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showInkAnnotation="0" codeName="ЭтаКнига" defaultThemeVersion="124226"/>
  <mc:AlternateContent xmlns:mc="http://schemas.openxmlformats.org/markup-compatibility/2006">
    <mc:Choice Requires="x15">
      <x15ac:absPath xmlns:x15ac="http://schemas.microsoft.com/office/spreadsheetml/2010/11/ac" url="https://d.docs.live.net/4050d6280c872bd7/TRPG/ZZ_TOOLS/0_DEVELOPMENT/004 Excel online resources/"/>
    </mc:Choice>
  </mc:AlternateContent>
  <xr:revisionPtr revIDLastSave="1" documentId="11_1F7BD4780F2DA9F3C5B8A625CBE1BFD8D3D582EC" xr6:coauthVersionLast="46" xr6:coauthVersionMax="46" xr10:uidLastSave="{AB3A93FF-8376-40C6-B73E-29B493E63866}"/>
  <bookViews>
    <workbookView xWindow="2310" yWindow="6780" windowWidth="21465" windowHeight="11415" tabRatio="916" firstSheet="21" activeTab="27" xr2:uid="{00000000-000D-0000-FFFF-FFFF00000000}"/>
  </bookViews>
  <sheets>
    <sheet name="00_RTFM" sheetId="47" r:id="rId1"/>
    <sheet name="01_Developer" sheetId="44" r:id="rId2"/>
    <sheet name="Custom" sheetId="64" r:id="rId3"/>
    <sheet name="Character_Creation" sheetId="1" r:id="rId4"/>
    <sheet name="C01_BaseCalculation" sheetId="71" r:id="rId5"/>
    <sheet name="C02_Proficiencies" sheetId="18" r:id="rId6"/>
    <sheet name="C03_ClassVariables" sheetId="23" r:id="rId7"/>
    <sheet name="C04_Inventory" sheetId="26" r:id="rId8"/>
    <sheet name="C05_Combat" sheetId="42" r:id="rId9"/>
    <sheet name="S01_Bard" sheetId="59" r:id="rId10"/>
    <sheet name="S02_Cleric" sheetId="49" r:id="rId11"/>
    <sheet name="S03_Druid" sheetId="50" r:id="rId12"/>
    <sheet name="S04_EldritchKnight" sheetId="60" r:id="rId13"/>
    <sheet name="S05_Paladin" sheetId="51" r:id="rId14"/>
    <sheet name="S06_Ranger" sheetId="58" r:id="rId15"/>
    <sheet name="S07_ArcaneTrickster" sheetId="61" r:id="rId16"/>
    <sheet name="S08_Sorcerer" sheetId="62" r:id="rId17"/>
    <sheet name="S09_Warlock" sheetId="63" r:id="rId18"/>
    <sheet name="S10_Wizard" sheetId="54" r:id="rId19"/>
    <sheet name="S11_RitualCasting" sheetId="70" r:id="rId20"/>
    <sheet name="Character_Spellcasting" sheetId="57" r:id="rId21"/>
    <sheet name="O_Character Sheet" sheetId="30" r:id="rId22"/>
    <sheet name="T01_Races" sheetId="4" r:id="rId23"/>
    <sheet name="T011_RacialTraits" sheetId="13" r:id="rId24"/>
    <sheet name="T02_Backgrounds" sheetId="6" r:id="rId25"/>
    <sheet name="T03_Skills" sheetId="2" r:id="rId26"/>
    <sheet name="T04_Classes" sheetId="3" r:id="rId27"/>
    <sheet name="Аркуш1" sheetId="74" r:id="rId28"/>
    <sheet name="T041_ClassFeatures" sheetId="19" r:id="rId29"/>
    <sheet name="T042_Leveling" sheetId="5" r:id="rId30"/>
    <sheet name="T05_Feats" sheetId="35" r:id="rId31"/>
    <sheet name="T06_Deities" sheetId="12" r:id="rId32"/>
    <sheet name="T07_Animals" sheetId="39" r:id="rId33"/>
    <sheet name="T08_Spells" sheetId="40" r:id="rId34"/>
    <sheet name="temp" sheetId="48" r:id="rId35"/>
    <sheet name="OUTPUT_TEXT" sheetId="43" r:id="rId36"/>
    <sheet name="T09_Armor" sheetId="8" r:id="rId37"/>
    <sheet name="T10_Weapon" sheetId="10" r:id="rId38"/>
    <sheet name="T11_MiscItems" sheetId="27" r:id="rId39"/>
    <sheet name="T12_MagicalGear" sheetId="72" r:id="rId40"/>
    <sheet name="T13_AdvLeagData" sheetId="73" r:id="rId41"/>
    <sheet name="Лист5" sheetId="11" r:id="rId42"/>
    <sheet name="Names" sheetId="15" r:id="rId43"/>
  </sheets>
  <functionGroups builtInGroupCount="19"/>
  <externalReferences>
    <externalReference r:id="rId44"/>
  </externalReferences>
  <definedNames>
    <definedName name="_">Character Sheet [1]I!$AM$39</definedName>
    <definedName name="_xlnm._FilterDatabase" localSheetId="22" hidden="1">T01_Races!$A$1:$BJ$101</definedName>
    <definedName name="_xlnm._FilterDatabase" localSheetId="28" hidden="1">T041_ClassFeatures!$A$1:$AE$528</definedName>
    <definedName name="_xlnm._FilterDatabase" localSheetId="33" hidden="1">T08_Spells!$A$1:$AD$408</definedName>
    <definedName name="_xlnm._FilterDatabase" localSheetId="37" hidden="1">T10_Weapon!$A$1:$W$39</definedName>
    <definedName name="_xlnm._FilterDatabase" localSheetId="38" hidden="1">T11_MiscItems!$A$1:$D$235</definedName>
    <definedName name="_xlnm._FilterDatabase" localSheetId="41" hidden="1">Лист5!$A$1:$G$210</definedName>
    <definedName name="AcrobaticsProficiency">'C03_ClassVariables'!$AK$214</definedName>
    <definedName name="AcrobaticsValue">'C02_Proficiencies'!$K$5</definedName>
    <definedName name="Age">Character_Creation!$D$14</definedName>
    <definedName name="Alignment">Character_Creation!$R$6</definedName>
    <definedName name="AnimalHandlingProficiency">'C03_ClassVariables'!$AK$215</definedName>
    <definedName name="AnimalHandlingValue">'C02_Proficiencies'!$K$6</definedName>
    <definedName name="Appearance">Character_Creation!$N$14</definedName>
    <definedName name="ArcanaProficiency">'C03_ClassVariables'!$AK$216</definedName>
    <definedName name="ArcanaValue">'C02_Proficiencies'!$K$7</definedName>
    <definedName name="ArcaneTricksterAnySpellKnown">'C03_ClassVariables'!$H$416</definedName>
    <definedName name="ArcaneTricksterMaxSpellLevel">'C03_ClassVariables'!$R$386</definedName>
    <definedName name="ArcaneTricksterSpellsKnown">'C03_ClassVariables'!$P$386</definedName>
    <definedName name="Archetype1">Character_Creation!$J$62</definedName>
    <definedName name="Archetype2">Character_Creation!$J$65</definedName>
    <definedName name="Archetype3">Character_Creation!$J$68</definedName>
    <definedName name="Archetype4">Character_Creation!$J$71</definedName>
    <definedName name="Archetype5">Character_Creation!$J$74</definedName>
    <definedName name="Archetype6">Character_Creation!$J$77</definedName>
    <definedName name="ArchetypeList1">OFFSET('C03_ClassVariables'!$L$16,0,0,'C03_ClassVariables'!$L$15,1)</definedName>
    <definedName name="ArchetypeList2">OFFSET('C03_ClassVariables'!$M$16,0,0,'C03_ClassVariables'!$M$15,1)</definedName>
    <definedName name="ArmorClass">#REF!</definedName>
    <definedName name="ArmsSlot">Character_Creation!$U$495</definedName>
    <definedName name="ASINumber">'C03_ClassVariables'!$AD$42</definedName>
    <definedName name="AspectofBeast">Character_Creation!$N$172</definedName>
    <definedName name="AthleticsProficiency">'C03_ClassVariables'!$AK$217</definedName>
    <definedName name="AthleticsValue">'C02_Proficiencies'!$K$8</definedName>
    <definedName name="Background">Character_Creation!$R$4</definedName>
    <definedName name="BackgroundFeature">Character_Creation!$D$34</definedName>
    <definedName name="BackgroundFeatureDescription">Character_Creation!$H$34</definedName>
    <definedName name="BackgroundSpecialty">Character_Creation!$D$24</definedName>
    <definedName name="BarbarianLevel">'C03_ClassVariables'!$X$4</definedName>
    <definedName name="BarbarianMultiClass">'C03_ClassVariables'!$Z$4</definedName>
    <definedName name="BarbarianSpiritTotems">'C03_ClassVariables'!$AD$41</definedName>
    <definedName name="Bard_Spells">S01_Bard!$B$37</definedName>
    <definedName name="BardCollegeOfLore">'C03_ClassVariables'!$AG$9</definedName>
    <definedName name="BardLevel">'C03_ClassVariables'!$X$5</definedName>
    <definedName name="BardMagicalSecrets">'C03_ClassVariables'!$H$401</definedName>
    <definedName name="BardMaxSpellLevel">'C03_ClassVariables'!$R$387</definedName>
    <definedName name="BardMultiClass">'C03_ClassVariables'!$Z$5</definedName>
    <definedName name="BardSpellsKnown">'C03_ClassVariables'!$P$387</definedName>
    <definedName name="BaseCha">Character_Creation!$C$54</definedName>
    <definedName name="BaseCon">Character_Creation!$C$48</definedName>
    <definedName name="BaseDex">Character_Creation!$C$46</definedName>
    <definedName name="BaseInt">Character_Creation!$C$50</definedName>
    <definedName name="BaseStr">Character_Creation!$C$44</definedName>
    <definedName name="BaseWis">Character_Creation!$C$52</definedName>
    <definedName name="BodySlot">Character_Creation!$U$498</definedName>
    <definedName name="Bond">Character_Creation!$D$30</definedName>
    <definedName name="CantripsArcaneTrickster">'C03_ClassVariables'!$Q$386</definedName>
    <definedName name="CantripsBard">'C03_ClassVariables'!$Q$387</definedName>
    <definedName name="CantripsCleric">'C03_ClassVariables'!$Q$390</definedName>
    <definedName name="CantripsDruid">'C03_ClassVariables'!$Q$391</definedName>
    <definedName name="CantripsEldritchKnight">'C03_ClassVariables'!$Q$385</definedName>
    <definedName name="CantripsSorcerer">'C03_ClassVariables'!$Q$389</definedName>
    <definedName name="CantripsWarlock">'C03_ClassVariables'!$Q$394</definedName>
    <definedName name="CantripsWizard">'C03_ClassVariables'!$Q$388</definedName>
    <definedName name="ChaMOD">Character_Creation!$V$54</definedName>
    <definedName name="CHAModTemp">#REF!</definedName>
    <definedName name="Character_Name">Character_Creation!$D$4</definedName>
    <definedName name="Charisma">Character_Creation!$U$54</definedName>
    <definedName name="CharismaST">'C02_Proficiencies'!$T$15</definedName>
    <definedName name="ChaST">'C03_ClassVariables'!$AG$26</definedName>
    <definedName name="ClassHitpoints">Character_Creation!$U$62:$U$81</definedName>
    <definedName name="ClassTraitList_WorkName">'C01_BaseCalculation'!$Q$160:$Q$239</definedName>
    <definedName name="ClassTraitList1">'C01_BaseCalculation'!$X$160:$X$239</definedName>
    <definedName name="Cleric_Spells">S02_Cleric!$B$37</definedName>
    <definedName name="ClericLevel">'C03_ClassVariables'!$X$6</definedName>
    <definedName name="ClericMaxSpellLevel">'C03_ClassVariables'!$R$390</definedName>
    <definedName name="ClericMultiClass">'C03_ClassVariables'!$Z$6</definedName>
    <definedName name="CombatManeuver1">Character_Creation!$G$170</definedName>
    <definedName name="CombatManeuver10">Character_Creation!$G$188</definedName>
    <definedName name="CombatManeuver11">Character_Creation!$G$190</definedName>
    <definedName name="CombatManeuver2">Character_Creation!$G$172</definedName>
    <definedName name="CombatManeuver3">Character_Creation!$G$174</definedName>
    <definedName name="CombatManeuver4">Character_Creation!$G$176</definedName>
    <definedName name="CombatManeuver5">Character_Creation!$G$178</definedName>
    <definedName name="CombatManeuver6">Character_Creation!$G$180</definedName>
    <definedName name="CombatManeuver7">Character_Creation!$G$182</definedName>
    <definedName name="CombatManeuver8">Character_Creation!$G$184</definedName>
    <definedName name="CombatManeuver9">Character_Creation!$G$186</definedName>
    <definedName name="CombatManeuversKnown">'C03_ClassVariables'!$AG$10</definedName>
    <definedName name="Companion">Character_Creation!$D$588</definedName>
    <definedName name="ConMOD">Character_Creation!$V$48</definedName>
    <definedName name="CONModTemp">#REF!</definedName>
    <definedName name="ConST">'C03_ClassVariables'!$AG$23</definedName>
    <definedName name="Constitution">Character_Creation!$U$48</definedName>
    <definedName name="ConstitutionST">'C02_Proficiencies'!$T$9</definedName>
    <definedName name="DeceptionProficiency">'C03_ClassVariables'!$AK$218</definedName>
    <definedName name="DeceptionValue">'C02_Proficiencies'!$K$9</definedName>
    <definedName name="DefensiveTactics">Character_Creation!$S$180</definedName>
    <definedName name="Deity">Character_Creation!$D$11</definedName>
    <definedName name="DexMOD">Character_Creation!$V$46</definedName>
    <definedName name="DEXModTemp">#REF!</definedName>
    <definedName name="DexST">'C03_ClassVariables'!$AG$22</definedName>
    <definedName name="Dexterity">Character_Creation!$U$46</definedName>
    <definedName name="DexterityST">'C02_Proficiencies'!$T$7</definedName>
    <definedName name="DivineDomain">'C03_ClassVariables'!$H$400</definedName>
    <definedName name="DomainKnowledgeSkills">'C03_ClassVariables'!$AG$8</definedName>
    <definedName name="DomainNatureSkill">'C03_ClassVariables'!$AG$12</definedName>
    <definedName name="Druid_Spells">S03_Druid!$B$37</definedName>
    <definedName name="DruidicLanguage">'C03_ClassVariables'!$AG$14</definedName>
    <definedName name="DruidLand1">'C03_ClassVariables'!$H$407</definedName>
    <definedName name="DruidLand2">'C03_ClassVariables'!$H$408</definedName>
    <definedName name="DruidLand3">'C03_ClassVariables'!$H$409</definedName>
    <definedName name="DruidLand4">'C03_ClassVariables'!$H$410</definedName>
    <definedName name="DruidLands">'C03_ClassVariables'!$AD$47</definedName>
    <definedName name="DruidLandx1">Character_Creation!$L$178</definedName>
    <definedName name="DruidLandx2">Character_Creation!$L$180</definedName>
    <definedName name="DruidLandx3">Character_Creation!$L$182</definedName>
    <definedName name="DruidLandx4">Character_Creation!$L$184</definedName>
    <definedName name="DruidLevel">'C03_ClassVariables'!$X$7</definedName>
    <definedName name="DruidMaxSpellLevel">'C03_ClassVariables'!$R$391</definedName>
    <definedName name="DruidMultiClass">'C03_ClassVariables'!$Z$7</definedName>
    <definedName name="DruidSpellsSheet">S03_Druid!$B$2</definedName>
    <definedName name="DwarvenToughness">'C03_ClassVariables'!$AG$17</definedName>
    <definedName name="EldritchKnight_Spells">S04_EldritchKnight!$B$37</definedName>
    <definedName name="EldritchKnightAnySpellKnown">'C03_ClassVariables'!$H$415</definedName>
    <definedName name="EldritchKnightMaxSpellLevel">'C03_ClassVariables'!$R$385</definedName>
    <definedName name="EldritchKnightSpellsKnown">'C03_ClassVariables'!$P$385</definedName>
    <definedName name="ExhaustionLevel">#REF!</definedName>
    <definedName name="Expertise1">Character_Creation!$U$90</definedName>
    <definedName name="Expertise2">Character_Creation!$U$92</definedName>
    <definedName name="Expertise3">Character_Creation!$U$94</definedName>
    <definedName name="Expertise4">Character_Creation!$U$96</definedName>
    <definedName name="Expertise5">Character_Creation!$U$98</definedName>
    <definedName name="Expertise6">Character_Creation!$U$100</definedName>
    <definedName name="Expertise7">Character_Creation!$U$102</definedName>
    <definedName name="Expertise8">Character_Creation!$U$104</definedName>
    <definedName name="ExpertiseNumber">'C03_ClassVariables'!$AG$7</definedName>
    <definedName name="Eyes">Character_Creation!$H$16</definedName>
    <definedName name="EyesSlot">Character_Creation!$O$495</definedName>
    <definedName name="Faction">Character_Creation!$R$9</definedName>
    <definedName name="FactionRank">Character_Creation!$R$11</definedName>
    <definedName name="Familiar">Character_Creation!$D$565</definedName>
    <definedName name="FavoredEnemy1">Character_Creation!$Q$188</definedName>
    <definedName name="FavoredEnemy2">Character_Creation!$Q$190</definedName>
    <definedName name="FavoredEnemy3">Character_Creation!$Q$192</definedName>
    <definedName name="FavoredSoul_Domain">'C03_ClassVariables'!$H$405</definedName>
    <definedName name="FavoredSoulSubclass">'C03_ClassVariables'!$W$60</definedName>
    <definedName name="Feat1">Character_Creation!$D$210</definedName>
    <definedName name="Feat10">Character_Creation!$D$249</definedName>
    <definedName name="Feat11">Character_Creation!$D$253</definedName>
    <definedName name="Feat2">Character_Creation!$D$214</definedName>
    <definedName name="Feat3">Character_Creation!$D$218</definedName>
    <definedName name="Feat4">Character_Creation!$D$222</definedName>
    <definedName name="Feat5">Character_Creation!$D$226</definedName>
    <definedName name="Feat6">Character_Creation!$D$230</definedName>
    <definedName name="Feat7">Character_Creation!$D$234</definedName>
    <definedName name="Feat8">Character_Creation!$D$238</definedName>
    <definedName name="Feat9">Character_Creation!$D$245</definedName>
    <definedName name="FeatMartialAdept">T05_Feats!$G$26</definedName>
    <definedName name="Feats">Character_Creation!$D$210:$D$241</definedName>
    <definedName name="FeatsAvalaibilty">Character_Creation!$G$208</definedName>
    <definedName name="FeatsOutput">Character_Creation!$AH$210</definedName>
    <definedName name="FeatsTotal">Character_Creation!$H$208</definedName>
    <definedName name="FeatTough">'C03_ClassVariables'!$AG$18</definedName>
    <definedName name="FeetSlot">Character_Creation!$U$507</definedName>
    <definedName name="FighterBattleMasterLevel">T05_Feats!$CN$15</definedName>
    <definedName name="FighterLevel">'C03_ClassVariables'!$X$8</definedName>
    <definedName name="FightingStyle1">Character_Creation!$I$194</definedName>
    <definedName name="FightingStyle2">Character_Creation!$I$196</definedName>
    <definedName name="FightingStyle3">Character_Creation!$I$198</definedName>
    <definedName name="FightingStyle4">Character_Creation!$I$200</definedName>
    <definedName name="FightingStyleArchery">'C03_ClassVariables'!$AG$29</definedName>
    <definedName name="FightingStyleDefense">'C03_ClassVariables'!$AG$30</definedName>
    <definedName name="FightingStyleDueling">'C03_ClassVariables'!$AG$31</definedName>
    <definedName name="FightingStyleGreaterWeaponFighting">'C03_ClassVariables'!$AG$32</definedName>
    <definedName name="FightingStyleProtection">'C03_ClassVariables'!$AG$33</definedName>
    <definedName name="FightingStylesNumber">'C03_ClassVariables'!$AG$11</definedName>
    <definedName name="FightingStyleTwoWeaponFighting">'C03_ClassVariables'!$AG$34</definedName>
    <definedName name="Flaw">Character_Creation!$N$30</definedName>
    <definedName name="Gender">Character_Creation!$L$8</definedName>
    <definedName name="Hair">Character_Creation!$H$18</definedName>
    <definedName name="HandsSlot">Character_Creation!$U$492</definedName>
    <definedName name="HeadSlot">Character_Creation!$O$492</definedName>
    <definedName name="HeavyArmorProficiency">'C02_Proficiencies'!$AY$4</definedName>
    <definedName name="Height">Character_Creation!$D$16</definedName>
    <definedName name="HistoryProficiency">'C03_ClassVariables'!$AK$219</definedName>
    <definedName name="HistoryValue">'C02_Proficiencies'!$K$10</definedName>
    <definedName name="HitPoints1">Character_Creation!$U$62</definedName>
    <definedName name="HitPoints10">Character_Creation!$U$71</definedName>
    <definedName name="HitPoints11">Character_Creation!$U$72</definedName>
    <definedName name="HitPoints12">Character_Creation!$U$73</definedName>
    <definedName name="HitPoints13">Character_Creation!$U$74</definedName>
    <definedName name="HitPoints14">Character_Creation!$U$75</definedName>
    <definedName name="HitPoints15">Character_Creation!$U$76</definedName>
    <definedName name="HitPoints16">Character_Creation!$U$77</definedName>
    <definedName name="HitPoints17">Character_Creation!$U$78</definedName>
    <definedName name="HitPoints18">Character_Creation!$U$79</definedName>
    <definedName name="HitPoints19">Character_Creation!$U$80</definedName>
    <definedName name="HitPoints2">Character_Creation!$U$63</definedName>
    <definedName name="HitPoints20">Character_Creation!$U$81</definedName>
    <definedName name="HitPoints3">Character_Creation!$U$64</definedName>
    <definedName name="HitPoints4">Character_Creation!$U$65</definedName>
    <definedName name="HitPoints5">Character_Creation!$U$66</definedName>
    <definedName name="HitPoints6">Character_Creation!$U$67</definedName>
    <definedName name="HitPoints7">Character_Creation!$U$68</definedName>
    <definedName name="HitPoints8">Character_Creation!$U$69</definedName>
    <definedName name="HitPoints9">Character_Creation!$U$70</definedName>
    <definedName name="HuntersPrey">Character_Creation!$S$178</definedName>
    <definedName name="Ideal">Character_Creation!$D$27</definedName>
    <definedName name="InsightProficiency">'C03_ClassVariables'!$AK$220</definedName>
    <definedName name="InsightValue">'C02_Proficiencies'!$K$11</definedName>
    <definedName name="Intelligence">Character_Creation!$U$50</definedName>
    <definedName name="IntelligenceST">'C02_Proficiencies'!$T$11</definedName>
    <definedName name="IntimidationProficiency">'C03_ClassVariables'!$AK$221</definedName>
    <definedName name="IntimidationValue">'C02_Proficiencies'!$K$12</definedName>
    <definedName name="IntMOD">Character_Creation!$V$50</definedName>
    <definedName name="INTModTemp">#REF!</definedName>
    <definedName name="IntST">'C03_ClassVariables'!$AG$24</definedName>
    <definedName name="InvestigationProficiency">'C03_ClassVariables'!$AK$222</definedName>
    <definedName name="InvestigationValue">'C02_Proficiencies'!$K$13</definedName>
    <definedName name="Invocation1">Character_Creation!$B$172</definedName>
    <definedName name="Invocation2">Character_Creation!$B$174</definedName>
    <definedName name="Invocation3">Character_Creation!$B$176</definedName>
    <definedName name="Invocation4">Character_Creation!$B$178</definedName>
    <definedName name="Invocation5">Character_Creation!$B$180</definedName>
    <definedName name="Invocation6">Character_Creation!$B$182</definedName>
    <definedName name="Invocation7">Character_Creation!$B$184</definedName>
    <definedName name="Invocation8">Character_Creation!$B$186</definedName>
    <definedName name="ItemLookupCategory">Character_Creation!$EC$442</definedName>
    <definedName name="ItemLookupSelected">Character_Creation!$EC$444</definedName>
    <definedName name="Knowledge1">Character_Creation!$P$136</definedName>
    <definedName name="Knowledge2">Character_Creation!$P$138</definedName>
    <definedName name="Knowledge3">Character_Creation!$P$140</definedName>
    <definedName name="Knowledge4">Character_Creation!$P$142</definedName>
    <definedName name="Language1">Character_Creation!$D$118</definedName>
    <definedName name="Language10">Character_Creation!$D$136</definedName>
    <definedName name="Language11">Character_Creation!$D$138</definedName>
    <definedName name="Language12">Character_Creation!$D$140</definedName>
    <definedName name="Language13">Character_Creation!$D$142</definedName>
    <definedName name="Language14">Character_Creation!$P$118</definedName>
    <definedName name="Language15">Character_Creation!$P$120</definedName>
    <definedName name="Language16">Character_Creation!$P$122</definedName>
    <definedName name="Language17">Character_Creation!$P$124</definedName>
    <definedName name="Language2">Character_Creation!$D$120</definedName>
    <definedName name="Language3">Character_Creation!$D$122</definedName>
    <definedName name="Language4">Character_Creation!$D$124</definedName>
    <definedName name="Language5">Character_Creation!$D$126</definedName>
    <definedName name="Language6">Character_Creation!$D$128</definedName>
    <definedName name="Language7">Character_Creation!$D$130</definedName>
    <definedName name="Language8">Character_Creation!$D$132</definedName>
    <definedName name="Language9">Character_Creation!$D$134</definedName>
    <definedName name="LanguageList">T03_Skills!$U$3</definedName>
    <definedName name="LanguagesKnown">Character_Creation!$V$118</definedName>
    <definedName name="LeftRingSlot">Character_Creation!$O$504</definedName>
    <definedName name="LightArmorProficiency">'C02_Proficiencies'!$AY$2</definedName>
    <definedName name="Link1">Character_Creation!#REF!</definedName>
    <definedName name="Link2">Character_Creation!$B$21</definedName>
    <definedName name="LinkAbilities">Character_Creation!$B$40</definedName>
    <definedName name="LinkCantrips">Character_Creation!$B$404</definedName>
    <definedName name="LinkClassAndLevel">Character_Creation!$B$59</definedName>
    <definedName name="LinkClassFeaturesDescription">Character_Creation!$B$260</definedName>
    <definedName name="LinkCombat">Character_Creation!$B$527</definedName>
    <definedName name="LinkCompanion">Character_Creation!$B$588</definedName>
    <definedName name="LinkFamiliar">Character_Creation!$B$565</definedName>
    <definedName name="LinkFeats">Character_Creation!$B$205</definedName>
    <definedName name="LinkInventory">Character_Creation!$B$489</definedName>
    <definedName name="LinkMount">Character_Creation!$B$611</definedName>
    <definedName name="LinkRacialTraits">Character_Creation!$B$147</definedName>
    <definedName name="LinkSelectableClassFeatures">Character_Creation!$B$165</definedName>
    <definedName name="LinkSkills">Character_Creation!$B$85</definedName>
    <definedName name="LinkSpellcasting">Character_Creation!$B$308</definedName>
    <definedName name="LinkSpellsKnown">Character_Creation!$B$335</definedName>
    <definedName name="LinkStartingGear">Character_Creation!$B$426</definedName>
    <definedName name="LinkToolsAndLanguages">Character_Creation!$B$115</definedName>
    <definedName name="MagicInitiate">Character_Creation!$E$391</definedName>
    <definedName name="MagicInitiateFeat">'C03_ClassVariables'!$H$403</definedName>
    <definedName name="MainClass">Character_Creation!$D$62</definedName>
    <definedName name="MainClassLevel">Character_Creation!$P$62</definedName>
    <definedName name="MainClassSelected">Character_Creation!$D$62</definedName>
    <definedName name="Mainhand1">Character_Creation!$D$537</definedName>
    <definedName name="Mainhand2">Character_Creation!$D$540</definedName>
    <definedName name="Mainhand3">Character_Creation!$D$543</definedName>
    <definedName name="Mainhand4">Character_Creation!$D$546</definedName>
    <definedName name="Mainhand5">Character_Creation!$D$549</definedName>
    <definedName name="Mainhand6">Character_Creation!$D$552</definedName>
    <definedName name="Mainhand7">Character_Creation!$D$555</definedName>
    <definedName name="MartialWeaponsProficiency">'C02_Proficiencies'!$AY$7</definedName>
    <definedName name="MedicineProficiency">'C03_ClassVariables'!$AK$223</definedName>
    <definedName name="MedicineValue">'C02_Proficiencies'!$K$14</definedName>
    <definedName name="MediumArmorProficiency">'C02_Proficiencies'!$AY$3</definedName>
    <definedName name="MonkElementalDiscipline1">Character_Creation!$L$188</definedName>
    <definedName name="MonkElementalDiscipline2">Character_Creation!$L$190</definedName>
    <definedName name="MonkElementalDiscipline3">Character_Creation!$L$192</definedName>
    <definedName name="MonkElementalDiscipline4">Character_Creation!$L$194</definedName>
    <definedName name="MonkElementalDiscipline5">Character_Creation!$L$196</definedName>
    <definedName name="MonkElementalDisciplines">'C03_ClassVariables'!$AD$40</definedName>
    <definedName name="MonkLevel">'C03_ClassVariables'!$X$9</definedName>
    <definedName name="Mount">Character_Creation!$D$611</definedName>
    <definedName name="Multiattack">Character_Creation!$S$182</definedName>
    <definedName name="Multiclass1">Character_Creation!$D$65</definedName>
    <definedName name="MultiClass1Level">Character_Creation!$P$65</definedName>
    <definedName name="Multiclass2">Character_Creation!$D$68</definedName>
    <definedName name="MultiClass2Level">Character_Creation!$P$68</definedName>
    <definedName name="Multiclass3">Character_Creation!$D$71</definedName>
    <definedName name="MultiClass3Level">Character_Creation!$P$71</definedName>
    <definedName name="Multiclass4">Character_Creation!$D$74</definedName>
    <definedName name="MultiClass4Level">Character_Creation!$P$74</definedName>
    <definedName name="Multiclass5">Character_Creation!$D$77</definedName>
    <definedName name="MultiClass5Level">Character_Creation!$P$77</definedName>
    <definedName name="NaturalExplorer1">Character_Creation!$Q$170</definedName>
    <definedName name="NaturalExplorer2">Character_Creation!$Q$172</definedName>
    <definedName name="NaturalExplorer3">Character_Creation!$Q$174</definedName>
    <definedName name="NatureProficiency">'C03_ClassVariables'!$AK$224</definedName>
    <definedName name="NatureValue">'C02_Proficiencies'!$K$15</definedName>
    <definedName name="NeckSlot">Character_Creation!$O$498</definedName>
    <definedName name="Offhand1">Character_Creation!$D$538</definedName>
    <definedName name="OutputArmorProficiency">'C02_Proficiencies'!$D$50</definedName>
    <definedName name="OutputFightingStyles">Character_Creation!$AH$167</definedName>
    <definedName name="OutputLanguages">'C02_Proficiencies'!$Y$63</definedName>
    <definedName name="OutputTools">'C02_Proficiencies'!$Y$64</definedName>
    <definedName name="OutputWeaponProficiency">'C02_Proficiencies'!$D$53</definedName>
    <definedName name="PactBoon">Character_Creation!$D$168</definedName>
    <definedName name="Paladin_Spells">S05_Paladin!$B$37</definedName>
    <definedName name="PaladinLevel">'C03_ClassVariables'!$X$10</definedName>
    <definedName name="PaladinMaxSpellLevel">'C03_ClassVariables'!$R$393</definedName>
    <definedName name="PaladinOath">'C03_ClassVariables'!$H$399</definedName>
    <definedName name="PerceptionProficiency">'C03_ClassVariables'!$AK$225</definedName>
    <definedName name="PerceptionValue">'C02_Proficiencies'!$K$16</definedName>
    <definedName name="PerformanceProficiency">'C03_ClassVariables'!$AK$226</definedName>
    <definedName name="PerformanceValue">'C02_Proficiencies'!$K$17</definedName>
    <definedName name="PersonalTrait1">Character_Creation!$N$24</definedName>
    <definedName name="PersonalTrait2">Character_Creation!$N$27</definedName>
    <definedName name="PersuasionProficiency">'C03_ClassVariables'!$AK$227</definedName>
    <definedName name="PersuasionValue">'C02_Proficiencies'!$K$18</definedName>
    <definedName name="PlayerName">Character_Creation!$D$6</definedName>
    <definedName name="ProfBonus">T05_Feats!$IL$2</definedName>
    <definedName name="Proficiency_Bonus">Character_Creation!$N$80</definedName>
    <definedName name="Proficiency_Parsing">'C02_Proficiencies'!$Y$68</definedName>
    <definedName name="Quickitem1">Character_Creation!$O$511</definedName>
    <definedName name="Quickitem2">Character_Creation!$O$513</definedName>
    <definedName name="Quickitem3">Character_Creation!$O$515</definedName>
    <definedName name="Quickitem4">Character_Creation!$O$517</definedName>
    <definedName name="Race">Character_Creation!$L$4</definedName>
    <definedName name="RaceNumber">COUNTA(T01_Races!$E$2:$E$101)</definedName>
    <definedName name="RacialTrait1">Character_Creation!$B$150</definedName>
    <definedName name="RacialTrait2">Character_Creation!$B$152</definedName>
    <definedName name="RacialTrait3">Character_Creation!$B$154</definedName>
    <definedName name="RacialTrait4">Character_Creation!$B$156</definedName>
    <definedName name="RacialTrait5">Character_Creation!$B$158</definedName>
    <definedName name="RacialTrait6">Character_Creation!$B$160</definedName>
    <definedName name="RacialTraits">Character_Creation!$B$150:$B$161</definedName>
    <definedName name="RacialTraitsOutput">Character_Creation!$AG$149</definedName>
    <definedName name="Ranger_Spells">S06_Ranger!$B$37</definedName>
    <definedName name="RangerFavoredEnemiesNumber">'C03_ClassVariables'!$AD$37</definedName>
    <definedName name="RangerHunterFeatures">'C03_ClassVariables'!$AD$39</definedName>
    <definedName name="RangerLevel">'C03_ClassVariables'!$X$11</definedName>
    <definedName name="RangerMaxSpellLevel">'C03_ClassVariables'!$R$392</definedName>
    <definedName name="RangerMultiClass">'C03_ClassVariables'!$Z$11</definedName>
    <definedName name="RangerNaturalExplorer">'C03_ClassVariables'!$AD$38</definedName>
    <definedName name="RangerSpellsKNown">'C03_ClassVariables'!$P$392</definedName>
    <definedName name="ReligionProficiency">'C03_ClassVariables'!$AK$228</definedName>
    <definedName name="ReligionValue">'C02_Proficiencies'!$K$19</definedName>
    <definedName name="RightRing1Slot">Character_Creation!$O$507</definedName>
    <definedName name="RitualCasterFeat">'C03_ClassVariables'!$H$404</definedName>
    <definedName name="RitualCasting">Character_Creation!$S$365</definedName>
    <definedName name="RitualCastingFeat">'C03_ClassVariables'!$G$404</definedName>
    <definedName name="RogueLanguage">'C03_ClassVariables'!$AG$13</definedName>
    <definedName name="RogueLevel">'C03_ClassVariables'!$X$12</definedName>
    <definedName name="RogueMultiClass">'C03_ClassVariables'!$Z$12</definedName>
    <definedName name="Saving_Throw1">INDEX(T04_Classes!$P$3:$P$102,SelectedClassID,1)</definedName>
    <definedName name="Saving_Throw2">INDEX(T04_Classes!$Q$3:$Q$102,SelectedClassID,1)</definedName>
    <definedName name="SelectedBackgroundId">INDEX(T02_Backgrounds!$A$2:$A$101,MATCH(Background,T02_Backgrounds!$B$2:$B$101,0),1)</definedName>
    <definedName name="SelectedClassID">MATCH(MainClassSelected,T03_Skills!$D$1:$AP$1,0)</definedName>
    <definedName name="SelectedItemPackID">MATCH(#REF!,'C04_Inventory'!$A$2:$A$101,0)</definedName>
    <definedName name="SelectedRaceID">INDEX('C01_BaseCalculation'!$AB$15:$AB$149,MATCH(SubRace,'C01_BaseCalculation'!$AA$15:$AA$149,0),1)</definedName>
    <definedName name="SelectedSkill1">Character_Creation!$D$88</definedName>
    <definedName name="SelectedSkill10">Character_Creation!$O$88</definedName>
    <definedName name="SelectedSkill11">Character_Creation!$O$90</definedName>
    <definedName name="SelectedSkill12">Character_Creation!$O$92</definedName>
    <definedName name="SelectedSkill13">Character_Creation!$O$94</definedName>
    <definedName name="SelectedSkill14">Character_Creation!$O$96</definedName>
    <definedName name="SelectedSkill15">Character_Creation!$O$98</definedName>
    <definedName name="SelectedSkill16">Character_Creation!$O$100</definedName>
    <definedName name="SelectedSkill17">Character_Creation!$O$102</definedName>
    <definedName name="SelectedSkill18">Character_Creation!$O$104</definedName>
    <definedName name="SelectedSkill2">Character_Creation!$D$90</definedName>
    <definedName name="SelectedSkill3">Character_Creation!$D$92</definedName>
    <definedName name="SelectedSkill4">Character_Creation!$D$102</definedName>
    <definedName name="SelectedSkill5">Character_Creation!$D$104</definedName>
    <definedName name="SelectedSkill6">Character_Creation!$D$94</definedName>
    <definedName name="SelectedSkill7">Character_Creation!$D$96</definedName>
    <definedName name="SelectedSkill8">Character_Creation!$D$98</definedName>
    <definedName name="SelectedSkill9">Character_Creation!$D$100</definedName>
    <definedName name="SelectedWizardSpellLevel">Character_Creation!$AC$338</definedName>
    <definedName name="Setting">Character_Creation!$D$9</definedName>
    <definedName name="SheetATSpells">S07_ArcaneTrickster!$B$1</definedName>
    <definedName name="SheetBardSpells">S01_Bard!$B$2</definedName>
    <definedName name="SheetClericSpells">S02_Cleric!$B$2</definedName>
    <definedName name="SheetDruidSpells">S03_Druid!$B$2</definedName>
    <definedName name="SheetEKSpells">S04_EldritchKnight!$B$2</definedName>
    <definedName name="SheetPaladinSpells">S05_Paladin!$B$2</definedName>
    <definedName name="SheetRangerSpells">S06_Ranger!$B$2</definedName>
    <definedName name="SheetRitualCasterSpells">S11_RitualCasting!$B$1</definedName>
    <definedName name="SheetSorcererSpells">S08_Sorcerer!$B$1</definedName>
    <definedName name="SheetSpellBook">Character_Spellcasting!$B$2</definedName>
    <definedName name="SheetWarlockSpells">S09_Warlock!$B$1</definedName>
    <definedName name="SheetWizardSpells">S10_Wizard!$B$1</definedName>
    <definedName name="ShieldsProficiency">'C02_Proficiencies'!$AY$5</definedName>
    <definedName name="ShouldersSlot">Character_Creation!$O$501</definedName>
    <definedName name="SimpleWeaponsProficiency">'C02_Proficiencies'!$AY$6</definedName>
    <definedName name="Skin">Character_Creation!$H$14</definedName>
    <definedName name="SleightofHandProficiency">'C03_ClassVariables'!$AK$229</definedName>
    <definedName name="SleightofHandValue">'C02_Proficiencies'!$K$20</definedName>
    <definedName name="Sorcerer_Spells">S08_Sorcerer!$B$37</definedName>
    <definedName name="SorcererLevel">'C03_ClassVariables'!$X$13</definedName>
    <definedName name="SorcererMaxSpellLevel">'C03_ClassVariables'!$R$389</definedName>
    <definedName name="SorcererSpellsKnown">'C03_ClassVariables'!$P$389</definedName>
    <definedName name="SpecialBond">Character_Creation!$X$24</definedName>
    <definedName name="SpellcasterLevel">'C03_ClassVariables'!$I$395</definedName>
    <definedName name="SpellcastingAT">'C03_ClassVariables'!$T$386</definedName>
    <definedName name="SpellcastingBard">'C03_ClassVariables'!$T$387</definedName>
    <definedName name="SpellcastingClass1">'C03_ClassVariables'!$W$385</definedName>
    <definedName name="SpellcastingClass10">'C03_ClassVariables'!$W$394</definedName>
    <definedName name="SpellcastingClass10Ability">'C03_ClassVariables'!$X$394</definedName>
    <definedName name="SpellcastingClass1Ability">'C03_ClassVariables'!$X$385</definedName>
    <definedName name="SpellcastingClass2">'C03_ClassVariables'!$W$386</definedName>
    <definedName name="SpellcastingClass2Ability">'C03_ClassVariables'!$X$386</definedName>
    <definedName name="SpellcastingClass3">'C03_ClassVariables'!$W$387</definedName>
    <definedName name="SpellcastingClass3Ability">'C03_ClassVariables'!$X$387</definedName>
    <definedName name="SpellcastingClass4">'C03_ClassVariables'!$W$388</definedName>
    <definedName name="SpellcastingClass4Ability">'C03_ClassVariables'!$X$388</definedName>
    <definedName name="SpellcastingClass5">'C03_ClassVariables'!$W$389</definedName>
    <definedName name="SpellcastingClass5Ability">'C03_ClassVariables'!$X$389</definedName>
    <definedName name="SpellcastingClass6">'C03_ClassVariables'!$W$390</definedName>
    <definedName name="SpellcastingClass6Ability">'C03_ClassVariables'!$X$390</definedName>
    <definedName name="SpellcastingClass7">'C03_ClassVariables'!$W$391</definedName>
    <definedName name="SpellcastingClass7Ability">'C03_ClassVariables'!$X$391</definedName>
    <definedName name="SpellcastingClass8">'C03_ClassVariables'!$W$392</definedName>
    <definedName name="SpellcastingClass8Ability">'C03_ClassVariables'!$X$392</definedName>
    <definedName name="SpellcastingClass9">'C03_ClassVariables'!$W$393</definedName>
    <definedName name="SpellcastingClass9Ability">'C03_ClassVariables'!$X$393</definedName>
    <definedName name="SpellcastingCleric">'C03_ClassVariables'!$T$390</definedName>
    <definedName name="SpellcastingDruid">'C03_ClassVariables'!$T$391</definedName>
    <definedName name="SpellcastingEK">'C03_ClassVariables'!$T$385</definedName>
    <definedName name="SpellCastingIndex">Character_Creation!$R$315</definedName>
    <definedName name="SpellcastingPaladin">'C03_ClassVariables'!$T$393</definedName>
    <definedName name="SpellcastingRanger">'C03_ClassVariables'!$T$392</definedName>
    <definedName name="SpellcastingSorcerer">'C03_ClassVariables'!$T$389</definedName>
    <definedName name="SpellcastingWarlock">'C03_ClassVariables'!$T$394</definedName>
    <definedName name="SpellcastingWizard">'C03_ClassVariables'!$T$388</definedName>
    <definedName name="SpellsKnownAT">Character_Creation!$P$338</definedName>
    <definedName name="SpellsKnownBard">Character_Creation!$B$338</definedName>
    <definedName name="SpellsKnownEK">Character_Creation!$I$350</definedName>
    <definedName name="SpellsKnownRanger">Character_Creation!$B$376</definedName>
    <definedName name="SpellsKnownRitualCaster">Character_Creation!$P$365</definedName>
    <definedName name="SpellsKnownSorcerer">Character_Creation!$I$377</definedName>
    <definedName name="SpellsKnownWarlock">Character_Creation!$I$358</definedName>
    <definedName name="SpellsKnownWizard">Character_Creation!$W$338</definedName>
    <definedName name="SpellSlots1stLvl">'C03_ClassVariables'!$AL$6</definedName>
    <definedName name="SpellSlots2ndLvl">'C03_ClassVariables'!$AL$7</definedName>
    <definedName name="SpellSlots3rdLvl">'C03_ClassVariables'!$AL$8</definedName>
    <definedName name="SpellSlots4thLvl">'C03_ClassVariables'!$AL$9</definedName>
    <definedName name="SpellSlots5thLvl">'C03_ClassVariables'!$AL$10</definedName>
    <definedName name="SpellSlots6thtLvl">'C03_ClassVariables'!$AL$11</definedName>
    <definedName name="SpellSlots7thLvl">'C03_ClassVariables'!$AL$12</definedName>
    <definedName name="SpellSlots8thLvl">'C03_ClassVariables'!$AL$13</definedName>
    <definedName name="SpellSlots9thLvl">'C03_ClassVariables'!$AL$14</definedName>
    <definedName name="StealthProficiency">'C03_ClassVariables'!$AK$230</definedName>
    <definedName name="StealthValue">'C02_Proficiencies'!$K$21</definedName>
    <definedName name="Storyline">Character_Creation!$L$11</definedName>
    <definedName name="Strength">Character_Creation!$U$44</definedName>
    <definedName name="StrengthST">'C02_Proficiencies'!$T$5</definedName>
    <definedName name="StrMod">Character_Creation!$V$44</definedName>
    <definedName name="STRModTemp">#REF!</definedName>
    <definedName name="StrST">'C03_ClassVariables'!$AG$21</definedName>
    <definedName name="StudentofWar">'C03_ClassVariables'!$AG$16</definedName>
    <definedName name="SubRace">Character_Creation!$L$6</definedName>
    <definedName name="SuperiorHuntersDefense">Character_Creation!$S$184</definedName>
    <definedName name="SurvivalProficiency">'C03_ClassVariables'!$AK$231</definedName>
    <definedName name="SurvivalValue">'C02_Proficiencies'!$K$22</definedName>
    <definedName name="Tools1">Character_Creation!$J$118</definedName>
    <definedName name="Tools10">Character_Creation!$J$136</definedName>
    <definedName name="Tools11">Character_Creation!$J$138</definedName>
    <definedName name="Tools12">Character_Creation!$J$140</definedName>
    <definedName name="Tools13">Character_Creation!$J$142</definedName>
    <definedName name="Tools14">Character_Creation!$P$127</definedName>
    <definedName name="Tools15">Character_Creation!$P$129</definedName>
    <definedName name="Tools16">Character_Creation!$P$131</definedName>
    <definedName name="Tools17">Character_Creation!$P$133</definedName>
    <definedName name="Tools2">Character_Creation!$J$120</definedName>
    <definedName name="Tools3">Character_Creation!$J$122</definedName>
    <definedName name="Tools4">Character_Creation!$J$124</definedName>
    <definedName name="Tools5">Character_Creation!$J$126</definedName>
    <definedName name="Tools6">Character_Creation!$J$128</definedName>
    <definedName name="Tools7">Character_Creation!$J$130</definedName>
    <definedName name="Tools8">Character_Creation!$J$132</definedName>
    <definedName name="Tools9">Character_Creation!$J$134</definedName>
    <definedName name="ToolsProficiencyNumber">Character_Creation!$V$127</definedName>
    <definedName name="ToolsProficiencyNumberCalculated">'C03_ClassVariables'!$J$378</definedName>
    <definedName name="ToolsProficiencyThievesTools">'C03_ClassVariables'!$AG$15</definedName>
    <definedName name="TorsoSlot">Character_Creation!$U$501</definedName>
    <definedName name="Total_Character_Level">Character_Creation!$K$80</definedName>
    <definedName name="TotalCantrips">'C03_ClassVariables'!$H$398</definedName>
    <definedName name="TotalHP">'C05_Combat'!$G$4</definedName>
    <definedName name="TotemicAttunement">Character_Creation!$N$174</definedName>
    <definedName name="TotemSpirit">Character_Creation!$N$170</definedName>
    <definedName name="Typeofabilityroll">Character_Creation!$AC$42</definedName>
    <definedName name="UnarmoredDefenseCha">'C03_ClassVariables'!$AC$50</definedName>
    <definedName name="UnarmoredDefenseCon">'C03_ClassVariables'!$AC$48</definedName>
    <definedName name="UnarmoredDefenseInt">'C03_ClassVariables'!$AC$51</definedName>
    <definedName name="UnarmoredDefenseWis">'C03_ClassVariables'!$AC$49</definedName>
    <definedName name="UniqueClassesNumber">MAX(T04_Classes!$A$3:$A$102)</definedName>
    <definedName name="UniqueRaceNumer">MAX(T01_Races!$C$2:$C$101)</definedName>
    <definedName name="UniqueSubraces">MAX(T01_Races!$D$2:$D$101)</definedName>
    <definedName name="Var_Expertise">'C02_Proficiencies'!$AF$17</definedName>
    <definedName name="Var_JoT">'C02_Proficiencies'!$AF$46</definedName>
    <definedName name="WaistSlot">Character_Creation!$U$504</definedName>
    <definedName name="WarlockInvocationsKnown">'C03_ClassVariables'!$AD$32</definedName>
    <definedName name="WarlockLevel">'C03_ClassVariables'!$X$14</definedName>
    <definedName name="WarlockMaxSpellLevel">'C03_ClassVariables'!$R$394</definedName>
    <definedName name="WarlockPatron">'C03_ClassVariables'!$H$402</definedName>
    <definedName name="WarlockR394">'C03_ClassVariables'!$R$394</definedName>
    <definedName name="WarlockSpellsKnown">'C03_ClassVariables'!$P$394</definedName>
    <definedName name="Weight">Character_Creation!$D$18</definedName>
    <definedName name="Wisdom">Character_Creation!$U$52</definedName>
    <definedName name="WisdomST">'C02_Proficiencies'!$T$13</definedName>
    <definedName name="WisMOD">Character_Creation!$V$52</definedName>
    <definedName name="WISModTemp">#REF!</definedName>
    <definedName name="WisST">'C03_ClassVariables'!$AG$25</definedName>
    <definedName name="Wizard_Spells">S10_Wizard!$B$37</definedName>
    <definedName name="WizardEvocationLevel">T08_Spells!$AO$24</definedName>
    <definedName name="WizardLevel">'C03_ClassVariables'!$X$15</definedName>
    <definedName name="WizardMaxSpellLevel">'C03_ClassVariables'!$R$388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02" i="73" l="1"/>
  <c r="H101" i="73"/>
  <c r="H100" i="73"/>
  <c r="H99" i="73"/>
  <c r="H98" i="73"/>
  <c r="H97" i="73"/>
  <c r="H96" i="73"/>
  <c r="H95" i="73"/>
  <c r="H94" i="73"/>
  <c r="H93" i="73"/>
  <c r="H92" i="73"/>
  <c r="H91" i="73"/>
  <c r="H90" i="73"/>
  <c r="H89" i="73"/>
  <c r="H88" i="73"/>
  <c r="H87" i="73"/>
  <c r="H86" i="73"/>
  <c r="H85" i="73"/>
  <c r="H84" i="73"/>
  <c r="H83" i="73"/>
  <c r="H82" i="73"/>
  <c r="H81" i="73"/>
  <c r="H80" i="73"/>
  <c r="H79" i="73"/>
  <c r="H78" i="73"/>
  <c r="H77" i="73"/>
  <c r="H76" i="73"/>
  <c r="H75" i="73"/>
  <c r="H74" i="73"/>
  <c r="H73" i="73"/>
  <c r="H72" i="73"/>
  <c r="H71" i="73"/>
  <c r="H70" i="73"/>
  <c r="H69" i="73"/>
  <c r="H68" i="73"/>
  <c r="H67" i="73"/>
  <c r="H66" i="73"/>
  <c r="H65" i="73"/>
  <c r="H64" i="73"/>
  <c r="H63" i="73"/>
  <c r="H62" i="73"/>
  <c r="H61" i="73"/>
  <c r="H60" i="73"/>
  <c r="H59" i="73"/>
  <c r="H58" i="73"/>
  <c r="H57" i="73"/>
  <c r="H56" i="73"/>
  <c r="H55" i="73"/>
  <c r="H54" i="73"/>
  <c r="H53" i="73"/>
  <c r="H52" i="73"/>
  <c r="H51" i="73"/>
  <c r="H50" i="73"/>
  <c r="H49" i="73"/>
  <c r="H48" i="73"/>
  <c r="H47" i="73"/>
  <c r="H46" i="73"/>
  <c r="H45" i="73"/>
  <c r="H44" i="73"/>
  <c r="H43" i="73"/>
  <c r="H42" i="73"/>
  <c r="H41" i="73"/>
  <c r="H40" i="73"/>
  <c r="H39" i="73"/>
  <c r="H38" i="73"/>
  <c r="H37" i="73"/>
  <c r="H36" i="73"/>
  <c r="H35" i="73"/>
  <c r="H34" i="73"/>
  <c r="H33" i="73"/>
  <c r="H32" i="73"/>
  <c r="H31" i="73"/>
  <c r="H30" i="73"/>
  <c r="H29" i="73"/>
  <c r="H28" i="73"/>
  <c r="H27" i="73"/>
  <c r="H26" i="73"/>
  <c r="H25" i="73"/>
  <c r="H24" i="73"/>
  <c r="H23" i="73"/>
  <c r="H22" i="73"/>
  <c r="H21" i="73"/>
  <c r="H20" i="73"/>
  <c r="H19" i="73"/>
  <c r="H18" i="73"/>
  <c r="H17" i="73"/>
  <c r="H16" i="73"/>
  <c r="H15" i="73"/>
  <c r="H14" i="73"/>
  <c r="H13" i="73"/>
  <c r="H12" i="73"/>
  <c r="H11" i="73"/>
  <c r="H10" i="73"/>
  <c r="H9" i="73"/>
  <c r="H8" i="73"/>
  <c r="H7" i="73"/>
  <c r="H6" i="73"/>
  <c r="H5" i="73"/>
  <c r="H4" i="73"/>
  <c r="H3" i="73"/>
  <c r="H2" i="73"/>
  <c r="D102" i="73"/>
  <c r="A102" i="73"/>
  <c r="D101" i="73"/>
  <c r="A101" i="73"/>
  <c r="D100" i="73"/>
  <c r="A100" i="73"/>
  <c r="D99" i="73"/>
  <c r="A99" i="73"/>
  <c r="D98" i="73"/>
  <c r="A98" i="73"/>
  <c r="D97" i="73"/>
  <c r="A97" i="73"/>
  <c r="D96" i="73"/>
  <c r="A96" i="73"/>
  <c r="D95" i="73"/>
  <c r="A95" i="73"/>
  <c r="D94" i="73"/>
  <c r="A94" i="73"/>
  <c r="D93" i="73"/>
  <c r="A93" i="73"/>
  <c r="D92" i="73"/>
  <c r="A92" i="73"/>
  <c r="D91" i="73"/>
  <c r="A91" i="73"/>
  <c r="D90" i="73"/>
  <c r="A90" i="73"/>
  <c r="D89" i="73"/>
  <c r="A89" i="73"/>
  <c r="D88" i="73"/>
  <c r="A88" i="73"/>
  <c r="D87" i="73"/>
  <c r="A87" i="73"/>
  <c r="D86" i="73"/>
  <c r="A86" i="73"/>
  <c r="D85" i="73"/>
  <c r="A85" i="73"/>
  <c r="D84" i="73"/>
  <c r="A84" i="73"/>
  <c r="D83" i="73"/>
  <c r="A83" i="73"/>
  <c r="D82" i="73"/>
  <c r="A82" i="73"/>
  <c r="D81" i="73"/>
  <c r="A81" i="73"/>
  <c r="D80" i="73"/>
  <c r="A80" i="73"/>
  <c r="D79" i="73"/>
  <c r="A79" i="73"/>
  <c r="D78" i="73"/>
  <c r="A78" i="73"/>
  <c r="D77" i="73"/>
  <c r="A77" i="73"/>
  <c r="D76" i="73"/>
  <c r="A76" i="73"/>
  <c r="D75" i="73"/>
  <c r="A75" i="73"/>
  <c r="D74" i="73"/>
  <c r="A74" i="73"/>
  <c r="D73" i="73"/>
  <c r="A73" i="73"/>
  <c r="D72" i="73"/>
  <c r="A72" i="73"/>
  <c r="D71" i="73"/>
  <c r="A71" i="73"/>
  <c r="D70" i="73"/>
  <c r="A70" i="73"/>
  <c r="D69" i="73"/>
  <c r="A69" i="73"/>
  <c r="D68" i="73"/>
  <c r="A68" i="73"/>
  <c r="D67" i="73"/>
  <c r="A67" i="73"/>
  <c r="D66" i="73"/>
  <c r="A66" i="73"/>
  <c r="D65" i="73"/>
  <c r="A65" i="73"/>
  <c r="D64" i="73"/>
  <c r="A64" i="73"/>
  <c r="D63" i="73"/>
  <c r="A63" i="73"/>
  <c r="D62" i="73"/>
  <c r="A62" i="73"/>
  <c r="D61" i="73"/>
  <c r="A61" i="73"/>
  <c r="D60" i="73"/>
  <c r="A60" i="73"/>
  <c r="D59" i="73"/>
  <c r="A59" i="73"/>
  <c r="D58" i="73"/>
  <c r="A58" i="73"/>
  <c r="D57" i="73"/>
  <c r="A57" i="73"/>
  <c r="D56" i="73"/>
  <c r="A56" i="73"/>
  <c r="D55" i="73"/>
  <c r="A55" i="73"/>
  <c r="D54" i="73"/>
  <c r="A54" i="73"/>
  <c r="D53" i="73"/>
  <c r="A53" i="73"/>
  <c r="D52" i="73"/>
  <c r="A52" i="73"/>
  <c r="D51" i="73"/>
  <c r="A51" i="73"/>
  <c r="D50" i="73"/>
  <c r="A50" i="73"/>
  <c r="D49" i="73"/>
  <c r="A49" i="73"/>
  <c r="D48" i="73"/>
  <c r="A48" i="73"/>
  <c r="D47" i="73"/>
  <c r="A47" i="73"/>
  <c r="D46" i="73"/>
  <c r="A46" i="73"/>
  <c r="D45" i="73"/>
  <c r="A45" i="73"/>
  <c r="D44" i="73"/>
  <c r="A44" i="73"/>
  <c r="D43" i="73"/>
  <c r="A43" i="73"/>
  <c r="D42" i="73"/>
  <c r="A42" i="73"/>
  <c r="D41" i="73"/>
  <c r="A41" i="73"/>
  <c r="D40" i="73"/>
  <c r="A40" i="73"/>
  <c r="D39" i="73"/>
  <c r="A39" i="73"/>
  <c r="D38" i="73"/>
  <c r="A38" i="73"/>
  <c r="D37" i="73"/>
  <c r="A37" i="73"/>
  <c r="D36" i="73"/>
  <c r="A36" i="73"/>
  <c r="D35" i="73"/>
  <c r="A35" i="73"/>
  <c r="D34" i="73"/>
  <c r="A34" i="73"/>
  <c r="D33" i="73"/>
  <c r="A33" i="73"/>
  <c r="D32" i="73"/>
  <c r="D31" i="73"/>
  <c r="D30" i="73"/>
  <c r="D29" i="73"/>
  <c r="D28" i="73"/>
  <c r="D27" i="73"/>
  <c r="D26" i="73"/>
  <c r="D25" i="73"/>
  <c r="D24" i="73"/>
  <c r="D23" i="73"/>
  <c r="D22" i="73"/>
  <c r="D21" i="73"/>
  <c r="D20" i="73"/>
  <c r="D19" i="73"/>
  <c r="D18" i="73"/>
  <c r="D17" i="73"/>
  <c r="D16" i="73"/>
  <c r="D15" i="73"/>
  <c r="D14" i="73"/>
  <c r="D13" i="73"/>
  <c r="D12" i="73"/>
  <c r="D11" i="73"/>
  <c r="D10" i="73"/>
  <c r="D9" i="73"/>
  <c r="D8" i="73"/>
  <c r="D7" i="73"/>
  <c r="D6" i="73"/>
  <c r="D5" i="73"/>
  <c r="D4" i="73"/>
  <c r="D3" i="73"/>
  <c r="A3" i="73"/>
  <c r="A4" i="73" s="1"/>
  <c r="A5" i="73" s="1"/>
  <c r="A6" i="73" s="1"/>
  <c r="A7" i="73" s="1"/>
  <c r="A8" i="73" s="1"/>
  <c r="A9" i="73" s="1"/>
  <c r="A10" i="73" s="1"/>
  <c r="A11" i="73" s="1"/>
  <c r="A12" i="73" s="1"/>
  <c r="A13" i="73" s="1"/>
  <c r="A14" i="73" s="1"/>
  <c r="A15" i="73" s="1"/>
  <c r="A16" i="73" s="1"/>
  <c r="A17" i="73" s="1"/>
  <c r="A18" i="73" s="1"/>
  <c r="A19" i="73" s="1"/>
  <c r="A20" i="73" s="1"/>
  <c r="A21" i="73" s="1"/>
  <c r="A22" i="73" s="1"/>
  <c r="A23" i="73" s="1"/>
  <c r="A24" i="73" s="1"/>
  <c r="A25" i="73" s="1"/>
  <c r="A26" i="73" s="1"/>
  <c r="A27" i="73" s="1"/>
  <c r="A28" i="73" s="1"/>
  <c r="A29" i="73" s="1"/>
  <c r="A30" i="73" s="1"/>
  <c r="A31" i="73" s="1"/>
  <c r="A32" i="73" s="1"/>
  <c r="D2" i="73"/>
  <c r="A2" i="73"/>
  <c r="S54" i="1"/>
  <c r="S52" i="1"/>
  <c r="S50" i="1"/>
  <c r="S48" i="1"/>
  <c r="S46" i="1"/>
  <c r="S44" i="1"/>
  <c r="O1" i="27" l="1"/>
  <c r="V528" i="19" l="1"/>
  <c r="V527" i="19"/>
  <c r="V526" i="19"/>
  <c r="V525" i="19"/>
  <c r="V524" i="19"/>
  <c r="V523" i="19"/>
  <c r="V522" i="19"/>
  <c r="V521" i="19"/>
  <c r="V520" i="19"/>
  <c r="V519" i="19"/>
  <c r="V518" i="19"/>
  <c r="V517" i="19"/>
  <c r="V516" i="19"/>
  <c r="V515" i="19"/>
  <c r="V514" i="19"/>
  <c r="V513" i="19"/>
  <c r="V512" i="19"/>
  <c r="V511" i="19"/>
  <c r="V510" i="19"/>
  <c r="V509" i="19"/>
  <c r="V508" i="19"/>
  <c r="V507" i="19"/>
  <c r="V506" i="19"/>
  <c r="V505" i="19"/>
  <c r="V504" i="19"/>
  <c r="V503" i="19"/>
  <c r="V502" i="19"/>
  <c r="V501" i="19"/>
  <c r="V500" i="19"/>
  <c r="V499" i="19"/>
  <c r="V498" i="19"/>
  <c r="V497" i="19"/>
  <c r="V496" i="19"/>
  <c r="V495" i="19"/>
  <c r="V494" i="19"/>
  <c r="V493" i="19"/>
  <c r="V492" i="19"/>
  <c r="V491" i="19"/>
  <c r="V490" i="19"/>
  <c r="V489" i="19"/>
  <c r="V488" i="19"/>
  <c r="V487" i="19"/>
  <c r="V486" i="19"/>
  <c r="V485" i="19"/>
  <c r="V484" i="19"/>
  <c r="V483" i="19"/>
  <c r="V482" i="19"/>
  <c r="V481" i="19"/>
  <c r="V480" i="19"/>
  <c r="V479" i="19"/>
  <c r="V478" i="19"/>
  <c r="V477" i="19"/>
  <c r="V476" i="19"/>
  <c r="V475" i="19"/>
  <c r="V474" i="19"/>
  <c r="V473" i="19"/>
  <c r="V472" i="19"/>
  <c r="V471" i="19"/>
  <c r="V470" i="19"/>
  <c r="V469" i="19"/>
  <c r="V468" i="19"/>
  <c r="V467" i="19"/>
  <c r="V466" i="19"/>
  <c r="V465" i="19"/>
  <c r="V464" i="19"/>
  <c r="V463" i="19"/>
  <c r="V462" i="19"/>
  <c r="V461" i="19"/>
  <c r="V460" i="19"/>
  <c r="V459" i="19"/>
  <c r="V458" i="19"/>
  <c r="V457" i="19"/>
  <c r="V456" i="19"/>
  <c r="V455" i="19"/>
  <c r="V454" i="19"/>
  <c r="V453" i="19"/>
  <c r="V452" i="19"/>
  <c r="V451" i="19"/>
  <c r="V450" i="19"/>
  <c r="V449" i="19"/>
  <c r="V448" i="19"/>
  <c r="V447" i="19"/>
  <c r="V446" i="19"/>
  <c r="V445" i="19"/>
  <c r="V444" i="19"/>
  <c r="V443" i="19"/>
  <c r="V442" i="19"/>
  <c r="V441" i="19"/>
  <c r="V440" i="19"/>
  <c r="V439" i="19"/>
  <c r="V438" i="19"/>
  <c r="V437" i="19"/>
  <c r="V436" i="19"/>
  <c r="V435" i="19"/>
  <c r="V434" i="19"/>
  <c r="V433" i="19"/>
  <c r="V432" i="19"/>
  <c r="V431" i="19"/>
  <c r="V430" i="19"/>
  <c r="V429" i="19"/>
  <c r="V428" i="19"/>
  <c r="V427" i="19"/>
  <c r="V426" i="19"/>
  <c r="V425" i="19"/>
  <c r="V424" i="19"/>
  <c r="V423" i="19"/>
  <c r="V422" i="19"/>
  <c r="V421" i="19"/>
  <c r="V420" i="19"/>
  <c r="V419" i="19"/>
  <c r="V418" i="19"/>
  <c r="V417" i="19"/>
  <c r="V416" i="19"/>
  <c r="V415" i="19"/>
  <c r="V414" i="19"/>
  <c r="V413" i="19"/>
  <c r="V412" i="19"/>
  <c r="V411" i="19"/>
  <c r="V410" i="19"/>
  <c r="V409" i="19"/>
  <c r="V408" i="19"/>
  <c r="V407" i="19"/>
  <c r="V406" i="19"/>
  <c r="V405" i="19"/>
  <c r="V404" i="19"/>
  <c r="V403" i="19"/>
  <c r="V402" i="19"/>
  <c r="V401" i="19"/>
  <c r="V400" i="19"/>
  <c r="V399" i="19"/>
  <c r="V398" i="19"/>
  <c r="V397" i="19"/>
  <c r="V396" i="19"/>
  <c r="V395" i="19"/>
  <c r="V394" i="19"/>
  <c r="V393" i="19"/>
  <c r="V392" i="19"/>
  <c r="V391" i="19"/>
  <c r="V390" i="19"/>
  <c r="V389" i="19"/>
  <c r="V388" i="19"/>
  <c r="V387" i="19"/>
  <c r="V386" i="19"/>
  <c r="V385" i="19"/>
  <c r="V384" i="19"/>
  <c r="V383" i="19"/>
  <c r="V382" i="19"/>
  <c r="V381" i="19"/>
  <c r="V380" i="19"/>
  <c r="V379" i="19"/>
  <c r="V378" i="19"/>
  <c r="V377" i="19"/>
  <c r="V376" i="19"/>
  <c r="V375" i="19"/>
  <c r="V374" i="19"/>
  <c r="V373" i="19"/>
  <c r="V372" i="19"/>
  <c r="V371" i="19"/>
  <c r="V370" i="19"/>
  <c r="V369" i="19"/>
  <c r="V368" i="19"/>
  <c r="V367" i="19"/>
  <c r="V366" i="19"/>
  <c r="V365" i="19"/>
  <c r="V364" i="19"/>
  <c r="V363" i="19"/>
  <c r="V362" i="19"/>
  <c r="V361" i="19"/>
  <c r="V360" i="19"/>
  <c r="V359" i="19"/>
  <c r="V358" i="19"/>
  <c r="V357" i="19"/>
  <c r="V356" i="19"/>
  <c r="V355" i="19"/>
  <c r="V354" i="19"/>
  <c r="V353" i="19"/>
  <c r="V352" i="19"/>
  <c r="V351" i="19"/>
  <c r="V350" i="19"/>
  <c r="V349" i="19"/>
  <c r="V348" i="19"/>
  <c r="V347" i="19"/>
  <c r="V346" i="19"/>
  <c r="V345" i="19"/>
  <c r="V344" i="19"/>
  <c r="V343" i="19"/>
  <c r="V342" i="19"/>
  <c r="V341" i="19"/>
  <c r="V340" i="19"/>
  <c r="V339" i="19"/>
  <c r="V338" i="19"/>
  <c r="V337" i="19"/>
  <c r="V336" i="19"/>
  <c r="V335" i="19"/>
  <c r="V334" i="19"/>
  <c r="V333" i="19"/>
  <c r="V332" i="19"/>
  <c r="V331" i="19"/>
  <c r="V330" i="19"/>
  <c r="V329" i="19"/>
  <c r="V328" i="19"/>
  <c r="V327" i="19"/>
  <c r="V326" i="19"/>
  <c r="V325" i="19"/>
  <c r="V324" i="19"/>
  <c r="V323" i="19"/>
  <c r="V322" i="19"/>
  <c r="V321" i="19"/>
  <c r="V320" i="19"/>
  <c r="V319" i="19"/>
  <c r="V318" i="19"/>
  <c r="V317" i="19"/>
  <c r="V316" i="19"/>
  <c r="V315" i="19"/>
  <c r="V314" i="19"/>
  <c r="V313" i="19"/>
  <c r="V312" i="19"/>
  <c r="V311" i="19"/>
  <c r="V310" i="19"/>
  <c r="V309" i="19"/>
  <c r="V308" i="19"/>
  <c r="V307" i="19"/>
  <c r="V306" i="19"/>
  <c r="V305" i="19"/>
  <c r="V304" i="19"/>
  <c r="V303" i="19"/>
  <c r="V302" i="19"/>
  <c r="V301" i="19"/>
  <c r="V300" i="19"/>
  <c r="V299" i="19"/>
  <c r="V298" i="19"/>
  <c r="V297" i="19"/>
  <c r="V296" i="19"/>
  <c r="V295" i="19"/>
  <c r="V294" i="19"/>
  <c r="V293" i="19"/>
  <c r="V292" i="19"/>
  <c r="V291" i="19"/>
  <c r="V290" i="19"/>
  <c r="V289" i="19"/>
  <c r="V288" i="19"/>
  <c r="V287" i="19"/>
  <c r="V286" i="19"/>
  <c r="V285" i="19"/>
  <c r="V284" i="19"/>
  <c r="V283" i="19"/>
  <c r="V282" i="19"/>
  <c r="V281" i="19"/>
  <c r="V280" i="19"/>
  <c r="V279" i="19"/>
  <c r="V278" i="19"/>
  <c r="V277" i="19"/>
  <c r="V276" i="19"/>
  <c r="V275" i="19"/>
  <c r="V274" i="19"/>
  <c r="V273" i="19"/>
  <c r="V272" i="19"/>
  <c r="V271" i="19"/>
  <c r="V270" i="19"/>
  <c r="V269" i="19"/>
  <c r="V268" i="19"/>
  <c r="V267" i="19"/>
  <c r="V266" i="19"/>
  <c r="V265" i="19"/>
  <c r="V264" i="19"/>
  <c r="V263" i="19"/>
  <c r="V262" i="19"/>
  <c r="V261" i="19"/>
  <c r="V260" i="19"/>
  <c r="V259" i="19"/>
  <c r="V258" i="19"/>
  <c r="V257" i="19"/>
  <c r="V256" i="19"/>
  <c r="V255" i="19"/>
  <c r="V254" i="19"/>
  <c r="V253" i="19"/>
  <c r="V252" i="19"/>
  <c r="V251" i="19"/>
  <c r="V250" i="19"/>
  <c r="V249" i="19"/>
  <c r="V248" i="19"/>
  <c r="V247" i="19"/>
  <c r="V246" i="19"/>
  <c r="V245" i="19"/>
  <c r="V244" i="19"/>
  <c r="V243" i="19"/>
  <c r="V242" i="19"/>
  <c r="V241" i="19"/>
  <c r="V240" i="19"/>
  <c r="V239" i="19"/>
  <c r="V238" i="19"/>
  <c r="V237" i="19"/>
  <c r="V236" i="19"/>
  <c r="V235" i="19"/>
  <c r="V234" i="19"/>
  <c r="V233" i="19"/>
  <c r="V232" i="19"/>
  <c r="V231" i="19"/>
  <c r="V230" i="19"/>
  <c r="V229" i="19"/>
  <c r="V228" i="19"/>
  <c r="V227" i="19"/>
  <c r="V226" i="19"/>
  <c r="V225" i="19"/>
  <c r="V224" i="19"/>
  <c r="V223" i="19"/>
  <c r="V222" i="19"/>
  <c r="V221" i="19"/>
  <c r="V220" i="19"/>
  <c r="V219" i="19"/>
  <c r="V218" i="19"/>
  <c r="V217" i="19"/>
  <c r="V216" i="19"/>
  <c r="V215" i="19"/>
  <c r="V214" i="19"/>
  <c r="V213" i="19"/>
  <c r="V212" i="19"/>
  <c r="V211" i="19"/>
  <c r="V210" i="19"/>
  <c r="V209" i="19"/>
  <c r="V208" i="19"/>
  <c r="V207" i="19"/>
  <c r="V206" i="19"/>
  <c r="V205" i="19"/>
  <c r="V204" i="19"/>
  <c r="V203" i="19"/>
  <c r="V202" i="19"/>
  <c r="V201" i="19"/>
  <c r="V200" i="19"/>
  <c r="V199" i="19"/>
  <c r="V198" i="19"/>
  <c r="V197" i="19"/>
  <c r="V196" i="19"/>
  <c r="V195" i="19"/>
  <c r="V194" i="19"/>
  <c r="V193" i="19"/>
  <c r="V192" i="19"/>
  <c r="V191" i="19"/>
  <c r="V190" i="19"/>
  <c r="V189" i="19"/>
  <c r="V188" i="19"/>
  <c r="V187" i="19"/>
  <c r="V186" i="19"/>
  <c r="V185" i="19"/>
  <c r="V184" i="19"/>
  <c r="V183" i="19"/>
  <c r="V182" i="19"/>
  <c r="V181" i="19"/>
  <c r="V180" i="19"/>
  <c r="V179" i="19"/>
  <c r="V178" i="19"/>
  <c r="V177" i="19"/>
  <c r="V176" i="19"/>
  <c r="V175" i="19"/>
  <c r="V174" i="19"/>
  <c r="V173" i="19"/>
  <c r="V172" i="19"/>
  <c r="V171" i="19"/>
  <c r="V170" i="19"/>
  <c r="V169" i="19"/>
  <c r="V168" i="19"/>
  <c r="V167" i="19"/>
  <c r="V166" i="19"/>
  <c r="V165" i="19"/>
  <c r="V164" i="19"/>
  <c r="V163" i="19"/>
  <c r="V162" i="19"/>
  <c r="V161" i="19"/>
  <c r="V160" i="19"/>
  <c r="V159" i="19"/>
  <c r="V158" i="19"/>
  <c r="V157" i="19"/>
  <c r="V156" i="19"/>
  <c r="V155" i="19"/>
  <c r="V154" i="19"/>
  <c r="V153" i="19"/>
  <c r="V152" i="19"/>
  <c r="V151" i="19"/>
  <c r="V150" i="19"/>
  <c r="V149" i="19"/>
  <c r="V148" i="19"/>
  <c r="V147" i="19"/>
  <c r="V146" i="19"/>
  <c r="V145" i="19"/>
  <c r="V144" i="19"/>
  <c r="V143" i="19"/>
  <c r="V142" i="19"/>
  <c r="V141" i="19"/>
  <c r="V140" i="19"/>
  <c r="V139" i="19"/>
  <c r="V138" i="19"/>
  <c r="V137" i="19"/>
  <c r="V136" i="19"/>
  <c r="V135" i="19"/>
  <c r="V134" i="19"/>
  <c r="V133" i="19"/>
  <c r="V132" i="19"/>
  <c r="V131" i="19"/>
  <c r="V130" i="19"/>
  <c r="V129" i="19"/>
  <c r="V128" i="19"/>
  <c r="V127" i="19"/>
  <c r="V126" i="19"/>
  <c r="V125" i="19"/>
  <c r="V124" i="19"/>
  <c r="V123" i="19"/>
  <c r="V122" i="19"/>
  <c r="V121" i="19"/>
  <c r="V120" i="19"/>
  <c r="V119" i="19"/>
  <c r="V118" i="19"/>
  <c r="V117" i="19"/>
  <c r="V116" i="19"/>
  <c r="V115" i="19"/>
  <c r="V114" i="19"/>
  <c r="V113" i="19"/>
  <c r="V112" i="19"/>
  <c r="V111" i="19"/>
  <c r="V110" i="19"/>
  <c r="V109" i="19"/>
  <c r="V108" i="19"/>
  <c r="V107" i="19"/>
  <c r="V106" i="19"/>
  <c r="V105" i="19"/>
  <c r="V104" i="19"/>
  <c r="V103" i="19"/>
  <c r="V102" i="19"/>
  <c r="V101" i="19"/>
  <c r="V100" i="19"/>
  <c r="V99" i="19"/>
  <c r="V98" i="19"/>
  <c r="V97" i="19"/>
  <c r="V96" i="19"/>
  <c r="V95" i="19"/>
  <c r="V94" i="19"/>
  <c r="V93" i="19"/>
  <c r="V92" i="19"/>
  <c r="V91" i="19"/>
  <c r="V90" i="19"/>
  <c r="V89" i="19"/>
  <c r="V88" i="19"/>
  <c r="V87" i="19"/>
  <c r="V86" i="19"/>
  <c r="V85" i="19"/>
  <c r="V84" i="19"/>
  <c r="V83" i="19"/>
  <c r="V82" i="19"/>
  <c r="V81" i="19"/>
  <c r="V80" i="19"/>
  <c r="V79" i="19"/>
  <c r="V78" i="19"/>
  <c r="V77" i="19"/>
  <c r="V76" i="19"/>
  <c r="V75" i="19"/>
  <c r="V74" i="19"/>
  <c r="V73" i="19"/>
  <c r="V72" i="19"/>
  <c r="V71" i="19"/>
  <c r="V70" i="19"/>
  <c r="V69" i="19"/>
  <c r="V68" i="19"/>
  <c r="V67" i="19"/>
  <c r="V66" i="19"/>
  <c r="V65" i="19"/>
  <c r="V64" i="19"/>
  <c r="V63" i="19"/>
  <c r="V62" i="19"/>
  <c r="V61" i="19"/>
  <c r="V60" i="19"/>
  <c r="V59" i="19"/>
  <c r="V58" i="19"/>
  <c r="V57" i="19"/>
  <c r="V56" i="19"/>
  <c r="V55" i="19"/>
  <c r="V54" i="19"/>
  <c r="V53" i="19"/>
  <c r="V52" i="19"/>
  <c r="V51" i="19"/>
  <c r="V50" i="19"/>
  <c r="V49" i="19"/>
  <c r="V48" i="19"/>
  <c r="V47" i="19"/>
  <c r="V46" i="19"/>
  <c r="V45" i="19"/>
  <c r="V44" i="19"/>
  <c r="V43" i="19"/>
  <c r="V42" i="19"/>
  <c r="V41" i="19"/>
  <c r="V40" i="19"/>
  <c r="V39" i="19"/>
  <c r="V38" i="19"/>
  <c r="V37" i="19"/>
  <c r="V36" i="19"/>
  <c r="V35" i="19"/>
  <c r="V34" i="19"/>
  <c r="V33" i="19"/>
  <c r="V32" i="19"/>
  <c r="V31" i="19"/>
  <c r="V30" i="19"/>
  <c r="V29" i="19"/>
  <c r="V28" i="19"/>
  <c r="V27" i="19"/>
  <c r="V26" i="19"/>
  <c r="V25" i="19"/>
  <c r="V24" i="19"/>
  <c r="V23" i="19"/>
  <c r="V22" i="19"/>
  <c r="V21" i="19"/>
  <c r="V20" i="19"/>
  <c r="V19" i="19"/>
  <c r="V18" i="19"/>
  <c r="V17" i="19"/>
  <c r="V16" i="19"/>
  <c r="V15" i="19"/>
  <c r="V14" i="19"/>
  <c r="V13" i="19"/>
  <c r="V12" i="19"/>
  <c r="V11" i="19"/>
  <c r="V10" i="19"/>
  <c r="V9" i="19"/>
  <c r="V8" i="19"/>
  <c r="V7" i="19"/>
  <c r="V6" i="19"/>
  <c r="V5" i="19"/>
  <c r="V4" i="19"/>
  <c r="V3" i="19"/>
  <c r="V2" i="19"/>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T101" i="4"/>
  <c r="AT100" i="4"/>
  <c r="AT99" i="4"/>
  <c r="AT98" i="4"/>
  <c r="AT97" i="4"/>
  <c r="AT96" i="4"/>
  <c r="AT95" i="4"/>
  <c r="AT94" i="4"/>
  <c r="AT93" i="4"/>
  <c r="AT92" i="4"/>
  <c r="AT91" i="4"/>
  <c r="AT90" i="4"/>
  <c r="AT89" i="4"/>
  <c r="AT88" i="4"/>
  <c r="AT87" i="4"/>
  <c r="AT86" i="4"/>
  <c r="AT85" i="4"/>
  <c r="AT84" i="4"/>
  <c r="AT83" i="4"/>
  <c r="AT82" i="4"/>
  <c r="AT81" i="4"/>
  <c r="AT80" i="4"/>
  <c r="AT79" i="4"/>
  <c r="AT78" i="4"/>
  <c r="AT77" i="4"/>
  <c r="AT76" i="4"/>
  <c r="AT75" i="4"/>
  <c r="AT74" i="4"/>
  <c r="AT73" i="4"/>
  <c r="AT72" i="4"/>
  <c r="AT71" i="4"/>
  <c r="AT70" i="4"/>
  <c r="AT69" i="4"/>
  <c r="AT68" i="4"/>
  <c r="AT67" i="4"/>
  <c r="AT66" i="4"/>
  <c r="AT65" i="4"/>
  <c r="AJ101" i="4"/>
  <c r="AJ100" i="4"/>
  <c r="AJ99" i="4"/>
  <c r="AJ98" i="4"/>
  <c r="AJ97" i="4"/>
  <c r="AJ96" i="4"/>
  <c r="AJ95" i="4"/>
  <c r="AJ94" i="4"/>
  <c r="AJ93" i="4"/>
  <c r="AJ92" i="4"/>
  <c r="AJ91" i="4"/>
  <c r="AJ90" i="4"/>
  <c r="AJ89" i="4"/>
  <c r="AJ88" i="4"/>
  <c r="AJ87" i="4"/>
  <c r="AJ86" i="4"/>
  <c r="AJ85" i="4"/>
  <c r="AJ84" i="4"/>
  <c r="AJ83" i="4"/>
  <c r="AJ82" i="4"/>
  <c r="AJ81" i="4"/>
  <c r="AJ80" i="4"/>
  <c r="AJ79" i="4"/>
  <c r="AJ78" i="4"/>
  <c r="AJ77" i="4"/>
  <c r="AJ76" i="4"/>
  <c r="AJ75" i="4"/>
  <c r="AJ74" i="4"/>
  <c r="AJ73" i="4"/>
  <c r="AJ72" i="4"/>
  <c r="AJ71" i="4"/>
  <c r="AJ70" i="4"/>
  <c r="AJ69" i="4"/>
  <c r="AJ68" i="4"/>
  <c r="AJ67" i="4"/>
  <c r="AJ66" i="4"/>
  <c r="AJ65" i="4"/>
  <c r="AJ64" i="4"/>
  <c r="AJ63" i="4"/>
  <c r="AT64" i="4" l="1"/>
  <c r="J64" i="4"/>
  <c r="CF29" i="6" l="1"/>
  <c r="CF28" i="6"/>
  <c r="CF27" i="6"/>
  <c r="CF26" i="6"/>
  <c r="CF25" i="6"/>
  <c r="CF24" i="6"/>
  <c r="CF23" i="6"/>
  <c r="CF22" i="6"/>
  <c r="BU29" i="6"/>
  <c r="BU28" i="6"/>
  <c r="BU27" i="6"/>
  <c r="BU26" i="6"/>
  <c r="BU25" i="6"/>
  <c r="BU24" i="6"/>
  <c r="BU23" i="6"/>
  <c r="BU22" i="6"/>
  <c r="BJ29" i="6"/>
  <c r="BJ28" i="6"/>
  <c r="BJ27" i="6"/>
  <c r="BJ26" i="6"/>
  <c r="BJ25" i="6"/>
  <c r="BJ24" i="6"/>
  <c r="BJ23" i="6"/>
  <c r="AY29" i="6"/>
  <c r="AY28" i="6"/>
  <c r="AY27" i="6"/>
  <c r="AY26" i="6"/>
  <c r="AY25" i="6"/>
  <c r="AY24" i="6"/>
  <c r="AY23" i="6"/>
  <c r="AN29" i="6"/>
  <c r="AN28" i="6"/>
  <c r="AN27" i="6"/>
  <c r="AN26" i="6"/>
  <c r="AN25" i="6"/>
  <c r="AN24" i="6"/>
  <c r="AN23" i="6"/>
  <c r="S29" i="6"/>
  <c r="S28" i="6"/>
  <c r="S27" i="6"/>
  <c r="S26" i="6"/>
  <c r="S25" i="6"/>
  <c r="S24" i="6"/>
  <c r="S23" i="6"/>
  <c r="S22" i="6"/>
  <c r="S21" i="6"/>
  <c r="J29" i="6"/>
  <c r="J28" i="6"/>
  <c r="J27" i="6"/>
  <c r="E29" i="6"/>
  <c r="E28" i="6"/>
  <c r="E27" i="6"/>
  <c r="E26" i="6"/>
  <c r="BJ22" i="6" l="1"/>
  <c r="J26" i="6"/>
  <c r="J25" i="6"/>
  <c r="J24" i="6"/>
  <c r="J23" i="6"/>
  <c r="J22" i="6"/>
  <c r="K304" i="1" l="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AJ204" i="71"/>
  <c r="AK204" i="71" s="1"/>
  <c r="AJ203" i="71"/>
  <c r="AK203" i="71" s="1"/>
  <c r="AJ202" i="71"/>
  <c r="AK202" i="71" s="1"/>
  <c r="AJ201" i="71"/>
  <c r="AK201" i="71" s="1"/>
  <c r="AJ200" i="71"/>
  <c r="AK200" i="71" s="1"/>
  <c r="AJ199" i="71"/>
  <c r="AK199" i="71" s="1"/>
  <c r="AJ198" i="71"/>
  <c r="AK198" i="71" s="1"/>
  <c r="AJ197" i="71"/>
  <c r="AK197" i="71" s="1"/>
  <c r="AJ196" i="71"/>
  <c r="AK196" i="71" s="1"/>
  <c r="AJ195" i="71"/>
  <c r="AK195" i="71" s="1"/>
  <c r="AJ194" i="71"/>
  <c r="AK194" i="71" s="1"/>
  <c r="AJ193" i="71"/>
  <c r="AK193" i="71" s="1"/>
  <c r="AJ192" i="71"/>
  <c r="AK192" i="71" s="1"/>
  <c r="AJ191" i="71"/>
  <c r="AK191" i="71" s="1"/>
  <c r="AJ190" i="71"/>
  <c r="AK190" i="71" s="1"/>
  <c r="AJ189" i="71"/>
  <c r="AK189" i="71" s="1"/>
  <c r="AJ188" i="71"/>
  <c r="AK188" i="71" s="1"/>
  <c r="AJ187" i="71"/>
  <c r="AK187" i="71" s="1"/>
  <c r="AJ186" i="71"/>
  <c r="AK186" i="71" s="1"/>
  <c r="AJ185" i="71"/>
  <c r="AK185" i="71" s="1"/>
  <c r="AJ184" i="71"/>
  <c r="AK184" i="71" s="1"/>
  <c r="B184" i="71"/>
  <c r="AJ183" i="71"/>
  <c r="AK183" i="71" s="1"/>
  <c r="B183" i="71"/>
  <c r="AJ182" i="71"/>
  <c r="AK182" i="71" s="1"/>
  <c r="B182" i="71"/>
  <c r="AJ181" i="71"/>
  <c r="AK181" i="71" s="1"/>
  <c r="B181" i="71"/>
  <c r="AJ180" i="71"/>
  <c r="AK180" i="71" s="1"/>
  <c r="AJ179" i="71"/>
  <c r="AK179" i="71" s="1"/>
  <c r="C179" i="71"/>
  <c r="AJ178" i="71"/>
  <c r="AK178" i="71" s="1"/>
  <c r="C178" i="71"/>
  <c r="E178" i="71" s="1"/>
  <c r="AJ177" i="71"/>
  <c r="AK177" i="71" s="1"/>
  <c r="C177" i="71"/>
  <c r="AJ176" i="71"/>
  <c r="AK176" i="71" s="1"/>
  <c r="C176" i="71"/>
  <c r="E176" i="71" s="1"/>
  <c r="AJ175" i="71"/>
  <c r="AK175" i="71" s="1"/>
  <c r="C175" i="71"/>
  <c r="AJ174" i="71"/>
  <c r="AK174" i="71" s="1"/>
  <c r="C174" i="71"/>
  <c r="E174" i="71" s="1"/>
  <c r="AJ173" i="71"/>
  <c r="AK173" i="71" s="1"/>
  <c r="C173" i="71"/>
  <c r="AJ172" i="71"/>
  <c r="AK172" i="71" s="1"/>
  <c r="C172" i="71"/>
  <c r="E172" i="71" s="1"/>
  <c r="AJ171" i="71"/>
  <c r="AK171" i="71" s="1"/>
  <c r="C171" i="71"/>
  <c r="AJ170" i="71"/>
  <c r="AK170" i="71" s="1"/>
  <c r="C170" i="71"/>
  <c r="E170" i="71" s="1"/>
  <c r="AJ169" i="71"/>
  <c r="AK169" i="71" s="1"/>
  <c r="C169" i="71"/>
  <c r="AJ168" i="71"/>
  <c r="AK168" i="71" s="1"/>
  <c r="C168" i="71"/>
  <c r="E168" i="71" s="1"/>
  <c r="AJ167" i="71"/>
  <c r="AK167" i="71" s="1"/>
  <c r="C167" i="71"/>
  <c r="AJ166" i="71"/>
  <c r="AK166" i="71" s="1"/>
  <c r="C166" i="71"/>
  <c r="E166" i="71" s="1"/>
  <c r="AJ165" i="71"/>
  <c r="AK165" i="71" s="1"/>
  <c r="C165" i="71"/>
  <c r="AJ164" i="71"/>
  <c r="AK164" i="71" s="1"/>
  <c r="C164" i="71"/>
  <c r="E164" i="71" s="1"/>
  <c r="AJ163" i="71"/>
  <c r="AK163" i="71" s="1"/>
  <c r="C163" i="71"/>
  <c r="AJ162" i="71"/>
  <c r="AK162" i="71" s="1"/>
  <c r="C162" i="71"/>
  <c r="E162" i="71" s="1"/>
  <c r="AJ161" i="71"/>
  <c r="AK161" i="71" s="1"/>
  <c r="K161" i="71"/>
  <c r="K162" i="71" s="1"/>
  <c r="K163" i="71" s="1"/>
  <c r="K164" i="71" s="1"/>
  <c r="K165" i="71" s="1"/>
  <c r="K166" i="71" s="1"/>
  <c r="K167" i="71" s="1"/>
  <c r="K168" i="71" s="1"/>
  <c r="K169" i="71" s="1"/>
  <c r="K170" i="71" s="1"/>
  <c r="K171" i="71" s="1"/>
  <c r="K172" i="71" s="1"/>
  <c r="K173" i="71" s="1"/>
  <c r="K174" i="71" s="1"/>
  <c r="K175" i="71" s="1"/>
  <c r="K176" i="71" s="1"/>
  <c r="K177" i="71" s="1"/>
  <c r="K178" i="71" s="1"/>
  <c r="K179" i="71" s="1"/>
  <c r="K180" i="71" s="1"/>
  <c r="K181" i="71" s="1"/>
  <c r="K182" i="71" s="1"/>
  <c r="K183" i="71" s="1"/>
  <c r="K184" i="71" s="1"/>
  <c r="K185" i="71" s="1"/>
  <c r="K186" i="71" s="1"/>
  <c r="K187" i="71" s="1"/>
  <c r="K188" i="71" s="1"/>
  <c r="K189" i="71" s="1"/>
  <c r="K190" i="71" s="1"/>
  <c r="K191" i="71" s="1"/>
  <c r="K192" i="71" s="1"/>
  <c r="K193" i="71" s="1"/>
  <c r="K194" i="71" s="1"/>
  <c r="K195" i="71" s="1"/>
  <c r="K196" i="71" s="1"/>
  <c r="K197" i="71" s="1"/>
  <c r="K198" i="71" s="1"/>
  <c r="K199" i="71" s="1"/>
  <c r="K200" i="71" s="1"/>
  <c r="K201" i="71" s="1"/>
  <c r="K202" i="71" s="1"/>
  <c r="K203" i="71" s="1"/>
  <c r="K204" i="71" s="1"/>
  <c r="K205" i="71" s="1"/>
  <c r="K206" i="71" s="1"/>
  <c r="K207" i="71" s="1"/>
  <c r="K208" i="71" s="1"/>
  <c r="K209" i="71" s="1"/>
  <c r="K210" i="71" s="1"/>
  <c r="K211" i="71" s="1"/>
  <c r="K212" i="71" s="1"/>
  <c r="K213" i="71" s="1"/>
  <c r="K214" i="71" s="1"/>
  <c r="K215" i="71" s="1"/>
  <c r="K216" i="71" s="1"/>
  <c r="K217" i="71" s="1"/>
  <c r="K218" i="71" s="1"/>
  <c r="K219" i="71" s="1"/>
  <c r="K220" i="71" s="1"/>
  <c r="K221" i="71" s="1"/>
  <c r="K222" i="71" s="1"/>
  <c r="K223" i="71" s="1"/>
  <c r="K224" i="71" s="1"/>
  <c r="K225" i="71" s="1"/>
  <c r="K226" i="71" s="1"/>
  <c r="K227" i="71" s="1"/>
  <c r="K228" i="71" s="1"/>
  <c r="K229" i="71" s="1"/>
  <c r="K230" i="71" s="1"/>
  <c r="K231" i="71" s="1"/>
  <c r="K232" i="71" s="1"/>
  <c r="K233" i="71" s="1"/>
  <c r="K234" i="71" s="1"/>
  <c r="K235" i="71" s="1"/>
  <c r="K236" i="71" s="1"/>
  <c r="K237" i="71" s="1"/>
  <c r="K238" i="71" s="1"/>
  <c r="K239" i="71" s="1"/>
  <c r="C161" i="71"/>
  <c r="AJ160" i="71"/>
  <c r="AK160" i="71" s="1"/>
  <c r="C111" i="71"/>
  <c r="O111" i="71" s="1"/>
  <c r="P111" i="71" s="1"/>
  <c r="C110" i="71"/>
  <c r="O110" i="71" s="1"/>
  <c r="P110" i="71" s="1"/>
  <c r="C108" i="71"/>
  <c r="O108" i="71" s="1"/>
  <c r="P108" i="71" s="1"/>
  <c r="C107" i="71"/>
  <c r="O107" i="71" s="1"/>
  <c r="P107" i="71" s="1"/>
  <c r="AC49" i="71"/>
  <c r="C15" i="71"/>
  <c r="AF13" i="71"/>
  <c r="I13" i="71"/>
  <c r="H13" i="71"/>
  <c r="Z10" i="71"/>
  <c r="D108" i="71" l="1"/>
  <c r="E108" i="71" s="1"/>
  <c r="F108" i="71" s="1"/>
  <c r="D111" i="71"/>
  <c r="E111" i="71" s="1"/>
  <c r="F111" i="71" s="1"/>
  <c r="H107" i="71"/>
  <c r="H110" i="71"/>
  <c r="D107" i="71"/>
  <c r="E107" i="71" s="1"/>
  <c r="F107" i="71" s="1"/>
  <c r="H108" i="71"/>
  <c r="D110" i="71"/>
  <c r="E110" i="71" s="1"/>
  <c r="F110" i="71" s="1"/>
  <c r="H111" i="71"/>
  <c r="H15" i="71"/>
  <c r="G15" i="71"/>
  <c r="L167" i="71"/>
  <c r="L166" i="71"/>
  <c r="L165" i="71"/>
  <c r="L164" i="71"/>
  <c r="E161" i="71"/>
  <c r="L182" i="71"/>
  <c r="L180" i="71"/>
  <c r="L181" i="71"/>
  <c r="E165" i="71"/>
  <c r="L198" i="71"/>
  <c r="L196" i="71"/>
  <c r="L199" i="71"/>
  <c r="L197" i="71"/>
  <c r="E169" i="71"/>
  <c r="L214" i="71"/>
  <c r="L212" i="71"/>
  <c r="L215" i="71"/>
  <c r="L213" i="71"/>
  <c r="E173" i="71"/>
  <c r="L231" i="71"/>
  <c r="L229" i="71"/>
  <c r="L228" i="71"/>
  <c r="L230" i="71"/>
  <c r="E177" i="71"/>
  <c r="L183" i="71"/>
  <c r="L175" i="71"/>
  <c r="L174" i="71"/>
  <c r="L173" i="71"/>
  <c r="L172" i="71"/>
  <c r="E163" i="71"/>
  <c r="L190" i="71"/>
  <c r="L188" i="71"/>
  <c r="L191" i="71"/>
  <c r="L189" i="71"/>
  <c r="E167" i="71"/>
  <c r="L206" i="71"/>
  <c r="L204" i="71"/>
  <c r="L207" i="71"/>
  <c r="L205" i="71"/>
  <c r="E171" i="71"/>
  <c r="L222" i="71"/>
  <c r="L220" i="71"/>
  <c r="L221" i="71"/>
  <c r="L223" i="71"/>
  <c r="E175" i="71"/>
  <c r="L239" i="71"/>
  <c r="L237" i="71"/>
  <c r="L238" i="71"/>
  <c r="L236" i="71"/>
  <c r="E179" i="71"/>
  <c r="G107" i="71"/>
  <c r="G108" i="71"/>
  <c r="G110" i="71"/>
  <c r="G111" i="71"/>
  <c r="L171" i="71"/>
  <c r="L170" i="71"/>
  <c r="L169" i="71"/>
  <c r="L168" i="71"/>
  <c r="L179" i="71"/>
  <c r="L178" i="71"/>
  <c r="L177" i="71"/>
  <c r="L176" i="71"/>
  <c r="L187" i="71"/>
  <c r="L185" i="71"/>
  <c r="L184" i="71"/>
  <c r="L194" i="71"/>
  <c r="L192" i="71"/>
  <c r="L195" i="71"/>
  <c r="L193" i="71"/>
  <c r="L202" i="71"/>
  <c r="L200" i="71"/>
  <c r="L203" i="71"/>
  <c r="L201" i="71"/>
  <c r="L210" i="71"/>
  <c r="L208" i="71"/>
  <c r="L211" i="71"/>
  <c r="L209" i="71"/>
  <c r="L218" i="71"/>
  <c r="L216" i="71"/>
  <c r="L217" i="71"/>
  <c r="L219" i="71"/>
  <c r="L227" i="71"/>
  <c r="L226" i="71"/>
  <c r="L224" i="71"/>
  <c r="L225" i="71"/>
  <c r="L186" i="71"/>
  <c r="L235" i="71"/>
  <c r="L233" i="71"/>
  <c r="L234" i="71"/>
  <c r="L232" i="71"/>
  <c r="CJ21" i="70"/>
  <c r="CJ22" i="70"/>
  <c r="CJ23" i="70"/>
  <c r="CJ24" i="70"/>
  <c r="CJ25" i="70"/>
  <c r="CJ26" i="70"/>
  <c r="CJ27" i="70"/>
  <c r="CJ28" i="70"/>
  <c r="CJ29" i="70"/>
  <c r="CJ30" i="70"/>
  <c r="CJ31" i="70"/>
  <c r="CJ32" i="70"/>
  <c r="CJ33" i="70"/>
  <c r="CJ34" i="70"/>
  <c r="CJ35" i="70"/>
  <c r="CJ20" i="70"/>
  <c r="CJ19" i="70"/>
  <c r="CJ18" i="70"/>
  <c r="CJ17" i="70"/>
  <c r="CJ16" i="70"/>
  <c r="CJ15" i="70"/>
  <c r="CJ14" i="70"/>
  <c r="CJ13" i="70"/>
  <c r="CJ12" i="70"/>
  <c r="CJ11" i="70"/>
  <c r="CJ10" i="70"/>
  <c r="CJ9" i="70"/>
  <c r="CJ8" i="70"/>
  <c r="CJ7" i="70"/>
  <c r="CJ6" i="70"/>
  <c r="CC36" i="70"/>
  <c r="BU36" i="70"/>
  <c r="BL36" i="70"/>
  <c r="BC36" i="70"/>
  <c r="AT36" i="70"/>
  <c r="AK36" i="70"/>
  <c r="AB36" i="70"/>
  <c r="S36" i="70"/>
  <c r="Z35" i="70"/>
  <c r="Z34" i="70"/>
  <c r="Z33" i="70"/>
  <c r="Z32" i="70"/>
  <c r="Z31" i="70"/>
  <c r="Z30" i="70"/>
  <c r="Z29" i="70"/>
  <c r="Z28" i="70"/>
  <c r="Z27" i="70"/>
  <c r="Z26" i="70"/>
  <c r="Z25" i="70"/>
  <c r="Z24" i="70"/>
  <c r="Z23" i="70"/>
  <c r="Z22" i="70"/>
  <c r="Z21" i="70"/>
  <c r="Z20" i="70"/>
  <c r="Z19" i="70"/>
  <c r="Z18" i="70"/>
  <c r="Z17" i="70"/>
  <c r="Z16" i="70"/>
  <c r="Z15" i="70"/>
  <c r="Z14" i="70"/>
  <c r="Z13" i="70"/>
  <c r="Z12" i="70"/>
  <c r="Z11" i="70"/>
  <c r="Z10" i="70"/>
  <c r="Z9" i="70"/>
  <c r="Z8" i="70"/>
  <c r="Z7" i="70"/>
  <c r="Z6" i="70"/>
  <c r="Y423" i="23" l="1"/>
  <c r="Z423" i="23" s="1"/>
  <c r="T423" i="23"/>
  <c r="O423" i="23"/>
  <c r="P423" i="23" s="1"/>
  <c r="J423" i="23"/>
  <c r="K423" i="23" s="1"/>
  <c r="M458" i="23" s="1"/>
  <c r="AA423" i="23"/>
  <c r="V423" i="23"/>
  <c r="Q423" i="23"/>
  <c r="L423" i="23"/>
  <c r="G423" i="23"/>
  <c r="E423" i="23"/>
  <c r="F423" i="23" s="1"/>
  <c r="H459" i="23" l="1"/>
  <c r="H461" i="23"/>
  <c r="H453" i="23"/>
  <c r="H445" i="23"/>
  <c r="H440" i="23"/>
  <c r="H435" i="23"/>
  <c r="H429" i="23"/>
  <c r="H424" i="23"/>
  <c r="H460" i="23"/>
  <c r="H452" i="23"/>
  <c r="H444" i="23"/>
  <c r="H439" i="23"/>
  <c r="H433" i="23"/>
  <c r="H428" i="23"/>
  <c r="H457" i="23"/>
  <c r="H449" i="23"/>
  <c r="H443" i="23"/>
  <c r="H437" i="23"/>
  <c r="H432" i="23"/>
  <c r="H427" i="23"/>
  <c r="H456" i="23"/>
  <c r="H448" i="23"/>
  <c r="H441" i="23"/>
  <c r="H436" i="23"/>
  <c r="H431" i="23"/>
  <c r="H425" i="23"/>
  <c r="U423" i="23"/>
  <c r="W462" i="23" s="1"/>
  <c r="AB462" i="23"/>
  <c r="H426" i="23"/>
  <c r="H430" i="23"/>
  <c r="H434" i="23"/>
  <c r="H438" i="23"/>
  <c r="H442" i="23"/>
  <c r="H446" i="23"/>
  <c r="H450" i="23"/>
  <c r="H454" i="23"/>
  <c r="H458" i="23"/>
  <c r="H462" i="23"/>
  <c r="H447" i="23"/>
  <c r="H451" i="23"/>
  <c r="H455" i="23"/>
  <c r="R448" i="23"/>
  <c r="R436" i="23"/>
  <c r="R452" i="23"/>
  <c r="R424" i="23"/>
  <c r="R440" i="23"/>
  <c r="R456" i="23"/>
  <c r="R428" i="23"/>
  <c r="R444" i="23"/>
  <c r="R460" i="23"/>
  <c r="R461" i="23"/>
  <c r="R432" i="23"/>
  <c r="AB427" i="23"/>
  <c r="AB431" i="23"/>
  <c r="AB435" i="23"/>
  <c r="AB439" i="23"/>
  <c r="AB443" i="23"/>
  <c r="AB447" i="23"/>
  <c r="AB451" i="23"/>
  <c r="AB455" i="23"/>
  <c r="AB459" i="23"/>
  <c r="AB424" i="23"/>
  <c r="AB428" i="23"/>
  <c r="AB432" i="23"/>
  <c r="AB436" i="23"/>
  <c r="AB440" i="23"/>
  <c r="AB444" i="23"/>
  <c r="AB448" i="23"/>
  <c r="AB452" i="23"/>
  <c r="AB456" i="23"/>
  <c r="AB460" i="23"/>
  <c r="AB425" i="23"/>
  <c r="AB429" i="23"/>
  <c r="AB433" i="23"/>
  <c r="AB437" i="23"/>
  <c r="AB441" i="23"/>
  <c r="AB445" i="23"/>
  <c r="AB449" i="23"/>
  <c r="AB453" i="23"/>
  <c r="AB457" i="23"/>
  <c r="AB461" i="23"/>
  <c r="AB426" i="23"/>
  <c r="AB430" i="23"/>
  <c r="AB434" i="23"/>
  <c r="AB438" i="23"/>
  <c r="AB442" i="23"/>
  <c r="AB446" i="23"/>
  <c r="AB450" i="23"/>
  <c r="AB454" i="23"/>
  <c r="AB458" i="23"/>
  <c r="W426" i="23"/>
  <c r="W444" i="23"/>
  <c r="W424" i="23"/>
  <c r="R426" i="23"/>
  <c r="R430" i="23"/>
  <c r="R434" i="23"/>
  <c r="R438" i="23"/>
  <c r="R442" i="23"/>
  <c r="R446" i="23"/>
  <c r="R450" i="23"/>
  <c r="R454" i="23"/>
  <c r="R458" i="23"/>
  <c r="R462" i="23"/>
  <c r="R427" i="23"/>
  <c r="R431" i="23"/>
  <c r="R435" i="23"/>
  <c r="R439" i="23"/>
  <c r="R443" i="23"/>
  <c r="R447" i="23"/>
  <c r="R451" i="23"/>
  <c r="R455" i="23"/>
  <c r="R459" i="23"/>
  <c r="R425" i="23"/>
  <c r="R429" i="23"/>
  <c r="R433" i="23"/>
  <c r="R437" i="23"/>
  <c r="R441" i="23"/>
  <c r="R445" i="23"/>
  <c r="R449" i="23"/>
  <c r="R453" i="23"/>
  <c r="R457" i="23"/>
  <c r="M426" i="23"/>
  <c r="M430" i="23"/>
  <c r="M434" i="23"/>
  <c r="M438" i="23"/>
  <c r="M442" i="23"/>
  <c r="M446" i="23"/>
  <c r="M450" i="23"/>
  <c r="M454" i="23"/>
  <c r="M462" i="23"/>
  <c r="M427" i="23"/>
  <c r="M431" i="23"/>
  <c r="M435" i="23"/>
  <c r="M439" i="23"/>
  <c r="M443" i="23"/>
  <c r="M447" i="23"/>
  <c r="M451" i="23"/>
  <c r="M455" i="23"/>
  <c r="M459" i="23"/>
  <c r="M429" i="23"/>
  <c r="M433" i="23"/>
  <c r="M441" i="23"/>
  <c r="M445" i="23"/>
  <c r="M449" i="23"/>
  <c r="M453" i="23"/>
  <c r="M457" i="23"/>
  <c r="M461" i="23"/>
  <c r="M424" i="23"/>
  <c r="M428" i="23"/>
  <c r="M432" i="23"/>
  <c r="M436" i="23"/>
  <c r="M440" i="23"/>
  <c r="M444" i="23"/>
  <c r="M448" i="23"/>
  <c r="M452" i="23"/>
  <c r="M456" i="23"/>
  <c r="M460" i="23"/>
  <c r="M425" i="23"/>
  <c r="M437" i="23"/>
  <c r="W457" i="23" l="1"/>
  <c r="W441" i="23"/>
  <c r="W451" i="23"/>
  <c r="W455" i="23"/>
  <c r="W460" i="23"/>
  <c r="W435" i="23"/>
  <c r="W437" i="23"/>
  <c r="W436" i="23"/>
  <c r="W431" i="23"/>
  <c r="W450" i="23"/>
  <c r="W442" i="23"/>
  <c r="W453" i="23"/>
  <c r="W433" i="23"/>
  <c r="W452" i="23"/>
  <c r="W432" i="23"/>
  <c r="W447" i="23"/>
  <c r="W458" i="23"/>
  <c r="W449" i="23"/>
  <c r="W425" i="23"/>
  <c r="W448" i="23"/>
  <c r="W428" i="23"/>
  <c r="W439" i="23"/>
  <c r="W454" i="23"/>
  <c r="W434" i="23"/>
  <c r="W438" i="23"/>
  <c r="W461" i="23"/>
  <c r="W445" i="23"/>
  <c r="W429" i="23"/>
  <c r="W456" i="23"/>
  <c r="W440" i="23"/>
  <c r="W459" i="23"/>
  <c r="W443" i="23"/>
  <c r="W427" i="23"/>
  <c r="W446" i="23"/>
  <c r="W430" i="23"/>
  <c r="F4" i="42" l="1"/>
  <c r="AG220" i="1"/>
  <c r="AG219" i="1"/>
  <c r="AG218" i="1"/>
  <c r="CF21" i="6"/>
  <c r="BU21" i="6"/>
  <c r="BU20" i="6"/>
  <c r="BJ21" i="6"/>
  <c r="BJ20" i="6"/>
  <c r="AY21" i="6"/>
  <c r="AY20" i="6"/>
  <c r="J21" i="6"/>
  <c r="J20" i="6"/>
  <c r="L407" i="40" l="1"/>
  <c r="L406" i="40"/>
  <c r="L404" i="40"/>
  <c r="L403" i="40"/>
  <c r="L402" i="40"/>
  <c r="L401" i="40"/>
  <c r="L400" i="40"/>
  <c r="L397" i="40"/>
  <c r="L391" i="40"/>
  <c r="L390" i="40"/>
  <c r="L388" i="40"/>
  <c r="L382" i="40"/>
  <c r="L378" i="40"/>
  <c r="L374" i="40"/>
  <c r="L368" i="40"/>
  <c r="L367" i="40"/>
  <c r="L365" i="40"/>
  <c r="L361" i="40"/>
  <c r="L359" i="40"/>
  <c r="L356" i="40"/>
  <c r="L355" i="40"/>
  <c r="L354" i="40"/>
  <c r="L353" i="40"/>
  <c r="L351" i="40"/>
  <c r="L350" i="40"/>
  <c r="L349" i="40"/>
  <c r="L348" i="40"/>
  <c r="L345" i="40"/>
  <c r="L344" i="40"/>
  <c r="L342" i="40"/>
  <c r="L341" i="40"/>
  <c r="L340" i="40"/>
  <c r="L338" i="40"/>
  <c r="L337" i="40"/>
  <c r="L336" i="40"/>
  <c r="L332" i="40"/>
  <c r="L330" i="40"/>
  <c r="L329" i="40"/>
  <c r="L327" i="40"/>
  <c r="L325" i="40"/>
  <c r="L324" i="40"/>
  <c r="L322" i="40"/>
  <c r="L321" i="40"/>
  <c r="L320" i="40"/>
  <c r="L318" i="40"/>
  <c r="L317" i="40"/>
  <c r="L316" i="40"/>
  <c r="L315" i="40"/>
  <c r="L313" i="40"/>
  <c r="L312" i="40"/>
  <c r="L311" i="40"/>
  <c r="L310" i="40"/>
  <c r="L309" i="40"/>
  <c r="L306" i="40"/>
  <c r="L305" i="40"/>
  <c r="L304" i="40"/>
  <c r="L303" i="40"/>
  <c r="L302" i="40"/>
  <c r="L299" i="40"/>
  <c r="L298" i="40"/>
  <c r="L296" i="40"/>
  <c r="L295" i="40"/>
  <c r="L294" i="40"/>
  <c r="L293" i="40"/>
  <c r="L291" i="40"/>
  <c r="L289" i="40"/>
  <c r="L287" i="40"/>
  <c r="L285" i="40"/>
  <c r="L284" i="40"/>
  <c r="L283" i="40"/>
  <c r="L282" i="40"/>
  <c r="L281" i="40"/>
  <c r="L279" i="40"/>
  <c r="L278" i="40"/>
  <c r="L274" i="40"/>
  <c r="L273" i="40"/>
  <c r="L270" i="40"/>
  <c r="L268" i="40"/>
  <c r="L267" i="40"/>
  <c r="L259" i="40"/>
  <c r="L258" i="40"/>
  <c r="L255" i="40"/>
  <c r="L254" i="40"/>
  <c r="L250" i="40"/>
  <c r="L249" i="40"/>
  <c r="L248" i="40"/>
  <c r="L246" i="40"/>
  <c r="L245" i="40"/>
  <c r="L244" i="40"/>
  <c r="L243" i="40"/>
  <c r="L242" i="40"/>
  <c r="L241" i="40"/>
  <c r="L240" i="40"/>
  <c r="L239" i="40"/>
  <c r="L238" i="40"/>
  <c r="L237" i="40"/>
  <c r="L231" i="40"/>
  <c r="L228" i="40"/>
  <c r="L226" i="40"/>
  <c r="L223" i="40"/>
  <c r="L219" i="40"/>
  <c r="L217" i="40"/>
  <c r="L215" i="40"/>
  <c r="L214" i="40"/>
  <c r="L212" i="40"/>
  <c r="L211" i="40"/>
  <c r="L210" i="40"/>
  <c r="L209" i="40"/>
  <c r="L208" i="40"/>
  <c r="L207" i="40"/>
  <c r="L206" i="40"/>
  <c r="L205" i="40"/>
  <c r="L204" i="40"/>
  <c r="L202" i="40"/>
  <c r="L201" i="40"/>
  <c r="L200" i="40"/>
  <c r="L198" i="40"/>
  <c r="L197" i="40"/>
  <c r="L196" i="40"/>
  <c r="L193" i="40"/>
  <c r="L192" i="40"/>
  <c r="L191" i="40"/>
  <c r="L190" i="40"/>
  <c r="L189" i="40"/>
  <c r="L187" i="40"/>
  <c r="L186" i="40"/>
  <c r="L185" i="40"/>
  <c r="L184" i="40"/>
  <c r="L183" i="40"/>
  <c r="L182" i="40"/>
  <c r="L181" i="40"/>
  <c r="L180" i="40"/>
  <c r="L179" i="40"/>
  <c r="L176" i="40"/>
  <c r="L174" i="40"/>
  <c r="L173" i="40"/>
  <c r="L171" i="40"/>
  <c r="L168" i="40"/>
  <c r="L166" i="40"/>
  <c r="L164" i="40"/>
  <c r="L162" i="40"/>
  <c r="L161" i="40"/>
  <c r="L160" i="40"/>
  <c r="L159" i="40"/>
  <c r="L158" i="40"/>
  <c r="L157" i="40"/>
  <c r="L155" i="40"/>
  <c r="L154" i="40"/>
  <c r="L153" i="40"/>
  <c r="L152" i="40"/>
  <c r="L151" i="40"/>
  <c r="L150" i="40"/>
  <c r="L149" i="40"/>
  <c r="L147" i="40"/>
  <c r="L146" i="40"/>
  <c r="L145" i="40"/>
  <c r="L144" i="40"/>
  <c r="L143" i="40"/>
  <c r="L142" i="40"/>
  <c r="L140" i="40"/>
  <c r="L136" i="40"/>
  <c r="L135" i="40"/>
  <c r="L134" i="40"/>
  <c r="L133" i="40"/>
  <c r="L132" i="40"/>
  <c r="L131" i="40"/>
  <c r="L130" i="40"/>
  <c r="L129" i="40"/>
  <c r="L124" i="40"/>
  <c r="L122" i="40"/>
  <c r="L120" i="40"/>
  <c r="L119" i="40"/>
  <c r="L118" i="40"/>
  <c r="L116" i="40"/>
  <c r="L115" i="40"/>
  <c r="L113" i="40"/>
  <c r="L112" i="40"/>
  <c r="L106" i="40"/>
  <c r="L105" i="40"/>
  <c r="L103" i="40"/>
  <c r="L102" i="40"/>
  <c r="L99" i="40"/>
  <c r="L98" i="40"/>
  <c r="L93" i="40"/>
  <c r="L90" i="40"/>
  <c r="L89" i="40"/>
  <c r="L88" i="40"/>
  <c r="L84" i="40"/>
  <c r="L83" i="40"/>
  <c r="L82" i="40"/>
  <c r="L79" i="40"/>
  <c r="L78" i="40"/>
  <c r="L77" i="40"/>
  <c r="L76" i="40"/>
  <c r="L75" i="40"/>
  <c r="L72" i="40"/>
  <c r="L71" i="40"/>
  <c r="L69" i="40"/>
  <c r="L68" i="40"/>
  <c r="L66" i="40"/>
  <c r="L65" i="40"/>
  <c r="L64" i="40"/>
  <c r="L63" i="40"/>
  <c r="L62" i="40"/>
  <c r="L61" i="40"/>
  <c r="L60" i="40"/>
  <c r="L59" i="40"/>
  <c r="L58" i="40"/>
  <c r="L56" i="40"/>
  <c r="L54" i="40"/>
  <c r="L53" i="40"/>
  <c r="L52" i="40"/>
  <c r="L50" i="40"/>
  <c r="L49" i="40"/>
  <c r="L46" i="40"/>
  <c r="L36" i="40"/>
  <c r="L33" i="40"/>
  <c r="L29" i="40"/>
  <c r="L28" i="40"/>
  <c r="L26" i="40"/>
  <c r="L25" i="40"/>
  <c r="L21" i="40"/>
  <c r="L20" i="40"/>
  <c r="L18" i="40"/>
  <c r="L17" i="40"/>
  <c r="L15" i="40"/>
  <c r="L14" i="40"/>
  <c r="L13" i="40"/>
  <c r="L10" i="40"/>
  <c r="L8" i="40"/>
  <c r="L7" i="40"/>
  <c r="L5" i="40"/>
  <c r="L4" i="40"/>
  <c r="C87" i="57" l="1"/>
  <c r="D87" i="57" s="1"/>
  <c r="E87" i="57" s="1"/>
  <c r="C86" i="57"/>
  <c r="D86" i="57" s="1"/>
  <c r="E86" i="57" s="1"/>
  <c r="C85" i="57"/>
  <c r="D85" i="57" s="1"/>
  <c r="E85" i="57" s="1"/>
  <c r="C84" i="57"/>
  <c r="D84" i="57" s="1"/>
  <c r="E84" i="57" s="1"/>
  <c r="C83" i="57"/>
  <c r="D83" i="57" s="1"/>
  <c r="E83" i="57" s="1"/>
  <c r="C82" i="57"/>
  <c r="D82" i="57" s="1"/>
  <c r="E82" i="57" s="1"/>
  <c r="C81" i="57"/>
  <c r="D81" i="57" s="1"/>
  <c r="E81" i="57" s="1"/>
  <c r="C80" i="57"/>
  <c r="D80" i="57" s="1"/>
  <c r="E80" i="57" s="1"/>
  <c r="C79" i="57"/>
  <c r="D79" i="57" s="1"/>
  <c r="E79" i="57" s="1"/>
  <c r="C78" i="57"/>
  <c r="D78" i="57" s="1"/>
  <c r="E78" i="57" s="1"/>
  <c r="C77" i="57"/>
  <c r="D77" i="57" s="1"/>
  <c r="E77" i="57" s="1"/>
  <c r="C76" i="57"/>
  <c r="D76" i="57" s="1"/>
  <c r="E76" i="57" s="1"/>
  <c r="C75" i="57"/>
  <c r="D75" i="57" s="1"/>
  <c r="E75" i="57" s="1"/>
  <c r="C74" i="57"/>
  <c r="D74" i="57" s="1"/>
  <c r="E74" i="57" s="1"/>
  <c r="C73" i="57"/>
  <c r="D73" i="57" s="1"/>
  <c r="E73" i="57" s="1"/>
  <c r="C72" i="57"/>
  <c r="D72" i="57" s="1"/>
  <c r="E72" i="57" s="1"/>
  <c r="C71" i="57"/>
  <c r="D71" i="57" s="1"/>
  <c r="E71" i="57" s="1"/>
  <c r="C70" i="57"/>
  <c r="D70" i="57" s="1"/>
  <c r="E70" i="57" s="1"/>
  <c r="C69" i="57"/>
  <c r="D69" i="57" s="1"/>
  <c r="E69" i="57" s="1"/>
  <c r="C68" i="57"/>
  <c r="D68" i="57" s="1"/>
  <c r="E68" i="57" s="1"/>
  <c r="C67" i="57"/>
  <c r="D67" i="57" s="1"/>
  <c r="E67" i="57" s="1"/>
  <c r="C66" i="57"/>
  <c r="D66" i="57" s="1"/>
  <c r="E66" i="57" s="1"/>
  <c r="C65" i="57"/>
  <c r="D65" i="57" s="1"/>
  <c r="E65" i="57" s="1"/>
  <c r="C64" i="57"/>
  <c r="D64" i="57" s="1"/>
  <c r="E64" i="57" s="1"/>
  <c r="C63" i="57"/>
  <c r="D63" i="57" s="1"/>
  <c r="E63" i="57" s="1"/>
  <c r="C62" i="57"/>
  <c r="D62" i="57" s="1"/>
  <c r="E62" i="57" s="1"/>
  <c r="C61" i="57"/>
  <c r="D61" i="57" s="1"/>
  <c r="E61" i="57" s="1"/>
  <c r="C60" i="57"/>
  <c r="D60" i="57" s="1"/>
  <c r="E60" i="57" s="1"/>
  <c r="C59" i="57"/>
  <c r="D59" i="57" s="1"/>
  <c r="E59" i="57" s="1"/>
  <c r="C58" i="57"/>
  <c r="D58" i="57" s="1"/>
  <c r="E58" i="57" s="1"/>
  <c r="C57" i="57"/>
  <c r="D57" i="57" s="1"/>
  <c r="E57" i="57" s="1"/>
  <c r="C56" i="57"/>
  <c r="D56" i="57" s="1"/>
  <c r="E56" i="57" s="1"/>
  <c r="C55" i="57"/>
  <c r="D55" i="57" s="1"/>
  <c r="E55" i="57" s="1"/>
  <c r="C54" i="57"/>
  <c r="D54" i="57" s="1"/>
  <c r="E54" i="57" s="1"/>
  <c r="C53" i="57"/>
  <c r="D53" i="57" s="1"/>
  <c r="E53" i="57" s="1"/>
  <c r="C52" i="57"/>
  <c r="D52" i="57" s="1"/>
  <c r="E52" i="57" s="1"/>
  <c r="C51" i="57"/>
  <c r="D51" i="57" s="1"/>
  <c r="E51" i="57" s="1"/>
  <c r="C50" i="57"/>
  <c r="D50" i="57" s="1"/>
  <c r="E50" i="57" s="1"/>
  <c r="C49" i="57"/>
  <c r="D49" i="57" s="1"/>
  <c r="E49" i="57" s="1"/>
  <c r="C48" i="57"/>
  <c r="D48" i="57" s="1"/>
  <c r="E48" i="57" s="1"/>
  <c r="F48" i="57" l="1"/>
  <c r="C89" i="57" s="1"/>
  <c r="G48" i="57"/>
  <c r="CA98" i="54"/>
  <c r="CA97" i="54"/>
  <c r="CA96" i="54"/>
  <c r="CA95" i="54"/>
  <c r="CA94" i="54"/>
  <c r="CA93" i="54"/>
  <c r="CA92" i="54"/>
  <c r="CA91" i="54"/>
  <c r="CA90" i="54"/>
  <c r="CA89" i="54"/>
  <c r="CA88" i="54"/>
  <c r="CA87" i="54"/>
  <c r="CA86" i="54"/>
  <c r="CA85" i="54"/>
  <c r="CA84" i="54"/>
  <c r="CA83" i="54"/>
  <c r="CA82" i="54"/>
  <c r="CA81" i="54"/>
  <c r="CA80" i="54"/>
  <c r="CA79" i="54"/>
  <c r="CA78" i="54"/>
  <c r="CA77" i="54"/>
  <c r="CA76" i="54"/>
  <c r="CA75" i="54"/>
  <c r="CA74" i="54"/>
  <c r="CA73" i="54"/>
  <c r="CA72" i="54"/>
  <c r="CA71" i="54"/>
  <c r="CA70" i="54"/>
  <c r="CA69" i="54"/>
  <c r="BR98" i="54"/>
  <c r="BR97" i="54"/>
  <c r="BR96" i="54"/>
  <c r="BR95" i="54"/>
  <c r="BR94" i="54"/>
  <c r="BR93" i="54"/>
  <c r="BR92" i="54"/>
  <c r="BR91" i="54"/>
  <c r="BR90" i="54"/>
  <c r="BR89" i="54"/>
  <c r="BR88" i="54"/>
  <c r="BR87" i="54"/>
  <c r="BR86" i="54"/>
  <c r="BR85" i="54"/>
  <c r="BR84" i="54"/>
  <c r="BR83" i="54"/>
  <c r="BR82" i="54"/>
  <c r="BR81" i="54"/>
  <c r="BR80" i="54"/>
  <c r="BR79" i="54"/>
  <c r="BR78" i="54"/>
  <c r="BR77" i="54"/>
  <c r="BR76" i="54"/>
  <c r="BR75" i="54"/>
  <c r="BR74" i="54"/>
  <c r="BR73" i="54"/>
  <c r="BR72" i="54"/>
  <c r="BR71" i="54"/>
  <c r="BR70" i="54"/>
  <c r="BR69" i="54"/>
  <c r="BI98" i="54"/>
  <c r="BI97" i="54"/>
  <c r="BI96" i="54"/>
  <c r="BI95" i="54"/>
  <c r="BI94" i="54"/>
  <c r="BI93" i="54"/>
  <c r="BI92" i="54"/>
  <c r="BI91" i="54"/>
  <c r="BI90" i="54"/>
  <c r="BI89" i="54"/>
  <c r="BI88" i="54"/>
  <c r="BI87" i="54"/>
  <c r="BI86" i="54"/>
  <c r="BI85" i="54"/>
  <c r="BI84" i="54"/>
  <c r="BI83" i="54"/>
  <c r="BI82" i="54"/>
  <c r="BI81" i="54"/>
  <c r="BI80" i="54"/>
  <c r="BI79" i="54"/>
  <c r="BI78" i="54"/>
  <c r="BI77" i="54"/>
  <c r="BI76" i="54"/>
  <c r="BI75" i="54"/>
  <c r="BI74" i="54"/>
  <c r="BI73" i="54"/>
  <c r="BI72" i="54"/>
  <c r="BI71" i="54"/>
  <c r="BI70" i="54"/>
  <c r="BI69" i="54"/>
  <c r="AZ98" i="54"/>
  <c r="AZ97" i="54"/>
  <c r="AZ96" i="54"/>
  <c r="AZ95" i="54"/>
  <c r="AZ94" i="54"/>
  <c r="AZ93" i="54"/>
  <c r="AZ92" i="54"/>
  <c r="AZ91" i="54"/>
  <c r="AZ90" i="54"/>
  <c r="AZ89" i="54"/>
  <c r="AZ88" i="54"/>
  <c r="AZ87" i="54"/>
  <c r="AZ86" i="54"/>
  <c r="AZ85" i="54"/>
  <c r="AZ84" i="54"/>
  <c r="AZ83" i="54"/>
  <c r="AZ82" i="54"/>
  <c r="AZ81" i="54"/>
  <c r="AZ80" i="54"/>
  <c r="AZ79" i="54"/>
  <c r="AZ78" i="54"/>
  <c r="AZ77" i="54"/>
  <c r="AZ76" i="54"/>
  <c r="AZ75" i="54"/>
  <c r="AZ74" i="54"/>
  <c r="AZ73" i="54"/>
  <c r="AZ72" i="54"/>
  <c r="AZ71" i="54"/>
  <c r="AZ70" i="54"/>
  <c r="AZ69" i="54"/>
  <c r="AQ98" i="54"/>
  <c r="AQ97" i="54"/>
  <c r="AQ96" i="54"/>
  <c r="AQ95" i="54"/>
  <c r="AQ94" i="54"/>
  <c r="AQ93" i="54"/>
  <c r="AQ92" i="54"/>
  <c r="AQ91" i="54"/>
  <c r="AQ90" i="54"/>
  <c r="AQ89" i="54"/>
  <c r="AQ88" i="54"/>
  <c r="AQ87" i="54"/>
  <c r="AQ86" i="54"/>
  <c r="AQ85" i="54"/>
  <c r="AQ84" i="54"/>
  <c r="AQ83" i="54"/>
  <c r="AQ82" i="54"/>
  <c r="AQ81" i="54"/>
  <c r="AQ80" i="54"/>
  <c r="AQ79" i="54"/>
  <c r="AQ78" i="54"/>
  <c r="AQ77" i="54"/>
  <c r="AQ76" i="54"/>
  <c r="AQ75" i="54"/>
  <c r="AQ74" i="54"/>
  <c r="AQ73" i="54"/>
  <c r="AQ72" i="54"/>
  <c r="AQ71" i="54"/>
  <c r="AQ70" i="54"/>
  <c r="AQ69" i="54"/>
  <c r="AH98" i="54"/>
  <c r="AH97" i="54"/>
  <c r="AH96" i="54"/>
  <c r="AH95" i="54"/>
  <c r="AH94" i="54"/>
  <c r="AH93" i="54"/>
  <c r="AH92" i="54"/>
  <c r="AH91" i="54"/>
  <c r="AH90" i="54"/>
  <c r="AH89" i="54"/>
  <c r="AH88" i="54"/>
  <c r="AH87" i="54"/>
  <c r="AH86" i="54"/>
  <c r="AH85" i="54"/>
  <c r="AH84" i="54"/>
  <c r="AH83" i="54"/>
  <c r="AH82" i="54"/>
  <c r="AH81" i="54"/>
  <c r="AH80" i="54"/>
  <c r="AH79" i="54"/>
  <c r="AH78" i="54"/>
  <c r="AH77" i="54"/>
  <c r="AH76" i="54"/>
  <c r="AH75" i="54"/>
  <c r="AH74" i="54"/>
  <c r="AH73" i="54"/>
  <c r="AH72" i="54"/>
  <c r="AH71" i="54"/>
  <c r="AH70" i="54"/>
  <c r="AH69" i="54"/>
  <c r="P98" i="54"/>
  <c r="P97" i="54"/>
  <c r="P96" i="54"/>
  <c r="P95" i="54"/>
  <c r="P94" i="54"/>
  <c r="P93" i="54"/>
  <c r="P92" i="54"/>
  <c r="P91" i="54"/>
  <c r="P90" i="54"/>
  <c r="P89" i="54"/>
  <c r="P88" i="54"/>
  <c r="P87" i="54"/>
  <c r="P86" i="54"/>
  <c r="P85" i="54"/>
  <c r="P84" i="54"/>
  <c r="P83" i="54"/>
  <c r="P82" i="54"/>
  <c r="P81" i="54"/>
  <c r="P80" i="54"/>
  <c r="P79" i="54"/>
  <c r="P78" i="54"/>
  <c r="P77" i="54"/>
  <c r="P76" i="54"/>
  <c r="P75" i="54"/>
  <c r="P74" i="54"/>
  <c r="P73" i="54"/>
  <c r="P72" i="54"/>
  <c r="P71" i="54"/>
  <c r="P70" i="54"/>
  <c r="P69" i="54"/>
  <c r="CG68" i="63"/>
  <c r="E188" i="1" l="1"/>
  <c r="G98" i="54" l="1"/>
  <c r="G97" i="54"/>
  <c r="G96" i="54"/>
  <c r="G95" i="54"/>
  <c r="G94" i="54"/>
  <c r="G93" i="54"/>
  <c r="G92" i="54"/>
  <c r="G91" i="54"/>
  <c r="G90" i="54"/>
  <c r="G89" i="54"/>
  <c r="G88" i="54"/>
  <c r="G87" i="54"/>
  <c r="G86" i="54"/>
  <c r="G85" i="54"/>
  <c r="G84" i="54"/>
  <c r="G83" i="54"/>
  <c r="G82" i="54"/>
  <c r="G81" i="54"/>
  <c r="G80" i="54"/>
  <c r="G79" i="54"/>
  <c r="G78" i="54"/>
  <c r="G77" i="54"/>
  <c r="G76" i="54"/>
  <c r="G75" i="54"/>
  <c r="G74" i="54"/>
  <c r="G73" i="54"/>
  <c r="G72" i="54"/>
  <c r="G71" i="54"/>
  <c r="G70" i="54"/>
  <c r="G69" i="54"/>
  <c r="EF442" i="1" l="1"/>
  <c r="EC447" i="1"/>
  <c r="EC449" i="1"/>
  <c r="F235" i="27"/>
  <c r="G235" i="27" s="1"/>
  <c r="F234" i="27"/>
  <c r="F233" i="27"/>
  <c r="G233" i="27" s="1"/>
  <c r="F232" i="27"/>
  <c r="G232" i="27" s="1"/>
  <c r="F231" i="27"/>
  <c r="G231" i="27" s="1"/>
  <c r="F230" i="27"/>
  <c r="G230" i="27" s="1"/>
  <c r="F229" i="27"/>
  <c r="G229" i="27" s="1"/>
  <c r="F228" i="27"/>
  <c r="F227" i="27"/>
  <c r="G227" i="27" s="1"/>
  <c r="F226" i="27"/>
  <c r="G226" i="27" s="1"/>
  <c r="F225" i="27"/>
  <c r="G225" i="27" s="1"/>
  <c r="F224" i="27"/>
  <c r="G224" i="27" s="1"/>
  <c r="F223" i="27"/>
  <c r="G223" i="27" s="1"/>
  <c r="F222" i="27"/>
  <c r="G222" i="27" s="1"/>
  <c r="F221" i="27"/>
  <c r="F220" i="27"/>
  <c r="G220" i="27" s="1"/>
  <c r="F219" i="27"/>
  <c r="F218" i="27"/>
  <c r="G218" i="27" s="1"/>
  <c r="F217" i="27"/>
  <c r="G217" i="27" s="1"/>
  <c r="F216" i="27"/>
  <c r="G216" i="27" s="1"/>
  <c r="F215" i="27"/>
  <c r="F214" i="27"/>
  <c r="G214" i="27" s="1"/>
  <c r="F213" i="27"/>
  <c r="F212" i="27"/>
  <c r="G212" i="27" s="1"/>
  <c r="F211" i="27"/>
  <c r="G211" i="27" s="1"/>
  <c r="F210" i="27"/>
  <c r="G210" i="27" s="1"/>
  <c r="F209" i="27"/>
  <c r="F208" i="27"/>
  <c r="G208" i="27" s="1"/>
  <c r="F207" i="27"/>
  <c r="G207" i="27" s="1"/>
  <c r="F206" i="27"/>
  <c r="G206" i="27" s="1"/>
  <c r="F205" i="27"/>
  <c r="G205" i="27" s="1"/>
  <c r="F204" i="27"/>
  <c r="G204" i="27" s="1"/>
  <c r="F203" i="27"/>
  <c r="G203" i="27" s="1"/>
  <c r="F202" i="27"/>
  <c r="F201" i="27"/>
  <c r="G201" i="27" s="1"/>
  <c r="F200" i="27"/>
  <c r="G200" i="27" s="1"/>
  <c r="F199" i="27"/>
  <c r="G199" i="27" s="1"/>
  <c r="F198" i="27"/>
  <c r="G198" i="27" s="1"/>
  <c r="F197" i="27"/>
  <c r="G197" i="27" s="1"/>
  <c r="F196" i="27"/>
  <c r="G196" i="27" s="1"/>
  <c r="F195" i="27"/>
  <c r="G195" i="27" s="1"/>
  <c r="F194" i="27"/>
  <c r="G194" i="27" s="1"/>
  <c r="F193" i="27"/>
  <c r="G193" i="27" s="1"/>
  <c r="F192" i="27"/>
  <c r="F191" i="27"/>
  <c r="G191" i="27" s="1"/>
  <c r="F190" i="27"/>
  <c r="G190" i="27" s="1"/>
  <c r="F189" i="27"/>
  <c r="G189" i="27" s="1"/>
  <c r="F188" i="27"/>
  <c r="G188" i="27" s="1"/>
  <c r="F187" i="27"/>
  <c r="G187" i="27" s="1"/>
  <c r="F186" i="27"/>
  <c r="G186" i="27" s="1"/>
  <c r="F185" i="27"/>
  <c r="G185" i="27" s="1"/>
  <c r="F184" i="27"/>
  <c r="G184" i="27" s="1"/>
  <c r="F183" i="27"/>
  <c r="G183" i="27" s="1"/>
  <c r="F182" i="27"/>
  <c r="G182" i="27" s="1"/>
  <c r="F181" i="27"/>
  <c r="F180" i="27"/>
  <c r="G180" i="27" s="1"/>
  <c r="F179" i="27"/>
  <c r="F178" i="27"/>
  <c r="G178" i="27" s="1"/>
  <c r="F177" i="27"/>
  <c r="G177" i="27" s="1"/>
  <c r="F176" i="27"/>
  <c r="G176" i="27" s="1"/>
  <c r="F175" i="27"/>
  <c r="G175" i="27" s="1"/>
  <c r="F174" i="27"/>
  <c r="G174" i="27" s="1"/>
  <c r="F173" i="27"/>
  <c r="G173" i="27" s="1"/>
  <c r="F172" i="27"/>
  <c r="G172" i="27" s="1"/>
  <c r="F171" i="27"/>
  <c r="G171" i="27" s="1"/>
  <c r="F170" i="27"/>
  <c r="G170" i="27" s="1"/>
  <c r="F169" i="27"/>
  <c r="G169" i="27" s="1"/>
  <c r="F168" i="27"/>
  <c r="G168" i="27" s="1"/>
  <c r="F167" i="27"/>
  <c r="G167" i="27" s="1"/>
  <c r="F166" i="27"/>
  <c r="G166" i="27" s="1"/>
  <c r="F165" i="27"/>
  <c r="G165" i="27" s="1"/>
  <c r="F164" i="27"/>
  <c r="G164" i="27" s="1"/>
  <c r="F163" i="27"/>
  <c r="G163" i="27" s="1"/>
  <c r="F162" i="27"/>
  <c r="G162" i="27" s="1"/>
  <c r="F161" i="27"/>
  <c r="G161" i="27" s="1"/>
  <c r="F160" i="27"/>
  <c r="G160" i="27" s="1"/>
  <c r="F159" i="27"/>
  <c r="G159" i="27" s="1"/>
  <c r="F158" i="27"/>
  <c r="G158" i="27" s="1"/>
  <c r="F157" i="27"/>
  <c r="G157" i="27" s="1"/>
  <c r="F156" i="27"/>
  <c r="G156" i="27" s="1"/>
  <c r="F155" i="27"/>
  <c r="G155" i="27" s="1"/>
  <c r="F154" i="27"/>
  <c r="G154" i="27" s="1"/>
  <c r="F153" i="27"/>
  <c r="G153" i="27" s="1"/>
  <c r="F152" i="27"/>
  <c r="G152" i="27" s="1"/>
  <c r="F151" i="27"/>
  <c r="G151" i="27" s="1"/>
  <c r="F150" i="27"/>
  <c r="G150" i="27" s="1"/>
  <c r="F149" i="27"/>
  <c r="G149" i="27" s="1"/>
  <c r="F148" i="27"/>
  <c r="F147" i="27"/>
  <c r="G147" i="27" s="1"/>
  <c r="F146" i="27"/>
  <c r="G146" i="27" s="1"/>
  <c r="F145" i="27"/>
  <c r="G145" i="27" s="1"/>
  <c r="F144" i="27"/>
  <c r="G144" i="27" s="1"/>
  <c r="F143" i="27"/>
  <c r="F142" i="27"/>
  <c r="F141" i="27"/>
  <c r="F140" i="27"/>
  <c r="G140" i="27" s="1"/>
  <c r="F139" i="27"/>
  <c r="G139" i="27" s="1"/>
  <c r="F138" i="27"/>
  <c r="G138" i="27" s="1"/>
  <c r="F137" i="27"/>
  <c r="G137" i="27" s="1"/>
  <c r="F136" i="27"/>
  <c r="G136" i="27" s="1"/>
  <c r="F135" i="27"/>
  <c r="G135" i="27" s="1"/>
  <c r="F134" i="27"/>
  <c r="G134" i="27" s="1"/>
  <c r="F133" i="27"/>
  <c r="G133" i="27" s="1"/>
  <c r="F132" i="27"/>
  <c r="G132" i="27" s="1"/>
  <c r="F131" i="27"/>
  <c r="G131" i="27" s="1"/>
  <c r="F130" i="27"/>
  <c r="G130" i="27" s="1"/>
  <c r="F129" i="27"/>
  <c r="G129" i="27" s="1"/>
  <c r="F128" i="27"/>
  <c r="G128" i="27" s="1"/>
  <c r="F127" i="27"/>
  <c r="G127" i="27" s="1"/>
  <c r="F126" i="27"/>
  <c r="G126" i="27" s="1"/>
  <c r="F125" i="27"/>
  <c r="G125" i="27" s="1"/>
  <c r="F124" i="27"/>
  <c r="F123" i="27"/>
  <c r="G123" i="27" s="1"/>
  <c r="F122" i="27"/>
  <c r="G122" i="27" s="1"/>
  <c r="F121" i="27"/>
  <c r="G121" i="27" s="1"/>
  <c r="F120" i="27"/>
  <c r="G120" i="27" s="1"/>
  <c r="F119" i="27"/>
  <c r="G119" i="27" s="1"/>
  <c r="F118" i="27"/>
  <c r="G118" i="27" s="1"/>
  <c r="F117" i="27"/>
  <c r="F116" i="27"/>
  <c r="G116" i="27" s="1"/>
  <c r="F115" i="27"/>
  <c r="G115" i="27" s="1"/>
  <c r="F114" i="27"/>
  <c r="G114" i="27" s="1"/>
  <c r="F113" i="27"/>
  <c r="G113" i="27" s="1"/>
  <c r="F112" i="27"/>
  <c r="F111" i="27"/>
  <c r="G111" i="27" s="1"/>
  <c r="F110" i="27"/>
  <c r="F109" i="27"/>
  <c r="G109" i="27" s="1"/>
  <c r="F108" i="27"/>
  <c r="G108" i="27" s="1"/>
  <c r="F107" i="27"/>
  <c r="G107" i="27" s="1"/>
  <c r="F106" i="27"/>
  <c r="G106" i="27" s="1"/>
  <c r="F105" i="27"/>
  <c r="G105" i="27" s="1"/>
  <c r="F104" i="27"/>
  <c r="G104" i="27" s="1"/>
  <c r="F103" i="27"/>
  <c r="G103" i="27" s="1"/>
  <c r="F102" i="27"/>
  <c r="G102" i="27" s="1"/>
  <c r="F101" i="27"/>
  <c r="G101" i="27" s="1"/>
  <c r="F100" i="27"/>
  <c r="G100" i="27" s="1"/>
  <c r="F99" i="27"/>
  <c r="G99" i="27" s="1"/>
  <c r="F98" i="27"/>
  <c r="G98" i="27" s="1"/>
  <c r="F97" i="27"/>
  <c r="G97" i="27" s="1"/>
  <c r="F96" i="27"/>
  <c r="G96" i="27" s="1"/>
  <c r="F95" i="27"/>
  <c r="G95" i="27" s="1"/>
  <c r="F94" i="27"/>
  <c r="G94" i="27" s="1"/>
  <c r="F93" i="27"/>
  <c r="G93" i="27" s="1"/>
  <c r="F92" i="27"/>
  <c r="G92" i="27" s="1"/>
  <c r="F91" i="27"/>
  <c r="G91" i="27" s="1"/>
  <c r="F90" i="27"/>
  <c r="G90" i="27" s="1"/>
  <c r="F89" i="27"/>
  <c r="F88" i="27"/>
  <c r="F87" i="27"/>
  <c r="F86" i="27"/>
  <c r="F85" i="27"/>
  <c r="F84" i="27"/>
  <c r="F83" i="27"/>
  <c r="F82" i="27"/>
  <c r="F81" i="27"/>
  <c r="F80" i="27"/>
  <c r="F79" i="27"/>
  <c r="F78" i="27"/>
  <c r="F77" i="27"/>
  <c r="F76" i="27"/>
  <c r="F75" i="27"/>
  <c r="F74" i="27"/>
  <c r="G74" i="27" s="1"/>
  <c r="F73" i="27"/>
  <c r="G73" i="27" s="1"/>
  <c r="F72" i="27"/>
  <c r="G72" i="27" s="1"/>
  <c r="F71" i="27"/>
  <c r="G71" i="27" s="1"/>
  <c r="F70" i="27"/>
  <c r="G70" i="27" s="1"/>
  <c r="F69" i="27"/>
  <c r="G69" i="27" s="1"/>
  <c r="F68" i="27"/>
  <c r="G68" i="27" s="1"/>
  <c r="F67" i="27"/>
  <c r="G67" i="27" s="1"/>
  <c r="F66" i="27"/>
  <c r="G66" i="27" s="1"/>
  <c r="F65" i="27"/>
  <c r="G65" i="27" s="1"/>
  <c r="F64" i="27"/>
  <c r="G64" i="27" s="1"/>
  <c r="F63" i="27"/>
  <c r="G63" i="27" s="1"/>
  <c r="F62" i="27"/>
  <c r="G62" i="27" s="1"/>
  <c r="F61" i="27"/>
  <c r="G61" i="27" s="1"/>
  <c r="F60" i="27"/>
  <c r="G60" i="27" s="1"/>
  <c r="F59" i="27"/>
  <c r="G59" i="27" s="1"/>
  <c r="F58" i="27"/>
  <c r="G58" i="27" s="1"/>
  <c r="F57" i="27"/>
  <c r="G57" i="27" s="1"/>
  <c r="F56" i="27"/>
  <c r="G56" i="27" s="1"/>
  <c r="F55" i="27"/>
  <c r="G55" i="27" s="1"/>
  <c r="F54" i="27"/>
  <c r="G54" i="27" s="1"/>
  <c r="F53" i="27"/>
  <c r="G53" i="27" s="1"/>
  <c r="F52" i="27"/>
  <c r="F51" i="27"/>
  <c r="F50" i="27"/>
  <c r="F49" i="27"/>
  <c r="F48" i="27"/>
  <c r="F47" i="27"/>
  <c r="F46" i="27"/>
  <c r="F45" i="27"/>
  <c r="F44" i="27"/>
  <c r="F43" i="27"/>
  <c r="F42" i="27"/>
  <c r="F41" i="27"/>
  <c r="F40" i="27"/>
  <c r="F39" i="27"/>
  <c r="F38" i="27"/>
  <c r="F37" i="27"/>
  <c r="F36" i="27"/>
  <c r="F35" i="27"/>
  <c r="F34" i="27"/>
  <c r="F33" i="27"/>
  <c r="F32" i="27"/>
  <c r="F31" i="27"/>
  <c r="F30" i="27"/>
  <c r="F29" i="27"/>
  <c r="F28" i="27"/>
  <c r="F27" i="27"/>
  <c r="F26" i="27"/>
  <c r="F25" i="27"/>
  <c r="F24" i="27"/>
  <c r="F23" i="27"/>
  <c r="F22" i="27"/>
  <c r="F21" i="27"/>
  <c r="F20" i="27"/>
  <c r="F19" i="27"/>
  <c r="F18" i="27"/>
  <c r="F17" i="27"/>
  <c r="F16" i="27"/>
  <c r="F15" i="27"/>
  <c r="F14" i="27"/>
  <c r="F13" i="27"/>
  <c r="F12" i="27"/>
  <c r="F11" i="27"/>
  <c r="F10" i="27"/>
  <c r="F9" i="27"/>
  <c r="F8" i="27"/>
  <c r="F7" i="27"/>
  <c r="F6" i="27"/>
  <c r="F5" i="27"/>
  <c r="F4" i="27"/>
  <c r="F3" i="27"/>
  <c r="F2" i="27"/>
  <c r="G2" i="27" s="1"/>
  <c r="G253" i="1"/>
  <c r="G249" i="1"/>
  <c r="G245" i="1"/>
  <c r="X439" i="1"/>
  <c r="FS17" i="23" s="1"/>
  <c r="FS16" i="23"/>
  <c r="B111" i="26"/>
  <c r="B110" i="26"/>
  <c r="B109" i="26"/>
  <c r="B108" i="26"/>
  <c r="B107" i="26"/>
  <c r="B106" i="26"/>
  <c r="B105" i="26"/>
  <c r="G3" i="27" l="1"/>
  <c r="G4" i="27" s="1"/>
  <c r="G6" i="27" l="1"/>
  <c r="G7" i="27" s="1"/>
  <c r="G5" i="27"/>
  <c r="G8" i="27" l="1"/>
  <c r="G9" i="27"/>
  <c r="G10" i="27" s="1"/>
  <c r="G11" i="27" l="1"/>
  <c r="G12" i="27"/>
  <c r="G13" i="27"/>
  <c r="G14" i="27" l="1"/>
  <c r="G15" i="27" l="1"/>
  <c r="G16" i="27" l="1"/>
  <c r="G17" i="27" s="1"/>
  <c r="G18" i="27" s="1"/>
  <c r="G19" i="27" s="1"/>
  <c r="G20" i="27" s="1"/>
  <c r="G21" i="27" s="1"/>
  <c r="G22" i="27" s="1"/>
  <c r="G23" i="27" s="1"/>
  <c r="G24" i="27" s="1"/>
  <c r="G25" i="27" s="1"/>
  <c r="G26" i="27" s="1"/>
  <c r="G27" i="27" s="1"/>
  <c r="G28" i="27" s="1"/>
  <c r="G29" i="27" s="1"/>
  <c r="G30" i="27" s="1"/>
  <c r="G31" i="27" s="1"/>
  <c r="G32" i="27" s="1"/>
  <c r="G33" i="27" s="1"/>
  <c r="G34" i="27" s="1"/>
  <c r="G35" i="27" s="1"/>
  <c r="G36" i="27" s="1"/>
  <c r="G37" i="27" s="1"/>
  <c r="G38" i="27" s="1"/>
  <c r="G39" i="27" s="1"/>
  <c r="G40" i="27"/>
  <c r="G41" i="27" s="1"/>
  <c r="G42" i="27" s="1"/>
  <c r="G43" i="27" s="1"/>
  <c r="G44" i="27" s="1"/>
  <c r="G45" i="27" s="1"/>
  <c r="G46" i="27" s="1"/>
  <c r="G47" i="27" s="1"/>
  <c r="G48" i="27" s="1"/>
  <c r="G49" i="27" s="1"/>
  <c r="G50" i="27" s="1"/>
  <c r="G51" i="27" s="1"/>
  <c r="G52" i="27" s="1"/>
  <c r="G75" i="27" s="1"/>
  <c r="G76" i="27" s="1"/>
  <c r="G77" i="27" s="1"/>
  <c r="G78" i="27" s="1"/>
  <c r="G79" i="27" s="1"/>
  <c r="G80" i="27" s="1"/>
  <c r="G81" i="27" s="1"/>
  <c r="G82" i="27" s="1"/>
  <c r="G83" i="27" s="1"/>
  <c r="G84" i="27" s="1"/>
  <c r="G85" i="27" s="1"/>
  <c r="G86" i="27" s="1"/>
  <c r="G87" i="27" s="1"/>
  <c r="G88" i="27" s="1"/>
  <c r="G89" i="27" s="1"/>
  <c r="G110" i="27" s="1"/>
  <c r="G141" i="27" s="1"/>
  <c r="G142" i="27" s="1"/>
  <c r="G143" i="27" s="1"/>
  <c r="G179" i="27" l="1"/>
  <c r="G181" i="27" s="1"/>
  <c r="G192" i="27" s="1"/>
  <c r="G202" i="27" s="1"/>
  <c r="G209" i="27" s="1"/>
  <c r="G213" i="27" s="1"/>
  <c r="G112" i="27"/>
  <c r="G124" i="27" l="1"/>
  <c r="G117" i="27"/>
  <c r="G148" i="27"/>
  <c r="G219" i="27"/>
  <c r="G221" i="27" s="1"/>
  <c r="G228" i="27" s="1"/>
  <c r="G234" i="27" s="1"/>
  <c r="G215" i="27" l="1"/>
  <c r="J2" i="27" s="1"/>
  <c r="J3" i="27" l="1"/>
  <c r="K2" i="27"/>
  <c r="K3" i="27" l="1"/>
  <c r="J4" i="27"/>
  <c r="K4" i="27" l="1"/>
  <c r="J5" i="27"/>
  <c r="J6" i="27" l="1"/>
  <c r="K5" i="27"/>
  <c r="J7" i="27" l="1"/>
  <c r="K6" i="27"/>
  <c r="J8" i="27" l="1"/>
  <c r="K7" i="27"/>
  <c r="J9" i="27" l="1"/>
  <c r="K8" i="27"/>
  <c r="J10" i="27" l="1"/>
  <c r="K9" i="27"/>
  <c r="J11" i="27" l="1"/>
  <c r="K10" i="27"/>
  <c r="J12" i="27" l="1"/>
  <c r="K11" i="27"/>
  <c r="J13" i="27" l="1"/>
  <c r="K12" i="27"/>
  <c r="J14" i="27" l="1"/>
  <c r="K13" i="27"/>
  <c r="J15" i="27" l="1"/>
  <c r="K14" i="27"/>
  <c r="J16" i="27" l="1"/>
  <c r="K15" i="27"/>
  <c r="J17" i="27" l="1"/>
  <c r="K16" i="27"/>
  <c r="J18" i="27" l="1"/>
  <c r="K17" i="27"/>
  <c r="J19" i="27" l="1"/>
  <c r="K18" i="27"/>
  <c r="J20" i="27" l="1"/>
  <c r="K19" i="27"/>
  <c r="J21" i="27" l="1"/>
  <c r="K20" i="27"/>
  <c r="J22" i="27" l="1"/>
  <c r="K21" i="27"/>
  <c r="J23" i="27" l="1"/>
  <c r="K22" i="27"/>
  <c r="J24" i="27" l="1"/>
  <c r="K23" i="27"/>
  <c r="J25" i="27" l="1"/>
  <c r="K24" i="27"/>
  <c r="J26" i="27" l="1"/>
  <c r="K25" i="27"/>
  <c r="J27" i="27" l="1"/>
  <c r="K26" i="27"/>
  <c r="J28" i="27" l="1"/>
  <c r="K27" i="27"/>
  <c r="J29" i="27" l="1"/>
  <c r="K28" i="27"/>
  <c r="J30" i="27" l="1"/>
  <c r="K29" i="27"/>
  <c r="J31" i="27" l="1"/>
  <c r="K30" i="27"/>
  <c r="J32" i="27" l="1"/>
  <c r="K31" i="27"/>
  <c r="J33" i="27" l="1"/>
  <c r="K32" i="27"/>
  <c r="J34" i="27" l="1"/>
  <c r="K33" i="27"/>
  <c r="J35" i="27" l="1"/>
  <c r="K34" i="27"/>
  <c r="J36" i="27" l="1"/>
  <c r="K35" i="27"/>
  <c r="J37" i="27" l="1"/>
  <c r="K36" i="27"/>
  <c r="V429" i="1"/>
  <c r="J38" i="27" l="1"/>
  <c r="K37" i="27"/>
  <c r="FT17" i="23"/>
  <c r="FU17" i="23" s="1"/>
  <c r="FT16" i="23"/>
  <c r="FT8" i="23"/>
  <c r="FU8" i="23" s="1"/>
  <c r="FS6" i="23"/>
  <c r="FT6" i="23" s="1"/>
  <c r="FU6" i="23" s="1"/>
  <c r="FS5" i="23"/>
  <c r="FT5" i="23" s="1"/>
  <c r="FU5" i="23" s="1"/>
  <c r="FS4" i="23"/>
  <c r="FT4" i="23" s="1"/>
  <c r="FS3" i="23"/>
  <c r="FT3" i="23" s="1"/>
  <c r="FS10" i="23"/>
  <c r="FT10" i="23" s="1"/>
  <c r="FJ18" i="23"/>
  <c r="FL18" i="23" s="1"/>
  <c r="FK18" i="23"/>
  <c r="FJ19" i="23"/>
  <c r="FL19" i="23" s="1"/>
  <c r="FK19" i="23"/>
  <c r="FJ20" i="23"/>
  <c r="FL20" i="23" s="1"/>
  <c r="FK20" i="23"/>
  <c r="FJ21" i="23"/>
  <c r="FL21" i="23" s="1"/>
  <c r="FK21" i="23"/>
  <c r="FJ22" i="23"/>
  <c r="FL22" i="23" s="1"/>
  <c r="FK22" i="23"/>
  <c r="F432" i="1"/>
  <c r="FK3" i="23" s="1"/>
  <c r="F446" i="1"/>
  <c r="FK17" i="23" s="1"/>
  <c r="F445" i="1"/>
  <c r="FK16" i="23" s="1"/>
  <c r="F444" i="1"/>
  <c r="FK15" i="23" s="1"/>
  <c r="F443" i="1"/>
  <c r="FK14" i="23" s="1"/>
  <c r="F442" i="1"/>
  <c r="FK13" i="23" s="1"/>
  <c r="F441" i="1"/>
  <c r="FK12" i="23" s="1"/>
  <c r="F440" i="1"/>
  <c r="FK11" i="23" s="1"/>
  <c r="F439" i="1"/>
  <c r="FK10" i="23" s="1"/>
  <c r="F438" i="1"/>
  <c r="FK9" i="23" s="1"/>
  <c r="F437" i="1"/>
  <c r="FK8" i="23" s="1"/>
  <c r="F436" i="1"/>
  <c r="FK7" i="23" s="1"/>
  <c r="F435" i="1"/>
  <c r="FK6" i="23" s="1"/>
  <c r="F434" i="1"/>
  <c r="FK5" i="23" s="1"/>
  <c r="F433" i="1"/>
  <c r="FK4" i="23" s="1"/>
  <c r="B446" i="1"/>
  <c r="FJ17" i="23" s="1"/>
  <c r="FL17" i="23" s="1"/>
  <c r="B445" i="1"/>
  <c r="FJ16" i="23" s="1"/>
  <c r="B444" i="1"/>
  <c r="FJ15" i="23" s="1"/>
  <c r="B443" i="1"/>
  <c r="FJ14" i="23" s="1"/>
  <c r="B442" i="1"/>
  <c r="FJ13" i="23" s="1"/>
  <c r="B441" i="1"/>
  <c r="FJ12" i="23" s="1"/>
  <c r="B440" i="1"/>
  <c r="FJ11" i="23" s="1"/>
  <c r="B439" i="1"/>
  <c r="FJ10" i="23" s="1"/>
  <c r="B438" i="1"/>
  <c r="FJ9" i="23" s="1"/>
  <c r="B437" i="1"/>
  <c r="FJ8" i="23" s="1"/>
  <c r="B436" i="1"/>
  <c r="FJ7" i="23" s="1"/>
  <c r="B435" i="1"/>
  <c r="FJ6" i="23" s="1"/>
  <c r="B434" i="1"/>
  <c r="FJ5" i="23" s="1"/>
  <c r="B433" i="1"/>
  <c r="FJ4" i="23" s="1"/>
  <c r="B432" i="1"/>
  <c r="FJ3" i="23" s="1"/>
  <c r="FL3" i="23" s="1"/>
  <c r="L445" i="1"/>
  <c r="L444" i="1"/>
  <c r="I445" i="1"/>
  <c r="FS14" i="23" s="1"/>
  <c r="FT14" i="23" s="1"/>
  <c r="FU14" i="23" s="1"/>
  <c r="I444" i="1"/>
  <c r="FS13" i="23" s="1"/>
  <c r="FT13" i="23" s="1"/>
  <c r="L443" i="1"/>
  <c r="I443" i="1"/>
  <c r="FS12" i="23" s="1"/>
  <c r="FT12" i="23" s="1"/>
  <c r="J440" i="1"/>
  <c r="FS7" i="23" s="1"/>
  <c r="FT7" i="23" s="1"/>
  <c r="FU7" i="23" s="1"/>
  <c r="FG9" i="23"/>
  <c r="FF9" i="23"/>
  <c r="FE9" i="23"/>
  <c r="FD9" i="23"/>
  <c r="FC9" i="23"/>
  <c r="FB9" i="23"/>
  <c r="FA9" i="23"/>
  <c r="EZ9" i="23"/>
  <c r="EY9" i="23"/>
  <c r="EX9" i="23"/>
  <c r="EW9" i="23"/>
  <c r="EV9" i="23"/>
  <c r="EU9" i="23"/>
  <c r="ET9" i="23"/>
  <c r="ES9" i="23"/>
  <c r="ER9" i="23"/>
  <c r="EQ9" i="23"/>
  <c r="EP9" i="23"/>
  <c r="EO9" i="23"/>
  <c r="EN9" i="23"/>
  <c r="EM9" i="23"/>
  <c r="EL9" i="23"/>
  <c r="EK9" i="23"/>
  <c r="EJ9" i="23"/>
  <c r="EI9" i="23"/>
  <c r="EH9" i="23"/>
  <c r="EG9" i="23"/>
  <c r="EF9" i="23"/>
  <c r="EE9" i="23"/>
  <c r="ED9" i="23"/>
  <c r="FG8" i="23"/>
  <c r="FF8" i="23"/>
  <c r="FE8" i="23"/>
  <c r="FD8" i="23"/>
  <c r="FC8" i="23"/>
  <c r="FB8" i="23"/>
  <c r="FA8" i="23"/>
  <c r="EZ8" i="23"/>
  <c r="EY8" i="23"/>
  <c r="EX8" i="23"/>
  <c r="EW8" i="23"/>
  <c r="EV8" i="23"/>
  <c r="EU8" i="23"/>
  <c r="ET8" i="23"/>
  <c r="ES8" i="23"/>
  <c r="ER8" i="23"/>
  <c r="EQ8" i="23"/>
  <c r="EP8" i="23"/>
  <c r="EO8" i="23"/>
  <c r="EN8" i="23"/>
  <c r="EM8" i="23"/>
  <c r="EL8" i="23"/>
  <c r="EK8" i="23"/>
  <c r="EJ8" i="23"/>
  <c r="EI8" i="23"/>
  <c r="EH8" i="23"/>
  <c r="EG8" i="23"/>
  <c r="EF8" i="23"/>
  <c r="EE8" i="23"/>
  <c r="ED8" i="23"/>
  <c r="J39" i="27" l="1"/>
  <c r="K38" i="27"/>
  <c r="EC8" i="23"/>
  <c r="FL4" i="23"/>
  <c r="FL5" i="23" s="1"/>
  <c r="FL6" i="23" s="1"/>
  <c r="EC9" i="23"/>
  <c r="FG6" i="23"/>
  <c r="FF6" i="23"/>
  <c r="FE6" i="23"/>
  <c r="FD6" i="23"/>
  <c r="FC6" i="23"/>
  <c r="FB6" i="23"/>
  <c r="FA6" i="23"/>
  <c r="EZ6" i="23"/>
  <c r="EY6" i="23"/>
  <c r="EX6" i="23"/>
  <c r="EW6" i="23"/>
  <c r="EV6" i="23"/>
  <c r="EU6" i="23"/>
  <c r="ET6" i="23"/>
  <c r="ES6" i="23"/>
  <c r="ER6" i="23"/>
  <c r="EQ6" i="23"/>
  <c r="EP6" i="23"/>
  <c r="EO6" i="23"/>
  <c r="EN6" i="23"/>
  <c r="EM6" i="23"/>
  <c r="EL6" i="23"/>
  <c r="EK6" i="23"/>
  <c r="EJ6" i="23"/>
  <c r="EI6" i="23"/>
  <c r="EH6" i="23"/>
  <c r="EG6" i="23"/>
  <c r="EF6" i="23"/>
  <c r="EE6" i="23"/>
  <c r="ED6" i="23"/>
  <c r="EF4" i="23"/>
  <c r="EE4" i="23"/>
  <c r="ED4" i="23"/>
  <c r="AA512" i="1"/>
  <c r="J40" i="27" l="1"/>
  <c r="K39" i="27"/>
  <c r="FL7" i="23"/>
  <c r="EC4" i="23"/>
  <c r="EC6" i="23"/>
  <c r="H410" i="23"/>
  <c r="H409" i="23"/>
  <c r="H408" i="23"/>
  <c r="H407" i="23"/>
  <c r="H405" i="23"/>
  <c r="CJ20" i="62"/>
  <c r="CK20" i="62" s="1"/>
  <c r="CJ19" i="62"/>
  <c r="CK19" i="62" s="1"/>
  <c r="CJ18" i="62"/>
  <c r="CK18" i="62" s="1"/>
  <c r="CJ17" i="62"/>
  <c r="CK17" i="62" s="1"/>
  <c r="CJ16" i="62"/>
  <c r="CK16" i="62" s="1"/>
  <c r="CJ15" i="62"/>
  <c r="CK15" i="62" s="1"/>
  <c r="CJ14" i="62"/>
  <c r="CK14" i="62" s="1"/>
  <c r="CJ13" i="62"/>
  <c r="CK13" i="62" s="1"/>
  <c r="CJ12" i="62"/>
  <c r="CK12" i="62" s="1"/>
  <c r="CJ11" i="62"/>
  <c r="CK11" i="62" s="1"/>
  <c r="CJ10" i="62"/>
  <c r="CK10" i="62" s="1"/>
  <c r="CJ9" i="62"/>
  <c r="CK9" i="62" s="1"/>
  <c r="CJ8" i="62"/>
  <c r="CK8" i="62" s="1"/>
  <c r="CJ7" i="62"/>
  <c r="CK7" i="62" s="1"/>
  <c r="CJ6" i="62"/>
  <c r="CK6" i="62" s="1"/>
  <c r="CC36" i="62"/>
  <c r="BU36" i="62"/>
  <c r="BL36" i="62"/>
  <c r="BC36" i="62"/>
  <c r="AT36" i="62"/>
  <c r="AK36" i="62"/>
  <c r="AB36" i="62"/>
  <c r="S36" i="62"/>
  <c r="Z35" i="62"/>
  <c r="Z34" i="62"/>
  <c r="Z33" i="62"/>
  <c r="Z32" i="62"/>
  <c r="Z31" i="62"/>
  <c r="Z30" i="62"/>
  <c r="Z29" i="62"/>
  <c r="Z28" i="62"/>
  <c r="Z27" i="62"/>
  <c r="Z26" i="62"/>
  <c r="Z25" i="62"/>
  <c r="Z24" i="62"/>
  <c r="Z23" i="62"/>
  <c r="Z22" i="62"/>
  <c r="Z21" i="62"/>
  <c r="Z20" i="62"/>
  <c r="Z19" i="62"/>
  <c r="Z18" i="62"/>
  <c r="Z17" i="62"/>
  <c r="Z16" i="62"/>
  <c r="Z15" i="62"/>
  <c r="Z14" i="62"/>
  <c r="Z13" i="62"/>
  <c r="Z12" i="62"/>
  <c r="Z11" i="62"/>
  <c r="Z10" i="62"/>
  <c r="Z9" i="62"/>
  <c r="Z8" i="62"/>
  <c r="Z7" i="62"/>
  <c r="Z6" i="62"/>
  <c r="CE18" i="61"/>
  <c r="CE17" i="61"/>
  <c r="CE16" i="61"/>
  <c r="CE15" i="61"/>
  <c r="CE14" i="61"/>
  <c r="CE13" i="61"/>
  <c r="CE12" i="61"/>
  <c r="CE11" i="61"/>
  <c r="CE10" i="61"/>
  <c r="CE9" i="61"/>
  <c r="CE8" i="61"/>
  <c r="CE7" i="61"/>
  <c r="CE6" i="61"/>
  <c r="BX36" i="61"/>
  <c r="BP36" i="61"/>
  <c r="BH36" i="61"/>
  <c r="AZ36" i="61"/>
  <c r="AR36" i="61"/>
  <c r="AJ36" i="61"/>
  <c r="AB36" i="61"/>
  <c r="S36" i="61"/>
  <c r="CE18" i="60"/>
  <c r="CE17" i="60"/>
  <c r="CE16" i="60"/>
  <c r="CE15" i="60"/>
  <c r="CE14" i="60"/>
  <c r="CE13" i="60"/>
  <c r="CE12" i="60"/>
  <c r="CE11" i="60"/>
  <c r="CE10" i="60"/>
  <c r="CE9" i="60"/>
  <c r="CE8" i="60"/>
  <c r="CE7" i="60"/>
  <c r="CE6" i="60"/>
  <c r="Z6" i="59"/>
  <c r="Z7" i="59"/>
  <c r="Z8" i="59"/>
  <c r="Z9" i="59"/>
  <c r="Z10" i="59"/>
  <c r="Z11" i="59"/>
  <c r="E2" i="62" l="1"/>
  <c r="E2" i="70"/>
  <c r="J41" i="27"/>
  <c r="K40" i="27"/>
  <c r="FL8" i="23"/>
  <c r="BX36" i="60"/>
  <c r="BP36" i="60"/>
  <c r="BH36" i="60"/>
  <c r="AZ36" i="60"/>
  <c r="AR36" i="60"/>
  <c r="AJ36" i="60"/>
  <c r="AB36" i="60"/>
  <c r="S36" i="60"/>
  <c r="DB65" i="63"/>
  <c r="DC65" i="63" s="1"/>
  <c r="CZ65" i="63"/>
  <c r="DA65" i="63" s="1"/>
  <c r="CX65" i="63"/>
  <c r="CY65" i="63" s="1"/>
  <c r="CV65" i="63"/>
  <c r="CW65" i="63" s="1"/>
  <c r="CT65" i="63"/>
  <c r="CU65" i="63" s="1"/>
  <c r="CR65" i="63"/>
  <c r="CS65" i="63" s="1"/>
  <c r="CP65" i="63"/>
  <c r="CQ65" i="63" s="1"/>
  <c r="CN65" i="63"/>
  <c r="CO65" i="63" s="1"/>
  <c r="CL65" i="63"/>
  <c r="CM65" i="63" s="1"/>
  <c r="DB64" i="63"/>
  <c r="DC64" i="63" s="1"/>
  <c r="CZ64" i="63"/>
  <c r="DA64" i="63" s="1"/>
  <c r="CX64" i="63"/>
  <c r="CY64" i="63" s="1"/>
  <c r="CV64" i="63"/>
  <c r="CW64" i="63" s="1"/>
  <c r="CT64" i="63"/>
  <c r="CU64" i="63" s="1"/>
  <c r="CR64" i="63"/>
  <c r="CS64" i="63" s="1"/>
  <c r="CP64" i="63"/>
  <c r="CQ64" i="63" s="1"/>
  <c r="CN64" i="63"/>
  <c r="CO64" i="63" s="1"/>
  <c r="CL64" i="63"/>
  <c r="CM64" i="63" s="1"/>
  <c r="DB63" i="63"/>
  <c r="DC63" i="63" s="1"/>
  <c r="CZ63" i="63"/>
  <c r="DA63" i="63" s="1"/>
  <c r="CX63" i="63"/>
  <c r="CY63" i="63" s="1"/>
  <c r="CV63" i="63"/>
  <c r="CW63" i="63" s="1"/>
  <c r="CT63" i="63"/>
  <c r="CU63" i="63" s="1"/>
  <c r="CR63" i="63"/>
  <c r="CS63" i="63" s="1"/>
  <c r="CP63" i="63"/>
  <c r="CQ63" i="63" s="1"/>
  <c r="CN63" i="63"/>
  <c r="CO63" i="63" s="1"/>
  <c r="CL63" i="63"/>
  <c r="CM63" i="63" s="1"/>
  <c r="DB62" i="63"/>
  <c r="DC62" i="63" s="1"/>
  <c r="CZ62" i="63"/>
  <c r="DA62" i="63" s="1"/>
  <c r="CX62" i="63"/>
  <c r="CY62" i="63" s="1"/>
  <c r="CV62" i="63"/>
  <c r="CW62" i="63" s="1"/>
  <c r="CT62" i="63"/>
  <c r="CU62" i="63" s="1"/>
  <c r="CR62" i="63"/>
  <c r="CS62" i="63" s="1"/>
  <c r="CP62" i="63"/>
  <c r="CQ62" i="63" s="1"/>
  <c r="CN62" i="63"/>
  <c r="CO62" i="63" s="1"/>
  <c r="CL62" i="63"/>
  <c r="CM62" i="63" s="1"/>
  <c r="DB61" i="63"/>
  <c r="DC61" i="63" s="1"/>
  <c r="CZ61" i="63"/>
  <c r="DA61" i="63" s="1"/>
  <c r="CX61" i="63"/>
  <c r="CY61" i="63" s="1"/>
  <c r="CV61" i="63"/>
  <c r="CW61" i="63" s="1"/>
  <c r="CT61" i="63"/>
  <c r="CU61" i="63" s="1"/>
  <c r="CR61" i="63"/>
  <c r="CS61" i="63" s="1"/>
  <c r="CP61" i="63"/>
  <c r="CQ61" i="63" s="1"/>
  <c r="CN61" i="63"/>
  <c r="CO61" i="63" s="1"/>
  <c r="CL61" i="63"/>
  <c r="CM61" i="63" s="1"/>
  <c r="DB60" i="63"/>
  <c r="DC60" i="63" s="1"/>
  <c r="CZ60" i="63"/>
  <c r="DA60" i="63" s="1"/>
  <c r="CX60" i="63"/>
  <c r="CY60" i="63" s="1"/>
  <c r="CV60" i="63"/>
  <c r="CW60" i="63" s="1"/>
  <c r="CT60" i="63"/>
  <c r="CU60" i="63" s="1"/>
  <c r="CR60" i="63"/>
  <c r="CS60" i="63" s="1"/>
  <c r="CP60" i="63"/>
  <c r="CQ60" i="63" s="1"/>
  <c r="CN60" i="63"/>
  <c r="CO60" i="63" s="1"/>
  <c r="CL60" i="63"/>
  <c r="CM60" i="63" s="1"/>
  <c r="DB59" i="63"/>
  <c r="DC59" i="63" s="1"/>
  <c r="CZ59" i="63"/>
  <c r="DA59" i="63" s="1"/>
  <c r="CX59" i="63"/>
  <c r="CY59" i="63" s="1"/>
  <c r="CV59" i="63"/>
  <c r="CW59" i="63" s="1"/>
  <c r="CT59" i="63"/>
  <c r="CU59" i="63" s="1"/>
  <c r="CR59" i="63"/>
  <c r="CS59" i="63" s="1"/>
  <c r="CP59" i="63"/>
  <c r="CQ59" i="63" s="1"/>
  <c r="CN59" i="63"/>
  <c r="CO59" i="63" s="1"/>
  <c r="CL59" i="63"/>
  <c r="CM59" i="63" s="1"/>
  <c r="DB58" i="63"/>
  <c r="DC58" i="63" s="1"/>
  <c r="CZ58" i="63"/>
  <c r="DA58" i="63" s="1"/>
  <c r="CX58" i="63"/>
  <c r="CY58" i="63" s="1"/>
  <c r="CV58" i="63"/>
  <c r="CW58" i="63" s="1"/>
  <c r="CT58" i="63"/>
  <c r="CU58" i="63" s="1"/>
  <c r="CR58" i="63"/>
  <c r="CS58" i="63" s="1"/>
  <c r="CP58" i="63"/>
  <c r="CQ58" i="63" s="1"/>
  <c r="CN58" i="63"/>
  <c r="CO58" i="63" s="1"/>
  <c r="CL58" i="63"/>
  <c r="CM58" i="63" s="1"/>
  <c r="DB57" i="63"/>
  <c r="DC57" i="63" s="1"/>
  <c r="CZ57" i="63"/>
  <c r="DA57" i="63" s="1"/>
  <c r="CX57" i="63"/>
  <c r="CY57" i="63" s="1"/>
  <c r="CV57" i="63"/>
  <c r="CW57" i="63" s="1"/>
  <c r="CT57" i="63"/>
  <c r="CU57" i="63" s="1"/>
  <c r="CR57" i="63"/>
  <c r="CS57" i="63" s="1"/>
  <c r="CP57" i="63"/>
  <c r="CQ57" i="63" s="1"/>
  <c r="CN57" i="63"/>
  <c r="CO57" i="63" s="1"/>
  <c r="CL57" i="63"/>
  <c r="CM57" i="63" s="1"/>
  <c r="DB56" i="63"/>
  <c r="DC56" i="63" s="1"/>
  <c r="CZ56" i="63"/>
  <c r="DA56" i="63" s="1"/>
  <c r="CX56" i="63"/>
  <c r="CY56" i="63" s="1"/>
  <c r="CV56" i="63"/>
  <c r="CW56" i="63" s="1"/>
  <c r="CT56" i="63"/>
  <c r="CU56" i="63" s="1"/>
  <c r="CR56" i="63"/>
  <c r="CS56" i="63" s="1"/>
  <c r="CP56" i="63"/>
  <c r="CQ56" i="63" s="1"/>
  <c r="CN56" i="63"/>
  <c r="CO56" i="63" s="1"/>
  <c r="CL56" i="63"/>
  <c r="CM56" i="63" s="1"/>
  <c r="DB55" i="63"/>
  <c r="DC55" i="63" s="1"/>
  <c r="CZ55" i="63"/>
  <c r="DA55" i="63" s="1"/>
  <c r="CX55" i="63"/>
  <c r="CY55" i="63" s="1"/>
  <c r="CV55" i="63"/>
  <c r="CW55" i="63" s="1"/>
  <c r="CT55" i="63"/>
  <c r="CU55" i="63" s="1"/>
  <c r="CR55" i="63"/>
  <c r="CS55" i="63" s="1"/>
  <c r="CP55" i="63"/>
  <c r="CQ55" i="63" s="1"/>
  <c r="CN55" i="63"/>
  <c r="CO55" i="63" s="1"/>
  <c r="CL55" i="63"/>
  <c r="CM55" i="63" s="1"/>
  <c r="DB54" i="63"/>
  <c r="DC54" i="63" s="1"/>
  <c r="CZ54" i="63"/>
  <c r="DA54" i="63" s="1"/>
  <c r="CX54" i="63"/>
  <c r="CY54" i="63" s="1"/>
  <c r="CV54" i="63"/>
  <c r="CW54" i="63" s="1"/>
  <c r="CT54" i="63"/>
  <c r="CU54" i="63" s="1"/>
  <c r="CR54" i="63"/>
  <c r="CS54" i="63" s="1"/>
  <c r="CP54" i="63"/>
  <c r="CQ54" i="63" s="1"/>
  <c r="CN54" i="63"/>
  <c r="CO54" i="63" s="1"/>
  <c r="CL54" i="63"/>
  <c r="CM54" i="63" s="1"/>
  <c r="DB53" i="63"/>
  <c r="DC53" i="63" s="1"/>
  <c r="CZ53" i="63"/>
  <c r="DA53" i="63" s="1"/>
  <c r="CX53" i="63"/>
  <c r="CY53" i="63" s="1"/>
  <c r="CV53" i="63"/>
  <c r="CW53" i="63" s="1"/>
  <c r="CT53" i="63"/>
  <c r="CU53" i="63" s="1"/>
  <c r="CR53" i="63"/>
  <c r="CS53" i="63" s="1"/>
  <c r="CP53" i="63"/>
  <c r="CQ53" i="63" s="1"/>
  <c r="CN53" i="63"/>
  <c r="CO53" i="63" s="1"/>
  <c r="CL53" i="63"/>
  <c r="CM53" i="63" s="1"/>
  <c r="DB52" i="63"/>
  <c r="DC52" i="63" s="1"/>
  <c r="CZ52" i="63"/>
  <c r="DA52" i="63" s="1"/>
  <c r="CX52" i="63"/>
  <c r="CY52" i="63" s="1"/>
  <c r="CV52" i="63"/>
  <c r="CW52" i="63" s="1"/>
  <c r="CT52" i="63"/>
  <c r="CU52" i="63" s="1"/>
  <c r="CR52" i="63"/>
  <c r="CS52" i="63" s="1"/>
  <c r="CP52" i="63"/>
  <c r="CQ52" i="63" s="1"/>
  <c r="CN52" i="63"/>
  <c r="CO52" i="63" s="1"/>
  <c r="CL52" i="63"/>
  <c r="CM52" i="63" s="1"/>
  <c r="DB51" i="63"/>
  <c r="DC51" i="63" s="1"/>
  <c r="CZ51" i="63"/>
  <c r="DA51" i="63" s="1"/>
  <c r="CX51" i="63"/>
  <c r="CY51" i="63" s="1"/>
  <c r="CV51" i="63"/>
  <c r="CW51" i="63" s="1"/>
  <c r="CT51" i="63"/>
  <c r="CU51" i="63" s="1"/>
  <c r="CR51" i="63"/>
  <c r="CS51" i="63" s="1"/>
  <c r="CP51" i="63"/>
  <c r="CQ51" i="63" s="1"/>
  <c r="CN51" i="63"/>
  <c r="CO51" i="63" s="1"/>
  <c r="CL51" i="63"/>
  <c r="CM51" i="63" s="1"/>
  <c r="DB50" i="63"/>
  <c r="DC50" i="63" s="1"/>
  <c r="CZ50" i="63"/>
  <c r="DA50" i="63" s="1"/>
  <c r="CX50" i="63"/>
  <c r="CY50" i="63" s="1"/>
  <c r="CV50" i="63"/>
  <c r="CW50" i="63" s="1"/>
  <c r="CT50" i="63"/>
  <c r="CU50" i="63" s="1"/>
  <c r="CR50" i="63"/>
  <c r="CS50" i="63" s="1"/>
  <c r="CP50" i="63"/>
  <c r="CQ50" i="63" s="1"/>
  <c r="CN50" i="63"/>
  <c r="CO50" i="63" s="1"/>
  <c r="CL50" i="63"/>
  <c r="CM50" i="63" s="1"/>
  <c r="DB49" i="63"/>
  <c r="DC49" i="63" s="1"/>
  <c r="CZ49" i="63"/>
  <c r="DA49" i="63" s="1"/>
  <c r="CX49" i="63"/>
  <c r="CY49" i="63" s="1"/>
  <c r="CV49" i="63"/>
  <c r="CW49" i="63" s="1"/>
  <c r="CT49" i="63"/>
  <c r="CU49" i="63" s="1"/>
  <c r="CR49" i="63"/>
  <c r="CS49" i="63" s="1"/>
  <c r="CP49" i="63"/>
  <c r="CQ49" i="63" s="1"/>
  <c r="CN49" i="63"/>
  <c r="CO49" i="63" s="1"/>
  <c r="CL49" i="63"/>
  <c r="CM49" i="63" s="1"/>
  <c r="DB48" i="63"/>
  <c r="DC48" i="63" s="1"/>
  <c r="CZ48" i="63"/>
  <c r="DA48" i="63" s="1"/>
  <c r="CX48" i="63"/>
  <c r="CY48" i="63" s="1"/>
  <c r="CV48" i="63"/>
  <c r="CW48" i="63" s="1"/>
  <c r="CT48" i="63"/>
  <c r="CU48" i="63" s="1"/>
  <c r="CR48" i="63"/>
  <c r="CS48" i="63" s="1"/>
  <c r="CP48" i="63"/>
  <c r="CQ48" i="63" s="1"/>
  <c r="CN48" i="63"/>
  <c r="CO48" i="63" s="1"/>
  <c r="CL48" i="63"/>
  <c r="CM48" i="63" s="1"/>
  <c r="DB47" i="63"/>
  <c r="DC47" i="63" s="1"/>
  <c r="CZ47" i="63"/>
  <c r="DA47" i="63" s="1"/>
  <c r="CX47" i="63"/>
  <c r="CY47" i="63" s="1"/>
  <c r="CV47" i="63"/>
  <c r="CW47" i="63" s="1"/>
  <c r="CT47" i="63"/>
  <c r="CU47" i="63" s="1"/>
  <c r="CR47" i="63"/>
  <c r="CS47" i="63" s="1"/>
  <c r="CP47" i="63"/>
  <c r="CQ47" i="63" s="1"/>
  <c r="CN47" i="63"/>
  <c r="CO47" i="63" s="1"/>
  <c r="CL47" i="63"/>
  <c r="CM47" i="63" s="1"/>
  <c r="DB46" i="63"/>
  <c r="DC46" i="63" s="1"/>
  <c r="CZ46" i="63"/>
  <c r="DA46" i="63" s="1"/>
  <c r="CX46" i="63"/>
  <c r="CY46" i="63" s="1"/>
  <c r="CV46" i="63"/>
  <c r="CW46" i="63" s="1"/>
  <c r="CT46" i="63"/>
  <c r="CU46" i="63" s="1"/>
  <c r="CR46" i="63"/>
  <c r="CS46" i="63" s="1"/>
  <c r="CP46" i="63"/>
  <c r="CQ46" i="63" s="1"/>
  <c r="CN46" i="63"/>
  <c r="CO46" i="63" s="1"/>
  <c r="CL46" i="63"/>
  <c r="CM46" i="63" s="1"/>
  <c r="DB45" i="63"/>
  <c r="DC45" i="63" s="1"/>
  <c r="CZ45" i="63"/>
  <c r="DA45" i="63" s="1"/>
  <c r="CX45" i="63"/>
  <c r="CY45" i="63" s="1"/>
  <c r="CV45" i="63"/>
  <c r="CW45" i="63" s="1"/>
  <c r="CT45" i="63"/>
  <c r="CU45" i="63" s="1"/>
  <c r="CR45" i="63"/>
  <c r="CS45" i="63" s="1"/>
  <c r="CP45" i="63"/>
  <c r="CQ45" i="63" s="1"/>
  <c r="CN45" i="63"/>
  <c r="CO45" i="63" s="1"/>
  <c r="CL45" i="63"/>
  <c r="CM45" i="63" s="1"/>
  <c r="DB44" i="63"/>
  <c r="DC44" i="63" s="1"/>
  <c r="CZ44" i="63"/>
  <c r="DA44" i="63" s="1"/>
  <c r="CX44" i="63"/>
  <c r="CY44" i="63" s="1"/>
  <c r="CV44" i="63"/>
  <c r="CW44" i="63" s="1"/>
  <c r="CT44" i="63"/>
  <c r="CU44" i="63" s="1"/>
  <c r="CR44" i="63"/>
  <c r="CS44" i="63" s="1"/>
  <c r="CP44" i="63"/>
  <c r="CQ44" i="63" s="1"/>
  <c r="CN44" i="63"/>
  <c r="CO44" i="63" s="1"/>
  <c r="CL44" i="63"/>
  <c r="CM44" i="63" s="1"/>
  <c r="CJ43" i="63"/>
  <c r="CV43" i="63" s="1"/>
  <c r="CW43" i="63" s="1"/>
  <c r="CJ42" i="63"/>
  <c r="CZ42" i="63" s="1"/>
  <c r="DA42" i="63" s="1"/>
  <c r="CJ41" i="63"/>
  <c r="CX41" i="63" s="1"/>
  <c r="CY41" i="63" s="1"/>
  <c r="CJ40" i="63"/>
  <c r="CT40" i="63" s="1"/>
  <c r="CU40" i="63" s="1"/>
  <c r="CJ39" i="63"/>
  <c r="CZ39" i="63" s="1"/>
  <c r="DA39" i="63" s="1"/>
  <c r="CJ38" i="63"/>
  <c r="CZ38" i="63" s="1"/>
  <c r="DA38" i="63" s="1"/>
  <c r="CJ37" i="63"/>
  <c r="CX37" i="63" s="1"/>
  <c r="CY37" i="63" s="1"/>
  <c r="CJ36" i="63"/>
  <c r="DB36" i="63" s="1"/>
  <c r="DC36" i="63" s="1"/>
  <c r="CC36" i="63"/>
  <c r="BU36" i="63"/>
  <c r="BL36" i="63"/>
  <c r="BC36" i="63"/>
  <c r="AT36" i="63"/>
  <c r="AK36" i="63"/>
  <c r="AB36" i="63"/>
  <c r="S36" i="63"/>
  <c r="DB35" i="63"/>
  <c r="DC35" i="63" s="1"/>
  <c r="CZ35" i="63"/>
  <c r="DA35" i="63" s="1"/>
  <c r="CX35" i="63"/>
  <c r="CY35" i="63" s="1"/>
  <c r="CV35" i="63"/>
  <c r="CW35" i="63" s="1"/>
  <c r="CT35" i="63"/>
  <c r="CU35" i="63" s="1"/>
  <c r="CR35" i="63"/>
  <c r="CS35" i="63" s="1"/>
  <c r="CP35" i="63"/>
  <c r="CQ35" i="63" s="1"/>
  <c r="CN35" i="63"/>
  <c r="CO35" i="63" s="1"/>
  <c r="CL35" i="63"/>
  <c r="CM35" i="63" s="1"/>
  <c r="DB34" i="63"/>
  <c r="DC34" i="63" s="1"/>
  <c r="CZ34" i="63"/>
  <c r="DA34" i="63" s="1"/>
  <c r="CX34" i="63"/>
  <c r="CY34" i="63" s="1"/>
  <c r="CV34" i="63"/>
  <c r="CW34" i="63" s="1"/>
  <c r="CT34" i="63"/>
  <c r="CU34" i="63" s="1"/>
  <c r="CR34" i="63"/>
  <c r="CS34" i="63" s="1"/>
  <c r="CP34" i="63"/>
  <c r="CQ34" i="63" s="1"/>
  <c r="CN34" i="63"/>
  <c r="CO34" i="63" s="1"/>
  <c r="CL34" i="63"/>
  <c r="CM34" i="63" s="1"/>
  <c r="DB33" i="63"/>
  <c r="DC33" i="63" s="1"/>
  <c r="CZ33" i="63"/>
  <c r="DA33" i="63" s="1"/>
  <c r="CX33" i="63"/>
  <c r="CY33" i="63" s="1"/>
  <c r="CV33" i="63"/>
  <c r="CW33" i="63" s="1"/>
  <c r="CT33" i="63"/>
  <c r="CU33" i="63" s="1"/>
  <c r="CR33" i="63"/>
  <c r="CS33" i="63" s="1"/>
  <c r="CP33" i="63"/>
  <c r="CQ33" i="63" s="1"/>
  <c r="CN33" i="63"/>
  <c r="CO33" i="63" s="1"/>
  <c r="CL33" i="63"/>
  <c r="CM33" i="63" s="1"/>
  <c r="DB32" i="63"/>
  <c r="DC32" i="63" s="1"/>
  <c r="CZ32" i="63"/>
  <c r="DA32" i="63" s="1"/>
  <c r="CX32" i="63"/>
  <c r="CY32" i="63" s="1"/>
  <c r="CV32" i="63"/>
  <c r="CW32" i="63" s="1"/>
  <c r="CT32" i="63"/>
  <c r="CU32" i="63" s="1"/>
  <c r="CR32" i="63"/>
  <c r="CS32" i="63" s="1"/>
  <c r="CP32" i="63"/>
  <c r="CQ32" i="63" s="1"/>
  <c r="CN32" i="63"/>
  <c r="CO32" i="63" s="1"/>
  <c r="CL32" i="63"/>
  <c r="CM32" i="63" s="1"/>
  <c r="DB31" i="63"/>
  <c r="DC31" i="63" s="1"/>
  <c r="CZ31" i="63"/>
  <c r="DA31" i="63" s="1"/>
  <c r="CX31" i="63"/>
  <c r="CY31" i="63" s="1"/>
  <c r="CV31" i="63"/>
  <c r="CW31" i="63" s="1"/>
  <c r="CT31" i="63"/>
  <c r="CU31" i="63" s="1"/>
  <c r="CR31" i="63"/>
  <c r="CS31" i="63" s="1"/>
  <c r="CP31" i="63"/>
  <c r="CQ31" i="63" s="1"/>
  <c r="CN31" i="63"/>
  <c r="CO31" i="63" s="1"/>
  <c r="CL31" i="63"/>
  <c r="CM31" i="63" s="1"/>
  <c r="DB30" i="63"/>
  <c r="DC30" i="63" s="1"/>
  <c r="CZ30" i="63"/>
  <c r="DA30" i="63" s="1"/>
  <c r="CX30" i="63"/>
  <c r="CY30" i="63" s="1"/>
  <c r="CV30" i="63"/>
  <c r="CW30" i="63" s="1"/>
  <c r="CT30" i="63"/>
  <c r="CU30" i="63" s="1"/>
  <c r="CR30" i="63"/>
  <c r="CS30" i="63" s="1"/>
  <c r="CP30" i="63"/>
  <c r="CQ30" i="63" s="1"/>
  <c r="CN30" i="63"/>
  <c r="CO30" i="63" s="1"/>
  <c r="CL30" i="63"/>
  <c r="CM30" i="63" s="1"/>
  <c r="DB29" i="63"/>
  <c r="DC29" i="63" s="1"/>
  <c r="CZ29" i="63"/>
  <c r="DA29" i="63" s="1"/>
  <c r="CX29" i="63"/>
  <c r="CY29" i="63" s="1"/>
  <c r="CV29" i="63"/>
  <c r="CW29" i="63" s="1"/>
  <c r="CT29" i="63"/>
  <c r="CU29" i="63" s="1"/>
  <c r="CR29" i="63"/>
  <c r="CS29" i="63" s="1"/>
  <c r="CP29" i="63"/>
  <c r="CQ29" i="63" s="1"/>
  <c r="CN29" i="63"/>
  <c r="CO29" i="63" s="1"/>
  <c r="CL29" i="63"/>
  <c r="CM29" i="63" s="1"/>
  <c r="DB28" i="63"/>
  <c r="DC28" i="63" s="1"/>
  <c r="CZ28" i="63"/>
  <c r="DA28" i="63" s="1"/>
  <c r="CX28" i="63"/>
  <c r="CY28" i="63" s="1"/>
  <c r="CV28" i="63"/>
  <c r="CW28" i="63" s="1"/>
  <c r="CT28" i="63"/>
  <c r="CU28" i="63" s="1"/>
  <c r="CR28" i="63"/>
  <c r="CS28" i="63" s="1"/>
  <c r="CP28" i="63"/>
  <c r="CQ28" i="63" s="1"/>
  <c r="CN28" i="63"/>
  <c r="CO28" i="63" s="1"/>
  <c r="CL28" i="63"/>
  <c r="CM28" i="63" s="1"/>
  <c r="CJ27" i="63"/>
  <c r="DB27" i="63" s="1"/>
  <c r="DC27" i="63" s="1"/>
  <c r="CJ26" i="63"/>
  <c r="CZ26" i="63" s="1"/>
  <c r="DA26" i="63" s="1"/>
  <c r="CJ25" i="63"/>
  <c r="CZ25" i="63" s="1"/>
  <c r="DA25" i="63" s="1"/>
  <c r="CJ24" i="63"/>
  <c r="DB24" i="63" s="1"/>
  <c r="DC24" i="63" s="1"/>
  <c r="CJ23" i="63"/>
  <c r="DB23" i="63" s="1"/>
  <c r="DC23" i="63" s="1"/>
  <c r="CJ22" i="63"/>
  <c r="CV22" i="63" s="1"/>
  <c r="CW22" i="63" s="1"/>
  <c r="CJ21" i="63"/>
  <c r="CZ21" i="63" s="1"/>
  <c r="DA21" i="63" s="1"/>
  <c r="CJ20" i="63"/>
  <c r="CV20" i="63" s="1"/>
  <c r="CW20" i="63" s="1"/>
  <c r="CJ19" i="63"/>
  <c r="CZ19" i="63" s="1"/>
  <c r="DA19" i="63" s="1"/>
  <c r="CJ18" i="63"/>
  <c r="CX18" i="63" s="1"/>
  <c r="CY18" i="63" s="1"/>
  <c r="CJ17" i="63"/>
  <c r="CV17" i="63" s="1"/>
  <c r="CW17" i="63" s="1"/>
  <c r="CJ16" i="63"/>
  <c r="CZ16" i="63" s="1"/>
  <c r="DA16" i="63" s="1"/>
  <c r="CJ15" i="63"/>
  <c r="CZ15" i="63" s="1"/>
  <c r="DA15" i="63" s="1"/>
  <c r="CJ14" i="63"/>
  <c r="CX14" i="63" s="1"/>
  <c r="CY14" i="63" s="1"/>
  <c r="CJ13" i="63"/>
  <c r="CR13" i="63" s="1"/>
  <c r="CS13" i="63" s="1"/>
  <c r="CJ12" i="63"/>
  <c r="DB12" i="63" s="1"/>
  <c r="DC12" i="63" s="1"/>
  <c r="CJ11" i="63"/>
  <c r="DB11" i="63" s="1"/>
  <c r="DC11" i="63" s="1"/>
  <c r="CJ10" i="63"/>
  <c r="CV10" i="63" s="1"/>
  <c r="CW10" i="63" s="1"/>
  <c r="CJ9" i="63"/>
  <c r="CZ9" i="63" s="1"/>
  <c r="DA9" i="63" s="1"/>
  <c r="CJ8" i="63"/>
  <c r="DB8" i="63" s="1"/>
  <c r="DC8" i="63" s="1"/>
  <c r="CJ7" i="63"/>
  <c r="CZ7" i="63" s="1"/>
  <c r="DA7" i="63" s="1"/>
  <c r="CJ6" i="63"/>
  <c r="DB6" i="63" s="1"/>
  <c r="DC6" i="63" s="1"/>
  <c r="CJ35" i="59"/>
  <c r="CK35" i="70" s="1"/>
  <c r="CJ34" i="59"/>
  <c r="CK34" i="70" s="1"/>
  <c r="CJ33" i="59"/>
  <c r="CK33" i="70" s="1"/>
  <c r="CJ32" i="59"/>
  <c r="CK32" i="70" s="1"/>
  <c r="CJ31" i="59"/>
  <c r="CK31" i="70" s="1"/>
  <c r="CJ30" i="59"/>
  <c r="CK30" i="70" s="1"/>
  <c r="CJ29" i="59"/>
  <c r="CK29" i="70" s="1"/>
  <c r="CJ28" i="59"/>
  <c r="CK28" i="70" s="1"/>
  <c r="CJ27" i="59"/>
  <c r="CK27" i="70" s="1"/>
  <c r="CJ26" i="59"/>
  <c r="CK26" i="70" s="1"/>
  <c r="CJ25" i="59"/>
  <c r="CK25" i="70" s="1"/>
  <c r="CJ24" i="59"/>
  <c r="CK24" i="70" s="1"/>
  <c r="CJ23" i="59"/>
  <c r="CK23" i="70" s="1"/>
  <c r="CJ22" i="59"/>
  <c r="CK22" i="70" s="1"/>
  <c r="CJ21" i="59"/>
  <c r="CK21" i="59" s="1"/>
  <c r="CZ21" i="59" s="1"/>
  <c r="DA21" i="59" s="1"/>
  <c r="CJ20" i="59"/>
  <c r="CK20" i="70" s="1"/>
  <c r="CJ19" i="59"/>
  <c r="CK19" i="70" s="1"/>
  <c r="CJ18" i="59"/>
  <c r="CK18" i="70" s="1"/>
  <c r="CJ17" i="59"/>
  <c r="CK17" i="70" s="1"/>
  <c r="CJ16" i="59"/>
  <c r="CK16" i="70" s="1"/>
  <c r="CJ15" i="59"/>
  <c r="CK15" i="70" s="1"/>
  <c r="CJ14" i="59"/>
  <c r="CK14" i="70" s="1"/>
  <c r="CJ13" i="59"/>
  <c r="CK13" i="70" s="1"/>
  <c r="CJ12" i="59"/>
  <c r="CK12" i="70" s="1"/>
  <c r="CJ11" i="59"/>
  <c r="CK11" i="70" s="1"/>
  <c r="CJ10" i="59"/>
  <c r="CK10" i="70" s="1"/>
  <c r="CJ9" i="59"/>
  <c r="CK9" i="70" s="1"/>
  <c r="CJ8" i="59"/>
  <c r="CK8" i="70" s="1"/>
  <c r="CJ7" i="59"/>
  <c r="CK7" i="70" s="1"/>
  <c r="CJ6" i="59"/>
  <c r="CK6" i="70" s="1"/>
  <c r="CC36" i="59"/>
  <c r="BU36" i="59"/>
  <c r="BL36" i="59"/>
  <c r="BC36" i="59"/>
  <c r="AT36" i="59"/>
  <c r="AK36" i="59"/>
  <c r="AB36" i="59"/>
  <c r="S36" i="59"/>
  <c r="BY36" i="58"/>
  <c r="BQ36" i="58"/>
  <c r="BI36" i="58"/>
  <c r="BA36" i="58"/>
  <c r="AS36" i="58"/>
  <c r="AK36" i="58"/>
  <c r="AB36" i="58"/>
  <c r="S36" i="58"/>
  <c r="AX6" i="58"/>
  <c r="AX7" i="58"/>
  <c r="AX8" i="58"/>
  <c r="AX9" i="58"/>
  <c r="AX10" i="58"/>
  <c r="AX11" i="58"/>
  <c r="AX12" i="58"/>
  <c r="AY12" i="58" s="1"/>
  <c r="AX13" i="58"/>
  <c r="AX14" i="58"/>
  <c r="AX15" i="58"/>
  <c r="AX5" i="58"/>
  <c r="AY5" i="58" s="1"/>
  <c r="DB14" i="70" l="1"/>
  <c r="DC14" i="70" s="1"/>
  <c r="CN14" i="70"/>
  <c r="CO14" i="70" s="1"/>
  <c r="CL14" i="70"/>
  <c r="CM14" i="70" s="1"/>
  <c r="CR14" i="70"/>
  <c r="CS14" i="70" s="1"/>
  <c r="CT14" i="70"/>
  <c r="CU14" i="70" s="1"/>
  <c r="CV14" i="70"/>
  <c r="CW14" i="70" s="1"/>
  <c r="CX14" i="70"/>
  <c r="CY14" i="70" s="1"/>
  <c r="CZ14" i="70"/>
  <c r="DA14" i="70" s="1"/>
  <c r="CP14" i="70"/>
  <c r="CQ14" i="70" s="1"/>
  <c r="DB7" i="70"/>
  <c r="DC7" i="70" s="1"/>
  <c r="CN7" i="70"/>
  <c r="CO7" i="70" s="1"/>
  <c r="CL7" i="70"/>
  <c r="CM7" i="70" s="1"/>
  <c r="CV7" i="70"/>
  <c r="CW7" i="70" s="1"/>
  <c r="CX7" i="70"/>
  <c r="CY7" i="70" s="1"/>
  <c r="CZ7" i="70"/>
  <c r="DA7" i="70" s="1"/>
  <c r="CP7" i="70"/>
  <c r="CQ7" i="70" s="1"/>
  <c r="CR7" i="70"/>
  <c r="CS7" i="70" s="1"/>
  <c r="CT7" i="70"/>
  <c r="CU7" i="70" s="1"/>
  <c r="CX23" i="70"/>
  <c r="CY23" i="70" s="1"/>
  <c r="CT23" i="70"/>
  <c r="CU23" i="70" s="1"/>
  <c r="CZ23" i="70"/>
  <c r="DA23" i="70" s="1"/>
  <c r="CP23" i="70"/>
  <c r="CQ23" i="70" s="1"/>
  <c r="DB23" i="70"/>
  <c r="DC23" i="70" s="1"/>
  <c r="CL23" i="70"/>
  <c r="CM23" i="70" s="1"/>
  <c r="CN23" i="70"/>
  <c r="CO23" i="70" s="1"/>
  <c r="CR23" i="70"/>
  <c r="CS23" i="70" s="1"/>
  <c r="CV23" i="70"/>
  <c r="CW23" i="70" s="1"/>
  <c r="DB8" i="70"/>
  <c r="DC8" i="70" s="1"/>
  <c r="CN8" i="70"/>
  <c r="CO8" i="70" s="1"/>
  <c r="CL8" i="70"/>
  <c r="CM8" i="70" s="1"/>
  <c r="CZ8" i="70"/>
  <c r="DA8" i="70" s="1"/>
  <c r="CP8" i="70"/>
  <c r="CQ8" i="70" s="1"/>
  <c r="CR8" i="70"/>
  <c r="CS8" i="70" s="1"/>
  <c r="CT8" i="70"/>
  <c r="CU8" i="70" s="1"/>
  <c r="CV8" i="70"/>
  <c r="CW8" i="70" s="1"/>
  <c r="CX8" i="70"/>
  <c r="CY8" i="70" s="1"/>
  <c r="DB12" i="70"/>
  <c r="DC12" i="70" s="1"/>
  <c r="CN12" i="70"/>
  <c r="CO12" i="70" s="1"/>
  <c r="CL12" i="70"/>
  <c r="CM12" i="70" s="1"/>
  <c r="CZ12" i="70"/>
  <c r="DA12" i="70" s="1"/>
  <c r="CP12" i="70"/>
  <c r="CQ12" i="70" s="1"/>
  <c r="CR12" i="70"/>
  <c r="CS12" i="70" s="1"/>
  <c r="CT12" i="70"/>
  <c r="CU12" i="70" s="1"/>
  <c r="CV12" i="70"/>
  <c r="CW12" i="70" s="1"/>
  <c r="CX12" i="70"/>
  <c r="CY12" i="70" s="1"/>
  <c r="CZ16" i="70"/>
  <c r="DA16" i="70" s="1"/>
  <c r="CL16" i="70"/>
  <c r="CM16" i="70" s="1"/>
  <c r="DB16" i="70"/>
  <c r="DC16" i="70" s="1"/>
  <c r="CN16" i="70"/>
  <c r="CO16" i="70" s="1"/>
  <c r="CT16" i="70"/>
  <c r="CU16" i="70" s="1"/>
  <c r="CX16" i="70"/>
  <c r="CY16" i="70" s="1"/>
  <c r="CR16" i="70"/>
  <c r="CS16" i="70" s="1"/>
  <c r="CP16" i="70"/>
  <c r="CQ16" i="70" s="1"/>
  <c r="CV16" i="70"/>
  <c r="CW16" i="70" s="1"/>
  <c r="CX20" i="70"/>
  <c r="CY20" i="70" s="1"/>
  <c r="DB20" i="70"/>
  <c r="DC20" i="70" s="1"/>
  <c r="CL20" i="70"/>
  <c r="CM20" i="70" s="1"/>
  <c r="CT20" i="70"/>
  <c r="CU20" i="70" s="1"/>
  <c r="CP20" i="70"/>
  <c r="CQ20" i="70" s="1"/>
  <c r="CZ20" i="70"/>
  <c r="DA20" i="70" s="1"/>
  <c r="CR20" i="70"/>
  <c r="CS20" i="70" s="1"/>
  <c r="CV20" i="70"/>
  <c r="CW20" i="70" s="1"/>
  <c r="CN20" i="70"/>
  <c r="CO20" i="70" s="1"/>
  <c r="CZ24" i="70"/>
  <c r="DA24" i="70" s="1"/>
  <c r="CP24" i="70"/>
  <c r="CQ24" i="70" s="1"/>
  <c r="CL24" i="70"/>
  <c r="CM24" i="70" s="1"/>
  <c r="CV24" i="70"/>
  <c r="CW24" i="70" s="1"/>
  <c r="CT24" i="70"/>
  <c r="CU24" i="70" s="1"/>
  <c r="CX24" i="70"/>
  <c r="CY24" i="70" s="1"/>
  <c r="CN24" i="70"/>
  <c r="CO24" i="70" s="1"/>
  <c r="DB24" i="70"/>
  <c r="DC24" i="70" s="1"/>
  <c r="CR24" i="70"/>
  <c r="CS24" i="70" s="1"/>
  <c r="CZ28" i="70"/>
  <c r="DA28" i="70" s="1"/>
  <c r="CP28" i="70"/>
  <c r="CQ28" i="70" s="1"/>
  <c r="CX28" i="70"/>
  <c r="CY28" i="70" s="1"/>
  <c r="DB28" i="70"/>
  <c r="DC28" i="70" s="1"/>
  <c r="CN28" i="70"/>
  <c r="CO28" i="70" s="1"/>
  <c r="CL28" i="70"/>
  <c r="CM28" i="70" s="1"/>
  <c r="CR28" i="70"/>
  <c r="CS28" i="70" s="1"/>
  <c r="CT28" i="70"/>
  <c r="CU28" i="70" s="1"/>
  <c r="CV28" i="70"/>
  <c r="CW28" i="70" s="1"/>
  <c r="CL32" i="70"/>
  <c r="CM32" i="70" s="1"/>
  <c r="CZ32" i="70"/>
  <c r="DA32" i="70" s="1"/>
  <c r="DB32" i="70"/>
  <c r="DC32" i="70" s="1"/>
  <c r="CV32" i="70"/>
  <c r="CW32" i="70" s="1"/>
  <c r="CX32" i="70"/>
  <c r="CY32" i="70" s="1"/>
  <c r="CR32" i="70"/>
  <c r="CS32" i="70" s="1"/>
  <c r="CT32" i="70"/>
  <c r="CU32" i="70" s="1"/>
  <c r="CN32" i="70"/>
  <c r="CO32" i="70" s="1"/>
  <c r="CP32" i="70"/>
  <c r="CQ32" i="70" s="1"/>
  <c r="CR18" i="70"/>
  <c r="CS18" i="70" s="1"/>
  <c r="CV18" i="70"/>
  <c r="CW18" i="70" s="1"/>
  <c r="CN18" i="70"/>
  <c r="CO18" i="70" s="1"/>
  <c r="DB18" i="70"/>
  <c r="DC18" i="70" s="1"/>
  <c r="CL18" i="70"/>
  <c r="CM18" i="70" s="1"/>
  <c r="CP18" i="70"/>
  <c r="CQ18" i="70" s="1"/>
  <c r="CZ18" i="70"/>
  <c r="DA18" i="70" s="1"/>
  <c r="CX18" i="70"/>
  <c r="CY18" i="70" s="1"/>
  <c r="CT18" i="70"/>
  <c r="CU18" i="70" s="1"/>
  <c r="DB11" i="70"/>
  <c r="DC11" i="70" s="1"/>
  <c r="CN11" i="70"/>
  <c r="CO11" i="70" s="1"/>
  <c r="CL11" i="70"/>
  <c r="CM11" i="70" s="1"/>
  <c r="CV11" i="70"/>
  <c r="CW11" i="70" s="1"/>
  <c r="CX11" i="70"/>
  <c r="CY11" i="70" s="1"/>
  <c r="CZ11" i="70"/>
  <c r="DA11" i="70" s="1"/>
  <c r="CP11" i="70"/>
  <c r="CQ11" i="70" s="1"/>
  <c r="CR11" i="70"/>
  <c r="CS11" i="70" s="1"/>
  <c r="CT11" i="70"/>
  <c r="CU11" i="70" s="1"/>
  <c r="CX19" i="70"/>
  <c r="CY19" i="70" s="1"/>
  <c r="CZ19" i="70"/>
  <c r="DA19" i="70" s="1"/>
  <c r="CR19" i="70"/>
  <c r="CS19" i="70" s="1"/>
  <c r="CL19" i="70"/>
  <c r="CM19" i="70" s="1"/>
  <c r="CP19" i="70"/>
  <c r="CQ19" i="70" s="1"/>
  <c r="DB19" i="70"/>
  <c r="DC19" i="70" s="1"/>
  <c r="CV19" i="70"/>
  <c r="CW19" i="70" s="1"/>
  <c r="CN19" i="70"/>
  <c r="CO19" i="70" s="1"/>
  <c r="CT19" i="70"/>
  <c r="CU19" i="70" s="1"/>
  <c r="DB9" i="70"/>
  <c r="DC9" i="70" s="1"/>
  <c r="CN9" i="70"/>
  <c r="CO9" i="70" s="1"/>
  <c r="CL9" i="70"/>
  <c r="CM9" i="70" s="1"/>
  <c r="CP9" i="70"/>
  <c r="CQ9" i="70" s="1"/>
  <c r="CR9" i="70"/>
  <c r="CS9" i="70" s="1"/>
  <c r="CT9" i="70"/>
  <c r="CU9" i="70" s="1"/>
  <c r="CV9" i="70"/>
  <c r="CW9" i="70" s="1"/>
  <c r="CX9" i="70"/>
  <c r="CY9" i="70" s="1"/>
  <c r="CZ9" i="70"/>
  <c r="DA9" i="70" s="1"/>
  <c r="DB13" i="70"/>
  <c r="DC13" i="70" s="1"/>
  <c r="CN13" i="70"/>
  <c r="CO13" i="70" s="1"/>
  <c r="CL13" i="70"/>
  <c r="CM13" i="70" s="1"/>
  <c r="CP13" i="70"/>
  <c r="CQ13" i="70" s="1"/>
  <c r="CR13" i="70"/>
  <c r="CS13" i="70" s="1"/>
  <c r="CT13" i="70"/>
  <c r="CU13" i="70" s="1"/>
  <c r="CV13" i="70"/>
  <c r="CW13" i="70" s="1"/>
  <c r="CX13" i="70"/>
  <c r="CY13" i="70" s="1"/>
  <c r="CZ13" i="70"/>
  <c r="DA13" i="70" s="1"/>
  <c r="DB17" i="70"/>
  <c r="DC17" i="70" s="1"/>
  <c r="CV17" i="70"/>
  <c r="CW17" i="70" s="1"/>
  <c r="CT17" i="70"/>
  <c r="CU17" i="70" s="1"/>
  <c r="CR17" i="70"/>
  <c r="CS17" i="70" s="1"/>
  <c r="CZ17" i="70"/>
  <c r="DA17" i="70" s="1"/>
  <c r="CP17" i="70"/>
  <c r="CQ17" i="70" s="1"/>
  <c r="CX17" i="70"/>
  <c r="CY17" i="70" s="1"/>
  <c r="CL17" i="70"/>
  <c r="CM17" i="70" s="1"/>
  <c r="CN17" i="70"/>
  <c r="CO17" i="70" s="1"/>
  <c r="CN25" i="70"/>
  <c r="CR25" i="70"/>
  <c r="CS25" i="70" s="1"/>
  <c r="CZ25" i="70"/>
  <c r="DA25" i="70" s="1"/>
  <c r="CX25" i="70"/>
  <c r="CY25" i="70" s="1"/>
  <c r="CV25" i="70"/>
  <c r="CW25" i="70" s="1"/>
  <c r="CT25" i="70"/>
  <c r="CU25" i="70" s="1"/>
  <c r="CP25" i="70"/>
  <c r="CQ25" i="70" s="1"/>
  <c r="CL25" i="70"/>
  <c r="CM25" i="70" s="1"/>
  <c r="DB25" i="70"/>
  <c r="DC25" i="70" s="1"/>
  <c r="CR29" i="70"/>
  <c r="CS29" i="70" s="1"/>
  <c r="CN29" i="70"/>
  <c r="CP29" i="70"/>
  <c r="CQ29" i="70" s="1"/>
  <c r="CZ29" i="70"/>
  <c r="DA29" i="70" s="1"/>
  <c r="CX29" i="70"/>
  <c r="CY29" i="70" s="1"/>
  <c r="CT29" i="70"/>
  <c r="CU29" i="70" s="1"/>
  <c r="CL29" i="70"/>
  <c r="CM29" i="70" s="1"/>
  <c r="DB29" i="70"/>
  <c r="DC29" i="70" s="1"/>
  <c r="CV29" i="70"/>
  <c r="CW29" i="70" s="1"/>
  <c r="CL33" i="70"/>
  <c r="CM33" i="70" s="1"/>
  <c r="CZ33" i="70"/>
  <c r="DA33" i="70" s="1"/>
  <c r="DB33" i="70"/>
  <c r="DC33" i="70" s="1"/>
  <c r="CV33" i="70"/>
  <c r="CW33" i="70" s="1"/>
  <c r="CX33" i="70"/>
  <c r="CY33" i="70" s="1"/>
  <c r="CR33" i="70"/>
  <c r="CS33" i="70" s="1"/>
  <c r="CT33" i="70"/>
  <c r="CU33" i="70" s="1"/>
  <c r="CN33" i="70"/>
  <c r="CO33" i="70" s="1"/>
  <c r="CP33" i="70"/>
  <c r="CQ33" i="70" s="1"/>
  <c r="DB6" i="70"/>
  <c r="DC6" i="70" s="1"/>
  <c r="CN6" i="70"/>
  <c r="CO6" i="70" s="1"/>
  <c r="CL6" i="70"/>
  <c r="CM6" i="70" s="1"/>
  <c r="CR6" i="70"/>
  <c r="CS6" i="70" s="1"/>
  <c r="CT6" i="70"/>
  <c r="CU6" i="70" s="1"/>
  <c r="CV6" i="70"/>
  <c r="CW6" i="70" s="1"/>
  <c r="CX6" i="70"/>
  <c r="CY6" i="70" s="1"/>
  <c r="CZ6" i="70"/>
  <c r="DA6" i="70" s="1"/>
  <c r="CP6" i="70"/>
  <c r="CQ6" i="70" s="1"/>
  <c r="CV22" i="70"/>
  <c r="CW22" i="70" s="1"/>
  <c r="CT22" i="70"/>
  <c r="CU22" i="70" s="1"/>
  <c r="CZ22" i="70"/>
  <c r="DA22" i="70" s="1"/>
  <c r="CN22" i="70"/>
  <c r="CO22" i="70" s="1"/>
  <c r="CP22" i="70"/>
  <c r="CQ22" i="70" s="1"/>
  <c r="CL22" i="70"/>
  <c r="CM22" i="70" s="1"/>
  <c r="DB22" i="70"/>
  <c r="DC22" i="70" s="1"/>
  <c r="CR22" i="70"/>
  <c r="CS22" i="70" s="1"/>
  <c r="CX22" i="70"/>
  <c r="CY22" i="70" s="1"/>
  <c r="CZ26" i="70"/>
  <c r="DA26" i="70" s="1"/>
  <c r="DB26" i="70"/>
  <c r="DC26" i="70" s="1"/>
  <c r="CL26" i="70"/>
  <c r="CM26" i="70" s="1"/>
  <c r="CN26" i="70"/>
  <c r="CO26" i="70" s="1"/>
  <c r="CR26" i="70"/>
  <c r="CS26" i="70" s="1"/>
  <c r="CX26" i="70"/>
  <c r="CY26" i="70" s="1"/>
  <c r="CV26" i="70"/>
  <c r="CW26" i="70" s="1"/>
  <c r="CT26" i="70"/>
  <c r="CU26" i="70" s="1"/>
  <c r="CP26" i="70"/>
  <c r="CQ26" i="70" s="1"/>
  <c r="DB30" i="70"/>
  <c r="DC30" i="70" s="1"/>
  <c r="CV30" i="70"/>
  <c r="CW30" i="70" s="1"/>
  <c r="CL30" i="70"/>
  <c r="CM30" i="70" s="1"/>
  <c r="CZ30" i="70"/>
  <c r="DA30" i="70" s="1"/>
  <c r="CP30" i="70"/>
  <c r="CQ30" i="70" s="1"/>
  <c r="CN30" i="70"/>
  <c r="CO30" i="70" s="1"/>
  <c r="CT30" i="70"/>
  <c r="CU30" i="70" s="1"/>
  <c r="CR30" i="70"/>
  <c r="CS30" i="70" s="1"/>
  <c r="CX30" i="70"/>
  <c r="CY30" i="70" s="1"/>
  <c r="CN34" i="70"/>
  <c r="CO34" i="70" s="1"/>
  <c r="CX34" i="70"/>
  <c r="CY34" i="70" s="1"/>
  <c r="CT34" i="70"/>
  <c r="CU34" i="70" s="1"/>
  <c r="CZ34" i="70"/>
  <c r="DA34" i="70" s="1"/>
  <c r="CP34" i="70"/>
  <c r="CQ34" i="70" s="1"/>
  <c r="CV34" i="70"/>
  <c r="CW34" i="70" s="1"/>
  <c r="DB34" i="70"/>
  <c r="DC34" i="70" s="1"/>
  <c r="CL34" i="70"/>
  <c r="CM34" i="70" s="1"/>
  <c r="CR34" i="70"/>
  <c r="CS34" i="70" s="1"/>
  <c r="DB10" i="70"/>
  <c r="DC10" i="70" s="1"/>
  <c r="CN10" i="70"/>
  <c r="CO10" i="70" s="1"/>
  <c r="CL10" i="70"/>
  <c r="CM10" i="70" s="1"/>
  <c r="CR10" i="70"/>
  <c r="CS10" i="70" s="1"/>
  <c r="CT10" i="70"/>
  <c r="CU10" i="70" s="1"/>
  <c r="CV10" i="70"/>
  <c r="CW10" i="70" s="1"/>
  <c r="CX10" i="70"/>
  <c r="CY10" i="70" s="1"/>
  <c r="CZ10" i="70"/>
  <c r="DA10" i="70" s="1"/>
  <c r="CP10" i="70"/>
  <c r="CQ10" i="70" s="1"/>
  <c r="CP15" i="70"/>
  <c r="CQ15" i="70" s="1"/>
  <c r="CT15" i="70"/>
  <c r="CU15" i="70" s="1"/>
  <c r="CZ15" i="70"/>
  <c r="DA15" i="70" s="1"/>
  <c r="DB15" i="70"/>
  <c r="DC15" i="70" s="1"/>
  <c r="CL15" i="70"/>
  <c r="CX15" i="70"/>
  <c r="CY15" i="70" s="1"/>
  <c r="CR15" i="70"/>
  <c r="CS15" i="70" s="1"/>
  <c r="CV15" i="70"/>
  <c r="CW15" i="70" s="1"/>
  <c r="CN15" i="70"/>
  <c r="CO15" i="70" s="1"/>
  <c r="DB27" i="70"/>
  <c r="DC27" i="70" s="1"/>
  <c r="CL27" i="70"/>
  <c r="CM27" i="70" s="1"/>
  <c r="CX27" i="70"/>
  <c r="CY27" i="70" s="1"/>
  <c r="CP27" i="70"/>
  <c r="CQ27" i="70" s="1"/>
  <c r="CT27" i="70"/>
  <c r="CU27" i="70" s="1"/>
  <c r="CZ27" i="70"/>
  <c r="DA27" i="70" s="1"/>
  <c r="CR27" i="70"/>
  <c r="CS27" i="70" s="1"/>
  <c r="CV27" i="70"/>
  <c r="CW27" i="70" s="1"/>
  <c r="CN27" i="70"/>
  <c r="CO27" i="70" s="1"/>
  <c r="CZ31" i="70"/>
  <c r="DA31" i="70" s="1"/>
  <c r="CT31" i="70"/>
  <c r="CU31" i="70" s="1"/>
  <c r="CV31" i="70"/>
  <c r="CW31" i="70" s="1"/>
  <c r="CX31" i="70"/>
  <c r="CY31" i="70" s="1"/>
  <c r="CL31" i="70"/>
  <c r="CM31" i="70" s="1"/>
  <c r="DB31" i="70"/>
  <c r="DC31" i="70" s="1"/>
  <c r="CN31" i="70"/>
  <c r="CO31" i="70" s="1"/>
  <c r="CP31" i="70"/>
  <c r="CQ31" i="70" s="1"/>
  <c r="CR31" i="70"/>
  <c r="CS31" i="70" s="1"/>
  <c r="CL35" i="70"/>
  <c r="CM35" i="70" s="1"/>
  <c r="CN35" i="70"/>
  <c r="CO35" i="70" s="1"/>
  <c r="DB35" i="70"/>
  <c r="DC35" i="70" s="1"/>
  <c r="CX35" i="70"/>
  <c r="CY35" i="70" s="1"/>
  <c r="CZ35" i="70"/>
  <c r="DA35" i="70" s="1"/>
  <c r="CT35" i="70"/>
  <c r="CU35" i="70" s="1"/>
  <c r="CV35" i="70"/>
  <c r="CW35" i="70" s="1"/>
  <c r="CP35" i="70"/>
  <c r="CQ35" i="70" s="1"/>
  <c r="CR35" i="70"/>
  <c r="CS35" i="70" s="1"/>
  <c r="BC12" i="58"/>
  <c r="AT76" i="58"/>
  <c r="AB76" i="58"/>
  <c r="Q76" i="58"/>
  <c r="AR76" i="58"/>
  <c r="Z76" i="58"/>
  <c r="AK76" i="58"/>
  <c r="AI76" i="58"/>
  <c r="S76" i="58"/>
  <c r="J42" i="27"/>
  <c r="K41" i="27"/>
  <c r="FL9" i="23"/>
  <c r="CL12" i="63"/>
  <c r="CM12" i="63" s="1"/>
  <c r="CN15" i="63"/>
  <c r="CO15" i="63" s="1"/>
  <c r="CN23" i="63"/>
  <c r="CO23" i="63" s="1"/>
  <c r="CN16" i="63"/>
  <c r="CO16" i="63" s="1"/>
  <c r="DB25" i="63"/>
  <c r="DC25" i="63" s="1"/>
  <c r="CV16" i="63"/>
  <c r="CW16" i="63" s="1"/>
  <c r="CR43" i="63"/>
  <c r="CS43" i="63" s="1"/>
  <c r="CV24" i="63"/>
  <c r="CW24" i="63" s="1"/>
  <c r="CV15" i="63"/>
  <c r="CW15" i="63" s="1"/>
  <c r="CL24" i="63"/>
  <c r="CM24" i="63" s="1"/>
  <c r="CZ24" i="63"/>
  <c r="DA24" i="63" s="1"/>
  <c r="CL37" i="63"/>
  <c r="CM37" i="63" s="1"/>
  <c r="CL43" i="63"/>
  <c r="CM43" i="63" s="1"/>
  <c r="CT43" i="63"/>
  <c r="CU43" i="63" s="1"/>
  <c r="CX15" i="63"/>
  <c r="CY15" i="63" s="1"/>
  <c r="CN24" i="63"/>
  <c r="CO24" i="63" s="1"/>
  <c r="CT37" i="63"/>
  <c r="CU37" i="63" s="1"/>
  <c r="CX43" i="63"/>
  <c r="CY43" i="63" s="1"/>
  <c r="DB43" i="63"/>
  <c r="DC43" i="63" s="1"/>
  <c r="CR12" i="63"/>
  <c r="CS12" i="63" s="1"/>
  <c r="CL15" i="63"/>
  <c r="CM15" i="63" s="1"/>
  <c r="DB17" i="63"/>
  <c r="DC17" i="63" s="1"/>
  <c r="CV23" i="63"/>
  <c r="CW23" i="63" s="1"/>
  <c r="CP24" i="63"/>
  <c r="CQ24" i="63" s="1"/>
  <c r="CP25" i="63"/>
  <c r="CQ25" i="63" s="1"/>
  <c r="CN43" i="63"/>
  <c r="CO43" i="63" s="1"/>
  <c r="CZ43" i="63"/>
  <c r="DA43" i="63" s="1"/>
  <c r="CK8" i="59"/>
  <c r="CT8" i="59" s="1"/>
  <c r="CU8" i="59" s="1"/>
  <c r="CK14" i="59"/>
  <c r="CZ14" i="59" s="1"/>
  <c r="DA14" i="59" s="1"/>
  <c r="CK18" i="59"/>
  <c r="CZ18" i="59" s="1"/>
  <c r="DA18" i="59" s="1"/>
  <c r="CK26" i="59"/>
  <c r="CZ26" i="59" s="1"/>
  <c r="DA26" i="59" s="1"/>
  <c r="CP15" i="63"/>
  <c r="CQ15" i="63" s="1"/>
  <c r="DB15" i="63"/>
  <c r="DC15" i="63" s="1"/>
  <c r="CT18" i="63"/>
  <c r="CU18" i="63" s="1"/>
  <c r="CT24" i="63"/>
  <c r="CU24" i="63" s="1"/>
  <c r="CL25" i="63"/>
  <c r="CM25" i="63" s="1"/>
  <c r="CV25" i="63"/>
  <c r="CW25" i="63" s="1"/>
  <c r="CN26" i="63"/>
  <c r="CO26" i="63" s="1"/>
  <c r="CP43" i="63"/>
  <c r="CQ43" i="63" s="1"/>
  <c r="CK16" i="59"/>
  <c r="CV16" i="59" s="1"/>
  <c r="CW16" i="59" s="1"/>
  <c r="CK6" i="59"/>
  <c r="CP6" i="59" s="1"/>
  <c r="CQ6" i="59" s="1"/>
  <c r="CK10" i="59"/>
  <c r="DB10" i="59" s="1"/>
  <c r="DC10" i="59" s="1"/>
  <c r="CK22" i="59"/>
  <c r="CV22" i="59" s="1"/>
  <c r="CW22" i="59" s="1"/>
  <c r="CZ16" i="59"/>
  <c r="DA16" i="59" s="1"/>
  <c r="CK7" i="59"/>
  <c r="CN7" i="59" s="1"/>
  <c r="CO7" i="59" s="1"/>
  <c r="CK11" i="59"/>
  <c r="CX11" i="59" s="1"/>
  <c r="CY11" i="59" s="1"/>
  <c r="CK15" i="59"/>
  <c r="DB15" i="59" s="1"/>
  <c r="DC15" i="59" s="1"/>
  <c r="CK19" i="59"/>
  <c r="CV19" i="59" s="1"/>
  <c r="CW19" i="59" s="1"/>
  <c r="CK23" i="59"/>
  <c r="CT23" i="59" s="1"/>
  <c r="CU23" i="59" s="1"/>
  <c r="CK27" i="59"/>
  <c r="CZ27" i="59" s="1"/>
  <c r="DA27" i="59" s="1"/>
  <c r="CT15" i="63"/>
  <c r="CU15" i="63" s="1"/>
  <c r="CN25" i="63"/>
  <c r="CO25" i="63" s="1"/>
  <c r="CX25" i="63"/>
  <c r="CY25" i="63" s="1"/>
  <c r="DB26" i="63"/>
  <c r="DC26" i="63" s="1"/>
  <c r="CK12" i="59"/>
  <c r="CL12" i="59" s="1"/>
  <c r="CK20" i="59"/>
  <c r="CZ20" i="59" s="1"/>
  <c r="DA20" i="59" s="1"/>
  <c r="CK24" i="59"/>
  <c r="CX24" i="59" s="1"/>
  <c r="CY24" i="59" s="1"/>
  <c r="CK9" i="59"/>
  <c r="CX9" i="59" s="1"/>
  <c r="CY9" i="59" s="1"/>
  <c r="CK13" i="59"/>
  <c r="CX13" i="59" s="1"/>
  <c r="CY13" i="59" s="1"/>
  <c r="CK17" i="59"/>
  <c r="DB17" i="59" s="1"/>
  <c r="DC17" i="59" s="1"/>
  <c r="CK25" i="59"/>
  <c r="CR25" i="59" s="1"/>
  <c r="CS25" i="59" s="1"/>
  <c r="CL18" i="63"/>
  <c r="CM18" i="63" s="1"/>
  <c r="CT25" i="63"/>
  <c r="CU25" i="63" s="1"/>
  <c r="CK29" i="59"/>
  <c r="CL29" i="59" s="1"/>
  <c r="CM29" i="59" s="1"/>
  <c r="CK33" i="59"/>
  <c r="CL33" i="59" s="1"/>
  <c r="CM33" i="59" s="1"/>
  <c r="CK30" i="59"/>
  <c r="DB30" i="59" s="1"/>
  <c r="DC30" i="59" s="1"/>
  <c r="CK34" i="59"/>
  <c r="CT34" i="59" s="1"/>
  <c r="CU34" i="59" s="1"/>
  <c r="CK31" i="59"/>
  <c r="CP31" i="59" s="1"/>
  <c r="CQ31" i="59" s="1"/>
  <c r="CK35" i="59"/>
  <c r="CL35" i="59" s="1"/>
  <c r="CM35" i="59" s="1"/>
  <c r="CK28" i="59"/>
  <c r="CZ28" i="59" s="1"/>
  <c r="DA28" i="59" s="1"/>
  <c r="CK32" i="59"/>
  <c r="CV32" i="59" s="1"/>
  <c r="BB5" i="58"/>
  <c r="AY9" i="58"/>
  <c r="AY14" i="58"/>
  <c r="BC5" i="58"/>
  <c r="AY8" i="58"/>
  <c r="AY6" i="58"/>
  <c r="BA5" i="58"/>
  <c r="AY15" i="58"/>
  <c r="AY11" i="58"/>
  <c r="AY7" i="58"/>
  <c r="AY10" i="58"/>
  <c r="AY13" i="58"/>
  <c r="CN39" i="63"/>
  <c r="CO39" i="63" s="1"/>
  <c r="DB39" i="63"/>
  <c r="DC39" i="63" s="1"/>
  <c r="CP39" i="63"/>
  <c r="CQ39" i="63" s="1"/>
  <c r="CV39" i="63"/>
  <c r="CW39" i="63" s="1"/>
  <c r="CL39" i="63"/>
  <c r="CM39" i="63" s="1"/>
  <c r="CR39" i="63"/>
  <c r="CS39" i="63" s="1"/>
  <c r="CX39" i="63"/>
  <c r="CY39" i="63" s="1"/>
  <c r="CT39" i="63"/>
  <c r="CU39" i="63" s="1"/>
  <c r="DB37" i="63"/>
  <c r="DC37" i="63" s="1"/>
  <c r="CP26" i="63"/>
  <c r="CQ26" i="63" s="1"/>
  <c r="CV26" i="63"/>
  <c r="CW26" i="63" s="1"/>
  <c r="CR26" i="63"/>
  <c r="CS26" i="63" s="1"/>
  <c r="CX26" i="63"/>
  <c r="CY26" i="63" s="1"/>
  <c r="CL26" i="63"/>
  <c r="CM26" i="63" s="1"/>
  <c r="CT26" i="63"/>
  <c r="CU26" i="63" s="1"/>
  <c r="CR25" i="63"/>
  <c r="CS25" i="63" s="1"/>
  <c r="CR24" i="63"/>
  <c r="CS24" i="63" s="1"/>
  <c r="CP23" i="63"/>
  <c r="CQ23" i="63" s="1"/>
  <c r="CX23" i="63"/>
  <c r="CY23" i="63" s="1"/>
  <c r="CR23" i="63"/>
  <c r="CS23" i="63" s="1"/>
  <c r="CZ23" i="63"/>
  <c r="DA23" i="63" s="1"/>
  <c r="CL23" i="63"/>
  <c r="CM23" i="63" s="1"/>
  <c r="CT23" i="63"/>
  <c r="CU23" i="63" s="1"/>
  <c r="CP22" i="63"/>
  <c r="CQ22" i="63" s="1"/>
  <c r="CX22" i="63"/>
  <c r="CY22" i="63" s="1"/>
  <c r="CR22" i="63"/>
  <c r="CS22" i="63" s="1"/>
  <c r="CZ22" i="63"/>
  <c r="DA22" i="63" s="1"/>
  <c r="CL22" i="63"/>
  <c r="CM22" i="63" s="1"/>
  <c r="CT22" i="63"/>
  <c r="CU22" i="63" s="1"/>
  <c r="DB22" i="63"/>
  <c r="DC22" i="63" s="1"/>
  <c r="CN22" i="63"/>
  <c r="CO22" i="63" s="1"/>
  <c r="CL21" i="63"/>
  <c r="CM21" i="63" s="1"/>
  <c r="CT21" i="63"/>
  <c r="CU21" i="63" s="1"/>
  <c r="DB21" i="63"/>
  <c r="DC21" i="63" s="1"/>
  <c r="CN21" i="63"/>
  <c r="CO21" i="63" s="1"/>
  <c r="CV21" i="63"/>
  <c r="CW21" i="63" s="1"/>
  <c r="CP21" i="63"/>
  <c r="CQ21" i="63" s="1"/>
  <c r="CX21" i="63"/>
  <c r="CY21" i="63" s="1"/>
  <c r="CR21" i="63"/>
  <c r="CS21" i="63" s="1"/>
  <c r="CP20" i="63"/>
  <c r="CQ20" i="63" s="1"/>
  <c r="CX20" i="63"/>
  <c r="CY20" i="63" s="1"/>
  <c r="CR20" i="63"/>
  <c r="CS20" i="63" s="1"/>
  <c r="CZ20" i="63"/>
  <c r="DA20" i="63" s="1"/>
  <c r="CL20" i="63"/>
  <c r="CM20" i="63" s="1"/>
  <c r="CT20" i="63"/>
  <c r="CU20" i="63" s="1"/>
  <c r="DB20" i="63"/>
  <c r="DC20" i="63" s="1"/>
  <c r="CN20" i="63"/>
  <c r="CO20" i="63" s="1"/>
  <c r="CL19" i="63"/>
  <c r="CM19" i="63" s="1"/>
  <c r="CT19" i="63"/>
  <c r="CU19" i="63" s="1"/>
  <c r="DB19" i="63"/>
  <c r="DC19" i="63" s="1"/>
  <c r="CN19" i="63"/>
  <c r="CO19" i="63" s="1"/>
  <c r="CV19" i="63"/>
  <c r="CW19" i="63" s="1"/>
  <c r="CP19" i="63"/>
  <c r="CQ19" i="63" s="1"/>
  <c r="CX19" i="63"/>
  <c r="CY19" i="63" s="1"/>
  <c r="CR19" i="63"/>
  <c r="CS19" i="63" s="1"/>
  <c r="CR18" i="63"/>
  <c r="CS18" i="63" s="1"/>
  <c r="CZ18" i="63"/>
  <c r="DA18" i="63" s="1"/>
  <c r="DB18" i="63"/>
  <c r="DC18" i="63" s="1"/>
  <c r="CN18" i="63"/>
  <c r="CO18" i="63" s="1"/>
  <c r="CV18" i="63"/>
  <c r="CW18" i="63" s="1"/>
  <c r="CP18" i="63"/>
  <c r="CQ18" i="63" s="1"/>
  <c r="CL17" i="63"/>
  <c r="CM17" i="63" s="1"/>
  <c r="CT17" i="63"/>
  <c r="CU17" i="63" s="1"/>
  <c r="CP17" i="63"/>
  <c r="CQ17" i="63" s="1"/>
  <c r="CX17" i="63"/>
  <c r="CY17" i="63" s="1"/>
  <c r="CR17" i="63"/>
  <c r="CS17" i="63" s="1"/>
  <c r="CZ17" i="63"/>
  <c r="DA17" i="63" s="1"/>
  <c r="CN17" i="63"/>
  <c r="CO17" i="63" s="1"/>
  <c r="CL16" i="63"/>
  <c r="CM16" i="63" s="1"/>
  <c r="CT16" i="63"/>
  <c r="CU16" i="63" s="1"/>
  <c r="DB16" i="63"/>
  <c r="DC16" i="63" s="1"/>
  <c r="CP16" i="63"/>
  <c r="CQ16" i="63" s="1"/>
  <c r="CX16" i="63"/>
  <c r="CY16" i="63" s="1"/>
  <c r="CR16" i="63"/>
  <c r="CS16" i="63" s="1"/>
  <c r="CR15" i="63"/>
  <c r="CS15" i="63" s="1"/>
  <c r="CZ13" i="63"/>
  <c r="DA13" i="63" s="1"/>
  <c r="CN13" i="63"/>
  <c r="CO13" i="63" s="1"/>
  <c r="CX12" i="63"/>
  <c r="CY12" i="63" s="1"/>
  <c r="CN12" i="63"/>
  <c r="CO12" i="63" s="1"/>
  <c r="CT12" i="63"/>
  <c r="CU12" i="63" s="1"/>
  <c r="CZ12" i="63"/>
  <c r="DA12" i="63" s="1"/>
  <c r="CP12" i="63"/>
  <c r="CQ12" i="63" s="1"/>
  <c r="CV12" i="63"/>
  <c r="CW12" i="63" s="1"/>
  <c r="CT11" i="63"/>
  <c r="CU11" i="63" s="1"/>
  <c r="CX11" i="63"/>
  <c r="CY11" i="63" s="1"/>
  <c r="CL11" i="63"/>
  <c r="CM11" i="63" s="1"/>
  <c r="CZ10" i="63"/>
  <c r="DA10" i="63" s="1"/>
  <c r="CL10" i="63"/>
  <c r="CM10" i="63" s="1"/>
  <c r="DB10" i="63"/>
  <c r="DC10" i="63" s="1"/>
  <c r="CR10" i="63"/>
  <c r="CS10" i="63" s="1"/>
  <c r="CT10" i="63"/>
  <c r="CU10" i="63" s="1"/>
  <c r="CN8" i="63"/>
  <c r="CO8" i="63" s="1"/>
  <c r="CV8" i="63"/>
  <c r="CW8" i="63" s="1"/>
  <c r="CP8" i="63"/>
  <c r="CQ8" i="63" s="1"/>
  <c r="CX8" i="63"/>
  <c r="CY8" i="63" s="1"/>
  <c r="CR8" i="63"/>
  <c r="CS8" i="63" s="1"/>
  <c r="CZ8" i="63"/>
  <c r="DA8" i="63" s="1"/>
  <c r="CL8" i="63"/>
  <c r="CM8" i="63" s="1"/>
  <c r="CT8" i="63"/>
  <c r="CU8" i="63" s="1"/>
  <c r="CN6" i="63"/>
  <c r="CO6" i="63" s="1"/>
  <c r="CV6" i="63"/>
  <c r="CW6" i="63" s="1"/>
  <c r="CP6" i="63"/>
  <c r="CQ6" i="63" s="1"/>
  <c r="CX6" i="63"/>
  <c r="CY6" i="63" s="1"/>
  <c r="CR6" i="63"/>
  <c r="CS6" i="63" s="1"/>
  <c r="CZ6" i="63"/>
  <c r="DA6" i="63" s="1"/>
  <c r="CL6" i="63"/>
  <c r="CM6" i="63" s="1"/>
  <c r="CT6" i="63"/>
  <c r="CU6" i="63" s="1"/>
  <c r="CL7" i="63"/>
  <c r="CM7" i="63" s="1"/>
  <c r="CP7" i="63"/>
  <c r="CQ7" i="63" s="1"/>
  <c r="CT7" i="63"/>
  <c r="CU7" i="63" s="1"/>
  <c r="CX7" i="63"/>
  <c r="CY7" i="63" s="1"/>
  <c r="DB7" i="63"/>
  <c r="DC7" i="63" s="1"/>
  <c r="CN10" i="63"/>
  <c r="CO10" i="63" s="1"/>
  <c r="CX10" i="63"/>
  <c r="CY10" i="63" s="1"/>
  <c r="CZ11" i="63"/>
  <c r="DA11" i="63" s="1"/>
  <c r="CV11" i="63"/>
  <c r="CW11" i="63" s="1"/>
  <c r="CR11" i="63"/>
  <c r="CS11" i="63" s="1"/>
  <c r="CN11" i="63"/>
  <c r="CO11" i="63" s="1"/>
  <c r="CP11" i="63"/>
  <c r="CQ11" i="63" s="1"/>
  <c r="DB13" i="63"/>
  <c r="DC13" i="63" s="1"/>
  <c r="CX13" i="63"/>
  <c r="CY13" i="63" s="1"/>
  <c r="CT13" i="63"/>
  <c r="CU13" i="63" s="1"/>
  <c r="CP13" i="63"/>
  <c r="CQ13" i="63" s="1"/>
  <c r="CL13" i="63"/>
  <c r="CM13" i="63" s="1"/>
  <c r="CV13" i="63"/>
  <c r="CW13" i="63" s="1"/>
  <c r="CT14" i="63"/>
  <c r="CU14" i="63" s="1"/>
  <c r="CZ14" i="63"/>
  <c r="DA14" i="63" s="1"/>
  <c r="DB9" i="63"/>
  <c r="DC9" i="63" s="1"/>
  <c r="CX9" i="63"/>
  <c r="CY9" i="63" s="1"/>
  <c r="CT9" i="63"/>
  <c r="CU9" i="63" s="1"/>
  <c r="CP9" i="63"/>
  <c r="CQ9" i="63" s="1"/>
  <c r="CL9" i="63"/>
  <c r="CM9" i="63" s="1"/>
  <c r="CV9" i="63"/>
  <c r="CW9" i="63" s="1"/>
  <c r="CP14" i="63"/>
  <c r="CQ14" i="63" s="1"/>
  <c r="CV14" i="63"/>
  <c r="CW14" i="63" s="1"/>
  <c r="CN7" i="63"/>
  <c r="CO7" i="63" s="1"/>
  <c r="CR7" i="63"/>
  <c r="CS7" i="63" s="1"/>
  <c r="CV7" i="63"/>
  <c r="CW7" i="63" s="1"/>
  <c r="CR9" i="63"/>
  <c r="CS9" i="63" s="1"/>
  <c r="CP10" i="63"/>
  <c r="CQ10" i="63" s="1"/>
  <c r="CL14" i="63"/>
  <c r="CM14" i="63" s="1"/>
  <c r="CR14" i="63"/>
  <c r="CS14" i="63" s="1"/>
  <c r="DB14" i="63"/>
  <c r="DC14" i="63" s="1"/>
  <c r="CN9" i="63"/>
  <c r="CO9" i="63" s="1"/>
  <c r="CN14" i="63"/>
  <c r="CO14" i="63" s="1"/>
  <c r="CN27" i="63"/>
  <c r="CO27" i="63" s="1"/>
  <c r="CX27" i="63"/>
  <c r="CY27" i="63" s="1"/>
  <c r="CT27" i="63"/>
  <c r="CU27" i="63" s="1"/>
  <c r="CZ27" i="63"/>
  <c r="DA27" i="63" s="1"/>
  <c r="CP27" i="63"/>
  <c r="CQ27" i="63" s="1"/>
  <c r="CV27" i="63"/>
  <c r="CW27" i="63" s="1"/>
  <c r="CX24" i="63"/>
  <c r="CY24" i="63" s="1"/>
  <c r="CL27" i="63"/>
  <c r="CM27" i="63" s="1"/>
  <c r="CR27" i="63"/>
  <c r="CS27" i="63" s="1"/>
  <c r="CN36" i="63"/>
  <c r="CO36" i="63" s="1"/>
  <c r="CR36" i="63"/>
  <c r="CS36" i="63" s="1"/>
  <c r="CV36" i="63"/>
  <c r="CW36" i="63" s="1"/>
  <c r="CZ36" i="63"/>
  <c r="DA36" i="63" s="1"/>
  <c r="CT41" i="63"/>
  <c r="CU41" i="63" s="1"/>
  <c r="CZ41" i="63"/>
  <c r="DA41" i="63" s="1"/>
  <c r="DB38" i="63"/>
  <c r="DC38" i="63" s="1"/>
  <c r="CX38" i="63"/>
  <c r="CY38" i="63" s="1"/>
  <c r="CT38" i="63"/>
  <c r="CU38" i="63" s="1"/>
  <c r="CP38" i="63"/>
  <c r="CQ38" i="63" s="1"/>
  <c r="CL38" i="63"/>
  <c r="CM38" i="63" s="1"/>
  <c r="CV38" i="63"/>
  <c r="CW38" i="63" s="1"/>
  <c r="CZ40" i="63"/>
  <c r="DA40" i="63" s="1"/>
  <c r="CV40" i="63"/>
  <c r="CW40" i="63" s="1"/>
  <c r="CR40" i="63"/>
  <c r="CS40" i="63" s="1"/>
  <c r="CN40" i="63"/>
  <c r="CO40" i="63" s="1"/>
  <c r="CP40" i="63"/>
  <c r="CQ40" i="63" s="1"/>
  <c r="CP41" i="63"/>
  <c r="CQ41" i="63" s="1"/>
  <c r="CV41" i="63"/>
  <c r="CW41" i="63" s="1"/>
  <c r="DB42" i="63"/>
  <c r="DC42" i="63" s="1"/>
  <c r="CX42" i="63"/>
  <c r="CY42" i="63" s="1"/>
  <c r="CT42" i="63"/>
  <c r="CU42" i="63" s="1"/>
  <c r="CP42" i="63"/>
  <c r="CQ42" i="63" s="1"/>
  <c r="CL42" i="63"/>
  <c r="CM42" i="63" s="1"/>
  <c r="CV42" i="63"/>
  <c r="CW42" i="63" s="1"/>
  <c r="CL36" i="63"/>
  <c r="CM36" i="63" s="1"/>
  <c r="CP36" i="63"/>
  <c r="CQ36" i="63" s="1"/>
  <c r="CT36" i="63"/>
  <c r="CU36" i="63" s="1"/>
  <c r="CX36" i="63"/>
  <c r="CY36" i="63" s="1"/>
  <c r="CZ37" i="63"/>
  <c r="DA37" i="63" s="1"/>
  <c r="CV37" i="63"/>
  <c r="CW37" i="63" s="1"/>
  <c r="CR37" i="63"/>
  <c r="CS37" i="63" s="1"/>
  <c r="CN37" i="63"/>
  <c r="CO37" i="63" s="1"/>
  <c r="CP37" i="63"/>
  <c r="CQ37" i="63" s="1"/>
  <c r="CR38" i="63"/>
  <c r="CS38" i="63" s="1"/>
  <c r="CL40" i="63"/>
  <c r="CM40" i="63" s="1"/>
  <c r="DB40" i="63"/>
  <c r="DC40" i="63" s="1"/>
  <c r="CL41" i="63"/>
  <c r="CM41" i="63" s="1"/>
  <c r="CR41" i="63"/>
  <c r="CS41" i="63" s="1"/>
  <c r="DB41" i="63"/>
  <c r="DC41" i="63" s="1"/>
  <c r="CR42" i="63"/>
  <c r="CS42" i="63" s="1"/>
  <c r="CN38" i="63"/>
  <c r="CO38" i="63" s="1"/>
  <c r="CX40" i="63"/>
  <c r="CY40" i="63" s="1"/>
  <c r="CN41" i="63"/>
  <c r="CO41" i="63" s="1"/>
  <c r="CN42" i="63"/>
  <c r="CO42" i="63" s="1"/>
  <c r="DB21" i="59"/>
  <c r="DC21" i="59" s="1"/>
  <c r="CX21" i="59"/>
  <c r="CY21" i="59" s="1"/>
  <c r="CT21" i="59"/>
  <c r="CU21" i="59" s="1"/>
  <c r="CP21" i="59"/>
  <c r="CL21" i="59"/>
  <c r="CN21" i="59"/>
  <c r="CR21" i="59"/>
  <c r="CS21" i="59" s="1"/>
  <c r="CV21" i="59"/>
  <c r="CW21" i="59" s="1"/>
  <c r="BA12" i="58"/>
  <c r="H76" i="58"/>
  <c r="J76" i="58"/>
  <c r="BB12" i="58"/>
  <c r="CC36" i="54"/>
  <c r="BU36" i="54"/>
  <c r="BL36" i="54"/>
  <c r="BC36" i="54"/>
  <c r="AT36" i="54"/>
  <c r="AK36" i="54"/>
  <c r="AB36" i="54"/>
  <c r="S36" i="54"/>
  <c r="CN8" i="59" l="1"/>
  <c r="CO8" i="59" s="1"/>
  <c r="CX16" i="59"/>
  <c r="CY16" i="59" s="1"/>
  <c r="CR24" i="59"/>
  <c r="CS24" i="59" s="1"/>
  <c r="CN13" i="59"/>
  <c r="DB19" i="59"/>
  <c r="DC19" i="59" s="1"/>
  <c r="CX18" i="59"/>
  <c r="CY18" i="59" s="1"/>
  <c r="CV10" i="59"/>
  <c r="CW10" i="59" s="1"/>
  <c r="DB25" i="59"/>
  <c r="DC25" i="59" s="1"/>
  <c r="CT24" i="59"/>
  <c r="CU24" i="59" s="1"/>
  <c r="CL13" i="59"/>
  <c r="CR6" i="59"/>
  <c r="CS6" i="59" s="1"/>
  <c r="CZ24" i="59"/>
  <c r="DA24" i="59" s="1"/>
  <c r="CP25" i="59"/>
  <c r="CQ25" i="59" s="1"/>
  <c r="CL25" i="59"/>
  <c r="CL24" i="59"/>
  <c r="CR13" i="59"/>
  <c r="CS13" i="59" s="1"/>
  <c r="DB13" i="59"/>
  <c r="DC13" i="59" s="1"/>
  <c r="CZ13" i="59"/>
  <c r="DA13" i="59" s="1"/>
  <c r="CN26" i="59"/>
  <c r="CO26" i="59" s="1"/>
  <c r="CV24" i="59"/>
  <c r="CW24" i="59" s="1"/>
  <c r="CN24" i="59"/>
  <c r="DB24" i="59"/>
  <c r="DC24" i="59" s="1"/>
  <c r="CT25" i="59"/>
  <c r="CU25" i="59" s="1"/>
  <c r="CP24" i="59"/>
  <c r="CT13" i="59"/>
  <c r="CU13" i="59" s="1"/>
  <c r="DB22" i="59"/>
  <c r="DC22" i="59" s="1"/>
  <c r="CV13" i="59"/>
  <c r="CW13" i="59" s="1"/>
  <c r="CN6" i="59"/>
  <c r="CO6" i="59" s="1"/>
  <c r="CR23" i="59"/>
  <c r="CS23" i="59" s="1"/>
  <c r="CT15" i="59"/>
  <c r="CU15" i="59" s="1"/>
  <c r="CP13" i="59"/>
  <c r="AD31" i="70"/>
  <c r="AK31" i="70" s="1"/>
  <c r="AL62" i="70" s="1"/>
  <c r="AM62" i="70" s="1"/>
  <c r="U35" i="70"/>
  <c r="AB35" i="70" s="1"/>
  <c r="AC66" i="70" s="1"/>
  <c r="AD66" i="70" s="1"/>
  <c r="U26" i="70"/>
  <c r="AB26" i="70" s="1"/>
  <c r="AC57" i="70" s="1"/>
  <c r="AD57" i="70" s="1"/>
  <c r="U23" i="70"/>
  <c r="AB23" i="70" s="1"/>
  <c r="AC54" i="70" s="1"/>
  <c r="AD54" i="70" s="1"/>
  <c r="U7" i="70"/>
  <c r="AB7" i="70" s="1"/>
  <c r="AC38" i="70" s="1"/>
  <c r="AD38" i="70" s="1"/>
  <c r="U33" i="70"/>
  <c r="AB33" i="70" s="1"/>
  <c r="AC64" i="70" s="1"/>
  <c r="AD64" i="70" s="1"/>
  <c r="U24" i="70"/>
  <c r="AB24" i="70" s="1"/>
  <c r="AC55" i="70" s="1"/>
  <c r="AD55" i="70" s="1"/>
  <c r="U29" i="70"/>
  <c r="AB29" i="70" s="1"/>
  <c r="AC60" i="70" s="1"/>
  <c r="AD60" i="70" s="1"/>
  <c r="U19" i="70"/>
  <c r="AB19" i="70" s="1"/>
  <c r="AC50" i="70" s="1"/>
  <c r="AD50" i="70" s="1"/>
  <c r="U31" i="70"/>
  <c r="AB31" i="70" s="1"/>
  <c r="AC62" i="70" s="1"/>
  <c r="AD62" i="70" s="1"/>
  <c r="U15" i="70"/>
  <c r="AB15" i="70" s="1"/>
  <c r="AC46" i="70" s="1"/>
  <c r="AD46" i="70" s="1"/>
  <c r="U25" i="70"/>
  <c r="AB25" i="70" s="1"/>
  <c r="AC56" i="70" s="1"/>
  <c r="AD56" i="70" s="1"/>
  <c r="U18" i="70"/>
  <c r="AB18" i="70" s="1"/>
  <c r="AC49" i="70" s="1"/>
  <c r="AD49" i="70" s="1"/>
  <c r="U8" i="70"/>
  <c r="AB8" i="70" s="1"/>
  <c r="AC39" i="70" s="1"/>
  <c r="AD39" i="70" s="1"/>
  <c r="U27" i="70"/>
  <c r="AB27" i="70" s="1"/>
  <c r="AC58" i="70" s="1"/>
  <c r="AD58" i="70" s="1"/>
  <c r="U21" i="70"/>
  <c r="AB21" i="70" s="1"/>
  <c r="AC52" i="70" s="1"/>
  <c r="AD52" i="70" s="1"/>
  <c r="U10" i="70"/>
  <c r="AB10" i="70" s="1"/>
  <c r="AC41" i="70" s="1"/>
  <c r="AD41" i="70" s="1"/>
  <c r="U30" i="70"/>
  <c r="AB30" i="70" s="1"/>
  <c r="AC61" i="70" s="1"/>
  <c r="AD61" i="70" s="1"/>
  <c r="U12" i="70"/>
  <c r="AB12" i="70" s="1"/>
  <c r="AC43" i="70" s="1"/>
  <c r="AD43" i="70" s="1"/>
  <c r="U14" i="70"/>
  <c r="AB14" i="70" s="1"/>
  <c r="AC45" i="70" s="1"/>
  <c r="AD45" i="70" s="1"/>
  <c r="U32" i="70"/>
  <c r="AB32" i="70" s="1"/>
  <c r="AC63" i="70" s="1"/>
  <c r="AD63" i="70" s="1"/>
  <c r="U22" i="70"/>
  <c r="AB22" i="70" s="1"/>
  <c r="AC53" i="70" s="1"/>
  <c r="AD53" i="70" s="1"/>
  <c r="U11" i="70"/>
  <c r="AB11" i="70" s="1"/>
  <c r="AC42" i="70" s="1"/>
  <c r="AD42" i="70" s="1"/>
  <c r="U34" i="70"/>
  <c r="AB34" i="70" s="1"/>
  <c r="AC65" i="70" s="1"/>
  <c r="AD65" i="70" s="1"/>
  <c r="U9" i="70"/>
  <c r="AB9" i="70" s="1"/>
  <c r="AC40" i="70" s="1"/>
  <c r="AD40" i="70" s="1"/>
  <c r="U28" i="70"/>
  <c r="AB28" i="70" s="1"/>
  <c r="AC59" i="70" s="1"/>
  <c r="AD59" i="70" s="1"/>
  <c r="U17" i="70"/>
  <c r="AB17" i="70" s="1"/>
  <c r="AC48" i="70" s="1"/>
  <c r="AD48" i="70" s="1"/>
  <c r="U20" i="70"/>
  <c r="AB20" i="70" s="1"/>
  <c r="AC51" i="70" s="1"/>
  <c r="AD51" i="70" s="1"/>
  <c r="U6" i="70"/>
  <c r="AB6" i="70" s="1"/>
  <c r="AC37" i="70" s="1"/>
  <c r="AD37" i="70" s="1"/>
  <c r="U13" i="70"/>
  <c r="AB13" i="70" s="1"/>
  <c r="AC44" i="70" s="1"/>
  <c r="AD44" i="70" s="1"/>
  <c r="AM34" i="70"/>
  <c r="AT34" i="70" s="1"/>
  <c r="AU65" i="70" s="1"/>
  <c r="AV65" i="70" s="1"/>
  <c r="AM33" i="70"/>
  <c r="AT33" i="70" s="1"/>
  <c r="AU64" i="70" s="1"/>
  <c r="AV64" i="70" s="1"/>
  <c r="AM18" i="70"/>
  <c r="AT18" i="70" s="1"/>
  <c r="AU49" i="70" s="1"/>
  <c r="AV49" i="70" s="1"/>
  <c r="AM28" i="70"/>
  <c r="AT28" i="70" s="1"/>
  <c r="AU59" i="70" s="1"/>
  <c r="AV59" i="70" s="1"/>
  <c r="AM12" i="70"/>
  <c r="AT12" i="70" s="1"/>
  <c r="AU43" i="70" s="1"/>
  <c r="AV43" i="70" s="1"/>
  <c r="AM20" i="70"/>
  <c r="AT20" i="70" s="1"/>
  <c r="AU51" i="70" s="1"/>
  <c r="AV51" i="70" s="1"/>
  <c r="AM15" i="70"/>
  <c r="AT15" i="70" s="1"/>
  <c r="AU46" i="70" s="1"/>
  <c r="AV46" i="70" s="1"/>
  <c r="AM17" i="70"/>
  <c r="AT17" i="70" s="1"/>
  <c r="AU48" i="70" s="1"/>
  <c r="AV48" i="70" s="1"/>
  <c r="AM25" i="70"/>
  <c r="AT25" i="70" s="1"/>
  <c r="AU56" i="70" s="1"/>
  <c r="AV56" i="70" s="1"/>
  <c r="AM27" i="70"/>
  <c r="AT27" i="70" s="1"/>
  <c r="AU58" i="70" s="1"/>
  <c r="AV58" i="70" s="1"/>
  <c r="AM10" i="70"/>
  <c r="AT10" i="70" s="1"/>
  <c r="AU41" i="70" s="1"/>
  <c r="AV41" i="70" s="1"/>
  <c r="AM29" i="70"/>
  <c r="AT29" i="70" s="1"/>
  <c r="AU60" i="70" s="1"/>
  <c r="AV60" i="70" s="1"/>
  <c r="AM30" i="70"/>
  <c r="AT30" i="70" s="1"/>
  <c r="AU61" i="70" s="1"/>
  <c r="AV61" i="70" s="1"/>
  <c r="AM31" i="70"/>
  <c r="AT31" i="70" s="1"/>
  <c r="AU62" i="70" s="1"/>
  <c r="AV62" i="70" s="1"/>
  <c r="AM24" i="70"/>
  <c r="AT24" i="70" s="1"/>
  <c r="AU55" i="70" s="1"/>
  <c r="AV55" i="70" s="1"/>
  <c r="AM9" i="70"/>
  <c r="AT9" i="70" s="1"/>
  <c r="AU40" i="70" s="1"/>
  <c r="AV40" i="70" s="1"/>
  <c r="AM11" i="70"/>
  <c r="AT11" i="70" s="1"/>
  <c r="AU42" i="70" s="1"/>
  <c r="AV42" i="70" s="1"/>
  <c r="AM14" i="70"/>
  <c r="AT14" i="70" s="1"/>
  <c r="AU45" i="70" s="1"/>
  <c r="AV45" i="70" s="1"/>
  <c r="AM16" i="70"/>
  <c r="AT16" i="70" s="1"/>
  <c r="AU47" i="70" s="1"/>
  <c r="AV47" i="70" s="1"/>
  <c r="AM35" i="70"/>
  <c r="AT35" i="70" s="1"/>
  <c r="AU66" i="70" s="1"/>
  <c r="AV66" i="70" s="1"/>
  <c r="AM23" i="70"/>
  <c r="AT23" i="70" s="1"/>
  <c r="AU54" i="70" s="1"/>
  <c r="AV54" i="70" s="1"/>
  <c r="AM21" i="70"/>
  <c r="AT21" i="70" s="1"/>
  <c r="AU52" i="70" s="1"/>
  <c r="AV52" i="70" s="1"/>
  <c r="AM22" i="70"/>
  <c r="AT22" i="70" s="1"/>
  <c r="AU53" i="70" s="1"/>
  <c r="AV53" i="70" s="1"/>
  <c r="AM32" i="70"/>
  <c r="AT32" i="70" s="1"/>
  <c r="AU63" i="70" s="1"/>
  <c r="AV63" i="70" s="1"/>
  <c r="AM13" i="70"/>
  <c r="AT13" i="70" s="1"/>
  <c r="AU44" i="70" s="1"/>
  <c r="AV44" i="70" s="1"/>
  <c r="AM6" i="70"/>
  <c r="AT6" i="70" s="1"/>
  <c r="AU37" i="70" s="1"/>
  <c r="AV37" i="70" s="1"/>
  <c r="AM19" i="70"/>
  <c r="AT19" i="70" s="1"/>
  <c r="AU50" i="70" s="1"/>
  <c r="AV50" i="70" s="1"/>
  <c r="AM7" i="70"/>
  <c r="AT7" i="70" s="1"/>
  <c r="AU38" i="70" s="1"/>
  <c r="AV38" i="70" s="1"/>
  <c r="AM26" i="70"/>
  <c r="AT26" i="70" s="1"/>
  <c r="AU57" i="70" s="1"/>
  <c r="AV57" i="70" s="1"/>
  <c r="AM8" i="70"/>
  <c r="AT8" i="70" s="1"/>
  <c r="AU39" i="70" s="1"/>
  <c r="AV39" i="70" s="1"/>
  <c r="BW34" i="70"/>
  <c r="CC34" i="70" s="1"/>
  <c r="CD65" i="70" s="1"/>
  <c r="CE65" i="70" s="1"/>
  <c r="BW7" i="70"/>
  <c r="CC7" i="70" s="1"/>
  <c r="CD38" i="70" s="1"/>
  <c r="CE38" i="70" s="1"/>
  <c r="BW33" i="70"/>
  <c r="CC33" i="70" s="1"/>
  <c r="CD64" i="70" s="1"/>
  <c r="CE64" i="70" s="1"/>
  <c r="BW19" i="70"/>
  <c r="CC19" i="70" s="1"/>
  <c r="CD50" i="70" s="1"/>
  <c r="CE50" i="70" s="1"/>
  <c r="BW11" i="70"/>
  <c r="CC11" i="70" s="1"/>
  <c r="CD42" i="70" s="1"/>
  <c r="CE42" i="70" s="1"/>
  <c r="BW32" i="70"/>
  <c r="CC32" i="70" s="1"/>
  <c r="CD63" i="70" s="1"/>
  <c r="CE63" i="70" s="1"/>
  <c r="BW20" i="70"/>
  <c r="CC20" i="70" s="1"/>
  <c r="CD51" i="70" s="1"/>
  <c r="CE51" i="70" s="1"/>
  <c r="BW28" i="70"/>
  <c r="CC28" i="70" s="1"/>
  <c r="CD59" i="70" s="1"/>
  <c r="CE59" i="70" s="1"/>
  <c r="BW35" i="70"/>
  <c r="CC35" i="70" s="1"/>
  <c r="CD66" i="70" s="1"/>
  <c r="CE66" i="70" s="1"/>
  <c r="BW23" i="70"/>
  <c r="CC23" i="70" s="1"/>
  <c r="CD54" i="70" s="1"/>
  <c r="CE54" i="70" s="1"/>
  <c r="BW26" i="70"/>
  <c r="CC26" i="70" s="1"/>
  <c r="CD57" i="70" s="1"/>
  <c r="CE57" i="70" s="1"/>
  <c r="BW10" i="70"/>
  <c r="CC10" i="70" s="1"/>
  <c r="CD41" i="70" s="1"/>
  <c r="CE41" i="70" s="1"/>
  <c r="BW31" i="70"/>
  <c r="CC31" i="70" s="1"/>
  <c r="CD62" i="70" s="1"/>
  <c r="CE62" i="70" s="1"/>
  <c r="BW9" i="70"/>
  <c r="CC9" i="70" s="1"/>
  <c r="CD40" i="70" s="1"/>
  <c r="CE40" i="70" s="1"/>
  <c r="BW15" i="70"/>
  <c r="CC15" i="70" s="1"/>
  <c r="CD46" i="70" s="1"/>
  <c r="CE46" i="70" s="1"/>
  <c r="BW22" i="70"/>
  <c r="CC22" i="70" s="1"/>
  <c r="CD53" i="70" s="1"/>
  <c r="CE53" i="70" s="1"/>
  <c r="BW21" i="70"/>
  <c r="CC21" i="70" s="1"/>
  <c r="CD52" i="70" s="1"/>
  <c r="CE52" i="70" s="1"/>
  <c r="BW30" i="70"/>
  <c r="CC30" i="70" s="1"/>
  <c r="CD61" i="70" s="1"/>
  <c r="CE61" i="70" s="1"/>
  <c r="BW24" i="70"/>
  <c r="CC24" i="70" s="1"/>
  <c r="CD55" i="70" s="1"/>
  <c r="CE55" i="70" s="1"/>
  <c r="BW29" i="70"/>
  <c r="CC29" i="70" s="1"/>
  <c r="CD60" i="70" s="1"/>
  <c r="CE60" i="70" s="1"/>
  <c r="BW13" i="70"/>
  <c r="CC13" i="70" s="1"/>
  <c r="CD44" i="70" s="1"/>
  <c r="CE44" i="70" s="1"/>
  <c r="BW8" i="70"/>
  <c r="CC8" i="70" s="1"/>
  <c r="CD39" i="70" s="1"/>
  <c r="CE39" i="70" s="1"/>
  <c r="BW25" i="70"/>
  <c r="CC25" i="70" s="1"/>
  <c r="CD56" i="70" s="1"/>
  <c r="CE56" i="70" s="1"/>
  <c r="BW14" i="70"/>
  <c r="CC14" i="70" s="1"/>
  <c r="CD45" i="70" s="1"/>
  <c r="CE45" i="70" s="1"/>
  <c r="BW18" i="70"/>
  <c r="CC18" i="70" s="1"/>
  <c r="CD49" i="70" s="1"/>
  <c r="CE49" i="70" s="1"/>
  <c r="BW12" i="70"/>
  <c r="CC12" i="70" s="1"/>
  <c r="CD43" i="70" s="1"/>
  <c r="CE43" i="70" s="1"/>
  <c r="BW6" i="70"/>
  <c r="CC6" i="70" s="1"/>
  <c r="CD37" i="70" s="1"/>
  <c r="CE37" i="70" s="1"/>
  <c r="BW27" i="70"/>
  <c r="CC27" i="70" s="1"/>
  <c r="CD58" i="70" s="1"/>
  <c r="CE58" i="70" s="1"/>
  <c r="BW16" i="70"/>
  <c r="CC16" i="70" s="1"/>
  <c r="CD47" i="70" s="1"/>
  <c r="CE47" i="70" s="1"/>
  <c r="BW17" i="70"/>
  <c r="CC17" i="70" s="1"/>
  <c r="CD48" i="70" s="1"/>
  <c r="CE48" i="70" s="1"/>
  <c r="BN31" i="70"/>
  <c r="BU31" i="70" s="1"/>
  <c r="BV62" i="70" s="1"/>
  <c r="BW62" i="70" s="1"/>
  <c r="BN28" i="70"/>
  <c r="BU28" i="70" s="1"/>
  <c r="BV59" i="70" s="1"/>
  <c r="BW59" i="70" s="1"/>
  <c r="BN30" i="70"/>
  <c r="BU30" i="70" s="1"/>
  <c r="BV61" i="70" s="1"/>
  <c r="BW61" i="70" s="1"/>
  <c r="BN13" i="70"/>
  <c r="BU13" i="70" s="1"/>
  <c r="BV44" i="70" s="1"/>
  <c r="BW44" i="70" s="1"/>
  <c r="BN9" i="70"/>
  <c r="BU9" i="70" s="1"/>
  <c r="BV40" i="70" s="1"/>
  <c r="BW40" i="70" s="1"/>
  <c r="BN29" i="70"/>
  <c r="BU29" i="70" s="1"/>
  <c r="BV60" i="70" s="1"/>
  <c r="BW60" i="70" s="1"/>
  <c r="BN19" i="70"/>
  <c r="BU19" i="70" s="1"/>
  <c r="BV50" i="70" s="1"/>
  <c r="BW50" i="70" s="1"/>
  <c r="BN23" i="70"/>
  <c r="BU23" i="70" s="1"/>
  <c r="BV54" i="70" s="1"/>
  <c r="BW54" i="70" s="1"/>
  <c r="BN11" i="70"/>
  <c r="BU11" i="70" s="1"/>
  <c r="BV42" i="70" s="1"/>
  <c r="BW42" i="70" s="1"/>
  <c r="BN22" i="70"/>
  <c r="BU22" i="70" s="1"/>
  <c r="BV53" i="70" s="1"/>
  <c r="BW53" i="70" s="1"/>
  <c r="BN27" i="70"/>
  <c r="BU27" i="70" s="1"/>
  <c r="BV58" i="70" s="1"/>
  <c r="BW58" i="70" s="1"/>
  <c r="BN24" i="70"/>
  <c r="BU24" i="70" s="1"/>
  <c r="BV55" i="70" s="1"/>
  <c r="BW55" i="70" s="1"/>
  <c r="BN26" i="70"/>
  <c r="BU26" i="70" s="1"/>
  <c r="BV57" i="70" s="1"/>
  <c r="BW57" i="70" s="1"/>
  <c r="BN12" i="70"/>
  <c r="BU12" i="70" s="1"/>
  <c r="BV43" i="70" s="1"/>
  <c r="BW43" i="70" s="1"/>
  <c r="BN8" i="70"/>
  <c r="BU8" i="70" s="1"/>
  <c r="BV39" i="70" s="1"/>
  <c r="BW39" i="70" s="1"/>
  <c r="BN25" i="70"/>
  <c r="BU25" i="70" s="1"/>
  <c r="BV56" i="70" s="1"/>
  <c r="BW56" i="70" s="1"/>
  <c r="BN17" i="70"/>
  <c r="BU17" i="70" s="1"/>
  <c r="BV48" i="70" s="1"/>
  <c r="BW48" i="70" s="1"/>
  <c r="BN32" i="70"/>
  <c r="BU32" i="70" s="1"/>
  <c r="BV63" i="70" s="1"/>
  <c r="BW63" i="70" s="1"/>
  <c r="BN15" i="70"/>
  <c r="BU15" i="70" s="1"/>
  <c r="BV46" i="70" s="1"/>
  <c r="BW46" i="70" s="1"/>
  <c r="BN21" i="70"/>
  <c r="BU21" i="70" s="1"/>
  <c r="BV52" i="70" s="1"/>
  <c r="BW52" i="70" s="1"/>
  <c r="BN33" i="70"/>
  <c r="BU33" i="70" s="1"/>
  <c r="BV64" i="70" s="1"/>
  <c r="BW64" i="70" s="1"/>
  <c r="BN34" i="70"/>
  <c r="BU34" i="70" s="1"/>
  <c r="BV65" i="70" s="1"/>
  <c r="BW65" i="70" s="1"/>
  <c r="BN35" i="70"/>
  <c r="BU35" i="70" s="1"/>
  <c r="BV66" i="70" s="1"/>
  <c r="BW66" i="70" s="1"/>
  <c r="BN14" i="70"/>
  <c r="BU14" i="70" s="1"/>
  <c r="BV45" i="70" s="1"/>
  <c r="BW45" i="70" s="1"/>
  <c r="BN10" i="70"/>
  <c r="BU10" i="70" s="1"/>
  <c r="BV41" i="70" s="1"/>
  <c r="BW41" i="70" s="1"/>
  <c r="BN6" i="70"/>
  <c r="BU6" i="70" s="1"/>
  <c r="BV37" i="70" s="1"/>
  <c r="BW37" i="70" s="1"/>
  <c r="BN16" i="70"/>
  <c r="BU16" i="70" s="1"/>
  <c r="BV47" i="70" s="1"/>
  <c r="BW47" i="70" s="1"/>
  <c r="BN18" i="70"/>
  <c r="BU18" i="70" s="1"/>
  <c r="BV49" i="70" s="1"/>
  <c r="BW49" i="70" s="1"/>
  <c r="BN20" i="70"/>
  <c r="BU20" i="70" s="1"/>
  <c r="BV51" i="70" s="1"/>
  <c r="BW51" i="70" s="1"/>
  <c r="BN7" i="70"/>
  <c r="BU7" i="70" s="1"/>
  <c r="BV38" i="70" s="1"/>
  <c r="BW38" i="70" s="1"/>
  <c r="AD24" i="70"/>
  <c r="AK24" i="70" s="1"/>
  <c r="AL55" i="70" s="1"/>
  <c r="AM55" i="70" s="1"/>
  <c r="AD30" i="70"/>
  <c r="AK30" i="70" s="1"/>
  <c r="AL61" i="70" s="1"/>
  <c r="AM61" i="70" s="1"/>
  <c r="AD9" i="70"/>
  <c r="AK9" i="70" s="1"/>
  <c r="AL40" i="70" s="1"/>
  <c r="AM40" i="70" s="1"/>
  <c r="AD26" i="70"/>
  <c r="AK26" i="70" s="1"/>
  <c r="AL57" i="70" s="1"/>
  <c r="AM57" i="70" s="1"/>
  <c r="AD34" i="70"/>
  <c r="AK34" i="70" s="1"/>
  <c r="AL65" i="70" s="1"/>
  <c r="AM65" i="70" s="1"/>
  <c r="AD19" i="70"/>
  <c r="AK19" i="70" s="1"/>
  <c r="AL50" i="70" s="1"/>
  <c r="AM50" i="70" s="1"/>
  <c r="AD6" i="70"/>
  <c r="AK6" i="70" s="1"/>
  <c r="AL37" i="70" s="1"/>
  <c r="AM37" i="70" s="1"/>
  <c r="AD11" i="70"/>
  <c r="AK11" i="70" s="1"/>
  <c r="AL42" i="70" s="1"/>
  <c r="AM42" i="70" s="1"/>
  <c r="AD16" i="70"/>
  <c r="AK16" i="70" s="1"/>
  <c r="AL47" i="70" s="1"/>
  <c r="AM47" i="70" s="1"/>
  <c r="AD22" i="70"/>
  <c r="AK22" i="70" s="1"/>
  <c r="AL53" i="70" s="1"/>
  <c r="AM53" i="70" s="1"/>
  <c r="AD13" i="70"/>
  <c r="AK13" i="70" s="1"/>
  <c r="AL44" i="70" s="1"/>
  <c r="AM44" i="70" s="1"/>
  <c r="AD23" i="70"/>
  <c r="AK23" i="70" s="1"/>
  <c r="AL54" i="70" s="1"/>
  <c r="AM54" i="70" s="1"/>
  <c r="AD12" i="70"/>
  <c r="AK12" i="70" s="1"/>
  <c r="AL43" i="70" s="1"/>
  <c r="AM43" i="70" s="1"/>
  <c r="AD17" i="70"/>
  <c r="AK17" i="70" s="1"/>
  <c r="AL48" i="70" s="1"/>
  <c r="AM48" i="70" s="1"/>
  <c r="AD7" i="70"/>
  <c r="AK7" i="70" s="1"/>
  <c r="AL38" i="70" s="1"/>
  <c r="AM38" i="70" s="1"/>
  <c r="AD29" i="70"/>
  <c r="AK29" i="70" s="1"/>
  <c r="AL60" i="70" s="1"/>
  <c r="AM60" i="70" s="1"/>
  <c r="AD20" i="70"/>
  <c r="AK20" i="70" s="1"/>
  <c r="AL51" i="70" s="1"/>
  <c r="AM51" i="70" s="1"/>
  <c r="AD28" i="70"/>
  <c r="AK28" i="70" s="1"/>
  <c r="AL59" i="70" s="1"/>
  <c r="AM59" i="70" s="1"/>
  <c r="AD21" i="70"/>
  <c r="AK21" i="70" s="1"/>
  <c r="AL52" i="70" s="1"/>
  <c r="AM52" i="70" s="1"/>
  <c r="AD33" i="70"/>
  <c r="AK33" i="70" s="1"/>
  <c r="AL64" i="70" s="1"/>
  <c r="AM64" i="70" s="1"/>
  <c r="AD10" i="70"/>
  <c r="AK10" i="70" s="1"/>
  <c r="AL41" i="70" s="1"/>
  <c r="AM41" i="70" s="1"/>
  <c r="AD35" i="70"/>
  <c r="AK35" i="70" s="1"/>
  <c r="AL66" i="70" s="1"/>
  <c r="AM66" i="70" s="1"/>
  <c r="AD27" i="70"/>
  <c r="AK27" i="70" s="1"/>
  <c r="AL58" i="70" s="1"/>
  <c r="AM58" i="70" s="1"/>
  <c r="AD32" i="70"/>
  <c r="AK32" i="70" s="1"/>
  <c r="AL63" i="70" s="1"/>
  <c r="AM63" i="70" s="1"/>
  <c r="AD14" i="70"/>
  <c r="AK14" i="70" s="1"/>
  <c r="AL45" i="70" s="1"/>
  <c r="AM45" i="70" s="1"/>
  <c r="AD18" i="70"/>
  <c r="AK18" i="70" s="1"/>
  <c r="AL49" i="70" s="1"/>
  <c r="AM49" i="70" s="1"/>
  <c r="AD8" i="70"/>
  <c r="AK8" i="70" s="1"/>
  <c r="AL39" i="70" s="1"/>
  <c r="AM39" i="70" s="1"/>
  <c r="AD15" i="70"/>
  <c r="AK15" i="70" s="1"/>
  <c r="AL46" i="70" s="1"/>
  <c r="AM46" i="70" s="1"/>
  <c r="AD25" i="70"/>
  <c r="AK25" i="70" s="1"/>
  <c r="AL56" i="70" s="1"/>
  <c r="AM56" i="70" s="1"/>
  <c r="BE34" i="70"/>
  <c r="BL34" i="70" s="1"/>
  <c r="BM65" i="70" s="1"/>
  <c r="BN65" i="70" s="1"/>
  <c r="BE25" i="70"/>
  <c r="BL25" i="70" s="1"/>
  <c r="BM56" i="70" s="1"/>
  <c r="BN56" i="70" s="1"/>
  <c r="BE22" i="70"/>
  <c r="BL22" i="70" s="1"/>
  <c r="BM53" i="70" s="1"/>
  <c r="BN53" i="70" s="1"/>
  <c r="BE28" i="70"/>
  <c r="BL28" i="70" s="1"/>
  <c r="BM59" i="70" s="1"/>
  <c r="BN59" i="70" s="1"/>
  <c r="BE13" i="70"/>
  <c r="BL13" i="70" s="1"/>
  <c r="BM44" i="70" s="1"/>
  <c r="BN44" i="70" s="1"/>
  <c r="BE9" i="70"/>
  <c r="BL9" i="70" s="1"/>
  <c r="BM40" i="70" s="1"/>
  <c r="BN40" i="70" s="1"/>
  <c r="BE14" i="70"/>
  <c r="BL14" i="70" s="1"/>
  <c r="BM45" i="70" s="1"/>
  <c r="BN45" i="70" s="1"/>
  <c r="BE19" i="70"/>
  <c r="BL19" i="70" s="1"/>
  <c r="BM50" i="70" s="1"/>
  <c r="BN50" i="70" s="1"/>
  <c r="BE32" i="70"/>
  <c r="BL32" i="70" s="1"/>
  <c r="BM63" i="70" s="1"/>
  <c r="BN63" i="70" s="1"/>
  <c r="BE23" i="70"/>
  <c r="BL23" i="70" s="1"/>
  <c r="BM54" i="70" s="1"/>
  <c r="BN54" i="70" s="1"/>
  <c r="BE20" i="70"/>
  <c r="BL20" i="70" s="1"/>
  <c r="BM51" i="70" s="1"/>
  <c r="BN51" i="70" s="1"/>
  <c r="BE35" i="70"/>
  <c r="BL35" i="70" s="1"/>
  <c r="BM66" i="70" s="1"/>
  <c r="BN66" i="70" s="1"/>
  <c r="BE21" i="70"/>
  <c r="BL21" i="70" s="1"/>
  <c r="BM52" i="70" s="1"/>
  <c r="BN52" i="70" s="1"/>
  <c r="BE18" i="70"/>
  <c r="BL18" i="70" s="1"/>
  <c r="BM49" i="70" s="1"/>
  <c r="BN49" i="70" s="1"/>
  <c r="BE24" i="70"/>
  <c r="BL24" i="70" s="1"/>
  <c r="BM55" i="70" s="1"/>
  <c r="BN55" i="70" s="1"/>
  <c r="BE12" i="70"/>
  <c r="BL12" i="70" s="1"/>
  <c r="BM43" i="70" s="1"/>
  <c r="BN43" i="70" s="1"/>
  <c r="BE6" i="70"/>
  <c r="BL6" i="70" s="1"/>
  <c r="BM37" i="70" s="1"/>
  <c r="BN37" i="70" s="1"/>
  <c r="BE10" i="70"/>
  <c r="BL10" i="70" s="1"/>
  <c r="BM41" i="70" s="1"/>
  <c r="BN41" i="70" s="1"/>
  <c r="BE16" i="70"/>
  <c r="BL16" i="70" s="1"/>
  <c r="BM47" i="70" s="1"/>
  <c r="BN47" i="70" s="1"/>
  <c r="BE33" i="70"/>
  <c r="BL33" i="70" s="1"/>
  <c r="BM64" i="70" s="1"/>
  <c r="BN64" i="70" s="1"/>
  <c r="BE7" i="70"/>
  <c r="BL7" i="70" s="1"/>
  <c r="BM38" i="70" s="1"/>
  <c r="BN38" i="70" s="1"/>
  <c r="BE29" i="70"/>
  <c r="BL29" i="70" s="1"/>
  <c r="BM60" i="70" s="1"/>
  <c r="BN60" i="70" s="1"/>
  <c r="BE26" i="70"/>
  <c r="BL26" i="70" s="1"/>
  <c r="BM57" i="70" s="1"/>
  <c r="BN57" i="70" s="1"/>
  <c r="BE31" i="70"/>
  <c r="BL31" i="70" s="1"/>
  <c r="BM62" i="70" s="1"/>
  <c r="BN62" i="70" s="1"/>
  <c r="BE17" i="70"/>
  <c r="BL17" i="70" s="1"/>
  <c r="BM48" i="70" s="1"/>
  <c r="BN48" i="70" s="1"/>
  <c r="BE11" i="70"/>
  <c r="BL11" i="70" s="1"/>
  <c r="BM42" i="70" s="1"/>
  <c r="BN42" i="70" s="1"/>
  <c r="BE15" i="70"/>
  <c r="BL15" i="70" s="1"/>
  <c r="BM46" i="70" s="1"/>
  <c r="BN46" i="70" s="1"/>
  <c r="BE27" i="70"/>
  <c r="BL27" i="70" s="1"/>
  <c r="BM58" i="70" s="1"/>
  <c r="BN58" i="70" s="1"/>
  <c r="BE30" i="70"/>
  <c r="BL30" i="70" s="1"/>
  <c r="BM61" i="70" s="1"/>
  <c r="BN61" i="70" s="1"/>
  <c r="BE8" i="70"/>
  <c r="BL8" i="70" s="1"/>
  <c r="BM39" i="70" s="1"/>
  <c r="BN39" i="70" s="1"/>
  <c r="CM15" i="70"/>
  <c r="C10" i="70" s="1"/>
  <c r="J10" i="70" s="1"/>
  <c r="K41" i="70" s="1"/>
  <c r="L41" i="70" s="1"/>
  <c r="U16" i="70"/>
  <c r="AB16" i="70" s="1"/>
  <c r="AC47" i="70" s="1"/>
  <c r="AD47" i="70" s="1"/>
  <c r="CO25" i="70"/>
  <c r="CO29" i="70" s="1"/>
  <c r="AV34" i="70"/>
  <c r="BC34" i="70" s="1"/>
  <c r="BD65" i="70" s="1"/>
  <c r="BE65" i="70" s="1"/>
  <c r="AV28" i="70"/>
  <c r="BC28" i="70" s="1"/>
  <c r="BD59" i="70" s="1"/>
  <c r="BE59" i="70" s="1"/>
  <c r="AV33" i="70"/>
  <c r="BC33" i="70" s="1"/>
  <c r="BD64" i="70" s="1"/>
  <c r="BE64" i="70" s="1"/>
  <c r="AV14" i="70"/>
  <c r="BC14" i="70" s="1"/>
  <c r="BD45" i="70" s="1"/>
  <c r="BE45" i="70" s="1"/>
  <c r="AV10" i="70"/>
  <c r="BC10" i="70" s="1"/>
  <c r="BD41" i="70" s="1"/>
  <c r="BE41" i="70" s="1"/>
  <c r="AV6" i="70"/>
  <c r="BC6" i="70" s="1"/>
  <c r="BD37" i="70" s="1"/>
  <c r="BE37" i="70" s="1"/>
  <c r="AV16" i="70"/>
  <c r="BC16" i="70" s="1"/>
  <c r="BD47" i="70" s="1"/>
  <c r="BE47" i="70" s="1"/>
  <c r="AV21" i="70"/>
  <c r="BC21" i="70" s="1"/>
  <c r="BD52" i="70" s="1"/>
  <c r="BE52" i="70" s="1"/>
  <c r="AV27" i="70"/>
  <c r="BC27" i="70" s="1"/>
  <c r="BD58" i="70" s="1"/>
  <c r="BE58" i="70" s="1"/>
  <c r="AV12" i="70"/>
  <c r="BC12" i="70" s="1"/>
  <c r="BD43" i="70" s="1"/>
  <c r="BE43" i="70" s="1"/>
  <c r="AV25" i="70"/>
  <c r="BC25" i="70" s="1"/>
  <c r="BD56" i="70" s="1"/>
  <c r="BE56" i="70" s="1"/>
  <c r="AV31" i="70"/>
  <c r="BC31" i="70" s="1"/>
  <c r="BD62" i="70" s="1"/>
  <c r="BE62" i="70" s="1"/>
  <c r="AV24" i="70"/>
  <c r="BC24" i="70" s="1"/>
  <c r="BD55" i="70" s="1"/>
  <c r="BE55" i="70" s="1"/>
  <c r="AV30" i="70"/>
  <c r="BC30" i="70" s="1"/>
  <c r="BD61" i="70" s="1"/>
  <c r="BE61" i="70" s="1"/>
  <c r="AV13" i="70"/>
  <c r="BC13" i="70" s="1"/>
  <c r="BD44" i="70" s="1"/>
  <c r="BE44" i="70" s="1"/>
  <c r="AV9" i="70"/>
  <c r="BC9" i="70" s="1"/>
  <c r="BD40" i="70" s="1"/>
  <c r="BE40" i="70" s="1"/>
  <c r="AV22" i="70"/>
  <c r="BC22" i="70" s="1"/>
  <c r="BD53" i="70" s="1"/>
  <c r="BE53" i="70" s="1"/>
  <c r="AV29" i="70"/>
  <c r="BC29" i="70" s="1"/>
  <c r="BD60" i="70" s="1"/>
  <c r="BE60" i="70" s="1"/>
  <c r="AV26" i="70"/>
  <c r="BC26" i="70" s="1"/>
  <c r="BD57" i="70" s="1"/>
  <c r="BE57" i="70" s="1"/>
  <c r="AV19" i="70"/>
  <c r="BC19" i="70" s="1"/>
  <c r="BD50" i="70" s="1"/>
  <c r="BE50" i="70" s="1"/>
  <c r="AV32" i="70"/>
  <c r="BC32" i="70" s="1"/>
  <c r="BD63" i="70" s="1"/>
  <c r="BE63" i="70" s="1"/>
  <c r="AV23" i="70"/>
  <c r="BC23" i="70" s="1"/>
  <c r="BD54" i="70" s="1"/>
  <c r="BE54" i="70" s="1"/>
  <c r="AV35" i="70"/>
  <c r="BC35" i="70" s="1"/>
  <c r="BD66" i="70" s="1"/>
  <c r="BE66" i="70" s="1"/>
  <c r="AV15" i="70"/>
  <c r="BC15" i="70" s="1"/>
  <c r="BD46" i="70" s="1"/>
  <c r="BE46" i="70" s="1"/>
  <c r="AV11" i="70"/>
  <c r="BC11" i="70" s="1"/>
  <c r="BD42" i="70" s="1"/>
  <c r="BE42" i="70" s="1"/>
  <c r="AV7" i="70"/>
  <c r="BC7" i="70" s="1"/>
  <c r="BD38" i="70" s="1"/>
  <c r="BE38" i="70" s="1"/>
  <c r="AV17" i="70"/>
  <c r="BC17" i="70" s="1"/>
  <c r="BD48" i="70" s="1"/>
  <c r="BE48" i="70" s="1"/>
  <c r="AV18" i="70"/>
  <c r="BC18" i="70" s="1"/>
  <c r="BD49" i="70" s="1"/>
  <c r="BE49" i="70" s="1"/>
  <c r="AV20" i="70"/>
  <c r="BC20" i="70" s="1"/>
  <c r="BD51" i="70" s="1"/>
  <c r="BE51" i="70" s="1"/>
  <c r="AV8" i="70"/>
  <c r="BC8" i="70" s="1"/>
  <c r="BD39" i="70" s="1"/>
  <c r="BE39" i="70" s="1"/>
  <c r="CN16" i="59"/>
  <c r="CO16" i="59" s="1"/>
  <c r="CT16" i="59"/>
  <c r="CR10" i="59"/>
  <c r="CS10" i="59" s="1"/>
  <c r="CR11" i="59"/>
  <c r="CS11" i="59" s="1"/>
  <c r="CP16" i="59"/>
  <c r="CL34" i="59"/>
  <c r="CM34" i="59" s="1"/>
  <c r="CN10" i="59"/>
  <c r="CL19" i="59"/>
  <c r="CV14" i="59"/>
  <c r="CW14" i="59" s="1"/>
  <c r="BB7" i="58"/>
  <c r="AI71" i="58"/>
  <c r="Z71" i="58"/>
  <c r="AT71" i="58"/>
  <c r="AR71" i="58"/>
  <c r="AK71" i="58"/>
  <c r="AB71" i="58"/>
  <c r="Q71" i="58"/>
  <c r="S71" i="58"/>
  <c r="AI70" i="58"/>
  <c r="Q70" i="58"/>
  <c r="AT70" i="58"/>
  <c r="AR70" i="58"/>
  <c r="AK70" i="58"/>
  <c r="Z70" i="58"/>
  <c r="S70" i="58"/>
  <c r="AB70" i="58"/>
  <c r="BB9" i="58"/>
  <c r="AK73" i="58"/>
  <c r="Z73" i="58"/>
  <c r="AI73" i="58"/>
  <c r="AT73" i="58"/>
  <c r="AR73" i="58"/>
  <c r="AB73" i="58"/>
  <c r="Q73" i="58"/>
  <c r="S73" i="58"/>
  <c r="H75" i="58"/>
  <c r="AR75" i="58"/>
  <c r="AB75" i="58"/>
  <c r="AK75" i="58"/>
  <c r="Z75" i="58"/>
  <c r="AI75" i="58"/>
  <c r="AT75" i="58"/>
  <c r="Q75" i="58"/>
  <c r="S75" i="58"/>
  <c r="BA8" i="58"/>
  <c r="AK72" i="58"/>
  <c r="Z72" i="58"/>
  <c r="Q72" i="58"/>
  <c r="AI72" i="58"/>
  <c r="AT72" i="58"/>
  <c r="AR72" i="58"/>
  <c r="AB72" i="58"/>
  <c r="S72" i="58"/>
  <c r="J77" i="58"/>
  <c r="AT77" i="58"/>
  <c r="AB77" i="58"/>
  <c r="AR77" i="58"/>
  <c r="Z77" i="58"/>
  <c r="AK77" i="58"/>
  <c r="AI77" i="58"/>
  <c r="Q77" i="58"/>
  <c r="S77" i="58"/>
  <c r="BA15" i="58"/>
  <c r="AI79" i="58"/>
  <c r="AT79" i="58"/>
  <c r="AB79" i="58"/>
  <c r="AR79" i="58"/>
  <c r="AK79" i="58"/>
  <c r="Q79" i="58"/>
  <c r="Z79" i="58"/>
  <c r="S79" i="58"/>
  <c r="J74" i="58"/>
  <c r="AR74" i="58"/>
  <c r="AB74" i="58"/>
  <c r="Q74" i="58"/>
  <c r="AK74" i="58"/>
  <c r="Z74" i="58"/>
  <c r="AI74" i="58"/>
  <c r="AT74" i="58"/>
  <c r="S74" i="58"/>
  <c r="J78" i="58"/>
  <c r="AI78" i="58"/>
  <c r="Q78" i="58"/>
  <c r="AT78" i="58"/>
  <c r="AB78" i="58"/>
  <c r="AR78" i="58"/>
  <c r="AK78" i="58"/>
  <c r="S78" i="58"/>
  <c r="Z78" i="58"/>
  <c r="CP26" i="59"/>
  <c r="CX22" i="59"/>
  <c r="CY22" i="59" s="1"/>
  <c r="CR19" i="59"/>
  <c r="CS19" i="59" s="1"/>
  <c r="CP19" i="59"/>
  <c r="CZ19" i="59"/>
  <c r="DA19" i="59" s="1"/>
  <c r="CT19" i="59"/>
  <c r="CU19" i="59" s="1"/>
  <c r="CN19" i="59"/>
  <c r="CO19" i="59" s="1"/>
  <c r="CN11" i="59"/>
  <c r="CX19" i="59"/>
  <c r="CY19" i="59" s="1"/>
  <c r="J43" i="27"/>
  <c r="K42" i="27"/>
  <c r="FL10" i="23"/>
  <c r="FL11" i="23" s="1"/>
  <c r="FL12" i="23" s="1"/>
  <c r="FL13" i="23" s="1"/>
  <c r="FL14" i="23" s="1"/>
  <c r="FL15" i="23" s="1"/>
  <c r="CN12" i="59"/>
  <c r="CN23" i="59"/>
  <c r="CO23" i="59" s="1"/>
  <c r="CV23" i="59"/>
  <c r="CW23" i="59" s="1"/>
  <c r="CV7" i="59"/>
  <c r="CW7" i="59" s="1"/>
  <c r="CV6" i="59"/>
  <c r="CW6" i="59" s="1"/>
  <c r="CR18" i="59"/>
  <c r="CS18" i="59" s="1"/>
  <c r="CN18" i="59"/>
  <c r="CO18" i="59" s="1"/>
  <c r="CV8" i="59"/>
  <c r="CW8" i="59" s="1"/>
  <c r="DB16" i="59"/>
  <c r="DC16" i="59" s="1"/>
  <c r="CN17" i="59"/>
  <c r="DB26" i="59"/>
  <c r="DC26" i="59" s="1"/>
  <c r="CP23" i="59"/>
  <c r="CZ15" i="59"/>
  <c r="DA15" i="59" s="1"/>
  <c r="CR26" i="59"/>
  <c r="CS26" i="59" s="1"/>
  <c r="CT26" i="59"/>
  <c r="CU26" i="59" s="1"/>
  <c r="CN22" i="59"/>
  <c r="CO22" i="59" s="1"/>
  <c r="CR14" i="59"/>
  <c r="CS14" i="59" s="1"/>
  <c r="CR22" i="59"/>
  <c r="CP15" i="59"/>
  <c r="CQ15" i="59" s="1"/>
  <c r="DB14" i="59"/>
  <c r="DC14" i="59" s="1"/>
  <c r="CX23" i="59"/>
  <c r="CY23" i="59" s="1"/>
  <c r="CL26" i="59"/>
  <c r="CZ23" i="59"/>
  <c r="DA23" i="59" s="1"/>
  <c r="CL14" i="59"/>
  <c r="CP22" i="59"/>
  <c r="CQ22" i="59" s="1"/>
  <c r="CT22" i="59"/>
  <c r="CU22" i="59" s="1"/>
  <c r="CR7" i="59"/>
  <c r="CS7" i="59" s="1"/>
  <c r="CX15" i="59"/>
  <c r="CY15" i="59" s="1"/>
  <c r="CV26" i="59"/>
  <c r="CW26" i="59" s="1"/>
  <c r="CX26" i="59"/>
  <c r="CY26" i="59" s="1"/>
  <c r="CL23" i="59"/>
  <c r="CN14" i="59"/>
  <c r="CL22" i="59"/>
  <c r="CX14" i="59"/>
  <c r="CY14" i="59" s="1"/>
  <c r="CZ22" i="59"/>
  <c r="DA22" i="59" s="1"/>
  <c r="CL15" i="59"/>
  <c r="BC10" i="58"/>
  <c r="CP27" i="59"/>
  <c r="CR27" i="59"/>
  <c r="CS27" i="59" s="1"/>
  <c r="CP20" i="59"/>
  <c r="CQ20" i="59" s="1"/>
  <c r="CV20" i="59"/>
  <c r="CW20" i="59" s="1"/>
  <c r="CR9" i="59"/>
  <c r="CN9" i="59"/>
  <c r="CO9" i="59" s="1"/>
  <c r="DB20" i="59"/>
  <c r="DC20" i="59" s="1"/>
  <c r="H74" i="58"/>
  <c r="CV27" i="59"/>
  <c r="CW27" i="59" s="1"/>
  <c r="CR17" i="59"/>
  <c r="CS17" i="59" s="1"/>
  <c r="CN20" i="59"/>
  <c r="CV9" i="59"/>
  <c r="CW9" i="59" s="1"/>
  <c r="CR8" i="59"/>
  <c r="CS8" i="59" s="1"/>
  <c r="CT20" i="59"/>
  <c r="CU20" i="59" s="1"/>
  <c r="CN27" i="59"/>
  <c r="CO27" i="59" s="1"/>
  <c r="CL20" i="59"/>
  <c r="CV17" i="59"/>
  <c r="CW17" i="59" s="1"/>
  <c r="CL17" i="59"/>
  <c r="BC7" i="58"/>
  <c r="H71" i="58"/>
  <c r="BB14" i="58"/>
  <c r="CL31" i="59"/>
  <c r="CM31" i="59" s="1"/>
  <c r="CP17" i="59"/>
  <c r="CQ17" i="59" s="1"/>
  <c r="BB8" i="58"/>
  <c r="H73" i="58"/>
  <c r="J72" i="58"/>
  <c r="H78" i="58"/>
  <c r="CT18" i="59"/>
  <c r="CL16" i="59"/>
  <c r="CP8" i="59"/>
  <c r="CQ8" i="59" s="1"/>
  <c r="CZ8" i="59"/>
  <c r="DA8" i="59" s="1"/>
  <c r="DB8" i="59"/>
  <c r="DC8" i="59" s="1"/>
  <c r="CL8" i="59"/>
  <c r="CT17" i="59"/>
  <c r="CZ17" i="59"/>
  <c r="DA17" i="59" s="1"/>
  <c r="CX13" i="62"/>
  <c r="CY13" i="62" s="1"/>
  <c r="CZ13" i="62"/>
  <c r="DA13" i="62" s="1"/>
  <c r="CP13" i="62"/>
  <c r="CN13" i="62"/>
  <c r="CV13" i="62"/>
  <c r="CW13" i="62" s="1"/>
  <c r="CT13" i="62"/>
  <c r="CU13" i="62" s="1"/>
  <c r="CR13" i="62"/>
  <c r="CS13" i="62" s="1"/>
  <c r="CL13" i="62"/>
  <c r="CM13" i="62" s="1"/>
  <c r="DB13" i="62"/>
  <c r="DC13" i="62" s="1"/>
  <c r="CX12" i="62"/>
  <c r="CY12" i="62" s="1"/>
  <c r="CR12" i="62"/>
  <c r="CS12" i="62" s="1"/>
  <c r="CV12" i="62"/>
  <c r="CW12" i="62" s="1"/>
  <c r="CN12" i="62"/>
  <c r="CO12" i="62" s="1"/>
  <c r="CL12" i="62"/>
  <c r="CZ12" i="62"/>
  <c r="DA12" i="62" s="1"/>
  <c r="DB12" i="62"/>
  <c r="DC12" i="62" s="1"/>
  <c r="CT12" i="62"/>
  <c r="CP12" i="62"/>
  <c r="CQ12" i="62" s="1"/>
  <c r="DB19" i="62"/>
  <c r="DC19" i="62" s="1"/>
  <c r="CZ19" i="62"/>
  <c r="DA19" i="62" s="1"/>
  <c r="CV19" i="62"/>
  <c r="CW19" i="62" s="1"/>
  <c r="CX19" i="62"/>
  <c r="CY19" i="62" s="1"/>
  <c r="CN19" i="62"/>
  <c r="CO19" i="62" s="1"/>
  <c r="CP19" i="62"/>
  <c r="CL19" i="62"/>
  <c r="CR19" i="62"/>
  <c r="CS19" i="62" s="1"/>
  <c r="CT19" i="62"/>
  <c r="CU19" i="62" s="1"/>
  <c r="CV11" i="62"/>
  <c r="CW11" i="62" s="1"/>
  <c r="CP11" i="62"/>
  <c r="CQ11" i="62" s="1"/>
  <c r="CN11" i="62"/>
  <c r="CT11" i="62"/>
  <c r="CU11" i="62" s="1"/>
  <c r="DB11" i="62"/>
  <c r="DC11" i="62" s="1"/>
  <c r="CX11" i="62"/>
  <c r="CY11" i="62" s="1"/>
  <c r="CZ11" i="62"/>
  <c r="DA11" i="62" s="1"/>
  <c r="CL11" i="62"/>
  <c r="CR11" i="62"/>
  <c r="CS11" i="62" s="1"/>
  <c r="CV10" i="62"/>
  <c r="DB10" i="62"/>
  <c r="DC10" i="62" s="1"/>
  <c r="CX10" i="62"/>
  <c r="CL10" i="62"/>
  <c r="CM10" i="62" s="1"/>
  <c r="CZ10" i="62"/>
  <c r="DA10" i="62" s="1"/>
  <c r="CT10" i="62"/>
  <c r="CU10" i="62" s="1"/>
  <c r="CP10" i="62"/>
  <c r="CQ10" i="62" s="1"/>
  <c r="CR10" i="62"/>
  <c r="CS10" i="62" s="1"/>
  <c r="CN10" i="62"/>
  <c r="CO10" i="62" s="1"/>
  <c r="CZ18" i="62"/>
  <c r="DA18" i="62" s="1"/>
  <c r="CT18" i="62"/>
  <c r="CP18" i="62"/>
  <c r="CR18" i="62"/>
  <c r="CS18" i="62" s="1"/>
  <c r="DB18" i="62"/>
  <c r="DC18" i="62" s="1"/>
  <c r="CL18" i="62"/>
  <c r="CM18" i="62" s="1"/>
  <c r="CN18" i="62"/>
  <c r="CO18" i="62" s="1"/>
  <c r="CX18" i="62"/>
  <c r="CY18" i="62" s="1"/>
  <c r="CV18" i="62"/>
  <c r="CW18" i="62" s="1"/>
  <c r="CT9" i="59"/>
  <c r="CU9" i="59" s="1"/>
  <c r="CV17" i="62"/>
  <c r="CT17" i="62"/>
  <c r="CU17" i="62" s="1"/>
  <c r="CN17" i="62"/>
  <c r="CZ17" i="62"/>
  <c r="DA17" i="62" s="1"/>
  <c r="CP17" i="62"/>
  <c r="CQ17" i="62" s="1"/>
  <c r="CR17" i="62"/>
  <c r="CS17" i="62" s="1"/>
  <c r="DB17" i="62"/>
  <c r="DC17" i="62" s="1"/>
  <c r="CL17" i="62"/>
  <c r="CM17" i="62" s="1"/>
  <c r="CX17" i="62"/>
  <c r="CY17" i="62" s="1"/>
  <c r="CP9" i="59"/>
  <c r="CQ9" i="59" s="1"/>
  <c r="CL9" i="59"/>
  <c r="DB9" i="59"/>
  <c r="DC9" i="59" s="1"/>
  <c r="CV12" i="59"/>
  <c r="CW12" i="59" s="1"/>
  <c r="CT12" i="59"/>
  <c r="CU12" i="59" s="1"/>
  <c r="CV11" i="59"/>
  <c r="CW11" i="59" s="1"/>
  <c r="DB11" i="59"/>
  <c r="DC11" i="59" s="1"/>
  <c r="CL11" i="59"/>
  <c r="CT11" i="59"/>
  <c r="CU11" i="59" s="1"/>
  <c r="CP11" i="59"/>
  <c r="CQ11" i="59" s="1"/>
  <c r="CZ11" i="59"/>
  <c r="DA11" i="59" s="1"/>
  <c r="CR12" i="59"/>
  <c r="CS12" i="59" s="1"/>
  <c r="CX10" i="59"/>
  <c r="CP10" i="59"/>
  <c r="CQ10" i="59" s="1"/>
  <c r="CT10" i="59"/>
  <c r="CU10" i="59" s="1"/>
  <c r="CZ10" i="59"/>
  <c r="DA10" i="59" s="1"/>
  <c r="CZ12" i="59"/>
  <c r="DA12" i="59" s="1"/>
  <c r="CT14" i="59"/>
  <c r="CU14" i="59" s="1"/>
  <c r="CP14" i="59"/>
  <c r="CQ14" i="59" s="1"/>
  <c r="CX8" i="62"/>
  <c r="CY8" i="62" s="1"/>
  <c r="CT8" i="62"/>
  <c r="CU8" i="62" s="1"/>
  <c r="CZ8" i="62"/>
  <c r="DA8" i="62" s="1"/>
  <c r="CP8" i="62"/>
  <c r="CN8" i="62"/>
  <c r="CO8" i="62" s="1"/>
  <c r="CL8" i="62"/>
  <c r="CR8" i="62"/>
  <c r="CS8" i="62" s="1"/>
  <c r="DB8" i="62"/>
  <c r="DC8" i="62" s="1"/>
  <c r="CV8" i="62"/>
  <c r="CW8" i="62" s="1"/>
  <c r="CR20" i="59"/>
  <c r="CS20" i="59" s="1"/>
  <c r="CN25" i="59"/>
  <c r="CX25" i="59"/>
  <c r="CZ25" i="59"/>
  <c r="DA25" i="59" s="1"/>
  <c r="CN9" i="62"/>
  <c r="CO9" i="62" s="1"/>
  <c r="DB9" i="62"/>
  <c r="DC9" i="62" s="1"/>
  <c r="CR9" i="62"/>
  <c r="CP9" i="62"/>
  <c r="CQ9" i="62" s="1"/>
  <c r="CT9" i="62"/>
  <c r="CU9" i="62" s="1"/>
  <c r="CV9" i="62"/>
  <c r="CW9" i="62" s="1"/>
  <c r="CX9" i="62"/>
  <c r="CY9" i="62" s="1"/>
  <c r="CL9" i="62"/>
  <c r="CZ9" i="62"/>
  <c r="DA9" i="62" s="1"/>
  <c r="CT20" i="62"/>
  <c r="CU20" i="62" s="1"/>
  <c r="CN20" i="62"/>
  <c r="CL20" i="62"/>
  <c r="CM20" i="62" s="1"/>
  <c r="CX20" i="62"/>
  <c r="CY20" i="62" s="1"/>
  <c r="CP20" i="62"/>
  <c r="CZ20" i="62"/>
  <c r="DA20" i="62" s="1"/>
  <c r="CV20" i="62"/>
  <c r="CW20" i="62" s="1"/>
  <c r="CR20" i="62"/>
  <c r="CS20" i="62" s="1"/>
  <c r="DB20" i="62"/>
  <c r="DC20" i="62" s="1"/>
  <c r="CV15" i="59"/>
  <c r="CW15" i="59" s="1"/>
  <c r="CR15" i="59"/>
  <c r="CS15" i="59" s="1"/>
  <c r="CN15" i="59"/>
  <c r="CO15" i="59" s="1"/>
  <c r="CP7" i="59"/>
  <c r="CQ7" i="59" s="1"/>
  <c r="CX7" i="59"/>
  <c r="CY7" i="59" s="1"/>
  <c r="CZ7" i="59"/>
  <c r="DA7" i="59" s="1"/>
  <c r="CT7" i="59"/>
  <c r="CU7" i="59" s="1"/>
  <c r="DB7" i="59"/>
  <c r="DC7" i="59" s="1"/>
  <c r="CL7" i="59"/>
  <c r="CL10" i="59"/>
  <c r="CP6" i="62"/>
  <c r="CQ6" i="62" s="1"/>
  <c r="CN6" i="62"/>
  <c r="CO6" i="62" s="1"/>
  <c r="CV6" i="62"/>
  <c r="CW6" i="62" s="1"/>
  <c r="CX6" i="62"/>
  <c r="CY6" i="62" s="1"/>
  <c r="DB6" i="62"/>
  <c r="DC6" i="62" s="1"/>
  <c r="CL6" i="62"/>
  <c r="CM6" i="62" s="1"/>
  <c r="CZ6" i="62"/>
  <c r="DA6" i="62" s="1"/>
  <c r="CT6" i="62"/>
  <c r="CU6" i="62" s="1"/>
  <c r="CR6" i="62"/>
  <c r="CS6" i="62" s="1"/>
  <c r="CP12" i="59"/>
  <c r="CQ12" i="59" s="1"/>
  <c r="CX16" i="62"/>
  <c r="CT16" i="62"/>
  <c r="CU16" i="62" s="1"/>
  <c r="DB16" i="62"/>
  <c r="DC16" i="62" s="1"/>
  <c r="CP16" i="62"/>
  <c r="CL16" i="62"/>
  <c r="CM16" i="62" s="1"/>
  <c r="CN16" i="62"/>
  <c r="CO16" i="62" s="1"/>
  <c r="CR16" i="62"/>
  <c r="CS16" i="62" s="1"/>
  <c r="CZ16" i="62"/>
  <c r="DA16" i="62" s="1"/>
  <c r="CV16" i="62"/>
  <c r="CW16" i="62" s="1"/>
  <c r="DB14" i="62"/>
  <c r="DC14" i="62" s="1"/>
  <c r="CL14" i="62"/>
  <c r="CX14" i="62"/>
  <c r="CY14" i="62" s="1"/>
  <c r="CR14" i="62"/>
  <c r="CS14" i="62" s="1"/>
  <c r="CT14" i="62"/>
  <c r="CU14" i="62" s="1"/>
  <c r="CZ14" i="62"/>
  <c r="DA14" i="62" s="1"/>
  <c r="CN14" i="62"/>
  <c r="CP14" i="62"/>
  <c r="CQ14" i="62" s="1"/>
  <c r="CV14" i="62"/>
  <c r="CW14" i="62" s="1"/>
  <c r="CV25" i="59"/>
  <c r="CW25" i="59" s="1"/>
  <c r="CR16" i="59"/>
  <c r="CS16" i="59" s="1"/>
  <c r="CY25" i="59"/>
  <c r="DB27" i="59"/>
  <c r="DC27" i="59" s="1"/>
  <c r="CT27" i="59"/>
  <c r="CU27" i="59" s="1"/>
  <c r="CL27" i="59"/>
  <c r="CX27" i="59"/>
  <c r="DB23" i="59"/>
  <c r="DC23" i="59" s="1"/>
  <c r="DB15" i="62"/>
  <c r="DC15" i="62" s="1"/>
  <c r="CP15" i="62"/>
  <c r="CQ15" i="62" s="1"/>
  <c r="CL15" i="62"/>
  <c r="CR15" i="62"/>
  <c r="CS15" i="62" s="1"/>
  <c r="CX15" i="62"/>
  <c r="CY15" i="62" s="1"/>
  <c r="CV15" i="62"/>
  <c r="CW15" i="62" s="1"/>
  <c r="CT15" i="62"/>
  <c r="CU15" i="62" s="1"/>
  <c r="CZ15" i="62"/>
  <c r="DA15" i="62" s="1"/>
  <c r="CN15" i="62"/>
  <c r="CX7" i="62"/>
  <c r="CY7" i="62" s="1"/>
  <c r="CL7" i="62"/>
  <c r="DB7" i="62"/>
  <c r="DC7" i="62" s="1"/>
  <c r="CP7" i="62"/>
  <c r="CQ7" i="62" s="1"/>
  <c r="CR7" i="62"/>
  <c r="CT7" i="62"/>
  <c r="CU7" i="62" s="1"/>
  <c r="CV7" i="62"/>
  <c r="CW7" i="62" s="1"/>
  <c r="CN7" i="62"/>
  <c r="CO7" i="62" s="1"/>
  <c r="CZ7" i="62"/>
  <c r="DA7" i="62" s="1"/>
  <c r="CZ9" i="59"/>
  <c r="DA9" i="59" s="1"/>
  <c r="CZ6" i="59"/>
  <c r="DA6" i="59" s="1"/>
  <c r="CT6" i="59"/>
  <c r="CU6" i="59" s="1"/>
  <c r="CL6" i="59"/>
  <c r="CM6" i="59" s="1"/>
  <c r="CX6" i="59"/>
  <c r="CY6" i="59" s="1"/>
  <c r="DB6" i="59"/>
  <c r="DC6" i="59" s="1"/>
  <c r="CX12" i="59"/>
  <c r="CY12" i="59" s="1"/>
  <c r="DB18" i="59"/>
  <c r="DC18" i="59" s="1"/>
  <c r="CV18" i="59"/>
  <c r="CW18" i="59" s="1"/>
  <c r="CP18" i="59"/>
  <c r="CQ18" i="59" s="1"/>
  <c r="CL18" i="59"/>
  <c r="CX20" i="59"/>
  <c r="CY20" i="59" s="1"/>
  <c r="CX8" i="59"/>
  <c r="CY8" i="59" s="1"/>
  <c r="CX17" i="59"/>
  <c r="CY17" i="59" s="1"/>
  <c r="DB12" i="59"/>
  <c r="DC12" i="59" s="1"/>
  <c r="BB10" i="58"/>
  <c r="H79" i="58"/>
  <c r="BA13" i="58"/>
  <c r="BA14" i="58" s="1"/>
  <c r="J73" i="58"/>
  <c r="BC9" i="58"/>
  <c r="J71" i="58"/>
  <c r="BC14" i="58"/>
  <c r="J75" i="58"/>
  <c r="BB11" i="58"/>
  <c r="CV34" i="59"/>
  <c r="CW34" i="59" s="1"/>
  <c r="BC13" i="58"/>
  <c r="BC15" i="58" s="1"/>
  <c r="BB13" i="58"/>
  <c r="BB15" i="58"/>
  <c r="CZ32" i="59"/>
  <c r="DA32" i="59" s="1"/>
  <c r="CP34" i="59"/>
  <c r="CQ34" i="59" s="1"/>
  <c r="H77" i="58"/>
  <c r="J79" i="58"/>
  <c r="CL28" i="59"/>
  <c r="CM28" i="59" s="1"/>
  <c r="CT32" i="59"/>
  <c r="CU32" i="59" s="1"/>
  <c r="H72" i="58"/>
  <c r="CL32" i="59"/>
  <c r="CM32" i="59" s="1"/>
  <c r="CL30" i="59"/>
  <c r="DB32" i="59"/>
  <c r="DC32" i="59" s="1"/>
  <c r="CR32" i="59"/>
  <c r="CS32" i="59" s="1"/>
  <c r="CR30" i="59"/>
  <c r="CS30" i="59" s="1"/>
  <c r="BA11" i="58"/>
  <c r="CP28" i="59"/>
  <c r="CX35" i="59"/>
  <c r="CY35" i="59" s="1"/>
  <c r="CZ35" i="59"/>
  <c r="DA35" i="59" s="1"/>
  <c r="DB31" i="59"/>
  <c r="DC31" i="59" s="1"/>
  <c r="CX30" i="59"/>
  <c r="CY30" i="59" s="1"/>
  <c r="CN32" i="59"/>
  <c r="CO32" i="59" s="1"/>
  <c r="CR28" i="59"/>
  <c r="CS28" i="59" s="1"/>
  <c r="CR35" i="59"/>
  <c r="CS35" i="59" s="1"/>
  <c r="CV35" i="59"/>
  <c r="CW35" i="59" s="1"/>
  <c r="CX34" i="59"/>
  <c r="CY34" i="59" s="1"/>
  <c r="DB33" i="59"/>
  <c r="DC33" i="59" s="1"/>
  <c r="CT28" i="59"/>
  <c r="CU28" i="59" s="1"/>
  <c r="DB35" i="59"/>
  <c r="DC35" i="59" s="1"/>
  <c r="CV28" i="59"/>
  <c r="CW28" i="59" s="1"/>
  <c r="CN35" i="59"/>
  <c r="CO35" i="59" s="1"/>
  <c r="CZ31" i="59"/>
  <c r="DA31" i="59" s="1"/>
  <c r="CP32" i="59"/>
  <c r="CQ32" i="59" s="1"/>
  <c r="CX32" i="59"/>
  <c r="CY32" i="59" s="1"/>
  <c r="CX28" i="59"/>
  <c r="CY28" i="59" s="1"/>
  <c r="DB28" i="59"/>
  <c r="DC28" i="59" s="1"/>
  <c r="CN28" i="59"/>
  <c r="CO28" i="59" s="1"/>
  <c r="CN31" i="59"/>
  <c r="CO31" i="59" s="1"/>
  <c r="CR31" i="59"/>
  <c r="DB34" i="59"/>
  <c r="DC34" i="59" s="1"/>
  <c r="CZ34" i="59"/>
  <c r="DA34" i="59" s="1"/>
  <c r="CN34" i="59"/>
  <c r="CO34" i="59" s="1"/>
  <c r="CT30" i="59"/>
  <c r="CU30" i="59" s="1"/>
  <c r="CR33" i="59"/>
  <c r="CS33" i="59" s="1"/>
  <c r="CX33" i="59"/>
  <c r="CY33" i="59" s="1"/>
  <c r="CX29" i="59"/>
  <c r="CY29" i="59" s="1"/>
  <c r="CR29" i="59"/>
  <c r="CS29" i="59" s="1"/>
  <c r="CT29" i="59"/>
  <c r="CU29" i="59" s="1"/>
  <c r="CT35" i="59"/>
  <c r="CU35" i="59" s="1"/>
  <c r="CP35" i="59"/>
  <c r="CQ35" i="59" s="1"/>
  <c r="CV31" i="59"/>
  <c r="CW31" i="59" s="1"/>
  <c r="CX31" i="59"/>
  <c r="CY31" i="59" s="1"/>
  <c r="CR34" i="59"/>
  <c r="CS34" i="59" s="1"/>
  <c r="CZ30" i="59"/>
  <c r="DA30" i="59" s="1"/>
  <c r="CV30" i="59"/>
  <c r="CW30" i="59" s="1"/>
  <c r="CP30" i="59"/>
  <c r="CQ30" i="59" s="1"/>
  <c r="CZ33" i="59"/>
  <c r="DA33" i="59" s="1"/>
  <c r="CT33" i="59"/>
  <c r="CU33" i="59" s="1"/>
  <c r="CN29" i="59"/>
  <c r="CZ29" i="59"/>
  <c r="DA29" i="59" s="1"/>
  <c r="CT31" i="59"/>
  <c r="CU31" i="59" s="1"/>
  <c r="CN30" i="59"/>
  <c r="CO30" i="59" s="1"/>
  <c r="CP33" i="59"/>
  <c r="CQ33" i="59" s="1"/>
  <c r="CV33" i="59"/>
  <c r="CW33" i="59" s="1"/>
  <c r="CV29" i="59"/>
  <c r="CW29" i="59" s="1"/>
  <c r="CP29" i="59"/>
  <c r="CQ29" i="59" s="1"/>
  <c r="CN33" i="59"/>
  <c r="DB29" i="59"/>
  <c r="DC29" i="59" s="1"/>
  <c r="H70" i="58"/>
  <c r="BB6" i="58"/>
  <c r="BA6" i="58"/>
  <c r="J70" i="58"/>
  <c r="BC6" i="58"/>
  <c r="L32" i="63"/>
  <c r="S32" i="63" s="1"/>
  <c r="T63" i="63" s="1"/>
  <c r="U63" i="63" s="1"/>
  <c r="BW33" i="63"/>
  <c r="CC33" i="63" s="1"/>
  <c r="CD64" i="63" s="1"/>
  <c r="CE64" i="63" s="1"/>
  <c r="C34" i="63"/>
  <c r="J34" i="63" s="1"/>
  <c r="K65" i="63" s="1"/>
  <c r="L65" i="63" s="1"/>
  <c r="BN34" i="63"/>
  <c r="BU34" i="63" s="1"/>
  <c r="BV65" i="63" s="1"/>
  <c r="BW65" i="63" s="1"/>
  <c r="BE35" i="63"/>
  <c r="BL35" i="63" s="1"/>
  <c r="BM66" i="63" s="1"/>
  <c r="BN66" i="63" s="1"/>
  <c r="AV34" i="63"/>
  <c r="BC34" i="63" s="1"/>
  <c r="BD65" i="63" s="1"/>
  <c r="BE65" i="63" s="1"/>
  <c r="AM35" i="63"/>
  <c r="AT35" i="63" s="1"/>
  <c r="AU66" i="63" s="1"/>
  <c r="AV66" i="63" s="1"/>
  <c r="AD35" i="63"/>
  <c r="AK35" i="63" s="1"/>
  <c r="AL66" i="63" s="1"/>
  <c r="AM66" i="63" s="1"/>
  <c r="U34" i="63"/>
  <c r="AB34" i="63" s="1"/>
  <c r="AC65" i="63" s="1"/>
  <c r="AD65" i="63" s="1"/>
  <c r="BW6" i="63"/>
  <c r="CC6" i="63" s="1"/>
  <c r="CD37" i="63" s="1"/>
  <c r="CE37" i="63" s="1"/>
  <c r="BW12" i="63"/>
  <c r="CC12" i="63" s="1"/>
  <c r="CD43" i="63" s="1"/>
  <c r="CE43" i="63" s="1"/>
  <c r="BW18" i="63"/>
  <c r="CC18" i="63" s="1"/>
  <c r="CD49" i="63" s="1"/>
  <c r="CE49" i="63" s="1"/>
  <c r="BW29" i="63"/>
  <c r="CC29" i="63" s="1"/>
  <c r="CD60" i="63" s="1"/>
  <c r="CE60" i="63" s="1"/>
  <c r="BW21" i="63"/>
  <c r="CC21" i="63" s="1"/>
  <c r="CD52" i="63" s="1"/>
  <c r="CE52" i="63" s="1"/>
  <c r="BW27" i="63"/>
  <c r="CC27" i="63" s="1"/>
  <c r="CD58" i="63" s="1"/>
  <c r="CE58" i="63" s="1"/>
  <c r="BW35" i="63"/>
  <c r="CC35" i="63" s="1"/>
  <c r="CD66" i="63" s="1"/>
  <c r="CE66" i="63" s="1"/>
  <c r="AM7" i="63"/>
  <c r="AT7" i="63" s="1"/>
  <c r="AU38" i="63" s="1"/>
  <c r="AV38" i="63" s="1"/>
  <c r="AM9" i="63"/>
  <c r="AT9" i="63" s="1"/>
  <c r="AU40" i="63" s="1"/>
  <c r="AV40" i="63" s="1"/>
  <c r="AM11" i="63"/>
  <c r="AT11" i="63" s="1"/>
  <c r="AU42" i="63" s="1"/>
  <c r="AV42" i="63" s="1"/>
  <c r="AM20" i="63"/>
  <c r="AT20" i="63" s="1"/>
  <c r="AU51" i="63" s="1"/>
  <c r="AV51" i="63" s="1"/>
  <c r="AM29" i="63"/>
  <c r="AT29" i="63" s="1"/>
  <c r="AU60" i="63" s="1"/>
  <c r="AV60" i="63" s="1"/>
  <c r="AM23" i="63"/>
  <c r="AT23" i="63" s="1"/>
  <c r="AU54" i="63" s="1"/>
  <c r="AV54" i="63" s="1"/>
  <c r="AM30" i="63"/>
  <c r="AT30" i="63" s="1"/>
  <c r="AU61" i="63" s="1"/>
  <c r="AV61" i="63" s="1"/>
  <c r="AM32" i="63"/>
  <c r="AT32" i="63" s="1"/>
  <c r="AU63" i="63" s="1"/>
  <c r="AV63" i="63" s="1"/>
  <c r="C9" i="63"/>
  <c r="J9" i="63" s="1"/>
  <c r="K40" i="63" s="1"/>
  <c r="L40" i="63" s="1"/>
  <c r="C16" i="63"/>
  <c r="J16" i="63" s="1"/>
  <c r="K47" i="63" s="1"/>
  <c r="L47" i="63" s="1"/>
  <c r="C7" i="63"/>
  <c r="J7" i="63" s="1"/>
  <c r="K38" i="63" s="1"/>
  <c r="L38" i="63" s="1"/>
  <c r="C27" i="63"/>
  <c r="J27" i="63" s="1"/>
  <c r="K58" i="63" s="1"/>
  <c r="L58" i="63" s="1"/>
  <c r="C25" i="63"/>
  <c r="J25" i="63" s="1"/>
  <c r="K56" i="63" s="1"/>
  <c r="L56" i="63" s="1"/>
  <c r="C26" i="63"/>
  <c r="J26" i="63" s="1"/>
  <c r="K57" i="63" s="1"/>
  <c r="L57" i="63" s="1"/>
  <c r="C29" i="63"/>
  <c r="J29" i="63" s="1"/>
  <c r="K60" i="63" s="1"/>
  <c r="L60" i="63" s="1"/>
  <c r="BN6" i="63"/>
  <c r="BU6" i="63" s="1"/>
  <c r="BV37" i="63" s="1"/>
  <c r="BW37" i="63" s="1"/>
  <c r="BN14" i="63"/>
  <c r="BU14" i="63" s="1"/>
  <c r="BV45" i="63" s="1"/>
  <c r="BW45" i="63" s="1"/>
  <c r="BN11" i="63"/>
  <c r="BU11" i="63" s="1"/>
  <c r="BV42" i="63" s="1"/>
  <c r="BW42" i="63" s="1"/>
  <c r="BN21" i="63"/>
  <c r="BU21" i="63" s="1"/>
  <c r="BV52" i="63" s="1"/>
  <c r="BW52" i="63" s="1"/>
  <c r="BN18" i="63"/>
  <c r="BU18" i="63" s="1"/>
  <c r="BV49" i="63" s="1"/>
  <c r="BW49" i="63" s="1"/>
  <c r="BN27" i="63"/>
  <c r="BU27" i="63" s="1"/>
  <c r="BV58" i="63" s="1"/>
  <c r="BW58" i="63" s="1"/>
  <c r="BN32" i="63"/>
  <c r="BU32" i="63" s="1"/>
  <c r="BV63" i="63" s="1"/>
  <c r="BW63" i="63" s="1"/>
  <c r="BN31" i="63"/>
  <c r="BU31" i="63" s="1"/>
  <c r="BV62" i="63" s="1"/>
  <c r="BW62" i="63" s="1"/>
  <c r="AD12" i="63"/>
  <c r="AK12" i="63" s="1"/>
  <c r="AL43" i="63" s="1"/>
  <c r="AM43" i="63" s="1"/>
  <c r="AD6" i="63"/>
  <c r="AK6" i="63" s="1"/>
  <c r="AL37" i="63" s="1"/>
  <c r="AM37" i="63" s="1"/>
  <c r="AD17" i="63"/>
  <c r="AK17" i="63" s="1"/>
  <c r="AL48" i="63" s="1"/>
  <c r="AM48" i="63" s="1"/>
  <c r="AD25" i="63"/>
  <c r="AK25" i="63" s="1"/>
  <c r="AL56" i="63" s="1"/>
  <c r="AM56" i="63" s="1"/>
  <c r="AD20" i="63"/>
  <c r="AK20" i="63" s="1"/>
  <c r="AL51" i="63" s="1"/>
  <c r="AM51" i="63" s="1"/>
  <c r="AD29" i="63"/>
  <c r="AK29" i="63" s="1"/>
  <c r="AL60" i="63" s="1"/>
  <c r="AM60" i="63" s="1"/>
  <c r="AD30" i="63"/>
  <c r="AK30" i="63" s="1"/>
  <c r="AL61" i="63" s="1"/>
  <c r="AM61" i="63" s="1"/>
  <c r="BE7" i="63"/>
  <c r="BL7" i="63" s="1"/>
  <c r="BM38" i="63" s="1"/>
  <c r="BN38" i="63" s="1"/>
  <c r="BE10" i="63"/>
  <c r="BL10" i="63" s="1"/>
  <c r="BM41" i="63" s="1"/>
  <c r="BN41" i="63" s="1"/>
  <c r="BE13" i="63"/>
  <c r="BL13" i="63" s="1"/>
  <c r="BM44" i="63" s="1"/>
  <c r="BN44" i="63" s="1"/>
  <c r="BE22" i="63"/>
  <c r="BL22" i="63" s="1"/>
  <c r="BM53" i="63" s="1"/>
  <c r="BN53" i="63" s="1"/>
  <c r="BE17" i="63"/>
  <c r="BL17" i="63" s="1"/>
  <c r="BM48" i="63" s="1"/>
  <c r="BN48" i="63" s="1"/>
  <c r="BE25" i="63"/>
  <c r="BL25" i="63" s="1"/>
  <c r="BM56" i="63" s="1"/>
  <c r="BN56" i="63" s="1"/>
  <c r="BE30" i="63"/>
  <c r="BL30" i="63" s="1"/>
  <c r="BM61" i="63" s="1"/>
  <c r="BN61" i="63" s="1"/>
  <c r="BE32" i="63"/>
  <c r="BL32" i="63" s="1"/>
  <c r="BM63" i="63" s="1"/>
  <c r="BN63" i="63" s="1"/>
  <c r="U16" i="63"/>
  <c r="AB16" i="63" s="1"/>
  <c r="AC47" i="63" s="1"/>
  <c r="AD47" i="63" s="1"/>
  <c r="U9" i="63"/>
  <c r="AB9" i="63" s="1"/>
  <c r="AC40" i="63" s="1"/>
  <c r="AD40" i="63" s="1"/>
  <c r="U15" i="63"/>
  <c r="AB15" i="63" s="1"/>
  <c r="AC46" i="63" s="1"/>
  <c r="AD46" i="63" s="1"/>
  <c r="U21" i="63"/>
  <c r="AB21" i="63" s="1"/>
  <c r="AC52" i="63" s="1"/>
  <c r="AD52" i="63" s="1"/>
  <c r="U22" i="63"/>
  <c r="AB22" i="63" s="1"/>
  <c r="AC53" i="63" s="1"/>
  <c r="AD53" i="63" s="1"/>
  <c r="U28" i="63"/>
  <c r="AB28" i="63" s="1"/>
  <c r="AC59" i="63" s="1"/>
  <c r="AD59" i="63" s="1"/>
  <c r="U29" i="63"/>
  <c r="AB29" i="63" s="1"/>
  <c r="AC60" i="63" s="1"/>
  <c r="AD60" i="63" s="1"/>
  <c r="AV6" i="63"/>
  <c r="BC6" i="63" s="1"/>
  <c r="BD37" i="63" s="1"/>
  <c r="BE37" i="63" s="1"/>
  <c r="AV7" i="63"/>
  <c r="BC7" i="63" s="1"/>
  <c r="BD38" i="63" s="1"/>
  <c r="BE38" i="63" s="1"/>
  <c r="AV11" i="63"/>
  <c r="BC11" i="63" s="1"/>
  <c r="BD42" i="63" s="1"/>
  <c r="BE42" i="63" s="1"/>
  <c r="AV21" i="63"/>
  <c r="BC21" i="63" s="1"/>
  <c r="BD52" i="63" s="1"/>
  <c r="BE52" i="63" s="1"/>
  <c r="AV29" i="63"/>
  <c r="BC29" i="63" s="1"/>
  <c r="BD60" i="63" s="1"/>
  <c r="BE60" i="63" s="1"/>
  <c r="AV22" i="63"/>
  <c r="BC22" i="63" s="1"/>
  <c r="BD53" i="63" s="1"/>
  <c r="BE53" i="63" s="1"/>
  <c r="AV32" i="63"/>
  <c r="BC32" i="63" s="1"/>
  <c r="BD63" i="63" s="1"/>
  <c r="BE63" i="63" s="1"/>
  <c r="AV31" i="63"/>
  <c r="BC31" i="63" s="1"/>
  <c r="BD62" i="63" s="1"/>
  <c r="BE62" i="63" s="1"/>
  <c r="L7" i="63"/>
  <c r="S7" i="63" s="1"/>
  <c r="T38" i="63" s="1"/>
  <c r="U38" i="63" s="1"/>
  <c r="L13" i="63"/>
  <c r="S13" i="63" s="1"/>
  <c r="T44" i="63" s="1"/>
  <c r="U44" i="63" s="1"/>
  <c r="L17" i="63"/>
  <c r="S17" i="63" s="1"/>
  <c r="T48" i="63" s="1"/>
  <c r="U48" i="63" s="1"/>
  <c r="L14" i="63"/>
  <c r="S14" i="63" s="1"/>
  <c r="T45" i="63" s="1"/>
  <c r="U45" i="63" s="1"/>
  <c r="L27" i="63"/>
  <c r="S27" i="63" s="1"/>
  <c r="T58" i="63" s="1"/>
  <c r="U58" i="63" s="1"/>
  <c r="L23" i="63"/>
  <c r="S23" i="63" s="1"/>
  <c r="T54" i="63" s="1"/>
  <c r="U54" i="63" s="1"/>
  <c r="L34" i="63"/>
  <c r="S34" i="63" s="1"/>
  <c r="T65" i="63" s="1"/>
  <c r="U65" i="63" s="1"/>
  <c r="BW11" i="63"/>
  <c r="CC11" i="63" s="1"/>
  <c r="CD42" i="63" s="1"/>
  <c r="CE42" i="63" s="1"/>
  <c r="BW14" i="63"/>
  <c r="CC14" i="63" s="1"/>
  <c r="CD45" i="63" s="1"/>
  <c r="CE45" i="63" s="1"/>
  <c r="BW20" i="63"/>
  <c r="CC20" i="63" s="1"/>
  <c r="CD51" i="63" s="1"/>
  <c r="CE51" i="63" s="1"/>
  <c r="BW15" i="63"/>
  <c r="CC15" i="63" s="1"/>
  <c r="CD46" i="63" s="1"/>
  <c r="CE46" i="63" s="1"/>
  <c r="BW23" i="63"/>
  <c r="CC23" i="63" s="1"/>
  <c r="CD54" i="63" s="1"/>
  <c r="CE54" i="63" s="1"/>
  <c r="BW30" i="63"/>
  <c r="CC30" i="63" s="1"/>
  <c r="CD61" i="63" s="1"/>
  <c r="CE61" i="63" s="1"/>
  <c r="BW28" i="63"/>
  <c r="CC28" i="63" s="1"/>
  <c r="CD59" i="63" s="1"/>
  <c r="CE59" i="63" s="1"/>
  <c r="AM6" i="63"/>
  <c r="AT6" i="63" s="1"/>
  <c r="AU37" i="63" s="1"/>
  <c r="AV37" i="63" s="1"/>
  <c r="AM10" i="63"/>
  <c r="AT10" i="63" s="1"/>
  <c r="AU41" i="63" s="1"/>
  <c r="AV41" i="63" s="1"/>
  <c r="AM13" i="63"/>
  <c r="AT13" i="63" s="1"/>
  <c r="AU44" i="63" s="1"/>
  <c r="AV44" i="63" s="1"/>
  <c r="AM22" i="63"/>
  <c r="AT22" i="63" s="1"/>
  <c r="AU53" i="63" s="1"/>
  <c r="AV53" i="63" s="1"/>
  <c r="AM17" i="63"/>
  <c r="AT17" i="63" s="1"/>
  <c r="AU48" i="63" s="1"/>
  <c r="AV48" i="63" s="1"/>
  <c r="AM25" i="63"/>
  <c r="AT25" i="63" s="1"/>
  <c r="AU56" i="63" s="1"/>
  <c r="AV56" i="63" s="1"/>
  <c r="AM34" i="63"/>
  <c r="AT34" i="63" s="1"/>
  <c r="AU65" i="63" s="1"/>
  <c r="AV65" i="63" s="1"/>
  <c r="AM33" i="63"/>
  <c r="AT33" i="63" s="1"/>
  <c r="AU64" i="63" s="1"/>
  <c r="AV64" i="63" s="1"/>
  <c r="C13" i="63"/>
  <c r="J13" i="63" s="1"/>
  <c r="K44" i="63" s="1"/>
  <c r="L44" i="63" s="1"/>
  <c r="C17" i="63"/>
  <c r="J17" i="63" s="1"/>
  <c r="K48" i="63" s="1"/>
  <c r="L48" i="63" s="1"/>
  <c r="C10" i="63"/>
  <c r="J10" i="63" s="1"/>
  <c r="K41" i="63" s="1"/>
  <c r="L41" i="63" s="1"/>
  <c r="C28" i="63"/>
  <c r="J28" i="63" s="1"/>
  <c r="K59" i="63" s="1"/>
  <c r="L59" i="63" s="1"/>
  <c r="C20" i="63"/>
  <c r="J20" i="63" s="1"/>
  <c r="K51" i="63" s="1"/>
  <c r="L51" i="63" s="1"/>
  <c r="C31" i="63"/>
  <c r="J31" i="63" s="1"/>
  <c r="K62" i="63" s="1"/>
  <c r="L62" i="63" s="1"/>
  <c r="C33" i="63"/>
  <c r="J33" i="63" s="1"/>
  <c r="K64" i="63" s="1"/>
  <c r="L64" i="63" s="1"/>
  <c r="BN9" i="63"/>
  <c r="BU9" i="63" s="1"/>
  <c r="BV40" i="63" s="1"/>
  <c r="BW40" i="63" s="1"/>
  <c r="BN7" i="63"/>
  <c r="BU7" i="63" s="1"/>
  <c r="BV38" i="63" s="1"/>
  <c r="BW38" i="63" s="1"/>
  <c r="BN15" i="63"/>
  <c r="BU15" i="63" s="1"/>
  <c r="BV46" i="63" s="1"/>
  <c r="BW46" i="63" s="1"/>
  <c r="BN23" i="63"/>
  <c r="BU23" i="63" s="1"/>
  <c r="BV54" i="63" s="1"/>
  <c r="BW54" i="63" s="1"/>
  <c r="BN20" i="63"/>
  <c r="BU20" i="63" s="1"/>
  <c r="BV51" i="63" s="1"/>
  <c r="BW51" i="63" s="1"/>
  <c r="BN29" i="63"/>
  <c r="BU29" i="63" s="1"/>
  <c r="BV60" i="63" s="1"/>
  <c r="BW60" i="63" s="1"/>
  <c r="BN33" i="63"/>
  <c r="BU33" i="63" s="1"/>
  <c r="BV64" i="63" s="1"/>
  <c r="BW64" i="63" s="1"/>
  <c r="BN35" i="63"/>
  <c r="BU35" i="63" s="1"/>
  <c r="BV66" i="63" s="1"/>
  <c r="BW66" i="63" s="1"/>
  <c r="AD8" i="63"/>
  <c r="AK8" i="63" s="1"/>
  <c r="AL39" i="63" s="1"/>
  <c r="AM39" i="63" s="1"/>
  <c r="AD14" i="63"/>
  <c r="AK14" i="63" s="1"/>
  <c r="AL45" i="63" s="1"/>
  <c r="AM45" i="63" s="1"/>
  <c r="AD19" i="63"/>
  <c r="AK19" i="63" s="1"/>
  <c r="AL50" i="63" s="1"/>
  <c r="AM50" i="63" s="1"/>
  <c r="AD27" i="63"/>
  <c r="AK27" i="63" s="1"/>
  <c r="AL58" i="63" s="1"/>
  <c r="AM58" i="63" s="1"/>
  <c r="AD22" i="63"/>
  <c r="AK22" i="63" s="1"/>
  <c r="AL53" i="63" s="1"/>
  <c r="AM53" i="63" s="1"/>
  <c r="AD28" i="63"/>
  <c r="AK28" i="63" s="1"/>
  <c r="AL59" i="63" s="1"/>
  <c r="AM59" i="63" s="1"/>
  <c r="AD34" i="63"/>
  <c r="AK34" i="63" s="1"/>
  <c r="AL65" i="63" s="1"/>
  <c r="AM65" i="63" s="1"/>
  <c r="BE12" i="63"/>
  <c r="BL12" i="63" s="1"/>
  <c r="BM43" i="63" s="1"/>
  <c r="BN43" i="63" s="1"/>
  <c r="BE9" i="63"/>
  <c r="BL9" i="63" s="1"/>
  <c r="BM40" i="63" s="1"/>
  <c r="BN40" i="63" s="1"/>
  <c r="BE16" i="63"/>
  <c r="BL16" i="63" s="1"/>
  <c r="BM47" i="63" s="1"/>
  <c r="BN47" i="63" s="1"/>
  <c r="BE24" i="63"/>
  <c r="BL24" i="63" s="1"/>
  <c r="BM55" i="63" s="1"/>
  <c r="BN55" i="63" s="1"/>
  <c r="BE19" i="63"/>
  <c r="BL19" i="63" s="1"/>
  <c r="BM50" i="63" s="1"/>
  <c r="BN50" i="63" s="1"/>
  <c r="BE28" i="63"/>
  <c r="BL28" i="63" s="1"/>
  <c r="BM59" i="63" s="1"/>
  <c r="BN59" i="63" s="1"/>
  <c r="BE34" i="63"/>
  <c r="BL34" i="63" s="1"/>
  <c r="BM65" i="63" s="1"/>
  <c r="BN65" i="63" s="1"/>
  <c r="BE33" i="63"/>
  <c r="BL33" i="63" s="1"/>
  <c r="BM64" i="63" s="1"/>
  <c r="BN64" i="63" s="1"/>
  <c r="U17" i="63"/>
  <c r="AB17" i="63" s="1"/>
  <c r="AC48" i="63" s="1"/>
  <c r="AD48" i="63" s="1"/>
  <c r="U14" i="63"/>
  <c r="AB14" i="63" s="1"/>
  <c r="AC45" i="63" s="1"/>
  <c r="AD45" i="63" s="1"/>
  <c r="U7" i="63"/>
  <c r="AB7" i="63" s="1"/>
  <c r="AC38" i="63" s="1"/>
  <c r="AD38" i="63" s="1"/>
  <c r="U23" i="63"/>
  <c r="AB23" i="63" s="1"/>
  <c r="AC54" i="63" s="1"/>
  <c r="AD54" i="63" s="1"/>
  <c r="U24" i="63"/>
  <c r="AB24" i="63" s="1"/>
  <c r="AC55" i="63" s="1"/>
  <c r="AD55" i="63" s="1"/>
  <c r="U31" i="63"/>
  <c r="AB31" i="63" s="1"/>
  <c r="AC62" i="63" s="1"/>
  <c r="AD62" i="63" s="1"/>
  <c r="U33" i="63"/>
  <c r="AB33" i="63" s="1"/>
  <c r="AC64" i="63" s="1"/>
  <c r="AD64" i="63" s="1"/>
  <c r="AV9" i="63"/>
  <c r="BC9" i="63" s="1"/>
  <c r="BD40" i="63" s="1"/>
  <c r="BE40" i="63" s="1"/>
  <c r="AV14" i="63"/>
  <c r="BC14" i="63" s="1"/>
  <c r="BD45" i="63" s="1"/>
  <c r="BE45" i="63" s="1"/>
  <c r="AV15" i="63"/>
  <c r="BC15" i="63" s="1"/>
  <c r="BD46" i="63" s="1"/>
  <c r="BE46" i="63" s="1"/>
  <c r="AV23" i="63"/>
  <c r="BC23" i="63" s="1"/>
  <c r="BD54" i="63" s="1"/>
  <c r="BE54" i="63" s="1"/>
  <c r="AV16" i="63"/>
  <c r="BC16" i="63" s="1"/>
  <c r="BD47" i="63" s="1"/>
  <c r="BE47" i="63" s="1"/>
  <c r="AV24" i="63"/>
  <c r="BC24" i="63" s="1"/>
  <c r="BD55" i="63" s="1"/>
  <c r="BE55" i="63" s="1"/>
  <c r="AV33" i="63"/>
  <c r="BC33" i="63" s="1"/>
  <c r="BD64" i="63" s="1"/>
  <c r="BE64" i="63" s="1"/>
  <c r="AV35" i="63"/>
  <c r="BC35" i="63" s="1"/>
  <c r="BD66" i="63" s="1"/>
  <c r="BE66" i="63" s="1"/>
  <c r="L15" i="63"/>
  <c r="S15" i="63" s="1"/>
  <c r="T46" i="63" s="1"/>
  <c r="U46" i="63" s="1"/>
  <c r="L20" i="63"/>
  <c r="S20" i="63" s="1"/>
  <c r="T51" i="63" s="1"/>
  <c r="U51" i="63" s="1"/>
  <c r="L18" i="63"/>
  <c r="S18" i="63" s="1"/>
  <c r="T49" i="63" s="1"/>
  <c r="U49" i="63" s="1"/>
  <c r="L22" i="63"/>
  <c r="S22" i="63" s="1"/>
  <c r="T53" i="63" s="1"/>
  <c r="U53" i="63" s="1"/>
  <c r="L28" i="63"/>
  <c r="S28" i="63" s="1"/>
  <c r="T59" i="63" s="1"/>
  <c r="U59" i="63" s="1"/>
  <c r="L25" i="63"/>
  <c r="S25" i="63" s="1"/>
  <c r="T56" i="63" s="1"/>
  <c r="U56" i="63" s="1"/>
  <c r="L31" i="63"/>
  <c r="S31" i="63" s="1"/>
  <c r="T62" i="63" s="1"/>
  <c r="U62" i="63" s="1"/>
  <c r="BW7" i="63"/>
  <c r="CC7" i="63" s="1"/>
  <c r="CD38" i="63" s="1"/>
  <c r="CE38" i="63" s="1"/>
  <c r="BW9" i="63"/>
  <c r="CC9" i="63" s="1"/>
  <c r="CD40" i="63" s="1"/>
  <c r="CE40" i="63" s="1"/>
  <c r="BW13" i="63"/>
  <c r="CC13" i="63" s="1"/>
  <c r="CD44" i="63" s="1"/>
  <c r="CE44" i="63" s="1"/>
  <c r="BW22" i="63"/>
  <c r="CC22" i="63" s="1"/>
  <c r="CD53" i="63" s="1"/>
  <c r="CE53" i="63" s="1"/>
  <c r="BW17" i="63"/>
  <c r="CC17" i="63" s="1"/>
  <c r="CD48" i="63" s="1"/>
  <c r="CE48" i="63" s="1"/>
  <c r="BW25" i="63"/>
  <c r="CC25" i="63" s="1"/>
  <c r="CD56" i="63" s="1"/>
  <c r="CE56" i="63" s="1"/>
  <c r="BW34" i="63"/>
  <c r="CC34" i="63" s="1"/>
  <c r="CD65" i="63" s="1"/>
  <c r="CE65" i="63" s="1"/>
  <c r="BW32" i="63"/>
  <c r="CC32" i="63" s="1"/>
  <c r="CD63" i="63" s="1"/>
  <c r="CE63" i="63" s="1"/>
  <c r="AM12" i="63"/>
  <c r="AT12" i="63" s="1"/>
  <c r="AU43" i="63" s="1"/>
  <c r="AV43" i="63" s="1"/>
  <c r="AM15" i="63"/>
  <c r="AT15" i="63" s="1"/>
  <c r="AU46" i="63" s="1"/>
  <c r="AV46" i="63" s="1"/>
  <c r="AM16" i="63"/>
  <c r="AT16" i="63" s="1"/>
  <c r="AU47" i="63" s="1"/>
  <c r="AV47" i="63" s="1"/>
  <c r="AM24" i="63"/>
  <c r="AT24" i="63" s="1"/>
  <c r="AU55" i="63" s="1"/>
  <c r="AV55" i="63" s="1"/>
  <c r="AM19" i="63"/>
  <c r="AT19" i="63" s="1"/>
  <c r="AU50" i="63" s="1"/>
  <c r="AV50" i="63" s="1"/>
  <c r="AM28" i="63"/>
  <c r="AT28" i="63" s="1"/>
  <c r="AU59" i="63" s="1"/>
  <c r="AV59" i="63" s="1"/>
  <c r="AM31" i="63"/>
  <c r="AT31" i="63" s="1"/>
  <c r="AU62" i="63" s="1"/>
  <c r="AV62" i="63" s="1"/>
  <c r="C6" i="63"/>
  <c r="J6" i="63" s="1"/>
  <c r="K37" i="63" s="1"/>
  <c r="L37" i="63" s="1"/>
  <c r="C8" i="63"/>
  <c r="J8" i="63" s="1"/>
  <c r="K39" i="63" s="1"/>
  <c r="L39" i="63" s="1"/>
  <c r="C18" i="63"/>
  <c r="J18" i="63" s="1"/>
  <c r="K49" i="63" s="1"/>
  <c r="L49" i="63" s="1"/>
  <c r="C15" i="63"/>
  <c r="J15" i="63" s="1"/>
  <c r="K46" i="63" s="1"/>
  <c r="L46" i="63" s="1"/>
  <c r="C21" i="63"/>
  <c r="J21" i="63" s="1"/>
  <c r="K52" i="63" s="1"/>
  <c r="L52" i="63" s="1"/>
  <c r="C22" i="63"/>
  <c r="J22" i="63" s="1"/>
  <c r="K53" i="63" s="1"/>
  <c r="L53" i="63" s="1"/>
  <c r="C35" i="63"/>
  <c r="J35" i="63" s="1"/>
  <c r="K66" i="63" s="1"/>
  <c r="L66" i="63" s="1"/>
  <c r="C30" i="63"/>
  <c r="J30" i="63" s="1"/>
  <c r="K61" i="63" s="1"/>
  <c r="L61" i="63" s="1"/>
  <c r="BN13" i="63"/>
  <c r="BU13" i="63" s="1"/>
  <c r="BV44" i="63" s="1"/>
  <c r="BW44" i="63" s="1"/>
  <c r="BN10" i="63"/>
  <c r="BU10" i="63" s="1"/>
  <c r="BV41" i="63" s="1"/>
  <c r="BW41" i="63" s="1"/>
  <c r="BN17" i="63"/>
  <c r="BU17" i="63" s="1"/>
  <c r="BV48" i="63" s="1"/>
  <c r="BW48" i="63" s="1"/>
  <c r="BN25" i="63"/>
  <c r="BU25" i="63" s="1"/>
  <c r="BV56" i="63" s="1"/>
  <c r="BW56" i="63" s="1"/>
  <c r="BN22" i="63"/>
  <c r="BU22" i="63" s="1"/>
  <c r="BV53" i="63" s="1"/>
  <c r="BW53" i="63" s="1"/>
  <c r="BN26" i="63"/>
  <c r="BU26" i="63" s="1"/>
  <c r="BV57" i="63" s="1"/>
  <c r="BW57" i="63" s="1"/>
  <c r="BN30" i="63"/>
  <c r="BU30" i="63" s="1"/>
  <c r="BV61" i="63" s="1"/>
  <c r="BW61" i="63" s="1"/>
  <c r="AD9" i="63"/>
  <c r="AK9" i="63" s="1"/>
  <c r="AL40" i="63" s="1"/>
  <c r="AM40" i="63" s="1"/>
  <c r="AD7" i="63"/>
  <c r="AK7" i="63" s="1"/>
  <c r="AL38" i="63" s="1"/>
  <c r="AM38" i="63" s="1"/>
  <c r="AD11" i="63"/>
  <c r="AK11" i="63" s="1"/>
  <c r="AL42" i="63" s="1"/>
  <c r="AM42" i="63" s="1"/>
  <c r="AD21" i="63"/>
  <c r="AK21" i="63" s="1"/>
  <c r="AL52" i="63" s="1"/>
  <c r="AM52" i="63" s="1"/>
  <c r="AD16" i="63"/>
  <c r="AK16" i="63" s="1"/>
  <c r="AL47" i="63" s="1"/>
  <c r="AM47" i="63" s="1"/>
  <c r="AD24" i="63"/>
  <c r="AK24" i="63" s="1"/>
  <c r="AL55" i="63" s="1"/>
  <c r="AM55" i="63" s="1"/>
  <c r="AD32" i="63"/>
  <c r="AK32" i="63" s="1"/>
  <c r="AL63" i="63" s="1"/>
  <c r="AM63" i="63" s="1"/>
  <c r="AD31" i="63"/>
  <c r="AK31" i="63" s="1"/>
  <c r="AL62" i="63" s="1"/>
  <c r="AM62" i="63" s="1"/>
  <c r="BE14" i="63"/>
  <c r="BL14" i="63" s="1"/>
  <c r="BM45" i="63" s="1"/>
  <c r="BN45" i="63" s="1"/>
  <c r="BE11" i="63"/>
  <c r="BL11" i="63" s="1"/>
  <c r="BM42" i="63" s="1"/>
  <c r="BN42" i="63" s="1"/>
  <c r="BE18" i="63"/>
  <c r="BL18" i="63" s="1"/>
  <c r="BM49" i="63" s="1"/>
  <c r="BN49" i="63" s="1"/>
  <c r="BE26" i="63"/>
  <c r="BL26" i="63" s="1"/>
  <c r="BM57" i="63" s="1"/>
  <c r="BN57" i="63" s="1"/>
  <c r="BE21" i="63"/>
  <c r="BL21" i="63" s="1"/>
  <c r="BM52" i="63" s="1"/>
  <c r="BN52" i="63" s="1"/>
  <c r="BE29" i="63"/>
  <c r="BL29" i="63" s="1"/>
  <c r="BM60" i="63" s="1"/>
  <c r="BN60" i="63" s="1"/>
  <c r="BE31" i="63"/>
  <c r="BL31" i="63" s="1"/>
  <c r="BM62" i="63" s="1"/>
  <c r="BN62" i="63" s="1"/>
  <c r="U6" i="63"/>
  <c r="AB6" i="63" s="1"/>
  <c r="AC37" i="63" s="1"/>
  <c r="AD37" i="63" s="1"/>
  <c r="U18" i="63"/>
  <c r="AB18" i="63" s="1"/>
  <c r="AC49" i="63" s="1"/>
  <c r="AD49" i="63" s="1"/>
  <c r="U8" i="63"/>
  <c r="AB8" i="63" s="1"/>
  <c r="AC39" i="63" s="1"/>
  <c r="AD39" i="63" s="1"/>
  <c r="U11" i="63"/>
  <c r="AB11" i="63" s="1"/>
  <c r="AC42" i="63" s="1"/>
  <c r="AD42" i="63" s="1"/>
  <c r="U25" i="63"/>
  <c r="AB25" i="63" s="1"/>
  <c r="AC56" i="63" s="1"/>
  <c r="AD56" i="63" s="1"/>
  <c r="U26" i="63"/>
  <c r="AB26" i="63" s="1"/>
  <c r="AC57" i="63" s="1"/>
  <c r="AD57" i="63" s="1"/>
  <c r="U35" i="63"/>
  <c r="AB35" i="63" s="1"/>
  <c r="AC66" i="63" s="1"/>
  <c r="AD66" i="63" s="1"/>
  <c r="U30" i="63"/>
  <c r="AB30" i="63" s="1"/>
  <c r="AC61" i="63" s="1"/>
  <c r="AD61" i="63" s="1"/>
  <c r="AV8" i="63"/>
  <c r="BC8" i="63" s="1"/>
  <c r="BD39" i="63" s="1"/>
  <c r="BE39" i="63" s="1"/>
  <c r="AV10" i="63"/>
  <c r="BC10" i="63" s="1"/>
  <c r="BD41" i="63" s="1"/>
  <c r="BE41" i="63" s="1"/>
  <c r="AV17" i="63"/>
  <c r="BC17" i="63" s="1"/>
  <c r="BD48" i="63" s="1"/>
  <c r="BE48" i="63" s="1"/>
  <c r="AV25" i="63"/>
  <c r="BC25" i="63" s="1"/>
  <c r="BD56" i="63" s="1"/>
  <c r="BE56" i="63" s="1"/>
  <c r="AV18" i="63"/>
  <c r="BC18" i="63" s="1"/>
  <c r="BD49" i="63" s="1"/>
  <c r="BE49" i="63" s="1"/>
  <c r="AV26" i="63"/>
  <c r="BC26" i="63" s="1"/>
  <c r="BD57" i="63" s="1"/>
  <c r="BE57" i="63" s="1"/>
  <c r="AV30" i="63"/>
  <c r="BC30" i="63" s="1"/>
  <c r="BD61" i="63" s="1"/>
  <c r="BE61" i="63" s="1"/>
  <c r="L8" i="63"/>
  <c r="S8" i="63" s="1"/>
  <c r="T39" i="63" s="1"/>
  <c r="U39" i="63" s="1"/>
  <c r="L6" i="63"/>
  <c r="S6" i="63" s="1"/>
  <c r="T37" i="63" s="1"/>
  <c r="U37" i="63" s="1"/>
  <c r="L9" i="63"/>
  <c r="S9" i="63" s="1"/>
  <c r="T40" i="63" s="1"/>
  <c r="U40" i="63" s="1"/>
  <c r="L19" i="63"/>
  <c r="S19" i="63" s="1"/>
  <c r="T50" i="63" s="1"/>
  <c r="U50" i="63" s="1"/>
  <c r="L24" i="63"/>
  <c r="S24" i="63" s="1"/>
  <c r="T55" i="63" s="1"/>
  <c r="U55" i="63" s="1"/>
  <c r="L30" i="63"/>
  <c r="S30" i="63" s="1"/>
  <c r="T61" i="63" s="1"/>
  <c r="U61" i="63" s="1"/>
  <c r="L29" i="63"/>
  <c r="S29" i="63" s="1"/>
  <c r="T60" i="63" s="1"/>
  <c r="U60" i="63" s="1"/>
  <c r="L35" i="63"/>
  <c r="S35" i="63" s="1"/>
  <c r="T66" i="63" s="1"/>
  <c r="U66" i="63" s="1"/>
  <c r="BW10" i="63"/>
  <c r="CC10" i="63" s="1"/>
  <c r="CD41" i="63" s="1"/>
  <c r="CE41" i="63" s="1"/>
  <c r="BW8" i="63"/>
  <c r="CC8" i="63" s="1"/>
  <c r="CD39" i="63" s="1"/>
  <c r="CE39" i="63" s="1"/>
  <c r="BW16" i="63"/>
  <c r="CC16" i="63" s="1"/>
  <c r="CD47" i="63" s="1"/>
  <c r="CE47" i="63" s="1"/>
  <c r="BW24" i="63"/>
  <c r="CC24" i="63" s="1"/>
  <c r="CD55" i="63" s="1"/>
  <c r="CE55" i="63" s="1"/>
  <c r="BW19" i="63"/>
  <c r="CC19" i="63" s="1"/>
  <c r="CD50" i="63" s="1"/>
  <c r="CE50" i="63" s="1"/>
  <c r="BW26" i="63"/>
  <c r="CC26" i="63" s="1"/>
  <c r="CD57" i="63" s="1"/>
  <c r="CE57" i="63" s="1"/>
  <c r="BW31" i="63"/>
  <c r="CC31" i="63" s="1"/>
  <c r="CD62" i="63" s="1"/>
  <c r="CE62" i="63" s="1"/>
  <c r="AM14" i="63"/>
  <c r="AT14" i="63" s="1"/>
  <c r="AU45" i="63" s="1"/>
  <c r="AV45" i="63" s="1"/>
  <c r="AM8" i="63"/>
  <c r="AT8" i="63" s="1"/>
  <c r="AU39" i="63" s="1"/>
  <c r="AV39" i="63" s="1"/>
  <c r="AM18" i="63"/>
  <c r="AT18" i="63" s="1"/>
  <c r="AU49" i="63" s="1"/>
  <c r="AV49" i="63" s="1"/>
  <c r="AM26" i="63"/>
  <c r="AT26" i="63" s="1"/>
  <c r="AU57" i="63" s="1"/>
  <c r="AV57" i="63" s="1"/>
  <c r="AM21" i="63"/>
  <c r="AT21" i="63" s="1"/>
  <c r="AU52" i="63" s="1"/>
  <c r="AV52" i="63" s="1"/>
  <c r="AM27" i="63"/>
  <c r="AT27" i="63" s="1"/>
  <c r="AU58" i="63" s="1"/>
  <c r="AV58" i="63" s="1"/>
  <c r="C11" i="63"/>
  <c r="J11" i="63" s="1"/>
  <c r="K42" i="63" s="1"/>
  <c r="L42" i="63" s="1"/>
  <c r="C14" i="63"/>
  <c r="J14" i="63" s="1"/>
  <c r="K45" i="63" s="1"/>
  <c r="L45" i="63" s="1"/>
  <c r="C19" i="63"/>
  <c r="J19" i="63" s="1"/>
  <c r="K50" i="63" s="1"/>
  <c r="L50" i="63" s="1"/>
  <c r="C12" i="63"/>
  <c r="J12" i="63" s="1"/>
  <c r="K43" i="63" s="1"/>
  <c r="L43" i="63" s="1"/>
  <c r="C23" i="63"/>
  <c r="J23" i="63" s="1"/>
  <c r="K54" i="63" s="1"/>
  <c r="L54" i="63" s="1"/>
  <c r="C24" i="63"/>
  <c r="J24" i="63" s="1"/>
  <c r="K55" i="63" s="1"/>
  <c r="L55" i="63" s="1"/>
  <c r="C32" i="63"/>
  <c r="J32" i="63" s="1"/>
  <c r="K63" i="63" s="1"/>
  <c r="L63" i="63" s="1"/>
  <c r="BN8" i="63"/>
  <c r="BU8" i="63" s="1"/>
  <c r="BV39" i="63" s="1"/>
  <c r="BW39" i="63" s="1"/>
  <c r="BN12" i="63"/>
  <c r="BU12" i="63" s="1"/>
  <c r="BV43" i="63" s="1"/>
  <c r="BW43" i="63" s="1"/>
  <c r="BN19" i="63"/>
  <c r="BU19" i="63" s="1"/>
  <c r="BV50" i="63" s="1"/>
  <c r="BW50" i="63" s="1"/>
  <c r="BN16" i="63"/>
  <c r="BU16" i="63" s="1"/>
  <c r="BV47" i="63" s="1"/>
  <c r="BW47" i="63" s="1"/>
  <c r="BN24" i="63"/>
  <c r="BU24" i="63" s="1"/>
  <c r="BV55" i="63" s="1"/>
  <c r="BW55" i="63" s="1"/>
  <c r="BN28" i="63"/>
  <c r="BU28" i="63" s="1"/>
  <c r="BV59" i="63" s="1"/>
  <c r="BW59" i="63" s="1"/>
  <c r="AD10" i="63"/>
  <c r="AK10" i="63" s="1"/>
  <c r="AL41" i="63" s="1"/>
  <c r="AM41" i="63" s="1"/>
  <c r="AD13" i="63"/>
  <c r="AK13" i="63" s="1"/>
  <c r="AL44" i="63" s="1"/>
  <c r="AM44" i="63" s="1"/>
  <c r="AD15" i="63"/>
  <c r="AK15" i="63" s="1"/>
  <c r="AL46" i="63" s="1"/>
  <c r="AM46" i="63" s="1"/>
  <c r="AD23" i="63"/>
  <c r="AK23" i="63" s="1"/>
  <c r="AL54" i="63" s="1"/>
  <c r="AM54" i="63" s="1"/>
  <c r="AD18" i="63"/>
  <c r="AK18" i="63" s="1"/>
  <c r="AL49" i="63" s="1"/>
  <c r="AM49" i="63" s="1"/>
  <c r="AD26" i="63"/>
  <c r="AK26" i="63" s="1"/>
  <c r="AL57" i="63" s="1"/>
  <c r="AM57" i="63" s="1"/>
  <c r="AD33" i="63"/>
  <c r="AK33" i="63" s="1"/>
  <c r="AL64" i="63" s="1"/>
  <c r="AM64" i="63" s="1"/>
  <c r="BE6" i="63"/>
  <c r="BL6" i="63" s="1"/>
  <c r="BM37" i="63" s="1"/>
  <c r="BN37" i="63" s="1"/>
  <c r="BE8" i="63"/>
  <c r="BL8" i="63" s="1"/>
  <c r="BM39" i="63" s="1"/>
  <c r="BN39" i="63" s="1"/>
  <c r="BE20" i="63"/>
  <c r="BL20" i="63" s="1"/>
  <c r="BM51" i="63" s="1"/>
  <c r="BN51" i="63" s="1"/>
  <c r="BE15" i="63"/>
  <c r="BL15" i="63" s="1"/>
  <c r="BM46" i="63" s="1"/>
  <c r="BN46" i="63" s="1"/>
  <c r="BE23" i="63"/>
  <c r="BL23" i="63" s="1"/>
  <c r="BM54" i="63" s="1"/>
  <c r="BN54" i="63" s="1"/>
  <c r="BE27" i="63"/>
  <c r="BL27" i="63" s="1"/>
  <c r="BM58" i="63" s="1"/>
  <c r="BN58" i="63" s="1"/>
  <c r="U13" i="63"/>
  <c r="AB13" i="63" s="1"/>
  <c r="AC44" i="63" s="1"/>
  <c r="AD44" i="63" s="1"/>
  <c r="U19" i="63"/>
  <c r="AB19" i="63" s="1"/>
  <c r="AC50" i="63" s="1"/>
  <c r="AD50" i="63" s="1"/>
  <c r="U10" i="63"/>
  <c r="AB10" i="63" s="1"/>
  <c r="AC41" i="63" s="1"/>
  <c r="AD41" i="63" s="1"/>
  <c r="U12" i="63"/>
  <c r="AB12" i="63" s="1"/>
  <c r="AC43" i="63" s="1"/>
  <c r="AD43" i="63" s="1"/>
  <c r="U20" i="63"/>
  <c r="AB20" i="63" s="1"/>
  <c r="AC51" i="63" s="1"/>
  <c r="AD51" i="63" s="1"/>
  <c r="U27" i="63"/>
  <c r="AB27" i="63" s="1"/>
  <c r="AC58" i="63" s="1"/>
  <c r="AD58" i="63" s="1"/>
  <c r="U32" i="63"/>
  <c r="AB32" i="63" s="1"/>
  <c r="AC63" i="63" s="1"/>
  <c r="AD63" i="63" s="1"/>
  <c r="AV13" i="63"/>
  <c r="BC13" i="63" s="1"/>
  <c r="BD44" i="63" s="1"/>
  <c r="BE44" i="63" s="1"/>
  <c r="AV12" i="63"/>
  <c r="BC12" i="63" s="1"/>
  <c r="BD43" i="63" s="1"/>
  <c r="BE43" i="63" s="1"/>
  <c r="AV19" i="63"/>
  <c r="BC19" i="63" s="1"/>
  <c r="BD50" i="63" s="1"/>
  <c r="BE50" i="63" s="1"/>
  <c r="AV27" i="63"/>
  <c r="BC27" i="63" s="1"/>
  <c r="BD58" i="63" s="1"/>
  <c r="BE58" i="63" s="1"/>
  <c r="AV20" i="63"/>
  <c r="BC20" i="63" s="1"/>
  <c r="BD51" i="63" s="1"/>
  <c r="BE51" i="63" s="1"/>
  <c r="AV28" i="63"/>
  <c r="BC28" i="63" s="1"/>
  <c r="BD59" i="63" s="1"/>
  <c r="BE59" i="63" s="1"/>
  <c r="L12" i="63"/>
  <c r="S12" i="63" s="1"/>
  <c r="T43" i="63" s="1"/>
  <c r="U43" i="63" s="1"/>
  <c r="L11" i="63"/>
  <c r="S11" i="63" s="1"/>
  <c r="T42" i="63" s="1"/>
  <c r="U42" i="63" s="1"/>
  <c r="L16" i="63"/>
  <c r="S16" i="63" s="1"/>
  <c r="T47" i="63" s="1"/>
  <c r="U47" i="63" s="1"/>
  <c r="L10" i="63"/>
  <c r="S10" i="63" s="1"/>
  <c r="T41" i="63" s="1"/>
  <c r="U41" i="63" s="1"/>
  <c r="L26" i="63"/>
  <c r="S26" i="63" s="1"/>
  <c r="T57" i="63" s="1"/>
  <c r="U57" i="63" s="1"/>
  <c r="L21" i="63"/>
  <c r="S21" i="63" s="1"/>
  <c r="T52" i="63" s="1"/>
  <c r="U52" i="63" s="1"/>
  <c r="L33" i="63"/>
  <c r="S33" i="63" s="1"/>
  <c r="T64" i="63" s="1"/>
  <c r="U64" i="63" s="1"/>
  <c r="CQ21" i="59"/>
  <c r="L19" i="70" l="1"/>
  <c r="S19" i="70" s="1"/>
  <c r="T50" i="70" s="1"/>
  <c r="U50" i="70" s="1"/>
  <c r="L12" i="70"/>
  <c r="S12" i="70" s="1"/>
  <c r="T43" i="70" s="1"/>
  <c r="U43" i="70" s="1"/>
  <c r="L34" i="70"/>
  <c r="S34" i="70" s="1"/>
  <c r="T65" i="70" s="1"/>
  <c r="U65" i="70" s="1"/>
  <c r="L6" i="70"/>
  <c r="S6" i="70" s="1"/>
  <c r="T37" i="70" s="1"/>
  <c r="U37" i="70" s="1"/>
  <c r="L33" i="70"/>
  <c r="S33" i="70" s="1"/>
  <c r="T64" i="70" s="1"/>
  <c r="U64" i="70" s="1"/>
  <c r="L9" i="70"/>
  <c r="S9" i="70" s="1"/>
  <c r="T40" i="70" s="1"/>
  <c r="U40" i="70" s="1"/>
  <c r="L20" i="70"/>
  <c r="S20" i="70" s="1"/>
  <c r="T51" i="70" s="1"/>
  <c r="U51" i="70" s="1"/>
  <c r="L25" i="70"/>
  <c r="S25" i="70" s="1"/>
  <c r="T56" i="70" s="1"/>
  <c r="U56" i="70" s="1"/>
  <c r="L18" i="70"/>
  <c r="S18" i="70" s="1"/>
  <c r="T49" i="70" s="1"/>
  <c r="U49" i="70" s="1"/>
  <c r="L31" i="70"/>
  <c r="S31" i="70" s="1"/>
  <c r="T62" i="70" s="1"/>
  <c r="U62" i="70" s="1"/>
  <c r="L23" i="70"/>
  <c r="S23" i="70" s="1"/>
  <c r="T54" i="70" s="1"/>
  <c r="U54" i="70" s="1"/>
  <c r="L28" i="70"/>
  <c r="S28" i="70" s="1"/>
  <c r="T59" i="70" s="1"/>
  <c r="U59" i="70" s="1"/>
  <c r="L10" i="70"/>
  <c r="S10" i="70" s="1"/>
  <c r="T41" i="70" s="1"/>
  <c r="U41" i="70" s="1"/>
  <c r="L14" i="70"/>
  <c r="S14" i="70" s="1"/>
  <c r="T45" i="70" s="1"/>
  <c r="U45" i="70" s="1"/>
  <c r="L15" i="70"/>
  <c r="S15" i="70" s="1"/>
  <c r="T46" i="70" s="1"/>
  <c r="U46" i="70" s="1"/>
  <c r="L26" i="70"/>
  <c r="S26" i="70" s="1"/>
  <c r="T57" i="70" s="1"/>
  <c r="U57" i="70" s="1"/>
  <c r="L17" i="70"/>
  <c r="S17" i="70" s="1"/>
  <c r="T48" i="70" s="1"/>
  <c r="U48" i="70" s="1"/>
  <c r="L11" i="70"/>
  <c r="S11" i="70" s="1"/>
  <c r="T42" i="70" s="1"/>
  <c r="U42" i="70" s="1"/>
  <c r="L30" i="70"/>
  <c r="S30" i="70" s="1"/>
  <c r="T61" i="70" s="1"/>
  <c r="U61" i="70" s="1"/>
  <c r="L7" i="70"/>
  <c r="S7" i="70" s="1"/>
  <c r="T38" i="70" s="1"/>
  <c r="U38" i="70" s="1"/>
  <c r="L13" i="70"/>
  <c r="S13" i="70" s="1"/>
  <c r="T44" i="70" s="1"/>
  <c r="U44" i="70" s="1"/>
  <c r="L22" i="70"/>
  <c r="S22" i="70" s="1"/>
  <c r="T53" i="70" s="1"/>
  <c r="U53" i="70" s="1"/>
  <c r="L27" i="70"/>
  <c r="S27" i="70" s="1"/>
  <c r="T58" i="70" s="1"/>
  <c r="U58" i="70" s="1"/>
  <c r="L24" i="70"/>
  <c r="S24" i="70" s="1"/>
  <c r="T55" i="70" s="1"/>
  <c r="U55" i="70" s="1"/>
  <c r="L29" i="70"/>
  <c r="S29" i="70" s="1"/>
  <c r="T60" i="70" s="1"/>
  <c r="U60" i="70" s="1"/>
  <c r="L32" i="70"/>
  <c r="S32" i="70" s="1"/>
  <c r="T63" i="70" s="1"/>
  <c r="U63" i="70" s="1"/>
  <c r="L16" i="70"/>
  <c r="S16" i="70" s="1"/>
  <c r="T47" i="70" s="1"/>
  <c r="U47" i="70" s="1"/>
  <c r="L35" i="70"/>
  <c r="S35" i="70" s="1"/>
  <c r="T66" i="70" s="1"/>
  <c r="U66" i="70" s="1"/>
  <c r="L21" i="70"/>
  <c r="S21" i="70" s="1"/>
  <c r="T52" i="70" s="1"/>
  <c r="U52" i="70" s="1"/>
  <c r="L8" i="70"/>
  <c r="S8" i="70" s="1"/>
  <c r="T39" i="70" s="1"/>
  <c r="U39" i="70" s="1"/>
  <c r="CS7" i="62"/>
  <c r="C28" i="70"/>
  <c r="J28" i="70" s="1"/>
  <c r="K59" i="70" s="1"/>
  <c r="L59" i="70" s="1"/>
  <c r="C32" i="70"/>
  <c r="J32" i="70" s="1"/>
  <c r="K63" i="70" s="1"/>
  <c r="L63" i="70" s="1"/>
  <c r="C20" i="70"/>
  <c r="J20" i="70" s="1"/>
  <c r="K51" i="70" s="1"/>
  <c r="L51" i="70" s="1"/>
  <c r="C29" i="70"/>
  <c r="J29" i="70" s="1"/>
  <c r="K60" i="70" s="1"/>
  <c r="L60" i="70" s="1"/>
  <c r="C34" i="70"/>
  <c r="J34" i="70" s="1"/>
  <c r="K65" i="70" s="1"/>
  <c r="L65" i="70" s="1"/>
  <c r="C31" i="70"/>
  <c r="J31" i="70" s="1"/>
  <c r="K62" i="70" s="1"/>
  <c r="L62" i="70" s="1"/>
  <c r="C17" i="70"/>
  <c r="J17" i="70" s="1"/>
  <c r="K48" i="70" s="1"/>
  <c r="L48" i="70" s="1"/>
  <c r="C13" i="70"/>
  <c r="J13" i="70" s="1"/>
  <c r="K44" i="70" s="1"/>
  <c r="L44" i="70" s="1"/>
  <c r="C35" i="70"/>
  <c r="J35" i="70" s="1"/>
  <c r="K66" i="70" s="1"/>
  <c r="L66" i="70" s="1"/>
  <c r="C18" i="70"/>
  <c r="J18" i="70" s="1"/>
  <c r="K49" i="70" s="1"/>
  <c r="L49" i="70" s="1"/>
  <c r="C25" i="70"/>
  <c r="J25" i="70" s="1"/>
  <c r="K56" i="70" s="1"/>
  <c r="L56" i="70" s="1"/>
  <c r="C21" i="70"/>
  <c r="J21" i="70" s="1"/>
  <c r="K52" i="70" s="1"/>
  <c r="L52" i="70" s="1"/>
  <c r="C12" i="70"/>
  <c r="J12" i="70" s="1"/>
  <c r="K43" i="70" s="1"/>
  <c r="L43" i="70" s="1"/>
  <c r="C33" i="70"/>
  <c r="J33" i="70" s="1"/>
  <c r="K64" i="70" s="1"/>
  <c r="L64" i="70" s="1"/>
  <c r="C26" i="70"/>
  <c r="J26" i="70" s="1"/>
  <c r="K57" i="70" s="1"/>
  <c r="L57" i="70" s="1"/>
  <c r="C9" i="70"/>
  <c r="J9" i="70" s="1"/>
  <c r="K40" i="70" s="1"/>
  <c r="L40" i="70" s="1"/>
  <c r="C27" i="70"/>
  <c r="J27" i="70" s="1"/>
  <c r="K58" i="70" s="1"/>
  <c r="L58" i="70" s="1"/>
  <c r="C14" i="70"/>
  <c r="J14" i="70" s="1"/>
  <c r="K45" i="70" s="1"/>
  <c r="L45" i="70" s="1"/>
  <c r="C30" i="70"/>
  <c r="J30" i="70" s="1"/>
  <c r="K61" i="70" s="1"/>
  <c r="L61" i="70" s="1"/>
  <c r="C22" i="70"/>
  <c r="J22" i="70" s="1"/>
  <c r="K53" i="70" s="1"/>
  <c r="L53" i="70" s="1"/>
  <c r="C8" i="70"/>
  <c r="J8" i="70" s="1"/>
  <c r="K39" i="70" s="1"/>
  <c r="L39" i="70" s="1"/>
  <c r="C24" i="70"/>
  <c r="J24" i="70" s="1"/>
  <c r="K55" i="70" s="1"/>
  <c r="L55" i="70" s="1"/>
  <c r="C16" i="70"/>
  <c r="J16" i="70" s="1"/>
  <c r="K47" i="70" s="1"/>
  <c r="L47" i="70" s="1"/>
  <c r="C7" i="70"/>
  <c r="J7" i="70" s="1"/>
  <c r="K38" i="70" s="1"/>
  <c r="L38" i="70" s="1"/>
  <c r="C6" i="70"/>
  <c r="J6" i="70" s="1"/>
  <c r="K37" i="70" s="1"/>
  <c r="L37" i="70" s="1"/>
  <c r="C11" i="70"/>
  <c r="J11" i="70" s="1"/>
  <c r="K42" i="70" s="1"/>
  <c r="L42" i="70" s="1"/>
  <c r="C19" i="70"/>
  <c r="J19" i="70" s="1"/>
  <c r="K50" i="70" s="1"/>
  <c r="L50" i="70" s="1"/>
  <c r="C23" i="70"/>
  <c r="J23" i="70" s="1"/>
  <c r="K54" i="70" s="1"/>
  <c r="L54" i="70" s="1"/>
  <c r="C15" i="70"/>
  <c r="J15" i="70" s="1"/>
  <c r="K46" i="70" s="1"/>
  <c r="L46" i="70" s="1"/>
  <c r="BX38" i="70"/>
  <c r="BX37" i="70" s="1"/>
  <c r="AW38" i="70"/>
  <c r="AW37" i="70" s="1"/>
  <c r="AN38" i="70"/>
  <c r="AN37" i="70" s="1"/>
  <c r="CF38" i="70"/>
  <c r="CF37" i="70" s="1"/>
  <c r="BF38" i="70"/>
  <c r="BF37" i="70" s="1"/>
  <c r="BO38" i="70"/>
  <c r="BO37" i="70" s="1"/>
  <c r="AE38" i="70"/>
  <c r="AE37" i="70" s="1"/>
  <c r="CQ8" i="62"/>
  <c r="CO11" i="62"/>
  <c r="CW10" i="62"/>
  <c r="CW17" i="62" s="1"/>
  <c r="CU12" i="62"/>
  <c r="BC8" i="58"/>
  <c r="BC11" i="58" s="1"/>
  <c r="BA7" i="58"/>
  <c r="J44" i="27"/>
  <c r="K43" i="27"/>
  <c r="FL16" i="23"/>
  <c r="CS9" i="59"/>
  <c r="CS22" i="59" s="1"/>
  <c r="CM7" i="62"/>
  <c r="CM8" i="62" s="1"/>
  <c r="CQ13" i="59"/>
  <c r="CQ16" i="59" s="1"/>
  <c r="CO17" i="62"/>
  <c r="CY10" i="59"/>
  <c r="CM7" i="59"/>
  <c r="CS9" i="62"/>
  <c r="CU18" i="62"/>
  <c r="CY10" i="62"/>
  <c r="CY16" i="62" s="1"/>
  <c r="CQ13" i="62"/>
  <c r="AD21" i="58"/>
  <c r="AK21" i="58" s="1"/>
  <c r="AL52" i="58" s="1"/>
  <c r="AM52" i="58" s="1"/>
  <c r="L33" i="58"/>
  <c r="S33" i="58" s="1"/>
  <c r="BN6" i="59"/>
  <c r="BU6" i="59" s="1"/>
  <c r="BV37" i="59" s="1"/>
  <c r="BW37" i="59" s="1"/>
  <c r="L15" i="58"/>
  <c r="S15" i="58" s="1"/>
  <c r="L28" i="58"/>
  <c r="S28" i="58" s="1"/>
  <c r="BN8" i="59"/>
  <c r="BU8" i="59" s="1"/>
  <c r="BV39" i="59" s="1"/>
  <c r="BW39" i="59" s="1"/>
  <c r="L26" i="58"/>
  <c r="S26" i="58" s="1"/>
  <c r="L17" i="58"/>
  <c r="S17" i="58" s="1"/>
  <c r="L8" i="58"/>
  <c r="S8" i="58" s="1"/>
  <c r="T39" i="58" s="1"/>
  <c r="U39" i="58" s="1"/>
  <c r="U6" i="58"/>
  <c r="AB6" i="58" s="1"/>
  <c r="AC37" i="58" s="1"/>
  <c r="AD37" i="58" s="1"/>
  <c r="BN35" i="59"/>
  <c r="BU35" i="59" s="1"/>
  <c r="BV66" i="59" s="1"/>
  <c r="BW66" i="59" s="1"/>
  <c r="L29" i="58"/>
  <c r="S29" i="58" s="1"/>
  <c r="L7" i="58"/>
  <c r="S7" i="58" s="1"/>
  <c r="T38" i="58" s="1"/>
  <c r="U38" i="58" s="1"/>
  <c r="L16" i="58"/>
  <c r="S16" i="58" s="1"/>
  <c r="L22" i="58"/>
  <c r="S22" i="58" s="1"/>
  <c r="L11" i="58"/>
  <c r="S11" i="58" s="1"/>
  <c r="L31" i="58"/>
  <c r="S31" i="58" s="1"/>
  <c r="L24" i="58"/>
  <c r="S24" i="58" s="1"/>
  <c r="L13" i="58"/>
  <c r="S13" i="58" s="1"/>
  <c r="AD10" i="58"/>
  <c r="AK10" i="58" s="1"/>
  <c r="AL41" i="58" s="1"/>
  <c r="AM41" i="58" s="1"/>
  <c r="L10" i="58"/>
  <c r="S10" i="58" s="1"/>
  <c r="L30" i="58"/>
  <c r="S30" i="58" s="1"/>
  <c r="L23" i="58"/>
  <c r="S23" i="58" s="1"/>
  <c r="L12" i="58"/>
  <c r="S12" i="58" s="1"/>
  <c r="L32" i="58"/>
  <c r="S32" i="58" s="1"/>
  <c r="L25" i="58"/>
  <c r="S25" i="58" s="1"/>
  <c r="L21" i="58"/>
  <c r="S21" i="58" s="1"/>
  <c r="BW23" i="59"/>
  <c r="BN27" i="59"/>
  <c r="BU27" i="59" s="1"/>
  <c r="BV58" i="59" s="1"/>
  <c r="BW58" i="59" s="1"/>
  <c r="L14" i="58"/>
  <c r="S14" i="58" s="1"/>
  <c r="L27" i="58"/>
  <c r="S27" i="58" s="1"/>
  <c r="L9" i="58"/>
  <c r="S9" i="58" s="1"/>
  <c r="T40" i="58" s="1"/>
  <c r="U40" i="58" s="1"/>
  <c r="BN24" i="59"/>
  <c r="BU24" i="59" s="1"/>
  <c r="BV55" i="59" s="1"/>
  <c r="BW55" i="59" s="1"/>
  <c r="BN17" i="59"/>
  <c r="BU17" i="59" s="1"/>
  <c r="BV48" i="59" s="1"/>
  <c r="BW48" i="59" s="1"/>
  <c r="BN19" i="59"/>
  <c r="BU19" i="59" s="1"/>
  <c r="BV50" i="59" s="1"/>
  <c r="BW50" i="59" s="1"/>
  <c r="BN32" i="59"/>
  <c r="BU32" i="59" s="1"/>
  <c r="BV63" i="59" s="1"/>
  <c r="BW63" i="59" s="1"/>
  <c r="BW10" i="59"/>
  <c r="AD11" i="58"/>
  <c r="AK11" i="58" s="1"/>
  <c r="AL42" i="58" s="1"/>
  <c r="AM42" i="58" s="1"/>
  <c r="BN7" i="59"/>
  <c r="BU7" i="59" s="1"/>
  <c r="BV38" i="59" s="1"/>
  <c r="BW38" i="59" s="1"/>
  <c r="BN20" i="59"/>
  <c r="BU20" i="59" s="1"/>
  <c r="BV51" i="59" s="1"/>
  <c r="BW51" i="59" s="1"/>
  <c r="BN9" i="59"/>
  <c r="BU9" i="59" s="1"/>
  <c r="BV40" i="59" s="1"/>
  <c r="BW40" i="59" s="1"/>
  <c r="AD28" i="58"/>
  <c r="AK28" i="58" s="1"/>
  <c r="AL59" i="58" s="1"/>
  <c r="AM59" i="58" s="1"/>
  <c r="BN10" i="59"/>
  <c r="BU10" i="59" s="1"/>
  <c r="BV41" i="59" s="1"/>
  <c r="BW41" i="59" s="1"/>
  <c r="BN29" i="59"/>
  <c r="BU29" i="59" s="1"/>
  <c r="BV60" i="59" s="1"/>
  <c r="BW60" i="59" s="1"/>
  <c r="BN31" i="59"/>
  <c r="BU31" i="59" s="1"/>
  <c r="BV62" i="59" s="1"/>
  <c r="BW62" i="59" s="1"/>
  <c r="L18" i="58"/>
  <c r="S18" i="58" s="1"/>
  <c r="L34" i="58"/>
  <c r="S34" i="58" s="1"/>
  <c r="L19" i="58"/>
  <c r="S19" i="58" s="1"/>
  <c r="L35" i="58"/>
  <c r="S35" i="58" s="1"/>
  <c r="L20" i="58"/>
  <c r="S20" i="58" s="1"/>
  <c r="L6" i="58"/>
  <c r="S6" i="58" s="1"/>
  <c r="T37" i="58" s="1"/>
  <c r="U37" i="58" s="1"/>
  <c r="AD14" i="58"/>
  <c r="AK14" i="58" s="1"/>
  <c r="AL45" i="58" s="1"/>
  <c r="AM45" i="58" s="1"/>
  <c r="AD15" i="58"/>
  <c r="AK15" i="58" s="1"/>
  <c r="AL46" i="58" s="1"/>
  <c r="AM46" i="58" s="1"/>
  <c r="AD13" i="58"/>
  <c r="AK13" i="58" s="1"/>
  <c r="AL44" i="58" s="1"/>
  <c r="AM44" i="58" s="1"/>
  <c r="BW22" i="59"/>
  <c r="BW27" i="59"/>
  <c r="BN22" i="59"/>
  <c r="BU22" i="59" s="1"/>
  <c r="BV53" i="59" s="1"/>
  <c r="BW53" i="59" s="1"/>
  <c r="BN33" i="59"/>
  <c r="BU33" i="59" s="1"/>
  <c r="BV64" i="59" s="1"/>
  <c r="BW64" i="59" s="1"/>
  <c r="BW18" i="59"/>
  <c r="BW17" i="59"/>
  <c r="BN16" i="59"/>
  <c r="BU16" i="59" s="1"/>
  <c r="BV47" i="59" s="1"/>
  <c r="BW47" i="59" s="1"/>
  <c r="BN25" i="59"/>
  <c r="BU25" i="59" s="1"/>
  <c r="BV56" i="59" s="1"/>
  <c r="BW56" i="59" s="1"/>
  <c r="BW30" i="59"/>
  <c r="BW19" i="59"/>
  <c r="BN12" i="59"/>
  <c r="BU12" i="59" s="1"/>
  <c r="BV43" i="59" s="1"/>
  <c r="BW43" i="59" s="1"/>
  <c r="BN13" i="59"/>
  <c r="BU13" i="59" s="1"/>
  <c r="BV44" i="59" s="1"/>
  <c r="BW44" i="59" s="1"/>
  <c r="BW26" i="59"/>
  <c r="BW7" i="59"/>
  <c r="CW32" i="59"/>
  <c r="AV21" i="59" s="1"/>
  <c r="AD26" i="58"/>
  <c r="AK26" i="58" s="1"/>
  <c r="AL57" i="58" s="1"/>
  <c r="AM57" i="58" s="1"/>
  <c r="AD27" i="58"/>
  <c r="AK27" i="58" s="1"/>
  <c r="AL58" i="58" s="1"/>
  <c r="AM58" i="58" s="1"/>
  <c r="AD29" i="58"/>
  <c r="AK29" i="58" s="1"/>
  <c r="AL60" i="58" s="1"/>
  <c r="AM60" i="58" s="1"/>
  <c r="BW32" i="59"/>
  <c r="BW25" i="59"/>
  <c r="BW28" i="59"/>
  <c r="BW13" i="59"/>
  <c r="BN34" i="59"/>
  <c r="BU34" i="59" s="1"/>
  <c r="BV65" i="59" s="1"/>
  <c r="BW65" i="59" s="1"/>
  <c r="BN23" i="59"/>
  <c r="BU23" i="59" s="1"/>
  <c r="BV54" i="59" s="1"/>
  <c r="BW54" i="59" s="1"/>
  <c r="BW14" i="59"/>
  <c r="BW9" i="59"/>
  <c r="BN30" i="59"/>
  <c r="BU30" i="59" s="1"/>
  <c r="BV61" i="59" s="1"/>
  <c r="BW61" i="59" s="1"/>
  <c r="BN15" i="59"/>
  <c r="BU15" i="59" s="1"/>
  <c r="BV46" i="59" s="1"/>
  <c r="BW46" i="59" s="1"/>
  <c r="BW8" i="59"/>
  <c r="BW35" i="59"/>
  <c r="AD30" i="58"/>
  <c r="AK30" i="58" s="1"/>
  <c r="AL61" i="58" s="1"/>
  <c r="AM61" i="58" s="1"/>
  <c r="AD12" i="58"/>
  <c r="AK12" i="58" s="1"/>
  <c r="AL43" i="58" s="1"/>
  <c r="AM43" i="58" s="1"/>
  <c r="BW16" i="59"/>
  <c r="BW21" i="59"/>
  <c r="BW12" i="59"/>
  <c r="BN18" i="59"/>
  <c r="BU18" i="59" s="1"/>
  <c r="BV49" i="59" s="1"/>
  <c r="BW49" i="59" s="1"/>
  <c r="BN21" i="59"/>
  <c r="BU21" i="59" s="1"/>
  <c r="BV52" i="59" s="1"/>
  <c r="BW52" i="59" s="1"/>
  <c r="BW24" i="59"/>
  <c r="BW11" i="59"/>
  <c r="BN14" i="59"/>
  <c r="BU14" i="59" s="1"/>
  <c r="BV45" i="59" s="1"/>
  <c r="BW45" i="59" s="1"/>
  <c r="BN11" i="59"/>
  <c r="BU11" i="59" s="1"/>
  <c r="BV42" i="59" s="1"/>
  <c r="BW42" i="59" s="1"/>
  <c r="BW20" i="59"/>
  <c r="BW33" i="59"/>
  <c r="BN26" i="59"/>
  <c r="BU26" i="59" s="1"/>
  <c r="BV57" i="59" s="1"/>
  <c r="BW57" i="59" s="1"/>
  <c r="BW15" i="59"/>
  <c r="BW34" i="59"/>
  <c r="BW29" i="59"/>
  <c r="BW31" i="59"/>
  <c r="BN28" i="59"/>
  <c r="BU28" i="59" s="1"/>
  <c r="BV59" i="59" s="1"/>
  <c r="BW59" i="59" s="1"/>
  <c r="BW6" i="59"/>
  <c r="CM10" i="59"/>
  <c r="AM35" i="58"/>
  <c r="AS35" i="58" s="1"/>
  <c r="AT66" i="58" s="1"/>
  <c r="AU66" i="58" s="1"/>
  <c r="AM19" i="58"/>
  <c r="AS19" i="58" s="1"/>
  <c r="AT50" i="58" s="1"/>
  <c r="AU50" i="58" s="1"/>
  <c r="AM34" i="58"/>
  <c r="AS34" i="58" s="1"/>
  <c r="AT65" i="58" s="1"/>
  <c r="AU65" i="58" s="1"/>
  <c r="AM18" i="58"/>
  <c r="AS18" i="58" s="1"/>
  <c r="AT49" i="58" s="1"/>
  <c r="AU49" i="58" s="1"/>
  <c r="AM29" i="58"/>
  <c r="AS29" i="58" s="1"/>
  <c r="AT60" i="58" s="1"/>
  <c r="AU60" i="58" s="1"/>
  <c r="AM13" i="58"/>
  <c r="AS13" i="58" s="1"/>
  <c r="AT44" i="58" s="1"/>
  <c r="AU44" i="58" s="1"/>
  <c r="AM28" i="58"/>
  <c r="AS28" i="58" s="1"/>
  <c r="AT59" i="58" s="1"/>
  <c r="AU59" i="58" s="1"/>
  <c r="AM12" i="58"/>
  <c r="AS12" i="58" s="1"/>
  <c r="AT43" i="58" s="1"/>
  <c r="AU43" i="58" s="1"/>
  <c r="AM31" i="58"/>
  <c r="AS31" i="58" s="1"/>
  <c r="AT62" i="58" s="1"/>
  <c r="AU62" i="58" s="1"/>
  <c r="AM15" i="58"/>
  <c r="AS15" i="58" s="1"/>
  <c r="AT46" i="58" s="1"/>
  <c r="AU46" i="58" s="1"/>
  <c r="AM30" i="58"/>
  <c r="AS30" i="58" s="1"/>
  <c r="AT61" i="58" s="1"/>
  <c r="AU61" i="58" s="1"/>
  <c r="AM14" i="58"/>
  <c r="AS14" i="58" s="1"/>
  <c r="AT45" i="58" s="1"/>
  <c r="AU45" i="58" s="1"/>
  <c r="AM25" i="58"/>
  <c r="AS25" i="58" s="1"/>
  <c r="AT56" i="58" s="1"/>
  <c r="AU56" i="58" s="1"/>
  <c r="AM9" i="58"/>
  <c r="AS9" i="58" s="1"/>
  <c r="AT40" i="58" s="1"/>
  <c r="AU40" i="58" s="1"/>
  <c r="AM24" i="58"/>
  <c r="AS24" i="58" s="1"/>
  <c r="AT55" i="58" s="1"/>
  <c r="AU55" i="58" s="1"/>
  <c r="AM8" i="58"/>
  <c r="AS8" i="58" s="1"/>
  <c r="AT39" i="58" s="1"/>
  <c r="AU39" i="58" s="1"/>
  <c r="AM27" i="58"/>
  <c r="AS27" i="58" s="1"/>
  <c r="AT58" i="58" s="1"/>
  <c r="AU58" i="58" s="1"/>
  <c r="AM11" i="58"/>
  <c r="AS11" i="58" s="1"/>
  <c r="AT42" i="58" s="1"/>
  <c r="AU42" i="58" s="1"/>
  <c r="AM26" i="58"/>
  <c r="AS26" i="58" s="1"/>
  <c r="AT57" i="58" s="1"/>
  <c r="AU57" i="58" s="1"/>
  <c r="AM10" i="58"/>
  <c r="AS10" i="58" s="1"/>
  <c r="AT41" i="58" s="1"/>
  <c r="AU41" i="58" s="1"/>
  <c r="AM21" i="58"/>
  <c r="AS21" i="58" s="1"/>
  <c r="AT52" i="58" s="1"/>
  <c r="AU52" i="58" s="1"/>
  <c r="AM6" i="58"/>
  <c r="AS6" i="58" s="1"/>
  <c r="AT37" i="58" s="1"/>
  <c r="AU37" i="58" s="1"/>
  <c r="AM20" i="58"/>
  <c r="AS20" i="58" s="1"/>
  <c r="AT51" i="58" s="1"/>
  <c r="AU51" i="58" s="1"/>
  <c r="AM23" i="58"/>
  <c r="AS23" i="58" s="1"/>
  <c r="AT54" i="58" s="1"/>
  <c r="AU54" i="58" s="1"/>
  <c r="AM7" i="58"/>
  <c r="AS7" i="58" s="1"/>
  <c r="AT38" i="58" s="1"/>
  <c r="AU38" i="58" s="1"/>
  <c r="AM22" i="58"/>
  <c r="AS22" i="58" s="1"/>
  <c r="AT53" i="58" s="1"/>
  <c r="AU53" i="58" s="1"/>
  <c r="AM33" i="58"/>
  <c r="AS33" i="58" s="1"/>
  <c r="AT64" i="58" s="1"/>
  <c r="AU64" i="58" s="1"/>
  <c r="AM17" i="58"/>
  <c r="AS17" i="58" s="1"/>
  <c r="AT48" i="58" s="1"/>
  <c r="AU48" i="58" s="1"/>
  <c r="AM32" i="58"/>
  <c r="AS32" i="58" s="1"/>
  <c r="AT63" i="58" s="1"/>
  <c r="AU63" i="58" s="1"/>
  <c r="AM16" i="58"/>
  <c r="AS16" i="58" s="1"/>
  <c r="AT47" i="58" s="1"/>
  <c r="AU47" i="58" s="1"/>
  <c r="AD22" i="58"/>
  <c r="AK22" i="58" s="1"/>
  <c r="AL53" i="58" s="1"/>
  <c r="AM53" i="58" s="1"/>
  <c r="AD7" i="58"/>
  <c r="AK7" i="58" s="1"/>
  <c r="AL38" i="58" s="1"/>
  <c r="AM38" i="58" s="1"/>
  <c r="AD23" i="58"/>
  <c r="AK23" i="58" s="1"/>
  <c r="AL54" i="58" s="1"/>
  <c r="AM54" i="58" s="1"/>
  <c r="AD8" i="58"/>
  <c r="AK8" i="58" s="1"/>
  <c r="AL39" i="58" s="1"/>
  <c r="AM39" i="58" s="1"/>
  <c r="AD24" i="58"/>
  <c r="AK24" i="58" s="1"/>
  <c r="AL55" i="58" s="1"/>
  <c r="AM55" i="58" s="1"/>
  <c r="AD9" i="58"/>
  <c r="AK9" i="58" s="1"/>
  <c r="AL40" i="58" s="1"/>
  <c r="AM40" i="58" s="1"/>
  <c r="AD25" i="58"/>
  <c r="AK25" i="58" s="1"/>
  <c r="AL56" i="58" s="1"/>
  <c r="AM56" i="58" s="1"/>
  <c r="AD31" i="58"/>
  <c r="AK31" i="58" s="1"/>
  <c r="AL62" i="58" s="1"/>
  <c r="AM62" i="58" s="1"/>
  <c r="AD16" i="58"/>
  <c r="AK16" i="58" s="1"/>
  <c r="AL47" i="58" s="1"/>
  <c r="AM47" i="58" s="1"/>
  <c r="AD32" i="58"/>
  <c r="AK32" i="58" s="1"/>
  <c r="AL63" i="58" s="1"/>
  <c r="AM63" i="58" s="1"/>
  <c r="AD17" i="58"/>
  <c r="AK17" i="58" s="1"/>
  <c r="AL48" i="58" s="1"/>
  <c r="AM48" i="58" s="1"/>
  <c r="AD33" i="58"/>
  <c r="AK33" i="58" s="1"/>
  <c r="AL64" i="58" s="1"/>
  <c r="AM64" i="58" s="1"/>
  <c r="AD18" i="58"/>
  <c r="AK18" i="58" s="1"/>
  <c r="AL49" i="58" s="1"/>
  <c r="AM49" i="58" s="1"/>
  <c r="AD34" i="58"/>
  <c r="AK34" i="58" s="1"/>
  <c r="AL65" i="58" s="1"/>
  <c r="AM65" i="58" s="1"/>
  <c r="AD19" i="58"/>
  <c r="AK19" i="58" s="1"/>
  <c r="AL50" i="58" s="1"/>
  <c r="AM50" i="58" s="1"/>
  <c r="AD35" i="58"/>
  <c r="AK35" i="58" s="1"/>
  <c r="AL66" i="58" s="1"/>
  <c r="AM66" i="58" s="1"/>
  <c r="AD20" i="58"/>
  <c r="AK20" i="58" s="1"/>
  <c r="AL51" i="58" s="1"/>
  <c r="AM51" i="58" s="1"/>
  <c r="AD6" i="58"/>
  <c r="AK6" i="58" s="1"/>
  <c r="AL37" i="58" s="1"/>
  <c r="AM37" i="58" s="1"/>
  <c r="BO38" i="63"/>
  <c r="BO37" i="63" s="1"/>
  <c r="V38" i="63"/>
  <c r="V37" i="63" s="1"/>
  <c r="AE38" i="63"/>
  <c r="AE37" i="63" s="1"/>
  <c r="AN38" i="63"/>
  <c r="AN37" i="63" s="1"/>
  <c r="AW38" i="63"/>
  <c r="AW37" i="63" s="1"/>
  <c r="BX38" i="63"/>
  <c r="BX37" i="63" s="1"/>
  <c r="M38" i="63"/>
  <c r="M37" i="63" s="1"/>
  <c r="BF38" i="63"/>
  <c r="BF37" i="63" s="1"/>
  <c r="CF38" i="63"/>
  <c r="CF37" i="63" s="1"/>
  <c r="CO10" i="59"/>
  <c r="CY27" i="59"/>
  <c r="CU16" i="59"/>
  <c r="CU17" i="59" s="1"/>
  <c r="Y64" i="18"/>
  <c r="AE44" i="1"/>
  <c r="C27" i="30"/>
  <c r="BE6" i="59" l="1"/>
  <c r="V38" i="70"/>
  <c r="V37" i="70" s="1"/>
  <c r="M38" i="70"/>
  <c r="M37" i="70" s="1"/>
  <c r="U7" i="58"/>
  <c r="AB7" i="58" s="1"/>
  <c r="AC38" i="58" s="1"/>
  <c r="AD38" i="58" s="1"/>
  <c r="AO82" i="30"/>
  <c r="CM9" i="62"/>
  <c r="CO13" i="62"/>
  <c r="BA9" i="58"/>
  <c r="U32" i="58"/>
  <c r="AB32" i="58" s="1"/>
  <c r="AC63" i="58" s="1"/>
  <c r="AD63" i="58" s="1"/>
  <c r="U23" i="58"/>
  <c r="AB23" i="58" s="1"/>
  <c r="AC54" i="58" s="1"/>
  <c r="AD54" i="58" s="1"/>
  <c r="U27" i="58"/>
  <c r="AB27" i="58" s="1"/>
  <c r="AC58" i="58" s="1"/>
  <c r="AD58" i="58" s="1"/>
  <c r="U24" i="58"/>
  <c r="AB24" i="58" s="1"/>
  <c r="AC55" i="58" s="1"/>
  <c r="AD55" i="58" s="1"/>
  <c r="U30" i="58"/>
  <c r="AB30" i="58" s="1"/>
  <c r="AC61" i="58" s="1"/>
  <c r="AD61" i="58" s="1"/>
  <c r="U29" i="58"/>
  <c r="AB29" i="58" s="1"/>
  <c r="AC60" i="58" s="1"/>
  <c r="AD60" i="58" s="1"/>
  <c r="U33" i="58"/>
  <c r="AB33" i="58" s="1"/>
  <c r="U10" i="58"/>
  <c r="AB10" i="58" s="1"/>
  <c r="AC41" i="58" s="1"/>
  <c r="AD41" i="58" s="1"/>
  <c r="U11" i="58"/>
  <c r="AB11" i="58" s="1"/>
  <c r="AC42" i="58" s="1"/>
  <c r="AD42" i="58" s="1"/>
  <c r="U16" i="58"/>
  <c r="AB16" i="58" s="1"/>
  <c r="AC47" i="58" s="1"/>
  <c r="AD47" i="58" s="1"/>
  <c r="U20" i="58"/>
  <c r="AB20" i="58" s="1"/>
  <c r="AC51" i="58" s="1"/>
  <c r="AD51" i="58" s="1"/>
  <c r="U9" i="58"/>
  <c r="AB9" i="58" s="1"/>
  <c r="AC40" i="58" s="1"/>
  <c r="AD40" i="58" s="1"/>
  <c r="U15" i="58"/>
  <c r="AB15" i="58" s="1"/>
  <c r="AC46" i="58" s="1"/>
  <c r="AD46" i="58" s="1"/>
  <c r="U12" i="58"/>
  <c r="AB12" i="58" s="1"/>
  <c r="AC43" i="58" s="1"/>
  <c r="AD43" i="58" s="1"/>
  <c r="U18" i="58"/>
  <c r="AB18" i="58" s="1"/>
  <c r="AC49" i="58" s="1"/>
  <c r="AD49" i="58" s="1"/>
  <c r="U17" i="58"/>
  <c r="AB17" i="58" s="1"/>
  <c r="AC48" i="58" s="1"/>
  <c r="AD48" i="58" s="1"/>
  <c r="U21" i="58"/>
  <c r="AB21" i="58" s="1"/>
  <c r="AC52" i="58" s="1"/>
  <c r="AD52" i="58" s="1"/>
  <c r="U25" i="58"/>
  <c r="AB25" i="58" s="1"/>
  <c r="AC56" i="58" s="1"/>
  <c r="AD56" i="58" s="1"/>
  <c r="U31" i="58"/>
  <c r="AB31" i="58" s="1"/>
  <c r="AC62" i="58" s="1"/>
  <c r="AD62" i="58" s="1"/>
  <c r="U28" i="58"/>
  <c r="AB28" i="58" s="1"/>
  <c r="AC59" i="58" s="1"/>
  <c r="AD59" i="58" s="1"/>
  <c r="U34" i="58"/>
  <c r="AB34" i="58" s="1"/>
  <c r="AC65" i="58" s="1"/>
  <c r="AD65" i="58" s="1"/>
  <c r="U22" i="58"/>
  <c r="AB22" i="58" s="1"/>
  <c r="AC53" i="58" s="1"/>
  <c r="AD53" i="58" s="1"/>
  <c r="U26" i="58"/>
  <c r="AB26" i="58" s="1"/>
  <c r="U8" i="58"/>
  <c r="AB8" i="58" s="1"/>
  <c r="AC39" i="58" s="1"/>
  <c r="AD39" i="58" s="1"/>
  <c r="U14" i="58"/>
  <c r="AB14" i="58" s="1"/>
  <c r="AC45" i="58" s="1"/>
  <c r="AD45" i="58" s="1"/>
  <c r="U13" i="58"/>
  <c r="AB13" i="58" s="1"/>
  <c r="AC44" i="58" s="1"/>
  <c r="AD44" i="58" s="1"/>
  <c r="U19" i="58"/>
  <c r="AB19" i="58" s="1"/>
  <c r="AC50" i="58" s="1"/>
  <c r="AD50" i="58" s="1"/>
  <c r="U35" i="58"/>
  <c r="AB35" i="58" s="1"/>
  <c r="AC66" i="58" s="1"/>
  <c r="AD66" i="58" s="1"/>
  <c r="J45" i="27"/>
  <c r="K44" i="27"/>
  <c r="FL24" i="23"/>
  <c r="CS31" i="59"/>
  <c r="AD27" i="59" s="1"/>
  <c r="AK27" i="59" s="1"/>
  <c r="AL58" i="59" s="1"/>
  <c r="AM58" i="59" s="1"/>
  <c r="CM11" i="62"/>
  <c r="CM12" i="62" s="1"/>
  <c r="BE33" i="59"/>
  <c r="CQ19" i="59"/>
  <c r="CQ23" i="59" s="1"/>
  <c r="AV7" i="59"/>
  <c r="BC7" i="59" s="1"/>
  <c r="BD38" i="59" s="1"/>
  <c r="BE38" i="59" s="1"/>
  <c r="CO20" i="62"/>
  <c r="AV10" i="59"/>
  <c r="BC10" i="59" s="1"/>
  <c r="BD41" i="59" s="1"/>
  <c r="BE41" i="59" s="1"/>
  <c r="AV28" i="59"/>
  <c r="BC28" i="59" s="1"/>
  <c r="BD59" i="59" s="1"/>
  <c r="BE59" i="59" s="1"/>
  <c r="CQ16" i="62"/>
  <c r="CQ19" i="62" s="1"/>
  <c r="CM8" i="59"/>
  <c r="AV9" i="59"/>
  <c r="BC9" i="59" s="1"/>
  <c r="BD40" i="59" s="1"/>
  <c r="BE40" i="59" s="1"/>
  <c r="AV13" i="59"/>
  <c r="BC13" i="59" s="1"/>
  <c r="BD44" i="59" s="1"/>
  <c r="BE44" i="59" s="1"/>
  <c r="AV14" i="59"/>
  <c r="BC14" i="59" s="1"/>
  <c r="BD45" i="59" s="1"/>
  <c r="BE45" i="59" s="1"/>
  <c r="AV23" i="59"/>
  <c r="BC23" i="59" s="1"/>
  <c r="BD54" i="59" s="1"/>
  <c r="BE54" i="59" s="1"/>
  <c r="AV26" i="59"/>
  <c r="BC26" i="59" s="1"/>
  <c r="BD57" i="59" s="1"/>
  <c r="BE57" i="59" s="1"/>
  <c r="AV15" i="59"/>
  <c r="BC15" i="59" s="1"/>
  <c r="BD46" i="59" s="1"/>
  <c r="BE46" i="59" s="1"/>
  <c r="AV20" i="59"/>
  <c r="BC20" i="59" s="1"/>
  <c r="BD51" i="59" s="1"/>
  <c r="BE51" i="59" s="1"/>
  <c r="AV12" i="59"/>
  <c r="BC12" i="59" s="1"/>
  <c r="BD43" i="59" s="1"/>
  <c r="BE43" i="59" s="1"/>
  <c r="AV24" i="59"/>
  <c r="BC24" i="59" s="1"/>
  <c r="BD55" i="59" s="1"/>
  <c r="BE55" i="59" s="1"/>
  <c r="AV31" i="59"/>
  <c r="BC31" i="59" s="1"/>
  <c r="BD62" i="59" s="1"/>
  <c r="BE62" i="59" s="1"/>
  <c r="AV25" i="59"/>
  <c r="BC25" i="59" s="1"/>
  <c r="BD56" i="59" s="1"/>
  <c r="BE56" i="59" s="1"/>
  <c r="AV29" i="59"/>
  <c r="BC29" i="59" s="1"/>
  <c r="BD60" i="59" s="1"/>
  <c r="BE60" i="59" s="1"/>
  <c r="AV6" i="59"/>
  <c r="BC6" i="59" s="1"/>
  <c r="BD37" i="59" s="1"/>
  <c r="BE37" i="59" s="1"/>
  <c r="AV27" i="59"/>
  <c r="BC27" i="59" s="1"/>
  <c r="BD58" i="59" s="1"/>
  <c r="BE58" i="59" s="1"/>
  <c r="AN38" i="58"/>
  <c r="AN37" i="58" s="1"/>
  <c r="AV11" i="59"/>
  <c r="BC11" i="59" s="1"/>
  <c r="BD42" i="59" s="1"/>
  <c r="BE42" i="59" s="1"/>
  <c r="BE15" i="59"/>
  <c r="BE13" i="59"/>
  <c r="BE9" i="59"/>
  <c r="BE34" i="59"/>
  <c r="AV35" i="59"/>
  <c r="BC35" i="59" s="1"/>
  <c r="BD66" i="59" s="1"/>
  <c r="BE66" i="59" s="1"/>
  <c r="AV22" i="59"/>
  <c r="BC22" i="59" s="1"/>
  <c r="BD53" i="59" s="1"/>
  <c r="BE53" i="59" s="1"/>
  <c r="AV17" i="59"/>
  <c r="BC17" i="59" s="1"/>
  <c r="BD48" i="59" s="1"/>
  <c r="BE48" i="59" s="1"/>
  <c r="BE25" i="59"/>
  <c r="BE23" i="59"/>
  <c r="BE29" i="59"/>
  <c r="AV34" i="59"/>
  <c r="BC34" i="59" s="1"/>
  <c r="BD65" i="59" s="1"/>
  <c r="BE65" i="59" s="1"/>
  <c r="AV19" i="59"/>
  <c r="BC19" i="59" s="1"/>
  <c r="BD50" i="59" s="1"/>
  <c r="BE50" i="59" s="1"/>
  <c r="BE27" i="59"/>
  <c r="BE22" i="59"/>
  <c r="AD13" i="59"/>
  <c r="AK13" i="59" s="1"/>
  <c r="AL44" i="59" s="1"/>
  <c r="AM44" i="59" s="1"/>
  <c r="BE28" i="59"/>
  <c r="BE16" i="59"/>
  <c r="BE11" i="59"/>
  <c r="BE31" i="59"/>
  <c r="BE26" i="59"/>
  <c r="BE14" i="59"/>
  <c r="AV18" i="59"/>
  <c r="BC18" i="59" s="1"/>
  <c r="BD49" i="59" s="1"/>
  <c r="BE49" i="59" s="1"/>
  <c r="AV8" i="59"/>
  <c r="BC8" i="59" s="1"/>
  <c r="BD39" i="59" s="1"/>
  <c r="BE39" i="59" s="1"/>
  <c r="BE12" i="59"/>
  <c r="BE18" i="59"/>
  <c r="BE17" i="59"/>
  <c r="BE10" i="59"/>
  <c r="BE21" i="59"/>
  <c r="BE19" i="59"/>
  <c r="BE24" i="59"/>
  <c r="AV32" i="59"/>
  <c r="BC32" i="59" s="1"/>
  <c r="BD63" i="59" s="1"/>
  <c r="BE63" i="59" s="1"/>
  <c r="AV33" i="59"/>
  <c r="BC33" i="59" s="1"/>
  <c r="BD64" i="59" s="1"/>
  <c r="BE64" i="59" s="1"/>
  <c r="BE35" i="59"/>
  <c r="AV30" i="59"/>
  <c r="BC30" i="59" s="1"/>
  <c r="BD61" i="59" s="1"/>
  <c r="BE61" i="59" s="1"/>
  <c r="BE7" i="59"/>
  <c r="BE8" i="59"/>
  <c r="BE32" i="59"/>
  <c r="BE20" i="59"/>
  <c r="AV16" i="59"/>
  <c r="BC16" i="59" s="1"/>
  <c r="BD47" i="59" s="1"/>
  <c r="BE47" i="59" s="1"/>
  <c r="BE30" i="59"/>
  <c r="CM14" i="62"/>
  <c r="CM13" i="59"/>
  <c r="B37" i="63"/>
  <c r="BX38" i="59"/>
  <c r="BX37" i="59" s="1"/>
  <c r="BC21" i="59"/>
  <c r="BD52" i="59" s="1"/>
  <c r="BE52" i="59" s="1"/>
  <c r="CO11" i="59"/>
  <c r="CQ24" i="59"/>
  <c r="CU18" i="59"/>
  <c r="AM11" i="59" s="1"/>
  <c r="AV38" i="58"/>
  <c r="AV37" i="58" s="1"/>
  <c r="T63" i="58"/>
  <c r="U63" i="58" s="1"/>
  <c r="T50" i="58"/>
  <c r="U50" i="58" s="1"/>
  <c r="T62" i="58"/>
  <c r="U62" i="58" s="1"/>
  <c r="T56" i="58"/>
  <c r="U56" i="58" s="1"/>
  <c r="T48" i="58"/>
  <c r="U48" i="58" s="1"/>
  <c r="T64" i="58"/>
  <c r="U64" i="58" s="1"/>
  <c r="T58" i="58"/>
  <c r="U58" i="58" s="1"/>
  <c r="T55" i="58"/>
  <c r="U55" i="58" s="1"/>
  <c r="T41" i="58"/>
  <c r="U41" i="58" s="1"/>
  <c r="T57" i="58"/>
  <c r="U57" i="58" s="1"/>
  <c r="T49" i="58"/>
  <c r="U49" i="58" s="1"/>
  <c r="T42" i="58"/>
  <c r="U42" i="58" s="1"/>
  <c r="T43" i="58"/>
  <c r="U43" i="58" s="1"/>
  <c r="T60" i="58"/>
  <c r="U60" i="58" s="1"/>
  <c r="A12" i="43"/>
  <c r="C12" i="43" s="1"/>
  <c r="CJ65" i="54"/>
  <c r="CJ64" i="54"/>
  <c r="CJ63" i="54"/>
  <c r="CJ62" i="54"/>
  <c r="CJ61" i="54"/>
  <c r="CJ60" i="54"/>
  <c r="CJ59" i="54"/>
  <c r="CJ58" i="54"/>
  <c r="CJ57" i="54"/>
  <c r="CJ56" i="54"/>
  <c r="CJ55" i="54"/>
  <c r="CJ54" i="54"/>
  <c r="CJ53" i="54"/>
  <c r="CJ52" i="54"/>
  <c r="CJ51" i="54"/>
  <c r="CJ50" i="54"/>
  <c r="CJ49" i="54"/>
  <c r="CJ48" i="54"/>
  <c r="CJ47" i="54"/>
  <c r="CJ46" i="54"/>
  <c r="CJ45" i="54"/>
  <c r="CJ44" i="54"/>
  <c r="CJ43" i="54"/>
  <c r="CJ42" i="54"/>
  <c r="CJ41" i="54"/>
  <c r="CJ40" i="54"/>
  <c r="CJ39" i="54"/>
  <c r="CJ38" i="54"/>
  <c r="CJ37" i="54"/>
  <c r="CJ36" i="54"/>
  <c r="CJ35" i="54"/>
  <c r="CJ34" i="54"/>
  <c r="CJ33" i="54"/>
  <c r="CJ32" i="54"/>
  <c r="CJ31" i="54"/>
  <c r="CJ30" i="54"/>
  <c r="CJ29" i="54"/>
  <c r="CJ28" i="54"/>
  <c r="CJ27" i="54"/>
  <c r="CJ26" i="54"/>
  <c r="CJ25" i="54"/>
  <c r="CJ24" i="54"/>
  <c r="CJ23" i="54"/>
  <c r="CJ22" i="54"/>
  <c r="CJ21" i="54"/>
  <c r="CJ20" i="54"/>
  <c r="CJ19" i="54"/>
  <c r="CJ18" i="54"/>
  <c r="CJ17" i="54"/>
  <c r="CJ16" i="54"/>
  <c r="CJ15" i="54"/>
  <c r="CJ14" i="54"/>
  <c r="CJ13" i="54"/>
  <c r="CJ12" i="54"/>
  <c r="CJ11" i="54"/>
  <c r="CJ10" i="54"/>
  <c r="CJ9" i="54"/>
  <c r="CJ8" i="54"/>
  <c r="CJ7" i="54"/>
  <c r="CJ6" i="54"/>
  <c r="AD18" i="59" l="1"/>
  <c r="AK18" i="59" s="1"/>
  <c r="AL49" i="59" s="1"/>
  <c r="AM49" i="59" s="1"/>
  <c r="B37" i="70"/>
  <c r="AD7" i="59"/>
  <c r="AK7" i="59" s="1"/>
  <c r="AL38" i="59" s="1"/>
  <c r="AM38" i="59" s="1"/>
  <c r="AD6" i="59"/>
  <c r="AK6" i="59" s="1"/>
  <c r="AL37" i="59" s="1"/>
  <c r="AM37" i="59" s="1"/>
  <c r="AD26" i="59"/>
  <c r="AK26" i="59" s="1"/>
  <c r="AL57" i="59" s="1"/>
  <c r="AM57" i="59" s="1"/>
  <c r="AD9" i="59"/>
  <c r="AK9" i="59" s="1"/>
  <c r="AL40" i="59" s="1"/>
  <c r="AM40" i="59" s="1"/>
  <c r="AD31" i="59"/>
  <c r="AK31" i="59" s="1"/>
  <c r="AL62" i="59" s="1"/>
  <c r="AM62" i="59" s="1"/>
  <c r="AD20" i="59"/>
  <c r="AK20" i="59" s="1"/>
  <c r="AL51" i="59" s="1"/>
  <c r="AM51" i="59" s="1"/>
  <c r="AD17" i="59"/>
  <c r="AK17" i="59" s="1"/>
  <c r="AL48" i="59" s="1"/>
  <c r="AM48" i="59" s="1"/>
  <c r="AD32" i="59"/>
  <c r="AK32" i="59" s="1"/>
  <c r="AL63" i="59" s="1"/>
  <c r="AM63" i="59" s="1"/>
  <c r="AD10" i="59"/>
  <c r="AK10" i="59" s="1"/>
  <c r="AL41" i="59" s="1"/>
  <c r="AM41" i="59" s="1"/>
  <c r="AD23" i="59"/>
  <c r="AK23" i="59" s="1"/>
  <c r="AL54" i="59" s="1"/>
  <c r="AM54" i="59" s="1"/>
  <c r="AD15" i="59"/>
  <c r="AK15" i="59" s="1"/>
  <c r="AL46" i="59" s="1"/>
  <c r="AM46" i="59" s="1"/>
  <c r="AD25" i="59"/>
  <c r="AK25" i="59" s="1"/>
  <c r="AL56" i="59" s="1"/>
  <c r="AM56" i="59" s="1"/>
  <c r="AD21" i="59"/>
  <c r="AK21" i="59" s="1"/>
  <c r="AL52" i="59" s="1"/>
  <c r="AM52" i="59" s="1"/>
  <c r="AD19" i="59"/>
  <c r="AK19" i="59" s="1"/>
  <c r="AL50" i="59" s="1"/>
  <c r="AM50" i="59" s="1"/>
  <c r="AD34" i="59"/>
  <c r="AK34" i="59" s="1"/>
  <c r="AL65" i="59" s="1"/>
  <c r="AM65" i="59" s="1"/>
  <c r="AD33" i="59"/>
  <c r="AK33" i="59" s="1"/>
  <c r="AL64" i="59" s="1"/>
  <c r="AM64" i="59" s="1"/>
  <c r="AD16" i="59"/>
  <c r="AK16" i="59" s="1"/>
  <c r="AL47" i="59" s="1"/>
  <c r="AM47" i="59" s="1"/>
  <c r="AD24" i="59"/>
  <c r="AK24" i="59" s="1"/>
  <c r="AL55" i="59" s="1"/>
  <c r="AM55" i="59" s="1"/>
  <c r="AD8" i="59"/>
  <c r="AK8" i="59" s="1"/>
  <c r="AL39" i="59" s="1"/>
  <c r="AM39" i="59" s="1"/>
  <c r="AD14" i="59"/>
  <c r="AK14" i="59" s="1"/>
  <c r="AL45" i="59" s="1"/>
  <c r="AM45" i="59" s="1"/>
  <c r="AD22" i="59"/>
  <c r="AK22" i="59" s="1"/>
  <c r="AL53" i="59" s="1"/>
  <c r="AM53" i="59" s="1"/>
  <c r="AD30" i="59"/>
  <c r="AK30" i="59" s="1"/>
  <c r="AL61" i="59" s="1"/>
  <c r="AM61" i="59" s="1"/>
  <c r="AD35" i="59"/>
  <c r="AK35" i="59" s="1"/>
  <c r="AL66" i="59" s="1"/>
  <c r="AM66" i="59" s="1"/>
  <c r="CQ18" i="62"/>
  <c r="CO14" i="62"/>
  <c r="CO15" i="62" s="1"/>
  <c r="CQ20" i="62"/>
  <c r="BA10" i="58"/>
  <c r="C7" i="58" s="1"/>
  <c r="J7" i="58" s="1"/>
  <c r="K38" i="58" s="1"/>
  <c r="L38" i="58" s="1"/>
  <c r="J46" i="27"/>
  <c r="K45" i="27"/>
  <c r="AD12" i="59"/>
  <c r="AK12" i="59" s="1"/>
  <c r="AL43" i="59" s="1"/>
  <c r="AM43" i="59" s="1"/>
  <c r="AD11" i="59"/>
  <c r="AK11" i="59" s="1"/>
  <c r="AL42" i="59" s="1"/>
  <c r="AM42" i="59" s="1"/>
  <c r="AD28" i="59"/>
  <c r="AK28" i="59" s="1"/>
  <c r="AL59" i="59" s="1"/>
  <c r="AM59" i="59" s="1"/>
  <c r="AD29" i="59"/>
  <c r="AK29" i="59" s="1"/>
  <c r="AL60" i="59" s="1"/>
  <c r="AM60" i="59" s="1"/>
  <c r="CM9" i="59"/>
  <c r="AM33" i="59"/>
  <c r="AM18" i="59"/>
  <c r="AM23" i="59"/>
  <c r="AM10" i="59"/>
  <c r="AM26" i="59"/>
  <c r="AM24" i="59"/>
  <c r="AM31" i="59"/>
  <c r="AM9" i="59"/>
  <c r="AM6" i="59"/>
  <c r="AM21" i="59"/>
  <c r="AM25" i="59"/>
  <c r="AM17" i="59"/>
  <c r="AM8" i="59"/>
  <c r="AM28" i="59"/>
  <c r="AM29" i="59"/>
  <c r="AM35" i="59"/>
  <c r="AM30" i="59"/>
  <c r="AM14" i="59"/>
  <c r="AM27" i="59"/>
  <c r="AM13" i="59"/>
  <c r="AM34" i="59"/>
  <c r="AM20" i="59"/>
  <c r="AM12" i="59"/>
  <c r="AM22" i="59"/>
  <c r="AM7" i="59"/>
  <c r="AM19" i="59"/>
  <c r="AM16" i="59"/>
  <c r="AM32" i="59"/>
  <c r="AM15" i="59"/>
  <c r="CM15" i="62"/>
  <c r="CQ26" i="59"/>
  <c r="CQ27" i="59" s="1"/>
  <c r="CQ28" i="59" s="1"/>
  <c r="CM16" i="59"/>
  <c r="BF38" i="59"/>
  <c r="BF37" i="59" s="1"/>
  <c r="CC28" i="59"/>
  <c r="CD59" i="59" s="1"/>
  <c r="CE59" i="59" s="1"/>
  <c r="CC8" i="59"/>
  <c r="CD39" i="59" s="1"/>
  <c r="CE39" i="59" s="1"/>
  <c r="CC11" i="59"/>
  <c r="CD42" i="59" s="1"/>
  <c r="CE42" i="59" s="1"/>
  <c r="CC22" i="59"/>
  <c r="CD53" i="59" s="1"/>
  <c r="CE53" i="59" s="1"/>
  <c r="CC6" i="59"/>
  <c r="CD37" i="59" s="1"/>
  <c r="CE37" i="59" s="1"/>
  <c r="CC27" i="59"/>
  <c r="CD58" i="59" s="1"/>
  <c r="CE58" i="59" s="1"/>
  <c r="CC21" i="59"/>
  <c r="CD52" i="59" s="1"/>
  <c r="CE52" i="59" s="1"/>
  <c r="CC20" i="59"/>
  <c r="CD51" i="59" s="1"/>
  <c r="CE51" i="59" s="1"/>
  <c r="CC14" i="59"/>
  <c r="CD45" i="59" s="1"/>
  <c r="CE45" i="59" s="1"/>
  <c r="CC32" i="59"/>
  <c r="CD63" i="59" s="1"/>
  <c r="CE63" i="59" s="1"/>
  <c r="CC34" i="59"/>
  <c r="CD65" i="59" s="1"/>
  <c r="CE65" i="59" s="1"/>
  <c r="CC29" i="59"/>
  <c r="CD60" i="59" s="1"/>
  <c r="CE60" i="59" s="1"/>
  <c r="CC10" i="59"/>
  <c r="CD41" i="59" s="1"/>
  <c r="CE41" i="59" s="1"/>
  <c r="CC33" i="59"/>
  <c r="CD64" i="59" s="1"/>
  <c r="CE64" i="59" s="1"/>
  <c r="CC15" i="59"/>
  <c r="CD46" i="59" s="1"/>
  <c r="CE46" i="59" s="1"/>
  <c r="CC16" i="59"/>
  <c r="CD47" i="59" s="1"/>
  <c r="CE47" i="59" s="1"/>
  <c r="CC18" i="59"/>
  <c r="CD49" i="59" s="1"/>
  <c r="CE49" i="59" s="1"/>
  <c r="CC19" i="59"/>
  <c r="CD50" i="59" s="1"/>
  <c r="CE50" i="59" s="1"/>
  <c r="CC35" i="59"/>
  <c r="CD66" i="59" s="1"/>
  <c r="CE66" i="59" s="1"/>
  <c r="CC30" i="59"/>
  <c r="CD61" i="59" s="1"/>
  <c r="CE61" i="59" s="1"/>
  <c r="CC9" i="59"/>
  <c r="CD40" i="59" s="1"/>
  <c r="CE40" i="59" s="1"/>
  <c r="CC25" i="59"/>
  <c r="CD56" i="59" s="1"/>
  <c r="CE56" i="59" s="1"/>
  <c r="CC7" i="59"/>
  <c r="CD38" i="59" s="1"/>
  <c r="CE38" i="59" s="1"/>
  <c r="CC26" i="59"/>
  <c r="CD57" i="59" s="1"/>
  <c r="CE57" i="59" s="1"/>
  <c r="CC12" i="59"/>
  <c r="CD43" i="59" s="1"/>
  <c r="CE43" i="59" s="1"/>
  <c r="CC17" i="59"/>
  <c r="CD48" i="59" s="1"/>
  <c r="CE48" i="59" s="1"/>
  <c r="CC31" i="59"/>
  <c r="CD62" i="59" s="1"/>
  <c r="CE62" i="59" s="1"/>
  <c r="CC24" i="59"/>
  <c r="CD55" i="59" s="1"/>
  <c r="CE55" i="59" s="1"/>
  <c r="CC23" i="59"/>
  <c r="CD54" i="59" s="1"/>
  <c r="CE54" i="59" s="1"/>
  <c r="CC13" i="59"/>
  <c r="CD44" i="59" s="1"/>
  <c r="CE44" i="59" s="1"/>
  <c r="CO12" i="59"/>
  <c r="T59" i="58"/>
  <c r="U59" i="58" s="1"/>
  <c r="T53" i="58"/>
  <c r="U53" i="58" s="1"/>
  <c r="T47" i="58"/>
  <c r="U47" i="58" s="1"/>
  <c r="T65" i="58"/>
  <c r="U65" i="58" s="1"/>
  <c r="T54" i="58"/>
  <c r="U54" i="58" s="1"/>
  <c r="T46" i="58"/>
  <c r="U46" i="58" s="1"/>
  <c r="T51" i="58"/>
  <c r="U51" i="58" s="1"/>
  <c r="T44" i="58"/>
  <c r="U44" i="58" s="1"/>
  <c r="T66" i="58"/>
  <c r="U66" i="58" s="1"/>
  <c r="T45" i="58"/>
  <c r="U45" i="58" s="1"/>
  <c r="T61" i="58"/>
  <c r="U61" i="58" s="1"/>
  <c r="C6" i="58" l="1"/>
  <c r="J6" i="58" s="1"/>
  <c r="K37" i="58" s="1"/>
  <c r="L37" i="58" s="1"/>
  <c r="U6" i="59"/>
  <c r="U9" i="59"/>
  <c r="AB9" i="59" s="1"/>
  <c r="AC40" i="59" s="1"/>
  <c r="AD40" i="59" s="1"/>
  <c r="U8" i="59"/>
  <c r="AB8" i="59" s="1"/>
  <c r="AC39" i="59" s="1"/>
  <c r="AD39" i="59" s="1"/>
  <c r="U7" i="59"/>
  <c r="CM19" i="62"/>
  <c r="AN38" i="59"/>
  <c r="AN37" i="59" s="1"/>
  <c r="C15" i="58"/>
  <c r="C23" i="58"/>
  <c r="C19" i="58"/>
  <c r="C24" i="58"/>
  <c r="C35" i="58"/>
  <c r="C32" i="58"/>
  <c r="C18" i="58"/>
  <c r="C29" i="58"/>
  <c r="C25" i="58"/>
  <c r="C9" i="58"/>
  <c r="C34" i="58"/>
  <c r="C14" i="58"/>
  <c r="C30" i="58"/>
  <c r="C33" i="58"/>
  <c r="C10" i="58"/>
  <c r="C20" i="58"/>
  <c r="C11" i="58"/>
  <c r="C31" i="58"/>
  <c r="C22" i="58"/>
  <c r="C12" i="58"/>
  <c r="C27" i="58"/>
  <c r="C8" i="58"/>
  <c r="C28" i="58"/>
  <c r="C13" i="58"/>
  <c r="C26" i="58"/>
  <c r="C21" i="58"/>
  <c r="C16" i="58"/>
  <c r="C17" i="58"/>
  <c r="J47" i="27"/>
  <c r="K46" i="27"/>
  <c r="CM11" i="59"/>
  <c r="U22" i="59"/>
  <c r="U29" i="59"/>
  <c r="U17" i="59"/>
  <c r="U28" i="59"/>
  <c r="U13" i="59"/>
  <c r="U25" i="59"/>
  <c r="U26" i="59"/>
  <c r="U32" i="59"/>
  <c r="U10" i="59"/>
  <c r="AB10" i="59" s="1"/>
  <c r="AC41" i="59" s="1"/>
  <c r="AD41" i="59" s="1"/>
  <c r="U27" i="59"/>
  <c r="U21" i="59"/>
  <c r="U34" i="59"/>
  <c r="U33" i="59"/>
  <c r="U14" i="59"/>
  <c r="U30" i="59"/>
  <c r="U31" i="59"/>
  <c r="U15" i="59"/>
  <c r="U19" i="59"/>
  <c r="U11" i="59"/>
  <c r="AB11" i="59" s="1"/>
  <c r="AC42" i="59" s="1"/>
  <c r="AD42" i="59" s="1"/>
  <c r="U35" i="59"/>
  <c r="U18" i="59"/>
  <c r="U20" i="59"/>
  <c r="U23" i="59"/>
  <c r="U12" i="59"/>
  <c r="U16" i="59"/>
  <c r="U24" i="59"/>
  <c r="CM17" i="59"/>
  <c r="BL22" i="59"/>
  <c r="BM53" i="59" s="1"/>
  <c r="BN53" i="59" s="1"/>
  <c r="BL34" i="59"/>
  <c r="BM65" i="59" s="1"/>
  <c r="BN65" i="59" s="1"/>
  <c r="CF38" i="59"/>
  <c r="CF37" i="59" s="1"/>
  <c r="AT25" i="59"/>
  <c r="AU56" i="59" s="1"/>
  <c r="AV56" i="59" s="1"/>
  <c r="AT32" i="59"/>
  <c r="AU63" i="59" s="1"/>
  <c r="AV63" i="59" s="1"/>
  <c r="BL9" i="59"/>
  <c r="BM40" i="59" s="1"/>
  <c r="BN40" i="59" s="1"/>
  <c r="AT19" i="59"/>
  <c r="AU50" i="59" s="1"/>
  <c r="AV50" i="59" s="1"/>
  <c r="AT29" i="59"/>
  <c r="AU60" i="59" s="1"/>
  <c r="AV60" i="59" s="1"/>
  <c r="AT22" i="59"/>
  <c r="AU53" i="59" s="1"/>
  <c r="AV53" i="59" s="1"/>
  <c r="AT13" i="59"/>
  <c r="AU44" i="59" s="1"/>
  <c r="AV44" i="59" s="1"/>
  <c r="AT18" i="59"/>
  <c r="AU49" i="59" s="1"/>
  <c r="AV49" i="59" s="1"/>
  <c r="AT27" i="59"/>
  <c r="AU58" i="59" s="1"/>
  <c r="AV58" i="59" s="1"/>
  <c r="AT15" i="59"/>
  <c r="AU46" i="59" s="1"/>
  <c r="AV46" i="59" s="1"/>
  <c r="AT26" i="59"/>
  <c r="AU57" i="59" s="1"/>
  <c r="AV57" i="59" s="1"/>
  <c r="AT12" i="59"/>
  <c r="AU43" i="59" s="1"/>
  <c r="AV43" i="59" s="1"/>
  <c r="AT17" i="59"/>
  <c r="AU48" i="59" s="1"/>
  <c r="AV48" i="59" s="1"/>
  <c r="AT14" i="59"/>
  <c r="AU45" i="59" s="1"/>
  <c r="AV45" i="59" s="1"/>
  <c r="AT20" i="59"/>
  <c r="AU51" i="59" s="1"/>
  <c r="AV51" i="59" s="1"/>
  <c r="AT21" i="59"/>
  <c r="AU52" i="59" s="1"/>
  <c r="AV52" i="59" s="1"/>
  <c r="AT31" i="59"/>
  <c r="AU62" i="59" s="1"/>
  <c r="AV62" i="59" s="1"/>
  <c r="AT30" i="59"/>
  <c r="AU61" i="59" s="1"/>
  <c r="AV61" i="59" s="1"/>
  <c r="AT16" i="59"/>
  <c r="AU47" i="59" s="1"/>
  <c r="AV47" i="59" s="1"/>
  <c r="AT24" i="59"/>
  <c r="AU55" i="59" s="1"/>
  <c r="AV55" i="59" s="1"/>
  <c r="AT23" i="59"/>
  <c r="AU54" i="59" s="1"/>
  <c r="AV54" i="59" s="1"/>
  <c r="AT11" i="59"/>
  <c r="AU42" i="59" s="1"/>
  <c r="AV42" i="59" s="1"/>
  <c r="AT9" i="59"/>
  <c r="AU40" i="59" s="1"/>
  <c r="AV40" i="59" s="1"/>
  <c r="AT33" i="59"/>
  <c r="AU64" i="59" s="1"/>
  <c r="AV64" i="59" s="1"/>
  <c r="AT28" i="59"/>
  <c r="AU59" i="59" s="1"/>
  <c r="AV59" i="59" s="1"/>
  <c r="AT8" i="59"/>
  <c r="AU39" i="59" s="1"/>
  <c r="AV39" i="59" s="1"/>
  <c r="AT7" i="59"/>
  <c r="AU38" i="59" s="1"/>
  <c r="AV38" i="59" s="1"/>
  <c r="AT10" i="59"/>
  <c r="AU41" i="59" s="1"/>
  <c r="AV41" i="59" s="1"/>
  <c r="AT35" i="59"/>
  <c r="AU66" i="59" s="1"/>
  <c r="AV66" i="59" s="1"/>
  <c r="AT34" i="59"/>
  <c r="AU65" i="59" s="1"/>
  <c r="AV65" i="59" s="1"/>
  <c r="AB6" i="59"/>
  <c r="AC37" i="59" s="1"/>
  <c r="AD37" i="59" s="1"/>
  <c r="AB7" i="59"/>
  <c r="AC38" i="59" s="1"/>
  <c r="AD38" i="59" s="1"/>
  <c r="AT6" i="59"/>
  <c r="AU37" i="59" s="1"/>
  <c r="AV37" i="59" s="1"/>
  <c r="CO13" i="59"/>
  <c r="AG217" i="1"/>
  <c r="AG216" i="1"/>
  <c r="AG215" i="1"/>
  <c r="AG214" i="1"/>
  <c r="AG213" i="1"/>
  <c r="AG212" i="1"/>
  <c r="AG211" i="1"/>
  <c r="AG210" i="1"/>
  <c r="AG176" i="1"/>
  <c r="AG175" i="1"/>
  <c r="AG181" i="1"/>
  <c r="AG180" i="1"/>
  <c r="AG179" i="1"/>
  <c r="AG178" i="1"/>
  <c r="AG177" i="1"/>
  <c r="AG174" i="1"/>
  <c r="AG171" i="1"/>
  <c r="AG170" i="1"/>
  <c r="AH210" i="1" l="1"/>
  <c r="CA96" i="30" s="1"/>
  <c r="J17" i="58"/>
  <c r="K48" i="58" s="1"/>
  <c r="L48" i="58" s="1"/>
  <c r="J13" i="58"/>
  <c r="J12" i="58"/>
  <c r="K43" i="58" s="1"/>
  <c r="L43" i="58" s="1"/>
  <c r="J20" i="58"/>
  <c r="K51" i="58" s="1"/>
  <c r="L51" i="58" s="1"/>
  <c r="J14" i="58"/>
  <c r="K45" i="58" s="1"/>
  <c r="L45" i="58" s="1"/>
  <c r="J29" i="58"/>
  <c r="K60" i="58" s="1"/>
  <c r="L60" i="58" s="1"/>
  <c r="J24" i="58"/>
  <c r="K55" i="58" s="1"/>
  <c r="L55" i="58" s="1"/>
  <c r="J16" i="58"/>
  <c r="K47" i="58" s="1"/>
  <c r="L47" i="58" s="1"/>
  <c r="J28" i="58"/>
  <c r="K59" i="58" s="1"/>
  <c r="L59" i="58" s="1"/>
  <c r="J22" i="58"/>
  <c r="K53" i="58" s="1"/>
  <c r="L53" i="58" s="1"/>
  <c r="J10" i="58"/>
  <c r="K41" i="58" s="1"/>
  <c r="L41" i="58" s="1"/>
  <c r="J34" i="58"/>
  <c r="K65" i="58" s="1"/>
  <c r="L65" i="58" s="1"/>
  <c r="J18" i="58"/>
  <c r="K49" i="58" s="1"/>
  <c r="L49" i="58" s="1"/>
  <c r="J19" i="58"/>
  <c r="K50" i="58" s="1"/>
  <c r="L50" i="58" s="1"/>
  <c r="J21" i="58"/>
  <c r="K52" i="58" s="1"/>
  <c r="L52" i="58" s="1"/>
  <c r="J8" i="58"/>
  <c r="K39" i="58" s="1"/>
  <c r="L39" i="58" s="1"/>
  <c r="J31" i="58"/>
  <c r="J33" i="58"/>
  <c r="K64" i="58" s="1"/>
  <c r="L64" i="58" s="1"/>
  <c r="J9" i="58"/>
  <c r="K40" i="58" s="1"/>
  <c r="L40" i="58" s="1"/>
  <c r="J32" i="58"/>
  <c r="K63" i="58" s="1"/>
  <c r="L63" i="58" s="1"/>
  <c r="J23" i="58"/>
  <c r="K54" i="58" s="1"/>
  <c r="L54" i="58" s="1"/>
  <c r="J26" i="58"/>
  <c r="K57" i="58" s="1"/>
  <c r="L57" i="58" s="1"/>
  <c r="J27" i="58"/>
  <c r="K58" i="58" s="1"/>
  <c r="L58" i="58" s="1"/>
  <c r="J11" i="58"/>
  <c r="K42" i="58" s="1"/>
  <c r="L42" i="58" s="1"/>
  <c r="J30" i="58"/>
  <c r="K61" i="58" s="1"/>
  <c r="L61" i="58" s="1"/>
  <c r="J25" i="58"/>
  <c r="K56" i="58" s="1"/>
  <c r="L56" i="58" s="1"/>
  <c r="J35" i="58"/>
  <c r="K66" i="58" s="1"/>
  <c r="L66" i="58" s="1"/>
  <c r="J15" i="58"/>
  <c r="K46" i="58" s="1"/>
  <c r="L46" i="58" s="1"/>
  <c r="K47" i="27"/>
  <c r="J48" i="27"/>
  <c r="CM12" i="59"/>
  <c r="CM18" i="59"/>
  <c r="CM20" i="59"/>
  <c r="CM21" i="59" s="1"/>
  <c r="CM22" i="59" s="1"/>
  <c r="AW38" i="59"/>
  <c r="AW37" i="59" s="1"/>
  <c r="BL10" i="59"/>
  <c r="BM41" i="59" s="1"/>
  <c r="BN41" i="59" s="1"/>
  <c r="BL32" i="59"/>
  <c r="BM63" i="59" s="1"/>
  <c r="BN63" i="59" s="1"/>
  <c r="BL25" i="59"/>
  <c r="BM56" i="59" s="1"/>
  <c r="BN56" i="59" s="1"/>
  <c r="BL23" i="59"/>
  <c r="BM54" i="59" s="1"/>
  <c r="BN54" i="59" s="1"/>
  <c r="BL24" i="59"/>
  <c r="BM55" i="59" s="1"/>
  <c r="BN55" i="59" s="1"/>
  <c r="BL20" i="59"/>
  <c r="BM51" i="59" s="1"/>
  <c r="BN51" i="59" s="1"/>
  <c r="BL28" i="59"/>
  <c r="BM59" i="59" s="1"/>
  <c r="BN59" i="59" s="1"/>
  <c r="BL12" i="59"/>
  <c r="BM43" i="59" s="1"/>
  <c r="BN43" i="59" s="1"/>
  <c r="BL31" i="59"/>
  <c r="BM62" i="59" s="1"/>
  <c r="BN62" i="59" s="1"/>
  <c r="BL17" i="59"/>
  <c r="BM48" i="59" s="1"/>
  <c r="BN48" i="59" s="1"/>
  <c r="BL35" i="59"/>
  <c r="BM66" i="59" s="1"/>
  <c r="BN66" i="59" s="1"/>
  <c r="BL27" i="59"/>
  <c r="BM58" i="59" s="1"/>
  <c r="BN58" i="59" s="1"/>
  <c r="BL19" i="59"/>
  <c r="BM50" i="59" s="1"/>
  <c r="BN50" i="59" s="1"/>
  <c r="BL29" i="59"/>
  <c r="BM60" i="59" s="1"/>
  <c r="BN60" i="59" s="1"/>
  <c r="BL7" i="59"/>
  <c r="BM38" i="59" s="1"/>
  <c r="BN38" i="59" s="1"/>
  <c r="BL26" i="59"/>
  <c r="BM57" i="59" s="1"/>
  <c r="BN57" i="59" s="1"/>
  <c r="BL14" i="59"/>
  <c r="BM45" i="59" s="1"/>
  <c r="BN45" i="59" s="1"/>
  <c r="BL13" i="59"/>
  <c r="BM44" i="59" s="1"/>
  <c r="BN44" i="59" s="1"/>
  <c r="BL16" i="59"/>
  <c r="BM47" i="59" s="1"/>
  <c r="BN47" i="59" s="1"/>
  <c r="BL11" i="59"/>
  <c r="BM42" i="59" s="1"/>
  <c r="BN42" i="59" s="1"/>
  <c r="BL30" i="59"/>
  <c r="BM61" i="59" s="1"/>
  <c r="BN61" i="59" s="1"/>
  <c r="BL33" i="59"/>
  <c r="BM64" i="59" s="1"/>
  <c r="BN64" i="59" s="1"/>
  <c r="BL15" i="59"/>
  <c r="BM46" i="59" s="1"/>
  <c r="BN46" i="59" s="1"/>
  <c r="BL8" i="59"/>
  <c r="BM39" i="59" s="1"/>
  <c r="BN39" i="59" s="1"/>
  <c r="BL6" i="59"/>
  <c r="BM37" i="59" s="1"/>
  <c r="BN37" i="59" s="1"/>
  <c r="BL21" i="59"/>
  <c r="BM52" i="59" s="1"/>
  <c r="BN52" i="59" s="1"/>
  <c r="BL18" i="59"/>
  <c r="BM49" i="59" s="1"/>
  <c r="BN49" i="59" s="1"/>
  <c r="CO14" i="59"/>
  <c r="K44" i="58"/>
  <c r="L44" i="58" s="1"/>
  <c r="H404" i="23"/>
  <c r="O401" i="23" s="1"/>
  <c r="H403" i="23"/>
  <c r="N399" i="23" s="1"/>
  <c r="G3" i="48"/>
  <c r="F3" i="48"/>
  <c r="E3" i="48"/>
  <c r="J49" i="27" l="1"/>
  <c r="K48" i="27"/>
  <c r="CM14" i="59"/>
  <c r="CO17" i="59"/>
  <c r="CO20" i="59" s="1"/>
  <c r="CO21" i="59" s="1"/>
  <c r="CO24" i="59" s="1"/>
  <c r="CO25" i="59" s="1"/>
  <c r="CO29" i="59" s="1"/>
  <c r="CO33" i="59" s="1"/>
  <c r="CM19" i="59"/>
  <c r="CM23" i="59"/>
  <c r="CM24" i="59" s="1"/>
  <c r="CM25" i="59" s="1"/>
  <c r="CM26" i="59" s="1"/>
  <c r="CM27" i="59" s="1"/>
  <c r="BO38" i="59"/>
  <c r="BO37" i="59" s="1"/>
  <c r="N400" i="23"/>
  <c r="O398" i="23"/>
  <c r="O402" i="23"/>
  <c r="N397" i="23"/>
  <c r="N401" i="23"/>
  <c r="O399" i="23"/>
  <c r="O397" i="23"/>
  <c r="N398" i="23"/>
  <c r="N402" i="23"/>
  <c r="O400" i="23"/>
  <c r="M2" i="50"/>
  <c r="J50" i="27" l="1"/>
  <c r="K49" i="27"/>
  <c r="FU13" i="23"/>
  <c r="FU16" i="23"/>
  <c r="CM15" i="59"/>
  <c r="L35" i="59"/>
  <c r="S35" i="59" s="1"/>
  <c r="T66" i="59" s="1"/>
  <c r="U66" i="59" s="1"/>
  <c r="L12" i="59"/>
  <c r="S12" i="59" s="1"/>
  <c r="T43" i="59" s="1"/>
  <c r="U43" i="59" s="1"/>
  <c r="L19" i="59"/>
  <c r="S19" i="59" s="1"/>
  <c r="T50" i="59" s="1"/>
  <c r="U50" i="59" s="1"/>
  <c r="L13" i="59"/>
  <c r="S13" i="59" s="1"/>
  <c r="T44" i="59" s="1"/>
  <c r="U44" i="59" s="1"/>
  <c r="L14" i="59"/>
  <c r="S14" i="59" s="1"/>
  <c r="T45" i="59" s="1"/>
  <c r="U45" i="59" s="1"/>
  <c r="L10" i="59"/>
  <c r="S10" i="59" s="1"/>
  <c r="T41" i="59" s="1"/>
  <c r="U41" i="59" s="1"/>
  <c r="L33" i="59"/>
  <c r="S33" i="59" s="1"/>
  <c r="T64" i="59" s="1"/>
  <c r="U64" i="59" s="1"/>
  <c r="L8" i="59"/>
  <c r="S8" i="59" s="1"/>
  <c r="T39" i="59" s="1"/>
  <c r="U39" i="59" s="1"/>
  <c r="L25" i="59"/>
  <c r="S25" i="59" s="1"/>
  <c r="T56" i="59" s="1"/>
  <c r="U56" i="59" s="1"/>
  <c r="L29" i="59"/>
  <c r="S29" i="59" s="1"/>
  <c r="T60" i="59" s="1"/>
  <c r="U60" i="59" s="1"/>
  <c r="L16" i="59"/>
  <c r="S16" i="59" s="1"/>
  <c r="T47" i="59" s="1"/>
  <c r="U47" i="59" s="1"/>
  <c r="L22" i="59"/>
  <c r="S22" i="59" s="1"/>
  <c r="T53" i="59" s="1"/>
  <c r="U53" i="59" s="1"/>
  <c r="L17" i="59"/>
  <c r="S17" i="59" s="1"/>
  <c r="T48" i="59" s="1"/>
  <c r="U48" i="59" s="1"/>
  <c r="L6" i="59"/>
  <c r="S6" i="59" s="1"/>
  <c r="T37" i="59" s="1"/>
  <c r="U37" i="59" s="1"/>
  <c r="L15" i="59"/>
  <c r="L27" i="59"/>
  <c r="S27" i="59" s="1"/>
  <c r="T58" i="59" s="1"/>
  <c r="U58" i="59" s="1"/>
  <c r="L28" i="59"/>
  <c r="S28" i="59" s="1"/>
  <c r="T59" i="59" s="1"/>
  <c r="U59" i="59" s="1"/>
  <c r="L7" i="59"/>
  <c r="S7" i="59" s="1"/>
  <c r="T38" i="59" s="1"/>
  <c r="U38" i="59" s="1"/>
  <c r="L18" i="59"/>
  <c r="S18" i="59" s="1"/>
  <c r="T49" i="59" s="1"/>
  <c r="U49" i="59" s="1"/>
  <c r="L26" i="59"/>
  <c r="S26" i="59" s="1"/>
  <c r="T57" i="59" s="1"/>
  <c r="U57" i="59" s="1"/>
  <c r="L24" i="59"/>
  <c r="S24" i="59" s="1"/>
  <c r="T55" i="59" s="1"/>
  <c r="U55" i="59" s="1"/>
  <c r="L30" i="59"/>
  <c r="S30" i="59" s="1"/>
  <c r="T61" i="59" s="1"/>
  <c r="U61" i="59" s="1"/>
  <c r="L31" i="59"/>
  <c r="S31" i="59" s="1"/>
  <c r="T62" i="59" s="1"/>
  <c r="U62" i="59" s="1"/>
  <c r="L23" i="59"/>
  <c r="S23" i="59" s="1"/>
  <c r="T54" i="59" s="1"/>
  <c r="U54" i="59" s="1"/>
  <c r="L21" i="59"/>
  <c r="S21" i="59" s="1"/>
  <c r="T52" i="59" s="1"/>
  <c r="U52" i="59" s="1"/>
  <c r="L11" i="59"/>
  <c r="S11" i="59" s="1"/>
  <c r="T42" i="59" s="1"/>
  <c r="U42" i="59" s="1"/>
  <c r="L34" i="59"/>
  <c r="S34" i="59" s="1"/>
  <c r="T65" i="59" s="1"/>
  <c r="U65" i="59" s="1"/>
  <c r="L32" i="59"/>
  <c r="S32" i="59" s="1"/>
  <c r="T63" i="59" s="1"/>
  <c r="U63" i="59" s="1"/>
  <c r="L20" i="59"/>
  <c r="S20" i="59" s="1"/>
  <c r="T51" i="59" s="1"/>
  <c r="U51" i="59" s="1"/>
  <c r="L9" i="59"/>
  <c r="S9" i="59" s="1"/>
  <c r="T40" i="59" s="1"/>
  <c r="U40" i="59" s="1"/>
  <c r="S15" i="59"/>
  <c r="T46" i="59" s="1"/>
  <c r="U46" i="59" s="1"/>
  <c r="Q7" i="42"/>
  <c r="Q8" i="42"/>
  <c r="N8" i="42"/>
  <c r="P8" i="42" s="1"/>
  <c r="N7" i="42"/>
  <c r="P7" i="42" s="1"/>
  <c r="J51" i="27" l="1"/>
  <c r="K50" i="27"/>
  <c r="CM30" i="59"/>
  <c r="V38" i="59"/>
  <c r="V37" i="59" s="1"/>
  <c r="O7" i="42"/>
  <c r="O8" i="42"/>
  <c r="N380" i="1"/>
  <c r="N381" i="1"/>
  <c r="N382" i="1"/>
  <c r="N383" i="1"/>
  <c r="N384" i="1"/>
  <c r="N385" i="1"/>
  <c r="N386" i="1"/>
  <c r="N387" i="1"/>
  <c r="N388" i="1"/>
  <c r="N389" i="1"/>
  <c r="N390" i="1"/>
  <c r="N391" i="1"/>
  <c r="N392" i="1"/>
  <c r="N393" i="1"/>
  <c r="N394" i="1"/>
  <c r="C25" i="59" l="1"/>
  <c r="C6" i="59"/>
  <c r="I6" i="59" s="1"/>
  <c r="K37" i="59" s="1"/>
  <c r="L37" i="59" s="1"/>
  <c r="C11" i="59"/>
  <c r="I11" i="59" s="1"/>
  <c r="K42" i="59" s="1"/>
  <c r="L42" i="59" s="1"/>
  <c r="C10" i="59"/>
  <c r="I10" i="59" s="1"/>
  <c r="K41" i="59" s="1"/>
  <c r="L41" i="59" s="1"/>
  <c r="C7" i="59"/>
  <c r="I7" i="59" s="1"/>
  <c r="K38" i="59" s="1"/>
  <c r="L38" i="59" s="1"/>
  <c r="C8" i="59"/>
  <c r="I8" i="59" s="1"/>
  <c r="K39" i="59" s="1"/>
  <c r="L39" i="59" s="1"/>
  <c r="C9" i="59"/>
  <c r="I9" i="59" s="1"/>
  <c r="K40" i="59" s="1"/>
  <c r="L40" i="59" s="1"/>
  <c r="C12" i="59"/>
  <c r="I12" i="59" s="1"/>
  <c r="K43" i="59" s="1"/>
  <c r="L43" i="59" s="1"/>
  <c r="J52" i="27"/>
  <c r="K51" i="27"/>
  <c r="C22" i="59"/>
  <c r="I22" i="59" s="1"/>
  <c r="K53" i="59" s="1"/>
  <c r="L53" i="59" s="1"/>
  <c r="C15" i="59"/>
  <c r="C19" i="59"/>
  <c r="I19" i="59" s="1"/>
  <c r="K50" i="59" s="1"/>
  <c r="L50" i="59" s="1"/>
  <c r="C32" i="59"/>
  <c r="C34" i="59"/>
  <c r="C30" i="59"/>
  <c r="C13" i="59"/>
  <c r="C31" i="59"/>
  <c r="C24" i="59"/>
  <c r="C26" i="59"/>
  <c r="C27" i="59"/>
  <c r="C28" i="59"/>
  <c r="C33" i="59"/>
  <c r="C35" i="59"/>
  <c r="C20" i="59"/>
  <c r="C16" i="59"/>
  <c r="C21" i="59"/>
  <c r="C17" i="59"/>
  <c r="C23" i="59"/>
  <c r="C14" i="59"/>
  <c r="C29" i="59"/>
  <c r="C18" i="59"/>
  <c r="I25" i="59"/>
  <c r="K56" i="59" s="1"/>
  <c r="L56" i="59" s="1"/>
  <c r="G389" i="1"/>
  <c r="G388" i="1"/>
  <c r="G387" i="1"/>
  <c r="G386" i="1"/>
  <c r="G385" i="1"/>
  <c r="G384" i="1"/>
  <c r="G383" i="1"/>
  <c r="G382" i="1"/>
  <c r="G381" i="1"/>
  <c r="G380" i="1"/>
  <c r="G379" i="1"/>
  <c r="U397" i="1"/>
  <c r="U396" i="1"/>
  <c r="U395" i="1"/>
  <c r="U394" i="1"/>
  <c r="U393" i="1"/>
  <c r="U392" i="1"/>
  <c r="U391" i="1"/>
  <c r="U390" i="1"/>
  <c r="U389" i="1"/>
  <c r="U388" i="1"/>
  <c r="U387" i="1"/>
  <c r="U386" i="1"/>
  <c r="U385" i="1"/>
  <c r="U384" i="1"/>
  <c r="U383" i="1"/>
  <c r="U382" i="1"/>
  <c r="U381" i="1"/>
  <c r="U380" i="1"/>
  <c r="U379" i="1"/>
  <c r="U378" i="1"/>
  <c r="U377" i="1"/>
  <c r="U376" i="1"/>
  <c r="U375" i="1"/>
  <c r="U374" i="1"/>
  <c r="U373" i="1"/>
  <c r="U372" i="1"/>
  <c r="U371" i="1"/>
  <c r="U370" i="1"/>
  <c r="U369" i="1"/>
  <c r="U368" i="1"/>
  <c r="G396" i="1"/>
  <c r="G395" i="1"/>
  <c r="G394"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N375" i="1"/>
  <c r="N374" i="1"/>
  <c r="N373" i="1"/>
  <c r="N372" i="1"/>
  <c r="N371" i="1"/>
  <c r="N370" i="1"/>
  <c r="N369" i="1"/>
  <c r="N368" i="1"/>
  <c r="N367" i="1"/>
  <c r="N366" i="1"/>
  <c r="N365" i="1"/>
  <c r="N364" i="1"/>
  <c r="N363" i="1"/>
  <c r="N362" i="1"/>
  <c r="N361" i="1"/>
  <c r="U341" i="1"/>
  <c r="CF6" i="61" s="1"/>
  <c r="U342" i="1"/>
  <c r="CF7" i="61" s="1"/>
  <c r="U343" i="1"/>
  <c r="CF8" i="61" s="1"/>
  <c r="U344" i="1"/>
  <c r="CF9" i="61" s="1"/>
  <c r="U345" i="1"/>
  <c r="CF10" i="61" s="1"/>
  <c r="U346" i="1"/>
  <c r="CF11" i="61" s="1"/>
  <c r="U347" i="1"/>
  <c r="CF12" i="61" s="1"/>
  <c r="U348" i="1"/>
  <c r="CF13" i="61" s="1"/>
  <c r="U349" i="1"/>
  <c r="CF14" i="61" s="1"/>
  <c r="G362" i="1"/>
  <c r="G361" i="1"/>
  <c r="G360" i="1"/>
  <c r="G359" i="1"/>
  <c r="G358" i="1"/>
  <c r="G357" i="1"/>
  <c r="G356" i="1"/>
  <c r="G355" i="1"/>
  <c r="G354" i="1"/>
  <c r="G353" i="1"/>
  <c r="G352" i="1"/>
  <c r="G351" i="1"/>
  <c r="G350" i="1"/>
  <c r="G349" i="1"/>
  <c r="G348" i="1"/>
  <c r="G347" i="1"/>
  <c r="G346" i="1"/>
  <c r="G345" i="1"/>
  <c r="G344" i="1"/>
  <c r="G343" i="1"/>
  <c r="G342" i="1"/>
  <c r="G341" i="1"/>
  <c r="G374" i="1"/>
  <c r="G373" i="1"/>
  <c r="G372" i="1"/>
  <c r="G371" i="1"/>
  <c r="G370" i="1"/>
  <c r="G369" i="1"/>
  <c r="G368" i="1"/>
  <c r="G367" i="1"/>
  <c r="N356" i="1"/>
  <c r="CF18" i="60" s="1"/>
  <c r="N355" i="1"/>
  <c r="CF17" i="60" s="1"/>
  <c r="N354" i="1"/>
  <c r="CF16" i="60" s="1"/>
  <c r="N353" i="1"/>
  <c r="CF15" i="60" s="1"/>
  <c r="N349" i="1"/>
  <c r="CF14" i="60" s="1"/>
  <c r="N348" i="1"/>
  <c r="CF13" i="60" s="1"/>
  <c r="N347" i="1"/>
  <c r="CF12" i="60" s="1"/>
  <c r="N346" i="1"/>
  <c r="CF11" i="60" s="1"/>
  <c r="N345" i="1"/>
  <c r="CF10" i="60" s="1"/>
  <c r="N344" i="1"/>
  <c r="CF9" i="60" s="1"/>
  <c r="N343" i="1"/>
  <c r="CF8" i="60" s="1"/>
  <c r="N342" i="1"/>
  <c r="CF7" i="60" s="1"/>
  <c r="U356" i="1"/>
  <c r="CF18" i="61" s="1"/>
  <c r="U355" i="1"/>
  <c r="CF17" i="61" s="1"/>
  <c r="U354" i="1"/>
  <c r="CF16" i="61" s="1"/>
  <c r="U353" i="1"/>
  <c r="CF15" i="61" s="1"/>
  <c r="J53" i="27" l="1"/>
  <c r="K52" i="27"/>
  <c r="I30" i="59"/>
  <c r="K61" i="59" s="1"/>
  <c r="L61" i="59" s="1"/>
  <c r="I31" i="59"/>
  <c r="K62" i="59" s="1"/>
  <c r="L62" i="59" s="1"/>
  <c r="I24" i="59"/>
  <c r="K55" i="59" s="1"/>
  <c r="L55" i="59" s="1"/>
  <c r="I15" i="59"/>
  <c r="K46" i="59" s="1"/>
  <c r="L46" i="59" s="1"/>
  <c r="I32" i="59"/>
  <c r="K63" i="59" s="1"/>
  <c r="L63" i="59" s="1"/>
  <c r="I13" i="59"/>
  <c r="K44" i="59" s="1"/>
  <c r="L44" i="59" s="1"/>
  <c r="I34" i="59"/>
  <c r="K65" i="59" s="1"/>
  <c r="L65" i="59" s="1"/>
  <c r="I33" i="59"/>
  <c r="K64" i="59" s="1"/>
  <c r="L64" i="59" s="1"/>
  <c r="I17" i="59"/>
  <c r="K48" i="59" s="1"/>
  <c r="L48" i="59" s="1"/>
  <c r="I29" i="59"/>
  <c r="K60" i="59" s="1"/>
  <c r="L60" i="59" s="1"/>
  <c r="I18" i="59"/>
  <c r="K49" i="59" s="1"/>
  <c r="L49" i="59" s="1"/>
  <c r="I35" i="59"/>
  <c r="K66" i="59" s="1"/>
  <c r="L66" i="59" s="1"/>
  <c r="I26" i="59"/>
  <c r="K57" i="59" s="1"/>
  <c r="L57" i="59" s="1"/>
  <c r="I21" i="59"/>
  <c r="K52" i="59" s="1"/>
  <c r="L52" i="59" s="1"/>
  <c r="I20" i="59"/>
  <c r="K51" i="59" s="1"/>
  <c r="L51" i="59" s="1"/>
  <c r="I23" i="59"/>
  <c r="K54" i="59" s="1"/>
  <c r="L54" i="59" s="1"/>
  <c r="I27" i="59"/>
  <c r="K58" i="59" s="1"/>
  <c r="L58" i="59" s="1"/>
  <c r="I16" i="59"/>
  <c r="K47" i="59" s="1"/>
  <c r="L47" i="59" s="1"/>
  <c r="I14" i="59"/>
  <c r="K45" i="59" s="1"/>
  <c r="L45" i="59" s="1"/>
  <c r="I28" i="59"/>
  <c r="K59" i="59" s="1"/>
  <c r="L59" i="59" s="1"/>
  <c r="CI8" i="60"/>
  <c r="CJ8" i="60" s="1"/>
  <c r="CM8" i="60"/>
  <c r="CN8" i="60" s="1"/>
  <c r="CG8" i="60"/>
  <c r="CK8" i="60"/>
  <c r="CL8" i="60" s="1"/>
  <c r="CK9" i="54"/>
  <c r="CL9" i="54" s="1"/>
  <c r="CM9" i="54" s="1"/>
  <c r="CK13" i="54"/>
  <c r="CT13" i="54" s="1"/>
  <c r="CU13" i="54" s="1"/>
  <c r="CK17" i="54"/>
  <c r="CL17" i="54" s="1"/>
  <c r="CM17" i="54" s="1"/>
  <c r="CK21" i="54"/>
  <c r="CL21" i="54" s="1"/>
  <c r="CM21" i="54" s="1"/>
  <c r="CK25" i="54"/>
  <c r="CT25" i="54" s="1"/>
  <c r="CU25" i="54" s="1"/>
  <c r="CK29" i="54"/>
  <c r="CR29" i="54" s="1"/>
  <c r="CS29" i="54" s="1"/>
  <c r="CK33" i="54"/>
  <c r="CX33" i="54" s="1"/>
  <c r="CY33" i="54" s="1"/>
  <c r="CK37" i="54"/>
  <c r="CX37" i="54" s="1"/>
  <c r="CY37" i="54" s="1"/>
  <c r="CK41" i="54"/>
  <c r="CK45" i="54"/>
  <c r="CK49" i="54"/>
  <c r="CK53" i="54"/>
  <c r="CK57" i="54"/>
  <c r="CK61" i="54"/>
  <c r="CK65" i="54"/>
  <c r="CI17" i="61"/>
  <c r="CJ17" i="61" s="1"/>
  <c r="CG17" i="61"/>
  <c r="CH17" i="61" s="1"/>
  <c r="CM17" i="61"/>
  <c r="CK17" i="61"/>
  <c r="CL17" i="61" s="1"/>
  <c r="CI9" i="60"/>
  <c r="CJ9" i="60" s="1"/>
  <c r="CG9" i="60"/>
  <c r="CM9" i="60"/>
  <c r="CN9" i="60" s="1"/>
  <c r="CK9" i="60"/>
  <c r="CL9" i="60" s="1"/>
  <c r="CG13" i="60"/>
  <c r="CH13" i="60" s="1"/>
  <c r="CI13" i="60"/>
  <c r="CK13" i="60"/>
  <c r="CL13" i="60" s="1"/>
  <c r="CM13" i="60"/>
  <c r="CN13" i="60" s="1"/>
  <c r="CI17" i="60"/>
  <c r="CJ17" i="60" s="1"/>
  <c r="CG17" i="60"/>
  <c r="CH17" i="60" s="1"/>
  <c r="CK17" i="60"/>
  <c r="CL17" i="60" s="1"/>
  <c r="CM17" i="60"/>
  <c r="CM14" i="61"/>
  <c r="CN14" i="61" s="1"/>
  <c r="CK14" i="61"/>
  <c r="CG14" i="61"/>
  <c r="CH14" i="61" s="1"/>
  <c r="CI14" i="61"/>
  <c r="CJ14" i="61" s="1"/>
  <c r="CG10" i="61"/>
  <c r="CM10" i="61"/>
  <c r="CN10" i="61" s="1"/>
  <c r="CK10" i="61"/>
  <c r="CL10" i="61" s="1"/>
  <c r="CI10" i="61"/>
  <c r="CJ10" i="61" s="1"/>
  <c r="CM6" i="61"/>
  <c r="CN6" i="61" s="1"/>
  <c r="CK6" i="61"/>
  <c r="CL6" i="61" s="1"/>
  <c r="CI6" i="61"/>
  <c r="CJ6" i="61" s="1"/>
  <c r="CG6" i="61"/>
  <c r="CH6" i="61" s="1"/>
  <c r="CK6" i="54"/>
  <c r="CK10" i="54"/>
  <c r="CT10" i="54" s="1"/>
  <c r="CU10" i="54" s="1"/>
  <c r="CK14" i="54"/>
  <c r="CP14" i="54" s="1"/>
  <c r="CQ14" i="54" s="1"/>
  <c r="CK18" i="54"/>
  <c r="CP18" i="54" s="1"/>
  <c r="CQ18" i="54" s="1"/>
  <c r="CK22" i="54"/>
  <c r="CP22" i="54" s="1"/>
  <c r="CK26" i="54"/>
  <c r="CL26" i="54" s="1"/>
  <c r="CM26" i="54" s="1"/>
  <c r="CK30" i="54"/>
  <c r="CL30" i="54" s="1"/>
  <c r="CM30" i="54" s="1"/>
  <c r="CK34" i="54"/>
  <c r="CR34" i="54" s="1"/>
  <c r="CS34" i="54" s="1"/>
  <c r="CK38" i="54"/>
  <c r="CZ38" i="54" s="1"/>
  <c r="DA38" i="54" s="1"/>
  <c r="CK42" i="54"/>
  <c r="CK46" i="54"/>
  <c r="CK50" i="54"/>
  <c r="CK54" i="54"/>
  <c r="CK58" i="54"/>
  <c r="CK62" i="54"/>
  <c r="CM12" i="60"/>
  <c r="CN12" i="60" s="1"/>
  <c r="CG12" i="60"/>
  <c r="CH12" i="60" s="1"/>
  <c r="CI12" i="60"/>
  <c r="CK12" i="60"/>
  <c r="CL12" i="60" s="1"/>
  <c r="CK7" i="61"/>
  <c r="CL7" i="61" s="1"/>
  <c r="CI7" i="61"/>
  <c r="CJ7" i="61" s="1"/>
  <c r="CM7" i="61"/>
  <c r="CG7" i="61"/>
  <c r="CH7" i="61" s="1"/>
  <c r="CK10" i="60"/>
  <c r="CL10" i="60" s="1"/>
  <c r="CG10" i="60"/>
  <c r="CI10" i="60"/>
  <c r="CM10" i="60"/>
  <c r="CN10" i="60" s="1"/>
  <c r="CI18" i="60"/>
  <c r="CK18" i="60"/>
  <c r="CL18" i="60" s="1"/>
  <c r="CM18" i="60"/>
  <c r="CN18" i="60" s="1"/>
  <c r="CG18" i="60"/>
  <c r="CH18" i="60" s="1"/>
  <c r="CK9" i="61"/>
  <c r="CL9" i="61" s="1"/>
  <c r="CG9" i="61"/>
  <c r="CM9" i="61"/>
  <c r="CN9" i="61" s="1"/>
  <c r="CI9" i="61"/>
  <c r="CJ9" i="61" s="1"/>
  <c r="CK19" i="54"/>
  <c r="CZ19" i="54" s="1"/>
  <c r="DA19" i="54" s="1"/>
  <c r="CI16" i="61"/>
  <c r="CJ16" i="61" s="1"/>
  <c r="CG16" i="61"/>
  <c r="CH16" i="61" s="1"/>
  <c r="CK16" i="61"/>
  <c r="CL16" i="61" s="1"/>
  <c r="CM16" i="61"/>
  <c r="CK16" i="60"/>
  <c r="CL16" i="60" s="1"/>
  <c r="CG16" i="60"/>
  <c r="CI16" i="60"/>
  <c r="CJ16" i="60" s="1"/>
  <c r="CM16" i="60"/>
  <c r="CG11" i="61"/>
  <c r="CH11" i="61" s="1"/>
  <c r="CM11" i="61"/>
  <c r="CN11" i="61" s="1"/>
  <c r="CK11" i="61"/>
  <c r="CI11" i="61"/>
  <c r="CK18" i="61"/>
  <c r="CM18" i="61"/>
  <c r="CN18" i="61" s="1"/>
  <c r="CG18" i="61"/>
  <c r="CH18" i="61" s="1"/>
  <c r="CI18" i="61"/>
  <c r="CJ18" i="61" s="1"/>
  <c r="CI14" i="60"/>
  <c r="CJ14" i="60" s="1"/>
  <c r="CM14" i="60"/>
  <c r="CN14" i="60" s="1"/>
  <c r="CK14" i="60"/>
  <c r="CG14" i="60"/>
  <c r="CH14" i="60" s="1"/>
  <c r="CM13" i="61"/>
  <c r="CK13" i="61"/>
  <c r="CL13" i="61" s="1"/>
  <c r="CG13" i="61"/>
  <c r="CH13" i="61" s="1"/>
  <c r="CI13" i="61"/>
  <c r="CK7" i="54"/>
  <c r="CK11" i="54"/>
  <c r="CN11" i="54" s="1"/>
  <c r="CK15" i="54"/>
  <c r="DB15" i="54" s="1"/>
  <c r="DC15" i="54" s="1"/>
  <c r="CK23" i="54"/>
  <c r="CL23" i="54" s="1"/>
  <c r="CM23" i="54" s="1"/>
  <c r="CK27" i="54"/>
  <c r="CP27" i="54" s="1"/>
  <c r="CQ27" i="54" s="1"/>
  <c r="CK31" i="54"/>
  <c r="CR31" i="54" s="1"/>
  <c r="CS31" i="54" s="1"/>
  <c r="CK35" i="54"/>
  <c r="CP35" i="54" s="1"/>
  <c r="CQ35" i="54" s="1"/>
  <c r="CK39" i="54"/>
  <c r="CR39" i="54" s="1"/>
  <c r="CS39" i="54" s="1"/>
  <c r="CK43" i="54"/>
  <c r="CK47" i="54"/>
  <c r="CK51" i="54"/>
  <c r="CK55" i="54"/>
  <c r="CK59" i="54"/>
  <c r="CK63" i="54"/>
  <c r="CM15" i="61"/>
  <c r="CK15" i="61"/>
  <c r="CL15" i="61" s="1"/>
  <c r="CI15" i="61"/>
  <c r="CJ15" i="61" s="1"/>
  <c r="CG15" i="61"/>
  <c r="CH15" i="61" s="1"/>
  <c r="CG7" i="60"/>
  <c r="CI7" i="60"/>
  <c r="CJ7" i="60" s="1"/>
  <c r="CK7" i="60"/>
  <c r="CM7" i="60"/>
  <c r="CN7" i="60" s="1"/>
  <c r="CG11" i="60"/>
  <c r="CH11" i="60" s="1"/>
  <c r="CI11" i="60"/>
  <c r="CK11" i="60"/>
  <c r="CM11" i="60"/>
  <c r="CN11" i="60" s="1"/>
  <c r="CM15" i="60"/>
  <c r="CN15" i="60" s="1"/>
  <c r="CI15" i="60"/>
  <c r="CK15" i="60"/>
  <c r="CG15" i="60"/>
  <c r="CH15" i="60" s="1"/>
  <c r="CK12" i="61"/>
  <c r="CL12" i="61" s="1"/>
  <c r="CI12" i="61"/>
  <c r="CG12" i="61"/>
  <c r="CH12" i="61" s="1"/>
  <c r="CM12" i="61"/>
  <c r="CN12" i="61" s="1"/>
  <c r="CM8" i="61"/>
  <c r="CN8" i="61" s="1"/>
  <c r="CI8" i="61"/>
  <c r="CG8" i="61"/>
  <c r="CH8" i="61" s="1"/>
  <c r="CK8" i="61"/>
  <c r="CL8" i="61" s="1"/>
  <c r="CK8" i="54"/>
  <c r="CL8" i="54" s="1"/>
  <c r="CM8" i="54" s="1"/>
  <c r="CK12" i="54"/>
  <c r="CT12" i="54" s="1"/>
  <c r="CU12" i="54" s="1"/>
  <c r="CK16" i="54"/>
  <c r="DB16" i="54" s="1"/>
  <c r="DC16" i="54" s="1"/>
  <c r="CK20" i="54"/>
  <c r="CN20" i="54" s="1"/>
  <c r="CO20" i="54" s="1"/>
  <c r="CK24" i="54"/>
  <c r="CN24" i="54" s="1"/>
  <c r="CO24" i="54" s="1"/>
  <c r="CK28" i="54"/>
  <c r="DB28" i="54" s="1"/>
  <c r="DC28" i="54" s="1"/>
  <c r="CK32" i="54"/>
  <c r="CN32" i="54" s="1"/>
  <c r="CO32" i="54" s="1"/>
  <c r="CK36" i="54"/>
  <c r="CP36" i="54" s="1"/>
  <c r="CQ36" i="54" s="1"/>
  <c r="CK40" i="54"/>
  <c r="CK44" i="54"/>
  <c r="CK48" i="54"/>
  <c r="CK52" i="54"/>
  <c r="CK56" i="54"/>
  <c r="CK60" i="54"/>
  <c r="CK64" i="54"/>
  <c r="AC357" i="40"/>
  <c r="AC325" i="40"/>
  <c r="AC320" i="40"/>
  <c r="AC304" i="40"/>
  <c r="AC303" i="40"/>
  <c r="AC302" i="40"/>
  <c r="AC292" i="40"/>
  <c r="AC268" i="40"/>
  <c r="AC267" i="40"/>
  <c r="AC261" i="40"/>
  <c r="AC260" i="40"/>
  <c r="AC252" i="40"/>
  <c r="AC251" i="40"/>
  <c r="AC250" i="40"/>
  <c r="AC247" i="40"/>
  <c r="AC244" i="40"/>
  <c r="AC236" i="40"/>
  <c r="AC234" i="40"/>
  <c r="AC233" i="40"/>
  <c r="AC232" i="40"/>
  <c r="AC231" i="40"/>
  <c r="AC223" i="40"/>
  <c r="AC219" i="40"/>
  <c r="AC217" i="40"/>
  <c r="AC197" i="40"/>
  <c r="AC192" i="40"/>
  <c r="AC189" i="40"/>
  <c r="AC185" i="40"/>
  <c r="AC184" i="40"/>
  <c r="AC174" i="40"/>
  <c r="AC165" i="40"/>
  <c r="AC156" i="40"/>
  <c r="AC153" i="40"/>
  <c r="AC132" i="40"/>
  <c r="AC130" i="40"/>
  <c r="AC113" i="40"/>
  <c r="AC111" i="40"/>
  <c r="AC110" i="40"/>
  <c r="AC101" i="40"/>
  <c r="AC85" i="40"/>
  <c r="AC84" i="40"/>
  <c r="AC64" i="40"/>
  <c r="AC56" i="40"/>
  <c r="AC47" i="40"/>
  <c r="AC41" i="40"/>
  <c r="AC14" i="40"/>
  <c r="N341" i="1"/>
  <c r="CF6" i="60" s="1"/>
  <c r="AV407" i="40"/>
  <c r="AU407" i="40"/>
  <c r="AT407" i="40"/>
  <c r="AV406" i="40"/>
  <c r="AU406" i="40"/>
  <c r="AT406" i="40"/>
  <c r="AV405" i="40"/>
  <c r="AU405" i="40"/>
  <c r="AT405" i="40"/>
  <c r="AV404" i="40"/>
  <c r="AU404" i="40"/>
  <c r="AT404" i="40"/>
  <c r="AV403" i="40"/>
  <c r="AU403" i="40"/>
  <c r="AT403" i="40"/>
  <c r="AV402" i="40"/>
  <c r="AU402" i="40"/>
  <c r="AT402" i="40"/>
  <c r="AV401" i="40"/>
  <c r="AU401" i="40"/>
  <c r="AT401" i="40"/>
  <c r="AV400" i="40"/>
  <c r="AU400" i="40"/>
  <c r="AT400" i="40"/>
  <c r="AV399" i="40"/>
  <c r="AU399" i="40"/>
  <c r="AT399" i="40"/>
  <c r="AV398" i="40"/>
  <c r="AU398" i="40"/>
  <c r="AT398" i="40"/>
  <c r="AV397" i="40"/>
  <c r="AU397" i="40"/>
  <c r="AT397" i="40"/>
  <c r="AV396" i="40"/>
  <c r="AU396" i="40"/>
  <c r="AT396" i="40"/>
  <c r="AV395" i="40"/>
  <c r="AU395" i="40"/>
  <c r="AT395" i="40"/>
  <c r="AV394" i="40"/>
  <c r="AU394" i="40"/>
  <c r="AT394" i="40"/>
  <c r="AV393" i="40"/>
  <c r="AU393" i="40"/>
  <c r="AT393" i="40"/>
  <c r="AV392" i="40"/>
  <c r="AU392" i="40"/>
  <c r="AT392" i="40"/>
  <c r="AV391" i="40"/>
  <c r="AU391" i="40"/>
  <c r="AT391" i="40"/>
  <c r="AV390" i="40"/>
  <c r="AU390" i="40"/>
  <c r="AT390" i="40"/>
  <c r="AV389" i="40"/>
  <c r="AU389" i="40"/>
  <c r="AT389" i="40"/>
  <c r="AV388" i="40"/>
  <c r="AU388" i="40"/>
  <c r="AT388" i="40"/>
  <c r="AV387" i="40"/>
  <c r="AU387" i="40"/>
  <c r="AT387" i="40"/>
  <c r="AV386" i="40"/>
  <c r="AU386" i="40"/>
  <c r="AT386" i="40"/>
  <c r="AV385" i="40"/>
  <c r="AU385" i="40"/>
  <c r="AT385" i="40"/>
  <c r="AV384" i="40"/>
  <c r="AU384" i="40"/>
  <c r="AT384" i="40"/>
  <c r="AV383" i="40"/>
  <c r="AU383" i="40"/>
  <c r="AT383" i="40"/>
  <c r="AV382" i="40"/>
  <c r="AU382" i="40"/>
  <c r="AT382" i="40"/>
  <c r="AV381" i="40"/>
  <c r="AU381" i="40"/>
  <c r="AT381" i="40"/>
  <c r="AV380" i="40"/>
  <c r="AU380" i="40"/>
  <c r="AT380" i="40"/>
  <c r="AV379" i="40"/>
  <c r="AU379" i="40"/>
  <c r="AT379" i="40"/>
  <c r="AV378" i="40"/>
  <c r="AU378" i="40"/>
  <c r="AT378" i="40"/>
  <c r="AV377" i="40"/>
  <c r="AU377" i="40"/>
  <c r="AT377" i="40"/>
  <c r="AV376" i="40"/>
  <c r="AU376" i="40"/>
  <c r="AT376" i="40"/>
  <c r="AV375" i="40"/>
  <c r="AU375" i="40"/>
  <c r="AT375" i="40"/>
  <c r="AV374" i="40"/>
  <c r="AU374" i="40"/>
  <c r="AT374" i="40"/>
  <c r="AV373" i="40"/>
  <c r="AU373" i="40"/>
  <c r="AT373" i="40"/>
  <c r="AV372" i="40"/>
  <c r="AU372" i="40"/>
  <c r="AT372" i="40"/>
  <c r="AV371" i="40"/>
  <c r="AU371" i="40"/>
  <c r="AT371" i="40"/>
  <c r="AV370" i="40"/>
  <c r="AU370" i="40"/>
  <c r="AT370" i="40"/>
  <c r="AV369" i="40"/>
  <c r="AU369" i="40"/>
  <c r="AT369" i="40"/>
  <c r="AV368" i="40"/>
  <c r="AU368" i="40"/>
  <c r="AT368" i="40"/>
  <c r="AV367" i="40"/>
  <c r="AU367" i="40"/>
  <c r="AT367" i="40"/>
  <c r="AV366" i="40"/>
  <c r="AU366" i="40"/>
  <c r="AT366" i="40"/>
  <c r="AV365" i="40"/>
  <c r="AU365" i="40"/>
  <c r="AT365" i="40"/>
  <c r="AV364" i="40"/>
  <c r="AU364" i="40"/>
  <c r="AT364" i="40"/>
  <c r="AV363" i="40"/>
  <c r="AU363" i="40"/>
  <c r="AT363" i="40"/>
  <c r="AV362" i="40"/>
  <c r="AU362" i="40"/>
  <c r="AT362" i="40"/>
  <c r="AV361" i="40"/>
  <c r="AU361" i="40"/>
  <c r="AT361" i="40"/>
  <c r="AV360" i="40"/>
  <c r="AU360" i="40"/>
  <c r="AT360" i="40"/>
  <c r="AV359" i="40"/>
  <c r="AU359" i="40"/>
  <c r="AT359" i="40"/>
  <c r="AV358" i="40"/>
  <c r="AU358" i="40"/>
  <c r="AT358" i="40"/>
  <c r="AV357" i="40"/>
  <c r="AU357" i="40"/>
  <c r="AT357" i="40"/>
  <c r="AV356" i="40"/>
  <c r="AU356" i="40"/>
  <c r="AT356" i="40"/>
  <c r="AV355" i="40"/>
  <c r="AU355" i="40"/>
  <c r="AT355" i="40"/>
  <c r="AV354" i="40"/>
  <c r="AU354" i="40"/>
  <c r="AT354" i="40"/>
  <c r="AV353" i="40"/>
  <c r="AU353" i="40"/>
  <c r="AT353" i="40"/>
  <c r="AV352" i="40"/>
  <c r="AU352" i="40"/>
  <c r="AT352" i="40"/>
  <c r="AV351" i="40"/>
  <c r="AU351" i="40"/>
  <c r="AT351" i="40"/>
  <c r="AV350" i="40"/>
  <c r="AU350" i="40"/>
  <c r="AT350" i="40"/>
  <c r="AV349" i="40"/>
  <c r="AU349" i="40"/>
  <c r="AT349" i="40"/>
  <c r="AV348" i="40"/>
  <c r="AU348" i="40"/>
  <c r="AT348" i="40"/>
  <c r="AV347" i="40"/>
  <c r="AU347" i="40"/>
  <c r="AT347" i="40"/>
  <c r="AV346" i="40"/>
  <c r="AU346" i="40"/>
  <c r="AT346" i="40"/>
  <c r="AV345" i="40"/>
  <c r="AU345" i="40"/>
  <c r="AT345" i="40"/>
  <c r="AV344" i="40"/>
  <c r="AU344" i="40"/>
  <c r="AT344" i="40"/>
  <c r="AV343" i="40"/>
  <c r="AU343" i="40"/>
  <c r="AT343" i="40"/>
  <c r="AV342" i="40"/>
  <c r="AU342" i="40"/>
  <c r="AT342" i="40"/>
  <c r="AV341" i="40"/>
  <c r="AU341" i="40"/>
  <c r="AT341" i="40"/>
  <c r="AV340" i="40"/>
  <c r="AU340" i="40"/>
  <c r="AT340" i="40"/>
  <c r="AV339" i="40"/>
  <c r="AU339" i="40"/>
  <c r="AT339" i="40"/>
  <c r="AV338" i="40"/>
  <c r="AU338" i="40"/>
  <c r="AT338" i="40"/>
  <c r="AV337" i="40"/>
  <c r="AU337" i="40"/>
  <c r="AT337" i="40"/>
  <c r="AV336" i="40"/>
  <c r="AU336" i="40"/>
  <c r="AT336" i="40"/>
  <c r="AV335" i="40"/>
  <c r="AU335" i="40"/>
  <c r="AT335" i="40"/>
  <c r="AV334" i="40"/>
  <c r="AU334" i="40"/>
  <c r="AT334" i="40"/>
  <c r="AV333" i="40"/>
  <c r="AU333" i="40"/>
  <c r="AT333" i="40"/>
  <c r="AV332" i="40"/>
  <c r="AU332" i="40"/>
  <c r="AT332" i="40"/>
  <c r="AV331" i="40"/>
  <c r="AU331" i="40"/>
  <c r="AT331" i="40"/>
  <c r="AV330" i="40"/>
  <c r="AU330" i="40"/>
  <c r="AT330" i="40"/>
  <c r="AV329" i="40"/>
  <c r="AU329" i="40"/>
  <c r="AT329" i="40"/>
  <c r="AV328" i="40"/>
  <c r="AU328" i="40"/>
  <c r="AT328" i="40"/>
  <c r="AV327" i="40"/>
  <c r="AU327" i="40"/>
  <c r="AT327" i="40"/>
  <c r="AV326" i="40"/>
  <c r="AU326" i="40"/>
  <c r="AT326" i="40"/>
  <c r="AV325" i="40"/>
  <c r="AU325" i="40"/>
  <c r="AT325" i="40"/>
  <c r="AV324" i="40"/>
  <c r="AU324" i="40"/>
  <c r="AT324" i="40"/>
  <c r="AV323" i="40"/>
  <c r="AU323" i="40"/>
  <c r="AT323" i="40"/>
  <c r="AV322" i="40"/>
  <c r="AU322" i="40"/>
  <c r="AT322" i="40"/>
  <c r="AV321" i="40"/>
  <c r="AU321" i="40"/>
  <c r="AT321" i="40"/>
  <c r="AV320" i="40"/>
  <c r="AU320" i="40"/>
  <c r="AT320" i="40"/>
  <c r="AV319" i="40"/>
  <c r="AU319" i="40"/>
  <c r="AT319" i="40"/>
  <c r="AV318" i="40"/>
  <c r="AU318" i="40"/>
  <c r="AT318" i="40"/>
  <c r="AV317" i="40"/>
  <c r="AU317" i="40"/>
  <c r="AT317" i="40"/>
  <c r="AV316" i="40"/>
  <c r="AU316" i="40"/>
  <c r="AT316" i="40"/>
  <c r="AV315" i="40"/>
  <c r="AU315" i="40"/>
  <c r="AT315" i="40"/>
  <c r="AV314" i="40"/>
  <c r="AU314" i="40"/>
  <c r="AT314" i="40"/>
  <c r="AV313" i="40"/>
  <c r="AU313" i="40"/>
  <c r="AT313" i="40"/>
  <c r="AV312" i="40"/>
  <c r="AU312" i="40"/>
  <c r="AT312" i="40"/>
  <c r="AV311" i="40"/>
  <c r="AU311" i="40"/>
  <c r="AT311" i="40"/>
  <c r="AV310" i="40"/>
  <c r="AU310" i="40"/>
  <c r="AT310" i="40"/>
  <c r="AV309" i="40"/>
  <c r="AU309" i="40"/>
  <c r="AT309" i="40"/>
  <c r="AV308" i="40"/>
  <c r="AU308" i="40"/>
  <c r="AT308" i="40"/>
  <c r="AV307" i="40"/>
  <c r="AU307" i="40"/>
  <c r="AT307" i="40"/>
  <c r="AV306" i="40"/>
  <c r="AU306" i="40"/>
  <c r="AT306" i="40"/>
  <c r="AV305" i="40"/>
  <c r="AU305" i="40"/>
  <c r="AT305" i="40"/>
  <c r="AV304" i="40"/>
  <c r="AU304" i="40"/>
  <c r="AT304" i="40"/>
  <c r="AV303" i="40"/>
  <c r="AU303" i="40"/>
  <c r="AT303" i="40"/>
  <c r="AV302" i="40"/>
  <c r="AU302" i="40"/>
  <c r="AT302" i="40"/>
  <c r="AV301" i="40"/>
  <c r="AU301" i="40"/>
  <c r="AT301" i="40"/>
  <c r="AV300" i="40"/>
  <c r="AU300" i="40"/>
  <c r="AT300" i="40"/>
  <c r="AV299" i="40"/>
  <c r="AU299" i="40"/>
  <c r="AT299" i="40"/>
  <c r="AV298" i="40"/>
  <c r="AU298" i="40"/>
  <c r="AT298" i="40"/>
  <c r="AV297" i="40"/>
  <c r="AU297" i="40"/>
  <c r="AT297" i="40"/>
  <c r="AV296" i="40"/>
  <c r="AU296" i="40"/>
  <c r="AT296" i="40"/>
  <c r="AV295" i="40"/>
  <c r="AU295" i="40"/>
  <c r="AT295" i="40"/>
  <c r="AV294" i="40"/>
  <c r="AU294" i="40"/>
  <c r="AT294" i="40"/>
  <c r="AV293" i="40"/>
  <c r="AU293" i="40"/>
  <c r="AT293" i="40"/>
  <c r="AV292" i="40"/>
  <c r="AU292" i="40"/>
  <c r="AT292" i="40"/>
  <c r="AV291" i="40"/>
  <c r="AU291" i="40"/>
  <c r="AT291" i="40"/>
  <c r="AV290" i="40"/>
  <c r="AU290" i="40"/>
  <c r="AT290" i="40"/>
  <c r="AV289" i="40"/>
  <c r="AU289" i="40"/>
  <c r="AT289" i="40"/>
  <c r="AV288" i="40"/>
  <c r="AU288" i="40"/>
  <c r="AT288" i="40"/>
  <c r="AV287" i="40"/>
  <c r="AU287" i="40"/>
  <c r="AT287" i="40"/>
  <c r="AV286" i="40"/>
  <c r="AU286" i="40"/>
  <c r="AT286" i="40"/>
  <c r="AV285" i="40"/>
  <c r="AU285" i="40"/>
  <c r="AT285" i="40"/>
  <c r="AV284" i="40"/>
  <c r="AU284" i="40"/>
  <c r="AT284" i="40"/>
  <c r="AV283" i="40"/>
  <c r="AU283" i="40"/>
  <c r="AT283" i="40"/>
  <c r="AV282" i="40"/>
  <c r="AU282" i="40"/>
  <c r="AT282" i="40"/>
  <c r="AV281" i="40"/>
  <c r="AU281" i="40"/>
  <c r="AT281" i="40"/>
  <c r="AV280" i="40"/>
  <c r="AU280" i="40"/>
  <c r="AT280" i="40"/>
  <c r="AV279" i="40"/>
  <c r="AU279" i="40"/>
  <c r="AT279" i="40"/>
  <c r="AV278" i="40"/>
  <c r="AU278" i="40"/>
  <c r="AT278" i="40"/>
  <c r="AV277" i="40"/>
  <c r="AU277" i="40"/>
  <c r="AT277" i="40"/>
  <c r="AV276" i="40"/>
  <c r="AU276" i="40"/>
  <c r="AT276" i="40"/>
  <c r="AV275" i="40"/>
  <c r="AU275" i="40"/>
  <c r="AT275" i="40"/>
  <c r="AV274" i="40"/>
  <c r="AU274" i="40"/>
  <c r="AT274" i="40"/>
  <c r="AV273" i="40"/>
  <c r="AU273" i="40"/>
  <c r="AT273" i="40"/>
  <c r="AV272" i="40"/>
  <c r="AU272" i="40"/>
  <c r="AT272" i="40"/>
  <c r="AV271" i="40"/>
  <c r="AU271" i="40"/>
  <c r="AT271" i="40"/>
  <c r="AV270" i="40"/>
  <c r="AU270" i="40"/>
  <c r="AT270" i="40"/>
  <c r="AV269" i="40"/>
  <c r="AU269" i="40"/>
  <c r="AT269" i="40"/>
  <c r="AV268" i="40"/>
  <c r="AU268" i="40"/>
  <c r="AT268" i="40"/>
  <c r="AV267" i="40"/>
  <c r="AU267" i="40"/>
  <c r="AT267" i="40"/>
  <c r="AV266" i="40"/>
  <c r="AU266" i="40"/>
  <c r="AT266" i="40"/>
  <c r="AV265" i="40"/>
  <c r="AU265" i="40"/>
  <c r="AT265" i="40"/>
  <c r="AV264" i="40"/>
  <c r="AU264" i="40"/>
  <c r="AT264" i="40"/>
  <c r="AV263" i="40"/>
  <c r="AU263" i="40"/>
  <c r="AT263" i="40"/>
  <c r="AV262" i="40"/>
  <c r="AU262" i="40"/>
  <c r="AT262" i="40"/>
  <c r="AV261" i="40"/>
  <c r="AU261" i="40"/>
  <c r="AT261" i="40"/>
  <c r="AV260" i="40"/>
  <c r="AU260" i="40"/>
  <c r="AT260" i="40"/>
  <c r="AV259" i="40"/>
  <c r="AU259" i="40"/>
  <c r="AT259" i="40"/>
  <c r="AV258" i="40"/>
  <c r="AU258" i="40"/>
  <c r="AT258" i="40"/>
  <c r="AV257" i="40"/>
  <c r="AU257" i="40"/>
  <c r="AT257" i="40"/>
  <c r="AV256" i="40"/>
  <c r="AU256" i="40"/>
  <c r="AT256" i="40"/>
  <c r="AV255" i="40"/>
  <c r="AU255" i="40"/>
  <c r="AT255" i="40"/>
  <c r="AV254" i="40"/>
  <c r="AU254" i="40"/>
  <c r="AT254" i="40"/>
  <c r="AV253" i="40"/>
  <c r="AU253" i="40"/>
  <c r="AT253" i="40"/>
  <c r="AV252" i="40"/>
  <c r="AU252" i="40"/>
  <c r="AT252" i="40"/>
  <c r="AV251" i="40"/>
  <c r="AU251" i="40"/>
  <c r="AT251" i="40"/>
  <c r="AV250" i="40"/>
  <c r="AU250" i="40"/>
  <c r="AT250" i="40"/>
  <c r="AV249" i="40"/>
  <c r="AU249" i="40"/>
  <c r="AT249" i="40"/>
  <c r="AV248" i="40"/>
  <c r="AU248" i="40"/>
  <c r="AT248" i="40"/>
  <c r="AV247" i="40"/>
  <c r="AU247" i="40"/>
  <c r="AT247" i="40"/>
  <c r="AV246" i="40"/>
  <c r="AU246" i="40"/>
  <c r="AT246" i="40"/>
  <c r="AV245" i="40"/>
  <c r="AU245" i="40"/>
  <c r="AT245" i="40"/>
  <c r="AV244" i="40"/>
  <c r="AU244" i="40"/>
  <c r="AT244" i="40"/>
  <c r="AV243" i="40"/>
  <c r="AU243" i="40"/>
  <c r="AT243" i="40"/>
  <c r="AV242" i="40"/>
  <c r="AU242" i="40"/>
  <c r="AT242" i="40"/>
  <c r="AV241" i="40"/>
  <c r="AU241" i="40"/>
  <c r="AT241" i="40"/>
  <c r="AV240" i="40"/>
  <c r="AU240" i="40"/>
  <c r="AT240" i="40"/>
  <c r="AV239" i="40"/>
  <c r="AU239" i="40"/>
  <c r="AT239" i="40"/>
  <c r="AV238" i="40"/>
  <c r="AU238" i="40"/>
  <c r="AT238" i="40"/>
  <c r="AV237" i="40"/>
  <c r="AU237" i="40"/>
  <c r="AT237" i="40"/>
  <c r="AV236" i="40"/>
  <c r="AU236" i="40"/>
  <c r="AT236" i="40"/>
  <c r="AV235" i="40"/>
  <c r="AU235" i="40"/>
  <c r="AT235" i="40"/>
  <c r="AV234" i="40"/>
  <c r="AU234" i="40"/>
  <c r="AT234" i="40"/>
  <c r="AV233" i="40"/>
  <c r="AU233" i="40"/>
  <c r="AT233" i="40"/>
  <c r="AV232" i="40"/>
  <c r="AU232" i="40"/>
  <c r="AT232" i="40"/>
  <c r="AV231" i="40"/>
  <c r="AU231" i="40"/>
  <c r="AT231" i="40"/>
  <c r="AV230" i="40"/>
  <c r="AU230" i="40"/>
  <c r="AT230" i="40"/>
  <c r="AV229" i="40"/>
  <c r="AU229" i="40"/>
  <c r="AT229" i="40"/>
  <c r="AV228" i="40"/>
  <c r="AU228" i="40"/>
  <c r="AT228" i="40"/>
  <c r="AV227" i="40"/>
  <c r="AU227" i="40"/>
  <c r="AT227" i="40"/>
  <c r="AV226" i="40"/>
  <c r="AU226" i="40"/>
  <c r="AT226" i="40"/>
  <c r="AV225" i="40"/>
  <c r="AU225" i="40"/>
  <c r="AT225" i="40"/>
  <c r="AV224" i="40"/>
  <c r="AU224" i="40"/>
  <c r="AT224" i="40"/>
  <c r="AV223" i="40"/>
  <c r="AU223" i="40"/>
  <c r="AT223" i="40"/>
  <c r="AV222" i="40"/>
  <c r="AU222" i="40"/>
  <c r="AT222" i="40"/>
  <c r="AV221" i="40"/>
  <c r="AU221" i="40"/>
  <c r="AT221" i="40"/>
  <c r="AV220" i="40"/>
  <c r="AU220" i="40"/>
  <c r="AT220" i="40"/>
  <c r="AV219" i="40"/>
  <c r="AU219" i="40"/>
  <c r="AT219" i="40"/>
  <c r="AV218" i="40"/>
  <c r="AU218" i="40"/>
  <c r="AT218" i="40"/>
  <c r="AV217" i="40"/>
  <c r="AU217" i="40"/>
  <c r="AT217" i="40"/>
  <c r="AV216" i="40"/>
  <c r="AU216" i="40"/>
  <c r="AT216" i="40"/>
  <c r="AV215" i="40"/>
  <c r="AU215" i="40"/>
  <c r="AT215" i="40"/>
  <c r="AV214" i="40"/>
  <c r="AU214" i="40"/>
  <c r="AT214" i="40"/>
  <c r="AV213" i="40"/>
  <c r="AU213" i="40"/>
  <c r="AT213" i="40"/>
  <c r="AV212" i="40"/>
  <c r="AU212" i="40"/>
  <c r="AT212" i="40"/>
  <c r="AV211" i="40"/>
  <c r="AU211" i="40"/>
  <c r="AT211" i="40"/>
  <c r="AV210" i="40"/>
  <c r="AU210" i="40"/>
  <c r="AT210" i="40"/>
  <c r="AV209" i="40"/>
  <c r="AU209" i="40"/>
  <c r="AT209" i="40"/>
  <c r="AV208" i="40"/>
  <c r="AU208" i="40"/>
  <c r="AT208" i="40"/>
  <c r="AV207" i="40"/>
  <c r="AU207" i="40"/>
  <c r="AT207" i="40"/>
  <c r="AV206" i="40"/>
  <c r="AU206" i="40"/>
  <c r="AT206" i="40"/>
  <c r="AV205" i="40"/>
  <c r="AU205" i="40"/>
  <c r="AT205" i="40"/>
  <c r="AV204" i="40"/>
  <c r="AU204" i="40"/>
  <c r="AT204" i="40"/>
  <c r="AV203" i="40"/>
  <c r="AU203" i="40"/>
  <c r="AT203" i="40"/>
  <c r="AV202" i="40"/>
  <c r="AU202" i="40"/>
  <c r="AT202" i="40"/>
  <c r="AV201" i="40"/>
  <c r="AU201" i="40"/>
  <c r="AT201" i="40"/>
  <c r="AV200" i="40"/>
  <c r="AU200" i="40"/>
  <c r="AT200" i="40"/>
  <c r="AV199" i="40"/>
  <c r="AU199" i="40"/>
  <c r="AT199" i="40"/>
  <c r="AV198" i="40"/>
  <c r="AU198" i="40"/>
  <c r="AT198" i="40"/>
  <c r="AV197" i="40"/>
  <c r="AU197" i="40"/>
  <c r="AT197" i="40"/>
  <c r="AV196" i="40"/>
  <c r="AU196" i="40"/>
  <c r="AT196" i="40"/>
  <c r="AV195" i="40"/>
  <c r="AU195" i="40"/>
  <c r="AT195" i="40"/>
  <c r="AV194" i="40"/>
  <c r="AU194" i="40"/>
  <c r="AT194" i="40"/>
  <c r="AV193" i="40"/>
  <c r="AU193" i="40"/>
  <c r="AT193" i="40"/>
  <c r="AV192" i="40"/>
  <c r="AU192" i="40"/>
  <c r="AT192" i="40"/>
  <c r="AV191" i="40"/>
  <c r="AU191" i="40"/>
  <c r="AT191" i="40"/>
  <c r="AV190" i="40"/>
  <c r="AU190" i="40"/>
  <c r="AT190" i="40"/>
  <c r="AV189" i="40"/>
  <c r="AU189" i="40"/>
  <c r="AT189" i="40"/>
  <c r="AV188" i="40"/>
  <c r="AU188" i="40"/>
  <c r="AT188" i="40"/>
  <c r="AV187" i="40"/>
  <c r="AU187" i="40"/>
  <c r="AT187" i="40"/>
  <c r="AV186" i="40"/>
  <c r="AU186" i="40"/>
  <c r="AT186" i="40"/>
  <c r="AV185" i="40"/>
  <c r="AU185" i="40"/>
  <c r="AT185" i="40"/>
  <c r="AV184" i="40"/>
  <c r="AU184" i="40"/>
  <c r="AT184" i="40"/>
  <c r="AV183" i="40"/>
  <c r="AU183" i="40"/>
  <c r="AT183" i="40"/>
  <c r="AV182" i="40"/>
  <c r="AU182" i="40"/>
  <c r="AT182" i="40"/>
  <c r="AV181" i="40"/>
  <c r="AU181" i="40"/>
  <c r="AT181" i="40"/>
  <c r="AV180" i="40"/>
  <c r="AU180" i="40"/>
  <c r="AT180" i="40"/>
  <c r="AV179" i="40"/>
  <c r="AU179" i="40"/>
  <c r="AT179" i="40"/>
  <c r="AV178" i="40"/>
  <c r="AU178" i="40"/>
  <c r="AT178" i="40"/>
  <c r="AV177" i="40"/>
  <c r="AU177" i="40"/>
  <c r="AT177" i="40"/>
  <c r="AV176" i="40"/>
  <c r="AU176" i="40"/>
  <c r="AT176" i="40"/>
  <c r="AV175" i="40"/>
  <c r="AU175" i="40"/>
  <c r="AT175" i="40"/>
  <c r="AV174" i="40"/>
  <c r="AU174" i="40"/>
  <c r="AT174" i="40"/>
  <c r="AV173" i="40"/>
  <c r="AU173" i="40"/>
  <c r="AT173" i="40"/>
  <c r="AV172" i="40"/>
  <c r="AU172" i="40"/>
  <c r="AT172" i="40"/>
  <c r="AV171" i="40"/>
  <c r="AU171" i="40"/>
  <c r="AT171" i="40"/>
  <c r="AV170" i="40"/>
  <c r="AU170" i="40"/>
  <c r="AT170" i="40"/>
  <c r="AV169" i="40"/>
  <c r="AU169" i="40"/>
  <c r="AT169" i="40"/>
  <c r="AV168" i="40"/>
  <c r="AU168" i="40"/>
  <c r="AT168" i="40"/>
  <c r="AV167" i="40"/>
  <c r="AU167" i="40"/>
  <c r="AT167" i="40"/>
  <c r="AV166" i="40"/>
  <c r="AU166" i="40"/>
  <c r="AT166" i="40"/>
  <c r="AV165" i="40"/>
  <c r="AU165" i="40"/>
  <c r="AT165" i="40"/>
  <c r="AV164" i="40"/>
  <c r="AU164" i="40"/>
  <c r="AT164" i="40"/>
  <c r="AV163" i="40"/>
  <c r="AU163" i="40"/>
  <c r="AT163" i="40"/>
  <c r="AV162" i="40"/>
  <c r="AU162" i="40"/>
  <c r="AT162" i="40"/>
  <c r="AV161" i="40"/>
  <c r="AU161" i="40"/>
  <c r="AT161" i="40"/>
  <c r="AV160" i="40"/>
  <c r="AU160" i="40"/>
  <c r="AT160" i="40"/>
  <c r="AV159" i="40"/>
  <c r="AU159" i="40"/>
  <c r="AT159" i="40"/>
  <c r="AV158" i="40"/>
  <c r="AU158" i="40"/>
  <c r="AT158" i="40"/>
  <c r="AV157" i="40"/>
  <c r="AU157" i="40"/>
  <c r="AT157" i="40"/>
  <c r="AV156" i="40"/>
  <c r="AU156" i="40"/>
  <c r="AT156" i="40"/>
  <c r="AV155" i="40"/>
  <c r="AU155" i="40"/>
  <c r="AT155" i="40"/>
  <c r="AV154" i="40"/>
  <c r="AU154" i="40"/>
  <c r="AT154" i="40"/>
  <c r="AV153" i="40"/>
  <c r="AU153" i="40"/>
  <c r="AT153" i="40"/>
  <c r="AV152" i="40"/>
  <c r="AU152" i="40"/>
  <c r="AT152" i="40"/>
  <c r="AV151" i="40"/>
  <c r="AU151" i="40"/>
  <c r="AT151" i="40"/>
  <c r="AV150" i="40"/>
  <c r="AU150" i="40"/>
  <c r="AT150" i="40"/>
  <c r="AV149" i="40"/>
  <c r="AU149" i="40"/>
  <c r="AT149" i="40"/>
  <c r="AV148" i="40"/>
  <c r="AU148" i="40"/>
  <c r="AT148" i="40"/>
  <c r="AV147" i="40"/>
  <c r="AU147" i="40"/>
  <c r="AT147" i="40"/>
  <c r="AV146" i="40"/>
  <c r="AU146" i="40"/>
  <c r="AT146" i="40"/>
  <c r="AV145" i="40"/>
  <c r="AU145" i="40"/>
  <c r="AT145" i="40"/>
  <c r="AV144" i="40"/>
  <c r="AU144" i="40"/>
  <c r="AT144" i="40"/>
  <c r="AV143" i="40"/>
  <c r="AU143" i="40"/>
  <c r="AT143" i="40"/>
  <c r="AV142" i="40"/>
  <c r="AU142" i="40"/>
  <c r="AT142" i="40"/>
  <c r="AV141" i="40"/>
  <c r="AU141" i="40"/>
  <c r="AT141" i="40"/>
  <c r="AV140" i="40"/>
  <c r="AU140" i="40"/>
  <c r="AT140" i="40"/>
  <c r="AV139" i="40"/>
  <c r="AU139" i="40"/>
  <c r="AT139" i="40"/>
  <c r="AV138" i="40"/>
  <c r="AU138" i="40"/>
  <c r="AT138" i="40"/>
  <c r="AV137" i="40"/>
  <c r="AU137" i="40"/>
  <c r="AT137" i="40"/>
  <c r="AV136" i="40"/>
  <c r="AU136" i="40"/>
  <c r="AT136" i="40"/>
  <c r="AV135" i="40"/>
  <c r="AU135" i="40"/>
  <c r="AT135" i="40"/>
  <c r="AV134" i="40"/>
  <c r="AU134" i="40"/>
  <c r="AT134" i="40"/>
  <c r="AV133" i="40"/>
  <c r="AU133" i="40"/>
  <c r="AT133" i="40"/>
  <c r="AV132" i="40"/>
  <c r="AU132" i="40"/>
  <c r="AT132" i="40"/>
  <c r="AV131" i="40"/>
  <c r="AU131" i="40"/>
  <c r="AT131" i="40"/>
  <c r="AV130" i="40"/>
  <c r="AU130" i="40"/>
  <c r="AT130" i="40"/>
  <c r="AV129" i="40"/>
  <c r="AU129" i="40"/>
  <c r="AT129" i="40"/>
  <c r="AV128" i="40"/>
  <c r="AU128" i="40"/>
  <c r="AT128" i="40"/>
  <c r="AV127" i="40"/>
  <c r="AU127" i="40"/>
  <c r="AT127" i="40"/>
  <c r="AV126" i="40"/>
  <c r="AU126" i="40"/>
  <c r="AT126" i="40"/>
  <c r="AV125" i="40"/>
  <c r="AU125" i="40"/>
  <c r="AT125" i="40"/>
  <c r="AV124" i="40"/>
  <c r="AU124" i="40"/>
  <c r="AT124" i="40"/>
  <c r="AV123" i="40"/>
  <c r="AU123" i="40"/>
  <c r="AT123" i="40"/>
  <c r="AV122" i="40"/>
  <c r="AU122" i="40"/>
  <c r="AT122" i="40"/>
  <c r="AV121" i="40"/>
  <c r="AU121" i="40"/>
  <c r="AT121" i="40"/>
  <c r="AV120" i="40"/>
  <c r="AU120" i="40"/>
  <c r="AT120" i="40"/>
  <c r="AV119" i="40"/>
  <c r="AU119" i="40"/>
  <c r="AT119" i="40"/>
  <c r="AV118" i="40"/>
  <c r="AU118" i="40"/>
  <c r="AT118" i="40"/>
  <c r="AV117" i="40"/>
  <c r="AU117" i="40"/>
  <c r="AT117" i="40"/>
  <c r="AV116" i="40"/>
  <c r="AU116" i="40"/>
  <c r="AT116" i="40"/>
  <c r="AV115" i="40"/>
  <c r="AU115" i="40"/>
  <c r="AT115" i="40"/>
  <c r="AV114" i="40"/>
  <c r="AU114" i="40"/>
  <c r="AT114" i="40"/>
  <c r="AV113" i="40"/>
  <c r="AU113" i="40"/>
  <c r="AT113" i="40"/>
  <c r="AV112" i="40"/>
  <c r="AU112" i="40"/>
  <c r="AT112" i="40"/>
  <c r="AV111" i="40"/>
  <c r="AU111" i="40"/>
  <c r="AT111" i="40"/>
  <c r="AV110" i="40"/>
  <c r="AU110" i="40"/>
  <c r="AT110" i="40"/>
  <c r="AV109" i="40"/>
  <c r="AU109" i="40"/>
  <c r="AT109" i="40"/>
  <c r="AV108" i="40"/>
  <c r="AU108" i="40"/>
  <c r="AT108" i="40"/>
  <c r="AV107" i="40"/>
  <c r="AU107" i="40"/>
  <c r="AT107" i="40"/>
  <c r="AV106" i="40"/>
  <c r="AU106" i="40"/>
  <c r="AT106" i="40"/>
  <c r="AV105" i="40"/>
  <c r="AU105" i="40"/>
  <c r="AT105" i="40"/>
  <c r="AV104" i="40"/>
  <c r="AU104" i="40"/>
  <c r="AT104" i="40"/>
  <c r="AV103" i="40"/>
  <c r="AU103" i="40"/>
  <c r="AT103" i="40"/>
  <c r="AV102" i="40"/>
  <c r="AU102" i="40"/>
  <c r="AT102" i="40"/>
  <c r="AV101" i="40"/>
  <c r="AU101" i="40"/>
  <c r="AT101" i="40"/>
  <c r="AV100" i="40"/>
  <c r="AU100" i="40"/>
  <c r="AT100" i="40"/>
  <c r="AV99" i="40"/>
  <c r="AU99" i="40"/>
  <c r="AT99" i="40"/>
  <c r="AV98" i="40"/>
  <c r="AU98" i="40"/>
  <c r="AT98" i="40"/>
  <c r="AV97" i="40"/>
  <c r="AU97" i="40"/>
  <c r="AT97" i="40"/>
  <c r="AV96" i="40"/>
  <c r="AU96" i="40"/>
  <c r="AT96" i="40"/>
  <c r="AV95" i="40"/>
  <c r="AU95" i="40"/>
  <c r="AT95" i="40"/>
  <c r="AV94" i="40"/>
  <c r="AU94" i="40"/>
  <c r="AT94" i="40"/>
  <c r="AV93" i="40"/>
  <c r="AU93" i="40"/>
  <c r="AT93" i="40"/>
  <c r="AV92" i="40"/>
  <c r="AU92" i="40"/>
  <c r="AT92" i="40"/>
  <c r="AV91" i="40"/>
  <c r="AU91" i="40"/>
  <c r="AT91" i="40"/>
  <c r="AV90" i="40"/>
  <c r="AU90" i="40"/>
  <c r="AT90" i="40"/>
  <c r="AV89" i="40"/>
  <c r="AU89" i="40"/>
  <c r="AT89" i="40"/>
  <c r="AV88" i="40"/>
  <c r="AU88" i="40"/>
  <c r="AT88" i="40"/>
  <c r="AV87" i="40"/>
  <c r="AU87" i="40"/>
  <c r="AT87" i="40"/>
  <c r="AV86" i="40"/>
  <c r="AU86" i="40"/>
  <c r="AT86" i="40"/>
  <c r="AV85" i="40"/>
  <c r="AU85" i="40"/>
  <c r="AT85" i="40"/>
  <c r="AV84" i="40"/>
  <c r="AU84" i="40"/>
  <c r="AT84" i="40"/>
  <c r="AV83" i="40"/>
  <c r="AU83" i="40"/>
  <c r="AT83" i="40"/>
  <c r="AV82" i="40"/>
  <c r="AU82" i="40"/>
  <c r="AT82" i="40"/>
  <c r="AV81" i="40"/>
  <c r="AU81" i="40"/>
  <c r="AT81" i="40"/>
  <c r="AV80" i="40"/>
  <c r="AU80" i="40"/>
  <c r="AT80" i="40"/>
  <c r="AV79" i="40"/>
  <c r="AU79" i="40"/>
  <c r="AT79" i="40"/>
  <c r="AV78" i="40"/>
  <c r="AU78" i="40"/>
  <c r="AT78" i="40"/>
  <c r="AV77" i="40"/>
  <c r="AU77" i="40"/>
  <c r="AT77" i="40"/>
  <c r="AV76" i="40"/>
  <c r="AU76" i="40"/>
  <c r="AT76" i="40"/>
  <c r="AV75" i="40"/>
  <c r="AU75" i="40"/>
  <c r="AT75" i="40"/>
  <c r="AV74" i="40"/>
  <c r="AU74" i="40"/>
  <c r="AT74" i="40"/>
  <c r="AV73" i="40"/>
  <c r="AU73" i="40"/>
  <c r="AT73" i="40"/>
  <c r="AV72" i="40"/>
  <c r="AU72" i="40"/>
  <c r="AT72" i="40"/>
  <c r="AV71" i="40"/>
  <c r="AU71" i="40"/>
  <c r="AT71" i="40"/>
  <c r="AV70" i="40"/>
  <c r="AU70" i="40"/>
  <c r="AT70" i="40"/>
  <c r="AV69" i="40"/>
  <c r="AU69" i="40"/>
  <c r="AT69" i="40"/>
  <c r="AV68" i="40"/>
  <c r="AU68" i="40"/>
  <c r="AT68" i="40"/>
  <c r="AV67" i="40"/>
  <c r="AU67" i="40"/>
  <c r="AT67" i="40"/>
  <c r="AV66" i="40"/>
  <c r="AU66" i="40"/>
  <c r="AT66" i="40"/>
  <c r="AV65" i="40"/>
  <c r="AU65" i="40"/>
  <c r="AT65" i="40"/>
  <c r="AV64" i="40"/>
  <c r="AU64" i="40"/>
  <c r="AT64" i="40"/>
  <c r="AV63" i="40"/>
  <c r="AU63" i="40"/>
  <c r="AT63" i="40"/>
  <c r="AV62" i="40"/>
  <c r="AU62" i="40"/>
  <c r="AT62" i="40"/>
  <c r="AV61" i="40"/>
  <c r="AU61" i="40"/>
  <c r="AT61" i="40"/>
  <c r="AV60" i="40"/>
  <c r="AU60" i="40"/>
  <c r="AT60" i="40"/>
  <c r="AV59" i="40"/>
  <c r="AU59" i="40"/>
  <c r="AT59" i="40"/>
  <c r="AV58" i="40"/>
  <c r="AU58" i="40"/>
  <c r="AT58" i="40"/>
  <c r="AV57" i="40"/>
  <c r="AU57" i="40"/>
  <c r="AT57" i="40"/>
  <c r="AV56" i="40"/>
  <c r="AU56" i="40"/>
  <c r="AT56" i="40"/>
  <c r="AV55" i="40"/>
  <c r="AU55" i="40"/>
  <c r="AT55" i="40"/>
  <c r="AV54" i="40"/>
  <c r="AU54" i="40"/>
  <c r="AT54" i="40"/>
  <c r="AV53" i="40"/>
  <c r="AU53" i="40"/>
  <c r="AT53" i="40"/>
  <c r="AV52" i="40"/>
  <c r="AU52" i="40"/>
  <c r="AT52" i="40"/>
  <c r="AV51" i="40"/>
  <c r="AU51" i="40"/>
  <c r="AT51" i="40"/>
  <c r="AV50" i="40"/>
  <c r="AU50" i="40"/>
  <c r="AT50" i="40"/>
  <c r="AV49" i="40"/>
  <c r="AU49" i="40"/>
  <c r="AT49" i="40"/>
  <c r="AV48" i="40"/>
  <c r="AU48" i="40"/>
  <c r="AT48" i="40"/>
  <c r="AV47" i="40"/>
  <c r="AU47" i="40"/>
  <c r="AT47" i="40"/>
  <c r="AV46" i="40"/>
  <c r="AU46" i="40"/>
  <c r="AT46" i="40"/>
  <c r="AV45" i="40"/>
  <c r="AU45" i="40"/>
  <c r="AT45" i="40"/>
  <c r="AV44" i="40"/>
  <c r="AU44" i="40"/>
  <c r="AT44" i="40"/>
  <c r="AV43" i="40"/>
  <c r="AU43" i="40"/>
  <c r="AT43" i="40"/>
  <c r="AV42" i="40"/>
  <c r="AU42" i="40"/>
  <c r="AT42" i="40"/>
  <c r="AV41" i="40"/>
  <c r="AU41" i="40"/>
  <c r="AT41" i="40"/>
  <c r="AV40" i="40"/>
  <c r="AU40" i="40"/>
  <c r="AT40" i="40"/>
  <c r="AV39" i="40"/>
  <c r="AU39" i="40"/>
  <c r="AT39" i="40"/>
  <c r="AV38" i="40"/>
  <c r="AU38" i="40"/>
  <c r="AT38" i="40"/>
  <c r="AV37" i="40"/>
  <c r="AU37" i="40"/>
  <c r="AT37" i="40"/>
  <c r="AV36" i="40"/>
  <c r="AU36" i="40"/>
  <c r="AT36" i="40"/>
  <c r="AV35" i="40"/>
  <c r="AU35" i="40"/>
  <c r="AT35" i="40"/>
  <c r="AV34" i="40"/>
  <c r="AU34" i="40"/>
  <c r="AT34" i="40"/>
  <c r="AV33" i="40"/>
  <c r="AU33" i="40"/>
  <c r="AT33" i="40"/>
  <c r="AV32" i="40"/>
  <c r="AU32" i="40"/>
  <c r="AT32" i="40"/>
  <c r="AV31" i="40"/>
  <c r="AU31" i="40"/>
  <c r="AT31" i="40"/>
  <c r="AV30" i="40"/>
  <c r="AU30" i="40"/>
  <c r="AT30" i="40"/>
  <c r="AV29" i="40"/>
  <c r="AU29" i="40"/>
  <c r="AT29" i="40"/>
  <c r="AV28" i="40"/>
  <c r="AU28" i="40"/>
  <c r="AT28" i="40"/>
  <c r="AV27" i="40"/>
  <c r="AU27" i="40"/>
  <c r="AT27" i="40"/>
  <c r="AV26" i="40"/>
  <c r="AU26" i="40"/>
  <c r="AT26" i="40"/>
  <c r="AV25" i="40"/>
  <c r="AU25" i="40"/>
  <c r="AT25" i="40"/>
  <c r="AV24" i="40"/>
  <c r="AU24" i="40"/>
  <c r="AT24" i="40"/>
  <c r="AV23" i="40"/>
  <c r="AU23" i="40"/>
  <c r="AT23" i="40"/>
  <c r="AV22" i="40"/>
  <c r="AU22" i="40"/>
  <c r="AT22" i="40"/>
  <c r="AV21" i="40"/>
  <c r="AU21" i="40"/>
  <c r="AT21" i="40"/>
  <c r="AV20" i="40"/>
  <c r="AU20" i="40"/>
  <c r="AT20" i="40"/>
  <c r="AV19" i="40"/>
  <c r="AU19" i="40"/>
  <c r="AT19" i="40"/>
  <c r="AV18" i="40"/>
  <c r="AU18" i="40"/>
  <c r="AT18" i="40"/>
  <c r="AV17" i="40"/>
  <c r="AU17" i="40"/>
  <c r="AT17" i="40"/>
  <c r="AV16" i="40"/>
  <c r="AU16" i="40"/>
  <c r="AT16" i="40"/>
  <c r="AV15" i="40"/>
  <c r="AU15" i="40"/>
  <c r="AT15" i="40"/>
  <c r="AV14" i="40"/>
  <c r="AU14" i="40"/>
  <c r="AT14" i="40"/>
  <c r="AV13" i="40"/>
  <c r="AU13" i="40"/>
  <c r="AT13" i="40"/>
  <c r="AV12" i="40"/>
  <c r="AU12" i="40"/>
  <c r="AT12" i="40"/>
  <c r="AV11" i="40"/>
  <c r="AU11" i="40"/>
  <c r="AT11" i="40"/>
  <c r="AV10" i="40"/>
  <c r="AU10" i="40"/>
  <c r="AT10" i="40"/>
  <c r="AV9" i="40"/>
  <c r="AU9" i="40"/>
  <c r="AT9" i="40"/>
  <c r="AV8" i="40"/>
  <c r="AU8" i="40"/>
  <c r="AT8" i="40"/>
  <c r="AV7" i="40"/>
  <c r="AU7" i="40"/>
  <c r="AT7" i="40"/>
  <c r="AV6" i="40"/>
  <c r="AU6" i="40"/>
  <c r="AT6" i="40"/>
  <c r="AV5" i="40"/>
  <c r="AU5" i="40"/>
  <c r="AT5" i="40"/>
  <c r="AV4" i="40"/>
  <c r="AU4" i="40"/>
  <c r="AT4" i="40"/>
  <c r="AV3" i="40"/>
  <c r="AU3" i="40"/>
  <c r="AT3" i="40"/>
  <c r="BA407" i="40"/>
  <c r="AZ407" i="40"/>
  <c r="AY407" i="40"/>
  <c r="AX407" i="40"/>
  <c r="AW407" i="40"/>
  <c r="BA406" i="40"/>
  <c r="AZ406" i="40"/>
  <c r="AY406" i="40"/>
  <c r="AX406" i="40"/>
  <c r="AW406" i="40"/>
  <c r="BA405" i="40"/>
  <c r="AZ405" i="40"/>
  <c r="AY405" i="40"/>
  <c r="AX405" i="40"/>
  <c r="AW405" i="40"/>
  <c r="BA404" i="40"/>
  <c r="AZ404" i="40"/>
  <c r="AY404" i="40"/>
  <c r="AX404" i="40"/>
  <c r="AW404" i="40"/>
  <c r="BA403" i="40"/>
  <c r="AZ403" i="40"/>
  <c r="AY403" i="40"/>
  <c r="AX403" i="40"/>
  <c r="AW403" i="40"/>
  <c r="BA402" i="40"/>
  <c r="AZ402" i="40"/>
  <c r="AY402" i="40"/>
  <c r="AX402" i="40"/>
  <c r="AW402" i="40"/>
  <c r="BA401" i="40"/>
  <c r="AZ401" i="40"/>
  <c r="AY401" i="40"/>
  <c r="AX401" i="40"/>
  <c r="AW401" i="40"/>
  <c r="BA400" i="40"/>
  <c r="AZ400" i="40"/>
  <c r="AY400" i="40"/>
  <c r="AX400" i="40"/>
  <c r="AW400" i="40"/>
  <c r="BA399" i="40"/>
  <c r="AZ399" i="40"/>
  <c r="AY399" i="40"/>
  <c r="AX399" i="40"/>
  <c r="AW399" i="40"/>
  <c r="BA398" i="40"/>
  <c r="AZ398" i="40"/>
  <c r="AY398" i="40"/>
  <c r="AX398" i="40"/>
  <c r="AW398" i="40"/>
  <c r="BA397" i="40"/>
  <c r="AZ397" i="40"/>
  <c r="AY397" i="40"/>
  <c r="AX397" i="40"/>
  <c r="AW397" i="40"/>
  <c r="BA396" i="40"/>
  <c r="AZ396" i="40"/>
  <c r="AY396" i="40"/>
  <c r="AX396" i="40"/>
  <c r="AW396" i="40"/>
  <c r="BA395" i="40"/>
  <c r="AZ395" i="40"/>
  <c r="AY395" i="40"/>
  <c r="AX395" i="40"/>
  <c r="AW395" i="40"/>
  <c r="BA394" i="40"/>
  <c r="AZ394" i="40"/>
  <c r="AY394" i="40"/>
  <c r="AX394" i="40"/>
  <c r="AW394" i="40"/>
  <c r="BA393" i="40"/>
  <c r="AZ393" i="40"/>
  <c r="AY393" i="40"/>
  <c r="AX393" i="40"/>
  <c r="AW393" i="40"/>
  <c r="BA392" i="40"/>
  <c r="AZ392" i="40"/>
  <c r="AY392" i="40"/>
  <c r="AX392" i="40"/>
  <c r="AW392" i="40"/>
  <c r="BA391" i="40"/>
  <c r="AZ391" i="40"/>
  <c r="AY391" i="40"/>
  <c r="AX391" i="40"/>
  <c r="AW391" i="40"/>
  <c r="BA390" i="40"/>
  <c r="AZ390" i="40"/>
  <c r="AY390" i="40"/>
  <c r="AX390" i="40"/>
  <c r="AW390" i="40"/>
  <c r="BA389" i="40"/>
  <c r="AZ389" i="40"/>
  <c r="AY389" i="40"/>
  <c r="AX389" i="40"/>
  <c r="AW389" i="40"/>
  <c r="BA388" i="40"/>
  <c r="AZ388" i="40"/>
  <c r="AY388" i="40"/>
  <c r="AX388" i="40"/>
  <c r="AW388" i="40"/>
  <c r="BA387" i="40"/>
  <c r="AZ387" i="40"/>
  <c r="AY387" i="40"/>
  <c r="AX387" i="40"/>
  <c r="AW387" i="40"/>
  <c r="BA386" i="40"/>
  <c r="AZ386" i="40"/>
  <c r="AY386" i="40"/>
  <c r="AX386" i="40"/>
  <c r="AW386" i="40"/>
  <c r="BA385" i="40"/>
  <c r="AZ385" i="40"/>
  <c r="AY385" i="40"/>
  <c r="AX385" i="40"/>
  <c r="AW385" i="40"/>
  <c r="BA384" i="40"/>
  <c r="AZ384" i="40"/>
  <c r="AY384" i="40"/>
  <c r="AX384" i="40"/>
  <c r="AW384" i="40"/>
  <c r="BA383" i="40"/>
  <c r="AZ383" i="40"/>
  <c r="AY383" i="40"/>
  <c r="AX383" i="40"/>
  <c r="AW383" i="40"/>
  <c r="BA382" i="40"/>
  <c r="AZ382" i="40"/>
  <c r="AY382" i="40"/>
  <c r="AX382" i="40"/>
  <c r="AW382" i="40"/>
  <c r="BA381" i="40"/>
  <c r="AZ381" i="40"/>
  <c r="AY381" i="40"/>
  <c r="AX381" i="40"/>
  <c r="AW381" i="40"/>
  <c r="BA380" i="40"/>
  <c r="AZ380" i="40"/>
  <c r="AY380" i="40"/>
  <c r="AX380" i="40"/>
  <c r="AW380" i="40"/>
  <c r="BA379" i="40"/>
  <c r="AZ379" i="40"/>
  <c r="AY379" i="40"/>
  <c r="AX379" i="40"/>
  <c r="AW379" i="40"/>
  <c r="BA378" i="40"/>
  <c r="AZ378" i="40"/>
  <c r="AY378" i="40"/>
  <c r="AX378" i="40"/>
  <c r="AW378" i="40"/>
  <c r="BA377" i="40"/>
  <c r="AZ377" i="40"/>
  <c r="AY377" i="40"/>
  <c r="AX377" i="40"/>
  <c r="AW377" i="40"/>
  <c r="BA376" i="40"/>
  <c r="AZ376" i="40"/>
  <c r="AY376" i="40"/>
  <c r="AX376" i="40"/>
  <c r="AW376" i="40"/>
  <c r="BA375" i="40"/>
  <c r="AZ375" i="40"/>
  <c r="AY375" i="40"/>
  <c r="AX375" i="40"/>
  <c r="AW375" i="40"/>
  <c r="BA374" i="40"/>
  <c r="AZ374" i="40"/>
  <c r="AY374" i="40"/>
  <c r="AX374" i="40"/>
  <c r="AW374" i="40"/>
  <c r="BA373" i="40"/>
  <c r="AZ373" i="40"/>
  <c r="AY373" i="40"/>
  <c r="AX373" i="40"/>
  <c r="AW373" i="40"/>
  <c r="BA372" i="40"/>
  <c r="AZ372" i="40"/>
  <c r="AY372" i="40"/>
  <c r="AX372" i="40"/>
  <c r="AW372" i="40"/>
  <c r="BA371" i="40"/>
  <c r="AZ371" i="40"/>
  <c r="AY371" i="40"/>
  <c r="AX371" i="40"/>
  <c r="AW371" i="40"/>
  <c r="BA370" i="40"/>
  <c r="AZ370" i="40"/>
  <c r="AY370" i="40"/>
  <c r="AX370" i="40"/>
  <c r="AW370" i="40"/>
  <c r="BA369" i="40"/>
  <c r="AZ369" i="40"/>
  <c r="AY369" i="40"/>
  <c r="AX369" i="40"/>
  <c r="AW369" i="40"/>
  <c r="BA368" i="40"/>
  <c r="AZ368" i="40"/>
  <c r="AY368" i="40"/>
  <c r="AX368" i="40"/>
  <c r="AW368" i="40"/>
  <c r="BA367" i="40"/>
  <c r="AZ367" i="40"/>
  <c r="AY367" i="40"/>
  <c r="AX367" i="40"/>
  <c r="AW367" i="40"/>
  <c r="BA366" i="40"/>
  <c r="AZ366" i="40"/>
  <c r="AY366" i="40"/>
  <c r="AX366" i="40"/>
  <c r="AW366" i="40"/>
  <c r="BA365" i="40"/>
  <c r="AZ365" i="40"/>
  <c r="AY365" i="40"/>
  <c r="AX365" i="40"/>
  <c r="AW365" i="40"/>
  <c r="BA364" i="40"/>
  <c r="AZ364" i="40"/>
  <c r="AY364" i="40"/>
  <c r="AX364" i="40"/>
  <c r="AW364" i="40"/>
  <c r="BA363" i="40"/>
  <c r="AZ363" i="40"/>
  <c r="AY363" i="40"/>
  <c r="AX363" i="40"/>
  <c r="AW363" i="40"/>
  <c r="BA362" i="40"/>
  <c r="AZ362" i="40"/>
  <c r="AY362" i="40"/>
  <c r="AX362" i="40"/>
  <c r="AW362" i="40"/>
  <c r="BA361" i="40"/>
  <c r="AZ361" i="40"/>
  <c r="AY361" i="40"/>
  <c r="AX361" i="40"/>
  <c r="AW361" i="40"/>
  <c r="BA360" i="40"/>
  <c r="AZ360" i="40"/>
  <c r="AY360" i="40"/>
  <c r="AX360" i="40"/>
  <c r="AW360" i="40"/>
  <c r="BA359" i="40"/>
  <c r="AZ359" i="40"/>
  <c r="AY359" i="40"/>
  <c r="AX359" i="40"/>
  <c r="AW359" i="40"/>
  <c r="BA358" i="40"/>
  <c r="AZ358" i="40"/>
  <c r="AY358" i="40"/>
  <c r="AX358" i="40"/>
  <c r="AW358" i="40"/>
  <c r="BA357" i="40"/>
  <c r="AZ357" i="40"/>
  <c r="AY357" i="40"/>
  <c r="AX357" i="40"/>
  <c r="AW357" i="40"/>
  <c r="BA356" i="40"/>
  <c r="AZ356" i="40"/>
  <c r="AY356" i="40"/>
  <c r="AX356" i="40"/>
  <c r="AW356" i="40"/>
  <c r="BA355" i="40"/>
  <c r="AZ355" i="40"/>
  <c r="AY355" i="40"/>
  <c r="AX355" i="40"/>
  <c r="AW355" i="40"/>
  <c r="BA354" i="40"/>
  <c r="AZ354" i="40"/>
  <c r="AY354" i="40"/>
  <c r="AX354" i="40"/>
  <c r="AW354" i="40"/>
  <c r="BA353" i="40"/>
  <c r="AZ353" i="40"/>
  <c r="AY353" i="40"/>
  <c r="AX353" i="40"/>
  <c r="AW353" i="40"/>
  <c r="BA352" i="40"/>
  <c r="AZ352" i="40"/>
  <c r="AY352" i="40"/>
  <c r="AX352" i="40"/>
  <c r="AW352" i="40"/>
  <c r="BA351" i="40"/>
  <c r="AZ351" i="40"/>
  <c r="AY351" i="40"/>
  <c r="AX351" i="40"/>
  <c r="AW351" i="40"/>
  <c r="BA350" i="40"/>
  <c r="AZ350" i="40"/>
  <c r="AY350" i="40"/>
  <c r="AX350" i="40"/>
  <c r="AW350" i="40"/>
  <c r="BA349" i="40"/>
  <c r="AZ349" i="40"/>
  <c r="AY349" i="40"/>
  <c r="AX349" i="40"/>
  <c r="AW349" i="40"/>
  <c r="BA348" i="40"/>
  <c r="AZ348" i="40"/>
  <c r="AY348" i="40"/>
  <c r="AX348" i="40"/>
  <c r="AW348" i="40"/>
  <c r="BA347" i="40"/>
  <c r="AZ347" i="40"/>
  <c r="AY347" i="40"/>
  <c r="AX347" i="40"/>
  <c r="AW347" i="40"/>
  <c r="BA346" i="40"/>
  <c r="AZ346" i="40"/>
  <c r="AY346" i="40"/>
  <c r="AX346" i="40"/>
  <c r="AW346" i="40"/>
  <c r="BA345" i="40"/>
  <c r="AZ345" i="40"/>
  <c r="AY345" i="40"/>
  <c r="AX345" i="40"/>
  <c r="AW345" i="40"/>
  <c r="BA344" i="40"/>
  <c r="AZ344" i="40"/>
  <c r="AY344" i="40"/>
  <c r="AX344" i="40"/>
  <c r="AW344" i="40"/>
  <c r="BA343" i="40"/>
  <c r="AZ343" i="40"/>
  <c r="AY343" i="40"/>
  <c r="AX343" i="40"/>
  <c r="AW343" i="40"/>
  <c r="BA342" i="40"/>
  <c r="AZ342" i="40"/>
  <c r="AY342" i="40"/>
  <c r="AX342" i="40"/>
  <c r="AW342" i="40"/>
  <c r="BA341" i="40"/>
  <c r="AZ341" i="40"/>
  <c r="AY341" i="40"/>
  <c r="AX341" i="40"/>
  <c r="AW341" i="40"/>
  <c r="BA340" i="40"/>
  <c r="AZ340" i="40"/>
  <c r="AY340" i="40"/>
  <c r="AX340" i="40"/>
  <c r="AW340" i="40"/>
  <c r="BA339" i="40"/>
  <c r="AZ339" i="40"/>
  <c r="AY339" i="40"/>
  <c r="AX339" i="40"/>
  <c r="AW339" i="40"/>
  <c r="BA338" i="40"/>
  <c r="AZ338" i="40"/>
  <c r="AY338" i="40"/>
  <c r="AX338" i="40"/>
  <c r="AW338" i="40"/>
  <c r="BA337" i="40"/>
  <c r="AZ337" i="40"/>
  <c r="AY337" i="40"/>
  <c r="AX337" i="40"/>
  <c r="AW337" i="40"/>
  <c r="BA336" i="40"/>
  <c r="AZ336" i="40"/>
  <c r="AY336" i="40"/>
  <c r="AX336" i="40"/>
  <c r="AW336" i="40"/>
  <c r="BA335" i="40"/>
  <c r="AZ335" i="40"/>
  <c r="AY335" i="40"/>
  <c r="AX335" i="40"/>
  <c r="AW335" i="40"/>
  <c r="BA334" i="40"/>
  <c r="AZ334" i="40"/>
  <c r="AY334" i="40"/>
  <c r="AX334" i="40"/>
  <c r="AW334" i="40"/>
  <c r="BA333" i="40"/>
  <c r="AZ333" i="40"/>
  <c r="AY333" i="40"/>
  <c r="AX333" i="40"/>
  <c r="AW333" i="40"/>
  <c r="BA332" i="40"/>
  <c r="AZ332" i="40"/>
  <c r="AY332" i="40"/>
  <c r="AX332" i="40"/>
  <c r="AW332" i="40"/>
  <c r="BA331" i="40"/>
  <c r="AZ331" i="40"/>
  <c r="AY331" i="40"/>
  <c r="AX331" i="40"/>
  <c r="AW331" i="40"/>
  <c r="BA330" i="40"/>
  <c r="AZ330" i="40"/>
  <c r="AY330" i="40"/>
  <c r="AX330" i="40"/>
  <c r="AW330" i="40"/>
  <c r="BA329" i="40"/>
  <c r="AZ329" i="40"/>
  <c r="AY329" i="40"/>
  <c r="AX329" i="40"/>
  <c r="AW329" i="40"/>
  <c r="BA328" i="40"/>
  <c r="AZ328" i="40"/>
  <c r="AY328" i="40"/>
  <c r="AX328" i="40"/>
  <c r="AW328" i="40"/>
  <c r="BA327" i="40"/>
  <c r="AZ327" i="40"/>
  <c r="AY327" i="40"/>
  <c r="AX327" i="40"/>
  <c r="AW327" i="40"/>
  <c r="BA326" i="40"/>
  <c r="AZ326" i="40"/>
  <c r="AY326" i="40"/>
  <c r="AX326" i="40"/>
  <c r="AW326" i="40"/>
  <c r="BA325" i="40"/>
  <c r="AZ325" i="40"/>
  <c r="AY325" i="40"/>
  <c r="AX325" i="40"/>
  <c r="AW325" i="40"/>
  <c r="BA324" i="40"/>
  <c r="AZ324" i="40"/>
  <c r="AY324" i="40"/>
  <c r="AX324" i="40"/>
  <c r="AW324" i="40"/>
  <c r="BA323" i="40"/>
  <c r="AZ323" i="40"/>
  <c r="AY323" i="40"/>
  <c r="AX323" i="40"/>
  <c r="AW323" i="40"/>
  <c r="BA322" i="40"/>
  <c r="AZ322" i="40"/>
  <c r="AY322" i="40"/>
  <c r="AX322" i="40"/>
  <c r="AW322" i="40"/>
  <c r="BA321" i="40"/>
  <c r="AZ321" i="40"/>
  <c r="AY321" i="40"/>
  <c r="AX321" i="40"/>
  <c r="AW321" i="40"/>
  <c r="BA320" i="40"/>
  <c r="AZ320" i="40"/>
  <c r="AY320" i="40"/>
  <c r="AX320" i="40"/>
  <c r="AW320" i="40"/>
  <c r="BA319" i="40"/>
  <c r="AZ319" i="40"/>
  <c r="AY319" i="40"/>
  <c r="AX319" i="40"/>
  <c r="AW319" i="40"/>
  <c r="BA318" i="40"/>
  <c r="AZ318" i="40"/>
  <c r="AY318" i="40"/>
  <c r="AX318" i="40"/>
  <c r="AW318" i="40"/>
  <c r="BA317" i="40"/>
  <c r="AZ317" i="40"/>
  <c r="AY317" i="40"/>
  <c r="AX317" i="40"/>
  <c r="AW317" i="40"/>
  <c r="BA316" i="40"/>
  <c r="AZ316" i="40"/>
  <c r="AY316" i="40"/>
  <c r="AX316" i="40"/>
  <c r="AW316" i="40"/>
  <c r="BA315" i="40"/>
  <c r="AZ315" i="40"/>
  <c r="AY315" i="40"/>
  <c r="AX315" i="40"/>
  <c r="AW315" i="40"/>
  <c r="BA314" i="40"/>
  <c r="AZ314" i="40"/>
  <c r="AY314" i="40"/>
  <c r="AX314" i="40"/>
  <c r="AW314" i="40"/>
  <c r="BA313" i="40"/>
  <c r="AZ313" i="40"/>
  <c r="AY313" i="40"/>
  <c r="AX313" i="40"/>
  <c r="AW313" i="40"/>
  <c r="BA312" i="40"/>
  <c r="AZ312" i="40"/>
  <c r="AY312" i="40"/>
  <c r="AX312" i="40"/>
  <c r="AW312" i="40"/>
  <c r="BA311" i="40"/>
  <c r="AZ311" i="40"/>
  <c r="AY311" i="40"/>
  <c r="AX311" i="40"/>
  <c r="AW311" i="40"/>
  <c r="BA310" i="40"/>
  <c r="AZ310" i="40"/>
  <c r="AY310" i="40"/>
  <c r="AX310" i="40"/>
  <c r="AW310" i="40"/>
  <c r="BA309" i="40"/>
  <c r="AZ309" i="40"/>
  <c r="AY309" i="40"/>
  <c r="AX309" i="40"/>
  <c r="AW309" i="40"/>
  <c r="BA308" i="40"/>
  <c r="AZ308" i="40"/>
  <c r="AY308" i="40"/>
  <c r="AX308" i="40"/>
  <c r="AW308" i="40"/>
  <c r="BA307" i="40"/>
  <c r="AZ307" i="40"/>
  <c r="AY307" i="40"/>
  <c r="AX307" i="40"/>
  <c r="AW307" i="40"/>
  <c r="BA306" i="40"/>
  <c r="AZ306" i="40"/>
  <c r="AY306" i="40"/>
  <c r="AX306" i="40"/>
  <c r="AW306" i="40"/>
  <c r="BA305" i="40"/>
  <c r="AZ305" i="40"/>
  <c r="AY305" i="40"/>
  <c r="AX305" i="40"/>
  <c r="AW305" i="40"/>
  <c r="BA304" i="40"/>
  <c r="AZ304" i="40"/>
  <c r="AY304" i="40"/>
  <c r="AX304" i="40"/>
  <c r="AW304" i="40"/>
  <c r="BA303" i="40"/>
  <c r="AZ303" i="40"/>
  <c r="AY303" i="40"/>
  <c r="AX303" i="40"/>
  <c r="AW303" i="40"/>
  <c r="BA302" i="40"/>
  <c r="AZ302" i="40"/>
  <c r="AY302" i="40"/>
  <c r="AX302" i="40"/>
  <c r="AW302" i="40"/>
  <c r="BA301" i="40"/>
  <c r="AZ301" i="40"/>
  <c r="AY301" i="40"/>
  <c r="AX301" i="40"/>
  <c r="AW301" i="40"/>
  <c r="BA300" i="40"/>
  <c r="AZ300" i="40"/>
  <c r="AY300" i="40"/>
  <c r="AX300" i="40"/>
  <c r="AW300" i="40"/>
  <c r="BA299" i="40"/>
  <c r="AZ299" i="40"/>
  <c r="AY299" i="40"/>
  <c r="AX299" i="40"/>
  <c r="AW299" i="40"/>
  <c r="BA298" i="40"/>
  <c r="AZ298" i="40"/>
  <c r="AY298" i="40"/>
  <c r="AX298" i="40"/>
  <c r="AW298" i="40"/>
  <c r="BA297" i="40"/>
  <c r="AZ297" i="40"/>
  <c r="AY297" i="40"/>
  <c r="AX297" i="40"/>
  <c r="AW297" i="40"/>
  <c r="BA296" i="40"/>
  <c r="AZ296" i="40"/>
  <c r="AY296" i="40"/>
  <c r="AX296" i="40"/>
  <c r="AW296" i="40"/>
  <c r="BA295" i="40"/>
  <c r="AZ295" i="40"/>
  <c r="AY295" i="40"/>
  <c r="AX295" i="40"/>
  <c r="AW295" i="40"/>
  <c r="BA294" i="40"/>
  <c r="AZ294" i="40"/>
  <c r="AY294" i="40"/>
  <c r="AX294" i="40"/>
  <c r="AW294" i="40"/>
  <c r="BA293" i="40"/>
  <c r="AZ293" i="40"/>
  <c r="AY293" i="40"/>
  <c r="AX293" i="40"/>
  <c r="AW293" i="40"/>
  <c r="BA292" i="40"/>
  <c r="AZ292" i="40"/>
  <c r="AY292" i="40"/>
  <c r="AX292" i="40"/>
  <c r="AW292" i="40"/>
  <c r="BA291" i="40"/>
  <c r="AZ291" i="40"/>
  <c r="AY291" i="40"/>
  <c r="AX291" i="40"/>
  <c r="AW291" i="40"/>
  <c r="BA290" i="40"/>
  <c r="AZ290" i="40"/>
  <c r="AY290" i="40"/>
  <c r="AX290" i="40"/>
  <c r="AW290" i="40"/>
  <c r="BA289" i="40"/>
  <c r="AZ289" i="40"/>
  <c r="AY289" i="40"/>
  <c r="AX289" i="40"/>
  <c r="AW289" i="40"/>
  <c r="BA288" i="40"/>
  <c r="AZ288" i="40"/>
  <c r="AY288" i="40"/>
  <c r="AX288" i="40"/>
  <c r="AW288" i="40"/>
  <c r="BA287" i="40"/>
  <c r="AZ287" i="40"/>
  <c r="AY287" i="40"/>
  <c r="AX287" i="40"/>
  <c r="AW287" i="40"/>
  <c r="BA286" i="40"/>
  <c r="AZ286" i="40"/>
  <c r="AY286" i="40"/>
  <c r="AX286" i="40"/>
  <c r="AW286" i="40"/>
  <c r="BA285" i="40"/>
  <c r="AZ285" i="40"/>
  <c r="AY285" i="40"/>
  <c r="AX285" i="40"/>
  <c r="AW285" i="40"/>
  <c r="BA284" i="40"/>
  <c r="AZ284" i="40"/>
  <c r="AY284" i="40"/>
  <c r="AX284" i="40"/>
  <c r="AW284" i="40"/>
  <c r="BA283" i="40"/>
  <c r="AZ283" i="40"/>
  <c r="AY283" i="40"/>
  <c r="AX283" i="40"/>
  <c r="AW283" i="40"/>
  <c r="BA282" i="40"/>
  <c r="AZ282" i="40"/>
  <c r="AY282" i="40"/>
  <c r="AX282" i="40"/>
  <c r="AW282" i="40"/>
  <c r="BA281" i="40"/>
  <c r="AZ281" i="40"/>
  <c r="AY281" i="40"/>
  <c r="AX281" i="40"/>
  <c r="AW281" i="40"/>
  <c r="BA280" i="40"/>
  <c r="AZ280" i="40"/>
  <c r="AY280" i="40"/>
  <c r="AX280" i="40"/>
  <c r="AW280" i="40"/>
  <c r="BA279" i="40"/>
  <c r="AZ279" i="40"/>
  <c r="AY279" i="40"/>
  <c r="AX279" i="40"/>
  <c r="AW279" i="40"/>
  <c r="BA278" i="40"/>
  <c r="AZ278" i="40"/>
  <c r="AY278" i="40"/>
  <c r="AX278" i="40"/>
  <c r="AW278" i="40"/>
  <c r="BA277" i="40"/>
  <c r="AZ277" i="40"/>
  <c r="AY277" i="40"/>
  <c r="AX277" i="40"/>
  <c r="AW277" i="40"/>
  <c r="BA276" i="40"/>
  <c r="AZ276" i="40"/>
  <c r="AY276" i="40"/>
  <c r="AX276" i="40"/>
  <c r="AW276" i="40"/>
  <c r="BA275" i="40"/>
  <c r="AZ275" i="40"/>
  <c r="AY275" i="40"/>
  <c r="AX275" i="40"/>
  <c r="AW275" i="40"/>
  <c r="BA274" i="40"/>
  <c r="AZ274" i="40"/>
  <c r="AY274" i="40"/>
  <c r="AX274" i="40"/>
  <c r="AW274" i="40"/>
  <c r="BA273" i="40"/>
  <c r="AZ273" i="40"/>
  <c r="AY273" i="40"/>
  <c r="AX273" i="40"/>
  <c r="AW273" i="40"/>
  <c r="BA272" i="40"/>
  <c r="AZ272" i="40"/>
  <c r="AY272" i="40"/>
  <c r="AX272" i="40"/>
  <c r="AW272" i="40"/>
  <c r="BA271" i="40"/>
  <c r="AZ271" i="40"/>
  <c r="AY271" i="40"/>
  <c r="AX271" i="40"/>
  <c r="AW271" i="40"/>
  <c r="BA270" i="40"/>
  <c r="AZ270" i="40"/>
  <c r="AY270" i="40"/>
  <c r="AX270" i="40"/>
  <c r="AW270" i="40"/>
  <c r="BA269" i="40"/>
  <c r="AZ269" i="40"/>
  <c r="AY269" i="40"/>
  <c r="AX269" i="40"/>
  <c r="AW269" i="40"/>
  <c r="BA268" i="40"/>
  <c r="AZ268" i="40"/>
  <c r="AY268" i="40"/>
  <c r="AX268" i="40"/>
  <c r="AW268" i="40"/>
  <c r="BA267" i="40"/>
  <c r="AZ267" i="40"/>
  <c r="AY267" i="40"/>
  <c r="AX267" i="40"/>
  <c r="AW267" i="40"/>
  <c r="BA266" i="40"/>
  <c r="AZ266" i="40"/>
  <c r="AY266" i="40"/>
  <c r="AX266" i="40"/>
  <c r="AW266" i="40"/>
  <c r="BA265" i="40"/>
  <c r="AZ265" i="40"/>
  <c r="AY265" i="40"/>
  <c r="AX265" i="40"/>
  <c r="AW265" i="40"/>
  <c r="BA264" i="40"/>
  <c r="AZ264" i="40"/>
  <c r="AY264" i="40"/>
  <c r="AX264" i="40"/>
  <c r="AW264" i="40"/>
  <c r="BA263" i="40"/>
  <c r="AZ263" i="40"/>
  <c r="AY263" i="40"/>
  <c r="AX263" i="40"/>
  <c r="AW263" i="40"/>
  <c r="BA262" i="40"/>
  <c r="AZ262" i="40"/>
  <c r="AY262" i="40"/>
  <c r="AX262" i="40"/>
  <c r="AW262" i="40"/>
  <c r="BA261" i="40"/>
  <c r="AZ261" i="40"/>
  <c r="AY261" i="40"/>
  <c r="AX261" i="40"/>
  <c r="AW261" i="40"/>
  <c r="BA260" i="40"/>
  <c r="AZ260" i="40"/>
  <c r="AY260" i="40"/>
  <c r="AX260" i="40"/>
  <c r="AW260" i="40"/>
  <c r="BA259" i="40"/>
  <c r="AZ259" i="40"/>
  <c r="AY259" i="40"/>
  <c r="AX259" i="40"/>
  <c r="AW259" i="40"/>
  <c r="BA258" i="40"/>
  <c r="AZ258" i="40"/>
  <c r="AY258" i="40"/>
  <c r="AX258" i="40"/>
  <c r="AW258" i="40"/>
  <c r="BA257" i="40"/>
  <c r="AZ257" i="40"/>
  <c r="AY257" i="40"/>
  <c r="AX257" i="40"/>
  <c r="AW257" i="40"/>
  <c r="BA256" i="40"/>
  <c r="AZ256" i="40"/>
  <c r="AY256" i="40"/>
  <c r="AX256" i="40"/>
  <c r="AW256" i="40"/>
  <c r="BA255" i="40"/>
  <c r="AZ255" i="40"/>
  <c r="AY255" i="40"/>
  <c r="AX255" i="40"/>
  <c r="AW255" i="40"/>
  <c r="BA254" i="40"/>
  <c r="AZ254" i="40"/>
  <c r="AY254" i="40"/>
  <c r="AX254" i="40"/>
  <c r="AW254" i="40"/>
  <c r="BA253" i="40"/>
  <c r="AZ253" i="40"/>
  <c r="AY253" i="40"/>
  <c r="AX253" i="40"/>
  <c r="AW253" i="40"/>
  <c r="BA252" i="40"/>
  <c r="AZ252" i="40"/>
  <c r="AY252" i="40"/>
  <c r="AX252" i="40"/>
  <c r="AW252" i="40"/>
  <c r="BA251" i="40"/>
  <c r="AZ251" i="40"/>
  <c r="AY251" i="40"/>
  <c r="AX251" i="40"/>
  <c r="AW251" i="40"/>
  <c r="BA250" i="40"/>
  <c r="AZ250" i="40"/>
  <c r="AY250" i="40"/>
  <c r="AX250" i="40"/>
  <c r="AW250" i="40"/>
  <c r="BA249" i="40"/>
  <c r="AZ249" i="40"/>
  <c r="AY249" i="40"/>
  <c r="AX249" i="40"/>
  <c r="AW249" i="40"/>
  <c r="BA248" i="40"/>
  <c r="AZ248" i="40"/>
  <c r="AY248" i="40"/>
  <c r="AX248" i="40"/>
  <c r="AW248" i="40"/>
  <c r="BA247" i="40"/>
  <c r="AZ247" i="40"/>
  <c r="AY247" i="40"/>
  <c r="AX247" i="40"/>
  <c r="AW247" i="40"/>
  <c r="BA246" i="40"/>
  <c r="AZ246" i="40"/>
  <c r="AY246" i="40"/>
  <c r="AX246" i="40"/>
  <c r="AW246" i="40"/>
  <c r="BA245" i="40"/>
  <c r="AZ245" i="40"/>
  <c r="AY245" i="40"/>
  <c r="AX245" i="40"/>
  <c r="AW245" i="40"/>
  <c r="BA244" i="40"/>
  <c r="AZ244" i="40"/>
  <c r="AY244" i="40"/>
  <c r="AX244" i="40"/>
  <c r="AW244" i="40"/>
  <c r="BA243" i="40"/>
  <c r="AZ243" i="40"/>
  <c r="AY243" i="40"/>
  <c r="AX243" i="40"/>
  <c r="AW243" i="40"/>
  <c r="BA242" i="40"/>
  <c r="AZ242" i="40"/>
  <c r="AY242" i="40"/>
  <c r="AX242" i="40"/>
  <c r="AW242" i="40"/>
  <c r="BA241" i="40"/>
  <c r="AZ241" i="40"/>
  <c r="AY241" i="40"/>
  <c r="AX241" i="40"/>
  <c r="AW241" i="40"/>
  <c r="BA240" i="40"/>
  <c r="AZ240" i="40"/>
  <c r="AY240" i="40"/>
  <c r="AX240" i="40"/>
  <c r="AW240" i="40"/>
  <c r="BA239" i="40"/>
  <c r="AZ239" i="40"/>
  <c r="AY239" i="40"/>
  <c r="AX239" i="40"/>
  <c r="AW239" i="40"/>
  <c r="BA238" i="40"/>
  <c r="AZ238" i="40"/>
  <c r="AY238" i="40"/>
  <c r="AX238" i="40"/>
  <c r="AW238" i="40"/>
  <c r="BA237" i="40"/>
  <c r="AZ237" i="40"/>
  <c r="AY237" i="40"/>
  <c r="AX237" i="40"/>
  <c r="AW237" i="40"/>
  <c r="BA236" i="40"/>
  <c r="AZ236" i="40"/>
  <c r="AY236" i="40"/>
  <c r="AX236" i="40"/>
  <c r="AW236" i="40"/>
  <c r="BA235" i="40"/>
  <c r="AZ235" i="40"/>
  <c r="AY235" i="40"/>
  <c r="AX235" i="40"/>
  <c r="AW235" i="40"/>
  <c r="BA234" i="40"/>
  <c r="AZ234" i="40"/>
  <c r="AY234" i="40"/>
  <c r="AX234" i="40"/>
  <c r="AW234" i="40"/>
  <c r="BA233" i="40"/>
  <c r="AZ233" i="40"/>
  <c r="AY233" i="40"/>
  <c r="AX233" i="40"/>
  <c r="AW233" i="40"/>
  <c r="BA232" i="40"/>
  <c r="AZ232" i="40"/>
  <c r="AY232" i="40"/>
  <c r="AX232" i="40"/>
  <c r="AW232" i="40"/>
  <c r="BA231" i="40"/>
  <c r="AZ231" i="40"/>
  <c r="AY231" i="40"/>
  <c r="AX231" i="40"/>
  <c r="AW231" i="40"/>
  <c r="BA230" i="40"/>
  <c r="AZ230" i="40"/>
  <c r="AY230" i="40"/>
  <c r="AX230" i="40"/>
  <c r="AW230" i="40"/>
  <c r="BA229" i="40"/>
  <c r="AZ229" i="40"/>
  <c r="AY229" i="40"/>
  <c r="AX229" i="40"/>
  <c r="AW229" i="40"/>
  <c r="BA228" i="40"/>
  <c r="AZ228" i="40"/>
  <c r="AY228" i="40"/>
  <c r="AX228" i="40"/>
  <c r="AW228" i="40"/>
  <c r="BA227" i="40"/>
  <c r="AZ227" i="40"/>
  <c r="AY227" i="40"/>
  <c r="AX227" i="40"/>
  <c r="AW227" i="40"/>
  <c r="BA226" i="40"/>
  <c r="AZ226" i="40"/>
  <c r="AY226" i="40"/>
  <c r="AX226" i="40"/>
  <c r="AW226" i="40"/>
  <c r="BA225" i="40"/>
  <c r="AZ225" i="40"/>
  <c r="AY225" i="40"/>
  <c r="AX225" i="40"/>
  <c r="AW225" i="40"/>
  <c r="BA224" i="40"/>
  <c r="AZ224" i="40"/>
  <c r="AY224" i="40"/>
  <c r="AX224" i="40"/>
  <c r="AW224" i="40"/>
  <c r="BA223" i="40"/>
  <c r="AZ223" i="40"/>
  <c r="AY223" i="40"/>
  <c r="AX223" i="40"/>
  <c r="AW223" i="40"/>
  <c r="BA222" i="40"/>
  <c r="AZ222" i="40"/>
  <c r="AY222" i="40"/>
  <c r="AX222" i="40"/>
  <c r="AW222" i="40"/>
  <c r="BA221" i="40"/>
  <c r="AZ221" i="40"/>
  <c r="AY221" i="40"/>
  <c r="AX221" i="40"/>
  <c r="AW221" i="40"/>
  <c r="BA220" i="40"/>
  <c r="AZ220" i="40"/>
  <c r="AY220" i="40"/>
  <c r="AX220" i="40"/>
  <c r="AW220" i="40"/>
  <c r="BA219" i="40"/>
  <c r="AZ219" i="40"/>
  <c r="AY219" i="40"/>
  <c r="AX219" i="40"/>
  <c r="AW219" i="40"/>
  <c r="BA218" i="40"/>
  <c r="AZ218" i="40"/>
  <c r="AY218" i="40"/>
  <c r="AX218" i="40"/>
  <c r="AW218" i="40"/>
  <c r="BA217" i="40"/>
  <c r="AZ217" i="40"/>
  <c r="AY217" i="40"/>
  <c r="AX217" i="40"/>
  <c r="AW217" i="40"/>
  <c r="BA216" i="40"/>
  <c r="AZ216" i="40"/>
  <c r="AY216" i="40"/>
  <c r="AX216" i="40"/>
  <c r="AW216" i="40"/>
  <c r="BA215" i="40"/>
  <c r="AZ215" i="40"/>
  <c r="AY215" i="40"/>
  <c r="AX215" i="40"/>
  <c r="AW215" i="40"/>
  <c r="BA214" i="40"/>
  <c r="AZ214" i="40"/>
  <c r="AY214" i="40"/>
  <c r="AX214" i="40"/>
  <c r="AW214" i="40"/>
  <c r="BA213" i="40"/>
  <c r="AZ213" i="40"/>
  <c r="AY213" i="40"/>
  <c r="AX213" i="40"/>
  <c r="AW213" i="40"/>
  <c r="BA212" i="40"/>
  <c r="AZ212" i="40"/>
  <c r="AY212" i="40"/>
  <c r="AX212" i="40"/>
  <c r="AW212" i="40"/>
  <c r="BA211" i="40"/>
  <c r="AZ211" i="40"/>
  <c r="AY211" i="40"/>
  <c r="AX211" i="40"/>
  <c r="AW211" i="40"/>
  <c r="BA210" i="40"/>
  <c r="AZ210" i="40"/>
  <c r="AY210" i="40"/>
  <c r="AX210" i="40"/>
  <c r="AW210" i="40"/>
  <c r="BA209" i="40"/>
  <c r="AZ209" i="40"/>
  <c r="AY209" i="40"/>
  <c r="AX209" i="40"/>
  <c r="AW209" i="40"/>
  <c r="BA208" i="40"/>
  <c r="AZ208" i="40"/>
  <c r="AY208" i="40"/>
  <c r="AX208" i="40"/>
  <c r="AW208" i="40"/>
  <c r="BA207" i="40"/>
  <c r="AZ207" i="40"/>
  <c r="AY207" i="40"/>
  <c r="AX207" i="40"/>
  <c r="AW207" i="40"/>
  <c r="BA206" i="40"/>
  <c r="AZ206" i="40"/>
  <c r="AY206" i="40"/>
  <c r="AX206" i="40"/>
  <c r="AW206" i="40"/>
  <c r="BA205" i="40"/>
  <c r="AZ205" i="40"/>
  <c r="AY205" i="40"/>
  <c r="AX205" i="40"/>
  <c r="AW205" i="40"/>
  <c r="BA204" i="40"/>
  <c r="AZ204" i="40"/>
  <c r="AY204" i="40"/>
  <c r="AX204" i="40"/>
  <c r="AW204" i="40"/>
  <c r="BA203" i="40"/>
  <c r="AZ203" i="40"/>
  <c r="AY203" i="40"/>
  <c r="AX203" i="40"/>
  <c r="AW203" i="40"/>
  <c r="BA202" i="40"/>
  <c r="AZ202" i="40"/>
  <c r="AY202" i="40"/>
  <c r="AX202" i="40"/>
  <c r="AW202" i="40"/>
  <c r="BA201" i="40"/>
  <c r="AZ201" i="40"/>
  <c r="AY201" i="40"/>
  <c r="AX201" i="40"/>
  <c r="AW201" i="40"/>
  <c r="BA200" i="40"/>
  <c r="AZ200" i="40"/>
  <c r="AY200" i="40"/>
  <c r="AX200" i="40"/>
  <c r="AW200" i="40"/>
  <c r="BA199" i="40"/>
  <c r="AZ199" i="40"/>
  <c r="AY199" i="40"/>
  <c r="AX199" i="40"/>
  <c r="AW199" i="40"/>
  <c r="BA198" i="40"/>
  <c r="AZ198" i="40"/>
  <c r="AY198" i="40"/>
  <c r="AX198" i="40"/>
  <c r="AW198" i="40"/>
  <c r="BA197" i="40"/>
  <c r="AZ197" i="40"/>
  <c r="AY197" i="40"/>
  <c r="AX197" i="40"/>
  <c r="AW197" i="40"/>
  <c r="BA196" i="40"/>
  <c r="AZ196" i="40"/>
  <c r="AY196" i="40"/>
  <c r="AX196" i="40"/>
  <c r="AW196" i="40"/>
  <c r="BA195" i="40"/>
  <c r="AZ195" i="40"/>
  <c r="AY195" i="40"/>
  <c r="AX195" i="40"/>
  <c r="AW195" i="40"/>
  <c r="BA194" i="40"/>
  <c r="AZ194" i="40"/>
  <c r="AY194" i="40"/>
  <c r="AX194" i="40"/>
  <c r="AW194" i="40"/>
  <c r="BA193" i="40"/>
  <c r="AZ193" i="40"/>
  <c r="AY193" i="40"/>
  <c r="AX193" i="40"/>
  <c r="AW193" i="40"/>
  <c r="BA192" i="40"/>
  <c r="AZ192" i="40"/>
  <c r="AY192" i="40"/>
  <c r="AX192" i="40"/>
  <c r="AW192" i="40"/>
  <c r="BA191" i="40"/>
  <c r="AZ191" i="40"/>
  <c r="AY191" i="40"/>
  <c r="AX191" i="40"/>
  <c r="AW191" i="40"/>
  <c r="BA190" i="40"/>
  <c r="AZ190" i="40"/>
  <c r="AY190" i="40"/>
  <c r="AX190" i="40"/>
  <c r="AW190" i="40"/>
  <c r="BA189" i="40"/>
  <c r="AZ189" i="40"/>
  <c r="AY189" i="40"/>
  <c r="AX189" i="40"/>
  <c r="AW189" i="40"/>
  <c r="BA188" i="40"/>
  <c r="AZ188" i="40"/>
  <c r="AY188" i="40"/>
  <c r="AX188" i="40"/>
  <c r="AW188" i="40"/>
  <c r="BA187" i="40"/>
  <c r="AZ187" i="40"/>
  <c r="AY187" i="40"/>
  <c r="AX187" i="40"/>
  <c r="AW187" i="40"/>
  <c r="BA186" i="40"/>
  <c r="AZ186" i="40"/>
  <c r="AY186" i="40"/>
  <c r="AX186" i="40"/>
  <c r="AW186" i="40"/>
  <c r="BA185" i="40"/>
  <c r="AZ185" i="40"/>
  <c r="AY185" i="40"/>
  <c r="AX185" i="40"/>
  <c r="AW185" i="40"/>
  <c r="BA184" i="40"/>
  <c r="AZ184" i="40"/>
  <c r="AY184" i="40"/>
  <c r="AX184" i="40"/>
  <c r="AW184" i="40"/>
  <c r="BA183" i="40"/>
  <c r="AZ183" i="40"/>
  <c r="AY183" i="40"/>
  <c r="AX183" i="40"/>
  <c r="AW183" i="40"/>
  <c r="BA182" i="40"/>
  <c r="AZ182" i="40"/>
  <c r="AY182" i="40"/>
  <c r="AX182" i="40"/>
  <c r="AW182" i="40"/>
  <c r="BA181" i="40"/>
  <c r="AZ181" i="40"/>
  <c r="AY181" i="40"/>
  <c r="AX181" i="40"/>
  <c r="AW181" i="40"/>
  <c r="BA180" i="40"/>
  <c r="AZ180" i="40"/>
  <c r="AY180" i="40"/>
  <c r="AX180" i="40"/>
  <c r="AW180" i="40"/>
  <c r="BA179" i="40"/>
  <c r="AZ179" i="40"/>
  <c r="AY179" i="40"/>
  <c r="AX179" i="40"/>
  <c r="AW179" i="40"/>
  <c r="BA178" i="40"/>
  <c r="AZ178" i="40"/>
  <c r="AY178" i="40"/>
  <c r="AX178" i="40"/>
  <c r="AW178" i="40"/>
  <c r="BA177" i="40"/>
  <c r="AZ177" i="40"/>
  <c r="AY177" i="40"/>
  <c r="AX177" i="40"/>
  <c r="AW177" i="40"/>
  <c r="BA176" i="40"/>
  <c r="AZ176" i="40"/>
  <c r="AY176" i="40"/>
  <c r="AX176" i="40"/>
  <c r="AW176" i="40"/>
  <c r="BA175" i="40"/>
  <c r="AZ175" i="40"/>
  <c r="AY175" i="40"/>
  <c r="AX175" i="40"/>
  <c r="AW175" i="40"/>
  <c r="BA174" i="40"/>
  <c r="AZ174" i="40"/>
  <c r="AY174" i="40"/>
  <c r="AX174" i="40"/>
  <c r="AW174" i="40"/>
  <c r="BA173" i="40"/>
  <c r="AZ173" i="40"/>
  <c r="AY173" i="40"/>
  <c r="AX173" i="40"/>
  <c r="AW173" i="40"/>
  <c r="BA172" i="40"/>
  <c r="AZ172" i="40"/>
  <c r="AY172" i="40"/>
  <c r="AX172" i="40"/>
  <c r="AW172" i="40"/>
  <c r="BA171" i="40"/>
  <c r="AZ171" i="40"/>
  <c r="AY171" i="40"/>
  <c r="AX171" i="40"/>
  <c r="AW171" i="40"/>
  <c r="BA170" i="40"/>
  <c r="AZ170" i="40"/>
  <c r="AY170" i="40"/>
  <c r="AX170" i="40"/>
  <c r="AW170" i="40"/>
  <c r="BA169" i="40"/>
  <c r="AZ169" i="40"/>
  <c r="AY169" i="40"/>
  <c r="AX169" i="40"/>
  <c r="AW169" i="40"/>
  <c r="BA168" i="40"/>
  <c r="AZ168" i="40"/>
  <c r="AY168" i="40"/>
  <c r="AX168" i="40"/>
  <c r="AW168" i="40"/>
  <c r="BA167" i="40"/>
  <c r="AZ167" i="40"/>
  <c r="AY167" i="40"/>
  <c r="AX167" i="40"/>
  <c r="AW167" i="40"/>
  <c r="BA166" i="40"/>
  <c r="AZ166" i="40"/>
  <c r="AY166" i="40"/>
  <c r="AX166" i="40"/>
  <c r="AW166" i="40"/>
  <c r="BA165" i="40"/>
  <c r="AZ165" i="40"/>
  <c r="AY165" i="40"/>
  <c r="AX165" i="40"/>
  <c r="AW165" i="40"/>
  <c r="BA164" i="40"/>
  <c r="AZ164" i="40"/>
  <c r="AY164" i="40"/>
  <c r="AX164" i="40"/>
  <c r="AW164" i="40"/>
  <c r="BA163" i="40"/>
  <c r="AZ163" i="40"/>
  <c r="AY163" i="40"/>
  <c r="AX163" i="40"/>
  <c r="AW163" i="40"/>
  <c r="BA162" i="40"/>
  <c r="AZ162" i="40"/>
  <c r="AY162" i="40"/>
  <c r="AX162" i="40"/>
  <c r="AW162" i="40"/>
  <c r="BA161" i="40"/>
  <c r="AZ161" i="40"/>
  <c r="AY161" i="40"/>
  <c r="AX161" i="40"/>
  <c r="AW161" i="40"/>
  <c r="BA160" i="40"/>
  <c r="AZ160" i="40"/>
  <c r="AY160" i="40"/>
  <c r="AX160" i="40"/>
  <c r="AW160" i="40"/>
  <c r="BA159" i="40"/>
  <c r="AZ159" i="40"/>
  <c r="AY159" i="40"/>
  <c r="AX159" i="40"/>
  <c r="AW159" i="40"/>
  <c r="BA158" i="40"/>
  <c r="AZ158" i="40"/>
  <c r="AY158" i="40"/>
  <c r="AX158" i="40"/>
  <c r="AW158" i="40"/>
  <c r="BA157" i="40"/>
  <c r="AZ157" i="40"/>
  <c r="AY157" i="40"/>
  <c r="AX157" i="40"/>
  <c r="AW157" i="40"/>
  <c r="BA156" i="40"/>
  <c r="AZ156" i="40"/>
  <c r="AY156" i="40"/>
  <c r="AX156" i="40"/>
  <c r="AW156" i="40"/>
  <c r="BA155" i="40"/>
  <c r="AZ155" i="40"/>
  <c r="AY155" i="40"/>
  <c r="AX155" i="40"/>
  <c r="AW155" i="40"/>
  <c r="BA154" i="40"/>
  <c r="AZ154" i="40"/>
  <c r="AY154" i="40"/>
  <c r="AX154" i="40"/>
  <c r="AW154" i="40"/>
  <c r="BA153" i="40"/>
  <c r="AZ153" i="40"/>
  <c r="AY153" i="40"/>
  <c r="AX153" i="40"/>
  <c r="AW153" i="40"/>
  <c r="BA152" i="40"/>
  <c r="AZ152" i="40"/>
  <c r="AY152" i="40"/>
  <c r="AX152" i="40"/>
  <c r="AW152" i="40"/>
  <c r="BA151" i="40"/>
  <c r="AZ151" i="40"/>
  <c r="AY151" i="40"/>
  <c r="AX151" i="40"/>
  <c r="AW151" i="40"/>
  <c r="BA150" i="40"/>
  <c r="AZ150" i="40"/>
  <c r="AY150" i="40"/>
  <c r="AX150" i="40"/>
  <c r="AW150" i="40"/>
  <c r="BA149" i="40"/>
  <c r="AZ149" i="40"/>
  <c r="AY149" i="40"/>
  <c r="AX149" i="40"/>
  <c r="AW149" i="40"/>
  <c r="BA148" i="40"/>
  <c r="AZ148" i="40"/>
  <c r="AY148" i="40"/>
  <c r="AX148" i="40"/>
  <c r="AW148" i="40"/>
  <c r="BA147" i="40"/>
  <c r="AZ147" i="40"/>
  <c r="AY147" i="40"/>
  <c r="AX147" i="40"/>
  <c r="AW147" i="40"/>
  <c r="BA146" i="40"/>
  <c r="AZ146" i="40"/>
  <c r="AY146" i="40"/>
  <c r="AX146" i="40"/>
  <c r="AW146" i="40"/>
  <c r="BA145" i="40"/>
  <c r="AZ145" i="40"/>
  <c r="AY145" i="40"/>
  <c r="AX145" i="40"/>
  <c r="AW145" i="40"/>
  <c r="BA144" i="40"/>
  <c r="AZ144" i="40"/>
  <c r="AY144" i="40"/>
  <c r="AX144" i="40"/>
  <c r="AW144" i="40"/>
  <c r="BA143" i="40"/>
  <c r="AZ143" i="40"/>
  <c r="AY143" i="40"/>
  <c r="AX143" i="40"/>
  <c r="AW143" i="40"/>
  <c r="BA142" i="40"/>
  <c r="AZ142" i="40"/>
  <c r="AY142" i="40"/>
  <c r="AX142" i="40"/>
  <c r="AW142" i="40"/>
  <c r="BA141" i="40"/>
  <c r="AZ141" i="40"/>
  <c r="AY141" i="40"/>
  <c r="AX141" i="40"/>
  <c r="AW141" i="40"/>
  <c r="BA140" i="40"/>
  <c r="AZ140" i="40"/>
  <c r="AY140" i="40"/>
  <c r="AX140" i="40"/>
  <c r="AW140" i="40"/>
  <c r="BA139" i="40"/>
  <c r="AZ139" i="40"/>
  <c r="AY139" i="40"/>
  <c r="AX139" i="40"/>
  <c r="AW139" i="40"/>
  <c r="BA138" i="40"/>
  <c r="AZ138" i="40"/>
  <c r="AY138" i="40"/>
  <c r="AX138" i="40"/>
  <c r="AW138" i="40"/>
  <c r="BA137" i="40"/>
  <c r="AZ137" i="40"/>
  <c r="AY137" i="40"/>
  <c r="AX137" i="40"/>
  <c r="AW137" i="40"/>
  <c r="BA136" i="40"/>
  <c r="AZ136" i="40"/>
  <c r="AY136" i="40"/>
  <c r="AX136" i="40"/>
  <c r="AW136" i="40"/>
  <c r="BA135" i="40"/>
  <c r="AZ135" i="40"/>
  <c r="AY135" i="40"/>
  <c r="AX135" i="40"/>
  <c r="AW135" i="40"/>
  <c r="BA134" i="40"/>
  <c r="AZ134" i="40"/>
  <c r="AY134" i="40"/>
  <c r="AX134" i="40"/>
  <c r="AW134" i="40"/>
  <c r="BA133" i="40"/>
  <c r="AZ133" i="40"/>
  <c r="AY133" i="40"/>
  <c r="AX133" i="40"/>
  <c r="AW133" i="40"/>
  <c r="BA132" i="40"/>
  <c r="AZ132" i="40"/>
  <c r="AY132" i="40"/>
  <c r="AX132" i="40"/>
  <c r="AW132" i="40"/>
  <c r="BA131" i="40"/>
  <c r="AZ131" i="40"/>
  <c r="AY131" i="40"/>
  <c r="AX131" i="40"/>
  <c r="AW131" i="40"/>
  <c r="BA130" i="40"/>
  <c r="AZ130" i="40"/>
  <c r="AY130" i="40"/>
  <c r="AX130" i="40"/>
  <c r="AW130" i="40"/>
  <c r="BA129" i="40"/>
  <c r="AZ129" i="40"/>
  <c r="AY129" i="40"/>
  <c r="AX129" i="40"/>
  <c r="AW129" i="40"/>
  <c r="BA128" i="40"/>
  <c r="AZ128" i="40"/>
  <c r="AY128" i="40"/>
  <c r="AX128" i="40"/>
  <c r="AW128" i="40"/>
  <c r="BA127" i="40"/>
  <c r="AZ127" i="40"/>
  <c r="AY127" i="40"/>
  <c r="AX127" i="40"/>
  <c r="AW127" i="40"/>
  <c r="BA126" i="40"/>
  <c r="AZ126" i="40"/>
  <c r="AY126" i="40"/>
  <c r="AX126" i="40"/>
  <c r="AW126" i="40"/>
  <c r="BA125" i="40"/>
  <c r="AZ125" i="40"/>
  <c r="AY125" i="40"/>
  <c r="AX125" i="40"/>
  <c r="AW125" i="40"/>
  <c r="BA124" i="40"/>
  <c r="AZ124" i="40"/>
  <c r="AY124" i="40"/>
  <c r="AX124" i="40"/>
  <c r="AW124" i="40"/>
  <c r="BA123" i="40"/>
  <c r="AZ123" i="40"/>
  <c r="AY123" i="40"/>
  <c r="AX123" i="40"/>
  <c r="AW123" i="40"/>
  <c r="BA122" i="40"/>
  <c r="AZ122" i="40"/>
  <c r="AY122" i="40"/>
  <c r="AX122" i="40"/>
  <c r="AW122" i="40"/>
  <c r="BA121" i="40"/>
  <c r="AZ121" i="40"/>
  <c r="AY121" i="40"/>
  <c r="AX121" i="40"/>
  <c r="AW121" i="40"/>
  <c r="BA120" i="40"/>
  <c r="AZ120" i="40"/>
  <c r="AY120" i="40"/>
  <c r="AX120" i="40"/>
  <c r="AW120" i="40"/>
  <c r="BA119" i="40"/>
  <c r="AZ119" i="40"/>
  <c r="AY119" i="40"/>
  <c r="AX119" i="40"/>
  <c r="AW119" i="40"/>
  <c r="BA118" i="40"/>
  <c r="AZ118" i="40"/>
  <c r="AY118" i="40"/>
  <c r="AX118" i="40"/>
  <c r="AW118" i="40"/>
  <c r="BA117" i="40"/>
  <c r="AZ117" i="40"/>
  <c r="AY117" i="40"/>
  <c r="AX117" i="40"/>
  <c r="AW117" i="40"/>
  <c r="BA116" i="40"/>
  <c r="AZ116" i="40"/>
  <c r="AY116" i="40"/>
  <c r="AX116" i="40"/>
  <c r="AW116" i="40"/>
  <c r="BA115" i="40"/>
  <c r="AZ115" i="40"/>
  <c r="AY115" i="40"/>
  <c r="AX115" i="40"/>
  <c r="AW115" i="40"/>
  <c r="BA114" i="40"/>
  <c r="AZ114" i="40"/>
  <c r="AY114" i="40"/>
  <c r="AX114" i="40"/>
  <c r="AW114" i="40"/>
  <c r="BA113" i="40"/>
  <c r="AZ113" i="40"/>
  <c r="AY113" i="40"/>
  <c r="AX113" i="40"/>
  <c r="AW113" i="40"/>
  <c r="BA112" i="40"/>
  <c r="AZ112" i="40"/>
  <c r="AY112" i="40"/>
  <c r="AX112" i="40"/>
  <c r="AW112" i="40"/>
  <c r="BA111" i="40"/>
  <c r="AZ111" i="40"/>
  <c r="AY111" i="40"/>
  <c r="AX111" i="40"/>
  <c r="AW111" i="40"/>
  <c r="BA110" i="40"/>
  <c r="AZ110" i="40"/>
  <c r="AY110" i="40"/>
  <c r="AX110" i="40"/>
  <c r="AW110" i="40"/>
  <c r="BA109" i="40"/>
  <c r="AZ109" i="40"/>
  <c r="AY109" i="40"/>
  <c r="AX109" i="40"/>
  <c r="AW109" i="40"/>
  <c r="BA108" i="40"/>
  <c r="AZ108" i="40"/>
  <c r="AY108" i="40"/>
  <c r="AX108" i="40"/>
  <c r="AW108" i="40"/>
  <c r="BA107" i="40"/>
  <c r="AZ107" i="40"/>
  <c r="AY107" i="40"/>
  <c r="AX107" i="40"/>
  <c r="AW107" i="40"/>
  <c r="BA106" i="40"/>
  <c r="AZ106" i="40"/>
  <c r="AY106" i="40"/>
  <c r="AX106" i="40"/>
  <c r="AW106" i="40"/>
  <c r="BA105" i="40"/>
  <c r="AZ105" i="40"/>
  <c r="AY105" i="40"/>
  <c r="AX105" i="40"/>
  <c r="AW105" i="40"/>
  <c r="BA104" i="40"/>
  <c r="AZ104" i="40"/>
  <c r="AY104" i="40"/>
  <c r="AX104" i="40"/>
  <c r="AW104" i="40"/>
  <c r="BA103" i="40"/>
  <c r="AZ103" i="40"/>
  <c r="AY103" i="40"/>
  <c r="AX103" i="40"/>
  <c r="AW103" i="40"/>
  <c r="BA102" i="40"/>
  <c r="AZ102" i="40"/>
  <c r="AY102" i="40"/>
  <c r="AX102" i="40"/>
  <c r="AW102" i="40"/>
  <c r="BA101" i="40"/>
  <c r="AZ101" i="40"/>
  <c r="AY101" i="40"/>
  <c r="AX101" i="40"/>
  <c r="AW101" i="40"/>
  <c r="BA100" i="40"/>
  <c r="AZ100" i="40"/>
  <c r="AY100" i="40"/>
  <c r="AX100" i="40"/>
  <c r="AW100" i="40"/>
  <c r="BA99" i="40"/>
  <c r="AZ99" i="40"/>
  <c r="AY99" i="40"/>
  <c r="AX99" i="40"/>
  <c r="AW99" i="40"/>
  <c r="BA98" i="40"/>
  <c r="AZ98" i="40"/>
  <c r="AY98" i="40"/>
  <c r="AX98" i="40"/>
  <c r="AW98" i="40"/>
  <c r="BA97" i="40"/>
  <c r="AZ97" i="40"/>
  <c r="AY97" i="40"/>
  <c r="AX97" i="40"/>
  <c r="AW97" i="40"/>
  <c r="BA96" i="40"/>
  <c r="AZ96" i="40"/>
  <c r="AY96" i="40"/>
  <c r="AX96" i="40"/>
  <c r="AW96" i="40"/>
  <c r="BA95" i="40"/>
  <c r="AZ95" i="40"/>
  <c r="AY95" i="40"/>
  <c r="AX95" i="40"/>
  <c r="AW95" i="40"/>
  <c r="BA94" i="40"/>
  <c r="AZ94" i="40"/>
  <c r="AY94" i="40"/>
  <c r="AX94" i="40"/>
  <c r="AW94" i="40"/>
  <c r="BA93" i="40"/>
  <c r="AZ93" i="40"/>
  <c r="AY93" i="40"/>
  <c r="AX93" i="40"/>
  <c r="AW93" i="40"/>
  <c r="BA92" i="40"/>
  <c r="AZ92" i="40"/>
  <c r="AY92" i="40"/>
  <c r="AX92" i="40"/>
  <c r="AW92" i="40"/>
  <c r="BA91" i="40"/>
  <c r="AZ91" i="40"/>
  <c r="AY91" i="40"/>
  <c r="AX91" i="40"/>
  <c r="AW91" i="40"/>
  <c r="BA90" i="40"/>
  <c r="AZ90" i="40"/>
  <c r="AY90" i="40"/>
  <c r="AX90" i="40"/>
  <c r="AW90" i="40"/>
  <c r="BA89" i="40"/>
  <c r="AZ89" i="40"/>
  <c r="AY89" i="40"/>
  <c r="AX89" i="40"/>
  <c r="AW89" i="40"/>
  <c r="BA88" i="40"/>
  <c r="AZ88" i="40"/>
  <c r="AY88" i="40"/>
  <c r="AX88" i="40"/>
  <c r="AW88" i="40"/>
  <c r="BA87" i="40"/>
  <c r="AZ87" i="40"/>
  <c r="AY87" i="40"/>
  <c r="AX87" i="40"/>
  <c r="AW87" i="40"/>
  <c r="BA86" i="40"/>
  <c r="AZ86" i="40"/>
  <c r="AY86" i="40"/>
  <c r="AX86" i="40"/>
  <c r="AW86" i="40"/>
  <c r="BA85" i="40"/>
  <c r="AZ85" i="40"/>
  <c r="AY85" i="40"/>
  <c r="AX85" i="40"/>
  <c r="AW85" i="40"/>
  <c r="BA84" i="40"/>
  <c r="AZ84" i="40"/>
  <c r="AY84" i="40"/>
  <c r="AX84" i="40"/>
  <c r="AW84" i="40"/>
  <c r="BA83" i="40"/>
  <c r="AZ83" i="40"/>
  <c r="AY83" i="40"/>
  <c r="AX83" i="40"/>
  <c r="AW83" i="40"/>
  <c r="BA82" i="40"/>
  <c r="AZ82" i="40"/>
  <c r="AY82" i="40"/>
  <c r="AX82" i="40"/>
  <c r="AW82" i="40"/>
  <c r="BA81" i="40"/>
  <c r="AZ81" i="40"/>
  <c r="AY81" i="40"/>
  <c r="AX81" i="40"/>
  <c r="AW81" i="40"/>
  <c r="BA80" i="40"/>
  <c r="AZ80" i="40"/>
  <c r="AY80" i="40"/>
  <c r="AX80" i="40"/>
  <c r="AW80" i="40"/>
  <c r="BA79" i="40"/>
  <c r="AZ79" i="40"/>
  <c r="AY79" i="40"/>
  <c r="AX79" i="40"/>
  <c r="AW79" i="40"/>
  <c r="BA78" i="40"/>
  <c r="AZ78" i="40"/>
  <c r="AY78" i="40"/>
  <c r="AX78" i="40"/>
  <c r="AW78" i="40"/>
  <c r="BA77" i="40"/>
  <c r="AZ77" i="40"/>
  <c r="AY77" i="40"/>
  <c r="AX77" i="40"/>
  <c r="AW77" i="40"/>
  <c r="BA76" i="40"/>
  <c r="AZ76" i="40"/>
  <c r="AY76" i="40"/>
  <c r="AX76" i="40"/>
  <c r="AW76" i="40"/>
  <c r="BA75" i="40"/>
  <c r="AZ75" i="40"/>
  <c r="AY75" i="40"/>
  <c r="AX75" i="40"/>
  <c r="AW75" i="40"/>
  <c r="BA74" i="40"/>
  <c r="AZ74" i="40"/>
  <c r="AY74" i="40"/>
  <c r="AX74" i="40"/>
  <c r="AW74" i="40"/>
  <c r="BA73" i="40"/>
  <c r="AZ73" i="40"/>
  <c r="AY73" i="40"/>
  <c r="AX73" i="40"/>
  <c r="AW73" i="40"/>
  <c r="BA72" i="40"/>
  <c r="AZ72" i="40"/>
  <c r="AY72" i="40"/>
  <c r="AX72" i="40"/>
  <c r="AW72" i="40"/>
  <c r="BA71" i="40"/>
  <c r="AZ71" i="40"/>
  <c r="AY71" i="40"/>
  <c r="AX71" i="40"/>
  <c r="AW71" i="40"/>
  <c r="BA70" i="40"/>
  <c r="AZ70" i="40"/>
  <c r="AY70" i="40"/>
  <c r="AX70" i="40"/>
  <c r="AW70" i="40"/>
  <c r="BA69" i="40"/>
  <c r="AZ69" i="40"/>
  <c r="AY69" i="40"/>
  <c r="AX69" i="40"/>
  <c r="AW69" i="40"/>
  <c r="BA68" i="40"/>
  <c r="AZ68" i="40"/>
  <c r="AY68" i="40"/>
  <c r="AX68" i="40"/>
  <c r="AW68" i="40"/>
  <c r="BA67" i="40"/>
  <c r="AZ67" i="40"/>
  <c r="AY67" i="40"/>
  <c r="AX67" i="40"/>
  <c r="AW67" i="40"/>
  <c r="BA66" i="40"/>
  <c r="AZ66" i="40"/>
  <c r="AY66" i="40"/>
  <c r="AX66" i="40"/>
  <c r="AW66" i="40"/>
  <c r="BA65" i="40"/>
  <c r="AZ65" i="40"/>
  <c r="AY65" i="40"/>
  <c r="AX65" i="40"/>
  <c r="AW65" i="40"/>
  <c r="BA64" i="40"/>
  <c r="AZ64" i="40"/>
  <c r="AY64" i="40"/>
  <c r="AX64" i="40"/>
  <c r="AW64" i="40"/>
  <c r="BA63" i="40"/>
  <c r="AZ63" i="40"/>
  <c r="AY63" i="40"/>
  <c r="AX63" i="40"/>
  <c r="AW63" i="40"/>
  <c r="BA62" i="40"/>
  <c r="AZ62" i="40"/>
  <c r="AY62" i="40"/>
  <c r="AX62" i="40"/>
  <c r="AW62" i="40"/>
  <c r="BA61" i="40"/>
  <c r="AZ61" i="40"/>
  <c r="AY61" i="40"/>
  <c r="AX61" i="40"/>
  <c r="AW61" i="40"/>
  <c r="BA60" i="40"/>
  <c r="AZ60" i="40"/>
  <c r="AY60" i="40"/>
  <c r="AX60" i="40"/>
  <c r="AW60" i="40"/>
  <c r="BA59" i="40"/>
  <c r="AZ59" i="40"/>
  <c r="AY59" i="40"/>
  <c r="AX59" i="40"/>
  <c r="AW59" i="40"/>
  <c r="BA58" i="40"/>
  <c r="AZ58" i="40"/>
  <c r="AY58" i="40"/>
  <c r="AX58" i="40"/>
  <c r="AW58" i="40"/>
  <c r="BA57" i="40"/>
  <c r="AZ57" i="40"/>
  <c r="AY57" i="40"/>
  <c r="AX57" i="40"/>
  <c r="AW57" i="40"/>
  <c r="BA56" i="40"/>
  <c r="AZ56" i="40"/>
  <c r="AY56" i="40"/>
  <c r="AX56" i="40"/>
  <c r="AW56" i="40"/>
  <c r="BA55" i="40"/>
  <c r="AZ55" i="40"/>
  <c r="AY55" i="40"/>
  <c r="AX55" i="40"/>
  <c r="AW55" i="40"/>
  <c r="BA54" i="40"/>
  <c r="AZ54" i="40"/>
  <c r="AY54" i="40"/>
  <c r="AX54" i="40"/>
  <c r="AW54" i="40"/>
  <c r="BA53" i="40"/>
  <c r="AZ53" i="40"/>
  <c r="AY53" i="40"/>
  <c r="AX53" i="40"/>
  <c r="AW53" i="40"/>
  <c r="BA52" i="40"/>
  <c r="AZ52" i="40"/>
  <c r="AY52" i="40"/>
  <c r="AX52" i="40"/>
  <c r="AW52" i="40"/>
  <c r="BA51" i="40"/>
  <c r="AZ51" i="40"/>
  <c r="AY51" i="40"/>
  <c r="AX51" i="40"/>
  <c r="AW51" i="40"/>
  <c r="BA50" i="40"/>
  <c r="AZ50" i="40"/>
  <c r="AY50" i="40"/>
  <c r="AX50" i="40"/>
  <c r="AW50" i="40"/>
  <c r="BA49" i="40"/>
  <c r="AZ49" i="40"/>
  <c r="AY49" i="40"/>
  <c r="AX49" i="40"/>
  <c r="AW49" i="40"/>
  <c r="BA48" i="40"/>
  <c r="AZ48" i="40"/>
  <c r="AY48" i="40"/>
  <c r="AX48" i="40"/>
  <c r="AW48" i="40"/>
  <c r="BA47" i="40"/>
  <c r="AZ47" i="40"/>
  <c r="AY47" i="40"/>
  <c r="AX47" i="40"/>
  <c r="AW47" i="40"/>
  <c r="BA46" i="40"/>
  <c r="AZ46" i="40"/>
  <c r="AY46" i="40"/>
  <c r="AX46" i="40"/>
  <c r="AW46" i="40"/>
  <c r="BA45" i="40"/>
  <c r="AZ45" i="40"/>
  <c r="AY45" i="40"/>
  <c r="AX45" i="40"/>
  <c r="AW45" i="40"/>
  <c r="BA44" i="40"/>
  <c r="AZ44" i="40"/>
  <c r="AY44" i="40"/>
  <c r="AX44" i="40"/>
  <c r="AW44" i="40"/>
  <c r="BA43" i="40"/>
  <c r="AZ43" i="40"/>
  <c r="AY43" i="40"/>
  <c r="AX43" i="40"/>
  <c r="AW43" i="40"/>
  <c r="BA42" i="40"/>
  <c r="AZ42" i="40"/>
  <c r="AY42" i="40"/>
  <c r="AX42" i="40"/>
  <c r="AW42" i="40"/>
  <c r="BA41" i="40"/>
  <c r="AZ41" i="40"/>
  <c r="AY41" i="40"/>
  <c r="AX41" i="40"/>
  <c r="AW41" i="40"/>
  <c r="BA40" i="40"/>
  <c r="AZ40" i="40"/>
  <c r="AY40" i="40"/>
  <c r="AX40" i="40"/>
  <c r="AW40" i="40"/>
  <c r="BA39" i="40"/>
  <c r="AZ39" i="40"/>
  <c r="AY39" i="40"/>
  <c r="AX39" i="40"/>
  <c r="AW39" i="40"/>
  <c r="BA38" i="40"/>
  <c r="AZ38" i="40"/>
  <c r="AY38" i="40"/>
  <c r="AX38" i="40"/>
  <c r="AW38" i="40"/>
  <c r="BA37" i="40"/>
  <c r="AZ37" i="40"/>
  <c r="AY37" i="40"/>
  <c r="AX37" i="40"/>
  <c r="AW37" i="40"/>
  <c r="BA36" i="40"/>
  <c r="AZ36" i="40"/>
  <c r="AY36" i="40"/>
  <c r="AX36" i="40"/>
  <c r="AW36" i="40"/>
  <c r="BA35" i="40"/>
  <c r="AZ35" i="40"/>
  <c r="AY35" i="40"/>
  <c r="AX35" i="40"/>
  <c r="AW35" i="40"/>
  <c r="BA34" i="40"/>
  <c r="AZ34" i="40"/>
  <c r="AY34" i="40"/>
  <c r="AX34" i="40"/>
  <c r="AW34" i="40"/>
  <c r="BA33" i="40"/>
  <c r="AZ33" i="40"/>
  <c r="AY33" i="40"/>
  <c r="AX33" i="40"/>
  <c r="AW33" i="40"/>
  <c r="BA32" i="40"/>
  <c r="AZ32" i="40"/>
  <c r="AY32" i="40"/>
  <c r="AX32" i="40"/>
  <c r="AW32" i="40"/>
  <c r="BA31" i="40"/>
  <c r="AZ31" i="40"/>
  <c r="AY31" i="40"/>
  <c r="AX31" i="40"/>
  <c r="AW31" i="40"/>
  <c r="BA30" i="40"/>
  <c r="AZ30" i="40"/>
  <c r="AY30" i="40"/>
  <c r="AX30" i="40"/>
  <c r="AW30" i="40"/>
  <c r="BA29" i="40"/>
  <c r="AZ29" i="40"/>
  <c r="AY29" i="40"/>
  <c r="AX29" i="40"/>
  <c r="AW29" i="40"/>
  <c r="BA28" i="40"/>
  <c r="AZ28" i="40"/>
  <c r="AY28" i="40"/>
  <c r="AX28" i="40"/>
  <c r="AW28" i="40"/>
  <c r="BA27" i="40"/>
  <c r="AZ27" i="40"/>
  <c r="AY27" i="40"/>
  <c r="AX27" i="40"/>
  <c r="AW27" i="40"/>
  <c r="BA26" i="40"/>
  <c r="AZ26" i="40"/>
  <c r="AY26" i="40"/>
  <c r="AX26" i="40"/>
  <c r="AW26" i="40"/>
  <c r="BA25" i="40"/>
  <c r="AZ25" i="40"/>
  <c r="AY25" i="40"/>
  <c r="AX25" i="40"/>
  <c r="AW25" i="40"/>
  <c r="BA24" i="40"/>
  <c r="AZ24" i="40"/>
  <c r="AY24" i="40"/>
  <c r="AX24" i="40"/>
  <c r="AW24" i="40"/>
  <c r="BA23" i="40"/>
  <c r="AZ23" i="40"/>
  <c r="AY23" i="40"/>
  <c r="AX23" i="40"/>
  <c r="AW23" i="40"/>
  <c r="BA22" i="40"/>
  <c r="AZ22" i="40"/>
  <c r="AY22" i="40"/>
  <c r="AX22" i="40"/>
  <c r="AW22" i="40"/>
  <c r="BA21" i="40"/>
  <c r="AZ21" i="40"/>
  <c r="AY21" i="40"/>
  <c r="AX21" i="40"/>
  <c r="AW21" i="40"/>
  <c r="BA20" i="40"/>
  <c r="AZ20" i="40"/>
  <c r="AY20" i="40"/>
  <c r="AX20" i="40"/>
  <c r="AW20" i="40"/>
  <c r="BA19" i="40"/>
  <c r="AZ19" i="40"/>
  <c r="AY19" i="40"/>
  <c r="AX19" i="40"/>
  <c r="AW19" i="40"/>
  <c r="BA18" i="40"/>
  <c r="AZ18" i="40"/>
  <c r="AY18" i="40"/>
  <c r="AX18" i="40"/>
  <c r="AW18" i="40"/>
  <c r="BA17" i="40"/>
  <c r="AZ17" i="40"/>
  <c r="AY17" i="40"/>
  <c r="AX17" i="40"/>
  <c r="AW17" i="40"/>
  <c r="BA16" i="40"/>
  <c r="AZ16" i="40"/>
  <c r="AY16" i="40"/>
  <c r="AX16" i="40"/>
  <c r="AW16" i="40"/>
  <c r="BA15" i="40"/>
  <c r="AZ15" i="40"/>
  <c r="AY15" i="40"/>
  <c r="AX15" i="40"/>
  <c r="AW15" i="40"/>
  <c r="BA14" i="40"/>
  <c r="AZ14" i="40"/>
  <c r="AY14" i="40"/>
  <c r="AX14" i="40"/>
  <c r="AW14" i="40"/>
  <c r="BA13" i="40"/>
  <c r="AZ13" i="40"/>
  <c r="AY13" i="40"/>
  <c r="AX13" i="40"/>
  <c r="AW13" i="40"/>
  <c r="BA12" i="40"/>
  <c r="AZ12" i="40"/>
  <c r="AY12" i="40"/>
  <c r="AX12" i="40"/>
  <c r="AW12" i="40"/>
  <c r="BA11" i="40"/>
  <c r="AZ11" i="40"/>
  <c r="AY11" i="40"/>
  <c r="AX11" i="40"/>
  <c r="AW11" i="40"/>
  <c r="BA10" i="40"/>
  <c r="AZ10" i="40"/>
  <c r="AY10" i="40"/>
  <c r="AX10" i="40"/>
  <c r="AW10" i="40"/>
  <c r="BA9" i="40"/>
  <c r="AZ9" i="40"/>
  <c r="AY9" i="40"/>
  <c r="AX9" i="40"/>
  <c r="AW9" i="40"/>
  <c r="BA8" i="40"/>
  <c r="AZ8" i="40"/>
  <c r="AY8" i="40"/>
  <c r="AX8" i="40"/>
  <c r="AW8" i="40"/>
  <c r="BA7" i="40"/>
  <c r="AZ7" i="40"/>
  <c r="AY7" i="40"/>
  <c r="AX7" i="40"/>
  <c r="AW7" i="40"/>
  <c r="BA6" i="40"/>
  <c r="AZ6" i="40"/>
  <c r="AY6" i="40"/>
  <c r="AX6" i="40"/>
  <c r="AW6" i="40"/>
  <c r="BA5" i="40"/>
  <c r="AZ5" i="40"/>
  <c r="AY5" i="40"/>
  <c r="AX5" i="40"/>
  <c r="AW5" i="40"/>
  <c r="BA4" i="40"/>
  <c r="AZ4" i="40"/>
  <c r="AY4" i="40"/>
  <c r="AX4" i="40"/>
  <c r="AW4" i="40"/>
  <c r="BA3" i="40"/>
  <c r="AZ3" i="40"/>
  <c r="AY3" i="40"/>
  <c r="AX3" i="40"/>
  <c r="AW3" i="40"/>
  <c r="Q3" i="48"/>
  <c r="P3" i="48"/>
  <c r="W3" i="48"/>
  <c r="V3" i="48"/>
  <c r="U3" i="48"/>
  <c r="T3" i="48"/>
  <c r="S3" i="48"/>
  <c r="R3" i="48"/>
  <c r="D3" i="48"/>
  <c r="C3" i="48"/>
  <c r="B3" i="48"/>
  <c r="A3" i="48"/>
  <c r="AS407" i="40"/>
  <c r="AR407" i="40"/>
  <c r="AQ407" i="40"/>
  <c r="AP407" i="40"/>
  <c r="AO407" i="40"/>
  <c r="AN407" i="40"/>
  <c r="AM407" i="40"/>
  <c r="AL407" i="40"/>
  <c r="AK407" i="40"/>
  <c r="AJ407" i="40"/>
  <c r="AI407" i="40"/>
  <c r="AH407" i="40"/>
  <c r="AG407" i="40"/>
  <c r="AF407" i="40"/>
  <c r="AE407" i="40"/>
  <c r="AS406" i="40"/>
  <c r="AR406" i="40"/>
  <c r="AQ406" i="40"/>
  <c r="AP406" i="40"/>
  <c r="AO406" i="40"/>
  <c r="AN406" i="40"/>
  <c r="AM406" i="40"/>
  <c r="AL406" i="40"/>
  <c r="AK406" i="40"/>
  <c r="AJ406" i="40"/>
  <c r="AI406" i="40"/>
  <c r="AH406" i="40"/>
  <c r="AG406" i="40"/>
  <c r="AF406" i="40"/>
  <c r="AE406" i="40"/>
  <c r="AS405" i="40"/>
  <c r="AR405" i="40"/>
  <c r="AQ405" i="40"/>
  <c r="AP405" i="40"/>
  <c r="AO405" i="40"/>
  <c r="AN405" i="40"/>
  <c r="AM405" i="40"/>
  <c r="AL405" i="40"/>
  <c r="AK405" i="40"/>
  <c r="AJ405" i="40"/>
  <c r="AI405" i="40"/>
  <c r="AH405" i="40"/>
  <c r="AG405" i="40"/>
  <c r="AF405" i="40"/>
  <c r="AE405" i="40"/>
  <c r="AS404" i="40"/>
  <c r="AR404" i="40"/>
  <c r="AQ404" i="40"/>
  <c r="AP404" i="40"/>
  <c r="AO404" i="40"/>
  <c r="AN404" i="40"/>
  <c r="AM404" i="40"/>
  <c r="AL404" i="40"/>
  <c r="AK404" i="40"/>
  <c r="AJ404" i="40"/>
  <c r="AI404" i="40"/>
  <c r="AH404" i="40"/>
  <c r="AG404" i="40"/>
  <c r="AF404" i="40"/>
  <c r="AE404" i="40"/>
  <c r="AS403" i="40"/>
  <c r="AR403" i="40"/>
  <c r="AQ403" i="40"/>
  <c r="AP403" i="40"/>
  <c r="AO403" i="40"/>
  <c r="AN403" i="40"/>
  <c r="AM403" i="40"/>
  <c r="AL403" i="40"/>
  <c r="AK403" i="40"/>
  <c r="AJ403" i="40"/>
  <c r="AI403" i="40"/>
  <c r="AH403" i="40"/>
  <c r="AG403" i="40"/>
  <c r="AF403" i="40"/>
  <c r="AE403" i="40"/>
  <c r="AS402" i="40"/>
  <c r="AR402" i="40"/>
  <c r="AQ402" i="40"/>
  <c r="AP402" i="40"/>
  <c r="AO402" i="40"/>
  <c r="AN402" i="40"/>
  <c r="AM402" i="40"/>
  <c r="AL402" i="40"/>
  <c r="AK402" i="40"/>
  <c r="AJ402" i="40"/>
  <c r="AI402" i="40"/>
  <c r="AH402" i="40"/>
  <c r="AG402" i="40"/>
  <c r="AF402" i="40"/>
  <c r="AE402" i="40"/>
  <c r="AS401" i="40"/>
  <c r="AR401" i="40"/>
  <c r="AQ401" i="40"/>
  <c r="AP401" i="40"/>
  <c r="AO401" i="40"/>
  <c r="AN401" i="40"/>
  <c r="AM401" i="40"/>
  <c r="AL401" i="40"/>
  <c r="AK401" i="40"/>
  <c r="AJ401" i="40"/>
  <c r="AI401" i="40"/>
  <c r="AH401" i="40"/>
  <c r="AG401" i="40"/>
  <c r="AF401" i="40"/>
  <c r="AE401" i="40"/>
  <c r="AS400" i="40"/>
  <c r="AR400" i="40"/>
  <c r="AQ400" i="40"/>
  <c r="AP400" i="40"/>
  <c r="AO400" i="40"/>
  <c r="AN400" i="40"/>
  <c r="AM400" i="40"/>
  <c r="AL400" i="40"/>
  <c r="AK400" i="40"/>
  <c r="AJ400" i="40"/>
  <c r="AI400" i="40"/>
  <c r="AH400" i="40"/>
  <c r="AG400" i="40"/>
  <c r="AF400" i="40"/>
  <c r="AE400" i="40"/>
  <c r="AS399" i="40"/>
  <c r="AR399" i="40"/>
  <c r="AQ399" i="40"/>
  <c r="AP399" i="40"/>
  <c r="AO399" i="40"/>
  <c r="AN399" i="40"/>
  <c r="AM399" i="40"/>
  <c r="AL399" i="40"/>
  <c r="AK399" i="40"/>
  <c r="AJ399" i="40"/>
  <c r="AI399" i="40"/>
  <c r="AH399" i="40"/>
  <c r="AG399" i="40"/>
  <c r="AF399" i="40"/>
  <c r="AE399" i="40"/>
  <c r="AS398" i="40"/>
  <c r="AR398" i="40"/>
  <c r="AQ398" i="40"/>
  <c r="AP398" i="40"/>
  <c r="AO398" i="40"/>
  <c r="AN398" i="40"/>
  <c r="AM398" i="40"/>
  <c r="AL398" i="40"/>
  <c r="AK398" i="40"/>
  <c r="AJ398" i="40"/>
  <c r="AI398" i="40"/>
  <c r="AH398" i="40"/>
  <c r="AG398" i="40"/>
  <c r="AF398" i="40"/>
  <c r="AE398" i="40"/>
  <c r="AS397" i="40"/>
  <c r="AR397" i="40"/>
  <c r="AQ397" i="40"/>
  <c r="AP397" i="40"/>
  <c r="AO397" i="40"/>
  <c r="AN397" i="40"/>
  <c r="AM397" i="40"/>
  <c r="AL397" i="40"/>
  <c r="AK397" i="40"/>
  <c r="AJ397" i="40"/>
  <c r="AI397" i="40"/>
  <c r="AH397" i="40"/>
  <c r="AG397" i="40"/>
  <c r="AF397" i="40"/>
  <c r="AE397" i="40"/>
  <c r="AS396" i="40"/>
  <c r="AR396" i="40"/>
  <c r="AQ396" i="40"/>
  <c r="AP396" i="40"/>
  <c r="AO396" i="40"/>
  <c r="AN396" i="40"/>
  <c r="AM396" i="40"/>
  <c r="AL396" i="40"/>
  <c r="AK396" i="40"/>
  <c r="AJ396" i="40"/>
  <c r="AI396" i="40"/>
  <c r="AH396" i="40"/>
  <c r="AG396" i="40"/>
  <c r="AF396" i="40"/>
  <c r="AE396" i="40"/>
  <c r="AS395" i="40"/>
  <c r="AR395" i="40"/>
  <c r="AQ395" i="40"/>
  <c r="AP395" i="40"/>
  <c r="AO395" i="40"/>
  <c r="AN395" i="40"/>
  <c r="AM395" i="40"/>
  <c r="AL395" i="40"/>
  <c r="AK395" i="40"/>
  <c r="AJ395" i="40"/>
  <c r="AI395" i="40"/>
  <c r="AH395" i="40"/>
  <c r="AG395" i="40"/>
  <c r="AF395" i="40"/>
  <c r="AE395" i="40"/>
  <c r="AS394" i="40"/>
  <c r="AR394" i="40"/>
  <c r="AQ394" i="40"/>
  <c r="AP394" i="40"/>
  <c r="AO394" i="40"/>
  <c r="AN394" i="40"/>
  <c r="AM394" i="40"/>
  <c r="AL394" i="40"/>
  <c r="AK394" i="40"/>
  <c r="AJ394" i="40"/>
  <c r="AI394" i="40"/>
  <c r="AH394" i="40"/>
  <c r="AG394" i="40"/>
  <c r="AF394" i="40"/>
  <c r="AE394" i="40"/>
  <c r="AS393" i="40"/>
  <c r="AR393" i="40"/>
  <c r="AQ393" i="40"/>
  <c r="AP393" i="40"/>
  <c r="AO393" i="40"/>
  <c r="AN393" i="40"/>
  <c r="AM393" i="40"/>
  <c r="AL393" i="40"/>
  <c r="AK393" i="40"/>
  <c r="AJ393" i="40"/>
  <c r="AI393" i="40"/>
  <c r="AH393" i="40"/>
  <c r="AG393" i="40"/>
  <c r="AF393" i="40"/>
  <c r="AE393" i="40"/>
  <c r="AS392" i="40"/>
  <c r="AR392" i="40"/>
  <c r="AQ392" i="40"/>
  <c r="AP392" i="40"/>
  <c r="AO392" i="40"/>
  <c r="AN392" i="40"/>
  <c r="AM392" i="40"/>
  <c r="AL392" i="40"/>
  <c r="AK392" i="40"/>
  <c r="AJ392" i="40"/>
  <c r="AI392" i="40"/>
  <c r="AH392" i="40"/>
  <c r="AG392" i="40"/>
  <c r="AF392" i="40"/>
  <c r="AE392" i="40"/>
  <c r="AS391" i="40"/>
  <c r="AR391" i="40"/>
  <c r="AQ391" i="40"/>
  <c r="AP391" i="40"/>
  <c r="AO391" i="40"/>
  <c r="AN391" i="40"/>
  <c r="AM391" i="40"/>
  <c r="AL391" i="40"/>
  <c r="AK391" i="40"/>
  <c r="AJ391" i="40"/>
  <c r="AI391" i="40"/>
  <c r="AH391" i="40"/>
  <c r="AG391" i="40"/>
  <c r="AF391" i="40"/>
  <c r="AE391" i="40"/>
  <c r="AS390" i="40"/>
  <c r="AR390" i="40"/>
  <c r="AQ390" i="40"/>
  <c r="AP390" i="40"/>
  <c r="AO390" i="40"/>
  <c r="AN390" i="40"/>
  <c r="AM390" i="40"/>
  <c r="AL390" i="40"/>
  <c r="AK390" i="40"/>
  <c r="AJ390" i="40"/>
  <c r="AI390" i="40"/>
  <c r="AH390" i="40"/>
  <c r="AG390" i="40"/>
  <c r="AF390" i="40"/>
  <c r="AE390" i="40"/>
  <c r="AS389" i="40"/>
  <c r="AR389" i="40"/>
  <c r="AQ389" i="40"/>
  <c r="AP389" i="40"/>
  <c r="AO389" i="40"/>
  <c r="AN389" i="40"/>
  <c r="AM389" i="40"/>
  <c r="AL389" i="40"/>
  <c r="AK389" i="40"/>
  <c r="AJ389" i="40"/>
  <c r="AI389" i="40"/>
  <c r="AH389" i="40"/>
  <c r="AG389" i="40"/>
  <c r="AF389" i="40"/>
  <c r="AE389" i="40"/>
  <c r="AS388" i="40"/>
  <c r="AR388" i="40"/>
  <c r="AQ388" i="40"/>
  <c r="AP388" i="40"/>
  <c r="AO388" i="40"/>
  <c r="AN388" i="40"/>
  <c r="AM388" i="40"/>
  <c r="AL388" i="40"/>
  <c r="AK388" i="40"/>
  <c r="AJ388" i="40"/>
  <c r="AI388" i="40"/>
  <c r="AH388" i="40"/>
  <c r="AG388" i="40"/>
  <c r="AF388" i="40"/>
  <c r="AE388" i="40"/>
  <c r="AS387" i="40"/>
  <c r="AR387" i="40"/>
  <c r="AQ387" i="40"/>
  <c r="AP387" i="40"/>
  <c r="AO387" i="40"/>
  <c r="AN387" i="40"/>
  <c r="AM387" i="40"/>
  <c r="AL387" i="40"/>
  <c r="AK387" i="40"/>
  <c r="AJ387" i="40"/>
  <c r="AI387" i="40"/>
  <c r="AH387" i="40"/>
  <c r="AG387" i="40"/>
  <c r="AF387" i="40"/>
  <c r="AE387" i="40"/>
  <c r="AS386" i="40"/>
  <c r="AR386" i="40"/>
  <c r="AQ386" i="40"/>
  <c r="AP386" i="40"/>
  <c r="AO386" i="40"/>
  <c r="AN386" i="40"/>
  <c r="AM386" i="40"/>
  <c r="AL386" i="40"/>
  <c r="AK386" i="40"/>
  <c r="AJ386" i="40"/>
  <c r="AI386" i="40"/>
  <c r="AH386" i="40"/>
  <c r="AG386" i="40"/>
  <c r="AF386" i="40"/>
  <c r="AE386" i="40"/>
  <c r="AS385" i="40"/>
  <c r="AR385" i="40"/>
  <c r="AQ385" i="40"/>
  <c r="AP385" i="40"/>
  <c r="AO385" i="40"/>
  <c r="AN385" i="40"/>
  <c r="AM385" i="40"/>
  <c r="AL385" i="40"/>
  <c r="AK385" i="40"/>
  <c r="AJ385" i="40"/>
  <c r="AI385" i="40"/>
  <c r="AH385" i="40"/>
  <c r="AG385" i="40"/>
  <c r="AF385" i="40"/>
  <c r="AE385" i="40"/>
  <c r="AS384" i="40"/>
  <c r="AR384" i="40"/>
  <c r="AQ384" i="40"/>
  <c r="AP384" i="40"/>
  <c r="AO384" i="40"/>
  <c r="AN384" i="40"/>
  <c r="AM384" i="40"/>
  <c r="AL384" i="40"/>
  <c r="AK384" i="40"/>
  <c r="AJ384" i="40"/>
  <c r="AI384" i="40"/>
  <c r="AH384" i="40"/>
  <c r="AG384" i="40"/>
  <c r="AF384" i="40"/>
  <c r="AE384" i="40"/>
  <c r="AS383" i="40"/>
  <c r="AR383" i="40"/>
  <c r="AQ383" i="40"/>
  <c r="AP383" i="40"/>
  <c r="AO383" i="40"/>
  <c r="AN383" i="40"/>
  <c r="AM383" i="40"/>
  <c r="AL383" i="40"/>
  <c r="AK383" i="40"/>
  <c r="AJ383" i="40"/>
  <c r="AI383" i="40"/>
  <c r="AH383" i="40"/>
  <c r="AG383" i="40"/>
  <c r="AF383" i="40"/>
  <c r="AE383" i="40"/>
  <c r="AS382" i="40"/>
  <c r="AR382" i="40"/>
  <c r="AQ382" i="40"/>
  <c r="AP382" i="40"/>
  <c r="AO382" i="40"/>
  <c r="AN382" i="40"/>
  <c r="AM382" i="40"/>
  <c r="AL382" i="40"/>
  <c r="AK382" i="40"/>
  <c r="AJ382" i="40"/>
  <c r="AI382" i="40"/>
  <c r="AH382" i="40"/>
  <c r="AG382" i="40"/>
  <c r="AF382" i="40"/>
  <c r="AE382" i="40"/>
  <c r="AS381" i="40"/>
  <c r="AR381" i="40"/>
  <c r="AQ381" i="40"/>
  <c r="AP381" i="40"/>
  <c r="AO381" i="40"/>
  <c r="AN381" i="40"/>
  <c r="AM381" i="40"/>
  <c r="AL381" i="40"/>
  <c r="AK381" i="40"/>
  <c r="AJ381" i="40"/>
  <c r="AI381" i="40"/>
  <c r="AH381" i="40"/>
  <c r="AG381" i="40"/>
  <c r="AF381" i="40"/>
  <c r="AE381" i="40"/>
  <c r="AS380" i="40"/>
  <c r="AR380" i="40"/>
  <c r="AQ380" i="40"/>
  <c r="AP380" i="40"/>
  <c r="AO380" i="40"/>
  <c r="AN380" i="40"/>
  <c r="AM380" i="40"/>
  <c r="AL380" i="40"/>
  <c r="AK380" i="40"/>
  <c r="AJ380" i="40"/>
  <c r="AI380" i="40"/>
  <c r="AH380" i="40"/>
  <c r="AG380" i="40"/>
  <c r="AF380" i="40"/>
  <c r="AE380" i="40"/>
  <c r="AS379" i="40"/>
  <c r="AR379" i="40"/>
  <c r="AQ379" i="40"/>
  <c r="AP379" i="40"/>
  <c r="AO379" i="40"/>
  <c r="AN379" i="40"/>
  <c r="AM379" i="40"/>
  <c r="AL379" i="40"/>
  <c r="AK379" i="40"/>
  <c r="AJ379" i="40"/>
  <c r="AI379" i="40"/>
  <c r="AH379" i="40"/>
  <c r="AG379" i="40"/>
  <c r="AF379" i="40"/>
  <c r="AE379" i="40"/>
  <c r="AS378" i="40"/>
  <c r="AR378" i="40"/>
  <c r="AQ378" i="40"/>
  <c r="AP378" i="40"/>
  <c r="AO378" i="40"/>
  <c r="AN378" i="40"/>
  <c r="AM378" i="40"/>
  <c r="AL378" i="40"/>
  <c r="AK378" i="40"/>
  <c r="AJ378" i="40"/>
  <c r="AI378" i="40"/>
  <c r="AH378" i="40"/>
  <c r="AG378" i="40"/>
  <c r="AF378" i="40"/>
  <c r="AE378" i="40"/>
  <c r="AS377" i="40"/>
  <c r="AR377" i="40"/>
  <c r="AQ377" i="40"/>
  <c r="AP377" i="40"/>
  <c r="AO377" i="40"/>
  <c r="AN377" i="40"/>
  <c r="AM377" i="40"/>
  <c r="AL377" i="40"/>
  <c r="AK377" i="40"/>
  <c r="AJ377" i="40"/>
  <c r="AI377" i="40"/>
  <c r="AH377" i="40"/>
  <c r="AG377" i="40"/>
  <c r="AF377" i="40"/>
  <c r="AE377" i="40"/>
  <c r="AS376" i="40"/>
  <c r="AR376" i="40"/>
  <c r="AQ376" i="40"/>
  <c r="AP376" i="40"/>
  <c r="AO376" i="40"/>
  <c r="AN376" i="40"/>
  <c r="AM376" i="40"/>
  <c r="AL376" i="40"/>
  <c r="AK376" i="40"/>
  <c r="AJ376" i="40"/>
  <c r="AI376" i="40"/>
  <c r="AH376" i="40"/>
  <c r="AG376" i="40"/>
  <c r="AF376" i="40"/>
  <c r="AE376" i="40"/>
  <c r="AS375" i="40"/>
  <c r="AR375" i="40"/>
  <c r="AQ375" i="40"/>
  <c r="AP375" i="40"/>
  <c r="AO375" i="40"/>
  <c r="AN375" i="40"/>
  <c r="AM375" i="40"/>
  <c r="AL375" i="40"/>
  <c r="AK375" i="40"/>
  <c r="AJ375" i="40"/>
  <c r="AI375" i="40"/>
  <c r="AH375" i="40"/>
  <c r="AG375" i="40"/>
  <c r="AF375" i="40"/>
  <c r="AE375" i="40"/>
  <c r="AS374" i="40"/>
  <c r="AR374" i="40"/>
  <c r="AQ374" i="40"/>
  <c r="AP374" i="40"/>
  <c r="AO374" i="40"/>
  <c r="AN374" i="40"/>
  <c r="AM374" i="40"/>
  <c r="AL374" i="40"/>
  <c r="AK374" i="40"/>
  <c r="AJ374" i="40"/>
  <c r="AI374" i="40"/>
  <c r="AH374" i="40"/>
  <c r="AG374" i="40"/>
  <c r="AF374" i="40"/>
  <c r="AE374" i="40"/>
  <c r="AS373" i="40"/>
  <c r="AR373" i="40"/>
  <c r="AQ373" i="40"/>
  <c r="AP373" i="40"/>
  <c r="AO373" i="40"/>
  <c r="AN373" i="40"/>
  <c r="AM373" i="40"/>
  <c r="AL373" i="40"/>
  <c r="AK373" i="40"/>
  <c r="AJ373" i="40"/>
  <c r="AI373" i="40"/>
  <c r="AH373" i="40"/>
  <c r="AG373" i="40"/>
  <c r="AF373" i="40"/>
  <c r="AE373" i="40"/>
  <c r="AS372" i="40"/>
  <c r="AR372" i="40"/>
  <c r="AQ372" i="40"/>
  <c r="AP372" i="40"/>
  <c r="AO372" i="40"/>
  <c r="AN372" i="40"/>
  <c r="AM372" i="40"/>
  <c r="AL372" i="40"/>
  <c r="AK372" i="40"/>
  <c r="AJ372" i="40"/>
  <c r="AI372" i="40"/>
  <c r="AH372" i="40"/>
  <c r="AG372" i="40"/>
  <c r="AF372" i="40"/>
  <c r="AE372" i="40"/>
  <c r="AS371" i="40"/>
  <c r="AR371" i="40"/>
  <c r="AQ371" i="40"/>
  <c r="AP371" i="40"/>
  <c r="AO371" i="40"/>
  <c r="AN371" i="40"/>
  <c r="AM371" i="40"/>
  <c r="AL371" i="40"/>
  <c r="AK371" i="40"/>
  <c r="AJ371" i="40"/>
  <c r="AI371" i="40"/>
  <c r="AH371" i="40"/>
  <c r="AG371" i="40"/>
  <c r="AF371" i="40"/>
  <c r="AE371" i="40"/>
  <c r="AS370" i="40"/>
  <c r="AR370" i="40"/>
  <c r="AQ370" i="40"/>
  <c r="AP370" i="40"/>
  <c r="AO370" i="40"/>
  <c r="AN370" i="40"/>
  <c r="AM370" i="40"/>
  <c r="AL370" i="40"/>
  <c r="AK370" i="40"/>
  <c r="AJ370" i="40"/>
  <c r="AI370" i="40"/>
  <c r="AH370" i="40"/>
  <c r="AG370" i="40"/>
  <c r="AF370" i="40"/>
  <c r="AE370" i="40"/>
  <c r="AS369" i="40"/>
  <c r="AR369" i="40"/>
  <c r="AQ369" i="40"/>
  <c r="AP369" i="40"/>
  <c r="AO369" i="40"/>
  <c r="AN369" i="40"/>
  <c r="AM369" i="40"/>
  <c r="AL369" i="40"/>
  <c r="AK369" i="40"/>
  <c r="AJ369" i="40"/>
  <c r="AI369" i="40"/>
  <c r="AH369" i="40"/>
  <c r="AG369" i="40"/>
  <c r="AF369" i="40"/>
  <c r="AE369" i="40"/>
  <c r="AS368" i="40"/>
  <c r="AR368" i="40"/>
  <c r="AQ368" i="40"/>
  <c r="AP368" i="40"/>
  <c r="AO368" i="40"/>
  <c r="AN368" i="40"/>
  <c r="AM368" i="40"/>
  <c r="AL368" i="40"/>
  <c r="AK368" i="40"/>
  <c r="AJ368" i="40"/>
  <c r="AI368" i="40"/>
  <c r="AH368" i="40"/>
  <c r="AG368" i="40"/>
  <c r="AF368" i="40"/>
  <c r="AE368" i="40"/>
  <c r="AS367" i="40"/>
  <c r="AR367" i="40"/>
  <c r="AQ367" i="40"/>
  <c r="AP367" i="40"/>
  <c r="AO367" i="40"/>
  <c r="AN367" i="40"/>
  <c r="AM367" i="40"/>
  <c r="AL367" i="40"/>
  <c r="AK367" i="40"/>
  <c r="AJ367" i="40"/>
  <c r="AI367" i="40"/>
  <c r="AH367" i="40"/>
  <c r="AG367" i="40"/>
  <c r="AF367" i="40"/>
  <c r="AE367" i="40"/>
  <c r="AS366" i="40"/>
  <c r="AR366" i="40"/>
  <c r="AQ366" i="40"/>
  <c r="AP366" i="40"/>
  <c r="AO366" i="40"/>
  <c r="AN366" i="40"/>
  <c r="AM366" i="40"/>
  <c r="AL366" i="40"/>
  <c r="AK366" i="40"/>
  <c r="AJ366" i="40"/>
  <c r="AI366" i="40"/>
  <c r="AH366" i="40"/>
  <c r="AG366" i="40"/>
  <c r="AF366" i="40"/>
  <c r="AE366" i="40"/>
  <c r="AS365" i="40"/>
  <c r="AR365" i="40"/>
  <c r="AQ365" i="40"/>
  <c r="AP365" i="40"/>
  <c r="AO365" i="40"/>
  <c r="AN365" i="40"/>
  <c r="AM365" i="40"/>
  <c r="AL365" i="40"/>
  <c r="AK365" i="40"/>
  <c r="AJ365" i="40"/>
  <c r="AI365" i="40"/>
  <c r="AH365" i="40"/>
  <c r="AG365" i="40"/>
  <c r="AF365" i="40"/>
  <c r="AE365" i="40"/>
  <c r="AS364" i="40"/>
  <c r="AR364" i="40"/>
  <c r="AQ364" i="40"/>
  <c r="AP364" i="40"/>
  <c r="AO364" i="40"/>
  <c r="AN364" i="40"/>
  <c r="AM364" i="40"/>
  <c r="AL364" i="40"/>
  <c r="AK364" i="40"/>
  <c r="AJ364" i="40"/>
  <c r="AI364" i="40"/>
  <c r="AH364" i="40"/>
  <c r="AG364" i="40"/>
  <c r="AF364" i="40"/>
  <c r="AE364" i="40"/>
  <c r="AS363" i="40"/>
  <c r="AR363" i="40"/>
  <c r="AQ363" i="40"/>
  <c r="AP363" i="40"/>
  <c r="AO363" i="40"/>
  <c r="AN363" i="40"/>
  <c r="AM363" i="40"/>
  <c r="AL363" i="40"/>
  <c r="AK363" i="40"/>
  <c r="AJ363" i="40"/>
  <c r="AI363" i="40"/>
  <c r="AH363" i="40"/>
  <c r="AG363" i="40"/>
  <c r="AF363" i="40"/>
  <c r="AE363" i="40"/>
  <c r="AS362" i="40"/>
  <c r="AR362" i="40"/>
  <c r="AQ362" i="40"/>
  <c r="AP362" i="40"/>
  <c r="AO362" i="40"/>
  <c r="AN362" i="40"/>
  <c r="AM362" i="40"/>
  <c r="AL362" i="40"/>
  <c r="AK362" i="40"/>
  <c r="AJ362" i="40"/>
  <c r="AI362" i="40"/>
  <c r="AH362" i="40"/>
  <c r="AG362" i="40"/>
  <c r="AF362" i="40"/>
  <c r="AE362" i="40"/>
  <c r="AS361" i="40"/>
  <c r="AR361" i="40"/>
  <c r="AQ361" i="40"/>
  <c r="AP361" i="40"/>
  <c r="AO361" i="40"/>
  <c r="AN361" i="40"/>
  <c r="AM361" i="40"/>
  <c r="AL361" i="40"/>
  <c r="AK361" i="40"/>
  <c r="AJ361" i="40"/>
  <c r="AI361" i="40"/>
  <c r="AH361" i="40"/>
  <c r="AG361" i="40"/>
  <c r="AF361" i="40"/>
  <c r="AE361" i="40"/>
  <c r="AS360" i="40"/>
  <c r="AR360" i="40"/>
  <c r="AQ360" i="40"/>
  <c r="AP360" i="40"/>
  <c r="AO360" i="40"/>
  <c r="AN360" i="40"/>
  <c r="AM360" i="40"/>
  <c r="AL360" i="40"/>
  <c r="AK360" i="40"/>
  <c r="AJ360" i="40"/>
  <c r="AI360" i="40"/>
  <c r="AH360" i="40"/>
  <c r="AG360" i="40"/>
  <c r="AF360" i="40"/>
  <c r="AE360" i="40"/>
  <c r="AS359" i="40"/>
  <c r="AR359" i="40"/>
  <c r="AQ359" i="40"/>
  <c r="AP359" i="40"/>
  <c r="AO359" i="40"/>
  <c r="AN359" i="40"/>
  <c r="AM359" i="40"/>
  <c r="AL359" i="40"/>
  <c r="AK359" i="40"/>
  <c r="AJ359" i="40"/>
  <c r="AI359" i="40"/>
  <c r="AH359" i="40"/>
  <c r="AG359" i="40"/>
  <c r="AF359" i="40"/>
  <c r="AE359" i="40"/>
  <c r="AS358" i="40"/>
  <c r="AR358" i="40"/>
  <c r="AQ358" i="40"/>
  <c r="AP358" i="40"/>
  <c r="AO358" i="40"/>
  <c r="AN358" i="40"/>
  <c r="AM358" i="40"/>
  <c r="AL358" i="40"/>
  <c r="AK358" i="40"/>
  <c r="AJ358" i="40"/>
  <c r="AI358" i="40"/>
  <c r="AH358" i="40"/>
  <c r="AG358" i="40"/>
  <c r="AF358" i="40"/>
  <c r="AE358" i="40"/>
  <c r="AS357" i="40"/>
  <c r="AR357" i="40"/>
  <c r="AQ357" i="40"/>
  <c r="AP357" i="40"/>
  <c r="AO357" i="40"/>
  <c r="AN357" i="40"/>
  <c r="AM357" i="40"/>
  <c r="AL357" i="40"/>
  <c r="AK357" i="40"/>
  <c r="AJ357" i="40"/>
  <c r="AI357" i="40"/>
  <c r="AH357" i="40"/>
  <c r="AG357" i="40"/>
  <c r="AF357" i="40"/>
  <c r="AE357" i="40"/>
  <c r="AS356" i="40"/>
  <c r="AR356" i="40"/>
  <c r="AQ356" i="40"/>
  <c r="AP356" i="40"/>
  <c r="AO356" i="40"/>
  <c r="AN356" i="40"/>
  <c r="AM356" i="40"/>
  <c r="AL356" i="40"/>
  <c r="AK356" i="40"/>
  <c r="AJ356" i="40"/>
  <c r="AI356" i="40"/>
  <c r="AH356" i="40"/>
  <c r="AG356" i="40"/>
  <c r="AF356" i="40"/>
  <c r="AE356" i="40"/>
  <c r="AS355" i="40"/>
  <c r="AR355" i="40"/>
  <c r="AQ355" i="40"/>
  <c r="AP355" i="40"/>
  <c r="AO355" i="40"/>
  <c r="AN355" i="40"/>
  <c r="AM355" i="40"/>
  <c r="AL355" i="40"/>
  <c r="AK355" i="40"/>
  <c r="AJ355" i="40"/>
  <c r="AI355" i="40"/>
  <c r="AH355" i="40"/>
  <c r="AG355" i="40"/>
  <c r="AF355" i="40"/>
  <c r="AE355" i="40"/>
  <c r="AS354" i="40"/>
  <c r="AR354" i="40"/>
  <c r="AQ354" i="40"/>
  <c r="AP354" i="40"/>
  <c r="AO354" i="40"/>
  <c r="AN354" i="40"/>
  <c r="AM354" i="40"/>
  <c r="AL354" i="40"/>
  <c r="AK354" i="40"/>
  <c r="AJ354" i="40"/>
  <c r="AI354" i="40"/>
  <c r="AH354" i="40"/>
  <c r="AG354" i="40"/>
  <c r="AF354" i="40"/>
  <c r="AE354" i="40"/>
  <c r="AS353" i="40"/>
  <c r="AR353" i="40"/>
  <c r="AQ353" i="40"/>
  <c r="AP353" i="40"/>
  <c r="AO353" i="40"/>
  <c r="AN353" i="40"/>
  <c r="AM353" i="40"/>
  <c r="AL353" i="40"/>
  <c r="AK353" i="40"/>
  <c r="AJ353" i="40"/>
  <c r="AI353" i="40"/>
  <c r="AH353" i="40"/>
  <c r="AG353" i="40"/>
  <c r="AF353" i="40"/>
  <c r="AE353" i="40"/>
  <c r="AS352" i="40"/>
  <c r="AR352" i="40"/>
  <c r="AQ352" i="40"/>
  <c r="AP352" i="40"/>
  <c r="AO352" i="40"/>
  <c r="AN352" i="40"/>
  <c r="AM352" i="40"/>
  <c r="AL352" i="40"/>
  <c r="AK352" i="40"/>
  <c r="AJ352" i="40"/>
  <c r="AI352" i="40"/>
  <c r="AH352" i="40"/>
  <c r="AG352" i="40"/>
  <c r="AF352" i="40"/>
  <c r="AE352" i="40"/>
  <c r="AS351" i="40"/>
  <c r="AR351" i="40"/>
  <c r="AQ351" i="40"/>
  <c r="AP351" i="40"/>
  <c r="AO351" i="40"/>
  <c r="AN351" i="40"/>
  <c r="AM351" i="40"/>
  <c r="AL351" i="40"/>
  <c r="AK351" i="40"/>
  <c r="AJ351" i="40"/>
  <c r="AI351" i="40"/>
  <c r="AH351" i="40"/>
  <c r="AG351" i="40"/>
  <c r="AF351" i="40"/>
  <c r="AE351" i="40"/>
  <c r="AS350" i="40"/>
  <c r="AR350" i="40"/>
  <c r="AQ350" i="40"/>
  <c r="AP350" i="40"/>
  <c r="AO350" i="40"/>
  <c r="AN350" i="40"/>
  <c r="AM350" i="40"/>
  <c r="AL350" i="40"/>
  <c r="AK350" i="40"/>
  <c r="AJ350" i="40"/>
  <c r="AI350" i="40"/>
  <c r="AH350" i="40"/>
  <c r="AG350" i="40"/>
  <c r="AF350" i="40"/>
  <c r="AE350" i="40"/>
  <c r="AS349" i="40"/>
  <c r="AR349" i="40"/>
  <c r="AQ349" i="40"/>
  <c r="AP349" i="40"/>
  <c r="AO349" i="40"/>
  <c r="AN349" i="40"/>
  <c r="AM349" i="40"/>
  <c r="AL349" i="40"/>
  <c r="AK349" i="40"/>
  <c r="AJ349" i="40"/>
  <c r="AI349" i="40"/>
  <c r="AH349" i="40"/>
  <c r="AG349" i="40"/>
  <c r="AF349" i="40"/>
  <c r="AE349" i="40"/>
  <c r="AS348" i="40"/>
  <c r="AR348" i="40"/>
  <c r="AQ348" i="40"/>
  <c r="AP348" i="40"/>
  <c r="AO348" i="40"/>
  <c r="AN348" i="40"/>
  <c r="AM348" i="40"/>
  <c r="AL348" i="40"/>
  <c r="AK348" i="40"/>
  <c r="AJ348" i="40"/>
  <c r="AI348" i="40"/>
  <c r="AH348" i="40"/>
  <c r="AG348" i="40"/>
  <c r="AF348" i="40"/>
  <c r="AE348" i="40"/>
  <c r="AS347" i="40"/>
  <c r="AR347" i="40"/>
  <c r="AQ347" i="40"/>
  <c r="AP347" i="40"/>
  <c r="AO347" i="40"/>
  <c r="AN347" i="40"/>
  <c r="AM347" i="40"/>
  <c r="AL347" i="40"/>
  <c r="AK347" i="40"/>
  <c r="AJ347" i="40"/>
  <c r="AI347" i="40"/>
  <c r="AH347" i="40"/>
  <c r="AG347" i="40"/>
  <c r="AF347" i="40"/>
  <c r="AE347" i="40"/>
  <c r="AS346" i="40"/>
  <c r="AR346" i="40"/>
  <c r="AQ346" i="40"/>
  <c r="AP346" i="40"/>
  <c r="AO346" i="40"/>
  <c r="AN346" i="40"/>
  <c r="AM346" i="40"/>
  <c r="AL346" i="40"/>
  <c r="AK346" i="40"/>
  <c r="AJ346" i="40"/>
  <c r="AI346" i="40"/>
  <c r="AH346" i="40"/>
  <c r="AG346" i="40"/>
  <c r="AF346" i="40"/>
  <c r="AE346" i="40"/>
  <c r="AS345" i="40"/>
  <c r="AR345" i="40"/>
  <c r="AQ345" i="40"/>
  <c r="AP345" i="40"/>
  <c r="AO345" i="40"/>
  <c r="AN345" i="40"/>
  <c r="AM345" i="40"/>
  <c r="AL345" i="40"/>
  <c r="AK345" i="40"/>
  <c r="AJ345" i="40"/>
  <c r="AI345" i="40"/>
  <c r="AH345" i="40"/>
  <c r="AG345" i="40"/>
  <c r="AF345" i="40"/>
  <c r="AE345" i="40"/>
  <c r="AS344" i="40"/>
  <c r="AR344" i="40"/>
  <c r="AQ344" i="40"/>
  <c r="AP344" i="40"/>
  <c r="AO344" i="40"/>
  <c r="AN344" i="40"/>
  <c r="AM344" i="40"/>
  <c r="AL344" i="40"/>
  <c r="AK344" i="40"/>
  <c r="AJ344" i="40"/>
  <c r="AI344" i="40"/>
  <c r="AH344" i="40"/>
  <c r="AG344" i="40"/>
  <c r="AF344" i="40"/>
  <c r="AE344" i="40"/>
  <c r="AS343" i="40"/>
  <c r="AR343" i="40"/>
  <c r="AQ343" i="40"/>
  <c r="AP343" i="40"/>
  <c r="AO343" i="40"/>
  <c r="AN343" i="40"/>
  <c r="AM343" i="40"/>
  <c r="AL343" i="40"/>
  <c r="AK343" i="40"/>
  <c r="AJ343" i="40"/>
  <c r="AI343" i="40"/>
  <c r="AH343" i="40"/>
  <c r="AG343" i="40"/>
  <c r="AF343" i="40"/>
  <c r="AE343" i="40"/>
  <c r="AS342" i="40"/>
  <c r="AR342" i="40"/>
  <c r="AQ342" i="40"/>
  <c r="AP342" i="40"/>
  <c r="AO342" i="40"/>
  <c r="AN342" i="40"/>
  <c r="AM342" i="40"/>
  <c r="AL342" i="40"/>
  <c r="AK342" i="40"/>
  <c r="AJ342" i="40"/>
  <c r="AI342" i="40"/>
  <c r="AH342" i="40"/>
  <c r="AG342" i="40"/>
  <c r="AF342" i="40"/>
  <c r="AE342" i="40"/>
  <c r="AS341" i="40"/>
  <c r="AR341" i="40"/>
  <c r="AQ341" i="40"/>
  <c r="AP341" i="40"/>
  <c r="AO341" i="40"/>
  <c r="AN341" i="40"/>
  <c r="AM341" i="40"/>
  <c r="AL341" i="40"/>
  <c r="AK341" i="40"/>
  <c r="AJ341" i="40"/>
  <c r="AI341" i="40"/>
  <c r="AH341" i="40"/>
  <c r="AG341" i="40"/>
  <c r="AF341" i="40"/>
  <c r="AE341" i="40"/>
  <c r="AS340" i="40"/>
  <c r="AR340" i="40"/>
  <c r="AQ340" i="40"/>
  <c r="AP340" i="40"/>
  <c r="AO340" i="40"/>
  <c r="AN340" i="40"/>
  <c r="AM340" i="40"/>
  <c r="AL340" i="40"/>
  <c r="AK340" i="40"/>
  <c r="AJ340" i="40"/>
  <c r="AI340" i="40"/>
  <c r="AH340" i="40"/>
  <c r="AG340" i="40"/>
  <c r="AF340" i="40"/>
  <c r="AE340" i="40"/>
  <c r="AS339" i="40"/>
  <c r="AR339" i="40"/>
  <c r="AQ339" i="40"/>
  <c r="AP339" i="40"/>
  <c r="AO339" i="40"/>
  <c r="AN339" i="40"/>
  <c r="AM339" i="40"/>
  <c r="AL339" i="40"/>
  <c r="AK339" i="40"/>
  <c r="AJ339" i="40"/>
  <c r="AI339" i="40"/>
  <c r="AH339" i="40"/>
  <c r="AG339" i="40"/>
  <c r="AF339" i="40"/>
  <c r="AE339" i="40"/>
  <c r="AS338" i="40"/>
  <c r="AR338" i="40"/>
  <c r="AQ338" i="40"/>
  <c r="AP338" i="40"/>
  <c r="AO338" i="40"/>
  <c r="AN338" i="40"/>
  <c r="AM338" i="40"/>
  <c r="AL338" i="40"/>
  <c r="AK338" i="40"/>
  <c r="AJ338" i="40"/>
  <c r="AI338" i="40"/>
  <c r="AH338" i="40"/>
  <c r="AG338" i="40"/>
  <c r="AF338" i="40"/>
  <c r="AE338" i="40"/>
  <c r="AS337" i="40"/>
  <c r="AR337" i="40"/>
  <c r="AQ337" i="40"/>
  <c r="AP337" i="40"/>
  <c r="AO337" i="40"/>
  <c r="AN337" i="40"/>
  <c r="AM337" i="40"/>
  <c r="AL337" i="40"/>
  <c r="AK337" i="40"/>
  <c r="AJ337" i="40"/>
  <c r="AI337" i="40"/>
  <c r="AH337" i="40"/>
  <c r="AG337" i="40"/>
  <c r="AF337" i="40"/>
  <c r="AE337" i="40"/>
  <c r="AS336" i="40"/>
  <c r="AR336" i="40"/>
  <c r="AQ336" i="40"/>
  <c r="AP336" i="40"/>
  <c r="AO336" i="40"/>
  <c r="AN336" i="40"/>
  <c r="AM336" i="40"/>
  <c r="AL336" i="40"/>
  <c r="AK336" i="40"/>
  <c r="AJ336" i="40"/>
  <c r="AI336" i="40"/>
  <c r="AH336" i="40"/>
  <c r="AG336" i="40"/>
  <c r="AF336" i="40"/>
  <c r="AE336" i="40"/>
  <c r="AS335" i="40"/>
  <c r="AR335" i="40"/>
  <c r="AQ335" i="40"/>
  <c r="AP335" i="40"/>
  <c r="AO335" i="40"/>
  <c r="AN335" i="40"/>
  <c r="AM335" i="40"/>
  <c r="AL335" i="40"/>
  <c r="AK335" i="40"/>
  <c r="AJ335" i="40"/>
  <c r="AI335" i="40"/>
  <c r="AH335" i="40"/>
  <c r="AG335" i="40"/>
  <c r="AF335" i="40"/>
  <c r="AE335" i="40"/>
  <c r="AS334" i="40"/>
  <c r="AR334" i="40"/>
  <c r="AQ334" i="40"/>
  <c r="AP334" i="40"/>
  <c r="AO334" i="40"/>
  <c r="AN334" i="40"/>
  <c r="AM334" i="40"/>
  <c r="AL334" i="40"/>
  <c r="AK334" i="40"/>
  <c r="AJ334" i="40"/>
  <c r="AI334" i="40"/>
  <c r="AH334" i="40"/>
  <c r="AG334" i="40"/>
  <c r="AF334" i="40"/>
  <c r="AE334" i="40"/>
  <c r="AS333" i="40"/>
  <c r="AR333" i="40"/>
  <c r="AQ333" i="40"/>
  <c r="AP333" i="40"/>
  <c r="AO333" i="40"/>
  <c r="AN333" i="40"/>
  <c r="AM333" i="40"/>
  <c r="AL333" i="40"/>
  <c r="AK333" i="40"/>
  <c r="AJ333" i="40"/>
  <c r="AI333" i="40"/>
  <c r="AH333" i="40"/>
  <c r="AG333" i="40"/>
  <c r="AF333" i="40"/>
  <c r="AE333" i="40"/>
  <c r="AS332" i="40"/>
  <c r="AR332" i="40"/>
  <c r="AQ332" i="40"/>
  <c r="AP332" i="40"/>
  <c r="AO332" i="40"/>
  <c r="AN332" i="40"/>
  <c r="AM332" i="40"/>
  <c r="AL332" i="40"/>
  <c r="AK332" i="40"/>
  <c r="AJ332" i="40"/>
  <c r="AI332" i="40"/>
  <c r="AH332" i="40"/>
  <c r="AG332" i="40"/>
  <c r="AF332" i="40"/>
  <c r="AE332" i="40"/>
  <c r="AS331" i="40"/>
  <c r="AR331" i="40"/>
  <c r="AQ331" i="40"/>
  <c r="AP331" i="40"/>
  <c r="AO331" i="40"/>
  <c r="AN331" i="40"/>
  <c r="AM331" i="40"/>
  <c r="AL331" i="40"/>
  <c r="AK331" i="40"/>
  <c r="AJ331" i="40"/>
  <c r="AI331" i="40"/>
  <c r="AH331" i="40"/>
  <c r="AG331" i="40"/>
  <c r="AF331" i="40"/>
  <c r="AE331" i="40"/>
  <c r="AS330" i="40"/>
  <c r="AR330" i="40"/>
  <c r="AQ330" i="40"/>
  <c r="AP330" i="40"/>
  <c r="AO330" i="40"/>
  <c r="AN330" i="40"/>
  <c r="AM330" i="40"/>
  <c r="AL330" i="40"/>
  <c r="AK330" i="40"/>
  <c r="AJ330" i="40"/>
  <c r="AI330" i="40"/>
  <c r="AH330" i="40"/>
  <c r="AG330" i="40"/>
  <c r="AF330" i="40"/>
  <c r="AE330" i="40"/>
  <c r="AS329" i="40"/>
  <c r="AR329" i="40"/>
  <c r="AQ329" i="40"/>
  <c r="AP329" i="40"/>
  <c r="AO329" i="40"/>
  <c r="AN329" i="40"/>
  <c r="AM329" i="40"/>
  <c r="AL329" i="40"/>
  <c r="AK329" i="40"/>
  <c r="AJ329" i="40"/>
  <c r="AI329" i="40"/>
  <c r="AH329" i="40"/>
  <c r="AG329" i="40"/>
  <c r="AF329" i="40"/>
  <c r="AE329" i="40"/>
  <c r="AS328" i="40"/>
  <c r="AR328" i="40"/>
  <c r="AQ328" i="40"/>
  <c r="AP328" i="40"/>
  <c r="AO328" i="40"/>
  <c r="AN328" i="40"/>
  <c r="AM328" i="40"/>
  <c r="AL328" i="40"/>
  <c r="AK328" i="40"/>
  <c r="AJ328" i="40"/>
  <c r="AI328" i="40"/>
  <c r="AH328" i="40"/>
  <c r="AG328" i="40"/>
  <c r="AF328" i="40"/>
  <c r="AE328" i="40"/>
  <c r="AS327" i="40"/>
  <c r="AR327" i="40"/>
  <c r="AQ327" i="40"/>
  <c r="AP327" i="40"/>
  <c r="AO327" i="40"/>
  <c r="AN327" i="40"/>
  <c r="AM327" i="40"/>
  <c r="AL327" i="40"/>
  <c r="AK327" i="40"/>
  <c r="AJ327" i="40"/>
  <c r="AI327" i="40"/>
  <c r="AH327" i="40"/>
  <c r="AG327" i="40"/>
  <c r="AF327" i="40"/>
  <c r="AE327" i="40"/>
  <c r="AS326" i="40"/>
  <c r="AR326" i="40"/>
  <c r="AQ326" i="40"/>
  <c r="AP326" i="40"/>
  <c r="AO326" i="40"/>
  <c r="AN326" i="40"/>
  <c r="AM326" i="40"/>
  <c r="AL326" i="40"/>
  <c r="AK326" i="40"/>
  <c r="AJ326" i="40"/>
  <c r="AI326" i="40"/>
  <c r="AH326" i="40"/>
  <c r="AG326" i="40"/>
  <c r="AF326" i="40"/>
  <c r="AE326" i="40"/>
  <c r="AS325" i="40"/>
  <c r="AR325" i="40"/>
  <c r="AQ325" i="40"/>
  <c r="AP325" i="40"/>
  <c r="AO325" i="40"/>
  <c r="AN325" i="40"/>
  <c r="AM325" i="40"/>
  <c r="AL325" i="40"/>
  <c r="AK325" i="40"/>
  <c r="AJ325" i="40"/>
  <c r="AI325" i="40"/>
  <c r="AH325" i="40"/>
  <c r="AG325" i="40"/>
  <c r="AF325" i="40"/>
  <c r="AE325" i="40"/>
  <c r="AS324" i="40"/>
  <c r="AR324" i="40"/>
  <c r="AQ324" i="40"/>
  <c r="AP324" i="40"/>
  <c r="AO324" i="40"/>
  <c r="AN324" i="40"/>
  <c r="AM324" i="40"/>
  <c r="AL324" i="40"/>
  <c r="AK324" i="40"/>
  <c r="AJ324" i="40"/>
  <c r="AI324" i="40"/>
  <c r="AH324" i="40"/>
  <c r="AG324" i="40"/>
  <c r="AF324" i="40"/>
  <c r="AE324" i="40"/>
  <c r="AS323" i="40"/>
  <c r="AR323" i="40"/>
  <c r="AQ323" i="40"/>
  <c r="AP323" i="40"/>
  <c r="AO323" i="40"/>
  <c r="AN323" i="40"/>
  <c r="AM323" i="40"/>
  <c r="AL323" i="40"/>
  <c r="AK323" i="40"/>
  <c r="AJ323" i="40"/>
  <c r="AI323" i="40"/>
  <c r="AH323" i="40"/>
  <c r="AG323" i="40"/>
  <c r="AF323" i="40"/>
  <c r="AE323" i="40"/>
  <c r="AS322" i="40"/>
  <c r="AR322" i="40"/>
  <c r="AQ322" i="40"/>
  <c r="AP322" i="40"/>
  <c r="AO322" i="40"/>
  <c r="AN322" i="40"/>
  <c r="AM322" i="40"/>
  <c r="AL322" i="40"/>
  <c r="AK322" i="40"/>
  <c r="AJ322" i="40"/>
  <c r="AI322" i="40"/>
  <c r="AH322" i="40"/>
  <c r="AG322" i="40"/>
  <c r="AF322" i="40"/>
  <c r="AE322" i="40"/>
  <c r="AS321" i="40"/>
  <c r="AR321" i="40"/>
  <c r="AQ321" i="40"/>
  <c r="AP321" i="40"/>
  <c r="AO321" i="40"/>
  <c r="AN321" i="40"/>
  <c r="AM321" i="40"/>
  <c r="AL321" i="40"/>
  <c r="AK321" i="40"/>
  <c r="AJ321" i="40"/>
  <c r="AI321" i="40"/>
  <c r="AH321" i="40"/>
  <c r="AG321" i="40"/>
  <c r="AF321" i="40"/>
  <c r="AE321" i="40"/>
  <c r="AS320" i="40"/>
  <c r="AR320" i="40"/>
  <c r="AQ320" i="40"/>
  <c r="AP320" i="40"/>
  <c r="AO320" i="40"/>
  <c r="AN320" i="40"/>
  <c r="AM320" i="40"/>
  <c r="AL320" i="40"/>
  <c r="AK320" i="40"/>
  <c r="AJ320" i="40"/>
  <c r="AI320" i="40"/>
  <c r="AH320" i="40"/>
  <c r="AG320" i="40"/>
  <c r="AF320" i="40"/>
  <c r="AE320" i="40"/>
  <c r="AS319" i="40"/>
  <c r="AR319" i="40"/>
  <c r="AQ319" i="40"/>
  <c r="AP319" i="40"/>
  <c r="AO319" i="40"/>
  <c r="AN319" i="40"/>
  <c r="AM319" i="40"/>
  <c r="AL319" i="40"/>
  <c r="AK319" i="40"/>
  <c r="AJ319" i="40"/>
  <c r="AI319" i="40"/>
  <c r="AH319" i="40"/>
  <c r="AG319" i="40"/>
  <c r="AF319" i="40"/>
  <c r="AE319" i="40"/>
  <c r="AS318" i="40"/>
  <c r="AR318" i="40"/>
  <c r="AQ318" i="40"/>
  <c r="AP318" i="40"/>
  <c r="AO318" i="40"/>
  <c r="AN318" i="40"/>
  <c r="AM318" i="40"/>
  <c r="AL318" i="40"/>
  <c r="AK318" i="40"/>
  <c r="AJ318" i="40"/>
  <c r="AI318" i="40"/>
  <c r="AH318" i="40"/>
  <c r="AG318" i="40"/>
  <c r="AF318" i="40"/>
  <c r="AE318" i="40"/>
  <c r="AS317" i="40"/>
  <c r="AR317" i="40"/>
  <c r="AQ317" i="40"/>
  <c r="AP317" i="40"/>
  <c r="AO317" i="40"/>
  <c r="AN317" i="40"/>
  <c r="AM317" i="40"/>
  <c r="AL317" i="40"/>
  <c r="AK317" i="40"/>
  <c r="AJ317" i="40"/>
  <c r="AI317" i="40"/>
  <c r="AH317" i="40"/>
  <c r="AG317" i="40"/>
  <c r="AF317" i="40"/>
  <c r="AE317" i="40"/>
  <c r="AS316" i="40"/>
  <c r="AR316" i="40"/>
  <c r="AQ316" i="40"/>
  <c r="AP316" i="40"/>
  <c r="AO316" i="40"/>
  <c r="AN316" i="40"/>
  <c r="AM316" i="40"/>
  <c r="AL316" i="40"/>
  <c r="AK316" i="40"/>
  <c r="AJ316" i="40"/>
  <c r="AI316" i="40"/>
  <c r="AH316" i="40"/>
  <c r="AG316" i="40"/>
  <c r="AF316" i="40"/>
  <c r="AE316" i="40"/>
  <c r="AS315" i="40"/>
  <c r="AR315" i="40"/>
  <c r="AQ315" i="40"/>
  <c r="AP315" i="40"/>
  <c r="AO315" i="40"/>
  <c r="AN315" i="40"/>
  <c r="AM315" i="40"/>
  <c r="AL315" i="40"/>
  <c r="AK315" i="40"/>
  <c r="AJ315" i="40"/>
  <c r="AI315" i="40"/>
  <c r="AH315" i="40"/>
  <c r="AG315" i="40"/>
  <c r="AF315" i="40"/>
  <c r="AE315" i="40"/>
  <c r="AS314" i="40"/>
  <c r="AR314" i="40"/>
  <c r="AQ314" i="40"/>
  <c r="AP314" i="40"/>
  <c r="AO314" i="40"/>
  <c r="AN314" i="40"/>
  <c r="AM314" i="40"/>
  <c r="AL314" i="40"/>
  <c r="AK314" i="40"/>
  <c r="AJ314" i="40"/>
  <c r="AI314" i="40"/>
  <c r="AH314" i="40"/>
  <c r="AG314" i="40"/>
  <c r="AF314" i="40"/>
  <c r="AE314" i="40"/>
  <c r="AS313" i="40"/>
  <c r="AR313" i="40"/>
  <c r="AQ313" i="40"/>
  <c r="AP313" i="40"/>
  <c r="AO313" i="40"/>
  <c r="AN313" i="40"/>
  <c r="AM313" i="40"/>
  <c r="AL313" i="40"/>
  <c r="AK313" i="40"/>
  <c r="AJ313" i="40"/>
  <c r="AI313" i="40"/>
  <c r="AH313" i="40"/>
  <c r="AG313" i="40"/>
  <c r="AF313" i="40"/>
  <c r="AE313" i="40"/>
  <c r="AS312" i="40"/>
  <c r="AR312" i="40"/>
  <c r="AQ312" i="40"/>
  <c r="AP312" i="40"/>
  <c r="AO312" i="40"/>
  <c r="AN312" i="40"/>
  <c r="AM312" i="40"/>
  <c r="AL312" i="40"/>
  <c r="AK312" i="40"/>
  <c r="AJ312" i="40"/>
  <c r="AI312" i="40"/>
  <c r="AH312" i="40"/>
  <c r="AG312" i="40"/>
  <c r="AF312" i="40"/>
  <c r="AE312" i="40"/>
  <c r="AS311" i="40"/>
  <c r="AR311" i="40"/>
  <c r="AQ311" i="40"/>
  <c r="AP311" i="40"/>
  <c r="AO311" i="40"/>
  <c r="AN311" i="40"/>
  <c r="AM311" i="40"/>
  <c r="AL311" i="40"/>
  <c r="AK311" i="40"/>
  <c r="AJ311" i="40"/>
  <c r="AI311" i="40"/>
  <c r="AH311" i="40"/>
  <c r="AG311" i="40"/>
  <c r="AF311" i="40"/>
  <c r="AE311" i="40"/>
  <c r="AS310" i="40"/>
  <c r="AR310" i="40"/>
  <c r="AQ310" i="40"/>
  <c r="AP310" i="40"/>
  <c r="AO310" i="40"/>
  <c r="AN310" i="40"/>
  <c r="AM310" i="40"/>
  <c r="AL310" i="40"/>
  <c r="AK310" i="40"/>
  <c r="AJ310" i="40"/>
  <c r="AI310" i="40"/>
  <c r="AH310" i="40"/>
  <c r="AG310" i="40"/>
  <c r="AF310" i="40"/>
  <c r="AE310" i="40"/>
  <c r="AS309" i="40"/>
  <c r="AR309" i="40"/>
  <c r="AQ309" i="40"/>
  <c r="AP309" i="40"/>
  <c r="AO309" i="40"/>
  <c r="AN309" i="40"/>
  <c r="AM309" i="40"/>
  <c r="AL309" i="40"/>
  <c r="AK309" i="40"/>
  <c r="AJ309" i="40"/>
  <c r="AI309" i="40"/>
  <c r="AH309" i="40"/>
  <c r="AG309" i="40"/>
  <c r="AF309" i="40"/>
  <c r="AE309" i="40"/>
  <c r="AS308" i="40"/>
  <c r="AR308" i="40"/>
  <c r="AQ308" i="40"/>
  <c r="AP308" i="40"/>
  <c r="AO308" i="40"/>
  <c r="AN308" i="40"/>
  <c r="AM308" i="40"/>
  <c r="AL308" i="40"/>
  <c r="AK308" i="40"/>
  <c r="AJ308" i="40"/>
  <c r="AI308" i="40"/>
  <c r="AH308" i="40"/>
  <c r="AG308" i="40"/>
  <c r="AF308" i="40"/>
  <c r="AE308" i="40"/>
  <c r="AS307" i="40"/>
  <c r="AR307" i="40"/>
  <c r="AQ307" i="40"/>
  <c r="AP307" i="40"/>
  <c r="AO307" i="40"/>
  <c r="AN307" i="40"/>
  <c r="AM307" i="40"/>
  <c r="AL307" i="40"/>
  <c r="AK307" i="40"/>
  <c r="AJ307" i="40"/>
  <c r="AI307" i="40"/>
  <c r="AH307" i="40"/>
  <c r="AG307" i="40"/>
  <c r="AF307" i="40"/>
  <c r="AE307" i="40"/>
  <c r="AS306" i="40"/>
  <c r="AR306" i="40"/>
  <c r="AQ306" i="40"/>
  <c r="AP306" i="40"/>
  <c r="AO306" i="40"/>
  <c r="AN306" i="40"/>
  <c r="AM306" i="40"/>
  <c r="AL306" i="40"/>
  <c r="AK306" i="40"/>
  <c r="AJ306" i="40"/>
  <c r="AI306" i="40"/>
  <c r="AH306" i="40"/>
  <c r="AG306" i="40"/>
  <c r="AF306" i="40"/>
  <c r="AE306" i="40"/>
  <c r="AS305" i="40"/>
  <c r="AR305" i="40"/>
  <c r="AQ305" i="40"/>
  <c r="AP305" i="40"/>
  <c r="AO305" i="40"/>
  <c r="AN305" i="40"/>
  <c r="AM305" i="40"/>
  <c r="AL305" i="40"/>
  <c r="AK305" i="40"/>
  <c r="AJ305" i="40"/>
  <c r="AI305" i="40"/>
  <c r="AH305" i="40"/>
  <c r="AG305" i="40"/>
  <c r="AF305" i="40"/>
  <c r="AE305" i="40"/>
  <c r="AS304" i="40"/>
  <c r="AR304" i="40"/>
  <c r="AQ304" i="40"/>
  <c r="AP304" i="40"/>
  <c r="AO304" i="40"/>
  <c r="AN304" i="40"/>
  <c r="AM304" i="40"/>
  <c r="AL304" i="40"/>
  <c r="AK304" i="40"/>
  <c r="AJ304" i="40"/>
  <c r="AI304" i="40"/>
  <c r="AH304" i="40"/>
  <c r="AG304" i="40"/>
  <c r="AF304" i="40"/>
  <c r="AE304" i="40"/>
  <c r="AS303" i="40"/>
  <c r="AR303" i="40"/>
  <c r="AQ303" i="40"/>
  <c r="AP303" i="40"/>
  <c r="AO303" i="40"/>
  <c r="AN303" i="40"/>
  <c r="AM303" i="40"/>
  <c r="AL303" i="40"/>
  <c r="AK303" i="40"/>
  <c r="AJ303" i="40"/>
  <c r="AI303" i="40"/>
  <c r="AH303" i="40"/>
  <c r="AG303" i="40"/>
  <c r="AF303" i="40"/>
  <c r="AE303" i="40"/>
  <c r="AS302" i="40"/>
  <c r="AR302" i="40"/>
  <c r="AQ302" i="40"/>
  <c r="AP302" i="40"/>
  <c r="AO302" i="40"/>
  <c r="AN302" i="40"/>
  <c r="AM302" i="40"/>
  <c r="AL302" i="40"/>
  <c r="AK302" i="40"/>
  <c r="AJ302" i="40"/>
  <c r="AI302" i="40"/>
  <c r="AH302" i="40"/>
  <c r="AG302" i="40"/>
  <c r="AF302" i="40"/>
  <c r="AE302" i="40"/>
  <c r="AS301" i="40"/>
  <c r="AR301" i="40"/>
  <c r="AQ301" i="40"/>
  <c r="AP301" i="40"/>
  <c r="AO301" i="40"/>
  <c r="AN301" i="40"/>
  <c r="AM301" i="40"/>
  <c r="AL301" i="40"/>
  <c r="AK301" i="40"/>
  <c r="AJ301" i="40"/>
  <c r="AI301" i="40"/>
  <c r="AH301" i="40"/>
  <c r="AG301" i="40"/>
  <c r="AF301" i="40"/>
  <c r="AE301" i="40"/>
  <c r="AS300" i="40"/>
  <c r="AR300" i="40"/>
  <c r="AQ300" i="40"/>
  <c r="AP300" i="40"/>
  <c r="AO300" i="40"/>
  <c r="AN300" i="40"/>
  <c r="AM300" i="40"/>
  <c r="AL300" i="40"/>
  <c r="AK300" i="40"/>
  <c r="AJ300" i="40"/>
  <c r="AI300" i="40"/>
  <c r="AH300" i="40"/>
  <c r="AG300" i="40"/>
  <c r="AF300" i="40"/>
  <c r="AE300" i="40"/>
  <c r="AS299" i="40"/>
  <c r="AR299" i="40"/>
  <c r="AQ299" i="40"/>
  <c r="AP299" i="40"/>
  <c r="AO299" i="40"/>
  <c r="AN299" i="40"/>
  <c r="AM299" i="40"/>
  <c r="AL299" i="40"/>
  <c r="AK299" i="40"/>
  <c r="AJ299" i="40"/>
  <c r="AI299" i="40"/>
  <c r="AH299" i="40"/>
  <c r="AG299" i="40"/>
  <c r="AF299" i="40"/>
  <c r="AE299" i="40"/>
  <c r="AS298" i="40"/>
  <c r="AR298" i="40"/>
  <c r="AQ298" i="40"/>
  <c r="AP298" i="40"/>
  <c r="AO298" i="40"/>
  <c r="AN298" i="40"/>
  <c r="AM298" i="40"/>
  <c r="AL298" i="40"/>
  <c r="AK298" i="40"/>
  <c r="AJ298" i="40"/>
  <c r="AI298" i="40"/>
  <c r="AH298" i="40"/>
  <c r="AG298" i="40"/>
  <c r="AF298" i="40"/>
  <c r="AE298" i="40"/>
  <c r="AS297" i="40"/>
  <c r="AR297" i="40"/>
  <c r="AQ297" i="40"/>
  <c r="AP297" i="40"/>
  <c r="AO297" i="40"/>
  <c r="AN297" i="40"/>
  <c r="AM297" i="40"/>
  <c r="AL297" i="40"/>
  <c r="AK297" i="40"/>
  <c r="AJ297" i="40"/>
  <c r="AI297" i="40"/>
  <c r="AH297" i="40"/>
  <c r="AG297" i="40"/>
  <c r="AF297" i="40"/>
  <c r="AE297" i="40"/>
  <c r="AS296" i="40"/>
  <c r="AR296" i="40"/>
  <c r="AQ296" i="40"/>
  <c r="AP296" i="40"/>
  <c r="AO296" i="40"/>
  <c r="AN296" i="40"/>
  <c r="AM296" i="40"/>
  <c r="AL296" i="40"/>
  <c r="AK296" i="40"/>
  <c r="AJ296" i="40"/>
  <c r="AI296" i="40"/>
  <c r="AH296" i="40"/>
  <c r="AG296" i="40"/>
  <c r="AF296" i="40"/>
  <c r="AE296" i="40"/>
  <c r="AS295" i="40"/>
  <c r="AR295" i="40"/>
  <c r="AQ295" i="40"/>
  <c r="AP295" i="40"/>
  <c r="AO295" i="40"/>
  <c r="AN295" i="40"/>
  <c r="AM295" i="40"/>
  <c r="AL295" i="40"/>
  <c r="AK295" i="40"/>
  <c r="AJ295" i="40"/>
  <c r="AI295" i="40"/>
  <c r="AH295" i="40"/>
  <c r="AG295" i="40"/>
  <c r="AF295" i="40"/>
  <c r="AE295" i="40"/>
  <c r="AS294" i="40"/>
  <c r="AR294" i="40"/>
  <c r="AQ294" i="40"/>
  <c r="AP294" i="40"/>
  <c r="AO294" i="40"/>
  <c r="AN294" i="40"/>
  <c r="AM294" i="40"/>
  <c r="AL294" i="40"/>
  <c r="AK294" i="40"/>
  <c r="AJ294" i="40"/>
  <c r="AI294" i="40"/>
  <c r="AH294" i="40"/>
  <c r="AG294" i="40"/>
  <c r="AF294" i="40"/>
  <c r="AE294" i="40"/>
  <c r="AS293" i="40"/>
  <c r="AR293" i="40"/>
  <c r="AQ293" i="40"/>
  <c r="AP293" i="40"/>
  <c r="AO293" i="40"/>
  <c r="AN293" i="40"/>
  <c r="AM293" i="40"/>
  <c r="AL293" i="40"/>
  <c r="AK293" i="40"/>
  <c r="AJ293" i="40"/>
  <c r="AI293" i="40"/>
  <c r="AH293" i="40"/>
  <c r="AG293" i="40"/>
  <c r="AF293" i="40"/>
  <c r="AE293" i="40"/>
  <c r="AS292" i="40"/>
  <c r="AR292" i="40"/>
  <c r="AQ292" i="40"/>
  <c r="AP292" i="40"/>
  <c r="AO292" i="40"/>
  <c r="AN292" i="40"/>
  <c r="AM292" i="40"/>
  <c r="AL292" i="40"/>
  <c r="AK292" i="40"/>
  <c r="AJ292" i="40"/>
  <c r="AI292" i="40"/>
  <c r="AH292" i="40"/>
  <c r="AG292" i="40"/>
  <c r="AF292" i="40"/>
  <c r="AE292" i="40"/>
  <c r="AS291" i="40"/>
  <c r="AR291" i="40"/>
  <c r="AQ291" i="40"/>
  <c r="AP291" i="40"/>
  <c r="AO291" i="40"/>
  <c r="AN291" i="40"/>
  <c r="AM291" i="40"/>
  <c r="AL291" i="40"/>
  <c r="AK291" i="40"/>
  <c r="AJ291" i="40"/>
  <c r="AI291" i="40"/>
  <c r="AH291" i="40"/>
  <c r="AG291" i="40"/>
  <c r="AF291" i="40"/>
  <c r="AE291" i="40"/>
  <c r="AS290" i="40"/>
  <c r="AR290" i="40"/>
  <c r="AQ290" i="40"/>
  <c r="AP290" i="40"/>
  <c r="AO290" i="40"/>
  <c r="AN290" i="40"/>
  <c r="AM290" i="40"/>
  <c r="AL290" i="40"/>
  <c r="AK290" i="40"/>
  <c r="AJ290" i="40"/>
  <c r="AI290" i="40"/>
  <c r="AH290" i="40"/>
  <c r="AG290" i="40"/>
  <c r="AF290" i="40"/>
  <c r="AE290" i="40"/>
  <c r="AS289" i="40"/>
  <c r="AR289" i="40"/>
  <c r="AQ289" i="40"/>
  <c r="AP289" i="40"/>
  <c r="AO289" i="40"/>
  <c r="AN289" i="40"/>
  <c r="AM289" i="40"/>
  <c r="AL289" i="40"/>
  <c r="AK289" i="40"/>
  <c r="AJ289" i="40"/>
  <c r="AI289" i="40"/>
  <c r="AH289" i="40"/>
  <c r="AG289" i="40"/>
  <c r="AF289" i="40"/>
  <c r="AE289" i="40"/>
  <c r="AS288" i="40"/>
  <c r="AR288" i="40"/>
  <c r="AQ288" i="40"/>
  <c r="AP288" i="40"/>
  <c r="AO288" i="40"/>
  <c r="AN288" i="40"/>
  <c r="AM288" i="40"/>
  <c r="AL288" i="40"/>
  <c r="AK288" i="40"/>
  <c r="AJ288" i="40"/>
  <c r="AI288" i="40"/>
  <c r="AH288" i="40"/>
  <c r="AG288" i="40"/>
  <c r="AF288" i="40"/>
  <c r="AE288" i="40"/>
  <c r="AS287" i="40"/>
  <c r="AR287" i="40"/>
  <c r="AQ287" i="40"/>
  <c r="AP287" i="40"/>
  <c r="AO287" i="40"/>
  <c r="AN287" i="40"/>
  <c r="AM287" i="40"/>
  <c r="AL287" i="40"/>
  <c r="AK287" i="40"/>
  <c r="AJ287" i="40"/>
  <c r="AI287" i="40"/>
  <c r="AH287" i="40"/>
  <c r="AG287" i="40"/>
  <c r="AF287" i="40"/>
  <c r="AE287" i="40"/>
  <c r="AS286" i="40"/>
  <c r="AR286" i="40"/>
  <c r="AQ286" i="40"/>
  <c r="AP286" i="40"/>
  <c r="AO286" i="40"/>
  <c r="AN286" i="40"/>
  <c r="AM286" i="40"/>
  <c r="AL286" i="40"/>
  <c r="AK286" i="40"/>
  <c r="AJ286" i="40"/>
  <c r="AI286" i="40"/>
  <c r="AH286" i="40"/>
  <c r="AG286" i="40"/>
  <c r="AF286" i="40"/>
  <c r="AE286" i="40"/>
  <c r="AS285" i="40"/>
  <c r="AR285" i="40"/>
  <c r="AQ285" i="40"/>
  <c r="AP285" i="40"/>
  <c r="AO285" i="40"/>
  <c r="AN285" i="40"/>
  <c r="AM285" i="40"/>
  <c r="AL285" i="40"/>
  <c r="AK285" i="40"/>
  <c r="AJ285" i="40"/>
  <c r="AI285" i="40"/>
  <c r="AH285" i="40"/>
  <c r="AG285" i="40"/>
  <c r="AF285" i="40"/>
  <c r="AE285" i="40"/>
  <c r="AS284" i="40"/>
  <c r="AR284" i="40"/>
  <c r="AQ284" i="40"/>
  <c r="AP284" i="40"/>
  <c r="AO284" i="40"/>
  <c r="AN284" i="40"/>
  <c r="AM284" i="40"/>
  <c r="AL284" i="40"/>
  <c r="AK284" i="40"/>
  <c r="AJ284" i="40"/>
  <c r="AI284" i="40"/>
  <c r="AH284" i="40"/>
  <c r="AG284" i="40"/>
  <c r="AF284" i="40"/>
  <c r="AE284" i="40"/>
  <c r="AS283" i="40"/>
  <c r="AR283" i="40"/>
  <c r="AQ283" i="40"/>
  <c r="AP283" i="40"/>
  <c r="AO283" i="40"/>
  <c r="AN283" i="40"/>
  <c r="AM283" i="40"/>
  <c r="AL283" i="40"/>
  <c r="AK283" i="40"/>
  <c r="AJ283" i="40"/>
  <c r="AI283" i="40"/>
  <c r="AH283" i="40"/>
  <c r="AG283" i="40"/>
  <c r="AF283" i="40"/>
  <c r="AE283" i="40"/>
  <c r="AS282" i="40"/>
  <c r="AR282" i="40"/>
  <c r="AQ282" i="40"/>
  <c r="AP282" i="40"/>
  <c r="AO282" i="40"/>
  <c r="AN282" i="40"/>
  <c r="AM282" i="40"/>
  <c r="AL282" i="40"/>
  <c r="AK282" i="40"/>
  <c r="AJ282" i="40"/>
  <c r="AI282" i="40"/>
  <c r="AH282" i="40"/>
  <c r="AG282" i="40"/>
  <c r="AF282" i="40"/>
  <c r="AE282" i="40"/>
  <c r="AS281" i="40"/>
  <c r="AR281" i="40"/>
  <c r="AQ281" i="40"/>
  <c r="AP281" i="40"/>
  <c r="AO281" i="40"/>
  <c r="AN281" i="40"/>
  <c r="AM281" i="40"/>
  <c r="AL281" i="40"/>
  <c r="AK281" i="40"/>
  <c r="AJ281" i="40"/>
  <c r="AI281" i="40"/>
  <c r="AH281" i="40"/>
  <c r="AG281" i="40"/>
  <c r="AF281" i="40"/>
  <c r="AE281" i="40"/>
  <c r="AS280" i="40"/>
  <c r="AR280" i="40"/>
  <c r="AQ280" i="40"/>
  <c r="AP280" i="40"/>
  <c r="AO280" i="40"/>
  <c r="AN280" i="40"/>
  <c r="AM280" i="40"/>
  <c r="AL280" i="40"/>
  <c r="AK280" i="40"/>
  <c r="AJ280" i="40"/>
  <c r="AI280" i="40"/>
  <c r="AH280" i="40"/>
  <c r="AG280" i="40"/>
  <c r="AF280" i="40"/>
  <c r="AE280" i="40"/>
  <c r="AS279" i="40"/>
  <c r="AR279" i="40"/>
  <c r="AQ279" i="40"/>
  <c r="AP279" i="40"/>
  <c r="AO279" i="40"/>
  <c r="AN279" i="40"/>
  <c r="AM279" i="40"/>
  <c r="AL279" i="40"/>
  <c r="AK279" i="40"/>
  <c r="AJ279" i="40"/>
  <c r="AI279" i="40"/>
  <c r="AH279" i="40"/>
  <c r="AG279" i="40"/>
  <c r="AF279" i="40"/>
  <c r="AE279" i="40"/>
  <c r="AS278" i="40"/>
  <c r="AR278" i="40"/>
  <c r="AQ278" i="40"/>
  <c r="AP278" i="40"/>
  <c r="AO278" i="40"/>
  <c r="AN278" i="40"/>
  <c r="AM278" i="40"/>
  <c r="AL278" i="40"/>
  <c r="AK278" i="40"/>
  <c r="AJ278" i="40"/>
  <c r="AI278" i="40"/>
  <c r="AH278" i="40"/>
  <c r="AG278" i="40"/>
  <c r="AF278" i="40"/>
  <c r="AE278" i="40"/>
  <c r="AS277" i="40"/>
  <c r="AR277" i="40"/>
  <c r="AQ277" i="40"/>
  <c r="AP277" i="40"/>
  <c r="AO277" i="40"/>
  <c r="AN277" i="40"/>
  <c r="AM277" i="40"/>
  <c r="AL277" i="40"/>
  <c r="AK277" i="40"/>
  <c r="AJ277" i="40"/>
  <c r="AI277" i="40"/>
  <c r="AH277" i="40"/>
  <c r="AG277" i="40"/>
  <c r="AF277" i="40"/>
  <c r="AE277" i="40"/>
  <c r="AS276" i="40"/>
  <c r="AR276" i="40"/>
  <c r="AQ276" i="40"/>
  <c r="AP276" i="40"/>
  <c r="AO276" i="40"/>
  <c r="AN276" i="40"/>
  <c r="AM276" i="40"/>
  <c r="AL276" i="40"/>
  <c r="AK276" i="40"/>
  <c r="AJ276" i="40"/>
  <c r="AI276" i="40"/>
  <c r="AH276" i="40"/>
  <c r="AG276" i="40"/>
  <c r="AF276" i="40"/>
  <c r="AE276" i="40"/>
  <c r="AS275" i="40"/>
  <c r="AR275" i="40"/>
  <c r="AQ275" i="40"/>
  <c r="AP275" i="40"/>
  <c r="AO275" i="40"/>
  <c r="AN275" i="40"/>
  <c r="AM275" i="40"/>
  <c r="AL275" i="40"/>
  <c r="AK275" i="40"/>
  <c r="AJ275" i="40"/>
  <c r="AI275" i="40"/>
  <c r="AH275" i="40"/>
  <c r="AG275" i="40"/>
  <c r="AF275" i="40"/>
  <c r="AE275" i="40"/>
  <c r="AS274" i="40"/>
  <c r="AR274" i="40"/>
  <c r="AQ274" i="40"/>
  <c r="AP274" i="40"/>
  <c r="AO274" i="40"/>
  <c r="AN274" i="40"/>
  <c r="AM274" i="40"/>
  <c r="AL274" i="40"/>
  <c r="AK274" i="40"/>
  <c r="AJ274" i="40"/>
  <c r="AI274" i="40"/>
  <c r="AH274" i="40"/>
  <c r="AG274" i="40"/>
  <c r="AF274" i="40"/>
  <c r="AE274" i="40"/>
  <c r="AS273" i="40"/>
  <c r="AR273" i="40"/>
  <c r="AQ273" i="40"/>
  <c r="AP273" i="40"/>
  <c r="AO273" i="40"/>
  <c r="AN273" i="40"/>
  <c r="AM273" i="40"/>
  <c r="AL273" i="40"/>
  <c r="AK273" i="40"/>
  <c r="AJ273" i="40"/>
  <c r="AI273" i="40"/>
  <c r="AH273" i="40"/>
  <c r="AG273" i="40"/>
  <c r="AF273" i="40"/>
  <c r="AE273" i="40"/>
  <c r="AS272" i="40"/>
  <c r="AR272" i="40"/>
  <c r="AQ272" i="40"/>
  <c r="AP272" i="40"/>
  <c r="AO272" i="40"/>
  <c r="AN272" i="40"/>
  <c r="AM272" i="40"/>
  <c r="AL272" i="40"/>
  <c r="AK272" i="40"/>
  <c r="AJ272" i="40"/>
  <c r="AI272" i="40"/>
  <c r="AH272" i="40"/>
  <c r="AG272" i="40"/>
  <c r="AF272" i="40"/>
  <c r="AE272" i="40"/>
  <c r="AS271" i="40"/>
  <c r="AR271" i="40"/>
  <c r="AQ271" i="40"/>
  <c r="AP271" i="40"/>
  <c r="AO271" i="40"/>
  <c r="AN271" i="40"/>
  <c r="AM271" i="40"/>
  <c r="AL271" i="40"/>
  <c r="AK271" i="40"/>
  <c r="AJ271" i="40"/>
  <c r="AI271" i="40"/>
  <c r="AH271" i="40"/>
  <c r="AG271" i="40"/>
  <c r="AF271" i="40"/>
  <c r="AE271" i="40"/>
  <c r="AS270" i="40"/>
  <c r="AR270" i="40"/>
  <c r="AQ270" i="40"/>
  <c r="AP270" i="40"/>
  <c r="AO270" i="40"/>
  <c r="AN270" i="40"/>
  <c r="AM270" i="40"/>
  <c r="AL270" i="40"/>
  <c r="AK270" i="40"/>
  <c r="AJ270" i="40"/>
  <c r="AI270" i="40"/>
  <c r="AH270" i="40"/>
  <c r="AG270" i="40"/>
  <c r="AF270" i="40"/>
  <c r="AE270" i="40"/>
  <c r="AS269" i="40"/>
  <c r="AR269" i="40"/>
  <c r="AQ269" i="40"/>
  <c r="AP269" i="40"/>
  <c r="AO269" i="40"/>
  <c r="AN269" i="40"/>
  <c r="AM269" i="40"/>
  <c r="AL269" i="40"/>
  <c r="AK269" i="40"/>
  <c r="AJ269" i="40"/>
  <c r="AI269" i="40"/>
  <c r="AH269" i="40"/>
  <c r="AG269" i="40"/>
  <c r="AF269" i="40"/>
  <c r="AE269" i="40"/>
  <c r="AS268" i="40"/>
  <c r="AR268" i="40"/>
  <c r="AQ268" i="40"/>
  <c r="AP268" i="40"/>
  <c r="AO268" i="40"/>
  <c r="AN268" i="40"/>
  <c r="AM268" i="40"/>
  <c r="AL268" i="40"/>
  <c r="AK268" i="40"/>
  <c r="AJ268" i="40"/>
  <c r="AI268" i="40"/>
  <c r="AH268" i="40"/>
  <c r="AG268" i="40"/>
  <c r="AF268" i="40"/>
  <c r="AE268" i="40"/>
  <c r="AS267" i="40"/>
  <c r="AR267" i="40"/>
  <c r="AQ267" i="40"/>
  <c r="AP267" i="40"/>
  <c r="AO267" i="40"/>
  <c r="AN267" i="40"/>
  <c r="AM267" i="40"/>
  <c r="AL267" i="40"/>
  <c r="AK267" i="40"/>
  <c r="AJ267" i="40"/>
  <c r="AI267" i="40"/>
  <c r="AH267" i="40"/>
  <c r="AG267" i="40"/>
  <c r="AF267" i="40"/>
  <c r="AE267" i="40"/>
  <c r="AS266" i="40"/>
  <c r="AR266" i="40"/>
  <c r="AQ266" i="40"/>
  <c r="AP266" i="40"/>
  <c r="AO266" i="40"/>
  <c r="AN266" i="40"/>
  <c r="AM266" i="40"/>
  <c r="AL266" i="40"/>
  <c r="AK266" i="40"/>
  <c r="AJ266" i="40"/>
  <c r="AI266" i="40"/>
  <c r="AH266" i="40"/>
  <c r="AG266" i="40"/>
  <c r="AF266" i="40"/>
  <c r="AE266" i="40"/>
  <c r="AS265" i="40"/>
  <c r="AR265" i="40"/>
  <c r="AQ265" i="40"/>
  <c r="AP265" i="40"/>
  <c r="AO265" i="40"/>
  <c r="AN265" i="40"/>
  <c r="AM265" i="40"/>
  <c r="AL265" i="40"/>
  <c r="AK265" i="40"/>
  <c r="AJ265" i="40"/>
  <c r="AI265" i="40"/>
  <c r="AH265" i="40"/>
  <c r="AG265" i="40"/>
  <c r="AF265" i="40"/>
  <c r="AE265" i="40"/>
  <c r="AS264" i="40"/>
  <c r="AR264" i="40"/>
  <c r="AQ264" i="40"/>
  <c r="AP264" i="40"/>
  <c r="AO264" i="40"/>
  <c r="AN264" i="40"/>
  <c r="AM264" i="40"/>
  <c r="AL264" i="40"/>
  <c r="AK264" i="40"/>
  <c r="AJ264" i="40"/>
  <c r="AI264" i="40"/>
  <c r="AH264" i="40"/>
  <c r="AG264" i="40"/>
  <c r="AF264" i="40"/>
  <c r="AE264" i="40"/>
  <c r="AS263" i="40"/>
  <c r="AR263" i="40"/>
  <c r="AQ263" i="40"/>
  <c r="AP263" i="40"/>
  <c r="AO263" i="40"/>
  <c r="AN263" i="40"/>
  <c r="AM263" i="40"/>
  <c r="AL263" i="40"/>
  <c r="AK263" i="40"/>
  <c r="AJ263" i="40"/>
  <c r="AI263" i="40"/>
  <c r="AH263" i="40"/>
  <c r="AG263" i="40"/>
  <c r="AF263" i="40"/>
  <c r="AE263" i="40"/>
  <c r="AS262" i="40"/>
  <c r="AR262" i="40"/>
  <c r="AQ262" i="40"/>
  <c r="AP262" i="40"/>
  <c r="AO262" i="40"/>
  <c r="AN262" i="40"/>
  <c r="AM262" i="40"/>
  <c r="AL262" i="40"/>
  <c r="AK262" i="40"/>
  <c r="AJ262" i="40"/>
  <c r="AI262" i="40"/>
  <c r="AH262" i="40"/>
  <c r="AG262" i="40"/>
  <c r="AF262" i="40"/>
  <c r="AE262" i="40"/>
  <c r="AS261" i="40"/>
  <c r="AR261" i="40"/>
  <c r="AQ261" i="40"/>
  <c r="AP261" i="40"/>
  <c r="AO261" i="40"/>
  <c r="AN261" i="40"/>
  <c r="AM261" i="40"/>
  <c r="AL261" i="40"/>
  <c r="AK261" i="40"/>
  <c r="AJ261" i="40"/>
  <c r="AI261" i="40"/>
  <c r="AH261" i="40"/>
  <c r="AG261" i="40"/>
  <c r="AF261" i="40"/>
  <c r="AE261" i="40"/>
  <c r="AS260" i="40"/>
  <c r="AR260" i="40"/>
  <c r="AQ260" i="40"/>
  <c r="AP260" i="40"/>
  <c r="AO260" i="40"/>
  <c r="AN260" i="40"/>
  <c r="AM260" i="40"/>
  <c r="AL260" i="40"/>
  <c r="AK260" i="40"/>
  <c r="AJ260" i="40"/>
  <c r="AI260" i="40"/>
  <c r="AH260" i="40"/>
  <c r="AG260" i="40"/>
  <c r="AF260" i="40"/>
  <c r="AE260" i="40"/>
  <c r="AS259" i="40"/>
  <c r="AR259" i="40"/>
  <c r="AQ259" i="40"/>
  <c r="AP259" i="40"/>
  <c r="AO259" i="40"/>
  <c r="AN259" i="40"/>
  <c r="AM259" i="40"/>
  <c r="AL259" i="40"/>
  <c r="AK259" i="40"/>
  <c r="AJ259" i="40"/>
  <c r="AI259" i="40"/>
  <c r="AH259" i="40"/>
  <c r="AG259" i="40"/>
  <c r="AF259" i="40"/>
  <c r="AE259" i="40"/>
  <c r="AS258" i="40"/>
  <c r="AR258" i="40"/>
  <c r="AQ258" i="40"/>
  <c r="AP258" i="40"/>
  <c r="AO258" i="40"/>
  <c r="AN258" i="40"/>
  <c r="AM258" i="40"/>
  <c r="AL258" i="40"/>
  <c r="AK258" i="40"/>
  <c r="AJ258" i="40"/>
  <c r="AI258" i="40"/>
  <c r="AH258" i="40"/>
  <c r="AG258" i="40"/>
  <c r="AF258" i="40"/>
  <c r="AE258" i="40"/>
  <c r="AS257" i="40"/>
  <c r="AR257" i="40"/>
  <c r="AQ257" i="40"/>
  <c r="AP257" i="40"/>
  <c r="AO257" i="40"/>
  <c r="AN257" i="40"/>
  <c r="AM257" i="40"/>
  <c r="AL257" i="40"/>
  <c r="AK257" i="40"/>
  <c r="AJ257" i="40"/>
  <c r="AI257" i="40"/>
  <c r="AH257" i="40"/>
  <c r="AG257" i="40"/>
  <c r="AF257" i="40"/>
  <c r="AE257" i="40"/>
  <c r="AS256" i="40"/>
  <c r="AR256" i="40"/>
  <c r="AQ256" i="40"/>
  <c r="AP256" i="40"/>
  <c r="AO256" i="40"/>
  <c r="AN256" i="40"/>
  <c r="AM256" i="40"/>
  <c r="AL256" i="40"/>
  <c r="AK256" i="40"/>
  <c r="AJ256" i="40"/>
  <c r="AI256" i="40"/>
  <c r="AH256" i="40"/>
  <c r="AG256" i="40"/>
  <c r="AF256" i="40"/>
  <c r="AE256" i="40"/>
  <c r="AS255" i="40"/>
  <c r="AR255" i="40"/>
  <c r="AQ255" i="40"/>
  <c r="AP255" i="40"/>
  <c r="AO255" i="40"/>
  <c r="AN255" i="40"/>
  <c r="AM255" i="40"/>
  <c r="AL255" i="40"/>
  <c r="AK255" i="40"/>
  <c r="AJ255" i="40"/>
  <c r="AI255" i="40"/>
  <c r="AH255" i="40"/>
  <c r="AG255" i="40"/>
  <c r="AF255" i="40"/>
  <c r="AE255" i="40"/>
  <c r="AS254" i="40"/>
  <c r="AR254" i="40"/>
  <c r="AQ254" i="40"/>
  <c r="AP254" i="40"/>
  <c r="AO254" i="40"/>
  <c r="AN254" i="40"/>
  <c r="AM254" i="40"/>
  <c r="AL254" i="40"/>
  <c r="AK254" i="40"/>
  <c r="AJ254" i="40"/>
  <c r="AI254" i="40"/>
  <c r="AH254" i="40"/>
  <c r="AG254" i="40"/>
  <c r="AF254" i="40"/>
  <c r="AE254" i="40"/>
  <c r="AS253" i="40"/>
  <c r="AR253" i="40"/>
  <c r="AQ253" i="40"/>
  <c r="AP253" i="40"/>
  <c r="AO253" i="40"/>
  <c r="AN253" i="40"/>
  <c r="AM253" i="40"/>
  <c r="AL253" i="40"/>
  <c r="AK253" i="40"/>
  <c r="AJ253" i="40"/>
  <c r="AI253" i="40"/>
  <c r="AH253" i="40"/>
  <c r="AG253" i="40"/>
  <c r="AF253" i="40"/>
  <c r="AE253" i="40"/>
  <c r="AS252" i="40"/>
  <c r="AR252" i="40"/>
  <c r="AQ252" i="40"/>
  <c r="AP252" i="40"/>
  <c r="AO252" i="40"/>
  <c r="AN252" i="40"/>
  <c r="AM252" i="40"/>
  <c r="AL252" i="40"/>
  <c r="AK252" i="40"/>
  <c r="AJ252" i="40"/>
  <c r="AI252" i="40"/>
  <c r="AH252" i="40"/>
  <c r="AG252" i="40"/>
  <c r="AF252" i="40"/>
  <c r="AE252" i="40"/>
  <c r="AS251" i="40"/>
  <c r="AR251" i="40"/>
  <c r="AQ251" i="40"/>
  <c r="AP251" i="40"/>
  <c r="AO251" i="40"/>
  <c r="AN251" i="40"/>
  <c r="AM251" i="40"/>
  <c r="AL251" i="40"/>
  <c r="AK251" i="40"/>
  <c r="AJ251" i="40"/>
  <c r="AI251" i="40"/>
  <c r="AH251" i="40"/>
  <c r="AG251" i="40"/>
  <c r="AF251" i="40"/>
  <c r="AE251" i="40"/>
  <c r="AS250" i="40"/>
  <c r="AR250" i="40"/>
  <c r="AQ250" i="40"/>
  <c r="AP250" i="40"/>
  <c r="AO250" i="40"/>
  <c r="AN250" i="40"/>
  <c r="AM250" i="40"/>
  <c r="AL250" i="40"/>
  <c r="AK250" i="40"/>
  <c r="AJ250" i="40"/>
  <c r="AI250" i="40"/>
  <c r="AH250" i="40"/>
  <c r="AG250" i="40"/>
  <c r="AF250" i="40"/>
  <c r="AE250" i="40"/>
  <c r="AS249" i="40"/>
  <c r="AR249" i="40"/>
  <c r="AQ249" i="40"/>
  <c r="AP249" i="40"/>
  <c r="AO249" i="40"/>
  <c r="AN249" i="40"/>
  <c r="AM249" i="40"/>
  <c r="AL249" i="40"/>
  <c r="AK249" i="40"/>
  <c r="AJ249" i="40"/>
  <c r="AI249" i="40"/>
  <c r="AH249" i="40"/>
  <c r="AG249" i="40"/>
  <c r="AF249" i="40"/>
  <c r="AE249" i="40"/>
  <c r="AS248" i="40"/>
  <c r="AR248" i="40"/>
  <c r="AQ248" i="40"/>
  <c r="AP248" i="40"/>
  <c r="AO248" i="40"/>
  <c r="AN248" i="40"/>
  <c r="AM248" i="40"/>
  <c r="AL248" i="40"/>
  <c r="AK248" i="40"/>
  <c r="AJ248" i="40"/>
  <c r="AI248" i="40"/>
  <c r="AH248" i="40"/>
  <c r="AG248" i="40"/>
  <c r="AF248" i="40"/>
  <c r="AE248" i="40"/>
  <c r="AS247" i="40"/>
  <c r="AR247" i="40"/>
  <c r="AQ247" i="40"/>
  <c r="AP247" i="40"/>
  <c r="AO247" i="40"/>
  <c r="AN247" i="40"/>
  <c r="AM247" i="40"/>
  <c r="AL247" i="40"/>
  <c r="AK247" i="40"/>
  <c r="AJ247" i="40"/>
  <c r="AI247" i="40"/>
  <c r="AH247" i="40"/>
  <c r="AG247" i="40"/>
  <c r="AF247" i="40"/>
  <c r="AE247" i="40"/>
  <c r="AS246" i="40"/>
  <c r="AR246" i="40"/>
  <c r="AQ246" i="40"/>
  <c r="AP246" i="40"/>
  <c r="AO246" i="40"/>
  <c r="AN246" i="40"/>
  <c r="AM246" i="40"/>
  <c r="AL246" i="40"/>
  <c r="AK246" i="40"/>
  <c r="AJ246" i="40"/>
  <c r="AI246" i="40"/>
  <c r="AH246" i="40"/>
  <c r="AG246" i="40"/>
  <c r="AF246" i="40"/>
  <c r="AE246" i="40"/>
  <c r="AS245" i="40"/>
  <c r="AR245" i="40"/>
  <c r="AQ245" i="40"/>
  <c r="AP245" i="40"/>
  <c r="AO245" i="40"/>
  <c r="AN245" i="40"/>
  <c r="AM245" i="40"/>
  <c r="AL245" i="40"/>
  <c r="AK245" i="40"/>
  <c r="AJ245" i="40"/>
  <c r="AI245" i="40"/>
  <c r="AH245" i="40"/>
  <c r="AG245" i="40"/>
  <c r="AF245" i="40"/>
  <c r="AE245" i="40"/>
  <c r="AS244" i="40"/>
  <c r="AR244" i="40"/>
  <c r="AQ244" i="40"/>
  <c r="AP244" i="40"/>
  <c r="AO244" i="40"/>
  <c r="AN244" i="40"/>
  <c r="AM244" i="40"/>
  <c r="AL244" i="40"/>
  <c r="AK244" i="40"/>
  <c r="AJ244" i="40"/>
  <c r="AI244" i="40"/>
  <c r="AH244" i="40"/>
  <c r="AG244" i="40"/>
  <c r="AF244" i="40"/>
  <c r="AE244" i="40"/>
  <c r="AS243" i="40"/>
  <c r="AR243" i="40"/>
  <c r="AQ243" i="40"/>
  <c r="AP243" i="40"/>
  <c r="AO243" i="40"/>
  <c r="AN243" i="40"/>
  <c r="AM243" i="40"/>
  <c r="AL243" i="40"/>
  <c r="AK243" i="40"/>
  <c r="AJ243" i="40"/>
  <c r="AI243" i="40"/>
  <c r="AH243" i="40"/>
  <c r="AG243" i="40"/>
  <c r="AF243" i="40"/>
  <c r="AE243" i="40"/>
  <c r="AS242" i="40"/>
  <c r="AR242" i="40"/>
  <c r="AQ242" i="40"/>
  <c r="AP242" i="40"/>
  <c r="AO242" i="40"/>
  <c r="AN242" i="40"/>
  <c r="AM242" i="40"/>
  <c r="AL242" i="40"/>
  <c r="AK242" i="40"/>
  <c r="AJ242" i="40"/>
  <c r="AI242" i="40"/>
  <c r="AH242" i="40"/>
  <c r="AG242" i="40"/>
  <c r="AF242" i="40"/>
  <c r="AE242" i="40"/>
  <c r="AS241" i="40"/>
  <c r="AR241" i="40"/>
  <c r="AQ241" i="40"/>
  <c r="AP241" i="40"/>
  <c r="AO241" i="40"/>
  <c r="AN241" i="40"/>
  <c r="AM241" i="40"/>
  <c r="AL241" i="40"/>
  <c r="AK241" i="40"/>
  <c r="AJ241" i="40"/>
  <c r="AI241" i="40"/>
  <c r="AH241" i="40"/>
  <c r="AG241" i="40"/>
  <c r="AF241" i="40"/>
  <c r="AE241" i="40"/>
  <c r="AS240" i="40"/>
  <c r="AR240" i="40"/>
  <c r="AQ240" i="40"/>
  <c r="AP240" i="40"/>
  <c r="AO240" i="40"/>
  <c r="AN240" i="40"/>
  <c r="AM240" i="40"/>
  <c r="AL240" i="40"/>
  <c r="AK240" i="40"/>
  <c r="AJ240" i="40"/>
  <c r="AI240" i="40"/>
  <c r="AH240" i="40"/>
  <c r="AG240" i="40"/>
  <c r="AF240" i="40"/>
  <c r="AE240" i="40"/>
  <c r="AS239" i="40"/>
  <c r="AR239" i="40"/>
  <c r="AQ239" i="40"/>
  <c r="AP239" i="40"/>
  <c r="AO239" i="40"/>
  <c r="AN239" i="40"/>
  <c r="AM239" i="40"/>
  <c r="AL239" i="40"/>
  <c r="AK239" i="40"/>
  <c r="AJ239" i="40"/>
  <c r="AI239" i="40"/>
  <c r="AH239" i="40"/>
  <c r="AG239" i="40"/>
  <c r="AF239" i="40"/>
  <c r="AE239" i="40"/>
  <c r="AS238" i="40"/>
  <c r="AR238" i="40"/>
  <c r="AQ238" i="40"/>
  <c r="AP238" i="40"/>
  <c r="AO238" i="40"/>
  <c r="AN238" i="40"/>
  <c r="AM238" i="40"/>
  <c r="AL238" i="40"/>
  <c r="AK238" i="40"/>
  <c r="AJ238" i="40"/>
  <c r="AI238" i="40"/>
  <c r="AH238" i="40"/>
  <c r="AG238" i="40"/>
  <c r="AF238" i="40"/>
  <c r="AE238" i="40"/>
  <c r="AS237" i="40"/>
  <c r="AR237" i="40"/>
  <c r="AQ237" i="40"/>
  <c r="AP237" i="40"/>
  <c r="AO237" i="40"/>
  <c r="AN237" i="40"/>
  <c r="AM237" i="40"/>
  <c r="AL237" i="40"/>
  <c r="AK237" i="40"/>
  <c r="AJ237" i="40"/>
  <c r="AI237" i="40"/>
  <c r="AH237" i="40"/>
  <c r="AG237" i="40"/>
  <c r="AF237" i="40"/>
  <c r="AE237" i="40"/>
  <c r="AS236" i="40"/>
  <c r="AR236" i="40"/>
  <c r="AQ236" i="40"/>
  <c r="AP236" i="40"/>
  <c r="AO236" i="40"/>
  <c r="AN236" i="40"/>
  <c r="AM236" i="40"/>
  <c r="AL236" i="40"/>
  <c r="AK236" i="40"/>
  <c r="AJ236" i="40"/>
  <c r="AI236" i="40"/>
  <c r="AH236" i="40"/>
  <c r="AG236" i="40"/>
  <c r="AF236" i="40"/>
  <c r="AE236" i="40"/>
  <c r="AS235" i="40"/>
  <c r="AR235" i="40"/>
  <c r="AQ235" i="40"/>
  <c r="AP235" i="40"/>
  <c r="AO235" i="40"/>
  <c r="AN235" i="40"/>
  <c r="AM235" i="40"/>
  <c r="AL235" i="40"/>
  <c r="AK235" i="40"/>
  <c r="AJ235" i="40"/>
  <c r="AI235" i="40"/>
  <c r="AH235" i="40"/>
  <c r="AG235" i="40"/>
  <c r="AF235" i="40"/>
  <c r="AE235" i="40"/>
  <c r="AS234" i="40"/>
  <c r="AR234" i="40"/>
  <c r="AQ234" i="40"/>
  <c r="AP234" i="40"/>
  <c r="AO234" i="40"/>
  <c r="AN234" i="40"/>
  <c r="AM234" i="40"/>
  <c r="AL234" i="40"/>
  <c r="AK234" i="40"/>
  <c r="AJ234" i="40"/>
  <c r="AI234" i="40"/>
  <c r="AH234" i="40"/>
  <c r="AG234" i="40"/>
  <c r="AF234" i="40"/>
  <c r="AE234" i="40"/>
  <c r="AS233" i="40"/>
  <c r="AR233" i="40"/>
  <c r="AQ233" i="40"/>
  <c r="AP233" i="40"/>
  <c r="AO233" i="40"/>
  <c r="AN233" i="40"/>
  <c r="AM233" i="40"/>
  <c r="AL233" i="40"/>
  <c r="AK233" i="40"/>
  <c r="AJ233" i="40"/>
  <c r="AI233" i="40"/>
  <c r="AH233" i="40"/>
  <c r="AG233" i="40"/>
  <c r="AF233" i="40"/>
  <c r="AE233" i="40"/>
  <c r="AS232" i="40"/>
  <c r="AR232" i="40"/>
  <c r="AQ232" i="40"/>
  <c r="AP232" i="40"/>
  <c r="AO232" i="40"/>
  <c r="AN232" i="40"/>
  <c r="AM232" i="40"/>
  <c r="AL232" i="40"/>
  <c r="AK232" i="40"/>
  <c r="AJ232" i="40"/>
  <c r="AI232" i="40"/>
  <c r="AH232" i="40"/>
  <c r="AG232" i="40"/>
  <c r="AF232" i="40"/>
  <c r="AE232" i="40"/>
  <c r="AS231" i="40"/>
  <c r="AR231" i="40"/>
  <c r="AQ231" i="40"/>
  <c r="AP231" i="40"/>
  <c r="AO231" i="40"/>
  <c r="AN231" i="40"/>
  <c r="AM231" i="40"/>
  <c r="AL231" i="40"/>
  <c r="AK231" i="40"/>
  <c r="AJ231" i="40"/>
  <c r="AI231" i="40"/>
  <c r="AH231" i="40"/>
  <c r="AG231" i="40"/>
  <c r="AF231" i="40"/>
  <c r="AE231" i="40"/>
  <c r="AS230" i="40"/>
  <c r="AR230" i="40"/>
  <c r="AQ230" i="40"/>
  <c r="AP230" i="40"/>
  <c r="AO230" i="40"/>
  <c r="AN230" i="40"/>
  <c r="AM230" i="40"/>
  <c r="AL230" i="40"/>
  <c r="AK230" i="40"/>
  <c r="AJ230" i="40"/>
  <c r="AI230" i="40"/>
  <c r="AH230" i="40"/>
  <c r="AG230" i="40"/>
  <c r="AF230" i="40"/>
  <c r="AE230" i="40"/>
  <c r="AS229" i="40"/>
  <c r="AR229" i="40"/>
  <c r="AQ229" i="40"/>
  <c r="AP229" i="40"/>
  <c r="AO229" i="40"/>
  <c r="AN229" i="40"/>
  <c r="AM229" i="40"/>
  <c r="AL229" i="40"/>
  <c r="AK229" i="40"/>
  <c r="AJ229" i="40"/>
  <c r="AI229" i="40"/>
  <c r="AH229" i="40"/>
  <c r="AG229" i="40"/>
  <c r="AF229" i="40"/>
  <c r="AE229" i="40"/>
  <c r="AS228" i="40"/>
  <c r="AR228" i="40"/>
  <c r="AQ228" i="40"/>
  <c r="AP228" i="40"/>
  <c r="AO228" i="40"/>
  <c r="AN228" i="40"/>
  <c r="AM228" i="40"/>
  <c r="AL228" i="40"/>
  <c r="AK228" i="40"/>
  <c r="AJ228" i="40"/>
  <c r="AI228" i="40"/>
  <c r="AH228" i="40"/>
  <c r="AG228" i="40"/>
  <c r="AF228" i="40"/>
  <c r="AE228" i="40"/>
  <c r="AS227" i="40"/>
  <c r="AR227" i="40"/>
  <c r="AQ227" i="40"/>
  <c r="AP227" i="40"/>
  <c r="AO227" i="40"/>
  <c r="AN227" i="40"/>
  <c r="AM227" i="40"/>
  <c r="AL227" i="40"/>
  <c r="AK227" i="40"/>
  <c r="AJ227" i="40"/>
  <c r="AI227" i="40"/>
  <c r="AH227" i="40"/>
  <c r="AG227" i="40"/>
  <c r="AF227" i="40"/>
  <c r="AE227" i="40"/>
  <c r="AS226" i="40"/>
  <c r="AR226" i="40"/>
  <c r="AQ226" i="40"/>
  <c r="AP226" i="40"/>
  <c r="AO226" i="40"/>
  <c r="AN226" i="40"/>
  <c r="AM226" i="40"/>
  <c r="AL226" i="40"/>
  <c r="AK226" i="40"/>
  <c r="AJ226" i="40"/>
  <c r="AI226" i="40"/>
  <c r="AH226" i="40"/>
  <c r="AG226" i="40"/>
  <c r="AF226" i="40"/>
  <c r="AE226" i="40"/>
  <c r="AS225" i="40"/>
  <c r="AR225" i="40"/>
  <c r="AQ225" i="40"/>
  <c r="AP225" i="40"/>
  <c r="AO225" i="40"/>
  <c r="AN225" i="40"/>
  <c r="AM225" i="40"/>
  <c r="AL225" i="40"/>
  <c r="AK225" i="40"/>
  <c r="AJ225" i="40"/>
  <c r="AI225" i="40"/>
  <c r="AH225" i="40"/>
  <c r="AG225" i="40"/>
  <c r="AF225" i="40"/>
  <c r="AE225" i="40"/>
  <c r="AS224" i="40"/>
  <c r="AR224" i="40"/>
  <c r="AQ224" i="40"/>
  <c r="AP224" i="40"/>
  <c r="AO224" i="40"/>
  <c r="AN224" i="40"/>
  <c r="AM224" i="40"/>
  <c r="AL224" i="40"/>
  <c r="AK224" i="40"/>
  <c r="AJ224" i="40"/>
  <c r="AI224" i="40"/>
  <c r="AH224" i="40"/>
  <c r="AG224" i="40"/>
  <c r="AF224" i="40"/>
  <c r="AE224" i="40"/>
  <c r="AS223" i="40"/>
  <c r="AR223" i="40"/>
  <c r="AQ223" i="40"/>
  <c r="AP223" i="40"/>
  <c r="AO223" i="40"/>
  <c r="AN223" i="40"/>
  <c r="AM223" i="40"/>
  <c r="AL223" i="40"/>
  <c r="AK223" i="40"/>
  <c r="AJ223" i="40"/>
  <c r="AI223" i="40"/>
  <c r="AH223" i="40"/>
  <c r="AG223" i="40"/>
  <c r="AF223" i="40"/>
  <c r="AE223" i="40"/>
  <c r="AS222" i="40"/>
  <c r="AR222" i="40"/>
  <c r="AQ222" i="40"/>
  <c r="AP222" i="40"/>
  <c r="AO222" i="40"/>
  <c r="AN222" i="40"/>
  <c r="AM222" i="40"/>
  <c r="AL222" i="40"/>
  <c r="AK222" i="40"/>
  <c r="AJ222" i="40"/>
  <c r="AI222" i="40"/>
  <c r="AH222" i="40"/>
  <c r="AG222" i="40"/>
  <c r="AF222" i="40"/>
  <c r="AE222" i="40"/>
  <c r="AS221" i="40"/>
  <c r="AR221" i="40"/>
  <c r="AQ221" i="40"/>
  <c r="AP221" i="40"/>
  <c r="AO221" i="40"/>
  <c r="AN221" i="40"/>
  <c r="AM221" i="40"/>
  <c r="AL221" i="40"/>
  <c r="AK221" i="40"/>
  <c r="AJ221" i="40"/>
  <c r="AI221" i="40"/>
  <c r="AH221" i="40"/>
  <c r="AG221" i="40"/>
  <c r="AF221" i="40"/>
  <c r="AE221" i="40"/>
  <c r="AS220" i="40"/>
  <c r="AR220" i="40"/>
  <c r="AQ220" i="40"/>
  <c r="AP220" i="40"/>
  <c r="AO220" i="40"/>
  <c r="AN220" i="40"/>
  <c r="AM220" i="40"/>
  <c r="AL220" i="40"/>
  <c r="AK220" i="40"/>
  <c r="AJ220" i="40"/>
  <c r="AI220" i="40"/>
  <c r="AH220" i="40"/>
  <c r="AG220" i="40"/>
  <c r="AF220" i="40"/>
  <c r="AE220" i="40"/>
  <c r="AS219" i="40"/>
  <c r="AR219" i="40"/>
  <c r="AQ219" i="40"/>
  <c r="AP219" i="40"/>
  <c r="AO219" i="40"/>
  <c r="AN219" i="40"/>
  <c r="AM219" i="40"/>
  <c r="AL219" i="40"/>
  <c r="AK219" i="40"/>
  <c r="AJ219" i="40"/>
  <c r="AI219" i="40"/>
  <c r="AH219" i="40"/>
  <c r="AG219" i="40"/>
  <c r="AF219" i="40"/>
  <c r="AE219" i="40"/>
  <c r="AS218" i="40"/>
  <c r="AR218" i="40"/>
  <c r="AQ218" i="40"/>
  <c r="AP218" i="40"/>
  <c r="AO218" i="40"/>
  <c r="AN218" i="40"/>
  <c r="AM218" i="40"/>
  <c r="AL218" i="40"/>
  <c r="AK218" i="40"/>
  <c r="AJ218" i="40"/>
  <c r="AI218" i="40"/>
  <c r="AH218" i="40"/>
  <c r="AG218" i="40"/>
  <c r="AF218" i="40"/>
  <c r="AE218" i="40"/>
  <c r="AS217" i="40"/>
  <c r="AR217" i="40"/>
  <c r="AQ217" i="40"/>
  <c r="AP217" i="40"/>
  <c r="AO217" i="40"/>
  <c r="AN217" i="40"/>
  <c r="AM217" i="40"/>
  <c r="AL217" i="40"/>
  <c r="AK217" i="40"/>
  <c r="AJ217" i="40"/>
  <c r="AI217" i="40"/>
  <c r="AH217" i="40"/>
  <c r="AG217" i="40"/>
  <c r="AF217" i="40"/>
  <c r="AE217" i="40"/>
  <c r="AS216" i="40"/>
  <c r="AR216" i="40"/>
  <c r="AQ216" i="40"/>
  <c r="AP216" i="40"/>
  <c r="AO216" i="40"/>
  <c r="AN216" i="40"/>
  <c r="AM216" i="40"/>
  <c r="AL216" i="40"/>
  <c r="AK216" i="40"/>
  <c r="AJ216" i="40"/>
  <c r="AI216" i="40"/>
  <c r="AH216" i="40"/>
  <c r="AG216" i="40"/>
  <c r="AF216" i="40"/>
  <c r="AE216" i="40"/>
  <c r="AS215" i="40"/>
  <c r="AR215" i="40"/>
  <c r="AQ215" i="40"/>
  <c r="AP215" i="40"/>
  <c r="AO215" i="40"/>
  <c r="AN215" i="40"/>
  <c r="AM215" i="40"/>
  <c r="AL215" i="40"/>
  <c r="AK215" i="40"/>
  <c r="AJ215" i="40"/>
  <c r="AI215" i="40"/>
  <c r="AH215" i="40"/>
  <c r="AG215" i="40"/>
  <c r="AF215" i="40"/>
  <c r="AE215" i="40"/>
  <c r="AS214" i="40"/>
  <c r="AR214" i="40"/>
  <c r="AQ214" i="40"/>
  <c r="AP214" i="40"/>
  <c r="AO214" i="40"/>
  <c r="AN214" i="40"/>
  <c r="AM214" i="40"/>
  <c r="AL214" i="40"/>
  <c r="AK214" i="40"/>
  <c r="AJ214" i="40"/>
  <c r="AI214" i="40"/>
  <c r="AH214" i="40"/>
  <c r="AG214" i="40"/>
  <c r="AF214" i="40"/>
  <c r="AE214" i="40"/>
  <c r="AS213" i="40"/>
  <c r="AR213" i="40"/>
  <c r="AQ213" i="40"/>
  <c r="AP213" i="40"/>
  <c r="AO213" i="40"/>
  <c r="AN213" i="40"/>
  <c r="AM213" i="40"/>
  <c r="AL213" i="40"/>
  <c r="AK213" i="40"/>
  <c r="AJ213" i="40"/>
  <c r="AI213" i="40"/>
  <c r="AH213" i="40"/>
  <c r="AG213" i="40"/>
  <c r="AF213" i="40"/>
  <c r="AE213" i="40"/>
  <c r="AS212" i="40"/>
  <c r="AR212" i="40"/>
  <c r="AQ212" i="40"/>
  <c r="AP212" i="40"/>
  <c r="AO212" i="40"/>
  <c r="AN212" i="40"/>
  <c r="AM212" i="40"/>
  <c r="AL212" i="40"/>
  <c r="AK212" i="40"/>
  <c r="AJ212" i="40"/>
  <c r="AI212" i="40"/>
  <c r="AH212" i="40"/>
  <c r="AG212" i="40"/>
  <c r="AF212" i="40"/>
  <c r="AE212" i="40"/>
  <c r="AS211" i="40"/>
  <c r="AR211" i="40"/>
  <c r="AQ211" i="40"/>
  <c r="AP211" i="40"/>
  <c r="AO211" i="40"/>
  <c r="AN211" i="40"/>
  <c r="AM211" i="40"/>
  <c r="AL211" i="40"/>
  <c r="AK211" i="40"/>
  <c r="AJ211" i="40"/>
  <c r="AI211" i="40"/>
  <c r="AH211" i="40"/>
  <c r="AG211" i="40"/>
  <c r="AF211" i="40"/>
  <c r="AE211" i="40"/>
  <c r="AS210" i="40"/>
  <c r="AR210" i="40"/>
  <c r="AQ210" i="40"/>
  <c r="AP210" i="40"/>
  <c r="AO210" i="40"/>
  <c r="AN210" i="40"/>
  <c r="AM210" i="40"/>
  <c r="AL210" i="40"/>
  <c r="AK210" i="40"/>
  <c r="AJ210" i="40"/>
  <c r="AI210" i="40"/>
  <c r="AH210" i="40"/>
  <c r="AG210" i="40"/>
  <c r="AF210" i="40"/>
  <c r="AE210" i="40"/>
  <c r="AS209" i="40"/>
  <c r="AR209" i="40"/>
  <c r="AQ209" i="40"/>
  <c r="AP209" i="40"/>
  <c r="AO209" i="40"/>
  <c r="AN209" i="40"/>
  <c r="AM209" i="40"/>
  <c r="AL209" i="40"/>
  <c r="AK209" i="40"/>
  <c r="AJ209" i="40"/>
  <c r="AI209" i="40"/>
  <c r="AH209" i="40"/>
  <c r="AG209" i="40"/>
  <c r="AF209" i="40"/>
  <c r="AE209" i="40"/>
  <c r="AS208" i="40"/>
  <c r="AR208" i="40"/>
  <c r="AQ208" i="40"/>
  <c r="AP208" i="40"/>
  <c r="AO208" i="40"/>
  <c r="AN208" i="40"/>
  <c r="AM208" i="40"/>
  <c r="AL208" i="40"/>
  <c r="AK208" i="40"/>
  <c r="AJ208" i="40"/>
  <c r="AI208" i="40"/>
  <c r="AH208" i="40"/>
  <c r="AG208" i="40"/>
  <c r="AF208" i="40"/>
  <c r="AE208" i="40"/>
  <c r="AS207" i="40"/>
  <c r="AR207" i="40"/>
  <c r="AQ207" i="40"/>
  <c r="AP207" i="40"/>
  <c r="AO207" i="40"/>
  <c r="AN207" i="40"/>
  <c r="AM207" i="40"/>
  <c r="AL207" i="40"/>
  <c r="AK207" i="40"/>
  <c r="AJ207" i="40"/>
  <c r="AI207" i="40"/>
  <c r="AH207" i="40"/>
  <c r="AG207" i="40"/>
  <c r="AF207" i="40"/>
  <c r="AE207" i="40"/>
  <c r="AS206" i="40"/>
  <c r="AR206" i="40"/>
  <c r="AQ206" i="40"/>
  <c r="AP206" i="40"/>
  <c r="AO206" i="40"/>
  <c r="AN206" i="40"/>
  <c r="AM206" i="40"/>
  <c r="AL206" i="40"/>
  <c r="AK206" i="40"/>
  <c r="AJ206" i="40"/>
  <c r="AI206" i="40"/>
  <c r="AH206" i="40"/>
  <c r="AG206" i="40"/>
  <c r="AF206" i="40"/>
  <c r="AE206" i="40"/>
  <c r="AS205" i="40"/>
  <c r="AR205" i="40"/>
  <c r="AQ205" i="40"/>
  <c r="AP205" i="40"/>
  <c r="AO205" i="40"/>
  <c r="AN205" i="40"/>
  <c r="AM205" i="40"/>
  <c r="AL205" i="40"/>
  <c r="AK205" i="40"/>
  <c r="AJ205" i="40"/>
  <c r="AI205" i="40"/>
  <c r="AH205" i="40"/>
  <c r="AG205" i="40"/>
  <c r="AF205" i="40"/>
  <c r="AE205" i="40"/>
  <c r="AS204" i="40"/>
  <c r="AR204" i="40"/>
  <c r="AQ204" i="40"/>
  <c r="AP204" i="40"/>
  <c r="AO204" i="40"/>
  <c r="AN204" i="40"/>
  <c r="AM204" i="40"/>
  <c r="AL204" i="40"/>
  <c r="AK204" i="40"/>
  <c r="AJ204" i="40"/>
  <c r="AI204" i="40"/>
  <c r="AH204" i="40"/>
  <c r="AG204" i="40"/>
  <c r="AF204" i="40"/>
  <c r="AE204" i="40"/>
  <c r="AS203" i="40"/>
  <c r="AR203" i="40"/>
  <c r="AQ203" i="40"/>
  <c r="AP203" i="40"/>
  <c r="AO203" i="40"/>
  <c r="AN203" i="40"/>
  <c r="AM203" i="40"/>
  <c r="AL203" i="40"/>
  <c r="AK203" i="40"/>
  <c r="AJ203" i="40"/>
  <c r="AI203" i="40"/>
  <c r="AH203" i="40"/>
  <c r="AG203" i="40"/>
  <c r="AF203" i="40"/>
  <c r="AE203" i="40"/>
  <c r="AS202" i="40"/>
  <c r="AR202" i="40"/>
  <c r="AQ202" i="40"/>
  <c r="AP202" i="40"/>
  <c r="AO202" i="40"/>
  <c r="AN202" i="40"/>
  <c r="AM202" i="40"/>
  <c r="AL202" i="40"/>
  <c r="AK202" i="40"/>
  <c r="AJ202" i="40"/>
  <c r="AI202" i="40"/>
  <c r="AH202" i="40"/>
  <c r="AG202" i="40"/>
  <c r="AF202" i="40"/>
  <c r="AE202" i="40"/>
  <c r="AS201" i="40"/>
  <c r="AR201" i="40"/>
  <c r="AQ201" i="40"/>
  <c r="AP201" i="40"/>
  <c r="AO201" i="40"/>
  <c r="AN201" i="40"/>
  <c r="AM201" i="40"/>
  <c r="AL201" i="40"/>
  <c r="AK201" i="40"/>
  <c r="AJ201" i="40"/>
  <c r="AI201" i="40"/>
  <c r="AH201" i="40"/>
  <c r="AG201" i="40"/>
  <c r="AF201" i="40"/>
  <c r="AE201" i="40"/>
  <c r="AS200" i="40"/>
  <c r="AR200" i="40"/>
  <c r="AQ200" i="40"/>
  <c r="AP200" i="40"/>
  <c r="AO200" i="40"/>
  <c r="AN200" i="40"/>
  <c r="AM200" i="40"/>
  <c r="AL200" i="40"/>
  <c r="AK200" i="40"/>
  <c r="AJ200" i="40"/>
  <c r="AI200" i="40"/>
  <c r="AH200" i="40"/>
  <c r="AG200" i="40"/>
  <c r="AF200" i="40"/>
  <c r="AE200" i="40"/>
  <c r="AS199" i="40"/>
  <c r="AR199" i="40"/>
  <c r="AQ199" i="40"/>
  <c r="AP199" i="40"/>
  <c r="AO199" i="40"/>
  <c r="AN199" i="40"/>
  <c r="AM199" i="40"/>
  <c r="AL199" i="40"/>
  <c r="AK199" i="40"/>
  <c r="AJ199" i="40"/>
  <c r="AI199" i="40"/>
  <c r="AH199" i="40"/>
  <c r="AG199" i="40"/>
  <c r="AF199" i="40"/>
  <c r="AE199" i="40"/>
  <c r="AS198" i="40"/>
  <c r="AR198" i="40"/>
  <c r="AQ198" i="40"/>
  <c r="AP198" i="40"/>
  <c r="AO198" i="40"/>
  <c r="AN198" i="40"/>
  <c r="AM198" i="40"/>
  <c r="AL198" i="40"/>
  <c r="AK198" i="40"/>
  <c r="AJ198" i="40"/>
  <c r="AI198" i="40"/>
  <c r="AH198" i="40"/>
  <c r="AG198" i="40"/>
  <c r="AF198" i="40"/>
  <c r="AE198" i="40"/>
  <c r="AS197" i="40"/>
  <c r="AR197" i="40"/>
  <c r="AQ197" i="40"/>
  <c r="AP197" i="40"/>
  <c r="AO197" i="40"/>
  <c r="AN197" i="40"/>
  <c r="AM197" i="40"/>
  <c r="AL197" i="40"/>
  <c r="AK197" i="40"/>
  <c r="AJ197" i="40"/>
  <c r="AI197" i="40"/>
  <c r="AH197" i="40"/>
  <c r="AG197" i="40"/>
  <c r="AF197" i="40"/>
  <c r="AE197" i="40"/>
  <c r="AS196" i="40"/>
  <c r="AR196" i="40"/>
  <c r="AQ196" i="40"/>
  <c r="AP196" i="40"/>
  <c r="AO196" i="40"/>
  <c r="AN196" i="40"/>
  <c r="AM196" i="40"/>
  <c r="AL196" i="40"/>
  <c r="AK196" i="40"/>
  <c r="AJ196" i="40"/>
  <c r="AI196" i="40"/>
  <c r="AH196" i="40"/>
  <c r="AG196" i="40"/>
  <c r="AF196" i="40"/>
  <c r="AE196" i="40"/>
  <c r="AS195" i="40"/>
  <c r="AR195" i="40"/>
  <c r="AQ195" i="40"/>
  <c r="AP195" i="40"/>
  <c r="AO195" i="40"/>
  <c r="AN195" i="40"/>
  <c r="AM195" i="40"/>
  <c r="AL195" i="40"/>
  <c r="AK195" i="40"/>
  <c r="AJ195" i="40"/>
  <c r="AI195" i="40"/>
  <c r="AH195" i="40"/>
  <c r="AG195" i="40"/>
  <c r="AF195" i="40"/>
  <c r="AE195" i="40"/>
  <c r="AS194" i="40"/>
  <c r="AR194" i="40"/>
  <c r="AQ194" i="40"/>
  <c r="AP194" i="40"/>
  <c r="AO194" i="40"/>
  <c r="AN194" i="40"/>
  <c r="AM194" i="40"/>
  <c r="AL194" i="40"/>
  <c r="AK194" i="40"/>
  <c r="AJ194" i="40"/>
  <c r="AI194" i="40"/>
  <c r="AH194" i="40"/>
  <c r="AG194" i="40"/>
  <c r="AF194" i="40"/>
  <c r="AE194" i="40"/>
  <c r="AS193" i="40"/>
  <c r="AR193" i="40"/>
  <c r="AQ193" i="40"/>
  <c r="AP193" i="40"/>
  <c r="AO193" i="40"/>
  <c r="AN193" i="40"/>
  <c r="AM193" i="40"/>
  <c r="AL193" i="40"/>
  <c r="AK193" i="40"/>
  <c r="AJ193" i="40"/>
  <c r="AI193" i="40"/>
  <c r="AH193" i="40"/>
  <c r="AG193" i="40"/>
  <c r="AF193" i="40"/>
  <c r="AE193" i="40"/>
  <c r="AS192" i="40"/>
  <c r="AR192" i="40"/>
  <c r="AQ192" i="40"/>
  <c r="AP192" i="40"/>
  <c r="AO192" i="40"/>
  <c r="AN192" i="40"/>
  <c r="AM192" i="40"/>
  <c r="AL192" i="40"/>
  <c r="AK192" i="40"/>
  <c r="AJ192" i="40"/>
  <c r="AI192" i="40"/>
  <c r="AH192" i="40"/>
  <c r="AG192" i="40"/>
  <c r="AF192" i="40"/>
  <c r="AE192" i="40"/>
  <c r="AS191" i="40"/>
  <c r="AR191" i="40"/>
  <c r="AQ191" i="40"/>
  <c r="AP191" i="40"/>
  <c r="AO191" i="40"/>
  <c r="AN191" i="40"/>
  <c r="AM191" i="40"/>
  <c r="AL191" i="40"/>
  <c r="AK191" i="40"/>
  <c r="AJ191" i="40"/>
  <c r="AI191" i="40"/>
  <c r="AH191" i="40"/>
  <c r="AG191" i="40"/>
  <c r="AF191" i="40"/>
  <c r="AE191" i="40"/>
  <c r="AS190" i="40"/>
  <c r="AR190" i="40"/>
  <c r="AQ190" i="40"/>
  <c r="AP190" i="40"/>
  <c r="AO190" i="40"/>
  <c r="AN190" i="40"/>
  <c r="AM190" i="40"/>
  <c r="AL190" i="40"/>
  <c r="AK190" i="40"/>
  <c r="AJ190" i="40"/>
  <c r="AI190" i="40"/>
  <c r="AH190" i="40"/>
  <c r="AG190" i="40"/>
  <c r="AF190" i="40"/>
  <c r="AE190" i="40"/>
  <c r="AS189" i="40"/>
  <c r="AR189" i="40"/>
  <c r="AQ189" i="40"/>
  <c r="AP189" i="40"/>
  <c r="AO189" i="40"/>
  <c r="AN189" i="40"/>
  <c r="AM189" i="40"/>
  <c r="AL189" i="40"/>
  <c r="AK189" i="40"/>
  <c r="AJ189" i="40"/>
  <c r="AI189" i="40"/>
  <c r="AH189" i="40"/>
  <c r="AG189" i="40"/>
  <c r="AF189" i="40"/>
  <c r="AE189" i="40"/>
  <c r="AS188" i="40"/>
  <c r="AR188" i="40"/>
  <c r="AQ188" i="40"/>
  <c r="AP188" i="40"/>
  <c r="AO188" i="40"/>
  <c r="AN188" i="40"/>
  <c r="AM188" i="40"/>
  <c r="AL188" i="40"/>
  <c r="AK188" i="40"/>
  <c r="AJ188" i="40"/>
  <c r="AI188" i="40"/>
  <c r="AH188" i="40"/>
  <c r="AG188" i="40"/>
  <c r="AF188" i="40"/>
  <c r="AE188" i="40"/>
  <c r="AS187" i="40"/>
  <c r="AR187" i="40"/>
  <c r="AQ187" i="40"/>
  <c r="AP187" i="40"/>
  <c r="AO187" i="40"/>
  <c r="AN187" i="40"/>
  <c r="AM187" i="40"/>
  <c r="AL187" i="40"/>
  <c r="AK187" i="40"/>
  <c r="AJ187" i="40"/>
  <c r="AI187" i="40"/>
  <c r="AH187" i="40"/>
  <c r="AG187" i="40"/>
  <c r="AF187" i="40"/>
  <c r="AE187" i="40"/>
  <c r="AS186" i="40"/>
  <c r="AR186" i="40"/>
  <c r="AQ186" i="40"/>
  <c r="AP186" i="40"/>
  <c r="AO186" i="40"/>
  <c r="AN186" i="40"/>
  <c r="AM186" i="40"/>
  <c r="AL186" i="40"/>
  <c r="AK186" i="40"/>
  <c r="AJ186" i="40"/>
  <c r="AI186" i="40"/>
  <c r="AH186" i="40"/>
  <c r="AG186" i="40"/>
  <c r="AF186" i="40"/>
  <c r="AE186" i="40"/>
  <c r="AS185" i="40"/>
  <c r="AR185" i="40"/>
  <c r="AQ185" i="40"/>
  <c r="AP185" i="40"/>
  <c r="AO185" i="40"/>
  <c r="AN185" i="40"/>
  <c r="AM185" i="40"/>
  <c r="AL185" i="40"/>
  <c r="AK185" i="40"/>
  <c r="AJ185" i="40"/>
  <c r="AI185" i="40"/>
  <c r="AH185" i="40"/>
  <c r="AG185" i="40"/>
  <c r="AF185" i="40"/>
  <c r="AE185" i="40"/>
  <c r="AS184" i="40"/>
  <c r="AR184" i="40"/>
  <c r="AQ184" i="40"/>
  <c r="AP184" i="40"/>
  <c r="AO184" i="40"/>
  <c r="AN184" i="40"/>
  <c r="AM184" i="40"/>
  <c r="AL184" i="40"/>
  <c r="AK184" i="40"/>
  <c r="AJ184" i="40"/>
  <c r="AI184" i="40"/>
  <c r="AH184" i="40"/>
  <c r="AG184" i="40"/>
  <c r="AF184" i="40"/>
  <c r="AE184" i="40"/>
  <c r="AS183" i="40"/>
  <c r="AR183" i="40"/>
  <c r="AQ183" i="40"/>
  <c r="AP183" i="40"/>
  <c r="AO183" i="40"/>
  <c r="AN183" i="40"/>
  <c r="AM183" i="40"/>
  <c r="AL183" i="40"/>
  <c r="AK183" i="40"/>
  <c r="AJ183" i="40"/>
  <c r="AI183" i="40"/>
  <c r="AH183" i="40"/>
  <c r="AG183" i="40"/>
  <c r="AF183" i="40"/>
  <c r="AE183" i="40"/>
  <c r="AS182" i="40"/>
  <c r="AR182" i="40"/>
  <c r="AQ182" i="40"/>
  <c r="AP182" i="40"/>
  <c r="AO182" i="40"/>
  <c r="AN182" i="40"/>
  <c r="AM182" i="40"/>
  <c r="AL182" i="40"/>
  <c r="AK182" i="40"/>
  <c r="AJ182" i="40"/>
  <c r="AI182" i="40"/>
  <c r="AH182" i="40"/>
  <c r="AG182" i="40"/>
  <c r="AF182" i="40"/>
  <c r="AE182" i="40"/>
  <c r="AS181" i="40"/>
  <c r="AR181" i="40"/>
  <c r="AQ181" i="40"/>
  <c r="AP181" i="40"/>
  <c r="AO181" i="40"/>
  <c r="AN181" i="40"/>
  <c r="AM181" i="40"/>
  <c r="AL181" i="40"/>
  <c r="AK181" i="40"/>
  <c r="AJ181" i="40"/>
  <c r="AI181" i="40"/>
  <c r="AH181" i="40"/>
  <c r="AG181" i="40"/>
  <c r="AF181" i="40"/>
  <c r="AE181" i="40"/>
  <c r="AS180" i="40"/>
  <c r="AR180" i="40"/>
  <c r="AQ180" i="40"/>
  <c r="AP180" i="40"/>
  <c r="AO180" i="40"/>
  <c r="AN180" i="40"/>
  <c r="AM180" i="40"/>
  <c r="AL180" i="40"/>
  <c r="AK180" i="40"/>
  <c r="AJ180" i="40"/>
  <c r="AI180" i="40"/>
  <c r="AH180" i="40"/>
  <c r="AG180" i="40"/>
  <c r="AF180" i="40"/>
  <c r="AE180" i="40"/>
  <c r="AS179" i="40"/>
  <c r="AR179" i="40"/>
  <c r="AQ179" i="40"/>
  <c r="AP179" i="40"/>
  <c r="AO179" i="40"/>
  <c r="AN179" i="40"/>
  <c r="AM179" i="40"/>
  <c r="AL179" i="40"/>
  <c r="AK179" i="40"/>
  <c r="AJ179" i="40"/>
  <c r="AI179" i="40"/>
  <c r="AH179" i="40"/>
  <c r="AG179" i="40"/>
  <c r="AF179" i="40"/>
  <c r="AE179" i="40"/>
  <c r="AS178" i="40"/>
  <c r="AR178" i="40"/>
  <c r="AQ178" i="40"/>
  <c r="AP178" i="40"/>
  <c r="AO178" i="40"/>
  <c r="AN178" i="40"/>
  <c r="AM178" i="40"/>
  <c r="AL178" i="40"/>
  <c r="AK178" i="40"/>
  <c r="AJ178" i="40"/>
  <c r="AI178" i="40"/>
  <c r="AH178" i="40"/>
  <c r="AG178" i="40"/>
  <c r="AF178" i="40"/>
  <c r="AE178" i="40"/>
  <c r="AS177" i="40"/>
  <c r="AR177" i="40"/>
  <c r="AQ177" i="40"/>
  <c r="AP177" i="40"/>
  <c r="AO177" i="40"/>
  <c r="AN177" i="40"/>
  <c r="AM177" i="40"/>
  <c r="AL177" i="40"/>
  <c r="AK177" i="40"/>
  <c r="AJ177" i="40"/>
  <c r="AI177" i="40"/>
  <c r="AH177" i="40"/>
  <c r="AG177" i="40"/>
  <c r="AF177" i="40"/>
  <c r="AE177" i="40"/>
  <c r="AS176" i="40"/>
  <c r="AR176" i="40"/>
  <c r="AQ176" i="40"/>
  <c r="AP176" i="40"/>
  <c r="AO176" i="40"/>
  <c r="AN176" i="40"/>
  <c r="AM176" i="40"/>
  <c r="AL176" i="40"/>
  <c r="AK176" i="40"/>
  <c r="AJ176" i="40"/>
  <c r="AI176" i="40"/>
  <c r="AH176" i="40"/>
  <c r="AG176" i="40"/>
  <c r="AF176" i="40"/>
  <c r="AE176" i="40"/>
  <c r="AS175" i="40"/>
  <c r="AR175" i="40"/>
  <c r="AQ175" i="40"/>
  <c r="AP175" i="40"/>
  <c r="AO175" i="40"/>
  <c r="AN175" i="40"/>
  <c r="AM175" i="40"/>
  <c r="AL175" i="40"/>
  <c r="AK175" i="40"/>
  <c r="AJ175" i="40"/>
  <c r="AI175" i="40"/>
  <c r="AH175" i="40"/>
  <c r="AG175" i="40"/>
  <c r="AF175" i="40"/>
  <c r="AE175" i="40"/>
  <c r="AS174" i="40"/>
  <c r="AR174" i="40"/>
  <c r="AQ174" i="40"/>
  <c r="AP174" i="40"/>
  <c r="AO174" i="40"/>
  <c r="AN174" i="40"/>
  <c r="AM174" i="40"/>
  <c r="AL174" i="40"/>
  <c r="AK174" i="40"/>
  <c r="AJ174" i="40"/>
  <c r="AI174" i="40"/>
  <c r="AH174" i="40"/>
  <c r="AG174" i="40"/>
  <c r="AF174" i="40"/>
  <c r="AE174" i="40"/>
  <c r="AS173" i="40"/>
  <c r="AR173" i="40"/>
  <c r="AQ173" i="40"/>
  <c r="AP173" i="40"/>
  <c r="AO173" i="40"/>
  <c r="AN173" i="40"/>
  <c r="AM173" i="40"/>
  <c r="AL173" i="40"/>
  <c r="AK173" i="40"/>
  <c r="AJ173" i="40"/>
  <c r="AI173" i="40"/>
  <c r="AH173" i="40"/>
  <c r="AG173" i="40"/>
  <c r="AF173" i="40"/>
  <c r="AE173" i="40"/>
  <c r="AS172" i="40"/>
  <c r="AR172" i="40"/>
  <c r="AQ172" i="40"/>
  <c r="AP172" i="40"/>
  <c r="AO172" i="40"/>
  <c r="AN172" i="40"/>
  <c r="AM172" i="40"/>
  <c r="AL172" i="40"/>
  <c r="AK172" i="40"/>
  <c r="AJ172" i="40"/>
  <c r="AI172" i="40"/>
  <c r="AH172" i="40"/>
  <c r="AG172" i="40"/>
  <c r="AF172" i="40"/>
  <c r="AE172" i="40"/>
  <c r="AS171" i="40"/>
  <c r="AR171" i="40"/>
  <c r="AQ171" i="40"/>
  <c r="AP171" i="40"/>
  <c r="AO171" i="40"/>
  <c r="AN171" i="40"/>
  <c r="AM171" i="40"/>
  <c r="AL171" i="40"/>
  <c r="AK171" i="40"/>
  <c r="AJ171" i="40"/>
  <c r="AI171" i="40"/>
  <c r="AH171" i="40"/>
  <c r="AG171" i="40"/>
  <c r="AF171" i="40"/>
  <c r="AE171" i="40"/>
  <c r="AS170" i="40"/>
  <c r="AR170" i="40"/>
  <c r="AQ170" i="40"/>
  <c r="AP170" i="40"/>
  <c r="AO170" i="40"/>
  <c r="AN170" i="40"/>
  <c r="AM170" i="40"/>
  <c r="AL170" i="40"/>
  <c r="AK170" i="40"/>
  <c r="AJ170" i="40"/>
  <c r="AI170" i="40"/>
  <c r="AH170" i="40"/>
  <c r="AG170" i="40"/>
  <c r="AF170" i="40"/>
  <c r="AE170" i="40"/>
  <c r="AS169" i="40"/>
  <c r="AR169" i="40"/>
  <c r="AQ169" i="40"/>
  <c r="AP169" i="40"/>
  <c r="AO169" i="40"/>
  <c r="AN169" i="40"/>
  <c r="AM169" i="40"/>
  <c r="AL169" i="40"/>
  <c r="AK169" i="40"/>
  <c r="AJ169" i="40"/>
  <c r="AI169" i="40"/>
  <c r="AH169" i="40"/>
  <c r="AG169" i="40"/>
  <c r="AF169" i="40"/>
  <c r="AE169" i="40"/>
  <c r="AS168" i="40"/>
  <c r="AR168" i="40"/>
  <c r="AQ168" i="40"/>
  <c r="AP168" i="40"/>
  <c r="AO168" i="40"/>
  <c r="AN168" i="40"/>
  <c r="AM168" i="40"/>
  <c r="AL168" i="40"/>
  <c r="AK168" i="40"/>
  <c r="AJ168" i="40"/>
  <c r="AI168" i="40"/>
  <c r="AH168" i="40"/>
  <c r="AG168" i="40"/>
  <c r="AF168" i="40"/>
  <c r="AE168" i="40"/>
  <c r="AS167" i="40"/>
  <c r="AR167" i="40"/>
  <c r="AQ167" i="40"/>
  <c r="AP167" i="40"/>
  <c r="AO167" i="40"/>
  <c r="AN167" i="40"/>
  <c r="AM167" i="40"/>
  <c r="AL167" i="40"/>
  <c r="AK167" i="40"/>
  <c r="AJ167" i="40"/>
  <c r="AI167" i="40"/>
  <c r="AH167" i="40"/>
  <c r="AG167" i="40"/>
  <c r="AF167" i="40"/>
  <c r="AE167" i="40"/>
  <c r="AS166" i="40"/>
  <c r="AR166" i="40"/>
  <c r="AQ166" i="40"/>
  <c r="AP166" i="40"/>
  <c r="AO166" i="40"/>
  <c r="AN166" i="40"/>
  <c r="AM166" i="40"/>
  <c r="AL166" i="40"/>
  <c r="AK166" i="40"/>
  <c r="AJ166" i="40"/>
  <c r="AI166" i="40"/>
  <c r="AH166" i="40"/>
  <c r="AG166" i="40"/>
  <c r="AF166" i="40"/>
  <c r="AE166" i="40"/>
  <c r="AS165" i="40"/>
  <c r="AR165" i="40"/>
  <c r="AQ165" i="40"/>
  <c r="AP165" i="40"/>
  <c r="AO165" i="40"/>
  <c r="AN165" i="40"/>
  <c r="AM165" i="40"/>
  <c r="AL165" i="40"/>
  <c r="AK165" i="40"/>
  <c r="AJ165" i="40"/>
  <c r="AI165" i="40"/>
  <c r="AH165" i="40"/>
  <c r="AG165" i="40"/>
  <c r="AF165" i="40"/>
  <c r="AE165" i="40"/>
  <c r="AS164" i="40"/>
  <c r="AR164" i="40"/>
  <c r="AQ164" i="40"/>
  <c r="AP164" i="40"/>
  <c r="AO164" i="40"/>
  <c r="AN164" i="40"/>
  <c r="AM164" i="40"/>
  <c r="AL164" i="40"/>
  <c r="AK164" i="40"/>
  <c r="AJ164" i="40"/>
  <c r="AI164" i="40"/>
  <c r="AH164" i="40"/>
  <c r="AG164" i="40"/>
  <c r="AF164" i="40"/>
  <c r="AE164" i="40"/>
  <c r="AS163" i="40"/>
  <c r="AR163" i="40"/>
  <c r="AQ163" i="40"/>
  <c r="AP163" i="40"/>
  <c r="AO163" i="40"/>
  <c r="AN163" i="40"/>
  <c r="AM163" i="40"/>
  <c r="AL163" i="40"/>
  <c r="AK163" i="40"/>
  <c r="AJ163" i="40"/>
  <c r="AI163" i="40"/>
  <c r="AH163" i="40"/>
  <c r="AG163" i="40"/>
  <c r="AF163" i="40"/>
  <c r="AE163" i="40"/>
  <c r="AS162" i="40"/>
  <c r="AR162" i="40"/>
  <c r="AQ162" i="40"/>
  <c r="AP162" i="40"/>
  <c r="AO162" i="40"/>
  <c r="AN162" i="40"/>
  <c r="AM162" i="40"/>
  <c r="AL162" i="40"/>
  <c r="AK162" i="40"/>
  <c r="AJ162" i="40"/>
  <c r="AI162" i="40"/>
  <c r="AH162" i="40"/>
  <c r="AG162" i="40"/>
  <c r="AF162" i="40"/>
  <c r="AE162" i="40"/>
  <c r="AS161" i="40"/>
  <c r="AR161" i="40"/>
  <c r="AQ161" i="40"/>
  <c r="AP161" i="40"/>
  <c r="AO161" i="40"/>
  <c r="AN161" i="40"/>
  <c r="AM161" i="40"/>
  <c r="AL161" i="40"/>
  <c r="AK161" i="40"/>
  <c r="AJ161" i="40"/>
  <c r="AI161" i="40"/>
  <c r="AH161" i="40"/>
  <c r="AG161" i="40"/>
  <c r="AF161" i="40"/>
  <c r="AE161" i="40"/>
  <c r="AS160" i="40"/>
  <c r="AR160" i="40"/>
  <c r="AQ160" i="40"/>
  <c r="AP160" i="40"/>
  <c r="AO160" i="40"/>
  <c r="AN160" i="40"/>
  <c r="AM160" i="40"/>
  <c r="AL160" i="40"/>
  <c r="AK160" i="40"/>
  <c r="AJ160" i="40"/>
  <c r="AI160" i="40"/>
  <c r="AH160" i="40"/>
  <c r="AG160" i="40"/>
  <c r="AF160" i="40"/>
  <c r="AE160" i="40"/>
  <c r="AS159" i="40"/>
  <c r="AR159" i="40"/>
  <c r="AQ159" i="40"/>
  <c r="AP159" i="40"/>
  <c r="AO159" i="40"/>
  <c r="AN159" i="40"/>
  <c r="AM159" i="40"/>
  <c r="AL159" i="40"/>
  <c r="AK159" i="40"/>
  <c r="AJ159" i="40"/>
  <c r="AI159" i="40"/>
  <c r="AH159" i="40"/>
  <c r="AG159" i="40"/>
  <c r="AF159" i="40"/>
  <c r="AE159" i="40"/>
  <c r="AS158" i="40"/>
  <c r="AR158" i="40"/>
  <c r="AQ158" i="40"/>
  <c r="AP158" i="40"/>
  <c r="AO158" i="40"/>
  <c r="AN158" i="40"/>
  <c r="AM158" i="40"/>
  <c r="AL158" i="40"/>
  <c r="AK158" i="40"/>
  <c r="AJ158" i="40"/>
  <c r="AI158" i="40"/>
  <c r="AH158" i="40"/>
  <c r="AG158" i="40"/>
  <c r="AF158" i="40"/>
  <c r="AE158" i="40"/>
  <c r="AS157" i="40"/>
  <c r="AR157" i="40"/>
  <c r="AQ157" i="40"/>
  <c r="AP157" i="40"/>
  <c r="AO157" i="40"/>
  <c r="AN157" i="40"/>
  <c r="AM157" i="40"/>
  <c r="AL157" i="40"/>
  <c r="AK157" i="40"/>
  <c r="AJ157" i="40"/>
  <c r="AI157" i="40"/>
  <c r="AH157" i="40"/>
  <c r="AG157" i="40"/>
  <c r="AF157" i="40"/>
  <c r="AE157" i="40"/>
  <c r="AS156" i="40"/>
  <c r="AR156" i="40"/>
  <c r="AQ156" i="40"/>
  <c r="AP156" i="40"/>
  <c r="AO156" i="40"/>
  <c r="AN156" i="40"/>
  <c r="AM156" i="40"/>
  <c r="AL156" i="40"/>
  <c r="AK156" i="40"/>
  <c r="AJ156" i="40"/>
  <c r="AI156" i="40"/>
  <c r="AH156" i="40"/>
  <c r="AG156" i="40"/>
  <c r="AF156" i="40"/>
  <c r="AE156" i="40"/>
  <c r="AS155" i="40"/>
  <c r="AR155" i="40"/>
  <c r="AQ155" i="40"/>
  <c r="AP155" i="40"/>
  <c r="AO155" i="40"/>
  <c r="AN155" i="40"/>
  <c r="AM155" i="40"/>
  <c r="AL155" i="40"/>
  <c r="AK155" i="40"/>
  <c r="AJ155" i="40"/>
  <c r="AI155" i="40"/>
  <c r="AH155" i="40"/>
  <c r="AG155" i="40"/>
  <c r="AF155" i="40"/>
  <c r="AE155" i="40"/>
  <c r="AS154" i="40"/>
  <c r="AR154" i="40"/>
  <c r="AQ154" i="40"/>
  <c r="AP154" i="40"/>
  <c r="AO154" i="40"/>
  <c r="AN154" i="40"/>
  <c r="AM154" i="40"/>
  <c r="AL154" i="40"/>
  <c r="AK154" i="40"/>
  <c r="AJ154" i="40"/>
  <c r="AI154" i="40"/>
  <c r="AH154" i="40"/>
  <c r="AG154" i="40"/>
  <c r="AF154" i="40"/>
  <c r="AE154" i="40"/>
  <c r="AS153" i="40"/>
  <c r="AR153" i="40"/>
  <c r="AQ153" i="40"/>
  <c r="AP153" i="40"/>
  <c r="AO153" i="40"/>
  <c r="AN153" i="40"/>
  <c r="AM153" i="40"/>
  <c r="AL153" i="40"/>
  <c r="AK153" i="40"/>
  <c r="AJ153" i="40"/>
  <c r="AI153" i="40"/>
  <c r="AH153" i="40"/>
  <c r="AG153" i="40"/>
  <c r="AF153" i="40"/>
  <c r="AE153" i="40"/>
  <c r="AS152" i="40"/>
  <c r="AR152" i="40"/>
  <c r="AQ152" i="40"/>
  <c r="AP152" i="40"/>
  <c r="AO152" i="40"/>
  <c r="AN152" i="40"/>
  <c r="AM152" i="40"/>
  <c r="AL152" i="40"/>
  <c r="AK152" i="40"/>
  <c r="AJ152" i="40"/>
  <c r="AI152" i="40"/>
  <c r="AH152" i="40"/>
  <c r="AG152" i="40"/>
  <c r="AF152" i="40"/>
  <c r="AE152" i="40"/>
  <c r="AS151" i="40"/>
  <c r="AR151" i="40"/>
  <c r="AQ151" i="40"/>
  <c r="AP151" i="40"/>
  <c r="AO151" i="40"/>
  <c r="AN151" i="40"/>
  <c r="AM151" i="40"/>
  <c r="AL151" i="40"/>
  <c r="AK151" i="40"/>
  <c r="AJ151" i="40"/>
  <c r="AI151" i="40"/>
  <c r="AH151" i="40"/>
  <c r="AG151" i="40"/>
  <c r="AF151" i="40"/>
  <c r="AE151" i="40"/>
  <c r="AS150" i="40"/>
  <c r="AR150" i="40"/>
  <c r="AQ150" i="40"/>
  <c r="AP150" i="40"/>
  <c r="AO150" i="40"/>
  <c r="AN150" i="40"/>
  <c r="AM150" i="40"/>
  <c r="AL150" i="40"/>
  <c r="AK150" i="40"/>
  <c r="AJ150" i="40"/>
  <c r="AI150" i="40"/>
  <c r="AH150" i="40"/>
  <c r="AG150" i="40"/>
  <c r="AF150" i="40"/>
  <c r="AE150" i="40"/>
  <c r="AS149" i="40"/>
  <c r="AR149" i="40"/>
  <c r="AQ149" i="40"/>
  <c r="AP149" i="40"/>
  <c r="AO149" i="40"/>
  <c r="AN149" i="40"/>
  <c r="AM149" i="40"/>
  <c r="AL149" i="40"/>
  <c r="AK149" i="40"/>
  <c r="AJ149" i="40"/>
  <c r="AI149" i="40"/>
  <c r="AH149" i="40"/>
  <c r="AG149" i="40"/>
  <c r="AF149" i="40"/>
  <c r="AE149" i="40"/>
  <c r="AS148" i="40"/>
  <c r="AR148" i="40"/>
  <c r="AQ148" i="40"/>
  <c r="AP148" i="40"/>
  <c r="AO148" i="40"/>
  <c r="AN148" i="40"/>
  <c r="AM148" i="40"/>
  <c r="AL148" i="40"/>
  <c r="AK148" i="40"/>
  <c r="AJ148" i="40"/>
  <c r="AI148" i="40"/>
  <c r="AH148" i="40"/>
  <c r="AG148" i="40"/>
  <c r="AF148" i="40"/>
  <c r="AE148" i="40"/>
  <c r="AS147" i="40"/>
  <c r="AR147" i="40"/>
  <c r="AQ147" i="40"/>
  <c r="AP147" i="40"/>
  <c r="AO147" i="40"/>
  <c r="AN147" i="40"/>
  <c r="AM147" i="40"/>
  <c r="AL147" i="40"/>
  <c r="AK147" i="40"/>
  <c r="AJ147" i="40"/>
  <c r="AI147" i="40"/>
  <c r="AH147" i="40"/>
  <c r="AG147" i="40"/>
  <c r="AF147" i="40"/>
  <c r="AE147" i="40"/>
  <c r="AS146" i="40"/>
  <c r="AR146" i="40"/>
  <c r="AQ146" i="40"/>
  <c r="AP146" i="40"/>
  <c r="AO146" i="40"/>
  <c r="AN146" i="40"/>
  <c r="AM146" i="40"/>
  <c r="AL146" i="40"/>
  <c r="AK146" i="40"/>
  <c r="AJ146" i="40"/>
  <c r="AI146" i="40"/>
  <c r="AH146" i="40"/>
  <c r="AG146" i="40"/>
  <c r="AF146" i="40"/>
  <c r="AE146" i="40"/>
  <c r="AS145" i="40"/>
  <c r="AR145" i="40"/>
  <c r="AQ145" i="40"/>
  <c r="AP145" i="40"/>
  <c r="AO145" i="40"/>
  <c r="AN145" i="40"/>
  <c r="AM145" i="40"/>
  <c r="AL145" i="40"/>
  <c r="AK145" i="40"/>
  <c r="AJ145" i="40"/>
  <c r="AI145" i="40"/>
  <c r="AH145" i="40"/>
  <c r="AG145" i="40"/>
  <c r="AF145" i="40"/>
  <c r="AE145" i="40"/>
  <c r="AS144" i="40"/>
  <c r="AR144" i="40"/>
  <c r="AQ144" i="40"/>
  <c r="AP144" i="40"/>
  <c r="AO144" i="40"/>
  <c r="AN144" i="40"/>
  <c r="AM144" i="40"/>
  <c r="AL144" i="40"/>
  <c r="AK144" i="40"/>
  <c r="AJ144" i="40"/>
  <c r="AI144" i="40"/>
  <c r="AH144" i="40"/>
  <c r="AG144" i="40"/>
  <c r="AF144" i="40"/>
  <c r="AE144" i="40"/>
  <c r="AS143" i="40"/>
  <c r="AR143" i="40"/>
  <c r="AQ143" i="40"/>
  <c r="AP143" i="40"/>
  <c r="AO143" i="40"/>
  <c r="AN143" i="40"/>
  <c r="AM143" i="40"/>
  <c r="AL143" i="40"/>
  <c r="AK143" i="40"/>
  <c r="AJ143" i="40"/>
  <c r="AI143" i="40"/>
  <c r="AH143" i="40"/>
  <c r="AG143" i="40"/>
  <c r="AF143" i="40"/>
  <c r="AE143" i="40"/>
  <c r="AS142" i="40"/>
  <c r="AR142" i="40"/>
  <c r="AQ142" i="40"/>
  <c r="AP142" i="40"/>
  <c r="AO142" i="40"/>
  <c r="AN142" i="40"/>
  <c r="AM142" i="40"/>
  <c r="AL142" i="40"/>
  <c r="AK142" i="40"/>
  <c r="AJ142" i="40"/>
  <c r="AI142" i="40"/>
  <c r="AH142" i="40"/>
  <c r="AG142" i="40"/>
  <c r="AF142" i="40"/>
  <c r="AE142" i="40"/>
  <c r="AS141" i="40"/>
  <c r="AR141" i="40"/>
  <c r="AQ141" i="40"/>
  <c r="AP141" i="40"/>
  <c r="AO141" i="40"/>
  <c r="AN141" i="40"/>
  <c r="AM141" i="40"/>
  <c r="AL141" i="40"/>
  <c r="AK141" i="40"/>
  <c r="AJ141" i="40"/>
  <c r="AI141" i="40"/>
  <c r="AH141" i="40"/>
  <c r="AG141" i="40"/>
  <c r="AF141" i="40"/>
  <c r="AE141" i="40"/>
  <c r="AS140" i="40"/>
  <c r="AR140" i="40"/>
  <c r="AQ140" i="40"/>
  <c r="AP140" i="40"/>
  <c r="AO140" i="40"/>
  <c r="AN140" i="40"/>
  <c r="AM140" i="40"/>
  <c r="AL140" i="40"/>
  <c r="AK140" i="40"/>
  <c r="AJ140" i="40"/>
  <c r="AI140" i="40"/>
  <c r="AH140" i="40"/>
  <c r="AG140" i="40"/>
  <c r="AF140" i="40"/>
  <c r="AE140" i="40"/>
  <c r="AS139" i="40"/>
  <c r="AR139" i="40"/>
  <c r="AQ139" i="40"/>
  <c r="AP139" i="40"/>
  <c r="AO139" i="40"/>
  <c r="AN139" i="40"/>
  <c r="AM139" i="40"/>
  <c r="AL139" i="40"/>
  <c r="AK139" i="40"/>
  <c r="AJ139" i="40"/>
  <c r="AI139" i="40"/>
  <c r="AH139" i="40"/>
  <c r="AG139" i="40"/>
  <c r="AF139" i="40"/>
  <c r="AE139" i="40"/>
  <c r="AS138" i="40"/>
  <c r="AR138" i="40"/>
  <c r="AQ138" i="40"/>
  <c r="AP138" i="40"/>
  <c r="AO138" i="40"/>
  <c r="AN138" i="40"/>
  <c r="AM138" i="40"/>
  <c r="AL138" i="40"/>
  <c r="AK138" i="40"/>
  <c r="AJ138" i="40"/>
  <c r="AI138" i="40"/>
  <c r="AH138" i="40"/>
  <c r="AG138" i="40"/>
  <c r="AF138" i="40"/>
  <c r="AE138" i="40"/>
  <c r="AS137" i="40"/>
  <c r="AR137" i="40"/>
  <c r="AQ137" i="40"/>
  <c r="AP137" i="40"/>
  <c r="AO137" i="40"/>
  <c r="AN137" i="40"/>
  <c r="AM137" i="40"/>
  <c r="AL137" i="40"/>
  <c r="AK137" i="40"/>
  <c r="AJ137" i="40"/>
  <c r="AI137" i="40"/>
  <c r="AH137" i="40"/>
  <c r="AG137" i="40"/>
  <c r="AF137" i="40"/>
  <c r="AE137" i="40"/>
  <c r="AS136" i="40"/>
  <c r="AR136" i="40"/>
  <c r="AQ136" i="40"/>
  <c r="AP136" i="40"/>
  <c r="AO136" i="40"/>
  <c r="AN136" i="40"/>
  <c r="AM136" i="40"/>
  <c r="AL136" i="40"/>
  <c r="AK136" i="40"/>
  <c r="AJ136" i="40"/>
  <c r="AI136" i="40"/>
  <c r="AH136" i="40"/>
  <c r="AG136" i="40"/>
  <c r="AF136" i="40"/>
  <c r="AE136" i="40"/>
  <c r="AS135" i="40"/>
  <c r="AR135" i="40"/>
  <c r="AQ135" i="40"/>
  <c r="AP135" i="40"/>
  <c r="AO135" i="40"/>
  <c r="AN135" i="40"/>
  <c r="AM135" i="40"/>
  <c r="AL135" i="40"/>
  <c r="AK135" i="40"/>
  <c r="AJ135" i="40"/>
  <c r="AI135" i="40"/>
  <c r="AH135" i="40"/>
  <c r="AG135" i="40"/>
  <c r="AF135" i="40"/>
  <c r="AE135" i="40"/>
  <c r="AS134" i="40"/>
  <c r="AR134" i="40"/>
  <c r="AQ134" i="40"/>
  <c r="AP134" i="40"/>
  <c r="AO134" i="40"/>
  <c r="AN134" i="40"/>
  <c r="AM134" i="40"/>
  <c r="AL134" i="40"/>
  <c r="AK134" i="40"/>
  <c r="AJ134" i="40"/>
  <c r="AI134" i="40"/>
  <c r="AH134" i="40"/>
  <c r="AG134" i="40"/>
  <c r="AF134" i="40"/>
  <c r="AE134" i="40"/>
  <c r="AS133" i="40"/>
  <c r="AR133" i="40"/>
  <c r="AQ133" i="40"/>
  <c r="AP133" i="40"/>
  <c r="AO133" i="40"/>
  <c r="AN133" i="40"/>
  <c r="AM133" i="40"/>
  <c r="AL133" i="40"/>
  <c r="AK133" i="40"/>
  <c r="AJ133" i="40"/>
  <c r="AI133" i="40"/>
  <c r="AH133" i="40"/>
  <c r="AG133" i="40"/>
  <c r="AF133" i="40"/>
  <c r="AE133" i="40"/>
  <c r="AS132" i="40"/>
  <c r="AR132" i="40"/>
  <c r="AQ132" i="40"/>
  <c r="AP132" i="40"/>
  <c r="AO132" i="40"/>
  <c r="AN132" i="40"/>
  <c r="AM132" i="40"/>
  <c r="AL132" i="40"/>
  <c r="AK132" i="40"/>
  <c r="AJ132" i="40"/>
  <c r="AI132" i="40"/>
  <c r="AH132" i="40"/>
  <c r="AG132" i="40"/>
  <c r="AF132" i="40"/>
  <c r="AE132" i="40"/>
  <c r="AS131" i="40"/>
  <c r="AR131" i="40"/>
  <c r="AQ131" i="40"/>
  <c r="AP131" i="40"/>
  <c r="AO131" i="40"/>
  <c r="AN131" i="40"/>
  <c r="AM131" i="40"/>
  <c r="AL131" i="40"/>
  <c r="AK131" i="40"/>
  <c r="AJ131" i="40"/>
  <c r="AI131" i="40"/>
  <c r="AH131" i="40"/>
  <c r="AG131" i="40"/>
  <c r="AF131" i="40"/>
  <c r="AE131" i="40"/>
  <c r="AS130" i="40"/>
  <c r="AR130" i="40"/>
  <c r="AQ130" i="40"/>
  <c r="AP130" i="40"/>
  <c r="AO130" i="40"/>
  <c r="AN130" i="40"/>
  <c r="AM130" i="40"/>
  <c r="AL130" i="40"/>
  <c r="AK130" i="40"/>
  <c r="AJ130" i="40"/>
  <c r="AI130" i="40"/>
  <c r="AH130" i="40"/>
  <c r="AG130" i="40"/>
  <c r="AF130" i="40"/>
  <c r="AE130" i="40"/>
  <c r="AS129" i="40"/>
  <c r="AR129" i="40"/>
  <c r="AQ129" i="40"/>
  <c r="AP129" i="40"/>
  <c r="AO129" i="40"/>
  <c r="AN129" i="40"/>
  <c r="AM129" i="40"/>
  <c r="AL129" i="40"/>
  <c r="AK129" i="40"/>
  <c r="AJ129" i="40"/>
  <c r="AI129" i="40"/>
  <c r="AH129" i="40"/>
  <c r="AG129" i="40"/>
  <c r="AF129" i="40"/>
  <c r="AE129" i="40"/>
  <c r="AS128" i="40"/>
  <c r="AR128" i="40"/>
  <c r="AQ128" i="40"/>
  <c r="AP128" i="40"/>
  <c r="AO128" i="40"/>
  <c r="AN128" i="40"/>
  <c r="AM128" i="40"/>
  <c r="AL128" i="40"/>
  <c r="AK128" i="40"/>
  <c r="AJ128" i="40"/>
  <c r="AI128" i="40"/>
  <c r="AH128" i="40"/>
  <c r="AG128" i="40"/>
  <c r="AF128" i="40"/>
  <c r="AE128" i="40"/>
  <c r="AS127" i="40"/>
  <c r="AR127" i="40"/>
  <c r="AQ127" i="40"/>
  <c r="AP127" i="40"/>
  <c r="AO127" i="40"/>
  <c r="AN127" i="40"/>
  <c r="AM127" i="40"/>
  <c r="AL127" i="40"/>
  <c r="AK127" i="40"/>
  <c r="AJ127" i="40"/>
  <c r="AI127" i="40"/>
  <c r="AH127" i="40"/>
  <c r="AG127" i="40"/>
  <c r="AF127" i="40"/>
  <c r="AE127" i="40"/>
  <c r="AS126" i="40"/>
  <c r="AR126" i="40"/>
  <c r="AQ126" i="40"/>
  <c r="AP126" i="40"/>
  <c r="AO126" i="40"/>
  <c r="AN126" i="40"/>
  <c r="AM126" i="40"/>
  <c r="AL126" i="40"/>
  <c r="AK126" i="40"/>
  <c r="AJ126" i="40"/>
  <c r="AI126" i="40"/>
  <c r="AH126" i="40"/>
  <c r="AG126" i="40"/>
  <c r="AF126" i="40"/>
  <c r="AE126" i="40"/>
  <c r="AS125" i="40"/>
  <c r="AR125" i="40"/>
  <c r="AQ125" i="40"/>
  <c r="AP125" i="40"/>
  <c r="AO125" i="40"/>
  <c r="AN125" i="40"/>
  <c r="AM125" i="40"/>
  <c r="AL125" i="40"/>
  <c r="AK125" i="40"/>
  <c r="AJ125" i="40"/>
  <c r="AI125" i="40"/>
  <c r="AH125" i="40"/>
  <c r="AG125" i="40"/>
  <c r="AF125" i="40"/>
  <c r="AE125" i="40"/>
  <c r="AS124" i="40"/>
  <c r="AR124" i="40"/>
  <c r="AQ124" i="40"/>
  <c r="AP124" i="40"/>
  <c r="AO124" i="40"/>
  <c r="AN124" i="40"/>
  <c r="AM124" i="40"/>
  <c r="AL124" i="40"/>
  <c r="AK124" i="40"/>
  <c r="AJ124" i="40"/>
  <c r="AI124" i="40"/>
  <c r="AH124" i="40"/>
  <c r="AG124" i="40"/>
  <c r="AF124" i="40"/>
  <c r="AE124" i="40"/>
  <c r="AS123" i="40"/>
  <c r="AR123" i="40"/>
  <c r="AQ123" i="40"/>
  <c r="AP123" i="40"/>
  <c r="AO123" i="40"/>
  <c r="AN123" i="40"/>
  <c r="AM123" i="40"/>
  <c r="AL123" i="40"/>
  <c r="AK123" i="40"/>
  <c r="AJ123" i="40"/>
  <c r="AI123" i="40"/>
  <c r="AH123" i="40"/>
  <c r="AG123" i="40"/>
  <c r="AF123" i="40"/>
  <c r="AE123" i="40"/>
  <c r="AS122" i="40"/>
  <c r="AR122" i="40"/>
  <c r="AQ122" i="40"/>
  <c r="AP122" i="40"/>
  <c r="AO122" i="40"/>
  <c r="AN122" i="40"/>
  <c r="AM122" i="40"/>
  <c r="AL122" i="40"/>
  <c r="AK122" i="40"/>
  <c r="AJ122" i="40"/>
  <c r="AI122" i="40"/>
  <c r="AH122" i="40"/>
  <c r="AG122" i="40"/>
  <c r="AF122" i="40"/>
  <c r="AE122" i="40"/>
  <c r="AS121" i="40"/>
  <c r="AR121" i="40"/>
  <c r="AQ121" i="40"/>
  <c r="AP121" i="40"/>
  <c r="AO121" i="40"/>
  <c r="AN121" i="40"/>
  <c r="AM121" i="40"/>
  <c r="AL121" i="40"/>
  <c r="AK121" i="40"/>
  <c r="AJ121" i="40"/>
  <c r="AI121" i="40"/>
  <c r="AH121" i="40"/>
  <c r="AG121" i="40"/>
  <c r="AF121" i="40"/>
  <c r="AE121" i="40"/>
  <c r="AS120" i="40"/>
  <c r="AR120" i="40"/>
  <c r="AQ120" i="40"/>
  <c r="AP120" i="40"/>
  <c r="AO120" i="40"/>
  <c r="AN120" i="40"/>
  <c r="AM120" i="40"/>
  <c r="AL120" i="40"/>
  <c r="AK120" i="40"/>
  <c r="AJ120" i="40"/>
  <c r="AI120" i="40"/>
  <c r="AH120" i="40"/>
  <c r="AG120" i="40"/>
  <c r="AF120" i="40"/>
  <c r="AE120" i="40"/>
  <c r="AS119" i="40"/>
  <c r="AR119" i="40"/>
  <c r="AQ119" i="40"/>
  <c r="AP119" i="40"/>
  <c r="AO119" i="40"/>
  <c r="AN119" i="40"/>
  <c r="AM119" i="40"/>
  <c r="AL119" i="40"/>
  <c r="AK119" i="40"/>
  <c r="AJ119" i="40"/>
  <c r="AI119" i="40"/>
  <c r="AH119" i="40"/>
  <c r="AG119" i="40"/>
  <c r="AF119" i="40"/>
  <c r="AE119" i="40"/>
  <c r="AS118" i="40"/>
  <c r="AR118" i="40"/>
  <c r="AQ118" i="40"/>
  <c r="AP118" i="40"/>
  <c r="AO118" i="40"/>
  <c r="AN118" i="40"/>
  <c r="AM118" i="40"/>
  <c r="AL118" i="40"/>
  <c r="AK118" i="40"/>
  <c r="AJ118" i="40"/>
  <c r="AI118" i="40"/>
  <c r="AH118" i="40"/>
  <c r="AG118" i="40"/>
  <c r="AF118" i="40"/>
  <c r="AE118" i="40"/>
  <c r="AS117" i="40"/>
  <c r="AR117" i="40"/>
  <c r="AQ117" i="40"/>
  <c r="AP117" i="40"/>
  <c r="AO117" i="40"/>
  <c r="AN117" i="40"/>
  <c r="AM117" i="40"/>
  <c r="AL117" i="40"/>
  <c r="AK117" i="40"/>
  <c r="AJ117" i="40"/>
  <c r="AI117" i="40"/>
  <c r="AH117" i="40"/>
  <c r="AG117" i="40"/>
  <c r="AF117" i="40"/>
  <c r="AE117" i="40"/>
  <c r="AS116" i="40"/>
  <c r="AR116" i="40"/>
  <c r="AQ116" i="40"/>
  <c r="AP116" i="40"/>
  <c r="AO116" i="40"/>
  <c r="AN116" i="40"/>
  <c r="AM116" i="40"/>
  <c r="AL116" i="40"/>
  <c r="AK116" i="40"/>
  <c r="AJ116" i="40"/>
  <c r="AI116" i="40"/>
  <c r="AH116" i="40"/>
  <c r="AG116" i="40"/>
  <c r="AF116" i="40"/>
  <c r="AE116" i="40"/>
  <c r="AS115" i="40"/>
  <c r="AR115" i="40"/>
  <c r="AQ115" i="40"/>
  <c r="AP115" i="40"/>
  <c r="AO115" i="40"/>
  <c r="AN115" i="40"/>
  <c r="AM115" i="40"/>
  <c r="AL115" i="40"/>
  <c r="AK115" i="40"/>
  <c r="AJ115" i="40"/>
  <c r="AI115" i="40"/>
  <c r="AH115" i="40"/>
  <c r="AG115" i="40"/>
  <c r="AF115" i="40"/>
  <c r="AE115" i="40"/>
  <c r="AS114" i="40"/>
  <c r="AR114" i="40"/>
  <c r="AQ114" i="40"/>
  <c r="AP114" i="40"/>
  <c r="AO114" i="40"/>
  <c r="AN114" i="40"/>
  <c r="AM114" i="40"/>
  <c r="AL114" i="40"/>
  <c r="AK114" i="40"/>
  <c r="AJ114" i="40"/>
  <c r="AI114" i="40"/>
  <c r="AH114" i="40"/>
  <c r="AG114" i="40"/>
  <c r="AF114" i="40"/>
  <c r="AE114" i="40"/>
  <c r="AS113" i="40"/>
  <c r="AR113" i="40"/>
  <c r="AQ113" i="40"/>
  <c r="AP113" i="40"/>
  <c r="AO113" i="40"/>
  <c r="AN113" i="40"/>
  <c r="AM113" i="40"/>
  <c r="AL113" i="40"/>
  <c r="AK113" i="40"/>
  <c r="AJ113" i="40"/>
  <c r="AI113" i="40"/>
  <c r="AH113" i="40"/>
  <c r="AG113" i="40"/>
  <c r="AF113" i="40"/>
  <c r="AE113" i="40"/>
  <c r="AS112" i="40"/>
  <c r="AR112" i="40"/>
  <c r="AQ112" i="40"/>
  <c r="AP112" i="40"/>
  <c r="AO112" i="40"/>
  <c r="AN112" i="40"/>
  <c r="AM112" i="40"/>
  <c r="AL112" i="40"/>
  <c r="AK112" i="40"/>
  <c r="AJ112" i="40"/>
  <c r="AI112" i="40"/>
  <c r="AH112" i="40"/>
  <c r="AG112" i="40"/>
  <c r="AF112" i="40"/>
  <c r="AE112" i="40"/>
  <c r="AS111" i="40"/>
  <c r="AR111" i="40"/>
  <c r="AQ111" i="40"/>
  <c r="AP111" i="40"/>
  <c r="AO111" i="40"/>
  <c r="AN111" i="40"/>
  <c r="AM111" i="40"/>
  <c r="AL111" i="40"/>
  <c r="AK111" i="40"/>
  <c r="AJ111" i="40"/>
  <c r="AI111" i="40"/>
  <c r="AH111" i="40"/>
  <c r="AG111" i="40"/>
  <c r="AF111" i="40"/>
  <c r="AE111" i="40"/>
  <c r="AS110" i="40"/>
  <c r="AR110" i="40"/>
  <c r="AQ110" i="40"/>
  <c r="AP110" i="40"/>
  <c r="AO110" i="40"/>
  <c r="AN110" i="40"/>
  <c r="AM110" i="40"/>
  <c r="AL110" i="40"/>
  <c r="AK110" i="40"/>
  <c r="AJ110" i="40"/>
  <c r="AI110" i="40"/>
  <c r="AH110" i="40"/>
  <c r="AG110" i="40"/>
  <c r="AF110" i="40"/>
  <c r="AE110" i="40"/>
  <c r="AS109" i="40"/>
  <c r="AR109" i="40"/>
  <c r="AQ109" i="40"/>
  <c r="AP109" i="40"/>
  <c r="AO109" i="40"/>
  <c r="AN109" i="40"/>
  <c r="AM109" i="40"/>
  <c r="AL109" i="40"/>
  <c r="AK109" i="40"/>
  <c r="AJ109" i="40"/>
  <c r="AI109" i="40"/>
  <c r="AH109" i="40"/>
  <c r="AG109" i="40"/>
  <c r="AF109" i="40"/>
  <c r="AE109" i="40"/>
  <c r="AS108" i="40"/>
  <c r="AR108" i="40"/>
  <c r="AQ108" i="40"/>
  <c r="AP108" i="40"/>
  <c r="AO108" i="40"/>
  <c r="AN108" i="40"/>
  <c r="AM108" i="40"/>
  <c r="AL108" i="40"/>
  <c r="AK108" i="40"/>
  <c r="AJ108" i="40"/>
  <c r="AI108" i="40"/>
  <c r="AH108" i="40"/>
  <c r="AG108" i="40"/>
  <c r="AF108" i="40"/>
  <c r="AE108" i="40"/>
  <c r="AS107" i="40"/>
  <c r="AR107" i="40"/>
  <c r="AQ107" i="40"/>
  <c r="AP107" i="40"/>
  <c r="AO107" i="40"/>
  <c r="AN107" i="40"/>
  <c r="AM107" i="40"/>
  <c r="AL107" i="40"/>
  <c r="AK107" i="40"/>
  <c r="AJ107" i="40"/>
  <c r="AI107" i="40"/>
  <c r="AH107" i="40"/>
  <c r="AG107" i="40"/>
  <c r="AF107" i="40"/>
  <c r="AE107" i="40"/>
  <c r="AS106" i="40"/>
  <c r="AR106" i="40"/>
  <c r="AQ106" i="40"/>
  <c r="AP106" i="40"/>
  <c r="AO106" i="40"/>
  <c r="AN106" i="40"/>
  <c r="AM106" i="40"/>
  <c r="AL106" i="40"/>
  <c r="AK106" i="40"/>
  <c r="AJ106" i="40"/>
  <c r="AI106" i="40"/>
  <c r="AH106" i="40"/>
  <c r="AG106" i="40"/>
  <c r="AF106" i="40"/>
  <c r="AE106" i="40"/>
  <c r="AS105" i="40"/>
  <c r="AR105" i="40"/>
  <c r="AQ105" i="40"/>
  <c r="AP105" i="40"/>
  <c r="AO105" i="40"/>
  <c r="AN105" i="40"/>
  <c r="AM105" i="40"/>
  <c r="AL105" i="40"/>
  <c r="AK105" i="40"/>
  <c r="AJ105" i="40"/>
  <c r="AI105" i="40"/>
  <c r="AH105" i="40"/>
  <c r="AG105" i="40"/>
  <c r="AF105" i="40"/>
  <c r="AE105" i="40"/>
  <c r="AS104" i="40"/>
  <c r="AR104" i="40"/>
  <c r="AQ104" i="40"/>
  <c r="AP104" i="40"/>
  <c r="AO104" i="40"/>
  <c r="AN104" i="40"/>
  <c r="AM104" i="40"/>
  <c r="AL104" i="40"/>
  <c r="AK104" i="40"/>
  <c r="AJ104" i="40"/>
  <c r="AI104" i="40"/>
  <c r="AH104" i="40"/>
  <c r="AG104" i="40"/>
  <c r="AF104" i="40"/>
  <c r="AE104" i="40"/>
  <c r="AS103" i="40"/>
  <c r="AR103" i="40"/>
  <c r="AQ103" i="40"/>
  <c r="AP103" i="40"/>
  <c r="AO103" i="40"/>
  <c r="AN103" i="40"/>
  <c r="AM103" i="40"/>
  <c r="AL103" i="40"/>
  <c r="AK103" i="40"/>
  <c r="AJ103" i="40"/>
  <c r="AI103" i="40"/>
  <c r="AH103" i="40"/>
  <c r="AG103" i="40"/>
  <c r="AF103" i="40"/>
  <c r="AE103" i="40"/>
  <c r="AS102" i="40"/>
  <c r="AR102" i="40"/>
  <c r="AQ102" i="40"/>
  <c r="AP102" i="40"/>
  <c r="AO102" i="40"/>
  <c r="AN102" i="40"/>
  <c r="AM102" i="40"/>
  <c r="AL102" i="40"/>
  <c r="AK102" i="40"/>
  <c r="AJ102" i="40"/>
  <c r="AI102" i="40"/>
  <c r="AH102" i="40"/>
  <c r="AG102" i="40"/>
  <c r="AF102" i="40"/>
  <c r="AE102" i="40"/>
  <c r="AS101" i="40"/>
  <c r="AR101" i="40"/>
  <c r="AQ101" i="40"/>
  <c r="AP101" i="40"/>
  <c r="AO101" i="40"/>
  <c r="AN101" i="40"/>
  <c r="AM101" i="40"/>
  <c r="AL101" i="40"/>
  <c r="AK101" i="40"/>
  <c r="AJ101" i="40"/>
  <c r="AI101" i="40"/>
  <c r="AH101" i="40"/>
  <c r="AG101" i="40"/>
  <c r="AF101" i="40"/>
  <c r="AE101" i="40"/>
  <c r="AS100" i="40"/>
  <c r="AR100" i="40"/>
  <c r="AQ100" i="40"/>
  <c r="AP100" i="40"/>
  <c r="AO100" i="40"/>
  <c r="AN100" i="40"/>
  <c r="AM100" i="40"/>
  <c r="AL100" i="40"/>
  <c r="AK100" i="40"/>
  <c r="AJ100" i="40"/>
  <c r="AI100" i="40"/>
  <c r="AH100" i="40"/>
  <c r="AG100" i="40"/>
  <c r="AF100" i="40"/>
  <c r="AE100" i="40"/>
  <c r="AS99" i="40"/>
  <c r="AR99" i="40"/>
  <c r="AQ99" i="40"/>
  <c r="AP99" i="40"/>
  <c r="AO99" i="40"/>
  <c r="AN99" i="40"/>
  <c r="AM99" i="40"/>
  <c r="AL99" i="40"/>
  <c r="AK99" i="40"/>
  <c r="AJ99" i="40"/>
  <c r="AI99" i="40"/>
  <c r="AH99" i="40"/>
  <c r="AG99" i="40"/>
  <c r="AF99" i="40"/>
  <c r="AE99" i="40"/>
  <c r="AS98" i="40"/>
  <c r="AR98" i="40"/>
  <c r="AQ98" i="40"/>
  <c r="AP98" i="40"/>
  <c r="AO98" i="40"/>
  <c r="AN98" i="40"/>
  <c r="AM98" i="40"/>
  <c r="AL98" i="40"/>
  <c r="AK98" i="40"/>
  <c r="AJ98" i="40"/>
  <c r="AI98" i="40"/>
  <c r="AH98" i="40"/>
  <c r="AG98" i="40"/>
  <c r="AF98" i="40"/>
  <c r="AE98" i="40"/>
  <c r="AS97" i="40"/>
  <c r="AR97" i="40"/>
  <c r="AQ97" i="40"/>
  <c r="AP97" i="40"/>
  <c r="AO97" i="40"/>
  <c r="AN97" i="40"/>
  <c r="AM97" i="40"/>
  <c r="AL97" i="40"/>
  <c r="AK97" i="40"/>
  <c r="AJ97" i="40"/>
  <c r="AI97" i="40"/>
  <c r="AH97" i="40"/>
  <c r="AG97" i="40"/>
  <c r="AF97" i="40"/>
  <c r="AE97" i="40"/>
  <c r="AS96" i="40"/>
  <c r="AR96" i="40"/>
  <c r="AQ96" i="40"/>
  <c r="AP96" i="40"/>
  <c r="AO96" i="40"/>
  <c r="AN96" i="40"/>
  <c r="AM96" i="40"/>
  <c r="AL96" i="40"/>
  <c r="AK96" i="40"/>
  <c r="AJ96" i="40"/>
  <c r="AI96" i="40"/>
  <c r="AH96" i="40"/>
  <c r="AG96" i="40"/>
  <c r="AF96" i="40"/>
  <c r="AE96" i="40"/>
  <c r="AS95" i="40"/>
  <c r="AR95" i="40"/>
  <c r="AQ95" i="40"/>
  <c r="AP95" i="40"/>
  <c r="AO95" i="40"/>
  <c r="AN95" i="40"/>
  <c r="AM95" i="40"/>
  <c r="AL95" i="40"/>
  <c r="AK95" i="40"/>
  <c r="AJ95" i="40"/>
  <c r="AI95" i="40"/>
  <c r="AH95" i="40"/>
  <c r="AG95" i="40"/>
  <c r="AF95" i="40"/>
  <c r="AE95" i="40"/>
  <c r="AS94" i="40"/>
  <c r="AR94" i="40"/>
  <c r="AQ94" i="40"/>
  <c r="AP94" i="40"/>
  <c r="AO94" i="40"/>
  <c r="AN94" i="40"/>
  <c r="AM94" i="40"/>
  <c r="AL94" i="40"/>
  <c r="AK94" i="40"/>
  <c r="AJ94" i="40"/>
  <c r="AI94" i="40"/>
  <c r="AH94" i="40"/>
  <c r="AG94" i="40"/>
  <c r="AF94" i="40"/>
  <c r="AE94" i="40"/>
  <c r="AS93" i="40"/>
  <c r="AR93" i="40"/>
  <c r="AQ93" i="40"/>
  <c r="AP93" i="40"/>
  <c r="AO93" i="40"/>
  <c r="AN93" i="40"/>
  <c r="AM93" i="40"/>
  <c r="AL93" i="40"/>
  <c r="AK93" i="40"/>
  <c r="AJ93" i="40"/>
  <c r="AI93" i="40"/>
  <c r="AH93" i="40"/>
  <c r="AG93" i="40"/>
  <c r="AF93" i="40"/>
  <c r="AE93" i="40"/>
  <c r="AS92" i="40"/>
  <c r="AR92" i="40"/>
  <c r="AQ92" i="40"/>
  <c r="AP92" i="40"/>
  <c r="AO92" i="40"/>
  <c r="AN92" i="40"/>
  <c r="AM92" i="40"/>
  <c r="AL92" i="40"/>
  <c r="AK92" i="40"/>
  <c r="AJ92" i="40"/>
  <c r="AI92" i="40"/>
  <c r="AH92" i="40"/>
  <c r="AG92" i="40"/>
  <c r="AF92" i="40"/>
  <c r="AE92" i="40"/>
  <c r="AS91" i="40"/>
  <c r="AR91" i="40"/>
  <c r="AQ91" i="40"/>
  <c r="AP91" i="40"/>
  <c r="AO91" i="40"/>
  <c r="AN91" i="40"/>
  <c r="AM91" i="40"/>
  <c r="AL91" i="40"/>
  <c r="AK91" i="40"/>
  <c r="AJ91" i="40"/>
  <c r="AI91" i="40"/>
  <c r="AH91" i="40"/>
  <c r="AG91" i="40"/>
  <c r="AF91" i="40"/>
  <c r="AE91" i="40"/>
  <c r="AS90" i="40"/>
  <c r="AR90" i="40"/>
  <c r="AQ90" i="40"/>
  <c r="AP90" i="40"/>
  <c r="AO90" i="40"/>
  <c r="AN90" i="40"/>
  <c r="AM90" i="40"/>
  <c r="AL90" i="40"/>
  <c r="AK90" i="40"/>
  <c r="AJ90" i="40"/>
  <c r="AI90" i="40"/>
  <c r="AH90" i="40"/>
  <c r="AG90" i="40"/>
  <c r="AF90" i="40"/>
  <c r="AE90" i="40"/>
  <c r="AS89" i="40"/>
  <c r="AR89" i="40"/>
  <c r="AQ89" i="40"/>
  <c r="AP89" i="40"/>
  <c r="AO89" i="40"/>
  <c r="AN89" i="40"/>
  <c r="AM89" i="40"/>
  <c r="AL89" i="40"/>
  <c r="AK89" i="40"/>
  <c r="AJ89" i="40"/>
  <c r="AI89" i="40"/>
  <c r="AH89" i="40"/>
  <c r="AG89" i="40"/>
  <c r="AF89" i="40"/>
  <c r="AE89" i="40"/>
  <c r="AS88" i="40"/>
  <c r="AR88" i="40"/>
  <c r="AQ88" i="40"/>
  <c r="AP88" i="40"/>
  <c r="AO88" i="40"/>
  <c r="AN88" i="40"/>
  <c r="AM88" i="40"/>
  <c r="AL88" i="40"/>
  <c r="AK88" i="40"/>
  <c r="AJ88" i="40"/>
  <c r="AI88" i="40"/>
  <c r="AH88" i="40"/>
  <c r="AG88" i="40"/>
  <c r="AF88" i="40"/>
  <c r="AE88" i="40"/>
  <c r="AS87" i="40"/>
  <c r="AR87" i="40"/>
  <c r="AQ87" i="40"/>
  <c r="AP87" i="40"/>
  <c r="AO87" i="40"/>
  <c r="AN87" i="40"/>
  <c r="AM87" i="40"/>
  <c r="AL87" i="40"/>
  <c r="AK87" i="40"/>
  <c r="AJ87" i="40"/>
  <c r="AI87" i="40"/>
  <c r="AH87" i="40"/>
  <c r="AG87" i="40"/>
  <c r="AF87" i="40"/>
  <c r="AE87" i="40"/>
  <c r="AS86" i="40"/>
  <c r="AR86" i="40"/>
  <c r="AQ86" i="40"/>
  <c r="AP86" i="40"/>
  <c r="AO86" i="40"/>
  <c r="AN86" i="40"/>
  <c r="AM86" i="40"/>
  <c r="AL86" i="40"/>
  <c r="AK86" i="40"/>
  <c r="AJ86" i="40"/>
  <c r="AI86" i="40"/>
  <c r="AH86" i="40"/>
  <c r="AG86" i="40"/>
  <c r="AF86" i="40"/>
  <c r="AE86" i="40"/>
  <c r="AS85" i="40"/>
  <c r="AR85" i="40"/>
  <c r="AQ85" i="40"/>
  <c r="AP85" i="40"/>
  <c r="AO85" i="40"/>
  <c r="AN85" i="40"/>
  <c r="AM85" i="40"/>
  <c r="AL85" i="40"/>
  <c r="AK85" i="40"/>
  <c r="AJ85" i="40"/>
  <c r="AI85" i="40"/>
  <c r="AH85" i="40"/>
  <c r="AG85" i="40"/>
  <c r="AF85" i="40"/>
  <c r="AE85" i="40"/>
  <c r="AS84" i="40"/>
  <c r="AR84" i="40"/>
  <c r="AQ84" i="40"/>
  <c r="AP84" i="40"/>
  <c r="AO84" i="40"/>
  <c r="AN84" i="40"/>
  <c r="AM84" i="40"/>
  <c r="AL84" i="40"/>
  <c r="AK84" i="40"/>
  <c r="AJ84" i="40"/>
  <c r="AI84" i="40"/>
  <c r="AH84" i="40"/>
  <c r="AG84" i="40"/>
  <c r="AF84" i="40"/>
  <c r="AE84" i="40"/>
  <c r="AS83" i="40"/>
  <c r="AR83" i="40"/>
  <c r="AQ83" i="40"/>
  <c r="AP83" i="40"/>
  <c r="AO83" i="40"/>
  <c r="AN83" i="40"/>
  <c r="AM83" i="40"/>
  <c r="AL83" i="40"/>
  <c r="AK83" i="40"/>
  <c r="AJ83" i="40"/>
  <c r="AI83" i="40"/>
  <c r="AH83" i="40"/>
  <c r="AG83" i="40"/>
  <c r="AF83" i="40"/>
  <c r="AE83" i="40"/>
  <c r="AS82" i="40"/>
  <c r="AR82" i="40"/>
  <c r="AQ82" i="40"/>
  <c r="AP82" i="40"/>
  <c r="AO82" i="40"/>
  <c r="AN82" i="40"/>
  <c r="AM82" i="40"/>
  <c r="AL82" i="40"/>
  <c r="AK82" i="40"/>
  <c r="AJ82" i="40"/>
  <c r="AI82" i="40"/>
  <c r="AH82" i="40"/>
  <c r="AG82" i="40"/>
  <c r="AF82" i="40"/>
  <c r="AE82" i="40"/>
  <c r="AS81" i="40"/>
  <c r="AR81" i="40"/>
  <c r="AQ81" i="40"/>
  <c r="AP81" i="40"/>
  <c r="AO81" i="40"/>
  <c r="AN81" i="40"/>
  <c r="AM81" i="40"/>
  <c r="AL81" i="40"/>
  <c r="AK81" i="40"/>
  <c r="AJ81" i="40"/>
  <c r="AI81" i="40"/>
  <c r="AH81" i="40"/>
  <c r="AG81" i="40"/>
  <c r="AF81" i="40"/>
  <c r="AE81" i="40"/>
  <c r="AS80" i="40"/>
  <c r="AR80" i="40"/>
  <c r="AQ80" i="40"/>
  <c r="AP80" i="40"/>
  <c r="AO80" i="40"/>
  <c r="AN80" i="40"/>
  <c r="AM80" i="40"/>
  <c r="AL80" i="40"/>
  <c r="AK80" i="40"/>
  <c r="AJ80" i="40"/>
  <c r="AI80" i="40"/>
  <c r="AH80" i="40"/>
  <c r="AG80" i="40"/>
  <c r="AF80" i="40"/>
  <c r="AE80" i="40"/>
  <c r="AS79" i="40"/>
  <c r="AR79" i="40"/>
  <c r="AQ79" i="40"/>
  <c r="AP79" i="40"/>
  <c r="AO79" i="40"/>
  <c r="AN79" i="40"/>
  <c r="AM79" i="40"/>
  <c r="AL79" i="40"/>
  <c r="AK79" i="40"/>
  <c r="AJ79" i="40"/>
  <c r="AI79" i="40"/>
  <c r="AH79" i="40"/>
  <c r="AG79" i="40"/>
  <c r="AF79" i="40"/>
  <c r="AE79" i="40"/>
  <c r="AS78" i="40"/>
  <c r="AR78" i="40"/>
  <c r="AQ78" i="40"/>
  <c r="AP78" i="40"/>
  <c r="AO78" i="40"/>
  <c r="AN78" i="40"/>
  <c r="AM78" i="40"/>
  <c r="AL78" i="40"/>
  <c r="AK78" i="40"/>
  <c r="AJ78" i="40"/>
  <c r="AI78" i="40"/>
  <c r="AH78" i="40"/>
  <c r="AG78" i="40"/>
  <c r="AF78" i="40"/>
  <c r="AE78" i="40"/>
  <c r="AS77" i="40"/>
  <c r="AR77" i="40"/>
  <c r="AQ77" i="40"/>
  <c r="AP77" i="40"/>
  <c r="AO77" i="40"/>
  <c r="AN77" i="40"/>
  <c r="AM77" i="40"/>
  <c r="AL77" i="40"/>
  <c r="AK77" i="40"/>
  <c r="AJ77" i="40"/>
  <c r="AI77" i="40"/>
  <c r="AH77" i="40"/>
  <c r="AG77" i="40"/>
  <c r="AF77" i="40"/>
  <c r="AE77" i="40"/>
  <c r="AS76" i="40"/>
  <c r="AR76" i="40"/>
  <c r="AQ76" i="40"/>
  <c r="AP76" i="40"/>
  <c r="AO76" i="40"/>
  <c r="AN76" i="40"/>
  <c r="AM76" i="40"/>
  <c r="AL76" i="40"/>
  <c r="AK76" i="40"/>
  <c r="AJ76" i="40"/>
  <c r="AI76" i="40"/>
  <c r="AH76" i="40"/>
  <c r="AG76" i="40"/>
  <c r="AF76" i="40"/>
  <c r="AE76" i="40"/>
  <c r="AS75" i="40"/>
  <c r="AR75" i="40"/>
  <c r="AQ75" i="40"/>
  <c r="AP75" i="40"/>
  <c r="AO75" i="40"/>
  <c r="AN75" i="40"/>
  <c r="AM75" i="40"/>
  <c r="AL75" i="40"/>
  <c r="AK75" i="40"/>
  <c r="AJ75" i="40"/>
  <c r="AI75" i="40"/>
  <c r="AH75" i="40"/>
  <c r="AG75" i="40"/>
  <c r="AF75" i="40"/>
  <c r="AE75" i="40"/>
  <c r="AS74" i="40"/>
  <c r="AR74" i="40"/>
  <c r="AQ74" i="40"/>
  <c r="AP74" i="40"/>
  <c r="AO74" i="40"/>
  <c r="AN74" i="40"/>
  <c r="AM74" i="40"/>
  <c r="AL74" i="40"/>
  <c r="AK74" i="40"/>
  <c r="AJ74" i="40"/>
  <c r="AI74" i="40"/>
  <c r="AH74" i="40"/>
  <c r="AG74" i="40"/>
  <c r="AF74" i="40"/>
  <c r="AE74" i="40"/>
  <c r="AS73" i="40"/>
  <c r="AR73" i="40"/>
  <c r="AQ73" i="40"/>
  <c r="AP73" i="40"/>
  <c r="AO73" i="40"/>
  <c r="AN73" i="40"/>
  <c r="AM73" i="40"/>
  <c r="AL73" i="40"/>
  <c r="AK73" i="40"/>
  <c r="AJ73" i="40"/>
  <c r="AI73" i="40"/>
  <c r="AH73" i="40"/>
  <c r="AG73" i="40"/>
  <c r="AF73" i="40"/>
  <c r="AE73" i="40"/>
  <c r="AS72" i="40"/>
  <c r="AR72" i="40"/>
  <c r="AQ72" i="40"/>
  <c r="AP72" i="40"/>
  <c r="AO72" i="40"/>
  <c r="AN72" i="40"/>
  <c r="AM72" i="40"/>
  <c r="AL72" i="40"/>
  <c r="AK72" i="40"/>
  <c r="AJ72" i="40"/>
  <c r="AI72" i="40"/>
  <c r="AH72" i="40"/>
  <c r="AG72" i="40"/>
  <c r="AF72" i="40"/>
  <c r="AE72" i="40"/>
  <c r="AS71" i="40"/>
  <c r="AR71" i="40"/>
  <c r="AQ71" i="40"/>
  <c r="AP71" i="40"/>
  <c r="AO71" i="40"/>
  <c r="AN71" i="40"/>
  <c r="AM71" i="40"/>
  <c r="AL71" i="40"/>
  <c r="AK71" i="40"/>
  <c r="AJ71" i="40"/>
  <c r="AI71" i="40"/>
  <c r="AH71" i="40"/>
  <c r="AG71" i="40"/>
  <c r="AF71" i="40"/>
  <c r="AE71" i="40"/>
  <c r="AS70" i="40"/>
  <c r="AR70" i="40"/>
  <c r="AQ70" i="40"/>
  <c r="AP70" i="40"/>
  <c r="AO70" i="40"/>
  <c r="AN70" i="40"/>
  <c r="AM70" i="40"/>
  <c r="AL70" i="40"/>
  <c r="AK70" i="40"/>
  <c r="AJ70" i="40"/>
  <c r="AI70" i="40"/>
  <c r="AH70" i="40"/>
  <c r="AG70" i="40"/>
  <c r="AF70" i="40"/>
  <c r="AE70" i="40"/>
  <c r="AS69" i="40"/>
  <c r="AR69" i="40"/>
  <c r="AQ69" i="40"/>
  <c r="AP69" i="40"/>
  <c r="AO69" i="40"/>
  <c r="AN69" i="40"/>
  <c r="AM69" i="40"/>
  <c r="AL69" i="40"/>
  <c r="AK69" i="40"/>
  <c r="AJ69" i="40"/>
  <c r="AI69" i="40"/>
  <c r="AH69" i="40"/>
  <c r="AG69" i="40"/>
  <c r="AF69" i="40"/>
  <c r="AE69" i="40"/>
  <c r="AS68" i="40"/>
  <c r="AR68" i="40"/>
  <c r="AQ68" i="40"/>
  <c r="AP68" i="40"/>
  <c r="AO68" i="40"/>
  <c r="AN68" i="40"/>
  <c r="AM68" i="40"/>
  <c r="AL68" i="40"/>
  <c r="AK68" i="40"/>
  <c r="AJ68" i="40"/>
  <c r="AI68" i="40"/>
  <c r="AH68" i="40"/>
  <c r="AG68" i="40"/>
  <c r="AF68" i="40"/>
  <c r="AE68" i="40"/>
  <c r="AS67" i="40"/>
  <c r="AR67" i="40"/>
  <c r="AQ67" i="40"/>
  <c r="AP67" i="40"/>
  <c r="AO67" i="40"/>
  <c r="AN67" i="40"/>
  <c r="AM67" i="40"/>
  <c r="AL67" i="40"/>
  <c r="AK67" i="40"/>
  <c r="AJ67" i="40"/>
  <c r="AI67" i="40"/>
  <c r="AH67" i="40"/>
  <c r="AG67" i="40"/>
  <c r="AF67" i="40"/>
  <c r="AE67" i="40"/>
  <c r="AS66" i="40"/>
  <c r="AR66" i="40"/>
  <c r="AQ66" i="40"/>
  <c r="AP66" i="40"/>
  <c r="AO66" i="40"/>
  <c r="AN66" i="40"/>
  <c r="AM66" i="40"/>
  <c r="AL66" i="40"/>
  <c r="AK66" i="40"/>
  <c r="AJ66" i="40"/>
  <c r="AI66" i="40"/>
  <c r="AH66" i="40"/>
  <c r="AG66" i="40"/>
  <c r="AF66" i="40"/>
  <c r="AE66" i="40"/>
  <c r="AS65" i="40"/>
  <c r="AR65" i="40"/>
  <c r="AQ65" i="40"/>
  <c r="AP65" i="40"/>
  <c r="AO65" i="40"/>
  <c r="AN65" i="40"/>
  <c r="AM65" i="40"/>
  <c r="AL65" i="40"/>
  <c r="AK65" i="40"/>
  <c r="AJ65" i="40"/>
  <c r="AI65" i="40"/>
  <c r="AH65" i="40"/>
  <c r="AG65" i="40"/>
  <c r="AF65" i="40"/>
  <c r="AE65" i="40"/>
  <c r="AS64" i="40"/>
  <c r="AR64" i="40"/>
  <c r="AQ64" i="40"/>
  <c r="AP64" i="40"/>
  <c r="AO64" i="40"/>
  <c r="AN64" i="40"/>
  <c r="AM64" i="40"/>
  <c r="AL64" i="40"/>
  <c r="AK64" i="40"/>
  <c r="AJ64" i="40"/>
  <c r="AI64" i="40"/>
  <c r="AH64" i="40"/>
  <c r="AG64" i="40"/>
  <c r="AF64" i="40"/>
  <c r="AE64" i="40"/>
  <c r="AS63" i="40"/>
  <c r="AR63" i="40"/>
  <c r="AQ63" i="40"/>
  <c r="AP63" i="40"/>
  <c r="AO63" i="40"/>
  <c r="AN63" i="40"/>
  <c r="AM63" i="40"/>
  <c r="AL63" i="40"/>
  <c r="AK63" i="40"/>
  <c r="AJ63" i="40"/>
  <c r="AI63" i="40"/>
  <c r="AH63" i="40"/>
  <c r="AG63" i="40"/>
  <c r="AF63" i="40"/>
  <c r="AE63" i="40"/>
  <c r="AS62" i="40"/>
  <c r="AR62" i="40"/>
  <c r="AQ62" i="40"/>
  <c r="AP62" i="40"/>
  <c r="AO62" i="40"/>
  <c r="AN62" i="40"/>
  <c r="AM62" i="40"/>
  <c r="AL62" i="40"/>
  <c r="AK62" i="40"/>
  <c r="AJ62" i="40"/>
  <c r="AI62" i="40"/>
  <c r="AH62" i="40"/>
  <c r="AG62" i="40"/>
  <c r="AF62" i="40"/>
  <c r="AE62" i="40"/>
  <c r="AS61" i="40"/>
  <c r="AR61" i="40"/>
  <c r="AQ61" i="40"/>
  <c r="AP61" i="40"/>
  <c r="AO61" i="40"/>
  <c r="AN61" i="40"/>
  <c r="AM61" i="40"/>
  <c r="AL61" i="40"/>
  <c r="AK61" i="40"/>
  <c r="AJ61" i="40"/>
  <c r="AI61" i="40"/>
  <c r="AH61" i="40"/>
  <c r="AG61" i="40"/>
  <c r="AF61" i="40"/>
  <c r="AE61" i="40"/>
  <c r="AS60" i="40"/>
  <c r="AR60" i="40"/>
  <c r="AQ60" i="40"/>
  <c r="AP60" i="40"/>
  <c r="AO60" i="40"/>
  <c r="AN60" i="40"/>
  <c r="AM60" i="40"/>
  <c r="AL60" i="40"/>
  <c r="AK60" i="40"/>
  <c r="AJ60" i="40"/>
  <c r="AI60" i="40"/>
  <c r="AH60" i="40"/>
  <c r="AG60" i="40"/>
  <c r="AF60" i="40"/>
  <c r="AE60" i="40"/>
  <c r="AS59" i="40"/>
  <c r="AR59" i="40"/>
  <c r="AQ59" i="40"/>
  <c r="AP59" i="40"/>
  <c r="AO59" i="40"/>
  <c r="AN59" i="40"/>
  <c r="AM59" i="40"/>
  <c r="AL59" i="40"/>
  <c r="AK59" i="40"/>
  <c r="AJ59" i="40"/>
  <c r="AI59" i="40"/>
  <c r="AH59" i="40"/>
  <c r="AG59" i="40"/>
  <c r="AF59" i="40"/>
  <c r="AE59" i="40"/>
  <c r="AS58" i="40"/>
  <c r="AR58" i="40"/>
  <c r="AQ58" i="40"/>
  <c r="AP58" i="40"/>
  <c r="AO58" i="40"/>
  <c r="AN58" i="40"/>
  <c r="AM58" i="40"/>
  <c r="AL58" i="40"/>
  <c r="AK58" i="40"/>
  <c r="AJ58" i="40"/>
  <c r="AI58" i="40"/>
  <c r="AH58" i="40"/>
  <c r="AG58" i="40"/>
  <c r="AF58" i="40"/>
  <c r="AE58" i="40"/>
  <c r="AS57" i="40"/>
  <c r="AR57" i="40"/>
  <c r="AQ57" i="40"/>
  <c r="AP57" i="40"/>
  <c r="AO57" i="40"/>
  <c r="AN57" i="40"/>
  <c r="AM57" i="40"/>
  <c r="AL57" i="40"/>
  <c r="AK57" i="40"/>
  <c r="AJ57" i="40"/>
  <c r="AI57" i="40"/>
  <c r="AH57" i="40"/>
  <c r="AG57" i="40"/>
  <c r="AF57" i="40"/>
  <c r="AE57" i="40"/>
  <c r="AS56" i="40"/>
  <c r="AR56" i="40"/>
  <c r="AQ56" i="40"/>
  <c r="AP56" i="40"/>
  <c r="AO56" i="40"/>
  <c r="AN56" i="40"/>
  <c r="AM56" i="40"/>
  <c r="AL56" i="40"/>
  <c r="AK56" i="40"/>
  <c r="AJ56" i="40"/>
  <c r="AI56" i="40"/>
  <c r="AH56" i="40"/>
  <c r="AG56" i="40"/>
  <c r="AF56" i="40"/>
  <c r="AE56" i="40"/>
  <c r="AS55" i="40"/>
  <c r="AR55" i="40"/>
  <c r="AQ55" i="40"/>
  <c r="AP55" i="40"/>
  <c r="AO55" i="40"/>
  <c r="AN55" i="40"/>
  <c r="AM55" i="40"/>
  <c r="AL55" i="40"/>
  <c r="AK55" i="40"/>
  <c r="AJ55" i="40"/>
  <c r="AI55" i="40"/>
  <c r="AH55" i="40"/>
  <c r="AG55" i="40"/>
  <c r="AF55" i="40"/>
  <c r="AE55" i="40"/>
  <c r="AS54" i="40"/>
  <c r="AR54" i="40"/>
  <c r="AQ54" i="40"/>
  <c r="AP54" i="40"/>
  <c r="AO54" i="40"/>
  <c r="AN54" i="40"/>
  <c r="AM54" i="40"/>
  <c r="AL54" i="40"/>
  <c r="AK54" i="40"/>
  <c r="AJ54" i="40"/>
  <c r="AI54" i="40"/>
  <c r="AH54" i="40"/>
  <c r="AG54" i="40"/>
  <c r="AF54" i="40"/>
  <c r="AE54" i="40"/>
  <c r="AS53" i="40"/>
  <c r="AR53" i="40"/>
  <c r="AQ53" i="40"/>
  <c r="AP53" i="40"/>
  <c r="AO53" i="40"/>
  <c r="AN53" i="40"/>
  <c r="AM53" i="40"/>
  <c r="AL53" i="40"/>
  <c r="AK53" i="40"/>
  <c r="AJ53" i="40"/>
  <c r="AI53" i="40"/>
  <c r="AH53" i="40"/>
  <c r="AG53" i="40"/>
  <c r="AF53" i="40"/>
  <c r="AE53" i="40"/>
  <c r="AS52" i="40"/>
  <c r="AR52" i="40"/>
  <c r="AQ52" i="40"/>
  <c r="AP52" i="40"/>
  <c r="AO52" i="40"/>
  <c r="AN52" i="40"/>
  <c r="AM52" i="40"/>
  <c r="AL52" i="40"/>
  <c r="AK52" i="40"/>
  <c r="AJ52" i="40"/>
  <c r="AI52" i="40"/>
  <c r="AH52" i="40"/>
  <c r="AG52" i="40"/>
  <c r="AF52" i="40"/>
  <c r="AE52" i="40"/>
  <c r="AS51" i="40"/>
  <c r="AR51" i="40"/>
  <c r="AQ51" i="40"/>
  <c r="AP51" i="40"/>
  <c r="AO51" i="40"/>
  <c r="AN51" i="40"/>
  <c r="AM51" i="40"/>
  <c r="AL51" i="40"/>
  <c r="AK51" i="40"/>
  <c r="AJ51" i="40"/>
  <c r="AI51" i="40"/>
  <c r="AH51" i="40"/>
  <c r="AG51" i="40"/>
  <c r="AF51" i="40"/>
  <c r="AE51" i="40"/>
  <c r="AS50" i="40"/>
  <c r="AR50" i="40"/>
  <c r="AQ50" i="40"/>
  <c r="AP50" i="40"/>
  <c r="AO50" i="40"/>
  <c r="AN50" i="40"/>
  <c r="AM50" i="40"/>
  <c r="AL50" i="40"/>
  <c r="AK50" i="40"/>
  <c r="AJ50" i="40"/>
  <c r="AI50" i="40"/>
  <c r="AH50" i="40"/>
  <c r="AG50" i="40"/>
  <c r="AF50" i="40"/>
  <c r="AE50" i="40"/>
  <c r="AS49" i="40"/>
  <c r="AR49" i="40"/>
  <c r="AQ49" i="40"/>
  <c r="AP49" i="40"/>
  <c r="AO49" i="40"/>
  <c r="AN49" i="40"/>
  <c r="AM49" i="40"/>
  <c r="AL49" i="40"/>
  <c r="AK49" i="40"/>
  <c r="AJ49" i="40"/>
  <c r="AI49" i="40"/>
  <c r="AH49" i="40"/>
  <c r="AG49" i="40"/>
  <c r="AF49" i="40"/>
  <c r="AE49" i="40"/>
  <c r="AS48" i="40"/>
  <c r="AR48" i="40"/>
  <c r="AQ48" i="40"/>
  <c r="AP48" i="40"/>
  <c r="AO48" i="40"/>
  <c r="AN48" i="40"/>
  <c r="AM48" i="40"/>
  <c r="AL48" i="40"/>
  <c r="AK48" i="40"/>
  <c r="AJ48" i="40"/>
  <c r="AI48" i="40"/>
  <c r="AH48" i="40"/>
  <c r="AG48" i="40"/>
  <c r="AF48" i="40"/>
  <c r="AE48" i="40"/>
  <c r="AS47" i="40"/>
  <c r="AR47" i="40"/>
  <c r="AQ47" i="40"/>
  <c r="AP47" i="40"/>
  <c r="AO47" i="40"/>
  <c r="AN47" i="40"/>
  <c r="AM47" i="40"/>
  <c r="AL47" i="40"/>
  <c r="AK47" i="40"/>
  <c r="AJ47" i="40"/>
  <c r="AI47" i="40"/>
  <c r="AH47" i="40"/>
  <c r="AG47" i="40"/>
  <c r="AF47" i="40"/>
  <c r="AE47" i="40"/>
  <c r="AS46" i="40"/>
  <c r="AR46" i="40"/>
  <c r="AQ46" i="40"/>
  <c r="AP46" i="40"/>
  <c r="AO46" i="40"/>
  <c r="AN46" i="40"/>
  <c r="AM46" i="40"/>
  <c r="AL46" i="40"/>
  <c r="AK46" i="40"/>
  <c r="AJ46" i="40"/>
  <c r="AI46" i="40"/>
  <c r="AH46" i="40"/>
  <c r="AG46" i="40"/>
  <c r="AF46" i="40"/>
  <c r="AE46" i="40"/>
  <c r="AS45" i="40"/>
  <c r="AR45" i="40"/>
  <c r="AQ45" i="40"/>
  <c r="AP45" i="40"/>
  <c r="AO45" i="40"/>
  <c r="AN45" i="40"/>
  <c r="AM45" i="40"/>
  <c r="AL45" i="40"/>
  <c r="AK45" i="40"/>
  <c r="AJ45" i="40"/>
  <c r="AI45" i="40"/>
  <c r="AH45" i="40"/>
  <c r="AG45" i="40"/>
  <c r="AF45" i="40"/>
  <c r="AE45" i="40"/>
  <c r="AS44" i="40"/>
  <c r="AR44" i="40"/>
  <c r="AQ44" i="40"/>
  <c r="AP44" i="40"/>
  <c r="AO44" i="40"/>
  <c r="AN44" i="40"/>
  <c r="AM44" i="40"/>
  <c r="AL44" i="40"/>
  <c r="AK44" i="40"/>
  <c r="AJ44" i="40"/>
  <c r="AI44" i="40"/>
  <c r="AH44" i="40"/>
  <c r="AG44" i="40"/>
  <c r="AF44" i="40"/>
  <c r="AE44" i="40"/>
  <c r="AS43" i="40"/>
  <c r="AR43" i="40"/>
  <c r="AQ43" i="40"/>
  <c r="AP43" i="40"/>
  <c r="AO43" i="40"/>
  <c r="AN43" i="40"/>
  <c r="AM43" i="40"/>
  <c r="AL43" i="40"/>
  <c r="AK43" i="40"/>
  <c r="AJ43" i="40"/>
  <c r="AI43" i="40"/>
  <c r="AH43" i="40"/>
  <c r="AG43" i="40"/>
  <c r="AF43" i="40"/>
  <c r="AE43" i="40"/>
  <c r="AS42" i="40"/>
  <c r="AR42" i="40"/>
  <c r="AQ42" i="40"/>
  <c r="AP42" i="40"/>
  <c r="AO42" i="40"/>
  <c r="AN42" i="40"/>
  <c r="AM42" i="40"/>
  <c r="AL42" i="40"/>
  <c r="AK42" i="40"/>
  <c r="AJ42" i="40"/>
  <c r="AI42" i="40"/>
  <c r="AH42" i="40"/>
  <c r="AG42" i="40"/>
  <c r="AF42" i="40"/>
  <c r="AE42" i="40"/>
  <c r="AS41" i="40"/>
  <c r="AR41" i="40"/>
  <c r="AQ41" i="40"/>
  <c r="AP41" i="40"/>
  <c r="AO41" i="40"/>
  <c r="AN41" i="40"/>
  <c r="AM41" i="40"/>
  <c r="AL41" i="40"/>
  <c r="AK41" i="40"/>
  <c r="AJ41" i="40"/>
  <c r="AI41" i="40"/>
  <c r="AH41" i="40"/>
  <c r="AG41" i="40"/>
  <c r="AF41" i="40"/>
  <c r="AE41" i="40"/>
  <c r="AS40" i="40"/>
  <c r="AR40" i="40"/>
  <c r="AQ40" i="40"/>
  <c r="AP40" i="40"/>
  <c r="AO40" i="40"/>
  <c r="AN40" i="40"/>
  <c r="AM40" i="40"/>
  <c r="AL40" i="40"/>
  <c r="AK40" i="40"/>
  <c r="AJ40" i="40"/>
  <c r="AI40" i="40"/>
  <c r="AH40" i="40"/>
  <c r="AG40" i="40"/>
  <c r="AF40" i="40"/>
  <c r="AE40" i="40"/>
  <c r="AS39" i="40"/>
  <c r="AR39" i="40"/>
  <c r="AQ39" i="40"/>
  <c r="AP39" i="40"/>
  <c r="AO39" i="40"/>
  <c r="AN39" i="40"/>
  <c r="AM39" i="40"/>
  <c r="AL39" i="40"/>
  <c r="AK39" i="40"/>
  <c r="AJ39" i="40"/>
  <c r="AI39" i="40"/>
  <c r="AH39" i="40"/>
  <c r="AG39" i="40"/>
  <c r="AF39" i="40"/>
  <c r="AE39" i="40"/>
  <c r="AS38" i="40"/>
  <c r="AR38" i="40"/>
  <c r="AQ38" i="40"/>
  <c r="AP38" i="40"/>
  <c r="AO38" i="40"/>
  <c r="AN38" i="40"/>
  <c r="AM38" i="40"/>
  <c r="AL38" i="40"/>
  <c r="AK38" i="40"/>
  <c r="AJ38" i="40"/>
  <c r="AI38" i="40"/>
  <c r="AH38" i="40"/>
  <c r="AG38" i="40"/>
  <c r="AF38" i="40"/>
  <c r="AE38" i="40"/>
  <c r="AS37" i="40"/>
  <c r="AR37" i="40"/>
  <c r="AQ37" i="40"/>
  <c r="AP37" i="40"/>
  <c r="AO37" i="40"/>
  <c r="AN37" i="40"/>
  <c r="AM37" i="40"/>
  <c r="AL37" i="40"/>
  <c r="AK37" i="40"/>
  <c r="AJ37" i="40"/>
  <c r="AI37" i="40"/>
  <c r="AH37" i="40"/>
  <c r="AG37" i="40"/>
  <c r="AF37" i="40"/>
  <c r="AE37" i="40"/>
  <c r="AS36" i="40"/>
  <c r="AR36" i="40"/>
  <c r="AQ36" i="40"/>
  <c r="AP36" i="40"/>
  <c r="AO36" i="40"/>
  <c r="AN36" i="40"/>
  <c r="AM36" i="40"/>
  <c r="AL36" i="40"/>
  <c r="AK36" i="40"/>
  <c r="AJ36" i="40"/>
  <c r="AI36" i="40"/>
  <c r="AH36" i="40"/>
  <c r="AG36" i="40"/>
  <c r="AF36" i="40"/>
  <c r="AE36" i="40"/>
  <c r="AS35" i="40"/>
  <c r="AR35" i="40"/>
  <c r="AQ35" i="40"/>
  <c r="AP35" i="40"/>
  <c r="AO35" i="40"/>
  <c r="AN35" i="40"/>
  <c r="AM35" i="40"/>
  <c r="AL35" i="40"/>
  <c r="AK35" i="40"/>
  <c r="AJ35" i="40"/>
  <c r="AI35" i="40"/>
  <c r="AH35" i="40"/>
  <c r="AG35" i="40"/>
  <c r="AF35" i="40"/>
  <c r="AE35" i="40"/>
  <c r="AS34" i="40"/>
  <c r="AR34" i="40"/>
  <c r="AQ34" i="40"/>
  <c r="AP34" i="40"/>
  <c r="AO34" i="40"/>
  <c r="AN34" i="40"/>
  <c r="AM34" i="40"/>
  <c r="AL34" i="40"/>
  <c r="AK34" i="40"/>
  <c r="AJ34" i="40"/>
  <c r="AI34" i="40"/>
  <c r="AH34" i="40"/>
  <c r="AG34" i="40"/>
  <c r="AF34" i="40"/>
  <c r="AE34" i="40"/>
  <c r="AS33" i="40"/>
  <c r="AR33" i="40"/>
  <c r="AQ33" i="40"/>
  <c r="AP33" i="40"/>
  <c r="AO33" i="40"/>
  <c r="AN33" i="40"/>
  <c r="AM33" i="40"/>
  <c r="AL33" i="40"/>
  <c r="AK33" i="40"/>
  <c r="AJ33" i="40"/>
  <c r="AI33" i="40"/>
  <c r="AH33" i="40"/>
  <c r="AG33" i="40"/>
  <c r="AF33" i="40"/>
  <c r="AE33" i="40"/>
  <c r="AS32" i="40"/>
  <c r="AR32" i="40"/>
  <c r="AQ32" i="40"/>
  <c r="AP32" i="40"/>
  <c r="AO32" i="40"/>
  <c r="AN32" i="40"/>
  <c r="AM32" i="40"/>
  <c r="AL32" i="40"/>
  <c r="AK32" i="40"/>
  <c r="AJ32" i="40"/>
  <c r="AI32" i="40"/>
  <c r="AH32" i="40"/>
  <c r="AG32" i="40"/>
  <c r="AF32" i="40"/>
  <c r="AE32" i="40"/>
  <c r="AS31" i="40"/>
  <c r="AR31" i="40"/>
  <c r="AQ31" i="40"/>
  <c r="AP31" i="40"/>
  <c r="AO31" i="40"/>
  <c r="AN31" i="40"/>
  <c r="AM31" i="40"/>
  <c r="AL31" i="40"/>
  <c r="AK31" i="40"/>
  <c r="AJ31" i="40"/>
  <c r="AI31" i="40"/>
  <c r="AH31" i="40"/>
  <c r="AG31" i="40"/>
  <c r="AF31" i="40"/>
  <c r="AE31" i="40"/>
  <c r="AS30" i="40"/>
  <c r="AR30" i="40"/>
  <c r="AQ30" i="40"/>
  <c r="AP30" i="40"/>
  <c r="AO30" i="40"/>
  <c r="AN30" i="40"/>
  <c r="AM30" i="40"/>
  <c r="AL30" i="40"/>
  <c r="AK30" i="40"/>
  <c r="AJ30" i="40"/>
  <c r="AI30" i="40"/>
  <c r="AH30" i="40"/>
  <c r="AG30" i="40"/>
  <c r="AF30" i="40"/>
  <c r="AE30" i="40"/>
  <c r="AS29" i="40"/>
  <c r="AR29" i="40"/>
  <c r="AQ29" i="40"/>
  <c r="AP29" i="40"/>
  <c r="AO29" i="40"/>
  <c r="AN29" i="40"/>
  <c r="AM29" i="40"/>
  <c r="AL29" i="40"/>
  <c r="AK29" i="40"/>
  <c r="AJ29" i="40"/>
  <c r="AI29" i="40"/>
  <c r="AH29" i="40"/>
  <c r="AG29" i="40"/>
  <c r="AF29" i="40"/>
  <c r="AE29" i="40"/>
  <c r="AS28" i="40"/>
  <c r="AR28" i="40"/>
  <c r="AQ28" i="40"/>
  <c r="AP28" i="40"/>
  <c r="AO28" i="40"/>
  <c r="AN28" i="40"/>
  <c r="AM28" i="40"/>
  <c r="AL28" i="40"/>
  <c r="AK28" i="40"/>
  <c r="AJ28" i="40"/>
  <c r="AI28" i="40"/>
  <c r="AH28" i="40"/>
  <c r="AG28" i="40"/>
  <c r="AF28" i="40"/>
  <c r="AE28" i="40"/>
  <c r="AS27" i="40"/>
  <c r="AR27" i="40"/>
  <c r="AQ27" i="40"/>
  <c r="AP27" i="40"/>
  <c r="AO27" i="40"/>
  <c r="AN27" i="40"/>
  <c r="AM27" i="40"/>
  <c r="AL27" i="40"/>
  <c r="AK27" i="40"/>
  <c r="AJ27" i="40"/>
  <c r="AI27" i="40"/>
  <c r="AH27" i="40"/>
  <c r="AG27" i="40"/>
  <c r="AF27" i="40"/>
  <c r="AE27" i="40"/>
  <c r="AS26" i="40"/>
  <c r="AR26" i="40"/>
  <c r="AQ26" i="40"/>
  <c r="AP26" i="40"/>
  <c r="AO26" i="40"/>
  <c r="AN26" i="40"/>
  <c r="AM26" i="40"/>
  <c r="AL26" i="40"/>
  <c r="AK26" i="40"/>
  <c r="AJ26" i="40"/>
  <c r="AI26" i="40"/>
  <c r="AH26" i="40"/>
  <c r="AG26" i="40"/>
  <c r="AF26" i="40"/>
  <c r="AE26" i="40"/>
  <c r="AS25" i="40"/>
  <c r="AR25" i="40"/>
  <c r="AQ25" i="40"/>
  <c r="AP25" i="40"/>
  <c r="AO25" i="40"/>
  <c r="AN25" i="40"/>
  <c r="AM25" i="40"/>
  <c r="AL25" i="40"/>
  <c r="AK25" i="40"/>
  <c r="AJ25" i="40"/>
  <c r="AI25" i="40"/>
  <c r="AH25" i="40"/>
  <c r="AG25" i="40"/>
  <c r="AF25" i="40"/>
  <c r="AE25" i="40"/>
  <c r="AS24" i="40"/>
  <c r="AR24" i="40"/>
  <c r="AQ24" i="40"/>
  <c r="AP24" i="40"/>
  <c r="AO24" i="40"/>
  <c r="AN24" i="40"/>
  <c r="AM24" i="40"/>
  <c r="AL24" i="40"/>
  <c r="AK24" i="40"/>
  <c r="AJ24" i="40"/>
  <c r="AI24" i="40"/>
  <c r="AH24" i="40"/>
  <c r="AG24" i="40"/>
  <c r="AF24" i="40"/>
  <c r="AE24" i="40"/>
  <c r="AS23" i="40"/>
  <c r="AR23" i="40"/>
  <c r="AQ23" i="40"/>
  <c r="AP23" i="40"/>
  <c r="AO23" i="40"/>
  <c r="AN23" i="40"/>
  <c r="AM23" i="40"/>
  <c r="AL23" i="40"/>
  <c r="AK23" i="40"/>
  <c r="AJ23" i="40"/>
  <c r="AI23" i="40"/>
  <c r="AH23" i="40"/>
  <c r="AG23" i="40"/>
  <c r="AF23" i="40"/>
  <c r="AE23" i="40"/>
  <c r="AS22" i="40"/>
  <c r="AR22" i="40"/>
  <c r="AQ22" i="40"/>
  <c r="AP22" i="40"/>
  <c r="AO22" i="40"/>
  <c r="AN22" i="40"/>
  <c r="AM22" i="40"/>
  <c r="AL22" i="40"/>
  <c r="AK22" i="40"/>
  <c r="AJ22" i="40"/>
  <c r="AI22" i="40"/>
  <c r="AH22" i="40"/>
  <c r="AG22" i="40"/>
  <c r="AF22" i="40"/>
  <c r="AE22" i="40"/>
  <c r="AS21" i="40"/>
  <c r="AR21" i="40"/>
  <c r="AQ21" i="40"/>
  <c r="AP21" i="40"/>
  <c r="AO21" i="40"/>
  <c r="AN21" i="40"/>
  <c r="AM21" i="40"/>
  <c r="AL21" i="40"/>
  <c r="AK21" i="40"/>
  <c r="AJ21" i="40"/>
  <c r="AI21" i="40"/>
  <c r="AH21" i="40"/>
  <c r="AG21" i="40"/>
  <c r="AF21" i="40"/>
  <c r="AE21" i="40"/>
  <c r="AS20" i="40"/>
  <c r="AR20" i="40"/>
  <c r="AQ20" i="40"/>
  <c r="AP20" i="40"/>
  <c r="AO20" i="40"/>
  <c r="AN20" i="40"/>
  <c r="AM20" i="40"/>
  <c r="AL20" i="40"/>
  <c r="AK20" i="40"/>
  <c r="AJ20" i="40"/>
  <c r="AI20" i="40"/>
  <c r="AH20" i="40"/>
  <c r="AG20" i="40"/>
  <c r="AF20" i="40"/>
  <c r="AE20" i="40"/>
  <c r="AS19" i="40"/>
  <c r="AR19" i="40"/>
  <c r="AQ19" i="40"/>
  <c r="AP19" i="40"/>
  <c r="AO19" i="40"/>
  <c r="AN19" i="40"/>
  <c r="AM19" i="40"/>
  <c r="AL19" i="40"/>
  <c r="AK19" i="40"/>
  <c r="AJ19" i="40"/>
  <c r="AI19" i="40"/>
  <c r="AH19" i="40"/>
  <c r="AG19" i="40"/>
  <c r="AF19" i="40"/>
  <c r="AE19" i="40"/>
  <c r="AS18" i="40"/>
  <c r="AR18" i="40"/>
  <c r="AQ18" i="40"/>
  <c r="AP18" i="40"/>
  <c r="AO18" i="40"/>
  <c r="AN18" i="40"/>
  <c r="AM18" i="40"/>
  <c r="AL18" i="40"/>
  <c r="AK18" i="40"/>
  <c r="AJ18" i="40"/>
  <c r="AI18" i="40"/>
  <c r="AH18" i="40"/>
  <c r="AG18" i="40"/>
  <c r="AF18" i="40"/>
  <c r="AE18" i="40"/>
  <c r="AS17" i="40"/>
  <c r="AR17" i="40"/>
  <c r="AQ17" i="40"/>
  <c r="AP17" i="40"/>
  <c r="AO17" i="40"/>
  <c r="AN17" i="40"/>
  <c r="AM17" i="40"/>
  <c r="AL17" i="40"/>
  <c r="AK17" i="40"/>
  <c r="AJ17" i="40"/>
  <c r="AI17" i="40"/>
  <c r="AH17" i="40"/>
  <c r="AG17" i="40"/>
  <c r="AF17" i="40"/>
  <c r="AE17" i="40"/>
  <c r="AS16" i="40"/>
  <c r="AR16" i="40"/>
  <c r="AQ16" i="40"/>
  <c r="AP16" i="40"/>
  <c r="AO16" i="40"/>
  <c r="AN16" i="40"/>
  <c r="AM16" i="40"/>
  <c r="AL16" i="40"/>
  <c r="AK16" i="40"/>
  <c r="AJ16" i="40"/>
  <c r="AI16" i="40"/>
  <c r="AH16" i="40"/>
  <c r="AG16" i="40"/>
  <c r="AF16" i="40"/>
  <c r="AE16" i="40"/>
  <c r="AS15" i="40"/>
  <c r="AR15" i="40"/>
  <c r="AQ15" i="40"/>
  <c r="AP15" i="40"/>
  <c r="AO15" i="40"/>
  <c r="AN15" i="40"/>
  <c r="AM15" i="40"/>
  <c r="AL15" i="40"/>
  <c r="AK15" i="40"/>
  <c r="AJ15" i="40"/>
  <c r="AI15" i="40"/>
  <c r="AH15" i="40"/>
  <c r="AG15" i="40"/>
  <c r="AF15" i="40"/>
  <c r="AE15" i="40"/>
  <c r="AS14" i="40"/>
  <c r="AR14" i="40"/>
  <c r="AQ14" i="40"/>
  <c r="AP14" i="40"/>
  <c r="AO14" i="40"/>
  <c r="AN14" i="40"/>
  <c r="AM14" i="40"/>
  <c r="AL14" i="40"/>
  <c r="AK14" i="40"/>
  <c r="AJ14" i="40"/>
  <c r="AI14" i="40"/>
  <c r="AH14" i="40"/>
  <c r="AG14" i="40"/>
  <c r="AF14" i="40"/>
  <c r="AE14" i="40"/>
  <c r="AS13" i="40"/>
  <c r="AR13" i="40"/>
  <c r="AQ13" i="40"/>
  <c r="AP13" i="40"/>
  <c r="AO13" i="40"/>
  <c r="AN13" i="40"/>
  <c r="AM13" i="40"/>
  <c r="AL13" i="40"/>
  <c r="AK13" i="40"/>
  <c r="AJ13" i="40"/>
  <c r="AI13" i="40"/>
  <c r="AH13" i="40"/>
  <c r="AG13" i="40"/>
  <c r="AF13" i="40"/>
  <c r="AE13" i="40"/>
  <c r="AS12" i="40"/>
  <c r="AR12" i="40"/>
  <c r="AQ12" i="40"/>
  <c r="AP12" i="40"/>
  <c r="AO12" i="40"/>
  <c r="AN12" i="40"/>
  <c r="AM12" i="40"/>
  <c r="AL12" i="40"/>
  <c r="AK12" i="40"/>
  <c r="AJ12" i="40"/>
  <c r="AI12" i="40"/>
  <c r="AH12" i="40"/>
  <c r="AG12" i="40"/>
  <c r="AF12" i="40"/>
  <c r="AE12" i="40"/>
  <c r="AS11" i="40"/>
  <c r="AR11" i="40"/>
  <c r="AQ11" i="40"/>
  <c r="AP11" i="40"/>
  <c r="AO11" i="40"/>
  <c r="AN11" i="40"/>
  <c r="AM11" i="40"/>
  <c r="AL11" i="40"/>
  <c r="AK11" i="40"/>
  <c r="AJ11" i="40"/>
  <c r="AI11" i="40"/>
  <c r="AH11" i="40"/>
  <c r="AG11" i="40"/>
  <c r="AF11" i="40"/>
  <c r="AE11" i="40"/>
  <c r="AS10" i="40"/>
  <c r="AR10" i="40"/>
  <c r="AQ10" i="40"/>
  <c r="AP10" i="40"/>
  <c r="AO10" i="40"/>
  <c r="AN10" i="40"/>
  <c r="AM10" i="40"/>
  <c r="AL10" i="40"/>
  <c r="AK10" i="40"/>
  <c r="AJ10" i="40"/>
  <c r="AI10" i="40"/>
  <c r="AH10" i="40"/>
  <c r="AG10" i="40"/>
  <c r="AF10" i="40"/>
  <c r="AE10" i="40"/>
  <c r="AS9" i="40"/>
  <c r="AR9" i="40"/>
  <c r="AQ9" i="40"/>
  <c r="AP9" i="40"/>
  <c r="AO9" i="40"/>
  <c r="AN9" i="40"/>
  <c r="AM9" i="40"/>
  <c r="AL9" i="40"/>
  <c r="AK9" i="40"/>
  <c r="AJ9" i="40"/>
  <c r="AI9" i="40"/>
  <c r="AH9" i="40"/>
  <c r="AG9" i="40"/>
  <c r="AF9" i="40"/>
  <c r="AE9" i="40"/>
  <c r="AS8" i="40"/>
  <c r="AR8" i="40"/>
  <c r="AQ8" i="40"/>
  <c r="AP8" i="40"/>
  <c r="AO8" i="40"/>
  <c r="AN8" i="40"/>
  <c r="AM8" i="40"/>
  <c r="AL8" i="40"/>
  <c r="AK8" i="40"/>
  <c r="AJ8" i="40"/>
  <c r="AI8" i="40"/>
  <c r="AH8" i="40"/>
  <c r="AG8" i="40"/>
  <c r="AF8" i="40"/>
  <c r="AE8" i="40"/>
  <c r="AS7" i="40"/>
  <c r="AR7" i="40"/>
  <c r="AQ7" i="40"/>
  <c r="AP7" i="40"/>
  <c r="AO7" i="40"/>
  <c r="AN7" i="40"/>
  <c r="AM7" i="40"/>
  <c r="AL7" i="40"/>
  <c r="AK7" i="40"/>
  <c r="AJ7" i="40"/>
  <c r="AI7" i="40"/>
  <c r="AH7" i="40"/>
  <c r="AG7" i="40"/>
  <c r="AF7" i="40"/>
  <c r="AE7" i="40"/>
  <c r="AS6" i="40"/>
  <c r="AR6" i="40"/>
  <c r="AQ6" i="40"/>
  <c r="AP6" i="40"/>
  <c r="AO6" i="40"/>
  <c r="AN6" i="40"/>
  <c r="AM6" i="40"/>
  <c r="AL6" i="40"/>
  <c r="AK6" i="40"/>
  <c r="AJ6" i="40"/>
  <c r="AI6" i="40"/>
  <c r="AH6" i="40"/>
  <c r="AG6" i="40"/>
  <c r="AF6" i="40"/>
  <c r="AE6" i="40"/>
  <c r="AS5" i="40"/>
  <c r="AR5" i="40"/>
  <c r="AQ5" i="40"/>
  <c r="AP5" i="40"/>
  <c r="AO5" i="40"/>
  <c r="AN5" i="40"/>
  <c r="AM5" i="40"/>
  <c r="AL5" i="40"/>
  <c r="AK5" i="40"/>
  <c r="AJ5" i="40"/>
  <c r="AI5" i="40"/>
  <c r="AH5" i="40"/>
  <c r="AG5" i="40"/>
  <c r="AF5" i="40"/>
  <c r="AE5" i="40"/>
  <c r="AS4" i="40"/>
  <c r="AR4" i="40"/>
  <c r="AQ4" i="40"/>
  <c r="AP4" i="40"/>
  <c r="AO4" i="40"/>
  <c r="AN4" i="40"/>
  <c r="AM4" i="40"/>
  <c r="AL4" i="40"/>
  <c r="AK4" i="40"/>
  <c r="AJ4" i="40"/>
  <c r="AI4" i="40"/>
  <c r="AH4" i="40"/>
  <c r="AG4" i="40"/>
  <c r="AF4" i="40"/>
  <c r="AE4" i="40"/>
  <c r="AS3" i="40"/>
  <c r="AR3" i="40"/>
  <c r="AQ3" i="40"/>
  <c r="AP3" i="40"/>
  <c r="AO3" i="40"/>
  <c r="AN3" i="40"/>
  <c r="AM3" i="40"/>
  <c r="AL3" i="40"/>
  <c r="AK3" i="40"/>
  <c r="AJ3" i="40"/>
  <c r="AI3" i="40"/>
  <c r="AH3" i="40"/>
  <c r="AG3" i="40"/>
  <c r="AF3" i="40"/>
  <c r="AE3" i="40"/>
  <c r="J54" i="27" l="1"/>
  <c r="K53" i="27"/>
  <c r="CZ17" i="54"/>
  <c r="DA17" i="54" s="1"/>
  <c r="CN17" i="54"/>
  <c r="CO17" i="54" s="1"/>
  <c r="CT17" i="54"/>
  <c r="CR17" i="54"/>
  <c r="CS17" i="54" s="1"/>
  <c r="CT33" i="54"/>
  <c r="CU33" i="54" s="1"/>
  <c r="CP17" i="54"/>
  <c r="CQ17" i="54" s="1"/>
  <c r="CZ9" i="54"/>
  <c r="DA9" i="54" s="1"/>
  <c r="DB26" i="54"/>
  <c r="DC26" i="54" s="1"/>
  <c r="CV17" i="54"/>
  <c r="CW17" i="54" s="1"/>
  <c r="CX17" i="54"/>
  <c r="CY17" i="54" s="1"/>
  <c r="CN33" i="54"/>
  <c r="CO33" i="54" s="1"/>
  <c r="CV25" i="54"/>
  <c r="CW25" i="54" s="1"/>
  <c r="CR21" i="54"/>
  <c r="CS21" i="54" s="1"/>
  <c r="CZ33" i="54"/>
  <c r="DA33" i="54" s="1"/>
  <c r="M38" i="59"/>
  <c r="M37" i="59" s="1"/>
  <c r="CT9" i="54"/>
  <c r="CU9" i="54" s="1"/>
  <c r="CN10" i="54"/>
  <c r="CP9" i="54"/>
  <c r="CQ9" i="54" s="1"/>
  <c r="DB9" i="54"/>
  <c r="DC9" i="54" s="1"/>
  <c r="CX10" i="54"/>
  <c r="CY10" i="54" s="1"/>
  <c r="CZ25" i="54"/>
  <c r="DA25" i="54" s="1"/>
  <c r="CX9" i="54"/>
  <c r="CY9" i="54" s="1"/>
  <c r="DB10" i="54"/>
  <c r="DC10" i="54" s="1"/>
  <c r="DB25" i="54"/>
  <c r="DC25" i="54" s="1"/>
  <c r="CX25" i="54"/>
  <c r="CN9" i="54"/>
  <c r="CR9" i="54"/>
  <c r="CS9" i="54" s="1"/>
  <c r="CP10" i="54"/>
  <c r="CQ10" i="54" s="1"/>
  <c r="CR25" i="54"/>
  <c r="CS25" i="54" s="1"/>
  <c r="CZ18" i="54"/>
  <c r="DA18" i="54" s="1"/>
  <c r="CX21" i="54"/>
  <c r="CY21" i="54" s="1"/>
  <c r="CP16" i="54"/>
  <c r="CQ16" i="54" s="1"/>
  <c r="DB11" i="54"/>
  <c r="DC11" i="54" s="1"/>
  <c r="CZ10" i="54"/>
  <c r="DA10" i="54" s="1"/>
  <c r="DB18" i="54"/>
  <c r="DC18" i="54" s="1"/>
  <c r="CZ26" i="54"/>
  <c r="DA26" i="54" s="1"/>
  <c r="CV11" i="54"/>
  <c r="CW11" i="54" s="1"/>
  <c r="CR19" i="54"/>
  <c r="CS19" i="54" s="1"/>
  <c r="CV10" i="54"/>
  <c r="CW10" i="54" s="1"/>
  <c r="CR10" i="54"/>
  <c r="CS10" i="54" s="1"/>
  <c r="CX18" i="54"/>
  <c r="CY18" i="54" s="1"/>
  <c r="CL25" i="54"/>
  <c r="CM25" i="54" s="1"/>
  <c r="CN26" i="54"/>
  <c r="CO26" i="54" s="1"/>
  <c r="CV9" i="54"/>
  <c r="CW9" i="54" s="1"/>
  <c r="CL10" i="54"/>
  <c r="CM10" i="54" s="1"/>
  <c r="CP11" i="54"/>
  <c r="CQ11" i="54" s="1"/>
  <c r="DB17" i="54"/>
  <c r="DC17" i="54" s="1"/>
  <c r="CT18" i="54"/>
  <c r="CR18" i="54"/>
  <c r="CS18" i="54" s="1"/>
  <c r="CN25" i="54"/>
  <c r="CO25" i="54" s="1"/>
  <c r="CP25" i="54"/>
  <c r="CQ25" i="54" s="1"/>
  <c r="CV31" i="54"/>
  <c r="CW31" i="54" s="1"/>
  <c r="CR33" i="54"/>
  <c r="CS33" i="54" s="1"/>
  <c r="CZ14" i="54"/>
  <c r="DA14" i="54" s="1"/>
  <c r="CV26" i="54"/>
  <c r="CW26" i="54" s="1"/>
  <c r="CP26" i="54"/>
  <c r="CQ26" i="54" s="1"/>
  <c r="CL18" i="54"/>
  <c r="CM18" i="54" s="1"/>
  <c r="CP29" i="54"/>
  <c r="CQ29" i="54" s="1"/>
  <c r="CP33" i="54"/>
  <c r="CQ33" i="54" s="1"/>
  <c r="CR8" i="54"/>
  <c r="CS8" i="54" s="1"/>
  <c r="CT11" i="54"/>
  <c r="CU11" i="54" s="1"/>
  <c r="CV18" i="54"/>
  <c r="CW18" i="54" s="1"/>
  <c r="CN18" i="54"/>
  <c r="CO18" i="54" s="1"/>
  <c r="CT23" i="54"/>
  <c r="CU23" i="54" s="1"/>
  <c r="CX31" i="54"/>
  <c r="CY31" i="54" s="1"/>
  <c r="CL11" i="54"/>
  <c r="CM11" i="54" s="1"/>
  <c r="CX11" i="54"/>
  <c r="CY11" i="54" s="1"/>
  <c r="CV20" i="54"/>
  <c r="CW20" i="54" s="1"/>
  <c r="CX26" i="54"/>
  <c r="CR26" i="54"/>
  <c r="CS26" i="54" s="1"/>
  <c r="CT31" i="54"/>
  <c r="CU31" i="54" s="1"/>
  <c r="CR11" i="54"/>
  <c r="CS11" i="54" s="1"/>
  <c r="CZ11" i="54"/>
  <c r="DA11" i="54" s="1"/>
  <c r="CT26" i="54"/>
  <c r="CU26" i="54" s="1"/>
  <c r="CN19" i="54"/>
  <c r="CO19" i="54" s="1"/>
  <c r="CZ23" i="54"/>
  <c r="DA23" i="54" s="1"/>
  <c r="CT34" i="54"/>
  <c r="CU34" i="54" s="1"/>
  <c r="CR12" i="54"/>
  <c r="CS12" i="54" s="1"/>
  <c r="CL20" i="54"/>
  <c r="CM20" i="54" s="1"/>
  <c r="CP20" i="54"/>
  <c r="DB31" i="54"/>
  <c r="DB34" i="54"/>
  <c r="DC34" i="54" s="1"/>
  <c r="CT20" i="54"/>
  <c r="CU20" i="54" s="1"/>
  <c r="CV28" i="54"/>
  <c r="CW28" i="54" s="1"/>
  <c r="CX20" i="54"/>
  <c r="CY20" i="54" s="1"/>
  <c r="DB8" i="54"/>
  <c r="DC8" i="54" s="1"/>
  <c r="DB14" i="54"/>
  <c r="DC14" i="54" s="1"/>
  <c r="CX30" i="54"/>
  <c r="CY30" i="54" s="1"/>
  <c r="CZ13" i="54"/>
  <c r="DA13" i="54" s="1"/>
  <c r="CR15" i="54"/>
  <c r="CS15" i="54" s="1"/>
  <c r="CP24" i="54"/>
  <c r="DB29" i="54"/>
  <c r="DC29" i="54" s="1"/>
  <c r="CN8" i="54"/>
  <c r="CN13" i="54"/>
  <c r="CP15" i="54"/>
  <c r="CQ15" i="54" s="1"/>
  <c r="CZ29" i="54"/>
  <c r="DA29" i="54" s="1"/>
  <c r="DB12" i="54"/>
  <c r="DC12" i="54" s="1"/>
  <c r="CT19" i="54"/>
  <c r="CU19" i="54" s="1"/>
  <c r="DB22" i="54"/>
  <c r="DC22" i="54" s="1"/>
  <c r="CV24" i="54"/>
  <c r="CW24" i="54" s="1"/>
  <c r="CR30" i="54"/>
  <c r="CS30" i="54" s="1"/>
  <c r="CL16" i="54"/>
  <c r="CM16" i="54" s="1"/>
  <c r="CR20" i="54"/>
  <c r="CS20" i="54" s="1"/>
  <c r="DB20" i="54"/>
  <c r="DC20" i="54" s="1"/>
  <c r="CP31" i="54"/>
  <c r="CQ31" i="54" s="1"/>
  <c r="CN31" i="54"/>
  <c r="CO31" i="54" s="1"/>
  <c r="CZ31" i="54"/>
  <c r="DA31" i="54" s="1"/>
  <c r="CV36" i="54"/>
  <c r="CW36" i="54" s="1"/>
  <c r="CZ20" i="54"/>
  <c r="DA20" i="54" s="1"/>
  <c r="CZ22" i="54"/>
  <c r="DA22" i="54" s="1"/>
  <c r="CR27" i="54"/>
  <c r="CS27" i="54" s="1"/>
  <c r="CL31" i="54"/>
  <c r="CM31" i="54" s="1"/>
  <c r="CZ37" i="54"/>
  <c r="DA37" i="54" s="1"/>
  <c r="CZ12" i="54"/>
  <c r="DA12" i="54" s="1"/>
  <c r="CN12" i="54"/>
  <c r="DB19" i="54"/>
  <c r="DC19" i="54" s="1"/>
  <c r="CL19" i="54"/>
  <c r="CM19" i="54" s="1"/>
  <c r="CP19" i="54"/>
  <c r="CR23" i="54"/>
  <c r="CS23" i="54" s="1"/>
  <c r="CV23" i="54"/>
  <c r="CW23" i="54" s="1"/>
  <c r="CP28" i="54"/>
  <c r="CQ28" i="54" s="1"/>
  <c r="DB33" i="54"/>
  <c r="DC33" i="54" s="1"/>
  <c r="CV33" i="54"/>
  <c r="CW33" i="54" s="1"/>
  <c r="CN34" i="54"/>
  <c r="CO34" i="54" s="1"/>
  <c r="CZ34" i="54"/>
  <c r="DA34" i="54" s="1"/>
  <c r="DB39" i="54"/>
  <c r="DC39" i="54" s="1"/>
  <c r="CP12" i="54"/>
  <c r="CQ12" i="54" s="1"/>
  <c r="CL12" i="54"/>
  <c r="CM12" i="54" s="1"/>
  <c r="CV12" i="54"/>
  <c r="CW12" i="54" s="1"/>
  <c r="CX19" i="54"/>
  <c r="CY19" i="54" s="1"/>
  <c r="CV19" i="54"/>
  <c r="CW19" i="54" s="1"/>
  <c r="DB23" i="54"/>
  <c r="DC23" i="54" s="1"/>
  <c r="CP23" i="54"/>
  <c r="CZ28" i="54"/>
  <c r="DA28" i="54" s="1"/>
  <c r="CL33" i="54"/>
  <c r="CX34" i="54"/>
  <c r="CY34" i="54" s="1"/>
  <c r="CL34" i="54"/>
  <c r="CX12" i="54"/>
  <c r="CY12" i="54" s="1"/>
  <c r="CX23" i="54"/>
  <c r="CY23" i="54" s="1"/>
  <c r="CN23" i="54"/>
  <c r="CO23" i="54" s="1"/>
  <c r="CN28" i="54"/>
  <c r="CO28" i="54" s="1"/>
  <c r="CV34" i="54"/>
  <c r="CW34" i="54" s="1"/>
  <c r="CL28" i="54"/>
  <c r="CM28" i="54" s="1"/>
  <c r="CV16" i="54"/>
  <c r="CW16" i="54" s="1"/>
  <c r="CX28" i="54"/>
  <c r="CT28" i="54"/>
  <c r="CU28" i="54" s="1"/>
  <c r="CP34" i="54"/>
  <c r="CQ34" i="54" s="1"/>
  <c r="CR38" i="54"/>
  <c r="CS38" i="54" s="1"/>
  <c r="CR28" i="54"/>
  <c r="CS28" i="54" s="1"/>
  <c r="DB37" i="54"/>
  <c r="DC37" i="54" s="1"/>
  <c r="CN7" i="61"/>
  <c r="CX8" i="54"/>
  <c r="CY8" i="54" s="1"/>
  <c r="CT8" i="54"/>
  <c r="CU8" i="54" s="1"/>
  <c r="CL13" i="54"/>
  <c r="CM13" i="54" s="1"/>
  <c r="CX13" i="54"/>
  <c r="CY13" i="54" s="1"/>
  <c r="CT14" i="54"/>
  <c r="CU14" i="54" s="1"/>
  <c r="CL14" i="54"/>
  <c r="CM14" i="54" s="1"/>
  <c r="CN15" i="54"/>
  <c r="CO15" i="54" s="1"/>
  <c r="CT15" i="54"/>
  <c r="CX15" i="54"/>
  <c r="CY15" i="54" s="1"/>
  <c r="CZ16" i="54"/>
  <c r="DA16" i="54" s="1"/>
  <c r="CN16" i="54"/>
  <c r="CO16" i="54" s="1"/>
  <c r="CV21" i="54"/>
  <c r="CW21" i="54" s="1"/>
  <c r="CZ21" i="54"/>
  <c r="DA21" i="54" s="1"/>
  <c r="CT22" i="54"/>
  <c r="CU22" i="54" s="1"/>
  <c r="CL22" i="54"/>
  <c r="CM22" i="54" s="1"/>
  <c r="DB24" i="54"/>
  <c r="DC24" i="54" s="1"/>
  <c r="CX27" i="54"/>
  <c r="CL29" i="54"/>
  <c r="CM29" i="54" s="1"/>
  <c r="CT29" i="54"/>
  <c r="CU29" i="54" s="1"/>
  <c r="CZ30" i="54"/>
  <c r="DA30" i="54" s="1"/>
  <c r="DB30" i="54"/>
  <c r="CR32" i="54"/>
  <c r="CS32" i="54" s="1"/>
  <c r="CT36" i="54"/>
  <c r="CU36" i="54" s="1"/>
  <c r="CV37" i="54"/>
  <c r="CW37" i="54" s="1"/>
  <c r="CP37" i="54"/>
  <c r="CQ37" i="54" s="1"/>
  <c r="CZ39" i="54"/>
  <c r="DA39" i="54" s="1"/>
  <c r="CT38" i="54"/>
  <c r="CU38" i="54" s="1"/>
  <c r="CV8" i="54"/>
  <c r="CW8" i="54" s="1"/>
  <c r="CZ8" i="54"/>
  <c r="DA8" i="54" s="1"/>
  <c r="CV13" i="54"/>
  <c r="CW13" i="54" s="1"/>
  <c r="CP13" i="54"/>
  <c r="CQ13" i="54" s="1"/>
  <c r="DB13" i="54"/>
  <c r="DC13" i="54" s="1"/>
  <c r="CX14" i="54"/>
  <c r="CY14" i="54" s="1"/>
  <c r="CR14" i="54"/>
  <c r="CS14" i="54" s="1"/>
  <c r="CV15" i="54"/>
  <c r="CW15" i="54" s="1"/>
  <c r="CL15" i="54"/>
  <c r="CM15" i="54" s="1"/>
  <c r="CX16" i="54"/>
  <c r="CY16" i="54" s="1"/>
  <c r="CT16" i="54"/>
  <c r="CN21" i="54"/>
  <c r="CO21" i="54" s="1"/>
  <c r="CP21" i="54"/>
  <c r="CT21" i="54"/>
  <c r="CU21" i="54" s="1"/>
  <c r="CX22" i="54"/>
  <c r="CY22" i="54" s="1"/>
  <c r="CR22" i="54"/>
  <c r="CS22" i="54" s="1"/>
  <c r="CR24" i="54"/>
  <c r="CS24" i="54" s="1"/>
  <c r="CV27" i="54"/>
  <c r="CW27" i="54" s="1"/>
  <c r="CV29" i="54"/>
  <c r="CW29" i="54" s="1"/>
  <c r="CX29" i="54"/>
  <c r="CV30" i="54"/>
  <c r="CW30" i="54" s="1"/>
  <c r="CN30" i="54"/>
  <c r="CO30" i="54" s="1"/>
  <c r="CP30" i="54"/>
  <c r="CQ30" i="54" s="1"/>
  <c r="CZ36" i="54"/>
  <c r="DA36" i="54" s="1"/>
  <c r="CR37" i="54"/>
  <c r="CS37" i="54" s="1"/>
  <c r="CL37" i="54"/>
  <c r="CP39" i="54"/>
  <c r="CQ39" i="54" s="1"/>
  <c r="CV38" i="54"/>
  <c r="CW38" i="54" s="1"/>
  <c r="CP8" i="54"/>
  <c r="CR13" i="54"/>
  <c r="CS13" i="54" s="1"/>
  <c r="CV14" i="54"/>
  <c r="CW14" i="54" s="1"/>
  <c r="CN14" i="54"/>
  <c r="CZ15" i="54"/>
  <c r="DA15" i="54" s="1"/>
  <c r="CR16" i="54"/>
  <c r="CS16" i="54" s="1"/>
  <c r="DB21" i="54"/>
  <c r="DC21" i="54" s="1"/>
  <c r="CV22" i="54"/>
  <c r="CW22" i="54" s="1"/>
  <c r="CN22" i="54"/>
  <c r="CO22" i="54" s="1"/>
  <c r="CL24" i="54"/>
  <c r="CM24" i="54" s="1"/>
  <c r="CT27" i="54"/>
  <c r="CU27" i="54" s="1"/>
  <c r="CN29" i="54"/>
  <c r="CO29" i="54" s="1"/>
  <c r="CT30" i="54"/>
  <c r="CU30" i="54" s="1"/>
  <c r="CX35" i="54"/>
  <c r="CY35" i="54" s="1"/>
  <c r="CT37" i="54"/>
  <c r="CU37" i="54" s="1"/>
  <c r="CN37" i="54"/>
  <c r="CO37" i="54" s="1"/>
  <c r="CL38" i="54"/>
  <c r="CL32" i="54"/>
  <c r="CM32" i="54" s="1"/>
  <c r="CR35" i="54"/>
  <c r="CS35" i="54" s="1"/>
  <c r="CV35" i="54"/>
  <c r="CW35" i="54" s="1"/>
  <c r="DB35" i="54"/>
  <c r="DC35" i="54" s="1"/>
  <c r="CN36" i="54"/>
  <c r="CO36" i="54" s="1"/>
  <c r="CL39" i="54"/>
  <c r="CJ8" i="61"/>
  <c r="CJ11" i="61" s="1"/>
  <c r="DB36" i="54"/>
  <c r="DC36" i="54" s="1"/>
  <c r="CN39" i="54"/>
  <c r="CO39" i="54" s="1"/>
  <c r="CT39" i="54"/>
  <c r="CU39" i="54" s="1"/>
  <c r="CP32" i="54"/>
  <c r="CQ32" i="54" s="1"/>
  <c r="CV32" i="54"/>
  <c r="CW32" i="54" s="1"/>
  <c r="DB32" i="54"/>
  <c r="CX24" i="54"/>
  <c r="CY24" i="54" s="1"/>
  <c r="CT24" i="54"/>
  <c r="CU24" i="54" s="1"/>
  <c r="CN27" i="54"/>
  <c r="CO27" i="54" s="1"/>
  <c r="CZ27" i="54"/>
  <c r="DA27" i="54" s="1"/>
  <c r="CX32" i="54"/>
  <c r="CY32" i="54" s="1"/>
  <c r="CT32" i="54"/>
  <c r="CU32" i="54" s="1"/>
  <c r="CT35" i="54"/>
  <c r="CU35" i="54" s="1"/>
  <c r="CZ35" i="54"/>
  <c r="DA35" i="54" s="1"/>
  <c r="CL36" i="54"/>
  <c r="CX36" i="54"/>
  <c r="CY36" i="54" s="1"/>
  <c r="CV39" i="54"/>
  <c r="CW39" i="54" s="1"/>
  <c r="CX38" i="54"/>
  <c r="CY38" i="54" s="1"/>
  <c r="DB38" i="54"/>
  <c r="DC38" i="54" s="1"/>
  <c r="CZ24" i="54"/>
  <c r="DA24" i="54" s="1"/>
  <c r="DB27" i="54"/>
  <c r="DC27" i="54" s="1"/>
  <c r="CL27" i="54"/>
  <c r="CM27" i="54" s="1"/>
  <c r="CZ32" i="54"/>
  <c r="DA32" i="54" s="1"/>
  <c r="CL35" i="54"/>
  <c r="CN35" i="54"/>
  <c r="CO35" i="54" s="1"/>
  <c r="CR36" i="54"/>
  <c r="CS36" i="54" s="1"/>
  <c r="CX39" i="54"/>
  <c r="CY39" i="54" s="1"/>
  <c r="CP38" i="54"/>
  <c r="CQ38" i="54" s="1"/>
  <c r="CN38" i="54"/>
  <c r="CO38" i="54" s="1"/>
  <c r="CK6" i="60"/>
  <c r="CL6" i="60" s="1"/>
  <c r="CL7" i="60" s="1"/>
  <c r="CG6" i="60"/>
  <c r="CH6" i="60" s="1"/>
  <c r="CI6" i="60"/>
  <c r="CJ6" i="60" s="1"/>
  <c r="CJ10" i="60" s="1"/>
  <c r="CJ11" i="60" s="1"/>
  <c r="CM6" i="60"/>
  <c r="CN6" i="60" s="1"/>
  <c r="CN16" i="60" s="1"/>
  <c r="CN17" i="60" s="1"/>
  <c r="DB64" i="54"/>
  <c r="DC64" i="54" s="1"/>
  <c r="CT64" i="54"/>
  <c r="CU64" i="54" s="1"/>
  <c r="CP64" i="54"/>
  <c r="CQ64" i="54" s="1"/>
  <c r="CZ64" i="54"/>
  <c r="DA64" i="54" s="1"/>
  <c r="CL64" i="54"/>
  <c r="CM64" i="54" s="1"/>
  <c r="CR64" i="54"/>
  <c r="CS64" i="54" s="1"/>
  <c r="CX64" i="54"/>
  <c r="CY64" i="54" s="1"/>
  <c r="CN64" i="54"/>
  <c r="CO64" i="54" s="1"/>
  <c r="CV64" i="54"/>
  <c r="CW64" i="54" s="1"/>
  <c r="CP56" i="54"/>
  <c r="CQ56" i="54" s="1"/>
  <c r="CZ56" i="54"/>
  <c r="DA56" i="54" s="1"/>
  <c r="CN56" i="54"/>
  <c r="CO56" i="54" s="1"/>
  <c r="CX56" i="54"/>
  <c r="CY56" i="54" s="1"/>
  <c r="CL56" i="54"/>
  <c r="CM56" i="54" s="1"/>
  <c r="CV56" i="54"/>
  <c r="CW56" i="54" s="1"/>
  <c r="CR56" i="54"/>
  <c r="CS56" i="54" s="1"/>
  <c r="DB56" i="54"/>
  <c r="DC56" i="54" s="1"/>
  <c r="CT56" i="54"/>
  <c r="CU56" i="54" s="1"/>
  <c r="CZ48" i="54"/>
  <c r="DA48" i="54" s="1"/>
  <c r="CN48" i="54"/>
  <c r="CO48" i="54" s="1"/>
  <c r="CT48" i="54"/>
  <c r="CU48" i="54" s="1"/>
  <c r="CX48" i="54"/>
  <c r="CY48" i="54" s="1"/>
  <c r="CL48" i="54"/>
  <c r="CM48" i="54" s="1"/>
  <c r="CR48" i="54"/>
  <c r="CS48" i="54" s="1"/>
  <c r="CV48" i="54"/>
  <c r="CW48" i="54" s="1"/>
  <c r="DB48" i="54"/>
  <c r="DC48" i="54" s="1"/>
  <c r="CP48" i="54"/>
  <c r="CQ48" i="54" s="1"/>
  <c r="CR40" i="54"/>
  <c r="CS40" i="54" s="1"/>
  <c r="CZ40" i="54"/>
  <c r="DA40" i="54" s="1"/>
  <c r="CN40" i="54"/>
  <c r="CO40" i="54" s="1"/>
  <c r="CX40" i="54"/>
  <c r="CY40" i="54" s="1"/>
  <c r="CL40" i="54"/>
  <c r="CM40" i="54" s="1"/>
  <c r="CV40" i="54"/>
  <c r="CW40" i="54" s="1"/>
  <c r="CP40" i="54"/>
  <c r="CQ40" i="54" s="1"/>
  <c r="DB40" i="54"/>
  <c r="DC40" i="54" s="1"/>
  <c r="CT40" i="54"/>
  <c r="CU40" i="54" s="1"/>
  <c r="CZ59" i="54"/>
  <c r="DA59" i="54" s="1"/>
  <c r="CR59" i="54"/>
  <c r="CS59" i="54" s="1"/>
  <c r="CV59" i="54"/>
  <c r="CW59" i="54" s="1"/>
  <c r="CT59" i="54"/>
  <c r="CU59" i="54" s="1"/>
  <c r="CX59" i="54"/>
  <c r="CY59" i="54" s="1"/>
  <c r="CP59" i="54"/>
  <c r="CQ59" i="54" s="1"/>
  <c r="CN59" i="54"/>
  <c r="CO59" i="54" s="1"/>
  <c r="DB59" i="54"/>
  <c r="DC59" i="54" s="1"/>
  <c r="CL59" i="54"/>
  <c r="CM59" i="54" s="1"/>
  <c r="CV51" i="54"/>
  <c r="CW51" i="54" s="1"/>
  <c r="CN51" i="54"/>
  <c r="CO51" i="54" s="1"/>
  <c r="DB51" i="54"/>
  <c r="DC51" i="54" s="1"/>
  <c r="CT51" i="54"/>
  <c r="CU51" i="54" s="1"/>
  <c r="CL51" i="54"/>
  <c r="CM51" i="54" s="1"/>
  <c r="CR51" i="54"/>
  <c r="CS51" i="54" s="1"/>
  <c r="CX51" i="54"/>
  <c r="CY51" i="54" s="1"/>
  <c r="CZ51" i="54"/>
  <c r="DA51" i="54" s="1"/>
  <c r="CP51" i="54"/>
  <c r="CQ51" i="54" s="1"/>
  <c r="DB43" i="54"/>
  <c r="DC43" i="54" s="1"/>
  <c r="CT43" i="54"/>
  <c r="CU43" i="54" s="1"/>
  <c r="CL43" i="54"/>
  <c r="CM43" i="54" s="1"/>
  <c r="CP43" i="54"/>
  <c r="CQ43" i="54" s="1"/>
  <c r="CN43" i="54"/>
  <c r="CO43" i="54" s="1"/>
  <c r="CZ43" i="54"/>
  <c r="DA43" i="54" s="1"/>
  <c r="CR43" i="54"/>
  <c r="CS43" i="54" s="1"/>
  <c r="CX43" i="54"/>
  <c r="CY43" i="54" s="1"/>
  <c r="CV43" i="54"/>
  <c r="CW43" i="54" s="1"/>
  <c r="CV7" i="54"/>
  <c r="CN7" i="54"/>
  <c r="CO7" i="54" s="1"/>
  <c r="DB7" i="54"/>
  <c r="DC7" i="54" s="1"/>
  <c r="CT7" i="54"/>
  <c r="CU7" i="54" s="1"/>
  <c r="CL7" i="54"/>
  <c r="CM7" i="54" s="1"/>
  <c r="CZ7" i="54"/>
  <c r="DA7" i="54" s="1"/>
  <c r="CR7" i="54"/>
  <c r="CS7" i="54" s="1"/>
  <c r="CX7" i="54"/>
  <c r="CY7" i="54" s="1"/>
  <c r="CP7" i="54"/>
  <c r="CX62" i="54"/>
  <c r="CY62" i="54" s="1"/>
  <c r="CP62" i="54"/>
  <c r="CQ62" i="54" s="1"/>
  <c r="CV62" i="54"/>
  <c r="CW62" i="54" s="1"/>
  <c r="CN62" i="54"/>
  <c r="CO62" i="54" s="1"/>
  <c r="CZ62" i="54"/>
  <c r="DA62" i="54" s="1"/>
  <c r="DB62" i="54"/>
  <c r="DC62" i="54" s="1"/>
  <c r="CT62" i="54"/>
  <c r="CU62" i="54" s="1"/>
  <c r="CL62" i="54"/>
  <c r="CM62" i="54" s="1"/>
  <c r="CR62" i="54"/>
  <c r="CS62" i="54" s="1"/>
  <c r="DB54" i="54"/>
  <c r="DC54" i="54" s="1"/>
  <c r="CT54" i="54"/>
  <c r="CU54" i="54" s="1"/>
  <c r="CL54" i="54"/>
  <c r="CM54" i="54" s="1"/>
  <c r="CZ54" i="54"/>
  <c r="DA54" i="54" s="1"/>
  <c r="CR54" i="54"/>
  <c r="CS54" i="54" s="1"/>
  <c r="CX54" i="54"/>
  <c r="CY54" i="54" s="1"/>
  <c r="CP54" i="54"/>
  <c r="CQ54" i="54" s="1"/>
  <c r="CV54" i="54"/>
  <c r="CW54" i="54" s="1"/>
  <c r="CN54" i="54"/>
  <c r="CO54" i="54" s="1"/>
  <c r="CZ46" i="54"/>
  <c r="DA46" i="54" s="1"/>
  <c r="CP46" i="54"/>
  <c r="CQ46" i="54" s="1"/>
  <c r="CX46" i="54"/>
  <c r="CY46" i="54" s="1"/>
  <c r="CN46" i="54"/>
  <c r="CO46" i="54" s="1"/>
  <c r="CR46" i="54"/>
  <c r="CS46" i="54" s="1"/>
  <c r="CV46" i="54"/>
  <c r="CW46" i="54" s="1"/>
  <c r="CL46" i="54"/>
  <c r="CM46" i="54" s="1"/>
  <c r="DB46" i="54"/>
  <c r="DC46" i="54" s="1"/>
  <c r="CT46" i="54"/>
  <c r="CU46" i="54" s="1"/>
  <c r="CZ6" i="54"/>
  <c r="DA6" i="54" s="1"/>
  <c r="CR6" i="54"/>
  <c r="CS6" i="54" s="1"/>
  <c r="DB6" i="54"/>
  <c r="DC6" i="54" s="1"/>
  <c r="CX6" i="54"/>
  <c r="CY6" i="54" s="1"/>
  <c r="CP6" i="54"/>
  <c r="CQ6" i="54" s="1"/>
  <c r="CT6" i="54"/>
  <c r="CU6" i="54" s="1"/>
  <c r="CV6" i="54"/>
  <c r="CW6" i="54" s="1"/>
  <c r="CN6" i="54"/>
  <c r="CO6" i="54" s="1"/>
  <c r="CL6" i="54"/>
  <c r="CM6" i="54" s="1"/>
  <c r="CP61" i="54"/>
  <c r="CQ61" i="54" s="1"/>
  <c r="CX61" i="54"/>
  <c r="CY61" i="54" s="1"/>
  <c r="CL61" i="54"/>
  <c r="CM61" i="54" s="1"/>
  <c r="CT61" i="54"/>
  <c r="CU61" i="54" s="1"/>
  <c r="DB61" i="54"/>
  <c r="DC61" i="54" s="1"/>
  <c r="CV61" i="54"/>
  <c r="CW61" i="54" s="1"/>
  <c r="CR61" i="54"/>
  <c r="CS61" i="54" s="1"/>
  <c r="CZ61" i="54"/>
  <c r="DA61" i="54" s="1"/>
  <c r="CN61" i="54"/>
  <c r="CO61" i="54" s="1"/>
  <c r="DB53" i="54"/>
  <c r="DC53" i="54" s="1"/>
  <c r="CT53" i="54"/>
  <c r="CU53" i="54" s="1"/>
  <c r="CP53" i="54"/>
  <c r="CQ53" i="54" s="1"/>
  <c r="CZ53" i="54"/>
  <c r="DA53" i="54" s="1"/>
  <c r="CR53" i="54"/>
  <c r="CS53" i="54" s="1"/>
  <c r="CN53" i="54"/>
  <c r="CO53" i="54" s="1"/>
  <c r="CX53" i="54"/>
  <c r="CY53" i="54" s="1"/>
  <c r="CL53" i="54"/>
  <c r="CM53" i="54" s="1"/>
  <c r="CV53" i="54"/>
  <c r="CW53" i="54" s="1"/>
  <c r="CP45" i="54"/>
  <c r="CQ45" i="54" s="1"/>
  <c r="DB45" i="54"/>
  <c r="DC45" i="54" s="1"/>
  <c r="CN45" i="54"/>
  <c r="CO45" i="54" s="1"/>
  <c r="CZ45" i="54"/>
  <c r="DA45" i="54" s="1"/>
  <c r="CL45" i="54"/>
  <c r="CM45" i="54" s="1"/>
  <c r="CX45" i="54"/>
  <c r="CY45" i="54" s="1"/>
  <c r="CR45" i="54"/>
  <c r="CS45" i="54" s="1"/>
  <c r="CV45" i="54"/>
  <c r="CW45" i="54" s="1"/>
  <c r="CT45" i="54"/>
  <c r="CU45" i="54" s="1"/>
  <c r="CN13" i="61"/>
  <c r="CN15" i="61" s="1"/>
  <c r="DB60" i="54"/>
  <c r="DC60" i="54" s="1"/>
  <c r="CT60" i="54"/>
  <c r="CU60" i="54" s="1"/>
  <c r="CL60" i="54"/>
  <c r="CM60" i="54" s="1"/>
  <c r="CZ60" i="54"/>
  <c r="DA60" i="54" s="1"/>
  <c r="CR60" i="54"/>
  <c r="CS60" i="54" s="1"/>
  <c r="CX60" i="54"/>
  <c r="CY60" i="54" s="1"/>
  <c r="CP60" i="54"/>
  <c r="CQ60" i="54" s="1"/>
  <c r="CV60" i="54"/>
  <c r="CW60" i="54" s="1"/>
  <c r="CN60" i="54"/>
  <c r="CO60" i="54" s="1"/>
  <c r="CL52" i="54"/>
  <c r="CM52" i="54" s="1"/>
  <c r="CV52" i="54"/>
  <c r="CW52" i="54" s="1"/>
  <c r="DB52" i="54"/>
  <c r="DC52" i="54" s="1"/>
  <c r="CT52" i="54"/>
  <c r="CU52" i="54" s="1"/>
  <c r="CP52" i="54"/>
  <c r="CQ52" i="54" s="1"/>
  <c r="CZ52" i="54"/>
  <c r="DA52" i="54" s="1"/>
  <c r="CR52" i="54"/>
  <c r="CS52" i="54" s="1"/>
  <c r="CN52" i="54"/>
  <c r="CO52" i="54" s="1"/>
  <c r="CX52" i="54"/>
  <c r="CY52" i="54" s="1"/>
  <c r="CN44" i="54"/>
  <c r="CO44" i="54" s="1"/>
  <c r="CX44" i="54"/>
  <c r="CY44" i="54" s="1"/>
  <c r="CP44" i="54"/>
  <c r="CQ44" i="54" s="1"/>
  <c r="CL44" i="54"/>
  <c r="CM44" i="54" s="1"/>
  <c r="CV44" i="54"/>
  <c r="CW44" i="54" s="1"/>
  <c r="DB44" i="54"/>
  <c r="DC44" i="54" s="1"/>
  <c r="CT44" i="54"/>
  <c r="CU44" i="54" s="1"/>
  <c r="CZ44" i="54"/>
  <c r="DA44" i="54" s="1"/>
  <c r="CR44" i="54"/>
  <c r="CS44" i="54" s="1"/>
  <c r="DB63" i="54"/>
  <c r="DC63" i="54" s="1"/>
  <c r="CT63" i="54"/>
  <c r="CU63" i="54" s="1"/>
  <c r="CL63" i="54"/>
  <c r="CM63" i="54" s="1"/>
  <c r="CX63" i="54"/>
  <c r="CY63" i="54" s="1"/>
  <c r="CZ63" i="54"/>
  <c r="DA63" i="54" s="1"/>
  <c r="CR63" i="54"/>
  <c r="CS63" i="54" s="1"/>
  <c r="CV63" i="54"/>
  <c r="CW63" i="54" s="1"/>
  <c r="CP63" i="54"/>
  <c r="CQ63" i="54" s="1"/>
  <c r="CN63" i="54"/>
  <c r="CO63" i="54" s="1"/>
  <c r="CX55" i="54"/>
  <c r="CY55" i="54" s="1"/>
  <c r="CP55" i="54"/>
  <c r="CQ55" i="54" s="1"/>
  <c r="DB55" i="54"/>
  <c r="DC55" i="54" s="1"/>
  <c r="CZ55" i="54"/>
  <c r="DA55" i="54" s="1"/>
  <c r="CV55" i="54"/>
  <c r="CW55" i="54" s="1"/>
  <c r="CN55" i="54"/>
  <c r="CO55" i="54" s="1"/>
  <c r="CL55" i="54"/>
  <c r="CM55" i="54" s="1"/>
  <c r="CT55" i="54"/>
  <c r="CU55" i="54" s="1"/>
  <c r="CR55" i="54"/>
  <c r="CS55" i="54" s="1"/>
  <c r="CX47" i="54"/>
  <c r="CY47" i="54" s="1"/>
  <c r="CP47" i="54"/>
  <c r="CQ47" i="54" s="1"/>
  <c r="CV47" i="54"/>
  <c r="CW47" i="54" s="1"/>
  <c r="CN47" i="54"/>
  <c r="CO47" i="54" s="1"/>
  <c r="DB47" i="54"/>
  <c r="DC47" i="54" s="1"/>
  <c r="CT47" i="54"/>
  <c r="CU47" i="54" s="1"/>
  <c r="CL47" i="54"/>
  <c r="CM47" i="54" s="1"/>
  <c r="CZ47" i="54"/>
  <c r="DA47" i="54" s="1"/>
  <c r="CR47" i="54"/>
  <c r="CS47" i="54" s="1"/>
  <c r="CV58" i="54"/>
  <c r="CW58" i="54" s="1"/>
  <c r="CN58" i="54"/>
  <c r="CO58" i="54" s="1"/>
  <c r="CP58" i="54"/>
  <c r="CQ58" i="54" s="1"/>
  <c r="DB58" i="54"/>
  <c r="DC58" i="54" s="1"/>
  <c r="CT58" i="54"/>
  <c r="CU58" i="54" s="1"/>
  <c r="CL58" i="54"/>
  <c r="CM58" i="54" s="1"/>
  <c r="CZ58" i="54"/>
  <c r="DA58" i="54" s="1"/>
  <c r="CR58" i="54"/>
  <c r="CS58" i="54" s="1"/>
  <c r="CX58" i="54"/>
  <c r="CY58" i="54" s="1"/>
  <c r="CZ50" i="54"/>
  <c r="DA50" i="54" s="1"/>
  <c r="CR50" i="54"/>
  <c r="CS50" i="54" s="1"/>
  <c r="CX50" i="54"/>
  <c r="CY50" i="54" s="1"/>
  <c r="CP50" i="54"/>
  <c r="CQ50" i="54" s="1"/>
  <c r="CV50" i="54"/>
  <c r="CW50" i="54" s="1"/>
  <c r="CN50" i="54"/>
  <c r="CO50" i="54" s="1"/>
  <c r="DB50" i="54"/>
  <c r="DC50" i="54" s="1"/>
  <c r="CT50" i="54"/>
  <c r="CU50" i="54" s="1"/>
  <c r="CL50" i="54"/>
  <c r="CM50" i="54" s="1"/>
  <c r="CV42" i="54"/>
  <c r="CW42" i="54" s="1"/>
  <c r="CN42" i="54"/>
  <c r="CO42" i="54" s="1"/>
  <c r="DB42" i="54"/>
  <c r="DC42" i="54" s="1"/>
  <c r="CT42" i="54"/>
  <c r="CU42" i="54" s="1"/>
  <c r="CL42" i="54"/>
  <c r="CM42" i="54" s="1"/>
  <c r="CZ42" i="54"/>
  <c r="DA42" i="54" s="1"/>
  <c r="CR42" i="54"/>
  <c r="CS42" i="54" s="1"/>
  <c r="CX42" i="54"/>
  <c r="CY42" i="54" s="1"/>
  <c r="CP42" i="54"/>
  <c r="CQ42" i="54" s="1"/>
  <c r="CN65" i="54"/>
  <c r="CO65" i="54" s="1"/>
  <c r="CP65" i="54"/>
  <c r="CQ65" i="54" s="1"/>
  <c r="CL65" i="54"/>
  <c r="CM65" i="54" s="1"/>
  <c r="DB65" i="54"/>
  <c r="DC65" i="54" s="1"/>
  <c r="CX65" i="54"/>
  <c r="CY65" i="54" s="1"/>
  <c r="CZ65" i="54"/>
  <c r="DA65" i="54" s="1"/>
  <c r="CT65" i="54"/>
  <c r="CU65" i="54" s="1"/>
  <c r="CV65" i="54"/>
  <c r="CW65" i="54" s="1"/>
  <c r="CR65" i="54"/>
  <c r="CS65" i="54" s="1"/>
  <c r="CV57" i="54"/>
  <c r="CW57" i="54" s="1"/>
  <c r="CT57" i="54"/>
  <c r="CU57" i="54" s="1"/>
  <c r="CR57" i="54"/>
  <c r="CS57" i="54" s="1"/>
  <c r="CP57" i="54"/>
  <c r="CQ57" i="54" s="1"/>
  <c r="DB57" i="54"/>
  <c r="DC57" i="54" s="1"/>
  <c r="CN57" i="54"/>
  <c r="CO57" i="54" s="1"/>
  <c r="CL57" i="54"/>
  <c r="CM57" i="54" s="1"/>
  <c r="CZ57" i="54"/>
  <c r="DA57" i="54" s="1"/>
  <c r="CX57" i="54"/>
  <c r="CY57" i="54" s="1"/>
  <c r="CR49" i="54"/>
  <c r="CS49" i="54" s="1"/>
  <c r="CT49" i="54"/>
  <c r="CU49" i="54" s="1"/>
  <c r="CN49" i="54"/>
  <c r="CO49" i="54" s="1"/>
  <c r="DB49" i="54"/>
  <c r="DC49" i="54" s="1"/>
  <c r="CL49" i="54"/>
  <c r="CM49" i="54" s="1"/>
  <c r="CZ49" i="54"/>
  <c r="DA49" i="54" s="1"/>
  <c r="CV49" i="54"/>
  <c r="CW49" i="54" s="1"/>
  <c r="CX49" i="54"/>
  <c r="CY49" i="54" s="1"/>
  <c r="CP49" i="54"/>
  <c r="CQ49" i="54" s="1"/>
  <c r="DB41" i="54"/>
  <c r="DC41" i="54" s="1"/>
  <c r="CX41" i="54"/>
  <c r="CY41" i="54" s="1"/>
  <c r="CZ41" i="54"/>
  <c r="DA41" i="54" s="1"/>
  <c r="CR41" i="54"/>
  <c r="CS41" i="54" s="1"/>
  <c r="CV41" i="54"/>
  <c r="CW41" i="54" s="1"/>
  <c r="CP41" i="54"/>
  <c r="CQ41" i="54" s="1"/>
  <c r="CL41" i="54"/>
  <c r="CM41" i="54" s="1"/>
  <c r="CT41" i="54"/>
  <c r="CU41" i="54" s="1"/>
  <c r="CN41" i="54"/>
  <c r="CO41" i="54" s="1"/>
  <c r="CH9" i="61"/>
  <c r="CL11" i="61"/>
  <c r="AT408" i="40"/>
  <c r="AU408" i="40"/>
  <c r="AW408" i="40"/>
  <c r="AX408" i="40"/>
  <c r="BA408" i="40"/>
  <c r="AH408" i="40"/>
  <c r="AL408" i="40"/>
  <c r="AP408" i="40"/>
  <c r="AY408" i="40"/>
  <c r="AV408" i="40"/>
  <c r="AZ408" i="40"/>
  <c r="AQ408" i="40"/>
  <c r="AI408" i="40"/>
  <c r="AN408" i="40"/>
  <c r="AE408" i="40"/>
  <c r="AM408" i="40"/>
  <c r="AJ408" i="40"/>
  <c r="AR408" i="40"/>
  <c r="AG408" i="40"/>
  <c r="AK408" i="40"/>
  <c r="AO408" i="40"/>
  <c r="AS408" i="40"/>
  <c r="AF408" i="40"/>
  <c r="O3" i="48"/>
  <c r="N3" i="48"/>
  <c r="M3" i="48"/>
  <c r="L3" i="48"/>
  <c r="K3" i="48"/>
  <c r="J3" i="48"/>
  <c r="I3" i="48"/>
  <c r="H3" i="48"/>
  <c r="CQ7" i="54" l="1"/>
  <c r="CQ8" i="54" s="1"/>
  <c r="CH7" i="60"/>
  <c r="CH8" i="60" s="1"/>
  <c r="J55" i="27"/>
  <c r="K54" i="27"/>
  <c r="CM33" i="54"/>
  <c r="CM34" i="54" s="1"/>
  <c r="BN25" i="54"/>
  <c r="BU25" i="54" s="1"/>
  <c r="BV56" i="54" s="1"/>
  <c r="BW56" i="54" s="1"/>
  <c r="BN23" i="54"/>
  <c r="BU23" i="54" s="1"/>
  <c r="BV54" i="54" s="1"/>
  <c r="BW54" i="54" s="1"/>
  <c r="AD21" i="54"/>
  <c r="AK21" i="54" s="1"/>
  <c r="AL52" i="54" s="1"/>
  <c r="AM52" i="54" s="1"/>
  <c r="BN9" i="54"/>
  <c r="BU9" i="54" s="1"/>
  <c r="BV40" i="54" s="1"/>
  <c r="BW40" i="54" s="1"/>
  <c r="CQ19" i="54"/>
  <c r="CQ20" i="54" s="1"/>
  <c r="CY25" i="54"/>
  <c r="CY26" i="54" s="1"/>
  <c r="AD19" i="54"/>
  <c r="AK19" i="54" s="1"/>
  <c r="AL50" i="54" s="1"/>
  <c r="AM50" i="54" s="1"/>
  <c r="BN8" i="54"/>
  <c r="BU8" i="54" s="1"/>
  <c r="BV39" i="54" s="1"/>
  <c r="BW39" i="54" s="1"/>
  <c r="BN14" i="54"/>
  <c r="BU14" i="54" s="1"/>
  <c r="BV45" i="54" s="1"/>
  <c r="BW45" i="54" s="1"/>
  <c r="BN24" i="54"/>
  <c r="BU24" i="54" s="1"/>
  <c r="BV55" i="54" s="1"/>
  <c r="BW55" i="54" s="1"/>
  <c r="BN30" i="54"/>
  <c r="BU30" i="54" s="1"/>
  <c r="BV61" i="54" s="1"/>
  <c r="BW61" i="54" s="1"/>
  <c r="BN7" i="54"/>
  <c r="BU7" i="54" s="1"/>
  <c r="BV38" i="54" s="1"/>
  <c r="BW38" i="54" s="1"/>
  <c r="CJ12" i="61"/>
  <c r="CJ13" i="61" s="1"/>
  <c r="L33" i="61" s="1"/>
  <c r="S33" i="61" s="1"/>
  <c r="T64" i="61" s="1"/>
  <c r="U64" i="61" s="1"/>
  <c r="AD6" i="54"/>
  <c r="AK6" i="54" s="1"/>
  <c r="AL37" i="54" s="1"/>
  <c r="AM37" i="54" s="1"/>
  <c r="CU15" i="54"/>
  <c r="CU16" i="54" s="1"/>
  <c r="AD35" i="54"/>
  <c r="AK35" i="54" s="1"/>
  <c r="AL66" i="54" s="1"/>
  <c r="AM66" i="54" s="1"/>
  <c r="AD10" i="54"/>
  <c r="AK10" i="54" s="1"/>
  <c r="AL41" i="54" s="1"/>
  <c r="AM41" i="54" s="1"/>
  <c r="AD34" i="54"/>
  <c r="AK34" i="54" s="1"/>
  <c r="AL65" i="54" s="1"/>
  <c r="AM65" i="54" s="1"/>
  <c r="BN22" i="54"/>
  <c r="BU22" i="54" s="1"/>
  <c r="BV53" i="54" s="1"/>
  <c r="BW53" i="54" s="1"/>
  <c r="CO8" i="54"/>
  <c r="CO9" i="54" s="1"/>
  <c r="DC30" i="54"/>
  <c r="DC31" i="54" s="1"/>
  <c r="AD20" i="54"/>
  <c r="AK20" i="54" s="1"/>
  <c r="AL51" i="54" s="1"/>
  <c r="AM51" i="54" s="1"/>
  <c r="AD26" i="54"/>
  <c r="AK26" i="54" s="1"/>
  <c r="AL57" i="54" s="1"/>
  <c r="AM57" i="54" s="1"/>
  <c r="AD15" i="54"/>
  <c r="AK15" i="54" s="1"/>
  <c r="AL46" i="54" s="1"/>
  <c r="AM46" i="54" s="1"/>
  <c r="AD31" i="54"/>
  <c r="AK31" i="54" s="1"/>
  <c r="AL62" i="54" s="1"/>
  <c r="AM62" i="54" s="1"/>
  <c r="AD16" i="54"/>
  <c r="AK16" i="54" s="1"/>
  <c r="AL47" i="54" s="1"/>
  <c r="AM47" i="54" s="1"/>
  <c r="AD32" i="54"/>
  <c r="AK32" i="54" s="1"/>
  <c r="AL63" i="54" s="1"/>
  <c r="AM63" i="54" s="1"/>
  <c r="AD17" i="54"/>
  <c r="AK17" i="54" s="1"/>
  <c r="AL48" i="54" s="1"/>
  <c r="AM48" i="54" s="1"/>
  <c r="AD33" i="54"/>
  <c r="AK33" i="54" s="1"/>
  <c r="AL64" i="54" s="1"/>
  <c r="AM64" i="54" s="1"/>
  <c r="AD22" i="54"/>
  <c r="AK22" i="54" s="1"/>
  <c r="AL53" i="54" s="1"/>
  <c r="AM53" i="54" s="1"/>
  <c r="BN19" i="54"/>
  <c r="BU19" i="54" s="1"/>
  <c r="BV50" i="54" s="1"/>
  <c r="BW50" i="54" s="1"/>
  <c r="BN35" i="54"/>
  <c r="BU35" i="54" s="1"/>
  <c r="BV66" i="54" s="1"/>
  <c r="BW66" i="54" s="1"/>
  <c r="BN20" i="54"/>
  <c r="BU20" i="54" s="1"/>
  <c r="BV51" i="54" s="1"/>
  <c r="BW51" i="54" s="1"/>
  <c r="BN6" i="54"/>
  <c r="BU6" i="54" s="1"/>
  <c r="BV37" i="54" s="1"/>
  <c r="BW37" i="54" s="1"/>
  <c r="BN21" i="54"/>
  <c r="BU21" i="54" s="1"/>
  <c r="BV52" i="54" s="1"/>
  <c r="BW52" i="54" s="1"/>
  <c r="BN10" i="54"/>
  <c r="BU10" i="54" s="1"/>
  <c r="BV41" i="54" s="1"/>
  <c r="BW41" i="54" s="1"/>
  <c r="BN26" i="54"/>
  <c r="BU26" i="54" s="1"/>
  <c r="BV57" i="54" s="1"/>
  <c r="BW57" i="54" s="1"/>
  <c r="AD7" i="54"/>
  <c r="AK7" i="54" s="1"/>
  <c r="AL38" i="54" s="1"/>
  <c r="AM38" i="54" s="1"/>
  <c r="AD23" i="54"/>
  <c r="AK23" i="54" s="1"/>
  <c r="AL54" i="54" s="1"/>
  <c r="AM54" i="54" s="1"/>
  <c r="AD8" i="54"/>
  <c r="AK8" i="54" s="1"/>
  <c r="AL39" i="54" s="1"/>
  <c r="AM39" i="54" s="1"/>
  <c r="AD24" i="54"/>
  <c r="AK24" i="54" s="1"/>
  <c r="AL55" i="54" s="1"/>
  <c r="AM55" i="54" s="1"/>
  <c r="AD9" i="54"/>
  <c r="AK9" i="54" s="1"/>
  <c r="AL40" i="54" s="1"/>
  <c r="AM40" i="54" s="1"/>
  <c r="AD25" i="54"/>
  <c r="AK25" i="54" s="1"/>
  <c r="AL56" i="54" s="1"/>
  <c r="AM56" i="54" s="1"/>
  <c r="AD14" i="54"/>
  <c r="AK14" i="54" s="1"/>
  <c r="AL45" i="54" s="1"/>
  <c r="AM45" i="54" s="1"/>
  <c r="AD30" i="54"/>
  <c r="AK30" i="54" s="1"/>
  <c r="AL61" i="54" s="1"/>
  <c r="AM61" i="54" s="1"/>
  <c r="BN11" i="54"/>
  <c r="BU11" i="54" s="1"/>
  <c r="BV42" i="54" s="1"/>
  <c r="BW42" i="54" s="1"/>
  <c r="BN27" i="54"/>
  <c r="BU27" i="54" s="1"/>
  <c r="BV58" i="54" s="1"/>
  <c r="BW58" i="54" s="1"/>
  <c r="BN12" i="54"/>
  <c r="BU12" i="54" s="1"/>
  <c r="BV43" i="54" s="1"/>
  <c r="BW43" i="54" s="1"/>
  <c r="BN28" i="54"/>
  <c r="BU28" i="54" s="1"/>
  <c r="BV59" i="54" s="1"/>
  <c r="BW59" i="54" s="1"/>
  <c r="BN13" i="54"/>
  <c r="BU13" i="54" s="1"/>
  <c r="BV44" i="54" s="1"/>
  <c r="BW44" i="54" s="1"/>
  <c r="BN29" i="54"/>
  <c r="BU29" i="54" s="1"/>
  <c r="BV60" i="54" s="1"/>
  <c r="BW60" i="54" s="1"/>
  <c r="BN18" i="54"/>
  <c r="BU18" i="54" s="1"/>
  <c r="BV49" i="54" s="1"/>
  <c r="BW49" i="54" s="1"/>
  <c r="BN34" i="54"/>
  <c r="BU34" i="54" s="1"/>
  <c r="BV65" i="54" s="1"/>
  <c r="BW65" i="54" s="1"/>
  <c r="AD11" i="54"/>
  <c r="AK11" i="54" s="1"/>
  <c r="AL42" i="54" s="1"/>
  <c r="AM42" i="54" s="1"/>
  <c r="AD27" i="54"/>
  <c r="AK27" i="54" s="1"/>
  <c r="AL58" i="54" s="1"/>
  <c r="AM58" i="54" s="1"/>
  <c r="AD12" i="54"/>
  <c r="AK12" i="54" s="1"/>
  <c r="AL43" i="54" s="1"/>
  <c r="AM43" i="54" s="1"/>
  <c r="AD28" i="54"/>
  <c r="AK28" i="54" s="1"/>
  <c r="AL59" i="54" s="1"/>
  <c r="AM59" i="54" s="1"/>
  <c r="AD13" i="54"/>
  <c r="AK13" i="54" s="1"/>
  <c r="AL44" i="54" s="1"/>
  <c r="AM44" i="54" s="1"/>
  <c r="AD29" i="54"/>
  <c r="AK29" i="54" s="1"/>
  <c r="AL60" i="54" s="1"/>
  <c r="AM60" i="54" s="1"/>
  <c r="AD18" i="54"/>
  <c r="AK18" i="54" s="1"/>
  <c r="AL49" i="54" s="1"/>
  <c r="AM49" i="54" s="1"/>
  <c r="BN15" i="54"/>
  <c r="BU15" i="54" s="1"/>
  <c r="BV46" i="54" s="1"/>
  <c r="BW46" i="54" s="1"/>
  <c r="BN31" i="54"/>
  <c r="BU31" i="54" s="1"/>
  <c r="BV62" i="54" s="1"/>
  <c r="BW62" i="54" s="1"/>
  <c r="BN16" i="54"/>
  <c r="BU16" i="54" s="1"/>
  <c r="BV47" i="54" s="1"/>
  <c r="BW47" i="54" s="1"/>
  <c r="BN32" i="54"/>
  <c r="BU32" i="54" s="1"/>
  <c r="BV63" i="54" s="1"/>
  <c r="BW63" i="54" s="1"/>
  <c r="BN17" i="54"/>
  <c r="BU17" i="54" s="1"/>
  <c r="BV48" i="54" s="1"/>
  <c r="BW48" i="54" s="1"/>
  <c r="BN33" i="54"/>
  <c r="BU33" i="54" s="1"/>
  <c r="BV64" i="54" s="1"/>
  <c r="BW64" i="54" s="1"/>
  <c r="CL11" i="60"/>
  <c r="CL14" i="60" s="1"/>
  <c r="CN16" i="61"/>
  <c r="CN17" i="61" s="1"/>
  <c r="AD31" i="61" s="1"/>
  <c r="AJ31" i="61" s="1"/>
  <c r="AK62" i="61" s="1"/>
  <c r="AL62" i="61" s="1"/>
  <c r="CH10" i="61"/>
  <c r="AD34" i="60"/>
  <c r="AD30" i="60"/>
  <c r="AD26" i="60"/>
  <c r="AD22" i="60"/>
  <c r="AD18" i="60"/>
  <c r="AD14" i="60"/>
  <c r="AD10" i="60"/>
  <c r="AD33" i="60"/>
  <c r="AD29" i="60"/>
  <c r="AD25" i="60"/>
  <c r="AD21" i="60"/>
  <c r="AD17" i="60"/>
  <c r="AD13" i="60"/>
  <c r="AD9" i="60"/>
  <c r="AD6" i="60"/>
  <c r="AD32" i="60"/>
  <c r="AD28" i="60"/>
  <c r="AD24" i="60"/>
  <c r="AD20" i="60"/>
  <c r="AD16" i="60"/>
  <c r="AD12" i="60"/>
  <c r="AD8" i="60"/>
  <c r="AD35" i="60"/>
  <c r="AD31" i="60"/>
  <c r="AD23" i="60"/>
  <c r="AD7" i="60"/>
  <c r="AD19" i="60"/>
  <c r="AD15" i="60"/>
  <c r="AD27" i="60"/>
  <c r="AD11" i="60"/>
  <c r="CW7" i="54"/>
  <c r="C7" i="60"/>
  <c r="C6" i="60"/>
  <c r="CJ12" i="60"/>
  <c r="CL14" i="61"/>
  <c r="CH9" i="60" l="1"/>
  <c r="CH10" i="60" s="1"/>
  <c r="C8" i="60"/>
  <c r="AD8" i="61"/>
  <c r="AJ8" i="61" s="1"/>
  <c r="AK39" i="61" s="1"/>
  <c r="AL39" i="61" s="1"/>
  <c r="AD6" i="61"/>
  <c r="AJ6" i="61" s="1"/>
  <c r="AK37" i="61" s="1"/>
  <c r="AL37" i="61" s="1"/>
  <c r="C25" i="61"/>
  <c r="C6" i="61"/>
  <c r="J6" i="61" s="1"/>
  <c r="K37" i="61" s="1"/>
  <c r="L37" i="61" s="1"/>
  <c r="AD7" i="61"/>
  <c r="AJ7" i="61" s="1"/>
  <c r="AK38" i="61" s="1"/>
  <c r="AL38" i="61" s="1"/>
  <c r="L7" i="61"/>
  <c r="S7" i="61" s="1"/>
  <c r="T38" i="61" s="1"/>
  <c r="U38" i="61" s="1"/>
  <c r="L6" i="61"/>
  <c r="S6" i="61" s="1"/>
  <c r="T37" i="61" s="1"/>
  <c r="U37" i="61" s="1"/>
  <c r="C7" i="61"/>
  <c r="J7" i="61" s="1"/>
  <c r="K38" i="61" s="1"/>
  <c r="L38" i="61" s="1"/>
  <c r="CU17" i="54"/>
  <c r="CQ21" i="54"/>
  <c r="CQ22" i="54" s="1"/>
  <c r="J25" i="61"/>
  <c r="K56" i="61" s="1"/>
  <c r="L56" i="61" s="1"/>
  <c r="J56" i="27"/>
  <c r="K55" i="27"/>
  <c r="CY27" i="54"/>
  <c r="DC32" i="54"/>
  <c r="BW16" i="54" s="1"/>
  <c r="CC16" i="54" s="1"/>
  <c r="CD47" i="54" s="1"/>
  <c r="CE47" i="54" s="1"/>
  <c r="CM35" i="54"/>
  <c r="C18" i="61"/>
  <c r="L26" i="61"/>
  <c r="S26" i="61" s="1"/>
  <c r="T57" i="61" s="1"/>
  <c r="U57" i="61" s="1"/>
  <c r="L14" i="61"/>
  <c r="S14" i="61" s="1"/>
  <c r="T45" i="61" s="1"/>
  <c r="U45" i="61" s="1"/>
  <c r="L29" i="61"/>
  <c r="S29" i="61" s="1"/>
  <c r="T60" i="61" s="1"/>
  <c r="U60" i="61" s="1"/>
  <c r="L25" i="61"/>
  <c r="S25" i="61" s="1"/>
  <c r="T56" i="61" s="1"/>
  <c r="U56" i="61" s="1"/>
  <c r="L8" i="61"/>
  <c r="S8" i="61" s="1"/>
  <c r="T39" i="61" s="1"/>
  <c r="U39" i="61" s="1"/>
  <c r="L32" i="61"/>
  <c r="S32" i="61" s="1"/>
  <c r="T63" i="61" s="1"/>
  <c r="U63" i="61" s="1"/>
  <c r="L15" i="61"/>
  <c r="S15" i="61" s="1"/>
  <c r="T46" i="61" s="1"/>
  <c r="U46" i="61" s="1"/>
  <c r="L18" i="61"/>
  <c r="S18" i="61" s="1"/>
  <c r="T49" i="61" s="1"/>
  <c r="U49" i="61" s="1"/>
  <c r="L16" i="61"/>
  <c r="S16" i="61" s="1"/>
  <c r="T47" i="61" s="1"/>
  <c r="U47" i="61" s="1"/>
  <c r="L31" i="61"/>
  <c r="S31" i="61" s="1"/>
  <c r="T62" i="61" s="1"/>
  <c r="U62" i="61" s="1"/>
  <c r="L35" i="61"/>
  <c r="S35" i="61" s="1"/>
  <c r="T66" i="61" s="1"/>
  <c r="U66" i="61" s="1"/>
  <c r="L13" i="61"/>
  <c r="S13" i="61" s="1"/>
  <c r="T44" i="61" s="1"/>
  <c r="U44" i="61" s="1"/>
  <c r="L11" i="61"/>
  <c r="S11" i="61" s="1"/>
  <c r="T42" i="61" s="1"/>
  <c r="U42" i="61" s="1"/>
  <c r="C27" i="61"/>
  <c r="L21" i="61"/>
  <c r="S21" i="61" s="1"/>
  <c r="T52" i="61" s="1"/>
  <c r="U52" i="61" s="1"/>
  <c r="L27" i="61"/>
  <c r="S27" i="61" s="1"/>
  <c r="T58" i="61" s="1"/>
  <c r="U58" i="61" s="1"/>
  <c r="L24" i="61"/>
  <c r="S24" i="61" s="1"/>
  <c r="T55" i="61" s="1"/>
  <c r="U55" i="61" s="1"/>
  <c r="L30" i="61"/>
  <c r="S30" i="61" s="1"/>
  <c r="T61" i="61" s="1"/>
  <c r="U61" i="61" s="1"/>
  <c r="L23" i="61"/>
  <c r="S23" i="61" s="1"/>
  <c r="T54" i="61" s="1"/>
  <c r="U54" i="61" s="1"/>
  <c r="L34" i="61"/>
  <c r="S34" i="61" s="1"/>
  <c r="T65" i="61" s="1"/>
  <c r="U65" i="61" s="1"/>
  <c r="L28" i="61"/>
  <c r="S28" i="61" s="1"/>
  <c r="T59" i="61" s="1"/>
  <c r="U59" i="61" s="1"/>
  <c r="C29" i="61"/>
  <c r="L12" i="61"/>
  <c r="S12" i="61" s="1"/>
  <c r="T43" i="61" s="1"/>
  <c r="U43" i="61" s="1"/>
  <c r="L19" i="61"/>
  <c r="S19" i="61" s="1"/>
  <c r="T50" i="61" s="1"/>
  <c r="U50" i="61" s="1"/>
  <c r="L22" i="61"/>
  <c r="S22" i="61" s="1"/>
  <c r="T53" i="61" s="1"/>
  <c r="U53" i="61" s="1"/>
  <c r="L20" i="61"/>
  <c r="S20" i="61" s="1"/>
  <c r="T51" i="61" s="1"/>
  <c r="U51" i="61" s="1"/>
  <c r="L17" i="61"/>
  <c r="S17" i="61" s="1"/>
  <c r="T48" i="61" s="1"/>
  <c r="U48" i="61" s="1"/>
  <c r="L9" i="61"/>
  <c r="S9" i="61" s="1"/>
  <c r="T40" i="61" s="1"/>
  <c r="U40" i="61" s="1"/>
  <c r="L10" i="61"/>
  <c r="S10" i="61" s="1"/>
  <c r="T41" i="61" s="1"/>
  <c r="U41" i="61" s="1"/>
  <c r="C26" i="61"/>
  <c r="C30" i="61"/>
  <c r="AD29" i="61"/>
  <c r="AJ29" i="61" s="1"/>
  <c r="AK60" i="61" s="1"/>
  <c r="AL60" i="61" s="1"/>
  <c r="AD30" i="61"/>
  <c r="AJ30" i="61" s="1"/>
  <c r="AK61" i="61" s="1"/>
  <c r="AL61" i="61" s="1"/>
  <c r="CO10" i="54"/>
  <c r="CO11" i="54" s="1"/>
  <c r="AD10" i="61"/>
  <c r="AJ10" i="61" s="1"/>
  <c r="AK41" i="61" s="1"/>
  <c r="AL41" i="61" s="1"/>
  <c r="C9" i="61"/>
  <c r="C23" i="61"/>
  <c r="BX38" i="54"/>
  <c r="BX37" i="54" s="1"/>
  <c r="BW6" i="54"/>
  <c r="CC6" i="54" s="1"/>
  <c r="CD37" i="54" s="1"/>
  <c r="CE37" i="54" s="1"/>
  <c r="AN38" i="54"/>
  <c r="AN37" i="54" s="1"/>
  <c r="C8" i="61"/>
  <c r="C12" i="61"/>
  <c r="C28" i="61"/>
  <c r="AD19" i="61"/>
  <c r="AJ19" i="61" s="1"/>
  <c r="AK50" i="61" s="1"/>
  <c r="AL50" i="61" s="1"/>
  <c r="AD15" i="61"/>
  <c r="AJ15" i="61" s="1"/>
  <c r="AK46" i="61" s="1"/>
  <c r="AL46" i="61" s="1"/>
  <c r="CL15" i="60"/>
  <c r="C31" i="61"/>
  <c r="C19" i="61"/>
  <c r="C15" i="61"/>
  <c r="C20" i="61"/>
  <c r="C34" i="61"/>
  <c r="C32" i="61"/>
  <c r="C16" i="61"/>
  <c r="T52" i="58"/>
  <c r="U52" i="58" s="1"/>
  <c r="V38" i="58" s="1"/>
  <c r="V37" i="58" s="1"/>
  <c r="C33" i="61"/>
  <c r="AD17" i="61"/>
  <c r="AJ17" i="61" s="1"/>
  <c r="AK48" i="61" s="1"/>
  <c r="AL48" i="61" s="1"/>
  <c r="C35" i="61"/>
  <c r="C14" i="61"/>
  <c r="C13" i="61"/>
  <c r="C21" i="61"/>
  <c r="C17" i="61"/>
  <c r="C10" i="61"/>
  <c r="AD22" i="61"/>
  <c r="AJ22" i="61" s="1"/>
  <c r="AK53" i="61" s="1"/>
  <c r="AL53" i="61" s="1"/>
  <c r="AD24" i="61"/>
  <c r="AJ24" i="61" s="1"/>
  <c r="AK55" i="61" s="1"/>
  <c r="AL55" i="61" s="1"/>
  <c r="AD26" i="61"/>
  <c r="AJ26" i="61" s="1"/>
  <c r="AK57" i="61" s="1"/>
  <c r="AL57" i="61" s="1"/>
  <c r="AD33" i="61"/>
  <c r="AJ33" i="61" s="1"/>
  <c r="AK64" i="61" s="1"/>
  <c r="AL64" i="61" s="1"/>
  <c r="AD27" i="61"/>
  <c r="AJ27" i="61" s="1"/>
  <c r="AK58" i="61" s="1"/>
  <c r="AL58" i="61" s="1"/>
  <c r="AD14" i="61"/>
  <c r="AJ14" i="61" s="1"/>
  <c r="AK45" i="61" s="1"/>
  <c r="AL45" i="61" s="1"/>
  <c r="AV6" i="54"/>
  <c r="BC6" i="54" s="1"/>
  <c r="BD37" i="54" s="1"/>
  <c r="BE37" i="54" s="1"/>
  <c r="AV22" i="54"/>
  <c r="BC22" i="54" s="1"/>
  <c r="BD53" i="54" s="1"/>
  <c r="BE53" i="54" s="1"/>
  <c r="AV33" i="54"/>
  <c r="BC33" i="54" s="1"/>
  <c r="BD64" i="54" s="1"/>
  <c r="BE64" i="54" s="1"/>
  <c r="AV17" i="54"/>
  <c r="BC17" i="54" s="1"/>
  <c r="BD48" i="54" s="1"/>
  <c r="BE48" i="54" s="1"/>
  <c r="AV28" i="54"/>
  <c r="BC28" i="54" s="1"/>
  <c r="BD59" i="54" s="1"/>
  <c r="BE59" i="54" s="1"/>
  <c r="AV12" i="54"/>
  <c r="BC12" i="54" s="1"/>
  <c r="BD43" i="54" s="1"/>
  <c r="BE43" i="54" s="1"/>
  <c r="AV27" i="54"/>
  <c r="BC27" i="54" s="1"/>
  <c r="BD58" i="54" s="1"/>
  <c r="BE58" i="54" s="1"/>
  <c r="AV11" i="54"/>
  <c r="BC11" i="54" s="1"/>
  <c r="BD42" i="54" s="1"/>
  <c r="BE42" i="54" s="1"/>
  <c r="AV34" i="54"/>
  <c r="BC34" i="54" s="1"/>
  <c r="BD65" i="54" s="1"/>
  <c r="BE65" i="54" s="1"/>
  <c r="AV18" i="54"/>
  <c r="BC18" i="54" s="1"/>
  <c r="BD49" i="54" s="1"/>
  <c r="BE49" i="54" s="1"/>
  <c r="AV29" i="54"/>
  <c r="BC29" i="54" s="1"/>
  <c r="BD60" i="54" s="1"/>
  <c r="BE60" i="54" s="1"/>
  <c r="AV13" i="54"/>
  <c r="BC13" i="54" s="1"/>
  <c r="BD44" i="54" s="1"/>
  <c r="BE44" i="54" s="1"/>
  <c r="AV24" i="54"/>
  <c r="BC24" i="54" s="1"/>
  <c r="BD55" i="54" s="1"/>
  <c r="BE55" i="54" s="1"/>
  <c r="AV8" i="54"/>
  <c r="BC8" i="54" s="1"/>
  <c r="BD39" i="54" s="1"/>
  <c r="BE39" i="54" s="1"/>
  <c r="AV23" i="54"/>
  <c r="BC23" i="54" s="1"/>
  <c r="BD54" i="54" s="1"/>
  <c r="BE54" i="54" s="1"/>
  <c r="AV7" i="54"/>
  <c r="BC7" i="54" s="1"/>
  <c r="BD38" i="54" s="1"/>
  <c r="BE38" i="54" s="1"/>
  <c r="AV30" i="54"/>
  <c r="BC30" i="54" s="1"/>
  <c r="BD61" i="54" s="1"/>
  <c r="BE61" i="54" s="1"/>
  <c r="AV14" i="54"/>
  <c r="BC14" i="54" s="1"/>
  <c r="BD45" i="54" s="1"/>
  <c r="BE45" i="54" s="1"/>
  <c r="AV25" i="54"/>
  <c r="BC25" i="54" s="1"/>
  <c r="BD56" i="54" s="1"/>
  <c r="BE56" i="54" s="1"/>
  <c r="AV9" i="54"/>
  <c r="BC9" i="54" s="1"/>
  <c r="BD40" i="54" s="1"/>
  <c r="BE40" i="54" s="1"/>
  <c r="AV20" i="54"/>
  <c r="BC20" i="54" s="1"/>
  <c r="BD51" i="54" s="1"/>
  <c r="BE51" i="54" s="1"/>
  <c r="AV35" i="54"/>
  <c r="BC35" i="54" s="1"/>
  <c r="BD66" i="54" s="1"/>
  <c r="BE66" i="54" s="1"/>
  <c r="AV19" i="54"/>
  <c r="BC19" i="54" s="1"/>
  <c r="BD50" i="54" s="1"/>
  <c r="BE50" i="54" s="1"/>
  <c r="AV26" i="54"/>
  <c r="BC26" i="54" s="1"/>
  <c r="BD57" i="54" s="1"/>
  <c r="BE57" i="54" s="1"/>
  <c r="AV10" i="54"/>
  <c r="BC10" i="54" s="1"/>
  <c r="BD41" i="54" s="1"/>
  <c r="BE41" i="54" s="1"/>
  <c r="AV21" i="54"/>
  <c r="BC21" i="54" s="1"/>
  <c r="BD52" i="54" s="1"/>
  <c r="BE52" i="54" s="1"/>
  <c r="AV32" i="54"/>
  <c r="BC32" i="54" s="1"/>
  <c r="BD63" i="54" s="1"/>
  <c r="BE63" i="54" s="1"/>
  <c r="AV16" i="54"/>
  <c r="BC16" i="54" s="1"/>
  <c r="BD47" i="54" s="1"/>
  <c r="BE47" i="54" s="1"/>
  <c r="AV31" i="54"/>
  <c r="BC31" i="54" s="1"/>
  <c r="BD62" i="54" s="1"/>
  <c r="BE62" i="54" s="1"/>
  <c r="AV15" i="54"/>
  <c r="BC15" i="54" s="1"/>
  <c r="BD46" i="54" s="1"/>
  <c r="BE46" i="54" s="1"/>
  <c r="C24" i="61"/>
  <c r="AD25" i="61"/>
  <c r="AJ25" i="61" s="1"/>
  <c r="AK56" i="61" s="1"/>
  <c r="AL56" i="61" s="1"/>
  <c r="AD21" i="61"/>
  <c r="AJ21" i="61" s="1"/>
  <c r="AK52" i="61" s="1"/>
  <c r="AL52" i="61" s="1"/>
  <c r="AD12" i="61"/>
  <c r="AJ12" i="61" s="1"/>
  <c r="AK43" i="61" s="1"/>
  <c r="AL43" i="61" s="1"/>
  <c r="AD20" i="61"/>
  <c r="AJ20" i="61" s="1"/>
  <c r="AK51" i="61" s="1"/>
  <c r="AL51" i="61" s="1"/>
  <c r="AD13" i="61"/>
  <c r="AJ13" i="61" s="1"/>
  <c r="AK44" i="61" s="1"/>
  <c r="AL44" i="61" s="1"/>
  <c r="AD16" i="61"/>
  <c r="AJ16" i="61" s="1"/>
  <c r="AK47" i="61" s="1"/>
  <c r="AL47" i="61" s="1"/>
  <c r="AD9" i="61"/>
  <c r="AJ9" i="61" s="1"/>
  <c r="AK40" i="61" s="1"/>
  <c r="AL40" i="61" s="1"/>
  <c r="AD23" i="61"/>
  <c r="AJ23" i="61" s="1"/>
  <c r="AK54" i="61" s="1"/>
  <c r="AL54" i="61" s="1"/>
  <c r="CJ13" i="60"/>
  <c r="CJ15" i="60" s="1"/>
  <c r="CL18" i="61"/>
  <c r="U23" i="61" s="1"/>
  <c r="AB23" i="61" s="1"/>
  <c r="AC54" i="61" s="1"/>
  <c r="AD54" i="61" s="1"/>
  <c r="C22" i="61"/>
  <c r="C11" i="61"/>
  <c r="AD18" i="61"/>
  <c r="AJ18" i="61" s="1"/>
  <c r="AK49" i="61" s="1"/>
  <c r="AL49" i="61" s="1"/>
  <c r="AD28" i="61"/>
  <c r="AJ28" i="61" s="1"/>
  <c r="AK59" i="61" s="1"/>
  <c r="AL59" i="61" s="1"/>
  <c r="AD35" i="61"/>
  <c r="AJ35" i="61" s="1"/>
  <c r="AK66" i="61" s="1"/>
  <c r="AL66" i="61" s="1"/>
  <c r="AD34" i="61"/>
  <c r="AJ34" i="61" s="1"/>
  <c r="AK65" i="61" s="1"/>
  <c r="AL65" i="61" s="1"/>
  <c r="AD11" i="61"/>
  <c r="AJ11" i="61" s="1"/>
  <c r="AK42" i="61" s="1"/>
  <c r="AL42" i="61" s="1"/>
  <c r="AD32" i="61"/>
  <c r="AJ32" i="61" s="1"/>
  <c r="AK63" i="61" s="1"/>
  <c r="AL63" i="61" s="1"/>
  <c r="AG18" i="23"/>
  <c r="AB48" i="40"/>
  <c r="AB41" i="40"/>
  <c r="AB37" i="40"/>
  <c r="AB17" i="40"/>
  <c r="AB10" i="40"/>
  <c r="AB6" i="40"/>
  <c r="AB3" i="40"/>
  <c r="U5" i="40"/>
  <c r="W8" i="40"/>
  <c r="W7" i="40"/>
  <c r="U405" i="40"/>
  <c r="U399" i="40"/>
  <c r="U396" i="40"/>
  <c r="U394" i="40"/>
  <c r="U376" i="40"/>
  <c r="U364" i="40"/>
  <c r="U347" i="40"/>
  <c r="T347" i="40" s="1"/>
  <c r="U345" i="40"/>
  <c r="U343" i="40"/>
  <c r="U342" i="40"/>
  <c r="U340" i="40"/>
  <c r="U336" i="40"/>
  <c r="U334" i="40"/>
  <c r="U329" i="40"/>
  <c r="U328" i="40"/>
  <c r="U325" i="40"/>
  <c r="U324" i="40"/>
  <c r="U320" i="40"/>
  <c r="U316" i="40"/>
  <c r="U310" i="40"/>
  <c r="U309" i="40"/>
  <c r="U308" i="40"/>
  <c r="U304" i="40"/>
  <c r="U302" i="40"/>
  <c r="U301" i="40"/>
  <c r="U296" i="40"/>
  <c r="U293" i="40"/>
  <c r="U292" i="40"/>
  <c r="U291" i="40"/>
  <c r="U289" i="40"/>
  <c r="U282" i="40"/>
  <c r="U278" i="40"/>
  <c r="U273" i="40"/>
  <c r="U268" i="40"/>
  <c r="U267" i="40"/>
  <c r="U263" i="40"/>
  <c r="U261" i="40"/>
  <c r="U260" i="40"/>
  <c r="U258" i="40"/>
  <c r="U256" i="40"/>
  <c r="U254" i="40"/>
  <c r="U250" i="40"/>
  <c r="U247" i="40"/>
  <c r="U243" i="40"/>
  <c r="U241" i="40"/>
  <c r="U239" i="40"/>
  <c r="U236" i="40"/>
  <c r="U234" i="40"/>
  <c r="U232" i="40"/>
  <c r="U231" i="40"/>
  <c r="U230" i="40"/>
  <c r="U228" i="40"/>
  <c r="U227" i="40"/>
  <c r="U223" i="40"/>
  <c r="U220" i="40"/>
  <c r="U219" i="40"/>
  <c r="U217" i="40"/>
  <c r="U213" i="40"/>
  <c r="U211" i="40"/>
  <c r="U210" i="40"/>
  <c r="U209" i="40"/>
  <c r="U208" i="40"/>
  <c r="U205" i="40"/>
  <c r="U203" i="40"/>
  <c r="U202" i="40"/>
  <c r="U200" i="40"/>
  <c r="U199" i="40"/>
  <c r="U197" i="40"/>
  <c r="U192" i="40"/>
  <c r="U191" i="40"/>
  <c r="U189" i="40"/>
  <c r="U185" i="40"/>
  <c r="U184" i="40"/>
  <c r="U182" i="40"/>
  <c r="U179" i="40"/>
  <c r="U178" i="40"/>
  <c r="U174" i="40"/>
  <c r="U168" i="40"/>
  <c r="U166" i="40"/>
  <c r="U165" i="40"/>
  <c r="U161" i="40"/>
  <c r="U156" i="40"/>
  <c r="U153" i="40"/>
  <c r="U152" i="40"/>
  <c r="U151" i="40"/>
  <c r="U150" i="40"/>
  <c r="U136" i="40"/>
  <c r="U133" i="40"/>
  <c r="U132" i="40"/>
  <c r="U131" i="40"/>
  <c r="U130" i="40"/>
  <c r="U128" i="40"/>
  <c r="U126" i="40"/>
  <c r="U123" i="40"/>
  <c r="U122" i="40"/>
  <c r="U118" i="40"/>
  <c r="U113" i="40"/>
  <c r="U111" i="40"/>
  <c r="U110" i="40"/>
  <c r="U105" i="40"/>
  <c r="T105" i="40" s="1"/>
  <c r="U104" i="40"/>
  <c r="U100" i="40"/>
  <c r="U99" i="40"/>
  <c r="U97" i="40"/>
  <c r="U88" i="40"/>
  <c r="U87" i="40"/>
  <c r="U85" i="40"/>
  <c r="U64" i="40"/>
  <c r="U62" i="40"/>
  <c r="T62" i="40" s="1"/>
  <c r="U61" i="40"/>
  <c r="U54" i="40"/>
  <c r="U52" i="40"/>
  <c r="U47" i="40"/>
  <c r="U45" i="40"/>
  <c r="U39" i="40"/>
  <c r="U35" i="40"/>
  <c r="U32" i="40"/>
  <c r="U26" i="40"/>
  <c r="U25" i="40"/>
  <c r="U11" i="40"/>
  <c r="U8" i="40"/>
  <c r="U7" i="40"/>
  <c r="C9" i="60" l="1"/>
  <c r="CH16" i="60"/>
  <c r="C13" i="60" s="1"/>
  <c r="BW7" i="54"/>
  <c r="CC7" i="54" s="1"/>
  <c r="CD38" i="54" s="1"/>
  <c r="CE38" i="54" s="1"/>
  <c r="CY28" i="54"/>
  <c r="U6" i="61"/>
  <c r="AB6" i="61" s="1"/>
  <c r="AC37" i="61" s="1"/>
  <c r="AD37" i="61" s="1"/>
  <c r="U26" i="60"/>
  <c r="U6" i="60"/>
  <c r="U7" i="60"/>
  <c r="U8" i="60"/>
  <c r="CU18" i="54"/>
  <c r="AM7" i="54" s="1"/>
  <c r="AT7" i="54" s="1"/>
  <c r="AU38" i="54" s="1"/>
  <c r="AV38" i="54" s="1"/>
  <c r="CQ23" i="54"/>
  <c r="BW14" i="54"/>
  <c r="CC14" i="54" s="1"/>
  <c r="CD45" i="54" s="1"/>
  <c r="CE45" i="54" s="1"/>
  <c r="BW11" i="54"/>
  <c r="CC11" i="54" s="1"/>
  <c r="CD42" i="54" s="1"/>
  <c r="CE42" i="54" s="1"/>
  <c r="FK62" i="40"/>
  <c r="FL62" i="40" s="1"/>
  <c r="FF62" i="40"/>
  <c r="FG62" i="40" s="1"/>
  <c r="FA62" i="40"/>
  <c r="FB62" i="40" s="1"/>
  <c r="EV62" i="40"/>
  <c r="EW62" i="40" s="1"/>
  <c r="EQ62" i="40"/>
  <c r="ER62" i="40" s="1"/>
  <c r="EL62" i="40"/>
  <c r="EM62" i="40" s="1"/>
  <c r="EG62" i="40"/>
  <c r="EH62" i="40" s="1"/>
  <c r="FP62" i="40"/>
  <c r="FQ62" i="40" s="1"/>
  <c r="EB62" i="40"/>
  <c r="EC62" i="40" s="1"/>
  <c r="FK105" i="40"/>
  <c r="FL105" i="40" s="1"/>
  <c r="FF105" i="40"/>
  <c r="FG105" i="40" s="1"/>
  <c r="EV105" i="40"/>
  <c r="EW105" i="40" s="1"/>
  <c r="FA105" i="40"/>
  <c r="FB105" i="40" s="1"/>
  <c r="EQ105" i="40"/>
  <c r="ER105" i="40" s="1"/>
  <c r="EL105" i="40"/>
  <c r="EM105" i="40" s="1"/>
  <c r="EG105" i="40"/>
  <c r="EH105" i="40" s="1"/>
  <c r="FP105" i="40"/>
  <c r="FQ105" i="40" s="1"/>
  <c r="EB105" i="40"/>
  <c r="EC105" i="40" s="1"/>
  <c r="FK347" i="40"/>
  <c r="FF347" i="40"/>
  <c r="FA347" i="40"/>
  <c r="EV347" i="40"/>
  <c r="EQ347" i="40"/>
  <c r="EL347" i="40"/>
  <c r="FP347" i="40"/>
  <c r="EG347" i="40"/>
  <c r="EB347" i="40"/>
  <c r="BW34" i="54"/>
  <c r="CC34" i="54" s="1"/>
  <c r="CD65" i="54" s="1"/>
  <c r="CE65" i="54" s="1"/>
  <c r="J11" i="61"/>
  <c r="K42" i="61" s="1"/>
  <c r="L42" i="61" s="1"/>
  <c r="J24" i="61"/>
  <c r="K55" i="61" s="1"/>
  <c r="L55" i="61" s="1"/>
  <c r="J21" i="61"/>
  <c r="K52" i="61" s="1"/>
  <c r="L52" i="61" s="1"/>
  <c r="J32" i="61"/>
  <c r="K63" i="61" s="1"/>
  <c r="L63" i="61" s="1"/>
  <c r="J19" i="61"/>
  <c r="K50" i="61" s="1"/>
  <c r="L50" i="61" s="1"/>
  <c r="J9" i="61"/>
  <c r="K40" i="61" s="1"/>
  <c r="L40" i="61" s="1"/>
  <c r="J30" i="61"/>
  <c r="K61" i="61" s="1"/>
  <c r="L61" i="61" s="1"/>
  <c r="J18" i="61"/>
  <c r="K49" i="61" s="1"/>
  <c r="L49" i="61" s="1"/>
  <c r="J22" i="61"/>
  <c r="K53" i="61" s="1"/>
  <c r="L53" i="61" s="1"/>
  <c r="J13" i="61"/>
  <c r="K44" i="61" s="1"/>
  <c r="L44" i="61" s="1"/>
  <c r="J33" i="61"/>
  <c r="K64" i="61" s="1"/>
  <c r="L64" i="61" s="1"/>
  <c r="J34" i="61"/>
  <c r="K65" i="61" s="1"/>
  <c r="L65" i="61" s="1"/>
  <c r="J31" i="61"/>
  <c r="K62" i="61" s="1"/>
  <c r="L62" i="61" s="1"/>
  <c r="J28" i="61"/>
  <c r="K59" i="61" s="1"/>
  <c r="L59" i="61" s="1"/>
  <c r="J26" i="61"/>
  <c r="K57" i="61" s="1"/>
  <c r="L57" i="61" s="1"/>
  <c r="J10" i="61"/>
  <c r="K41" i="61" s="1"/>
  <c r="L41" i="61" s="1"/>
  <c r="J14" i="61"/>
  <c r="K45" i="61" s="1"/>
  <c r="L45" i="61" s="1"/>
  <c r="J20" i="61"/>
  <c r="K51" i="61" s="1"/>
  <c r="L51" i="61" s="1"/>
  <c r="J12" i="61"/>
  <c r="K43" i="61" s="1"/>
  <c r="L43" i="61" s="1"/>
  <c r="J29" i="61"/>
  <c r="K60" i="61" s="1"/>
  <c r="L60" i="61" s="1"/>
  <c r="J27" i="61"/>
  <c r="K58" i="61" s="1"/>
  <c r="L58" i="61" s="1"/>
  <c r="J17" i="61"/>
  <c r="K48" i="61" s="1"/>
  <c r="L48" i="61" s="1"/>
  <c r="J35" i="61"/>
  <c r="K66" i="61" s="1"/>
  <c r="L66" i="61" s="1"/>
  <c r="J16" i="61"/>
  <c r="K47" i="61" s="1"/>
  <c r="L47" i="61" s="1"/>
  <c r="J15" i="61"/>
  <c r="K46" i="61" s="1"/>
  <c r="L46" i="61" s="1"/>
  <c r="J8" i="61"/>
  <c r="K39" i="61" s="1"/>
  <c r="L39" i="61" s="1"/>
  <c r="J23" i="61"/>
  <c r="K54" i="61" s="1"/>
  <c r="L54" i="61" s="1"/>
  <c r="J57" i="27"/>
  <c r="K56" i="27"/>
  <c r="BW32" i="54"/>
  <c r="CC32" i="54" s="1"/>
  <c r="CD63" i="54" s="1"/>
  <c r="CE63" i="54" s="1"/>
  <c r="BW15" i="54"/>
  <c r="CC15" i="54" s="1"/>
  <c r="CD46" i="54" s="1"/>
  <c r="CE46" i="54" s="1"/>
  <c r="BW10" i="54"/>
  <c r="CC10" i="54" s="1"/>
  <c r="CD41" i="54" s="1"/>
  <c r="CE41" i="54" s="1"/>
  <c r="BW33" i="54"/>
  <c r="CC33" i="54" s="1"/>
  <c r="CD64" i="54" s="1"/>
  <c r="CE64" i="54" s="1"/>
  <c r="BW20" i="54"/>
  <c r="CC20" i="54" s="1"/>
  <c r="CD51" i="54" s="1"/>
  <c r="CE51" i="54" s="1"/>
  <c r="BW13" i="54"/>
  <c r="CC13" i="54" s="1"/>
  <c r="CD44" i="54" s="1"/>
  <c r="CE44" i="54" s="1"/>
  <c r="BW31" i="54"/>
  <c r="CC31" i="54" s="1"/>
  <c r="CD62" i="54" s="1"/>
  <c r="CE62" i="54" s="1"/>
  <c r="BW21" i="54"/>
  <c r="CC21" i="54" s="1"/>
  <c r="CD52" i="54" s="1"/>
  <c r="CE52" i="54" s="1"/>
  <c r="DY105" i="40"/>
  <c r="DJ105" i="40"/>
  <c r="DR105" i="40"/>
  <c r="DQ105" i="40"/>
  <c r="DP105" i="40"/>
  <c r="DO105" i="40"/>
  <c r="DN105" i="40"/>
  <c r="DM105" i="40"/>
  <c r="DL105" i="40"/>
  <c r="DK105" i="40"/>
  <c r="DY347" i="40"/>
  <c r="DR347" i="40"/>
  <c r="DQ347" i="40"/>
  <c r="DP347" i="40"/>
  <c r="DO347" i="40"/>
  <c r="DN347" i="40"/>
  <c r="DM347" i="40"/>
  <c r="DL347" i="40"/>
  <c r="DK347" i="40"/>
  <c r="DJ347" i="40"/>
  <c r="DY62" i="40"/>
  <c r="DR62" i="40"/>
  <c r="DP62" i="40"/>
  <c r="DQ62" i="40"/>
  <c r="DO62" i="40"/>
  <c r="DN62" i="40"/>
  <c r="DM62" i="40"/>
  <c r="DJ62" i="40"/>
  <c r="DK62" i="40"/>
  <c r="DL62" i="40"/>
  <c r="BW12" i="54"/>
  <c r="CC12" i="54" s="1"/>
  <c r="CD43" i="54" s="1"/>
  <c r="CE43" i="54" s="1"/>
  <c r="BW18" i="54"/>
  <c r="CC18" i="54" s="1"/>
  <c r="CD49" i="54" s="1"/>
  <c r="CE49" i="54" s="1"/>
  <c r="BW24" i="54"/>
  <c r="CC24" i="54" s="1"/>
  <c r="CD55" i="54" s="1"/>
  <c r="CE55" i="54" s="1"/>
  <c r="BW27" i="54"/>
  <c r="CC27" i="54" s="1"/>
  <c r="CD58" i="54" s="1"/>
  <c r="CE58" i="54" s="1"/>
  <c r="BW30" i="54"/>
  <c r="CC30" i="54" s="1"/>
  <c r="CD61" i="54" s="1"/>
  <c r="CE61" i="54" s="1"/>
  <c r="BW28" i="54"/>
  <c r="CC28" i="54" s="1"/>
  <c r="CD59" i="54" s="1"/>
  <c r="CE59" i="54" s="1"/>
  <c r="BW35" i="54"/>
  <c r="CC35" i="54" s="1"/>
  <c r="CD66" i="54" s="1"/>
  <c r="CE66" i="54" s="1"/>
  <c r="BW22" i="54"/>
  <c r="CC22" i="54" s="1"/>
  <c r="CD53" i="54" s="1"/>
  <c r="CE53" i="54" s="1"/>
  <c r="BW26" i="54"/>
  <c r="CC26" i="54" s="1"/>
  <c r="CD57" i="54" s="1"/>
  <c r="CE57" i="54" s="1"/>
  <c r="BW23" i="54"/>
  <c r="CC23" i="54" s="1"/>
  <c r="CD54" i="54" s="1"/>
  <c r="CE54" i="54" s="1"/>
  <c r="BW9" i="54"/>
  <c r="CC9" i="54" s="1"/>
  <c r="CD40" i="54" s="1"/>
  <c r="CE40" i="54" s="1"/>
  <c r="BW19" i="54"/>
  <c r="CC19" i="54" s="1"/>
  <c r="CD50" i="54" s="1"/>
  <c r="CE50" i="54" s="1"/>
  <c r="BW29" i="54"/>
  <c r="CC29" i="54" s="1"/>
  <c r="CD60" i="54" s="1"/>
  <c r="CE60" i="54" s="1"/>
  <c r="BW17" i="54"/>
  <c r="CC17" i="54" s="1"/>
  <c r="CD48" i="54" s="1"/>
  <c r="CE48" i="54" s="1"/>
  <c r="BW25" i="54"/>
  <c r="CC25" i="54" s="1"/>
  <c r="CD56" i="54" s="1"/>
  <c r="CE56" i="54" s="1"/>
  <c r="BW8" i="54"/>
  <c r="CC8" i="54" s="1"/>
  <c r="CD39" i="54" s="1"/>
  <c r="CE39" i="54" s="1"/>
  <c r="CM36" i="54"/>
  <c r="V38" i="61"/>
  <c r="V37" i="61" s="1"/>
  <c r="CO12" i="54"/>
  <c r="U28" i="60"/>
  <c r="U16" i="60"/>
  <c r="U23" i="60"/>
  <c r="U34" i="60"/>
  <c r="U14" i="60"/>
  <c r="U13" i="60"/>
  <c r="U20" i="60"/>
  <c r="U31" i="60"/>
  <c r="U32" i="60"/>
  <c r="U19" i="60"/>
  <c r="U30" i="60"/>
  <c r="U21" i="60"/>
  <c r="U25" i="60"/>
  <c r="U18" i="60"/>
  <c r="U17" i="60"/>
  <c r="U24" i="60"/>
  <c r="U35" i="60"/>
  <c r="U15" i="60"/>
  <c r="U22" i="60"/>
  <c r="U33" i="60"/>
  <c r="U9" i="60"/>
  <c r="U12" i="60"/>
  <c r="U10" i="60"/>
  <c r="U27" i="60"/>
  <c r="U29" i="60"/>
  <c r="U11" i="60"/>
  <c r="U14" i="61"/>
  <c r="AB14" i="61" s="1"/>
  <c r="AC45" i="61" s="1"/>
  <c r="AD45" i="61" s="1"/>
  <c r="U16" i="61"/>
  <c r="AB16" i="61" s="1"/>
  <c r="AC47" i="61" s="1"/>
  <c r="AD47" i="61" s="1"/>
  <c r="U17" i="61"/>
  <c r="AB17" i="61" s="1"/>
  <c r="AC48" i="61" s="1"/>
  <c r="AD48" i="61" s="1"/>
  <c r="U25" i="61"/>
  <c r="AB25" i="61" s="1"/>
  <c r="AC56" i="61" s="1"/>
  <c r="AD56" i="61" s="1"/>
  <c r="U11" i="61"/>
  <c r="AB11" i="61" s="1"/>
  <c r="AC42" i="61" s="1"/>
  <c r="AD42" i="61" s="1"/>
  <c r="U29" i="61"/>
  <c r="AB29" i="61" s="1"/>
  <c r="AC60" i="61" s="1"/>
  <c r="AD60" i="61" s="1"/>
  <c r="U26" i="61"/>
  <c r="AB26" i="61" s="1"/>
  <c r="AC57" i="61" s="1"/>
  <c r="AD57" i="61" s="1"/>
  <c r="U33" i="61"/>
  <c r="AB33" i="61" s="1"/>
  <c r="AC64" i="61" s="1"/>
  <c r="AD64" i="61" s="1"/>
  <c r="U28" i="61"/>
  <c r="AB28" i="61" s="1"/>
  <c r="AC59" i="61" s="1"/>
  <c r="AD59" i="61" s="1"/>
  <c r="U31" i="61"/>
  <c r="AB31" i="61" s="1"/>
  <c r="AC62" i="61" s="1"/>
  <c r="AD62" i="61" s="1"/>
  <c r="U35" i="61"/>
  <c r="AB35" i="61" s="1"/>
  <c r="AC66" i="61" s="1"/>
  <c r="AD66" i="61" s="1"/>
  <c r="U24" i="61"/>
  <c r="AB24" i="61" s="1"/>
  <c r="AC55" i="61" s="1"/>
  <c r="AD55" i="61" s="1"/>
  <c r="AC57" i="58"/>
  <c r="AD57" i="58" s="1"/>
  <c r="AM38" i="61"/>
  <c r="AM37" i="61" s="1"/>
  <c r="U22" i="61"/>
  <c r="AB22" i="61" s="1"/>
  <c r="AC53" i="61" s="1"/>
  <c r="AD53" i="61" s="1"/>
  <c r="U18" i="61"/>
  <c r="AB18" i="61" s="1"/>
  <c r="AC49" i="61" s="1"/>
  <c r="AD49" i="61" s="1"/>
  <c r="U8" i="61"/>
  <c r="AB8" i="61" s="1"/>
  <c r="AC39" i="61" s="1"/>
  <c r="AD39" i="61" s="1"/>
  <c r="U9" i="61"/>
  <c r="AB9" i="61" s="1"/>
  <c r="AC40" i="61" s="1"/>
  <c r="AD40" i="61" s="1"/>
  <c r="U12" i="61"/>
  <c r="AB12" i="61" s="1"/>
  <c r="AC43" i="61" s="1"/>
  <c r="AD43" i="61" s="1"/>
  <c r="U32" i="61"/>
  <c r="AB32" i="61" s="1"/>
  <c r="AC63" i="61" s="1"/>
  <c r="AD63" i="61" s="1"/>
  <c r="BF38" i="54"/>
  <c r="BF37" i="54" s="1"/>
  <c r="U21" i="61"/>
  <c r="AB21" i="61" s="1"/>
  <c r="AC52" i="61" s="1"/>
  <c r="AD52" i="61" s="1"/>
  <c r="U27" i="61"/>
  <c r="AB27" i="61" s="1"/>
  <c r="AC58" i="61" s="1"/>
  <c r="AD58" i="61" s="1"/>
  <c r="U10" i="61"/>
  <c r="AB10" i="61" s="1"/>
  <c r="AC41" i="61" s="1"/>
  <c r="AD41" i="61" s="1"/>
  <c r="U20" i="61"/>
  <c r="AB20" i="61" s="1"/>
  <c r="AC51" i="61" s="1"/>
  <c r="AD51" i="61" s="1"/>
  <c r="U7" i="61"/>
  <c r="AB7" i="61" s="1"/>
  <c r="AC38" i="61" s="1"/>
  <c r="AD38" i="61" s="1"/>
  <c r="CJ18" i="60"/>
  <c r="U19" i="61"/>
  <c r="AB19" i="61" s="1"/>
  <c r="AC50" i="61" s="1"/>
  <c r="AD50" i="61" s="1"/>
  <c r="U34" i="61"/>
  <c r="AB34" i="61" s="1"/>
  <c r="AC65" i="61" s="1"/>
  <c r="AD65" i="61" s="1"/>
  <c r="U13" i="61"/>
  <c r="AB13" i="61" s="1"/>
  <c r="AC44" i="61" s="1"/>
  <c r="AD44" i="61" s="1"/>
  <c r="U30" i="61"/>
  <c r="AB30" i="61" s="1"/>
  <c r="AC61" i="61" s="1"/>
  <c r="AD61" i="61" s="1"/>
  <c r="U15" i="61"/>
  <c r="AB15" i="61" s="1"/>
  <c r="AC46" i="61" s="1"/>
  <c r="AD46" i="61" s="1"/>
  <c r="CQ24" i="54"/>
  <c r="AM12" i="54"/>
  <c r="AT12" i="54" s="1"/>
  <c r="AU43" i="54" s="1"/>
  <c r="AV43" i="54" s="1"/>
  <c r="AM20" i="54"/>
  <c r="AT20" i="54" s="1"/>
  <c r="AU51" i="54" s="1"/>
  <c r="AV51" i="54" s="1"/>
  <c r="AM29" i="54"/>
  <c r="AT29" i="54" s="1"/>
  <c r="AU60" i="54" s="1"/>
  <c r="AV60" i="54" s="1"/>
  <c r="AM27" i="54"/>
  <c r="AT27" i="54" s="1"/>
  <c r="AU58" i="54" s="1"/>
  <c r="AV58" i="54" s="1"/>
  <c r="AM26" i="54"/>
  <c r="AT26" i="54" s="1"/>
  <c r="AU57" i="54" s="1"/>
  <c r="AV57" i="54" s="1"/>
  <c r="AM35" i="54"/>
  <c r="AT35" i="54" s="1"/>
  <c r="AU66" i="54" s="1"/>
  <c r="AV66" i="54" s="1"/>
  <c r="AM33" i="54"/>
  <c r="AT33" i="54" s="1"/>
  <c r="AU64" i="54" s="1"/>
  <c r="AV64" i="54" s="1"/>
  <c r="AM15" i="54"/>
  <c r="AT15" i="54" s="1"/>
  <c r="AU46" i="54" s="1"/>
  <c r="AV46" i="54" s="1"/>
  <c r="AM24" i="54"/>
  <c r="AT24" i="54" s="1"/>
  <c r="AU55" i="54" s="1"/>
  <c r="AV55" i="54" s="1"/>
  <c r="AM22" i="54"/>
  <c r="AT22" i="54" s="1"/>
  <c r="AU53" i="54" s="1"/>
  <c r="AV53" i="54" s="1"/>
  <c r="AM21" i="54"/>
  <c r="AT21" i="54" s="1"/>
  <c r="AU52" i="54" s="1"/>
  <c r="AV52" i="54" s="1"/>
  <c r="AM30" i="54"/>
  <c r="AT30" i="54" s="1"/>
  <c r="AU61" i="54" s="1"/>
  <c r="AV61" i="54" s="1"/>
  <c r="AM23" i="54"/>
  <c r="AT23" i="54" s="1"/>
  <c r="AU54" i="54" s="1"/>
  <c r="AV54" i="54" s="1"/>
  <c r="AG146" i="23"/>
  <c r="AG145" i="23"/>
  <c r="AG144" i="23"/>
  <c r="AG143" i="23"/>
  <c r="AG142" i="23"/>
  <c r="U62" i="1"/>
  <c r="C25" i="60" l="1"/>
  <c r="C29" i="60"/>
  <c r="C18" i="60"/>
  <c r="C24" i="60"/>
  <c r="C14" i="60"/>
  <c r="C22" i="60"/>
  <c r="C19" i="60"/>
  <c r="C32" i="60"/>
  <c r="C23" i="60"/>
  <c r="C34" i="60"/>
  <c r="C30" i="60"/>
  <c r="C12" i="60"/>
  <c r="C21" i="60"/>
  <c r="C27" i="60"/>
  <c r="C31" i="60"/>
  <c r="C35" i="60"/>
  <c r="C26" i="60"/>
  <c r="C11" i="60"/>
  <c r="C28" i="60"/>
  <c r="C15" i="60"/>
  <c r="C17" i="60"/>
  <c r="C10" i="60"/>
  <c r="C33" i="60"/>
  <c r="C16" i="60"/>
  <c r="C20" i="60"/>
  <c r="U13" i="54"/>
  <c r="AB13" i="54" s="1"/>
  <c r="AC44" i="54" s="1"/>
  <c r="AD44" i="54" s="1"/>
  <c r="U10" i="54"/>
  <c r="CM37" i="54"/>
  <c r="U11" i="54"/>
  <c r="U8" i="54"/>
  <c r="U9" i="54"/>
  <c r="U7" i="54"/>
  <c r="AM9" i="54"/>
  <c r="AT9" i="54" s="1"/>
  <c r="AU40" i="54" s="1"/>
  <c r="AV40" i="54" s="1"/>
  <c r="AM6" i="54"/>
  <c r="AT6" i="54" s="1"/>
  <c r="AU37" i="54" s="1"/>
  <c r="AV37" i="54" s="1"/>
  <c r="U6" i="54"/>
  <c r="AM8" i="54"/>
  <c r="AT8" i="54" s="1"/>
  <c r="AU39" i="54" s="1"/>
  <c r="AV39" i="54" s="1"/>
  <c r="CY29" i="54"/>
  <c r="BE6" i="54" s="1"/>
  <c r="BL6" i="54" s="1"/>
  <c r="BM37" i="54" s="1"/>
  <c r="BN37" i="54" s="1"/>
  <c r="L10" i="60"/>
  <c r="L7" i="60"/>
  <c r="L8" i="60"/>
  <c r="L6" i="60"/>
  <c r="AM11" i="54"/>
  <c r="AT11" i="54" s="1"/>
  <c r="AU42" i="54" s="1"/>
  <c r="AV42" i="54" s="1"/>
  <c r="AM13" i="54"/>
  <c r="AT13" i="54" s="1"/>
  <c r="AU44" i="54" s="1"/>
  <c r="AV44" i="54" s="1"/>
  <c r="AM31" i="54"/>
  <c r="AT31" i="54" s="1"/>
  <c r="AU62" i="54" s="1"/>
  <c r="AV62" i="54" s="1"/>
  <c r="AM32" i="54"/>
  <c r="AT32" i="54" s="1"/>
  <c r="AU63" i="54" s="1"/>
  <c r="AV63" i="54" s="1"/>
  <c r="AM34" i="54"/>
  <c r="AT34" i="54" s="1"/>
  <c r="AU65" i="54" s="1"/>
  <c r="AV65" i="54" s="1"/>
  <c r="AM14" i="54"/>
  <c r="AT14" i="54" s="1"/>
  <c r="AU45" i="54" s="1"/>
  <c r="AV45" i="54" s="1"/>
  <c r="AM16" i="54"/>
  <c r="AT16" i="54" s="1"/>
  <c r="AU47" i="54" s="1"/>
  <c r="AV47" i="54" s="1"/>
  <c r="AM18" i="54"/>
  <c r="AT18" i="54" s="1"/>
  <c r="AU49" i="54" s="1"/>
  <c r="AV49" i="54" s="1"/>
  <c r="AM25" i="54"/>
  <c r="AT25" i="54" s="1"/>
  <c r="AU56" i="54" s="1"/>
  <c r="AV56" i="54" s="1"/>
  <c r="AM28" i="54"/>
  <c r="AT28" i="54" s="1"/>
  <c r="AU59" i="54" s="1"/>
  <c r="AV59" i="54" s="1"/>
  <c r="AM17" i="54"/>
  <c r="AT17" i="54" s="1"/>
  <c r="AU48" i="54" s="1"/>
  <c r="AV48" i="54" s="1"/>
  <c r="AM19" i="54"/>
  <c r="AT19" i="54" s="1"/>
  <c r="AU50" i="54" s="1"/>
  <c r="AV50" i="54" s="1"/>
  <c r="AM10" i="54"/>
  <c r="AT10" i="54" s="1"/>
  <c r="AU41" i="54" s="1"/>
  <c r="AV41" i="54" s="1"/>
  <c r="D530" i="1"/>
  <c r="C4" i="42"/>
  <c r="M38" i="61"/>
  <c r="M37" i="61" s="1"/>
  <c r="J58" i="27"/>
  <c r="K57" i="27"/>
  <c r="CF38" i="54"/>
  <c r="CF37" i="54" s="1"/>
  <c r="CM38" i="54"/>
  <c r="L17" i="60"/>
  <c r="CO13" i="54"/>
  <c r="AC64" i="58"/>
  <c r="AD64" i="58" s="1"/>
  <c r="AE38" i="58" s="1"/>
  <c r="AE37" i="58" s="1"/>
  <c r="K62" i="58"/>
  <c r="L62" i="58" s="1"/>
  <c r="M38" i="58" s="1"/>
  <c r="M37" i="58" s="1"/>
  <c r="AE38" i="61"/>
  <c r="AE37" i="61" s="1"/>
  <c r="L30" i="60"/>
  <c r="L23" i="60"/>
  <c r="L28" i="60"/>
  <c r="L34" i="60"/>
  <c r="L19" i="60"/>
  <c r="L13" i="60"/>
  <c r="L24" i="60"/>
  <c r="L11" i="60"/>
  <c r="L31" i="60"/>
  <c r="L26" i="60"/>
  <c r="L27" i="60"/>
  <c r="L15" i="60"/>
  <c r="L12" i="60"/>
  <c r="L16" i="60"/>
  <c r="L35" i="60"/>
  <c r="L25" i="60"/>
  <c r="L20" i="60"/>
  <c r="L14" i="60"/>
  <c r="L29" i="60"/>
  <c r="L33" i="60"/>
  <c r="L18" i="60"/>
  <c r="L22" i="60"/>
  <c r="L9" i="60"/>
  <c r="L32" i="60"/>
  <c r="L21" i="60"/>
  <c r="U35" i="54"/>
  <c r="AB35" i="54" s="1"/>
  <c r="AC66" i="54" s="1"/>
  <c r="AD66" i="54" s="1"/>
  <c r="U30" i="54"/>
  <c r="AB30" i="54" s="1"/>
  <c r="AC61" i="54" s="1"/>
  <c r="AD61" i="54" s="1"/>
  <c r="U17" i="54"/>
  <c r="AB17" i="54" s="1"/>
  <c r="AC48" i="54" s="1"/>
  <c r="AD48" i="54" s="1"/>
  <c r="U26" i="54"/>
  <c r="AB26" i="54" s="1"/>
  <c r="AC57" i="54" s="1"/>
  <c r="AD57" i="54" s="1"/>
  <c r="U32" i="54"/>
  <c r="AB32" i="54" s="1"/>
  <c r="AC63" i="54" s="1"/>
  <c r="AD63" i="54" s="1"/>
  <c r="U27" i="54"/>
  <c r="AB27" i="54" s="1"/>
  <c r="AC58" i="54" s="1"/>
  <c r="AD58" i="54" s="1"/>
  <c r="U14" i="54"/>
  <c r="AB14" i="54" s="1"/>
  <c r="AC45" i="54" s="1"/>
  <c r="AD45" i="54" s="1"/>
  <c r="U19" i="54"/>
  <c r="AB19" i="54" s="1"/>
  <c r="AC50" i="54" s="1"/>
  <c r="AD50" i="54" s="1"/>
  <c r="U28" i="54"/>
  <c r="AB28" i="54" s="1"/>
  <c r="AC59" i="54" s="1"/>
  <c r="AD59" i="54" s="1"/>
  <c r="U20" i="54"/>
  <c r="AB20" i="54" s="1"/>
  <c r="AC51" i="54" s="1"/>
  <c r="AD51" i="54" s="1"/>
  <c r="U33" i="54"/>
  <c r="AB33" i="54" s="1"/>
  <c r="AC64" i="54" s="1"/>
  <c r="AD64" i="54" s="1"/>
  <c r="U16" i="54"/>
  <c r="AB16" i="54" s="1"/>
  <c r="AC47" i="54" s="1"/>
  <c r="AD47" i="54" s="1"/>
  <c r="U18" i="54"/>
  <c r="AB18" i="54" s="1"/>
  <c r="AC49" i="54" s="1"/>
  <c r="AD49" i="54" s="1"/>
  <c r="U12" i="54"/>
  <c r="U22" i="54"/>
  <c r="AB22" i="54" s="1"/>
  <c r="AC53" i="54" s="1"/>
  <c r="AD53" i="54" s="1"/>
  <c r="U29" i="54"/>
  <c r="AB29" i="54" s="1"/>
  <c r="AC60" i="54" s="1"/>
  <c r="AD60" i="54" s="1"/>
  <c r="U25" i="54"/>
  <c r="AB25" i="54" s="1"/>
  <c r="AC56" i="54" s="1"/>
  <c r="AD56" i="54" s="1"/>
  <c r="U24" i="54"/>
  <c r="AB24" i="54" s="1"/>
  <c r="AC55" i="54" s="1"/>
  <c r="AD55" i="54" s="1"/>
  <c r="U34" i="54"/>
  <c r="AB34" i="54" s="1"/>
  <c r="AC65" i="54" s="1"/>
  <c r="AD65" i="54" s="1"/>
  <c r="U23" i="54"/>
  <c r="AB23" i="54" s="1"/>
  <c r="AC54" i="54" s="1"/>
  <c r="AD54" i="54" s="1"/>
  <c r="U15" i="54"/>
  <c r="AB15" i="54" s="1"/>
  <c r="AC46" i="54" s="1"/>
  <c r="AD46" i="54" s="1"/>
  <c r="U31" i="54"/>
  <c r="AB31" i="54" s="1"/>
  <c r="AC62" i="54" s="1"/>
  <c r="AD62" i="54" s="1"/>
  <c r="U21" i="54"/>
  <c r="AB21" i="54" s="1"/>
  <c r="AC52" i="54" s="1"/>
  <c r="AD52" i="54" s="1"/>
  <c r="X62" i="1"/>
  <c r="CO14" i="54" l="1"/>
  <c r="L9" i="54" s="1"/>
  <c r="S9" i="54" s="1"/>
  <c r="T40" i="54" s="1"/>
  <c r="U40" i="54" s="1"/>
  <c r="BE24" i="54"/>
  <c r="BL24" i="54" s="1"/>
  <c r="BM55" i="54" s="1"/>
  <c r="BN55" i="54" s="1"/>
  <c r="BE30" i="54"/>
  <c r="BL30" i="54" s="1"/>
  <c r="BM61" i="54" s="1"/>
  <c r="BN61" i="54" s="1"/>
  <c r="BE11" i="54"/>
  <c r="BL11" i="54" s="1"/>
  <c r="BM42" i="54" s="1"/>
  <c r="BN42" i="54" s="1"/>
  <c r="BE34" i="54"/>
  <c r="BL34" i="54" s="1"/>
  <c r="BM65" i="54" s="1"/>
  <c r="BN65" i="54" s="1"/>
  <c r="BE26" i="54"/>
  <c r="BL26" i="54" s="1"/>
  <c r="BM57" i="54" s="1"/>
  <c r="BN57" i="54" s="1"/>
  <c r="BE8" i="54"/>
  <c r="BL8" i="54" s="1"/>
  <c r="BM39" i="54" s="1"/>
  <c r="BN39" i="54" s="1"/>
  <c r="BE15" i="54"/>
  <c r="BL15" i="54" s="1"/>
  <c r="BM46" i="54" s="1"/>
  <c r="BN46" i="54" s="1"/>
  <c r="BE14" i="54"/>
  <c r="BL14" i="54" s="1"/>
  <c r="BM45" i="54" s="1"/>
  <c r="BN45" i="54" s="1"/>
  <c r="BE25" i="54"/>
  <c r="BL25" i="54" s="1"/>
  <c r="BM56" i="54" s="1"/>
  <c r="BN56" i="54" s="1"/>
  <c r="BE29" i="54"/>
  <c r="BL29" i="54" s="1"/>
  <c r="BM60" i="54" s="1"/>
  <c r="BN60" i="54" s="1"/>
  <c r="BE9" i="54"/>
  <c r="BL9" i="54" s="1"/>
  <c r="BM40" i="54" s="1"/>
  <c r="BN40" i="54" s="1"/>
  <c r="BE23" i="54"/>
  <c r="BL23" i="54" s="1"/>
  <c r="BM54" i="54" s="1"/>
  <c r="BN54" i="54" s="1"/>
  <c r="BE13" i="54"/>
  <c r="BL13" i="54" s="1"/>
  <c r="BM44" i="54" s="1"/>
  <c r="BN44" i="54" s="1"/>
  <c r="BE27" i="54"/>
  <c r="BL27" i="54" s="1"/>
  <c r="BM58" i="54" s="1"/>
  <c r="BN58" i="54" s="1"/>
  <c r="BE7" i="54"/>
  <c r="BL7" i="54" s="1"/>
  <c r="BM38" i="54" s="1"/>
  <c r="BN38" i="54" s="1"/>
  <c r="BE17" i="54"/>
  <c r="BL17" i="54" s="1"/>
  <c r="BM48" i="54" s="1"/>
  <c r="BN48" i="54" s="1"/>
  <c r="BE31" i="54"/>
  <c r="BL31" i="54" s="1"/>
  <c r="BM62" i="54" s="1"/>
  <c r="BN62" i="54" s="1"/>
  <c r="BE21" i="54"/>
  <c r="BL21" i="54" s="1"/>
  <c r="BM52" i="54" s="1"/>
  <c r="BN52" i="54" s="1"/>
  <c r="BE10" i="54"/>
  <c r="BL10" i="54" s="1"/>
  <c r="BM41" i="54" s="1"/>
  <c r="BN41" i="54" s="1"/>
  <c r="BE33" i="54"/>
  <c r="BL33" i="54" s="1"/>
  <c r="BM64" i="54" s="1"/>
  <c r="BN64" i="54" s="1"/>
  <c r="BE20" i="54"/>
  <c r="BL20" i="54" s="1"/>
  <c r="BM51" i="54" s="1"/>
  <c r="BN51" i="54" s="1"/>
  <c r="BE35" i="54"/>
  <c r="BL35" i="54" s="1"/>
  <c r="BM66" i="54" s="1"/>
  <c r="BN66" i="54" s="1"/>
  <c r="BE12" i="54"/>
  <c r="BL12" i="54" s="1"/>
  <c r="BM43" i="54" s="1"/>
  <c r="BN43" i="54" s="1"/>
  <c r="BE16" i="54"/>
  <c r="BL16" i="54" s="1"/>
  <c r="BM47" i="54" s="1"/>
  <c r="BN47" i="54" s="1"/>
  <c r="BE19" i="54"/>
  <c r="BL19" i="54" s="1"/>
  <c r="BM50" i="54" s="1"/>
  <c r="BN50" i="54" s="1"/>
  <c r="BE18" i="54"/>
  <c r="BL18" i="54" s="1"/>
  <c r="BM49" i="54" s="1"/>
  <c r="BN49" i="54" s="1"/>
  <c r="BE28" i="54"/>
  <c r="BL28" i="54" s="1"/>
  <c r="BM59" i="54" s="1"/>
  <c r="BN59" i="54" s="1"/>
  <c r="BE22" i="54"/>
  <c r="BL22" i="54" s="1"/>
  <c r="BM53" i="54" s="1"/>
  <c r="BN53" i="54" s="1"/>
  <c r="BE32" i="54"/>
  <c r="BL32" i="54" s="1"/>
  <c r="BM63" i="54" s="1"/>
  <c r="BN63" i="54" s="1"/>
  <c r="L7" i="54"/>
  <c r="S7" i="54" s="1"/>
  <c r="T38" i="54" s="1"/>
  <c r="U38" i="54" s="1"/>
  <c r="AW38" i="54"/>
  <c r="AW37" i="54" s="1"/>
  <c r="B37" i="61"/>
  <c r="J59" i="27"/>
  <c r="K58" i="27"/>
  <c r="CM39" i="54"/>
  <c r="C6" i="54" s="1"/>
  <c r="J6" i="54" s="1"/>
  <c r="K37" i="54" s="1"/>
  <c r="L37" i="54" s="1"/>
  <c r="B37" i="58"/>
  <c r="L17" i="54"/>
  <c r="S17" i="54" s="1"/>
  <c r="T48" i="54" s="1"/>
  <c r="U48" i="54" s="1"/>
  <c r="L18" i="54"/>
  <c r="S18" i="54" s="1"/>
  <c r="T49" i="54" s="1"/>
  <c r="U49" i="54" s="1"/>
  <c r="L14" i="54"/>
  <c r="S14" i="54" s="1"/>
  <c r="T45" i="54" s="1"/>
  <c r="U45" i="54" s="1"/>
  <c r="L19" i="54"/>
  <c r="S19" i="54" s="1"/>
  <c r="T50" i="54" s="1"/>
  <c r="U50" i="54" s="1"/>
  <c r="L22" i="54"/>
  <c r="S22" i="54" s="1"/>
  <c r="T53" i="54" s="1"/>
  <c r="U53" i="54" s="1"/>
  <c r="L34" i="54"/>
  <c r="S34" i="54" s="1"/>
  <c r="T65" i="54" s="1"/>
  <c r="U65" i="54" s="1"/>
  <c r="L20" i="54"/>
  <c r="S20" i="54" s="1"/>
  <c r="T51" i="54" s="1"/>
  <c r="U51" i="54" s="1"/>
  <c r="L21" i="54"/>
  <c r="S21" i="54" s="1"/>
  <c r="T52" i="54" s="1"/>
  <c r="U52" i="54" s="1"/>
  <c r="L15" i="54"/>
  <c r="S15" i="54" s="1"/>
  <c r="T46" i="54" s="1"/>
  <c r="U46" i="54" s="1"/>
  <c r="L35" i="54"/>
  <c r="S35" i="54" s="1"/>
  <c r="T66" i="54" s="1"/>
  <c r="U66" i="54" s="1"/>
  <c r="L33" i="54"/>
  <c r="S33" i="54" s="1"/>
  <c r="T64" i="54" s="1"/>
  <c r="U64" i="54" s="1"/>
  <c r="L11" i="54"/>
  <c r="S11" i="54" s="1"/>
  <c r="T42" i="54" s="1"/>
  <c r="U42" i="54" s="1"/>
  <c r="L30" i="54"/>
  <c r="S30" i="54" s="1"/>
  <c r="T61" i="54" s="1"/>
  <c r="U61" i="54" s="1"/>
  <c r="L31" i="54"/>
  <c r="S31" i="54" s="1"/>
  <c r="T62" i="54" s="1"/>
  <c r="U62" i="54" s="1"/>
  <c r="L12" i="54"/>
  <c r="S12" i="54" s="1"/>
  <c r="T43" i="54" s="1"/>
  <c r="U43" i="54" s="1"/>
  <c r="L13" i="54"/>
  <c r="S13" i="54" s="1"/>
  <c r="T44" i="54" s="1"/>
  <c r="U44" i="54" s="1"/>
  <c r="L28" i="54"/>
  <c r="S28" i="54" s="1"/>
  <c r="T59" i="54" s="1"/>
  <c r="U59" i="54" s="1"/>
  <c r="L25" i="54"/>
  <c r="S25" i="54" s="1"/>
  <c r="T56" i="54" s="1"/>
  <c r="U56" i="54" s="1"/>
  <c r="L26" i="54"/>
  <c r="S26" i="54" s="1"/>
  <c r="T57" i="54" s="1"/>
  <c r="U57" i="54" s="1"/>
  <c r="L27" i="54"/>
  <c r="S27" i="54" s="1"/>
  <c r="T58" i="54" s="1"/>
  <c r="U58" i="54" s="1"/>
  <c r="L23" i="54"/>
  <c r="S23" i="54" s="1"/>
  <c r="T54" i="54" s="1"/>
  <c r="U54" i="54" s="1"/>
  <c r="L24" i="54"/>
  <c r="S24" i="54" s="1"/>
  <c r="T55" i="54" s="1"/>
  <c r="U55" i="54" s="1"/>
  <c r="L32" i="54"/>
  <c r="S32" i="54" s="1"/>
  <c r="T63" i="54" s="1"/>
  <c r="U63" i="54" s="1"/>
  <c r="L29" i="54"/>
  <c r="S29" i="54" s="1"/>
  <c r="T60" i="54" s="1"/>
  <c r="U60" i="54" s="1"/>
  <c r="M110" i="1"/>
  <c r="M108" i="1"/>
  <c r="M106" i="1"/>
  <c r="J374" i="23"/>
  <c r="T363" i="23" s="1"/>
  <c r="L8" i="54" l="1"/>
  <c r="S8" i="54" s="1"/>
  <c r="T39" i="54" s="1"/>
  <c r="U39" i="54" s="1"/>
  <c r="BO38" i="54"/>
  <c r="BO37" i="54" s="1"/>
  <c r="C11" i="54"/>
  <c r="J11" i="54" s="1"/>
  <c r="K42" i="54" s="1"/>
  <c r="L42" i="54" s="1"/>
  <c r="L16" i="54"/>
  <c r="S16" i="54" s="1"/>
  <c r="T47" i="54" s="1"/>
  <c r="U47" i="54" s="1"/>
  <c r="L10" i="54"/>
  <c r="S10" i="54" s="1"/>
  <c r="T41" i="54" s="1"/>
  <c r="U41" i="54" s="1"/>
  <c r="L6" i="54"/>
  <c r="S6" i="54" s="1"/>
  <c r="T37" i="54" s="1"/>
  <c r="U37" i="54" s="1"/>
  <c r="C13" i="54"/>
  <c r="J13" i="54" s="1"/>
  <c r="K44" i="54" s="1"/>
  <c r="L44" i="54" s="1"/>
  <c r="C10" i="54"/>
  <c r="J10" i="54" s="1"/>
  <c r="K41" i="54" s="1"/>
  <c r="L41" i="54" s="1"/>
  <c r="C9" i="54"/>
  <c r="J9" i="54" s="1"/>
  <c r="K40" i="54" s="1"/>
  <c r="L40" i="54" s="1"/>
  <c r="C7" i="54"/>
  <c r="J7" i="54" s="1"/>
  <c r="K38" i="54" s="1"/>
  <c r="L38" i="54" s="1"/>
  <c r="C8" i="54"/>
  <c r="J8" i="54" s="1"/>
  <c r="K39" i="54" s="1"/>
  <c r="L39" i="54" s="1"/>
  <c r="J60" i="27"/>
  <c r="K59" i="27"/>
  <c r="C18" i="54"/>
  <c r="C30" i="54"/>
  <c r="C28" i="54"/>
  <c r="C24" i="54"/>
  <c r="C35" i="54"/>
  <c r="C20" i="54"/>
  <c r="C14" i="54"/>
  <c r="C34" i="54"/>
  <c r="C16" i="54"/>
  <c r="C22" i="54"/>
  <c r="C31" i="54"/>
  <c r="C27" i="54"/>
  <c r="C17" i="54"/>
  <c r="C23" i="54"/>
  <c r="C12" i="54"/>
  <c r="C21" i="54"/>
  <c r="C19" i="54"/>
  <c r="C29" i="54"/>
  <c r="C33" i="54"/>
  <c r="C15" i="54"/>
  <c r="C26" i="54"/>
  <c r="C25" i="54"/>
  <c r="C32" i="54"/>
  <c r="T365" i="23"/>
  <c r="T367" i="23"/>
  <c r="T373" i="23"/>
  <c r="T369" i="23"/>
  <c r="T366" i="23"/>
  <c r="T372" i="23"/>
  <c r="T368" i="23"/>
  <c r="T370" i="23"/>
  <c r="T364" i="23"/>
  <c r="T371" i="23"/>
  <c r="V38" i="54" l="1"/>
  <c r="V37" i="54" s="1"/>
  <c r="J25" i="54"/>
  <c r="K56" i="54" s="1"/>
  <c r="L56" i="54" s="1"/>
  <c r="J29" i="54"/>
  <c r="K60" i="54" s="1"/>
  <c r="L60" i="54" s="1"/>
  <c r="J23" i="54"/>
  <c r="K54" i="54" s="1"/>
  <c r="L54" i="54" s="1"/>
  <c r="J22" i="54"/>
  <c r="K53" i="54" s="1"/>
  <c r="L53" i="54" s="1"/>
  <c r="J20" i="54"/>
  <c r="K51" i="54" s="1"/>
  <c r="L51" i="54" s="1"/>
  <c r="J30" i="54"/>
  <c r="K61" i="54" s="1"/>
  <c r="L61" i="54" s="1"/>
  <c r="J26" i="54"/>
  <c r="K57" i="54" s="1"/>
  <c r="L57" i="54" s="1"/>
  <c r="J19" i="54"/>
  <c r="K50" i="54" s="1"/>
  <c r="L50" i="54" s="1"/>
  <c r="J17" i="54"/>
  <c r="K48" i="54" s="1"/>
  <c r="L48" i="54" s="1"/>
  <c r="J16" i="54"/>
  <c r="K47" i="54" s="1"/>
  <c r="L47" i="54" s="1"/>
  <c r="J35" i="54"/>
  <c r="K66" i="54" s="1"/>
  <c r="L66" i="54" s="1"/>
  <c r="J18" i="54"/>
  <c r="K49" i="54" s="1"/>
  <c r="L49" i="54" s="1"/>
  <c r="J15" i="54"/>
  <c r="K46" i="54" s="1"/>
  <c r="L46" i="54" s="1"/>
  <c r="J21" i="54"/>
  <c r="K52" i="54" s="1"/>
  <c r="L52" i="54" s="1"/>
  <c r="J27" i="54"/>
  <c r="K58" i="54" s="1"/>
  <c r="L58" i="54" s="1"/>
  <c r="J34" i="54"/>
  <c r="K65" i="54" s="1"/>
  <c r="L65" i="54" s="1"/>
  <c r="J24" i="54"/>
  <c r="K55" i="54" s="1"/>
  <c r="L55" i="54" s="1"/>
  <c r="J32" i="54"/>
  <c r="K63" i="54" s="1"/>
  <c r="L63" i="54" s="1"/>
  <c r="J33" i="54"/>
  <c r="K64" i="54" s="1"/>
  <c r="L64" i="54" s="1"/>
  <c r="J12" i="54"/>
  <c r="K43" i="54" s="1"/>
  <c r="L43" i="54" s="1"/>
  <c r="J31" i="54"/>
  <c r="K62" i="54" s="1"/>
  <c r="L62" i="54" s="1"/>
  <c r="J14" i="54"/>
  <c r="K45" i="54" s="1"/>
  <c r="L45" i="54" s="1"/>
  <c r="J28" i="54"/>
  <c r="K59" i="54" s="1"/>
  <c r="L59" i="54" s="1"/>
  <c r="J61" i="27"/>
  <c r="K60" i="27"/>
  <c r="H316" i="23"/>
  <c r="H317" i="23"/>
  <c r="M38" i="54" l="1"/>
  <c r="M37" i="54" s="1"/>
  <c r="J62" i="27"/>
  <c r="K61" i="27"/>
  <c r="AS9" i="30"/>
  <c r="AD3" i="30"/>
  <c r="J63" i="27" l="1"/>
  <c r="K62" i="27"/>
  <c r="J64" i="27" l="1"/>
  <c r="K63" i="27"/>
  <c r="B1" i="40"/>
  <c r="J65" i="27" l="1"/>
  <c r="K64" i="27"/>
  <c r="AD407" i="40"/>
  <c r="AB407" i="40" s="1"/>
  <c r="AD406" i="40"/>
  <c r="AA407" i="40"/>
  <c r="AA406" i="40"/>
  <c r="AA405" i="40"/>
  <c r="AA404" i="40"/>
  <c r="X405" i="40"/>
  <c r="X404" i="40"/>
  <c r="AD404" i="40"/>
  <c r="AB404" i="40" s="1"/>
  <c r="AD403" i="40"/>
  <c r="AD402" i="40"/>
  <c r="AD401" i="40"/>
  <c r="AD400" i="40"/>
  <c r="AD399" i="40"/>
  <c r="AB399" i="40" s="1"/>
  <c r="AD398" i="40"/>
  <c r="AD397" i="40"/>
  <c r="AB397" i="40" s="1"/>
  <c r="AD396" i="40"/>
  <c r="AD395" i="40"/>
  <c r="AD394" i="40"/>
  <c r="AA401" i="40"/>
  <c r="T401" i="40" s="1"/>
  <c r="AA400" i="40"/>
  <c r="T400" i="40" s="1"/>
  <c r="AA399" i="40"/>
  <c r="Y399" i="40"/>
  <c r="X399" i="40"/>
  <c r="X397" i="40"/>
  <c r="AA396" i="40"/>
  <c r="AA395" i="40"/>
  <c r="X395" i="40"/>
  <c r="X394" i="40"/>
  <c r="AA393" i="40"/>
  <c r="T393" i="40" s="1"/>
  <c r="AA392" i="40"/>
  <c r="AD392" i="40"/>
  <c r="AD391" i="40"/>
  <c r="AB391" i="40" s="1"/>
  <c r="AD390" i="40"/>
  <c r="X392" i="40"/>
  <c r="X391" i="40"/>
  <c r="X390" i="40"/>
  <c r="AA389" i="40"/>
  <c r="AA388" i="40"/>
  <c r="T388" i="40" s="1"/>
  <c r="AA387" i="40"/>
  <c r="AA386" i="40"/>
  <c r="AA385" i="40"/>
  <c r="AA384" i="40"/>
  <c r="Y389" i="40"/>
  <c r="AD387" i="40"/>
  <c r="AD386" i="40"/>
  <c r="AD385" i="40"/>
  <c r="AD384" i="40"/>
  <c r="AD383" i="40"/>
  <c r="AB383" i="40" s="1"/>
  <c r="AD382" i="40"/>
  <c r="AD381" i="40"/>
  <c r="AD380" i="40"/>
  <c r="AB380" i="40" s="1"/>
  <c r="AD379" i="40"/>
  <c r="AD378" i="40"/>
  <c r="AD377" i="40"/>
  <c r="AD376" i="40"/>
  <c r="AB376" i="40" s="1"/>
  <c r="AD375" i="40"/>
  <c r="AD374" i="40"/>
  <c r="AD373" i="40"/>
  <c r="AD372" i="40"/>
  <c r="AD371" i="40"/>
  <c r="AD370" i="40"/>
  <c r="Y387" i="40"/>
  <c r="X387" i="40"/>
  <c r="Y386" i="40"/>
  <c r="X386" i="40"/>
  <c r="Y385" i="40"/>
  <c r="X385" i="40"/>
  <c r="Y384" i="40"/>
  <c r="X384" i="40"/>
  <c r="X383" i="40"/>
  <c r="X382" i="40"/>
  <c r="X381" i="40"/>
  <c r="X380" i="40"/>
  <c r="X379" i="40"/>
  <c r="X378" i="40"/>
  <c r="AA382" i="40"/>
  <c r="AA381" i="40"/>
  <c r="AA380" i="40"/>
  <c r="AA379" i="40"/>
  <c r="AA378" i="40"/>
  <c r="AA377" i="40"/>
  <c r="AA376" i="40"/>
  <c r="AA375" i="40"/>
  <c r="AA374" i="40"/>
  <c r="AA373" i="40"/>
  <c r="AA372" i="40"/>
  <c r="AA371" i="40"/>
  <c r="Y380" i="40"/>
  <c r="W379" i="40"/>
  <c r="Y377" i="40"/>
  <c r="X376" i="40"/>
  <c r="X375" i="40"/>
  <c r="X374" i="40"/>
  <c r="X373" i="40"/>
  <c r="X372" i="40"/>
  <c r="X371" i="40"/>
  <c r="X370" i="40"/>
  <c r="T370" i="40" s="1"/>
  <c r="Y375" i="40"/>
  <c r="Y371" i="40"/>
  <c r="AA369" i="40"/>
  <c r="T369" i="40" s="1"/>
  <c r="AA368" i="40"/>
  <c r="W368" i="40"/>
  <c r="AD367" i="40"/>
  <c r="AB367" i="40" s="1"/>
  <c r="AD366" i="40"/>
  <c r="AB366" i="40" s="1"/>
  <c r="AD365" i="40"/>
  <c r="X367" i="40"/>
  <c r="AA366" i="40"/>
  <c r="W366" i="40"/>
  <c r="X365" i="40"/>
  <c r="T365" i="40" s="1"/>
  <c r="Z364" i="40"/>
  <c r="V364" i="40"/>
  <c r="V363" i="40"/>
  <c r="T363" i="40" s="1"/>
  <c r="Z362" i="40"/>
  <c r="T362" i="40" s="1"/>
  <c r="AD361" i="40"/>
  <c r="AB361" i="40" s="1"/>
  <c r="AD360" i="40"/>
  <c r="Y361" i="40"/>
  <c r="X361" i="40"/>
  <c r="X360" i="40"/>
  <c r="AA359" i="40"/>
  <c r="T359" i="40" s="1"/>
  <c r="AA358" i="40"/>
  <c r="T358" i="40" s="1"/>
  <c r="AD357" i="40"/>
  <c r="T357" i="40" s="1"/>
  <c r="AD356" i="40"/>
  <c r="X356" i="40"/>
  <c r="X355" i="40"/>
  <c r="X354" i="40"/>
  <c r="AA355" i="40"/>
  <c r="Z355" i="40"/>
  <c r="W355" i="40"/>
  <c r="W354" i="40"/>
  <c r="AD354" i="40"/>
  <c r="AA354" i="40"/>
  <c r="Z353" i="40"/>
  <c r="T353" i="40" s="1"/>
  <c r="AA352" i="40"/>
  <c r="T352" i="40" s="1"/>
  <c r="AA351" i="40"/>
  <c r="AD351" i="40"/>
  <c r="AB351" i="40" s="1"/>
  <c r="AD350" i="40"/>
  <c r="AD349" i="40"/>
  <c r="AD348" i="40"/>
  <c r="AB348" i="40" s="1"/>
  <c r="X351" i="40"/>
  <c r="AA348" i="40"/>
  <c r="X348" i="40"/>
  <c r="AD346" i="40"/>
  <c r="AD345" i="40"/>
  <c r="Y346" i="40"/>
  <c r="Y345" i="40"/>
  <c r="AA344" i="40"/>
  <c r="Z344" i="40"/>
  <c r="AD343" i="40"/>
  <c r="AD342" i="40"/>
  <c r="Y343" i="40"/>
  <c r="X343" i="40"/>
  <c r="Z342" i="40"/>
  <c r="Y342" i="40"/>
  <c r="X342" i="40"/>
  <c r="AA341" i="40"/>
  <c r="Z341" i="40"/>
  <c r="AD340" i="40"/>
  <c r="Y340" i="40"/>
  <c r="AA339" i="40"/>
  <c r="T339" i="40" s="1"/>
  <c r="AD338" i="40"/>
  <c r="T338" i="40" s="1"/>
  <c r="AA337" i="40"/>
  <c r="T337" i="40" s="1"/>
  <c r="AD336" i="40"/>
  <c r="AD335" i="40"/>
  <c r="AD334" i="40"/>
  <c r="AB334" i="40" s="1"/>
  <c r="Z336" i="40"/>
  <c r="Y336" i="40"/>
  <c r="X336" i="40"/>
  <c r="X335" i="40"/>
  <c r="X334" i="40"/>
  <c r="AA334" i="40"/>
  <c r="V333" i="40"/>
  <c r="T333" i="40" s="1"/>
  <c r="AA332" i="40"/>
  <c r="T332" i="40" s="1"/>
  <c r="Z331" i="40"/>
  <c r="T331" i="40" s="1"/>
  <c r="AD330" i="40"/>
  <c r="T330" i="40" s="1"/>
  <c r="AD329" i="40"/>
  <c r="AD328" i="40"/>
  <c r="AD327" i="40"/>
  <c r="AD326" i="40"/>
  <c r="AD325" i="40"/>
  <c r="T325" i="40" s="1"/>
  <c r="AD324" i="40"/>
  <c r="AB324" i="40" s="1"/>
  <c r="X329" i="40"/>
  <c r="X328" i="40"/>
  <c r="X326" i="40"/>
  <c r="Z324" i="40"/>
  <c r="T324" i="40" s="1"/>
  <c r="W323" i="40"/>
  <c r="T323" i="40" s="1"/>
  <c r="AD322" i="40"/>
  <c r="AB322" i="40" s="1"/>
  <c r="AD321" i="40"/>
  <c r="AB321" i="40" s="1"/>
  <c r="AD320" i="40"/>
  <c r="AA322" i="40"/>
  <c r="AA321" i="40"/>
  <c r="X322" i="40"/>
  <c r="X321" i="40"/>
  <c r="X320" i="40"/>
  <c r="Y320" i="40"/>
  <c r="AA319" i="40"/>
  <c r="T319" i="40" s="1"/>
  <c r="AA318" i="40"/>
  <c r="AA317" i="40"/>
  <c r="AD318" i="40"/>
  <c r="AB318" i="40" s="1"/>
  <c r="AD317" i="40"/>
  <c r="AD316" i="40"/>
  <c r="X318" i="40"/>
  <c r="Z317" i="40"/>
  <c r="X316" i="40"/>
  <c r="V315" i="40"/>
  <c r="T315" i="40" s="1"/>
  <c r="Z314" i="40"/>
  <c r="T314" i="40" s="1"/>
  <c r="Z313" i="40"/>
  <c r="T313" i="40" s="1"/>
  <c r="AA312" i="40"/>
  <c r="W312" i="40"/>
  <c r="AD311" i="40"/>
  <c r="Y311" i="40"/>
  <c r="X311" i="40"/>
  <c r="AA310" i="40"/>
  <c r="T310" i="40" s="1"/>
  <c r="Z309" i="40"/>
  <c r="T309" i="40" s="1"/>
  <c r="AA308" i="40"/>
  <c r="W308" i="40"/>
  <c r="Z307" i="40"/>
  <c r="T307" i="40" s="1"/>
  <c r="AD306" i="40"/>
  <c r="AD305" i="40"/>
  <c r="AD304" i="40"/>
  <c r="AD303" i="40"/>
  <c r="T303" i="40" s="1"/>
  <c r="AD302" i="40"/>
  <c r="X306" i="40"/>
  <c r="X305" i="40"/>
  <c r="X304" i="40"/>
  <c r="AA305" i="40"/>
  <c r="X302" i="40"/>
  <c r="Z301" i="40"/>
  <c r="W301" i="40"/>
  <c r="AD300" i="40"/>
  <c r="AB300" i="40" s="1"/>
  <c r="X300" i="40"/>
  <c r="AA299" i="40"/>
  <c r="T299" i="40" s="1"/>
  <c r="Z298" i="40"/>
  <c r="V298" i="40"/>
  <c r="AD297" i="40"/>
  <c r="AB297" i="40" s="1"/>
  <c r="AD296" i="40"/>
  <c r="AB296" i="40" s="1"/>
  <c r="AD295" i="40"/>
  <c r="AD294" i="40"/>
  <c r="T294" i="40" s="1"/>
  <c r="AD293" i="40"/>
  <c r="AB293" i="40" s="1"/>
  <c r="AD292" i="40"/>
  <c r="AD291" i="40"/>
  <c r="X297" i="40"/>
  <c r="X296" i="40"/>
  <c r="Y296" i="40"/>
  <c r="AA295" i="40"/>
  <c r="T295" i="40" s="1"/>
  <c r="Z293" i="40"/>
  <c r="X292" i="40"/>
  <c r="X291" i="40"/>
  <c r="V290" i="40"/>
  <c r="T290" i="40" s="1"/>
  <c r="AD289" i="40"/>
  <c r="AD288" i="40"/>
  <c r="AB288" i="40" s="1"/>
  <c r="AA289" i="40"/>
  <c r="Z289" i="40"/>
  <c r="Y289" i="40"/>
  <c r="X288" i="40"/>
  <c r="T288" i="40" s="1"/>
  <c r="Z287" i="40"/>
  <c r="T287" i="40" s="1"/>
  <c r="Z286" i="40"/>
  <c r="T286" i="40" s="1"/>
  <c r="AD285" i="40"/>
  <c r="T285" i="40" s="1"/>
  <c r="Z284" i="40"/>
  <c r="V284" i="40"/>
  <c r="AD283" i="40"/>
  <c r="AA283" i="40"/>
  <c r="X283" i="40"/>
  <c r="Z282" i="40"/>
  <c r="T282" i="40" s="1"/>
  <c r="Z281" i="40"/>
  <c r="Z280" i="40"/>
  <c r="AA281" i="40"/>
  <c r="AD280" i="40"/>
  <c r="AB280" i="40" s="1"/>
  <c r="Y280" i="40"/>
  <c r="V280" i="40"/>
  <c r="AA279" i="40"/>
  <c r="T279" i="40" s="1"/>
  <c r="AA278" i="40"/>
  <c r="Z278" i="40"/>
  <c r="AD277" i="40"/>
  <c r="T277" i="40" s="1"/>
  <c r="AD276" i="40"/>
  <c r="AB276" i="40" s="1"/>
  <c r="AD275" i="40"/>
  <c r="AD274" i="40"/>
  <c r="T274" i="40" s="1"/>
  <c r="X276" i="40"/>
  <c r="Y275" i="40"/>
  <c r="Z273" i="40"/>
  <c r="Z272" i="40"/>
  <c r="Z271" i="40"/>
  <c r="Z270" i="40"/>
  <c r="Z269" i="40"/>
  <c r="V273" i="40"/>
  <c r="AA272" i="40"/>
  <c r="AA271" i="40"/>
  <c r="V272" i="40"/>
  <c r="V271" i="40"/>
  <c r="V270" i="40"/>
  <c r="W271" i="40"/>
  <c r="AD270" i="40"/>
  <c r="AB270" i="40" s="1"/>
  <c r="AD269" i="40"/>
  <c r="AB269" i="40" s="1"/>
  <c r="AD268" i="40"/>
  <c r="T268" i="40" s="1"/>
  <c r="AD267" i="40"/>
  <c r="T267" i="40" s="1"/>
  <c r="Y270" i="40"/>
  <c r="AA269" i="40"/>
  <c r="X269" i="40"/>
  <c r="W269" i="40"/>
  <c r="AA266" i="40"/>
  <c r="T266" i="40" s="1"/>
  <c r="AD265" i="40"/>
  <c r="AD264" i="40"/>
  <c r="AB264" i="40" s="1"/>
  <c r="AD263" i="40"/>
  <c r="X264" i="40"/>
  <c r="X263" i="40"/>
  <c r="Y263" i="40"/>
  <c r="Z262" i="40"/>
  <c r="T262" i="40" s="1"/>
  <c r="AD261" i="40"/>
  <c r="AD260" i="40"/>
  <c r="Y261" i="40"/>
  <c r="X261" i="40"/>
  <c r="Y260" i="40"/>
  <c r="X260" i="40"/>
  <c r="Z259" i="40"/>
  <c r="T259" i="40" s="1"/>
  <c r="AD258" i="40"/>
  <c r="AD257" i="40"/>
  <c r="AA258" i="40"/>
  <c r="AA257" i="40"/>
  <c r="AA256" i="40"/>
  <c r="AA255" i="40"/>
  <c r="AA254" i="40"/>
  <c r="X258" i="40"/>
  <c r="X257" i="40"/>
  <c r="Y257" i="40"/>
  <c r="W256" i="40"/>
  <c r="AD255" i="40"/>
  <c r="AD254" i="40"/>
  <c r="AB254" i="40" s="1"/>
  <c r="Z255" i="40"/>
  <c r="Y255" i="40"/>
  <c r="X255" i="40"/>
  <c r="Z254" i="40"/>
  <c r="Z253" i="40"/>
  <c r="T253" i="40" s="1"/>
  <c r="AD252" i="40"/>
  <c r="T252" i="40" s="1"/>
  <c r="AD251" i="40"/>
  <c r="T251" i="40" s="1"/>
  <c r="AD250" i="40"/>
  <c r="AD249" i="40"/>
  <c r="T249" i="40" s="1"/>
  <c r="X250" i="40"/>
  <c r="AA248" i="40"/>
  <c r="W248" i="40"/>
  <c r="AD247" i="40"/>
  <c r="T247" i="40" s="1"/>
  <c r="AD246" i="40"/>
  <c r="AD245" i="40"/>
  <c r="AD244" i="40"/>
  <c r="T244" i="40" s="1"/>
  <c r="AD243" i="40"/>
  <c r="AD242" i="40"/>
  <c r="AD241" i="40"/>
  <c r="AD240" i="40"/>
  <c r="AD239" i="40"/>
  <c r="T239" i="40" s="1"/>
  <c r="AD238" i="40"/>
  <c r="T238" i="40" s="1"/>
  <c r="AA242" i="40"/>
  <c r="X242" i="40"/>
  <c r="AA237" i="40"/>
  <c r="T237" i="40" s="1"/>
  <c r="AD236" i="40"/>
  <c r="T236" i="40" s="1"/>
  <c r="AD235" i="40"/>
  <c r="AD234" i="40"/>
  <c r="T234" i="40" s="1"/>
  <c r="AD233" i="40"/>
  <c r="AD232" i="40"/>
  <c r="AD231" i="40"/>
  <c r="AD230" i="40"/>
  <c r="AD229" i="40"/>
  <c r="AB229" i="40" s="1"/>
  <c r="AD228" i="40"/>
  <c r="AD227" i="40"/>
  <c r="AD226" i="40"/>
  <c r="Y235" i="40"/>
  <c r="X235" i="40"/>
  <c r="Y233" i="40"/>
  <c r="X233" i="40"/>
  <c r="AA232" i="40"/>
  <c r="X231" i="40"/>
  <c r="X229" i="40"/>
  <c r="X228" i="40"/>
  <c r="X227" i="40"/>
  <c r="AA227" i="40"/>
  <c r="AA225" i="40"/>
  <c r="Z225" i="40"/>
  <c r="AD224" i="40"/>
  <c r="T224" i="40" s="1"/>
  <c r="AD223" i="40"/>
  <c r="Y223" i="40"/>
  <c r="X223" i="40"/>
  <c r="Z222" i="40"/>
  <c r="T222" i="40" s="1"/>
  <c r="Z221" i="40"/>
  <c r="T221" i="40" s="1"/>
  <c r="Z220" i="40"/>
  <c r="AA220" i="40"/>
  <c r="AD219" i="40"/>
  <c r="AD218" i="40"/>
  <c r="AD217" i="40"/>
  <c r="T217" i="40" s="1"/>
  <c r="AD216" i="40"/>
  <c r="AB216" i="40" s="1"/>
  <c r="AD215" i="40"/>
  <c r="T215" i="40" s="1"/>
  <c r="AD214" i="40"/>
  <c r="AB214" i="40" s="1"/>
  <c r="AD213" i="40"/>
  <c r="AD212" i="40"/>
  <c r="AB212" i="40" s="1"/>
  <c r="AD211" i="40"/>
  <c r="AD210" i="40"/>
  <c r="AD209" i="40"/>
  <c r="Y219" i="40"/>
  <c r="X219" i="40"/>
  <c r="T219" i="40" s="1"/>
  <c r="V218" i="40"/>
  <c r="T218" i="40" s="1"/>
  <c r="X216" i="40"/>
  <c r="Z214" i="40"/>
  <c r="Y214" i="40"/>
  <c r="V214" i="40"/>
  <c r="Y213" i="40"/>
  <c r="X213" i="40"/>
  <c r="X212" i="40"/>
  <c r="T212" i="40" s="1"/>
  <c r="AA211" i="40"/>
  <c r="W211" i="40"/>
  <c r="Z210" i="40"/>
  <c r="Z209" i="40"/>
  <c r="V210" i="40"/>
  <c r="V209" i="40"/>
  <c r="AA208" i="40"/>
  <c r="W208" i="40"/>
  <c r="T208" i="40" s="1"/>
  <c r="AD207" i="40"/>
  <c r="AB207" i="40" s="1"/>
  <c r="X207" i="40"/>
  <c r="W206" i="40"/>
  <c r="T206" i="40" s="1"/>
  <c r="AD205" i="40"/>
  <c r="AB205" i="40" s="1"/>
  <c r="AD204" i="40"/>
  <c r="Z205" i="40"/>
  <c r="X205" i="40"/>
  <c r="X204" i="40"/>
  <c r="AA203" i="40"/>
  <c r="Z203" i="40"/>
  <c r="W203" i="40"/>
  <c r="V203" i="40"/>
  <c r="AD202" i="40"/>
  <c r="AD201" i="40"/>
  <c r="T201" i="40" s="1"/>
  <c r="AD200" i="40"/>
  <c r="AD199" i="40"/>
  <c r="AD198" i="40"/>
  <c r="AD197" i="40"/>
  <c r="Z200" i="40"/>
  <c r="T200" i="40" s="1"/>
  <c r="X199" i="40"/>
  <c r="T199" i="40" s="1"/>
  <c r="X198" i="40"/>
  <c r="X197" i="40"/>
  <c r="X196" i="40"/>
  <c r="AA198" i="40"/>
  <c r="Y197" i="40"/>
  <c r="AA196" i="40"/>
  <c r="Z196" i="40"/>
  <c r="Z195" i="40"/>
  <c r="T195" i="40" s="1"/>
  <c r="AD194" i="40"/>
  <c r="AD193" i="40"/>
  <c r="AB193" i="40" s="1"/>
  <c r="AD192" i="40"/>
  <c r="AD191" i="40"/>
  <c r="T191" i="40" s="1"/>
  <c r="AD190" i="40"/>
  <c r="AB190" i="40" s="1"/>
  <c r="AD189" i="40"/>
  <c r="X194" i="40"/>
  <c r="Y193" i="40"/>
  <c r="Y192" i="40"/>
  <c r="AA190" i="40"/>
  <c r="X190" i="40"/>
  <c r="X189" i="40"/>
  <c r="Y189" i="40"/>
  <c r="W188" i="40"/>
  <c r="T188" i="40" s="1"/>
  <c r="Y187" i="40"/>
  <c r="T187" i="40" s="1"/>
  <c r="Z186" i="40"/>
  <c r="T186" i="40" s="1"/>
  <c r="Z185" i="40"/>
  <c r="AD185" i="40"/>
  <c r="AD184" i="40"/>
  <c r="AA185" i="40"/>
  <c r="Y185" i="40"/>
  <c r="X185" i="40"/>
  <c r="Y184" i="40"/>
  <c r="X184" i="40"/>
  <c r="T184" i="40" s="1"/>
  <c r="Y183" i="40"/>
  <c r="T183" i="40" s="1"/>
  <c r="V182" i="40"/>
  <c r="T182" i="40" s="1"/>
  <c r="AA181" i="40"/>
  <c r="Z181" i="40"/>
  <c r="T181" i="40" s="1"/>
  <c r="Y180" i="40"/>
  <c r="T180" i="40" s="1"/>
  <c r="AA179" i="40"/>
  <c r="T179" i="40" s="1"/>
  <c r="AA178" i="40"/>
  <c r="AA177" i="40"/>
  <c r="Z178" i="40"/>
  <c r="Z177" i="40"/>
  <c r="AD176" i="40"/>
  <c r="X176" i="40"/>
  <c r="T176" i="40" s="1"/>
  <c r="Z175" i="40"/>
  <c r="T175" i="40" s="1"/>
  <c r="AD174" i="40"/>
  <c r="AA174" i="40"/>
  <c r="Y174" i="40"/>
  <c r="Z173" i="40"/>
  <c r="T173" i="40" s="1"/>
  <c r="W172" i="40"/>
  <c r="T172" i="40" s="1"/>
  <c r="AD171" i="40"/>
  <c r="AB171" i="40" s="1"/>
  <c r="AA171" i="40"/>
  <c r="X171" i="40"/>
  <c r="Z170" i="40"/>
  <c r="T170" i="40" s="1"/>
  <c r="Z169" i="40"/>
  <c r="AA169" i="40"/>
  <c r="AD168" i="40"/>
  <c r="Z167" i="40"/>
  <c r="T167" i="40" s="1"/>
  <c r="Z166" i="40"/>
  <c r="AA166" i="40"/>
  <c r="AD165" i="40"/>
  <c r="AD164" i="40"/>
  <c r="T164" i="40" s="1"/>
  <c r="X165" i="40"/>
  <c r="AA163" i="40"/>
  <c r="AA162" i="40"/>
  <c r="W163" i="40"/>
  <c r="W162" i="40"/>
  <c r="AD161" i="40"/>
  <c r="AB161" i="40" s="1"/>
  <c r="AD160" i="40"/>
  <c r="AB160" i="40" s="1"/>
  <c r="Z161" i="40"/>
  <c r="X160" i="40"/>
  <c r="Y159" i="40"/>
  <c r="T159" i="40" s="1"/>
  <c r="AA158" i="40"/>
  <c r="T158" i="40" s="1"/>
  <c r="AD157" i="40"/>
  <c r="AD156" i="40"/>
  <c r="AD155" i="40"/>
  <c r="AD154" i="40"/>
  <c r="AD153" i="40"/>
  <c r="Z157" i="40"/>
  <c r="Z156" i="40"/>
  <c r="Z155" i="40"/>
  <c r="AA156" i="40"/>
  <c r="V156" i="40"/>
  <c r="X155" i="40"/>
  <c r="X154" i="40"/>
  <c r="X153" i="40"/>
  <c r="Y154" i="40"/>
  <c r="Y153" i="40"/>
  <c r="AA152" i="40"/>
  <c r="Z152" i="40"/>
  <c r="W152" i="40"/>
  <c r="AD151" i="40"/>
  <c r="AD150" i="40"/>
  <c r="AB150" i="40" s="1"/>
  <c r="AA151" i="40"/>
  <c r="Y151" i="40"/>
  <c r="Y150" i="40"/>
  <c r="Z149" i="40"/>
  <c r="T149" i="40" s="1"/>
  <c r="AD148" i="40"/>
  <c r="AD147" i="40"/>
  <c r="AD146" i="40"/>
  <c r="AD145" i="40"/>
  <c r="AA148" i="40"/>
  <c r="X148" i="40"/>
  <c r="W148" i="40"/>
  <c r="Y147" i="40"/>
  <c r="X147" i="40"/>
  <c r="Y146" i="40"/>
  <c r="AA145" i="40"/>
  <c r="Z144" i="40"/>
  <c r="T144" i="40" s="1"/>
  <c r="AA143" i="40"/>
  <c r="T143" i="40" s="1"/>
  <c r="AD142" i="40"/>
  <c r="AB142" i="40" s="1"/>
  <c r="X142" i="40"/>
  <c r="T142" i="40" s="1"/>
  <c r="X141" i="40"/>
  <c r="AA141" i="40"/>
  <c r="Z141" i="40"/>
  <c r="AD140" i="40"/>
  <c r="AD139" i="40"/>
  <c r="AB139" i="40" s="1"/>
  <c r="AD138" i="40"/>
  <c r="X139" i="40"/>
  <c r="X138" i="40"/>
  <c r="Y138" i="40"/>
  <c r="AA137" i="40"/>
  <c r="Z137" i="40"/>
  <c r="AA136" i="40"/>
  <c r="Z136" i="40"/>
  <c r="V135" i="40"/>
  <c r="T135" i="40" s="1"/>
  <c r="AD134" i="40"/>
  <c r="T134" i="40" s="1"/>
  <c r="AD133" i="40"/>
  <c r="AD132" i="40"/>
  <c r="AD131" i="40"/>
  <c r="AD130" i="40"/>
  <c r="AD129" i="40"/>
  <c r="AA133" i="40"/>
  <c r="Z133" i="40"/>
  <c r="AA132" i="40"/>
  <c r="Y132" i="40"/>
  <c r="X131" i="40"/>
  <c r="X130" i="40"/>
  <c r="X129" i="40"/>
  <c r="Y130" i="40"/>
  <c r="AA128" i="40"/>
  <c r="T128" i="40" s="1"/>
  <c r="AD127" i="40"/>
  <c r="T127" i="40" s="1"/>
  <c r="AD126" i="40"/>
  <c r="AD125" i="40"/>
  <c r="AD124" i="40"/>
  <c r="T124" i="40" s="1"/>
  <c r="AD123" i="40"/>
  <c r="Y126" i="40"/>
  <c r="X126" i="40"/>
  <c r="T126" i="40" s="1"/>
  <c r="Y125" i="40"/>
  <c r="X125" i="40"/>
  <c r="Z123" i="40"/>
  <c r="Y123" i="40"/>
  <c r="X123" i="40"/>
  <c r="Y122" i="40"/>
  <c r="T122" i="40" s="1"/>
  <c r="AA121" i="40"/>
  <c r="T121" i="40" s="1"/>
  <c r="W120" i="40"/>
  <c r="T120" i="40" s="1"/>
  <c r="AD119" i="40"/>
  <c r="X119" i="40"/>
  <c r="X118" i="40"/>
  <c r="AA118" i="40"/>
  <c r="Z118" i="40"/>
  <c r="V117" i="40"/>
  <c r="T117" i="40" s="1"/>
  <c r="Y116" i="40"/>
  <c r="T116" i="40" s="1"/>
  <c r="AA115" i="40"/>
  <c r="Z115" i="40"/>
  <c r="X115" i="40"/>
  <c r="AA114" i="40"/>
  <c r="T114" i="40" s="1"/>
  <c r="AD113" i="40"/>
  <c r="AD112" i="40"/>
  <c r="T112" i="40" s="1"/>
  <c r="AD111" i="40"/>
  <c r="AD110" i="40"/>
  <c r="Y113" i="40"/>
  <c r="T113" i="40" s="1"/>
  <c r="X111" i="40"/>
  <c r="X110" i="40"/>
  <c r="X109" i="40"/>
  <c r="Y110" i="40"/>
  <c r="AA109" i="40"/>
  <c r="Z108" i="40"/>
  <c r="T108" i="40" s="1"/>
  <c r="V107" i="40"/>
  <c r="T107" i="40" s="1"/>
  <c r="Z106" i="40"/>
  <c r="T106" i="40" s="1"/>
  <c r="AD104" i="40"/>
  <c r="AB104" i="40" s="1"/>
  <c r="AA104" i="40"/>
  <c r="Z104" i="40"/>
  <c r="Y104" i="40"/>
  <c r="X104" i="40"/>
  <c r="V104" i="40"/>
  <c r="V103" i="40"/>
  <c r="Z103" i="40"/>
  <c r="AD102" i="40"/>
  <c r="AD101" i="40"/>
  <c r="AD100" i="40"/>
  <c r="AD99" i="40"/>
  <c r="X102" i="40"/>
  <c r="T102" i="40" s="1"/>
  <c r="X101" i="40"/>
  <c r="T101" i="40" s="1"/>
  <c r="X100" i="40"/>
  <c r="X99" i="40"/>
  <c r="T99" i="40" s="1"/>
  <c r="Y100" i="40"/>
  <c r="W98" i="40"/>
  <c r="V98" i="40"/>
  <c r="AD97" i="40"/>
  <c r="AA98" i="40"/>
  <c r="Z98" i="40"/>
  <c r="AA97" i="40"/>
  <c r="Z97" i="40"/>
  <c r="X97" i="40"/>
  <c r="W97" i="40"/>
  <c r="V97" i="40"/>
  <c r="Z96" i="40"/>
  <c r="V96" i="40"/>
  <c r="V95" i="40"/>
  <c r="T95" i="40" s="1"/>
  <c r="AD94" i="40"/>
  <c r="AD93" i="40"/>
  <c r="AB93" i="40" s="1"/>
  <c r="Y94" i="40"/>
  <c r="X93" i="40"/>
  <c r="Z92" i="40"/>
  <c r="Z91" i="40"/>
  <c r="V92" i="40"/>
  <c r="V91" i="40"/>
  <c r="AA91" i="40"/>
  <c r="AA90" i="40"/>
  <c r="AD90" i="40"/>
  <c r="AD89" i="40"/>
  <c r="AB89" i="40" s="1"/>
  <c r="AD88" i="40"/>
  <c r="AB88" i="40" s="1"/>
  <c r="X91" i="40"/>
  <c r="W91" i="40"/>
  <c r="X90" i="40"/>
  <c r="W90" i="40"/>
  <c r="Y89" i="40"/>
  <c r="X89" i="40"/>
  <c r="X88" i="40"/>
  <c r="AA87" i="40"/>
  <c r="Z87" i="40"/>
  <c r="W87" i="40"/>
  <c r="V87" i="40"/>
  <c r="V86" i="40"/>
  <c r="T86" i="40" s="1"/>
  <c r="AD85" i="40"/>
  <c r="AD84" i="40"/>
  <c r="AD83" i="40"/>
  <c r="Y85" i="40"/>
  <c r="X85" i="40"/>
  <c r="T85" i="40" s="1"/>
  <c r="X84" i="40"/>
  <c r="T84" i="40" s="1"/>
  <c r="Z83" i="40"/>
  <c r="Y83" i="40"/>
  <c r="AA82" i="40"/>
  <c r="Z82" i="40"/>
  <c r="Z81" i="40"/>
  <c r="V81" i="40"/>
  <c r="AD80" i="40"/>
  <c r="AB80" i="40" s="1"/>
  <c r="Y80" i="40"/>
  <c r="X80" i="40"/>
  <c r="W79" i="40"/>
  <c r="T79" i="40" s="1"/>
  <c r="AD78" i="40"/>
  <c r="AD77" i="40"/>
  <c r="AD76" i="40"/>
  <c r="AD75" i="40"/>
  <c r="AA78" i="40"/>
  <c r="Z78" i="40"/>
  <c r="AA77" i="40"/>
  <c r="Z77" i="40"/>
  <c r="AA74" i="40"/>
  <c r="Z74" i="40"/>
  <c r="AD73" i="40"/>
  <c r="Y73" i="40"/>
  <c r="AA72" i="40"/>
  <c r="T72" i="40" s="1"/>
  <c r="W71" i="40"/>
  <c r="T71" i="40" s="1"/>
  <c r="AD70" i="40"/>
  <c r="AA70" i="40"/>
  <c r="AA69" i="40"/>
  <c r="AA68" i="40"/>
  <c r="Y69" i="40"/>
  <c r="AD68" i="40"/>
  <c r="Z67" i="40"/>
  <c r="T67" i="40" s="1"/>
  <c r="W66" i="40"/>
  <c r="T66" i="40" s="1"/>
  <c r="W65" i="40"/>
  <c r="AA65" i="40"/>
  <c r="AA64" i="40"/>
  <c r="AD64" i="40"/>
  <c r="AD63" i="40"/>
  <c r="AB63" i="40" s="1"/>
  <c r="X64" i="40"/>
  <c r="X63" i="40"/>
  <c r="AD61" i="40"/>
  <c r="Y61" i="40"/>
  <c r="X61" i="40"/>
  <c r="V60" i="40"/>
  <c r="T60" i="40" s="1"/>
  <c r="AA59" i="40"/>
  <c r="T59" i="40" s="1"/>
  <c r="Z58" i="40"/>
  <c r="Z57" i="40"/>
  <c r="W58" i="40"/>
  <c r="V57" i="40"/>
  <c r="AD56" i="40"/>
  <c r="AD55" i="40"/>
  <c r="AD54" i="40"/>
  <c r="AD53" i="40"/>
  <c r="T53" i="40" s="1"/>
  <c r="AD52" i="40"/>
  <c r="X56" i="40"/>
  <c r="X55" i="40"/>
  <c r="T55" i="40" s="1"/>
  <c r="X54" i="40"/>
  <c r="Y54" i="40"/>
  <c r="Z52" i="40"/>
  <c r="X52" i="40"/>
  <c r="V51" i="40"/>
  <c r="T51" i="40" s="1"/>
  <c r="AD50" i="40"/>
  <c r="AD49" i="40"/>
  <c r="AB49" i="40" s="1"/>
  <c r="AD48" i="40"/>
  <c r="AD47" i="40"/>
  <c r="AD46" i="40"/>
  <c r="AB46" i="40" s="1"/>
  <c r="Y50" i="40"/>
  <c r="X50" i="40"/>
  <c r="X49" i="40"/>
  <c r="X48" i="40"/>
  <c r="X47" i="40"/>
  <c r="X46" i="40"/>
  <c r="Y48" i="40"/>
  <c r="Y47" i="40"/>
  <c r="AA47" i="40"/>
  <c r="Z45" i="40"/>
  <c r="T45" i="40" s="1"/>
  <c r="AA44" i="40"/>
  <c r="T44" i="40" s="1"/>
  <c r="AD43" i="40"/>
  <c r="AB43" i="40" s="1"/>
  <c r="X43" i="40"/>
  <c r="V42" i="40"/>
  <c r="T42" i="40" s="1"/>
  <c r="AD41" i="40"/>
  <c r="AD40" i="40"/>
  <c r="AD39" i="40"/>
  <c r="X41" i="40"/>
  <c r="X40" i="40"/>
  <c r="X39" i="40"/>
  <c r="Z39" i="40"/>
  <c r="V38" i="40"/>
  <c r="T38" i="40" s="1"/>
  <c r="AD37" i="40"/>
  <c r="AA37" i="40"/>
  <c r="Y37" i="40"/>
  <c r="X37" i="40"/>
  <c r="Z36" i="40"/>
  <c r="V36" i="40"/>
  <c r="AD35" i="40"/>
  <c r="AB35" i="40" s="1"/>
  <c r="Y35" i="40"/>
  <c r="X35" i="40"/>
  <c r="Z34" i="40"/>
  <c r="T34" i="40" s="1"/>
  <c r="AD33" i="40"/>
  <c r="AD32" i="40"/>
  <c r="Z32" i="40"/>
  <c r="AA31" i="40"/>
  <c r="T31" i="40" s="1"/>
  <c r="Z30" i="40"/>
  <c r="T30" i="40" s="1"/>
  <c r="AA29" i="40"/>
  <c r="W29" i="40"/>
  <c r="AD28" i="40"/>
  <c r="AB28" i="40" s="1"/>
  <c r="Z28" i="40"/>
  <c r="Y28" i="40"/>
  <c r="X28" i="40"/>
  <c r="V28" i="40"/>
  <c r="V27" i="40"/>
  <c r="T27" i="40" s="1"/>
  <c r="Z26" i="40"/>
  <c r="T26" i="40" s="1"/>
  <c r="AA25" i="40"/>
  <c r="T25" i="40" s="1"/>
  <c r="V24" i="40"/>
  <c r="T24" i="40" s="1"/>
  <c r="V23" i="40"/>
  <c r="T23" i="40" s="1"/>
  <c r="V22" i="40"/>
  <c r="T22" i="40" s="1"/>
  <c r="Z21" i="40"/>
  <c r="T21" i="40" s="1"/>
  <c r="Z20" i="40"/>
  <c r="AD20" i="40"/>
  <c r="Y20" i="40"/>
  <c r="Y19" i="40"/>
  <c r="T19" i="40" s="1"/>
  <c r="Y18" i="40"/>
  <c r="T18" i="40" s="1"/>
  <c r="AD17" i="40"/>
  <c r="T17" i="40" s="1"/>
  <c r="AD16" i="40"/>
  <c r="AD15" i="40"/>
  <c r="T15" i="40" s="1"/>
  <c r="AD14" i="40"/>
  <c r="AD13" i="40"/>
  <c r="AB13" i="40" s="1"/>
  <c r="Y16" i="40"/>
  <c r="X16" i="40"/>
  <c r="AA14" i="40"/>
  <c r="T14" i="40" s="1"/>
  <c r="Z13" i="40"/>
  <c r="T13" i="40" s="1"/>
  <c r="AA12" i="40"/>
  <c r="T12" i="40" s="1"/>
  <c r="AD11" i="40"/>
  <c r="AD10" i="40"/>
  <c r="X11" i="40"/>
  <c r="Z10" i="40"/>
  <c r="AA9" i="40"/>
  <c r="T9" i="40" s="1"/>
  <c r="AA8" i="40"/>
  <c r="T8" i="40" s="1"/>
  <c r="AA7" i="40"/>
  <c r="T7" i="40" s="1"/>
  <c r="AD6" i="40"/>
  <c r="AD5" i="40"/>
  <c r="AB5" i="40" s="1"/>
  <c r="X6" i="40"/>
  <c r="W5" i="40"/>
  <c r="Z4" i="40"/>
  <c r="V4" i="40"/>
  <c r="AD3" i="40"/>
  <c r="X3" i="40"/>
  <c r="FK9" i="40" l="1"/>
  <c r="FL9" i="40" s="1"/>
  <c r="FF9" i="40"/>
  <c r="FG9" i="40" s="1"/>
  <c r="EV9" i="40"/>
  <c r="EW9" i="40" s="1"/>
  <c r="FA9" i="40"/>
  <c r="FB9" i="40" s="1"/>
  <c r="EQ9" i="40"/>
  <c r="ER9" i="40" s="1"/>
  <c r="EG9" i="40"/>
  <c r="EH9" i="40" s="1"/>
  <c r="EL9" i="40"/>
  <c r="EM9" i="40" s="1"/>
  <c r="FP9" i="40"/>
  <c r="FQ9" i="40" s="1"/>
  <c r="EB9" i="40"/>
  <c r="EC9" i="40" s="1"/>
  <c r="FK21" i="40"/>
  <c r="FL21" i="40" s="1"/>
  <c r="FF21" i="40"/>
  <c r="FG21" i="40" s="1"/>
  <c r="EV21" i="40"/>
  <c r="EW21" i="40" s="1"/>
  <c r="FA21" i="40"/>
  <c r="FB21" i="40" s="1"/>
  <c r="EQ21" i="40"/>
  <c r="ER21" i="40" s="1"/>
  <c r="EG21" i="40"/>
  <c r="EH21" i="40" s="1"/>
  <c r="EL21" i="40"/>
  <c r="EM21" i="40" s="1"/>
  <c r="FP21" i="40"/>
  <c r="FQ21" i="40" s="1"/>
  <c r="EB21" i="40"/>
  <c r="EC21" i="40" s="1"/>
  <c r="FK26" i="40"/>
  <c r="FL26" i="40" s="1"/>
  <c r="FF26" i="40"/>
  <c r="FG26" i="40" s="1"/>
  <c r="FA26" i="40"/>
  <c r="FB26" i="40" s="1"/>
  <c r="EV26" i="40"/>
  <c r="EW26" i="40" s="1"/>
  <c r="EQ26" i="40"/>
  <c r="ER26" i="40" s="1"/>
  <c r="EL26" i="40"/>
  <c r="EM26" i="40" s="1"/>
  <c r="EG26" i="40"/>
  <c r="EH26" i="40" s="1"/>
  <c r="FP26" i="40"/>
  <c r="FQ26" i="40" s="1"/>
  <c r="EB26" i="40"/>
  <c r="EC26" i="40" s="1"/>
  <c r="FK42" i="40"/>
  <c r="FL42" i="40" s="1"/>
  <c r="FF42" i="40"/>
  <c r="FG42" i="40" s="1"/>
  <c r="FA42" i="40"/>
  <c r="FB42" i="40" s="1"/>
  <c r="EV42" i="40"/>
  <c r="EW42" i="40" s="1"/>
  <c r="EQ42" i="40"/>
  <c r="ER42" i="40" s="1"/>
  <c r="EL42" i="40"/>
  <c r="EM42" i="40" s="1"/>
  <c r="EG42" i="40"/>
  <c r="EH42" i="40" s="1"/>
  <c r="FP42" i="40"/>
  <c r="FQ42" i="40" s="1"/>
  <c r="EB42" i="40"/>
  <c r="EC42" i="40" s="1"/>
  <c r="FF55" i="40"/>
  <c r="FG55" i="40" s="1"/>
  <c r="FK55" i="40"/>
  <c r="FL55" i="40" s="1"/>
  <c r="FA55" i="40"/>
  <c r="FB55" i="40" s="1"/>
  <c r="EV55" i="40"/>
  <c r="EW55" i="40" s="1"/>
  <c r="EQ55" i="40"/>
  <c r="ER55" i="40" s="1"/>
  <c r="EL55" i="40"/>
  <c r="EM55" i="40" s="1"/>
  <c r="EG55" i="40"/>
  <c r="EH55" i="40" s="1"/>
  <c r="FP55" i="40"/>
  <c r="FQ55" i="40" s="1"/>
  <c r="EB55" i="40"/>
  <c r="EC55" i="40" s="1"/>
  <c r="FF67" i="40"/>
  <c r="FG67" i="40" s="1"/>
  <c r="FK67" i="40"/>
  <c r="FL67" i="40" s="1"/>
  <c r="FA67" i="40"/>
  <c r="FB67" i="40" s="1"/>
  <c r="EV67" i="40"/>
  <c r="EW67" i="40" s="1"/>
  <c r="EQ67" i="40"/>
  <c r="ER67" i="40" s="1"/>
  <c r="EL67" i="40"/>
  <c r="EM67" i="40" s="1"/>
  <c r="EG67" i="40"/>
  <c r="EH67" i="40" s="1"/>
  <c r="FP67" i="40"/>
  <c r="FQ67" i="40" s="1"/>
  <c r="EB67" i="40"/>
  <c r="EC67" i="40" s="1"/>
  <c r="FK85" i="40"/>
  <c r="FL85" i="40" s="1"/>
  <c r="FF85" i="40"/>
  <c r="FG85" i="40" s="1"/>
  <c r="EV85" i="40"/>
  <c r="EW85" i="40" s="1"/>
  <c r="FA85" i="40"/>
  <c r="FB85" i="40" s="1"/>
  <c r="EQ85" i="40"/>
  <c r="ER85" i="40" s="1"/>
  <c r="EL85" i="40"/>
  <c r="EM85" i="40" s="1"/>
  <c r="EG85" i="40"/>
  <c r="EH85" i="40" s="1"/>
  <c r="FP85" i="40"/>
  <c r="FQ85" i="40" s="1"/>
  <c r="EB85" i="40"/>
  <c r="EC85" i="40" s="1"/>
  <c r="FK106" i="40"/>
  <c r="FL106" i="40" s="1"/>
  <c r="FF106" i="40"/>
  <c r="FG106" i="40" s="1"/>
  <c r="FA106" i="40"/>
  <c r="FB106" i="40" s="1"/>
  <c r="EV106" i="40"/>
  <c r="EW106" i="40" s="1"/>
  <c r="EL106" i="40"/>
  <c r="EM106" i="40" s="1"/>
  <c r="EQ106" i="40"/>
  <c r="ER106" i="40" s="1"/>
  <c r="EG106" i="40"/>
  <c r="EH106" i="40" s="1"/>
  <c r="FP106" i="40"/>
  <c r="FQ106" i="40" s="1"/>
  <c r="EB106" i="40"/>
  <c r="EC106" i="40" s="1"/>
  <c r="FK120" i="40"/>
  <c r="FL120" i="40" s="1"/>
  <c r="FF120" i="40"/>
  <c r="FG120" i="40" s="1"/>
  <c r="FA120" i="40"/>
  <c r="FB120" i="40" s="1"/>
  <c r="EV120" i="40"/>
  <c r="EW120" i="40" s="1"/>
  <c r="EQ120" i="40"/>
  <c r="ER120" i="40" s="1"/>
  <c r="EL120" i="40"/>
  <c r="EM120" i="40" s="1"/>
  <c r="EG120" i="40"/>
  <c r="EH120" i="40" s="1"/>
  <c r="FP120" i="40"/>
  <c r="FQ120" i="40" s="1"/>
  <c r="EB120" i="40"/>
  <c r="EC120" i="40" s="1"/>
  <c r="FK142" i="40"/>
  <c r="FL142" i="40" s="1"/>
  <c r="FF142" i="40"/>
  <c r="FG142" i="40" s="1"/>
  <c r="FA142" i="40"/>
  <c r="FB142" i="40" s="1"/>
  <c r="EV142" i="40"/>
  <c r="EW142" i="40" s="1"/>
  <c r="EL142" i="40"/>
  <c r="EM142" i="40" s="1"/>
  <c r="EQ142" i="40"/>
  <c r="ER142" i="40" s="1"/>
  <c r="EG142" i="40"/>
  <c r="EH142" i="40" s="1"/>
  <c r="FP142" i="40"/>
  <c r="FQ142" i="40" s="1"/>
  <c r="EB142" i="40"/>
  <c r="EC142" i="40" s="1"/>
  <c r="FK176" i="40"/>
  <c r="FL176" i="40" s="1"/>
  <c r="FF176" i="40"/>
  <c r="FG176" i="40" s="1"/>
  <c r="FA176" i="40"/>
  <c r="FB176" i="40" s="1"/>
  <c r="EV176" i="40"/>
  <c r="EW176" i="40" s="1"/>
  <c r="EQ176" i="40"/>
  <c r="ER176" i="40" s="1"/>
  <c r="EL176" i="40"/>
  <c r="EM176" i="40" s="1"/>
  <c r="EG176" i="40"/>
  <c r="EH176" i="40" s="1"/>
  <c r="FP176" i="40"/>
  <c r="FQ176" i="40" s="1"/>
  <c r="EB176" i="40"/>
  <c r="EC176" i="40" s="1"/>
  <c r="FK181" i="40"/>
  <c r="FL181" i="40" s="1"/>
  <c r="FF181" i="40"/>
  <c r="FG181" i="40" s="1"/>
  <c r="EV181" i="40"/>
  <c r="EW181" i="40" s="1"/>
  <c r="FA181" i="40"/>
  <c r="FB181" i="40" s="1"/>
  <c r="EQ181" i="40"/>
  <c r="ER181" i="40" s="1"/>
  <c r="EL181" i="40"/>
  <c r="EM181" i="40" s="1"/>
  <c r="EG181" i="40"/>
  <c r="EH181" i="40" s="1"/>
  <c r="FP181" i="40"/>
  <c r="FQ181" i="40" s="1"/>
  <c r="EB181" i="40"/>
  <c r="EC181" i="40" s="1"/>
  <c r="FK184" i="40"/>
  <c r="FL184" i="40" s="1"/>
  <c r="FF184" i="40"/>
  <c r="FG184" i="40" s="1"/>
  <c r="FA184" i="40"/>
  <c r="FB184" i="40" s="1"/>
  <c r="EV184" i="40"/>
  <c r="EW184" i="40" s="1"/>
  <c r="EQ184" i="40"/>
  <c r="ER184" i="40" s="1"/>
  <c r="EL184" i="40"/>
  <c r="EM184" i="40" s="1"/>
  <c r="EG184" i="40"/>
  <c r="EH184" i="40" s="1"/>
  <c r="FP184" i="40"/>
  <c r="FQ184" i="40" s="1"/>
  <c r="EB184" i="40"/>
  <c r="EC184" i="40" s="1"/>
  <c r="FK186" i="40"/>
  <c r="FL186" i="40" s="1"/>
  <c r="FF186" i="40"/>
  <c r="FG186" i="40" s="1"/>
  <c r="FA186" i="40"/>
  <c r="FB186" i="40" s="1"/>
  <c r="EV186" i="40"/>
  <c r="EW186" i="40" s="1"/>
  <c r="EL186" i="40"/>
  <c r="EM186" i="40" s="1"/>
  <c r="EQ186" i="40"/>
  <c r="ER186" i="40" s="1"/>
  <c r="EG186" i="40"/>
  <c r="EH186" i="40" s="1"/>
  <c r="FP186" i="40"/>
  <c r="FQ186" i="40" s="1"/>
  <c r="EB186" i="40"/>
  <c r="EC186" i="40" s="1"/>
  <c r="FK191" i="40"/>
  <c r="FL191" i="40" s="1"/>
  <c r="FF191" i="40"/>
  <c r="FG191" i="40" s="1"/>
  <c r="FA191" i="40"/>
  <c r="FB191" i="40" s="1"/>
  <c r="EV191" i="40"/>
  <c r="EW191" i="40" s="1"/>
  <c r="EQ191" i="40"/>
  <c r="ER191" i="40" s="1"/>
  <c r="EL191" i="40"/>
  <c r="EM191" i="40" s="1"/>
  <c r="EG191" i="40"/>
  <c r="EH191" i="40" s="1"/>
  <c r="FP191" i="40"/>
  <c r="FQ191" i="40" s="1"/>
  <c r="EB191" i="40"/>
  <c r="EC191" i="40" s="1"/>
  <c r="FK195" i="40"/>
  <c r="FL195" i="40" s="1"/>
  <c r="FF195" i="40"/>
  <c r="FG195" i="40" s="1"/>
  <c r="FA195" i="40"/>
  <c r="FB195" i="40" s="1"/>
  <c r="EV195" i="40"/>
  <c r="EW195" i="40" s="1"/>
  <c r="EQ195" i="40"/>
  <c r="ER195" i="40" s="1"/>
  <c r="EL195" i="40"/>
  <c r="EM195" i="40" s="1"/>
  <c r="EG195" i="40"/>
  <c r="EH195" i="40" s="1"/>
  <c r="FP195" i="40"/>
  <c r="FQ195" i="40" s="1"/>
  <c r="EB195" i="40"/>
  <c r="EC195" i="40" s="1"/>
  <c r="FK199" i="40"/>
  <c r="FL199" i="40" s="1"/>
  <c r="FF199" i="40"/>
  <c r="FG199" i="40" s="1"/>
  <c r="FA199" i="40"/>
  <c r="FB199" i="40" s="1"/>
  <c r="EV199" i="40"/>
  <c r="EW199" i="40" s="1"/>
  <c r="EQ199" i="40"/>
  <c r="ER199" i="40" s="1"/>
  <c r="EL199" i="40"/>
  <c r="EM199" i="40" s="1"/>
  <c r="EG199" i="40"/>
  <c r="EH199" i="40" s="1"/>
  <c r="FP199" i="40"/>
  <c r="FQ199" i="40" s="1"/>
  <c r="EB199" i="40"/>
  <c r="EC199" i="40" s="1"/>
  <c r="FK208" i="40"/>
  <c r="FL208" i="40" s="1"/>
  <c r="FF208" i="40"/>
  <c r="FG208" i="40" s="1"/>
  <c r="FA208" i="40"/>
  <c r="FB208" i="40" s="1"/>
  <c r="EV208" i="40"/>
  <c r="EW208" i="40" s="1"/>
  <c r="EQ208" i="40"/>
  <c r="ER208" i="40" s="1"/>
  <c r="EL208" i="40"/>
  <c r="EM208" i="40" s="1"/>
  <c r="EG208" i="40"/>
  <c r="EH208" i="40" s="1"/>
  <c r="FP208" i="40"/>
  <c r="FQ208" i="40" s="1"/>
  <c r="EB208" i="40"/>
  <c r="EC208" i="40" s="1"/>
  <c r="FK212" i="40"/>
  <c r="FL212" i="40" s="1"/>
  <c r="FF212" i="40"/>
  <c r="FG212" i="40" s="1"/>
  <c r="FA212" i="40"/>
  <c r="FB212" i="40" s="1"/>
  <c r="EV212" i="40"/>
  <c r="EW212" i="40" s="1"/>
  <c r="EQ212" i="40"/>
  <c r="ER212" i="40" s="1"/>
  <c r="EL212" i="40"/>
  <c r="EM212" i="40" s="1"/>
  <c r="EG212" i="40"/>
  <c r="EH212" i="40" s="1"/>
  <c r="FP212" i="40"/>
  <c r="FQ212" i="40" s="1"/>
  <c r="EB212" i="40"/>
  <c r="EC212" i="40" s="1"/>
  <c r="FK219" i="40"/>
  <c r="FL219" i="40" s="1"/>
  <c r="FF219" i="40"/>
  <c r="FG219" i="40" s="1"/>
  <c r="FA219" i="40"/>
  <c r="FB219" i="40" s="1"/>
  <c r="EV219" i="40"/>
  <c r="EW219" i="40" s="1"/>
  <c r="EQ219" i="40"/>
  <c r="ER219" i="40" s="1"/>
  <c r="EL219" i="40"/>
  <c r="EM219" i="40" s="1"/>
  <c r="EG219" i="40"/>
  <c r="EH219" i="40" s="1"/>
  <c r="FP219" i="40"/>
  <c r="FQ219" i="40" s="1"/>
  <c r="EB219" i="40"/>
  <c r="EC219" i="40" s="1"/>
  <c r="FK215" i="40"/>
  <c r="FL215" i="40" s="1"/>
  <c r="FF215" i="40"/>
  <c r="FG215" i="40" s="1"/>
  <c r="FA215" i="40"/>
  <c r="FB215" i="40" s="1"/>
  <c r="EV215" i="40"/>
  <c r="EW215" i="40" s="1"/>
  <c r="EQ215" i="40"/>
  <c r="ER215" i="40" s="1"/>
  <c r="EL215" i="40"/>
  <c r="EM215" i="40" s="1"/>
  <c r="EG215" i="40"/>
  <c r="EH215" i="40" s="1"/>
  <c r="FP215" i="40"/>
  <c r="FQ215" i="40" s="1"/>
  <c r="EB215" i="40"/>
  <c r="EC215" i="40" s="1"/>
  <c r="FK222" i="40"/>
  <c r="FL222" i="40" s="1"/>
  <c r="FF222" i="40"/>
  <c r="FG222" i="40" s="1"/>
  <c r="FA222" i="40"/>
  <c r="FB222" i="40" s="1"/>
  <c r="EV222" i="40"/>
  <c r="EW222" i="40" s="1"/>
  <c r="EL222" i="40"/>
  <c r="EM222" i="40" s="1"/>
  <c r="EQ222" i="40"/>
  <c r="ER222" i="40" s="1"/>
  <c r="FP222" i="40"/>
  <c r="FQ222" i="40" s="1"/>
  <c r="EG222" i="40"/>
  <c r="EH222" i="40" s="1"/>
  <c r="EB222" i="40"/>
  <c r="EC222" i="40" s="1"/>
  <c r="FK224" i="40"/>
  <c r="FL224" i="40" s="1"/>
  <c r="FA224" i="40"/>
  <c r="FB224" i="40" s="1"/>
  <c r="FF224" i="40"/>
  <c r="FG224" i="40" s="1"/>
  <c r="EV224" i="40"/>
  <c r="EW224" i="40" s="1"/>
  <c r="EQ224" i="40"/>
  <c r="ER224" i="40" s="1"/>
  <c r="EL224" i="40"/>
  <c r="EM224" i="40" s="1"/>
  <c r="EG224" i="40"/>
  <c r="EH224" i="40" s="1"/>
  <c r="FP224" i="40"/>
  <c r="FQ224" i="40" s="1"/>
  <c r="EB224" i="40"/>
  <c r="EC224" i="40" s="1"/>
  <c r="FK237" i="40"/>
  <c r="FL237" i="40" s="1"/>
  <c r="FF237" i="40"/>
  <c r="FG237" i="40" s="1"/>
  <c r="FA237" i="40"/>
  <c r="FB237" i="40" s="1"/>
  <c r="EV237" i="40"/>
  <c r="EW237" i="40" s="1"/>
  <c r="EQ237" i="40"/>
  <c r="ER237" i="40" s="1"/>
  <c r="EL237" i="40"/>
  <c r="EM237" i="40" s="1"/>
  <c r="EG237" i="40"/>
  <c r="EH237" i="40" s="1"/>
  <c r="FP237" i="40"/>
  <c r="FQ237" i="40" s="1"/>
  <c r="EB237" i="40"/>
  <c r="EC237" i="40" s="1"/>
  <c r="FK239" i="40"/>
  <c r="FL239" i="40" s="1"/>
  <c r="FF239" i="40"/>
  <c r="FG239" i="40" s="1"/>
  <c r="FA239" i="40"/>
  <c r="FB239" i="40" s="1"/>
  <c r="EV239" i="40"/>
  <c r="EW239" i="40" s="1"/>
  <c r="EQ239" i="40"/>
  <c r="ER239" i="40" s="1"/>
  <c r="EL239" i="40"/>
  <c r="EM239" i="40" s="1"/>
  <c r="EG239" i="40"/>
  <c r="EH239" i="40" s="1"/>
  <c r="FP239" i="40"/>
  <c r="FQ239" i="40" s="1"/>
  <c r="EB239" i="40"/>
  <c r="EC239" i="40" s="1"/>
  <c r="FK247" i="40"/>
  <c r="FL247" i="40" s="1"/>
  <c r="FF247" i="40"/>
  <c r="FG247" i="40" s="1"/>
  <c r="FA247" i="40"/>
  <c r="FB247" i="40" s="1"/>
  <c r="EV247" i="40"/>
  <c r="EW247" i="40" s="1"/>
  <c r="EQ247" i="40"/>
  <c r="ER247" i="40" s="1"/>
  <c r="EL247" i="40"/>
  <c r="EM247" i="40" s="1"/>
  <c r="FP247" i="40"/>
  <c r="FQ247" i="40" s="1"/>
  <c r="EG247" i="40"/>
  <c r="EH247" i="40" s="1"/>
  <c r="EB247" i="40"/>
  <c r="EC247" i="40" s="1"/>
  <c r="FK249" i="40"/>
  <c r="FL249" i="40" s="1"/>
  <c r="FF249" i="40"/>
  <c r="FG249" i="40" s="1"/>
  <c r="FA249" i="40"/>
  <c r="FB249" i="40" s="1"/>
  <c r="EV249" i="40"/>
  <c r="EW249" i="40" s="1"/>
  <c r="EQ249" i="40"/>
  <c r="ER249" i="40" s="1"/>
  <c r="EL249" i="40"/>
  <c r="EM249" i="40" s="1"/>
  <c r="EG249" i="40"/>
  <c r="EH249" i="40" s="1"/>
  <c r="FP249" i="40"/>
  <c r="FQ249" i="40" s="1"/>
  <c r="EB249" i="40"/>
  <c r="EC249" i="40" s="1"/>
  <c r="FK253" i="40"/>
  <c r="FL253" i="40" s="1"/>
  <c r="FF253" i="40"/>
  <c r="FG253" i="40" s="1"/>
  <c r="FA253" i="40"/>
  <c r="FB253" i="40" s="1"/>
  <c r="EV253" i="40"/>
  <c r="EW253" i="40" s="1"/>
  <c r="EQ253" i="40"/>
  <c r="ER253" i="40" s="1"/>
  <c r="EL253" i="40"/>
  <c r="EM253" i="40" s="1"/>
  <c r="EG253" i="40"/>
  <c r="EH253" i="40" s="1"/>
  <c r="FP253" i="40"/>
  <c r="FQ253" i="40" s="1"/>
  <c r="EB253" i="40"/>
  <c r="EC253" i="40" s="1"/>
  <c r="FK266" i="40"/>
  <c r="FL266" i="40" s="1"/>
  <c r="FF266" i="40"/>
  <c r="FG266" i="40" s="1"/>
  <c r="FA266" i="40"/>
  <c r="FB266" i="40" s="1"/>
  <c r="EV266" i="40"/>
  <c r="EW266" i="40" s="1"/>
  <c r="EL266" i="40"/>
  <c r="EQ266" i="40"/>
  <c r="ER266" i="40" s="1"/>
  <c r="FP266" i="40"/>
  <c r="FQ266" i="40" s="1"/>
  <c r="EG266" i="40"/>
  <c r="EH266" i="40" s="1"/>
  <c r="EB266" i="40"/>
  <c r="EC266" i="40" s="1"/>
  <c r="FK282" i="40"/>
  <c r="FL282" i="40" s="1"/>
  <c r="FF282" i="40"/>
  <c r="FG282" i="40" s="1"/>
  <c r="FA282" i="40"/>
  <c r="FB282" i="40" s="1"/>
  <c r="EV282" i="40"/>
  <c r="EW282" i="40" s="1"/>
  <c r="EL282" i="40"/>
  <c r="EM282" i="40" s="1"/>
  <c r="EQ282" i="40"/>
  <c r="ER282" i="40" s="1"/>
  <c r="FP282" i="40"/>
  <c r="FQ282" i="40" s="1"/>
  <c r="EG282" i="40"/>
  <c r="EH282" i="40" s="1"/>
  <c r="EB282" i="40"/>
  <c r="EC282" i="40" s="1"/>
  <c r="FK287" i="40"/>
  <c r="FL287" i="40" s="1"/>
  <c r="FF287" i="40"/>
  <c r="FG287" i="40" s="1"/>
  <c r="FA287" i="40"/>
  <c r="FB287" i="40" s="1"/>
  <c r="EV287" i="40"/>
  <c r="EW287" i="40" s="1"/>
  <c r="EQ287" i="40"/>
  <c r="ER287" i="40" s="1"/>
  <c r="EL287" i="40"/>
  <c r="EM287" i="40" s="1"/>
  <c r="FP287" i="40"/>
  <c r="FQ287" i="40" s="1"/>
  <c r="EG287" i="40"/>
  <c r="EH287" i="40" s="1"/>
  <c r="EB287" i="40"/>
  <c r="EC287" i="40" s="1"/>
  <c r="FK299" i="40"/>
  <c r="FL299" i="40" s="1"/>
  <c r="FF299" i="40"/>
  <c r="FG299" i="40" s="1"/>
  <c r="FA299" i="40"/>
  <c r="FB299" i="40" s="1"/>
  <c r="EV299" i="40"/>
  <c r="EW299" i="40" s="1"/>
  <c r="EQ299" i="40"/>
  <c r="ER299" i="40" s="1"/>
  <c r="EL299" i="40"/>
  <c r="FP299" i="40"/>
  <c r="FQ299" i="40" s="1"/>
  <c r="EG299" i="40"/>
  <c r="EH299" i="40" s="1"/>
  <c r="EB299" i="40"/>
  <c r="EC299" i="40" s="1"/>
  <c r="FK319" i="40"/>
  <c r="FL319" i="40" s="1"/>
  <c r="FF319" i="40"/>
  <c r="FG319" i="40" s="1"/>
  <c r="FA319" i="40"/>
  <c r="FB319" i="40" s="1"/>
  <c r="EV319" i="40"/>
  <c r="EW319" i="40" s="1"/>
  <c r="EQ319" i="40"/>
  <c r="ER319" i="40" s="1"/>
  <c r="EL319" i="40"/>
  <c r="EM319" i="40" s="1"/>
  <c r="FP319" i="40"/>
  <c r="FQ319" i="40" s="1"/>
  <c r="EG319" i="40"/>
  <c r="EH319" i="40" s="1"/>
  <c r="EB319" i="40"/>
  <c r="EC319" i="40" s="1"/>
  <c r="FK325" i="40"/>
  <c r="FL325" i="40" s="1"/>
  <c r="FF325" i="40"/>
  <c r="FG325" i="40" s="1"/>
  <c r="FA325" i="40"/>
  <c r="FB325" i="40" s="1"/>
  <c r="EV325" i="40"/>
  <c r="EW325" i="40" s="1"/>
  <c r="EQ325" i="40"/>
  <c r="ER325" i="40" s="1"/>
  <c r="EL325" i="40"/>
  <c r="EM325" i="40" s="1"/>
  <c r="EG325" i="40"/>
  <c r="EH325" i="40" s="1"/>
  <c r="FP325" i="40"/>
  <c r="FQ325" i="40" s="1"/>
  <c r="EB325" i="40"/>
  <c r="EC325" i="40" s="1"/>
  <c r="FK333" i="40"/>
  <c r="FL333" i="40" s="1"/>
  <c r="FF333" i="40"/>
  <c r="FG333" i="40" s="1"/>
  <c r="FA333" i="40"/>
  <c r="FB333" i="40" s="1"/>
  <c r="EV333" i="40"/>
  <c r="EW333" i="40" s="1"/>
  <c r="EQ333" i="40"/>
  <c r="ER333" i="40" s="1"/>
  <c r="EL333" i="40"/>
  <c r="EM333" i="40" s="1"/>
  <c r="EG333" i="40"/>
  <c r="EH333" i="40" s="1"/>
  <c r="FP333" i="40"/>
  <c r="FQ333" i="40" s="1"/>
  <c r="EB333" i="40"/>
  <c r="EC333" i="40" s="1"/>
  <c r="FK339" i="40"/>
  <c r="FL339" i="40" s="1"/>
  <c r="FF339" i="40"/>
  <c r="FG339" i="40" s="1"/>
  <c r="FA339" i="40"/>
  <c r="FB339" i="40" s="1"/>
  <c r="EV339" i="40"/>
  <c r="EW339" i="40" s="1"/>
  <c r="EQ339" i="40"/>
  <c r="ER339" i="40" s="1"/>
  <c r="EL339" i="40"/>
  <c r="EM339" i="40" s="1"/>
  <c r="EG339" i="40"/>
  <c r="EH339" i="40" s="1"/>
  <c r="FP339" i="40"/>
  <c r="FQ339" i="40" s="1"/>
  <c r="EB339" i="40"/>
  <c r="EC339" i="40" s="1"/>
  <c r="FK359" i="40"/>
  <c r="FL359" i="40" s="1"/>
  <c r="FF359" i="40"/>
  <c r="FG359" i="40" s="1"/>
  <c r="FA359" i="40"/>
  <c r="FB359" i="40" s="1"/>
  <c r="EV359" i="40"/>
  <c r="EW359" i="40" s="1"/>
  <c r="EQ359" i="40"/>
  <c r="ER359" i="40" s="1"/>
  <c r="EL359" i="40"/>
  <c r="EM359" i="40" s="1"/>
  <c r="FP359" i="40"/>
  <c r="FQ359" i="40" s="1"/>
  <c r="EG359" i="40"/>
  <c r="EH359" i="40" s="1"/>
  <c r="EB359" i="40"/>
  <c r="EC359" i="40" s="1"/>
  <c r="FK401" i="40"/>
  <c r="FL401" i="40" s="1"/>
  <c r="FF401" i="40"/>
  <c r="FG401" i="40" s="1"/>
  <c r="FA401" i="40"/>
  <c r="FB401" i="40" s="1"/>
  <c r="EV401" i="40"/>
  <c r="EW401" i="40" s="1"/>
  <c r="EQ401" i="40"/>
  <c r="ER401" i="40" s="1"/>
  <c r="EL401" i="40"/>
  <c r="EM401" i="40" s="1"/>
  <c r="EG401" i="40"/>
  <c r="EH401" i="40" s="1"/>
  <c r="FP401" i="40"/>
  <c r="FQ401" i="40" s="1"/>
  <c r="EB401" i="40"/>
  <c r="EC401" i="40" s="1"/>
  <c r="FF15" i="40"/>
  <c r="FG15" i="40" s="1"/>
  <c r="FK15" i="40"/>
  <c r="FL15" i="40" s="1"/>
  <c r="FA15" i="40"/>
  <c r="FB15" i="40" s="1"/>
  <c r="EV15" i="40"/>
  <c r="EW15" i="40" s="1"/>
  <c r="EQ15" i="40"/>
  <c r="ER15" i="40" s="1"/>
  <c r="EL15" i="40"/>
  <c r="EM15" i="40" s="1"/>
  <c r="EG15" i="40"/>
  <c r="EH15" i="40" s="1"/>
  <c r="FP15" i="40"/>
  <c r="FQ15" i="40" s="1"/>
  <c r="EB15" i="40"/>
  <c r="EC15" i="40" s="1"/>
  <c r="FK12" i="40"/>
  <c r="FL12" i="40" s="1"/>
  <c r="FF12" i="40"/>
  <c r="FG12" i="40" s="1"/>
  <c r="FA12" i="40"/>
  <c r="FB12" i="40" s="1"/>
  <c r="EV12" i="40"/>
  <c r="EW12" i="40" s="1"/>
  <c r="EQ12" i="40"/>
  <c r="ER12" i="40" s="1"/>
  <c r="EL12" i="40"/>
  <c r="EM12" i="40" s="1"/>
  <c r="EG12" i="40"/>
  <c r="EH12" i="40" s="1"/>
  <c r="FP12" i="40"/>
  <c r="FQ12" i="40" s="1"/>
  <c r="EB12" i="40"/>
  <c r="EC12" i="40" s="1"/>
  <c r="FK22" i="40"/>
  <c r="FL22" i="40" s="1"/>
  <c r="FF22" i="40"/>
  <c r="FG22" i="40" s="1"/>
  <c r="FA22" i="40"/>
  <c r="FB22" i="40" s="1"/>
  <c r="EV22" i="40"/>
  <c r="EW22" i="40" s="1"/>
  <c r="EQ22" i="40"/>
  <c r="ER22" i="40" s="1"/>
  <c r="EL22" i="40"/>
  <c r="EM22" i="40" s="1"/>
  <c r="EG22" i="40"/>
  <c r="EH22" i="40" s="1"/>
  <c r="FP22" i="40"/>
  <c r="FQ22" i="40" s="1"/>
  <c r="EB22" i="40"/>
  <c r="EC22" i="40" s="1"/>
  <c r="FK38" i="40"/>
  <c r="FL38" i="40" s="1"/>
  <c r="FF38" i="40"/>
  <c r="FG38" i="40" s="1"/>
  <c r="FA38" i="40"/>
  <c r="FB38" i="40" s="1"/>
  <c r="EV38" i="40"/>
  <c r="EW38" i="40" s="1"/>
  <c r="EQ38" i="40"/>
  <c r="ER38" i="40" s="1"/>
  <c r="EL38" i="40"/>
  <c r="EM38" i="40" s="1"/>
  <c r="EG38" i="40"/>
  <c r="EH38" i="40" s="1"/>
  <c r="FP38" i="40"/>
  <c r="FQ38" i="40" s="1"/>
  <c r="EB38" i="40"/>
  <c r="EC38" i="40" s="1"/>
  <c r="FK45" i="40"/>
  <c r="FL45" i="40" s="1"/>
  <c r="FF45" i="40"/>
  <c r="FG45" i="40" s="1"/>
  <c r="EV45" i="40"/>
  <c r="EW45" i="40" s="1"/>
  <c r="FA45" i="40"/>
  <c r="FB45" i="40" s="1"/>
  <c r="EQ45" i="40"/>
  <c r="ER45" i="40" s="1"/>
  <c r="EG45" i="40"/>
  <c r="EH45" i="40" s="1"/>
  <c r="EL45" i="40"/>
  <c r="EM45" i="40" s="1"/>
  <c r="FP45" i="40"/>
  <c r="FQ45" i="40" s="1"/>
  <c r="EB45" i="40"/>
  <c r="EC45" i="40" s="1"/>
  <c r="FK60" i="40"/>
  <c r="FL60" i="40" s="1"/>
  <c r="FF60" i="40"/>
  <c r="FG60" i="40" s="1"/>
  <c r="FA60" i="40"/>
  <c r="FB60" i="40" s="1"/>
  <c r="EV60" i="40"/>
  <c r="EW60" i="40" s="1"/>
  <c r="EQ60" i="40"/>
  <c r="ER60" i="40" s="1"/>
  <c r="EL60" i="40"/>
  <c r="EM60" i="40" s="1"/>
  <c r="EG60" i="40"/>
  <c r="EH60" i="40" s="1"/>
  <c r="FP60" i="40"/>
  <c r="FQ60" i="40" s="1"/>
  <c r="EB60" i="40"/>
  <c r="EC60" i="40" s="1"/>
  <c r="FK72" i="40"/>
  <c r="FL72" i="40" s="1"/>
  <c r="FF72" i="40"/>
  <c r="FG72" i="40" s="1"/>
  <c r="FA72" i="40"/>
  <c r="FB72" i="40" s="1"/>
  <c r="EV72" i="40"/>
  <c r="EW72" i="40" s="1"/>
  <c r="EQ72" i="40"/>
  <c r="ER72" i="40" s="1"/>
  <c r="EL72" i="40"/>
  <c r="EM72" i="40" s="1"/>
  <c r="EG72" i="40"/>
  <c r="EH72" i="40" s="1"/>
  <c r="FP72" i="40"/>
  <c r="FQ72" i="40" s="1"/>
  <c r="EB72" i="40"/>
  <c r="EC72" i="40" s="1"/>
  <c r="FK99" i="40"/>
  <c r="FL99" i="40" s="1"/>
  <c r="FF99" i="40"/>
  <c r="FG99" i="40" s="1"/>
  <c r="FA99" i="40"/>
  <c r="FB99" i="40" s="1"/>
  <c r="EV99" i="40"/>
  <c r="EW99" i="40" s="1"/>
  <c r="EQ99" i="40"/>
  <c r="ER99" i="40" s="1"/>
  <c r="EL99" i="40"/>
  <c r="EM99" i="40" s="1"/>
  <c r="EG99" i="40"/>
  <c r="EH99" i="40" s="1"/>
  <c r="FP99" i="40"/>
  <c r="FQ99" i="40" s="1"/>
  <c r="EB99" i="40"/>
  <c r="EC99" i="40" s="1"/>
  <c r="FK113" i="40"/>
  <c r="FL113" i="40" s="1"/>
  <c r="FF113" i="40"/>
  <c r="FG113" i="40" s="1"/>
  <c r="EV113" i="40"/>
  <c r="EW113" i="40" s="1"/>
  <c r="FA113" i="40"/>
  <c r="FB113" i="40" s="1"/>
  <c r="EQ113" i="40"/>
  <c r="ER113" i="40" s="1"/>
  <c r="EL113" i="40"/>
  <c r="EM113" i="40" s="1"/>
  <c r="EG113" i="40"/>
  <c r="EH113" i="40" s="1"/>
  <c r="FP113" i="40"/>
  <c r="FQ113" i="40" s="1"/>
  <c r="EB113" i="40"/>
  <c r="EC113" i="40" s="1"/>
  <c r="FK126" i="40"/>
  <c r="FL126" i="40" s="1"/>
  <c r="FF126" i="40"/>
  <c r="FG126" i="40" s="1"/>
  <c r="FA126" i="40"/>
  <c r="FB126" i="40" s="1"/>
  <c r="EV126" i="40"/>
  <c r="EW126" i="40" s="1"/>
  <c r="EL126" i="40"/>
  <c r="EM126" i="40" s="1"/>
  <c r="EQ126" i="40"/>
  <c r="ER126" i="40" s="1"/>
  <c r="EG126" i="40"/>
  <c r="EH126" i="40" s="1"/>
  <c r="FP126" i="40"/>
  <c r="FQ126" i="40" s="1"/>
  <c r="EB126" i="40"/>
  <c r="EC126" i="40" s="1"/>
  <c r="FK159" i="40"/>
  <c r="FL159" i="40" s="1"/>
  <c r="FF159" i="40"/>
  <c r="FG159" i="40" s="1"/>
  <c r="FA159" i="40"/>
  <c r="FB159" i="40" s="1"/>
  <c r="EV159" i="40"/>
  <c r="EW159" i="40" s="1"/>
  <c r="EQ159" i="40"/>
  <c r="ER159" i="40" s="1"/>
  <c r="EL159" i="40"/>
  <c r="EM159" i="40" s="1"/>
  <c r="EG159" i="40"/>
  <c r="EH159" i="40" s="1"/>
  <c r="FP159" i="40"/>
  <c r="FQ159" i="40" s="1"/>
  <c r="EB159" i="40"/>
  <c r="EC159" i="40" s="1"/>
  <c r="FF7" i="40"/>
  <c r="FG7" i="40" s="1"/>
  <c r="FK7" i="40"/>
  <c r="FL7" i="40" s="1"/>
  <c r="FA7" i="40"/>
  <c r="FB7" i="40" s="1"/>
  <c r="EV7" i="40"/>
  <c r="EW7" i="40" s="1"/>
  <c r="EQ7" i="40"/>
  <c r="ER7" i="40" s="1"/>
  <c r="EL7" i="40"/>
  <c r="EM7" i="40" s="1"/>
  <c r="EG7" i="40"/>
  <c r="EH7" i="40" s="1"/>
  <c r="FP7" i="40"/>
  <c r="FQ7" i="40" s="1"/>
  <c r="EB7" i="40"/>
  <c r="EC7" i="40" s="1"/>
  <c r="FK13" i="40"/>
  <c r="FL13" i="40" s="1"/>
  <c r="FF13" i="40"/>
  <c r="FG13" i="40" s="1"/>
  <c r="EV13" i="40"/>
  <c r="EW13" i="40" s="1"/>
  <c r="FA13" i="40"/>
  <c r="FB13" i="40" s="1"/>
  <c r="EQ13" i="40"/>
  <c r="ER13" i="40" s="1"/>
  <c r="EG13" i="40"/>
  <c r="EH13" i="40" s="1"/>
  <c r="EL13" i="40"/>
  <c r="EM13" i="40" s="1"/>
  <c r="FP13" i="40"/>
  <c r="FQ13" i="40" s="1"/>
  <c r="EB13" i="40"/>
  <c r="EC13" i="40" s="1"/>
  <c r="FK17" i="40"/>
  <c r="FL17" i="40" s="1"/>
  <c r="FF17" i="40"/>
  <c r="FG17" i="40" s="1"/>
  <c r="EV17" i="40"/>
  <c r="EW17" i="40" s="1"/>
  <c r="FA17" i="40"/>
  <c r="FB17" i="40" s="1"/>
  <c r="EQ17" i="40"/>
  <c r="ER17" i="40" s="1"/>
  <c r="EG17" i="40"/>
  <c r="EH17" i="40" s="1"/>
  <c r="EL17" i="40"/>
  <c r="EM17" i="40" s="1"/>
  <c r="FP17" i="40"/>
  <c r="FQ17" i="40" s="1"/>
  <c r="EB17" i="40"/>
  <c r="EC17" i="40" s="1"/>
  <c r="FF23" i="40"/>
  <c r="FG23" i="40" s="1"/>
  <c r="FK23" i="40"/>
  <c r="FL23" i="40" s="1"/>
  <c r="FA23" i="40"/>
  <c r="FB23" i="40" s="1"/>
  <c r="EV23" i="40"/>
  <c r="EW23" i="40" s="1"/>
  <c r="EQ23" i="40"/>
  <c r="ER23" i="40" s="1"/>
  <c r="EL23" i="40"/>
  <c r="EM23" i="40" s="1"/>
  <c r="EG23" i="40"/>
  <c r="EH23" i="40" s="1"/>
  <c r="FP23" i="40"/>
  <c r="FQ23" i="40" s="1"/>
  <c r="EB23" i="40"/>
  <c r="EC23" i="40" s="1"/>
  <c r="FF27" i="40"/>
  <c r="FG27" i="40" s="1"/>
  <c r="FK27" i="40"/>
  <c r="FL27" i="40" s="1"/>
  <c r="FA27" i="40"/>
  <c r="FB27" i="40" s="1"/>
  <c r="EV27" i="40"/>
  <c r="EW27" i="40" s="1"/>
  <c r="EQ27" i="40"/>
  <c r="ER27" i="40" s="1"/>
  <c r="EL27" i="40"/>
  <c r="EM27" i="40" s="1"/>
  <c r="EG27" i="40"/>
  <c r="EH27" i="40" s="1"/>
  <c r="FP27" i="40"/>
  <c r="FQ27" i="40" s="1"/>
  <c r="EB27" i="40"/>
  <c r="EC27" i="40" s="1"/>
  <c r="FK30" i="40"/>
  <c r="FL30" i="40" s="1"/>
  <c r="FF30" i="40"/>
  <c r="FG30" i="40" s="1"/>
  <c r="FA30" i="40"/>
  <c r="FB30" i="40" s="1"/>
  <c r="EV30" i="40"/>
  <c r="EW30" i="40" s="1"/>
  <c r="EQ30" i="40"/>
  <c r="ER30" i="40" s="1"/>
  <c r="EL30" i="40"/>
  <c r="EM30" i="40" s="1"/>
  <c r="EG30" i="40"/>
  <c r="EH30" i="40" s="1"/>
  <c r="FP30" i="40"/>
  <c r="FQ30" i="40" s="1"/>
  <c r="EB30" i="40"/>
  <c r="EC30" i="40" s="1"/>
  <c r="FF79" i="40"/>
  <c r="FG79" i="40" s="1"/>
  <c r="FK79" i="40"/>
  <c r="FL79" i="40" s="1"/>
  <c r="FA79" i="40"/>
  <c r="FB79" i="40" s="1"/>
  <c r="EV79" i="40"/>
  <c r="EW79" i="40" s="1"/>
  <c r="EQ79" i="40"/>
  <c r="ER79" i="40" s="1"/>
  <c r="EL79" i="40"/>
  <c r="EM79" i="40" s="1"/>
  <c r="EG79" i="40"/>
  <c r="EH79" i="40" s="1"/>
  <c r="FP79" i="40"/>
  <c r="FQ79" i="40" s="1"/>
  <c r="EB79" i="40"/>
  <c r="EC79" i="40" s="1"/>
  <c r="FK86" i="40"/>
  <c r="FL86" i="40" s="1"/>
  <c r="FF86" i="40"/>
  <c r="FG86" i="40" s="1"/>
  <c r="FA86" i="40"/>
  <c r="FB86" i="40" s="1"/>
  <c r="EV86" i="40"/>
  <c r="EW86" i="40" s="1"/>
  <c r="EL86" i="40"/>
  <c r="EM86" i="40" s="1"/>
  <c r="EQ86" i="40"/>
  <c r="ER86" i="40" s="1"/>
  <c r="EG86" i="40"/>
  <c r="EH86" i="40" s="1"/>
  <c r="FP86" i="40"/>
  <c r="FQ86" i="40" s="1"/>
  <c r="EB86" i="40"/>
  <c r="EC86" i="40" s="1"/>
  <c r="FK107" i="40"/>
  <c r="FL107" i="40" s="1"/>
  <c r="FF107" i="40"/>
  <c r="FG107" i="40" s="1"/>
  <c r="FA107" i="40"/>
  <c r="FB107" i="40" s="1"/>
  <c r="EV107" i="40"/>
  <c r="EW107" i="40" s="1"/>
  <c r="EQ107" i="40"/>
  <c r="ER107" i="40" s="1"/>
  <c r="EL107" i="40"/>
  <c r="EM107" i="40" s="1"/>
  <c r="EG107" i="40"/>
  <c r="EH107" i="40" s="1"/>
  <c r="FP107" i="40"/>
  <c r="FQ107" i="40" s="1"/>
  <c r="EB107" i="40"/>
  <c r="EC107" i="40" s="1"/>
  <c r="FK114" i="40"/>
  <c r="FL114" i="40" s="1"/>
  <c r="FF114" i="40"/>
  <c r="FG114" i="40" s="1"/>
  <c r="FA114" i="40"/>
  <c r="FB114" i="40" s="1"/>
  <c r="EV114" i="40"/>
  <c r="EW114" i="40" s="1"/>
  <c r="EL114" i="40"/>
  <c r="EQ114" i="40"/>
  <c r="ER114" i="40" s="1"/>
  <c r="EG114" i="40"/>
  <c r="EH114" i="40" s="1"/>
  <c r="FP114" i="40"/>
  <c r="FQ114" i="40" s="1"/>
  <c r="EB114" i="40"/>
  <c r="EC114" i="40" s="1"/>
  <c r="FK116" i="40"/>
  <c r="FL116" i="40" s="1"/>
  <c r="FF116" i="40"/>
  <c r="FA116" i="40"/>
  <c r="FB116" i="40" s="1"/>
  <c r="EV116" i="40"/>
  <c r="EW116" i="40" s="1"/>
  <c r="EQ116" i="40"/>
  <c r="ER116" i="40" s="1"/>
  <c r="EL116" i="40"/>
  <c r="EM116" i="40" s="1"/>
  <c r="EG116" i="40"/>
  <c r="EH116" i="40" s="1"/>
  <c r="FP116" i="40"/>
  <c r="FQ116" i="40" s="1"/>
  <c r="EB116" i="40"/>
  <c r="EC116" i="40" s="1"/>
  <c r="FK121" i="40"/>
  <c r="FL121" i="40" s="1"/>
  <c r="FF121" i="40"/>
  <c r="FG121" i="40" s="1"/>
  <c r="EV121" i="40"/>
  <c r="EW121" i="40" s="1"/>
  <c r="FA121" i="40"/>
  <c r="FB121" i="40" s="1"/>
  <c r="EQ121" i="40"/>
  <c r="ER121" i="40" s="1"/>
  <c r="EL121" i="40"/>
  <c r="EM121" i="40" s="1"/>
  <c r="EG121" i="40"/>
  <c r="EH121" i="40" s="1"/>
  <c r="FP121" i="40"/>
  <c r="FQ121" i="40" s="1"/>
  <c r="EB121" i="40"/>
  <c r="EC121" i="40" s="1"/>
  <c r="FK134" i="40"/>
  <c r="FL134" i="40" s="1"/>
  <c r="FF134" i="40"/>
  <c r="FG134" i="40" s="1"/>
  <c r="FA134" i="40"/>
  <c r="FB134" i="40" s="1"/>
  <c r="EV134" i="40"/>
  <c r="EW134" i="40" s="1"/>
  <c r="EL134" i="40"/>
  <c r="EM134" i="40" s="1"/>
  <c r="EQ134" i="40"/>
  <c r="ER134" i="40" s="1"/>
  <c r="EG134" i="40"/>
  <c r="EH134" i="40" s="1"/>
  <c r="FP134" i="40"/>
  <c r="FQ134" i="40" s="1"/>
  <c r="EB134" i="40"/>
  <c r="EC134" i="40" s="1"/>
  <c r="FK187" i="40"/>
  <c r="FL187" i="40" s="1"/>
  <c r="FF187" i="40"/>
  <c r="FG187" i="40" s="1"/>
  <c r="FA187" i="40"/>
  <c r="FB187" i="40" s="1"/>
  <c r="EV187" i="40"/>
  <c r="EW187" i="40" s="1"/>
  <c r="EQ187" i="40"/>
  <c r="ER187" i="40" s="1"/>
  <c r="EL187" i="40"/>
  <c r="EM187" i="40" s="1"/>
  <c r="EG187" i="40"/>
  <c r="EH187" i="40" s="1"/>
  <c r="FP187" i="40"/>
  <c r="FQ187" i="40" s="1"/>
  <c r="EB187" i="40"/>
  <c r="EC187" i="40" s="1"/>
  <c r="FK200" i="40"/>
  <c r="FL200" i="40" s="1"/>
  <c r="FF200" i="40"/>
  <c r="FG200" i="40" s="1"/>
  <c r="FA200" i="40"/>
  <c r="FB200" i="40" s="1"/>
  <c r="EV200" i="40"/>
  <c r="EW200" i="40" s="1"/>
  <c r="EQ200" i="40"/>
  <c r="ER200" i="40" s="1"/>
  <c r="EL200" i="40"/>
  <c r="EM200" i="40" s="1"/>
  <c r="EG200" i="40"/>
  <c r="EH200" i="40" s="1"/>
  <c r="FP200" i="40"/>
  <c r="FQ200" i="40" s="1"/>
  <c r="EB200" i="40"/>
  <c r="EC200" i="40" s="1"/>
  <c r="FK206" i="40"/>
  <c r="FL206" i="40" s="1"/>
  <c r="FF206" i="40"/>
  <c r="FG206" i="40" s="1"/>
  <c r="FA206" i="40"/>
  <c r="FB206" i="40" s="1"/>
  <c r="EV206" i="40"/>
  <c r="EW206" i="40" s="1"/>
  <c r="EL206" i="40"/>
  <c r="EM206" i="40" s="1"/>
  <c r="EQ206" i="40"/>
  <c r="ER206" i="40" s="1"/>
  <c r="EG206" i="40"/>
  <c r="EH206" i="40" s="1"/>
  <c r="FP206" i="40"/>
  <c r="FQ206" i="40" s="1"/>
  <c r="EB206" i="40"/>
  <c r="EC206" i="40" s="1"/>
  <c r="FK234" i="40"/>
  <c r="FL234" i="40" s="1"/>
  <c r="FF234" i="40"/>
  <c r="FG234" i="40" s="1"/>
  <c r="FA234" i="40"/>
  <c r="FB234" i="40" s="1"/>
  <c r="EV234" i="40"/>
  <c r="EW234" i="40" s="1"/>
  <c r="EL234" i="40"/>
  <c r="EM234" i="40" s="1"/>
  <c r="EQ234" i="40"/>
  <c r="ER234" i="40" s="1"/>
  <c r="FP234" i="40"/>
  <c r="FQ234" i="40" s="1"/>
  <c r="EG234" i="40"/>
  <c r="EH234" i="40" s="1"/>
  <c r="EB234" i="40"/>
  <c r="EC234" i="40" s="1"/>
  <c r="FK244" i="40"/>
  <c r="FL244" i="40" s="1"/>
  <c r="FA244" i="40"/>
  <c r="FB244" i="40" s="1"/>
  <c r="FF244" i="40"/>
  <c r="FG244" i="40" s="1"/>
  <c r="EV244" i="40"/>
  <c r="EW244" i="40" s="1"/>
  <c r="EQ244" i="40"/>
  <c r="ER244" i="40" s="1"/>
  <c r="EL244" i="40"/>
  <c r="EM244" i="40" s="1"/>
  <c r="FP244" i="40"/>
  <c r="FQ244" i="40" s="1"/>
  <c r="EG244" i="40"/>
  <c r="EH244" i="40" s="1"/>
  <c r="EB244" i="40"/>
  <c r="EC244" i="40" s="1"/>
  <c r="FK262" i="40"/>
  <c r="FL262" i="40" s="1"/>
  <c r="FF262" i="40"/>
  <c r="FG262" i="40" s="1"/>
  <c r="FA262" i="40"/>
  <c r="FB262" i="40" s="1"/>
  <c r="EV262" i="40"/>
  <c r="EW262" i="40" s="1"/>
  <c r="EL262" i="40"/>
  <c r="EM262" i="40" s="1"/>
  <c r="EQ262" i="40"/>
  <c r="ER262" i="40" s="1"/>
  <c r="FP262" i="40"/>
  <c r="FQ262" i="40" s="1"/>
  <c r="EG262" i="40"/>
  <c r="EH262" i="40" s="1"/>
  <c r="EB262" i="40"/>
  <c r="EC262" i="40" s="1"/>
  <c r="FK267" i="40"/>
  <c r="FL267" i="40" s="1"/>
  <c r="FF267" i="40"/>
  <c r="FG267" i="40" s="1"/>
  <c r="FA267" i="40"/>
  <c r="FB267" i="40" s="1"/>
  <c r="EV267" i="40"/>
  <c r="EW267" i="40" s="1"/>
  <c r="EQ267" i="40"/>
  <c r="ER267" i="40" s="1"/>
  <c r="EL267" i="40"/>
  <c r="EM267" i="40" s="1"/>
  <c r="FP267" i="40"/>
  <c r="FQ267" i="40" s="1"/>
  <c r="EG267" i="40"/>
  <c r="EH267" i="40" s="1"/>
  <c r="EB267" i="40"/>
  <c r="EC267" i="40" s="1"/>
  <c r="FK279" i="40"/>
  <c r="FL279" i="40" s="1"/>
  <c r="FF279" i="40"/>
  <c r="FG279" i="40" s="1"/>
  <c r="FA279" i="40"/>
  <c r="FB279" i="40" s="1"/>
  <c r="EV279" i="40"/>
  <c r="EW279" i="40" s="1"/>
  <c r="EQ279" i="40"/>
  <c r="ER279" i="40" s="1"/>
  <c r="EL279" i="40"/>
  <c r="EM279" i="40" s="1"/>
  <c r="FP279" i="40"/>
  <c r="FQ279" i="40" s="1"/>
  <c r="EG279" i="40"/>
  <c r="EH279" i="40" s="1"/>
  <c r="EB279" i="40"/>
  <c r="EC279" i="40" s="1"/>
  <c r="FK288" i="40"/>
  <c r="FL288" i="40" s="1"/>
  <c r="FA288" i="40"/>
  <c r="FB288" i="40" s="1"/>
  <c r="FF288" i="40"/>
  <c r="FG288" i="40" s="1"/>
  <c r="EV288" i="40"/>
  <c r="EW288" i="40" s="1"/>
  <c r="EQ288" i="40"/>
  <c r="ER288" i="40" s="1"/>
  <c r="EL288" i="40"/>
  <c r="EM288" i="40" s="1"/>
  <c r="FP288" i="40"/>
  <c r="FQ288" i="40" s="1"/>
  <c r="EG288" i="40"/>
  <c r="EH288" i="40" s="1"/>
  <c r="EB288" i="40"/>
  <c r="EC288" i="40" s="1"/>
  <c r="FK313" i="40"/>
  <c r="FL313" i="40" s="1"/>
  <c r="FF313" i="40"/>
  <c r="FG313" i="40" s="1"/>
  <c r="FA313" i="40"/>
  <c r="FB313" i="40" s="1"/>
  <c r="EV313" i="40"/>
  <c r="EW313" i="40" s="1"/>
  <c r="EQ313" i="40"/>
  <c r="ER313" i="40" s="1"/>
  <c r="EL313" i="40"/>
  <c r="EM313" i="40" s="1"/>
  <c r="EG313" i="40"/>
  <c r="EH313" i="40" s="1"/>
  <c r="FP313" i="40"/>
  <c r="FQ313" i="40" s="1"/>
  <c r="EB313" i="40"/>
  <c r="EC313" i="40" s="1"/>
  <c r="FK330" i="40"/>
  <c r="FL330" i="40" s="1"/>
  <c r="FF330" i="40"/>
  <c r="FG330" i="40" s="1"/>
  <c r="FA330" i="40"/>
  <c r="FB330" i="40" s="1"/>
  <c r="EV330" i="40"/>
  <c r="EW330" i="40" s="1"/>
  <c r="EL330" i="40"/>
  <c r="EM330" i="40" s="1"/>
  <c r="EQ330" i="40"/>
  <c r="ER330" i="40" s="1"/>
  <c r="EG330" i="40"/>
  <c r="EH330" i="40" s="1"/>
  <c r="FP330" i="40"/>
  <c r="FQ330" i="40" s="1"/>
  <c r="EB330" i="40"/>
  <c r="EC330" i="40" s="1"/>
  <c r="FK388" i="40"/>
  <c r="FL388" i="40" s="1"/>
  <c r="FA388" i="40"/>
  <c r="FB388" i="40" s="1"/>
  <c r="FF388" i="40"/>
  <c r="FG388" i="40" s="1"/>
  <c r="EV388" i="40"/>
  <c r="EW388" i="40" s="1"/>
  <c r="EQ388" i="40"/>
  <c r="ER388" i="40" s="1"/>
  <c r="EL388" i="40"/>
  <c r="EM388" i="40" s="1"/>
  <c r="EG388" i="40"/>
  <c r="EH388" i="40" s="1"/>
  <c r="FP388" i="40"/>
  <c r="FQ388" i="40" s="1"/>
  <c r="EB388" i="40"/>
  <c r="EC388" i="40" s="1"/>
  <c r="FK14" i="40"/>
  <c r="FL14" i="40" s="1"/>
  <c r="FF14" i="40"/>
  <c r="FG14" i="40" s="1"/>
  <c r="FA14" i="40"/>
  <c r="FB14" i="40" s="1"/>
  <c r="EV14" i="40"/>
  <c r="EW14" i="40" s="1"/>
  <c r="EQ14" i="40"/>
  <c r="ER14" i="40" s="1"/>
  <c r="EL14" i="40"/>
  <c r="EM14" i="40" s="1"/>
  <c r="EG14" i="40"/>
  <c r="EH14" i="40" s="1"/>
  <c r="FP14" i="40"/>
  <c r="FQ14" i="40" s="1"/>
  <c r="EB14" i="40"/>
  <c r="EC14" i="40" s="1"/>
  <c r="FK18" i="40"/>
  <c r="FL18" i="40" s="1"/>
  <c r="FF18" i="40"/>
  <c r="FG18" i="40" s="1"/>
  <c r="FA18" i="40"/>
  <c r="FB18" i="40" s="1"/>
  <c r="EV18" i="40"/>
  <c r="EW18" i="40" s="1"/>
  <c r="EQ18" i="40"/>
  <c r="ER18" i="40" s="1"/>
  <c r="EL18" i="40"/>
  <c r="EM18" i="40" s="1"/>
  <c r="EG18" i="40"/>
  <c r="EH18" i="40" s="1"/>
  <c r="FP18" i="40"/>
  <c r="FQ18" i="40" s="1"/>
  <c r="EB18" i="40"/>
  <c r="EC18" i="40" s="1"/>
  <c r="FK24" i="40"/>
  <c r="FL24" i="40" s="1"/>
  <c r="FF24" i="40"/>
  <c r="FG24" i="40" s="1"/>
  <c r="FA24" i="40"/>
  <c r="FB24" i="40" s="1"/>
  <c r="EV24" i="40"/>
  <c r="EW24" i="40" s="1"/>
  <c r="EQ24" i="40"/>
  <c r="ER24" i="40" s="1"/>
  <c r="EL24" i="40"/>
  <c r="EM24" i="40" s="1"/>
  <c r="EG24" i="40"/>
  <c r="EH24" i="40" s="1"/>
  <c r="FP24" i="40"/>
  <c r="FQ24" i="40" s="1"/>
  <c r="EB24" i="40"/>
  <c r="EC24" i="40" s="1"/>
  <c r="FF31" i="40"/>
  <c r="FG31" i="40" s="1"/>
  <c r="FK31" i="40"/>
  <c r="FL31" i="40" s="1"/>
  <c r="FA31" i="40"/>
  <c r="FB31" i="40" s="1"/>
  <c r="EV31" i="40"/>
  <c r="EW31" i="40" s="1"/>
  <c r="EQ31" i="40"/>
  <c r="ER31" i="40" s="1"/>
  <c r="EL31" i="40"/>
  <c r="EM31" i="40" s="1"/>
  <c r="EG31" i="40"/>
  <c r="EH31" i="40" s="1"/>
  <c r="FP31" i="40"/>
  <c r="FQ31" i="40" s="1"/>
  <c r="EB31" i="40"/>
  <c r="EC31" i="40" s="1"/>
  <c r="FK34" i="40"/>
  <c r="FL34" i="40" s="1"/>
  <c r="FF34" i="40"/>
  <c r="FG34" i="40" s="1"/>
  <c r="FA34" i="40"/>
  <c r="FB34" i="40" s="1"/>
  <c r="EV34" i="40"/>
  <c r="EW34" i="40" s="1"/>
  <c r="EQ34" i="40"/>
  <c r="ER34" i="40" s="1"/>
  <c r="EL34" i="40"/>
  <c r="EM34" i="40" s="1"/>
  <c r="EG34" i="40"/>
  <c r="EH34" i="40" s="1"/>
  <c r="FP34" i="40"/>
  <c r="FQ34" i="40" s="1"/>
  <c r="EB34" i="40"/>
  <c r="EC34" i="40" s="1"/>
  <c r="FK95" i="40"/>
  <c r="FL95" i="40" s="1"/>
  <c r="FF95" i="40"/>
  <c r="FG95" i="40" s="1"/>
  <c r="FA95" i="40"/>
  <c r="FB95" i="40" s="1"/>
  <c r="EV95" i="40"/>
  <c r="EW95" i="40" s="1"/>
  <c r="EQ95" i="40"/>
  <c r="ER95" i="40" s="1"/>
  <c r="EL95" i="40"/>
  <c r="EM95" i="40" s="1"/>
  <c r="EG95" i="40"/>
  <c r="EH95" i="40" s="1"/>
  <c r="FP95" i="40"/>
  <c r="FQ95" i="40" s="1"/>
  <c r="EB95" i="40"/>
  <c r="EC95" i="40" s="1"/>
  <c r="FK101" i="40"/>
  <c r="FL101" i="40" s="1"/>
  <c r="FF101" i="40"/>
  <c r="FG101" i="40" s="1"/>
  <c r="EV101" i="40"/>
  <c r="EW101" i="40" s="1"/>
  <c r="FA101" i="40"/>
  <c r="FB101" i="40" s="1"/>
  <c r="EQ101" i="40"/>
  <c r="ER101" i="40" s="1"/>
  <c r="EL101" i="40"/>
  <c r="EM101" i="40" s="1"/>
  <c r="EG101" i="40"/>
  <c r="EH101" i="40" s="1"/>
  <c r="FP101" i="40"/>
  <c r="FQ101" i="40" s="1"/>
  <c r="EB101" i="40"/>
  <c r="EC101" i="40" s="1"/>
  <c r="FK108" i="40"/>
  <c r="FL108" i="40" s="1"/>
  <c r="FF108" i="40"/>
  <c r="FG108" i="40" s="1"/>
  <c r="FA108" i="40"/>
  <c r="FB108" i="40" s="1"/>
  <c r="EV108" i="40"/>
  <c r="EW108" i="40" s="1"/>
  <c r="EQ108" i="40"/>
  <c r="ER108" i="40" s="1"/>
  <c r="EL108" i="40"/>
  <c r="EM108" i="40" s="1"/>
  <c r="EG108" i="40"/>
  <c r="EH108" i="40" s="1"/>
  <c r="FP108" i="40"/>
  <c r="FQ108" i="40" s="1"/>
  <c r="EB108" i="40"/>
  <c r="EC108" i="40" s="1"/>
  <c r="FK117" i="40"/>
  <c r="FL117" i="40" s="1"/>
  <c r="FF117" i="40"/>
  <c r="FG117" i="40" s="1"/>
  <c r="EV117" i="40"/>
  <c r="EW117" i="40" s="1"/>
  <c r="FA117" i="40"/>
  <c r="FB117" i="40" s="1"/>
  <c r="EQ117" i="40"/>
  <c r="ER117" i="40" s="1"/>
  <c r="EL117" i="40"/>
  <c r="EM117" i="40" s="1"/>
  <c r="EG117" i="40"/>
  <c r="EH117" i="40" s="1"/>
  <c r="FP117" i="40"/>
  <c r="FQ117" i="40" s="1"/>
  <c r="EB117" i="40"/>
  <c r="EC117" i="40" s="1"/>
  <c r="FK122" i="40"/>
  <c r="FL122" i="40" s="1"/>
  <c r="FF122" i="40"/>
  <c r="FG122" i="40" s="1"/>
  <c r="FA122" i="40"/>
  <c r="FB122" i="40" s="1"/>
  <c r="EV122" i="40"/>
  <c r="EW122" i="40" s="1"/>
  <c r="EL122" i="40"/>
  <c r="EM122" i="40" s="1"/>
  <c r="EQ122" i="40"/>
  <c r="ER122" i="40" s="1"/>
  <c r="EG122" i="40"/>
  <c r="EH122" i="40" s="1"/>
  <c r="FP122" i="40"/>
  <c r="FQ122" i="40" s="1"/>
  <c r="EB122" i="40"/>
  <c r="EC122" i="40" s="1"/>
  <c r="FK127" i="40"/>
  <c r="FL127" i="40" s="1"/>
  <c r="FF127" i="40"/>
  <c r="FG127" i="40" s="1"/>
  <c r="FA127" i="40"/>
  <c r="FB127" i="40" s="1"/>
  <c r="EV127" i="40"/>
  <c r="EW127" i="40" s="1"/>
  <c r="EQ127" i="40"/>
  <c r="ER127" i="40" s="1"/>
  <c r="EL127" i="40"/>
  <c r="EM127" i="40" s="1"/>
  <c r="EG127" i="40"/>
  <c r="EH127" i="40" s="1"/>
  <c r="FP127" i="40"/>
  <c r="FQ127" i="40" s="1"/>
  <c r="EB127" i="40"/>
  <c r="EC127" i="40" s="1"/>
  <c r="FK135" i="40"/>
  <c r="FL135" i="40" s="1"/>
  <c r="FF135" i="40"/>
  <c r="FG135" i="40" s="1"/>
  <c r="FA135" i="40"/>
  <c r="FB135" i="40" s="1"/>
  <c r="EV135" i="40"/>
  <c r="EW135" i="40" s="1"/>
  <c r="EQ135" i="40"/>
  <c r="ER135" i="40" s="1"/>
  <c r="EL135" i="40"/>
  <c r="EM135" i="40" s="1"/>
  <c r="EG135" i="40"/>
  <c r="EH135" i="40" s="1"/>
  <c r="FP135" i="40"/>
  <c r="FQ135" i="40" s="1"/>
  <c r="EB135" i="40"/>
  <c r="EC135" i="40" s="1"/>
  <c r="FK143" i="40"/>
  <c r="FL143" i="40" s="1"/>
  <c r="FF143" i="40"/>
  <c r="FG143" i="40" s="1"/>
  <c r="FA143" i="40"/>
  <c r="FB143" i="40" s="1"/>
  <c r="EV143" i="40"/>
  <c r="EW143" i="40" s="1"/>
  <c r="EQ143" i="40"/>
  <c r="ER143" i="40" s="1"/>
  <c r="EL143" i="40"/>
  <c r="EM143" i="40" s="1"/>
  <c r="EG143" i="40"/>
  <c r="EH143" i="40" s="1"/>
  <c r="FP143" i="40"/>
  <c r="FQ143" i="40" s="1"/>
  <c r="EB143" i="40"/>
  <c r="EC143" i="40" s="1"/>
  <c r="FK164" i="40"/>
  <c r="FL164" i="40" s="1"/>
  <c r="FF164" i="40"/>
  <c r="FG164" i="40" s="1"/>
  <c r="FA164" i="40"/>
  <c r="FB164" i="40" s="1"/>
  <c r="EV164" i="40"/>
  <c r="EW164" i="40" s="1"/>
  <c r="EQ164" i="40"/>
  <c r="ER164" i="40" s="1"/>
  <c r="EL164" i="40"/>
  <c r="EM164" i="40" s="1"/>
  <c r="EG164" i="40"/>
  <c r="EH164" i="40" s="1"/>
  <c r="FP164" i="40"/>
  <c r="FQ164" i="40" s="1"/>
  <c r="EB164" i="40"/>
  <c r="EC164" i="40" s="1"/>
  <c r="FK167" i="40"/>
  <c r="FL167" i="40" s="1"/>
  <c r="FF167" i="40"/>
  <c r="FG167" i="40" s="1"/>
  <c r="FA167" i="40"/>
  <c r="FB167" i="40" s="1"/>
  <c r="EV167" i="40"/>
  <c r="EW167" i="40" s="1"/>
  <c r="EQ167" i="40"/>
  <c r="ER167" i="40" s="1"/>
  <c r="EL167" i="40"/>
  <c r="EM167" i="40" s="1"/>
  <c r="EG167" i="40"/>
  <c r="EH167" i="40" s="1"/>
  <c r="FP167" i="40"/>
  <c r="FQ167" i="40" s="1"/>
  <c r="EB167" i="40"/>
  <c r="EC167" i="40" s="1"/>
  <c r="FK170" i="40"/>
  <c r="FL170" i="40" s="1"/>
  <c r="FF170" i="40"/>
  <c r="FG170" i="40" s="1"/>
  <c r="FA170" i="40"/>
  <c r="FB170" i="40" s="1"/>
  <c r="EV170" i="40"/>
  <c r="EW170" i="40" s="1"/>
  <c r="EL170" i="40"/>
  <c r="EM170" i="40" s="1"/>
  <c r="EQ170" i="40"/>
  <c r="ER170" i="40" s="1"/>
  <c r="EG170" i="40"/>
  <c r="EH170" i="40" s="1"/>
  <c r="FP170" i="40"/>
  <c r="FQ170" i="40" s="1"/>
  <c r="EB170" i="40"/>
  <c r="EC170" i="40" s="1"/>
  <c r="FK172" i="40"/>
  <c r="FL172" i="40" s="1"/>
  <c r="FF172" i="40"/>
  <c r="FG172" i="40" s="1"/>
  <c r="FA172" i="40"/>
  <c r="FB172" i="40" s="1"/>
  <c r="EV172" i="40"/>
  <c r="EW172" i="40" s="1"/>
  <c r="EQ172" i="40"/>
  <c r="ER172" i="40" s="1"/>
  <c r="EL172" i="40"/>
  <c r="EM172" i="40" s="1"/>
  <c r="EG172" i="40"/>
  <c r="EH172" i="40" s="1"/>
  <c r="FP172" i="40"/>
  <c r="FQ172" i="40" s="1"/>
  <c r="EB172" i="40"/>
  <c r="EC172" i="40" s="1"/>
  <c r="FK179" i="40"/>
  <c r="FL179" i="40" s="1"/>
  <c r="FF179" i="40"/>
  <c r="FG179" i="40" s="1"/>
  <c r="FA179" i="40"/>
  <c r="FB179" i="40" s="1"/>
  <c r="EV179" i="40"/>
  <c r="EW179" i="40" s="1"/>
  <c r="EQ179" i="40"/>
  <c r="ER179" i="40" s="1"/>
  <c r="EL179" i="40"/>
  <c r="EM179" i="40" s="1"/>
  <c r="EG179" i="40"/>
  <c r="EH179" i="40" s="1"/>
  <c r="FP179" i="40"/>
  <c r="FQ179" i="40" s="1"/>
  <c r="EB179" i="40"/>
  <c r="EC179" i="40" s="1"/>
  <c r="FK182" i="40"/>
  <c r="FL182" i="40" s="1"/>
  <c r="FF182" i="40"/>
  <c r="FG182" i="40" s="1"/>
  <c r="FA182" i="40"/>
  <c r="FB182" i="40" s="1"/>
  <c r="EV182" i="40"/>
  <c r="EW182" i="40" s="1"/>
  <c r="EL182" i="40"/>
  <c r="EM182" i="40" s="1"/>
  <c r="EQ182" i="40"/>
  <c r="ER182" i="40" s="1"/>
  <c r="EG182" i="40"/>
  <c r="EH182" i="40" s="1"/>
  <c r="FP182" i="40"/>
  <c r="FQ182" i="40" s="1"/>
  <c r="EB182" i="40"/>
  <c r="EC182" i="40" s="1"/>
  <c r="FK188" i="40"/>
  <c r="FL188" i="40" s="1"/>
  <c r="FF188" i="40"/>
  <c r="FG188" i="40" s="1"/>
  <c r="FA188" i="40"/>
  <c r="FB188" i="40" s="1"/>
  <c r="EV188" i="40"/>
  <c r="EW188" i="40" s="1"/>
  <c r="EQ188" i="40"/>
  <c r="ER188" i="40" s="1"/>
  <c r="EL188" i="40"/>
  <c r="EM188" i="40" s="1"/>
  <c r="EG188" i="40"/>
  <c r="EH188" i="40" s="1"/>
  <c r="FP188" i="40"/>
  <c r="FQ188" i="40" s="1"/>
  <c r="EB188" i="40"/>
  <c r="EC188" i="40" s="1"/>
  <c r="FK201" i="40"/>
  <c r="FL201" i="40" s="1"/>
  <c r="FF201" i="40"/>
  <c r="FG201" i="40" s="1"/>
  <c r="EV201" i="40"/>
  <c r="EW201" i="40" s="1"/>
  <c r="FA201" i="40"/>
  <c r="FB201" i="40" s="1"/>
  <c r="EQ201" i="40"/>
  <c r="ER201" i="40" s="1"/>
  <c r="EL201" i="40"/>
  <c r="EM201" i="40" s="1"/>
  <c r="EG201" i="40"/>
  <c r="EH201" i="40" s="1"/>
  <c r="FP201" i="40"/>
  <c r="FQ201" i="40" s="1"/>
  <c r="EB201" i="40"/>
  <c r="EC201" i="40" s="1"/>
  <c r="FK217" i="40"/>
  <c r="FL217" i="40" s="1"/>
  <c r="FF217" i="40"/>
  <c r="FG217" i="40" s="1"/>
  <c r="FA217" i="40"/>
  <c r="FB217" i="40" s="1"/>
  <c r="EV217" i="40"/>
  <c r="EW217" i="40" s="1"/>
  <c r="EQ217" i="40"/>
  <c r="ER217" i="40" s="1"/>
  <c r="EL217" i="40"/>
  <c r="EM217" i="40" s="1"/>
  <c r="EG217" i="40"/>
  <c r="EH217" i="40" s="1"/>
  <c r="FP217" i="40"/>
  <c r="FQ217" i="40" s="1"/>
  <c r="EB217" i="40"/>
  <c r="EC217" i="40" s="1"/>
  <c r="FK251" i="40"/>
  <c r="FL251" i="40" s="1"/>
  <c r="FF251" i="40"/>
  <c r="FG251" i="40" s="1"/>
  <c r="FA251" i="40"/>
  <c r="FB251" i="40" s="1"/>
  <c r="EV251" i="40"/>
  <c r="EW251" i="40" s="1"/>
  <c r="EQ251" i="40"/>
  <c r="ER251" i="40" s="1"/>
  <c r="EL251" i="40"/>
  <c r="EM251" i="40" s="1"/>
  <c r="FP251" i="40"/>
  <c r="FQ251" i="40" s="1"/>
  <c r="EG251" i="40"/>
  <c r="EH251" i="40" s="1"/>
  <c r="EB251" i="40"/>
  <c r="EC251" i="40" s="1"/>
  <c r="FK259" i="40"/>
  <c r="FL259" i="40" s="1"/>
  <c r="FF259" i="40"/>
  <c r="FG259" i="40" s="1"/>
  <c r="FA259" i="40"/>
  <c r="FB259" i="40" s="1"/>
  <c r="EV259" i="40"/>
  <c r="EW259" i="40" s="1"/>
  <c r="EQ259" i="40"/>
  <c r="ER259" i="40" s="1"/>
  <c r="EL259" i="40"/>
  <c r="EM259" i="40" s="1"/>
  <c r="FP259" i="40"/>
  <c r="FQ259" i="40" s="1"/>
  <c r="EG259" i="40"/>
  <c r="EH259" i="40" s="1"/>
  <c r="EB259" i="40"/>
  <c r="EC259" i="40" s="1"/>
  <c r="FK268" i="40"/>
  <c r="FL268" i="40" s="1"/>
  <c r="FA268" i="40"/>
  <c r="FB268" i="40" s="1"/>
  <c r="FF268" i="40"/>
  <c r="FG268" i="40" s="1"/>
  <c r="EV268" i="40"/>
  <c r="EW268" i="40" s="1"/>
  <c r="EQ268" i="40"/>
  <c r="ER268" i="40" s="1"/>
  <c r="EL268" i="40"/>
  <c r="EM268" i="40" s="1"/>
  <c r="FP268" i="40"/>
  <c r="FQ268" i="40" s="1"/>
  <c r="EG268" i="40"/>
  <c r="EH268" i="40" s="1"/>
  <c r="EB268" i="40"/>
  <c r="EC268" i="40" s="1"/>
  <c r="FK277" i="40"/>
  <c r="FL277" i="40" s="1"/>
  <c r="FF277" i="40"/>
  <c r="FG277" i="40" s="1"/>
  <c r="FA277" i="40"/>
  <c r="FB277" i="40" s="1"/>
  <c r="EV277" i="40"/>
  <c r="EW277" i="40" s="1"/>
  <c r="EQ277" i="40"/>
  <c r="ER277" i="40" s="1"/>
  <c r="EL277" i="40"/>
  <c r="EM277" i="40" s="1"/>
  <c r="EG277" i="40"/>
  <c r="EH277" i="40" s="1"/>
  <c r="FP277" i="40"/>
  <c r="FQ277" i="40" s="1"/>
  <c r="EB277" i="40"/>
  <c r="EC277" i="40" s="1"/>
  <c r="FK285" i="40"/>
  <c r="FL285" i="40" s="1"/>
  <c r="FF285" i="40"/>
  <c r="FG285" i="40" s="1"/>
  <c r="FA285" i="40"/>
  <c r="FB285" i="40" s="1"/>
  <c r="EV285" i="40"/>
  <c r="EW285" i="40" s="1"/>
  <c r="EQ285" i="40"/>
  <c r="ER285" i="40" s="1"/>
  <c r="EL285" i="40"/>
  <c r="EM285" i="40" s="1"/>
  <c r="EG285" i="40"/>
  <c r="EH285" i="40" s="1"/>
  <c r="FP285" i="40"/>
  <c r="FQ285" i="40" s="1"/>
  <c r="EB285" i="40"/>
  <c r="EC285" i="40" s="1"/>
  <c r="FK294" i="40"/>
  <c r="FL294" i="40" s="1"/>
  <c r="FF294" i="40"/>
  <c r="FG294" i="40" s="1"/>
  <c r="FA294" i="40"/>
  <c r="FB294" i="40" s="1"/>
  <c r="EV294" i="40"/>
  <c r="EW294" i="40" s="1"/>
  <c r="EL294" i="40"/>
  <c r="EM294" i="40" s="1"/>
  <c r="EQ294" i="40"/>
  <c r="ER294" i="40" s="1"/>
  <c r="FP294" i="40"/>
  <c r="FQ294" i="40" s="1"/>
  <c r="EG294" i="40"/>
  <c r="EH294" i="40" s="1"/>
  <c r="EB294" i="40"/>
  <c r="EC294" i="40" s="1"/>
  <c r="FK309" i="40"/>
  <c r="FL309" i="40" s="1"/>
  <c r="FF309" i="40"/>
  <c r="FG309" i="40" s="1"/>
  <c r="FA309" i="40"/>
  <c r="FB309" i="40" s="1"/>
  <c r="EV309" i="40"/>
  <c r="EW309" i="40" s="1"/>
  <c r="EQ309" i="40"/>
  <c r="ER309" i="40" s="1"/>
  <c r="EL309" i="40"/>
  <c r="EM309" i="40" s="1"/>
  <c r="EG309" i="40"/>
  <c r="EH309" i="40" s="1"/>
  <c r="FP309" i="40"/>
  <c r="FQ309" i="40" s="1"/>
  <c r="EB309" i="40"/>
  <c r="EC309" i="40" s="1"/>
  <c r="FK314" i="40"/>
  <c r="FL314" i="40" s="1"/>
  <c r="FF314" i="40"/>
  <c r="FG314" i="40" s="1"/>
  <c r="FA314" i="40"/>
  <c r="FB314" i="40" s="1"/>
  <c r="EV314" i="40"/>
  <c r="EW314" i="40" s="1"/>
  <c r="EL314" i="40"/>
  <c r="EM314" i="40" s="1"/>
  <c r="EQ314" i="40"/>
  <c r="ER314" i="40" s="1"/>
  <c r="FP314" i="40"/>
  <c r="FQ314" i="40" s="1"/>
  <c r="EG314" i="40"/>
  <c r="EH314" i="40" s="1"/>
  <c r="EB314" i="40"/>
  <c r="EC314" i="40" s="1"/>
  <c r="FK323" i="40"/>
  <c r="FL323" i="40" s="1"/>
  <c r="FF323" i="40"/>
  <c r="FG323" i="40" s="1"/>
  <c r="FA323" i="40"/>
  <c r="FB323" i="40" s="1"/>
  <c r="EV323" i="40"/>
  <c r="EW323" i="40" s="1"/>
  <c r="EQ323" i="40"/>
  <c r="ER323" i="40" s="1"/>
  <c r="EL323" i="40"/>
  <c r="EM323" i="40" s="1"/>
  <c r="FP323" i="40"/>
  <c r="FQ323" i="40" s="1"/>
  <c r="EG323" i="40"/>
  <c r="EH323" i="40" s="1"/>
  <c r="EB323" i="40"/>
  <c r="EC323" i="40" s="1"/>
  <c r="FK331" i="40"/>
  <c r="FL331" i="40" s="1"/>
  <c r="FF331" i="40"/>
  <c r="FG331" i="40" s="1"/>
  <c r="FA331" i="40"/>
  <c r="FB331" i="40" s="1"/>
  <c r="EV331" i="40"/>
  <c r="EW331" i="40" s="1"/>
  <c r="EQ331" i="40"/>
  <c r="ER331" i="40" s="1"/>
  <c r="EL331" i="40"/>
  <c r="EM331" i="40" s="1"/>
  <c r="EG331" i="40"/>
  <c r="FP331" i="40"/>
  <c r="FQ331" i="40" s="1"/>
  <c r="EB331" i="40"/>
  <c r="EC331" i="40" s="1"/>
  <c r="FK337" i="40"/>
  <c r="FL337" i="40" s="1"/>
  <c r="FF337" i="40"/>
  <c r="FG337" i="40" s="1"/>
  <c r="FA337" i="40"/>
  <c r="FB337" i="40" s="1"/>
  <c r="EV337" i="40"/>
  <c r="EW337" i="40" s="1"/>
  <c r="EQ337" i="40"/>
  <c r="ER337" i="40" s="1"/>
  <c r="EL337" i="40"/>
  <c r="EM337" i="40" s="1"/>
  <c r="EG337" i="40"/>
  <c r="EH337" i="40" s="1"/>
  <c r="FP337" i="40"/>
  <c r="FQ337" i="40" s="1"/>
  <c r="EB337" i="40"/>
  <c r="EC337" i="40" s="1"/>
  <c r="FK352" i="40"/>
  <c r="FL352" i="40" s="1"/>
  <c r="FA352" i="40"/>
  <c r="FB352" i="40" s="1"/>
  <c r="FF352" i="40"/>
  <c r="FG352" i="40" s="1"/>
  <c r="EV352" i="40"/>
  <c r="EW352" i="40" s="1"/>
  <c r="EQ352" i="40"/>
  <c r="ER352" i="40" s="1"/>
  <c r="EL352" i="40"/>
  <c r="EM352" i="40" s="1"/>
  <c r="EG352" i="40"/>
  <c r="EH352" i="40" s="1"/>
  <c r="FP352" i="40"/>
  <c r="FQ352" i="40" s="1"/>
  <c r="EB352" i="40"/>
  <c r="EC352" i="40" s="1"/>
  <c r="FK357" i="40"/>
  <c r="FL357" i="40" s="1"/>
  <c r="FF357" i="40"/>
  <c r="FG357" i="40" s="1"/>
  <c r="FA357" i="40"/>
  <c r="FB357" i="40" s="1"/>
  <c r="EV357" i="40"/>
  <c r="EW357" i="40" s="1"/>
  <c r="EQ357" i="40"/>
  <c r="ER357" i="40" s="1"/>
  <c r="EL357" i="40"/>
  <c r="EM357" i="40" s="1"/>
  <c r="EG357" i="40"/>
  <c r="EH357" i="40" s="1"/>
  <c r="FP357" i="40"/>
  <c r="FQ357" i="40" s="1"/>
  <c r="EB357" i="40"/>
  <c r="EC357" i="40" s="1"/>
  <c r="FK362" i="40"/>
  <c r="FL362" i="40" s="1"/>
  <c r="FF362" i="40"/>
  <c r="FG362" i="40" s="1"/>
  <c r="FA362" i="40"/>
  <c r="FB362" i="40" s="1"/>
  <c r="EQ362" i="40"/>
  <c r="ER362" i="40" s="1"/>
  <c r="EV362" i="40"/>
  <c r="EW362" i="40" s="1"/>
  <c r="EL362" i="40"/>
  <c r="EM362" i="40" s="1"/>
  <c r="FP362" i="40"/>
  <c r="FQ362" i="40" s="1"/>
  <c r="EG362" i="40"/>
  <c r="EH362" i="40" s="1"/>
  <c r="EB362" i="40"/>
  <c r="EC362" i="40" s="1"/>
  <c r="FK365" i="40"/>
  <c r="FL365" i="40" s="1"/>
  <c r="FF365" i="40"/>
  <c r="FG365" i="40" s="1"/>
  <c r="FA365" i="40"/>
  <c r="FB365" i="40" s="1"/>
  <c r="EV365" i="40"/>
  <c r="EW365" i="40" s="1"/>
  <c r="EQ365" i="40"/>
  <c r="ER365" i="40" s="1"/>
  <c r="EL365" i="40"/>
  <c r="EM365" i="40" s="1"/>
  <c r="EG365" i="40"/>
  <c r="EH365" i="40" s="1"/>
  <c r="FP365" i="40"/>
  <c r="FQ365" i="40" s="1"/>
  <c r="EB365" i="40"/>
  <c r="EC365" i="40" s="1"/>
  <c r="FK370" i="40"/>
  <c r="FL370" i="40" s="1"/>
  <c r="FF370" i="40"/>
  <c r="FG370" i="40" s="1"/>
  <c r="FA370" i="40"/>
  <c r="FB370" i="40" s="1"/>
  <c r="EQ370" i="40"/>
  <c r="ER370" i="40" s="1"/>
  <c r="EV370" i="40"/>
  <c r="EW370" i="40" s="1"/>
  <c r="EL370" i="40"/>
  <c r="EM370" i="40" s="1"/>
  <c r="FP370" i="40"/>
  <c r="FQ370" i="40" s="1"/>
  <c r="EG370" i="40"/>
  <c r="EH370" i="40" s="1"/>
  <c r="EB370" i="40"/>
  <c r="EC370" i="40" s="1"/>
  <c r="FK393" i="40"/>
  <c r="FL393" i="40" s="1"/>
  <c r="FF393" i="40"/>
  <c r="FG393" i="40" s="1"/>
  <c r="FA393" i="40"/>
  <c r="FB393" i="40" s="1"/>
  <c r="EV393" i="40"/>
  <c r="EW393" i="40" s="1"/>
  <c r="EQ393" i="40"/>
  <c r="ER393" i="40" s="1"/>
  <c r="EL393" i="40"/>
  <c r="EM393" i="40" s="1"/>
  <c r="EG393" i="40"/>
  <c r="EH393" i="40" s="1"/>
  <c r="FP393" i="40"/>
  <c r="FQ393" i="40" s="1"/>
  <c r="EB393" i="40"/>
  <c r="EC393" i="40" s="1"/>
  <c r="FK8" i="40"/>
  <c r="FL8" i="40" s="1"/>
  <c r="FF8" i="40"/>
  <c r="FG8" i="40" s="1"/>
  <c r="FA8" i="40"/>
  <c r="FB8" i="40" s="1"/>
  <c r="EV8" i="40"/>
  <c r="EW8" i="40" s="1"/>
  <c r="EQ8" i="40"/>
  <c r="ER8" i="40" s="1"/>
  <c r="EL8" i="40"/>
  <c r="EM8" i="40" s="1"/>
  <c r="EG8" i="40"/>
  <c r="EH8" i="40" s="1"/>
  <c r="FP8" i="40"/>
  <c r="FQ8" i="40" s="1"/>
  <c r="EB8" i="40"/>
  <c r="EC8" i="40" s="1"/>
  <c r="FF19" i="40"/>
  <c r="FG19" i="40" s="1"/>
  <c r="FK19" i="40"/>
  <c r="FL19" i="40" s="1"/>
  <c r="FA19" i="40"/>
  <c r="FB19" i="40" s="1"/>
  <c r="EV19" i="40"/>
  <c r="EW19" i="40" s="1"/>
  <c r="EQ19" i="40"/>
  <c r="ER19" i="40" s="1"/>
  <c r="EL19" i="40"/>
  <c r="EM19" i="40" s="1"/>
  <c r="EG19" i="40"/>
  <c r="EH19" i="40" s="1"/>
  <c r="FP19" i="40"/>
  <c r="FQ19" i="40" s="1"/>
  <c r="EB19" i="40"/>
  <c r="EC19" i="40" s="1"/>
  <c r="FK25" i="40"/>
  <c r="FL25" i="40" s="1"/>
  <c r="FF25" i="40"/>
  <c r="FG25" i="40" s="1"/>
  <c r="EV25" i="40"/>
  <c r="EW25" i="40" s="1"/>
  <c r="FA25" i="40"/>
  <c r="FB25" i="40" s="1"/>
  <c r="EQ25" i="40"/>
  <c r="ER25" i="40" s="1"/>
  <c r="EG25" i="40"/>
  <c r="EH25" i="40" s="1"/>
  <c r="EL25" i="40"/>
  <c r="EM25" i="40" s="1"/>
  <c r="FP25" i="40"/>
  <c r="FQ25" i="40" s="1"/>
  <c r="EB25" i="40"/>
  <c r="EC25" i="40" s="1"/>
  <c r="FK44" i="40"/>
  <c r="FL44" i="40" s="1"/>
  <c r="FF44" i="40"/>
  <c r="FG44" i="40" s="1"/>
  <c r="FA44" i="40"/>
  <c r="FB44" i="40" s="1"/>
  <c r="EV44" i="40"/>
  <c r="EW44" i="40" s="1"/>
  <c r="EQ44" i="40"/>
  <c r="ER44" i="40" s="1"/>
  <c r="EL44" i="40"/>
  <c r="EM44" i="40" s="1"/>
  <c r="EG44" i="40"/>
  <c r="EH44" i="40" s="1"/>
  <c r="FP44" i="40"/>
  <c r="FQ44" i="40" s="1"/>
  <c r="EB44" i="40"/>
  <c r="EC44" i="40" s="1"/>
  <c r="FF51" i="40"/>
  <c r="FG51" i="40" s="1"/>
  <c r="FK51" i="40"/>
  <c r="FL51" i="40" s="1"/>
  <c r="FA51" i="40"/>
  <c r="FB51" i="40" s="1"/>
  <c r="EV51" i="40"/>
  <c r="EW51" i="40" s="1"/>
  <c r="EQ51" i="40"/>
  <c r="ER51" i="40" s="1"/>
  <c r="EL51" i="40"/>
  <c r="EM51" i="40" s="1"/>
  <c r="EG51" i="40"/>
  <c r="EH51" i="40" s="1"/>
  <c r="FP51" i="40"/>
  <c r="FQ51" i="40" s="1"/>
  <c r="EB51" i="40"/>
  <c r="EC51" i="40" s="1"/>
  <c r="FK53" i="40"/>
  <c r="FL53" i="40" s="1"/>
  <c r="FF53" i="40"/>
  <c r="FG53" i="40" s="1"/>
  <c r="EV53" i="40"/>
  <c r="EW53" i="40" s="1"/>
  <c r="FA53" i="40"/>
  <c r="FB53" i="40" s="1"/>
  <c r="EQ53" i="40"/>
  <c r="ER53" i="40" s="1"/>
  <c r="EG53" i="40"/>
  <c r="EH53" i="40" s="1"/>
  <c r="EL53" i="40"/>
  <c r="EM53" i="40" s="1"/>
  <c r="FP53" i="40"/>
  <c r="FQ53" i="40" s="1"/>
  <c r="EB53" i="40"/>
  <c r="EC53" i="40" s="1"/>
  <c r="FF59" i="40"/>
  <c r="FG59" i="40" s="1"/>
  <c r="FK59" i="40"/>
  <c r="FL59" i="40" s="1"/>
  <c r="FA59" i="40"/>
  <c r="FB59" i="40" s="1"/>
  <c r="EV59" i="40"/>
  <c r="EW59" i="40" s="1"/>
  <c r="EQ59" i="40"/>
  <c r="ER59" i="40" s="1"/>
  <c r="EL59" i="40"/>
  <c r="EM59" i="40" s="1"/>
  <c r="EG59" i="40"/>
  <c r="EH59" i="40" s="1"/>
  <c r="FP59" i="40"/>
  <c r="FQ59" i="40" s="1"/>
  <c r="EB59" i="40"/>
  <c r="EC59" i="40" s="1"/>
  <c r="FK66" i="40"/>
  <c r="FL66" i="40" s="1"/>
  <c r="FF66" i="40"/>
  <c r="FG66" i="40" s="1"/>
  <c r="FA66" i="40"/>
  <c r="FB66" i="40" s="1"/>
  <c r="EV66" i="40"/>
  <c r="EW66" i="40" s="1"/>
  <c r="EL66" i="40"/>
  <c r="EM66" i="40" s="1"/>
  <c r="EQ66" i="40"/>
  <c r="ER66" i="40" s="1"/>
  <c r="EG66" i="40"/>
  <c r="EH66" i="40" s="1"/>
  <c r="FP66" i="40"/>
  <c r="FQ66" i="40" s="1"/>
  <c r="EB66" i="40"/>
  <c r="EC66" i="40" s="1"/>
  <c r="FF71" i="40"/>
  <c r="FG71" i="40" s="1"/>
  <c r="FK71" i="40"/>
  <c r="FL71" i="40" s="1"/>
  <c r="FA71" i="40"/>
  <c r="FB71" i="40" s="1"/>
  <c r="EV71" i="40"/>
  <c r="EW71" i="40" s="1"/>
  <c r="EQ71" i="40"/>
  <c r="ER71" i="40" s="1"/>
  <c r="EL71" i="40"/>
  <c r="EM71" i="40" s="1"/>
  <c r="EG71" i="40"/>
  <c r="EH71" i="40" s="1"/>
  <c r="FP71" i="40"/>
  <c r="FQ71" i="40" s="1"/>
  <c r="EB71" i="40"/>
  <c r="EC71" i="40" s="1"/>
  <c r="FK84" i="40"/>
  <c r="FL84" i="40" s="1"/>
  <c r="FF84" i="40"/>
  <c r="FG84" i="40" s="1"/>
  <c r="FA84" i="40"/>
  <c r="FB84" i="40" s="1"/>
  <c r="EV84" i="40"/>
  <c r="EW84" i="40" s="1"/>
  <c r="EQ84" i="40"/>
  <c r="ER84" i="40" s="1"/>
  <c r="EL84" i="40"/>
  <c r="EM84" i="40" s="1"/>
  <c r="EG84" i="40"/>
  <c r="EH84" i="40" s="1"/>
  <c r="FP84" i="40"/>
  <c r="FQ84" i="40" s="1"/>
  <c r="EB84" i="40"/>
  <c r="EC84" i="40" s="1"/>
  <c r="FK102" i="40"/>
  <c r="FL102" i="40" s="1"/>
  <c r="FF102" i="40"/>
  <c r="FG102" i="40" s="1"/>
  <c r="FA102" i="40"/>
  <c r="FB102" i="40" s="1"/>
  <c r="EV102" i="40"/>
  <c r="EW102" i="40" s="1"/>
  <c r="EL102" i="40"/>
  <c r="EM102" i="40" s="1"/>
  <c r="EQ102" i="40"/>
  <c r="ER102" i="40" s="1"/>
  <c r="EG102" i="40"/>
  <c r="EH102" i="40" s="1"/>
  <c r="FP102" i="40"/>
  <c r="FQ102" i="40" s="1"/>
  <c r="EB102" i="40"/>
  <c r="EC102" i="40" s="1"/>
  <c r="FK112" i="40"/>
  <c r="FL112" i="40" s="1"/>
  <c r="FF112" i="40"/>
  <c r="FG112" i="40" s="1"/>
  <c r="FA112" i="40"/>
  <c r="FB112" i="40" s="1"/>
  <c r="EV112" i="40"/>
  <c r="EW112" i="40" s="1"/>
  <c r="EQ112" i="40"/>
  <c r="ER112" i="40" s="1"/>
  <c r="EL112" i="40"/>
  <c r="EM112" i="40" s="1"/>
  <c r="EG112" i="40"/>
  <c r="EH112" i="40" s="1"/>
  <c r="FP112" i="40"/>
  <c r="FQ112" i="40" s="1"/>
  <c r="EB112" i="40"/>
  <c r="EC112" i="40" s="1"/>
  <c r="FK124" i="40"/>
  <c r="FL124" i="40" s="1"/>
  <c r="FF124" i="40"/>
  <c r="FG124" i="40" s="1"/>
  <c r="FA124" i="40"/>
  <c r="FB124" i="40" s="1"/>
  <c r="EV124" i="40"/>
  <c r="EW124" i="40" s="1"/>
  <c r="EQ124" i="40"/>
  <c r="ER124" i="40" s="1"/>
  <c r="EL124" i="40"/>
  <c r="EM124" i="40" s="1"/>
  <c r="EG124" i="40"/>
  <c r="EH124" i="40" s="1"/>
  <c r="FP124" i="40"/>
  <c r="FQ124" i="40" s="1"/>
  <c r="EB124" i="40"/>
  <c r="EC124" i="40" s="1"/>
  <c r="FK128" i="40"/>
  <c r="FL128" i="40" s="1"/>
  <c r="FF128" i="40"/>
  <c r="FG128" i="40" s="1"/>
  <c r="FA128" i="40"/>
  <c r="FB128" i="40" s="1"/>
  <c r="EV128" i="40"/>
  <c r="EW128" i="40" s="1"/>
  <c r="EQ128" i="40"/>
  <c r="ER128" i="40" s="1"/>
  <c r="EL128" i="40"/>
  <c r="EM128" i="40" s="1"/>
  <c r="EG128" i="40"/>
  <c r="EH128" i="40" s="1"/>
  <c r="FP128" i="40"/>
  <c r="FQ128" i="40" s="1"/>
  <c r="EB128" i="40"/>
  <c r="EC128" i="40" s="1"/>
  <c r="FK144" i="40"/>
  <c r="FL144" i="40" s="1"/>
  <c r="FF144" i="40"/>
  <c r="FG144" i="40" s="1"/>
  <c r="FA144" i="40"/>
  <c r="FB144" i="40" s="1"/>
  <c r="EV144" i="40"/>
  <c r="EW144" i="40" s="1"/>
  <c r="EQ144" i="40"/>
  <c r="ER144" i="40" s="1"/>
  <c r="EL144" i="40"/>
  <c r="EM144" i="40" s="1"/>
  <c r="EG144" i="40"/>
  <c r="EH144" i="40" s="1"/>
  <c r="FP144" i="40"/>
  <c r="FQ144" i="40" s="1"/>
  <c r="EB144" i="40"/>
  <c r="EC144" i="40" s="1"/>
  <c r="FK149" i="40"/>
  <c r="FL149" i="40" s="1"/>
  <c r="FF149" i="40"/>
  <c r="FG149" i="40" s="1"/>
  <c r="EV149" i="40"/>
  <c r="EW149" i="40" s="1"/>
  <c r="FA149" i="40"/>
  <c r="FB149" i="40" s="1"/>
  <c r="EQ149" i="40"/>
  <c r="ER149" i="40" s="1"/>
  <c r="EL149" i="40"/>
  <c r="EM149" i="40" s="1"/>
  <c r="EG149" i="40"/>
  <c r="EH149" i="40" s="1"/>
  <c r="FP149" i="40"/>
  <c r="FQ149" i="40" s="1"/>
  <c r="EB149" i="40"/>
  <c r="EC149" i="40" s="1"/>
  <c r="FK158" i="40"/>
  <c r="FL158" i="40" s="1"/>
  <c r="FF158" i="40"/>
  <c r="FG158" i="40" s="1"/>
  <c r="FA158" i="40"/>
  <c r="FB158" i="40" s="1"/>
  <c r="EV158" i="40"/>
  <c r="EW158" i="40" s="1"/>
  <c r="EL158" i="40"/>
  <c r="EM158" i="40" s="1"/>
  <c r="EQ158" i="40"/>
  <c r="ER158" i="40" s="1"/>
  <c r="EG158" i="40"/>
  <c r="EH158" i="40" s="1"/>
  <c r="FP158" i="40"/>
  <c r="FQ158" i="40" s="1"/>
  <c r="EB158" i="40"/>
  <c r="EC158" i="40" s="1"/>
  <c r="FK173" i="40"/>
  <c r="FL173" i="40" s="1"/>
  <c r="FF173" i="40"/>
  <c r="FG173" i="40" s="1"/>
  <c r="EV173" i="40"/>
  <c r="EW173" i="40" s="1"/>
  <c r="FA173" i="40"/>
  <c r="FB173" i="40" s="1"/>
  <c r="EQ173" i="40"/>
  <c r="ER173" i="40" s="1"/>
  <c r="EL173" i="40"/>
  <c r="EM173" i="40" s="1"/>
  <c r="EG173" i="40"/>
  <c r="EH173" i="40" s="1"/>
  <c r="FP173" i="40"/>
  <c r="FQ173" i="40" s="1"/>
  <c r="EB173" i="40"/>
  <c r="EC173" i="40" s="1"/>
  <c r="FK175" i="40"/>
  <c r="FL175" i="40" s="1"/>
  <c r="FF175" i="40"/>
  <c r="FG175" i="40" s="1"/>
  <c r="FA175" i="40"/>
  <c r="FB175" i="40" s="1"/>
  <c r="EV175" i="40"/>
  <c r="EW175" i="40" s="1"/>
  <c r="EQ175" i="40"/>
  <c r="ER175" i="40" s="1"/>
  <c r="EL175" i="40"/>
  <c r="EM175" i="40" s="1"/>
  <c r="EG175" i="40"/>
  <c r="EH175" i="40" s="1"/>
  <c r="FP175" i="40"/>
  <c r="FQ175" i="40" s="1"/>
  <c r="EB175" i="40"/>
  <c r="EC175" i="40" s="1"/>
  <c r="FK180" i="40"/>
  <c r="FL180" i="40" s="1"/>
  <c r="FF180" i="40"/>
  <c r="FG180" i="40" s="1"/>
  <c r="FA180" i="40"/>
  <c r="FB180" i="40" s="1"/>
  <c r="EV180" i="40"/>
  <c r="EW180" i="40" s="1"/>
  <c r="EQ180" i="40"/>
  <c r="ER180" i="40" s="1"/>
  <c r="EL180" i="40"/>
  <c r="EM180" i="40" s="1"/>
  <c r="EG180" i="40"/>
  <c r="EH180" i="40" s="1"/>
  <c r="FP180" i="40"/>
  <c r="FQ180" i="40" s="1"/>
  <c r="EB180" i="40"/>
  <c r="EC180" i="40" s="1"/>
  <c r="FK183" i="40"/>
  <c r="FL183" i="40" s="1"/>
  <c r="FF183" i="40"/>
  <c r="FG183" i="40" s="1"/>
  <c r="FA183" i="40"/>
  <c r="FB183" i="40" s="1"/>
  <c r="EV183" i="40"/>
  <c r="EW183" i="40" s="1"/>
  <c r="EQ183" i="40"/>
  <c r="ER183" i="40" s="1"/>
  <c r="EL183" i="40"/>
  <c r="EM183" i="40" s="1"/>
  <c r="EG183" i="40"/>
  <c r="EH183" i="40" s="1"/>
  <c r="FP183" i="40"/>
  <c r="FQ183" i="40" s="1"/>
  <c r="EB183" i="40"/>
  <c r="EC183" i="40" s="1"/>
  <c r="FK218" i="40"/>
  <c r="FL218" i="40" s="1"/>
  <c r="FF218" i="40"/>
  <c r="FG218" i="40" s="1"/>
  <c r="FA218" i="40"/>
  <c r="FB218" i="40" s="1"/>
  <c r="EV218" i="40"/>
  <c r="EW218" i="40" s="1"/>
  <c r="EL218" i="40"/>
  <c r="EM218" i="40" s="1"/>
  <c r="EQ218" i="40"/>
  <c r="ER218" i="40" s="1"/>
  <c r="EG218" i="40"/>
  <c r="EH218" i="40" s="1"/>
  <c r="FP218" i="40"/>
  <c r="FQ218" i="40" s="1"/>
  <c r="EB218" i="40"/>
  <c r="EC218" i="40" s="1"/>
  <c r="FK221" i="40"/>
  <c r="FL221" i="40" s="1"/>
  <c r="FF221" i="40"/>
  <c r="FG221" i="40" s="1"/>
  <c r="FA221" i="40"/>
  <c r="FB221" i="40" s="1"/>
  <c r="EV221" i="40"/>
  <c r="EW221" i="40" s="1"/>
  <c r="EQ221" i="40"/>
  <c r="ER221" i="40" s="1"/>
  <c r="EL221" i="40"/>
  <c r="EM221" i="40" s="1"/>
  <c r="EG221" i="40"/>
  <c r="EH221" i="40" s="1"/>
  <c r="FP221" i="40"/>
  <c r="FQ221" i="40" s="1"/>
  <c r="EB221" i="40"/>
  <c r="EC221" i="40" s="1"/>
  <c r="FK236" i="40"/>
  <c r="FL236" i="40" s="1"/>
  <c r="FA236" i="40"/>
  <c r="FB236" i="40" s="1"/>
  <c r="FF236" i="40"/>
  <c r="FG236" i="40" s="1"/>
  <c r="EV236" i="40"/>
  <c r="EW236" i="40" s="1"/>
  <c r="EQ236" i="40"/>
  <c r="ER236" i="40" s="1"/>
  <c r="EL236" i="40"/>
  <c r="EM236" i="40" s="1"/>
  <c r="EG236" i="40"/>
  <c r="EH236" i="40" s="1"/>
  <c r="FP236" i="40"/>
  <c r="FQ236" i="40" s="1"/>
  <c r="EB236" i="40"/>
  <c r="EC236" i="40" s="1"/>
  <c r="FK238" i="40"/>
  <c r="FL238" i="40" s="1"/>
  <c r="FF238" i="40"/>
  <c r="FG238" i="40" s="1"/>
  <c r="FA238" i="40"/>
  <c r="FB238" i="40" s="1"/>
  <c r="EV238" i="40"/>
  <c r="EW238" i="40" s="1"/>
  <c r="EL238" i="40"/>
  <c r="EM238" i="40" s="1"/>
  <c r="EQ238" i="40"/>
  <c r="ER238" i="40" s="1"/>
  <c r="FP238" i="40"/>
  <c r="FQ238" i="40" s="1"/>
  <c r="EG238" i="40"/>
  <c r="EH238" i="40" s="1"/>
  <c r="EB238" i="40"/>
  <c r="EC238" i="40" s="1"/>
  <c r="FK252" i="40"/>
  <c r="FL252" i="40" s="1"/>
  <c r="FA252" i="40"/>
  <c r="FB252" i="40" s="1"/>
  <c r="FF252" i="40"/>
  <c r="FG252" i="40" s="1"/>
  <c r="EV252" i="40"/>
  <c r="EW252" i="40" s="1"/>
  <c r="EQ252" i="40"/>
  <c r="ER252" i="40" s="1"/>
  <c r="EL252" i="40"/>
  <c r="EM252" i="40" s="1"/>
  <c r="FP252" i="40"/>
  <c r="FQ252" i="40" s="1"/>
  <c r="EG252" i="40"/>
  <c r="EH252" i="40" s="1"/>
  <c r="EB252" i="40"/>
  <c r="EC252" i="40" s="1"/>
  <c r="FK274" i="40"/>
  <c r="FL274" i="40" s="1"/>
  <c r="FF274" i="40"/>
  <c r="FG274" i="40" s="1"/>
  <c r="FA274" i="40"/>
  <c r="FB274" i="40" s="1"/>
  <c r="EV274" i="40"/>
  <c r="EW274" i="40" s="1"/>
  <c r="EL274" i="40"/>
  <c r="EM274" i="40" s="1"/>
  <c r="EQ274" i="40"/>
  <c r="ER274" i="40" s="1"/>
  <c r="FP274" i="40"/>
  <c r="FQ274" i="40" s="1"/>
  <c r="EG274" i="40"/>
  <c r="EH274" i="40" s="1"/>
  <c r="EB274" i="40"/>
  <c r="EC274" i="40" s="1"/>
  <c r="FK286" i="40"/>
  <c r="FL286" i="40" s="1"/>
  <c r="FF286" i="40"/>
  <c r="FG286" i="40" s="1"/>
  <c r="FA286" i="40"/>
  <c r="FB286" i="40" s="1"/>
  <c r="EV286" i="40"/>
  <c r="EW286" i="40" s="1"/>
  <c r="EL286" i="40"/>
  <c r="EM286" i="40" s="1"/>
  <c r="EQ286" i="40"/>
  <c r="ER286" i="40" s="1"/>
  <c r="FP286" i="40"/>
  <c r="FQ286" i="40" s="1"/>
  <c r="EG286" i="40"/>
  <c r="EB286" i="40"/>
  <c r="EC286" i="40" s="1"/>
  <c r="FK290" i="40"/>
  <c r="FL290" i="40" s="1"/>
  <c r="FF290" i="40"/>
  <c r="FG290" i="40" s="1"/>
  <c r="FA290" i="40"/>
  <c r="FB290" i="40" s="1"/>
  <c r="EV290" i="40"/>
  <c r="EW290" i="40" s="1"/>
  <c r="EL290" i="40"/>
  <c r="EM290" i="40" s="1"/>
  <c r="EQ290" i="40"/>
  <c r="ER290" i="40" s="1"/>
  <c r="FP290" i="40"/>
  <c r="FQ290" i="40" s="1"/>
  <c r="EG290" i="40"/>
  <c r="EH290" i="40" s="1"/>
  <c r="EB290" i="40"/>
  <c r="EC290" i="40" s="1"/>
  <c r="FK295" i="40"/>
  <c r="FL295" i="40" s="1"/>
  <c r="FF295" i="40"/>
  <c r="FG295" i="40" s="1"/>
  <c r="FA295" i="40"/>
  <c r="FB295" i="40" s="1"/>
  <c r="EV295" i="40"/>
  <c r="EW295" i="40" s="1"/>
  <c r="EQ295" i="40"/>
  <c r="ER295" i="40" s="1"/>
  <c r="EL295" i="40"/>
  <c r="EM295" i="40" s="1"/>
  <c r="FP295" i="40"/>
  <c r="FQ295" i="40" s="1"/>
  <c r="EG295" i="40"/>
  <c r="EH295" i="40" s="1"/>
  <c r="EB295" i="40"/>
  <c r="EC295" i="40" s="1"/>
  <c r="FK303" i="40"/>
  <c r="FL303" i="40" s="1"/>
  <c r="FF303" i="40"/>
  <c r="FG303" i="40" s="1"/>
  <c r="FA303" i="40"/>
  <c r="FB303" i="40" s="1"/>
  <c r="EV303" i="40"/>
  <c r="EW303" i="40" s="1"/>
  <c r="EQ303" i="40"/>
  <c r="ER303" i="40" s="1"/>
  <c r="EL303" i="40"/>
  <c r="EM303" i="40" s="1"/>
  <c r="FP303" i="40"/>
  <c r="FQ303" i="40" s="1"/>
  <c r="EG303" i="40"/>
  <c r="EH303" i="40" s="1"/>
  <c r="EB303" i="40"/>
  <c r="EC303" i="40" s="1"/>
  <c r="FK307" i="40"/>
  <c r="FL307" i="40" s="1"/>
  <c r="FF307" i="40"/>
  <c r="FG307" i="40" s="1"/>
  <c r="FA307" i="40"/>
  <c r="FB307" i="40" s="1"/>
  <c r="EV307" i="40"/>
  <c r="EW307" i="40" s="1"/>
  <c r="EQ307" i="40"/>
  <c r="ER307" i="40" s="1"/>
  <c r="EL307" i="40"/>
  <c r="EM307" i="40" s="1"/>
  <c r="FP307" i="40"/>
  <c r="FQ307" i="40" s="1"/>
  <c r="EG307" i="40"/>
  <c r="EB307" i="40"/>
  <c r="EC307" i="40" s="1"/>
  <c r="FK310" i="40"/>
  <c r="FL310" i="40" s="1"/>
  <c r="FF310" i="40"/>
  <c r="FG310" i="40" s="1"/>
  <c r="FA310" i="40"/>
  <c r="FB310" i="40" s="1"/>
  <c r="EV310" i="40"/>
  <c r="EW310" i="40" s="1"/>
  <c r="EL310" i="40"/>
  <c r="EM310" i="40" s="1"/>
  <c r="EQ310" i="40"/>
  <c r="ER310" i="40" s="1"/>
  <c r="FP310" i="40"/>
  <c r="FQ310" i="40" s="1"/>
  <c r="EG310" i="40"/>
  <c r="EH310" i="40" s="1"/>
  <c r="EB310" i="40"/>
  <c r="EC310" i="40" s="1"/>
  <c r="FK315" i="40"/>
  <c r="FL315" i="40" s="1"/>
  <c r="FF315" i="40"/>
  <c r="FG315" i="40" s="1"/>
  <c r="FA315" i="40"/>
  <c r="FB315" i="40" s="1"/>
  <c r="EV315" i="40"/>
  <c r="EW315" i="40" s="1"/>
  <c r="EQ315" i="40"/>
  <c r="ER315" i="40" s="1"/>
  <c r="EL315" i="40"/>
  <c r="EM315" i="40" s="1"/>
  <c r="FP315" i="40"/>
  <c r="FQ315" i="40" s="1"/>
  <c r="EG315" i="40"/>
  <c r="EH315" i="40" s="1"/>
  <c r="EB315" i="40"/>
  <c r="EC315" i="40" s="1"/>
  <c r="FK324" i="40"/>
  <c r="FL324" i="40" s="1"/>
  <c r="FA324" i="40"/>
  <c r="FB324" i="40" s="1"/>
  <c r="FF324" i="40"/>
  <c r="FG324" i="40" s="1"/>
  <c r="EV324" i="40"/>
  <c r="EW324" i="40" s="1"/>
  <c r="EQ324" i="40"/>
  <c r="ER324" i="40" s="1"/>
  <c r="EL324" i="40"/>
  <c r="EM324" i="40" s="1"/>
  <c r="FP324" i="40"/>
  <c r="FQ324" i="40" s="1"/>
  <c r="EG324" i="40"/>
  <c r="EH324" i="40" s="1"/>
  <c r="EB324" i="40"/>
  <c r="EC324" i="40" s="1"/>
  <c r="FK332" i="40"/>
  <c r="FL332" i="40" s="1"/>
  <c r="FA332" i="40"/>
  <c r="FB332" i="40" s="1"/>
  <c r="FF332" i="40"/>
  <c r="FG332" i="40" s="1"/>
  <c r="EV332" i="40"/>
  <c r="EW332" i="40" s="1"/>
  <c r="EQ332" i="40"/>
  <c r="ER332" i="40" s="1"/>
  <c r="EL332" i="40"/>
  <c r="FP332" i="40"/>
  <c r="FQ332" i="40" s="1"/>
  <c r="EG332" i="40"/>
  <c r="EH332" i="40" s="1"/>
  <c r="EB332" i="40"/>
  <c r="EC332" i="40" s="1"/>
  <c r="FK338" i="40"/>
  <c r="FL338" i="40" s="1"/>
  <c r="FF338" i="40"/>
  <c r="FG338" i="40" s="1"/>
  <c r="FA338" i="40"/>
  <c r="FB338" i="40" s="1"/>
  <c r="EV338" i="40"/>
  <c r="EW338" i="40" s="1"/>
  <c r="EL338" i="40"/>
  <c r="EM338" i="40" s="1"/>
  <c r="EQ338" i="40"/>
  <c r="ER338" i="40" s="1"/>
  <c r="EG338" i="40"/>
  <c r="EH338" i="40" s="1"/>
  <c r="FP338" i="40"/>
  <c r="FQ338" i="40" s="1"/>
  <c r="EB338" i="40"/>
  <c r="EC338" i="40" s="1"/>
  <c r="FK353" i="40"/>
  <c r="FL353" i="40" s="1"/>
  <c r="FF353" i="40"/>
  <c r="FG353" i="40" s="1"/>
  <c r="FA353" i="40"/>
  <c r="FB353" i="40" s="1"/>
  <c r="EV353" i="40"/>
  <c r="EW353" i="40" s="1"/>
  <c r="EQ353" i="40"/>
  <c r="ER353" i="40" s="1"/>
  <c r="EL353" i="40"/>
  <c r="EM353" i="40" s="1"/>
  <c r="EG353" i="40"/>
  <c r="EH353" i="40" s="1"/>
  <c r="FP353" i="40"/>
  <c r="FQ353" i="40" s="1"/>
  <c r="EB353" i="40"/>
  <c r="EC353" i="40" s="1"/>
  <c r="FK358" i="40"/>
  <c r="FL358" i="40" s="1"/>
  <c r="FF358" i="40"/>
  <c r="FG358" i="40" s="1"/>
  <c r="FA358" i="40"/>
  <c r="FB358" i="40" s="1"/>
  <c r="EQ358" i="40"/>
  <c r="ER358" i="40" s="1"/>
  <c r="EV358" i="40"/>
  <c r="EW358" i="40" s="1"/>
  <c r="EL358" i="40"/>
  <c r="EM358" i="40" s="1"/>
  <c r="FP358" i="40"/>
  <c r="FQ358" i="40" s="1"/>
  <c r="EG358" i="40"/>
  <c r="EH358" i="40" s="1"/>
  <c r="EB358" i="40"/>
  <c r="EC358" i="40" s="1"/>
  <c r="FK363" i="40"/>
  <c r="FL363" i="40" s="1"/>
  <c r="FF363" i="40"/>
  <c r="FG363" i="40" s="1"/>
  <c r="FA363" i="40"/>
  <c r="FB363" i="40" s="1"/>
  <c r="EV363" i="40"/>
  <c r="EW363" i="40" s="1"/>
  <c r="EQ363" i="40"/>
  <c r="ER363" i="40" s="1"/>
  <c r="EL363" i="40"/>
  <c r="EM363" i="40" s="1"/>
  <c r="FP363" i="40"/>
  <c r="FQ363" i="40" s="1"/>
  <c r="EG363" i="40"/>
  <c r="EH363" i="40" s="1"/>
  <c r="EB363" i="40"/>
  <c r="EC363" i="40" s="1"/>
  <c r="FK369" i="40"/>
  <c r="FL369" i="40" s="1"/>
  <c r="FF369" i="40"/>
  <c r="FG369" i="40" s="1"/>
  <c r="FA369" i="40"/>
  <c r="FB369" i="40" s="1"/>
  <c r="EV369" i="40"/>
  <c r="EW369" i="40" s="1"/>
  <c r="EQ369" i="40"/>
  <c r="ER369" i="40" s="1"/>
  <c r="EL369" i="40"/>
  <c r="EM369" i="40" s="1"/>
  <c r="EG369" i="40"/>
  <c r="EH369" i="40" s="1"/>
  <c r="FP369" i="40"/>
  <c r="FQ369" i="40" s="1"/>
  <c r="EB369" i="40"/>
  <c r="EC369" i="40" s="1"/>
  <c r="FK400" i="40"/>
  <c r="FL400" i="40" s="1"/>
  <c r="FA400" i="40"/>
  <c r="FB400" i="40" s="1"/>
  <c r="FF400" i="40"/>
  <c r="FG400" i="40" s="1"/>
  <c r="EV400" i="40"/>
  <c r="EW400" i="40" s="1"/>
  <c r="EQ400" i="40"/>
  <c r="ER400" i="40" s="1"/>
  <c r="EL400" i="40"/>
  <c r="EM400" i="40" s="1"/>
  <c r="EG400" i="40"/>
  <c r="EH400" i="40" s="1"/>
  <c r="FP400" i="40"/>
  <c r="FQ400" i="40" s="1"/>
  <c r="EB400" i="40"/>
  <c r="EC400" i="40" s="1"/>
  <c r="J66" i="27"/>
  <c r="K65" i="27"/>
  <c r="DJ15" i="40"/>
  <c r="DY15" i="40"/>
  <c r="DR15" i="40"/>
  <c r="DQ15" i="40"/>
  <c r="DP15" i="40"/>
  <c r="DO15" i="40"/>
  <c r="DM15" i="40"/>
  <c r="DN15" i="40"/>
  <c r="DK15" i="40"/>
  <c r="DL15" i="40"/>
  <c r="DY22" i="40"/>
  <c r="DJ22" i="40"/>
  <c r="DR22" i="40"/>
  <c r="DP22" i="40"/>
  <c r="DQ22" i="40"/>
  <c r="DO22" i="40"/>
  <c r="DN22" i="40"/>
  <c r="DM22" i="40"/>
  <c r="DK22" i="40"/>
  <c r="DL22" i="40"/>
  <c r="DY38" i="40"/>
  <c r="DJ38" i="40"/>
  <c r="DR38" i="40"/>
  <c r="DP38" i="40"/>
  <c r="DQ38" i="40"/>
  <c r="DM38" i="40"/>
  <c r="DO38" i="40"/>
  <c r="DN38" i="40"/>
  <c r="DK38" i="40"/>
  <c r="DL38" i="40"/>
  <c r="DY45" i="40"/>
  <c r="DQ45" i="40"/>
  <c r="DR45" i="40"/>
  <c r="DP45" i="40"/>
  <c r="DO45" i="40"/>
  <c r="DN45" i="40"/>
  <c r="DL45" i="40"/>
  <c r="DM45" i="40"/>
  <c r="DJ45" i="40"/>
  <c r="DK45" i="40"/>
  <c r="DY60" i="40"/>
  <c r="DJ60" i="40"/>
  <c r="DR60" i="40"/>
  <c r="DQ60" i="40"/>
  <c r="DP60" i="40"/>
  <c r="DO60" i="40"/>
  <c r="DN60" i="40"/>
  <c r="DM60" i="40"/>
  <c r="DL60" i="40"/>
  <c r="DK60" i="40"/>
  <c r="DY72" i="40"/>
  <c r="DJ72" i="40"/>
  <c r="DR72" i="40"/>
  <c r="DQ72" i="40"/>
  <c r="DP72" i="40"/>
  <c r="DO72" i="40"/>
  <c r="DN72" i="40"/>
  <c r="DK72" i="40"/>
  <c r="DL72" i="40"/>
  <c r="DJ99" i="40"/>
  <c r="DR99" i="40"/>
  <c r="DY99" i="40"/>
  <c r="DP99" i="40"/>
  <c r="DQ99" i="40"/>
  <c r="DO99" i="40"/>
  <c r="DN99" i="40"/>
  <c r="DL99" i="40"/>
  <c r="DM99" i="40"/>
  <c r="DK99" i="40"/>
  <c r="DY113" i="40"/>
  <c r="DR113" i="40"/>
  <c r="DJ113" i="40"/>
  <c r="DQ113" i="40"/>
  <c r="DP113" i="40"/>
  <c r="DO113" i="40"/>
  <c r="DN113" i="40"/>
  <c r="DM113" i="40"/>
  <c r="DL113" i="40"/>
  <c r="DK113" i="40"/>
  <c r="DY126" i="40"/>
  <c r="DJ126" i="40"/>
  <c r="DR126" i="40"/>
  <c r="DQ126" i="40"/>
  <c r="DO126" i="40"/>
  <c r="DP126" i="40"/>
  <c r="DN126" i="40"/>
  <c r="DM126" i="40"/>
  <c r="DL126" i="40"/>
  <c r="DK126" i="40"/>
  <c r="DY142" i="40"/>
  <c r="DR142" i="40"/>
  <c r="DQ142" i="40"/>
  <c r="DP142" i="40"/>
  <c r="DO142" i="40"/>
  <c r="DN142" i="40"/>
  <c r="DM142" i="40"/>
  <c r="DK142" i="40"/>
  <c r="DJ142" i="40"/>
  <c r="DL142" i="40"/>
  <c r="DY159" i="40"/>
  <c r="DR159" i="40"/>
  <c r="DO159" i="40"/>
  <c r="DQ159" i="40"/>
  <c r="DP159" i="40"/>
  <c r="DN159" i="40"/>
  <c r="DL159" i="40"/>
  <c r="DM159" i="40"/>
  <c r="DJ159" i="40"/>
  <c r="DK159" i="40"/>
  <c r="DY176" i="40"/>
  <c r="DR176" i="40"/>
  <c r="DQ176" i="40"/>
  <c r="DP176" i="40"/>
  <c r="DN176" i="40"/>
  <c r="DO176" i="40"/>
  <c r="DM176" i="40"/>
  <c r="DJ176" i="40"/>
  <c r="DL176" i="40"/>
  <c r="DK176" i="40"/>
  <c r="DY181" i="40"/>
  <c r="DR181" i="40"/>
  <c r="DQ181" i="40"/>
  <c r="DP181" i="40"/>
  <c r="DN181" i="40"/>
  <c r="DM181" i="40"/>
  <c r="DL181" i="40"/>
  <c r="DK181" i="40"/>
  <c r="DJ181" i="40"/>
  <c r="DY184" i="40"/>
  <c r="DJ184" i="40"/>
  <c r="DR184" i="40"/>
  <c r="DQ184" i="40"/>
  <c r="DP184" i="40"/>
  <c r="DO184" i="40"/>
  <c r="DL184" i="40"/>
  <c r="DN184" i="40"/>
  <c r="DM184" i="40"/>
  <c r="DK184" i="40"/>
  <c r="DY186" i="40"/>
  <c r="DJ186" i="40"/>
  <c r="DR186" i="40"/>
  <c r="DQ186" i="40"/>
  <c r="DP186" i="40"/>
  <c r="DO186" i="40"/>
  <c r="DN186" i="40"/>
  <c r="DM186" i="40"/>
  <c r="DL186" i="40"/>
  <c r="DK186" i="40"/>
  <c r="DJ191" i="40"/>
  <c r="DY191" i="40"/>
  <c r="DR191" i="40"/>
  <c r="DQ191" i="40"/>
  <c r="DP191" i="40"/>
  <c r="DO191" i="40"/>
  <c r="DN191" i="40"/>
  <c r="DM191" i="40"/>
  <c r="DL191" i="40"/>
  <c r="DK191" i="40"/>
  <c r="DY195" i="40"/>
  <c r="DR195" i="40"/>
  <c r="DJ195" i="40"/>
  <c r="DQ195" i="40"/>
  <c r="DP195" i="40"/>
  <c r="DO195" i="40"/>
  <c r="DM195" i="40"/>
  <c r="DL195" i="40"/>
  <c r="DN195" i="40"/>
  <c r="DK195" i="40"/>
  <c r="DY199" i="40"/>
  <c r="DR199" i="40"/>
  <c r="DQ199" i="40"/>
  <c r="DP199" i="40"/>
  <c r="DO199" i="40"/>
  <c r="DN199" i="40"/>
  <c r="DK199" i="40"/>
  <c r="DM199" i="40"/>
  <c r="DL199" i="40"/>
  <c r="DJ199" i="40"/>
  <c r="DY208" i="40"/>
  <c r="DJ208" i="40"/>
  <c r="DR208" i="40"/>
  <c r="DP208" i="40"/>
  <c r="DQ208" i="40"/>
  <c r="DM208" i="40"/>
  <c r="DO208" i="40"/>
  <c r="DN208" i="40"/>
  <c r="DL208" i="40"/>
  <c r="DY212" i="40"/>
  <c r="DJ212" i="40"/>
  <c r="DR212" i="40"/>
  <c r="DP212" i="40"/>
  <c r="DQ212" i="40"/>
  <c r="DO212" i="40"/>
  <c r="DM212" i="40"/>
  <c r="DN212" i="40"/>
  <c r="DL212" i="40"/>
  <c r="DK212" i="40"/>
  <c r="DY219" i="40"/>
  <c r="DR219" i="40"/>
  <c r="DQ219" i="40"/>
  <c r="DP219" i="40"/>
  <c r="DO219" i="40"/>
  <c r="DN219" i="40"/>
  <c r="DM219" i="40"/>
  <c r="DL219" i="40"/>
  <c r="DK219" i="40"/>
  <c r="DJ219" i="40"/>
  <c r="DY215" i="40"/>
  <c r="DR215" i="40"/>
  <c r="DQ215" i="40"/>
  <c r="DP215" i="40"/>
  <c r="DO215" i="40"/>
  <c r="DN215" i="40"/>
  <c r="DM215" i="40"/>
  <c r="DL215" i="40"/>
  <c r="DK215" i="40"/>
  <c r="DJ215" i="40"/>
  <c r="DY222" i="40"/>
  <c r="DJ222" i="40"/>
  <c r="DR222" i="40"/>
  <c r="DQ222" i="40"/>
  <c r="DO222" i="40"/>
  <c r="DP222" i="40"/>
  <c r="DN222" i="40"/>
  <c r="DM222" i="40"/>
  <c r="DK222" i="40"/>
  <c r="DL222" i="40"/>
  <c r="DY224" i="40"/>
  <c r="DJ224" i="40"/>
  <c r="DR224" i="40"/>
  <c r="DQ224" i="40"/>
  <c r="DP224" i="40"/>
  <c r="DO224" i="40"/>
  <c r="DM224" i="40"/>
  <c r="DN224" i="40"/>
  <c r="DK224" i="40"/>
  <c r="DL224" i="40"/>
  <c r="DY237" i="40"/>
  <c r="DR237" i="40"/>
  <c r="DQ237" i="40"/>
  <c r="DO237" i="40"/>
  <c r="DP237" i="40"/>
  <c r="DN237" i="40"/>
  <c r="DL237" i="40"/>
  <c r="DM237" i="40"/>
  <c r="DJ237" i="40"/>
  <c r="DY239" i="40"/>
  <c r="DR239" i="40"/>
  <c r="DP239" i="40"/>
  <c r="DQ239" i="40"/>
  <c r="DO239" i="40"/>
  <c r="DM239" i="40"/>
  <c r="DN239" i="40"/>
  <c r="DL239" i="40"/>
  <c r="DK239" i="40"/>
  <c r="DJ239" i="40"/>
  <c r="DY247" i="40"/>
  <c r="DR247" i="40"/>
  <c r="DQ247" i="40"/>
  <c r="DP247" i="40"/>
  <c r="DO247" i="40"/>
  <c r="DN247" i="40"/>
  <c r="DM247" i="40"/>
  <c r="DL247" i="40"/>
  <c r="DK247" i="40"/>
  <c r="DJ247" i="40"/>
  <c r="DY249" i="40"/>
  <c r="DJ249" i="40"/>
  <c r="DR249" i="40"/>
  <c r="DQ249" i="40"/>
  <c r="DP249" i="40"/>
  <c r="DO249" i="40"/>
  <c r="DN249" i="40"/>
  <c r="DL249" i="40"/>
  <c r="DM249" i="40"/>
  <c r="DK249" i="40"/>
  <c r="DY253" i="40"/>
  <c r="DR253" i="40"/>
  <c r="DQ253" i="40"/>
  <c r="DP253" i="40"/>
  <c r="DO253" i="40"/>
  <c r="DN253" i="40"/>
  <c r="DM253" i="40"/>
  <c r="DL253" i="40"/>
  <c r="DK253" i="40"/>
  <c r="DJ253" i="40"/>
  <c r="DY266" i="40"/>
  <c r="DJ266" i="40"/>
  <c r="DR266" i="40"/>
  <c r="DQ266" i="40"/>
  <c r="DP266" i="40"/>
  <c r="DO266" i="40"/>
  <c r="DN266" i="40"/>
  <c r="DL266" i="40"/>
  <c r="DM266" i="40"/>
  <c r="DK266" i="40"/>
  <c r="DY282" i="40"/>
  <c r="DJ282" i="40"/>
  <c r="DR282" i="40"/>
  <c r="DQ282" i="40"/>
  <c r="DP282" i="40"/>
  <c r="DO282" i="40"/>
  <c r="DN282" i="40"/>
  <c r="DM282" i="40"/>
  <c r="DL282" i="40"/>
  <c r="DK282" i="40"/>
  <c r="DY287" i="40"/>
  <c r="DJ287" i="40"/>
  <c r="DR287" i="40"/>
  <c r="DQ287" i="40"/>
  <c r="DP287" i="40"/>
  <c r="DO287" i="40"/>
  <c r="DN287" i="40"/>
  <c r="DM287" i="40"/>
  <c r="DL287" i="40"/>
  <c r="DK287" i="40"/>
  <c r="DY299" i="40"/>
  <c r="DJ299" i="40"/>
  <c r="DR299" i="40"/>
  <c r="DQ299" i="40"/>
  <c r="DP299" i="40"/>
  <c r="DO299" i="40"/>
  <c r="DN299" i="40"/>
  <c r="DL299" i="40"/>
  <c r="DM299" i="40"/>
  <c r="DK299" i="40"/>
  <c r="DY319" i="40"/>
  <c r="DP319" i="40"/>
  <c r="DO319" i="40"/>
  <c r="DQ319" i="40"/>
  <c r="DM319" i="40"/>
  <c r="DN319" i="40"/>
  <c r="DL319" i="40"/>
  <c r="DK319" i="40"/>
  <c r="DJ319" i="40"/>
  <c r="DY325" i="40"/>
  <c r="DR325" i="40"/>
  <c r="DQ325" i="40"/>
  <c r="DP325" i="40"/>
  <c r="DO325" i="40"/>
  <c r="DN325" i="40"/>
  <c r="DM325" i="40"/>
  <c r="DK325" i="40"/>
  <c r="DJ325" i="40"/>
  <c r="DL325" i="40"/>
  <c r="DY333" i="40"/>
  <c r="DR333" i="40"/>
  <c r="DQ333" i="40"/>
  <c r="DP333" i="40"/>
  <c r="DO333" i="40"/>
  <c r="DN333" i="40"/>
  <c r="DM333" i="40"/>
  <c r="DK333" i="40"/>
  <c r="DL333" i="40"/>
  <c r="DJ333" i="40"/>
  <c r="DY339" i="40"/>
  <c r="DJ339" i="40"/>
  <c r="DR339" i="40"/>
  <c r="DQ339" i="40"/>
  <c r="DP339" i="40"/>
  <c r="DM339" i="40"/>
  <c r="DO339" i="40"/>
  <c r="DL339" i="40"/>
  <c r="DK339" i="40"/>
  <c r="DY359" i="40"/>
  <c r="DJ359" i="40"/>
  <c r="DR359" i="40"/>
  <c r="DQ359" i="40"/>
  <c r="DP359" i="40"/>
  <c r="DM359" i="40"/>
  <c r="DO359" i="40"/>
  <c r="DN359" i="40"/>
  <c r="DK359" i="40"/>
  <c r="DY401" i="40"/>
  <c r="DJ401" i="40"/>
  <c r="DR401" i="40"/>
  <c r="DQ401" i="40"/>
  <c r="DP401" i="40"/>
  <c r="DO401" i="40"/>
  <c r="DM401" i="40"/>
  <c r="DL401" i="40"/>
  <c r="DK401" i="40"/>
  <c r="DY8" i="40"/>
  <c r="DJ8" i="40"/>
  <c r="DR8" i="40"/>
  <c r="DQ8" i="40"/>
  <c r="DN8" i="40"/>
  <c r="DP8" i="40"/>
  <c r="DO8" i="40"/>
  <c r="DM8" i="40"/>
  <c r="DL8" i="40"/>
  <c r="DY12" i="40"/>
  <c r="DJ12" i="40"/>
  <c r="DQ12" i="40"/>
  <c r="DR12" i="40"/>
  <c r="DO12" i="40"/>
  <c r="DP12" i="40"/>
  <c r="DL12" i="40"/>
  <c r="DM12" i="40"/>
  <c r="DK12" i="40"/>
  <c r="DY26" i="40"/>
  <c r="DJ26" i="40"/>
  <c r="DR26" i="40"/>
  <c r="DQ26" i="40"/>
  <c r="DP26" i="40"/>
  <c r="DO26" i="40"/>
  <c r="DM26" i="40"/>
  <c r="DN26" i="40"/>
  <c r="DL26" i="40"/>
  <c r="DK26" i="40"/>
  <c r="DY42" i="40"/>
  <c r="DJ42" i="40"/>
  <c r="DR42" i="40"/>
  <c r="DQ42" i="40"/>
  <c r="DP42" i="40"/>
  <c r="DO42" i="40"/>
  <c r="DM42" i="40"/>
  <c r="DN42" i="40"/>
  <c r="DL42" i="40"/>
  <c r="DK42" i="40"/>
  <c r="DY55" i="40"/>
  <c r="DJ55" i="40"/>
  <c r="DR55" i="40"/>
  <c r="DQ55" i="40"/>
  <c r="DP55" i="40"/>
  <c r="DO55" i="40"/>
  <c r="DN55" i="40"/>
  <c r="DM55" i="40"/>
  <c r="DK55" i="40"/>
  <c r="DL55" i="40"/>
  <c r="DY67" i="40"/>
  <c r="DJ67" i="40"/>
  <c r="DR67" i="40"/>
  <c r="DQ67" i="40"/>
  <c r="DP67" i="40"/>
  <c r="DM67" i="40"/>
  <c r="DO67" i="40"/>
  <c r="DN67" i="40"/>
  <c r="DK67" i="40"/>
  <c r="DL67" i="40"/>
  <c r="DY85" i="40"/>
  <c r="DJ85" i="40"/>
  <c r="DR85" i="40"/>
  <c r="DQ85" i="40"/>
  <c r="DP85" i="40"/>
  <c r="DN85" i="40"/>
  <c r="DO85" i="40"/>
  <c r="DL85" i="40"/>
  <c r="DM85" i="40"/>
  <c r="DK85" i="40"/>
  <c r="DY106" i="40"/>
  <c r="DR106" i="40"/>
  <c r="DQ106" i="40"/>
  <c r="DO106" i="40"/>
  <c r="DP106" i="40"/>
  <c r="DN106" i="40"/>
  <c r="DM106" i="40"/>
  <c r="DL106" i="40"/>
  <c r="DK106" i="40"/>
  <c r="DJ106" i="40"/>
  <c r="DY120" i="40"/>
  <c r="DR120" i="40"/>
  <c r="DQ120" i="40"/>
  <c r="DP120" i="40"/>
  <c r="DN120" i="40"/>
  <c r="DO120" i="40"/>
  <c r="DM120" i="40"/>
  <c r="DL120" i="40"/>
  <c r="DK120" i="40"/>
  <c r="DJ120" i="40"/>
  <c r="DY7" i="40"/>
  <c r="DR7" i="40"/>
  <c r="DQ7" i="40"/>
  <c r="DP7" i="40"/>
  <c r="DO7" i="40"/>
  <c r="DN7" i="40"/>
  <c r="DM7" i="40"/>
  <c r="DL7" i="40"/>
  <c r="DK7" i="40"/>
  <c r="DY13" i="40"/>
  <c r="DR13" i="40"/>
  <c r="DP13" i="40"/>
  <c r="DQ13" i="40"/>
  <c r="DO13" i="40"/>
  <c r="DM13" i="40"/>
  <c r="DN13" i="40"/>
  <c r="DK13" i="40"/>
  <c r="DJ13" i="40"/>
  <c r="DL13" i="40"/>
  <c r="DY17" i="40"/>
  <c r="DR17" i="40"/>
  <c r="DQ17" i="40"/>
  <c r="DP17" i="40"/>
  <c r="DM17" i="40"/>
  <c r="DN17" i="40"/>
  <c r="DO17" i="40"/>
  <c r="DK17" i="40"/>
  <c r="DL17" i="40"/>
  <c r="DJ17" i="40"/>
  <c r="DY23" i="40"/>
  <c r="DJ23" i="40"/>
  <c r="DR23" i="40"/>
  <c r="DQ23" i="40"/>
  <c r="DP23" i="40"/>
  <c r="DO23" i="40"/>
  <c r="DN23" i="40"/>
  <c r="DM23" i="40"/>
  <c r="DK23" i="40"/>
  <c r="DL23" i="40"/>
  <c r="DY27" i="40"/>
  <c r="DJ27" i="40"/>
  <c r="DR27" i="40"/>
  <c r="DQ27" i="40"/>
  <c r="DP27" i="40"/>
  <c r="DN27" i="40"/>
  <c r="DO27" i="40"/>
  <c r="DM27" i="40"/>
  <c r="DK27" i="40"/>
  <c r="DL27" i="40"/>
  <c r="DY30" i="40"/>
  <c r="DJ30" i="40"/>
  <c r="DR30" i="40"/>
  <c r="DP30" i="40"/>
  <c r="DQ30" i="40"/>
  <c r="DO30" i="40"/>
  <c r="DK30" i="40"/>
  <c r="DN30" i="40"/>
  <c r="DM30" i="40"/>
  <c r="DL30" i="40"/>
  <c r="DJ79" i="40"/>
  <c r="DY79" i="40"/>
  <c r="DR79" i="40"/>
  <c r="DP79" i="40"/>
  <c r="DQ79" i="40"/>
  <c r="DO79" i="40"/>
  <c r="DN79" i="40"/>
  <c r="DM79" i="40"/>
  <c r="DK79" i="40"/>
  <c r="DL79" i="40"/>
  <c r="DY86" i="40"/>
  <c r="DJ86" i="40"/>
  <c r="DR86" i="40"/>
  <c r="DQ86" i="40"/>
  <c r="DP86" i="40"/>
  <c r="DO86" i="40"/>
  <c r="DM86" i="40"/>
  <c r="DN86" i="40"/>
  <c r="DL86" i="40"/>
  <c r="DK86" i="40"/>
  <c r="DY107" i="40"/>
  <c r="DJ107" i="40"/>
  <c r="DR107" i="40"/>
  <c r="DQ107" i="40"/>
  <c r="DP107" i="40"/>
  <c r="DO107" i="40"/>
  <c r="DL107" i="40"/>
  <c r="DN107" i="40"/>
  <c r="DM107" i="40"/>
  <c r="DK107" i="40"/>
  <c r="DY114" i="40"/>
  <c r="DR114" i="40"/>
  <c r="DQ114" i="40"/>
  <c r="DP114" i="40"/>
  <c r="DO114" i="40"/>
  <c r="DN114" i="40"/>
  <c r="DM114" i="40"/>
  <c r="DL114" i="40"/>
  <c r="DK114" i="40"/>
  <c r="DJ114" i="40"/>
  <c r="DY116" i="40"/>
  <c r="DJ116" i="40"/>
  <c r="DR116" i="40"/>
  <c r="DP116" i="40"/>
  <c r="DQ116" i="40"/>
  <c r="DO116" i="40"/>
  <c r="DN116" i="40"/>
  <c r="DL116" i="40"/>
  <c r="DK116" i="40"/>
  <c r="DM116" i="40"/>
  <c r="DY121" i="40"/>
  <c r="DR121" i="40"/>
  <c r="DQ121" i="40"/>
  <c r="DP121" i="40"/>
  <c r="DO121" i="40"/>
  <c r="DN121" i="40"/>
  <c r="DM121" i="40"/>
  <c r="DK121" i="40"/>
  <c r="DL121" i="40"/>
  <c r="DY134" i="40"/>
  <c r="DR134" i="40"/>
  <c r="DQ134" i="40"/>
  <c r="DP134" i="40"/>
  <c r="DO134" i="40"/>
  <c r="DN134" i="40"/>
  <c r="DM134" i="40"/>
  <c r="DL134" i="40"/>
  <c r="DK134" i="40"/>
  <c r="DJ134" i="40"/>
  <c r="DY187" i="40"/>
  <c r="DR187" i="40"/>
  <c r="DP187" i="40"/>
  <c r="DQ187" i="40"/>
  <c r="DM187" i="40"/>
  <c r="DO187" i="40"/>
  <c r="DN187" i="40"/>
  <c r="DK187" i="40"/>
  <c r="DL187" i="40"/>
  <c r="DJ187" i="40"/>
  <c r="DY200" i="40"/>
  <c r="DJ200" i="40"/>
  <c r="DR200" i="40"/>
  <c r="DQ200" i="40"/>
  <c r="DP200" i="40"/>
  <c r="DO200" i="40"/>
  <c r="DM200" i="40"/>
  <c r="DN200" i="40"/>
  <c r="DL200" i="40"/>
  <c r="DK200" i="40"/>
  <c r="DY206" i="40"/>
  <c r="DR206" i="40"/>
  <c r="DQ206" i="40"/>
  <c r="DO206" i="40"/>
  <c r="DP206" i="40"/>
  <c r="DM206" i="40"/>
  <c r="DN206" i="40"/>
  <c r="DJ206" i="40"/>
  <c r="DL206" i="40"/>
  <c r="DK206" i="40"/>
  <c r="DY234" i="40"/>
  <c r="DJ234" i="40"/>
  <c r="DR234" i="40"/>
  <c r="DQ234" i="40"/>
  <c r="DP234" i="40"/>
  <c r="DO234" i="40"/>
  <c r="DM234" i="40"/>
  <c r="DN234" i="40"/>
  <c r="DL234" i="40"/>
  <c r="DK234" i="40"/>
  <c r="DY244" i="40"/>
  <c r="DJ244" i="40"/>
  <c r="DR244" i="40"/>
  <c r="DQ244" i="40"/>
  <c r="DO244" i="40"/>
  <c r="DP244" i="40"/>
  <c r="DN244" i="40"/>
  <c r="DM244" i="40"/>
  <c r="DL244" i="40"/>
  <c r="DK244" i="40"/>
  <c r="DY262" i="40"/>
  <c r="DJ262" i="40"/>
  <c r="DR262" i="40"/>
  <c r="DQ262" i="40"/>
  <c r="DP262" i="40"/>
  <c r="DO262" i="40"/>
  <c r="DM262" i="40"/>
  <c r="DN262" i="40"/>
  <c r="DL262" i="40"/>
  <c r="DK262" i="40"/>
  <c r="DY267" i="40"/>
  <c r="DR267" i="40"/>
  <c r="DQ267" i="40"/>
  <c r="DP267" i="40"/>
  <c r="DO267" i="40"/>
  <c r="DN267" i="40"/>
  <c r="DM267" i="40"/>
  <c r="DK267" i="40"/>
  <c r="DJ267" i="40"/>
  <c r="DL267" i="40"/>
  <c r="DY279" i="40"/>
  <c r="DJ279" i="40"/>
  <c r="DR279" i="40"/>
  <c r="DQ279" i="40"/>
  <c r="DP279" i="40"/>
  <c r="DO279" i="40"/>
  <c r="DM279" i="40"/>
  <c r="DL279" i="40"/>
  <c r="DK279" i="40"/>
  <c r="DY288" i="40"/>
  <c r="DR288" i="40"/>
  <c r="DQ288" i="40"/>
  <c r="DP288" i="40"/>
  <c r="DO288" i="40"/>
  <c r="DM288" i="40"/>
  <c r="DN288" i="40"/>
  <c r="DK288" i="40"/>
  <c r="DL288" i="40"/>
  <c r="DJ288" i="40"/>
  <c r="DY313" i="40"/>
  <c r="DR313" i="40"/>
  <c r="DQ313" i="40"/>
  <c r="DP313" i="40"/>
  <c r="DO313" i="40"/>
  <c r="DM313" i="40"/>
  <c r="DN313" i="40"/>
  <c r="DK313" i="40"/>
  <c r="DL313" i="40"/>
  <c r="DJ313" i="40"/>
  <c r="DY330" i="40"/>
  <c r="DR330" i="40"/>
  <c r="DQ330" i="40"/>
  <c r="DP330" i="40"/>
  <c r="DO330" i="40"/>
  <c r="DM330" i="40"/>
  <c r="DN330" i="40"/>
  <c r="DL330" i="40"/>
  <c r="DK330" i="40"/>
  <c r="DJ330" i="40"/>
  <c r="DY388" i="40"/>
  <c r="DR388" i="40"/>
  <c r="DQ388" i="40"/>
  <c r="DP388" i="40"/>
  <c r="DO388" i="40"/>
  <c r="DL388" i="40"/>
  <c r="DM388" i="40"/>
  <c r="DK388" i="40"/>
  <c r="DJ388" i="40"/>
  <c r="DY14" i="40"/>
  <c r="DJ14" i="40"/>
  <c r="DR14" i="40"/>
  <c r="DP14" i="40"/>
  <c r="DN14" i="40"/>
  <c r="DO14" i="40"/>
  <c r="DM14" i="40"/>
  <c r="DL14" i="40"/>
  <c r="DK14" i="40"/>
  <c r="DY18" i="40"/>
  <c r="DJ18" i="40"/>
  <c r="DR18" i="40"/>
  <c r="DP18" i="40"/>
  <c r="DQ18" i="40"/>
  <c r="DN18" i="40"/>
  <c r="DO18" i="40"/>
  <c r="DM18" i="40"/>
  <c r="DK18" i="40"/>
  <c r="DL18" i="40"/>
  <c r="DY24" i="40"/>
  <c r="DJ24" i="40"/>
  <c r="DQ24" i="40"/>
  <c r="DR24" i="40"/>
  <c r="DP24" i="40"/>
  <c r="DN24" i="40"/>
  <c r="DO24" i="40"/>
  <c r="DM24" i="40"/>
  <c r="DL24" i="40"/>
  <c r="DK24" i="40"/>
  <c r="DJ31" i="40"/>
  <c r="DY31" i="40"/>
  <c r="DR31" i="40"/>
  <c r="DQ31" i="40"/>
  <c r="DP31" i="40"/>
  <c r="DO31" i="40"/>
  <c r="DN31" i="40"/>
  <c r="DM31" i="40"/>
  <c r="DL31" i="40"/>
  <c r="DY34" i="40"/>
  <c r="DJ34" i="40"/>
  <c r="DR34" i="40"/>
  <c r="DP34" i="40"/>
  <c r="DQ34" i="40"/>
  <c r="DN34" i="40"/>
  <c r="DO34" i="40"/>
  <c r="DM34" i="40"/>
  <c r="DK34" i="40"/>
  <c r="DL34" i="40"/>
  <c r="DY95" i="40"/>
  <c r="DJ95" i="40"/>
  <c r="DR95" i="40"/>
  <c r="DP95" i="40"/>
  <c r="DQ95" i="40"/>
  <c r="DO95" i="40"/>
  <c r="DN95" i="40"/>
  <c r="DM95" i="40"/>
  <c r="DL95" i="40"/>
  <c r="DK95" i="40"/>
  <c r="DY101" i="40"/>
  <c r="DJ101" i="40"/>
  <c r="DR101" i="40"/>
  <c r="DQ101" i="40"/>
  <c r="DP101" i="40"/>
  <c r="DO101" i="40"/>
  <c r="DN101" i="40"/>
  <c r="DM101" i="40"/>
  <c r="DK101" i="40"/>
  <c r="DL101" i="40"/>
  <c r="DY108" i="40"/>
  <c r="DJ108" i="40"/>
  <c r="DR108" i="40"/>
  <c r="DP108" i="40"/>
  <c r="DQ108" i="40"/>
  <c r="DN108" i="40"/>
  <c r="DO108" i="40"/>
  <c r="DL108" i="40"/>
  <c r="DK108" i="40"/>
  <c r="DM108" i="40"/>
  <c r="DY117" i="40"/>
  <c r="DJ117" i="40"/>
  <c r="DR117" i="40"/>
  <c r="DQ117" i="40"/>
  <c r="DP117" i="40"/>
  <c r="DO117" i="40"/>
  <c r="DN117" i="40"/>
  <c r="DM117" i="40"/>
  <c r="DL117" i="40"/>
  <c r="DK117" i="40"/>
  <c r="DY122" i="40"/>
  <c r="DJ122" i="40"/>
  <c r="DR122" i="40"/>
  <c r="DQ122" i="40"/>
  <c r="DP122" i="40"/>
  <c r="DO122" i="40"/>
  <c r="DN122" i="40"/>
  <c r="DM122" i="40"/>
  <c r="DK122" i="40"/>
  <c r="DL122" i="40"/>
  <c r="DY127" i="40"/>
  <c r="DJ127" i="40"/>
  <c r="DR127" i="40"/>
  <c r="DQ127" i="40"/>
  <c r="DP127" i="40"/>
  <c r="DO127" i="40"/>
  <c r="DN127" i="40"/>
  <c r="DM127" i="40"/>
  <c r="DL127" i="40"/>
  <c r="DK127" i="40"/>
  <c r="DY135" i="40"/>
  <c r="DJ135" i="40"/>
  <c r="DR135" i="40"/>
  <c r="DQ135" i="40"/>
  <c r="DP135" i="40"/>
  <c r="DO135" i="40"/>
  <c r="DM135" i="40"/>
  <c r="DN135" i="40"/>
  <c r="DL135" i="40"/>
  <c r="DK135" i="40"/>
  <c r="DY143" i="40"/>
  <c r="DJ143" i="40"/>
  <c r="DR143" i="40"/>
  <c r="DQ143" i="40"/>
  <c r="DP143" i="40"/>
  <c r="DO143" i="40"/>
  <c r="DN143" i="40"/>
  <c r="DM143" i="40"/>
  <c r="DL143" i="40"/>
  <c r="DY164" i="40"/>
  <c r="DR164" i="40"/>
  <c r="DQ164" i="40"/>
  <c r="DP164" i="40"/>
  <c r="DO164" i="40"/>
  <c r="DN164" i="40"/>
  <c r="DK164" i="40"/>
  <c r="DM164" i="40"/>
  <c r="DL164" i="40"/>
  <c r="DJ164" i="40"/>
  <c r="DY167" i="40"/>
  <c r="DJ167" i="40"/>
  <c r="DR167" i="40"/>
  <c r="DQ167" i="40"/>
  <c r="DO167" i="40"/>
  <c r="DP167" i="40"/>
  <c r="DN167" i="40"/>
  <c r="DM167" i="40"/>
  <c r="DL167" i="40"/>
  <c r="DK167" i="40"/>
  <c r="DY170" i="40"/>
  <c r="DR170" i="40"/>
  <c r="DQ170" i="40"/>
  <c r="DP170" i="40"/>
  <c r="DO170" i="40"/>
  <c r="DM170" i="40"/>
  <c r="DN170" i="40"/>
  <c r="DJ170" i="40"/>
  <c r="DL170" i="40"/>
  <c r="DK170" i="40"/>
  <c r="DY172" i="40"/>
  <c r="DR172" i="40"/>
  <c r="DQ172" i="40"/>
  <c r="DP172" i="40"/>
  <c r="DN172" i="40"/>
  <c r="DO172" i="40"/>
  <c r="DM172" i="40"/>
  <c r="DL172" i="40"/>
  <c r="DK172" i="40"/>
  <c r="DJ172" i="40"/>
  <c r="DJ179" i="40"/>
  <c r="DR179" i="40"/>
  <c r="DY179" i="40"/>
  <c r="DQ179" i="40"/>
  <c r="DP179" i="40"/>
  <c r="DO179" i="40"/>
  <c r="DM179" i="40"/>
  <c r="DN179" i="40"/>
  <c r="DL179" i="40"/>
  <c r="DY182" i="40"/>
  <c r="DR182" i="40"/>
  <c r="DQ182" i="40"/>
  <c r="DP182" i="40"/>
  <c r="DO182" i="40"/>
  <c r="DN182" i="40"/>
  <c r="DK182" i="40"/>
  <c r="DM182" i="40"/>
  <c r="DL182" i="40"/>
  <c r="DJ182" i="40"/>
  <c r="DY188" i="40"/>
  <c r="DR188" i="40"/>
  <c r="DJ188" i="40"/>
  <c r="DQ188" i="40"/>
  <c r="DP188" i="40"/>
  <c r="DO188" i="40"/>
  <c r="DN188" i="40"/>
  <c r="DM188" i="40"/>
  <c r="DL188" i="40"/>
  <c r="DK188" i="40"/>
  <c r="DY201" i="40"/>
  <c r="DJ201" i="40"/>
  <c r="DR201" i="40"/>
  <c r="DQ201" i="40"/>
  <c r="DO201" i="40"/>
  <c r="DP201" i="40"/>
  <c r="DN201" i="40"/>
  <c r="DM201" i="40"/>
  <c r="DK201" i="40"/>
  <c r="DL201" i="40"/>
  <c r="DY217" i="40"/>
  <c r="DJ217" i="40"/>
  <c r="DR217" i="40"/>
  <c r="DP217" i="40"/>
  <c r="DQ217" i="40"/>
  <c r="DO217" i="40"/>
  <c r="DN217" i="40"/>
  <c r="DK217" i="40"/>
  <c r="DM217" i="40"/>
  <c r="DL217" i="40"/>
  <c r="DY251" i="40"/>
  <c r="DR251" i="40"/>
  <c r="DP251" i="40"/>
  <c r="DQ251" i="40"/>
  <c r="DO251" i="40"/>
  <c r="DM251" i="40"/>
  <c r="DN251" i="40"/>
  <c r="DK251" i="40"/>
  <c r="DL251" i="40"/>
  <c r="DJ251" i="40"/>
  <c r="DY259" i="40"/>
  <c r="DR259" i="40"/>
  <c r="DQ259" i="40"/>
  <c r="DP259" i="40"/>
  <c r="DO259" i="40"/>
  <c r="DN259" i="40"/>
  <c r="DL259" i="40"/>
  <c r="DM259" i="40"/>
  <c r="DK259" i="40"/>
  <c r="DJ259" i="40"/>
  <c r="DY268" i="40"/>
  <c r="DR268" i="40"/>
  <c r="DJ268" i="40"/>
  <c r="DQ268" i="40"/>
  <c r="DP268" i="40"/>
  <c r="DO268" i="40"/>
  <c r="DM268" i="40"/>
  <c r="DN268" i="40"/>
  <c r="DL268" i="40"/>
  <c r="DK268" i="40"/>
  <c r="DY277" i="40"/>
  <c r="DR277" i="40"/>
  <c r="DJ277" i="40"/>
  <c r="DP277" i="40"/>
  <c r="DQ277" i="40"/>
  <c r="DN277" i="40"/>
  <c r="DO277" i="40"/>
  <c r="DM277" i="40"/>
  <c r="DL277" i="40"/>
  <c r="DK277" i="40"/>
  <c r="DY285" i="40"/>
  <c r="DJ285" i="40"/>
  <c r="DR285" i="40"/>
  <c r="DQ285" i="40"/>
  <c r="DP285" i="40"/>
  <c r="DM285" i="40"/>
  <c r="DO285" i="40"/>
  <c r="DN285" i="40"/>
  <c r="DL285" i="40"/>
  <c r="DK285" i="40"/>
  <c r="DY294" i="40"/>
  <c r="DJ294" i="40"/>
  <c r="DR294" i="40"/>
  <c r="DQ294" i="40"/>
  <c r="DP294" i="40"/>
  <c r="DO294" i="40"/>
  <c r="DN294" i="40"/>
  <c r="DM294" i="40"/>
  <c r="DL294" i="40"/>
  <c r="DK294" i="40"/>
  <c r="DY309" i="40"/>
  <c r="DR309" i="40"/>
  <c r="DQ309" i="40"/>
  <c r="DP309" i="40"/>
  <c r="DO309" i="40"/>
  <c r="DN309" i="40"/>
  <c r="DM309" i="40"/>
  <c r="DL309" i="40"/>
  <c r="DK309" i="40"/>
  <c r="DJ309" i="40"/>
  <c r="DY314" i="40"/>
  <c r="DR314" i="40"/>
  <c r="DQ314" i="40"/>
  <c r="DP314" i="40"/>
  <c r="DO314" i="40"/>
  <c r="DN314" i="40"/>
  <c r="DM314" i="40"/>
  <c r="DJ314" i="40"/>
  <c r="DL314" i="40"/>
  <c r="DK314" i="40"/>
  <c r="DY323" i="40"/>
  <c r="DJ323" i="40"/>
  <c r="DR323" i="40"/>
  <c r="DQ323" i="40"/>
  <c r="DO323" i="40"/>
  <c r="DP323" i="40"/>
  <c r="DM323" i="40"/>
  <c r="DN323" i="40"/>
  <c r="DL323" i="40"/>
  <c r="DK323" i="40"/>
  <c r="DY331" i="40"/>
  <c r="DJ331" i="40"/>
  <c r="DR331" i="40"/>
  <c r="DQ331" i="40"/>
  <c r="DP331" i="40"/>
  <c r="DO331" i="40"/>
  <c r="DM331" i="40"/>
  <c r="DN331" i="40"/>
  <c r="DL331" i="40"/>
  <c r="DK331" i="40"/>
  <c r="DY337" i="40"/>
  <c r="DJ337" i="40"/>
  <c r="DR337" i="40"/>
  <c r="DP337" i="40"/>
  <c r="DQ337" i="40"/>
  <c r="DN337" i="40"/>
  <c r="DM337" i="40"/>
  <c r="DK337" i="40"/>
  <c r="DL337" i="40"/>
  <c r="DY352" i="40"/>
  <c r="DR352" i="40"/>
  <c r="DQ352" i="40"/>
  <c r="DP352" i="40"/>
  <c r="DM352" i="40"/>
  <c r="DN352" i="40"/>
  <c r="DL352" i="40"/>
  <c r="DK352" i="40"/>
  <c r="DJ352" i="40"/>
  <c r="DY357" i="40"/>
  <c r="DR357" i="40"/>
  <c r="DQ357" i="40"/>
  <c r="DO357" i="40"/>
  <c r="DP357" i="40"/>
  <c r="DN357" i="40"/>
  <c r="DM357" i="40"/>
  <c r="DK357" i="40"/>
  <c r="DJ357" i="40"/>
  <c r="DL357" i="40"/>
  <c r="DY362" i="40"/>
  <c r="DR362" i="40"/>
  <c r="DP362" i="40"/>
  <c r="DQ362" i="40"/>
  <c r="DO362" i="40"/>
  <c r="DN362" i="40"/>
  <c r="DL362" i="40"/>
  <c r="DM362" i="40"/>
  <c r="DK362" i="40"/>
  <c r="DJ362" i="40"/>
  <c r="DY365" i="40"/>
  <c r="DJ365" i="40"/>
  <c r="DR365" i="40"/>
  <c r="DQ365" i="40"/>
  <c r="DO365" i="40"/>
  <c r="DP365" i="40"/>
  <c r="DN365" i="40"/>
  <c r="DK365" i="40"/>
  <c r="DL365" i="40"/>
  <c r="DM365" i="40"/>
  <c r="DY370" i="40"/>
  <c r="DR370" i="40"/>
  <c r="DQ370" i="40"/>
  <c r="DP370" i="40"/>
  <c r="DO370" i="40"/>
  <c r="DN370" i="40"/>
  <c r="DL370" i="40"/>
  <c r="DM370" i="40"/>
  <c r="DK370" i="40"/>
  <c r="DJ370" i="40"/>
  <c r="DY393" i="40"/>
  <c r="DR393" i="40"/>
  <c r="DQ393" i="40"/>
  <c r="DP393" i="40"/>
  <c r="DN393" i="40"/>
  <c r="DM393" i="40"/>
  <c r="DL393" i="40"/>
  <c r="DK393" i="40"/>
  <c r="DJ393" i="40"/>
  <c r="DY9" i="40"/>
  <c r="DR9" i="40"/>
  <c r="DP9" i="40"/>
  <c r="DO9" i="40"/>
  <c r="DN9" i="40"/>
  <c r="DM9" i="40"/>
  <c r="DK9" i="40"/>
  <c r="DL9" i="40"/>
  <c r="DJ9" i="40"/>
  <c r="DJ19" i="40"/>
  <c r="DY19" i="40"/>
  <c r="DR19" i="40"/>
  <c r="DP19" i="40"/>
  <c r="DQ19" i="40"/>
  <c r="DO19" i="40"/>
  <c r="DM19" i="40"/>
  <c r="DN19" i="40"/>
  <c r="DL19" i="40"/>
  <c r="DK19" i="40"/>
  <c r="DY21" i="40"/>
  <c r="DR21" i="40"/>
  <c r="DQ21" i="40"/>
  <c r="DP21" i="40"/>
  <c r="DM21" i="40"/>
  <c r="DN21" i="40"/>
  <c r="DO21" i="40"/>
  <c r="DK21" i="40"/>
  <c r="DL21" i="40"/>
  <c r="DJ21" i="40"/>
  <c r="DY25" i="40"/>
  <c r="DR25" i="40"/>
  <c r="DQ25" i="40"/>
  <c r="DP25" i="40"/>
  <c r="DO25" i="40"/>
  <c r="DM25" i="40"/>
  <c r="DK25" i="40"/>
  <c r="DL25" i="40"/>
  <c r="DJ25" i="40"/>
  <c r="DY44" i="40"/>
  <c r="DJ44" i="40"/>
  <c r="DR44" i="40"/>
  <c r="DQ44" i="40"/>
  <c r="DP44" i="40"/>
  <c r="DO44" i="40"/>
  <c r="DN44" i="40"/>
  <c r="DM44" i="40"/>
  <c r="DK44" i="40"/>
  <c r="DJ51" i="40"/>
  <c r="DY51" i="40"/>
  <c r="DR51" i="40"/>
  <c r="DQ51" i="40"/>
  <c r="DP51" i="40"/>
  <c r="DO51" i="40"/>
  <c r="DK51" i="40"/>
  <c r="DM51" i="40"/>
  <c r="DN51" i="40"/>
  <c r="DL51" i="40"/>
  <c r="DY53" i="40"/>
  <c r="DJ53" i="40"/>
  <c r="DR53" i="40"/>
  <c r="DQ53" i="40"/>
  <c r="DP53" i="40"/>
  <c r="DO53" i="40"/>
  <c r="DN53" i="40"/>
  <c r="DM53" i="40"/>
  <c r="DL53" i="40"/>
  <c r="DK53" i="40"/>
  <c r="DY59" i="40"/>
  <c r="DJ59" i="40"/>
  <c r="DR59" i="40"/>
  <c r="DQ59" i="40"/>
  <c r="DP59" i="40"/>
  <c r="DO59" i="40"/>
  <c r="DM59" i="40"/>
  <c r="DK59" i="40"/>
  <c r="DL59" i="40"/>
  <c r="DY66" i="40"/>
  <c r="DR66" i="40"/>
  <c r="DP66" i="40"/>
  <c r="DQ66" i="40"/>
  <c r="DO66" i="40"/>
  <c r="DN66" i="40"/>
  <c r="DL66" i="40"/>
  <c r="DM66" i="40"/>
  <c r="DK66" i="40"/>
  <c r="DJ66" i="40"/>
  <c r="DY71" i="40"/>
  <c r="DJ71" i="40"/>
  <c r="DR71" i="40"/>
  <c r="DQ71" i="40"/>
  <c r="DP71" i="40"/>
  <c r="DO71" i="40"/>
  <c r="DN71" i="40"/>
  <c r="DM71" i="40"/>
  <c r="DK71" i="40"/>
  <c r="DL71" i="40"/>
  <c r="DY84" i="40"/>
  <c r="DJ84" i="40"/>
  <c r="DR84" i="40"/>
  <c r="DP84" i="40"/>
  <c r="DQ84" i="40"/>
  <c r="DO84" i="40"/>
  <c r="DN84" i="40"/>
  <c r="DM84" i="40"/>
  <c r="DK84" i="40"/>
  <c r="DL84" i="40"/>
  <c r="DY102" i="40"/>
  <c r="DR102" i="40"/>
  <c r="DQ102" i="40"/>
  <c r="DP102" i="40"/>
  <c r="DO102" i="40"/>
  <c r="DM102" i="40"/>
  <c r="DL102" i="40"/>
  <c r="DN102" i="40"/>
  <c r="DJ102" i="40"/>
  <c r="DK102" i="40"/>
  <c r="DY112" i="40"/>
  <c r="DJ112" i="40"/>
  <c r="DR112" i="40"/>
  <c r="DQ112" i="40"/>
  <c r="DP112" i="40"/>
  <c r="DN112" i="40"/>
  <c r="DO112" i="40"/>
  <c r="DM112" i="40"/>
  <c r="DL112" i="40"/>
  <c r="DK112" i="40"/>
  <c r="DY124" i="40"/>
  <c r="DR124" i="40"/>
  <c r="DQ124" i="40"/>
  <c r="DP124" i="40"/>
  <c r="DN124" i="40"/>
  <c r="DO124" i="40"/>
  <c r="DM124" i="40"/>
  <c r="DL124" i="40"/>
  <c r="DJ124" i="40"/>
  <c r="DK124" i="40"/>
  <c r="DY128" i="40"/>
  <c r="DR128" i="40"/>
  <c r="DQ128" i="40"/>
  <c r="DP128" i="40"/>
  <c r="DN128" i="40"/>
  <c r="DO128" i="40"/>
  <c r="DM128" i="40"/>
  <c r="DL128" i="40"/>
  <c r="DK128" i="40"/>
  <c r="DY144" i="40"/>
  <c r="DJ144" i="40"/>
  <c r="DR144" i="40"/>
  <c r="DP144" i="40"/>
  <c r="DQ144" i="40"/>
  <c r="DN144" i="40"/>
  <c r="DO144" i="40"/>
  <c r="DM144" i="40"/>
  <c r="DL144" i="40"/>
  <c r="DK144" i="40"/>
  <c r="DY149" i="40"/>
  <c r="DJ149" i="40"/>
  <c r="DR149" i="40"/>
  <c r="DQ149" i="40"/>
  <c r="DP149" i="40"/>
  <c r="DO149" i="40"/>
  <c r="DN149" i="40"/>
  <c r="DL149" i="40"/>
  <c r="DM149" i="40"/>
  <c r="DK149" i="40"/>
  <c r="DY158" i="40"/>
  <c r="DR158" i="40"/>
  <c r="DQ158" i="40"/>
  <c r="DP158" i="40"/>
  <c r="DO158" i="40"/>
  <c r="DN158" i="40"/>
  <c r="DJ158" i="40"/>
  <c r="DK158" i="40"/>
  <c r="DL158" i="40"/>
  <c r="DY173" i="40"/>
  <c r="DJ173" i="40"/>
  <c r="DR173" i="40"/>
  <c r="DQ173" i="40"/>
  <c r="DP173" i="40"/>
  <c r="DO173" i="40"/>
  <c r="DM173" i="40"/>
  <c r="DN173" i="40"/>
  <c r="DL173" i="40"/>
  <c r="DK173" i="40"/>
  <c r="DY175" i="40"/>
  <c r="DR175" i="40"/>
  <c r="DO175" i="40"/>
  <c r="DQ175" i="40"/>
  <c r="DP175" i="40"/>
  <c r="DM175" i="40"/>
  <c r="DL175" i="40"/>
  <c r="DN175" i="40"/>
  <c r="DK175" i="40"/>
  <c r="DJ175" i="40"/>
  <c r="DY180" i="40"/>
  <c r="DJ180" i="40"/>
  <c r="DR180" i="40"/>
  <c r="DQ180" i="40"/>
  <c r="DP180" i="40"/>
  <c r="DO180" i="40"/>
  <c r="DM180" i="40"/>
  <c r="DN180" i="40"/>
  <c r="DK180" i="40"/>
  <c r="DL180" i="40"/>
  <c r="DY183" i="40"/>
  <c r="DJ183" i="40"/>
  <c r="DR183" i="40"/>
  <c r="DQ183" i="40"/>
  <c r="DP183" i="40"/>
  <c r="DO183" i="40"/>
  <c r="DN183" i="40"/>
  <c r="DM183" i="40"/>
  <c r="DL183" i="40"/>
  <c r="DK183" i="40"/>
  <c r="DY218" i="40"/>
  <c r="DJ218" i="40"/>
  <c r="DR218" i="40"/>
  <c r="DQ218" i="40"/>
  <c r="DP218" i="40"/>
  <c r="DO218" i="40"/>
  <c r="DM218" i="40"/>
  <c r="DN218" i="40"/>
  <c r="DL218" i="40"/>
  <c r="DK218" i="40"/>
  <c r="DY221" i="40"/>
  <c r="DR221" i="40"/>
  <c r="DQ221" i="40"/>
  <c r="DP221" i="40"/>
  <c r="DO221" i="40"/>
  <c r="DN221" i="40"/>
  <c r="DK221" i="40"/>
  <c r="DM221" i="40"/>
  <c r="DL221" i="40"/>
  <c r="DJ221" i="40"/>
  <c r="DY236" i="40"/>
  <c r="DJ236" i="40"/>
  <c r="DR236" i="40"/>
  <c r="DQ236" i="40"/>
  <c r="DP236" i="40"/>
  <c r="DO236" i="40"/>
  <c r="DM236" i="40"/>
  <c r="DN236" i="40"/>
  <c r="DL236" i="40"/>
  <c r="DK236" i="40"/>
  <c r="DY238" i="40"/>
  <c r="DJ238" i="40"/>
  <c r="DR238" i="40"/>
  <c r="DQ238" i="40"/>
  <c r="DP238" i="40"/>
  <c r="DO238" i="40"/>
  <c r="DN238" i="40"/>
  <c r="DM238" i="40"/>
  <c r="DK238" i="40"/>
  <c r="DL238" i="40"/>
  <c r="DY252" i="40"/>
  <c r="DR252" i="40"/>
  <c r="DJ252" i="40"/>
  <c r="DQ252" i="40"/>
  <c r="DP252" i="40"/>
  <c r="DM252" i="40"/>
  <c r="DN252" i="40"/>
  <c r="DO252" i="40"/>
  <c r="DL252" i="40"/>
  <c r="DK252" i="40"/>
  <c r="DY274" i="40"/>
  <c r="DJ274" i="40"/>
  <c r="DR274" i="40"/>
  <c r="DQ274" i="40"/>
  <c r="DO274" i="40"/>
  <c r="DP274" i="40"/>
  <c r="DN274" i="40"/>
  <c r="DM274" i="40"/>
  <c r="DL274" i="40"/>
  <c r="DK274" i="40"/>
  <c r="DY286" i="40"/>
  <c r="DR286" i="40"/>
  <c r="DQ286" i="40"/>
  <c r="DO286" i="40"/>
  <c r="DP286" i="40"/>
  <c r="DN286" i="40"/>
  <c r="DM286" i="40"/>
  <c r="DL286" i="40"/>
  <c r="DK286" i="40"/>
  <c r="DJ286" i="40"/>
  <c r="DY290" i="40"/>
  <c r="DR290" i="40"/>
  <c r="DJ290" i="40"/>
  <c r="DQ290" i="40"/>
  <c r="DO290" i="40"/>
  <c r="DP290" i="40"/>
  <c r="DN290" i="40"/>
  <c r="DM290" i="40"/>
  <c r="DL290" i="40"/>
  <c r="DK290" i="40"/>
  <c r="DY295" i="40"/>
  <c r="DJ295" i="40"/>
  <c r="DQ295" i="40"/>
  <c r="DP295" i="40"/>
  <c r="DN295" i="40"/>
  <c r="DO295" i="40"/>
  <c r="DM295" i="40"/>
  <c r="DL295" i="40"/>
  <c r="DK295" i="40"/>
  <c r="DY303" i="40"/>
  <c r="DJ303" i="40"/>
  <c r="DR303" i="40"/>
  <c r="DQ303" i="40"/>
  <c r="DP303" i="40"/>
  <c r="DO303" i="40"/>
  <c r="DN303" i="40"/>
  <c r="DM303" i="40"/>
  <c r="DL303" i="40"/>
  <c r="DK303" i="40"/>
  <c r="DY307" i="40"/>
  <c r="DR307" i="40"/>
  <c r="DQ307" i="40"/>
  <c r="DP307" i="40"/>
  <c r="DN307" i="40"/>
  <c r="DO307" i="40"/>
  <c r="DL307" i="40"/>
  <c r="DM307" i="40"/>
  <c r="DK307" i="40"/>
  <c r="DJ307" i="40"/>
  <c r="DY310" i="40"/>
  <c r="DJ310" i="40"/>
  <c r="DR310" i="40"/>
  <c r="DQ310" i="40"/>
  <c r="DP310" i="40"/>
  <c r="DO310" i="40"/>
  <c r="DN310" i="40"/>
  <c r="DM310" i="40"/>
  <c r="DK310" i="40"/>
  <c r="DY315" i="40"/>
  <c r="DJ315" i="40"/>
  <c r="DR315" i="40"/>
  <c r="DP315" i="40"/>
  <c r="DQ315" i="40"/>
  <c r="DO315" i="40"/>
  <c r="DN315" i="40"/>
  <c r="DM315" i="40"/>
  <c r="DL315" i="40"/>
  <c r="DK315" i="40"/>
  <c r="DY324" i="40"/>
  <c r="DR324" i="40"/>
  <c r="DQ324" i="40"/>
  <c r="DP324" i="40"/>
  <c r="DO324" i="40"/>
  <c r="DN324" i="40"/>
  <c r="DM324" i="40"/>
  <c r="DL324" i="40"/>
  <c r="DK324" i="40"/>
  <c r="DJ324" i="40"/>
  <c r="DY332" i="40"/>
  <c r="DJ332" i="40"/>
  <c r="DR332" i="40"/>
  <c r="DQ332" i="40"/>
  <c r="DP332" i="40"/>
  <c r="DO332" i="40"/>
  <c r="DN332" i="40"/>
  <c r="DM332" i="40"/>
  <c r="DL332" i="40"/>
  <c r="DK332" i="40"/>
  <c r="DY338" i="40"/>
  <c r="DR338" i="40"/>
  <c r="DQ338" i="40"/>
  <c r="DP338" i="40"/>
  <c r="DO338" i="40"/>
  <c r="DM338" i="40"/>
  <c r="DL338" i="40"/>
  <c r="DN338" i="40"/>
  <c r="DK338" i="40"/>
  <c r="DJ338" i="40"/>
  <c r="DY353" i="40"/>
  <c r="DJ353" i="40"/>
  <c r="DR353" i="40"/>
  <c r="DQ353" i="40"/>
  <c r="DP353" i="40"/>
  <c r="DO353" i="40"/>
  <c r="DN353" i="40"/>
  <c r="DK353" i="40"/>
  <c r="DL353" i="40"/>
  <c r="DM353" i="40"/>
  <c r="DY358" i="40"/>
  <c r="DR358" i="40"/>
  <c r="DQ358" i="40"/>
  <c r="DP358" i="40"/>
  <c r="DN358" i="40"/>
  <c r="DL358" i="40"/>
  <c r="DM358" i="40"/>
  <c r="DK358" i="40"/>
  <c r="DJ358" i="40"/>
  <c r="DY363" i="40"/>
  <c r="DR363" i="40"/>
  <c r="DQ363" i="40"/>
  <c r="DP363" i="40"/>
  <c r="DM363" i="40"/>
  <c r="DN363" i="40"/>
  <c r="DO363" i="40"/>
  <c r="DL363" i="40"/>
  <c r="DK363" i="40"/>
  <c r="DJ363" i="40"/>
  <c r="DY369" i="40"/>
  <c r="DJ369" i="40"/>
  <c r="DR369" i="40"/>
  <c r="DQ369" i="40"/>
  <c r="DP369" i="40"/>
  <c r="DN369" i="40"/>
  <c r="DK369" i="40"/>
  <c r="DL369" i="40"/>
  <c r="DM369" i="40"/>
  <c r="DY400" i="40"/>
  <c r="DJ400" i="40"/>
  <c r="DR400" i="40"/>
  <c r="DQ400" i="40"/>
  <c r="DP400" i="40"/>
  <c r="DO400" i="40"/>
  <c r="DN400" i="40"/>
  <c r="DM400" i="40"/>
  <c r="DK400" i="40"/>
  <c r="T39" i="40"/>
  <c r="T65" i="40"/>
  <c r="T83" i="40"/>
  <c r="T88" i="40"/>
  <c r="T216" i="40"/>
  <c r="T220" i="40"/>
  <c r="T276" i="40"/>
  <c r="T293" i="40"/>
  <c r="T297" i="40"/>
  <c r="T49" i="40"/>
  <c r="T57" i="40"/>
  <c r="T68" i="40"/>
  <c r="T92" i="40"/>
  <c r="T94" i="40"/>
  <c r="T154" i="40"/>
  <c r="T192" i="40"/>
  <c r="T210" i="40"/>
  <c r="T250" i="40"/>
  <c r="T281" i="40"/>
  <c r="T36" i="40"/>
  <c r="T197" i="40"/>
  <c r="T207" i="40"/>
  <c r="T298" i="40"/>
  <c r="T318" i="40"/>
  <c r="T320" i="40"/>
  <c r="T334" i="40"/>
  <c r="T348" i="40"/>
  <c r="T361" i="40"/>
  <c r="AB76" i="40"/>
  <c r="T76" i="40" s="1"/>
  <c r="AB327" i="40"/>
  <c r="T327" i="40" s="1"/>
  <c r="AB140" i="40"/>
  <c r="T140" i="40" s="1"/>
  <c r="AB243" i="40"/>
  <c r="T243" i="40" s="1"/>
  <c r="AB241" i="40"/>
  <c r="T241" i="40" s="1"/>
  <c r="AB245" i="40"/>
  <c r="T245" i="40" s="1"/>
  <c r="AB403" i="40"/>
  <c r="T403" i="40" s="1"/>
  <c r="AB33" i="40"/>
  <c r="T33" i="40" s="1"/>
  <c r="AB75" i="40"/>
  <c r="T75" i="40" s="1"/>
  <c r="AB226" i="40"/>
  <c r="T226" i="40" s="1"/>
  <c r="AB230" i="40"/>
  <c r="T230" i="40" s="1"/>
  <c r="AB240" i="40"/>
  <c r="T240" i="40" s="1"/>
  <c r="T383" i="40"/>
  <c r="AB398" i="40"/>
  <c r="T398" i="40" s="1"/>
  <c r="AB402" i="40"/>
  <c r="T402" i="40" s="1"/>
  <c r="AB349" i="40"/>
  <c r="T349" i="40" s="1"/>
  <c r="AB168" i="40"/>
  <c r="T168" i="40" s="1"/>
  <c r="AB202" i="40"/>
  <c r="T202" i="40" s="1"/>
  <c r="AB246" i="40"/>
  <c r="T246" i="40" s="1"/>
  <c r="AB265" i="40"/>
  <c r="T265" i="40" s="1"/>
  <c r="AB350" i="40"/>
  <c r="T350" i="40" s="1"/>
  <c r="T132" i="40"/>
  <c r="T145" i="40"/>
  <c r="T150" i="40"/>
  <c r="T155" i="40"/>
  <c r="T204" i="40"/>
  <c r="T405" i="40"/>
  <c r="T407" i="40"/>
  <c r="T119" i="40"/>
  <c r="T147" i="40"/>
  <c r="T152" i="40"/>
  <c r="T374" i="40"/>
  <c r="T386" i="40"/>
  <c r="T396" i="40"/>
  <c r="T10" i="40"/>
  <c r="T37" i="40"/>
  <c r="T41" i="40"/>
  <c r="T46" i="40"/>
  <c r="T50" i="40"/>
  <c r="T52" i="40"/>
  <c r="T63" i="40"/>
  <c r="T91" i="40"/>
  <c r="T174" i="40"/>
  <c r="T189" i="40"/>
  <c r="T193" i="40"/>
  <c r="T203" i="40"/>
  <c r="T214" i="40"/>
  <c r="T227" i="40"/>
  <c r="T232" i="40"/>
  <c r="T264" i="40"/>
  <c r="T272" i="40"/>
  <c r="T284" i="40"/>
  <c r="T291" i="40"/>
  <c r="T305" i="40"/>
  <c r="T308" i="40"/>
  <c r="T311" i="40"/>
  <c r="T316" i="40"/>
  <c r="T322" i="40"/>
  <c r="T326" i="40"/>
  <c r="T336" i="40"/>
  <c r="T343" i="40"/>
  <c r="T344" i="40"/>
  <c r="T351" i="40"/>
  <c r="T356" i="40"/>
  <c r="T364" i="40"/>
  <c r="T372" i="40"/>
  <c r="T376" i="40"/>
  <c r="T378" i="40"/>
  <c r="T382" i="40"/>
  <c r="T385" i="40"/>
  <c r="T387" i="40"/>
  <c r="T389" i="40"/>
  <c r="T391" i="40"/>
  <c r="T395" i="40"/>
  <c r="T399" i="40"/>
  <c r="T404" i="40"/>
  <c r="T406" i="40"/>
  <c r="T58" i="40"/>
  <c r="T138" i="40"/>
  <c r="T228" i="40"/>
  <c r="T346" i="40"/>
  <c r="T5" i="40"/>
  <c r="T11" i="40"/>
  <c r="T43" i="40"/>
  <c r="T47" i="40"/>
  <c r="T56" i="40"/>
  <c r="T64" i="40"/>
  <c r="T70" i="40"/>
  <c r="T73" i="40"/>
  <c r="T81" i="40"/>
  <c r="T100" i="40"/>
  <c r="T103" i="40"/>
  <c r="T109" i="40"/>
  <c r="T129" i="40"/>
  <c r="T139" i="40"/>
  <c r="T146" i="40"/>
  <c r="T148" i="40"/>
  <c r="T151" i="40"/>
  <c r="T156" i="40"/>
  <c r="T157" i="40"/>
  <c r="T160" i="40"/>
  <c r="T162" i="40"/>
  <c r="T165" i="40"/>
  <c r="T166" i="40"/>
  <c r="T169" i="40"/>
  <c r="T190" i="40"/>
  <c r="T194" i="40"/>
  <c r="T205" i="40"/>
  <c r="T242" i="40"/>
  <c r="T248" i="40"/>
  <c r="T256" i="40"/>
  <c r="T275" i="40"/>
  <c r="T283" i="40"/>
  <c r="T292" i="40"/>
  <c r="T296" i="40"/>
  <c r="T300" i="40"/>
  <c r="T302" i="40"/>
  <c r="T306" i="40"/>
  <c r="T317" i="40"/>
  <c r="T328" i="40"/>
  <c r="T340" i="40"/>
  <c r="T360" i="40"/>
  <c r="T367" i="40"/>
  <c r="T368" i="40"/>
  <c r="T373" i="40"/>
  <c r="T377" i="40"/>
  <c r="T379" i="40"/>
  <c r="T392" i="40"/>
  <c r="T69" i="40"/>
  <c r="T87" i="40"/>
  <c r="T90" i="40"/>
  <c r="T93" i="40"/>
  <c r="T125" i="40"/>
  <c r="T161" i="40"/>
  <c r="T209" i="40"/>
  <c r="T229" i="40"/>
  <c r="T257" i="40"/>
  <c r="T270" i="40"/>
  <c r="T280" i="40"/>
  <c r="T329" i="40"/>
  <c r="T345" i="40"/>
  <c r="T354" i="40"/>
  <c r="T380" i="40"/>
  <c r="T384" i="40"/>
  <c r="T6" i="40"/>
  <c r="T48" i="40"/>
  <c r="T80" i="40"/>
  <c r="T110" i="40"/>
  <c r="T130" i="40"/>
  <c r="T133" i="40"/>
  <c r="T153" i="40"/>
  <c r="T163" i="40"/>
  <c r="T185" i="40"/>
  <c r="T211" i="40"/>
  <c r="T4" i="40"/>
  <c r="T29" i="40"/>
  <c r="T32" i="40"/>
  <c r="T40" i="40"/>
  <c r="T54" i="40"/>
  <c r="T96" i="40"/>
  <c r="T111" i="40"/>
  <c r="T131" i="40"/>
  <c r="T171" i="40"/>
  <c r="T198" i="40"/>
  <c r="T231" i="40"/>
  <c r="T258" i="40"/>
  <c r="T263" i="40"/>
  <c r="T271" i="40"/>
  <c r="T273" i="40"/>
  <c r="T278" i="40"/>
  <c r="T301" i="40"/>
  <c r="T304" i="40"/>
  <c r="T312" i="40"/>
  <c r="T321" i="40"/>
  <c r="T335" i="40"/>
  <c r="T366" i="40"/>
  <c r="T371" i="40"/>
  <c r="T375" i="40"/>
  <c r="T381" i="40"/>
  <c r="T390" i="40"/>
  <c r="T394" i="40"/>
  <c r="T397" i="40"/>
  <c r="T177" i="40"/>
  <c r="T255" i="40"/>
  <c r="T289" i="40"/>
  <c r="T16" i="40"/>
  <c r="T28" i="40"/>
  <c r="T35" i="40"/>
  <c r="T74" i="40"/>
  <c r="T78" i="40"/>
  <c r="T82" i="40"/>
  <c r="T89" i="40"/>
  <c r="T104" i="40"/>
  <c r="T115" i="40"/>
  <c r="T118" i="40"/>
  <c r="T123" i="40"/>
  <c r="T136" i="40"/>
  <c r="T178" i="40"/>
  <c r="T235" i="40"/>
  <c r="T260" i="40"/>
  <c r="T341" i="40"/>
  <c r="T355" i="40"/>
  <c r="T20" i="40"/>
  <c r="T61" i="40"/>
  <c r="T77" i="40"/>
  <c r="T97" i="40"/>
  <c r="T98" i="40"/>
  <c r="T137" i="40"/>
  <c r="T141" i="40"/>
  <c r="T196" i="40"/>
  <c r="T213" i="40"/>
  <c r="T223" i="40"/>
  <c r="T225" i="40"/>
  <c r="T233" i="40"/>
  <c r="T254" i="40"/>
  <c r="T261" i="40"/>
  <c r="T269" i="40"/>
  <c r="T342" i="40"/>
  <c r="T3" i="40"/>
  <c r="FK196" i="40" l="1"/>
  <c r="FL196" i="40" s="1"/>
  <c r="FF196" i="40"/>
  <c r="FG196" i="40" s="1"/>
  <c r="FA196" i="40"/>
  <c r="FB196" i="40" s="1"/>
  <c r="EV196" i="40"/>
  <c r="EW196" i="40" s="1"/>
  <c r="EQ196" i="40"/>
  <c r="ER196" i="40" s="1"/>
  <c r="EL196" i="40"/>
  <c r="EM196" i="40" s="1"/>
  <c r="EG196" i="40"/>
  <c r="EH196" i="40" s="1"/>
  <c r="FP196" i="40"/>
  <c r="FQ196" i="40" s="1"/>
  <c r="EB196" i="40"/>
  <c r="EC196" i="40" s="1"/>
  <c r="FK115" i="40"/>
  <c r="FL115" i="40" s="1"/>
  <c r="FF115" i="40"/>
  <c r="FG115" i="40" s="1"/>
  <c r="FA115" i="40"/>
  <c r="FB115" i="40" s="1"/>
  <c r="EV115" i="40"/>
  <c r="EW115" i="40" s="1"/>
  <c r="EQ115" i="40"/>
  <c r="ER115" i="40" s="1"/>
  <c r="EL115" i="40"/>
  <c r="EM115" i="40" s="1"/>
  <c r="EG115" i="40"/>
  <c r="EH115" i="40" s="1"/>
  <c r="FP115" i="40"/>
  <c r="FQ115" i="40" s="1"/>
  <c r="EB115" i="40"/>
  <c r="EC115" i="40" s="1"/>
  <c r="FK375" i="40"/>
  <c r="FL375" i="40" s="1"/>
  <c r="FF375" i="40"/>
  <c r="FG375" i="40" s="1"/>
  <c r="FA375" i="40"/>
  <c r="FB375" i="40" s="1"/>
  <c r="EV375" i="40"/>
  <c r="EW375" i="40" s="1"/>
  <c r="EQ375" i="40"/>
  <c r="ER375" i="40" s="1"/>
  <c r="EL375" i="40"/>
  <c r="EM375" i="40" s="1"/>
  <c r="FP375" i="40"/>
  <c r="FQ375" i="40" s="1"/>
  <c r="EG375" i="40"/>
  <c r="EH375" i="40" s="1"/>
  <c r="EB375" i="40"/>
  <c r="EC375" i="40" s="1"/>
  <c r="FK141" i="40"/>
  <c r="FL141" i="40" s="1"/>
  <c r="FF141" i="40"/>
  <c r="FG141" i="40" s="1"/>
  <c r="EV141" i="40"/>
  <c r="EW141" i="40" s="1"/>
  <c r="FA141" i="40"/>
  <c r="FB141" i="40" s="1"/>
  <c r="EQ141" i="40"/>
  <c r="ER141" i="40" s="1"/>
  <c r="EL141" i="40"/>
  <c r="EM141" i="40" s="1"/>
  <c r="EG141" i="40"/>
  <c r="EH141" i="40" s="1"/>
  <c r="FP141" i="40"/>
  <c r="FQ141" i="40" s="1"/>
  <c r="EB141" i="40"/>
  <c r="EC141" i="40" s="1"/>
  <c r="FK104" i="40"/>
  <c r="FL104" i="40" s="1"/>
  <c r="FF104" i="40"/>
  <c r="FG104" i="40" s="1"/>
  <c r="FA104" i="40"/>
  <c r="FB104" i="40" s="1"/>
  <c r="EV104" i="40"/>
  <c r="EW104" i="40" s="1"/>
  <c r="EQ104" i="40"/>
  <c r="ER104" i="40" s="1"/>
  <c r="EL104" i="40"/>
  <c r="EM104" i="40" s="1"/>
  <c r="EG104" i="40"/>
  <c r="EH104" i="40" s="1"/>
  <c r="FP104" i="40"/>
  <c r="FQ104" i="40" s="1"/>
  <c r="EB104" i="40"/>
  <c r="EC104" i="40" s="1"/>
  <c r="FK261" i="40"/>
  <c r="FL261" i="40" s="1"/>
  <c r="FF261" i="40"/>
  <c r="FG261" i="40" s="1"/>
  <c r="FA261" i="40"/>
  <c r="FB261" i="40" s="1"/>
  <c r="EV261" i="40"/>
  <c r="EW261" i="40" s="1"/>
  <c r="EQ261" i="40"/>
  <c r="ER261" i="40" s="1"/>
  <c r="EL261" i="40"/>
  <c r="EM261" i="40" s="1"/>
  <c r="EG261" i="40"/>
  <c r="EH261" i="40" s="1"/>
  <c r="FP261" i="40"/>
  <c r="FQ261" i="40" s="1"/>
  <c r="EB261" i="40"/>
  <c r="EC261" i="40" s="1"/>
  <c r="FF3" i="40"/>
  <c r="FG3" i="40" s="1"/>
  <c r="FK3" i="40"/>
  <c r="FL3" i="40" s="1"/>
  <c r="FN3" i="40" s="1"/>
  <c r="FA3" i="40"/>
  <c r="FB3" i="40" s="1"/>
  <c r="FD3" i="40" s="1"/>
  <c r="EV3" i="40"/>
  <c r="EW3" i="40" s="1"/>
  <c r="EQ3" i="40"/>
  <c r="ER3" i="40" s="1"/>
  <c r="ET3" i="40" s="1"/>
  <c r="EL3" i="40"/>
  <c r="EM3" i="40" s="1"/>
  <c r="EG3" i="40"/>
  <c r="EH3" i="40" s="1"/>
  <c r="FP3" i="40"/>
  <c r="FQ3" i="40" s="1"/>
  <c r="EB3" i="40"/>
  <c r="EC3" i="40" s="1"/>
  <c r="FK254" i="40"/>
  <c r="FL254" i="40" s="1"/>
  <c r="FF254" i="40"/>
  <c r="FG254" i="40" s="1"/>
  <c r="FA254" i="40"/>
  <c r="FB254" i="40" s="1"/>
  <c r="EV254" i="40"/>
  <c r="EW254" i="40" s="1"/>
  <c r="EL254" i="40"/>
  <c r="EM254" i="40" s="1"/>
  <c r="EQ254" i="40"/>
  <c r="ER254" i="40" s="1"/>
  <c r="FP254" i="40"/>
  <c r="FQ254" i="40" s="1"/>
  <c r="EG254" i="40"/>
  <c r="EH254" i="40" s="1"/>
  <c r="EB254" i="40"/>
  <c r="EC254" i="40" s="1"/>
  <c r="FK213" i="40"/>
  <c r="FF213" i="40"/>
  <c r="FA213" i="40"/>
  <c r="EV213" i="40"/>
  <c r="EW213" i="40" s="1"/>
  <c r="EQ213" i="40"/>
  <c r="ER213" i="40" s="1"/>
  <c r="EL213" i="40"/>
  <c r="EM213" i="40" s="1"/>
  <c r="EG213" i="40"/>
  <c r="EH213" i="40" s="1"/>
  <c r="FP213" i="40"/>
  <c r="EB213" i="40"/>
  <c r="FK98" i="40"/>
  <c r="FL98" i="40" s="1"/>
  <c r="FF98" i="40"/>
  <c r="FG98" i="40" s="1"/>
  <c r="FA98" i="40"/>
  <c r="FB98" i="40" s="1"/>
  <c r="EV98" i="40"/>
  <c r="EW98" i="40" s="1"/>
  <c r="EL98" i="40"/>
  <c r="EM98" i="40" s="1"/>
  <c r="EQ98" i="40"/>
  <c r="ER98" i="40" s="1"/>
  <c r="EG98" i="40"/>
  <c r="EH98" i="40" s="1"/>
  <c r="FP98" i="40"/>
  <c r="FQ98" i="40" s="1"/>
  <c r="EB98" i="40"/>
  <c r="EC98" i="40" s="1"/>
  <c r="FK20" i="40"/>
  <c r="FL20" i="40" s="1"/>
  <c r="FF20" i="40"/>
  <c r="FG20" i="40" s="1"/>
  <c r="FA20" i="40"/>
  <c r="FB20" i="40" s="1"/>
  <c r="EV20" i="40"/>
  <c r="EW20" i="40" s="1"/>
  <c r="EQ20" i="40"/>
  <c r="ER20" i="40" s="1"/>
  <c r="EL20" i="40"/>
  <c r="EM20" i="40" s="1"/>
  <c r="EG20" i="40"/>
  <c r="EH20" i="40" s="1"/>
  <c r="FP20" i="40"/>
  <c r="FQ20" i="40" s="1"/>
  <c r="EB20" i="40"/>
  <c r="EC20" i="40" s="1"/>
  <c r="FK235" i="40"/>
  <c r="FL235" i="40" s="1"/>
  <c r="FF235" i="40"/>
  <c r="FG235" i="40" s="1"/>
  <c r="FA235" i="40"/>
  <c r="FB235" i="40" s="1"/>
  <c r="EV235" i="40"/>
  <c r="EW235" i="40" s="1"/>
  <c r="EQ235" i="40"/>
  <c r="ER235" i="40" s="1"/>
  <c r="EL235" i="40"/>
  <c r="EM235" i="40" s="1"/>
  <c r="EG235" i="40"/>
  <c r="EH235" i="40" s="1"/>
  <c r="FP235" i="40"/>
  <c r="FQ235" i="40" s="1"/>
  <c r="EB235" i="40"/>
  <c r="EC235" i="40" s="1"/>
  <c r="FK118" i="40"/>
  <c r="FL118" i="40" s="1"/>
  <c r="FF118" i="40"/>
  <c r="FG118" i="40" s="1"/>
  <c r="FA118" i="40"/>
  <c r="FB118" i="40" s="1"/>
  <c r="EV118" i="40"/>
  <c r="EW118" i="40" s="1"/>
  <c r="EL118" i="40"/>
  <c r="EM118" i="40" s="1"/>
  <c r="EQ118" i="40"/>
  <c r="ER118" i="40" s="1"/>
  <c r="EG118" i="40"/>
  <c r="EH118" i="40" s="1"/>
  <c r="FP118" i="40"/>
  <c r="FQ118" i="40" s="1"/>
  <c r="EB118" i="40"/>
  <c r="EC118" i="40" s="1"/>
  <c r="FK82" i="40"/>
  <c r="FL82" i="40" s="1"/>
  <c r="FF82" i="40"/>
  <c r="FG82" i="40" s="1"/>
  <c r="FA82" i="40"/>
  <c r="FB82" i="40" s="1"/>
  <c r="EV82" i="40"/>
  <c r="EW82" i="40" s="1"/>
  <c r="EL82" i="40"/>
  <c r="EM82" i="40" s="1"/>
  <c r="EQ82" i="40"/>
  <c r="ER82" i="40" s="1"/>
  <c r="EG82" i="40"/>
  <c r="EH82" i="40" s="1"/>
  <c r="FP82" i="40"/>
  <c r="FQ82" i="40" s="1"/>
  <c r="EB82" i="40"/>
  <c r="EC82" i="40" s="1"/>
  <c r="FK28" i="40"/>
  <c r="FL28" i="40" s="1"/>
  <c r="FF28" i="40"/>
  <c r="FG28" i="40" s="1"/>
  <c r="FA28" i="40"/>
  <c r="FB28" i="40" s="1"/>
  <c r="EV28" i="40"/>
  <c r="EW28" i="40" s="1"/>
  <c r="EQ28" i="40"/>
  <c r="ER28" i="40" s="1"/>
  <c r="EL28" i="40"/>
  <c r="EM28" i="40" s="1"/>
  <c r="EG28" i="40"/>
  <c r="EH28" i="40" s="1"/>
  <c r="FP28" i="40"/>
  <c r="FQ28" i="40" s="1"/>
  <c r="EB28" i="40"/>
  <c r="EC28" i="40" s="1"/>
  <c r="FK177" i="40"/>
  <c r="FL177" i="40" s="1"/>
  <c r="FF177" i="40"/>
  <c r="FG177" i="40" s="1"/>
  <c r="EV177" i="40"/>
  <c r="EW177" i="40" s="1"/>
  <c r="FA177" i="40"/>
  <c r="FB177" i="40" s="1"/>
  <c r="EQ177" i="40"/>
  <c r="ER177" i="40" s="1"/>
  <c r="EL177" i="40"/>
  <c r="EM177" i="40" s="1"/>
  <c r="EG177" i="40"/>
  <c r="EH177" i="40" s="1"/>
  <c r="FP177" i="40"/>
  <c r="FQ177" i="40" s="1"/>
  <c r="EB177" i="40"/>
  <c r="EC177" i="40" s="1"/>
  <c r="FK381" i="40"/>
  <c r="FF381" i="40"/>
  <c r="FG381" i="40" s="1"/>
  <c r="FA381" i="40"/>
  <c r="EV381" i="40"/>
  <c r="EW381" i="40" s="1"/>
  <c r="EQ381" i="40"/>
  <c r="ER381" i="40" s="1"/>
  <c r="EL381" i="40"/>
  <c r="EG381" i="40"/>
  <c r="EH381" i="40" s="1"/>
  <c r="FP381" i="40"/>
  <c r="FQ381" i="40" s="1"/>
  <c r="EB381" i="40"/>
  <c r="EC381" i="40" s="1"/>
  <c r="FK335" i="40"/>
  <c r="FL335" i="40" s="1"/>
  <c r="FF335" i="40"/>
  <c r="FG335" i="40" s="1"/>
  <c r="FA335" i="40"/>
  <c r="FB335" i="40" s="1"/>
  <c r="EV335" i="40"/>
  <c r="EW335" i="40" s="1"/>
  <c r="EQ335" i="40"/>
  <c r="ER335" i="40" s="1"/>
  <c r="EL335" i="40"/>
  <c r="EM335" i="40" s="1"/>
  <c r="FP335" i="40"/>
  <c r="FQ335" i="40" s="1"/>
  <c r="EG335" i="40"/>
  <c r="EH335" i="40" s="1"/>
  <c r="EB335" i="40"/>
  <c r="EC335" i="40" s="1"/>
  <c r="FK301" i="40"/>
  <c r="FL301" i="40" s="1"/>
  <c r="FF301" i="40"/>
  <c r="FG301" i="40" s="1"/>
  <c r="FA301" i="40"/>
  <c r="FB301" i="40" s="1"/>
  <c r="EV301" i="40"/>
  <c r="EW301" i="40" s="1"/>
  <c r="EQ301" i="40"/>
  <c r="ER301" i="40" s="1"/>
  <c r="EL301" i="40"/>
  <c r="EM301" i="40" s="1"/>
  <c r="EG301" i="40"/>
  <c r="EH301" i="40" s="1"/>
  <c r="FP301" i="40"/>
  <c r="FQ301" i="40" s="1"/>
  <c r="EB301" i="40"/>
  <c r="EC301" i="40" s="1"/>
  <c r="FK263" i="40"/>
  <c r="FF263" i="40"/>
  <c r="FA263" i="40"/>
  <c r="EV263" i="40"/>
  <c r="EQ263" i="40"/>
  <c r="EL263" i="40"/>
  <c r="EM263" i="40" s="1"/>
  <c r="FP263" i="40"/>
  <c r="EG263" i="40"/>
  <c r="EB263" i="40"/>
  <c r="FK171" i="40"/>
  <c r="FL171" i="40" s="1"/>
  <c r="FF171" i="40"/>
  <c r="FG171" i="40" s="1"/>
  <c r="FA171" i="40"/>
  <c r="FB171" i="40" s="1"/>
  <c r="EV171" i="40"/>
  <c r="EW171" i="40" s="1"/>
  <c r="EQ171" i="40"/>
  <c r="ER171" i="40" s="1"/>
  <c r="EL171" i="40"/>
  <c r="EM171" i="40" s="1"/>
  <c r="EG171" i="40"/>
  <c r="EH171" i="40" s="1"/>
  <c r="FP171" i="40"/>
  <c r="FQ171" i="40" s="1"/>
  <c r="EB171" i="40"/>
  <c r="EC171" i="40" s="1"/>
  <c r="FK54" i="40"/>
  <c r="FL54" i="40" s="1"/>
  <c r="FF54" i="40"/>
  <c r="FG54" i="40" s="1"/>
  <c r="FA54" i="40"/>
  <c r="FB54" i="40" s="1"/>
  <c r="EV54" i="40"/>
  <c r="EW54" i="40" s="1"/>
  <c r="EQ54" i="40"/>
  <c r="ER54" i="40" s="1"/>
  <c r="EL54" i="40"/>
  <c r="EM54" i="40" s="1"/>
  <c r="EG54" i="40"/>
  <c r="EH54" i="40" s="1"/>
  <c r="FP54" i="40"/>
  <c r="FQ54" i="40" s="1"/>
  <c r="EB54" i="40"/>
  <c r="EC54" i="40" s="1"/>
  <c r="FK4" i="40"/>
  <c r="FL4" i="40" s="1"/>
  <c r="FF4" i="40"/>
  <c r="FG4" i="40" s="1"/>
  <c r="FA4" i="40"/>
  <c r="FB4" i="40" s="1"/>
  <c r="EV4" i="40"/>
  <c r="EW4" i="40" s="1"/>
  <c r="EQ4" i="40"/>
  <c r="ER4" i="40" s="1"/>
  <c r="EL4" i="40"/>
  <c r="EM4" i="40" s="1"/>
  <c r="EG4" i="40"/>
  <c r="EH4" i="40" s="1"/>
  <c r="FP4" i="40"/>
  <c r="FQ4" i="40" s="1"/>
  <c r="EB4" i="40"/>
  <c r="EC4" i="40" s="1"/>
  <c r="FK153" i="40"/>
  <c r="FF153" i="40"/>
  <c r="EV153" i="40"/>
  <c r="FA153" i="40"/>
  <c r="EQ153" i="40"/>
  <c r="ER153" i="40" s="1"/>
  <c r="EL153" i="40"/>
  <c r="EM153" i="40" s="1"/>
  <c r="EG153" i="40"/>
  <c r="EH153" i="40" s="1"/>
  <c r="FP153" i="40"/>
  <c r="EB153" i="40"/>
  <c r="FK80" i="40"/>
  <c r="FL80" i="40" s="1"/>
  <c r="FF80" i="40"/>
  <c r="FG80" i="40" s="1"/>
  <c r="FA80" i="40"/>
  <c r="FB80" i="40" s="1"/>
  <c r="EV80" i="40"/>
  <c r="EW80" i="40" s="1"/>
  <c r="EQ80" i="40"/>
  <c r="ER80" i="40" s="1"/>
  <c r="EL80" i="40"/>
  <c r="EM80" i="40" s="1"/>
  <c r="EG80" i="40"/>
  <c r="EH80" i="40" s="1"/>
  <c r="FP80" i="40"/>
  <c r="FQ80" i="40" s="1"/>
  <c r="EB80" i="40"/>
  <c r="EC80" i="40" s="1"/>
  <c r="FK380" i="40"/>
  <c r="FA380" i="40"/>
  <c r="FF380" i="40"/>
  <c r="EV380" i="40"/>
  <c r="EW380" i="40" s="1"/>
  <c r="EQ380" i="40"/>
  <c r="EL380" i="40"/>
  <c r="EG380" i="40"/>
  <c r="EH380" i="40" s="1"/>
  <c r="FP380" i="40"/>
  <c r="FQ380" i="40" s="1"/>
  <c r="EB380" i="40"/>
  <c r="EC380" i="40" s="1"/>
  <c r="FK280" i="40"/>
  <c r="FL280" i="40" s="1"/>
  <c r="FA280" i="40"/>
  <c r="FB280" i="40" s="1"/>
  <c r="FF280" i="40"/>
  <c r="FG280" i="40" s="1"/>
  <c r="EV280" i="40"/>
  <c r="EW280" i="40" s="1"/>
  <c r="EQ280" i="40"/>
  <c r="ER280" i="40" s="1"/>
  <c r="EL280" i="40"/>
  <c r="EM280" i="40" s="1"/>
  <c r="FP280" i="40"/>
  <c r="FQ280" i="40" s="1"/>
  <c r="EG280" i="40"/>
  <c r="EH280" i="40" s="1"/>
  <c r="EB280" i="40"/>
  <c r="EC280" i="40" s="1"/>
  <c r="FK209" i="40"/>
  <c r="FL209" i="40" s="1"/>
  <c r="FF209" i="40"/>
  <c r="FG209" i="40" s="1"/>
  <c r="EV209" i="40"/>
  <c r="EW209" i="40" s="1"/>
  <c r="FA209" i="40"/>
  <c r="FB209" i="40" s="1"/>
  <c r="EQ209" i="40"/>
  <c r="ER209" i="40" s="1"/>
  <c r="EL209" i="40"/>
  <c r="EM209" i="40" s="1"/>
  <c r="EG209" i="40"/>
  <c r="EH209" i="40" s="1"/>
  <c r="FP209" i="40"/>
  <c r="FQ209" i="40" s="1"/>
  <c r="EB209" i="40"/>
  <c r="EC209" i="40" s="1"/>
  <c r="FK90" i="40"/>
  <c r="FL90" i="40" s="1"/>
  <c r="FF90" i="40"/>
  <c r="FG90" i="40" s="1"/>
  <c r="FA90" i="40"/>
  <c r="FB90" i="40" s="1"/>
  <c r="EV90" i="40"/>
  <c r="EW90" i="40" s="1"/>
  <c r="EL90" i="40"/>
  <c r="EM90" i="40" s="1"/>
  <c r="EQ90" i="40"/>
  <c r="ER90" i="40" s="1"/>
  <c r="EG90" i="40"/>
  <c r="EH90" i="40" s="1"/>
  <c r="FP90" i="40"/>
  <c r="FQ90" i="40" s="1"/>
  <c r="EB90" i="40"/>
  <c r="EC90" i="40" s="1"/>
  <c r="FK379" i="40"/>
  <c r="FL379" i="40" s="1"/>
  <c r="FF379" i="40"/>
  <c r="FG379" i="40" s="1"/>
  <c r="FA379" i="40"/>
  <c r="FB379" i="40" s="1"/>
  <c r="EV379" i="40"/>
  <c r="EW379" i="40" s="1"/>
  <c r="EQ379" i="40"/>
  <c r="ER379" i="40" s="1"/>
  <c r="EL379" i="40"/>
  <c r="EM379" i="40" s="1"/>
  <c r="FP379" i="40"/>
  <c r="FQ379" i="40" s="1"/>
  <c r="EG379" i="40"/>
  <c r="EH379" i="40" s="1"/>
  <c r="EB379" i="40"/>
  <c r="EC379" i="40" s="1"/>
  <c r="FK367" i="40"/>
  <c r="FL367" i="40" s="1"/>
  <c r="FF367" i="40"/>
  <c r="FG367" i="40" s="1"/>
  <c r="FA367" i="40"/>
  <c r="FB367" i="40" s="1"/>
  <c r="EV367" i="40"/>
  <c r="EW367" i="40" s="1"/>
  <c r="EQ367" i="40"/>
  <c r="ER367" i="40" s="1"/>
  <c r="EL367" i="40"/>
  <c r="EM367" i="40" s="1"/>
  <c r="FP367" i="40"/>
  <c r="FQ367" i="40" s="1"/>
  <c r="EG367" i="40"/>
  <c r="EH367" i="40" s="1"/>
  <c r="EB367" i="40"/>
  <c r="EC367" i="40" s="1"/>
  <c r="FK317" i="40"/>
  <c r="FL317" i="40" s="1"/>
  <c r="FF317" i="40"/>
  <c r="FG317" i="40" s="1"/>
  <c r="FA317" i="40"/>
  <c r="FB317" i="40" s="1"/>
  <c r="EV317" i="40"/>
  <c r="EW317" i="40" s="1"/>
  <c r="EQ317" i="40"/>
  <c r="ER317" i="40" s="1"/>
  <c r="EL317" i="40"/>
  <c r="EM317" i="40" s="1"/>
  <c r="EG317" i="40"/>
  <c r="EH317" i="40" s="1"/>
  <c r="FP317" i="40"/>
  <c r="FQ317" i="40" s="1"/>
  <c r="EB317" i="40"/>
  <c r="EC317" i="40" s="1"/>
  <c r="FK296" i="40"/>
  <c r="FL296" i="40" s="1"/>
  <c r="FA296" i="40"/>
  <c r="FB296" i="40" s="1"/>
  <c r="FF296" i="40"/>
  <c r="FG296" i="40" s="1"/>
  <c r="EV296" i="40"/>
  <c r="EW296" i="40" s="1"/>
  <c r="EQ296" i="40"/>
  <c r="ER296" i="40" s="1"/>
  <c r="EL296" i="40"/>
  <c r="EM296" i="40" s="1"/>
  <c r="FP296" i="40"/>
  <c r="FQ296" i="40" s="1"/>
  <c r="EG296" i="40"/>
  <c r="EH296" i="40" s="1"/>
  <c r="EB296" i="40"/>
  <c r="EC296" i="40" s="1"/>
  <c r="FK256" i="40"/>
  <c r="FL256" i="40" s="1"/>
  <c r="FA256" i="40"/>
  <c r="FB256" i="40" s="1"/>
  <c r="FF256" i="40"/>
  <c r="FG256" i="40" s="1"/>
  <c r="EV256" i="40"/>
  <c r="EW256" i="40" s="1"/>
  <c r="EQ256" i="40"/>
  <c r="ER256" i="40" s="1"/>
  <c r="EL256" i="40"/>
  <c r="EM256" i="40" s="1"/>
  <c r="FP256" i="40"/>
  <c r="FQ256" i="40" s="1"/>
  <c r="EG256" i="40"/>
  <c r="EH256" i="40" s="1"/>
  <c r="EB256" i="40"/>
  <c r="EC256" i="40" s="1"/>
  <c r="FK194" i="40"/>
  <c r="FL194" i="40" s="1"/>
  <c r="FF194" i="40"/>
  <c r="FG194" i="40" s="1"/>
  <c r="FA194" i="40"/>
  <c r="FB194" i="40" s="1"/>
  <c r="EV194" i="40"/>
  <c r="EW194" i="40" s="1"/>
  <c r="EL194" i="40"/>
  <c r="EM194" i="40" s="1"/>
  <c r="EQ194" i="40"/>
  <c r="ER194" i="40" s="1"/>
  <c r="EG194" i="40"/>
  <c r="EH194" i="40" s="1"/>
  <c r="FP194" i="40"/>
  <c r="FQ194" i="40" s="1"/>
  <c r="EB194" i="40"/>
  <c r="EC194" i="40" s="1"/>
  <c r="FK165" i="40"/>
  <c r="FL165" i="40" s="1"/>
  <c r="FF165" i="40"/>
  <c r="FG165" i="40" s="1"/>
  <c r="EV165" i="40"/>
  <c r="EW165" i="40" s="1"/>
  <c r="FA165" i="40"/>
  <c r="FB165" i="40" s="1"/>
  <c r="EQ165" i="40"/>
  <c r="ER165" i="40" s="1"/>
  <c r="EL165" i="40"/>
  <c r="EM165" i="40" s="1"/>
  <c r="EG165" i="40"/>
  <c r="EH165" i="40" s="1"/>
  <c r="FP165" i="40"/>
  <c r="FQ165" i="40" s="1"/>
  <c r="EB165" i="40"/>
  <c r="EC165" i="40" s="1"/>
  <c r="FK156" i="40"/>
  <c r="FL156" i="40" s="1"/>
  <c r="FF156" i="40"/>
  <c r="FG156" i="40" s="1"/>
  <c r="FA156" i="40"/>
  <c r="FB156" i="40" s="1"/>
  <c r="EV156" i="40"/>
  <c r="EW156" i="40" s="1"/>
  <c r="EQ156" i="40"/>
  <c r="ER156" i="40" s="1"/>
  <c r="EL156" i="40"/>
  <c r="EM156" i="40" s="1"/>
  <c r="EG156" i="40"/>
  <c r="EH156" i="40" s="1"/>
  <c r="FP156" i="40"/>
  <c r="FQ156" i="40" s="1"/>
  <c r="EB156" i="40"/>
  <c r="EC156" i="40" s="1"/>
  <c r="FK139" i="40"/>
  <c r="FF139" i="40"/>
  <c r="FG139" i="40" s="1"/>
  <c r="FA139" i="40"/>
  <c r="EV139" i="40"/>
  <c r="EW139" i="40" s="1"/>
  <c r="EQ139" i="40"/>
  <c r="EL139" i="40"/>
  <c r="EM139" i="40" s="1"/>
  <c r="EG139" i="40"/>
  <c r="EH139" i="40" s="1"/>
  <c r="FP139" i="40"/>
  <c r="FQ139" i="40" s="1"/>
  <c r="EB139" i="40"/>
  <c r="EC139" i="40" s="1"/>
  <c r="FK100" i="40"/>
  <c r="FL100" i="40" s="1"/>
  <c r="FF100" i="40"/>
  <c r="FG100" i="40" s="1"/>
  <c r="FA100" i="40"/>
  <c r="FB100" i="40" s="1"/>
  <c r="EV100" i="40"/>
  <c r="EW100" i="40" s="1"/>
  <c r="EQ100" i="40"/>
  <c r="ER100" i="40" s="1"/>
  <c r="EL100" i="40"/>
  <c r="EM100" i="40" s="1"/>
  <c r="EG100" i="40"/>
  <c r="EH100" i="40" s="1"/>
  <c r="FP100" i="40"/>
  <c r="FQ100" i="40" s="1"/>
  <c r="EB100" i="40"/>
  <c r="EC100" i="40" s="1"/>
  <c r="FK64" i="40"/>
  <c r="FL64" i="40" s="1"/>
  <c r="FF64" i="40"/>
  <c r="FG64" i="40" s="1"/>
  <c r="FA64" i="40"/>
  <c r="FB64" i="40" s="1"/>
  <c r="EV64" i="40"/>
  <c r="EW64" i="40" s="1"/>
  <c r="EQ64" i="40"/>
  <c r="ER64" i="40" s="1"/>
  <c r="EL64" i="40"/>
  <c r="EM64" i="40" s="1"/>
  <c r="EG64" i="40"/>
  <c r="EH64" i="40" s="1"/>
  <c r="FP64" i="40"/>
  <c r="FQ64" i="40" s="1"/>
  <c r="EB64" i="40"/>
  <c r="EC64" i="40" s="1"/>
  <c r="FF11" i="40"/>
  <c r="FG11" i="40" s="1"/>
  <c r="FK11" i="40"/>
  <c r="FL11" i="40" s="1"/>
  <c r="FA11" i="40"/>
  <c r="FB11" i="40" s="1"/>
  <c r="EV11" i="40"/>
  <c r="EW11" i="40" s="1"/>
  <c r="EQ11" i="40"/>
  <c r="ER11" i="40" s="1"/>
  <c r="EL11" i="40"/>
  <c r="EM11" i="40" s="1"/>
  <c r="EG11" i="40"/>
  <c r="EH11" i="40" s="1"/>
  <c r="FP11" i="40"/>
  <c r="FQ11" i="40" s="1"/>
  <c r="EB11" i="40"/>
  <c r="EC11" i="40" s="1"/>
  <c r="FK138" i="40"/>
  <c r="FL138" i="40" s="1"/>
  <c r="FF138" i="40"/>
  <c r="FG138" i="40" s="1"/>
  <c r="FA138" i="40"/>
  <c r="FB138" i="40" s="1"/>
  <c r="EV138" i="40"/>
  <c r="EW138" i="40" s="1"/>
  <c r="EL138" i="40"/>
  <c r="EM138" i="40" s="1"/>
  <c r="EQ138" i="40"/>
  <c r="ER138" i="40" s="1"/>
  <c r="EG138" i="40"/>
  <c r="EH138" i="40" s="1"/>
  <c r="FP138" i="40"/>
  <c r="FQ138" i="40" s="1"/>
  <c r="EB138" i="40"/>
  <c r="EC138" i="40" s="1"/>
  <c r="FK399" i="40"/>
  <c r="FF399" i="40"/>
  <c r="FA399" i="40"/>
  <c r="EV399" i="40"/>
  <c r="EQ399" i="40"/>
  <c r="EL399" i="40"/>
  <c r="FP399" i="40"/>
  <c r="EG399" i="40"/>
  <c r="EB399" i="40"/>
  <c r="FK387" i="40"/>
  <c r="FL387" i="40" s="1"/>
  <c r="FF387" i="40"/>
  <c r="FG387" i="40" s="1"/>
  <c r="FA387" i="40"/>
  <c r="FB387" i="40" s="1"/>
  <c r="EV387" i="40"/>
  <c r="EW387" i="40" s="1"/>
  <c r="EQ387" i="40"/>
  <c r="ER387" i="40" s="1"/>
  <c r="EL387" i="40"/>
  <c r="EM387" i="40" s="1"/>
  <c r="FP387" i="40"/>
  <c r="FQ387" i="40" s="1"/>
  <c r="EG387" i="40"/>
  <c r="EH387" i="40" s="1"/>
  <c r="EB387" i="40"/>
  <c r="EC387" i="40" s="1"/>
  <c r="FK376" i="40"/>
  <c r="FL376" i="40" s="1"/>
  <c r="FA376" i="40"/>
  <c r="FB376" i="40" s="1"/>
  <c r="FF376" i="40"/>
  <c r="FG376" i="40" s="1"/>
  <c r="EV376" i="40"/>
  <c r="EW376" i="40" s="1"/>
  <c r="EQ376" i="40"/>
  <c r="ER376" i="40" s="1"/>
  <c r="EL376" i="40"/>
  <c r="EM376" i="40" s="1"/>
  <c r="EG376" i="40"/>
  <c r="EH376" i="40" s="1"/>
  <c r="FP376" i="40"/>
  <c r="FQ376" i="40" s="1"/>
  <c r="EB376" i="40"/>
  <c r="EC376" i="40" s="1"/>
  <c r="FK351" i="40"/>
  <c r="FL351" i="40" s="1"/>
  <c r="FF351" i="40"/>
  <c r="FG351" i="40" s="1"/>
  <c r="FA351" i="40"/>
  <c r="FB351" i="40" s="1"/>
  <c r="EV351" i="40"/>
  <c r="EW351" i="40" s="1"/>
  <c r="EQ351" i="40"/>
  <c r="ER351" i="40" s="1"/>
  <c r="EL351" i="40"/>
  <c r="EM351" i="40" s="1"/>
  <c r="FP351" i="40"/>
  <c r="FQ351" i="40" s="1"/>
  <c r="EG351" i="40"/>
  <c r="EH351" i="40" s="1"/>
  <c r="EB351" i="40"/>
  <c r="EC351" i="40" s="1"/>
  <c r="FK326" i="40"/>
  <c r="FL326" i="40" s="1"/>
  <c r="FF326" i="40"/>
  <c r="FG326" i="40" s="1"/>
  <c r="FA326" i="40"/>
  <c r="FB326" i="40" s="1"/>
  <c r="EV326" i="40"/>
  <c r="EW326" i="40" s="1"/>
  <c r="EL326" i="40"/>
  <c r="EM326" i="40" s="1"/>
  <c r="EQ326" i="40"/>
  <c r="ER326" i="40" s="1"/>
  <c r="FP326" i="40"/>
  <c r="FQ326" i="40" s="1"/>
  <c r="EG326" i="40"/>
  <c r="EH326" i="40" s="1"/>
  <c r="EB326" i="40"/>
  <c r="EC326" i="40" s="1"/>
  <c r="FK308" i="40"/>
  <c r="FL308" i="40" s="1"/>
  <c r="FA308" i="40"/>
  <c r="FB308" i="40" s="1"/>
  <c r="FF308" i="40"/>
  <c r="FG308" i="40" s="1"/>
  <c r="EV308" i="40"/>
  <c r="EW308" i="40" s="1"/>
  <c r="EQ308" i="40"/>
  <c r="ER308" i="40" s="1"/>
  <c r="EL308" i="40"/>
  <c r="EM308" i="40" s="1"/>
  <c r="FP308" i="40"/>
  <c r="FQ308" i="40" s="1"/>
  <c r="EG308" i="40"/>
  <c r="EH308" i="40" s="1"/>
  <c r="EB308" i="40"/>
  <c r="EC308" i="40" s="1"/>
  <c r="FK272" i="40"/>
  <c r="FL272" i="40" s="1"/>
  <c r="FA272" i="40"/>
  <c r="FB272" i="40" s="1"/>
  <c r="FF272" i="40"/>
  <c r="FG272" i="40" s="1"/>
  <c r="EV272" i="40"/>
  <c r="EW272" i="40" s="1"/>
  <c r="EQ272" i="40"/>
  <c r="ER272" i="40" s="1"/>
  <c r="EL272" i="40"/>
  <c r="EM272" i="40" s="1"/>
  <c r="FP272" i="40"/>
  <c r="FQ272" i="40" s="1"/>
  <c r="EG272" i="40"/>
  <c r="EH272" i="40" s="1"/>
  <c r="EB272" i="40"/>
  <c r="EC272" i="40" s="1"/>
  <c r="FK214" i="40"/>
  <c r="FL214" i="40" s="1"/>
  <c r="FF214" i="40"/>
  <c r="FG214" i="40" s="1"/>
  <c r="FA214" i="40"/>
  <c r="FB214" i="40" s="1"/>
  <c r="EV214" i="40"/>
  <c r="EW214" i="40" s="1"/>
  <c r="EL214" i="40"/>
  <c r="EM214" i="40" s="1"/>
  <c r="EQ214" i="40"/>
  <c r="ER214" i="40" s="1"/>
  <c r="EG214" i="40"/>
  <c r="EH214" i="40" s="1"/>
  <c r="FP214" i="40"/>
  <c r="FQ214" i="40" s="1"/>
  <c r="EB214" i="40"/>
  <c r="EC214" i="40" s="1"/>
  <c r="FK174" i="40"/>
  <c r="FL174" i="40" s="1"/>
  <c r="FF174" i="40"/>
  <c r="FG174" i="40" s="1"/>
  <c r="FA174" i="40"/>
  <c r="FB174" i="40" s="1"/>
  <c r="EV174" i="40"/>
  <c r="EW174" i="40" s="1"/>
  <c r="EL174" i="40"/>
  <c r="EM174" i="40" s="1"/>
  <c r="EQ174" i="40"/>
  <c r="ER174" i="40" s="1"/>
  <c r="EG174" i="40"/>
  <c r="EH174" i="40" s="1"/>
  <c r="FP174" i="40"/>
  <c r="FQ174" i="40" s="1"/>
  <c r="EB174" i="40"/>
  <c r="EC174" i="40" s="1"/>
  <c r="FK50" i="40"/>
  <c r="FL50" i="40" s="1"/>
  <c r="FF50" i="40"/>
  <c r="FG50" i="40" s="1"/>
  <c r="FA50" i="40"/>
  <c r="FB50" i="40" s="1"/>
  <c r="EV50" i="40"/>
  <c r="EW50" i="40" s="1"/>
  <c r="EQ50" i="40"/>
  <c r="ER50" i="40" s="1"/>
  <c r="EL50" i="40"/>
  <c r="EM50" i="40" s="1"/>
  <c r="EG50" i="40"/>
  <c r="EH50" i="40" s="1"/>
  <c r="FP50" i="40"/>
  <c r="FQ50" i="40" s="1"/>
  <c r="EB50" i="40"/>
  <c r="EC50" i="40" s="1"/>
  <c r="FK10" i="40"/>
  <c r="FL10" i="40" s="1"/>
  <c r="FF10" i="40"/>
  <c r="FG10" i="40" s="1"/>
  <c r="FA10" i="40"/>
  <c r="FB10" i="40" s="1"/>
  <c r="EV10" i="40"/>
  <c r="EW10" i="40" s="1"/>
  <c r="EQ10" i="40"/>
  <c r="ER10" i="40" s="1"/>
  <c r="EL10" i="40"/>
  <c r="EM10" i="40" s="1"/>
  <c r="EG10" i="40"/>
  <c r="EH10" i="40" s="1"/>
  <c r="FP10" i="40"/>
  <c r="FQ10" i="40" s="1"/>
  <c r="EB10" i="40"/>
  <c r="EC10" i="40" s="1"/>
  <c r="FK152" i="40"/>
  <c r="FL152" i="40" s="1"/>
  <c r="FF152" i="40"/>
  <c r="FG152" i="40" s="1"/>
  <c r="FA152" i="40"/>
  <c r="FB152" i="40" s="1"/>
  <c r="EV152" i="40"/>
  <c r="EW152" i="40" s="1"/>
  <c r="EQ152" i="40"/>
  <c r="ER152" i="40" s="1"/>
  <c r="EL152" i="40"/>
  <c r="EM152" i="40" s="1"/>
  <c r="EG152" i="40"/>
  <c r="EH152" i="40" s="1"/>
  <c r="FP152" i="40"/>
  <c r="FQ152" i="40" s="1"/>
  <c r="EB152" i="40"/>
  <c r="EC152" i="40" s="1"/>
  <c r="FK405" i="40"/>
  <c r="FL405" i="40" s="1"/>
  <c r="FF405" i="40"/>
  <c r="FG405" i="40" s="1"/>
  <c r="FA405" i="40"/>
  <c r="FB405" i="40" s="1"/>
  <c r="EV405" i="40"/>
  <c r="EW405" i="40" s="1"/>
  <c r="EQ405" i="40"/>
  <c r="ER405" i="40" s="1"/>
  <c r="EL405" i="40"/>
  <c r="EM405" i="40" s="1"/>
  <c r="EG405" i="40"/>
  <c r="EH405" i="40" s="1"/>
  <c r="FP405" i="40"/>
  <c r="FQ405" i="40" s="1"/>
  <c r="EB405" i="40"/>
  <c r="EC405" i="40" s="1"/>
  <c r="FK145" i="40"/>
  <c r="FL145" i="40" s="1"/>
  <c r="FF145" i="40"/>
  <c r="FG145" i="40" s="1"/>
  <c r="EV145" i="40"/>
  <c r="EW145" i="40" s="1"/>
  <c r="FA145" i="40"/>
  <c r="FB145" i="40" s="1"/>
  <c r="EQ145" i="40"/>
  <c r="ER145" i="40" s="1"/>
  <c r="EL145" i="40"/>
  <c r="EM145" i="40" s="1"/>
  <c r="EG145" i="40"/>
  <c r="EH145" i="40" s="1"/>
  <c r="FP145" i="40"/>
  <c r="FQ145" i="40" s="1"/>
  <c r="EB145" i="40"/>
  <c r="EC145" i="40" s="1"/>
  <c r="FK246" i="40"/>
  <c r="FL246" i="40" s="1"/>
  <c r="FF246" i="40"/>
  <c r="FG246" i="40" s="1"/>
  <c r="FA246" i="40"/>
  <c r="FB246" i="40" s="1"/>
  <c r="EV246" i="40"/>
  <c r="EW246" i="40" s="1"/>
  <c r="EL246" i="40"/>
  <c r="EM246" i="40" s="1"/>
  <c r="EQ246" i="40"/>
  <c r="ER246" i="40" s="1"/>
  <c r="FP246" i="40"/>
  <c r="FQ246" i="40" s="1"/>
  <c r="EG246" i="40"/>
  <c r="EH246" i="40" s="1"/>
  <c r="EB246" i="40"/>
  <c r="EC246" i="40" s="1"/>
  <c r="FK402" i="40"/>
  <c r="FL402" i="40" s="1"/>
  <c r="FF402" i="40"/>
  <c r="FG402" i="40" s="1"/>
  <c r="FA402" i="40"/>
  <c r="FB402" i="40" s="1"/>
  <c r="EQ402" i="40"/>
  <c r="ER402" i="40" s="1"/>
  <c r="EV402" i="40"/>
  <c r="EW402" i="40" s="1"/>
  <c r="EL402" i="40"/>
  <c r="EM402" i="40" s="1"/>
  <c r="FP402" i="40"/>
  <c r="FQ402" i="40" s="1"/>
  <c r="EG402" i="40"/>
  <c r="EH402" i="40" s="1"/>
  <c r="EB402" i="40"/>
  <c r="EC402" i="40" s="1"/>
  <c r="FK230" i="40"/>
  <c r="FL230" i="40" s="1"/>
  <c r="FF230" i="40"/>
  <c r="FG230" i="40" s="1"/>
  <c r="FA230" i="40"/>
  <c r="FB230" i="40" s="1"/>
  <c r="EV230" i="40"/>
  <c r="EW230" i="40" s="1"/>
  <c r="EL230" i="40"/>
  <c r="EM230" i="40" s="1"/>
  <c r="EQ230" i="40"/>
  <c r="ER230" i="40" s="1"/>
  <c r="FP230" i="40"/>
  <c r="FQ230" i="40" s="1"/>
  <c r="EG230" i="40"/>
  <c r="EH230" i="40" s="1"/>
  <c r="EB230" i="40"/>
  <c r="EC230" i="40" s="1"/>
  <c r="FK403" i="40"/>
  <c r="FL403" i="40" s="1"/>
  <c r="FF403" i="40"/>
  <c r="FG403" i="40" s="1"/>
  <c r="FA403" i="40"/>
  <c r="FB403" i="40" s="1"/>
  <c r="EV403" i="40"/>
  <c r="EW403" i="40" s="1"/>
  <c r="EQ403" i="40"/>
  <c r="ER403" i="40" s="1"/>
  <c r="EL403" i="40"/>
  <c r="EM403" i="40" s="1"/>
  <c r="FP403" i="40"/>
  <c r="FQ403" i="40" s="1"/>
  <c r="EG403" i="40"/>
  <c r="EH403" i="40" s="1"/>
  <c r="EB403" i="40"/>
  <c r="EC403" i="40" s="1"/>
  <c r="FK140" i="40"/>
  <c r="FL140" i="40" s="1"/>
  <c r="FF140" i="40"/>
  <c r="FG140" i="40" s="1"/>
  <c r="FA140" i="40"/>
  <c r="FB140" i="40" s="1"/>
  <c r="EV140" i="40"/>
  <c r="EW140" i="40" s="1"/>
  <c r="EQ140" i="40"/>
  <c r="ER140" i="40" s="1"/>
  <c r="EL140" i="40"/>
  <c r="EM140" i="40" s="1"/>
  <c r="EG140" i="40"/>
  <c r="EH140" i="40" s="1"/>
  <c r="FP140" i="40"/>
  <c r="FQ140" i="40" s="1"/>
  <c r="EB140" i="40"/>
  <c r="EC140" i="40" s="1"/>
  <c r="FK348" i="40"/>
  <c r="FL348" i="40" s="1"/>
  <c r="FA348" i="40"/>
  <c r="FB348" i="40" s="1"/>
  <c r="FF348" i="40"/>
  <c r="FG348" i="40" s="1"/>
  <c r="EV348" i="40"/>
  <c r="EW348" i="40" s="1"/>
  <c r="EQ348" i="40"/>
  <c r="ER348" i="40" s="1"/>
  <c r="EL348" i="40"/>
  <c r="EM348" i="40" s="1"/>
  <c r="EG348" i="40"/>
  <c r="EH348" i="40" s="1"/>
  <c r="FP348" i="40"/>
  <c r="FQ348" i="40" s="1"/>
  <c r="EB348" i="40"/>
  <c r="EC348" i="40" s="1"/>
  <c r="FK298" i="40"/>
  <c r="FL298" i="40" s="1"/>
  <c r="FF298" i="40"/>
  <c r="FG298" i="40" s="1"/>
  <c r="FA298" i="40"/>
  <c r="FB298" i="40" s="1"/>
  <c r="EV298" i="40"/>
  <c r="EW298" i="40" s="1"/>
  <c r="EL298" i="40"/>
  <c r="EM298" i="40" s="1"/>
  <c r="EQ298" i="40"/>
  <c r="ER298" i="40" s="1"/>
  <c r="FP298" i="40"/>
  <c r="FQ298" i="40" s="1"/>
  <c r="EG298" i="40"/>
  <c r="EH298" i="40" s="1"/>
  <c r="EB298" i="40"/>
  <c r="EC298" i="40" s="1"/>
  <c r="FK281" i="40"/>
  <c r="FL281" i="40" s="1"/>
  <c r="FF281" i="40"/>
  <c r="FG281" i="40" s="1"/>
  <c r="FA281" i="40"/>
  <c r="FB281" i="40" s="1"/>
  <c r="EV281" i="40"/>
  <c r="EW281" i="40" s="1"/>
  <c r="EQ281" i="40"/>
  <c r="ER281" i="40" s="1"/>
  <c r="EL281" i="40"/>
  <c r="EG281" i="40"/>
  <c r="FP281" i="40"/>
  <c r="FQ281" i="40" s="1"/>
  <c r="EB281" i="40"/>
  <c r="EC281" i="40" s="1"/>
  <c r="FK154" i="40"/>
  <c r="FL154" i="40" s="1"/>
  <c r="FF154" i="40"/>
  <c r="FG154" i="40" s="1"/>
  <c r="FA154" i="40"/>
  <c r="FB154" i="40" s="1"/>
  <c r="EV154" i="40"/>
  <c r="EW154" i="40" s="1"/>
  <c r="EL154" i="40"/>
  <c r="EM154" i="40" s="1"/>
  <c r="EQ154" i="40"/>
  <c r="ER154" i="40" s="1"/>
  <c r="EG154" i="40"/>
  <c r="EH154" i="40" s="1"/>
  <c r="FP154" i="40"/>
  <c r="FQ154" i="40" s="1"/>
  <c r="EB154" i="40"/>
  <c r="EC154" i="40" s="1"/>
  <c r="FK57" i="40"/>
  <c r="FL57" i="40" s="1"/>
  <c r="FF57" i="40"/>
  <c r="FG57" i="40" s="1"/>
  <c r="EV57" i="40"/>
  <c r="EW57" i="40" s="1"/>
  <c r="FA57" i="40"/>
  <c r="FB57" i="40" s="1"/>
  <c r="EQ57" i="40"/>
  <c r="ER57" i="40" s="1"/>
  <c r="EG57" i="40"/>
  <c r="EH57" i="40" s="1"/>
  <c r="EL57" i="40"/>
  <c r="EM57" i="40" s="1"/>
  <c r="FP57" i="40"/>
  <c r="FQ57" i="40" s="1"/>
  <c r="EB57" i="40"/>
  <c r="EC57" i="40" s="1"/>
  <c r="FK276" i="40"/>
  <c r="FA276" i="40"/>
  <c r="FF276" i="40"/>
  <c r="FG276" i="40" s="1"/>
  <c r="EV276" i="40"/>
  <c r="EW276" i="40" s="1"/>
  <c r="EQ276" i="40"/>
  <c r="EL276" i="40"/>
  <c r="EM276" i="40" s="1"/>
  <c r="FP276" i="40"/>
  <c r="FQ276" i="40" s="1"/>
  <c r="EG276" i="40"/>
  <c r="EH276" i="40" s="1"/>
  <c r="EB276" i="40"/>
  <c r="EC276" i="40" s="1"/>
  <c r="FK83" i="40"/>
  <c r="FL83" i="40" s="1"/>
  <c r="FF83" i="40"/>
  <c r="FG83" i="40" s="1"/>
  <c r="FA83" i="40"/>
  <c r="FB83" i="40" s="1"/>
  <c r="EV83" i="40"/>
  <c r="EW83" i="40" s="1"/>
  <c r="EQ83" i="40"/>
  <c r="ER83" i="40" s="1"/>
  <c r="EL83" i="40"/>
  <c r="EM83" i="40" s="1"/>
  <c r="EG83" i="40"/>
  <c r="EH83" i="40" s="1"/>
  <c r="FP83" i="40"/>
  <c r="FQ83" i="40" s="1"/>
  <c r="EB83" i="40"/>
  <c r="EC83" i="40" s="1"/>
  <c r="FK342" i="40"/>
  <c r="FL342" i="40" s="1"/>
  <c r="FF342" i="40"/>
  <c r="FG342" i="40" s="1"/>
  <c r="FA342" i="40"/>
  <c r="FB342" i="40" s="1"/>
  <c r="EQ342" i="40"/>
  <c r="ER342" i="40" s="1"/>
  <c r="EV342" i="40"/>
  <c r="EW342" i="40" s="1"/>
  <c r="EL342" i="40"/>
  <c r="EM342" i="40" s="1"/>
  <c r="FP342" i="40"/>
  <c r="FQ342" i="40" s="1"/>
  <c r="EG342" i="40"/>
  <c r="EH342" i="40" s="1"/>
  <c r="EB342" i="40"/>
  <c r="EC342" i="40" s="1"/>
  <c r="FK355" i="40"/>
  <c r="FL355" i="40" s="1"/>
  <c r="FF355" i="40"/>
  <c r="FG355" i="40" s="1"/>
  <c r="FA355" i="40"/>
  <c r="FB355" i="40" s="1"/>
  <c r="EV355" i="40"/>
  <c r="EW355" i="40" s="1"/>
  <c r="EQ355" i="40"/>
  <c r="ER355" i="40" s="1"/>
  <c r="EL355" i="40"/>
  <c r="EM355" i="40" s="1"/>
  <c r="FP355" i="40"/>
  <c r="FQ355" i="40" s="1"/>
  <c r="EG355" i="40"/>
  <c r="EH355" i="40" s="1"/>
  <c r="EB355" i="40"/>
  <c r="EC355" i="40" s="1"/>
  <c r="FK16" i="40"/>
  <c r="FL16" i="40" s="1"/>
  <c r="FF16" i="40"/>
  <c r="FG16" i="40" s="1"/>
  <c r="FA16" i="40"/>
  <c r="FB16" i="40" s="1"/>
  <c r="EV16" i="40"/>
  <c r="EW16" i="40" s="1"/>
  <c r="EQ16" i="40"/>
  <c r="ER16" i="40" s="1"/>
  <c r="EL16" i="40"/>
  <c r="EM16" i="40" s="1"/>
  <c r="EG16" i="40"/>
  <c r="EH16" i="40" s="1"/>
  <c r="FP16" i="40"/>
  <c r="FQ16" i="40" s="1"/>
  <c r="EB16" i="40"/>
  <c r="EC16" i="40" s="1"/>
  <c r="FK321" i="40"/>
  <c r="FL321" i="40" s="1"/>
  <c r="FF321" i="40"/>
  <c r="FG321" i="40" s="1"/>
  <c r="FA321" i="40"/>
  <c r="FB321" i="40" s="1"/>
  <c r="EV321" i="40"/>
  <c r="EW321" i="40" s="1"/>
  <c r="EQ321" i="40"/>
  <c r="ER321" i="40" s="1"/>
  <c r="EL321" i="40"/>
  <c r="EM321" i="40" s="1"/>
  <c r="EG321" i="40"/>
  <c r="EH321" i="40" s="1"/>
  <c r="FP321" i="40"/>
  <c r="FQ321" i="40" s="1"/>
  <c r="EB321" i="40"/>
  <c r="EC321" i="40" s="1"/>
  <c r="FK278" i="40"/>
  <c r="FL278" i="40" s="1"/>
  <c r="FF278" i="40"/>
  <c r="FG278" i="40" s="1"/>
  <c r="FA278" i="40"/>
  <c r="FB278" i="40" s="1"/>
  <c r="EV278" i="40"/>
  <c r="EW278" i="40" s="1"/>
  <c r="EL278" i="40"/>
  <c r="EM278" i="40" s="1"/>
  <c r="EQ278" i="40"/>
  <c r="ER278" i="40" s="1"/>
  <c r="FP278" i="40"/>
  <c r="FQ278" i="40" s="1"/>
  <c r="EG278" i="40"/>
  <c r="EH278" i="40" s="1"/>
  <c r="EB278" i="40"/>
  <c r="EC278" i="40" s="1"/>
  <c r="FK258" i="40"/>
  <c r="FL258" i="40" s="1"/>
  <c r="FF258" i="40"/>
  <c r="FG258" i="40" s="1"/>
  <c r="FA258" i="40"/>
  <c r="FB258" i="40" s="1"/>
  <c r="EV258" i="40"/>
  <c r="EW258" i="40" s="1"/>
  <c r="EL258" i="40"/>
  <c r="EM258" i="40" s="1"/>
  <c r="EQ258" i="40"/>
  <c r="ER258" i="40" s="1"/>
  <c r="FP258" i="40"/>
  <c r="FQ258" i="40" s="1"/>
  <c r="EG258" i="40"/>
  <c r="EH258" i="40" s="1"/>
  <c r="EB258" i="40"/>
  <c r="EC258" i="40" s="1"/>
  <c r="FK131" i="40"/>
  <c r="FL131" i="40" s="1"/>
  <c r="FF131" i="40"/>
  <c r="FG131" i="40" s="1"/>
  <c r="FA131" i="40"/>
  <c r="FB131" i="40" s="1"/>
  <c r="EV131" i="40"/>
  <c r="EW131" i="40" s="1"/>
  <c r="EQ131" i="40"/>
  <c r="ER131" i="40" s="1"/>
  <c r="EL131" i="40"/>
  <c r="EM131" i="40" s="1"/>
  <c r="EG131" i="40"/>
  <c r="EH131" i="40" s="1"/>
  <c r="FP131" i="40"/>
  <c r="FQ131" i="40" s="1"/>
  <c r="EB131" i="40"/>
  <c r="EC131" i="40" s="1"/>
  <c r="FK40" i="40"/>
  <c r="FL40" i="40" s="1"/>
  <c r="FF40" i="40"/>
  <c r="FG40" i="40" s="1"/>
  <c r="FA40" i="40"/>
  <c r="FB40" i="40" s="1"/>
  <c r="EV40" i="40"/>
  <c r="EW40" i="40" s="1"/>
  <c r="EQ40" i="40"/>
  <c r="ER40" i="40" s="1"/>
  <c r="EL40" i="40"/>
  <c r="EM40" i="40" s="1"/>
  <c r="EG40" i="40"/>
  <c r="EH40" i="40" s="1"/>
  <c r="FP40" i="40"/>
  <c r="FQ40" i="40" s="1"/>
  <c r="EB40" i="40"/>
  <c r="EC40" i="40" s="1"/>
  <c r="FK211" i="40"/>
  <c r="FL211" i="40" s="1"/>
  <c r="FF211" i="40"/>
  <c r="FG211" i="40" s="1"/>
  <c r="FA211" i="40"/>
  <c r="FB211" i="40" s="1"/>
  <c r="EV211" i="40"/>
  <c r="EW211" i="40" s="1"/>
  <c r="EQ211" i="40"/>
  <c r="ER211" i="40" s="1"/>
  <c r="EL211" i="40"/>
  <c r="EM211" i="40" s="1"/>
  <c r="EG211" i="40"/>
  <c r="EH211" i="40" s="1"/>
  <c r="FP211" i="40"/>
  <c r="FQ211" i="40" s="1"/>
  <c r="EB211" i="40"/>
  <c r="EC211" i="40" s="1"/>
  <c r="FK133" i="40"/>
  <c r="FL133" i="40" s="1"/>
  <c r="FF133" i="40"/>
  <c r="FG133" i="40" s="1"/>
  <c r="EV133" i="40"/>
  <c r="EW133" i="40" s="1"/>
  <c r="FA133" i="40"/>
  <c r="FB133" i="40" s="1"/>
  <c r="EQ133" i="40"/>
  <c r="ER133" i="40" s="1"/>
  <c r="EL133" i="40"/>
  <c r="EM133" i="40" s="1"/>
  <c r="EG133" i="40"/>
  <c r="EH133" i="40" s="1"/>
  <c r="FP133" i="40"/>
  <c r="FQ133" i="40" s="1"/>
  <c r="EB133" i="40"/>
  <c r="EC133" i="40" s="1"/>
  <c r="FK48" i="40"/>
  <c r="FF48" i="40"/>
  <c r="FA48" i="40"/>
  <c r="EV48" i="40"/>
  <c r="EW48" i="40" s="1"/>
  <c r="EQ48" i="40"/>
  <c r="EL48" i="40"/>
  <c r="EM48" i="40" s="1"/>
  <c r="EG48" i="40"/>
  <c r="EH48" i="40" s="1"/>
  <c r="FP48" i="40"/>
  <c r="FQ48" i="40" s="1"/>
  <c r="EB48" i="40"/>
  <c r="EC48" i="40" s="1"/>
  <c r="FK354" i="40"/>
  <c r="FL354" i="40" s="1"/>
  <c r="FF354" i="40"/>
  <c r="FG354" i="40" s="1"/>
  <c r="FA354" i="40"/>
  <c r="FB354" i="40" s="1"/>
  <c r="EQ354" i="40"/>
  <c r="ER354" i="40" s="1"/>
  <c r="EV354" i="40"/>
  <c r="EW354" i="40" s="1"/>
  <c r="EL354" i="40"/>
  <c r="EM354" i="40" s="1"/>
  <c r="FP354" i="40"/>
  <c r="FQ354" i="40" s="1"/>
  <c r="EG354" i="40"/>
  <c r="EH354" i="40" s="1"/>
  <c r="EB354" i="40"/>
  <c r="EC354" i="40" s="1"/>
  <c r="FK270" i="40"/>
  <c r="FL270" i="40" s="1"/>
  <c r="FF270" i="40"/>
  <c r="FG270" i="40" s="1"/>
  <c r="FA270" i="40"/>
  <c r="FB270" i="40" s="1"/>
  <c r="EV270" i="40"/>
  <c r="EW270" i="40" s="1"/>
  <c r="EL270" i="40"/>
  <c r="EM270" i="40" s="1"/>
  <c r="EQ270" i="40"/>
  <c r="ER270" i="40" s="1"/>
  <c r="FP270" i="40"/>
  <c r="FQ270" i="40" s="1"/>
  <c r="EG270" i="40"/>
  <c r="EH270" i="40" s="1"/>
  <c r="EB270" i="40"/>
  <c r="EC270" i="40" s="1"/>
  <c r="FK161" i="40"/>
  <c r="FL161" i="40" s="1"/>
  <c r="FF161" i="40"/>
  <c r="FG161" i="40" s="1"/>
  <c r="EV161" i="40"/>
  <c r="EW161" i="40" s="1"/>
  <c r="FA161" i="40"/>
  <c r="FB161" i="40" s="1"/>
  <c r="EQ161" i="40"/>
  <c r="ER161" i="40" s="1"/>
  <c r="EL161" i="40"/>
  <c r="EM161" i="40" s="1"/>
  <c r="EG161" i="40"/>
  <c r="EH161" i="40" s="1"/>
  <c r="FP161" i="40"/>
  <c r="FQ161" i="40" s="1"/>
  <c r="EB161" i="40"/>
  <c r="EC161" i="40" s="1"/>
  <c r="FK87" i="40"/>
  <c r="FL87" i="40" s="1"/>
  <c r="FF87" i="40"/>
  <c r="FG87" i="40" s="1"/>
  <c r="FA87" i="40"/>
  <c r="FB87" i="40" s="1"/>
  <c r="EV87" i="40"/>
  <c r="EW87" i="40" s="1"/>
  <c r="EQ87" i="40"/>
  <c r="ER87" i="40" s="1"/>
  <c r="EL87" i="40"/>
  <c r="EM87" i="40" s="1"/>
  <c r="EG87" i="40"/>
  <c r="EH87" i="40" s="1"/>
  <c r="FP87" i="40"/>
  <c r="FQ87" i="40" s="1"/>
  <c r="EB87" i="40"/>
  <c r="EC87" i="40" s="1"/>
  <c r="FK377" i="40"/>
  <c r="FL377" i="40" s="1"/>
  <c r="FF377" i="40"/>
  <c r="FG377" i="40" s="1"/>
  <c r="FA377" i="40"/>
  <c r="FB377" i="40" s="1"/>
  <c r="EV377" i="40"/>
  <c r="EW377" i="40" s="1"/>
  <c r="EQ377" i="40"/>
  <c r="ER377" i="40" s="1"/>
  <c r="EL377" i="40"/>
  <c r="EM377" i="40" s="1"/>
  <c r="EG377" i="40"/>
  <c r="EH377" i="40" s="1"/>
  <c r="FP377" i="40"/>
  <c r="FQ377" i="40" s="1"/>
  <c r="EB377" i="40"/>
  <c r="EC377" i="40" s="1"/>
  <c r="FK360" i="40"/>
  <c r="FL360" i="40" s="1"/>
  <c r="FA360" i="40"/>
  <c r="FB360" i="40" s="1"/>
  <c r="FF360" i="40"/>
  <c r="FG360" i="40" s="1"/>
  <c r="EV360" i="40"/>
  <c r="EW360" i="40" s="1"/>
  <c r="EQ360" i="40"/>
  <c r="ER360" i="40" s="1"/>
  <c r="EL360" i="40"/>
  <c r="EM360" i="40" s="1"/>
  <c r="EG360" i="40"/>
  <c r="EH360" i="40" s="1"/>
  <c r="FP360" i="40"/>
  <c r="FQ360" i="40" s="1"/>
  <c r="EB360" i="40"/>
  <c r="EC360" i="40" s="1"/>
  <c r="FK306" i="40"/>
  <c r="FL306" i="40" s="1"/>
  <c r="FF306" i="40"/>
  <c r="FG306" i="40" s="1"/>
  <c r="FA306" i="40"/>
  <c r="FB306" i="40" s="1"/>
  <c r="EV306" i="40"/>
  <c r="EW306" i="40" s="1"/>
  <c r="EL306" i="40"/>
  <c r="EM306" i="40" s="1"/>
  <c r="EQ306" i="40"/>
  <c r="ER306" i="40" s="1"/>
  <c r="FP306" i="40"/>
  <c r="FQ306" i="40" s="1"/>
  <c r="EG306" i="40"/>
  <c r="EH306" i="40" s="1"/>
  <c r="EB306" i="40"/>
  <c r="EC306" i="40" s="1"/>
  <c r="FK292" i="40"/>
  <c r="FL292" i="40" s="1"/>
  <c r="FA292" i="40"/>
  <c r="FB292" i="40" s="1"/>
  <c r="FF292" i="40"/>
  <c r="FG292" i="40" s="1"/>
  <c r="EV292" i="40"/>
  <c r="EW292" i="40" s="1"/>
  <c r="EQ292" i="40"/>
  <c r="ER292" i="40" s="1"/>
  <c r="EL292" i="40"/>
  <c r="EM292" i="40" s="1"/>
  <c r="FP292" i="40"/>
  <c r="FQ292" i="40" s="1"/>
  <c r="EG292" i="40"/>
  <c r="EH292" i="40" s="1"/>
  <c r="EB292" i="40"/>
  <c r="EC292" i="40" s="1"/>
  <c r="FK248" i="40"/>
  <c r="FL248" i="40" s="1"/>
  <c r="FA248" i="40"/>
  <c r="FB248" i="40" s="1"/>
  <c r="FF248" i="40"/>
  <c r="FG248" i="40" s="1"/>
  <c r="EV248" i="40"/>
  <c r="EW248" i="40" s="1"/>
  <c r="EQ248" i="40"/>
  <c r="ER248" i="40" s="1"/>
  <c r="EL248" i="40"/>
  <c r="EM248" i="40" s="1"/>
  <c r="FP248" i="40"/>
  <c r="FQ248" i="40" s="1"/>
  <c r="EG248" i="40"/>
  <c r="EH248" i="40" s="1"/>
  <c r="EB248" i="40"/>
  <c r="EC248" i="40" s="1"/>
  <c r="FK190" i="40"/>
  <c r="FL190" i="40" s="1"/>
  <c r="FF190" i="40"/>
  <c r="FG190" i="40" s="1"/>
  <c r="FA190" i="40"/>
  <c r="FB190" i="40" s="1"/>
  <c r="EV190" i="40"/>
  <c r="EW190" i="40" s="1"/>
  <c r="EL190" i="40"/>
  <c r="EM190" i="40" s="1"/>
  <c r="EQ190" i="40"/>
  <c r="ER190" i="40" s="1"/>
  <c r="EG190" i="40"/>
  <c r="EH190" i="40" s="1"/>
  <c r="FP190" i="40"/>
  <c r="FQ190" i="40" s="1"/>
  <c r="EB190" i="40"/>
  <c r="EC190" i="40" s="1"/>
  <c r="FK162" i="40"/>
  <c r="FL162" i="40" s="1"/>
  <c r="FF162" i="40"/>
  <c r="FG162" i="40" s="1"/>
  <c r="FA162" i="40"/>
  <c r="FB162" i="40" s="1"/>
  <c r="EV162" i="40"/>
  <c r="EW162" i="40" s="1"/>
  <c r="EL162" i="40"/>
  <c r="EM162" i="40" s="1"/>
  <c r="EQ162" i="40"/>
  <c r="ER162" i="40" s="1"/>
  <c r="EG162" i="40"/>
  <c r="EH162" i="40" s="1"/>
  <c r="FP162" i="40"/>
  <c r="FQ162" i="40" s="1"/>
  <c r="EB162" i="40"/>
  <c r="EC162" i="40" s="1"/>
  <c r="FK151" i="40"/>
  <c r="FL151" i="40" s="1"/>
  <c r="FF151" i="40"/>
  <c r="FG151" i="40" s="1"/>
  <c r="FA151" i="40"/>
  <c r="FB151" i="40" s="1"/>
  <c r="EV151" i="40"/>
  <c r="EW151" i="40" s="1"/>
  <c r="EQ151" i="40"/>
  <c r="ER151" i="40" s="1"/>
  <c r="EL151" i="40"/>
  <c r="EM151" i="40" s="1"/>
  <c r="EG151" i="40"/>
  <c r="EH151" i="40" s="1"/>
  <c r="FP151" i="40"/>
  <c r="FQ151" i="40" s="1"/>
  <c r="EB151" i="40"/>
  <c r="EC151" i="40" s="1"/>
  <c r="FK129" i="40"/>
  <c r="FL129" i="40" s="1"/>
  <c r="FF129" i="40"/>
  <c r="FG129" i="40" s="1"/>
  <c r="EV129" i="40"/>
  <c r="EW129" i="40" s="1"/>
  <c r="FA129" i="40"/>
  <c r="FB129" i="40" s="1"/>
  <c r="EQ129" i="40"/>
  <c r="ER129" i="40" s="1"/>
  <c r="EL129" i="40"/>
  <c r="EM129" i="40" s="1"/>
  <c r="EG129" i="40"/>
  <c r="EH129" i="40" s="1"/>
  <c r="FP129" i="40"/>
  <c r="FQ129" i="40" s="1"/>
  <c r="EB129" i="40"/>
  <c r="EC129" i="40" s="1"/>
  <c r="FK81" i="40"/>
  <c r="FL81" i="40" s="1"/>
  <c r="FF81" i="40"/>
  <c r="FG81" i="40" s="1"/>
  <c r="EV81" i="40"/>
  <c r="EW81" i="40" s="1"/>
  <c r="FA81" i="40"/>
  <c r="FB81" i="40" s="1"/>
  <c r="EQ81" i="40"/>
  <c r="ER81" i="40" s="1"/>
  <c r="EL81" i="40"/>
  <c r="EM81" i="40" s="1"/>
  <c r="EG81" i="40"/>
  <c r="EH81" i="40" s="1"/>
  <c r="FP81" i="40"/>
  <c r="FQ81" i="40" s="1"/>
  <c r="EB81" i="40"/>
  <c r="EC81" i="40" s="1"/>
  <c r="FK56" i="40"/>
  <c r="FL56" i="40" s="1"/>
  <c r="FF56" i="40"/>
  <c r="FG56" i="40" s="1"/>
  <c r="FA56" i="40"/>
  <c r="FB56" i="40" s="1"/>
  <c r="EV56" i="40"/>
  <c r="EW56" i="40" s="1"/>
  <c r="EQ56" i="40"/>
  <c r="ER56" i="40" s="1"/>
  <c r="EL56" i="40"/>
  <c r="EM56" i="40" s="1"/>
  <c r="EG56" i="40"/>
  <c r="EH56" i="40" s="1"/>
  <c r="FP56" i="40"/>
  <c r="FQ56" i="40" s="1"/>
  <c r="EB56" i="40"/>
  <c r="EC56" i="40" s="1"/>
  <c r="FK5" i="40"/>
  <c r="FL5" i="40" s="1"/>
  <c r="FF5" i="40"/>
  <c r="FG5" i="40" s="1"/>
  <c r="EV5" i="40"/>
  <c r="EW5" i="40" s="1"/>
  <c r="FA5" i="40"/>
  <c r="FB5" i="40" s="1"/>
  <c r="EQ5" i="40"/>
  <c r="ER5" i="40" s="1"/>
  <c r="EG5" i="40"/>
  <c r="EH5" i="40" s="1"/>
  <c r="EL5" i="40"/>
  <c r="EM5" i="40" s="1"/>
  <c r="FP5" i="40"/>
  <c r="FQ5" i="40" s="1"/>
  <c r="EB5" i="40"/>
  <c r="EC5" i="40" s="1"/>
  <c r="FK58" i="40"/>
  <c r="FL58" i="40" s="1"/>
  <c r="FF58" i="40"/>
  <c r="FG58" i="40" s="1"/>
  <c r="FA58" i="40"/>
  <c r="FB58" i="40" s="1"/>
  <c r="EV58" i="40"/>
  <c r="EW58" i="40" s="1"/>
  <c r="EQ58" i="40"/>
  <c r="ER58" i="40" s="1"/>
  <c r="EL58" i="40"/>
  <c r="EM58" i="40" s="1"/>
  <c r="EG58" i="40"/>
  <c r="EH58" i="40" s="1"/>
  <c r="FP58" i="40"/>
  <c r="FQ58" i="40" s="1"/>
  <c r="EB58" i="40"/>
  <c r="EC58" i="40" s="1"/>
  <c r="FK395" i="40"/>
  <c r="FF395" i="40"/>
  <c r="FG395" i="40" s="1"/>
  <c r="FA395" i="40"/>
  <c r="EV395" i="40"/>
  <c r="EW395" i="40" s="1"/>
  <c r="EQ395" i="40"/>
  <c r="ER395" i="40" s="1"/>
  <c r="EL395" i="40"/>
  <c r="FP395" i="40"/>
  <c r="FQ395" i="40" s="1"/>
  <c r="EG395" i="40"/>
  <c r="EH395" i="40" s="1"/>
  <c r="EB395" i="40"/>
  <c r="EC395" i="40" s="1"/>
  <c r="FK385" i="40"/>
  <c r="FL385" i="40" s="1"/>
  <c r="FF385" i="40"/>
  <c r="FG385" i="40" s="1"/>
  <c r="FA385" i="40"/>
  <c r="FB385" i="40" s="1"/>
  <c r="EV385" i="40"/>
  <c r="EW385" i="40" s="1"/>
  <c r="EQ385" i="40"/>
  <c r="ER385" i="40" s="1"/>
  <c r="EL385" i="40"/>
  <c r="EM385" i="40" s="1"/>
  <c r="EG385" i="40"/>
  <c r="EH385" i="40" s="1"/>
  <c r="FP385" i="40"/>
  <c r="FQ385" i="40" s="1"/>
  <c r="EB385" i="40"/>
  <c r="EC385" i="40" s="1"/>
  <c r="FK372" i="40"/>
  <c r="FA372" i="40"/>
  <c r="FF372" i="40"/>
  <c r="FG372" i="40" s="1"/>
  <c r="EV372" i="40"/>
  <c r="EW372" i="40" s="1"/>
  <c r="EQ372" i="40"/>
  <c r="ER372" i="40" s="1"/>
  <c r="EL372" i="40"/>
  <c r="EG372" i="40"/>
  <c r="EH372" i="40" s="1"/>
  <c r="FP372" i="40"/>
  <c r="FQ372" i="40" s="1"/>
  <c r="EB372" i="40"/>
  <c r="EC372" i="40" s="1"/>
  <c r="FK344" i="40"/>
  <c r="FL344" i="40" s="1"/>
  <c r="FA344" i="40"/>
  <c r="FB344" i="40" s="1"/>
  <c r="FF344" i="40"/>
  <c r="FG344" i="40" s="1"/>
  <c r="EV344" i="40"/>
  <c r="EW344" i="40" s="1"/>
  <c r="EQ344" i="40"/>
  <c r="ER344" i="40" s="1"/>
  <c r="EL344" i="40"/>
  <c r="EM344" i="40" s="1"/>
  <c r="EG344" i="40"/>
  <c r="EH344" i="40" s="1"/>
  <c r="FP344" i="40"/>
  <c r="FQ344" i="40" s="1"/>
  <c r="EB344" i="40"/>
  <c r="EC344" i="40" s="1"/>
  <c r="FK322" i="40"/>
  <c r="FL322" i="40" s="1"/>
  <c r="FF322" i="40"/>
  <c r="FG322" i="40" s="1"/>
  <c r="FA322" i="40"/>
  <c r="FB322" i="40" s="1"/>
  <c r="EV322" i="40"/>
  <c r="EW322" i="40" s="1"/>
  <c r="EL322" i="40"/>
  <c r="EM322" i="40" s="1"/>
  <c r="EQ322" i="40"/>
  <c r="ER322" i="40" s="1"/>
  <c r="FP322" i="40"/>
  <c r="FQ322" i="40" s="1"/>
  <c r="EG322" i="40"/>
  <c r="EH322" i="40" s="1"/>
  <c r="EB322" i="40"/>
  <c r="EC322" i="40" s="1"/>
  <c r="FK305" i="40"/>
  <c r="FL305" i="40" s="1"/>
  <c r="FF305" i="40"/>
  <c r="FG305" i="40" s="1"/>
  <c r="FA305" i="40"/>
  <c r="FB305" i="40" s="1"/>
  <c r="EV305" i="40"/>
  <c r="EW305" i="40" s="1"/>
  <c r="EQ305" i="40"/>
  <c r="ER305" i="40" s="1"/>
  <c r="EL305" i="40"/>
  <c r="EM305" i="40" s="1"/>
  <c r="EG305" i="40"/>
  <c r="EH305" i="40" s="1"/>
  <c r="FP305" i="40"/>
  <c r="FQ305" i="40" s="1"/>
  <c r="EB305" i="40"/>
  <c r="EC305" i="40" s="1"/>
  <c r="FK264" i="40"/>
  <c r="FL264" i="40" s="1"/>
  <c r="FA264" i="40"/>
  <c r="FB264" i="40" s="1"/>
  <c r="FF264" i="40"/>
  <c r="FG264" i="40" s="1"/>
  <c r="EV264" i="40"/>
  <c r="EW264" i="40" s="1"/>
  <c r="EQ264" i="40"/>
  <c r="ER264" i="40" s="1"/>
  <c r="EL264" i="40"/>
  <c r="EM264" i="40" s="1"/>
  <c r="FP264" i="40"/>
  <c r="FQ264" i="40" s="1"/>
  <c r="EG264" i="40"/>
  <c r="EH264" i="40" s="1"/>
  <c r="EB264" i="40"/>
  <c r="EC264" i="40" s="1"/>
  <c r="FK203" i="40"/>
  <c r="FL203" i="40" s="1"/>
  <c r="FF203" i="40"/>
  <c r="FG203" i="40" s="1"/>
  <c r="FA203" i="40"/>
  <c r="FB203" i="40" s="1"/>
  <c r="EV203" i="40"/>
  <c r="EW203" i="40" s="1"/>
  <c r="EQ203" i="40"/>
  <c r="ER203" i="40" s="1"/>
  <c r="EL203" i="40"/>
  <c r="EM203" i="40" s="1"/>
  <c r="EG203" i="40"/>
  <c r="EH203" i="40" s="1"/>
  <c r="FP203" i="40"/>
  <c r="FQ203" i="40" s="1"/>
  <c r="EB203" i="40"/>
  <c r="EC203" i="40" s="1"/>
  <c r="FK91" i="40"/>
  <c r="FL91" i="40" s="1"/>
  <c r="FF91" i="40"/>
  <c r="FG91" i="40" s="1"/>
  <c r="FA91" i="40"/>
  <c r="FB91" i="40" s="1"/>
  <c r="EV91" i="40"/>
  <c r="EW91" i="40" s="1"/>
  <c r="EQ91" i="40"/>
  <c r="ER91" i="40" s="1"/>
  <c r="EL91" i="40"/>
  <c r="EM91" i="40" s="1"/>
  <c r="EG91" i="40"/>
  <c r="EH91" i="40" s="1"/>
  <c r="FP91" i="40"/>
  <c r="FQ91" i="40" s="1"/>
  <c r="EB91" i="40"/>
  <c r="EC91" i="40" s="1"/>
  <c r="FK46" i="40"/>
  <c r="FL46" i="40" s="1"/>
  <c r="FF46" i="40"/>
  <c r="FG46" i="40" s="1"/>
  <c r="FA46" i="40"/>
  <c r="FB46" i="40" s="1"/>
  <c r="EV46" i="40"/>
  <c r="EW46" i="40" s="1"/>
  <c r="EQ46" i="40"/>
  <c r="ER46" i="40" s="1"/>
  <c r="EL46" i="40"/>
  <c r="EM46" i="40" s="1"/>
  <c r="EG46" i="40"/>
  <c r="EH46" i="40" s="1"/>
  <c r="FP46" i="40"/>
  <c r="FQ46" i="40" s="1"/>
  <c r="EB46" i="40"/>
  <c r="EC46" i="40" s="1"/>
  <c r="FK396" i="40"/>
  <c r="FL396" i="40" s="1"/>
  <c r="FA396" i="40"/>
  <c r="FB396" i="40" s="1"/>
  <c r="FF396" i="40"/>
  <c r="FG396" i="40" s="1"/>
  <c r="EV396" i="40"/>
  <c r="EW396" i="40" s="1"/>
  <c r="EQ396" i="40"/>
  <c r="ER396" i="40" s="1"/>
  <c r="EL396" i="40"/>
  <c r="EM396" i="40" s="1"/>
  <c r="EG396" i="40"/>
  <c r="EH396" i="40" s="1"/>
  <c r="FP396" i="40"/>
  <c r="FQ396" i="40" s="1"/>
  <c r="EB396" i="40"/>
  <c r="EC396" i="40" s="1"/>
  <c r="FK147" i="40"/>
  <c r="FL147" i="40" s="1"/>
  <c r="FF147" i="40"/>
  <c r="FG147" i="40" s="1"/>
  <c r="FA147" i="40"/>
  <c r="FB147" i="40" s="1"/>
  <c r="EV147" i="40"/>
  <c r="EW147" i="40" s="1"/>
  <c r="EQ147" i="40"/>
  <c r="ER147" i="40" s="1"/>
  <c r="EL147" i="40"/>
  <c r="EM147" i="40" s="1"/>
  <c r="EG147" i="40"/>
  <c r="EH147" i="40" s="1"/>
  <c r="FP147" i="40"/>
  <c r="FQ147" i="40" s="1"/>
  <c r="EB147" i="40"/>
  <c r="EC147" i="40" s="1"/>
  <c r="FK204" i="40"/>
  <c r="FL204" i="40" s="1"/>
  <c r="FF204" i="40"/>
  <c r="FG204" i="40" s="1"/>
  <c r="FA204" i="40"/>
  <c r="FB204" i="40" s="1"/>
  <c r="EV204" i="40"/>
  <c r="EW204" i="40" s="1"/>
  <c r="EQ204" i="40"/>
  <c r="ER204" i="40" s="1"/>
  <c r="EL204" i="40"/>
  <c r="EM204" i="40" s="1"/>
  <c r="EG204" i="40"/>
  <c r="EH204" i="40" s="1"/>
  <c r="FP204" i="40"/>
  <c r="FQ204" i="40" s="1"/>
  <c r="EB204" i="40"/>
  <c r="EC204" i="40" s="1"/>
  <c r="FK132" i="40"/>
  <c r="FL132" i="40" s="1"/>
  <c r="FF132" i="40"/>
  <c r="FG132" i="40" s="1"/>
  <c r="FA132" i="40"/>
  <c r="FB132" i="40" s="1"/>
  <c r="EV132" i="40"/>
  <c r="EW132" i="40" s="1"/>
  <c r="EQ132" i="40"/>
  <c r="ER132" i="40" s="1"/>
  <c r="EL132" i="40"/>
  <c r="EM132" i="40" s="1"/>
  <c r="EG132" i="40"/>
  <c r="EH132" i="40" s="1"/>
  <c r="FP132" i="40"/>
  <c r="FQ132" i="40" s="1"/>
  <c r="EB132" i="40"/>
  <c r="EC132" i="40" s="1"/>
  <c r="FK202" i="40"/>
  <c r="FL202" i="40" s="1"/>
  <c r="FF202" i="40"/>
  <c r="FG202" i="40" s="1"/>
  <c r="FA202" i="40"/>
  <c r="FB202" i="40" s="1"/>
  <c r="EV202" i="40"/>
  <c r="EW202" i="40" s="1"/>
  <c r="EL202" i="40"/>
  <c r="EM202" i="40" s="1"/>
  <c r="EQ202" i="40"/>
  <c r="ER202" i="40" s="1"/>
  <c r="EG202" i="40"/>
  <c r="EH202" i="40" s="1"/>
  <c r="FP202" i="40"/>
  <c r="FQ202" i="40" s="1"/>
  <c r="EB202" i="40"/>
  <c r="EC202" i="40" s="1"/>
  <c r="FK398" i="40"/>
  <c r="FL398" i="40" s="1"/>
  <c r="FF398" i="40"/>
  <c r="FG398" i="40" s="1"/>
  <c r="FA398" i="40"/>
  <c r="FB398" i="40" s="1"/>
  <c r="EQ398" i="40"/>
  <c r="ER398" i="40" s="1"/>
  <c r="EV398" i="40"/>
  <c r="EW398" i="40" s="1"/>
  <c r="EL398" i="40"/>
  <c r="EM398" i="40" s="1"/>
  <c r="FP398" i="40"/>
  <c r="FQ398" i="40" s="1"/>
  <c r="EG398" i="40"/>
  <c r="EH398" i="40" s="1"/>
  <c r="EB398" i="40"/>
  <c r="EC398" i="40" s="1"/>
  <c r="FK226" i="40"/>
  <c r="FL226" i="40" s="1"/>
  <c r="FF226" i="40"/>
  <c r="FG226" i="40" s="1"/>
  <c r="FA226" i="40"/>
  <c r="FB226" i="40" s="1"/>
  <c r="EV226" i="40"/>
  <c r="EW226" i="40" s="1"/>
  <c r="EL226" i="40"/>
  <c r="EM226" i="40" s="1"/>
  <c r="EQ226" i="40"/>
  <c r="ER226" i="40" s="1"/>
  <c r="FP226" i="40"/>
  <c r="FQ226" i="40" s="1"/>
  <c r="EG226" i="40"/>
  <c r="EH226" i="40" s="1"/>
  <c r="EB226" i="40"/>
  <c r="EC226" i="40" s="1"/>
  <c r="FK245" i="40"/>
  <c r="FL245" i="40" s="1"/>
  <c r="FF245" i="40"/>
  <c r="FG245" i="40" s="1"/>
  <c r="FA245" i="40"/>
  <c r="FB245" i="40" s="1"/>
  <c r="EV245" i="40"/>
  <c r="EW245" i="40" s="1"/>
  <c r="EQ245" i="40"/>
  <c r="ER245" i="40" s="1"/>
  <c r="EL245" i="40"/>
  <c r="EM245" i="40" s="1"/>
  <c r="EG245" i="40"/>
  <c r="EH245" i="40" s="1"/>
  <c r="FP245" i="40"/>
  <c r="FQ245" i="40" s="1"/>
  <c r="EB245" i="40"/>
  <c r="EC245" i="40" s="1"/>
  <c r="FK327" i="40"/>
  <c r="FL327" i="40" s="1"/>
  <c r="FF327" i="40"/>
  <c r="FG327" i="40" s="1"/>
  <c r="FA327" i="40"/>
  <c r="FB327" i="40" s="1"/>
  <c r="EV327" i="40"/>
  <c r="EW327" i="40" s="1"/>
  <c r="EQ327" i="40"/>
  <c r="ER327" i="40" s="1"/>
  <c r="EL327" i="40"/>
  <c r="EM327" i="40" s="1"/>
  <c r="EG327" i="40"/>
  <c r="EH327" i="40" s="1"/>
  <c r="FP327" i="40"/>
  <c r="FQ327" i="40" s="1"/>
  <c r="EB327" i="40"/>
  <c r="EC327" i="40" s="1"/>
  <c r="FK334" i="40"/>
  <c r="FL334" i="40" s="1"/>
  <c r="FF334" i="40"/>
  <c r="FG334" i="40" s="1"/>
  <c r="FA334" i="40"/>
  <c r="FB334" i="40" s="1"/>
  <c r="EV334" i="40"/>
  <c r="EW334" i="40" s="1"/>
  <c r="EL334" i="40"/>
  <c r="EM334" i="40" s="1"/>
  <c r="EQ334" i="40"/>
  <c r="ER334" i="40" s="1"/>
  <c r="FP334" i="40"/>
  <c r="FQ334" i="40" s="1"/>
  <c r="EG334" i="40"/>
  <c r="EH334" i="40" s="1"/>
  <c r="EB334" i="40"/>
  <c r="EC334" i="40" s="1"/>
  <c r="FK207" i="40"/>
  <c r="FL207" i="40" s="1"/>
  <c r="FF207" i="40"/>
  <c r="FG207" i="40" s="1"/>
  <c r="FA207" i="40"/>
  <c r="FB207" i="40" s="1"/>
  <c r="EV207" i="40"/>
  <c r="EW207" i="40" s="1"/>
  <c r="EQ207" i="40"/>
  <c r="ER207" i="40" s="1"/>
  <c r="EL207" i="40"/>
  <c r="EM207" i="40" s="1"/>
  <c r="EG207" i="40"/>
  <c r="EH207" i="40" s="1"/>
  <c r="FP207" i="40"/>
  <c r="FQ207" i="40" s="1"/>
  <c r="EB207" i="40"/>
  <c r="EC207" i="40" s="1"/>
  <c r="FK250" i="40"/>
  <c r="FL250" i="40" s="1"/>
  <c r="FF250" i="40"/>
  <c r="FG250" i="40" s="1"/>
  <c r="FA250" i="40"/>
  <c r="FB250" i="40" s="1"/>
  <c r="EV250" i="40"/>
  <c r="EW250" i="40" s="1"/>
  <c r="EL250" i="40"/>
  <c r="EM250" i="40" s="1"/>
  <c r="EQ250" i="40"/>
  <c r="ER250" i="40" s="1"/>
  <c r="FP250" i="40"/>
  <c r="FQ250" i="40" s="1"/>
  <c r="EG250" i="40"/>
  <c r="EH250" i="40" s="1"/>
  <c r="EB250" i="40"/>
  <c r="EC250" i="40" s="1"/>
  <c r="FK94" i="40"/>
  <c r="FL94" i="40" s="1"/>
  <c r="FF94" i="40"/>
  <c r="FG94" i="40" s="1"/>
  <c r="FA94" i="40"/>
  <c r="FB94" i="40" s="1"/>
  <c r="EV94" i="40"/>
  <c r="EW94" i="40" s="1"/>
  <c r="EL94" i="40"/>
  <c r="EM94" i="40" s="1"/>
  <c r="EQ94" i="40"/>
  <c r="ER94" i="40" s="1"/>
  <c r="EG94" i="40"/>
  <c r="EH94" i="40" s="1"/>
  <c r="FP94" i="40"/>
  <c r="FQ94" i="40" s="1"/>
  <c r="EB94" i="40"/>
  <c r="EC94" i="40" s="1"/>
  <c r="FK49" i="40"/>
  <c r="FL49" i="40" s="1"/>
  <c r="FF49" i="40"/>
  <c r="FG49" i="40" s="1"/>
  <c r="EV49" i="40"/>
  <c r="EW49" i="40" s="1"/>
  <c r="FA49" i="40"/>
  <c r="FB49" i="40" s="1"/>
  <c r="EQ49" i="40"/>
  <c r="ER49" i="40" s="1"/>
  <c r="EG49" i="40"/>
  <c r="EH49" i="40" s="1"/>
  <c r="EL49" i="40"/>
  <c r="EM49" i="40" s="1"/>
  <c r="FP49" i="40"/>
  <c r="FQ49" i="40" s="1"/>
  <c r="EB49" i="40"/>
  <c r="EC49" i="40" s="1"/>
  <c r="FK220" i="40"/>
  <c r="FL220" i="40" s="1"/>
  <c r="FA220" i="40"/>
  <c r="FB220" i="40" s="1"/>
  <c r="FF220" i="40"/>
  <c r="FG220" i="40" s="1"/>
  <c r="EV220" i="40"/>
  <c r="EW220" i="40" s="1"/>
  <c r="EQ220" i="40"/>
  <c r="ER220" i="40" s="1"/>
  <c r="EL220" i="40"/>
  <c r="EM220" i="40" s="1"/>
  <c r="EG220" i="40"/>
  <c r="EH220" i="40" s="1"/>
  <c r="FP220" i="40"/>
  <c r="FQ220" i="40" s="1"/>
  <c r="EB220" i="40"/>
  <c r="EC220" i="40" s="1"/>
  <c r="FK65" i="40"/>
  <c r="FL65" i="40" s="1"/>
  <c r="FF65" i="40"/>
  <c r="FG65" i="40" s="1"/>
  <c r="EV65" i="40"/>
  <c r="EW65" i="40" s="1"/>
  <c r="FA65" i="40"/>
  <c r="FB65" i="40" s="1"/>
  <c r="EQ65" i="40"/>
  <c r="ER65" i="40" s="1"/>
  <c r="EL65" i="40"/>
  <c r="EM65" i="40" s="1"/>
  <c r="EG65" i="40"/>
  <c r="EH65" i="40" s="1"/>
  <c r="FP65" i="40"/>
  <c r="FQ65" i="40" s="1"/>
  <c r="EB65" i="40"/>
  <c r="EC65" i="40" s="1"/>
  <c r="FK233" i="40"/>
  <c r="FL233" i="40" s="1"/>
  <c r="FF233" i="40"/>
  <c r="FG233" i="40" s="1"/>
  <c r="FA233" i="40"/>
  <c r="FB233" i="40" s="1"/>
  <c r="EV233" i="40"/>
  <c r="EW233" i="40" s="1"/>
  <c r="EQ233" i="40"/>
  <c r="ER233" i="40" s="1"/>
  <c r="EL233" i="40"/>
  <c r="EM233" i="40" s="1"/>
  <c r="EG233" i="40"/>
  <c r="EH233" i="40" s="1"/>
  <c r="FP233" i="40"/>
  <c r="FQ233" i="40" s="1"/>
  <c r="EB233" i="40"/>
  <c r="EC233" i="40" s="1"/>
  <c r="FK178" i="40"/>
  <c r="FL178" i="40" s="1"/>
  <c r="FF178" i="40"/>
  <c r="FG178" i="40" s="1"/>
  <c r="FA178" i="40"/>
  <c r="FB178" i="40" s="1"/>
  <c r="EV178" i="40"/>
  <c r="EW178" i="40" s="1"/>
  <c r="EL178" i="40"/>
  <c r="EM178" i="40" s="1"/>
  <c r="EQ178" i="40"/>
  <c r="ER178" i="40" s="1"/>
  <c r="EG178" i="40"/>
  <c r="EH178" i="40" s="1"/>
  <c r="FP178" i="40"/>
  <c r="FQ178" i="40" s="1"/>
  <c r="EB178" i="40"/>
  <c r="EC178" i="40" s="1"/>
  <c r="FK397" i="40"/>
  <c r="FL397" i="40" s="1"/>
  <c r="FF397" i="40"/>
  <c r="FG397" i="40" s="1"/>
  <c r="FA397" i="40"/>
  <c r="FB397" i="40" s="1"/>
  <c r="EV397" i="40"/>
  <c r="EW397" i="40" s="1"/>
  <c r="EQ397" i="40"/>
  <c r="ER397" i="40" s="1"/>
  <c r="EL397" i="40"/>
  <c r="EM397" i="40" s="1"/>
  <c r="EG397" i="40"/>
  <c r="EH397" i="40" s="1"/>
  <c r="FP397" i="40"/>
  <c r="FQ397" i="40" s="1"/>
  <c r="EB397" i="40"/>
  <c r="EC397" i="40" s="1"/>
  <c r="FK225" i="40"/>
  <c r="FL225" i="40" s="1"/>
  <c r="FF225" i="40"/>
  <c r="FG225" i="40" s="1"/>
  <c r="FA225" i="40"/>
  <c r="FB225" i="40" s="1"/>
  <c r="EV225" i="40"/>
  <c r="EW225" i="40" s="1"/>
  <c r="EQ225" i="40"/>
  <c r="ER225" i="40" s="1"/>
  <c r="EL225" i="40"/>
  <c r="EM225" i="40" s="1"/>
  <c r="EG225" i="40"/>
  <c r="EH225" i="40" s="1"/>
  <c r="FP225" i="40"/>
  <c r="FQ225" i="40" s="1"/>
  <c r="EB225" i="40"/>
  <c r="EC225" i="40" s="1"/>
  <c r="FK136" i="40"/>
  <c r="FL136" i="40" s="1"/>
  <c r="FF136" i="40"/>
  <c r="FG136" i="40" s="1"/>
  <c r="FA136" i="40"/>
  <c r="FB136" i="40" s="1"/>
  <c r="EV136" i="40"/>
  <c r="EW136" i="40" s="1"/>
  <c r="EQ136" i="40"/>
  <c r="ER136" i="40" s="1"/>
  <c r="EL136" i="40"/>
  <c r="EM136" i="40" s="1"/>
  <c r="EG136" i="40"/>
  <c r="EH136" i="40" s="1"/>
  <c r="FP136" i="40"/>
  <c r="FQ136" i="40" s="1"/>
  <c r="EB136" i="40"/>
  <c r="EC136" i="40" s="1"/>
  <c r="FK289" i="40"/>
  <c r="FL289" i="40" s="1"/>
  <c r="FF289" i="40"/>
  <c r="FG289" i="40" s="1"/>
  <c r="FA289" i="40"/>
  <c r="FB289" i="40" s="1"/>
  <c r="EV289" i="40"/>
  <c r="EW289" i="40" s="1"/>
  <c r="EQ289" i="40"/>
  <c r="ER289" i="40" s="1"/>
  <c r="EL289" i="40"/>
  <c r="EM289" i="40" s="1"/>
  <c r="EG289" i="40"/>
  <c r="EH289" i="40" s="1"/>
  <c r="FP289" i="40"/>
  <c r="FQ289" i="40" s="1"/>
  <c r="EB289" i="40"/>
  <c r="EC289" i="40" s="1"/>
  <c r="FK394" i="40"/>
  <c r="FL394" i="40" s="1"/>
  <c r="FF394" i="40"/>
  <c r="FG394" i="40" s="1"/>
  <c r="FA394" i="40"/>
  <c r="FB394" i="40" s="1"/>
  <c r="EQ394" i="40"/>
  <c r="ER394" i="40" s="1"/>
  <c r="EV394" i="40"/>
  <c r="EW394" i="40" s="1"/>
  <c r="EL394" i="40"/>
  <c r="EM394" i="40" s="1"/>
  <c r="FP394" i="40"/>
  <c r="FQ394" i="40" s="1"/>
  <c r="EG394" i="40"/>
  <c r="EH394" i="40" s="1"/>
  <c r="EB394" i="40"/>
  <c r="EC394" i="40" s="1"/>
  <c r="FK371" i="40"/>
  <c r="FF371" i="40"/>
  <c r="FA371" i="40"/>
  <c r="EV371" i="40"/>
  <c r="EW371" i="40" s="1"/>
  <c r="EQ371" i="40"/>
  <c r="ER371" i="40" s="1"/>
  <c r="EL371" i="40"/>
  <c r="FP371" i="40"/>
  <c r="FQ371" i="40" s="1"/>
  <c r="EG371" i="40"/>
  <c r="EH371" i="40" s="1"/>
  <c r="EB371" i="40"/>
  <c r="EC371" i="40" s="1"/>
  <c r="FK312" i="40"/>
  <c r="FL312" i="40" s="1"/>
  <c r="FA312" i="40"/>
  <c r="FB312" i="40" s="1"/>
  <c r="FF312" i="40"/>
  <c r="FG312" i="40" s="1"/>
  <c r="EV312" i="40"/>
  <c r="EW312" i="40" s="1"/>
  <c r="EQ312" i="40"/>
  <c r="ER312" i="40" s="1"/>
  <c r="EL312" i="40"/>
  <c r="EM312" i="40" s="1"/>
  <c r="FP312" i="40"/>
  <c r="FQ312" i="40" s="1"/>
  <c r="EG312" i="40"/>
  <c r="EH312" i="40" s="1"/>
  <c r="EB312" i="40"/>
  <c r="EC312" i="40" s="1"/>
  <c r="FK273" i="40"/>
  <c r="FL273" i="40" s="1"/>
  <c r="FF273" i="40"/>
  <c r="FG273" i="40" s="1"/>
  <c r="FA273" i="40"/>
  <c r="FB273" i="40" s="1"/>
  <c r="EV273" i="40"/>
  <c r="EW273" i="40" s="1"/>
  <c r="EQ273" i="40"/>
  <c r="ER273" i="40" s="1"/>
  <c r="EL273" i="40"/>
  <c r="EM273" i="40" s="1"/>
  <c r="EG273" i="40"/>
  <c r="EH273" i="40" s="1"/>
  <c r="FP273" i="40"/>
  <c r="FQ273" i="40" s="1"/>
  <c r="EB273" i="40"/>
  <c r="EC273" i="40" s="1"/>
  <c r="FK231" i="40"/>
  <c r="FF231" i="40"/>
  <c r="FA231" i="40"/>
  <c r="EV231" i="40"/>
  <c r="EQ231" i="40"/>
  <c r="EL231" i="40"/>
  <c r="EM231" i="40" s="1"/>
  <c r="EG231" i="40"/>
  <c r="EH231" i="40" s="1"/>
  <c r="EH263" i="40" s="1"/>
  <c r="FP231" i="40"/>
  <c r="EB231" i="40"/>
  <c r="FK111" i="40"/>
  <c r="FL111" i="40" s="1"/>
  <c r="FF111" i="40"/>
  <c r="FG111" i="40" s="1"/>
  <c r="FA111" i="40"/>
  <c r="FB111" i="40" s="1"/>
  <c r="EV111" i="40"/>
  <c r="EW111" i="40" s="1"/>
  <c r="EQ111" i="40"/>
  <c r="ER111" i="40" s="1"/>
  <c r="EL111" i="40"/>
  <c r="EM111" i="40" s="1"/>
  <c r="EG111" i="40"/>
  <c r="EH111" i="40" s="1"/>
  <c r="FP111" i="40"/>
  <c r="FQ111" i="40" s="1"/>
  <c r="EB111" i="40"/>
  <c r="EC111" i="40" s="1"/>
  <c r="FK32" i="40"/>
  <c r="FL32" i="40" s="1"/>
  <c r="FF32" i="40"/>
  <c r="FG32" i="40" s="1"/>
  <c r="FA32" i="40"/>
  <c r="FB32" i="40" s="1"/>
  <c r="EV32" i="40"/>
  <c r="EW32" i="40" s="1"/>
  <c r="EQ32" i="40"/>
  <c r="ER32" i="40" s="1"/>
  <c r="EL32" i="40"/>
  <c r="EM32" i="40" s="1"/>
  <c r="EG32" i="40"/>
  <c r="EH32" i="40" s="1"/>
  <c r="FP32" i="40"/>
  <c r="FQ32" i="40" s="1"/>
  <c r="EB32" i="40"/>
  <c r="EC32" i="40" s="1"/>
  <c r="FK185" i="40"/>
  <c r="FL185" i="40" s="1"/>
  <c r="FF185" i="40"/>
  <c r="FG185" i="40" s="1"/>
  <c r="EV185" i="40"/>
  <c r="EW185" i="40" s="1"/>
  <c r="FA185" i="40"/>
  <c r="FB185" i="40" s="1"/>
  <c r="EQ185" i="40"/>
  <c r="ER185" i="40" s="1"/>
  <c r="EL185" i="40"/>
  <c r="EM185" i="40" s="1"/>
  <c r="EG185" i="40"/>
  <c r="EH185" i="40" s="1"/>
  <c r="FP185" i="40"/>
  <c r="FQ185" i="40" s="1"/>
  <c r="EB185" i="40"/>
  <c r="EC185" i="40" s="1"/>
  <c r="FK130" i="40"/>
  <c r="FL130" i="40" s="1"/>
  <c r="FF130" i="40"/>
  <c r="FG130" i="40" s="1"/>
  <c r="FA130" i="40"/>
  <c r="FB130" i="40" s="1"/>
  <c r="EV130" i="40"/>
  <c r="EW130" i="40" s="1"/>
  <c r="EL130" i="40"/>
  <c r="EM130" i="40" s="1"/>
  <c r="EQ130" i="40"/>
  <c r="ER130" i="40" s="1"/>
  <c r="EG130" i="40"/>
  <c r="EH130" i="40" s="1"/>
  <c r="FP130" i="40"/>
  <c r="FQ130" i="40" s="1"/>
  <c r="EB130" i="40"/>
  <c r="EC130" i="40" s="1"/>
  <c r="FK6" i="40"/>
  <c r="FL6" i="40" s="1"/>
  <c r="FF6" i="40"/>
  <c r="FG6" i="40" s="1"/>
  <c r="FA6" i="40"/>
  <c r="FB6" i="40" s="1"/>
  <c r="EV6" i="40"/>
  <c r="EW6" i="40" s="1"/>
  <c r="EQ6" i="40"/>
  <c r="ER6" i="40" s="1"/>
  <c r="EL6" i="40"/>
  <c r="EM6" i="40" s="1"/>
  <c r="EG6" i="40"/>
  <c r="EH6" i="40" s="1"/>
  <c r="FP6" i="40"/>
  <c r="FQ6" i="40" s="1"/>
  <c r="EB6" i="40"/>
  <c r="EC6" i="40" s="1"/>
  <c r="FK345" i="40"/>
  <c r="FL345" i="40" s="1"/>
  <c r="FF345" i="40"/>
  <c r="FG345" i="40" s="1"/>
  <c r="FA345" i="40"/>
  <c r="FB345" i="40" s="1"/>
  <c r="EV345" i="40"/>
  <c r="EW345" i="40" s="1"/>
  <c r="EQ345" i="40"/>
  <c r="ER345" i="40" s="1"/>
  <c r="EL345" i="40"/>
  <c r="EM345" i="40" s="1"/>
  <c r="EG345" i="40"/>
  <c r="EH345" i="40" s="1"/>
  <c r="FP345" i="40"/>
  <c r="FQ345" i="40" s="1"/>
  <c r="EB345" i="40"/>
  <c r="EC345" i="40" s="1"/>
  <c r="FK257" i="40"/>
  <c r="FF257" i="40"/>
  <c r="FA257" i="40"/>
  <c r="EV257" i="40"/>
  <c r="EW257" i="40" s="1"/>
  <c r="EQ257" i="40"/>
  <c r="ER257" i="40" s="1"/>
  <c r="EL257" i="40"/>
  <c r="EG257" i="40"/>
  <c r="EH257" i="40" s="1"/>
  <c r="FP257" i="40"/>
  <c r="FQ257" i="40" s="1"/>
  <c r="EB257" i="40"/>
  <c r="EC257" i="40" s="1"/>
  <c r="FK125" i="40"/>
  <c r="FL125" i="40" s="1"/>
  <c r="FF125" i="40"/>
  <c r="FG125" i="40" s="1"/>
  <c r="EV125" i="40"/>
  <c r="EW125" i="40" s="1"/>
  <c r="FA125" i="40"/>
  <c r="FB125" i="40" s="1"/>
  <c r="EQ125" i="40"/>
  <c r="ER125" i="40" s="1"/>
  <c r="EL125" i="40"/>
  <c r="EM125" i="40" s="1"/>
  <c r="EG125" i="40"/>
  <c r="EH125" i="40" s="1"/>
  <c r="FP125" i="40"/>
  <c r="FQ125" i="40" s="1"/>
  <c r="EB125" i="40"/>
  <c r="EC125" i="40" s="1"/>
  <c r="FK69" i="40"/>
  <c r="FL69" i="40" s="1"/>
  <c r="FF69" i="40"/>
  <c r="FG69" i="40" s="1"/>
  <c r="EV69" i="40"/>
  <c r="EW69" i="40" s="1"/>
  <c r="FA69" i="40"/>
  <c r="FB69" i="40" s="1"/>
  <c r="EQ69" i="40"/>
  <c r="ER69" i="40" s="1"/>
  <c r="EL69" i="40"/>
  <c r="EM69" i="40" s="1"/>
  <c r="EG69" i="40"/>
  <c r="EH69" i="40" s="1"/>
  <c r="FP69" i="40"/>
  <c r="FQ69" i="40" s="1"/>
  <c r="EB69" i="40"/>
  <c r="EC69" i="40" s="1"/>
  <c r="FK373" i="40"/>
  <c r="FL373" i="40" s="1"/>
  <c r="FF373" i="40"/>
  <c r="FG373" i="40" s="1"/>
  <c r="FA373" i="40"/>
  <c r="FB373" i="40" s="1"/>
  <c r="EV373" i="40"/>
  <c r="EW373" i="40" s="1"/>
  <c r="EQ373" i="40"/>
  <c r="ER373" i="40" s="1"/>
  <c r="EL373" i="40"/>
  <c r="EM373" i="40" s="1"/>
  <c r="EG373" i="40"/>
  <c r="EH373" i="40" s="1"/>
  <c r="FP373" i="40"/>
  <c r="FQ373" i="40" s="1"/>
  <c r="EB373" i="40"/>
  <c r="EC373" i="40" s="1"/>
  <c r="FK340" i="40"/>
  <c r="FL340" i="40" s="1"/>
  <c r="FA340" i="40"/>
  <c r="FB340" i="40" s="1"/>
  <c r="FF340" i="40"/>
  <c r="FG340" i="40" s="1"/>
  <c r="EV340" i="40"/>
  <c r="EW340" i="40" s="1"/>
  <c r="EQ340" i="40"/>
  <c r="ER340" i="40" s="1"/>
  <c r="EL340" i="40"/>
  <c r="EM340" i="40" s="1"/>
  <c r="FP340" i="40"/>
  <c r="FQ340" i="40" s="1"/>
  <c r="EG340" i="40"/>
  <c r="EH340" i="40" s="1"/>
  <c r="EB340" i="40"/>
  <c r="EC340" i="40" s="1"/>
  <c r="FK302" i="40"/>
  <c r="FL302" i="40" s="1"/>
  <c r="FF302" i="40"/>
  <c r="FG302" i="40" s="1"/>
  <c r="FA302" i="40"/>
  <c r="FB302" i="40" s="1"/>
  <c r="EV302" i="40"/>
  <c r="EW302" i="40" s="1"/>
  <c r="EL302" i="40"/>
  <c r="EM302" i="40" s="1"/>
  <c r="EQ302" i="40"/>
  <c r="ER302" i="40" s="1"/>
  <c r="FP302" i="40"/>
  <c r="FQ302" i="40" s="1"/>
  <c r="EG302" i="40"/>
  <c r="EH302" i="40" s="1"/>
  <c r="EB302" i="40"/>
  <c r="EC302" i="40" s="1"/>
  <c r="FK283" i="40"/>
  <c r="FL283" i="40" s="1"/>
  <c r="FF283" i="40"/>
  <c r="FG283" i="40" s="1"/>
  <c r="FA283" i="40"/>
  <c r="FB283" i="40" s="1"/>
  <c r="EV283" i="40"/>
  <c r="EW283" i="40" s="1"/>
  <c r="EQ283" i="40"/>
  <c r="ER283" i="40" s="1"/>
  <c r="EL283" i="40"/>
  <c r="EM283" i="40" s="1"/>
  <c r="FP283" i="40"/>
  <c r="FQ283" i="40" s="1"/>
  <c r="EG283" i="40"/>
  <c r="EH283" i="40" s="1"/>
  <c r="EB283" i="40"/>
  <c r="EC283" i="40" s="1"/>
  <c r="FK242" i="40"/>
  <c r="FL242" i="40" s="1"/>
  <c r="FF242" i="40"/>
  <c r="FG242" i="40" s="1"/>
  <c r="FA242" i="40"/>
  <c r="FB242" i="40" s="1"/>
  <c r="EV242" i="40"/>
  <c r="EW242" i="40" s="1"/>
  <c r="EL242" i="40"/>
  <c r="EM242" i="40" s="1"/>
  <c r="EQ242" i="40"/>
  <c r="ER242" i="40" s="1"/>
  <c r="FP242" i="40"/>
  <c r="FQ242" i="40" s="1"/>
  <c r="EG242" i="40"/>
  <c r="EH242" i="40" s="1"/>
  <c r="EB242" i="40"/>
  <c r="EC242" i="40" s="1"/>
  <c r="FK169" i="40"/>
  <c r="FL169" i="40" s="1"/>
  <c r="FF169" i="40"/>
  <c r="FG169" i="40" s="1"/>
  <c r="EV169" i="40"/>
  <c r="EW169" i="40" s="1"/>
  <c r="FA169" i="40"/>
  <c r="FB169" i="40" s="1"/>
  <c r="EQ169" i="40"/>
  <c r="ER169" i="40" s="1"/>
  <c r="EL169" i="40"/>
  <c r="EG169" i="40"/>
  <c r="FP169" i="40"/>
  <c r="FQ169" i="40" s="1"/>
  <c r="EB169" i="40"/>
  <c r="EC169" i="40" s="1"/>
  <c r="FK160" i="40"/>
  <c r="FL160" i="40" s="1"/>
  <c r="FF160" i="40"/>
  <c r="FG160" i="40" s="1"/>
  <c r="FA160" i="40"/>
  <c r="FB160" i="40" s="1"/>
  <c r="EV160" i="40"/>
  <c r="EW160" i="40" s="1"/>
  <c r="EQ160" i="40"/>
  <c r="ER160" i="40" s="1"/>
  <c r="EL160" i="40"/>
  <c r="EM160" i="40" s="1"/>
  <c r="EG160" i="40"/>
  <c r="EH160" i="40" s="1"/>
  <c r="FP160" i="40"/>
  <c r="FQ160" i="40" s="1"/>
  <c r="EB160" i="40"/>
  <c r="EC160" i="40" s="1"/>
  <c r="FK148" i="40"/>
  <c r="FL148" i="40" s="1"/>
  <c r="FF148" i="40"/>
  <c r="FG148" i="40" s="1"/>
  <c r="FA148" i="40"/>
  <c r="FB148" i="40" s="1"/>
  <c r="EV148" i="40"/>
  <c r="EW148" i="40" s="1"/>
  <c r="EQ148" i="40"/>
  <c r="ER148" i="40" s="1"/>
  <c r="EL148" i="40"/>
  <c r="EM148" i="40" s="1"/>
  <c r="EG148" i="40"/>
  <c r="EH148" i="40" s="1"/>
  <c r="FP148" i="40"/>
  <c r="FQ148" i="40" s="1"/>
  <c r="EB148" i="40"/>
  <c r="EC148" i="40" s="1"/>
  <c r="FK109" i="40"/>
  <c r="FL109" i="40" s="1"/>
  <c r="FF109" i="40"/>
  <c r="FG109" i="40" s="1"/>
  <c r="EV109" i="40"/>
  <c r="EW109" i="40" s="1"/>
  <c r="FA109" i="40"/>
  <c r="FB109" i="40" s="1"/>
  <c r="EQ109" i="40"/>
  <c r="ER109" i="40" s="1"/>
  <c r="EL109" i="40"/>
  <c r="EM109" i="40" s="1"/>
  <c r="EG109" i="40"/>
  <c r="EH109" i="40" s="1"/>
  <c r="FP109" i="40"/>
  <c r="FQ109" i="40" s="1"/>
  <c r="EB109" i="40"/>
  <c r="EC109" i="40" s="1"/>
  <c r="FK73" i="40"/>
  <c r="FL73" i="40" s="1"/>
  <c r="FF73" i="40"/>
  <c r="FG73" i="40" s="1"/>
  <c r="EV73" i="40"/>
  <c r="EW73" i="40" s="1"/>
  <c r="FA73" i="40"/>
  <c r="FB73" i="40" s="1"/>
  <c r="EQ73" i="40"/>
  <c r="ER73" i="40" s="1"/>
  <c r="EL73" i="40"/>
  <c r="EM73" i="40" s="1"/>
  <c r="EG73" i="40"/>
  <c r="EH73" i="40" s="1"/>
  <c r="FP73" i="40"/>
  <c r="FQ73" i="40" s="1"/>
  <c r="EB73" i="40"/>
  <c r="EC73" i="40" s="1"/>
  <c r="FF47" i="40"/>
  <c r="FG47" i="40" s="1"/>
  <c r="FK47" i="40"/>
  <c r="FL47" i="40" s="1"/>
  <c r="FA47" i="40"/>
  <c r="FB47" i="40" s="1"/>
  <c r="EV47" i="40"/>
  <c r="EW47" i="40" s="1"/>
  <c r="EQ47" i="40"/>
  <c r="ER47" i="40" s="1"/>
  <c r="EL47" i="40"/>
  <c r="EM47" i="40" s="1"/>
  <c r="EG47" i="40"/>
  <c r="EH47" i="40" s="1"/>
  <c r="FP47" i="40"/>
  <c r="FQ47" i="40" s="1"/>
  <c r="EB47" i="40"/>
  <c r="EC47" i="40" s="1"/>
  <c r="FK346" i="40"/>
  <c r="FL346" i="40" s="1"/>
  <c r="FF346" i="40"/>
  <c r="FG346" i="40" s="1"/>
  <c r="FA346" i="40"/>
  <c r="FB346" i="40" s="1"/>
  <c r="EQ346" i="40"/>
  <c r="ER346" i="40" s="1"/>
  <c r="EV346" i="40"/>
  <c r="EW346" i="40" s="1"/>
  <c r="EL346" i="40"/>
  <c r="EM346" i="40" s="1"/>
  <c r="FP346" i="40"/>
  <c r="FQ346" i="40" s="1"/>
  <c r="EG346" i="40"/>
  <c r="EH346" i="40" s="1"/>
  <c r="EB346" i="40"/>
  <c r="EC346" i="40" s="1"/>
  <c r="FK406" i="40"/>
  <c r="FL406" i="40" s="1"/>
  <c r="FF406" i="40"/>
  <c r="FG406" i="40" s="1"/>
  <c r="FA406" i="40"/>
  <c r="FB406" i="40" s="1"/>
  <c r="EQ406" i="40"/>
  <c r="ER406" i="40" s="1"/>
  <c r="EV406" i="40"/>
  <c r="EW406" i="40" s="1"/>
  <c r="EL406" i="40"/>
  <c r="EM406" i="40" s="1"/>
  <c r="FP406" i="40"/>
  <c r="FQ406" i="40" s="1"/>
  <c r="EG406" i="40"/>
  <c r="EH406" i="40" s="1"/>
  <c r="EB406" i="40"/>
  <c r="EC406" i="40" s="1"/>
  <c r="FK391" i="40"/>
  <c r="FL391" i="40" s="1"/>
  <c r="FF391" i="40"/>
  <c r="FG391" i="40" s="1"/>
  <c r="FA391" i="40"/>
  <c r="FB391" i="40" s="1"/>
  <c r="EV391" i="40"/>
  <c r="EW391" i="40" s="1"/>
  <c r="EQ391" i="40"/>
  <c r="ER391" i="40" s="1"/>
  <c r="EL391" i="40"/>
  <c r="EM391" i="40" s="1"/>
  <c r="FP391" i="40"/>
  <c r="FQ391" i="40" s="1"/>
  <c r="EG391" i="40"/>
  <c r="EH391" i="40" s="1"/>
  <c r="EB391" i="40"/>
  <c r="EC391" i="40" s="1"/>
  <c r="FK382" i="40"/>
  <c r="FL382" i="40" s="1"/>
  <c r="FF382" i="40"/>
  <c r="FG382" i="40" s="1"/>
  <c r="FA382" i="40"/>
  <c r="FB382" i="40" s="1"/>
  <c r="EQ382" i="40"/>
  <c r="ER382" i="40" s="1"/>
  <c r="EV382" i="40"/>
  <c r="EW382" i="40" s="1"/>
  <c r="EL382" i="40"/>
  <c r="EM382" i="40" s="1"/>
  <c r="FP382" i="40"/>
  <c r="FQ382" i="40" s="1"/>
  <c r="EG382" i="40"/>
  <c r="EH382" i="40" s="1"/>
  <c r="EB382" i="40"/>
  <c r="EC382" i="40" s="1"/>
  <c r="FK364" i="40"/>
  <c r="FL364" i="40" s="1"/>
  <c r="FA364" i="40"/>
  <c r="FB364" i="40" s="1"/>
  <c r="FF364" i="40"/>
  <c r="FG364" i="40" s="1"/>
  <c r="EV364" i="40"/>
  <c r="EW364" i="40" s="1"/>
  <c r="EQ364" i="40"/>
  <c r="ER364" i="40" s="1"/>
  <c r="EL364" i="40"/>
  <c r="EM364" i="40" s="1"/>
  <c r="EG364" i="40"/>
  <c r="EH364" i="40" s="1"/>
  <c r="FP364" i="40"/>
  <c r="FQ364" i="40" s="1"/>
  <c r="EB364" i="40"/>
  <c r="EC364" i="40" s="1"/>
  <c r="FK343" i="40"/>
  <c r="FF343" i="40"/>
  <c r="FA343" i="40"/>
  <c r="EV343" i="40"/>
  <c r="EQ343" i="40"/>
  <c r="ER343" i="40" s="1"/>
  <c r="ER347" i="40" s="1"/>
  <c r="EL343" i="40"/>
  <c r="EM343" i="40" s="1"/>
  <c r="EM347" i="40" s="1"/>
  <c r="FP343" i="40"/>
  <c r="EG343" i="40"/>
  <c r="EB343" i="40"/>
  <c r="FK316" i="40"/>
  <c r="FL316" i="40" s="1"/>
  <c r="FA316" i="40"/>
  <c r="FB316" i="40" s="1"/>
  <c r="FF316" i="40"/>
  <c r="FG316" i="40" s="1"/>
  <c r="EV316" i="40"/>
  <c r="EW316" i="40" s="1"/>
  <c r="EQ316" i="40"/>
  <c r="ER316" i="40" s="1"/>
  <c r="EL316" i="40"/>
  <c r="EM316" i="40" s="1"/>
  <c r="FP316" i="40"/>
  <c r="FQ316" i="40" s="1"/>
  <c r="EG316" i="40"/>
  <c r="EH316" i="40" s="1"/>
  <c r="EB316" i="40"/>
  <c r="EC316" i="40" s="1"/>
  <c r="FK291" i="40"/>
  <c r="FL291" i="40" s="1"/>
  <c r="FF291" i="40"/>
  <c r="FG291" i="40" s="1"/>
  <c r="FA291" i="40"/>
  <c r="FB291" i="40" s="1"/>
  <c r="EV291" i="40"/>
  <c r="EW291" i="40" s="1"/>
  <c r="EQ291" i="40"/>
  <c r="ER291" i="40" s="1"/>
  <c r="EL291" i="40"/>
  <c r="EM291" i="40" s="1"/>
  <c r="FP291" i="40"/>
  <c r="FQ291" i="40" s="1"/>
  <c r="EG291" i="40"/>
  <c r="EH291" i="40" s="1"/>
  <c r="EB291" i="40"/>
  <c r="EC291" i="40" s="1"/>
  <c r="FK232" i="40"/>
  <c r="FL232" i="40" s="1"/>
  <c r="FA232" i="40"/>
  <c r="FB232" i="40" s="1"/>
  <c r="FF232" i="40"/>
  <c r="FG232" i="40" s="1"/>
  <c r="EV232" i="40"/>
  <c r="EW232" i="40" s="1"/>
  <c r="EQ232" i="40"/>
  <c r="ER232" i="40" s="1"/>
  <c r="EL232" i="40"/>
  <c r="EM232" i="40" s="1"/>
  <c r="EG232" i="40"/>
  <c r="EH232" i="40" s="1"/>
  <c r="FP232" i="40"/>
  <c r="FQ232" i="40" s="1"/>
  <c r="EB232" i="40"/>
  <c r="EC232" i="40" s="1"/>
  <c r="FK193" i="40"/>
  <c r="FL193" i="40" s="1"/>
  <c r="FF193" i="40"/>
  <c r="FG193" i="40" s="1"/>
  <c r="EV193" i="40"/>
  <c r="EW193" i="40" s="1"/>
  <c r="FA193" i="40"/>
  <c r="FB193" i="40" s="1"/>
  <c r="EQ193" i="40"/>
  <c r="ER193" i="40" s="1"/>
  <c r="EL193" i="40"/>
  <c r="EM193" i="40" s="1"/>
  <c r="EG193" i="40"/>
  <c r="EH193" i="40" s="1"/>
  <c r="FP193" i="40"/>
  <c r="FQ193" i="40" s="1"/>
  <c r="EB193" i="40"/>
  <c r="EC193" i="40" s="1"/>
  <c r="FF63" i="40"/>
  <c r="FG63" i="40" s="1"/>
  <c r="FK63" i="40"/>
  <c r="FL63" i="40" s="1"/>
  <c r="FA63" i="40"/>
  <c r="FB63" i="40" s="1"/>
  <c r="EV63" i="40"/>
  <c r="EW63" i="40" s="1"/>
  <c r="EQ63" i="40"/>
  <c r="ER63" i="40" s="1"/>
  <c r="EL63" i="40"/>
  <c r="EM63" i="40" s="1"/>
  <c r="EG63" i="40"/>
  <c r="EH63" i="40" s="1"/>
  <c r="FP63" i="40"/>
  <c r="FQ63" i="40" s="1"/>
  <c r="EB63" i="40"/>
  <c r="EC63" i="40" s="1"/>
  <c r="FK41" i="40"/>
  <c r="FL41" i="40" s="1"/>
  <c r="FF41" i="40"/>
  <c r="FG41" i="40" s="1"/>
  <c r="EV41" i="40"/>
  <c r="EW41" i="40" s="1"/>
  <c r="FA41" i="40"/>
  <c r="FB41" i="40" s="1"/>
  <c r="EQ41" i="40"/>
  <c r="ER41" i="40" s="1"/>
  <c r="EG41" i="40"/>
  <c r="EH41" i="40" s="1"/>
  <c r="EL41" i="40"/>
  <c r="EM41" i="40" s="1"/>
  <c r="FP41" i="40"/>
  <c r="FQ41" i="40" s="1"/>
  <c r="EB41" i="40"/>
  <c r="EC41" i="40" s="1"/>
  <c r="FK386" i="40"/>
  <c r="FL386" i="40" s="1"/>
  <c r="FF386" i="40"/>
  <c r="FG386" i="40" s="1"/>
  <c r="FA386" i="40"/>
  <c r="FB386" i="40" s="1"/>
  <c r="EQ386" i="40"/>
  <c r="ER386" i="40" s="1"/>
  <c r="EV386" i="40"/>
  <c r="EW386" i="40" s="1"/>
  <c r="EL386" i="40"/>
  <c r="EM386" i="40" s="1"/>
  <c r="FP386" i="40"/>
  <c r="FQ386" i="40" s="1"/>
  <c r="EG386" i="40"/>
  <c r="EH386" i="40" s="1"/>
  <c r="EB386" i="40"/>
  <c r="EC386" i="40" s="1"/>
  <c r="FK119" i="40"/>
  <c r="FL119" i="40" s="1"/>
  <c r="FF119" i="40"/>
  <c r="FG119" i="40" s="1"/>
  <c r="FA119" i="40"/>
  <c r="FB119" i="40" s="1"/>
  <c r="EV119" i="40"/>
  <c r="EW119" i="40" s="1"/>
  <c r="EQ119" i="40"/>
  <c r="ER119" i="40" s="1"/>
  <c r="EL119" i="40"/>
  <c r="EM119" i="40" s="1"/>
  <c r="EG119" i="40"/>
  <c r="EH119" i="40" s="1"/>
  <c r="FP119" i="40"/>
  <c r="FQ119" i="40" s="1"/>
  <c r="EB119" i="40"/>
  <c r="EC119" i="40" s="1"/>
  <c r="FK155" i="40"/>
  <c r="FL155" i="40" s="1"/>
  <c r="FF155" i="40"/>
  <c r="FG155" i="40" s="1"/>
  <c r="FA155" i="40"/>
  <c r="FB155" i="40" s="1"/>
  <c r="EV155" i="40"/>
  <c r="EW155" i="40" s="1"/>
  <c r="EQ155" i="40"/>
  <c r="ER155" i="40" s="1"/>
  <c r="EL155" i="40"/>
  <c r="EM155" i="40" s="1"/>
  <c r="EG155" i="40"/>
  <c r="EH155" i="40" s="1"/>
  <c r="FP155" i="40"/>
  <c r="FQ155" i="40" s="1"/>
  <c r="EB155" i="40"/>
  <c r="EC155" i="40" s="1"/>
  <c r="FK350" i="40"/>
  <c r="FL350" i="40" s="1"/>
  <c r="FF350" i="40"/>
  <c r="FG350" i="40" s="1"/>
  <c r="FA350" i="40"/>
  <c r="FB350" i="40" s="1"/>
  <c r="EQ350" i="40"/>
  <c r="ER350" i="40" s="1"/>
  <c r="EV350" i="40"/>
  <c r="EW350" i="40" s="1"/>
  <c r="EL350" i="40"/>
  <c r="EM350" i="40" s="1"/>
  <c r="FP350" i="40"/>
  <c r="FQ350" i="40" s="1"/>
  <c r="EG350" i="40"/>
  <c r="EH350" i="40" s="1"/>
  <c r="EB350" i="40"/>
  <c r="EC350" i="40" s="1"/>
  <c r="FK168" i="40"/>
  <c r="FL168" i="40" s="1"/>
  <c r="FF168" i="40"/>
  <c r="FG168" i="40" s="1"/>
  <c r="FA168" i="40"/>
  <c r="FB168" i="40" s="1"/>
  <c r="EV168" i="40"/>
  <c r="EW168" i="40" s="1"/>
  <c r="EQ168" i="40"/>
  <c r="ER168" i="40" s="1"/>
  <c r="EL168" i="40"/>
  <c r="EM168" i="40" s="1"/>
  <c r="EG168" i="40"/>
  <c r="EH168" i="40" s="1"/>
  <c r="FP168" i="40"/>
  <c r="FQ168" i="40" s="1"/>
  <c r="EB168" i="40"/>
  <c r="EC168" i="40" s="1"/>
  <c r="FK383" i="40"/>
  <c r="FL383" i="40" s="1"/>
  <c r="FF383" i="40"/>
  <c r="FG383" i="40" s="1"/>
  <c r="FA383" i="40"/>
  <c r="FB383" i="40" s="1"/>
  <c r="EV383" i="40"/>
  <c r="EW383" i="40" s="1"/>
  <c r="EQ383" i="40"/>
  <c r="ER383" i="40" s="1"/>
  <c r="EL383" i="40"/>
  <c r="EM383" i="40" s="1"/>
  <c r="FP383" i="40"/>
  <c r="FQ383" i="40" s="1"/>
  <c r="EG383" i="40"/>
  <c r="EH383" i="40" s="1"/>
  <c r="EB383" i="40"/>
  <c r="EC383" i="40" s="1"/>
  <c r="FF75" i="40"/>
  <c r="FG75" i="40" s="1"/>
  <c r="FK75" i="40"/>
  <c r="FL75" i="40" s="1"/>
  <c r="FA75" i="40"/>
  <c r="FB75" i="40" s="1"/>
  <c r="EV75" i="40"/>
  <c r="EW75" i="40" s="1"/>
  <c r="EQ75" i="40"/>
  <c r="ER75" i="40" s="1"/>
  <c r="EL75" i="40"/>
  <c r="EM75" i="40" s="1"/>
  <c r="EG75" i="40"/>
  <c r="EH75" i="40" s="1"/>
  <c r="FP75" i="40"/>
  <c r="FQ75" i="40" s="1"/>
  <c r="EB75" i="40"/>
  <c r="EC75" i="40" s="1"/>
  <c r="FK241" i="40"/>
  <c r="FL241" i="40" s="1"/>
  <c r="FF241" i="40"/>
  <c r="FG241" i="40" s="1"/>
  <c r="FA241" i="40"/>
  <c r="FB241" i="40" s="1"/>
  <c r="EV241" i="40"/>
  <c r="EW241" i="40" s="1"/>
  <c r="EQ241" i="40"/>
  <c r="ER241" i="40" s="1"/>
  <c r="EL241" i="40"/>
  <c r="EM241" i="40" s="1"/>
  <c r="EG241" i="40"/>
  <c r="EH241" i="40" s="1"/>
  <c r="FP241" i="40"/>
  <c r="FQ241" i="40" s="1"/>
  <c r="EB241" i="40"/>
  <c r="EC241" i="40" s="1"/>
  <c r="FK76" i="40"/>
  <c r="FL76" i="40" s="1"/>
  <c r="FF76" i="40"/>
  <c r="FG76" i="40" s="1"/>
  <c r="FA76" i="40"/>
  <c r="FB76" i="40" s="1"/>
  <c r="EV76" i="40"/>
  <c r="EW76" i="40" s="1"/>
  <c r="EQ76" i="40"/>
  <c r="ER76" i="40" s="1"/>
  <c r="EL76" i="40"/>
  <c r="EM76" i="40" s="1"/>
  <c r="EG76" i="40"/>
  <c r="EH76" i="40" s="1"/>
  <c r="FP76" i="40"/>
  <c r="FQ76" i="40" s="1"/>
  <c r="EB76" i="40"/>
  <c r="EC76" i="40" s="1"/>
  <c r="FK320" i="40"/>
  <c r="FL320" i="40" s="1"/>
  <c r="FA320" i="40"/>
  <c r="FB320" i="40" s="1"/>
  <c r="FF320" i="40"/>
  <c r="FG320" i="40" s="1"/>
  <c r="EV320" i="40"/>
  <c r="EW320" i="40" s="1"/>
  <c r="EQ320" i="40"/>
  <c r="ER320" i="40" s="1"/>
  <c r="EL320" i="40"/>
  <c r="EM320" i="40" s="1"/>
  <c r="FP320" i="40"/>
  <c r="FQ320" i="40" s="1"/>
  <c r="EG320" i="40"/>
  <c r="EH320" i="40" s="1"/>
  <c r="EB320" i="40"/>
  <c r="EC320" i="40" s="1"/>
  <c r="FK197" i="40"/>
  <c r="FL197" i="40" s="1"/>
  <c r="FF197" i="40"/>
  <c r="FG197" i="40" s="1"/>
  <c r="EV197" i="40"/>
  <c r="EW197" i="40" s="1"/>
  <c r="FA197" i="40"/>
  <c r="FB197" i="40" s="1"/>
  <c r="EQ197" i="40"/>
  <c r="ER197" i="40" s="1"/>
  <c r="EL197" i="40"/>
  <c r="EM197" i="40" s="1"/>
  <c r="EG197" i="40"/>
  <c r="EH197" i="40" s="1"/>
  <c r="FP197" i="40"/>
  <c r="FQ197" i="40" s="1"/>
  <c r="EB197" i="40"/>
  <c r="EC197" i="40" s="1"/>
  <c r="FK210" i="40"/>
  <c r="FL210" i="40" s="1"/>
  <c r="FF210" i="40"/>
  <c r="FG210" i="40" s="1"/>
  <c r="FA210" i="40"/>
  <c r="FB210" i="40" s="1"/>
  <c r="EV210" i="40"/>
  <c r="EW210" i="40" s="1"/>
  <c r="EL210" i="40"/>
  <c r="EM210" i="40" s="1"/>
  <c r="EQ210" i="40"/>
  <c r="ER210" i="40" s="1"/>
  <c r="EG210" i="40"/>
  <c r="EH210" i="40" s="1"/>
  <c r="FP210" i="40"/>
  <c r="FQ210" i="40" s="1"/>
  <c r="EB210" i="40"/>
  <c r="EC210" i="40" s="1"/>
  <c r="FK92" i="40"/>
  <c r="FL92" i="40" s="1"/>
  <c r="FF92" i="40"/>
  <c r="FG92" i="40" s="1"/>
  <c r="FA92" i="40"/>
  <c r="FB92" i="40" s="1"/>
  <c r="EV92" i="40"/>
  <c r="EW92" i="40" s="1"/>
  <c r="EQ92" i="40"/>
  <c r="ER92" i="40" s="1"/>
  <c r="EL92" i="40"/>
  <c r="EM92" i="40" s="1"/>
  <c r="EG92" i="40"/>
  <c r="EH92" i="40" s="1"/>
  <c r="FP92" i="40"/>
  <c r="FQ92" i="40" s="1"/>
  <c r="EB92" i="40"/>
  <c r="EC92" i="40" s="1"/>
  <c r="FK297" i="40"/>
  <c r="FL297" i="40" s="1"/>
  <c r="FF297" i="40"/>
  <c r="FG297" i="40" s="1"/>
  <c r="FA297" i="40"/>
  <c r="FB297" i="40" s="1"/>
  <c r="EV297" i="40"/>
  <c r="EW297" i="40" s="1"/>
  <c r="EQ297" i="40"/>
  <c r="ER297" i="40" s="1"/>
  <c r="EL297" i="40"/>
  <c r="EM297" i="40" s="1"/>
  <c r="EG297" i="40"/>
  <c r="EH297" i="40" s="1"/>
  <c r="FP297" i="40"/>
  <c r="FQ297" i="40" s="1"/>
  <c r="EB297" i="40"/>
  <c r="EC297" i="40" s="1"/>
  <c r="FK216" i="40"/>
  <c r="FL216" i="40" s="1"/>
  <c r="FA216" i="40"/>
  <c r="FB216" i="40" s="1"/>
  <c r="FF216" i="40"/>
  <c r="FG216" i="40" s="1"/>
  <c r="EV216" i="40"/>
  <c r="EW216" i="40" s="1"/>
  <c r="EQ216" i="40"/>
  <c r="ER216" i="40" s="1"/>
  <c r="EL216" i="40"/>
  <c r="EM216" i="40" s="1"/>
  <c r="EG216" i="40"/>
  <c r="EH216" i="40" s="1"/>
  <c r="FP216" i="40"/>
  <c r="FQ216" i="40" s="1"/>
  <c r="EB216" i="40"/>
  <c r="EC216" i="40" s="1"/>
  <c r="FF39" i="40"/>
  <c r="FG39" i="40" s="1"/>
  <c r="FK39" i="40"/>
  <c r="FL39" i="40" s="1"/>
  <c r="FA39" i="40"/>
  <c r="FB39" i="40" s="1"/>
  <c r="EV39" i="40"/>
  <c r="EW39" i="40" s="1"/>
  <c r="EQ39" i="40"/>
  <c r="ER39" i="40" s="1"/>
  <c r="EL39" i="40"/>
  <c r="EM39" i="40" s="1"/>
  <c r="EG39" i="40"/>
  <c r="EH39" i="40" s="1"/>
  <c r="FP39" i="40"/>
  <c r="FQ39" i="40" s="1"/>
  <c r="EB39" i="40"/>
  <c r="EC39" i="40" s="1"/>
  <c r="FK97" i="40"/>
  <c r="FL97" i="40" s="1"/>
  <c r="FF97" i="40"/>
  <c r="FG97" i="40" s="1"/>
  <c r="EV97" i="40"/>
  <c r="EW97" i="40" s="1"/>
  <c r="FA97" i="40"/>
  <c r="FB97" i="40" s="1"/>
  <c r="EQ97" i="40"/>
  <c r="ER97" i="40" s="1"/>
  <c r="EL97" i="40"/>
  <c r="EM97" i="40" s="1"/>
  <c r="EG97" i="40"/>
  <c r="EH97" i="40" s="1"/>
  <c r="FP97" i="40"/>
  <c r="FQ97" i="40" s="1"/>
  <c r="EB97" i="40"/>
  <c r="EC97" i="40" s="1"/>
  <c r="FK78" i="40"/>
  <c r="FL78" i="40" s="1"/>
  <c r="FF78" i="40"/>
  <c r="FG78" i="40" s="1"/>
  <c r="FA78" i="40"/>
  <c r="FB78" i="40" s="1"/>
  <c r="EV78" i="40"/>
  <c r="EW78" i="40" s="1"/>
  <c r="EL78" i="40"/>
  <c r="EM78" i="40" s="1"/>
  <c r="EQ78" i="40"/>
  <c r="ER78" i="40" s="1"/>
  <c r="EG78" i="40"/>
  <c r="EH78" i="40" s="1"/>
  <c r="FP78" i="40"/>
  <c r="FQ78" i="40" s="1"/>
  <c r="EB78" i="40"/>
  <c r="EC78" i="40" s="1"/>
  <c r="FK269" i="40"/>
  <c r="FL269" i="40" s="1"/>
  <c r="FF269" i="40"/>
  <c r="FG269" i="40" s="1"/>
  <c r="FA269" i="40"/>
  <c r="FB269" i="40" s="1"/>
  <c r="EV269" i="40"/>
  <c r="EW269" i="40" s="1"/>
  <c r="EQ269" i="40"/>
  <c r="ER269" i="40" s="1"/>
  <c r="EL269" i="40"/>
  <c r="EM269" i="40" s="1"/>
  <c r="EG269" i="40"/>
  <c r="EH269" i="40" s="1"/>
  <c r="FP269" i="40"/>
  <c r="FQ269" i="40" s="1"/>
  <c r="EB269" i="40"/>
  <c r="EC269" i="40" s="1"/>
  <c r="FK77" i="40"/>
  <c r="FL77" i="40" s="1"/>
  <c r="FF77" i="40"/>
  <c r="FG77" i="40" s="1"/>
  <c r="EV77" i="40"/>
  <c r="EW77" i="40" s="1"/>
  <c r="FA77" i="40"/>
  <c r="FB77" i="40" s="1"/>
  <c r="EQ77" i="40"/>
  <c r="ER77" i="40" s="1"/>
  <c r="EL77" i="40"/>
  <c r="EM77" i="40" s="1"/>
  <c r="EG77" i="40"/>
  <c r="EH77" i="40" s="1"/>
  <c r="FP77" i="40"/>
  <c r="FQ77" i="40" s="1"/>
  <c r="EB77" i="40"/>
  <c r="EC77" i="40" s="1"/>
  <c r="FK341" i="40"/>
  <c r="FL341" i="40" s="1"/>
  <c r="FF341" i="40"/>
  <c r="FG341" i="40" s="1"/>
  <c r="FA341" i="40"/>
  <c r="FB341" i="40" s="1"/>
  <c r="EV341" i="40"/>
  <c r="EW341" i="40" s="1"/>
  <c r="EQ341" i="40"/>
  <c r="ER341" i="40" s="1"/>
  <c r="EL341" i="40"/>
  <c r="EM341" i="40" s="1"/>
  <c r="EG341" i="40"/>
  <c r="EH341" i="40" s="1"/>
  <c r="FP341" i="40"/>
  <c r="FQ341" i="40" s="1"/>
  <c r="EB341" i="40"/>
  <c r="EC341" i="40" s="1"/>
  <c r="FK74" i="40"/>
  <c r="FL74" i="40" s="1"/>
  <c r="FF74" i="40"/>
  <c r="FG74" i="40" s="1"/>
  <c r="FA74" i="40"/>
  <c r="FB74" i="40" s="1"/>
  <c r="EV74" i="40"/>
  <c r="EW74" i="40" s="1"/>
  <c r="EL74" i="40"/>
  <c r="EM74" i="40" s="1"/>
  <c r="EQ74" i="40"/>
  <c r="ER74" i="40" s="1"/>
  <c r="EG74" i="40"/>
  <c r="EH74" i="40" s="1"/>
  <c r="FP74" i="40"/>
  <c r="FQ74" i="40" s="1"/>
  <c r="EB74" i="40"/>
  <c r="EC74" i="40" s="1"/>
  <c r="FK223" i="40"/>
  <c r="FL223" i="40" s="1"/>
  <c r="FF223" i="40"/>
  <c r="FG223" i="40" s="1"/>
  <c r="FA223" i="40"/>
  <c r="FB223" i="40" s="1"/>
  <c r="EV223" i="40"/>
  <c r="EW223" i="40" s="1"/>
  <c r="EQ223" i="40"/>
  <c r="ER223" i="40" s="1"/>
  <c r="EL223" i="40"/>
  <c r="EM223" i="40" s="1"/>
  <c r="FP223" i="40"/>
  <c r="FQ223" i="40" s="1"/>
  <c r="EG223" i="40"/>
  <c r="EH223" i="40" s="1"/>
  <c r="EB223" i="40"/>
  <c r="EC223" i="40" s="1"/>
  <c r="FK137" i="40"/>
  <c r="FL137" i="40" s="1"/>
  <c r="FF137" i="40"/>
  <c r="FG137" i="40" s="1"/>
  <c r="EV137" i="40"/>
  <c r="EW137" i="40" s="1"/>
  <c r="FA137" i="40"/>
  <c r="FB137" i="40" s="1"/>
  <c r="EQ137" i="40"/>
  <c r="ER137" i="40" s="1"/>
  <c r="EL137" i="40"/>
  <c r="EM137" i="40" s="1"/>
  <c r="EG137" i="40"/>
  <c r="EH137" i="40" s="1"/>
  <c r="FP137" i="40"/>
  <c r="FQ137" i="40" s="1"/>
  <c r="EB137" i="40"/>
  <c r="EC137" i="40" s="1"/>
  <c r="FK61" i="40"/>
  <c r="FL61" i="40" s="1"/>
  <c r="FF61" i="40"/>
  <c r="FG61" i="40" s="1"/>
  <c r="EV61" i="40"/>
  <c r="EW61" i="40" s="1"/>
  <c r="FA61" i="40"/>
  <c r="FB61" i="40" s="1"/>
  <c r="EQ61" i="40"/>
  <c r="ER61" i="40" s="1"/>
  <c r="EG61" i="40"/>
  <c r="EH61" i="40" s="1"/>
  <c r="EL61" i="40"/>
  <c r="EM61" i="40" s="1"/>
  <c r="FP61" i="40"/>
  <c r="FQ61" i="40" s="1"/>
  <c r="EB61" i="40"/>
  <c r="EC61" i="40" s="1"/>
  <c r="FK260" i="40"/>
  <c r="FL260" i="40" s="1"/>
  <c r="FA260" i="40"/>
  <c r="FB260" i="40" s="1"/>
  <c r="FF260" i="40"/>
  <c r="FG260" i="40" s="1"/>
  <c r="EV260" i="40"/>
  <c r="EW260" i="40" s="1"/>
  <c r="EQ260" i="40"/>
  <c r="ER260" i="40" s="1"/>
  <c r="EL260" i="40"/>
  <c r="EM260" i="40" s="1"/>
  <c r="FP260" i="40"/>
  <c r="FQ260" i="40" s="1"/>
  <c r="EG260" i="40"/>
  <c r="EH260" i="40" s="1"/>
  <c r="EB260" i="40"/>
  <c r="EC260" i="40" s="1"/>
  <c r="FK123" i="40"/>
  <c r="FL123" i="40" s="1"/>
  <c r="FF123" i="40"/>
  <c r="FG123" i="40" s="1"/>
  <c r="FA123" i="40"/>
  <c r="FB123" i="40" s="1"/>
  <c r="EV123" i="40"/>
  <c r="EW123" i="40" s="1"/>
  <c r="EQ123" i="40"/>
  <c r="ER123" i="40" s="1"/>
  <c r="EL123" i="40"/>
  <c r="EM123" i="40" s="1"/>
  <c r="EG123" i="40"/>
  <c r="EH123" i="40" s="1"/>
  <c r="FP123" i="40"/>
  <c r="FQ123" i="40" s="1"/>
  <c r="EB123" i="40"/>
  <c r="EC123" i="40" s="1"/>
  <c r="FK89" i="40"/>
  <c r="FL89" i="40" s="1"/>
  <c r="FF89" i="40"/>
  <c r="FG89" i="40" s="1"/>
  <c r="EV89" i="40"/>
  <c r="EW89" i="40" s="1"/>
  <c r="FA89" i="40"/>
  <c r="FB89" i="40" s="1"/>
  <c r="EQ89" i="40"/>
  <c r="ER89" i="40" s="1"/>
  <c r="EL89" i="40"/>
  <c r="EM89" i="40" s="1"/>
  <c r="EG89" i="40"/>
  <c r="EH89" i="40" s="1"/>
  <c r="FP89" i="40"/>
  <c r="FQ89" i="40" s="1"/>
  <c r="EB89" i="40"/>
  <c r="EC89" i="40" s="1"/>
  <c r="FF35" i="40"/>
  <c r="FK35" i="40"/>
  <c r="FA35" i="40"/>
  <c r="EV35" i="40"/>
  <c r="EW35" i="40" s="1"/>
  <c r="EQ35" i="40"/>
  <c r="EL35" i="40"/>
  <c r="EM35" i="40" s="1"/>
  <c r="EG35" i="40"/>
  <c r="EH35" i="40" s="1"/>
  <c r="FP35" i="40"/>
  <c r="EB35" i="40"/>
  <c r="FK255" i="40"/>
  <c r="FL255" i="40" s="1"/>
  <c r="FF255" i="40"/>
  <c r="FG255" i="40" s="1"/>
  <c r="FA255" i="40"/>
  <c r="FB255" i="40" s="1"/>
  <c r="EV255" i="40"/>
  <c r="EW255" i="40" s="1"/>
  <c r="EQ255" i="40"/>
  <c r="ER255" i="40" s="1"/>
  <c r="EL255" i="40"/>
  <c r="EM255" i="40" s="1"/>
  <c r="FP255" i="40"/>
  <c r="FQ255" i="40" s="1"/>
  <c r="EG255" i="40"/>
  <c r="EH255" i="40" s="1"/>
  <c r="EB255" i="40"/>
  <c r="EC255" i="40" s="1"/>
  <c r="FK390" i="40"/>
  <c r="FL390" i="40" s="1"/>
  <c r="FF390" i="40"/>
  <c r="FG390" i="40" s="1"/>
  <c r="FA390" i="40"/>
  <c r="FB390" i="40" s="1"/>
  <c r="EQ390" i="40"/>
  <c r="ER390" i="40" s="1"/>
  <c r="EV390" i="40"/>
  <c r="EW390" i="40" s="1"/>
  <c r="EL390" i="40"/>
  <c r="EM390" i="40" s="1"/>
  <c r="FP390" i="40"/>
  <c r="FQ390" i="40" s="1"/>
  <c r="EG390" i="40"/>
  <c r="EH390" i="40" s="1"/>
  <c r="EB390" i="40"/>
  <c r="EC390" i="40" s="1"/>
  <c r="FK366" i="40"/>
  <c r="FL366" i="40" s="1"/>
  <c r="FF366" i="40"/>
  <c r="FG366" i="40" s="1"/>
  <c r="FA366" i="40"/>
  <c r="FB366" i="40" s="1"/>
  <c r="EQ366" i="40"/>
  <c r="ER366" i="40" s="1"/>
  <c r="EV366" i="40"/>
  <c r="EW366" i="40" s="1"/>
  <c r="EL366" i="40"/>
  <c r="EM366" i="40" s="1"/>
  <c r="FP366" i="40"/>
  <c r="FQ366" i="40" s="1"/>
  <c r="EG366" i="40"/>
  <c r="EH366" i="40" s="1"/>
  <c r="EB366" i="40"/>
  <c r="EC366" i="40" s="1"/>
  <c r="FK304" i="40"/>
  <c r="FL304" i="40" s="1"/>
  <c r="FA304" i="40"/>
  <c r="FB304" i="40" s="1"/>
  <c r="FF304" i="40"/>
  <c r="FG304" i="40" s="1"/>
  <c r="EV304" i="40"/>
  <c r="EW304" i="40" s="1"/>
  <c r="EQ304" i="40"/>
  <c r="ER304" i="40" s="1"/>
  <c r="EL304" i="40"/>
  <c r="EM304" i="40" s="1"/>
  <c r="FP304" i="40"/>
  <c r="FQ304" i="40" s="1"/>
  <c r="EG304" i="40"/>
  <c r="EH304" i="40" s="1"/>
  <c r="EB304" i="40"/>
  <c r="EC304" i="40" s="1"/>
  <c r="FK271" i="40"/>
  <c r="FL271" i="40" s="1"/>
  <c r="FF271" i="40"/>
  <c r="FG271" i="40" s="1"/>
  <c r="FA271" i="40"/>
  <c r="FB271" i="40" s="1"/>
  <c r="EV271" i="40"/>
  <c r="EW271" i="40" s="1"/>
  <c r="EQ271" i="40"/>
  <c r="ER271" i="40" s="1"/>
  <c r="EL271" i="40"/>
  <c r="EM271" i="40" s="1"/>
  <c r="FP271" i="40"/>
  <c r="FQ271" i="40" s="1"/>
  <c r="EG271" i="40"/>
  <c r="EH271" i="40" s="1"/>
  <c r="EB271" i="40"/>
  <c r="EC271" i="40" s="1"/>
  <c r="FK198" i="40"/>
  <c r="FL198" i="40" s="1"/>
  <c r="FF198" i="40"/>
  <c r="FG198" i="40" s="1"/>
  <c r="FA198" i="40"/>
  <c r="FB198" i="40" s="1"/>
  <c r="EV198" i="40"/>
  <c r="EW198" i="40" s="1"/>
  <c r="EL198" i="40"/>
  <c r="EM198" i="40" s="1"/>
  <c r="EQ198" i="40"/>
  <c r="ER198" i="40" s="1"/>
  <c r="EG198" i="40"/>
  <c r="EH198" i="40" s="1"/>
  <c r="FP198" i="40"/>
  <c r="FQ198" i="40" s="1"/>
  <c r="EB198" i="40"/>
  <c r="EC198" i="40" s="1"/>
  <c r="FK96" i="40"/>
  <c r="FL96" i="40" s="1"/>
  <c r="FF96" i="40"/>
  <c r="FG96" i="40" s="1"/>
  <c r="FA96" i="40"/>
  <c r="FB96" i="40" s="1"/>
  <c r="EV96" i="40"/>
  <c r="EW96" i="40" s="1"/>
  <c r="EQ96" i="40"/>
  <c r="ER96" i="40" s="1"/>
  <c r="EL96" i="40"/>
  <c r="EM96" i="40" s="1"/>
  <c r="EG96" i="40"/>
  <c r="EH96" i="40" s="1"/>
  <c r="FP96" i="40"/>
  <c r="FQ96" i="40" s="1"/>
  <c r="EB96" i="40"/>
  <c r="EC96" i="40" s="1"/>
  <c r="FK29" i="40"/>
  <c r="FL29" i="40" s="1"/>
  <c r="FF29" i="40"/>
  <c r="FG29" i="40" s="1"/>
  <c r="EV29" i="40"/>
  <c r="EW29" i="40" s="1"/>
  <c r="FA29" i="40"/>
  <c r="FB29" i="40" s="1"/>
  <c r="EQ29" i="40"/>
  <c r="ER29" i="40" s="1"/>
  <c r="EG29" i="40"/>
  <c r="EH29" i="40" s="1"/>
  <c r="EL29" i="40"/>
  <c r="EM29" i="40" s="1"/>
  <c r="FP29" i="40"/>
  <c r="FQ29" i="40" s="1"/>
  <c r="EB29" i="40"/>
  <c r="EC29" i="40" s="1"/>
  <c r="FK163" i="40"/>
  <c r="FL163" i="40" s="1"/>
  <c r="FF163" i="40"/>
  <c r="FG163" i="40" s="1"/>
  <c r="FA163" i="40"/>
  <c r="FB163" i="40" s="1"/>
  <c r="EV163" i="40"/>
  <c r="EW163" i="40" s="1"/>
  <c r="EQ163" i="40"/>
  <c r="ER163" i="40" s="1"/>
  <c r="EL163" i="40"/>
  <c r="EM163" i="40" s="1"/>
  <c r="EG163" i="40"/>
  <c r="EH163" i="40" s="1"/>
  <c r="FP163" i="40"/>
  <c r="FQ163" i="40" s="1"/>
  <c r="EB163" i="40"/>
  <c r="EC163" i="40" s="1"/>
  <c r="FK110" i="40"/>
  <c r="FL110" i="40" s="1"/>
  <c r="FF110" i="40"/>
  <c r="FG110" i="40" s="1"/>
  <c r="FA110" i="40"/>
  <c r="FB110" i="40" s="1"/>
  <c r="EV110" i="40"/>
  <c r="EW110" i="40" s="1"/>
  <c r="EL110" i="40"/>
  <c r="EM110" i="40" s="1"/>
  <c r="EQ110" i="40"/>
  <c r="ER110" i="40" s="1"/>
  <c r="EG110" i="40"/>
  <c r="EH110" i="40" s="1"/>
  <c r="FP110" i="40"/>
  <c r="FQ110" i="40" s="1"/>
  <c r="EB110" i="40"/>
  <c r="EC110" i="40" s="1"/>
  <c r="FK384" i="40"/>
  <c r="FL384" i="40" s="1"/>
  <c r="FA384" i="40"/>
  <c r="FB384" i="40" s="1"/>
  <c r="FF384" i="40"/>
  <c r="FG384" i="40" s="1"/>
  <c r="EV384" i="40"/>
  <c r="EW384" i="40" s="1"/>
  <c r="EQ384" i="40"/>
  <c r="ER384" i="40" s="1"/>
  <c r="EL384" i="40"/>
  <c r="EM384" i="40" s="1"/>
  <c r="EG384" i="40"/>
  <c r="EH384" i="40" s="1"/>
  <c r="FP384" i="40"/>
  <c r="FQ384" i="40" s="1"/>
  <c r="EB384" i="40"/>
  <c r="EC384" i="40" s="1"/>
  <c r="FK329" i="40"/>
  <c r="FL329" i="40" s="1"/>
  <c r="FF329" i="40"/>
  <c r="FG329" i="40" s="1"/>
  <c r="FA329" i="40"/>
  <c r="FB329" i="40" s="1"/>
  <c r="EV329" i="40"/>
  <c r="EW329" i="40" s="1"/>
  <c r="EQ329" i="40"/>
  <c r="ER329" i="40" s="1"/>
  <c r="EL329" i="40"/>
  <c r="EM329" i="40" s="1"/>
  <c r="EG329" i="40"/>
  <c r="EH329" i="40" s="1"/>
  <c r="FP329" i="40"/>
  <c r="FQ329" i="40" s="1"/>
  <c r="EB329" i="40"/>
  <c r="EC329" i="40" s="1"/>
  <c r="FK229" i="40"/>
  <c r="FL229" i="40" s="1"/>
  <c r="FF229" i="40"/>
  <c r="FG229" i="40" s="1"/>
  <c r="FA229" i="40"/>
  <c r="FB229" i="40" s="1"/>
  <c r="EV229" i="40"/>
  <c r="EW229" i="40" s="1"/>
  <c r="EQ229" i="40"/>
  <c r="ER229" i="40" s="1"/>
  <c r="EL229" i="40"/>
  <c r="EM229" i="40" s="1"/>
  <c r="EG229" i="40"/>
  <c r="EH229" i="40" s="1"/>
  <c r="FP229" i="40"/>
  <c r="FQ229" i="40" s="1"/>
  <c r="EB229" i="40"/>
  <c r="EC229" i="40" s="1"/>
  <c r="FK93" i="40"/>
  <c r="FL93" i="40" s="1"/>
  <c r="FF93" i="40"/>
  <c r="FG93" i="40" s="1"/>
  <c r="EV93" i="40"/>
  <c r="EW93" i="40" s="1"/>
  <c r="FA93" i="40"/>
  <c r="FB93" i="40" s="1"/>
  <c r="EQ93" i="40"/>
  <c r="ER93" i="40" s="1"/>
  <c r="EL93" i="40"/>
  <c r="EM93" i="40" s="1"/>
  <c r="EG93" i="40"/>
  <c r="EH93" i="40" s="1"/>
  <c r="FP93" i="40"/>
  <c r="FQ93" i="40" s="1"/>
  <c r="EB93" i="40"/>
  <c r="EC93" i="40" s="1"/>
  <c r="FK392" i="40"/>
  <c r="FA392" i="40"/>
  <c r="FF392" i="40"/>
  <c r="FG392" i="40" s="1"/>
  <c r="EV392" i="40"/>
  <c r="EW392" i="40" s="1"/>
  <c r="EQ392" i="40"/>
  <c r="ER392" i="40" s="1"/>
  <c r="EL392" i="40"/>
  <c r="EG392" i="40"/>
  <c r="EH392" i="40" s="1"/>
  <c r="FP392" i="40"/>
  <c r="FQ392" i="40" s="1"/>
  <c r="EB392" i="40"/>
  <c r="EC392" i="40" s="1"/>
  <c r="FK368" i="40"/>
  <c r="FL368" i="40" s="1"/>
  <c r="FA368" i="40"/>
  <c r="FB368" i="40" s="1"/>
  <c r="FF368" i="40"/>
  <c r="FG368" i="40" s="1"/>
  <c r="EV368" i="40"/>
  <c r="EW368" i="40" s="1"/>
  <c r="EQ368" i="40"/>
  <c r="ER368" i="40" s="1"/>
  <c r="EL368" i="40"/>
  <c r="EM368" i="40" s="1"/>
  <c r="EG368" i="40"/>
  <c r="EH368" i="40" s="1"/>
  <c r="FP368" i="40"/>
  <c r="FQ368" i="40" s="1"/>
  <c r="EB368" i="40"/>
  <c r="EC368" i="40" s="1"/>
  <c r="FK328" i="40"/>
  <c r="FL328" i="40" s="1"/>
  <c r="FA328" i="40"/>
  <c r="FB328" i="40" s="1"/>
  <c r="FF328" i="40"/>
  <c r="FG328" i="40" s="1"/>
  <c r="EV328" i="40"/>
  <c r="EW328" i="40" s="1"/>
  <c r="EQ328" i="40"/>
  <c r="ER328" i="40" s="1"/>
  <c r="EL328" i="40"/>
  <c r="EM328" i="40" s="1"/>
  <c r="EG328" i="40"/>
  <c r="EH328" i="40" s="1"/>
  <c r="FP328" i="40"/>
  <c r="FQ328" i="40" s="1"/>
  <c r="EB328" i="40"/>
  <c r="EC328" i="40" s="1"/>
  <c r="FK300" i="40"/>
  <c r="FA300" i="40"/>
  <c r="FF300" i="40"/>
  <c r="FG300" i="40" s="1"/>
  <c r="EV300" i="40"/>
  <c r="EW300" i="40" s="1"/>
  <c r="EQ300" i="40"/>
  <c r="EL300" i="40"/>
  <c r="EM300" i="40" s="1"/>
  <c r="FP300" i="40"/>
  <c r="FQ300" i="40" s="1"/>
  <c r="EG300" i="40"/>
  <c r="EH300" i="40" s="1"/>
  <c r="EB300" i="40"/>
  <c r="EC300" i="40" s="1"/>
  <c r="FK275" i="40"/>
  <c r="FL275" i="40" s="1"/>
  <c r="FF275" i="40"/>
  <c r="FG275" i="40" s="1"/>
  <c r="FA275" i="40"/>
  <c r="FB275" i="40" s="1"/>
  <c r="EV275" i="40"/>
  <c r="EW275" i="40" s="1"/>
  <c r="EQ275" i="40"/>
  <c r="ER275" i="40" s="1"/>
  <c r="EL275" i="40"/>
  <c r="EM275" i="40" s="1"/>
  <c r="FP275" i="40"/>
  <c r="FQ275" i="40" s="1"/>
  <c r="EG275" i="40"/>
  <c r="EH275" i="40" s="1"/>
  <c r="EB275" i="40"/>
  <c r="EC275" i="40" s="1"/>
  <c r="FK205" i="40"/>
  <c r="FF205" i="40"/>
  <c r="FG205" i="40" s="1"/>
  <c r="EV205" i="40"/>
  <c r="EW205" i="40" s="1"/>
  <c r="FA205" i="40"/>
  <c r="EQ205" i="40"/>
  <c r="EL205" i="40"/>
  <c r="EM205" i="40" s="1"/>
  <c r="EG205" i="40"/>
  <c r="FP205" i="40"/>
  <c r="EB205" i="40"/>
  <c r="FK166" i="40"/>
  <c r="FL166" i="40" s="1"/>
  <c r="FF166" i="40"/>
  <c r="FG166" i="40" s="1"/>
  <c r="FA166" i="40"/>
  <c r="FB166" i="40" s="1"/>
  <c r="EV166" i="40"/>
  <c r="EW166" i="40" s="1"/>
  <c r="EL166" i="40"/>
  <c r="EM166" i="40" s="1"/>
  <c r="EQ166" i="40"/>
  <c r="ER166" i="40" s="1"/>
  <c r="EG166" i="40"/>
  <c r="EH166" i="40" s="1"/>
  <c r="FP166" i="40"/>
  <c r="FQ166" i="40" s="1"/>
  <c r="EB166" i="40"/>
  <c r="EC166" i="40" s="1"/>
  <c r="FK157" i="40"/>
  <c r="FL157" i="40" s="1"/>
  <c r="FF157" i="40"/>
  <c r="FG157" i="40" s="1"/>
  <c r="EV157" i="40"/>
  <c r="EW157" i="40" s="1"/>
  <c r="FA157" i="40"/>
  <c r="FB157" i="40" s="1"/>
  <c r="EQ157" i="40"/>
  <c r="ER157" i="40" s="1"/>
  <c r="EL157" i="40"/>
  <c r="EM157" i="40" s="1"/>
  <c r="EG157" i="40"/>
  <c r="EH157" i="40" s="1"/>
  <c r="FP157" i="40"/>
  <c r="FQ157" i="40" s="1"/>
  <c r="EB157" i="40"/>
  <c r="EC157" i="40" s="1"/>
  <c r="FK146" i="40"/>
  <c r="FL146" i="40" s="1"/>
  <c r="FF146" i="40"/>
  <c r="FG146" i="40" s="1"/>
  <c r="FA146" i="40"/>
  <c r="FB146" i="40" s="1"/>
  <c r="EV146" i="40"/>
  <c r="EW146" i="40" s="1"/>
  <c r="EL146" i="40"/>
  <c r="EM146" i="40" s="1"/>
  <c r="EQ146" i="40"/>
  <c r="ER146" i="40" s="1"/>
  <c r="EG146" i="40"/>
  <c r="EH146" i="40" s="1"/>
  <c r="FP146" i="40"/>
  <c r="FQ146" i="40" s="1"/>
  <c r="EB146" i="40"/>
  <c r="EC146" i="40" s="1"/>
  <c r="FK103" i="40"/>
  <c r="FL103" i="40" s="1"/>
  <c r="FF103" i="40"/>
  <c r="FG103" i="40" s="1"/>
  <c r="FA103" i="40"/>
  <c r="FB103" i="40" s="1"/>
  <c r="EV103" i="40"/>
  <c r="EW103" i="40" s="1"/>
  <c r="EQ103" i="40"/>
  <c r="ER103" i="40" s="1"/>
  <c r="EL103" i="40"/>
  <c r="EM103" i="40" s="1"/>
  <c r="EG103" i="40"/>
  <c r="EH103" i="40" s="1"/>
  <c r="FP103" i="40"/>
  <c r="FQ103" i="40" s="1"/>
  <c r="EB103" i="40"/>
  <c r="EC103" i="40" s="1"/>
  <c r="FK70" i="40"/>
  <c r="FL70" i="40" s="1"/>
  <c r="FF70" i="40"/>
  <c r="FG70" i="40" s="1"/>
  <c r="FA70" i="40"/>
  <c r="FB70" i="40" s="1"/>
  <c r="EV70" i="40"/>
  <c r="EW70" i="40" s="1"/>
  <c r="EL70" i="40"/>
  <c r="EM70" i="40" s="1"/>
  <c r="EQ70" i="40"/>
  <c r="ER70" i="40" s="1"/>
  <c r="EG70" i="40"/>
  <c r="EH70" i="40" s="1"/>
  <c r="FP70" i="40"/>
  <c r="FQ70" i="40" s="1"/>
  <c r="EB70" i="40"/>
  <c r="EC70" i="40" s="1"/>
  <c r="FF43" i="40"/>
  <c r="FG43" i="40" s="1"/>
  <c r="FK43" i="40"/>
  <c r="FL43" i="40" s="1"/>
  <c r="FA43" i="40"/>
  <c r="FB43" i="40" s="1"/>
  <c r="EV43" i="40"/>
  <c r="EW43" i="40" s="1"/>
  <c r="EQ43" i="40"/>
  <c r="ER43" i="40" s="1"/>
  <c r="EL43" i="40"/>
  <c r="EM43" i="40" s="1"/>
  <c r="EG43" i="40"/>
  <c r="EH43" i="40" s="1"/>
  <c r="FP43" i="40"/>
  <c r="FQ43" i="40" s="1"/>
  <c r="EB43" i="40"/>
  <c r="EC43" i="40" s="1"/>
  <c r="FK228" i="40"/>
  <c r="FA228" i="40"/>
  <c r="FF228" i="40"/>
  <c r="FG228" i="40" s="1"/>
  <c r="FG231" i="40" s="1"/>
  <c r="EV228" i="40"/>
  <c r="EQ228" i="40"/>
  <c r="ER228" i="40" s="1"/>
  <c r="ER231" i="40" s="1"/>
  <c r="EL228" i="40"/>
  <c r="EG228" i="40"/>
  <c r="FP228" i="40"/>
  <c r="EB228" i="40"/>
  <c r="FK404" i="40"/>
  <c r="FL404" i="40" s="1"/>
  <c r="FA404" i="40"/>
  <c r="FB404" i="40" s="1"/>
  <c r="FF404" i="40"/>
  <c r="FG404" i="40" s="1"/>
  <c r="EV404" i="40"/>
  <c r="EW404" i="40" s="1"/>
  <c r="EQ404" i="40"/>
  <c r="ER404" i="40" s="1"/>
  <c r="EL404" i="40"/>
  <c r="EM404" i="40" s="1"/>
  <c r="EG404" i="40"/>
  <c r="EH404" i="40" s="1"/>
  <c r="FP404" i="40"/>
  <c r="FQ404" i="40" s="1"/>
  <c r="EB404" i="40"/>
  <c r="EC404" i="40" s="1"/>
  <c r="FK389" i="40"/>
  <c r="FL389" i="40" s="1"/>
  <c r="FF389" i="40"/>
  <c r="FA389" i="40"/>
  <c r="FB389" i="40" s="1"/>
  <c r="EV389" i="40"/>
  <c r="EW389" i="40" s="1"/>
  <c r="EQ389" i="40"/>
  <c r="ER389" i="40" s="1"/>
  <c r="EL389" i="40"/>
  <c r="EG389" i="40"/>
  <c r="EH389" i="40" s="1"/>
  <c r="FP389" i="40"/>
  <c r="FQ389" i="40" s="1"/>
  <c r="EB389" i="40"/>
  <c r="EC389" i="40" s="1"/>
  <c r="FK378" i="40"/>
  <c r="FL378" i="40" s="1"/>
  <c r="FF378" i="40"/>
  <c r="FG378" i="40" s="1"/>
  <c r="FA378" i="40"/>
  <c r="FB378" i="40" s="1"/>
  <c r="EQ378" i="40"/>
  <c r="ER378" i="40" s="1"/>
  <c r="EV378" i="40"/>
  <c r="EW378" i="40" s="1"/>
  <c r="EL378" i="40"/>
  <c r="EM378" i="40" s="1"/>
  <c r="FP378" i="40"/>
  <c r="FQ378" i="40" s="1"/>
  <c r="EG378" i="40"/>
  <c r="EH378" i="40" s="1"/>
  <c r="EB378" i="40"/>
  <c r="EC378" i="40" s="1"/>
  <c r="FK356" i="40"/>
  <c r="FL356" i="40" s="1"/>
  <c r="FA356" i="40"/>
  <c r="FB356" i="40" s="1"/>
  <c r="FF356" i="40"/>
  <c r="FG356" i="40" s="1"/>
  <c r="EV356" i="40"/>
  <c r="EW356" i="40" s="1"/>
  <c r="EQ356" i="40"/>
  <c r="ER356" i="40" s="1"/>
  <c r="EL356" i="40"/>
  <c r="EM356" i="40" s="1"/>
  <c r="EG356" i="40"/>
  <c r="EH356" i="40" s="1"/>
  <c r="FP356" i="40"/>
  <c r="FQ356" i="40" s="1"/>
  <c r="EB356" i="40"/>
  <c r="EC356" i="40" s="1"/>
  <c r="FK336" i="40"/>
  <c r="FL336" i="40" s="1"/>
  <c r="FA336" i="40"/>
  <c r="FB336" i="40" s="1"/>
  <c r="FF336" i="40"/>
  <c r="FG336" i="40" s="1"/>
  <c r="EV336" i="40"/>
  <c r="EW336" i="40" s="1"/>
  <c r="EQ336" i="40"/>
  <c r="ER336" i="40" s="1"/>
  <c r="EL336" i="40"/>
  <c r="EM336" i="40" s="1"/>
  <c r="EG336" i="40"/>
  <c r="EH336" i="40" s="1"/>
  <c r="FP336" i="40"/>
  <c r="FQ336" i="40" s="1"/>
  <c r="EB336" i="40"/>
  <c r="EC336" i="40" s="1"/>
  <c r="FK311" i="40"/>
  <c r="FL311" i="40" s="1"/>
  <c r="FF311" i="40"/>
  <c r="FG311" i="40" s="1"/>
  <c r="FA311" i="40"/>
  <c r="FB311" i="40" s="1"/>
  <c r="EV311" i="40"/>
  <c r="EW311" i="40" s="1"/>
  <c r="EQ311" i="40"/>
  <c r="ER311" i="40" s="1"/>
  <c r="EL311" i="40"/>
  <c r="EM311" i="40" s="1"/>
  <c r="FP311" i="40"/>
  <c r="FQ311" i="40" s="1"/>
  <c r="EG311" i="40"/>
  <c r="EH311" i="40" s="1"/>
  <c r="EB311" i="40"/>
  <c r="EC311" i="40" s="1"/>
  <c r="FK284" i="40"/>
  <c r="FL284" i="40" s="1"/>
  <c r="FA284" i="40"/>
  <c r="FB284" i="40" s="1"/>
  <c r="FF284" i="40"/>
  <c r="FG284" i="40" s="1"/>
  <c r="EV284" i="40"/>
  <c r="EW284" i="40" s="1"/>
  <c r="EQ284" i="40"/>
  <c r="ER284" i="40" s="1"/>
  <c r="EL284" i="40"/>
  <c r="EM284" i="40" s="1"/>
  <c r="FP284" i="40"/>
  <c r="FQ284" i="40" s="1"/>
  <c r="EG284" i="40"/>
  <c r="EH284" i="40" s="1"/>
  <c r="EB284" i="40"/>
  <c r="EC284" i="40" s="1"/>
  <c r="FK227" i="40"/>
  <c r="FF227" i="40"/>
  <c r="FG227" i="40" s="1"/>
  <c r="FA227" i="40"/>
  <c r="EV227" i="40"/>
  <c r="EQ227" i="40"/>
  <c r="EL227" i="40"/>
  <c r="FP227" i="40"/>
  <c r="EG227" i="40"/>
  <c r="EH227" i="40" s="1"/>
  <c r="EB227" i="40"/>
  <c r="FK189" i="40"/>
  <c r="FL189" i="40" s="1"/>
  <c r="FF189" i="40"/>
  <c r="FG189" i="40" s="1"/>
  <c r="EV189" i="40"/>
  <c r="EW189" i="40" s="1"/>
  <c r="FA189" i="40"/>
  <c r="FB189" i="40" s="1"/>
  <c r="EQ189" i="40"/>
  <c r="ER189" i="40" s="1"/>
  <c r="EL189" i="40"/>
  <c r="EM189" i="40" s="1"/>
  <c r="EG189" i="40"/>
  <c r="EH189" i="40" s="1"/>
  <c r="FP189" i="40"/>
  <c r="FQ189" i="40" s="1"/>
  <c r="EB189" i="40"/>
  <c r="EC189" i="40" s="1"/>
  <c r="FK52" i="40"/>
  <c r="FL52" i="40" s="1"/>
  <c r="FF52" i="40"/>
  <c r="FG52" i="40" s="1"/>
  <c r="FA52" i="40"/>
  <c r="FB52" i="40" s="1"/>
  <c r="EV52" i="40"/>
  <c r="EW52" i="40" s="1"/>
  <c r="EQ52" i="40"/>
  <c r="ER52" i="40" s="1"/>
  <c r="EL52" i="40"/>
  <c r="EM52" i="40" s="1"/>
  <c r="EG52" i="40"/>
  <c r="EH52" i="40" s="1"/>
  <c r="FP52" i="40"/>
  <c r="FQ52" i="40" s="1"/>
  <c r="EB52" i="40"/>
  <c r="EC52" i="40" s="1"/>
  <c r="FK37" i="40"/>
  <c r="FL37" i="40" s="1"/>
  <c r="FF37" i="40"/>
  <c r="FG37" i="40" s="1"/>
  <c r="EV37" i="40"/>
  <c r="EW37" i="40" s="1"/>
  <c r="FA37" i="40"/>
  <c r="FB37" i="40" s="1"/>
  <c r="EQ37" i="40"/>
  <c r="ER37" i="40" s="1"/>
  <c r="EG37" i="40"/>
  <c r="EH37" i="40" s="1"/>
  <c r="EL37" i="40"/>
  <c r="EM37" i="40" s="1"/>
  <c r="FP37" i="40"/>
  <c r="FQ37" i="40" s="1"/>
  <c r="EB37" i="40"/>
  <c r="EC37" i="40" s="1"/>
  <c r="FK374" i="40"/>
  <c r="FL374" i="40" s="1"/>
  <c r="FF374" i="40"/>
  <c r="FG374" i="40" s="1"/>
  <c r="FA374" i="40"/>
  <c r="FB374" i="40" s="1"/>
  <c r="EQ374" i="40"/>
  <c r="ER374" i="40" s="1"/>
  <c r="EV374" i="40"/>
  <c r="EW374" i="40" s="1"/>
  <c r="EL374" i="40"/>
  <c r="EM374" i="40" s="1"/>
  <c r="FP374" i="40"/>
  <c r="FQ374" i="40" s="1"/>
  <c r="EG374" i="40"/>
  <c r="EH374" i="40" s="1"/>
  <c r="EB374" i="40"/>
  <c r="EC374" i="40" s="1"/>
  <c r="FK407" i="40"/>
  <c r="FL407" i="40" s="1"/>
  <c r="FF407" i="40"/>
  <c r="FG407" i="40" s="1"/>
  <c r="FA407" i="40"/>
  <c r="FB407" i="40" s="1"/>
  <c r="EV407" i="40"/>
  <c r="EW407" i="40" s="1"/>
  <c r="EQ407" i="40"/>
  <c r="ER407" i="40" s="1"/>
  <c r="EL407" i="40"/>
  <c r="EM407" i="40" s="1"/>
  <c r="FP407" i="40"/>
  <c r="FQ407" i="40" s="1"/>
  <c r="EG407" i="40"/>
  <c r="EH407" i="40" s="1"/>
  <c r="EB407" i="40"/>
  <c r="EC407" i="40" s="1"/>
  <c r="FK150" i="40"/>
  <c r="FL150" i="40" s="1"/>
  <c r="FF150" i="40"/>
  <c r="FG150" i="40" s="1"/>
  <c r="FA150" i="40"/>
  <c r="FB150" i="40" s="1"/>
  <c r="EV150" i="40"/>
  <c r="EW150" i="40" s="1"/>
  <c r="EL150" i="40"/>
  <c r="EM150" i="40" s="1"/>
  <c r="EQ150" i="40"/>
  <c r="ER150" i="40" s="1"/>
  <c r="EG150" i="40"/>
  <c r="EH150" i="40" s="1"/>
  <c r="FP150" i="40"/>
  <c r="FQ150" i="40" s="1"/>
  <c r="EB150" i="40"/>
  <c r="EC150" i="40" s="1"/>
  <c r="FK265" i="40"/>
  <c r="FL265" i="40" s="1"/>
  <c r="FF265" i="40"/>
  <c r="FG265" i="40" s="1"/>
  <c r="FA265" i="40"/>
  <c r="FB265" i="40" s="1"/>
  <c r="EV265" i="40"/>
  <c r="EW265" i="40" s="1"/>
  <c r="EQ265" i="40"/>
  <c r="ER265" i="40" s="1"/>
  <c r="EL265" i="40"/>
  <c r="EM265" i="40" s="1"/>
  <c r="EG265" i="40"/>
  <c r="EH265" i="40" s="1"/>
  <c r="FP265" i="40"/>
  <c r="FQ265" i="40" s="1"/>
  <c r="EB265" i="40"/>
  <c r="EC265" i="40" s="1"/>
  <c r="FK349" i="40"/>
  <c r="FL349" i="40" s="1"/>
  <c r="FF349" i="40"/>
  <c r="FG349" i="40" s="1"/>
  <c r="FA349" i="40"/>
  <c r="FB349" i="40" s="1"/>
  <c r="EV349" i="40"/>
  <c r="EW349" i="40" s="1"/>
  <c r="EQ349" i="40"/>
  <c r="ER349" i="40" s="1"/>
  <c r="EL349" i="40"/>
  <c r="EM349" i="40" s="1"/>
  <c r="EG349" i="40"/>
  <c r="EH349" i="40" s="1"/>
  <c r="FP349" i="40"/>
  <c r="FQ349" i="40" s="1"/>
  <c r="EB349" i="40"/>
  <c r="EC349" i="40" s="1"/>
  <c r="FK240" i="40"/>
  <c r="FL240" i="40" s="1"/>
  <c r="FA240" i="40"/>
  <c r="FB240" i="40" s="1"/>
  <c r="FF240" i="40"/>
  <c r="FG240" i="40" s="1"/>
  <c r="EV240" i="40"/>
  <c r="EW240" i="40" s="1"/>
  <c r="EQ240" i="40"/>
  <c r="ER240" i="40" s="1"/>
  <c r="EL240" i="40"/>
  <c r="EM240" i="40" s="1"/>
  <c r="EG240" i="40"/>
  <c r="EH240" i="40" s="1"/>
  <c r="FP240" i="40"/>
  <c r="FQ240" i="40" s="1"/>
  <c r="EB240" i="40"/>
  <c r="EC240" i="40" s="1"/>
  <c r="FK33" i="40"/>
  <c r="FL33" i="40" s="1"/>
  <c r="FF33" i="40"/>
  <c r="FG33" i="40" s="1"/>
  <c r="EV33" i="40"/>
  <c r="EW33" i="40" s="1"/>
  <c r="FA33" i="40"/>
  <c r="FB33" i="40" s="1"/>
  <c r="EQ33" i="40"/>
  <c r="ER33" i="40" s="1"/>
  <c r="EG33" i="40"/>
  <c r="EH33" i="40" s="1"/>
  <c r="EL33" i="40"/>
  <c r="EM33" i="40" s="1"/>
  <c r="FP33" i="40"/>
  <c r="FQ33" i="40" s="1"/>
  <c r="EB33" i="40"/>
  <c r="EC33" i="40" s="1"/>
  <c r="FK243" i="40"/>
  <c r="FL243" i="40" s="1"/>
  <c r="FF243" i="40"/>
  <c r="FG243" i="40" s="1"/>
  <c r="FA243" i="40"/>
  <c r="FB243" i="40" s="1"/>
  <c r="EV243" i="40"/>
  <c r="EW243" i="40" s="1"/>
  <c r="EQ243" i="40"/>
  <c r="ER243" i="40" s="1"/>
  <c r="EL243" i="40"/>
  <c r="EM243" i="40" s="1"/>
  <c r="FP243" i="40"/>
  <c r="FQ243" i="40" s="1"/>
  <c r="EG243" i="40"/>
  <c r="EH243" i="40" s="1"/>
  <c r="EB243" i="40"/>
  <c r="EC243" i="40" s="1"/>
  <c r="FK361" i="40"/>
  <c r="FL361" i="40" s="1"/>
  <c r="FF361" i="40"/>
  <c r="FG361" i="40" s="1"/>
  <c r="FA361" i="40"/>
  <c r="FB361" i="40" s="1"/>
  <c r="EV361" i="40"/>
  <c r="EW361" i="40" s="1"/>
  <c r="EQ361" i="40"/>
  <c r="ER361" i="40" s="1"/>
  <c r="EL361" i="40"/>
  <c r="EM361" i="40" s="1"/>
  <c r="EG361" i="40"/>
  <c r="EH361" i="40" s="1"/>
  <c r="FP361" i="40"/>
  <c r="FQ361" i="40" s="1"/>
  <c r="EB361" i="40"/>
  <c r="EC361" i="40" s="1"/>
  <c r="FK318" i="40"/>
  <c r="FL318" i="40" s="1"/>
  <c r="FF318" i="40"/>
  <c r="FG318" i="40" s="1"/>
  <c r="FA318" i="40"/>
  <c r="FB318" i="40" s="1"/>
  <c r="EV318" i="40"/>
  <c r="EW318" i="40" s="1"/>
  <c r="EL318" i="40"/>
  <c r="EM318" i="40" s="1"/>
  <c r="EQ318" i="40"/>
  <c r="ER318" i="40" s="1"/>
  <c r="FP318" i="40"/>
  <c r="FQ318" i="40" s="1"/>
  <c r="EG318" i="40"/>
  <c r="EH318" i="40" s="1"/>
  <c r="EB318" i="40"/>
  <c r="EC318" i="40" s="1"/>
  <c r="FK36" i="40"/>
  <c r="FL36" i="40" s="1"/>
  <c r="FF36" i="40"/>
  <c r="FG36" i="40" s="1"/>
  <c r="FA36" i="40"/>
  <c r="FB36" i="40" s="1"/>
  <c r="EV36" i="40"/>
  <c r="EW36" i="40" s="1"/>
  <c r="EQ36" i="40"/>
  <c r="ER36" i="40" s="1"/>
  <c r="EL36" i="40"/>
  <c r="EM36" i="40" s="1"/>
  <c r="EG36" i="40"/>
  <c r="EH36" i="40" s="1"/>
  <c r="FP36" i="40"/>
  <c r="FQ36" i="40" s="1"/>
  <c r="EB36" i="40"/>
  <c r="EC36" i="40" s="1"/>
  <c r="FK192" i="40"/>
  <c r="FL192" i="40" s="1"/>
  <c r="FF192" i="40"/>
  <c r="FG192" i="40" s="1"/>
  <c r="FA192" i="40"/>
  <c r="FB192" i="40" s="1"/>
  <c r="EV192" i="40"/>
  <c r="EW192" i="40" s="1"/>
  <c r="EQ192" i="40"/>
  <c r="ER192" i="40" s="1"/>
  <c r="EL192" i="40"/>
  <c r="EM192" i="40" s="1"/>
  <c r="EG192" i="40"/>
  <c r="EH192" i="40" s="1"/>
  <c r="FP192" i="40"/>
  <c r="FQ192" i="40" s="1"/>
  <c r="EB192" i="40"/>
  <c r="EC192" i="40" s="1"/>
  <c r="FK68" i="40"/>
  <c r="FL68" i="40" s="1"/>
  <c r="FF68" i="40"/>
  <c r="FG68" i="40" s="1"/>
  <c r="FA68" i="40"/>
  <c r="FB68" i="40" s="1"/>
  <c r="EV68" i="40"/>
  <c r="EW68" i="40" s="1"/>
  <c r="EQ68" i="40"/>
  <c r="ER68" i="40" s="1"/>
  <c r="EL68" i="40"/>
  <c r="EM68" i="40" s="1"/>
  <c r="EG68" i="40"/>
  <c r="EH68" i="40" s="1"/>
  <c r="FP68" i="40"/>
  <c r="FQ68" i="40" s="1"/>
  <c r="EB68" i="40"/>
  <c r="EC68" i="40" s="1"/>
  <c r="FK293" i="40"/>
  <c r="FL293" i="40" s="1"/>
  <c r="FF293" i="40"/>
  <c r="FG293" i="40" s="1"/>
  <c r="FA293" i="40"/>
  <c r="FB293" i="40" s="1"/>
  <c r="EV293" i="40"/>
  <c r="EW293" i="40" s="1"/>
  <c r="EQ293" i="40"/>
  <c r="ER293" i="40" s="1"/>
  <c r="EL293" i="40"/>
  <c r="EM293" i="40" s="1"/>
  <c r="EG293" i="40"/>
  <c r="EH293" i="40" s="1"/>
  <c r="FP293" i="40"/>
  <c r="FQ293" i="40" s="1"/>
  <c r="EB293" i="40"/>
  <c r="EC293" i="40" s="1"/>
  <c r="FK88" i="40"/>
  <c r="FF88" i="40"/>
  <c r="FG88" i="40" s="1"/>
  <c r="FA88" i="40"/>
  <c r="EV88" i="40"/>
  <c r="EW88" i="40" s="1"/>
  <c r="EQ88" i="40"/>
  <c r="EL88" i="40"/>
  <c r="EM88" i="40" s="1"/>
  <c r="EG88" i="40"/>
  <c r="EH88" i="40" s="1"/>
  <c r="FP88" i="40"/>
  <c r="EB88" i="40"/>
  <c r="J67" i="27"/>
  <c r="K66" i="27"/>
  <c r="DY213" i="40"/>
  <c r="DJ213" i="40"/>
  <c r="DR213" i="40"/>
  <c r="DQ213" i="40"/>
  <c r="DP213" i="40"/>
  <c r="DO213" i="40"/>
  <c r="DN213" i="40"/>
  <c r="DM213" i="40"/>
  <c r="DK213" i="40"/>
  <c r="DL213" i="40"/>
  <c r="DY118" i="40"/>
  <c r="DR118" i="40"/>
  <c r="DQ118" i="40"/>
  <c r="DP118" i="40"/>
  <c r="DO118" i="40"/>
  <c r="DM118" i="40"/>
  <c r="DN118" i="40"/>
  <c r="DJ118" i="40"/>
  <c r="DL118" i="40"/>
  <c r="DY381" i="40"/>
  <c r="DR381" i="40"/>
  <c r="DQ381" i="40"/>
  <c r="DP381" i="40"/>
  <c r="DN381" i="40"/>
  <c r="DO381" i="40"/>
  <c r="DM381" i="40"/>
  <c r="DL381" i="40"/>
  <c r="DK381" i="40"/>
  <c r="DJ381" i="40"/>
  <c r="DY263" i="40"/>
  <c r="DR263" i="40"/>
  <c r="DQ263" i="40"/>
  <c r="DP263" i="40"/>
  <c r="DO263" i="40"/>
  <c r="DM263" i="40"/>
  <c r="DK263" i="40"/>
  <c r="DN263" i="40"/>
  <c r="DL263" i="40"/>
  <c r="DJ263" i="40"/>
  <c r="DY4" i="40"/>
  <c r="DR4" i="40"/>
  <c r="DQ4" i="40"/>
  <c r="DO4" i="40"/>
  <c r="DN4" i="40"/>
  <c r="DP4" i="40"/>
  <c r="DM4" i="40"/>
  <c r="DL4" i="40"/>
  <c r="DK4" i="40"/>
  <c r="DJ4" i="40"/>
  <c r="DY380" i="40"/>
  <c r="DR380" i="40"/>
  <c r="DJ380" i="40"/>
  <c r="DQ380" i="40"/>
  <c r="DP380" i="40"/>
  <c r="DO380" i="40"/>
  <c r="DM380" i="40"/>
  <c r="DN380" i="40"/>
  <c r="DL380" i="40"/>
  <c r="DK380" i="40"/>
  <c r="DY78" i="40"/>
  <c r="DR78" i="40"/>
  <c r="DO78" i="40"/>
  <c r="DP78" i="40"/>
  <c r="DM78" i="40"/>
  <c r="DN78" i="40"/>
  <c r="DL78" i="40"/>
  <c r="DJ78" i="40"/>
  <c r="DK78" i="40"/>
  <c r="DY375" i="40"/>
  <c r="DR375" i="40"/>
  <c r="DQ375" i="40"/>
  <c r="DO375" i="40"/>
  <c r="DP375" i="40"/>
  <c r="DN375" i="40"/>
  <c r="DM375" i="40"/>
  <c r="DL375" i="40"/>
  <c r="DJ375" i="40"/>
  <c r="DY258" i="40"/>
  <c r="DR258" i="40"/>
  <c r="DQ258" i="40"/>
  <c r="DO258" i="40"/>
  <c r="DP258" i="40"/>
  <c r="DN258" i="40"/>
  <c r="DK258" i="40"/>
  <c r="DJ258" i="40"/>
  <c r="DL258" i="40"/>
  <c r="DY211" i="40"/>
  <c r="DR211" i="40"/>
  <c r="DQ211" i="40"/>
  <c r="DO211" i="40"/>
  <c r="DP211" i="40"/>
  <c r="DN211" i="40"/>
  <c r="DM211" i="40"/>
  <c r="DL211" i="40"/>
  <c r="DK211" i="40"/>
  <c r="DY354" i="40"/>
  <c r="DR354" i="40"/>
  <c r="DQ354" i="40"/>
  <c r="DO354" i="40"/>
  <c r="DP354" i="40"/>
  <c r="DN354" i="40"/>
  <c r="DM354" i="40"/>
  <c r="DK354" i="40"/>
  <c r="DJ354" i="40"/>
  <c r="DY87" i="40"/>
  <c r="DR87" i="40"/>
  <c r="DP87" i="40"/>
  <c r="DQ87" i="40"/>
  <c r="DO87" i="40"/>
  <c r="DM87" i="40"/>
  <c r="DN87" i="40"/>
  <c r="DK87" i="40"/>
  <c r="DL87" i="40"/>
  <c r="DY306" i="40"/>
  <c r="DJ306" i="40"/>
  <c r="DR306" i="40"/>
  <c r="DQ306" i="40"/>
  <c r="DP306" i="40"/>
  <c r="DO306" i="40"/>
  <c r="DN306" i="40"/>
  <c r="DM306" i="40"/>
  <c r="DL306" i="40"/>
  <c r="DK306" i="40"/>
  <c r="DY190" i="40"/>
  <c r="DJ190" i="40"/>
  <c r="DR190" i="40"/>
  <c r="DQ190" i="40"/>
  <c r="DO190" i="40"/>
  <c r="DP190" i="40"/>
  <c r="DN190" i="40"/>
  <c r="DK190" i="40"/>
  <c r="DL190" i="40"/>
  <c r="DY129" i="40"/>
  <c r="DJ129" i="40"/>
  <c r="DR129" i="40"/>
  <c r="DQ129" i="40"/>
  <c r="DP129" i="40"/>
  <c r="DO129" i="40"/>
  <c r="DN129" i="40"/>
  <c r="DK129" i="40"/>
  <c r="DM129" i="40"/>
  <c r="DL129" i="40"/>
  <c r="DY56" i="40"/>
  <c r="DJ56" i="40"/>
  <c r="DR56" i="40"/>
  <c r="DQ56" i="40"/>
  <c r="DP56" i="40"/>
  <c r="DO56" i="40"/>
  <c r="DN56" i="40"/>
  <c r="DM56" i="40"/>
  <c r="DK56" i="40"/>
  <c r="DL56" i="40"/>
  <c r="DY395" i="40"/>
  <c r="DJ395" i="40"/>
  <c r="DR395" i="40"/>
  <c r="DQ395" i="40"/>
  <c r="DP395" i="40"/>
  <c r="DO395" i="40"/>
  <c r="DN395" i="40"/>
  <c r="DL395" i="40"/>
  <c r="DM395" i="40"/>
  <c r="DK395" i="40"/>
  <c r="DY344" i="40"/>
  <c r="DJ344" i="40"/>
  <c r="DQ344" i="40"/>
  <c r="DP344" i="40"/>
  <c r="DO344" i="40"/>
  <c r="DN344" i="40"/>
  <c r="DM344" i="40"/>
  <c r="DL344" i="40"/>
  <c r="DK344" i="40"/>
  <c r="DY322" i="40"/>
  <c r="DJ322" i="40"/>
  <c r="DR322" i="40"/>
  <c r="DP322" i="40"/>
  <c r="DO322" i="40"/>
  <c r="DM322" i="40"/>
  <c r="DL322" i="40"/>
  <c r="DN322" i="40"/>
  <c r="DK322" i="40"/>
  <c r="DY264" i="40"/>
  <c r="DR264" i="40"/>
  <c r="DQ264" i="40"/>
  <c r="DP264" i="40"/>
  <c r="DM264" i="40"/>
  <c r="DN264" i="40"/>
  <c r="DO264" i="40"/>
  <c r="DL264" i="40"/>
  <c r="DK264" i="40"/>
  <c r="DJ264" i="40"/>
  <c r="DY203" i="40"/>
  <c r="DJ203" i="40"/>
  <c r="DR203" i="40"/>
  <c r="DQ203" i="40"/>
  <c r="DP203" i="40"/>
  <c r="DO203" i="40"/>
  <c r="DN203" i="40"/>
  <c r="DM203" i="40"/>
  <c r="DL203" i="40"/>
  <c r="DY91" i="40"/>
  <c r="DJ91" i="40"/>
  <c r="DR91" i="40"/>
  <c r="DQ91" i="40"/>
  <c r="DP91" i="40"/>
  <c r="DO91" i="40"/>
  <c r="DN91" i="40"/>
  <c r="DM91" i="40"/>
  <c r="DK91" i="40"/>
  <c r="DY46" i="40"/>
  <c r="DJ46" i="40"/>
  <c r="DR46" i="40"/>
  <c r="DP46" i="40"/>
  <c r="DQ46" i="40"/>
  <c r="DM46" i="40"/>
  <c r="DO46" i="40"/>
  <c r="DN46" i="40"/>
  <c r="DK46" i="40"/>
  <c r="DL46" i="40"/>
  <c r="DY147" i="40"/>
  <c r="DR147" i="40"/>
  <c r="DQ147" i="40"/>
  <c r="DP147" i="40"/>
  <c r="DO147" i="40"/>
  <c r="DM147" i="40"/>
  <c r="DN147" i="40"/>
  <c r="DL147" i="40"/>
  <c r="DK147" i="40"/>
  <c r="DJ147" i="40"/>
  <c r="DY202" i="40"/>
  <c r="DR202" i="40"/>
  <c r="DQ202" i="40"/>
  <c r="DP202" i="40"/>
  <c r="DO202" i="40"/>
  <c r="DM202" i="40"/>
  <c r="DN202" i="40"/>
  <c r="DK202" i="40"/>
  <c r="DL202" i="40"/>
  <c r="DJ202" i="40"/>
  <c r="DY245" i="40"/>
  <c r="DJ245" i="40"/>
  <c r="DR245" i="40"/>
  <c r="DQ245" i="40"/>
  <c r="DP245" i="40"/>
  <c r="DO245" i="40"/>
  <c r="DN245" i="40"/>
  <c r="DM245" i="40"/>
  <c r="DK245" i="40"/>
  <c r="DL245" i="40"/>
  <c r="DJ207" i="40"/>
  <c r="DY207" i="40"/>
  <c r="DR207" i="40"/>
  <c r="DQ207" i="40"/>
  <c r="DP207" i="40"/>
  <c r="DO207" i="40"/>
  <c r="DN207" i="40"/>
  <c r="DM207" i="40"/>
  <c r="DL207" i="40"/>
  <c r="DK207" i="40"/>
  <c r="DY49" i="40"/>
  <c r="DJ49" i="40"/>
  <c r="DR49" i="40"/>
  <c r="DQ49" i="40"/>
  <c r="DP49" i="40"/>
  <c r="DO49" i="40"/>
  <c r="DN49" i="40"/>
  <c r="DL49" i="40"/>
  <c r="DM49" i="40"/>
  <c r="DK49" i="40"/>
  <c r="DY235" i="40"/>
  <c r="DR235" i="40"/>
  <c r="DQ235" i="40"/>
  <c r="DP235" i="40"/>
  <c r="DO235" i="40"/>
  <c r="DN235" i="40"/>
  <c r="DM235" i="40"/>
  <c r="DK235" i="40"/>
  <c r="DJ235" i="40"/>
  <c r="DL235" i="40"/>
  <c r="DY196" i="40"/>
  <c r="DJ196" i="40"/>
  <c r="DR196" i="40"/>
  <c r="DP196" i="40"/>
  <c r="DQ196" i="40"/>
  <c r="DO196" i="40"/>
  <c r="DM196" i="40"/>
  <c r="DL196" i="40"/>
  <c r="DK196" i="40"/>
  <c r="DY355" i="40"/>
  <c r="DJ355" i="40"/>
  <c r="DR355" i="40"/>
  <c r="DQ355" i="40"/>
  <c r="DP355" i="40"/>
  <c r="DO355" i="40"/>
  <c r="DM355" i="40"/>
  <c r="DN355" i="40"/>
  <c r="DK355" i="40"/>
  <c r="DJ115" i="40"/>
  <c r="DY115" i="40"/>
  <c r="DR115" i="40"/>
  <c r="DP115" i="40"/>
  <c r="DO115" i="40"/>
  <c r="DN115" i="40"/>
  <c r="DM115" i="40"/>
  <c r="DL115" i="40"/>
  <c r="DK115" i="40"/>
  <c r="DY397" i="40"/>
  <c r="DJ397" i="40"/>
  <c r="DR397" i="40"/>
  <c r="DQ397" i="40"/>
  <c r="DP397" i="40"/>
  <c r="DN397" i="40"/>
  <c r="DO397" i="40"/>
  <c r="DM397" i="40"/>
  <c r="DL397" i="40"/>
  <c r="DK397" i="40"/>
  <c r="DY278" i="40"/>
  <c r="DJ278" i="40"/>
  <c r="DR278" i="40"/>
  <c r="DQ278" i="40"/>
  <c r="DO278" i="40"/>
  <c r="DM278" i="40"/>
  <c r="DL278" i="40"/>
  <c r="DN278" i="40"/>
  <c r="DK278" i="40"/>
  <c r="DY40" i="40"/>
  <c r="DJ40" i="40"/>
  <c r="DR40" i="40"/>
  <c r="DQ40" i="40"/>
  <c r="DP40" i="40"/>
  <c r="DO40" i="40"/>
  <c r="DN40" i="40"/>
  <c r="DL40" i="40"/>
  <c r="DM40" i="40"/>
  <c r="DK40" i="40"/>
  <c r="DY48" i="40"/>
  <c r="DJ48" i="40"/>
  <c r="DR48" i="40"/>
  <c r="DQ48" i="40"/>
  <c r="DP48" i="40"/>
  <c r="DN48" i="40"/>
  <c r="DO48" i="40"/>
  <c r="DM48" i="40"/>
  <c r="DL48" i="40"/>
  <c r="DK48" i="40"/>
  <c r="DY161" i="40"/>
  <c r="DJ161" i="40"/>
  <c r="DR161" i="40"/>
  <c r="DQ161" i="40"/>
  <c r="DP161" i="40"/>
  <c r="DN161" i="40"/>
  <c r="DO161" i="40"/>
  <c r="DM161" i="40"/>
  <c r="DL161" i="40"/>
  <c r="DK161" i="40"/>
  <c r="DY360" i="40"/>
  <c r="DJ360" i="40"/>
  <c r="DR360" i="40"/>
  <c r="DQ360" i="40"/>
  <c r="DP360" i="40"/>
  <c r="DO360" i="40"/>
  <c r="DN360" i="40"/>
  <c r="DM360" i="40"/>
  <c r="DL360" i="40"/>
  <c r="DK360" i="40"/>
  <c r="DY248" i="40"/>
  <c r="DR248" i="40"/>
  <c r="DQ248" i="40"/>
  <c r="DP248" i="40"/>
  <c r="DO248" i="40"/>
  <c r="DM248" i="40"/>
  <c r="DN248" i="40"/>
  <c r="DL248" i="40"/>
  <c r="DJ248" i="40"/>
  <c r="DY151" i="40"/>
  <c r="DQ151" i="40"/>
  <c r="DP151" i="40"/>
  <c r="DO151" i="40"/>
  <c r="DM151" i="40"/>
  <c r="DN151" i="40"/>
  <c r="DK151" i="40"/>
  <c r="DJ151" i="40"/>
  <c r="DL151" i="40"/>
  <c r="DY5" i="40"/>
  <c r="DJ5" i="40"/>
  <c r="DR5" i="40"/>
  <c r="DQ5" i="40"/>
  <c r="DP5" i="40"/>
  <c r="DM5" i="40"/>
  <c r="DO5" i="40"/>
  <c r="DN5" i="40"/>
  <c r="DL5" i="40"/>
  <c r="DK5" i="40"/>
  <c r="DY385" i="40"/>
  <c r="DJ385" i="40"/>
  <c r="DR385" i="40"/>
  <c r="DQ385" i="40"/>
  <c r="DP385" i="40"/>
  <c r="DM385" i="40"/>
  <c r="DN385" i="40"/>
  <c r="DL385" i="40"/>
  <c r="DK385" i="40"/>
  <c r="DY305" i="40"/>
  <c r="DR305" i="40"/>
  <c r="DJ305" i="40"/>
  <c r="DQ305" i="40"/>
  <c r="DP305" i="40"/>
  <c r="DN305" i="40"/>
  <c r="DM305" i="40"/>
  <c r="DO305" i="40"/>
  <c r="DK305" i="40"/>
  <c r="DY132" i="40"/>
  <c r="DJ132" i="40"/>
  <c r="DR132" i="40"/>
  <c r="DP132" i="40"/>
  <c r="DO132" i="40"/>
  <c r="DN132" i="40"/>
  <c r="DL132" i="40"/>
  <c r="DM132" i="40"/>
  <c r="DK132" i="40"/>
  <c r="DY226" i="40"/>
  <c r="DR226" i="40"/>
  <c r="DQ226" i="40"/>
  <c r="DP226" i="40"/>
  <c r="DN226" i="40"/>
  <c r="DO226" i="40"/>
  <c r="DM226" i="40"/>
  <c r="DL226" i="40"/>
  <c r="DK226" i="40"/>
  <c r="DJ226" i="40"/>
  <c r="DY334" i="40"/>
  <c r="DR334" i="40"/>
  <c r="DQ334" i="40"/>
  <c r="DP334" i="40"/>
  <c r="DO334" i="40"/>
  <c r="DM334" i="40"/>
  <c r="DN334" i="40"/>
  <c r="DK334" i="40"/>
  <c r="DL334" i="40"/>
  <c r="DY94" i="40"/>
  <c r="DJ94" i="40"/>
  <c r="DR94" i="40"/>
  <c r="DQ94" i="40"/>
  <c r="DO94" i="40"/>
  <c r="DP94" i="40"/>
  <c r="DN94" i="40"/>
  <c r="DM94" i="40"/>
  <c r="DL94" i="40"/>
  <c r="DK94" i="40"/>
  <c r="DY65" i="40"/>
  <c r="DJ65" i="40"/>
  <c r="DR65" i="40"/>
  <c r="DQ65" i="40"/>
  <c r="DP65" i="40"/>
  <c r="DO65" i="40"/>
  <c r="DN65" i="40"/>
  <c r="DM65" i="40"/>
  <c r="DK65" i="40"/>
  <c r="DY269" i="40"/>
  <c r="DR269" i="40"/>
  <c r="DQ269" i="40"/>
  <c r="DP269" i="40"/>
  <c r="DM269" i="40"/>
  <c r="DO269" i="40"/>
  <c r="DN269" i="40"/>
  <c r="DK269" i="40"/>
  <c r="DJ269" i="40"/>
  <c r="DY141" i="40"/>
  <c r="DR141" i="40"/>
  <c r="DQ141" i="40"/>
  <c r="DO141" i="40"/>
  <c r="DN141" i="40"/>
  <c r="DL141" i="40"/>
  <c r="DM141" i="40"/>
  <c r="DJ141" i="40"/>
  <c r="DK141" i="40"/>
  <c r="DY341" i="40"/>
  <c r="DP341" i="40"/>
  <c r="DQ341" i="40"/>
  <c r="DO341" i="40"/>
  <c r="DN341" i="40"/>
  <c r="DM341" i="40"/>
  <c r="DK341" i="40"/>
  <c r="DL341" i="40"/>
  <c r="DJ341" i="40"/>
  <c r="DY104" i="40"/>
  <c r="DJ104" i="40"/>
  <c r="DR104" i="40"/>
  <c r="DQ104" i="40"/>
  <c r="DP104" i="40"/>
  <c r="DO104" i="40"/>
  <c r="DN104" i="40"/>
  <c r="DM104" i="40"/>
  <c r="DK104" i="40"/>
  <c r="DY289" i="40"/>
  <c r="DJ289" i="40"/>
  <c r="DR289" i="40"/>
  <c r="DQ289" i="40"/>
  <c r="DP289" i="40"/>
  <c r="DO289" i="40"/>
  <c r="DM289" i="40"/>
  <c r="DK289" i="40"/>
  <c r="DL289" i="40"/>
  <c r="DY371" i="40"/>
  <c r="DJ371" i="40"/>
  <c r="DR371" i="40"/>
  <c r="DQ371" i="40"/>
  <c r="DO371" i="40"/>
  <c r="DP371" i="40"/>
  <c r="DM371" i="40"/>
  <c r="DN371" i="40"/>
  <c r="DL371" i="40"/>
  <c r="DK371" i="40"/>
  <c r="DY273" i="40"/>
  <c r="DJ273" i="40"/>
  <c r="DR273" i="40"/>
  <c r="DQ273" i="40"/>
  <c r="DP273" i="40"/>
  <c r="DM273" i="40"/>
  <c r="DN273" i="40"/>
  <c r="DO273" i="40"/>
  <c r="DK273" i="40"/>
  <c r="DL273" i="40"/>
  <c r="DY231" i="40"/>
  <c r="DR231" i="40"/>
  <c r="DQ231" i="40"/>
  <c r="DP231" i="40"/>
  <c r="DO231" i="40"/>
  <c r="DN231" i="40"/>
  <c r="DL231" i="40"/>
  <c r="DM231" i="40"/>
  <c r="DK231" i="40"/>
  <c r="DJ231" i="40"/>
  <c r="DJ111" i="40"/>
  <c r="DY111" i="40"/>
  <c r="DR111" i="40"/>
  <c r="DP111" i="40"/>
  <c r="DQ111" i="40"/>
  <c r="DO111" i="40"/>
  <c r="DN111" i="40"/>
  <c r="DM111" i="40"/>
  <c r="DL111" i="40"/>
  <c r="DK111" i="40"/>
  <c r="DY32" i="40"/>
  <c r="DJ32" i="40"/>
  <c r="DQ32" i="40"/>
  <c r="DP32" i="40"/>
  <c r="DR32" i="40"/>
  <c r="DO32" i="40"/>
  <c r="DN32" i="40"/>
  <c r="DL32" i="40"/>
  <c r="DM32" i="40"/>
  <c r="DK32" i="40"/>
  <c r="DY185" i="40"/>
  <c r="DR185" i="40"/>
  <c r="DQ185" i="40"/>
  <c r="DP185" i="40"/>
  <c r="DO185" i="40"/>
  <c r="DN185" i="40"/>
  <c r="DM185" i="40"/>
  <c r="DL185" i="40"/>
  <c r="DJ185" i="40"/>
  <c r="DY130" i="40"/>
  <c r="DR130" i="40"/>
  <c r="DQ130" i="40"/>
  <c r="DP130" i="40"/>
  <c r="DO130" i="40"/>
  <c r="DM130" i="40"/>
  <c r="DN130" i="40"/>
  <c r="DL130" i="40"/>
  <c r="DK130" i="40"/>
  <c r="DJ130" i="40"/>
  <c r="DY6" i="40"/>
  <c r="DJ6" i="40"/>
  <c r="DR6" i="40"/>
  <c r="DQ6" i="40"/>
  <c r="DP6" i="40"/>
  <c r="DO6" i="40"/>
  <c r="DN6" i="40"/>
  <c r="DM6" i="40"/>
  <c r="DL6" i="40"/>
  <c r="DK6" i="40"/>
  <c r="DY345" i="40"/>
  <c r="DJ345" i="40"/>
  <c r="DR345" i="40"/>
  <c r="DQ345" i="40"/>
  <c r="DP345" i="40"/>
  <c r="DO345" i="40"/>
  <c r="DN345" i="40"/>
  <c r="DM345" i="40"/>
  <c r="DK345" i="40"/>
  <c r="DL345" i="40"/>
  <c r="DY257" i="40"/>
  <c r="DJ257" i="40"/>
  <c r="DR257" i="40"/>
  <c r="DQ257" i="40"/>
  <c r="DP257" i="40"/>
  <c r="DN257" i="40"/>
  <c r="DO257" i="40"/>
  <c r="DM257" i="40"/>
  <c r="DL257" i="40"/>
  <c r="DK257" i="40"/>
  <c r="DY125" i="40"/>
  <c r="DR125" i="40"/>
  <c r="DP125" i="40"/>
  <c r="DQ125" i="40"/>
  <c r="DO125" i="40"/>
  <c r="DN125" i="40"/>
  <c r="DK125" i="40"/>
  <c r="DM125" i="40"/>
  <c r="DJ125" i="40"/>
  <c r="DL125" i="40"/>
  <c r="DY69" i="40"/>
  <c r="DJ69" i="40"/>
  <c r="DR69" i="40"/>
  <c r="DQ69" i="40"/>
  <c r="DP69" i="40"/>
  <c r="DM69" i="40"/>
  <c r="DN69" i="40"/>
  <c r="DL69" i="40"/>
  <c r="DK69" i="40"/>
  <c r="DY373" i="40"/>
  <c r="DJ373" i="40"/>
  <c r="DR373" i="40"/>
  <c r="DQ373" i="40"/>
  <c r="DP373" i="40"/>
  <c r="DO373" i="40"/>
  <c r="DL373" i="40"/>
  <c r="DM373" i="40"/>
  <c r="DK373" i="40"/>
  <c r="DY340" i="40"/>
  <c r="DJ340" i="40"/>
  <c r="DR340" i="40"/>
  <c r="DQ340" i="40"/>
  <c r="DO340" i="40"/>
  <c r="DP340" i="40"/>
  <c r="DN340" i="40"/>
  <c r="DM340" i="40"/>
  <c r="DL340" i="40"/>
  <c r="DK340" i="40"/>
  <c r="DY302" i="40"/>
  <c r="DR302" i="40"/>
  <c r="DQ302" i="40"/>
  <c r="DO302" i="40"/>
  <c r="DP302" i="40"/>
  <c r="DN302" i="40"/>
  <c r="DM302" i="40"/>
  <c r="DL302" i="40"/>
  <c r="DK302" i="40"/>
  <c r="DJ302" i="40"/>
  <c r="DY283" i="40"/>
  <c r="DJ283" i="40"/>
  <c r="DR283" i="40"/>
  <c r="DQ283" i="40"/>
  <c r="DN283" i="40"/>
  <c r="DO283" i="40"/>
  <c r="DM283" i="40"/>
  <c r="DL283" i="40"/>
  <c r="DK283" i="40"/>
  <c r="DY242" i="40"/>
  <c r="DR242" i="40"/>
  <c r="DQ242" i="40"/>
  <c r="DP242" i="40"/>
  <c r="DN242" i="40"/>
  <c r="DL242" i="40"/>
  <c r="DM242" i="40"/>
  <c r="DK242" i="40"/>
  <c r="DJ242" i="40"/>
  <c r="DY169" i="40"/>
  <c r="DJ169" i="40"/>
  <c r="DR169" i="40"/>
  <c r="DP169" i="40"/>
  <c r="DQ169" i="40"/>
  <c r="DO169" i="40"/>
  <c r="DN169" i="40"/>
  <c r="DM169" i="40"/>
  <c r="DL169" i="40"/>
  <c r="DK169" i="40"/>
  <c r="DY160" i="40"/>
  <c r="DJ160" i="40"/>
  <c r="DR160" i="40"/>
  <c r="DQ160" i="40"/>
  <c r="DP160" i="40"/>
  <c r="DO160" i="40"/>
  <c r="DN160" i="40"/>
  <c r="DM160" i="40"/>
  <c r="DK160" i="40"/>
  <c r="DL160" i="40"/>
  <c r="DY148" i="40"/>
  <c r="DR148" i="40"/>
  <c r="DP148" i="40"/>
  <c r="DQ148" i="40"/>
  <c r="DO148" i="40"/>
  <c r="DN148" i="40"/>
  <c r="DK148" i="40"/>
  <c r="DL148" i="40"/>
  <c r="DM148" i="40"/>
  <c r="DY109" i="40"/>
  <c r="DJ109" i="40"/>
  <c r="DR109" i="40"/>
  <c r="DQ109" i="40"/>
  <c r="DP109" i="40"/>
  <c r="DO109" i="40"/>
  <c r="DN109" i="40"/>
  <c r="DL109" i="40"/>
  <c r="DK109" i="40"/>
  <c r="DY73" i="40"/>
  <c r="DJ73" i="40"/>
  <c r="DR73" i="40"/>
  <c r="DQ73" i="40"/>
  <c r="DP73" i="40"/>
  <c r="DM73" i="40"/>
  <c r="DO73" i="40"/>
  <c r="DN73" i="40"/>
  <c r="DK73" i="40"/>
  <c r="DL73" i="40"/>
  <c r="DY47" i="40"/>
  <c r="DR47" i="40"/>
  <c r="DQ47" i="40"/>
  <c r="DP47" i="40"/>
  <c r="DO47" i="40"/>
  <c r="DK47" i="40"/>
  <c r="DN47" i="40"/>
  <c r="DM47" i="40"/>
  <c r="DL47" i="40"/>
  <c r="DY346" i="40"/>
  <c r="DR346" i="40"/>
  <c r="DQ346" i="40"/>
  <c r="DP346" i="40"/>
  <c r="DO346" i="40"/>
  <c r="DM346" i="40"/>
  <c r="DN346" i="40"/>
  <c r="DL346" i="40"/>
  <c r="DK346" i="40"/>
  <c r="DJ346" i="40"/>
  <c r="DY406" i="40"/>
  <c r="DR406" i="40"/>
  <c r="DQ406" i="40"/>
  <c r="DP406" i="40"/>
  <c r="DO406" i="40"/>
  <c r="DL406" i="40"/>
  <c r="DN406" i="40"/>
  <c r="DK406" i="40"/>
  <c r="DJ406" i="40"/>
  <c r="DY391" i="40"/>
  <c r="DJ391" i="40"/>
  <c r="DR391" i="40"/>
  <c r="DQ391" i="40"/>
  <c r="DP391" i="40"/>
  <c r="DO391" i="40"/>
  <c r="DN391" i="40"/>
  <c r="DL391" i="40"/>
  <c r="DM391" i="40"/>
  <c r="DK391" i="40"/>
  <c r="DY382" i="40"/>
  <c r="DR382" i="40"/>
  <c r="DQ382" i="40"/>
  <c r="DP382" i="40"/>
  <c r="DO382" i="40"/>
  <c r="DN382" i="40"/>
  <c r="DL382" i="40"/>
  <c r="DM382" i="40"/>
  <c r="DK382" i="40"/>
  <c r="DY364" i="40"/>
  <c r="DR364" i="40"/>
  <c r="DJ364" i="40"/>
  <c r="DQ364" i="40"/>
  <c r="DP364" i="40"/>
  <c r="DN364" i="40"/>
  <c r="DO364" i="40"/>
  <c r="DM364" i="40"/>
  <c r="DL364" i="40"/>
  <c r="DK364" i="40"/>
  <c r="DY343" i="40"/>
  <c r="DR343" i="40"/>
  <c r="DJ343" i="40"/>
  <c r="DQ343" i="40"/>
  <c r="DP343" i="40"/>
  <c r="DN343" i="40"/>
  <c r="DO343" i="40"/>
  <c r="DM343" i="40"/>
  <c r="DL343" i="40"/>
  <c r="DK343" i="40"/>
  <c r="DY316" i="40"/>
  <c r="DJ316" i="40"/>
  <c r="DR316" i="40"/>
  <c r="DQ316" i="40"/>
  <c r="DP316" i="40"/>
  <c r="DN316" i="40"/>
  <c r="DO316" i="40"/>
  <c r="DM316" i="40"/>
  <c r="DL316" i="40"/>
  <c r="DK316" i="40"/>
  <c r="DY291" i="40"/>
  <c r="DR291" i="40"/>
  <c r="DQ291" i="40"/>
  <c r="DP291" i="40"/>
  <c r="DN291" i="40"/>
  <c r="DO291" i="40"/>
  <c r="DM291" i="40"/>
  <c r="DK291" i="40"/>
  <c r="DJ291" i="40"/>
  <c r="DL291" i="40"/>
  <c r="DY232" i="40"/>
  <c r="DR232" i="40"/>
  <c r="DQ232" i="40"/>
  <c r="DO232" i="40"/>
  <c r="DM232" i="40"/>
  <c r="DN232" i="40"/>
  <c r="DL232" i="40"/>
  <c r="DJ232" i="40"/>
  <c r="DK232" i="40"/>
  <c r="DY193" i="40"/>
  <c r="DQ193" i="40"/>
  <c r="DR193" i="40"/>
  <c r="DO193" i="40"/>
  <c r="DP193" i="40"/>
  <c r="DN193" i="40"/>
  <c r="DM193" i="40"/>
  <c r="DL193" i="40"/>
  <c r="DJ193" i="40"/>
  <c r="DK193" i="40"/>
  <c r="DJ63" i="40"/>
  <c r="DY63" i="40"/>
  <c r="DR63" i="40"/>
  <c r="DQ63" i="40"/>
  <c r="DP63" i="40"/>
  <c r="DO63" i="40"/>
  <c r="DN63" i="40"/>
  <c r="DK63" i="40"/>
  <c r="DM63" i="40"/>
  <c r="DL63" i="40"/>
  <c r="DY41" i="40"/>
  <c r="DR41" i="40"/>
  <c r="DQ41" i="40"/>
  <c r="DP41" i="40"/>
  <c r="DO41" i="40"/>
  <c r="DN41" i="40"/>
  <c r="DM41" i="40"/>
  <c r="DK41" i="40"/>
  <c r="DL41" i="40"/>
  <c r="DJ41" i="40"/>
  <c r="DY386" i="40"/>
  <c r="DR386" i="40"/>
  <c r="DQ386" i="40"/>
  <c r="DP386" i="40"/>
  <c r="DN386" i="40"/>
  <c r="DL386" i="40"/>
  <c r="DM386" i="40"/>
  <c r="DK386" i="40"/>
  <c r="DJ386" i="40"/>
  <c r="DY119" i="40"/>
  <c r="DJ119" i="40"/>
  <c r="DR119" i="40"/>
  <c r="DQ119" i="40"/>
  <c r="DP119" i="40"/>
  <c r="DO119" i="40"/>
  <c r="DM119" i="40"/>
  <c r="DN119" i="40"/>
  <c r="DL119" i="40"/>
  <c r="DK119" i="40"/>
  <c r="DY155" i="40"/>
  <c r="DR155" i="40"/>
  <c r="DQ155" i="40"/>
  <c r="DO155" i="40"/>
  <c r="DP155" i="40"/>
  <c r="DN155" i="40"/>
  <c r="DM155" i="40"/>
  <c r="DK155" i="40"/>
  <c r="DJ155" i="40"/>
  <c r="DL155" i="40"/>
  <c r="DY350" i="40"/>
  <c r="DR350" i="40"/>
  <c r="DQ350" i="40"/>
  <c r="DP350" i="40"/>
  <c r="DN350" i="40"/>
  <c r="DO350" i="40"/>
  <c r="DM350" i="40"/>
  <c r="DL350" i="40"/>
  <c r="DK350" i="40"/>
  <c r="DJ350" i="40"/>
  <c r="DY168" i="40"/>
  <c r="DR168" i="40"/>
  <c r="DQ168" i="40"/>
  <c r="DP168" i="40"/>
  <c r="DO168" i="40"/>
  <c r="DL168" i="40"/>
  <c r="DK168" i="40"/>
  <c r="DM168" i="40"/>
  <c r="DN168" i="40"/>
  <c r="DJ168" i="40"/>
  <c r="DY383" i="40"/>
  <c r="DR383" i="40"/>
  <c r="DQ383" i="40"/>
  <c r="DP383" i="40"/>
  <c r="DO383" i="40"/>
  <c r="DN383" i="40"/>
  <c r="DM383" i="40"/>
  <c r="DK383" i="40"/>
  <c r="DL383" i="40"/>
  <c r="DJ383" i="40"/>
  <c r="DY75" i="40"/>
  <c r="DJ75" i="40"/>
  <c r="DR75" i="40"/>
  <c r="DQ75" i="40"/>
  <c r="DP75" i="40"/>
  <c r="DO75" i="40"/>
  <c r="DK75" i="40"/>
  <c r="DM75" i="40"/>
  <c r="DN75" i="40"/>
  <c r="DL75" i="40"/>
  <c r="DY241" i="40"/>
  <c r="DJ241" i="40"/>
  <c r="DR241" i="40"/>
  <c r="DQ241" i="40"/>
  <c r="DO241" i="40"/>
  <c r="DP241" i="40"/>
  <c r="DM241" i="40"/>
  <c r="DN241" i="40"/>
  <c r="DK241" i="40"/>
  <c r="DL241" i="40"/>
  <c r="DY76" i="40"/>
  <c r="DJ76" i="40"/>
  <c r="DQ76" i="40"/>
  <c r="DR76" i="40"/>
  <c r="DP76" i="40"/>
  <c r="DO76" i="40"/>
  <c r="DN76" i="40"/>
  <c r="DM76" i="40"/>
  <c r="DL76" i="40"/>
  <c r="DK76" i="40"/>
  <c r="DY320" i="40"/>
  <c r="DJ320" i="40"/>
  <c r="DR320" i="40"/>
  <c r="DQ320" i="40"/>
  <c r="DP320" i="40"/>
  <c r="DO320" i="40"/>
  <c r="DN320" i="40"/>
  <c r="DM320" i="40"/>
  <c r="DL320" i="40"/>
  <c r="DK320" i="40"/>
  <c r="DY197" i="40"/>
  <c r="DR197" i="40"/>
  <c r="DQ197" i="40"/>
  <c r="DP197" i="40"/>
  <c r="DO197" i="40"/>
  <c r="DM197" i="40"/>
  <c r="DN197" i="40"/>
  <c r="DK197" i="40"/>
  <c r="DL197" i="40"/>
  <c r="DJ197" i="40"/>
  <c r="DY210" i="40"/>
  <c r="DR210" i="40"/>
  <c r="DQ210" i="40"/>
  <c r="DP210" i="40"/>
  <c r="DO210" i="40"/>
  <c r="DN210" i="40"/>
  <c r="DL210" i="40"/>
  <c r="DM210" i="40"/>
  <c r="DK210" i="40"/>
  <c r="DJ210" i="40"/>
  <c r="DY92" i="40"/>
  <c r="DR92" i="40"/>
  <c r="DP92" i="40"/>
  <c r="DQ92" i="40"/>
  <c r="DO92" i="40"/>
  <c r="DN92" i="40"/>
  <c r="DK92" i="40"/>
  <c r="DM92" i="40"/>
  <c r="DL92" i="40"/>
  <c r="DJ92" i="40"/>
  <c r="DY297" i="40"/>
  <c r="DR297" i="40"/>
  <c r="DP297" i="40"/>
  <c r="DO297" i="40"/>
  <c r="DQ297" i="40"/>
  <c r="DM297" i="40"/>
  <c r="DN297" i="40"/>
  <c r="DL297" i="40"/>
  <c r="DJ297" i="40"/>
  <c r="DK297" i="40"/>
  <c r="DY216" i="40"/>
  <c r="DR216" i="40"/>
  <c r="DQ216" i="40"/>
  <c r="DP216" i="40"/>
  <c r="DO216" i="40"/>
  <c r="DN216" i="40"/>
  <c r="DM216" i="40"/>
  <c r="DL216" i="40"/>
  <c r="DK216" i="40"/>
  <c r="DJ216" i="40"/>
  <c r="DY39" i="40"/>
  <c r="DJ39" i="40"/>
  <c r="DR39" i="40"/>
  <c r="DQ39" i="40"/>
  <c r="DP39" i="40"/>
  <c r="DO39" i="40"/>
  <c r="DN39" i="40"/>
  <c r="DM39" i="40"/>
  <c r="DK39" i="40"/>
  <c r="DL39" i="40"/>
  <c r="DJ3" i="40"/>
  <c r="DY3" i="40"/>
  <c r="DZ3" i="40" s="1"/>
  <c r="DR3" i="40"/>
  <c r="DQ3" i="40"/>
  <c r="DP3" i="40"/>
  <c r="DO3" i="40"/>
  <c r="DM3" i="40"/>
  <c r="DN3" i="40"/>
  <c r="DL3" i="40"/>
  <c r="DK3" i="40"/>
  <c r="DY20" i="40"/>
  <c r="DJ20" i="40"/>
  <c r="DR20" i="40"/>
  <c r="DQ20" i="40"/>
  <c r="DO20" i="40"/>
  <c r="DP20" i="40"/>
  <c r="DM20" i="40"/>
  <c r="DN20" i="40"/>
  <c r="DL20" i="40"/>
  <c r="DK20" i="40"/>
  <c r="DY82" i="40"/>
  <c r="DR82" i="40"/>
  <c r="DQ82" i="40"/>
  <c r="DP82" i="40"/>
  <c r="DO82" i="40"/>
  <c r="DM82" i="40"/>
  <c r="DN82" i="40"/>
  <c r="DL82" i="40"/>
  <c r="DK82" i="40"/>
  <c r="DY177" i="40"/>
  <c r="DJ177" i="40"/>
  <c r="DR177" i="40"/>
  <c r="DQ177" i="40"/>
  <c r="DP177" i="40"/>
  <c r="DN177" i="40"/>
  <c r="DL177" i="40"/>
  <c r="DK177" i="40"/>
  <c r="DM177" i="40"/>
  <c r="DY301" i="40"/>
  <c r="DJ301" i="40"/>
  <c r="DR301" i="40"/>
  <c r="DQ301" i="40"/>
  <c r="DP301" i="40"/>
  <c r="DO301" i="40"/>
  <c r="DM301" i="40"/>
  <c r="DN301" i="40"/>
  <c r="DK301" i="40"/>
  <c r="DL301" i="40"/>
  <c r="DY54" i="40"/>
  <c r="DR54" i="40"/>
  <c r="DP54" i="40"/>
  <c r="DQ54" i="40"/>
  <c r="DM54" i="40"/>
  <c r="DO54" i="40"/>
  <c r="DN54" i="40"/>
  <c r="DK54" i="40"/>
  <c r="DL54" i="40"/>
  <c r="DJ54" i="40"/>
  <c r="DY80" i="40"/>
  <c r="DJ80" i="40"/>
  <c r="DR80" i="40"/>
  <c r="DP80" i="40"/>
  <c r="DQ80" i="40"/>
  <c r="DO80" i="40"/>
  <c r="DN80" i="40"/>
  <c r="DM80" i="40"/>
  <c r="DL80" i="40"/>
  <c r="DK80" i="40"/>
  <c r="DY342" i="40"/>
  <c r="DR342" i="40"/>
  <c r="DO342" i="40"/>
  <c r="DQ342" i="40"/>
  <c r="DP342" i="40"/>
  <c r="DM342" i="40"/>
  <c r="DN342" i="40"/>
  <c r="DL342" i="40"/>
  <c r="DK342" i="40"/>
  <c r="DJ342" i="40"/>
  <c r="DY233" i="40"/>
  <c r="DJ233" i="40"/>
  <c r="DR233" i="40"/>
  <c r="DP233" i="40"/>
  <c r="DO233" i="40"/>
  <c r="DQ233" i="40"/>
  <c r="DN233" i="40"/>
  <c r="DL233" i="40"/>
  <c r="DK233" i="40"/>
  <c r="DM233" i="40"/>
  <c r="DY97" i="40"/>
  <c r="DR97" i="40"/>
  <c r="DQ97" i="40"/>
  <c r="DP97" i="40"/>
  <c r="DO97" i="40"/>
  <c r="DM97" i="40"/>
  <c r="DN97" i="40"/>
  <c r="DL97" i="40"/>
  <c r="DK97" i="40"/>
  <c r="DY178" i="40"/>
  <c r="DR178" i="40"/>
  <c r="DQ178" i="40"/>
  <c r="DP178" i="40"/>
  <c r="DN178" i="40"/>
  <c r="DO178" i="40"/>
  <c r="DM178" i="40"/>
  <c r="DL178" i="40"/>
  <c r="DK178" i="40"/>
  <c r="DY16" i="40"/>
  <c r="DJ16" i="40"/>
  <c r="DR16" i="40"/>
  <c r="DP16" i="40"/>
  <c r="DQ16" i="40"/>
  <c r="DO16" i="40"/>
  <c r="DN16" i="40"/>
  <c r="DL16" i="40"/>
  <c r="DM16" i="40"/>
  <c r="DK16" i="40"/>
  <c r="DY321" i="40"/>
  <c r="DR321" i="40"/>
  <c r="DQ321" i="40"/>
  <c r="DP321" i="40"/>
  <c r="DN321" i="40"/>
  <c r="DM321" i="40"/>
  <c r="DK321" i="40"/>
  <c r="DL321" i="40"/>
  <c r="DJ321" i="40"/>
  <c r="DY131" i="40"/>
  <c r="DR131" i="40"/>
  <c r="DQ131" i="40"/>
  <c r="DP131" i="40"/>
  <c r="DO131" i="40"/>
  <c r="DN131" i="40"/>
  <c r="DM131" i="40"/>
  <c r="DL131" i="40"/>
  <c r="DK131" i="40"/>
  <c r="DJ131" i="40"/>
  <c r="DY133" i="40"/>
  <c r="DJ133" i="40"/>
  <c r="DR133" i="40"/>
  <c r="DQ133" i="40"/>
  <c r="DP133" i="40"/>
  <c r="DO133" i="40"/>
  <c r="DN133" i="40"/>
  <c r="DK133" i="40"/>
  <c r="DM133" i="40"/>
  <c r="DY270" i="40"/>
  <c r="DJ270" i="40"/>
  <c r="DR270" i="40"/>
  <c r="DQ270" i="40"/>
  <c r="DO270" i="40"/>
  <c r="DP270" i="40"/>
  <c r="DN270" i="40"/>
  <c r="DM270" i="40"/>
  <c r="DL270" i="40"/>
  <c r="DK270" i="40"/>
  <c r="DY377" i="40"/>
  <c r="DR377" i="40"/>
  <c r="DQ377" i="40"/>
  <c r="DP377" i="40"/>
  <c r="DO377" i="40"/>
  <c r="DN377" i="40"/>
  <c r="DL377" i="40"/>
  <c r="DJ377" i="40"/>
  <c r="DK377" i="40"/>
  <c r="DY292" i="40"/>
  <c r="DR292" i="40"/>
  <c r="DQ292" i="40"/>
  <c r="DO292" i="40"/>
  <c r="DP292" i="40"/>
  <c r="DM292" i="40"/>
  <c r="DN292" i="40"/>
  <c r="DK292" i="40"/>
  <c r="DL292" i="40"/>
  <c r="DJ292" i="40"/>
  <c r="DY162" i="40"/>
  <c r="DR162" i="40"/>
  <c r="DQ162" i="40"/>
  <c r="DP162" i="40"/>
  <c r="DO162" i="40"/>
  <c r="DM162" i="40"/>
  <c r="DL162" i="40"/>
  <c r="DN162" i="40"/>
  <c r="DK162" i="40"/>
  <c r="DY81" i="40"/>
  <c r="DJ81" i="40"/>
  <c r="DR81" i="40"/>
  <c r="DQ81" i="40"/>
  <c r="DP81" i="40"/>
  <c r="DO81" i="40"/>
  <c r="DN81" i="40"/>
  <c r="DM81" i="40"/>
  <c r="DK81" i="40"/>
  <c r="DL81" i="40"/>
  <c r="DY58" i="40"/>
  <c r="DR58" i="40"/>
  <c r="DQ58" i="40"/>
  <c r="DP58" i="40"/>
  <c r="DO58" i="40"/>
  <c r="DM58" i="40"/>
  <c r="DN58" i="40"/>
  <c r="DK58" i="40"/>
  <c r="DL58" i="40"/>
  <c r="DJ58" i="40"/>
  <c r="DY372" i="40"/>
  <c r="DR372" i="40"/>
  <c r="DQ372" i="40"/>
  <c r="DP372" i="40"/>
  <c r="DO372" i="40"/>
  <c r="DM372" i="40"/>
  <c r="DN372" i="40"/>
  <c r="DL372" i="40"/>
  <c r="DK372" i="40"/>
  <c r="DJ372" i="40"/>
  <c r="DY396" i="40"/>
  <c r="DR396" i="40"/>
  <c r="DJ396" i="40"/>
  <c r="DQ396" i="40"/>
  <c r="DP396" i="40"/>
  <c r="DO396" i="40"/>
  <c r="DM396" i="40"/>
  <c r="DN396" i="40"/>
  <c r="DL396" i="40"/>
  <c r="DY204" i="40"/>
  <c r="DR204" i="40"/>
  <c r="DQ204" i="40"/>
  <c r="DP204" i="40"/>
  <c r="DN204" i="40"/>
  <c r="DM204" i="40"/>
  <c r="DO204" i="40"/>
  <c r="DK204" i="40"/>
  <c r="DL204" i="40"/>
  <c r="DJ204" i="40"/>
  <c r="DY398" i="40"/>
  <c r="DR398" i="40"/>
  <c r="DQ398" i="40"/>
  <c r="DO398" i="40"/>
  <c r="DP398" i="40"/>
  <c r="DN398" i="40"/>
  <c r="DL398" i="40"/>
  <c r="DM398" i="40"/>
  <c r="DK398" i="40"/>
  <c r="DJ398" i="40"/>
  <c r="DY327" i="40"/>
  <c r="DJ327" i="40"/>
  <c r="DR327" i="40"/>
  <c r="DQ327" i="40"/>
  <c r="DP327" i="40"/>
  <c r="DO327" i="40"/>
  <c r="DN327" i="40"/>
  <c r="DM327" i="40"/>
  <c r="DL327" i="40"/>
  <c r="DK327" i="40"/>
  <c r="DY250" i="40"/>
  <c r="DJ250" i="40"/>
  <c r="DR250" i="40"/>
  <c r="DQ250" i="40"/>
  <c r="DP250" i="40"/>
  <c r="DO250" i="40"/>
  <c r="DM250" i="40"/>
  <c r="DN250" i="40"/>
  <c r="DK250" i="40"/>
  <c r="DL250" i="40"/>
  <c r="DY220" i="40"/>
  <c r="DJ220" i="40"/>
  <c r="DR220" i="40"/>
  <c r="DQ220" i="40"/>
  <c r="DP220" i="40"/>
  <c r="DM220" i="40"/>
  <c r="DO220" i="40"/>
  <c r="DL220" i="40"/>
  <c r="DK220" i="40"/>
  <c r="DY225" i="40"/>
  <c r="DJ225" i="40"/>
  <c r="DR225" i="40"/>
  <c r="DQ225" i="40"/>
  <c r="DO225" i="40"/>
  <c r="DP225" i="40"/>
  <c r="DM225" i="40"/>
  <c r="DN225" i="40"/>
  <c r="DK225" i="40"/>
  <c r="DY77" i="40"/>
  <c r="DJ77" i="40"/>
  <c r="DR77" i="40"/>
  <c r="DQ77" i="40"/>
  <c r="DP77" i="40"/>
  <c r="DO77" i="40"/>
  <c r="DN77" i="40"/>
  <c r="DK77" i="40"/>
  <c r="DL77" i="40"/>
  <c r="DY136" i="40"/>
  <c r="DR136" i="40"/>
  <c r="DQ136" i="40"/>
  <c r="DP136" i="40"/>
  <c r="DN136" i="40"/>
  <c r="DL136" i="40"/>
  <c r="DM136" i="40"/>
  <c r="DK136" i="40"/>
  <c r="DJ136" i="40"/>
  <c r="DY74" i="40"/>
  <c r="DR74" i="40"/>
  <c r="DQ74" i="40"/>
  <c r="DO74" i="40"/>
  <c r="DP74" i="40"/>
  <c r="DM74" i="40"/>
  <c r="DL74" i="40"/>
  <c r="DK74" i="40"/>
  <c r="DJ74" i="40"/>
  <c r="DY394" i="40"/>
  <c r="DR394" i="40"/>
  <c r="DQ394" i="40"/>
  <c r="DP394" i="40"/>
  <c r="DN394" i="40"/>
  <c r="DO394" i="40"/>
  <c r="DM394" i="40"/>
  <c r="DL394" i="40"/>
  <c r="DJ394" i="40"/>
  <c r="DK394" i="40"/>
  <c r="DY312" i="40"/>
  <c r="DJ312" i="40"/>
  <c r="DR312" i="40"/>
  <c r="DQ312" i="40"/>
  <c r="DP312" i="40"/>
  <c r="DM312" i="40"/>
  <c r="DO312" i="40"/>
  <c r="DN312" i="40"/>
  <c r="DL312" i="40"/>
  <c r="DY261" i="40"/>
  <c r="DJ261" i="40"/>
  <c r="DR261" i="40"/>
  <c r="DP261" i="40"/>
  <c r="DQ261" i="40"/>
  <c r="DN261" i="40"/>
  <c r="DO261" i="40"/>
  <c r="DM261" i="40"/>
  <c r="DL261" i="40"/>
  <c r="DK261" i="40"/>
  <c r="DY223" i="40"/>
  <c r="DR223" i="40"/>
  <c r="DQ223" i="40"/>
  <c r="DP223" i="40"/>
  <c r="DO223" i="40"/>
  <c r="DN223" i="40"/>
  <c r="DM223" i="40"/>
  <c r="DL223" i="40"/>
  <c r="DJ223" i="40"/>
  <c r="DK223" i="40"/>
  <c r="DY137" i="40"/>
  <c r="DJ137" i="40"/>
  <c r="DR137" i="40"/>
  <c r="DQ137" i="40"/>
  <c r="DP137" i="40"/>
  <c r="DO137" i="40"/>
  <c r="DN137" i="40"/>
  <c r="DM137" i="40"/>
  <c r="DL137" i="40"/>
  <c r="DY61" i="40"/>
  <c r="DJ61" i="40"/>
  <c r="DQ61" i="40"/>
  <c r="DR61" i="40"/>
  <c r="DP61" i="40"/>
  <c r="DO61" i="40"/>
  <c r="DN61" i="40"/>
  <c r="DL61" i="40"/>
  <c r="DM61" i="40"/>
  <c r="DK61" i="40"/>
  <c r="DY260" i="40"/>
  <c r="DJ260" i="40"/>
  <c r="DR260" i="40"/>
  <c r="DQ260" i="40"/>
  <c r="DP260" i="40"/>
  <c r="DO260" i="40"/>
  <c r="DN260" i="40"/>
  <c r="DM260" i="40"/>
  <c r="DL260" i="40"/>
  <c r="DK260" i="40"/>
  <c r="DY123" i="40"/>
  <c r="DJ123" i="40"/>
  <c r="DR123" i="40"/>
  <c r="DQ123" i="40"/>
  <c r="DP123" i="40"/>
  <c r="DO123" i="40"/>
  <c r="DM123" i="40"/>
  <c r="DL123" i="40"/>
  <c r="DN123" i="40"/>
  <c r="DK123" i="40"/>
  <c r="DY89" i="40"/>
  <c r="DJ89" i="40"/>
  <c r="DR89" i="40"/>
  <c r="DQ89" i="40"/>
  <c r="DP89" i="40"/>
  <c r="DN89" i="40"/>
  <c r="DO89" i="40"/>
  <c r="DL89" i="40"/>
  <c r="DM89" i="40"/>
  <c r="DK89" i="40"/>
  <c r="DJ35" i="40"/>
  <c r="DY35" i="40"/>
  <c r="DR35" i="40"/>
  <c r="DQ35" i="40"/>
  <c r="DP35" i="40"/>
  <c r="DO35" i="40"/>
  <c r="DM35" i="40"/>
  <c r="DK35" i="40"/>
  <c r="DN35" i="40"/>
  <c r="DL35" i="40"/>
  <c r="DY255" i="40"/>
  <c r="DR255" i="40"/>
  <c r="DO255" i="40"/>
  <c r="DQ255" i="40"/>
  <c r="DN255" i="40"/>
  <c r="DM255" i="40"/>
  <c r="DK255" i="40"/>
  <c r="DL255" i="40"/>
  <c r="DJ255" i="40"/>
  <c r="DY390" i="40"/>
  <c r="DR390" i="40"/>
  <c r="DQ390" i="40"/>
  <c r="DP390" i="40"/>
  <c r="DO390" i="40"/>
  <c r="DN390" i="40"/>
  <c r="DL390" i="40"/>
  <c r="DM390" i="40"/>
  <c r="DK390" i="40"/>
  <c r="DJ390" i="40"/>
  <c r="DY366" i="40"/>
  <c r="DR366" i="40"/>
  <c r="DQ366" i="40"/>
  <c r="DO366" i="40"/>
  <c r="DP366" i="40"/>
  <c r="DN366" i="40"/>
  <c r="DL366" i="40"/>
  <c r="DM366" i="40"/>
  <c r="DK366" i="40"/>
  <c r="DY304" i="40"/>
  <c r="DR304" i="40"/>
  <c r="DQ304" i="40"/>
  <c r="DP304" i="40"/>
  <c r="DO304" i="40"/>
  <c r="DN304" i="40"/>
  <c r="DM304" i="40"/>
  <c r="DK304" i="40"/>
  <c r="DL304" i="40"/>
  <c r="DJ304" i="40"/>
  <c r="DY271" i="40"/>
  <c r="DR271" i="40"/>
  <c r="DQ271" i="40"/>
  <c r="DP271" i="40"/>
  <c r="DO271" i="40"/>
  <c r="DN271" i="40"/>
  <c r="DM271" i="40"/>
  <c r="DL271" i="40"/>
  <c r="DJ271" i="40"/>
  <c r="DY198" i="40"/>
  <c r="DR198" i="40"/>
  <c r="DQ198" i="40"/>
  <c r="DP198" i="40"/>
  <c r="DO198" i="40"/>
  <c r="DN198" i="40"/>
  <c r="DL198" i="40"/>
  <c r="DM198" i="40"/>
  <c r="DK198" i="40"/>
  <c r="DY96" i="40"/>
  <c r="DR96" i="40"/>
  <c r="DP96" i="40"/>
  <c r="DQ96" i="40"/>
  <c r="DN96" i="40"/>
  <c r="DO96" i="40"/>
  <c r="DK96" i="40"/>
  <c r="DM96" i="40"/>
  <c r="DJ96" i="40"/>
  <c r="DL96" i="40"/>
  <c r="DY29" i="40"/>
  <c r="DQ29" i="40"/>
  <c r="DR29" i="40"/>
  <c r="DP29" i="40"/>
  <c r="DO29" i="40"/>
  <c r="DN29" i="40"/>
  <c r="DM29" i="40"/>
  <c r="DJ29" i="40"/>
  <c r="DL29" i="40"/>
  <c r="DJ163" i="40"/>
  <c r="DR163" i="40"/>
  <c r="DY163" i="40"/>
  <c r="DQ163" i="40"/>
  <c r="DP163" i="40"/>
  <c r="DO163" i="40"/>
  <c r="DL163" i="40"/>
  <c r="DN163" i="40"/>
  <c r="DK163" i="40"/>
  <c r="DY110" i="40"/>
  <c r="DR110" i="40"/>
  <c r="DQ110" i="40"/>
  <c r="DO110" i="40"/>
  <c r="DP110" i="40"/>
  <c r="DN110" i="40"/>
  <c r="DM110" i="40"/>
  <c r="DL110" i="40"/>
  <c r="DK110" i="40"/>
  <c r="DJ110" i="40"/>
  <c r="DY384" i="40"/>
  <c r="DR384" i="40"/>
  <c r="DJ384" i="40"/>
  <c r="DQ384" i="40"/>
  <c r="DP384" i="40"/>
  <c r="DN384" i="40"/>
  <c r="DL384" i="40"/>
  <c r="DM384" i="40"/>
  <c r="DK384" i="40"/>
  <c r="DY329" i="40"/>
  <c r="DR329" i="40"/>
  <c r="DQ329" i="40"/>
  <c r="DP329" i="40"/>
  <c r="DO329" i="40"/>
  <c r="DM329" i="40"/>
  <c r="DK329" i="40"/>
  <c r="DN329" i="40"/>
  <c r="DL329" i="40"/>
  <c r="DJ329" i="40"/>
  <c r="DY229" i="40"/>
  <c r="DJ229" i="40"/>
  <c r="DR229" i="40"/>
  <c r="DP229" i="40"/>
  <c r="DQ229" i="40"/>
  <c r="DO229" i="40"/>
  <c r="DM229" i="40"/>
  <c r="DK229" i="40"/>
  <c r="DN229" i="40"/>
  <c r="DL229" i="40"/>
  <c r="DY93" i="40"/>
  <c r="DJ93" i="40"/>
  <c r="DR93" i="40"/>
  <c r="DQ93" i="40"/>
  <c r="DP93" i="40"/>
  <c r="DO93" i="40"/>
  <c r="DM93" i="40"/>
  <c r="DN93" i="40"/>
  <c r="DL93" i="40"/>
  <c r="DK93" i="40"/>
  <c r="DY392" i="40"/>
  <c r="DJ392" i="40"/>
  <c r="DR392" i="40"/>
  <c r="DQ392" i="40"/>
  <c r="DO392" i="40"/>
  <c r="DP392" i="40"/>
  <c r="DN392" i="40"/>
  <c r="DL392" i="40"/>
  <c r="DM392" i="40"/>
  <c r="DK392" i="40"/>
  <c r="DY368" i="40"/>
  <c r="DR368" i="40"/>
  <c r="DQ368" i="40"/>
  <c r="DP368" i="40"/>
  <c r="DM368" i="40"/>
  <c r="DO368" i="40"/>
  <c r="DN368" i="40"/>
  <c r="DL368" i="40"/>
  <c r="DK368" i="40"/>
  <c r="DY328" i="40"/>
  <c r="DJ328" i="40"/>
  <c r="DR328" i="40"/>
  <c r="DQ328" i="40"/>
  <c r="DP328" i="40"/>
  <c r="DO328" i="40"/>
  <c r="DM328" i="40"/>
  <c r="DL328" i="40"/>
  <c r="DN328" i="40"/>
  <c r="DK328" i="40"/>
  <c r="DY300" i="40"/>
  <c r="DR300" i="40"/>
  <c r="DQ300" i="40"/>
  <c r="DP300" i="40"/>
  <c r="DN300" i="40"/>
  <c r="DO300" i="40"/>
  <c r="DM300" i="40"/>
  <c r="DK300" i="40"/>
  <c r="DL300" i="40"/>
  <c r="DJ300" i="40"/>
  <c r="DY275" i="40"/>
  <c r="DR275" i="40"/>
  <c r="DQ275" i="40"/>
  <c r="DP275" i="40"/>
  <c r="DO275" i="40"/>
  <c r="DN275" i="40"/>
  <c r="DM275" i="40"/>
  <c r="DK275" i="40"/>
  <c r="DL275" i="40"/>
  <c r="DJ275" i="40"/>
  <c r="DY205" i="40"/>
  <c r="DJ205" i="40"/>
  <c r="DQ205" i="40"/>
  <c r="DR205" i="40"/>
  <c r="DP205" i="40"/>
  <c r="DO205" i="40"/>
  <c r="DN205" i="40"/>
  <c r="DL205" i="40"/>
  <c r="DM205" i="40"/>
  <c r="DK205" i="40"/>
  <c r="DY166" i="40"/>
  <c r="DJ166" i="40"/>
  <c r="DR166" i="40"/>
  <c r="DQ166" i="40"/>
  <c r="DP166" i="40"/>
  <c r="DO166" i="40"/>
  <c r="DM166" i="40"/>
  <c r="DL166" i="40"/>
  <c r="DK166" i="40"/>
  <c r="DY157" i="40"/>
  <c r="DJ157" i="40"/>
  <c r="DQ157" i="40"/>
  <c r="DR157" i="40"/>
  <c r="DP157" i="40"/>
  <c r="DO157" i="40"/>
  <c r="DN157" i="40"/>
  <c r="DM157" i="40"/>
  <c r="DL157" i="40"/>
  <c r="DK157" i="40"/>
  <c r="DY146" i="40"/>
  <c r="DR146" i="40"/>
  <c r="DQ146" i="40"/>
  <c r="DP146" i="40"/>
  <c r="DO146" i="40"/>
  <c r="DN146" i="40"/>
  <c r="DM146" i="40"/>
  <c r="DK146" i="40"/>
  <c r="DL146" i="40"/>
  <c r="DJ146" i="40"/>
  <c r="DY103" i="40"/>
  <c r="DR103" i="40"/>
  <c r="DJ103" i="40"/>
  <c r="DP103" i="40"/>
  <c r="DQ103" i="40"/>
  <c r="DO103" i="40"/>
  <c r="DN103" i="40"/>
  <c r="DM103" i="40"/>
  <c r="DL103" i="40"/>
  <c r="DK103" i="40"/>
  <c r="DY70" i="40"/>
  <c r="DR70" i="40"/>
  <c r="DP70" i="40"/>
  <c r="DQ70" i="40"/>
  <c r="DO70" i="40"/>
  <c r="DN70" i="40"/>
  <c r="DL70" i="40"/>
  <c r="DK70" i="40"/>
  <c r="DJ70" i="40"/>
  <c r="DY43" i="40"/>
  <c r="DJ43" i="40"/>
  <c r="DR43" i="40"/>
  <c r="DQ43" i="40"/>
  <c r="DP43" i="40"/>
  <c r="DN43" i="40"/>
  <c r="DO43" i="40"/>
  <c r="DM43" i="40"/>
  <c r="DK43" i="40"/>
  <c r="DL43" i="40"/>
  <c r="DY228" i="40"/>
  <c r="DJ228" i="40"/>
  <c r="DR228" i="40"/>
  <c r="DQ228" i="40"/>
  <c r="DP228" i="40"/>
  <c r="DO228" i="40"/>
  <c r="DN228" i="40"/>
  <c r="DM228" i="40"/>
  <c r="DL228" i="40"/>
  <c r="DK228" i="40"/>
  <c r="DY404" i="40"/>
  <c r="DR404" i="40"/>
  <c r="DQ404" i="40"/>
  <c r="DP404" i="40"/>
  <c r="DO404" i="40"/>
  <c r="DN404" i="40"/>
  <c r="DM404" i="40"/>
  <c r="DK404" i="40"/>
  <c r="DJ404" i="40"/>
  <c r="DY389" i="40"/>
  <c r="DJ389" i="40"/>
  <c r="DR389" i="40"/>
  <c r="DQ389" i="40"/>
  <c r="DP389" i="40"/>
  <c r="DM389" i="40"/>
  <c r="DN389" i="40"/>
  <c r="DO389" i="40"/>
  <c r="DL389" i="40"/>
  <c r="DK389" i="40"/>
  <c r="DY378" i="40"/>
  <c r="DJ378" i="40"/>
  <c r="DR378" i="40"/>
  <c r="DQ378" i="40"/>
  <c r="DP378" i="40"/>
  <c r="DN378" i="40"/>
  <c r="DO378" i="40"/>
  <c r="DM378" i="40"/>
  <c r="DK378" i="40"/>
  <c r="DY356" i="40"/>
  <c r="DR356" i="40"/>
  <c r="DJ356" i="40"/>
  <c r="DQ356" i="40"/>
  <c r="DP356" i="40"/>
  <c r="DO356" i="40"/>
  <c r="DM356" i="40"/>
  <c r="DN356" i="40"/>
  <c r="DL356" i="40"/>
  <c r="DK356" i="40"/>
  <c r="DY336" i="40"/>
  <c r="DR336" i="40"/>
  <c r="DQ336" i="40"/>
  <c r="DO336" i="40"/>
  <c r="DP336" i="40"/>
  <c r="DN336" i="40"/>
  <c r="DM336" i="40"/>
  <c r="DL336" i="40"/>
  <c r="DJ336" i="40"/>
  <c r="DK336" i="40"/>
  <c r="DY311" i="40"/>
  <c r="DJ311" i="40"/>
  <c r="DR311" i="40"/>
  <c r="DQ311" i="40"/>
  <c r="DP311" i="40"/>
  <c r="DO311" i="40"/>
  <c r="DN311" i="40"/>
  <c r="DM311" i="40"/>
  <c r="DL311" i="40"/>
  <c r="DK311" i="40"/>
  <c r="DY284" i="40"/>
  <c r="DR284" i="40"/>
  <c r="DQ284" i="40"/>
  <c r="DP284" i="40"/>
  <c r="DO284" i="40"/>
  <c r="DM284" i="40"/>
  <c r="DN284" i="40"/>
  <c r="DK284" i="40"/>
  <c r="DL284" i="40"/>
  <c r="DJ284" i="40"/>
  <c r="DR227" i="40"/>
  <c r="DY227" i="40"/>
  <c r="DQ227" i="40"/>
  <c r="DO227" i="40"/>
  <c r="DP227" i="40"/>
  <c r="DN227" i="40"/>
  <c r="DM227" i="40"/>
  <c r="DL227" i="40"/>
  <c r="DJ227" i="40"/>
  <c r="DK227" i="40"/>
  <c r="DY189" i="40"/>
  <c r="DQ189" i="40"/>
  <c r="DR189" i="40"/>
  <c r="DO189" i="40"/>
  <c r="DP189" i="40"/>
  <c r="DM189" i="40"/>
  <c r="DL189" i="40"/>
  <c r="DN189" i="40"/>
  <c r="DJ189" i="40"/>
  <c r="DK189" i="40"/>
  <c r="DY52" i="40"/>
  <c r="DJ52" i="40"/>
  <c r="DR52" i="40"/>
  <c r="DQ52" i="40"/>
  <c r="DP52" i="40"/>
  <c r="DO52" i="40"/>
  <c r="DM52" i="40"/>
  <c r="DN52" i="40"/>
  <c r="DL52" i="40"/>
  <c r="DK52" i="40"/>
  <c r="DY37" i="40"/>
  <c r="DR37" i="40"/>
  <c r="DQ37" i="40"/>
  <c r="DP37" i="40"/>
  <c r="DO37" i="40"/>
  <c r="DN37" i="40"/>
  <c r="DL37" i="40"/>
  <c r="DJ37" i="40"/>
  <c r="DK37" i="40"/>
  <c r="DY374" i="40"/>
  <c r="DJ374" i="40"/>
  <c r="DR374" i="40"/>
  <c r="DQ374" i="40"/>
  <c r="DP374" i="40"/>
  <c r="DL374" i="40"/>
  <c r="DO374" i="40"/>
  <c r="DN374" i="40"/>
  <c r="DM374" i="40"/>
  <c r="DY407" i="40"/>
  <c r="DJ407" i="40"/>
  <c r="DR407" i="40"/>
  <c r="DQ407" i="40"/>
  <c r="DO407" i="40"/>
  <c r="DN407" i="40"/>
  <c r="DM407" i="40"/>
  <c r="DL407" i="40"/>
  <c r="DK407" i="40"/>
  <c r="DY150" i="40"/>
  <c r="DR150" i="40"/>
  <c r="DJ150" i="40"/>
  <c r="DQ150" i="40"/>
  <c r="DP150" i="40"/>
  <c r="DO150" i="40"/>
  <c r="DN150" i="40"/>
  <c r="DM150" i="40"/>
  <c r="DK150" i="40"/>
  <c r="DL150" i="40"/>
  <c r="DY265" i="40"/>
  <c r="DJ265" i="40"/>
  <c r="DR265" i="40"/>
  <c r="DQ265" i="40"/>
  <c r="DP265" i="40"/>
  <c r="DO265" i="40"/>
  <c r="DM265" i="40"/>
  <c r="DN265" i="40"/>
  <c r="DL265" i="40"/>
  <c r="DK265" i="40"/>
  <c r="DY349" i="40"/>
  <c r="DR349" i="40"/>
  <c r="DJ349" i="40"/>
  <c r="DQ349" i="40"/>
  <c r="DP349" i="40"/>
  <c r="DN349" i="40"/>
  <c r="DO349" i="40"/>
  <c r="DK349" i="40"/>
  <c r="DM349" i="40"/>
  <c r="DL349" i="40"/>
  <c r="DY240" i="40"/>
  <c r="DJ240" i="40"/>
  <c r="DR240" i="40"/>
  <c r="DQ240" i="40"/>
  <c r="DP240" i="40"/>
  <c r="DM240" i="40"/>
  <c r="DO240" i="40"/>
  <c r="DN240" i="40"/>
  <c r="DL240" i="40"/>
  <c r="DK240" i="40"/>
  <c r="DY33" i="40"/>
  <c r="DR33" i="40"/>
  <c r="DQ33" i="40"/>
  <c r="DP33" i="40"/>
  <c r="DM33" i="40"/>
  <c r="DO33" i="40"/>
  <c r="DN33" i="40"/>
  <c r="DK33" i="40"/>
  <c r="DL33" i="40"/>
  <c r="DJ33" i="40"/>
  <c r="DR243" i="40"/>
  <c r="DY243" i="40"/>
  <c r="DQ243" i="40"/>
  <c r="DP243" i="40"/>
  <c r="DM243" i="40"/>
  <c r="DO243" i="40"/>
  <c r="DN243" i="40"/>
  <c r="DL243" i="40"/>
  <c r="DK243" i="40"/>
  <c r="DJ243" i="40"/>
  <c r="DY361" i="40"/>
  <c r="DJ361" i="40"/>
  <c r="DR361" i="40"/>
  <c r="DQ361" i="40"/>
  <c r="DP361" i="40"/>
  <c r="DO361" i="40"/>
  <c r="DN361" i="40"/>
  <c r="DL361" i="40"/>
  <c r="DM361" i="40"/>
  <c r="DK361" i="40"/>
  <c r="DY318" i="40"/>
  <c r="DJ318" i="40"/>
  <c r="DR318" i="40"/>
  <c r="DQ318" i="40"/>
  <c r="DP318" i="40"/>
  <c r="DO318" i="40"/>
  <c r="DN318" i="40"/>
  <c r="DL318" i="40"/>
  <c r="DK318" i="40"/>
  <c r="DY36" i="40"/>
  <c r="DJ36" i="40"/>
  <c r="DR36" i="40"/>
  <c r="DQ36" i="40"/>
  <c r="DO36" i="40"/>
  <c r="DP36" i="40"/>
  <c r="DN36" i="40"/>
  <c r="DM36" i="40"/>
  <c r="DL36" i="40"/>
  <c r="DK36" i="40"/>
  <c r="DY192" i="40"/>
  <c r="DR192" i="40"/>
  <c r="DQ192" i="40"/>
  <c r="DP192" i="40"/>
  <c r="DM192" i="40"/>
  <c r="DO192" i="40"/>
  <c r="DN192" i="40"/>
  <c r="DK192" i="40"/>
  <c r="DJ192" i="40"/>
  <c r="DL192" i="40"/>
  <c r="DY68" i="40"/>
  <c r="DJ68" i="40"/>
  <c r="DR68" i="40"/>
  <c r="DQ68" i="40"/>
  <c r="DP68" i="40"/>
  <c r="DO68" i="40"/>
  <c r="DM68" i="40"/>
  <c r="DK68" i="40"/>
  <c r="DL68" i="40"/>
  <c r="DY293" i="40"/>
  <c r="DJ293" i="40"/>
  <c r="DR293" i="40"/>
  <c r="DP293" i="40"/>
  <c r="DQ293" i="40"/>
  <c r="DO293" i="40"/>
  <c r="DN293" i="40"/>
  <c r="DM293" i="40"/>
  <c r="DL293" i="40"/>
  <c r="DK293" i="40"/>
  <c r="DY88" i="40"/>
  <c r="DR88" i="40"/>
  <c r="DQ88" i="40"/>
  <c r="DP88" i="40"/>
  <c r="DO88" i="40"/>
  <c r="DN88" i="40"/>
  <c r="DM88" i="40"/>
  <c r="DK88" i="40"/>
  <c r="DL88" i="40"/>
  <c r="DJ88" i="40"/>
  <c r="DY254" i="40"/>
  <c r="DR254" i="40"/>
  <c r="DJ254" i="40"/>
  <c r="DQ254" i="40"/>
  <c r="DO254" i="40"/>
  <c r="DP254" i="40"/>
  <c r="DM254" i="40"/>
  <c r="DL254" i="40"/>
  <c r="DK254" i="40"/>
  <c r="DY98" i="40"/>
  <c r="DR98" i="40"/>
  <c r="DQ98" i="40"/>
  <c r="DP98" i="40"/>
  <c r="DO98" i="40"/>
  <c r="DM98" i="40"/>
  <c r="DN98" i="40"/>
  <c r="DL98" i="40"/>
  <c r="DK98" i="40"/>
  <c r="DY28" i="40"/>
  <c r="DJ28" i="40"/>
  <c r="DR28" i="40"/>
  <c r="DQ28" i="40"/>
  <c r="DP28" i="40"/>
  <c r="DO28" i="40"/>
  <c r="DN28" i="40"/>
  <c r="DL28" i="40"/>
  <c r="DM28" i="40"/>
  <c r="DK28" i="40"/>
  <c r="DY335" i="40"/>
  <c r="DR335" i="40"/>
  <c r="DJ335" i="40"/>
  <c r="DQ335" i="40"/>
  <c r="DP335" i="40"/>
  <c r="DO335" i="40"/>
  <c r="DM335" i="40"/>
  <c r="DN335" i="40"/>
  <c r="DK335" i="40"/>
  <c r="DL335" i="40"/>
  <c r="DY171" i="40"/>
  <c r="DJ171" i="40"/>
  <c r="DR171" i="40"/>
  <c r="DO171" i="40"/>
  <c r="DQ171" i="40"/>
  <c r="DP171" i="40"/>
  <c r="DN171" i="40"/>
  <c r="DM171" i="40"/>
  <c r="DL171" i="40"/>
  <c r="DY153" i="40"/>
  <c r="DR153" i="40"/>
  <c r="DP153" i="40"/>
  <c r="DQ153" i="40"/>
  <c r="DO153" i="40"/>
  <c r="DN153" i="40"/>
  <c r="DM153" i="40"/>
  <c r="DL153" i="40"/>
  <c r="DK153" i="40"/>
  <c r="DJ153" i="40"/>
  <c r="DY280" i="40"/>
  <c r="DR280" i="40"/>
  <c r="DQ280" i="40"/>
  <c r="DP280" i="40"/>
  <c r="DO280" i="40"/>
  <c r="DM280" i="40"/>
  <c r="DN280" i="40"/>
  <c r="DK280" i="40"/>
  <c r="DL280" i="40"/>
  <c r="DJ280" i="40"/>
  <c r="DY209" i="40"/>
  <c r="DQ209" i="40"/>
  <c r="DR209" i="40"/>
  <c r="DP209" i="40"/>
  <c r="DO209" i="40"/>
  <c r="DN209" i="40"/>
  <c r="DM209" i="40"/>
  <c r="DL209" i="40"/>
  <c r="DK209" i="40"/>
  <c r="DJ209" i="40"/>
  <c r="DY90" i="40"/>
  <c r="DJ90" i="40"/>
  <c r="DR90" i="40"/>
  <c r="DQ90" i="40"/>
  <c r="DO90" i="40"/>
  <c r="DP90" i="40"/>
  <c r="DM90" i="40"/>
  <c r="DN90" i="40"/>
  <c r="DL90" i="40"/>
  <c r="DY379" i="40"/>
  <c r="DJ379" i="40"/>
  <c r="DR379" i="40"/>
  <c r="DQ379" i="40"/>
  <c r="DP379" i="40"/>
  <c r="DO379" i="40"/>
  <c r="DN379" i="40"/>
  <c r="DM379" i="40"/>
  <c r="DK379" i="40"/>
  <c r="DY367" i="40"/>
  <c r="DR367" i="40"/>
  <c r="DQ367" i="40"/>
  <c r="DP367" i="40"/>
  <c r="DN367" i="40"/>
  <c r="DO367" i="40"/>
  <c r="DM367" i="40"/>
  <c r="DL367" i="40"/>
  <c r="DK367" i="40"/>
  <c r="DJ367" i="40"/>
  <c r="DY317" i="40"/>
  <c r="DR317" i="40"/>
  <c r="DQ317" i="40"/>
  <c r="DP317" i="40"/>
  <c r="DO317" i="40"/>
  <c r="DL317" i="40"/>
  <c r="DK317" i="40"/>
  <c r="DN317" i="40"/>
  <c r="DJ317" i="40"/>
  <c r="DY296" i="40"/>
  <c r="DR296" i="40"/>
  <c r="DQ296" i="40"/>
  <c r="DP296" i="40"/>
  <c r="DM296" i="40"/>
  <c r="DO296" i="40"/>
  <c r="DK296" i="40"/>
  <c r="DN296" i="40"/>
  <c r="DL296" i="40"/>
  <c r="DJ296" i="40"/>
  <c r="DY256" i="40"/>
  <c r="DJ256" i="40"/>
  <c r="DR256" i="40"/>
  <c r="DP256" i="40"/>
  <c r="DQ256" i="40"/>
  <c r="DM256" i="40"/>
  <c r="DO256" i="40"/>
  <c r="DN256" i="40"/>
  <c r="DK256" i="40"/>
  <c r="DY194" i="40"/>
  <c r="DJ194" i="40"/>
  <c r="DR194" i="40"/>
  <c r="DQ194" i="40"/>
  <c r="DP194" i="40"/>
  <c r="DO194" i="40"/>
  <c r="DN194" i="40"/>
  <c r="DM194" i="40"/>
  <c r="DL194" i="40"/>
  <c r="DK194" i="40"/>
  <c r="DY165" i="40"/>
  <c r="DR165" i="40"/>
  <c r="DP165" i="40"/>
  <c r="DQ165" i="40"/>
  <c r="DO165" i="40"/>
  <c r="DN165" i="40"/>
  <c r="DM165" i="40"/>
  <c r="DL165" i="40"/>
  <c r="DJ165" i="40"/>
  <c r="DK165" i="40"/>
  <c r="DY156" i="40"/>
  <c r="DJ156" i="40"/>
  <c r="DR156" i="40"/>
  <c r="DQ156" i="40"/>
  <c r="DP156" i="40"/>
  <c r="DM156" i="40"/>
  <c r="DO156" i="40"/>
  <c r="DL156" i="40"/>
  <c r="DK156" i="40"/>
  <c r="DY139" i="40"/>
  <c r="DJ139" i="40"/>
  <c r="DR139" i="40"/>
  <c r="DQ139" i="40"/>
  <c r="DO139" i="40"/>
  <c r="DP139" i="40"/>
  <c r="DM139" i="40"/>
  <c r="DN139" i="40"/>
  <c r="DK139" i="40"/>
  <c r="DL139" i="40"/>
  <c r="DY100" i="40"/>
  <c r="DJ100" i="40"/>
  <c r="DR100" i="40"/>
  <c r="DP100" i="40"/>
  <c r="DQ100" i="40"/>
  <c r="DO100" i="40"/>
  <c r="DN100" i="40"/>
  <c r="DK100" i="40"/>
  <c r="DM100" i="40"/>
  <c r="DL100" i="40"/>
  <c r="DY64" i="40"/>
  <c r="DJ64" i="40"/>
  <c r="DR64" i="40"/>
  <c r="DQ64" i="40"/>
  <c r="DP64" i="40"/>
  <c r="DO64" i="40"/>
  <c r="DN64" i="40"/>
  <c r="DL64" i="40"/>
  <c r="DK64" i="40"/>
  <c r="DY11" i="40"/>
  <c r="DJ11" i="40"/>
  <c r="DR11" i="40"/>
  <c r="DQ11" i="40"/>
  <c r="DP11" i="40"/>
  <c r="DO11" i="40"/>
  <c r="DN11" i="40"/>
  <c r="DM11" i="40"/>
  <c r="DK11" i="40"/>
  <c r="DL11" i="40"/>
  <c r="DY138" i="40"/>
  <c r="DR138" i="40"/>
  <c r="DQ138" i="40"/>
  <c r="DP138" i="40"/>
  <c r="DO138" i="40"/>
  <c r="DN138" i="40"/>
  <c r="DM138" i="40"/>
  <c r="DK138" i="40"/>
  <c r="DL138" i="40"/>
  <c r="DJ138" i="40"/>
  <c r="DY399" i="40"/>
  <c r="DR399" i="40"/>
  <c r="DQ399" i="40"/>
  <c r="DP399" i="40"/>
  <c r="DO399" i="40"/>
  <c r="DN399" i="40"/>
  <c r="DM399" i="40"/>
  <c r="DL399" i="40"/>
  <c r="DK399" i="40"/>
  <c r="DJ399" i="40"/>
  <c r="DY387" i="40"/>
  <c r="DJ387" i="40"/>
  <c r="DR387" i="40"/>
  <c r="DQ387" i="40"/>
  <c r="DP387" i="40"/>
  <c r="DN387" i="40"/>
  <c r="DM387" i="40"/>
  <c r="DK387" i="40"/>
  <c r="DL387" i="40"/>
  <c r="DY376" i="40"/>
  <c r="DR376" i="40"/>
  <c r="DQ376" i="40"/>
  <c r="DP376" i="40"/>
  <c r="DN376" i="40"/>
  <c r="DO376" i="40"/>
  <c r="DM376" i="40"/>
  <c r="DL376" i="40"/>
  <c r="DK376" i="40"/>
  <c r="DY351" i="40"/>
  <c r="DJ351" i="40"/>
  <c r="DR351" i="40"/>
  <c r="DQ351" i="40"/>
  <c r="DP351" i="40"/>
  <c r="DO351" i="40"/>
  <c r="DM351" i="40"/>
  <c r="DK351" i="40"/>
  <c r="DL351" i="40"/>
  <c r="DY326" i="40"/>
  <c r="DJ326" i="40"/>
  <c r="DR326" i="40"/>
  <c r="DQ326" i="40"/>
  <c r="DP326" i="40"/>
  <c r="DN326" i="40"/>
  <c r="DM326" i="40"/>
  <c r="DO326" i="40"/>
  <c r="DL326" i="40"/>
  <c r="DK326" i="40"/>
  <c r="DY308" i="40"/>
  <c r="DR308" i="40"/>
  <c r="DQ308" i="40"/>
  <c r="DP308" i="40"/>
  <c r="DO308" i="40"/>
  <c r="DM308" i="40"/>
  <c r="DN308" i="40"/>
  <c r="DK308" i="40"/>
  <c r="DL308" i="40"/>
  <c r="DY272" i="40"/>
  <c r="DR272" i="40"/>
  <c r="DP272" i="40"/>
  <c r="DQ272" i="40"/>
  <c r="DO272" i="40"/>
  <c r="DM272" i="40"/>
  <c r="DK272" i="40"/>
  <c r="DL272" i="40"/>
  <c r="DN272" i="40"/>
  <c r="DY214" i="40"/>
  <c r="DJ214" i="40"/>
  <c r="DR214" i="40"/>
  <c r="DQ214" i="40"/>
  <c r="DP214" i="40"/>
  <c r="DO214" i="40"/>
  <c r="DN214" i="40"/>
  <c r="DL214" i="40"/>
  <c r="DM214" i="40"/>
  <c r="DK214" i="40"/>
  <c r="DY174" i="40"/>
  <c r="DJ174" i="40"/>
  <c r="DR174" i="40"/>
  <c r="DQ174" i="40"/>
  <c r="DP174" i="40"/>
  <c r="DO174" i="40"/>
  <c r="DN174" i="40"/>
  <c r="DL174" i="40"/>
  <c r="DK174" i="40"/>
  <c r="DY50" i="40"/>
  <c r="DR50" i="40"/>
  <c r="DP50" i="40"/>
  <c r="DQ50" i="40"/>
  <c r="DM50" i="40"/>
  <c r="DO50" i="40"/>
  <c r="DN50" i="40"/>
  <c r="DK50" i="40"/>
  <c r="DL50" i="40"/>
  <c r="DJ50" i="40"/>
  <c r="DY10" i="40"/>
  <c r="DJ10" i="40"/>
  <c r="DR10" i="40"/>
  <c r="DQ10" i="40"/>
  <c r="DP10" i="40"/>
  <c r="DO10" i="40"/>
  <c r="DM10" i="40"/>
  <c r="DN10" i="40"/>
  <c r="DL10" i="40"/>
  <c r="DK10" i="40"/>
  <c r="DY152" i="40"/>
  <c r="DJ152" i="40"/>
  <c r="DR152" i="40"/>
  <c r="DQ152" i="40"/>
  <c r="DP152" i="40"/>
  <c r="DO152" i="40"/>
  <c r="DN152" i="40"/>
  <c r="DK152" i="40"/>
  <c r="DL152" i="40"/>
  <c r="DY405" i="40"/>
  <c r="DJ405" i="40"/>
  <c r="DR405" i="40"/>
  <c r="DP405" i="40"/>
  <c r="DQ405" i="40"/>
  <c r="DO405" i="40"/>
  <c r="DM405" i="40"/>
  <c r="DN405" i="40"/>
  <c r="DL405" i="40"/>
  <c r="DY145" i="40"/>
  <c r="DJ145" i="40"/>
  <c r="DR145" i="40"/>
  <c r="DQ145" i="40"/>
  <c r="DP145" i="40"/>
  <c r="DO145" i="40"/>
  <c r="DL145" i="40"/>
  <c r="DM145" i="40"/>
  <c r="DN145" i="40"/>
  <c r="DY246" i="40"/>
  <c r="DJ246" i="40"/>
  <c r="DR246" i="40"/>
  <c r="DQ246" i="40"/>
  <c r="DP246" i="40"/>
  <c r="DO246" i="40"/>
  <c r="DN246" i="40"/>
  <c r="DM246" i="40"/>
  <c r="DK246" i="40"/>
  <c r="DL246" i="40"/>
  <c r="DY402" i="40"/>
  <c r="DR402" i="40"/>
  <c r="DQ402" i="40"/>
  <c r="DO402" i="40"/>
  <c r="DP402" i="40"/>
  <c r="DN402" i="40"/>
  <c r="DM402" i="40"/>
  <c r="DL402" i="40"/>
  <c r="DK402" i="40"/>
  <c r="DJ402" i="40"/>
  <c r="DY230" i="40"/>
  <c r="DJ230" i="40"/>
  <c r="DR230" i="40"/>
  <c r="DQ230" i="40"/>
  <c r="DP230" i="40"/>
  <c r="DO230" i="40"/>
  <c r="DN230" i="40"/>
  <c r="DM230" i="40"/>
  <c r="DL230" i="40"/>
  <c r="DK230" i="40"/>
  <c r="DJ403" i="40"/>
  <c r="DY403" i="40"/>
  <c r="DR403" i="40"/>
  <c r="DQ403" i="40"/>
  <c r="DP403" i="40"/>
  <c r="DO403" i="40"/>
  <c r="DN403" i="40"/>
  <c r="DM403" i="40"/>
  <c r="DL403" i="40"/>
  <c r="DK403" i="40"/>
  <c r="DY140" i="40"/>
  <c r="DJ140" i="40"/>
  <c r="DQ140" i="40"/>
  <c r="DR140" i="40"/>
  <c r="DP140" i="40"/>
  <c r="DO140" i="40"/>
  <c r="DN140" i="40"/>
  <c r="DL140" i="40"/>
  <c r="DM140" i="40"/>
  <c r="DK140" i="40"/>
  <c r="DY348" i="40"/>
  <c r="DR348" i="40"/>
  <c r="DJ348" i="40"/>
  <c r="DP348" i="40"/>
  <c r="DQ348" i="40"/>
  <c r="DO348" i="40"/>
  <c r="DN348" i="40"/>
  <c r="DL348" i="40"/>
  <c r="DK348" i="40"/>
  <c r="DY298" i="40"/>
  <c r="DJ298" i="40"/>
  <c r="DR298" i="40"/>
  <c r="DQ298" i="40"/>
  <c r="DP298" i="40"/>
  <c r="DO298" i="40"/>
  <c r="DN298" i="40"/>
  <c r="DM298" i="40"/>
  <c r="DL298" i="40"/>
  <c r="DK298" i="40"/>
  <c r="DY281" i="40"/>
  <c r="DR281" i="40"/>
  <c r="DQ281" i="40"/>
  <c r="DP281" i="40"/>
  <c r="DO281" i="40"/>
  <c r="DM281" i="40"/>
  <c r="DN281" i="40"/>
  <c r="DL281" i="40"/>
  <c r="DJ281" i="40"/>
  <c r="DK281" i="40"/>
  <c r="DY154" i="40"/>
  <c r="DJ154" i="40"/>
  <c r="DR154" i="40"/>
  <c r="DQ154" i="40"/>
  <c r="DP154" i="40"/>
  <c r="DO154" i="40"/>
  <c r="DN154" i="40"/>
  <c r="DM154" i="40"/>
  <c r="DL154" i="40"/>
  <c r="DK154" i="40"/>
  <c r="DY57" i="40"/>
  <c r="DJ57" i="40"/>
  <c r="DR57" i="40"/>
  <c r="DQ57" i="40"/>
  <c r="DP57" i="40"/>
  <c r="DO57" i="40"/>
  <c r="DN57" i="40"/>
  <c r="DM57" i="40"/>
  <c r="DL57" i="40"/>
  <c r="DK57" i="40"/>
  <c r="DY276" i="40"/>
  <c r="DR276" i="40"/>
  <c r="DO276" i="40"/>
  <c r="DQ276" i="40"/>
  <c r="DP276" i="40"/>
  <c r="DN276" i="40"/>
  <c r="DM276" i="40"/>
  <c r="DL276" i="40"/>
  <c r="DK276" i="40"/>
  <c r="DJ276" i="40"/>
  <c r="DY83" i="40"/>
  <c r="DR83" i="40"/>
  <c r="DP83" i="40"/>
  <c r="DQ83" i="40"/>
  <c r="DO83" i="40"/>
  <c r="DN83" i="40"/>
  <c r="DK83" i="40"/>
  <c r="DM83" i="40"/>
  <c r="DL83" i="40"/>
  <c r="DJ83" i="40"/>
  <c r="ER263" i="40" l="1"/>
  <c r="DQ9" i="40"/>
  <c r="DQ14" i="40" s="1"/>
  <c r="DQ78" i="40" s="1"/>
  <c r="EH228" i="40"/>
  <c r="EM114" i="40"/>
  <c r="EM169" i="40" s="1"/>
  <c r="EM227" i="40" s="1"/>
  <c r="EM228" i="40" s="1"/>
  <c r="FQ35" i="40"/>
  <c r="EW227" i="40"/>
  <c r="EW228" i="40" s="1"/>
  <c r="FB35" i="40"/>
  <c r="FB48" i="40" s="1"/>
  <c r="EC35" i="40"/>
  <c r="EE3" i="40" s="1"/>
  <c r="FL35" i="40"/>
  <c r="EH343" i="40"/>
  <c r="EH347" i="40" s="1"/>
  <c r="EH399" i="40" s="1"/>
  <c r="EW153" i="40"/>
  <c r="EY3" i="40" s="1"/>
  <c r="FS3" i="40"/>
  <c r="FQ88" i="40"/>
  <c r="ER35" i="40"/>
  <c r="FG35" i="40"/>
  <c r="FG48" i="40" s="1"/>
  <c r="EH169" i="40"/>
  <c r="EJ3" i="40" s="1"/>
  <c r="FL48" i="40"/>
  <c r="ER227" i="40"/>
  <c r="DZ4" i="40"/>
  <c r="J68" i="27"/>
  <c r="K67" i="27"/>
  <c r="DR151" i="40"/>
  <c r="DR295" i="40" s="1"/>
  <c r="DR319" i="40" s="1"/>
  <c r="DM37" i="40"/>
  <c r="DM64" i="40" s="1"/>
  <c r="DM70" i="40" s="1"/>
  <c r="DP141" i="40"/>
  <c r="DP232" i="40" s="1"/>
  <c r="DP255" i="40" s="1"/>
  <c r="DL44" i="40"/>
  <c r="DN12" i="40"/>
  <c r="DN25" i="40" s="1"/>
  <c r="DN59" i="40" s="1"/>
  <c r="DJ7" i="40"/>
  <c r="DK8" i="40"/>
  <c r="DO69" i="40"/>
  <c r="CF20" i="6"/>
  <c r="AN21" i="6"/>
  <c r="AN20" i="6"/>
  <c r="S20" i="6"/>
  <c r="E20" i="6"/>
  <c r="AY22" i="6"/>
  <c r="AN22" i="6"/>
  <c r="E25" i="6"/>
  <c r="E24" i="6"/>
  <c r="E23" i="6"/>
  <c r="E22" i="6"/>
  <c r="EC88" i="40" l="1"/>
  <c r="EO3" i="40"/>
  <c r="EW231" i="40"/>
  <c r="EW263" i="40" s="1"/>
  <c r="EW343" i="40" s="1"/>
  <c r="EW347" i="40" s="1"/>
  <c r="EW399" i="40" s="1"/>
  <c r="EX4" i="40" s="1"/>
  <c r="EX5" i="40" s="1"/>
  <c r="EM257" i="40"/>
  <c r="ER48" i="40"/>
  <c r="FI3" i="40"/>
  <c r="FG116" i="40"/>
  <c r="FG153" i="40" s="1"/>
  <c r="EC153" i="40"/>
  <c r="FB88" i="40"/>
  <c r="FB139" i="40" s="1"/>
  <c r="FB153" i="40" s="1"/>
  <c r="FQ153" i="40"/>
  <c r="FQ205" i="40" s="1"/>
  <c r="EH205" i="40"/>
  <c r="EH281" i="40" s="1"/>
  <c r="FL88" i="40"/>
  <c r="DZ5" i="40"/>
  <c r="J69" i="27"/>
  <c r="K68" i="27"/>
  <c r="DQ115" i="40"/>
  <c r="DQ132" i="40" s="1"/>
  <c r="DQ322" i="40" s="1"/>
  <c r="DM72" i="40"/>
  <c r="DM77" i="40" s="1"/>
  <c r="DM109" i="40" s="1"/>
  <c r="DM152" i="40" s="1"/>
  <c r="DM158" i="40" s="1"/>
  <c r="DM163" i="40" s="1"/>
  <c r="DM174" i="40" s="1"/>
  <c r="DR341" i="40"/>
  <c r="DR344" i="40" s="1"/>
  <c r="DL65" i="40"/>
  <c r="DN68" i="40"/>
  <c r="DN74" i="40" s="1"/>
  <c r="DJ47" i="40"/>
  <c r="DO136" i="40"/>
  <c r="AV7" i="50" s="1"/>
  <c r="DK29" i="40"/>
  <c r="L7" i="50" s="1"/>
  <c r="DP278" i="40"/>
  <c r="DP283" i="40" s="1"/>
  <c r="DP407" i="40" s="1"/>
  <c r="U6" i="50"/>
  <c r="AV6" i="50"/>
  <c r="AM6" i="50"/>
  <c r="BN6" i="50"/>
  <c r="BE6" i="50"/>
  <c r="AD6" i="50"/>
  <c r="L6" i="50"/>
  <c r="C6" i="50"/>
  <c r="BW6" i="50"/>
  <c r="AM7" i="50"/>
  <c r="EY4" i="40" l="1"/>
  <c r="EH286" i="40"/>
  <c r="EH307" i="40" s="1"/>
  <c r="EH331" i="40" s="1"/>
  <c r="FQ213" i="40"/>
  <c r="FQ227" i="40" s="1"/>
  <c r="FQ228" i="40" s="1"/>
  <c r="FQ231" i="40" s="1"/>
  <c r="FQ263" i="40" s="1"/>
  <c r="FQ343" i="40" s="1"/>
  <c r="FQ347" i="40" s="1"/>
  <c r="FQ399" i="40" s="1"/>
  <c r="FR4" i="40" s="1"/>
  <c r="EM266" i="40"/>
  <c r="EM281" i="40" s="1"/>
  <c r="EM299" i="40" s="1"/>
  <c r="EM332" i="40" s="1"/>
  <c r="FL139" i="40"/>
  <c r="FL153" i="40" s="1"/>
  <c r="FL205" i="40" s="1"/>
  <c r="ER88" i="40"/>
  <c r="ER139" i="40" s="1"/>
  <c r="FG213" i="40"/>
  <c r="EX6" i="40"/>
  <c r="EY5" i="40"/>
  <c r="EC205" i="40"/>
  <c r="EC213" i="40" s="1"/>
  <c r="EC227" i="40" s="1"/>
  <c r="EC228" i="40" s="1"/>
  <c r="FB205" i="40"/>
  <c r="DZ6" i="40"/>
  <c r="DZ7" i="40" s="1"/>
  <c r="J70" i="27"/>
  <c r="K69" i="27"/>
  <c r="DM190" i="40"/>
  <c r="DM258" i="40" s="1"/>
  <c r="DM317" i="40" s="1"/>
  <c r="DM318" i="40" s="1"/>
  <c r="DM348" i="40" s="1"/>
  <c r="DM377" i="40" s="1"/>
  <c r="DM406" i="40" s="1"/>
  <c r="DL91" i="40"/>
  <c r="DL104" i="40" s="1"/>
  <c r="DL133" i="40" s="1"/>
  <c r="DL225" i="40" s="1"/>
  <c r="DJ82" i="40"/>
  <c r="DJ87" i="40" s="1"/>
  <c r="DK31" i="40"/>
  <c r="DN156" i="40"/>
  <c r="DN166" i="40" s="1"/>
  <c r="DN196" i="40" s="1"/>
  <c r="DN220" i="40" s="1"/>
  <c r="DN254" i="40" s="1"/>
  <c r="DN279" i="40" s="1"/>
  <c r="DN289" i="40" s="1"/>
  <c r="DN339" i="40" s="1"/>
  <c r="DN351" i="40" s="1"/>
  <c r="DN373" i="40" s="1"/>
  <c r="DN388" i="40" s="1"/>
  <c r="DN401" i="40" s="1"/>
  <c r="CJ22" i="62"/>
  <c r="CK22" i="62" s="1"/>
  <c r="DO177" i="40"/>
  <c r="DO181" i="40" s="1"/>
  <c r="DO242" i="40" s="1"/>
  <c r="DO321" i="40" s="1"/>
  <c r="DO337" i="40" s="1"/>
  <c r="DO352" i="40" s="1"/>
  <c r="C7" i="50"/>
  <c r="BE7" i="50"/>
  <c r="BN9" i="50"/>
  <c r="BN7" i="50"/>
  <c r="AM8" i="50"/>
  <c r="U7" i="50"/>
  <c r="BW7" i="50"/>
  <c r="AD8" i="50"/>
  <c r="BN8" i="50"/>
  <c r="AD7" i="50"/>
  <c r="C46" i="30"/>
  <c r="C90" i="30"/>
  <c r="C79" i="30"/>
  <c r="C57" i="30"/>
  <c r="C68" i="30"/>
  <c r="ER205" i="40" l="1"/>
  <c r="ER276" i="40" s="1"/>
  <c r="ER300" i="40" s="1"/>
  <c r="EM371" i="40"/>
  <c r="EM372" i="40" s="1"/>
  <c r="EM380" i="40" s="1"/>
  <c r="EM381" i="40" s="1"/>
  <c r="EM389" i="40" s="1"/>
  <c r="EM392" i="40" s="1"/>
  <c r="EM395" i="40" s="1"/>
  <c r="EM399" i="40" s="1"/>
  <c r="EN4" i="40" s="1"/>
  <c r="EN5" i="40" s="1"/>
  <c r="FR5" i="40"/>
  <c r="FS4" i="40"/>
  <c r="FB213" i="40"/>
  <c r="FB227" i="40" s="1"/>
  <c r="FB228" i="40" s="1"/>
  <c r="FB231" i="40" s="1"/>
  <c r="EI4" i="40"/>
  <c r="EC231" i="40"/>
  <c r="EC263" i="40" s="1"/>
  <c r="EC343" i="40" s="1"/>
  <c r="EX7" i="40"/>
  <c r="EY6" i="40"/>
  <c r="FG257" i="40"/>
  <c r="FG263" i="40" s="1"/>
  <c r="FG343" i="40" s="1"/>
  <c r="FG347" i="40" s="1"/>
  <c r="FG371" i="40" s="1"/>
  <c r="FG380" i="40" s="1"/>
  <c r="FG389" i="40" s="1"/>
  <c r="FG399" i="40" s="1"/>
  <c r="FH4" i="40" s="1"/>
  <c r="FL213" i="40"/>
  <c r="DZ8" i="40"/>
  <c r="CJ27" i="62" s="1"/>
  <c r="CK27" i="62" s="1"/>
  <c r="J71" i="27"/>
  <c r="K70" i="27"/>
  <c r="CJ23" i="62"/>
  <c r="CJ24" i="62"/>
  <c r="DK90" i="40"/>
  <c r="L9" i="50" s="1"/>
  <c r="DL256" i="40"/>
  <c r="DL269" i="40" s="1"/>
  <c r="DL305" i="40" s="1"/>
  <c r="DL310" i="40" s="1"/>
  <c r="DL354" i="40" s="1"/>
  <c r="DL355" i="40" s="1"/>
  <c r="DL359" i="40" s="1"/>
  <c r="DL378" i="40" s="1"/>
  <c r="DL379" i="40" s="1"/>
  <c r="DL400" i="40" s="1"/>
  <c r="DL404" i="40" s="1"/>
  <c r="CJ25" i="62"/>
  <c r="CK25" i="62" s="1"/>
  <c r="AV8" i="50"/>
  <c r="DO358" i="40"/>
  <c r="DO369" i="40" s="1"/>
  <c r="DO384" i="40" s="1"/>
  <c r="DO385" i="40" s="1"/>
  <c r="DO386" i="40" s="1"/>
  <c r="DO387" i="40" s="1"/>
  <c r="DO393" i="40" s="1"/>
  <c r="CP22" i="62"/>
  <c r="CQ22" i="62" s="1"/>
  <c r="CT22" i="62"/>
  <c r="CU22" i="62" s="1"/>
  <c r="CX22" i="62"/>
  <c r="CY22" i="62" s="1"/>
  <c r="CN22" i="62"/>
  <c r="CO22" i="62" s="1"/>
  <c r="CR22" i="62"/>
  <c r="CS22" i="62" s="1"/>
  <c r="CZ22" i="62"/>
  <c r="DA22" i="62" s="1"/>
  <c r="CV22" i="62"/>
  <c r="CW22" i="62" s="1"/>
  <c r="DB22" i="62"/>
  <c r="DC22" i="62" s="1"/>
  <c r="CL22" i="62"/>
  <c r="CM22" i="62" s="1"/>
  <c r="CJ26" i="62"/>
  <c r="CK26" i="62" s="1"/>
  <c r="DJ97" i="40"/>
  <c r="DJ98" i="40" s="1"/>
  <c r="L8" i="50"/>
  <c r="AV11" i="50"/>
  <c r="U9" i="50"/>
  <c r="AM9" i="50"/>
  <c r="AD9" i="50"/>
  <c r="C9" i="50"/>
  <c r="BN10" i="50"/>
  <c r="U8" i="50"/>
  <c r="AV9" i="50"/>
  <c r="BW8" i="50"/>
  <c r="C8" i="50"/>
  <c r="BE8" i="50"/>
  <c r="AV10" i="50"/>
  <c r="AV12" i="50"/>
  <c r="BN35" i="50"/>
  <c r="A2" i="43"/>
  <c r="C2" i="43" s="1"/>
  <c r="CK24" i="62" l="1"/>
  <c r="CP24" i="62" s="1"/>
  <c r="CQ24" i="62" s="1"/>
  <c r="CK23" i="62"/>
  <c r="CN23" i="62" s="1"/>
  <c r="CO23" i="62" s="1"/>
  <c r="L6" i="62" s="1"/>
  <c r="S6" i="62" s="1"/>
  <c r="T37" i="62" s="1"/>
  <c r="U37" i="62" s="1"/>
  <c r="ER380" i="40"/>
  <c r="ER399" i="40" s="1"/>
  <c r="ES4" i="40" s="1"/>
  <c r="ES5" i="40" s="1"/>
  <c r="EO4" i="40"/>
  <c r="EC347" i="40"/>
  <c r="EC399" i="40" s="1"/>
  <c r="ED4" i="40" s="1"/>
  <c r="EE4" i="40" s="1"/>
  <c r="FH5" i="40"/>
  <c r="FI4" i="40"/>
  <c r="FL227" i="40"/>
  <c r="EJ4" i="40"/>
  <c r="EI5" i="40"/>
  <c r="FB257" i="40"/>
  <c r="FB263" i="40" s="1"/>
  <c r="FB276" i="40" s="1"/>
  <c r="FB300" i="40" s="1"/>
  <c r="FB343" i="40" s="1"/>
  <c r="FB347" i="40" s="1"/>
  <c r="FB371" i="40" s="1"/>
  <c r="FB372" i="40" s="1"/>
  <c r="FB380" i="40" s="1"/>
  <c r="FB381" i="40" s="1"/>
  <c r="FB392" i="40" s="1"/>
  <c r="FB395" i="40" s="1"/>
  <c r="EN6" i="40"/>
  <c r="EO5" i="40"/>
  <c r="EX8" i="40"/>
  <c r="EY7" i="40"/>
  <c r="FS5" i="40"/>
  <c r="FR6" i="40"/>
  <c r="DZ9" i="40"/>
  <c r="DZ10" i="40" s="1"/>
  <c r="J72" i="27"/>
  <c r="K71" i="27"/>
  <c r="DK118" i="40"/>
  <c r="L10" i="50" s="1"/>
  <c r="DJ121" i="40"/>
  <c r="DJ128" i="40" s="1"/>
  <c r="DJ148" i="40" s="1"/>
  <c r="DJ162" i="40" s="1"/>
  <c r="DJ178" i="40" s="1"/>
  <c r="DJ198" i="40" s="1"/>
  <c r="DJ211" i="40" s="1"/>
  <c r="DJ272" i="40" s="1"/>
  <c r="CL25" i="62"/>
  <c r="CM25" i="62" s="1"/>
  <c r="CR25" i="62"/>
  <c r="CS25" i="62" s="1"/>
  <c r="CX25" i="62"/>
  <c r="CY25" i="62" s="1"/>
  <c r="CZ25" i="62"/>
  <c r="DA25" i="62" s="1"/>
  <c r="DB25" i="62"/>
  <c r="DC25" i="62" s="1"/>
  <c r="CN25" i="62"/>
  <c r="CP25" i="62"/>
  <c r="CQ25" i="62" s="1"/>
  <c r="CT25" i="62"/>
  <c r="CU25" i="62" s="1"/>
  <c r="CV25" i="62"/>
  <c r="CW25" i="62" s="1"/>
  <c r="CR26" i="62"/>
  <c r="CS26" i="62" s="1"/>
  <c r="CN26" i="62"/>
  <c r="CO26" i="62" s="1"/>
  <c r="DB26" i="62"/>
  <c r="DC26" i="62" s="1"/>
  <c r="CV26" i="62"/>
  <c r="CW26" i="62" s="1"/>
  <c r="CP26" i="62"/>
  <c r="CL26" i="62"/>
  <c r="CZ26" i="62"/>
  <c r="DA26" i="62" s="1"/>
  <c r="CX26" i="62"/>
  <c r="CY26" i="62" s="1"/>
  <c r="CT26" i="62"/>
  <c r="CU26" i="62" s="1"/>
  <c r="CT27" i="62"/>
  <c r="CU27" i="62" s="1"/>
  <c r="CN27" i="62"/>
  <c r="DB27" i="62"/>
  <c r="DC27" i="62" s="1"/>
  <c r="CV27" i="62"/>
  <c r="CW27" i="62" s="1"/>
  <c r="CX27" i="62"/>
  <c r="CY27" i="62" s="1"/>
  <c r="CR27" i="62"/>
  <c r="CS27" i="62" s="1"/>
  <c r="CL27" i="62"/>
  <c r="CM27" i="62" s="1"/>
  <c r="CP27" i="62"/>
  <c r="CZ27" i="62"/>
  <c r="DA27" i="62" s="1"/>
  <c r="BE10" i="50"/>
  <c r="BW9" i="50"/>
  <c r="BN27" i="50"/>
  <c r="AD11" i="50"/>
  <c r="BE9" i="50"/>
  <c r="BN21" i="50"/>
  <c r="C10" i="50"/>
  <c r="AD10" i="50"/>
  <c r="BN31" i="50"/>
  <c r="BN17" i="50"/>
  <c r="BN11" i="50"/>
  <c r="BN16" i="50"/>
  <c r="BN22" i="50"/>
  <c r="BN20" i="50"/>
  <c r="BN32" i="50"/>
  <c r="BN18" i="50"/>
  <c r="BN13" i="50"/>
  <c r="BN26" i="50"/>
  <c r="BN19" i="50"/>
  <c r="AD12" i="50"/>
  <c r="BN33" i="50"/>
  <c r="BN29" i="50"/>
  <c r="BN30" i="50"/>
  <c r="BN24" i="50"/>
  <c r="AM10" i="50"/>
  <c r="BN34" i="50"/>
  <c r="U10" i="50"/>
  <c r="BN23" i="50"/>
  <c r="BN12" i="50"/>
  <c r="BN14" i="50"/>
  <c r="BN15" i="50"/>
  <c r="BN28" i="50"/>
  <c r="BN25" i="50"/>
  <c r="BW12" i="50"/>
  <c r="O208" i="1"/>
  <c r="AD42" i="23"/>
  <c r="AD54" i="1"/>
  <c r="AD52" i="1"/>
  <c r="AD50" i="1"/>
  <c r="AD48" i="1"/>
  <c r="AD46" i="1"/>
  <c r="AD44" i="1"/>
  <c r="E17" i="23"/>
  <c r="E16" i="23"/>
  <c r="E15" i="23"/>
  <c r="E14" i="23"/>
  <c r="E13" i="23"/>
  <c r="E12" i="23"/>
  <c r="H9" i="23"/>
  <c r="H8" i="23"/>
  <c r="H7" i="23"/>
  <c r="H6" i="23"/>
  <c r="H5" i="23"/>
  <c r="H4" i="23"/>
  <c r="E9" i="23"/>
  <c r="F9" i="23" s="1"/>
  <c r="E8" i="23"/>
  <c r="I8" i="23" s="1"/>
  <c r="J8" i="23" s="1"/>
  <c r="E7" i="23"/>
  <c r="F7" i="23" s="1"/>
  <c r="E6" i="23"/>
  <c r="F6" i="23" s="1"/>
  <c r="E5" i="23"/>
  <c r="F5" i="23" s="1"/>
  <c r="E4" i="23"/>
  <c r="I4" i="23" s="1"/>
  <c r="ED5" i="40" l="1"/>
  <c r="CX23" i="62"/>
  <c r="CY23" i="62" s="1"/>
  <c r="CT24" i="62"/>
  <c r="CU24" i="62" s="1"/>
  <c r="CV23" i="62"/>
  <c r="CW23" i="62" s="1"/>
  <c r="CZ23" i="62"/>
  <c r="DA23" i="62" s="1"/>
  <c r="DB23" i="62"/>
  <c r="DC23" i="62" s="1"/>
  <c r="CR23" i="62"/>
  <c r="CS23" i="62" s="1"/>
  <c r="CN24" i="62"/>
  <c r="CO24" i="62" s="1"/>
  <c r="CO25" i="62" s="1"/>
  <c r="CP23" i="62"/>
  <c r="CQ23" i="62" s="1"/>
  <c r="CL23" i="62"/>
  <c r="CM23" i="62" s="1"/>
  <c r="DB24" i="62"/>
  <c r="DC24" i="62" s="1"/>
  <c r="CX24" i="62"/>
  <c r="CY24" i="62" s="1"/>
  <c r="CT23" i="62"/>
  <c r="CU23" i="62" s="1"/>
  <c r="CL24" i="62"/>
  <c r="CR24" i="62"/>
  <c r="CS24" i="62" s="1"/>
  <c r="CV24" i="62"/>
  <c r="CW24" i="62" s="1"/>
  <c r="CZ24" i="62"/>
  <c r="DA24" i="62" s="1"/>
  <c r="CM24" i="62"/>
  <c r="ET4" i="40"/>
  <c r="ET5" i="40"/>
  <c r="ES6" i="40"/>
  <c r="EX9" i="40"/>
  <c r="EY8" i="40"/>
  <c r="EN7" i="40"/>
  <c r="EO6" i="40"/>
  <c r="FR7" i="40"/>
  <c r="FS6" i="40"/>
  <c r="EE5" i="40"/>
  <c r="ED6" i="40"/>
  <c r="FB399" i="40"/>
  <c r="FC4" i="40" s="1"/>
  <c r="FL228" i="40"/>
  <c r="FL231" i="40" s="1"/>
  <c r="FL257" i="40" s="1"/>
  <c r="FL263" i="40" s="1"/>
  <c r="FL276" i="40" s="1"/>
  <c r="FL300" i="40" s="1"/>
  <c r="FL343" i="40" s="1"/>
  <c r="FL347" i="40" s="1"/>
  <c r="FL371" i="40" s="1"/>
  <c r="FL372" i="40" s="1"/>
  <c r="FL380" i="40" s="1"/>
  <c r="FL381" i="40" s="1"/>
  <c r="FL392" i="40" s="1"/>
  <c r="FL395" i="40" s="1"/>
  <c r="FL399" i="40" s="1"/>
  <c r="FM4" i="40" s="1"/>
  <c r="EI6" i="40"/>
  <c r="EJ5" i="40"/>
  <c r="FI5" i="40"/>
  <c r="FH6" i="40"/>
  <c r="DZ11" i="40"/>
  <c r="DZ12" i="40" s="1"/>
  <c r="DZ13" i="40" s="1"/>
  <c r="CJ28" i="62"/>
  <c r="CK28" i="62" s="1"/>
  <c r="CJ29" i="62"/>
  <c r="CK29" i="62" s="1"/>
  <c r="J73" i="27"/>
  <c r="K72" i="27"/>
  <c r="CQ26" i="62"/>
  <c r="CQ27" i="62" s="1"/>
  <c r="DK137" i="40"/>
  <c r="DJ308" i="40"/>
  <c r="DJ334" i="40" s="1"/>
  <c r="DJ366" i="40" s="1"/>
  <c r="DJ368" i="40" s="1"/>
  <c r="DJ376" i="40" s="1"/>
  <c r="DJ382" i="40" s="1"/>
  <c r="BW14" i="50"/>
  <c r="BW33" i="50"/>
  <c r="BW29" i="50"/>
  <c r="BW20" i="50"/>
  <c r="BW25" i="50"/>
  <c r="BW28" i="50"/>
  <c r="BW18" i="50"/>
  <c r="BW31" i="50"/>
  <c r="BW13" i="50"/>
  <c r="BW21" i="50"/>
  <c r="BW26" i="50"/>
  <c r="BW24" i="50"/>
  <c r="BW30" i="50"/>
  <c r="BW19" i="50"/>
  <c r="BW15" i="50"/>
  <c r="BW35" i="50"/>
  <c r="BW17" i="50"/>
  <c r="BW16" i="50"/>
  <c r="BW22" i="50"/>
  <c r="BW27" i="50"/>
  <c r="BW23" i="50"/>
  <c r="BW34" i="50"/>
  <c r="BW11" i="50"/>
  <c r="BW10" i="50"/>
  <c r="BW32" i="50"/>
  <c r="I6" i="23"/>
  <c r="J6" i="23" s="1"/>
  <c r="I7" i="23"/>
  <c r="J7" i="23" s="1"/>
  <c r="F8" i="23"/>
  <c r="I9" i="23"/>
  <c r="J9" i="23" s="1"/>
  <c r="I5" i="23"/>
  <c r="J5" i="23" s="1"/>
  <c r="F12" i="23"/>
  <c r="F16" i="23"/>
  <c r="J4" i="23"/>
  <c r="H10" i="23"/>
  <c r="G10" i="23"/>
  <c r="E10" i="23"/>
  <c r="F4" i="23"/>
  <c r="A4" i="43"/>
  <c r="C4" i="43" s="1"/>
  <c r="A8" i="43"/>
  <c r="C8" i="43" s="1"/>
  <c r="A7" i="43"/>
  <c r="C7" i="43" s="1"/>
  <c r="A6" i="43"/>
  <c r="C6" i="43" s="1"/>
  <c r="A5" i="43"/>
  <c r="C5" i="43" s="1"/>
  <c r="A1" i="43"/>
  <c r="L7" i="62" l="1"/>
  <c r="S7" i="62" s="1"/>
  <c r="T38" i="62" s="1"/>
  <c r="U38" i="62" s="1"/>
  <c r="CM26" i="62"/>
  <c r="CO27" i="62"/>
  <c r="L8" i="62" s="1"/>
  <c r="S8" i="62" s="1"/>
  <c r="T39" i="62" s="1"/>
  <c r="U39" i="62" s="1"/>
  <c r="CJ30" i="62"/>
  <c r="FM5" i="40"/>
  <c r="FN4" i="40"/>
  <c r="FD4" i="40"/>
  <c r="FC5" i="40"/>
  <c r="FS7" i="40"/>
  <c r="FR8" i="40"/>
  <c r="EX10" i="40"/>
  <c r="EY9" i="40"/>
  <c r="EJ6" i="40"/>
  <c r="EI7" i="40"/>
  <c r="ED7" i="40"/>
  <c r="EE6" i="40"/>
  <c r="ET6" i="40"/>
  <c r="ES7" i="40"/>
  <c r="FI6" i="40"/>
  <c r="FH7" i="40"/>
  <c r="EN8" i="40"/>
  <c r="EO7" i="40"/>
  <c r="CJ31" i="62"/>
  <c r="CL28" i="62"/>
  <c r="CM28" i="62" s="1"/>
  <c r="CP28" i="62"/>
  <c r="CR28" i="62"/>
  <c r="CS28" i="62" s="1"/>
  <c r="CZ28" i="62"/>
  <c r="DA28" i="62" s="1"/>
  <c r="CN28" i="62"/>
  <c r="CO28" i="62" s="1"/>
  <c r="CV28" i="62"/>
  <c r="CW28" i="62" s="1"/>
  <c r="CT28" i="62"/>
  <c r="CU28" i="62" s="1"/>
  <c r="CX28" i="62"/>
  <c r="CY28" i="62" s="1"/>
  <c r="DB28" i="62"/>
  <c r="DC28" i="62" s="1"/>
  <c r="DB29" i="62"/>
  <c r="DC29" i="62" s="1"/>
  <c r="CX29" i="62"/>
  <c r="CY29" i="62" s="1"/>
  <c r="CP29" i="62"/>
  <c r="CL29" i="62"/>
  <c r="CM29" i="62" s="1"/>
  <c r="CZ29" i="62"/>
  <c r="DA29" i="62" s="1"/>
  <c r="CR29" i="62"/>
  <c r="CS29" i="62" s="1"/>
  <c r="CN29" i="62"/>
  <c r="CV29" i="62"/>
  <c r="CW29" i="62" s="1"/>
  <c r="CT29" i="62"/>
  <c r="CU29" i="62" s="1"/>
  <c r="DZ14" i="40"/>
  <c r="DZ15" i="40" s="1"/>
  <c r="DZ16" i="40" s="1"/>
  <c r="J74" i="27"/>
  <c r="K73" i="27"/>
  <c r="CQ28" i="62"/>
  <c r="L11" i="50"/>
  <c r="DK143" i="40"/>
  <c r="DK145" i="40" s="1"/>
  <c r="BE30" i="50"/>
  <c r="BE22" i="50"/>
  <c r="BE23" i="50"/>
  <c r="BE32" i="50"/>
  <c r="BE15" i="50"/>
  <c r="BE31" i="50"/>
  <c r="BE14" i="50"/>
  <c r="BE13" i="50"/>
  <c r="BE12" i="50"/>
  <c r="BE21" i="50"/>
  <c r="BE20" i="50"/>
  <c r="BE29" i="50"/>
  <c r="BE35" i="50"/>
  <c r="BE26" i="50"/>
  <c r="BE33" i="50"/>
  <c r="BE18" i="50"/>
  <c r="BE11" i="50"/>
  <c r="BE17" i="50"/>
  <c r="BE25" i="50"/>
  <c r="BE27" i="50"/>
  <c r="BE28" i="50"/>
  <c r="BE19" i="50"/>
  <c r="BE16" i="50"/>
  <c r="BE34" i="50"/>
  <c r="BE24" i="50"/>
  <c r="F14" i="23"/>
  <c r="F15" i="23"/>
  <c r="F10" i="23"/>
  <c r="F17" i="23"/>
  <c r="J10" i="23"/>
  <c r="I10" i="23"/>
  <c r="F13" i="23"/>
  <c r="AT63" i="4"/>
  <c r="J63" i="4"/>
  <c r="CF19" i="6"/>
  <c r="BU19" i="6"/>
  <c r="BJ19" i="6"/>
  <c r="AY19" i="6"/>
  <c r="AN19" i="6"/>
  <c r="S19" i="6"/>
  <c r="J19" i="6"/>
  <c r="E19" i="6"/>
  <c r="CF18" i="6"/>
  <c r="BU18" i="6"/>
  <c r="BJ18" i="6"/>
  <c r="AY18" i="6"/>
  <c r="AN18" i="6"/>
  <c r="T18" i="6"/>
  <c r="S18" i="6" s="1"/>
  <c r="J18" i="6"/>
  <c r="E18" i="6"/>
  <c r="J15" i="6"/>
  <c r="J16" i="6"/>
  <c r="J17" i="6"/>
  <c r="CF17" i="6"/>
  <c r="BU17" i="6"/>
  <c r="BJ17" i="6"/>
  <c r="AY17" i="6"/>
  <c r="AN17" i="6"/>
  <c r="T17" i="6"/>
  <c r="S17" i="6" s="1"/>
  <c r="CF16" i="6"/>
  <c r="BU16" i="6"/>
  <c r="BJ16" i="6"/>
  <c r="AY16" i="6"/>
  <c r="AN16" i="6"/>
  <c r="S16" i="6"/>
  <c r="CF15" i="6"/>
  <c r="BU15" i="6"/>
  <c r="BJ15" i="6"/>
  <c r="AY15" i="6"/>
  <c r="AN15" i="6"/>
  <c r="S15" i="6"/>
  <c r="T14" i="6"/>
  <c r="T13" i="6"/>
  <c r="C7" i="62" l="1"/>
  <c r="J7" i="62" s="1"/>
  <c r="K38" i="62" s="1"/>
  <c r="L38" i="62" s="1"/>
  <c r="CQ29" i="62"/>
  <c r="U6" i="62" s="1"/>
  <c r="AB6" i="62" s="1"/>
  <c r="AC37" i="62" s="1"/>
  <c r="AD37" i="62" s="1"/>
  <c r="CK30" i="62"/>
  <c r="CP30" i="62" s="1"/>
  <c r="CQ30" i="62" s="1"/>
  <c r="CK31" i="62"/>
  <c r="CZ31" i="62" s="1"/>
  <c r="DA31" i="62" s="1"/>
  <c r="FI7" i="40"/>
  <c r="FH8" i="40"/>
  <c r="FD5" i="40"/>
  <c r="FC6" i="40"/>
  <c r="EE7" i="40"/>
  <c r="ED8" i="40"/>
  <c r="EX11" i="40"/>
  <c r="EY10" i="40"/>
  <c r="ES8" i="40"/>
  <c r="ET7" i="40"/>
  <c r="EI8" i="40"/>
  <c r="EJ7" i="40"/>
  <c r="FS8" i="40"/>
  <c r="FR9" i="40"/>
  <c r="EN9" i="40"/>
  <c r="EO8" i="40"/>
  <c r="FM6" i="40"/>
  <c r="FN5" i="40"/>
  <c r="CO29" i="62"/>
  <c r="DZ17" i="40"/>
  <c r="DZ18" i="40" s="1"/>
  <c r="DZ19" i="40" s="1"/>
  <c r="DZ20" i="40" s="1"/>
  <c r="DZ21" i="40" s="1"/>
  <c r="DZ22" i="40" s="1"/>
  <c r="DZ23" i="40" s="1"/>
  <c r="DZ24" i="40" s="1"/>
  <c r="DZ25" i="40" s="1"/>
  <c r="DZ26" i="40" s="1"/>
  <c r="DZ27" i="40" s="1"/>
  <c r="DZ28" i="40" s="1"/>
  <c r="DZ29" i="40" s="1"/>
  <c r="DZ30" i="40" s="1"/>
  <c r="DZ31" i="40" s="1"/>
  <c r="DZ32" i="40" s="1"/>
  <c r="DZ33" i="40" s="1"/>
  <c r="DZ34" i="40" s="1"/>
  <c r="DZ35" i="40" s="1"/>
  <c r="DZ36" i="40" s="1"/>
  <c r="DZ37" i="40" s="1"/>
  <c r="J75" i="27"/>
  <c r="K74" i="27"/>
  <c r="DK171" i="40"/>
  <c r="DK179" i="40" s="1"/>
  <c r="DK185" i="40" s="1"/>
  <c r="DK203" i="40" s="1"/>
  <c r="DK208" i="40" s="1"/>
  <c r="DK237" i="40" s="1"/>
  <c r="DK248" i="40" s="1"/>
  <c r="DK271" i="40" s="1"/>
  <c r="DK312" i="40" s="1"/>
  <c r="DK374" i="40" s="1"/>
  <c r="DK375" i="40" s="1"/>
  <c r="DK396" i="40" s="1"/>
  <c r="DK405" i="40" s="1"/>
  <c r="L13" i="50"/>
  <c r="L12" i="50"/>
  <c r="C13" i="50"/>
  <c r="C11" i="50"/>
  <c r="C12" i="50"/>
  <c r="AV13" i="50"/>
  <c r="AV20" i="50"/>
  <c r="AV33" i="50"/>
  <c r="AV30" i="50"/>
  <c r="AV27" i="50"/>
  <c r="AV21" i="50"/>
  <c r="AV22" i="50"/>
  <c r="AV29" i="50"/>
  <c r="AV25" i="50"/>
  <c r="AV17" i="50"/>
  <c r="AV28" i="50"/>
  <c r="AV34" i="50"/>
  <c r="AV15" i="50"/>
  <c r="AV18" i="50"/>
  <c r="AV35" i="50"/>
  <c r="AV16" i="50"/>
  <c r="AV19" i="50"/>
  <c r="AV23" i="50"/>
  <c r="AV26" i="50"/>
  <c r="AV14" i="50"/>
  <c r="AV32" i="50"/>
  <c r="AV31" i="50"/>
  <c r="AV24" i="50"/>
  <c r="AD25" i="50"/>
  <c r="AD15" i="50"/>
  <c r="AD34" i="50"/>
  <c r="AD23" i="50"/>
  <c r="AD31" i="50"/>
  <c r="AD26" i="50"/>
  <c r="AD13" i="50"/>
  <c r="AD24" i="50"/>
  <c r="AD17" i="50"/>
  <c r="AD29" i="50"/>
  <c r="AD33" i="50"/>
  <c r="AD19" i="50"/>
  <c r="AD32" i="50"/>
  <c r="AD22" i="50"/>
  <c r="AD14" i="50"/>
  <c r="AD30" i="50"/>
  <c r="AD18" i="50"/>
  <c r="AD35" i="50"/>
  <c r="AD28" i="50"/>
  <c r="AD21" i="50"/>
  <c r="AD16" i="50"/>
  <c r="AD20" i="50"/>
  <c r="AD27" i="50"/>
  <c r="G17" i="23"/>
  <c r="G12" i="23"/>
  <c r="G14" i="23"/>
  <c r="G16" i="23"/>
  <c r="G13" i="23"/>
  <c r="G15" i="23"/>
  <c r="CR30" i="62" l="1"/>
  <c r="CS30" i="62" s="1"/>
  <c r="CX31" i="62"/>
  <c r="CY31" i="62" s="1"/>
  <c r="DB30" i="62"/>
  <c r="DC30" i="62" s="1"/>
  <c r="CP31" i="62"/>
  <c r="CQ31" i="62" s="1"/>
  <c r="U10" i="62" s="1"/>
  <c r="AB10" i="62" s="1"/>
  <c r="AC41" i="62" s="1"/>
  <c r="AD41" i="62" s="1"/>
  <c r="CV30" i="62"/>
  <c r="CW30" i="62" s="1"/>
  <c r="CZ30" i="62"/>
  <c r="DA30" i="62" s="1"/>
  <c r="BN7" i="62" s="1"/>
  <c r="BU7" i="62" s="1"/>
  <c r="BV38" i="62" s="1"/>
  <c r="BW38" i="62" s="1"/>
  <c r="CT31" i="62"/>
  <c r="CT30" i="62"/>
  <c r="CU30" i="62" s="1"/>
  <c r="CX30" i="62"/>
  <c r="CY30" i="62" s="1"/>
  <c r="CV31" i="62"/>
  <c r="CW31" i="62" s="1"/>
  <c r="AV6" i="62" s="1"/>
  <c r="BC6" i="62" s="1"/>
  <c r="BD37" i="62" s="1"/>
  <c r="BE37" i="62" s="1"/>
  <c r="CL31" i="62"/>
  <c r="CM31" i="62" s="1"/>
  <c r="C6" i="62" s="1"/>
  <c r="J6" i="62" s="1"/>
  <c r="K37" i="62" s="1"/>
  <c r="L37" i="62" s="1"/>
  <c r="DB31" i="62"/>
  <c r="DC31" i="62" s="1"/>
  <c r="CN31" i="62"/>
  <c r="CO31" i="62" s="1"/>
  <c r="CR31" i="62"/>
  <c r="CS31" i="62" s="1"/>
  <c r="AD6" i="62" s="1"/>
  <c r="AK6" i="62" s="1"/>
  <c r="AL37" i="62" s="1"/>
  <c r="AM37" i="62" s="1"/>
  <c r="CN30" i="62"/>
  <c r="CO30" i="62" s="1"/>
  <c r="L12" i="62" s="1"/>
  <c r="S12" i="62" s="1"/>
  <c r="T43" i="62" s="1"/>
  <c r="U43" i="62" s="1"/>
  <c r="CL30" i="62"/>
  <c r="CM30" i="62" s="1"/>
  <c r="BN6" i="62"/>
  <c r="BU6" i="62" s="1"/>
  <c r="BV37" i="62" s="1"/>
  <c r="BW37" i="62" s="1"/>
  <c r="BN30" i="62"/>
  <c r="BU30" i="62" s="1"/>
  <c r="BV61" i="62" s="1"/>
  <c r="BW61" i="62" s="1"/>
  <c r="EO9" i="40"/>
  <c r="EN10" i="40"/>
  <c r="EJ8" i="40"/>
  <c r="EI9" i="40"/>
  <c r="EX12" i="40"/>
  <c r="EY11" i="40"/>
  <c r="FS9" i="40"/>
  <c r="FR10" i="40"/>
  <c r="ED9" i="40"/>
  <c r="EE8" i="40"/>
  <c r="FI8" i="40"/>
  <c r="FH9" i="40"/>
  <c r="FN6" i="40"/>
  <c r="FM7" i="40"/>
  <c r="ES9" i="40"/>
  <c r="ET8" i="40"/>
  <c r="FC7" i="40"/>
  <c r="FD6" i="40"/>
  <c r="DZ38" i="40"/>
  <c r="DZ39" i="40" s="1"/>
  <c r="DZ40" i="40" s="1"/>
  <c r="DZ41" i="40" s="1"/>
  <c r="DZ42" i="40" s="1"/>
  <c r="DZ43" i="40" s="1"/>
  <c r="DZ44" i="40" s="1"/>
  <c r="DZ45" i="40" s="1"/>
  <c r="DZ46" i="40" s="1"/>
  <c r="J76" i="27"/>
  <c r="K75" i="27"/>
  <c r="C14" i="50"/>
  <c r="C18" i="50"/>
  <c r="C15" i="50"/>
  <c r="C17" i="50"/>
  <c r="C16" i="50"/>
  <c r="U22" i="50"/>
  <c r="U12" i="50"/>
  <c r="U33" i="50"/>
  <c r="U27" i="50"/>
  <c r="U13" i="50"/>
  <c r="U32" i="50"/>
  <c r="U19" i="50"/>
  <c r="U18" i="50"/>
  <c r="U21" i="50"/>
  <c r="U24" i="50"/>
  <c r="U17" i="50"/>
  <c r="U11" i="50"/>
  <c r="U28" i="50"/>
  <c r="U25" i="50"/>
  <c r="U29" i="50"/>
  <c r="U34" i="50"/>
  <c r="U31" i="50"/>
  <c r="U30" i="50"/>
  <c r="U15" i="50"/>
  <c r="U35" i="50"/>
  <c r="U26" i="50"/>
  <c r="U16" i="50"/>
  <c r="U20" i="50"/>
  <c r="U23" i="50"/>
  <c r="U14" i="50"/>
  <c r="T4" i="39"/>
  <c r="T5" i="39" s="1"/>
  <c r="T6" i="39" s="1"/>
  <c r="T7" i="39" s="1"/>
  <c r="T8" i="39" s="1"/>
  <c r="T9" i="39" s="1"/>
  <c r="T10" i="39" s="1"/>
  <c r="T11" i="39" s="1"/>
  <c r="T12" i="39" s="1"/>
  <c r="T13" i="39" s="1"/>
  <c r="T14" i="39" s="1"/>
  <c r="T15" i="39" s="1"/>
  <c r="T16" i="39" s="1"/>
  <c r="T17" i="39" s="1"/>
  <c r="T18" i="39" s="1"/>
  <c r="T19" i="39" s="1"/>
  <c r="T20" i="39" s="1"/>
  <c r="T21" i="39" s="1"/>
  <c r="T22" i="39" s="1"/>
  <c r="BT82" i="39"/>
  <c r="BT81" i="39"/>
  <c r="BT80" i="39"/>
  <c r="BT79" i="39"/>
  <c r="BT78" i="39"/>
  <c r="BT77" i="39"/>
  <c r="BT76" i="39"/>
  <c r="BT75" i="39"/>
  <c r="BT74" i="39"/>
  <c r="BT73" i="39"/>
  <c r="BT72" i="39"/>
  <c r="BT71" i="39"/>
  <c r="BT70" i="39"/>
  <c r="BT69" i="39"/>
  <c r="BT68" i="39"/>
  <c r="BT67" i="39"/>
  <c r="BT66" i="39"/>
  <c r="BT65" i="39"/>
  <c r="BT64" i="39"/>
  <c r="BT63" i="39"/>
  <c r="BT62" i="39"/>
  <c r="BT61" i="39"/>
  <c r="BT60" i="39"/>
  <c r="BT59" i="39"/>
  <c r="BT58" i="39"/>
  <c r="BT57" i="39"/>
  <c r="BT56" i="39"/>
  <c r="BT55" i="39"/>
  <c r="BT54" i="39"/>
  <c r="BT53" i="39"/>
  <c r="BT52" i="39"/>
  <c r="BT51" i="39"/>
  <c r="BT50" i="39"/>
  <c r="BT49" i="39"/>
  <c r="BT48" i="39"/>
  <c r="BT47" i="39"/>
  <c r="BT46" i="39"/>
  <c r="BT83" i="39"/>
  <c r="BT101" i="39"/>
  <c r="BT100" i="39"/>
  <c r="BT99" i="39"/>
  <c r="BT98" i="39"/>
  <c r="BT97" i="39"/>
  <c r="BT96" i="39"/>
  <c r="BT95" i="39"/>
  <c r="BT94" i="39"/>
  <c r="BT93" i="39"/>
  <c r="BT92" i="39"/>
  <c r="BT91" i="39"/>
  <c r="BT90" i="39"/>
  <c r="BT89" i="39"/>
  <c r="BT88" i="39"/>
  <c r="BT87" i="39"/>
  <c r="BT86" i="39"/>
  <c r="BT85" i="39"/>
  <c r="BT84" i="39"/>
  <c r="BT45" i="39"/>
  <c r="BT44" i="39"/>
  <c r="BT43" i="39"/>
  <c r="BT42" i="39"/>
  <c r="BT41" i="39"/>
  <c r="BT40" i="39"/>
  <c r="BT39" i="39"/>
  <c r="BT38" i="39"/>
  <c r="BT37" i="39"/>
  <c r="BT36" i="39"/>
  <c r="BT35" i="39"/>
  <c r="BT34" i="39"/>
  <c r="BT33" i="39"/>
  <c r="BT32" i="39"/>
  <c r="BT31" i="39"/>
  <c r="BT30" i="39"/>
  <c r="BT29" i="39"/>
  <c r="BT28" i="39"/>
  <c r="BT27" i="39"/>
  <c r="U27" i="62" l="1"/>
  <c r="AB27" i="62" s="1"/>
  <c r="AC58" i="62" s="1"/>
  <c r="AD58" i="62" s="1"/>
  <c r="BE12" i="62"/>
  <c r="BL12" i="62" s="1"/>
  <c r="BM43" i="62" s="1"/>
  <c r="BN43" i="62" s="1"/>
  <c r="L35" i="62"/>
  <c r="S35" i="62" s="1"/>
  <c r="T66" i="62" s="1"/>
  <c r="U66" i="62" s="1"/>
  <c r="L11" i="62"/>
  <c r="S11" i="62" s="1"/>
  <c r="T42" i="62" s="1"/>
  <c r="U42" i="62" s="1"/>
  <c r="BN23" i="62"/>
  <c r="BU23" i="62" s="1"/>
  <c r="BV54" i="62" s="1"/>
  <c r="BW54" i="62" s="1"/>
  <c r="L15" i="62"/>
  <c r="S15" i="62" s="1"/>
  <c r="T46" i="62" s="1"/>
  <c r="U46" i="62" s="1"/>
  <c r="AV7" i="62"/>
  <c r="BC7" i="62" s="1"/>
  <c r="BD38" i="62" s="1"/>
  <c r="BE38" i="62" s="1"/>
  <c r="L10" i="62"/>
  <c r="S10" i="62" s="1"/>
  <c r="T41" i="62" s="1"/>
  <c r="U41" i="62" s="1"/>
  <c r="BW17" i="62"/>
  <c r="CC17" i="62" s="1"/>
  <c r="CD48" i="62" s="1"/>
  <c r="CE48" i="62" s="1"/>
  <c r="U25" i="62"/>
  <c r="AB25" i="62" s="1"/>
  <c r="AC56" i="62" s="1"/>
  <c r="AD56" i="62" s="1"/>
  <c r="U35" i="62"/>
  <c r="AB35" i="62" s="1"/>
  <c r="AC66" i="62" s="1"/>
  <c r="AD66" i="62" s="1"/>
  <c r="BN27" i="62"/>
  <c r="BU27" i="62" s="1"/>
  <c r="BV58" i="62" s="1"/>
  <c r="BW58" i="62" s="1"/>
  <c r="BN28" i="62"/>
  <c r="BU28" i="62" s="1"/>
  <c r="BV59" i="62" s="1"/>
  <c r="BW59" i="62" s="1"/>
  <c r="BN34" i="62"/>
  <c r="BU34" i="62" s="1"/>
  <c r="BV65" i="62" s="1"/>
  <c r="BW65" i="62" s="1"/>
  <c r="BE20" i="62"/>
  <c r="BL20" i="62" s="1"/>
  <c r="BM51" i="62" s="1"/>
  <c r="BN51" i="62" s="1"/>
  <c r="L9" i="62"/>
  <c r="S9" i="62" s="1"/>
  <c r="T40" i="62" s="1"/>
  <c r="U40" i="62" s="1"/>
  <c r="C9" i="62"/>
  <c r="J9" i="62" s="1"/>
  <c r="K40" i="62" s="1"/>
  <c r="L40" i="62" s="1"/>
  <c r="C8" i="62"/>
  <c r="J8" i="62" s="1"/>
  <c r="K39" i="62" s="1"/>
  <c r="L39" i="62" s="1"/>
  <c r="BE6" i="62"/>
  <c r="BL6" i="62" s="1"/>
  <c r="BM37" i="62" s="1"/>
  <c r="BN37" i="62" s="1"/>
  <c r="U7" i="62"/>
  <c r="AB7" i="62" s="1"/>
  <c r="AC38" i="62" s="1"/>
  <c r="AD38" i="62" s="1"/>
  <c r="U9" i="62"/>
  <c r="AB9" i="62" s="1"/>
  <c r="AC40" i="62" s="1"/>
  <c r="AD40" i="62" s="1"/>
  <c r="AD7" i="62"/>
  <c r="AK7" i="62" s="1"/>
  <c r="AL38" i="62" s="1"/>
  <c r="AM38" i="62" s="1"/>
  <c r="U8" i="62"/>
  <c r="AB8" i="62" s="1"/>
  <c r="AC39" i="62" s="1"/>
  <c r="AD39" i="62" s="1"/>
  <c r="AV15" i="62"/>
  <c r="BC15" i="62" s="1"/>
  <c r="BD46" i="62" s="1"/>
  <c r="BE46" i="62" s="1"/>
  <c r="L23" i="62"/>
  <c r="S23" i="62" s="1"/>
  <c r="T54" i="62" s="1"/>
  <c r="U54" i="62" s="1"/>
  <c r="L16" i="62"/>
  <c r="S16" i="62" s="1"/>
  <c r="T47" i="62" s="1"/>
  <c r="U47" i="62" s="1"/>
  <c r="BE19" i="62"/>
  <c r="BL19" i="62" s="1"/>
  <c r="BM50" i="62" s="1"/>
  <c r="BN50" i="62" s="1"/>
  <c r="BE15" i="62"/>
  <c r="BL15" i="62" s="1"/>
  <c r="BM46" i="62" s="1"/>
  <c r="BN46" i="62" s="1"/>
  <c r="BE13" i="62"/>
  <c r="BL13" i="62" s="1"/>
  <c r="BM44" i="62" s="1"/>
  <c r="BN44" i="62" s="1"/>
  <c r="AV25" i="62"/>
  <c r="BC25" i="62" s="1"/>
  <c r="BD56" i="62" s="1"/>
  <c r="BE56" i="62" s="1"/>
  <c r="C32" i="62"/>
  <c r="J32" i="62" s="1"/>
  <c r="K63" i="62" s="1"/>
  <c r="L63" i="62" s="1"/>
  <c r="BE22" i="62"/>
  <c r="BL22" i="62" s="1"/>
  <c r="BM53" i="62" s="1"/>
  <c r="BN53" i="62" s="1"/>
  <c r="BE25" i="62"/>
  <c r="BL25" i="62" s="1"/>
  <c r="BM56" i="62" s="1"/>
  <c r="BN56" i="62" s="1"/>
  <c r="BE23" i="62"/>
  <c r="BL23" i="62" s="1"/>
  <c r="BM54" i="62" s="1"/>
  <c r="BN54" i="62" s="1"/>
  <c r="BE21" i="62"/>
  <c r="BL21" i="62" s="1"/>
  <c r="BM52" i="62" s="1"/>
  <c r="BN52" i="62" s="1"/>
  <c r="BE34" i="62"/>
  <c r="BL34" i="62" s="1"/>
  <c r="BM65" i="62" s="1"/>
  <c r="BN65" i="62" s="1"/>
  <c r="U13" i="62"/>
  <c r="AB13" i="62" s="1"/>
  <c r="AC44" i="62" s="1"/>
  <c r="AD44" i="62" s="1"/>
  <c r="U14" i="62"/>
  <c r="AB14" i="62" s="1"/>
  <c r="AC45" i="62" s="1"/>
  <c r="AD45" i="62" s="1"/>
  <c r="BN14" i="62"/>
  <c r="BU14" i="62" s="1"/>
  <c r="BV45" i="62" s="1"/>
  <c r="BW45" i="62" s="1"/>
  <c r="BN35" i="62"/>
  <c r="BU35" i="62" s="1"/>
  <c r="BV66" i="62" s="1"/>
  <c r="BW66" i="62" s="1"/>
  <c r="BN25" i="62"/>
  <c r="BU25" i="62" s="1"/>
  <c r="BV56" i="62" s="1"/>
  <c r="BW56" i="62" s="1"/>
  <c r="BN26" i="62"/>
  <c r="BU26" i="62" s="1"/>
  <c r="BV57" i="62" s="1"/>
  <c r="BW57" i="62" s="1"/>
  <c r="BN18" i="62"/>
  <c r="BU18" i="62" s="1"/>
  <c r="BV49" i="62" s="1"/>
  <c r="BW49" i="62" s="1"/>
  <c r="BN10" i="62"/>
  <c r="BU10" i="62" s="1"/>
  <c r="BV41" i="62" s="1"/>
  <c r="BW41" i="62" s="1"/>
  <c r="U12" i="62"/>
  <c r="AB12" i="62" s="1"/>
  <c r="AC43" i="62" s="1"/>
  <c r="AD43" i="62" s="1"/>
  <c r="BE33" i="62"/>
  <c r="BL33" i="62" s="1"/>
  <c r="BM64" i="62" s="1"/>
  <c r="BN64" i="62" s="1"/>
  <c r="C19" i="62"/>
  <c r="J19" i="62" s="1"/>
  <c r="K50" i="62" s="1"/>
  <c r="L50" i="62" s="1"/>
  <c r="AV28" i="62"/>
  <c r="BC28" i="62" s="1"/>
  <c r="BD59" i="62" s="1"/>
  <c r="BE59" i="62" s="1"/>
  <c r="BW16" i="62"/>
  <c r="CC16" i="62" s="1"/>
  <c r="CD47" i="62" s="1"/>
  <c r="CE47" i="62" s="1"/>
  <c r="L26" i="62"/>
  <c r="S26" i="62" s="1"/>
  <c r="T57" i="62" s="1"/>
  <c r="U57" i="62" s="1"/>
  <c r="C14" i="62"/>
  <c r="J14" i="62" s="1"/>
  <c r="K45" i="62" s="1"/>
  <c r="L45" i="62" s="1"/>
  <c r="C30" i="62"/>
  <c r="J30" i="62" s="1"/>
  <c r="K61" i="62" s="1"/>
  <c r="L61" i="62" s="1"/>
  <c r="BE18" i="62"/>
  <c r="BL18" i="62" s="1"/>
  <c r="BM49" i="62" s="1"/>
  <c r="BN49" i="62" s="1"/>
  <c r="BE26" i="62"/>
  <c r="BL26" i="62" s="1"/>
  <c r="BM57" i="62" s="1"/>
  <c r="BN57" i="62" s="1"/>
  <c r="BE35" i="62"/>
  <c r="BL35" i="62" s="1"/>
  <c r="BM66" i="62" s="1"/>
  <c r="BN66" i="62" s="1"/>
  <c r="BE10" i="62"/>
  <c r="BL10" i="62" s="1"/>
  <c r="BM41" i="62" s="1"/>
  <c r="BN41" i="62" s="1"/>
  <c r="BE16" i="62"/>
  <c r="BL16" i="62" s="1"/>
  <c r="BM47" i="62" s="1"/>
  <c r="BN47" i="62" s="1"/>
  <c r="BE32" i="62"/>
  <c r="BL32" i="62" s="1"/>
  <c r="BM63" i="62" s="1"/>
  <c r="BN63" i="62" s="1"/>
  <c r="BE7" i="62"/>
  <c r="BL7" i="62" s="1"/>
  <c r="BM38" i="62" s="1"/>
  <c r="BN38" i="62" s="1"/>
  <c r="BE24" i="62"/>
  <c r="BL24" i="62" s="1"/>
  <c r="BM55" i="62" s="1"/>
  <c r="BN55" i="62" s="1"/>
  <c r="BE8" i="62"/>
  <c r="BL8" i="62" s="1"/>
  <c r="BM39" i="62" s="1"/>
  <c r="BN39" i="62" s="1"/>
  <c r="BE29" i="62"/>
  <c r="BL29" i="62" s="1"/>
  <c r="BM60" i="62" s="1"/>
  <c r="BN60" i="62" s="1"/>
  <c r="BE9" i="62"/>
  <c r="BL9" i="62" s="1"/>
  <c r="BM40" i="62" s="1"/>
  <c r="BN40" i="62" s="1"/>
  <c r="BW15" i="62"/>
  <c r="CC15" i="62" s="1"/>
  <c r="CD46" i="62" s="1"/>
  <c r="CE46" i="62" s="1"/>
  <c r="BW10" i="62"/>
  <c r="CC10" i="62" s="1"/>
  <c r="CD41" i="62" s="1"/>
  <c r="CE41" i="62" s="1"/>
  <c r="AV24" i="62"/>
  <c r="BC24" i="62" s="1"/>
  <c r="BD55" i="62" s="1"/>
  <c r="BE55" i="62" s="1"/>
  <c r="AV29" i="62"/>
  <c r="BC29" i="62" s="1"/>
  <c r="BD60" i="62" s="1"/>
  <c r="BE60" i="62" s="1"/>
  <c r="BW9" i="62"/>
  <c r="CC9" i="62" s="1"/>
  <c r="CD40" i="62" s="1"/>
  <c r="CE40" i="62" s="1"/>
  <c r="AV26" i="62"/>
  <c r="BC26" i="62" s="1"/>
  <c r="BD57" i="62" s="1"/>
  <c r="BE57" i="62" s="1"/>
  <c r="BN12" i="62"/>
  <c r="BU12" i="62" s="1"/>
  <c r="BV43" i="62" s="1"/>
  <c r="BW43" i="62" s="1"/>
  <c r="BE30" i="62"/>
  <c r="BL30" i="62" s="1"/>
  <c r="BM61" i="62" s="1"/>
  <c r="BN61" i="62" s="1"/>
  <c r="AV27" i="62"/>
  <c r="BC27" i="62" s="1"/>
  <c r="BD58" i="62" s="1"/>
  <c r="BE58" i="62" s="1"/>
  <c r="AV14" i="62"/>
  <c r="BC14" i="62" s="1"/>
  <c r="BD45" i="62" s="1"/>
  <c r="BE45" i="62" s="1"/>
  <c r="BN13" i="62"/>
  <c r="BU13" i="62" s="1"/>
  <c r="BV44" i="62" s="1"/>
  <c r="BW44" i="62" s="1"/>
  <c r="BN33" i="62"/>
  <c r="BU33" i="62" s="1"/>
  <c r="BV64" i="62" s="1"/>
  <c r="BW64" i="62" s="1"/>
  <c r="AV11" i="62"/>
  <c r="BC11" i="62" s="1"/>
  <c r="BD42" i="62" s="1"/>
  <c r="BE42" i="62" s="1"/>
  <c r="AV23" i="62"/>
  <c r="BC23" i="62" s="1"/>
  <c r="BD54" i="62" s="1"/>
  <c r="BE54" i="62" s="1"/>
  <c r="BW30" i="62"/>
  <c r="CC30" i="62" s="1"/>
  <c r="CD61" i="62" s="1"/>
  <c r="CE61" i="62" s="1"/>
  <c r="L20" i="62"/>
  <c r="S20" i="62" s="1"/>
  <c r="T51" i="62" s="1"/>
  <c r="U51" i="62" s="1"/>
  <c r="C13" i="62"/>
  <c r="J13" i="62" s="1"/>
  <c r="K44" i="62" s="1"/>
  <c r="L44" i="62" s="1"/>
  <c r="BE28" i="62"/>
  <c r="BL28" i="62" s="1"/>
  <c r="BM59" i="62" s="1"/>
  <c r="BN59" i="62" s="1"/>
  <c r="L30" i="62"/>
  <c r="S30" i="62" s="1"/>
  <c r="T61" i="62" s="1"/>
  <c r="U61" i="62" s="1"/>
  <c r="L25" i="62"/>
  <c r="S25" i="62" s="1"/>
  <c r="T56" i="62" s="1"/>
  <c r="U56" i="62" s="1"/>
  <c r="L22" i="62"/>
  <c r="S22" i="62" s="1"/>
  <c r="T53" i="62" s="1"/>
  <c r="U53" i="62" s="1"/>
  <c r="L14" i="62"/>
  <c r="S14" i="62" s="1"/>
  <c r="T45" i="62" s="1"/>
  <c r="U45" i="62" s="1"/>
  <c r="L28" i="62"/>
  <c r="S28" i="62" s="1"/>
  <c r="T59" i="62" s="1"/>
  <c r="U59" i="62" s="1"/>
  <c r="L21" i="62"/>
  <c r="S21" i="62" s="1"/>
  <c r="T52" i="62" s="1"/>
  <c r="U52" i="62" s="1"/>
  <c r="L13" i="62"/>
  <c r="S13" i="62" s="1"/>
  <c r="T44" i="62" s="1"/>
  <c r="U44" i="62" s="1"/>
  <c r="C28" i="62"/>
  <c r="J28" i="62" s="1"/>
  <c r="K59" i="62" s="1"/>
  <c r="L59" i="62" s="1"/>
  <c r="C31" i="62"/>
  <c r="J31" i="62" s="1"/>
  <c r="K62" i="62" s="1"/>
  <c r="L62" i="62" s="1"/>
  <c r="C27" i="62"/>
  <c r="J27" i="62" s="1"/>
  <c r="K58" i="62" s="1"/>
  <c r="L58" i="62" s="1"/>
  <c r="C17" i="62"/>
  <c r="J17" i="62" s="1"/>
  <c r="K48" i="62" s="1"/>
  <c r="L48" i="62" s="1"/>
  <c r="U30" i="62"/>
  <c r="AB30" i="62" s="1"/>
  <c r="AC61" i="62" s="1"/>
  <c r="AD61" i="62" s="1"/>
  <c r="U21" i="62"/>
  <c r="AB21" i="62" s="1"/>
  <c r="AC52" i="62" s="1"/>
  <c r="AD52" i="62" s="1"/>
  <c r="U33" i="62"/>
  <c r="AB33" i="62" s="1"/>
  <c r="AC64" i="62" s="1"/>
  <c r="AD64" i="62" s="1"/>
  <c r="U23" i="62"/>
  <c r="AB23" i="62" s="1"/>
  <c r="AC54" i="62" s="1"/>
  <c r="AD54" i="62" s="1"/>
  <c r="U19" i="62"/>
  <c r="AB19" i="62" s="1"/>
  <c r="AC50" i="62" s="1"/>
  <c r="AD50" i="62" s="1"/>
  <c r="U32" i="62"/>
  <c r="AB32" i="62" s="1"/>
  <c r="AC63" i="62" s="1"/>
  <c r="AD63" i="62" s="1"/>
  <c r="U26" i="62"/>
  <c r="AB26" i="62" s="1"/>
  <c r="AC57" i="62" s="1"/>
  <c r="AD57" i="62" s="1"/>
  <c r="C15" i="62"/>
  <c r="J15" i="62" s="1"/>
  <c r="K46" i="62" s="1"/>
  <c r="L46" i="62" s="1"/>
  <c r="L29" i="62"/>
  <c r="S29" i="62" s="1"/>
  <c r="T60" i="62" s="1"/>
  <c r="U60" i="62" s="1"/>
  <c r="L27" i="62"/>
  <c r="S27" i="62" s="1"/>
  <c r="T58" i="62" s="1"/>
  <c r="U58" i="62" s="1"/>
  <c r="L33" i="62"/>
  <c r="S33" i="62" s="1"/>
  <c r="T64" i="62" s="1"/>
  <c r="U64" i="62" s="1"/>
  <c r="L18" i="62"/>
  <c r="S18" i="62" s="1"/>
  <c r="T49" i="62" s="1"/>
  <c r="U49" i="62" s="1"/>
  <c r="L34" i="62"/>
  <c r="S34" i="62" s="1"/>
  <c r="T65" i="62" s="1"/>
  <c r="U65" i="62" s="1"/>
  <c r="L31" i="62"/>
  <c r="S31" i="62" s="1"/>
  <c r="T62" i="62" s="1"/>
  <c r="U62" i="62" s="1"/>
  <c r="C35" i="62"/>
  <c r="J35" i="62" s="1"/>
  <c r="K66" i="62" s="1"/>
  <c r="L66" i="62" s="1"/>
  <c r="C22" i="62"/>
  <c r="J22" i="62" s="1"/>
  <c r="K53" i="62" s="1"/>
  <c r="L53" i="62" s="1"/>
  <c r="C20" i="62"/>
  <c r="J20" i="62" s="1"/>
  <c r="K51" i="62" s="1"/>
  <c r="L51" i="62" s="1"/>
  <c r="C18" i="62"/>
  <c r="J18" i="62" s="1"/>
  <c r="K49" i="62" s="1"/>
  <c r="L49" i="62" s="1"/>
  <c r="U29" i="62"/>
  <c r="AB29" i="62" s="1"/>
  <c r="AC60" i="62" s="1"/>
  <c r="AD60" i="62" s="1"/>
  <c r="U17" i="62"/>
  <c r="AB17" i="62" s="1"/>
  <c r="AC48" i="62" s="1"/>
  <c r="AD48" i="62" s="1"/>
  <c r="U15" i="62"/>
  <c r="AB15" i="62" s="1"/>
  <c r="AC46" i="62" s="1"/>
  <c r="AD46" i="62" s="1"/>
  <c r="U34" i="62"/>
  <c r="AB34" i="62" s="1"/>
  <c r="AC65" i="62" s="1"/>
  <c r="AD65" i="62" s="1"/>
  <c r="U20" i="62"/>
  <c r="AB20" i="62" s="1"/>
  <c r="AC51" i="62" s="1"/>
  <c r="AD51" i="62" s="1"/>
  <c r="C25" i="62"/>
  <c r="J25" i="62" s="1"/>
  <c r="K56" i="62" s="1"/>
  <c r="L56" i="62" s="1"/>
  <c r="U28" i="62"/>
  <c r="AB28" i="62" s="1"/>
  <c r="AC59" i="62" s="1"/>
  <c r="AD59" i="62" s="1"/>
  <c r="L17" i="62"/>
  <c r="S17" i="62" s="1"/>
  <c r="T48" i="62" s="1"/>
  <c r="U48" i="62" s="1"/>
  <c r="L32" i="62"/>
  <c r="S32" i="62" s="1"/>
  <c r="T63" i="62" s="1"/>
  <c r="U63" i="62" s="1"/>
  <c r="L19" i="62"/>
  <c r="S19" i="62" s="1"/>
  <c r="T50" i="62" s="1"/>
  <c r="U50" i="62" s="1"/>
  <c r="L24" i="62"/>
  <c r="S24" i="62" s="1"/>
  <c r="T55" i="62" s="1"/>
  <c r="U55" i="62" s="1"/>
  <c r="C26" i="62"/>
  <c r="J26" i="62" s="1"/>
  <c r="K57" i="62" s="1"/>
  <c r="L57" i="62" s="1"/>
  <c r="C33" i="62"/>
  <c r="J33" i="62" s="1"/>
  <c r="K64" i="62" s="1"/>
  <c r="L64" i="62" s="1"/>
  <c r="C16" i="62"/>
  <c r="J16" i="62" s="1"/>
  <c r="K47" i="62" s="1"/>
  <c r="L47" i="62" s="1"/>
  <c r="U18" i="62"/>
  <c r="AB18" i="62" s="1"/>
  <c r="AC49" i="62" s="1"/>
  <c r="AD49" i="62" s="1"/>
  <c r="U24" i="62"/>
  <c r="AB24" i="62" s="1"/>
  <c r="AC55" i="62" s="1"/>
  <c r="AD55" i="62" s="1"/>
  <c r="U16" i="62"/>
  <c r="AB16" i="62" s="1"/>
  <c r="AC47" i="62" s="1"/>
  <c r="AD47" i="62" s="1"/>
  <c r="U22" i="62"/>
  <c r="AB22" i="62" s="1"/>
  <c r="AC53" i="62" s="1"/>
  <c r="AD53" i="62" s="1"/>
  <c r="U31" i="62"/>
  <c r="AB31" i="62" s="1"/>
  <c r="AC62" i="62" s="1"/>
  <c r="AD62" i="62" s="1"/>
  <c r="C24" i="62"/>
  <c r="J24" i="62" s="1"/>
  <c r="K55" i="62" s="1"/>
  <c r="L55" i="62" s="1"/>
  <c r="C29" i="62"/>
  <c r="J29" i="62" s="1"/>
  <c r="K60" i="62" s="1"/>
  <c r="L60" i="62" s="1"/>
  <c r="U11" i="62"/>
  <c r="AB11" i="62" s="1"/>
  <c r="AC42" i="62" s="1"/>
  <c r="AD42" i="62" s="1"/>
  <c r="BW12" i="62"/>
  <c r="CC12" i="62" s="1"/>
  <c r="CD43" i="62" s="1"/>
  <c r="CE43" i="62" s="1"/>
  <c r="BW20" i="62"/>
  <c r="CC20" i="62" s="1"/>
  <c r="CD51" i="62" s="1"/>
  <c r="CE51" i="62" s="1"/>
  <c r="BW8" i="62"/>
  <c r="CC8" i="62" s="1"/>
  <c r="CD39" i="62" s="1"/>
  <c r="CE39" i="62" s="1"/>
  <c r="BW6" i="62"/>
  <c r="CC6" i="62" s="1"/>
  <c r="CD37" i="62" s="1"/>
  <c r="CE37" i="62" s="1"/>
  <c r="BW22" i="62"/>
  <c r="CC22" i="62" s="1"/>
  <c r="CD53" i="62" s="1"/>
  <c r="CE53" i="62" s="1"/>
  <c r="AV8" i="62"/>
  <c r="BC8" i="62" s="1"/>
  <c r="BD39" i="62" s="1"/>
  <c r="BE39" i="62" s="1"/>
  <c r="AV10" i="62"/>
  <c r="BC10" i="62" s="1"/>
  <c r="BD41" i="62" s="1"/>
  <c r="BE41" i="62" s="1"/>
  <c r="AD9" i="62"/>
  <c r="AK9" i="62" s="1"/>
  <c r="AL40" i="62" s="1"/>
  <c r="AM40" i="62" s="1"/>
  <c r="AD17" i="62"/>
  <c r="AK17" i="62" s="1"/>
  <c r="AL48" i="62" s="1"/>
  <c r="AM48" i="62" s="1"/>
  <c r="AD21" i="62"/>
  <c r="AK21" i="62" s="1"/>
  <c r="AL52" i="62" s="1"/>
  <c r="AM52" i="62" s="1"/>
  <c r="AD34" i="62"/>
  <c r="AK34" i="62" s="1"/>
  <c r="AL65" i="62" s="1"/>
  <c r="AM65" i="62" s="1"/>
  <c r="AD11" i="62"/>
  <c r="AK11" i="62" s="1"/>
  <c r="AL42" i="62" s="1"/>
  <c r="AM42" i="62" s="1"/>
  <c r="AD12" i="62"/>
  <c r="AK12" i="62" s="1"/>
  <c r="AL43" i="62" s="1"/>
  <c r="AM43" i="62" s="1"/>
  <c r="AD20" i="62"/>
  <c r="AK20" i="62" s="1"/>
  <c r="AL51" i="62" s="1"/>
  <c r="AM51" i="62" s="1"/>
  <c r="AD27" i="62"/>
  <c r="AK27" i="62" s="1"/>
  <c r="AL58" i="62" s="1"/>
  <c r="AM58" i="62" s="1"/>
  <c r="AD30" i="62"/>
  <c r="AK30" i="62" s="1"/>
  <c r="AL61" i="62" s="1"/>
  <c r="AM61" i="62" s="1"/>
  <c r="AD8" i="62"/>
  <c r="AK8" i="62" s="1"/>
  <c r="AL39" i="62" s="1"/>
  <c r="AM39" i="62" s="1"/>
  <c r="AD14" i="62"/>
  <c r="AK14" i="62" s="1"/>
  <c r="AL45" i="62" s="1"/>
  <c r="AM45" i="62" s="1"/>
  <c r="AD22" i="62"/>
  <c r="AK22" i="62" s="1"/>
  <c r="AL53" i="62" s="1"/>
  <c r="AM53" i="62" s="1"/>
  <c r="AD24" i="62"/>
  <c r="AK24" i="62" s="1"/>
  <c r="AL55" i="62" s="1"/>
  <c r="AM55" i="62" s="1"/>
  <c r="AD16" i="62"/>
  <c r="AK16" i="62" s="1"/>
  <c r="AL47" i="62" s="1"/>
  <c r="AM47" i="62" s="1"/>
  <c r="AD32" i="62"/>
  <c r="AK32" i="62" s="1"/>
  <c r="AL63" i="62" s="1"/>
  <c r="AM63" i="62" s="1"/>
  <c r="AD28" i="62"/>
  <c r="AK28" i="62" s="1"/>
  <c r="AL59" i="62" s="1"/>
  <c r="AM59" i="62" s="1"/>
  <c r="AD31" i="62"/>
  <c r="AK31" i="62" s="1"/>
  <c r="AL62" i="62" s="1"/>
  <c r="AM62" i="62" s="1"/>
  <c r="AD10" i="62"/>
  <c r="AK10" i="62" s="1"/>
  <c r="AL41" i="62" s="1"/>
  <c r="AM41" i="62" s="1"/>
  <c r="AD25" i="62"/>
  <c r="AK25" i="62" s="1"/>
  <c r="AL56" i="62" s="1"/>
  <c r="AM56" i="62" s="1"/>
  <c r="AD33" i="62"/>
  <c r="AK33" i="62" s="1"/>
  <c r="AL64" i="62" s="1"/>
  <c r="AM64" i="62" s="1"/>
  <c r="AD23" i="62"/>
  <c r="AK23" i="62" s="1"/>
  <c r="AL54" i="62" s="1"/>
  <c r="AM54" i="62" s="1"/>
  <c r="AD15" i="62"/>
  <c r="AK15" i="62" s="1"/>
  <c r="AL46" i="62" s="1"/>
  <c r="AM46" i="62" s="1"/>
  <c r="BW21" i="62"/>
  <c r="CC21" i="62" s="1"/>
  <c r="CD52" i="62" s="1"/>
  <c r="CE52" i="62" s="1"/>
  <c r="BW25" i="62"/>
  <c r="CC25" i="62" s="1"/>
  <c r="CD56" i="62" s="1"/>
  <c r="CE56" i="62" s="1"/>
  <c r="BE17" i="62"/>
  <c r="BL17" i="62" s="1"/>
  <c r="BM48" i="62" s="1"/>
  <c r="BN48" i="62" s="1"/>
  <c r="BW28" i="62"/>
  <c r="CC28" i="62" s="1"/>
  <c r="CD59" i="62" s="1"/>
  <c r="CE59" i="62" s="1"/>
  <c r="BW7" i="62"/>
  <c r="CC7" i="62" s="1"/>
  <c r="CD38" i="62" s="1"/>
  <c r="CE38" i="62" s="1"/>
  <c r="BW13" i="62"/>
  <c r="CC13" i="62" s="1"/>
  <c r="CD44" i="62" s="1"/>
  <c r="CE44" i="62" s="1"/>
  <c r="BW35" i="62"/>
  <c r="CC35" i="62" s="1"/>
  <c r="CD66" i="62" s="1"/>
  <c r="CE66" i="62" s="1"/>
  <c r="AV13" i="62"/>
  <c r="BC13" i="62" s="1"/>
  <c r="BD44" i="62" s="1"/>
  <c r="BE44" i="62" s="1"/>
  <c r="AV35" i="62"/>
  <c r="BC35" i="62" s="1"/>
  <c r="BD66" i="62" s="1"/>
  <c r="BE66" i="62" s="1"/>
  <c r="BN20" i="62"/>
  <c r="BU20" i="62" s="1"/>
  <c r="BV51" i="62" s="1"/>
  <c r="BW51" i="62" s="1"/>
  <c r="AV32" i="62"/>
  <c r="BC32" i="62" s="1"/>
  <c r="BD63" i="62" s="1"/>
  <c r="BE63" i="62" s="1"/>
  <c r="AV19" i="62"/>
  <c r="BC19" i="62" s="1"/>
  <c r="BD50" i="62" s="1"/>
  <c r="BE50" i="62" s="1"/>
  <c r="BW18" i="62"/>
  <c r="CC18" i="62" s="1"/>
  <c r="CD49" i="62" s="1"/>
  <c r="CE49" i="62" s="1"/>
  <c r="AD29" i="62"/>
  <c r="AK29" i="62" s="1"/>
  <c r="AL60" i="62" s="1"/>
  <c r="AM60" i="62" s="1"/>
  <c r="AD19" i="62"/>
  <c r="AK19" i="62" s="1"/>
  <c r="AL50" i="62" s="1"/>
  <c r="AM50" i="62" s="1"/>
  <c r="AD26" i="62"/>
  <c r="AK26" i="62" s="1"/>
  <c r="AL57" i="62" s="1"/>
  <c r="AM57" i="62" s="1"/>
  <c r="AD13" i="62"/>
  <c r="AK13" i="62" s="1"/>
  <c r="AL44" i="62" s="1"/>
  <c r="AM44" i="62" s="1"/>
  <c r="AD35" i="62"/>
  <c r="AK35" i="62" s="1"/>
  <c r="AL66" i="62" s="1"/>
  <c r="AM66" i="62" s="1"/>
  <c r="AD18" i="62"/>
  <c r="AK18" i="62" s="1"/>
  <c r="AL49" i="62" s="1"/>
  <c r="AM49" i="62" s="1"/>
  <c r="C21" i="62"/>
  <c r="J21" i="62" s="1"/>
  <c r="K52" i="62" s="1"/>
  <c r="L52" i="62" s="1"/>
  <c r="BE14" i="62"/>
  <c r="BL14" i="62" s="1"/>
  <c r="BM45" i="62" s="1"/>
  <c r="BN45" i="62" s="1"/>
  <c r="C23" i="62"/>
  <c r="J23" i="62" s="1"/>
  <c r="K54" i="62" s="1"/>
  <c r="L54" i="62" s="1"/>
  <c r="BE27" i="62"/>
  <c r="BL27" i="62" s="1"/>
  <c r="BM58" i="62" s="1"/>
  <c r="BN58" i="62" s="1"/>
  <c r="BE31" i="62"/>
  <c r="BL31" i="62" s="1"/>
  <c r="BM62" i="62" s="1"/>
  <c r="BN62" i="62" s="1"/>
  <c r="BN11" i="62"/>
  <c r="BU11" i="62" s="1"/>
  <c r="BV42" i="62" s="1"/>
  <c r="BW42" i="62" s="1"/>
  <c r="BW33" i="62"/>
  <c r="CC33" i="62" s="1"/>
  <c r="CD64" i="62" s="1"/>
  <c r="CE64" i="62" s="1"/>
  <c r="BW34" i="62"/>
  <c r="CC34" i="62" s="1"/>
  <c r="CD65" i="62" s="1"/>
  <c r="CE65" i="62" s="1"/>
  <c r="BW26" i="62"/>
  <c r="CC26" i="62" s="1"/>
  <c r="CD57" i="62" s="1"/>
  <c r="CE57" i="62" s="1"/>
  <c r="BW23" i="62"/>
  <c r="CC23" i="62" s="1"/>
  <c r="CD54" i="62" s="1"/>
  <c r="CE54" i="62" s="1"/>
  <c r="BW27" i="62"/>
  <c r="CC27" i="62" s="1"/>
  <c r="CD58" i="62" s="1"/>
  <c r="CE58" i="62" s="1"/>
  <c r="AV16" i="62"/>
  <c r="BC16" i="62" s="1"/>
  <c r="BD47" i="62" s="1"/>
  <c r="BE47" i="62" s="1"/>
  <c r="AV34" i="62"/>
  <c r="BC34" i="62" s="1"/>
  <c r="BD65" i="62" s="1"/>
  <c r="BE65" i="62" s="1"/>
  <c r="AV30" i="62"/>
  <c r="BC30" i="62" s="1"/>
  <c r="BD61" i="62" s="1"/>
  <c r="BE61" i="62" s="1"/>
  <c r="AV17" i="62"/>
  <c r="BC17" i="62" s="1"/>
  <c r="BD48" i="62" s="1"/>
  <c r="BE48" i="62" s="1"/>
  <c r="BN24" i="62"/>
  <c r="BU24" i="62" s="1"/>
  <c r="BV55" i="62" s="1"/>
  <c r="BW55" i="62" s="1"/>
  <c r="BN31" i="62"/>
  <c r="BU31" i="62" s="1"/>
  <c r="BV62" i="62" s="1"/>
  <c r="BW62" i="62" s="1"/>
  <c r="AV21" i="62"/>
  <c r="BC21" i="62" s="1"/>
  <c r="BD52" i="62" s="1"/>
  <c r="BE52" i="62" s="1"/>
  <c r="BN8" i="62"/>
  <c r="BU8" i="62" s="1"/>
  <c r="BV39" i="62" s="1"/>
  <c r="BW39" i="62" s="1"/>
  <c r="BW24" i="62"/>
  <c r="CC24" i="62" s="1"/>
  <c r="CD55" i="62" s="1"/>
  <c r="CE55" i="62" s="1"/>
  <c r="AV20" i="62"/>
  <c r="BC20" i="62" s="1"/>
  <c r="BD51" i="62" s="1"/>
  <c r="BE51" i="62" s="1"/>
  <c r="BE11" i="62"/>
  <c r="BL11" i="62" s="1"/>
  <c r="BM42" i="62" s="1"/>
  <c r="BN42" i="62" s="1"/>
  <c r="BW11" i="62"/>
  <c r="CC11" i="62" s="1"/>
  <c r="CD42" i="62" s="1"/>
  <c r="CE42" i="62" s="1"/>
  <c r="BW19" i="62"/>
  <c r="CC19" i="62" s="1"/>
  <c r="CD50" i="62" s="1"/>
  <c r="CE50" i="62" s="1"/>
  <c r="BW31" i="62"/>
  <c r="CC31" i="62" s="1"/>
  <c r="CD62" i="62" s="1"/>
  <c r="CE62" i="62" s="1"/>
  <c r="BW14" i="62"/>
  <c r="CC14" i="62" s="1"/>
  <c r="CD45" i="62" s="1"/>
  <c r="CE45" i="62" s="1"/>
  <c r="BW29" i="62"/>
  <c r="CC29" i="62" s="1"/>
  <c r="CD60" i="62" s="1"/>
  <c r="CE60" i="62" s="1"/>
  <c r="BW32" i="62"/>
  <c r="CC32" i="62" s="1"/>
  <c r="CD63" i="62" s="1"/>
  <c r="CE63" i="62" s="1"/>
  <c r="AV9" i="62"/>
  <c r="BC9" i="62" s="1"/>
  <c r="BD40" i="62" s="1"/>
  <c r="BE40" i="62" s="1"/>
  <c r="AV31" i="62"/>
  <c r="BC31" i="62" s="1"/>
  <c r="BD62" i="62" s="1"/>
  <c r="BE62" i="62" s="1"/>
  <c r="AV12" i="62"/>
  <c r="BC12" i="62" s="1"/>
  <c r="BD43" i="62" s="1"/>
  <c r="BE43" i="62" s="1"/>
  <c r="AV18" i="62"/>
  <c r="BC18" i="62" s="1"/>
  <c r="BD49" i="62" s="1"/>
  <c r="BE49" i="62" s="1"/>
  <c r="BN16" i="62"/>
  <c r="BU16" i="62" s="1"/>
  <c r="BV47" i="62" s="1"/>
  <c r="BW47" i="62" s="1"/>
  <c r="BN15" i="62"/>
  <c r="BU15" i="62" s="1"/>
  <c r="BV46" i="62" s="1"/>
  <c r="BW46" i="62" s="1"/>
  <c r="AV33" i="62"/>
  <c r="BC33" i="62" s="1"/>
  <c r="BD64" i="62" s="1"/>
  <c r="BE64" i="62" s="1"/>
  <c r="BN9" i="62"/>
  <c r="BU9" i="62" s="1"/>
  <c r="BV40" i="62" s="1"/>
  <c r="BW40" i="62" s="1"/>
  <c r="AV22" i="62"/>
  <c r="BC22" i="62" s="1"/>
  <c r="BD53" i="62" s="1"/>
  <c r="BE53" i="62" s="1"/>
  <c r="BN29" i="62"/>
  <c r="BU29" i="62" s="1"/>
  <c r="BV60" i="62" s="1"/>
  <c r="BW60" i="62" s="1"/>
  <c r="BN22" i="62"/>
  <c r="BU22" i="62" s="1"/>
  <c r="BV53" i="62" s="1"/>
  <c r="BW53" i="62" s="1"/>
  <c r="BN17" i="62"/>
  <c r="BU17" i="62" s="1"/>
  <c r="BV48" i="62" s="1"/>
  <c r="BW48" i="62" s="1"/>
  <c r="BN19" i="62"/>
  <c r="BU19" i="62" s="1"/>
  <c r="BV50" i="62" s="1"/>
  <c r="BW50" i="62" s="1"/>
  <c r="C34" i="62"/>
  <c r="J34" i="62" s="1"/>
  <c r="K65" i="62" s="1"/>
  <c r="L65" i="62" s="1"/>
  <c r="CU31" i="62"/>
  <c r="BN21" i="62"/>
  <c r="BU21" i="62" s="1"/>
  <c r="BV52" i="62" s="1"/>
  <c r="BW52" i="62" s="1"/>
  <c r="BN32" i="62"/>
  <c r="BU32" i="62" s="1"/>
  <c r="BV63" i="62" s="1"/>
  <c r="BW63" i="62" s="1"/>
  <c r="C11" i="62"/>
  <c r="J11" i="62" s="1"/>
  <c r="K42" i="62" s="1"/>
  <c r="L42" i="62" s="1"/>
  <c r="C10" i="62"/>
  <c r="J10" i="62" s="1"/>
  <c r="K41" i="62" s="1"/>
  <c r="L41" i="62" s="1"/>
  <c r="C12" i="62"/>
  <c r="J12" i="62" s="1"/>
  <c r="K43" i="62" s="1"/>
  <c r="L43" i="62" s="1"/>
  <c r="FN7" i="40"/>
  <c r="FM8" i="40"/>
  <c r="FC8" i="40"/>
  <c r="FD7" i="40"/>
  <c r="ED10" i="40"/>
  <c r="EE9" i="40"/>
  <c r="EN11" i="40"/>
  <c r="EO10" i="40"/>
  <c r="FI9" i="40"/>
  <c r="FH10" i="40"/>
  <c r="FR11" i="40"/>
  <c r="FS10" i="40"/>
  <c r="EY12" i="40"/>
  <c r="EX13" i="40"/>
  <c r="ET9" i="40"/>
  <c r="ES10" i="40"/>
  <c r="EI10" i="40"/>
  <c r="EJ9" i="40"/>
  <c r="DZ47" i="40"/>
  <c r="DZ48" i="40" s="1"/>
  <c r="DZ49" i="40" s="1"/>
  <c r="DZ50" i="40" s="1"/>
  <c r="DZ51" i="40" s="1"/>
  <c r="DZ52" i="40" s="1"/>
  <c r="DZ53" i="40" s="1"/>
  <c r="DZ54" i="40" s="1"/>
  <c r="DZ55" i="40" s="1"/>
  <c r="DZ56" i="40" s="1"/>
  <c r="DZ57" i="40" s="1"/>
  <c r="DZ58" i="40" s="1"/>
  <c r="DZ59" i="40" s="1"/>
  <c r="DZ60" i="40" s="1"/>
  <c r="DZ61" i="40" s="1"/>
  <c r="J77" i="27"/>
  <c r="K76" i="27"/>
  <c r="C20" i="50"/>
  <c r="C19" i="50"/>
  <c r="AM24" i="50"/>
  <c r="AM11" i="50"/>
  <c r="AM17" i="50"/>
  <c r="AM18" i="50"/>
  <c r="AM28" i="50"/>
  <c r="AM26" i="50"/>
  <c r="AM31" i="50"/>
  <c r="AM15" i="50"/>
  <c r="AM29" i="50"/>
  <c r="AM21" i="50"/>
  <c r="AM27" i="50"/>
  <c r="AM19" i="50"/>
  <c r="AM23" i="50"/>
  <c r="AM13" i="50"/>
  <c r="AM20" i="50"/>
  <c r="AM33" i="50"/>
  <c r="AM22" i="50"/>
  <c r="AM16" i="50"/>
  <c r="AM35" i="50"/>
  <c r="AM34" i="50"/>
  <c r="AM30" i="50"/>
  <c r="AM12" i="50"/>
  <c r="AM14" i="50"/>
  <c r="AM25" i="50"/>
  <c r="AM32" i="50"/>
  <c r="CH352" i="23"/>
  <c r="CH351" i="23"/>
  <c r="CH350" i="23"/>
  <c r="CH349" i="23"/>
  <c r="CH348" i="23"/>
  <c r="CH347" i="23"/>
  <c r="CH346" i="23"/>
  <c r="CH345" i="23"/>
  <c r="CH344" i="23"/>
  <c r="CH343" i="23"/>
  <c r="CH342" i="23"/>
  <c r="CH341" i="23"/>
  <c r="CH340" i="23"/>
  <c r="CH339" i="23"/>
  <c r="CH338" i="23"/>
  <c r="CH337" i="23"/>
  <c r="CH336" i="23"/>
  <c r="CH335" i="23"/>
  <c r="CH334" i="23"/>
  <c r="CH333" i="23"/>
  <c r="CH332" i="23"/>
  <c r="CH331" i="23"/>
  <c r="CH330" i="23"/>
  <c r="CH329" i="23"/>
  <c r="CH328" i="23"/>
  <c r="CH327" i="23"/>
  <c r="CH326" i="23"/>
  <c r="CH325" i="23"/>
  <c r="CH324" i="23"/>
  <c r="CH323" i="23"/>
  <c r="CH322" i="23"/>
  <c r="CH321" i="23"/>
  <c r="CH320" i="23"/>
  <c r="CH319" i="23"/>
  <c r="CH318" i="23"/>
  <c r="CH317" i="23"/>
  <c r="CH316" i="23"/>
  <c r="CH315" i="23"/>
  <c r="CH314" i="23"/>
  <c r="CB352" i="23"/>
  <c r="CB351" i="23"/>
  <c r="CB350" i="23"/>
  <c r="CB349" i="23"/>
  <c r="CB348" i="23"/>
  <c r="CB347" i="23"/>
  <c r="CB346" i="23"/>
  <c r="CB345" i="23"/>
  <c r="CB344" i="23"/>
  <c r="CB343" i="23"/>
  <c r="CB342" i="23"/>
  <c r="CB341" i="23"/>
  <c r="CB340" i="23"/>
  <c r="CB339" i="23"/>
  <c r="CB338" i="23"/>
  <c r="CB337" i="23"/>
  <c r="CB336" i="23"/>
  <c r="CB335" i="23"/>
  <c r="CB334" i="23"/>
  <c r="CB333" i="23"/>
  <c r="CB332" i="23"/>
  <c r="CB331" i="23"/>
  <c r="CB330" i="23"/>
  <c r="CB329" i="23"/>
  <c r="CB328" i="23"/>
  <c r="CB327" i="23"/>
  <c r="CB326" i="23"/>
  <c r="CB325" i="23"/>
  <c r="CB324" i="23"/>
  <c r="CB323" i="23"/>
  <c r="CB322" i="23"/>
  <c r="CB321" i="23"/>
  <c r="CB320" i="23"/>
  <c r="CB319" i="23"/>
  <c r="CB318" i="23"/>
  <c r="CB317" i="23"/>
  <c r="CB316" i="23"/>
  <c r="CB315" i="23"/>
  <c r="CB314" i="23"/>
  <c r="BV352" i="23"/>
  <c r="BV351" i="23"/>
  <c r="BV350" i="23"/>
  <c r="BV349" i="23"/>
  <c r="BV348" i="23"/>
  <c r="BV347" i="23"/>
  <c r="BV346" i="23"/>
  <c r="BV345" i="23"/>
  <c r="BV344" i="23"/>
  <c r="BV343" i="23"/>
  <c r="BV342" i="23"/>
  <c r="BV341" i="23"/>
  <c r="BV340" i="23"/>
  <c r="BV339" i="23"/>
  <c r="BV338" i="23"/>
  <c r="BV337" i="23"/>
  <c r="BV336" i="23"/>
  <c r="BV335" i="23"/>
  <c r="BV334" i="23"/>
  <c r="BV333" i="23"/>
  <c r="BV332" i="23"/>
  <c r="BV331" i="23"/>
  <c r="BV330" i="23"/>
  <c r="BV329" i="23"/>
  <c r="BV328" i="23"/>
  <c r="BV327" i="23"/>
  <c r="BV326" i="23"/>
  <c r="BV325" i="23"/>
  <c r="BV324" i="23"/>
  <c r="BV323" i="23"/>
  <c r="BV322" i="23"/>
  <c r="BV321" i="23"/>
  <c r="BV320" i="23"/>
  <c r="BV319" i="23"/>
  <c r="BV318" i="23"/>
  <c r="BV317" i="23"/>
  <c r="BV316" i="23"/>
  <c r="BV315" i="23"/>
  <c r="BV314" i="23"/>
  <c r="BP352" i="23"/>
  <c r="BP351" i="23"/>
  <c r="BP350" i="23"/>
  <c r="BP349" i="23"/>
  <c r="BP348" i="23"/>
  <c r="BP347" i="23"/>
  <c r="BP346" i="23"/>
  <c r="BP345" i="23"/>
  <c r="BP344" i="23"/>
  <c r="BP343" i="23"/>
  <c r="BP342" i="23"/>
  <c r="BP341" i="23"/>
  <c r="BP340" i="23"/>
  <c r="BP339" i="23"/>
  <c r="BP338" i="23"/>
  <c r="BP337" i="23"/>
  <c r="BP336" i="23"/>
  <c r="BP335" i="23"/>
  <c r="BP334" i="23"/>
  <c r="BP333" i="23"/>
  <c r="BP332" i="23"/>
  <c r="BP331" i="23"/>
  <c r="BP330" i="23"/>
  <c r="BP329" i="23"/>
  <c r="BP328" i="23"/>
  <c r="BP327" i="23"/>
  <c r="BP326" i="23"/>
  <c r="BP325" i="23"/>
  <c r="BP324" i="23"/>
  <c r="BP323" i="23"/>
  <c r="BP322" i="23"/>
  <c r="BP321" i="23"/>
  <c r="BP320" i="23"/>
  <c r="BP319" i="23"/>
  <c r="BP318" i="23"/>
  <c r="BP317" i="23"/>
  <c r="BP316" i="23"/>
  <c r="BP315" i="23"/>
  <c r="BP314" i="23"/>
  <c r="BJ352" i="23"/>
  <c r="BJ351" i="23"/>
  <c r="BJ350" i="23"/>
  <c r="BJ349" i="23"/>
  <c r="BJ348" i="23"/>
  <c r="BJ347" i="23"/>
  <c r="BJ346" i="23"/>
  <c r="BJ345" i="23"/>
  <c r="BJ344" i="23"/>
  <c r="BJ343" i="23"/>
  <c r="BJ342" i="23"/>
  <c r="BJ341" i="23"/>
  <c r="BJ340" i="23"/>
  <c r="BJ339" i="23"/>
  <c r="BJ338" i="23"/>
  <c r="BJ337" i="23"/>
  <c r="BJ336" i="23"/>
  <c r="BJ335" i="23"/>
  <c r="BJ334" i="23"/>
  <c r="BJ333" i="23"/>
  <c r="BJ332" i="23"/>
  <c r="BJ331" i="23"/>
  <c r="BJ330" i="23"/>
  <c r="BJ329" i="23"/>
  <c r="BJ328" i="23"/>
  <c r="BJ327" i="23"/>
  <c r="BJ326" i="23"/>
  <c r="BJ325" i="23"/>
  <c r="BJ324" i="23"/>
  <c r="BJ323" i="23"/>
  <c r="BJ322" i="23"/>
  <c r="BJ321" i="23"/>
  <c r="BJ320" i="23"/>
  <c r="BJ319" i="23"/>
  <c r="BJ318" i="23"/>
  <c r="BJ317" i="23"/>
  <c r="BJ316" i="23"/>
  <c r="BJ315" i="23"/>
  <c r="BJ314" i="23"/>
  <c r="BD352" i="23"/>
  <c r="BD351" i="23"/>
  <c r="BD350" i="23"/>
  <c r="BD349" i="23"/>
  <c r="BD348" i="23"/>
  <c r="BD347" i="23"/>
  <c r="BD346" i="23"/>
  <c r="BD345" i="23"/>
  <c r="BD344" i="23"/>
  <c r="BD343" i="23"/>
  <c r="BD342" i="23"/>
  <c r="BD341" i="23"/>
  <c r="BD340" i="23"/>
  <c r="BD339" i="23"/>
  <c r="BD338" i="23"/>
  <c r="BD337" i="23"/>
  <c r="BD336" i="23"/>
  <c r="BD335" i="23"/>
  <c r="BD334" i="23"/>
  <c r="BD333" i="23"/>
  <c r="BD332" i="23"/>
  <c r="BD331" i="23"/>
  <c r="BD330" i="23"/>
  <c r="BD329" i="23"/>
  <c r="BD328" i="23"/>
  <c r="BD327" i="23"/>
  <c r="BD326" i="23"/>
  <c r="BD325" i="23"/>
  <c r="BD324" i="23"/>
  <c r="BD323" i="23"/>
  <c r="BD322" i="23"/>
  <c r="BD321" i="23"/>
  <c r="BD320" i="23"/>
  <c r="BD319" i="23"/>
  <c r="BD318" i="23"/>
  <c r="BD317" i="23"/>
  <c r="BD316" i="23"/>
  <c r="BD315" i="23"/>
  <c r="BD314" i="23"/>
  <c r="AX352" i="23"/>
  <c r="AX351" i="23"/>
  <c r="AX350" i="23"/>
  <c r="AX349" i="23"/>
  <c r="AX348" i="23"/>
  <c r="AX347" i="23"/>
  <c r="AX346" i="23"/>
  <c r="AX345" i="23"/>
  <c r="AX344" i="23"/>
  <c r="AX343" i="23"/>
  <c r="AX342" i="23"/>
  <c r="AX341" i="23"/>
  <c r="AX340" i="23"/>
  <c r="AX339" i="23"/>
  <c r="AX338" i="23"/>
  <c r="AX337" i="23"/>
  <c r="AX336" i="23"/>
  <c r="AX335" i="23"/>
  <c r="AX334" i="23"/>
  <c r="AX333" i="23"/>
  <c r="AX332" i="23"/>
  <c r="AX331" i="23"/>
  <c r="AX330" i="23"/>
  <c r="AX329" i="23"/>
  <c r="AX328" i="23"/>
  <c r="AX327" i="23"/>
  <c r="AX326" i="23"/>
  <c r="AX325" i="23"/>
  <c r="AX324" i="23"/>
  <c r="AX323" i="23"/>
  <c r="AX322" i="23"/>
  <c r="AX321" i="23"/>
  <c r="AX320" i="23"/>
  <c r="AX319" i="23"/>
  <c r="AX318" i="23"/>
  <c r="AX317" i="23"/>
  <c r="AX316" i="23"/>
  <c r="AX315" i="23"/>
  <c r="AX314" i="23"/>
  <c r="AR352" i="23"/>
  <c r="AR351" i="23"/>
  <c r="AR350" i="23"/>
  <c r="AR349" i="23"/>
  <c r="AR348" i="23"/>
  <c r="AR347" i="23"/>
  <c r="AR346" i="23"/>
  <c r="AR345" i="23"/>
  <c r="AR344" i="23"/>
  <c r="AR343" i="23"/>
  <c r="AR342" i="23"/>
  <c r="AR341" i="23"/>
  <c r="AR340" i="23"/>
  <c r="AR339" i="23"/>
  <c r="AR338" i="23"/>
  <c r="AR337" i="23"/>
  <c r="AR336" i="23"/>
  <c r="AR335" i="23"/>
  <c r="AR334" i="23"/>
  <c r="AR333" i="23"/>
  <c r="AR332" i="23"/>
  <c r="AR331" i="23"/>
  <c r="AR330" i="23"/>
  <c r="AR329" i="23"/>
  <c r="AR328" i="23"/>
  <c r="AR327" i="23"/>
  <c r="AR326" i="23"/>
  <c r="AR325" i="23"/>
  <c r="AR324" i="23"/>
  <c r="AR323" i="23"/>
  <c r="AR322" i="23"/>
  <c r="AR321" i="23"/>
  <c r="AR320" i="23"/>
  <c r="AR319" i="23"/>
  <c r="AR318" i="23"/>
  <c r="AR317" i="23"/>
  <c r="AR316" i="23"/>
  <c r="AR315" i="23"/>
  <c r="AR314" i="23"/>
  <c r="M367" i="23"/>
  <c r="I367" i="23"/>
  <c r="I364" i="23"/>
  <c r="I363" i="23"/>
  <c r="AM21" i="62" l="1"/>
  <c r="AT21" i="62" s="1"/>
  <c r="AU52" i="62" s="1"/>
  <c r="AV52" i="62" s="1"/>
  <c r="AM6" i="62"/>
  <c r="AT6" i="62" s="1"/>
  <c r="AU37" i="62" s="1"/>
  <c r="AV37" i="62" s="1"/>
  <c r="AM7" i="62"/>
  <c r="AT7" i="62" s="1"/>
  <c r="AU38" i="62" s="1"/>
  <c r="AV38" i="62" s="1"/>
  <c r="AN38" i="62"/>
  <c r="AN37" i="62" s="1"/>
  <c r="BO38" i="62"/>
  <c r="BO37" i="62" s="1"/>
  <c r="AE38" i="62"/>
  <c r="AE37" i="62" s="1"/>
  <c r="V38" i="62"/>
  <c r="V37" i="62" s="1"/>
  <c r="CF38" i="62"/>
  <c r="CF37" i="62" s="1"/>
  <c r="M38" i="62"/>
  <c r="M37" i="62" s="1"/>
  <c r="BF38" i="62"/>
  <c r="BF37" i="62" s="1"/>
  <c r="BX38" i="62"/>
  <c r="BX37" i="62" s="1"/>
  <c r="AM26" i="62"/>
  <c r="AT26" i="62" s="1"/>
  <c r="AU57" i="62" s="1"/>
  <c r="AV57" i="62" s="1"/>
  <c r="AM30" i="62"/>
  <c r="AT30" i="62" s="1"/>
  <c r="AU61" i="62" s="1"/>
  <c r="AV61" i="62" s="1"/>
  <c r="AM9" i="62"/>
  <c r="AT9" i="62" s="1"/>
  <c r="AU40" i="62" s="1"/>
  <c r="AV40" i="62" s="1"/>
  <c r="AM12" i="62"/>
  <c r="AT12" i="62" s="1"/>
  <c r="AU43" i="62" s="1"/>
  <c r="AV43" i="62" s="1"/>
  <c r="AM13" i="62"/>
  <c r="AT13" i="62" s="1"/>
  <c r="AU44" i="62" s="1"/>
  <c r="AV44" i="62" s="1"/>
  <c r="AM19" i="62"/>
  <c r="AT19" i="62" s="1"/>
  <c r="AU50" i="62" s="1"/>
  <c r="AV50" i="62" s="1"/>
  <c r="AM16" i="62"/>
  <c r="AT16" i="62" s="1"/>
  <c r="AU47" i="62" s="1"/>
  <c r="AV47" i="62" s="1"/>
  <c r="AM28" i="62"/>
  <c r="AT28" i="62" s="1"/>
  <c r="AU59" i="62" s="1"/>
  <c r="AV59" i="62" s="1"/>
  <c r="AM17" i="62"/>
  <c r="AT17" i="62" s="1"/>
  <c r="AU48" i="62" s="1"/>
  <c r="AV48" i="62" s="1"/>
  <c r="AM24" i="62"/>
  <c r="AT24" i="62" s="1"/>
  <c r="AU55" i="62" s="1"/>
  <c r="AV55" i="62" s="1"/>
  <c r="AM25" i="62"/>
  <c r="AT25" i="62" s="1"/>
  <c r="AU56" i="62" s="1"/>
  <c r="AV56" i="62" s="1"/>
  <c r="AM11" i="62"/>
  <c r="AT11" i="62" s="1"/>
  <c r="AU42" i="62" s="1"/>
  <c r="AV42" i="62" s="1"/>
  <c r="AM15" i="62"/>
  <c r="AT15" i="62" s="1"/>
  <c r="AU46" i="62" s="1"/>
  <c r="AV46" i="62" s="1"/>
  <c r="AM34" i="62"/>
  <c r="AT34" i="62" s="1"/>
  <c r="AU65" i="62" s="1"/>
  <c r="AV65" i="62" s="1"/>
  <c r="AM22" i="62"/>
  <c r="AT22" i="62" s="1"/>
  <c r="AU53" i="62" s="1"/>
  <c r="AV53" i="62" s="1"/>
  <c r="AM32" i="62"/>
  <c r="AT32" i="62" s="1"/>
  <c r="AU63" i="62" s="1"/>
  <c r="AV63" i="62" s="1"/>
  <c r="AM33" i="62"/>
  <c r="AT33" i="62" s="1"/>
  <c r="AU64" i="62" s="1"/>
  <c r="AV64" i="62" s="1"/>
  <c r="AM10" i="62"/>
  <c r="AT10" i="62" s="1"/>
  <c r="AU41" i="62" s="1"/>
  <c r="AV41" i="62" s="1"/>
  <c r="AM18" i="62"/>
  <c r="AT18" i="62" s="1"/>
  <c r="AU49" i="62" s="1"/>
  <c r="AV49" i="62" s="1"/>
  <c r="AM23" i="62"/>
  <c r="AT23" i="62" s="1"/>
  <c r="AU54" i="62" s="1"/>
  <c r="AV54" i="62" s="1"/>
  <c r="AM14" i="62"/>
  <c r="AT14" i="62" s="1"/>
  <c r="AU45" i="62" s="1"/>
  <c r="AV45" i="62" s="1"/>
  <c r="AM8" i="62"/>
  <c r="AT8" i="62" s="1"/>
  <c r="AU39" i="62" s="1"/>
  <c r="AV39" i="62" s="1"/>
  <c r="AM27" i="62"/>
  <c r="AT27" i="62" s="1"/>
  <c r="AU58" i="62" s="1"/>
  <c r="AV58" i="62" s="1"/>
  <c r="AM35" i="62"/>
  <c r="AT35" i="62" s="1"/>
  <c r="AU66" i="62" s="1"/>
  <c r="AV66" i="62" s="1"/>
  <c r="AM20" i="62"/>
  <c r="AT20" i="62" s="1"/>
  <c r="AU51" i="62" s="1"/>
  <c r="AV51" i="62" s="1"/>
  <c r="AM31" i="62"/>
  <c r="AT31" i="62" s="1"/>
  <c r="AU62" i="62" s="1"/>
  <c r="AV62" i="62" s="1"/>
  <c r="AM29" i="62"/>
  <c r="AT29" i="62" s="1"/>
  <c r="AU60" i="62" s="1"/>
  <c r="AV60" i="62" s="1"/>
  <c r="ET10" i="40"/>
  <c r="ES11" i="40"/>
  <c r="FR12" i="40"/>
  <c r="FS11" i="40"/>
  <c r="EN12" i="40"/>
  <c r="EO11" i="40"/>
  <c r="FD8" i="40"/>
  <c r="FC9" i="40"/>
  <c r="EX14" i="40"/>
  <c r="EY13" i="40"/>
  <c r="FH11" i="40"/>
  <c r="FI10" i="40"/>
  <c r="FM9" i="40"/>
  <c r="FN8" i="40"/>
  <c r="EJ10" i="40"/>
  <c r="EI11" i="40"/>
  <c r="ED11" i="40"/>
  <c r="EE10" i="40"/>
  <c r="DZ62" i="40"/>
  <c r="DZ63" i="40" s="1"/>
  <c r="DZ64" i="40" s="1"/>
  <c r="DZ65" i="40" s="1"/>
  <c r="DZ66" i="40" s="1"/>
  <c r="DZ67" i="40" s="1"/>
  <c r="DZ68" i="40" s="1"/>
  <c r="J78" i="27"/>
  <c r="K77" i="27"/>
  <c r="L15" i="50"/>
  <c r="L34" i="50"/>
  <c r="L25" i="50"/>
  <c r="L27" i="50"/>
  <c r="L18" i="50"/>
  <c r="L35" i="50"/>
  <c r="L22" i="50"/>
  <c r="L17" i="50"/>
  <c r="L16" i="50"/>
  <c r="L29" i="50"/>
  <c r="L23" i="50"/>
  <c r="L19" i="50"/>
  <c r="L20" i="50"/>
  <c r="L24" i="50"/>
  <c r="L32" i="50"/>
  <c r="L30" i="50"/>
  <c r="L14" i="50"/>
  <c r="L31" i="50"/>
  <c r="L33" i="50"/>
  <c r="L26" i="50"/>
  <c r="L28" i="50"/>
  <c r="L21" i="50"/>
  <c r="K224" i="23"/>
  <c r="K225" i="23"/>
  <c r="AW38" i="62" l="1"/>
  <c r="AW37" i="62" s="1"/>
  <c r="B37" i="62" s="1"/>
  <c r="EI12" i="40"/>
  <c r="EJ11" i="40"/>
  <c r="FD9" i="40"/>
  <c r="FC10" i="40"/>
  <c r="FH12" i="40"/>
  <c r="FI11" i="40"/>
  <c r="FS12" i="40"/>
  <c r="FR13" i="40"/>
  <c r="ES12" i="40"/>
  <c r="ET11" i="40"/>
  <c r="EE11" i="40"/>
  <c r="ED12" i="40"/>
  <c r="FM10" i="40"/>
  <c r="FN9" i="40"/>
  <c r="EY14" i="40"/>
  <c r="EX15" i="40"/>
  <c r="EO12" i="40"/>
  <c r="EN13" i="40"/>
  <c r="DZ69" i="40"/>
  <c r="J79" i="27"/>
  <c r="K78" i="27"/>
  <c r="C21" i="50"/>
  <c r="C22" i="50"/>
  <c r="AL352" i="23"/>
  <c r="AL351" i="23"/>
  <c r="AL350" i="23"/>
  <c r="AL349" i="23"/>
  <c r="AL348" i="23"/>
  <c r="AL347" i="23"/>
  <c r="AL346" i="23"/>
  <c r="AL345" i="23"/>
  <c r="AL344" i="23"/>
  <c r="AL343" i="23"/>
  <c r="AL342" i="23"/>
  <c r="AL341" i="23"/>
  <c r="AL340" i="23"/>
  <c r="AL339" i="23"/>
  <c r="AL338" i="23"/>
  <c r="AL337" i="23"/>
  <c r="AL336" i="23"/>
  <c r="AL335" i="23"/>
  <c r="AL334" i="23"/>
  <c r="AL333" i="23"/>
  <c r="AL332" i="23"/>
  <c r="AL331" i="23"/>
  <c r="AL330" i="23"/>
  <c r="AL329" i="23"/>
  <c r="AL328" i="23"/>
  <c r="AL327" i="23"/>
  <c r="AL326" i="23"/>
  <c r="AL325" i="23"/>
  <c r="AL324" i="23"/>
  <c r="AL323" i="23"/>
  <c r="AL322" i="23"/>
  <c r="AL321" i="23"/>
  <c r="AL320" i="23"/>
  <c r="AL319" i="23"/>
  <c r="AL318" i="23"/>
  <c r="AL317" i="23"/>
  <c r="AL316" i="23"/>
  <c r="AL315" i="23"/>
  <c r="AL314" i="23"/>
  <c r="Z352" i="23"/>
  <c r="Z351" i="23"/>
  <c r="Z350" i="23"/>
  <c r="Z349" i="23"/>
  <c r="Z348" i="23"/>
  <c r="Z347" i="23"/>
  <c r="Z346" i="23"/>
  <c r="Z345" i="23"/>
  <c r="Z344" i="23"/>
  <c r="Z343" i="23"/>
  <c r="Z342" i="23"/>
  <c r="Z341" i="23"/>
  <c r="Z340" i="23"/>
  <c r="Z339" i="23"/>
  <c r="Z338" i="23"/>
  <c r="Z337" i="23"/>
  <c r="Z336" i="23"/>
  <c r="Z335" i="23"/>
  <c r="Z334" i="23"/>
  <c r="Z333" i="23"/>
  <c r="Z332" i="23"/>
  <c r="Z331" i="23"/>
  <c r="Z330" i="23"/>
  <c r="Z329" i="23"/>
  <c r="Z328" i="23"/>
  <c r="Z327" i="23"/>
  <c r="Z326" i="23"/>
  <c r="Z325" i="23"/>
  <c r="Z324" i="23"/>
  <c r="Z323" i="23"/>
  <c r="Z322" i="23"/>
  <c r="Z321" i="23"/>
  <c r="Z320" i="23"/>
  <c r="Z319" i="23"/>
  <c r="Z318" i="23"/>
  <c r="Z317" i="23"/>
  <c r="Z316" i="23"/>
  <c r="Z315" i="23"/>
  <c r="Z314" i="23"/>
  <c r="AF352" i="23"/>
  <c r="AF351" i="23"/>
  <c r="AF350" i="23"/>
  <c r="AF349" i="23"/>
  <c r="AF348" i="23"/>
  <c r="AF347" i="23"/>
  <c r="AF346" i="23"/>
  <c r="AF345" i="23"/>
  <c r="AF344" i="23"/>
  <c r="AF343" i="23"/>
  <c r="AF342" i="23"/>
  <c r="AF341" i="23"/>
  <c r="AF340" i="23"/>
  <c r="AF339" i="23"/>
  <c r="AF338" i="23"/>
  <c r="AF337" i="23"/>
  <c r="AF336" i="23"/>
  <c r="AF335" i="23"/>
  <c r="AF334" i="23"/>
  <c r="AF333" i="23"/>
  <c r="AF332" i="23"/>
  <c r="AF331" i="23"/>
  <c r="AF330" i="23"/>
  <c r="AF329" i="23"/>
  <c r="AF328" i="23"/>
  <c r="AF327" i="23"/>
  <c r="AF326" i="23"/>
  <c r="AF325" i="23"/>
  <c r="AF324" i="23"/>
  <c r="AF323" i="23"/>
  <c r="AF322" i="23"/>
  <c r="AF321" i="23"/>
  <c r="AF320" i="23"/>
  <c r="AF319" i="23"/>
  <c r="AF318" i="23"/>
  <c r="AF317" i="23"/>
  <c r="AF316" i="23"/>
  <c r="AF315" i="23"/>
  <c r="AF314" i="23"/>
  <c r="T352" i="23"/>
  <c r="T351" i="23"/>
  <c r="T350" i="23"/>
  <c r="T349" i="23"/>
  <c r="T348" i="23"/>
  <c r="T347" i="23"/>
  <c r="T346" i="23"/>
  <c r="T345" i="23"/>
  <c r="T344" i="23"/>
  <c r="T343" i="23"/>
  <c r="T342" i="23"/>
  <c r="T341" i="23"/>
  <c r="T340" i="23"/>
  <c r="T339" i="23"/>
  <c r="T338" i="23"/>
  <c r="T337" i="23"/>
  <c r="T336" i="23"/>
  <c r="T335" i="23"/>
  <c r="T334" i="23"/>
  <c r="T333" i="23"/>
  <c r="T332" i="23"/>
  <c r="T331" i="23"/>
  <c r="T330" i="23"/>
  <c r="T329" i="23"/>
  <c r="T328" i="23"/>
  <c r="T327" i="23"/>
  <c r="T326" i="23"/>
  <c r="T325" i="23"/>
  <c r="T324" i="23"/>
  <c r="T323" i="23"/>
  <c r="T322" i="23"/>
  <c r="T321" i="23"/>
  <c r="T320" i="23"/>
  <c r="T319" i="23"/>
  <c r="T318" i="23"/>
  <c r="T317" i="23"/>
  <c r="T316" i="23"/>
  <c r="T315" i="23"/>
  <c r="T314" i="23"/>
  <c r="N352" i="23"/>
  <c r="N351" i="23"/>
  <c r="N350" i="23"/>
  <c r="N349" i="23"/>
  <c r="N348" i="23"/>
  <c r="N347" i="23"/>
  <c r="N346" i="23"/>
  <c r="N345" i="23"/>
  <c r="N344" i="23"/>
  <c r="N343" i="23"/>
  <c r="N342" i="23"/>
  <c r="N341" i="23"/>
  <c r="N340" i="23"/>
  <c r="N339" i="23"/>
  <c r="N338" i="23"/>
  <c r="N337" i="23"/>
  <c r="N336" i="23"/>
  <c r="N335" i="23"/>
  <c r="N334" i="23"/>
  <c r="N333" i="23"/>
  <c r="N332" i="23"/>
  <c r="N331" i="23"/>
  <c r="N330" i="23"/>
  <c r="N329" i="23"/>
  <c r="N328" i="23"/>
  <c r="N327" i="23"/>
  <c r="N326" i="23"/>
  <c r="N325" i="23"/>
  <c r="N324" i="23"/>
  <c r="N323" i="23"/>
  <c r="N322" i="23"/>
  <c r="N321" i="23"/>
  <c r="N320" i="23"/>
  <c r="N319" i="23"/>
  <c r="N318" i="23"/>
  <c r="N317" i="23"/>
  <c r="N316" i="23"/>
  <c r="N315" i="23"/>
  <c r="N314" i="23"/>
  <c r="O313" i="23"/>
  <c r="U313" i="23" s="1"/>
  <c r="K313" i="23"/>
  <c r="H318" i="23"/>
  <c r="J370" i="23" s="1"/>
  <c r="J364" i="23"/>
  <c r="K364" i="23" s="1"/>
  <c r="J363" i="23"/>
  <c r="K363" i="23" s="1"/>
  <c r="AH41" i="2"/>
  <c r="AH40" i="2"/>
  <c r="AH39" i="2"/>
  <c r="AH38" i="2"/>
  <c r="AH37" i="2"/>
  <c r="AH36" i="2"/>
  <c r="AH35" i="2"/>
  <c r="AH34" i="2"/>
  <c r="AH33" i="2"/>
  <c r="AH32" i="2"/>
  <c r="AH31" i="2"/>
  <c r="AH30" i="2"/>
  <c r="AH29" i="2"/>
  <c r="AH28" i="2"/>
  <c r="AH27" i="2"/>
  <c r="AH26" i="2"/>
  <c r="AH25" i="2"/>
  <c r="AH24" i="2"/>
  <c r="AH23" i="2"/>
  <c r="AH22" i="2"/>
  <c r="AH21" i="2"/>
  <c r="AH20" i="2"/>
  <c r="AH19" i="2"/>
  <c r="AH18" i="2"/>
  <c r="AH17" i="2"/>
  <c r="AH16" i="2"/>
  <c r="AH15" i="2"/>
  <c r="AH14" i="2"/>
  <c r="AH13" i="2"/>
  <c r="AH12" i="2"/>
  <c r="AH11" i="2"/>
  <c r="AH10" i="2"/>
  <c r="AH9" i="2"/>
  <c r="AH8" i="2"/>
  <c r="AH7" i="2"/>
  <c r="AH6" i="2"/>
  <c r="AH5" i="2"/>
  <c r="AH4" i="2"/>
  <c r="AH3" i="2"/>
  <c r="AG285" i="23"/>
  <c r="AL285" i="23" s="1"/>
  <c r="AQ285" i="23" s="1"/>
  <c r="AV285" i="23" s="1"/>
  <c r="BA285" i="23" s="1"/>
  <c r="EX16" i="40" l="1"/>
  <c r="EY15" i="40"/>
  <c r="ED13" i="40"/>
  <c r="EE12" i="40"/>
  <c r="FR14" i="40"/>
  <c r="FS13" i="40"/>
  <c r="FC11" i="40"/>
  <c r="FD10" i="40"/>
  <c r="EO13" i="40"/>
  <c r="EN14" i="40"/>
  <c r="FM11" i="40"/>
  <c r="FN10" i="40"/>
  <c r="ES13" i="40"/>
  <c r="ET12" i="40"/>
  <c r="FH13" i="40"/>
  <c r="FI12" i="40"/>
  <c r="EJ12" i="40"/>
  <c r="EI13" i="40"/>
  <c r="DZ70" i="40"/>
  <c r="DZ71" i="40" s="1"/>
  <c r="DZ72" i="40" s="1"/>
  <c r="J80" i="27"/>
  <c r="K79" i="27"/>
  <c r="Q313" i="23"/>
  <c r="W313" i="23"/>
  <c r="AA313" i="23"/>
  <c r="AC313" i="23" s="1"/>
  <c r="J367" i="23"/>
  <c r="J366" i="23" s="1"/>
  <c r="K366" i="23" s="1"/>
  <c r="AG313" i="23" l="1"/>
  <c r="AM313" i="23" s="1"/>
  <c r="FI13" i="40"/>
  <c r="FH14" i="40"/>
  <c r="FN11" i="40"/>
  <c r="FM12" i="40"/>
  <c r="FC12" i="40"/>
  <c r="FD11" i="40"/>
  <c r="EE13" i="40"/>
  <c r="ED14" i="40"/>
  <c r="EJ13" i="40"/>
  <c r="EI14" i="40"/>
  <c r="EO14" i="40"/>
  <c r="EN15" i="40"/>
  <c r="ES14" i="40"/>
  <c r="ET13" i="40"/>
  <c r="FS14" i="40"/>
  <c r="FR15" i="40"/>
  <c r="EY16" i="40"/>
  <c r="EX17" i="40"/>
  <c r="DZ73" i="40"/>
  <c r="J81" i="27"/>
  <c r="K80" i="27"/>
  <c r="C23" i="50"/>
  <c r="AS313" i="23"/>
  <c r="AO313" i="23"/>
  <c r="AI313" i="23"/>
  <c r="J365" i="23"/>
  <c r="K365" i="23" s="1"/>
  <c r="S304" i="23"/>
  <c r="FR16" i="40" l="1"/>
  <c r="FS15" i="40"/>
  <c r="EN16" i="40"/>
  <c r="EO15" i="40"/>
  <c r="ED15" i="40"/>
  <c r="EE14" i="40"/>
  <c r="FM13" i="40"/>
  <c r="FN12" i="40"/>
  <c r="EY17" i="40"/>
  <c r="EX18" i="40"/>
  <c r="EI15" i="40"/>
  <c r="EJ14" i="40"/>
  <c r="FH15" i="40"/>
  <c r="FI14" i="40"/>
  <c r="ET14" i="40"/>
  <c r="ES15" i="40"/>
  <c r="FC13" i="40"/>
  <c r="FD12" i="40"/>
  <c r="DZ74" i="40"/>
  <c r="DZ75" i="40" s="1"/>
  <c r="DZ76" i="40" s="1"/>
  <c r="DZ77" i="40" s="1"/>
  <c r="DZ78" i="40" s="1"/>
  <c r="DZ79" i="40" s="1"/>
  <c r="J82" i="27"/>
  <c r="K81" i="27"/>
  <c r="C27" i="50"/>
  <c r="C26" i="50"/>
  <c r="C25" i="50"/>
  <c r="AY313" i="23"/>
  <c r="AU313" i="23"/>
  <c r="J306" i="23"/>
  <c r="J307" i="23"/>
  <c r="J308" i="23"/>
  <c r="J309" i="23"/>
  <c r="J310" i="23"/>
  <c r="J311" i="23"/>
  <c r="J305" i="23"/>
  <c r="J304" i="23"/>
  <c r="J303" i="23"/>
  <c r="J302" i="23"/>
  <c r="J301" i="23"/>
  <c r="J300" i="23"/>
  <c r="J299" i="23"/>
  <c r="J298" i="23"/>
  <c r="J297" i="23"/>
  <c r="J296" i="23"/>
  <c r="J295" i="23"/>
  <c r="J294" i="23"/>
  <c r="J293" i="23"/>
  <c r="J292" i="23"/>
  <c r="J291" i="23"/>
  <c r="J290" i="23"/>
  <c r="J289" i="23"/>
  <c r="J288" i="23"/>
  <c r="J287" i="23"/>
  <c r="J286" i="23"/>
  <c r="G260" i="23"/>
  <c r="G259" i="23"/>
  <c r="G258" i="23"/>
  <c r="G257" i="23"/>
  <c r="G256" i="23"/>
  <c r="G255" i="23"/>
  <c r="G254" i="23"/>
  <c r="G253" i="23"/>
  <c r="G252" i="23"/>
  <c r="G251" i="23"/>
  <c r="G250" i="23"/>
  <c r="G249" i="23"/>
  <c r="G248" i="23"/>
  <c r="G247" i="23"/>
  <c r="G246" i="23"/>
  <c r="G245" i="23"/>
  <c r="G244" i="23"/>
  <c r="G243" i="23"/>
  <c r="U3" i="2"/>
  <c r="U4" i="2" s="1"/>
  <c r="U5" i="2" s="1"/>
  <c r="U6" i="2" s="1"/>
  <c r="U7" i="2" s="1"/>
  <c r="U8" i="2" s="1"/>
  <c r="U9" i="2" s="1"/>
  <c r="U10" i="2" s="1"/>
  <c r="U11" i="2" s="1"/>
  <c r="U12" i="2" s="1"/>
  <c r="U13" i="2" s="1"/>
  <c r="U14" i="2" s="1"/>
  <c r="U15" i="2" s="1"/>
  <c r="U16" i="2" s="1"/>
  <c r="U17" i="2" s="1"/>
  <c r="U18" i="2" s="1"/>
  <c r="U19" i="2" s="1"/>
  <c r="U20" i="2" s="1"/>
  <c r="U21" i="2"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ES16" i="40" l="1"/>
  <c r="ET15" i="40"/>
  <c r="EI16" i="40"/>
  <c r="EJ15" i="40"/>
  <c r="FN13" i="40"/>
  <c r="FM14" i="40"/>
  <c r="EO16" i="40"/>
  <c r="EN17" i="40"/>
  <c r="EX19" i="40"/>
  <c r="EY18" i="40"/>
  <c r="FD13" i="40"/>
  <c r="FC14" i="40"/>
  <c r="FH16" i="40"/>
  <c r="FI15" i="40"/>
  <c r="EE15" i="40"/>
  <c r="ED16" i="40"/>
  <c r="FR17" i="40"/>
  <c r="FS16" i="40"/>
  <c r="DZ80" i="40"/>
  <c r="DZ81" i="40" s="1"/>
  <c r="DZ82" i="40" s="1"/>
  <c r="DZ83" i="40" s="1"/>
  <c r="J83" i="27"/>
  <c r="K82" i="27"/>
  <c r="BE313" i="23"/>
  <c r="BA313" i="23"/>
  <c r="BE286" i="23"/>
  <c r="AZ286" i="23"/>
  <c r="BE290" i="23"/>
  <c r="AZ290" i="23"/>
  <c r="BE298" i="23"/>
  <c r="AZ298" i="23"/>
  <c r="BE302" i="23"/>
  <c r="AZ302" i="23"/>
  <c r="BE291" i="23"/>
  <c r="AZ291" i="23"/>
  <c r="AZ299" i="23"/>
  <c r="BE299" i="23"/>
  <c r="AZ311" i="23"/>
  <c r="BE311" i="23"/>
  <c r="BE309" i="23"/>
  <c r="AZ309" i="23"/>
  <c r="AZ288" i="23"/>
  <c r="BE288" i="23"/>
  <c r="AZ292" i="23"/>
  <c r="BE292" i="23"/>
  <c r="BE296" i="23"/>
  <c r="AZ296" i="23"/>
  <c r="AZ300" i="23"/>
  <c r="BE300" i="23"/>
  <c r="AZ304" i="23"/>
  <c r="BE304" i="23"/>
  <c r="AZ310" i="23"/>
  <c r="BE310" i="23"/>
  <c r="AZ308" i="23"/>
  <c r="BE308" i="23"/>
  <c r="AZ307" i="23"/>
  <c r="BE307" i="23"/>
  <c r="AZ294" i="23"/>
  <c r="BE294" i="23"/>
  <c r="BE287" i="23"/>
  <c r="AZ287" i="23"/>
  <c r="AZ295" i="23"/>
  <c r="BE295" i="23"/>
  <c r="AZ303" i="23"/>
  <c r="BE303" i="23"/>
  <c r="BE289" i="23"/>
  <c r="AZ289" i="23"/>
  <c r="BE293" i="23"/>
  <c r="AZ293" i="23"/>
  <c r="BE297" i="23"/>
  <c r="AZ297" i="23"/>
  <c r="BE301" i="23"/>
  <c r="AZ301" i="23"/>
  <c r="BE305" i="23"/>
  <c r="AZ305" i="23"/>
  <c r="AZ306" i="23"/>
  <c r="BE306" i="23"/>
  <c r="AP293" i="23"/>
  <c r="AK293" i="23"/>
  <c r="AA293" i="23"/>
  <c r="AU293" i="23"/>
  <c r="V293" i="23"/>
  <c r="AF293" i="23"/>
  <c r="AP301" i="23"/>
  <c r="AK301" i="23"/>
  <c r="AA301" i="23"/>
  <c r="AU301" i="23"/>
  <c r="V301" i="23"/>
  <c r="AF301" i="23"/>
  <c r="AU287" i="23"/>
  <c r="V287" i="23"/>
  <c r="AF287" i="23"/>
  <c r="AP287" i="23"/>
  <c r="AK287" i="23"/>
  <c r="AA287" i="23"/>
  <c r="AU291" i="23"/>
  <c r="V291" i="23"/>
  <c r="AF291" i="23"/>
  <c r="AP291" i="23"/>
  <c r="AK291" i="23"/>
  <c r="AA291" i="23"/>
  <c r="AU295" i="23"/>
  <c r="V295" i="23"/>
  <c r="AF295" i="23"/>
  <c r="AP295" i="23"/>
  <c r="AK295" i="23"/>
  <c r="AA295" i="23"/>
  <c r="AU299" i="23"/>
  <c r="V299" i="23"/>
  <c r="AF299" i="23"/>
  <c r="AP299" i="23"/>
  <c r="AK299" i="23"/>
  <c r="AA299" i="23"/>
  <c r="AU303" i="23"/>
  <c r="V303" i="23"/>
  <c r="W303" i="23" s="1"/>
  <c r="AF303" i="23"/>
  <c r="AP303" i="23"/>
  <c r="AK303" i="23"/>
  <c r="AA303" i="23"/>
  <c r="AF308" i="23"/>
  <c r="AP308" i="23"/>
  <c r="AK308" i="23"/>
  <c r="AA308" i="23"/>
  <c r="AU308" i="23"/>
  <c r="V308" i="23"/>
  <c r="AU307" i="23"/>
  <c r="V307" i="23"/>
  <c r="AF307" i="23"/>
  <c r="AP307" i="23"/>
  <c r="AK307" i="23"/>
  <c r="AA307" i="23"/>
  <c r="AF288" i="23"/>
  <c r="AP288" i="23"/>
  <c r="AK288" i="23"/>
  <c r="AA288" i="23"/>
  <c r="AU288" i="23"/>
  <c r="V288" i="23"/>
  <c r="AF292" i="23"/>
  <c r="AP292" i="23"/>
  <c r="AK292" i="23"/>
  <c r="AA292" i="23"/>
  <c r="AU292" i="23"/>
  <c r="V292" i="23"/>
  <c r="AF296" i="23"/>
  <c r="AP296" i="23"/>
  <c r="AK296" i="23"/>
  <c r="AA296" i="23"/>
  <c r="AU296" i="23"/>
  <c r="V296" i="23"/>
  <c r="AF300" i="23"/>
  <c r="AP300" i="23"/>
  <c r="AK300" i="23"/>
  <c r="AA300" i="23"/>
  <c r="AU300" i="23"/>
  <c r="V300" i="23"/>
  <c r="AF304" i="23"/>
  <c r="AP304" i="23"/>
  <c r="AK304" i="23"/>
  <c r="AA304" i="23"/>
  <c r="AU304" i="23"/>
  <c r="V304" i="23"/>
  <c r="W304" i="23" s="1"/>
  <c r="AP306" i="23"/>
  <c r="AK306" i="23"/>
  <c r="AA306" i="23"/>
  <c r="AU306" i="23"/>
  <c r="V306" i="23"/>
  <c r="AF306" i="23"/>
  <c r="AP289" i="23"/>
  <c r="AK289" i="23"/>
  <c r="AA289" i="23"/>
  <c r="AU289" i="23"/>
  <c r="AF289" i="23"/>
  <c r="V289" i="23"/>
  <c r="AP297" i="23"/>
  <c r="AK297" i="23"/>
  <c r="AA297" i="23"/>
  <c r="AU297" i="23"/>
  <c r="V297" i="23"/>
  <c r="AF297" i="23"/>
  <c r="AP305" i="23"/>
  <c r="AK305" i="23"/>
  <c r="AA305" i="23"/>
  <c r="AU305" i="23"/>
  <c r="V305" i="23"/>
  <c r="AF305" i="23"/>
  <c r="AU311" i="23"/>
  <c r="V311" i="23"/>
  <c r="AF311" i="23"/>
  <c r="AP311" i="23"/>
  <c r="AK311" i="23"/>
  <c r="AA311" i="23"/>
  <c r="AP286" i="23"/>
  <c r="AK286" i="23"/>
  <c r="AA286" i="23"/>
  <c r="AU286" i="23"/>
  <c r="V286" i="23"/>
  <c r="AF286" i="23"/>
  <c r="AP290" i="23"/>
  <c r="AK290" i="23"/>
  <c r="AA290" i="23"/>
  <c r="AU290" i="23"/>
  <c r="V290" i="23"/>
  <c r="AF290" i="23"/>
  <c r="AP294" i="23"/>
  <c r="AK294" i="23"/>
  <c r="AA294" i="23"/>
  <c r="AU294" i="23"/>
  <c r="V294" i="23"/>
  <c r="AF294" i="23"/>
  <c r="AP298" i="23"/>
  <c r="AK298" i="23"/>
  <c r="AA298" i="23"/>
  <c r="AU298" i="23"/>
  <c r="V298" i="23"/>
  <c r="AF298" i="23"/>
  <c r="AP302" i="23"/>
  <c r="AK302" i="23"/>
  <c r="AA302" i="23"/>
  <c r="AU302" i="23"/>
  <c r="V302" i="23"/>
  <c r="AF302" i="23"/>
  <c r="AP310" i="23"/>
  <c r="AK310" i="23"/>
  <c r="AA310" i="23"/>
  <c r="AU310" i="23"/>
  <c r="V310" i="23"/>
  <c r="AF310" i="23"/>
  <c r="AP309" i="23"/>
  <c r="AK309" i="23"/>
  <c r="AA309" i="23"/>
  <c r="AU309" i="23"/>
  <c r="V309" i="23"/>
  <c r="AF309" i="23"/>
  <c r="EE16" i="40" l="1"/>
  <c r="ED17" i="40"/>
  <c r="FC15" i="40"/>
  <c r="FD14" i="40"/>
  <c r="EN18" i="40"/>
  <c r="EO17" i="40"/>
  <c r="EI17" i="40"/>
  <c r="EJ16" i="40"/>
  <c r="FN14" i="40"/>
  <c r="FM15" i="40"/>
  <c r="FS17" i="40"/>
  <c r="FR18" i="40"/>
  <c r="FH17" i="40"/>
  <c r="FI16" i="40"/>
  <c r="EX20" i="40"/>
  <c r="EY19" i="40"/>
  <c r="ET16" i="40"/>
  <c r="ES17" i="40"/>
  <c r="DZ84" i="40"/>
  <c r="DZ85" i="40" s="1"/>
  <c r="DZ86" i="40" s="1"/>
  <c r="DZ87" i="40" s="1"/>
  <c r="DZ88" i="40" s="1"/>
  <c r="DZ89" i="40" s="1"/>
  <c r="J84" i="27"/>
  <c r="K83" i="27"/>
  <c r="BK313" i="23"/>
  <c r="BG313" i="23"/>
  <c r="AB304" i="23"/>
  <c r="AB303" i="23"/>
  <c r="FR19" i="40" l="1"/>
  <c r="FS18" i="40"/>
  <c r="EX21" i="40"/>
  <c r="EY20" i="40"/>
  <c r="EJ17" i="40"/>
  <c r="EI18" i="40"/>
  <c r="FD15" i="40"/>
  <c r="FC16" i="40"/>
  <c r="ES18" i="40"/>
  <c r="ET17" i="40"/>
  <c r="FN15" i="40"/>
  <c r="FM16" i="40"/>
  <c r="EE17" i="40"/>
  <c r="ED18" i="40"/>
  <c r="FI17" i="40"/>
  <c r="FH18" i="40"/>
  <c r="EO18" i="40"/>
  <c r="EN19" i="40"/>
  <c r="DZ90" i="40"/>
  <c r="DZ91" i="40" s="1"/>
  <c r="DZ92" i="40" s="1"/>
  <c r="DZ93" i="40" s="1"/>
  <c r="J85" i="27"/>
  <c r="K84" i="27"/>
  <c r="BQ313" i="23"/>
  <c r="BM313" i="23"/>
  <c r="AG303" i="23"/>
  <c r="AC303" i="23"/>
  <c r="AG304" i="23"/>
  <c r="AC304" i="23"/>
  <c r="H261" i="23"/>
  <c r="K261" i="23" s="1"/>
  <c r="AP210" i="23"/>
  <c r="AP209" i="23"/>
  <c r="AP208" i="23"/>
  <c r="AP207" i="23"/>
  <c r="AP206" i="23"/>
  <c r="AP205" i="23"/>
  <c r="AP204" i="23"/>
  <c r="AP203" i="23"/>
  <c r="AP202" i="23"/>
  <c r="AP201" i="23"/>
  <c r="AP200" i="23"/>
  <c r="AP199" i="23"/>
  <c r="AP198" i="23"/>
  <c r="AP197" i="23"/>
  <c r="AP196" i="23"/>
  <c r="AP195" i="23"/>
  <c r="AP194" i="23"/>
  <c r="AP193" i="23"/>
  <c r="S243" i="23"/>
  <c r="V244" i="23"/>
  <c r="S245" i="23"/>
  <c r="V246" i="23"/>
  <c r="S247" i="23"/>
  <c r="V248" i="23"/>
  <c r="M249" i="23"/>
  <c r="V250" i="23"/>
  <c r="AE251" i="23"/>
  <c r="P252" i="23"/>
  <c r="V253" i="23"/>
  <c r="AB254" i="23"/>
  <c r="M255" i="23"/>
  <c r="S256" i="23"/>
  <c r="P257" i="23"/>
  <c r="V258" i="23"/>
  <c r="P259" i="23"/>
  <c r="P260" i="23"/>
  <c r="M260" i="23"/>
  <c r="M261" i="23"/>
  <c r="P261" i="23"/>
  <c r="S261" i="23"/>
  <c r="V261" i="23"/>
  <c r="Y261" i="23"/>
  <c r="AB261" i="23"/>
  <c r="AE261" i="23"/>
  <c r="AH261" i="23"/>
  <c r="ET18" i="40" l="1"/>
  <c r="ES19" i="40"/>
  <c r="FI18" i="40"/>
  <c r="FH19" i="40"/>
  <c r="FN16" i="40"/>
  <c r="FM17" i="40"/>
  <c r="FD16" i="40"/>
  <c r="FC17" i="40"/>
  <c r="EX22" i="40"/>
  <c r="EY21" i="40"/>
  <c r="EO19" i="40"/>
  <c r="EN20" i="40"/>
  <c r="EE18" i="40"/>
  <c r="ED19" i="40"/>
  <c r="EI19" i="40"/>
  <c r="EJ18" i="40"/>
  <c r="FS19" i="40"/>
  <c r="FR20" i="40"/>
  <c r="DZ94" i="40"/>
  <c r="J86" i="27"/>
  <c r="K85" i="27"/>
  <c r="BW313" i="23"/>
  <c r="BS313" i="23"/>
  <c r="AH303" i="23"/>
  <c r="AL303" i="23"/>
  <c r="AH304" i="23"/>
  <c r="AL304" i="23"/>
  <c r="S248" i="23"/>
  <c r="S259" i="23"/>
  <c r="Y256" i="23"/>
  <c r="AB260" i="23"/>
  <c r="AH259" i="23"/>
  <c r="AB248" i="23"/>
  <c r="Y260" i="23"/>
  <c r="AE259" i="23"/>
  <c r="AE257" i="23"/>
  <c r="Y248" i="23"/>
  <c r="AB246" i="23"/>
  <c r="V256" i="23"/>
  <c r="Y251" i="23"/>
  <c r="M248" i="23"/>
  <c r="S246" i="23"/>
  <c r="AB244" i="23"/>
  <c r="P258" i="23"/>
  <c r="AH256" i="23"/>
  <c r="P256" i="23"/>
  <c r="M246" i="23"/>
  <c r="AB256" i="23"/>
  <c r="M256" i="23"/>
  <c r="Y250" i="23"/>
  <c r="AH243" i="23"/>
  <c r="S250" i="23"/>
  <c r="Y244" i="23"/>
  <c r="N261" i="23"/>
  <c r="Q261" i="23" s="1"/>
  <c r="T261" i="23" s="1"/>
  <c r="V259" i="23"/>
  <c r="AE256" i="23"/>
  <c r="Y255" i="23"/>
  <c r="Y252" i="23"/>
  <c r="AE250" i="23"/>
  <c r="P250" i="23"/>
  <c r="Y246" i="23"/>
  <c r="AH245" i="23"/>
  <c r="S244" i="23"/>
  <c r="AB250" i="23"/>
  <c r="M250" i="23"/>
  <c r="AH247" i="23"/>
  <c r="M244" i="23"/>
  <c r="Y259" i="23"/>
  <c r="M258" i="23"/>
  <c r="Y257" i="23"/>
  <c r="V255" i="23"/>
  <c r="AE254" i="23"/>
  <c r="AE253" i="23"/>
  <c r="AE252" i="23"/>
  <c r="S251" i="23"/>
  <c r="AE248" i="23"/>
  <c r="P248" i="23"/>
  <c r="Y247" i="23"/>
  <c r="AE246" i="23"/>
  <c r="P246" i="23"/>
  <c r="Y245" i="23"/>
  <c r="AE244" i="23"/>
  <c r="P244" i="23"/>
  <c r="Y243" i="23"/>
  <c r="V257" i="23"/>
  <c r="AH255" i="23"/>
  <c r="S255" i="23"/>
  <c r="Y254" i="23"/>
  <c r="Y253" i="23"/>
  <c r="AH249" i="23"/>
  <c r="V247" i="23"/>
  <c r="V245" i="23"/>
  <c r="V243" i="23"/>
  <c r="AB258" i="23"/>
  <c r="Y258" i="23"/>
  <c r="AH257" i="23"/>
  <c r="S257" i="23"/>
  <c r="AE255" i="23"/>
  <c r="P254" i="23"/>
  <c r="S253" i="23"/>
  <c r="Y249" i="23"/>
  <c r="M247" i="23"/>
  <c r="M245" i="23"/>
  <c r="M243" i="23"/>
  <c r="V260" i="23"/>
  <c r="AH260" i="23"/>
  <c r="S260" i="23"/>
  <c r="AE260" i="23"/>
  <c r="M259" i="23"/>
  <c r="AE258" i="23"/>
  <c r="S258" i="23"/>
  <c r="M257" i="23"/>
  <c r="AB259" i="23"/>
  <c r="AH258" i="23"/>
  <c r="AB257" i="23"/>
  <c r="P255" i="23"/>
  <c r="AB255" i="23"/>
  <c r="S254" i="23"/>
  <c r="M254" i="23"/>
  <c r="AH253" i="23"/>
  <c r="M253" i="23"/>
  <c r="AB252" i="23"/>
  <c r="V251" i="23"/>
  <c r="V249" i="23"/>
  <c r="V252" i="23"/>
  <c r="AH252" i="23"/>
  <c r="P251" i="23"/>
  <c r="AB251" i="23"/>
  <c r="V254" i="23"/>
  <c r="AH254" i="23"/>
  <c r="P253" i="23"/>
  <c r="AB253" i="23"/>
  <c r="S252" i="23"/>
  <c r="M252" i="23"/>
  <c r="AH251" i="23"/>
  <c r="M251" i="23"/>
  <c r="S249" i="23"/>
  <c r="AE249" i="23"/>
  <c r="P249" i="23"/>
  <c r="AB249" i="23"/>
  <c r="AH250" i="23"/>
  <c r="AH248" i="23"/>
  <c r="AB247" i="23"/>
  <c r="P247" i="23"/>
  <c r="AH246" i="23"/>
  <c r="AB245" i="23"/>
  <c r="P245" i="23"/>
  <c r="AH244" i="23"/>
  <c r="AB243" i="23"/>
  <c r="P243" i="23"/>
  <c r="AE247" i="23"/>
  <c r="AE245" i="23"/>
  <c r="AE243" i="23"/>
  <c r="J407" i="40"/>
  <c r="J406" i="40"/>
  <c r="J405" i="40"/>
  <c r="J404" i="40"/>
  <c r="J403" i="40"/>
  <c r="J402" i="40"/>
  <c r="J401" i="40"/>
  <c r="J400" i="40"/>
  <c r="J399" i="40"/>
  <c r="J398" i="40"/>
  <c r="J397" i="40"/>
  <c r="J396" i="40"/>
  <c r="J395" i="40"/>
  <c r="J394" i="40"/>
  <c r="J393" i="40"/>
  <c r="J392" i="40"/>
  <c r="J391" i="40"/>
  <c r="J390" i="40"/>
  <c r="J389" i="40"/>
  <c r="J388" i="40"/>
  <c r="J387" i="40"/>
  <c r="J386" i="40"/>
  <c r="J385" i="40"/>
  <c r="J384" i="40"/>
  <c r="J383" i="40"/>
  <c r="J382" i="40"/>
  <c r="J381" i="40"/>
  <c r="J380" i="40"/>
  <c r="J379" i="40"/>
  <c r="J378" i="40"/>
  <c r="J377" i="40"/>
  <c r="J376" i="40"/>
  <c r="J375" i="40"/>
  <c r="J374" i="40"/>
  <c r="J373" i="40"/>
  <c r="J372" i="40"/>
  <c r="J371" i="40"/>
  <c r="J370" i="40"/>
  <c r="J369" i="40"/>
  <c r="J368" i="40"/>
  <c r="J367" i="40"/>
  <c r="J366" i="40"/>
  <c r="J365" i="40"/>
  <c r="J364" i="40"/>
  <c r="J363" i="40"/>
  <c r="J362" i="40"/>
  <c r="J361" i="40"/>
  <c r="J360" i="40"/>
  <c r="J359" i="40"/>
  <c r="J358" i="40"/>
  <c r="J357" i="40"/>
  <c r="J356" i="40"/>
  <c r="J355" i="40"/>
  <c r="J354" i="40"/>
  <c r="J353" i="40"/>
  <c r="J352" i="40"/>
  <c r="J351" i="40"/>
  <c r="J350" i="40"/>
  <c r="J349" i="40"/>
  <c r="J348" i="40"/>
  <c r="J347" i="40"/>
  <c r="J346" i="40"/>
  <c r="J345" i="40"/>
  <c r="J344" i="40"/>
  <c r="J343" i="40"/>
  <c r="J342" i="40"/>
  <c r="J341" i="40"/>
  <c r="J340" i="40"/>
  <c r="J339" i="40"/>
  <c r="J338" i="40"/>
  <c r="J337" i="40"/>
  <c r="J336" i="40"/>
  <c r="J335" i="40"/>
  <c r="J334" i="40"/>
  <c r="J333" i="40"/>
  <c r="J332" i="40"/>
  <c r="J331" i="40"/>
  <c r="J330" i="40"/>
  <c r="J329" i="40"/>
  <c r="J328" i="40"/>
  <c r="J327" i="40"/>
  <c r="J326" i="40"/>
  <c r="J325" i="40"/>
  <c r="J324" i="40"/>
  <c r="J323" i="40"/>
  <c r="J322" i="40"/>
  <c r="J321" i="40"/>
  <c r="J320" i="40"/>
  <c r="J319" i="40"/>
  <c r="J318" i="40"/>
  <c r="J317" i="40"/>
  <c r="J316" i="40"/>
  <c r="J315" i="40"/>
  <c r="J314" i="40"/>
  <c r="J313" i="40"/>
  <c r="J312" i="40"/>
  <c r="J311" i="40"/>
  <c r="J310" i="40"/>
  <c r="J309" i="40"/>
  <c r="J308" i="40"/>
  <c r="J307" i="40"/>
  <c r="J306" i="40"/>
  <c r="J305" i="40"/>
  <c r="J304" i="40"/>
  <c r="J303" i="40"/>
  <c r="J302" i="40"/>
  <c r="J301" i="40"/>
  <c r="J300" i="40"/>
  <c r="J299" i="40"/>
  <c r="J298" i="40"/>
  <c r="J297" i="40"/>
  <c r="J296" i="40"/>
  <c r="J295" i="40"/>
  <c r="J294" i="40"/>
  <c r="J293" i="40"/>
  <c r="J292" i="40"/>
  <c r="J291" i="40"/>
  <c r="J290" i="40"/>
  <c r="J289" i="40"/>
  <c r="J288" i="40"/>
  <c r="J287" i="40"/>
  <c r="J286" i="40"/>
  <c r="J285" i="40"/>
  <c r="J284" i="40"/>
  <c r="J283" i="40"/>
  <c r="J282" i="40"/>
  <c r="J281" i="40"/>
  <c r="J280" i="40"/>
  <c r="J279" i="40"/>
  <c r="J278" i="40"/>
  <c r="J277" i="40"/>
  <c r="J276" i="40"/>
  <c r="J275" i="40"/>
  <c r="J274" i="40"/>
  <c r="J273" i="40"/>
  <c r="J272" i="40"/>
  <c r="J271" i="40"/>
  <c r="J270" i="40"/>
  <c r="J269" i="40"/>
  <c r="J268" i="40"/>
  <c r="J267" i="40"/>
  <c r="J266" i="40"/>
  <c r="J265" i="40"/>
  <c r="J264" i="40"/>
  <c r="J263" i="40"/>
  <c r="J262" i="40"/>
  <c r="J261" i="40"/>
  <c r="J260" i="40"/>
  <c r="J259" i="40"/>
  <c r="J258" i="40"/>
  <c r="J257" i="40"/>
  <c r="J256" i="40"/>
  <c r="J255" i="40"/>
  <c r="J254" i="40"/>
  <c r="J253" i="40"/>
  <c r="J252" i="40"/>
  <c r="J251" i="40"/>
  <c r="J250" i="40"/>
  <c r="J249" i="40"/>
  <c r="J248" i="40"/>
  <c r="J247" i="40"/>
  <c r="J246" i="40"/>
  <c r="J245" i="40"/>
  <c r="J244" i="40"/>
  <c r="J243" i="40"/>
  <c r="J242" i="40"/>
  <c r="J241" i="40"/>
  <c r="J240" i="40"/>
  <c r="J239" i="40"/>
  <c r="J238" i="40"/>
  <c r="J237" i="40"/>
  <c r="J236" i="40"/>
  <c r="J235" i="40"/>
  <c r="J234" i="40"/>
  <c r="J233" i="40"/>
  <c r="J232" i="40"/>
  <c r="J231" i="40"/>
  <c r="J230" i="40"/>
  <c r="J229" i="40"/>
  <c r="J228" i="40"/>
  <c r="J227" i="40"/>
  <c r="J226" i="40"/>
  <c r="J225" i="40"/>
  <c r="J224" i="40"/>
  <c r="J223" i="40"/>
  <c r="J222" i="40"/>
  <c r="J221" i="40"/>
  <c r="J220" i="40"/>
  <c r="J219" i="40"/>
  <c r="J218" i="40"/>
  <c r="J217" i="40"/>
  <c r="J216" i="40"/>
  <c r="J215" i="40"/>
  <c r="J214" i="40"/>
  <c r="J213" i="40"/>
  <c r="J212" i="40"/>
  <c r="J211" i="40"/>
  <c r="J210" i="40"/>
  <c r="J209" i="40"/>
  <c r="J208" i="40"/>
  <c r="J207" i="40"/>
  <c r="J206" i="40"/>
  <c r="J205" i="40"/>
  <c r="J204" i="40"/>
  <c r="J203" i="40"/>
  <c r="J202" i="40"/>
  <c r="J201" i="40"/>
  <c r="J200" i="40"/>
  <c r="J199" i="40"/>
  <c r="J198" i="40"/>
  <c r="J197" i="40"/>
  <c r="J196" i="40"/>
  <c r="J195" i="40"/>
  <c r="J194" i="40"/>
  <c r="J193" i="40"/>
  <c r="J192" i="40"/>
  <c r="J191" i="40"/>
  <c r="J190" i="40"/>
  <c r="J189" i="40"/>
  <c r="J188" i="40"/>
  <c r="J187" i="40"/>
  <c r="J186" i="40"/>
  <c r="J185" i="40"/>
  <c r="J184" i="40"/>
  <c r="J183" i="40"/>
  <c r="J182" i="40"/>
  <c r="J181" i="40"/>
  <c r="J180" i="40"/>
  <c r="J179" i="40"/>
  <c r="J178" i="40"/>
  <c r="J177" i="40"/>
  <c r="J176" i="40"/>
  <c r="J175" i="40"/>
  <c r="J174" i="40"/>
  <c r="J173" i="40"/>
  <c r="J172" i="40"/>
  <c r="J171" i="40"/>
  <c r="J170" i="40"/>
  <c r="J169" i="40"/>
  <c r="J168" i="40"/>
  <c r="J167" i="40"/>
  <c r="J166" i="40"/>
  <c r="J165" i="40"/>
  <c r="J164" i="40"/>
  <c r="J163" i="40"/>
  <c r="J162" i="40"/>
  <c r="J161" i="40"/>
  <c r="J160" i="40"/>
  <c r="J159" i="40"/>
  <c r="J158" i="40"/>
  <c r="J157" i="40"/>
  <c r="J156" i="40"/>
  <c r="J155" i="40"/>
  <c r="J154" i="40"/>
  <c r="J153" i="40"/>
  <c r="J152" i="40"/>
  <c r="J151" i="40"/>
  <c r="J150" i="40"/>
  <c r="J149" i="40"/>
  <c r="J148" i="40"/>
  <c r="J147" i="40"/>
  <c r="J146" i="40"/>
  <c r="J145" i="40"/>
  <c r="J144" i="40"/>
  <c r="J143" i="40"/>
  <c r="J142" i="40"/>
  <c r="J141" i="40"/>
  <c r="J140" i="40"/>
  <c r="J139" i="40"/>
  <c r="J138" i="40"/>
  <c r="J137" i="40"/>
  <c r="J136" i="40"/>
  <c r="J135" i="40"/>
  <c r="J134" i="40"/>
  <c r="J133" i="40"/>
  <c r="J132" i="40"/>
  <c r="J131" i="40"/>
  <c r="J130" i="40"/>
  <c r="J129" i="40"/>
  <c r="J128" i="40"/>
  <c r="J127" i="40"/>
  <c r="J126" i="40"/>
  <c r="J125" i="40"/>
  <c r="J124" i="40"/>
  <c r="J123" i="40"/>
  <c r="J122" i="40"/>
  <c r="J121" i="40"/>
  <c r="J120" i="40"/>
  <c r="J119" i="40"/>
  <c r="J118" i="40"/>
  <c r="J117" i="40"/>
  <c r="J116" i="40"/>
  <c r="J115" i="40"/>
  <c r="J114" i="40"/>
  <c r="J113" i="40"/>
  <c r="J112" i="40"/>
  <c r="J111" i="40"/>
  <c r="J110" i="40"/>
  <c r="J109" i="40"/>
  <c r="J108" i="40"/>
  <c r="J107" i="40"/>
  <c r="J106" i="40"/>
  <c r="J105" i="40"/>
  <c r="J104" i="40"/>
  <c r="J103" i="40"/>
  <c r="J102" i="40"/>
  <c r="J101" i="40"/>
  <c r="J100" i="40"/>
  <c r="J99" i="40"/>
  <c r="J98" i="40"/>
  <c r="J97" i="40"/>
  <c r="J96" i="40"/>
  <c r="J95" i="40"/>
  <c r="J94" i="40"/>
  <c r="J93" i="40"/>
  <c r="J92" i="40"/>
  <c r="J91" i="40"/>
  <c r="J90" i="40"/>
  <c r="J89" i="40"/>
  <c r="J88" i="40"/>
  <c r="J87" i="40"/>
  <c r="J86" i="40"/>
  <c r="J85" i="40"/>
  <c r="J84" i="40"/>
  <c r="J83" i="40"/>
  <c r="J82" i="40"/>
  <c r="J81" i="40"/>
  <c r="J80" i="40"/>
  <c r="J79" i="40"/>
  <c r="J78" i="40"/>
  <c r="J77" i="40"/>
  <c r="J76" i="40"/>
  <c r="J75" i="40"/>
  <c r="J74" i="40"/>
  <c r="J73" i="40"/>
  <c r="J72" i="40"/>
  <c r="J71" i="40"/>
  <c r="J70" i="40"/>
  <c r="J69" i="40"/>
  <c r="J68" i="40"/>
  <c r="J67" i="40"/>
  <c r="J66" i="40"/>
  <c r="J65" i="40"/>
  <c r="J64" i="40"/>
  <c r="J63" i="40"/>
  <c r="J62" i="40"/>
  <c r="J61" i="40"/>
  <c r="J60" i="40"/>
  <c r="J59" i="40"/>
  <c r="J58" i="40"/>
  <c r="J57" i="40"/>
  <c r="J56" i="40"/>
  <c r="J55" i="40"/>
  <c r="J54" i="40"/>
  <c r="J53" i="40"/>
  <c r="J52" i="40"/>
  <c r="J51" i="40"/>
  <c r="J50" i="40"/>
  <c r="J49" i="40"/>
  <c r="J48" i="40"/>
  <c r="J47" i="40"/>
  <c r="J46" i="40"/>
  <c r="J45" i="40"/>
  <c r="J44" i="40"/>
  <c r="J43" i="40"/>
  <c r="J42" i="40"/>
  <c r="J41" i="40"/>
  <c r="J40" i="40"/>
  <c r="J39" i="40"/>
  <c r="J38" i="40"/>
  <c r="J37" i="40"/>
  <c r="J36" i="40"/>
  <c r="J35" i="40"/>
  <c r="J34" i="40"/>
  <c r="J33" i="40"/>
  <c r="J32" i="40"/>
  <c r="J31" i="40"/>
  <c r="J30" i="40"/>
  <c r="J29" i="40"/>
  <c r="J28" i="40"/>
  <c r="J27" i="40"/>
  <c r="J26" i="40"/>
  <c r="J25" i="40"/>
  <c r="J24" i="40"/>
  <c r="J23" i="40"/>
  <c r="J22" i="40"/>
  <c r="J21" i="40"/>
  <c r="J20" i="40"/>
  <c r="J19" i="40"/>
  <c r="J18" i="40"/>
  <c r="J17" i="40"/>
  <c r="J16" i="40"/>
  <c r="J15" i="40"/>
  <c r="J14" i="40"/>
  <c r="J13" i="40"/>
  <c r="J12" i="40"/>
  <c r="J11" i="40"/>
  <c r="J10" i="40"/>
  <c r="J9" i="40"/>
  <c r="J8" i="40"/>
  <c r="J7" i="40"/>
  <c r="J6" i="40"/>
  <c r="J5" i="40"/>
  <c r="J4" i="40"/>
  <c r="J3" i="40"/>
  <c r="G407" i="40"/>
  <c r="G406" i="40"/>
  <c r="P405" i="40"/>
  <c r="L405" i="40" s="1"/>
  <c r="G405" i="40"/>
  <c r="G404" i="40"/>
  <c r="G403" i="40"/>
  <c r="G402" i="40"/>
  <c r="G401" i="40"/>
  <c r="G400" i="40"/>
  <c r="P399" i="40"/>
  <c r="L399" i="40" s="1"/>
  <c r="G399" i="40"/>
  <c r="P398" i="40"/>
  <c r="L398" i="40" s="1"/>
  <c r="G398" i="40"/>
  <c r="G397" i="40"/>
  <c r="P396" i="40"/>
  <c r="L396" i="40" s="1"/>
  <c r="P395" i="40"/>
  <c r="L395" i="40" s="1"/>
  <c r="G395" i="40"/>
  <c r="P394" i="40"/>
  <c r="L394" i="40" s="1"/>
  <c r="G394" i="40"/>
  <c r="P393" i="40"/>
  <c r="L393" i="40" s="1"/>
  <c r="G393" i="40"/>
  <c r="P392" i="40"/>
  <c r="L392" i="40" s="1"/>
  <c r="G392" i="40"/>
  <c r="G391" i="40"/>
  <c r="G390" i="40"/>
  <c r="P389" i="40"/>
  <c r="L389" i="40" s="1"/>
  <c r="G389" i="40"/>
  <c r="G388" i="40"/>
  <c r="P387" i="40"/>
  <c r="L387" i="40" s="1"/>
  <c r="G387" i="40"/>
  <c r="P386" i="40"/>
  <c r="L386" i="40" s="1"/>
  <c r="G386" i="40"/>
  <c r="P385" i="40"/>
  <c r="L385" i="40" s="1"/>
  <c r="G385" i="40"/>
  <c r="P384" i="40"/>
  <c r="L384" i="40" s="1"/>
  <c r="G384" i="40"/>
  <c r="P383" i="40"/>
  <c r="L383" i="40" s="1"/>
  <c r="G383" i="40"/>
  <c r="G382" i="40"/>
  <c r="P381" i="40"/>
  <c r="L381" i="40" s="1"/>
  <c r="G381" i="40"/>
  <c r="P380" i="40"/>
  <c r="L380" i="40" s="1"/>
  <c r="G380" i="40"/>
  <c r="P379" i="40"/>
  <c r="L379" i="40" s="1"/>
  <c r="G379" i="40"/>
  <c r="G378" i="40"/>
  <c r="P377" i="40"/>
  <c r="L377" i="40" s="1"/>
  <c r="G377" i="40"/>
  <c r="P376" i="40"/>
  <c r="L376" i="40" s="1"/>
  <c r="G376" i="40"/>
  <c r="P375" i="40"/>
  <c r="L375" i="40" s="1"/>
  <c r="G375" i="40"/>
  <c r="G374" i="40"/>
  <c r="P373" i="40"/>
  <c r="L373" i="40" s="1"/>
  <c r="G373" i="40"/>
  <c r="P372" i="40"/>
  <c r="L372" i="40" s="1"/>
  <c r="G372" i="40"/>
  <c r="P371" i="40"/>
  <c r="L371" i="40" s="1"/>
  <c r="G371" i="40"/>
  <c r="P370" i="40"/>
  <c r="L370" i="40" s="1"/>
  <c r="G370" i="40"/>
  <c r="P369" i="40"/>
  <c r="L369" i="40" s="1"/>
  <c r="G369" i="40"/>
  <c r="G368" i="40"/>
  <c r="G367" i="40"/>
  <c r="P366" i="40"/>
  <c r="L366" i="40" s="1"/>
  <c r="G366" i="40"/>
  <c r="G365" i="40"/>
  <c r="P364" i="40"/>
  <c r="L364" i="40" s="1"/>
  <c r="G364" i="40"/>
  <c r="P363" i="40"/>
  <c r="L363" i="40" s="1"/>
  <c r="G363" i="40"/>
  <c r="P362" i="40"/>
  <c r="L362" i="40" s="1"/>
  <c r="G362" i="40"/>
  <c r="G361" i="40"/>
  <c r="P360" i="40"/>
  <c r="L360" i="40" s="1"/>
  <c r="G360" i="40"/>
  <c r="G359" i="40"/>
  <c r="P358" i="40"/>
  <c r="L358" i="40" s="1"/>
  <c r="G358" i="40"/>
  <c r="P357" i="40"/>
  <c r="L357" i="40" s="1"/>
  <c r="G357" i="40"/>
  <c r="G356" i="40"/>
  <c r="G353" i="40"/>
  <c r="P352" i="40"/>
  <c r="L352" i="40" s="1"/>
  <c r="G352" i="40"/>
  <c r="G351" i="40"/>
  <c r="G350" i="40"/>
  <c r="G349" i="40"/>
  <c r="G348" i="40"/>
  <c r="P347" i="40"/>
  <c r="L347" i="40" s="1"/>
  <c r="G347" i="40"/>
  <c r="P346" i="40"/>
  <c r="L346" i="40" s="1"/>
  <c r="G346" i="40"/>
  <c r="G344" i="40"/>
  <c r="P343" i="40"/>
  <c r="L343" i="40" s="1"/>
  <c r="G343" i="40"/>
  <c r="G342" i="40"/>
  <c r="G341" i="40"/>
  <c r="G340" i="40"/>
  <c r="P339" i="40"/>
  <c r="L339" i="40" s="1"/>
  <c r="G339" i="40"/>
  <c r="G338" i="40"/>
  <c r="G337" i="40"/>
  <c r="G336" i="40"/>
  <c r="P335" i="40"/>
  <c r="L335" i="40" s="1"/>
  <c r="G335" i="40"/>
  <c r="P334" i="40"/>
  <c r="L334" i="40" s="1"/>
  <c r="G334" i="40"/>
  <c r="P333" i="40"/>
  <c r="L333" i="40" s="1"/>
  <c r="G333" i="40"/>
  <c r="G332" i="40"/>
  <c r="P331" i="40"/>
  <c r="L331" i="40" s="1"/>
  <c r="G331" i="40"/>
  <c r="G329" i="40"/>
  <c r="P328" i="40"/>
  <c r="L328" i="40" s="1"/>
  <c r="G328" i="40"/>
  <c r="G327" i="40"/>
  <c r="P326" i="40"/>
  <c r="L326" i="40" s="1"/>
  <c r="G326" i="40"/>
  <c r="G325" i="40"/>
  <c r="G324" i="40"/>
  <c r="P323" i="40"/>
  <c r="L323" i="40" s="1"/>
  <c r="G323" i="40"/>
  <c r="G322" i="40"/>
  <c r="G321" i="40"/>
  <c r="G320" i="40"/>
  <c r="P319" i="40"/>
  <c r="L319" i="40" s="1"/>
  <c r="G319" i="40"/>
  <c r="G318" i="40"/>
  <c r="G317" i="40"/>
  <c r="G316" i="40"/>
  <c r="G315" i="40"/>
  <c r="P314" i="40"/>
  <c r="L314" i="40" s="1"/>
  <c r="G314" i="40"/>
  <c r="G313" i="40"/>
  <c r="G312" i="40"/>
  <c r="G311" i="40"/>
  <c r="G310" i="40"/>
  <c r="G309" i="40"/>
  <c r="P308" i="40"/>
  <c r="L308" i="40" s="1"/>
  <c r="P307" i="40"/>
  <c r="L307" i="40" s="1"/>
  <c r="G307" i="40"/>
  <c r="G306" i="40"/>
  <c r="G305" i="40"/>
  <c r="G304" i="40"/>
  <c r="G303" i="40"/>
  <c r="G302" i="40"/>
  <c r="P301" i="40"/>
  <c r="L301" i="40" s="1"/>
  <c r="P300" i="40"/>
  <c r="L300" i="40" s="1"/>
  <c r="G300" i="40"/>
  <c r="G299" i="40"/>
  <c r="G298" i="40"/>
  <c r="P297" i="40"/>
  <c r="L297" i="40" s="1"/>
  <c r="G297" i="40"/>
  <c r="G296" i="40"/>
  <c r="G295" i="40"/>
  <c r="G294" i="40"/>
  <c r="G293" i="40"/>
  <c r="P292" i="40"/>
  <c r="L292" i="40" s="1"/>
  <c r="G292" i="40"/>
  <c r="G291" i="40"/>
  <c r="P290" i="40"/>
  <c r="L290" i="40" s="1"/>
  <c r="G290" i="40"/>
  <c r="G289" i="40"/>
  <c r="P288" i="40"/>
  <c r="L288" i="40" s="1"/>
  <c r="G288" i="40"/>
  <c r="G287" i="40"/>
  <c r="P286" i="40"/>
  <c r="L286" i="40" s="1"/>
  <c r="G286" i="40"/>
  <c r="G285" i="40"/>
  <c r="G284" i="40"/>
  <c r="G283" i="40"/>
  <c r="G282" i="40"/>
  <c r="G281" i="40"/>
  <c r="P280" i="40"/>
  <c r="L280" i="40" s="1"/>
  <c r="G280" i="40"/>
  <c r="G279" i="40"/>
  <c r="G278" i="40"/>
  <c r="P277" i="40"/>
  <c r="L277" i="40" s="1"/>
  <c r="G277" i="40"/>
  <c r="P276" i="40"/>
  <c r="L276" i="40" s="1"/>
  <c r="G276" i="40"/>
  <c r="P275" i="40"/>
  <c r="L275" i="40" s="1"/>
  <c r="G275" i="40"/>
  <c r="G273" i="40"/>
  <c r="P272" i="40"/>
  <c r="L272" i="40" s="1"/>
  <c r="P271" i="40"/>
  <c r="L271" i="40" s="1"/>
  <c r="G271" i="40"/>
  <c r="G270" i="40"/>
  <c r="P269" i="40"/>
  <c r="L269" i="40" s="1"/>
  <c r="G269" i="40"/>
  <c r="G268" i="40"/>
  <c r="G267" i="40"/>
  <c r="P266" i="40"/>
  <c r="L266" i="40" s="1"/>
  <c r="G266" i="40"/>
  <c r="P265" i="40"/>
  <c r="L265" i="40" s="1"/>
  <c r="G265" i="40"/>
  <c r="P264" i="40"/>
  <c r="L264" i="40" s="1"/>
  <c r="G264" i="40"/>
  <c r="P263" i="40"/>
  <c r="L263" i="40" s="1"/>
  <c r="G263" i="40"/>
  <c r="P262" i="40"/>
  <c r="L262" i="40" s="1"/>
  <c r="G262" i="40"/>
  <c r="P261" i="40"/>
  <c r="L261" i="40" s="1"/>
  <c r="G261" i="40"/>
  <c r="P260" i="40"/>
  <c r="L260" i="40" s="1"/>
  <c r="G260" i="40"/>
  <c r="G259" i="40"/>
  <c r="G258" i="40"/>
  <c r="P257" i="40"/>
  <c r="L257" i="40" s="1"/>
  <c r="G257" i="40"/>
  <c r="P256" i="40"/>
  <c r="L256" i="40" s="1"/>
  <c r="G255" i="40"/>
  <c r="G254" i="40"/>
  <c r="P253" i="40"/>
  <c r="L253" i="40" s="1"/>
  <c r="G253" i="40"/>
  <c r="P252" i="40"/>
  <c r="L252" i="40" s="1"/>
  <c r="P251" i="40"/>
  <c r="L251" i="40" s="1"/>
  <c r="G251" i="40"/>
  <c r="G250" i="40"/>
  <c r="G249" i="40"/>
  <c r="G248" i="40"/>
  <c r="P247" i="40"/>
  <c r="L247" i="40" s="1"/>
  <c r="G247" i="40"/>
  <c r="G246" i="40"/>
  <c r="G245" i="40"/>
  <c r="G244" i="40"/>
  <c r="G243" i="40"/>
  <c r="G242" i="40"/>
  <c r="G241" i="40"/>
  <c r="G240" i="40"/>
  <c r="G239" i="40"/>
  <c r="G238" i="40"/>
  <c r="G237" i="40"/>
  <c r="P236" i="40"/>
  <c r="L236" i="40" s="1"/>
  <c r="G236" i="40"/>
  <c r="P235" i="40"/>
  <c r="L235" i="40" s="1"/>
  <c r="G235" i="40"/>
  <c r="P234" i="40"/>
  <c r="L234" i="40" s="1"/>
  <c r="G234" i="40"/>
  <c r="P233" i="40"/>
  <c r="L233" i="40" s="1"/>
  <c r="G233" i="40"/>
  <c r="P232" i="40"/>
  <c r="L232" i="40" s="1"/>
  <c r="G232" i="40"/>
  <c r="G231" i="40"/>
  <c r="P230" i="40"/>
  <c r="L230" i="40" s="1"/>
  <c r="G230" i="40"/>
  <c r="P229" i="40"/>
  <c r="L229" i="40" s="1"/>
  <c r="G229" i="40"/>
  <c r="G228" i="40"/>
  <c r="P227" i="40"/>
  <c r="L227" i="40" s="1"/>
  <c r="G227" i="40"/>
  <c r="G226" i="40"/>
  <c r="P225" i="40"/>
  <c r="L225" i="40" s="1"/>
  <c r="P224" i="40"/>
  <c r="L224" i="40" s="1"/>
  <c r="G224" i="40"/>
  <c r="G223" i="40"/>
  <c r="P222" i="40"/>
  <c r="L222" i="40" s="1"/>
  <c r="G222" i="40"/>
  <c r="P221" i="40"/>
  <c r="L221" i="40" s="1"/>
  <c r="G221" i="40"/>
  <c r="P220" i="40"/>
  <c r="L220" i="40" s="1"/>
  <c r="G220" i="40"/>
  <c r="G219" i="40"/>
  <c r="P218" i="40"/>
  <c r="L218" i="40" s="1"/>
  <c r="G218" i="40"/>
  <c r="P216" i="40"/>
  <c r="L216" i="40" s="1"/>
  <c r="G216" i="40"/>
  <c r="G215" i="40"/>
  <c r="G214" i="40"/>
  <c r="P213" i="40"/>
  <c r="L213" i="40" s="1"/>
  <c r="G213" i="40"/>
  <c r="G212" i="40"/>
  <c r="G211" i="40"/>
  <c r="G210" i="40"/>
  <c r="G209" i="40"/>
  <c r="G207" i="40"/>
  <c r="G206" i="40"/>
  <c r="G205" i="40"/>
  <c r="G204" i="40"/>
  <c r="P203" i="40"/>
  <c r="L203" i="40" s="1"/>
  <c r="G203" i="40"/>
  <c r="G201" i="40"/>
  <c r="G200" i="40"/>
  <c r="P199" i="40"/>
  <c r="L199" i="40" s="1"/>
  <c r="G199" i="40"/>
  <c r="G198" i="40"/>
  <c r="G197" i="40"/>
  <c r="G196" i="40"/>
  <c r="P195" i="40"/>
  <c r="L195" i="40" s="1"/>
  <c r="G195" i="40"/>
  <c r="P194" i="40"/>
  <c r="L194" i="40" s="1"/>
  <c r="G194" i="40"/>
  <c r="G193" i="40"/>
  <c r="G190" i="40"/>
  <c r="G189" i="40"/>
  <c r="P188" i="40"/>
  <c r="L188" i="40" s="1"/>
  <c r="G188" i="40"/>
  <c r="G187" i="40"/>
  <c r="G186" i="40"/>
  <c r="G185" i="40"/>
  <c r="G184" i="40"/>
  <c r="G183" i="40"/>
  <c r="G182" i="40"/>
  <c r="G181" i="40"/>
  <c r="G180" i="40"/>
  <c r="G179" i="40"/>
  <c r="P178" i="40"/>
  <c r="L178" i="40" s="1"/>
  <c r="G178" i="40"/>
  <c r="P177" i="40"/>
  <c r="L177" i="40" s="1"/>
  <c r="G177" i="40"/>
  <c r="G176" i="40"/>
  <c r="P175" i="40"/>
  <c r="L175" i="40" s="1"/>
  <c r="G175" i="40"/>
  <c r="G174" i="40"/>
  <c r="G173" i="40"/>
  <c r="P172" i="40"/>
  <c r="L172" i="40" s="1"/>
  <c r="G172" i="40"/>
  <c r="G171" i="40"/>
  <c r="P170" i="40"/>
  <c r="L170" i="40" s="1"/>
  <c r="G170" i="40"/>
  <c r="P169" i="40"/>
  <c r="L169" i="40" s="1"/>
  <c r="G169" i="40"/>
  <c r="G168" i="40"/>
  <c r="P167" i="40"/>
  <c r="L167" i="40" s="1"/>
  <c r="G167" i="40"/>
  <c r="G166" i="40"/>
  <c r="P165" i="40"/>
  <c r="L165" i="40" s="1"/>
  <c r="G165" i="40"/>
  <c r="G164" i="40"/>
  <c r="P163" i="40"/>
  <c r="L163" i="40" s="1"/>
  <c r="G163" i="40"/>
  <c r="G162" i="40"/>
  <c r="G161" i="40"/>
  <c r="G160" i="40"/>
  <c r="G159" i="40"/>
  <c r="G158" i="40"/>
  <c r="P156" i="40"/>
  <c r="L156" i="40" s="1"/>
  <c r="G156" i="40"/>
  <c r="G155" i="40"/>
  <c r="G154" i="40"/>
  <c r="G153" i="40"/>
  <c r="G152" i="40"/>
  <c r="G151" i="40"/>
  <c r="G150" i="40"/>
  <c r="P148" i="40"/>
  <c r="L148" i="40" s="1"/>
  <c r="G148" i="40"/>
  <c r="G147" i="40"/>
  <c r="G146" i="40"/>
  <c r="G145" i="40"/>
  <c r="G144" i="40"/>
  <c r="G143" i="40"/>
  <c r="G142" i="40"/>
  <c r="P141" i="40"/>
  <c r="L141" i="40" s="1"/>
  <c r="G141" i="40"/>
  <c r="G140" i="40"/>
  <c r="P139" i="40"/>
  <c r="L139" i="40" s="1"/>
  <c r="G139" i="40"/>
  <c r="P138" i="40"/>
  <c r="L138" i="40" s="1"/>
  <c r="G138" i="40"/>
  <c r="P137" i="40"/>
  <c r="L137" i="40" s="1"/>
  <c r="G137" i="40"/>
  <c r="G136" i="40"/>
  <c r="G135" i="40"/>
  <c r="G132" i="40"/>
  <c r="G131" i="40"/>
  <c r="G130" i="40"/>
  <c r="G129" i="40"/>
  <c r="P128" i="40"/>
  <c r="L128" i="40" s="1"/>
  <c r="G128" i="40"/>
  <c r="P127" i="40"/>
  <c r="L127" i="40" s="1"/>
  <c r="G127" i="40"/>
  <c r="P126" i="40"/>
  <c r="L126" i="40" s="1"/>
  <c r="G126" i="40"/>
  <c r="P125" i="40"/>
  <c r="L125" i="40" s="1"/>
  <c r="G125" i="40"/>
  <c r="G124" i="40"/>
  <c r="P123" i="40"/>
  <c r="L123" i="40" s="1"/>
  <c r="G123" i="40"/>
  <c r="G122" i="40"/>
  <c r="P121" i="40"/>
  <c r="L121" i="40" s="1"/>
  <c r="G121" i="40"/>
  <c r="G120" i="40"/>
  <c r="G119" i="40"/>
  <c r="G118" i="40"/>
  <c r="P117" i="40"/>
  <c r="L117" i="40" s="1"/>
  <c r="G117" i="40"/>
  <c r="G116" i="40"/>
  <c r="G115" i="40"/>
  <c r="P114" i="40"/>
  <c r="L114" i="40" s="1"/>
  <c r="G114" i="40"/>
  <c r="G113" i="40"/>
  <c r="P111" i="40"/>
  <c r="L111" i="40" s="1"/>
  <c r="G111" i="40"/>
  <c r="P110" i="40"/>
  <c r="L110" i="40" s="1"/>
  <c r="G110" i="40"/>
  <c r="P109" i="40"/>
  <c r="L109" i="40" s="1"/>
  <c r="G109" i="40"/>
  <c r="P108" i="40"/>
  <c r="L108" i="40" s="1"/>
  <c r="G108" i="40"/>
  <c r="P107" i="40"/>
  <c r="L107" i="40" s="1"/>
  <c r="G107" i="40"/>
  <c r="G105" i="40"/>
  <c r="P104" i="40"/>
  <c r="L104" i="40" s="1"/>
  <c r="G104" i="40"/>
  <c r="G103" i="40"/>
  <c r="G102" i="40"/>
  <c r="P101" i="40"/>
  <c r="L101" i="40" s="1"/>
  <c r="G101" i="40"/>
  <c r="P100" i="40"/>
  <c r="L100" i="40" s="1"/>
  <c r="G100" i="40"/>
  <c r="G99" i="40"/>
  <c r="P97" i="40"/>
  <c r="L97" i="40" s="1"/>
  <c r="P96" i="40"/>
  <c r="L96" i="40" s="1"/>
  <c r="G96" i="40"/>
  <c r="P95" i="40"/>
  <c r="L95" i="40" s="1"/>
  <c r="G95" i="40"/>
  <c r="P94" i="40"/>
  <c r="L94" i="40" s="1"/>
  <c r="G94" i="40"/>
  <c r="G93" i="40"/>
  <c r="P92" i="40"/>
  <c r="L92" i="40" s="1"/>
  <c r="G92" i="40"/>
  <c r="P91" i="40"/>
  <c r="L91" i="40" s="1"/>
  <c r="G91" i="40"/>
  <c r="G90" i="40"/>
  <c r="G89" i="40"/>
  <c r="G88" i="40"/>
  <c r="P87" i="40"/>
  <c r="L87" i="40" s="1"/>
  <c r="G87" i="40"/>
  <c r="P86" i="40"/>
  <c r="L86" i="40" s="1"/>
  <c r="G86" i="40"/>
  <c r="P85" i="40"/>
  <c r="L85" i="40" s="1"/>
  <c r="G85" i="40"/>
  <c r="G84" i="40"/>
  <c r="G83" i="40"/>
  <c r="G82" i="40"/>
  <c r="P81" i="40"/>
  <c r="L81" i="40" s="1"/>
  <c r="G81" i="40"/>
  <c r="P80" i="40"/>
  <c r="L80" i="40" s="1"/>
  <c r="G80" i="40"/>
  <c r="G79" i="40"/>
  <c r="G78" i="40"/>
  <c r="G77" i="40"/>
  <c r="G76" i="40"/>
  <c r="G75" i="40"/>
  <c r="P74" i="40"/>
  <c r="L74" i="40" s="1"/>
  <c r="G74" i="40"/>
  <c r="P73" i="40"/>
  <c r="L73" i="40" s="1"/>
  <c r="G72" i="40"/>
  <c r="G71" i="40"/>
  <c r="P70" i="40"/>
  <c r="L70" i="40" s="1"/>
  <c r="G70" i="40"/>
  <c r="G69" i="40"/>
  <c r="G68" i="40"/>
  <c r="P67" i="40"/>
  <c r="L67" i="40" s="1"/>
  <c r="G67" i="40"/>
  <c r="G66" i="40"/>
  <c r="G65" i="40"/>
  <c r="G64" i="40"/>
  <c r="G63" i="40"/>
  <c r="G62" i="40"/>
  <c r="G60" i="40"/>
  <c r="P57" i="40"/>
  <c r="L57" i="40" s="1"/>
  <c r="G57" i="40"/>
  <c r="G56" i="40"/>
  <c r="P55" i="40"/>
  <c r="L55" i="40" s="1"/>
  <c r="G55" i="40"/>
  <c r="G54" i="40"/>
  <c r="G53" i="40"/>
  <c r="G52" i="40"/>
  <c r="P51" i="40"/>
  <c r="L51" i="40" s="1"/>
  <c r="G51" i="40"/>
  <c r="G50" i="40"/>
  <c r="G49" i="40"/>
  <c r="P48" i="40"/>
  <c r="L48" i="40" s="1"/>
  <c r="G48" i="40"/>
  <c r="P47" i="40"/>
  <c r="L47" i="40" s="1"/>
  <c r="G47" i="40"/>
  <c r="G46" i="40"/>
  <c r="P45" i="40"/>
  <c r="L45" i="40" s="1"/>
  <c r="G45" i="40"/>
  <c r="P44" i="40"/>
  <c r="L44" i="40" s="1"/>
  <c r="G44" i="40"/>
  <c r="P43" i="40"/>
  <c r="L43" i="40" s="1"/>
  <c r="G43" i="40"/>
  <c r="P42" i="40"/>
  <c r="L42" i="40" s="1"/>
  <c r="G42" i="40"/>
  <c r="P41" i="40"/>
  <c r="L41" i="40" s="1"/>
  <c r="G41" i="40"/>
  <c r="P40" i="40"/>
  <c r="L40" i="40" s="1"/>
  <c r="G40" i="40"/>
  <c r="P39" i="40"/>
  <c r="L39" i="40" s="1"/>
  <c r="G39" i="40"/>
  <c r="P38" i="40"/>
  <c r="L38" i="40" s="1"/>
  <c r="G38" i="40"/>
  <c r="P37" i="40"/>
  <c r="L37" i="40" s="1"/>
  <c r="G37" i="40"/>
  <c r="G36" i="40"/>
  <c r="P35" i="40"/>
  <c r="L35" i="40" s="1"/>
  <c r="G35" i="40"/>
  <c r="P34" i="40"/>
  <c r="L34" i="40" s="1"/>
  <c r="G34" i="40"/>
  <c r="G33" i="40"/>
  <c r="P32" i="40"/>
  <c r="L32" i="40" s="1"/>
  <c r="G32" i="40"/>
  <c r="P31" i="40"/>
  <c r="L31" i="40" s="1"/>
  <c r="P30" i="40"/>
  <c r="L30" i="40" s="1"/>
  <c r="G30" i="40"/>
  <c r="G29" i="40"/>
  <c r="G28" i="40"/>
  <c r="P27" i="40"/>
  <c r="L27" i="40" s="1"/>
  <c r="G27" i="40"/>
  <c r="G26" i="40"/>
  <c r="G25" i="40"/>
  <c r="P24" i="40"/>
  <c r="L24" i="40" s="1"/>
  <c r="G24" i="40"/>
  <c r="P23" i="40"/>
  <c r="L23" i="40" s="1"/>
  <c r="G23" i="40"/>
  <c r="P22" i="40"/>
  <c r="L22" i="40" s="1"/>
  <c r="G22" i="40"/>
  <c r="G20" i="40"/>
  <c r="P19" i="40"/>
  <c r="L19" i="40" s="1"/>
  <c r="G19" i="40"/>
  <c r="G18" i="40"/>
  <c r="G17" i="40"/>
  <c r="P16" i="40"/>
  <c r="L16" i="40" s="1"/>
  <c r="G16" i="40"/>
  <c r="G15" i="40"/>
  <c r="G14" i="40"/>
  <c r="G13" i="40"/>
  <c r="P12" i="40"/>
  <c r="L12" i="40" s="1"/>
  <c r="G12" i="40"/>
  <c r="P11" i="40"/>
  <c r="L11" i="40" s="1"/>
  <c r="G11" i="40"/>
  <c r="G10" i="40"/>
  <c r="P9" i="40"/>
  <c r="L9" i="40" s="1"/>
  <c r="G9" i="40"/>
  <c r="G7" i="40"/>
  <c r="P6" i="40"/>
  <c r="L6" i="40" s="1"/>
  <c r="G6" i="40"/>
  <c r="G4" i="40"/>
  <c r="A4" i="40"/>
  <c r="A5" i="40" s="1"/>
  <c r="A6" i="40" s="1"/>
  <c r="P3" i="40"/>
  <c r="L3" i="40" s="1"/>
  <c r="G3" i="40"/>
  <c r="EO20" i="40" l="1"/>
  <c r="EN21" i="40"/>
  <c r="FD17" i="40"/>
  <c r="FC18" i="40"/>
  <c r="FH20" i="40"/>
  <c r="FI19" i="40"/>
  <c r="EI20" i="40"/>
  <c r="EJ19" i="40"/>
  <c r="FS20" i="40"/>
  <c r="FR21" i="40"/>
  <c r="EE19" i="40"/>
  <c r="ED20" i="40"/>
  <c r="FN17" i="40"/>
  <c r="FM18" i="40"/>
  <c r="ES20" i="40"/>
  <c r="ET19" i="40"/>
  <c r="EX23" i="40"/>
  <c r="EY22" i="40"/>
  <c r="DZ95" i="40"/>
  <c r="DZ96" i="40" s="1"/>
  <c r="DZ97" i="40" s="1"/>
  <c r="DZ98" i="40" s="1"/>
  <c r="DZ99" i="40" s="1"/>
  <c r="J87" i="27"/>
  <c r="K86" i="27"/>
  <c r="CC313" i="23"/>
  <c r="CE313" i="23" s="1"/>
  <c r="BY313" i="23"/>
  <c r="AM304" i="23"/>
  <c r="AQ304" i="23"/>
  <c r="AV304" i="23" s="1"/>
  <c r="AM303" i="23"/>
  <c r="AQ303" i="23"/>
  <c r="AV303" i="23" s="1"/>
  <c r="W261" i="23"/>
  <c r="A7" i="40"/>
  <c r="A8" i="40" s="1"/>
  <c r="A9" i="40" s="1"/>
  <c r="A10" i="40" s="1"/>
  <c r="A11" i="40" s="1"/>
  <c r="A12" i="40" s="1"/>
  <c r="A13" i="40" s="1"/>
  <c r="A14" i="40" s="1"/>
  <c r="A15" i="40" s="1"/>
  <c r="A16" i="40" s="1"/>
  <c r="A17" i="40" s="1"/>
  <c r="A18" i="40" s="1"/>
  <c r="A19" i="40" s="1"/>
  <c r="A20" i="40" s="1"/>
  <c r="A21" i="40" s="1"/>
  <c r="A22" i="40" s="1"/>
  <c r="A23" i="40" s="1"/>
  <c r="A24" i="40" s="1"/>
  <c r="A25" i="40" s="1"/>
  <c r="A26" i="40" s="1"/>
  <c r="A27" i="40" s="1"/>
  <c r="A28" i="40" s="1"/>
  <c r="A29" i="40" s="1"/>
  <c r="A30" i="40" s="1"/>
  <c r="A31" i="40" s="1"/>
  <c r="A32" i="40" s="1"/>
  <c r="A33" i="40" s="1"/>
  <c r="A34" i="40" s="1"/>
  <c r="A35" i="40" s="1"/>
  <c r="A36" i="40" s="1"/>
  <c r="A37" i="40" s="1"/>
  <c r="A38" i="40" s="1"/>
  <c r="A39" i="40" s="1"/>
  <c r="A40" i="40" s="1"/>
  <c r="A41" i="40" s="1"/>
  <c r="A42" i="40" s="1"/>
  <c r="A43" i="40" s="1"/>
  <c r="A44" i="40" s="1"/>
  <c r="A45" i="40" s="1"/>
  <c r="A46" i="40" s="1"/>
  <c r="A47" i="40" s="1"/>
  <c r="A48" i="40" s="1"/>
  <c r="A49" i="40" s="1"/>
  <c r="A50" i="40" s="1"/>
  <c r="A51" i="40" s="1"/>
  <c r="A52" i="40" s="1"/>
  <c r="A53" i="40" s="1"/>
  <c r="A54" i="40" s="1"/>
  <c r="A55" i="40" s="1"/>
  <c r="A56" i="40" s="1"/>
  <c r="A57" i="40" s="1"/>
  <c r="A58" i="40" s="1"/>
  <c r="A59" i="40" s="1"/>
  <c r="A60" i="40" s="1"/>
  <c r="A61" i="40" s="1"/>
  <c r="A62" i="40" s="1"/>
  <c r="A63" i="40" s="1"/>
  <c r="A64" i="40" s="1"/>
  <c r="A65" i="40" s="1"/>
  <c r="A66" i="40" s="1"/>
  <c r="A67" i="40" s="1"/>
  <c r="A68" i="40" s="1"/>
  <c r="A69" i="40" s="1"/>
  <c r="A70" i="40" s="1"/>
  <c r="A71" i="40" s="1"/>
  <c r="A72" i="40" s="1"/>
  <c r="A73" i="40" s="1"/>
  <c r="A74" i="40" s="1"/>
  <c r="A75" i="40" s="1"/>
  <c r="A76" i="40" s="1"/>
  <c r="A77" i="40" s="1"/>
  <c r="A78" i="40" s="1"/>
  <c r="A79" i="40" s="1"/>
  <c r="A80" i="40" s="1"/>
  <c r="A81" i="40" s="1"/>
  <c r="A82" i="40" s="1"/>
  <c r="A83" i="40" s="1"/>
  <c r="A84" i="40" s="1"/>
  <c r="A85" i="40" s="1"/>
  <c r="A86" i="40" s="1"/>
  <c r="A87" i="40" s="1"/>
  <c r="A88" i="40" s="1"/>
  <c r="A89" i="40" s="1"/>
  <c r="A90" i="40" s="1"/>
  <c r="A91" i="40" s="1"/>
  <c r="A92" i="40" s="1"/>
  <c r="A93" i="40" s="1"/>
  <c r="A94" i="40" s="1"/>
  <c r="A95" i="40" s="1"/>
  <c r="A96" i="40" s="1"/>
  <c r="A97" i="40" s="1"/>
  <c r="A98" i="40" s="1"/>
  <c r="A99" i="40" s="1"/>
  <c r="A100" i="40" s="1"/>
  <c r="A101" i="40" s="1"/>
  <c r="A102" i="40" s="1"/>
  <c r="A103" i="40" s="1"/>
  <c r="A104" i="40" s="1"/>
  <c r="A105" i="40" s="1"/>
  <c r="A106" i="40" s="1"/>
  <c r="A107" i="40" s="1"/>
  <c r="A108" i="40" s="1"/>
  <c r="A109" i="40" s="1"/>
  <c r="A110" i="40" s="1"/>
  <c r="A111" i="40" s="1"/>
  <c r="A112" i="40" s="1"/>
  <c r="A113" i="40" s="1"/>
  <c r="A114" i="40" s="1"/>
  <c r="A115" i="40" s="1"/>
  <c r="A116" i="40" s="1"/>
  <c r="A117" i="40" s="1"/>
  <c r="A118" i="40" s="1"/>
  <c r="A119" i="40" s="1"/>
  <c r="A120" i="40" s="1"/>
  <c r="A121" i="40" s="1"/>
  <c r="A122" i="40" s="1"/>
  <c r="A123" i="40" s="1"/>
  <c r="A124" i="40" s="1"/>
  <c r="A125" i="40" s="1"/>
  <c r="A126" i="40" s="1"/>
  <c r="A127" i="40" s="1"/>
  <c r="A128" i="40" s="1"/>
  <c r="A129" i="40" s="1"/>
  <c r="A130" i="40" s="1"/>
  <c r="A131" i="40" s="1"/>
  <c r="A132" i="40" s="1"/>
  <c r="A133" i="40" s="1"/>
  <c r="A134" i="40" s="1"/>
  <c r="A135" i="40" s="1"/>
  <c r="A136" i="40" s="1"/>
  <c r="A137" i="40" s="1"/>
  <c r="A138" i="40" s="1"/>
  <c r="A139" i="40" s="1"/>
  <c r="A140" i="40" s="1"/>
  <c r="A141" i="40" s="1"/>
  <c r="A142" i="40" s="1"/>
  <c r="A143" i="40" s="1"/>
  <c r="A144" i="40" s="1"/>
  <c r="A145" i="40" s="1"/>
  <c r="A146" i="40" s="1"/>
  <c r="A147" i="40" s="1"/>
  <c r="A148" i="40" s="1"/>
  <c r="A149" i="40" s="1"/>
  <c r="A150" i="40" s="1"/>
  <c r="A151" i="40" s="1"/>
  <c r="A152" i="40" s="1"/>
  <c r="A153" i="40" s="1"/>
  <c r="A154" i="40" s="1"/>
  <c r="A155" i="40" s="1"/>
  <c r="A156" i="40" s="1"/>
  <c r="A157" i="40" s="1"/>
  <c r="A158" i="40" s="1"/>
  <c r="A159" i="40" s="1"/>
  <c r="A160" i="40" s="1"/>
  <c r="A161" i="40" s="1"/>
  <c r="A162" i="40" s="1"/>
  <c r="A163" i="40" s="1"/>
  <c r="A164" i="40" s="1"/>
  <c r="A165" i="40" s="1"/>
  <c r="A166" i="40" s="1"/>
  <c r="A167" i="40" s="1"/>
  <c r="A168" i="40" s="1"/>
  <c r="A169" i="40" s="1"/>
  <c r="A170" i="40" s="1"/>
  <c r="A171" i="40" s="1"/>
  <c r="A172" i="40" s="1"/>
  <c r="A173" i="40" s="1"/>
  <c r="A174" i="40" s="1"/>
  <c r="A175" i="40" s="1"/>
  <c r="A176" i="40" s="1"/>
  <c r="A177" i="40" s="1"/>
  <c r="A178" i="40" s="1"/>
  <c r="A179" i="40" s="1"/>
  <c r="A180" i="40" s="1"/>
  <c r="A181" i="40" s="1"/>
  <c r="A182" i="40" s="1"/>
  <c r="A183" i="40" s="1"/>
  <c r="A184" i="40" s="1"/>
  <c r="A185" i="40" s="1"/>
  <c r="A186" i="40" s="1"/>
  <c r="A187" i="40" s="1"/>
  <c r="A188" i="40" s="1"/>
  <c r="A189" i="40" s="1"/>
  <c r="A190" i="40" s="1"/>
  <c r="A191" i="40" s="1"/>
  <c r="A192" i="40" s="1"/>
  <c r="A193" i="40" s="1"/>
  <c r="A194" i="40" s="1"/>
  <c r="A195" i="40" s="1"/>
  <c r="A196" i="40" s="1"/>
  <c r="A197" i="40" s="1"/>
  <c r="A198" i="40" s="1"/>
  <c r="A199" i="40" s="1"/>
  <c r="A200" i="40" s="1"/>
  <c r="A201" i="40" s="1"/>
  <c r="A202" i="40" s="1"/>
  <c r="A203" i="40" s="1"/>
  <c r="A204" i="40" s="1"/>
  <c r="A205" i="40" s="1"/>
  <c r="A206" i="40" s="1"/>
  <c r="A207" i="40" s="1"/>
  <c r="A208" i="40" s="1"/>
  <c r="A209" i="40" s="1"/>
  <c r="A210" i="40" s="1"/>
  <c r="A211" i="40" s="1"/>
  <c r="A212" i="40" s="1"/>
  <c r="A213" i="40" s="1"/>
  <c r="A214" i="40" s="1"/>
  <c r="A215" i="40" s="1"/>
  <c r="A216" i="40" s="1"/>
  <c r="A217" i="40" s="1"/>
  <c r="A218" i="40" s="1"/>
  <c r="A219" i="40" s="1"/>
  <c r="A220" i="40" s="1"/>
  <c r="A221" i="40" s="1"/>
  <c r="A222" i="40" s="1"/>
  <c r="A223" i="40" s="1"/>
  <c r="A224" i="40" s="1"/>
  <c r="A225" i="40" s="1"/>
  <c r="A226" i="40" s="1"/>
  <c r="A227" i="40" s="1"/>
  <c r="A228" i="40" s="1"/>
  <c r="A229" i="40" s="1"/>
  <c r="A230" i="40" s="1"/>
  <c r="A231" i="40" s="1"/>
  <c r="A232" i="40" s="1"/>
  <c r="A233" i="40" s="1"/>
  <c r="A234" i="40" s="1"/>
  <c r="A235" i="40" s="1"/>
  <c r="A236" i="40" s="1"/>
  <c r="A237" i="40" s="1"/>
  <c r="A238" i="40" s="1"/>
  <c r="A239" i="40" s="1"/>
  <c r="A240" i="40" s="1"/>
  <c r="A241" i="40" s="1"/>
  <c r="A242" i="40" s="1"/>
  <c r="A243" i="40" s="1"/>
  <c r="A244" i="40" s="1"/>
  <c r="A245" i="40" s="1"/>
  <c r="A246" i="40" s="1"/>
  <c r="A247" i="40" s="1"/>
  <c r="A248" i="40" s="1"/>
  <c r="A249" i="40" s="1"/>
  <c r="A250" i="40" s="1"/>
  <c r="A251" i="40" s="1"/>
  <c r="A252" i="40" s="1"/>
  <c r="A253" i="40" s="1"/>
  <c r="A254" i="40" s="1"/>
  <c r="A255" i="40" s="1"/>
  <c r="A256" i="40" s="1"/>
  <c r="A257" i="40" s="1"/>
  <c r="A258" i="40" s="1"/>
  <c r="A259" i="40" s="1"/>
  <c r="A260" i="40" s="1"/>
  <c r="A261" i="40" s="1"/>
  <c r="A262" i="40" s="1"/>
  <c r="A263" i="40" s="1"/>
  <c r="A264" i="40" s="1"/>
  <c r="A265" i="40" s="1"/>
  <c r="A266" i="40" s="1"/>
  <c r="A267" i="40" s="1"/>
  <c r="A268" i="40" s="1"/>
  <c r="A269" i="40" s="1"/>
  <c r="A270" i="40" s="1"/>
  <c r="A271" i="40" s="1"/>
  <c r="A272" i="40" s="1"/>
  <c r="A273" i="40" s="1"/>
  <c r="A274" i="40" s="1"/>
  <c r="A275" i="40" s="1"/>
  <c r="A276" i="40" s="1"/>
  <c r="A277" i="40" s="1"/>
  <c r="A278" i="40" s="1"/>
  <c r="A279" i="40" s="1"/>
  <c r="A280" i="40" s="1"/>
  <c r="A281" i="40" s="1"/>
  <c r="A282" i="40" s="1"/>
  <c r="A283" i="40" s="1"/>
  <c r="A284" i="40" s="1"/>
  <c r="A285" i="40" s="1"/>
  <c r="A286" i="40" s="1"/>
  <c r="A287" i="40" s="1"/>
  <c r="A288" i="40" s="1"/>
  <c r="A289" i="40" s="1"/>
  <c r="A290" i="40" s="1"/>
  <c r="A291" i="40" s="1"/>
  <c r="A292" i="40" s="1"/>
  <c r="A293" i="40" s="1"/>
  <c r="A294" i="40" s="1"/>
  <c r="A295" i="40" s="1"/>
  <c r="A296" i="40" s="1"/>
  <c r="A297" i="40" s="1"/>
  <c r="A298" i="40" s="1"/>
  <c r="A299" i="40" s="1"/>
  <c r="A300" i="40" s="1"/>
  <c r="A301" i="40" s="1"/>
  <c r="A302" i="40" s="1"/>
  <c r="A303" i="40" s="1"/>
  <c r="A304" i="40" s="1"/>
  <c r="A305" i="40" s="1"/>
  <c r="A306" i="40" s="1"/>
  <c r="A307" i="40" s="1"/>
  <c r="A308" i="40" s="1"/>
  <c r="A309" i="40" s="1"/>
  <c r="A310" i="40" s="1"/>
  <c r="A311" i="40" s="1"/>
  <c r="A312" i="40" s="1"/>
  <c r="A313" i="40" s="1"/>
  <c r="A314" i="40" s="1"/>
  <c r="A315" i="40" s="1"/>
  <c r="A316" i="40" s="1"/>
  <c r="A317" i="40" s="1"/>
  <c r="A318" i="40" s="1"/>
  <c r="A319" i="40" s="1"/>
  <c r="A320" i="40" s="1"/>
  <c r="A321" i="40" s="1"/>
  <c r="A322" i="40" s="1"/>
  <c r="A323" i="40" s="1"/>
  <c r="A324" i="40" s="1"/>
  <c r="A325" i="40" s="1"/>
  <c r="A326" i="40" s="1"/>
  <c r="A327" i="40" s="1"/>
  <c r="A328" i="40" s="1"/>
  <c r="A329" i="40" s="1"/>
  <c r="A330" i="40" s="1"/>
  <c r="A331" i="40" s="1"/>
  <c r="A332" i="40" s="1"/>
  <c r="A333" i="40" s="1"/>
  <c r="A334" i="40" s="1"/>
  <c r="A335" i="40" s="1"/>
  <c r="A336" i="40" s="1"/>
  <c r="A337" i="40" s="1"/>
  <c r="A338" i="40" s="1"/>
  <c r="A339" i="40" s="1"/>
  <c r="A340" i="40" s="1"/>
  <c r="A341" i="40" s="1"/>
  <c r="A342" i="40" s="1"/>
  <c r="A343" i="40" s="1"/>
  <c r="A344" i="40" s="1"/>
  <c r="A345" i="40" s="1"/>
  <c r="A346" i="40" s="1"/>
  <c r="A347" i="40" s="1"/>
  <c r="A348" i="40" s="1"/>
  <c r="A349" i="40" s="1"/>
  <c r="A350" i="40" s="1"/>
  <c r="A351" i="40" s="1"/>
  <c r="A352" i="40" s="1"/>
  <c r="A353" i="40" s="1"/>
  <c r="A354" i="40" s="1"/>
  <c r="A355" i="40" s="1"/>
  <c r="A356" i="40" s="1"/>
  <c r="A357" i="40" s="1"/>
  <c r="A358" i="40" s="1"/>
  <c r="A359" i="40" s="1"/>
  <c r="A360" i="40" s="1"/>
  <c r="A361" i="40" s="1"/>
  <c r="A362" i="40" s="1"/>
  <c r="A363" i="40" s="1"/>
  <c r="A364" i="40" s="1"/>
  <c r="A365" i="40" s="1"/>
  <c r="A366" i="40" s="1"/>
  <c r="A367" i="40" s="1"/>
  <c r="A368" i="40" s="1"/>
  <c r="A369" i="40" s="1"/>
  <c r="A370" i="40" s="1"/>
  <c r="A371" i="40" s="1"/>
  <c r="A372" i="40" s="1"/>
  <c r="A373" i="40" s="1"/>
  <c r="A374" i="40" s="1"/>
  <c r="A375" i="40" s="1"/>
  <c r="A376" i="40" s="1"/>
  <c r="A377" i="40" s="1"/>
  <c r="A378" i="40" s="1"/>
  <c r="A379" i="40" s="1"/>
  <c r="A380" i="40" s="1"/>
  <c r="A381" i="40" s="1"/>
  <c r="A382" i="40" s="1"/>
  <c r="A383" i="40" s="1"/>
  <c r="A384" i="40" s="1"/>
  <c r="A385" i="40" s="1"/>
  <c r="A386" i="40" s="1"/>
  <c r="A387" i="40" s="1"/>
  <c r="A388" i="40" s="1"/>
  <c r="A389" i="40" s="1"/>
  <c r="A390" i="40" s="1"/>
  <c r="A391" i="40" s="1"/>
  <c r="A392" i="40" s="1"/>
  <c r="A393" i="40" s="1"/>
  <c r="A394" i="40" s="1"/>
  <c r="A395" i="40" s="1"/>
  <c r="A396" i="40" s="1"/>
  <c r="A397" i="40" s="1"/>
  <c r="A398" i="40" s="1"/>
  <c r="A399" i="40" s="1"/>
  <c r="A400" i="40" s="1"/>
  <c r="A401" i="40" s="1"/>
  <c r="A402" i="40" s="1"/>
  <c r="A403" i="40" s="1"/>
  <c r="A404" i="40" s="1"/>
  <c r="A405" i="40" s="1"/>
  <c r="A406" i="40" s="1"/>
  <c r="A407" i="40" s="1"/>
  <c r="EX24" i="40" l="1"/>
  <c r="EY23" i="40"/>
  <c r="ED21" i="40"/>
  <c r="EE20" i="40"/>
  <c r="FD18" i="40"/>
  <c r="FC19" i="40"/>
  <c r="ES21" i="40"/>
  <c r="ET20" i="40"/>
  <c r="EJ20" i="40"/>
  <c r="EI21" i="40"/>
  <c r="FM19" i="40"/>
  <c r="FN18" i="40"/>
  <c r="FS21" i="40"/>
  <c r="FR22" i="40"/>
  <c r="EN22" i="40"/>
  <c r="EO21" i="40"/>
  <c r="FH21" i="40"/>
  <c r="FI20" i="40"/>
  <c r="DZ100" i="40"/>
  <c r="J88" i="27"/>
  <c r="K87" i="27"/>
  <c r="BA303" i="23"/>
  <c r="BB303" i="23" s="1"/>
  <c r="AW303" i="23"/>
  <c r="BA304" i="23"/>
  <c r="BB304" i="23" s="1"/>
  <c r="AW304" i="23"/>
  <c r="AR304" i="23"/>
  <c r="AR303" i="23"/>
  <c r="Z261" i="23"/>
  <c r="S117" i="23"/>
  <c r="S116" i="23"/>
  <c r="S115" i="23"/>
  <c r="S114" i="23"/>
  <c r="S113" i="23"/>
  <c r="S112" i="23"/>
  <c r="S111" i="23"/>
  <c r="S110" i="23"/>
  <c r="S109" i="23"/>
  <c r="S108" i="23"/>
  <c r="S107" i="23"/>
  <c r="S106" i="23"/>
  <c r="S105" i="23"/>
  <c r="S104" i="23"/>
  <c r="S103" i="23"/>
  <c r="S102" i="23"/>
  <c r="S101" i="23"/>
  <c r="S100" i="23"/>
  <c r="S99" i="23"/>
  <c r="S98" i="23"/>
  <c r="S97" i="23"/>
  <c r="S96" i="23"/>
  <c r="S95" i="23"/>
  <c r="S94" i="23"/>
  <c r="S93" i="23"/>
  <c r="S92" i="23"/>
  <c r="S91" i="23"/>
  <c r="S90" i="23"/>
  <c r="S89" i="23"/>
  <c r="S88" i="23"/>
  <c r="S87" i="23"/>
  <c r="S86" i="23"/>
  <c r="N84" i="23"/>
  <c r="FI21" i="40" l="1"/>
  <c r="FH22" i="40"/>
  <c r="EN23" i="40"/>
  <c r="EO22" i="40"/>
  <c r="FN19" i="40"/>
  <c r="FM20" i="40"/>
  <c r="ES22" i="40"/>
  <c r="ET21" i="40"/>
  <c r="ED22" i="40"/>
  <c r="EE21" i="40"/>
  <c r="FS22" i="40"/>
  <c r="FR23" i="40"/>
  <c r="EI22" i="40"/>
  <c r="EJ21" i="40"/>
  <c r="FD19" i="40"/>
  <c r="FC20" i="40"/>
  <c r="EX25" i="40"/>
  <c r="EY24" i="40"/>
  <c r="DZ101" i="40"/>
  <c r="DZ102" i="40" s="1"/>
  <c r="DZ103" i="40" s="1"/>
  <c r="J89" i="27"/>
  <c r="K88" i="27"/>
  <c r="M115" i="23"/>
  <c r="O115" i="23" s="1"/>
  <c r="P115" i="23" s="1"/>
  <c r="M92" i="23"/>
  <c r="M113" i="23"/>
  <c r="M101" i="23"/>
  <c r="O101" i="23" s="1"/>
  <c r="P101" i="23" s="1"/>
  <c r="M93" i="23"/>
  <c r="O93" i="23" s="1"/>
  <c r="P93" i="23" s="1"/>
  <c r="AC261" i="23"/>
  <c r="K223" i="23"/>
  <c r="M104" i="1"/>
  <c r="M102" i="1"/>
  <c r="DE210" i="23"/>
  <c r="DE209" i="23"/>
  <c r="DE208" i="23"/>
  <c r="DE207" i="23"/>
  <c r="DE206" i="23"/>
  <c r="DE205" i="23"/>
  <c r="DE204" i="23"/>
  <c r="DE203" i="23"/>
  <c r="DE202" i="23"/>
  <c r="DE201" i="23"/>
  <c r="DE200" i="23"/>
  <c r="DE199" i="23"/>
  <c r="DE198" i="23"/>
  <c r="DE197" i="23"/>
  <c r="DE196" i="23"/>
  <c r="DE195" i="23"/>
  <c r="DE194" i="23"/>
  <c r="DE193" i="23"/>
  <c r="DJ210" i="23"/>
  <c r="DJ209" i="23"/>
  <c r="DJ208" i="23"/>
  <c r="DJ207" i="23"/>
  <c r="DJ206" i="23"/>
  <c r="DJ205" i="23"/>
  <c r="DJ204" i="23"/>
  <c r="DJ203" i="23"/>
  <c r="DJ202" i="23"/>
  <c r="DJ201" i="23"/>
  <c r="DJ200" i="23"/>
  <c r="DJ199" i="23"/>
  <c r="DJ198" i="23"/>
  <c r="DJ197" i="23"/>
  <c r="DJ196" i="23"/>
  <c r="DJ195" i="23"/>
  <c r="DJ194" i="23"/>
  <c r="DJ193" i="23"/>
  <c r="DD210" i="23"/>
  <c r="DD209" i="23"/>
  <c r="DD208" i="23"/>
  <c r="DD207" i="23"/>
  <c r="DD206" i="23"/>
  <c r="DD205" i="23"/>
  <c r="DD204" i="23"/>
  <c r="DD203" i="23"/>
  <c r="DD202" i="23"/>
  <c r="DD201" i="23"/>
  <c r="DD200" i="23"/>
  <c r="DD199" i="23"/>
  <c r="DD198" i="23"/>
  <c r="DD197" i="23"/>
  <c r="DD196" i="23"/>
  <c r="DD195" i="23"/>
  <c r="DD194" i="23"/>
  <c r="DD193" i="23"/>
  <c r="CX210" i="23"/>
  <c r="CX209" i="23"/>
  <c r="CX208" i="23"/>
  <c r="CX207" i="23"/>
  <c r="CX206" i="23"/>
  <c r="CX205" i="23"/>
  <c r="CX204" i="23"/>
  <c r="CX203" i="23"/>
  <c r="CX202" i="23"/>
  <c r="CX201" i="23"/>
  <c r="CX200" i="23"/>
  <c r="CX199" i="23"/>
  <c r="CX198" i="23"/>
  <c r="CX197" i="23"/>
  <c r="CX196" i="23"/>
  <c r="CX195" i="23"/>
  <c r="CX194" i="23"/>
  <c r="CX193" i="23"/>
  <c r="FD20" i="40" l="1"/>
  <c r="FC21" i="40"/>
  <c r="FS23" i="40"/>
  <c r="FR24" i="40"/>
  <c r="ET22" i="40"/>
  <c r="ES23" i="40"/>
  <c r="EO23" i="40"/>
  <c r="EN24" i="40"/>
  <c r="FN20" i="40"/>
  <c r="FM21" i="40"/>
  <c r="FI22" i="40"/>
  <c r="FH23" i="40"/>
  <c r="EX26" i="40"/>
  <c r="EY25" i="40"/>
  <c r="EI23" i="40"/>
  <c r="EJ22" i="40"/>
  <c r="EE22" i="40"/>
  <c r="ED23" i="40"/>
  <c r="DZ104" i="40"/>
  <c r="J90" i="27"/>
  <c r="K89" i="27"/>
  <c r="AF261" i="23"/>
  <c r="O92" i="23"/>
  <c r="P92" i="23" s="1"/>
  <c r="O113" i="23"/>
  <c r="P113" i="23" s="1"/>
  <c r="CR210" i="23"/>
  <c r="CR209" i="23"/>
  <c r="CR208" i="23"/>
  <c r="CR207" i="23"/>
  <c r="CR206" i="23"/>
  <c r="CR205" i="23"/>
  <c r="CR204" i="23"/>
  <c r="CR203" i="23"/>
  <c r="CR202" i="23"/>
  <c r="CR201" i="23"/>
  <c r="CR200" i="23"/>
  <c r="CR199" i="23"/>
  <c r="CR198" i="23"/>
  <c r="CR197" i="23"/>
  <c r="CR196" i="23"/>
  <c r="CR195" i="23"/>
  <c r="CR194" i="23"/>
  <c r="CR193" i="23"/>
  <c r="CL210" i="23"/>
  <c r="CL209" i="23"/>
  <c r="CL208" i="23"/>
  <c r="CL207" i="23"/>
  <c r="CL206" i="23"/>
  <c r="CL205" i="23"/>
  <c r="CL204" i="23"/>
  <c r="CL203" i="23"/>
  <c r="CL202" i="23"/>
  <c r="CL201" i="23"/>
  <c r="CL200" i="23"/>
  <c r="CL199" i="23"/>
  <c r="CL198" i="23"/>
  <c r="CL197" i="23"/>
  <c r="CL196" i="23"/>
  <c r="CL195" i="23"/>
  <c r="CL194" i="23"/>
  <c r="CL193" i="23"/>
  <c r="M100" i="1"/>
  <c r="CF210" i="23"/>
  <c r="CF209" i="23"/>
  <c r="CF208" i="23"/>
  <c r="CF207" i="23"/>
  <c r="CF206" i="23"/>
  <c r="CF205" i="23"/>
  <c r="CF204" i="23"/>
  <c r="CF203" i="23"/>
  <c r="CF202" i="23"/>
  <c r="CF201" i="23"/>
  <c r="CF200" i="23"/>
  <c r="CF199" i="23"/>
  <c r="CF198" i="23"/>
  <c r="CF197" i="23"/>
  <c r="CF196" i="23"/>
  <c r="CF195" i="23"/>
  <c r="CF194" i="23"/>
  <c r="CF193" i="23"/>
  <c r="BZ210" i="23"/>
  <c r="BZ209" i="23"/>
  <c r="BZ208" i="23"/>
  <c r="BZ207" i="23"/>
  <c r="BZ206" i="23"/>
  <c r="BZ205" i="23"/>
  <c r="BZ204" i="23"/>
  <c r="BZ203" i="23"/>
  <c r="BZ202" i="23"/>
  <c r="BZ201" i="23"/>
  <c r="BZ200" i="23"/>
  <c r="BZ199" i="23"/>
  <c r="BZ198" i="23"/>
  <c r="BZ197" i="23"/>
  <c r="BZ196" i="23"/>
  <c r="BZ195" i="23"/>
  <c r="BZ194" i="23"/>
  <c r="BZ193" i="23"/>
  <c r="M98" i="1"/>
  <c r="M96" i="1"/>
  <c r="M94" i="1"/>
  <c r="M92" i="1"/>
  <c r="M90" i="1"/>
  <c r="M88" i="1"/>
  <c r="BT210" i="23"/>
  <c r="BT209" i="23"/>
  <c r="BT208" i="23"/>
  <c r="BT207" i="23"/>
  <c r="BT206" i="23"/>
  <c r="BT205" i="23"/>
  <c r="BT204" i="23"/>
  <c r="BT203" i="23"/>
  <c r="BT202" i="23"/>
  <c r="BT201" i="23"/>
  <c r="BT200" i="23"/>
  <c r="BT199" i="23"/>
  <c r="BT198" i="23"/>
  <c r="BT197" i="23"/>
  <c r="BT196" i="23"/>
  <c r="BT195" i="23"/>
  <c r="BT194" i="23"/>
  <c r="BT193" i="23"/>
  <c r="BN210" i="23"/>
  <c r="BN209" i="23"/>
  <c r="BN208" i="23"/>
  <c r="BN207" i="23"/>
  <c r="BN206" i="23"/>
  <c r="BN205" i="23"/>
  <c r="BN204" i="23"/>
  <c r="BN203" i="23"/>
  <c r="BN202" i="23"/>
  <c r="BN201" i="23"/>
  <c r="BN200" i="23"/>
  <c r="BN199" i="23"/>
  <c r="BN198" i="23"/>
  <c r="BN197" i="23"/>
  <c r="BN196" i="23"/>
  <c r="BN195" i="23"/>
  <c r="BN194" i="23"/>
  <c r="BN193" i="23"/>
  <c r="BH210" i="23"/>
  <c r="BH209" i="23"/>
  <c r="BH208" i="23"/>
  <c r="BH207" i="23"/>
  <c r="BH206" i="23"/>
  <c r="BH205" i="23"/>
  <c r="BH204" i="23"/>
  <c r="BH203" i="23"/>
  <c r="BH202" i="23"/>
  <c r="BH201" i="23"/>
  <c r="BH200" i="23"/>
  <c r="BH199" i="23"/>
  <c r="BH198" i="23"/>
  <c r="BH197" i="23"/>
  <c r="BH196" i="23"/>
  <c r="BH195" i="23"/>
  <c r="BH194" i="23"/>
  <c r="BH193" i="23"/>
  <c r="BB210" i="23"/>
  <c r="BB209" i="23"/>
  <c r="BB208" i="23"/>
  <c r="BB207" i="23"/>
  <c r="BB206" i="23"/>
  <c r="BB205" i="23"/>
  <c r="BB204" i="23"/>
  <c r="BB203" i="23"/>
  <c r="BB202" i="23"/>
  <c r="BB201" i="23"/>
  <c r="BB200" i="23"/>
  <c r="BB199" i="23"/>
  <c r="BB198" i="23"/>
  <c r="BB197" i="23"/>
  <c r="BB196" i="23"/>
  <c r="BB195" i="23"/>
  <c r="BB194" i="23"/>
  <c r="BB193" i="23"/>
  <c r="AV210" i="23"/>
  <c r="AV209" i="23"/>
  <c r="AV208" i="23"/>
  <c r="AV207" i="23"/>
  <c r="AV206" i="23"/>
  <c r="AV205" i="23"/>
  <c r="AV204" i="23"/>
  <c r="AV203" i="23"/>
  <c r="AV202" i="23"/>
  <c r="AV201" i="23"/>
  <c r="AV200" i="23"/>
  <c r="AV199" i="23"/>
  <c r="AV198" i="23"/>
  <c r="AV197" i="23"/>
  <c r="AV196" i="23"/>
  <c r="AV195" i="23"/>
  <c r="AV194" i="23"/>
  <c r="AV193" i="23"/>
  <c r="FH24" i="40" l="1"/>
  <c r="FI23" i="40"/>
  <c r="EO24" i="40"/>
  <c r="EN25" i="40"/>
  <c r="FS24" i="40"/>
  <c r="FR25" i="40"/>
  <c r="EI24" i="40"/>
  <c r="EJ23" i="40"/>
  <c r="EE23" i="40"/>
  <c r="ED24" i="40"/>
  <c r="FN21" i="40"/>
  <c r="FM22" i="40"/>
  <c r="ET23" i="40"/>
  <c r="ES24" i="40"/>
  <c r="FD21" i="40"/>
  <c r="FC22" i="40"/>
  <c r="EX27" i="40"/>
  <c r="EY26" i="40"/>
  <c r="DZ105" i="40"/>
  <c r="DZ106" i="40" s="1"/>
  <c r="J91" i="27"/>
  <c r="K90" i="27"/>
  <c r="AK210" i="23"/>
  <c r="AK209" i="23"/>
  <c r="AK208" i="23"/>
  <c r="AK207" i="23"/>
  <c r="AK206" i="23"/>
  <c r="AK205" i="23"/>
  <c r="AK204" i="23"/>
  <c r="AK203" i="23"/>
  <c r="AK202" i="23"/>
  <c r="AK201" i="23"/>
  <c r="AK200" i="23"/>
  <c r="AK199" i="23"/>
  <c r="AK198" i="23"/>
  <c r="AK197" i="23"/>
  <c r="AK196" i="23"/>
  <c r="AK195" i="23"/>
  <c r="AK194" i="23"/>
  <c r="AK193" i="23"/>
  <c r="AA194" i="23"/>
  <c r="AA195" i="23"/>
  <c r="AA196" i="23"/>
  <c r="AA197" i="23"/>
  <c r="AA198" i="23"/>
  <c r="AA199" i="23"/>
  <c r="AA200" i="23"/>
  <c r="AA201" i="23"/>
  <c r="AA202" i="23"/>
  <c r="AA203" i="23"/>
  <c r="AA204" i="23"/>
  <c r="AA205" i="23"/>
  <c r="AA206" i="23"/>
  <c r="AA207" i="23"/>
  <c r="AA208" i="23"/>
  <c r="AA209" i="23"/>
  <c r="AA210" i="23"/>
  <c r="AF210" i="23"/>
  <c r="AF209" i="23"/>
  <c r="AF208" i="23"/>
  <c r="AF207" i="23"/>
  <c r="AF206" i="23"/>
  <c r="AF205" i="23"/>
  <c r="AF204" i="23"/>
  <c r="AF203" i="23"/>
  <c r="AF202" i="23"/>
  <c r="AF201" i="23"/>
  <c r="AF200" i="23"/>
  <c r="AF199" i="23"/>
  <c r="AF198" i="23"/>
  <c r="AF197" i="23"/>
  <c r="AF196" i="23"/>
  <c r="AF195" i="23"/>
  <c r="AF194" i="23"/>
  <c r="AF193" i="23"/>
  <c r="AA193" i="23"/>
  <c r="V210" i="23"/>
  <c r="V209" i="23"/>
  <c r="V208" i="23"/>
  <c r="V207" i="23"/>
  <c r="V206" i="23"/>
  <c r="V205" i="23"/>
  <c r="V204" i="23"/>
  <c r="V203" i="23"/>
  <c r="V202" i="23"/>
  <c r="V201" i="23"/>
  <c r="V200" i="23"/>
  <c r="V199" i="23"/>
  <c r="V198" i="23"/>
  <c r="V197" i="23"/>
  <c r="V196" i="23"/>
  <c r="V195" i="23"/>
  <c r="V194" i="23"/>
  <c r="V193" i="23"/>
  <c r="Q210" i="23"/>
  <c r="Q209" i="23"/>
  <c r="Q208" i="23"/>
  <c r="Q207" i="23"/>
  <c r="Q206" i="23"/>
  <c r="Q205" i="23"/>
  <c r="Q204" i="23"/>
  <c r="Q203" i="23"/>
  <c r="Q202" i="23"/>
  <c r="Q201" i="23"/>
  <c r="Q200" i="23"/>
  <c r="Q199" i="23"/>
  <c r="Q198" i="23"/>
  <c r="Q197" i="23"/>
  <c r="Q196" i="23"/>
  <c r="Q195" i="23"/>
  <c r="Q194" i="23"/>
  <c r="Q193" i="23"/>
  <c r="O191" i="23"/>
  <c r="L210" i="23"/>
  <c r="L209" i="23"/>
  <c r="L208" i="23"/>
  <c r="L207" i="23"/>
  <c r="L206" i="23"/>
  <c r="L205" i="23"/>
  <c r="L204" i="23"/>
  <c r="L203" i="23"/>
  <c r="L202" i="23"/>
  <c r="L201" i="23"/>
  <c r="L200" i="23"/>
  <c r="L199" i="23"/>
  <c r="L198" i="23"/>
  <c r="L197" i="23"/>
  <c r="L196" i="23"/>
  <c r="L195" i="23"/>
  <c r="L194" i="23"/>
  <c r="L193" i="23"/>
  <c r="FD22" i="40" l="1"/>
  <c r="FC23" i="40"/>
  <c r="FM23" i="40"/>
  <c r="FN22" i="40"/>
  <c r="EO25" i="40"/>
  <c r="EN26" i="40"/>
  <c r="EI25" i="40"/>
  <c r="EJ24" i="40"/>
  <c r="ES25" i="40"/>
  <c r="ET24" i="40"/>
  <c r="EE24" i="40"/>
  <c r="ED25" i="40"/>
  <c r="FR26" i="40"/>
  <c r="FS25" i="40"/>
  <c r="EX28" i="40"/>
  <c r="EY27" i="40"/>
  <c r="FH25" i="40"/>
  <c r="FI24" i="40"/>
  <c r="DZ107" i="40"/>
  <c r="J92" i="27"/>
  <c r="K91" i="27"/>
  <c r="BG62" i="4"/>
  <c r="BB62" i="4"/>
  <c r="AT62" i="4"/>
  <c r="AJ62" i="4"/>
  <c r="J62" i="4"/>
  <c r="BG61" i="4"/>
  <c r="BB61" i="4"/>
  <c r="AT61" i="4"/>
  <c r="AJ61" i="4"/>
  <c r="J61" i="4"/>
  <c r="BG60" i="4"/>
  <c r="BB60" i="4"/>
  <c r="AT60" i="4"/>
  <c r="AJ60" i="4"/>
  <c r="J60" i="4"/>
  <c r="BG59" i="4"/>
  <c r="BB59" i="4"/>
  <c r="AT59" i="4"/>
  <c r="AJ59" i="4"/>
  <c r="J59" i="4"/>
  <c r="BG58" i="4"/>
  <c r="BB58" i="4"/>
  <c r="AT58" i="4"/>
  <c r="AJ58" i="4"/>
  <c r="J58" i="4"/>
  <c r="BG57" i="4"/>
  <c r="BB57" i="4"/>
  <c r="AT57" i="4"/>
  <c r="AJ57" i="4"/>
  <c r="J57" i="4"/>
  <c r="BG56" i="4"/>
  <c r="BB56" i="4"/>
  <c r="AT56" i="4"/>
  <c r="AJ56" i="4"/>
  <c r="J56" i="4"/>
  <c r="BG55" i="4"/>
  <c r="BB55" i="4"/>
  <c r="AT55" i="4"/>
  <c r="AJ55" i="4"/>
  <c r="J55" i="4"/>
  <c r="BG54" i="4"/>
  <c r="BB54" i="4"/>
  <c r="AT54" i="4"/>
  <c r="AJ54" i="4"/>
  <c r="J54" i="4"/>
  <c r="D54" i="4"/>
  <c r="C54" i="4"/>
  <c r="EE25" i="40" l="1"/>
  <c r="ED26" i="40"/>
  <c r="EX29" i="40"/>
  <c r="EY28" i="40"/>
  <c r="EJ25" i="40"/>
  <c r="EI26" i="40"/>
  <c r="FN23" i="40"/>
  <c r="FM24" i="40"/>
  <c r="EO26" i="40"/>
  <c r="EN27" i="40"/>
  <c r="FD23" i="40"/>
  <c r="FC24" i="40"/>
  <c r="FI25" i="40"/>
  <c r="FH26" i="40"/>
  <c r="FS26" i="40"/>
  <c r="FR27" i="40"/>
  <c r="ES26" i="40"/>
  <c r="ET25" i="40"/>
  <c r="DZ108" i="40"/>
  <c r="DZ109" i="40" s="1"/>
  <c r="J93" i="27"/>
  <c r="K92" i="27"/>
  <c r="J138" i="23"/>
  <c r="J137" i="23"/>
  <c r="J136" i="23"/>
  <c r="J135" i="23"/>
  <c r="J134" i="23"/>
  <c r="J133" i="23"/>
  <c r="J132" i="23"/>
  <c r="J131" i="23"/>
  <c r="J130" i="23"/>
  <c r="J129" i="23"/>
  <c r="J128" i="23"/>
  <c r="J127" i="23"/>
  <c r="J126" i="23"/>
  <c r="J125" i="23"/>
  <c r="J124" i="23"/>
  <c r="J123" i="23"/>
  <c r="T179" i="23"/>
  <c r="T178" i="23"/>
  <c r="T177" i="23"/>
  <c r="T176" i="23"/>
  <c r="T175" i="23"/>
  <c r="T174" i="23"/>
  <c r="T173" i="23"/>
  <c r="T172" i="23"/>
  <c r="Y179" i="23"/>
  <c r="Y178" i="23"/>
  <c r="Y177" i="23"/>
  <c r="Y176" i="23"/>
  <c r="Y175" i="23"/>
  <c r="Y174" i="23"/>
  <c r="Y173" i="23"/>
  <c r="Y172" i="23"/>
  <c r="O179" i="23"/>
  <c r="O178" i="23"/>
  <c r="O177" i="23"/>
  <c r="O176" i="23"/>
  <c r="O175" i="23"/>
  <c r="O174" i="23"/>
  <c r="O173" i="23"/>
  <c r="O172" i="23"/>
  <c r="J179" i="23"/>
  <c r="K179" i="23" s="1"/>
  <c r="J178" i="23"/>
  <c r="K178" i="23" s="1"/>
  <c r="J177" i="23"/>
  <c r="U177" i="23" s="1"/>
  <c r="J176" i="23"/>
  <c r="K176" i="23" s="1"/>
  <c r="J175" i="23"/>
  <c r="K175" i="23" s="1"/>
  <c r="J174" i="23"/>
  <c r="K174" i="23" s="1"/>
  <c r="J173" i="23"/>
  <c r="K173" i="23" s="1"/>
  <c r="J172" i="23"/>
  <c r="K172" i="23" s="1"/>
  <c r="L172" i="23" s="1"/>
  <c r="FS27" i="40" l="1"/>
  <c r="FR28" i="40"/>
  <c r="FD24" i="40"/>
  <c r="FC25" i="40"/>
  <c r="FN24" i="40"/>
  <c r="FM25" i="40"/>
  <c r="EX30" i="40"/>
  <c r="EY29" i="40"/>
  <c r="FI26" i="40"/>
  <c r="FH27" i="40"/>
  <c r="EO27" i="40"/>
  <c r="EN28" i="40"/>
  <c r="EJ26" i="40"/>
  <c r="EI27" i="40"/>
  <c r="ED27" i="40"/>
  <c r="EE26" i="40"/>
  <c r="ES27" i="40"/>
  <c r="ET26" i="40"/>
  <c r="DZ110" i="40"/>
  <c r="J94" i="27"/>
  <c r="K93" i="27"/>
  <c r="P176" i="23"/>
  <c r="P175" i="23"/>
  <c r="P179" i="23"/>
  <c r="P173" i="23"/>
  <c r="P177" i="23"/>
  <c r="P172" i="23"/>
  <c r="Q172" i="23" s="1"/>
  <c r="P174" i="23"/>
  <c r="P178" i="23"/>
  <c r="U173" i="23"/>
  <c r="U178" i="23"/>
  <c r="K177" i="23"/>
  <c r="U175" i="23"/>
  <c r="U179" i="23"/>
  <c r="U176" i="23"/>
  <c r="U174" i="23"/>
  <c r="U172" i="23"/>
  <c r="V172" i="23" s="1"/>
  <c r="L173" i="23"/>
  <c r="L174" i="23" s="1"/>
  <c r="T5" i="6"/>
  <c r="AN12" i="6"/>
  <c r="H27" i="23"/>
  <c r="G27" i="23"/>
  <c r="F27" i="23"/>
  <c r="H26" i="23"/>
  <c r="G26" i="23"/>
  <c r="F26" i="23"/>
  <c r="H25" i="23"/>
  <c r="G25" i="23"/>
  <c r="F25" i="23"/>
  <c r="G214" i="1"/>
  <c r="EO28" i="40" l="1"/>
  <c r="EN29" i="40"/>
  <c r="FC26" i="40"/>
  <c r="FD25" i="40"/>
  <c r="EE27" i="40"/>
  <c r="ED28" i="40"/>
  <c r="EX31" i="40"/>
  <c r="EY30" i="40"/>
  <c r="EJ27" i="40"/>
  <c r="EI28" i="40"/>
  <c r="FH28" i="40"/>
  <c r="FI27" i="40"/>
  <c r="FN25" i="40"/>
  <c r="FM26" i="40"/>
  <c r="FR29" i="40"/>
  <c r="FS28" i="40"/>
  <c r="ET27" i="40"/>
  <c r="ES28" i="40"/>
  <c r="DZ111" i="40"/>
  <c r="DZ112" i="40" s="1"/>
  <c r="J95" i="27"/>
  <c r="K94" i="27"/>
  <c r="L175" i="23"/>
  <c r="L176" i="23" s="1"/>
  <c r="L177" i="23" s="1"/>
  <c r="L178" i="23" s="1"/>
  <c r="L179" i="23" s="1"/>
  <c r="Q173" i="23"/>
  <c r="V173" i="23"/>
  <c r="H52" i="23"/>
  <c r="O55" i="23" s="1"/>
  <c r="H51" i="23"/>
  <c r="N51" i="23" s="1"/>
  <c r="H50" i="23"/>
  <c r="H49" i="23"/>
  <c r="J58" i="23"/>
  <c r="J69" i="23" s="1"/>
  <c r="J80" i="23" s="1"/>
  <c r="J57" i="23"/>
  <c r="J68" i="23" s="1"/>
  <c r="J79" i="23" s="1"/>
  <c r="J56" i="23"/>
  <c r="J67" i="23" s="1"/>
  <c r="J78" i="23" s="1"/>
  <c r="J55" i="23"/>
  <c r="J66" i="23" s="1"/>
  <c r="J77" i="23" s="1"/>
  <c r="J54" i="23"/>
  <c r="J65" i="23" s="1"/>
  <c r="J76" i="23" s="1"/>
  <c r="J53" i="23"/>
  <c r="J64" i="23" s="1"/>
  <c r="J75" i="23" s="1"/>
  <c r="J52" i="23"/>
  <c r="J63" i="23" s="1"/>
  <c r="J74" i="23" s="1"/>
  <c r="J51" i="23"/>
  <c r="J62" i="23" s="1"/>
  <c r="J73" i="23" s="1"/>
  <c r="J50" i="23"/>
  <c r="J61" i="23" s="1"/>
  <c r="J72" i="23" s="1"/>
  <c r="J49" i="23"/>
  <c r="J60" i="23" s="1"/>
  <c r="J71" i="23" s="1"/>
  <c r="FS29" i="40" l="1"/>
  <c r="FR30" i="40"/>
  <c r="FH29" i="40"/>
  <c r="FI28" i="40"/>
  <c r="EX32" i="40"/>
  <c r="EY31" i="40"/>
  <c r="FD26" i="40"/>
  <c r="FC27" i="40"/>
  <c r="ES29" i="40"/>
  <c r="ET28" i="40"/>
  <c r="FN26" i="40"/>
  <c r="FM27" i="40"/>
  <c r="EJ28" i="40"/>
  <c r="EI29" i="40"/>
  <c r="ED29" i="40"/>
  <c r="EE28" i="40"/>
  <c r="EO29" i="40"/>
  <c r="EN30" i="40"/>
  <c r="DZ113" i="40"/>
  <c r="J96" i="27"/>
  <c r="K95" i="27"/>
  <c r="L56" i="23"/>
  <c r="C33" i="50"/>
  <c r="C35" i="50"/>
  <c r="C32" i="50"/>
  <c r="C29" i="50"/>
  <c r="C24" i="50"/>
  <c r="C31" i="50"/>
  <c r="C30" i="50"/>
  <c r="C34" i="50"/>
  <c r="C28" i="50"/>
  <c r="Q174" i="23"/>
  <c r="V174" i="23"/>
  <c r="V175" i="23" s="1"/>
  <c r="M58" i="23"/>
  <c r="M53" i="23"/>
  <c r="M49" i="23"/>
  <c r="M55" i="23"/>
  <c r="M51" i="23"/>
  <c r="M56" i="23"/>
  <c r="M52" i="23"/>
  <c r="M57" i="23"/>
  <c r="M50" i="23"/>
  <c r="M54" i="23"/>
  <c r="L49" i="23"/>
  <c r="L53" i="23"/>
  <c r="L57" i="23"/>
  <c r="L50" i="23"/>
  <c r="L54" i="23"/>
  <c r="L58" i="23"/>
  <c r="L51" i="23"/>
  <c r="L55" i="23"/>
  <c r="L52" i="23"/>
  <c r="N54" i="23"/>
  <c r="N58" i="23"/>
  <c r="N50" i="23"/>
  <c r="N55" i="23"/>
  <c r="N52" i="23"/>
  <c r="N56" i="23"/>
  <c r="N49" i="23"/>
  <c r="N53" i="23"/>
  <c r="N57" i="23"/>
  <c r="O56" i="23"/>
  <c r="O52" i="23"/>
  <c r="O49" i="23"/>
  <c r="O53" i="23"/>
  <c r="O57" i="23"/>
  <c r="O50" i="23"/>
  <c r="O54" i="23"/>
  <c r="O58" i="23"/>
  <c r="O51" i="23"/>
  <c r="R62" i="1"/>
  <c r="C160" i="71" l="1"/>
  <c r="D15" i="71"/>
  <c r="E15" i="71" s="1"/>
  <c r="AG30" i="23"/>
  <c r="AG32" i="23"/>
  <c r="AG34" i="23"/>
  <c r="AG29" i="23"/>
  <c r="AG31" i="23"/>
  <c r="AG33" i="23"/>
  <c r="FN27" i="40"/>
  <c r="FM28" i="40"/>
  <c r="FD27" i="40"/>
  <c r="FC28" i="40"/>
  <c r="EE29" i="40"/>
  <c r="ED30" i="40"/>
  <c r="FI29" i="40"/>
  <c r="FH30" i="40"/>
  <c r="EN31" i="40"/>
  <c r="EO30" i="40"/>
  <c r="EJ29" i="40"/>
  <c r="EI30" i="40"/>
  <c r="FR31" i="40"/>
  <c r="FS30" i="40"/>
  <c r="ET29" i="40"/>
  <c r="ES30" i="40"/>
  <c r="EX33" i="40"/>
  <c r="EY32" i="40"/>
  <c r="DZ114" i="40"/>
  <c r="DZ115" i="40" s="1"/>
  <c r="J97" i="27"/>
  <c r="K96" i="27"/>
  <c r="V176" i="23"/>
  <c r="V177" i="23" s="1"/>
  <c r="Q175" i="23"/>
  <c r="Q176" i="23" s="1"/>
  <c r="Q177" i="23" s="1"/>
  <c r="Q178" i="23" s="1"/>
  <c r="T15" i="71" l="1"/>
  <c r="U15" i="71" s="1"/>
  <c r="F15" i="71"/>
  <c r="L163" i="71"/>
  <c r="L162" i="71"/>
  <c r="L161" i="71"/>
  <c r="D160" i="71"/>
  <c r="E160" i="71"/>
  <c r="L160" i="71"/>
  <c r="D161" i="71"/>
  <c r="F161" i="71" s="1"/>
  <c r="D165" i="71"/>
  <c r="F165" i="71" s="1"/>
  <c r="D173" i="71"/>
  <c r="F173" i="71" s="1"/>
  <c r="D163" i="71"/>
  <c r="F163" i="71" s="1"/>
  <c r="D171" i="71"/>
  <c r="F171" i="71" s="1"/>
  <c r="D164" i="71"/>
  <c r="F164" i="71" s="1"/>
  <c r="D166" i="71"/>
  <c r="F166" i="71" s="1"/>
  <c r="D170" i="71"/>
  <c r="F170" i="71" s="1"/>
  <c r="D174" i="71"/>
  <c r="F174" i="71" s="1"/>
  <c r="D169" i="71"/>
  <c r="F169" i="71" s="1"/>
  <c r="D177" i="71"/>
  <c r="F177" i="71" s="1"/>
  <c r="D167" i="71"/>
  <c r="F167" i="71" s="1"/>
  <c r="D175" i="71"/>
  <c r="F175" i="71" s="1"/>
  <c r="D179" i="71"/>
  <c r="F179" i="71" s="1"/>
  <c r="D162" i="71"/>
  <c r="F162" i="71" s="1"/>
  <c r="D168" i="71"/>
  <c r="F168" i="71" s="1"/>
  <c r="D172" i="71"/>
  <c r="F172" i="71" s="1"/>
  <c r="D176" i="71"/>
  <c r="F176" i="71" s="1"/>
  <c r="D178" i="71"/>
  <c r="F178" i="71" s="1"/>
  <c r="ET30" i="40"/>
  <c r="ES31" i="40"/>
  <c r="EI31" i="40"/>
  <c r="EJ30" i="40"/>
  <c r="FI30" i="40"/>
  <c r="FH31" i="40"/>
  <c r="FD28" i="40"/>
  <c r="FC29" i="40"/>
  <c r="EE30" i="40"/>
  <c r="ED31" i="40"/>
  <c r="FN28" i="40"/>
  <c r="FM29" i="40"/>
  <c r="EX34" i="40"/>
  <c r="EY33" i="40"/>
  <c r="FS31" i="40"/>
  <c r="FR32" i="40"/>
  <c r="EO31" i="40"/>
  <c r="EN32" i="40"/>
  <c r="DZ116" i="40"/>
  <c r="J98" i="27"/>
  <c r="K97" i="27"/>
  <c r="V178" i="23"/>
  <c r="V179" i="23" s="1"/>
  <c r="Q179" i="23"/>
  <c r="F160" i="71" l="1"/>
  <c r="J160" i="71" s="1"/>
  <c r="N163" i="71" s="1"/>
  <c r="O163" i="71" s="1"/>
  <c r="P163" i="71" s="1"/>
  <c r="J176" i="71"/>
  <c r="N227" i="71" s="1"/>
  <c r="O227" i="71" s="1"/>
  <c r="P227" i="71" s="1"/>
  <c r="H176" i="71"/>
  <c r="N225" i="71" s="1"/>
  <c r="O225" i="71" s="1"/>
  <c r="P225" i="71" s="1"/>
  <c r="G176" i="71"/>
  <c r="N224" i="71" s="1"/>
  <c r="O224" i="71" s="1"/>
  <c r="I176" i="71"/>
  <c r="N226" i="71" s="1"/>
  <c r="O226" i="71" s="1"/>
  <c r="P226" i="71" s="1"/>
  <c r="J168" i="71"/>
  <c r="N195" i="71" s="1"/>
  <c r="O195" i="71" s="1"/>
  <c r="P195" i="71" s="1"/>
  <c r="H168" i="71"/>
  <c r="N193" i="71" s="1"/>
  <c r="O193" i="71" s="1"/>
  <c r="P193" i="71" s="1"/>
  <c r="G168" i="71"/>
  <c r="N192" i="71" s="1"/>
  <c r="O192" i="71" s="1"/>
  <c r="P192" i="71" s="1"/>
  <c r="I168" i="71"/>
  <c r="N194" i="71" s="1"/>
  <c r="O194" i="71" s="1"/>
  <c r="P194" i="71" s="1"/>
  <c r="J179" i="71"/>
  <c r="N239" i="71" s="1"/>
  <c r="O239" i="71" s="1"/>
  <c r="P239" i="71" s="1"/>
  <c r="H179" i="71"/>
  <c r="N237" i="71" s="1"/>
  <c r="O237" i="71" s="1"/>
  <c r="P237" i="71" s="1"/>
  <c r="I179" i="71"/>
  <c r="N238" i="71" s="1"/>
  <c r="O238" i="71" s="1"/>
  <c r="P238" i="71" s="1"/>
  <c r="G179" i="71"/>
  <c r="N236" i="71" s="1"/>
  <c r="O236" i="71" s="1"/>
  <c r="J167" i="71"/>
  <c r="N191" i="71" s="1"/>
  <c r="O191" i="71" s="1"/>
  <c r="P191" i="71" s="1"/>
  <c r="H167" i="71"/>
  <c r="N189" i="71" s="1"/>
  <c r="O189" i="71" s="1"/>
  <c r="P189" i="71" s="1"/>
  <c r="I167" i="71"/>
  <c r="N190" i="71" s="1"/>
  <c r="O190" i="71" s="1"/>
  <c r="P190" i="71" s="1"/>
  <c r="G167" i="71"/>
  <c r="N188" i="71" s="1"/>
  <c r="O188" i="71" s="1"/>
  <c r="J169" i="71"/>
  <c r="N199" i="71" s="1"/>
  <c r="O199" i="71" s="1"/>
  <c r="P199" i="71" s="1"/>
  <c r="H169" i="71"/>
  <c r="N197" i="71" s="1"/>
  <c r="O197" i="71" s="1"/>
  <c r="P197" i="71" s="1"/>
  <c r="I169" i="71"/>
  <c r="N198" i="71" s="1"/>
  <c r="O198" i="71" s="1"/>
  <c r="P198" i="71" s="1"/>
  <c r="G169" i="71"/>
  <c r="N196" i="71" s="1"/>
  <c r="O196" i="71" s="1"/>
  <c r="J170" i="71"/>
  <c r="N203" i="71" s="1"/>
  <c r="O203" i="71" s="1"/>
  <c r="P203" i="71" s="1"/>
  <c r="H170" i="71"/>
  <c r="N201" i="71" s="1"/>
  <c r="O201" i="71" s="1"/>
  <c r="P201" i="71" s="1"/>
  <c r="G170" i="71"/>
  <c r="N200" i="71" s="1"/>
  <c r="O200" i="71" s="1"/>
  <c r="P200" i="71" s="1"/>
  <c r="I170" i="71"/>
  <c r="N202" i="71" s="1"/>
  <c r="O202" i="71" s="1"/>
  <c r="P202" i="71" s="1"/>
  <c r="J164" i="71"/>
  <c r="N179" i="71" s="1"/>
  <c r="O179" i="71" s="1"/>
  <c r="P179" i="71" s="1"/>
  <c r="H164" i="71"/>
  <c r="N177" i="71" s="1"/>
  <c r="O177" i="71" s="1"/>
  <c r="G164" i="71"/>
  <c r="N176" i="71" s="1"/>
  <c r="O176" i="71" s="1"/>
  <c r="I164" i="71"/>
  <c r="N178" i="71" s="1"/>
  <c r="O178" i="71" s="1"/>
  <c r="P178" i="71" s="1"/>
  <c r="J163" i="71"/>
  <c r="N175" i="71" s="1"/>
  <c r="O175" i="71" s="1"/>
  <c r="P175" i="71" s="1"/>
  <c r="H163" i="71"/>
  <c r="N173" i="71" s="1"/>
  <c r="O173" i="71" s="1"/>
  <c r="P173" i="71" s="1"/>
  <c r="I163" i="71"/>
  <c r="N174" i="71" s="1"/>
  <c r="O174" i="71" s="1"/>
  <c r="P174" i="71" s="1"/>
  <c r="G163" i="71"/>
  <c r="N172" i="71" s="1"/>
  <c r="O172" i="71" s="1"/>
  <c r="J165" i="71"/>
  <c r="N183" i="71" s="1"/>
  <c r="O183" i="71" s="1"/>
  <c r="P183" i="71" s="1"/>
  <c r="H165" i="71"/>
  <c r="N181" i="71" s="1"/>
  <c r="O181" i="71" s="1"/>
  <c r="P181" i="71" s="1"/>
  <c r="I165" i="71"/>
  <c r="N182" i="71" s="1"/>
  <c r="O182" i="71" s="1"/>
  <c r="P182" i="71" s="1"/>
  <c r="G165" i="71"/>
  <c r="N180" i="71" s="1"/>
  <c r="O180" i="71" s="1"/>
  <c r="J178" i="71"/>
  <c r="N235" i="71" s="1"/>
  <c r="O235" i="71" s="1"/>
  <c r="P235" i="71" s="1"/>
  <c r="H178" i="71"/>
  <c r="N233" i="71" s="1"/>
  <c r="O233" i="71" s="1"/>
  <c r="P233" i="71" s="1"/>
  <c r="G178" i="71"/>
  <c r="N232" i="71" s="1"/>
  <c r="O232" i="71" s="1"/>
  <c r="I178" i="71"/>
  <c r="N234" i="71" s="1"/>
  <c r="O234" i="71" s="1"/>
  <c r="P234" i="71" s="1"/>
  <c r="J172" i="71"/>
  <c r="N211" i="71" s="1"/>
  <c r="O211" i="71" s="1"/>
  <c r="P211" i="71" s="1"/>
  <c r="H172" i="71"/>
  <c r="N209" i="71" s="1"/>
  <c r="O209" i="71" s="1"/>
  <c r="P209" i="71" s="1"/>
  <c r="G172" i="71"/>
  <c r="N208" i="71" s="1"/>
  <c r="O208" i="71" s="1"/>
  <c r="I172" i="71"/>
  <c r="N210" i="71" s="1"/>
  <c r="O210" i="71" s="1"/>
  <c r="P210" i="71" s="1"/>
  <c r="J162" i="71"/>
  <c r="N171" i="71" s="1"/>
  <c r="O171" i="71" s="1"/>
  <c r="H162" i="71"/>
  <c r="N169" i="71" s="1"/>
  <c r="O169" i="71" s="1"/>
  <c r="G162" i="71"/>
  <c r="N168" i="71" s="1"/>
  <c r="O168" i="71" s="1"/>
  <c r="I162" i="71"/>
  <c r="N170" i="71" s="1"/>
  <c r="O170" i="71" s="1"/>
  <c r="J175" i="71"/>
  <c r="N223" i="71" s="1"/>
  <c r="O223" i="71" s="1"/>
  <c r="P223" i="71" s="1"/>
  <c r="H175" i="71"/>
  <c r="N221" i="71" s="1"/>
  <c r="O221" i="71" s="1"/>
  <c r="P221" i="71" s="1"/>
  <c r="I175" i="71"/>
  <c r="N222" i="71" s="1"/>
  <c r="O222" i="71" s="1"/>
  <c r="P222" i="71" s="1"/>
  <c r="G175" i="71"/>
  <c r="N220" i="71" s="1"/>
  <c r="O220" i="71" s="1"/>
  <c r="J177" i="71"/>
  <c r="N231" i="71" s="1"/>
  <c r="O231" i="71" s="1"/>
  <c r="P231" i="71" s="1"/>
  <c r="H177" i="71"/>
  <c r="N229" i="71" s="1"/>
  <c r="O229" i="71" s="1"/>
  <c r="P229" i="71" s="1"/>
  <c r="I177" i="71"/>
  <c r="N230" i="71" s="1"/>
  <c r="O230" i="71" s="1"/>
  <c r="P230" i="71" s="1"/>
  <c r="G177" i="71"/>
  <c r="N228" i="71" s="1"/>
  <c r="O228" i="71" s="1"/>
  <c r="J174" i="71"/>
  <c r="N219" i="71" s="1"/>
  <c r="O219" i="71" s="1"/>
  <c r="P219" i="71" s="1"/>
  <c r="H174" i="71"/>
  <c r="N217" i="71" s="1"/>
  <c r="O217" i="71" s="1"/>
  <c r="P217" i="71" s="1"/>
  <c r="G174" i="71"/>
  <c r="N216" i="71" s="1"/>
  <c r="O216" i="71" s="1"/>
  <c r="I174" i="71"/>
  <c r="N218" i="71" s="1"/>
  <c r="O218" i="71" s="1"/>
  <c r="P218" i="71" s="1"/>
  <c r="J166" i="71"/>
  <c r="N187" i="71" s="1"/>
  <c r="O187" i="71" s="1"/>
  <c r="P187" i="71" s="1"/>
  <c r="H166" i="71"/>
  <c r="N185" i="71" s="1"/>
  <c r="O185" i="71" s="1"/>
  <c r="P185" i="71" s="1"/>
  <c r="G166" i="71"/>
  <c r="N184" i="71" s="1"/>
  <c r="O184" i="71" s="1"/>
  <c r="I166" i="71"/>
  <c r="N186" i="71" s="1"/>
  <c r="O186" i="71" s="1"/>
  <c r="P186" i="71" s="1"/>
  <c r="J171" i="71"/>
  <c r="N207" i="71" s="1"/>
  <c r="O207" i="71" s="1"/>
  <c r="P207" i="71" s="1"/>
  <c r="H171" i="71"/>
  <c r="N205" i="71" s="1"/>
  <c r="O205" i="71" s="1"/>
  <c r="P205" i="71" s="1"/>
  <c r="I171" i="71"/>
  <c r="N206" i="71" s="1"/>
  <c r="O206" i="71" s="1"/>
  <c r="P206" i="71" s="1"/>
  <c r="G171" i="71"/>
  <c r="N204" i="71" s="1"/>
  <c r="O204" i="71" s="1"/>
  <c r="J173" i="71"/>
  <c r="N215" i="71" s="1"/>
  <c r="O215" i="71" s="1"/>
  <c r="P215" i="71" s="1"/>
  <c r="H173" i="71"/>
  <c r="N213" i="71" s="1"/>
  <c r="O213" i="71" s="1"/>
  <c r="P213" i="71" s="1"/>
  <c r="I173" i="71"/>
  <c r="N214" i="71" s="1"/>
  <c r="O214" i="71" s="1"/>
  <c r="P214" i="71" s="1"/>
  <c r="G173" i="71"/>
  <c r="N212" i="71" s="1"/>
  <c r="O212" i="71" s="1"/>
  <c r="J161" i="71"/>
  <c r="N167" i="71" s="1"/>
  <c r="O167" i="71" s="1"/>
  <c r="P167" i="71" s="1"/>
  <c r="H161" i="71"/>
  <c r="N165" i="71" s="1"/>
  <c r="O165" i="71" s="1"/>
  <c r="I161" i="71"/>
  <c r="N166" i="71" s="1"/>
  <c r="O166" i="71" s="1"/>
  <c r="P166" i="71" s="1"/>
  <c r="G161" i="71"/>
  <c r="N164" i="71" s="1"/>
  <c r="O164" i="71" s="1"/>
  <c r="H160" i="71"/>
  <c r="N161" i="71" s="1"/>
  <c r="O161" i="71" s="1"/>
  <c r="G160" i="71"/>
  <c r="N160" i="71" s="1"/>
  <c r="O160" i="71" s="1"/>
  <c r="P160" i="71" s="1"/>
  <c r="FS32" i="40"/>
  <c r="FR33" i="40"/>
  <c r="FN29" i="40"/>
  <c r="FM30" i="40"/>
  <c r="FD29" i="40"/>
  <c r="FC30" i="40"/>
  <c r="EJ31" i="40"/>
  <c r="EI32" i="40"/>
  <c r="EN33" i="40"/>
  <c r="EO32" i="40"/>
  <c r="EE31" i="40"/>
  <c r="ED32" i="40"/>
  <c r="FH32" i="40"/>
  <c r="FI31" i="40"/>
  <c r="ET31" i="40"/>
  <c r="ES32" i="40"/>
  <c r="EX35" i="40"/>
  <c r="EY34" i="40"/>
  <c r="DZ117" i="40"/>
  <c r="DZ118" i="40" s="1"/>
  <c r="DZ119" i="40" s="1"/>
  <c r="DZ120" i="40" s="1"/>
  <c r="DZ121" i="40" s="1"/>
  <c r="J99" i="27"/>
  <c r="K98" i="27"/>
  <c r="O9" i="23"/>
  <c r="O8" i="23"/>
  <c r="O7" i="23"/>
  <c r="O6" i="23"/>
  <c r="O4" i="23"/>
  <c r="O5" i="23"/>
  <c r="P161" i="71" l="1"/>
  <c r="I160" i="71"/>
  <c r="N162" i="71" s="1"/>
  <c r="O162" i="71" s="1"/>
  <c r="P162" i="71" s="1"/>
  <c r="I304" i="1" s="1"/>
  <c r="ES33" i="40"/>
  <c r="ET32" i="40"/>
  <c r="ED33" i="40"/>
  <c r="EE32" i="40"/>
  <c r="EJ32" i="40"/>
  <c r="EI33" i="40"/>
  <c r="FN30" i="40"/>
  <c r="FM31" i="40"/>
  <c r="FD30" i="40"/>
  <c r="FC31" i="40"/>
  <c r="FR34" i="40"/>
  <c r="FS33" i="40"/>
  <c r="EX36" i="40"/>
  <c r="EY35" i="40"/>
  <c r="FH33" i="40"/>
  <c r="FI32" i="40"/>
  <c r="EN34" i="40"/>
  <c r="EO33" i="40"/>
  <c r="DZ122" i="40"/>
  <c r="DZ123" i="40" s="1"/>
  <c r="J100" i="27"/>
  <c r="K99" i="27"/>
  <c r="AG12" i="23"/>
  <c r="AG8" i="23"/>
  <c r="AG9" i="23"/>
  <c r="W45" i="23"/>
  <c r="W22" i="23"/>
  <c r="W30" i="23"/>
  <c r="W46" i="23"/>
  <c r="W54" i="23"/>
  <c r="W33" i="23"/>
  <c r="W57" i="23"/>
  <c r="W23" i="23"/>
  <c r="W35" i="23"/>
  <c r="W55" i="23"/>
  <c r="W44" i="23"/>
  <c r="O102" i="3"/>
  <c r="O101" i="3"/>
  <c r="O100" i="3"/>
  <c r="O99" i="3"/>
  <c r="O98" i="3"/>
  <c r="O97" i="3"/>
  <c r="O96" i="3"/>
  <c r="O95" i="3"/>
  <c r="O94" i="3"/>
  <c r="O93" i="3"/>
  <c r="O92" i="3"/>
  <c r="O91" i="3"/>
  <c r="O90" i="3"/>
  <c r="O89" i="3"/>
  <c r="O88" i="3"/>
  <c r="O87" i="3"/>
  <c r="O86" i="3"/>
  <c r="O85" i="3"/>
  <c r="O84" i="3"/>
  <c r="O83" i="3"/>
  <c r="O82" i="3"/>
  <c r="O81" i="3"/>
  <c r="O80" i="3"/>
  <c r="O79" i="3"/>
  <c r="O78" i="3"/>
  <c r="O77" i="3"/>
  <c r="O76" i="3"/>
  <c r="O75" i="3"/>
  <c r="O74" i="3"/>
  <c r="O73" i="3"/>
  <c r="O72" i="3"/>
  <c r="O71" i="3"/>
  <c r="O70" i="3"/>
  <c r="O69" i="3"/>
  <c r="O68" i="3"/>
  <c r="O67" i="3"/>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O33" i="3"/>
  <c r="O32" i="3"/>
  <c r="O31" i="3"/>
  <c r="O30" i="3"/>
  <c r="O29" i="3"/>
  <c r="O28" i="3"/>
  <c r="O27" i="3"/>
  <c r="O26" i="3"/>
  <c r="O25" i="3"/>
  <c r="O24" i="3"/>
  <c r="O23" i="3"/>
  <c r="O22" i="3"/>
  <c r="O21" i="3"/>
  <c r="O20" i="3"/>
  <c r="O19" i="3"/>
  <c r="O18" i="3"/>
  <c r="O17" i="3"/>
  <c r="O16" i="3"/>
  <c r="O15" i="3"/>
  <c r="O14" i="3"/>
  <c r="O13" i="3"/>
  <c r="O12" i="3"/>
  <c r="O11" i="3"/>
  <c r="O10" i="3"/>
  <c r="O9" i="3"/>
  <c r="O8" i="3"/>
  <c r="O7" i="3"/>
  <c r="O6" i="3"/>
  <c r="O5" i="3"/>
  <c r="O4" i="3"/>
  <c r="O3" i="3"/>
  <c r="P164" i="71" l="1"/>
  <c r="FN31" i="40"/>
  <c r="FM32" i="40"/>
  <c r="FI33" i="40"/>
  <c r="FH34" i="40"/>
  <c r="FS34" i="40"/>
  <c r="FR35" i="40"/>
  <c r="ED34" i="40"/>
  <c r="EE33" i="40"/>
  <c r="FD31" i="40"/>
  <c r="FC32" i="40"/>
  <c r="EI34" i="40"/>
  <c r="EJ33" i="40"/>
  <c r="EN35" i="40"/>
  <c r="EO34" i="40"/>
  <c r="EX37" i="40"/>
  <c r="EY36" i="40"/>
  <c r="ES34" i="40"/>
  <c r="ET33" i="40"/>
  <c r="DZ124" i="40"/>
  <c r="DZ125" i="40" s="1"/>
  <c r="DZ126" i="40" s="1"/>
  <c r="J101" i="27"/>
  <c r="K100" i="27"/>
  <c r="J14" i="6"/>
  <c r="J13" i="6"/>
  <c r="J12" i="6"/>
  <c r="J11" i="6"/>
  <c r="J10" i="6"/>
  <c r="J9" i="6"/>
  <c r="J8" i="6"/>
  <c r="J7" i="6"/>
  <c r="J6" i="6"/>
  <c r="J5" i="6"/>
  <c r="J3" i="6"/>
  <c r="J2" i="6"/>
  <c r="J4" i="6"/>
  <c r="AJ41" i="18"/>
  <c r="AJ40" i="18"/>
  <c r="AI41" i="18"/>
  <c r="P165" i="71" l="1"/>
  <c r="FI34" i="40"/>
  <c r="FH35" i="40"/>
  <c r="EX38" i="40"/>
  <c r="EY37" i="40"/>
  <c r="EJ34" i="40"/>
  <c r="EI35" i="40"/>
  <c r="EE34" i="40"/>
  <c r="ED35" i="40"/>
  <c r="FD32" i="40"/>
  <c r="FC33" i="40"/>
  <c r="FS35" i="40"/>
  <c r="FR36" i="40"/>
  <c r="FN32" i="40"/>
  <c r="FM33" i="40"/>
  <c r="ES35" i="40"/>
  <c r="ET34" i="40"/>
  <c r="EO35" i="40"/>
  <c r="EN36" i="40"/>
  <c r="DZ127" i="40"/>
  <c r="DZ128" i="40" s="1"/>
  <c r="DZ129" i="40" s="1"/>
  <c r="J102" i="27"/>
  <c r="K101" i="27"/>
  <c r="Q12" i="23"/>
  <c r="P12" i="23"/>
  <c r="O12" i="23"/>
  <c r="N12" i="23"/>
  <c r="M12" i="23"/>
  <c r="L12" i="23"/>
  <c r="P168" i="71" l="1"/>
  <c r="FS36" i="40"/>
  <c r="FR37" i="40"/>
  <c r="EE35" i="40"/>
  <c r="ED36" i="40"/>
  <c r="ES36" i="40"/>
  <c r="ET35" i="40"/>
  <c r="EX39" i="40"/>
  <c r="EY38" i="40"/>
  <c r="EN37" i="40"/>
  <c r="EO36" i="40"/>
  <c r="FN33" i="40"/>
  <c r="FM34" i="40"/>
  <c r="FD33" i="40"/>
  <c r="FC34" i="40"/>
  <c r="EI36" i="40"/>
  <c r="EJ35" i="40"/>
  <c r="FH36" i="40"/>
  <c r="FI35" i="40"/>
  <c r="DZ130" i="40"/>
  <c r="J103" i="27"/>
  <c r="K102" i="27"/>
  <c r="AT53" i="4"/>
  <c r="AT52" i="4"/>
  <c r="AT51" i="4"/>
  <c r="AT50" i="4"/>
  <c r="AT49" i="4"/>
  <c r="AT48" i="4"/>
  <c r="AT47" i="4"/>
  <c r="AT46" i="4"/>
  <c r="AT45" i="4"/>
  <c r="AT44" i="4"/>
  <c r="AT43" i="4"/>
  <c r="AT42" i="4"/>
  <c r="AT41" i="4"/>
  <c r="AT40" i="4"/>
  <c r="AT39" i="4"/>
  <c r="AT38" i="4"/>
  <c r="AT37" i="4"/>
  <c r="AT36" i="4"/>
  <c r="AT35" i="4"/>
  <c r="AT34" i="4"/>
  <c r="AT33" i="4"/>
  <c r="AT32" i="4"/>
  <c r="AT31" i="4"/>
  <c r="AT30" i="4"/>
  <c r="AT29" i="4"/>
  <c r="AT28" i="4"/>
  <c r="AT27" i="4"/>
  <c r="AT26" i="4"/>
  <c r="AT25" i="4"/>
  <c r="AT24" i="4"/>
  <c r="AT23" i="4"/>
  <c r="AT22" i="4"/>
  <c r="AT21" i="4"/>
  <c r="AT20" i="4"/>
  <c r="AT19" i="4"/>
  <c r="AT18" i="4"/>
  <c r="AT17" i="4"/>
  <c r="AT16" i="4"/>
  <c r="AT15" i="4"/>
  <c r="AT14" i="4"/>
  <c r="AT13" i="4"/>
  <c r="AT12" i="4"/>
  <c r="AT11" i="4"/>
  <c r="AT10" i="4"/>
  <c r="AT9" i="4"/>
  <c r="AT8" i="4"/>
  <c r="AT7" i="4"/>
  <c r="AT6" i="4"/>
  <c r="AT5" i="4"/>
  <c r="AT4" i="4"/>
  <c r="AT3" i="4"/>
  <c r="AT2" i="4"/>
  <c r="AJ53" i="4"/>
  <c r="J53" i="4"/>
  <c r="J51" i="4"/>
  <c r="J50" i="4"/>
  <c r="J49" i="4"/>
  <c r="BG101" i="4"/>
  <c r="BG100" i="4"/>
  <c r="BG99" i="4"/>
  <c r="BG98" i="4"/>
  <c r="BG97" i="4"/>
  <c r="BG96" i="4"/>
  <c r="BG95" i="4"/>
  <c r="BG94" i="4"/>
  <c r="BG93" i="4"/>
  <c r="BG92" i="4"/>
  <c r="BG91" i="4"/>
  <c r="BG90" i="4"/>
  <c r="BG89" i="4"/>
  <c r="BG88" i="4"/>
  <c r="BG87" i="4"/>
  <c r="BG86" i="4"/>
  <c r="BG85" i="4"/>
  <c r="BG84" i="4"/>
  <c r="BG83" i="4"/>
  <c r="BG82" i="4"/>
  <c r="BG81" i="4"/>
  <c r="BG80" i="4"/>
  <c r="BG79" i="4"/>
  <c r="BG78" i="4"/>
  <c r="BG77" i="4"/>
  <c r="BG76" i="4"/>
  <c r="BG75" i="4"/>
  <c r="BG74" i="4"/>
  <c r="BG73" i="4"/>
  <c r="BG72" i="4"/>
  <c r="BG71" i="4"/>
  <c r="BG70" i="4"/>
  <c r="BG69" i="4"/>
  <c r="BG68" i="4"/>
  <c r="BG67" i="4"/>
  <c r="BG66" i="4"/>
  <c r="BG65" i="4"/>
  <c r="BG64" i="4"/>
  <c r="BG63" i="4"/>
  <c r="BG53" i="4"/>
  <c r="BG52" i="4"/>
  <c r="BG51" i="4"/>
  <c r="BG50" i="4"/>
  <c r="BG49" i="4"/>
  <c r="BG48" i="4"/>
  <c r="BG47" i="4"/>
  <c r="BG46" i="4"/>
  <c r="BG45" i="4"/>
  <c r="BG44" i="4"/>
  <c r="BG43" i="4"/>
  <c r="BG42" i="4"/>
  <c r="BG41" i="4"/>
  <c r="BG40" i="4"/>
  <c r="BG39" i="4"/>
  <c r="BG38" i="4"/>
  <c r="BG37" i="4"/>
  <c r="BG36" i="4"/>
  <c r="BG35" i="4"/>
  <c r="BG34" i="4"/>
  <c r="BG33" i="4"/>
  <c r="BG32" i="4"/>
  <c r="BG31" i="4"/>
  <c r="BG30" i="4"/>
  <c r="BG29" i="4"/>
  <c r="BG28" i="4"/>
  <c r="BG27" i="4"/>
  <c r="BG26" i="4"/>
  <c r="BG25" i="4"/>
  <c r="BG24" i="4"/>
  <c r="BG23" i="4"/>
  <c r="BG22" i="4"/>
  <c r="BG21" i="4"/>
  <c r="BG20" i="4"/>
  <c r="BG19" i="4"/>
  <c r="BG18" i="4"/>
  <c r="BG17" i="4"/>
  <c r="BG16" i="4"/>
  <c r="BG15" i="4"/>
  <c r="BG14" i="4"/>
  <c r="BG13" i="4"/>
  <c r="BG12" i="4"/>
  <c r="BG11" i="4"/>
  <c r="BG10" i="4"/>
  <c r="BG9" i="4"/>
  <c r="BG8" i="4"/>
  <c r="BG7" i="4"/>
  <c r="BG6" i="4"/>
  <c r="BG5" i="4"/>
  <c r="BG4" i="4"/>
  <c r="BG3" i="4"/>
  <c r="BG2" i="4"/>
  <c r="AJ52" i="4"/>
  <c r="AJ51" i="4"/>
  <c r="AJ50" i="4"/>
  <c r="AJ49" i="4"/>
  <c r="AJ48" i="4"/>
  <c r="AJ47" i="4"/>
  <c r="AJ46" i="4"/>
  <c r="AJ45" i="4"/>
  <c r="AJ44" i="4"/>
  <c r="AJ43" i="4"/>
  <c r="AJ42" i="4"/>
  <c r="AJ41" i="4"/>
  <c r="AJ40" i="4"/>
  <c r="AJ39" i="4"/>
  <c r="AJ38" i="4"/>
  <c r="AJ37" i="4"/>
  <c r="AJ36" i="4"/>
  <c r="AJ35" i="4"/>
  <c r="AJ34" i="4"/>
  <c r="AJ33" i="4"/>
  <c r="AJ32" i="4"/>
  <c r="AJ31" i="4"/>
  <c r="AJ30" i="4"/>
  <c r="AJ29" i="4"/>
  <c r="AJ28" i="4"/>
  <c r="AJ27" i="4"/>
  <c r="AJ26" i="4"/>
  <c r="AJ25" i="4"/>
  <c r="AJ24" i="4"/>
  <c r="AJ23" i="4"/>
  <c r="AJ22" i="4"/>
  <c r="AJ21" i="4"/>
  <c r="AJ20" i="4"/>
  <c r="AJ19" i="4"/>
  <c r="AJ18" i="4"/>
  <c r="AJ17" i="4"/>
  <c r="AJ16" i="4"/>
  <c r="AJ15" i="4"/>
  <c r="AJ14" i="4"/>
  <c r="AJ13" i="4"/>
  <c r="AJ12" i="4"/>
  <c r="AJ11" i="4"/>
  <c r="AJ10" i="4"/>
  <c r="AJ9" i="4"/>
  <c r="AJ8" i="4"/>
  <c r="AJ7" i="4"/>
  <c r="AJ6" i="4"/>
  <c r="AJ5" i="4"/>
  <c r="AJ4" i="4"/>
  <c r="AJ3" i="4"/>
  <c r="AJ2" i="4"/>
  <c r="J52" i="4"/>
  <c r="P169" i="71" l="1"/>
  <c r="AG306" i="1"/>
  <c r="AG305" i="1"/>
  <c r="FN34" i="40"/>
  <c r="FM35" i="40"/>
  <c r="ED37" i="40"/>
  <c r="EE36" i="40"/>
  <c r="EJ36" i="40"/>
  <c r="EI37" i="40"/>
  <c r="EX40" i="40"/>
  <c r="EY39" i="40"/>
  <c r="FD34" i="40"/>
  <c r="FC35" i="40"/>
  <c r="FR38" i="40"/>
  <c r="FS37" i="40"/>
  <c r="FH37" i="40"/>
  <c r="FI36" i="40"/>
  <c r="EN38" i="40"/>
  <c r="EO37" i="40"/>
  <c r="ES37" i="40"/>
  <c r="ET36" i="40"/>
  <c r="DZ131" i="40"/>
  <c r="DZ132" i="40" s="1"/>
  <c r="J104" i="27"/>
  <c r="K103" i="27"/>
  <c r="CF14" i="6"/>
  <c r="CF13" i="6"/>
  <c r="CF12" i="6"/>
  <c r="CF11" i="6"/>
  <c r="CF10" i="6"/>
  <c r="CF9" i="6"/>
  <c r="CF8" i="6"/>
  <c r="CF7" i="6"/>
  <c r="CF6" i="6"/>
  <c r="CF5" i="6"/>
  <c r="CF4" i="6"/>
  <c r="CF3" i="6"/>
  <c r="CF2" i="6"/>
  <c r="E17" i="6"/>
  <c r="E16" i="6"/>
  <c r="E15" i="6"/>
  <c r="E14" i="6"/>
  <c r="E13" i="6"/>
  <c r="E12" i="6"/>
  <c r="E11" i="6"/>
  <c r="E10" i="6"/>
  <c r="E9" i="6"/>
  <c r="E8" i="6"/>
  <c r="E7" i="6"/>
  <c r="E6" i="6"/>
  <c r="E5" i="6"/>
  <c r="E4" i="6"/>
  <c r="E3" i="6"/>
  <c r="E2" i="6"/>
  <c r="BB48" i="4"/>
  <c r="BB47" i="4"/>
  <c r="BB46" i="4"/>
  <c r="BB45" i="4"/>
  <c r="BB44" i="4"/>
  <c r="BB43" i="4"/>
  <c r="BB42" i="4"/>
  <c r="BB41" i="4"/>
  <c r="BB40" i="4"/>
  <c r="BB39" i="4"/>
  <c r="BB38" i="4"/>
  <c r="BB37" i="4"/>
  <c r="BB36" i="4"/>
  <c r="BB35" i="4"/>
  <c r="BB34" i="4"/>
  <c r="BB33" i="4"/>
  <c r="BB32" i="4"/>
  <c r="BB31" i="4"/>
  <c r="BB30" i="4"/>
  <c r="BB29" i="4"/>
  <c r="BB28" i="4"/>
  <c r="BB27" i="4"/>
  <c r="BB26" i="4"/>
  <c r="BB25" i="4"/>
  <c r="BB24" i="4"/>
  <c r="BB23" i="4"/>
  <c r="BB22" i="4"/>
  <c r="BB21" i="4"/>
  <c r="BB20" i="4"/>
  <c r="BB19" i="4"/>
  <c r="BB17" i="4"/>
  <c r="BB16" i="4"/>
  <c r="BB15" i="4"/>
  <c r="BB14" i="4"/>
  <c r="BB13" i="4"/>
  <c r="BB12" i="4"/>
  <c r="BB11" i="4"/>
  <c r="BB10" i="4"/>
  <c r="BB9" i="4"/>
  <c r="BB8" i="4"/>
  <c r="BB7" i="4"/>
  <c r="BB6" i="4"/>
  <c r="BB5" i="4"/>
  <c r="BB4" i="4"/>
  <c r="J48" i="4"/>
  <c r="J47" i="4"/>
  <c r="J46" i="4"/>
  <c r="J45" i="4"/>
  <c r="J44" i="4"/>
  <c r="J43" i="4"/>
  <c r="J42" i="4"/>
  <c r="J41" i="4"/>
  <c r="J40" i="4"/>
  <c r="J39" i="4"/>
  <c r="J38" i="4"/>
  <c r="J37" i="4"/>
  <c r="J36" i="4"/>
  <c r="J35" i="4"/>
  <c r="J34" i="4"/>
  <c r="J33" i="4"/>
  <c r="J32" i="4"/>
  <c r="J31" i="4"/>
  <c r="J30" i="4"/>
  <c r="J29" i="4"/>
  <c r="J28" i="4"/>
  <c r="J27" i="4"/>
  <c r="J26" i="4"/>
  <c r="J25" i="4"/>
  <c r="J24" i="4"/>
  <c r="J23" i="4"/>
  <c r="J22" i="4"/>
  <c r="J21" i="4"/>
  <c r="J20" i="4"/>
  <c r="J19" i="4"/>
  <c r="J18" i="4"/>
  <c r="J17" i="4"/>
  <c r="J16" i="4"/>
  <c r="J15" i="4"/>
  <c r="J14" i="4"/>
  <c r="J13" i="4"/>
  <c r="J12" i="4"/>
  <c r="J11" i="4"/>
  <c r="J10" i="4"/>
  <c r="J9" i="4"/>
  <c r="J8" i="4"/>
  <c r="J7" i="4"/>
  <c r="J6" i="4"/>
  <c r="J5" i="4"/>
  <c r="J4" i="4"/>
  <c r="J3" i="4"/>
  <c r="J2" i="4"/>
  <c r="Y11" i="18"/>
  <c r="AG26" i="23" s="1"/>
  <c r="Y10" i="18"/>
  <c r="AG25" i="23" s="1"/>
  <c r="Y9" i="18"/>
  <c r="AG24" i="23" s="1"/>
  <c r="Y8" i="18"/>
  <c r="AG23" i="23" s="1"/>
  <c r="Y7" i="18"/>
  <c r="AG22" i="23" s="1"/>
  <c r="Y6" i="18"/>
  <c r="AG21" i="23" s="1"/>
  <c r="J15" i="8"/>
  <c r="J14" i="8"/>
  <c r="J13" i="8"/>
  <c r="J12" i="8"/>
  <c r="J11" i="8"/>
  <c r="J10" i="8"/>
  <c r="J9" i="8"/>
  <c r="J8" i="8"/>
  <c r="J7" i="8"/>
  <c r="J6" i="8"/>
  <c r="J5" i="8"/>
  <c r="J4" i="8"/>
  <c r="J3" i="8"/>
  <c r="I39" i="10"/>
  <c r="I38" i="10"/>
  <c r="I37" i="10"/>
  <c r="I36" i="10"/>
  <c r="I35" i="10"/>
  <c r="I34" i="10"/>
  <c r="I33" i="10"/>
  <c r="I32" i="10"/>
  <c r="I31" i="10"/>
  <c r="I30" i="10"/>
  <c r="I29" i="10"/>
  <c r="I28" i="10"/>
  <c r="I27" i="10"/>
  <c r="I26" i="10"/>
  <c r="I25" i="10"/>
  <c r="I24" i="10"/>
  <c r="I23" i="10"/>
  <c r="I22" i="10"/>
  <c r="I21" i="10"/>
  <c r="I20" i="10"/>
  <c r="I19" i="10"/>
  <c r="I18" i="10"/>
  <c r="I17" i="10"/>
  <c r="I16" i="10"/>
  <c r="I15" i="10"/>
  <c r="I14" i="10"/>
  <c r="I13" i="10"/>
  <c r="I12" i="10"/>
  <c r="I11" i="10"/>
  <c r="I10" i="10"/>
  <c r="I9" i="10"/>
  <c r="I8" i="10"/>
  <c r="I7" i="10"/>
  <c r="I6" i="10"/>
  <c r="I5" i="10"/>
  <c r="I4" i="10"/>
  <c r="I3" i="10"/>
  <c r="I2" i="10"/>
  <c r="X72" i="18"/>
  <c r="Y72" i="18" s="1"/>
  <c r="AI40" i="18" l="1"/>
  <c r="P170" i="71"/>
  <c r="EO38" i="40"/>
  <c r="EN39" i="40"/>
  <c r="FS38" i="40"/>
  <c r="FR39" i="40"/>
  <c r="EX41" i="40"/>
  <c r="EY40" i="40"/>
  <c r="ED38" i="40"/>
  <c r="EE37" i="40"/>
  <c r="FD35" i="40"/>
  <c r="FC36" i="40"/>
  <c r="EJ37" i="40"/>
  <c r="EI38" i="40"/>
  <c r="FM36" i="40"/>
  <c r="FN35" i="40"/>
  <c r="ET37" i="40"/>
  <c r="ES38" i="40"/>
  <c r="FI37" i="40"/>
  <c r="FH38" i="40"/>
  <c r="DZ133" i="40"/>
  <c r="DZ134" i="40" s="1"/>
  <c r="DZ135" i="40" s="1"/>
  <c r="DZ136" i="40" s="1"/>
  <c r="DZ137" i="40" s="1"/>
  <c r="J105" i="27"/>
  <c r="K104" i="27"/>
  <c r="JE15" i="30"/>
  <c r="X19" i="18"/>
  <c r="KA15" i="30"/>
  <c r="KA19" i="30"/>
  <c r="JP15" i="30"/>
  <c r="JE19" i="30"/>
  <c r="JP19" i="30"/>
  <c r="AO48" i="18"/>
  <c r="AH56" i="18" s="1"/>
  <c r="AP48" i="18"/>
  <c r="AH57" i="18" s="1"/>
  <c r="AN48" i="18"/>
  <c r="AH55" i="18" s="1"/>
  <c r="AQ48" i="18"/>
  <c r="Z72" i="18"/>
  <c r="P171" i="71" l="1"/>
  <c r="ES39" i="40"/>
  <c r="ET38" i="40"/>
  <c r="EJ38" i="40"/>
  <c r="EI39" i="40"/>
  <c r="FS39" i="40"/>
  <c r="FR40" i="40"/>
  <c r="EE38" i="40"/>
  <c r="ED39" i="40"/>
  <c r="FI38" i="40"/>
  <c r="FH39" i="40"/>
  <c r="FC37" i="40"/>
  <c r="FD36" i="40"/>
  <c r="EO39" i="40"/>
  <c r="EN40" i="40"/>
  <c r="FN36" i="40"/>
  <c r="FM37" i="40"/>
  <c r="EX42" i="40"/>
  <c r="EY41" i="40"/>
  <c r="DZ138" i="40"/>
  <c r="J106" i="27"/>
  <c r="K105" i="27"/>
  <c r="Z50" i="1"/>
  <c r="Z53" i="1" s="1"/>
  <c r="G238" i="1"/>
  <c r="G234" i="1"/>
  <c r="G230" i="1"/>
  <c r="G226" i="1"/>
  <c r="G222" i="1"/>
  <c r="G218" i="1"/>
  <c r="G210" i="1"/>
  <c r="P172" i="71" l="1"/>
  <c r="R162" i="71"/>
  <c r="Q161" i="71"/>
  <c r="R160" i="71"/>
  <c r="R161" i="71"/>
  <c r="Q160" i="71"/>
  <c r="B266" i="1"/>
  <c r="B265" i="1"/>
  <c r="Q163" i="71"/>
  <c r="R163" i="71"/>
  <c r="B268" i="1"/>
  <c r="Q164" i="71"/>
  <c r="B269" i="1"/>
  <c r="R164" i="71"/>
  <c r="R165" i="71"/>
  <c r="Q165" i="71"/>
  <c r="B271" i="1"/>
  <c r="B270" i="1"/>
  <c r="R166" i="71"/>
  <c r="Q166" i="71"/>
  <c r="Q162" i="71"/>
  <c r="B267" i="1"/>
  <c r="FN37" i="40"/>
  <c r="FM38" i="40"/>
  <c r="EE39" i="40"/>
  <c r="ED40" i="40"/>
  <c r="EI40" i="40"/>
  <c r="EJ39" i="40"/>
  <c r="FC38" i="40"/>
  <c r="FD37" i="40"/>
  <c r="EO40" i="40"/>
  <c r="EN41" i="40"/>
  <c r="FH40" i="40"/>
  <c r="FI39" i="40"/>
  <c r="FS40" i="40"/>
  <c r="FR41" i="40"/>
  <c r="EX43" i="40"/>
  <c r="EY42" i="40"/>
  <c r="ES40" i="40"/>
  <c r="ET39" i="40"/>
  <c r="DZ139" i="40"/>
  <c r="DZ140" i="40" s="1"/>
  <c r="DZ141" i="40" s="1"/>
  <c r="DZ142" i="40" s="1"/>
  <c r="DZ143" i="40" s="1"/>
  <c r="J107" i="27"/>
  <c r="K106" i="27"/>
  <c r="AK19" i="18"/>
  <c r="AK18" i="18"/>
  <c r="AK17" i="18"/>
  <c r="AK16" i="18"/>
  <c r="AK15" i="18"/>
  <c r="AK14" i="18"/>
  <c r="AK13" i="18"/>
  <c r="AK12" i="18"/>
  <c r="AK11" i="18"/>
  <c r="AK10" i="18"/>
  <c r="AK9" i="18"/>
  <c r="AK8" i="18"/>
  <c r="AK7" i="18"/>
  <c r="AK6" i="18"/>
  <c r="AK5" i="18"/>
  <c r="AK4" i="18"/>
  <c r="AK3" i="18"/>
  <c r="AK2" i="18"/>
  <c r="Y15" i="23"/>
  <c r="Y14" i="23"/>
  <c r="Y13" i="23"/>
  <c r="Y12" i="23"/>
  <c r="Y11" i="23"/>
  <c r="Y10" i="23"/>
  <c r="Y9" i="23"/>
  <c r="Y8" i="23"/>
  <c r="Y7" i="23"/>
  <c r="Y6" i="23"/>
  <c r="Y5" i="23"/>
  <c r="Y4" i="23"/>
  <c r="M4" i="23"/>
  <c r="P176" i="71" l="1"/>
  <c r="P177" i="71" s="1"/>
  <c r="T161" i="71"/>
  <c r="U161" i="71" s="1"/>
  <c r="W161" i="71" s="1"/>
  <c r="S161" i="71"/>
  <c r="V155" i="71"/>
  <c r="T160" i="71"/>
  <c r="U160" i="71" s="1"/>
  <c r="W160" i="71" s="1"/>
  <c r="S160" i="71"/>
  <c r="S166" i="71"/>
  <c r="T166" i="71"/>
  <c r="U166" i="71" s="1"/>
  <c r="T165" i="71"/>
  <c r="U165" i="71" s="1"/>
  <c r="S165" i="71"/>
  <c r="S164" i="71"/>
  <c r="T164" i="71"/>
  <c r="U164" i="71" s="1"/>
  <c r="T162" i="71"/>
  <c r="U162" i="71" s="1"/>
  <c r="W162" i="71" s="1"/>
  <c r="S162" i="71"/>
  <c r="S163" i="71"/>
  <c r="T163" i="71"/>
  <c r="U163" i="71" s="1"/>
  <c r="W163" i="71" s="1"/>
  <c r="V160" i="71"/>
  <c r="V161" i="71" a="1"/>
  <c r="V161" i="71" s="1"/>
  <c r="V166" i="71" a="1"/>
  <c r="V166" i="71" s="1"/>
  <c r="W166" i="71" s="1"/>
  <c r="V165" i="71" a="1"/>
  <c r="V165" i="71" s="1"/>
  <c r="EE40" i="40"/>
  <c r="ED41" i="40"/>
  <c r="EX44" i="40"/>
  <c r="EY43" i="40"/>
  <c r="FH41" i="40"/>
  <c r="FI40" i="40"/>
  <c r="FC39" i="40"/>
  <c r="FD38" i="40"/>
  <c r="FS41" i="40"/>
  <c r="FR42" i="40"/>
  <c r="EO41" i="40"/>
  <c r="EN42" i="40"/>
  <c r="FN38" i="40"/>
  <c r="FM39" i="40"/>
  <c r="ES41" i="40"/>
  <c r="ET40" i="40"/>
  <c r="EJ40" i="40"/>
  <c r="EI41" i="40"/>
  <c r="DZ144" i="40"/>
  <c r="J108" i="27"/>
  <c r="K107" i="27"/>
  <c r="L13" i="23"/>
  <c r="N4" i="23"/>
  <c r="P4" i="23"/>
  <c r="P180" i="71" l="1"/>
  <c r="B273" i="1" s="1"/>
  <c r="B272" i="1"/>
  <c r="R167" i="71"/>
  <c r="Q168" i="71"/>
  <c r="Q167" i="71"/>
  <c r="W165" i="71"/>
  <c r="X165" i="71" s="1"/>
  <c r="D270" i="1" s="1"/>
  <c r="Z160" i="71"/>
  <c r="AA160" i="71"/>
  <c r="X160" i="71"/>
  <c r="D265" i="1" s="1"/>
  <c r="Y160" i="71"/>
  <c r="X161" i="71"/>
  <c r="D266" i="1" s="1"/>
  <c r="AA161" i="71"/>
  <c r="Z161" i="71"/>
  <c r="Y161" i="71"/>
  <c r="Y163" i="71"/>
  <c r="AA163" i="71"/>
  <c r="Z163" i="71"/>
  <c r="X163" i="71"/>
  <c r="D268" i="1" s="1"/>
  <c r="X162" i="71"/>
  <c r="D267" i="1" s="1"/>
  <c r="Y162" i="71"/>
  <c r="Z162" i="71"/>
  <c r="AA162" i="71"/>
  <c r="Z166" i="71"/>
  <c r="X166" i="71"/>
  <c r="D271" i="1" s="1"/>
  <c r="Y166" i="71"/>
  <c r="EN43" i="40"/>
  <c r="EO42" i="40"/>
  <c r="ES42" i="40"/>
  <c r="ET41" i="40"/>
  <c r="FC40" i="40"/>
  <c r="FD39" i="40"/>
  <c r="EX45" i="40"/>
  <c r="EY44" i="40"/>
  <c r="EI42" i="40"/>
  <c r="EJ41" i="40"/>
  <c r="FN39" i="40"/>
  <c r="FM40" i="40"/>
  <c r="FS42" i="40"/>
  <c r="FR43" i="40"/>
  <c r="ED42" i="40"/>
  <c r="EE41" i="40"/>
  <c r="FI41" i="40"/>
  <c r="FH42" i="40"/>
  <c r="DZ145" i="40"/>
  <c r="DZ146" i="40" s="1"/>
  <c r="DZ147" i="40" s="1"/>
  <c r="J109" i="27"/>
  <c r="K108" i="27"/>
  <c r="L14" i="23"/>
  <c r="H62" i="1"/>
  <c r="BA2" i="15"/>
  <c r="AV2" i="15"/>
  <c r="AU2" i="15"/>
  <c r="AR2" i="15"/>
  <c r="AO2" i="15"/>
  <c r="AK2" i="15"/>
  <c r="AH2" i="15"/>
  <c r="AE2" i="15"/>
  <c r="AB2" i="15"/>
  <c r="Y2" i="15"/>
  <c r="V2" i="15"/>
  <c r="S2" i="15"/>
  <c r="P2" i="15"/>
  <c r="M2" i="15"/>
  <c r="J2" i="15"/>
  <c r="G2" i="15"/>
  <c r="D2" i="15"/>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3" i="3"/>
  <c r="A2" i="2"/>
  <c r="A3" i="2" s="1"/>
  <c r="A4" i="2" s="1"/>
  <c r="A5" i="2" s="1"/>
  <c r="A6" i="2" s="1"/>
  <c r="A7" i="2" s="1"/>
  <c r="A8" i="2" s="1"/>
  <c r="A9" i="2" s="1"/>
  <c r="A10" i="2" s="1"/>
  <c r="A11" i="2" s="1"/>
  <c r="A12" i="2" s="1"/>
  <c r="A13" i="2" s="1"/>
  <c r="A14" i="2" s="1"/>
  <c r="A15" i="2" s="1"/>
  <c r="A16" i="2" s="1"/>
  <c r="A17" i="2" s="1"/>
  <c r="A18" i="2" s="1"/>
  <c r="A19" i="2" s="1"/>
  <c r="BU14" i="6"/>
  <c r="BJ14" i="6"/>
  <c r="AY14" i="6"/>
  <c r="AN14" i="6"/>
  <c r="S14" i="6"/>
  <c r="BU13" i="6"/>
  <c r="BJ13" i="6"/>
  <c r="AY13" i="6"/>
  <c r="AN13" i="6"/>
  <c r="S13" i="6"/>
  <c r="BU12" i="6"/>
  <c r="BJ12" i="6"/>
  <c r="AY12" i="6"/>
  <c r="S12" i="6"/>
  <c r="BU11" i="6"/>
  <c r="BJ11" i="6"/>
  <c r="AY11" i="6"/>
  <c r="AN11" i="6"/>
  <c r="S11" i="6"/>
  <c r="BU10" i="6"/>
  <c r="BJ10" i="6"/>
  <c r="AY10" i="6"/>
  <c r="AN10" i="6"/>
  <c r="S10" i="6"/>
  <c r="BU9" i="6"/>
  <c r="BJ9" i="6"/>
  <c r="AY9" i="6"/>
  <c r="AN9" i="6"/>
  <c r="S9" i="6"/>
  <c r="BU8" i="6"/>
  <c r="BJ8" i="6"/>
  <c r="AY8" i="6"/>
  <c r="AN8" i="6"/>
  <c r="S8" i="6"/>
  <c r="BU7" i="6"/>
  <c r="BJ7" i="6"/>
  <c r="AY7" i="6"/>
  <c r="AN7" i="6"/>
  <c r="S7" i="6"/>
  <c r="BU6" i="6"/>
  <c r="BJ6" i="6"/>
  <c r="AY6" i="6"/>
  <c r="AN6" i="6"/>
  <c r="S6" i="6"/>
  <c r="BU5" i="6"/>
  <c r="BJ5" i="6"/>
  <c r="AY5" i="6"/>
  <c r="AN5" i="6"/>
  <c r="S5" i="6"/>
  <c r="BU4" i="6"/>
  <c r="BJ4" i="6"/>
  <c r="AY4" i="6"/>
  <c r="AN4" i="6"/>
  <c r="S4" i="6"/>
  <c r="BU3" i="6"/>
  <c r="BJ3" i="6"/>
  <c r="AY3" i="6"/>
  <c r="AN3" i="6"/>
  <c r="S3" i="6"/>
  <c r="BU2" i="6"/>
  <c r="BJ2" i="6"/>
  <c r="AY2" i="6"/>
  <c r="AN2" i="6"/>
  <c r="S2" i="6"/>
  <c r="A2" i="6"/>
  <c r="A3" i="6" s="1"/>
  <c r="A3" i="13"/>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3" i="4"/>
  <c r="D62" i="4"/>
  <c r="C62" i="4"/>
  <c r="D61" i="4"/>
  <c r="C61" i="4"/>
  <c r="D60" i="4"/>
  <c r="C60" i="4"/>
  <c r="D59" i="4"/>
  <c r="C59" i="4"/>
  <c r="D58" i="4"/>
  <c r="C58" i="4"/>
  <c r="D57" i="4"/>
  <c r="C57" i="4"/>
  <c r="D56" i="4"/>
  <c r="C56" i="4"/>
  <c r="D55" i="4"/>
  <c r="C55" i="4"/>
  <c r="D53" i="4"/>
  <c r="D52" i="4"/>
  <c r="C52" i="4"/>
  <c r="D51" i="4"/>
  <c r="C51" i="4"/>
  <c r="D50" i="4"/>
  <c r="C50" i="4"/>
  <c r="D49" i="4"/>
  <c r="D48" i="4"/>
  <c r="D47" i="4"/>
  <c r="D46" i="4"/>
  <c r="D45" i="4"/>
  <c r="D44" i="4"/>
  <c r="D43" i="4"/>
  <c r="D42" i="4"/>
  <c r="D41" i="4"/>
  <c r="D40" i="4"/>
  <c r="D39" i="4"/>
  <c r="C38" i="4"/>
  <c r="D37" i="4"/>
  <c r="D36" i="4"/>
  <c r="D35" i="4"/>
  <c r="C34" i="4"/>
  <c r="C32" i="4"/>
  <c r="C31" i="4"/>
  <c r="C30" i="4"/>
  <c r="C29" i="4"/>
  <c r="C28" i="4"/>
  <c r="D26" i="4"/>
  <c r="D25" i="4"/>
  <c r="C24" i="4"/>
  <c r="D23" i="4"/>
  <c r="C19" i="4"/>
  <c r="C17" i="4"/>
  <c r="C16" i="4"/>
  <c r="C15" i="4"/>
  <c r="C14" i="4"/>
  <c r="C13" i="4"/>
  <c r="C12" i="4"/>
  <c r="C11" i="4"/>
  <c r="C10" i="4"/>
  <c r="C9" i="4"/>
  <c r="C7" i="4"/>
  <c r="C5" i="4"/>
  <c r="C3" i="4"/>
  <c r="D2" i="4"/>
  <c r="C2" i="4"/>
  <c r="Y15" i="71" s="1"/>
  <c r="AC6" i="18"/>
  <c r="AC5" i="18"/>
  <c r="AC4" i="18"/>
  <c r="AC3" i="18"/>
  <c r="AC2" i="18"/>
  <c r="A2" i="19"/>
  <c r="Q63" i="1"/>
  <c r="Q64" i="1" s="1"/>
  <c r="Q65" i="1" s="1"/>
  <c r="Q66" i="1" s="1"/>
  <c r="Q67" i="1" s="1"/>
  <c r="Q68" i="1" s="1"/>
  <c r="Q69" i="1" s="1"/>
  <c r="Q70" i="1" s="1"/>
  <c r="Q71" i="1" s="1"/>
  <c r="Q72" i="1" s="1"/>
  <c r="Q73" i="1" s="1"/>
  <c r="Q74" i="1" s="1"/>
  <c r="Q75" i="1" s="1"/>
  <c r="Q76" i="1" s="1"/>
  <c r="Q77" i="1" s="1"/>
  <c r="Q78" i="1" s="1"/>
  <c r="Q79" i="1" s="1"/>
  <c r="Q80" i="1" s="1"/>
  <c r="Q81" i="1" s="1"/>
  <c r="BH3" i="30"/>
  <c r="AS3" i="30"/>
  <c r="C3" i="30"/>
  <c r="Y165" i="71" l="1"/>
  <c r="Z165" i="71"/>
  <c r="R168" i="71"/>
  <c r="P184" i="71"/>
  <c r="S168" i="71"/>
  <c r="T168" i="71"/>
  <c r="U168" i="71" s="1"/>
  <c r="W168" i="71" s="1"/>
  <c r="S167" i="71"/>
  <c r="T167" i="71"/>
  <c r="U167" i="71" s="1"/>
  <c r="W167" i="71" s="1"/>
  <c r="X167" i="71" s="1"/>
  <c r="D272" i="1" s="1"/>
  <c r="A4" i="3"/>
  <c r="A5" i="3" s="1"/>
  <c r="A6" i="3" s="1"/>
  <c r="A7" i="3" s="1"/>
  <c r="A8" i="3" s="1"/>
  <c r="A9" i="3" s="1"/>
  <c r="A10" i="3" s="1"/>
  <c r="A11" i="3" s="1"/>
  <c r="A12" i="3" s="1"/>
  <c r="A13" i="3" s="1"/>
  <c r="A14" i="3" s="1"/>
  <c r="AB161" i="71"/>
  <c r="AC161" i="71" s="1"/>
  <c r="AB160" i="71"/>
  <c r="AC160" i="71" s="1"/>
  <c r="AD160" i="71"/>
  <c r="AD161" i="71" s="1"/>
  <c r="AD162" i="71" s="1"/>
  <c r="AB162" i="71"/>
  <c r="AC162" i="71" s="1"/>
  <c r="AB163" i="71"/>
  <c r="AC163" i="71" s="1"/>
  <c r="D3" i="4"/>
  <c r="A4" i="6"/>
  <c r="A5" i="6" s="1"/>
  <c r="FN40" i="40"/>
  <c r="FM41" i="40"/>
  <c r="ED43" i="40"/>
  <c r="EE42" i="40"/>
  <c r="EX46" i="40"/>
  <c r="EY45" i="40"/>
  <c r="ET42" i="40"/>
  <c r="ES43" i="40"/>
  <c r="FI42" i="40"/>
  <c r="FH43" i="40"/>
  <c r="FS43" i="40"/>
  <c r="FR44" i="40"/>
  <c r="EI43" i="40"/>
  <c r="EJ42" i="40"/>
  <c r="FC41" i="40"/>
  <c r="FD40" i="40"/>
  <c r="EO43" i="40"/>
  <c r="EN44" i="40"/>
  <c r="DZ148" i="40"/>
  <c r="DZ149" i="40" s="1"/>
  <c r="J110" i="27"/>
  <c r="K109" i="27"/>
  <c r="B4" i="23"/>
  <c r="A6" i="6"/>
  <c r="A2" i="3"/>
  <c r="C4" i="4"/>
  <c r="C6" i="4" s="1"/>
  <c r="AF129" i="18"/>
  <c r="AF100" i="18"/>
  <c r="AF72" i="18"/>
  <c r="AF32" i="18"/>
  <c r="AF86" i="18"/>
  <c r="AF57" i="18"/>
  <c r="AF114" i="18"/>
  <c r="AF140" i="18"/>
  <c r="AF10" i="18"/>
  <c r="AF44" i="18"/>
  <c r="AF132" i="18"/>
  <c r="AF118" i="18"/>
  <c r="AF104" i="18"/>
  <c r="AF89" i="18"/>
  <c r="AF76" i="18"/>
  <c r="AF61" i="18"/>
  <c r="AF46" i="18"/>
  <c r="AF35" i="18"/>
  <c r="AF24" i="18"/>
  <c r="AF13" i="18"/>
  <c r="AF9" i="18"/>
  <c r="AF5" i="18"/>
  <c r="AF27" i="18"/>
  <c r="AF50" i="18"/>
  <c r="AF78" i="18"/>
  <c r="AF108" i="18"/>
  <c r="AF136" i="18"/>
  <c r="AF137" i="18"/>
  <c r="AF37" i="18"/>
  <c r="AF65" i="18"/>
  <c r="AF93" i="18"/>
  <c r="AF121" i="18"/>
  <c r="AF7" i="18"/>
  <c r="AF29" i="18"/>
  <c r="AF40" i="18"/>
  <c r="AF54" i="18"/>
  <c r="AF68" i="18"/>
  <c r="AF82" i="18"/>
  <c r="AF97" i="18"/>
  <c r="AF110" i="18"/>
  <c r="AF125" i="18"/>
  <c r="AF3" i="18"/>
  <c r="AF23" i="18"/>
  <c r="AF28" i="18"/>
  <c r="AF33" i="18"/>
  <c r="AF39" i="18"/>
  <c r="AF45" i="18"/>
  <c r="AF52" i="18"/>
  <c r="AF60" i="18"/>
  <c r="AF66" i="18"/>
  <c r="AF73" i="18"/>
  <c r="AF81" i="18"/>
  <c r="AF88" i="18"/>
  <c r="AF94" i="18"/>
  <c r="AF102" i="18"/>
  <c r="AF109" i="18"/>
  <c r="AF116" i="18"/>
  <c r="AF124" i="18"/>
  <c r="AF130" i="18"/>
  <c r="AF139" i="18"/>
  <c r="AF135" i="18"/>
  <c r="AF131" i="18"/>
  <c r="AF127" i="18"/>
  <c r="AF123" i="18"/>
  <c r="AF119" i="18"/>
  <c r="AF115" i="18"/>
  <c r="AF111" i="18"/>
  <c r="AF107" i="18"/>
  <c r="AF103" i="18"/>
  <c r="AF99" i="18"/>
  <c r="AF95" i="18"/>
  <c r="AF91" i="18"/>
  <c r="AF87" i="18"/>
  <c r="AF83" i="18"/>
  <c r="AF79" i="18"/>
  <c r="AF75" i="18"/>
  <c r="AF71" i="18"/>
  <c r="AF67" i="18"/>
  <c r="AF63" i="18"/>
  <c r="AF59" i="18"/>
  <c r="AF55" i="18"/>
  <c r="AF51" i="18"/>
  <c r="AF47" i="18"/>
  <c r="AF43" i="18"/>
  <c r="AF138" i="18"/>
  <c r="AF133" i="18"/>
  <c r="AF128" i="18"/>
  <c r="AF122" i="18"/>
  <c r="AF117" i="18"/>
  <c r="AF112" i="18"/>
  <c r="AF106" i="18"/>
  <c r="AF101" i="18"/>
  <c r="AF96" i="18"/>
  <c r="AF90" i="18"/>
  <c r="AF85" i="18"/>
  <c r="AF80" i="18"/>
  <c r="AF74" i="18"/>
  <c r="AF69" i="18"/>
  <c r="AF64" i="18"/>
  <c r="AF58" i="18"/>
  <c r="AF53" i="18"/>
  <c r="AF48" i="18"/>
  <c r="AF42" i="18"/>
  <c r="AF38" i="18"/>
  <c r="AF34" i="18"/>
  <c r="AF30" i="18"/>
  <c r="AF26" i="18"/>
  <c r="AF22" i="18"/>
  <c r="AF21" i="18"/>
  <c r="AF20" i="18"/>
  <c r="AF19" i="18"/>
  <c r="AF18" i="18"/>
  <c r="AF17" i="18"/>
  <c r="AF16" i="18"/>
  <c r="AF15" i="18"/>
  <c r="AF12" i="18"/>
  <c r="AF11" i="18"/>
  <c r="AF6" i="18"/>
  <c r="AF4" i="18"/>
  <c r="AF2" i="18"/>
  <c r="AF8" i="18"/>
  <c r="AF14" i="18"/>
  <c r="AF25" i="18"/>
  <c r="AF31" i="18"/>
  <c r="AF36" i="18"/>
  <c r="AF41" i="18"/>
  <c r="AF49" i="18"/>
  <c r="AF56" i="18"/>
  <c r="AF62" i="18"/>
  <c r="AF70" i="18"/>
  <c r="AF77" i="18"/>
  <c r="AF84" i="18"/>
  <c r="AF92" i="18"/>
  <c r="AF98" i="18"/>
  <c r="AF105" i="18"/>
  <c r="AF113" i="18"/>
  <c r="AF120" i="18"/>
  <c r="AF126" i="18"/>
  <c r="AF134" i="18"/>
  <c r="AF141" i="18"/>
  <c r="D4" i="4"/>
  <c r="A3" i="19"/>
  <c r="A4" i="19" s="1"/>
  <c r="A5" i="19" s="1"/>
  <c r="A6" i="19" s="1"/>
  <c r="P432" i="1" l="1"/>
  <c r="FO4" i="23" s="1"/>
  <c r="AF4" i="1"/>
  <c r="P433" i="1"/>
  <c r="FO5" i="23" s="1"/>
  <c r="A7" i="6"/>
  <c r="AF10" i="71"/>
  <c r="P435" i="1"/>
  <c r="FO7" i="23" s="1"/>
  <c r="P434" i="1"/>
  <c r="FO6" i="23" s="1"/>
  <c r="P437" i="1"/>
  <c r="FO9" i="23" s="1"/>
  <c r="FP9" i="23" s="1"/>
  <c r="P436" i="1"/>
  <c r="FO8" i="23" s="1"/>
  <c r="P439" i="1"/>
  <c r="P429" i="1"/>
  <c r="FO3" i="23" s="1"/>
  <c r="FP3" i="23" s="1"/>
  <c r="Y167" i="71"/>
  <c r="P188" i="71"/>
  <c r="R170" i="71" s="1"/>
  <c r="B274" i="1"/>
  <c r="R169" i="71"/>
  <c r="B275" i="1"/>
  <c r="Q169" i="71"/>
  <c r="Z167" i="71"/>
  <c r="Y168" i="71"/>
  <c r="Z168" i="71"/>
  <c r="X168" i="71"/>
  <c r="D273" i="1" s="1"/>
  <c r="AD163" i="71"/>
  <c r="B16" i="71"/>
  <c r="FP4" i="23"/>
  <c r="FP5" i="23" s="1"/>
  <c r="FS44" i="40"/>
  <c r="FR45" i="40"/>
  <c r="ET43" i="40"/>
  <c r="ES44" i="40"/>
  <c r="FC42" i="40"/>
  <c r="FD41" i="40"/>
  <c r="EE43" i="40"/>
  <c r="ED44" i="40"/>
  <c r="EN45" i="40"/>
  <c r="EO44" i="40"/>
  <c r="FH44" i="40"/>
  <c r="FI43" i="40"/>
  <c r="FM42" i="40"/>
  <c r="FN41" i="40"/>
  <c r="EJ43" i="40"/>
  <c r="EI44" i="40"/>
  <c r="EX47" i="40"/>
  <c r="EY46" i="40"/>
  <c r="DZ150" i="40"/>
  <c r="DZ151" i="40" s="1"/>
  <c r="DZ152" i="40" s="1"/>
  <c r="DZ153" i="40" s="1"/>
  <c r="DZ154" i="40" s="1"/>
  <c r="J111" i="27"/>
  <c r="K110" i="27"/>
  <c r="D6" i="4"/>
  <c r="A8" i="6"/>
  <c r="A9" i="6" s="1"/>
  <c r="A10" i="6" s="1"/>
  <c r="A11" i="6" s="1"/>
  <c r="A12" i="6" s="1"/>
  <c r="A13" i="6" s="1"/>
  <c r="A14" i="6" s="1"/>
  <c r="A15" i="6" s="1"/>
  <c r="A16" i="6" s="1"/>
  <c r="A17" i="6" s="1"/>
  <c r="A18" i="6" s="1"/>
  <c r="A19" i="6" s="1"/>
  <c r="A20" i="6" s="1"/>
  <c r="A21" i="6" s="1"/>
  <c r="A22" i="6" s="1"/>
  <c r="A23" i="6" s="1"/>
  <c r="A24" i="6" s="1"/>
  <c r="A25" i="6" s="1"/>
  <c r="A26" i="6" s="1"/>
  <c r="A27" i="6" s="1"/>
  <c r="A28" i="6" s="1"/>
  <c r="H315" i="23"/>
  <c r="J362" i="23" s="1"/>
  <c r="K362" i="23" s="1"/>
  <c r="H314" i="23"/>
  <c r="B24" i="1"/>
  <c r="C44" i="30" s="1"/>
  <c r="D90" i="1"/>
  <c r="J205" i="23" s="1"/>
  <c r="D88" i="1"/>
  <c r="I207" i="23" s="1"/>
  <c r="H34" i="1"/>
  <c r="D34" i="1"/>
  <c r="Y76" i="18"/>
  <c r="AI42" i="18"/>
  <c r="AN50" i="18" s="1"/>
  <c r="D5" i="4"/>
  <c r="A7" i="19"/>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121" i="19" s="1"/>
  <c r="A122" i="19" s="1"/>
  <c r="A123" i="19" s="1"/>
  <c r="A124" i="19" s="1"/>
  <c r="A125" i="19" s="1"/>
  <c r="A126" i="19" s="1"/>
  <c r="A127" i="19" s="1"/>
  <c r="A128" i="19" s="1"/>
  <c r="A129" i="19" s="1"/>
  <c r="A130" i="19" s="1"/>
  <c r="A131" i="19" s="1"/>
  <c r="A132" i="19" s="1"/>
  <c r="A133" i="19" s="1"/>
  <c r="A134" i="19" s="1"/>
  <c r="A135" i="19" s="1"/>
  <c r="A136" i="19" s="1"/>
  <c r="A137" i="19" s="1"/>
  <c r="A138" i="19" s="1"/>
  <c r="A139" i="19" s="1"/>
  <c r="A140" i="19" s="1"/>
  <c r="A141" i="19" s="1"/>
  <c r="A142" i="19" s="1"/>
  <c r="A143" i="19" s="1"/>
  <c r="A144" i="19" s="1"/>
  <c r="A145" i="19" s="1"/>
  <c r="A146" i="19" s="1"/>
  <c r="A147" i="19" s="1"/>
  <c r="A148" i="19" s="1"/>
  <c r="A149" i="19" s="1"/>
  <c r="A150" i="19" s="1"/>
  <c r="A151" i="19" s="1"/>
  <c r="A152" i="19" s="1"/>
  <c r="A153" i="19" s="1"/>
  <c r="A154" i="19" s="1"/>
  <c r="A155" i="19" s="1"/>
  <c r="A156" i="19" s="1"/>
  <c r="A157" i="19" s="1"/>
  <c r="A158" i="19" s="1"/>
  <c r="A159" i="19" s="1"/>
  <c r="A160" i="19" s="1"/>
  <c r="A161" i="19" s="1"/>
  <c r="A162" i="19" s="1"/>
  <c r="A163" i="19" s="1"/>
  <c r="A164" i="19" s="1"/>
  <c r="A165" i="19" s="1"/>
  <c r="A166" i="19" s="1"/>
  <c r="A167" i="19" s="1"/>
  <c r="A168" i="19" s="1"/>
  <c r="A169" i="19" s="1"/>
  <c r="A170" i="19" s="1"/>
  <c r="A171" i="19" s="1"/>
  <c r="A172" i="19" s="1"/>
  <c r="A173" i="19" s="1"/>
  <c r="A174" i="19" s="1"/>
  <c r="A175" i="19" s="1"/>
  <c r="A176" i="19" s="1"/>
  <c r="A177" i="19" s="1"/>
  <c r="A178" i="19" s="1"/>
  <c r="A179" i="19" s="1"/>
  <c r="A180" i="19" s="1"/>
  <c r="A181" i="19" s="1"/>
  <c r="A182" i="19" s="1"/>
  <c r="A183" i="19" s="1"/>
  <c r="A184" i="19" s="1"/>
  <c r="A185" i="19" s="1"/>
  <c r="A186" i="19" s="1"/>
  <c r="A187" i="19" s="1"/>
  <c r="A188" i="19" s="1"/>
  <c r="A189" i="19" s="1"/>
  <c r="A190" i="19" s="1"/>
  <c r="A191" i="19" s="1"/>
  <c r="A192" i="19" s="1"/>
  <c r="A193" i="19" s="1"/>
  <c r="A194" i="19" s="1"/>
  <c r="A195" i="19" s="1"/>
  <c r="A196" i="19" s="1"/>
  <c r="A197" i="19" s="1"/>
  <c r="A198" i="19" s="1"/>
  <c r="A199" i="19" s="1"/>
  <c r="A200" i="19" s="1"/>
  <c r="A201" i="19" s="1"/>
  <c r="A202" i="19" s="1"/>
  <c r="A203" i="19" s="1"/>
  <c r="A204" i="19" s="1"/>
  <c r="A205" i="19" s="1"/>
  <c r="A206" i="19" s="1"/>
  <c r="A207" i="19" s="1"/>
  <c r="A208" i="19" s="1"/>
  <c r="A209" i="19" s="1"/>
  <c r="A210" i="19" s="1"/>
  <c r="A211" i="19" s="1"/>
  <c r="A212" i="19" s="1"/>
  <c r="A213" i="19" s="1"/>
  <c r="A214" i="19" s="1"/>
  <c r="A215" i="19" s="1"/>
  <c r="A216" i="19" s="1"/>
  <c r="A217" i="19" s="1"/>
  <c r="A218" i="19" s="1"/>
  <c r="A219" i="19" s="1"/>
  <c r="A220" i="19" s="1"/>
  <c r="A221" i="19" s="1"/>
  <c r="A222" i="19" s="1"/>
  <c r="A223" i="19" s="1"/>
  <c r="A224" i="19" s="1"/>
  <c r="A225" i="19" s="1"/>
  <c r="A226" i="19" s="1"/>
  <c r="A227" i="19" s="1"/>
  <c r="A228" i="19" s="1"/>
  <c r="A229" i="19" s="1"/>
  <c r="A230" i="19" s="1"/>
  <c r="A231" i="19" s="1"/>
  <c r="A232" i="19" s="1"/>
  <c r="A233" i="19" s="1"/>
  <c r="A234" i="19" s="1"/>
  <c r="A235" i="19" s="1"/>
  <c r="A236" i="19" s="1"/>
  <c r="A237" i="19" s="1"/>
  <c r="A238" i="19" s="1"/>
  <c r="A239" i="19" s="1"/>
  <c r="A240" i="19" s="1"/>
  <c r="A241" i="19" s="1"/>
  <c r="A242" i="19" s="1"/>
  <c r="A243" i="19" s="1"/>
  <c r="A244" i="19" s="1"/>
  <c r="A245" i="19" s="1"/>
  <c r="A246" i="19" s="1"/>
  <c r="A247" i="19" s="1"/>
  <c r="A248" i="19" s="1"/>
  <c r="A249" i="19" s="1"/>
  <c r="A250" i="19" s="1"/>
  <c r="A251" i="19" s="1"/>
  <c r="A252" i="19" s="1"/>
  <c r="A253" i="19" s="1"/>
  <c r="A254" i="19" s="1"/>
  <c r="A255" i="19" s="1"/>
  <c r="A256" i="19" s="1"/>
  <c r="A257" i="19" s="1"/>
  <c r="A258" i="19" s="1"/>
  <c r="A259" i="19" s="1"/>
  <c r="A260" i="19" s="1"/>
  <c r="A261" i="19" s="1"/>
  <c r="A262" i="19" s="1"/>
  <c r="A263" i="19" s="1"/>
  <c r="A264" i="19" s="1"/>
  <c r="A265" i="19" s="1"/>
  <c r="A266" i="19" s="1"/>
  <c r="A267" i="19" s="1"/>
  <c r="A268" i="19" s="1"/>
  <c r="A269" i="19" s="1"/>
  <c r="A270" i="19" s="1"/>
  <c r="A271" i="19" s="1"/>
  <c r="A272" i="19" s="1"/>
  <c r="A273" i="19" s="1"/>
  <c r="A274" i="19" s="1"/>
  <c r="A275" i="19" s="1"/>
  <c r="A276" i="19" s="1"/>
  <c r="A277" i="19" s="1"/>
  <c r="A278" i="19" s="1"/>
  <c r="A279" i="19" s="1"/>
  <c r="A280" i="19" s="1"/>
  <c r="A281" i="19" s="1"/>
  <c r="A282" i="19" s="1"/>
  <c r="A283" i="19" s="1"/>
  <c r="A284" i="19" s="1"/>
  <c r="A285" i="19" s="1"/>
  <c r="A286" i="19" s="1"/>
  <c r="A287" i="19" s="1"/>
  <c r="A288" i="19" s="1"/>
  <c r="A289" i="19" s="1"/>
  <c r="A290" i="19" s="1"/>
  <c r="A291" i="19" s="1"/>
  <c r="A292" i="19" s="1"/>
  <c r="A293" i="19" s="1"/>
  <c r="A294" i="19" s="1"/>
  <c r="A295" i="19" s="1"/>
  <c r="A296" i="19" s="1"/>
  <c r="A297" i="19" s="1"/>
  <c r="A298" i="19" s="1"/>
  <c r="A299" i="19" s="1"/>
  <c r="A300" i="19" s="1"/>
  <c r="A301" i="19" s="1"/>
  <c r="A302" i="19" s="1"/>
  <c r="A303" i="19" s="1"/>
  <c r="A304" i="19" s="1"/>
  <c r="A305" i="19" s="1"/>
  <c r="A306" i="19" s="1"/>
  <c r="A307" i="19" s="1"/>
  <c r="A308" i="19" s="1"/>
  <c r="A309" i="19" s="1"/>
  <c r="A310" i="19" s="1"/>
  <c r="A311" i="19" s="1"/>
  <c r="A312" i="19" s="1"/>
  <c r="A313" i="19" s="1"/>
  <c r="A314" i="19" s="1"/>
  <c r="A315" i="19" s="1"/>
  <c r="A316" i="19" s="1"/>
  <c r="A317" i="19" s="1"/>
  <c r="A318" i="19" s="1"/>
  <c r="A319" i="19" s="1"/>
  <c r="A320" i="19" s="1"/>
  <c r="A321" i="19" s="1"/>
  <c r="A322" i="19" s="1"/>
  <c r="A323" i="19" s="1"/>
  <c r="A324" i="19" s="1"/>
  <c r="A325" i="19" s="1"/>
  <c r="A326" i="19" s="1"/>
  <c r="A327" i="19" s="1"/>
  <c r="A328" i="19" s="1"/>
  <c r="A329" i="19" s="1"/>
  <c r="A330" i="19" s="1"/>
  <c r="A331" i="19" s="1"/>
  <c r="A332" i="19" s="1"/>
  <c r="A333" i="19" s="1"/>
  <c r="A334" i="19" s="1"/>
  <c r="A335" i="19" s="1"/>
  <c r="A336" i="19" s="1"/>
  <c r="A337" i="19" s="1"/>
  <c r="A338" i="19" s="1"/>
  <c r="A339" i="19" s="1"/>
  <c r="A340" i="19" s="1"/>
  <c r="A341" i="19" s="1"/>
  <c r="A342" i="19" s="1"/>
  <c r="A343" i="19" s="1"/>
  <c r="A344" i="19" s="1"/>
  <c r="A345" i="19" s="1"/>
  <c r="A346" i="19" s="1"/>
  <c r="A347" i="19" s="1"/>
  <c r="A348" i="19" s="1"/>
  <c r="A349" i="19" s="1"/>
  <c r="A350" i="19" s="1"/>
  <c r="A351" i="19" s="1"/>
  <c r="A352" i="19" s="1"/>
  <c r="A353" i="19" s="1"/>
  <c r="A354" i="19" s="1"/>
  <c r="A355" i="19" s="1"/>
  <c r="A356" i="19" s="1"/>
  <c r="A357" i="19" s="1"/>
  <c r="A358" i="19" s="1"/>
  <c r="A359" i="19" s="1"/>
  <c r="A360" i="19" s="1"/>
  <c r="A361" i="19" s="1"/>
  <c r="A362" i="19" s="1"/>
  <c r="A363" i="19" s="1"/>
  <c r="A364" i="19" s="1"/>
  <c r="A365" i="19" s="1"/>
  <c r="A366" i="19" s="1"/>
  <c r="A367" i="19" s="1"/>
  <c r="A368" i="19" s="1"/>
  <c r="A369" i="19" s="1"/>
  <c r="A370" i="19" s="1"/>
  <c r="A371" i="19" s="1"/>
  <c r="A372" i="19" s="1"/>
  <c r="A373" i="19" s="1"/>
  <c r="A374" i="19" s="1"/>
  <c r="A375" i="19" s="1"/>
  <c r="A376" i="19" s="1"/>
  <c r="A377" i="19" s="1"/>
  <c r="A378" i="19" s="1"/>
  <c r="A379" i="19" s="1"/>
  <c r="A380" i="19" s="1"/>
  <c r="A381" i="19" s="1"/>
  <c r="A382" i="19" s="1"/>
  <c r="A383" i="19" s="1"/>
  <c r="A384" i="19" s="1"/>
  <c r="A385" i="19" s="1"/>
  <c r="A386" i="19" s="1"/>
  <c r="A387" i="19" s="1"/>
  <c r="A388" i="19" s="1"/>
  <c r="A389" i="19" s="1"/>
  <c r="A390" i="19" s="1"/>
  <c r="A391" i="19" s="1"/>
  <c r="A392" i="19" s="1"/>
  <c r="A393" i="19" s="1"/>
  <c r="A394" i="19" s="1"/>
  <c r="A395" i="19" s="1"/>
  <c r="A396" i="19" s="1"/>
  <c r="A397" i="19" s="1"/>
  <c r="A398" i="19" s="1"/>
  <c r="A399" i="19" s="1"/>
  <c r="A400" i="19" s="1"/>
  <c r="A401" i="19" s="1"/>
  <c r="A402" i="19" s="1"/>
  <c r="A403" i="19" s="1"/>
  <c r="A404" i="19" s="1"/>
  <c r="A405" i="19" s="1"/>
  <c r="A406" i="19" s="1"/>
  <c r="A407" i="19" s="1"/>
  <c r="A408" i="19" s="1"/>
  <c r="A409" i="19" s="1"/>
  <c r="A410" i="19" s="1"/>
  <c r="A411" i="19" s="1"/>
  <c r="A412" i="19" s="1"/>
  <c r="A413" i="19" s="1"/>
  <c r="A414" i="19" s="1"/>
  <c r="A415" i="19" s="1"/>
  <c r="A416" i="19" s="1"/>
  <c r="A417" i="19" s="1"/>
  <c r="A418" i="19" s="1"/>
  <c r="A419" i="19" s="1"/>
  <c r="A420" i="19" s="1"/>
  <c r="A421" i="19" s="1"/>
  <c r="A422" i="19" s="1"/>
  <c r="A423" i="19" s="1"/>
  <c r="A424" i="19" s="1"/>
  <c r="A425" i="19" s="1"/>
  <c r="A426" i="19" s="1"/>
  <c r="A427" i="19" s="1"/>
  <c r="A428" i="19" s="1"/>
  <c r="A429" i="19" s="1"/>
  <c r="A430" i="19" s="1"/>
  <c r="A431" i="19" s="1"/>
  <c r="A432" i="19" s="1"/>
  <c r="A433" i="19" s="1"/>
  <c r="A434" i="19" s="1"/>
  <c r="A435" i="19" s="1"/>
  <c r="A436" i="19" s="1"/>
  <c r="A437" i="19" s="1"/>
  <c r="A438" i="19" s="1"/>
  <c r="A439" i="19" s="1"/>
  <c r="A440" i="19" s="1"/>
  <c r="A441" i="19" s="1"/>
  <c r="A442" i="19" s="1"/>
  <c r="A443" i="19" s="1"/>
  <c r="A444" i="19" s="1"/>
  <c r="A445" i="19" s="1"/>
  <c r="A446" i="19" s="1"/>
  <c r="A447" i="19" s="1"/>
  <c r="A448" i="19" s="1"/>
  <c r="A449" i="19" s="1"/>
  <c r="A450" i="19" s="1"/>
  <c r="A451" i="19" s="1"/>
  <c r="A452" i="19" s="1"/>
  <c r="A453" i="19" s="1"/>
  <c r="A454" i="19" s="1"/>
  <c r="A455" i="19" s="1"/>
  <c r="A456" i="19" s="1"/>
  <c r="A457" i="19" s="1"/>
  <c r="A458" i="19" s="1"/>
  <c r="A459" i="19" s="1"/>
  <c r="A460" i="19" s="1"/>
  <c r="A461" i="19" s="1"/>
  <c r="A462" i="19" s="1"/>
  <c r="A463" i="19" s="1"/>
  <c r="A464" i="19" s="1"/>
  <c r="A465" i="19" s="1"/>
  <c r="A466" i="19" s="1"/>
  <c r="A467" i="19" s="1"/>
  <c r="A468" i="19" s="1"/>
  <c r="A469" i="19" s="1"/>
  <c r="A470" i="19" s="1"/>
  <c r="A471" i="19" s="1"/>
  <c r="A472" i="19" s="1"/>
  <c r="A473" i="19" s="1"/>
  <c r="A474" i="19" s="1"/>
  <c r="A475" i="19" s="1"/>
  <c r="A476" i="19" s="1"/>
  <c r="A477" i="19" s="1"/>
  <c r="A478" i="19" s="1"/>
  <c r="A479" i="19" s="1"/>
  <c r="A480" i="19" s="1"/>
  <c r="A481" i="19" s="1"/>
  <c r="A482" i="19" s="1"/>
  <c r="A483" i="19" s="1"/>
  <c r="A484" i="19" s="1"/>
  <c r="A485" i="19" s="1"/>
  <c r="A486" i="19" s="1"/>
  <c r="A487" i="19" s="1"/>
  <c r="A488" i="19" s="1"/>
  <c r="A489" i="19" s="1"/>
  <c r="A490" i="19" s="1"/>
  <c r="A491" i="19" s="1"/>
  <c r="A492" i="19" s="1"/>
  <c r="A493" i="19" s="1"/>
  <c r="A494" i="19" s="1"/>
  <c r="A495" i="19" s="1"/>
  <c r="A496" i="19" s="1"/>
  <c r="A497" i="19" s="1"/>
  <c r="A498" i="19" s="1"/>
  <c r="A499" i="19" s="1"/>
  <c r="A500" i="19" s="1"/>
  <c r="A501" i="19" s="1"/>
  <c r="A502" i="19" s="1"/>
  <c r="A503" i="19" s="1"/>
  <c r="A504" i="19" s="1"/>
  <c r="A505" i="19" s="1"/>
  <c r="A506" i="19" s="1"/>
  <c r="A507" i="19" s="1"/>
  <c r="A508" i="19" s="1"/>
  <c r="A509" i="19" s="1"/>
  <c r="A510" i="19" s="1"/>
  <c r="A511" i="19" s="1"/>
  <c r="A512" i="19" s="1"/>
  <c r="A513" i="19" s="1"/>
  <c r="A514" i="19" s="1"/>
  <c r="A515" i="19" s="1"/>
  <c r="A516" i="19" s="1"/>
  <c r="A517" i="19" s="1"/>
  <c r="A518" i="19" s="1"/>
  <c r="A519" i="19" s="1"/>
  <c r="A520" i="19" s="1"/>
  <c r="A521" i="19" s="1"/>
  <c r="A522" i="19" s="1"/>
  <c r="A523" i="19" s="1"/>
  <c r="A524" i="19" s="1"/>
  <c r="A525" i="19" s="1"/>
  <c r="A526" i="19" s="1"/>
  <c r="A527" i="19" s="1"/>
  <c r="A528" i="19" s="1"/>
  <c r="C8" i="4"/>
  <c r="G15" i="18"/>
  <c r="G14" i="18"/>
  <c r="G22" i="18"/>
  <c r="G18" i="18"/>
  <c r="G20" i="18"/>
  <c r="G16" i="18"/>
  <c r="G13" i="18"/>
  <c r="G9" i="18"/>
  <c r="G10" i="18"/>
  <c r="G6" i="18"/>
  <c r="G12" i="18"/>
  <c r="G8" i="18"/>
  <c r="G5" i="18"/>
  <c r="G7" i="18"/>
  <c r="G21" i="18"/>
  <c r="G19" i="18"/>
  <c r="G17" i="18"/>
  <c r="G11" i="18"/>
  <c r="Q170" i="71" l="1"/>
  <c r="P196" i="71"/>
  <c r="T169" i="71"/>
  <c r="U169" i="71" s="1"/>
  <c r="W169" i="71" s="1"/>
  <c r="S169" i="71"/>
  <c r="S170" i="71"/>
  <c r="T170" i="71"/>
  <c r="U170" i="71" s="1"/>
  <c r="W170" i="71" s="1"/>
  <c r="V170" i="71" a="1"/>
  <c r="V170" i="71" s="1"/>
  <c r="FP6" i="23"/>
  <c r="FP7" i="23" s="1"/>
  <c r="B17" i="71"/>
  <c r="C16" i="71"/>
  <c r="EJ44" i="40"/>
  <c r="EI45" i="40"/>
  <c r="EE44" i="40"/>
  <c r="ED45" i="40"/>
  <c r="ET44" i="40"/>
  <c r="ES45" i="40"/>
  <c r="FH45" i="40"/>
  <c r="FI44" i="40"/>
  <c r="FS45" i="40"/>
  <c r="FR46" i="40"/>
  <c r="EX48" i="40"/>
  <c r="EY47" i="40"/>
  <c r="FM43" i="40"/>
  <c r="FN42" i="40"/>
  <c r="EN46" i="40"/>
  <c r="EO45" i="40"/>
  <c r="FD42" i="40"/>
  <c r="FC43" i="40"/>
  <c r="DZ155" i="40"/>
  <c r="DZ156" i="40" s="1"/>
  <c r="DZ157" i="40" s="1"/>
  <c r="DZ158" i="40" s="1"/>
  <c r="J112" i="27"/>
  <c r="K111" i="27"/>
  <c r="D7" i="4"/>
  <c r="D8" i="4" s="1"/>
  <c r="J361" i="23"/>
  <c r="K361" i="23" s="1"/>
  <c r="J369" i="23"/>
  <c r="I198" i="23"/>
  <c r="I200" i="23"/>
  <c r="I209" i="23"/>
  <c r="I193" i="23"/>
  <c r="I197" i="23"/>
  <c r="I206" i="23"/>
  <c r="I201" i="23"/>
  <c r="I196" i="23"/>
  <c r="I208" i="23"/>
  <c r="I203" i="23"/>
  <c r="J198" i="23"/>
  <c r="J203" i="23"/>
  <c r="J206" i="23"/>
  <c r="J195" i="23"/>
  <c r="I204" i="23"/>
  <c r="I195" i="23"/>
  <c r="I205" i="23"/>
  <c r="I194" i="23"/>
  <c r="I202" i="23"/>
  <c r="I210" i="23"/>
  <c r="I199" i="23"/>
  <c r="J194" i="23"/>
  <c r="J202" i="23"/>
  <c r="J210" i="23"/>
  <c r="J199" i="23"/>
  <c r="J207" i="23"/>
  <c r="J196" i="23"/>
  <c r="J204" i="23"/>
  <c r="J193" i="23"/>
  <c r="J201" i="23"/>
  <c r="J209" i="23"/>
  <c r="J200" i="23"/>
  <c r="J208" i="23"/>
  <c r="J197" i="23"/>
  <c r="C18" i="4"/>
  <c r="C20" i="4" s="1"/>
  <c r="C21" i="4" s="1"/>
  <c r="P204" i="71" l="1"/>
  <c r="R172" i="71" s="1"/>
  <c r="Q171" i="71"/>
  <c r="R171" i="71"/>
  <c r="B276" i="1"/>
  <c r="B277" i="1"/>
  <c r="X169" i="71"/>
  <c r="D274" i="1" s="1"/>
  <c r="Y169" i="71"/>
  <c r="Z169" i="71"/>
  <c r="Z170" i="71"/>
  <c r="X170" i="71"/>
  <c r="D275" i="1" s="1"/>
  <c r="Y170" i="71"/>
  <c r="FP8" i="23"/>
  <c r="FP11" i="23" s="1"/>
  <c r="FU3" i="23" s="1"/>
  <c r="FU4" i="23" s="1"/>
  <c r="FU10" i="23" s="1"/>
  <c r="G16" i="71"/>
  <c r="H16" i="71"/>
  <c r="D16" i="71"/>
  <c r="E16" i="71" s="1"/>
  <c r="B18" i="71"/>
  <c r="C17" i="71"/>
  <c r="ED46" i="40"/>
  <c r="EE45" i="40"/>
  <c r="EO46" i="40"/>
  <c r="EN47" i="40"/>
  <c r="EX49" i="40"/>
  <c r="EY48" i="40"/>
  <c r="FI45" i="40"/>
  <c r="FH46" i="40"/>
  <c r="FD43" i="40"/>
  <c r="FC44" i="40"/>
  <c r="FS46" i="40"/>
  <c r="FR47" i="40"/>
  <c r="ES46" i="40"/>
  <c r="ET45" i="40"/>
  <c r="EI46" i="40"/>
  <c r="EJ45" i="40"/>
  <c r="FN43" i="40"/>
  <c r="FM44" i="40"/>
  <c r="DZ159" i="40"/>
  <c r="J113" i="27"/>
  <c r="K112" i="27"/>
  <c r="D9" i="4"/>
  <c r="A5" i="23"/>
  <c r="C22" i="4"/>
  <c r="Q172" i="71" l="1"/>
  <c r="S172" i="71" s="1"/>
  <c r="P208" i="71"/>
  <c r="S171" i="71"/>
  <c r="T171" i="71"/>
  <c r="U171" i="71" s="1"/>
  <c r="G17" i="71"/>
  <c r="H17" i="71"/>
  <c r="D17" i="71"/>
  <c r="E17" i="71" s="1"/>
  <c r="B19" i="71"/>
  <c r="C18" i="71"/>
  <c r="T16" i="71"/>
  <c r="U16" i="71" s="1"/>
  <c r="F16" i="71"/>
  <c r="FU12" i="23"/>
  <c r="FK39" i="23" s="1"/>
  <c r="F469" i="1" s="1"/>
  <c r="T469" i="1" s="1"/>
  <c r="F507" i="1" s="1"/>
  <c r="D10" i="4"/>
  <c r="D11" i="4" s="1"/>
  <c r="D12" i="4" s="1"/>
  <c r="D13" i="4" s="1"/>
  <c r="FR48" i="40"/>
  <c r="FS47" i="40"/>
  <c r="FH47" i="40"/>
  <c r="FI46" i="40"/>
  <c r="EN48" i="40"/>
  <c r="EO47" i="40"/>
  <c r="EJ46" i="40"/>
  <c r="EI47" i="40"/>
  <c r="FM45" i="40"/>
  <c r="FN44" i="40"/>
  <c r="FD44" i="40"/>
  <c r="FC45" i="40"/>
  <c r="ES47" i="40"/>
  <c r="ET46" i="40"/>
  <c r="EY49" i="40"/>
  <c r="EX50" i="40"/>
  <c r="ED47" i="40"/>
  <c r="EE46" i="40"/>
  <c r="DZ160" i="40"/>
  <c r="DZ161" i="40" s="1"/>
  <c r="DZ162" i="40" s="1"/>
  <c r="DZ163" i="40" s="1"/>
  <c r="DZ164" i="40" s="1"/>
  <c r="DZ165" i="40" s="1"/>
  <c r="DZ166" i="40" s="1"/>
  <c r="DZ167" i="40" s="1"/>
  <c r="DZ168" i="40" s="1"/>
  <c r="DZ169" i="40" s="1"/>
  <c r="DZ170" i="40" s="1"/>
  <c r="DZ171" i="40" s="1"/>
  <c r="DZ172" i="40" s="1"/>
  <c r="DZ173" i="40" s="1"/>
  <c r="J114" i="27"/>
  <c r="K113" i="27"/>
  <c r="A6" i="23"/>
  <c r="B5" i="23"/>
  <c r="C23" i="4"/>
  <c r="C25" i="4" s="1"/>
  <c r="C26" i="4" s="1"/>
  <c r="T172" i="71" l="1"/>
  <c r="U172" i="71" s="1"/>
  <c r="W172" i="71" s="1"/>
  <c r="Z172" i="71" s="1"/>
  <c r="V172" i="71" a="1"/>
  <c r="V172" i="71" s="1"/>
  <c r="P212" i="71"/>
  <c r="P216" i="71" s="1"/>
  <c r="B278" i="1"/>
  <c r="Q173" i="71"/>
  <c r="R173" i="71"/>
  <c r="Q175" i="71"/>
  <c r="Q174" i="71"/>
  <c r="R174" i="71"/>
  <c r="B280" i="1"/>
  <c r="B279" i="1"/>
  <c r="Y172" i="71"/>
  <c r="X172" i="71"/>
  <c r="D277" i="1" s="1"/>
  <c r="B20" i="71"/>
  <c r="C19" i="71"/>
  <c r="G18" i="71"/>
  <c r="H18" i="71"/>
  <c r="D18" i="71"/>
  <c r="E18" i="71" s="1"/>
  <c r="F17" i="71"/>
  <c r="T17" i="71"/>
  <c r="U17" i="71" s="1"/>
  <c r="FJ39" i="23"/>
  <c r="C469" i="1" s="1"/>
  <c r="N469" i="1" s="1"/>
  <c r="C507" i="1" s="1"/>
  <c r="FJ43" i="23"/>
  <c r="C473" i="1" s="1"/>
  <c r="N473" i="1" s="1"/>
  <c r="C511" i="1" s="1"/>
  <c r="FK37" i="23"/>
  <c r="F467" i="1" s="1"/>
  <c r="T467" i="1" s="1"/>
  <c r="F505" i="1" s="1"/>
  <c r="FJ37" i="23"/>
  <c r="C467" i="1" s="1"/>
  <c r="N467" i="1" s="1"/>
  <c r="C505" i="1" s="1"/>
  <c r="FK38" i="23"/>
  <c r="F468" i="1" s="1"/>
  <c r="T468" i="1" s="1"/>
  <c r="F506" i="1" s="1"/>
  <c r="FJ38" i="23"/>
  <c r="C468" i="1" s="1"/>
  <c r="N468" i="1" s="1"/>
  <c r="C506" i="1" s="1"/>
  <c r="FK36" i="23"/>
  <c r="F466" i="1" s="1"/>
  <c r="T466" i="1" s="1"/>
  <c r="F504" i="1" s="1"/>
  <c r="FK48" i="23"/>
  <c r="F478" i="1" s="1"/>
  <c r="T478" i="1" s="1"/>
  <c r="F516" i="1" s="1"/>
  <c r="FK51" i="23"/>
  <c r="F481" i="1" s="1"/>
  <c r="T481" i="1" s="1"/>
  <c r="F519" i="1" s="1"/>
  <c r="FJ48" i="23"/>
  <c r="C478" i="1" s="1"/>
  <c r="N478" i="1" s="1"/>
  <c r="C516" i="1" s="1"/>
  <c r="G516" i="1" s="1"/>
  <c r="FK26" i="23"/>
  <c r="F456" i="1" s="1"/>
  <c r="T456" i="1" s="1"/>
  <c r="F494" i="1" s="1"/>
  <c r="FJ54" i="23"/>
  <c r="C484" i="1" s="1"/>
  <c r="N484" i="1" s="1"/>
  <c r="C522" i="1" s="1"/>
  <c r="G522" i="1" s="1"/>
  <c r="FJ42" i="23"/>
  <c r="C472" i="1" s="1"/>
  <c r="N472" i="1" s="1"/>
  <c r="C510" i="1" s="1"/>
  <c r="FJ52" i="23"/>
  <c r="C482" i="1" s="1"/>
  <c r="N482" i="1" s="1"/>
  <c r="C520" i="1" s="1"/>
  <c r="G520" i="1" s="1"/>
  <c r="FJ55" i="23"/>
  <c r="C485" i="1" s="1"/>
  <c r="N485" i="1" s="1"/>
  <c r="C523" i="1" s="1"/>
  <c r="H523" i="1" s="1"/>
  <c r="FJ46" i="23"/>
  <c r="C476" i="1" s="1"/>
  <c r="N476" i="1" s="1"/>
  <c r="C514" i="1" s="1"/>
  <c r="G514" i="1" s="1"/>
  <c r="FK47" i="23"/>
  <c r="F477" i="1" s="1"/>
  <c r="T477" i="1" s="1"/>
  <c r="F515" i="1" s="1"/>
  <c r="FK40" i="23"/>
  <c r="F470" i="1" s="1"/>
  <c r="T470" i="1" s="1"/>
  <c r="F508" i="1" s="1"/>
  <c r="FK32" i="23"/>
  <c r="F462" i="1" s="1"/>
  <c r="T462" i="1" s="1"/>
  <c r="F500" i="1" s="1"/>
  <c r="FK44" i="23"/>
  <c r="F474" i="1" s="1"/>
  <c r="T474" i="1" s="1"/>
  <c r="F512" i="1" s="1"/>
  <c r="FK45" i="23"/>
  <c r="F475" i="1" s="1"/>
  <c r="T475" i="1" s="1"/>
  <c r="F513" i="1" s="1"/>
  <c r="FJ35" i="23"/>
  <c r="C465" i="1" s="1"/>
  <c r="N465" i="1" s="1"/>
  <c r="C503" i="1" s="1"/>
  <c r="FK52" i="23"/>
  <c r="F482" i="1" s="1"/>
  <c r="T482" i="1" s="1"/>
  <c r="F520" i="1" s="1"/>
  <c r="FJ49" i="23"/>
  <c r="C479" i="1" s="1"/>
  <c r="N479" i="1" s="1"/>
  <c r="C517" i="1" s="1"/>
  <c r="G517" i="1" s="1"/>
  <c r="FJ33" i="23"/>
  <c r="C463" i="1" s="1"/>
  <c r="N463" i="1" s="1"/>
  <c r="C501" i="1" s="1"/>
  <c r="FK33" i="23"/>
  <c r="F463" i="1" s="1"/>
  <c r="T463" i="1" s="1"/>
  <c r="F501" i="1" s="1"/>
  <c r="FJ31" i="23"/>
  <c r="C461" i="1" s="1"/>
  <c r="N461" i="1" s="1"/>
  <c r="C499" i="1" s="1"/>
  <c r="FK42" i="23"/>
  <c r="F472" i="1" s="1"/>
  <c r="T472" i="1" s="1"/>
  <c r="F510" i="1" s="1"/>
  <c r="FJ29" i="23"/>
  <c r="C459" i="1" s="1"/>
  <c r="N459" i="1" s="1"/>
  <c r="C497" i="1" s="1"/>
  <c r="FK28" i="23"/>
  <c r="F458" i="1" s="1"/>
  <c r="T458" i="1" s="1"/>
  <c r="F496" i="1" s="1"/>
  <c r="FJ40" i="23"/>
  <c r="C470" i="1" s="1"/>
  <c r="N470" i="1" s="1"/>
  <c r="C508" i="1" s="1"/>
  <c r="FK30" i="23"/>
  <c r="F460" i="1" s="1"/>
  <c r="T460" i="1" s="1"/>
  <c r="F498" i="1" s="1"/>
  <c r="FK55" i="23"/>
  <c r="F485" i="1" s="1"/>
  <c r="T485" i="1" s="1"/>
  <c r="F523" i="1" s="1"/>
  <c r="FK50" i="23"/>
  <c r="F480" i="1" s="1"/>
  <c r="T480" i="1" s="1"/>
  <c r="F518" i="1" s="1"/>
  <c r="FJ53" i="23"/>
  <c r="C483" i="1" s="1"/>
  <c r="N483" i="1" s="1"/>
  <c r="C521" i="1" s="1"/>
  <c r="H521" i="1" s="1"/>
  <c r="FK41" i="23"/>
  <c r="F471" i="1" s="1"/>
  <c r="T471" i="1" s="1"/>
  <c r="F509" i="1" s="1"/>
  <c r="FK31" i="23"/>
  <c r="F461" i="1" s="1"/>
  <c r="T461" i="1" s="1"/>
  <c r="F499" i="1" s="1"/>
  <c r="FJ45" i="23"/>
  <c r="C475" i="1" s="1"/>
  <c r="N475" i="1" s="1"/>
  <c r="C513" i="1" s="1"/>
  <c r="FJ34" i="23"/>
  <c r="C464" i="1" s="1"/>
  <c r="N464" i="1" s="1"/>
  <c r="C502" i="1" s="1"/>
  <c r="FK53" i="23"/>
  <c r="F483" i="1" s="1"/>
  <c r="T483" i="1" s="1"/>
  <c r="F521" i="1" s="1"/>
  <c r="FJ30" i="23"/>
  <c r="C460" i="1" s="1"/>
  <c r="N460" i="1" s="1"/>
  <c r="C498" i="1" s="1"/>
  <c r="FK34" i="23"/>
  <c r="F464" i="1" s="1"/>
  <c r="T464" i="1" s="1"/>
  <c r="F502" i="1" s="1"/>
  <c r="FK27" i="23"/>
  <c r="F457" i="1" s="1"/>
  <c r="T457" i="1" s="1"/>
  <c r="F495" i="1" s="1"/>
  <c r="FJ50" i="23"/>
  <c r="C480" i="1" s="1"/>
  <c r="N480" i="1" s="1"/>
  <c r="C518" i="1" s="1"/>
  <c r="G518" i="1" s="1"/>
  <c r="FJ41" i="23"/>
  <c r="C471" i="1" s="1"/>
  <c r="N471" i="1" s="1"/>
  <c r="C509" i="1" s="1"/>
  <c r="FK29" i="23"/>
  <c r="F459" i="1" s="1"/>
  <c r="T459" i="1" s="1"/>
  <c r="F497" i="1" s="1"/>
  <c r="FJ47" i="23"/>
  <c r="C477" i="1" s="1"/>
  <c r="N477" i="1" s="1"/>
  <c r="C515" i="1" s="1"/>
  <c r="H515" i="1" s="1"/>
  <c r="FJ28" i="23"/>
  <c r="C458" i="1" s="1"/>
  <c r="N458" i="1" s="1"/>
  <c r="C496" i="1" s="1"/>
  <c r="FK46" i="23"/>
  <c r="F476" i="1" s="1"/>
  <c r="T476" i="1" s="1"/>
  <c r="F514" i="1" s="1"/>
  <c r="FJ27" i="23"/>
  <c r="C457" i="1" s="1"/>
  <c r="N457" i="1" s="1"/>
  <c r="C495" i="1" s="1"/>
  <c r="FJ32" i="23"/>
  <c r="C462" i="1" s="1"/>
  <c r="N462" i="1" s="1"/>
  <c r="C500" i="1" s="1"/>
  <c r="FJ51" i="23"/>
  <c r="C481" i="1" s="1"/>
  <c r="N481" i="1" s="1"/>
  <c r="C519" i="1" s="1"/>
  <c r="G519" i="1" s="1"/>
  <c r="FK49" i="23"/>
  <c r="F479" i="1" s="1"/>
  <c r="T479" i="1" s="1"/>
  <c r="F517" i="1" s="1"/>
  <c r="FK43" i="23"/>
  <c r="F473" i="1" s="1"/>
  <c r="T473" i="1" s="1"/>
  <c r="F511" i="1" s="1"/>
  <c r="FJ26" i="23"/>
  <c r="C456" i="1" s="1"/>
  <c r="N456" i="1" s="1"/>
  <c r="C494" i="1" s="1"/>
  <c r="FK54" i="23"/>
  <c r="F484" i="1" s="1"/>
  <c r="T484" i="1" s="1"/>
  <c r="F522" i="1" s="1"/>
  <c r="FK35" i="23"/>
  <c r="F465" i="1" s="1"/>
  <c r="T465" i="1" s="1"/>
  <c r="F503" i="1" s="1"/>
  <c r="FJ44" i="23"/>
  <c r="C474" i="1" s="1"/>
  <c r="N474" i="1" s="1"/>
  <c r="C512" i="1" s="1"/>
  <c r="FJ36" i="23"/>
  <c r="C466" i="1" s="1"/>
  <c r="N466" i="1" s="1"/>
  <c r="C504" i="1" s="1"/>
  <c r="H518" i="1"/>
  <c r="H516" i="1"/>
  <c r="EX51" i="40"/>
  <c r="EY50" i="40"/>
  <c r="FD45" i="40"/>
  <c r="FC46" i="40"/>
  <c r="EJ47" i="40"/>
  <c r="EI48" i="40"/>
  <c r="FH48" i="40"/>
  <c r="FI47" i="40"/>
  <c r="EE47" i="40"/>
  <c r="ED48" i="40"/>
  <c r="ES48" i="40"/>
  <c r="ET47" i="40"/>
  <c r="FM46" i="40"/>
  <c r="FN45" i="40"/>
  <c r="EO48" i="40"/>
  <c r="EN49" i="40"/>
  <c r="FS48" i="40"/>
  <c r="FR49" i="40"/>
  <c r="DZ174" i="40"/>
  <c r="J115" i="27"/>
  <c r="K114" i="27"/>
  <c r="A7" i="23"/>
  <c r="B6" i="23"/>
  <c r="C27" i="4"/>
  <c r="C33" i="4" s="1"/>
  <c r="C35" i="4" s="1"/>
  <c r="D14" i="4"/>
  <c r="I518" i="1" l="1"/>
  <c r="H522" i="1"/>
  <c r="I516" i="1"/>
  <c r="P220" i="71"/>
  <c r="R175" i="71"/>
  <c r="T174" i="71"/>
  <c r="U174" i="71" s="1"/>
  <c r="W174" i="71" s="1"/>
  <c r="S174" i="71"/>
  <c r="V174" i="71" a="1"/>
  <c r="V174" i="71" s="1"/>
  <c r="S175" i="71"/>
  <c r="T175" i="71"/>
  <c r="U175" i="71" s="1"/>
  <c r="V175" i="71" a="1"/>
  <c r="V175" i="71" s="1"/>
  <c r="S173" i="71"/>
  <c r="V173" i="71" a="1"/>
  <c r="V173" i="71" s="1"/>
  <c r="T173" i="71"/>
  <c r="U173" i="71" s="1"/>
  <c r="W173" i="71" s="1"/>
  <c r="G19" i="71"/>
  <c r="H19" i="71"/>
  <c r="D19" i="71"/>
  <c r="E19" i="71" s="1"/>
  <c r="F18" i="71"/>
  <c r="T18" i="71"/>
  <c r="U18" i="71" s="1"/>
  <c r="B21" i="71"/>
  <c r="C20" i="71"/>
  <c r="H517" i="1"/>
  <c r="G523" i="1"/>
  <c r="I523" i="1" s="1"/>
  <c r="G515" i="1"/>
  <c r="I515" i="1" s="1"/>
  <c r="G521" i="1"/>
  <c r="I521" i="1" s="1"/>
  <c r="I519" i="1"/>
  <c r="I522" i="1"/>
  <c r="H514" i="1"/>
  <c r="H520" i="1"/>
  <c r="I517" i="1"/>
  <c r="I514" i="1"/>
  <c r="I520" i="1"/>
  <c r="H519" i="1"/>
  <c r="EO49" i="40"/>
  <c r="EN50" i="40"/>
  <c r="FD46" i="40"/>
  <c r="FC47" i="40"/>
  <c r="ET48" i="40"/>
  <c r="ES49" i="40"/>
  <c r="FH49" i="40"/>
  <c r="FI48" i="40"/>
  <c r="FS49" i="40"/>
  <c r="FR50" i="40"/>
  <c r="EE48" i="40"/>
  <c r="ED49" i="40"/>
  <c r="EI49" i="40"/>
  <c r="EJ48" i="40"/>
  <c r="FN46" i="40"/>
  <c r="FM47" i="40"/>
  <c r="EX52" i="40"/>
  <c r="EY51" i="40"/>
  <c r="DZ175" i="40"/>
  <c r="DZ176" i="40" s="1"/>
  <c r="DZ177" i="40" s="1"/>
  <c r="DZ178" i="40" s="1"/>
  <c r="DZ179" i="40" s="1"/>
  <c r="J116" i="27"/>
  <c r="K115" i="27"/>
  <c r="B7" i="23"/>
  <c r="A8" i="23"/>
  <c r="C36" i="4"/>
  <c r="C37" i="4" s="1"/>
  <c r="C39" i="4" s="1"/>
  <c r="C40" i="4" s="1"/>
  <c r="C41" i="4" s="1"/>
  <c r="C42" i="4" s="1"/>
  <c r="C43" i="4" s="1"/>
  <c r="C44" i="4" s="1"/>
  <c r="C45" i="4" s="1"/>
  <c r="D15" i="4"/>
  <c r="P224" i="71" l="1"/>
  <c r="R177" i="71" s="1"/>
  <c r="Q176" i="71"/>
  <c r="R176" i="71"/>
  <c r="B281" i="1"/>
  <c r="B282" i="1"/>
  <c r="W175" i="71"/>
  <c r="Z175" i="71" s="1"/>
  <c r="Y173" i="71"/>
  <c r="Z173" i="71"/>
  <c r="X173" i="71"/>
  <c r="D278" i="1" s="1"/>
  <c r="X174" i="71"/>
  <c r="D279" i="1" s="1"/>
  <c r="Y174" i="71"/>
  <c r="Z174" i="71"/>
  <c r="C21" i="71"/>
  <c r="B22" i="71"/>
  <c r="T19" i="71"/>
  <c r="U19" i="71" s="1"/>
  <c r="F19" i="71"/>
  <c r="G20" i="71"/>
  <c r="H20" i="71"/>
  <c r="D20" i="71"/>
  <c r="E20" i="71" s="1"/>
  <c r="FM48" i="40"/>
  <c r="FN47" i="40"/>
  <c r="EE49" i="40"/>
  <c r="ED50" i="40"/>
  <c r="FD47" i="40"/>
  <c r="FC48" i="40"/>
  <c r="FI49" i="40"/>
  <c r="FH50" i="40"/>
  <c r="FR51" i="40"/>
  <c r="FS50" i="40"/>
  <c r="ES50" i="40"/>
  <c r="ET49" i="40"/>
  <c r="EO50" i="40"/>
  <c r="EN51" i="40"/>
  <c r="EX53" i="40"/>
  <c r="EY52" i="40"/>
  <c r="EJ49" i="40"/>
  <c r="EI50" i="40"/>
  <c r="DZ180" i="40"/>
  <c r="J117" i="27"/>
  <c r="K116" i="27"/>
  <c r="B8" i="23"/>
  <c r="A9" i="23"/>
  <c r="C46" i="4"/>
  <c r="C47" i="4" s="1"/>
  <c r="C48" i="4" s="1"/>
  <c r="C49" i="4" s="1"/>
  <c r="C53" i="4" s="1"/>
  <c r="C64" i="4" s="1"/>
  <c r="D16" i="4"/>
  <c r="X16" i="71" l="1"/>
  <c r="Z12" i="71"/>
  <c r="X11" i="71"/>
  <c r="Y11" i="71" s="1"/>
  <c r="Y175" i="71"/>
  <c r="X175" i="71"/>
  <c r="D280" i="1" s="1"/>
  <c r="P228" i="71"/>
  <c r="P232" i="71" s="1"/>
  <c r="Q177" i="71"/>
  <c r="S176" i="71"/>
  <c r="T176" i="71"/>
  <c r="U176" i="71" s="1"/>
  <c r="W176" i="71" s="1"/>
  <c r="V176" i="71" a="1"/>
  <c r="V176" i="71" s="1"/>
  <c r="T20" i="71"/>
  <c r="U20" i="71" s="1"/>
  <c r="F20" i="71"/>
  <c r="G21" i="71"/>
  <c r="H21" i="71"/>
  <c r="D21" i="71"/>
  <c r="E21" i="71" s="1"/>
  <c r="C22" i="71"/>
  <c r="B23" i="71"/>
  <c r="FH51" i="40"/>
  <c r="FI50" i="40"/>
  <c r="ED51" i="40"/>
  <c r="EE50" i="40"/>
  <c r="EY53" i="40"/>
  <c r="EX54" i="40"/>
  <c r="ES51" i="40"/>
  <c r="ET50" i="40"/>
  <c r="EJ50" i="40"/>
  <c r="EI51" i="40"/>
  <c r="EO51" i="40"/>
  <c r="EN52" i="40"/>
  <c r="FC49" i="40"/>
  <c r="FD48" i="40"/>
  <c r="FS51" i="40"/>
  <c r="FR52" i="40"/>
  <c r="FN48" i="40"/>
  <c r="FM49" i="40"/>
  <c r="DZ181" i="40"/>
  <c r="DZ182" i="40" s="1"/>
  <c r="J118" i="27"/>
  <c r="K117" i="27"/>
  <c r="A10" i="23"/>
  <c r="B9" i="23"/>
  <c r="D17" i="4"/>
  <c r="D18" i="4" s="1"/>
  <c r="D19" i="4" s="1"/>
  <c r="Y16" i="71" l="1"/>
  <c r="X17" i="71"/>
  <c r="P236" i="71"/>
  <c r="Q213" i="71" s="1"/>
  <c r="R220" i="71"/>
  <c r="Q201" i="71"/>
  <c r="R229" i="71"/>
  <c r="R181" i="71"/>
  <c r="I266" i="1"/>
  <c r="Q209" i="71"/>
  <c r="Q229" i="71"/>
  <c r="Q235" i="71"/>
  <c r="I274" i="1"/>
  <c r="R180" i="71"/>
  <c r="B288" i="1"/>
  <c r="I281" i="1"/>
  <c r="Q206" i="71"/>
  <c r="R197" i="71"/>
  <c r="Q224" i="71"/>
  <c r="R215" i="71"/>
  <c r="R206" i="71"/>
  <c r="R179" i="71"/>
  <c r="R187" i="71"/>
  <c r="R237" i="71"/>
  <c r="B285" i="1"/>
  <c r="R194" i="71"/>
  <c r="R222" i="71"/>
  <c r="R221" i="71"/>
  <c r="R192" i="71"/>
  <c r="I284" i="1"/>
  <c r="R225" i="71"/>
  <c r="B284" i="1"/>
  <c r="Q182" i="71"/>
  <c r="R195" i="71"/>
  <c r="Q208" i="71"/>
  <c r="R212" i="71"/>
  <c r="I277" i="1"/>
  <c r="Q200" i="71"/>
  <c r="Q191" i="71"/>
  <c r="Q231" i="71"/>
  <c r="Q218" i="71"/>
  <c r="I292" i="1"/>
  <c r="I269" i="1"/>
  <c r="B283" i="1"/>
  <c r="R228" i="71"/>
  <c r="R223" i="71"/>
  <c r="I272" i="1"/>
  <c r="Q217" i="71"/>
  <c r="Q234" i="71"/>
  <c r="Q189" i="71"/>
  <c r="Q236" i="71"/>
  <c r="I299" i="1"/>
  <c r="Q227" i="71"/>
  <c r="Q207" i="71"/>
  <c r="R211" i="71"/>
  <c r="R182" i="71"/>
  <c r="B295" i="1"/>
  <c r="B296" i="1"/>
  <c r="Q192" i="71"/>
  <c r="Q214" i="71"/>
  <c r="R200" i="71"/>
  <c r="R233" i="71"/>
  <c r="Q186" i="71"/>
  <c r="B299" i="1"/>
  <c r="R199" i="71"/>
  <c r="I286" i="1"/>
  <c r="Q232" i="71"/>
  <c r="Q228" i="71"/>
  <c r="R178" i="71"/>
  <c r="R190" i="71"/>
  <c r="Q210" i="71"/>
  <c r="Q185" i="71"/>
  <c r="I300" i="1"/>
  <c r="Q195" i="71"/>
  <c r="Q181" i="71"/>
  <c r="R236" i="71"/>
  <c r="R231" i="71"/>
  <c r="I290" i="1"/>
  <c r="I291" i="1"/>
  <c r="Q237" i="71"/>
  <c r="R213" i="71"/>
  <c r="R235" i="71"/>
  <c r="B287" i="1"/>
  <c r="Q184" i="71"/>
  <c r="R239" i="71"/>
  <c r="Q187" i="71"/>
  <c r="I298" i="1"/>
  <c r="I302" i="1"/>
  <c r="R226" i="71"/>
  <c r="Q178" i="71"/>
  <c r="B294" i="1"/>
  <c r="Q202" i="71"/>
  <c r="Q190" i="71"/>
  <c r="I295" i="1"/>
  <c r="I287" i="1"/>
  <c r="B301" i="1"/>
  <c r="I289" i="1"/>
  <c r="I270" i="1"/>
  <c r="R184" i="71"/>
  <c r="I293" i="1"/>
  <c r="I267" i="1"/>
  <c r="I285" i="1"/>
  <c r="R219" i="71"/>
  <c r="R218" i="71"/>
  <c r="I296" i="1"/>
  <c r="I297" i="1"/>
  <c r="R230" i="71"/>
  <c r="I294" i="1"/>
  <c r="R208" i="71"/>
  <c r="R232" i="71"/>
  <c r="I301" i="1"/>
  <c r="R217" i="71"/>
  <c r="B291" i="1"/>
  <c r="R238" i="71"/>
  <c r="R185" i="71"/>
  <c r="R203" i="71"/>
  <c r="B292" i="1"/>
  <c r="Q212" i="71"/>
  <c r="B297" i="1"/>
  <c r="I303" i="1"/>
  <c r="B298" i="1"/>
  <c r="Q183" i="71"/>
  <c r="B289" i="1"/>
  <c r="Q199" i="71"/>
  <c r="R227" i="71"/>
  <c r="R201" i="71"/>
  <c r="Q223" i="71"/>
  <c r="I275" i="1"/>
  <c r="I288" i="1"/>
  <c r="R234" i="71"/>
  <c r="Q226" i="71"/>
  <c r="I282" i="1"/>
  <c r="Q238" i="71"/>
  <c r="R183" i="71"/>
  <c r="Q179" i="71"/>
  <c r="R207" i="71"/>
  <c r="R189" i="71"/>
  <c r="Q211" i="71"/>
  <c r="R216" i="71"/>
  <c r="R188" i="71"/>
  <c r="R209" i="71"/>
  <c r="Q196" i="71"/>
  <c r="R204" i="71"/>
  <c r="Q204" i="71"/>
  <c r="Q203" i="71"/>
  <c r="Q219" i="71"/>
  <c r="R224" i="71"/>
  <c r="I280" i="1"/>
  <c r="Q221" i="71"/>
  <c r="I278" i="1"/>
  <c r="Q225" i="71"/>
  <c r="Q205" i="71"/>
  <c r="R202" i="71"/>
  <c r="I273" i="1"/>
  <c r="I265" i="1"/>
  <c r="R193" i="71"/>
  <c r="Q230" i="71"/>
  <c r="Q216" i="71"/>
  <c r="B304" i="1"/>
  <c r="S177" i="71"/>
  <c r="T177" i="71"/>
  <c r="U177" i="71" s="1"/>
  <c r="W177" i="71" s="1"/>
  <c r="V177" i="71" a="1"/>
  <c r="V177" i="71" s="1"/>
  <c r="Y176" i="71"/>
  <c r="Z176" i="71"/>
  <c r="X176" i="71"/>
  <c r="D281" i="1" s="1"/>
  <c r="C23" i="71"/>
  <c r="B24" i="71"/>
  <c r="H22" i="71"/>
  <c r="G22" i="71"/>
  <c r="D22" i="71"/>
  <c r="E22" i="71" s="1"/>
  <c r="F21" i="71"/>
  <c r="T21" i="71"/>
  <c r="U21" i="71" s="1"/>
  <c r="FR53" i="40"/>
  <c r="FS52" i="40"/>
  <c r="EO52" i="40"/>
  <c r="EN53" i="40"/>
  <c r="ET51" i="40"/>
  <c r="ES52" i="40"/>
  <c r="EE51" i="40"/>
  <c r="ED52" i="40"/>
  <c r="FN49" i="40"/>
  <c r="FM50" i="40"/>
  <c r="EI52" i="40"/>
  <c r="EJ51" i="40"/>
  <c r="EY54" i="40"/>
  <c r="EX55" i="40"/>
  <c r="FD49" i="40"/>
  <c r="FC50" i="40"/>
  <c r="FI51" i="40"/>
  <c r="FH52" i="40"/>
  <c r="DZ183" i="40"/>
  <c r="DZ184" i="40" s="1"/>
  <c r="DZ185" i="40" s="1"/>
  <c r="J119" i="27"/>
  <c r="K118" i="27"/>
  <c r="A11" i="23"/>
  <c r="B10" i="23"/>
  <c r="D20" i="4"/>
  <c r="B303" i="1" l="1"/>
  <c r="I279" i="1"/>
  <c r="I271" i="1"/>
  <c r="Y17" i="71"/>
  <c r="X18" i="71"/>
  <c r="I283" i="1"/>
  <c r="Q239" i="71"/>
  <c r="I276" i="1"/>
  <c r="B293" i="1"/>
  <c r="R210" i="71"/>
  <c r="R214" i="71"/>
  <c r="R191" i="71"/>
  <c r="Q194" i="71"/>
  <c r="Q220" i="71"/>
  <c r="Q222" i="71"/>
  <c r="B290" i="1"/>
  <c r="R196" i="71"/>
  <c r="T213" i="71"/>
  <c r="U213" i="71" s="1"/>
  <c r="W213" i="71" s="1"/>
  <c r="V213" i="71" a="1"/>
  <c r="V213" i="71" s="1"/>
  <c r="S213" i="71"/>
  <c r="Q215" i="71"/>
  <c r="Q180" i="71"/>
  <c r="Q188" i="71"/>
  <c r="Q233" i="71"/>
  <c r="R205" i="71"/>
  <c r="Q193" i="71"/>
  <c r="Q197" i="71"/>
  <c r="B286" i="1"/>
  <c r="R186" i="71"/>
  <c r="R198" i="71"/>
  <c r="I268" i="1"/>
  <c r="Q198" i="71"/>
  <c r="B300" i="1"/>
  <c r="B302" i="1"/>
  <c r="T230" i="71"/>
  <c r="U230" i="71" s="1"/>
  <c r="W230" i="71" s="1"/>
  <c r="S230" i="71"/>
  <c r="V230" i="71" a="1"/>
  <c r="V230" i="71" s="1"/>
  <c r="V221" i="71" a="1"/>
  <c r="V221" i="71" s="1"/>
  <c r="T221" i="71"/>
  <c r="U221" i="71" s="1"/>
  <c r="W221" i="71" s="1"/>
  <c r="S221" i="71"/>
  <c r="T203" i="71"/>
  <c r="U203" i="71" s="1"/>
  <c r="W203" i="71" s="1"/>
  <c r="S203" i="71"/>
  <c r="V203" i="71" a="1"/>
  <c r="V203" i="71" s="1"/>
  <c r="T238" i="71"/>
  <c r="U238" i="71" s="1"/>
  <c r="W238" i="71" s="1"/>
  <c r="S238" i="71"/>
  <c r="V238" i="71" a="1"/>
  <c r="V238" i="71" s="1"/>
  <c r="S190" i="71"/>
  <c r="T190" i="71"/>
  <c r="U190" i="71" s="1"/>
  <c r="W190" i="71" s="1"/>
  <c r="V190" i="71" a="1"/>
  <c r="V190" i="71" s="1"/>
  <c r="T227" i="71"/>
  <c r="U227" i="71" s="1"/>
  <c r="W227" i="71" s="1"/>
  <c r="S227" i="71"/>
  <c r="V227" i="71" a="1"/>
  <c r="V227" i="71" s="1"/>
  <c r="S234" i="71"/>
  <c r="V234" i="71" a="1"/>
  <c r="V234" i="71" s="1"/>
  <c r="T234" i="71"/>
  <c r="U234" i="71" s="1"/>
  <c r="W234" i="71" s="1"/>
  <c r="S218" i="71"/>
  <c r="T218" i="71"/>
  <c r="U218" i="71" s="1"/>
  <c r="W218" i="71" s="1"/>
  <c r="V218" i="71" a="1"/>
  <c r="V218" i="71" s="1"/>
  <c r="V182" i="71" a="1"/>
  <c r="V182" i="71" s="1"/>
  <c r="S182" i="71"/>
  <c r="T182" i="71"/>
  <c r="U182" i="71" s="1"/>
  <c r="W182" i="71" s="1"/>
  <c r="S206" i="71"/>
  <c r="V206" i="71" a="1"/>
  <c r="V206" i="71" s="1"/>
  <c r="T206" i="71"/>
  <c r="U206" i="71" s="1"/>
  <c r="W206" i="71" s="1"/>
  <c r="T239" i="71"/>
  <c r="U239" i="71" s="1"/>
  <c r="W239" i="71" s="1"/>
  <c r="V239" i="71" a="1"/>
  <c r="V239" i="71" s="1"/>
  <c r="S239" i="71"/>
  <c r="T194" i="71"/>
  <c r="U194" i="71" s="1"/>
  <c r="W194" i="71" s="1"/>
  <c r="V194" i="71" a="1"/>
  <c r="V194" i="71" s="1"/>
  <c r="S194" i="71"/>
  <c r="S205" i="71"/>
  <c r="T205" i="71"/>
  <c r="U205" i="71" s="1"/>
  <c r="W205" i="71" s="1"/>
  <c r="V205" i="71" a="1"/>
  <c r="V205" i="71" s="1"/>
  <c r="V204" i="71" a="1"/>
  <c r="V204" i="71" s="1"/>
  <c r="S204" i="71"/>
  <c r="T204" i="71"/>
  <c r="U204" i="71" s="1"/>
  <c r="W204" i="71" s="1"/>
  <c r="V199" i="71" a="1"/>
  <c r="V199" i="71" s="1"/>
  <c r="T199" i="71"/>
  <c r="U199" i="71" s="1"/>
  <c r="W199" i="71" s="1"/>
  <c r="S199" i="71"/>
  <c r="S202" i="71"/>
  <c r="V202" i="71" a="1"/>
  <c r="V202" i="71" s="1"/>
  <c r="T202" i="71"/>
  <c r="U202" i="71" s="1"/>
  <c r="W202" i="71" s="1"/>
  <c r="S184" i="71"/>
  <c r="V184" i="71" a="1"/>
  <c r="V184" i="71" s="1"/>
  <c r="T184" i="71"/>
  <c r="U184" i="71" s="1"/>
  <c r="W184" i="71" s="1"/>
  <c r="S237" i="71"/>
  <c r="V237" i="71" a="1"/>
  <c r="V237" i="71" s="1"/>
  <c r="T237" i="71"/>
  <c r="U237" i="71" s="1"/>
  <c r="W237" i="71" s="1"/>
  <c r="S185" i="71"/>
  <c r="V185" i="71" a="1"/>
  <c r="V185" i="71" s="1"/>
  <c r="T185" i="71"/>
  <c r="U185" i="71" s="1"/>
  <c r="W185" i="71" s="1"/>
  <c r="T228" i="71"/>
  <c r="U228" i="71" s="1"/>
  <c r="W228" i="71" s="1"/>
  <c r="S228" i="71"/>
  <c r="V228" i="71" a="1"/>
  <c r="V228" i="71" s="1"/>
  <c r="T214" i="71"/>
  <c r="U214" i="71" s="1"/>
  <c r="W214" i="71" s="1"/>
  <c r="V214" i="71" a="1"/>
  <c r="V214" i="71" s="1"/>
  <c r="S214" i="71"/>
  <c r="S217" i="71"/>
  <c r="T217" i="71"/>
  <c r="U217" i="71" s="1"/>
  <c r="W217" i="71" s="1"/>
  <c r="V217" i="71" a="1"/>
  <c r="V217" i="71" s="1"/>
  <c r="T231" i="71"/>
  <c r="U231" i="71" s="1"/>
  <c r="W231" i="71" s="1"/>
  <c r="V231" i="71" a="1"/>
  <c r="V231" i="71" s="1"/>
  <c r="S231" i="71"/>
  <c r="V235" i="71" a="1"/>
  <c r="V235" i="71" s="1"/>
  <c r="S235" i="71"/>
  <c r="T235" i="71"/>
  <c r="U235" i="71" s="1"/>
  <c r="W235" i="71" s="1"/>
  <c r="S222" i="71"/>
  <c r="T222" i="71"/>
  <c r="U222" i="71" s="1"/>
  <c r="W222" i="71" s="1"/>
  <c r="V222" i="71" a="1"/>
  <c r="V222" i="71" s="1"/>
  <c r="S225" i="71"/>
  <c r="V225" i="71" a="1"/>
  <c r="V225" i="71" s="1"/>
  <c r="T225" i="71"/>
  <c r="U225" i="71" s="1"/>
  <c r="W225" i="71" s="1"/>
  <c r="S179" i="71"/>
  <c r="V179" i="71" a="1"/>
  <c r="V179" i="71" s="1"/>
  <c r="T179" i="71"/>
  <c r="U179" i="71" s="1"/>
  <c r="W179" i="71" s="1"/>
  <c r="S226" i="71"/>
  <c r="T226" i="71"/>
  <c r="U226" i="71" s="1"/>
  <c r="W226" i="71" s="1"/>
  <c r="V226" i="71" a="1"/>
  <c r="V226" i="71" s="1"/>
  <c r="S223" i="71"/>
  <c r="T223" i="71"/>
  <c r="U223" i="71" s="1"/>
  <c r="W223" i="71" s="1"/>
  <c r="V223" i="71" a="1"/>
  <c r="V223" i="71" s="1"/>
  <c r="V181" i="71" a="1"/>
  <c r="V181" i="71" s="1"/>
  <c r="T181" i="71"/>
  <c r="U181" i="71" s="1"/>
  <c r="W181" i="71" s="1"/>
  <c r="S181" i="71"/>
  <c r="V210" i="71" a="1"/>
  <c r="V210" i="71" s="1"/>
  <c r="T210" i="71"/>
  <c r="U210" i="71" s="1"/>
  <c r="W210" i="71" s="1"/>
  <c r="S210" i="71"/>
  <c r="V232" i="71" a="1"/>
  <c r="V232" i="71" s="1"/>
  <c r="S232" i="71"/>
  <c r="T232" i="71"/>
  <c r="U232" i="71" s="1"/>
  <c r="W232" i="71" s="1"/>
  <c r="V186" i="71" a="1"/>
  <c r="V186" i="71" s="1"/>
  <c r="T186" i="71"/>
  <c r="U186" i="71" s="1"/>
  <c r="W186" i="71" s="1"/>
  <c r="S186" i="71"/>
  <c r="V192" i="71" a="1"/>
  <c r="V192" i="71" s="1"/>
  <c r="T192" i="71"/>
  <c r="U192" i="71" s="1"/>
  <c r="W192" i="71" s="1"/>
  <c r="S192" i="71"/>
  <c r="V236" i="71" a="1"/>
  <c r="V236" i="71" s="1"/>
  <c r="S236" i="71"/>
  <c r="T236" i="71"/>
  <c r="U236" i="71" s="1"/>
  <c r="W236" i="71" s="1"/>
  <c r="V191" i="71" a="1"/>
  <c r="V191" i="71" s="1"/>
  <c r="S191" i="71"/>
  <c r="T191" i="71"/>
  <c r="U191" i="71" s="1"/>
  <c r="W191" i="71" s="1"/>
  <c r="T208" i="71"/>
  <c r="U208" i="71" s="1"/>
  <c r="W208" i="71" s="1"/>
  <c r="V208" i="71" a="1"/>
  <c r="V208" i="71" s="1"/>
  <c r="S208" i="71"/>
  <c r="T224" i="71"/>
  <c r="U224" i="71" s="1"/>
  <c r="W224" i="71" s="1"/>
  <c r="S224" i="71"/>
  <c r="V224" i="71" a="1"/>
  <c r="V224" i="71" s="1"/>
  <c r="V229" i="71" a="1"/>
  <c r="V229" i="71" s="1"/>
  <c r="S229" i="71"/>
  <c r="T229" i="71"/>
  <c r="U229" i="71" s="1"/>
  <c r="W229" i="71" s="1"/>
  <c r="S216" i="71"/>
  <c r="T216" i="71"/>
  <c r="U216" i="71" s="1"/>
  <c r="W216" i="71" s="1"/>
  <c r="V216" i="71" a="1"/>
  <c r="V216" i="71" s="1"/>
  <c r="V219" i="71" a="1"/>
  <c r="V219" i="71" s="1"/>
  <c r="S219" i="71"/>
  <c r="T219" i="71"/>
  <c r="U219" i="71" s="1"/>
  <c r="W219" i="71" s="1"/>
  <c r="V196" i="71" a="1"/>
  <c r="V196" i="71" s="1"/>
  <c r="T196" i="71"/>
  <c r="U196" i="71" s="1"/>
  <c r="W196" i="71" s="1"/>
  <c r="S196" i="71"/>
  <c r="V211" i="71" a="1"/>
  <c r="V211" i="71" s="1"/>
  <c r="S211" i="71"/>
  <c r="T211" i="71"/>
  <c r="U211" i="71" s="1"/>
  <c r="W211" i="71" s="1"/>
  <c r="V183" i="71" a="1"/>
  <c r="V183" i="71" s="1"/>
  <c r="T183" i="71"/>
  <c r="U183" i="71" s="1"/>
  <c r="W183" i="71" s="1"/>
  <c r="S183" i="71"/>
  <c r="S212" i="71"/>
  <c r="T212" i="71"/>
  <c r="U212" i="71" s="1"/>
  <c r="W212" i="71" s="1"/>
  <c r="V212" i="71" a="1"/>
  <c r="V212" i="71" s="1"/>
  <c r="V178" i="71" a="1"/>
  <c r="V178" i="71" s="1"/>
  <c r="T178" i="71"/>
  <c r="U178" i="71" s="1"/>
  <c r="S178" i="71"/>
  <c r="T187" i="71"/>
  <c r="U187" i="71" s="1"/>
  <c r="W187" i="71" s="1"/>
  <c r="V187" i="71" a="1"/>
  <c r="V187" i="71" s="1"/>
  <c r="S187" i="71"/>
  <c r="T195" i="71"/>
  <c r="U195" i="71" s="1"/>
  <c r="W195" i="71" s="1"/>
  <c r="V195" i="71" a="1"/>
  <c r="V195" i="71" s="1"/>
  <c r="S195" i="71"/>
  <c r="T207" i="71"/>
  <c r="U207" i="71" s="1"/>
  <c r="W207" i="71" s="1"/>
  <c r="S207" i="71"/>
  <c r="V207" i="71" a="1"/>
  <c r="V207" i="71" s="1"/>
  <c r="T189" i="71"/>
  <c r="U189" i="71" s="1"/>
  <c r="W189" i="71" s="1"/>
  <c r="V189" i="71" a="1"/>
  <c r="V189" i="71" s="1"/>
  <c r="S189" i="71"/>
  <c r="V200" i="71" a="1"/>
  <c r="V200" i="71" s="1"/>
  <c r="S200" i="71"/>
  <c r="T200" i="71"/>
  <c r="U200" i="71" s="1"/>
  <c r="W200" i="71" s="1"/>
  <c r="S209" i="71"/>
  <c r="V209" i="71" a="1"/>
  <c r="V209" i="71" s="1"/>
  <c r="T209" i="71"/>
  <c r="U209" i="71" s="1"/>
  <c r="W209" i="71" s="1"/>
  <c r="V201" i="71" a="1"/>
  <c r="V201" i="71" s="1"/>
  <c r="S201" i="71"/>
  <c r="T201" i="71"/>
  <c r="U201" i="71" s="1"/>
  <c r="W201" i="71" s="1"/>
  <c r="T220" i="71"/>
  <c r="U220" i="71" s="1"/>
  <c r="W220" i="71" s="1"/>
  <c r="S220" i="71"/>
  <c r="V220" i="71" a="1"/>
  <c r="V220" i="71" s="1"/>
  <c r="X213" i="71"/>
  <c r="AB213" i="71" s="1"/>
  <c r="AC213" i="71" s="1"/>
  <c r="Z213" i="71"/>
  <c r="Y213" i="71"/>
  <c r="Y177" i="71"/>
  <c r="Z177" i="71"/>
  <c r="X177" i="71"/>
  <c r="D282" i="1" s="1"/>
  <c r="C24" i="71"/>
  <c r="B25" i="71"/>
  <c r="T22" i="71"/>
  <c r="U22" i="71" s="1"/>
  <c r="F22" i="71"/>
  <c r="G23" i="71"/>
  <c r="H23" i="71"/>
  <c r="D23" i="71"/>
  <c r="E23" i="71" s="1"/>
  <c r="FD50" i="40"/>
  <c r="FC51" i="40"/>
  <c r="EE52" i="40"/>
  <c r="ED53" i="40"/>
  <c r="EO53" i="40"/>
  <c r="EN54" i="40"/>
  <c r="EI53" i="40"/>
  <c r="EJ52" i="40"/>
  <c r="FH53" i="40"/>
  <c r="FI52" i="40"/>
  <c r="EX56" i="40"/>
  <c r="EY55" i="40"/>
  <c r="FN50" i="40"/>
  <c r="FM51" i="40"/>
  <c r="ET52" i="40"/>
  <c r="ES53" i="40"/>
  <c r="FS53" i="40"/>
  <c r="FR54" i="40"/>
  <c r="DZ186" i="40"/>
  <c r="DZ187" i="40" s="1"/>
  <c r="J120" i="27"/>
  <c r="K119" i="27"/>
  <c r="D21" i="4"/>
  <c r="B11" i="23"/>
  <c r="A12" i="23"/>
  <c r="Y18" i="71" l="1"/>
  <c r="X19" i="71"/>
  <c r="S215" i="71"/>
  <c r="T215" i="71"/>
  <c r="U215" i="71" s="1"/>
  <c r="W215" i="71" s="1"/>
  <c r="V215" i="71" a="1"/>
  <c r="V215" i="71" s="1"/>
  <c r="V198" i="71" a="1"/>
  <c r="V198" i="71" s="1"/>
  <c r="S198" i="71"/>
  <c r="T198" i="71"/>
  <c r="U198" i="71" s="1"/>
  <c r="W198" i="71" s="1"/>
  <c r="V233" i="71" a="1"/>
  <c r="V233" i="71" s="1"/>
  <c r="T233" i="71"/>
  <c r="U233" i="71" s="1"/>
  <c r="W233" i="71" s="1"/>
  <c r="S233" i="71"/>
  <c r="S197" i="71"/>
  <c r="V197" i="71" a="1"/>
  <c r="V197" i="71" s="1"/>
  <c r="T197" i="71"/>
  <c r="U197" i="71" s="1"/>
  <c r="W197" i="71" s="1"/>
  <c r="V188" i="71" a="1"/>
  <c r="V188" i="71" s="1"/>
  <c r="T188" i="71"/>
  <c r="U188" i="71" s="1"/>
  <c r="W188" i="71" s="1"/>
  <c r="S188" i="71"/>
  <c r="T193" i="71"/>
  <c r="U193" i="71" s="1"/>
  <c r="W193" i="71" s="1"/>
  <c r="V193" i="71" a="1"/>
  <c r="V193" i="71" s="1"/>
  <c r="S193" i="71"/>
  <c r="V180" i="71" a="1"/>
  <c r="V180" i="71" s="1"/>
  <c r="S180" i="71"/>
  <c r="T180" i="71"/>
  <c r="U180" i="71" s="1"/>
  <c r="W180" i="71" s="1"/>
  <c r="Z224" i="71"/>
  <c r="X224" i="71"/>
  <c r="AB224" i="71" s="1"/>
  <c r="AC224" i="71" s="1"/>
  <c r="Y224" i="71"/>
  <c r="X232" i="71"/>
  <c r="AB232" i="71" s="1"/>
  <c r="AC232" i="71" s="1"/>
  <c r="Z232" i="71"/>
  <c r="Y232" i="71"/>
  <c r="X210" i="71"/>
  <c r="AB210" i="71" s="1"/>
  <c r="AC210" i="71" s="1"/>
  <c r="Y210" i="71"/>
  <c r="Z210" i="71"/>
  <c r="X235" i="71"/>
  <c r="AB235" i="71" s="1"/>
  <c r="AC235" i="71" s="1"/>
  <c r="Y235" i="71"/>
  <c r="Z235" i="71"/>
  <c r="X202" i="71"/>
  <c r="AB202" i="71" s="1"/>
  <c r="AC202" i="71" s="1"/>
  <c r="Z202" i="71"/>
  <c r="Y202" i="71"/>
  <c r="X199" i="71"/>
  <c r="Y199" i="71"/>
  <c r="Z199" i="71"/>
  <c r="X227" i="71"/>
  <c r="AB227" i="71" s="1"/>
  <c r="AC227" i="71" s="1"/>
  <c r="Z227" i="71"/>
  <c r="Y227" i="71"/>
  <c r="Z191" i="71"/>
  <c r="X191" i="71"/>
  <c r="Y191" i="71"/>
  <c r="Y187" i="71"/>
  <c r="Z187" i="71"/>
  <c r="X187" i="71"/>
  <c r="X226" i="71"/>
  <c r="AB226" i="71" s="1"/>
  <c r="AC226" i="71" s="1"/>
  <c r="Y226" i="71"/>
  <c r="Z226" i="71"/>
  <c r="Y231" i="71"/>
  <c r="Z231" i="71"/>
  <c r="X231" i="71"/>
  <c r="AB231" i="71" s="1"/>
  <c r="AC231" i="71" s="1"/>
  <c r="Y184" i="71"/>
  <c r="X184" i="71"/>
  <c r="D289" i="1" s="1"/>
  <c r="Z184" i="71"/>
  <c r="Z239" i="71"/>
  <c r="X239" i="71"/>
  <c r="AB239" i="71" s="1"/>
  <c r="AC239" i="71" s="1"/>
  <c r="Y239" i="71"/>
  <c r="X182" i="71"/>
  <c r="D287" i="1" s="1"/>
  <c r="Z182" i="71"/>
  <c r="Y182" i="71"/>
  <c r="Z218" i="71"/>
  <c r="Y218" i="71"/>
  <c r="X218" i="71"/>
  <c r="AB218" i="71" s="1"/>
  <c r="AC218" i="71" s="1"/>
  <c r="Z203" i="71"/>
  <c r="Y203" i="71"/>
  <c r="X203" i="71"/>
  <c r="AB203" i="71" s="1"/>
  <c r="AC203" i="71" s="1"/>
  <c r="Z201" i="71"/>
  <c r="X201" i="71"/>
  <c r="AB201" i="71" s="1"/>
  <c r="AC201" i="71" s="1"/>
  <c r="Y201" i="71"/>
  <c r="X219" i="71"/>
  <c r="AB219" i="71" s="1"/>
  <c r="AC219" i="71" s="1"/>
  <c r="Y219" i="71"/>
  <c r="Z219" i="71"/>
  <c r="X216" i="71"/>
  <c r="AB216" i="71" s="1"/>
  <c r="AC216" i="71" s="1"/>
  <c r="Z216" i="71"/>
  <c r="Y216" i="71"/>
  <c r="Y195" i="71"/>
  <c r="Z195" i="71"/>
  <c r="X195" i="71"/>
  <c r="Y212" i="71"/>
  <c r="Z212" i="71"/>
  <c r="X212" i="71"/>
  <c r="AB212" i="71" s="1"/>
  <c r="AC212" i="71" s="1"/>
  <c r="Z186" i="71"/>
  <c r="Y186" i="71"/>
  <c r="X186" i="71"/>
  <c r="X223" i="71"/>
  <c r="AB223" i="71" s="1"/>
  <c r="AC223" i="71" s="1"/>
  <c r="Z223" i="71"/>
  <c r="Y223" i="71"/>
  <c r="X225" i="71"/>
  <c r="AB225" i="71" s="1"/>
  <c r="AC225" i="71" s="1"/>
  <c r="Y225" i="71"/>
  <c r="Z225" i="71"/>
  <c r="Z222" i="71"/>
  <c r="Y222" i="71"/>
  <c r="X222" i="71"/>
  <c r="AB222" i="71" s="1"/>
  <c r="AC222" i="71" s="1"/>
  <c r="Z228" i="71"/>
  <c r="Y228" i="71"/>
  <c r="X228" i="71"/>
  <c r="AB228" i="71" s="1"/>
  <c r="AC228" i="71" s="1"/>
  <c r="Y237" i="71"/>
  <c r="X237" i="71"/>
  <c r="AB237" i="71" s="1"/>
  <c r="AC237" i="71" s="1"/>
  <c r="Z237" i="71"/>
  <c r="Y204" i="71"/>
  <c r="Z204" i="71"/>
  <c r="X204" i="71"/>
  <c r="AB204" i="71" s="1"/>
  <c r="AC204" i="71" s="1"/>
  <c r="X205" i="71"/>
  <c r="AB205" i="71" s="1"/>
  <c r="AC205" i="71" s="1"/>
  <c r="Y205" i="71"/>
  <c r="Z205" i="71"/>
  <c r="X194" i="71"/>
  <c r="Z194" i="71"/>
  <c r="Y194" i="71"/>
  <c r="Z206" i="71"/>
  <c r="X206" i="71"/>
  <c r="AB206" i="71" s="1"/>
  <c r="AC206" i="71" s="1"/>
  <c r="Y206" i="71"/>
  <c r="X190" i="71"/>
  <c r="Y190" i="71"/>
  <c r="Z190" i="71"/>
  <c r="Y238" i="71"/>
  <c r="X238" i="71"/>
  <c r="AB238" i="71" s="1"/>
  <c r="AC238" i="71" s="1"/>
  <c r="Z238" i="71"/>
  <c r="Z220" i="71"/>
  <c r="X220" i="71"/>
  <c r="AB220" i="71" s="1"/>
  <c r="AC220" i="71" s="1"/>
  <c r="Y220" i="71"/>
  <c r="Y209" i="71"/>
  <c r="X209" i="71"/>
  <c r="AB209" i="71" s="1"/>
  <c r="AC209" i="71" s="1"/>
  <c r="Z209" i="71"/>
  <c r="X189" i="71"/>
  <c r="Z189" i="71"/>
  <c r="Y189" i="71"/>
  <c r="X183" i="71"/>
  <c r="D288" i="1" s="1"/>
  <c r="Y183" i="71"/>
  <c r="Z183" i="71"/>
  <c r="X200" i="71"/>
  <c r="AB200" i="71" s="1"/>
  <c r="AC200" i="71" s="1"/>
  <c r="Z200" i="71"/>
  <c r="Y200" i="71"/>
  <c r="Z207" i="71"/>
  <c r="Y207" i="71"/>
  <c r="X207" i="71"/>
  <c r="AB207" i="71" s="1"/>
  <c r="AC207" i="71" s="1"/>
  <c r="W178" i="71"/>
  <c r="Y211" i="71"/>
  <c r="X211" i="71"/>
  <c r="AB211" i="71" s="1"/>
  <c r="AC211" i="71" s="1"/>
  <c r="Z211" i="71"/>
  <c r="Y196" i="71"/>
  <c r="X196" i="71"/>
  <c r="Z196" i="71"/>
  <c r="X229" i="71"/>
  <c r="AB229" i="71" s="1"/>
  <c r="AC229" i="71" s="1"/>
  <c r="Y229" i="71"/>
  <c r="Z229" i="71"/>
  <c r="Z208" i="71"/>
  <c r="Y208" i="71"/>
  <c r="X208" i="71"/>
  <c r="AB208" i="71" s="1"/>
  <c r="AC208" i="71" s="1"/>
  <c r="Z236" i="71"/>
  <c r="X236" i="71"/>
  <c r="AB236" i="71" s="1"/>
  <c r="AC236" i="71" s="1"/>
  <c r="Y236" i="71"/>
  <c r="X192" i="71"/>
  <c r="Y192" i="71"/>
  <c r="Z192" i="71"/>
  <c r="Z181" i="71"/>
  <c r="X181" i="71"/>
  <c r="D286" i="1" s="1"/>
  <c r="Y181" i="71"/>
  <c r="Y179" i="71"/>
  <c r="X179" i="71"/>
  <c r="D284" i="1" s="1"/>
  <c r="Z179" i="71"/>
  <c r="Z217" i="71"/>
  <c r="Y217" i="71"/>
  <c r="X217" i="71"/>
  <c r="AB217" i="71" s="1"/>
  <c r="AC217" i="71" s="1"/>
  <c r="Y214" i="71"/>
  <c r="Z214" i="71"/>
  <c r="X214" i="71"/>
  <c r="AB214" i="71" s="1"/>
  <c r="AC214" i="71" s="1"/>
  <c r="Z185" i="71"/>
  <c r="X185" i="71"/>
  <c r="Y185" i="71"/>
  <c r="Z234" i="71"/>
  <c r="Y234" i="71"/>
  <c r="X234" i="71"/>
  <c r="AB234" i="71" s="1"/>
  <c r="AC234" i="71" s="1"/>
  <c r="Z221" i="71"/>
  <c r="Y221" i="71"/>
  <c r="X221" i="71"/>
  <c r="AB221" i="71" s="1"/>
  <c r="AC221" i="71" s="1"/>
  <c r="Z230" i="71"/>
  <c r="Y230" i="71"/>
  <c r="X230" i="71"/>
  <c r="AB230" i="71" s="1"/>
  <c r="AC230" i="71" s="1"/>
  <c r="B26" i="71"/>
  <c r="C25" i="71"/>
  <c r="T23" i="71"/>
  <c r="U23" i="71" s="1"/>
  <c r="F23" i="71"/>
  <c r="H24" i="71"/>
  <c r="G24" i="71"/>
  <c r="D24" i="71"/>
  <c r="E24" i="71" s="1"/>
  <c r="D24" i="4"/>
  <c r="D27" i="4" s="1"/>
  <c r="D28" i="4" s="1"/>
  <c r="D29" i="4" s="1"/>
  <c r="D30" i="4" s="1"/>
  <c r="D31" i="4" s="1"/>
  <c r="D32" i="4" s="1"/>
  <c r="D22" i="4"/>
  <c r="ET53" i="40"/>
  <c r="ES54" i="40"/>
  <c r="ED54" i="40"/>
  <c r="EE53" i="40"/>
  <c r="EX57" i="40"/>
  <c r="EY56" i="40"/>
  <c r="EJ53" i="40"/>
  <c r="EI54" i="40"/>
  <c r="FS54" i="40"/>
  <c r="FR55" i="40"/>
  <c r="FN51" i="40"/>
  <c r="FM52" i="40"/>
  <c r="EO54" i="40"/>
  <c r="EN55" i="40"/>
  <c r="FD51" i="40"/>
  <c r="FC52" i="40"/>
  <c r="FI53" i="40"/>
  <c r="FH54" i="40"/>
  <c r="DZ188" i="40"/>
  <c r="DZ189" i="40" s="1"/>
  <c r="J121" i="27"/>
  <c r="K120" i="27"/>
  <c r="H494" i="1"/>
  <c r="G494" i="1"/>
  <c r="I494" i="1" s="1"/>
  <c r="D34" i="4"/>
  <c r="D33" i="4"/>
  <c r="B12" i="23"/>
  <c r="A13" i="23"/>
  <c r="X20" i="71" l="1"/>
  <c r="Y19" i="71"/>
  <c r="Y193" i="71"/>
  <c r="Z193" i="71"/>
  <c r="X193" i="71"/>
  <c r="Y197" i="71"/>
  <c r="Z197" i="71"/>
  <c r="X197" i="71"/>
  <c r="Z233" i="71"/>
  <c r="X233" i="71"/>
  <c r="AB233" i="71" s="1"/>
  <c r="AC233" i="71" s="1"/>
  <c r="Y233" i="71"/>
  <c r="Z188" i="71"/>
  <c r="X188" i="71"/>
  <c r="Y188" i="71"/>
  <c r="X198" i="71"/>
  <c r="Y198" i="71"/>
  <c r="Z198" i="71"/>
  <c r="X215" i="71"/>
  <c r="AB215" i="71" s="1"/>
  <c r="AC215" i="71" s="1"/>
  <c r="Y215" i="71"/>
  <c r="Z215" i="71"/>
  <c r="X180" i="71"/>
  <c r="D285" i="1" s="1"/>
  <c r="Y180" i="71"/>
  <c r="Z180" i="71"/>
  <c r="D290" i="1"/>
  <c r="AB185" i="71"/>
  <c r="AC185" i="71" s="1"/>
  <c r="AB194" i="71"/>
  <c r="AC194" i="71" s="1"/>
  <c r="D299" i="1"/>
  <c r="D300" i="1"/>
  <c r="AB195" i="71"/>
  <c r="AC195" i="71" s="1"/>
  <c r="D304" i="1"/>
  <c r="AB199" i="71"/>
  <c r="AC199" i="71" s="1"/>
  <c r="D301" i="1"/>
  <c r="AB196" i="71"/>
  <c r="AC196" i="71" s="1"/>
  <c r="D292" i="1"/>
  <c r="AB187" i="71"/>
  <c r="AC187" i="71" s="1"/>
  <c r="AB191" i="71"/>
  <c r="AC191" i="71" s="1"/>
  <c r="D296" i="1"/>
  <c r="D297" i="1"/>
  <c r="AB192" i="71"/>
  <c r="AC192" i="71" s="1"/>
  <c r="Z178" i="71"/>
  <c r="Y178" i="71"/>
  <c r="X178" i="71"/>
  <c r="D283" i="1" s="1"/>
  <c r="AB189" i="71"/>
  <c r="AC189" i="71" s="1"/>
  <c r="D294" i="1"/>
  <c r="AB190" i="71"/>
  <c r="AC190" i="71" s="1"/>
  <c r="D295" i="1"/>
  <c r="D291" i="1"/>
  <c r="AB186" i="71"/>
  <c r="AC186" i="71" s="1"/>
  <c r="G25" i="71"/>
  <c r="H25" i="71"/>
  <c r="D25" i="71"/>
  <c r="E25" i="71" s="1"/>
  <c r="T24" i="71"/>
  <c r="U24" i="71" s="1"/>
  <c r="F24" i="71"/>
  <c r="C26" i="71"/>
  <c r="B27" i="71"/>
  <c r="D63" i="4"/>
  <c r="D38" i="4"/>
  <c r="FD52" i="40"/>
  <c r="FC53" i="40"/>
  <c r="FM53" i="40"/>
  <c r="FN52" i="40"/>
  <c r="EJ54" i="40"/>
  <c r="EI55" i="40"/>
  <c r="EE54" i="40"/>
  <c r="ED55" i="40"/>
  <c r="FI54" i="40"/>
  <c r="FH55" i="40"/>
  <c r="EO55" i="40"/>
  <c r="EN56" i="40"/>
  <c r="FS55" i="40"/>
  <c r="FR56" i="40"/>
  <c r="ES55" i="40"/>
  <c r="ET54" i="40"/>
  <c r="EX58" i="40"/>
  <c r="EY57" i="40"/>
  <c r="DZ190" i="40"/>
  <c r="DZ191" i="40" s="1"/>
  <c r="J122" i="27"/>
  <c r="K121" i="27"/>
  <c r="AA506" i="1"/>
  <c r="AA509" i="1"/>
  <c r="G496" i="1"/>
  <c r="I496" i="1" s="1"/>
  <c r="H496" i="1"/>
  <c r="H495" i="1"/>
  <c r="G495" i="1"/>
  <c r="I495" i="1" s="1"/>
  <c r="A14" i="23"/>
  <c r="B13" i="23"/>
  <c r="Y20" i="71" l="1"/>
  <c r="X21" i="71"/>
  <c r="D293" i="1"/>
  <c r="AB188" i="71"/>
  <c r="AC188" i="71" s="1"/>
  <c r="AB193" i="71"/>
  <c r="AC193" i="71" s="1"/>
  <c r="D298" i="1"/>
  <c r="AB197" i="71"/>
  <c r="AC197" i="71" s="1"/>
  <c r="D302" i="1"/>
  <c r="AB198" i="71"/>
  <c r="AC198" i="71" s="1"/>
  <c r="D303" i="1"/>
  <c r="G26" i="71"/>
  <c r="H26" i="71"/>
  <c r="D26" i="71"/>
  <c r="E26" i="71" s="1"/>
  <c r="B28" i="71"/>
  <c r="C27" i="71"/>
  <c r="T25" i="71"/>
  <c r="U25" i="71" s="1"/>
  <c r="F25" i="71"/>
  <c r="D64" i="4"/>
  <c r="D65" i="4" s="1"/>
  <c r="D66" i="4" s="1"/>
  <c r="D67" i="4" s="1"/>
  <c r="D68" i="4" s="1"/>
  <c r="D69" i="4" s="1"/>
  <c r="D70" i="4" s="1"/>
  <c r="D71" i="4" s="1"/>
  <c r="D72" i="4" s="1"/>
  <c r="D73" i="4" s="1"/>
  <c r="D74" i="4" s="1"/>
  <c r="D75" i="4" s="1"/>
  <c r="D76" i="4" s="1"/>
  <c r="D77" i="4" s="1"/>
  <c r="D78" i="4" s="1"/>
  <c r="D79" i="4" s="1"/>
  <c r="D80" i="4" s="1"/>
  <c r="D81" i="4" s="1"/>
  <c r="D82" i="4" s="1"/>
  <c r="D83" i="4" s="1"/>
  <c r="D84" i="4" s="1"/>
  <c r="D85" i="4" s="1"/>
  <c r="D86" i="4" s="1"/>
  <c r="D87" i="4" s="1"/>
  <c r="D88" i="4" s="1"/>
  <c r="D89" i="4" s="1"/>
  <c r="D90" i="4" s="1"/>
  <c r="D91" i="4" s="1"/>
  <c r="D92" i="4" s="1"/>
  <c r="D93" i="4" s="1"/>
  <c r="D94" i="4" s="1"/>
  <c r="D95" i="4" s="1"/>
  <c r="D96" i="4" s="1"/>
  <c r="D97" i="4" s="1"/>
  <c r="D98" i="4" s="1"/>
  <c r="D99" i="4" s="1"/>
  <c r="D100" i="4" s="1"/>
  <c r="D101" i="4" s="1"/>
  <c r="EN57" i="40"/>
  <c r="EO56" i="40"/>
  <c r="EE55" i="40"/>
  <c r="ED56" i="40"/>
  <c r="ES56" i="40"/>
  <c r="ET55" i="40"/>
  <c r="FN53" i="40"/>
  <c r="FM54" i="40"/>
  <c r="FS56" i="40"/>
  <c r="FR57" i="40"/>
  <c r="FI55" i="40"/>
  <c r="FH56" i="40"/>
  <c r="EI56" i="40"/>
  <c r="EJ55" i="40"/>
  <c r="FD53" i="40"/>
  <c r="FC54" i="40"/>
  <c r="EY58" i="40"/>
  <c r="EX59" i="40"/>
  <c r="DZ192" i="40"/>
  <c r="DZ193" i="40" s="1"/>
  <c r="J123" i="27"/>
  <c r="K122" i="27"/>
  <c r="A15" i="23"/>
  <c r="B14" i="23"/>
  <c r="X22" i="71" l="1"/>
  <c r="Y21" i="71"/>
  <c r="C28" i="71"/>
  <c r="B29" i="71"/>
  <c r="O27" i="71"/>
  <c r="P27" i="71" s="1"/>
  <c r="D27" i="71"/>
  <c r="E27" i="71" s="1"/>
  <c r="F27" i="71" s="1"/>
  <c r="G27" i="71"/>
  <c r="H27" i="71"/>
  <c r="T26" i="71"/>
  <c r="U26" i="71" s="1"/>
  <c r="F26" i="71"/>
  <c r="AB10" i="71"/>
  <c r="AA15" i="71"/>
  <c r="Z11" i="71"/>
  <c r="AA11" i="71" s="1"/>
  <c r="AB15" i="71"/>
  <c r="Z16" i="71"/>
  <c r="AA16" i="71" s="1"/>
  <c r="FD54" i="40"/>
  <c r="FC55" i="40"/>
  <c r="FH57" i="40"/>
  <c r="FI56" i="40"/>
  <c r="FN54" i="40"/>
  <c r="FM55" i="40"/>
  <c r="EE56" i="40"/>
  <c r="ED57" i="40"/>
  <c r="EX60" i="40"/>
  <c r="EY59" i="40"/>
  <c r="FS57" i="40"/>
  <c r="FR58" i="40"/>
  <c r="EI57" i="40"/>
  <c r="EJ56" i="40"/>
  <c r="ES57" i="40"/>
  <c r="ET56" i="40"/>
  <c r="EO57" i="40"/>
  <c r="EN58" i="40"/>
  <c r="DZ194" i="40"/>
  <c r="DZ195" i="40" s="1"/>
  <c r="DZ196" i="40" s="1"/>
  <c r="J124" i="27"/>
  <c r="K123" i="27"/>
  <c r="B15" i="23"/>
  <c r="A16" i="23"/>
  <c r="X23" i="71" l="1"/>
  <c r="Y22" i="71"/>
  <c r="B30" i="71"/>
  <c r="C29" i="71"/>
  <c r="V16" i="71"/>
  <c r="W15" i="71"/>
  <c r="H28" i="71"/>
  <c r="O28" i="71"/>
  <c r="P28" i="71" s="1"/>
  <c r="D28" i="71"/>
  <c r="E28" i="71" s="1"/>
  <c r="F28" i="71" s="1"/>
  <c r="G28" i="71"/>
  <c r="AB11" i="71"/>
  <c r="Z17" i="71"/>
  <c r="AA17" i="71" s="1"/>
  <c r="AB16" i="71"/>
  <c r="FS58" i="40"/>
  <c r="FR59" i="40"/>
  <c r="ED58" i="40"/>
  <c r="EE57" i="40"/>
  <c r="ET57" i="40"/>
  <c r="ES58" i="40"/>
  <c r="FI57" i="40"/>
  <c r="FH58" i="40"/>
  <c r="EO58" i="40"/>
  <c r="EN59" i="40"/>
  <c r="FN55" i="40"/>
  <c r="FM56" i="40"/>
  <c r="FD55" i="40"/>
  <c r="FC56" i="40"/>
  <c r="EI58" i="40"/>
  <c r="EJ57" i="40"/>
  <c r="EX61" i="40"/>
  <c r="EY60" i="40"/>
  <c r="DZ197" i="40"/>
  <c r="J125" i="27"/>
  <c r="K124" i="27"/>
  <c r="B16" i="23"/>
  <c r="A17" i="23"/>
  <c r="Y23" i="71" l="1"/>
  <c r="X24" i="71"/>
  <c r="D29" i="71"/>
  <c r="E29" i="71" s="1"/>
  <c r="F29" i="71" s="1"/>
  <c r="G29" i="71"/>
  <c r="H29" i="71"/>
  <c r="O29" i="71"/>
  <c r="P29" i="71" s="1"/>
  <c r="V17" i="71"/>
  <c r="W16" i="71"/>
  <c r="C30" i="71"/>
  <c r="B31" i="71"/>
  <c r="Z18" i="71"/>
  <c r="Z19" i="71" s="1"/>
  <c r="AB17" i="71"/>
  <c r="FM57" i="40"/>
  <c r="FN56" i="40"/>
  <c r="FI58" i="40"/>
  <c r="FH59" i="40"/>
  <c r="EI59" i="40"/>
  <c r="EJ58" i="40"/>
  <c r="EE58" i="40"/>
  <c r="ED59" i="40"/>
  <c r="FD56" i="40"/>
  <c r="FC57" i="40"/>
  <c r="EO59" i="40"/>
  <c r="EN60" i="40"/>
  <c r="ES59" i="40"/>
  <c r="ET58" i="40"/>
  <c r="FS59" i="40"/>
  <c r="FR60" i="40"/>
  <c r="EX62" i="40"/>
  <c r="EY61" i="40"/>
  <c r="DZ198" i="40"/>
  <c r="DZ199" i="40" s="1"/>
  <c r="DZ200" i="40" s="1"/>
  <c r="DZ201" i="40" s="1"/>
  <c r="DZ202" i="40" s="1"/>
  <c r="DZ203" i="40" s="1"/>
  <c r="DZ204" i="40" s="1"/>
  <c r="DZ205" i="40" s="1"/>
  <c r="DZ206" i="40" s="1"/>
  <c r="DZ207" i="40" s="1"/>
  <c r="DZ208" i="40" s="1"/>
  <c r="DZ209" i="40" s="1"/>
  <c r="DZ210" i="40" s="1"/>
  <c r="DZ211" i="40" s="1"/>
  <c r="DZ212" i="40" s="1"/>
  <c r="J126" i="27"/>
  <c r="K125" i="27"/>
  <c r="A18" i="23"/>
  <c r="B17" i="23"/>
  <c r="X25" i="71" l="1"/>
  <c r="Y24" i="71"/>
  <c r="C31" i="71"/>
  <c r="B32" i="71"/>
  <c r="D30" i="71"/>
  <c r="E30" i="71" s="1"/>
  <c r="F30" i="71" s="1"/>
  <c r="G30" i="71"/>
  <c r="H30" i="71"/>
  <c r="O30" i="71"/>
  <c r="P30" i="71" s="1"/>
  <c r="V18" i="71"/>
  <c r="W17" i="71"/>
  <c r="AA18" i="71"/>
  <c r="AB18" i="71"/>
  <c r="AA19" i="71"/>
  <c r="Z20" i="71"/>
  <c r="AB19" i="71"/>
  <c r="FS60" i="40"/>
  <c r="FR61" i="40"/>
  <c r="EN61" i="40"/>
  <c r="EO60" i="40"/>
  <c r="EE59" i="40"/>
  <c r="ED60" i="40"/>
  <c r="FH60" i="40"/>
  <c r="FI59" i="40"/>
  <c r="FC58" i="40"/>
  <c r="FD57" i="40"/>
  <c r="EX63" i="40"/>
  <c r="EY62" i="40"/>
  <c r="ES60" i="40"/>
  <c r="ET59" i="40"/>
  <c r="EJ59" i="40"/>
  <c r="EI60" i="40"/>
  <c r="FN57" i="40"/>
  <c r="FM58" i="40"/>
  <c r="DZ213" i="40"/>
  <c r="DZ214" i="40" s="1"/>
  <c r="J127" i="27"/>
  <c r="K126" i="27"/>
  <c r="A19" i="23"/>
  <c r="B18" i="23"/>
  <c r="Y25" i="71" l="1"/>
  <c r="X26" i="71"/>
  <c r="B33" i="71"/>
  <c r="C32" i="71"/>
  <c r="W18" i="71"/>
  <c r="V19" i="71"/>
  <c r="H31" i="71"/>
  <c r="O31" i="71"/>
  <c r="P31" i="71" s="1"/>
  <c r="D31" i="71"/>
  <c r="E31" i="71" s="1"/>
  <c r="F31" i="71" s="1"/>
  <c r="G31" i="71"/>
  <c r="AA20" i="71"/>
  <c r="Z21" i="71"/>
  <c r="AB20" i="71"/>
  <c r="EJ60" i="40"/>
  <c r="EI61" i="40"/>
  <c r="EY63" i="40"/>
  <c r="EX64" i="40"/>
  <c r="FI60" i="40"/>
  <c r="FH61" i="40"/>
  <c r="EO61" i="40"/>
  <c r="EN62" i="40"/>
  <c r="FN58" i="40"/>
  <c r="FM59" i="40"/>
  <c r="ED61" i="40"/>
  <c r="EE60" i="40"/>
  <c r="FR62" i="40"/>
  <c r="FS61" i="40"/>
  <c r="ES61" i="40"/>
  <c r="ET60" i="40"/>
  <c r="FD58" i="40"/>
  <c r="FC59" i="40"/>
  <c r="DZ215" i="40"/>
  <c r="DZ216" i="40" s="1"/>
  <c r="DZ217" i="40" s="1"/>
  <c r="J128" i="27"/>
  <c r="K127" i="27"/>
  <c r="B19" i="23"/>
  <c r="A20" i="23"/>
  <c r="Y26" i="71" l="1"/>
  <c r="X27" i="71"/>
  <c r="V20" i="71"/>
  <c r="W19" i="71"/>
  <c r="D32" i="71"/>
  <c r="E32" i="71" s="1"/>
  <c r="F32" i="71" s="1"/>
  <c r="G32" i="71"/>
  <c r="H32" i="71"/>
  <c r="O32" i="71"/>
  <c r="P32" i="71" s="1"/>
  <c r="C33" i="71"/>
  <c r="B34" i="71"/>
  <c r="Z22" i="71"/>
  <c r="AA21" i="71"/>
  <c r="AB21" i="71"/>
  <c r="EO62" i="40"/>
  <c r="EN63" i="40"/>
  <c r="EY64" i="40"/>
  <c r="EX65" i="40"/>
  <c r="ET61" i="40"/>
  <c r="ES62" i="40"/>
  <c r="ED62" i="40"/>
  <c r="EE61" i="40"/>
  <c r="FD59" i="40"/>
  <c r="FC60" i="40"/>
  <c r="FM60" i="40"/>
  <c r="FN59" i="40"/>
  <c r="FH62" i="40"/>
  <c r="FI61" i="40"/>
  <c r="EJ61" i="40"/>
  <c r="EI62" i="40"/>
  <c r="FS62" i="40"/>
  <c r="FR63" i="40"/>
  <c r="DZ218" i="40"/>
  <c r="DZ219" i="40" s="1"/>
  <c r="J129" i="27"/>
  <c r="K128" i="27"/>
  <c r="B20" i="23"/>
  <c r="A21" i="23"/>
  <c r="X28" i="71" l="1"/>
  <c r="Y27" i="71"/>
  <c r="C34" i="71"/>
  <c r="B35" i="71"/>
  <c r="D33" i="71"/>
  <c r="E33" i="71" s="1"/>
  <c r="F33" i="71" s="1"/>
  <c r="G33" i="71"/>
  <c r="H33" i="71"/>
  <c r="O33" i="71"/>
  <c r="P33" i="71" s="1"/>
  <c r="V21" i="71"/>
  <c r="W20" i="71"/>
  <c r="AB22" i="71"/>
  <c r="Z23" i="71"/>
  <c r="AA22" i="71"/>
  <c r="EI63" i="40"/>
  <c r="EJ62" i="40"/>
  <c r="EX66" i="40"/>
  <c r="EY65" i="40"/>
  <c r="FN60" i="40"/>
  <c r="FM61" i="40"/>
  <c r="EE62" i="40"/>
  <c r="ED63" i="40"/>
  <c r="FS63" i="40"/>
  <c r="FR64" i="40"/>
  <c r="FD60" i="40"/>
  <c r="FC61" i="40"/>
  <c r="ET62" i="40"/>
  <c r="ES63" i="40"/>
  <c r="EO63" i="40"/>
  <c r="EN64" i="40"/>
  <c r="FI62" i="40"/>
  <c r="FH63" i="40"/>
  <c r="DZ220" i="40"/>
  <c r="DZ221" i="40" s="1"/>
  <c r="DZ222" i="40" s="1"/>
  <c r="J130" i="27"/>
  <c r="K129" i="27"/>
  <c r="A22" i="23"/>
  <c r="B21" i="23"/>
  <c r="Y28" i="71" l="1"/>
  <c r="X29" i="71"/>
  <c r="C35" i="71"/>
  <c r="B36" i="71"/>
  <c r="W21" i="71"/>
  <c r="V22" i="71"/>
  <c r="D34" i="71"/>
  <c r="E34" i="71" s="1"/>
  <c r="F34" i="71" s="1"/>
  <c r="G34" i="71"/>
  <c r="H34" i="71"/>
  <c r="O34" i="71"/>
  <c r="P34" i="71" s="1"/>
  <c r="Z24" i="71"/>
  <c r="AA23" i="71"/>
  <c r="AB23" i="71"/>
  <c r="EO64" i="40"/>
  <c r="EN65" i="40"/>
  <c r="FC62" i="40"/>
  <c r="FD61" i="40"/>
  <c r="ED64" i="40"/>
  <c r="EE63" i="40"/>
  <c r="EY66" i="40"/>
  <c r="EX67" i="40"/>
  <c r="FI63" i="40"/>
  <c r="FH64" i="40"/>
  <c r="ET63" i="40"/>
  <c r="ES64" i="40"/>
  <c r="FS64" i="40"/>
  <c r="FR65" i="40"/>
  <c r="FM62" i="40"/>
  <c r="FN61" i="40"/>
  <c r="EI64" i="40"/>
  <c r="EJ63" i="40"/>
  <c r="DZ223" i="40"/>
  <c r="J131" i="27"/>
  <c r="K130" i="27"/>
  <c r="A23" i="23"/>
  <c r="B22" i="23"/>
  <c r="X30" i="71" l="1"/>
  <c r="Y29" i="71"/>
  <c r="W22" i="71"/>
  <c r="V23" i="71"/>
  <c r="C36" i="71"/>
  <c r="B37" i="71"/>
  <c r="D35" i="71"/>
  <c r="E35" i="71" s="1"/>
  <c r="F35" i="71" s="1"/>
  <c r="G35" i="71"/>
  <c r="H35" i="71"/>
  <c r="O35" i="71"/>
  <c r="P35" i="71" s="1"/>
  <c r="AB24" i="71"/>
  <c r="AA24" i="71"/>
  <c r="Z25" i="71"/>
  <c r="ES65" i="40"/>
  <c r="ET64" i="40"/>
  <c r="EX68" i="40"/>
  <c r="EY67" i="40"/>
  <c r="FM63" i="40"/>
  <c r="FN62" i="40"/>
  <c r="FD62" i="40"/>
  <c r="FC63" i="40"/>
  <c r="FR66" i="40"/>
  <c r="FS65" i="40"/>
  <c r="FH65" i="40"/>
  <c r="FI64" i="40"/>
  <c r="EO65" i="40"/>
  <c r="EN66" i="40"/>
  <c r="EI65" i="40"/>
  <c r="EJ64" i="40"/>
  <c r="EE64" i="40"/>
  <c r="ED65" i="40"/>
  <c r="DZ224" i="40"/>
  <c r="DZ225" i="40" s="1"/>
  <c r="DZ226" i="40" s="1"/>
  <c r="DZ227" i="40" s="1"/>
  <c r="DZ228" i="40" s="1"/>
  <c r="DZ229" i="40" s="1"/>
  <c r="DZ230" i="40" s="1"/>
  <c r="DZ231" i="40" s="1"/>
  <c r="DZ232" i="40" s="1"/>
  <c r="J132" i="27"/>
  <c r="K131" i="27"/>
  <c r="B23" i="23"/>
  <c r="A24" i="23"/>
  <c r="Y30" i="71" l="1"/>
  <c r="X31" i="71"/>
  <c r="C37" i="71"/>
  <c r="B38" i="71"/>
  <c r="V24" i="71"/>
  <c r="W23" i="71"/>
  <c r="D36" i="71"/>
  <c r="E36" i="71" s="1"/>
  <c r="F36" i="71" s="1"/>
  <c r="G36" i="71"/>
  <c r="H36" i="71"/>
  <c r="O36" i="71"/>
  <c r="P36" i="71" s="1"/>
  <c r="Z26" i="71"/>
  <c r="AA25" i="71"/>
  <c r="AB25" i="71"/>
  <c r="FD63" i="40"/>
  <c r="FC64" i="40"/>
  <c r="EJ65" i="40"/>
  <c r="EI66" i="40"/>
  <c r="FI65" i="40"/>
  <c r="FH66" i="40"/>
  <c r="EX69" i="40"/>
  <c r="EY68" i="40"/>
  <c r="ED66" i="40"/>
  <c r="EE65" i="40"/>
  <c r="EN67" i="40"/>
  <c r="EO66" i="40"/>
  <c r="FS66" i="40"/>
  <c r="FR67" i="40"/>
  <c r="FM64" i="40"/>
  <c r="FN63" i="40"/>
  <c r="ET65" i="40"/>
  <c r="ES66" i="40"/>
  <c r="DZ233" i="40"/>
  <c r="J133" i="27"/>
  <c r="K132" i="27"/>
  <c r="B24" i="23"/>
  <c r="A25" i="23"/>
  <c r="Y31" i="71" l="1"/>
  <c r="X32" i="71"/>
  <c r="C38" i="71"/>
  <c r="B39" i="71"/>
  <c r="W24" i="71"/>
  <c r="V25" i="71"/>
  <c r="D37" i="71"/>
  <c r="E37" i="71" s="1"/>
  <c r="F37" i="71" s="1"/>
  <c r="G37" i="71"/>
  <c r="H37" i="71"/>
  <c r="O37" i="71"/>
  <c r="P37" i="71" s="1"/>
  <c r="AB26" i="71"/>
  <c r="Z27" i="71"/>
  <c r="AA26" i="71"/>
  <c r="EI67" i="40"/>
  <c r="EJ66" i="40"/>
  <c r="FM65" i="40"/>
  <c r="FN64" i="40"/>
  <c r="EO67" i="40"/>
  <c r="EN68" i="40"/>
  <c r="EX70" i="40"/>
  <c r="EY69" i="40"/>
  <c r="ES67" i="40"/>
  <c r="ET66" i="40"/>
  <c r="FS67" i="40"/>
  <c r="FR68" i="40"/>
  <c r="FI66" i="40"/>
  <c r="FH67" i="40"/>
  <c r="FD64" i="40"/>
  <c r="FC65" i="40"/>
  <c r="EE66" i="40"/>
  <c r="ED67" i="40"/>
  <c r="DZ234" i="40"/>
  <c r="DZ235" i="40" s="1"/>
  <c r="J134" i="27"/>
  <c r="K133" i="27"/>
  <c r="A26" i="23"/>
  <c r="B25" i="23"/>
  <c r="Y32" i="71" l="1"/>
  <c r="X33" i="71"/>
  <c r="V26" i="71"/>
  <c r="W26" i="71" s="1"/>
  <c r="W25" i="71"/>
  <c r="C39" i="71"/>
  <c r="B40" i="71"/>
  <c r="D38" i="71"/>
  <c r="E38" i="71" s="1"/>
  <c r="F38" i="71" s="1"/>
  <c r="G38" i="71"/>
  <c r="H38" i="71"/>
  <c r="O38" i="71"/>
  <c r="P38" i="71" s="1"/>
  <c r="AA27" i="71"/>
  <c r="Z28" i="71"/>
  <c r="AB27" i="71"/>
  <c r="FD65" i="40"/>
  <c r="FC66" i="40"/>
  <c r="FS68" i="40"/>
  <c r="FR69" i="40"/>
  <c r="EX71" i="40"/>
  <c r="EY70" i="40"/>
  <c r="FN65" i="40"/>
  <c r="FM66" i="40"/>
  <c r="ED68" i="40"/>
  <c r="EE67" i="40"/>
  <c r="FH68" i="40"/>
  <c r="FI67" i="40"/>
  <c r="EN69" i="40"/>
  <c r="EO68" i="40"/>
  <c r="ES68" i="40"/>
  <c r="ET67" i="40"/>
  <c r="EI68" i="40"/>
  <c r="EJ67" i="40"/>
  <c r="DZ236" i="40"/>
  <c r="DZ237" i="40" s="1"/>
  <c r="DZ238" i="40" s="1"/>
  <c r="DZ239" i="40" s="1"/>
  <c r="DZ240" i="40" s="1"/>
  <c r="DZ241" i="40" s="1"/>
  <c r="DZ242" i="40" s="1"/>
  <c r="DZ243" i="40" s="1"/>
  <c r="DZ244" i="40" s="1"/>
  <c r="DZ245" i="40" s="1"/>
  <c r="DZ246" i="40" s="1"/>
  <c r="DZ247" i="40" s="1"/>
  <c r="DZ248" i="40" s="1"/>
  <c r="DZ249" i="40" s="1"/>
  <c r="DZ250" i="40" s="1"/>
  <c r="DZ251" i="40" s="1"/>
  <c r="DZ252" i="40" s="1"/>
  <c r="DZ253" i="40" s="1"/>
  <c r="DZ254" i="40" s="1"/>
  <c r="J135" i="27"/>
  <c r="K134" i="27"/>
  <c r="A27" i="23"/>
  <c r="B26" i="23"/>
  <c r="Y33" i="71" l="1"/>
  <c r="X34" i="71"/>
  <c r="C40" i="71"/>
  <c r="B41" i="71"/>
  <c r="D39" i="71"/>
  <c r="E39" i="71" s="1"/>
  <c r="F39" i="71" s="1"/>
  <c r="G39" i="71"/>
  <c r="H39" i="71"/>
  <c r="O39" i="71"/>
  <c r="P39" i="71" s="1"/>
  <c r="AA28" i="71"/>
  <c r="Z29" i="71"/>
  <c r="AB28" i="71"/>
  <c r="FN66" i="40"/>
  <c r="FM67" i="40"/>
  <c r="FS69" i="40"/>
  <c r="FR70" i="40"/>
  <c r="ES69" i="40"/>
  <c r="ET68" i="40"/>
  <c r="FI68" i="40"/>
  <c r="FH69" i="40"/>
  <c r="FD66" i="40"/>
  <c r="FC67" i="40"/>
  <c r="EJ68" i="40"/>
  <c r="EI69" i="40"/>
  <c r="EO69" i="40"/>
  <c r="EN70" i="40"/>
  <c r="ED69" i="40"/>
  <c r="EE68" i="40"/>
  <c r="EY71" i="40"/>
  <c r="EX72" i="40"/>
  <c r="DZ255" i="40"/>
  <c r="J136" i="27"/>
  <c r="K135" i="27"/>
  <c r="B27" i="23"/>
  <c r="A28" i="23"/>
  <c r="Y34" i="71" l="1"/>
  <c r="X35" i="71"/>
  <c r="C41" i="71"/>
  <c r="B42" i="71"/>
  <c r="D40" i="71"/>
  <c r="E40" i="71" s="1"/>
  <c r="F40" i="71" s="1"/>
  <c r="G40" i="71"/>
  <c r="H40" i="71"/>
  <c r="O40" i="71"/>
  <c r="P40" i="71" s="1"/>
  <c r="AA29" i="71"/>
  <c r="Z30" i="71"/>
  <c r="AB29" i="71"/>
  <c r="EJ69" i="40"/>
  <c r="EI70" i="40"/>
  <c r="FI69" i="40"/>
  <c r="FH70" i="40"/>
  <c r="FS70" i="40"/>
  <c r="FR71" i="40"/>
  <c r="ED70" i="40"/>
  <c r="EE69" i="40"/>
  <c r="EX73" i="40"/>
  <c r="EY72" i="40"/>
  <c r="EO70" i="40"/>
  <c r="EN71" i="40"/>
  <c r="FD67" i="40"/>
  <c r="FC68" i="40"/>
  <c r="FM68" i="40"/>
  <c r="FN67" i="40"/>
  <c r="ES70" i="40"/>
  <c r="ET69" i="40"/>
  <c r="DZ256" i="40"/>
  <c r="DZ257" i="40" s="1"/>
  <c r="J137" i="27"/>
  <c r="K136" i="27"/>
  <c r="B28" i="23"/>
  <c r="A29" i="23"/>
  <c r="Y35" i="71" l="1"/>
  <c r="X36" i="71"/>
  <c r="C42" i="71"/>
  <c r="B43" i="71"/>
  <c r="D41" i="71"/>
  <c r="E41" i="71" s="1"/>
  <c r="F41" i="71" s="1"/>
  <c r="G41" i="71"/>
  <c r="H41" i="71"/>
  <c r="O41" i="71"/>
  <c r="P41" i="71" s="1"/>
  <c r="AA30" i="71"/>
  <c r="Z31" i="71"/>
  <c r="AB30" i="71"/>
  <c r="EO71" i="40"/>
  <c r="EN72" i="40"/>
  <c r="FH71" i="40"/>
  <c r="FI70" i="40"/>
  <c r="FN68" i="40"/>
  <c r="FM69" i="40"/>
  <c r="EE70" i="40"/>
  <c r="ED71" i="40"/>
  <c r="FD68" i="40"/>
  <c r="FC69" i="40"/>
  <c r="FS71" i="40"/>
  <c r="FR72" i="40"/>
  <c r="EJ70" i="40"/>
  <c r="EI71" i="40"/>
  <c r="ET70" i="40"/>
  <c r="ES71" i="40"/>
  <c r="EY73" i="40"/>
  <c r="EX74" i="40"/>
  <c r="DZ258" i="40"/>
  <c r="DZ259" i="40" s="1"/>
  <c r="J138" i="27"/>
  <c r="K137" i="27"/>
  <c r="A30" i="23"/>
  <c r="B29" i="23"/>
  <c r="Y36" i="71" l="1"/>
  <c r="X37" i="71"/>
  <c r="C43" i="71"/>
  <c r="B44" i="71"/>
  <c r="D42" i="71"/>
  <c r="E42" i="71" s="1"/>
  <c r="F42" i="71" s="1"/>
  <c r="G42" i="71"/>
  <c r="H42" i="71"/>
  <c r="O42" i="71"/>
  <c r="P42" i="71" s="1"/>
  <c r="AA31" i="71"/>
  <c r="Z32" i="71"/>
  <c r="AB31" i="71"/>
  <c r="ES72" i="40"/>
  <c r="ET71" i="40"/>
  <c r="FS72" i="40"/>
  <c r="FR73" i="40"/>
  <c r="EE71" i="40"/>
  <c r="ED72" i="40"/>
  <c r="FH72" i="40"/>
  <c r="FI71" i="40"/>
  <c r="EX75" i="40"/>
  <c r="EY74" i="40"/>
  <c r="EJ71" i="40"/>
  <c r="EI72" i="40"/>
  <c r="FD69" i="40"/>
  <c r="FC70" i="40"/>
  <c r="FM70" i="40"/>
  <c r="FN69" i="40"/>
  <c r="EO72" i="40"/>
  <c r="EN73" i="40"/>
  <c r="DZ260" i="40"/>
  <c r="DZ261" i="40" s="1"/>
  <c r="J139" i="27"/>
  <c r="K138" i="27"/>
  <c r="A31" i="23"/>
  <c r="B30" i="23"/>
  <c r="Y37" i="71" l="1"/>
  <c r="X38" i="71"/>
  <c r="C44" i="71"/>
  <c r="B45" i="71"/>
  <c r="D43" i="71"/>
  <c r="E43" i="71" s="1"/>
  <c r="F43" i="71" s="1"/>
  <c r="G43" i="71"/>
  <c r="H43" i="71"/>
  <c r="O43" i="71"/>
  <c r="P43" i="71" s="1"/>
  <c r="AA32" i="71"/>
  <c r="Z33" i="71"/>
  <c r="AB32" i="71"/>
  <c r="EI73" i="40"/>
  <c r="EJ72" i="40"/>
  <c r="FS73" i="40"/>
  <c r="FR74" i="40"/>
  <c r="FM71" i="40"/>
  <c r="FN70" i="40"/>
  <c r="FH73" i="40"/>
  <c r="FI72" i="40"/>
  <c r="EN74" i="40"/>
  <c r="EO73" i="40"/>
  <c r="FD70" i="40"/>
  <c r="FC71" i="40"/>
  <c r="EE72" i="40"/>
  <c r="ED73" i="40"/>
  <c r="EX76" i="40"/>
  <c r="EY75" i="40"/>
  <c r="ET72" i="40"/>
  <c r="ES73" i="40"/>
  <c r="DZ262" i="40"/>
  <c r="DZ263" i="40" s="1"/>
  <c r="J140" i="27"/>
  <c r="K139" i="27"/>
  <c r="B31" i="23"/>
  <c r="A32" i="23"/>
  <c r="Y38" i="71" l="1"/>
  <c r="X39" i="71"/>
  <c r="C45" i="71"/>
  <c r="B46" i="71"/>
  <c r="D44" i="71"/>
  <c r="E44" i="71" s="1"/>
  <c r="F44" i="71" s="1"/>
  <c r="G44" i="71"/>
  <c r="H44" i="71"/>
  <c r="O44" i="71"/>
  <c r="P44" i="71" s="1"/>
  <c r="AA33" i="71"/>
  <c r="Z34" i="71"/>
  <c r="AB33" i="71"/>
  <c r="FD71" i="40"/>
  <c r="FC72" i="40"/>
  <c r="FS74" i="40"/>
  <c r="FR75" i="40"/>
  <c r="EY76" i="40"/>
  <c r="EX77" i="40"/>
  <c r="FH74" i="40"/>
  <c r="FI73" i="40"/>
  <c r="ES74" i="40"/>
  <c r="ET73" i="40"/>
  <c r="ED74" i="40"/>
  <c r="EE73" i="40"/>
  <c r="EO74" i="40"/>
  <c r="EN75" i="40"/>
  <c r="FM72" i="40"/>
  <c r="FN71" i="40"/>
  <c r="EJ73" i="40"/>
  <c r="EI74" i="40"/>
  <c r="DZ264" i="40"/>
  <c r="DZ265" i="40" s="1"/>
  <c r="DZ266" i="40" s="1"/>
  <c r="DZ267" i="40" s="1"/>
  <c r="DZ268" i="40" s="1"/>
  <c r="DZ269" i="40" s="1"/>
  <c r="J141" i="27"/>
  <c r="K140" i="27"/>
  <c r="B32" i="23"/>
  <c r="A33" i="23"/>
  <c r="Y39" i="71" l="1"/>
  <c r="X40" i="71"/>
  <c r="C46" i="71"/>
  <c r="B47" i="71"/>
  <c r="D45" i="71"/>
  <c r="E45" i="71" s="1"/>
  <c r="F45" i="71" s="1"/>
  <c r="G45" i="71"/>
  <c r="H45" i="71"/>
  <c r="O45" i="71"/>
  <c r="P45" i="71" s="1"/>
  <c r="AA34" i="71"/>
  <c r="Z35" i="71"/>
  <c r="AB34" i="71"/>
  <c r="FS75" i="40"/>
  <c r="FR76" i="40"/>
  <c r="FN72" i="40"/>
  <c r="FM73" i="40"/>
  <c r="ED75" i="40"/>
  <c r="EE74" i="40"/>
  <c r="FH75" i="40"/>
  <c r="FI74" i="40"/>
  <c r="EJ74" i="40"/>
  <c r="EI75" i="40"/>
  <c r="EN76" i="40"/>
  <c r="EO75" i="40"/>
  <c r="EY77" i="40"/>
  <c r="EX78" i="40"/>
  <c r="FD72" i="40"/>
  <c r="FC73" i="40"/>
  <c r="ET74" i="40"/>
  <c r="ES75" i="40"/>
  <c r="DZ270" i="40"/>
  <c r="J142" i="27"/>
  <c r="K141" i="27"/>
  <c r="A34" i="23"/>
  <c r="B33" i="23"/>
  <c r="Y40" i="71" l="1"/>
  <c r="X41" i="71"/>
  <c r="C47" i="71"/>
  <c r="B48" i="71"/>
  <c r="D46" i="71"/>
  <c r="E46" i="71" s="1"/>
  <c r="F46" i="71" s="1"/>
  <c r="G46" i="71"/>
  <c r="H46" i="71"/>
  <c r="O46" i="71"/>
  <c r="P46" i="71" s="1"/>
  <c r="AA35" i="71"/>
  <c r="Z36" i="71"/>
  <c r="AB35" i="71"/>
  <c r="FD73" i="40"/>
  <c r="FC74" i="40"/>
  <c r="FN73" i="40"/>
  <c r="FM74" i="40"/>
  <c r="EO76" i="40"/>
  <c r="EN77" i="40"/>
  <c r="FH76" i="40"/>
  <c r="FI75" i="40"/>
  <c r="ES76" i="40"/>
  <c r="ET75" i="40"/>
  <c r="EX79" i="40"/>
  <c r="EY78" i="40"/>
  <c r="EI76" i="40"/>
  <c r="EJ75" i="40"/>
  <c r="FS76" i="40"/>
  <c r="FR77" i="40"/>
  <c r="EE75" i="40"/>
  <c r="ED76" i="40"/>
  <c r="DZ271" i="40"/>
  <c r="DZ272" i="40" s="1"/>
  <c r="DZ273" i="40" s="1"/>
  <c r="DZ274" i="40" s="1"/>
  <c r="J143" i="27"/>
  <c r="K142" i="27"/>
  <c r="A35" i="23"/>
  <c r="B34" i="23"/>
  <c r="Y41" i="71" l="1"/>
  <c r="X42" i="71"/>
  <c r="B49" i="71"/>
  <c r="C48" i="71"/>
  <c r="H47" i="71"/>
  <c r="O47" i="71"/>
  <c r="P47" i="71" s="1"/>
  <c r="D47" i="71"/>
  <c r="E47" i="71" s="1"/>
  <c r="F47" i="71" s="1"/>
  <c r="G47" i="71"/>
  <c r="AA36" i="71"/>
  <c r="Z37" i="71"/>
  <c r="AB36" i="71"/>
  <c r="FS77" i="40"/>
  <c r="FR78" i="40"/>
  <c r="FN74" i="40"/>
  <c r="FM75" i="40"/>
  <c r="EX80" i="40"/>
  <c r="EY79" i="40"/>
  <c r="FH77" i="40"/>
  <c r="FI76" i="40"/>
  <c r="EE76" i="40"/>
  <c r="ED77" i="40"/>
  <c r="EO77" i="40"/>
  <c r="EN78" i="40"/>
  <c r="FD74" i="40"/>
  <c r="FC75" i="40"/>
  <c r="EJ76" i="40"/>
  <c r="EI77" i="40"/>
  <c r="ES77" i="40"/>
  <c r="ET76" i="40"/>
  <c r="DZ275" i="40"/>
  <c r="J144" i="27"/>
  <c r="K143" i="27"/>
  <c r="B35" i="23"/>
  <c r="A36" i="23"/>
  <c r="Y42" i="71" l="1"/>
  <c r="X43" i="71"/>
  <c r="H48" i="71"/>
  <c r="O48" i="71"/>
  <c r="P48" i="71" s="1"/>
  <c r="D48" i="71"/>
  <c r="E48" i="71" s="1"/>
  <c r="F48" i="71" s="1"/>
  <c r="G48" i="71"/>
  <c r="B50" i="71"/>
  <c r="C49" i="71"/>
  <c r="AA37" i="71"/>
  <c r="Z38" i="71"/>
  <c r="AB37" i="71"/>
  <c r="EI78" i="40"/>
  <c r="EJ77" i="40"/>
  <c r="EN79" i="40"/>
  <c r="EO78" i="40"/>
  <c r="FM76" i="40"/>
  <c r="FN75" i="40"/>
  <c r="FI77" i="40"/>
  <c r="FH78" i="40"/>
  <c r="FD75" i="40"/>
  <c r="FC76" i="40"/>
  <c r="ED78" i="40"/>
  <c r="EE77" i="40"/>
  <c r="FR79" i="40"/>
  <c r="FS78" i="40"/>
  <c r="ET77" i="40"/>
  <c r="ES78" i="40"/>
  <c r="EX81" i="40"/>
  <c r="EY80" i="40"/>
  <c r="DZ276" i="40"/>
  <c r="DZ277" i="40" s="1"/>
  <c r="DZ278" i="40" s="1"/>
  <c r="DZ279" i="40" s="1"/>
  <c r="J145" i="27"/>
  <c r="K144" i="27"/>
  <c r="B36" i="23"/>
  <c r="A37" i="23"/>
  <c r="Y43" i="71" l="1"/>
  <c r="X44" i="71"/>
  <c r="H49" i="71"/>
  <c r="O49" i="71"/>
  <c r="P49" i="71" s="1"/>
  <c r="D49" i="71"/>
  <c r="E49" i="71" s="1"/>
  <c r="F49" i="71" s="1"/>
  <c r="G49" i="71"/>
  <c r="B51" i="71"/>
  <c r="C50" i="71"/>
  <c r="AA38" i="71"/>
  <c r="Z39" i="71"/>
  <c r="AB38" i="71"/>
  <c r="ET78" i="40"/>
  <c r="ES79" i="40"/>
  <c r="FH79" i="40"/>
  <c r="FI78" i="40"/>
  <c r="ED79" i="40"/>
  <c r="EE78" i="40"/>
  <c r="EO79" i="40"/>
  <c r="EN80" i="40"/>
  <c r="FC77" i="40"/>
  <c r="FD76" i="40"/>
  <c r="EY81" i="40"/>
  <c r="EX82" i="40"/>
  <c r="FR80" i="40"/>
  <c r="FS79" i="40"/>
  <c r="FN76" i="40"/>
  <c r="FM77" i="40"/>
  <c r="EJ78" i="40"/>
  <c r="EI79" i="40"/>
  <c r="DZ280" i="40"/>
  <c r="J146" i="27"/>
  <c r="K145" i="27"/>
  <c r="A38" i="23"/>
  <c r="B37" i="23"/>
  <c r="Y44" i="71" l="1"/>
  <c r="X45" i="71"/>
  <c r="O50" i="71"/>
  <c r="P50" i="71" s="1"/>
  <c r="H50" i="71"/>
  <c r="D50" i="71"/>
  <c r="E50" i="71" s="1"/>
  <c r="F50" i="71" s="1"/>
  <c r="G50" i="71"/>
  <c r="C51" i="71"/>
  <c r="B52" i="71"/>
  <c r="AA39" i="71"/>
  <c r="Z40" i="71"/>
  <c r="AB39" i="71"/>
  <c r="FN77" i="40"/>
  <c r="FM78" i="40"/>
  <c r="EX83" i="40"/>
  <c r="EY82" i="40"/>
  <c r="EO80" i="40"/>
  <c r="EN81" i="40"/>
  <c r="FH80" i="40"/>
  <c r="FI79" i="40"/>
  <c r="EI80" i="40"/>
  <c r="EJ79" i="40"/>
  <c r="ET79" i="40"/>
  <c r="ES80" i="40"/>
  <c r="FS80" i="40"/>
  <c r="FR81" i="40"/>
  <c r="FD77" i="40"/>
  <c r="FC78" i="40"/>
  <c r="EE79" i="40"/>
  <c r="ED80" i="40"/>
  <c r="DZ281" i="40"/>
  <c r="DZ282" i="40" s="1"/>
  <c r="DZ283" i="40" s="1"/>
  <c r="DZ284" i="40" s="1"/>
  <c r="DZ285" i="40" s="1"/>
  <c r="DZ286" i="40" s="1"/>
  <c r="DZ287" i="40" s="1"/>
  <c r="DZ288" i="40" s="1"/>
  <c r="J147" i="27"/>
  <c r="K146" i="27"/>
  <c r="A39" i="23"/>
  <c r="B38" i="23"/>
  <c r="Y45" i="71" l="1"/>
  <c r="X46" i="71"/>
  <c r="O51" i="71"/>
  <c r="P51" i="71" s="1"/>
  <c r="H51" i="71"/>
  <c r="D51" i="71"/>
  <c r="E51" i="71" s="1"/>
  <c r="F51" i="71" s="1"/>
  <c r="G51" i="71"/>
  <c r="C52" i="71"/>
  <c r="B53" i="71"/>
  <c r="AA40" i="71"/>
  <c r="Z41" i="71"/>
  <c r="AB40" i="71"/>
  <c r="FD78" i="40"/>
  <c r="FC79" i="40"/>
  <c r="ES81" i="40"/>
  <c r="ET80" i="40"/>
  <c r="FH81" i="40"/>
  <c r="FI80" i="40"/>
  <c r="EX84" i="40"/>
  <c r="EY83" i="40"/>
  <c r="ED81" i="40"/>
  <c r="EE80" i="40"/>
  <c r="FR82" i="40"/>
  <c r="FS81" i="40"/>
  <c r="EN82" i="40"/>
  <c r="EO81" i="40"/>
  <c r="FM79" i="40"/>
  <c r="FN78" i="40"/>
  <c r="EI81" i="40"/>
  <c r="EJ80" i="40"/>
  <c r="DZ289" i="40"/>
  <c r="J148" i="27"/>
  <c r="K147" i="27"/>
  <c r="B39" i="23"/>
  <c r="A40" i="23"/>
  <c r="Y46" i="71" l="1"/>
  <c r="X47" i="71"/>
  <c r="C53" i="71"/>
  <c r="B54" i="71"/>
  <c r="O52" i="71"/>
  <c r="P52" i="71" s="1"/>
  <c r="H52" i="71"/>
  <c r="G52" i="71"/>
  <c r="D52" i="71"/>
  <c r="E52" i="71" s="1"/>
  <c r="F52" i="71" s="1"/>
  <c r="AA41" i="71"/>
  <c r="Z42" i="71"/>
  <c r="AB41" i="71"/>
  <c r="FN79" i="40"/>
  <c r="FM80" i="40"/>
  <c r="FR83" i="40"/>
  <c r="FS82" i="40"/>
  <c r="EY84" i="40"/>
  <c r="EX85" i="40"/>
  <c r="ES82" i="40"/>
  <c r="ET81" i="40"/>
  <c r="FD79" i="40"/>
  <c r="FC80" i="40"/>
  <c r="EJ81" i="40"/>
  <c r="EI82" i="40"/>
  <c r="EO82" i="40"/>
  <c r="EN83" i="40"/>
  <c r="ED82" i="40"/>
  <c r="EE81" i="40"/>
  <c r="FH82" i="40"/>
  <c r="FI81" i="40"/>
  <c r="DZ290" i="40"/>
  <c r="DZ291" i="40" s="1"/>
  <c r="DZ292" i="40" s="1"/>
  <c r="DZ293" i="40" s="1"/>
  <c r="DZ294" i="40" s="1"/>
  <c r="DZ295" i="40" s="1"/>
  <c r="J149" i="27"/>
  <c r="K148" i="27"/>
  <c r="B40" i="23"/>
  <c r="A41" i="23"/>
  <c r="Y47" i="71" l="1"/>
  <c r="X48" i="71"/>
  <c r="C54" i="71"/>
  <c r="B55" i="71"/>
  <c r="O53" i="71"/>
  <c r="P53" i="71" s="1"/>
  <c r="H53" i="71"/>
  <c r="D53" i="71"/>
  <c r="E53" i="71" s="1"/>
  <c r="F53" i="71" s="1"/>
  <c r="G53" i="71"/>
  <c r="AA42" i="71"/>
  <c r="Z43" i="71"/>
  <c r="AB42" i="71"/>
  <c r="EJ82" i="40"/>
  <c r="EI83" i="40"/>
  <c r="EE82" i="40"/>
  <c r="ED83" i="40"/>
  <c r="ES83" i="40"/>
  <c r="ET82" i="40"/>
  <c r="FR84" i="40"/>
  <c r="FS83" i="40"/>
  <c r="EO83" i="40"/>
  <c r="EN84" i="40"/>
  <c r="FD80" i="40"/>
  <c r="FC81" i="40"/>
  <c r="EY85" i="40"/>
  <c r="EX86" i="40"/>
  <c r="FM81" i="40"/>
  <c r="FN80" i="40"/>
  <c r="FH83" i="40"/>
  <c r="FI82" i="40"/>
  <c r="DZ296" i="40"/>
  <c r="J150" i="27"/>
  <c r="K149" i="27"/>
  <c r="A42" i="23"/>
  <c r="B41" i="23"/>
  <c r="Y48" i="71" l="1"/>
  <c r="X49" i="71"/>
  <c r="C55" i="71"/>
  <c r="B56" i="71"/>
  <c r="O54" i="71"/>
  <c r="P54" i="71" s="1"/>
  <c r="H54" i="71"/>
  <c r="G54" i="71"/>
  <c r="D54" i="71"/>
  <c r="E54" i="71" s="1"/>
  <c r="F54" i="71" s="1"/>
  <c r="AA43" i="71"/>
  <c r="Z44" i="71"/>
  <c r="AB43" i="71"/>
  <c r="FD81" i="40"/>
  <c r="FC82" i="40"/>
  <c r="EE83" i="40"/>
  <c r="ED84" i="40"/>
  <c r="FN81" i="40"/>
  <c r="FM82" i="40"/>
  <c r="FR85" i="40"/>
  <c r="FS84" i="40"/>
  <c r="EX87" i="40"/>
  <c r="EY86" i="40"/>
  <c r="EN85" i="40"/>
  <c r="EO84" i="40"/>
  <c r="EI84" i="40"/>
  <c r="EJ83" i="40"/>
  <c r="FH84" i="40"/>
  <c r="FI83" i="40"/>
  <c r="ET83" i="40"/>
  <c r="ES84" i="40"/>
  <c r="DZ297" i="40"/>
  <c r="DZ298" i="40" s="1"/>
  <c r="J151" i="27"/>
  <c r="K150" i="27"/>
  <c r="A43" i="23"/>
  <c r="B42" i="23"/>
  <c r="X50" i="71" l="1"/>
  <c r="Y49" i="71"/>
  <c r="C56" i="71"/>
  <c r="B57" i="71"/>
  <c r="O55" i="71"/>
  <c r="P55" i="71" s="1"/>
  <c r="H55" i="71"/>
  <c r="G55" i="71"/>
  <c r="D55" i="71"/>
  <c r="E55" i="71" s="1"/>
  <c r="F55" i="71" s="1"/>
  <c r="AA44" i="71"/>
  <c r="Z45" i="71"/>
  <c r="AB44" i="71"/>
  <c r="EE84" i="40"/>
  <c r="ED85" i="40"/>
  <c r="FI84" i="40"/>
  <c r="FH85" i="40"/>
  <c r="EO85" i="40"/>
  <c r="EN86" i="40"/>
  <c r="FS85" i="40"/>
  <c r="FR86" i="40"/>
  <c r="ES85" i="40"/>
  <c r="ET84" i="40"/>
  <c r="FM83" i="40"/>
  <c r="FN82" i="40"/>
  <c r="FC83" i="40"/>
  <c r="FD82" i="40"/>
  <c r="EI85" i="40"/>
  <c r="EJ84" i="40"/>
  <c r="EY87" i="40"/>
  <c r="EX88" i="40"/>
  <c r="DZ299" i="40"/>
  <c r="DZ300" i="40" s="1"/>
  <c r="DZ301" i="40" s="1"/>
  <c r="DZ302" i="40" s="1"/>
  <c r="DZ303" i="40" s="1"/>
  <c r="DZ304" i="40" s="1"/>
  <c r="DZ305" i="40" s="1"/>
  <c r="DZ306" i="40" s="1"/>
  <c r="DZ307" i="40" s="1"/>
  <c r="DZ308" i="40" s="1"/>
  <c r="DZ309" i="40" s="1"/>
  <c r="DZ310" i="40" s="1"/>
  <c r="J152" i="27"/>
  <c r="K151" i="27"/>
  <c r="B43" i="23"/>
  <c r="A44" i="23"/>
  <c r="X51" i="71" l="1"/>
  <c r="Y50" i="71"/>
  <c r="C57" i="71"/>
  <c r="B58" i="71"/>
  <c r="O56" i="71"/>
  <c r="P56" i="71" s="1"/>
  <c r="H56" i="71"/>
  <c r="G56" i="71"/>
  <c r="D56" i="71"/>
  <c r="E56" i="71" s="1"/>
  <c r="F56" i="71" s="1"/>
  <c r="AA45" i="71"/>
  <c r="Z46" i="71"/>
  <c r="AB45" i="71"/>
  <c r="FS86" i="40"/>
  <c r="FR87" i="40"/>
  <c r="FH86" i="40"/>
  <c r="FI85" i="40"/>
  <c r="EJ85" i="40"/>
  <c r="EI86" i="40"/>
  <c r="FM84" i="40"/>
  <c r="FN83" i="40"/>
  <c r="EY88" i="40"/>
  <c r="EX89" i="40"/>
  <c r="EO86" i="40"/>
  <c r="EN87" i="40"/>
  <c r="ED86" i="40"/>
  <c r="EE85" i="40"/>
  <c r="FD83" i="40"/>
  <c r="FC84" i="40"/>
  <c r="ES86" i="40"/>
  <c r="ET85" i="40"/>
  <c r="DZ311" i="40"/>
  <c r="J153" i="27"/>
  <c r="K152" i="27"/>
  <c r="B44" i="23"/>
  <c r="A45" i="23"/>
  <c r="X52" i="71" l="1"/>
  <c r="Y51" i="71"/>
  <c r="B59" i="71"/>
  <c r="C58" i="71"/>
  <c r="O57" i="71"/>
  <c r="P57" i="71" s="1"/>
  <c r="G57" i="71"/>
  <c r="D57" i="71"/>
  <c r="E57" i="71" s="1"/>
  <c r="F57" i="71" s="1"/>
  <c r="H57" i="71"/>
  <c r="AA46" i="71"/>
  <c r="Z47" i="71"/>
  <c r="AB46" i="71"/>
  <c r="FD84" i="40"/>
  <c r="FC85" i="40"/>
  <c r="EO87" i="40"/>
  <c r="EN88" i="40"/>
  <c r="FN84" i="40"/>
  <c r="FM85" i="40"/>
  <c r="FI86" i="40"/>
  <c r="FH87" i="40"/>
  <c r="EY89" i="40"/>
  <c r="EX90" i="40"/>
  <c r="EI87" i="40"/>
  <c r="EJ86" i="40"/>
  <c r="FR88" i="40"/>
  <c r="FS87" i="40"/>
  <c r="ET86" i="40"/>
  <c r="ES87" i="40"/>
  <c r="ED87" i="40"/>
  <c r="EE86" i="40"/>
  <c r="DZ312" i="40"/>
  <c r="DZ313" i="40" s="1"/>
  <c r="DZ314" i="40" s="1"/>
  <c r="J154" i="27"/>
  <c r="K153" i="27"/>
  <c r="B45" i="23"/>
  <c r="A46" i="23"/>
  <c r="X53" i="71" l="1"/>
  <c r="Y52" i="71"/>
  <c r="O58" i="71"/>
  <c r="P58" i="71" s="1"/>
  <c r="H58" i="71"/>
  <c r="G58" i="71"/>
  <c r="D58" i="71"/>
  <c r="E58" i="71" s="1"/>
  <c r="F58" i="71" s="1"/>
  <c r="C59" i="71"/>
  <c r="B60" i="71"/>
  <c r="AA47" i="71"/>
  <c r="Z48" i="71"/>
  <c r="AB47" i="71"/>
  <c r="ES88" i="40"/>
  <c r="ET87" i="40"/>
  <c r="FI87" i="40"/>
  <c r="FH88" i="40"/>
  <c r="EO88" i="40"/>
  <c r="EN89" i="40"/>
  <c r="EI88" i="40"/>
  <c r="EJ87" i="40"/>
  <c r="EY90" i="40"/>
  <c r="EX91" i="40"/>
  <c r="FN85" i="40"/>
  <c r="FM86" i="40"/>
  <c r="FD85" i="40"/>
  <c r="FC86" i="40"/>
  <c r="EE87" i="40"/>
  <c r="ED88" i="40"/>
  <c r="FR89" i="40"/>
  <c r="FS88" i="40"/>
  <c r="DZ315" i="40"/>
  <c r="DZ316" i="40" s="1"/>
  <c r="DZ317" i="40" s="1"/>
  <c r="J155" i="27"/>
  <c r="K154" i="27"/>
  <c r="B46" i="23"/>
  <c r="A47" i="23"/>
  <c r="X54" i="71" l="1"/>
  <c r="Y53" i="71"/>
  <c r="O59" i="71"/>
  <c r="P59" i="71" s="1"/>
  <c r="H59" i="71"/>
  <c r="G59" i="71"/>
  <c r="D59" i="71"/>
  <c r="E59" i="71" s="1"/>
  <c r="F59" i="71" s="1"/>
  <c r="C60" i="71"/>
  <c r="B61" i="71"/>
  <c r="AA48" i="71"/>
  <c r="Z49" i="71"/>
  <c r="AB48" i="71"/>
  <c r="EE88" i="40"/>
  <c r="ED89" i="40"/>
  <c r="FM87" i="40"/>
  <c r="FN86" i="40"/>
  <c r="FI88" i="40"/>
  <c r="FH89" i="40"/>
  <c r="EJ88" i="40"/>
  <c r="EI89" i="40"/>
  <c r="FD86" i="40"/>
  <c r="FC87" i="40"/>
  <c r="EY91" i="40"/>
  <c r="EX92" i="40"/>
  <c r="EO89" i="40"/>
  <c r="EN90" i="40"/>
  <c r="FR90" i="40"/>
  <c r="FS89" i="40"/>
  <c r="ES89" i="40"/>
  <c r="ET88" i="40"/>
  <c r="DZ318" i="40"/>
  <c r="J156" i="27"/>
  <c r="K155" i="27"/>
  <c r="A48" i="23"/>
  <c r="A49" i="23" s="1"/>
  <c r="A50" i="23" s="1"/>
  <c r="A51" i="23" s="1"/>
  <c r="A52" i="23" s="1"/>
  <c r="B47" i="23"/>
  <c r="X55" i="71" l="1"/>
  <c r="Y54" i="71"/>
  <c r="O60" i="71"/>
  <c r="P60" i="71" s="1"/>
  <c r="H60" i="71"/>
  <c r="G60" i="71"/>
  <c r="D60" i="71"/>
  <c r="E60" i="71" s="1"/>
  <c r="F60" i="71" s="1"/>
  <c r="C61" i="71"/>
  <c r="B62" i="71"/>
  <c r="Z50" i="71"/>
  <c r="AA49" i="71"/>
  <c r="AB49" i="71"/>
  <c r="EY92" i="40"/>
  <c r="EX93" i="40"/>
  <c r="EI90" i="40"/>
  <c r="EJ89" i="40"/>
  <c r="FR91" i="40"/>
  <c r="FS90" i="40"/>
  <c r="FN87" i="40"/>
  <c r="FM88" i="40"/>
  <c r="EO90" i="40"/>
  <c r="EN91" i="40"/>
  <c r="FD87" i="40"/>
  <c r="FC88" i="40"/>
  <c r="FH90" i="40"/>
  <c r="FI89" i="40"/>
  <c r="ED90" i="40"/>
  <c r="EE89" i="40"/>
  <c r="ET89" i="40"/>
  <c r="ES90" i="40"/>
  <c r="DZ319" i="40"/>
  <c r="DZ320" i="40" s="1"/>
  <c r="J157" i="27"/>
  <c r="K156" i="27"/>
  <c r="A53" i="23"/>
  <c r="B52" i="23"/>
  <c r="X56" i="71" l="1"/>
  <c r="Y55" i="71"/>
  <c r="O61" i="71"/>
  <c r="P61" i="71" s="1"/>
  <c r="H61" i="71"/>
  <c r="D61" i="71"/>
  <c r="E61" i="71" s="1"/>
  <c r="F61" i="71" s="1"/>
  <c r="G61" i="71"/>
  <c r="C62" i="71"/>
  <c r="B63" i="71"/>
  <c r="Z51" i="71"/>
  <c r="AB50" i="71"/>
  <c r="AA50" i="71"/>
  <c r="FD88" i="40"/>
  <c r="FC89" i="40"/>
  <c r="FN88" i="40"/>
  <c r="FM89" i="40"/>
  <c r="EE90" i="40"/>
  <c r="ED91" i="40"/>
  <c r="EJ90" i="40"/>
  <c r="EI91" i="40"/>
  <c r="ES91" i="40"/>
  <c r="ET90" i="40"/>
  <c r="EO91" i="40"/>
  <c r="EN92" i="40"/>
  <c r="EY93" i="40"/>
  <c r="EX94" i="40"/>
  <c r="FH91" i="40"/>
  <c r="FI90" i="40"/>
  <c r="FR92" i="40"/>
  <c r="FS91" i="40"/>
  <c r="DZ321" i="40"/>
  <c r="DZ322" i="40" s="1"/>
  <c r="DZ323" i="40" s="1"/>
  <c r="DZ324" i="40" s="1"/>
  <c r="DZ325" i="40" s="1"/>
  <c r="DZ326" i="40" s="1"/>
  <c r="DZ327" i="40" s="1"/>
  <c r="DZ328" i="40" s="1"/>
  <c r="DZ329" i="40" s="1"/>
  <c r="DZ330" i="40" s="1"/>
  <c r="DZ331" i="40" s="1"/>
  <c r="DZ332" i="40" s="1"/>
  <c r="DZ333" i="40" s="1"/>
  <c r="DZ334" i="40" s="1"/>
  <c r="DZ335" i="40" s="1"/>
  <c r="J158" i="27"/>
  <c r="K157" i="27"/>
  <c r="B53" i="23"/>
  <c r="A54" i="23"/>
  <c r="X57" i="71" l="1"/>
  <c r="Y56" i="71"/>
  <c r="C63" i="71"/>
  <c r="B64" i="71"/>
  <c r="O62" i="71"/>
  <c r="P62" i="71" s="1"/>
  <c r="H62" i="71"/>
  <c r="D62" i="71"/>
  <c r="E62" i="71" s="1"/>
  <c r="F62" i="71" s="1"/>
  <c r="G62" i="71"/>
  <c r="Z52" i="71"/>
  <c r="AB51" i="71"/>
  <c r="AA51" i="71"/>
  <c r="EO92" i="40"/>
  <c r="EN93" i="40"/>
  <c r="EJ91" i="40"/>
  <c r="EI92" i="40"/>
  <c r="FN89" i="40"/>
  <c r="FM90" i="40"/>
  <c r="FH92" i="40"/>
  <c r="FI91" i="40"/>
  <c r="EX95" i="40"/>
  <c r="EY94" i="40"/>
  <c r="EE91" i="40"/>
  <c r="ED92" i="40"/>
  <c r="FD89" i="40"/>
  <c r="FC90" i="40"/>
  <c r="FR93" i="40"/>
  <c r="FS92" i="40"/>
  <c r="ET91" i="40"/>
  <c r="ES92" i="40"/>
  <c r="DZ336" i="40"/>
  <c r="J159" i="27"/>
  <c r="K158" i="27"/>
  <c r="A55" i="23"/>
  <c r="B54" i="23"/>
  <c r="X58" i="71" l="1"/>
  <c r="Y57" i="71"/>
  <c r="B65" i="71"/>
  <c r="C64" i="71"/>
  <c r="O63" i="71"/>
  <c r="P63" i="71" s="1"/>
  <c r="H63" i="71"/>
  <c r="G63" i="71"/>
  <c r="D63" i="71"/>
  <c r="E63" i="71" s="1"/>
  <c r="F63" i="71" s="1"/>
  <c r="Z53" i="71"/>
  <c r="AB52" i="71"/>
  <c r="AA52" i="71"/>
  <c r="EE92" i="40"/>
  <c r="ED93" i="40"/>
  <c r="EI93" i="40"/>
  <c r="EJ92" i="40"/>
  <c r="FR94" i="40"/>
  <c r="FS93" i="40"/>
  <c r="FI92" i="40"/>
  <c r="FH93" i="40"/>
  <c r="ET92" i="40"/>
  <c r="ES93" i="40"/>
  <c r="FD90" i="40"/>
  <c r="FC91" i="40"/>
  <c r="FM91" i="40"/>
  <c r="FN90" i="40"/>
  <c r="EO93" i="40"/>
  <c r="EN94" i="40"/>
  <c r="EY95" i="40"/>
  <c r="EX96" i="40"/>
  <c r="DZ337" i="40"/>
  <c r="DZ338" i="40" s="1"/>
  <c r="DZ339" i="40" s="1"/>
  <c r="J160" i="27"/>
  <c r="K159" i="27"/>
  <c r="A56" i="23"/>
  <c r="B55" i="23"/>
  <c r="X59" i="71" l="1"/>
  <c r="Y58" i="71"/>
  <c r="O64" i="71"/>
  <c r="P64" i="71" s="1"/>
  <c r="H64" i="71"/>
  <c r="G64" i="71"/>
  <c r="D64" i="71"/>
  <c r="E64" i="71" s="1"/>
  <c r="F64" i="71" s="1"/>
  <c r="C65" i="71"/>
  <c r="B66" i="71"/>
  <c r="Z54" i="71"/>
  <c r="AB53" i="71"/>
  <c r="AA53" i="71"/>
  <c r="EN95" i="40"/>
  <c r="EO94" i="40"/>
  <c r="FD91" i="40"/>
  <c r="FC92" i="40"/>
  <c r="FH94" i="40"/>
  <c r="FI93" i="40"/>
  <c r="EJ93" i="40"/>
  <c r="EI94" i="40"/>
  <c r="EY96" i="40"/>
  <c r="EX97" i="40"/>
  <c r="ES94" i="40"/>
  <c r="ET93" i="40"/>
  <c r="ED94" i="40"/>
  <c r="EE93" i="40"/>
  <c r="FN91" i="40"/>
  <c r="FM92" i="40"/>
  <c r="FR95" i="40"/>
  <c r="FS94" i="40"/>
  <c r="DZ340" i="40"/>
  <c r="J161" i="27"/>
  <c r="K160" i="27"/>
  <c r="B56" i="23"/>
  <c r="A57" i="23"/>
  <c r="X60" i="71" l="1"/>
  <c r="Y59" i="71"/>
  <c r="O65" i="71"/>
  <c r="P65" i="71" s="1"/>
  <c r="H65" i="71"/>
  <c r="D65" i="71"/>
  <c r="E65" i="71" s="1"/>
  <c r="F65" i="71" s="1"/>
  <c r="G65" i="71"/>
  <c r="C66" i="71"/>
  <c r="B67" i="71"/>
  <c r="Z55" i="71"/>
  <c r="AB54" i="71"/>
  <c r="AA54" i="71"/>
  <c r="FM93" i="40"/>
  <c r="FN92" i="40"/>
  <c r="EJ94" i="40"/>
  <c r="EI95" i="40"/>
  <c r="FD92" i="40"/>
  <c r="FC93" i="40"/>
  <c r="ES95" i="40"/>
  <c r="ET94" i="40"/>
  <c r="EX98" i="40"/>
  <c r="EY97" i="40"/>
  <c r="FR96" i="40"/>
  <c r="FS95" i="40"/>
  <c r="EE94" i="40"/>
  <c r="ED95" i="40"/>
  <c r="FI94" i="40"/>
  <c r="FH95" i="40"/>
  <c r="EO95" i="40"/>
  <c r="EN96" i="40"/>
  <c r="DZ341" i="40"/>
  <c r="DZ342" i="40" s="1"/>
  <c r="DZ343" i="40" s="1"/>
  <c r="J162" i="27"/>
  <c r="K161" i="27"/>
  <c r="B57" i="23"/>
  <c r="A58" i="23"/>
  <c r="X61" i="71" l="1"/>
  <c r="Y60" i="71"/>
  <c r="O66" i="71"/>
  <c r="P66" i="71" s="1"/>
  <c r="H66" i="71"/>
  <c r="D66" i="71"/>
  <c r="E66" i="71" s="1"/>
  <c r="F66" i="71" s="1"/>
  <c r="G66" i="71"/>
  <c r="C67" i="71"/>
  <c r="B68" i="71"/>
  <c r="Z56" i="71"/>
  <c r="AB55" i="71"/>
  <c r="AA55" i="71"/>
  <c r="FH96" i="40"/>
  <c r="FI95" i="40"/>
  <c r="EI96" i="40"/>
  <c r="EJ95" i="40"/>
  <c r="FR97" i="40"/>
  <c r="FS96" i="40"/>
  <c r="ES96" i="40"/>
  <c r="ET95" i="40"/>
  <c r="EN97" i="40"/>
  <c r="EO96" i="40"/>
  <c r="ED96" i="40"/>
  <c r="EE95" i="40"/>
  <c r="FC94" i="40"/>
  <c r="FD93" i="40"/>
  <c r="EX99" i="40"/>
  <c r="EY98" i="40"/>
  <c r="FM94" i="40"/>
  <c r="FN93" i="40"/>
  <c r="DZ344" i="40"/>
  <c r="DZ345" i="40" s="1"/>
  <c r="DZ346" i="40" s="1"/>
  <c r="J163" i="27"/>
  <c r="K162" i="27"/>
  <c r="B58" i="23"/>
  <c r="A59" i="23"/>
  <c r="X62" i="71" l="1"/>
  <c r="Y61" i="71"/>
  <c r="C68" i="71"/>
  <c r="B69" i="71"/>
  <c r="O67" i="71"/>
  <c r="P67" i="71" s="1"/>
  <c r="H67" i="71"/>
  <c r="G67" i="71"/>
  <c r="D67" i="71"/>
  <c r="E67" i="71" s="1"/>
  <c r="F67" i="71" s="1"/>
  <c r="Z57" i="71"/>
  <c r="AB56" i="71"/>
  <c r="AA56" i="71"/>
  <c r="EX100" i="40"/>
  <c r="EY99" i="40"/>
  <c r="ED97" i="40"/>
  <c r="EE96" i="40"/>
  <c r="ES97" i="40"/>
  <c r="ET96" i="40"/>
  <c r="EJ96" i="40"/>
  <c r="EI97" i="40"/>
  <c r="FM95" i="40"/>
  <c r="FN94" i="40"/>
  <c r="FC95" i="40"/>
  <c r="FD94" i="40"/>
  <c r="EN98" i="40"/>
  <c r="EO97" i="40"/>
  <c r="FS97" i="40"/>
  <c r="FR98" i="40"/>
  <c r="FH97" i="40"/>
  <c r="FI96" i="40"/>
  <c r="DZ347" i="40"/>
  <c r="DZ348" i="40" s="1"/>
  <c r="DZ349" i="40" s="1"/>
  <c r="DZ350" i="40" s="1"/>
  <c r="DZ351" i="40" s="1"/>
  <c r="DZ352" i="40" s="1"/>
  <c r="DZ353" i="40" s="1"/>
  <c r="DZ354" i="40" s="1"/>
  <c r="DZ355" i="40" s="1"/>
  <c r="DZ356" i="40" s="1"/>
  <c r="DZ357" i="40" s="1"/>
  <c r="DZ358" i="40" s="1"/>
  <c r="DZ359" i="40" s="1"/>
  <c r="DZ360" i="40" s="1"/>
  <c r="J164" i="27"/>
  <c r="K163" i="27"/>
  <c r="A60" i="23"/>
  <c r="B59" i="23"/>
  <c r="X63" i="71" l="1"/>
  <c r="Y62" i="71"/>
  <c r="C69" i="71"/>
  <c r="B70" i="71"/>
  <c r="O68" i="71"/>
  <c r="P68" i="71" s="1"/>
  <c r="H68" i="71"/>
  <c r="G68" i="71"/>
  <c r="D68" i="71"/>
  <c r="E68" i="71" s="1"/>
  <c r="F68" i="71" s="1"/>
  <c r="Z58" i="71"/>
  <c r="AB57" i="71"/>
  <c r="AA57" i="71"/>
  <c r="FS98" i="40"/>
  <c r="FR99" i="40"/>
  <c r="EJ97" i="40"/>
  <c r="EI98" i="40"/>
  <c r="FC96" i="40"/>
  <c r="FD95" i="40"/>
  <c r="ED98" i="40"/>
  <c r="EE97" i="40"/>
  <c r="FI97" i="40"/>
  <c r="FH98" i="40"/>
  <c r="EN99" i="40"/>
  <c r="EO98" i="40"/>
  <c r="FM96" i="40"/>
  <c r="FN95" i="40"/>
  <c r="ET97" i="40"/>
  <c r="ES98" i="40"/>
  <c r="EX101" i="40"/>
  <c r="EY100" i="40"/>
  <c r="DZ361" i="40"/>
  <c r="J165" i="27"/>
  <c r="K164" i="27"/>
  <c r="B60" i="23"/>
  <c r="A61" i="23"/>
  <c r="X64" i="71" l="1"/>
  <c r="Y63" i="71"/>
  <c r="C70" i="71"/>
  <c r="B71" i="71"/>
  <c r="O69" i="71"/>
  <c r="P69" i="71" s="1"/>
  <c r="H69" i="71"/>
  <c r="D69" i="71"/>
  <c r="E69" i="71" s="1"/>
  <c r="F69" i="71" s="1"/>
  <c r="G69" i="71"/>
  <c r="Z59" i="71"/>
  <c r="AB58" i="71"/>
  <c r="AA58" i="71"/>
  <c r="ET98" i="40"/>
  <c r="ES99" i="40"/>
  <c r="EI99" i="40"/>
  <c r="EJ98" i="40"/>
  <c r="EN100" i="40"/>
  <c r="EO99" i="40"/>
  <c r="EE98" i="40"/>
  <c r="ED99" i="40"/>
  <c r="FH99" i="40"/>
  <c r="FI98" i="40"/>
  <c r="FS99" i="40"/>
  <c r="FR100" i="40"/>
  <c r="EY101" i="40"/>
  <c r="EX102" i="40"/>
  <c r="FN96" i="40"/>
  <c r="FM97" i="40"/>
  <c r="FD96" i="40"/>
  <c r="FC97" i="40"/>
  <c r="DZ362" i="40"/>
  <c r="DZ363" i="40" s="1"/>
  <c r="DZ364" i="40" s="1"/>
  <c r="DZ365" i="40" s="1"/>
  <c r="DZ366" i="40" s="1"/>
  <c r="DZ367" i="40" s="1"/>
  <c r="DZ368" i="40" s="1"/>
  <c r="DZ369" i="40" s="1"/>
  <c r="DZ370" i="40" s="1"/>
  <c r="J166" i="27"/>
  <c r="K165" i="27"/>
  <c r="B61" i="23"/>
  <c r="A62" i="23"/>
  <c r="X65" i="71" l="1"/>
  <c r="Y64" i="71"/>
  <c r="C71" i="71"/>
  <c r="B72" i="71"/>
  <c r="O70" i="71"/>
  <c r="P70" i="71" s="1"/>
  <c r="H70" i="71"/>
  <c r="D70" i="71"/>
  <c r="E70" i="71" s="1"/>
  <c r="F70" i="71" s="1"/>
  <c r="G70" i="71"/>
  <c r="Z60" i="71"/>
  <c r="AB59" i="71"/>
  <c r="AA59" i="71"/>
  <c r="FM98" i="40"/>
  <c r="FN97" i="40"/>
  <c r="FR101" i="40"/>
  <c r="FS100" i="40"/>
  <c r="ED100" i="40"/>
  <c r="EE99" i="40"/>
  <c r="EJ99" i="40"/>
  <c r="EI100" i="40"/>
  <c r="FD97" i="40"/>
  <c r="FC98" i="40"/>
  <c r="EX103" i="40"/>
  <c r="EY102" i="40"/>
  <c r="ET99" i="40"/>
  <c r="ES100" i="40"/>
  <c r="FH100" i="40"/>
  <c r="FI99" i="40"/>
  <c r="EN101" i="40"/>
  <c r="EO100" i="40"/>
  <c r="DZ371" i="40"/>
  <c r="J167" i="27"/>
  <c r="K166" i="27"/>
  <c r="A63" i="23"/>
  <c r="B62" i="23"/>
  <c r="X66" i="71" l="1"/>
  <c r="Y65" i="71"/>
  <c r="C72" i="71"/>
  <c r="B73" i="71"/>
  <c r="O71" i="71"/>
  <c r="P71" i="71" s="1"/>
  <c r="H71" i="71"/>
  <c r="G71" i="71"/>
  <c r="D71" i="71"/>
  <c r="E71" i="71" s="1"/>
  <c r="F71" i="71" s="1"/>
  <c r="Z61" i="71"/>
  <c r="AB60" i="71"/>
  <c r="AA60" i="71"/>
  <c r="EI101" i="40"/>
  <c r="EJ100" i="40"/>
  <c r="FH101" i="40"/>
  <c r="FI100" i="40"/>
  <c r="EY103" i="40"/>
  <c r="EX104" i="40"/>
  <c r="FR102" i="40"/>
  <c r="FS101" i="40"/>
  <c r="ET100" i="40"/>
  <c r="ES101" i="40"/>
  <c r="FD98" i="40"/>
  <c r="FC99" i="40"/>
  <c r="EN102" i="40"/>
  <c r="EO101" i="40"/>
  <c r="ED101" i="40"/>
  <c r="EE100" i="40"/>
  <c r="FM99" i="40"/>
  <c r="FN98" i="40"/>
  <c r="DZ372" i="40"/>
  <c r="DZ373" i="40" s="1"/>
  <c r="DZ374" i="40" s="1"/>
  <c r="J168" i="27"/>
  <c r="K167" i="27"/>
  <c r="A64" i="23"/>
  <c r="B63" i="23"/>
  <c r="X67" i="71" l="1"/>
  <c r="Y66" i="71"/>
  <c r="C73" i="71"/>
  <c r="B74" i="71"/>
  <c r="O72" i="71"/>
  <c r="P72" i="71" s="1"/>
  <c r="H72" i="71"/>
  <c r="D72" i="71"/>
  <c r="E72" i="71" s="1"/>
  <c r="F72" i="71" s="1"/>
  <c r="G72" i="71"/>
  <c r="Z62" i="71"/>
  <c r="AB61" i="71"/>
  <c r="AA61" i="71"/>
  <c r="FC100" i="40"/>
  <c r="FD99" i="40"/>
  <c r="EE101" i="40"/>
  <c r="ED102" i="40"/>
  <c r="FR103" i="40"/>
  <c r="FS102" i="40"/>
  <c r="FI101" i="40"/>
  <c r="FH102" i="40"/>
  <c r="ES102" i="40"/>
  <c r="ET101" i="40"/>
  <c r="EX105" i="40"/>
  <c r="EY104" i="40"/>
  <c r="FN99" i="40"/>
  <c r="FM100" i="40"/>
  <c r="EO102" i="40"/>
  <c r="EN103" i="40"/>
  <c r="EJ101" i="40"/>
  <c r="EI102" i="40"/>
  <c r="DZ375" i="40"/>
  <c r="J169" i="27"/>
  <c r="K168" i="27"/>
  <c r="A65" i="23"/>
  <c r="B64" i="23"/>
  <c r="X68" i="71" l="1"/>
  <c r="Y67" i="71"/>
  <c r="C74" i="71"/>
  <c r="B75" i="71"/>
  <c r="O73" i="71"/>
  <c r="P73" i="71" s="1"/>
  <c r="H73" i="71"/>
  <c r="D73" i="71"/>
  <c r="E73" i="71" s="1"/>
  <c r="F73" i="71" s="1"/>
  <c r="G73" i="71"/>
  <c r="Z63" i="71"/>
  <c r="AB62" i="71"/>
  <c r="AA62" i="71"/>
  <c r="EO103" i="40"/>
  <c r="EN104" i="40"/>
  <c r="FI102" i="40"/>
  <c r="FH103" i="40"/>
  <c r="ED103" i="40"/>
  <c r="EE102" i="40"/>
  <c r="EX106" i="40"/>
  <c r="EY105" i="40"/>
  <c r="EJ102" i="40"/>
  <c r="EI103" i="40"/>
  <c r="FN100" i="40"/>
  <c r="FM101" i="40"/>
  <c r="ET102" i="40"/>
  <c r="ES103" i="40"/>
  <c r="FS103" i="40"/>
  <c r="FR104" i="40"/>
  <c r="FD100" i="40"/>
  <c r="FC101" i="40"/>
  <c r="DZ376" i="40"/>
  <c r="DZ377" i="40" s="1"/>
  <c r="J170" i="27"/>
  <c r="K169" i="27"/>
  <c r="B65" i="23"/>
  <c r="A66" i="23"/>
  <c r="X69" i="71" l="1"/>
  <c r="Y68" i="71"/>
  <c r="C75" i="71"/>
  <c r="B76" i="71"/>
  <c r="O74" i="71"/>
  <c r="P74" i="71" s="1"/>
  <c r="H74" i="71"/>
  <c r="G74" i="71"/>
  <c r="D74" i="71"/>
  <c r="E74" i="71" s="1"/>
  <c r="F74" i="71" s="1"/>
  <c r="Z64" i="71"/>
  <c r="AB63" i="71"/>
  <c r="AA63" i="71"/>
  <c r="FR105" i="40"/>
  <c r="FS104" i="40"/>
  <c r="FM102" i="40"/>
  <c r="FN101" i="40"/>
  <c r="FH104" i="40"/>
  <c r="FI103" i="40"/>
  <c r="EX107" i="40"/>
  <c r="EY106" i="40"/>
  <c r="FC102" i="40"/>
  <c r="FD101" i="40"/>
  <c r="ES104" i="40"/>
  <c r="ET103" i="40"/>
  <c r="EI104" i="40"/>
  <c r="EJ103" i="40"/>
  <c r="EO104" i="40"/>
  <c r="EN105" i="40"/>
  <c r="EE103" i="40"/>
  <c r="ED104" i="40"/>
  <c r="DZ378" i="40"/>
  <c r="DZ379" i="40" s="1"/>
  <c r="J171" i="27"/>
  <c r="K170" i="27"/>
  <c r="B66" i="23"/>
  <c r="A67" i="23"/>
  <c r="X70" i="71" l="1"/>
  <c r="Y69" i="71"/>
  <c r="C76" i="71"/>
  <c r="B77" i="71"/>
  <c r="O75" i="71"/>
  <c r="P75" i="71" s="1"/>
  <c r="H75" i="71"/>
  <c r="G75" i="71"/>
  <c r="D75" i="71"/>
  <c r="E75" i="71" s="1"/>
  <c r="F75" i="71" s="1"/>
  <c r="Z65" i="71"/>
  <c r="AB64" i="71"/>
  <c r="AA64" i="71"/>
  <c r="EN106" i="40"/>
  <c r="EO105" i="40"/>
  <c r="ES105" i="40"/>
  <c r="ET104" i="40"/>
  <c r="EX108" i="40"/>
  <c r="EY107" i="40"/>
  <c r="FM103" i="40"/>
  <c r="FN102" i="40"/>
  <c r="ED105" i="40"/>
  <c r="EE104" i="40"/>
  <c r="EI105" i="40"/>
  <c r="EJ104" i="40"/>
  <c r="FD102" i="40"/>
  <c r="FC103" i="40"/>
  <c r="FH105" i="40"/>
  <c r="FI104" i="40"/>
  <c r="FS105" i="40"/>
  <c r="FR106" i="40"/>
  <c r="DZ380" i="40"/>
  <c r="J172" i="27"/>
  <c r="K171" i="27"/>
  <c r="A68" i="23"/>
  <c r="B67" i="23"/>
  <c r="X71" i="71" l="1"/>
  <c r="Y70" i="71"/>
  <c r="C77" i="71"/>
  <c r="B78" i="71"/>
  <c r="O76" i="71"/>
  <c r="P76" i="71" s="1"/>
  <c r="H76" i="71"/>
  <c r="G76" i="71"/>
  <c r="D76" i="71"/>
  <c r="E76" i="71" s="1"/>
  <c r="F76" i="71" s="1"/>
  <c r="Z66" i="71"/>
  <c r="AB65" i="71"/>
  <c r="AA65" i="71"/>
  <c r="FH106" i="40"/>
  <c r="FI105" i="40"/>
  <c r="EJ105" i="40"/>
  <c r="EI106" i="40"/>
  <c r="FM104" i="40"/>
  <c r="FN103" i="40"/>
  <c r="ET105" i="40"/>
  <c r="ES106" i="40"/>
  <c r="FR107" i="40"/>
  <c r="FS106" i="40"/>
  <c r="FC104" i="40"/>
  <c r="FD103" i="40"/>
  <c r="EE105" i="40"/>
  <c r="ED106" i="40"/>
  <c r="EX109" i="40"/>
  <c r="EY108" i="40"/>
  <c r="EN107" i="40"/>
  <c r="EO106" i="40"/>
  <c r="DZ381" i="40"/>
  <c r="DZ382" i="40" s="1"/>
  <c r="DZ383" i="40" s="1"/>
  <c r="J173" i="27"/>
  <c r="K172" i="27"/>
  <c r="A69" i="23"/>
  <c r="B68" i="23"/>
  <c r="X72" i="71" l="1"/>
  <c r="Y71" i="71"/>
  <c r="C78" i="71"/>
  <c r="B79" i="71"/>
  <c r="O77" i="71"/>
  <c r="P77" i="71" s="1"/>
  <c r="H77" i="71"/>
  <c r="G77" i="71"/>
  <c r="D77" i="71"/>
  <c r="E77" i="71" s="1"/>
  <c r="F77" i="71" s="1"/>
  <c r="Z67" i="71"/>
  <c r="AB66" i="71"/>
  <c r="AA66" i="71"/>
  <c r="ET106" i="40"/>
  <c r="ES107" i="40"/>
  <c r="EJ106" i="40"/>
  <c r="EI107" i="40"/>
  <c r="EX110" i="40"/>
  <c r="EY109" i="40"/>
  <c r="FD104" i="40"/>
  <c r="FC105" i="40"/>
  <c r="EE106" i="40"/>
  <c r="ED107" i="40"/>
  <c r="EN108" i="40"/>
  <c r="EO107" i="40"/>
  <c r="FS107" i="40"/>
  <c r="FR108" i="40"/>
  <c r="FN104" i="40"/>
  <c r="FM105" i="40"/>
  <c r="FI106" i="40"/>
  <c r="FH107" i="40"/>
  <c r="DZ384" i="40"/>
  <c r="DZ385" i="40" s="1"/>
  <c r="DZ386" i="40" s="1"/>
  <c r="DZ387" i="40" s="1"/>
  <c r="J174" i="27"/>
  <c r="K173" i="27"/>
  <c r="B69" i="23"/>
  <c r="A70" i="23"/>
  <c r="X73" i="71" l="1"/>
  <c r="Y72" i="71"/>
  <c r="C79" i="71"/>
  <c r="B80" i="71"/>
  <c r="O78" i="71"/>
  <c r="P78" i="71" s="1"/>
  <c r="H78" i="71"/>
  <c r="G78" i="71"/>
  <c r="D78" i="71"/>
  <c r="E78" i="71" s="1"/>
  <c r="F78" i="71" s="1"/>
  <c r="Z68" i="71"/>
  <c r="AB67" i="71"/>
  <c r="AA67" i="71"/>
  <c r="FM106" i="40"/>
  <c r="FN105" i="40"/>
  <c r="FD105" i="40"/>
  <c r="FC106" i="40"/>
  <c r="EI108" i="40"/>
  <c r="EJ107" i="40"/>
  <c r="EN109" i="40"/>
  <c r="EO108" i="40"/>
  <c r="FH108" i="40"/>
  <c r="FI107" i="40"/>
  <c r="FR109" i="40"/>
  <c r="FS108" i="40"/>
  <c r="EE107" i="40"/>
  <c r="ED108" i="40"/>
  <c r="ET107" i="40"/>
  <c r="ES108" i="40"/>
  <c r="EX111" i="40"/>
  <c r="EY110" i="40"/>
  <c r="DZ388" i="40"/>
  <c r="DZ389" i="40" s="1"/>
  <c r="J175" i="27"/>
  <c r="K174" i="27"/>
  <c r="A71" i="23"/>
  <c r="B70" i="23"/>
  <c r="X74" i="71" l="1"/>
  <c r="Y73" i="71"/>
  <c r="C80" i="71"/>
  <c r="B81" i="71"/>
  <c r="O79" i="71"/>
  <c r="P79" i="71" s="1"/>
  <c r="H79" i="71"/>
  <c r="G79" i="71"/>
  <c r="D79" i="71"/>
  <c r="E79" i="71" s="1"/>
  <c r="F79" i="71" s="1"/>
  <c r="Z69" i="71"/>
  <c r="AB68" i="71"/>
  <c r="AA68" i="71"/>
  <c r="ET108" i="40"/>
  <c r="ES109" i="40"/>
  <c r="FD106" i="40"/>
  <c r="FC107" i="40"/>
  <c r="FR110" i="40"/>
  <c r="FS109" i="40"/>
  <c r="EO109" i="40"/>
  <c r="EN110" i="40"/>
  <c r="EE108" i="40"/>
  <c r="ED109" i="40"/>
  <c r="EX112" i="40"/>
  <c r="EY111" i="40"/>
  <c r="FH109" i="40"/>
  <c r="FI108" i="40"/>
  <c r="EJ108" i="40"/>
  <c r="EI109" i="40"/>
  <c r="FM107" i="40"/>
  <c r="FN106" i="40"/>
  <c r="DZ390" i="40"/>
  <c r="DZ391" i="40" s="1"/>
  <c r="DZ392" i="40" s="1"/>
  <c r="DZ393" i="40" s="1"/>
  <c r="DZ394" i="40" s="1"/>
  <c r="DZ395" i="40" s="1"/>
  <c r="DZ396" i="40" s="1"/>
  <c r="DZ397" i="40" s="1"/>
  <c r="DZ398" i="40" s="1"/>
  <c r="J176" i="27"/>
  <c r="K175" i="27"/>
  <c r="A72" i="23"/>
  <c r="B71" i="23"/>
  <c r="X75" i="71" l="1"/>
  <c r="Y74" i="71"/>
  <c r="C81" i="71"/>
  <c r="B82" i="71"/>
  <c r="O80" i="71"/>
  <c r="P80" i="71" s="1"/>
  <c r="H80" i="71"/>
  <c r="G80" i="71"/>
  <c r="D80" i="71"/>
  <c r="E80" i="71" s="1"/>
  <c r="F80" i="71" s="1"/>
  <c r="Z70" i="71"/>
  <c r="AB69" i="71"/>
  <c r="AA69" i="71"/>
  <c r="EJ109" i="40"/>
  <c r="EI110" i="40"/>
  <c r="EO110" i="40"/>
  <c r="EN111" i="40"/>
  <c r="FC108" i="40"/>
  <c r="FD107" i="40"/>
  <c r="EX113" i="40"/>
  <c r="EY112" i="40"/>
  <c r="EE109" i="40"/>
  <c r="ED110" i="40"/>
  <c r="ET109" i="40"/>
  <c r="ES110" i="40"/>
  <c r="FN107" i="40"/>
  <c r="FM108" i="40"/>
  <c r="FI109" i="40"/>
  <c r="FH110" i="40"/>
  <c r="FR111" i="40"/>
  <c r="FS110" i="40"/>
  <c r="DZ399" i="40"/>
  <c r="DZ400" i="40" s="1"/>
  <c r="DZ401" i="40" s="1"/>
  <c r="DZ402" i="40" s="1"/>
  <c r="DZ403" i="40" s="1"/>
  <c r="DZ404" i="40" s="1"/>
  <c r="DZ405" i="40" s="1"/>
  <c r="DZ406" i="40" s="1"/>
  <c r="DZ407" i="40" s="1"/>
  <c r="J177" i="27"/>
  <c r="K176" i="27"/>
  <c r="B72" i="23"/>
  <c r="A73" i="23"/>
  <c r="X76" i="71" l="1"/>
  <c r="Y75" i="71"/>
  <c r="C82" i="71"/>
  <c r="B83" i="71"/>
  <c r="O81" i="71"/>
  <c r="P81" i="71" s="1"/>
  <c r="H81" i="71"/>
  <c r="G81" i="71"/>
  <c r="D81" i="71"/>
  <c r="E81" i="71" s="1"/>
  <c r="F81" i="71" s="1"/>
  <c r="Z71" i="71"/>
  <c r="AB70" i="71"/>
  <c r="AA70" i="71"/>
  <c r="FI110" i="40"/>
  <c r="FH111" i="40"/>
  <c r="ET110" i="40"/>
  <c r="ES111" i="40"/>
  <c r="EO111" i="40"/>
  <c r="EN112" i="40"/>
  <c r="EX114" i="40"/>
  <c r="EY113" i="40"/>
  <c r="FN108" i="40"/>
  <c r="FM109" i="40"/>
  <c r="ED111" i="40"/>
  <c r="EE110" i="40"/>
  <c r="EJ110" i="40"/>
  <c r="EI111" i="40"/>
  <c r="FS111" i="40"/>
  <c r="FR112" i="40"/>
  <c r="FD108" i="40"/>
  <c r="FC109" i="40"/>
  <c r="J178" i="27"/>
  <c r="K177" i="27"/>
  <c r="A74" i="23"/>
  <c r="B73" i="23"/>
  <c r="X77" i="71" l="1"/>
  <c r="Y76" i="71"/>
  <c r="C83" i="71"/>
  <c r="B84" i="71"/>
  <c r="O82" i="71"/>
  <c r="P82" i="71" s="1"/>
  <c r="H82" i="71"/>
  <c r="G82" i="71"/>
  <c r="D82" i="71"/>
  <c r="E82" i="71" s="1"/>
  <c r="F82" i="71" s="1"/>
  <c r="Z72" i="71"/>
  <c r="AB71" i="71"/>
  <c r="AA71" i="71"/>
  <c r="FR113" i="40"/>
  <c r="FS112" i="40"/>
  <c r="ES112" i="40"/>
  <c r="ET111" i="40"/>
  <c r="EE111" i="40"/>
  <c r="ED112" i="40"/>
  <c r="EY114" i="40"/>
  <c r="EX115" i="40"/>
  <c r="FC110" i="40"/>
  <c r="FD109" i="40"/>
  <c r="EJ111" i="40"/>
  <c r="EI112" i="40"/>
  <c r="FN109" i="40"/>
  <c r="FM110" i="40"/>
  <c r="EO112" i="40"/>
  <c r="EN113" i="40"/>
  <c r="FI111" i="40"/>
  <c r="FH112" i="40"/>
  <c r="J179" i="27"/>
  <c r="K178" i="27"/>
  <c r="B74" i="23"/>
  <c r="A75" i="23"/>
  <c r="X78" i="71" l="1"/>
  <c r="Y77" i="71"/>
  <c r="C84" i="71"/>
  <c r="B85" i="71"/>
  <c r="O83" i="71"/>
  <c r="P83" i="71" s="1"/>
  <c r="H83" i="71"/>
  <c r="G83" i="71"/>
  <c r="D83" i="71"/>
  <c r="E83" i="71" s="1"/>
  <c r="F83" i="71" s="1"/>
  <c r="Z73" i="71"/>
  <c r="AB72" i="71"/>
  <c r="AA72" i="71"/>
  <c r="EN114" i="40"/>
  <c r="EO113" i="40"/>
  <c r="EJ112" i="40"/>
  <c r="EI113" i="40"/>
  <c r="EY115" i="40"/>
  <c r="EX116" i="40"/>
  <c r="ET112" i="40"/>
  <c r="ES113" i="40"/>
  <c r="FI112" i="40"/>
  <c r="FH113" i="40"/>
  <c r="FM111" i="40"/>
  <c r="FN110" i="40"/>
  <c r="ED113" i="40"/>
  <c r="EE112" i="40"/>
  <c r="FD110" i="40"/>
  <c r="FC111" i="40"/>
  <c r="FS113" i="40"/>
  <c r="FR114" i="40"/>
  <c r="J180" i="27"/>
  <c r="K179" i="27"/>
  <c r="A76" i="23"/>
  <c r="B75" i="23"/>
  <c r="X79" i="71" l="1"/>
  <c r="Y78" i="71"/>
  <c r="B86" i="71"/>
  <c r="C85" i="71"/>
  <c r="G84" i="71"/>
  <c r="D84" i="71"/>
  <c r="E84" i="71" s="1"/>
  <c r="F84" i="71" s="1"/>
  <c r="O84" i="71"/>
  <c r="P84" i="71" s="1"/>
  <c r="H84" i="71"/>
  <c r="Z74" i="71"/>
  <c r="AB73" i="71"/>
  <c r="AA73" i="71"/>
  <c r="FD111" i="40"/>
  <c r="FC112" i="40"/>
  <c r="ET113" i="40"/>
  <c r="ES114" i="40"/>
  <c r="EI114" i="40"/>
  <c r="EJ113" i="40"/>
  <c r="FM112" i="40"/>
  <c r="FN111" i="40"/>
  <c r="FR115" i="40"/>
  <c r="FS114" i="40"/>
  <c r="FI113" i="40"/>
  <c r="FH114" i="40"/>
  <c r="EX117" i="40"/>
  <c r="EY116" i="40"/>
  <c r="EE113" i="40"/>
  <c r="ED114" i="40"/>
  <c r="EO114" i="40"/>
  <c r="EN115" i="40"/>
  <c r="J181" i="27"/>
  <c r="K180" i="27"/>
  <c r="B76" i="23"/>
  <c r="A77" i="23"/>
  <c r="Y79" i="71" l="1"/>
  <c r="X80" i="71"/>
  <c r="B87" i="71"/>
  <c r="C86" i="71"/>
  <c r="G85" i="71"/>
  <c r="D85" i="71"/>
  <c r="E85" i="71" s="1"/>
  <c r="F85" i="71" s="1"/>
  <c r="O85" i="71"/>
  <c r="P85" i="71" s="1"/>
  <c r="H85" i="71"/>
  <c r="Z75" i="71"/>
  <c r="AB74" i="71"/>
  <c r="AA74" i="71"/>
  <c r="ED115" i="40"/>
  <c r="EE114" i="40"/>
  <c r="FI114" i="40"/>
  <c r="FH115" i="40"/>
  <c r="ES115" i="40"/>
  <c r="ET114" i="40"/>
  <c r="FM113" i="40"/>
  <c r="FN112" i="40"/>
  <c r="EO115" i="40"/>
  <c r="EN116" i="40"/>
  <c r="FD112" i="40"/>
  <c r="FC113" i="40"/>
  <c r="EX118" i="40"/>
  <c r="EY117" i="40"/>
  <c r="FR116" i="40"/>
  <c r="FS115" i="40"/>
  <c r="EJ114" i="40"/>
  <c r="EI115" i="40"/>
  <c r="J182" i="27"/>
  <c r="K181" i="27"/>
  <c r="B77" i="23"/>
  <c r="A78" i="23"/>
  <c r="Y80" i="71" l="1"/>
  <c r="X81" i="71"/>
  <c r="B88" i="71"/>
  <c r="C87" i="71"/>
  <c r="G86" i="71"/>
  <c r="D86" i="71"/>
  <c r="E86" i="71" s="1"/>
  <c r="F86" i="71" s="1"/>
  <c r="O86" i="71"/>
  <c r="P86" i="71" s="1"/>
  <c r="H86" i="71"/>
  <c r="Z76" i="71"/>
  <c r="AB75" i="71"/>
  <c r="AA75" i="71"/>
  <c r="FS116" i="40"/>
  <c r="FR117" i="40"/>
  <c r="FD113" i="40"/>
  <c r="FC114" i="40"/>
  <c r="FH116" i="40"/>
  <c r="FI115" i="40"/>
  <c r="FN113" i="40"/>
  <c r="FM114" i="40"/>
  <c r="EJ115" i="40"/>
  <c r="EI116" i="40"/>
  <c r="EN117" i="40"/>
  <c r="EO116" i="40"/>
  <c r="EX119" i="40"/>
  <c r="EY118" i="40"/>
  <c r="ET115" i="40"/>
  <c r="ES116" i="40"/>
  <c r="ED116" i="40"/>
  <c r="EE115" i="40"/>
  <c r="J183" i="27"/>
  <c r="K182" i="27"/>
  <c r="B78" i="23"/>
  <c r="A79" i="23"/>
  <c r="Y81" i="71" l="1"/>
  <c r="X82" i="71"/>
  <c r="O87" i="71"/>
  <c r="P87" i="71" s="1"/>
  <c r="H87" i="71"/>
  <c r="G87" i="71"/>
  <c r="D87" i="71"/>
  <c r="E87" i="71" s="1"/>
  <c r="F87" i="71" s="1"/>
  <c r="C88" i="71"/>
  <c r="B89" i="71"/>
  <c r="Z77" i="71"/>
  <c r="AB76" i="71"/>
  <c r="AA76" i="71"/>
  <c r="ES117" i="40"/>
  <c r="ET116" i="40"/>
  <c r="FM115" i="40"/>
  <c r="FN114" i="40"/>
  <c r="FC115" i="40"/>
  <c r="FD114" i="40"/>
  <c r="EO117" i="40"/>
  <c r="EN118" i="40"/>
  <c r="EI117" i="40"/>
  <c r="EJ116" i="40"/>
  <c r="FR118" i="40"/>
  <c r="FS117" i="40"/>
  <c r="EE116" i="40"/>
  <c r="ED117" i="40"/>
  <c r="EX120" i="40"/>
  <c r="EY119" i="40"/>
  <c r="FH117" i="40"/>
  <c r="FI116" i="40"/>
  <c r="J184" i="27"/>
  <c r="K183" i="27"/>
  <c r="A80" i="23"/>
  <c r="B79" i="23"/>
  <c r="X83" i="71" l="1"/>
  <c r="Y82" i="71"/>
  <c r="O88" i="71"/>
  <c r="P88" i="71" s="1"/>
  <c r="H88" i="71"/>
  <c r="G88" i="71"/>
  <c r="D88" i="71"/>
  <c r="E88" i="71" s="1"/>
  <c r="F88" i="71" s="1"/>
  <c r="C89" i="71"/>
  <c r="B90" i="71"/>
  <c r="Z78" i="71"/>
  <c r="AB77" i="71"/>
  <c r="AA77" i="71"/>
  <c r="EN119" i="40"/>
  <c r="EO118" i="40"/>
  <c r="FH118" i="40"/>
  <c r="FI117" i="40"/>
  <c r="EX121" i="40"/>
  <c r="EY120" i="40"/>
  <c r="FS118" i="40"/>
  <c r="FR119" i="40"/>
  <c r="FM116" i="40"/>
  <c r="FN115" i="40"/>
  <c r="ED118" i="40"/>
  <c r="EE117" i="40"/>
  <c r="EJ117" i="40"/>
  <c r="EI118" i="40"/>
  <c r="FD115" i="40"/>
  <c r="FC116" i="40"/>
  <c r="ET117" i="40"/>
  <c r="ES118" i="40"/>
  <c r="J185" i="27"/>
  <c r="K184" i="27"/>
  <c r="B80" i="23"/>
  <c r="A81" i="23"/>
  <c r="X84" i="71" l="1"/>
  <c r="Y83" i="71"/>
  <c r="C90" i="71"/>
  <c r="B91" i="71"/>
  <c r="O89" i="71"/>
  <c r="P89" i="71" s="1"/>
  <c r="H89" i="71"/>
  <c r="G89" i="71"/>
  <c r="D89" i="71"/>
  <c r="E89" i="71" s="1"/>
  <c r="F89" i="71" s="1"/>
  <c r="Z79" i="71"/>
  <c r="AB78" i="71"/>
  <c r="AA78" i="71"/>
  <c r="FD116" i="40"/>
  <c r="FC117" i="40"/>
  <c r="FR120" i="40"/>
  <c r="FS119" i="40"/>
  <c r="ED119" i="40"/>
  <c r="EE118" i="40"/>
  <c r="FH119" i="40"/>
  <c r="FI118" i="40"/>
  <c r="ET118" i="40"/>
  <c r="ES119" i="40"/>
  <c r="EJ118" i="40"/>
  <c r="EI119" i="40"/>
  <c r="FN116" i="40"/>
  <c r="FM117" i="40"/>
  <c r="EX122" i="40"/>
  <c r="EY121" i="40"/>
  <c r="EO119" i="40"/>
  <c r="EN120" i="40"/>
  <c r="J186" i="27"/>
  <c r="K185" i="27"/>
  <c r="B81" i="23"/>
  <c r="A82" i="23"/>
  <c r="X85" i="71" l="1"/>
  <c r="Y84" i="71"/>
  <c r="C91" i="71"/>
  <c r="B92" i="71"/>
  <c r="O90" i="71"/>
  <c r="P90" i="71" s="1"/>
  <c r="H90" i="71"/>
  <c r="G90" i="71"/>
  <c r="D90" i="71"/>
  <c r="E90" i="71" s="1"/>
  <c r="F90" i="71" s="1"/>
  <c r="Z80" i="71"/>
  <c r="AB79" i="71"/>
  <c r="AA79" i="71"/>
  <c r="EI120" i="40"/>
  <c r="EJ119" i="40"/>
  <c r="EX123" i="40"/>
  <c r="EY122" i="40"/>
  <c r="FH120" i="40"/>
  <c r="FI119" i="40"/>
  <c r="FR121" i="40"/>
  <c r="FS120" i="40"/>
  <c r="EN121" i="40"/>
  <c r="EO120" i="40"/>
  <c r="FN117" i="40"/>
  <c r="FM118" i="40"/>
  <c r="ET119" i="40"/>
  <c r="ES120" i="40"/>
  <c r="FD117" i="40"/>
  <c r="FC118" i="40"/>
  <c r="EE119" i="40"/>
  <c r="ED120" i="40"/>
  <c r="J187" i="27"/>
  <c r="K186" i="27"/>
  <c r="B82" i="23"/>
  <c r="A83" i="23"/>
  <c r="X86" i="71" l="1"/>
  <c r="Y85" i="71"/>
  <c r="C92" i="71"/>
  <c r="B93" i="71"/>
  <c r="O91" i="71"/>
  <c r="P91" i="71" s="1"/>
  <c r="H91" i="71"/>
  <c r="G91" i="71"/>
  <c r="D91" i="71"/>
  <c r="E91" i="71" s="1"/>
  <c r="F91" i="71" s="1"/>
  <c r="Z81" i="71"/>
  <c r="AB80" i="71"/>
  <c r="AA80" i="71"/>
  <c r="FD118" i="40"/>
  <c r="FC119" i="40"/>
  <c r="FM119" i="40"/>
  <c r="FN118" i="40"/>
  <c r="FR122" i="40"/>
  <c r="FS121" i="40"/>
  <c r="EX124" i="40"/>
  <c r="EY123" i="40"/>
  <c r="EE120" i="40"/>
  <c r="ED121" i="40"/>
  <c r="ES121" i="40"/>
  <c r="ET120" i="40"/>
  <c r="EN122" i="40"/>
  <c r="EO121" i="40"/>
  <c r="FH121" i="40"/>
  <c r="FI120" i="40"/>
  <c r="EJ120" i="40"/>
  <c r="EI121" i="40"/>
  <c r="J188" i="27"/>
  <c r="K187" i="27"/>
  <c r="B83" i="23"/>
  <c r="A84" i="23"/>
  <c r="X87" i="71" l="1"/>
  <c r="Y86" i="71"/>
  <c r="C93" i="71"/>
  <c r="B94" i="71"/>
  <c r="O92" i="71"/>
  <c r="P92" i="71" s="1"/>
  <c r="H92" i="71"/>
  <c r="G92" i="71"/>
  <c r="D92" i="71"/>
  <c r="E92" i="71" s="1"/>
  <c r="F92" i="71" s="1"/>
  <c r="Z82" i="71"/>
  <c r="AB81" i="71"/>
  <c r="AA81" i="71"/>
  <c r="FH122" i="40"/>
  <c r="FI121" i="40"/>
  <c r="ES122" i="40"/>
  <c r="ET121" i="40"/>
  <c r="EX125" i="40"/>
  <c r="EY124" i="40"/>
  <c r="FM120" i="40"/>
  <c r="FN119" i="40"/>
  <c r="ED122" i="40"/>
  <c r="EE121" i="40"/>
  <c r="FD119" i="40"/>
  <c r="FC120" i="40"/>
  <c r="EI122" i="40"/>
  <c r="EJ121" i="40"/>
  <c r="EO122" i="40"/>
  <c r="EN123" i="40"/>
  <c r="FR123" i="40"/>
  <c r="FS122" i="40"/>
  <c r="J189" i="27"/>
  <c r="K188" i="27"/>
  <c r="A85" i="23"/>
  <c r="B84" i="23"/>
  <c r="X88" i="71" l="1"/>
  <c r="Y87" i="71"/>
  <c r="C94" i="71"/>
  <c r="B95" i="71"/>
  <c r="O93" i="71"/>
  <c r="P93" i="71" s="1"/>
  <c r="H93" i="71"/>
  <c r="G93" i="71"/>
  <c r="D93" i="71"/>
  <c r="E93" i="71" s="1"/>
  <c r="F93" i="71" s="1"/>
  <c r="Z83" i="71"/>
  <c r="AB82" i="71"/>
  <c r="AA82" i="71"/>
  <c r="EO123" i="40"/>
  <c r="EN124" i="40"/>
  <c r="FD120" i="40"/>
  <c r="FC121" i="40"/>
  <c r="FN120" i="40"/>
  <c r="FM121" i="40"/>
  <c r="ET122" i="40"/>
  <c r="ES123" i="40"/>
  <c r="FR124" i="40"/>
  <c r="FS123" i="40"/>
  <c r="EJ122" i="40"/>
  <c r="EI123" i="40"/>
  <c r="ED123" i="40"/>
  <c r="EE122" i="40"/>
  <c r="EX126" i="40"/>
  <c r="EY125" i="40"/>
  <c r="FH123" i="40"/>
  <c r="FI122" i="40"/>
  <c r="J190" i="27"/>
  <c r="K189" i="27"/>
  <c r="B85" i="23"/>
  <c r="A86" i="23"/>
  <c r="X89" i="71" l="1"/>
  <c r="Y88" i="71"/>
  <c r="C95" i="71"/>
  <c r="B96" i="71"/>
  <c r="O94" i="71"/>
  <c r="P94" i="71" s="1"/>
  <c r="H94" i="71"/>
  <c r="G94" i="71"/>
  <c r="D94" i="71"/>
  <c r="E94" i="71" s="1"/>
  <c r="F94" i="71" s="1"/>
  <c r="Z84" i="71"/>
  <c r="AB83" i="71"/>
  <c r="AA83" i="71"/>
  <c r="EI124" i="40"/>
  <c r="EJ123" i="40"/>
  <c r="ET123" i="40"/>
  <c r="ES124" i="40"/>
  <c r="FD121" i="40"/>
  <c r="FC122" i="40"/>
  <c r="EX127" i="40"/>
  <c r="EY126" i="40"/>
  <c r="FN121" i="40"/>
  <c r="FM122" i="40"/>
  <c r="EO124" i="40"/>
  <c r="EN125" i="40"/>
  <c r="FH124" i="40"/>
  <c r="FI123" i="40"/>
  <c r="EE123" i="40"/>
  <c r="ED124" i="40"/>
  <c r="FR125" i="40"/>
  <c r="FS124" i="40"/>
  <c r="J191" i="27"/>
  <c r="K190" i="27"/>
  <c r="A87" i="23"/>
  <c r="B86" i="23"/>
  <c r="X90" i="71" l="1"/>
  <c r="Y89" i="71"/>
  <c r="C96" i="71"/>
  <c r="B97" i="71"/>
  <c r="O95" i="71"/>
  <c r="P95" i="71" s="1"/>
  <c r="H95" i="71"/>
  <c r="G95" i="71"/>
  <c r="D95" i="71"/>
  <c r="E95" i="71" s="1"/>
  <c r="F95" i="71" s="1"/>
  <c r="Z85" i="71"/>
  <c r="AB84" i="71"/>
  <c r="AA84" i="71"/>
  <c r="EE124" i="40"/>
  <c r="ED125" i="40"/>
  <c r="EO125" i="40"/>
  <c r="EN126" i="40"/>
  <c r="ET124" i="40"/>
  <c r="ES125" i="40"/>
  <c r="EX128" i="40"/>
  <c r="EY127" i="40"/>
  <c r="FM123" i="40"/>
  <c r="FN122" i="40"/>
  <c r="FD122" i="40"/>
  <c r="FC123" i="40"/>
  <c r="FR126" i="40"/>
  <c r="FS125" i="40"/>
  <c r="FH125" i="40"/>
  <c r="FI124" i="40"/>
  <c r="EJ124" i="40"/>
  <c r="EI125" i="40"/>
  <c r="J192" i="27"/>
  <c r="K191" i="27"/>
  <c r="A88" i="23"/>
  <c r="B87" i="23"/>
  <c r="X91" i="71" l="1"/>
  <c r="Y90" i="71"/>
  <c r="B98" i="71"/>
  <c r="C97" i="71"/>
  <c r="G96" i="71"/>
  <c r="D96" i="71"/>
  <c r="E96" i="71" s="1"/>
  <c r="F96" i="71" s="1"/>
  <c r="O96" i="71"/>
  <c r="P96" i="71" s="1"/>
  <c r="H96" i="71"/>
  <c r="Z86" i="71"/>
  <c r="AB85" i="71"/>
  <c r="AA85" i="71"/>
  <c r="FD123" i="40"/>
  <c r="FC124" i="40"/>
  <c r="EO126" i="40"/>
  <c r="EN127" i="40"/>
  <c r="FH126" i="40"/>
  <c r="FI125" i="40"/>
  <c r="EX129" i="40"/>
  <c r="EY128" i="40"/>
  <c r="EJ125" i="40"/>
  <c r="EI126" i="40"/>
  <c r="ET125" i="40"/>
  <c r="ES126" i="40"/>
  <c r="ED126" i="40"/>
  <c r="EE125" i="40"/>
  <c r="FR127" i="40"/>
  <c r="FS126" i="40"/>
  <c r="FM124" i="40"/>
  <c r="FN123" i="40"/>
  <c r="J193" i="27"/>
  <c r="K192" i="27"/>
  <c r="B88" i="23"/>
  <c r="A89" i="23"/>
  <c r="Y91" i="71" l="1"/>
  <c r="X92" i="71"/>
  <c r="B99" i="71"/>
  <c r="C98" i="71"/>
  <c r="G97" i="71"/>
  <c r="D97" i="71"/>
  <c r="E97" i="71" s="1"/>
  <c r="F97" i="71" s="1"/>
  <c r="O97" i="71"/>
  <c r="P97" i="71" s="1"/>
  <c r="H97" i="71"/>
  <c r="Z87" i="71"/>
  <c r="AB86" i="71"/>
  <c r="AA86" i="71"/>
  <c r="ET126" i="40"/>
  <c r="ES127" i="40"/>
  <c r="EO127" i="40"/>
  <c r="EN128" i="40"/>
  <c r="FR128" i="40"/>
  <c r="FS127" i="40"/>
  <c r="EX130" i="40"/>
  <c r="EY129" i="40"/>
  <c r="EI127" i="40"/>
  <c r="EJ126" i="40"/>
  <c r="FD124" i="40"/>
  <c r="FC125" i="40"/>
  <c r="FN124" i="40"/>
  <c r="FM125" i="40"/>
  <c r="ED127" i="40"/>
  <c r="EE126" i="40"/>
  <c r="FH127" i="40"/>
  <c r="FI126" i="40"/>
  <c r="J194" i="27"/>
  <c r="K193" i="27"/>
  <c r="B89" i="23"/>
  <c r="A90" i="23"/>
  <c r="Y92" i="71" l="1"/>
  <c r="X93" i="71"/>
  <c r="B100" i="71"/>
  <c r="C99" i="71"/>
  <c r="G98" i="71"/>
  <c r="D98" i="71"/>
  <c r="E98" i="71" s="1"/>
  <c r="F98" i="71" s="1"/>
  <c r="O98" i="71"/>
  <c r="P98" i="71" s="1"/>
  <c r="H98" i="71"/>
  <c r="Z88" i="71"/>
  <c r="AB87" i="71"/>
  <c r="AA87" i="71"/>
  <c r="FD125" i="40"/>
  <c r="FC126" i="40"/>
  <c r="EO128" i="40"/>
  <c r="EN129" i="40"/>
  <c r="EE127" i="40"/>
  <c r="ED128" i="40"/>
  <c r="EX131" i="40"/>
  <c r="EY130" i="40"/>
  <c r="FN125" i="40"/>
  <c r="FM126" i="40"/>
  <c r="ES128" i="40"/>
  <c r="ET127" i="40"/>
  <c r="FH128" i="40"/>
  <c r="FI127" i="40"/>
  <c r="EI128" i="40"/>
  <c r="EJ127" i="40"/>
  <c r="FR129" i="40"/>
  <c r="FS128" i="40"/>
  <c r="J195" i="27"/>
  <c r="K194" i="27"/>
  <c r="B90" i="23"/>
  <c r="A91" i="23"/>
  <c r="Y93" i="71" l="1"/>
  <c r="X94" i="71"/>
  <c r="O99" i="71"/>
  <c r="P99" i="71" s="1"/>
  <c r="H99" i="71"/>
  <c r="G99" i="71"/>
  <c r="D99" i="71"/>
  <c r="E99" i="71" s="1"/>
  <c r="F99" i="71" s="1"/>
  <c r="C100" i="71"/>
  <c r="B101" i="71"/>
  <c r="Z89" i="71"/>
  <c r="AB88" i="71"/>
  <c r="AA88" i="71"/>
  <c r="EN130" i="40"/>
  <c r="EO129" i="40"/>
  <c r="EI129" i="40"/>
  <c r="EJ128" i="40"/>
  <c r="ES129" i="40"/>
  <c r="ET128" i="40"/>
  <c r="EX132" i="40"/>
  <c r="EY131" i="40"/>
  <c r="FM127" i="40"/>
  <c r="FN126" i="40"/>
  <c r="ED129" i="40"/>
  <c r="EE128" i="40"/>
  <c r="FD126" i="40"/>
  <c r="FC127" i="40"/>
  <c r="FR130" i="40"/>
  <c r="FS129" i="40"/>
  <c r="FH129" i="40"/>
  <c r="FI128" i="40"/>
  <c r="J196" i="27"/>
  <c r="K195" i="27"/>
  <c r="A92" i="23"/>
  <c r="B91" i="23"/>
  <c r="X95" i="71" l="1"/>
  <c r="Y94" i="71"/>
  <c r="O100" i="71"/>
  <c r="P100" i="71" s="1"/>
  <c r="H100" i="71"/>
  <c r="G100" i="71"/>
  <c r="D100" i="71"/>
  <c r="E100" i="71" s="1"/>
  <c r="F100" i="71" s="1"/>
  <c r="C101" i="71"/>
  <c r="B102" i="71"/>
  <c r="Z90" i="71"/>
  <c r="AB89" i="71"/>
  <c r="AA89" i="71"/>
  <c r="FH130" i="40"/>
  <c r="FI129" i="40"/>
  <c r="FR131" i="40"/>
  <c r="FS130" i="40"/>
  <c r="ED130" i="40"/>
  <c r="EE129" i="40"/>
  <c r="EX133" i="40"/>
  <c r="EY132" i="40"/>
  <c r="EJ129" i="40"/>
  <c r="EI130" i="40"/>
  <c r="FD127" i="40"/>
  <c r="FC128" i="40"/>
  <c r="FM128" i="40"/>
  <c r="FN127" i="40"/>
  <c r="ES130" i="40"/>
  <c r="ET129" i="40"/>
  <c r="EN131" i="40"/>
  <c r="EO130" i="40"/>
  <c r="J197" i="27"/>
  <c r="K196" i="27"/>
  <c r="A93" i="23"/>
  <c r="B92" i="23"/>
  <c r="X96" i="71" l="1"/>
  <c r="Y95" i="71"/>
  <c r="B103" i="71"/>
  <c r="C102" i="71"/>
  <c r="G101" i="71"/>
  <c r="D101" i="71"/>
  <c r="E101" i="71" s="1"/>
  <c r="F101" i="71" s="1"/>
  <c r="O101" i="71"/>
  <c r="P101" i="71" s="1"/>
  <c r="H101" i="71"/>
  <c r="Z91" i="71"/>
  <c r="AB90" i="71"/>
  <c r="AA90" i="71"/>
  <c r="FD128" i="40"/>
  <c r="FC129" i="40"/>
  <c r="ET130" i="40"/>
  <c r="ES131" i="40"/>
  <c r="EX134" i="40"/>
  <c r="EY133" i="40"/>
  <c r="FR132" i="40"/>
  <c r="FS131" i="40"/>
  <c r="EI131" i="40"/>
  <c r="EJ130" i="40"/>
  <c r="EN132" i="40"/>
  <c r="EO131" i="40"/>
  <c r="FN128" i="40"/>
  <c r="FM129" i="40"/>
  <c r="ED131" i="40"/>
  <c r="EE130" i="40"/>
  <c r="FH131" i="40"/>
  <c r="FI130" i="40"/>
  <c r="J198" i="27"/>
  <c r="K197" i="27"/>
  <c r="B93" i="23"/>
  <c r="A94" i="23"/>
  <c r="X97" i="71" l="1"/>
  <c r="Y96" i="71"/>
  <c r="G102" i="71"/>
  <c r="D102" i="71"/>
  <c r="E102" i="71" s="1"/>
  <c r="F102" i="71" s="1"/>
  <c r="O102" i="71"/>
  <c r="P102" i="71" s="1"/>
  <c r="H102" i="71"/>
  <c r="B104" i="71"/>
  <c r="C103" i="71"/>
  <c r="Z92" i="71"/>
  <c r="AB91" i="71"/>
  <c r="AA91" i="71"/>
  <c r="ES132" i="40"/>
  <c r="ET131" i="40"/>
  <c r="EE131" i="40"/>
  <c r="ED132" i="40"/>
  <c r="EN133" i="40"/>
  <c r="EO132" i="40"/>
  <c r="FR133" i="40"/>
  <c r="FS132" i="40"/>
  <c r="FN129" i="40"/>
  <c r="FM130" i="40"/>
  <c r="FD129" i="40"/>
  <c r="FC130" i="40"/>
  <c r="FH132" i="40"/>
  <c r="FI131" i="40"/>
  <c r="EI132" i="40"/>
  <c r="EJ131" i="40"/>
  <c r="EX135" i="40"/>
  <c r="EY134" i="40"/>
  <c r="J199" i="27"/>
  <c r="K198" i="27"/>
  <c r="A95" i="23"/>
  <c r="B94" i="23"/>
  <c r="X98" i="71" l="1"/>
  <c r="Y97" i="71"/>
  <c r="G103" i="71"/>
  <c r="D103" i="71"/>
  <c r="E103" i="71" s="1"/>
  <c r="F103" i="71" s="1"/>
  <c r="O103" i="71"/>
  <c r="P103" i="71" s="1"/>
  <c r="H103" i="71"/>
  <c r="B105" i="71"/>
  <c r="C104" i="71"/>
  <c r="Z93" i="71"/>
  <c r="AB92" i="71"/>
  <c r="AA92" i="71"/>
  <c r="FD130" i="40"/>
  <c r="FC131" i="40"/>
  <c r="EE132" i="40"/>
  <c r="ED133" i="40"/>
  <c r="EI133" i="40"/>
  <c r="EJ132" i="40"/>
  <c r="FR134" i="40"/>
  <c r="FS133" i="40"/>
  <c r="FM131" i="40"/>
  <c r="FN130" i="40"/>
  <c r="EX136" i="40"/>
  <c r="EY135" i="40"/>
  <c r="FH133" i="40"/>
  <c r="FI132" i="40"/>
  <c r="EO133" i="40"/>
  <c r="EN134" i="40"/>
  <c r="ES133" i="40"/>
  <c r="ET132" i="40"/>
  <c r="J200" i="27"/>
  <c r="K199" i="27"/>
  <c r="A96" i="23"/>
  <c r="B95" i="23"/>
  <c r="X99" i="71" l="1"/>
  <c r="Y98" i="71"/>
  <c r="C105" i="71"/>
  <c r="B106" i="71"/>
  <c r="O104" i="71"/>
  <c r="P104" i="71" s="1"/>
  <c r="H104" i="71"/>
  <c r="G104" i="71"/>
  <c r="D104" i="71"/>
  <c r="E104" i="71" s="1"/>
  <c r="F104" i="71" s="1"/>
  <c r="Z94" i="71"/>
  <c r="AB93" i="71"/>
  <c r="AA93" i="71"/>
  <c r="EO134" i="40"/>
  <c r="EN135" i="40"/>
  <c r="ED134" i="40"/>
  <c r="EE133" i="40"/>
  <c r="EX137" i="40"/>
  <c r="EY136" i="40"/>
  <c r="FR135" i="40"/>
  <c r="FS134" i="40"/>
  <c r="FD131" i="40"/>
  <c r="FC132" i="40"/>
  <c r="ES134" i="40"/>
  <c r="ET133" i="40"/>
  <c r="FH134" i="40"/>
  <c r="FI133" i="40"/>
  <c r="FM132" i="40"/>
  <c r="FN131" i="40"/>
  <c r="EI134" i="40"/>
  <c r="EJ133" i="40"/>
  <c r="J201" i="27"/>
  <c r="K200" i="27"/>
  <c r="A97" i="23"/>
  <c r="B96" i="23"/>
  <c r="X100" i="71" l="1"/>
  <c r="Y99" i="71"/>
  <c r="C106" i="71"/>
  <c r="B107" i="71"/>
  <c r="B108" i="71" s="1"/>
  <c r="B109" i="71" s="1"/>
  <c r="O105" i="71"/>
  <c r="P105" i="71" s="1"/>
  <c r="H105" i="71"/>
  <c r="G105" i="71"/>
  <c r="D105" i="71"/>
  <c r="E105" i="71" s="1"/>
  <c r="F105" i="71" s="1"/>
  <c r="Z95" i="71"/>
  <c r="AB94" i="71"/>
  <c r="AA94" i="71"/>
  <c r="EI135" i="40"/>
  <c r="EJ134" i="40"/>
  <c r="FN132" i="40"/>
  <c r="FM133" i="40"/>
  <c r="ET134" i="40"/>
  <c r="ES135" i="40"/>
  <c r="FR136" i="40"/>
  <c r="FS135" i="40"/>
  <c r="EE134" i="40"/>
  <c r="ED135" i="40"/>
  <c r="FD132" i="40"/>
  <c r="FC133" i="40"/>
  <c r="EN136" i="40"/>
  <c r="EO135" i="40"/>
  <c r="FH135" i="40"/>
  <c r="FI134" i="40"/>
  <c r="EX138" i="40"/>
  <c r="EY137" i="40"/>
  <c r="J202" i="27"/>
  <c r="K201" i="27"/>
  <c r="B97" i="23"/>
  <c r="A98" i="23"/>
  <c r="X101" i="71" l="1"/>
  <c r="Y100" i="71"/>
  <c r="C109" i="71"/>
  <c r="B110" i="71"/>
  <c r="B111" i="71" s="1"/>
  <c r="B112" i="71" s="1"/>
  <c r="O106" i="71"/>
  <c r="P106" i="71" s="1"/>
  <c r="H106" i="71"/>
  <c r="G106" i="71"/>
  <c r="D106" i="71"/>
  <c r="E106" i="71" s="1"/>
  <c r="F106" i="71" s="1"/>
  <c r="Z96" i="71"/>
  <c r="AB95" i="71"/>
  <c r="AA95" i="71"/>
  <c r="FD133" i="40"/>
  <c r="FC134" i="40"/>
  <c r="FN133" i="40"/>
  <c r="FM134" i="40"/>
  <c r="FH136" i="40"/>
  <c r="FI135" i="40"/>
  <c r="FR137" i="40"/>
  <c r="FS136" i="40"/>
  <c r="EE135" i="40"/>
  <c r="ED136" i="40"/>
  <c r="ET135" i="40"/>
  <c r="ES136" i="40"/>
  <c r="EX139" i="40"/>
  <c r="EY138" i="40"/>
  <c r="EO136" i="40"/>
  <c r="EN137" i="40"/>
  <c r="EI136" i="40"/>
  <c r="EJ135" i="40"/>
  <c r="J203" i="27"/>
  <c r="K202" i="27"/>
  <c r="B98" i="23"/>
  <c r="A99" i="23"/>
  <c r="X102" i="71" l="1"/>
  <c r="Y101" i="71"/>
  <c r="C112" i="71"/>
  <c r="B113" i="71"/>
  <c r="G109" i="71"/>
  <c r="D109" i="71"/>
  <c r="E109" i="71" s="1"/>
  <c r="F109" i="71" s="1"/>
  <c r="O109" i="71"/>
  <c r="P109" i="71" s="1"/>
  <c r="H109" i="71"/>
  <c r="Z97" i="71"/>
  <c r="AB96" i="71"/>
  <c r="AA96" i="71"/>
  <c r="EN138" i="40"/>
  <c r="EO137" i="40"/>
  <c r="ES137" i="40"/>
  <c r="ET136" i="40"/>
  <c r="FM135" i="40"/>
  <c r="FN134" i="40"/>
  <c r="FR138" i="40"/>
  <c r="FS137" i="40"/>
  <c r="ED137" i="40"/>
  <c r="EE136" i="40"/>
  <c r="FD134" i="40"/>
  <c r="FC135" i="40"/>
  <c r="EJ136" i="40"/>
  <c r="EI137" i="40"/>
  <c r="EX140" i="40"/>
  <c r="EY139" i="40"/>
  <c r="FH137" i="40"/>
  <c r="FI136" i="40"/>
  <c r="J204" i="27"/>
  <c r="K203" i="27"/>
  <c r="A100" i="23"/>
  <c r="B99" i="23"/>
  <c r="X103" i="71" l="1"/>
  <c r="Y102" i="71"/>
  <c r="C113" i="71"/>
  <c r="B114" i="71"/>
  <c r="C114" i="71" s="1"/>
  <c r="G112" i="71"/>
  <c r="D112" i="71"/>
  <c r="E112" i="71" s="1"/>
  <c r="F112" i="71" s="1"/>
  <c r="O112" i="71"/>
  <c r="P112" i="71" s="1"/>
  <c r="H112" i="71"/>
  <c r="Z98" i="71"/>
  <c r="AB97" i="71"/>
  <c r="AA97" i="71"/>
  <c r="FD135" i="40"/>
  <c r="FC136" i="40"/>
  <c r="EX141" i="40"/>
  <c r="EY140" i="40"/>
  <c r="FR139" i="40"/>
  <c r="FS138" i="40"/>
  <c r="ES138" i="40"/>
  <c r="ET137" i="40"/>
  <c r="EI138" i="40"/>
  <c r="EJ137" i="40"/>
  <c r="FH138" i="40"/>
  <c r="FI137" i="40"/>
  <c r="ED138" i="40"/>
  <c r="EE137" i="40"/>
  <c r="FM136" i="40"/>
  <c r="FN135" i="40"/>
  <c r="EN139" i="40"/>
  <c r="EO138" i="40"/>
  <c r="J205" i="27"/>
  <c r="K204" i="27"/>
  <c r="A101" i="23"/>
  <c r="B100" i="23"/>
  <c r="X104" i="71" l="1"/>
  <c r="Y103" i="71"/>
  <c r="D114" i="71"/>
  <c r="E114" i="71" s="1"/>
  <c r="F114" i="71" s="1"/>
  <c r="G114" i="71"/>
  <c r="H114" i="71"/>
  <c r="O114" i="71"/>
  <c r="P114" i="71" s="1"/>
  <c r="D113" i="71"/>
  <c r="E113" i="71" s="1"/>
  <c r="F113" i="71" s="1"/>
  <c r="G113" i="71"/>
  <c r="H113" i="71"/>
  <c r="O113" i="71"/>
  <c r="P113" i="71" s="1"/>
  <c r="Z99" i="71"/>
  <c r="AB98" i="71"/>
  <c r="AA98" i="71"/>
  <c r="FN136" i="40"/>
  <c r="FM137" i="40"/>
  <c r="FH139" i="40"/>
  <c r="FI138" i="40"/>
  <c r="ET138" i="40"/>
  <c r="ES139" i="40"/>
  <c r="EX142" i="40"/>
  <c r="EY141" i="40"/>
  <c r="FD136" i="40"/>
  <c r="FC137" i="40"/>
  <c r="EN140" i="40"/>
  <c r="EO139" i="40"/>
  <c r="ED139" i="40"/>
  <c r="EE138" i="40"/>
  <c r="EI139" i="40"/>
  <c r="EJ138" i="40"/>
  <c r="FR140" i="40"/>
  <c r="FS139" i="40"/>
  <c r="J206" i="27"/>
  <c r="K205" i="27"/>
  <c r="B101" i="23"/>
  <c r="A102" i="23"/>
  <c r="Y104" i="71" l="1"/>
  <c r="X105" i="71"/>
  <c r="Z100" i="71"/>
  <c r="AB99" i="71"/>
  <c r="AA99" i="71"/>
  <c r="EJ139" i="40"/>
  <c r="EI140" i="40"/>
  <c r="EN141" i="40"/>
  <c r="EO140" i="40"/>
  <c r="EX143" i="40"/>
  <c r="EY142" i="40"/>
  <c r="FH140" i="40"/>
  <c r="FI139" i="40"/>
  <c r="FD137" i="40"/>
  <c r="FC138" i="40"/>
  <c r="ET139" i="40"/>
  <c r="ES140" i="40"/>
  <c r="FN137" i="40"/>
  <c r="FM138" i="40"/>
  <c r="FR141" i="40"/>
  <c r="FS140" i="40"/>
  <c r="EE139" i="40"/>
  <c r="ED140" i="40"/>
  <c r="J207" i="27"/>
  <c r="K206" i="27"/>
  <c r="A103" i="23"/>
  <c r="B102" i="23"/>
  <c r="X106" i="71" l="1"/>
  <c r="Y105" i="71"/>
  <c r="Z101" i="71"/>
  <c r="AB100" i="71"/>
  <c r="AA100" i="71"/>
  <c r="ET140" i="40"/>
  <c r="ES141" i="40"/>
  <c r="FR142" i="40"/>
  <c r="FS141" i="40"/>
  <c r="FH141" i="40"/>
  <c r="FI140" i="40"/>
  <c r="EN142" i="40"/>
  <c r="EO141" i="40"/>
  <c r="EE140" i="40"/>
  <c r="ED141" i="40"/>
  <c r="FM139" i="40"/>
  <c r="FN138" i="40"/>
  <c r="FD138" i="40"/>
  <c r="FC139" i="40"/>
  <c r="EJ140" i="40"/>
  <c r="EI141" i="40"/>
  <c r="EX144" i="40"/>
  <c r="EY143" i="40"/>
  <c r="J208" i="27"/>
  <c r="K207" i="27"/>
  <c r="A104" i="23"/>
  <c r="B103" i="23"/>
  <c r="X107" i="71" l="1"/>
  <c r="Y106" i="71"/>
  <c r="Z102" i="71"/>
  <c r="AB101" i="71"/>
  <c r="AA101" i="71"/>
  <c r="FM140" i="40"/>
  <c r="FN139" i="40"/>
  <c r="EO142" i="40"/>
  <c r="EN143" i="40"/>
  <c r="FR143" i="40"/>
  <c r="FS142" i="40"/>
  <c r="FD139" i="40"/>
  <c r="FC140" i="40"/>
  <c r="ED142" i="40"/>
  <c r="EE141" i="40"/>
  <c r="ET141" i="40"/>
  <c r="ES142" i="40"/>
  <c r="EJ141" i="40"/>
  <c r="EI142" i="40"/>
  <c r="EX145" i="40"/>
  <c r="EY144" i="40"/>
  <c r="FH142" i="40"/>
  <c r="FI141" i="40"/>
  <c r="J209" i="27"/>
  <c r="K208" i="27"/>
  <c r="B104" i="23"/>
  <c r="A105" i="23"/>
  <c r="X108" i="71" l="1"/>
  <c r="Y107" i="71"/>
  <c r="Z103" i="71"/>
  <c r="AB102" i="71"/>
  <c r="AA102" i="71"/>
  <c r="EI143" i="40"/>
  <c r="EJ142" i="40"/>
  <c r="ET142" i="40"/>
  <c r="ES143" i="40"/>
  <c r="FD140" i="40"/>
  <c r="FC141" i="40"/>
  <c r="EO143" i="40"/>
  <c r="EN144" i="40"/>
  <c r="EX146" i="40"/>
  <c r="EY145" i="40"/>
  <c r="FH143" i="40"/>
  <c r="FI142" i="40"/>
  <c r="EE142" i="40"/>
  <c r="ED143" i="40"/>
  <c r="FR144" i="40"/>
  <c r="FS143" i="40"/>
  <c r="FN140" i="40"/>
  <c r="FM141" i="40"/>
  <c r="J210" i="27"/>
  <c r="K209" i="27"/>
  <c r="B105" i="23"/>
  <c r="A106" i="23"/>
  <c r="Y108" i="71" l="1"/>
  <c r="X109" i="71"/>
  <c r="Z104" i="71"/>
  <c r="AB103" i="71"/>
  <c r="AA103" i="71"/>
  <c r="ES144" i="40"/>
  <c r="ET143" i="40"/>
  <c r="FH144" i="40"/>
  <c r="FI143" i="40"/>
  <c r="FN141" i="40"/>
  <c r="FM142" i="40"/>
  <c r="EE143" i="40"/>
  <c r="ED144" i="40"/>
  <c r="FD141" i="40"/>
  <c r="FC142" i="40"/>
  <c r="EO144" i="40"/>
  <c r="EN145" i="40"/>
  <c r="FR145" i="40"/>
  <c r="FS144" i="40"/>
  <c r="EX147" i="40"/>
  <c r="EY146" i="40"/>
  <c r="EI144" i="40"/>
  <c r="EJ143" i="40"/>
  <c r="J211" i="27"/>
  <c r="K210" i="27"/>
  <c r="B106" i="23"/>
  <c r="A107" i="23"/>
  <c r="Y109" i="71" l="1"/>
  <c r="X110" i="71"/>
  <c r="Z105" i="71"/>
  <c r="AB104" i="71"/>
  <c r="AA104" i="71"/>
  <c r="EX148" i="40"/>
  <c r="EY147" i="40"/>
  <c r="FH145" i="40"/>
  <c r="FI144" i="40"/>
  <c r="EN146" i="40"/>
  <c r="EO145" i="40"/>
  <c r="FD142" i="40"/>
  <c r="FC143" i="40"/>
  <c r="FM143" i="40"/>
  <c r="FN142" i="40"/>
  <c r="ED145" i="40"/>
  <c r="EE144" i="40"/>
  <c r="EJ144" i="40"/>
  <c r="EI145" i="40"/>
  <c r="FR146" i="40"/>
  <c r="FS145" i="40"/>
  <c r="ET144" i="40"/>
  <c r="ES145" i="40"/>
  <c r="J212" i="27"/>
  <c r="K211" i="27"/>
  <c r="A108" i="23"/>
  <c r="B107" i="23"/>
  <c r="X111" i="71" l="1"/>
  <c r="Y110" i="71"/>
  <c r="Z106" i="71"/>
  <c r="AB105" i="71"/>
  <c r="AA105" i="71"/>
  <c r="FD143" i="40"/>
  <c r="FC144" i="40"/>
  <c r="FR147" i="40"/>
  <c r="FS146" i="40"/>
  <c r="ED146" i="40"/>
  <c r="EE145" i="40"/>
  <c r="FH146" i="40"/>
  <c r="FI145" i="40"/>
  <c r="ES146" i="40"/>
  <c r="ET145" i="40"/>
  <c r="EI146" i="40"/>
  <c r="EJ145" i="40"/>
  <c r="FM144" i="40"/>
  <c r="FN143" i="40"/>
  <c r="EN147" i="40"/>
  <c r="EO146" i="40"/>
  <c r="EX149" i="40"/>
  <c r="EY148" i="40"/>
  <c r="J213" i="27"/>
  <c r="K212" i="27"/>
  <c r="B108" i="23"/>
  <c r="A109" i="23"/>
  <c r="Y111" i="71" l="1"/>
  <c r="X112" i="71"/>
  <c r="Z107" i="71"/>
  <c r="AB106" i="71"/>
  <c r="AA106" i="71"/>
  <c r="EO147" i="40"/>
  <c r="EN148" i="40"/>
  <c r="EI147" i="40"/>
  <c r="EJ146" i="40"/>
  <c r="FH147" i="40"/>
  <c r="FI146" i="40"/>
  <c r="FR148" i="40"/>
  <c r="FS147" i="40"/>
  <c r="FD144" i="40"/>
  <c r="FC145" i="40"/>
  <c r="EX150" i="40"/>
  <c r="EY149" i="40"/>
  <c r="FN144" i="40"/>
  <c r="FM145" i="40"/>
  <c r="ET146" i="40"/>
  <c r="ES147" i="40"/>
  <c r="ED147" i="40"/>
  <c r="EE146" i="40"/>
  <c r="J214" i="27"/>
  <c r="K213" i="27"/>
  <c r="B109" i="23"/>
  <c r="A110" i="23"/>
  <c r="X113" i="71" l="1"/>
  <c r="Y112" i="71"/>
  <c r="Z108" i="71"/>
  <c r="AB107" i="71"/>
  <c r="AA107" i="71"/>
  <c r="EX151" i="40"/>
  <c r="EY150" i="40"/>
  <c r="FR149" i="40"/>
  <c r="FS148" i="40"/>
  <c r="EI148" i="40"/>
  <c r="EJ147" i="40"/>
  <c r="FN145" i="40"/>
  <c r="FM146" i="40"/>
  <c r="FD145" i="40"/>
  <c r="FC146" i="40"/>
  <c r="EN149" i="40"/>
  <c r="EO148" i="40"/>
  <c r="ET147" i="40"/>
  <c r="ES148" i="40"/>
  <c r="EE147" i="40"/>
  <c r="ED148" i="40"/>
  <c r="FH148" i="40"/>
  <c r="FI147" i="40"/>
  <c r="J215" i="27"/>
  <c r="K214" i="27"/>
  <c r="A111" i="23"/>
  <c r="B110" i="23"/>
  <c r="Y113" i="71" l="1"/>
  <c r="X114" i="71"/>
  <c r="Y114" i="71" s="1"/>
  <c r="Z109" i="71"/>
  <c r="AB108" i="71"/>
  <c r="AA108" i="71"/>
  <c r="EE148" i="40"/>
  <c r="ED149" i="40"/>
  <c r="EO149" i="40"/>
  <c r="EN150" i="40"/>
  <c r="FR150" i="40"/>
  <c r="FS149" i="40"/>
  <c r="ES149" i="40"/>
  <c r="ET148" i="40"/>
  <c r="FD146" i="40"/>
  <c r="FC147" i="40"/>
  <c r="FM147" i="40"/>
  <c r="FN146" i="40"/>
  <c r="FH149" i="40"/>
  <c r="FI148" i="40"/>
  <c r="EJ148" i="40"/>
  <c r="EI149" i="40"/>
  <c r="EX152" i="40"/>
  <c r="EY151" i="40"/>
  <c r="J216" i="27"/>
  <c r="K215" i="27"/>
  <c r="A112" i="23"/>
  <c r="B111" i="23"/>
  <c r="Z110" i="71" l="1"/>
  <c r="AB109" i="71"/>
  <c r="AA109" i="71"/>
  <c r="EI150" i="40"/>
  <c r="EJ149" i="40"/>
  <c r="EO150" i="40"/>
  <c r="EN151" i="40"/>
  <c r="FM148" i="40"/>
  <c r="FN147" i="40"/>
  <c r="FD147" i="40"/>
  <c r="FC148" i="40"/>
  <c r="ED150" i="40"/>
  <c r="EE149" i="40"/>
  <c r="ES150" i="40"/>
  <c r="ET149" i="40"/>
  <c r="EX153" i="40"/>
  <c r="EY152" i="40"/>
  <c r="FH150" i="40"/>
  <c r="FI149" i="40"/>
  <c r="FR151" i="40"/>
  <c r="FS150" i="40"/>
  <c r="J217" i="27"/>
  <c r="K216" i="27"/>
  <c r="A113" i="23"/>
  <c r="B112" i="23"/>
  <c r="Z111" i="71" l="1"/>
  <c r="AB110" i="71"/>
  <c r="AA110" i="71"/>
  <c r="ET150" i="40"/>
  <c r="ES151" i="40"/>
  <c r="FD148" i="40"/>
  <c r="FC149" i="40"/>
  <c r="EN152" i="40"/>
  <c r="EO151" i="40"/>
  <c r="FH151" i="40"/>
  <c r="FI150" i="40"/>
  <c r="FR152" i="40"/>
  <c r="FS151" i="40"/>
  <c r="EX154" i="40"/>
  <c r="EY153" i="40"/>
  <c r="EE150" i="40"/>
  <c r="ED151" i="40"/>
  <c r="FN148" i="40"/>
  <c r="FM149" i="40"/>
  <c r="EI151" i="40"/>
  <c r="EJ150" i="40"/>
  <c r="J218" i="27"/>
  <c r="K217" i="27"/>
  <c r="B113" i="23"/>
  <c r="A114" i="23"/>
  <c r="AB111" i="71" l="1"/>
  <c r="AA111" i="71"/>
  <c r="Z112" i="71"/>
  <c r="FD149" i="40"/>
  <c r="FC150" i="40"/>
  <c r="EX155" i="40"/>
  <c r="EY154" i="40"/>
  <c r="FH152" i="40"/>
  <c r="FI151" i="40"/>
  <c r="FN149" i="40"/>
  <c r="FM150" i="40"/>
  <c r="EE151" i="40"/>
  <c r="ED152" i="40"/>
  <c r="ES152" i="40"/>
  <c r="ET151" i="40"/>
  <c r="EI152" i="40"/>
  <c r="EJ151" i="40"/>
  <c r="FR153" i="40"/>
  <c r="FS152" i="40"/>
  <c r="EN153" i="40"/>
  <c r="EO152" i="40"/>
  <c r="J219" i="27"/>
  <c r="K218" i="27"/>
  <c r="B114" i="23"/>
  <c r="A115" i="23"/>
  <c r="AA112" i="71" l="1"/>
  <c r="Z113" i="71"/>
  <c r="AB112" i="71"/>
  <c r="FM151" i="40"/>
  <c r="FN150" i="40"/>
  <c r="FR154" i="40"/>
  <c r="FS153" i="40"/>
  <c r="ET152" i="40"/>
  <c r="ES153" i="40"/>
  <c r="EX156" i="40"/>
  <c r="EY155" i="40"/>
  <c r="ED153" i="40"/>
  <c r="EE152" i="40"/>
  <c r="FD150" i="40"/>
  <c r="FC151" i="40"/>
  <c r="EO153" i="40"/>
  <c r="EN154" i="40"/>
  <c r="EJ152" i="40"/>
  <c r="EI153" i="40"/>
  <c r="FH153" i="40"/>
  <c r="FI152" i="40"/>
  <c r="J220" i="27"/>
  <c r="K219" i="27"/>
  <c r="A116" i="23"/>
  <c r="B115" i="23"/>
  <c r="AA113" i="71" l="1"/>
  <c r="Z114" i="71"/>
  <c r="AB113" i="71"/>
  <c r="EX157" i="40"/>
  <c r="EY156" i="40"/>
  <c r="FR155" i="40"/>
  <c r="FS154" i="40"/>
  <c r="EI154" i="40"/>
  <c r="EJ153" i="40"/>
  <c r="FD151" i="40"/>
  <c r="FC152" i="40"/>
  <c r="EO154" i="40"/>
  <c r="EN155" i="40"/>
  <c r="ET153" i="40"/>
  <c r="ES154" i="40"/>
  <c r="FH154" i="40"/>
  <c r="FI153" i="40"/>
  <c r="ED154" i="40"/>
  <c r="EE153" i="40"/>
  <c r="FM152" i="40"/>
  <c r="FN151" i="40"/>
  <c r="J221" i="27"/>
  <c r="K220" i="27"/>
  <c r="A117" i="23"/>
  <c r="B116" i="23"/>
  <c r="AA114" i="71" l="1"/>
  <c r="AB114" i="71"/>
  <c r="ED155" i="40"/>
  <c r="EE154" i="40"/>
  <c r="FR156" i="40"/>
  <c r="FS155" i="40"/>
  <c r="ES155" i="40"/>
  <c r="ET154" i="40"/>
  <c r="FD152" i="40"/>
  <c r="FC153" i="40"/>
  <c r="EO155" i="40"/>
  <c r="EN156" i="40"/>
  <c r="FN152" i="40"/>
  <c r="FM153" i="40"/>
  <c r="FH155" i="40"/>
  <c r="FI154" i="40"/>
  <c r="EI155" i="40"/>
  <c r="EJ154" i="40"/>
  <c r="EX158" i="40"/>
  <c r="EY157" i="40"/>
  <c r="J222" i="27"/>
  <c r="K221" i="27"/>
  <c r="B117" i="23"/>
  <c r="A118" i="23"/>
  <c r="AF25" i="71" l="1"/>
  <c r="AF23" i="71"/>
  <c r="AF24" i="71"/>
  <c r="AF22" i="71"/>
  <c r="AF12" i="71"/>
  <c r="AF21" i="71"/>
  <c r="AF26" i="71"/>
  <c r="E44" i="1"/>
  <c r="O44" i="1" s="1"/>
  <c r="U44" i="1" s="1"/>
  <c r="D120" i="1"/>
  <c r="E48" i="1"/>
  <c r="O48" i="1" s="1"/>
  <c r="Y74" i="18"/>
  <c r="J101" i="1"/>
  <c r="J104" i="1" s="1"/>
  <c r="B160" i="1"/>
  <c r="D92" i="1"/>
  <c r="E46" i="1"/>
  <c r="O46" i="1" s="1"/>
  <c r="V4" i="1"/>
  <c r="H313" i="23"/>
  <c r="V10" i="1"/>
  <c r="B152" i="1"/>
  <c r="B158" i="1"/>
  <c r="B150" i="1"/>
  <c r="D118" i="1"/>
  <c r="E52" i="1"/>
  <c r="O52" i="1" s="1"/>
  <c r="B156" i="1"/>
  <c r="E54" i="1"/>
  <c r="O54" i="1" s="1"/>
  <c r="B154" i="1"/>
  <c r="AG191" i="23"/>
  <c r="D122" i="1"/>
  <c r="Z44" i="1"/>
  <c r="Z47" i="1" s="1"/>
  <c r="E50" i="1"/>
  <c r="O50" i="1" s="1"/>
  <c r="V118" i="1"/>
  <c r="FN153" i="40"/>
  <c r="FM154" i="40"/>
  <c r="EI156" i="40"/>
  <c r="EJ155" i="40"/>
  <c r="FS156" i="40"/>
  <c r="FR157" i="40"/>
  <c r="EN157" i="40"/>
  <c r="EO156" i="40"/>
  <c r="FD153" i="40"/>
  <c r="FC154" i="40"/>
  <c r="EX159" i="40"/>
  <c r="EY158" i="40"/>
  <c r="FH156" i="40"/>
  <c r="FI155" i="40"/>
  <c r="ET155" i="40"/>
  <c r="ES156" i="40"/>
  <c r="EE155" i="40"/>
  <c r="ED156" i="40"/>
  <c r="J223" i="27"/>
  <c r="K222" i="27"/>
  <c r="A119" i="23"/>
  <c r="B118" i="23"/>
  <c r="U52" i="1" l="1"/>
  <c r="P52" i="1"/>
  <c r="U46" i="1"/>
  <c r="P46" i="1"/>
  <c r="U50" i="1"/>
  <c r="P50" i="1"/>
  <c r="U48" i="1"/>
  <c r="P48" i="1"/>
  <c r="U54" i="1"/>
  <c r="P54" i="1"/>
  <c r="P44" i="1"/>
  <c r="L108" i="71"/>
  <c r="L111" i="71"/>
  <c r="L21" i="71"/>
  <c r="L16" i="71"/>
  <c r="L20" i="71"/>
  <c r="L17" i="71"/>
  <c r="L23" i="71"/>
  <c r="L25" i="71"/>
  <c r="L27" i="71"/>
  <c r="L29" i="71"/>
  <c r="L31" i="71"/>
  <c r="L33" i="71"/>
  <c r="L35" i="71"/>
  <c r="L37" i="71"/>
  <c r="L39" i="71"/>
  <c r="L41" i="71"/>
  <c r="L43" i="71"/>
  <c r="L45" i="71"/>
  <c r="L47" i="71"/>
  <c r="L49" i="71"/>
  <c r="L51" i="71"/>
  <c r="L53" i="71"/>
  <c r="L55" i="71"/>
  <c r="L57" i="71"/>
  <c r="L59" i="71"/>
  <c r="L61" i="71"/>
  <c r="L63" i="71"/>
  <c r="L65" i="71"/>
  <c r="L67" i="71"/>
  <c r="L69" i="71"/>
  <c r="L71" i="71"/>
  <c r="L73" i="71"/>
  <c r="L75" i="71"/>
  <c r="L77" i="71"/>
  <c r="L110" i="71"/>
  <c r="L18" i="71"/>
  <c r="L22" i="71"/>
  <c r="L26" i="71"/>
  <c r="L30" i="71"/>
  <c r="L34" i="71"/>
  <c r="L38" i="71"/>
  <c r="L42" i="71"/>
  <c r="L46" i="71"/>
  <c r="L50" i="71"/>
  <c r="L54" i="71"/>
  <c r="L58" i="71"/>
  <c r="L62" i="71"/>
  <c r="L66" i="71"/>
  <c r="L70" i="71"/>
  <c r="L74" i="71"/>
  <c r="L78" i="71"/>
  <c r="L80" i="71"/>
  <c r="L82" i="71"/>
  <c r="L84" i="71"/>
  <c r="L86" i="71"/>
  <c r="L88" i="71"/>
  <c r="L90" i="71"/>
  <c r="L92" i="71"/>
  <c r="L94" i="71"/>
  <c r="L96" i="71"/>
  <c r="L98" i="71"/>
  <c r="L100" i="71"/>
  <c r="L102" i="71"/>
  <c r="L104" i="71"/>
  <c r="L106" i="71"/>
  <c r="L112" i="71"/>
  <c r="L114" i="71"/>
  <c r="L107" i="71"/>
  <c r="L19" i="71"/>
  <c r="L28" i="71"/>
  <c r="L36" i="71"/>
  <c r="L44" i="71"/>
  <c r="L52" i="71"/>
  <c r="L60" i="71"/>
  <c r="L68" i="71"/>
  <c r="L76" i="71"/>
  <c r="L81" i="71"/>
  <c r="L85" i="71"/>
  <c r="L89" i="71"/>
  <c r="L93" i="71"/>
  <c r="L97" i="71"/>
  <c r="L101" i="71"/>
  <c r="L105" i="71"/>
  <c r="L113" i="71"/>
  <c r="L15" i="71"/>
  <c r="L24" i="71"/>
  <c r="L32" i="71"/>
  <c r="L40" i="71"/>
  <c r="L48" i="71"/>
  <c r="L56" i="71"/>
  <c r="L64" i="71"/>
  <c r="L72" i="71"/>
  <c r="L79" i="71"/>
  <c r="L83" i="71"/>
  <c r="L87" i="71"/>
  <c r="L91" i="71"/>
  <c r="L95" i="71"/>
  <c r="L99" i="71"/>
  <c r="L103" i="71"/>
  <c r="L109" i="71"/>
  <c r="U18" i="30"/>
  <c r="J386" i="23"/>
  <c r="J385" i="23"/>
  <c r="J388" i="23"/>
  <c r="V50" i="1"/>
  <c r="M287" i="23"/>
  <c r="M304" i="23"/>
  <c r="M307" i="23"/>
  <c r="M293" i="23"/>
  <c r="M299" i="23"/>
  <c r="M291" i="23"/>
  <c r="M302" i="23"/>
  <c r="M294" i="23"/>
  <c r="M306" i="23"/>
  <c r="M305" i="23"/>
  <c r="M286" i="23"/>
  <c r="M303" i="23"/>
  <c r="M295" i="23"/>
  <c r="M288" i="23"/>
  <c r="M289" i="23"/>
  <c r="M292" i="23"/>
  <c r="M310" i="23"/>
  <c r="M300" i="23"/>
  <c r="M308" i="23"/>
  <c r="M309" i="23"/>
  <c r="M311" i="23"/>
  <c r="M296" i="23"/>
  <c r="M297" i="23"/>
  <c r="M298" i="23"/>
  <c r="M301" i="23"/>
  <c r="M290" i="23"/>
  <c r="D154" i="1"/>
  <c r="AG152" i="1"/>
  <c r="D156" i="1"/>
  <c r="AG153" i="1"/>
  <c r="K289" i="23"/>
  <c r="K308" i="23"/>
  <c r="K301" i="23"/>
  <c r="K309" i="23"/>
  <c r="K310" i="23"/>
  <c r="K297" i="23"/>
  <c r="K294" i="23"/>
  <c r="K296" i="23"/>
  <c r="K311" i="23"/>
  <c r="K306" i="23"/>
  <c r="K300" i="23"/>
  <c r="K290" i="23"/>
  <c r="K307" i="23"/>
  <c r="K303" i="23"/>
  <c r="K302" i="23"/>
  <c r="K287" i="23"/>
  <c r="K305" i="23"/>
  <c r="K293" i="23"/>
  <c r="K291" i="23"/>
  <c r="K288" i="23"/>
  <c r="K298" i="23"/>
  <c r="K304" i="23"/>
  <c r="K295" i="23"/>
  <c r="K299" i="23"/>
  <c r="K286" i="23"/>
  <c r="K292" i="23"/>
  <c r="AG150" i="1"/>
  <c r="AG17" i="23"/>
  <c r="D150" i="1"/>
  <c r="D152" i="1"/>
  <c r="AG151" i="1"/>
  <c r="J360" i="23"/>
  <c r="K360" i="23" s="1"/>
  <c r="M360" i="23" s="1"/>
  <c r="J372" i="23"/>
  <c r="J110" i="71"/>
  <c r="J107" i="71"/>
  <c r="J15" i="71"/>
  <c r="J18" i="71"/>
  <c r="J19" i="71"/>
  <c r="J22" i="71"/>
  <c r="J24" i="71"/>
  <c r="J26" i="71"/>
  <c r="J28" i="71"/>
  <c r="J30" i="71"/>
  <c r="J32" i="71"/>
  <c r="J34" i="71"/>
  <c r="J36" i="71"/>
  <c r="J38" i="71"/>
  <c r="J40" i="71"/>
  <c r="J42" i="71"/>
  <c r="J44" i="71"/>
  <c r="J46" i="71"/>
  <c r="J48" i="71"/>
  <c r="J50" i="71"/>
  <c r="J52" i="71"/>
  <c r="J54" i="71"/>
  <c r="J56" i="71"/>
  <c r="J58" i="71"/>
  <c r="J60" i="71"/>
  <c r="J62" i="71"/>
  <c r="J64" i="71"/>
  <c r="J66" i="71"/>
  <c r="J68" i="71"/>
  <c r="J70" i="71"/>
  <c r="J72" i="71"/>
  <c r="J74" i="71"/>
  <c r="J76" i="71"/>
  <c r="J78" i="71"/>
  <c r="J80" i="71"/>
  <c r="J82" i="71"/>
  <c r="J84" i="71"/>
  <c r="J86" i="71"/>
  <c r="J88" i="71"/>
  <c r="J90" i="71"/>
  <c r="J92" i="71"/>
  <c r="J94" i="71"/>
  <c r="J96" i="71"/>
  <c r="J98" i="71"/>
  <c r="J100" i="71"/>
  <c r="J102" i="71"/>
  <c r="J104" i="71"/>
  <c r="J106" i="71"/>
  <c r="J112" i="71"/>
  <c r="J114" i="71"/>
  <c r="J111" i="71"/>
  <c r="J108" i="71"/>
  <c r="J21" i="71"/>
  <c r="J16" i="71"/>
  <c r="J20" i="71"/>
  <c r="J17" i="71"/>
  <c r="J23" i="71"/>
  <c r="J25" i="71"/>
  <c r="J27" i="71"/>
  <c r="J29" i="71"/>
  <c r="J31" i="71"/>
  <c r="J33" i="71"/>
  <c r="J35" i="71"/>
  <c r="J37" i="71"/>
  <c r="J39" i="71"/>
  <c r="J41" i="71"/>
  <c r="J43" i="71"/>
  <c r="J45" i="71"/>
  <c r="J47" i="71"/>
  <c r="J49" i="71"/>
  <c r="J51" i="71"/>
  <c r="J53" i="71"/>
  <c r="J55" i="71"/>
  <c r="J57" i="71"/>
  <c r="J59" i="71"/>
  <c r="J61" i="71"/>
  <c r="J63" i="71"/>
  <c r="J65" i="71"/>
  <c r="J67" i="71"/>
  <c r="J69" i="71"/>
  <c r="J71" i="71"/>
  <c r="J73" i="71"/>
  <c r="J75" i="71"/>
  <c r="J77" i="71"/>
  <c r="J79" i="71"/>
  <c r="J81" i="71"/>
  <c r="J83" i="71"/>
  <c r="J85" i="71"/>
  <c r="J87" i="71"/>
  <c r="J89" i="71"/>
  <c r="J91" i="71"/>
  <c r="J93" i="71"/>
  <c r="J95" i="71"/>
  <c r="J97" i="71"/>
  <c r="J99" i="71"/>
  <c r="J101" i="71"/>
  <c r="J103" i="71"/>
  <c r="J105" i="71"/>
  <c r="J109" i="71"/>
  <c r="J113" i="71"/>
  <c r="I18" i="30"/>
  <c r="V46" i="1"/>
  <c r="AG155" i="1"/>
  <c r="D160" i="1"/>
  <c r="L300" i="23"/>
  <c r="L310" i="23"/>
  <c r="L287" i="23"/>
  <c r="L291" i="23"/>
  <c r="L290" i="23"/>
  <c r="L306" i="23"/>
  <c r="L295" i="23"/>
  <c r="L288" i="23"/>
  <c r="L305" i="23"/>
  <c r="L298" i="23"/>
  <c r="L303" i="23"/>
  <c r="L296" i="23"/>
  <c r="L286" i="23"/>
  <c r="L294" i="23"/>
  <c r="L292" i="23"/>
  <c r="L308" i="23"/>
  <c r="L311" i="23"/>
  <c r="L293" i="23"/>
  <c r="L289" i="23"/>
  <c r="L309" i="23"/>
  <c r="L297" i="23"/>
  <c r="L299" i="23"/>
  <c r="L302" i="23"/>
  <c r="L304" i="23"/>
  <c r="L301" i="23"/>
  <c r="L307" i="23"/>
  <c r="V124" i="1"/>
  <c r="AO286" i="23"/>
  <c r="AT286" i="23"/>
  <c r="AI287" i="23"/>
  <c r="AY286" i="23"/>
  <c r="BD286" i="23"/>
  <c r="AJ286" i="23"/>
  <c r="AS287" i="23"/>
  <c r="AN287" i="23"/>
  <c r="BC287" i="23"/>
  <c r="AX287" i="23"/>
  <c r="N111" i="71"/>
  <c r="N108" i="71"/>
  <c r="N21" i="71"/>
  <c r="N16" i="71"/>
  <c r="N20" i="71"/>
  <c r="N19" i="71"/>
  <c r="N23" i="71"/>
  <c r="N110" i="71"/>
  <c r="N15" i="71"/>
  <c r="N22" i="71"/>
  <c r="N24" i="71"/>
  <c r="N26" i="71"/>
  <c r="N28" i="71"/>
  <c r="N30" i="71"/>
  <c r="N32" i="71"/>
  <c r="N34" i="71"/>
  <c r="N36" i="71"/>
  <c r="N38" i="71"/>
  <c r="N40" i="71"/>
  <c r="N42" i="71"/>
  <c r="N44" i="71"/>
  <c r="N46" i="71"/>
  <c r="N48" i="71"/>
  <c r="N50" i="71"/>
  <c r="N52" i="71"/>
  <c r="N54" i="71"/>
  <c r="N56" i="71"/>
  <c r="N58" i="71"/>
  <c r="N60" i="71"/>
  <c r="N62" i="71"/>
  <c r="N64" i="71"/>
  <c r="N66" i="71"/>
  <c r="N68" i="71"/>
  <c r="N70" i="71"/>
  <c r="N72" i="71"/>
  <c r="N74" i="71"/>
  <c r="N76" i="71"/>
  <c r="N78" i="71"/>
  <c r="N80" i="71"/>
  <c r="N82" i="71"/>
  <c r="N84" i="71"/>
  <c r="N86" i="71"/>
  <c r="N88" i="71"/>
  <c r="N90" i="71"/>
  <c r="N92" i="71"/>
  <c r="N94" i="71"/>
  <c r="N96" i="71"/>
  <c r="N98" i="71"/>
  <c r="N100" i="71"/>
  <c r="N102" i="71"/>
  <c r="N104" i="71"/>
  <c r="N106" i="71"/>
  <c r="N112" i="71"/>
  <c r="N114" i="71"/>
  <c r="V54" i="1"/>
  <c r="J394" i="23"/>
  <c r="J393" i="23"/>
  <c r="N107" i="71"/>
  <c r="N18" i="71"/>
  <c r="N17" i="71"/>
  <c r="N25" i="71"/>
  <c r="N27" i="71"/>
  <c r="N29" i="71"/>
  <c r="N31" i="71"/>
  <c r="N33" i="71"/>
  <c r="N35" i="71"/>
  <c r="N37" i="71"/>
  <c r="N39" i="71"/>
  <c r="N41" i="71"/>
  <c r="N43" i="71"/>
  <c r="N45" i="71"/>
  <c r="N49" i="71"/>
  <c r="N53" i="71"/>
  <c r="N57" i="71"/>
  <c r="N61" i="71"/>
  <c r="N65" i="71"/>
  <c r="N69" i="71"/>
  <c r="N73" i="71"/>
  <c r="N77" i="71"/>
  <c r="N81" i="71"/>
  <c r="N85" i="71"/>
  <c r="N89" i="71"/>
  <c r="N93" i="71"/>
  <c r="N97" i="71"/>
  <c r="N101" i="71"/>
  <c r="N105" i="71"/>
  <c r="N113" i="71"/>
  <c r="J389" i="23"/>
  <c r="N47" i="71"/>
  <c r="N51" i="71"/>
  <c r="N55" i="71"/>
  <c r="N59" i="71"/>
  <c r="N63" i="71"/>
  <c r="N67" i="71"/>
  <c r="N71" i="71"/>
  <c r="N75" i="71"/>
  <c r="N79" i="71"/>
  <c r="N83" i="71"/>
  <c r="N87" i="71"/>
  <c r="N91" i="71"/>
  <c r="N95" i="71"/>
  <c r="N99" i="71"/>
  <c r="N103" i="71"/>
  <c r="N109" i="71"/>
  <c r="J387" i="23"/>
  <c r="AG18" i="30"/>
  <c r="M15" i="71"/>
  <c r="M18" i="71"/>
  <c r="M108" i="71"/>
  <c r="M111" i="71"/>
  <c r="M20" i="71"/>
  <c r="M17" i="71"/>
  <c r="M23" i="71"/>
  <c r="M25" i="71"/>
  <c r="M27" i="71"/>
  <c r="M29" i="71"/>
  <c r="M31" i="71"/>
  <c r="M33" i="71"/>
  <c r="M35" i="71"/>
  <c r="M37" i="71"/>
  <c r="M39" i="71"/>
  <c r="M41" i="71"/>
  <c r="M43" i="71"/>
  <c r="M45" i="71"/>
  <c r="M47" i="71"/>
  <c r="M49" i="71"/>
  <c r="M51" i="71"/>
  <c r="M53" i="71"/>
  <c r="M55" i="71"/>
  <c r="M57" i="71"/>
  <c r="M59" i="71"/>
  <c r="M61" i="71"/>
  <c r="M63" i="71"/>
  <c r="M16" i="71"/>
  <c r="M110" i="71"/>
  <c r="M19" i="71"/>
  <c r="M24" i="71"/>
  <c r="M28" i="71"/>
  <c r="M32" i="71"/>
  <c r="M36" i="71"/>
  <c r="M40" i="71"/>
  <c r="M44" i="71"/>
  <c r="M48" i="71"/>
  <c r="M52" i="71"/>
  <c r="M56" i="71"/>
  <c r="M60" i="71"/>
  <c r="M64" i="71"/>
  <c r="M66" i="71"/>
  <c r="M68" i="71"/>
  <c r="M70" i="71"/>
  <c r="M72" i="71"/>
  <c r="M74" i="71"/>
  <c r="M76" i="71"/>
  <c r="M78" i="71"/>
  <c r="M80" i="71"/>
  <c r="M82" i="71"/>
  <c r="M84" i="71"/>
  <c r="M86" i="71"/>
  <c r="M88" i="71"/>
  <c r="M90" i="71"/>
  <c r="M92" i="71"/>
  <c r="M94" i="71"/>
  <c r="M96" i="71"/>
  <c r="M98" i="71"/>
  <c r="M100" i="71"/>
  <c r="M102" i="71"/>
  <c r="M104" i="71"/>
  <c r="M106" i="71"/>
  <c r="M112" i="71"/>
  <c r="M113" i="71"/>
  <c r="M107" i="71"/>
  <c r="M21" i="71"/>
  <c r="M22" i="71"/>
  <c r="M26" i="71"/>
  <c r="M30" i="71"/>
  <c r="M34" i="71"/>
  <c r="M38" i="71"/>
  <c r="M42" i="71"/>
  <c r="M46" i="71"/>
  <c r="M50" i="71"/>
  <c r="M54" i="71"/>
  <c r="M58" i="71"/>
  <c r="M62" i="71"/>
  <c r="M65" i="71"/>
  <c r="M67" i="71"/>
  <c r="M69" i="71"/>
  <c r="M71" i="71"/>
  <c r="M73" i="71"/>
  <c r="M75" i="71"/>
  <c r="M77" i="71"/>
  <c r="M79" i="71"/>
  <c r="M81" i="71"/>
  <c r="M83" i="71"/>
  <c r="M85" i="71"/>
  <c r="M87" i="71"/>
  <c r="M89" i="71"/>
  <c r="M91" i="71"/>
  <c r="M93" i="71"/>
  <c r="M95" i="71"/>
  <c r="M97" i="71"/>
  <c r="M99" i="71"/>
  <c r="M101" i="71"/>
  <c r="M103" i="71"/>
  <c r="M105" i="71"/>
  <c r="M109" i="71"/>
  <c r="M114" i="71"/>
  <c r="J391" i="23"/>
  <c r="AA18" i="30"/>
  <c r="J390" i="23"/>
  <c r="J392" i="23"/>
  <c r="V52" i="1"/>
  <c r="D158" i="1"/>
  <c r="AG154" i="1"/>
  <c r="K205" i="23"/>
  <c r="K193" i="23"/>
  <c r="K196" i="23"/>
  <c r="K195" i="23"/>
  <c r="K198" i="23"/>
  <c r="K200" i="23"/>
  <c r="K194" i="23"/>
  <c r="K203" i="23"/>
  <c r="K201" i="23"/>
  <c r="K206" i="23"/>
  <c r="K208" i="23"/>
  <c r="K197" i="23"/>
  <c r="K204" i="23"/>
  <c r="K207" i="23"/>
  <c r="K209" i="23"/>
  <c r="K199" i="23"/>
  <c r="K202" i="23"/>
  <c r="K210" i="23"/>
  <c r="K21" i="71"/>
  <c r="K16" i="71"/>
  <c r="K20" i="71"/>
  <c r="K108" i="71"/>
  <c r="K111" i="71"/>
  <c r="K19" i="71"/>
  <c r="K23" i="71"/>
  <c r="K25" i="71"/>
  <c r="K27" i="71"/>
  <c r="K29" i="71"/>
  <c r="K31" i="71"/>
  <c r="K33" i="71"/>
  <c r="K35" i="71"/>
  <c r="K37" i="71"/>
  <c r="K39" i="71"/>
  <c r="K41" i="71"/>
  <c r="K43" i="71"/>
  <c r="K45" i="71"/>
  <c r="K47" i="71"/>
  <c r="K49" i="71"/>
  <c r="K51" i="71"/>
  <c r="K53" i="71"/>
  <c r="K55" i="71"/>
  <c r="K57" i="71"/>
  <c r="K59" i="71"/>
  <c r="K61" i="71"/>
  <c r="K63" i="71"/>
  <c r="K65" i="71"/>
  <c r="K67" i="71"/>
  <c r="K69" i="71"/>
  <c r="K71" i="71"/>
  <c r="K73" i="71"/>
  <c r="K75" i="71"/>
  <c r="K77" i="71"/>
  <c r="K79" i="71"/>
  <c r="K81" i="71"/>
  <c r="K83" i="71"/>
  <c r="K85" i="71"/>
  <c r="K87" i="71"/>
  <c r="K89" i="71"/>
  <c r="K91" i="71"/>
  <c r="K93" i="71"/>
  <c r="K95" i="71"/>
  <c r="K97" i="71"/>
  <c r="K99" i="71"/>
  <c r="K101" i="71"/>
  <c r="K103" i="71"/>
  <c r="K105" i="71"/>
  <c r="K109" i="71"/>
  <c r="K114" i="71"/>
  <c r="K15" i="71"/>
  <c r="K107" i="71"/>
  <c r="K22" i="71"/>
  <c r="K24" i="71"/>
  <c r="K28" i="71"/>
  <c r="K32" i="71"/>
  <c r="K36" i="71"/>
  <c r="K18" i="71"/>
  <c r="K110" i="71"/>
  <c r="K17" i="71"/>
  <c r="K26" i="71"/>
  <c r="K30" i="71"/>
  <c r="K34" i="71"/>
  <c r="K38" i="71"/>
  <c r="K42" i="71"/>
  <c r="K46" i="71"/>
  <c r="K50" i="71"/>
  <c r="K54" i="71"/>
  <c r="K58" i="71"/>
  <c r="K62" i="71"/>
  <c r="K66" i="71"/>
  <c r="K70" i="71"/>
  <c r="K74" i="71"/>
  <c r="K78" i="71"/>
  <c r="K82" i="71"/>
  <c r="K86" i="71"/>
  <c r="K90" i="71"/>
  <c r="K94" i="71"/>
  <c r="K98" i="71"/>
  <c r="K102" i="71"/>
  <c r="K106" i="71"/>
  <c r="K113" i="71"/>
  <c r="K40" i="71"/>
  <c r="K48" i="71"/>
  <c r="K56" i="71"/>
  <c r="K64" i="71"/>
  <c r="K72" i="71"/>
  <c r="K80" i="71"/>
  <c r="K88" i="71"/>
  <c r="K96" i="71"/>
  <c r="K104" i="71"/>
  <c r="K44" i="71"/>
  <c r="K52" i="71"/>
  <c r="K60" i="71"/>
  <c r="K68" i="71"/>
  <c r="K76" i="71"/>
  <c r="K84" i="71"/>
  <c r="K92" i="71"/>
  <c r="K100" i="71"/>
  <c r="K112" i="71"/>
  <c r="V48" i="1"/>
  <c r="O18" i="30"/>
  <c r="I21" i="71"/>
  <c r="I107" i="71"/>
  <c r="I110" i="71"/>
  <c r="I15" i="71"/>
  <c r="I18" i="71"/>
  <c r="I17" i="71"/>
  <c r="I23" i="71"/>
  <c r="I25" i="71"/>
  <c r="I27" i="71"/>
  <c r="I29" i="71"/>
  <c r="I31" i="71"/>
  <c r="I33" i="71"/>
  <c r="I35" i="71"/>
  <c r="I37" i="71"/>
  <c r="I39" i="71"/>
  <c r="I41" i="71"/>
  <c r="I43" i="71"/>
  <c r="I45" i="71"/>
  <c r="I47" i="71"/>
  <c r="I20" i="71"/>
  <c r="I108" i="71"/>
  <c r="I111" i="71"/>
  <c r="I16" i="71"/>
  <c r="I19" i="71"/>
  <c r="I22" i="71"/>
  <c r="I24" i="71"/>
  <c r="I26" i="71"/>
  <c r="I28" i="71"/>
  <c r="I30" i="71"/>
  <c r="I32" i="71"/>
  <c r="I34" i="71"/>
  <c r="I36" i="71"/>
  <c r="I38" i="71"/>
  <c r="I40" i="71"/>
  <c r="I42" i="71"/>
  <c r="I44" i="71"/>
  <c r="I46" i="71"/>
  <c r="I48" i="71"/>
  <c r="I50" i="71"/>
  <c r="I52" i="71"/>
  <c r="I54" i="71"/>
  <c r="I56" i="71"/>
  <c r="I58" i="71"/>
  <c r="I60" i="71"/>
  <c r="I62" i="71"/>
  <c r="I64" i="71"/>
  <c r="I66" i="71"/>
  <c r="I68" i="71"/>
  <c r="I70" i="71"/>
  <c r="I72" i="71"/>
  <c r="I74" i="71"/>
  <c r="I76" i="71"/>
  <c r="I78" i="71"/>
  <c r="I80" i="71"/>
  <c r="I82" i="71"/>
  <c r="I84" i="71"/>
  <c r="I86" i="71"/>
  <c r="I88" i="71"/>
  <c r="I90" i="71"/>
  <c r="I92" i="71"/>
  <c r="I94" i="71"/>
  <c r="I96" i="71"/>
  <c r="I98" i="71"/>
  <c r="I100" i="71"/>
  <c r="I102" i="71"/>
  <c r="I104" i="71"/>
  <c r="I106" i="71"/>
  <c r="I112" i="71"/>
  <c r="I114" i="71"/>
  <c r="I49" i="71"/>
  <c r="I53" i="71"/>
  <c r="I57" i="71"/>
  <c r="I61" i="71"/>
  <c r="I65" i="71"/>
  <c r="I69" i="71"/>
  <c r="I73" i="71"/>
  <c r="I77" i="71"/>
  <c r="I81" i="71"/>
  <c r="I85" i="71"/>
  <c r="I89" i="71"/>
  <c r="I93" i="71"/>
  <c r="I97" i="71"/>
  <c r="I101" i="71"/>
  <c r="I105" i="71"/>
  <c r="I113" i="71"/>
  <c r="AA503" i="1"/>
  <c r="AA500" i="1" s="1"/>
  <c r="V44" i="1"/>
  <c r="C18" i="30"/>
  <c r="I51" i="71"/>
  <c r="I55" i="71"/>
  <c r="I59" i="71"/>
  <c r="I63" i="71"/>
  <c r="I67" i="71"/>
  <c r="I71" i="71"/>
  <c r="I75" i="71"/>
  <c r="I79" i="71"/>
  <c r="I83" i="71"/>
  <c r="I87" i="71"/>
  <c r="I91" i="71"/>
  <c r="I95" i="71"/>
  <c r="I99" i="71"/>
  <c r="I103" i="71"/>
  <c r="I109" i="71"/>
  <c r="AA498" i="1"/>
  <c r="AA496" i="1"/>
  <c r="EX160" i="40"/>
  <c r="EY159" i="40"/>
  <c r="EN158" i="40"/>
  <c r="EO157" i="40"/>
  <c r="EI157" i="40"/>
  <c r="EJ156" i="40"/>
  <c r="ED157" i="40"/>
  <c r="EE156" i="40"/>
  <c r="FD154" i="40"/>
  <c r="FC155" i="40"/>
  <c r="FS157" i="40"/>
  <c r="FR158" i="40"/>
  <c r="FM155" i="40"/>
  <c r="FN154" i="40"/>
  <c r="ES157" i="40"/>
  <c r="ET156" i="40"/>
  <c r="FH157" i="40"/>
  <c r="FI156" i="40"/>
  <c r="J224" i="27"/>
  <c r="K223" i="27"/>
  <c r="A120" i="23"/>
  <c r="B119" i="23"/>
  <c r="O26" i="71" l="1"/>
  <c r="O16" i="71"/>
  <c r="A9" i="43"/>
  <c r="C9" i="43" s="1"/>
  <c r="O19" i="71"/>
  <c r="O25" i="71"/>
  <c r="O24" i="71"/>
  <c r="O18" i="71"/>
  <c r="O22" i="71"/>
  <c r="O15" i="71"/>
  <c r="P15" i="71" s="1"/>
  <c r="O20" i="71"/>
  <c r="O23" i="71"/>
  <c r="O21" i="71"/>
  <c r="C20" i="30"/>
  <c r="N5" i="18"/>
  <c r="J8" i="18"/>
  <c r="O17" i="71"/>
  <c r="AK223" i="23"/>
  <c r="AL202" i="23"/>
  <c r="M202" i="23"/>
  <c r="W202" i="23"/>
  <c r="AG202" i="23"/>
  <c r="DF202" i="23"/>
  <c r="DG202" i="23" s="1"/>
  <c r="AB202" i="23"/>
  <c r="R202" i="23"/>
  <c r="AK230" i="23"/>
  <c r="AG209" i="23"/>
  <c r="AB209" i="23"/>
  <c r="DF209" i="23"/>
  <c r="DG209" i="23" s="1"/>
  <c r="W209" i="23"/>
  <c r="AL209" i="23"/>
  <c r="R209" i="23"/>
  <c r="M209" i="23"/>
  <c r="AK225" i="23"/>
  <c r="M204" i="23"/>
  <c r="R204" i="23"/>
  <c r="W204" i="23"/>
  <c r="DF204" i="23"/>
  <c r="DG204" i="23" s="1"/>
  <c r="AB204" i="23"/>
  <c r="AL204" i="23"/>
  <c r="AG204" i="23"/>
  <c r="AK229" i="23"/>
  <c r="M208" i="23"/>
  <c r="W208" i="23"/>
  <c r="AG208" i="23"/>
  <c r="AL208" i="23"/>
  <c r="R208" i="23"/>
  <c r="AB208" i="23"/>
  <c r="DF208" i="23"/>
  <c r="DG208" i="23" s="1"/>
  <c r="AK222" i="23"/>
  <c r="M201" i="23"/>
  <c r="R201" i="23"/>
  <c r="DF201" i="23"/>
  <c r="DG201" i="23" s="1"/>
  <c r="W201" i="23"/>
  <c r="AB201" i="23"/>
  <c r="AG201" i="23"/>
  <c r="AL201" i="23"/>
  <c r="AK215" i="23"/>
  <c r="AB194" i="23"/>
  <c r="R194" i="23"/>
  <c r="W194" i="23"/>
  <c r="AG194" i="23"/>
  <c r="M194" i="23"/>
  <c r="AL194" i="23"/>
  <c r="DF194" i="23"/>
  <c r="DG194" i="23" s="1"/>
  <c r="AK219" i="23"/>
  <c r="W198" i="23"/>
  <c r="AG198" i="23"/>
  <c r="R198" i="23"/>
  <c r="DF198" i="23"/>
  <c r="DG198" i="23" s="1"/>
  <c r="AB198" i="23"/>
  <c r="M198" i="23"/>
  <c r="AL198" i="23"/>
  <c r="AK217" i="23"/>
  <c r="W196" i="23"/>
  <c r="AB196" i="23"/>
  <c r="AG196" i="23"/>
  <c r="M196" i="23"/>
  <c r="AL196" i="23"/>
  <c r="R196" i="23"/>
  <c r="DF196" i="23"/>
  <c r="DG196" i="23" s="1"/>
  <c r="AK226" i="23"/>
  <c r="DF205" i="23"/>
  <c r="DG205" i="23" s="1"/>
  <c r="AL205" i="23"/>
  <c r="M205" i="23"/>
  <c r="W205" i="23"/>
  <c r="AB205" i="23"/>
  <c r="AG205" i="23"/>
  <c r="R205" i="23"/>
  <c r="M361" i="23"/>
  <c r="M362" i="23" s="1"/>
  <c r="M363" i="23" s="1"/>
  <c r="R292" i="23"/>
  <c r="W292" i="23" s="1"/>
  <c r="AB292" i="23" s="1"/>
  <c r="AG292" i="23" s="1"/>
  <c r="AL292" i="23" s="1"/>
  <c r="R299" i="23"/>
  <c r="W299" i="23" s="1"/>
  <c r="AB299" i="23" s="1"/>
  <c r="AG299" i="23" s="1"/>
  <c r="AL299" i="23" s="1"/>
  <c r="R288" i="23"/>
  <c r="R293" i="23"/>
  <c r="W293" i="23" s="1"/>
  <c r="AB293" i="23" s="1"/>
  <c r="AG293" i="23" s="1"/>
  <c r="R287" i="23"/>
  <c r="W287" i="23" s="1"/>
  <c r="R290" i="23"/>
  <c r="W290" i="23" s="1"/>
  <c r="AB290" i="23" s="1"/>
  <c r="AG290" i="23" s="1"/>
  <c r="AL290" i="23" s="1"/>
  <c r="R306" i="23"/>
  <c r="W306" i="23" s="1"/>
  <c r="AB306" i="23" s="1"/>
  <c r="AG306" i="23" s="1"/>
  <c r="AL306" i="23" s="1"/>
  <c r="R296" i="23"/>
  <c r="W296" i="23" s="1"/>
  <c r="AB296" i="23" s="1"/>
  <c r="AG296" i="23" s="1"/>
  <c r="AL296" i="23" s="1"/>
  <c r="R297" i="23"/>
  <c r="W297" i="23" s="1"/>
  <c r="AB297" i="23" s="1"/>
  <c r="AG297" i="23" s="1"/>
  <c r="AL297" i="23" s="1"/>
  <c r="R309" i="23"/>
  <c r="W309" i="23" s="1"/>
  <c r="AB309" i="23" s="1"/>
  <c r="AG309" i="23" s="1"/>
  <c r="AL309" i="23" s="1"/>
  <c r="R308" i="23"/>
  <c r="W308" i="23" s="1"/>
  <c r="AB308" i="23" s="1"/>
  <c r="AG308" i="23" s="1"/>
  <c r="AL308" i="23" s="1"/>
  <c r="M386" i="23"/>
  <c r="J13" i="18"/>
  <c r="J15" i="18"/>
  <c r="J10" i="18"/>
  <c r="J7" i="18"/>
  <c r="N11" i="18"/>
  <c r="U20" i="30"/>
  <c r="M388" i="23"/>
  <c r="M385" i="23"/>
  <c r="J19" i="18"/>
  <c r="N9" i="18"/>
  <c r="O20" i="30"/>
  <c r="AK231" i="23"/>
  <c r="AB210" i="23"/>
  <c r="AG210" i="23"/>
  <c r="DF210" i="23"/>
  <c r="DG210" i="23" s="1"/>
  <c r="R210" i="23"/>
  <c r="W210" i="23"/>
  <c r="M210" i="23"/>
  <c r="AL210" i="23"/>
  <c r="AK220" i="23"/>
  <c r="R199" i="23"/>
  <c r="AG199" i="23"/>
  <c r="W199" i="23"/>
  <c r="AB199" i="23"/>
  <c r="M199" i="23"/>
  <c r="DF199" i="23"/>
  <c r="DG199" i="23" s="1"/>
  <c r="AL199" i="23"/>
  <c r="AK228" i="23"/>
  <c r="M207" i="23"/>
  <c r="AB207" i="23"/>
  <c r="R207" i="23"/>
  <c r="W207" i="23"/>
  <c r="DF207" i="23"/>
  <c r="DG207" i="23" s="1"/>
  <c r="AL207" i="23"/>
  <c r="AG207" i="23"/>
  <c r="AK218" i="23"/>
  <c r="AG197" i="23"/>
  <c r="R197" i="23"/>
  <c r="S197" i="23" s="1"/>
  <c r="M197" i="23"/>
  <c r="W197" i="23"/>
  <c r="X197" i="23" s="1"/>
  <c r="AL197" i="23"/>
  <c r="AB197" i="23"/>
  <c r="AC197" i="23" s="1"/>
  <c r="DF197" i="23"/>
  <c r="DG197" i="23" s="1"/>
  <c r="AK227" i="23"/>
  <c r="W206" i="23"/>
  <c r="R206" i="23"/>
  <c r="AG206" i="23"/>
  <c r="AL206" i="23"/>
  <c r="AB206" i="23"/>
  <c r="M206" i="23"/>
  <c r="DF206" i="23"/>
  <c r="DG206" i="23" s="1"/>
  <c r="AK224" i="23"/>
  <c r="AL203" i="23"/>
  <c r="R203" i="23"/>
  <c r="DF203" i="23"/>
  <c r="DG203" i="23" s="1"/>
  <c r="AB203" i="23"/>
  <c r="W203" i="23"/>
  <c r="M203" i="23"/>
  <c r="AG203" i="23"/>
  <c r="AK221" i="23"/>
  <c r="DF200" i="23"/>
  <c r="DG200" i="23" s="1"/>
  <c r="W200" i="23"/>
  <c r="M200" i="23"/>
  <c r="AG200" i="23"/>
  <c r="AB200" i="23"/>
  <c r="R200" i="23"/>
  <c r="AL200" i="23"/>
  <c r="AK216" i="23"/>
  <c r="R195" i="23"/>
  <c r="W195" i="23"/>
  <c r="AB195" i="23"/>
  <c r="AL195" i="23"/>
  <c r="M195" i="23"/>
  <c r="DF195" i="23"/>
  <c r="DG195" i="23" s="1"/>
  <c r="AG195" i="23"/>
  <c r="AK214" i="23"/>
  <c r="W193" i="23"/>
  <c r="X193" i="23" s="1"/>
  <c r="AB193" i="23"/>
  <c r="AC193" i="23" s="1"/>
  <c r="AL193" i="23"/>
  <c r="AM193" i="23" s="1"/>
  <c r="R193" i="23"/>
  <c r="S193" i="23" s="1"/>
  <c r="M193" i="23"/>
  <c r="N193" i="23" s="1"/>
  <c r="AG193" i="23"/>
  <c r="AH193" i="23" s="1"/>
  <c r="DF193" i="23"/>
  <c r="DG193" i="23" s="1"/>
  <c r="J6" i="18"/>
  <c r="N13" i="18"/>
  <c r="M391" i="23"/>
  <c r="J14" i="18"/>
  <c r="M390" i="23"/>
  <c r="M392" i="23"/>
  <c r="J11" i="18"/>
  <c r="J16" i="18"/>
  <c r="J22" i="18"/>
  <c r="AA20" i="30"/>
  <c r="J18" i="18"/>
  <c r="M389" i="23"/>
  <c r="J17" i="18"/>
  <c r="M393" i="23"/>
  <c r="M387" i="23"/>
  <c r="M394" i="23"/>
  <c r="AG20" i="30"/>
  <c r="N15" i="18"/>
  <c r="J12" i="18"/>
  <c r="J9" i="18"/>
  <c r="J5" i="18"/>
  <c r="AG11" i="42"/>
  <c r="AG13" i="42"/>
  <c r="J20" i="18"/>
  <c r="J21" i="18"/>
  <c r="AG15" i="42"/>
  <c r="AG17" i="42"/>
  <c r="AI17" i="42" s="1"/>
  <c r="AG9" i="42"/>
  <c r="N7" i="18"/>
  <c r="I20" i="30"/>
  <c r="AG149" i="1"/>
  <c r="CA6" i="30" s="1"/>
  <c r="R286" i="23"/>
  <c r="R295" i="23"/>
  <c r="W295" i="23" s="1"/>
  <c r="AB295" i="23" s="1"/>
  <c r="AG295" i="23" s="1"/>
  <c r="AL295" i="23" s="1"/>
  <c r="R298" i="23"/>
  <c r="W298" i="23" s="1"/>
  <c r="AB298" i="23" s="1"/>
  <c r="AG298" i="23" s="1"/>
  <c r="AL298" i="23" s="1"/>
  <c r="R291" i="23"/>
  <c r="R305" i="23"/>
  <c r="W305" i="23" s="1"/>
  <c r="AB305" i="23" s="1"/>
  <c r="AG305" i="23" s="1"/>
  <c r="R302" i="23"/>
  <c r="W302" i="23" s="1"/>
  <c r="AB302" i="23" s="1"/>
  <c r="AG302" i="23" s="1"/>
  <c r="AL302" i="23" s="1"/>
  <c r="R307" i="23"/>
  <c r="W307" i="23" s="1"/>
  <c r="AB307" i="23" s="1"/>
  <c r="AG307" i="23" s="1"/>
  <c r="AL307" i="23" s="1"/>
  <c r="R300" i="23"/>
  <c r="W300" i="23" s="1"/>
  <c r="AB300" i="23" s="1"/>
  <c r="AG300" i="23" s="1"/>
  <c r="AL300" i="23" s="1"/>
  <c r="R311" i="23"/>
  <c r="W311" i="23" s="1"/>
  <c r="AB311" i="23" s="1"/>
  <c r="AG311" i="23" s="1"/>
  <c r="AL311" i="23" s="1"/>
  <c r="AQ311" i="23" s="1"/>
  <c r="R294" i="23"/>
  <c r="W294" i="23" s="1"/>
  <c r="AB294" i="23" s="1"/>
  <c r="AG294" i="23" s="1"/>
  <c r="AL294" i="23" s="1"/>
  <c r="R310" i="23"/>
  <c r="W310" i="23" s="1"/>
  <c r="AB310" i="23" s="1"/>
  <c r="AG310" i="23" s="1"/>
  <c r="AL310" i="23" s="1"/>
  <c r="R301" i="23"/>
  <c r="W301" i="23" s="1"/>
  <c r="AB301" i="23" s="1"/>
  <c r="AG301" i="23" s="1"/>
  <c r="AL301" i="23" s="1"/>
  <c r="R289" i="23"/>
  <c r="W289" i="23" s="1"/>
  <c r="AB289" i="23" s="1"/>
  <c r="AG289" i="23" s="1"/>
  <c r="AL289" i="23" s="1"/>
  <c r="FS158" i="40"/>
  <c r="FR159" i="40"/>
  <c r="ES158" i="40"/>
  <c r="ET157" i="40"/>
  <c r="ED158" i="40"/>
  <c r="EE157" i="40"/>
  <c r="EN159" i="40"/>
  <c r="EO158" i="40"/>
  <c r="FD155" i="40"/>
  <c r="FC156" i="40"/>
  <c r="FH158" i="40"/>
  <c r="FI157" i="40"/>
  <c r="FM156" i="40"/>
  <c r="FN155" i="40"/>
  <c r="EI158" i="40"/>
  <c r="EJ157" i="40"/>
  <c r="EX161" i="40"/>
  <c r="EY160" i="40"/>
  <c r="J225" i="27"/>
  <c r="K224" i="27"/>
  <c r="AL293" i="23"/>
  <c r="B120" i="23"/>
  <c r="A121" i="23"/>
  <c r="P16" i="71" l="1"/>
  <c r="AL305" i="23"/>
  <c r="P17" i="71"/>
  <c r="P18" i="71" s="1"/>
  <c r="P19" i="71" s="1"/>
  <c r="N194" i="23"/>
  <c r="X194" i="23"/>
  <c r="AC194" i="23"/>
  <c r="M364" i="23"/>
  <c r="M365" i="23"/>
  <c r="M366" i="23" s="1"/>
  <c r="S194" i="23"/>
  <c r="AV311" i="23"/>
  <c r="AR311" i="23"/>
  <c r="W286" i="23"/>
  <c r="S286" i="23"/>
  <c r="N195" i="23"/>
  <c r="AB287" i="23"/>
  <c r="W288" i="23"/>
  <c r="H255" i="23"/>
  <c r="K255" i="23" s="1"/>
  <c r="N255" i="23" s="1"/>
  <c r="Q255" i="23" s="1"/>
  <c r="T255" i="23" s="1"/>
  <c r="W255" i="23" s="1"/>
  <c r="Z255" i="23" s="1"/>
  <c r="AC255" i="23" s="1"/>
  <c r="AF255" i="23" s="1"/>
  <c r="H246" i="23"/>
  <c r="K246" i="23" s="1"/>
  <c r="N246" i="23" s="1"/>
  <c r="H248" i="23"/>
  <c r="K248" i="23" s="1"/>
  <c r="AM194" i="23"/>
  <c r="AH194" i="23"/>
  <c r="S195" i="23"/>
  <c r="S196" i="23" s="1"/>
  <c r="H244" i="23"/>
  <c r="K244" i="23" s="1"/>
  <c r="H251" i="23"/>
  <c r="K251" i="23" s="1"/>
  <c r="N251" i="23" s="1"/>
  <c r="H258" i="23"/>
  <c r="K258" i="23" s="1"/>
  <c r="N258" i="23" s="1"/>
  <c r="Q258" i="23" s="1"/>
  <c r="T258" i="23" s="1"/>
  <c r="W258" i="23" s="1"/>
  <c r="Z258" i="23" s="1"/>
  <c r="AC258" i="23" s="1"/>
  <c r="AF258" i="23" s="1"/>
  <c r="H254" i="23"/>
  <c r="K254" i="23" s="1"/>
  <c r="N254" i="23" s="1"/>
  <c r="Q254" i="23" s="1"/>
  <c r="T254" i="23" s="1"/>
  <c r="W254" i="23" s="1"/>
  <c r="Z254" i="23" s="1"/>
  <c r="AC254" i="23" s="1"/>
  <c r="AF254" i="23" s="1"/>
  <c r="H259" i="23"/>
  <c r="K259" i="23" s="1"/>
  <c r="N259" i="23" s="1"/>
  <c r="Q259" i="23" s="1"/>
  <c r="T259" i="23" s="1"/>
  <c r="W259" i="23" s="1"/>
  <c r="Z259" i="23" s="1"/>
  <c r="AC259" i="23" s="1"/>
  <c r="AF259" i="23" s="1"/>
  <c r="H252" i="23"/>
  <c r="K252" i="23" s="1"/>
  <c r="N252" i="23" s="1"/>
  <c r="Q252" i="23" s="1"/>
  <c r="T252" i="23" s="1"/>
  <c r="W252" i="23" s="1"/>
  <c r="Z252" i="23" s="1"/>
  <c r="AC252" i="23" s="1"/>
  <c r="AF252" i="23" s="1"/>
  <c r="W291" i="23"/>
  <c r="AB291" i="23" s="1"/>
  <c r="AG291" i="23" s="1"/>
  <c r="AL291" i="23" s="1"/>
  <c r="AQ291" i="23" s="1"/>
  <c r="H243" i="23"/>
  <c r="K243" i="23" s="1"/>
  <c r="H245" i="23"/>
  <c r="K245" i="23" s="1"/>
  <c r="N245" i="23" s="1"/>
  <c r="Q245" i="23" s="1"/>
  <c r="H250" i="23"/>
  <c r="K250" i="23" s="1"/>
  <c r="H253" i="23"/>
  <c r="K253" i="23" s="1"/>
  <c r="N253" i="23" s="1"/>
  <c r="Q253" i="23" s="1"/>
  <c r="T253" i="23" s="1"/>
  <c r="W253" i="23" s="1"/>
  <c r="Z253" i="23" s="1"/>
  <c r="AC253" i="23" s="1"/>
  <c r="H256" i="23"/>
  <c r="K256" i="23" s="1"/>
  <c r="N256" i="23" s="1"/>
  <c r="Q256" i="23" s="1"/>
  <c r="T256" i="23" s="1"/>
  <c r="W256" i="23" s="1"/>
  <c r="Z256" i="23" s="1"/>
  <c r="AC256" i="23" s="1"/>
  <c r="AF256" i="23" s="1"/>
  <c r="S198" i="23"/>
  <c r="S199" i="23" s="1"/>
  <c r="H247" i="23"/>
  <c r="K247" i="23" s="1"/>
  <c r="H257" i="23"/>
  <c r="K257" i="23" s="1"/>
  <c r="N257" i="23" s="1"/>
  <c r="Q257" i="23" s="1"/>
  <c r="T257" i="23" s="1"/>
  <c r="W257" i="23" s="1"/>
  <c r="Z257" i="23" s="1"/>
  <c r="AC257" i="23" s="1"/>
  <c r="AF257" i="23" s="1"/>
  <c r="H249" i="23"/>
  <c r="K249" i="23" s="1"/>
  <c r="H260" i="23"/>
  <c r="K260" i="23" s="1"/>
  <c r="N260" i="23" s="1"/>
  <c r="Q260" i="23" s="1"/>
  <c r="T260" i="23" s="1"/>
  <c r="W260" i="23" s="1"/>
  <c r="Z260" i="23" s="1"/>
  <c r="AC260" i="23" s="1"/>
  <c r="AF260" i="23" s="1"/>
  <c r="X195" i="23"/>
  <c r="X196" i="23" s="1"/>
  <c r="AC195" i="23"/>
  <c r="EI159" i="40"/>
  <c r="EJ158" i="40"/>
  <c r="FH159" i="40"/>
  <c r="FI158" i="40"/>
  <c r="EN160" i="40"/>
  <c r="EO159" i="40"/>
  <c r="ET158" i="40"/>
  <c r="ES159" i="40"/>
  <c r="FD156" i="40"/>
  <c r="FC157" i="40"/>
  <c r="FS159" i="40"/>
  <c r="FR160" i="40"/>
  <c r="EX162" i="40"/>
  <c r="EY161" i="40"/>
  <c r="FN156" i="40"/>
  <c r="FM157" i="40"/>
  <c r="EE158" i="40"/>
  <c r="ED159" i="40"/>
  <c r="J226" i="27"/>
  <c r="K225" i="27"/>
  <c r="AQ310" i="23"/>
  <c r="AQ297" i="23"/>
  <c r="AQ293" i="23"/>
  <c r="AQ299" i="23"/>
  <c r="AQ289" i="23"/>
  <c r="AQ294" i="23"/>
  <c r="AQ309" i="23"/>
  <c r="AQ306" i="23"/>
  <c r="AQ307" i="23"/>
  <c r="AQ305" i="23"/>
  <c r="AM305" i="23"/>
  <c r="AM306" i="23" s="1"/>
  <c r="AM307" i="23" s="1"/>
  <c r="AM308" i="23" s="1"/>
  <c r="AM309" i="23" s="1"/>
  <c r="AM310" i="23" s="1"/>
  <c r="AM311" i="23" s="1"/>
  <c r="AQ292" i="23"/>
  <c r="AQ302" i="23"/>
  <c r="AQ296" i="23"/>
  <c r="AQ290" i="23"/>
  <c r="AQ300" i="23"/>
  <c r="AQ295" i="23"/>
  <c r="AQ301" i="23"/>
  <c r="AQ308" i="23"/>
  <c r="AQ298" i="23"/>
  <c r="AF253" i="23"/>
  <c r="B121" i="23"/>
  <c r="A122" i="23"/>
  <c r="AC196" i="23" l="1"/>
  <c r="O252" i="23"/>
  <c r="O253" i="23"/>
  <c r="O254" i="23" s="1"/>
  <c r="P360" i="23"/>
  <c r="O361" i="23"/>
  <c r="N250" i="23"/>
  <c r="Q250" i="23" s="1"/>
  <c r="T250" i="23" s="1"/>
  <c r="W250" i="23" s="1"/>
  <c r="Z250" i="23" s="1"/>
  <c r="AC250" i="23" s="1"/>
  <c r="AF250" i="23" s="1"/>
  <c r="L250" i="23"/>
  <c r="S200" i="23"/>
  <c r="T245" i="23"/>
  <c r="W245" i="23" s="1"/>
  <c r="L243" i="23"/>
  <c r="N243" i="23"/>
  <c r="AH195" i="23"/>
  <c r="N248" i="23"/>
  <c r="AB288" i="23"/>
  <c r="S287" i="23"/>
  <c r="P20" i="71"/>
  <c r="X198" i="23"/>
  <c r="N249" i="23"/>
  <c r="Q249" i="23" s="1"/>
  <c r="T249" i="23" s="1"/>
  <c r="L249" i="23"/>
  <c r="N247" i="23"/>
  <c r="Q247" i="23" s="1"/>
  <c r="T247" i="23" s="1"/>
  <c r="W247" i="23" s="1"/>
  <c r="Z247" i="23" s="1"/>
  <c r="AC198" i="23"/>
  <c r="Q251" i="23"/>
  <c r="T251" i="23" s="1"/>
  <c r="N244" i="23"/>
  <c r="L244" i="23"/>
  <c r="AM195" i="23"/>
  <c r="AM196" i="23" s="1"/>
  <c r="Q246" i="23"/>
  <c r="AG287" i="23"/>
  <c r="N196" i="23"/>
  <c r="AB286" i="23"/>
  <c r="X286" i="23"/>
  <c r="BA311" i="23"/>
  <c r="BB311" i="23" s="1"/>
  <c r="AW311" i="23"/>
  <c r="FN157" i="40"/>
  <c r="FM158" i="40"/>
  <c r="FH160" i="40"/>
  <c r="FI159" i="40"/>
  <c r="FS160" i="40"/>
  <c r="FR161" i="40"/>
  <c r="EE159" i="40"/>
  <c r="ED160" i="40"/>
  <c r="FD157" i="40"/>
  <c r="FC158" i="40"/>
  <c r="ET159" i="40"/>
  <c r="ES160" i="40"/>
  <c r="EX163" i="40"/>
  <c r="EY162" i="40"/>
  <c r="EN161" i="40"/>
  <c r="EO160" i="40"/>
  <c r="EI160" i="40"/>
  <c r="EJ159" i="40"/>
  <c r="J227" i="27"/>
  <c r="K226" i="27"/>
  <c r="AR310" i="23"/>
  <c r="AV310" i="23"/>
  <c r="AR308" i="23"/>
  <c r="AV308" i="23"/>
  <c r="AV302" i="23"/>
  <c r="AV306" i="23"/>
  <c r="AR306" i="23"/>
  <c r="AV294" i="23"/>
  <c r="AV292" i="23"/>
  <c r="AV307" i="23"/>
  <c r="AR307" i="23"/>
  <c r="AV297" i="23"/>
  <c r="AV305" i="23"/>
  <c r="AR305" i="23"/>
  <c r="AV291" i="23"/>
  <c r="AV309" i="23"/>
  <c r="AR309" i="23"/>
  <c r="AV293" i="23"/>
  <c r="AV295" i="23"/>
  <c r="AV290" i="23"/>
  <c r="AV298" i="23"/>
  <c r="AV301" i="23"/>
  <c r="AV300" i="23"/>
  <c r="AV296" i="23"/>
  <c r="AV289" i="23"/>
  <c r="AV299" i="23"/>
  <c r="L254" i="23"/>
  <c r="X209" i="23"/>
  <c r="U253" i="23"/>
  <c r="U254" i="23" s="1"/>
  <c r="U255" i="23" s="1"/>
  <c r="U256" i="23" s="1"/>
  <c r="O255" i="23"/>
  <c r="O256" i="23" s="1"/>
  <c r="A123" i="23"/>
  <c r="B122" i="23"/>
  <c r="L245" i="23" l="1"/>
  <c r="L246" i="23" s="1"/>
  <c r="U286" i="23"/>
  <c r="R249" i="23"/>
  <c r="R250" i="23" s="1"/>
  <c r="AH196" i="23"/>
  <c r="AH197" i="23" s="1"/>
  <c r="AM197" i="23"/>
  <c r="S201" i="23"/>
  <c r="S202" i="23" s="1"/>
  <c r="P361" i="23"/>
  <c r="O362" i="23"/>
  <c r="AL287" i="23"/>
  <c r="L247" i="23"/>
  <c r="L248" i="23" s="1"/>
  <c r="Z245" i="23"/>
  <c r="AC245" i="23" s="1"/>
  <c r="X287" i="23"/>
  <c r="AC286" i="23"/>
  <c r="AG286" i="23"/>
  <c r="N197" i="23"/>
  <c r="T246" i="23"/>
  <c r="AO193" i="23"/>
  <c r="AM198" i="23"/>
  <c r="Q244" i="23"/>
  <c r="O244" i="23"/>
  <c r="W251" i="23"/>
  <c r="Z251" i="23" s="1"/>
  <c r="AC251" i="23" s="1"/>
  <c r="AF251" i="23" s="1"/>
  <c r="AC199" i="23"/>
  <c r="AC200" i="23" s="1"/>
  <c r="AC247" i="23"/>
  <c r="AF247" i="23" s="1"/>
  <c r="W249" i="23"/>
  <c r="Z249" i="23" s="1"/>
  <c r="AC249" i="23" s="1"/>
  <c r="AF249" i="23" s="1"/>
  <c r="U249" i="23"/>
  <c r="U250" i="23" s="1"/>
  <c r="X199" i="23"/>
  <c r="P21" i="71"/>
  <c r="P22" i="71" s="1"/>
  <c r="S288" i="23"/>
  <c r="AG288" i="23"/>
  <c r="Q248" i="23"/>
  <c r="AJ193" i="23"/>
  <c r="Q243" i="23"/>
  <c r="O243" i="23"/>
  <c r="EN162" i="40"/>
  <c r="EO161" i="40"/>
  <c r="FH161" i="40"/>
  <c r="FI160" i="40"/>
  <c r="EE160" i="40"/>
  <c r="ED161" i="40"/>
  <c r="FD158" i="40"/>
  <c r="FC159" i="40"/>
  <c r="FS161" i="40"/>
  <c r="FR162" i="40"/>
  <c r="FM159" i="40"/>
  <c r="FN158" i="40"/>
  <c r="ET160" i="40"/>
  <c r="ES161" i="40"/>
  <c r="EI161" i="40"/>
  <c r="EJ160" i="40"/>
  <c r="EX164" i="40"/>
  <c r="EY163" i="40"/>
  <c r="J228" i="27"/>
  <c r="K227" i="27"/>
  <c r="AW310" i="23"/>
  <c r="BA310" i="23"/>
  <c r="BA301" i="23"/>
  <c r="BA291" i="23"/>
  <c r="BA297" i="23"/>
  <c r="BA292" i="23"/>
  <c r="BA302" i="23"/>
  <c r="BA299" i="23"/>
  <c r="BA300" i="23"/>
  <c r="BA298" i="23"/>
  <c r="BA295" i="23"/>
  <c r="BA305" i="23"/>
  <c r="AW305" i="23"/>
  <c r="BA307" i="23"/>
  <c r="AW307" i="23"/>
  <c r="BA294" i="23"/>
  <c r="AW306" i="23"/>
  <c r="BA306" i="23"/>
  <c r="BA289" i="23"/>
  <c r="BA296" i="23"/>
  <c r="BA293" i="23"/>
  <c r="AW309" i="23"/>
  <c r="BA309" i="23"/>
  <c r="BA308" i="23"/>
  <c r="AW308" i="23"/>
  <c r="BA290" i="23"/>
  <c r="L255" i="23"/>
  <c r="L256" i="23" s="1"/>
  <c r="L257" i="23" s="1"/>
  <c r="L258" i="23" s="1"/>
  <c r="O257" i="23"/>
  <c r="O258" i="23" s="1"/>
  <c r="U257" i="23"/>
  <c r="U258" i="23" s="1"/>
  <c r="A124" i="23"/>
  <c r="B123" i="23"/>
  <c r="Z286" i="23" l="1"/>
  <c r="L251" i="23"/>
  <c r="L252" i="23" s="1"/>
  <c r="L253" i="23" s="1"/>
  <c r="O245" i="23"/>
  <c r="X249" i="23"/>
  <c r="AA249" i="23"/>
  <c r="AH198" i="23"/>
  <c r="AH199" i="23" s="1"/>
  <c r="S203" i="23"/>
  <c r="S204" i="23" s="1"/>
  <c r="P362" i="23"/>
  <c r="O363" i="23"/>
  <c r="N202" i="23"/>
  <c r="X200" i="23"/>
  <c r="N198" i="23"/>
  <c r="N199" i="23" s="1"/>
  <c r="N200" i="23" s="1"/>
  <c r="P23" i="71"/>
  <c r="P24" i="71" s="1"/>
  <c r="S289" i="23"/>
  <c r="S290" i="23" s="1"/>
  <c r="AC201" i="23"/>
  <c r="T243" i="23"/>
  <c r="R243" i="23"/>
  <c r="W246" i="23"/>
  <c r="AH286" i="23"/>
  <c r="AL286" i="23"/>
  <c r="AF245" i="23"/>
  <c r="AQ287" i="23"/>
  <c r="X288" i="23"/>
  <c r="T248" i="23"/>
  <c r="W248" i="23" s="1"/>
  <c r="AL288" i="23"/>
  <c r="AQ288" i="23" s="1"/>
  <c r="T244" i="23"/>
  <c r="R244" i="23"/>
  <c r="AM199" i="23"/>
  <c r="N201" i="23"/>
  <c r="N203" i="23"/>
  <c r="AC287" i="23"/>
  <c r="AE286" i="23" s="1"/>
  <c r="P25" i="71"/>
  <c r="EJ161" i="40"/>
  <c r="EI162" i="40"/>
  <c r="FH162" i="40"/>
  <c r="FI161" i="40"/>
  <c r="FD159" i="40"/>
  <c r="FC160" i="40"/>
  <c r="ES162" i="40"/>
  <c r="ET161" i="40"/>
  <c r="FS162" i="40"/>
  <c r="FR163" i="40"/>
  <c r="ED162" i="40"/>
  <c r="EE161" i="40"/>
  <c r="FM160" i="40"/>
  <c r="FN159" i="40"/>
  <c r="EX165" i="40"/>
  <c r="EY164" i="40"/>
  <c r="EN163" i="40"/>
  <c r="EO162" i="40"/>
  <c r="J229" i="27"/>
  <c r="K228" i="27"/>
  <c r="BB310" i="23"/>
  <c r="BB308" i="23"/>
  <c r="BB309" i="23"/>
  <c r="BB306" i="23"/>
  <c r="BB307" i="23"/>
  <c r="BB305" i="23"/>
  <c r="AC209" i="23"/>
  <c r="L259" i="23"/>
  <c r="R254" i="23"/>
  <c r="AD249" i="23"/>
  <c r="X250" i="23"/>
  <c r="AA250" i="23"/>
  <c r="B124" i="23"/>
  <c r="A125" i="23"/>
  <c r="N204" i="23" l="1"/>
  <c r="N205" i="23" s="1"/>
  <c r="N206" i="23" s="1"/>
  <c r="N207" i="23" s="1"/>
  <c r="N208" i="23" s="1"/>
  <c r="N209" i="23" s="1"/>
  <c r="O246" i="23"/>
  <c r="O247" i="23"/>
  <c r="R245" i="23"/>
  <c r="R246" i="23" s="1"/>
  <c r="R247" i="23" s="1"/>
  <c r="S291" i="23"/>
  <c r="S292" i="23" s="1"/>
  <c r="S293" i="23" s="1"/>
  <c r="S294" i="23" s="1"/>
  <c r="S295" i="23" s="1"/>
  <c r="S296" i="23" s="1"/>
  <c r="AH200" i="23"/>
  <c r="AH201" i="23" s="1"/>
  <c r="AH202" i="23" s="1"/>
  <c r="AC202" i="23"/>
  <c r="AC203" i="23"/>
  <c r="S205" i="23"/>
  <c r="X201" i="23"/>
  <c r="P363" i="23"/>
  <c r="O364" i="23"/>
  <c r="N210" i="23"/>
  <c r="P193" i="23" s="1"/>
  <c r="X289" i="23"/>
  <c r="X290" i="23" s="1"/>
  <c r="X291" i="23" s="1"/>
  <c r="X292" i="23" s="1"/>
  <c r="AC288" i="23"/>
  <c r="AM200" i="23"/>
  <c r="AM201" i="23" s="1"/>
  <c r="AM202" i="23" s="1"/>
  <c r="U244" i="23"/>
  <c r="W244" i="23"/>
  <c r="Z244" i="23" s="1"/>
  <c r="AC244" i="23" s="1"/>
  <c r="AF244" i="23" s="1"/>
  <c r="AG244" i="23" s="1"/>
  <c r="O259" i="23"/>
  <c r="AQ286" i="23"/>
  <c r="AM286" i="23"/>
  <c r="P26" i="71"/>
  <c r="AV288" i="23"/>
  <c r="Z248" i="23"/>
  <c r="AV287" i="23"/>
  <c r="AH287" i="23"/>
  <c r="AH288" i="23" s="1"/>
  <c r="AH289" i="23" s="1"/>
  <c r="AH290" i="23" s="1"/>
  <c r="AH291" i="23" s="1"/>
  <c r="AH292" i="23" s="1"/>
  <c r="Z246" i="23"/>
  <c r="AC246" i="23" s="1"/>
  <c r="AF246" i="23" s="1"/>
  <c r="U243" i="23"/>
  <c r="W243" i="23"/>
  <c r="EX166" i="40"/>
  <c r="EY165" i="40"/>
  <c r="ED163" i="40"/>
  <c r="EE162" i="40"/>
  <c r="ES163" i="40"/>
  <c r="ET162" i="40"/>
  <c r="FH163" i="40"/>
  <c r="FI162" i="40"/>
  <c r="FS163" i="40"/>
  <c r="FR164" i="40"/>
  <c r="FD160" i="40"/>
  <c r="FC161" i="40"/>
  <c r="EJ162" i="40"/>
  <c r="EI163" i="40"/>
  <c r="EN164" i="40"/>
  <c r="EO163" i="40"/>
  <c r="FN160" i="40"/>
  <c r="FM161" i="40"/>
  <c r="J230" i="27"/>
  <c r="K229" i="27"/>
  <c r="L260" i="23"/>
  <c r="L261" i="23" s="1"/>
  <c r="R255" i="23"/>
  <c r="R256" i="23" s="1"/>
  <c r="AG249" i="23"/>
  <c r="AG250" i="23" s="1"/>
  <c r="AD250" i="23"/>
  <c r="B125" i="23"/>
  <c r="A126" i="23"/>
  <c r="AC204" i="23" l="1"/>
  <c r="AC205" i="23" s="1"/>
  <c r="O248" i="23"/>
  <c r="O249" i="23" s="1"/>
  <c r="O250" i="23" s="1"/>
  <c r="R248" i="23"/>
  <c r="R251" i="23" s="1"/>
  <c r="R252" i="23" s="1"/>
  <c r="R253" i="23" s="1"/>
  <c r="U245" i="23"/>
  <c r="S297" i="23"/>
  <c r="S298" i="23" s="1"/>
  <c r="S299" i="23" s="1"/>
  <c r="S300" i="23" s="1"/>
  <c r="S301" i="23" s="1"/>
  <c r="S302" i="23" s="1"/>
  <c r="S303" i="23" s="1"/>
  <c r="S305" i="23" s="1"/>
  <c r="S306" i="23" s="1"/>
  <c r="S307" i="23" s="1"/>
  <c r="S308" i="23" s="1"/>
  <c r="S309" i="23" s="1"/>
  <c r="S310" i="23" s="1"/>
  <c r="S311" i="23" s="1"/>
  <c r="T287" i="23" s="1"/>
  <c r="X293" i="23"/>
  <c r="X294" i="23" s="1"/>
  <c r="AH203" i="23"/>
  <c r="AH204" i="23" s="1"/>
  <c r="R16" i="71"/>
  <c r="R17" i="71" s="1"/>
  <c r="S15" i="71"/>
  <c r="AC206" i="23"/>
  <c r="AC207" i="23" s="1"/>
  <c r="AC208" i="23" s="1"/>
  <c r="X202" i="23"/>
  <c r="S206" i="23"/>
  <c r="S207" i="23" s="1"/>
  <c r="O194" i="23"/>
  <c r="O365" i="23"/>
  <c r="P364" i="23"/>
  <c r="X203" i="23"/>
  <c r="X243" i="23"/>
  <c r="Z243" i="23"/>
  <c r="AM287" i="23"/>
  <c r="O260" i="23"/>
  <c r="AH293" i="23"/>
  <c r="AH294" i="23" s="1"/>
  <c r="AH295" i="23" s="1"/>
  <c r="AH296" i="23" s="1"/>
  <c r="AH297" i="23" s="1"/>
  <c r="AH298" i="23" s="1"/>
  <c r="AH299" i="23" s="1"/>
  <c r="AH300" i="23" s="1"/>
  <c r="AH301" i="23" s="1"/>
  <c r="AH302" i="23" s="1"/>
  <c r="BA287" i="23"/>
  <c r="AC248" i="23"/>
  <c r="AF248" i="23" s="1"/>
  <c r="BA288" i="23"/>
  <c r="AV286" i="23"/>
  <c r="AR286" i="23"/>
  <c r="AM203" i="23"/>
  <c r="AC289" i="23"/>
  <c r="FD161" i="40"/>
  <c r="FC162" i="40"/>
  <c r="EO164" i="40"/>
  <c r="EN165" i="40"/>
  <c r="FH164" i="40"/>
  <c r="FI163" i="40"/>
  <c r="EE163" i="40"/>
  <c r="ED164" i="40"/>
  <c r="FN161" i="40"/>
  <c r="FM162" i="40"/>
  <c r="EJ163" i="40"/>
  <c r="EI164" i="40"/>
  <c r="FS164" i="40"/>
  <c r="FR165" i="40"/>
  <c r="ET163" i="40"/>
  <c r="ES164" i="40"/>
  <c r="EX167" i="40"/>
  <c r="EY166" i="40"/>
  <c r="K230" i="27"/>
  <c r="J231" i="27"/>
  <c r="AD194" i="23"/>
  <c r="R257" i="23"/>
  <c r="R258" i="23" s="1"/>
  <c r="R259" i="23" s="1"/>
  <c r="R260" i="23" s="1"/>
  <c r="AA253" i="23"/>
  <c r="AA254" i="23" s="1"/>
  <c r="AA255" i="23" s="1"/>
  <c r="X253" i="23"/>
  <c r="X254" i="23" s="1"/>
  <c r="X255" i="23" s="1"/>
  <c r="A127" i="23"/>
  <c r="B126" i="23"/>
  <c r="AH305" i="23" l="1"/>
  <c r="AH306" i="23"/>
  <c r="U246" i="23"/>
  <c r="U247" i="23" s="1"/>
  <c r="U248" i="23" s="1"/>
  <c r="O251" i="23"/>
  <c r="O261" i="23" s="1"/>
  <c r="X204" i="23"/>
  <c r="X205" i="23" s="1"/>
  <c r="T288" i="23"/>
  <c r="U287" i="23"/>
  <c r="S16" i="71"/>
  <c r="AH205" i="23"/>
  <c r="AH206" i="23" s="1"/>
  <c r="AH207" i="23" s="1"/>
  <c r="AH208" i="23" s="1"/>
  <c r="AH209" i="23" s="1"/>
  <c r="AH210" i="23" s="1"/>
  <c r="AI194" i="23" s="1"/>
  <c r="AC210" i="23"/>
  <c r="AE193" i="23" s="1"/>
  <c r="S208" i="23"/>
  <c r="S209" i="23" s="1"/>
  <c r="S210" i="23" s="1"/>
  <c r="U193" i="23" s="1"/>
  <c r="O366" i="23"/>
  <c r="P365" i="23"/>
  <c r="P194" i="23"/>
  <c r="O195" i="23"/>
  <c r="X206" i="23"/>
  <c r="X295" i="23"/>
  <c r="X296" i="23" s="1"/>
  <c r="X297" i="23" s="1"/>
  <c r="X298" i="23" s="1"/>
  <c r="X299" i="23" s="1"/>
  <c r="X300" i="23" s="1"/>
  <c r="X301" i="23" s="1"/>
  <c r="X302" i="23" s="1"/>
  <c r="X303" i="23" s="1"/>
  <c r="X304" i="23" s="1"/>
  <c r="X305" i="23" s="1"/>
  <c r="X306" i="23" s="1"/>
  <c r="X307" i="23" s="1"/>
  <c r="X308" i="23" s="1"/>
  <c r="X309" i="23" s="1"/>
  <c r="X310" i="23" s="1"/>
  <c r="X311" i="23" s="1"/>
  <c r="AM204" i="23"/>
  <c r="AM205" i="23" s="1"/>
  <c r="AW286" i="23"/>
  <c r="BA286" i="23"/>
  <c r="BB286" i="23" s="1"/>
  <c r="BB287" i="23" s="1"/>
  <c r="BB288" i="23" s="1"/>
  <c r="U259" i="23"/>
  <c r="AM288" i="23"/>
  <c r="AM289" i="23" s="1"/>
  <c r="X244" i="23"/>
  <c r="AC290" i="23"/>
  <c r="AC291" i="23" s="1"/>
  <c r="AC292" i="23" s="1"/>
  <c r="AC293" i="23" s="1"/>
  <c r="AC294" i="23" s="1"/>
  <c r="AC295" i="23" s="1"/>
  <c r="AC296" i="23" s="1"/>
  <c r="AR287" i="23"/>
  <c r="AA243" i="23"/>
  <c r="AC243" i="23"/>
  <c r="R18" i="71"/>
  <c r="S17" i="71"/>
  <c r="ET164" i="40"/>
  <c r="ES165" i="40"/>
  <c r="EO165" i="40"/>
  <c r="EN166" i="40"/>
  <c r="ED165" i="40"/>
  <c r="EE164" i="40"/>
  <c r="FS165" i="40"/>
  <c r="FR166" i="40"/>
  <c r="FN162" i="40"/>
  <c r="FM163" i="40"/>
  <c r="FD162" i="40"/>
  <c r="FC163" i="40"/>
  <c r="EI165" i="40"/>
  <c r="EJ164" i="40"/>
  <c r="EX168" i="40"/>
  <c r="EY167" i="40"/>
  <c r="FH165" i="40"/>
  <c r="FI164" i="40"/>
  <c r="J232" i="27"/>
  <c r="K231" i="27"/>
  <c r="AD195" i="23"/>
  <c r="X256" i="23"/>
  <c r="X257" i="23" s="1"/>
  <c r="X258" i="23" s="1"/>
  <c r="AG253" i="23"/>
  <c r="AG254" i="23" s="1"/>
  <c r="AG255" i="23" s="1"/>
  <c r="AA256" i="23"/>
  <c r="AD252" i="23"/>
  <c r="R261" i="23"/>
  <c r="A128" i="23"/>
  <c r="B127" i="23"/>
  <c r="AH307" i="23" l="1"/>
  <c r="AH308" i="23" s="1"/>
  <c r="AH309" i="23" s="1"/>
  <c r="AH310" i="23" s="1"/>
  <c r="AH311" i="23" s="1"/>
  <c r="Y287" i="23"/>
  <c r="Y288" i="23" s="1"/>
  <c r="U251" i="23"/>
  <c r="U252" i="23" s="1"/>
  <c r="T194" i="23"/>
  <c r="U194" i="23" s="1"/>
  <c r="U288" i="23"/>
  <c r="T289" i="23"/>
  <c r="X245" i="23"/>
  <c r="AJ194" i="23"/>
  <c r="AI195" i="23"/>
  <c r="AE195" i="23"/>
  <c r="AE194" i="23"/>
  <c r="P195" i="23"/>
  <c r="O196" i="23"/>
  <c r="X207" i="23"/>
  <c r="X208" i="23" s="1"/>
  <c r="X210" i="23" s="1"/>
  <c r="P366" i="23"/>
  <c r="O367" i="23"/>
  <c r="P367" i="23" s="1"/>
  <c r="AC297" i="23"/>
  <c r="AC298" i="23" s="1"/>
  <c r="AC299" i="23" s="1"/>
  <c r="X259" i="23"/>
  <c r="X260" i="23" s="1"/>
  <c r="R19" i="71"/>
  <c r="S18" i="71"/>
  <c r="AF243" i="23"/>
  <c r="AG243" i="23" s="1"/>
  <c r="AD243" i="23"/>
  <c r="AR288" i="23"/>
  <c r="AM290" i="23"/>
  <c r="BB289" i="23"/>
  <c r="BB290" i="23" s="1"/>
  <c r="AM206" i="23"/>
  <c r="AM207" i="23" s="1"/>
  <c r="AM208" i="23" s="1"/>
  <c r="AM209" i="23" s="1"/>
  <c r="AM210" i="23" s="1"/>
  <c r="AN194" i="23" s="1"/>
  <c r="AA244" i="23"/>
  <c r="AA245" i="23" s="1"/>
  <c r="AA246" i="23" s="1"/>
  <c r="U260" i="23"/>
  <c r="U261" i="23" s="1"/>
  <c r="AW287" i="23"/>
  <c r="EO166" i="40"/>
  <c r="EN167" i="40"/>
  <c r="EX169" i="40"/>
  <c r="EY168" i="40"/>
  <c r="FD163" i="40"/>
  <c r="FC164" i="40"/>
  <c r="FN163" i="40"/>
  <c r="FM164" i="40"/>
  <c r="ES166" i="40"/>
  <c r="ET165" i="40"/>
  <c r="FS166" i="40"/>
  <c r="FR167" i="40"/>
  <c r="FI165" i="40"/>
  <c r="FH166" i="40"/>
  <c r="EJ165" i="40"/>
  <c r="EI166" i="40"/>
  <c r="ED166" i="40"/>
  <c r="EE165" i="40"/>
  <c r="J233" i="27"/>
  <c r="K232" i="27"/>
  <c r="AD196" i="23"/>
  <c r="AG256" i="23"/>
  <c r="AG257" i="23" s="1"/>
  <c r="AG258" i="23" s="1"/>
  <c r="AA257" i="23"/>
  <c r="AA258" i="23" s="1"/>
  <c r="AD253" i="23"/>
  <c r="B128" i="23"/>
  <c r="A129" i="23"/>
  <c r="AC300" i="23" l="1"/>
  <c r="AC301" i="23" s="1"/>
  <c r="AC302" i="23" s="1"/>
  <c r="AC305" i="23" s="1"/>
  <c r="AC306" i="23" s="1"/>
  <c r="AC307" i="23" s="1"/>
  <c r="AC308" i="23" s="1"/>
  <c r="AC309" i="23" s="1"/>
  <c r="AC310" i="23" s="1"/>
  <c r="AC311" i="23" s="1"/>
  <c r="AD287" i="23" s="1"/>
  <c r="AE287" i="23" s="1"/>
  <c r="AI288" i="23"/>
  <c r="AJ288" i="23" s="1"/>
  <c r="AJ287" i="23"/>
  <c r="Z288" i="23"/>
  <c r="Y289" i="23"/>
  <c r="Z289" i="23" s="1"/>
  <c r="Z287" i="23"/>
  <c r="AG245" i="23"/>
  <c r="X246" i="23"/>
  <c r="X247" i="23" s="1"/>
  <c r="T195" i="23"/>
  <c r="U195" i="23" s="1"/>
  <c r="U289" i="23"/>
  <c r="T290" i="23"/>
  <c r="AJ195" i="23"/>
  <c r="AI196" i="23"/>
  <c r="AA247" i="23"/>
  <c r="AA259" i="23" s="1"/>
  <c r="Z193" i="23"/>
  <c r="Y194" i="23"/>
  <c r="P196" i="23"/>
  <c r="O197" i="23"/>
  <c r="AW288" i="23"/>
  <c r="AW289" i="23" s="1"/>
  <c r="AM291" i="23"/>
  <c r="AM292" i="23" s="1"/>
  <c r="AM293" i="23" s="1"/>
  <c r="AR289" i="23"/>
  <c r="AR290" i="23" s="1"/>
  <c r="AO194" i="23"/>
  <c r="AN195" i="23"/>
  <c r="BB291" i="23"/>
  <c r="BB292" i="23" s="1"/>
  <c r="AD244" i="23"/>
  <c r="AD245" i="23" s="1"/>
  <c r="AD246" i="23" s="1"/>
  <c r="AG246" i="23"/>
  <c r="R20" i="71"/>
  <c r="S19" i="71"/>
  <c r="EI167" i="40"/>
  <c r="EJ166" i="40"/>
  <c r="EX170" i="40"/>
  <c r="EY169" i="40"/>
  <c r="FN164" i="40"/>
  <c r="FM165" i="40"/>
  <c r="FI166" i="40"/>
  <c r="FH167" i="40"/>
  <c r="FD164" i="40"/>
  <c r="FC165" i="40"/>
  <c r="EO167" i="40"/>
  <c r="EN168" i="40"/>
  <c r="FS167" i="40"/>
  <c r="FR168" i="40"/>
  <c r="EE166" i="40"/>
  <c r="ED167" i="40"/>
  <c r="ET166" i="40"/>
  <c r="ES167" i="40"/>
  <c r="J234" i="27"/>
  <c r="K233" i="27"/>
  <c r="AD197" i="23"/>
  <c r="AE196" i="23"/>
  <c r="AD254" i="23"/>
  <c r="AD255" i="23" s="1"/>
  <c r="B129" i="23"/>
  <c r="A130" i="23"/>
  <c r="AD288" i="23" l="1"/>
  <c r="Y290" i="23"/>
  <c r="AI289" i="23"/>
  <c r="X248" i="23"/>
  <c r="T196" i="23"/>
  <c r="T197" i="23" s="1"/>
  <c r="U290" i="23"/>
  <c r="T291" i="23"/>
  <c r="Z290" i="23"/>
  <c r="Y291" i="23"/>
  <c r="AA248" i="23"/>
  <c r="AA251" i="23" s="1"/>
  <c r="AA252" i="23" s="1"/>
  <c r="BB293" i="23"/>
  <c r="BB294" i="23" s="1"/>
  <c r="BB295" i="23" s="1"/>
  <c r="BB296" i="23" s="1"/>
  <c r="BB297" i="23" s="1"/>
  <c r="BB298" i="23" s="1"/>
  <c r="BB299" i="23" s="1"/>
  <c r="BB300" i="23" s="1"/>
  <c r="BB301" i="23" s="1"/>
  <c r="BB302" i="23" s="1"/>
  <c r="AI197" i="23"/>
  <c r="AJ196" i="23"/>
  <c r="AM294" i="23"/>
  <c r="AM295" i="23" s="1"/>
  <c r="AM296" i="23" s="1"/>
  <c r="AM297" i="23" s="1"/>
  <c r="AM298" i="23" s="1"/>
  <c r="AM299" i="23" s="1"/>
  <c r="AM300" i="23" s="1"/>
  <c r="AM301" i="23" s="1"/>
  <c r="AM302" i="23" s="1"/>
  <c r="AW290" i="23"/>
  <c r="AW291" i="23" s="1"/>
  <c r="AW292" i="23" s="1"/>
  <c r="AW293" i="23" s="1"/>
  <c r="AW294" i="23" s="1"/>
  <c r="AW295" i="23" s="1"/>
  <c r="AW296" i="23" s="1"/>
  <c r="AW297" i="23" s="1"/>
  <c r="AW298" i="23" s="1"/>
  <c r="AW299" i="23" s="1"/>
  <c r="AW300" i="23" s="1"/>
  <c r="AW301" i="23" s="1"/>
  <c r="AW302" i="23" s="1"/>
  <c r="AY287" i="23" s="1"/>
  <c r="AA260" i="23"/>
  <c r="P197" i="23"/>
  <c r="O198" i="23"/>
  <c r="U196" i="23"/>
  <c r="Z194" i="23"/>
  <c r="Y195" i="23"/>
  <c r="AD247" i="23"/>
  <c r="AD248" i="23" s="1"/>
  <c r="AE288" i="23"/>
  <c r="AD289" i="23"/>
  <c r="AR291" i="23"/>
  <c r="AR292" i="23" s="1"/>
  <c r="AR293" i="23" s="1"/>
  <c r="AR294" i="23" s="1"/>
  <c r="AR295" i="23" s="1"/>
  <c r="AR296" i="23" s="1"/>
  <c r="AR297" i="23" s="1"/>
  <c r="AR298" i="23" s="1"/>
  <c r="AR299" i="23" s="1"/>
  <c r="AR300" i="23" s="1"/>
  <c r="AR301" i="23" s="1"/>
  <c r="AR302" i="23" s="1"/>
  <c r="AO195" i="23"/>
  <c r="AN196" i="23"/>
  <c r="S20" i="71"/>
  <c r="R21" i="71"/>
  <c r="AG247" i="23"/>
  <c r="FR169" i="40"/>
  <c r="FS168" i="40"/>
  <c r="EE167" i="40"/>
  <c r="ED168" i="40"/>
  <c r="EO168" i="40"/>
  <c r="EN169" i="40"/>
  <c r="FH168" i="40"/>
  <c r="FI167" i="40"/>
  <c r="EX171" i="40"/>
  <c r="EY170" i="40"/>
  <c r="FD165" i="40"/>
  <c r="FC166" i="40"/>
  <c r="ET167" i="40"/>
  <c r="ES168" i="40"/>
  <c r="FN165" i="40"/>
  <c r="FM166" i="40"/>
  <c r="EI168" i="40"/>
  <c r="EJ167" i="40"/>
  <c r="J235" i="27"/>
  <c r="K235" i="27" s="1"/>
  <c r="K234" i="27"/>
  <c r="AE197" i="23"/>
  <c r="AD198" i="23"/>
  <c r="AD256" i="23"/>
  <c r="A131" i="23"/>
  <c r="B130" i="23"/>
  <c r="AJ289" i="23" l="1"/>
  <c r="AI290" i="23"/>
  <c r="BD287" i="23"/>
  <c r="BC288" i="23"/>
  <c r="BD288" i="23" s="1"/>
  <c r="AN288" i="23"/>
  <c r="AO288" i="23" s="1"/>
  <c r="X251" i="23"/>
  <c r="X252" i="23" s="1"/>
  <c r="AD251" i="23"/>
  <c r="AA261" i="23"/>
  <c r="AE289" i="23"/>
  <c r="AD290" i="23"/>
  <c r="Z291" i="23"/>
  <c r="Y292" i="23"/>
  <c r="U291" i="23"/>
  <c r="T292" i="23"/>
  <c r="AO287" i="23"/>
  <c r="AX288" i="23"/>
  <c r="AX289" i="23" s="1"/>
  <c r="AI198" i="23"/>
  <c r="AJ197" i="23"/>
  <c r="Z195" i="23"/>
  <c r="Y196" i="23"/>
  <c r="U197" i="23"/>
  <c r="T198" i="23"/>
  <c r="O199" i="23"/>
  <c r="P198" i="23"/>
  <c r="AS288" i="23"/>
  <c r="AT287" i="23"/>
  <c r="AG248" i="23"/>
  <c r="AG259" i="23" s="1"/>
  <c r="AG260" i="23" s="1"/>
  <c r="R22" i="71"/>
  <c r="S21" i="71"/>
  <c r="AO196" i="23"/>
  <c r="AN197" i="23"/>
  <c r="BC289" i="23"/>
  <c r="BD289" i="23" s="1"/>
  <c r="FM167" i="40"/>
  <c r="FN166" i="40"/>
  <c r="ES169" i="40"/>
  <c r="ET168" i="40"/>
  <c r="FD166" i="40"/>
  <c r="FC167" i="40"/>
  <c r="EE168" i="40"/>
  <c r="ED169" i="40"/>
  <c r="FH169" i="40"/>
  <c r="FI168" i="40"/>
  <c r="EN170" i="40"/>
  <c r="EO169" i="40"/>
  <c r="EJ168" i="40"/>
  <c r="EI169" i="40"/>
  <c r="EX172" i="40"/>
  <c r="EY171" i="40"/>
  <c r="FS169" i="40"/>
  <c r="FR170" i="40"/>
  <c r="AE198" i="23"/>
  <c r="AD199" i="23"/>
  <c r="AD257" i="23"/>
  <c r="AD258" i="23" s="1"/>
  <c r="AD259" i="23" s="1"/>
  <c r="AD260" i="23" s="1"/>
  <c r="A132" i="23"/>
  <c r="B131" i="23"/>
  <c r="AJ290" i="23" l="1"/>
  <c r="AI291" i="23"/>
  <c r="AN289" i="23"/>
  <c r="BC290" i="23"/>
  <c r="BD290" i="23" s="1"/>
  <c r="AY288" i="23"/>
  <c r="X261" i="23"/>
  <c r="AG251" i="23"/>
  <c r="AG252" i="23" s="1"/>
  <c r="AY289" i="23"/>
  <c r="AX290" i="23"/>
  <c r="U292" i="23"/>
  <c r="T293" i="23"/>
  <c r="AE290" i="23"/>
  <c r="AD291" i="23"/>
  <c r="AO289" i="23"/>
  <c r="AN290" i="23"/>
  <c r="Z292" i="23"/>
  <c r="Y293" i="23"/>
  <c r="AJ198" i="23"/>
  <c r="AI199" i="23"/>
  <c r="U198" i="23"/>
  <c r="T199" i="23"/>
  <c r="Z196" i="23"/>
  <c r="Y197" i="23"/>
  <c r="O200" i="23"/>
  <c r="P199" i="23"/>
  <c r="AT288" i="23"/>
  <c r="AS289" i="23"/>
  <c r="AO197" i="23"/>
  <c r="AN198" i="23"/>
  <c r="AG261" i="23"/>
  <c r="S22" i="71"/>
  <c r="R23" i="71"/>
  <c r="ED170" i="40"/>
  <c r="EE169" i="40"/>
  <c r="EX173" i="40"/>
  <c r="EY172" i="40"/>
  <c r="EN171" i="40"/>
  <c r="EO170" i="40"/>
  <c r="ES170" i="40"/>
  <c r="ET169" i="40"/>
  <c r="FS170" i="40"/>
  <c r="FR171" i="40"/>
  <c r="EI170" i="40"/>
  <c r="EJ169" i="40"/>
  <c r="FD167" i="40"/>
  <c r="FC168" i="40"/>
  <c r="FH170" i="40"/>
  <c r="FI169" i="40"/>
  <c r="FM168" i="40"/>
  <c r="FN167" i="40"/>
  <c r="AE199" i="23"/>
  <c r="AD200" i="23"/>
  <c r="AD261" i="23"/>
  <c r="B132" i="23"/>
  <c r="A133" i="23"/>
  <c r="BC291" i="23" l="1"/>
  <c r="BD291" i="23" s="1"/>
  <c r="AJ291" i="23"/>
  <c r="AI292" i="23"/>
  <c r="AO290" i="23"/>
  <c r="AN291" i="23"/>
  <c r="U293" i="23"/>
  <c r="T294" i="23"/>
  <c r="AT289" i="23"/>
  <c r="AS290" i="23"/>
  <c r="Y294" i="23"/>
  <c r="Z293" i="23"/>
  <c r="AE291" i="23"/>
  <c r="AD292" i="23"/>
  <c r="AY290" i="23"/>
  <c r="AX291" i="23"/>
  <c r="AI200" i="23"/>
  <c r="AJ199" i="23"/>
  <c r="Z197" i="23"/>
  <c r="Y198" i="23"/>
  <c r="U199" i="23"/>
  <c r="T200" i="23"/>
  <c r="O201" i="23"/>
  <c r="P200" i="23"/>
  <c r="AO198" i="23"/>
  <c r="AN199" i="23"/>
  <c r="S23" i="71"/>
  <c r="R24" i="71"/>
  <c r="FH171" i="40"/>
  <c r="FI170" i="40"/>
  <c r="EI171" i="40"/>
  <c r="EJ170" i="40"/>
  <c r="ET170" i="40"/>
  <c r="ES171" i="40"/>
  <c r="EX174" i="40"/>
  <c r="EY173" i="40"/>
  <c r="FD168" i="40"/>
  <c r="FC169" i="40"/>
  <c r="FS171" i="40"/>
  <c r="FR172" i="40"/>
  <c r="FN168" i="40"/>
  <c r="FM169" i="40"/>
  <c r="EN172" i="40"/>
  <c r="EO171" i="40"/>
  <c r="ED171" i="40"/>
  <c r="EE170" i="40"/>
  <c r="AE200" i="23"/>
  <c r="AD201" i="23"/>
  <c r="BC292" i="23"/>
  <c r="BD292" i="23" s="1"/>
  <c r="B133" i="23"/>
  <c r="A134" i="23"/>
  <c r="AJ292" i="23" l="1"/>
  <c r="AI293" i="23"/>
  <c r="AE292" i="23"/>
  <c r="AD293" i="23"/>
  <c r="AT290" i="23"/>
  <c r="AS291" i="23"/>
  <c r="AO291" i="23"/>
  <c r="AN292" i="23"/>
  <c r="AY291" i="23"/>
  <c r="AX292" i="23"/>
  <c r="U294" i="23"/>
  <c r="T295" i="23"/>
  <c r="Y295" i="23"/>
  <c r="Z294" i="23"/>
  <c r="AJ200" i="23"/>
  <c r="AI201" i="23"/>
  <c r="U200" i="23"/>
  <c r="T201" i="23"/>
  <c r="Z198" i="23"/>
  <c r="Y199" i="23"/>
  <c r="P201" i="23"/>
  <c r="O202" i="23"/>
  <c r="S24" i="71"/>
  <c r="R25" i="71"/>
  <c r="AO199" i="23"/>
  <c r="AN200" i="23"/>
  <c r="FS172" i="40"/>
  <c r="FR173" i="40"/>
  <c r="EO172" i="40"/>
  <c r="EN173" i="40"/>
  <c r="EX175" i="40"/>
  <c r="EY174" i="40"/>
  <c r="EI172" i="40"/>
  <c r="EJ171" i="40"/>
  <c r="FN169" i="40"/>
  <c r="FM170" i="40"/>
  <c r="FD169" i="40"/>
  <c r="FC170" i="40"/>
  <c r="ET171" i="40"/>
  <c r="ES172" i="40"/>
  <c r="EE171" i="40"/>
  <c r="ED172" i="40"/>
  <c r="FH172" i="40"/>
  <c r="FI171" i="40"/>
  <c r="AE201" i="23"/>
  <c r="AD202" i="23"/>
  <c r="BC293" i="23"/>
  <c r="BD293" i="23" s="1"/>
  <c r="A135" i="23"/>
  <c r="B134" i="23"/>
  <c r="AJ293" i="23" l="1"/>
  <c r="AI294" i="23"/>
  <c r="AY292" i="23"/>
  <c r="AX293" i="23"/>
  <c r="AT291" i="23"/>
  <c r="AS292" i="23"/>
  <c r="U295" i="23"/>
  <c r="T296" i="23"/>
  <c r="AO292" i="23"/>
  <c r="AN293" i="23"/>
  <c r="AE293" i="23"/>
  <c r="AD294" i="23"/>
  <c r="Z295" i="23"/>
  <c r="Y296" i="23"/>
  <c r="AI202" i="23"/>
  <c r="AJ201" i="23"/>
  <c r="P202" i="23"/>
  <c r="O203" i="23"/>
  <c r="Z199" i="23"/>
  <c r="Y200" i="23"/>
  <c r="U201" i="23"/>
  <c r="T202" i="23"/>
  <c r="AO200" i="23"/>
  <c r="AN201" i="23"/>
  <c r="R26" i="71"/>
  <c r="S25" i="71"/>
  <c r="ED173" i="40"/>
  <c r="EE172" i="40"/>
  <c r="EO173" i="40"/>
  <c r="EN174" i="40"/>
  <c r="EJ172" i="40"/>
  <c r="EI173" i="40"/>
  <c r="ET172" i="40"/>
  <c r="ES173" i="40"/>
  <c r="FM171" i="40"/>
  <c r="FN170" i="40"/>
  <c r="FS173" i="40"/>
  <c r="FR174" i="40"/>
  <c r="FD170" i="40"/>
  <c r="FC171" i="40"/>
  <c r="FH173" i="40"/>
  <c r="FI172" i="40"/>
  <c r="EX176" i="40"/>
  <c r="EY175" i="40"/>
  <c r="AE202" i="23"/>
  <c r="AD203" i="23"/>
  <c r="BC294" i="23"/>
  <c r="BD294" i="23" s="1"/>
  <c r="A136" i="23"/>
  <c r="B135" i="23"/>
  <c r="AJ294" i="23" l="1"/>
  <c r="AI295" i="23"/>
  <c r="AE294" i="23"/>
  <c r="AD295" i="23"/>
  <c r="U296" i="23"/>
  <c r="T297" i="23"/>
  <c r="AY293" i="23"/>
  <c r="AX294" i="23"/>
  <c r="Z296" i="23"/>
  <c r="Y297" i="23"/>
  <c r="AO293" i="23"/>
  <c r="AN294" i="23"/>
  <c r="AT292" i="23"/>
  <c r="AS293" i="23"/>
  <c r="AI203" i="23"/>
  <c r="AJ202" i="23"/>
  <c r="U202" i="23"/>
  <c r="T203" i="23"/>
  <c r="Z200" i="23"/>
  <c r="Y201" i="23"/>
  <c r="P203" i="23"/>
  <c r="O204" i="23"/>
  <c r="AO201" i="23"/>
  <c r="AN202" i="23"/>
  <c r="S26" i="71"/>
  <c r="R27" i="71"/>
  <c r="EN175" i="40"/>
  <c r="EO174" i="40"/>
  <c r="FH174" i="40"/>
  <c r="FI173" i="40"/>
  <c r="FS174" i="40"/>
  <c r="FR175" i="40"/>
  <c r="FD171" i="40"/>
  <c r="FC172" i="40"/>
  <c r="EJ173" i="40"/>
  <c r="EI174" i="40"/>
  <c r="ES174" i="40"/>
  <c r="ET173" i="40"/>
  <c r="EX177" i="40"/>
  <c r="EY176" i="40"/>
  <c r="FM172" i="40"/>
  <c r="FN171" i="40"/>
  <c r="ED174" i="40"/>
  <c r="EE173" i="40"/>
  <c r="AE203" i="23"/>
  <c r="AD204" i="23"/>
  <c r="BC295" i="23"/>
  <c r="BD295" i="23" s="1"/>
  <c r="B136" i="23"/>
  <c r="A137" i="23"/>
  <c r="AJ295" i="23" l="1"/>
  <c r="AI296" i="23"/>
  <c r="AT293" i="23"/>
  <c r="AS294" i="23"/>
  <c r="Y298" i="23"/>
  <c r="Z297" i="23"/>
  <c r="U297" i="23"/>
  <c r="T298" i="23"/>
  <c r="AO294" i="23"/>
  <c r="AN295" i="23"/>
  <c r="AY294" i="23"/>
  <c r="AX295" i="23"/>
  <c r="AE295" i="23"/>
  <c r="AD296" i="23"/>
  <c r="AJ203" i="23"/>
  <c r="AI204" i="23"/>
  <c r="P204" i="23"/>
  <c r="O205" i="23"/>
  <c r="Z201" i="23"/>
  <c r="Y202" i="23"/>
  <c r="U203" i="23"/>
  <c r="T204" i="23"/>
  <c r="R28" i="71"/>
  <c r="S27" i="71"/>
  <c r="AO202" i="23"/>
  <c r="AN203" i="23"/>
  <c r="FD172" i="40"/>
  <c r="FC173" i="40"/>
  <c r="FM173" i="40"/>
  <c r="FN172" i="40"/>
  <c r="ES175" i="40"/>
  <c r="ET174" i="40"/>
  <c r="FH175" i="40"/>
  <c r="FI174" i="40"/>
  <c r="EJ174" i="40"/>
  <c r="EI175" i="40"/>
  <c r="FS175" i="40"/>
  <c r="FR176" i="40"/>
  <c r="EE174" i="40"/>
  <c r="ED175" i="40"/>
  <c r="EX178" i="40"/>
  <c r="EY177" i="40"/>
  <c r="EN176" i="40"/>
  <c r="EO175" i="40"/>
  <c r="AE204" i="23"/>
  <c r="AD205" i="23"/>
  <c r="BC296" i="23"/>
  <c r="BD296" i="23" s="1"/>
  <c r="B137" i="23"/>
  <c r="A138" i="23"/>
  <c r="AJ296" i="23" l="1"/>
  <c r="AI297" i="23"/>
  <c r="AY295" i="23"/>
  <c r="AX296" i="23"/>
  <c r="Z298" i="23"/>
  <c r="Y299" i="23"/>
  <c r="AE296" i="23"/>
  <c r="AD297" i="23"/>
  <c r="AO295" i="23"/>
  <c r="AN296" i="23"/>
  <c r="U298" i="23"/>
  <c r="T299" i="23"/>
  <c r="AT294" i="23"/>
  <c r="AS295" i="23"/>
  <c r="AJ204" i="23"/>
  <c r="AI205" i="23"/>
  <c r="U204" i="23"/>
  <c r="T205" i="23"/>
  <c r="Z202" i="23"/>
  <c r="Y203" i="23"/>
  <c r="P205" i="23"/>
  <c r="O206" i="23"/>
  <c r="AO203" i="23"/>
  <c r="AN204" i="23"/>
  <c r="S28" i="71"/>
  <c r="R29" i="71"/>
  <c r="EX179" i="40"/>
  <c r="EY178" i="40"/>
  <c r="FH176" i="40"/>
  <c r="FI175" i="40"/>
  <c r="FM174" i="40"/>
  <c r="FN173" i="40"/>
  <c r="FS176" i="40"/>
  <c r="FR177" i="40"/>
  <c r="EE175" i="40"/>
  <c r="ED176" i="40"/>
  <c r="EI176" i="40"/>
  <c r="EJ175" i="40"/>
  <c r="FD173" i="40"/>
  <c r="FC174" i="40"/>
  <c r="EO176" i="40"/>
  <c r="EN177" i="40"/>
  <c r="ET175" i="40"/>
  <c r="ES176" i="40"/>
  <c r="AE205" i="23"/>
  <c r="AD206" i="23"/>
  <c r="BC297" i="23"/>
  <c r="BD297" i="23" s="1"/>
  <c r="A139" i="23"/>
  <c r="B138" i="23"/>
  <c r="AJ297" i="23" l="1"/>
  <c r="AI298" i="23"/>
  <c r="U299" i="23"/>
  <c r="T300" i="23"/>
  <c r="AE297" i="23"/>
  <c r="AD298" i="23"/>
  <c r="AT295" i="23"/>
  <c r="AS296" i="23"/>
  <c r="AO296" i="23"/>
  <c r="AN297" i="23"/>
  <c r="Z299" i="23"/>
  <c r="Y300" i="23"/>
  <c r="AY296" i="23"/>
  <c r="AX297" i="23"/>
  <c r="AI206" i="23"/>
  <c r="AJ205" i="23"/>
  <c r="P206" i="23"/>
  <c r="O207" i="23"/>
  <c r="Z203" i="23"/>
  <c r="Y204" i="23"/>
  <c r="U205" i="23"/>
  <c r="T206" i="23"/>
  <c r="S29" i="71"/>
  <c r="R30" i="71"/>
  <c r="AO204" i="23"/>
  <c r="AN205" i="23"/>
  <c r="FH177" i="40"/>
  <c r="FI176" i="40"/>
  <c r="EO177" i="40"/>
  <c r="EN178" i="40"/>
  <c r="FS177" i="40"/>
  <c r="FR178" i="40"/>
  <c r="ET176" i="40"/>
  <c r="ES177" i="40"/>
  <c r="FD174" i="40"/>
  <c r="FC175" i="40"/>
  <c r="EE176" i="40"/>
  <c r="ED177" i="40"/>
  <c r="EJ176" i="40"/>
  <c r="EI177" i="40"/>
  <c r="FM175" i="40"/>
  <c r="FN174" i="40"/>
  <c r="EX180" i="40"/>
  <c r="EY179" i="40"/>
  <c r="AE206" i="23"/>
  <c r="AD207" i="23"/>
  <c r="BC298" i="23"/>
  <c r="BD298" i="23" s="1"/>
  <c r="A140" i="23"/>
  <c r="B139" i="23"/>
  <c r="AJ298" i="23" l="1"/>
  <c r="AI299" i="23"/>
  <c r="Z300" i="23"/>
  <c r="Y301" i="23"/>
  <c r="AT296" i="23"/>
  <c r="AS297" i="23"/>
  <c r="AE298" i="23"/>
  <c r="AD299" i="23"/>
  <c r="AY297" i="23"/>
  <c r="AX298" i="23"/>
  <c r="AO297" i="23"/>
  <c r="AN298" i="23"/>
  <c r="U300" i="23"/>
  <c r="T301" i="23"/>
  <c r="AJ206" i="23"/>
  <c r="AI207" i="23"/>
  <c r="U206" i="23"/>
  <c r="T207" i="23"/>
  <c r="Z204" i="23"/>
  <c r="Y205" i="23"/>
  <c r="P207" i="23"/>
  <c r="O208" i="23"/>
  <c r="AO205" i="23"/>
  <c r="AN206" i="23"/>
  <c r="S30" i="71"/>
  <c r="R31" i="71"/>
  <c r="EN179" i="40"/>
  <c r="EO178" i="40"/>
  <c r="FM176" i="40"/>
  <c r="FN175" i="40"/>
  <c r="ET177" i="40"/>
  <c r="ES178" i="40"/>
  <c r="EI178" i="40"/>
  <c r="EJ177" i="40"/>
  <c r="FD175" i="40"/>
  <c r="FC176" i="40"/>
  <c r="FS178" i="40"/>
  <c r="FR179" i="40"/>
  <c r="ED178" i="40"/>
  <c r="EE177" i="40"/>
  <c r="EX181" i="40"/>
  <c r="EY180" i="40"/>
  <c r="FH178" i="40"/>
  <c r="FI177" i="40"/>
  <c r="AE207" i="23"/>
  <c r="AD208" i="23"/>
  <c r="BC299" i="23"/>
  <c r="BD299" i="23" s="1"/>
  <c r="B140" i="23"/>
  <c r="A141" i="23"/>
  <c r="AJ299" i="23" l="1"/>
  <c r="AI300" i="23"/>
  <c r="AY298" i="23"/>
  <c r="AX299" i="23"/>
  <c r="AT297" i="23"/>
  <c r="AS298" i="23"/>
  <c r="U301" i="23"/>
  <c r="T302" i="23"/>
  <c r="AO298" i="23"/>
  <c r="AN299" i="23"/>
  <c r="AE299" i="23"/>
  <c r="AD300" i="23"/>
  <c r="Y302" i="23"/>
  <c r="Z301" i="23"/>
  <c r="AJ207" i="23"/>
  <c r="AI208" i="23"/>
  <c r="U207" i="23"/>
  <c r="T208" i="23"/>
  <c r="P208" i="23"/>
  <c r="O209" i="23"/>
  <c r="Z205" i="23"/>
  <c r="Y206" i="23"/>
  <c r="S31" i="71"/>
  <c r="R32" i="71"/>
  <c r="AO206" i="23"/>
  <c r="AN207" i="23"/>
  <c r="FS179" i="40"/>
  <c r="FR180" i="40"/>
  <c r="EX182" i="40"/>
  <c r="EY181" i="40"/>
  <c r="EI179" i="40"/>
  <c r="EJ178" i="40"/>
  <c r="FM177" i="40"/>
  <c r="FN176" i="40"/>
  <c r="FD176" i="40"/>
  <c r="FC177" i="40"/>
  <c r="ET178" i="40"/>
  <c r="ES179" i="40"/>
  <c r="FH179" i="40"/>
  <c r="FI178" i="40"/>
  <c r="ED179" i="40"/>
  <c r="EE178" i="40"/>
  <c r="EO179" i="40"/>
  <c r="EN180" i="40"/>
  <c r="AE208" i="23"/>
  <c r="AD209" i="23"/>
  <c r="BC300" i="23"/>
  <c r="BD300" i="23" s="1"/>
  <c r="B141" i="23"/>
  <c r="A142" i="23"/>
  <c r="AJ300" i="23" l="1"/>
  <c r="AI301" i="23"/>
  <c r="AE300" i="23"/>
  <c r="AD301" i="23"/>
  <c r="U302" i="23"/>
  <c r="T303" i="23"/>
  <c r="AY299" i="23"/>
  <c r="AX300" i="23"/>
  <c r="AO299" i="23"/>
  <c r="AN300" i="23"/>
  <c r="AT298" i="23"/>
  <c r="AS299" i="23"/>
  <c r="Z302" i="23"/>
  <c r="Y303" i="23"/>
  <c r="AJ208" i="23"/>
  <c r="AI209" i="23"/>
  <c r="Z206" i="23"/>
  <c r="Y207" i="23"/>
  <c r="P209" i="23"/>
  <c r="O210" i="23"/>
  <c r="P210" i="23" s="1"/>
  <c r="U208" i="23"/>
  <c r="T209" i="23"/>
  <c r="AO207" i="23"/>
  <c r="AN208" i="23"/>
  <c r="S32" i="71"/>
  <c r="R33" i="71"/>
  <c r="EE179" i="40"/>
  <c r="ED180" i="40"/>
  <c r="FM178" i="40"/>
  <c r="FN177" i="40"/>
  <c r="EX183" i="40"/>
  <c r="EY182" i="40"/>
  <c r="ET179" i="40"/>
  <c r="ES180" i="40"/>
  <c r="EN181" i="40"/>
  <c r="EO180" i="40"/>
  <c r="FD177" i="40"/>
  <c r="FC178" i="40"/>
  <c r="FR181" i="40"/>
  <c r="FS180" i="40"/>
  <c r="FH180" i="40"/>
  <c r="FI179" i="40"/>
  <c r="EJ179" i="40"/>
  <c r="EI180" i="40"/>
  <c r="AE209" i="23"/>
  <c r="AD210" i="23"/>
  <c r="AE210" i="23" s="1"/>
  <c r="BC301" i="23"/>
  <c r="BD301" i="23" s="1"/>
  <c r="A143" i="23"/>
  <c r="B142" i="23"/>
  <c r="AJ301" i="23" l="1"/>
  <c r="AI302" i="23"/>
  <c r="AO300" i="23"/>
  <c r="AN301" i="23"/>
  <c r="U303" i="23"/>
  <c r="T304" i="23"/>
  <c r="Z303" i="23"/>
  <c r="Y304" i="23"/>
  <c r="AT299" i="23"/>
  <c r="AS300" i="23"/>
  <c r="AY300" i="23"/>
  <c r="AX301" i="23"/>
  <c r="AE301" i="23"/>
  <c r="AD302" i="23"/>
  <c r="AJ209" i="23"/>
  <c r="AI210" i="23"/>
  <c r="AJ210" i="23" s="1"/>
  <c r="U209" i="23"/>
  <c r="T210" i="23"/>
  <c r="U210" i="23" s="1"/>
  <c r="Z207" i="23"/>
  <c r="Y208" i="23"/>
  <c r="S33" i="71"/>
  <c r="R34" i="71"/>
  <c r="AO208" i="23"/>
  <c r="AN209" i="23"/>
  <c r="FD178" i="40"/>
  <c r="FC179" i="40"/>
  <c r="FH181" i="40"/>
  <c r="FI180" i="40"/>
  <c r="FM179" i="40"/>
  <c r="FN178" i="40"/>
  <c r="EJ180" i="40"/>
  <c r="EI181" i="40"/>
  <c r="ED181" i="40"/>
  <c r="EE180" i="40"/>
  <c r="ET180" i="40"/>
  <c r="ES181" i="40"/>
  <c r="FS181" i="40"/>
  <c r="FR182" i="40"/>
  <c r="EN182" i="40"/>
  <c r="EO181" i="40"/>
  <c r="EX184" i="40"/>
  <c r="EY183" i="40"/>
  <c r="BC302" i="23"/>
  <c r="BD302" i="23" s="1"/>
  <c r="A144" i="23"/>
  <c r="B143" i="23"/>
  <c r="AJ302" i="23" l="1"/>
  <c r="AI303" i="23"/>
  <c r="AY301" i="23"/>
  <c r="AX302" i="23"/>
  <c r="Z304" i="23"/>
  <c r="Y305" i="23"/>
  <c r="AO301" i="23"/>
  <c r="AN302" i="23"/>
  <c r="AE302" i="23"/>
  <c r="AD303" i="23"/>
  <c r="AT300" i="23"/>
  <c r="AS301" i="23"/>
  <c r="U304" i="23"/>
  <c r="T305" i="23"/>
  <c r="Z208" i="23"/>
  <c r="Y209" i="23"/>
  <c r="AO209" i="23"/>
  <c r="AN210" i="23"/>
  <c r="AO210" i="23" s="1"/>
  <c r="S34" i="71"/>
  <c r="R35" i="71"/>
  <c r="EO182" i="40"/>
  <c r="EN183" i="40"/>
  <c r="FH182" i="40"/>
  <c r="FI181" i="40"/>
  <c r="ES182" i="40"/>
  <c r="ET181" i="40"/>
  <c r="FS182" i="40"/>
  <c r="FR183" i="40"/>
  <c r="FD179" i="40"/>
  <c r="FC180" i="40"/>
  <c r="EJ181" i="40"/>
  <c r="EI182" i="40"/>
  <c r="EX185" i="40"/>
  <c r="EY184" i="40"/>
  <c r="ED182" i="40"/>
  <c r="EE181" i="40"/>
  <c r="FM180" i="40"/>
  <c r="FN179" i="40"/>
  <c r="BC303" i="23"/>
  <c r="BD303" i="23" s="1"/>
  <c r="B144" i="23"/>
  <c r="A145" i="23"/>
  <c r="AJ303" i="23" l="1"/>
  <c r="AI304" i="23"/>
  <c r="U305" i="23"/>
  <c r="T306" i="23"/>
  <c r="AE303" i="23"/>
  <c r="AD304" i="23"/>
  <c r="Z305" i="23"/>
  <c r="Y306" i="23"/>
  <c r="AT301" i="23"/>
  <c r="AS302" i="23"/>
  <c r="AO302" i="23"/>
  <c r="AN303" i="23"/>
  <c r="AY302" i="23"/>
  <c r="AX303" i="23"/>
  <c r="Z209" i="23"/>
  <c r="Y210" i="23"/>
  <c r="Z210" i="23" s="1"/>
  <c r="S35" i="71"/>
  <c r="R36" i="71"/>
  <c r="EE182" i="40"/>
  <c r="ED183" i="40"/>
  <c r="FH183" i="40"/>
  <c r="FI182" i="40"/>
  <c r="EI183" i="40"/>
  <c r="EJ182" i="40"/>
  <c r="FR184" i="40"/>
  <c r="FS183" i="40"/>
  <c r="FD180" i="40"/>
  <c r="FC181" i="40"/>
  <c r="EN184" i="40"/>
  <c r="EO183" i="40"/>
  <c r="FN180" i="40"/>
  <c r="FM181" i="40"/>
  <c r="EX186" i="40"/>
  <c r="EY185" i="40"/>
  <c r="ET182" i="40"/>
  <c r="ES183" i="40"/>
  <c r="BC304" i="23"/>
  <c r="BD304" i="23" s="1"/>
  <c r="B145" i="23"/>
  <c r="A146" i="23"/>
  <c r="AJ304" i="23" l="1"/>
  <c r="AI305" i="23"/>
  <c r="AO303" i="23"/>
  <c r="AN304" i="23"/>
  <c r="AE304" i="23"/>
  <c r="AD305" i="23"/>
  <c r="AY303" i="23"/>
  <c r="AX304" i="23"/>
  <c r="AT302" i="23"/>
  <c r="AS303" i="23"/>
  <c r="Z306" i="23"/>
  <c r="Y307" i="23"/>
  <c r="U306" i="23"/>
  <c r="T307" i="23"/>
  <c r="S36" i="71"/>
  <c r="R37" i="71"/>
  <c r="EX187" i="40"/>
  <c r="EY186" i="40"/>
  <c r="EO184" i="40"/>
  <c r="EN185" i="40"/>
  <c r="FR185" i="40"/>
  <c r="FS184" i="40"/>
  <c r="FH184" i="40"/>
  <c r="FI183" i="40"/>
  <c r="ES184" i="40"/>
  <c r="ET183" i="40"/>
  <c r="FM182" i="40"/>
  <c r="FN181" i="40"/>
  <c r="FD181" i="40"/>
  <c r="FC182" i="40"/>
  <c r="EE183" i="40"/>
  <c r="ED184" i="40"/>
  <c r="EI184" i="40"/>
  <c r="EJ183" i="40"/>
  <c r="BC305" i="23"/>
  <c r="BD305" i="23" s="1"/>
  <c r="A147" i="23"/>
  <c r="B146" i="23"/>
  <c r="AJ305" i="23" l="1"/>
  <c r="AI306" i="23"/>
  <c r="Z307" i="23"/>
  <c r="Y308" i="23"/>
  <c r="AY304" i="23"/>
  <c r="AX305" i="23"/>
  <c r="U307" i="23"/>
  <c r="T308" i="23"/>
  <c r="AT303" i="23"/>
  <c r="AS304" i="23"/>
  <c r="AE305" i="23"/>
  <c r="AD306" i="23"/>
  <c r="AO304" i="23"/>
  <c r="AN305" i="23"/>
  <c r="S37" i="71"/>
  <c r="R38" i="71"/>
  <c r="EN186" i="40"/>
  <c r="EO185" i="40"/>
  <c r="FM183" i="40"/>
  <c r="FN182" i="40"/>
  <c r="FH185" i="40"/>
  <c r="FI184" i="40"/>
  <c r="FC183" i="40"/>
  <c r="FD182" i="40"/>
  <c r="EE184" i="40"/>
  <c r="ED185" i="40"/>
  <c r="EI185" i="40"/>
  <c r="EJ184" i="40"/>
  <c r="ET184" i="40"/>
  <c r="ES185" i="40"/>
  <c r="FS185" i="40"/>
  <c r="FR186" i="40"/>
  <c r="EX188" i="40"/>
  <c r="EY187" i="40"/>
  <c r="BC306" i="23"/>
  <c r="BD306" i="23" s="1"/>
  <c r="A148" i="23"/>
  <c r="B147" i="23"/>
  <c r="AJ306" i="23" l="1"/>
  <c r="AI307" i="23"/>
  <c r="AE306" i="23"/>
  <c r="AD307" i="23"/>
  <c r="U308" i="23"/>
  <c r="T309" i="23"/>
  <c r="AY305" i="23"/>
  <c r="AX306" i="23"/>
  <c r="AO305" i="23"/>
  <c r="AN306" i="23"/>
  <c r="AT304" i="23"/>
  <c r="AS305" i="23"/>
  <c r="Z308" i="23"/>
  <c r="Y309" i="23"/>
  <c r="S38" i="71"/>
  <c r="R39" i="71"/>
  <c r="EI186" i="40"/>
  <c r="EJ185" i="40"/>
  <c r="FD183" i="40"/>
  <c r="FC184" i="40"/>
  <c r="FM184" i="40"/>
  <c r="FN183" i="40"/>
  <c r="FR187" i="40"/>
  <c r="FS186" i="40"/>
  <c r="ET185" i="40"/>
  <c r="ES186" i="40"/>
  <c r="ED186" i="40"/>
  <c r="EE185" i="40"/>
  <c r="EX189" i="40"/>
  <c r="EY188" i="40"/>
  <c r="FH186" i="40"/>
  <c r="FI185" i="40"/>
  <c r="EN187" i="40"/>
  <c r="EO186" i="40"/>
  <c r="BC307" i="23"/>
  <c r="BD307" i="23" s="1"/>
  <c r="B148" i="23"/>
  <c r="A149" i="23"/>
  <c r="AJ307" i="23" l="1"/>
  <c r="AI308" i="23"/>
  <c r="AO306" i="23"/>
  <c r="AN307" i="23"/>
  <c r="U309" i="23"/>
  <c r="T310" i="23"/>
  <c r="Z309" i="23"/>
  <c r="Y310" i="23"/>
  <c r="AT305" i="23"/>
  <c r="AS306" i="23"/>
  <c r="AY306" i="23"/>
  <c r="AX307" i="23"/>
  <c r="AE307" i="23"/>
  <c r="AD308" i="23"/>
  <c r="S39" i="71"/>
  <c r="R40" i="71"/>
  <c r="FD184" i="40"/>
  <c r="FC185" i="40"/>
  <c r="FH187" i="40"/>
  <c r="FI186" i="40"/>
  <c r="ED187" i="40"/>
  <c r="EE186" i="40"/>
  <c r="FS187" i="40"/>
  <c r="FR188" i="40"/>
  <c r="ET186" i="40"/>
  <c r="ES187" i="40"/>
  <c r="EN188" i="40"/>
  <c r="EO187" i="40"/>
  <c r="EX190" i="40"/>
  <c r="EY189" i="40"/>
  <c r="FM185" i="40"/>
  <c r="FN184" i="40"/>
  <c r="EI187" i="40"/>
  <c r="EJ186" i="40"/>
  <c r="BC308" i="23"/>
  <c r="BD308" i="23" s="1"/>
  <c r="B149" i="23"/>
  <c r="A150" i="23"/>
  <c r="AJ308" i="23" l="1"/>
  <c r="AI309" i="23"/>
  <c r="AY307" i="23"/>
  <c r="AX308" i="23"/>
  <c r="Z310" i="23"/>
  <c r="Y311" i="23"/>
  <c r="Z311" i="23" s="1"/>
  <c r="AO307" i="23"/>
  <c r="AN308" i="23"/>
  <c r="AE308" i="23"/>
  <c r="AD309" i="23"/>
  <c r="AT306" i="23"/>
  <c r="AS307" i="23"/>
  <c r="U310" i="23"/>
  <c r="T311" i="23"/>
  <c r="U311" i="23" s="1"/>
  <c r="S40" i="71"/>
  <c r="R41" i="71"/>
  <c r="FM186" i="40"/>
  <c r="FN185" i="40"/>
  <c r="EO188" i="40"/>
  <c r="EN189" i="40"/>
  <c r="FH188" i="40"/>
  <c r="FI187" i="40"/>
  <c r="ET187" i="40"/>
  <c r="ES188" i="40"/>
  <c r="FD185" i="40"/>
  <c r="FC186" i="40"/>
  <c r="FS188" i="40"/>
  <c r="FR189" i="40"/>
  <c r="EJ187" i="40"/>
  <c r="EI188" i="40"/>
  <c r="EX191" i="40"/>
  <c r="EY190" i="40"/>
  <c r="EE187" i="40"/>
  <c r="ED188" i="40"/>
  <c r="BC309" i="23"/>
  <c r="BD309" i="23" s="1"/>
  <c r="A151" i="23"/>
  <c r="B150" i="23"/>
  <c r="AJ309" i="23" l="1"/>
  <c r="AI310" i="23"/>
  <c r="AE309" i="23"/>
  <c r="AD310" i="23"/>
  <c r="AT307" i="23"/>
  <c r="AS308" i="23"/>
  <c r="AO308" i="23"/>
  <c r="AN309" i="23"/>
  <c r="AY308" i="23"/>
  <c r="AX309" i="23"/>
  <c r="S41" i="71"/>
  <c r="R42" i="71"/>
  <c r="FS189" i="40"/>
  <c r="FR190" i="40"/>
  <c r="EO189" i="40"/>
  <c r="EN190" i="40"/>
  <c r="EX192" i="40"/>
  <c r="EY191" i="40"/>
  <c r="ES189" i="40"/>
  <c r="ET188" i="40"/>
  <c r="EE188" i="40"/>
  <c r="ED189" i="40"/>
  <c r="EJ188" i="40"/>
  <c r="EI189" i="40"/>
  <c r="FD186" i="40"/>
  <c r="FC187" i="40"/>
  <c r="FH189" i="40"/>
  <c r="FI188" i="40"/>
  <c r="FM187" i="40"/>
  <c r="FN186" i="40"/>
  <c r="BC310" i="23"/>
  <c r="BD310" i="23" s="1"/>
  <c r="A152" i="23"/>
  <c r="B151" i="23"/>
  <c r="AJ310" i="23" l="1"/>
  <c r="AI311" i="23"/>
  <c r="AJ311" i="23" s="1"/>
  <c r="AY309" i="23"/>
  <c r="AX310" i="23"/>
  <c r="AT308" i="23"/>
  <c r="AS309" i="23"/>
  <c r="AO309" i="23"/>
  <c r="AN310" i="23"/>
  <c r="AE310" i="23"/>
  <c r="AD311" i="23"/>
  <c r="AE311" i="23" s="1"/>
  <c r="S42" i="71"/>
  <c r="R43" i="71"/>
  <c r="EN191" i="40"/>
  <c r="EO190" i="40"/>
  <c r="FH190" i="40"/>
  <c r="FI189" i="40"/>
  <c r="ET189" i="40"/>
  <c r="ES190" i="40"/>
  <c r="EI190" i="40"/>
  <c r="EJ189" i="40"/>
  <c r="FD187" i="40"/>
  <c r="FC188" i="40"/>
  <c r="ED190" i="40"/>
  <c r="EE189" i="40"/>
  <c r="FS190" i="40"/>
  <c r="FR191" i="40"/>
  <c r="FM188" i="40"/>
  <c r="FN187" i="40"/>
  <c r="EX193" i="40"/>
  <c r="EY192" i="40"/>
  <c r="BC311" i="23"/>
  <c r="BD311" i="23" s="1"/>
  <c r="B152" i="23"/>
  <c r="A153" i="23"/>
  <c r="AT309" i="23" l="1"/>
  <c r="AS310" i="23"/>
  <c r="AO310" i="23"/>
  <c r="AN311" i="23"/>
  <c r="AO311" i="23" s="1"/>
  <c r="AY310" i="23"/>
  <c r="AX311" i="23"/>
  <c r="AY311" i="23" s="1"/>
  <c r="S43" i="71"/>
  <c r="R44" i="71"/>
  <c r="FM189" i="40"/>
  <c r="FN188" i="40"/>
  <c r="EE190" i="40"/>
  <c r="ED191" i="40"/>
  <c r="EJ190" i="40"/>
  <c r="EI191" i="40"/>
  <c r="FH191" i="40"/>
  <c r="FI190" i="40"/>
  <c r="FS191" i="40"/>
  <c r="FR192" i="40"/>
  <c r="FC189" i="40"/>
  <c r="FD188" i="40"/>
  <c r="ES191" i="40"/>
  <c r="ET190" i="40"/>
  <c r="EX194" i="40"/>
  <c r="EY193" i="40"/>
  <c r="EN192" i="40"/>
  <c r="EO191" i="40"/>
  <c r="B153" i="23"/>
  <c r="A154" i="23"/>
  <c r="AT310" i="23" l="1"/>
  <c r="AS311" i="23"/>
  <c r="AT311" i="23" s="1"/>
  <c r="S44" i="71"/>
  <c r="R45" i="71"/>
  <c r="EE191" i="40"/>
  <c r="ED192" i="40"/>
  <c r="EX195" i="40"/>
  <c r="EY194" i="40"/>
  <c r="FD189" i="40"/>
  <c r="FC190" i="40"/>
  <c r="FH192" i="40"/>
  <c r="FI191" i="40"/>
  <c r="FS192" i="40"/>
  <c r="FR193" i="40"/>
  <c r="EI192" i="40"/>
  <c r="EJ191" i="40"/>
  <c r="EN193" i="40"/>
  <c r="EO192" i="40"/>
  <c r="ES192" i="40"/>
  <c r="ET191" i="40"/>
  <c r="FN189" i="40"/>
  <c r="FM190" i="40"/>
  <c r="A155" i="23"/>
  <c r="B154" i="23"/>
  <c r="S45" i="71" l="1"/>
  <c r="R46" i="71"/>
  <c r="ET192" i="40"/>
  <c r="ES193" i="40"/>
  <c r="EJ192" i="40"/>
  <c r="EI193" i="40"/>
  <c r="FH193" i="40"/>
  <c r="FI192" i="40"/>
  <c r="EX196" i="40"/>
  <c r="EY195" i="40"/>
  <c r="FM191" i="40"/>
  <c r="FN190" i="40"/>
  <c r="FS193" i="40"/>
  <c r="FR194" i="40"/>
  <c r="FD190" i="40"/>
  <c r="FC191" i="40"/>
  <c r="EE192" i="40"/>
  <c r="ED193" i="40"/>
  <c r="EO193" i="40"/>
  <c r="EN194" i="40"/>
  <c r="A156" i="23"/>
  <c r="B155" i="23"/>
  <c r="S46" i="71" l="1"/>
  <c r="R47" i="71"/>
  <c r="ED194" i="40"/>
  <c r="EE193" i="40"/>
  <c r="EJ193" i="40"/>
  <c r="EI194" i="40"/>
  <c r="EX197" i="40"/>
  <c r="EY196" i="40"/>
  <c r="EN195" i="40"/>
  <c r="EO194" i="40"/>
  <c r="FD191" i="40"/>
  <c r="FC192" i="40"/>
  <c r="ET193" i="40"/>
  <c r="ES194" i="40"/>
  <c r="FS194" i="40"/>
  <c r="FR195" i="40"/>
  <c r="FM192" i="40"/>
  <c r="FN191" i="40"/>
  <c r="FH194" i="40"/>
  <c r="FI193" i="40"/>
  <c r="B156" i="23"/>
  <c r="A157" i="23"/>
  <c r="S47" i="71" l="1"/>
  <c r="R48" i="71"/>
  <c r="ET194" i="40"/>
  <c r="ES195" i="40"/>
  <c r="EI195" i="40"/>
  <c r="EJ194" i="40"/>
  <c r="FM193" i="40"/>
  <c r="FN192" i="40"/>
  <c r="EN196" i="40"/>
  <c r="EO195" i="40"/>
  <c r="FS195" i="40"/>
  <c r="FR196" i="40"/>
  <c r="FD192" i="40"/>
  <c r="FC193" i="40"/>
  <c r="FH195" i="40"/>
  <c r="FI194" i="40"/>
  <c r="EX198" i="40"/>
  <c r="EY197" i="40"/>
  <c r="ED195" i="40"/>
  <c r="EE194" i="40"/>
  <c r="B157" i="23"/>
  <c r="A158" i="23"/>
  <c r="S48" i="71" l="1"/>
  <c r="R49" i="71"/>
  <c r="EX199" i="40"/>
  <c r="EY198" i="40"/>
  <c r="EN197" i="40"/>
  <c r="EO196" i="40"/>
  <c r="EJ195" i="40"/>
  <c r="EI196" i="40"/>
  <c r="FS196" i="40"/>
  <c r="FR197" i="40"/>
  <c r="ES196" i="40"/>
  <c r="ET195" i="40"/>
  <c r="FD193" i="40"/>
  <c r="FC194" i="40"/>
  <c r="EE195" i="40"/>
  <c r="ED196" i="40"/>
  <c r="FH196" i="40"/>
  <c r="FI195" i="40"/>
  <c r="FM194" i="40"/>
  <c r="FN193" i="40"/>
  <c r="A159" i="23"/>
  <c r="B158" i="23"/>
  <c r="R50" i="71" l="1"/>
  <c r="S49" i="71"/>
  <c r="FH197" i="40"/>
  <c r="FI196" i="40"/>
  <c r="EN198" i="40"/>
  <c r="EO197" i="40"/>
  <c r="FD194" i="40"/>
  <c r="FC195" i="40"/>
  <c r="ED197" i="40"/>
  <c r="EE196" i="40"/>
  <c r="EI197" i="40"/>
  <c r="EJ196" i="40"/>
  <c r="FR198" i="40"/>
  <c r="FS197" i="40"/>
  <c r="FM195" i="40"/>
  <c r="FN194" i="40"/>
  <c r="ET196" i="40"/>
  <c r="ES197" i="40"/>
  <c r="EX200" i="40"/>
  <c r="EY199" i="40"/>
  <c r="A160" i="23"/>
  <c r="B159" i="23"/>
  <c r="R51" i="71" l="1"/>
  <c r="S50" i="71"/>
  <c r="FS198" i="40"/>
  <c r="FR199" i="40"/>
  <c r="EE197" i="40"/>
  <c r="ED198" i="40"/>
  <c r="EO198" i="40"/>
  <c r="EN199" i="40"/>
  <c r="FD195" i="40"/>
  <c r="FC196" i="40"/>
  <c r="ES198" i="40"/>
  <c r="ET197" i="40"/>
  <c r="EX201" i="40"/>
  <c r="EY200" i="40"/>
  <c r="FM196" i="40"/>
  <c r="FN195" i="40"/>
  <c r="EJ197" i="40"/>
  <c r="EI198" i="40"/>
  <c r="FH198" i="40"/>
  <c r="FI197" i="40"/>
  <c r="A161" i="23"/>
  <c r="B160" i="23"/>
  <c r="R52" i="71" l="1"/>
  <c r="S51" i="71"/>
  <c r="ED199" i="40"/>
  <c r="EE198" i="40"/>
  <c r="EX202" i="40"/>
  <c r="EY201" i="40"/>
  <c r="EI199" i="40"/>
  <c r="EJ198" i="40"/>
  <c r="EN200" i="40"/>
  <c r="EO199" i="40"/>
  <c r="FS199" i="40"/>
  <c r="FR200" i="40"/>
  <c r="FD196" i="40"/>
  <c r="FC197" i="40"/>
  <c r="FH199" i="40"/>
  <c r="FI198" i="40"/>
  <c r="FN196" i="40"/>
  <c r="FM197" i="40"/>
  <c r="ET198" i="40"/>
  <c r="ES199" i="40"/>
  <c r="B161" i="23"/>
  <c r="A162" i="23"/>
  <c r="S52" i="71" l="1"/>
  <c r="R53" i="71"/>
  <c r="FD197" i="40"/>
  <c r="FC198" i="40"/>
  <c r="EN201" i="40"/>
  <c r="EO200" i="40"/>
  <c r="EX203" i="40"/>
  <c r="EY202" i="40"/>
  <c r="FM198" i="40"/>
  <c r="FN197" i="40"/>
  <c r="ES200" i="40"/>
  <c r="ET199" i="40"/>
  <c r="FS200" i="40"/>
  <c r="FR201" i="40"/>
  <c r="FH200" i="40"/>
  <c r="FI199" i="40"/>
  <c r="EI200" i="40"/>
  <c r="EJ199" i="40"/>
  <c r="EE199" i="40"/>
  <c r="ED200" i="40"/>
  <c r="B162" i="23"/>
  <c r="A163" i="23"/>
  <c r="R54" i="71" l="1"/>
  <c r="S53" i="71"/>
  <c r="EI201" i="40"/>
  <c r="EJ200" i="40"/>
  <c r="FM199" i="40"/>
  <c r="FN198" i="40"/>
  <c r="EO201" i="40"/>
  <c r="EN202" i="40"/>
  <c r="FS201" i="40"/>
  <c r="FR202" i="40"/>
  <c r="ED201" i="40"/>
  <c r="EE200" i="40"/>
  <c r="FC199" i="40"/>
  <c r="FD198" i="40"/>
  <c r="FH201" i="40"/>
  <c r="FI200" i="40"/>
  <c r="ES201" i="40"/>
  <c r="ET200" i="40"/>
  <c r="EX204" i="40"/>
  <c r="EY203" i="40"/>
  <c r="A164" i="23"/>
  <c r="B163" i="23"/>
  <c r="R55" i="71" l="1"/>
  <c r="S54" i="71"/>
  <c r="ES202" i="40"/>
  <c r="ET201" i="40"/>
  <c r="FD199" i="40"/>
  <c r="FC200" i="40"/>
  <c r="FM200" i="40"/>
  <c r="FN199" i="40"/>
  <c r="FR203" i="40"/>
  <c r="FS202" i="40"/>
  <c r="EN203" i="40"/>
  <c r="EO202" i="40"/>
  <c r="EX205" i="40"/>
  <c r="EY204" i="40"/>
  <c r="FH202" i="40"/>
  <c r="FI201" i="40"/>
  <c r="ED202" i="40"/>
  <c r="EE201" i="40"/>
  <c r="EI202" i="40"/>
  <c r="EJ201" i="40"/>
  <c r="A165" i="23"/>
  <c r="B164" i="23"/>
  <c r="S55" i="71" l="1"/>
  <c r="R56" i="71"/>
  <c r="FD200" i="40"/>
  <c r="FC201" i="40"/>
  <c r="ED203" i="40"/>
  <c r="EE202" i="40"/>
  <c r="EX206" i="40"/>
  <c r="EY205" i="40"/>
  <c r="FS203" i="40"/>
  <c r="FR204" i="40"/>
  <c r="EJ202" i="40"/>
  <c r="EI203" i="40"/>
  <c r="FH203" i="40"/>
  <c r="FI202" i="40"/>
  <c r="EO203" i="40"/>
  <c r="EN204" i="40"/>
  <c r="FM201" i="40"/>
  <c r="FN200" i="40"/>
  <c r="ET202" i="40"/>
  <c r="ES203" i="40"/>
  <c r="B165" i="23"/>
  <c r="A166" i="23"/>
  <c r="R57" i="71" l="1"/>
  <c r="S56" i="71"/>
  <c r="FM202" i="40"/>
  <c r="FN201" i="40"/>
  <c r="FH204" i="40"/>
  <c r="FI203" i="40"/>
  <c r="EE203" i="40"/>
  <c r="ED204" i="40"/>
  <c r="FR205" i="40"/>
  <c r="FS204" i="40"/>
  <c r="ES204" i="40"/>
  <c r="ET203" i="40"/>
  <c r="EN205" i="40"/>
  <c r="EO204" i="40"/>
  <c r="EI204" i="40"/>
  <c r="EJ203" i="40"/>
  <c r="FD201" i="40"/>
  <c r="FC202" i="40"/>
  <c r="EX207" i="40"/>
  <c r="EY206" i="40"/>
  <c r="B166" i="23"/>
  <c r="A167" i="23"/>
  <c r="R58" i="71" l="1"/>
  <c r="S57" i="71"/>
  <c r="EO205" i="40"/>
  <c r="EN206" i="40"/>
  <c r="FS205" i="40"/>
  <c r="FR206" i="40"/>
  <c r="FH205" i="40"/>
  <c r="FI204" i="40"/>
  <c r="FD202" i="40"/>
  <c r="FC203" i="40"/>
  <c r="EE204" i="40"/>
  <c r="ED205" i="40"/>
  <c r="EX208" i="40"/>
  <c r="EY207" i="40"/>
  <c r="EI205" i="40"/>
  <c r="EJ204" i="40"/>
  <c r="ET204" i="40"/>
  <c r="ES205" i="40"/>
  <c r="FM203" i="40"/>
  <c r="FN202" i="40"/>
  <c r="A168" i="23"/>
  <c r="B167" i="23"/>
  <c r="R59" i="71" l="1"/>
  <c r="S58" i="71"/>
  <c r="ET205" i="40"/>
  <c r="ES206" i="40"/>
  <c r="FS206" i="40"/>
  <c r="FR207" i="40"/>
  <c r="EX209" i="40"/>
  <c r="EY208" i="40"/>
  <c r="ED206" i="40"/>
  <c r="EE205" i="40"/>
  <c r="EN207" i="40"/>
  <c r="EO206" i="40"/>
  <c r="FC204" i="40"/>
  <c r="FD203" i="40"/>
  <c r="FM204" i="40"/>
  <c r="FN203" i="40"/>
  <c r="EJ205" i="40"/>
  <c r="EI206" i="40"/>
  <c r="FH206" i="40"/>
  <c r="FI205" i="40"/>
  <c r="A169" i="23"/>
  <c r="B168" i="23"/>
  <c r="S59" i="71" l="1"/>
  <c r="R60" i="71"/>
  <c r="FS207" i="40"/>
  <c r="FR208" i="40"/>
  <c r="FD204" i="40"/>
  <c r="FC205" i="40"/>
  <c r="ED207" i="40"/>
  <c r="EE206" i="40"/>
  <c r="ET206" i="40"/>
  <c r="ES207" i="40"/>
  <c r="EI207" i="40"/>
  <c r="EJ206" i="40"/>
  <c r="FH207" i="40"/>
  <c r="FI206" i="40"/>
  <c r="FM205" i="40"/>
  <c r="FN204" i="40"/>
  <c r="EN208" i="40"/>
  <c r="EO207" i="40"/>
  <c r="EX210" i="40"/>
  <c r="EY209" i="40"/>
  <c r="B169" i="23"/>
  <c r="A170" i="23"/>
  <c r="R61" i="71" l="1"/>
  <c r="S60" i="71"/>
  <c r="FC206" i="40"/>
  <c r="FD205" i="40"/>
  <c r="EO208" i="40"/>
  <c r="EN209" i="40"/>
  <c r="FH208" i="40"/>
  <c r="FI207" i="40"/>
  <c r="ET207" i="40"/>
  <c r="ES208" i="40"/>
  <c r="FS208" i="40"/>
  <c r="FR209" i="40"/>
  <c r="EX211" i="40"/>
  <c r="EY210" i="40"/>
  <c r="FM206" i="40"/>
  <c r="FN205" i="40"/>
  <c r="EJ207" i="40"/>
  <c r="EI208" i="40"/>
  <c r="ED208" i="40"/>
  <c r="EE207" i="40"/>
  <c r="B170" i="23"/>
  <c r="A171" i="23"/>
  <c r="S61" i="71" l="1"/>
  <c r="R62" i="71"/>
  <c r="EO209" i="40"/>
  <c r="EN210" i="40"/>
  <c r="EX212" i="40"/>
  <c r="EY211" i="40"/>
  <c r="EJ208" i="40"/>
  <c r="EI209" i="40"/>
  <c r="ET208" i="40"/>
  <c r="ES209" i="40"/>
  <c r="FS209" i="40"/>
  <c r="FR210" i="40"/>
  <c r="ED209" i="40"/>
  <c r="EE208" i="40"/>
  <c r="FM207" i="40"/>
  <c r="FN206" i="40"/>
  <c r="FH209" i="40"/>
  <c r="FI208" i="40"/>
  <c r="FC207" i="40"/>
  <c r="FD206" i="40"/>
  <c r="A172" i="23"/>
  <c r="B171" i="23"/>
  <c r="S62" i="71" l="1"/>
  <c r="R63" i="71"/>
  <c r="ET209" i="40"/>
  <c r="ES210" i="40"/>
  <c r="FH210" i="40"/>
  <c r="FI209" i="40"/>
  <c r="EX213" i="40"/>
  <c r="EY212" i="40"/>
  <c r="FS210" i="40"/>
  <c r="FR211" i="40"/>
  <c r="EI210" i="40"/>
  <c r="EJ209" i="40"/>
  <c r="EO210" i="40"/>
  <c r="EN211" i="40"/>
  <c r="EE209" i="40"/>
  <c r="ED210" i="40"/>
  <c r="FC208" i="40"/>
  <c r="FD207" i="40"/>
  <c r="FM208" i="40"/>
  <c r="FN207" i="40"/>
  <c r="A173" i="23"/>
  <c r="B172" i="23"/>
  <c r="S63" i="71" l="1"/>
  <c r="R64" i="71"/>
  <c r="FI210" i="40"/>
  <c r="FH211" i="40"/>
  <c r="EN212" i="40"/>
  <c r="EO211" i="40"/>
  <c r="FS211" i="40"/>
  <c r="FR212" i="40"/>
  <c r="FC209" i="40"/>
  <c r="FD208" i="40"/>
  <c r="ED211" i="40"/>
  <c r="EE210" i="40"/>
  <c r="ET210" i="40"/>
  <c r="ES211" i="40"/>
  <c r="FM209" i="40"/>
  <c r="FN208" i="40"/>
  <c r="EI211" i="40"/>
  <c r="EJ210" i="40"/>
  <c r="EY213" i="40"/>
  <c r="EX214" i="40"/>
  <c r="A174" i="23"/>
  <c r="B173" i="23"/>
  <c r="R65" i="71" l="1"/>
  <c r="S64" i="71"/>
  <c r="EJ211" i="40"/>
  <c r="EI212" i="40"/>
  <c r="FC210" i="40"/>
  <c r="FD209" i="40"/>
  <c r="EO212" i="40"/>
  <c r="EN213" i="40"/>
  <c r="ES212" i="40"/>
  <c r="ET211" i="40"/>
  <c r="EX215" i="40"/>
  <c r="EY214" i="40"/>
  <c r="FS212" i="40"/>
  <c r="FR213" i="40"/>
  <c r="FH212" i="40"/>
  <c r="FI211" i="40"/>
  <c r="FM210" i="40"/>
  <c r="FN209" i="40"/>
  <c r="ED212" i="40"/>
  <c r="EE211" i="40"/>
  <c r="A175" i="23"/>
  <c r="B174" i="23"/>
  <c r="R66" i="71" l="1"/>
  <c r="S65" i="71"/>
  <c r="FS213" i="40"/>
  <c r="FR214" i="40"/>
  <c r="FM211" i="40"/>
  <c r="FN210" i="40"/>
  <c r="ES213" i="40"/>
  <c r="ET212" i="40"/>
  <c r="FC211" i="40"/>
  <c r="FD210" i="40"/>
  <c r="EN214" i="40"/>
  <c r="EO213" i="40"/>
  <c r="EI213" i="40"/>
  <c r="EJ212" i="40"/>
  <c r="ED213" i="40"/>
  <c r="EE212" i="40"/>
  <c r="FI212" i="40"/>
  <c r="FH213" i="40"/>
  <c r="EX216" i="40"/>
  <c r="EY215" i="40"/>
  <c r="A176" i="23"/>
  <c r="B175" i="23"/>
  <c r="R67" i="71" l="1"/>
  <c r="S66" i="71"/>
  <c r="EI214" i="40"/>
  <c r="EJ213" i="40"/>
  <c r="FC212" i="40"/>
  <c r="FD211" i="40"/>
  <c r="FM212" i="40"/>
  <c r="FN211" i="40"/>
  <c r="FS214" i="40"/>
  <c r="FR215" i="40"/>
  <c r="FI213" i="40"/>
  <c r="FH214" i="40"/>
  <c r="EY216" i="40"/>
  <c r="EX217" i="40"/>
  <c r="EE213" i="40"/>
  <c r="ED214" i="40"/>
  <c r="EO214" i="40"/>
  <c r="EN215" i="40"/>
  <c r="ET213" i="40"/>
  <c r="ES214" i="40"/>
  <c r="A177" i="23"/>
  <c r="B176" i="23"/>
  <c r="R68" i="71" l="1"/>
  <c r="S67" i="71"/>
  <c r="FC213" i="40"/>
  <c r="FD212" i="40"/>
  <c r="EN216" i="40"/>
  <c r="EO215" i="40"/>
  <c r="FS215" i="40"/>
  <c r="FR216" i="40"/>
  <c r="ET214" i="40"/>
  <c r="ES215" i="40"/>
  <c r="ED215" i="40"/>
  <c r="EE214" i="40"/>
  <c r="FH215" i="40"/>
  <c r="FI214" i="40"/>
  <c r="EX218" i="40"/>
  <c r="EY217" i="40"/>
  <c r="FM213" i="40"/>
  <c r="FN212" i="40"/>
  <c r="EI215" i="40"/>
  <c r="EJ214" i="40"/>
  <c r="A178" i="23"/>
  <c r="B177" i="23"/>
  <c r="S68" i="71" l="1"/>
  <c r="R69" i="71"/>
  <c r="FM214" i="40"/>
  <c r="FN213" i="40"/>
  <c r="EO216" i="40"/>
  <c r="EN217" i="40"/>
  <c r="ET215" i="40"/>
  <c r="ES216" i="40"/>
  <c r="FS216" i="40"/>
  <c r="FR217" i="40"/>
  <c r="FI215" i="40"/>
  <c r="FH216" i="40"/>
  <c r="EJ215" i="40"/>
  <c r="EI216" i="40"/>
  <c r="EY218" i="40"/>
  <c r="EX219" i="40"/>
  <c r="ED216" i="40"/>
  <c r="EE215" i="40"/>
  <c r="FC214" i="40"/>
  <c r="FD213" i="40"/>
  <c r="B178" i="23"/>
  <c r="A179" i="23"/>
  <c r="R70" i="71" l="1"/>
  <c r="S69" i="71"/>
  <c r="EO217" i="40"/>
  <c r="EN218" i="40"/>
  <c r="EE216" i="40"/>
  <c r="ED217" i="40"/>
  <c r="FS217" i="40"/>
  <c r="FR218" i="40"/>
  <c r="EX220" i="40"/>
  <c r="EY219" i="40"/>
  <c r="FH217" i="40"/>
  <c r="FI216" i="40"/>
  <c r="ES217" i="40"/>
  <c r="ET216" i="40"/>
  <c r="EI217" i="40"/>
  <c r="EJ216" i="40"/>
  <c r="FC215" i="40"/>
  <c r="FD214" i="40"/>
  <c r="FM215" i="40"/>
  <c r="FN214" i="40"/>
  <c r="A180" i="23"/>
  <c r="B179" i="23"/>
  <c r="S70" i="71" l="1"/>
  <c r="R71" i="71"/>
  <c r="EE217" i="40"/>
  <c r="ED218" i="40"/>
  <c r="FC216" i="40"/>
  <c r="FD215" i="40"/>
  <c r="ET217" i="40"/>
  <c r="ES218" i="40"/>
  <c r="EY220" i="40"/>
  <c r="EX221" i="40"/>
  <c r="FS218" i="40"/>
  <c r="FR219" i="40"/>
  <c r="EN219" i="40"/>
  <c r="EO218" i="40"/>
  <c r="FM216" i="40"/>
  <c r="FN215" i="40"/>
  <c r="EI218" i="40"/>
  <c r="EJ217" i="40"/>
  <c r="FI217" i="40"/>
  <c r="FH218" i="40"/>
  <c r="A181" i="23"/>
  <c r="B180" i="23"/>
  <c r="R72" i="71" l="1"/>
  <c r="S71" i="71"/>
  <c r="EJ218" i="40"/>
  <c r="EI219" i="40"/>
  <c r="EN220" i="40"/>
  <c r="EO219" i="40"/>
  <c r="FC217" i="40"/>
  <c r="FD216" i="40"/>
  <c r="EY221" i="40"/>
  <c r="EX222" i="40"/>
  <c r="FI218" i="40"/>
  <c r="FH219" i="40"/>
  <c r="FS219" i="40"/>
  <c r="FR220" i="40"/>
  <c r="ET218" i="40"/>
  <c r="ES219" i="40"/>
  <c r="ED219" i="40"/>
  <c r="EE218" i="40"/>
  <c r="FM217" i="40"/>
  <c r="FN216" i="40"/>
  <c r="B181" i="23"/>
  <c r="A182" i="23"/>
  <c r="R73" i="71" l="1"/>
  <c r="S72" i="71"/>
  <c r="ED220" i="40"/>
  <c r="EE219" i="40"/>
  <c r="EO220" i="40"/>
  <c r="EN221" i="40"/>
  <c r="EX223" i="40"/>
  <c r="EY222" i="40"/>
  <c r="ES220" i="40"/>
  <c r="ET219" i="40"/>
  <c r="FH220" i="40"/>
  <c r="FI219" i="40"/>
  <c r="EI220" i="40"/>
  <c r="EJ219" i="40"/>
  <c r="FS220" i="40"/>
  <c r="FR221" i="40"/>
  <c r="FM218" i="40"/>
  <c r="FN217" i="40"/>
  <c r="FC218" i="40"/>
  <c r="FD217" i="40"/>
  <c r="A183" i="23"/>
  <c r="B182" i="23"/>
  <c r="R74" i="71" l="1"/>
  <c r="S73" i="71"/>
  <c r="EO221" i="40"/>
  <c r="EN222" i="40"/>
  <c r="FM219" i="40"/>
  <c r="FN218" i="40"/>
  <c r="EJ220" i="40"/>
  <c r="EI221" i="40"/>
  <c r="ET220" i="40"/>
  <c r="ES221" i="40"/>
  <c r="FS221" i="40"/>
  <c r="FR222" i="40"/>
  <c r="FC219" i="40"/>
  <c r="FD218" i="40"/>
  <c r="FH221" i="40"/>
  <c r="FI220" i="40"/>
  <c r="EX224" i="40"/>
  <c r="EY223" i="40"/>
  <c r="EE220" i="40"/>
  <c r="ED221" i="40"/>
  <c r="A184" i="23"/>
  <c r="B183" i="23"/>
  <c r="R75" i="71" l="1"/>
  <c r="S74" i="71"/>
  <c r="EX225" i="40"/>
  <c r="EY224" i="40"/>
  <c r="FC220" i="40"/>
  <c r="FD219" i="40"/>
  <c r="FM220" i="40"/>
  <c r="FN219" i="40"/>
  <c r="ET221" i="40"/>
  <c r="ES222" i="40"/>
  <c r="EE221" i="40"/>
  <c r="ED222" i="40"/>
  <c r="FS222" i="40"/>
  <c r="FR223" i="40"/>
  <c r="EJ221" i="40"/>
  <c r="EI222" i="40"/>
  <c r="EN223" i="40"/>
  <c r="EO222" i="40"/>
  <c r="FH222" i="40"/>
  <c r="FI221" i="40"/>
  <c r="B184" i="23"/>
  <c r="A185" i="23"/>
  <c r="R76" i="71" l="1"/>
  <c r="S75" i="71"/>
  <c r="EN224" i="40"/>
  <c r="EO223" i="40"/>
  <c r="FC221" i="40"/>
  <c r="FD220" i="40"/>
  <c r="FS223" i="40"/>
  <c r="FR224" i="40"/>
  <c r="ES223" i="40"/>
  <c r="ET222" i="40"/>
  <c r="EI223" i="40"/>
  <c r="EJ222" i="40"/>
  <c r="ED223" i="40"/>
  <c r="EE222" i="40"/>
  <c r="FH223" i="40"/>
  <c r="FI222" i="40"/>
  <c r="FM221" i="40"/>
  <c r="FN220" i="40"/>
  <c r="EX226" i="40"/>
  <c r="EY225" i="40"/>
  <c r="B185" i="23"/>
  <c r="A186" i="23"/>
  <c r="R77" i="71" l="1"/>
  <c r="S76" i="71"/>
  <c r="FM222" i="40"/>
  <c r="FN221" i="40"/>
  <c r="ED224" i="40"/>
  <c r="EE223" i="40"/>
  <c r="ES224" i="40"/>
  <c r="ET223" i="40"/>
  <c r="FC222" i="40"/>
  <c r="FD221" i="40"/>
  <c r="FS224" i="40"/>
  <c r="FR225" i="40"/>
  <c r="EX227" i="40"/>
  <c r="EY226" i="40"/>
  <c r="FH224" i="40"/>
  <c r="FI223" i="40"/>
  <c r="EJ223" i="40"/>
  <c r="EI224" i="40"/>
  <c r="EN225" i="40"/>
  <c r="EO224" i="40"/>
  <c r="B186" i="23"/>
  <c r="A187" i="23"/>
  <c r="R78" i="71" l="1"/>
  <c r="S77" i="71"/>
  <c r="EY227" i="40"/>
  <c r="EX228" i="40"/>
  <c r="FC223" i="40"/>
  <c r="FD222" i="40"/>
  <c r="ED225" i="40"/>
  <c r="EE224" i="40"/>
  <c r="FS225" i="40"/>
  <c r="FR226" i="40"/>
  <c r="EJ224" i="40"/>
  <c r="EI225" i="40"/>
  <c r="EN226" i="40"/>
  <c r="EO225" i="40"/>
  <c r="FI224" i="40"/>
  <c r="FH225" i="40"/>
  <c r="ET224" i="40"/>
  <c r="ES225" i="40"/>
  <c r="FM223" i="40"/>
  <c r="FN222" i="40"/>
  <c r="A188" i="23"/>
  <c r="B187" i="23"/>
  <c r="R79" i="71" l="1"/>
  <c r="S78" i="71"/>
  <c r="EN227" i="40"/>
  <c r="EO226" i="40"/>
  <c r="FC224" i="40"/>
  <c r="FD223" i="40"/>
  <c r="ET225" i="40"/>
  <c r="ES226" i="40"/>
  <c r="FS226" i="40"/>
  <c r="FR227" i="40"/>
  <c r="FI225" i="40"/>
  <c r="FH226" i="40"/>
  <c r="EI226" i="40"/>
  <c r="EJ225" i="40"/>
  <c r="EY228" i="40"/>
  <c r="EX229" i="40"/>
  <c r="FM224" i="40"/>
  <c r="FN223" i="40"/>
  <c r="EE225" i="40"/>
  <c r="ED226" i="40"/>
  <c r="B188" i="23"/>
  <c r="A189" i="23"/>
  <c r="S79" i="71" l="1"/>
  <c r="R80" i="71"/>
  <c r="FM225" i="40"/>
  <c r="FN224" i="40"/>
  <c r="EJ226" i="40"/>
  <c r="EI227" i="40"/>
  <c r="FC225" i="40"/>
  <c r="FD224" i="40"/>
  <c r="FS227" i="40"/>
  <c r="FR228" i="40"/>
  <c r="ED227" i="40"/>
  <c r="EE226" i="40"/>
  <c r="EY229" i="40"/>
  <c r="EX230" i="40"/>
  <c r="FH227" i="40"/>
  <c r="FI226" i="40"/>
  <c r="ES227" i="40"/>
  <c r="ET226" i="40"/>
  <c r="EN228" i="40"/>
  <c r="EO227" i="40"/>
  <c r="B189" i="23"/>
  <c r="A190" i="23"/>
  <c r="S80" i="71" l="1"/>
  <c r="R81" i="71"/>
  <c r="EJ227" i="40"/>
  <c r="EI228" i="40"/>
  <c r="ET227" i="40"/>
  <c r="ES228" i="40"/>
  <c r="EY230" i="40"/>
  <c r="EX231" i="40"/>
  <c r="FS228" i="40"/>
  <c r="FR229" i="40"/>
  <c r="EO228" i="40"/>
  <c r="EN229" i="40"/>
  <c r="FI227" i="40"/>
  <c r="FH228" i="40"/>
  <c r="ED228" i="40"/>
  <c r="EE227" i="40"/>
  <c r="FC226" i="40"/>
  <c r="FD225" i="40"/>
  <c r="FM226" i="40"/>
  <c r="FN225" i="40"/>
  <c r="B190" i="23"/>
  <c r="A191" i="23"/>
  <c r="R82" i="71" l="1"/>
  <c r="S81" i="71"/>
  <c r="FI228" i="40"/>
  <c r="FH229" i="40"/>
  <c r="ET228" i="40"/>
  <c r="ES229" i="40"/>
  <c r="FC227" i="40"/>
  <c r="FD226" i="40"/>
  <c r="FS229" i="40"/>
  <c r="FR230" i="40"/>
  <c r="EN230" i="40"/>
  <c r="EO229" i="40"/>
  <c r="EY231" i="40"/>
  <c r="EX232" i="40"/>
  <c r="EJ228" i="40"/>
  <c r="EI229" i="40"/>
  <c r="FM227" i="40"/>
  <c r="FN226" i="40"/>
  <c r="EE228" i="40"/>
  <c r="ED229" i="40"/>
  <c r="A192" i="23"/>
  <c r="B191" i="23"/>
  <c r="R83" i="71" l="1"/>
  <c r="S82" i="71"/>
  <c r="ES230" i="40"/>
  <c r="ET229" i="40"/>
  <c r="FM228" i="40"/>
  <c r="FN227" i="40"/>
  <c r="FS230" i="40"/>
  <c r="FR231" i="40"/>
  <c r="EE229" i="40"/>
  <c r="ED230" i="40"/>
  <c r="EI230" i="40"/>
  <c r="EJ229" i="40"/>
  <c r="FI229" i="40"/>
  <c r="FH230" i="40"/>
  <c r="EY232" i="40"/>
  <c r="EX233" i="40"/>
  <c r="EN231" i="40"/>
  <c r="EO230" i="40"/>
  <c r="FC228" i="40"/>
  <c r="FD227" i="40"/>
  <c r="A193" i="23"/>
  <c r="B192" i="23"/>
  <c r="R84" i="71" l="1"/>
  <c r="S83" i="71"/>
  <c r="EN232" i="40"/>
  <c r="EO231" i="40"/>
  <c r="FM229" i="40"/>
  <c r="FN228" i="40"/>
  <c r="FH231" i="40"/>
  <c r="FI230" i="40"/>
  <c r="EX234" i="40"/>
  <c r="EY233" i="40"/>
  <c r="FS231" i="40"/>
  <c r="FR232" i="40"/>
  <c r="ED231" i="40"/>
  <c r="EE230" i="40"/>
  <c r="FC229" i="40"/>
  <c r="FD228" i="40"/>
  <c r="EI231" i="40"/>
  <c r="EJ230" i="40"/>
  <c r="ES231" i="40"/>
  <c r="ET230" i="40"/>
  <c r="B193" i="23"/>
  <c r="A194" i="23"/>
  <c r="R85" i="71" l="1"/>
  <c r="S84" i="71"/>
  <c r="EY234" i="40"/>
  <c r="EX235" i="40"/>
  <c r="ED232" i="40"/>
  <c r="EE231" i="40"/>
  <c r="FM230" i="40"/>
  <c r="FN229" i="40"/>
  <c r="FS232" i="40"/>
  <c r="FR233" i="40"/>
  <c r="EI232" i="40"/>
  <c r="EJ231" i="40"/>
  <c r="ES232" i="40"/>
  <c r="ET231" i="40"/>
  <c r="FD229" i="40"/>
  <c r="FC230" i="40"/>
  <c r="FI231" i="40"/>
  <c r="FH232" i="40"/>
  <c r="EN233" i="40"/>
  <c r="EO232" i="40"/>
  <c r="B194" i="23"/>
  <c r="A195" i="23"/>
  <c r="R86" i="71" l="1"/>
  <c r="S85" i="71"/>
  <c r="ET232" i="40"/>
  <c r="ES233" i="40"/>
  <c r="EE232" i="40"/>
  <c r="ED233" i="40"/>
  <c r="FC231" i="40"/>
  <c r="FD230" i="40"/>
  <c r="EX236" i="40"/>
  <c r="EY235" i="40"/>
  <c r="FH233" i="40"/>
  <c r="FI232" i="40"/>
  <c r="FR234" i="40"/>
  <c r="FS233" i="40"/>
  <c r="EN234" i="40"/>
  <c r="EO233" i="40"/>
  <c r="EI233" i="40"/>
  <c r="EJ232" i="40"/>
  <c r="FN230" i="40"/>
  <c r="FM231" i="40"/>
  <c r="B195" i="23"/>
  <c r="A196" i="23"/>
  <c r="R87" i="71" l="1"/>
  <c r="S86" i="71"/>
  <c r="EE233" i="40"/>
  <c r="ED234" i="40"/>
  <c r="EJ233" i="40"/>
  <c r="EI234" i="40"/>
  <c r="FS234" i="40"/>
  <c r="FR235" i="40"/>
  <c r="EX237" i="40"/>
  <c r="EY236" i="40"/>
  <c r="FM232" i="40"/>
  <c r="FN231" i="40"/>
  <c r="ES234" i="40"/>
  <c r="ET233" i="40"/>
  <c r="EN235" i="40"/>
  <c r="EO234" i="40"/>
  <c r="FH234" i="40"/>
  <c r="FI233" i="40"/>
  <c r="FC232" i="40"/>
  <c r="FD231" i="40"/>
  <c r="A197" i="23"/>
  <c r="B196" i="23"/>
  <c r="S87" i="71" l="1"/>
  <c r="R88" i="71"/>
  <c r="EI235" i="40"/>
  <c r="EJ234" i="40"/>
  <c r="FI234" i="40"/>
  <c r="FH235" i="40"/>
  <c r="ET234" i="40"/>
  <c r="ES235" i="40"/>
  <c r="EY237" i="40"/>
  <c r="EX238" i="40"/>
  <c r="FS235" i="40"/>
  <c r="FR236" i="40"/>
  <c r="ED235" i="40"/>
  <c r="EE234" i="40"/>
  <c r="FD232" i="40"/>
  <c r="FC233" i="40"/>
  <c r="EN236" i="40"/>
  <c r="EO235" i="40"/>
  <c r="FM233" i="40"/>
  <c r="FN232" i="40"/>
  <c r="B197" i="23"/>
  <c r="A198" i="23"/>
  <c r="R89" i="71" l="1"/>
  <c r="S88" i="71"/>
  <c r="EY238" i="40"/>
  <c r="EX239" i="40"/>
  <c r="FI235" i="40"/>
  <c r="FH236" i="40"/>
  <c r="EO236" i="40"/>
  <c r="EN237" i="40"/>
  <c r="EE235" i="40"/>
  <c r="ED236" i="40"/>
  <c r="FC234" i="40"/>
  <c r="FD233" i="40"/>
  <c r="FR237" i="40"/>
  <c r="FS236" i="40"/>
  <c r="ET235" i="40"/>
  <c r="ES236" i="40"/>
  <c r="FM234" i="40"/>
  <c r="FN233" i="40"/>
  <c r="EI236" i="40"/>
  <c r="EJ235" i="40"/>
  <c r="A199" i="23"/>
  <c r="B198" i="23"/>
  <c r="R90" i="71" l="1"/>
  <c r="S89" i="71"/>
  <c r="FM235" i="40"/>
  <c r="FN234" i="40"/>
  <c r="FS237" i="40"/>
  <c r="FR238" i="40"/>
  <c r="EJ236" i="40"/>
  <c r="EI237" i="40"/>
  <c r="EE236" i="40"/>
  <c r="ED237" i="40"/>
  <c r="FH237" i="40"/>
  <c r="FI236" i="40"/>
  <c r="ET236" i="40"/>
  <c r="ES237" i="40"/>
  <c r="EN238" i="40"/>
  <c r="EO237" i="40"/>
  <c r="EX240" i="40"/>
  <c r="EY239" i="40"/>
  <c r="FC235" i="40"/>
  <c r="FD234" i="40"/>
  <c r="B199" i="23"/>
  <c r="A200" i="23"/>
  <c r="R91" i="71" l="1"/>
  <c r="S90" i="71"/>
  <c r="ES238" i="40"/>
  <c r="ET237" i="40"/>
  <c r="EE237" i="40"/>
  <c r="ED238" i="40"/>
  <c r="EX241" i="40"/>
  <c r="EY240" i="40"/>
  <c r="FS238" i="40"/>
  <c r="FR239" i="40"/>
  <c r="EJ237" i="40"/>
  <c r="EI238" i="40"/>
  <c r="FD235" i="40"/>
  <c r="FC236" i="40"/>
  <c r="EN239" i="40"/>
  <c r="EO238" i="40"/>
  <c r="FH238" i="40"/>
  <c r="FI237" i="40"/>
  <c r="FM236" i="40"/>
  <c r="FN235" i="40"/>
  <c r="B200" i="23"/>
  <c r="A201" i="23"/>
  <c r="R92" i="71" l="1"/>
  <c r="S91" i="71"/>
  <c r="FC237" i="40"/>
  <c r="FD236" i="40"/>
  <c r="FR240" i="40"/>
  <c r="FS239" i="40"/>
  <c r="FH239" i="40"/>
  <c r="FI238" i="40"/>
  <c r="ED239" i="40"/>
  <c r="EE238" i="40"/>
  <c r="EI239" i="40"/>
  <c r="EJ238" i="40"/>
  <c r="FN236" i="40"/>
  <c r="FM237" i="40"/>
  <c r="EO239" i="40"/>
  <c r="EN240" i="40"/>
  <c r="EX242" i="40"/>
  <c r="EY241" i="40"/>
  <c r="ES239" i="40"/>
  <c r="ET238" i="40"/>
  <c r="A202" i="23"/>
  <c r="B201" i="23"/>
  <c r="R93" i="71" l="1"/>
  <c r="S92" i="71"/>
  <c r="FN237" i="40"/>
  <c r="FM238" i="40"/>
  <c r="EX243" i="40"/>
  <c r="EY242" i="40"/>
  <c r="EE239" i="40"/>
  <c r="ED240" i="40"/>
  <c r="FS240" i="40"/>
  <c r="FR241" i="40"/>
  <c r="EN241" i="40"/>
  <c r="EO240" i="40"/>
  <c r="ET239" i="40"/>
  <c r="ES240" i="40"/>
  <c r="EI240" i="40"/>
  <c r="EJ239" i="40"/>
  <c r="FH240" i="40"/>
  <c r="FI239" i="40"/>
  <c r="FD237" i="40"/>
  <c r="FC238" i="40"/>
  <c r="B202" i="23"/>
  <c r="A203" i="23"/>
  <c r="S93" i="71" l="1"/>
  <c r="R94" i="71"/>
  <c r="ES241" i="40"/>
  <c r="ET240" i="40"/>
  <c r="FH241" i="40"/>
  <c r="FI240" i="40"/>
  <c r="EX244" i="40"/>
  <c r="EY243" i="40"/>
  <c r="FR242" i="40"/>
  <c r="FS241" i="40"/>
  <c r="FD238" i="40"/>
  <c r="FC239" i="40"/>
  <c r="ED241" i="40"/>
  <c r="EE240" i="40"/>
  <c r="FN238" i="40"/>
  <c r="FM239" i="40"/>
  <c r="EI241" i="40"/>
  <c r="EJ240" i="40"/>
  <c r="EN242" i="40"/>
  <c r="EO241" i="40"/>
  <c r="A204" i="23"/>
  <c r="B203" i="23"/>
  <c r="Y2" i="18"/>
  <c r="Y1" i="18"/>
  <c r="J90" i="1"/>
  <c r="J93" i="1" s="1"/>
  <c r="R95" i="71" l="1"/>
  <c r="S94" i="71"/>
  <c r="EJ241" i="40"/>
  <c r="EI242" i="40"/>
  <c r="EE241" i="40"/>
  <c r="ED242" i="40"/>
  <c r="FS242" i="40"/>
  <c r="FR243" i="40"/>
  <c r="FH242" i="40"/>
  <c r="FI241" i="40"/>
  <c r="FM240" i="40"/>
  <c r="FN239" i="40"/>
  <c r="FC240" i="40"/>
  <c r="FD239" i="40"/>
  <c r="EO242" i="40"/>
  <c r="EN243" i="40"/>
  <c r="EX245" i="40"/>
  <c r="EY244" i="40"/>
  <c r="ET241" i="40"/>
  <c r="ES242" i="40"/>
  <c r="B204" i="23"/>
  <c r="A205" i="23"/>
  <c r="X12" i="23"/>
  <c r="K3" i="61" s="1"/>
  <c r="X8" i="23"/>
  <c r="X4" i="23"/>
  <c r="X14" i="23"/>
  <c r="X6" i="23"/>
  <c r="X13" i="23"/>
  <c r="G3" i="70" s="1"/>
  <c r="X9" i="23"/>
  <c r="X5" i="23"/>
  <c r="X15" i="23"/>
  <c r="X11" i="23"/>
  <c r="AC43" i="23" s="1"/>
  <c r="X7" i="23"/>
  <c r="X10" i="23"/>
  <c r="P62" i="1"/>
  <c r="K80" i="1"/>
  <c r="R96" i="71" l="1"/>
  <c r="S95" i="71"/>
  <c r="F530" i="1"/>
  <c r="H530" i="1"/>
  <c r="EE242" i="40"/>
  <c r="ED243" i="40"/>
  <c r="EX246" i="40"/>
  <c r="EY245" i="40"/>
  <c r="FD240" i="40"/>
  <c r="FC241" i="40"/>
  <c r="FH243" i="40"/>
  <c r="FI242" i="40"/>
  <c r="ET242" i="40"/>
  <c r="ES243" i="40"/>
  <c r="EN244" i="40"/>
  <c r="EO243" i="40"/>
  <c r="FR244" i="40"/>
  <c r="FS243" i="40"/>
  <c r="EJ242" i="40"/>
  <c r="EI243" i="40"/>
  <c r="FM241" i="40"/>
  <c r="FN240" i="40"/>
  <c r="Z13" i="23"/>
  <c r="G3" i="62"/>
  <c r="K3" i="60"/>
  <c r="G3" i="63"/>
  <c r="M3" i="63" s="1"/>
  <c r="G3" i="59"/>
  <c r="G3" i="58"/>
  <c r="M3" i="58" s="1"/>
  <c r="G3" i="51"/>
  <c r="M3" i="51" s="1"/>
  <c r="V88" i="23"/>
  <c r="V87" i="23"/>
  <c r="V86" i="23"/>
  <c r="AB338" i="1"/>
  <c r="G3" i="54"/>
  <c r="M3" i="54" s="1"/>
  <c r="G3" i="50"/>
  <c r="M3" i="50" s="1"/>
  <c r="Z5" i="23"/>
  <c r="H401" i="23"/>
  <c r="G364" i="1" s="1"/>
  <c r="F364" i="1" s="1"/>
  <c r="AD47" i="23"/>
  <c r="G2" i="50" s="1"/>
  <c r="Z6" i="23"/>
  <c r="G3" i="49"/>
  <c r="M3" i="49" s="1"/>
  <c r="E4" i="42"/>
  <c r="D4" i="42"/>
  <c r="Q4" i="23"/>
  <c r="W41" i="23" s="1"/>
  <c r="Z14" i="23"/>
  <c r="N85" i="23"/>
  <c r="B205" i="23"/>
  <c r="A206" i="23"/>
  <c r="W51" i="23"/>
  <c r="AC47" i="23"/>
  <c r="Z10" i="23"/>
  <c r="AC44" i="23"/>
  <c r="Z8" i="23"/>
  <c r="AC46" i="23"/>
  <c r="AC45" i="23"/>
  <c r="Z12" i="23"/>
  <c r="Z7" i="23"/>
  <c r="Z4" i="23"/>
  <c r="AC41" i="23"/>
  <c r="Z9" i="23"/>
  <c r="AC40" i="23"/>
  <c r="AC37" i="23"/>
  <c r="AC39" i="23"/>
  <c r="AC38" i="23"/>
  <c r="AC21" i="23"/>
  <c r="AD21" i="23" s="1"/>
  <c r="Z11" i="23"/>
  <c r="AC33" i="23"/>
  <c r="AD33" i="23" s="1"/>
  <c r="Z15" i="23"/>
  <c r="AC32" i="23"/>
  <c r="AD32" i="23" s="1"/>
  <c r="AC28" i="23"/>
  <c r="AD28" i="23" s="1"/>
  <c r="AC29" i="23"/>
  <c r="AD29" i="23" s="1"/>
  <c r="AC31" i="23"/>
  <c r="AD31" i="23" s="1"/>
  <c r="AC30" i="23"/>
  <c r="AD30" i="23" s="1"/>
  <c r="AC16" i="23"/>
  <c r="AD16" i="23" s="1"/>
  <c r="AC18" i="23"/>
  <c r="AD18" i="23" s="1"/>
  <c r="AC17" i="23"/>
  <c r="AD17" i="23" s="1"/>
  <c r="AC26" i="23"/>
  <c r="AD26" i="23" s="1"/>
  <c r="AC25" i="23"/>
  <c r="AD25" i="23" s="1"/>
  <c r="AC27" i="23"/>
  <c r="AD27" i="23" s="1"/>
  <c r="AC15" i="23"/>
  <c r="AD15" i="23" s="1"/>
  <c r="AC14" i="23"/>
  <c r="AD14" i="23" s="1"/>
  <c r="AC20" i="23"/>
  <c r="AD20" i="23" s="1"/>
  <c r="AC19" i="23"/>
  <c r="AD19" i="23" s="1"/>
  <c r="AC8" i="23"/>
  <c r="AD8" i="23" s="1"/>
  <c r="AC4" i="23"/>
  <c r="AD4" i="23" s="1"/>
  <c r="AC5" i="23"/>
  <c r="AD5" i="23" s="1"/>
  <c r="AC7" i="23"/>
  <c r="AD7" i="23" s="1"/>
  <c r="AC6" i="23"/>
  <c r="AD6" i="23" s="1"/>
  <c r="AC12" i="23"/>
  <c r="AD12" i="23" s="1"/>
  <c r="AC13" i="23"/>
  <c r="AD13" i="23" s="1"/>
  <c r="AC11" i="23"/>
  <c r="AD11" i="23" s="1"/>
  <c r="AC36" i="23"/>
  <c r="AD36" i="23" s="1"/>
  <c r="AC34" i="23"/>
  <c r="AD34" i="23" s="1"/>
  <c r="AC35" i="23"/>
  <c r="AD35" i="23" s="1"/>
  <c r="AC10" i="23"/>
  <c r="AD10" i="23" s="1"/>
  <c r="AC9" i="23"/>
  <c r="AD9" i="23" s="1"/>
  <c r="AC24" i="23"/>
  <c r="AD24" i="23" s="1"/>
  <c r="AC23" i="23"/>
  <c r="AD23" i="23" s="1"/>
  <c r="AC22" i="23"/>
  <c r="AD22" i="23" s="1"/>
  <c r="N80" i="1"/>
  <c r="S96" i="71" l="1"/>
  <c r="R97" i="71"/>
  <c r="L530" i="1"/>
  <c r="G4" i="42"/>
  <c r="EN245" i="40"/>
  <c r="EO244" i="40"/>
  <c r="FH244" i="40"/>
  <c r="FI243" i="40"/>
  <c r="EX247" i="40"/>
  <c r="EY246" i="40"/>
  <c r="EJ243" i="40"/>
  <c r="EI244" i="40"/>
  <c r="ET243" i="40"/>
  <c r="ES244" i="40"/>
  <c r="FD241" i="40"/>
  <c r="FC242" i="40"/>
  <c r="EE243" i="40"/>
  <c r="ED244" i="40"/>
  <c r="FN241" i="40"/>
  <c r="FM242" i="40"/>
  <c r="FR245" i="40"/>
  <c r="FS244" i="40"/>
  <c r="P176" i="1"/>
  <c r="O176" i="1" s="1"/>
  <c r="X176" i="23"/>
  <c r="X172" i="23"/>
  <c r="X179" i="23"/>
  <c r="X175" i="23"/>
  <c r="S177" i="23"/>
  <c r="S173" i="23"/>
  <c r="X178" i="23"/>
  <c r="X174" i="23"/>
  <c r="S176" i="23"/>
  <c r="S172" i="23"/>
  <c r="X177" i="23"/>
  <c r="X173" i="23"/>
  <c r="S179" i="23"/>
  <c r="S175" i="23"/>
  <c r="N173" i="23"/>
  <c r="S178" i="23"/>
  <c r="N176" i="23"/>
  <c r="N172" i="23"/>
  <c r="S174" i="23"/>
  <c r="N179" i="23"/>
  <c r="N175" i="23"/>
  <c r="N178" i="23"/>
  <c r="N174" i="23"/>
  <c r="N177" i="23"/>
  <c r="M114" i="23"/>
  <c r="M110" i="23"/>
  <c r="M106" i="23"/>
  <c r="M102" i="23"/>
  <c r="M98" i="23"/>
  <c r="M94" i="23"/>
  <c r="M90" i="23"/>
  <c r="M86" i="23"/>
  <c r="M117" i="23"/>
  <c r="M109" i="23"/>
  <c r="M105" i="23"/>
  <c r="M97" i="23"/>
  <c r="M89" i="23"/>
  <c r="M116" i="23"/>
  <c r="M112" i="23"/>
  <c r="M108" i="23"/>
  <c r="M104" i="23"/>
  <c r="M100" i="23"/>
  <c r="M96" i="23"/>
  <c r="M88" i="23"/>
  <c r="M111" i="23"/>
  <c r="M107" i="23"/>
  <c r="M103" i="23"/>
  <c r="M99" i="23"/>
  <c r="M95" i="23"/>
  <c r="M91" i="23"/>
  <c r="M87" i="23"/>
  <c r="R4" i="23"/>
  <c r="L16" i="23" s="1"/>
  <c r="W27" i="23"/>
  <c r="R173" i="23"/>
  <c r="R174" i="23" s="1"/>
  <c r="W173" i="23"/>
  <c r="M173" i="23"/>
  <c r="W34" i="23"/>
  <c r="AN22" i="30"/>
  <c r="F14" i="18"/>
  <c r="H14" i="18" s="1"/>
  <c r="F22" i="18"/>
  <c r="F15" i="18"/>
  <c r="F17" i="18"/>
  <c r="F11" i="18"/>
  <c r="F18" i="18"/>
  <c r="F20" i="18"/>
  <c r="F19" i="18"/>
  <c r="H19" i="18" s="1"/>
  <c r="F13" i="18"/>
  <c r="F10" i="18"/>
  <c r="F12" i="18"/>
  <c r="F21" i="18"/>
  <c r="F9" i="18"/>
  <c r="H9" i="18" s="1"/>
  <c r="F16" i="18"/>
  <c r="F5" i="18"/>
  <c r="F6" i="18"/>
  <c r="H6" i="18" s="1"/>
  <c r="F7" i="18"/>
  <c r="F8" i="18"/>
  <c r="F170" i="1"/>
  <c r="E170" i="1" s="1"/>
  <c r="B206" i="23"/>
  <c r="A207" i="23"/>
  <c r="W174" i="23"/>
  <c r="M174" i="23"/>
  <c r="M175" i="23" s="1"/>
  <c r="M176" i="23" s="1"/>
  <c r="M177" i="23" s="1"/>
  <c r="M178" i="23" s="1"/>
  <c r="M179" i="23" s="1"/>
  <c r="R175" i="23"/>
  <c r="I6" i="18"/>
  <c r="I22" i="18"/>
  <c r="I19" i="18"/>
  <c r="I20" i="18"/>
  <c r="I17" i="18"/>
  <c r="I10" i="18"/>
  <c r="I7" i="18"/>
  <c r="I8" i="18"/>
  <c r="I5" i="18"/>
  <c r="I21" i="18"/>
  <c r="I14" i="18"/>
  <c r="I11" i="18"/>
  <c r="I12" i="18"/>
  <c r="I9" i="18"/>
  <c r="I18" i="18"/>
  <c r="I15" i="18"/>
  <c r="I16" i="18"/>
  <c r="I13" i="18"/>
  <c r="P15" i="18"/>
  <c r="T15" i="18" s="1"/>
  <c r="JV18" i="30" s="1"/>
  <c r="P13" i="18"/>
  <c r="T13" i="18" s="1"/>
  <c r="JV14" i="30" s="1"/>
  <c r="P5" i="18"/>
  <c r="T5" i="18" s="1"/>
  <c r="IZ14" i="30" s="1"/>
  <c r="P9" i="18"/>
  <c r="T9" i="18" s="1"/>
  <c r="JK14" i="30" s="1"/>
  <c r="P7" i="18"/>
  <c r="T7" i="18" s="1"/>
  <c r="IZ18" i="30" s="1"/>
  <c r="P11" i="18"/>
  <c r="T11" i="18" s="1"/>
  <c r="JK18" i="30" s="1"/>
  <c r="R98" i="71" l="1"/>
  <c r="S97" i="71"/>
  <c r="L25" i="23"/>
  <c r="FH245" i="40"/>
  <c r="FI244" i="40"/>
  <c r="FM243" i="40"/>
  <c r="FN242" i="40"/>
  <c r="EJ244" i="40"/>
  <c r="EI245" i="40"/>
  <c r="EE244" i="40"/>
  <c r="ED245" i="40"/>
  <c r="ES245" i="40"/>
  <c r="ET244" i="40"/>
  <c r="FC243" i="40"/>
  <c r="FD242" i="40"/>
  <c r="FR246" i="40"/>
  <c r="FS245" i="40"/>
  <c r="EX248" i="40"/>
  <c r="EY247" i="40"/>
  <c r="EN246" i="40"/>
  <c r="EO245" i="40"/>
  <c r="L22" i="23"/>
  <c r="L20" i="23"/>
  <c r="L23" i="23"/>
  <c r="L19" i="23"/>
  <c r="L18" i="23"/>
  <c r="L21" i="23"/>
  <c r="L24" i="23"/>
  <c r="L17" i="23"/>
  <c r="O148" i="23"/>
  <c r="O149" i="23"/>
  <c r="O146" i="23"/>
  <c r="O150" i="23"/>
  <c r="O144" i="23"/>
  <c r="P144" i="23" s="1"/>
  <c r="O151" i="23"/>
  <c r="O145" i="23"/>
  <c r="P145" i="23" s="1"/>
  <c r="O147" i="23"/>
  <c r="O90" i="23"/>
  <c r="O111" i="23"/>
  <c r="O100" i="23"/>
  <c r="O116" i="23"/>
  <c r="O109" i="23"/>
  <c r="O98" i="23"/>
  <c r="O114" i="23"/>
  <c r="P114" i="23" s="1"/>
  <c r="O95" i="23"/>
  <c r="O87" i="23"/>
  <c r="O104" i="23"/>
  <c r="O88" i="23"/>
  <c r="O117" i="23"/>
  <c r="P117" i="23" s="1"/>
  <c r="O102" i="23"/>
  <c r="O86" i="23"/>
  <c r="O99" i="23"/>
  <c r="O91" i="23"/>
  <c r="O108" i="23"/>
  <c r="O97" i="23"/>
  <c r="O89" i="23"/>
  <c r="O106" i="23"/>
  <c r="O103" i="23"/>
  <c r="P103" i="23" s="1"/>
  <c r="O107" i="23"/>
  <c r="O96" i="23"/>
  <c r="O112" i="23"/>
  <c r="O105" i="23"/>
  <c r="O94" i="23"/>
  <c r="O110" i="23"/>
  <c r="A208" i="23"/>
  <c r="B207" i="23"/>
  <c r="K19" i="18"/>
  <c r="BS70" i="30" s="1"/>
  <c r="K6" i="18"/>
  <c r="BS44" i="30" s="1"/>
  <c r="W175" i="23"/>
  <c r="R176" i="23"/>
  <c r="K14" i="18"/>
  <c r="BS60" i="30" s="1"/>
  <c r="K9" i="18"/>
  <c r="BS50" i="30" s="1"/>
  <c r="H10" i="18"/>
  <c r="K10" i="18" s="1"/>
  <c r="BS52" i="30" s="1"/>
  <c r="H5" i="18"/>
  <c r="K5" i="18" s="1"/>
  <c r="BS42" i="30" s="1"/>
  <c r="H15" i="18"/>
  <c r="K15" i="18" s="1"/>
  <c r="BS62" i="30" s="1"/>
  <c r="H7" i="18"/>
  <c r="K7" i="18" s="1"/>
  <c r="BS46" i="30" s="1"/>
  <c r="H21" i="18"/>
  <c r="K21" i="18" s="1"/>
  <c r="BS74" i="30" s="1"/>
  <c r="H20" i="18"/>
  <c r="K20" i="18" s="1"/>
  <c r="BS72" i="30" s="1"/>
  <c r="H17" i="18"/>
  <c r="K17" i="18" s="1"/>
  <c r="BS66" i="30" s="1"/>
  <c r="H8" i="18"/>
  <c r="K8" i="18" s="1"/>
  <c r="BS48" i="30" s="1"/>
  <c r="H12" i="18"/>
  <c r="K12" i="18" s="1"/>
  <c r="BS56" i="30" s="1"/>
  <c r="H11" i="18"/>
  <c r="K11" i="18" s="1"/>
  <c r="BS54" i="30" s="1"/>
  <c r="H18" i="18"/>
  <c r="K18" i="18" s="1"/>
  <c r="BS68" i="30" s="1"/>
  <c r="H22" i="18"/>
  <c r="K22" i="18" s="1"/>
  <c r="BS76" i="30" s="1"/>
  <c r="H16" i="18"/>
  <c r="K16" i="18" s="1"/>
  <c r="H13" i="18"/>
  <c r="K13" i="18" s="1"/>
  <c r="BS58" i="30" s="1"/>
  <c r="R99" i="71" l="1"/>
  <c r="S98" i="71"/>
  <c r="Q87" i="23"/>
  <c r="Q88" i="23" s="1"/>
  <c r="Q89" i="23" s="1"/>
  <c r="Q90" i="23" s="1"/>
  <c r="Q91" i="23" s="1"/>
  <c r="Q92" i="23" s="1"/>
  <c r="Q93" i="23" s="1"/>
  <c r="Q94" i="23" s="1"/>
  <c r="Q95" i="23" s="1"/>
  <c r="Q96" i="23" s="1"/>
  <c r="Q97" i="23" s="1"/>
  <c r="Q98" i="23" s="1"/>
  <c r="Q99" i="23" s="1"/>
  <c r="Q100" i="23" s="1"/>
  <c r="Q101" i="23" s="1"/>
  <c r="Q102" i="23" s="1"/>
  <c r="Q103" i="23" s="1"/>
  <c r="Q104" i="23" s="1"/>
  <c r="Q105" i="23" s="1"/>
  <c r="Q106" i="23" s="1"/>
  <c r="Q107" i="23" s="1"/>
  <c r="Q108" i="23" s="1"/>
  <c r="Q109" i="23" s="1"/>
  <c r="Q110" i="23" s="1"/>
  <c r="Q111" i="23" s="1"/>
  <c r="Q112" i="23" s="1"/>
  <c r="Q113" i="23" s="1"/>
  <c r="Q114" i="23" s="1"/>
  <c r="Q115" i="23" s="1"/>
  <c r="Q116" i="23" s="1"/>
  <c r="Q117" i="23" s="1"/>
  <c r="EX249" i="40"/>
  <c r="EY248" i="40"/>
  <c r="FD243" i="40"/>
  <c r="FC244" i="40"/>
  <c r="FM244" i="40"/>
  <c r="FN243" i="40"/>
  <c r="EE245" i="40"/>
  <c r="ED246" i="40"/>
  <c r="EJ245" i="40"/>
  <c r="EI246" i="40"/>
  <c r="EN247" i="40"/>
  <c r="EO246" i="40"/>
  <c r="FR247" i="40"/>
  <c r="FS246" i="40"/>
  <c r="ET245" i="40"/>
  <c r="ES246" i="40"/>
  <c r="FH246" i="40"/>
  <c r="FI245" i="40"/>
  <c r="L15" i="23"/>
  <c r="P146" i="23"/>
  <c r="P147" i="23" s="1"/>
  <c r="P108" i="23"/>
  <c r="P104" i="23"/>
  <c r="P88" i="23"/>
  <c r="P116" i="23"/>
  <c r="AN16" i="30"/>
  <c r="BS64" i="30"/>
  <c r="P110" i="23"/>
  <c r="P89" i="23"/>
  <c r="P91" i="23"/>
  <c r="P94" i="23"/>
  <c r="P96" i="23"/>
  <c r="P95" i="23"/>
  <c r="P107" i="23"/>
  <c r="P111" i="23"/>
  <c r="P105" i="23"/>
  <c r="P112" i="23"/>
  <c r="P97" i="23"/>
  <c r="P98" i="23"/>
  <c r="P99" i="23"/>
  <c r="P102" i="23"/>
  <c r="P87" i="23"/>
  <c r="P100" i="23"/>
  <c r="P106" i="23"/>
  <c r="P86" i="23"/>
  <c r="R86" i="23" s="1"/>
  <c r="P109" i="23"/>
  <c r="P90" i="23"/>
  <c r="B208" i="23"/>
  <c r="A209" i="23"/>
  <c r="W176" i="23"/>
  <c r="R177" i="23"/>
  <c r="R100" i="71" l="1"/>
  <c r="S99" i="71"/>
  <c r="ED247" i="40"/>
  <c r="EE246" i="40"/>
  <c r="EO247" i="40"/>
  <c r="EN248" i="40"/>
  <c r="ET246" i="40"/>
  <c r="ES247" i="40"/>
  <c r="FC245" i="40"/>
  <c r="FD244" i="40"/>
  <c r="EI247" i="40"/>
  <c r="EJ246" i="40"/>
  <c r="FH247" i="40"/>
  <c r="FI246" i="40"/>
  <c r="FS247" i="40"/>
  <c r="FR248" i="40"/>
  <c r="FM245" i="40"/>
  <c r="FN244" i="40"/>
  <c r="EX250" i="40"/>
  <c r="EY249" i="40"/>
  <c r="G511" i="1"/>
  <c r="I511" i="1" s="1"/>
  <c r="H511" i="1"/>
  <c r="H510" i="1"/>
  <c r="G510" i="1"/>
  <c r="I510" i="1" s="1"/>
  <c r="H507" i="1"/>
  <c r="G507" i="1"/>
  <c r="I507" i="1" s="1"/>
  <c r="H509" i="1"/>
  <c r="G509" i="1"/>
  <c r="I509" i="1" s="1"/>
  <c r="G506" i="1"/>
  <c r="I506" i="1" s="1"/>
  <c r="H506" i="1"/>
  <c r="G505" i="1"/>
  <c r="I505" i="1" s="1"/>
  <c r="H505" i="1"/>
  <c r="G503" i="1"/>
  <c r="I503" i="1" s="1"/>
  <c r="H503" i="1"/>
  <c r="G501" i="1"/>
  <c r="I501" i="1" s="1"/>
  <c r="H501" i="1"/>
  <c r="G500" i="1"/>
  <c r="I500" i="1" s="1"/>
  <c r="H500" i="1"/>
  <c r="H513" i="1"/>
  <c r="G513" i="1"/>
  <c r="I513" i="1" s="1"/>
  <c r="G512" i="1"/>
  <c r="I512" i="1" s="1"/>
  <c r="H512" i="1"/>
  <c r="G502" i="1"/>
  <c r="I502" i="1" s="1"/>
  <c r="H502" i="1"/>
  <c r="G508" i="1"/>
  <c r="I508" i="1" s="1"/>
  <c r="H508" i="1"/>
  <c r="H504" i="1"/>
  <c r="G504" i="1"/>
  <c r="I504" i="1" s="1"/>
  <c r="G499" i="1"/>
  <c r="I499" i="1" s="1"/>
  <c r="H499" i="1"/>
  <c r="H498" i="1"/>
  <c r="G498" i="1"/>
  <c r="I498" i="1" s="1"/>
  <c r="G497" i="1"/>
  <c r="I497" i="1" s="1"/>
  <c r="H497" i="1"/>
  <c r="R87" i="23"/>
  <c r="P148" i="23"/>
  <c r="P149" i="23" s="1"/>
  <c r="A210" i="23"/>
  <c r="B209" i="23"/>
  <c r="W177" i="23"/>
  <c r="R178" i="23"/>
  <c r="R101" i="71" l="1"/>
  <c r="S100" i="71"/>
  <c r="EN249" i="40"/>
  <c r="EO248" i="40"/>
  <c r="FM246" i="40"/>
  <c r="FN245" i="40"/>
  <c r="FH248" i="40"/>
  <c r="FI247" i="40"/>
  <c r="FD245" i="40"/>
  <c r="FC246" i="40"/>
  <c r="FS248" i="40"/>
  <c r="FR249" i="40"/>
  <c r="ET247" i="40"/>
  <c r="ES248" i="40"/>
  <c r="EX251" i="40"/>
  <c r="EY250" i="40"/>
  <c r="EI248" i="40"/>
  <c r="EJ247" i="40"/>
  <c r="ED248" i="40"/>
  <c r="EE247" i="40"/>
  <c r="P150" i="23"/>
  <c r="P151" i="23"/>
  <c r="R88" i="23"/>
  <c r="A211" i="23"/>
  <c r="B210" i="23"/>
  <c r="W178" i="23"/>
  <c r="R179" i="23"/>
  <c r="R102" i="71" l="1"/>
  <c r="S101" i="71"/>
  <c r="EJ248" i="40"/>
  <c r="EI249" i="40"/>
  <c r="FN246" i="40"/>
  <c r="FM247" i="40"/>
  <c r="FC247" i="40"/>
  <c r="FD246" i="40"/>
  <c r="FR250" i="40"/>
  <c r="FS249" i="40"/>
  <c r="ES249" i="40"/>
  <c r="ET248" i="40"/>
  <c r="ED249" i="40"/>
  <c r="EE248" i="40"/>
  <c r="EX252" i="40"/>
  <c r="EY251" i="40"/>
  <c r="FH249" i="40"/>
  <c r="FI248" i="40"/>
  <c r="EO249" i="40"/>
  <c r="EN250" i="40"/>
  <c r="Q151" i="23"/>
  <c r="Q147" i="23"/>
  <c r="Q149" i="23"/>
  <c r="Q144" i="23"/>
  <c r="Q146" i="23"/>
  <c r="Q148" i="23"/>
  <c r="Q150" i="23"/>
  <c r="Q145" i="23"/>
  <c r="R89" i="23"/>
  <c r="B211" i="23"/>
  <c r="A212" i="23"/>
  <c r="W179" i="23"/>
  <c r="R103" i="71" l="1"/>
  <c r="S102" i="71"/>
  <c r="FM248" i="40"/>
  <c r="FN247" i="40"/>
  <c r="FH250" i="40"/>
  <c r="FI249" i="40"/>
  <c r="EE249" i="40"/>
  <c r="ED250" i="40"/>
  <c r="FR251" i="40"/>
  <c r="FS250" i="40"/>
  <c r="EJ249" i="40"/>
  <c r="EI250" i="40"/>
  <c r="EN251" i="40"/>
  <c r="EO250" i="40"/>
  <c r="EY252" i="40"/>
  <c r="EX253" i="40"/>
  <c r="ET249" i="40"/>
  <c r="ES250" i="40"/>
  <c r="FD247" i="40"/>
  <c r="FC248" i="40"/>
  <c r="D65" i="1"/>
  <c r="D68" i="1"/>
  <c r="R90" i="23"/>
  <c r="A213" i="23"/>
  <c r="B212" i="23"/>
  <c r="W29" i="23"/>
  <c r="W36" i="23"/>
  <c r="W31" i="23"/>
  <c r="W48" i="23"/>
  <c r="W28" i="23"/>
  <c r="W39" i="23"/>
  <c r="R104" i="71" l="1"/>
  <c r="S103" i="71"/>
  <c r="EO251" i="40"/>
  <c r="EN252" i="40"/>
  <c r="FS251" i="40"/>
  <c r="FR252" i="40"/>
  <c r="FI250" i="40"/>
  <c r="FH251" i="40"/>
  <c r="ES251" i="40"/>
  <c r="ET250" i="40"/>
  <c r="FD248" i="40"/>
  <c r="FC249" i="40"/>
  <c r="EY253" i="40"/>
  <c r="EX254" i="40"/>
  <c r="EJ250" i="40"/>
  <c r="EI251" i="40"/>
  <c r="EE250" i="40"/>
  <c r="ED251" i="40"/>
  <c r="FM249" i="40"/>
  <c r="FN248" i="40"/>
  <c r="X79" i="18"/>
  <c r="Y79" i="18" s="1"/>
  <c r="M5" i="23"/>
  <c r="P65" i="1"/>
  <c r="D74" i="1"/>
  <c r="M8" i="23" s="1"/>
  <c r="P8" i="23" s="1"/>
  <c r="D71" i="1"/>
  <c r="P71" i="1" s="1"/>
  <c r="Q7" i="23" s="1"/>
  <c r="W20" i="23" s="1"/>
  <c r="D77" i="1"/>
  <c r="X83" i="18" s="1"/>
  <c r="Y83" i="18" s="1"/>
  <c r="M6" i="23"/>
  <c r="X80" i="18"/>
  <c r="Y80" i="18" s="1"/>
  <c r="P68" i="1"/>
  <c r="Q6" i="23" s="1"/>
  <c r="R91" i="23"/>
  <c r="B213" i="23"/>
  <c r="A214" i="23"/>
  <c r="V169" i="71" l="1" a="1"/>
  <c r="V169" i="71" s="1"/>
  <c r="V171" i="71" a="1"/>
  <c r="V171" i="71" s="1"/>
  <c r="W171" i="71" s="1"/>
  <c r="V164" i="71" a="1"/>
  <c r="V164" i="71" s="1"/>
  <c r="W164" i="71" s="1"/>
  <c r="Z164" i="71" s="1"/>
  <c r="V167" i="71" a="1"/>
  <c r="V167" i="71" s="1"/>
  <c r="V168" i="71" a="1"/>
  <c r="V168" i="71" s="1"/>
  <c r="N5" i="23"/>
  <c r="M14" i="23" s="1"/>
  <c r="V163" i="71" a="1"/>
  <c r="V163" i="71" s="1"/>
  <c r="V162" i="71" a="1"/>
  <c r="V162" i="71" s="1"/>
  <c r="R105" i="71"/>
  <c r="S104" i="71"/>
  <c r="ET251" i="40"/>
  <c r="ES252" i="40"/>
  <c r="EE251" i="40"/>
  <c r="ED252" i="40"/>
  <c r="EY254" i="40"/>
  <c r="EX255" i="40"/>
  <c r="FR253" i="40"/>
  <c r="FS252" i="40"/>
  <c r="EI252" i="40"/>
  <c r="EJ251" i="40"/>
  <c r="FC250" i="40"/>
  <c r="FD249" i="40"/>
  <c r="FI251" i="40"/>
  <c r="FH252" i="40"/>
  <c r="EN253" i="40"/>
  <c r="EO252" i="40"/>
  <c r="FM250" i="40"/>
  <c r="FN249" i="40"/>
  <c r="W21" i="23"/>
  <c r="W60" i="23"/>
  <c r="Q5" i="23"/>
  <c r="W50" i="23" s="1"/>
  <c r="W32" i="23"/>
  <c r="W19" i="23"/>
  <c r="W37" i="23"/>
  <c r="W56" i="23"/>
  <c r="W58" i="23"/>
  <c r="W40" i="23"/>
  <c r="W43" i="23"/>
  <c r="W38" i="23"/>
  <c r="AG10" i="23" s="1"/>
  <c r="W47" i="23"/>
  <c r="M13" i="23"/>
  <c r="P5" i="23"/>
  <c r="X81" i="18"/>
  <c r="Y81" i="18" s="1"/>
  <c r="P77" i="1"/>
  <c r="Q9" i="23" s="1"/>
  <c r="N8" i="23"/>
  <c r="P14" i="23" s="1"/>
  <c r="X82" i="18"/>
  <c r="Y82" i="18" s="1"/>
  <c r="P13" i="23"/>
  <c r="P74" i="1"/>
  <c r="Q8" i="23" s="1"/>
  <c r="C9" i="30"/>
  <c r="W42" i="23"/>
  <c r="W26" i="23"/>
  <c r="W52" i="23"/>
  <c r="W25" i="23"/>
  <c r="M7" i="23"/>
  <c r="M9" i="23"/>
  <c r="N13" i="23"/>
  <c r="P6" i="23"/>
  <c r="R6" i="23" s="1"/>
  <c r="N6" i="23"/>
  <c r="W53" i="23"/>
  <c r="R92" i="23"/>
  <c r="A215" i="23"/>
  <c r="B214" i="23"/>
  <c r="W49" i="23"/>
  <c r="W18" i="23"/>
  <c r="W24" i="23"/>
  <c r="W59" i="23"/>
  <c r="R5" i="23" l="1"/>
  <c r="M16" i="23" s="1"/>
  <c r="Y171" i="71"/>
  <c r="X171" i="71"/>
  <c r="D276" i="1" s="1"/>
  <c r="Z171" i="71"/>
  <c r="AA172" i="71"/>
  <c r="AB172" i="71" s="1"/>
  <c r="AC172" i="71" s="1"/>
  <c r="AA179" i="71"/>
  <c r="AA184" i="71"/>
  <c r="AB184" i="71" s="1"/>
  <c r="AC184" i="71" s="1"/>
  <c r="X164" i="71"/>
  <c r="D269" i="1" s="1"/>
  <c r="AA171" i="71"/>
  <c r="Y164" i="71"/>
  <c r="H65" i="1"/>
  <c r="AA170" i="71"/>
  <c r="AB170" i="71" s="1"/>
  <c r="AC170" i="71" s="1"/>
  <c r="AA180" i="71"/>
  <c r="AD180" i="71" s="1"/>
  <c r="AA183" i="71"/>
  <c r="AD183" i="71" s="1"/>
  <c r="AA173" i="71"/>
  <c r="AA167" i="71"/>
  <c r="AB167" i="71" s="1"/>
  <c r="AC167" i="71" s="1"/>
  <c r="AA178" i="71"/>
  <c r="AB178" i="71" s="1"/>
  <c r="AC178" i="71" s="1"/>
  <c r="AA174" i="71"/>
  <c r="AD174" i="71" s="1"/>
  <c r="AA169" i="71"/>
  <c r="AB169" i="71" s="1"/>
  <c r="AC169" i="71" s="1"/>
  <c r="AA176" i="71"/>
  <c r="AD176" i="71" s="1"/>
  <c r="AA165" i="71"/>
  <c r="AB165" i="71" s="1"/>
  <c r="AC165" i="71" s="1"/>
  <c r="AA181" i="71"/>
  <c r="AA166" i="71"/>
  <c r="AB166" i="71" s="1"/>
  <c r="AC166" i="71" s="1"/>
  <c r="AA168" i="71"/>
  <c r="AB168" i="71" s="1"/>
  <c r="AC168" i="71" s="1"/>
  <c r="AA177" i="71"/>
  <c r="AA175" i="71"/>
  <c r="AB175" i="71" s="1"/>
  <c r="AC175" i="71" s="1"/>
  <c r="AA182" i="71"/>
  <c r="AD182" i="71" s="1"/>
  <c r="AA164" i="71"/>
  <c r="AD164" i="71" s="1"/>
  <c r="AD172" i="71"/>
  <c r="AB179" i="71"/>
  <c r="AC179" i="71" s="1"/>
  <c r="AB180" i="71"/>
  <c r="AC180" i="71" s="1"/>
  <c r="AB177" i="71"/>
  <c r="AC177" i="71" s="1"/>
  <c r="S105" i="71"/>
  <c r="R106" i="71"/>
  <c r="ED253" i="40"/>
  <c r="EE252" i="40"/>
  <c r="EO253" i="40"/>
  <c r="EN254" i="40"/>
  <c r="FD250" i="40"/>
  <c r="FC251" i="40"/>
  <c r="FR254" i="40"/>
  <c r="FS253" i="40"/>
  <c r="FI252" i="40"/>
  <c r="FH253" i="40"/>
  <c r="EY255" i="40"/>
  <c r="EX256" i="40"/>
  <c r="ES253" i="40"/>
  <c r="ET252" i="40"/>
  <c r="FM251" i="40"/>
  <c r="FN250" i="40"/>
  <c r="EI253" i="40"/>
  <c r="EJ252" i="40"/>
  <c r="N16" i="23"/>
  <c r="X101" i="23"/>
  <c r="Y101" i="23" s="1"/>
  <c r="X89" i="23"/>
  <c r="X104" i="23"/>
  <c r="Y104" i="23" s="1"/>
  <c r="X100" i="23"/>
  <c r="Y100" i="23" s="1"/>
  <c r="X96" i="23"/>
  <c r="Y96" i="23" s="1"/>
  <c r="X92" i="23"/>
  <c r="X88" i="23"/>
  <c r="Y88" i="23" s="1"/>
  <c r="X103" i="23"/>
  <c r="Y103" i="23" s="1"/>
  <c r="X99" i="23"/>
  <c r="Y99" i="23" s="1"/>
  <c r="X95" i="23"/>
  <c r="Y95" i="23" s="1"/>
  <c r="X91" i="23"/>
  <c r="X87" i="23"/>
  <c r="X106" i="23"/>
  <c r="Y106" i="23" s="1"/>
  <c r="X102" i="23"/>
  <c r="Y102" i="23" s="1"/>
  <c r="X98" i="23"/>
  <c r="Y98" i="23" s="1"/>
  <c r="X94" i="23"/>
  <c r="X90" i="23"/>
  <c r="X105" i="23"/>
  <c r="Y105" i="23" s="1"/>
  <c r="X97" i="23"/>
  <c r="Y97" i="23" s="1"/>
  <c r="X93" i="23"/>
  <c r="R8" i="23"/>
  <c r="P16" i="23" s="1"/>
  <c r="W17" i="23"/>
  <c r="Y68" i="18"/>
  <c r="Z161" i="18" s="1"/>
  <c r="L392" i="23"/>
  <c r="R392" i="23" s="1"/>
  <c r="L386" i="23"/>
  <c r="Q13" i="23"/>
  <c r="A3" i="43"/>
  <c r="C3" i="43" s="1"/>
  <c r="AD9" i="30"/>
  <c r="H74" i="1"/>
  <c r="L387" i="23"/>
  <c r="P387" i="23" s="1"/>
  <c r="N9" i="23"/>
  <c r="Q14" i="23" s="1"/>
  <c r="P9" i="23"/>
  <c r="R9" i="23" s="1"/>
  <c r="L385" i="23"/>
  <c r="L394" i="23"/>
  <c r="Q394" i="23" s="1"/>
  <c r="Y415" i="1" s="1"/>
  <c r="L389" i="23"/>
  <c r="R389" i="23" s="1"/>
  <c r="L388" i="23"/>
  <c r="P388" i="23" s="1"/>
  <c r="N7" i="23"/>
  <c r="L393" i="23"/>
  <c r="O393" i="23" s="1"/>
  <c r="P7" i="23"/>
  <c r="R7" i="23" s="1"/>
  <c r="O16" i="23" s="1"/>
  <c r="L391" i="23"/>
  <c r="Q391" i="23" s="1"/>
  <c r="S407" i="1" s="1"/>
  <c r="L390" i="23"/>
  <c r="Q390" i="23" s="1"/>
  <c r="M407" i="1" s="1"/>
  <c r="O13" i="23"/>
  <c r="N14" i="23"/>
  <c r="H68" i="1"/>
  <c r="N17" i="23"/>
  <c r="N22" i="23"/>
  <c r="N19" i="23"/>
  <c r="N20" i="23"/>
  <c r="N23" i="23"/>
  <c r="N21" i="23"/>
  <c r="N18" i="23"/>
  <c r="N25" i="23"/>
  <c r="N24" i="23"/>
  <c r="M21" i="23"/>
  <c r="M25" i="23"/>
  <c r="M22" i="23"/>
  <c r="M23" i="23"/>
  <c r="M20" i="23"/>
  <c r="M17" i="23"/>
  <c r="M18" i="23"/>
  <c r="M19" i="23"/>
  <c r="M24" i="23"/>
  <c r="R93" i="23"/>
  <c r="B215" i="23"/>
  <c r="A216" i="23"/>
  <c r="K168" i="1"/>
  <c r="J168" i="1" s="1"/>
  <c r="AB171" i="71" l="1"/>
  <c r="AC171" i="71" s="1"/>
  <c r="AD165" i="71"/>
  <c r="AB182" i="71"/>
  <c r="AC182" i="71" s="1"/>
  <c r="AD184" i="71"/>
  <c r="AB181" i="71"/>
  <c r="AC181" i="71" s="1"/>
  <c r="AB173" i="71"/>
  <c r="AC173" i="71" s="1"/>
  <c r="AD166" i="71"/>
  <c r="AD167" i="71" s="1"/>
  <c r="AD168" i="71" s="1"/>
  <c r="AB176" i="71"/>
  <c r="AC176" i="71" s="1"/>
  <c r="AB164" i="71"/>
  <c r="AC164" i="71" s="1"/>
  <c r="AB174" i="71"/>
  <c r="AC174" i="71" s="1"/>
  <c r="AB183" i="71"/>
  <c r="AC183" i="71" s="1"/>
  <c r="R107" i="71"/>
  <c r="S106" i="71"/>
  <c r="S3" i="62"/>
  <c r="S3" i="70"/>
  <c r="EY256" i="40"/>
  <c r="EX257" i="40"/>
  <c r="EN255" i="40"/>
  <c r="EO254" i="40"/>
  <c r="FM252" i="40"/>
  <c r="FN251" i="40"/>
  <c r="FR255" i="40"/>
  <c r="FS254" i="40"/>
  <c r="FI253" i="40"/>
  <c r="FH254" i="40"/>
  <c r="FD251" i="40"/>
  <c r="FC252" i="40"/>
  <c r="EI254" i="40"/>
  <c r="EJ253" i="40"/>
  <c r="ET253" i="40"/>
  <c r="ES254" i="40"/>
  <c r="ED254" i="40"/>
  <c r="EE253" i="40"/>
  <c r="P20" i="23"/>
  <c r="P18" i="23"/>
  <c r="P17" i="23"/>
  <c r="G338" i="1"/>
  <c r="F338" i="1" s="1"/>
  <c r="M3" i="59"/>
  <c r="P22" i="23"/>
  <c r="P23" i="23"/>
  <c r="O390" i="23"/>
  <c r="P25" i="23"/>
  <c r="P19" i="23"/>
  <c r="P24" i="23"/>
  <c r="P21" i="23"/>
  <c r="Y89" i="23"/>
  <c r="Y90" i="23" s="1"/>
  <c r="Y91" i="23" s="1"/>
  <c r="Y92" i="23" s="1"/>
  <c r="Y93" i="23" s="1"/>
  <c r="Y94" i="23" s="1"/>
  <c r="Q21" i="23"/>
  <c r="Q16" i="23"/>
  <c r="AY2" i="18"/>
  <c r="D29" i="18" s="1"/>
  <c r="Z157" i="18"/>
  <c r="K137" i="23"/>
  <c r="K133" i="23"/>
  <c r="K129" i="23"/>
  <c r="K125" i="23"/>
  <c r="K136" i="23"/>
  <c r="K132" i="23"/>
  <c r="K128" i="23"/>
  <c r="K124" i="23"/>
  <c r="K135" i="23"/>
  <c r="K131" i="23"/>
  <c r="K127" i="23"/>
  <c r="K123" i="23"/>
  <c r="L123" i="23" s="1"/>
  <c r="K138" i="23"/>
  <c r="K134" i="23"/>
  <c r="K130" i="23"/>
  <c r="K126" i="23"/>
  <c r="R394" i="23"/>
  <c r="P394" i="23"/>
  <c r="N358" i="1" s="1"/>
  <c r="M358" i="1" s="1"/>
  <c r="Z158" i="18"/>
  <c r="Z151" i="18"/>
  <c r="Z137" i="18"/>
  <c r="Z133" i="18"/>
  <c r="AY6" i="18"/>
  <c r="X146" i="18" s="1"/>
  <c r="Z141" i="18"/>
  <c r="Z160" i="18"/>
  <c r="Z162" i="18"/>
  <c r="Z136" i="18"/>
  <c r="AY7" i="18"/>
  <c r="Y157" i="18" s="1"/>
  <c r="AB157" i="18" s="1"/>
  <c r="Z130" i="18"/>
  <c r="Z149" i="18"/>
  <c r="Z163" i="18"/>
  <c r="Z148" i="18"/>
  <c r="Z156" i="18"/>
  <c r="Z152" i="18"/>
  <c r="Z142" i="18"/>
  <c r="AY5" i="18"/>
  <c r="D35" i="18" s="1"/>
  <c r="Z131" i="18"/>
  <c r="Z147" i="18"/>
  <c r="Z132" i="18"/>
  <c r="Z138" i="18"/>
  <c r="Z127" i="18"/>
  <c r="Z155" i="18"/>
  <c r="Z128" i="18"/>
  <c r="Z135" i="18"/>
  <c r="Z134" i="18"/>
  <c r="Z154" i="18"/>
  <c r="Z139" i="18"/>
  <c r="Z159" i="18"/>
  <c r="Z150" i="18"/>
  <c r="Z129" i="18"/>
  <c r="Z46" i="18"/>
  <c r="W47" i="18" s="1"/>
  <c r="Z47" i="18" s="1"/>
  <c r="Z153" i="18"/>
  <c r="Z145" i="18"/>
  <c r="Z144" i="18"/>
  <c r="AY4" i="18"/>
  <c r="D33" i="18" s="1"/>
  <c r="Z126" i="18"/>
  <c r="Z140" i="18"/>
  <c r="Z143" i="18"/>
  <c r="AY3" i="18"/>
  <c r="D31" i="18" s="1"/>
  <c r="Z146" i="18"/>
  <c r="P385" i="23"/>
  <c r="H415" i="23"/>
  <c r="N350" i="1" s="1"/>
  <c r="M350" i="1" s="1"/>
  <c r="N386" i="23"/>
  <c r="H416" i="23"/>
  <c r="U350" i="1" s="1"/>
  <c r="T350" i="1" s="1"/>
  <c r="Q24" i="23"/>
  <c r="BH105" i="40"/>
  <c r="BI105" i="40" s="1"/>
  <c r="BH62" i="40"/>
  <c r="BI62" i="40" s="1"/>
  <c r="BH347" i="40"/>
  <c r="BI347" i="40" s="1"/>
  <c r="BH339" i="40"/>
  <c r="BI339" i="40" s="1"/>
  <c r="BH387" i="40"/>
  <c r="BH391" i="40"/>
  <c r="BH22" i="40"/>
  <c r="BI22" i="40" s="1"/>
  <c r="BH46" i="40"/>
  <c r="BH85" i="40"/>
  <c r="BH113" i="40"/>
  <c r="BI113" i="40" s="1"/>
  <c r="BH132" i="40"/>
  <c r="BI132" i="40" s="1"/>
  <c r="BH145" i="40"/>
  <c r="BI145" i="40" s="1"/>
  <c r="BH174" i="40"/>
  <c r="BI174" i="40" s="1"/>
  <c r="BH189" i="40"/>
  <c r="BH199" i="40"/>
  <c r="BH212" i="40"/>
  <c r="BH222" i="40"/>
  <c r="BI222" i="40" s="1"/>
  <c r="BH232" i="40"/>
  <c r="BI232" i="40" s="1"/>
  <c r="BH243" i="40"/>
  <c r="BI243" i="40" s="1"/>
  <c r="BH249" i="40"/>
  <c r="BI249" i="40" s="1"/>
  <c r="BH264" i="40"/>
  <c r="BH272" i="40"/>
  <c r="BI272" i="40" s="1"/>
  <c r="BH284" i="40"/>
  <c r="BI284" i="40" s="1"/>
  <c r="BH291" i="40"/>
  <c r="BH305" i="40"/>
  <c r="BH311" i="40"/>
  <c r="BH319" i="40"/>
  <c r="BI319" i="40" s="1"/>
  <c r="BH326" i="40"/>
  <c r="BH333" i="40"/>
  <c r="BI333" i="40" s="1"/>
  <c r="BH344" i="40"/>
  <c r="BI344" i="40" s="1"/>
  <c r="BH356" i="40"/>
  <c r="BH364" i="40"/>
  <c r="BI364" i="40" s="1"/>
  <c r="BH376" i="40"/>
  <c r="BH382" i="40"/>
  <c r="BH399" i="40"/>
  <c r="BI399" i="40" s="1"/>
  <c r="BH404" i="40"/>
  <c r="BH12" i="40"/>
  <c r="BI12" i="40" s="1"/>
  <c r="BH50" i="40"/>
  <c r="BH72" i="40"/>
  <c r="BI72" i="40" s="1"/>
  <c r="BH106" i="40"/>
  <c r="BI106" i="40" s="1"/>
  <c r="BH138" i="40"/>
  <c r="BH150" i="40"/>
  <c r="BI150" i="40" s="1"/>
  <c r="BH176" i="40"/>
  <c r="BH186" i="40"/>
  <c r="BI186" i="40" s="1"/>
  <c r="BH195" i="40"/>
  <c r="BI195" i="40" s="1"/>
  <c r="BH208" i="40"/>
  <c r="BI208" i="40" s="1"/>
  <c r="BH215" i="40"/>
  <c r="BI215" i="40" s="1"/>
  <c r="BH237" i="40"/>
  <c r="BI237" i="40" s="1"/>
  <c r="BH13" i="40"/>
  <c r="BI13" i="40" s="1"/>
  <c r="BH23" i="40"/>
  <c r="BI23" i="40" s="1"/>
  <c r="BH30" i="40"/>
  <c r="BI30" i="40" s="1"/>
  <c r="BH75" i="40"/>
  <c r="BI75" i="40" s="1"/>
  <c r="BH86" i="40"/>
  <c r="BI86" i="40" s="1"/>
  <c r="BH114" i="40"/>
  <c r="BI114" i="40" s="1"/>
  <c r="BH121" i="40"/>
  <c r="BI121" i="40" s="1"/>
  <c r="BH187" i="40"/>
  <c r="BI187" i="40" s="1"/>
  <c r="BH206" i="40"/>
  <c r="BI206" i="40" s="1"/>
  <c r="BH226" i="40"/>
  <c r="BI226" i="40" s="1"/>
  <c r="BH234" i="40"/>
  <c r="BI234" i="40" s="1"/>
  <c r="BH244" i="40"/>
  <c r="BI244" i="40" s="1"/>
  <c r="BH267" i="40"/>
  <c r="BI267" i="40" s="1"/>
  <c r="BH288" i="40"/>
  <c r="BH330" i="40"/>
  <c r="BI330" i="40" s="1"/>
  <c r="BH388" i="40"/>
  <c r="BI388" i="40" s="1"/>
  <c r="BH402" i="40"/>
  <c r="BI402" i="40" s="1"/>
  <c r="BH407" i="40"/>
  <c r="BI407" i="40" s="1"/>
  <c r="BH42" i="40"/>
  <c r="BI42" i="40" s="1"/>
  <c r="BH63" i="40"/>
  <c r="BH18" i="40"/>
  <c r="BI18" i="40" s="1"/>
  <c r="BH36" i="40"/>
  <c r="BI36" i="40" s="1"/>
  <c r="BH88" i="40"/>
  <c r="BI88" i="40" s="1"/>
  <c r="BH117" i="40"/>
  <c r="BI117" i="40" s="1"/>
  <c r="BH127" i="40"/>
  <c r="BI127" i="40" s="1"/>
  <c r="BH143" i="40"/>
  <c r="BI143" i="40" s="1"/>
  <c r="BH152" i="40"/>
  <c r="BI152" i="40" s="1"/>
  <c r="BH167" i="40"/>
  <c r="BI167" i="40" s="1"/>
  <c r="BH172" i="40"/>
  <c r="BI172" i="40" s="1"/>
  <c r="BH182" i="40"/>
  <c r="BI182" i="40" s="1"/>
  <c r="BH197" i="40"/>
  <c r="BH207" i="40"/>
  <c r="BH217" i="40"/>
  <c r="BI217" i="40" s="1"/>
  <c r="BH241" i="40"/>
  <c r="BI241" i="40" s="1"/>
  <c r="BH251" i="40"/>
  <c r="BI251" i="40" s="1"/>
  <c r="BH268" i="40"/>
  <c r="BI268" i="40" s="1"/>
  <c r="BH277" i="40"/>
  <c r="BI277" i="40" s="1"/>
  <c r="BH293" i="40"/>
  <c r="BI293" i="40" s="1"/>
  <c r="BH294" i="40"/>
  <c r="BI294" i="40" s="1"/>
  <c r="BH309" i="40"/>
  <c r="BI309" i="40" s="1"/>
  <c r="BH343" i="40"/>
  <c r="BI343" i="40" s="1"/>
  <c r="BH359" i="40"/>
  <c r="BI359" i="40" s="1"/>
  <c r="BH395" i="40"/>
  <c r="BI395" i="40" s="1"/>
  <c r="BH38" i="40"/>
  <c r="BI38" i="40" s="1"/>
  <c r="BH58" i="40"/>
  <c r="BI58" i="40" s="1"/>
  <c r="BH99" i="40"/>
  <c r="BH120" i="40"/>
  <c r="BH140" i="40"/>
  <c r="BI140" i="40" s="1"/>
  <c r="BH155" i="40"/>
  <c r="BH184" i="40"/>
  <c r="BH191" i="40"/>
  <c r="BI191" i="40" s="1"/>
  <c r="BH204" i="40"/>
  <c r="BH214" i="40"/>
  <c r="BI214" i="40" s="1"/>
  <c r="BH227" i="40"/>
  <c r="BI227" i="40" s="1"/>
  <c r="BH239" i="40"/>
  <c r="BI239" i="40" s="1"/>
  <c r="BH247" i="40"/>
  <c r="BI247" i="40" s="1"/>
  <c r="BH253" i="40"/>
  <c r="BI253" i="40" s="1"/>
  <c r="BH266" i="40"/>
  <c r="BI266" i="40" s="1"/>
  <c r="BH282" i="40"/>
  <c r="BI282" i="40" s="1"/>
  <c r="BH287" i="40"/>
  <c r="BI287" i="40" s="1"/>
  <c r="BH299" i="40"/>
  <c r="BI299" i="40" s="1"/>
  <c r="BH308" i="40"/>
  <c r="BI308" i="40" s="1"/>
  <c r="BH316" i="40"/>
  <c r="BH322" i="40"/>
  <c r="BH325" i="40"/>
  <c r="BI325" i="40" s="1"/>
  <c r="BH336" i="40"/>
  <c r="BH351" i="40"/>
  <c r="BH372" i="40"/>
  <c r="BI372" i="40" s="1"/>
  <c r="BH378" i="40"/>
  <c r="BH385" i="40"/>
  <c r="BH389" i="40"/>
  <c r="BI389" i="40" s="1"/>
  <c r="BH401" i="40"/>
  <c r="BI401" i="40" s="1"/>
  <c r="BH406" i="40"/>
  <c r="BI406" i="40" s="1"/>
  <c r="BH41" i="40"/>
  <c r="BH60" i="40"/>
  <c r="BI60" i="40" s="1"/>
  <c r="BH91" i="40"/>
  <c r="BH126" i="40"/>
  <c r="BH142" i="40"/>
  <c r="BH159" i="40"/>
  <c r="BI159" i="40" s="1"/>
  <c r="BH181" i="40"/>
  <c r="BI181" i="40" s="1"/>
  <c r="BH193" i="40"/>
  <c r="BI193" i="40" s="1"/>
  <c r="BH203" i="40"/>
  <c r="BI203" i="40" s="1"/>
  <c r="BH219" i="40"/>
  <c r="BH224" i="40"/>
  <c r="BI224" i="40" s="1"/>
  <c r="BH7" i="40"/>
  <c r="BI7" i="40" s="1"/>
  <c r="BH17" i="40"/>
  <c r="BI17" i="40" s="1"/>
  <c r="BH27" i="40"/>
  <c r="BI27" i="40" s="1"/>
  <c r="BH33" i="40"/>
  <c r="BI33" i="40" s="1"/>
  <c r="BH79" i="40"/>
  <c r="BI79" i="40" s="1"/>
  <c r="BH107" i="40"/>
  <c r="BI107" i="40" s="1"/>
  <c r="BH116" i="40"/>
  <c r="BI116" i="40" s="1"/>
  <c r="BH134" i="40"/>
  <c r="BI134" i="40" s="1"/>
  <c r="BH200" i="40"/>
  <c r="BI200" i="40" s="1"/>
  <c r="BH228" i="40"/>
  <c r="BI228" i="40" s="1"/>
  <c r="BH230" i="40"/>
  <c r="BI230" i="40" s="1"/>
  <c r="BH240" i="40"/>
  <c r="BI240" i="40" s="1"/>
  <c r="BH262" i="40"/>
  <c r="BI262" i="40" s="1"/>
  <c r="BH279" i="40"/>
  <c r="BI279" i="40" s="1"/>
  <c r="BH313" i="40"/>
  <c r="BI313" i="40" s="1"/>
  <c r="BH383" i="40"/>
  <c r="BH398" i="40"/>
  <c r="BI398" i="40" s="1"/>
  <c r="BH405" i="40"/>
  <c r="BH26" i="40"/>
  <c r="BI26" i="40" s="1"/>
  <c r="BH52" i="40"/>
  <c r="BH8" i="40"/>
  <c r="BI8" i="40" s="1"/>
  <c r="BH31" i="40"/>
  <c r="BI31" i="40" s="1"/>
  <c r="BH76" i="40"/>
  <c r="BI76" i="40" s="1"/>
  <c r="BH101" i="40"/>
  <c r="BH122" i="40"/>
  <c r="BI122" i="40" s="1"/>
  <c r="BH135" i="40"/>
  <c r="BI135" i="40" s="1"/>
  <c r="BH147" i="40"/>
  <c r="BH164" i="40"/>
  <c r="BI164" i="40" s="1"/>
  <c r="BH170" i="40"/>
  <c r="BI170" i="40" s="1"/>
  <c r="BH179" i="40"/>
  <c r="BI179" i="40" s="1"/>
  <c r="BH188" i="40"/>
  <c r="BI188" i="40" s="1"/>
  <c r="BH201" i="40"/>
  <c r="BI201" i="40" s="1"/>
  <c r="BH216" i="40"/>
  <c r="BH220" i="40"/>
  <c r="BI220" i="40" s="1"/>
  <c r="BH245" i="40"/>
  <c r="BI245" i="40" s="1"/>
  <c r="BH259" i="40"/>
  <c r="BI259" i="40" s="1"/>
  <c r="BH276" i="40"/>
  <c r="BI276" i="40" s="1"/>
  <c r="BH285" i="40"/>
  <c r="BI285" i="40" s="1"/>
  <c r="BH297" i="40"/>
  <c r="BH298" i="40"/>
  <c r="BI298" i="40" s="1"/>
  <c r="BH314" i="40"/>
  <c r="BI314" i="40" s="1"/>
  <c r="BH320" i="40"/>
  <c r="BH327" i="40"/>
  <c r="BI327" i="40" s="1"/>
  <c r="BH334" i="40"/>
  <c r="BH348" i="40"/>
  <c r="BH352" i="40"/>
  <c r="BI352" i="40" s="1"/>
  <c r="BH361" i="40"/>
  <c r="BH365" i="40"/>
  <c r="BH374" i="40"/>
  <c r="BH393" i="40"/>
  <c r="BI393" i="40" s="1"/>
  <c r="BH403" i="40"/>
  <c r="BI403" i="40" s="1"/>
  <c r="BH37" i="40"/>
  <c r="BH55" i="40"/>
  <c r="BH14" i="40"/>
  <c r="BI14" i="40" s="1"/>
  <c r="BH318" i="40"/>
  <c r="BH349" i="40"/>
  <c r="BI349" i="40" s="1"/>
  <c r="BH386" i="40"/>
  <c r="BH67" i="40"/>
  <c r="BI67" i="40" s="1"/>
  <c r="BH363" i="40"/>
  <c r="BI363" i="40" s="1"/>
  <c r="BH337" i="40"/>
  <c r="BI337" i="40" s="1"/>
  <c r="BH370" i="40"/>
  <c r="BH45" i="40"/>
  <c r="BI45" i="40" s="1"/>
  <c r="BH34" i="40"/>
  <c r="BI34" i="40" s="1"/>
  <c r="BH65" i="40"/>
  <c r="BI65" i="40" s="1"/>
  <c r="BH95" i="40"/>
  <c r="BI95" i="40" s="1"/>
  <c r="BH119" i="40"/>
  <c r="BH15" i="40"/>
  <c r="BI15" i="40" s="1"/>
  <c r="BH21" i="40"/>
  <c r="BI21" i="40" s="1"/>
  <c r="BH44" i="40"/>
  <c r="BI44" i="40" s="1"/>
  <c r="BH51" i="40"/>
  <c r="BI51" i="40" s="1"/>
  <c r="BH57" i="40"/>
  <c r="BI57" i="40" s="1"/>
  <c r="BH66" i="40"/>
  <c r="BI66" i="40" s="1"/>
  <c r="BH71" i="40"/>
  <c r="BI71" i="40" s="1"/>
  <c r="BH92" i="40"/>
  <c r="BI92" i="40" s="1"/>
  <c r="BH102" i="40"/>
  <c r="BH124" i="40"/>
  <c r="BI124" i="40" s="1"/>
  <c r="BH144" i="40"/>
  <c r="BI144" i="40" s="1"/>
  <c r="BH154" i="40"/>
  <c r="BH168" i="40"/>
  <c r="BI168" i="40" s="1"/>
  <c r="BH175" i="40"/>
  <c r="BI175" i="40" s="1"/>
  <c r="BH183" i="40"/>
  <c r="BI183" i="40" s="1"/>
  <c r="BH202" i="40"/>
  <c r="BI202" i="40" s="1"/>
  <c r="BH218" i="40"/>
  <c r="BI218" i="40" s="1"/>
  <c r="BH236" i="40"/>
  <c r="BI236" i="40" s="1"/>
  <c r="BH246" i="40"/>
  <c r="BI246" i="40" s="1"/>
  <c r="BH252" i="40"/>
  <c r="BI252" i="40" s="1"/>
  <c r="BH274" i="40"/>
  <c r="BI274" i="40" s="1"/>
  <c r="BH286" i="40"/>
  <c r="BI286" i="40" s="1"/>
  <c r="BH295" i="40"/>
  <c r="BI295" i="40" s="1"/>
  <c r="BH307" i="40"/>
  <c r="BI307" i="40" s="1"/>
  <c r="BH315" i="40"/>
  <c r="BI315" i="40" s="1"/>
  <c r="BH332" i="40"/>
  <c r="BI332" i="40" s="1"/>
  <c r="BH346" i="40"/>
  <c r="BI346" i="40" s="1"/>
  <c r="BH353" i="40"/>
  <c r="BI353" i="40" s="1"/>
  <c r="BH400" i="40"/>
  <c r="BI400" i="40" s="1"/>
  <c r="BH331" i="40"/>
  <c r="BI331" i="40" s="1"/>
  <c r="BH362" i="40"/>
  <c r="BI362" i="40" s="1"/>
  <c r="BH10" i="40"/>
  <c r="BI10" i="40" s="1"/>
  <c r="BH323" i="40"/>
  <c r="BI323" i="40" s="1"/>
  <c r="BH357" i="40"/>
  <c r="BI357" i="40" s="1"/>
  <c r="BH396" i="40"/>
  <c r="BI396" i="40" s="1"/>
  <c r="BH24" i="40"/>
  <c r="BI24" i="40" s="1"/>
  <c r="BH39" i="40"/>
  <c r="BH83" i="40"/>
  <c r="BI83" i="40" s="1"/>
  <c r="BH108" i="40"/>
  <c r="BI108" i="40" s="1"/>
  <c r="BH9" i="40"/>
  <c r="BI9" i="40" s="1"/>
  <c r="BH19" i="40"/>
  <c r="BI19" i="40" s="1"/>
  <c r="BH25" i="40"/>
  <c r="BI25" i="40" s="1"/>
  <c r="BH49" i="40"/>
  <c r="BH53" i="40"/>
  <c r="BI53" i="40" s="1"/>
  <c r="BH59" i="40"/>
  <c r="BI59" i="40" s="1"/>
  <c r="BH68" i="40"/>
  <c r="BI68" i="40" s="1"/>
  <c r="BH84" i="40"/>
  <c r="BH94" i="40"/>
  <c r="BI94" i="40" s="1"/>
  <c r="BH112" i="40"/>
  <c r="BI112" i="40" s="1"/>
  <c r="BH128" i="40"/>
  <c r="BI128" i="40" s="1"/>
  <c r="BH149" i="40"/>
  <c r="BI149" i="40" s="1"/>
  <c r="BH158" i="40"/>
  <c r="BI158" i="40" s="1"/>
  <c r="BH173" i="40"/>
  <c r="BI173" i="40" s="1"/>
  <c r="BH180" i="40"/>
  <c r="BI180" i="40" s="1"/>
  <c r="BH192" i="40"/>
  <c r="BI192" i="40" s="1"/>
  <c r="BH210" i="40"/>
  <c r="BI210" i="40" s="1"/>
  <c r="BH221" i="40"/>
  <c r="BI221" i="40" s="1"/>
  <c r="BH238" i="40"/>
  <c r="BI238" i="40" s="1"/>
  <c r="BH250" i="40"/>
  <c r="BH265" i="40"/>
  <c r="BI265" i="40" s="1"/>
  <c r="BH281" i="40"/>
  <c r="BI281" i="40" s="1"/>
  <c r="BH290" i="40"/>
  <c r="BI290" i="40" s="1"/>
  <c r="BH303" i="40"/>
  <c r="BI303" i="40" s="1"/>
  <c r="BH310" i="40"/>
  <c r="BI310" i="40" s="1"/>
  <c r="BH324" i="40"/>
  <c r="BI324" i="40" s="1"/>
  <c r="BH338" i="40"/>
  <c r="BI338" i="40" s="1"/>
  <c r="BH350" i="40"/>
  <c r="BI350" i="40" s="1"/>
  <c r="BH358" i="40"/>
  <c r="BI358" i="40" s="1"/>
  <c r="BH369" i="40"/>
  <c r="BI369" i="40" s="1"/>
  <c r="BH3" i="40"/>
  <c r="BI3" i="40" s="1"/>
  <c r="BH355" i="40"/>
  <c r="BH375" i="40"/>
  <c r="BH342" i="40"/>
  <c r="BH269" i="40"/>
  <c r="BH98" i="40"/>
  <c r="BI98" i="40" s="1"/>
  <c r="BH254" i="40"/>
  <c r="BI254" i="40" s="1"/>
  <c r="BH97" i="40"/>
  <c r="BH341" i="40"/>
  <c r="BI341" i="40" s="1"/>
  <c r="BH196" i="40"/>
  <c r="BH77" i="40"/>
  <c r="BI77" i="40" s="1"/>
  <c r="BH82" i="40"/>
  <c r="BI82" i="40" s="1"/>
  <c r="BH381" i="40"/>
  <c r="BI381" i="40" s="1"/>
  <c r="BH312" i="40"/>
  <c r="BI312" i="40" s="1"/>
  <c r="BH273" i="40"/>
  <c r="BI273" i="40" s="1"/>
  <c r="BH4" i="40"/>
  <c r="BI4" i="40" s="1"/>
  <c r="BH130" i="40"/>
  <c r="BH270" i="40"/>
  <c r="BI270" i="40" s="1"/>
  <c r="BH161" i="40"/>
  <c r="BI161" i="40" s="1"/>
  <c r="BH87" i="40"/>
  <c r="BI87" i="40" s="1"/>
  <c r="BH340" i="40"/>
  <c r="BI340" i="40" s="1"/>
  <c r="BH296" i="40"/>
  <c r="BH242" i="40"/>
  <c r="BH169" i="40"/>
  <c r="BI169" i="40" s="1"/>
  <c r="BH148" i="40"/>
  <c r="BH235" i="40"/>
  <c r="BH78" i="40"/>
  <c r="BI78" i="40" s="1"/>
  <c r="BH255" i="40"/>
  <c r="BH271" i="40"/>
  <c r="BI271" i="40" s="1"/>
  <c r="BH111" i="40"/>
  <c r="BH54" i="40"/>
  <c r="BH384" i="40"/>
  <c r="BH229" i="40"/>
  <c r="BH368" i="40"/>
  <c r="BI368" i="40" s="1"/>
  <c r="BH306" i="40"/>
  <c r="BH283" i="40"/>
  <c r="BH248" i="40"/>
  <c r="BI248" i="40" s="1"/>
  <c r="BH166" i="40"/>
  <c r="BI166" i="40" s="1"/>
  <c r="BH115" i="40"/>
  <c r="BH35" i="40"/>
  <c r="BI35" i="40" s="1"/>
  <c r="BH394" i="40"/>
  <c r="BH366" i="40"/>
  <c r="BI366" i="40" s="1"/>
  <c r="BH258" i="40"/>
  <c r="BH29" i="40"/>
  <c r="BI29" i="40" s="1"/>
  <c r="BH80" i="40"/>
  <c r="BH380" i="40"/>
  <c r="BI380" i="40" s="1"/>
  <c r="BH329" i="40"/>
  <c r="BH392" i="40"/>
  <c r="BI392" i="40" s="1"/>
  <c r="BH367" i="40"/>
  <c r="BH136" i="40"/>
  <c r="BI136" i="40" s="1"/>
  <c r="BH89" i="40"/>
  <c r="BH390" i="40"/>
  <c r="BH198" i="40"/>
  <c r="BH131" i="40"/>
  <c r="BH153" i="40"/>
  <c r="BI153" i="40" s="1"/>
  <c r="BH110" i="40"/>
  <c r="BH257" i="40"/>
  <c r="BI257" i="40" s="1"/>
  <c r="BH377" i="40"/>
  <c r="BI377" i="40" s="1"/>
  <c r="BH300" i="40"/>
  <c r="BI300" i="40" s="1"/>
  <c r="BH162" i="40"/>
  <c r="BI162" i="40" s="1"/>
  <c r="BH56" i="40"/>
  <c r="BH103" i="40"/>
  <c r="BI103" i="40" s="1"/>
  <c r="BH47" i="40"/>
  <c r="BH5" i="40"/>
  <c r="BI5" i="40" s="1"/>
  <c r="BH146" i="40"/>
  <c r="BI146" i="40" s="1"/>
  <c r="BH81" i="40"/>
  <c r="BI81" i="40" s="1"/>
  <c r="BH43" i="40"/>
  <c r="BH156" i="40"/>
  <c r="BI156" i="40" s="1"/>
  <c r="BH129" i="40"/>
  <c r="BH371" i="40"/>
  <c r="BI371" i="40" s="1"/>
  <c r="BH379" i="40"/>
  <c r="BH61" i="40"/>
  <c r="BH223" i="40"/>
  <c r="BH225" i="40"/>
  <c r="BI225" i="40" s="1"/>
  <c r="BH261" i="40"/>
  <c r="BH213" i="40"/>
  <c r="BI213" i="40" s="1"/>
  <c r="BH137" i="40"/>
  <c r="BI137" i="40" s="1"/>
  <c r="BH233" i="40"/>
  <c r="BH141" i="40"/>
  <c r="BH20" i="40"/>
  <c r="BI20" i="40" s="1"/>
  <c r="BH123" i="40"/>
  <c r="BH177" i="40"/>
  <c r="BI177" i="40" s="1"/>
  <c r="BH321" i="40"/>
  <c r="BH278" i="40"/>
  <c r="BI278" i="40" s="1"/>
  <c r="BH40" i="40"/>
  <c r="BH211" i="40"/>
  <c r="BI211" i="40" s="1"/>
  <c r="BH345" i="40"/>
  <c r="BI345" i="40" s="1"/>
  <c r="BH209" i="40"/>
  <c r="BI209" i="40" s="1"/>
  <c r="BH125" i="40"/>
  <c r="BH373" i="40"/>
  <c r="BH328" i="40"/>
  <c r="BH256" i="40"/>
  <c r="BI256" i="40" s="1"/>
  <c r="BH205" i="40"/>
  <c r="BI205" i="40" s="1"/>
  <c r="BH160" i="40"/>
  <c r="BH260" i="40"/>
  <c r="BH118" i="40"/>
  <c r="BH289" i="40"/>
  <c r="BI289" i="40" s="1"/>
  <c r="BH397" i="40"/>
  <c r="BH335" i="40"/>
  <c r="BH263" i="40"/>
  <c r="BI263" i="40" s="1"/>
  <c r="BH96" i="40"/>
  <c r="BI96" i="40" s="1"/>
  <c r="BH32" i="40"/>
  <c r="BI32" i="40" s="1"/>
  <c r="BH280" i="40"/>
  <c r="BI280" i="40" s="1"/>
  <c r="BH69" i="40"/>
  <c r="BI69" i="40" s="1"/>
  <c r="BH317" i="40"/>
  <c r="BI317" i="40" s="1"/>
  <c r="BH292" i="40"/>
  <c r="BH275" i="40"/>
  <c r="BI275" i="40" s="1"/>
  <c r="BH190" i="40"/>
  <c r="BH178" i="40"/>
  <c r="BI178" i="40" s="1"/>
  <c r="BH74" i="40"/>
  <c r="BI74" i="40" s="1"/>
  <c r="BH16" i="40"/>
  <c r="BH304" i="40"/>
  <c r="BH231" i="40"/>
  <c r="BI231" i="40" s="1"/>
  <c r="BH163" i="40"/>
  <c r="BI163" i="40" s="1"/>
  <c r="BH48" i="40"/>
  <c r="BI48" i="40" s="1"/>
  <c r="BH354" i="40"/>
  <c r="BH93" i="40"/>
  <c r="BH302" i="40"/>
  <c r="BH104" i="40"/>
  <c r="BH28" i="40"/>
  <c r="BH301" i="40"/>
  <c r="BI301" i="40" s="1"/>
  <c r="BH171" i="40"/>
  <c r="BH185" i="40"/>
  <c r="BH133" i="40"/>
  <c r="BI133" i="40" s="1"/>
  <c r="BH6" i="40"/>
  <c r="BH90" i="40"/>
  <c r="BH360" i="40"/>
  <c r="BH194" i="40"/>
  <c r="BH151" i="40"/>
  <c r="BI151" i="40" s="1"/>
  <c r="BH109" i="40"/>
  <c r="BH73" i="40"/>
  <c r="BI73" i="40" s="1"/>
  <c r="BH11" i="40"/>
  <c r="BH157" i="40"/>
  <c r="BI157" i="40" s="1"/>
  <c r="BH100" i="40"/>
  <c r="BH70" i="40"/>
  <c r="BI70" i="40" s="1"/>
  <c r="BH165" i="40"/>
  <c r="BH139" i="40"/>
  <c r="BI139" i="40" s="1"/>
  <c r="BH64" i="40"/>
  <c r="BI120" i="40"/>
  <c r="N392" i="23"/>
  <c r="P392" i="23"/>
  <c r="O19" i="23"/>
  <c r="Q386" i="23"/>
  <c r="G415" i="1" s="1"/>
  <c r="Q23" i="23"/>
  <c r="Q18" i="23"/>
  <c r="Q17" i="23"/>
  <c r="Q19" i="23"/>
  <c r="R386" i="23"/>
  <c r="W3" i="61" s="1"/>
  <c r="P386" i="23"/>
  <c r="P3" i="61" s="1"/>
  <c r="Q20" i="23"/>
  <c r="Q25" i="23"/>
  <c r="Q387" i="23"/>
  <c r="G407" i="1" s="1"/>
  <c r="N393" i="23"/>
  <c r="R387" i="23"/>
  <c r="R393" i="23"/>
  <c r="N387" i="23"/>
  <c r="V11" i="23"/>
  <c r="V12" i="23"/>
  <c r="V8" i="23"/>
  <c r="Q22" i="23"/>
  <c r="Q388" i="23"/>
  <c r="Y407" i="1" s="1"/>
  <c r="O391" i="23"/>
  <c r="H77" i="1"/>
  <c r="V10" i="23"/>
  <c r="H399" i="23" s="1"/>
  <c r="V4" i="23"/>
  <c r="H71" i="1"/>
  <c r="V9" i="23"/>
  <c r="Z142" i="23" s="1"/>
  <c r="AA142" i="23" s="1"/>
  <c r="AB142" i="23" s="1"/>
  <c r="V6" i="23"/>
  <c r="H400" i="23" s="1"/>
  <c r="R385" i="23"/>
  <c r="V15" i="23"/>
  <c r="Q385" i="23"/>
  <c r="M415" i="1" s="1"/>
  <c r="V14" i="23"/>
  <c r="H402" i="23" s="1"/>
  <c r="N390" i="23"/>
  <c r="O14" i="23"/>
  <c r="V13" i="23"/>
  <c r="V5" i="23"/>
  <c r="V7" i="23"/>
  <c r="N388" i="23"/>
  <c r="N391" i="23"/>
  <c r="N385" i="23"/>
  <c r="R390" i="23"/>
  <c r="O388" i="23"/>
  <c r="R391" i="23"/>
  <c r="R388" i="23"/>
  <c r="Q389" i="23"/>
  <c r="S415" i="1" s="1"/>
  <c r="O22" i="23"/>
  <c r="P389" i="23"/>
  <c r="N389" i="23"/>
  <c r="O23" i="23"/>
  <c r="O17" i="23"/>
  <c r="O18" i="23"/>
  <c r="O20" i="23"/>
  <c r="O24" i="23"/>
  <c r="O21" i="23"/>
  <c r="O25" i="23"/>
  <c r="N15" i="23"/>
  <c r="M15" i="23"/>
  <c r="R94" i="23"/>
  <c r="A217" i="23"/>
  <c r="B216" i="23"/>
  <c r="AD169" i="71" l="1"/>
  <c r="Y139" i="18"/>
  <c r="R108" i="71"/>
  <c r="S107" i="71"/>
  <c r="Y135" i="18"/>
  <c r="AB135" i="18" s="1"/>
  <c r="M3" i="62"/>
  <c r="M3" i="70"/>
  <c r="CG14" i="70"/>
  <c r="CG13" i="70"/>
  <c r="CG11" i="70"/>
  <c r="CG8" i="70"/>
  <c r="CG6" i="70"/>
  <c r="CG12" i="70"/>
  <c r="CG10" i="70"/>
  <c r="CG9" i="70"/>
  <c r="CG7" i="70"/>
  <c r="Y147" i="18"/>
  <c r="Y144" i="18"/>
  <c r="FR256" i="40"/>
  <c r="FS255" i="40"/>
  <c r="EN256" i="40"/>
  <c r="EO255" i="40"/>
  <c r="FI254" i="40"/>
  <c r="FH255" i="40"/>
  <c r="EY257" i="40"/>
  <c r="EX258" i="40"/>
  <c r="ET254" i="40"/>
  <c r="ES255" i="40"/>
  <c r="FD252" i="40"/>
  <c r="FC253" i="40"/>
  <c r="ED255" i="40"/>
  <c r="EE254" i="40"/>
  <c r="EI255" i="40"/>
  <c r="EJ254" i="40"/>
  <c r="FN252" i="40"/>
  <c r="FM253" i="40"/>
  <c r="M2" i="49"/>
  <c r="DA3" i="40"/>
  <c r="DI404" i="40"/>
  <c r="DI400" i="40"/>
  <c r="DI396" i="40"/>
  <c r="DI392" i="40"/>
  <c r="DI388" i="40"/>
  <c r="DI384" i="40"/>
  <c r="DI380" i="40"/>
  <c r="DI376" i="40"/>
  <c r="DI372" i="40"/>
  <c r="DI368" i="40"/>
  <c r="DI364" i="40"/>
  <c r="DI360" i="40"/>
  <c r="DI356" i="40"/>
  <c r="DI352" i="40"/>
  <c r="DI348" i="40"/>
  <c r="DI343" i="40"/>
  <c r="DI338" i="40"/>
  <c r="DI406" i="40"/>
  <c r="DI401" i="40"/>
  <c r="DI395" i="40"/>
  <c r="DI390" i="40"/>
  <c r="DI385" i="40"/>
  <c r="DI379" i="40"/>
  <c r="DI374" i="40"/>
  <c r="DI369" i="40"/>
  <c r="DI363" i="40"/>
  <c r="DI358" i="40"/>
  <c r="DI353" i="40"/>
  <c r="DI347" i="40"/>
  <c r="DI340" i="40"/>
  <c r="DI335" i="40"/>
  <c r="DI331" i="40"/>
  <c r="DI327" i="40"/>
  <c r="DI323" i="40"/>
  <c r="DI319" i="40"/>
  <c r="DI315" i="40"/>
  <c r="DI311" i="40"/>
  <c r="DI307" i="40"/>
  <c r="DI303" i="40"/>
  <c r="DI299" i="40"/>
  <c r="DI295" i="40"/>
  <c r="DI291" i="40"/>
  <c r="DI287" i="40"/>
  <c r="DI283" i="40"/>
  <c r="DI279" i="40"/>
  <c r="DI275" i="40"/>
  <c r="DI271" i="40"/>
  <c r="DI267" i="40"/>
  <c r="DI263" i="40"/>
  <c r="DI258" i="40"/>
  <c r="DI254" i="40"/>
  <c r="DI250" i="40"/>
  <c r="DI246" i="40"/>
  <c r="DI242" i="40"/>
  <c r="DI238" i="40"/>
  <c r="DI234" i="40"/>
  <c r="DI230" i="40"/>
  <c r="DI226" i="40"/>
  <c r="DI222" i="40"/>
  <c r="DI217" i="40"/>
  <c r="DI213" i="40"/>
  <c r="DI209" i="40"/>
  <c r="DI205" i="40"/>
  <c r="DI201" i="40"/>
  <c r="DI197" i="40"/>
  <c r="DI193" i="40"/>
  <c r="DI189" i="40"/>
  <c r="DI185" i="40"/>
  <c r="DI181" i="40"/>
  <c r="DI177" i="40"/>
  <c r="DI173" i="40"/>
  <c r="DI169" i="40"/>
  <c r="DI165" i="40"/>
  <c r="DI161" i="40"/>
  <c r="DI157" i="40"/>
  <c r="DI152" i="40"/>
  <c r="DI148" i="40"/>
  <c r="DI144" i="40"/>
  <c r="DI140" i="40"/>
  <c r="DI136" i="40"/>
  <c r="DI132" i="40"/>
  <c r="DI128" i="40"/>
  <c r="DI124" i="40"/>
  <c r="DI120" i="40"/>
  <c r="DI116" i="40"/>
  <c r="DI112" i="40"/>
  <c r="DI108" i="40"/>
  <c r="DI104" i="40"/>
  <c r="DI100" i="40"/>
  <c r="DI96" i="40"/>
  <c r="DI92" i="40"/>
  <c r="DI88" i="40"/>
  <c r="DI84" i="40"/>
  <c r="DI80" i="40"/>
  <c r="DI76" i="40"/>
  <c r="DI72" i="40"/>
  <c r="DI68" i="40"/>
  <c r="DI64" i="40"/>
  <c r="DI60" i="40"/>
  <c r="DI56" i="40"/>
  <c r="DI52" i="40"/>
  <c r="DI48" i="40"/>
  <c r="DI44" i="40"/>
  <c r="DI40" i="40"/>
  <c r="DI36" i="40"/>
  <c r="DI32" i="40"/>
  <c r="DI28" i="40"/>
  <c r="DI24" i="40"/>
  <c r="DI19" i="40"/>
  <c r="DI15" i="40"/>
  <c r="DI11" i="40"/>
  <c r="DI7" i="40"/>
  <c r="DI3" i="40"/>
  <c r="DH404" i="40"/>
  <c r="DH400" i="40"/>
  <c r="DH396" i="40"/>
  <c r="DH392" i="40"/>
  <c r="DH388" i="40"/>
  <c r="DH384" i="40"/>
  <c r="DH380" i="40"/>
  <c r="DH376" i="40"/>
  <c r="DH372" i="40"/>
  <c r="DH368" i="40"/>
  <c r="DH364" i="40"/>
  <c r="DH360" i="40"/>
  <c r="DH356" i="40"/>
  <c r="DH352" i="40"/>
  <c r="DH348" i="40"/>
  <c r="DH344" i="40"/>
  <c r="DH340" i="40"/>
  <c r="DH336" i="40"/>
  <c r="DH332" i="40"/>
  <c r="DH328" i="40"/>
  <c r="DH324" i="40"/>
  <c r="DH320" i="40"/>
  <c r="DH316" i="40"/>
  <c r="DH312" i="40"/>
  <c r="DH308" i="40"/>
  <c r="DH304" i="40"/>
  <c r="DH300" i="40"/>
  <c r="DH296" i="40"/>
  <c r="DH292" i="40"/>
  <c r="DH288" i="40"/>
  <c r="DH284" i="40"/>
  <c r="DH280" i="40"/>
  <c r="DH276" i="40"/>
  <c r="DH272" i="40"/>
  <c r="DH268" i="40"/>
  <c r="DH264" i="40"/>
  <c r="DH260" i="40"/>
  <c r="DH256" i="40"/>
  <c r="DH252" i="40"/>
  <c r="DH248" i="40"/>
  <c r="DH244" i="40"/>
  <c r="DH240" i="40"/>
  <c r="DH236" i="40"/>
  <c r="DH232" i="40"/>
  <c r="DH228" i="40"/>
  <c r="DH224" i="40"/>
  <c r="DH220" i="40"/>
  <c r="DH216" i="40"/>
  <c r="DH212" i="40"/>
  <c r="DH208" i="40"/>
  <c r="DH204" i="40"/>
  <c r="DH200" i="40"/>
  <c r="DH196" i="40"/>
  <c r="DH192" i="40"/>
  <c r="DH188" i="40"/>
  <c r="DH183" i="40"/>
  <c r="DH179" i="40"/>
  <c r="DH175" i="40"/>
  <c r="DH171" i="40"/>
  <c r="DH167" i="40"/>
  <c r="DH163" i="40"/>
  <c r="DH159" i="40"/>
  <c r="DH155" i="40"/>
  <c r="DH151" i="40"/>
  <c r="DH147" i="40"/>
  <c r="DH143" i="40"/>
  <c r="DH139" i="40"/>
  <c r="DH135" i="40"/>
  <c r="DH131" i="40"/>
  <c r="DH127" i="40"/>
  <c r="DH123" i="40"/>
  <c r="DH119" i="40"/>
  <c r="DH114" i="40"/>
  <c r="DH110" i="40"/>
  <c r="DH106" i="40"/>
  <c r="DH102" i="40"/>
  <c r="DH98" i="40"/>
  <c r="DH94" i="40"/>
  <c r="DH90" i="40"/>
  <c r="DH86" i="40"/>
  <c r="DH82" i="40"/>
  <c r="DH77" i="40"/>
  <c r="DH73" i="40"/>
  <c r="DH69" i="40"/>
  <c r="DH65" i="40"/>
  <c r="DH61" i="40"/>
  <c r="DH57" i="40"/>
  <c r="DH53" i="40"/>
  <c r="DH49" i="40"/>
  <c r="DH45" i="40"/>
  <c r="DH41" i="40"/>
  <c r="DH37" i="40"/>
  <c r="DH33" i="40"/>
  <c r="DH29" i="40"/>
  <c r="DH25" i="40"/>
  <c r="DH21" i="40"/>
  <c r="DH17" i="40"/>
  <c r="DH12" i="40"/>
  <c r="DH8" i="40"/>
  <c r="DH4" i="40"/>
  <c r="DG405" i="40"/>
  <c r="DG401" i="40"/>
  <c r="DG397" i="40"/>
  <c r="DG393" i="40"/>
  <c r="DG389" i="40"/>
  <c r="DG385" i="40"/>
  <c r="DG381" i="40"/>
  <c r="DG377" i="40"/>
  <c r="DG373" i="40"/>
  <c r="DG369" i="40"/>
  <c r="DG365" i="40"/>
  <c r="DG361" i="40"/>
  <c r="DG357" i="40"/>
  <c r="DG353" i="40"/>
  <c r="DG349" i="40"/>
  <c r="DG345" i="40"/>
  <c r="DG341" i="40"/>
  <c r="DG337" i="40"/>
  <c r="DG333" i="40"/>
  <c r="DG329" i="40"/>
  <c r="DG325" i="40"/>
  <c r="DG320" i="40"/>
  <c r="DG316" i="40"/>
  <c r="DG312" i="40"/>
  <c r="DG308" i="40"/>
  <c r="DG304" i="40"/>
  <c r="DG300" i="40"/>
  <c r="DG296" i="40"/>
  <c r="DG292" i="40"/>
  <c r="DG288" i="40"/>
  <c r="DG284" i="40"/>
  <c r="DG279" i="40"/>
  <c r="DG274" i="40"/>
  <c r="DG270" i="40"/>
  <c r="DG266" i="40"/>
  <c r="DG262" i="40"/>
  <c r="DG258" i="40"/>
  <c r="DG253" i="40"/>
  <c r="DG249" i="40"/>
  <c r="DG245" i="40"/>
  <c r="DG241" i="40"/>
  <c r="DG237" i="40"/>
  <c r="DG233" i="40"/>
  <c r="DG229" i="40"/>
  <c r="DG225" i="40"/>
  <c r="DG221" i="40"/>
  <c r="DG217" i="40"/>
  <c r="DG213" i="40"/>
  <c r="DG209" i="40"/>
  <c r="DG205" i="40"/>
  <c r="DG201" i="40"/>
  <c r="DG197" i="40"/>
  <c r="DG193" i="40"/>
  <c r="DG189" i="40"/>
  <c r="DG185" i="40"/>
  <c r="DG181" i="40"/>
  <c r="DG177" i="40"/>
  <c r="DG173" i="40"/>
  <c r="DG169" i="40"/>
  <c r="DG165" i="40"/>
  <c r="DG161" i="40"/>
  <c r="DG157" i="40"/>
  <c r="DG153" i="40"/>
  <c r="DG149" i="40"/>
  <c r="DG145" i="40"/>
  <c r="DG140" i="40"/>
  <c r="DG136" i="40"/>
  <c r="DG132" i="40"/>
  <c r="DG128" i="40"/>
  <c r="DG124" i="40"/>
  <c r="DG119" i="40"/>
  <c r="DG115" i="40"/>
  <c r="DG111" i="40"/>
  <c r="DG106" i="40"/>
  <c r="DG102" i="40"/>
  <c r="DG98" i="40"/>
  <c r="DG94" i="40"/>
  <c r="DG90" i="40"/>
  <c r="DG86" i="40"/>
  <c r="DG82" i="40"/>
  <c r="DG78" i="40"/>
  <c r="DG74" i="40"/>
  <c r="DG70" i="40"/>
  <c r="DG65" i="40"/>
  <c r="DG61" i="40"/>
  <c r="DG57" i="40"/>
  <c r="DG53" i="40"/>
  <c r="DG49" i="40"/>
  <c r="DG45" i="40"/>
  <c r="DG41" i="40"/>
  <c r="DG37" i="40"/>
  <c r="DG33" i="40"/>
  <c r="DG29" i="40"/>
  <c r="DG25" i="40"/>
  <c r="DG21" i="40"/>
  <c r="DG17" i="40"/>
  <c r="DG13" i="40"/>
  <c r="DG9" i="40"/>
  <c r="DG5" i="40"/>
  <c r="DF406" i="40"/>
  <c r="DF402" i="40"/>
  <c r="DF398" i="40"/>
  <c r="DF394" i="40"/>
  <c r="DF390" i="40"/>
  <c r="DF386" i="40"/>
  <c r="DF382" i="40"/>
  <c r="DF378" i="40"/>
  <c r="DF374" i="40"/>
  <c r="DF370" i="40"/>
  <c r="DF366" i="40"/>
  <c r="DF361" i="40"/>
  <c r="DF357" i="40"/>
  <c r="DF353" i="40"/>
  <c r="DF349" i="40"/>
  <c r="DF345" i="40"/>
  <c r="DF340" i="40"/>
  <c r="DF336" i="40"/>
  <c r="DI405" i="40"/>
  <c r="DI399" i="40"/>
  <c r="DI394" i="40"/>
  <c r="DI389" i="40"/>
  <c r="DI383" i="40"/>
  <c r="DI378" i="40"/>
  <c r="DI373" i="40"/>
  <c r="DI367" i="40"/>
  <c r="DI362" i="40"/>
  <c r="DI357" i="40"/>
  <c r="DI351" i="40"/>
  <c r="DI346" i="40"/>
  <c r="DI339" i="40"/>
  <c r="DI334" i="40"/>
  <c r="DI330" i="40"/>
  <c r="DI326" i="40"/>
  <c r="DI322" i="40"/>
  <c r="DI318" i="40"/>
  <c r="DI314" i="40"/>
  <c r="DI310" i="40"/>
  <c r="DI306" i="40"/>
  <c r="DI302" i="40"/>
  <c r="DI298" i="40"/>
  <c r="DI294" i="40"/>
  <c r="DI290" i="40"/>
  <c r="DI286" i="40"/>
  <c r="DI282" i="40"/>
  <c r="DI278" i="40"/>
  <c r="DI274" i="40"/>
  <c r="DI270" i="40"/>
  <c r="DI266" i="40"/>
  <c r="DI262" i="40"/>
  <c r="DI257" i="40"/>
  <c r="DI253" i="40"/>
  <c r="DI249" i="40"/>
  <c r="DI245" i="40"/>
  <c r="DI241" i="40"/>
  <c r="DI237" i="40"/>
  <c r="DI233" i="40"/>
  <c r="DI229" i="40"/>
  <c r="DI225" i="40"/>
  <c r="DI220" i="40"/>
  <c r="DI216" i="40"/>
  <c r="DI212" i="40"/>
  <c r="DI208" i="40"/>
  <c r="DI204" i="40"/>
  <c r="DI200" i="40"/>
  <c r="DI196" i="40"/>
  <c r="DI192" i="40"/>
  <c r="DI188" i="40"/>
  <c r="DI184" i="40"/>
  <c r="DI180" i="40"/>
  <c r="DI176" i="40"/>
  <c r="DI172" i="40"/>
  <c r="DI168" i="40"/>
  <c r="DI164" i="40"/>
  <c r="DI160" i="40"/>
  <c r="DI156" i="40"/>
  <c r="DI151" i="40"/>
  <c r="DI147" i="40"/>
  <c r="DI143" i="40"/>
  <c r="DI139" i="40"/>
  <c r="DI135" i="40"/>
  <c r="DI131" i="40"/>
  <c r="DI127" i="40"/>
  <c r="DI123" i="40"/>
  <c r="DI119" i="40"/>
  <c r="DI115" i="40"/>
  <c r="DI111" i="40"/>
  <c r="DI107" i="40"/>
  <c r="DI103" i="40"/>
  <c r="DI99" i="40"/>
  <c r="DI95" i="40"/>
  <c r="DI91" i="40"/>
  <c r="DI87" i="40"/>
  <c r="DI83" i="40"/>
  <c r="DI79" i="40"/>
  <c r="DI75" i="40"/>
  <c r="DI71" i="40"/>
  <c r="DI67" i="40"/>
  <c r="DI63" i="40"/>
  <c r="DI59" i="40"/>
  <c r="DI55" i="40"/>
  <c r="DI51" i="40"/>
  <c r="DI47" i="40"/>
  <c r="DI43" i="40"/>
  <c r="DI39" i="40"/>
  <c r="DI35" i="40"/>
  <c r="DI31" i="40"/>
  <c r="DI27" i="40"/>
  <c r="DI23" i="40"/>
  <c r="DI18" i="40"/>
  <c r="DI14" i="40"/>
  <c r="DI10" i="40"/>
  <c r="DI6" i="40"/>
  <c r="DH407" i="40"/>
  <c r="DH403" i="40"/>
  <c r="DH399" i="40"/>
  <c r="DH395" i="40"/>
  <c r="DH391" i="40"/>
  <c r="DH387" i="40"/>
  <c r="DH383" i="40"/>
  <c r="DH379" i="40"/>
  <c r="DH375" i="40"/>
  <c r="DH371" i="40"/>
  <c r="DH367" i="40"/>
  <c r="DH363" i="40"/>
  <c r="DH359" i="40"/>
  <c r="DH355" i="40"/>
  <c r="DH351" i="40"/>
  <c r="DH347" i="40"/>
  <c r="DH343" i="40"/>
  <c r="DH339" i="40"/>
  <c r="DH335" i="40"/>
  <c r="DH331" i="40"/>
  <c r="DH327" i="40"/>
  <c r="DH323" i="40"/>
  <c r="DH319" i="40"/>
  <c r="DH315" i="40"/>
  <c r="DH311" i="40"/>
  <c r="DH307" i="40"/>
  <c r="DH303" i="40"/>
  <c r="DH299" i="40"/>
  <c r="DH295" i="40"/>
  <c r="DH291" i="40"/>
  <c r="DH287" i="40"/>
  <c r="DH283" i="40"/>
  <c r="DH279" i="40"/>
  <c r="DH275" i="40"/>
  <c r="DH271" i="40"/>
  <c r="DH267" i="40"/>
  <c r="DH263" i="40"/>
  <c r="DH259" i="40"/>
  <c r="DH255" i="40"/>
  <c r="DH251" i="40"/>
  <c r="DH247" i="40"/>
  <c r="DH243" i="40"/>
  <c r="DH239" i="40"/>
  <c r="DH235" i="40"/>
  <c r="DH231" i="40"/>
  <c r="DH227" i="40"/>
  <c r="DH223" i="40"/>
  <c r="DH219" i="40"/>
  <c r="DH215" i="40"/>
  <c r="DH211" i="40"/>
  <c r="DH207" i="40"/>
  <c r="DH203" i="40"/>
  <c r="DH199" i="40"/>
  <c r="DH195" i="40"/>
  <c r="DH191" i="40"/>
  <c r="DH187" i="40"/>
  <c r="DH182" i="40"/>
  <c r="DH178" i="40"/>
  <c r="DH174" i="40"/>
  <c r="DH170" i="40"/>
  <c r="DH166" i="40"/>
  <c r="DH162" i="40"/>
  <c r="DH158" i="40"/>
  <c r="DH154" i="40"/>
  <c r="DH150" i="40"/>
  <c r="DH146" i="40"/>
  <c r="DH142" i="40"/>
  <c r="DH138" i="40"/>
  <c r="DH134" i="40"/>
  <c r="DH130" i="40"/>
  <c r="DH126" i="40"/>
  <c r="DH122" i="40"/>
  <c r="DH118" i="40"/>
  <c r="DH113" i="40"/>
  <c r="DH109" i="40"/>
  <c r="DH105" i="40"/>
  <c r="DH101" i="40"/>
  <c r="DH97" i="40"/>
  <c r="DH93" i="40"/>
  <c r="DH89" i="40"/>
  <c r="DH85" i="40"/>
  <c r="DH81" i="40"/>
  <c r="DH76" i="40"/>
  <c r="DH72" i="40"/>
  <c r="DH68" i="40"/>
  <c r="DH64" i="40"/>
  <c r="DH60" i="40"/>
  <c r="DH56" i="40"/>
  <c r="DH52" i="40"/>
  <c r="DH48" i="40"/>
  <c r="DH44" i="40"/>
  <c r="DH40" i="40"/>
  <c r="DH36" i="40"/>
  <c r="DH32" i="40"/>
  <c r="DH28" i="40"/>
  <c r="DH24" i="40"/>
  <c r="DH20" i="40"/>
  <c r="DH16" i="40"/>
  <c r="DH11" i="40"/>
  <c r="DH7" i="40"/>
  <c r="DH3" i="40"/>
  <c r="DG404" i="40"/>
  <c r="DG400" i="40"/>
  <c r="DG396" i="40"/>
  <c r="DG392" i="40"/>
  <c r="DG388" i="40"/>
  <c r="DG384" i="40"/>
  <c r="DG380" i="40"/>
  <c r="DG376" i="40"/>
  <c r="DG372" i="40"/>
  <c r="DG368" i="40"/>
  <c r="DG364" i="40"/>
  <c r="DG360" i="40"/>
  <c r="DG356" i="40"/>
  <c r="DG352" i="40"/>
  <c r="DG348" i="40"/>
  <c r="DG344" i="40"/>
  <c r="DG340" i="40"/>
  <c r="DG336" i="40"/>
  <c r="DG332" i="40"/>
  <c r="DG328" i="40"/>
  <c r="DG323" i="40"/>
  <c r="DG319" i="40"/>
  <c r="DG315" i="40"/>
  <c r="DG311" i="40"/>
  <c r="DG307" i="40"/>
  <c r="DG303" i="40"/>
  <c r="DG299" i="40"/>
  <c r="DG295" i="40"/>
  <c r="DG291" i="40"/>
  <c r="DG287" i="40"/>
  <c r="DG283" i="40"/>
  <c r="DG277" i="40"/>
  <c r="DG273" i="40"/>
  <c r="DG269" i="40"/>
  <c r="DG265" i="40"/>
  <c r="DG261" i="40"/>
  <c r="DG257" i="40"/>
  <c r="DG252" i="40"/>
  <c r="DG248" i="40"/>
  <c r="DG244" i="40"/>
  <c r="DG240" i="40"/>
  <c r="DG236" i="40"/>
  <c r="DG232" i="40"/>
  <c r="DG228" i="40"/>
  <c r="DG224" i="40"/>
  <c r="DG220" i="40"/>
  <c r="DG216" i="40"/>
  <c r="DG212" i="40"/>
  <c r="DG208" i="40"/>
  <c r="DG204" i="40"/>
  <c r="DG200" i="40"/>
  <c r="DG196" i="40"/>
  <c r="DG192" i="40"/>
  <c r="DG188" i="40"/>
  <c r="DG184" i="40"/>
  <c r="DG180" i="40"/>
  <c r="DG176" i="40"/>
  <c r="DG172" i="40"/>
  <c r="DG168" i="40"/>
  <c r="DG164" i="40"/>
  <c r="DG160" i="40"/>
  <c r="DG156" i="40"/>
  <c r="DG152" i="40"/>
  <c r="DG148" i="40"/>
  <c r="DG144" i="40"/>
  <c r="DG139" i="40"/>
  <c r="DG135" i="40"/>
  <c r="DG131" i="40"/>
  <c r="DG127" i="40"/>
  <c r="DG122" i="40"/>
  <c r="DG118" i="40"/>
  <c r="DG114" i="40"/>
  <c r="DG110" i="40"/>
  <c r="DG105" i="40"/>
  <c r="DG101" i="40"/>
  <c r="DG97" i="40"/>
  <c r="DG93" i="40"/>
  <c r="DG89" i="40"/>
  <c r="DG85" i="40"/>
  <c r="DG81" i="40"/>
  <c r="DI403" i="40"/>
  <c r="DI398" i="40"/>
  <c r="DI393" i="40"/>
  <c r="DI387" i="40"/>
  <c r="DI382" i="40"/>
  <c r="DI377" i="40"/>
  <c r="DI371" i="40"/>
  <c r="DI366" i="40"/>
  <c r="DI361" i="40"/>
  <c r="DI355" i="40"/>
  <c r="DI350" i="40"/>
  <c r="DI345" i="40"/>
  <c r="DI337" i="40"/>
  <c r="DI333" i="40"/>
  <c r="DI329" i="40"/>
  <c r="DI325" i="40"/>
  <c r="DI321" i="40"/>
  <c r="DI317" i="40"/>
  <c r="DI313" i="40"/>
  <c r="DI309" i="40"/>
  <c r="DI305" i="40"/>
  <c r="DI301" i="40"/>
  <c r="DI297" i="40"/>
  <c r="DI293" i="40"/>
  <c r="DI289" i="40"/>
  <c r="DI285" i="40"/>
  <c r="DI281" i="40"/>
  <c r="DI277" i="40"/>
  <c r="DI273" i="40"/>
  <c r="DI269" i="40"/>
  <c r="DI265" i="40"/>
  <c r="DI261" i="40"/>
  <c r="DI256" i="40"/>
  <c r="DI252" i="40"/>
  <c r="DI248" i="40"/>
  <c r="DI244" i="40"/>
  <c r="DI240" i="40"/>
  <c r="DI236" i="40"/>
  <c r="DI232" i="40"/>
  <c r="DI228" i="40"/>
  <c r="DI224" i="40"/>
  <c r="DI219" i="40"/>
  <c r="DI215" i="40"/>
  <c r="DI211" i="40"/>
  <c r="DI207" i="40"/>
  <c r="DI203" i="40"/>
  <c r="DI199" i="40"/>
  <c r="DI195" i="40"/>
  <c r="DI191" i="40"/>
  <c r="DI187" i="40"/>
  <c r="DI183" i="40"/>
  <c r="DI179" i="40"/>
  <c r="DI175" i="40"/>
  <c r="DI171" i="40"/>
  <c r="DI167" i="40"/>
  <c r="DI163" i="40"/>
  <c r="DI159" i="40"/>
  <c r="DI154" i="40"/>
  <c r="DI150" i="40"/>
  <c r="DI146" i="40"/>
  <c r="DI142" i="40"/>
  <c r="DI138" i="40"/>
  <c r="DI134" i="40"/>
  <c r="DI130" i="40"/>
  <c r="DI126" i="40"/>
  <c r="DI122" i="40"/>
  <c r="DI118" i="40"/>
  <c r="DI114" i="40"/>
  <c r="DI110" i="40"/>
  <c r="DI106" i="40"/>
  <c r="DI102" i="40"/>
  <c r="DI98" i="40"/>
  <c r="DI94" i="40"/>
  <c r="DI90" i="40"/>
  <c r="DI86" i="40"/>
  <c r="DI82" i="40"/>
  <c r="DI78" i="40"/>
  <c r="DI74" i="40"/>
  <c r="DI70" i="40"/>
  <c r="DI66" i="40"/>
  <c r="DI62" i="40"/>
  <c r="DI58" i="40"/>
  <c r="DI54" i="40"/>
  <c r="DI50" i="40"/>
  <c r="DI46" i="40"/>
  <c r="DI42" i="40"/>
  <c r="DI38" i="40"/>
  <c r="DI34" i="40"/>
  <c r="DI30" i="40"/>
  <c r="DI26" i="40"/>
  <c r="DI22" i="40"/>
  <c r="DI17" i="40"/>
  <c r="DI13" i="40"/>
  <c r="DI9" i="40"/>
  <c r="DI5" i="40"/>
  <c r="DH406" i="40"/>
  <c r="DH402" i="40"/>
  <c r="DH398" i="40"/>
  <c r="DH394" i="40"/>
  <c r="DH390" i="40"/>
  <c r="DH386" i="40"/>
  <c r="DH382" i="40"/>
  <c r="DH378" i="40"/>
  <c r="DH374" i="40"/>
  <c r="DH370" i="40"/>
  <c r="DH366" i="40"/>
  <c r="DH362" i="40"/>
  <c r="DH358" i="40"/>
  <c r="DH354" i="40"/>
  <c r="DH350" i="40"/>
  <c r="DH346" i="40"/>
  <c r="DH342" i="40"/>
  <c r="DH338" i="40"/>
  <c r="DH334" i="40"/>
  <c r="DH330" i="40"/>
  <c r="DH326" i="40"/>
  <c r="DH322" i="40"/>
  <c r="DH318" i="40"/>
  <c r="DH314" i="40"/>
  <c r="DH310" i="40"/>
  <c r="DH306" i="40"/>
  <c r="DH302" i="40"/>
  <c r="DH298" i="40"/>
  <c r="DH294" i="40"/>
  <c r="DH290" i="40"/>
  <c r="DH286" i="40"/>
  <c r="DH282" i="40"/>
  <c r="DH278" i="40"/>
  <c r="DH274" i="40"/>
  <c r="DH270" i="40"/>
  <c r="DH266" i="40"/>
  <c r="DH262" i="40"/>
  <c r="DH258" i="40"/>
  <c r="DH254" i="40"/>
  <c r="DH250" i="40"/>
  <c r="DH246" i="40"/>
  <c r="DH242" i="40"/>
  <c r="DH238" i="40"/>
  <c r="DH234" i="40"/>
  <c r="DH230" i="40"/>
  <c r="DH226" i="40"/>
  <c r="DH222" i="40"/>
  <c r="DH218" i="40"/>
  <c r="DH214" i="40"/>
  <c r="DH210" i="40"/>
  <c r="DH206" i="40"/>
  <c r="DH202" i="40"/>
  <c r="DH198" i="40"/>
  <c r="DH194" i="40"/>
  <c r="DH190" i="40"/>
  <c r="DH185" i="40"/>
  <c r="DH181" i="40"/>
  <c r="DH177" i="40"/>
  <c r="DH173" i="40"/>
  <c r="DH169" i="40"/>
  <c r="DH165" i="40"/>
  <c r="DH161" i="40"/>
  <c r="DH157" i="40"/>
  <c r="DH153" i="40"/>
  <c r="DH149" i="40"/>
  <c r="DH145" i="40"/>
  <c r="DH141" i="40"/>
  <c r="DH137" i="40"/>
  <c r="DH133" i="40"/>
  <c r="DH129" i="40"/>
  <c r="DH125" i="40"/>
  <c r="DH121" i="40"/>
  <c r="DH117" i="40"/>
  <c r="DH112" i="40"/>
  <c r="DH108" i="40"/>
  <c r="DH104" i="40"/>
  <c r="DH100" i="40"/>
  <c r="DH96" i="40"/>
  <c r="DH92" i="40"/>
  <c r="DH88" i="40"/>
  <c r="DH84" i="40"/>
  <c r="DH80" i="40"/>
  <c r="DH75" i="40"/>
  <c r="DH71" i="40"/>
  <c r="DH67" i="40"/>
  <c r="DH63" i="40"/>
  <c r="DH59" i="40"/>
  <c r="DH55" i="40"/>
  <c r="DH51" i="40"/>
  <c r="DH47" i="40"/>
  <c r="DH43" i="40"/>
  <c r="DH39" i="40"/>
  <c r="DH35" i="40"/>
  <c r="DH31" i="40"/>
  <c r="DH27" i="40"/>
  <c r="DH23" i="40"/>
  <c r="DH19" i="40"/>
  <c r="DH15" i="40"/>
  <c r="DH10" i="40"/>
  <c r="DH6" i="40"/>
  <c r="DG407" i="40"/>
  <c r="DG403" i="40"/>
  <c r="DG399" i="40"/>
  <c r="DG395" i="40"/>
  <c r="DG391" i="40"/>
  <c r="DG387" i="40"/>
  <c r="DG383" i="40"/>
  <c r="DG379" i="40"/>
  <c r="DG375" i="40"/>
  <c r="DG371" i="40"/>
  <c r="DG367" i="40"/>
  <c r="DG363" i="40"/>
  <c r="DG359" i="40"/>
  <c r="DG355" i="40"/>
  <c r="DG351" i="40"/>
  <c r="DG347" i="40"/>
  <c r="DG343" i="40"/>
  <c r="DG339" i="40"/>
  <c r="DG335" i="40"/>
  <c r="DG331" i="40"/>
  <c r="DG327" i="40"/>
  <c r="DG322" i="40"/>
  <c r="DG318" i="40"/>
  <c r="DG314" i="40"/>
  <c r="DG310" i="40"/>
  <c r="DG306" i="40"/>
  <c r="DG302" i="40"/>
  <c r="DG298" i="40"/>
  <c r="DG294" i="40"/>
  <c r="DG290" i="40"/>
  <c r="DG286" i="40"/>
  <c r="DG281" i="40"/>
  <c r="DG276" i="40"/>
  <c r="DG272" i="40"/>
  <c r="DG268" i="40"/>
  <c r="DG264" i="40"/>
  <c r="DG260" i="40"/>
  <c r="DG256" i="40"/>
  <c r="DG251" i="40"/>
  <c r="DG247" i="40"/>
  <c r="DG243" i="40"/>
  <c r="DG239" i="40"/>
  <c r="DG235" i="40"/>
  <c r="DG231" i="40"/>
  <c r="DG227" i="40"/>
  <c r="DG223" i="40"/>
  <c r="DG219" i="40"/>
  <c r="DG215" i="40"/>
  <c r="DG211" i="40"/>
  <c r="DG207" i="40"/>
  <c r="DG203" i="40"/>
  <c r="DG199" i="40"/>
  <c r="DG195" i="40"/>
  <c r="DG191" i="40"/>
  <c r="DG187" i="40"/>
  <c r="DG183" i="40"/>
  <c r="DG179" i="40"/>
  <c r="DG175" i="40"/>
  <c r="DG171" i="40"/>
  <c r="DG167" i="40"/>
  <c r="DG163" i="40"/>
  <c r="DG159" i="40"/>
  <c r="DG155" i="40"/>
  <c r="DG151" i="40"/>
  <c r="DG147" i="40"/>
  <c r="DG143" i="40"/>
  <c r="DG138" i="40"/>
  <c r="DG134" i="40"/>
  <c r="DG130" i="40"/>
  <c r="DG126" i="40"/>
  <c r="DG121" i="40"/>
  <c r="DG117" i="40"/>
  <c r="DG113" i="40"/>
  <c r="DG109" i="40"/>
  <c r="DG104" i="40"/>
  <c r="DG100" i="40"/>
  <c r="DG96" i="40"/>
  <c r="DG92" i="40"/>
  <c r="DG88" i="40"/>
  <c r="DG84" i="40"/>
  <c r="DG80" i="40"/>
  <c r="DG76" i="40"/>
  <c r="DG72" i="40"/>
  <c r="DG68" i="40"/>
  <c r="DG63" i="40"/>
  <c r="DG59" i="40"/>
  <c r="DG55" i="40"/>
  <c r="DG51" i="40"/>
  <c r="DG47" i="40"/>
  <c r="DG43" i="40"/>
  <c r="DG39" i="40"/>
  <c r="DG35" i="40"/>
  <c r="DG31" i="40"/>
  <c r="DG27" i="40"/>
  <c r="DG23" i="40"/>
  <c r="DG19" i="40"/>
  <c r="DG15" i="40"/>
  <c r="DG11" i="40"/>
  <c r="DG7" i="40"/>
  <c r="DG3" i="40"/>
  <c r="DF404" i="40"/>
  <c r="DF400" i="40"/>
  <c r="DF396" i="40"/>
  <c r="DF392" i="40"/>
  <c r="DF388" i="40"/>
  <c r="DF384" i="40"/>
  <c r="DF380" i="40"/>
  <c r="DF376" i="40"/>
  <c r="DF372" i="40"/>
  <c r="DF368" i="40"/>
  <c r="DF364" i="40"/>
  <c r="DF359" i="40"/>
  <c r="DF355" i="40"/>
  <c r="DF351" i="40"/>
  <c r="DF347" i="40"/>
  <c r="DF343" i="40"/>
  <c r="DF338" i="40"/>
  <c r="DI407" i="40"/>
  <c r="DI402" i="40"/>
  <c r="DI397" i="40"/>
  <c r="DI391" i="40"/>
  <c r="DI386" i="40"/>
  <c r="DI381" i="40"/>
  <c r="DI375" i="40"/>
  <c r="DI370" i="40"/>
  <c r="DI365" i="40"/>
  <c r="DI359" i="40"/>
  <c r="DI354" i="40"/>
  <c r="DI349" i="40"/>
  <c r="DI342" i="40"/>
  <c r="DI336" i="40"/>
  <c r="DI332" i="40"/>
  <c r="DI328" i="40"/>
  <c r="DI324" i="40"/>
  <c r="DI320" i="40"/>
  <c r="DI316" i="40"/>
  <c r="DI312" i="40"/>
  <c r="DI308" i="40"/>
  <c r="DI304" i="40"/>
  <c r="DI300" i="40"/>
  <c r="DI296" i="40"/>
  <c r="DI292" i="40"/>
  <c r="DI288" i="40"/>
  <c r="DI284" i="40"/>
  <c r="DI280" i="40"/>
  <c r="DI276" i="40"/>
  <c r="DI272" i="40"/>
  <c r="DI268" i="40"/>
  <c r="DI264" i="40"/>
  <c r="DI260" i="40"/>
  <c r="DI255" i="40"/>
  <c r="DI251" i="40"/>
  <c r="DI247" i="40"/>
  <c r="DI243" i="40"/>
  <c r="DI239" i="40"/>
  <c r="DI235" i="40"/>
  <c r="DI231" i="40"/>
  <c r="DI227" i="40"/>
  <c r="DI223" i="40"/>
  <c r="DI218" i="40"/>
  <c r="DI214" i="40"/>
  <c r="DI210" i="40"/>
  <c r="DI206" i="40"/>
  <c r="DI202" i="40"/>
  <c r="DI198" i="40"/>
  <c r="DI194" i="40"/>
  <c r="DI190" i="40"/>
  <c r="DI186" i="40"/>
  <c r="DI182" i="40"/>
  <c r="DI178" i="40"/>
  <c r="DI174" i="40"/>
  <c r="DI170" i="40"/>
  <c r="DI166" i="40"/>
  <c r="DI162" i="40"/>
  <c r="DI158" i="40"/>
  <c r="DI153" i="40"/>
  <c r="DI149" i="40"/>
  <c r="DI145" i="40"/>
  <c r="DI141" i="40"/>
  <c r="DI137" i="40"/>
  <c r="DI133" i="40"/>
  <c r="DI129" i="40"/>
  <c r="DI125" i="40"/>
  <c r="DI121" i="40"/>
  <c r="DI117" i="40"/>
  <c r="DI113" i="40"/>
  <c r="DI109" i="40"/>
  <c r="DI105" i="40"/>
  <c r="DI101" i="40"/>
  <c r="DI97" i="40"/>
  <c r="DI93" i="40"/>
  <c r="DI89" i="40"/>
  <c r="DI85" i="40"/>
  <c r="DI81" i="40"/>
  <c r="DI77" i="40"/>
  <c r="DI73" i="40"/>
  <c r="DI69" i="40"/>
  <c r="DI65" i="40"/>
  <c r="DI61" i="40"/>
  <c r="DI57" i="40"/>
  <c r="DI53" i="40"/>
  <c r="DI49" i="40"/>
  <c r="DI45" i="40"/>
  <c r="DI41" i="40"/>
  <c r="DI37" i="40"/>
  <c r="DI33" i="40"/>
  <c r="DI29" i="40"/>
  <c r="DI25" i="40"/>
  <c r="DI21" i="40"/>
  <c r="DI16" i="40"/>
  <c r="DI12" i="40"/>
  <c r="DI8" i="40"/>
  <c r="DI4" i="40"/>
  <c r="DH405" i="40"/>
  <c r="DH401" i="40"/>
  <c r="DH397" i="40"/>
  <c r="DH393" i="40"/>
  <c r="DH389" i="40"/>
  <c r="DH385" i="40"/>
  <c r="DH381" i="40"/>
  <c r="DH377" i="40"/>
  <c r="DH373" i="40"/>
  <c r="DH369" i="40"/>
  <c r="DH365" i="40"/>
  <c r="DH361" i="40"/>
  <c r="DH357" i="40"/>
  <c r="DH353" i="40"/>
  <c r="DH349" i="40"/>
  <c r="DH345" i="40"/>
  <c r="DH341" i="40"/>
  <c r="DH337" i="40"/>
  <c r="DH333" i="40"/>
  <c r="DH329" i="40"/>
  <c r="DH325" i="40"/>
  <c r="DH321" i="40"/>
  <c r="DH317" i="40"/>
  <c r="DH313" i="40"/>
  <c r="DH309" i="40"/>
  <c r="DH305" i="40"/>
  <c r="DH301" i="40"/>
  <c r="DH297" i="40"/>
  <c r="DH293" i="40"/>
  <c r="DH289" i="40"/>
  <c r="DH285" i="40"/>
  <c r="DH281" i="40"/>
  <c r="DH277" i="40"/>
  <c r="DH273" i="40"/>
  <c r="DH269" i="40"/>
  <c r="DH265" i="40"/>
  <c r="DH261" i="40"/>
  <c r="DH257" i="40"/>
  <c r="DH253" i="40"/>
  <c r="DH249" i="40"/>
  <c r="DH245" i="40"/>
  <c r="DH241" i="40"/>
  <c r="DH237" i="40"/>
  <c r="DH233" i="40"/>
  <c r="DH229" i="40"/>
  <c r="DH225" i="40"/>
  <c r="DH221" i="40"/>
  <c r="DH217" i="40"/>
  <c r="DH213" i="40"/>
  <c r="DH209" i="40"/>
  <c r="DH205" i="40"/>
  <c r="DH201" i="40"/>
  <c r="DH197" i="40"/>
  <c r="DH193" i="40"/>
  <c r="DH189" i="40"/>
  <c r="DH184" i="40"/>
  <c r="DH180" i="40"/>
  <c r="DH176" i="40"/>
  <c r="DH172" i="40"/>
  <c r="DH168" i="40"/>
  <c r="DH164" i="40"/>
  <c r="DH160" i="40"/>
  <c r="DH156" i="40"/>
  <c r="DH152" i="40"/>
  <c r="DH148" i="40"/>
  <c r="DH144" i="40"/>
  <c r="DH140" i="40"/>
  <c r="DH136" i="40"/>
  <c r="DH132" i="40"/>
  <c r="DH128" i="40"/>
  <c r="DH124" i="40"/>
  <c r="DH120" i="40"/>
  <c r="DH116" i="40"/>
  <c r="DH111" i="40"/>
  <c r="DH107" i="40"/>
  <c r="DH103" i="40"/>
  <c r="DH99" i="40"/>
  <c r="DH95" i="40"/>
  <c r="DH91" i="40"/>
  <c r="DH87" i="40"/>
  <c r="DH83" i="40"/>
  <c r="DH79" i="40"/>
  <c r="DH74" i="40"/>
  <c r="DH70" i="40"/>
  <c r="DH66" i="40"/>
  <c r="DH62" i="40"/>
  <c r="DH58" i="40"/>
  <c r="DH54" i="40"/>
  <c r="DH50" i="40"/>
  <c r="DH46" i="40"/>
  <c r="DH42" i="40"/>
  <c r="DH38" i="40"/>
  <c r="DH34" i="40"/>
  <c r="DH30" i="40"/>
  <c r="DH26" i="40"/>
  <c r="DH22" i="40"/>
  <c r="DH18" i="40"/>
  <c r="DH14" i="40"/>
  <c r="DH9" i="40"/>
  <c r="DH5" i="40"/>
  <c r="DG406" i="40"/>
  <c r="DG402" i="40"/>
  <c r="DG398" i="40"/>
  <c r="DG394" i="40"/>
  <c r="DG390" i="40"/>
  <c r="DG386" i="40"/>
  <c r="DG382" i="40"/>
  <c r="DG378" i="40"/>
  <c r="DG374" i="40"/>
  <c r="DG370" i="40"/>
  <c r="DG366" i="40"/>
  <c r="DG362" i="40"/>
  <c r="DG358" i="40"/>
  <c r="DG354" i="40"/>
  <c r="DG350" i="40"/>
  <c r="DG346" i="40"/>
  <c r="DG342" i="40"/>
  <c r="DG338" i="40"/>
  <c r="DG334" i="40"/>
  <c r="DG330" i="40"/>
  <c r="DG326" i="40"/>
  <c r="DG321" i="40"/>
  <c r="DG317" i="40"/>
  <c r="DG313" i="40"/>
  <c r="DG309" i="40"/>
  <c r="DG305" i="40"/>
  <c r="DG301" i="40"/>
  <c r="DG297" i="40"/>
  <c r="DG293" i="40"/>
  <c r="DG289" i="40"/>
  <c r="DG285" i="40"/>
  <c r="DG280" i="40"/>
  <c r="DG275" i="40"/>
  <c r="DG271" i="40"/>
  <c r="DG267" i="40"/>
  <c r="DG263" i="40"/>
  <c r="DG259" i="40"/>
  <c r="DG254" i="40"/>
  <c r="DG250" i="40"/>
  <c r="DG246" i="40"/>
  <c r="DG242" i="40"/>
  <c r="DG238" i="40"/>
  <c r="DG234" i="40"/>
  <c r="DG230" i="40"/>
  <c r="DG226" i="40"/>
  <c r="DG222" i="40"/>
  <c r="DG218" i="40"/>
  <c r="DG214" i="40"/>
  <c r="DG210" i="40"/>
  <c r="DG206" i="40"/>
  <c r="DG202" i="40"/>
  <c r="DG198" i="40"/>
  <c r="DG194" i="40"/>
  <c r="DG190" i="40"/>
  <c r="DG186" i="40"/>
  <c r="DG182" i="40"/>
  <c r="DG178" i="40"/>
  <c r="DG174" i="40"/>
  <c r="DG170" i="40"/>
  <c r="DG166" i="40"/>
  <c r="DG162" i="40"/>
  <c r="DG158" i="40"/>
  <c r="DG154" i="40"/>
  <c r="DG150" i="40"/>
  <c r="DG146" i="40"/>
  <c r="DG142" i="40"/>
  <c r="DG137" i="40"/>
  <c r="DG133" i="40"/>
  <c r="DG129" i="40"/>
  <c r="DG125" i="40"/>
  <c r="DG120" i="40"/>
  <c r="DG116" i="40"/>
  <c r="DG112" i="40"/>
  <c r="DG107" i="40"/>
  <c r="DG103" i="40"/>
  <c r="DG99" i="40"/>
  <c r="DG95" i="40"/>
  <c r="DG91" i="40"/>
  <c r="DG87" i="40"/>
  <c r="DG83" i="40"/>
  <c r="DG79" i="40"/>
  <c r="DG75" i="40"/>
  <c r="DG71" i="40"/>
  <c r="DG66" i="40"/>
  <c r="DG62" i="40"/>
  <c r="DG58" i="40"/>
  <c r="DG54" i="40"/>
  <c r="DG50" i="40"/>
  <c r="DG46" i="40"/>
  <c r="DG42" i="40"/>
  <c r="DG38" i="40"/>
  <c r="DG34" i="40"/>
  <c r="DG30" i="40"/>
  <c r="DG26" i="40"/>
  <c r="DG22" i="40"/>
  <c r="DG18" i="40"/>
  <c r="DG14" i="40"/>
  <c r="DG10" i="40"/>
  <c r="DG6" i="40"/>
  <c r="DF407" i="40"/>
  <c r="DF403" i="40"/>
  <c r="DF399" i="40"/>
  <c r="DF395" i="40"/>
  <c r="DF391" i="40"/>
  <c r="DF387" i="40"/>
  <c r="DF383" i="40"/>
  <c r="DF379" i="40"/>
  <c r="DF375" i="40"/>
  <c r="DF371" i="40"/>
  <c r="DF367" i="40"/>
  <c r="DF363" i="40"/>
  <c r="DF358" i="40"/>
  <c r="DF354" i="40"/>
  <c r="DF350" i="40"/>
  <c r="DF346" i="40"/>
  <c r="DF341" i="40"/>
  <c r="DF337" i="40"/>
  <c r="DG69" i="40"/>
  <c r="DG52" i="40"/>
  <c r="DG36" i="40"/>
  <c r="DG20" i="40"/>
  <c r="DG4" i="40"/>
  <c r="DF393" i="40"/>
  <c r="DF377" i="40"/>
  <c r="DF360" i="40"/>
  <c r="DF344" i="40"/>
  <c r="DF333" i="40"/>
  <c r="DF329" i="40"/>
  <c r="DF325" i="40"/>
  <c r="DF321" i="40"/>
  <c r="DF317" i="40"/>
  <c r="DF313" i="40"/>
  <c r="DF309" i="40"/>
  <c r="DF305" i="40"/>
  <c r="DF301" i="40"/>
  <c r="DF297" i="40"/>
  <c r="DF293" i="40"/>
  <c r="DF289" i="40"/>
  <c r="DF285" i="40"/>
  <c r="DF281" i="40"/>
  <c r="DF277" i="40"/>
  <c r="DF273" i="40"/>
  <c r="DF269" i="40"/>
  <c r="DF265" i="40"/>
  <c r="DF261" i="40"/>
  <c r="DF257" i="40"/>
  <c r="DF252" i="40"/>
  <c r="DF248" i="40"/>
  <c r="DF244" i="40"/>
  <c r="DF240" i="40"/>
  <c r="DF236" i="40"/>
  <c r="DF232" i="40"/>
  <c r="DF228" i="40"/>
  <c r="DF224" i="40"/>
  <c r="DF220" i="40"/>
  <c r="DF216" i="40"/>
  <c r="DF212" i="40"/>
  <c r="DF208" i="40"/>
  <c r="DF204" i="40"/>
  <c r="DF200" i="40"/>
  <c r="DF196" i="40"/>
  <c r="DF192" i="40"/>
  <c r="DF188" i="40"/>
  <c r="DF184" i="40"/>
  <c r="DF179" i="40"/>
  <c r="DF173" i="40"/>
  <c r="DF169" i="40"/>
  <c r="DF165" i="40"/>
  <c r="DF161" i="40"/>
  <c r="DF157" i="40"/>
  <c r="DF153" i="40"/>
  <c r="DF148" i="40"/>
  <c r="DF144" i="40"/>
  <c r="DF140" i="40"/>
  <c r="DF135" i="40"/>
  <c r="DF131" i="40"/>
  <c r="DF127" i="40"/>
  <c r="DF123" i="40"/>
  <c r="DF119" i="40"/>
  <c r="DF115" i="40"/>
  <c r="DF111" i="40"/>
  <c r="DF107" i="40"/>
  <c r="DF103" i="40"/>
  <c r="DF99" i="40"/>
  <c r="DF95" i="40"/>
  <c r="DF91" i="40"/>
  <c r="DF87" i="40"/>
  <c r="DF82" i="40"/>
  <c r="DF78" i="40"/>
  <c r="DF74" i="40"/>
  <c r="DF70" i="40"/>
  <c r="DF66" i="40"/>
  <c r="DF62" i="40"/>
  <c r="DF58" i="40"/>
  <c r="DF54" i="40"/>
  <c r="DF50" i="40"/>
  <c r="DF46" i="40"/>
  <c r="DF42" i="40"/>
  <c r="DF38" i="40"/>
  <c r="DF33" i="40"/>
  <c r="DF29" i="40"/>
  <c r="DF25" i="40"/>
  <c r="DF21" i="40"/>
  <c r="DF17" i="40"/>
  <c r="DF13" i="40"/>
  <c r="DF9" i="40"/>
  <c r="DF5" i="40"/>
  <c r="DE406" i="40"/>
  <c r="DE402" i="40"/>
  <c r="DE398" i="40"/>
  <c r="DE394" i="40"/>
  <c r="DE390" i="40"/>
  <c r="DE386" i="40"/>
  <c r="DE382" i="40"/>
  <c r="DE378" i="40"/>
  <c r="DE374" i="40"/>
  <c r="DE370" i="40"/>
  <c r="DE366" i="40"/>
  <c r="DE362" i="40"/>
  <c r="DE358" i="40"/>
  <c r="DE354" i="40"/>
  <c r="DE350" i="40"/>
  <c r="DE346" i="40"/>
  <c r="DE342" i="40"/>
  <c r="DE338" i="40"/>
  <c r="DE334" i="40"/>
  <c r="DE330" i="40"/>
  <c r="DE326" i="40"/>
  <c r="DE322" i="40"/>
  <c r="DE318" i="40"/>
  <c r="DE314" i="40"/>
  <c r="DE310" i="40"/>
  <c r="DE306" i="40"/>
  <c r="DE302" i="40"/>
  <c r="DE298" i="40"/>
  <c r="DE294" i="40"/>
  <c r="DE290" i="40"/>
  <c r="DE285" i="40"/>
  <c r="DE281" i="40"/>
  <c r="DE277" i="40"/>
  <c r="DE272" i="40"/>
  <c r="DE268" i="40"/>
  <c r="DE264" i="40"/>
  <c r="DE260" i="40"/>
  <c r="DE256" i="40"/>
  <c r="DE251" i="40"/>
  <c r="DE247" i="40"/>
  <c r="DE243" i="40"/>
  <c r="DE239" i="40"/>
  <c r="DE235" i="40"/>
  <c r="DE231" i="40"/>
  <c r="DE227" i="40"/>
  <c r="DE223" i="40"/>
  <c r="DE218" i="40"/>
  <c r="DE214" i="40"/>
  <c r="DE210" i="40"/>
  <c r="DE206" i="40"/>
  <c r="DE202" i="40"/>
  <c r="DE197" i="40"/>
  <c r="DE192" i="40"/>
  <c r="DE188" i="40"/>
  <c r="DE184" i="40"/>
  <c r="DE180" i="40"/>
  <c r="DE176" i="40"/>
  <c r="DE171" i="40"/>
  <c r="DE167" i="40"/>
  <c r="DE162" i="40"/>
  <c r="DE158" i="40"/>
  <c r="DE153" i="40"/>
  <c r="DE149" i="40"/>
  <c r="DE145" i="40"/>
  <c r="DE140" i="40"/>
  <c r="DE136" i="40"/>
  <c r="DE132" i="40"/>
  <c r="DE128" i="40"/>
  <c r="DE124" i="40"/>
  <c r="DE120" i="40"/>
  <c r="DE116" i="40"/>
  <c r="DE112" i="40"/>
  <c r="DE108" i="40"/>
  <c r="DE104" i="40"/>
  <c r="DE99" i="40"/>
  <c r="DE95" i="40"/>
  <c r="DE91" i="40"/>
  <c r="DE87" i="40"/>
  <c r="DE83" i="40"/>
  <c r="DE79" i="40"/>
  <c r="DE75" i="40"/>
  <c r="DE70" i="40"/>
  <c r="DE66" i="40"/>
  <c r="DE62" i="40"/>
  <c r="DE57" i="40"/>
  <c r="DE53" i="40"/>
  <c r="DE49" i="40"/>
  <c r="DE45" i="40"/>
  <c r="DE41" i="40"/>
  <c r="DE37" i="40"/>
  <c r="DE33" i="40"/>
  <c r="DE29" i="40"/>
  <c r="DE25" i="40"/>
  <c r="DE21" i="40"/>
  <c r="DE17" i="40"/>
  <c r="DE13" i="40"/>
  <c r="DE9" i="40"/>
  <c r="DE5" i="40"/>
  <c r="DD406" i="40"/>
  <c r="DD402" i="40"/>
  <c r="DD398" i="40"/>
  <c r="DD394" i="40"/>
  <c r="DD390" i="40"/>
  <c r="DD386" i="40"/>
  <c r="DD382" i="40"/>
  <c r="DD378" i="40"/>
  <c r="DD374" i="40"/>
  <c r="DD370" i="40"/>
  <c r="DD366" i="40"/>
  <c r="DD362" i="40"/>
  <c r="DD358" i="40"/>
  <c r="DD354" i="40"/>
  <c r="DD350" i="40"/>
  <c r="DD346" i="40"/>
  <c r="DD342" i="40"/>
  <c r="DD338" i="40"/>
  <c r="DD334" i="40"/>
  <c r="DD330" i="40"/>
  <c r="DD326" i="40"/>
  <c r="DD322" i="40"/>
  <c r="DD318" i="40"/>
  <c r="DD313" i="40"/>
  <c r="DD309" i="40"/>
  <c r="DD305" i="40"/>
  <c r="DD301" i="40"/>
  <c r="DD297" i="40"/>
  <c r="DD293" i="40"/>
  <c r="DD289" i="40"/>
  <c r="DD285" i="40"/>
  <c r="DD281" i="40"/>
  <c r="DD277" i="40"/>
  <c r="DD273" i="40"/>
  <c r="DD269" i="40"/>
  <c r="DD265" i="40"/>
  <c r="DD261" i="40"/>
  <c r="DD257" i="40"/>
  <c r="DD253" i="40"/>
  <c r="DD249" i="40"/>
  <c r="DD245" i="40"/>
  <c r="DD241" i="40"/>
  <c r="DD237" i="40"/>
  <c r="DD233" i="40"/>
  <c r="DD229" i="40"/>
  <c r="DD225" i="40"/>
  <c r="DD221" i="40"/>
  <c r="DD217" i="40"/>
  <c r="DD213" i="40"/>
  <c r="DD208" i="40"/>
  <c r="DD204" i="40"/>
  <c r="DD200" i="40"/>
  <c r="DD196" i="40"/>
  <c r="DD192" i="40"/>
  <c r="DD188" i="40"/>
  <c r="DD184" i="40"/>
  <c r="DD180" i="40"/>
  <c r="DD176" i="40"/>
  <c r="DD172" i="40"/>
  <c r="DD168" i="40"/>
  <c r="DD163" i="40"/>
  <c r="DD159" i="40"/>
  <c r="DD155" i="40"/>
  <c r="DD150" i="40"/>
  <c r="DD146" i="40"/>
  <c r="DD142" i="40"/>
  <c r="DD138" i="40"/>
  <c r="DD134" i="40"/>
  <c r="DD130" i="40"/>
  <c r="DD126" i="40"/>
  <c r="DD122" i="40"/>
  <c r="DD118" i="40"/>
  <c r="DD114" i="40"/>
  <c r="DD110" i="40"/>
  <c r="DD105" i="40"/>
  <c r="DD101" i="40"/>
  <c r="DD97" i="40"/>
  <c r="DD93" i="40"/>
  <c r="DD88" i="40"/>
  <c r="DD84" i="40"/>
  <c r="DD80" i="40"/>
  <c r="DD75" i="40"/>
  <c r="DD71" i="40"/>
  <c r="DD67" i="40"/>
  <c r="DD63" i="40"/>
  <c r="DD59" i="40"/>
  <c r="DD55" i="40"/>
  <c r="DD51" i="40"/>
  <c r="DD47" i="40"/>
  <c r="DD43" i="40"/>
  <c r="DD39" i="40"/>
  <c r="DD35" i="40"/>
  <c r="DD31" i="40"/>
  <c r="DD26" i="40"/>
  <c r="DD22" i="40"/>
  <c r="DD18" i="40"/>
  <c r="DD14" i="40"/>
  <c r="DD10" i="40"/>
  <c r="DD6" i="40"/>
  <c r="DC407" i="40"/>
  <c r="DC403" i="40"/>
  <c r="DC399" i="40"/>
  <c r="DC395" i="40"/>
  <c r="DC391" i="40"/>
  <c r="DC387" i="40"/>
  <c r="DC383" i="40"/>
  <c r="DC379" i="40"/>
  <c r="DC375" i="40"/>
  <c r="DC371" i="40"/>
  <c r="DC367" i="40"/>
  <c r="DC363" i="40"/>
  <c r="DC359" i="40"/>
  <c r="DC354" i="40"/>
  <c r="DC350" i="40"/>
  <c r="DC346" i="40"/>
  <c r="DC342" i="40"/>
  <c r="DC338" i="40"/>
  <c r="DC333" i="40"/>
  <c r="DC329" i="40"/>
  <c r="DC325" i="40"/>
  <c r="DC321" i="40"/>
  <c r="DC317" i="40"/>
  <c r="DC312" i="40"/>
  <c r="DC307" i="40"/>
  <c r="DC303" i="40"/>
  <c r="DC299" i="40"/>
  <c r="DC295" i="40"/>
  <c r="DC290" i="40"/>
  <c r="DC286" i="40"/>
  <c r="DC281" i="40"/>
  <c r="DC276" i="40"/>
  <c r="DC272" i="40"/>
  <c r="DC267" i="40"/>
  <c r="DC263" i="40"/>
  <c r="DC259" i="40"/>
  <c r="DC255" i="40"/>
  <c r="DC251" i="40"/>
  <c r="DC247" i="40"/>
  <c r="DC243" i="40"/>
  <c r="DC239" i="40"/>
  <c r="DC235" i="40"/>
  <c r="DC231" i="40"/>
  <c r="DC227" i="40"/>
  <c r="DC221" i="40"/>
  <c r="DC217" i="40"/>
  <c r="DC212" i="40"/>
  <c r="DC208" i="40"/>
  <c r="DC204" i="40"/>
  <c r="DC200" i="40"/>
  <c r="DC196" i="40"/>
  <c r="DC192" i="40"/>
  <c r="DC188" i="40"/>
  <c r="DC184" i="40"/>
  <c r="DG64" i="40"/>
  <c r="DG48" i="40"/>
  <c r="DG32" i="40"/>
  <c r="DG16" i="40"/>
  <c r="DF405" i="40"/>
  <c r="DF389" i="40"/>
  <c r="DF373" i="40"/>
  <c r="DF356" i="40"/>
  <c r="DF339" i="40"/>
  <c r="DF332" i="40"/>
  <c r="DF328" i="40"/>
  <c r="DF324" i="40"/>
  <c r="DF320" i="40"/>
  <c r="DF316" i="40"/>
  <c r="DF312" i="40"/>
  <c r="DF308" i="40"/>
  <c r="DF304" i="40"/>
  <c r="DF300" i="40"/>
  <c r="DF296" i="40"/>
  <c r="DF292" i="40"/>
  <c r="DF288" i="40"/>
  <c r="DF284" i="40"/>
  <c r="DF280" i="40"/>
  <c r="DF276" i="40"/>
  <c r="DF272" i="40"/>
  <c r="DF268" i="40"/>
  <c r="DF264" i="40"/>
  <c r="DF260" i="40"/>
  <c r="DF256" i="40"/>
  <c r="DF251" i="40"/>
  <c r="DF247" i="40"/>
  <c r="DF243" i="40"/>
  <c r="DF239" i="40"/>
  <c r="DF235" i="40"/>
  <c r="DF231" i="40"/>
  <c r="DF227" i="40"/>
  <c r="DF223" i="40"/>
  <c r="DF219" i="40"/>
  <c r="DF215" i="40"/>
  <c r="DF211" i="40"/>
  <c r="DF207" i="40"/>
  <c r="DF203" i="40"/>
  <c r="DF199" i="40"/>
  <c r="DF195" i="40"/>
  <c r="DF191" i="40"/>
  <c r="DF187" i="40"/>
  <c r="DF183" i="40"/>
  <c r="DF178" i="40"/>
  <c r="DF172" i="40"/>
  <c r="DF168" i="40"/>
  <c r="DF164" i="40"/>
  <c r="DF160" i="40"/>
  <c r="DF156" i="40"/>
  <c r="DF152" i="40"/>
  <c r="DF147" i="40"/>
  <c r="DF143" i="40"/>
  <c r="DF139" i="40"/>
  <c r="DF134" i="40"/>
  <c r="DF130" i="40"/>
  <c r="DF126" i="40"/>
  <c r="DF122" i="40"/>
  <c r="DF118" i="40"/>
  <c r="DF114" i="40"/>
  <c r="DF110" i="40"/>
  <c r="DF106" i="40"/>
  <c r="DF102" i="40"/>
  <c r="DF98" i="40"/>
  <c r="DF94" i="40"/>
  <c r="DF90" i="40"/>
  <c r="DF86" i="40"/>
  <c r="DF81" i="40"/>
  <c r="DF77" i="40"/>
  <c r="DF73" i="40"/>
  <c r="DF69" i="40"/>
  <c r="DF65" i="40"/>
  <c r="DF61" i="40"/>
  <c r="DF57" i="40"/>
  <c r="DF53" i="40"/>
  <c r="DF49" i="40"/>
  <c r="DF45" i="40"/>
  <c r="DF41" i="40"/>
  <c r="DF37" i="40"/>
  <c r="DF32" i="40"/>
  <c r="DF28" i="40"/>
  <c r="DF24" i="40"/>
  <c r="DF20" i="40"/>
  <c r="DF16" i="40"/>
  <c r="DF12" i="40"/>
  <c r="DF8" i="40"/>
  <c r="DF4" i="40"/>
  <c r="DE405" i="40"/>
  <c r="DE401" i="40"/>
  <c r="DE397" i="40"/>
  <c r="DE393" i="40"/>
  <c r="DE389" i="40"/>
  <c r="DE385" i="40"/>
  <c r="DE381" i="40"/>
  <c r="DE377" i="40"/>
  <c r="DE373" i="40"/>
  <c r="DE369" i="40"/>
  <c r="DE365" i="40"/>
  <c r="DE361" i="40"/>
  <c r="DE357" i="40"/>
  <c r="DE353" i="40"/>
  <c r="DE349" i="40"/>
  <c r="DE345" i="40"/>
  <c r="DE341" i="40"/>
  <c r="DE337" i="40"/>
  <c r="DE333" i="40"/>
  <c r="DE329" i="40"/>
  <c r="DE325" i="40"/>
  <c r="DE321" i="40"/>
  <c r="DE317" i="40"/>
  <c r="DE313" i="40"/>
  <c r="DE309" i="40"/>
  <c r="DE305" i="40"/>
  <c r="DE301" i="40"/>
  <c r="DE297" i="40"/>
  <c r="DE293" i="40"/>
  <c r="DE288" i="40"/>
  <c r="DE284" i="40"/>
  <c r="DE280" i="40"/>
  <c r="DE276" i="40"/>
  <c r="DE271" i="40"/>
  <c r="DE267" i="40"/>
  <c r="DE263" i="40"/>
  <c r="DE259" i="40"/>
  <c r="DE255" i="40"/>
  <c r="DE250" i="40"/>
  <c r="DE246" i="40"/>
  <c r="DE242" i="40"/>
  <c r="DE238" i="40"/>
  <c r="DE234" i="40"/>
  <c r="DE230" i="40"/>
  <c r="DE226" i="40"/>
  <c r="DE222" i="40"/>
  <c r="DE217" i="40"/>
  <c r="DE213" i="40"/>
  <c r="DE209" i="40"/>
  <c r="DE205" i="40"/>
  <c r="DE201" i="40"/>
  <c r="DE195" i="40"/>
  <c r="DE191" i="40"/>
  <c r="DE187" i="40"/>
  <c r="DE183" i="40"/>
  <c r="DE179" i="40"/>
  <c r="DE175" i="40"/>
  <c r="DE170" i="40"/>
  <c r="DE165" i="40"/>
  <c r="DE161" i="40"/>
  <c r="DE157" i="40"/>
  <c r="DE152" i="40"/>
  <c r="DE148" i="40"/>
  <c r="DE143" i="40"/>
  <c r="DE139" i="40"/>
  <c r="DE135" i="40"/>
  <c r="DE131" i="40"/>
  <c r="DE127" i="40"/>
  <c r="DE123" i="40"/>
  <c r="DE119" i="40"/>
  <c r="DE115" i="40"/>
  <c r="DE111" i="40"/>
  <c r="DE107" i="40"/>
  <c r="DE102" i="40"/>
  <c r="DE98" i="40"/>
  <c r="DE94" i="40"/>
  <c r="DE90" i="40"/>
  <c r="DE86" i="40"/>
  <c r="DE82" i="40"/>
  <c r="DE78" i="40"/>
  <c r="DE73" i="40"/>
  <c r="DE69" i="40"/>
  <c r="DE65" i="40"/>
  <c r="DE61" i="40"/>
  <c r="DE56" i="40"/>
  <c r="DE52" i="40"/>
  <c r="DE48" i="40"/>
  <c r="DE44" i="40"/>
  <c r="DE40" i="40"/>
  <c r="DE36" i="40"/>
  <c r="DE32" i="40"/>
  <c r="DE28" i="40"/>
  <c r="DE24" i="40"/>
  <c r="DE20" i="40"/>
  <c r="DE16" i="40"/>
  <c r="DE12" i="40"/>
  <c r="DE8" i="40"/>
  <c r="DE4" i="40"/>
  <c r="DD405" i="40"/>
  <c r="DD401" i="40"/>
  <c r="DD397" i="40"/>
  <c r="DD393" i="40"/>
  <c r="DD389" i="40"/>
  <c r="DD385" i="40"/>
  <c r="DD381" i="40"/>
  <c r="DD377" i="40"/>
  <c r="DD373" i="40"/>
  <c r="DD369" i="40"/>
  <c r="DD365" i="40"/>
  <c r="DD361" i="40"/>
  <c r="DD357" i="40"/>
  <c r="DD353" i="40"/>
  <c r="DD349" i="40"/>
  <c r="DD345" i="40"/>
  <c r="DD341" i="40"/>
  <c r="DD337" i="40"/>
  <c r="DD333" i="40"/>
  <c r="DD329" i="40"/>
  <c r="DD325" i="40"/>
  <c r="DD321" i="40"/>
  <c r="DD316" i="40"/>
  <c r="DD312" i="40"/>
  <c r="DD308" i="40"/>
  <c r="DD304" i="40"/>
  <c r="DD300" i="40"/>
  <c r="DD296" i="40"/>
  <c r="DD292" i="40"/>
  <c r="DD288" i="40"/>
  <c r="DD284" i="40"/>
  <c r="DD280" i="40"/>
  <c r="DD276" i="40"/>
  <c r="DD272" i="40"/>
  <c r="DD268" i="40"/>
  <c r="DD264" i="40"/>
  <c r="DD260" i="40"/>
  <c r="DD256" i="40"/>
  <c r="DD252" i="40"/>
  <c r="DD248" i="40"/>
  <c r="DD244" i="40"/>
  <c r="DD240" i="40"/>
  <c r="DD236" i="40"/>
  <c r="DD232" i="40"/>
  <c r="DD228" i="40"/>
  <c r="DD224" i="40"/>
  <c r="DD220" i="40"/>
  <c r="DD216" i="40"/>
  <c r="DD212" i="40"/>
  <c r="DD207" i="40"/>
  <c r="DD203" i="40"/>
  <c r="DD199" i="40"/>
  <c r="DD195" i="40"/>
  <c r="DD191" i="40"/>
  <c r="DD187" i="40"/>
  <c r="DD183" i="40"/>
  <c r="DD179" i="40"/>
  <c r="DD175" i="40"/>
  <c r="DD171" i="40"/>
  <c r="DD166" i="40"/>
  <c r="DD162" i="40"/>
  <c r="DD158" i="40"/>
  <c r="DD154" i="40"/>
  <c r="DD149" i="40"/>
  <c r="DD145" i="40"/>
  <c r="DD141" i="40"/>
  <c r="DD137" i="40"/>
  <c r="DD133" i="40"/>
  <c r="DD129" i="40"/>
  <c r="DD125" i="40"/>
  <c r="DD121" i="40"/>
  <c r="DD117" i="40"/>
  <c r="DD113" i="40"/>
  <c r="DD109" i="40"/>
  <c r="DD104" i="40"/>
  <c r="DD100" i="40"/>
  <c r="DD96" i="40"/>
  <c r="DD91" i="40"/>
  <c r="DD87" i="40"/>
  <c r="DD83" i="40"/>
  <c r="DD79" i="40"/>
  <c r="DD74" i="40"/>
  <c r="DD70" i="40"/>
  <c r="DD66" i="40"/>
  <c r="DD62" i="40"/>
  <c r="DD58" i="40"/>
  <c r="DD54" i="40"/>
  <c r="DD50" i="40"/>
  <c r="DD46" i="40"/>
  <c r="DD42" i="40"/>
  <c r="DD38" i="40"/>
  <c r="DD34" i="40"/>
  <c r="DD30" i="40"/>
  <c r="DD25" i="40"/>
  <c r="DD21" i="40"/>
  <c r="DD17" i="40"/>
  <c r="DD13" i="40"/>
  <c r="DD9" i="40"/>
  <c r="DD5" i="40"/>
  <c r="DC406" i="40"/>
  <c r="DC402" i="40"/>
  <c r="DC398" i="40"/>
  <c r="DC394" i="40"/>
  <c r="DC390" i="40"/>
  <c r="DC386" i="40"/>
  <c r="DC382" i="40"/>
  <c r="DC378" i="40"/>
  <c r="DC374" i="40"/>
  <c r="DC370" i="40"/>
  <c r="DC366" i="40"/>
  <c r="DC362" i="40"/>
  <c r="DC358" i="40"/>
  <c r="DC353" i="40"/>
  <c r="DC349" i="40"/>
  <c r="DC345" i="40"/>
  <c r="DC341" i="40"/>
  <c r="DC337" i="40"/>
  <c r="DC332" i="40"/>
  <c r="DC328" i="40"/>
  <c r="DC324" i="40"/>
  <c r="DC320" i="40"/>
  <c r="DC316" i="40"/>
  <c r="DC311" i="40"/>
  <c r="DC306" i="40"/>
  <c r="DC302" i="40"/>
  <c r="DC298" i="40"/>
  <c r="DC294" i="40"/>
  <c r="DC289" i="40"/>
  <c r="DC285" i="40"/>
  <c r="DC279" i="40"/>
  <c r="DC275" i="40"/>
  <c r="DC271" i="40"/>
  <c r="DC266" i="40"/>
  <c r="DC262" i="40"/>
  <c r="DC258" i="40"/>
  <c r="DC254" i="40"/>
  <c r="DC250" i="40"/>
  <c r="DC246" i="40"/>
  <c r="DC242" i="40"/>
  <c r="DC238" i="40"/>
  <c r="DC234" i="40"/>
  <c r="DC230" i="40"/>
  <c r="DC226" i="40"/>
  <c r="DC220" i="40"/>
  <c r="DC216" i="40"/>
  <c r="DC211" i="40"/>
  <c r="DC207" i="40"/>
  <c r="DC203" i="40"/>
  <c r="DC199" i="40"/>
  <c r="DC195" i="40"/>
  <c r="DC191" i="40"/>
  <c r="DC187" i="40"/>
  <c r="DC183" i="40"/>
  <c r="DG77" i="40"/>
  <c r="DG60" i="40"/>
  <c r="DG44" i="40"/>
  <c r="DG28" i="40"/>
  <c r="DG12" i="40"/>
  <c r="DF401" i="40"/>
  <c r="DF385" i="40"/>
  <c r="DF369" i="40"/>
  <c r="DF352" i="40"/>
  <c r="DF335" i="40"/>
  <c r="DF331" i="40"/>
  <c r="DF327" i="40"/>
  <c r="DF323" i="40"/>
  <c r="DF319" i="40"/>
  <c r="DF315" i="40"/>
  <c r="DF311" i="40"/>
  <c r="DF307" i="40"/>
  <c r="DF303" i="40"/>
  <c r="DF299" i="40"/>
  <c r="DF295" i="40"/>
  <c r="DF291" i="40"/>
  <c r="DF287" i="40"/>
  <c r="DF283" i="40"/>
  <c r="DF279" i="40"/>
  <c r="DF275" i="40"/>
  <c r="DF271" i="40"/>
  <c r="DF267" i="40"/>
  <c r="DF263" i="40"/>
  <c r="DF259" i="40"/>
  <c r="DF255" i="40"/>
  <c r="DF250" i="40"/>
  <c r="DF246" i="40"/>
  <c r="DF242" i="40"/>
  <c r="DF238" i="40"/>
  <c r="DF234" i="40"/>
  <c r="DF230" i="40"/>
  <c r="DF226" i="40"/>
  <c r="DF222" i="40"/>
  <c r="DF218" i="40"/>
  <c r="DF214" i="40"/>
  <c r="DF210" i="40"/>
  <c r="DF206" i="40"/>
  <c r="DF202" i="40"/>
  <c r="DF198" i="40"/>
  <c r="DF194" i="40"/>
  <c r="DF190" i="40"/>
  <c r="DF186" i="40"/>
  <c r="DF182" i="40"/>
  <c r="DF176" i="40"/>
  <c r="DF171" i="40"/>
  <c r="DF167" i="40"/>
  <c r="DF163" i="40"/>
  <c r="DF159" i="40"/>
  <c r="DF155" i="40"/>
  <c r="DF151" i="40"/>
  <c r="DF146" i="40"/>
  <c r="DF142" i="40"/>
  <c r="DF138" i="40"/>
  <c r="DF133" i="40"/>
  <c r="DF129" i="40"/>
  <c r="DF125" i="40"/>
  <c r="DF121" i="40"/>
  <c r="DF117" i="40"/>
  <c r="DF113" i="40"/>
  <c r="DF109" i="40"/>
  <c r="DF105" i="40"/>
  <c r="DF101" i="40"/>
  <c r="DF97" i="40"/>
  <c r="DF93" i="40"/>
  <c r="DF89" i="40"/>
  <c r="DF85" i="40"/>
  <c r="DF80" i="40"/>
  <c r="DF76" i="40"/>
  <c r="DF72" i="40"/>
  <c r="DF68" i="40"/>
  <c r="DF64" i="40"/>
  <c r="DF60" i="40"/>
  <c r="DF56" i="40"/>
  <c r="DF52" i="40"/>
  <c r="DF48" i="40"/>
  <c r="DF44" i="40"/>
  <c r="DF40" i="40"/>
  <c r="DF36" i="40"/>
  <c r="DF31" i="40"/>
  <c r="DF27" i="40"/>
  <c r="DF23" i="40"/>
  <c r="DF19" i="40"/>
  <c r="DF15" i="40"/>
  <c r="DF11" i="40"/>
  <c r="DF7" i="40"/>
  <c r="DF3" i="40"/>
  <c r="DE404" i="40"/>
  <c r="DE400" i="40"/>
  <c r="DE396" i="40"/>
  <c r="DE392" i="40"/>
  <c r="DE388" i="40"/>
  <c r="DE384" i="40"/>
  <c r="DE380" i="40"/>
  <c r="DE376" i="40"/>
  <c r="DE372" i="40"/>
  <c r="DE368" i="40"/>
  <c r="DE364" i="40"/>
  <c r="DE360" i="40"/>
  <c r="DE356" i="40"/>
  <c r="DE352" i="40"/>
  <c r="DE348" i="40"/>
  <c r="DE344" i="40"/>
  <c r="DE340" i="40"/>
  <c r="DE336" i="40"/>
  <c r="DE332" i="40"/>
  <c r="DE328" i="40"/>
  <c r="DE324" i="40"/>
  <c r="DE320" i="40"/>
  <c r="DE316" i="40"/>
  <c r="DE312" i="40"/>
  <c r="DE308" i="40"/>
  <c r="DE304" i="40"/>
  <c r="DE300" i="40"/>
  <c r="DE296" i="40"/>
  <c r="DE292" i="40"/>
  <c r="DE287" i="40"/>
  <c r="DE283" i="40"/>
  <c r="DE279" i="40"/>
  <c r="DE275" i="40"/>
  <c r="DE270" i="40"/>
  <c r="DE266" i="40"/>
  <c r="DE262" i="40"/>
  <c r="DE258" i="40"/>
  <c r="DE253" i="40"/>
  <c r="DE249" i="40"/>
  <c r="DE245" i="40"/>
  <c r="DE241" i="40"/>
  <c r="DE237" i="40"/>
  <c r="DE233" i="40"/>
  <c r="DE229" i="40"/>
  <c r="DE225" i="40"/>
  <c r="DE221" i="40"/>
  <c r="DE216" i="40"/>
  <c r="DE212" i="40"/>
  <c r="DE208" i="40"/>
  <c r="DE204" i="40"/>
  <c r="DE199" i="40"/>
  <c r="DE194" i="40"/>
  <c r="DE190" i="40"/>
  <c r="DE186" i="40"/>
  <c r="DE182" i="40"/>
  <c r="DE178" i="40"/>
  <c r="DE174" i="40"/>
  <c r="DE169" i="40"/>
  <c r="DE164" i="40"/>
  <c r="DE160" i="40"/>
  <c r="DE155" i="40"/>
  <c r="DE151" i="40"/>
  <c r="DE147" i="40"/>
  <c r="DE142" i="40"/>
  <c r="DE138" i="40"/>
  <c r="DE134" i="40"/>
  <c r="DE130" i="40"/>
  <c r="DE126" i="40"/>
  <c r="DE122" i="40"/>
  <c r="DE118" i="40"/>
  <c r="DE114" i="40"/>
  <c r="DE110" i="40"/>
  <c r="DE106" i="40"/>
  <c r="DE101" i="40"/>
  <c r="DE97" i="40"/>
  <c r="DE93" i="40"/>
  <c r="DE89" i="40"/>
  <c r="DE85" i="40"/>
  <c r="DE81" i="40"/>
  <c r="DE77" i="40"/>
  <c r="DE72" i="40"/>
  <c r="DE68" i="40"/>
  <c r="DE64" i="40"/>
  <c r="DE60" i="40"/>
  <c r="DE55" i="40"/>
  <c r="DE51" i="40"/>
  <c r="DE47" i="40"/>
  <c r="DE43" i="40"/>
  <c r="DE39" i="40"/>
  <c r="DE35" i="40"/>
  <c r="DE31" i="40"/>
  <c r="DE27" i="40"/>
  <c r="DE23" i="40"/>
  <c r="DE19" i="40"/>
  <c r="DE15" i="40"/>
  <c r="DE11" i="40"/>
  <c r="DE7" i="40"/>
  <c r="DE3" i="40"/>
  <c r="DD404" i="40"/>
  <c r="DD400" i="40"/>
  <c r="DD396" i="40"/>
  <c r="DD392" i="40"/>
  <c r="DD388" i="40"/>
  <c r="DD384" i="40"/>
  <c r="DD380" i="40"/>
  <c r="DD376" i="40"/>
  <c r="DD372" i="40"/>
  <c r="DD368" i="40"/>
  <c r="DD364" i="40"/>
  <c r="DD360" i="40"/>
  <c r="DD356" i="40"/>
  <c r="DD352" i="40"/>
  <c r="DD348" i="40"/>
  <c r="DD344" i="40"/>
  <c r="DD340" i="40"/>
  <c r="DD336" i="40"/>
  <c r="DD332" i="40"/>
  <c r="DD328" i="40"/>
  <c r="DD324" i="40"/>
  <c r="DD320" i="40"/>
  <c r="DD315" i="40"/>
  <c r="DD311" i="40"/>
  <c r="DD307" i="40"/>
  <c r="DD303" i="40"/>
  <c r="DD299" i="40"/>
  <c r="DD295" i="40"/>
  <c r="DD291" i="40"/>
  <c r="DD287" i="40"/>
  <c r="DD283" i="40"/>
  <c r="DD279" i="40"/>
  <c r="DD275" i="40"/>
  <c r="DD271" i="40"/>
  <c r="DD267" i="40"/>
  <c r="DD263" i="40"/>
  <c r="DD259" i="40"/>
  <c r="DD255" i="40"/>
  <c r="DD251" i="40"/>
  <c r="DD247" i="40"/>
  <c r="DD243" i="40"/>
  <c r="DD239" i="40"/>
  <c r="DD235" i="40"/>
  <c r="DD231" i="40"/>
  <c r="DD227" i="40"/>
  <c r="DD223" i="40"/>
  <c r="DD219" i="40"/>
  <c r="DD215" i="40"/>
  <c r="DD211" i="40"/>
  <c r="DD206" i="40"/>
  <c r="DD202" i="40"/>
  <c r="DD198" i="40"/>
  <c r="DD194" i="40"/>
  <c r="DD190" i="40"/>
  <c r="DD186" i="40"/>
  <c r="DD182" i="40"/>
  <c r="DD178" i="40"/>
  <c r="DD174" i="40"/>
  <c r="DD170" i="40"/>
  <c r="DD165" i="40"/>
  <c r="DD161" i="40"/>
  <c r="DD157" i="40"/>
  <c r="DD153" i="40"/>
  <c r="DD148" i="40"/>
  <c r="DD144" i="40"/>
  <c r="DD140" i="40"/>
  <c r="DD136" i="40"/>
  <c r="DD132" i="40"/>
  <c r="DD128" i="40"/>
  <c r="DD124" i="40"/>
  <c r="DD120" i="40"/>
  <c r="DD116" i="40"/>
  <c r="DD112" i="40"/>
  <c r="DD108" i="40"/>
  <c r="DD103" i="40"/>
  <c r="DD99" i="40"/>
  <c r="DD95" i="40"/>
  <c r="DD90" i="40"/>
  <c r="DD86" i="40"/>
  <c r="DD82" i="40"/>
  <c r="DD78" i="40"/>
  <c r="DD73" i="40"/>
  <c r="DD69" i="40"/>
  <c r="DD65" i="40"/>
  <c r="DD61" i="40"/>
  <c r="DD57" i="40"/>
  <c r="DD53" i="40"/>
  <c r="DD49" i="40"/>
  <c r="DD45" i="40"/>
  <c r="DD41" i="40"/>
  <c r="DD37" i="40"/>
  <c r="DD33" i="40"/>
  <c r="DD29" i="40"/>
  <c r="DD24" i="40"/>
  <c r="DD20" i="40"/>
  <c r="DD16" i="40"/>
  <c r="DD12" i="40"/>
  <c r="DD8" i="40"/>
  <c r="DD4" i="40"/>
  <c r="DC405" i="40"/>
  <c r="DC401" i="40"/>
  <c r="DC397" i="40"/>
  <c r="DC393" i="40"/>
  <c r="DC389" i="40"/>
  <c r="DC385" i="40"/>
  <c r="DC381" i="40"/>
  <c r="DC377" i="40"/>
  <c r="DC373" i="40"/>
  <c r="DC369" i="40"/>
  <c r="DC365" i="40"/>
  <c r="DC361" i="40"/>
  <c r="DC357" i="40"/>
  <c r="DC352" i="40"/>
  <c r="DC348" i="40"/>
  <c r="DC344" i="40"/>
  <c r="DC340" i="40"/>
  <c r="DC335" i="40"/>
  <c r="DC331" i="40"/>
  <c r="DC327" i="40"/>
  <c r="DC323" i="40"/>
  <c r="DC319" i="40"/>
  <c r="DC315" i="40"/>
  <c r="DC310" i="40"/>
  <c r="DC305" i="40"/>
  <c r="DC301" i="40"/>
  <c r="DC297" i="40"/>
  <c r="DC292" i="40"/>
  <c r="DC288" i="40"/>
  <c r="DC283" i="40"/>
  <c r="DC278" i="40"/>
  <c r="DC274" i="40"/>
  <c r="DC270" i="40"/>
  <c r="DC265" i="40"/>
  <c r="DC261" i="40"/>
  <c r="DC257" i="40"/>
  <c r="DC253" i="40"/>
  <c r="DC249" i="40"/>
  <c r="DC245" i="40"/>
  <c r="DC241" i="40"/>
  <c r="DC237" i="40"/>
  <c r="DC233" i="40"/>
  <c r="DC229" i="40"/>
  <c r="DC224" i="40"/>
  <c r="DC219" i="40"/>
  <c r="DC215" i="40"/>
  <c r="DC210" i="40"/>
  <c r="DC206" i="40"/>
  <c r="DC202" i="40"/>
  <c r="DC198" i="40"/>
  <c r="DC194" i="40"/>
  <c r="DC190" i="40"/>
  <c r="DC186" i="40"/>
  <c r="DC182" i="40"/>
  <c r="DG73" i="40"/>
  <c r="DG56" i="40"/>
  <c r="DG40" i="40"/>
  <c r="DG24" i="40"/>
  <c r="DG8" i="40"/>
  <c r="DF397" i="40"/>
  <c r="DF381" i="40"/>
  <c r="DF365" i="40"/>
  <c r="DF348" i="40"/>
  <c r="DF334" i="40"/>
  <c r="DF330" i="40"/>
  <c r="DF326" i="40"/>
  <c r="DF322" i="40"/>
  <c r="DF318" i="40"/>
  <c r="DF314" i="40"/>
  <c r="DF310" i="40"/>
  <c r="DF306" i="40"/>
  <c r="DF302" i="40"/>
  <c r="DF298" i="40"/>
  <c r="DF294" i="40"/>
  <c r="DF290" i="40"/>
  <c r="DF286" i="40"/>
  <c r="DF282" i="40"/>
  <c r="DF278" i="40"/>
  <c r="DF274" i="40"/>
  <c r="DF270" i="40"/>
  <c r="DF266" i="40"/>
  <c r="DF262" i="40"/>
  <c r="DF258" i="40"/>
  <c r="DF254" i="40"/>
  <c r="DF249" i="40"/>
  <c r="DF245" i="40"/>
  <c r="DF241" i="40"/>
  <c r="DF237" i="40"/>
  <c r="DF233" i="40"/>
  <c r="DF229" i="40"/>
  <c r="DF225" i="40"/>
  <c r="DF221" i="40"/>
  <c r="DF217" i="40"/>
  <c r="DF213" i="40"/>
  <c r="DF209" i="40"/>
  <c r="DF205" i="40"/>
  <c r="DF201" i="40"/>
  <c r="DF197" i="40"/>
  <c r="DF193" i="40"/>
  <c r="DF189" i="40"/>
  <c r="DF185" i="40"/>
  <c r="DF180" i="40"/>
  <c r="DF174" i="40"/>
  <c r="DF170" i="40"/>
  <c r="DF166" i="40"/>
  <c r="DF162" i="40"/>
  <c r="DF158" i="40"/>
  <c r="DF154" i="40"/>
  <c r="DF150" i="40"/>
  <c r="DF145" i="40"/>
  <c r="DF141" i="40"/>
  <c r="DF137" i="40"/>
  <c r="DF132" i="40"/>
  <c r="DF128" i="40"/>
  <c r="DF124" i="40"/>
  <c r="DF120" i="40"/>
  <c r="DF116" i="40"/>
  <c r="DF112" i="40"/>
  <c r="DF108" i="40"/>
  <c r="DF104" i="40"/>
  <c r="DF100" i="40"/>
  <c r="DF96" i="40"/>
  <c r="DF92" i="40"/>
  <c r="DF88" i="40"/>
  <c r="DF84" i="40"/>
  <c r="DF79" i="40"/>
  <c r="DF75" i="40"/>
  <c r="DF71" i="40"/>
  <c r="DF67" i="40"/>
  <c r="DF63" i="40"/>
  <c r="DF59" i="40"/>
  <c r="DF55" i="40"/>
  <c r="DF51" i="40"/>
  <c r="DF47" i="40"/>
  <c r="DF43" i="40"/>
  <c r="DF39" i="40"/>
  <c r="DF35" i="40"/>
  <c r="DF30" i="40"/>
  <c r="DF26" i="40"/>
  <c r="DF22" i="40"/>
  <c r="DF18" i="40"/>
  <c r="DF14" i="40"/>
  <c r="DF10" i="40"/>
  <c r="DF6" i="40"/>
  <c r="DE407" i="40"/>
  <c r="DE403" i="40"/>
  <c r="DE399" i="40"/>
  <c r="DE395" i="40"/>
  <c r="DE391" i="40"/>
  <c r="DE387" i="40"/>
  <c r="DE383" i="40"/>
  <c r="DE379" i="40"/>
  <c r="DE375" i="40"/>
  <c r="DE371" i="40"/>
  <c r="DE367" i="40"/>
  <c r="DE363" i="40"/>
  <c r="DE359" i="40"/>
  <c r="DE355" i="40"/>
  <c r="DE351" i="40"/>
  <c r="DE347" i="40"/>
  <c r="DE343" i="40"/>
  <c r="DE339" i="40"/>
  <c r="DE335" i="40"/>
  <c r="DE331" i="40"/>
  <c r="DE327" i="40"/>
  <c r="DE323" i="40"/>
  <c r="DE319" i="40"/>
  <c r="DE315" i="40"/>
  <c r="DE311" i="40"/>
  <c r="DE307" i="40"/>
  <c r="DE303" i="40"/>
  <c r="DE299" i="40"/>
  <c r="DE295" i="40"/>
  <c r="DE291" i="40"/>
  <c r="DE286" i="40"/>
  <c r="DE282" i="40"/>
  <c r="DE278" i="40"/>
  <c r="DE274" i="40"/>
  <c r="DE269" i="40"/>
  <c r="DE265" i="40"/>
  <c r="DE261" i="40"/>
  <c r="DE257" i="40"/>
  <c r="DE252" i="40"/>
  <c r="DE248" i="40"/>
  <c r="DE244" i="40"/>
  <c r="DE240" i="40"/>
  <c r="DE236" i="40"/>
  <c r="DE232" i="40"/>
  <c r="DE228" i="40"/>
  <c r="DE224" i="40"/>
  <c r="DE219" i="40"/>
  <c r="DE215" i="40"/>
  <c r="DE211" i="40"/>
  <c r="DE207" i="40"/>
  <c r="DE203" i="40"/>
  <c r="DE198" i="40"/>
  <c r="DE193" i="40"/>
  <c r="DE189" i="40"/>
  <c r="DE185" i="40"/>
  <c r="DE181" i="40"/>
  <c r="DE177" i="40"/>
  <c r="DE172" i="40"/>
  <c r="DE168" i="40"/>
  <c r="DE163" i="40"/>
  <c r="DE159" i="40"/>
  <c r="DE154" i="40"/>
  <c r="DE150" i="40"/>
  <c r="DE146" i="40"/>
  <c r="DE141" i="40"/>
  <c r="DE137" i="40"/>
  <c r="DE133" i="40"/>
  <c r="DE129" i="40"/>
  <c r="DE125" i="40"/>
  <c r="DE121" i="40"/>
  <c r="DE117" i="40"/>
  <c r="DE113" i="40"/>
  <c r="DE109" i="40"/>
  <c r="DE105" i="40"/>
  <c r="DE100" i="40"/>
  <c r="DE96" i="40"/>
  <c r="DE92" i="40"/>
  <c r="DE88" i="40"/>
  <c r="DE84" i="40"/>
  <c r="DE80" i="40"/>
  <c r="DE76" i="40"/>
  <c r="DE71" i="40"/>
  <c r="DE67" i="40"/>
  <c r="DE63" i="40"/>
  <c r="DE59" i="40"/>
  <c r="DE54" i="40"/>
  <c r="DE50" i="40"/>
  <c r="DE46" i="40"/>
  <c r="DE42" i="40"/>
  <c r="DE38" i="40"/>
  <c r="DE34" i="40"/>
  <c r="DE30" i="40"/>
  <c r="DE26" i="40"/>
  <c r="DE22" i="40"/>
  <c r="DE18" i="40"/>
  <c r="DE14" i="40"/>
  <c r="DE10" i="40"/>
  <c r="DE6" i="40"/>
  <c r="DD407" i="40"/>
  <c r="DD403" i="40"/>
  <c r="DD399" i="40"/>
  <c r="DD395" i="40"/>
  <c r="DD391" i="40"/>
  <c r="DD387" i="40"/>
  <c r="DD383" i="40"/>
  <c r="DD379" i="40"/>
  <c r="DD375" i="40"/>
  <c r="DD371" i="40"/>
  <c r="DD367" i="40"/>
  <c r="DD363" i="40"/>
  <c r="DD359" i="40"/>
  <c r="DD355" i="40"/>
  <c r="DD351" i="40"/>
  <c r="DD347" i="40"/>
  <c r="DD343" i="40"/>
  <c r="DD339" i="40"/>
  <c r="DD335" i="40"/>
  <c r="DD331" i="40"/>
  <c r="DD327" i="40"/>
  <c r="DD323" i="40"/>
  <c r="DD319" i="40"/>
  <c r="DD314" i="40"/>
  <c r="DD310" i="40"/>
  <c r="DD306" i="40"/>
  <c r="DD302" i="40"/>
  <c r="DD298" i="40"/>
  <c r="DD294" i="40"/>
  <c r="DD290" i="40"/>
  <c r="DD286" i="40"/>
  <c r="DD282" i="40"/>
  <c r="DD278" i="40"/>
  <c r="DD274" i="40"/>
  <c r="DD270" i="40"/>
  <c r="DD266" i="40"/>
  <c r="DD262" i="40"/>
  <c r="DD258" i="40"/>
  <c r="DD254" i="40"/>
  <c r="DD250" i="40"/>
  <c r="DD246" i="40"/>
  <c r="DD242" i="40"/>
  <c r="DD238" i="40"/>
  <c r="DD234" i="40"/>
  <c r="DD230" i="40"/>
  <c r="DD226" i="40"/>
  <c r="DD222" i="40"/>
  <c r="DD218" i="40"/>
  <c r="DD214" i="40"/>
  <c r="DD210" i="40"/>
  <c r="DD205" i="40"/>
  <c r="DD201" i="40"/>
  <c r="DD197" i="40"/>
  <c r="DD193" i="40"/>
  <c r="DD189" i="40"/>
  <c r="DD185" i="40"/>
  <c r="DD181" i="40"/>
  <c r="DD177" i="40"/>
  <c r="DD173" i="40"/>
  <c r="DD169" i="40"/>
  <c r="DD164" i="40"/>
  <c r="DD160" i="40"/>
  <c r="DD156" i="40"/>
  <c r="DD151" i="40"/>
  <c r="DD147" i="40"/>
  <c r="DD143" i="40"/>
  <c r="DD139" i="40"/>
  <c r="DD135" i="40"/>
  <c r="DD131" i="40"/>
  <c r="DD127" i="40"/>
  <c r="DD123" i="40"/>
  <c r="DD119" i="40"/>
  <c r="DD115" i="40"/>
  <c r="DD111" i="40"/>
  <c r="DD107" i="40"/>
  <c r="DD102" i="40"/>
  <c r="DD98" i="40"/>
  <c r="DD94" i="40"/>
  <c r="DD89" i="40"/>
  <c r="DD85" i="40"/>
  <c r="DD81" i="40"/>
  <c r="DD76" i="40"/>
  <c r="DD72" i="40"/>
  <c r="DD68" i="40"/>
  <c r="DD64" i="40"/>
  <c r="DD60" i="40"/>
  <c r="DD56" i="40"/>
  <c r="DD52" i="40"/>
  <c r="DD48" i="40"/>
  <c r="DD44" i="40"/>
  <c r="DD40" i="40"/>
  <c r="DD36" i="40"/>
  <c r="DD32" i="40"/>
  <c r="DD27" i="40"/>
  <c r="DD23" i="40"/>
  <c r="DD19" i="40"/>
  <c r="DD15" i="40"/>
  <c r="DD11" i="40"/>
  <c r="DD7" i="40"/>
  <c r="DD3" i="40"/>
  <c r="DC404" i="40"/>
  <c r="DC400" i="40"/>
  <c r="DC396" i="40"/>
  <c r="DC392" i="40"/>
  <c r="DC388" i="40"/>
  <c r="DC384" i="40"/>
  <c r="DC380" i="40"/>
  <c r="DC376" i="40"/>
  <c r="DC372" i="40"/>
  <c r="DC368" i="40"/>
  <c r="DC364" i="40"/>
  <c r="DC360" i="40"/>
  <c r="DC356" i="40"/>
  <c r="DC351" i="40"/>
  <c r="DC347" i="40"/>
  <c r="DC343" i="40"/>
  <c r="DC339" i="40"/>
  <c r="DC334" i="40"/>
  <c r="DC330" i="40"/>
  <c r="DC326" i="40"/>
  <c r="DC322" i="40"/>
  <c r="DC318" i="40"/>
  <c r="DC314" i="40"/>
  <c r="DC308" i="40"/>
  <c r="DC304" i="40"/>
  <c r="DC300" i="40"/>
  <c r="DC296" i="40"/>
  <c r="DC291" i="40"/>
  <c r="DC287" i="40"/>
  <c r="DC282" i="40"/>
  <c r="DC277" i="40"/>
  <c r="DC273" i="40"/>
  <c r="DC268" i="40"/>
  <c r="DC264" i="40"/>
  <c r="DC260" i="40"/>
  <c r="DC256" i="40"/>
  <c r="DC252" i="40"/>
  <c r="DC248" i="40"/>
  <c r="DC244" i="40"/>
  <c r="DC240" i="40"/>
  <c r="DC236" i="40"/>
  <c r="DC232" i="40"/>
  <c r="DC228" i="40"/>
  <c r="DC223" i="40"/>
  <c r="DC218" i="40"/>
  <c r="DC213" i="40"/>
  <c r="DC209" i="40"/>
  <c r="DC205" i="40"/>
  <c r="DC201" i="40"/>
  <c r="DC197" i="40"/>
  <c r="DC193" i="40"/>
  <c r="DC189" i="40"/>
  <c r="DC185" i="40"/>
  <c r="DC179" i="40"/>
  <c r="DC175" i="40"/>
  <c r="DC171" i="40"/>
  <c r="DC167" i="40"/>
  <c r="DC163" i="40"/>
  <c r="DC158" i="40"/>
  <c r="DC154" i="40"/>
  <c r="DC150" i="40"/>
  <c r="DC146" i="40"/>
  <c r="DC142" i="40"/>
  <c r="DC138" i="40"/>
  <c r="DC134" i="40"/>
  <c r="DC129" i="40"/>
  <c r="DC125" i="40"/>
  <c r="DC121" i="40"/>
  <c r="DC117" i="40"/>
  <c r="DC113" i="40"/>
  <c r="DC109" i="40"/>
  <c r="DC105" i="40"/>
  <c r="DC100" i="40"/>
  <c r="DC96" i="40"/>
  <c r="DC92" i="40"/>
  <c r="DC87" i="40"/>
  <c r="DC83" i="40"/>
  <c r="DC78" i="40"/>
  <c r="DC74" i="40"/>
  <c r="DC70" i="40"/>
  <c r="DC66" i="40"/>
  <c r="DC62" i="40"/>
  <c r="DC58" i="40"/>
  <c r="DC54" i="40"/>
  <c r="DC49" i="40"/>
  <c r="DC45" i="40"/>
  <c r="DC41" i="40"/>
  <c r="DC37" i="40"/>
  <c r="DC33" i="40"/>
  <c r="DC27" i="40"/>
  <c r="DC23" i="40"/>
  <c r="DC19" i="40"/>
  <c r="DC15" i="40"/>
  <c r="DC11" i="40"/>
  <c r="DC6" i="40"/>
  <c r="DB407" i="40"/>
  <c r="DB403" i="40"/>
  <c r="DB399" i="40"/>
  <c r="DB395" i="40"/>
  <c r="DB391" i="40"/>
  <c r="DB387" i="40"/>
  <c r="DB383" i="40"/>
  <c r="DB379" i="40"/>
  <c r="DB375" i="40"/>
  <c r="DB371" i="40"/>
  <c r="DB367" i="40"/>
  <c r="DB362" i="40"/>
  <c r="DB358" i="40"/>
  <c r="DB354" i="40"/>
  <c r="DB349" i="40"/>
  <c r="DB345" i="40"/>
  <c r="DB341" i="40"/>
  <c r="DB337" i="40"/>
  <c r="DB333" i="40"/>
  <c r="DB329" i="40"/>
  <c r="DB325" i="40"/>
  <c r="DB321" i="40"/>
  <c r="DB317" i="40"/>
  <c r="DB312" i="40"/>
  <c r="DB308" i="40"/>
  <c r="DB304" i="40"/>
  <c r="DB299" i="40"/>
  <c r="DB295" i="40"/>
  <c r="DB291" i="40"/>
  <c r="DB287" i="40"/>
  <c r="DB283" i="40"/>
  <c r="DB279" i="40"/>
  <c r="DB275" i="40"/>
  <c r="DB270" i="40"/>
  <c r="DB266" i="40"/>
  <c r="DB261" i="40"/>
  <c r="DB257" i="40"/>
  <c r="DB253" i="40"/>
  <c r="DB249" i="40"/>
  <c r="DB245" i="40"/>
  <c r="DB241" i="40"/>
  <c r="DB237" i="40"/>
  <c r="DB233" i="40"/>
  <c r="DB229" i="40"/>
  <c r="DB225" i="40"/>
  <c r="DB221" i="40"/>
  <c r="DB217" i="40"/>
  <c r="DB213" i="40"/>
  <c r="DB208" i="40"/>
  <c r="DB204" i="40"/>
  <c r="DB199" i="40"/>
  <c r="DB195" i="40"/>
  <c r="DB191" i="40"/>
  <c r="DB187" i="40"/>
  <c r="DB182" i="40"/>
  <c r="DB178" i="40"/>
  <c r="DB174" i="40"/>
  <c r="DB170" i="40"/>
  <c r="DB166" i="40"/>
  <c r="DB162" i="40"/>
  <c r="DB158" i="40"/>
  <c r="DB153" i="40"/>
  <c r="DB149" i="40"/>
  <c r="DB145" i="40"/>
  <c r="DB141" i="40"/>
  <c r="DB136" i="40"/>
  <c r="DB132" i="40"/>
  <c r="DB128" i="40"/>
  <c r="DB124" i="40"/>
  <c r="DB120" i="40"/>
  <c r="DB115" i="40"/>
  <c r="DB111" i="40"/>
  <c r="DB107" i="40"/>
  <c r="DB103" i="40"/>
  <c r="DB99" i="40"/>
  <c r="DB95" i="40"/>
  <c r="DB91" i="40"/>
  <c r="DB87" i="40"/>
  <c r="DB83" i="40"/>
  <c r="DB79" i="40"/>
  <c r="DB75" i="40"/>
  <c r="DB71" i="40"/>
  <c r="DB67" i="40"/>
  <c r="DB63" i="40"/>
  <c r="DB59" i="40"/>
  <c r="DB55" i="40"/>
  <c r="DB51" i="40"/>
  <c r="DB47" i="40"/>
  <c r="DB42" i="40"/>
  <c r="DB37" i="40"/>
  <c r="DB33" i="40"/>
  <c r="DB29" i="40"/>
  <c r="DB25" i="40"/>
  <c r="DB20" i="40"/>
  <c r="DB16" i="40"/>
  <c r="DB12" i="40"/>
  <c r="DB8" i="40"/>
  <c r="DA405" i="40"/>
  <c r="DA401" i="40"/>
  <c r="DA397" i="40"/>
  <c r="DA393" i="40"/>
  <c r="DA389" i="40"/>
  <c r="DA385" i="40"/>
  <c r="DA381" i="40"/>
  <c r="DA377" i="40"/>
  <c r="DA373" i="40"/>
  <c r="DA369" i="40"/>
  <c r="DA365" i="40"/>
  <c r="DA361" i="40"/>
  <c r="DA357" i="40"/>
  <c r="DA353" i="40"/>
  <c r="DA349" i="40"/>
  <c r="DA345" i="40"/>
  <c r="DA341" i="40"/>
  <c r="DA337" i="40"/>
  <c r="DA333" i="40"/>
  <c r="DA329" i="40"/>
  <c r="DA325" i="40"/>
  <c r="DA321" i="40"/>
  <c r="DA317" i="40"/>
  <c r="DA313" i="40"/>
  <c r="DA309" i="40"/>
  <c r="DA305" i="40"/>
  <c r="DA301" i="40"/>
  <c r="DA296" i="40"/>
  <c r="DA292" i="40"/>
  <c r="DA288" i="40"/>
  <c r="DA283" i="40"/>
  <c r="DA279" i="40"/>
  <c r="DA275" i="40"/>
  <c r="DA269" i="40"/>
  <c r="DA265" i="40"/>
  <c r="DA261" i="40"/>
  <c r="DA257" i="40"/>
  <c r="DA253" i="40"/>
  <c r="DA249" i="40"/>
  <c r="DA245" i="40"/>
  <c r="DA241" i="40"/>
  <c r="DA237" i="40"/>
  <c r="DA233" i="40"/>
  <c r="DA229" i="40"/>
  <c r="DA225" i="40"/>
  <c r="DA221" i="40"/>
  <c r="DA217" i="40"/>
  <c r="DA213" i="40"/>
  <c r="DA209" i="40"/>
  <c r="DA205" i="40"/>
  <c r="DA201" i="40"/>
  <c r="DA197" i="40"/>
  <c r="DA192" i="40"/>
  <c r="DA188" i="40"/>
  <c r="DA184" i="40"/>
  <c r="DA180" i="40"/>
  <c r="DA175" i="40"/>
  <c r="DA171" i="40"/>
  <c r="DA166" i="40"/>
  <c r="DA162" i="40"/>
  <c r="DA158" i="40"/>
  <c r="DA154" i="40"/>
  <c r="DA150" i="40"/>
  <c r="DA146" i="40"/>
  <c r="DA142" i="40"/>
  <c r="DA138" i="40"/>
  <c r="DA134" i="40"/>
  <c r="DA130" i="40"/>
  <c r="DA126" i="40"/>
  <c r="DA122" i="40"/>
  <c r="DA118" i="40"/>
  <c r="DA114" i="40"/>
  <c r="DA110" i="40"/>
  <c r="DA106" i="40"/>
  <c r="DA102" i="40"/>
  <c r="DA95" i="40"/>
  <c r="DA91" i="40"/>
  <c r="DA86" i="40"/>
  <c r="DA81" i="40"/>
  <c r="DA77" i="40"/>
  <c r="DA73" i="40"/>
  <c r="DA69" i="40"/>
  <c r="DA65" i="40"/>
  <c r="DA61" i="40"/>
  <c r="DA56" i="40"/>
  <c r="DA52" i="40"/>
  <c r="DA48" i="40"/>
  <c r="DA44" i="40"/>
  <c r="DA40" i="40"/>
  <c r="DA35" i="40"/>
  <c r="DA31" i="40"/>
  <c r="DA27" i="40"/>
  <c r="DA22" i="40"/>
  <c r="DA18" i="40"/>
  <c r="DA14" i="40"/>
  <c r="DA10" i="40"/>
  <c r="DA6" i="40"/>
  <c r="DC178" i="40"/>
  <c r="DC174" i="40"/>
  <c r="DC170" i="40"/>
  <c r="DC166" i="40"/>
  <c r="DC162" i="40"/>
  <c r="DC157" i="40"/>
  <c r="DC153" i="40"/>
  <c r="DC149" i="40"/>
  <c r="DC145" i="40"/>
  <c r="DC141" i="40"/>
  <c r="DC137" i="40"/>
  <c r="DC132" i="40"/>
  <c r="DC128" i="40"/>
  <c r="DC124" i="40"/>
  <c r="DC120" i="40"/>
  <c r="DC116" i="40"/>
  <c r="DC112" i="40"/>
  <c r="DC108" i="40"/>
  <c r="DC103" i="40"/>
  <c r="DC99" i="40"/>
  <c r="DC95" i="40"/>
  <c r="DC90" i="40"/>
  <c r="DC86" i="40"/>
  <c r="DC82" i="40"/>
  <c r="DC77" i="40"/>
  <c r="DC73" i="40"/>
  <c r="DC69" i="40"/>
  <c r="DC65" i="40"/>
  <c r="DC61" i="40"/>
  <c r="DC57" i="40"/>
  <c r="DC53" i="40"/>
  <c r="DC48" i="40"/>
  <c r="DC44" i="40"/>
  <c r="DC40" i="40"/>
  <c r="DC36" i="40"/>
  <c r="DC31" i="40"/>
  <c r="DC26" i="40"/>
  <c r="DC22" i="40"/>
  <c r="DC18" i="40"/>
  <c r="DC14" i="40"/>
  <c r="DC9" i="40"/>
  <c r="DC5" i="40"/>
  <c r="DB406" i="40"/>
  <c r="DB402" i="40"/>
  <c r="DB398" i="40"/>
  <c r="DB394" i="40"/>
  <c r="DB390" i="40"/>
  <c r="DB386" i="40"/>
  <c r="DB382" i="40"/>
  <c r="DB378" i="40"/>
  <c r="DB374" i="40"/>
  <c r="DB370" i="40"/>
  <c r="DB366" i="40"/>
  <c r="DB361" i="40"/>
  <c r="DB357" i="40"/>
  <c r="DB352" i="40"/>
  <c r="DB348" i="40"/>
  <c r="DB344" i="40"/>
  <c r="DB340" i="40"/>
  <c r="DB336" i="40"/>
  <c r="DB332" i="40"/>
  <c r="DB328" i="40"/>
  <c r="DB324" i="40"/>
  <c r="DB320" i="40"/>
  <c r="DB316" i="40"/>
  <c r="DB311" i="40"/>
  <c r="DB307" i="40"/>
  <c r="DB303" i="40"/>
  <c r="DB298" i="40"/>
  <c r="DB294" i="40"/>
  <c r="DB290" i="40"/>
  <c r="DB286" i="40"/>
  <c r="DB282" i="40"/>
  <c r="DB278" i="40"/>
  <c r="DB274" i="40"/>
  <c r="DB269" i="40"/>
  <c r="DB265" i="40"/>
  <c r="DB260" i="40"/>
  <c r="DB256" i="40"/>
  <c r="DB252" i="40"/>
  <c r="DB248" i="40"/>
  <c r="DB244" i="40"/>
  <c r="DB240" i="40"/>
  <c r="DB236" i="40"/>
  <c r="DB232" i="40"/>
  <c r="DB228" i="40"/>
  <c r="DB224" i="40"/>
  <c r="DB220" i="40"/>
  <c r="DB216" i="40"/>
  <c r="DB212" i="40"/>
  <c r="DB207" i="40"/>
  <c r="DB202" i="40"/>
  <c r="DB198" i="40"/>
  <c r="DB194" i="40"/>
  <c r="DB190" i="40"/>
  <c r="DB186" i="40"/>
  <c r="DB181" i="40"/>
  <c r="DB177" i="40"/>
  <c r="DB173" i="40"/>
  <c r="DB169" i="40"/>
  <c r="DB165" i="40"/>
  <c r="DB161" i="40"/>
  <c r="DB156" i="40"/>
  <c r="DB152" i="40"/>
  <c r="DB148" i="40"/>
  <c r="DB144" i="40"/>
  <c r="DB140" i="40"/>
  <c r="DB135" i="40"/>
  <c r="DB131" i="40"/>
  <c r="DB127" i="40"/>
  <c r="DB123" i="40"/>
  <c r="DB119" i="40"/>
  <c r="DB114" i="40"/>
  <c r="DB110" i="40"/>
  <c r="DB106" i="40"/>
  <c r="DB102" i="40"/>
  <c r="DB98" i="40"/>
  <c r="DB94" i="40"/>
  <c r="DB90" i="40"/>
  <c r="DB86" i="40"/>
  <c r="DB82" i="40"/>
  <c r="DB78" i="40"/>
  <c r="DB74" i="40"/>
  <c r="DB70" i="40"/>
  <c r="DB66" i="40"/>
  <c r="DB62" i="40"/>
  <c r="DB58" i="40"/>
  <c r="DB54" i="40"/>
  <c r="DB50" i="40"/>
  <c r="DB46" i="40"/>
  <c r="DB41" i="40"/>
  <c r="DB36" i="40"/>
  <c r="DB32" i="40"/>
  <c r="DB28" i="40"/>
  <c r="DB24" i="40"/>
  <c r="DB19" i="40"/>
  <c r="DB15" i="40"/>
  <c r="DB11" i="40"/>
  <c r="DB7" i="40"/>
  <c r="DB3" i="40"/>
  <c r="DB4" i="40" s="1"/>
  <c r="DA404" i="40"/>
  <c r="DA400" i="40"/>
  <c r="DA396" i="40"/>
  <c r="DA392" i="40"/>
  <c r="DA388" i="40"/>
  <c r="DA384" i="40"/>
  <c r="DA380" i="40"/>
  <c r="DA376" i="40"/>
  <c r="DA372" i="40"/>
  <c r="DA368" i="40"/>
  <c r="DA364" i="40"/>
  <c r="DA360" i="40"/>
  <c r="DA356" i="40"/>
  <c r="DA352" i="40"/>
  <c r="DA348" i="40"/>
  <c r="DA344" i="40"/>
  <c r="DA340" i="40"/>
  <c r="DA336" i="40"/>
  <c r="DA332" i="40"/>
  <c r="DA328" i="40"/>
  <c r="DA324" i="40"/>
  <c r="DA320" i="40"/>
  <c r="DA316" i="40"/>
  <c r="DA312" i="40"/>
  <c r="DA308" i="40"/>
  <c r="DA304" i="40"/>
  <c r="DA300" i="40"/>
  <c r="DA295" i="40"/>
  <c r="DA291" i="40"/>
  <c r="DA286" i="40"/>
  <c r="DA282" i="40"/>
  <c r="DA278" i="40"/>
  <c r="DA274" i="40"/>
  <c r="DA268" i="40"/>
  <c r="DA264" i="40"/>
  <c r="DA260" i="40"/>
  <c r="DA256" i="40"/>
  <c r="DA252" i="40"/>
  <c r="DA248" i="40"/>
  <c r="DA244" i="40"/>
  <c r="DA240" i="40"/>
  <c r="DA236" i="40"/>
  <c r="DA232" i="40"/>
  <c r="DA228" i="40"/>
  <c r="DA224" i="40"/>
  <c r="DA220" i="40"/>
  <c r="DA216" i="40"/>
  <c r="DA212" i="40"/>
  <c r="DA208" i="40"/>
  <c r="DA204" i="40"/>
  <c r="DA200" i="40"/>
  <c r="DA196" i="40"/>
  <c r="DA191" i="40"/>
  <c r="DA187" i="40"/>
  <c r="DA183" i="40"/>
  <c r="DA179" i="40"/>
  <c r="DA174" i="40"/>
  <c r="DA169" i="40"/>
  <c r="DA165" i="40"/>
  <c r="DA161" i="40"/>
  <c r="DA157" i="40"/>
  <c r="DA153" i="40"/>
  <c r="DA149" i="40"/>
  <c r="DA145" i="40"/>
  <c r="DA141" i="40"/>
  <c r="DA137" i="40"/>
  <c r="DA133" i="40"/>
  <c r="DA129" i="40"/>
  <c r="DA125" i="40"/>
  <c r="DA121" i="40"/>
  <c r="DA117" i="40"/>
  <c r="DA113" i="40"/>
  <c r="DA109" i="40"/>
  <c r="DA105" i="40"/>
  <c r="DA101" i="40"/>
  <c r="DA94" i="40"/>
  <c r="DA90" i="40"/>
  <c r="DA85" i="40"/>
  <c r="DA80" i="40"/>
  <c r="DA76" i="40"/>
  <c r="DA72" i="40"/>
  <c r="DA68" i="40"/>
  <c r="DA64" i="40"/>
  <c r="DA60" i="40"/>
  <c r="DA55" i="40"/>
  <c r="DA51" i="40"/>
  <c r="DA47" i="40"/>
  <c r="DA43" i="40"/>
  <c r="DA39" i="40"/>
  <c r="DA34" i="40"/>
  <c r="DA30" i="40"/>
  <c r="DA25" i="40"/>
  <c r="DA21" i="40"/>
  <c r="DA17" i="40"/>
  <c r="DA13" i="40"/>
  <c r="DA9" i="40"/>
  <c r="DA5" i="40"/>
  <c r="DC181" i="40"/>
  <c r="DC177" i="40"/>
  <c r="DC173" i="40"/>
  <c r="DC169" i="40"/>
  <c r="DC165" i="40"/>
  <c r="DC160" i="40"/>
  <c r="DC156" i="40"/>
  <c r="DC152" i="40"/>
  <c r="DC148" i="40"/>
  <c r="DC144" i="40"/>
  <c r="DC140" i="40"/>
  <c r="DC136" i="40"/>
  <c r="DC131" i="40"/>
  <c r="DC127" i="40"/>
  <c r="DC123" i="40"/>
  <c r="DC119" i="40"/>
  <c r="DC115" i="40"/>
  <c r="DC111" i="40"/>
  <c r="DC107" i="40"/>
  <c r="DC102" i="40"/>
  <c r="DC98" i="40"/>
  <c r="DC94" i="40"/>
  <c r="DC89" i="40"/>
  <c r="DC85" i="40"/>
  <c r="DC80" i="40"/>
  <c r="DC76" i="40"/>
  <c r="DC72" i="40"/>
  <c r="DC68" i="40"/>
  <c r="DC64" i="40"/>
  <c r="DC60" i="40"/>
  <c r="DC56" i="40"/>
  <c r="DC51" i="40"/>
  <c r="DC47" i="40"/>
  <c r="DC43" i="40"/>
  <c r="DC39" i="40"/>
  <c r="DC35" i="40"/>
  <c r="DC29" i="40"/>
  <c r="DC25" i="40"/>
  <c r="DC21" i="40"/>
  <c r="DC17" i="40"/>
  <c r="DC13" i="40"/>
  <c r="DC8" i="40"/>
  <c r="DC4" i="40"/>
  <c r="DB405" i="40"/>
  <c r="DB401" i="40"/>
  <c r="DB397" i="40"/>
  <c r="DB393" i="40"/>
  <c r="DB389" i="40"/>
  <c r="DB385" i="40"/>
  <c r="DB381" i="40"/>
  <c r="DB377" i="40"/>
  <c r="DB373" i="40"/>
  <c r="DB369" i="40"/>
  <c r="DB365" i="40"/>
  <c r="DB360" i="40"/>
  <c r="DB356" i="40"/>
  <c r="DB351" i="40"/>
  <c r="DB347" i="40"/>
  <c r="DB343" i="40"/>
  <c r="DB339" i="40"/>
  <c r="DB335" i="40"/>
  <c r="DB331" i="40"/>
  <c r="DB327" i="40"/>
  <c r="DB323" i="40"/>
  <c r="DB319" i="40"/>
  <c r="DB315" i="40"/>
  <c r="DB310" i="40"/>
  <c r="DB306" i="40"/>
  <c r="DB302" i="40"/>
  <c r="DB297" i="40"/>
  <c r="DB293" i="40"/>
  <c r="DB289" i="40"/>
  <c r="DB285" i="40"/>
  <c r="DB281" i="40"/>
  <c r="DB277" i="40"/>
  <c r="DB273" i="40"/>
  <c r="DB268" i="40"/>
  <c r="DB264" i="40"/>
  <c r="DB259" i="40"/>
  <c r="DB255" i="40"/>
  <c r="DB251" i="40"/>
  <c r="DB247" i="40"/>
  <c r="DB243" i="40"/>
  <c r="DB239" i="40"/>
  <c r="DB235" i="40"/>
  <c r="DB231" i="40"/>
  <c r="DB227" i="40"/>
  <c r="DB223" i="40"/>
  <c r="DB219" i="40"/>
  <c r="DB215" i="40"/>
  <c r="DB211" i="40"/>
  <c r="DB206" i="40"/>
  <c r="DB201" i="40"/>
  <c r="DB197" i="40"/>
  <c r="DB193" i="40"/>
  <c r="DB189" i="40"/>
  <c r="DB184" i="40"/>
  <c r="DB180" i="40"/>
  <c r="DB176" i="40"/>
  <c r="DB172" i="40"/>
  <c r="DB168" i="40"/>
  <c r="DB164" i="40"/>
  <c r="DB160" i="40"/>
  <c r="DB155" i="40"/>
  <c r="DB151" i="40"/>
  <c r="DB147" i="40"/>
  <c r="DB143" i="40"/>
  <c r="DB139" i="40"/>
  <c r="DB134" i="40"/>
  <c r="DB130" i="40"/>
  <c r="DB126" i="40"/>
  <c r="DB122" i="40"/>
  <c r="DB117" i="40"/>
  <c r="DB113" i="40"/>
  <c r="DB109" i="40"/>
  <c r="DB105" i="40"/>
  <c r="DB101" i="40"/>
  <c r="DB97" i="40"/>
  <c r="DB93" i="40"/>
  <c r="DB89" i="40"/>
  <c r="DB85" i="40"/>
  <c r="DB81" i="40"/>
  <c r="DB77" i="40"/>
  <c r="DB73" i="40"/>
  <c r="DB69" i="40"/>
  <c r="DB65" i="40"/>
  <c r="DB61" i="40"/>
  <c r="DB57" i="40"/>
  <c r="DB53" i="40"/>
  <c r="DB49" i="40"/>
  <c r="DB44" i="40"/>
  <c r="DB40" i="40"/>
  <c r="DB35" i="40"/>
  <c r="DB31" i="40"/>
  <c r="DB27" i="40"/>
  <c r="DB23" i="40"/>
  <c r="DB18" i="40"/>
  <c r="DB14" i="40"/>
  <c r="DB10" i="40"/>
  <c r="DB6" i="40"/>
  <c r="DA407" i="40"/>
  <c r="DA403" i="40"/>
  <c r="DA399" i="40"/>
  <c r="DA395" i="40"/>
  <c r="DA391" i="40"/>
  <c r="DA387" i="40"/>
  <c r="DA383" i="40"/>
  <c r="DA379" i="40"/>
  <c r="DA375" i="40"/>
  <c r="DA371" i="40"/>
  <c r="DA367" i="40"/>
  <c r="DA363" i="40"/>
  <c r="DA359" i="40"/>
  <c r="DA355" i="40"/>
  <c r="DA351" i="40"/>
  <c r="DA347" i="40"/>
  <c r="DA343" i="40"/>
  <c r="DA339" i="40"/>
  <c r="DA335" i="40"/>
  <c r="DA331" i="40"/>
  <c r="DA327" i="40"/>
  <c r="DA323" i="40"/>
  <c r="DA319" i="40"/>
  <c r="DA315" i="40"/>
  <c r="DA311" i="40"/>
  <c r="DA307" i="40"/>
  <c r="DA303" i="40"/>
  <c r="DA299" i="40"/>
  <c r="DA294" i="40"/>
  <c r="DA290" i="40"/>
  <c r="DA285" i="40"/>
  <c r="DA281" i="40"/>
  <c r="DA277" i="40"/>
  <c r="DA273" i="40"/>
  <c r="DA267" i="40"/>
  <c r="DA263" i="40"/>
  <c r="DA259" i="40"/>
  <c r="DA255" i="40"/>
  <c r="DA251" i="40"/>
  <c r="DA247" i="40"/>
  <c r="DA243" i="40"/>
  <c r="DA239" i="40"/>
  <c r="DA235" i="40"/>
  <c r="DA231" i="40"/>
  <c r="DA227" i="40"/>
  <c r="DA223" i="40"/>
  <c r="DA219" i="40"/>
  <c r="DA215" i="40"/>
  <c r="DA211" i="40"/>
  <c r="DA207" i="40"/>
  <c r="DA203" i="40"/>
  <c r="DA199" i="40"/>
  <c r="DA194" i="40"/>
  <c r="DA190" i="40"/>
  <c r="DA186" i="40"/>
  <c r="DA182" i="40"/>
  <c r="DA177" i="40"/>
  <c r="DA173" i="40"/>
  <c r="DA168" i="40"/>
  <c r="DA164" i="40"/>
  <c r="DA160" i="40"/>
  <c r="DA156" i="40"/>
  <c r="DA152" i="40"/>
  <c r="DA148" i="40"/>
  <c r="DA144" i="40"/>
  <c r="DA140" i="40"/>
  <c r="DA136" i="40"/>
  <c r="DA132" i="40"/>
  <c r="DA128" i="40"/>
  <c r="DA124" i="40"/>
  <c r="DA120" i="40"/>
  <c r="DA116" i="40"/>
  <c r="DA112" i="40"/>
  <c r="DA108" i="40"/>
  <c r="DA104" i="40"/>
  <c r="DA100" i="40"/>
  <c r="DA93" i="40"/>
  <c r="DA89" i="40"/>
  <c r="DA84" i="40"/>
  <c r="DA79" i="40"/>
  <c r="DA75" i="40"/>
  <c r="DA71" i="40"/>
  <c r="DA67" i="40"/>
  <c r="DA63" i="40"/>
  <c r="DA59" i="40"/>
  <c r="DA54" i="40"/>
  <c r="DA50" i="40"/>
  <c r="DA46" i="40"/>
  <c r="DA42" i="40"/>
  <c r="DA38" i="40"/>
  <c r="DA33" i="40"/>
  <c r="DA29" i="40"/>
  <c r="DA24" i="40"/>
  <c r="DA20" i="40"/>
  <c r="DA16" i="40"/>
  <c r="DA12" i="40"/>
  <c r="DA8" i="40"/>
  <c r="DA4" i="40"/>
  <c r="DC180" i="40"/>
  <c r="DC176" i="40"/>
  <c r="DC172" i="40"/>
  <c r="DC168" i="40"/>
  <c r="DC164" i="40"/>
  <c r="DC159" i="40"/>
  <c r="DC155" i="40"/>
  <c r="DC151" i="40"/>
  <c r="DC147" i="40"/>
  <c r="DC143" i="40"/>
  <c r="DC139" i="40"/>
  <c r="DC135" i="40"/>
  <c r="DC130" i="40"/>
  <c r="DC126" i="40"/>
  <c r="DC122" i="40"/>
  <c r="DC118" i="40"/>
  <c r="DC114" i="40"/>
  <c r="DC110" i="40"/>
  <c r="DC106" i="40"/>
  <c r="DC101" i="40"/>
  <c r="DC97" i="40"/>
  <c r="DC93" i="40"/>
  <c r="DC88" i="40"/>
  <c r="DC84" i="40"/>
  <c r="DC79" i="40"/>
  <c r="DC75" i="40"/>
  <c r="DC71" i="40"/>
  <c r="DC67" i="40"/>
  <c r="DC63" i="40"/>
  <c r="DC59" i="40"/>
  <c r="DC55" i="40"/>
  <c r="DC50" i="40"/>
  <c r="DC46" i="40"/>
  <c r="DC42" i="40"/>
  <c r="DC38" i="40"/>
  <c r="DC34" i="40"/>
  <c r="DC28" i="40"/>
  <c r="DC24" i="40"/>
  <c r="DC20" i="40"/>
  <c r="DC16" i="40"/>
  <c r="DC12" i="40"/>
  <c r="DC7" i="40"/>
  <c r="DC3" i="40"/>
  <c r="DB404" i="40"/>
  <c r="DB400" i="40"/>
  <c r="DB396" i="40"/>
  <c r="DB392" i="40"/>
  <c r="DB388" i="40"/>
  <c r="DB384" i="40"/>
  <c r="DB380" i="40"/>
  <c r="DB376" i="40"/>
  <c r="DB372" i="40"/>
  <c r="DB368" i="40"/>
  <c r="DB363" i="40"/>
  <c r="DB359" i="40"/>
  <c r="DB355" i="40"/>
  <c r="DB350" i="40"/>
  <c r="DB346" i="40"/>
  <c r="DB342" i="40"/>
  <c r="DB338" i="40"/>
  <c r="DB334" i="40"/>
  <c r="DB330" i="40"/>
  <c r="DB326" i="40"/>
  <c r="DB322" i="40"/>
  <c r="DB318" i="40"/>
  <c r="DB313" i="40"/>
  <c r="DB309" i="40"/>
  <c r="DB305" i="40"/>
  <c r="DB300" i="40"/>
  <c r="DB296" i="40"/>
  <c r="DB292" i="40"/>
  <c r="DB288" i="40"/>
  <c r="DB284" i="40"/>
  <c r="DB280" i="40"/>
  <c r="DB276" i="40"/>
  <c r="DB272" i="40"/>
  <c r="DB267" i="40"/>
  <c r="DB263" i="40"/>
  <c r="DB258" i="40"/>
  <c r="DB254" i="40"/>
  <c r="DB250" i="40"/>
  <c r="DB246" i="40"/>
  <c r="DB242" i="40"/>
  <c r="DB238" i="40"/>
  <c r="DB234" i="40"/>
  <c r="DB230" i="40"/>
  <c r="DB226" i="40"/>
  <c r="DB222" i="40"/>
  <c r="DB218" i="40"/>
  <c r="DB214" i="40"/>
  <c r="DB209" i="40"/>
  <c r="DB205" i="40"/>
  <c r="DB200" i="40"/>
  <c r="DB196" i="40"/>
  <c r="DB192" i="40"/>
  <c r="DB188" i="40"/>
  <c r="DB183" i="40"/>
  <c r="DB179" i="40"/>
  <c r="DB175" i="40"/>
  <c r="DB171" i="40"/>
  <c r="DB167" i="40"/>
  <c r="DB163" i="40"/>
  <c r="DB159" i="40"/>
  <c r="DB154" i="40"/>
  <c r="DB150" i="40"/>
  <c r="DB146" i="40"/>
  <c r="DB142" i="40"/>
  <c r="DB138" i="40"/>
  <c r="DB133" i="40"/>
  <c r="DB129" i="40"/>
  <c r="DB125" i="40"/>
  <c r="DB121" i="40"/>
  <c r="DB116" i="40"/>
  <c r="DB112" i="40"/>
  <c r="DB108" i="40"/>
  <c r="DB104" i="40"/>
  <c r="DB100" i="40"/>
  <c r="DB96" i="40"/>
  <c r="DB92" i="40"/>
  <c r="DB88" i="40"/>
  <c r="DB84" i="40"/>
  <c r="DB80" i="40"/>
  <c r="DB76" i="40"/>
  <c r="DB72" i="40"/>
  <c r="DB68" i="40"/>
  <c r="DB64" i="40"/>
  <c r="DB60" i="40"/>
  <c r="DB56" i="40"/>
  <c r="DB52" i="40"/>
  <c r="DB48" i="40"/>
  <c r="DB43" i="40"/>
  <c r="DB38" i="40"/>
  <c r="DB34" i="40"/>
  <c r="DB30" i="40"/>
  <c r="DB26" i="40"/>
  <c r="DB22" i="40"/>
  <c r="DB17" i="40"/>
  <c r="DB13" i="40"/>
  <c r="DB9" i="40"/>
  <c r="DB5" i="40"/>
  <c r="DA406" i="40"/>
  <c r="DA402" i="40"/>
  <c r="DA398" i="40"/>
  <c r="DA394" i="40"/>
  <c r="DA390" i="40"/>
  <c r="DA386" i="40"/>
  <c r="DA382" i="40"/>
  <c r="DA378" i="40"/>
  <c r="DA374" i="40"/>
  <c r="DA370" i="40"/>
  <c r="DA366" i="40"/>
  <c r="DA362" i="40"/>
  <c r="DA358" i="40"/>
  <c r="DA354" i="40"/>
  <c r="DA350" i="40"/>
  <c r="DA346" i="40"/>
  <c r="DA342" i="40"/>
  <c r="DA338" i="40"/>
  <c r="DA334" i="40"/>
  <c r="DA330" i="40"/>
  <c r="DA326" i="40"/>
  <c r="DA322" i="40"/>
  <c r="DA318" i="40"/>
  <c r="DA314" i="40"/>
  <c r="DA310" i="40"/>
  <c r="DA306" i="40"/>
  <c r="DA302" i="40"/>
  <c r="DA297" i="40"/>
  <c r="DA293" i="40"/>
  <c r="DA289" i="40"/>
  <c r="DA284" i="40"/>
  <c r="DA280" i="40"/>
  <c r="DA276" i="40"/>
  <c r="DA271" i="40"/>
  <c r="DA266" i="40"/>
  <c r="DA262" i="40"/>
  <c r="DA258" i="40"/>
  <c r="DA254" i="40"/>
  <c r="DA250" i="40"/>
  <c r="DA246" i="40"/>
  <c r="DA242" i="40"/>
  <c r="DA238" i="40"/>
  <c r="DA234" i="40"/>
  <c r="DA230" i="40"/>
  <c r="DA226" i="40"/>
  <c r="DA222" i="40"/>
  <c r="DA218" i="40"/>
  <c r="DA214" i="40"/>
  <c r="DA210" i="40"/>
  <c r="DA206" i="40"/>
  <c r="DA202" i="40"/>
  <c r="DA198" i="40"/>
  <c r="DA193" i="40"/>
  <c r="DA189" i="40"/>
  <c r="DA185" i="40"/>
  <c r="DA181" i="40"/>
  <c r="DA176" i="40"/>
  <c r="DA172" i="40"/>
  <c r="DA167" i="40"/>
  <c r="DA163" i="40"/>
  <c r="DA159" i="40"/>
  <c r="DA155" i="40"/>
  <c r="DA151" i="40"/>
  <c r="DA147" i="40"/>
  <c r="DA143" i="40"/>
  <c r="DA139" i="40"/>
  <c r="DA135" i="40"/>
  <c r="DA131" i="40"/>
  <c r="DA127" i="40"/>
  <c r="DA123" i="40"/>
  <c r="DA119" i="40"/>
  <c r="DA115" i="40"/>
  <c r="DA111" i="40"/>
  <c r="DA107" i="40"/>
  <c r="DA103" i="40"/>
  <c r="DA99" i="40"/>
  <c r="DA92" i="40"/>
  <c r="DA88" i="40"/>
  <c r="DA83" i="40"/>
  <c r="DA78" i="40"/>
  <c r="DA74" i="40"/>
  <c r="DA70" i="40"/>
  <c r="DA66" i="40"/>
  <c r="DA62" i="40"/>
  <c r="DA58" i="40"/>
  <c r="DA53" i="40"/>
  <c r="DA49" i="40"/>
  <c r="DA45" i="40"/>
  <c r="DA41" i="40"/>
  <c r="DA37" i="40"/>
  <c r="DA32" i="40"/>
  <c r="DA28" i="40"/>
  <c r="DA23" i="40"/>
  <c r="DA19" i="40"/>
  <c r="DA15" i="40"/>
  <c r="DA11" i="40"/>
  <c r="DA7" i="40"/>
  <c r="CG14" i="62"/>
  <c r="CG7" i="62"/>
  <c r="CG6" i="62"/>
  <c r="CG12" i="62"/>
  <c r="CG11" i="62"/>
  <c r="CG10" i="62"/>
  <c r="CG13" i="62"/>
  <c r="CG9" i="62"/>
  <c r="CG8" i="62"/>
  <c r="S3" i="59"/>
  <c r="CB7" i="61"/>
  <c r="CB8" i="61"/>
  <c r="CB9" i="61"/>
  <c r="CB6" i="61"/>
  <c r="P3" i="60"/>
  <c r="W3" i="60"/>
  <c r="P15" i="23"/>
  <c r="Y3" i="63"/>
  <c r="Y3" i="58"/>
  <c r="CG12" i="63"/>
  <c r="CG9" i="63"/>
  <c r="CG6" i="63"/>
  <c r="CG11" i="59"/>
  <c r="CG11" i="63"/>
  <c r="CG13" i="59"/>
  <c r="CB7" i="60"/>
  <c r="CB6" i="60"/>
  <c r="CG7" i="63"/>
  <c r="CG14" i="59"/>
  <c r="CG12" i="59"/>
  <c r="CG13" i="63"/>
  <c r="CG8" i="63"/>
  <c r="CB8" i="60"/>
  <c r="CG14" i="63"/>
  <c r="CG10" i="63"/>
  <c r="CG10" i="59"/>
  <c r="CG9" i="59"/>
  <c r="CG8" i="59"/>
  <c r="CG7" i="59"/>
  <c r="CG6" i="59"/>
  <c r="CB9" i="60"/>
  <c r="X141" i="18"/>
  <c r="X130" i="18"/>
  <c r="X137" i="18"/>
  <c r="X152" i="18"/>
  <c r="X156" i="18"/>
  <c r="X150" i="18"/>
  <c r="D50" i="18"/>
  <c r="Y3" i="54"/>
  <c r="Z32" i="54" s="1"/>
  <c r="Y95" i="54" s="1"/>
  <c r="CQ406" i="40"/>
  <c r="CQ402" i="40"/>
  <c r="CQ398" i="40"/>
  <c r="CQ394" i="40"/>
  <c r="CQ390" i="40"/>
  <c r="CQ386" i="40"/>
  <c r="CQ382" i="40"/>
  <c r="CQ378" i="40"/>
  <c r="CQ374" i="40"/>
  <c r="CQ370" i="40"/>
  <c r="CQ366" i="40"/>
  <c r="CQ362" i="40"/>
  <c r="CR362" i="40" s="1"/>
  <c r="CQ358" i="40"/>
  <c r="CR358" i="40" s="1"/>
  <c r="CQ354" i="40"/>
  <c r="CQ350" i="40"/>
  <c r="CQ346" i="40"/>
  <c r="CQ342" i="40"/>
  <c r="CQ338" i="40"/>
  <c r="CQ334" i="40"/>
  <c r="CQ330" i="40"/>
  <c r="CQ326" i="40"/>
  <c r="CQ322" i="40"/>
  <c r="CQ318" i="40"/>
  <c r="CQ314" i="40"/>
  <c r="CR314" i="40" s="1"/>
  <c r="CQ310" i="40"/>
  <c r="CR310" i="40" s="1"/>
  <c r="CQ306" i="40"/>
  <c r="CQ302" i="40"/>
  <c r="CQ298" i="40"/>
  <c r="CR298" i="40" s="1"/>
  <c r="CQ294" i="40"/>
  <c r="CQ290" i="40"/>
  <c r="CR290" i="40" s="1"/>
  <c r="CQ286" i="40"/>
  <c r="CR286" i="40" s="1"/>
  <c r="CQ282" i="40"/>
  <c r="CR282" i="40" s="1"/>
  <c r="CQ278" i="40"/>
  <c r="CR278" i="40" s="1"/>
  <c r="CQ274" i="40"/>
  <c r="CQ270" i="40"/>
  <c r="CQ266" i="40"/>
  <c r="CR266" i="40" s="1"/>
  <c r="CQ262" i="40"/>
  <c r="CR262" i="40" s="1"/>
  <c r="CQ258" i="40"/>
  <c r="CQ254" i="40"/>
  <c r="CQ250" i="40"/>
  <c r="CQ246" i="40"/>
  <c r="CQ242" i="40"/>
  <c r="CQ238" i="40"/>
  <c r="CQ234" i="40"/>
  <c r="CQ230" i="40"/>
  <c r="CQ226" i="40"/>
  <c r="CQ222" i="40"/>
  <c r="CR222" i="40" s="1"/>
  <c r="CQ218" i="40"/>
  <c r="CQ214" i="40"/>
  <c r="CQ210" i="40"/>
  <c r="CQ206" i="40"/>
  <c r="CR206" i="40" s="1"/>
  <c r="CQ202" i="40"/>
  <c r="CQ198" i="40"/>
  <c r="CQ194" i="40"/>
  <c r="CQ190" i="40"/>
  <c r="CQ186" i="40"/>
  <c r="CR186" i="40" s="1"/>
  <c r="CQ182" i="40"/>
  <c r="CR182" i="40" s="1"/>
  <c r="CQ178" i="40"/>
  <c r="CR178" i="40" s="1"/>
  <c r="CQ174" i="40"/>
  <c r="CQ170" i="40"/>
  <c r="CR170" i="40" s="1"/>
  <c r="CQ166" i="40"/>
  <c r="CR166" i="40" s="1"/>
  <c r="CQ162" i="40"/>
  <c r="CR162" i="40" s="1"/>
  <c r="CQ158" i="40"/>
  <c r="CR158" i="40" s="1"/>
  <c r="CQ154" i="40"/>
  <c r="CQ150" i="40"/>
  <c r="CQ146" i="40"/>
  <c r="CQ142" i="40"/>
  <c r="CQ138" i="40"/>
  <c r="CQ134" i="40"/>
  <c r="CQ130" i="40"/>
  <c r="CQ126" i="40"/>
  <c r="CQ122" i="40"/>
  <c r="CR122" i="40" s="1"/>
  <c r="CQ118" i="40"/>
  <c r="CR118" i="40" s="1"/>
  <c r="CQ114" i="40"/>
  <c r="CR114" i="40" s="1"/>
  <c r="CQ405" i="40"/>
  <c r="CR405" i="40" s="1"/>
  <c r="CQ401" i="40"/>
  <c r="CQ397" i="40"/>
  <c r="CQ393" i="40"/>
  <c r="CR393" i="40" s="1"/>
  <c r="CQ389" i="40"/>
  <c r="CR389" i="40" s="1"/>
  <c r="CQ385" i="40"/>
  <c r="CQ381" i="40"/>
  <c r="CR381" i="40" s="1"/>
  <c r="CQ377" i="40"/>
  <c r="CQ373" i="40"/>
  <c r="CQ369" i="40"/>
  <c r="CR369" i="40" s="1"/>
  <c r="CQ365" i="40"/>
  <c r="CQ361" i="40"/>
  <c r="CQ357" i="40"/>
  <c r="CQ353" i="40"/>
  <c r="CR353" i="40" s="1"/>
  <c r="CQ349" i="40"/>
  <c r="CQ345" i="40"/>
  <c r="CQ341" i="40"/>
  <c r="CR341" i="40" s="1"/>
  <c r="CQ337" i="40"/>
  <c r="CR337" i="40" s="1"/>
  <c r="CQ333" i="40"/>
  <c r="CR333" i="40" s="1"/>
  <c r="CQ329" i="40"/>
  <c r="CQ325" i="40"/>
  <c r="CQ321" i="40"/>
  <c r="CQ317" i="40"/>
  <c r="CQ313" i="40"/>
  <c r="CR313" i="40" s="1"/>
  <c r="CQ309" i="40"/>
  <c r="CR309" i="40" s="1"/>
  <c r="CQ305" i="40"/>
  <c r="CQ301" i="40"/>
  <c r="CR301" i="40" s="1"/>
  <c r="CQ297" i="40"/>
  <c r="CQ293" i="40"/>
  <c r="CQ289" i="40"/>
  <c r="CQ285" i="40"/>
  <c r="CQ281" i="40"/>
  <c r="CR281" i="40" s="1"/>
  <c r="CQ277" i="40"/>
  <c r="CQ273" i="40"/>
  <c r="CR273" i="40" s="1"/>
  <c r="CQ269" i="40"/>
  <c r="CQ265" i="40"/>
  <c r="CQ261" i="40"/>
  <c r="CQ257" i="40"/>
  <c r="CR257" i="40" s="1"/>
  <c r="CQ253" i="40"/>
  <c r="CR253" i="40" s="1"/>
  <c r="CQ249" i="40"/>
  <c r="CQ245" i="40"/>
  <c r="CQ241" i="40"/>
  <c r="CQ237" i="40"/>
  <c r="CR237" i="40" s="1"/>
  <c r="CQ233" i="40"/>
  <c r="CQ229" i="40"/>
  <c r="CQ225" i="40"/>
  <c r="CR225" i="40" s="1"/>
  <c r="CQ221" i="40"/>
  <c r="CR221" i="40" s="1"/>
  <c r="CQ217" i="40"/>
  <c r="CQ213" i="40"/>
  <c r="CR213" i="40" s="1"/>
  <c r="CQ209" i="40"/>
  <c r="CQ205" i="40"/>
  <c r="CR205" i="40" s="1"/>
  <c r="CQ201" i="40"/>
  <c r="CQ197" i="40"/>
  <c r="CQ193" i="40"/>
  <c r="CQ189" i="40"/>
  <c r="CQ185" i="40"/>
  <c r="CQ181" i="40"/>
  <c r="CR181" i="40" s="1"/>
  <c r="CQ177" i="40"/>
  <c r="CR177" i="40" s="1"/>
  <c r="CQ173" i="40"/>
  <c r="CR173" i="40" s="1"/>
  <c r="CQ169" i="40"/>
  <c r="CR169" i="40" s="1"/>
  <c r="CQ165" i="40"/>
  <c r="CQ161" i="40"/>
  <c r="CQ157" i="40"/>
  <c r="CQ153" i="40"/>
  <c r="CR153" i="40" s="1"/>
  <c r="CQ149" i="40"/>
  <c r="CR149" i="40" s="1"/>
  <c r="CQ145" i="40"/>
  <c r="CQ141" i="40"/>
  <c r="CR141" i="40" s="1"/>
  <c r="CQ137" i="40"/>
  <c r="CR137" i="40" s="1"/>
  <c r="CQ133" i="40"/>
  <c r="CQ129" i="40"/>
  <c r="CQ125" i="40"/>
  <c r="CQ121" i="40"/>
  <c r="CR121" i="40" s="1"/>
  <c r="CQ117" i="40"/>
  <c r="CR117" i="40" s="1"/>
  <c r="CQ404" i="40"/>
  <c r="CQ400" i="40"/>
  <c r="CQ396" i="40"/>
  <c r="CQ392" i="40"/>
  <c r="CR392" i="40" s="1"/>
  <c r="CQ388" i="40"/>
  <c r="CR388" i="40" s="1"/>
  <c r="CQ384" i="40"/>
  <c r="CQ380" i="40"/>
  <c r="CR380" i="40" s="1"/>
  <c r="CQ376" i="40"/>
  <c r="CQ372" i="40"/>
  <c r="CR372" i="40" s="1"/>
  <c r="CQ368" i="40"/>
  <c r="CR368" i="40" s="1"/>
  <c r="CQ364" i="40"/>
  <c r="CR364" i="40" s="1"/>
  <c r="CQ360" i="40"/>
  <c r="CQ356" i="40"/>
  <c r="CQ352" i="40"/>
  <c r="CR352" i="40" s="1"/>
  <c r="CQ348" i="40"/>
  <c r="CQ344" i="40"/>
  <c r="CR344" i="40" s="1"/>
  <c r="CQ340" i="40"/>
  <c r="CQ336" i="40"/>
  <c r="CQ332" i="40"/>
  <c r="CR332" i="40" s="1"/>
  <c r="CQ328" i="40"/>
  <c r="CQ324" i="40"/>
  <c r="CQ320" i="40"/>
  <c r="CQ316" i="40"/>
  <c r="CQ312" i="40"/>
  <c r="CR312" i="40" s="1"/>
  <c r="CQ308" i="40"/>
  <c r="CR308" i="40" s="1"/>
  <c r="CQ304" i="40"/>
  <c r="CQ300" i="40"/>
  <c r="CR300" i="40" s="1"/>
  <c r="CQ296" i="40"/>
  <c r="CQ292" i="40"/>
  <c r="CQ288" i="40"/>
  <c r="CQ284" i="40"/>
  <c r="CR284" i="40" s="1"/>
  <c r="CQ280" i="40"/>
  <c r="CQ276" i="40"/>
  <c r="CR276" i="40" s="1"/>
  <c r="CQ272" i="40"/>
  <c r="CR272" i="40" s="1"/>
  <c r="CQ268" i="40"/>
  <c r="CQ264" i="40"/>
  <c r="CQ260" i="40"/>
  <c r="CQ256" i="40"/>
  <c r="CR256" i="40" s="1"/>
  <c r="CQ252" i="40"/>
  <c r="CQ248" i="40"/>
  <c r="CR248" i="40" s="1"/>
  <c r="CQ244" i="40"/>
  <c r="CQ240" i="40"/>
  <c r="CQ236" i="40"/>
  <c r="CQ232" i="40"/>
  <c r="CQ228" i="40"/>
  <c r="CR228" i="40" s="1"/>
  <c r="CQ224" i="40"/>
  <c r="CQ220" i="40"/>
  <c r="CR220" i="40" s="1"/>
  <c r="CQ216" i="40"/>
  <c r="CQ212" i="40"/>
  <c r="CQ208" i="40"/>
  <c r="CR208" i="40" s="1"/>
  <c r="CQ204" i="40"/>
  <c r="CQ200" i="40"/>
  <c r="CQ196" i="40"/>
  <c r="CR196" i="40" s="1"/>
  <c r="CQ192" i="40"/>
  <c r="CQ188" i="40"/>
  <c r="CR188" i="40" s="1"/>
  <c r="CQ184" i="40"/>
  <c r="CQ180" i="40"/>
  <c r="CR180" i="40" s="1"/>
  <c r="CQ176" i="40"/>
  <c r="CQ172" i="40"/>
  <c r="CR172" i="40" s="1"/>
  <c r="CQ168" i="40"/>
  <c r="CQ164" i="40"/>
  <c r="CQ160" i="40"/>
  <c r="CQ156" i="40"/>
  <c r="CQ152" i="40"/>
  <c r="CR152" i="40" s="1"/>
  <c r="CQ148" i="40"/>
  <c r="CQ144" i="40"/>
  <c r="CR144" i="40" s="1"/>
  <c r="CQ140" i="40"/>
  <c r="CQ136" i="40"/>
  <c r="CR136" i="40" s="1"/>
  <c r="CQ132" i="40"/>
  <c r="CQ128" i="40"/>
  <c r="CR128" i="40" s="1"/>
  <c r="CQ124" i="40"/>
  <c r="CQ120" i="40"/>
  <c r="CR120" i="40" s="1"/>
  <c r="CQ116" i="40"/>
  <c r="CR116" i="40" s="1"/>
  <c r="CQ112" i="40"/>
  <c r="CQ108" i="40"/>
  <c r="CR108" i="40" s="1"/>
  <c r="CQ104" i="40"/>
  <c r="CQ407" i="40"/>
  <c r="CQ403" i="40"/>
  <c r="CQ399" i="40"/>
  <c r="CR399" i="40" s="1"/>
  <c r="CQ395" i="40"/>
  <c r="CR395" i="40" s="1"/>
  <c r="CQ391" i="40"/>
  <c r="CQ387" i="40"/>
  <c r="CQ383" i="40"/>
  <c r="CQ379" i="40"/>
  <c r="CQ375" i="40"/>
  <c r="CQ371" i="40"/>
  <c r="CR371" i="40" s="1"/>
  <c r="CQ367" i="40"/>
  <c r="CQ363" i="40"/>
  <c r="CR363" i="40" s="1"/>
  <c r="CQ359" i="40"/>
  <c r="CR359" i="40" s="1"/>
  <c r="CQ355" i="40"/>
  <c r="CR355" i="40" s="1"/>
  <c r="CQ351" i="40"/>
  <c r="CQ347" i="40"/>
  <c r="CR347" i="40" s="1"/>
  <c r="CQ343" i="40"/>
  <c r="CR343" i="40" s="1"/>
  <c r="CQ339" i="40"/>
  <c r="CR339" i="40" s="1"/>
  <c r="CQ335" i="40"/>
  <c r="CQ331" i="40"/>
  <c r="CR331" i="40" s="1"/>
  <c r="CQ327" i="40"/>
  <c r="CQ323" i="40"/>
  <c r="CR323" i="40" s="1"/>
  <c r="CQ319" i="40"/>
  <c r="CR319" i="40" s="1"/>
  <c r="CQ315" i="40"/>
  <c r="CR315" i="40" s="1"/>
  <c r="CQ311" i="40"/>
  <c r="CQ307" i="40"/>
  <c r="CR307" i="40" s="1"/>
  <c r="CQ303" i="40"/>
  <c r="CQ299" i="40"/>
  <c r="CR299" i="40" s="1"/>
  <c r="CQ295" i="40"/>
  <c r="CQ291" i="40"/>
  <c r="CQ287" i="40"/>
  <c r="CR287" i="40" s="1"/>
  <c r="CQ283" i="40"/>
  <c r="CQ279" i="40"/>
  <c r="CR279" i="40" s="1"/>
  <c r="CQ275" i="40"/>
  <c r="CQ271" i="40"/>
  <c r="CR271" i="40" s="1"/>
  <c r="CQ267" i="40"/>
  <c r="CQ263" i="40"/>
  <c r="CR263" i="40" s="1"/>
  <c r="CQ259" i="40"/>
  <c r="CR259" i="40" s="1"/>
  <c r="CQ255" i="40"/>
  <c r="CQ251" i="40"/>
  <c r="CQ247" i="40"/>
  <c r="CQ243" i="40"/>
  <c r="CQ239" i="40"/>
  <c r="CQ235" i="40"/>
  <c r="CQ231" i="40"/>
  <c r="CR231" i="40" s="1"/>
  <c r="CQ227" i="40"/>
  <c r="CR227" i="40" s="1"/>
  <c r="CQ223" i="40"/>
  <c r="CQ219" i="40"/>
  <c r="CQ215" i="40"/>
  <c r="CQ211" i="40"/>
  <c r="CQ207" i="40"/>
  <c r="CQ203" i="40"/>
  <c r="CR203" i="40" s="1"/>
  <c r="CQ199" i="40"/>
  <c r="CQ195" i="40"/>
  <c r="CR195" i="40" s="1"/>
  <c r="CQ191" i="40"/>
  <c r="CQ187" i="40"/>
  <c r="CR187" i="40" s="1"/>
  <c r="CQ183" i="40"/>
  <c r="CR183" i="40" s="1"/>
  <c r="CQ179" i="40"/>
  <c r="CR179" i="40" s="1"/>
  <c r="CQ175" i="40"/>
  <c r="CR175" i="40" s="1"/>
  <c r="CQ171" i="40"/>
  <c r="CQ167" i="40"/>
  <c r="CR167" i="40" s="1"/>
  <c r="CQ163" i="40"/>
  <c r="CR163" i="40" s="1"/>
  <c r="CQ159" i="40"/>
  <c r="CR159" i="40" s="1"/>
  <c r="CQ155" i="40"/>
  <c r="CQ151" i="40"/>
  <c r="CQ147" i="40"/>
  <c r="CQ143" i="40"/>
  <c r="CR143" i="40" s="1"/>
  <c r="CQ139" i="40"/>
  <c r="CR139" i="40" s="1"/>
  <c r="CQ135" i="40"/>
  <c r="CR135" i="40" s="1"/>
  <c r="CQ131" i="40"/>
  <c r="CQ127" i="40"/>
  <c r="CQ123" i="40"/>
  <c r="CQ119" i="40"/>
  <c r="CQ115" i="40"/>
  <c r="CR115" i="40" s="1"/>
  <c r="CQ111" i="40"/>
  <c r="CQ107" i="40"/>
  <c r="CR107" i="40" s="1"/>
  <c r="CQ103" i="40"/>
  <c r="CR103" i="40" s="1"/>
  <c r="CQ106" i="40"/>
  <c r="CR106" i="40" s="1"/>
  <c r="CQ100" i="40"/>
  <c r="CQ96" i="40"/>
  <c r="CR96" i="40" s="1"/>
  <c r="CQ92" i="40"/>
  <c r="CR92" i="40" s="1"/>
  <c r="CQ88" i="40"/>
  <c r="CR88" i="40" s="1"/>
  <c r="CQ84" i="40"/>
  <c r="CQ80" i="40"/>
  <c r="CQ76" i="40"/>
  <c r="CQ72" i="40"/>
  <c r="CR72" i="40" s="1"/>
  <c r="CQ68" i="40"/>
  <c r="CQ64" i="40"/>
  <c r="CQ60" i="40"/>
  <c r="CR60" i="40" s="1"/>
  <c r="CQ56" i="40"/>
  <c r="CQ52" i="40"/>
  <c r="CQ48" i="40"/>
  <c r="CR48" i="40" s="1"/>
  <c r="CQ44" i="40"/>
  <c r="CR44" i="40" s="1"/>
  <c r="CQ40" i="40"/>
  <c r="CQ36" i="40"/>
  <c r="CR36" i="40" s="1"/>
  <c r="CQ32" i="40"/>
  <c r="CQ28" i="40"/>
  <c r="CQ24" i="40"/>
  <c r="CR24" i="40" s="1"/>
  <c r="CQ20" i="40"/>
  <c r="CQ16" i="40"/>
  <c r="CQ12" i="40"/>
  <c r="CR12" i="40" s="1"/>
  <c r="CQ8" i="40"/>
  <c r="CR8" i="40" s="1"/>
  <c r="CQ4" i="40"/>
  <c r="CR4" i="40" s="1"/>
  <c r="CQ113" i="40"/>
  <c r="CQ105" i="40"/>
  <c r="CR105" i="40" s="1"/>
  <c r="CQ99" i="40"/>
  <c r="CQ95" i="40"/>
  <c r="CR95" i="40" s="1"/>
  <c r="CQ91" i="40"/>
  <c r="CR91" i="40" s="1"/>
  <c r="CQ87" i="40"/>
  <c r="CR87" i="40" s="1"/>
  <c r="CQ83" i="40"/>
  <c r="CQ79" i="40"/>
  <c r="CR79" i="40" s="1"/>
  <c r="CQ75" i="40"/>
  <c r="CQ71" i="40"/>
  <c r="CR71" i="40" s="1"/>
  <c r="CQ67" i="40"/>
  <c r="CR67" i="40" s="1"/>
  <c r="CQ63" i="40"/>
  <c r="CQ59" i="40"/>
  <c r="CR59" i="40" s="1"/>
  <c r="CQ55" i="40"/>
  <c r="CQ51" i="40"/>
  <c r="CR51" i="40" s="1"/>
  <c r="CQ47" i="40"/>
  <c r="CQ43" i="40"/>
  <c r="CQ39" i="40"/>
  <c r="CQ35" i="40"/>
  <c r="CR35" i="40" s="1"/>
  <c r="CQ31" i="40"/>
  <c r="CR31" i="40" s="1"/>
  <c r="CQ27" i="40"/>
  <c r="CR27" i="40" s="1"/>
  <c r="CQ23" i="40"/>
  <c r="CR23" i="40" s="1"/>
  <c r="CQ19" i="40"/>
  <c r="CR19" i="40" s="1"/>
  <c r="CQ15" i="40"/>
  <c r="CQ11" i="40"/>
  <c r="CQ7" i="40"/>
  <c r="CR7" i="40" s="1"/>
  <c r="CQ3" i="40"/>
  <c r="CR3" i="40" s="1"/>
  <c r="CQ110" i="40"/>
  <c r="CQ102" i="40"/>
  <c r="CQ98" i="40"/>
  <c r="CR98" i="40" s="1"/>
  <c r="CQ94" i="40"/>
  <c r="CQ90" i="40"/>
  <c r="CQ86" i="40"/>
  <c r="CR86" i="40" s="1"/>
  <c r="CQ82" i="40"/>
  <c r="CR82" i="40" s="1"/>
  <c r="CQ78" i="40"/>
  <c r="CQ74" i="40"/>
  <c r="CR74" i="40" s="1"/>
  <c r="CQ70" i="40"/>
  <c r="CQ66" i="40"/>
  <c r="CR66" i="40" s="1"/>
  <c r="CQ62" i="40"/>
  <c r="CR62" i="40" s="1"/>
  <c r="CQ58" i="40"/>
  <c r="CR58" i="40" s="1"/>
  <c r="CQ54" i="40"/>
  <c r="CQ50" i="40"/>
  <c r="CQ46" i="40"/>
  <c r="CQ42" i="40"/>
  <c r="CR42" i="40" s="1"/>
  <c r="CQ38" i="40"/>
  <c r="CR38" i="40" s="1"/>
  <c r="CQ34" i="40"/>
  <c r="CR34" i="40" s="1"/>
  <c r="CQ30" i="40"/>
  <c r="CR30" i="40" s="1"/>
  <c r="CQ26" i="40"/>
  <c r="CR26" i="40" s="1"/>
  <c r="CQ22" i="40"/>
  <c r="CR22" i="40" s="1"/>
  <c r="CQ18" i="40"/>
  <c r="CR18" i="40" s="1"/>
  <c r="CQ14" i="40"/>
  <c r="CQ10" i="40"/>
  <c r="CQ6" i="40"/>
  <c r="CQ109" i="40"/>
  <c r="CR109" i="40" s="1"/>
  <c r="CQ101" i="40"/>
  <c r="CQ97" i="40"/>
  <c r="CQ93" i="40"/>
  <c r="CQ89" i="40"/>
  <c r="CQ85" i="40"/>
  <c r="CQ81" i="40"/>
  <c r="CR81" i="40" s="1"/>
  <c r="CQ77" i="40"/>
  <c r="CQ73" i="40"/>
  <c r="CQ69" i="40"/>
  <c r="CR69" i="40" s="1"/>
  <c r="CQ65" i="40"/>
  <c r="CR65" i="40" s="1"/>
  <c r="CQ61" i="40"/>
  <c r="CQ57" i="40"/>
  <c r="CR57" i="40" s="1"/>
  <c r="CQ53" i="40"/>
  <c r="CQ49" i="40"/>
  <c r="CQ45" i="40"/>
  <c r="CR45" i="40" s="1"/>
  <c r="CQ41" i="40"/>
  <c r="CQ37" i="40"/>
  <c r="CQ33" i="40"/>
  <c r="CQ29" i="40"/>
  <c r="CR29" i="40" s="1"/>
  <c r="CQ25" i="40"/>
  <c r="CR25" i="40" s="1"/>
  <c r="CQ21" i="40"/>
  <c r="CR21" i="40" s="1"/>
  <c r="CQ17" i="40"/>
  <c r="CQ13" i="40"/>
  <c r="CQ9" i="40"/>
  <c r="CR9" i="40" s="1"/>
  <c r="CQ5" i="40"/>
  <c r="CG14" i="54"/>
  <c r="CG13" i="54"/>
  <c r="CG12" i="54"/>
  <c r="CG11" i="54"/>
  <c r="CG10" i="54"/>
  <c r="CG9" i="54"/>
  <c r="CG8" i="54"/>
  <c r="CG7" i="54"/>
  <c r="CG6" i="54"/>
  <c r="L124" i="23"/>
  <c r="BM407" i="40"/>
  <c r="BN407" i="40" s="1"/>
  <c r="BM403" i="40"/>
  <c r="BM399" i="40"/>
  <c r="BM395" i="40"/>
  <c r="BN395" i="40" s="1"/>
  <c r="BM391" i="40"/>
  <c r="BM387" i="40"/>
  <c r="BM383" i="40"/>
  <c r="BM379" i="40"/>
  <c r="BM375" i="40"/>
  <c r="BM371" i="40"/>
  <c r="BM367" i="40"/>
  <c r="BM363" i="40"/>
  <c r="BM359" i="40"/>
  <c r="BM355" i="40"/>
  <c r="BM351" i="40"/>
  <c r="BM347" i="40"/>
  <c r="BN347" i="40" s="1"/>
  <c r="BM343" i="40"/>
  <c r="BM339" i="40"/>
  <c r="BM335" i="40"/>
  <c r="BN335" i="40" s="1"/>
  <c r="BM331" i="40"/>
  <c r="BN331" i="40" s="1"/>
  <c r="BM327" i="40"/>
  <c r="BN327" i="40" s="1"/>
  <c r="BM323" i="40"/>
  <c r="BM319" i="40"/>
  <c r="BN319" i="40" s="1"/>
  <c r="BM315" i="40"/>
  <c r="BM311" i="40"/>
  <c r="BM307" i="40"/>
  <c r="BN307" i="40" s="1"/>
  <c r="BM303" i="40"/>
  <c r="BN303" i="40" s="1"/>
  <c r="BM299" i="40"/>
  <c r="BN299" i="40" s="1"/>
  <c r="BM295" i="40"/>
  <c r="BN295" i="40" s="1"/>
  <c r="BM291" i="40"/>
  <c r="BM287" i="40"/>
  <c r="BM283" i="40"/>
  <c r="BN283" i="40" s="1"/>
  <c r="BM279" i="40"/>
  <c r="BM275" i="40"/>
  <c r="BM271" i="40"/>
  <c r="BM267" i="40"/>
  <c r="BN267" i="40" s="1"/>
  <c r="BM263" i="40"/>
  <c r="BM259" i="40"/>
  <c r="BN259" i="40" s="1"/>
  <c r="BM255" i="40"/>
  <c r="BM251" i="40"/>
  <c r="BM247" i="40"/>
  <c r="BN247" i="40" s="1"/>
  <c r="BM243" i="40"/>
  <c r="BM239" i="40"/>
  <c r="BN239" i="40" s="1"/>
  <c r="BM235" i="40"/>
  <c r="BM231" i="40"/>
  <c r="BN231" i="40" s="1"/>
  <c r="BM227" i="40"/>
  <c r="BN227" i="40" s="1"/>
  <c r="BM223" i="40"/>
  <c r="BM219" i="40"/>
  <c r="BM215" i="40"/>
  <c r="BN215" i="40" s="1"/>
  <c r="BM211" i="40"/>
  <c r="BM207" i="40"/>
  <c r="BM203" i="40"/>
  <c r="BM199" i="40"/>
  <c r="BM195" i="40"/>
  <c r="BM191" i="40"/>
  <c r="BM187" i="40"/>
  <c r="BM183" i="40"/>
  <c r="BM179" i="40"/>
  <c r="BM175" i="40"/>
  <c r="BN175" i="40" s="1"/>
  <c r="BM171" i="40"/>
  <c r="BM167" i="40"/>
  <c r="BM163" i="40"/>
  <c r="BM159" i="40"/>
  <c r="BM155" i="40"/>
  <c r="BN155" i="40" s="1"/>
  <c r="BM151" i="40"/>
  <c r="BM147" i="40"/>
  <c r="BM143" i="40"/>
  <c r="BM139" i="40"/>
  <c r="BN139" i="40" s="1"/>
  <c r="BM135" i="40"/>
  <c r="BM131" i="40"/>
  <c r="BM127" i="40"/>
  <c r="BM123" i="40"/>
  <c r="BM119" i="40"/>
  <c r="BM115" i="40"/>
  <c r="BN115" i="40" s="1"/>
  <c r="BM111" i="40"/>
  <c r="BM107" i="40"/>
  <c r="BM103" i="40"/>
  <c r="BM99" i="40"/>
  <c r="BM95" i="40"/>
  <c r="BM91" i="40"/>
  <c r="BM87" i="40"/>
  <c r="BM83" i="40"/>
  <c r="BM79" i="40"/>
  <c r="BM75" i="40"/>
  <c r="BN75" i="40" s="1"/>
  <c r="BM71" i="40"/>
  <c r="BM406" i="40"/>
  <c r="BM402" i="40"/>
  <c r="BM398" i="40"/>
  <c r="BM394" i="40"/>
  <c r="BM390" i="40"/>
  <c r="BM386" i="40"/>
  <c r="BM382" i="40"/>
  <c r="BM378" i="40"/>
  <c r="BM374" i="40"/>
  <c r="BM370" i="40"/>
  <c r="BM366" i="40"/>
  <c r="BM362" i="40"/>
  <c r="BN362" i="40" s="1"/>
  <c r="BM358" i="40"/>
  <c r="BN358" i="40" s="1"/>
  <c r="BM354" i="40"/>
  <c r="BM350" i="40"/>
  <c r="BN350" i="40" s="1"/>
  <c r="BM346" i="40"/>
  <c r="BM342" i="40"/>
  <c r="BM338" i="40"/>
  <c r="BN338" i="40" s="1"/>
  <c r="BM334" i="40"/>
  <c r="BM330" i="40"/>
  <c r="BM326" i="40"/>
  <c r="BM322" i="40"/>
  <c r="BN322" i="40" s="1"/>
  <c r="BM318" i="40"/>
  <c r="BM314" i="40"/>
  <c r="BM310" i="40"/>
  <c r="BM306" i="40"/>
  <c r="BM302" i="40"/>
  <c r="BM298" i="40"/>
  <c r="BM294" i="40"/>
  <c r="BN294" i="40" s="1"/>
  <c r="BM290" i="40"/>
  <c r="BM286" i="40"/>
  <c r="BN286" i="40" s="1"/>
  <c r="BM282" i="40"/>
  <c r="BN282" i="40" s="1"/>
  <c r="BM278" i="40"/>
  <c r="BN278" i="40" s="1"/>
  <c r="BM274" i="40"/>
  <c r="BM270" i="40"/>
  <c r="BM266" i="40"/>
  <c r="BN266" i="40" s="1"/>
  <c r="BM262" i="40"/>
  <c r="BM258" i="40"/>
  <c r="BM254" i="40"/>
  <c r="BM250" i="40"/>
  <c r="BM246" i="40"/>
  <c r="BM242" i="40"/>
  <c r="BN242" i="40" s="1"/>
  <c r="BM238" i="40"/>
  <c r="BM234" i="40"/>
  <c r="BM230" i="40"/>
  <c r="BN230" i="40" s="1"/>
  <c r="BM226" i="40"/>
  <c r="BM222" i="40"/>
  <c r="BM218" i="40"/>
  <c r="BM214" i="40"/>
  <c r="BM210" i="40"/>
  <c r="BM206" i="40"/>
  <c r="BM202" i="40"/>
  <c r="BM198" i="40"/>
  <c r="BM194" i="40"/>
  <c r="BN194" i="40" s="1"/>
  <c r="BM190" i="40"/>
  <c r="BM186" i="40"/>
  <c r="BN186" i="40" s="1"/>
  <c r="BM182" i="40"/>
  <c r="BM178" i="40"/>
  <c r="BM174" i="40"/>
  <c r="BM170" i="40"/>
  <c r="BM166" i="40"/>
  <c r="BM162" i="40"/>
  <c r="BM158" i="40"/>
  <c r="BM154" i="40"/>
  <c r="BM150" i="40"/>
  <c r="BM146" i="40"/>
  <c r="BM142" i="40"/>
  <c r="BM138" i="40"/>
  <c r="BM134" i="40"/>
  <c r="BM130" i="40"/>
  <c r="BM126" i="40"/>
  <c r="BM122" i="40"/>
  <c r="BM118" i="40"/>
  <c r="BM114" i="40"/>
  <c r="BN114" i="40" s="1"/>
  <c r="BM110" i="40"/>
  <c r="BM106" i="40"/>
  <c r="BM102" i="40"/>
  <c r="BN102" i="40" s="1"/>
  <c r="BM98" i="40"/>
  <c r="BM94" i="40"/>
  <c r="BM90" i="40"/>
  <c r="BM86" i="40"/>
  <c r="BM82" i="40"/>
  <c r="BM78" i="40"/>
  <c r="BN78" i="40" s="1"/>
  <c r="BM74" i="40"/>
  <c r="BM70" i="40"/>
  <c r="BM405" i="40"/>
  <c r="BM401" i="40"/>
  <c r="BM397" i="40"/>
  <c r="BM393" i="40"/>
  <c r="BN393" i="40" s="1"/>
  <c r="BM389" i="40"/>
  <c r="BM385" i="40"/>
  <c r="BM381" i="40"/>
  <c r="BN381" i="40" s="1"/>
  <c r="BM377" i="40"/>
  <c r="BM373" i="40"/>
  <c r="BM369" i="40"/>
  <c r="BN369" i="40" s="1"/>
  <c r="BM365" i="40"/>
  <c r="BN365" i="40" s="1"/>
  <c r="BM361" i="40"/>
  <c r="BM357" i="40"/>
  <c r="BN357" i="40" s="1"/>
  <c r="BM353" i="40"/>
  <c r="BM349" i="40"/>
  <c r="BM345" i="40"/>
  <c r="BM341" i="40"/>
  <c r="BN341" i="40" s="1"/>
  <c r="BM337" i="40"/>
  <c r="BN337" i="40" s="1"/>
  <c r="BM333" i="40"/>
  <c r="BM329" i="40"/>
  <c r="BM325" i="40"/>
  <c r="BM321" i="40"/>
  <c r="BN321" i="40" s="1"/>
  <c r="BM317" i="40"/>
  <c r="BM313" i="40"/>
  <c r="BM309" i="40"/>
  <c r="BM305" i="40"/>
  <c r="BM301" i="40"/>
  <c r="BM297" i="40"/>
  <c r="BM293" i="40"/>
  <c r="BM289" i="40"/>
  <c r="BM285" i="40"/>
  <c r="BM281" i="40"/>
  <c r="BN281" i="40" s="1"/>
  <c r="BM277" i="40"/>
  <c r="BM273" i="40"/>
  <c r="BM269" i="40"/>
  <c r="BM265" i="40"/>
  <c r="BN265" i="40" s="1"/>
  <c r="BM261" i="40"/>
  <c r="BM257" i="40"/>
  <c r="BM253" i="40"/>
  <c r="BN253" i="40" s="1"/>
  <c r="BM249" i="40"/>
  <c r="BM245" i="40"/>
  <c r="BN245" i="40" s="1"/>
  <c r="BM241" i="40"/>
  <c r="BN241" i="40" s="1"/>
  <c r="BM237" i="40"/>
  <c r="BM233" i="40"/>
  <c r="BM229" i="40"/>
  <c r="BN229" i="40" s="1"/>
  <c r="BM225" i="40"/>
  <c r="BM221" i="40"/>
  <c r="BN221" i="40" s="1"/>
  <c r="BM217" i="40"/>
  <c r="BM213" i="40"/>
  <c r="BM209" i="40"/>
  <c r="BM205" i="40"/>
  <c r="BN205" i="40" s="1"/>
  <c r="BM201" i="40"/>
  <c r="BM197" i="40"/>
  <c r="BM193" i="40"/>
  <c r="BM189" i="40"/>
  <c r="BM185" i="40"/>
  <c r="BM181" i="40"/>
  <c r="BN181" i="40" s="1"/>
  <c r="BM177" i="40"/>
  <c r="BN177" i="40" s="1"/>
  <c r="BM173" i="40"/>
  <c r="BM169" i="40"/>
  <c r="BN169" i="40" s="1"/>
  <c r="BM165" i="40"/>
  <c r="BM161" i="40"/>
  <c r="BM157" i="40"/>
  <c r="BM153" i="40"/>
  <c r="BM149" i="40"/>
  <c r="BN149" i="40" s="1"/>
  <c r="BM145" i="40"/>
  <c r="BM141" i="40"/>
  <c r="BN141" i="40" s="1"/>
  <c r="BM137" i="40"/>
  <c r="BM133" i="40"/>
  <c r="BM129" i="40"/>
  <c r="BM125" i="40"/>
  <c r="BM121" i="40"/>
  <c r="BM117" i="40"/>
  <c r="BM113" i="40"/>
  <c r="BM109" i="40"/>
  <c r="BM105" i="40"/>
  <c r="BM101" i="40"/>
  <c r="BM97" i="40"/>
  <c r="BM93" i="40"/>
  <c r="BN93" i="40" s="1"/>
  <c r="BM89" i="40"/>
  <c r="BM85" i="40"/>
  <c r="BM81" i="40"/>
  <c r="BM77" i="40"/>
  <c r="BM73" i="40"/>
  <c r="BM404" i="40"/>
  <c r="BM400" i="40"/>
  <c r="BM396" i="40"/>
  <c r="BM392" i="40"/>
  <c r="BN392" i="40" s="1"/>
  <c r="BM388" i="40"/>
  <c r="BM384" i="40"/>
  <c r="BM380" i="40"/>
  <c r="BM376" i="40"/>
  <c r="BM372" i="40"/>
  <c r="BN372" i="40" s="1"/>
  <c r="BM368" i="40"/>
  <c r="BM364" i="40"/>
  <c r="BM360" i="40"/>
  <c r="BN360" i="40" s="1"/>
  <c r="BM356" i="40"/>
  <c r="BM352" i="40"/>
  <c r="BN352" i="40" s="1"/>
  <c r="BM348" i="40"/>
  <c r="BM344" i="40"/>
  <c r="BN344" i="40" s="1"/>
  <c r="BM340" i="40"/>
  <c r="BM336" i="40"/>
  <c r="BM332" i="40"/>
  <c r="BN332" i="40" s="1"/>
  <c r="BM328" i="40"/>
  <c r="BN328" i="40" s="1"/>
  <c r="BM324" i="40"/>
  <c r="BN324" i="40" s="1"/>
  <c r="BM320" i="40"/>
  <c r="BM316" i="40"/>
  <c r="BM312" i="40"/>
  <c r="BM308" i="40"/>
  <c r="BM304" i="40"/>
  <c r="BM300" i="40"/>
  <c r="BN300" i="40" s="1"/>
  <c r="BM296" i="40"/>
  <c r="BM292" i="40"/>
  <c r="BM288" i="40"/>
  <c r="BM284" i="40"/>
  <c r="BM280" i="40"/>
  <c r="BM276" i="40"/>
  <c r="BN276" i="40" s="1"/>
  <c r="BM272" i="40"/>
  <c r="BM268" i="40"/>
  <c r="BN268" i="40" s="1"/>
  <c r="BM264" i="40"/>
  <c r="BN264" i="40" s="1"/>
  <c r="BM260" i="40"/>
  <c r="BM256" i="40"/>
  <c r="BM252" i="40"/>
  <c r="BM248" i="40"/>
  <c r="BM244" i="40"/>
  <c r="BM240" i="40"/>
  <c r="BM236" i="40"/>
  <c r="BM232" i="40"/>
  <c r="BN232" i="40" s="1"/>
  <c r="BM228" i="40"/>
  <c r="BN228" i="40" s="1"/>
  <c r="BM224" i="40"/>
  <c r="BN224" i="40" s="1"/>
  <c r="BM220" i="40"/>
  <c r="BM216" i="40"/>
  <c r="BM212" i="40"/>
  <c r="BM208" i="40"/>
  <c r="BM204" i="40"/>
  <c r="BM200" i="40"/>
  <c r="BM196" i="40"/>
  <c r="BM192" i="40"/>
  <c r="BM188" i="40"/>
  <c r="BM184" i="40"/>
  <c r="BM180" i="40"/>
  <c r="BM176" i="40"/>
  <c r="BM172" i="40"/>
  <c r="BM168" i="40"/>
  <c r="BN168" i="40" s="1"/>
  <c r="BM164" i="40"/>
  <c r="BM160" i="40"/>
  <c r="BN160" i="40" s="1"/>
  <c r="BM156" i="40"/>
  <c r="BM152" i="40"/>
  <c r="BM148" i="40"/>
  <c r="BM144" i="40"/>
  <c r="BM140" i="40"/>
  <c r="BM136" i="40"/>
  <c r="BN136" i="40" s="1"/>
  <c r="BM132" i="40"/>
  <c r="BM128" i="40"/>
  <c r="BM124" i="40"/>
  <c r="BM120" i="40"/>
  <c r="BM116" i="40"/>
  <c r="BM112" i="40"/>
  <c r="BN112" i="40" s="1"/>
  <c r="BM108" i="40"/>
  <c r="BN108" i="40" s="1"/>
  <c r="BM104" i="40"/>
  <c r="BM100" i="40"/>
  <c r="BM96" i="40"/>
  <c r="BM92" i="40"/>
  <c r="BM88" i="40"/>
  <c r="BN88" i="40" s="1"/>
  <c r="BM84" i="40"/>
  <c r="BM80" i="40"/>
  <c r="BM76" i="40"/>
  <c r="BM72" i="40"/>
  <c r="BM67" i="40"/>
  <c r="BN67" i="40" s="1"/>
  <c r="BM63" i="40"/>
  <c r="BM59" i="40"/>
  <c r="BM55" i="40"/>
  <c r="BM51" i="40"/>
  <c r="BM47" i="40"/>
  <c r="BM43" i="40"/>
  <c r="BM35" i="40"/>
  <c r="BM27" i="40"/>
  <c r="BM11" i="40"/>
  <c r="BM10" i="40"/>
  <c r="BM66" i="40"/>
  <c r="BM62" i="40"/>
  <c r="BM58" i="40"/>
  <c r="BM54" i="40"/>
  <c r="BM50" i="40"/>
  <c r="BM46" i="40"/>
  <c r="BN46" i="40" s="1"/>
  <c r="BM42" i="40"/>
  <c r="BM38" i="40"/>
  <c r="BM34" i="40"/>
  <c r="BN34" i="40" s="1"/>
  <c r="BM30" i="40"/>
  <c r="BM26" i="40"/>
  <c r="BM22" i="40"/>
  <c r="BM14" i="40"/>
  <c r="BN14" i="40" s="1"/>
  <c r="BM69" i="40"/>
  <c r="BM65" i="40"/>
  <c r="BM61" i="40"/>
  <c r="BM57" i="40"/>
  <c r="BM53" i="40"/>
  <c r="BN53" i="40" s="1"/>
  <c r="BM49" i="40"/>
  <c r="BM45" i="40"/>
  <c r="BM41" i="40"/>
  <c r="BM37" i="40"/>
  <c r="BM33" i="40"/>
  <c r="BM29" i="40"/>
  <c r="BM25" i="40"/>
  <c r="BM21" i="40"/>
  <c r="BM17" i="40"/>
  <c r="BM13" i="40"/>
  <c r="BN13" i="40" s="1"/>
  <c r="BM9" i="40"/>
  <c r="BN9" i="40" s="1"/>
  <c r="BM5" i="40"/>
  <c r="BM68" i="40"/>
  <c r="BM64" i="40"/>
  <c r="BM60" i="40"/>
  <c r="BM52" i="40"/>
  <c r="BM48" i="40"/>
  <c r="BM44" i="40"/>
  <c r="BM40" i="40"/>
  <c r="BM36" i="40"/>
  <c r="BM32" i="40"/>
  <c r="BM28" i="40"/>
  <c r="BM20" i="40"/>
  <c r="BM16" i="40"/>
  <c r="BM12" i="40"/>
  <c r="BM8" i="40"/>
  <c r="BM39" i="40"/>
  <c r="BM31" i="40"/>
  <c r="BM23" i="40"/>
  <c r="BM15" i="40"/>
  <c r="BM3" i="40"/>
  <c r="BN3" i="40" s="1"/>
  <c r="BM6" i="40"/>
  <c r="BM56" i="40"/>
  <c r="BM24" i="40"/>
  <c r="BM4" i="40"/>
  <c r="BN4" i="40" s="1"/>
  <c r="BM19" i="40"/>
  <c r="BM7" i="40"/>
  <c r="BM18" i="40"/>
  <c r="G2" i="51"/>
  <c r="DT105" i="40"/>
  <c r="DV347" i="40"/>
  <c r="DW62" i="40"/>
  <c r="DS62" i="40"/>
  <c r="DW347" i="40"/>
  <c r="DS347" i="40"/>
  <c r="DU105" i="40"/>
  <c r="DU347" i="40"/>
  <c r="DW105" i="40"/>
  <c r="DT62" i="40"/>
  <c r="DV105" i="40"/>
  <c r="DT347" i="40"/>
  <c r="DU62" i="40"/>
  <c r="DU18" i="40"/>
  <c r="DV36" i="40"/>
  <c r="DV9" i="40"/>
  <c r="DW19" i="40"/>
  <c r="DU49" i="40"/>
  <c r="DT57" i="40"/>
  <c r="DT68" i="40"/>
  <c r="DU92" i="40"/>
  <c r="DV102" i="40"/>
  <c r="DW124" i="40"/>
  <c r="DS124" i="40"/>
  <c r="DT144" i="40"/>
  <c r="DV173" i="40"/>
  <c r="DW26" i="40"/>
  <c r="DW42" i="40"/>
  <c r="DW45" i="40"/>
  <c r="DS45" i="40"/>
  <c r="DU60" i="40"/>
  <c r="DV120" i="40"/>
  <c r="DV142" i="40"/>
  <c r="DW176" i="40"/>
  <c r="DV184" i="40"/>
  <c r="DV186" i="40"/>
  <c r="DS186" i="40"/>
  <c r="DT191" i="40"/>
  <c r="DV195" i="40"/>
  <c r="DU199" i="40"/>
  <c r="DV208" i="40"/>
  <c r="DS208" i="40"/>
  <c r="DT212" i="40"/>
  <c r="DV215" i="40"/>
  <c r="DW222" i="40"/>
  <c r="DS222" i="40"/>
  <c r="DT224" i="40"/>
  <c r="DU237" i="40"/>
  <c r="DU239" i="40"/>
  <c r="DV247" i="40"/>
  <c r="DS249" i="40"/>
  <c r="DT253" i="40"/>
  <c r="DU266" i="40"/>
  <c r="DV282" i="40"/>
  <c r="DW287" i="40"/>
  <c r="DT299" i="40"/>
  <c r="DU319" i="40"/>
  <c r="DV325" i="40"/>
  <c r="DW333" i="40"/>
  <c r="DV339" i="40"/>
  <c r="DT359" i="40"/>
  <c r="DU401" i="40"/>
  <c r="DV24" i="40"/>
  <c r="DV39" i="40"/>
  <c r="DW15" i="40"/>
  <c r="DS15" i="40"/>
  <c r="DT25" i="40"/>
  <c r="DT51" i="40"/>
  <c r="DT59" i="40"/>
  <c r="DV71" i="40"/>
  <c r="DW94" i="40"/>
  <c r="DS94" i="40"/>
  <c r="DU112" i="40"/>
  <c r="DT128" i="40"/>
  <c r="DW149" i="40"/>
  <c r="DW158" i="40"/>
  <c r="DS158" i="40"/>
  <c r="DT12" i="40"/>
  <c r="DU22" i="40"/>
  <c r="DT38" i="40"/>
  <c r="DU55" i="40"/>
  <c r="DV67" i="40"/>
  <c r="DW72" i="40"/>
  <c r="DS72" i="40"/>
  <c r="DU113" i="40"/>
  <c r="DV126" i="40"/>
  <c r="DW159" i="40"/>
  <c r="DS159" i="40"/>
  <c r="DT181" i="40"/>
  <c r="DT18" i="40"/>
  <c r="DT36" i="40"/>
  <c r="DU9" i="40"/>
  <c r="DV19" i="40"/>
  <c r="DW49" i="40"/>
  <c r="DU57" i="40"/>
  <c r="DU68" i="40"/>
  <c r="DT92" i="40"/>
  <c r="DU102" i="40"/>
  <c r="DU124" i="40"/>
  <c r="DS144" i="40"/>
  <c r="DT154" i="40"/>
  <c r="DU173" i="40"/>
  <c r="DV26" i="40"/>
  <c r="DV42" i="40"/>
  <c r="DV45" i="40"/>
  <c r="DW60" i="40"/>
  <c r="DW85" i="40"/>
  <c r="DS85" i="40"/>
  <c r="DT106" i="40"/>
  <c r="DU120" i="40"/>
  <c r="DV176" i="40"/>
  <c r="DU184" i="40"/>
  <c r="DW186" i="40"/>
  <c r="DW191" i="40"/>
  <c r="DT195" i="40"/>
  <c r="DV199" i="40"/>
  <c r="DW208" i="40"/>
  <c r="DW212" i="40"/>
  <c r="DT219" i="40"/>
  <c r="DU215" i="40"/>
  <c r="DV222" i="40"/>
  <c r="DW224" i="40"/>
  <c r="DS224" i="40"/>
  <c r="DS237" i="40"/>
  <c r="DT239" i="40"/>
  <c r="DU247" i="40"/>
  <c r="DV249" i="40"/>
  <c r="DW253" i="40"/>
  <c r="DS253" i="40"/>
  <c r="DT266" i="40"/>
  <c r="DU282" i="40"/>
  <c r="DV287" i="40"/>
  <c r="DV299" i="40"/>
  <c r="DS299" i="40"/>
  <c r="DT319" i="40"/>
  <c r="DU325" i="40"/>
  <c r="DV333" i="40"/>
  <c r="DU339" i="40"/>
  <c r="DW359" i="40"/>
  <c r="DS359" i="40"/>
  <c r="DT401" i="40"/>
  <c r="DT24" i="40"/>
  <c r="DU39" i="40"/>
  <c r="DS25" i="40"/>
  <c r="DS51" i="40"/>
  <c r="DS59" i="40"/>
  <c r="DU71" i="40"/>
  <c r="DV94" i="40"/>
  <c r="DW112" i="40"/>
  <c r="DS112" i="40"/>
  <c r="DU128" i="40"/>
  <c r="DU149" i="40"/>
  <c r="DS12" i="40"/>
  <c r="DS22" i="40"/>
  <c r="DS38" i="40"/>
  <c r="DT55" i="40"/>
  <c r="DU67" i="40"/>
  <c r="DW99" i="40"/>
  <c r="DS99" i="40"/>
  <c r="DT113" i="40"/>
  <c r="DU126" i="40"/>
  <c r="DV159" i="40"/>
  <c r="DV181" i="40"/>
  <c r="DW18" i="40"/>
  <c r="DU36" i="40"/>
  <c r="DT9" i="40"/>
  <c r="DU19" i="40"/>
  <c r="DV49" i="40"/>
  <c r="DW57" i="40"/>
  <c r="DS68" i="40"/>
  <c r="DS92" i="40"/>
  <c r="DT102" i="40"/>
  <c r="DV144" i="40"/>
  <c r="DW154" i="40"/>
  <c r="DS154" i="40"/>
  <c r="DT173" i="40"/>
  <c r="DU26" i="40"/>
  <c r="DU42" i="40"/>
  <c r="DV60" i="40"/>
  <c r="DU85" i="40"/>
  <c r="DW106" i="40"/>
  <c r="DS106" i="40"/>
  <c r="DT120" i="40"/>
  <c r="DT142" i="40"/>
  <c r="DT176" i="40"/>
  <c r="DT184" i="40"/>
  <c r="DU186" i="40"/>
  <c r="DV191" i="40"/>
  <c r="DW195" i="40"/>
  <c r="DU208" i="40"/>
  <c r="DU212" i="40"/>
  <c r="DW219" i="40"/>
  <c r="DS219" i="40"/>
  <c r="DT215" i="40"/>
  <c r="DV224" i="40"/>
  <c r="DW237" i="40"/>
  <c r="DW239" i="40"/>
  <c r="DS239" i="40"/>
  <c r="DT247" i="40"/>
  <c r="DU249" i="40"/>
  <c r="DV253" i="40"/>
  <c r="DW266" i="40"/>
  <c r="DS266" i="40"/>
  <c r="DT282" i="40"/>
  <c r="DU287" i="40"/>
  <c r="DW299" i="40"/>
  <c r="DW319" i="40"/>
  <c r="DS319" i="40"/>
  <c r="DT325" i="40"/>
  <c r="DU333" i="40"/>
  <c r="DT339" i="40"/>
  <c r="DV359" i="40"/>
  <c r="DS401" i="40"/>
  <c r="DS24" i="40"/>
  <c r="DU15" i="40"/>
  <c r="DV25" i="40"/>
  <c r="DV51" i="40"/>
  <c r="DU59" i="40"/>
  <c r="DT71" i="40"/>
  <c r="DU94" i="40"/>
  <c r="DV112" i="40"/>
  <c r="DW128" i="40"/>
  <c r="DT149" i="40"/>
  <c r="DU158" i="40"/>
  <c r="DV12" i="40"/>
  <c r="DW22" i="40"/>
  <c r="DW38" i="40"/>
  <c r="DS55" i="40"/>
  <c r="DT67" i="40"/>
  <c r="DU72" i="40"/>
  <c r="DV99" i="40"/>
  <c r="DS113" i="40"/>
  <c r="DT126" i="40"/>
  <c r="DU159" i="40"/>
  <c r="DW181" i="40"/>
  <c r="DV18" i="40"/>
  <c r="DW36" i="40"/>
  <c r="DW9" i="40"/>
  <c r="DS9" i="40"/>
  <c r="DT19" i="40"/>
  <c r="DT49" i="40"/>
  <c r="DV57" i="40"/>
  <c r="DV68" i="40"/>
  <c r="DW92" i="40"/>
  <c r="DW102" i="40"/>
  <c r="DS102" i="40"/>
  <c r="DT124" i="40"/>
  <c r="DU144" i="40"/>
  <c r="DV154" i="40"/>
  <c r="DS173" i="40"/>
  <c r="DT26" i="40"/>
  <c r="DS42" i="40"/>
  <c r="DU45" i="40"/>
  <c r="DT60" i="40"/>
  <c r="DV85" i="40"/>
  <c r="DU106" i="40"/>
  <c r="DW120" i="40"/>
  <c r="DW142" i="40"/>
  <c r="DS142" i="40"/>
  <c r="DS176" i="40"/>
  <c r="DS184" i="40"/>
  <c r="DT186" i="40"/>
  <c r="DU191" i="40"/>
  <c r="DU195" i="40"/>
  <c r="DW199" i="40"/>
  <c r="DS199" i="40"/>
  <c r="DV212" i="40"/>
  <c r="DV219" i="40"/>
  <c r="DW215" i="40"/>
  <c r="DS215" i="40"/>
  <c r="DT222" i="40"/>
  <c r="DU224" i="40"/>
  <c r="DV237" i="40"/>
  <c r="DV239" i="40"/>
  <c r="DW247" i="40"/>
  <c r="DS247" i="40"/>
  <c r="DT249" i="40"/>
  <c r="DU253" i="40"/>
  <c r="DV266" i="40"/>
  <c r="DW282" i="40"/>
  <c r="DS282" i="40"/>
  <c r="DT287" i="40"/>
  <c r="DU299" i="40"/>
  <c r="DV319" i="40"/>
  <c r="DW325" i="40"/>
  <c r="DT333" i="40"/>
  <c r="DS339" i="40"/>
  <c r="DV401" i="40"/>
  <c r="DW24" i="40"/>
  <c r="DW39" i="40"/>
  <c r="DS39" i="40"/>
  <c r="DT15" i="40"/>
  <c r="DU25" i="40"/>
  <c r="DU51" i="40"/>
  <c r="DV59" i="40"/>
  <c r="DS71" i="40"/>
  <c r="DT94" i="40"/>
  <c r="DT112" i="40"/>
  <c r="DV128" i="40"/>
  <c r="DV149" i="40"/>
  <c r="DS149" i="40"/>
  <c r="DT158" i="40"/>
  <c r="DU12" i="40"/>
  <c r="DT22" i="40"/>
  <c r="DV38" i="40"/>
  <c r="DV55" i="40"/>
  <c r="DW67" i="40"/>
  <c r="DS67" i="40"/>
  <c r="DT72" i="40"/>
  <c r="DU99" i="40"/>
  <c r="DV113" i="40"/>
  <c r="DW126" i="40"/>
  <c r="DS126" i="40"/>
  <c r="DT159" i="40"/>
  <c r="DU181" i="40"/>
  <c r="DS181" i="40"/>
  <c r="DT7" i="40"/>
  <c r="DU13" i="40"/>
  <c r="DV17" i="40"/>
  <c r="DW23" i="40"/>
  <c r="DV27" i="40"/>
  <c r="DW30" i="40"/>
  <c r="DS30" i="40"/>
  <c r="DT86" i="40"/>
  <c r="DU107" i="40"/>
  <c r="DV114" i="40"/>
  <c r="DV116" i="40"/>
  <c r="DV121" i="40"/>
  <c r="DT134" i="40"/>
  <c r="DV187" i="40"/>
  <c r="DV200" i="40"/>
  <c r="DW206" i="40"/>
  <c r="DS206" i="40"/>
  <c r="DT234" i="40"/>
  <c r="DV244" i="40"/>
  <c r="DV262" i="40"/>
  <c r="DW267" i="40"/>
  <c r="DS267" i="40"/>
  <c r="DT279" i="40"/>
  <c r="DU288" i="40"/>
  <c r="DV313" i="40"/>
  <c r="DW330" i="40"/>
  <c r="DT388" i="40"/>
  <c r="DU8" i="40"/>
  <c r="DV31" i="40"/>
  <c r="DW65" i="40"/>
  <c r="DS65" i="40"/>
  <c r="DT88" i="40"/>
  <c r="DT95" i="40"/>
  <c r="DU101" i="40"/>
  <c r="DV108" i="40"/>
  <c r="DV117" i="40"/>
  <c r="DW122" i="40"/>
  <c r="DS122" i="40"/>
  <c r="DT127" i="40"/>
  <c r="DV135" i="40"/>
  <c r="DU143" i="40"/>
  <c r="DV164" i="40"/>
  <c r="DW167" i="40"/>
  <c r="DS167" i="40"/>
  <c r="DT170" i="40"/>
  <c r="DV172" i="40"/>
  <c r="DV179" i="40"/>
  <c r="DW182" i="40"/>
  <c r="DW188" i="40"/>
  <c r="DV197" i="40"/>
  <c r="DS197" i="40"/>
  <c r="DT201" i="40"/>
  <c r="DU216" i="40"/>
  <c r="DW217" i="40"/>
  <c r="DS217" i="40"/>
  <c r="DT220" i="40"/>
  <c r="DU251" i="40"/>
  <c r="DV259" i="40"/>
  <c r="DW268" i="40"/>
  <c r="DS268" i="40"/>
  <c r="DT276" i="40"/>
  <c r="DU277" i="40"/>
  <c r="DW285" i="40"/>
  <c r="DW293" i="40"/>
  <c r="DS293" i="40"/>
  <c r="DT297" i="40"/>
  <c r="DU294" i="40"/>
  <c r="DV298" i="40"/>
  <c r="DV309" i="40"/>
  <c r="DW314" i="40"/>
  <c r="DS318" i="40"/>
  <c r="DU323" i="40"/>
  <c r="DV331" i="40"/>
  <c r="DW334" i="40"/>
  <c r="DT337" i="40"/>
  <c r="DU348" i="40"/>
  <c r="DV352" i="40"/>
  <c r="DW357" i="40"/>
  <c r="DW7" i="40"/>
  <c r="DT13" i="40"/>
  <c r="DU23" i="40"/>
  <c r="DU27" i="40"/>
  <c r="DV30" i="40"/>
  <c r="DW79" i="40"/>
  <c r="DS79" i="40"/>
  <c r="DS86" i="40"/>
  <c r="DT107" i="40"/>
  <c r="DT114" i="40"/>
  <c r="DU116" i="40"/>
  <c r="DW121" i="40"/>
  <c r="DW134" i="40"/>
  <c r="DT187" i="40"/>
  <c r="DU200" i="40"/>
  <c r="DV206" i="40"/>
  <c r="DS234" i="40"/>
  <c r="DU262" i="40"/>
  <c r="DV267" i="40"/>
  <c r="DV279" i="40"/>
  <c r="DS279" i="40"/>
  <c r="DV330" i="40"/>
  <c r="DS388" i="40"/>
  <c r="DU31" i="40"/>
  <c r="DV65" i="40"/>
  <c r="DW88" i="40"/>
  <c r="DS88" i="40"/>
  <c r="DS95" i="40"/>
  <c r="DT101" i="40"/>
  <c r="DU108" i="40"/>
  <c r="DW117" i="40"/>
  <c r="DV122" i="40"/>
  <c r="DW127" i="40"/>
  <c r="DS127" i="40"/>
  <c r="DS135" i="40"/>
  <c r="DU164" i="40"/>
  <c r="DU167" i="40"/>
  <c r="DW170" i="40"/>
  <c r="DT172" i="40"/>
  <c r="DU179" i="40"/>
  <c r="DU182" i="40"/>
  <c r="DU188" i="40"/>
  <c r="DW197" i="40"/>
  <c r="DW201" i="40"/>
  <c r="DS201" i="40"/>
  <c r="DT207" i="40"/>
  <c r="DV216" i="40"/>
  <c r="DV217" i="40"/>
  <c r="DS220" i="40"/>
  <c r="DT251" i="40"/>
  <c r="DU259" i="40"/>
  <c r="DV268" i="40"/>
  <c r="DW276" i="40"/>
  <c r="DS276" i="40"/>
  <c r="DT277" i="40"/>
  <c r="DU285" i="40"/>
  <c r="DV293" i="40"/>
  <c r="DW297" i="40"/>
  <c r="DT294" i="40"/>
  <c r="DU298" i="40"/>
  <c r="DV314" i="40"/>
  <c r="DW318" i="40"/>
  <c r="DW320" i="40"/>
  <c r="DS320" i="40"/>
  <c r="DT323" i="40"/>
  <c r="DU331" i="40"/>
  <c r="DV334" i="40"/>
  <c r="DW337" i="40"/>
  <c r="DS337" i="40"/>
  <c r="DT348" i="40"/>
  <c r="DU352" i="40"/>
  <c r="DV7" i="40"/>
  <c r="DW13" i="40"/>
  <c r="DS13" i="40"/>
  <c r="DU17" i="40"/>
  <c r="DT23" i="40"/>
  <c r="DT27" i="40"/>
  <c r="DV79" i="40"/>
  <c r="DW86" i="40"/>
  <c r="DW107" i="40"/>
  <c r="DW114" i="40"/>
  <c r="DS114" i="40"/>
  <c r="DT116" i="40"/>
  <c r="DU121" i="40"/>
  <c r="DV134" i="40"/>
  <c r="DW187" i="40"/>
  <c r="DS187" i="40"/>
  <c r="DT200" i="40"/>
  <c r="DV234" i="40"/>
  <c r="DW244" i="40"/>
  <c r="DS244" i="40"/>
  <c r="DU267" i="40"/>
  <c r="DW288" i="40"/>
  <c r="DS288" i="40"/>
  <c r="DT313" i="40"/>
  <c r="DU330" i="40"/>
  <c r="DV388" i="40"/>
  <c r="DW8" i="40"/>
  <c r="DS8" i="40"/>
  <c r="DT65" i="40"/>
  <c r="DV88" i="40"/>
  <c r="DV95" i="40"/>
  <c r="DW101" i="40"/>
  <c r="DT108" i="40"/>
  <c r="DT117" i="40"/>
  <c r="DU122" i="40"/>
  <c r="DU127" i="40"/>
  <c r="DW135" i="40"/>
  <c r="DV143" i="40"/>
  <c r="DS143" i="40"/>
  <c r="DT164" i="40"/>
  <c r="DV170" i="40"/>
  <c r="DW172" i="40"/>
  <c r="DV182" i="40"/>
  <c r="DV188" i="40"/>
  <c r="DU197" i="40"/>
  <c r="DW207" i="40"/>
  <c r="DS207" i="40"/>
  <c r="DT216" i="40"/>
  <c r="DU217" i="40"/>
  <c r="DV220" i="40"/>
  <c r="DW251" i="40"/>
  <c r="DS251" i="40"/>
  <c r="DT259" i="40"/>
  <c r="DU268" i="40"/>
  <c r="DV276" i="40"/>
  <c r="DW277" i="40"/>
  <c r="DV297" i="40"/>
  <c r="DV294" i="40"/>
  <c r="DS294" i="40"/>
  <c r="DT298" i="40"/>
  <c r="DT309" i="40"/>
  <c r="DU314" i="40"/>
  <c r="DU318" i="40"/>
  <c r="DV320" i="40"/>
  <c r="DS323" i="40"/>
  <c r="DS331" i="40"/>
  <c r="DU334" i="40"/>
  <c r="DV337" i="40"/>
  <c r="DW348" i="40"/>
  <c r="DS348" i="40"/>
  <c r="DT352" i="40"/>
  <c r="DU7" i="40"/>
  <c r="DV13" i="40"/>
  <c r="DW17" i="40"/>
  <c r="DS17" i="40"/>
  <c r="DS23" i="40"/>
  <c r="DS27" i="40"/>
  <c r="DT30" i="40"/>
  <c r="DU79" i="40"/>
  <c r="DV86" i="40"/>
  <c r="DV107" i="40"/>
  <c r="DU114" i="40"/>
  <c r="DW116" i="40"/>
  <c r="DS116" i="40"/>
  <c r="DT121" i="40"/>
  <c r="DU134" i="40"/>
  <c r="DS200" i="40"/>
  <c r="DT206" i="40"/>
  <c r="DU234" i="40"/>
  <c r="DU244" i="40"/>
  <c r="DW262" i="40"/>
  <c r="DS262" i="40"/>
  <c r="DT267" i="40"/>
  <c r="DU279" i="40"/>
  <c r="DV288" i="40"/>
  <c r="DW313" i="40"/>
  <c r="DS313" i="40"/>
  <c r="DT330" i="40"/>
  <c r="DU388" i="40"/>
  <c r="DV8" i="40"/>
  <c r="DW31" i="40"/>
  <c r="DS31" i="40"/>
  <c r="DU88" i="40"/>
  <c r="DU95" i="40"/>
  <c r="DV101" i="40"/>
  <c r="DW108" i="40"/>
  <c r="DS108" i="40"/>
  <c r="DS117" i="40"/>
  <c r="DU135" i="40"/>
  <c r="DW143" i="40"/>
  <c r="DW164" i="40"/>
  <c r="DT167" i="40"/>
  <c r="DU170" i="40"/>
  <c r="DU172" i="40"/>
  <c r="DW179" i="40"/>
  <c r="DS179" i="40"/>
  <c r="DT182" i="40"/>
  <c r="DT188" i="40"/>
  <c r="DU201" i="40"/>
  <c r="DV207" i="40"/>
  <c r="DW216" i="40"/>
  <c r="DU220" i="40"/>
  <c r="DW259" i="40"/>
  <c r="DS259" i="40"/>
  <c r="DT268" i="40"/>
  <c r="DU276" i="40"/>
  <c r="DV277" i="40"/>
  <c r="DV285" i="40"/>
  <c r="DS285" i="40"/>
  <c r="DT293" i="40"/>
  <c r="DU297" i="40"/>
  <c r="DW294" i="40"/>
  <c r="DW298" i="40"/>
  <c r="DW309" i="40"/>
  <c r="DS309" i="40"/>
  <c r="DS314" i="40"/>
  <c r="DT318" i="40"/>
  <c r="DU320" i="40"/>
  <c r="DV323" i="40"/>
  <c r="DW331" i="40"/>
  <c r="DT331" i="40"/>
  <c r="DT334" i="40"/>
  <c r="DU337" i="40"/>
  <c r="DW352" i="40"/>
  <c r="DS352" i="40"/>
  <c r="DV357" i="40"/>
  <c r="DW362" i="40"/>
  <c r="DS362" i="40"/>
  <c r="DT365" i="40"/>
  <c r="DU370" i="40"/>
  <c r="DV393" i="40"/>
  <c r="DW14" i="40"/>
  <c r="DS14" i="40"/>
  <c r="DT34" i="40"/>
  <c r="DV83" i="40"/>
  <c r="DV21" i="40"/>
  <c r="DW44" i="40"/>
  <c r="DS44" i="40"/>
  <c r="DU53" i="40"/>
  <c r="DV84" i="40"/>
  <c r="DW175" i="40"/>
  <c r="DS175" i="40"/>
  <c r="DT180" i="40"/>
  <c r="DV183" i="40"/>
  <c r="DV192" i="40"/>
  <c r="DW210" i="40"/>
  <c r="DW218" i="40"/>
  <c r="DW221" i="40"/>
  <c r="DS221" i="40"/>
  <c r="DT236" i="40"/>
  <c r="DU238" i="40"/>
  <c r="DV250" i="40"/>
  <c r="DW252" i="40"/>
  <c r="DS252" i="40"/>
  <c r="DT274" i="40"/>
  <c r="DU281" i="40"/>
  <c r="DV286" i="40"/>
  <c r="DW290" i="40"/>
  <c r="DV295" i="40"/>
  <c r="DS295" i="40"/>
  <c r="DT303" i="40"/>
  <c r="DU307" i="40"/>
  <c r="DV310" i="40"/>
  <c r="DW315" i="40"/>
  <c r="DW324" i="40"/>
  <c r="DS324" i="40"/>
  <c r="DT332" i="40"/>
  <c r="DU338" i="40"/>
  <c r="DV353" i="40"/>
  <c r="DW358" i="40"/>
  <c r="DS358" i="40"/>
  <c r="DT363" i="40"/>
  <c r="DT369" i="40"/>
  <c r="DU357" i="40"/>
  <c r="DV362" i="40"/>
  <c r="DW365" i="40"/>
  <c r="DS365" i="40"/>
  <c r="DT370" i="40"/>
  <c r="DU393" i="40"/>
  <c r="DV14" i="40"/>
  <c r="DW34" i="40"/>
  <c r="DS34" i="40"/>
  <c r="DT83" i="40"/>
  <c r="DU21" i="40"/>
  <c r="DV44" i="40"/>
  <c r="DW53" i="40"/>
  <c r="DS53" i="40"/>
  <c r="DT66" i="40"/>
  <c r="DU84" i="40"/>
  <c r="DV175" i="40"/>
  <c r="DW180" i="40"/>
  <c r="DT183" i="40"/>
  <c r="DU192" i="40"/>
  <c r="DV210" i="40"/>
  <c r="DV218" i="40"/>
  <c r="DV221" i="40"/>
  <c r="DS236" i="40"/>
  <c r="DT238" i="40"/>
  <c r="DU250" i="40"/>
  <c r="DV252" i="40"/>
  <c r="DV274" i="40"/>
  <c r="DS274" i="40"/>
  <c r="DT281" i="40"/>
  <c r="DU286" i="40"/>
  <c r="DV290" i="40"/>
  <c r="DW295" i="40"/>
  <c r="DW303" i="40"/>
  <c r="DS303" i="40"/>
  <c r="DT307" i="40"/>
  <c r="DU315" i="40"/>
  <c r="DV324" i="40"/>
  <c r="DW332" i="40"/>
  <c r="DS332" i="40"/>
  <c r="DT338" i="40"/>
  <c r="DU353" i="40"/>
  <c r="DV358" i="40"/>
  <c r="DW363" i="40"/>
  <c r="DW369" i="40"/>
  <c r="DS369" i="40"/>
  <c r="DT400" i="40"/>
  <c r="DT357" i="40"/>
  <c r="DU362" i="40"/>
  <c r="DV365" i="40"/>
  <c r="DW370" i="40"/>
  <c r="DT393" i="40"/>
  <c r="DU14" i="40"/>
  <c r="DV34" i="40"/>
  <c r="DW83" i="40"/>
  <c r="DS83" i="40"/>
  <c r="DV53" i="40"/>
  <c r="DW66" i="40"/>
  <c r="DS66" i="40"/>
  <c r="DT84" i="40"/>
  <c r="DU175" i="40"/>
  <c r="DV180" i="40"/>
  <c r="DW183" i="40"/>
  <c r="DT192" i="40"/>
  <c r="DU210" i="40"/>
  <c r="DU218" i="40"/>
  <c r="DU221" i="40"/>
  <c r="DV236" i="40"/>
  <c r="DW238" i="40"/>
  <c r="DS238" i="40"/>
  <c r="DW281" i="40"/>
  <c r="DS281" i="40"/>
  <c r="DT286" i="40"/>
  <c r="DU290" i="40"/>
  <c r="DU295" i="40"/>
  <c r="DV303" i="40"/>
  <c r="DW307" i="40"/>
  <c r="DS307" i="40"/>
  <c r="DT310" i="40"/>
  <c r="DT315" i="40"/>
  <c r="DU324" i="40"/>
  <c r="DV332" i="40"/>
  <c r="DW338" i="40"/>
  <c r="DS338" i="40"/>
  <c r="DU358" i="40"/>
  <c r="DV363" i="40"/>
  <c r="DV369" i="40"/>
  <c r="DW400" i="40"/>
  <c r="DS400" i="40"/>
  <c r="DS357" i="40"/>
  <c r="DT362" i="40"/>
  <c r="DU365" i="40"/>
  <c r="DV370" i="40"/>
  <c r="DW393" i="40"/>
  <c r="DS393" i="40"/>
  <c r="DT14" i="40"/>
  <c r="DU34" i="40"/>
  <c r="DU83" i="40"/>
  <c r="DW21" i="40"/>
  <c r="DS21" i="40"/>
  <c r="DT44" i="40"/>
  <c r="DT53" i="40"/>
  <c r="DV66" i="40"/>
  <c r="DS84" i="40"/>
  <c r="DT175" i="40"/>
  <c r="DU180" i="40"/>
  <c r="DU183" i="40"/>
  <c r="DW192" i="40"/>
  <c r="DS210" i="40"/>
  <c r="DS218" i="40"/>
  <c r="DT221" i="40"/>
  <c r="DU236" i="40"/>
  <c r="DW250" i="40"/>
  <c r="DS250" i="40"/>
  <c r="DT252" i="40"/>
  <c r="DU274" i="40"/>
  <c r="DV281" i="40"/>
  <c r="DW286" i="40"/>
  <c r="DS286" i="40"/>
  <c r="DT290" i="40"/>
  <c r="DT295" i="40"/>
  <c r="DU303" i="40"/>
  <c r="DV307" i="40"/>
  <c r="DW310" i="40"/>
  <c r="DS310" i="40"/>
  <c r="DS315" i="40"/>
  <c r="DT324" i="40"/>
  <c r="DU332" i="40"/>
  <c r="DV338" i="40"/>
  <c r="DW353" i="40"/>
  <c r="DS353" i="40"/>
  <c r="DT358" i="40"/>
  <c r="DU363" i="40"/>
  <c r="DU369" i="40"/>
  <c r="DV400" i="40"/>
  <c r="DU137" i="40"/>
  <c r="DV35" i="40"/>
  <c r="DW366" i="40"/>
  <c r="DT304" i="40"/>
  <c r="DU271" i="40"/>
  <c r="DU198" i="40"/>
  <c r="DV96" i="40"/>
  <c r="DV29" i="40"/>
  <c r="DW163" i="40"/>
  <c r="DS163" i="40"/>
  <c r="DT110" i="40"/>
  <c r="DU384" i="40"/>
  <c r="DV329" i="40"/>
  <c r="DW229" i="40"/>
  <c r="DS229" i="40"/>
  <c r="DT93" i="40"/>
  <c r="DU392" i="40"/>
  <c r="DV368" i="40"/>
  <c r="DW328" i="40"/>
  <c r="DS328" i="40"/>
  <c r="DT300" i="40"/>
  <c r="DU275" i="40"/>
  <c r="DV205" i="40"/>
  <c r="DS166" i="40"/>
  <c r="DU146" i="40"/>
  <c r="DU103" i="40"/>
  <c r="DW43" i="40"/>
  <c r="DT228" i="40"/>
  <c r="DV389" i="40"/>
  <c r="DW378" i="40"/>
  <c r="DS378" i="40"/>
  <c r="DW311" i="40"/>
  <c r="DW284" i="40"/>
  <c r="DW227" i="40"/>
  <c r="DS227" i="40"/>
  <c r="DT189" i="40"/>
  <c r="DT52" i="40"/>
  <c r="DW374" i="40"/>
  <c r="DS374" i="40"/>
  <c r="DT407" i="40"/>
  <c r="DV150" i="40"/>
  <c r="DV265" i="40"/>
  <c r="DS349" i="40"/>
  <c r="DT240" i="40"/>
  <c r="DU33" i="40"/>
  <c r="DV243" i="40"/>
  <c r="DW223" i="40"/>
  <c r="DS223" i="40"/>
  <c r="DT123" i="40"/>
  <c r="DU390" i="40"/>
  <c r="DV213" i="40"/>
  <c r="DW235" i="40"/>
  <c r="DW28" i="40"/>
  <c r="DW335" i="40"/>
  <c r="DS335" i="40"/>
  <c r="DU153" i="40"/>
  <c r="DV280" i="40"/>
  <c r="DU209" i="40"/>
  <c r="DV90" i="40"/>
  <c r="DW379" i="40"/>
  <c r="DS379" i="40"/>
  <c r="DU317" i="40"/>
  <c r="DV296" i="40"/>
  <c r="DW256" i="40"/>
  <c r="DT194" i="40"/>
  <c r="DU165" i="40"/>
  <c r="DV156" i="40"/>
  <c r="DU139" i="40"/>
  <c r="DW100" i="40"/>
  <c r="DW64" i="40"/>
  <c r="DS64" i="40"/>
  <c r="DS11" i="40"/>
  <c r="DU138" i="40"/>
  <c r="DV399" i="40"/>
  <c r="DW387" i="40"/>
  <c r="DS387" i="40"/>
  <c r="DT376" i="40"/>
  <c r="DU351" i="40"/>
  <c r="DV326" i="40"/>
  <c r="DW308" i="40"/>
  <c r="DW272" i="40"/>
  <c r="DW214" i="40"/>
  <c r="DW174" i="40"/>
  <c r="DS174" i="40"/>
  <c r="DT50" i="40"/>
  <c r="DW405" i="40"/>
  <c r="DS405" i="40"/>
  <c r="DU246" i="40"/>
  <c r="DW230" i="40"/>
  <c r="DS230" i="40"/>
  <c r="DT403" i="40"/>
  <c r="DV361" i="40"/>
  <c r="DW261" i="40"/>
  <c r="DS261" i="40"/>
  <c r="DT260" i="40"/>
  <c r="DU255" i="40"/>
  <c r="DV254" i="40"/>
  <c r="DW20" i="40"/>
  <c r="DS20" i="40"/>
  <c r="DT82" i="40"/>
  <c r="DU381" i="40"/>
  <c r="DV263" i="40"/>
  <c r="DW4" i="40"/>
  <c r="DW380" i="40"/>
  <c r="DS380" i="40"/>
  <c r="DU97" i="40"/>
  <c r="DV178" i="40"/>
  <c r="DW115" i="40"/>
  <c r="DS115" i="40"/>
  <c r="DT78" i="40"/>
  <c r="DU16" i="40"/>
  <c r="DV397" i="40"/>
  <c r="DW375" i="40"/>
  <c r="DS375" i="40"/>
  <c r="DT321" i="40"/>
  <c r="DU278" i="40"/>
  <c r="DW131" i="40"/>
  <c r="DU211" i="40"/>
  <c r="DW133" i="40"/>
  <c r="DW48" i="40"/>
  <c r="DS48" i="40"/>
  <c r="DT354" i="40"/>
  <c r="DU270" i="40"/>
  <c r="DV87" i="40"/>
  <c r="DW360" i="40"/>
  <c r="DS360" i="40"/>
  <c r="DT306" i="40"/>
  <c r="DU292" i="40"/>
  <c r="DV248" i="40"/>
  <c r="DW190" i="40"/>
  <c r="DT162" i="40"/>
  <c r="DV151" i="40"/>
  <c r="DV129" i="40"/>
  <c r="DW81" i="40"/>
  <c r="DW56" i="40"/>
  <c r="DT5" i="40"/>
  <c r="DU58" i="40"/>
  <c r="DV395" i="40"/>
  <c r="DW385" i="40"/>
  <c r="DS385" i="40"/>
  <c r="DT372" i="40"/>
  <c r="DU344" i="40"/>
  <c r="DU35" i="40"/>
  <c r="DV366" i="40"/>
  <c r="DW304" i="40"/>
  <c r="DS271" i="40"/>
  <c r="DT198" i="40"/>
  <c r="DU96" i="40"/>
  <c r="DU29" i="40"/>
  <c r="DW110" i="40"/>
  <c r="DS110" i="40"/>
  <c r="DT384" i="40"/>
  <c r="DU329" i="40"/>
  <c r="DV229" i="40"/>
  <c r="DV93" i="40"/>
  <c r="DS93" i="40"/>
  <c r="DT392" i="40"/>
  <c r="DU368" i="40"/>
  <c r="DV328" i="40"/>
  <c r="DW300" i="40"/>
  <c r="DS300" i="40"/>
  <c r="DU205" i="40"/>
  <c r="DV166" i="40"/>
  <c r="DW157" i="40"/>
  <c r="DS157" i="40"/>
  <c r="DT146" i="40"/>
  <c r="DT103" i="40"/>
  <c r="DU70" i="40"/>
  <c r="DV43" i="40"/>
  <c r="DW228" i="40"/>
  <c r="DS228" i="40"/>
  <c r="DT404" i="40"/>
  <c r="DU389" i="40"/>
  <c r="DV378" i="40"/>
  <c r="DW356" i="40"/>
  <c r="DS356" i="40"/>
  <c r="DT336" i="40"/>
  <c r="DU311" i="40"/>
  <c r="DV284" i="40"/>
  <c r="DV227" i="40"/>
  <c r="DW189" i="40"/>
  <c r="DS189" i="40"/>
  <c r="DU37" i="40"/>
  <c r="DV374" i="40"/>
  <c r="DW407" i="40"/>
  <c r="DS407" i="40"/>
  <c r="DT150" i="40"/>
  <c r="DU265" i="40"/>
  <c r="DV349" i="40"/>
  <c r="DW240" i="40"/>
  <c r="DS240" i="40"/>
  <c r="DT33" i="40"/>
  <c r="DV223" i="40"/>
  <c r="DW123" i="40"/>
  <c r="DS123" i="40"/>
  <c r="DU213" i="40"/>
  <c r="DV235" i="40"/>
  <c r="DT28" i="40"/>
  <c r="DV335" i="40"/>
  <c r="DW171" i="40"/>
  <c r="DS171" i="40"/>
  <c r="DT153" i="40"/>
  <c r="DT280" i="40"/>
  <c r="DT209" i="40"/>
  <c r="DU90" i="40"/>
  <c r="DV379" i="40"/>
  <c r="DW367" i="40"/>
  <c r="DS367" i="40"/>
  <c r="DT317" i="40"/>
  <c r="DU296" i="40"/>
  <c r="DV256" i="40"/>
  <c r="DW194" i="40"/>
  <c r="DS194" i="40"/>
  <c r="DT165" i="40"/>
  <c r="DT156" i="40"/>
  <c r="DV139" i="40"/>
  <c r="DU100" i="40"/>
  <c r="DT11" i="40"/>
  <c r="DT138" i="40"/>
  <c r="DU399" i="40"/>
  <c r="DV387" i="40"/>
  <c r="DW376" i="40"/>
  <c r="DT351" i="40"/>
  <c r="DU326" i="40"/>
  <c r="DV308" i="40"/>
  <c r="DV272" i="40"/>
  <c r="DV214" i="40"/>
  <c r="DW50" i="40"/>
  <c r="DS50" i="40"/>
  <c r="DS10" i="40"/>
  <c r="DU152" i="40"/>
  <c r="DV405" i="40"/>
  <c r="DW145" i="40"/>
  <c r="DS145" i="40"/>
  <c r="DT246" i="40"/>
  <c r="DU402" i="40"/>
  <c r="DV230" i="40"/>
  <c r="DW403" i="40"/>
  <c r="DS403" i="40"/>
  <c r="DT140" i="40"/>
  <c r="DU361" i="40"/>
  <c r="DV261" i="40"/>
  <c r="DW260" i="40"/>
  <c r="DS260" i="40"/>
  <c r="DT255" i="40"/>
  <c r="DU254" i="40"/>
  <c r="DV20" i="40"/>
  <c r="DW82" i="40"/>
  <c r="DT381" i="40"/>
  <c r="DU263" i="40"/>
  <c r="DV4" i="40"/>
  <c r="DV380" i="40"/>
  <c r="DW233" i="40"/>
  <c r="DS233" i="40"/>
  <c r="DT97" i="40"/>
  <c r="DT355" i="40"/>
  <c r="DU178" i="40"/>
  <c r="DV115" i="40"/>
  <c r="DW78" i="40"/>
  <c r="DS78" i="40"/>
  <c r="DT16" i="40"/>
  <c r="DU397" i="40"/>
  <c r="DV375" i="40"/>
  <c r="DW321" i="40"/>
  <c r="DS321" i="40"/>
  <c r="DT278" i="40"/>
  <c r="DU258" i="40"/>
  <c r="DV131" i="40"/>
  <c r="DW40" i="40"/>
  <c r="DS40" i="40"/>
  <c r="DT211" i="40"/>
  <c r="DV48" i="40"/>
  <c r="DW354" i="40"/>
  <c r="DS354" i="40"/>
  <c r="DT270" i="40"/>
  <c r="DT161" i="40"/>
  <c r="DT87" i="40"/>
  <c r="DU377" i="40"/>
  <c r="DV360" i="40"/>
  <c r="DV306" i="40"/>
  <c r="DS306" i="40"/>
  <c r="DT292" i="40"/>
  <c r="DU248" i="40"/>
  <c r="DU190" i="40"/>
  <c r="DW162" i="40"/>
  <c r="DT151" i="40"/>
  <c r="DU129" i="40"/>
  <c r="DV81" i="40"/>
  <c r="DV56" i="40"/>
  <c r="DW5" i="40"/>
  <c r="DT58" i="40"/>
  <c r="DU395" i="40"/>
  <c r="DV385" i="40"/>
  <c r="DW372" i="40"/>
  <c r="DS372" i="40"/>
  <c r="DT344" i="40"/>
  <c r="DV137" i="40"/>
  <c r="DS137" i="40"/>
  <c r="DT35" i="40"/>
  <c r="DU366" i="40"/>
  <c r="DV304" i="40"/>
  <c r="DW271" i="40"/>
  <c r="DV198" i="40"/>
  <c r="DT96" i="40"/>
  <c r="DU163" i="40"/>
  <c r="DV110" i="40"/>
  <c r="DW384" i="40"/>
  <c r="DS384" i="40"/>
  <c r="DT329" i="40"/>
  <c r="DU229" i="40"/>
  <c r="DW93" i="40"/>
  <c r="DW392" i="40"/>
  <c r="DS392" i="40"/>
  <c r="DT368" i="40"/>
  <c r="DU328" i="40"/>
  <c r="DV300" i="40"/>
  <c r="DW275" i="40"/>
  <c r="DS275" i="40"/>
  <c r="DT205" i="40"/>
  <c r="DU166" i="40"/>
  <c r="DV157" i="40"/>
  <c r="DW146" i="40"/>
  <c r="DS146" i="40"/>
  <c r="DS103" i="40"/>
  <c r="DT70" i="40"/>
  <c r="DU43" i="40"/>
  <c r="DU228" i="40"/>
  <c r="DW404" i="40"/>
  <c r="DS404" i="40"/>
  <c r="DT389" i="40"/>
  <c r="DV356" i="40"/>
  <c r="DW336" i="40"/>
  <c r="DS336" i="40"/>
  <c r="DT284" i="40"/>
  <c r="DU227" i="40"/>
  <c r="DV189" i="40"/>
  <c r="DW52" i="40"/>
  <c r="DS52" i="40"/>
  <c r="DT37" i="40"/>
  <c r="DU374" i="40"/>
  <c r="DV407" i="40"/>
  <c r="DW150" i="40"/>
  <c r="DS150" i="40"/>
  <c r="DT265" i="40"/>
  <c r="DU349" i="40"/>
  <c r="DS33" i="40"/>
  <c r="DT243" i="40"/>
  <c r="DU223" i="40"/>
  <c r="DU123" i="40"/>
  <c r="DW390" i="40"/>
  <c r="DS390" i="40"/>
  <c r="DT213" i="40"/>
  <c r="DU235" i="40"/>
  <c r="DU28" i="40"/>
  <c r="DU335" i="40"/>
  <c r="DU171" i="40"/>
  <c r="DV153" i="40"/>
  <c r="DS153" i="40"/>
  <c r="DS280" i="40"/>
  <c r="DS209" i="40"/>
  <c r="DV367" i="40"/>
  <c r="DS317" i="40"/>
  <c r="DT256" i="40"/>
  <c r="DV194" i="40"/>
  <c r="DS165" i="40"/>
  <c r="DS156" i="40"/>
  <c r="DT139" i="40"/>
  <c r="DT100" i="40"/>
  <c r="DU64" i="40"/>
  <c r="DV11" i="40"/>
  <c r="DW138" i="40"/>
  <c r="DS138" i="40"/>
  <c r="DT399" i="40"/>
  <c r="DU387" i="40"/>
  <c r="DV376" i="40"/>
  <c r="DS351" i="40"/>
  <c r="DT326" i="40"/>
  <c r="DU308" i="40"/>
  <c r="DU272" i="40"/>
  <c r="DT214" i="40"/>
  <c r="DU174" i="40"/>
  <c r="DV50" i="40"/>
  <c r="DW10" i="40"/>
  <c r="DT10" i="40"/>
  <c r="DT152" i="40"/>
  <c r="DU405" i="40"/>
  <c r="DV145" i="40"/>
  <c r="DW246" i="40"/>
  <c r="DS246" i="40"/>
  <c r="DT402" i="40"/>
  <c r="DU230" i="40"/>
  <c r="DV403" i="40"/>
  <c r="DW140" i="40"/>
  <c r="DS140" i="40"/>
  <c r="DT361" i="40"/>
  <c r="DU261" i="40"/>
  <c r="DV260" i="40"/>
  <c r="DW255" i="40"/>
  <c r="DS255" i="40"/>
  <c r="DT254" i="40"/>
  <c r="DU20" i="40"/>
  <c r="DV82" i="40"/>
  <c r="DW381" i="40"/>
  <c r="DS381" i="40"/>
  <c r="DT263" i="40"/>
  <c r="DU4" i="40"/>
  <c r="DU380" i="40"/>
  <c r="DV233" i="40"/>
  <c r="DW97" i="40"/>
  <c r="DW355" i="40"/>
  <c r="DS355" i="40"/>
  <c r="DT178" i="40"/>
  <c r="DU115" i="40"/>
  <c r="DV78" i="40"/>
  <c r="DW16" i="40"/>
  <c r="DS16" i="40"/>
  <c r="DU375" i="40"/>
  <c r="DV321" i="40"/>
  <c r="DW278" i="40"/>
  <c r="DS278" i="40"/>
  <c r="DT258" i="40"/>
  <c r="DU131" i="40"/>
  <c r="DV40" i="40"/>
  <c r="DW211" i="40"/>
  <c r="DT133" i="40"/>
  <c r="DU48" i="40"/>
  <c r="DV354" i="40"/>
  <c r="DW270" i="40"/>
  <c r="DV161" i="40"/>
  <c r="DS161" i="40"/>
  <c r="DU87" i="40"/>
  <c r="DT377" i="40"/>
  <c r="DU360" i="40"/>
  <c r="DW306" i="40"/>
  <c r="DS292" i="40"/>
  <c r="DT190" i="40"/>
  <c r="DV162" i="40"/>
  <c r="DW151" i="40"/>
  <c r="DS151" i="40"/>
  <c r="DT129" i="40"/>
  <c r="DT81" i="40"/>
  <c r="DU56" i="40"/>
  <c r="DV5" i="40"/>
  <c r="DS58" i="40"/>
  <c r="DT395" i="40"/>
  <c r="DU385" i="40"/>
  <c r="DV372" i="40"/>
  <c r="DW344" i="40"/>
  <c r="DS344" i="40"/>
  <c r="DW137" i="40"/>
  <c r="DW35" i="40"/>
  <c r="DS35" i="40"/>
  <c r="DT366" i="40"/>
  <c r="DU304" i="40"/>
  <c r="DV271" i="40"/>
  <c r="DW198" i="40"/>
  <c r="DW96" i="40"/>
  <c r="DW29" i="40"/>
  <c r="DS29" i="40"/>
  <c r="DT163" i="40"/>
  <c r="DU110" i="40"/>
  <c r="DV384" i="40"/>
  <c r="DS329" i="40"/>
  <c r="DT229" i="40"/>
  <c r="DU93" i="40"/>
  <c r="DV392" i="40"/>
  <c r="DW368" i="40"/>
  <c r="DT328" i="40"/>
  <c r="DU300" i="40"/>
  <c r="DV275" i="40"/>
  <c r="DW205" i="40"/>
  <c r="DS205" i="40"/>
  <c r="DT166" i="40"/>
  <c r="DU157" i="40"/>
  <c r="DV146" i="40"/>
  <c r="DV103" i="40"/>
  <c r="DW70" i="40"/>
  <c r="DS70" i="40"/>
  <c r="DT43" i="40"/>
  <c r="DV228" i="40"/>
  <c r="DV404" i="40"/>
  <c r="DW389" i="40"/>
  <c r="DS389" i="40"/>
  <c r="DT378" i="40"/>
  <c r="DU356" i="40"/>
  <c r="DV336" i="40"/>
  <c r="DV311" i="40"/>
  <c r="DS311" i="40"/>
  <c r="DS284" i="40"/>
  <c r="DT227" i="40"/>
  <c r="DV52" i="40"/>
  <c r="DW37" i="40"/>
  <c r="DS37" i="40"/>
  <c r="DU407" i="40"/>
  <c r="DU150" i="40"/>
  <c r="DW265" i="40"/>
  <c r="DS265" i="40"/>
  <c r="DT349" i="40"/>
  <c r="DU240" i="40"/>
  <c r="DV33" i="40"/>
  <c r="DW243" i="40"/>
  <c r="DS243" i="40"/>
  <c r="DT223" i="40"/>
  <c r="DV123" i="40"/>
  <c r="DV390" i="40"/>
  <c r="DW213" i="40"/>
  <c r="DS213" i="40"/>
  <c r="DS235" i="40"/>
  <c r="DS28" i="40"/>
  <c r="DT335" i="40"/>
  <c r="DV171" i="40"/>
  <c r="DW153" i="40"/>
  <c r="DW280" i="40"/>
  <c r="DW209" i="40"/>
  <c r="DW90" i="40"/>
  <c r="DS90" i="40"/>
  <c r="DT379" i="40"/>
  <c r="DU367" i="40"/>
  <c r="DW317" i="40"/>
  <c r="DW296" i="40"/>
  <c r="DS296" i="40"/>
  <c r="DS256" i="40"/>
  <c r="DU194" i="40"/>
  <c r="DW165" i="40"/>
  <c r="DU156" i="40"/>
  <c r="DW139" i="40"/>
  <c r="DS139" i="40"/>
  <c r="DS100" i="40"/>
  <c r="DT64" i="40"/>
  <c r="DU11" i="40"/>
  <c r="DV138" i="40"/>
  <c r="DW399" i="40"/>
  <c r="DS399" i="40"/>
  <c r="DT387" i="40"/>
  <c r="DU376" i="40"/>
  <c r="DV351" i="40"/>
  <c r="DS326" i="40"/>
  <c r="DT308" i="40"/>
  <c r="DT272" i="40"/>
  <c r="DS214" i="40"/>
  <c r="DT174" i="40"/>
  <c r="DU50" i="40"/>
  <c r="DV10" i="40"/>
  <c r="DW152" i="40"/>
  <c r="DS152" i="40"/>
  <c r="DU145" i="40"/>
  <c r="DW402" i="40"/>
  <c r="DS402" i="40"/>
  <c r="DT230" i="40"/>
  <c r="DU140" i="40"/>
  <c r="DW361" i="40"/>
  <c r="DT261" i="40"/>
  <c r="DU260" i="40"/>
  <c r="DV255" i="40"/>
  <c r="DS254" i="40"/>
  <c r="DT20" i="40"/>
  <c r="DU82" i="40"/>
  <c r="DV381" i="40"/>
  <c r="DW263" i="40"/>
  <c r="DS263" i="40"/>
  <c r="DS4" i="40"/>
  <c r="DT380" i="40"/>
  <c r="DU233" i="40"/>
  <c r="DV97" i="40"/>
  <c r="DV355" i="40"/>
  <c r="DW178" i="40"/>
  <c r="DT115" i="40"/>
  <c r="DU78" i="40"/>
  <c r="DV16" i="40"/>
  <c r="DW397" i="40"/>
  <c r="DS397" i="40"/>
  <c r="DU321" i="40"/>
  <c r="DV278" i="40"/>
  <c r="DW258" i="40"/>
  <c r="DS258" i="40"/>
  <c r="DT131" i="40"/>
  <c r="DT40" i="40"/>
  <c r="DV211" i="40"/>
  <c r="DV133" i="40"/>
  <c r="DS133" i="40"/>
  <c r="DT48" i="40"/>
  <c r="DV270" i="40"/>
  <c r="DW161" i="40"/>
  <c r="DW87" i="40"/>
  <c r="DW377" i="40"/>
  <c r="DS377" i="40"/>
  <c r="DT360" i="40"/>
  <c r="DV292" i="40"/>
  <c r="DW248" i="40"/>
  <c r="DS248" i="40"/>
  <c r="DS190" i="40"/>
  <c r="DU162" i="40"/>
  <c r="DU151" i="40"/>
  <c r="DW129" i="40"/>
  <c r="DS81" i="40"/>
  <c r="DT56" i="40"/>
  <c r="DU5" i="40"/>
  <c r="DV58" i="40"/>
  <c r="DW395" i="40"/>
  <c r="DS395" i="40"/>
  <c r="DT385" i="40"/>
  <c r="DU372" i="40"/>
  <c r="DV344" i="40"/>
  <c r="DW322" i="40"/>
  <c r="DV322" i="40"/>
  <c r="DV305" i="40"/>
  <c r="DS305" i="40"/>
  <c r="DT264" i="40"/>
  <c r="DU203" i="40"/>
  <c r="DT91" i="40"/>
  <c r="DU46" i="40"/>
  <c r="DV396" i="40"/>
  <c r="DW147" i="40"/>
  <c r="DS147" i="40"/>
  <c r="DU132" i="40"/>
  <c r="DW202" i="40"/>
  <c r="DW398" i="40"/>
  <c r="DS398" i="40"/>
  <c r="DU245" i="40"/>
  <c r="DV327" i="40"/>
  <c r="DW61" i="40"/>
  <c r="DU89" i="40"/>
  <c r="DU3" i="40"/>
  <c r="DV98" i="40"/>
  <c r="DU118" i="40"/>
  <c r="DV177" i="40"/>
  <c r="DS177" i="40"/>
  <c r="DU54" i="40"/>
  <c r="DV80" i="40"/>
  <c r="DW342" i="40"/>
  <c r="DS342" i="40"/>
  <c r="DT196" i="40"/>
  <c r="DT269" i="40"/>
  <c r="DV141" i="40"/>
  <c r="DW77" i="40"/>
  <c r="DS77" i="40"/>
  <c r="DT341" i="40"/>
  <c r="DU136" i="40"/>
  <c r="DV104" i="40"/>
  <c r="DV74" i="40"/>
  <c r="DV289" i="40"/>
  <c r="DW394" i="40"/>
  <c r="DS394" i="40"/>
  <c r="DT371" i="40"/>
  <c r="DU312" i="40"/>
  <c r="DU273" i="40"/>
  <c r="DV231" i="40"/>
  <c r="DS111" i="40"/>
  <c r="DU185" i="40"/>
  <c r="DV6" i="40"/>
  <c r="DW345" i="40"/>
  <c r="DT257" i="40"/>
  <c r="DU125" i="40"/>
  <c r="DV69" i="40"/>
  <c r="DS373" i="40"/>
  <c r="DT340" i="40"/>
  <c r="DU302" i="40"/>
  <c r="DW283" i="40"/>
  <c r="DW242" i="40"/>
  <c r="DS242" i="40"/>
  <c r="DT169" i="40"/>
  <c r="DV160" i="40"/>
  <c r="DV148" i="40"/>
  <c r="DW109" i="40"/>
  <c r="DS109" i="40"/>
  <c r="DU73" i="40"/>
  <c r="DU47" i="40"/>
  <c r="DV346" i="40"/>
  <c r="DW406" i="40"/>
  <c r="DS406" i="40"/>
  <c r="DT391" i="40"/>
  <c r="DU382" i="40"/>
  <c r="DV364" i="40"/>
  <c r="DV343" i="40"/>
  <c r="DW316" i="40"/>
  <c r="DS316" i="40"/>
  <c r="DU232" i="40"/>
  <c r="DU193" i="40"/>
  <c r="DS63" i="40"/>
  <c r="DU386" i="40"/>
  <c r="DU119" i="40"/>
  <c r="DW155" i="40"/>
  <c r="DS155" i="40"/>
  <c r="DT350" i="40"/>
  <c r="DU168" i="40"/>
  <c r="DV383" i="40"/>
  <c r="DW75" i="40"/>
  <c r="DS75" i="40"/>
  <c r="DT241" i="40"/>
  <c r="DU322" i="40"/>
  <c r="DW305" i="40"/>
  <c r="DW264" i="40"/>
  <c r="DS264" i="40"/>
  <c r="DS203" i="40"/>
  <c r="DS91" i="40"/>
  <c r="DT46" i="40"/>
  <c r="DU396" i="40"/>
  <c r="DV147" i="40"/>
  <c r="DW204" i="40"/>
  <c r="DS204" i="40"/>
  <c r="DT132" i="40"/>
  <c r="DW226" i="40"/>
  <c r="DS226" i="40"/>
  <c r="DT245" i="40"/>
  <c r="DU327" i="40"/>
  <c r="DV61" i="40"/>
  <c r="DW89" i="40"/>
  <c r="DS89" i="40"/>
  <c r="DT3" i="40"/>
  <c r="DU98" i="40"/>
  <c r="DV118" i="40"/>
  <c r="DW177" i="40"/>
  <c r="DW301" i="40"/>
  <c r="DS301" i="40"/>
  <c r="DV342" i="40"/>
  <c r="DS196" i="40"/>
  <c r="DS269" i="40"/>
  <c r="DT225" i="40"/>
  <c r="DU141" i="40"/>
  <c r="DW341" i="40"/>
  <c r="DS341" i="40"/>
  <c r="DT136" i="40"/>
  <c r="DT104" i="40"/>
  <c r="DU74" i="40"/>
  <c r="DU289" i="40"/>
  <c r="DV394" i="40"/>
  <c r="DW371" i="40"/>
  <c r="DS371" i="40"/>
  <c r="DT273" i="40"/>
  <c r="DU231" i="40"/>
  <c r="DV111" i="40"/>
  <c r="DW32" i="40"/>
  <c r="DS32" i="40"/>
  <c r="DS185" i="40"/>
  <c r="DT130" i="40"/>
  <c r="DU6" i="40"/>
  <c r="DV345" i="40"/>
  <c r="DW257" i="40"/>
  <c r="DS257" i="40"/>
  <c r="DT125" i="40"/>
  <c r="DT69" i="40"/>
  <c r="DV373" i="40"/>
  <c r="DW340" i="40"/>
  <c r="DS340" i="40"/>
  <c r="DT302" i="40"/>
  <c r="DU283" i="40"/>
  <c r="DV242" i="40"/>
  <c r="DW169" i="40"/>
  <c r="DS169" i="40"/>
  <c r="DT160" i="40"/>
  <c r="DU148" i="40"/>
  <c r="DS73" i="40"/>
  <c r="DT47" i="40"/>
  <c r="DW391" i="40"/>
  <c r="DS391" i="40"/>
  <c r="DT382" i="40"/>
  <c r="DU364" i="40"/>
  <c r="DU343" i="40"/>
  <c r="DV316" i="40"/>
  <c r="DW291" i="40"/>
  <c r="DS291" i="40"/>
  <c r="DT232" i="40"/>
  <c r="DV193" i="40"/>
  <c r="DV63" i="40"/>
  <c r="DW41" i="40"/>
  <c r="DS41" i="40"/>
  <c r="DT386" i="40"/>
  <c r="DV119" i="40"/>
  <c r="DU155" i="40"/>
  <c r="DW350" i="40"/>
  <c r="DS350" i="40"/>
  <c r="DT168" i="40"/>
  <c r="DU383" i="40"/>
  <c r="DV75" i="40"/>
  <c r="DW241" i="40"/>
  <c r="DS241" i="40"/>
  <c r="DU76" i="40"/>
  <c r="DT322" i="40"/>
  <c r="DV264" i="40"/>
  <c r="DW203" i="40"/>
  <c r="DW91" i="40"/>
  <c r="DW46" i="40"/>
  <c r="DS46" i="40"/>
  <c r="DU204" i="40"/>
  <c r="DW132" i="40"/>
  <c r="DS132" i="40"/>
  <c r="DT202" i="40"/>
  <c r="DU398" i="40"/>
  <c r="DU226" i="40"/>
  <c r="DW245" i="40"/>
  <c r="DS245" i="40"/>
  <c r="DS327" i="40"/>
  <c r="DT61" i="40"/>
  <c r="DV89" i="40"/>
  <c r="DW3" i="40"/>
  <c r="DS3" i="40"/>
  <c r="DT98" i="40"/>
  <c r="DU177" i="40"/>
  <c r="DV301" i="40"/>
  <c r="DW54" i="40"/>
  <c r="DS54" i="40"/>
  <c r="DT80" i="40"/>
  <c r="DU342" i="40"/>
  <c r="DV196" i="40"/>
  <c r="DW269" i="40"/>
  <c r="DW225" i="40"/>
  <c r="DS225" i="40"/>
  <c r="DT141" i="40"/>
  <c r="DT77" i="40"/>
  <c r="DV341" i="40"/>
  <c r="DW136" i="40"/>
  <c r="DS136" i="40"/>
  <c r="DS104" i="40"/>
  <c r="DT74" i="40"/>
  <c r="DT289" i="40"/>
  <c r="DU394" i="40"/>
  <c r="DV371" i="40"/>
  <c r="DW312" i="40"/>
  <c r="DS312" i="40"/>
  <c r="DS273" i="40"/>
  <c r="DT231" i="40"/>
  <c r="DT111" i="40"/>
  <c r="DV32" i="40"/>
  <c r="DW185" i="40"/>
  <c r="DW130" i="40"/>
  <c r="DS130" i="40"/>
  <c r="DS6" i="40"/>
  <c r="DU345" i="40"/>
  <c r="DV257" i="40"/>
  <c r="DW125" i="40"/>
  <c r="DU69" i="40"/>
  <c r="DU373" i="40"/>
  <c r="DV340" i="40"/>
  <c r="DW302" i="40"/>
  <c r="DT283" i="40"/>
  <c r="DU242" i="40"/>
  <c r="DV169" i="40"/>
  <c r="DW160" i="40"/>
  <c r="DS160" i="40"/>
  <c r="DT148" i="40"/>
  <c r="DU109" i="40"/>
  <c r="DV73" i="40"/>
  <c r="DW47" i="40"/>
  <c r="DT346" i="40"/>
  <c r="DU406" i="40"/>
  <c r="DV391" i="40"/>
  <c r="DW382" i="40"/>
  <c r="DS364" i="40"/>
  <c r="DT343" i="40"/>
  <c r="DV291" i="40"/>
  <c r="DW232" i="40"/>
  <c r="DS232" i="40"/>
  <c r="DT193" i="40"/>
  <c r="DU63" i="40"/>
  <c r="DV41" i="40"/>
  <c r="DW386" i="40"/>
  <c r="DS386" i="40"/>
  <c r="DV155" i="40"/>
  <c r="DV350" i="40"/>
  <c r="DW168" i="40"/>
  <c r="DS168" i="40"/>
  <c r="DT383" i="40"/>
  <c r="DU75" i="40"/>
  <c r="DV241" i="40"/>
  <c r="DW76" i="40"/>
  <c r="DS76" i="40"/>
  <c r="DS322" i="40"/>
  <c r="DT305" i="40"/>
  <c r="DU264" i="40"/>
  <c r="DV203" i="40"/>
  <c r="DV91" i="40"/>
  <c r="DV46" i="40"/>
  <c r="DW396" i="40"/>
  <c r="DS396" i="40"/>
  <c r="DT147" i="40"/>
  <c r="DV204" i="40"/>
  <c r="DV132" i="40"/>
  <c r="DV202" i="40"/>
  <c r="DS202" i="40"/>
  <c r="DT398" i="40"/>
  <c r="DV226" i="40"/>
  <c r="DV245" i="40"/>
  <c r="DW327" i="40"/>
  <c r="DT327" i="40"/>
  <c r="DU61" i="40"/>
  <c r="DV3" i="40"/>
  <c r="DW98" i="40"/>
  <c r="DW118" i="40"/>
  <c r="DS118" i="40"/>
  <c r="DT177" i="40"/>
  <c r="DU301" i="40"/>
  <c r="DV54" i="40"/>
  <c r="DW80" i="40"/>
  <c r="DS80" i="40"/>
  <c r="DT342" i="40"/>
  <c r="DU196" i="40"/>
  <c r="DV269" i="40"/>
  <c r="DV225" i="40"/>
  <c r="DW141" i="40"/>
  <c r="DS141" i="40"/>
  <c r="DU77" i="40"/>
  <c r="DU341" i="40"/>
  <c r="DV136" i="40"/>
  <c r="DW104" i="40"/>
  <c r="DS74" i="40"/>
  <c r="DS289" i="40"/>
  <c r="DU371" i="40"/>
  <c r="DV312" i="40"/>
  <c r="DV273" i="40"/>
  <c r="DW231" i="40"/>
  <c r="DS231" i="40"/>
  <c r="DU111" i="40"/>
  <c r="DT32" i="40"/>
  <c r="DV185" i="40"/>
  <c r="DV130" i="40"/>
  <c r="DW6" i="40"/>
  <c r="DT345" i="40"/>
  <c r="DU257" i="40"/>
  <c r="DV125" i="40"/>
  <c r="DW69" i="40"/>
  <c r="DS69" i="40"/>
  <c r="DT373" i="40"/>
  <c r="DU340" i="40"/>
  <c r="DV302" i="40"/>
  <c r="DV283" i="40"/>
  <c r="DS283" i="40"/>
  <c r="DT242" i="40"/>
  <c r="DU169" i="40"/>
  <c r="DU160" i="40"/>
  <c r="DW148" i="40"/>
  <c r="DT109" i="40"/>
  <c r="DT73" i="40"/>
  <c r="DV47" i="40"/>
  <c r="DW346" i="40"/>
  <c r="DS346" i="40"/>
  <c r="DT406" i="40"/>
  <c r="DV382" i="40"/>
  <c r="DW364" i="40"/>
  <c r="DW343" i="40"/>
  <c r="DS343" i="40"/>
  <c r="DT316" i="40"/>
  <c r="DU291" i="40"/>
  <c r="DV232" i="40"/>
  <c r="DW193" i="40"/>
  <c r="DS193" i="40"/>
  <c r="DT63" i="40"/>
  <c r="DU41" i="40"/>
  <c r="DV386" i="40"/>
  <c r="DW119" i="40"/>
  <c r="DS119" i="40"/>
  <c r="DT155" i="40"/>
  <c r="DU350" i="40"/>
  <c r="DV168" i="40"/>
  <c r="DS383" i="40"/>
  <c r="DT75" i="40"/>
  <c r="DU241" i="40"/>
  <c r="DV76" i="40"/>
  <c r="AX8" i="51"/>
  <c r="AX10" i="51"/>
  <c r="AX6" i="51"/>
  <c r="AX7" i="51"/>
  <c r="AX9" i="51"/>
  <c r="Y3" i="51"/>
  <c r="N377" i="1"/>
  <c r="M377" i="1" s="1"/>
  <c r="CH14" i="50"/>
  <c r="CH12" i="50"/>
  <c r="CH10" i="50"/>
  <c r="CH8" i="50"/>
  <c r="CH6" i="50"/>
  <c r="CH13" i="50"/>
  <c r="Y3" i="50"/>
  <c r="CH7" i="50"/>
  <c r="CH9" i="50"/>
  <c r="CH11" i="50"/>
  <c r="Y128" i="18"/>
  <c r="AB128" i="18" s="1"/>
  <c r="Y126" i="18"/>
  <c r="AB126" i="18" s="1"/>
  <c r="Y162" i="18"/>
  <c r="AB162" i="18" s="1"/>
  <c r="Y146" i="18"/>
  <c r="AB146" i="18" s="1"/>
  <c r="Y131" i="18"/>
  <c r="AB131" i="18" s="1"/>
  <c r="Y158" i="18"/>
  <c r="AB158" i="18" s="1"/>
  <c r="Y153" i="18"/>
  <c r="AB153" i="18" s="1"/>
  <c r="Y155" i="18"/>
  <c r="AB155" i="18" s="1"/>
  <c r="Y133" i="18"/>
  <c r="AB133" i="18" s="1"/>
  <c r="Y152" i="18"/>
  <c r="AB152" i="18" s="1"/>
  <c r="Y129" i="18"/>
  <c r="AB129" i="18" s="1"/>
  <c r="Y143" i="18"/>
  <c r="AB143" i="18" s="1"/>
  <c r="Y137" i="18"/>
  <c r="AB137" i="18" s="1"/>
  <c r="Y149" i="18"/>
  <c r="AB149" i="18" s="1"/>
  <c r="Y160" i="18"/>
  <c r="AB160" i="18" s="1"/>
  <c r="Y140" i="18"/>
  <c r="AB140" i="18" s="1"/>
  <c r="Y145" i="18"/>
  <c r="AB145" i="18" s="1"/>
  <c r="J31" i="18"/>
  <c r="Y154" i="18"/>
  <c r="AB154" i="18" s="1"/>
  <c r="Y148" i="18"/>
  <c r="AB148" i="18" s="1"/>
  <c r="Y161" i="18"/>
  <c r="AB161" i="18" s="1"/>
  <c r="Y138" i="18"/>
  <c r="AB138" i="18" s="1"/>
  <c r="Y132" i="18"/>
  <c r="AB132" i="18" s="1"/>
  <c r="Y127" i="18"/>
  <c r="AB127" i="18" s="1"/>
  <c r="Y134" i="18"/>
  <c r="AB134" i="18" s="1"/>
  <c r="Y163" i="18"/>
  <c r="AB163" i="18" s="1"/>
  <c r="X136" i="18"/>
  <c r="Y141" i="18"/>
  <c r="AB141" i="18" s="1"/>
  <c r="Y151" i="18"/>
  <c r="AB151" i="18" s="1"/>
  <c r="Y136" i="18"/>
  <c r="AB136" i="18" s="1"/>
  <c r="Y156" i="18"/>
  <c r="AB156" i="18" s="1"/>
  <c r="Y159" i="18"/>
  <c r="AB159" i="18" s="1"/>
  <c r="X133" i="18"/>
  <c r="Y142" i="18"/>
  <c r="AB142" i="18" s="1"/>
  <c r="X131" i="18"/>
  <c r="X159" i="18"/>
  <c r="AA159" i="18" s="1"/>
  <c r="AV35" i="18" s="1"/>
  <c r="Y130" i="18"/>
  <c r="AB130" i="18" s="1"/>
  <c r="Y150" i="18"/>
  <c r="AB150" i="18" s="1"/>
  <c r="X148" i="18"/>
  <c r="X126" i="18"/>
  <c r="X157" i="18"/>
  <c r="AA157" i="18" s="1"/>
  <c r="AV33" i="18" s="1"/>
  <c r="X142" i="18"/>
  <c r="AA142" i="18" s="1"/>
  <c r="AV18" i="18" s="1"/>
  <c r="X163" i="18"/>
  <c r="X160" i="18"/>
  <c r="X134" i="18"/>
  <c r="AA134" i="18" s="1"/>
  <c r="AV10" i="18" s="1"/>
  <c r="X158" i="18"/>
  <c r="AA158" i="18" s="1"/>
  <c r="AV34" i="18" s="1"/>
  <c r="X143" i="18"/>
  <c r="X127" i="18"/>
  <c r="AA127" i="18" s="1"/>
  <c r="BB3" i="18" s="1"/>
  <c r="BC3" i="18" s="1"/>
  <c r="X162" i="18"/>
  <c r="X128" i="18"/>
  <c r="X149" i="18"/>
  <c r="X153" i="18"/>
  <c r="X129" i="18"/>
  <c r="X139" i="18"/>
  <c r="AA139" i="18" s="1"/>
  <c r="BB10" i="18" s="1"/>
  <c r="BC10" i="18" s="1"/>
  <c r="X161" i="18"/>
  <c r="X151" i="18"/>
  <c r="X145" i="18"/>
  <c r="AA145" i="18" s="1"/>
  <c r="AV21" i="18" s="1"/>
  <c r="X154" i="18"/>
  <c r="X132" i="18"/>
  <c r="AA132" i="18" s="1"/>
  <c r="BB5" i="18" s="1"/>
  <c r="BC5" i="18" s="1"/>
  <c r="X155" i="18"/>
  <c r="AA155" i="18" s="1"/>
  <c r="AV31" i="18" s="1"/>
  <c r="X138" i="18"/>
  <c r="J29" i="18"/>
  <c r="D53" i="18" s="1"/>
  <c r="X140" i="18"/>
  <c r="X144" i="18"/>
  <c r="AA144" i="18" s="1"/>
  <c r="BB12" i="18" s="1"/>
  <c r="X135" i="18"/>
  <c r="X147" i="18"/>
  <c r="AA147" i="18" s="1"/>
  <c r="BB14" i="18" s="1"/>
  <c r="BC14" i="18" s="1"/>
  <c r="CV404" i="40"/>
  <c r="CV400" i="40"/>
  <c r="CV396" i="40"/>
  <c r="CV392" i="40"/>
  <c r="CV388" i="40"/>
  <c r="CV384" i="40"/>
  <c r="CV380" i="40"/>
  <c r="CV376" i="40"/>
  <c r="CV372" i="40"/>
  <c r="CV368" i="40"/>
  <c r="CV364" i="40"/>
  <c r="CV360" i="40"/>
  <c r="CV356" i="40"/>
  <c r="CV352" i="40"/>
  <c r="CV348" i="40"/>
  <c r="CV344" i="40"/>
  <c r="CV340" i="40"/>
  <c r="CV336" i="40"/>
  <c r="CV332" i="40"/>
  <c r="CV328" i="40"/>
  <c r="CV324" i="40"/>
  <c r="CV320" i="40"/>
  <c r="CV316" i="40"/>
  <c r="CV312" i="40"/>
  <c r="CV308" i="40"/>
  <c r="CV304" i="40"/>
  <c r="CV300" i="40"/>
  <c r="CV296" i="40"/>
  <c r="CV292" i="40"/>
  <c r="CV288" i="40"/>
  <c r="CV284" i="40"/>
  <c r="CV280" i="40"/>
  <c r="CV276" i="40"/>
  <c r="CV272" i="40"/>
  <c r="CV268" i="40"/>
  <c r="CV264" i="40"/>
  <c r="CV260" i="40"/>
  <c r="CV256" i="40"/>
  <c r="CV252" i="40"/>
  <c r="CV248" i="40"/>
  <c r="CV244" i="40"/>
  <c r="CV240" i="40"/>
  <c r="CV236" i="40"/>
  <c r="CV232" i="40"/>
  <c r="CV228" i="40"/>
  <c r="CV224" i="40"/>
  <c r="CV220" i="40"/>
  <c r="CV216" i="40"/>
  <c r="CV212" i="40"/>
  <c r="CV208" i="40"/>
  <c r="CV204" i="40"/>
  <c r="CV200" i="40"/>
  <c r="CV196" i="40"/>
  <c r="CV192" i="40"/>
  <c r="CV188" i="40"/>
  <c r="CV184" i="40"/>
  <c r="CV180" i="40"/>
  <c r="CV176" i="40"/>
  <c r="CV172" i="40"/>
  <c r="CV168" i="40"/>
  <c r="CV164" i="40"/>
  <c r="CV160" i="40"/>
  <c r="CV156" i="40"/>
  <c r="CV152" i="40"/>
  <c r="CV148" i="40"/>
  <c r="CV144" i="40"/>
  <c r="CV140" i="40"/>
  <c r="CV136" i="40"/>
  <c r="CV132" i="40"/>
  <c r="CV128" i="40"/>
  <c r="CV124" i="40"/>
  <c r="CV120" i="40"/>
  <c r="CV116" i="40"/>
  <c r="CV112" i="40"/>
  <c r="CV108" i="40"/>
  <c r="CV104" i="40"/>
  <c r="CV100" i="40"/>
  <c r="CV96" i="40"/>
  <c r="CV92" i="40"/>
  <c r="CV88" i="40"/>
  <c r="CV84" i="40"/>
  <c r="CV80" i="40"/>
  <c r="CV76" i="40"/>
  <c r="CV72" i="40"/>
  <c r="CV407" i="40"/>
  <c r="CV403" i="40"/>
  <c r="CV399" i="40"/>
  <c r="CV395" i="40"/>
  <c r="CV391" i="40"/>
  <c r="CV387" i="40"/>
  <c r="CV383" i="40"/>
  <c r="CV379" i="40"/>
  <c r="CV375" i="40"/>
  <c r="CV371" i="40"/>
  <c r="CV367" i="40"/>
  <c r="CV363" i="40"/>
  <c r="CV359" i="40"/>
  <c r="CV355" i="40"/>
  <c r="CV351" i="40"/>
  <c r="CV347" i="40"/>
  <c r="CV343" i="40"/>
  <c r="CV339" i="40"/>
  <c r="CV335" i="40"/>
  <c r="CV331" i="40"/>
  <c r="CV327" i="40"/>
  <c r="CV323" i="40"/>
  <c r="CV319" i="40"/>
  <c r="CV315" i="40"/>
  <c r="CV311" i="40"/>
  <c r="CV307" i="40"/>
  <c r="CV303" i="40"/>
  <c r="CV299" i="40"/>
  <c r="CV295" i="40"/>
  <c r="CV291" i="40"/>
  <c r="CV287" i="40"/>
  <c r="CV283" i="40"/>
  <c r="CV279" i="40"/>
  <c r="CV275" i="40"/>
  <c r="CV271" i="40"/>
  <c r="CV267" i="40"/>
  <c r="CV263" i="40"/>
  <c r="CV259" i="40"/>
  <c r="CV255" i="40"/>
  <c r="CV251" i="40"/>
  <c r="CV247" i="40"/>
  <c r="CV243" i="40"/>
  <c r="CV239" i="40"/>
  <c r="CV235" i="40"/>
  <c r="CV231" i="40"/>
  <c r="CV227" i="40"/>
  <c r="CV223" i="40"/>
  <c r="CV219" i="40"/>
  <c r="CV215" i="40"/>
  <c r="CV211" i="40"/>
  <c r="CV406" i="40"/>
  <c r="CV398" i="40"/>
  <c r="CV390" i="40"/>
  <c r="CV382" i="40"/>
  <c r="CV374" i="40"/>
  <c r="CV366" i="40"/>
  <c r="CV358" i="40"/>
  <c r="CV350" i="40"/>
  <c r="CV342" i="40"/>
  <c r="CV334" i="40"/>
  <c r="CV326" i="40"/>
  <c r="CV318" i="40"/>
  <c r="CV310" i="40"/>
  <c r="CV302" i="40"/>
  <c r="CV294" i="40"/>
  <c r="CV286" i="40"/>
  <c r="CV278" i="40"/>
  <c r="CV270" i="40"/>
  <c r="CV262" i="40"/>
  <c r="CV254" i="40"/>
  <c r="CV246" i="40"/>
  <c r="CV238" i="40"/>
  <c r="CV230" i="40"/>
  <c r="CV222" i="40"/>
  <c r="CV214" i="40"/>
  <c r="CV207" i="40"/>
  <c r="CV202" i="40"/>
  <c r="CV197" i="40"/>
  <c r="CV191" i="40"/>
  <c r="CV186" i="40"/>
  <c r="CV181" i="40"/>
  <c r="CV175" i="40"/>
  <c r="CV170" i="40"/>
  <c r="CV165" i="40"/>
  <c r="CV159" i="40"/>
  <c r="CV154" i="40"/>
  <c r="CV149" i="40"/>
  <c r="CV143" i="40"/>
  <c r="CV138" i="40"/>
  <c r="CV133" i="40"/>
  <c r="CV127" i="40"/>
  <c r="CV122" i="40"/>
  <c r="CV117" i="40"/>
  <c r="CV111" i="40"/>
  <c r="CV106" i="40"/>
  <c r="CV101" i="40"/>
  <c r="CV95" i="40"/>
  <c r="CV90" i="40"/>
  <c r="CV85" i="40"/>
  <c r="CV79" i="40"/>
  <c r="CV74" i="40"/>
  <c r="CV69" i="40"/>
  <c r="CV65" i="40"/>
  <c r="CV61" i="40"/>
  <c r="CV57" i="40"/>
  <c r="CV53" i="40"/>
  <c r="CV49" i="40"/>
  <c r="CV45" i="40"/>
  <c r="CV41" i="40"/>
  <c r="CV37" i="40"/>
  <c r="CV33" i="40"/>
  <c r="CV29" i="40"/>
  <c r="CV25" i="40"/>
  <c r="CV21" i="40"/>
  <c r="CV17" i="40"/>
  <c r="CV13" i="40"/>
  <c r="CV9" i="40"/>
  <c r="CV5" i="40"/>
  <c r="CV83" i="40"/>
  <c r="CV73" i="40"/>
  <c r="CV68" i="40"/>
  <c r="CV60" i="40"/>
  <c r="CV52" i="40"/>
  <c r="CV44" i="40"/>
  <c r="CV36" i="40"/>
  <c r="CV28" i="40"/>
  <c r="CV16" i="40"/>
  <c r="CV8" i="40"/>
  <c r="CV402" i="40"/>
  <c r="CV378" i="40"/>
  <c r="CV370" i="40"/>
  <c r="CV346" i="40"/>
  <c r="CV322" i="40"/>
  <c r="CV314" i="40"/>
  <c r="CV290" i="40"/>
  <c r="CV274" i="40"/>
  <c r="CV258" i="40"/>
  <c r="CV234" i="40"/>
  <c r="CV226" i="40"/>
  <c r="CV205" i="40"/>
  <c r="CV189" i="40"/>
  <c r="CV183" i="40"/>
  <c r="CV167" i="40"/>
  <c r="CV157" i="40"/>
  <c r="CV146" i="40"/>
  <c r="CV130" i="40"/>
  <c r="CV125" i="40"/>
  <c r="CV109" i="40"/>
  <c r="CV405" i="40"/>
  <c r="CV397" i="40"/>
  <c r="CV389" i="40"/>
  <c r="CV381" i="40"/>
  <c r="CV373" i="40"/>
  <c r="CV365" i="40"/>
  <c r="CV357" i="40"/>
  <c r="CV349" i="40"/>
  <c r="CV341" i="40"/>
  <c r="CV333" i="40"/>
  <c r="CV325" i="40"/>
  <c r="CV317" i="40"/>
  <c r="CV309" i="40"/>
  <c r="CV301" i="40"/>
  <c r="CV293" i="40"/>
  <c r="CV285" i="40"/>
  <c r="CV277" i="40"/>
  <c r="CV269" i="40"/>
  <c r="CV261" i="40"/>
  <c r="CV253" i="40"/>
  <c r="CV245" i="40"/>
  <c r="CV237" i="40"/>
  <c r="CV229" i="40"/>
  <c r="CV221" i="40"/>
  <c r="CV213" i="40"/>
  <c r="CV206" i="40"/>
  <c r="CV201" i="40"/>
  <c r="CV195" i="40"/>
  <c r="CV190" i="40"/>
  <c r="CV185" i="40"/>
  <c r="CV179" i="40"/>
  <c r="CV174" i="40"/>
  <c r="CV169" i="40"/>
  <c r="CV163" i="40"/>
  <c r="CV158" i="40"/>
  <c r="CV153" i="40"/>
  <c r="CV147" i="40"/>
  <c r="CV142" i="40"/>
  <c r="CV137" i="40"/>
  <c r="CV131" i="40"/>
  <c r="CV126" i="40"/>
  <c r="CV121" i="40"/>
  <c r="CV115" i="40"/>
  <c r="CV110" i="40"/>
  <c r="CV105" i="40"/>
  <c r="CV99" i="40"/>
  <c r="CV94" i="40"/>
  <c r="CV89" i="40"/>
  <c r="CV78" i="40"/>
  <c r="CV64" i="40"/>
  <c r="CV56" i="40"/>
  <c r="CV40" i="40"/>
  <c r="CV24" i="40"/>
  <c r="CV12" i="40"/>
  <c r="CV394" i="40"/>
  <c r="CV354" i="40"/>
  <c r="CV330" i="40"/>
  <c r="CV306" i="40"/>
  <c r="CV266" i="40"/>
  <c r="CV242" i="40"/>
  <c r="CV210" i="40"/>
  <c r="CV194" i="40"/>
  <c r="CV173" i="40"/>
  <c r="CV151" i="40"/>
  <c r="CV135" i="40"/>
  <c r="CV114" i="40"/>
  <c r="CV401" i="40"/>
  <c r="CV393" i="40"/>
  <c r="CV385" i="40"/>
  <c r="CV377" i="40"/>
  <c r="CV369" i="40"/>
  <c r="CV361" i="40"/>
  <c r="CV353" i="40"/>
  <c r="CV345" i="40"/>
  <c r="CV337" i="40"/>
  <c r="CV329" i="40"/>
  <c r="CV321" i="40"/>
  <c r="CV313" i="40"/>
  <c r="CV305" i="40"/>
  <c r="CV297" i="40"/>
  <c r="CV289" i="40"/>
  <c r="CV281" i="40"/>
  <c r="CV273" i="40"/>
  <c r="CV265" i="40"/>
  <c r="CV257" i="40"/>
  <c r="CV249" i="40"/>
  <c r="CV241" i="40"/>
  <c r="CV233" i="40"/>
  <c r="CV225" i="40"/>
  <c r="CV217" i="40"/>
  <c r="CV209" i="40"/>
  <c r="CV203" i="40"/>
  <c r="CV198" i="40"/>
  <c r="CV193" i="40"/>
  <c r="CV187" i="40"/>
  <c r="CV182" i="40"/>
  <c r="CV177" i="40"/>
  <c r="CV171" i="40"/>
  <c r="CV166" i="40"/>
  <c r="CV161" i="40"/>
  <c r="CV155" i="40"/>
  <c r="CV150" i="40"/>
  <c r="CV145" i="40"/>
  <c r="CV139" i="40"/>
  <c r="CV134" i="40"/>
  <c r="CV129" i="40"/>
  <c r="CV123" i="40"/>
  <c r="CV118" i="40"/>
  <c r="CV113" i="40"/>
  <c r="CV107" i="40"/>
  <c r="CV102" i="40"/>
  <c r="CV97" i="40"/>
  <c r="CV91" i="40"/>
  <c r="CV86" i="40"/>
  <c r="CV81" i="40"/>
  <c r="CV75" i="40"/>
  <c r="CV70" i="40"/>
  <c r="CV66" i="40"/>
  <c r="CV62" i="40"/>
  <c r="CV58" i="40"/>
  <c r="CV54" i="40"/>
  <c r="CV50" i="40"/>
  <c r="CV46" i="40"/>
  <c r="CV42" i="40"/>
  <c r="CV38" i="40"/>
  <c r="CV34" i="40"/>
  <c r="CV30" i="40"/>
  <c r="CV26" i="40"/>
  <c r="CV22" i="40"/>
  <c r="CV18" i="40"/>
  <c r="CV14" i="40"/>
  <c r="CV10" i="40"/>
  <c r="CV6" i="40"/>
  <c r="CV48" i="40"/>
  <c r="CV32" i="40"/>
  <c r="CV20" i="40"/>
  <c r="CV4" i="40"/>
  <c r="CV386" i="40"/>
  <c r="CV362" i="40"/>
  <c r="CV338" i="40"/>
  <c r="CV298" i="40"/>
  <c r="CV282" i="40"/>
  <c r="CV250" i="40"/>
  <c r="CV218" i="40"/>
  <c r="CV199" i="40"/>
  <c r="CV178" i="40"/>
  <c r="CV162" i="40"/>
  <c r="CV141" i="40"/>
  <c r="CV119" i="40"/>
  <c r="CV103" i="40"/>
  <c r="CV82" i="40"/>
  <c r="CV63" i="40"/>
  <c r="CV47" i="40"/>
  <c r="CV31" i="40"/>
  <c r="CV98" i="40"/>
  <c r="CV27" i="40"/>
  <c r="CV93" i="40"/>
  <c r="CV71" i="40"/>
  <c r="CV55" i="40"/>
  <c r="CV39" i="40"/>
  <c r="CV23" i="40"/>
  <c r="CV7" i="40"/>
  <c r="CV51" i="40"/>
  <c r="CV19" i="40"/>
  <c r="CV3" i="40"/>
  <c r="CW3" i="40" s="1"/>
  <c r="CV77" i="40"/>
  <c r="CV43" i="40"/>
  <c r="CV11" i="40"/>
  <c r="CV87" i="40"/>
  <c r="CV67" i="40"/>
  <c r="CV35" i="40"/>
  <c r="CV15" i="40"/>
  <c r="CV59" i="40"/>
  <c r="CL105" i="40"/>
  <c r="CL347" i="40"/>
  <c r="CM347" i="40" s="1"/>
  <c r="CL62" i="40"/>
  <c r="CL7" i="40"/>
  <c r="CL30" i="40"/>
  <c r="CM30" i="40" s="1"/>
  <c r="CL114" i="40"/>
  <c r="CM114" i="40" s="1"/>
  <c r="CL17" i="40"/>
  <c r="CM17" i="40" s="1"/>
  <c r="CL288" i="40"/>
  <c r="CM288" i="40" s="1"/>
  <c r="CL36" i="40"/>
  <c r="CM36" i="40" s="1"/>
  <c r="CL127" i="40"/>
  <c r="CM127" i="40" s="1"/>
  <c r="CL179" i="40"/>
  <c r="CL217" i="40"/>
  <c r="CL277" i="40"/>
  <c r="CM277" i="40" s="1"/>
  <c r="CL314" i="40"/>
  <c r="CM314" i="40" s="1"/>
  <c r="CL337" i="40"/>
  <c r="CM337" i="40" s="1"/>
  <c r="CL9" i="40"/>
  <c r="CM9" i="40" s="1"/>
  <c r="CL57" i="40"/>
  <c r="CM57" i="40" s="1"/>
  <c r="CL71" i="40"/>
  <c r="CM71" i="40" s="1"/>
  <c r="CL102" i="40"/>
  <c r="CM102" i="40" s="1"/>
  <c r="CL144" i="40"/>
  <c r="CM144" i="40" s="1"/>
  <c r="CL173" i="40"/>
  <c r="CM173" i="40" s="1"/>
  <c r="CL192" i="40"/>
  <c r="CL236" i="40"/>
  <c r="CL274" i="40"/>
  <c r="CM274" i="40" s="1"/>
  <c r="CL295" i="40"/>
  <c r="CM295" i="40" s="1"/>
  <c r="CL315" i="40"/>
  <c r="CM315" i="40" s="1"/>
  <c r="CL353" i="40"/>
  <c r="CM353" i="40" s="1"/>
  <c r="CL400" i="40"/>
  <c r="CM400" i="40" s="1"/>
  <c r="CL267" i="40"/>
  <c r="CL8" i="40"/>
  <c r="CL39" i="40"/>
  <c r="CL108" i="40"/>
  <c r="CM108" i="40" s="1"/>
  <c r="CL172" i="40"/>
  <c r="CM172" i="40" s="1"/>
  <c r="CL251" i="40"/>
  <c r="CM251" i="40" s="1"/>
  <c r="CL294" i="40"/>
  <c r="CM294" i="40" s="1"/>
  <c r="CL352" i="40"/>
  <c r="CM352" i="40" s="1"/>
  <c r="CL19" i="40"/>
  <c r="CM19" i="40" s="1"/>
  <c r="CL12" i="40"/>
  <c r="CM12" i="40" s="1"/>
  <c r="CL42" i="40"/>
  <c r="CM42" i="40" s="1"/>
  <c r="CL67" i="40"/>
  <c r="CM67" i="40" s="1"/>
  <c r="CL106" i="40"/>
  <c r="CM106" i="40" s="1"/>
  <c r="CL142" i="40"/>
  <c r="CM142" i="40" s="1"/>
  <c r="CL184" i="40"/>
  <c r="CL199" i="40"/>
  <c r="CL215" i="40"/>
  <c r="CM215" i="40" s="1"/>
  <c r="CL239" i="40"/>
  <c r="CL266" i="40"/>
  <c r="CM266" i="40" s="1"/>
  <c r="CL319" i="40"/>
  <c r="CM319" i="40" s="1"/>
  <c r="CL359" i="40"/>
  <c r="CM359" i="40" s="1"/>
  <c r="CL23" i="40"/>
  <c r="CM23" i="40" s="1"/>
  <c r="CL121" i="40"/>
  <c r="CM121" i="40" s="1"/>
  <c r="CL206" i="40"/>
  <c r="CM206" i="40" s="1"/>
  <c r="CL14" i="40"/>
  <c r="CM14" i="40" s="1"/>
  <c r="CL101" i="40"/>
  <c r="CM101" i="40" s="1"/>
  <c r="CL164" i="40"/>
  <c r="CM164" i="40" s="1"/>
  <c r="CL197" i="40"/>
  <c r="CL259" i="40"/>
  <c r="CM259" i="40" s="1"/>
  <c r="CL298" i="40"/>
  <c r="CM298" i="40" s="1"/>
  <c r="CL331" i="40"/>
  <c r="CM331" i="40" s="1"/>
  <c r="CL365" i="40"/>
  <c r="CM365" i="40" s="1"/>
  <c r="CL44" i="40"/>
  <c r="CM44" i="40" s="1"/>
  <c r="CL66" i="40"/>
  <c r="CM66" i="40" s="1"/>
  <c r="CL92" i="40"/>
  <c r="CM92" i="40" s="1"/>
  <c r="CL154" i="40"/>
  <c r="CM154" i="40" s="1"/>
  <c r="CL13" i="40"/>
  <c r="CM13" i="40" s="1"/>
  <c r="CL79" i="40"/>
  <c r="CM79" i="40" s="1"/>
  <c r="CL116" i="40"/>
  <c r="CM116" i="40" s="1"/>
  <c r="CL187" i="40"/>
  <c r="CM187" i="40" s="1"/>
  <c r="CL330" i="40"/>
  <c r="CM330" i="40" s="1"/>
  <c r="CL83" i="40"/>
  <c r="CM83" i="40" s="1"/>
  <c r="CL143" i="40"/>
  <c r="CM143" i="40" s="1"/>
  <c r="CL182" i="40"/>
  <c r="CL220" i="40"/>
  <c r="CL297" i="40"/>
  <c r="CM297" i="40" s="1"/>
  <c r="CL323" i="40"/>
  <c r="CM323" i="40" s="1"/>
  <c r="CL357" i="40"/>
  <c r="CM357" i="40" s="1"/>
  <c r="CL21" i="40"/>
  <c r="CM21" i="40" s="1"/>
  <c r="CL59" i="40"/>
  <c r="CM59" i="40" s="1"/>
  <c r="CL84" i="40"/>
  <c r="CM84" i="40" s="1"/>
  <c r="CL112" i="40"/>
  <c r="CM112" i="40" s="1"/>
  <c r="CL149" i="40"/>
  <c r="CM149" i="40" s="1"/>
  <c r="CL175" i="40"/>
  <c r="CM175" i="40" s="1"/>
  <c r="CL210" i="40"/>
  <c r="CL238" i="40"/>
  <c r="CM238" i="40" s="1"/>
  <c r="CL281" i="40"/>
  <c r="CM281" i="40" s="1"/>
  <c r="CL303" i="40"/>
  <c r="CM303" i="40" s="1"/>
  <c r="CL324" i="40"/>
  <c r="CL358" i="40"/>
  <c r="CM358" i="40" s="1"/>
  <c r="CL200" i="40"/>
  <c r="CL279" i="40"/>
  <c r="CM279" i="40" s="1"/>
  <c r="CL18" i="40"/>
  <c r="CM18" i="40" s="1"/>
  <c r="CL65" i="40"/>
  <c r="CM65" i="40" s="1"/>
  <c r="CL122" i="40"/>
  <c r="CL188" i="40"/>
  <c r="CM188" i="40" s="1"/>
  <c r="CL276" i="40"/>
  <c r="CM276" i="40" s="1"/>
  <c r="CL318" i="40"/>
  <c r="CM318" i="40" s="1"/>
  <c r="CL362" i="40"/>
  <c r="CM362" i="40" s="1"/>
  <c r="CL25" i="40"/>
  <c r="CL22" i="40"/>
  <c r="CM22" i="40" s="1"/>
  <c r="CL45" i="40"/>
  <c r="CL72" i="40"/>
  <c r="CM72" i="40" s="1"/>
  <c r="CL113" i="40"/>
  <c r="CL159" i="40"/>
  <c r="CM159" i="40" s="1"/>
  <c r="CL186" i="40"/>
  <c r="CM186" i="40" s="1"/>
  <c r="CL208" i="40"/>
  <c r="CL222" i="40"/>
  <c r="CM222" i="40" s="1"/>
  <c r="CL247" i="40"/>
  <c r="CL282" i="40"/>
  <c r="CL325" i="40"/>
  <c r="CL401" i="40"/>
  <c r="CM401" i="40" s="1"/>
  <c r="CL86" i="40"/>
  <c r="CM86" i="40" s="1"/>
  <c r="CL124" i="40"/>
  <c r="CM124" i="40" s="1"/>
  <c r="CL180" i="40"/>
  <c r="CM180" i="40" s="1"/>
  <c r="CL27" i="40"/>
  <c r="CM27" i="40" s="1"/>
  <c r="CL24" i="40"/>
  <c r="CM24" i="40" s="1"/>
  <c r="CL268" i="40"/>
  <c r="CL51" i="40"/>
  <c r="CM51" i="40" s="1"/>
  <c r="CL158" i="40"/>
  <c r="CM158" i="40" s="1"/>
  <c r="CL250" i="40"/>
  <c r="CL307" i="40"/>
  <c r="CM307" i="40" s="1"/>
  <c r="CL363" i="40"/>
  <c r="CM363" i="40" s="1"/>
  <c r="CL313" i="40"/>
  <c r="CM313" i="40" s="1"/>
  <c r="CL88" i="40"/>
  <c r="CM88" i="40" s="1"/>
  <c r="CL201" i="40"/>
  <c r="CM201" i="40" s="1"/>
  <c r="CL320" i="40"/>
  <c r="CL49" i="40"/>
  <c r="CM49" i="40" s="1"/>
  <c r="CL55" i="40"/>
  <c r="CM55" i="40" s="1"/>
  <c r="CL120" i="40"/>
  <c r="CM120" i="40" s="1"/>
  <c r="CL191" i="40"/>
  <c r="CL224" i="40"/>
  <c r="CM224" i="40" s="1"/>
  <c r="CL287" i="40"/>
  <c r="CM287" i="40" s="1"/>
  <c r="CL107" i="40"/>
  <c r="CM107" i="40" s="1"/>
  <c r="CL117" i="40"/>
  <c r="CM117" i="40" s="1"/>
  <c r="CL309" i="40"/>
  <c r="CL68" i="40"/>
  <c r="CM68" i="40" s="1"/>
  <c r="CL183" i="40"/>
  <c r="CM183" i="40" s="1"/>
  <c r="CL252" i="40"/>
  <c r="CM252" i="40" s="1"/>
  <c r="CL310" i="40"/>
  <c r="CL369" i="40"/>
  <c r="CM369" i="40" s="1"/>
  <c r="CL388" i="40"/>
  <c r="CM388" i="40" s="1"/>
  <c r="CL95" i="40"/>
  <c r="CM95" i="40" s="1"/>
  <c r="CL216" i="40"/>
  <c r="CM216" i="40" s="1"/>
  <c r="CL348" i="40"/>
  <c r="CM348" i="40" s="1"/>
  <c r="CL53" i="40"/>
  <c r="CM53" i="40" s="1"/>
  <c r="CL60" i="40"/>
  <c r="CM60" i="40" s="1"/>
  <c r="CL126" i="40"/>
  <c r="CL195" i="40"/>
  <c r="CM195" i="40" s="1"/>
  <c r="CL237" i="40"/>
  <c r="CM237" i="40" s="1"/>
  <c r="CL299" i="40"/>
  <c r="CM299" i="40" s="1"/>
  <c r="CL134" i="40"/>
  <c r="CM134" i="40" s="1"/>
  <c r="CL170" i="40"/>
  <c r="CM170" i="40" s="1"/>
  <c r="CL334" i="40"/>
  <c r="CL94" i="40"/>
  <c r="CM94" i="40" s="1"/>
  <c r="CL218" i="40"/>
  <c r="CM218" i="40" s="1"/>
  <c r="CL286" i="40"/>
  <c r="CM286" i="40" s="1"/>
  <c r="CL332" i="40"/>
  <c r="CM332" i="40" s="1"/>
  <c r="CL244" i="40"/>
  <c r="CM244" i="40" s="1"/>
  <c r="CL31" i="40"/>
  <c r="CM31" i="40" s="1"/>
  <c r="CL135" i="40"/>
  <c r="CM135" i="40" s="1"/>
  <c r="CL285" i="40"/>
  <c r="CM285" i="40" s="1"/>
  <c r="CL370" i="40"/>
  <c r="CM370" i="40" s="1"/>
  <c r="CL26" i="40"/>
  <c r="CL85" i="40"/>
  <c r="CL176" i="40"/>
  <c r="CM176" i="40" s="1"/>
  <c r="CL212" i="40"/>
  <c r="CM212" i="40" s="1"/>
  <c r="CL249" i="40"/>
  <c r="CM249" i="40" s="1"/>
  <c r="CL333" i="40"/>
  <c r="CM333" i="40" s="1"/>
  <c r="CL234" i="40"/>
  <c r="CL207" i="40"/>
  <c r="CM207" i="40" s="1"/>
  <c r="CL393" i="40"/>
  <c r="CM393" i="40" s="1"/>
  <c r="CL128" i="40"/>
  <c r="CL221" i="40"/>
  <c r="CM221" i="40" s="1"/>
  <c r="CL290" i="40"/>
  <c r="CM290" i="40" s="1"/>
  <c r="CL338" i="40"/>
  <c r="CM338" i="40" s="1"/>
  <c r="CL262" i="40"/>
  <c r="CM262" i="40" s="1"/>
  <c r="CL34" i="40"/>
  <c r="CM34" i="40" s="1"/>
  <c r="CL167" i="40"/>
  <c r="CM167" i="40" s="1"/>
  <c r="CL293" i="40"/>
  <c r="CL15" i="40"/>
  <c r="CM15" i="40" s="1"/>
  <c r="CL38" i="40"/>
  <c r="CM38" i="40" s="1"/>
  <c r="CL99" i="40"/>
  <c r="CL181" i="40"/>
  <c r="CM181" i="40" s="1"/>
  <c r="CL219" i="40"/>
  <c r="CL253" i="40"/>
  <c r="CM253" i="40" s="1"/>
  <c r="CL339" i="40"/>
  <c r="CM339" i="40" s="1"/>
  <c r="CL3" i="40"/>
  <c r="CM3" i="40" s="1"/>
  <c r="CL28" i="40"/>
  <c r="CM28" i="40" s="1"/>
  <c r="CL280" i="40"/>
  <c r="CM280" i="40" s="1"/>
  <c r="CL165" i="40"/>
  <c r="CL399" i="40"/>
  <c r="CM399" i="40" s="1"/>
  <c r="CL50" i="40"/>
  <c r="CM50" i="40" s="1"/>
  <c r="CL230" i="40"/>
  <c r="CL118" i="40"/>
  <c r="CL301" i="40"/>
  <c r="CL153" i="40"/>
  <c r="CM153" i="40" s="1"/>
  <c r="CL367" i="40"/>
  <c r="CM367" i="40" s="1"/>
  <c r="CL64" i="40"/>
  <c r="CL326" i="40"/>
  <c r="CM326" i="40" s="1"/>
  <c r="CL145" i="40"/>
  <c r="CM145" i="40" s="1"/>
  <c r="CL233" i="40"/>
  <c r="CM233" i="40" s="1"/>
  <c r="CL178" i="40"/>
  <c r="CL397" i="40"/>
  <c r="CM397" i="40" s="1"/>
  <c r="CL258" i="40"/>
  <c r="CL133" i="40"/>
  <c r="CL161" i="40"/>
  <c r="CL306" i="40"/>
  <c r="CM306" i="40" s="1"/>
  <c r="CL162" i="40"/>
  <c r="CM162" i="40" s="1"/>
  <c r="CL56" i="40"/>
  <c r="CM56" i="40" s="1"/>
  <c r="CL385" i="40"/>
  <c r="CM385" i="40" s="1"/>
  <c r="CL305" i="40"/>
  <c r="CM305" i="40" s="1"/>
  <c r="CL46" i="40"/>
  <c r="CM46" i="40" s="1"/>
  <c r="CL132" i="40"/>
  <c r="CL245" i="40"/>
  <c r="CM245" i="40" s="1"/>
  <c r="CL225" i="40"/>
  <c r="CM225" i="40" s="1"/>
  <c r="CL136" i="40"/>
  <c r="CL394" i="40"/>
  <c r="CL231" i="40"/>
  <c r="CM231" i="40" s="1"/>
  <c r="CL130" i="40"/>
  <c r="CL125" i="40"/>
  <c r="CM125" i="40" s="1"/>
  <c r="CL302" i="40"/>
  <c r="CL160" i="40"/>
  <c r="CM160" i="40" s="1"/>
  <c r="CL47" i="40"/>
  <c r="CL382" i="40"/>
  <c r="CM382" i="40" s="1"/>
  <c r="CL291" i="40"/>
  <c r="CL41" i="40"/>
  <c r="CM41" i="40" s="1"/>
  <c r="CL350" i="40"/>
  <c r="CM350" i="40" s="1"/>
  <c r="CL241" i="40"/>
  <c r="CL137" i="40"/>
  <c r="CM137" i="40" s="1"/>
  <c r="CL89" i="40"/>
  <c r="CM89" i="40" s="1"/>
  <c r="CL366" i="40"/>
  <c r="CM366" i="40" s="1"/>
  <c r="CL96" i="40"/>
  <c r="CM96" i="40" s="1"/>
  <c r="CL384" i="40"/>
  <c r="CM384" i="40" s="1"/>
  <c r="CL392" i="40"/>
  <c r="CM392" i="40" s="1"/>
  <c r="CL275" i="40"/>
  <c r="CM275" i="40" s="1"/>
  <c r="CL146" i="40"/>
  <c r="CM146" i="40" s="1"/>
  <c r="CL228" i="40"/>
  <c r="CM228" i="40" s="1"/>
  <c r="CL356" i="40"/>
  <c r="CM356" i="40" s="1"/>
  <c r="CL227" i="40"/>
  <c r="CM227" i="40" s="1"/>
  <c r="CL374" i="40"/>
  <c r="CM374" i="40" s="1"/>
  <c r="CL349" i="40"/>
  <c r="CM349" i="40" s="1"/>
  <c r="CL254" i="40"/>
  <c r="CL177" i="40"/>
  <c r="CM177" i="40" s="1"/>
  <c r="CL90" i="40"/>
  <c r="CM90" i="40" s="1"/>
  <c r="CL156" i="40"/>
  <c r="CL351" i="40"/>
  <c r="CM351" i="40" s="1"/>
  <c r="CL152" i="40"/>
  <c r="CL403" i="40"/>
  <c r="CM403" i="40" s="1"/>
  <c r="CL82" i="40"/>
  <c r="CM82" i="40" s="1"/>
  <c r="CL263" i="40"/>
  <c r="CM263" i="40" s="1"/>
  <c r="CL380" i="40"/>
  <c r="CM380" i="40" s="1"/>
  <c r="CL296" i="40"/>
  <c r="CL11" i="40"/>
  <c r="CL308" i="40"/>
  <c r="CL402" i="40"/>
  <c r="CM402" i="40" s="1"/>
  <c r="CL196" i="40"/>
  <c r="CM196" i="40" s="1"/>
  <c r="CL115" i="40"/>
  <c r="CM115" i="40" s="1"/>
  <c r="CL375" i="40"/>
  <c r="CM375" i="40" s="1"/>
  <c r="CL131" i="40"/>
  <c r="CL48" i="40"/>
  <c r="CM48" i="40" s="1"/>
  <c r="CL87" i="40"/>
  <c r="CL292" i="40"/>
  <c r="CL151" i="40"/>
  <c r="CL5" i="40"/>
  <c r="CL372" i="40"/>
  <c r="CM372" i="40" s="1"/>
  <c r="CL264" i="40"/>
  <c r="CM264" i="40" s="1"/>
  <c r="CL396" i="40"/>
  <c r="CL202" i="40"/>
  <c r="CL327" i="40"/>
  <c r="CM327" i="40" s="1"/>
  <c r="CL141" i="40"/>
  <c r="CM141" i="40" s="1"/>
  <c r="CL104" i="40"/>
  <c r="CL371" i="40"/>
  <c r="CM371" i="40" s="1"/>
  <c r="CL111" i="40"/>
  <c r="CL6" i="40"/>
  <c r="CM6" i="40" s="1"/>
  <c r="CL69" i="40"/>
  <c r="CM69" i="40" s="1"/>
  <c r="CL283" i="40"/>
  <c r="CM283" i="40" s="1"/>
  <c r="CL148" i="40"/>
  <c r="CM148" i="40" s="1"/>
  <c r="CL346" i="40"/>
  <c r="CM346" i="40" s="1"/>
  <c r="CL364" i="40"/>
  <c r="CL232" i="40"/>
  <c r="CL386" i="40"/>
  <c r="CM386" i="40" s="1"/>
  <c r="CL168" i="40"/>
  <c r="CL76" i="40"/>
  <c r="CM76" i="40" s="1"/>
  <c r="CL61" i="40"/>
  <c r="CL35" i="40"/>
  <c r="CM35" i="40" s="1"/>
  <c r="CL304" i="40"/>
  <c r="CL29" i="40"/>
  <c r="CM29" i="40" s="1"/>
  <c r="CL329" i="40"/>
  <c r="CL368" i="40"/>
  <c r="CM368" i="40" s="1"/>
  <c r="CL205" i="40"/>
  <c r="CM205" i="40" s="1"/>
  <c r="CL103" i="40"/>
  <c r="CM103" i="40" s="1"/>
  <c r="CL404" i="40"/>
  <c r="CM404" i="40" s="1"/>
  <c r="CL336" i="40"/>
  <c r="CL189" i="40"/>
  <c r="CL407" i="40"/>
  <c r="CM407" i="40" s="1"/>
  <c r="CL240" i="40"/>
  <c r="CM240" i="40" s="1"/>
  <c r="CL213" i="40"/>
  <c r="CM213" i="40" s="1"/>
  <c r="CL171" i="40"/>
  <c r="CM171" i="40" s="1"/>
  <c r="CL317" i="40"/>
  <c r="CM317" i="40" s="1"/>
  <c r="CL100" i="40"/>
  <c r="CL214" i="40"/>
  <c r="CM214" i="40" s="1"/>
  <c r="CL405" i="40"/>
  <c r="CL98" i="40"/>
  <c r="CM98" i="40" s="1"/>
  <c r="CL381" i="40"/>
  <c r="CM381" i="40" s="1"/>
  <c r="CL54" i="40"/>
  <c r="CL209" i="40"/>
  <c r="CL256" i="40"/>
  <c r="CL387" i="40"/>
  <c r="CM387" i="40" s="1"/>
  <c r="CL272" i="40"/>
  <c r="CM272" i="40" s="1"/>
  <c r="CL140" i="40"/>
  <c r="CM140" i="40" s="1"/>
  <c r="CL97" i="40"/>
  <c r="CL78" i="40"/>
  <c r="CM78" i="40" s="1"/>
  <c r="CL321" i="40"/>
  <c r="CM321" i="40" s="1"/>
  <c r="CL40" i="40"/>
  <c r="CM40" i="40" s="1"/>
  <c r="CL354" i="40"/>
  <c r="CM354" i="40" s="1"/>
  <c r="CL377" i="40"/>
  <c r="CM377" i="40" s="1"/>
  <c r="CL248" i="40"/>
  <c r="CM248" i="40" s="1"/>
  <c r="CL129" i="40"/>
  <c r="CM129" i="40" s="1"/>
  <c r="CL58" i="40"/>
  <c r="CM58" i="40" s="1"/>
  <c r="CL344" i="40"/>
  <c r="CM344" i="40" s="1"/>
  <c r="CL203" i="40"/>
  <c r="CL147" i="40"/>
  <c r="CM147" i="40" s="1"/>
  <c r="CL398" i="40"/>
  <c r="CM398" i="40" s="1"/>
  <c r="CL361" i="40"/>
  <c r="CM361" i="40" s="1"/>
  <c r="CL77" i="40"/>
  <c r="CM77" i="40" s="1"/>
  <c r="CL74" i="40"/>
  <c r="CM74" i="40" s="1"/>
  <c r="CL312" i="40"/>
  <c r="CM312" i="40" s="1"/>
  <c r="CL32" i="40"/>
  <c r="CL345" i="40"/>
  <c r="CL373" i="40"/>
  <c r="CM373" i="40" s="1"/>
  <c r="CL242" i="40"/>
  <c r="CM242" i="40" s="1"/>
  <c r="CL109" i="40"/>
  <c r="CM109" i="40" s="1"/>
  <c r="CL406" i="40"/>
  <c r="CM406" i="40" s="1"/>
  <c r="CL343" i="40"/>
  <c r="CM343" i="40" s="1"/>
  <c r="CL193" i="40"/>
  <c r="CM193" i="40" s="1"/>
  <c r="CL119" i="40"/>
  <c r="CM119" i="40" s="1"/>
  <c r="CL383" i="40"/>
  <c r="CM383" i="40" s="1"/>
  <c r="CL261" i="40"/>
  <c r="CL260" i="40"/>
  <c r="CL255" i="40"/>
  <c r="CM255" i="40" s="1"/>
  <c r="CL271" i="40"/>
  <c r="CM271" i="40" s="1"/>
  <c r="CL163" i="40"/>
  <c r="CM163" i="40" s="1"/>
  <c r="CL229" i="40"/>
  <c r="CM229" i="40" s="1"/>
  <c r="CL328" i="40"/>
  <c r="CL166" i="40"/>
  <c r="CL70" i="40"/>
  <c r="CM70" i="40" s="1"/>
  <c r="CL389" i="40"/>
  <c r="CM389" i="40" s="1"/>
  <c r="CL311" i="40"/>
  <c r="CM311" i="40" s="1"/>
  <c r="CL52" i="40"/>
  <c r="CL150" i="40"/>
  <c r="CL33" i="40"/>
  <c r="CM33" i="40" s="1"/>
  <c r="CL20" i="40"/>
  <c r="CM20" i="40" s="1"/>
  <c r="CL80" i="40"/>
  <c r="CM80" i="40" s="1"/>
  <c r="CL194" i="40"/>
  <c r="CM194" i="40" s="1"/>
  <c r="CL138" i="40"/>
  <c r="CM138" i="40" s="1"/>
  <c r="CL174" i="40"/>
  <c r="CL246" i="40"/>
  <c r="CM246" i="40" s="1"/>
  <c r="CL235" i="40"/>
  <c r="CM235" i="40" s="1"/>
  <c r="CL335" i="40"/>
  <c r="CM335" i="40" s="1"/>
  <c r="CL4" i="40"/>
  <c r="CM4" i="40" s="1"/>
  <c r="CL379" i="40"/>
  <c r="CM379" i="40" s="1"/>
  <c r="CL139" i="40"/>
  <c r="CM139" i="40" s="1"/>
  <c r="CL376" i="40"/>
  <c r="CL10" i="40"/>
  <c r="CM10" i="40" s="1"/>
  <c r="CL342" i="40"/>
  <c r="CL355" i="40"/>
  <c r="CM355" i="40" s="1"/>
  <c r="CL16" i="40"/>
  <c r="CM16" i="40" s="1"/>
  <c r="CL278" i="40"/>
  <c r="CL211" i="40"/>
  <c r="CL270" i="40"/>
  <c r="CM270" i="40" s="1"/>
  <c r="CL360" i="40"/>
  <c r="CM360" i="40" s="1"/>
  <c r="CL190" i="40"/>
  <c r="CM190" i="40" s="1"/>
  <c r="CL81" i="40"/>
  <c r="CM81" i="40" s="1"/>
  <c r="CL395" i="40"/>
  <c r="CM395" i="40" s="1"/>
  <c r="CL322" i="40"/>
  <c r="CM322" i="40" s="1"/>
  <c r="CL91" i="40"/>
  <c r="CM91" i="40" s="1"/>
  <c r="CL204" i="40"/>
  <c r="CM204" i="40" s="1"/>
  <c r="CL226" i="40"/>
  <c r="CM226" i="40" s="1"/>
  <c r="CL269" i="40"/>
  <c r="CM269" i="40" s="1"/>
  <c r="CL341" i="40"/>
  <c r="CM341" i="40" s="1"/>
  <c r="CL289" i="40"/>
  <c r="CL273" i="40"/>
  <c r="CL185" i="40"/>
  <c r="CL257" i="40"/>
  <c r="CM257" i="40" s="1"/>
  <c r="CL340" i="40"/>
  <c r="CL169" i="40"/>
  <c r="CM169" i="40" s="1"/>
  <c r="CL73" i="40"/>
  <c r="CM73" i="40" s="1"/>
  <c r="CL391" i="40"/>
  <c r="CM391" i="40" s="1"/>
  <c r="CL316" i="40"/>
  <c r="CL63" i="40"/>
  <c r="CM63" i="40" s="1"/>
  <c r="CL155" i="40"/>
  <c r="CM155" i="40" s="1"/>
  <c r="CL75" i="40"/>
  <c r="CM75" i="40" s="1"/>
  <c r="CL223" i="40"/>
  <c r="CL123" i="40"/>
  <c r="CL390" i="40"/>
  <c r="CM390" i="40" s="1"/>
  <c r="CL198" i="40"/>
  <c r="CM198" i="40" s="1"/>
  <c r="CL110" i="40"/>
  <c r="CL93" i="40"/>
  <c r="CM93" i="40" s="1"/>
  <c r="CL300" i="40"/>
  <c r="CM300" i="40" s="1"/>
  <c r="CL157" i="40"/>
  <c r="CM157" i="40" s="1"/>
  <c r="CL43" i="40"/>
  <c r="CM43" i="40" s="1"/>
  <c r="CL378" i="40"/>
  <c r="CM378" i="40" s="1"/>
  <c r="CL284" i="40"/>
  <c r="CM284" i="40" s="1"/>
  <c r="CL37" i="40"/>
  <c r="CM37" i="40" s="1"/>
  <c r="CL265" i="40"/>
  <c r="CM265" i="40" s="1"/>
  <c r="CL243" i="40"/>
  <c r="AB144" i="18"/>
  <c r="AB147" i="18"/>
  <c r="AB139" i="18"/>
  <c r="U338" i="1"/>
  <c r="T338" i="1" s="1"/>
  <c r="BW403" i="40" s="1"/>
  <c r="BX403" i="40" s="1"/>
  <c r="N338" i="1"/>
  <c r="M338" i="1" s="1"/>
  <c r="BR94" i="40" s="1"/>
  <c r="BS94" i="40" s="1"/>
  <c r="CH11" i="49"/>
  <c r="CH7" i="49"/>
  <c r="CH14" i="49"/>
  <c r="CH9" i="49"/>
  <c r="CH13" i="49"/>
  <c r="CH8" i="49"/>
  <c r="CH12" i="49"/>
  <c r="CH6" i="49"/>
  <c r="CH10" i="49"/>
  <c r="Y3" i="49"/>
  <c r="G2" i="49"/>
  <c r="CG283" i="40"/>
  <c r="CH283" i="40" s="1"/>
  <c r="CG263" i="40"/>
  <c r="CH263" i="40" s="1"/>
  <c r="CG239" i="40"/>
  <c r="CH239" i="40" s="1"/>
  <c r="CG219" i="40"/>
  <c r="CG203" i="40"/>
  <c r="CH203" i="40" s="1"/>
  <c r="CG187" i="40"/>
  <c r="CH187" i="40" s="1"/>
  <c r="CG171" i="40"/>
  <c r="CG155" i="40"/>
  <c r="CH155" i="40" s="1"/>
  <c r="CG139" i="40"/>
  <c r="CH139" i="40" s="1"/>
  <c r="CG123" i="40"/>
  <c r="CH123" i="40" s="1"/>
  <c r="CG107" i="40"/>
  <c r="CH107" i="40" s="1"/>
  <c r="CG91" i="40"/>
  <c r="CH91" i="40" s="1"/>
  <c r="CG75" i="40"/>
  <c r="CH75" i="40" s="1"/>
  <c r="CG398" i="40"/>
  <c r="CG382" i="40"/>
  <c r="CG366" i="40"/>
  <c r="CG350" i="40"/>
  <c r="CH350" i="40" s="1"/>
  <c r="CG334" i="40"/>
  <c r="CG318" i="40"/>
  <c r="CG302" i="40"/>
  <c r="CG286" i="40"/>
  <c r="CH286" i="40" s="1"/>
  <c r="CG270" i="40"/>
  <c r="CG254" i="40"/>
  <c r="CH254" i="40" s="1"/>
  <c r="CG238" i="40"/>
  <c r="CG222" i="40"/>
  <c r="CH222" i="40" s="1"/>
  <c r="CG206" i="40"/>
  <c r="CH206" i="40" s="1"/>
  <c r="CG190" i="40"/>
  <c r="CG174" i="40"/>
  <c r="CG158" i="40"/>
  <c r="CH158" i="40" s="1"/>
  <c r="CG142" i="40"/>
  <c r="CG126" i="40"/>
  <c r="CH126" i="40" s="1"/>
  <c r="CG110" i="40"/>
  <c r="CH110" i="40" s="1"/>
  <c r="CG94" i="40"/>
  <c r="CH94" i="40" s="1"/>
  <c r="CG78" i="40"/>
  <c r="CH78" i="40" s="1"/>
  <c r="CG397" i="40"/>
  <c r="CG381" i="40"/>
  <c r="CH381" i="40" s="1"/>
  <c r="CG365" i="40"/>
  <c r="CH365" i="40" s="1"/>
  <c r="CG349" i="40"/>
  <c r="CH349" i="40" s="1"/>
  <c r="CG333" i="40"/>
  <c r="CH333" i="40" s="1"/>
  <c r="CG317" i="40"/>
  <c r="CG301" i="40"/>
  <c r="CH301" i="40" s="1"/>
  <c r="CG285" i="40"/>
  <c r="CG269" i="40"/>
  <c r="CG253" i="40"/>
  <c r="CH253" i="40" s="1"/>
  <c r="CG237" i="40"/>
  <c r="CH237" i="40" s="1"/>
  <c r="CG221" i="40"/>
  <c r="CH221" i="40" s="1"/>
  <c r="CG205" i="40"/>
  <c r="CH205" i="40" s="1"/>
  <c r="CG189" i="40"/>
  <c r="CG173" i="40"/>
  <c r="CH173" i="40" s="1"/>
  <c r="CG157" i="40"/>
  <c r="CG141" i="40"/>
  <c r="CH141" i="40" s="1"/>
  <c r="CG125" i="40"/>
  <c r="CG109" i="40"/>
  <c r="CH109" i="40" s="1"/>
  <c r="CG93" i="40"/>
  <c r="CH93" i="40" s="1"/>
  <c r="CG404" i="40"/>
  <c r="CG388" i="40"/>
  <c r="CH388" i="40" s="1"/>
  <c r="CG372" i="40"/>
  <c r="CH372" i="40" s="1"/>
  <c r="CG356" i="40"/>
  <c r="CG340" i="40"/>
  <c r="CH340" i="40" s="1"/>
  <c r="CG324" i="40"/>
  <c r="CH324" i="40" s="1"/>
  <c r="CG308" i="40"/>
  <c r="CH308" i="40" s="1"/>
  <c r="CG292" i="40"/>
  <c r="CH292" i="40" s="1"/>
  <c r="CG276" i="40"/>
  <c r="CH276" i="40" s="1"/>
  <c r="CG260" i="40"/>
  <c r="CH260" i="40" s="1"/>
  <c r="CG244" i="40"/>
  <c r="CG228" i="40"/>
  <c r="CH228" i="40" s="1"/>
  <c r="CG212" i="40"/>
  <c r="CG196" i="40"/>
  <c r="CH196" i="40" s="1"/>
  <c r="CG180" i="40"/>
  <c r="CH180" i="40" s="1"/>
  <c r="CG164" i="40"/>
  <c r="CG148" i="40"/>
  <c r="CG132" i="40"/>
  <c r="CH132" i="40" s="1"/>
  <c r="CG116" i="40"/>
  <c r="CH116" i="40" s="1"/>
  <c r="CG77" i="40"/>
  <c r="CG58" i="40"/>
  <c r="CH58" i="40" s="1"/>
  <c r="CG323" i="40"/>
  <c r="CH323" i="40" s="1"/>
  <c r="CG279" i="40"/>
  <c r="CH279" i="40" s="1"/>
  <c r="CG255" i="40"/>
  <c r="CH255" i="40" s="1"/>
  <c r="CG235" i="40"/>
  <c r="CG215" i="40"/>
  <c r="CH215" i="40" s="1"/>
  <c r="CG199" i="40"/>
  <c r="CG183" i="40"/>
  <c r="CH183" i="40" s="1"/>
  <c r="CG167" i="40"/>
  <c r="CH167" i="40" s="1"/>
  <c r="CG151" i="40"/>
  <c r="CH151" i="40" s="1"/>
  <c r="CG135" i="40"/>
  <c r="CH135" i="40" s="1"/>
  <c r="CG119" i="40"/>
  <c r="CG103" i="40"/>
  <c r="CH103" i="40" s="1"/>
  <c r="CG87" i="40"/>
  <c r="CH87" i="40" s="1"/>
  <c r="CG71" i="40"/>
  <c r="CH71" i="40" s="1"/>
  <c r="CG394" i="40"/>
  <c r="CG378" i="40"/>
  <c r="CG362" i="40"/>
  <c r="CH362" i="40" s="1"/>
  <c r="CG346" i="40"/>
  <c r="CG330" i="40"/>
  <c r="CG314" i="40"/>
  <c r="CH314" i="40" s="1"/>
  <c r="CG298" i="40"/>
  <c r="CH298" i="40" s="1"/>
  <c r="CG282" i="40"/>
  <c r="CH282" i="40" s="1"/>
  <c r="CG266" i="40"/>
  <c r="CH266" i="40" s="1"/>
  <c r="CG250" i="40"/>
  <c r="CG234" i="40"/>
  <c r="CH234" i="40" s="1"/>
  <c r="CG218" i="40"/>
  <c r="CG202" i="40"/>
  <c r="CG186" i="40"/>
  <c r="CH186" i="40" s="1"/>
  <c r="CG170" i="40"/>
  <c r="CH170" i="40" s="1"/>
  <c r="CG154" i="40"/>
  <c r="CG138" i="40"/>
  <c r="CH138" i="40" s="1"/>
  <c r="CG122" i="40"/>
  <c r="CH122" i="40" s="1"/>
  <c r="CG106" i="40"/>
  <c r="CH106" i="40" s="1"/>
  <c r="CG90" i="40"/>
  <c r="CG74" i="40"/>
  <c r="CH74" i="40" s="1"/>
  <c r="CG393" i="40"/>
  <c r="CH393" i="40" s="1"/>
  <c r="CG377" i="40"/>
  <c r="CG361" i="40"/>
  <c r="CG345" i="40"/>
  <c r="CG329" i="40"/>
  <c r="CH329" i="40" s="1"/>
  <c r="CG313" i="40"/>
  <c r="CH313" i="40" s="1"/>
  <c r="CG297" i="40"/>
  <c r="CG281" i="40"/>
  <c r="CH281" i="40" s="1"/>
  <c r="CG265" i="40"/>
  <c r="CH265" i="40" s="1"/>
  <c r="CG249" i="40"/>
  <c r="CH249" i="40" s="1"/>
  <c r="CG233" i="40"/>
  <c r="CG217" i="40"/>
  <c r="CG201" i="40"/>
  <c r="CG185" i="40"/>
  <c r="CG169" i="40"/>
  <c r="CH169" i="40" s="1"/>
  <c r="CG153" i="40"/>
  <c r="CH153" i="40" s="1"/>
  <c r="CG137" i="40"/>
  <c r="CH137" i="40" s="1"/>
  <c r="CG121" i="40"/>
  <c r="CH121" i="40" s="1"/>
  <c r="CG105" i="40"/>
  <c r="CH105" i="40" s="1"/>
  <c r="CG89" i="40"/>
  <c r="CG400" i="40"/>
  <c r="CG384" i="40"/>
  <c r="CH384" i="40" s="1"/>
  <c r="CG368" i="40"/>
  <c r="CH368" i="40" s="1"/>
  <c r="CG352" i="40"/>
  <c r="CH352" i="40" s="1"/>
  <c r="CG336" i="40"/>
  <c r="CG320" i="40"/>
  <c r="CG304" i="40"/>
  <c r="CG288" i="40"/>
  <c r="CG272" i="40"/>
  <c r="CH272" i="40" s="1"/>
  <c r="CG256" i="40"/>
  <c r="CH256" i="40" s="1"/>
  <c r="CG240" i="40"/>
  <c r="CG224" i="40"/>
  <c r="CH224" i="40" s="1"/>
  <c r="CG208" i="40"/>
  <c r="CH208" i="40" s="1"/>
  <c r="CG192" i="40"/>
  <c r="CG176" i="40"/>
  <c r="CG160" i="40"/>
  <c r="CH160" i="40" s="1"/>
  <c r="CG144" i="40"/>
  <c r="CH144" i="40" s="1"/>
  <c r="CG128" i="40"/>
  <c r="CH128" i="40" s="1"/>
  <c r="CG112" i="40"/>
  <c r="CH112" i="40" s="1"/>
  <c r="CG70" i="40"/>
  <c r="CG54" i="40"/>
  <c r="CG38" i="40"/>
  <c r="CH38" i="40" s="1"/>
  <c r="CG22" i="40"/>
  <c r="CH22" i="40" s="1"/>
  <c r="CG6" i="40"/>
  <c r="CG69" i="40"/>
  <c r="CH69" i="40" s="1"/>
  <c r="CG53" i="40"/>
  <c r="CH53" i="40" s="1"/>
  <c r="CG37" i="40"/>
  <c r="CG21" i="40"/>
  <c r="CH21" i="40" s="1"/>
  <c r="CG73" i="40"/>
  <c r="CH73" i="40" s="1"/>
  <c r="CG56" i="40"/>
  <c r="CG315" i="40"/>
  <c r="CH315" i="40" s="1"/>
  <c r="CG271" i="40"/>
  <c r="CH271" i="40" s="1"/>
  <c r="CG251" i="40"/>
  <c r="CG231" i="40"/>
  <c r="CH231" i="40" s="1"/>
  <c r="CG211" i="40"/>
  <c r="CG195" i="40"/>
  <c r="CH195" i="40" s="1"/>
  <c r="CG179" i="40"/>
  <c r="CH179" i="40" s="1"/>
  <c r="CG163" i="40"/>
  <c r="CH163" i="40" s="1"/>
  <c r="CG147" i="40"/>
  <c r="CG131" i="40"/>
  <c r="CG115" i="40"/>
  <c r="CH115" i="40" s="1"/>
  <c r="CG99" i="40"/>
  <c r="CG83" i="40"/>
  <c r="CH83" i="40" s="1"/>
  <c r="CG406" i="40"/>
  <c r="CG390" i="40"/>
  <c r="CG374" i="40"/>
  <c r="CG358" i="40"/>
  <c r="CH358" i="40" s="1"/>
  <c r="CG342" i="40"/>
  <c r="CH342" i="40" s="1"/>
  <c r="CG326" i="40"/>
  <c r="CH326" i="40" s="1"/>
  <c r="CG310" i="40"/>
  <c r="CH310" i="40" s="1"/>
  <c r="CG294" i="40"/>
  <c r="CH294" i="40" s="1"/>
  <c r="CG278" i="40"/>
  <c r="CH278" i="40" s="1"/>
  <c r="CG262" i="40"/>
  <c r="CH262" i="40" s="1"/>
  <c r="CG246" i="40"/>
  <c r="CG230" i="40"/>
  <c r="CH230" i="40" s="1"/>
  <c r="CG214" i="40"/>
  <c r="CG198" i="40"/>
  <c r="CG182" i="40"/>
  <c r="CH182" i="40" s="1"/>
  <c r="CG166" i="40"/>
  <c r="CH166" i="40" s="1"/>
  <c r="CG150" i="40"/>
  <c r="CH150" i="40" s="1"/>
  <c r="CG134" i="40"/>
  <c r="CG118" i="40"/>
  <c r="CH118" i="40" s="1"/>
  <c r="CG102" i="40"/>
  <c r="CH102" i="40" s="1"/>
  <c r="CG86" i="40"/>
  <c r="CH86" i="40" s="1"/>
  <c r="CG405" i="40"/>
  <c r="CH405" i="40" s="1"/>
  <c r="CG389" i="40"/>
  <c r="CH389" i="40" s="1"/>
  <c r="CG373" i="40"/>
  <c r="CH373" i="40" s="1"/>
  <c r="CG357" i="40"/>
  <c r="CH357" i="40" s="1"/>
  <c r="CG341" i="40"/>
  <c r="CH341" i="40" s="1"/>
  <c r="CG325" i="40"/>
  <c r="CG309" i="40"/>
  <c r="CH309" i="40" s="1"/>
  <c r="CG293" i="40"/>
  <c r="CG277" i="40"/>
  <c r="CG261" i="40"/>
  <c r="CH261" i="40" s="1"/>
  <c r="CG245" i="40"/>
  <c r="CH245" i="40" s="1"/>
  <c r="CG229" i="40"/>
  <c r="CH229" i="40" s="1"/>
  <c r="CG213" i="40"/>
  <c r="CH213" i="40" s="1"/>
  <c r="CG197" i="40"/>
  <c r="CG181" i="40"/>
  <c r="CH181" i="40" s="1"/>
  <c r="CG165" i="40"/>
  <c r="CG149" i="40"/>
  <c r="CH149" i="40" s="1"/>
  <c r="CG133" i="40"/>
  <c r="CG117" i="40"/>
  <c r="CH117" i="40" s="1"/>
  <c r="CG101" i="40"/>
  <c r="CG85" i="40"/>
  <c r="CG396" i="40"/>
  <c r="CG380" i="40"/>
  <c r="CH380" i="40" s="1"/>
  <c r="CG364" i="40"/>
  <c r="CH364" i="40" s="1"/>
  <c r="CG348" i="40"/>
  <c r="CG332" i="40"/>
  <c r="CH332" i="40" s="1"/>
  <c r="CG316" i="40"/>
  <c r="CG300" i="40"/>
  <c r="CH300" i="40" s="1"/>
  <c r="CG284" i="40"/>
  <c r="CH284" i="40" s="1"/>
  <c r="CG268" i="40"/>
  <c r="CH268" i="40" s="1"/>
  <c r="CG252" i="40"/>
  <c r="CG236" i="40"/>
  <c r="CH236" i="40" s="1"/>
  <c r="CG220" i="40"/>
  <c r="CH220" i="40" s="1"/>
  <c r="CG204" i="40"/>
  <c r="CG188" i="40"/>
  <c r="CH188" i="40" s="1"/>
  <c r="CG172" i="40"/>
  <c r="CH172" i="40" s="1"/>
  <c r="CG156" i="40"/>
  <c r="CH156" i="40" s="1"/>
  <c r="CG140" i="40"/>
  <c r="CG124" i="40"/>
  <c r="CG108" i="40"/>
  <c r="CH108" i="40" s="1"/>
  <c r="CG66" i="40"/>
  <c r="CH66" i="40" s="1"/>
  <c r="CG50" i="40"/>
  <c r="CH50" i="40" s="1"/>
  <c r="CG34" i="40"/>
  <c r="CH34" i="40" s="1"/>
  <c r="CG18" i="40"/>
  <c r="CH18" i="40" s="1"/>
  <c r="CG104" i="40"/>
  <c r="CG65" i="40"/>
  <c r="CH65" i="40" s="1"/>
  <c r="CG49" i="40"/>
  <c r="CG291" i="40"/>
  <c r="CG267" i="40"/>
  <c r="CH267" i="40" s="1"/>
  <c r="CG247" i="40"/>
  <c r="CH247" i="40" s="1"/>
  <c r="CG223" i="40"/>
  <c r="CH223" i="40" s="1"/>
  <c r="CG207" i="40"/>
  <c r="CG191" i="40"/>
  <c r="CG175" i="40"/>
  <c r="CH175" i="40" s="1"/>
  <c r="CG159" i="40"/>
  <c r="CH159" i="40" s="1"/>
  <c r="CG143" i="40"/>
  <c r="CH143" i="40" s="1"/>
  <c r="CG127" i="40"/>
  <c r="CG111" i="40"/>
  <c r="CH111" i="40" s="1"/>
  <c r="CG95" i="40"/>
  <c r="CH95" i="40" s="1"/>
  <c r="CG79" i="40"/>
  <c r="CH79" i="40" s="1"/>
  <c r="CG402" i="40"/>
  <c r="CG386" i="40"/>
  <c r="CH386" i="40" s="1"/>
  <c r="CG370" i="40"/>
  <c r="CG354" i="40"/>
  <c r="CG338" i="40"/>
  <c r="CH338" i="40" s="1"/>
  <c r="CG322" i="40"/>
  <c r="CH322" i="40" s="1"/>
  <c r="CG306" i="40"/>
  <c r="CG290" i="40"/>
  <c r="CH290" i="40" s="1"/>
  <c r="CG274" i="40"/>
  <c r="CH274" i="40" s="1"/>
  <c r="CG258" i="40"/>
  <c r="CG242" i="40"/>
  <c r="CH242" i="40" s="1"/>
  <c r="CG226" i="40"/>
  <c r="CG210" i="40"/>
  <c r="CG194" i="40"/>
  <c r="CH194" i="40" s="1"/>
  <c r="CG178" i="40"/>
  <c r="CH178" i="40" s="1"/>
  <c r="CG162" i="40"/>
  <c r="CH162" i="40" s="1"/>
  <c r="CG146" i="40"/>
  <c r="CH146" i="40" s="1"/>
  <c r="CG130" i="40"/>
  <c r="CG114" i="40"/>
  <c r="CH114" i="40" s="1"/>
  <c r="CG98" i="40"/>
  <c r="CH98" i="40" s="1"/>
  <c r="CG82" i="40"/>
  <c r="CH82" i="40" s="1"/>
  <c r="CG401" i="40"/>
  <c r="CH401" i="40" s="1"/>
  <c r="CG385" i="40"/>
  <c r="CH385" i="40" s="1"/>
  <c r="CG369" i="40"/>
  <c r="CH369" i="40" s="1"/>
  <c r="CG353" i="40"/>
  <c r="CH353" i="40" s="1"/>
  <c r="CG337" i="40"/>
  <c r="CH337" i="40" s="1"/>
  <c r="CG321" i="40"/>
  <c r="CH321" i="40" s="1"/>
  <c r="CG305" i="40"/>
  <c r="CG289" i="40"/>
  <c r="CH289" i="40" s="1"/>
  <c r="CG273" i="40"/>
  <c r="CH273" i="40" s="1"/>
  <c r="CG257" i="40"/>
  <c r="CH257" i="40" s="1"/>
  <c r="CG241" i="40"/>
  <c r="CH241" i="40" s="1"/>
  <c r="CG225" i="40"/>
  <c r="CH225" i="40" s="1"/>
  <c r="CG209" i="40"/>
  <c r="CG193" i="40"/>
  <c r="CH193" i="40" s="1"/>
  <c r="CG177" i="40"/>
  <c r="CH177" i="40" s="1"/>
  <c r="CG161" i="40"/>
  <c r="CG145" i="40"/>
  <c r="CG129" i="40"/>
  <c r="CG113" i="40"/>
  <c r="CH113" i="40" s="1"/>
  <c r="CG97" i="40"/>
  <c r="CG81" i="40"/>
  <c r="CH81" i="40" s="1"/>
  <c r="CG392" i="40"/>
  <c r="CH392" i="40" s="1"/>
  <c r="CG376" i="40"/>
  <c r="CG360" i="40"/>
  <c r="CH360" i="40" s="1"/>
  <c r="CG344" i="40"/>
  <c r="CH344" i="40" s="1"/>
  <c r="CG328" i="40"/>
  <c r="CH328" i="40" s="1"/>
  <c r="CG312" i="40"/>
  <c r="CH312" i="40" s="1"/>
  <c r="CG296" i="40"/>
  <c r="CG280" i="40"/>
  <c r="CG264" i="40"/>
  <c r="CH264" i="40" s="1"/>
  <c r="CG248" i="40"/>
  <c r="CH248" i="40" s="1"/>
  <c r="CG232" i="40"/>
  <c r="CH232" i="40" s="1"/>
  <c r="CG216" i="40"/>
  <c r="CG200" i="40"/>
  <c r="CH200" i="40" s="1"/>
  <c r="CG184" i="40"/>
  <c r="CH184" i="40" s="1"/>
  <c r="CG168" i="40"/>
  <c r="CH168" i="40" s="1"/>
  <c r="CG152" i="40"/>
  <c r="CH152" i="40" s="1"/>
  <c r="CG136" i="40"/>
  <c r="CH136" i="40" s="1"/>
  <c r="CG120" i="40"/>
  <c r="CH120" i="40" s="1"/>
  <c r="CG92" i="40"/>
  <c r="CH92" i="40" s="1"/>
  <c r="CG62" i="40"/>
  <c r="CH62" i="40" s="1"/>
  <c r="CG46" i="40"/>
  <c r="CH46" i="40" s="1"/>
  <c r="CG30" i="40"/>
  <c r="CH30" i="40" s="1"/>
  <c r="CG14" i="40"/>
  <c r="CH14" i="40" s="1"/>
  <c r="CG88" i="40"/>
  <c r="CH88" i="40" s="1"/>
  <c r="CG61" i="40"/>
  <c r="CG42" i="40"/>
  <c r="CH42" i="40" s="1"/>
  <c r="CG57" i="40"/>
  <c r="CH57" i="40" s="1"/>
  <c r="CG52" i="40"/>
  <c r="CG36" i="40"/>
  <c r="CH36" i="40" s="1"/>
  <c r="CG72" i="40"/>
  <c r="CH72" i="40" s="1"/>
  <c r="CG39" i="40"/>
  <c r="CG12" i="40"/>
  <c r="CH12" i="40" s="1"/>
  <c r="CG32" i="40"/>
  <c r="CG67" i="40"/>
  <c r="CH67" i="40" s="1"/>
  <c r="CG35" i="40"/>
  <c r="CH35" i="40" s="1"/>
  <c r="CG96" i="40"/>
  <c r="CH96" i="40" s="1"/>
  <c r="CG31" i="40"/>
  <c r="CH31" i="40" s="1"/>
  <c r="CG15" i="40"/>
  <c r="CG9" i="40"/>
  <c r="CH9" i="40" s="1"/>
  <c r="CG26" i="40"/>
  <c r="CH26" i="40" s="1"/>
  <c r="CG45" i="40"/>
  <c r="CH45" i="40" s="1"/>
  <c r="CG25" i="40"/>
  <c r="CH25" i="40" s="1"/>
  <c r="CG68" i="40"/>
  <c r="CH68" i="40" s="1"/>
  <c r="CG16" i="40"/>
  <c r="CH16" i="40" s="1"/>
  <c r="CG51" i="40"/>
  <c r="CH51" i="40" s="1"/>
  <c r="CG3" i="40"/>
  <c r="CH3" i="40" s="1"/>
  <c r="CG63" i="40"/>
  <c r="CH63" i="40" s="1"/>
  <c r="CG13" i="40"/>
  <c r="CH13" i="40" s="1"/>
  <c r="CG10" i="40"/>
  <c r="CG41" i="40"/>
  <c r="CG17" i="40"/>
  <c r="CG64" i="40"/>
  <c r="CG28" i="40"/>
  <c r="CG76" i="40"/>
  <c r="CG33" i="40"/>
  <c r="CH33" i="40" s="1"/>
  <c r="CG100" i="40"/>
  <c r="CG60" i="40"/>
  <c r="CH60" i="40" s="1"/>
  <c r="CG40" i="40"/>
  <c r="CG24" i="40"/>
  <c r="CH24" i="40" s="1"/>
  <c r="CG80" i="40"/>
  <c r="CG59" i="40"/>
  <c r="CH59" i="40" s="1"/>
  <c r="CG43" i="40"/>
  <c r="CG27" i="40"/>
  <c r="CH27" i="40" s="1"/>
  <c r="CG11" i="40"/>
  <c r="CH11" i="40" s="1"/>
  <c r="CG5" i="40"/>
  <c r="CG8" i="40"/>
  <c r="CH8" i="40" s="1"/>
  <c r="CG29" i="40"/>
  <c r="CH29" i="40" s="1"/>
  <c r="CG84" i="40"/>
  <c r="CH84" i="40" s="1"/>
  <c r="CG20" i="40"/>
  <c r="CH20" i="40" s="1"/>
  <c r="CG55" i="40"/>
  <c r="CH55" i="40" s="1"/>
  <c r="CG23" i="40"/>
  <c r="CH23" i="40" s="1"/>
  <c r="CG7" i="40"/>
  <c r="CH7" i="40" s="1"/>
  <c r="CG48" i="40"/>
  <c r="CH48" i="40" s="1"/>
  <c r="CG19" i="40"/>
  <c r="CH19" i="40" s="1"/>
  <c r="CG4" i="40"/>
  <c r="CH4" i="40" s="1"/>
  <c r="CG44" i="40"/>
  <c r="CH44" i="40" s="1"/>
  <c r="CG47" i="40"/>
  <c r="CG335" i="40"/>
  <c r="CH335" i="40" s="1"/>
  <c r="CG367" i="40"/>
  <c r="CG243" i="40"/>
  <c r="CG403" i="40"/>
  <c r="CG383" i="40"/>
  <c r="CH383" i="40" s="1"/>
  <c r="CG259" i="40"/>
  <c r="CH259" i="40" s="1"/>
  <c r="CG303" i="40"/>
  <c r="CH303" i="40" s="1"/>
  <c r="CG307" i="40"/>
  <c r="CH307" i="40" s="1"/>
  <c r="CG295" i="40"/>
  <c r="CH295" i="40" s="1"/>
  <c r="CG327" i="40"/>
  <c r="CH327" i="40" s="1"/>
  <c r="CG355" i="40"/>
  <c r="CH355" i="40" s="1"/>
  <c r="CG391" i="40"/>
  <c r="CG275" i="40"/>
  <c r="CG371" i="40"/>
  <c r="CH371" i="40" s="1"/>
  <c r="CG339" i="40"/>
  <c r="CH339" i="40" s="1"/>
  <c r="CG311" i="40"/>
  <c r="CG343" i="40"/>
  <c r="CH343" i="40" s="1"/>
  <c r="CG387" i="40"/>
  <c r="CH387" i="40" s="1"/>
  <c r="CG359" i="40"/>
  <c r="CH359" i="40" s="1"/>
  <c r="CG227" i="40"/>
  <c r="CH227" i="40" s="1"/>
  <c r="CG299" i="40"/>
  <c r="CH299" i="40" s="1"/>
  <c r="CG407" i="40"/>
  <c r="CH407" i="40" s="1"/>
  <c r="CG319" i="40"/>
  <c r="CH319" i="40" s="1"/>
  <c r="CG331" i="40"/>
  <c r="CH331" i="40" s="1"/>
  <c r="CG379" i="40"/>
  <c r="CG347" i="40"/>
  <c r="CH347" i="40" s="1"/>
  <c r="CG375" i="40"/>
  <c r="CG287" i="40"/>
  <c r="CH287" i="40" s="1"/>
  <c r="CG351" i="40"/>
  <c r="CH351" i="40" s="1"/>
  <c r="CG363" i="40"/>
  <c r="CH363" i="40" s="1"/>
  <c r="CG395" i="40"/>
  <c r="CH395" i="40" s="1"/>
  <c r="CG399" i="40"/>
  <c r="CH399" i="40" s="1"/>
  <c r="CB407" i="40"/>
  <c r="CB403" i="40"/>
  <c r="CB399" i="40"/>
  <c r="CB395" i="40"/>
  <c r="CB391" i="40"/>
  <c r="CB387" i="40"/>
  <c r="CB383" i="40"/>
  <c r="CB379" i="40"/>
  <c r="CB375" i="40"/>
  <c r="CB371" i="40"/>
  <c r="CB367" i="40"/>
  <c r="CB363" i="40"/>
  <c r="CC363" i="40" s="1"/>
  <c r="CB359" i="40"/>
  <c r="CC359" i="40" s="1"/>
  <c r="CB355" i="40"/>
  <c r="CC355" i="40" s="1"/>
  <c r="CB351" i="40"/>
  <c r="CB347" i="40"/>
  <c r="CC347" i="40" s="1"/>
  <c r="CB343" i="40"/>
  <c r="CB339" i="40"/>
  <c r="CC339" i="40" s="1"/>
  <c r="CB335" i="40"/>
  <c r="CB331" i="40"/>
  <c r="CC331" i="40" s="1"/>
  <c r="CB327" i="40"/>
  <c r="CB323" i="40"/>
  <c r="CC323" i="40" s="1"/>
  <c r="CB319" i="40"/>
  <c r="CC319" i="40" s="1"/>
  <c r="CB315" i="40"/>
  <c r="CC315" i="40" s="1"/>
  <c r="CB311" i="40"/>
  <c r="CB307" i="40"/>
  <c r="CC307" i="40" s="1"/>
  <c r="CB303" i="40"/>
  <c r="CB299" i="40"/>
  <c r="CC299" i="40" s="1"/>
  <c r="CB295" i="40"/>
  <c r="CB291" i="40"/>
  <c r="CB287" i="40"/>
  <c r="CC287" i="40" s="1"/>
  <c r="CB283" i="40"/>
  <c r="CB279" i="40"/>
  <c r="CC279" i="40" s="1"/>
  <c r="CB275" i="40"/>
  <c r="CB271" i="40"/>
  <c r="CC271" i="40" s="1"/>
  <c r="CB267" i="40"/>
  <c r="CB263" i="40"/>
  <c r="CB259" i="40"/>
  <c r="CC259" i="40" s="1"/>
  <c r="CB255" i="40"/>
  <c r="CB251" i="40"/>
  <c r="CB247" i="40"/>
  <c r="CB243" i="40"/>
  <c r="CB239" i="40"/>
  <c r="CB235" i="40"/>
  <c r="CB231" i="40"/>
  <c r="CB227" i="40"/>
  <c r="CB223" i="40"/>
  <c r="CB219" i="40"/>
  <c r="CB215" i="40"/>
  <c r="CB211" i="40"/>
  <c r="CB207" i="40"/>
  <c r="CB203" i="40"/>
  <c r="CC203" i="40" s="1"/>
  <c r="CB199" i="40"/>
  <c r="CB195" i="40"/>
  <c r="CC195" i="40" s="1"/>
  <c r="CB191" i="40"/>
  <c r="CB187" i="40"/>
  <c r="CC187" i="40" s="1"/>
  <c r="CB183" i="40"/>
  <c r="CC183" i="40" s="1"/>
  <c r="CB179" i="40"/>
  <c r="CC179" i="40" s="1"/>
  <c r="CB175" i="40"/>
  <c r="CC175" i="40" s="1"/>
  <c r="CB171" i="40"/>
  <c r="CB167" i="40"/>
  <c r="CC167" i="40" s="1"/>
  <c r="CB163" i="40"/>
  <c r="CC163" i="40" s="1"/>
  <c r="CB159" i="40"/>
  <c r="CC159" i="40" s="1"/>
  <c r="CB155" i="40"/>
  <c r="CB151" i="40"/>
  <c r="CB147" i="40"/>
  <c r="CB143" i="40"/>
  <c r="CC143" i="40" s="1"/>
  <c r="CB139" i="40"/>
  <c r="CB135" i="40"/>
  <c r="CC135" i="40" s="1"/>
  <c r="CB131" i="40"/>
  <c r="CB127" i="40"/>
  <c r="CB123" i="40"/>
  <c r="CB119" i="40"/>
  <c r="CB115" i="40"/>
  <c r="CC115" i="40" s="1"/>
  <c r="CB111" i="40"/>
  <c r="CB107" i="40"/>
  <c r="CC107" i="40" s="1"/>
  <c r="CB103" i="40"/>
  <c r="CC103" i="40" s="1"/>
  <c r="CB99" i="40"/>
  <c r="CB95" i="40"/>
  <c r="CC95" i="40" s="1"/>
  <c r="CB91" i="40"/>
  <c r="CC91" i="40" s="1"/>
  <c r="CB87" i="40"/>
  <c r="CC87" i="40" s="1"/>
  <c r="CB83" i="40"/>
  <c r="CB406" i="40"/>
  <c r="CB402" i="40"/>
  <c r="CB398" i="40"/>
  <c r="CB394" i="40"/>
  <c r="CB390" i="40"/>
  <c r="CB386" i="40"/>
  <c r="CB382" i="40"/>
  <c r="CB378" i="40"/>
  <c r="CB374" i="40"/>
  <c r="CB370" i="40"/>
  <c r="CB366" i="40"/>
  <c r="CB362" i="40"/>
  <c r="CC362" i="40" s="1"/>
  <c r="CB358" i="40"/>
  <c r="CC358" i="40" s="1"/>
  <c r="CB354" i="40"/>
  <c r="CB350" i="40"/>
  <c r="CB346" i="40"/>
  <c r="CB342" i="40"/>
  <c r="CB338" i="40"/>
  <c r="CB334" i="40"/>
  <c r="CB330" i="40"/>
  <c r="CB326" i="40"/>
  <c r="CB322" i="40"/>
  <c r="CB318" i="40"/>
  <c r="CB314" i="40"/>
  <c r="CC314" i="40" s="1"/>
  <c r="CB310" i="40"/>
  <c r="CC310" i="40" s="1"/>
  <c r="CB306" i="40"/>
  <c r="CB302" i="40"/>
  <c r="CB298" i="40"/>
  <c r="CC298" i="40" s="1"/>
  <c r="CB294" i="40"/>
  <c r="CB290" i="40"/>
  <c r="CC290" i="40" s="1"/>
  <c r="CB286" i="40"/>
  <c r="CC286" i="40" s="1"/>
  <c r="CB282" i="40"/>
  <c r="CC282" i="40" s="1"/>
  <c r="CB278" i="40"/>
  <c r="CC278" i="40" s="1"/>
  <c r="CB274" i="40"/>
  <c r="CB270" i="40"/>
  <c r="CB266" i="40"/>
  <c r="CC266" i="40" s="1"/>
  <c r="CB262" i="40"/>
  <c r="CC262" i="40" s="1"/>
  <c r="CB258" i="40"/>
  <c r="CB254" i="40"/>
  <c r="CB250" i="40"/>
  <c r="CB246" i="40"/>
  <c r="CB242" i="40"/>
  <c r="CB238" i="40"/>
  <c r="CB234" i="40"/>
  <c r="CB230" i="40"/>
  <c r="CB226" i="40"/>
  <c r="CB222" i="40"/>
  <c r="CC222" i="40" s="1"/>
  <c r="CB218" i="40"/>
  <c r="CB214" i="40"/>
  <c r="CB210" i="40"/>
  <c r="CB206" i="40"/>
  <c r="CC206" i="40" s="1"/>
  <c r="CB202" i="40"/>
  <c r="CB198" i="40"/>
  <c r="CB194" i="40"/>
  <c r="CB190" i="40"/>
  <c r="CB186" i="40"/>
  <c r="CC186" i="40" s="1"/>
  <c r="CB182" i="40"/>
  <c r="CC182" i="40" s="1"/>
  <c r="CB178" i="40"/>
  <c r="CC178" i="40" s="1"/>
  <c r="CB174" i="40"/>
  <c r="CB170" i="40"/>
  <c r="CC170" i="40" s="1"/>
  <c r="CB166" i="40"/>
  <c r="CC166" i="40" s="1"/>
  <c r="CB162" i="40"/>
  <c r="CC162" i="40" s="1"/>
  <c r="CB158" i="40"/>
  <c r="CC158" i="40" s="1"/>
  <c r="CB154" i="40"/>
  <c r="CB150" i="40"/>
  <c r="CB146" i="40"/>
  <c r="CB142" i="40"/>
  <c r="CB138" i="40"/>
  <c r="CB134" i="40"/>
  <c r="CB130" i="40"/>
  <c r="CB126" i="40"/>
  <c r="CB122" i="40"/>
  <c r="CC122" i="40" s="1"/>
  <c r="CB118" i="40"/>
  <c r="CC118" i="40" s="1"/>
  <c r="CB114" i="40"/>
  <c r="CC114" i="40" s="1"/>
  <c r="CB110" i="40"/>
  <c r="CB106" i="40"/>
  <c r="CC106" i="40" s="1"/>
  <c r="CB102" i="40"/>
  <c r="CB98" i="40"/>
  <c r="CC98" i="40" s="1"/>
  <c r="CB94" i="40"/>
  <c r="CB90" i="40"/>
  <c r="CB86" i="40"/>
  <c r="CC86" i="40" s="1"/>
  <c r="CB82" i="40"/>
  <c r="CC82" i="40" s="1"/>
  <c r="CB78" i="40"/>
  <c r="CB74" i="40"/>
  <c r="CC74" i="40" s="1"/>
  <c r="CB70" i="40"/>
  <c r="CB405" i="40"/>
  <c r="CC405" i="40" s="1"/>
  <c r="CB401" i="40"/>
  <c r="CB397" i="40"/>
  <c r="CB393" i="40"/>
  <c r="CC393" i="40" s="1"/>
  <c r="CB389" i="40"/>
  <c r="CC389" i="40" s="1"/>
  <c r="CB385" i="40"/>
  <c r="CB381" i="40"/>
  <c r="CB377" i="40"/>
  <c r="CB373" i="40"/>
  <c r="CB369" i="40"/>
  <c r="CC369" i="40" s="1"/>
  <c r="CB365" i="40"/>
  <c r="CB361" i="40"/>
  <c r="CB357" i="40"/>
  <c r="CB353" i="40"/>
  <c r="CC353" i="40" s="1"/>
  <c r="CB349" i="40"/>
  <c r="CB345" i="40"/>
  <c r="CB341" i="40"/>
  <c r="CC341" i="40" s="1"/>
  <c r="CB337" i="40"/>
  <c r="CC337" i="40" s="1"/>
  <c r="CB333" i="40"/>
  <c r="CC333" i="40" s="1"/>
  <c r="CB329" i="40"/>
  <c r="CB325" i="40"/>
  <c r="CB321" i="40"/>
  <c r="CB317" i="40"/>
  <c r="CB313" i="40"/>
  <c r="CC313" i="40" s="1"/>
  <c r="CB309" i="40"/>
  <c r="CC309" i="40" s="1"/>
  <c r="CB305" i="40"/>
  <c r="CB301" i="40"/>
  <c r="CC301" i="40" s="1"/>
  <c r="CB297" i="40"/>
  <c r="CB293" i="40"/>
  <c r="CB289" i="40"/>
  <c r="CB285" i="40"/>
  <c r="CB281" i="40"/>
  <c r="CC281" i="40" s="1"/>
  <c r="CB277" i="40"/>
  <c r="CB273" i="40"/>
  <c r="CC273" i="40" s="1"/>
  <c r="CB269" i="40"/>
  <c r="CB265" i="40"/>
  <c r="CB261" i="40"/>
  <c r="CB257" i="40"/>
  <c r="CB253" i="40"/>
  <c r="CC253" i="40" s="1"/>
  <c r="CB249" i="40"/>
  <c r="CB245" i="40"/>
  <c r="CB241" i="40"/>
  <c r="CB237" i="40"/>
  <c r="CC237" i="40" s="1"/>
  <c r="CB233" i="40"/>
  <c r="CB229" i="40"/>
  <c r="CB225" i="40"/>
  <c r="CC225" i="40" s="1"/>
  <c r="CB221" i="40"/>
  <c r="CC221" i="40" s="1"/>
  <c r="CB217" i="40"/>
  <c r="CB213" i="40"/>
  <c r="CB209" i="40"/>
  <c r="CB205" i="40"/>
  <c r="CB201" i="40"/>
  <c r="CB197" i="40"/>
  <c r="CB193" i="40"/>
  <c r="CB189" i="40"/>
  <c r="CB185" i="40"/>
  <c r="CB181" i="40"/>
  <c r="CC181" i="40" s="1"/>
  <c r="CB177" i="40"/>
  <c r="CC177" i="40" s="1"/>
  <c r="CB173" i="40"/>
  <c r="CC173" i="40" s="1"/>
  <c r="CB169" i="40"/>
  <c r="CC169" i="40" s="1"/>
  <c r="CB165" i="40"/>
  <c r="CB161" i="40"/>
  <c r="CB157" i="40"/>
  <c r="CB153" i="40"/>
  <c r="CB149" i="40"/>
  <c r="CC149" i="40" s="1"/>
  <c r="CB145" i="40"/>
  <c r="CB141" i="40"/>
  <c r="CC141" i="40" s="1"/>
  <c r="CB137" i="40"/>
  <c r="CC137" i="40" s="1"/>
  <c r="CB133" i="40"/>
  <c r="CB129" i="40"/>
  <c r="CB125" i="40"/>
  <c r="CB121" i="40"/>
  <c r="CC121" i="40" s="1"/>
  <c r="CB117" i="40"/>
  <c r="CC117" i="40" s="1"/>
  <c r="CB113" i="40"/>
  <c r="CB109" i="40"/>
  <c r="CC109" i="40" s="1"/>
  <c r="CB105" i="40"/>
  <c r="CC105" i="40" s="1"/>
  <c r="CB101" i="40"/>
  <c r="CB97" i="40"/>
  <c r="CB93" i="40"/>
  <c r="CB89" i="40"/>
  <c r="CB404" i="40"/>
  <c r="CB400" i="40"/>
  <c r="CB396" i="40"/>
  <c r="CB392" i="40"/>
  <c r="CB388" i="40"/>
  <c r="CC388" i="40" s="1"/>
  <c r="CB384" i="40"/>
  <c r="CB380" i="40"/>
  <c r="CB376" i="40"/>
  <c r="CB372" i="40"/>
  <c r="CB368" i="40"/>
  <c r="CC368" i="40" s="1"/>
  <c r="CB364" i="40"/>
  <c r="CC364" i="40" s="1"/>
  <c r="CB360" i="40"/>
  <c r="CB356" i="40"/>
  <c r="CB352" i="40"/>
  <c r="CC352" i="40" s="1"/>
  <c r="CB348" i="40"/>
  <c r="CB344" i="40"/>
  <c r="CC344" i="40" s="1"/>
  <c r="CB340" i="40"/>
  <c r="CB336" i="40"/>
  <c r="CB332" i="40"/>
  <c r="CC332" i="40" s="1"/>
  <c r="CB328" i="40"/>
  <c r="CB324" i="40"/>
  <c r="CB320" i="40"/>
  <c r="CB316" i="40"/>
  <c r="CB312" i="40"/>
  <c r="CC312" i="40" s="1"/>
  <c r="CB308" i="40"/>
  <c r="CC308" i="40" s="1"/>
  <c r="CB304" i="40"/>
  <c r="CB300" i="40"/>
  <c r="CB296" i="40"/>
  <c r="CB292" i="40"/>
  <c r="CB288" i="40"/>
  <c r="CB284" i="40"/>
  <c r="CC284" i="40" s="1"/>
  <c r="CB280" i="40"/>
  <c r="CB276" i="40"/>
  <c r="CB272" i="40"/>
  <c r="CC272" i="40" s="1"/>
  <c r="CB268" i="40"/>
  <c r="CB264" i="40"/>
  <c r="CB260" i="40"/>
  <c r="CB256" i="40"/>
  <c r="CC256" i="40" s="1"/>
  <c r="CB252" i="40"/>
  <c r="CB248" i="40"/>
  <c r="CC248" i="40" s="1"/>
  <c r="CB244" i="40"/>
  <c r="CB240" i="40"/>
  <c r="CB236" i="40"/>
  <c r="CB232" i="40"/>
  <c r="CB228" i="40"/>
  <c r="CB224" i="40"/>
  <c r="CB220" i="40"/>
  <c r="CC220" i="40" s="1"/>
  <c r="CB216" i="40"/>
  <c r="CB212" i="40"/>
  <c r="CB208" i="40"/>
  <c r="CC208" i="40" s="1"/>
  <c r="CB204" i="40"/>
  <c r="CB200" i="40"/>
  <c r="CB196" i="40"/>
  <c r="CC196" i="40" s="1"/>
  <c r="CB192" i="40"/>
  <c r="CB188" i="40"/>
  <c r="CC188" i="40" s="1"/>
  <c r="CB184" i="40"/>
  <c r="CB180" i="40"/>
  <c r="CC180" i="40" s="1"/>
  <c r="CB176" i="40"/>
  <c r="CB172" i="40"/>
  <c r="CC172" i="40" s="1"/>
  <c r="CB168" i="40"/>
  <c r="CB164" i="40"/>
  <c r="CB160" i="40"/>
  <c r="CB156" i="40"/>
  <c r="CB152" i="40"/>
  <c r="CC152" i="40" s="1"/>
  <c r="CB148" i="40"/>
  <c r="CB144" i="40"/>
  <c r="CC144" i="40" s="1"/>
  <c r="CB140" i="40"/>
  <c r="CB136" i="40"/>
  <c r="CC136" i="40" s="1"/>
  <c r="CB132" i="40"/>
  <c r="CB128" i="40"/>
  <c r="CC128" i="40" s="1"/>
  <c r="CB124" i="40"/>
  <c r="CB120" i="40"/>
  <c r="CC120" i="40" s="1"/>
  <c r="CB116" i="40"/>
  <c r="CC116" i="40" s="1"/>
  <c r="CB112" i="40"/>
  <c r="CB108" i="40"/>
  <c r="CC108" i="40" s="1"/>
  <c r="CB104" i="40"/>
  <c r="CB100" i="40"/>
  <c r="CB96" i="40"/>
  <c r="CC96" i="40" s="1"/>
  <c r="CB84" i="40"/>
  <c r="CB77" i="40"/>
  <c r="CB72" i="40"/>
  <c r="CC72" i="40" s="1"/>
  <c r="CB67" i="40"/>
  <c r="CC67" i="40" s="1"/>
  <c r="CB63" i="40"/>
  <c r="CB59" i="40"/>
  <c r="CC59" i="40" s="1"/>
  <c r="CB55" i="40"/>
  <c r="CB51" i="40"/>
  <c r="CC51" i="40" s="1"/>
  <c r="CB47" i="40"/>
  <c r="CB43" i="40"/>
  <c r="CB39" i="40"/>
  <c r="CB35" i="40"/>
  <c r="CB31" i="40"/>
  <c r="CC31" i="40" s="1"/>
  <c r="CB27" i="40"/>
  <c r="CC27" i="40" s="1"/>
  <c r="CB23" i="40"/>
  <c r="CC23" i="40" s="1"/>
  <c r="CB19" i="40"/>
  <c r="CC19" i="40" s="1"/>
  <c r="CB15" i="40"/>
  <c r="CB11" i="40"/>
  <c r="CC11" i="40" s="1"/>
  <c r="CB7" i="40"/>
  <c r="CC7" i="40" s="1"/>
  <c r="CB3" i="40"/>
  <c r="CC3" i="40" s="1"/>
  <c r="CB92" i="40"/>
  <c r="CC92" i="40" s="1"/>
  <c r="CB81" i="40"/>
  <c r="CC81" i="40" s="1"/>
  <c r="CB76" i="40"/>
  <c r="CB71" i="40"/>
  <c r="CC71" i="40" s="1"/>
  <c r="CB66" i="40"/>
  <c r="CC66" i="40" s="1"/>
  <c r="CB62" i="40"/>
  <c r="CC62" i="40" s="1"/>
  <c r="CB58" i="40"/>
  <c r="CC58" i="40" s="1"/>
  <c r="CB54" i="40"/>
  <c r="CB50" i="40"/>
  <c r="CB46" i="40"/>
  <c r="CB42" i="40"/>
  <c r="CC42" i="40" s="1"/>
  <c r="CB38" i="40"/>
  <c r="CC38" i="40" s="1"/>
  <c r="CB34" i="40"/>
  <c r="CC34" i="40" s="1"/>
  <c r="CB30" i="40"/>
  <c r="CC30" i="40" s="1"/>
  <c r="CB26" i="40"/>
  <c r="CC26" i="40" s="1"/>
  <c r="CB22" i="40"/>
  <c r="CC22" i="40" s="1"/>
  <c r="CB18" i="40"/>
  <c r="CC18" i="40" s="1"/>
  <c r="CB14" i="40"/>
  <c r="CC14" i="40" s="1"/>
  <c r="CB10" i="40"/>
  <c r="CB6" i="40"/>
  <c r="CB88" i="40"/>
  <c r="CC88" i="40" s="1"/>
  <c r="CB80" i="40"/>
  <c r="CB75" i="40"/>
  <c r="CB69" i="40"/>
  <c r="CC69" i="40" s="1"/>
  <c r="CB65" i="40"/>
  <c r="CC65" i="40" s="1"/>
  <c r="CB61" i="40"/>
  <c r="CB57" i="40"/>
  <c r="CC57" i="40" s="1"/>
  <c r="CB53" i="40"/>
  <c r="CB49" i="40"/>
  <c r="CB45" i="40"/>
  <c r="CC45" i="40" s="1"/>
  <c r="CB41" i="40"/>
  <c r="CB37" i="40"/>
  <c r="CB33" i="40"/>
  <c r="CB29" i="40"/>
  <c r="CC29" i="40" s="1"/>
  <c r="CB25" i="40"/>
  <c r="CC25" i="40" s="1"/>
  <c r="CB21" i="40"/>
  <c r="CC21" i="40" s="1"/>
  <c r="CB17" i="40"/>
  <c r="CB13" i="40"/>
  <c r="CC13" i="40" s="1"/>
  <c r="CB9" i="40"/>
  <c r="CC9" i="40" s="1"/>
  <c r="CB5" i="40"/>
  <c r="CB85" i="40"/>
  <c r="CB79" i="40"/>
  <c r="CC79" i="40" s="1"/>
  <c r="CB73" i="40"/>
  <c r="CB68" i="40"/>
  <c r="CB64" i="40"/>
  <c r="CB60" i="40"/>
  <c r="CC60" i="40" s="1"/>
  <c r="CB56" i="40"/>
  <c r="CB52" i="40"/>
  <c r="CB48" i="40"/>
  <c r="CB44" i="40"/>
  <c r="CC44" i="40" s="1"/>
  <c r="CB40" i="40"/>
  <c r="CB36" i="40"/>
  <c r="CC36" i="40" s="1"/>
  <c r="CB32" i="40"/>
  <c r="CB28" i="40"/>
  <c r="CB24" i="40"/>
  <c r="CC24" i="40" s="1"/>
  <c r="CB20" i="40"/>
  <c r="CC20" i="40" s="1"/>
  <c r="CB16" i="40"/>
  <c r="CB12" i="40"/>
  <c r="CC12" i="40" s="1"/>
  <c r="CB8" i="40"/>
  <c r="CC8" i="40" s="1"/>
  <c r="CB4" i="40"/>
  <c r="CC4" i="40" s="1"/>
  <c r="BI6" i="40"/>
  <c r="G376" i="1"/>
  <c r="F376" i="1" s="1"/>
  <c r="Q15" i="23"/>
  <c r="AL4" i="23"/>
  <c r="Z150" i="23"/>
  <c r="AA150" i="23" s="1"/>
  <c r="AB150" i="23" s="1"/>
  <c r="Z154" i="23"/>
  <c r="AA154" i="23" s="1"/>
  <c r="Z143" i="23"/>
  <c r="AA143" i="23" s="1"/>
  <c r="AB143" i="23" s="1"/>
  <c r="Z146" i="23"/>
  <c r="AA146" i="23" s="1"/>
  <c r="Z147" i="23"/>
  <c r="AA147" i="23" s="1"/>
  <c r="Z151" i="23"/>
  <c r="AA151" i="23" s="1"/>
  <c r="AB151" i="23" s="1"/>
  <c r="Z155" i="23"/>
  <c r="AA155" i="23" s="1"/>
  <c r="Z157" i="23"/>
  <c r="AA157" i="23" s="1"/>
  <c r="AB157" i="23" s="1"/>
  <c r="Z144" i="23"/>
  <c r="AA144" i="23" s="1"/>
  <c r="AB144" i="23" s="1"/>
  <c r="Z148" i="23"/>
  <c r="AA148" i="23" s="1"/>
  <c r="AB148" i="23" s="1"/>
  <c r="Z152" i="23"/>
  <c r="AA152" i="23" s="1"/>
  <c r="AB152" i="23" s="1"/>
  <c r="Z156" i="23"/>
  <c r="AA156" i="23" s="1"/>
  <c r="AD40" i="23"/>
  <c r="P186" i="1" s="1"/>
  <c r="O186" i="1" s="1"/>
  <c r="Z145" i="23"/>
  <c r="AA145" i="23" s="1"/>
  <c r="Z149" i="23"/>
  <c r="AA149" i="23" s="1"/>
  <c r="Z153" i="23"/>
  <c r="AA153" i="23" s="1"/>
  <c r="I395" i="23"/>
  <c r="V385" i="23" s="1"/>
  <c r="O15" i="23"/>
  <c r="R95" i="23"/>
  <c r="B217" i="23"/>
  <c r="A218" i="23"/>
  <c r="X47" i="18"/>
  <c r="Y47" i="18"/>
  <c r="AA47" i="18" s="1"/>
  <c r="AB47" i="18" s="1"/>
  <c r="W48" i="18"/>
  <c r="Z48" i="18" s="1"/>
  <c r="AD170" i="71" l="1"/>
  <c r="AD171" i="71" s="1"/>
  <c r="AA135" i="18"/>
  <c r="AV11" i="18" s="1"/>
  <c r="R109" i="71"/>
  <c r="S108" i="71"/>
  <c r="AL14" i="23"/>
  <c r="AL12" i="23"/>
  <c r="GG8" i="30" s="1"/>
  <c r="AL10" i="23"/>
  <c r="AL8" i="23"/>
  <c r="AL6" i="23"/>
  <c r="AL13" i="23"/>
  <c r="AL11" i="23"/>
  <c r="AL9" i="23"/>
  <c r="AL7" i="23"/>
  <c r="AA154" i="18"/>
  <c r="AV30" i="18" s="1"/>
  <c r="CZ15" i="30"/>
  <c r="CZ6" i="30"/>
  <c r="AA163" i="18"/>
  <c r="BB24" i="18" s="1"/>
  <c r="BC24" i="18" s="1"/>
  <c r="AA133" i="18"/>
  <c r="AV9" i="18" s="1"/>
  <c r="FD253" i="40"/>
  <c r="FC254" i="40"/>
  <c r="EY258" i="40"/>
  <c r="EX259" i="40"/>
  <c r="EI256" i="40"/>
  <c r="EJ255" i="40"/>
  <c r="EO256" i="40"/>
  <c r="EN257" i="40"/>
  <c r="FM254" i="40"/>
  <c r="FN253" i="40"/>
  <c r="ES256" i="40"/>
  <c r="ET255" i="40"/>
  <c r="FI255" i="40"/>
  <c r="FH256" i="40"/>
  <c r="ED256" i="40"/>
  <c r="EE255" i="40"/>
  <c r="FR257" i="40"/>
  <c r="FS256" i="40"/>
  <c r="AA126" i="18"/>
  <c r="BB2" i="18" s="1"/>
  <c r="BC2" i="18" s="1"/>
  <c r="AA150" i="18"/>
  <c r="BB17" i="18" s="1"/>
  <c r="BC17" i="18" s="1"/>
  <c r="AA130" i="18"/>
  <c r="AV6" i="18" s="1"/>
  <c r="DG67" i="40"/>
  <c r="DG108" i="40" s="1"/>
  <c r="DG123" i="40" s="1"/>
  <c r="DG141" i="40" s="1"/>
  <c r="AA146" i="18"/>
  <c r="AV22" i="18" s="1"/>
  <c r="DE58" i="40"/>
  <c r="DE74" i="40" s="1"/>
  <c r="BW152" i="40"/>
  <c r="BX152" i="40" s="1"/>
  <c r="BW310" i="40"/>
  <c r="BX310" i="40" s="1"/>
  <c r="DC10" i="40"/>
  <c r="DC30" i="40" s="1"/>
  <c r="DE103" i="40"/>
  <c r="DE144" i="40" s="1"/>
  <c r="DA26" i="40"/>
  <c r="DA36" i="40" s="1"/>
  <c r="DA57" i="40" s="1"/>
  <c r="DB21" i="40"/>
  <c r="DB39" i="40" s="1"/>
  <c r="DF34" i="40"/>
  <c r="DI20" i="40"/>
  <c r="DD28" i="40"/>
  <c r="DH13" i="40"/>
  <c r="BW320" i="40"/>
  <c r="BW203" i="40"/>
  <c r="BX203" i="40" s="1"/>
  <c r="BW21" i="40"/>
  <c r="BX21" i="40" s="1"/>
  <c r="BW193" i="40"/>
  <c r="BX193" i="40" s="1"/>
  <c r="BW49" i="40"/>
  <c r="BW86" i="40"/>
  <c r="BX86" i="40" s="1"/>
  <c r="BI11" i="40"/>
  <c r="Z6" i="63"/>
  <c r="Z33" i="63"/>
  <c r="Z34" i="63"/>
  <c r="Z25" i="63"/>
  <c r="Z17" i="63"/>
  <c r="Z22" i="63"/>
  <c r="Z13" i="63"/>
  <c r="Z10" i="63"/>
  <c r="Z32" i="63"/>
  <c r="Z30" i="63"/>
  <c r="Z23" i="63"/>
  <c r="Z28" i="63"/>
  <c r="Z20" i="63"/>
  <c r="Z7" i="63"/>
  <c r="Z11" i="63"/>
  <c r="Z12" i="63"/>
  <c r="Z35" i="63"/>
  <c r="Z27" i="63"/>
  <c r="Z21" i="63"/>
  <c r="Z26" i="63"/>
  <c r="Z18" i="63"/>
  <c r="Z9" i="63"/>
  <c r="Z14" i="63"/>
  <c r="Z8" i="63"/>
  <c r="Z15" i="63"/>
  <c r="Z31" i="63"/>
  <c r="Z29" i="63"/>
  <c r="Z19" i="63"/>
  <c r="Z24" i="63"/>
  <c r="Z16" i="63"/>
  <c r="Z29" i="59"/>
  <c r="Z20" i="59"/>
  <c r="Z16" i="59"/>
  <c r="Z32" i="59"/>
  <c r="Z30" i="59"/>
  <c r="Z23" i="59"/>
  <c r="Z13" i="59"/>
  <c r="Z22" i="59"/>
  <c r="Z28" i="59"/>
  <c r="Z26" i="59"/>
  <c r="Z19" i="59"/>
  <c r="Z12" i="59"/>
  <c r="Z17" i="59"/>
  <c r="Z25" i="59"/>
  <c r="Z18" i="59"/>
  <c r="Z35" i="59"/>
  <c r="Z24" i="59"/>
  <c r="Z21" i="59"/>
  <c r="Z15" i="59"/>
  <c r="Z31" i="59"/>
  <c r="Z34" i="59"/>
  <c r="Z27" i="59"/>
  <c r="Z14" i="59"/>
  <c r="Z33" i="59"/>
  <c r="AA149" i="18"/>
  <c r="AV25" i="18" s="1"/>
  <c r="AA136" i="18"/>
  <c r="AV12" i="18" s="1"/>
  <c r="AA128" i="18"/>
  <c r="AV4" i="18" s="1"/>
  <c r="Z18" i="54"/>
  <c r="Y81" i="54" s="1"/>
  <c r="Z22" i="54"/>
  <c r="Y85" i="54" s="1"/>
  <c r="AA152" i="18"/>
  <c r="BB18" i="18" s="1"/>
  <c r="Z29" i="54"/>
  <c r="Y92" i="54" s="1"/>
  <c r="Z14" i="54"/>
  <c r="Y77" i="54" s="1"/>
  <c r="AA129" i="18"/>
  <c r="AV5" i="18" s="1"/>
  <c r="Z20" i="54"/>
  <c r="Y83" i="54" s="1"/>
  <c r="Z24" i="54"/>
  <c r="Y87" i="54" s="1"/>
  <c r="AA156" i="18"/>
  <c r="AV32" i="18" s="1"/>
  <c r="Z21" i="54"/>
  <c r="Y84" i="54" s="1"/>
  <c r="Z15" i="54"/>
  <c r="Y78" i="54" s="1"/>
  <c r="Z34" i="54"/>
  <c r="Y97" i="54" s="1"/>
  <c r="Z11" i="54"/>
  <c r="Z13" i="54"/>
  <c r="Y76" i="54" s="1"/>
  <c r="Z7" i="54"/>
  <c r="Z9" i="54"/>
  <c r="Z33" i="54"/>
  <c r="Y96" i="54" s="1"/>
  <c r="Z35" i="54"/>
  <c r="Y98" i="54" s="1"/>
  <c r="Z25" i="54"/>
  <c r="Y88" i="54" s="1"/>
  <c r="Z27" i="54"/>
  <c r="Y90" i="54" s="1"/>
  <c r="Z17" i="54"/>
  <c r="Y80" i="54" s="1"/>
  <c r="Z19" i="54"/>
  <c r="Y82" i="54" s="1"/>
  <c r="Z12" i="54"/>
  <c r="Z16" i="54"/>
  <c r="Y79" i="54" s="1"/>
  <c r="Z8" i="54"/>
  <c r="Z10" i="54"/>
  <c r="Z26" i="54"/>
  <c r="Y89" i="54" s="1"/>
  <c r="Z6" i="54"/>
  <c r="Z28" i="54"/>
  <c r="Y91" i="54" s="1"/>
  <c r="Z31" i="54"/>
  <c r="Y94" i="54" s="1"/>
  <c r="Z30" i="54"/>
  <c r="Y93" i="54" s="1"/>
  <c r="Z23" i="54"/>
  <c r="Y86" i="54" s="1"/>
  <c r="DT4" i="40"/>
  <c r="L6" i="51" s="1"/>
  <c r="R6" i="51" s="1"/>
  <c r="S6" i="51" s="1"/>
  <c r="D326" i="1"/>
  <c r="L125" i="23"/>
  <c r="CW4" i="40"/>
  <c r="BN5" i="40"/>
  <c r="BN6" i="40" s="1"/>
  <c r="AA153" i="18"/>
  <c r="AV29" i="18" s="1"/>
  <c r="BN16" i="40"/>
  <c r="AA138" i="18"/>
  <c r="AV14" i="18" s="1"/>
  <c r="CR5" i="40"/>
  <c r="AA160" i="18"/>
  <c r="AV36" i="18" s="1"/>
  <c r="DU10" i="40"/>
  <c r="DV15" i="40"/>
  <c r="DW11" i="40"/>
  <c r="AA162" i="18"/>
  <c r="AV38" i="18" s="1"/>
  <c r="CC35" i="50"/>
  <c r="CD35" i="50" s="1"/>
  <c r="CC31" i="50"/>
  <c r="CD31" i="50" s="1"/>
  <c r="CC27" i="50"/>
  <c r="CD27" i="50" s="1"/>
  <c r="CC23" i="50"/>
  <c r="CD23" i="50" s="1"/>
  <c r="CC19" i="50"/>
  <c r="CD19" i="50" s="1"/>
  <c r="CC15" i="50"/>
  <c r="CD15" i="50" s="1"/>
  <c r="CC11" i="50"/>
  <c r="CD11" i="50" s="1"/>
  <c r="CC7" i="50"/>
  <c r="CD7" i="50" s="1"/>
  <c r="BT33" i="50"/>
  <c r="BU33" i="50" s="1"/>
  <c r="BT29" i="50"/>
  <c r="BU29" i="50" s="1"/>
  <c r="BT25" i="50"/>
  <c r="BU25" i="50" s="1"/>
  <c r="BT21" i="50"/>
  <c r="BU21" i="50" s="1"/>
  <c r="BT17" i="50"/>
  <c r="BU17" i="50" s="1"/>
  <c r="BT13" i="50"/>
  <c r="BU13" i="50" s="1"/>
  <c r="BT9" i="50"/>
  <c r="BU9" i="50" s="1"/>
  <c r="BK35" i="50"/>
  <c r="BL35" i="50" s="1"/>
  <c r="BK31" i="50"/>
  <c r="BL31" i="50" s="1"/>
  <c r="BK27" i="50"/>
  <c r="BL27" i="50" s="1"/>
  <c r="BK23" i="50"/>
  <c r="BL23" i="50" s="1"/>
  <c r="BK19" i="50"/>
  <c r="BL19" i="50" s="1"/>
  <c r="BK15" i="50"/>
  <c r="BL15" i="50" s="1"/>
  <c r="BK11" i="50"/>
  <c r="BL11" i="50" s="1"/>
  <c r="BK7" i="50"/>
  <c r="BL7" i="50" s="1"/>
  <c r="BB33" i="50"/>
  <c r="BC33" i="50" s="1"/>
  <c r="BB29" i="50"/>
  <c r="BC29" i="50" s="1"/>
  <c r="BB25" i="50"/>
  <c r="BC25" i="50" s="1"/>
  <c r="BB21" i="50"/>
  <c r="BC21" i="50" s="1"/>
  <c r="BB17" i="50"/>
  <c r="BC17" i="50" s="1"/>
  <c r="BB13" i="50"/>
  <c r="BC13" i="50" s="1"/>
  <c r="BB9" i="50"/>
  <c r="BC9" i="50" s="1"/>
  <c r="AS35" i="50"/>
  <c r="AT35" i="50" s="1"/>
  <c r="AS31" i="50"/>
  <c r="AT31" i="50" s="1"/>
  <c r="AS27" i="50"/>
  <c r="AT27" i="50" s="1"/>
  <c r="AS23" i="50"/>
  <c r="AT23" i="50" s="1"/>
  <c r="AS19" i="50"/>
  <c r="AT19" i="50" s="1"/>
  <c r="AS15" i="50"/>
  <c r="AT15" i="50" s="1"/>
  <c r="AS11" i="50"/>
  <c r="AT11" i="50" s="1"/>
  <c r="AS7" i="50"/>
  <c r="AT7" i="50" s="1"/>
  <c r="AJ33" i="50"/>
  <c r="AK33" i="50" s="1"/>
  <c r="AJ29" i="50"/>
  <c r="AK29" i="50" s="1"/>
  <c r="AJ25" i="50"/>
  <c r="AJ21" i="50"/>
  <c r="AJ17" i="50"/>
  <c r="AJ13" i="50"/>
  <c r="AJ9" i="50"/>
  <c r="AA35" i="50"/>
  <c r="AB35" i="50" s="1"/>
  <c r="AA31" i="50"/>
  <c r="AB31" i="50" s="1"/>
  <c r="AA27" i="50"/>
  <c r="AB27" i="50" s="1"/>
  <c r="AA23" i="50"/>
  <c r="AB23" i="50" s="1"/>
  <c r="AA19" i="50"/>
  <c r="AA15" i="50"/>
  <c r="AA11" i="50"/>
  <c r="AB11" i="50" s="1"/>
  <c r="AA7" i="50"/>
  <c r="AB7" i="50" s="1"/>
  <c r="R33" i="50"/>
  <c r="S33" i="50" s="1"/>
  <c r="R29" i="50"/>
  <c r="S29" i="50" s="1"/>
  <c r="R25" i="50"/>
  <c r="S25" i="50" s="1"/>
  <c r="R21" i="50"/>
  <c r="S21" i="50" s="1"/>
  <c r="R17" i="50"/>
  <c r="S17" i="50" s="1"/>
  <c r="R13" i="50"/>
  <c r="R9" i="50"/>
  <c r="S9" i="50" s="1"/>
  <c r="I35" i="50"/>
  <c r="J35" i="50" s="1"/>
  <c r="I31" i="50"/>
  <c r="J31" i="50" s="1"/>
  <c r="I27" i="50"/>
  <c r="J27" i="50" s="1"/>
  <c r="I23" i="50"/>
  <c r="J23" i="50" s="1"/>
  <c r="I19" i="50"/>
  <c r="J19" i="50" s="1"/>
  <c r="I15" i="50"/>
  <c r="I11" i="50"/>
  <c r="I7" i="50"/>
  <c r="J7" i="50" s="1"/>
  <c r="CC34" i="50"/>
  <c r="CD34" i="50" s="1"/>
  <c r="CC30" i="50"/>
  <c r="CD30" i="50" s="1"/>
  <c r="CC26" i="50"/>
  <c r="CD26" i="50" s="1"/>
  <c r="CC22" i="50"/>
  <c r="CD22" i="50" s="1"/>
  <c r="CC18" i="50"/>
  <c r="CD18" i="50" s="1"/>
  <c r="CC14" i="50"/>
  <c r="CD14" i="50" s="1"/>
  <c r="CC10" i="50"/>
  <c r="CD10" i="50" s="1"/>
  <c r="CC6" i="50"/>
  <c r="CD6" i="50" s="1"/>
  <c r="BT32" i="50"/>
  <c r="BU32" i="50" s="1"/>
  <c r="BT28" i="50"/>
  <c r="BU28" i="50" s="1"/>
  <c r="BT24" i="50"/>
  <c r="BU24" i="50" s="1"/>
  <c r="BT20" i="50"/>
  <c r="BU20" i="50" s="1"/>
  <c r="BT16" i="50"/>
  <c r="BU16" i="50" s="1"/>
  <c r="BT12" i="50"/>
  <c r="BU12" i="50" s="1"/>
  <c r="BT8" i="50"/>
  <c r="BU8" i="50" s="1"/>
  <c r="CC32" i="50"/>
  <c r="CD32" i="50" s="1"/>
  <c r="CC24" i="50"/>
  <c r="CD24" i="50" s="1"/>
  <c r="CC16" i="50"/>
  <c r="CD16" i="50" s="1"/>
  <c r="CC8" i="50"/>
  <c r="CD8" i="50" s="1"/>
  <c r="BT30" i="50"/>
  <c r="BU30" i="50" s="1"/>
  <c r="BT22" i="50"/>
  <c r="BU22" i="50" s="1"/>
  <c r="BT14" i="50"/>
  <c r="BU14" i="50" s="1"/>
  <c r="BT6" i="50"/>
  <c r="BU6" i="50" s="1"/>
  <c r="BK30" i="50"/>
  <c r="BL30" i="50" s="1"/>
  <c r="BK25" i="50"/>
  <c r="BL25" i="50" s="1"/>
  <c r="BK20" i="50"/>
  <c r="BL20" i="50" s="1"/>
  <c r="BK14" i="50"/>
  <c r="BL14" i="50" s="1"/>
  <c r="BK9" i="50"/>
  <c r="BL9" i="50" s="1"/>
  <c r="BB34" i="50"/>
  <c r="BC34" i="50" s="1"/>
  <c r="BB28" i="50"/>
  <c r="BC28" i="50" s="1"/>
  <c r="BB23" i="50"/>
  <c r="BC23" i="50" s="1"/>
  <c r="BB18" i="50"/>
  <c r="BC18" i="50" s="1"/>
  <c r="BB12" i="50"/>
  <c r="BC12" i="50" s="1"/>
  <c r="BB7" i="50"/>
  <c r="BC7" i="50" s="1"/>
  <c r="AS32" i="50"/>
  <c r="AT32" i="50" s="1"/>
  <c r="AS26" i="50"/>
  <c r="AT26" i="50" s="1"/>
  <c r="AS21" i="50"/>
  <c r="AT21" i="50" s="1"/>
  <c r="AS16" i="50"/>
  <c r="AT16" i="50" s="1"/>
  <c r="AS10" i="50"/>
  <c r="AT10" i="50" s="1"/>
  <c r="AJ35" i="50"/>
  <c r="AK35" i="50" s="1"/>
  <c r="AJ30" i="50"/>
  <c r="AK30" i="50" s="1"/>
  <c r="AJ24" i="50"/>
  <c r="AJ19" i="50"/>
  <c r="AJ14" i="50"/>
  <c r="AJ8" i="50"/>
  <c r="AA33" i="50"/>
  <c r="AB33" i="50" s="1"/>
  <c r="AA28" i="50"/>
  <c r="AB28" i="50" s="1"/>
  <c r="AA22" i="50"/>
  <c r="AB22" i="50" s="1"/>
  <c r="AA17" i="50"/>
  <c r="AA12" i="50"/>
  <c r="AB12" i="50" s="1"/>
  <c r="AA6" i="50"/>
  <c r="AB6" i="50" s="1"/>
  <c r="R31" i="50"/>
  <c r="S31" i="50" s="1"/>
  <c r="R26" i="50"/>
  <c r="S26" i="50" s="1"/>
  <c r="R20" i="50"/>
  <c r="S20" i="50" s="1"/>
  <c r="R15" i="50"/>
  <c r="R10" i="50"/>
  <c r="S10" i="50" s="1"/>
  <c r="I34" i="50"/>
  <c r="J34" i="50" s="1"/>
  <c r="I29" i="50"/>
  <c r="J29" i="50" s="1"/>
  <c r="I24" i="50"/>
  <c r="J24" i="50" s="1"/>
  <c r="I18" i="50"/>
  <c r="J18" i="50" s="1"/>
  <c r="I13" i="50"/>
  <c r="I8" i="50"/>
  <c r="J8" i="50" s="1"/>
  <c r="CC29" i="50"/>
  <c r="CD29" i="50" s="1"/>
  <c r="CC21" i="50"/>
  <c r="CD21" i="50" s="1"/>
  <c r="CC13" i="50"/>
  <c r="CD13" i="50" s="1"/>
  <c r="BT35" i="50"/>
  <c r="BU35" i="50" s="1"/>
  <c r="BT27" i="50"/>
  <c r="BU27" i="50" s="1"/>
  <c r="BT19" i="50"/>
  <c r="BU19" i="50" s="1"/>
  <c r="BT11" i="50"/>
  <c r="BU11" i="50" s="1"/>
  <c r="BK34" i="50"/>
  <c r="BL34" i="50" s="1"/>
  <c r="BK29" i="50"/>
  <c r="BL29" i="50" s="1"/>
  <c r="BK24" i="50"/>
  <c r="BL24" i="50" s="1"/>
  <c r="BK18" i="50"/>
  <c r="BL18" i="50" s="1"/>
  <c r="BK13" i="50"/>
  <c r="BL13" i="50" s="1"/>
  <c r="BK8" i="50"/>
  <c r="BL8" i="50" s="1"/>
  <c r="BB32" i="50"/>
  <c r="BC32" i="50" s="1"/>
  <c r="BB27" i="50"/>
  <c r="BC27" i="50" s="1"/>
  <c r="BB22" i="50"/>
  <c r="BC22" i="50" s="1"/>
  <c r="BB16" i="50"/>
  <c r="BC16" i="50" s="1"/>
  <c r="BB11" i="50"/>
  <c r="BC11" i="50" s="1"/>
  <c r="BB6" i="50"/>
  <c r="BC6" i="50" s="1"/>
  <c r="AS30" i="50"/>
  <c r="AT30" i="50" s="1"/>
  <c r="AS25" i="50"/>
  <c r="AT25" i="50" s="1"/>
  <c r="AS20" i="50"/>
  <c r="AT20" i="50" s="1"/>
  <c r="AS14" i="50"/>
  <c r="AT14" i="50" s="1"/>
  <c r="AS9" i="50"/>
  <c r="AT9" i="50" s="1"/>
  <c r="AJ34" i="50"/>
  <c r="AK34" i="50" s="1"/>
  <c r="AJ28" i="50"/>
  <c r="AJ23" i="50"/>
  <c r="AJ18" i="50"/>
  <c r="AJ12" i="50"/>
  <c r="AJ7" i="50"/>
  <c r="AK7" i="50" s="1"/>
  <c r="AA32" i="50"/>
  <c r="AB32" i="50" s="1"/>
  <c r="AA26" i="50"/>
  <c r="AB26" i="50" s="1"/>
  <c r="AA21" i="50"/>
  <c r="AB21" i="50" s="1"/>
  <c r="AA16" i="50"/>
  <c r="AA10" i="50"/>
  <c r="AB10" i="50" s="1"/>
  <c r="R35" i="50"/>
  <c r="S35" i="50" s="1"/>
  <c r="R30" i="50"/>
  <c r="S30" i="50" s="1"/>
  <c r="R24" i="50"/>
  <c r="S24" i="50" s="1"/>
  <c r="R19" i="50"/>
  <c r="S19" i="50" s="1"/>
  <c r="R14" i="50"/>
  <c r="R8" i="50"/>
  <c r="I33" i="50"/>
  <c r="J33" i="50" s="1"/>
  <c r="I28" i="50"/>
  <c r="J28" i="50" s="1"/>
  <c r="I22" i="50"/>
  <c r="J22" i="50" s="1"/>
  <c r="I17" i="50"/>
  <c r="J17" i="50" s="1"/>
  <c r="I12" i="50"/>
  <c r="I6" i="50"/>
  <c r="J6" i="50" s="1"/>
  <c r="CC28" i="50"/>
  <c r="CD28" i="50" s="1"/>
  <c r="CC20" i="50"/>
  <c r="CD20" i="50" s="1"/>
  <c r="CC12" i="50"/>
  <c r="CD12" i="50" s="1"/>
  <c r="BT34" i="50"/>
  <c r="BU34" i="50" s="1"/>
  <c r="BT26" i="50"/>
  <c r="BU26" i="50" s="1"/>
  <c r="BT18" i="50"/>
  <c r="BU18" i="50" s="1"/>
  <c r="BT10" i="50"/>
  <c r="BU10" i="50" s="1"/>
  <c r="BK33" i="50"/>
  <c r="BL33" i="50" s="1"/>
  <c r="BK28" i="50"/>
  <c r="BL28" i="50" s="1"/>
  <c r="BK22" i="50"/>
  <c r="BL22" i="50" s="1"/>
  <c r="BK17" i="50"/>
  <c r="BL17" i="50" s="1"/>
  <c r="BK12" i="50"/>
  <c r="BL12" i="50" s="1"/>
  <c r="BK6" i="50"/>
  <c r="BL6" i="50" s="1"/>
  <c r="BB31" i="50"/>
  <c r="BC31" i="50" s="1"/>
  <c r="BB26" i="50"/>
  <c r="BC26" i="50" s="1"/>
  <c r="BB20" i="50"/>
  <c r="BC20" i="50" s="1"/>
  <c r="BB15" i="50"/>
  <c r="BC15" i="50" s="1"/>
  <c r="BB10" i="50"/>
  <c r="BC10" i="50" s="1"/>
  <c r="AS34" i="50"/>
  <c r="AT34" i="50" s="1"/>
  <c r="AS29" i="50"/>
  <c r="AT29" i="50" s="1"/>
  <c r="AS24" i="50"/>
  <c r="AT24" i="50" s="1"/>
  <c r="AS18" i="50"/>
  <c r="AT18" i="50" s="1"/>
  <c r="AS13" i="50"/>
  <c r="AT13" i="50" s="1"/>
  <c r="AS8" i="50"/>
  <c r="AT8" i="50" s="1"/>
  <c r="AJ32" i="50"/>
  <c r="AK32" i="50" s="1"/>
  <c r="AJ27" i="50"/>
  <c r="AJ22" i="50"/>
  <c r="AJ16" i="50"/>
  <c r="AJ11" i="50"/>
  <c r="AJ6" i="50"/>
  <c r="AK6" i="50" s="1"/>
  <c r="AA30" i="50"/>
  <c r="AB30" i="50" s="1"/>
  <c r="AA25" i="50"/>
  <c r="AB25" i="50" s="1"/>
  <c r="AA20" i="50"/>
  <c r="AA14" i="50"/>
  <c r="AA9" i="50"/>
  <c r="AB9" i="50" s="1"/>
  <c r="R34" i="50"/>
  <c r="S34" i="50" s="1"/>
  <c r="R28" i="50"/>
  <c r="S28" i="50" s="1"/>
  <c r="R23" i="50"/>
  <c r="S23" i="50" s="1"/>
  <c r="R18" i="50"/>
  <c r="S18" i="50" s="1"/>
  <c r="R12" i="50"/>
  <c r="R7" i="50"/>
  <c r="S7" i="50" s="1"/>
  <c r="I32" i="50"/>
  <c r="J32" i="50" s="1"/>
  <c r="I26" i="50"/>
  <c r="J26" i="50" s="1"/>
  <c r="I21" i="50"/>
  <c r="J21" i="50" s="1"/>
  <c r="I16" i="50"/>
  <c r="I10" i="50"/>
  <c r="J10" i="50" s="1"/>
  <c r="CC33" i="50"/>
  <c r="CD33" i="50" s="1"/>
  <c r="CC25" i="50"/>
  <c r="CD25" i="50" s="1"/>
  <c r="CC17" i="50"/>
  <c r="CD17" i="50" s="1"/>
  <c r="CC9" i="50"/>
  <c r="CD9" i="50" s="1"/>
  <c r="BT31" i="50"/>
  <c r="BU31" i="50" s="1"/>
  <c r="BT23" i="50"/>
  <c r="BU23" i="50" s="1"/>
  <c r="BT15" i="50"/>
  <c r="BU15" i="50" s="1"/>
  <c r="BT7" i="50"/>
  <c r="BU7" i="50" s="1"/>
  <c r="BK32" i="50"/>
  <c r="BL32" i="50" s="1"/>
  <c r="BK26" i="50"/>
  <c r="BL26" i="50" s="1"/>
  <c r="BK21" i="50"/>
  <c r="BL21" i="50" s="1"/>
  <c r="BK16" i="50"/>
  <c r="BL16" i="50" s="1"/>
  <c r="BK10" i="50"/>
  <c r="BL10" i="50" s="1"/>
  <c r="BB35" i="50"/>
  <c r="BC35" i="50" s="1"/>
  <c r="BB30" i="50"/>
  <c r="BC30" i="50" s="1"/>
  <c r="BB24" i="50"/>
  <c r="BC24" i="50" s="1"/>
  <c r="BB19" i="50"/>
  <c r="BC19" i="50" s="1"/>
  <c r="BB14" i="50"/>
  <c r="BC14" i="50" s="1"/>
  <c r="BB8" i="50"/>
  <c r="BC8" i="50" s="1"/>
  <c r="AS33" i="50"/>
  <c r="AT33" i="50" s="1"/>
  <c r="AS28" i="50"/>
  <c r="AT28" i="50" s="1"/>
  <c r="AS22" i="50"/>
  <c r="AT22" i="50" s="1"/>
  <c r="AS17" i="50"/>
  <c r="AT17" i="50" s="1"/>
  <c r="AS12" i="50"/>
  <c r="AT12" i="50" s="1"/>
  <c r="AS6" i="50"/>
  <c r="AJ31" i="50"/>
  <c r="AK31" i="50" s="1"/>
  <c r="AJ10" i="50"/>
  <c r="AA18" i="50"/>
  <c r="R27" i="50"/>
  <c r="S27" i="50" s="1"/>
  <c r="R6" i="50"/>
  <c r="S6" i="50" s="1"/>
  <c r="I14" i="50"/>
  <c r="AJ26" i="50"/>
  <c r="AA34" i="50"/>
  <c r="AB34" i="50" s="1"/>
  <c r="AA13" i="50"/>
  <c r="AB13" i="50" s="1"/>
  <c r="R22" i="50"/>
  <c r="S22" i="50" s="1"/>
  <c r="I30" i="50"/>
  <c r="J30" i="50" s="1"/>
  <c r="I9" i="50"/>
  <c r="J9" i="50" s="1"/>
  <c r="AJ20" i="50"/>
  <c r="AA29" i="50"/>
  <c r="AB29" i="50" s="1"/>
  <c r="AA8" i="50"/>
  <c r="AB8" i="50" s="1"/>
  <c r="R16" i="50"/>
  <c r="S16" i="50" s="1"/>
  <c r="I25" i="50"/>
  <c r="J25" i="50" s="1"/>
  <c r="AJ15" i="50"/>
  <c r="AA24" i="50"/>
  <c r="AB24" i="50" s="1"/>
  <c r="R32" i="50"/>
  <c r="S32" i="50" s="1"/>
  <c r="R11" i="50"/>
  <c r="S11" i="50" s="1"/>
  <c r="I20" i="50"/>
  <c r="J20" i="50" s="1"/>
  <c r="DS5" i="40"/>
  <c r="DS7" i="40" s="1"/>
  <c r="AA131" i="18"/>
  <c r="AV7" i="18" s="1"/>
  <c r="AA137" i="18"/>
  <c r="AV13" i="18" s="1"/>
  <c r="BW59" i="40"/>
  <c r="BX59" i="40" s="1"/>
  <c r="BW34" i="40"/>
  <c r="BX34" i="40" s="1"/>
  <c r="BW216" i="40"/>
  <c r="BW384" i="40"/>
  <c r="BX384" i="40" s="1"/>
  <c r="BW277" i="40"/>
  <c r="BX277" i="40" s="1"/>
  <c r="BW174" i="40"/>
  <c r="BW398" i="40"/>
  <c r="BX398" i="40" s="1"/>
  <c r="BW287" i="40"/>
  <c r="BX287" i="40" s="1"/>
  <c r="AA161" i="18"/>
  <c r="AV37" i="18" s="1"/>
  <c r="BW20" i="40"/>
  <c r="BX20" i="40" s="1"/>
  <c r="BW54" i="40"/>
  <c r="BW236" i="40"/>
  <c r="BX236" i="40" s="1"/>
  <c r="BW81" i="40"/>
  <c r="BX81" i="40" s="1"/>
  <c r="BW305" i="40"/>
  <c r="BW198" i="40"/>
  <c r="BW91" i="40"/>
  <c r="BW315" i="40"/>
  <c r="BX315" i="40" s="1"/>
  <c r="BW29" i="40"/>
  <c r="BX29" i="40" s="1"/>
  <c r="BW128" i="40"/>
  <c r="BX128" i="40" s="1"/>
  <c r="BW300" i="40"/>
  <c r="BX300" i="40" s="1"/>
  <c r="BW165" i="40"/>
  <c r="BW389" i="40"/>
  <c r="BX389" i="40" s="1"/>
  <c r="BW286" i="40"/>
  <c r="BX286" i="40" s="1"/>
  <c r="BW175" i="40"/>
  <c r="BX175" i="40" s="1"/>
  <c r="BW399" i="40"/>
  <c r="BX399" i="40" s="1"/>
  <c r="AA140" i="18"/>
  <c r="AV16" i="18" s="1"/>
  <c r="AA141" i="18"/>
  <c r="BB11" i="18" s="1"/>
  <c r="BC11" i="18" s="1"/>
  <c r="AA143" i="18"/>
  <c r="AV19" i="18" s="1"/>
  <c r="AV23" i="18"/>
  <c r="AA148" i="18"/>
  <c r="BB15" i="18" s="1"/>
  <c r="BC15" i="18" s="1"/>
  <c r="AA151" i="18"/>
  <c r="AV27" i="18" s="1"/>
  <c r="BW19" i="40"/>
  <c r="BX19" i="40" s="1"/>
  <c r="BW69" i="40"/>
  <c r="BX69" i="40" s="1"/>
  <c r="BW172" i="40"/>
  <c r="BX172" i="40" s="1"/>
  <c r="BW109" i="40"/>
  <c r="BW226" i="40"/>
  <c r="BX226" i="40" s="1"/>
  <c r="BW115" i="40"/>
  <c r="BX115" i="40" s="1"/>
  <c r="BW40" i="40"/>
  <c r="BX40" i="40" s="1"/>
  <c r="BW88" i="40"/>
  <c r="BX88" i="40" s="1"/>
  <c r="BW256" i="40"/>
  <c r="BX256" i="40" s="1"/>
  <c r="BW344" i="40"/>
  <c r="BX344" i="40" s="1"/>
  <c r="BW221" i="40"/>
  <c r="BX221" i="40" s="1"/>
  <c r="BW337" i="40"/>
  <c r="BX337" i="40" s="1"/>
  <c r="BW114" i="40"/>
  <c r="BX114" i="40" s="1"/>
  <c r="BW342" i="40"/>
  <c r="BX342" i="40" s="1"/>
  <c r="BW227" i="40"/>
  <c r="BX227" i="40" s="1"/>
  <c r="BW347" i="40"/>
  <c r="BX347" i="40" s="1"/>
  <c r="BW39" i="40"/>
  <c r="BX39" i="40" s="1"/>
  <c r="BW60" i="40"/>
  <c r="BX60" i="40" s="1"/>
  <c r="BW14" i="40"/>
  <c r="BX14" i="40" s="1"/>
  <c r="BW108" i="40"/>
  <c r="BX108" i="40" s="1"/>
  <c r="BW192" i="40"/>
  <c r="BW280" i="40"/>
  <c r="BX280" i="40" s="1"/>
  <c r="BW364" i="40"/>
  <c r="BX364" i="40" s="1"/>
  <c r="BW133" i="40"/>
  <c r="BX133" i="40" s="1"/>
  <c r="BW253" i="40"/>
  <c r="BX253" i="40" s="1"/>
  <c r="BW365" i="40"/>
  <c r="BX365" i="40" s="1"/>
  <c r="BW142" i="40"/>
  <c r="BW258" i="40"/>
  <c r="BW370" i="40"/>
  <c r="BW143" i="40"/>
  <c r="BX143" i="40" s="1"/>
  <c r="BW259" i="40"/>
  <c r="BX259" i="40" s="1"/>
  <c r="BW371" i="40"/>
  <c r="BX371" i="40" s="1"/>
  <c r="BR356" i="40"/>
  <c r="BR167" i="40"/>
  <c r="BS167" i="40" s="1"/>
  <c r="BW4" i="40"/>
  <c r="BX4" i="40" s="1"/>
  <c r="BW7" i="40"/>
  <c r="BX7" i="40" s="1"/>
  <c r="BW27" i="40"/>
  <c r="BX27" i="40" s="1"/>
  <c r="BW51" i="40"/>
  <c r="BX51" i="40" s="1"/>
  <c r="BW72" i="40"/>
  <c r="BX72" i="40" s="1"/>
  <c r="BW28" i="40"/>
  <c r="BX28" i="40" s="1"/>
  <c r="BW52" i="40"/>
  <c r="BW76" i="40"/>
  <c r="BX76" i="40" s="1"/>
  <c r="BW37" i="40"/>
  <c r="BX37" i="40" s="1"/>
  <c r="BW61" i="40"/>
  <c r="BW17" i="40"/>
  <c r="BX17" i="40" s="1"/>
  <c r="BW22" i="40"/>
  <c r="BX22" i="40" s="1"/>
  <c r="BW46" i="40"/>
  <c r="BX46" i="40" s="1"/>
  <c r="BW66" i="40"/>
  <c r="BX66" i="40" s="1"/>
  <c r="BW96" i="40"/>
  <c r="BX96" i="40" s="1"/>
  <c r="BW120" i="40"/>
  <c r="BX120" i="40" s="1"/>
  <c r="BW140" i="40"/>
  <c r="BX140" i="40" s="1"/>
  <c r="BW160" i="40"/>
  <c r="BX160" i="40" s="1"/>
  <c r="BW184" i="40"/>
  <c r="BX184" i="40" s="1"/>
  <c r="BW204" i="40"/>
  <c r="BW224" i="40"/>
  <c r="BX224" i="40" s="1"/>
  <c r="BW248" i="40"/>
  <c r="BX248" i="40" s="1"/>
  <c r="BW268" i="40"/>
  <c r="BX268" i="40" s="1"/>
  <c r="BW288" i="40"/>
  <c r="BW312" i="40"/>
  <c r="BX312" i="40" s="1"/>
  <c r="BW332" i="40"/>
  <c r="BX332" i="40" s="1"/>
  <c r="BW352" i="40"/>
  <c r="BX352" i="40" s="1"/>
  <c r="BW376" i="40"/>
  <c r="BW400" i="40"/>
  <c r="BX400" i="40" s="1"/>
  <c r="BW93" i="40"/>
  <c r="BX93" i="40" s="1"/>
  <c r="BW125" i="40"/>
  <c r="BW149" i="40"/>
  <c r="BX149" i="40" s="1"/>
  <c r="BW177" i="40"/>
  <c r="BX177" i="40" s="1"/>
  <c r="BW209" i="40"/>
  <c r="BX209" i="40" s="1"/>
  <c r="BW237" i="40"/>
  <c r="BX237" i="40" s="1"/>
  <c r="BW261" i="40"/>
  <c r="BX261" i="40" s="1"/>
  <c r="BW293" i="40"/>
  <c r="BX293" i="40" s="1"/>
  <c r="BW321" i="40"/>
  <c r="BX321" i="40" s="1"/>
  <c r="BW349" i="40"/>
  <c r="BX349" i="40" s="1"/>
  <c r="BW381" i="40"/>
  <c r="BX381" i="40" s="1"/>
  <c r="BW405" i="40"/>
  <c r="BW98" i="40"/>
  <c r="BX98" i="40" s="1"/>
  <c r="BW130" i="40"/>
  <c r="BW158" i="40"/>
  <c r="BX158" i="40" s="1"/>
  <c r="BW182" i="40"/>
  <c r="BX182" i="40" s="1"/>
  <c r="BW214" i="40"/>
  <c r="BX214" i="40" s="1"/>
  <c r="BW242" i="40"/>
  <c r="BX242" i="40" s="1"/>
  <c r="BW270" i="40"/>
  <c r="BX270" i="40" s="1"/>
  <c r="BW302" i="40"/>
  <c r="BW326" i="40"/>
  <c r="BX326" i="40" s="1"/>
  <c r="BW354" i="40"/>
  <c r="BW386" i="40"/>
  <c r="BX386" i="40" s="1"/>
  <c r="BW75" i="40"/>
  <c r="BX75" i="40" s="1"/>
  <c r="BW99" i="40"/>
  <c r="BW131" i="40"/>
  <c r="BW159" i="40"/>
  <c r="BX159" i="40" s="1"/>
  <c r="BW187" i="40"/>
  <c r="BX187" i="40" s="1"/>
  <c r="BW219" i="40"/>
  <c r="BW243" i="40"/>
  <c r="BX243" i="40" s="1"/>
  <c r="BW271" i="40"/>
  <c r="BX271" i="40" s="1"/>
  <c r="BW303" i="40"/>
  <c r="BX303" i="40" s="1"/>
  <c r="BW331" i="40"/>
  <c r="BX331" i="40" s="1"/>
  <c r="BW355" i="40"/>
  <c r="BW387" i="40"/>
  <c r="BX387" i="40" s="1"/>
  <c r="BW9" i="40"/>
  <c r="BX9" i="40" s="1"/>
  <c r="BW11" i="40"/>
  <c r="BX11" i="40" s="1"/>
  <c r="BW35" i="40"/>
  <c r="BX35" i="40" s="1"/>
  <c r="BW55" i="40"/>
  <c r="BX55" i="40" s="1"/>
  <c r="BW12" i="40"/>
  <c r="BX12" i="40" s="1"/>
  <c r="BW36" i="40"/>
  <c r="BX36" i="40" s="1"/>
  <c r="BW56" i="40"/>
  <c r="BW5" i="40"/>
  <c r="BX5" i="40" s="1"/>
  <c r="BW45" i="40"/>
  <c r="BX45" i="40" s="1"/>
  <c r="BW65" i="40"/>
  <c r="BX65" i="40" s="1"/>
  <c r="BW25" i="40"/>
  <c r="BX25" i="40" s="1"/>
  <c r="BW30" i="40"/>
  <c r="BX30" i="40" s="1"/>
  <c r="BW50" i="40"/>
  <c r="BX50" i="40" s="1"/>
  <c r="BW70" i="40"/>
  <c r="BX70" i="40" s="1"/>
  <c r="BW104" i="40"/>
  <c r="BW124" i="40"/>
  <c r="BX124" i="40" s="1"/>
  <c r="BW144" i="40"/>
  <c r="BX144" i="40" s="1"/>
  <c r="BW168" i="40"/>
  <c r="BX168" i="40" s="1"/>
  <c r="BW188" i="40"/>
  <c r="BX188" i="40" s="1"/>
  <c r="BW208" i="40"/>
  <c r="BX208" i="40" s="1"/>
  <c r="BW232" i="40"/>
  <c r="BX232" i="40" s="1"/>
  <c r="BW252" i="40"/>
  <c r="BW272" i="40"/>
  <c r="BX272" i="40" s="1"/>
  <c r="BW296" i="40"/>
  <c r="BW316" i="40"/>
  <c r="BW336" i="40"/>
  <c r="BW360" i="40"/>
  <c r="BX360" i="40" s="1"/>
  <c r="BW380" i="40"/>
  <c r="BX380" i="40" s="1"/>
  <c r="BW404" i="40"/>
  <c r="BW101" i="40"/>
  <c r="BW129" i="40"/>
  <c r="BW157" i="40"/>
  <c r="BX157" i="40" s="1"/>
  <c r="BW189" i="40"/>
  <c r="BW213" i="40"/>
  <c r="BX213" i="40" s="1"/>
  <c r="BW241" i="40"/>
  <c r="BX241" i="40" s="1"/>
  <c r="BW273" i="40"/>
  <c r="BX273" i="40" s="1"/>
  <c r="BW301" i="40"/>
  <c r="BX301" i="40" s="1"/>
  <c r="BW325" i="40"/>
  <c r="BW357" i="40"/>
  <c r="BX357" i="40" s="1"/>
  <c r="BW385" i="40"/>
  <c r="BX385" i="40" s="1"/>
  <c r="BW78" i="40"/>
  <c r="BX78" i="40" s="1"/>
  <c r="BW110" i="40"/>
  <c r="BX110" i="40" s="1"/>
  <c r="BW134" i="40"/>
  <c r="BX134" i="40" s="1"/>
  <c r="BW162" i="40"/>
  <c r="BX162" i="40" s="1"/>
  <c r="BW194" i="40"/>
  <c r="BX194" i="40" s="1"/>
  <c r="BW222" i="40"/>
  <c r="BX222" i="40" s="1"/>
  <c r="BW246" i="40"/>
  <c r="BX246" i="40" s="1"/>
  <c r="BW278" i="40"/>
  <c r="BX278" i="40" s="1"/>
  <c r="BW306" i="40"/>
  <c r="BW334" i="40"/>
  <c r="BW366" i="40"/>
  <c r="BX366" i="40" s="1"/>
  <c r="BW390" i="40"/>
  <c r="BW79" i="40"/>
  <c r="BX79" i="40" s="1"/>
  <c r="BW111" i="40"/>
  <c r="BX111" i="40" s="1"/>
  <c r="BW139" i="40"/>
  <c r="BX139" i="40" s="1"/>
  <c r="BW163" i="40"/>
  <c r="BX163" i="40" s="1"/>
  <c r="BW195" i="40"/>
  <c r="BX195" i="40" s="1"/>
  <c r="BW223" i="40"/>
  <c r="BX223" i="40" s="1"/>
  <c r="BW251" i="40"/>
  <c r="BW283" i="40"/>
  <c r="BX283" i="40" s="1"/>
  <c r="BW307" i="40"/>
  <c r="BX307" i="40" s="1"/>
  <c r="BW335" i="40"/>
  <c r="BX335" i="40" s="1"/>
  <c r="BW367" i="40"/>
  <c r="BW395" i="40"/>
  <c r="BX395" i="40" s="1"/>
  <c r="BW3" i="40"/>
  <c r="BX3" i="40" s="1"/>
  <c r="BW23" i="40"/>
  <c r="BX23" i="40" s="1"/>
  <c r="BW43" i="40"/>
  <c r="BW67" i="40"/>
  <c r="BX67" i="40" s="1"/>
  <c r="BW24" i="40"/>
  <c r="BX24" i="40" s="1"/>
  <c r="BW44" i="40"/>
  <c r="BX44" i="40" s="1"/>
  <c r="BW68" i="40"/>
  <c r="BX68" i="40" s="1"/>
  <c r="BW33" i="40"/>
  <c r="BX33" i="40" s="1"/>
  <c r="BW53" i="40"/>
  <c r="BX53" i="40" s="1"/>
  <c r="BW8" i="40"/>
  <c r="BX8" i="40" s="1"/>
  <c r="BW18" i="40"/>
  <c r="BX18" i="40" s="1"/>
  <c r="BW38" i="40"/>
  <c r="BX38" i="40" s="1"/>
  <c r="BW62" i="40"/>
  <c r="BX62" i="40" s="1"/>
  <c r="BW92" i="40"/>
  <c r="BX92" i="40" s="1"/>
  <c r="BW112" i="40"/>
  <c r="BX112" i="40" s="1"/>
  <c r="BW136" i="40"/>
  <c r="BX136" i="40" s="1"/>
  <c r="BW156" i="40"/>
  <c r="BX156" i="40" s="1"/>
  <c r="BW176" i="40"/>
  <c r="BW200" i="40"/>
  <c r="BX200" i="40" s="1"/>
  <c r="BW220" i="40"/>
  <c r="BX220" i="40" s="1"/>
  <c r="BW240" i="40"/>
  <c r="BX240" i="40" s="1"/>
  <c r="BW264" i="40"/>
  <c r="BX264" i="40" s="1"/>
  <c r="BW284" i="40"/>
  <c r="BX284" i="40" s="1"/>
  <c r="BW304" i="40"/>
  <c r="BW328" i="40"/>
  <c r="BX328" i="40" s="1"/>
  <c r="BW348" i="40"/>
  <c r="BW368" i="40"/>
  <c r="BX368" i="40" s="1"/>
  <c r="BW396" i="40"/>
  <c r="BX396" i="40" s="1"/>
  <c r="BW85" i="40"/>
  <c r="BW113" i="40"/>
  <c r="BX113" i="40" s="1"/>
  <c r="BW145" i="40"/>
  <c r="BX145" i="40" s="1"/>
  <c r="BW173" i="40"/>
  <c r="BX173" i="40" s="1"/>
  <c r="BW197" i="40"/>
  <c r="BW229" i="40"/>
  <c r="BX229" i="40" s="1"/>
  <c r="BW257" i="40"/>
  <c r="BX257" i="40" s="1"/>
  <c r="BW285" i="40"/>
  <c r="BX285" i="40" s="1"/>
  <c r="BW317" i="40"/>
  <c r="BX317" i="40" s="1"/>
  <c r="BW341" i="40"/>
  <c r="BX341" i="40" s="1"/>
  <c r="BW369" i="40"/>
  <c r="BX369" i="40" s="1"/>
  <c r="BW401" i="40"/>
  <c r="BX401" i="40" s="1"/>
  <c r="BW94" i="40"/>
  <c r="BX94" i="40" s="1"/>
  <c r="BW118" i="40"/>
  <c r="BW150" i="40"/>
  <c r="BX150" i="40" s="1"/>
  <c r="BW178" i="40"/>
  <c r="BX178" i="40" s="1"/>
  <c r="BW206" i="40"/>
  <c r="BX206" i="40" s="1"/>
  <c r="BW238" i="40"/>
  <c r="BX238" i="40" s="1"/>
  <c r="BW262" i="40"/>
  <c r="BX262" i="40" s="1"/>
  <c r="BW290" i="40"/>
  <c r="BX290" i="40" s="1"/>
  <c r="BW322" i="40"/>
  <c r="BX322" i="40" s="1"/>
  <c r="BW350" i="40"/>
  <c r="BX350" i="40" s="1"/>
  <c r="BW374" i="40"/>
  <c r="BW406" i="40"/>
  <c r="BX406" i="40" s="1"/>
  <c r="BW95" i="40"/>
  <c r="BX95" i="40" s="1"/>
  <c r="BW123" i="40"/>
  <c r="BX123" i="40" s="1"/>
  <c r="BW155" i="40"/>
  <c r="BX155" i="40" s="1"/>
  <c r="BW179" i="40"/>
  <c r="BX179" i="40" s="1"/>
  <c r="BW207" i="40"/>
  <c r="BW239" i="40"/>
  <c r="BX239" i="40" s="1"/>
  <c r="BW267" i="40"/>
  <c r="BX267" i="40" s="1"/>
  <c r="BW291" i="40"/>
  <c r="BW323" i="40"/>
  <c r="BX323" i="40" s="1"/>
  <c r="BW351" i="40"/>
  <c r="BX351" i="40" s="1"/>
  <c r="BW379" i="40"/>
  <c r="BR389" i="40"/>
  <c r="BS389" i="40" s="1"/>
  <c r="BR316" i="40"/>
  <c r="BR106" i="40"/>
  <c r="BS106" i="40" s="1"/>
  <c r="BR157" i="40"/>
  <c r="BS157" i="40" s="1"/>
  <c r="BR402" i="40"/>
  <c r="BR131" i="40"/>
  <c r="BR35" i="40"/>
  <c r="BS35" i="40" s="1"/>
  <c r="BR345" i="40"/>
  <c r="BS345" i="40" s="1"/>
  <c r="BR8" i="40"/>
  <c r="BS8" i="40" s="1"/>
  <c r="BR62" i="40"/>
  <c r="BS62" i="40" s="1"/>
  <c r="BR294" i="40"/>
  <c r="BS294" i="40" s="1"/>
  <c r="BR159" i="40"/>
  <c r="BS159" i="40" s="1"/>
  <c r="BR216" i="40"/>
  <c r="BR59" i="40"/>
  <c r="BS59" i="40" s="1"/>
  <c r="BR117" i="40"/>
  <c r="BS117" i="40" s="1"/>
  <c r="BR353" i="40"/>
  <c r="BS353" i="40" s="1"/>
  <c r="BR234" i="40"/>
  <c r="BS234" i="40" s="1"/>
  <c r="BR238" i="40"/>
  <c r="BS238" i="40" s="1"/>
  <c r="BR30" i="40"/>
  <c r="BS30" i="40" s="1"/>
  <c r="BR223" i="40"/>
  <c r="BS223" i="40" s="1"/>
  <c r="BR245" i="40"/>
  <c r="BS245" i="40" s="1"/>
  <c r="BR209" i="40"/>
  <c r="BS209" i="40" s="1"/>
  <c r="BR322" i="40"/>
  <c r="BS322" i="40" s="1"/>
  <c r="BR265" i="40"/>
  <c r="BS265" i="40" s="1"/>
  <c r="BR273" i="40"/>
  <c r="BS273" i="40" s="1"/>
  <c r="BR343" i="40"/>
  <c r="BS343" i="40" s="1"/>
  <c r="BR272" i="40"/>
  <c r="BS272" i="40" s="1"/>
  <c r="BR130" i="40"/>
  <c r="BR340" i="40"/>
  <c r="BS340" i="40" s="1"/>
  <c r="BR407" i="40"/>
  <c r="BS407" i="40" s="1"/>
  <c r="BR57" i="40"/>
  <c r="BS57" i="40" s="1"/>
  <c r="BR34" i="40"/>
  <c r="BS34" i="40" s="1"/>
  <c r="BR184" i="40"/>
  <c r="BS184" i="40" s="1"/>
  <c r="BR290" i="40"/>
  <c r="BS290" i="40" s="1"/>
  <c r="BR293" i="40"/>
  <c r="BR282" i="40"/>
  <c r="BS282" i="40" s="1"/>
  <c r="BR66" i="40"/>
  <c r="BS66" i="40" s="1"/>
  <c r="BR213" i="40"/>
  <c r="BS213" i="40" s="1"/>
  <c r="BR147" i="40"/>
  <c r="BR405" i="40"/>
  <c r="BR283" i="40"/>
  <c r="BS283" i="40" s="1"/>
  <c r="BR381" i="40"/>
  <c r="BS381" i="40" s="1"/>
  <c r="BR403" i="40"/>
  <c r="BR335" i="40"/>
  <c r="BS335" i="40" s="1"/>
  <c r="BR292" i="40"/>
  <c r="BS292" i="40" s="1"/>
  <c r="BR103" i="40"/>
  <c r="BS103" i="40" s="1"/>
  <c r="BR262" i="40"/>
  <c r="BS262" i="40" s="1"/>
  <c r="BR215" i="40"/>
  <c r="BS215" i="40" s="1"/>
  <c r="BR14" i="40"/>
  <c r="BS14" i="40" s="1"/>
  <c r="BR19" i="40"/>
  <c r="BS19" i="40" s="1"/>
  <c r="BR47" i="40"/>
  <c r="BR168" i="40"/>
  <c r="BS168" i="40" s="1"/>
  <c r="BR384" i="40"/>
  <c r="BS384" i="40" s="1"/>
  <c r="BR98" i="40"/>
  <c r="BS98" i="40" s="1"/>
  <c r="BR264" i="40"/>
  <c r="BS264" i="40" s="1"/>
  <c r="BR337" i="40"/>
  <c r="BS337" i="40" s="1"/>
  <c r="BR173" i="40"/>
  <c r="BS173" i="40" s="1"/>
  <c r="BR212" i="40"/>
  <c r="BR218" i="40"/>
  <c r="BS218" i="40" s="1"/>
  <c r="BR120" i="40"/>
  <c r="BS120" i="40" s="1"/>
  <c r="BR367" i="40"/>
  <c r="BR278" i="40"/>
  <c r="BS278" i="40" s="1"/>
  <c r="BR233" i="40"/>
  <c r="BR138" i="40"/>
  <c r="BS138" i="40" s="1"/>
  <c r="BR363" i="40"/>
  <c r="BS363" i="40" s="1"/>
  <c r="BR179" i="40"/>
  <c r="BS179" i="40" s="1"/>
  <c r="BR341" i="40"/>
  <c r="BS341" i="40" s="1"/>
  <c r="BR29" i="40"/>
  <c r="BS29" i="40" s="1"/>
  <c r="BR296" i="40"/>
  <c r="BR50" i="40"/>
  <c r="BS50" i="40" s="1"/>
  <c r="BR194" i="40"/>
  <c r="BS194" i="40" s="1"/>
  <c r="BR331" i="40"/>
  <c r="BS331" i="40" s="1"/>
  <c r="BR339" i="40"/>
  <c r="BS339" i="40" s="1"/>
  <c r="BR255" i="40"/>
  <c r="BS255" i="40" s="1"/>
  <c r="BR162" i="40"/>
  <c r="BS162" i="40" s="1"/>
  <c r="BR270" i="40"/>
  <c r="BR377" i="40"/>
  <c r="BS377" i="40" s="1"/>
  <c r="BR86" i="40"/>
  <c r="BS86" i="40" s="1"/>
  <c r="BW6" i="40"/>
  <c r="BX6" i="40" s="1"/>
  <c r="BW15" i="40"/>
  <c r="BX15" i="40" s="1"/>
  <c r="BW31" i="40"/>
  <c r="BX31" i="40" s="1"/>
  <c r="BW47" i="40"/>
  <c r="BW63" i="40"/>
  <c r="BX63" i="40" s="1"/>
  <c r="BW16" i="40"/>
  <c r="BX16" i="40" s="1"/>
  <c r="BW32" i="40"/>
  <c r="BX32" i="40" s="1"/>
  <c r="BW48" i="40"/>
  <c r="BX48" i="40" s="1"/>
  <c r="BW64" i="40"/>
  <c r="BW13" i="40"/>
  <c r="BX13" i="40" s="1"/>
  <c r="BW41" i="40"/>
  <c r="BW57" i="40"/>
  <c r="BX57" i="40" s="1"/>
  <c r="BW80" i="40"/>
  <c r="BW10" i="40"/>
  <c r="BX10" i="40" s="1"/>
  <c r="BW26" i="40"/>
  <c r="BX26" i="40" s="1"/>
  <c r="BW42" i="40"/>
  <c r="BX42" i="40" s="1"/>
  <c r="BW58" i="40"/>
  <c r="BX58" i="40" s="1"/>
  <c r="BW84" i="40"/>
  <c r="BX84" i="40" s="1"/>
  <c r="BW100" i="40"/>
  <c r="BW116" i="40"/>
  <c r="BX116" i="40" s="1"/>
  <c r="BW132" i="40"/>
  <c r="BX132" i="40" s="1"/>
  <c r="BW148" i="40"/>
  <c r="BW164" i="40"/>
  <c r="BX164" i="40" s="1"/>
  <c r="BW180" i="40"/>
  <c r="BX180" i="40" s="1"/>
  <c r="BW196" i="40"/>
  <c r="BX196" i="40" s="1"/>
  <c r="BW212" i="40"/>
  <c r="BW228" i="40"/>
  <c r="BX228" i="40" s="1"/>
  <c r="BW244" i="40"/>
  <c r="BW260" i="40"/>
  <c r="BX260" i="40" s="1"/>
  <c r="BW276" i="40"/>
  <c r="BX276" i="40" s="1"/>
  <c r="BW292" i="40"/>
  <c r="BX292" i="40" s="1"/>
  <c r="BW308" i="40"/>
  <c r="BX308" i="40" s="1"/>
  <c r="BW324" i="40"/>
  <c r="BX324" i="40" s="1"/>
  <c r="BW340" i="40"/>
  <c r="BX340" i="40" s="1"/>
  <c r="BW356" i="40"/>
  <c r="BW372" i="40"/>
  <c r="BX372" i="40" s="1"/>
  <c r="BW388" i="40"/>
  <c r="BX388" i="40" s="1"/>
  <c r="BW77" i="40"/>
  <c r="BX77" i="40" s="1"/>
  <c r="BW97" i="40"/>
  <c r="BW117" i="40"/>
  <c r="BX117" i="40" s="1"/>
  <c r="BW141" i="40"/>
  <c r="BX141" i="40" s="1"/>
  <c r="BW161" i="40"/>
  <c r="BX161" i="40" s="1"/>
  <c r="BW181" i="40"/>
  <c r="BX181" i="40" s="1"/>
  <c r="BW205" i="40"/>
  <c r="BX205" i="40" s="1"/>
  <c r="BW225" i="40"/>
  <c r="BX225" i="40" s="1"/>
  <c r="BW245" i="40"/>
  <c r="BX245" i="40" s="1"/>
  <c r="BW269" i="40"/>
  <c r="BW289" i="40"/>
  <c r="BX289" i="40" s="1"/>
  <c r="BW309" i="40"/>
  <c r="BX309" i="40" s="1"/>
  <c r="BW333" i="40"/>
  <c r="BX333" i="40" s="1"/>
  <c r="BW353" i="40"/>
  <c r="BX353" i="40" s="1"/>
  <c r="BW373" i="40"/>
  <c r="BX373" i="40" s="1"/>
  <c r="BW397" i="40"/>
  <c r="BW82" i="40"/>
  <c r="BX82" i="40" s="1"/>
  <c r="BW102" i="40"/>
  <c r="BX102" i="40" s="1"/>
  <c r="BW126" i="40"/>
  <c r="BX126" i="40" s="1"/>
  <c r="BW146" i="40"/>
  <c r="BX146" i="40" s="1"/>
  <c r="BW166" i="40"/>
  <c r="BX166" i="40" s="1"/>
  <c r="BW190" i="40"/>
  <c r="BW210" i="40"/>
  <c r="BX210" i="40" s="1"/>
  <c r="BW230" i="40"/>
  <c r="BX230" i="40" s="1"/>
  <c r="BW254" i="40"/>
  <c r="BX254" i="40" s="1"/>
  <c r="BW274" i="40"/>
  <c r="BX274" i="40" s="1"/>
  <c r="BW294" i="40"/>
  <c r="BX294" i="40" s="1"/>
  <c r="BW318" i="40"/>
  <c r="BW338" i="40"/>
  <c r="BX338" i="40" s="1"/>
  <c r="BW358" i="40"/>
  <c r="BX358" i="40" s="1"/>
  <c r="BW382" i="40"/>
  <c r="BW402" i="40"/>
  <c r="BX402" i="40" s="1"/>
  <c r="BW83" i="40"/>
  <c r="BX83" i="40" s="1"/>
  <c r="BW107" i="40"/>
  <c r="BX107" i="40" s="1"/>
  <c r="BW127" i="40"/>
  <c r="BX127" i="40" s="1"/>
  <c r="BW147" i="40"/>
  <c r="BW171" i="40"/>
  <c r="BW191" i="40"/>
  <c r="BX191" i="40" s="1"/>
  <c r="BW211" i="40"/>
  <c r="BX211" i="40" s="1"/>
  <c r="BW235" i="40"/>
  <c r="BW255" i="40"/>
  <c r="BX255" i="40" s="1"/>
  <c r="BW275" i="40"/>
  <c r="BX275" i="40" s="1"/>
  <c r="BW299" i="40"/>
  <c r="BX299" i="40" s="1"/>
  <c r="BW319" i="40"/>
  <c r="BX319" i="40" s="1"/>
  <c r="BW339" i="40"/>
  <c r="BX339" i="40" s="1"/>
  <c r="BW363" i="40"/>
  <c r="BX363" i="40" s="1"/>
  <c r="BW383" i="40"/>
  <c r="BX383" i="40" s="1"/>
  <c r="BW407" i="40"/>
  <c r="BX407" i="40" s="1"/>
  <c r="BW391" i="40"/>
  <c r="BW375" i="40"/>
  <c r="BW359" i="40"/>
  <c r="BX359" i="40" s="1"/>
  <c r="BW343" i="40"/>
  <c r="BX343" i="40" s="1"/>
  <c r="BW327" i="40"/>
  <c r="BX327" i="40" s="1"/>
  <c r="BW311" i="40"/>
  <c r="BW295" i="40"/>
  <c r="BX295" i="40" s="1"/>
  <c r="BW279" i="40"/>
  <c r="BX279" i="40" s="1"/>
  <c r="BW263" i="40"/>
  <c r="BX263" i="40" s="1"/>
  <c r="BW247" i="40"/>
  <c r="BX247" i="40" s="1"/>
  <c r="BW231" i="40"/>
  <c r="BX231" i="40" s="1"/>
  <c r="BW215" i="40"/>
  <c r="BX215" i="40" s="1"/>
  <c r="BW199" i="40"/>
  <c r="BW183" i="40"/>
  <c r="BX183" i="40" s="1"/>
  <c r="BW167" i="40"/>
  <c r="BX167" i="40" s="1"/>
  <c r="BW151" i="40"/>
  <c r="BX151" i="40" s="1"/>
  <c r="BW135" i="40"/>
  <c r="BX135" i="40" s="1"/>
  <c r="BW119" i="40"/>
  <c r="BW103" i="40"/>
  <c r="BX103" i="40" s="1"/>
  <c r="BW87" i="40"/>
  <c r="BX87" i="40" s="1"/>
  <c r="BW71" i="40"/>
  <c r="BX71" i="40" s="1"/>
  <c r="BW394" i="40"/>
  <c r="BW378" i="40"/>
  <c r="BW362" i="40"/>
  <c r="BX362" i="40" s="1"/>
  <c r="BW346" i="40"/>
  <c r="BX346" i="40" s="1"/>
  <c r="BW330" i="40"/>
  <c r="BX330" i="40" s="1"/>
  <c r="BW314" i="40"/>
  <c r="BX314" i="40" s="1"/>
  <c r="BW298" i="40"/>
  <c r="BX298" i="40" s="1"/>
  <c r="BW282" i="40"/>
  <c r="BX282" i="40" s="1"/>
  <c r="BW266" i="40"/>
  <c r="BX266" i="40" s="1"/>
  <c r="BW250" i="40"/>
  <c r="BW234" i="40"/>
  <c r="BX234" i="40" s="1"/>
  <c r="BW218" i="40"/>
  <c r="BX218" i="40" s="1"/>
  <c r="BW202" i="40"/>
  <c r="BX202" i="40" s="1"/>
  <c r="BW186" i="40"/>
  <c r="BX186" i="40" s="1"/>
  <c r="BW170" i="40"/>
  <c r="BX170" i="40" s="1"/>
  <c r="BW154" i="40"/>
  <c r="BW138" i="40"/>
  <c r="BX138" i="40" s="1"/>
  <c r="BW122" i="40"/>
  <c r="BX122" i="40" s="1"/>
  <c r="BW106" i="40"/>
  <c r="BX106" i="40" s="1"/>
  <c r="BW90" i="40"/>
  <c r="BW74" i="40"/>
  <c r="BX74" i="40" s="1"/>
  <c r="BW393" i="40"/>
  <c r="BX393" i="40" s="1"/>
  <c r="BW377" i="40"/>
  <c r="BX377" i="40" s="1"/>
  <c r="BW361" i="40"/>
  <c r="BW345" i="40"/>
  <c r="BX345" i="40" s="1"/>
  <c r="BW329" i="40"/>
  <c r="BX329" i="40" s="1"/>
  <c r="BW313" i="40"/>
  <c r="BX313" i="40" s="1"/>
  <c r="BW297" i="40"/>
  <c r="BW281" i="40"/>
  <c r="BX281" i="40" s="1"/>
  <c r="BW265" i="40"/>
  <c r="BX265" i="40" s="1"/>
  <c r="BW249" i="40"/>
  <c r="BX249" i="40" s="1"/>
  <c r="BW233" i="40"/>
  <c r="BW217" i="40"/>
  <c r="BW201" i="40"/>
  <c r="BX201" i="40" s="1"/>
  <c r="BW185" i="40"/>
  <c r="BW169" i="40"/>
  <c r="BX169" i="40" s="1"/>
  <c r="BW153" i="40"/>
  <c r="BX153" i="40" s="1"/>
  <c r="BW137" i="40"/>
  <c r="BX137" i="40" s="1"/>
  <c r="BW121" i="40"/>
  <c r="BX121" i="40" s="1"/>
  <c r="BW105" i="40"/>
  <c r="BX105" i="40" s="1"/>
  <c r="BW89" i="40"/>
  <c r="BW73" i="40"/>
  <c r="BX73" i="40" s="1"/>
  <c r="BW392" i="40"/>
  <c r="BX392" i="40" s="1"/>
  <c r="BR214" i="40"/>
  <c r="BR336" i="40"/>
  <c r="BR73" i="40"/>
  <c r="BS73" i="40" s="1"/>
  <c r="BR261" i="40"/>
  <c r="BS261" i="40" s="1"/>
  <c r="BR115" i="40"/>
  <c r="BS115" i="40" s="1"/>
  <c r="BR374" i="40"/>
  <c r="BR242" i="40"/>
  <c r="BS242" i="40" s="1"/>
  <c r="BR257" i="40"/>
  <c r="BS257" i="40" s="1"/>
  <c r="BR64" i="40"/>
  <c r="BR364" i="40"/>
  <c r="BS364" i="40" s="1"/>
  <c r="BR226" i="40"/>
  <c r="BR312" i="40"/>
  <c r="BS312" i="40" s="1"/>
  <c r="BR52" i="40"/>
  <c r="BR125" i="40"/>
  <c r="BR198" i="40"/>
  <c r="BR78" i="40"/>
  <c r="BS78" i="40" s="1"/>
  <c r="BR55" i="40"/>
  <c r="BS55" i="40" s="1"/>
  <c r="BR67" i="40"/>
  <c r="BS67" i="40" s="1"/>
  <c r="BR365" i="40"/>
  <c r="BS365" i="40" s="1"/>
  <c r="BR122" i="40"/>
  <c r="BS122" i="40" s="1"/>
  <c r="BR27" i="40"/>
  <c r="BS27" i="40" s="1"/>
  <c r="BR222" i="40"/>
  <c r="BS222" i="40" s="1"/>
  <c r="BR102" i="40"/>
  <c r="BS102" i="40" s="1"/>
  <c r="BR323" i="40"/>
  <c r="BS323" i="40" s="1"/>
  <c r="BR113" i="40"/>
  <c r="BS113" i="40" s="1"/>
  <c r="BR319" i="40"/>
  <c r="BS319" i="40" s="1"/>
  <c r="BR83" i="40"/>
  <c r="BS83" i="40" s="1"/>
  <c r="BR135" i="40"/>
  <c r="BS135" i="40" s="1"/>
  <c r="BR237" i="40"/>
  <c r="BS237" i="40" s="1"/>
  <c r="BR124" i="40"/>
  <c r="BS124" i="40" s="1"/>
  <c r="BR207" i="40"/>
  <c r="BR256" i="40"/>
  <c r="BS256" i="40" s="1"/>
  <c r="BR368" i="40"/>
  <c r="BS368" i="40" s="1"/>
  <c r="BR155" i="40"/>
  <c r="BS155" i="40" s="1"/>
  <c r="BR202" i="40"/>
  <c r="BR5" i="40"/>
  <c r="BR48" i="40"/>
  <c r="BS48" i="40" s="1"/>
  <c r="BR394" i="40"/>
  <c r="BR380" i="40"/>
  <c r="BS380" i="40" s="1"/>
  <c r="BR246" i="40"/>
  <c r="BR11" i="40"/>
  <c r="BS11" i="40" s="1"/>
  <c r="BR146" i="40"/>
  <c r="BS146" i="40" s="1"/>
  <c r="BR383" i="40"/>
  <c r="BS383" i="40" s="1"/>
  <c r="BR305" i="40"/>
  <c r="BR161" i="40"/>
  <c r="BR258" i="40"/>
  <c r="BR90" i="40"/>
  <c r="BR33" i="40"/>
  <c r="BS33" i="40" s="1"/>
  <c r="BR284" i="40"/>
  <c r="BS284" i="40" s="1"/>
  <c r="BR110" i="40"/>
  <c r="BS110" i="40" s="1"/>
  <c r="BR190" i="40"/>
  <c r="BR89" i="40"/>
  <c r="BR342" i="40"/>
  <c r="BS342" i="40" s="1"/>
  <c r="BR177" i="40"/>
  <c r="BS177" i="40" s="1"/>
  <c r="BR326" i="40"/>
  <c r="BS326" i="40" s="1"/>
  <c r="BR328" i="40"/>
  <c r="BS328" i="40" s="1"/>
  <c r="BR41" i="40"/>
  <c r="BR58" i="40"/>
  <c r="BS58" i="40" s="1"/>
  <c r="BR111" i="40"/>
  <c r="BS111" i="40" s="1"/>
  <c r="BR4" i="40"/>
  <c r="BS4" i="40" s="1"/>
  <c r="BR187" i="40"/>
  <c r="BS187" i="40" s="1"/>
  <c r="BR287" i="40"/>
  <c r="BS287" i="40" s="1"/>
  <c r="BR324" i="40"/>
  <c r="BS324" i="40" s="1"/>
  <c r="BR175" i="40"/>
  <c r="BS175" i="40" s="1"/>
  <c r="BR276" i="40"/>
  <c r="BS276" i="40" s="1"/>
  <c r="BR101" i="40"/>
  <c r="BR9" i="40"/>
  <c r="BS9" i="40" s="1"/>
  <c r="BR274" i="40"/>
  <c r="BS274" i="40" s="1"/>
  <c r="BR197" i="40"/>
  <c r="BR267" i="40"/>
  <c r="BS267" i="40" s="1"/>
  <c r="BR176" i="40"/>
  <c r="BR338" i="40"/>
  <c r="BS338" i="40" s="1"/>
  <c r="BR183" i="40"/>
  <c r="BS183" i="40" s="1"/>
  <c r="BR285" i="40"/>
  <c r="BS285" i="40" s="1"/>
  <c r="BR116" i="40"/>
  <c r="BS116" i="40" s="1"/>
  <c r="BR25" i="40"/>
  <c r="BS25" i="40" s="1"/>
  <c r="BR42" i="40"/>
  <c r="BS42" i="40" s="1"/>
  <c r="BR286" i="40"/>
  <c r="BS286" i="40" s="1"/>
  <c r="BR357" i="40"/>
  <c r="BS357" i="40" s="1"/>
  <c r="BR105" i="40"/>
  <c r="BS105" i="40" s="1"/>
  <c r="BR351" i="40"/>
  <c r="BS351" i="40" s="1"/>
  <c r="BR240" i="40"/>
  <c r="BR404" i="40"/>
  <c r="BR329" i="40"/>
  <c r="BS329" i="40" s="1"/>
  <c r="BR63" i="40"/>
  <c r="BS63" i="40" s="1"/>
  <c r="BR169" i="40"/>
  <c r="BS169" i="40" s="1"/>
  <c r="BR396" i="40"/>
  <c r="BS396" i="40" s="1"/>
  <c r="BR151" i="40"/>
  <c r="BS151" i="40" s="1"/>
  <c r="BR271" i="40"/>
  <c r="BS271" i="40" s="1"/>
  <c r="BR269" i="40"/>
  <c r="BR141" i="40"/>
  <c r="BS141" i="40" s="1"/>
  <c r="BR196" i="40"/>
  <c r="BS196" i="40" s="1"/>
  <c r="BR54" i="40"/>
  <c r="BR10" i="40"/>
  <c r="BR156" i="40"/>
  <c r="BS156" i="40" s="1"/>
  <c r="BR227" i="40"/>
  <c r="BS227" i="40" s="1"/>
  <c r="BR275" i="40"/>
  <c r="BS275" i="40" s="1"/>
  <c r="BR193" i="40"/>
  <c r="BS193" i="40" s="1"/>
  <c r="BR373" i="40"/>
  <c r="BS373" i="40" s="1"/>
  <c r="BR385" i="40"/>
  <c r="BS385" i="40" s="1"/>
  <c r="BR304" i="40"/>
  <c r="BR185" i="40"/>
  <c r="BR397" i="40"/>
  <c r="BR171" i="40"/>
  <c r="BR145" i="40"/>
  <c r="BS145" i="40" s="1"/>
  <c r="BR165" i="40"/>
  <c r="BR43" i="40"/>
  <c r="BR327" i="40"/>
  <c r="BS327" i="40" s="1"/>
  <c r="BR346" i="40"/>
  <c r="BS346" i="40" s="1"/>
  <c r="BR91" i="40"/>
  <c r="BR360" i="40"/>
  <c r="BS360" i="40" s="1"/>
  <c r="BR137" i="40"/>
  <c r="BS137" i="40" s="1"/>
  <c r="BR3" i="40"/>
  <c r="BS3" i="40" s="1"/>
  <c r="BR317" i="40"/>
  <c r="BS317" i="40" s="1"/>
  <c r="BR235" i="40"/>
  <c r="BR100" i="40"/>
  <c r="BR311" i="40"/>
  <c r="BR229" i="40"/>
  <c r="BS229" i="40" s="1"/>
  <c r="BR382" i="40"/>
  <c r="BR398" i="40"/>
  <c r="BR129" i="40"/>
  <c r="BR123" i="40"/>
  <c r="BS123" i="40" s="1"/>
  <c r="BR371" i="40"/>
  <c r="BS371" i="40" s="1"/>
  <c r="BR97" i="40"/>
  <c r="BR28" i="40"/>
  <c r="BR114" i="40"/>
  <c r="BS114" i="40" s="1"/>
  <c r="BR71" i="40"/>
  <c r="BS71" i="40" s="1"/>
  <c r="BR224" i="40"/>
  <c r="BS224" i="40" s="1"/>
  <c r="BR26" i="40"/>
  <c r="BS26" i="40" s="1"/>
  <c r="BR303" i="40"/>
  <c r="BS303" i="40" s="1"/>
  <c r="BR112" i="40"/>
  <c r="BS112" i="40" s="1"/>
  <c r="BR352" i="40"/>
  <c r="BS352" i="40" s="1"/>
  <c r="BR220" i="40"/>
  <c r="BS220" i="40" s="1"/>
  <c r="BR279" i="40"/>
  <c r="BS279" i="40" s="1"/>
  <c r="BR7" i="40"/>
  <c r="BR401" i="40"/>
  <c r="BS401" i="40" s="1"/>
  <c r="BR181" i="40"/>
  <c r="BS181" i="40" s="1"/>
  <c r="BR400" i="40"/>
  <c r="BS400" i="40" s="1"/>
  <c r="BR236" i="40"/>
  <c r="BS236" i="40" s="1"/>
  <c r="BR108" i="40"/>
  <c r="BS108" i="40" s="1"/>
  <c r="BR309" i="40"/>
  <c r="BS309" i="40" s="1"/>
  <c r="BR172" i="40"/>
  <c r="BS172" i="40" s="1"/>
  <c r="BR121" i="40"/>
  <c r="BS121" i="40" s="1"/>
  <c r="BR22" i="40"/>
  <c r="BS22" i="40" s="1"/>
  <c r="BR266" i="40"/>
  <c r="BS266" i="40" s="1"/>
  <c r="BR45" i="40"/>
  <c r="BS45" i="40" s="1"/>
  <c r="BR310" i="40"/>
  <c r="BS310" i="40" s="1"/>
  <c r="BR158" i="40"/>
  <c r="BS158" i="40" s="1"/>
  <c r="BR361" i="40"/>
  <c r="BR259" i="40"/>
  <c r="BS259" i="40" s="1"/>
  <c r="BR88" i="40"/>
  <c r="BS88" i="40" s="1"/>
  <c r="BR17" i="40"/>
  <c r="BR18" i="40"/>
  <c r="BS18" i="40" s="1"/>
  <c r="BR219" i="40"/>
  <c r="BR65" i="40"/>
  <c r="BS65" i="40" s="1"/>
  <c r="BR250" i="40"/>
  <c r="BR92" i="40"/>
  <c r="BS92" i="40" s="1"/>
  <c r="BR318" i="40"/>
  <c r="BR182" i="40"/>
  <c r="BS182" i="40" s="1"/>
  <c r="BR347" i="40"/>
  <c r="BS347" i="40" s="1"/>
  <c r="BR127" i="40"/>
  <c r="BS127" i="40" s="1"/>
  <c r="BR251" i="40"/>
  <c r="BS251" i="40" s="1"/>
  <c r="BR334" i="40"/>
  <c r="BR49" i="40"/>
  <c r="BR180" i="40"/>
  <c r="BS180" i="40" s="1"/>
  <c r="BR307" i="40"/>
  <c r="BS307" i="40" s="1"/>
  <c r="BR44" i="40"/>
  <c r="BS44" i="40" s="1"/>
  <c r="BR195" i="40"/>
  <c r="BS195" i="40" s="1"/>
  <c r="BR299" i="40"/>
  <c r="BS299" i="40" s="1"/>
  <c r="BR12" i="40"/>
  <c r="BS12" i="40" s="1"/>
  <c r="BR79" i="40"/>
  <c r="BS79" i="40" s="1"/>
  <c r="BR313" i="40"/>
  <c r="BS313" i="40" s="1"/>
  <c r="BR188" i="40"/>
  <c r="BS188" i="40" s="1"/>
  <c r="BR298" i="40"/>
  <c r="BS298" i="40" s="1"/>
  <c r="BR393" i="40"/>
  <c r="BS393" i="40" s="1"/>
  <c r="BR128" i="40"/>
  <c r="BS128" i="40" s="1"/>
  <c r="BR252" i="40"/>
  <c r="BS252" i="40" s="1"/>
  <c r="BR369" i="40"/>
  <c r="BS369" i="40" s="1"/>
  <c r="BR99" i="40"/>
  <c r="BR239" i="40"/>
  <c r="BS239" i="40" s="1"/>
  <c r="BR31" i="40"/>
  <c r="BS31" i="40" s="1"/>
  <c r="BR191" i="40"/>
  <c r="BS191" i="40" s="1"/>
  <c r="BR206" i="40"/>
  <c r="BS206" i="40" s="1"/>
  <c r="BR143" i="40"/>
  <c r="BS143" i="40" s="1"/>
  <c r="BR268" i="40"/>
  <c r="BS268" i="40" s="1"/>
  <c r="BR348" i="40"/>
  <c r="BR53" i="40"/>
  <c r="BS53" i="40" s="1"/>
  <c r="BR192" i="40"/>
  <c r="BS192" i="40" s="1"/>
  <c r="BR315" i="40"/>
  <c r="BS315" i="40" s="1"/>
  <c r="BR84" i="40"/>
  <c r="BS84" i="40" s="1"/>
  <c r="BR208" i="40"/>
  <c r="BS208" i="40" s="1"/>
  <c r="BR325" i="40"/>
  <c r="BS325" i="40" s="1"/>
  <c r="BR38" i="40"/>
  <c r="BS38" i="40" s="1"/>
  <c r="BR107" i="40"/>
  <c r="BS107" i="40" s="1"/>
  <c r="BR388" i="40"/>
  <c r="BS388" i="40" s="1"/>
  <c r="BR201" i="40"/>
  <c r="BS201" i="40" s="1"/>
  <c r="BR314" i="40"/>
  <c r="BS314" i="40" s="1"/>
  <c r="BR24" i="40"/>
  <c r="BS24" i="40" s="1"/>
  <c r="BR149" i="40"/>
  <c r="BS149" i="40" s="1"/>
  <c r="BR281" i="40"/>
  <c r="BS281" i="40" s="1"/>
  <c r="BR39" i="40"/>
  <c r="BR126" i="40"/>
  <c r="BS126" i="40" s="1"/>
  <c r="BR249" i="40"/>
  <c r="BS249" i="40" s="1"/>
  <c r="BR15" i="40"/>
  <c r="BS15" i="40" s="1"/>
  <c r="BR13" i="40"/>
  <c r="BS13" i="40" s="1"/>
  <c r="BR244" i="40"/>
  <c r="BS244" i="40" s="1"/>
  <c r="BR301" i="40"/>
  <c r="BS301" i="40" s="1"/>
  <c r="BR20" i="40"/>
  <c r="BS20" i="40" s="1"/>
  <c r="BR40" i="40"/>
  <c r="BR6" i="40"/>
  <c r="BR390" i="40"/>
  <c r="BR248" i="40"/>
  <c r="BS248" i="40" s="1"/>
  <c r="BR203" i="40"/>
  <c r="BS203" i="40" s="1"/>
  <c r="BR302" i="40"/>
  <c r="BR291" i="40"/>
  <c r="BR163" i="40"/>
  <c r="BS163" i="40" s="1"/>
  <c r="BR70" i="40"/>
  <c r="BS70" i="40" s="1"/>
  <c r="BR150" i="40"/>
  <c r="BS150" i="40" s="1"/>
  <c r="BR399" i="40"/>
  <c r="BS399" i="40" s="1"/>
  <c r="BR230" i="40"/>
  <c r="BS230" i="40" s="1"/>
  <c r="BR153" i="40"/>
  <c r="BS153" i="40" s="1"/>
  <c r="BR355" i="40"/>
  <c r="BR104" i="40"/>
  <c r="BR136" i="40"/>
  <c r="BS136" i="40" s="1"/>
  <c r="BR211" i="40"/>
  <c r="BS211" i="40" s="1"/>
  <c r="BR81" i="40"/>
  <c r="BS81" i="40" s="1"/>
  <c r="BR204" i="40"/>
  <c r="BR148" i="40"/>
  <c r="BR386" i="40"/>
  <c r="BS386" i="40" s="1"/>
  <c r="BR93" i="40"/>
  <c r="BS93" i="40" s="1"/>
  <c r="BR378" i="40"/>
  <c r="BR76" i="40"/>
  <c r="BR308" i="40"/>
  <c r="BS308" i="40" s="1"/>
  <c r="BR243" i="40"/>
  <c r="BR80" i="40"/>
  <c r="BR178" i="40"/>
  <c r="BS178" i="40" s="1"/>
  <c r="BR74" i="40"/>
  <c r="BS74" i="40" s="1"/>
  <c r="BR289" i="40"/>
  <c r="BS289" i="40" s="1"/>
  <c r="BR133" i="40"/>
  <c r="BS133" i="40" s="1"/>
  <c r="BR56" i="40"/>
  <c r="BR132" i="40"/>
  <c r="BS132" i="40" s="1"/>
  <c r="BR109" i="40"/>
  <c r="BR119" i="40"/>
  <c r="BR392" i="40"/>
  <c r="BS392" i="40" s="1"/>
  <c r="BR152" i="40"/>
  <c r="BS152" i="40" s="1"/>
  <c r="BR139" i="40"/>
  <c r="BS139" i="40" s="1"/>
  <c r="BR189" i="40"/>
  <c r="BR205" i="40"/>
  <c r="BS205" i="40" s="1"/>
  <c r="BR75" i="40"/>
  <c r="BS75" i="40" s="1"/>
  <c r="BR391" i="40"/>
  <c r="BR140" i="40"/>
  <c r="BR372" i="40"/>
  <c r="BS372" i="40" s="1"/>
  <c r="BR87" i="40"/>
  <c r="BS87" i="40" s="1"/>
  <c r="BR260" i="40"/>
  <c r="BS260" i="40" s="1"/>
  <c r="BR231" i="40"/>
  <c r="BS231" i="40" s="1"/>
  <c r="BR375" i="40"/>
  <c r="BR379" i="40"/>
  <c r="BR82" i="40"/>
  <c r="BS82" i="40" s="1"/>
  <c r="BR376" i="40"/>
  <c r="BR349" i="40"/>
  <c r="BS349" i="40" s="1"/>
  <c r="BR228" i="40"/>
  <c r="BS228" i="40" s="1"/>
  <c r="BR96" i="40"/>
  <c r="BS96" i="40" s="1"/>
  <c r="BR406" i="40"/>
  <c r="BS406" i="40" s="1"/>
  <c r="BR46" i="40"/>
  <c r="BS46" i="40" s="1"/>
  <c r="BR306" i="40"/>
  <c r="BR61" i="40"/>
  <c r="BR225" i="40"/>
  <c r="BS225" i="40" s="1"/>
  <c r="BR254" i="40"/>
  <c r="BS254" i="40" s="1"/>
  <c r="BR118" i="40"/>
  <c r="BR387" i="40"/>
  <c r="BS387" i="40" s="1"/>
  <c r="BR37" i="40"/>
  <c r="BR300" i="40"/>
  <c r="BS300" i="40" s="1"/>
  <c r="BR232" i="40"/>
  <c r="BS232" i="40" s="1"/>
  <c r="BR69" i="40"/>
  <c r="BS69" i="40" s="1"/>
  <c r="BR395" i="40"/>
  <c r="BS395" i="40" s="1"/>
  <c r="BR366" i="40"/>
  <c r="BR32" i="40"/>
  <c r="BS32" i="40" s="1"/>
  <c r="BR16" i="40"/>
  <c r="BS16" i="40" s="1"/>
  <c r="BR263" i="40"/>
  <c r="BS263" i="40" s="1"/>
  <c r="BR174" i="40"/>
  <c r="BS174" i="40" s="1"/>
  <c r="BR241" i="40"/>
  <c r="BS241" i="40" s="1"/>
  <c r="BR166" i="40"/>
  <c r="BS166" i="40" s="1"/>
  <c r="BR350" i="40"/>
  <c r="BS350" i="40" s="1"/>
  <c r="BR160" i="40"/>
  <c r="BS160" i="40" s="1"/>
  <c r="BR344" i="40"/>
  <c r="BS344" i="40" s="1"/>
  <c r="BR354" i="40"/>
  <c r="BR77" i="40"/>
  <c r="BS77" i="40" s="1"/>
  <c r="BR321" i="40"/>
  <c r="BS321" i="40" s="1"/>
  <c r="BR280" i="40"/>
  <c r="BR288" i="40"/>
  <c r="BR142" i="40"/>
  <c r="BR333" i="40"/>
  <c r="BS333" i="40" s="1"/>
  <c r="BR186" i="40"/>
  <c r="BS186" i="40" s="1"/>
  <c r="BR358" i="40"/>
  <c r="BS358" i="40" s="1"/>
  <c r="BR210" i="40"/>
  <c r="BS210" i="40" s="1"/>
  <c r="BR21" i="40"/>
  <c r="BS21" i="40" s="1"/>
  <c r="BR297" i="40"/>
  <c r="BR164" i="40"/>
  <c r="BS164" i="40" s="1"/>
  <c r="BR134" i="40"/>
  <c r="BS134" i="40" s="1"/>
  <c r="BR68" i="40"/>
  <c r="BS68" i="40" s="1"/>
  <c r="BR247" i="40"/>
  <c r="BS247" i="40" s="1"/>
  <c r="BR60" i="40"/>
  <c r="BS60" i="40" s="1"/>
  <c r="BR295" i="40"/>
  <c r="BS295" i="40" s="1"/>
  <c r="BR144" i="40"/>
  <c r="BS144" i="40" s="1"/>
  <c r="BR362" i="40"/>
  <c r="BS362" i="40" s="1"/>
  <c r="BR217" i="40"/>
  <c r="BS217" i="40" s="1"/>
  <c r="BR330" i="40"/>
  <c r="BS330" i="40" s="1"/>
  <c r="BR23" i="40"/>
  <c r="BS23" i="40" s="1"/>
  <c r="BR359" i="40"/>
  <c r="BS359" i="40" s="1"/>
  <c r="BR199" i="40"/>
  <c r="BR95" i="40"/>
  <c r="BS95" i="40" s="1"/>
  <c r="BR221" i="40"/>
  <c r="BS221" i="40" s="1"/>
  <c r="BR51" i="40"/>
  <c r="BS51" i="40" s="1"/>
  <c r="BR320" i="40"/>
  <c r="BR170" i="40"/>
  <c r="BS170" i="40" s="1"/>
  <c r="BR200" i="40"/>
  <c r="BS200" i="40" s="1"/>
  <c r="BR85" i="40"/>
  <c r="BR253" i="40"/>
  <c r="BS253" i="40" s="1"/>
  <c r="BR72" i="40"/>
  <c r="BS72" i="40" s="1"/>
  <c r="BR332" i="40"/>
  <c r="BS332" i="40" s="1"/>
  <c r="BR154" i="40"/>
  <c r="BR370" i="40"/>
  <c r="BR277" i="40"/>
  <c r="BS277" i="40" s="1"/>
  <c r="BR36" i="40"/>
  <c r="BS36" i="40" s="1"/>
  <c r="CM5" i="40"/>
  <c r="CH5" i="40"/>
  <c r="CH6" i="40" s="1"/>
  <c r="CC33" i="49"/>
  <c r="CD33" i="49" s="1"/>
  <c r="CC29" i="49"/>
  <c r="CD29" i="49" s="1"/>
  <c r="CC25" i="49"/>
  <c r="CD25" i="49" s="1"/>
  <c r="CC21" i="49"/>
  <c r="CD21" i="49" s="1"/>
  <c r="CC17" i="49"/>
  <c r="CD17" i="49" s="1"/>
  <c r="CC13" i="49"/>
  <c r="CD13" i="49" s="1"/>
  <c r="CC9" i="49"/>
  <c r="CD9" i="49" s="1"/>
  <c r="BT35" i="49"/>
  <c r="BU35" i="49" s="1"/>
  <c r="BT31" i="49"/>
  <c r="BU31" i="49" s="1"/>
  <c r="BT27" i="49"/>
  <c r="BU27" i="49" s="1"/>
  <c r="BT23" i="49"/>
  <c r="BU23" i="49" s="1"/>
  <c r="BT19" i="49"/>
  <c r="BU19" i="49" s="1"/>
  <c r="BT15" i="49"/>
  <c r="BU15" i="49" s="1"/>
  <c r="BT11" i="49"/>
  <c r="BU11" i="49" s="1"/>
  <c r="BT7" i="49"/>
  <c r="BU7" i="49" s="1"/>
  <c r="BK33" i="49"/>
  <c r="BL33" i="49" s="1"/>
  <c r="BK29" i="49"/>
  <c r="BL29" i="49" s="1"/>
  <c r="BK25" i="49"/>
  <c r="BL25" i="49" s="1"/>
  <c r="BK21" i="49"/>
  <c r="BL21" i="49" s="1"/>
  <c r="BK17" i="49"/>
  <c r="BL17" i="49" s="1"/>
  <c r="BK13" i="49"/>
  <c r="BL13" i="49" s="1"/>
  <c r="BK9" i="49"/>
  <c r="BL9" i="49" s="1"/>
  <c r="BB35" i="49"/>
  <c r="BC35" i="49" s="1"/>
  <c r="BB31" i="49"/>
  <c r="BC31" i="49" s="1"/>
  <c r="BB27" i="49"/>
  <c r="BC27" i="49" s="1"/>
  <c r="BB23" i="49"/>
  <c r="BC23" i="49" s="1"/>
  <c r="CC34" i="49"/>
  <c r="CD34" i="49" s="1"/>
  <c r="CC30" i="49"/>
  <c r="CD30" i="49" s="1"/>
  <c r="CC26" i="49"/>
  <c r="CD26" i="49" s="1"/>
  <c r="CC22" i="49"/>
  <c r="CD22" i="49" s="1"/>
  <c r="CC18" i="49"/>
  <c r="CD18" i="49" s="1"/>
  <c r="CC14" i="49"/>
  <c r="CD14" i="49" s="1"/>
  <c r="CC10" i="49"/>
  <c r="CD10" i="49" s="1"/>
  <c r="CC6" i="49"/>
  <c r="CD6" i="49" s="1"/>
  <c r="BT32" i="49"/>
  <c r="BU32" i="49" s="1"/>
  <c r="BT28" i="49"/>
  <c r="BU28" i="49" s="1"/>
  <c r="BT24" i="49"/>
  <c r="BU24" i="49" s="1"/>
  <c r="BT20" i="49"/>
  <c r="BU20" i="49" s="1"/>
  <c r="BT16" i="49"/>
  <c r="BU16" i="49" s="1"/>
  <c r="BT12" i="49"/>
  <c r="BU12" i="49" s="1"/>
  <c r="BT8" i="49"/>
  <c r="BU8" i="49" s="1"/>
  <c r="BK34" i="49"/>
  <c r="BL34" i="49" s="1"/>
  <c r="BK30" i="49"/>
  <c r="BL30" i="49" s="1"/>
  <c r="BK26" i="49"/>
  <c r="BL26" i="49" s="1"/>
  <c r="BK22" i="49"/>
  <c r="BL22" i="49" s="1"/>
  <c r="BK18" i="49"/>
  <c r="BL18" i="49" s="1"/>
  <c r="BK14" i="49"/>
  <c r="BL14" i="49" s="1"/>
  <c r="BK10" i="49"/>
  <c r="BL10" i="49" s="1"/>
  <c r="BK6" i="49"/>
  <c r="BL6" i="49" s="1"/>
  <c r="BB32" i="49"/>
  <c r="BC32" i="49" s="1"/>
  <c r="BB28" i="49"/>
  <c r="BC28" i="49" s="1"/>
  <c r="BB24" i="49"/>
  <c r="BC24" i="49" s="1"/>
  <c r="BB20" i="49"/>
  <c r="BC20" i="49" s="1"/>
  <c r="BB16" i="49"/>
  <c r="BC16" i="49" s="1"/>
  <c r="BB12" i="49"/>
  <c r="BC12" i="49" s="1"/>
  <c r="BB8" i="49"/>
  <c r="BC8" i="49" s="1"/>
  <c r="CC35" i="49"/>
  <c r="CD35" i="49" s="1"/>
  <c r="CC27" i="49"/>
  <c r="CD27" i="49" s="1"/>
  <c r="CC19" i="49"/>
  <c r="CD19" i="49" s="1"/>
  <c r="CC11" i="49"/>
  <c r="CD11" i="49" s="1"/>
  <c r="BT33" i="49"/>
  <c r="BU33" i="49" s="1"/>
  <c r="BT25" i="49"/>
  <c r="BU25" i="49" s="1"/>
  <c r="BT17" i="49"/>
  <c r="BU17" i="49" s="1"/>
  <c r="BT9" i="49"/>
  <c r="BU9" i="49" s="1"/>
  <c r="BK31" i="49"/>
  <c r="BL31" i="49" s="1"/>
  <c r="BK23" i="49"/>
  <c r="BL23" i="49" s="1"/>
  <c r="BK15" i="49"/>
  <c r="BL15" i="49" s="1"/>
  <c r="BK7" i="49"/>
  <c r="BL7" i="49" s="1"/>
  <c r="BB29" i="49"/>
  <c r="BC29" i="49" s="1"/>
  <c r="BB21" i="49"/>
  <c r="BC21" i="49" s="1"/>
  <c r="BB15" i="49"/>
  <c r="BC15" i="49" s="1"/>
  <c r="BB10" i="49"/>
  <c r="BC10" i="49" s="1"/>
  <c r="CC32" i="49"/>
  <c r="CD32" i="49" s="1"/>
  <c r="CC24" i="49"/>
  <c r="CD24" i="49" s="1"/>
  <c r="CC16" i="49"/>
  <c r="CD16" i="49" s="1"/>
  <c r="CC8" i="49"/>
  <c r="CD8" i="49" s="1"/>
  <c r="BT30" i="49"/>
  <c r="BU30" i="49" s="1"/>
  <c r="BT22" i="49"/>
  <c r="BU22" i="49" s="1"/>
  <c r="BT14" i="49"/>
  <c r="BU14" i="49" s="1"/>
  <c r="BT6" i="49"/>
  <c r="BU6" i="49" s="1"/>
  <c r="BK28" i="49"/>
  <c r="BL28" i="49" s="1"/>
  <c r="BK20" i="49"/>
  <c r="BL20" i="49" s="1"/>
  <c r="BK12" i="49"/>
  <c r="BL12" i="49" s="1"/>
  <c r="BB34" i="49"/>
  <c r="BC34" i="49" s="1"/>
  <c r="BB26" i="49"/>
  <c r="BC26" i="49" s="1"/>
  <c r="BB19" i="49"/>
  <c r="BC19" i="49" s="1"/>
  <c r="BB14" i="49"/>
  <c r="BC14" i="49" s="1"/>
  <c r="BB9" i="49"/>
  <c r="BC9" i="49" s="1"/>
  <c r="CC31" i="49"/>
  <c r="CD31" i="49" s="1"/>
  <c r="CC23" i="49"/>
  <c r="CD23" i="49" s="1"/>
  <c r="CC15" i="49"/>
  <c r="CD15" i="49" s="1"/>
  <c r="CC7" i="49"/>
  <c r="CD7" i="49" s="1"/>
  <c r="BT29" i="49"/>
  <c r="BU29" i="49" s="1"/>
  <c r="BT21" i="49"/>
  <c r="BU21" i="49" s="1"/>
  <c r="BT13" i="49"/>
  <c r="BU13" i="49" s="1"/>
  <c r="BK35" i="49"/>
  <c r="BL35" i="49" s="1"/>
  <c r="BK27" i="49"/>
  <c r="BL27" i="49" s="1"/>
  <c r="BK19" i="49"/>
  <c r="BL19" i="49" s="1"/>
  <c r="BK11" i="49"/>
  <c r="BL11" i="49" s="1"/>
  <c r="BB33" i="49"/>
  <c r="BC33" i="49" s="1"/>
  <c r="BB25" i="49"/>
  <c r="BC25" i="49" s="1"/>
  <c r="BB18" i="49"/>
  <c r="BC18" i="49" s="1"/>
  <c r="BB13" i="49"/>
  <c r="BC13" i="49" s="1"/>
  <c r="BB7" i="49"/>
  <c r="BC7" i="49" s="1"/>
  <c r="CC28" i="49"/>
  <c r="CD28" i="49" s="1"/>
  <c r="CC20" i="49"/>
  <c r="CD20" i="49" s="1"/>
  <c r="CC12" i="49"/>
  <c r="CD12" i="49" s="1"/>
  <c r="BT34" i="49"/>
  <c r="BU34" i="49" s="1"/>
  <c r="BT26" i="49"/>
  <c r="BU26" i="49" s="1"/>
  <c r="BT18" i="49"/>
  <c r="BU18" i="49" s="1"/>
  <c r="BT10" i="49"/>
  <c r="BU10" i="49" s="1"/>
  <c r="BK32" i="49"/>
  <c r="BL32" i="49" s="1"/>
  <c r="BK24" i="49"/>
  <c r="BL24" i="49" s="1"/>
  <c r="BK16" i="49"/>
  <c r="BL16" i="49" s="1"/>
  <c r="BK8" i="49"/>
  <c r="BL8" i="49" s="1"/>
  <c r="BB30" i="49"/>
  <c r="BC30" i="49" s="1"/>
  <c r="BB22" i="49"/>
  <c r="BC22" i="49" s="1"/>
  <c r="BB17" i="49"/>
  <c r="BC17" i="49" s="1"/>
  <c r="BB11" i="49"/>
  <c r="BC11" i="49" s="1"/>
  <c r="BB6" i="49"/>
  <c r="BC6" i="49" s="1"/>
  <c r="CC5" i="40"/>
  <c r="CC6" i="40" s="1"/>
  <c r="CC16" i="40"/>
  <c r="FQ8" i="30"/>
  <c r="AV26" i="18"/>
  <c r="GO8" i="30"/>
  <c r="AB145" i="23"/>
  <c r="AB146" i="23" s="1"/>
  <c r="AB147" i="23" s="1"/>
  <c r="AB149" i="23" s="1"/>
  <c r="FI8" i="30"/>
  <c r="GK8" i="30"/>
  <c r="GC8" i="30"/>
  <c r="FY8" i="30"/>
  <c r="FM8" i="30"/>
  <c r="FU8" i="30"/>
  <c r="D311" i="1"/>
  <c r="R96" i="23"/>
  <c r="A219" i="23"/>
  <c r="B218" i="23"/>
  <c r="BB13" i="18"/>
  <c r="BB6" i="18"/>
  <c r="BC6" i="18" s="1"/>
  <c r="AV15" i="18"/>
  <c r="AV3" i="18"/>
  <c r="BB20" i="18"/>
  <c r="BB7" i="18"/>
  <c r="BC7" i="18" s="1"/>
  <c r="AV20" i="18"/>
  <c r="AV8" i="18"/>
  <c r="AV2" i="18"/>
  <c r="BB22" i="18"/>
  <c r="BC22" i="18" s="1"/>
  <c r="BB21" i="18"/>
  <c r="BC21" i="18" s="1"/>
  <c r="Y48" i="18"/>
  <c r="AA48" i="18" s="1"/>
  <c r="AB48" i="18" s="1"/>
  <c r="X48" i="18"/>
  <c r="W49" i="18"/>
  <c r="X49" i="18" s="1"/>
  <c r="AD173" i="71" l="1"/>
  <c r="AV39" i="18"/>
  <c r="R110" i="71"/>
  <c r="S109" i="71"/>
  <c r="BB16" i="18"/>
  <c r="BC16" i="18" s="1"/>
  <c r="EN258" i="40"/>
  <c r="EO257" i="40"/>
  <c r="EY259" i="40"/>
  <c r="EX260" i="40"/>
  <c r="ED257" i="40"/>
  <c r="EE256" i="40"/>
  <c r="ET256" i="40"/>
  <c r="ES257" i="40"/>
  <c r="FI256" i="40"/>
  <c r="FH257" i="40"/>
  <c r="FD254" i="40"/>
  <c r="FC255" i="40"/>
  <c r="FS257" i="40"/>
  <c r="FR258" i="40"/>
  <c r="FN254" i="40"/>
  <c r="FM255" i="40"/>
  <c r="EI257" i="40"/>
  <c r="EJ256" i="40"/>
  <c r="AB6" i="54"/>
  <c r="AC37" i="54" s="1"/>
  <c r="AD37" i="54" s="1"/>
  <c r="Y69" i="54"/>
  <c r="AB9" i="54"/>
  <c r="AC40" i="54" s="1"/>
  <c r="AD40" i="54" s="1"/>
  <c r="Y72" i="54"/>
  <c r="AB12" i="54"/>
  <c r="AC43" i="54" s="1"/>
  <c r="AD43" i="54" s="1"/>
  <c r="Y75" i="54"/>
  <c r="AB7" i="54"/>
  <c r="AC38" i="54" s="1"/>
  <c r="AD38" i="54" s="1"/>
  <c r="Y70" i="54"/>
  <c r="AB10" i="54"/>
  <c r="AC41" i="54" s="1"/>
  <c r="AD41" i="54" s="1"/>
  <c r="Y73" i="54"/>
  <c r="AB8" i="54"/>
  <c r="AC39" i="54" s="1"/>
  <c r="AD39" i="54" s="1"/>
  <c r="Y71" i="54"/>
  <c r="AB11" i="54"/>
  <c r="AC42" i="54" s="1"/>
  <c r="AD42" i="54" s="1"/>
  <c r="Y74" i="54"/>
  <c r="AV28" i="18"/>
  <c r="BB19" i="18"/>
  <c r="BB23" i="18"/>
  <c r="BB8" i="18"/>
  <c r="BC8" i="18" s="1"/>
  <c r="DC32" i="40"/>
  <c r="DC52" i="40" s="1"/>
  <c r="DB45" i="40"/>
  <c r="DB118" i="40" s="1"/>
  <c r="DB137" i="40" s="1"/>
  <c r="DG255" i="40"/>
  <c r="DG278" i="40" s="1"/>
  <c r="DH78" i="40"/>
  <c r="DH115" i="40" s="1"/>
  <c r="DI155" i="40"/>
  <c r="DI221" i="40" s="1"/>
  <c r="DD77" i="40"/>
  <c r="DD92" i="40" s="1"/>
  <c r="DF83" i="40"/>
  <c r="DF136" i="40" s="1"/>
  <c r="DA82" i="40"/>
  <c r="DA87" i="40" s="1"/>
  <c r="DE156" i="40"/>
  <c r="DE166" i="40" s="1"/>
  <c r="DE173" i="40" s="1"/>
  <c r="AT6" i="50"/>
  <c r="S3" i="50" s="1"/>
  <c r="BI16" i="40"/>
  <c r="CC10" i="40"/>
  <c r="BX41" i="40"/>
  <c r="CC15" i="40"/>
  <c r="CH10" i="40"/>
  <c r="CH15" i="40" s="1"/>
  <c r="AK8" i="50"/>
  <c r="CM7" i="40"/>
  <c r="AV24" i="18"/>
  <c r="DT6" i="40"/>
  <c r="DT8" i="40" s="1"/>
  <c r="BL66" i="50"/>
  <c r="BM66" i="50" s="1"/>
  <c r="BL47" i="50"/>
  <c r="BM47" i="50" s="1"/>
  <c r="BL64" i="50"/>
  <c r="BM64" i="50" s="1"/>
  <c r="BL61" i="50"/>
  <c r="BM61" i="50" s="1"/>
  <c r="BL56" i="50"/>
  <c r="BM56" i="50" s="1"/>
  <c r="BL53" i="50"/>
  <c r="BM53" i="50" s="1"/>
  <c r="BL65" i="50"/>
  <c r="BM65" i="50" s="1"/>
  <c r="BL62" i="50"/>
  <c r="BM62" i="50" s="1"/>
  <c r="BL60" i="50"/>
  <c r="BM60" i="50" s="1"/>
  <c r="BL59" i="50"/>
  <c r="BM59" i="50" s="1"/>
  <c r="BL57" i="50"/>
  <c r="BM57" i="50" s="1"/>
  <c r="BL54" i="50"/>
  <c r="BM54" i="50" s="1"/>
  <c r="BL52" i="50"/>
  <c r="BM52" i="50" s="1"/>
  <c r="BL51" i="50"/>
  <c r="BM51" i="50" s="1"/>
  <c r="BL49" i="50"/>
  <c r="BM49" i="50" s="1"/>
  <c r="BL46" i="50"/>
  <c r="BM46" i="50" s="1"/>
  <c r="BL45" i="50"/>
  <c r="BM45" i="50" s="1"/>
  <c r="BL42" i="50"/>
  <c r="BM42" i="50" s="1"/>
  <c r="BL41" i="50"/>
  <c r="BM41" i="50" s="1"/>
  <c r="BL63" i="50"/>
  <c r="BM63" i="50" s="1"/>
  <c r="BL58" i="50"/>
  <c r="BM58" i="50" s="1"/>
  <c r="BL55" i="50"/>
  <c r="BM55" i="50" s="1"/>
  <c r="BL50" i="50"/>
  <c r="BM50" i="50" s="1"/>
  <c r="BL48" i="50"/>
  <c r="BM48" i="50" s="1"/>
  <c r="BL44" i="50"/>
  <c r="BM44" i="50" s="1"/>
  <c r="BL43" i="50"/>
  <c r="BM43" i="50" s="1"/>
  <c r="BL37" i="50"/>
  <c r="BM37" i="50" s="1"/>
  <c r="BL40" i="50"/>
  <c r="BM40" i="50" s="1"/>
  <c r="BL39" i="50"/>
  <c r="BM39" i="50" s="1"/>
  <c r="BL38" i="50"/>
  <c r="BM38" i="50" s="1"/>
  <c r="BC63" i="50"/>
  <c r="BD63" i="50" s="1"/>
  <c r="BC59" i="50"/>
  <c r="BD59" i="50" s="1"/>
  <c r="BC58" i="50"/>
  <c r="BD58" i="50" s="1"/>
  <c r="BC55" i="50"/>
  <c r="BD55" i="50" s="1"/>
  <c r="BC51" i="50"/>
  <c r="BD51" i="50" s="1"/>
  <c r="BC45" i="50"/>
  <c r="BD45" i="50" s="1"/>
  <c r="BC66" i="50"/>
  <c r="BD66" i="50" s="1"/>
  <c r="BC64" i="50"/>
  <c r="BD64" i="50" s="1"/>
  <c r="BC56" i="50"/>
  <c r="BD56" i="50" s="1"/>
  <c r="BC48" i="50"/>
  <c r="BD48" i="50" s="1"/>
  <c r="BC47" i="50"/>
  <c r="BD47" i="50" s="1"/>
  <c r="BC43" i="50"/>
  <c r="BD43" i="50" s="1"/>
  <c r="BC65" i="50"/>
  <c r="BD65" i="50" s="1"/>
  <c r="BC62" i="50"/>
  <c r="BD62" i="50" s="1"/>
  <c r="BC61" i="50"/>
  <c r="BD61" i="50" s="1"/>
  <c r="BC60" i="50"/>
  <c r="BD60" i="50" s="1"/>
  <c r="BC57" i="50"/>
  <c r="BD57" i="50" s="1"/>
  <c r="BC54" i="50"/>
  <c r="BD54" i="50" s="1"/>
  <c r="BC53" i="50"/>
  <c r="BD53" i="50" s="1"/>
  <c r="BC52" i="50"/>
  <c r="BD52" i="50" s="1"/>
  <c r="BC49" i="50"/>
  <c r="BD49" i="50" s="1"/>
  <c r="BC46" i="50"/>
  <c r="BD46" i="50" s="1"/>
  <c r="BC42" i="50"/>
  <c r="BD42" i="50" s="1"/>
  <c r="BC38" i="50"/>
  <c r="BD38" i="50" s="1"/>
  <c r="BC50" i="50"/>
  <c r="BD50" i="50" s="1"/>
  <c r="BC40" i="50"/>
  <c r="BD40" i="50" s="1"/>
  <c r="BC37" i="50"/>
  <c r="BD37" i="50" s="1"/>
  <c r="BC39" i="50"/>
  <c r="BD39" i="50" s="1"/>
  <c r="BC44" i="50"/>
  <c r="BD44" i="50" s="1"/>
  <c r="BC41" i="50"/>
  <c r="BD41" i="50" s="1"/>
  <c r="CD64" i="49"/>
  <c r="CE64" i="49" s="1"/>
  <c r="CD60" i="49"/>
  <c r="CE60" i="49" s="1"/>
  <c r="CD56" i="49"/>
  <c r="CE56" i="49" s="1"/>
  <c r="CD52" i="49"/>
  <c r="CE52" i="49" s="1"/>
  <c r="CD48" i="49"/>
  <c r="CE48" i="49" s="1"/>
  <c r="CD44" i="49"/>
  <c r="CE44" i="49" s="1"/>
  <c r="CD40" i="49"/>
  <c r="CE40" i="49" s="1"/>
  <c r="CD63" i="49"/>
  <c r="CE63" i="49" s="1"/>
  <c r="CD59" i="49"/>
  <c r="CE59" i="49" s="1"/>
  <c r="CD55" i="49"/>
  <c r="CE55" i="49" s="1"/>
  <c r="CD51" i="49"/>
  <c r="CE51" i="49" s="1"/>
  <c r="CD47" i="49"/>
  <c r="CE47" i="49" s="1"/>
  <c r="CD43" i="49"/>
  <c r="CE43" i="49" s="1"/>
  <c r="CD39" i="49"/>
  <c r="CE39" i="49" s="1"/>
  <c r="CD66" i="49"/>
  <c r="CE66" i="49" s="1"/>
  <c r="CD62" i="49"/>
  <c r="CE62" i="49" s="1"/>
  <c r="CD58" i="49"/>
  <c r="CE58" i="49" s="1"/>
  <c r="CD54" i="49"/>
  <c r="CE54" i="49" s="1"/>
  <c r="CD50" i="49"/>
  <c r="CE50" i="49" s="1"/>
  <c r="CD46" i="49"/>
  <c r="CE46" i="49" s="1"/>
  <c r="CD42" i="49"/>
  <c r="CE42" i="49" s="1"/>
  <c r="CD38" i="49"/>
  <c r="CE38" i="49" s="1"/>
  <c r="CD65" i="49"/>
  <c r="CE65" i="49" s="1"/>
  <c r="CD61" i="49"/>
  <c r="CE61" i="49" s="1"/>
  <c r="CD57" i="49"/>
  <c r="CE57" i="49" s="1"/>
  <c r="CD53" i="49"/>
  <c r="CE53" i="49" s="1"/>
  <c r="CD49" i="49"/>
  <c r="CE49" i="49" s="1"/>
  <c r="CD45" i="49"/>
  <c r="CE45" i="49" s="1"/>
  <c r="CD41" i="49"/>
  <c r="CE41" i="49" s="1"/>
  <c r="CD37" i="49"/>
  <c r="CE37" i="49" s="1"/>
  <c r="BL64" i="49"/>
  <c r="BM64" i="49" s="1"/>
  <c r="BL60" i="49"/>
  <c r="BM60" i="49" s="1"/>
  <c r="BL56" i="49"/>
  <c r="BM56" i="49" s="1"/>
  <c r="BL52" i="49"/>
  <c r="BM52" i="49" s="1"/>
  <c r="BL48" i="49"/>
  <c r="BM48" i="49" s="1"/>
  <c r="BL44" i="49"/>
  <c r="BM44" i="49" s="1"/>
  <c r="BL40" i="49"/>
  <c r="BM40" i="49" s="1"/>
  <c r="BL66" i="49"/>
  <c r="BM66" i="49" s="1"/>
  <c r="BL62" i="49"/>
  <c r="BM62" i="49" s="1"/>
  <c r="BL58" i="49"/>
  <c r="BM58" i="49" s="1"/>
  <c r="BL54" i="49"/>
  <c r="BM54" i="49" s="1"/>
  <c r="BL50" i="49"/>
  <c r="BM50" i="49" s="1"/>
  <c r="BL46" i="49"/>
  <c r="BM46" i="49" s="1"/>
  <c r="BL42" i="49"/>
  <c r="BM42" i="49" s="1"/>
  <c r="BL38" i="49"/>
  <c r="BM38" i="49" s="1"/>
  <c r="BL65" i="49"/>
  <c r="BM65" i="49" s="1"/>
  <c r="BL61" i="49"/>
  <c r="BM61" i="49" s="1"/>
  <c r="BL57" i="49"/>
  <c r="BM57" i="49" s="1"/>
  <c r="BL53" i="49"/>
  <c r="BM53" i="49" s="1"/>
  <c r="BL49" i="49"/>
  <c r="BM49" i="49" s="1"/>
  <c r="BL45" i="49"/>
  <c r="BM45" i="49" s="1"/>
  <c r="BL41" i="49"/>
  <c r="BM41" i="49" s="1"/>
  <c r="BL37" i="49"/>
  <c r="BM37" i="49" s="1"/>
  <c r="BL63" i="49"/>
  <c r="BM63" i="49" s="1"/>
  <c r="BL47" i="49"/>
  <c r="BM47" i="49" s="1"/>
  <c r="BL59" i="49"/>
  <c r="BM59" i="49" s="1"/>
  <c r="BL43" i="49"/>
  <c r="BM43" i="49" s="1"/>
  <c r="BL55" i="49"/>
  <c r="BM55" i="49" s="1"/>
  <c r="BL39" i="49"/>
  <c r="BM39" i="49" s="1"/>
  <c r="BL51" i="49"/>
  <c r="BM51" i="49" s="1"/>
  <c r="CD65" i="50"/>
  <c r="CE65" i="50" s="1"/>
  <c r="CD62" i="50"/>
  <c r="CE62" i="50" s="1"/>
  <c r="CD58" i="50"/>
  <c r="CE58" i="50" s="1"/>
  <c r="CD63" i="50"/>
  <c r="CE63" i="50" s="1"/>
  <c r="CD55" i="50"/>
  <c r="CE55" i="50" s="1"/>
  <c r="CD66" i="50"/>
  <c r="CE66" i="50" s="1"/>
  <c r="CD64" i="50"/>
  <c r="CE64" i="50" s="1"/>
  <c r="CD61" i="50"/>
  <c r="CE61" i="50" s="1"/>
  <c r="CD60" i="50"/>
  <c r="CE60" i="50" s="1"/>
  <c r="CD59" i="50"/>
  <c r="CE59" i="50" s="1"/>
  <c r="CD57" i="50"/>
  <c r="CE57" i="50" s="1"/>
  <c r="CD56" i="50"/>
  <c r="CE56" i="50" s="1"/>
  <c r="CD53" i="50"/>
  <c r="CE53" i="50" s="1"/>
  <c r="CD52" i="50"/>
  <c r="CE52" i="50" s="1"/>
  <c r="CD51" i="50"/>
  <c r="CE51" i="50" s="1"/>
  <c r="CD49" i="50"/>
  <c r="CE49" i="50" s="1"/>
  <c r="CD48" i="50"/>
  <c r="CE48" i="50" s="1"/>
  <c r="CD46" i="50"/>
  <c r="CE46" i="50" s="1"/>
  <c r="CD45" i="50"/>
  <c r="CE45" i="50" s="1"/>
  <c r="CD42" i="50"/>
  <c r="CE42" i="50" s="1"/>
  <c r="CD41" i="50"/>
  <c r="CE41" i="50" s="1"/>
  <c r="CD38" i="50"/>
  <c r="CE38" i="50" s="1"/>
  <c r="CD54" i="50"/>
  <c r="CE54" i="50" s="1"/>
  <c r="CD50" i="50"/>
  <c r="CE50" i="50" s="1"/>
  <c r="CD44" i="50"/>
  <c r="CE44" i="50" s="1"/>
  <c r="CD43" i="50"/>
  <c r="CE43" i="50" s="1"/>
  <c r="CD47" i="50"/>
  <c r="CE47" i="50" s="1"/>
  <c r="CD37" i="50"/>
  <c r="CE37" i="50" s="1"/>
  <c r="CD40" i="50"/>
  <c r="CE40" i="50" s="1"/>
  <c r="CD39" i="50"/>
  <c r="CE39" i="50" s="1"/>
  <c r="BC66" i="49"/>
  <c r="BD66" i="49" s="1"/>
  <c r="BC62" i="49"/>
  <c r="BD62" i="49" s="1"/>
  <c r="BC58" i="49"/>
  <c r="BD58" i="49" s="1"/>
  <c r="BC54" i="49"/>
  <c r="BD54" i="49" s="1"/>
  <c r="BC50" i="49"/>
  <c r="BD50" i="49" s="1"/>
  <c r="BC46" i="49"/>
  <c r="BD46" i="49" s="1"/>
  <c r="BC42" i="49"/>
  <c r="BD42" i="49" s="1"/>
  <c r="BC38" i="49"/>
  <c r="BD38" i="49" s="1"/>
  <c r="BC64" i="49"/>
  <c r="BD64" i="49" s="1"/>
  <c r="BC60" i="49"/>
  <c r="BD60" i="49" s="1"/>
  <c r="BC56" i="49"/>
  <c r="BD56" i="49" s="1"/>
  <c r="BC63" i="49"/>
  <c r="BD63" i="49" s="1"/>
  <c r="BC59" i="49"/>
  <c r="BD59" i="49" s="1"/>
  <c r="BC55" i="49"/>
  <c r="BD55" i="49" s="1"/>
  <c r="BC51" i="49"/>
  <c r="BD51" i="49" s="1"/>
  <c r="BC47" i="49"/>
  <c r="BD47" i="49" s="1"/>
  <c r="BC43" i="49"/>
  <c r="BD43" i="49" s="1"/>
  <c r="BC39" i="49"/>
  <c r="BD39" i="49" s="1"/>
  <c r="BC61" i="49"/>
  <c r="BD61" i="49" s="1"/>
  <c r="BC49" i="49"/>
  <c r="BD49" i="49" s="1"/>
  <c r="BC41" i="49"/>
  <c r="BD41" i="49" s="1"/>
  <c r="BC57" i="49"/>
  <c r="BD57" i="49" s="1"/>
  <c r="BC48" i="49"/>
  <c r="BD48" i="49" s="1"/>
  <c r="BC40" i="49"/>
  <c r="BD40" i="49" s="1"/>
  <c r="BC53" i="49"/>
  <c r="BD53" i="49" s="1"/>
  <c r="BC45" i="49"/>
  <c r="BD45" i="49" s="1"/>
  <c r="BC37" i="49"/>
  <c r="BD37" i="49" s="1"/>
  <c r="BC65" i="49"/>
  <c r="BD65" i="49" s="1"/>
  <c r="BC52" i="49"/>
  <c r="BD52" i="49" s="1"/>
  <c r="BC44" i="49"/>
  <c r="BD44" i="49" s="1"/>
  <c r="BU66" i="49"/>
  <c r="BV66" i="49" s="1"/>
  <c r="BU62" i="49"/>
  <c r="BV62" i="49" s="1"/>
  <c r="BU58" i="49"/>
  <c r="BV58" i="49" s="1"/>
  <c r="BU54" i="49"/>
  <c r="BV54" i="49" s="1"/>
  <c r="BU50" i="49"/>
  <c r="BV50" i="49" s="1"/>
  <c r="BU46" i="49"/>
  <c r="BV46" i="49" s="1"/>
  <c r="BU42" i="49"/>
  <c r="BV42" i="49" s="1"/>
  <c r="BU38" i="49"/>
  <c r="BV38" i="49" s="1"/>
  <c r="BU65" i="49"/>
  <c r="BV65" i="49" s="1"/>
  <c r="BU61" i="49"/>
  <c r="BV61" i="49" s="1"/>
  <c r="BU64" i="49"/>
  <c r="BV64" i="49" s="1"/>
  <c r="BU60" i="49"/>
  <c r="BV60" i="49" s="1"/>
  <c r="BU56" i="49"/>
  <c r="BV56" i="49" s="1"/>
  <c r="BU52" i="49"/>
  <c r="BV52" i="49" s="1"/>
  <c r="BU48" i="49"/>
  <c r="BV48" i="49" s="1"/>
  <c r="BU44" i="49"/>
  <c r="BV44" i="49" s="1"/>
  <c r="BU40" i="49"/>
  <c r="BV40" i="49" s="1"/>
  <c r="BU63" i="49"/>
  <c r="BV63" i="49" s="1"/>
  <c r="BU59" i="49"/>
  <c r="BV59" i="49" s="1"/>
  <c r="BU55" i="49"/>
  <c r="BV55" i="49" s="1"/>
  <c r="BU51" i="49"/>
  <c r="BV51" i="49" s="1"/>
  <c r="BU47" i="49"/>
  <c r="BV47" i="49" s="1"/>
  <c r="BU43" i="49"/>
  <c r="BV43" i="49" s="1"/>
  <c r="BU39" i="49"/>
  <c r="BV39" i="49" s="1"/>
  <c r="BU49" i="49"/>
  <c r="BV49" i="49" s="1"/>
  <c r="BU45" i="49"/>
  <c r="BV45" i="49" s="1"/>
  <c r="BU57" i="49"/>
  <c r="BV57" i="49" s="1"/>
  <c r="BU41" i="49"/>
  <c r="BV41" i="49" s="1"/>
  <c r="BU53" i="49"/>
  <c r="BV53" i="49" s="1"/>
  <c r="BU37" i="49"/>
  <c r="BV37" i="49" s="1"/>
  <c r="AB14" i="50"/>
  <c r="BU64" i="50"/>
  <c r="BV64" i="50" s="1"/>
  <c r="BU61" i="50"/>
  <c r="BV61" i="50" s="1"/>
  <c r="BU60" i="50"/>
  <c r="BV60" i="50" s="1"/>
  <c r="BU48" i="50"/>
  <c r="BV48" i="50" s="1"/>
  <c r="BU46" i="50"/>
  <c r="BV46" i="50" s="1"/>
  <c r="BU65" i="50"/>
  <c r="BV65" i="50" s="1"/>
  <c r="BU62" i="50"/>
  <c r="BV62" i="50" s="1"/>
  <c r="BU59" i="50"/>
  <c r="BV59" i="50" s="1"/>
  <c r="BU58" i="50"/>
  <c r="BV58" i="50" s="1"/>
  <c r="BU57" i="50"/>
  <c r="BV57" i="50" s="1"/>
  <c r="BU54" i="50"/>
  <c r="BV54" i="50" s="1"/>
  <c r="BU51" i="50"/>
  <c r="BV51" i="50" s="1"/>
  <c r="BU50" i="50"/>
  <c r="BV50" i="50" s="1"/>
  <c r="BU63" i="50"/>
  <c r="BV63" i="50" s="1"/>
  <c r="BU55" i="50"/>
  <c r="BV55" i="50" s="1"/>
  <c r="BU44" i="50"/>
  <c r="BV44" i="50" s="1"/>
  <c r="BU40" i="50"/>
  <c r="BV40" i="50" s="1"/>
  <c r="BU66" i="50"/>
  <c r="BV66" i="50" s="1"/>
  <c r="BU47" i="50"/>
  <c r="BV47" i="50" s="1"/>
  <c r="BU43" i="50"/>
  <c r="BV43" i="50" s="1"/>
  <c r="BU39" i="50"/>
  <c r="BV39" i="50" s="1"/>
  <c r="BU37" i="50"/>
  <c r="BV37" i="50" s="1"/>
  <c r="BU56" i="50"/>
  <c r="BV56" i="50" s="1"/>
  <c r="BU53" i="50"/>
  <c r="BV53" i="50" s="1"/>
  <c r="BU52" i="50"/>
  <c r="BV52" i="50" s="1"/>
  <c r="BU42" i="50"/>
  <c r="BV42" i="50" s="1"/>
  <c r="BU49" i="50"/>
  <c r="BV49" i="50" s="1"/>
  <c r="BU45" i="50"/>
  <c r="BV45" i="50" s="1"/>
  <c r="BU41" i="50"/>
  <c r="BV41" i="50" s="1"/>
  <c r="BU38" i="50"/>
  <c r="BV38" i="50" s="1"/>
  <c r="J11" i="50"/>
  <c r="J12" i="50" s="1"/>
  <c r="AV17" i="18"/>
  <c r="BB4" i="18"/>
  <c r="BC4" i="18" s="1"/>
  <c r="S8" i="50"/>
  <c r="D328" i="1"/>
  <c r="D316" i="1"/>
  <c r="D314" i="1"/>
  <c r="D318" i="1"/>
  <c r="D330" i="1"/>
  <c r="D320" i="1"/>
  <c r="D322" i="1"/>
  <c r="D324" i="1"/>
  <c r="CW5" i="40"/>
  <c r="L126" i="23"/>
  <c r="L127" i="23"/>
  <c r="L128" i="23" s="1"/>
  <c r="BN7" i="40"/>
  <c r="CR6" i="40"/>
  <c r="DS18" i="40"/>
  <c r="DV22" i="40"/>
  <c r="AM6" i="51" s="1"/>
  <c r="AS6" i="51" s="1"/>
  <c r="AT6" i="51" s="1"/>
  <c r="DW12" i="40"/>
  <c r="DW25" i="40" s="1"/>
  <c r="DU24" i="40"/>
  <c r="U6" i="51" s="1"/>
  <c r="AA6" i="51" s="1"/>
  <c r="AB6" i="51" s="1"/>
  <c r="BB9" i="18"/>
  <c r="BC9" i="18" s="1"/>
  <c r="BC12" i="18" s="1"/>
  <c r="BC13" i="18" s="1"/>
  <c r="BX43" i="40"/>
  <c r="BS5" i="40"/>
  <c r="BS6" i="40" s="1"/>
  <c r="BS7" i="40" s="1"/>
  <c r="CM8" i="40"/>
  <c r="CM11" i="40" s="1"/>
  <c r="BS39" i="40"/>
  <c r="BN6" i="49"/>
  <c r="U6" i="49"/>
  <c r="AA6" i="49" s="1"/>
  <c r="AB6" i="49" s="1"/>
  <c r="L6" i="49"/>
  <c r="R6" i="49" s="1"/>
  <c r="S6" i="49" s="1"/>
  <c r="BS40" i="40"/>
  <c r="AB153" i="23"/>
  <c r="R97" i="23"/>
  <c r="B219" i="23"/>
  <c r="A220" i="23"/>
  <c r="Z49" i="18"/>
  <c r="W50" i="18" s="1"/>
  <c r="Y49" i="18"/>
  <c r="AA49" i="18" s="1"/>
  <c r="AB49" i="18" s="1"/>
  <c r="AD175" i="71" l="1"/>
  <c r="R111" i="71"/>
  <c r="S110" i="71"/>
  <c r="AE38" i="54"/>
  <c r="AE37" i="54" s="1"/>
  <c r="B37" i="54" s="1"/>
  <c r="FN255" i="40"/>
  <c r="FM256" i="40"/>
  <c r="FC256" i="40"/>
  <c r="FD255" i="40"/>
  <c r="ES258" i="40"/>
  <c r="ET257" i="40"/>
  <c r="EY260" i="40"/>
  <c r="EX261" i="40"/>
  <c r="FR259" i="40"/>
  <c r="FS258" i="40"/>
  <c r="FI257" i="40"/>
  <c r="FH258" i="40"/>
  <c r="EJ257" i="40"/>
  <c r="EI258" i="40"/>
  <c r="EE257" i="40"/>
  <c r="ED258" i="40"/>
  <c r="EO258" i="40"/>
  <c r="EN259" i="40"/>
  <c r="AT40" i="50"/>
  <c r="AU40" i="50" s="1"/>
  <c r="AT62" i="50"/>
  <c r="AU62" i="50" s="1"/>
  <c r="AT48" i="50"/>
  <c r="AU48" i="50" s="1"/>
  <c r="AT61" i="50"/>
  <c r="AU61" i="50" s="1"/>
  <c r="AT45" i="50"/>
  <c r="AU45" i="50" s="1"/>
  <c r="AT50" i="50"/>
  <c r="AU50" i="50" s="1"/>
  <c r="AT41" i="50"/>
  <c r="AU41" i="50" s="1"/>
  <c r="AT55" i="50"/>
  <c r="AU55" i="50" s="1"/>
  <c r="AT38" i="50"/>
  <c r="AU38" i="50" s="1"/>
  <c r="AT49" i="50"/>
  <c r="AU49" i="50" s="1"/>
  <c r="AT44" i="50"/>
  <c r="AU44" i="50" s="1"/>
  <c r="AT64" i="50"/>
  <c r="AU64" i="50" s="1"/>
  <c r="AT52" i="50"/>
  <c r="AU52" i="50" s="1"/>
  <c r="AT59" i="50"/>
  <c r="AU59" i="50" s="1"/>
  <c r="AT53" i="50"/>
  <c r="AU53" i="50" s="1"/>
  <c r="AT46" i="50"/>
  <c r="AU46" i="50" s="1"/>
  <c r="AT39" i="50"/>
  <c r="AU39" i="50" s="1"/>
  <c r="AT47" i="50"/>
  <c r="AU47" i="50" s="1"/>
  <c r="AT66" i="50"/>
  <c r="AU66" i="50" s="1"/>
  <c r="AT54" i="50"/>
  <c r="AU54" i="50" s="1"/>
  <c r="AT60" i="50"/>
  <c r="AU60" i="50" s="1"/>
  <c r="AT57" i="50"/>
  <c r="AU57" i="50" s="1"/>
  <c r="AT37" i="50"/>
  <c r="AU37" i="50" s="1"/>
  <c r="AT42" i="50"/>
  <c r="AU42" i="50" s="1"/>
  <c r="AT43" i="50"/>
  <c r="AU43" i="50" s="1"/>
  <c r="AT56" i="50"/>
  <c r="AU56" i="50" s="1"/>
  <c r="AT51" i="50"/>
  <c r="AU51" i="50" s="1"/>
  <c r="AT58" i="50"/>
  <c r="AU58" i="50" s="1"/>
  <c r="AT63" i="50"/>
  <c r="AU63" i="50" s="1"/>
  <c r="AT65" i="50"/>
  <c r="AU65" i="50" s="1"/>
  <c r="DC81" i="40"/>
  <c r="DC91" i="40" s="1"/>
  <c r="DC104" i="40" s="1"/>
  <c r="DI259" i="40"/>
  <c r="DI341" i="40" s="1"/>
  <c r="DI344" i="40" s="1"/>
  <c r="DG282" i="40"/>
  <c r="DG324" i="40" s="1"/>
  <c r="DA96" i="40"/>
  <c r="DA97" i="40" s="1"/>
  <c r="DA98" i="40" s="1"/>
  <c r="DA170" i="40" s="1"/>
  <c r="DA178" i="40" s="1"/>
  <c r="DA195" i="40" s="1"/>
  <c r="DA270" i="40" s="1"/>
  <c r="DA272" i="40" s="1"/>
  <c r="DA287" i="40" s="1"/>
  <c r="DA298" i="40" s="1"/>
  <c r="DE196" i="40"/>
  <c r="DE200" i="40" s="1"/>
  <c r="DB157" i="40"/>
  <c r="DB185" i="40" s="1"/>
  <c r="DD106" i="40"/>
  <c r="DD152" i="40" s="1"/>
  <c r="DD167" i="40" s="1"/>
  <c r="DH186" i="40"/>
  <c r="DF149" i="40"/>
  <c r="DF175" i="40" s="1"/>
  <c r="AD6" i="51"/>
  <c r="AJ6" i="51" s="1"/>
  <c r="AK6" i="51" s="1"/>
  <c r="BI28" i="40"/>
  <c r="BX47" i="40"/>
  <c r="CC17" i="40"/>
  <c r="CC28" i="40" s="1"/>
  <c r="CH17" i="40"/>
  <c r="BS10" i="40"/>
  <c r="BS17" i="40" s="1"/>
  <c r="CH28" i="40"/>
  <c r="CH32" i="40" s="1"/>
  <c r="AK9" i="50"/>
  <c r="AK10" i="50"/>
  <c r="DT17" i="40"/>
  <c r="AB15" i="50"/>
  <c r="AB16" i="50" s="1"/>
  <c r="J13" i="50"/>
  <c r="J14" i="50" s="1"/>
  <c r="BE38" i="49"/>
  <c r="BE37" i="49" s="1"/>
  <c r="AB37" i="49"/>
  <c r="AC37" i="49" s="1"/>
  <c r="S37" i="49"/>
  <c r="T37" i="49" s="1"/>
  <c r="DV23" i="40"/>
  <c r="AM7" i="51" s="1"/>
  <c r="AS7" i="51" s="1"/>
  <c r="AT7" i="51" s="1"/>
  <c r="S12" i="50"/>
  <c r="BW38" i="49"/>
  <c r="BW37" i="49" s="1"/>
  <c r="CF38" i="50"/>
  <c r="CF37" i="50" s="1"/>
  <c r="CF38" i="49"/>
  <c r="CF37" i="49" s="1"/>
  <c r="BE38" i="50"/>
  <c r="BE37" i="50" s="1"/>
  <c r="BN38" i="50"/>
  <c r="BN37" i="50" s="1"/>
  <c r="BN38" i="49"/>
  <c r="BN37" i="49" s="1"/>
  <c r="BW38" i="50"/>
  <c r="BW37" i="50" s="1"/>
  <c r="CW6" i="40"/>
  <c r="L129" i="23"/>
  <c r="L130" i="23" s="1"/>
  <c r="BN8" i="40"/>
  <c r="BN10" i="40" s="1"/>
  <c r="BN11" i="40" s="1"/>
  <c r="BN19" i="40"/>
  <c r="BN20" i="40" s="1"/>
  <c r="CR10" i="40"/>
  <c r="DS19" i="40"/>
  <c r="DU30" i="40"/>
  <c r="DW27" i="40"/>
  <c r="CM25" i="40"/>
  <c r="CM26" i="40" s="1"/>
  <c r="CM32" i="40" s="1"/>
  <c r="L7" i="49"/>
  <c r="R7" i="49" s="1"/>
  <c r="S7" i="49" s="1"/>
  <c r="CC46" i="40"/>
  <c r="BX49" i="40"/>
  <c r="BX52" i="40" s="1"/>
  <c r="BX54" i="40" s="1"/>
  <c r="AB154" i="23"/>
  <c r="AB155" i="23"/>
  <c r="AB156" i="23" s="1"/>
  <c r="R98" i="23"/>
  <c r="A221" i="23"/>
  <c r="B220" i="23"/>
  <c r="X50" i="18"/>
  <c r="Y50" i="18"/>
  <c r="AA50" i="18" s="1"/>
  <c r="AB50" i="18" s="1"/>
  <c r="Z50" i="18"/>
  <c r="BC18" i="18"/>
  <c r="AD177" i="71" l="1"/>
  <c r="AD178" i="71" s="1"/>
  <c r="AD179" i="71" s="1"/>
  <c r="AD181" i="71" s="1"/>
  <c r="R112" i="71"/>
  <c r="S111" i="71"/>
  <c r="DC133" i="40"/>
  <c r="DC161" i="40" s="1"/>
  <c r="DC214" i="40" s="1"/>
  <c r="DC222" i="40" s="1"/>
  <c r="DC225" i="40" s="1"/>
  <c r="DC269" i="40" s="1"/>
  <c r="DC280" i="40" s="1"/>
  <c r="DC284" i="40" s="1"/>
  <c r="DC293" i="40" s="1"/>
  <c r="DC309" i="40" s="1"/>
  <c r="DC313" i="40" s="1"/>
  <c r="DC336" i="40" s="1"/>
  <c r="DC355" i="40" s="1"/>
  <c r="ED259" i="40"/>
  <c r="EE258" i="40"/>
  <c r="FI258" i="40"/>
  <c r="FH259" i="40"/>
  <c r="EY261" i="40"/>
  <c r="EX262" i="40"/>
  <c r="FD256" i="40"/>
  <c r="FC257" i="40"/>
  <c r="EN260" i="40"/>
  <c r="EO259" i="40"/>
  <c r="EI259" i="40"/>
  <c r="EJ258" i="40"/>
  <c r="FM257" i="40"/>
  <c r="FN256" i="40"/>
  <c r="FS259" i="40"/>
  <c r="FR260" i="40"/>
  <c r="ET258" i="40"/>
  <c r="ES259" i="40"/>
  <c r="AV38" i="50"/>
  <c r="AV37" i="50" s="1"/>
  <c r="AD7" i="51"/>
  <c r="AJ7" i="51" s="1"/>
  <c r="AK7" i="51" s="1"/>
  <c r="DB203" i="40"/>
  <c r="DB210" i="40" s="1"/>
  <c r="DB262" i="40" s="1"/>
  <c r="DB271" i="40" s="1"/>
  <c r="DB301" i="40" s="1"/>
  <c r="DB314" i="40" s="1"/>
  <c r="DB353" i="40" s="1"/>
  <c r="DB364" i="40" s="1"/>
  <c r="DD209" i="40"/>
  <c r="DD317" i="40" s="1"/>
  <c r="DE220" i="40"/>
  <c r="DE254" i="40" s="1"/>
  <c r="DE273" i="40" s="1"/>
  <c r="DE289" i="40" s="1"/>
  <c r="DF177" i="40"/>
  <c r="BI37" i="40"/>
  <c r="BX56" i="40"/>
  <c r="BX61" i="40" s="1"/>
  <c r="BX64" i="40" s="1"/>
  <c r="BX80" i="40" s="1"/>
  <c r="BX85" i="40" s="1"/>
  <c r="BX89" i="40" s="1"/>
  <c r="BX90" i="40" s="1"/>
  <c r="BX91" i="40" s="1"/>
  <c r="BX97" i="40" s="1"/>
  <c r="BX99" i="40" s="1"/>
  <c r="BX100" i="40" s="1"/>
  <c r="BX101" i="40" s="1"/>
  <c r="BX104" i="40" s="1"/>
  <c r="BX109" i="40" s="1"/>
  <c r="BX118" i="40" s="1"/>
  <c r="BX119" i="40" s="1"/>
  <c r="BX125" i="40" s="1"/>
  <c r="BX129" i="40" s="1"/>
  <c r="BX130" i="40" s="1"/>
  <c r="BX131" i="40" s="1"/>
  <c r="BX142" i="40" s="1"/>
  <c r="BX147" i="40" s="1"/>
  <c r="BX148" i="40" s="1"/>
  <c r="BX154" i="40" s="1"/>
  <c r="BX165" i="40" s="1"/>
  <c r="BX171" i="40" s="1"/>
  <c r="BX176" i="40" s="1"/>
  <c r="CC32" i="40"/>
  <c r="CC33" i="40" s="1"/>
  <c r="CC35" i="40" s="1"/>
  <c r="CC37" i="40" s="1"/>
  <c r="CC39" i="40" s="1"/>
  <c r="CC40" i="40" s="1"/>
  <c r="CC41" i="40" s="1"/>
  <c r="CH37" i="40"/>
  <c r="CH40" i="40" s="1"/>
  <c r="BS28" i="40"/>
  <c r="AK11" i="50"/>
  <c r="AK12" i="50"/>
  <c r="AK13" i="50"/>
  <c r="CW7" i="40"/>
  <c r="CW8" i="40" s="1"/>
  <c r="DT21" i="40"/>
  <c r="AB17" i="50"/>
  <c r="AB18" i="50" s="1"/>
  <c r="S13" i="50"/>
  <c r="DU32" i="40"/>
  <c r="J15" i="50"/>
  <c r="DV28" i="40"/>
  <c r="AM8" i="51" s="1"/>
  <c r="AS8" i="51" s="1"/>
  <c r="AT8" i="51" s="1"/>
  <c r="CW9" i="40"/>
  <c r="L131" i="23"/>
  <c r="BN12" i="40"/>
  <c r="BN28" i="40"/>
  <c r="CR11" i="40"/>
  <c r="CR13" i="40" s="1"/>
  <c r="DS26" i="40"/>
  <c r="DW33" i="40"/>
  <c r="CM39" i="40"/>
  <c r="CM45" i="40" s="1"/>
  <c r="AD6" i="49"/>
  <c r="AJ6" i="49" s="1"/>
  <c r="AK6" i="49" s="1"/>
  <c r="BW6" i="49"/>
  <c r="CC48" i="40"/>
  <c r="AD142" i="23"/>
  <c r="AH142" i="23" s="1"/>
  <c r="AI142" i="23" s="1"/>
  <c r="AJ142" i="23" s="1"/>
  <c r="AK142" i="23" s="1"/>
  <c r="AC143" i="23"/>
  <c r="BC19" i="18"/>
  <c r="BC20" i="18" s="1"/>
  <c r="BC23" i="18"/>
  <c r="R99" i="23"/>
  <c r="B221" i="23"/>
  <c r="A222" i="23"/>
  <c r="W51" i="18"/>
  <c r="X51" i="18" s="1"/>
  <c r="CH39" i="40" l="1"/>
  <c r="AD185" i="71"/>
  <c r="AD186" i="71" s="1"/>
  <c r="AD187" i="71" s="1"/>
  <c r="AD188" i="71" s="1"/>
  <c r="S112" i="71"/>
  <c r="R113" i="71"/>
  <c r="FR261" i="40"/>
  <c r="FS260" i="40"/>
  <c r="FC258" i="40"/>
  <c r="FD257" i="40"/>
  <c r="FI259" i="40"/>
  <c r="FH260" i="40"/>
  <c r="EJ259" i="40"/>
  <c r="EI260" i="40"/>
  <c r="ES260" i="40"/>
  <c r="ET259" i="40"/>
  <c r="EY262" i="40"/>
  <c r="EX263" i="40"/>
  <c r="FM258" i="40"/>
  <c r="FN257" i="40"/>
  <c r="EO260" i="40"/>
  <c r="EN261" i="40"/>
  <c r="EE259" i="40"/>
  <c r="ED260" i="40"/>
  <c r="AD8" i="51"/>
  <c r="AJ8" i="51" s="1"/>
  <c r="AK8" i="51" s="1"/>
  <c r="DF181" i="40"/>
  <c r="DF253" i="40" s="1"/>
  <c r="DF342" i="40" s="1"/>
  <c r="DF362" i="40" s="1"/>
  <c r="BI39" i="40"/>
  <c r="BI40" i="40" s="1"/>
  <c r="BX174" i="40"/>
  <c r="CC43" i="40"/>
  <c r="BX185" i="40"/>
  <c r="CC47" i="40"/>
  <c r="BS37" i="40"/>
  <c r="BS41" i="40" s="1"/>
  <c r="BS43" i="40" s="1"/>
  <c r="BS47" i="40" s="1"/>
  <c r="BS49" i="40" s="1"/>
  <c r="BS52" i="40" s="1"/>
  <c r="BS54" i="40" s="1"/>
  <c r="BS56" i="40" s="1"/>
  <c r="BS61" i="40" s="1"/>
  <c r="BS64" i="40" s="1"/>
  <c r="CH41" i="40"/>
  <c r="AK14" i="50"/>
  <c r="DT29" i="40"/>
  <c r="J16" i="50"/>
  <c r="J40" i="50" s="1"/>
  <c r="K40" i="50" s="1"/>
  <c r="AB19" i="50"/>
  <c r="AB20" i="50" s="1"/>
  <c r="AB47" i="50" s="1"/>
  <c r="AC47" i="50" s="1"/>
  <c r="S14" i="50"/>
  <c r="S15" i="50" s="1"/>
  <c r="S56" i="50" s="1"/>
  <c r="T56" i="50" s="1"/>
  <c r="DU38" i="40"/>
  <c r="DV37" i="40"/>
  <c r="CW10" i="40"/>
  <c r="L132" i="23"/>
  <c r="L133" i="23"/>
  <c r="L134" i="23" s="1"/>
  <c r="L135" i="23" s="1"/>
  <c r="L136" i="23" s="1"/>
  <c r="L137" i="23" s="1"/>
  <c r="L138" i="23" s="1"/>
  <c r="BN15" i="40"/>
  <c r="BN35" i="40"/>
  <c r="CR14" i="40"/>
  <c r="DS36" i="40"/>
  <c r="DW51" i="40"/>
  <c r="CM47" i="40"/>
  <c r="U13" i="49"/>
  <c r="AA13" i="49" s="1"/>
  <c r="AB13" i="49" s="1"/>
  <c r="BE32" i="49"/>
  <c r="U8" i="49"/>
  <c r="AA8" i="49" s="1"/>
  <c r="AB8" i="49" s="1"/>
  <c r="U7" i="49"/>
  <c r="AA7" i="49" s="1"/>
  <c r="AB7" i="49" s="1"/>
  <c r="U10" i="49"/>
  <c r="AA10" i="49" s="1"/>
  <c r="AB10" i="49" s="1"/>
  <c r="U9" i="49"/>
  <c r="AA9" i="49" s="1"/>
  <c r="U12" i="49"/>
  <c r="AA12" i="49" s="1"/>
  <c r="AB12" i="49" s="1"/>
  <c r="C6" i="49"/>
  <c r="U11" i="49"/>
  <c r="AA11" i="49" s="1"/>
  <c r="AB11" i="49" s="1"/>
  <c r="BE6" i="49"/>
  <c r="BX334" i="40"/>
  <c r="BX336" i="40" s="1"/>
  <c r="BX348" i="40" s="1"/>
  <c r="BX354" i="40" s="1"/>
  <c r="BX355" i="40" s="1"/>
  <c r="BX356" i="40" s="1"/>
  <c r="BX361" i="40" s="1"/>
  <c r="BX367" i="40" s="1"/>
  <c r="BX370" i="40" s="1"/>
  <c r="BX374" i="40" s="1"/>
  <c r="BX375" i="40" s="1"/>
  <c r="BX376" i="40" s="1"/>
  <c r="BX378" i="40" s="1"/>
  <c r="BX379" i="40" s="1"/>
  <c r="BX382" i="40" s="1"/>
  <c r="BX390" i="40" s="1"/>
  <c r="BX391" i="40" s="1"/>
  <c r="BX394" i="40" s="1"/>
  <c r="BX397" i="40" s="1"/>
  <c r="BX404" i="40" s="1"/>
  <c r="BX405" i="40" s="1"/>
  <c r="AD143" i="23"/>
  <c r="AH143" i="23" s="1"/>
  <c r="AI143" i="23" s="1"/>
  <c r="AJ143" i="23" s="1"/>
  <c r="AK143" i="23" s="1"/>
  <c r="AC144" i="23"/>
  <c r="BE2" i="18"/>
  <c r="P29" i="18" s="1"/>
  <c r="BD3" i="18"/>
  <c r="BD4" i="18" s="1"/>
  <c r="R100" i="23"/>
  <c r="A223" i="23"/>
  <c r="B222" i="23"/>
  <c r="Z51" i="18"/>
  <c r="Y51" i="18"/>
  <c r="AA51" i="18" s="1"/>
  <c r="AB51" i="18" s="1"/>
  <c r="AD189" i="71" l="1"/>
  <c r="AD190" i="71" s="1"/>
  <c r="S113" i="71"/>
  <c r="R114" i="71"/>
  <c r="S114" i="71" s="1"/>
  <c r="EN262" i="40"/>
  <c r="EO261" i="40"/>
  <c r="EY263" i="40"/>
  <c r="EX264" i="40"/>
  <c r="EI261" i="40"/>
  <c r="EJ260" i="40"/>
  <c r="FD258" i="40"/>
  <c r="FC259" i="40"/>
  <c r="ED261" i="40"/>
  <c r="EE260" i="40"/>
  <c r="FI260" i="40"/>
  <c r="FH261" i="40"/>
  <c r="FN258" i="40"/>
  <c r="FM259" i="40"/>
  <c r="ET260" i="40"/>
  <c r="ES261" i="40"/>
  <c r="FR262" i="40"/>
  <c r="FS261" i="40"/>
  <c r="I6" i="49"/>
  <c r="J6" i="49" s="1"/>
  <c r="J37" i="49" s="1"/>
  <c r="K37" i="49" s="1"/>
  <c r="C6" i="51"/>
  <c r="U7" i="51"/>
  <c r="AA7" i="51" s="1"/>
  <c r="AB7" i="51" s="1"/>
  <c r="J46" i="50"/>
  <c r="K46" i="50" s="1"/>
  <c r="BI41" i="40"/>
  <c r="BI43" i="40" s="1"/>
  <c r="CC49" i="40"/>
  <c r="CC50" i="40"/>
  <c r="BX189" i="40"/>
  <c r="J61" i="50"/>
  <c r="K61" i="50" s="1"/>
  <c r="J39" i="50"/>
  <c r="K39" i="50" s="1"/>
  <c r="J38" i="50"/>
  <c r="K38" i="50" s="1"/>
  <c r="CH43" i="40"/>
  <c r="CH47" i="40" s="1"/>
  <c r="CH49" i="40" s="1"/>
  <c r="CH52" i="40" s="1"/>
  <c r="BS76" i="40"/>
  <c r="BS80" i="40" s="1"/>
  <c r="BS85" i="40" s="1"/>
  <c r="J45" i="50"/>
  <c r="K45" i="50" s="1"/>
  <c r="S37" i="50"/>
  <c r="T37" i="50" s="1"/>
  <c r="S39" i="50"/>
  <c r="T39" i="50" s="1"/>
  <c r="J51" i="50"/>
  <c r="K51" i="50" s="1"/>
  <c r="J41" i="50"/>
  <c r="K41" i="50" s="1"/>
  <c r="J37" i="50"/>
  <c r="K37" i="50" s="1"/>
  <c r="J42" i="50"/>
  <c r="K42" i="50" s="1"/>
  <c r="S38" i="50"/>
  <c r="T38" i="50" s="1"/>
  <c r="S40" i="50"/>
  <c r="T40" i="50" s="1"/>
  <c r="AB37" i="50"/>
  <c r="AC37" i="50" s="1"/>
  <c r="AB41" i="50"/>
  <c r="AC41" i="50" s="1"/>
  <c r="AB42" i="50"/>
  <c r="AC42" i="50" s="1"/>
  <c r="AB40" i="50"/>
  <c r="AC40" i="50" s="1"/>
  <c r="AB38" i="50"/>
  <c r="AC38" i="50" s="1"/>
  <c r="AB39" i="50"/>
  <c r="AC39" i="50" s="1"/>
  <c r="AK15" i="50"/>
  <c r="AB61" i="50"/>
  <c r="AC61" i="50" s="1"/>
  <c r="AB44" i="50"/>
  <c r="AC44" i="50" s="1"/>
  <c r="AB62" i="50"/>
  <c r="AC62" i="50" s="1"/>
  <c r="J48" i="50"/>
  <c r="K48" i="50" s="1"/>
  <c r="J57" i="50"/>
  <c r="K57" i="50" s="1"/>
  <c r="J59" i="50"/>
  <c r="K59" i="50" s="1"/>
  <c r="J64" i="50"/>
  <c r="K64" i="50" s="1"/>
  <c r="J50" i="50"/>
  <c r="K50" i="50" s="1"/>
  <c r="J49" i="50"/>
  <c r="K49" i="50" s="1"/>
  <c r="CW11" i="40"/>
  <c r="J47" i="50"/>
  <c r="K47" i="50" s="1"/>
  <c r="J63" i="50"/>
  <c r="K63" i="50" s="1"/>
  <c r="J52" i="50"/>
  <c r="K52" i="50" s="1"/>
  <c r="S41" i="50"/>
  <c r="T41" i="50" s="1"/>
  <c r="AB58" i="50"/>
  <c r="AC58" i="50" s="1"/>
  <c r="J58" i="50"/>
  <c r="K58" i="50" s="1"/>
  <c r="J53" i="50"/>
  <c r="K53" i="50" s="1"/>
  <c r="J54" i="50"/>
  <c r="K54" i="50" s="1"/>
  <c r="J56" i="50"/>
  <c r="K56" i="50" s="1"/>
  <c r="J66" i="50"/>
  <c r="K66" i="50" s="1"/>
  <c r="DT31" i="40"/>
  <c r="DT39" i="40" s="1"/>
  <c r="DT41" i="40" s="1"/>
  <c r="J65" i="50"/>
  <c r="K65" i="50" s="1"/>
  <c r="J55" i="50"/>
  <c r="K55" i="50" s="1"/>
  <c r="J62" i="50"/>
  <c r="K62" i="50" s="1"/>
  <c r="J60" i="50"/>
  <c r="K60" i="50" s="1"/>
  <c r="J44" i="50"/>
  <c r="K44" i="50" s="1"/>
  <c r="J43" i="50"/>
  <c r="K43" i="50" s="1"/>
  <c r="AB56" i="50"/>
  <c r="AC56" i="50" s="1"/>
  <c r="AB52" i="50"/>
  <c r="AC52" i="50" s="1"/>
  <c r="AB50" i="50"/>
  <c r="AC50" i="50" s="1"/>
  <c r="AB48" i="50"/>
  <c r="AC48" i="50" s="1"/>
  <c r="AB64" i="50"/>
  <c r="AC64" i="50" s="1"/>
  <c r="AB66" i="50"/>
  <c r="AC66" i="50" s="1"/>
  <c r="AB49" i="50"/>
  <c r="AC49" i="50" s="1"/>
  <c r="AB45" i="50"/>
  <c r="AC45" i="50" s="1"/>
  <c r="AB57" i="50"/>
  <c r="AC57" i="50" s="1"/>
  <c r="AB53" i="50"/>
  <c r="AC53" i="50" s="1"/>
  <c r="AB54" i="50"/>
  <c r="AC54" i="50" s="1"/>
  <c r="AB63" i="50"/>
  <c r="AC63" i="50" s="1"/>
  <c r="AB60" i="50"/>
  <c r="AC60" i="50" s="1"/>
  <c r="AB51" i="50"/>
  <c r="AC51" i="50" s="1"/>
  <c r="AB55" i="50"/>
  <c r="AC55" i="50" s="1"/>
  <c r="AB46" i="50"/>
  <c r="AC46" i="50" s="1"/>
  <c r="AB59" i="50"/>
  <c r="AC59" i="50" s="1"/>
  <c r="AB43" i="50"/>
  <c r="AC43" i="50" s="1"/>
  <c r="AB65" i="50"/>
  <c r="AC65" i="50" s="1"/>
  <c r="S50" i="50"/>
  <c r="T50" i="50" s="1"/>
  <c r="DU40" i="40"/>
  <c r="DU44" i="40" s="1"/>
  <c r="S49" i="50"/>
  <c r="T49" i="50" s="1"/>
  <c r="S48" i="50"/>
  <c r="T48" i="50" s="1"/>
  <c r="S63" i="50"/>
  <c r="T63" i="50" s="1"/>
  <c r="S46" i="50"/>
  <c r="T46" i="50" s="1"/>
  <c r="S43" i="50"/>
  <c r="T43" i="50" s="1"/>
  <c r="S62" i="50"/>
  <c r="T62" i="50" s="1"/>
  <c r="S60" i="50"/>
  <c r="T60" i="50" s="1"/>
  <c r="S57" i="50"/>
  <c r="T57" i="50" s="1"/>
  <c r="S61" i="50"/>
  <c r="T61" i="50" s="1"/>
  <c r="S55" i="50"/>
  <c r="T55" i="50" s="1"/>
  <c r="S47" i="50"/>
  <c r="T47" i="50" s="1"/>
  <c r="S44" i="50"/>
  <c r="T44" i="50" s="1"/>
  <c r="S64" i="50"/>
  <c r="T64" i="50" s="1"/>
  <c r="S54" i="50"/>
  <c r="T54" i="50" s="1"/>
  <c r="S42" i="50"/>
  <c r="T42" i="50" s="1"/>
  <c r="S53" i="50"/>
  <c r="T53" i="50" s="1"/>
  <c r="S52" i="50"/>
  <c r="T52" i="50" s="1"/>
  <c r="S45" i="50"/>
  <c r="T45" i="50" s="1"/>
  <c r="S65" i="50"/>
  <c r="T65" i="50" s="1"/>
  <c r="S58" i="50"/>
  <c r="T58" i="50" s="1"/>
  <c r="DV62" i="40"/>
  <c r="S66" i="50"/>
  <c r="T66" i="50" s="1"/>
  <c r="S59" i="50"/>
  <c r="T59" i="50" s="1"/>
  <c r="S51" i="50"/>
  <c r="T51" i="50" s="1"/>
  <c r="AB9" i="49"/>
  <c r="M138" i="23"/>
  <c r="M130" i="23"/>
  <c r="M131" i="23"/>
  <c r="M129" i="23"/>
  <c r="M126" i="23"/>
  <c r="M127" i="23"/>
  <c r="M132" i="23"/>
  <c r="M128" i="23"/>
  <c r="M124" i="23"/>
  <c r="M133" i="23"/>
  <c r="M125" i="23"/>
  <c r="M123" i="23"/>
  <c r="M136" i="23"/>
  <c r="M135" i="23"/>
  <c r="M134" i="23"/>
  <c r="M137" i="23"/>
  <c r="BN17" i="40"/>
  <c r="BN18" i="40" s="1"/>
  <c r="BN21" i="40" s="1"/>
  <c r="CR15" i="40"/>
  <c r="DS43" i="40"/>
  <c r="DS47" i="40" s="1"/>
  <c r="DW55" i="40"/>
  <c r="DW58" i="40" s="1"/>
  <c r="DW59" i="40" s="1"/>
  <c r="DW63" i="40" s="1"/>
  <c r="DW68" i="40" s="1"/>
  <c r="DW71" i="40" s="1"/>
  <c r="DW73" i="40" s="1"/>
  <c r="DW74" i="40" s="1"/>
  <c r="DW84" i="40" s="1"/>
  <c r="CM52" i="40"/>
  <c r="CM54" i="40" s="1"/>
  <c r="CM61" i="40" s="1"/>
  <c r="CM62" i="40" s="1"/>
  <c r="CM64" i="40" s="1"/>
  <c r="BE8" i="49"/>
  <c r="BE9" i="49"/>
  <c r="BE20" i="49"/>
  <c r="BE7" i="49"/>
  <c r="BE21" i="49"/>
  <c r="BE16" i="49"/>
  <c r="BE30" i="49"/>
  <c r="BE12" i="49"/>
  <c r="BE17" i="49"/>
  <c r="BE19" i="49"/>
  <c r="BE31" i="49"/>
  <c r="BE35" i="49"/>
  <c r="BE28" i="49"/>
  <c r="BE27" i="49"/>
  <c r="BE25" i="49"/>
  <c r="BN7" i="49"/>
  <c r="BE13" i="49"/>
  <c r="BE11" i="49"/>
  <c r="BE26" i="49"/>
  <c r="BE29" i="49"/>
  <c r="BE23" i="49"/>
  <c r="BE15" i="49"/>
  <c r="BE33" i="49"/>
  <c r="BE10" i="49"/>
  <c r="BE14" i="49"/>
  <c r="BE34" i="49"/>
  <c r="BE18" i="49"/>
  <c r="BE24" i="49"/>
  <c r="BE22" i="49"/>
  <c r="AC145" i="23"/>
  <c r="AD144" i="23"/>
  <c r="AH144" i="23" s="1"/>
  <c r="AI144" i="23" s="1"/>
  <c r="AJ144" i="23" s="1"/>
  <c r="AK144" i="23" s="1"/>
  <c r="BE3" i="18"/>
  <c r="P31" i="18" s="1"/>
  <c r="R101" i="23"/>
  <c r="B223" i="23"/>
  <c r="A224" i="23"/>
  <c r="W52" i="18"/>
  <c r="X52" i="18" s="1"/>
  <c r="BD5" i="18"/>
  <c r="BE4" i="18"/>
  <c r="P33" i="18" s="1"/>
  <c r="AD191" i="71" l="1"/>
  <c r="AD192" i="71" s="1"/>
  <c r="AD193" i="71" s="1"/>
  <c r="AD194" i="71" s="1"/>
  <c r="AD195" i="71" s="1"/>
  <c r="AD196" i="71" s="1"/>
  <c r="AD197" i="71" s="1"/>
  <c r="AD198" i="71" s="1"/>
  <c r="AD199" i="71" s="1"/>
  <c r="ET261" i="40"/>
  <c r="ES262" i="40"/>
  <c r="FI261" i="40"/>
  <c r="FH262" i="40"/>
  <c r="FD259" i="40"/>
  <c r="FC260" i="40"/>
  <c r="EY264" i="40"/>
  <c r="EX265" i="40"/>
  <c r="FN259" i="40"/>
  <c r="FM260" i="40"/>
  <c r="FR263" i="40"/>
  <c r="FS262" i="40"/>
  <c r="ED262" i="40"/>
  <c r="EE261" i="40"/>
  <c r="EJ261" i="40"/>
  <c r="EI262" i="40"/>
  <c r="EN263" i="40"/>
  <c r="EO262" i="40"/>
  <c r="I6" i="51"/>
  <c r="J6" i="51" s="1"/>
  <c r="BI46" i="40"/>
  <c r="CC52" i="40"/>
  <c r="CC53" i="40" s="1"/>
  <c r="CC54" i="40" s="1"/>
  <c r="CC55" i="40" s="1"/>
  <c r="CC56" i="40" s="1"/>
  <c r="CC61" i="40" s="1"/>
  <c r="CC63" i="40" s="1"/>
  <c r="CC64" i="40" s="1"/>
  <c r="CC68" i="40" s="1"/>
  <c r="CC70" i="40" s="1"/>
  <c r="CC73" i="40" s="1"/>
  <c r="CC75" i="40" s="1"/>
  <c r="CC76" i="40" s="1"/>
  <c r="CC77" i="40" s="1"/>
  <c r="CC78" i="40" s="1"/>
  <c r="CC80" i="40" s="1"/>
  <c r="CC83" i="40" s="1"/>
  <c r="CC84" i="40" s="1"/>
  <c r="CC85" i="40" s="1"/>
  <c r="BX190" i="40"/>
  <c r="BX192" i="40"/>
  <c r="BS89" i="40"/>
  <c r="AK16" i="50"/>
  <c r="CW12" i="40"/>
  <c r="CW13" i="40" s="1"/>
  <c r="CW14" i="40" s="1"/>
  <c r="L38" i="50"/>
  <c r="L37" i="50" s="1"/>
  <c r="DT42" i="40"/>
  <c r="AD38" i="50"/>
  <c r="AD37" i="50" s="1"/>
  <c r="DU52" i="40"/>
  <c r="DU65" i="40" s="1"/>
  <c r="U38" i="50"/>
  <c r="U37" i="50" s="1"/>
  <c r="DV64" i="40"/>
  <c r="BN22" i="40"/>
  <c r="BN48" i="40"/>
  <c r="CR16" i="40"/>
  <c r="DS49" i="40"/>
  <c r="DS56" i="40" s="1"/>
  <c r="DS57" i="40" s="1"/>
  <c r="DW95" i="40"/>
  <c r="DW103" i="40" s="1"/>
  <c r="CM85" i="40"/>
  <c r="CH54" i="40"/>
  <c r="CH56" i="40" s="1"/>
  <c r="BS302" i="40"/>
  <c r="U14" i="49"/>
  <c r="AA14" i="49" s="1"/>
  <c r="AB14" i="49" s="1"/>
  <c r="BN14" i="49"/>
  <c r="BN31" i="49"/>
  <c r="BN32" i="49"/>
  <c r="BN27" i="49"/>
  <c r="L12" i="49"/>
  <c r="R12" i="49" s="1"/>
  <c r="S12" i="49" s="1"/>
  <c r="BN26" i="49"/>
  <c r="BN15" i="49"/>
  <c r="BN30" i="49"/>
  <c r="BN28" i="49"/>
  <c r="BN33" i="49"/>
  <c r="BN10" i="49"/>
  <c r="BN18" i="49"/>
  <c r="BN12" i="49"/>
  <c r="BN23" i="49"/>
  <c r="BN21" i="49"/>
  <c r="BN20" i="49"/>
  <c r="BN16" i="49"/>
  <c r="BN11" i="49"/>
  <c r="C24" i="49"/>
  <c r="BN8" i="49"/>
  <c r="BN9" i="49"/>
  <c r="BN17" i="49"/>
  <c r="BN22" i="49"/>
  <c r="BN24" i="49"/>
  <c r="BN25" i="49"/>
  <c r="BN19" i="49"/>
  <c r="BN13" i="49"/>
  <c r="BN35" i="49"/>
  <c r="BN34" i="49"/>
  <c r="BN29" i="49"/>
  <c r="CC200" i="40"/>
  <c r="AD145" i="23"/>
  <c r="AH145" i="23" s="1"/>
  <c r="AI145" i="23" s="1"/>
  <c r="AJ145" i="23" s="1"/>
  <c r="AK145" i="23" s="1"/>
  <c r="AC146" i="23"/>
  <c r="R102" i="23"/>
  <c r="A225" i="23"/>
  <c r="B224" i="23"/>
  <c r="Y52" i="18"/>
  <c r="AA52" i="18" s="1"/>
  <c r="AB52" i="18" s="1"/>
  <c r="Z52" i="18"/>
  <c r="BD6" i="18"/>
  <c r="BE5" i="18"/>
  <c r="P35" i="18" s="1"/>
  <c r="AD200" i="71" l="1"/>
  <c r="AD201" i="71" s="1"/>
  <c r="AD202" i="71" s="1"/>
  <c r="AD203" i="71" s="1"/>
  <c r="AD204" i="71" s="1"/>
  <c r="AD205" i="71" s="1"/>
  <c r="AD206" i="71" s="1"/>
  <c r="AD207" i="71" s="1"/>
  <c r="AD208" i="71" s="1"/>
  <c r="AD209" i="71" s="1"/>
  <c r="AD210" i="71" s="1"/>
  <c r="AD211" i="71" s="1"/>
  <c r="AD212" i="71" s="1"/>
  <c r="AD213" i="71" s="1"/>
  <c r="AD214" i="71" s="1"/>
  <c r="AD215" i="71" s="1"/>
  <c r="AD216" i="71" s="1"/>
  <c r="AD217" i="71" s="1"/>
  <c r="AD218" i="71" s="1"/>
  <c r="AD219" i="71" s="1"/>
  <c r="AD220" i="71" s="1"/>
  <c r="AD221" i="71" s="1"/>
  <c r="AD222" i="71" s="1"/>
  <c r="AD223" i="71" s="1"/>
  <c r="AD224" i="71" s="1"/>
  <c r="AD225" i="71" s="1"/>
  <c r="AD226" i="71" s="1"/>
  <c r="AD227" i="71" s="1"/>
  <c r="AD228" i="71" s="1"/>
  <c r="AD229" i="71" s="1"/>
  <c r="AD230" i="71" s="1"/>
  <c r="AD231" i="71" s="1"/>
  <c r="AD232" i="71" s="1"/>
  <c r="AD233" i="71" s="1"/>
  <c r="AD234" i="71" s="1"/>
  <c r="AD235" i="71" s="1"/>
  <c r="AD236" i="71" s="1"/>
  <c r="AD237" i="71" s="1"/>
  <c r="AD238" i="71" s="1"/>
  <c r="AD239" i="71" s="1"/>
  <c r="EI263" i="40"/>
  <c r="EJ262" i="40"/>
  <c r="EY265" i="40"/>
  <c r="EX266" i="40"/>
  <c r="FI262" i="40"/>
  <c r="FH263" i="40"/>
  <c r="FR264" i="40"/>
  <c r="FS263" i="40"/>
  <c r="FM261" i="40"/>
  <c r="FN260" i="40"/>
  <c r="FD260" i="40"/>
  <c r="FC261" i="40"/>
  <c r="ET262" i="40"/>
  <c r="ES263" i="40"/>
  <c r="EO263" i="40"/>
  <c r="EN264" i="40"/>
  <c r="ED263" i="40"/>
  <c r="EE262" i="40"/>
  <c r="BI47" i="40"/>
  <c r="I24" i="49"/>
  <c r="J24" i="49" s="1"/>
  <c r="BI49" i="40"/>
  <c r="CC89" i="40"/>
  <c r="CC90" i="40" s="1"/>
  <c r="BX197" i="40"/>
  <c r="BX198" i="40" s="1"/>
  <c r="BX199" i="40" s="1"/>
  <c r="BX204" i="40" s="1"/>
  <c r="BX207" i="40" s="1"/>
  <c r="BX212" i="40" s="1"/>
  <c r="BX216" i="40" s="1"/>
  <c r="CC93" i="40"/>
  <c r="CC94" i="40" s="1"/>
  <c r="BS90" i="40"/>
  <c r="AK17" i="50"/>
  <c r="AK18" i="50"/>
  <c r="AK19" i="50" s="1"/>
  <c r="CW15" i="40"/>
  <c r="CW16" i="40" s="1"/>
  <c r="DT45" i="40"/>
  <c r="DV70" i="40"/>
  <c r="DV72" i="40" s="1"/>
  <c r="BN23" i="40"/>
  <c r="BN50" i="40"/>
  <c r="CR17" i="40"/>
  <c r="DS60" i="40"/>
  <c r="DW111" i="40"/>
  <c r="DW113" i="40" s="1"/>
  <c r="DW144" i="40" s="1"/>
  <c r="DU66" i="40"/>
  <c r="CM87" i="40"/>
  <c r="CM97" i="40" s="1"/>
  <c r="CM99" i="40" s="1"/>
  <c r="CM100" i="40" s="1"/>
  <c r="CM104" i="40" s="1"/>
  <c r="BS304" i="40"/>
  <c r="CH61" i="40"/>
  <c r="CH64" i="40" s="1"/>
  <c r="CH70" i="40" s="1"/>
  <c r="U15" i="49"/>
  <c r="AA15" i="49" s="1"/>
  <c r="AB15" i="49" s="1"/>
  <c r="U16" i="49"/>
  <c r="AA16" i="49" s="1"/>
  <c r="AB16" i="49" s="1"/>
  <c r="U18" i="49"/>
  <c r="AA18" i="49" s="1"/>
  <c r="AB18" i="49" s="1"/>
  <c r="U19" i="49"/>
  <c r="AA19" i="49" s="1"/>
  <c r="AB19" i="49" s="1"/>
  <c r="U21" i="49"/>
  <c r="AA21" i="49" s="1"/>
  <c r="AB21" i="49" s="1"/>
  <c r="U17" i="49"/>
  <c r="AA17" i="49" s="1"/>
  <c r="AB17" i="49" s="1"/>
  <c r="U20" i="49"/>
  <c r="AA20" i="49" s="1"/>
  <c r="AB20" i="49" s="1"/>
  <c r="AM27" i="49"/>
  <c r="AS27" i="49" s="1"/>
  <c r="AT27" i="49" s="1"/>
  <c r="AM28" i="49"/>
  <c r="AS28" i="49" s="1"/>
  <c r="AT28" i="49" s="1"/>
  <c r="AM29" i="49"/>
  <c r="AS29" i="49" s="1"/>
  <c r="AT29" i="49" s="1"/>
  <c r="AM22" i="49"/>
  <c r="AS22" i="49" s="1"/>
  <c r="AT22" i="49" s="1"/>
  <c r="AM13" i="49"/>
  <c r="AS13" i="49" s="1"/>
  <c r="AT13" i="49" s="1"/>
  <c r="AM7" i="49"/>
  <c r="AS7" i="49" s="1"/>
  <c r="AT7" i="49" s="1"/>
  <c r="AM23" i="49"/>
  <c r="AS23" i="49" s="1"/>
  <c r="AT23" i="49" s="1"/>
  <c r="AM24" i="49"/>
  <c r="AS24" i="49" s="1"/>
  <c r="AT24" i="49" s="1"/>
  <c r="AM33" i="49"/>
  <c r="AS33" i="49" s="1"/>
  <c r="AT33" i="49" s="1"/>
  <c r="AM26" i="49"/>
  <c r="AS26" i="49" s="1"/>
  <c r="AT26" i="49" s="1"/>
  <c r="AM25" i="49"/>
  <c r="AS25" i="49" s="1"/>
  <c r="AT25" i="49" s="1"/>
  <c r="AM35" i="49"/>
  <c r="AS35" i="49" s="1"/>
  <c r="AT35" i="49" s="1"/>
  <c r="AM10" i="49"/>
  <c r="AS10" i="49" s="1"/>
  <c r="AT10" i="49" s="1"/>
  <c r="AM30" i="49"/>
  <c r="AS30" i="49" s="1"/>
  <c r="AT30" i="49" s="1"/>
  <c r="AM8" i="49"/>
  <c r="AS8" i="49" s="1"/>
  <c r="AM9" i="49"/>
  <c r="AS9" i="49" s="1"/>
  <c r="AT9" i="49" s="1"/>
  <c r="AM14" i="49"/>
  <c r="AS14" i="49" s="1"/>
  <c r="AM20" i="49"/>
  <c r="AS20" i="49" s="1"/>
  <c r="AT20" i="49" s="1"/>
  <c r="AM11" i="49"/>
  <c r="AS11" i="49" s="1"/>
  <c r="AT11" i="49" s="1"/>
  <c r="AM18" i="49"/>
  <c r="AS18" i="49" s="1"/>
  <c r="AT18" i="49" s="1"/>
  <c r="AM12" i="49"/>
  <c r="AS12" i="49" s="1"/>
  <c r="AT12" i="49" s="1"/>
  <c r="AM21" i="49"/>
  <c r="AS21" i="49" s="1"/>
  <c r="AT21" i="49" s="1"/>
  <c r="AM31" i="49"/>
  <c r="AS31" i="49" s="1"/>
  <c r="AT31" i="49" s="1"/>
  <c r="AM19" i="49"/>
  <c r="AS19" i="49" s="1"/>
  <c r="AT19" i="49" s="1"/>
  <c r="AM32" i="49"/>
  <c r="AS32" i="49" s="1"/>
  <c r="AT32" i="49" s="1"/>
  <c r="AM16" i="49"/>
  <c r="AS16" i="49" s="1"/>
  <c r="AM17" i="49"/>
  <c r="AS17" i="49" s="1"/>
  <c r="AM15" i="49"/>
  <c r="AS15" i="49" s="1"/>
  <c r="AT15" i="49" s="1"/>
  <c r="AM6" i="49"/>
  <c r="AS6" i="49" s="1"/>
  <c r="AM34" i="49"/>
  <c r="AS34" i="49" s="1"/>
  <c r="AT34" i="49" s="1"/>
  <c r="L13" i="49"/>
  <c r="R13" i="49" s="1"/>
  <c r="L28" i="49"/>
  <c r="R28" i="49" s="1"/>
  <c r="S28" i="49" s="1"/>
  <c r="L18" i="49"/>
  <c r="R18" i="49" s="1"/>
  <c r="S18" i="49" s="1"/>
  <c r="L10" i="49"/>
  <c r="R10" i="49" s="1"/>
  <c r="S10" i="49" s="1"/>
  <c r="C19" i="49"/>
  <c r="C31" i="49"/>
  <c r="C7" i="49"/>
  <c r="C33" i="49"/>
  <c r="C13" i="49"/>
  <c r="C30" i="49"/>
  <c r="C17" i="49"/>
  <c r="C23" i="49"/>
  <c r="C18" i="49"/>
  <c r="C34" i="49"/>
  <c r="C15" i="49"/>
  <c r="C29" i="49"/>
  <c r="C11" i="49"/>
  <c r="C12" i="49"/>
  <c r="C8" i="49"/>
  <c r="C22" i="49"/>
  <c r="C20" i="49"/>
  <c r="C21" i="49"/>
  <c r="C26" i="49"/>
  <c r="C28" i="49"/>
  <c r="C16" i="49"/>
  <c r="C9" i="49"/>
  <c r="C10" i="49"/>
  <c r="C14" i="49"/>
  <c r="C35" i="49"/>
  <c r="I35" i="49" s="1"/>
  <c r="J35" i="49" s="1"/>
  <c r="C25" i="49"/>
  <c r="C27" i="49"/>
  <c r="C32" i="49"/>
  <c r="L26" i="49"/>
  <c r="R26" i="49" s="1"/>
  <c r="S26" i="49" s="1"/>
  <c r="L34" i="49"/>
  <c r="R34" i="49" s="1"/>
  <c r="S34" i="49" s="1"/>
  <c r="L29" i="49"/>
  <c r="R29" i="49" s="1"/>
  <c r="S29" i="49" s="1"/>
  <c r="L30" i="49"/>
  <c r="R30" i="49" s="1"/>
  <c r="S30" i="49" s="1"/>
  <c r="L9" i="49"/>
  <c r="R9" i="49" s="1"/>
  <c r="S9" i="49" s="1"/>
  <c r="L15" i="49"/>
  <c r="R15" i="49" s="1"/>
  <c r="S15" i="49" s="1"/>
  <c r="L24" i="49"/>
  <c r="R24" i="49" s="1"/>
  <c r="S24" i="49" s="1"/>
  <c r="L32" i="49"/>
  <c r="R32" i="49" s="1"/>
  <c r="S32" i="49" s="1"/>
  <c r="L35" i="49"/>
  <c r="R35" i="49" s="1"/>
  <c r="S35" i="49" s="1"/>
  <c r="L25" i="49"/>
  <c r="R25" i="49" s="1"/>
  <c r="S25" i="49" s="1"/>
  <c r="L19" i="49"/>
  <c r="R19" i="49" s="1"/>
  <c r="L22" i="49"/>
  <c r="R22" i="49" s="1"/>
  <c r="S22" i="49" s="1"/>
  <c r="L11" i="49"/>
  <c r="R11" i="49" s="1"/>
  <c r="S11" i="49" s="1"/>
  <c r="L23" i="49"/>
  <c r="R23" i="49" s="1"/>
  <c r="S23" i="49" s="1"/>
  <c r="L33" i="49"/>
  <c r="R33" i="49" s="1"/>
  <c r="S33" i="49" s="1"/>
  <c r="L17" i="49"/>
  <c r="R17" i="49" s="1"/>
  <c r="S17" i="49" s="1"/>
  <c r="L31" i="49"/>
  <c r="R31" i="49" s="1"/>
  <c r="S31" i="49" s="1"/>
  <c r="L16" i="49"/>
  <c r="R16" i="49" s="1"/>
  <c r="S16" i="49" s="1"/>
  <c r="L8" i="49"/>
  <c r="R8" i="49" s="1"/>
  <c r="S8" i="49" s="1"/>
  <c r="L14" i="49"/>
  <c r="R14" i="49" s="1"/>
  <c r="L20" i="49"/>
  <c r="R20" i="49" s="1"/>
  <c r="S20" i="49" s="1"/>
  <c r="L21" i="49"/>
  <c r="R21" i="49" s="1"/>
  <c r="L27" i="49"/>
  <c r="R27" i="49" s="1"/>
  <c r="S27" i="49" s="1"/>
  <c r="AD146" i="23"/>
  <c r="AH146" i="23" s="1"/>
  <c r="AI146" i="23" s="1"/>
  <c r="AJ146" i="23" s="1"/>
  <c r="AK146" i="23" s="1"/>
  <c r="AC147" i="23"/>
  <c r="R103" i="23"/>
  <c r="B225" i="23"/>
  <c r="A226" i="23"/>
  <c r="W53" i="18"/>
  <c r="X53" i="18" s="1"/>
  <c r="BE6" i="18"/>
  <c r="P37" i="18" s="1"/>
  <c r="BD7" i="18"/>
  <c r="EO264" i="40" l="1"/>
  <c r="EN265" i="40"/>
  <c r="FC262" i="40"/>
  <c r="FD261" i="40"/>
  <c r="EY266" i="40"/>
  <c r="EX267" i="40"/>
  <c r="FR265" i="40"/>
  <c r="FS264" i="40"/>
  <c r="ET263" i="40"/>
  <c r="ES264" i="40"/>
  <c r="FI263" i="40"/>
  <c r="FH264" i="40"/>
  <c r="ED264" i="40"/>
  <c r="EE263" i="40"/>
  <c r="FN261" i="40"/>
  <c r="FM262" i="40"/>
  <c r="EI264" i="40"/>
  <c r="EJ263" i="40"/>
  <c r="I32" i="49"/>
  <c r="J32" i="49" s="1"/>
  <c r="I14" i="49"/>
  <c r="J14" i="49" s="1"/>
  <c r="I28" i="49"/>
  <c r="J28" i="49" s="1"/>
  <c r="I22" i="49"/>
  <c r="I29" i="49"/>
  <c r="J29" i="49" s="1"/>
  <c r="I23" i="49"/>
  <c r="J23" i="49" s="1"/>
  <c r="I33" i="49"/>
  <c r="J33" i="49" s="1"/>
  <c r="I27" i="49"/>
  <c r="J27" i="49" s="1"/>
  <c r="I10" i="49"/>
  <c r="I26" i="49"/>
  <c r="J26" i="49" s="1"/>
  <c r="I8" i="49"/>
  <c r="J8" i="49" s="1"/>
  <c r="I15" i="49"/>
  <c r="J15" i="49" s="1"/>
  <c r="I17" i="49"/>
  <c r="J17" i="49" s="1"/>
  <c r="I7" i="49"/>
  <c r="J7" i="49" s="1"/>
  <c r="I25" i="49"/>
  <c r="J25" i="49" s="1"/>
  <c r="I9" i="49"/>
  <c r="J9" i="49" s="1"/>
  <c r="I21" i="49"/>
  <c r="I12" i="49"/>
  <c r="J12" i="49" s="1"/>
  <c r="I34" i="49"/>
  <c r="J34" i="49" s="1"/>
  <c r="I30" i="49"/>
  <c r="J30" i="49" s="1"/>
  <c r="I31" i="49"/>
  <c r="J31" i="49" s="1"/>
  <c r="I16" i="49"/>
  <c r="J16" i="49" s="1"/>
  <c r="I20" i="49"/>
  <c r="J20" i="49" s="1"/>
  <c r="I11" i="49"/>
  <c r="J11" i="49" s="1"/>
  <c r="I18" i="49"/>
  <c r="J18" i="49" s="1"/>
  <c r="I13" i="49"/>
  <c r="J13" i="49" s="1"/>
  <c r="I19" i="49"/>
  <c r="J19" i="49" s="1"/>
  <c r="DU80" i="40"/>
  <c r="DU81" i="40" s="1"/>
  <c r="DU86" i="40" s="1"/>
  <c r="DU91" i="40" s="1"/>
  <c r="DU104" i="40" s="1"/>
  <c r="DU117" i="40" s="1"/>
  <c r="C8" i="51"/>
  <c r="BI50" i="40"/>
  <c r="BX217" i="40"/>
  <c r="CC97" i="40"/>
  <c r="BS91" i="40"/>
  <c r="AK20" i="50"/>
  <c r="CW17" i="40"/>
  <c r="CW18" i="40" s="1"/>
  <c r="DT54" i="40"/>
  <c r="U22" i="49"/>
  <c r="AA22" i="49" s="1"/>
  <c r="AB22" i="49" s="1"/>
  <c r="DV77" i="40"/>
  <c r="DV92" i="40" s="1"/>
  <c r="AT6" i="49"/>
  <c r="S13" i="49"/>
  <c r="AT8" i="49"/>
  <c r="AT14" i="49" s="1"/>
  <c r="AT17" i="49"/>
  <c r="S14" i="49"/>
  <c r="BN24" i="40"/>
  <c r="BN69" i="40"/>
  <c r="CR20" i="40"/>
  <c r="CR28" i="40" s="1"/>
  <c r="CR32" i="40" s="1"/>
  <c r="CR33" i="40" s="1"/>
  <c r="CR37" i="40" s="1"/>
  <c r="CR39" i="40" s="1"/>
  <c r="CR40" i="40" s="1"/>
  <c r="CR41" i="40" s="1"/>
  <c r="CR43" i="40" s="1"/>
  <c r="CR46" i="40" s="1"/>
  <c r="CR47" i="40" s="1"/>
  <c r="CR49" i="40" s="1"/>
  <c r="CR50" i="40" s="1"/>
  <c r="CR52" i="40" s="1"/>
  <c r="CR53" i="40" s="1"/>
  <c r="CR54" i="40" s="1"/>
  <c r="CR55" i="40" s="1"/>
  <c r="CR56" i="40" s="1"/>
  <c r="CR61" i="40" s="1"/>
  <c r="CR63" i="40" s="1"/>
  <c r="CR64" i="40" s="1"/>
  <c r="CR68" i="40" s="1"/>
  <c r="CR70" i="40" s="1"/>
  <c r="CR73" i="40" s="1"/>
  <c r="CR75" i="40" s="1"/>
  <c r="CR76" i="40" s="1"/>
  <c r="CR77" i="40" s="1"/>
  <c r="CR78" i="40" s="1"/>
  <c r="CR80" i="40" s="1"/>
  <c r="CR83" i="40" s="1"/>
  <c r="CR84" i="40" s="1"/>
  <c r="CR85" i="40" s="1"/>
  <c r="CR89" i="40" s="1"/>
  <c r="CR90" i="40" s="1"/>
  <c r="CR93" i="40" s="1"/>
  <c r="CR94" i="40" s="1"/>
  <c r="CR97" i="40" s="1"/>
  <c r="CR99" i="40" s="1"/>
  <c r="CR100" i="40" s="1"/>
  <c r="CR101" i="40" s="1"/>
  <c r="CR102" i="40" s="1"/>
  <c r="CR104" i="40" s="1"/>
  <c r="CR110" i="40" s="1"/>
  <c r="CR111" i="40" s="1"/>
  <c r="CR112" i="40" s="1"/>
  <c r="CR113" i="40" s="1"/>
  <c r="CR119" i="40" s="1"/>
  <c r="CR123" i="40" s="1"/>
  <c r="CR124" i="40" s="1"/>
  <c r="CR125" i="40" s="1"/>
  <c r="CR126" i="40" s="1"/>
  <c r="CR127" i="40" s="1"/>
  <c r="CR129" i="40" s="1"/>
  <c r="CR130" i="40" s="1"/>
  <c r="CR131" i="40" s="1"/>
  <c r="CR132" i="40" s="1"/>
  <c r="CR133" i="40" s="1"/>
  <c r="CR134" i="40" s="1"/>
  <c r="CR138" i="40" s="1"/>
  <c r="CR140" i="40" s="1"/>
  <c r="CR142" i="40" s="1"/>
  <c r="CR145" i="40" s="1"/>
  <c r="CR146" i="40" s="1"/>
  <c r="CR147" i="40" s="1"/>
  <c r="CR148" i="40" s="1"/>
  <c r="CR150" i="40" s="1"/>
  <c r="CR151" i="40" s="1"/>
  <c r="CR154" i="40" s="1"/>
  <c r="CR155" i="40" s="1"/>
  <c r="CR156" i="40" s="1"/>
  <c r="CR157" i="40" s="1"/>
  <c r="CR160" i="40" s="1"/>
  <c r="CR161" i="40" s="1"/>
  <c r="CR164" i="40" s="1"/>
  <c r="CR165" i="40" s="1"/>
  <c r="CR168" i="40" s="1"/>
  <c r="CR171" i="40" s="1"/>
  <c r="CR174" i="40" s="1"/>
  <c r="CR176" i="40" s="1"/>
  <c r="CR184" i="40" s="1"/>
  <c r="CR185" i="40" s="1"/>
  <c r="CR189" i="40" s="1"/>
  <c r="CR190" i="40" s="1"/>
  <c r="CR191" i="40" s="1"/>
  <c r="CR192" i="40" s="1"/>
  <c r="CR193" i="40" s="1"/>
  <c r="CR194" i="40" s="1"/>
  <c r="CR197" i="40" s="1"/>
  <c r="CR198" i="40" s="1"/>
  <c r="CR199" i="40" s="1"/>
  <c r="CR200" i="40" s="1"/>
  <c r="CR201" i="40" s="1"/>
  <c r="CR202" i="40" s="1"/>
  <c r="CR204" i="40" s="1"/>
  <c r="CR207" i="40" s="1"/>
  <c r="CR209" i="40" s="1"/>
  <c r="CR210" i="40" s="1"/>
  <c r="CR211" i="40" s="1"/>
  <c r="CR212" i="40" s="1"/>
  <c r="CR214" i="40" s="1"/>
  <c r="CR215" i="40" s="1"/>
  <c r="CR216" i="40" s="1"/>
  <c r="CR217" i="40" s="1"/>
  <c r="CR218" i="40" s="1"/>
  <c r="CR219" i="40" s="1"/>
  <c r="CR223" i="40" s="1"/>
  <c r="CR224" i="40" s="1"/>
  <c r="CR226" i="40" s="1"/>
  <c r="CR229" i="40" s="1"/>
  <c r="CR230" i="40" s="1"/>
  <c r="CR232" i="40" s="1"/>
  <c r="CR233" i="40" s="1"/>
  <c r="CR234" i="40" s="1"/>
  <c r="CR235" i="40" s="1"/>
  <c r="CR236" i="40" s="1"/>
  <c r="CR238" i="40" s="1"/>
  <c r="CR239" i="40" s="1"/>
  <c r="CR240" i="40" s="1"/>
  <c r="CR241" i="40" s="1"/>
  <c r="CR242" i="40" s="1"/>
  <c r="CR243" i="40" s="1"/>
  <c r="CR244" i="40" s="1"/>
  <c r="CR245" i="40" s="1"/>
  <c r="CR246" i="40" s="1"/>
  <c r="CR247" i="40" s="1"/>
  <c r="CR249" i="40" s="1"/>
  <c r="CR250" i="40" s="1"/>
  <c r="CR251" i="40" s="1"/>
  <c r="CR252" i="40" s="1"/>
  <c r="CR254" i="40" s="1"/>
  <c r="CR255" i="40" s="1"/>
  <c r="CR258" i="40" s="1"/>
  <c r="CR260" i="40" s="1"/>
  <c r="CR261" i="40" s="1"/>
  <c r="CR264" i="40" s="1"/>
  <c r="CR265" i="40" s="1"/>
  <c r="CR267" i="40" s="1"/>
  <c r="CR268" i="40" s="1"/>
  <c r="CR269" i="40" s="1"/>
  <c r="CR270" i="40" s="1"/>
  <c r="CR274" i="40" s="1"/>
  <c r="CR275" i="40" s="1"/>
  <c r="CR277" i="40" s="1"/>
  <c r="CR280" i="40" s="1"/>
  <c r="CR283" i="40" s="1"/>
  <c r="CR285" i="40" s="1"/>
  <c r="CR288" i="40" s="1"/>
  <c r="CR289" i="40" s="1"/>
  <c r="CR291" i="40" s="1"/>
  <c r="CR292" i="40" s="1"/>
  <c r="CR293" i="40" s="1"/>
  <c r="CR294" i="40" s="1"/>
  <c r="CR295" i="40" s="1"/>
  <c r="CR296" i="40" s="1"/>
  <c r="CR297" i="40" s="1"/>
  <c r="CR302" i="40" s="1"/>
  <c r="CR303" i="40" s="1"/>
  <c r="CR304" i="40" s="1"/>
  <c r="CR305" i="40" s="1"/>
  <c r="CR306" i="40" s="1"/>
  <c r="CR311" i="40" s="1"/>
  <c r="CR316" i="40" s="1"/>
  <c r="CR317" i="40" s="1"/>
  <c r="CR318" i="40" s="1"/>
  <c r="CR320" i="40" s="1"/>
  <c r="CR321" i="40" s="1"/>
  <c r="CR322" i="40" s="1"/>
  <c r="CR324" i="40" s="1"/>
  <c r="CR325" i="40" s="1"/>
  <c r="CR326" i="40" s="1"/>
  <c r="CR327" i="40" s="1"/>
  <c r="CR328" i="40" s="1"/>
  <c r="CR329" i="40" s="1"/>
  <c r="CR330" i="40" s="1"/>
  <c r="CR334" i="40" s="1"/>
  <c r="CR335" i="40" s="1"/>
  <c r="CR336" i="40" s="1"/>
  <c r="CR338" i="40" s="1"/>
  <c r="CR340" i="40" s="1"/>
  <c r="CR342" i="40" s="1"/>
  <c r="CR345" i="40" s="1"/>
  <c r="CR346" i="40" s="1"/>
  <c r="CR348" i="40" s="1"/>
  <c r="CR349" i="40" s="1"/>
  <c r="CR350" i="40" s="1"/>
  <c r="CR351" i="40" s="1"/>
  <c r="CR354" i="40" s="1"/>
  <c r="CR356" i="40" s="1"/>
  <c r="CR357" i="40" s="1"/>
  <c r="CR360" i="40" s="1"/>
  <c r="CR361" i="40" s="1"/>
  <c r="CR365" i="40" s="1"/>
  <c r="CR366" i="40" s="1"/>
  <c r="CR367" i="40" s="1"/>
  <c r="CR370" i="40" s="1"/>
  <c r="CR373" i="40" s="1"/>
  <c r="CR374" i="40" s="1"/>
  <c r="CR375" i="40" s="1"/>
  <c r="CR376" i="40" s="1"/>
  <c r="CR377" i="40" s="1"/>
  <c r="CR378" i="40" s="1"/>
  <c r="CR379" i="40" s="1"/>
  <c r="CR382" i="40" s="1"/>
  <c r="CR383" i="40" s="1"/>
  <c r="CR384" i="40" s="1"/>
  <c r="CR385" i="40" s="1"/>
  <c r="CR386" i="40" s="1"/>
  <c r="CR387" i="40" s="1"/>
  <c r="CR390" i="40" s="1"/>
  <c r="CR391" i="40" s="1"/>
  <c r="CR394" i="40" s="1"/>
  <c r="CR396" i="40" s="1"/>
  <c r="CR397" i="40" s="1"/>
  <c r="CR398" i="40" s="1"/>
  <c r="CR400" i="40" s="1"/>
  <c r="CR401" i="40" s="1"/>
  <c r="CR402" i="40" s="1"/>
  <c r="CR403" i="40" s="1"/>
  <c r="CR404" i="40" s="1"/>
  <c r="CR406" i="40" s="1"/>
  <c r="CR407" i="40" s="1"/>
  <c r="DW156" i="40"/>
  <c r="DW166" i="40" s="1"/>
  <c r="DW173" i="40" s="1"/>
  <c r="DW184" i="40" s="1"/>
  <c r="DU130" i="40"/>
  <c r="DU133" i="40" s="1"/>
  <c r="DU142" i="40" s="1"/>
  <c r="DU147" i="40" s="1"/>
  <c r="DU154" i="40" s="1"/>
  <c r="DU161" i="40" s="1"/>
  <c r="DU176" i="40" s="1"/>
  <c r="DS61" i="40"/>
  <c r="DS82" i="40" s="1"/>
  <c r="DS87" i="40" s="1"/>
  <c r="DS96" i="40" s="1"/>
  <c r="DS97" i="40" s="1"/>
  <c r="DS98" i="40" s="1"/>
  <c r="CY3" i="40"/>
  <c r="CM105" i="40"/>
  <c r="BS305" i="40"/>
  <c r="CH76" i="40"/>
  <c r="AD8" i="49"/>
  <c r="AJ8" i="49" s="1"/>
  <c r="AD13" i="49"/>
  <c r="AJ13" i="49" s="1"/>
  <c r="AK13" i="49" s="1"/>
  <c r="AD7" i="49"/>
  <c r="AJ7" i="49" s="1"/>
  <c r="AK7" i="49" s="1"/>
  <c r="AD29" i="49"/>
  <c r="AJ29" i="49" s="1"/>
  <c r="AK29" i="49" s="1"/>
  <c r="AD9" i="49"/>
  <c r="AJ9" i="49" s="1"/>
  <c r="AK9" i="49" s="1"/>
  <c r="AD24" i="49"/>
  <c r="AJ24" i="49" s="1"/>
  <c r="AK24" i="49" s="1"/>
  <c r="AD27" i="49"/>
  <c r="AJ27" i="49" s="1"/>
  <c r="AK27" i="49" s="1"/>
  <c r="AD35" i="49"/>
  <c r="AJ35" i="49" s="1"/>
  <c r="AK35" i="49" s="1"/>
  <c r="AD32" i="49"/>
  <c r="AJ32" i="49" s="1"/>
  <c r="AK32" i="49" s="1"/>
  <c r="AD31" i="49"/>
  <c r="AJ31" i="49" s="1"/>
  <c r="AK31" i="49" s="1"/>
  <c r="AD11" i="49"/>
  <c r="AJ11" i="49" s="1"/>
  <c r="AD23" i="49"/>
  <c r="AJ23" i="49" s="1"/>
  <c r="AK23" i="49" s="1"/>
  <c r="AD34" i="49"/>
  <c r="AJ34" i="49" s="1"/>
  <c r="AK34" i="49" s="1"/>
  <c r="AD14" i="49"/>
  <c r="AJ14" i="49" s="1"/>
  <c r="AK14" i="49" s="1"/>
  <c r="AD28" i="49"/>
  <c r="AJ28" i="49" s="1"/>
  <c r="AK28" i="49" s="1"/>
  <c r="AD17" i="49"/>
  <c r="AJ17" i="49" s="1"/>
  <c r="AK17" i="49" s="1"/>
  <c r="AD15" i="49"/>
  <c r="AJ15" i="49" s="1"/>
  <c r="AK15" i="49" s="1"/>
  <c r="AV26" i="49"/>
  <c r="AV14" i="49"/>
  <c r="AV10" i="49"/>
  <c r="AV22" i="49"/>
  <c r="AV27" i="49"/>
  <c r="AV6" i="49"/>
  <c r="AV8" i="49"/>
  <c r="AV16" i="49"/>
  <c r="AV19" i="49"/>
  <c r="AV13" i="49"/>
  <c r="AV32" i="49"/>
  <c r="AV15" i="49"/>
  <c r="AV29" i="49"/>
  <c r="AV30" i="49"/>
  <c r="AV28" i="49"/>
  <c r="AV9" i="49"/>
  <c r="AV21" i="49"/>
  <c r="AV24" i="49"/>
  <c r="AV12" i="49"/>
  <c r="AV34" i="49"/>
  <c r="AV7" i="49"/>
  <c r="AV23" i="49"/>
  <c r="AV11" i="49"/>
  <c r="AV20" i="49"/>
  <c r="AV33" i="49"/>
  <c r="AV35" i="49"/>
  <c r="AV31" i="49"/>
  <c r="AV18" i="49"/>
  <c r="AV17" i="49"/>
  <c r="AV25" i="49"/>
  <c r="AD25" i="49"/>
  <c r="AJ25" i="49" s="1"/>
  <c r="AK25" i="49" s="1"/>
  <c r="AD19" i="49"/>
  <c r="AJ19" i="49" s="1"/>
  <c r="AK19" i="49" s="1"/>
  <c r="AD30" i="49"/>
  <c r="AJ30" i="49" s="1"/>
  <c r="AK30" i="49" s="1"/>
  <c r="AD26" i="49"/>
  <c r="AJ26" i="49" s="1"/>
  <c r="AK26" i="49" s="1"/>
  <c r="AD20" i="49"/>
  <c r="AJ20" i="49" s="1"/>
  <c r="AK20" i="49" s="1"/>
  <c r="AD33" i="49"/>
  <c r="AJ33" i="49" s="1"/>
  <c r="AK33" i="49" s="1"/>
  <c r="AD16" i="49"/>
  <c r="AJ16" i="49" s="1"/>
  <c r="AK16" i="49" s="1"/>
  <c r="AD18" i="49"/>
  <c r="AJ18" i="49" s="1"/>
  <c r="AK18" i="49" s="1"/>
  <c r="AD12" i="49"/>
  <c r="AJ12" i="49" s="1"/>
  <c r="AD21" i="49"/>
  <c r="AJ21" i="49" s="1"/>
  <c r="AK21" i="49" s="1"/>
  <c r="AD10" i="49"/>
  <c r="AJ10" i="49" s="1"/>
  <c r="AK10" i="49" s="1"/>
  <c r="AD22" i="49"/>
  <c r="AJ22" i="49" s="1"/>
  <c r="AK22" i="49" s="1"/>
  <c r="AC148" i="23"/>
  <c r="AD147" i="23"/>
  <c r="AH147" i="23" s="1"/>
  <c r="AI147" i="23" s="1"/>
  <c r="AJ147" i="23" s="1"/>
  <c r="AK147" i="23" s="1"/>
  <c r="R104" i="23"/>
  <c r="A227" i="23"/>
  <c r="B226" i="23"/>
  <c r="Z53" i="18"/>
  <c r="W54" i="18" s="1"/>
  <c r="X54" i="18" s="1"/>
  <c r="Y53" i="18"/>
  <c r="AA53" i="18" s="1"/>
  <c r="AB53" i="18" s="1"/>
  <c r="BD8" i="18"/>
  <c r="BE7" i="18"/>
  <c r="P39" i="18" s="1"/>
  <c r="FN262" i="40" l="1"/>
  <c r="FM263" i="40"/>
  <c r="FI264" i="40"/>
  <c r="FH265" i="40"/>
  <c r="FS265" i="40"/>
  <c r="FR266" i="40"/>
  <c r="FD262" i="40"/>
  <c r="FC263" i="40"/>
  <c r="ET264" i="40"/>
  <c r="ES265" i="40"/>
  <c r="EY267" i="40"/>
  <c r="EX268" i="40"/>
  <c r="EO265" i="40"/>
  <c r="EN266" i="40"/>
  <c r="EI265" i="40"/>
  <c r="EJ264" i="40"/>
  <c r="ED265" i="40"/>
  <c r="EE264" i="40"/>
  <c r="BI52" i="40"/>
  <c r="BI54" i="40" s="1"/>
  <c r="J10" i="49"/>
  <c r="I8" i="51"/>
  <c r="J8" i="51" s="1"/>
  <c r="C9" i="51"/>
  <c r="C10" i="51"/>
  <c r="U10" i="51"/>
  <c r="AA10" i="51" s="1"/>
  <c r="U12" i="51"/>
  <c r="AA12" i="51" s="1"/>
  <c r="C11" i="51"/>
  <c r="U9" i="51"/>
  <c r="AA9" i="51" s="1"/>
  <c r="AB9" i="51" s="1"/>
  <c r="U11" i="51"/>
  <c r="AA11" i="51" s="1"/>
  <c r="U8" i="51"/>
  <c r="AA8" i="51" s="1"/>
  <c r="AB8" i="51" s="1"/>
  <c r="C12" i="51"/>
  <c r="BI55" i="40"/>
  <c r="BI56" i="40" s="1"/>
  <c r="BI61" i="40" s="1"/>
  <c r="BX219" i="40"/>
  <c r="BX233" i="40" s="1"/>
  <c r="BX235" i="40" s="1"/>
  <c r="CC99" i="40"/>
  <c r="CH77" i="40"/>
  <c r="CH80" i="40" s="1"/>
  <c r="BS97" i="40"/>
  <c r="AK21" i="50"/>
  <c r="CM110" i="40"/>
  <c r="CM111" i="40" s="1"/>
  <c r="CW19" i="40"/>
  <c r="CW20" i="40" s="1"/>
  <c r="DT76" i="40"/>
  <c r="DV100" i="40"/>
  <c r="U33" i="49"/>
  <c r="AA33" i="49" s="1"/>
  <c r="AB33" i="49" s="1"/>
  <c r="U23" i="49"/>
  <c r="AA23" i="49" s="1"/>
  <c r="AB23" i="49" s="1"/>
  <c r="AT16" i="49"/>
  <c r="S3" i="58" s="1"/>
  <c r="S19" i="49"/>
  <c r="S21" i="49" s="1"/>
  <c r="S47" i="49" s="1"/>
  <c r="T47" i="49" s="1"/>
  <c r="AK8" i="49"/>
  <c r="AK11" i="49" s="1"/>
  <c r="BN25" i="40"/>
  <c r="BN26" i="40" s="1"/>
  <c r="BN27" i="40" s="1"/>
  <c r="BN29" i="40" s="1"/>
  <c r="BN30" i="40" s="1"/>
  <c r="BN31" i="40" s="1"/>
  <c r="BN32" i="40" s="1"/>
  <c r="BN33" i="40" s="1"/>
  <c r="BN36" i="40" s="1"/>
  <c r="CS4" i="40"/>
  <c r="CS5" i="40" s="1"/>
  <c r="CT3" i="40"/>
  <c r="DW196" i="40"/>
  <c r="DW200" i="40" s="1"/>
  <c r="DW220" i="40" s="1"/>
  <c r="DW234" i="40" s="1"/>
  <c r="DW236" i="40" s="1"/>
  <c r="DW249" i="40" s="1"/>
  <c r="DW254" i="40" s="1"/>
  <c r="DS101" i="40"/>
  <c r="DS105" i="40" s="1"/>
  <c r="DU187" i="40"/>
  <c r="BS306" i="40"/>
  <c r="BW29" i="49"/>
  <c r="AC149" i="23"/>
  <c r="AD148" i="23"/>
  <c r="AH148" i="23" s="1"/>
  <c r="AI148" i="23" s="1"/>
  <c r="AJ148" i="23" s="1"/>
  <c r="AK148" i="23" s="1"/>
  <c r="R105" i="23"/>
  <c r="B227" i="23"/>
  <c r="A228" i="23"/>
  <c r="Z54" i="18"/>
  <c r="W55" i="18" s="1"/>
  <c r="X55" i="18" s="1"/>
  <c r="Y54" i="18"/>
  <c r="AA54" i="18" s="1"/>
  <c r="AB54" i="18" s="1"/>
  <c r="BE8" i="18"/>
  <c r="P41" i="18" s="1"/>
  <c r="BD9" i="18"/>
  <c r="EY268" i="40" l="1"/>
  <c r="EX269" i="40"/>
  <c r="FC264" i="40"/>
  <c r="FD263" i="40"/>
  <c r="FI265" i="40"/>
  <c r="FH266" i="40"/>
  <c r="EI266" i="40"/>
  <c r="EJ265" i="40"/>
  <c r="EO266" i="40"/>
  <c r="EN267" i="40"/>
  <c r="ES266" i="40"/>
  <c r="ET265" i="40"/>
  <c r="FR267" i="40"/>
  <c r="FS266" i="40"/>
  <c r="FN263" i="40"/>
  <c r="FM264" i="40"/>
  <c r="ED266" i="40"/>
  <c r="EE265" i="40"/>
  <c r="J38" i="49"/>
  <c r="K38" i="49" s="1"/>
  <c r="J21" i="49"/>
  <c r="J22" i="49" s="1"/>
  <c r="J51" i="49" s="1"/>
  <c r="K51" i="49" s="1"/>
  <c r="I12" i="51"/>
  <c r="I11" i="51"/>
  <c r="I9" i="51"/>
  <c r="J9" i="51" s="1"/>
  <c r="I10" i="51"/>
  <c r="AB10" i="51"/>
  <c r="DV106" i="40"/>
  <c r="DV109" i="40" s="1"/>
  <c r="DV124" i="40" s="1"/>
  <c r="DV127" i="40" s="1"/>
  <c r="DV140" i="40" s="1"/>
  <c r="DV152" i="40" s="1"/>
  <c r="DV158" i="40" s="1"/>
  <c r="DV163" i="40" s="1"/>
  <c r="DV165" i="40" s="1"/>
  <c r="DV167" i="40" s="1"/>
  <c r="DV174" i="40" s="1"/>
  <c r="DV190" i="40" s="1"/>
  <c r="DV201" i="40" s="1"/>
  <c r="S3" i="49"/>
  <c r="BI63" i="40"/>
  <c r="BI64" i="40" s="1"/>
  <c r="BI80" i="40" s="1"/>
  <c r="CC100" i="40"/>
  <c r="CC101" i="40" s="1"/>
  <c r="CC102" i="40" s="1"/>
  <c r="CC104" i="40" s="1"/>
  <c r="CC110" i="40" s="1"/>
  <c r="CC111" i="40" s="1"/>
  <c r="CC112" i="40" s="1"/>
  <c r="CC113" i="40" s="1"/>
  <c r="CC119" i="40" s="1"/>
  <c r="CC123" i="40" s="1"/>
  <c r="CC124" i="40" s="1"/>
  <c r="CC125" i="40" s="1"/>
  <c r="CC126" i="40" s="1"/>
  <c r="CC127" i="40" s="1"/>
  <c r="CC129" i="40" s="1"/>
  <c r="CC130" i="40" s="1"/>
  <c r="CC131" i="40" s="1"/>
  <c r="CC132" i="40" s="1"/>
  <c r="CC133" i="40" s="1"/>
  <c r="CC134" i="40" s="1"/>
  <c r="CC138" i="40" s="1"/>
  <c r="CC139" i="40" s="1"/>
  <c r="CC140" i="40" s="1"/>
  <c r="CC142" i="40" s="1"/>
  <c r="CC145" i="40" s="1"/>
  <c r="CC146" i="40" s="1"/>
  <c r="CC147" i="40" s="1"/>
  <c r="CC148" i="40" s="1"/>
  <c r="CC150" i="40" s="1"/>
  <c r="CC151" i="40" s="1"/>
  <c r="CC153" i="40" s="1"/>
  <c r="CC154" i="40" s="1"/>
  <c r="CC155" i="40" s="1"/>
  <c r="CC156" i="40" s="1"/>
  <c r="CC157" i="40" s="1"/>
  <c r="CC160" i="40" s="1"/>
  <c r="CC161" i="40" s="1"/>
  <c r="CC164" i="40" s="1"/>
  <c r="CC165" i="40" s="1"/>
  <c r="CC168" i="40" s="1"/>
  <c r="CC171" i="40" s="1"/>
  <c r="CC174" i="40" s="1"/>
  <c r="CC176" i="40" s="1"/>
  <c r="CC184" i="40" s="1"/>
  <c r="CC185" i="40" s="1"/>
  <c r="CC189" i="40" s="1"/>
  <c r="CC190" i="40" s="1"/>
  <c r="CC191" i="40" s="1"/>
  <c r="CC193" i="40" s="1"/>
  <c r="CC194" i="40" s="1"/>
  <c r="CC197" i="40" s="1"/>
  <c r="S3" i="51"/>
  <c r="CC192" i="40"/>
  <c r="CC198" i="40" s="1"/>
  <c r="BX244" i="40"/>
  <c r="BS99" i="40"/>
  <c r="BS100" i="40" s="1"/>
  <c r="BS101" i="40" s="1"/>
  <c r="BS104" i="40" s="1"/>
  <c r="BS109" i="40" s="1"/>
  <c r="BS118" i="40" s="1"/>
  <c r="BS119" i="40" s="1"/>
  <c r="BS125" i="40" s="1"/>
  <c r="BS129" i="40" s="1"/>
  <c r="BS130" i="40" s="1"/>
  <c r="BS131" i="40" s="1"/>
  <c r="CH85" i="40"/>
  <c r="AK22" i="50"/>
  <c r="CM113" i="40"/>
  <c r="CM118" i="40" s="1"/>
  <c r="CM122" i="40" s="1"/>
  <c r="CM123" i="40" s="1"/>
  <c r="CW21" i="40"/>
  <c r="DT79" i="40"/>
  <c r="U26" i="49"/>
  <c r="AA26" i="49" s="1"/>
  <c r="AB26" i="49" s="1"/>
  <c r="U31" i="49"/>
  <c r="AA31" i="49" s="1"/>
  <c r="AB31" i="49" s="1"/>
  <c r="S3" i="54"/>
  <c r="U29" i="49"/>
  <c r="AA29" i="49" s="1"/>
  <c r="AB29" i="49" s="1"/>
  <c r="U28" i="49"/>
  <c r="AA28" i="49" s="1"/>
  <c r="AB28" i="49" s="1"/>
  <c r="U25" i="49"/>
  <c r="AA25" i="49" s="1"/>
  <c r="U32" i="49"/>
  <c r="AA32" i="49" s="1"/>
  <c r="AB32" i="49" s="1"/>
  <c r="U34" i="49"/>
  <c r="AA34" i="49" s="1"/>
  <c r="AB34" i="49" s="1"/>
  <c r="U35" i="49"/>
  <c r="AA35" i="49" s="1"/>
  <c r="AB35" i="49" s="1"/>
  <c r="S38" i="49"/>
  <c r="T38" i="49" s="1"/>
  <c r="U27" i="49"/>
  <c r="AA27" i="49" s="1"/>
  <c r="AB27" i="49" s="1"/>
  <c r="U30" i="49"/>
  <c r="AA30" i="49" s="1"/>
  <c r="AB30" i="49" s="1"/>
  <c r="S39" i="49"/>
  <c r="T39" i="49" s="1"/>
  <c r="S51" i="49"/>
  <c r="T51" i="49" s="1"/>
  <c r="S66" i="49"/>
  <c r="T66" i="49" s="1"/>
  <c r="S63" i="49"/>
  <c r="T63" i="49" s="1"/>
  <c r="S50" i="49"/>
  <c r="T50" i="49" s="1"/>
  <c r="S55" i="49"/>
  <c r="T55" i="49" s="1"/>
  <c r="S62" i="49"/>
  <c r="T62" i="49" s="1"/>
  <c r="S41" i="49"/>
  <c r="T41" i="49" s="1"/>
  <c r="AT42" i="49"/>
  <c r="AU42" i="49" s="1"/>
  <c r="AT43" i="49"/>
  <c r="AU43" i="49" s="1"/>
  <c r="AT46" i="49"/>
  <c r="AU46" i="49" s="1"/>
  <c r="AT47" i="49"/>
  <c r="AU47" i="49" s="1"/>
  <c r="AT41" i="49"/>
  <c r="AU41" i="49" s="1"/>
  <c r="AT57" i="49"/>
  <c r="AU57" i="49" s="1"/>
  <c r="AT44" i="49"/>
  <c r="AU44" i="49" s="1"/>
  <c r="AT60" i="49"/>
  <c r="AU60" i="49" s="1"/>
  <c r="S57" i="49"/>
  <c r="T57" i="49" s="1"/>
  <c r="S40" i="49"/>
  <c r="T40" i="49" s="1"/>
  <c r="S58" i="49"/>
  <c r="T58" i="49" s="1"/>
  <c r="S65" i="49"/>
  <c r="T65" i="49" s="1"/>
  <c r="S59" i="49"/>
  <c r="T59" i="49" s="1"/>
  <c r="AT50" i="49"/>
  <c r="AU50" i="49" s="1"/>
  <c r="AT51" i="49"/>
  <c r="AU51" i="49" s="1"/>
  <c r="AT54" i="49"/>
  <c r="AU54" i="49" s="1"/>
  <c r="AT55" i="49"/>
  <c r="AU55" i="49" s="1"/>
  <c r="AT45" i="49"/>
  <c r="AU45" i="49" s="1"/>
  <c r="AT61" i="49"/>
  <c r="AU61" i="49" s="1"/>
  <c r="AT48" i="49"/>
  <c r="AU48" i="49" s="1"/>
  <c r="AT64" i="49"/>
  <c r="AU64" i="49" s="1"/>
  <c r="S48" i="49"/>
  <c r="T48" i="49" s="1"/>
  <c r="S53" i="49"/>
  <c r="T53" i="49" s="1"/>
  <c r="S61" i="49"/>
  <c r="T61" i="49" s="1"/>
  <c r="S52" i="49"/>
  <c r="T52" i="49" s="1"/>
  <c r="S45" i="49"/>
  <c r="T45" i="49" s="1"/>
  <c r="S46" i="49"/>
  <c r="T46" i="49" s="1"/>
  <c r="AT58" i="49"/>
  <c r="AU58" i="49" s="1"/>
  <c r="AT59" i="49"/>
  <c r="AU59" i="49" s="1"/>
  <c r="AT62" i="49"/>
  <c r="AU62" i="49" s="1"/>
  <c r="AT63" i="49"/>
  <c r="AU63" i="49" s="1"/>
  <c r="AT49" i="49"/>
  <c r="AU49" i="49" s="1"/>
  <c r="AT65" i="49"/>
  <c r="AU65" i="49" s="1"/>
  <c r="AT52" i="49"/>
  <c r="AU52" i="49" s="1"/>
  <c r="U24" i="49"/>
  <c r="AA24" i="49" s="1"/>
  <c r="AB24" i="49" s="1"/>
  <c r="S54" i="49"/>
  <c r="T54" i="49" s="1"/>
  <c r="S56" i="49"/>
  <c r="T56" i="49" s="1"/>
  <c r="S64" i="49"/>
  <c r="T64" i="49" s="1"/>
  <c r="S42" i="49"/>
  <c r="T42" i="49" s="1"/>
  <c r="S43" i="49"/>
  <c r="T43" i="49" s="1"/>
  <c r="S60" i="49"/>
  <c r="T60" i="49" s="1"/>
  <c r="S49" i="49"/>
  <c r="T49" i="49" s="1"/>
  <c r="S44" i="49"/>
  <c r="T44" i="49" s="1"/>
  <c r="AT66" i="49"/>
  <c r="AU66" i="49" s="1"/>
  <c r="AT38" i="49"/>
  <c r="AU38" i="49" s="1"/>
  <c r="AT39" i="49"/>
  <c r="AU39" i="49" s="1"/>
  <c r="AT37" i="49"/>
  <c r="AU37" i="49" s="1"/>
  <c r="AT53" i="49"/>
  <c r="AU53" i="49" s="1"/>
  <c r="AT40" i="49"/>
  <c r="AU40" i="49" s="1"/>
  <c r="AT56" i="49"/>
  <c r="AU56" i="49" s="1"/>
  <c r="AK12" i="49"/>
  <c r="AK45" i="49" s="1"/>
  <c r="AL45" i="49" s="1"/>
  <c r="BN37" i="40"/>
  <c r="BN83" i="40"/>
  <c r="CT4" i="40"/>
  <c r="CT5" i="40"/>
  <c r="CS6" i="40"/>
  <c r="DS107" i="40"/>
  <c r="DS120" i="40" s="1"/>
  <c r="DW273" i="40"/>
  <c r="DW274" i="40" s="1"/>
  <c r="DW279" i="40" s="1"/>
  <c r="DU189" i="40"/>
  <c r="BS311" i="40"/>
  <c r="BS316" i="40" s="1"/>
  <c r="BW17" i="49"/>
  <c r="BW14" i="49"/>
  <c r="BW26" i="49"/>
  <c r="BW11" i="49"/>
  <c r="BW18" i="49"/>
  <c r="BW31" i="49"/>
  <c r="BW23" i="49"/>
  <c r="BW19" i="49"/>
  <c r="BW34" i="49"/>
  <c r="BW24" i="49"/>
  <c r="BW16" i="49"/>
  <c r="BW8" i="49"/>
  <c r="BW15" i="49"/>
  <c r="BW35" i="49"/>
  <c r="BW27" i="49"/>
  <c r="BW13" i="49"/>
  <c r="BW10" i="49"/>
  <c r="BW20" i="49"/>
  <c r="BW32" i="49"/>
  <c r="BW22" i="49"/>
  <c r="BW9" i="49"/>
  <c r="BW28" i="49"/>
  <c r="BW25" i="49"/>
  <c r="BW21" i="49"/>
  <c r="BW12" i="49"/>
  <c r="BW33" i="49"/>
  <c r="BW30" i="49"/>
  <c r="BW7" i="49"/>
  <c r="AD149" i="23"/>
  <c r="AH149" i="23" s="1"/>
  <c r="AI149" i="23" s="1"/>
  <c r="AJ149" i="23" s="1"/>
  <c r="AK149" i="23" s="1"/>
  <c r="AC150" i="23"/>
  <c r="R106" i="23"/>
  <c r="A229" i="23"/>
  <c r="B228" i="23"/>
  <c r="Z55" i="18"/>
  <c r="Y55" i="18"/>
  <c r="AA55" i="18" s="1"/>
  <c r="AB55" i="18" s="1"/>
  <c r="BE9" i="18"/>
  <c r="P43" i="18" s="1"/>
  <c r="BD10" i="18"/>
  <c r="J54" i="49" l="1"/>
  <c r="K54" i="49" s="1"/>
  <c r="J55" i="49"/>
  <c r="K55" i="49" s="1"/>
  <c r="J56" i="49"/>
  <c r="K56" i="49" s="1"/>
  <c r="J64" i="49"/>
  <c r="K64" i="49" s="1"/>
  <c r="J50" i="49"/>
  <c r="K50" i="49" s="1"/>
  <c r="J65" i="49"/>
  <c r="K65" i="49" s="1"/>
  <c r="J57" i="49"/>
  <c r="K57" i="49" s="1"/>
  <c r="J63" i="49"/>
  <c r="K63" i="49" s="1"/>
  <c r="J43" i="49"/>
  <c r="K43" i="49" s="1"/>
  <c r="J48" i="49"/>
  <c r="K48" i="49" s="1"/>
  <c r="J59" i="49"/>
  <c r="K59" i="49" s="1"/>
  <c r="J62" i="49"/>
  <c r="K62" i="49" s="1"/>
  <c r="FN264" i="40"/>
  <c r="FM265" i="40"/>
  <c r="ET266" i="40"/>
  <c r="ES267" i="40"/>
  <c r="EJ266" i="40"/>
  <c r="EI267" i="40"/>
  <c r="FD264" i="40"/>
  <c r="FC265" i="40"/>
  <c r="EO267" i="40"/>
  <c r="EN268" i="40"/>
  <c r="FI266" i="40"/>
  <c r="FH267" i="40"/>
  <c r="EY269" i="40"/>
  <c r="EX270" i="40"/>
  <c r="ED267" i="40"/>
  <c r="EE266" i="40"/>
  <c r="FS267" i="40"/>
  <c r="FR268" i="40"/>
  <c r="J66" i="49"/>
  <c r="K66" i="49" s="1"/>
  <c r="J52" i="49"/>
  <c r="K52" i="49" s="1"/>
  <c r="J60" i="49"/>
  <c r="K60" i="49" s="1"/>
  <c r="J46" i="49"/>
  <c r="K46" i="49" s="1"/>
  <c r="J41" i="49"/>
  <c r="K41" i="49" s="1"/>
  <c r="J58" i="49"/>
  <c r="K58" i="49" s="1"/>
  <c r="J45" i="49"/>
  <c r="K45" i="49" s="1"/>
  <c r="J53" i="49"/>
  <c r="K53" i="49" s="1"/>
  <c r="J44" i="49"/>
  <c r="K44" i="49" s="1"/>
  <c r="J42" i="49"/>
  <c r="K42" i="49" s="1"/>
  <c r="J39" i="49"/>
  <c r="K39" i="49" s="1"/>
  <c r="J61" i="49"/>
  <c r="K61" i="49" s="1"/>
  <c r="J47" i="49"/>
  <c r="K47" i="49" s="1"/>
  <c r="J49" i="49"/>
  <c r="K49" i="49" s="1"/>
  <c r="J40" i="49"/>
  <c r="K40" i="49" s="1"/>
  <c r="AB11" i="51"/>
  <c r="DV209" i="40"/>
  <c r="C13" i="51"/>
  <c r="BI84" i="40"/>
  <c r="BI85" i="40" s="1"/>
  <c r="BI89" i="40" s="1"/>
  <c r="BI90" i="40" s="1"/>
  <c r="BI91" i="40" s="1"/>
  <c r="BX250" i="40"/>
  <c r="BX258" i="40"/>
  <c r="BX269" i="40" s="1"/>
  <c r="BX288" i="40" s="1"/>
  <c r="BX291" i="40" s="1"/>
  <c r="BX296" i="40" s="1"/>
  <c r="BX297" i="40" s="1"/>
  <c r="BX251" i="40"/>
  <c r="BX252" i="40" s="1"/>
  <c r="BX302" i="40" s="1"/>
  <c r="CC199" i="40"/>
  <c r="CC201" i="40" s="1"/>
  <c r="CC202" i="40" s="1"/>
  <c r="CC204" i="40" s="1"/>
  <c r="CC205" i="40" s="1"/>
  <c r="CC207" i="40" s="1"/>
  <c r="CC209" i="40" s="1"/>
  <c r="CC210" i="40" s="1"/>
  <c r="CC211" i="40" s="1"/>
  <c r="CC212" i="40" s="1"/>
  <c r="CC213" i="40" s="1"/>
  <c r="CC214" i="40" s="1"/>
  <c r="CC215" i="40" s="1"/>
  <c r="CC216" i="40" s="1"/>
  <c r="CC217" i="40" s="1"/>
  <c r="CC218" i="40" s="1"/>
  <c r="CC219" i="40" s="1"/>
  <c r="CC223" i="40" s="1"/>
  <c r="CC224" i="40" s="1"/>
  <c r="CC226" i="40" s="1"/>
  <c r="CC227" i="40" s="1"/>
  <c r="CC228" i="40" s="1"/>
  <c r="CC229" i="40" s="1"/>
  <c r="CC230" i="40" s="1"/>
  <c r="CC231" i="40" s="1"/>
  <c r="CC232" i="40" s="1"/>
  <c r="CC233" i="40" s="1"/>
  <c r="CC234" i="40" s="1"/>
  <c r="CC235" i="40" s="1"/>
  <c r="CC236" i="40" s="1"/>
  <c r="CC238" i="40" s="1"/>
  <c r="CC239" i="40" s="1"/>
  <c r="CC240" i="40" s="1"/>
  <c r="CC241" i="40" s="1"/>
  <c r="CC242" i="40" s="1"/>
  <c r="CC243" i="40" s="1"/>
  <c r="CC244" i="40" s="1"/>
  <c r="CC245" i="40" s="1"/>
  <c r="CC246" i="40" s="1"/>
  <c r="CC247" i="40" s="1"/>
  <c r="CC249" i="40" s="1"/>
  <c r="CC250" i="40" s="1"/>
  <c r="CC251" i="40" s="1"/>
  <c r="CC252" i="40" s="1"/>
  <c r="CC254" i="40" s="1"/>
  <c r="CC255" i="40" s="1"/>
  <c r="CC257" i="40" s="1"/>
  <c r="CC258" i="40" s="1"/>
  <c r="CC260" i="40" s="1"/>
  <c r="CC261" i="40" s="1"/>
  <c r="CC263" i="40" s="1"/>
  <c r="CC264" i="40" s="1"/>
  <c r="CC265" i="40" s="1"/>
  <c r="CC267" i="40" s="1"/>
  <c r="CC268" i="40" s="1"/>
  <c r="CC269" i="40" s="1"/>
  <c r="CC270" i="40" s="1"/>
  <c r="CC274" i="40" s="1"/>
  <c r="CC275" i="40" s="1"/>
  <c r="CC276" i="40" s="1"/>
  <c r="CC277" i="40" s="1"/>
  <c r="CC280" i="40" s="1"/>
  <c r="CC283" i="40" s="1"/>
  <c r="CC285" i="40" s="1"/>
  <c r="CC288" i="40" s="1"/>
  <c r="CC289" i="40" s="1"/>
  <c r="CC291" i="40" s="1"/>
  <c r="CC292" i="40" s="1"/>
  <c r="CC293" i="40" s="1"/>
  <c r="CC294" i="40" s="1"/>
  <c r="CC295" i="40" s="1"/>
  <c r="CC296" i="40" s="1"/>
  <c r="CC297" i="40" s="1"/>
  <c r="CC300" i="40" s="1"/>
  <c r="CC302" i="40" s="1"/>
  <c r="CC303" i="40" s="1"/>
  <c r="CC304" i="40" s="1"/>
  <c r="CC305" i="40" s="1"/>
  <c r="CC306" i="40" s="1"/>
  <c r="CC311" i="40" s="1"/>
  <c r="CC316" i="40" s="1"/>
  <c r="CC317" i="40" s="1"/>
  <c r="CC318" i="40" s="1"/>
  <c r="CC320" i="40" s="1"/>
  <c r="CC321" i="40" s="1"/>
  <c r="CC322" i="40" s="1"/>
  <c r="CC324" i="40" s="1"/>
  <c r="CC326" i="40" s="1"/>
  <c r="CC327" i="40" s="1"/>
  <c r="CC328" i="40" s="1"/>
  <c r="CC329" i="40" s="1"/>
  <c r="CH89" i="40"/>
  <c r="CH90" i="40" s="1"/>
  <c r="BS140" i="40"/>
  <c r="AK23" i="50"/>
  <c r="CW22" i="40"/>
  <c r="CW23" i="40" s="1"/>
  <c r="CM126" i="40"/>
  <c r="CM128" i="40" s="1"/>
  <c r="DT85" i="40"/>
  <c r="AK53" i="49"/>
  <c r="AL53" i="49" s="1"/>
  <c r="AK46" i="49"/>
  <c r="AL46" i="49" s="1"/>
  <c r="AK49" i="49"/>
  <c r="AL49" i="49" s="1"/>
  <c r="AK60" i="49"/>
  <c r="AL60" i="49" s="1"/>
  <c r="U38" i="49"/>
  <c r="U37" i="49" s="1"/>
  <c r="AK56" i="49"/>
  <c r="AL56" i="49" s="1"/>
  <c r="AK50" i="49"/>
  <c r="AL50" i="49" s="1"/>
  <c r="AK66" i="49"/>
  <c r="AL66" i="49" s="1"/>
  <c r="AK48" i="49"/>
  <c r="AL48" i="49" s="1"/>
  <c r="AK43" i="49"/>
  <c r="AL43" i="49" s="1"/>
  <c r="AK52" i="49"/>
  <c r="AL52" i="49" s="1"/>
  <c r="AK54" i="49"/>
  <c r="AL54" i="49" s="1"/>
  <c r="AK65" i="49"/>
  <c r="AL65" i="49" s="1"/>
  <c r="AK51" i="49"/>
  <c r="AL51" i="49" s="1"/>
  <c r="AK39" i="49"/>
  <c r="AL39" i="49" s="1"/>
  <c r="AK42" i="49"/>
  <c r="AL42" i="49" s="1"/>
  <c r="AV38" i="49"/>
  <c r="AV37" i="49" s="1"/>
  <c r="AK37" i="49"/>
  <c r="AL37" i="49" s="1"/>
  <c r="AK40" i="49"/>
  <c r="AL40" i="49" s="1"/>
  <c r="AK38" i="49"/>
  <c r="AL38" i="49" s="1"/>
  <c r="AK57" i="49"/>
  <c r="AL57" i="49" s="1"/>
  <c r="AK59" i="49"/>
  <c r="AL59" i="49" s="1"/>
  <c r="AK64" i="49"/>
  <c r="AL64" i="49" s="1"/>
  <c r="AK44" i="49"/>
  <c r="AL44" i="49" s="1"/>
  <c r="AK47" i="49"/>
  <c r="AL47" i="49" s="1"/>
  <c r="AK63" i="49"/>
  <c r="AL63" i="49" s="1"/>
  <c r="AK41" i="49"/>
  <c r="AL41" i="49" s="1"/>
  <c r="AK61" i="49"/>
  <c r="AL61" i="49" s="1"/>
  <c r="AB25" i="49"/>
  <c r="AB44" i="49" s="1"/>
  <c r="AC44" i="49" s="1"/>
  <c r="AK55" i="49"/>
  <c r="AL55" i="49" s="1"/>
  <c r="AK58" i="49"/>
  <c r="AL58" i="49" s="1"/>
  <c r="AK62" i="49"/>
  <c r="AL62" i="49" s="1"/>
  <c r="BN40" i="40"/>
  <c r="BN38" i="40"/>
  <c r="BN94" i="40"/>
  <c r="DS121" i="40"/>
  <c r="DS125" i="40" s="1"/>
  <c r="DS128" i="40" s="1"/>
  <c r="DS129" i="40" s="1"/>
  <c r="DS131" i="40" s="1"/>
  <c r="DS134" i="40" s="1"/>
  <c r="DS148" i="40" s="1"/>
  <c r="DS162" i="40" s="1"/>
  <c r="DS164" i="40" s="1"/>
  <c r="DS170" i="40" s="1"/>
  <c r="DS172" i="40" s="1"/>
  <c r="DS178" i="40" s="1"/>
  <c r="DS180" i="40" s="1"/>
  <c r="CS7" i="40"/>
  <c r="CT6" i="40"/>
  <c r="DW289" i="40"/>
  <c r="DW292" i="40" s="1"/>
  <c r="DW323" i="40" s="1"/>
  <c r="DW326" i="40" s="1"/>
  <c r="DW329" i="40" s="1"/>
  <c r="DW339" i="40" s="1"/>
  <c r="DW349" i="40" s="1"/>
  <c r="DW351" i="40" s="1"/>
  <c r="DW373" i="40" s="1"/>
  <c r="DW383" i="40" s="1"/>
  <c r="DW388" i="40" s="1"/>
  <c r="DW401" i="40" s="1"/>
  <c r="DU202" i="40"/>
  <c r="DU206" i="40" s="1"/>
  <c r="DU207" i="40" s="1"/>
  <c r="DV238" i="40"/>
  <c r="DV240" i="40" s="1"/>
  <c r="DV246" i="40" s="1"/>
  <c r="DV251" i="40" s="1"/>
  <c r="DV258" i="40" s="1"/>
  <c r="AC151" i="23"/>
  <c r="AD150" i="23"/>
  <c r="AH150" i="23" s="1"/>
  <c r="AI150" i="23" s="1"/>
  <c r="AJ150" i="23" s="1"/>
  <c r="AK150" i="23" s="1"/>
  <c r="R107" i="23"/>
  <c r="B229" i="23"/>
  <c r="A230" i="23"/>
  <c r="W56" i="18"/>
  <c r="Z56" i="18" s="1"/>
  <c r="BE10" i="18"/>
  <c r="P45" i="18" s="1"/>
  <c r="BD11" i="18"/>
  <c r="FI267" i="40" l="1"/>
  <c r="FH268" i="40"/>
  <c r="FC266" i="40"/>
  <c r="FD265" i="40"/>
  <c r="ES268" i="40"/>
  <c r="ET267" i="40"/>
  <c r="EE267" i="40"/>
  <c r="ED268" i="40"/>
  <c r="FR269" i="40"/>
  <c r="FS268" i="40"/>
  <c r="EY270" i="40"/>
  <c r="EX271" i="40"/>
  <c r="EO268" i="40"/>
  <c r="EN269" i="40"/>
  <c r="EI268" i="40"/>
  <c r="EJ267" i="40"/>
  <c r="FM266" i="40"/>
  <c r="FN265" i="40"/>
  <c r="L38" i="49"/>
  <c r="L37" i="49" s="1"/>
  <c r="I13" i="51"/>
  <c r="AB12" i="51"/>
  <c r="BI93" i="40"/>
  <c r="BI97" i="40" s="1"/>
  <c r="BI99" i="40" s="1"/>
  <c r="BI100" i="40" s="1"/>
  <c r="BI101" i="40" s="1"/>
  <c r="BX304" i="40"/>
  <c r="BX305" i="40" s="1"/>
  <c r="BX306" i="40" s="1"/>
  <c r="BX311" i="40" s="1"/>
  <c r="BX316" i="40" s="1"/>
  <c r="BX318" i="40" s="1"/>
  <c r="BX320" i="40" s="1"/>
  <c r="BX325" i="40" s="1"/>
  <c r="BZ3" i="40" s="1"/>
  <c r="CC325" i="40"/>
  <c r="CC330" i="40" s="1"/>
  <c r="CC334" i="40" s="1"/>
  <c r="CC335" i="40" s="1"/>
  <c r="CC336" i="40" s="1"/>
  <c r="CC338" i="40" s="1"/>
  <c r="CC340" i="40" s="1"/>
  <c r="CC342" i="40" s="1"/>
  <c r="CC343" i="40" s="1"/>
  <c r="CC345" i="40" s="1"/>
  <c r="CC346" i="40" s="1"/>
  <c r="CC348" i="40" s="1"/>
  <c r="CC349" i="40" s="1"/>
  <c r="CC350" i="40" s="1"/>
  <c r="CC351" i="40" s="1"/>
  <c r="CC354" i="40" s="1"/>
  <c r="CC356" i="40" s="1"/>
  <c r="CC357" i="40" s="1"/>
  <c r="CC360" i="40" s="1"/>
  <c r="CC361" i="40" s="1"/>
  <c r="CC365" i="40" s="1"/>
  <c r="CC366" i="40" s="1"/>
  <c r="CC367" i="40" s="1"/>
  <c r="CC370" i="40" s="1"/>
  <c r="CC371" i="40" s="1"/>
  <c r="CC372" i="40" s="1"/>
  <c r="CC373" i="40" s="1"/>
  <c r="CC374" i="40" s="1"/>
  <c r="CC375" i="40" s="1"/>
  <c r="CC376" i="40" s="1"/>
  <c r="CC377" i="40" s="1"/>
  <c r="CC378" i="40" s="1"/>
  <c r="CC379" i="40" s="1"/>
  <c r="CC380" i="40" s="1"/>
  <c r="CC381" i="40" s="1"/>
  <c r="CC382" i="40" s="1"/>
  <c r="CC383" i="40" s="1"/>
  <c r="CC384" i="40" s="1"/>
  <c r="CC385" i="40" s="1"/>
  <c r="CC386" i="40" s="1"/>
  <c r="CC387" i="40" s="1"/>
  <c r="CC390" i="40" s="1"/>
  <c r="CC391" i="40" s="1"/>
  <c r="CC392" i="40" s="1"/>
  <c r="CC394" i="40" s="1"/>
  <c r="CC395" i="40" s="1"/>
  <c r="CC396" i="40" s="1"/>
  <c r="CC397" i="40" s="1"/>
  <c r="CC398" i="40" s="1"/>
  <c r="CC399" i="40" s="1"/>
  <c r="CC400" i="40" s="1"/>
  <c r="CC401" i="40" s="1"/>
  <c r="CC402" i="40" s="1"/>
  <c r="CC403" i="40" s="1"/>
  <c r="CC404" i="40" s="1"/>
  <c r="CC406" i="40" s="1"/>
  <c r="CC407" i="40" s="1"/>
  <c r="CD4" i="40" s="1"/>
  <c r="CH97" i="40"/>
  <c r="CH99" i="40" s="1"/>
  <c r="CH100" i="40" s="1"/>
  <c r="BS142" i="40"/>
  <c r="AK24" i="50"/>
  <c r="CW24" i="40"/>
  <c r="CM130" i="40"/>
  <c r="CM131" i="40" s="1"/>
  <c r="DT89" i="40"/>
  <c r="AB43" i="49"/>
  <c r="AC43" i="49" s="1"/>
  <c r="AB59" i="49"/>
  <c r="AC59" i="49" s="1"/>
  <c r="AB50" i="49"/>
  <c r="AC50" i="49" s="1"/>
  <c r="AB66" i="49"/>
  <c r="AC66" i="49" s="1"/>
  <c r="AB52" i="49"/>
  <c r="AC52" i="49" s="1"/>
  <c r="AB38" i="49"/>
  <c r="AC38" i="49" s="1"/>
  <c r="AB54" i="49"/>
  <c r="AC54" i="49" s="1"/>
  <c r="AB61" i="49"/>
  <c r="AC61" i="49" s="1"/>
  <c r="AB64" i="49"/>
  <c r="AC64" i="49" s="1"/>
  <c r="AB57" i="49"/>
  <c r="AC57" i="49" s="1"/>
  <c r="AM38" i="49"/>
  <c r="AM37" i="49" s="1"/>
  <c r="AB45" i="49"/>
  <c r="AC45" i="49" s="1"/>
  <c r="AB55" i="49"/>
  <c r="AC55" i="49" s="1"/>
  <c r="AB41" i="49"/>
  <c r="AC41" i="49" s="1"/>
  <c r="AB60" i="49"/>
  <c r="AC60" i="49" s="1"/>
  <c r="AB47" i="49"/>
  <c r="AC47" i="49" s="1"/>
  <c r="AB49" i="49"/>
  <c r="AC49" i="49" s="1"/>
  <c r="AB53" i="49"/>
  <c r="AC53" i="49" s="1"/>
  <c r="AB40" i="49"/>
  <c r="AC40" i="49" s="1"/>
  <c r="AB58" i="49"/>
  <c r="AC58" i="49" s="1"/>
  <c r="AB63" i="49"/>
  <c r="AC63" i="49" s="1"/>
  <c r="AB48" i="49"/>
  <c r="AC48" i="49" s="1"/>
  <c r="AB42" i="49"/>
  <c r="AC42" i="49" s="1"/>
  <c r="AB62" i="49"/>
  <c r="AC62" i="49" s="1"/>
  <c r="AB39" i="49"/>
  <c r="AC39" i="49" s="1"/>
  <c r="AB51" i="49"/>
  <c r="AC51" i="49" s="1"/>
  <c r="AB46" i="49"/>
  <c r="AC46" i="49" s="1"/>
  <c r="AB56" i="49"/>
  <c r="AC56" i="49" s="1"/>
  <c r="AB65" i="49"/>
  <c r="AC65" i="49" s="1"/>
  <c r="DS182" i="40"/>
  <c r="DS183" i="40" s="1"/>
  <c r="DS188" i="40" s="1"/>
  <c r="BN39" i="40"/>
  <c r="CT7" i="40"/>
  <c r="CS8" i="40"/>
  <c r="DV315" i="40"/>
  <c r="DU214" i="40"/>
  <c r="AC152" i="23"/>
  <c r="AD151" i="23"/>
  <c r="AH151" i="23" s="1"/>
  <c r="AI151" i="23" s="1"/>
  <c r="AJ151" i="23" s="1"/>
  <c r="AK151" i="23" s="1"/>
  <c r="R108" i="23"/>
  <c r="A231" i="23"/>
  <c r="B230" i="23"/>
  <c r="Y56" i="18"/>
  <c r="AA56" i="18" s="1"/>
  <c r="AB56" i="18" s="1"/>
  <c r="X56" i="18"/>
  <c r="W57" i="18"/>
  <c r="X57" i="18" s="1"/>
  <c r="BD12" i="18"/>
  <c r="BE11" i="18"/>
  <c r="P47" i="18" s="1"/>
  <c r="EY271" i="40" l="1"/>
  <c r="EX272" i="40"/>
  <c r="ED269" i="40"/>
  <c r="EE268" i="40"/>
  <c r="EI269" i="40"/>
  <c r="EJ268" i="40"/>
  <c r="FC267" i="40"/>
  <c r="FD266" i="40"/>
  <c r="EO269" i="40"/>
  <c r="EN270" i="40"/>
  <c r="FI268" i="40"/>
  <c r="FH269" i="40"/>
  <c r="FM267" i="40"/>
  <c r="FN266" i="40"/>
  <c r="FR270" i="40"/>
  <c r="FS269" i="40"/>
  <c r="ES269" i="40"/>
  <c r="ET268" i="40"/>
  <c r="BI102" i="40"/>
  <c r="BI104" i="40" s="1"/>
  <c r="BI109" i="40" s="1"/>
  <c r="CE3" i="40"/>
  <c r="BY4" i="40"/>
  <c r="BY5" i="40" s="1"/>
  <c r="CE4" i="40"/>
  <c r="CD5" i="40"/>
  <c r="CH101" i="40"/>
  <c r="BS147" i="40"/>
  <c r="AK25" i="50"/>
  <c r="CW25" i="40"/>
  <c r="CM132" i="40"/>
  <c r="DT90" i="40"/>
  <c r="AD38" i="49"/>
  <c r="AD37" i="49" s="1"/>
  <c r="BN41" i="40"/>
  <c r="BN110" i="40"/>
  <c r="CT8" i="40"/>
  <c r="CS9" i="40"/>
  <c r="DU219" i="40"/>
  <c r="DU222" i="40" s="1"/>
  <c r="DU225" i="40" s="1"/>
  <c r="DU243" i="40" s="1"/>
  <c r="DU252" i="40" s="1"/>
  <c r="DU256" i="40" s="1"/>
  <c r="DV317" i="40"/>
  <c r="DV318" i="40" s="1"/>
  <c r="DV348" i="40" s="1"/>
  <c r="DV377" i="40" s="1"/>
  <c r="DV398" i="40" s="1"/>
  <c r="DV402" i="40" s="1"/>
  <c r="DV406" i="40" s="1"/>
  <c r="AD14" i="51" s="1"/>
  <c r="AJ14" i="51" s="1"/>
  <c r="DS191" i="40"/>
  <c r="DS192" i="40" s="1"/>
  <c r="DS195" i="40" s="1"/>
  <c r="DS198" i="40" s="1"/>
  <c r="DS211" i="40" s="1"/>
  <c r="DS212" i="40" s="1"/>
  <c r="DS216" i="40" s="1"/>
  <c r="AC153" i="23"/>
  <c r="AD152" i="23"/>
  <c r="AH152" i="23" s="1"/>
  <c r="AI152" i="23" s="1"/>
  <c r="AJ152" i="23" s="1"/>
  <c r="AK152" i="23" s="1"/>
  <c r="R109" i="23"/>
  <c r="B231" i="23"/>
  <c r="A232" i="23"/>
  <c r="Y57" i="18"/>
  <c r="AA57" i="18" s="1"/>
  <c r="AB57" i="18" s="1"/>
  <c r="Z57" i="18"/>
  <c r="BD13" i="18"/>
  <c r="BE12" i="18"/>
  <c r="FI269" i="40" l="1"/>
  <c r="FH270" i="40"/>
  <c r="FS270" i="40"/>
  <c r="FR271" i="40"/>
  <c r="FD267" i="40"/>
  <c r="FC268" i="40"/>
  <c r="ED270" i="40"/>
  <c r="EE269" i="40"/>
  <c r="EN271" i="40"/>
  <c r="EO270" i="40"/>
  <c r="EY272" i="40"/>
  <c r="EX273" i="40"/>
  <c r="ET269" i="40"/>
  <c r="ES270" i="40"/>
  <c r="FN267" i="40"/>
  <c r="FM268" i="40"/>
  <c r="EJ269" i="40"/>
  <c r="EI270" i="40"/>
  <c r="AD15" i="51"/>
  <c r="AJ15" i="51" s="1"/>
  <c r="AM13" i="51"/>
  <c r="AS13" i="51" s="1"/>
  <c r="AM9" i="51"/>
  <c r="AS9" i="51" s="1"/>
  <c r="AT9" i="51" s="1"/>
  <c r="AD9" i="51"/>
  <c r="AJ9" i="51" s="1"/>
  <c r="AK9" i="51" s="1"/>
  <c r="AM10" i="51"/>
  <c r="AS10" i="51" s="1"/>
  <c r="AD11" i="51"/>
  <c r="AJ11" i="51" s="1"/>
  <c r="AD10" i="51"/>
  <c r="AJ10" i="51" s="1"/>
  <c r="AM11" i="51"/>
  <c r="AS11" i="51" s="1"/>
  <c r="AD12" i="51"/>
  <c r="AJ12" i="51" s="1"/>
  <c r="AM14" i="51"/>
  <c r="AS14" i="51" s="1"/>
  <c r="AD13" i="51"/>
  <c r="AJ13" i="51" s="1"/>
  <c r="AM12" i="51"/>
  <c r="AS12" i="51" s="1"/>
  <c r="AM15" i="51"/>
  <c r="AS15" i="51" s="1"/>
  <c r="BI110" i="40"/>
  <c r="BI111" i="40" s="1"/>
  <c r="BI115" i="40" s="1"/>
  <c r="BZ4" i="40"/>
  <c r="BY6" i="40"/>
  <c r="BZ5" i="40"/>
  <c r="CD6" i="40"/>
  <c r="CE5" i="40"/>
  <c r="BS148" i="40"/>
  <c r="BS154" i="40" s="1"/>
  <c r="BS165" i="40"/>
  <c r="BS171" i="40" s="1"/>
  <c r="BS176" i="40" s="1"/>
  <c r="BS185" i="40" s="1"/>
  <c r="BS189" i="40" s="1"/>
  <c r="BS190" i="40" s="1"/>
  <c r="BS197" i="40" s="1"/>
  <c r="BS198" i="40" s="1"/>
  <c r="BS199" i="40" s="1"/>
  <c r="BS161" i="40"/>
  <c r="CH104" i="40"/>
  <c r="CH119" i="40" s="1"/>
  <c r="AK26" i="50"/>
  <c r="CW26" i="40"/>
  <c r="CM133" i="40"/>
  <c r="DT99" i="40"/>
  <c r="DT118" i="40" s="1"/>
  <c r="DT119" i="40" s="1"/>
  <c r="DT122" i="40" s="1"/>
  <c r="DT135" i="40" s="1"/>
  <c r="DT137" i="40" s="1"/>
  <c r="DT143" i="40" s="1"/>
  <c r="DT145" i="40" s="1"/>
  <c r="DT157" i="40" s="1"/>
  <c r="DT171" i="40" s="1"/>
  <c r="DT179" i="40" s="1"/>
  <c r="DT185" i="40" s="1"/>
  <c r="DT197" i="40" s="1"/>
  <c r="DT199" i="40" s="1"/>
  <c r="DT203" i="40" s="1"/>
  <c r="DT204" i="40" s="1"/>
  <c r="DT208" i="40" s="1"/>
  <c r="DT210" i="40" s="1"/>
  <c r="BN42" i="40"/>
  <c r="CS10" i="40"/>
  <c r="CT9" i="40"/>
  <c r="AM27" i="51"/>
  <c r="AS27" i="51" s="1"/>
  <c r="AT27" i="51" s="1"/>
  <c r="AD27" i="51"/>
  <c r="AJ27" i="51" s="1"/>
  <c r="AK27" i="51" s="1"/>
  <c r="AM19" i="51"/>
  <c r="AS19" i="51" s="1"/>
  <c r="AM26" i="51"/>
  <c r="AS26" i="51" s="1"/>
  <c r="AT26" i="51" s="1"/>
  <c r="AD20" i="51"/>
  <c r="AJ20" i="51" s="1"/>
  <c r="AK20" i="51" s="1"/>
  <c r="AD26" i="51"/>
  <c r="AJ26" i="51" s="1"/>
  <c r="AK26" i="51" s="1"/>
  <c r="AM16" i="51"/>
  <c r="AS16" i="51" s="1"/>
  <c r="AD16" i="51"/>
  <c r="AJ16" i="51" s="1"/>
  <c r="AD21" i="51"/>
  <c r="AJ21" i="51" s="1"/>
  <c r="AK21" i="51" s="1"/>
  <c r="AD32" i="51"/>
  <c r="AJ32" i="51" s="1"/>
  <c r="AK32" i="51" s="1"/>
  <c r="AM17" i="51"/>
  <c r="AS17" i="51" s="1"/>
  <c r="AM32" i="51"/>
  <c r="AS32" i="51" s="1"/>
  <c r="AT32" i="51" s="1"/>
  <c r="AD19" i="51"/>
  <c r="AJ19" i="51" s="1"/>
  <c r="AK19" i="51" s="1"/>
  <c r="AM33" i="51"/>
  <c r="AS33" i="51" s="1"/>
  <c r="AT33" i="51" s="1"/>
  <c r="AD22" i="51"/>
  <c r="AJ22" i="51" s="1"/>
  <c r="AK22" i="51" s="1"/>
  <c r="AD33" i="51"/>
  <c r="AJ33" i="51" s="1"/>
  <c r="AK33" i="51" s="1"/>
  <c r="AM30" i="51"/>
  <c r="AS30" i="51" s="1"/>
  <c r="AT30" i="51" s="1"/>
  <c r="AM18" i="51"/>
  <c r="AS18" i="51" s="1"/>
  <c r="AD25" i="51"/>
  <c r="AJ25" i="51" s="1"/>
  <c r="AK25" i="51" s="1"/>
  <c r="AM31" i="51"/>
  <c r="AS31" i="51" s="1"/>
  <c r="AT31" i="51" s="1"/>
  <c r="AM34" i="51"/>
  <c r="AS34" i="51" s="1"/>
  <c r="AT34" i="51" s="1"/>
  <c r="AD24" i="51"/>
  <c r="AJ24" i="51" s="1"/>
  <c r="AK24" i="51" s="1"/>
  <c r="AD35" i="51"/>
  <c r="AJ35" i="51" s="1"/>
  <c r="AK35" i="51" s="1"/>
  <c r="AM22" i="51"/>
  <c r="AS22" i="51" s="1"/>
  <c r="AT22" i="51" s="1"/>
  <c r="AM23" i="51"/>
  <c r="AS23" i="51" s="1"/>
  <c r="AT23" i="51" s="1"/>
  <c r="AM20" i="51"/>
  <c r="AS20" i="51" s="1"/>
  <c r="AM29" i="51"/>
  <c r="AS29" i="51" s="1"/>
  <c r="AT29" i="51" s="1"/>
  <c r="AD29" i="51"/>
  <c r="AJ29" i="51" s="1"/>
  <c r="AK29" i="51" s="1"/>
  <c r="AD18" i="51"/>
  <c r="AJ18" i="51" s="1"/>
  <c r="AD17" i="51"/>
  <c r="AJ17" i="51" s="1"/>
  <c r="AM28" i="51"/>
  <c r="AS28" i="51" s="1"/>
  <c r="AT28" i="51" s="1"/>
  <c r="AD34" i="51"/>
  <c r="AJ34" i="51" s="1"/>
  <c r="AK34" i="51" s="1"/>
  <c r="AD28" i="51"/>
  <c r="AJ28" i="51" s="1"/>
  <c r="AK28" i="51" s="1"/>
  <c r="AM25" i="51"/>
  <c r="AS25" i="51" s="1"/>
  <c r="AT25" i="51" s="1"/>
  <c r="AD23" i="51"/>
  <c r="AJ23" i="51" s="1"/>
  <c r="AK23" i="51" s="1"/>
  <c r="AD31" i="51"/>
  <c r="AJ31" i="51" s="1"/>
  <c r="AK31" i="51" s="1"/>
  <c r="AD30" i="51"/>
  <c r="AJ30" i="51" s="1"/>
  <c r="AK30" i="51" s="1"/>
  <c r="AM21" i="51"/>
  <c r="AS21" i="51" s="1"/>
  <c r="AT21" i="51" s="1"/>
  <c r="AM35" i="51"/>
  <c r="AS35" i="51" s="1"/>
  <c r="AT35" i="51" s="1"/>
  <c r="AM24" i="51"/>
  <c r="AS24" i="51" s="1"/>
  <c r="AT24" i="51" s="1"/>
  <c r="DS270" i="40"/>
  <c r="DS272" i="40" s="1"/>
  <c r="DU269" i="40"/>
  <c r="DU280" i="40" s="1"/>
  <c r="DU284" i="40" s="1"/>
  <c r="AC154" i="23"/>
  <c r="AD153" i="23"/>
  <c r="AH153" i="23" s="1"/>
  <c r="AI153" i="23" s="1"/>
  <c r="AJ153" i="23" s="1"/>
  <c r="AK153" i="23" s="1"/>
  <c r="R110" i="23"/>
  <c r="A233" i="23"/>
  <c r="B232" i="23"/>
  <c r="W58" i="18"/>
  <c r="Z58" i="18" s="1"/>
  <c r="BD14" i="18"/>
  <c r="BE13" i="18"/>
  <c r="FM269" i="40" l="1"/>
  <c r="FN268" i="40"/>
  <c r="EY273" i="40"/>
  <c r="EX274" i="40"/>
  <c r="FR272" i="40"/>
  <c r="FS271" i="40"/>
  <c r="ED271" i="40"/>
  <c r="EE270" i="40"/>
  <c r="EI271" i="40"/>
  <c r="EJ270" i="40"/>
  <c r="ET270" i="40"/>
  <c r="ES271" i="40"/>
  <c r="FC269" i="40"/>
  <c r="FD268" i="40"/>
  <c r="FI270" i="40"/>
  <c r="FH271" i="40"/>
  <c r="EN272" i="40"/>
  <c r="EO271" i="40"/>
  <c r="AT10" i="51"/>
  <c r="AK10" i="51"/>
  <c r="AT12" i="51"/>
  <c r="AT13" i="51"/>
  <c r="BI118" i="40"/>
  <c r="BI119" i="40" s="1"/>
  <c r="CE6" i="40"/>
  <c r="CD7" i="40"/>
  <c r="BY7" i="40"/>
  <c r="BZ6" i="40"/>
  <c r="CH124" i="40"/>
  <c r="CH125" i="40" s="1"/>
  <c r="BS204" i="40"/>
  <c r="BS202" i="40"/>
  <c r="AK27" i="50"/>
  <c r="CM136" i="40"/>
  <c r="CW27" i="40"/>
  <c r="DT217" i="40"/>
  <c r="BN43" i="40"/>
  <c r="CT10" i="40"/>
  <c r="CS11" i="40"/>
  <c r="U15" i="51"/>
  <c r="AA15" i="51" s="1"/>
  <c r="DU293" i="40"/>
  <c r="DU305" i="40" s="1"/>
  <c r="DU306" i="40" s="1"/>
  <c r="DU309" i="40" s="1"/>
  <c r="DU310" i="40" s="1"/>
  <c r="DU313" i="40" s="1"/>
  <c r="DU316" i="40" s="1"/>
  <c r="DU336" i="40" s="1"/>
  <c r="DU346" i="40" s="1"/>
  <c r="DU354" i="40" s="1"/>
  <c r="DU355" i="40" s="1"/>
  <c r="DU359" i="40" s="1"/>
  <c r="DU378" i="40" s="1"/>
  <c r="DU379" i="40" s="1"/>
  <c r="DU391" i="40" s="1"/>
  <c r="DU400" i="40" s="1"/>
  <c r="DU403" i="40" s="1"/>
  <c r="DU404" i="40" s="1"/>
  <c r="DS277" i="40"/>
  <c r="DS287" i="40" s="1"/>
  <c r="AC155" i="23"/>
  <c r="AD154" i="23"/>
  <c r="AH154" i="23" s="1"/>
  <c r="AI154" i="23" s="1"/>
  <c r="AJ154" i="23" s="1"/>
  <c r="AK154" i="23" s="1"/>
  <c r="R111" i="23"/>
  <c r="A234" i="23"/>
  <c r="B233" i="23"/>
  <c r="Y58" i="18"/>
  <c r="AA58" i="18" s="1"/>
  <c r="AB58" i="18" s="1"/>
  <c r="X58" i="18"/>
  <c r="W59" i="18"/>
  <c r="X59" i="18" s="1"/>
  <c r="BD15" i="18"/>
  <c r="BE14" i="18"/>
  <c r="FI271" i="40" l="1"/>
  <c r="FH272" i="40"/>
  <c r="ET271" i="40"/>
  <c r="ES272" i="40"/>
  <c r="EY274" i="40"/>
  <c r="EX275" i="40"/>
  <c r="ED272" i="40"/>
  <c r="EE271" i="40"/>
  <c r="EO272" i="40"/>
  <c r="EN273" i="40"/>
  <c r="FD269" i="40"/>
  <c r="FC270" i="40"/>
  <c r="EJ271" i="40"/>
  <c r="EI272" i="40"/>
  <c r="FS272" i="40"/>
  <c r="FR273" i="40"/>
  <c r="FM270" i="40"/>
  <c r="FN269" i="40"/>
  <c r="AK11" i="51"/>
  <c r="AT11" i="51"/>
  <c r="AK12" i="51"/>
  <c r="AT14" i="51"/>
  <c r="AK13" i="51"/>
  <c r="U13" i="51"/>
  <c r="AA13" i="51" s="1"/>
  <c r="AB13" i="51" s="1"/>
  <c r="U21" i="51"/>
  <c r="AA21" i="51" s="1"/>
  <c r="AB21" i="51" s="1"/>
  <c r="U30" i="51"/>
  <c r="AA30" i="51" s="1"/>
  <c r="AB30" i="51" s="1"/>
  <c r="BI123" i="40"/>
  <c r="BI125" i="40" s="1"/>
  <c r="BY8" i="40"/>
  <c r="BZ7" i="40"/>
  <c r="CD8" i="40"/>
  <c r="CE7" i="40"/>
  <c r="BS207" i="40"/>
  <c r="BS212" i="40" s="1"/>
  <c r="CH127" i="40"/>
  <c r="AK28" i="50"/>
  <c r="AK58" i="50" s="1"/>
  <c r="AL58" i="50" s="1"/>
  <c r="CW28" i="40"/>
  <c r="CM150" i="40"/>
  <c r="CM151" i="40" s="1"/>
  <c r="DT218" i="40"/>
  <c r="BN44" i="40"/>
  <c r="BN116" i="40"/>
  <c r="CS12" i="40"/>
  <c r="CT11" i="40"/>
  <c r="U24" i="51"/>
  <c r="AA24" i="51" s="1"/>
  <c r="AB24" i="51" s="1"/>
  <c r="U18" i="51"/>
  <c r="AA18" i="51" s="1"/>
  <c r="U16" i="51"/>
  <c r="AA16" i="51" s="1"/>
  <c r="U14" i="51"/>
  <c r="AA14" i="51" s="1"/>
  <c r="U28" i="51"/>
  <c r="AA28" i="51" s="1"/>
  <c r="AB28" i="51" s="1"/>
  <c r="U17" i="51"/>
  <c r="AA17" i="51" s="1"/>
  <c r="U26" i="51"/>
  <c r="AA26" i="51" s="1"/>
  <c r="AB26" i="51" s="1"/>
  <c r="U22" i="51"/>
  <c r="AA22" i="51" s="1"/>
  <c r="AB22" i="51" s="1"/>
  <c r="U20" i="51"/>
  <c r="AA20" i="51" s="1"/>
  <c r="AB20" i="51" s="1"/>
  <c r="U35" i="51"/>
  <c r="AA35" i="51" s="1"/>
  <c r="AB35" i="51" s="1"/>
  <c r="U29" i="51"/>
  <c r="AA29" i="51" s="1"/>
  <c r="AB29" i="51" s="1"/>
  <c r="U32" i="51"/>
  <c r="AA32" i="51" s="1"/>
  <c r="AB32" i="51" s="1"/>
  <c r="U23" i="51"/>
  <c r="AA23" i="51" s="1"/>
  <c r="AB23" i="51" s="1"/>
  <c r="U25" i="51"/>
  <c r="AA25" i="51" s="1"/>
  <c r="AB25" i="51" s="1"/>
  <c r="U33" i="51"/>
  <c r="AA33" i="51" s="1"/>
  <c r="AB33" i="51" s="1"/>
  <c r="U34" i="51"/>
  <c r="AA34" i="51" s="1"/>
  <c r="AB34" i="51" s="1"/>
  <c r="U27" i="51"/>
  <c r="AA27" i="51" s="1"/>
  <c r="AB27" i="51" s="1"/>
  <c r="U31" i="51"/>
  <c r="AA31" i="51" s="1"/>
  <c r="AB31" i="51" s="1"/>
  <c r="U19" i="51"/>
  <c r="AA19" i="51" s="1"/>
  <c r="DS290" i="40"/>
  <c r="AC156" i="23"/>
  <c r="AD155" i="23"/>
  <c r="AH155" i="23" s="1"/>
  <c r="AI155" i="23" s="1"/>
  <c r="AJ155" i="23" s="1"/>
  <c r="AK155" i="23" s="1"/>
  <c r="R112" i="23"/>
  <c r="A235" i="23"/>
  <c r="B234" i="23"/>
  <c r="Z59" i="18"/>
  <c r="Y59" i="18"/>
  <c r="AA59" i="18" s="1"/>
  <c r="AB59" i="18" s="1"/>
  <c r="BD16" i="18"/>
  <c r="BE15" i="18"/>
  <c r="FR274" i="40" l="1"/>
  <c r="FS273" i="40"/>
  <c r="FD270" i="40"/>
  <c r="FC271" i="40"/>
  <c r="ET272" i="40"/>
  <c r="ES273" i="40"/>
  <c r="EE272" i="40"/>
  <c r="ED273" i="40"/>
  <c r="EJ272" i="40"/>
  <c r="EI273" i="40"/>
  <c r="EN274" i="40"/>
  <c r="EO273" i="40"/>
  <c r="EY275" i="40"/>
  <c r="EX276" i="40"/>
  <c r="FI272" i="40"/>
  <c r="FH273" i="40"/>
  <c r="FM271" i="40"/>
  <c r="FN270" i="40"/>
  <c r="AB14" i="51"/>
  <c r="AB15" i="51" s="1"/>
  <c r="AT15" i="51"/>
  <c r="DT226" i="40"/>
  <c r="DT233" i="40" s="1"/>
  <c r="DT235" i="40" s="1"/>
  <c r="DT237" i="40" s="1"/>
  <c r="DT244" i="40" s="1"/>
  <c r="DT248" i="40" s="1"/>
  <c r="DT250" i="40" s="1"/>
  <c r="DT262" i="40" s="1"/>
  <c r="DT271" i="40" s="1"/>
  <c r="DT275" i="40" s="1"/>
  <c r="DT285" i="40" s="1"/>
  <c r="DT288" i="40" s="1"/>
  <c r="DT291" i="40" s="1"/>
  <c r="DT296" i="40" s="1"/>
  <c r="DT301" i="40" s="1"/>
  <c r="DT311" i="40" s="1"/>
  <c r="DT312" i="40" s="1"/>
  <c r="DT314" i="40" s="1"/>
  <c r="DT320" i="40" s="1"/>
  <c r="DT353" i="40" s="1"/>
  <c r="DT356" i="40" s="1"/>
  <c r="AK14" i="51"/>
  <c r="BI126" i="40"/>
  <c r="BI129" i="40" s="1"/>
  <c r="BI130" i="40" s="1"/>
  <c r="BI131" i="40" s="1"/>
  <c r="AK62" i="50"/>
  <c r="AL62" i="50" s="1"/>
  <c r="CD9" i="40"/>
  <c r="CE8" i="40"/>
  <c r="AK55" i="50"/>
  <c r="AL55" i="50" s="1"/>
  <c r="AK57" i="50"/>
  <c r="AL57" i="50" s="1"/>
  <c r="BY9" i="40"/>
  <c r="BZ8" i="40"/>
  <c r="AK50" i="50"/>
  <c r="AL50" i="50" s="1"/>
  <c r="AK63" i="50"/>
  <c r="AL63" i="50" s="1"/>
  <c r="AK61" i="50"/>
  <c r="AL61" i="50" s="1"/>
  <c r="BS214" i="40"/>
  <c r="AK66" i="50"/>
  <c r="AL66" i="50" s="1"/>
  <c r="CH129" i="40"/>
  <c r="BS233" i="40"/>
  <c r="BS235" i="40" s="1"/>
  <c r="AK59" i="50"/>
  <c r="AL59" i="50" s="1"/>
  <c r="AK65" i="50"/>
  <c r="AL65" i="50" s="1"/>
  <c r="AK54" i="50"/>
  <c r="AL54" i="50" s="1"/>
  <c r="AK51" i="50"/>
  <c r="AL51" i="50" s="1"/>
  <c r="AK64" i="50"/>
  <c r="AL64" i="50" s="1"/>
  <c r="AK38" i="50"/>
  <c r="AL38" i="50" s="1"/>
  <c r="AK40" i="50"/>
  <c r="AL40" i="50" s="1"/>
  <c r="AK37" i="50"/>
  <c r="AL37" i="50" s="1"/>
  <c r="AK39" i="50"/>
  <c r="AL39" i="50" s="1"/>
  <c r="AK41" i="50"/>
  <c r="AL41" i="50" s="1"/>
  <c r="AK43" i="50"/>
  <c r="AL43" i="50" s="1"/>
  <c r="AK47" i="50"/>
  <c r="AL47" i="50" s="1"/>
  <c r="AK42" i="50"/>
  <c r="AL42" i="50" s="1"/>
  <c r="AK46" i="50"/>
  <c r="AL46" i="50" s="1"/>
  <c r="AK44" i="50"/>
  <c r="AL44" i="50" s="1"/>
  <c r="AK45" i="50"/>
  <c r="AL45" i="50" s="1"/>
  <c r="AK48" i="50"/>
  <c r="AL48" i="50" s="1"/>
  <c r="AK52" i="50"/>
  <c r="AL52" i="50" s="1"/>
  <c r="AK56" i="50"/>
  <c r="AL56" i="50" s="1"/>
  <c r="AK60" i="50"/>
  <c r="AL60" i="50" s="1"/>
  <c r="AK53" i="50"/>
  <c r="AL53" i="50" s="1"/>
  <c r="AK49" i="50"/>
  <c r="AL49" i="50" s="1"/>
  <c r="CM152" i="40"/>
  <c r="CW29" i="40"/>
  <c r="AB16" i="51"/>
  <c r="BN45" i="40"/>
  <c r="CT12" i="40"/>
  <c r="CS13" i="40"/>
  <c r="DS297" i="40"/>
  <c r="DS298" i="40" s="1"/>
  <c r="AC157" i="23"/>
  <c r="AD157" i="23" s="1"/>
  <c r="AH157" i="23" s="1"/>
  <c r="AI157" i="23" s="1"/>
  <c r="AJ157" i="23" s="1"/>
  <c r="AK157" i="23" s="1"/>
  <c r="AD156" i="23"/>
  <c r="AH156" i="23" s="1"/>
  <c r="AI156" i="23" s="1"/>
  <c r="AJ156" i="23" s="1"/>
  <c r="AK156" i="23" s="1"/>
  <c r="R113" i="23"/>
  <c r="A236" i="23"/>
  <c r="B235" i="23"/>
  <c r="W60" i="18"/>
  <c r="Z60" i="18" s="1"/>
  <c r="BE16" i="18"/>
  <c r="BD17" i="18"/>
  <c r="FI273" i="40" l="1"/>
  <c r="FH274" i="40"/>
  <c r="ED274" i="40"/>
  <c r="EE273" i="40"/>
  <c r="FD271" i="40"/>
  <c r="FC272" i="40"/>
  <c r="EN275" i="40"/>
  <c r="EO274" i="40"/>
  <c r="EY276" i="40"/>
  <c r="EX277" i="40"/>
  <c r="EI274" i="40"/>
  <c r="EJ273" i="40"/>
  <c r="ES274" i="40"/>
  <c r="ET273" i="40"/>
  <c r="FM272" i="40"/>
  <c r="FN271" i="40"/>
  <c r="FR275" i="40"/>
  <c r="FS274" i="40"/>
  <c r="DT364" i="40"/>
  <c r="DT367" i="40" s="1"/>
  <c r="DT374" i="40" s="1"/>
  <c r="DT375" i="40" s="1"/>
  <c r="DT390" i="40" s="1"/>
  <c r="DT394" i="40" s="1"/>
  <c r="DT396" i="40" s="1"/>
  <c r="DT397" i="40" s="1"/>
  <c r="DT405" i="40" s="1"/>
  <c r="AK15" i="51"/>
  <c r="AK16" i="51"/>
  <c r="AT16" i="51"/>
  <c r="BI138" i="40"/>
  <c r="BI141" i="40" s="1"/>
  <c r="BY10" i="40"/>
  <c r="BZ9" i="40"/>
  <c r="CD10" i="40"/>
  <c r="CE9" i="40"/>
  <c r="BS216" i="40"/>
  <c r="BS226" i="40" s="1"/>
  <c r="BS240" i="40" s="1"/>
  <c r="BS243" i="40" s="1"/>
  <c r="BS246" i="40" s="1"/>
  <c r="BS219" i="40"/>
  <c r="BS250" i="40"/>
  <c r="BS258" i="40" s="1"/>
  <c r="CH130" i="40"/>
  <c r="AM38" i="50"/>
  <c r="AM37" i="50" s="1"/>
  <c r="B37" i="50" s="1"/>
  <c r="CW30" i="40"/>
  <c r="CM156" i="40"/>
  <c r="AB17" i="51"/>
  <c r="AB18" i="51" s="1"/>
  <c r="BN47" i="40"/>
  <c r="CT13" i="40"/>
  <c r="CS14" i="40"/>
  <c r="DS302" i="40"/>
  <c r="DS304" i="40" s="1"/>
  <c r="AM142" i="23"/>
  <c r="AL143" i="23"/>
  <c r="AM143" i="23" s="1"/>
  <c r="R114" i="23"/>
  <c r="B236" i="23"/>
  <c r="A237" i="23"/>
  <c r="X60" i="18"/>
  <c r="Y60" i="18"/>
  <c r="AA60" i="18" s="1"/>
  <c r="AB60" i="18" s="1"/>
  <c r="BD18" i="18"/>
  <c r="BE17" i="18"/>
  <c r="FM273" i="40" l="1"/>
  <c r="FN272" i="40"/>
  <c r="EI275" i="40"/>
  <c r="EJ274" i="40"/>
  <c r="EN276" i="40"/>
  <c r="EO275" i="40"/>
  <c r="EE274" i="40"/>
  <c r="ED275" i="40"/>
  <c r="EY277" i="40"/>
  <c r="EX278" i="40"/>
  <c r="FD272" i="40"/>
  <c r="FC273" i="40"/>
  <c r="FI274" i="40"/>
  <c r="FH275" i="40"/>
  <c r="FS275" i="40"/>
  <c r="FR276" i="40"/>
  <c r="ET274" i="40"/>
  <c r="ES275" i="40"/>
  <c r="L29" i="51"/>
  <c r="R29" i="51" s="1"/>
  <c r="L30" i="51"/>
  <c r="R30" i="51" s="1"/>
  <c r="L32" i="51"/>
  <c r="R32" i="51" s="1"/>
  <c r="L23" i="51"/>
  <c r="R23" i="51" s="1"/>
  <c r="L7" i="51"/>
  <c r="R7" i="51" s="1"/>
  <c r="S7" i="51" s="1"/>
  <c r="L8" i="51"/>
  <c r="R8" i="51" s="1"/>
  <c r="L9" i="51"/>
  <c r="R9" i="51" s="1"/>
  <c r="S9" i="51" s="1"/>
  <c r="L10" i="51"/>
  <c r="R10" i="51" s="1"/>
  <c r="S10" i="51" s="1"/>
  <c r="L11" i="51"/>
  <c r="R11" i="51" s="1"/>
  <c r="S11" i="51" s="1"/>
  <c r="L12" i="51"/>
  <c r="R12" i="51" s="1"/>
  <c r="L15" i="51"/>
  <c r="R15" i="51" s="1"/>
  <c r="L14" i="51"/>
  <c r="R14" i="51" s="1"/>
  <c r="L13" i="51"/>
  <c r="R13" i="51" s="1"/>
  <c r="L16" i="51"/>
  <c r="R16" i="51" s="1"/>
  <c r="L18" i="51"/>
  <c r="R18" i="51" s="1"/>
  <c r="L17" i="51"/>
  <c r="R17" i="51" s="1"/>
  <c r="L20" i="51"/>
  <c r="R20" i="51" s="1"/>
  <c r="L21" i="51"/>
  <c r="R21" i="51" s="1"/>
  <c r="L19" i="51"/>
  <c r="R19" i="51" s="1"/>
  <c r="L24" i="51"/>
  <c r="R24" i="51" s="1"/>
  <c r="L26" i="51"/>
  <c r="R26" i="51" s="1"/>
  <c r="L33" i="51"/>
  <c r="R33" i="51" s="1"/>
  <c r="L22" i="51"/>
  <c r="R22" i="51" s="1"/>
  <c r="AK17" i="51"/>
  <c r="L34" i="51"/>
  <c r="R34" i="51" s="1"/>
  <c r="S34" i="51" s="1"/>
  <c r="L31" i="51"/>
  <c r="R31" i="51" s="1"/>
  <c r="L27" i="51"/>
  <c r="R27" i="51" s="1"/>
  <c r="L35" i="51"/>
  <c r="R35" i="51" s="1"/>
  <c r="S35" i="51" s="1"/>
  <c r="AT17" i="51"/>
  <c r="L25" i="51"/>
  <c r="R25" i="51" s="1"/>
  <c r="L28" i="51"/>
  <c r="R28" i="51" s="1"/>
  <c r="BI142" i="40"/>
  <c r="BI147" i="40" s="1"/>
  <c r="BI148" i="40" s="1"/>
  <c r="BI154" i="40" s="1"/>
  <c r="CD11" i="40"/>
  <c r="CE10" i="40"/>
  <c r="BZ10" i="40"/>
  <c r="BY11" i="40"/>
  <c r="CH131" i="40"/>
  <c r="BS269" i="40"/>
  <c r="CM161" i="40"/>
  <c r="CW31" i="40"/>
  <c r="AB19" i="51"/>
  <c r="AB38" i="51" s="1"/>
  <c r="AC38" i="51" s="1"/>
  <c r="BN49" i="40"/>
  <c r="BN132" i="40"/>
  <c r="CS15" i="40"/>
  <c r="CT14" i="40"/>
  <c r="DS308" i="40"/>
  <c r="DS325" i="40" s="1"/>
  <c r="DS330" i="40" s="1"/>
  <c r="AL144" i="23"/>
  <c r="AL145" i="23" s="1"/>
  <c r="R115" i="23"/>
  <c r="B237" i="23"/>
  <c r="A238" i="23"/>
  <c r="BD19" i="18"/>
  <c r="BE18" i="18"/>
  <c r="AB40" i="51" l="1"/>
  <c r="AC40" i="51" s="1"/>
  <c r="AB43" i="51"/>
  <c r="AC43" i="51" s="1"/>
  <c r="AB41" i="51"/>
  <c r="AC41" i="51" s="1"/>
  <c r="AB39" i="51"/>
  <c r="AC39" i="51" s="1"/>
  <c r="AB37" i="51"/>
  <c r="AC37" i="51" s="1"/>
  <c r="AB42" i="51"/>
  <c r="AC42" i="51" s="1"/>
  <c r="FR277" i="40"/>
  <c r="FS276" i="40"/>
  <c r="FC274" i="40"/>
  <c r="FD273" i="40"/>
  <c r="EE275" i="40"/>
  <c r="ED276" i="40"/>
  <c r="EJ275" i="40"/>
  <c r="EI276" i="40"/>
  <c r="ES276" i="40"/>
  <c r="ET275" i="40"/>
  <c r="FI275" i="40"/>
  <c r="FH276" i="40"/>
  <c r="EY278" i="40"/>
  <c r="EX279" i="40"/>
  <c r="EO276" i="40"/>
  <c r="EN277" i="40"/>
  <c r="FM274" i="40"/>
  <c r="FN273" i="40"/>
  <c r="S8" i="51"/>
  <c r="AB49" i="51"/>
  <c r="AC49" i="51" s="1"/>
  <c r="AB44" i="51"/>
  <c r="AC44" i="51" s="1"/>
  <c r="AB45" i="51"/>
  <c r="AC45" i="51" s="1"/>
  <c r="AB46" i="51"/>
  <c r="AC46" i="51" s="1"/>
  <c r="AT18" i="51"/>
  <c r="AK18" i="51"/>
  <c r="AK40" i="51" s="1"/>
  <c r="AL40" i="51" s="1"/>
  <c r="S14" i="51"/>
  <c r="S15" i="51"/>
  <c r="S16" i="51"/>
  <c r="BI155" i="40"/>
  <c r="BI160" i="40" s="1"/>
  <c r="BY12" i="40"/>
  <c r="BZ11" i="40"/>
  <c r="CE11" i="40"/>
  <c r="CD12" i="40"/>
  <c r="BS270" i="40"/>
  <c r="BS280" i="40"/>
  <c r="CH133" i="40"/>
  <c r="CH134" i="40" s="1"/>
  <c r="CH140" i="40" s="1"/>
  <c r="CH142" i="40" s="1"/>
  <c r="CH145" i="40" s="1"/>
  <c r="CW32" i="40"/>
  <c r="CM165" i="40"/>
  <c r="AB47" i="51"/>
  <c r="AC47" i="51" s="1"/>
  <c r="AB58" i="51"/>
  <c r="AC58" i="51" s="1"/>
  <c r="AB60" i="51"/>
  <c r="AC60" i="51" s="1"/>
  <c r="AB52" i="51"/>
  <c r="AC52" i="51" s="1"/>
  <c r="AB54" i="51"/>
  <c r="AC54" i="51" s="1"/>
  <c r="AB63" i="51"/>
  <c r="AC63" i="51" s="1"/>
  <c r="AB51" i="51"/>
  <c r="AC51" i="51" s="1"/>
  <c r="AB56" i="51"/>
  <c r="AC56" i="51" s="1"/>
  <c r="AB61" i="51"/>
  <c r="AC61" i="51" s="1"/>
  <c r="AB65" i="51"/>
  <c r="AC65" i="51" s="1"/>
  <c r="AB62" i="51"/>
  <c r="AC62" i="51" s="1"/>
  <c r="AB64" i="51"/>
  <c r="AC64" i="51" s="1"/>
  <c r="AB53" i="51"/>
  <c r="AC53" i="51" s="1"/>
  <c r="AB50" i="51"/>
  <c r="AC50" i="51" s="1"/>
  <c r="AB55" i="51"/>
  <c r="AC55" i="51" s="1"/>
  <c r="AB59" i="51"/>
  <c r="AC59" i="51" s="1"/>
  <c r="AB57" i="51"/>
  <c r="AC57" i="51" s="1"/>
  <c r="AB66" i="51"/>
  <c r="AC66" i="51" s="1"/>
  <c r="AB48" i="51"/>
  <c r="AC48" i="51" s="1"/>
  <c r="BN51" i="40"/>
  <c r="BN138" i="40"/>
  <c r="BN146" i="40"/>
  <c r="CT15" i="40"/>
  <c r="CS16" i="40"/>
  <c r="DS333" i="40"/>
  <c r="DS334" i="40" s="1"/>
  <c r="DS345" i="40" s="1"/>
  <c r="DS361" i="40" s="1"/>
  <c r="AM144" i="23"/>
  <c r="AL146" i="23"/>
  <c r="AM145" i="23"/>
  <c r="R116" i="23"/>
  <c r="A239" i="23"/>
  <c r="B238" i="23"/>
  <c r="BD20" i="18"/>
  <c r="BE19" i="18"/>
  <c r="AG6" i="23"/>
  <c r="BS288" i="40" l="1"/>
  <c r="BS291" i="40" s="1"/>
  <c r="AK39" i="51"/>
  <c r="AL39" i="51" s="1"/>
  <c r="AK38" i="51"/>
  <c r="AL38" i="51" s="1"/>
  <c r="AK37" i="51"/>
  <c r="AL37" i="51" s="1"/>
  <c r="EN278" i="40"/>
  <c r="EO277" i="40"/>
  <c r="FI276" i="40"/>
  <c r="FH277" i="40"/>
  <c r="EJ276" i="40"/>
  <c r="EI277" i="40"/>
  <c r="FC275" i="40"/>
  <c r="FD274" i="40"/>
  <c r="EY279" i="40"/>
  <c r="EX280" i="40"/>
  <c r="ED277" i="40"/>
  <c r="EE276" i="40"/>
  <c r="FM275" i="40"/>
  <c r="FN274" i="40"/>
  <c r="ES277" i="40"/>
  <c r="ET276" i="40"/>
  <c r="FR278" i="40"/>
  <c r="FS277" i="40"/>
  <c r="S12" i="51"/>
  <c r="AK61" i="51"/>
  <c r="AL61" i="51" s="1"/>
  <c r="AK64" i="51"/>
  <c r="AL64" i="51" s="1"/>
  <c r="AK62" i="51"/>
  <c r="AL62" i="51" s="1"/>
  <c r="AK44" i="51"/>
  <c r="AL44" i="51" s="1"/>
  <c r="AK47" i="51"/>
  <c r="AL47" i="51" s="1"/>
  <c r="AK54" i="51"/>
  <c r="AL54" i="51" s="1"/>
  <c r="AK48" i="51"/>
  <c r="AL48" i="51" s="1"/>
  <c r="AK60" i="51"/>
  <c r="AL60" i="51" s="1"/>
  <c r="AK45" i="51"/>
  <c r="AL45" i="51" s="1"/>
  <c r="AK42" i="51"/>
  <c r="AL42" i="51" s="1"/>
  <c r="AK43" i="51"/>
  <c r="AL43" i="51" s="1"/>
  <c r="AK53" i="51"/>
  <c r="AL53" i="51" s="1"/>
  <c r="AK41" i="51"/>
  <c r="AL41" i="51" s="1"/>
  <c r="S17" i="51"/>
  <c r="AK51" i="51"/>
  <c r="AL51" i="51" s="1"/>
  <c r="AK56" i="51"/>
  <c r="AL56" i="51" s="1"/>
  <c r="AK49" i="51"/>
  <c r="AL49" i="51" s="1"/>
  <c r="AK59" i="51"/>
  <c r="AL59" i="51" s="1"/>
  <c r="AK50" i="51"/>
  <c r="AL50" i="51" s="1"/>
  <c r="AK66" i="51"/>
  <c r="AL66" i="51" s="1"/>
  <c r="AK57" i="51"/>
  <c r="AL57" i="51" s="1"/>
  <c r="AK65" i="51"/>
  <c r="AL65" i="51" s="1"/>
  <c r="AK46" i="51"/>
  <c r="AL46" i="51" s="1"/>
  <c r="AK55" i="51"/>
  <c r="AL55" i="51" s="1"/>
  <c r="AK52" i="51"/>
  <c r="AL52" i="51" s="1"/>
  <c r="S18" i="51"/>
  <c r="S19" i="51" s="1"/>
  <c r="AK58" i="51"/>
  <c r="AL58" i="51" s="1"/>
  <c r="AT19" i="51"/>
  <c r="AK63" i="51"/>
  <c r="AL63" i="51" s="1"/>
  <c r="BI165" i="40"/>
  <c r="BI171" i="40" s="1"/>
  <c r="BI176" i="40" s="1"/>
  <c r="CE12" i="40"/>
  <c r="CD13" i="40"/>
  <c r="BY13" i="40"/>
  <c r="BZ12" i="40"/>
  <c r="BS293" i="40"/>
  <c r="BS296" i="40" s="1"/>
  <c r="BS297" i="40" s="1"/>
  <c r="BS318" i="40" s="1"/>
  <c r="BS320" i="40" s="1"/>
  <c r="BS334" i="40" s="1"/>
  <c r="BS336" i="40" s="1"/>
  <c r="BS348" i="40" s="1"/>
  <c r="BS354" i="40" s="1"/>
  <c r="BS355" i="40" s="1"/>
  <c r="BS356" i="40" s="1"/>
  <c r="BS361" i="40" s="1"/>
  <c r="BS366" i="40" s="1"/>
  <c r="BS367" i="40" s="1"/>
  <c r="BS370" i="40" s="1"/>
  <c r="BS374" i="40" s="1"/>
  <c r="BS375" i="40" s="1"/>
  <c r="BS376" i="40" s="1"/>
  <c r="BS378" i="40" s="1"/>
  <c r="BS379" i="40" s="1"/>
  <c r="BS382" i="40" s="1"/>
  <c r="BS390" i="40" s="1"/>
  <c r="BS391" i="40" s="1"/>
  <c r="BS394" i="40" s="1"/>
  <c r="BS397" i="40" s="1"/>
  <c r="CH147" i="40"/>
  <c r="CM166" i="40"/>
  <c r="CW33" i="40"/>
  <c r="AD38" i="51"/>
  <c r="AD37" i="51" s="1"/>
  <c r="BN52" i="40"/>
  <c r="BN150" i="40"/>
  <c r="BN151" i="40" s="1"/>
  <c r="CS17" i="40"/>
  <c r="CT16" i="40"/>
  <c r="DS363" i="40"/>
  <c r="DS366" i="40" s="1"/>
  <c r="DS368" i="40" s="1"/>
  <c r="DS370" i="40" s="1"/>
  <c r="DS376" i="40" s="1"/>
  <c r="DS382" i="40" s="1"/>
  <c r="AL147" i="23"/>
  <c r="AM146" i="23"/>
  <c r="R117" i="23"/>
  <c r="B239" i="23"/>
  <c r="A240" i="23"/>
  <c r="BE20" i="18"/>
  <c r="BD21" i="18"/>
  <c r="AH4" i="23"/>
  <c r="FI277" i="40" l="1"/>
  <c r="FH278" i="40"/>
  <c r="ES278" i="40"/>
  <c r="ET277" i="40"/>
  <c r="ED278" i="40"/>
  <c r="EE277" i="40"/>
  <c r="FD275" i="40"/>
  <c r="FC276" i="40"/>
  <c r="EY280" i="40"/>
  <c r="EX281" i="40"/>
  <c r="EJ277" i="40"/>
  <c r="EI278" i="40"/>
  <c r="FS278" i="40"/>
  <c r="FR279" i="40"/>
  <c r="FN275" i="40"/>
  <c r="FM276" i="40"/>
  <c r="EO278" i="40"/>
  <c r="EN279" i="40"/>
  <c r="S13" i="51"/>
  <c r="AT20" i="51"/>
  <c r="S20" i="51"/>
  <c r="C7" i="51"/>
  <c r="C14" i="51"/>
  <c r="AM38" i="51"/>
  <c r="AM37" i="51" s="1"/>
  <c r="BI184" i="40"/>
  <c r="BI185" i="40" s="1"/>
  <c r="BI189" i="40" s="1"/>
  <c r="BI190" i="40" s="1"/>
  <c r="BZ13" i="40"/>
  <c r="BY14" i="40"/>
  <c r="CE13" i="40"/>
  <c r="CD14" i="40"/>
  <c r="BS398" i="40"/>
  <c r="BS402" i="40" s="1"/>
  <c r="BS403" i="40" s="1"/>
  <c r="CH148" i="40"/>
  <c r="CW34" i="40"/>
  <c r="CM168" i="40"/>
  <c r="BN54" i="40"/>
  <c r="BN153" i="40"/>
  <c r="CS18" i="40"/>
  <c r="CT17" i="40"/>
  <c r="C28" i="51"/>
  <c r="C23" i="51"/>
  <c r="C32" i="51"/>
  <c r="C17" i="51"/>
  <c r="C29" i="51"/>
  <c r="C16" i="51"/>
  <c r="C35" i="51"/>
  <c r="I35" i="51" s="1"/>
  <c r="J35" i="51" s="1"/>
  <c r="C22" i="51"/>
  <c r="C30" i="51"/>
  <c r="C24" i="51"/>
  <c r="C19" i="51"/>
  <c r="C34" i="51"/>
  <c r="C25" i="51"/>
  <c r="C33" i="51"/>
  <c r="C26" i="51"/>
  <c r="C15" i="51"/>
  <c r="C18" i="51"/>
  <c r="C21" i="51"/>
  <c r="C31" i="51"/>
  <c r="C27" i="51"/>
  <c r="C20" i="51"/>
  <c r="AL148" i="23"/>
  <c r="AM147" i="23"/>
  <c r="A241" i="23"/>
  <c r="B240" i="23"/>
  <c r="BD22" i="18"/>
  <c r="BE21" i="18"/>
  <c r="AT44" i="51" l="1"/>
  <c r="AU44" i="51" s="1"/>
  <c r="AT37" i="51"/>
  <c r="AU37" i="51" s="1"/>
  <c r="AT40" i="51"/>
  <c r="AU40" i="51" s="1"/>
  <c r="AT39" i="51"/>
  <c r="AU39" i="51" s="1"/>
  <c r="AT38" i="51"/>
  <c r="AU38" i="51" s="1"/>
  <c r="FN276" i="40"/>
  <c r="FM277" i="40"/>
  <c r="EI279" i="40"/>
  <c r="EJ278" i="40"/>
  <c r="FD276" i="40"/>
  <c r="FC277" i="40"/>
  <c r="ES279" i="40"/>
  <c r="ET278" i="40"/>
  <c r="EO279" i="40"/>
  <c r="EN280" i="40"/>
  <c r="FS279" i="40"/>
  <c r="FR280" i="40"/>
  <c r="EX282" i="40"/>
  <c r="EY281" i="40"/>
  <c r="FH279" i="40"/>
  <c r="FI278" i="40"/>
  <c r="ED279" i="40"/>
  <c r="EE278" i="40"/>
  <c r="AT52" i="51"/>
  <c r="AU52" i="51" s="1"/>
  <c r="I34" i="51"/>
  <c r="J34" i="51" s="1"/>
  <c r="I20" i="51"/>
  <c r="I18" i="51"/>
  <c r="I25" i="51"/>
  <c r="I30" i="51"/>
  <c r="J30" i="51" s="1"/>
  <c r="I29" i="51"/>
  <c r="J29" i="51" s="1"/>
  <c r="I28" i="51"/>
  <c r="J28" i="51" s="1"/>
  <c r="I7" i="51"/>
  <c r="J7" i="51" s="1"/>
  <c r="I22" i="51"/>
  <c r="I17" i="51"/>
  <c r="I15" i="51"/>
  <c r="I31" i="51"/>
  <c r="J31" i="51" s="1"/>
  <c r="I26" i="51"/>
  <c r="I19" i="51"/>
  <c r="I32" i="51"/>
  <c r="J32" i="51" s="1"/>
  <c r="I27" i="51"/>
  <c r="I21" i="51"/>
  <c r="I33" i="51"/>
  <c r="J33" i="51" s="1"/>
  <c r="I24" i="51"/>
  <c r="I16" i="51"/>
  <c r="I23" i="51"/>
  <c r="I14" i="51"/>
  <c r="AT47" i="51"/>
  <c r="AU47" i="51" s="1"/>
  <c r="AT53" i="51"/>
  <c r="AU53" i="51" s="1"/>
  <c r="AT42" i="51"/>
  <c r="AU42" i="51" s="1"/>
  <c r="AT41" i="51"/>
  <c r="AU41" i="51" s="1"/>
  <c r="AT45" i="51"/>
  <c r="AU45" i="51" s="1"/>
  <c r="AT43" i="51"/>
  <c r="AU43" i="51" s="1"/>
  <c r="AT48" i="51"/>
  <c r="AU48" i="51" s="1"/>
  <c r="AT46" i="51"/>
  <c r="AU46" i="51" s="1"/>
  <c r="AT66" i="51"/>
  <c r="AU66" i="51" s="1"/>
  <c r="AT50" i="51"/>
  <c r="AU50" i="51" s="1"/>
  <c r="AT49" i="51"/>
  <c r="AU49" i="51" s="1"/>
  <c r="AT60" i="51"/>
  <c r="AU60" i="51" s="1"/>
  <c r="AT65" i="51"/>
  <c r="AU65" i="51" s="1"/>
  <c r="AT51" i="51"/>
  <c r="AU51" i="51" s="1"/>
  <c r="AT61" i="51"/>
  <c r="AU61" i="51" s="1"/>
  <c r="AT64" i="51"/>
  <c r="AU64" i="51" s="1"/>
  <c r="AT63" i="51"/>
  <c r="AU63" i="51" s="1"/>
  <c r="AT58" i="51"/>
  <c r="AU58" i="51" s="1"/>
  <c r="AT59" i="51"/>
  <c r="AU59" i="51" s="1"/>
  <c r="AT55" i="51"/>
  <c r="AU55" i="51" s="1"/>
  <c r="S21" i="51"/>
  <c r="AT62" i="51"/>
  <c r="AU62" i="51" s="1"/>
  <c r="AT57" i="51"/>
  <c r="AU57" i="51" s="1"/>
  <c r="AT56" i="51"/>
  <c r="AU56" i="51" s="1"/>
  <c r="AT54" i="51"/>
  <c r="AU54" i="51" s="1"/>
  <c r="BI194" i="40"/>
  <c r="BI196" i="40" s="1"/>
  <c r="CD15" i="40"/>
  <c r="CE14" i="40"/>
  <c r="BZ14" i="40"/>
  <c r="BY15" i="40"/>
  <c r="CH154" i="40"/>
  <c r="BS404" i="40"/>
  <c r="BS405" i="40" s="1"/>
  <c r="CM174" i="40"/>
  <c r="CW35" i="40"/>
  <c r="BN55" i="40"/>
  <c r="CS19" i="40"/>
  <c r="CT18" i="40"/>
  <c r="AL149" i="23"/>
  <c r="AM148" i="23"/>
  <c r="B241" i="23"/>
  <c r="A242" i="23"/>
  <c r="BE22" i="18"/>
  <c r="BD23" i="18"/>
  <c r="J10" i="51" l="1"/>
  <c r="J11" i="51" s="1"/>
  <c r="FR281" i="40"/>
  <c r="FS280" i="40"/>
  <c r="FI279" i="40"/>
  <c r="FH280" i="40"/>
  <c r="ES280" i="40"/>
  <c r="ET279" i="40"/>
  <c r="EJ279" i="40"/>
  <c r="EI280" i="40"/>
  <c r="EN281" i="40"/>
  <c r="EO280" i="40"/>
  <c r="FD277" i="40"/>
  <c r="FC278" i="40"/>
  <c r="FM278" i="40"/>
  <c r="FN277" i="40"/>
  <c r="ED280" i="40"/>
  <c r="EE279" i="40"/>
  <c r="EY282" i="40"/>
  <c r="EX283" i="40"/>
  <c r="J12" i="51"/>
  <c r="AV38" i="51"/>
  <c r="AV37" i="51" s="1"/>
  <c r="S22" i="51"/>
  <c r="BI197" i="40"/>
  <c r="BI198" i="40" s="1"/>
  <c r="BI199" i="40" s="1"/>
  <c r="BI204" i="40" s="1"/>
  <c r="BI207" i="40" s="1"/>
  <c r="BI212" i="40" s="1"/>
  <c r="BI216" i="40" s="1"/>
  <c r="BI219" i="40" s="1"/>
  <c r="BZ15" i="40"/>
  <c r="BY16" i="40"/>
  <c r="CE15" i="40"/>
  <c r="CD16" i="40"/>
  <c r="BT4" i="40"/>
  <c r="BU4" i="40" s="1"/>
  <c r="BU3" i="40"/>
  <c r="CH157" i="40"/>
  <c r="CW36" i="40"/>
  <c r="CM178" i="40"/>
  <c r="BN56" i="40"/>
  <c r="CS20" i="40"/>
  <c r="CT19" i="40"/>
  <c r="AL150" i="23"/>
  <c r="AM149" i="23"/>
  <c r="A243" i="23"/>
  <c r="B242" i="23"/>
  <c r="BD24" i="18"/>
  <c r="BE24" i="18" s="1"/>
  <c r="BE23" i="18"/>
  <c r="FD278" i="40" l="1"/>
  <c r="FC279" i="40"/>
  <c r="EI281" i="40"/>
  <c r="EJ280" i="40"/>
  <c r="FI280" i="40"/>
  <c r="FH281" i="40"/>
  <c r="EE280" i="40"/>
  <c r="ED281" i="40"/>
  <c r="EY283" i="40"/>
  <c r="EX284" i="40"/>
  <c r="FN278" i="40"/>
  <c r="FM279" i="40"/>
  <c r="EO281" i="40"/>
  <c r="EN282" i="40"/>
  <c r="ET280" i="40"/>
  <c r="ES281" i="40"/>
  <c r="FS281" i="40"/>
  <c r="FR282" i="40"/>
  <c r="J13" i="51"/>
  <c r="S23" i="51"/>
  <c r="S24" i="51"/>
  <c r="S25" i="51" s="1"/>
  <c r="S26" i="51"/>
  <c r="S27" i="51" s="1"/>
  <c r="S28" i="51" s="1"/>
  <c r="S29" i="51" s="1"/>
  <c r="BI223" i="40"/>
  <c r="BI229" i="40" s="1"/>
  <c r="CD17" i="40"/>
  <c r="CE16" i="40"/>
  <c r="BZ16" i="40"/>
  <c r="BY17" i="40"/>
  <c r="BT5" i="40"/>
  <c r="BT6" i="40" s="1"/>
  <c r="CH161" i="40"/>
  <c r="CM179" i="40"/>
  <c r="CW37" i="40"/>
  <c r="BN57" i="40"/>
  <c r="CT20" i="40"/>
  <c r="CS21" i="40"/>
  <c r="AL151" i="23"/>
  <c r="AM150" i="23"/>
  <c r="A244" i="23"/>
  <c r="B243" i="23"/>
  <c r="ES282" i="40" l="1"/>
  <c r="ET281" i="40"/>
  <c r="FM280" i="40"/>
  <c r="FN279" i="40"/>
  <c r="EE281" i="40"/>
  <c r="ED282" i="40"/>
  <c r="EI282" i="40"/>
  <c r="EJ281" i="40"/>
  <c r="FR283" i="40"/>
  <c r="FS282" i="40"/>
  <c r="EO282" i="40"/>
  <c r="EN283" i="40"/>
  <c r="EY284" i="40"/>
  <c r="EX285" i="40"/>
  <c r="FI281" i="40"/>
  <c r="FH282" i="40"/>
  <c r="FD279" i="40"/>
  <c r="FC280" i="40"/>
  <c r="J14" i="51"/>
  <c r="S30" i="51"/>
  <c r="S31" i="51" s="1"/>
  <c r="S32" i="51" s="1"/>
  <c r="S33" i="51" s="1"/>
  <c r="BI233" i="40"/>
  <c r="BI235" i="40" s="1"/>
  <c r="BZ17" i="40"/>
  <c r="BY18" i="40"/>
  <c r="CE17" i="40"/>
  <c r="CD18" i="40"/>
  <c r="BU5" i="40"/>
  <c r="BU6" i="40"/>
  <c r="BT7" i="40"/>
  <c r="CH164" i="40"/>
  <c r="CW38" i="40"/>
  <c r="CM182" i="40"/>
  <c r="BN58" i="40"/>
  <c r="CT21" i="40"/>
  <c r="CS22" i="40"/>
  <c r="AL152" i="23"/>
  <c r="AM151" i="23"/>
  <c r="A245" i="23"/>
  <c r="B244" i="23"/>
  <c r="S41" i="51" l="1"/>
  <c r="T41" i="51" s="1"/>
  <c r="S37" i="51"/>
  <c r="T37" i="51" s="1"/>
  <c r="S38" i="51"/>
  <c r="T38" i="51" s="1"/>
  <c r="S40" i="51"/>
  <c r="T40" i="51" s="1"/>
  <c r="S39" i="51"/>
  <c r="T39" i="51" s="1"/>
  <c r="FI282" i="40"/>
  <c r="FH283" i="40"/>
  <c r="EO283" i="40"/>
  <c r="EN284" i="40"/>
  <c r="EJ282" i="40"/>
  <c r="EI283" i="40"/>
  <c r="FM281" i="40"/>
  <c r="FN280" i="40"/>
  <c r="FC281" i="40"/>
  <c r="FD280" i="40"/>
  <c r="EY285" i="40"/>
  <c r="EX286" i="40"/>
  <c r="ED283" i="40"/>
  <c r="EE282" i="40"/>
  <c r="FS283" i="40"/>
  <c r="FR284" i="40"/>
  <c r="ET282" i="40"/>
  <c r="ES283" i="40"/>
  <c r="S51" i="51"/>
  <c r="T51" i="51" s="1"/>
  <c r="J15" i="51"/>
  <c r="S54" i="51"/>
  <c r="T54" i="51" s="1"/>
  <c r="S56" i="51"/>
  <c r="T56" i="51" s="1"/>
  <c r="S55" i="51"/>
  <c r="T55" i="51" s="1"/>
  <c r="S43" i="51"/>
  <c r="T43" i="51" s="1"/>
  <c r="S46" i="51"/>
  <c r="T46" i="51" s="1"/>
  <c r="S53" i="51"/>
  <c r="T53" i="51" s="1"/>
  <c r="S52" i="51"/>
  <c r="T52" i="51" s="1"/>
  <c r="S44" i="51"/>
  <c r="T44" i="51" s="1"/>
  <c r="S66" i="51"/>
  <c r="T66" i="51" s="1"/>
  <c r="S47" i="51"/>
  <c r="T47" i="51" s="1"/>
  <c r="S42" i="51"/>
  <c r="T42" i="51" s="1"/>
  <c r="S45" i="51"/>
  <c r="T45" i="51" s="1"/>
  <c r="S58" i="51"/>
  <c r="T58" i="51" s="1"/>
  <c r="S59" i="51"/>
  <c r="T59" i="51" s="1"/>
  <c r="S63" i="51"/>
  <c r="T63" i="51" s="1"/>
  <c r="S61" i="51"/>
  <c r="T61" i="51" s="1"/>
  <c r="S65" i="51"/>
  <c r="T65" i="51" s="1"/>
  <c r="S62" i="51"/>
  <c r="T62" i="51" s="1"/>
  <c r="S48" i="51"/>
  <c r="T48" i="51" s="1"/>
  <c r="S49" i="51"/>
  <c r="T49" i="51" s="1"/>
  <c r="S50" i="51"/>
  <c r="T50" i="51" s="1"/>
  <c r="S57" i="51"/>
  <c r="T57" i="51" s="1"/>
  <c r="S64" i="51"/>
  <c r="T64" i="51" s="1"/>
  <c r="S60" i="51"/>
  <c r="T60" i="51" s="1"/>
  <c r="BI242" i="40"/>
  <c r="BI250" i="40" s="1"/>
  <c r="CD19" i="40"/>
  <c r="CE18" i="40"/>
  <c r="BY19" i="40"/>
  <c r="BZ18" i="40"/>
  <c r="CH165" i="40"/>
  <c r="BT8" i="40"/>
  <c r="BU7" i="40"/>
  <c r="CM184" i="40"/>
  <c r="CW39" i="40"/>
  <c r="J22" i="51"/>
  <c r="BN59" i="40"/>
  <c r="CS23" i="40"/>
  <c r="CT22" i="40"/>
  <c r="AL153" i="23"/>
  <c r="AM152" i="23"/>
  <c r="AD44" i="23"/>
  <c r="AD45" i="23"/>
  <c r="AD43" i="23"/>
  <c r="AD39" i="23"/>
  <c r="B245" i="23"/>
  <c r="A246" i="23"/>
  <c r="AG267" i="1"/>
  <c r="J16" i="51" l="1"/>
  <c r="J17" i="51" s="1"/>
  <c r="FS284" i="40"/>
  <c r="FR285" i="40"/>
  <c r="EY286" i="40"/>
  <c r="EX287" i="40"/>
  <c r="EN285" i="40"/>
  <c r="EO284" i="40"/>
  <c r="FN281" i="40"/>
  <c r="FM282" i="40"/>
  <c r="ES284" i="40"/>
  <c r="ET283" i="40"/>
  <c r="EI284" i="40"/>
  <c r="EJ283" i="40"/>
  <c r="FI283" i="40"/>
  <c r="FH284" i="40"/>
  <c r="ED284" i="40"/>
  <c r="EE283" i="40"/>
  <c r="FC282" i="40"/>
  <c r="FD281" i="40"/>
  <c r="J18" i="51"/>
  <c r="U38" i="51"/>
  <c r="U37" i="51" s="1"/>
  <c r="BI255" i="40"/>
  <c r="BI258" i="40" s="1"/>
  <c r="BY20" i="40"/>
  <c r="BZ19" i="40"/>
  <c r="CE19" i="40"/>
  <c r="CD20" i="40"/>
  <c r="BT9" i="40"/>
  <c r="BU8" i="40"/>
  <c r="CH171" i="40"/>
  <c r="CW40" i="40"/>
  <c r="CM185" i="40"/>
  <c r="J23" i="51"/>
  <c r="O31" i="23"/>
  <c r="L31" i="23"/>
  <c r="N31" i="23"/>
  <c r="M32" i="23"/>
  <c r="L30" i="23"/>
  <c r="N30" i="23"/>
  <c r="M31" i="23"/>
  <c r="O32" i="23"/>
  <c r="M30" i="23"/>
  <c r="L32" i="23"/>
  <c r="O30" i="23"/>
  <c r="N32" i="23"/>
  <c r="P46" i="23"/>
  <c r="P42" i="23"/>
  <c r="P38" i="23"/>
  <c r="P43" i="23"/>
  <c r="P47" i="23"/>
  <c r="P41" i="23"/>
  <c r="P45" i="23"/>
  <c r="P40" i="23"/>
  <c r="P44" i="23"/>
  <c r="P39" i="23"/>
  <c r="Q47" i="23"/>
  <c r="Q43" i="23"/>
  <c r="Q39" i="23"/>
  <c r="Q44" i="23"/>
  <c r="Q42" i="23"/>
  <c r="Q46" i="23"/>
  <c r="Q41" i="23"/>
  <c r="Q45" i="23"/>
  <c r="Q40" i="23"/>
  <c r="Q38" i="23"/>
  <c r="R45" i="23"/>
  <c r="R41" i="23"/>
  <c r="R43" i="23"/>
  <c r="R38" i="23"/>
  <c r="R47" i="23"/>
  <c r="R42" i="23"/>
  <c r="R46" i="23"/>
  <c r="R40" i="23"/>
  <c r="R44" i="23"/>
  <c r="R39" i="23"/>
  <c r="BN60" i="40"/>
  <c r="BN213" i="40"/>
  <c r="CT23" i="40"/>
  <c r="CS24" i="40"/>
  <c r="AG266" i="1"/>
  <c r="AL154" i="23"/>
  <c r="AM153" i="23"/>
  <c r="AG265" i="1"/>
  <c r="U176" i="1"/>
  <c r="T176" i="1" s="1"/>
  <c r="AG269" i="1"/>
  <c r="A247" i="23"/>
  <c r="B246" i="23"/>
  <c r="AG271" i="1"/>
  <c r="AG270" i="1"/>
  <c r="AG272" i="1"/>
  <c r="FM283" i="40" l="1"/>
  <c r="FN282" i="40"/>
  <c r="EY287" i="40"/>
  <c r="EX288" i="40"/>
  <c r="ED285" i="40"/>
  <c r="EE284" i="40"/>
  <c r="EI285" i="40"/>
  <c r="EJ284" i="40"/>
  <c r="FI284" i="40"/>
  <c r="FH285" i="40"/>
  <c r="FR286" i="40"/>
  <c r="FS285" i="40"/>
  <c r="FC283" i="40"/>
  <c r="FD282" i="40"/>
  <c r="ES285" i="40"/>
  <c r="ET284" i="40"/>
  <c r="EO285" i="40"/>
  <c r="EN286" i="40"/>
  <c r="H385" i="23"/>
  <c r="J19" i="51"/>
  <c r="J24" i="51"/>
  <c r="J25" i="51" s="1"/>
  <c r="J26" i="51" s="1"/>
  <c r="J27" i="51" s="1"/>
  <c r="BI260" i="40"/>
  <c r="BI261" i="40" s="1"/>
  <c r="BI264" i="40" s="1"/>
  <c r="CD21" i="40"/>
  <c r="CE20" i="40"/>
  <c r="BY21" i="40"/>
  <c r="BZ20" i="40"/>
  <c r="CH174" i="40"/>
  <c r="BT10" i="40"/>
  <c r="BU9" i="40"/>
  <c r="CM189" i="40"/>
  <c r="CW41" i="40"/>
  <c r="BN61" i="40"/>
  <c r="CS25" i="40"/>
  <c r="CT24" i="40"/>
  <c r="AG300" i="1"/>
  <c r="AG295" i="1"/>
  <c r="AG286" i="1"/>
  <c r="AG301" i="1"/>
  <c r="AG289" i="1"/>
  <c r="AG287" i="1"/>
  <c r="AG296" i="1"/>
  <c r="AG274" i="1"/>
  <c r="AG275" i="1"/>
  <c r="AG282" i="1"/>
  <c r="AG292" i="1"/>
  <c r="AG302" i="1"/>
  <c r="AG273" i="1"/>
  <c r="AG288" i="1"/>
  <c r="AG280" i="1"/>
  <c r="AG276" i="1"/>
  <c r="AG294" i="1"/>
  <c r="AG277" i="1"/>
  <c r="AG290" i="1"/>
  <c r="AG298" i="1"/>
  <c r="AG281" i="1"/>
  <c r="AG279" i="1"/>
  <c r="AG291" i="1"/>
  <c r="AG285" i="1"/>
  <c r="AG278" i="1"/>
  <c r="AG304" i="1"/>
  <c r="AG303" i="1"/>
  <c r="AC51" i="23"/>
  <c r="AH15" i="42" s="1"/>
  <c r="AI15" i="42" s="1"/>
  <c r="AC48" i="23"/>
  <c r="AH11" i="42" s="1"/>
  <c r="AI11" i="42" s="1"/>
  <c r="AC49" i="23"/>
  <c r="AH9" i="42" s="1"/>
  <c r="AI9" i="42" s="1"/>
  <c r="AG16" i="23"/>
  <c r="J371" i="23" s="1"/>
  <c r="AC50" i="23"/>
  <c r="AH13" i="42" s="1"/>
  <c r="AI13" i="42" s="1"/>
  <c r="H390" i="23"/>
  <c r="AL155" i="23"/>
  <c r="AM154" i="23"/>
  <c r="C153" i="23"/>
  <c r="R36" i="23"/>
  <c r="C135" i="23"/>
  <c r="C95" i="23"/>
  <c r="C138" i="23"/>
  <c r="C66" i="23"/>
  <c r="C58" i="23"/>
  <c r="H392" i="23"/>
  <c r="T392" i="23" s="1"/>
  <c r="C80" i="23"/>
  <c r="C44" i="23"/>
  <c r="C115" i="23"/>
  <c r="C78" i="23"/>
  <c r="C63" i="23"/>
  <c r="C4" i="23"/>
  <c r="C112" i="23"/>
  <c r="P36" i="23"/>
  <c r="C5" i="23"/>
  <c r="H394" i="23"/>
  <c r="L29" i="23"/>
  <c r="O29" i="23"/>
  <c r="N29" i="23"/>
  <c r="M29" i="23"/>
  <c r="C88" i="23"/>
  <c r="C186" i="23"/>
  <c r="C204" i="23"/>
  <c r="C187" i="23"/>
  <c r="C189" i="23"/>
  <c r="C45" i="23"/>
  <c r="AD41" i="23"/>
  <c r="P168" i="1" s="1"/>
  <c r="O168" i="1" s="1"/>
  <c r="C158" i="23"/>
  <c r="C17" i="23"/>
  <c r="C87" i="23"/>
  <c r="C34" i="23"/>
  <c r="C139" i="23"/>
  <c r="H393" i="23"/>
  <c r="Q36" i="23"/>
  <c r="C129" i="23"/>
  <c r="C134" i="23"/>
  <c r="C163" i="23"/>
  <c r="C166" i="23"/>
  <c r="H386" i="23"/>
  <c r="H387" i="23"/>
  <c r="C118" i="23"/>
  <c r="C23" i="23"/>
  <c r="C74" i="23"/>
  <c r="C172" i="23"/>
  <c r="AL16" i="23"/>
  <c r="AL26" i="23" s="1"/>
  <c r="C143" i="23"/>
  <c r="C211" i="23"/>
  <c r="C91" i="23"/>
  <c r="C213" i="23"/>
  <c r="C164" i="23"/>
  <c r="C157" i="23"/>
  <c r="C225" i="23"/>
  <c r="C116" i="23"/>
  <c r="C104" i="23"/>
  <c r="C188" i="23"/>
  <c r="C131" i="23"/>
  <c r="C178" i="23"/>
  <c r="K215" i="23"/>
  <c r="C212" i="23"/>
  <c r="C224" i="23"/>
  <c r="C77" i="23"/>
  <c r="C92" i="23"/>
  <c r="C159" i="23"/>
  <c r="C38" i="23"/>
  <c r="C82" i="23"/>
  <c r="C150" i="23"/>
  <c r="C33" i="23"/>
  <c r="C137" i="23"/>
  <c r="C173" i="23"/>
  <c r="C191" i="23"/>
  <c r="C132" i="23"/>
  <c r="C103" i="23"/>
  <c r="AL21" i="23"/>
  <c r="AL31" i="23" s="1"/>
  <c r="C197" i="23"/>
  <c r="C169" i="23"/>
  <c r="C62" i="23"/>
  <c r="C145" i="23"/>
  <c r="C160" i="23"/>
  <c r="C71" i="23"/>
  <c r="C107" i="23"/>
  <c r="C175" i="23"/>
  <c r="C18" i="23"/>
  <c r="C162" i="23"/>
  <c r="C241" i="23"/>
  <c r="C53" i="23"/>
  <c r="C89" i="23"/>
  <c r="C120" i="23"/>
  <c r="C203" i="23"/>
  <c r="AL17" i="23"/>
  <c r="AL27" i="23" s="1"/>
  <c r="K216" i="23"/>
  <c r="C207" i="23"/>
  <c r="C15" i="23"/>
  <c r="C55" i="23"/>
  <c r="C141" i="23"/>
  <c r="C209" i="23"/>
  <c r="AL20" i="23"/>
  <c r="AL30" i="23" s="1"/>
  <c r="AD46" i="23"/>
  <c r="AL22" i="23"/>
  <c r="AL33" i="23" s="1"/>
  <c r="K220" i="23"/>
  <c r="K221" i="23" s="1"/>
  <c r="K222" i="23" s="1"/>
  <c r="C220" i="23"/>
  <c r="C11" i="23"/>
  <c r="C12" i="23"/>
  <c r="C69" i="23"/>
  <c r="C54" i="23"/>
  <c r="C83" i="23"/>
  <c r="C84" i="23"/>
  <c r="C37" i="23"/>
  <c r="C22" i="23"/>
  <c r="C119" i="23"/>
  <c r="C136" i="23"/>
  <c r="C205" i="23"/>
  <c r="C194" i="23"/>
  <c r="C219" i="23"/>
  <c r="C13" i="23"/>
  <c r="C214" i="23"/>
  <c r="C27" i="23"/>
  <c r="C28" i="23"/>
  <c r="C85" i="23"/>
  <c r="C48" i="23"/>
  <c r="C31" i="23"/>
  <c r="C32" i="23"/>
  <c r="C121" i="23"/>
  <c r="C174" i="23"/>
  <c r="C215" i="23"/>
  <c r="C25" i="23"/>
  <c r="C234" i="23"/>
  <c r="C230" i="23"/>
  <c r="C40" i="23"/>
  <c r="C97" i="23"/>
  <c r="C14" i="23"/>
  <c r="C43" i="23"/>
  <c r="C165" i="23"/>
  <c r="C154" i="23"/>
  <c r="C216" i="23"/>
  <c r="C7" i="23"/>
  <c r="C198" i="23"/>
  <c r="C190" i="23"/>
  <c r="C235" i="23"/>
  <c r="C41" i="23"/>
  <c r="C26" i="23"/>
  <c r="C59" i="23"/>
  <c r="C60" i="23"/>
  <c r="C113" i="23"/>
  <c r="C30" i="23"/>
  <c r="C128" i="23"/>
  <c r="C181" i="23"/>
  <c r="C170" i="23"/>
  <c r="C50" i="23"/>
  <c r="C168" i="23"/>
  <c r="C217" i="23"/>
  <c r="C218" i="23"/>
  <c r="C232" i="23"/>
  <c r="C61" i="23"/>
  <c r="C42" i="23"/>
  <c r="C75" i="23"/>
  <c r="C76" i="23"/>
  <c r="C65" i="23"/>
  <c r="AL23" i="23"/>
  <c r="AL34" i="23" s="1"/>
  <c r="S36" i="23"/>
  <c r="C193" i="23"/>
  <c r="C49" i="23"/>
  <c r="C16" i="23"/>
  <c r="C233" i="23"/>
  <c r="C130" i="23"/>
  <c r="C156" i="23"/>
  <c r="AL19" i="23"/>
  <c r="AL29" i="23" s="1"/>
  <c r="AL18" i="23"/>
  <c r="AL28" i="23" s="1"/>
  <c r="AL24" i="23"/>
  <c r="AL32" i="23" s="1"/>
  <c r="K214" i="23"/>
  <c r="C46" i="23"/>
  <c r="C79" i="23"/>
  <c r="C144" i="23"/>
  <c r="C133" i="23"/>
  <c r="C122" i="23"/>
  <c r="C147" i="23"/>
  <c r="C148" i="23"/>
  <c r="C105" i="23"/>
  <c r="C94" i="23"/>
  <c r="C199" i="23"/>
  <c r="C9" i="23"/>
  <c r="C206" i="23"/>
  <c r="C24" i="23"/>
  <c r="C81" i="23"/>
  <c r="C70" i="23"/>
  <c r="C96" i="23"/>
  <c r="C149" i="23"/>
  <c r="C99" i="23"/>
  <c r="C100" i="23"/>
  <c r="C185" i="23"/>
  <c r="C51" i="23"/>
  <c r="C20" i="23"/>
  <c r="C93" i="23"/>
  <c r="C10" i="23"/>
  <c r="C39" i="23"/>
  <c r="C108" i="23"/>
  <c r="C161" i="23"/>
  <c r="C86" i="23"/>
  <c r="C111" i="23"/>
  <c r="C176" i="23"/>
  <c r="C229" i="23"/>
  <c r="C47" i="23"/>
  <c r="C52" i="23"/>
  <c r="C73" i="23"/>
  <c r="C240" i="23"/>
  <c r="C19" i="23"/>
  <c r="C36" i="23"/>
  <c r="C109" i="23"/>
  <c r="C98" i="23"/>
  <c r="C123" i="23"/>
  <c r="C124" i="23"/>
  <c r="C177" i="23"/>
  <c r="C102" i="23"/>
  <c r="C127" i="23"/>
  <c r="C192" i="23"/>
  <c r="C245" i="23"/>
  <c r="C67" i="23"/>
  <c r="C68" i="23"/>
  <c r="C21" i="23"/>
  <c r="C226" i="23"/>
  <c r="C35" i="23"/>
  <c r="C56" i="23"/>
  <c r="C125" i="23"/>
  <c r="C114" i="23"/>
  <c r="C140" i="23"/>
  <c r="H389" i="23"/>
  <c r="H391" i="23"/>
  <c r="C182" i="23"/>
  <c r="C228" i="23"/>
  <c r="C200" i="23"/>
  <c r="C72" i="23"/>
  <c r="C155" i="23"/>
  <c r="C202" i="23"/>
  <c r="C223" i="23"/>
  <c r="C222" i="23"/>
  <c r="C210" i="23"/>
  <c r="C227" i="23"/>
  <c r="C57" i="23"/>
  <c r="C110" i="23"/>
  <c r="C151" i="23"/>
  <c r="C152" i="23"/>
  <c r="C221" i="23"/>
  <c r="C146" i="23"/>
  <c r="C171" i="23"/>
  <c r="C29" i="23"/>
  <c r="C242" i="23"/>
  <c r="C238" i="23"/>
  <c r="C101" i="23"/>
  <c r="C90" i="23"/>
  <c r="C179" i="23"/>
  <c r="C180" i="23"/>
  <c r="C201" i="23"/>
  <c r="C126" i="23"/>
  <c r="C167" i="23"/>
  <c r="C184" i="23"/>
  <c r="C237" i="23"/>
  <c r="C231" i="23"/>
  <c r="C244" i="23"/>
  <c r="C239" i="23"/>
  <c r="C243" i="23"/>
  <c r="C64" i="23"/>
  <c r="C117" i="23"/>
  <c r="C106" i="23"/>
  <c r="C195" i="23"/>
  <c r="C196" i="23"/>
  <c r="C142" i="23"/>
  <c r="C183" i="23"/>
  <c r="C236" i="23"/>
  <c r="C208" i="23"/>
  <c r="C6" i="23"/>
  <c r="C8" i="23"/>
  <c r="C246" i="23"/>
  <c r="H388" i="23"/>
  <c r="B247" i="23"/>
  <c r="C247" i="23" s="1"/>
  <c r="A248" i="23"/>
  <c r="J20" i="51" l="1"/>
  <c r="J21" i="51" s="1"/>
  <c r="J44" i="51" s="1"/>
  <c r="K44" i="51" s="1"/>
  <c r="EY288" i="40"/>
  <c r="EX289" i="40"/>
  <c r="ES286" i="40"/>
  <c r="ET285" i="40"/>
  <c r="FR287" i="40"/>
  <c r="FS286" i="40"/>
  <c r="EI286" i="40"/>
  <c r="EJ285" i="40"/>
  <c r="EN287" i="40"/>
  <c r="EO286" i="40"/>
  <c r="FI285" i="40"/>
  <c r="FH286" i="40"/>
  <c r="FC284" i="40"/>
  <c r="FD283" i="40"/>
  <c r="ED286" i="40"/>
  <c r="EE285" i="40"/>
  <c r="FN283" i="40"/>
  <c r="FM284" i="40"/>
  <c r="AM98" i="58"/>
  <c r="AM96" i="58"/>
  <c r="AM91" i="58"/>
  <c r="AM88" i="58"/>
  <c r="AM83" i="58"/>
  <c r="AM80" i="58"/>
  <c r="AM79" i="58"/>
  <c r="AM72" i="58"/>
  <c r="AM71" i="58"/>
  <c r="AD97" i="58"/>
  <c r="AD95" i="58"/>
  <c r="AD92" i="58"/>
  <c r="AD87" i="58"/>
  <c r="AD84" i="58"/>
  <c r="AD76" i="58"/>
  <c r="AD75" i="58"/>
  <c r="U98" i="58"/>
  <c r="U96" i="58"/>
  <c r="U89" i="58"/>
  <c r="U87" i="58"/>
  <c r="U82" i="58"/>
  <c r="U80" i="58"/>
  <c r="U79" i="58"/>
  <c r="U70" i="58"/>
  <c r="L97" i="58"/>
  <c r="L93" i="58"/>
  <c r="L89" i="58"/>
  <c r="L87" i="58"/>
  <c r="L85" i="58"/>
  <c r="L83" i="58"/>
  <c r="L81" i="58"/>
  <c r="AM93" i="58"/>
  <c r="AM90" i="58"/>
  <c r="AM85" i="58"/>
  <c r="AM82" i="58"/>
  <c r="AM74" i="58"/>
  <c r="AM73" i="58"/>
  <c r="AM69" i="58"/>
  <c r="AD94" i="58"/>
  <c r="AD89" i="58"/>
  <c r="AD86" i="58"/>
  <c r="AD81" i="58"/>
  <c r="AD78" i="58"/>
  <c r="AD77" i="58"/>
  <c r="AD70" i="58"/>
  <c r="U93" i="58"/>
  <c r="U91" i="58"/>
  <c r="U86" i="58"/>
  <c r="U84" i="58"/>
  <c r="U71" i="58"/>
  <c r="U69" i="58"/>
  <c r="L95" i="58"/>
  <c r="L91" i="58"/>
  <c r="L88" i="58"/>
  <c r="L86" i="58"/>
  <c r="L84" i="58"/>
  <c r="L82" i="58"/>
  <c r="L80" i="58"/>
  <c r="L78" i="58"/>
  <c r="L76" i="58"/>
  <c r="L74" i="58"/>
  <c r="L72" i="58"/>
  <c r="L70" i="58"/>
  <c r="AM97" i="58"/>
  <c r="AM95" i="58"/>
  <c r="AM92" i="58"/>
  <c r="AM87" i="58"/>
  <c r="AM84" i="58"/>
  <c r="AM76" i="58"/>
  <c r="AM75" i="58"/>
  <c r="AD98" i="58"/>
  <c r="AD96" i="58"/>
  <c r="AD91" i="58"/>
  <c r="AD88" i="58"/>
  <c r="AD83" i="58"/>
  <c r="AD80" i="58"/>
  <c r="AD79" i="58"/>
  <c r="AD72" i="58"/>
  <c r="AD71" i="58"/>
  <c r="U97" i="58"/>
  <c r="U95" i="58"/>
  <c r="U90" i="58"/>
  <c r="U88" i="58"/>
  <c r="AM94" i="58"/>
  <c r="AM89" i="58"/>
  <c r="AM86" i="58"/>
  <c r="AM81" i="58"/>
  <c r="AM78" i="58"/>
  <c r="AM77" i="58"/>
  <c r="AM70" i="58"/>
  <c r="AD93" i="58"/>
  <c r="AD90" i="58"/>
  <c r="AD85" i="58"/>
  <c r="AD82" i="58"/>
  <c r="AD74" i="58"/>
  <c r="AD73" i="58"/>
  <c r="AD69" i="58"/>
  <c r="U94" i="58"/>
  <c r="U92" i="58"/>
  <c r="U85" i="58"/>
  <c r="U83" i="58"/>
  <c r="U78" i="58"/>
  <c r="U77" i="58"/>
  <c r="U76" i="58"/>
  <c r="U75" i="58"/>
  <c r="L69" i="58"/>
  <c r="U81" i="58"/>
  <c r="U72" i="58"/>
  <c r="L94" i="58"/>
  <c r="L79" i="58"/>
  <c r="L75" i="58"/>
  <c r="L71" i="58"/>
  <c r="L92" i="58"/>
  <c r="U74" i="58"/>
  <c r="L98" i="58"/>
  <c r="L90" i="58"/>
  <c r="L77" i="58"/>
  <c r="L73" i="58"/>
  <c r="U73" i="58"/>
  <c r="L96" i="58"/>
  <c r="C69" i="58"/>
  <c r="D69" i="58" s="1"/>
  <c r="C70" i="58"/>
  <c r="C80" i="58"/>
  <c r="D80" i="58" s="1"/>
  <c r="E80" i="58" s="1"/>
  <c r="C75" i="58"/>
  <c r="C77" i="58"/>
  <c r="C87" i="58"/>
  <c r="C91" i="58"/>
  <c r="D91" i="58" s="1"/>
  <c r="E91" i="58" s="1"/>
  <c r="C73" i="58"/>
  <c r="C81" i="58"/>
  <c r="C84" i="58"/>
  <c r="C94" i="58"/>
  <c r="D94" i="58" s="1"/>
  <c r="E94" i="58" s="1"/>
  <c r="C72" i="58"/>
  <c r="D72" i="58" s="1"/>
  <c r="C86" i="58"/>
  <c r="C90" i="58"/>
  <c r="C93" i="58"/>
  <c r="D93" i="58" s="1"/>
  <c r="E93" i="58" s="1"/>
  <c r="C98" i="58"/>
  <c r="D98" i="58" s="1"/>
  <c r="C74" i="58"/>
  <c r="C76" i="58"/>
  <c r="C83" i="58"/>
  <c r="D83" i="58" s="1"/>
  <c r="E83" i="58" s="1"/>
  <c r="C92" i="58"/>
  <c r="C79" i="58"/>
  <c r="C85" i="58"/>
  <c r="D85" i="58" s="1"/>
  <c r="E85" i="58" s="1"/>
  <c r="C97" i="58"/>
  <c r="C82" i="58"/>
  <c r="C71" i="58"/>
  <c r="C96" i="58"/>
  <c r="C95" i="58"/>
  <c r="D95" i="58" s="1"/>
  <c r="E95" i="58" s="1"/>
  <c r="C89" i="58"/>
  <c r="C88" i="58"/>
  <c r="C78" i="58"/>
  <c r="T390" i="23"/>
  <c r="B37" i="49" s="1"/>
  <c r="U390" i="23"/>
  <c r="T391" i="23"/>
  <c r="U391" i="23"/>
  <c r="T387" i="23"/>
  <c r="U393" i="23"/>
  <c r="T393" i="23"/>
  <c r="T388" i="23"/>
  <c r="T389" i="23"/>
  <c r="U389" i="23"/>
  <c r="T386" i="23"/>
  <c r="T394" i="23"/>
  <c r="U394" i="23"/>
  <c r="E98" i="58"/>
  <c r="T385" i="23"/>
  <c r="U385" i="23"/>
  <c r="J52" i="51"/>
  <c r="K52" i="51" s="1"/>
  <c r="J65" i="51"/>
  <c r="K65" i="51" s="1"/>
  <c r="J50" i="51"/>
  <c r="K50" i="51" s="1"/>
  <c r="J56" i="51"/>
  <c r="K56" i="51" s="1"/>
  <c r="J63" i="51"/>
  <c r="K63" i="51" s="1"/>
  <c r="J58" i="51"/>
  <c r="K58" i="51" s="1"/>
  <c r="J49" i="51"/>
  <c r="K49" i="51" s="1"/>
  <c r="J61" i="51"/>
  <c r="K61" i="51" s="1"/>
  <c r="J51" i="51"/>
  <c r="K51" i="51" s="1"/>
  <c r="J66" i="51"/>
  <c r="K66" i="51" s="1"/>
  <c r="J59" i="51"/>
  <c r="K59" i="51" s="1"/>
  <c r="J54" i="51"/>
  <c r="K54" i="51" s="1"/>
  <c r="J62" i="51"/>
  <c r="K62" i="51" s="1"/>
  <c r="J53" i="51"/>
  <c r="K53" i="51" s="1"/>
  <c r="J64" i="51"/>
  <c r="K64" i="51" s="1"/>
  <c r="J55" i="51"/>
  <c r="K55" i="51" s="1"/>
  <c r="J60" i="51"/>
  <c r="K60" i="51" s="1"/>
  <c r="J57" i="51"/>
  <c r="K57" i="51" s="1"/>
  <c r="J47" i="51"/>
  <c r="K47" i="51" s="1"/>
  <c r="J48" i="51"/>
  <c r="K48" i="51" s="1"/>
  <c r="BI269" i="40"/>
  <c r="BZ21" i="40"/>
  <c r="BY22" i="40"/>
  <c r="CE21" i="40"/>
  <c r="CD22" i="40"/>
  <c r="CH176" i="40"/>
  <c r="BT11" i="40"/>
  <c r="BU10" i="40"/>
  <c r="CW42" i="40"/>
  <c r="CM191" i="40"/>
  <c r="F31" i="23"/>
  <c r="H31" i="23"/>
  <c r="F33" i="23"/>
  <c r="G33" i="23"/>
  <c r="F32" i="23"/>
  <c r="H33" i="23"/>
  <c r="G32" i="23"/>
  <c r="H32" i="23"/>
  <c r="G31" i="23"/>
  <c r="L37" i="23"/>
  <c r="O37" i="23"/>
  <c r="N37" i="23"/>
  <c r="M37" i="23"/>
  <c r="S47" i="23"/>
  <c r="S43" i="23"/>
  <c r="S39" i="23"/>
  <c r="S44" i="23"/>
  <c r="S38" i="23"/>
  <c r="S42" i="23"/>
  <c r="S46" i="23"/>
  <c r="S41" i="23"/>
  <c r="S45" i="23"/>
  <c r="S40" i="23"/>
  <c r="BN62" i="40"/>
  <c r="BN223" i="40"/>
  <c r="CT25" i="40"/>
  <c r="CS26" i="40"/>
  <c r="AG297" i="1"/>
  <c r="AG293" i="1"/>
  <c r="AG299" i="1"/>
  <c r="AG283" i="1"/>
  <c r="AG268" i="1"/>
  <c r="AG284" i="1"/>
  <c r="AF7" i="42"/>
  <c r="AL156" i="23"/>
  <c r="AM155" i="23"/>
  <c r="K217" i="23"/>
  <c r="T361" i="23" s="1"/>
  <c r="AG7" i="23"/>
  <c r="AD38" i="23"/>
  <c r="AG14" i="23"/>
  <c r="D126" i="1" s="1"/>
  <c r="AD37" i="23"/>
  <c r="U186" i="1" s="1"/>
  <c r="T186" i="1" s="1"/>
  <c r="AG11" i="23"/>
  <c r="K192" i="1" s="1"/>
  <c r="J192" i="1" s="1"/>
  <c r="AG13" i="23"/>
  <c r="D124" i="1" s="1"/>
  <c r="K218" i="23"/>
  <c r="T360" i="23" s="1"/>
  <c r="K219" i="23"/>
  <c r="T362" i="23" s="1"/>
  <c r="A249" i="23"/>
  <c r="B248" i="23"/>
  <c r="C248" i="23" s="1"/>
  <c r="J41" i="51" l="1"/>
  <c r="K41" i="51" s="1"/>
  <c r="J42" i="51"/>
  <c r="K42" i="51" s="1"/>
  <c r="J39" i="51"/>
  <c r="K39" i="51" s="1"/>
  <c r="J46" i="51"/>
  <c r="K46" i="51" s="1"/>
  <c r="J43" i="51"/>
  <c r="K43" i="51" s="1"/>
  <c r="J40" i="51"/>
  <c r="K40" i="51" s="1"/>
  <c r="J45" i="51"/>
  <c r="K45" i="51" s="1"/>
  <c r="J37" i="51"/>
  <c r="K37" i="51" s="1"/>
  <c r="J38" i="51"/>
  <c r="K38" i="51" s="1"/>
  <c r="U386" i="23"/>
  <c r="BC347" i="40"/>
  <c r="BD347" i="40" s="1"/>
  <c r="BC85" i="40"/>
  <c r="BD85" i="40" s="1"/>
  <c r="BC174" i="40"/>
  <c r="BD174" i="40" s="1"/>
  <c r="BC222" i="40"/>
  <c r="BD222" i="40" s="1"/>
  <c r="BC264" i="40"/>
  <c r="BD264" i="40" s="1"/>
  <c r="BC305" i="40"/>
  <c r="BD305" i="40" s="1"/>
  <c r="BC333" i="40"/>
  <c r="BD333" i="40" s="1"/>
  <c r="BC376" i="40"/>
  <c r="BD376" i="40" s="1"/>
  <c r="BC12" i="40"/>
  <c r="BD12" i="40" s="1"/>
  <c r="BC138" i="40"/>
  <c r="BD138" i="40" s="1"/>
  <c r="BC195" i="40"/>
  <c r="BD195" i="40" s="1"/>
  <c r="BC13" i="40"/>
  <c r="BD13" i="40" s="1"/>
  <c r="BC86" i="40"/>
  <c r="BD86" i="40" s="1"/>
  <c r="BC206" i="40"/>
  <c r="BC267" i="40"/>
  <c r="BD267" i="40" s="1"/>
  <c r="BC402" i="40"/>
  <c r="BD402" i="40" s="1"/>
  <c r="BC18" i="40"/>
  <c r="BD18" i="40" s="1"/>
  <c r="BC127" i="40"/>
  <c r="BD127" i="40" s="1"/>
  <c r="BC172" i="40"/>
  <c r="BC339" i="40"/>
  <c r="BD339" i="40" s="1"/>
  <c r="BC58" i="40"/>
  <c r="BC155" i="40"/>
  <c r="BD155" i="40" s="1"/>
  <c r="BC214" i="40"/>
  <c r="BD214" i="40" s="1"/>
  <c r="BC253" i="40"/>
  <c r="BD253" i="40" s="1"/>
  <c r="BC299" i="40"/>
  <c r="BD299" i="40" s="1"/>
  <c r="BC325" i="40"/>
  <c r="BD325" i="40" s="1"/>
  <c r="BC378" i="40"/>
  <c r="BD378" i="40" s="1"/>
  <c r="BC406" i="40"/>
  <c r="BD406" i="40" s="1"/>
  <c r="BC126" i="40"/>
  <c r="BD126" i="40" s="1"/>
  <c r="BC193" i="40"/>
  <c r="BD193" i="40" s="1"/>
  <c r="BC7" i="40"/>
  <c r="BC79" i="40"/>
  <c r="BC200" i="40"/>
  <c r="BD200" i="40" s="1"/>
  <c r="BC262" i="40"/>
  <c r="BD262" i="40" s="1"/>
  <c r="BC398" i="40"/>
  <c r="BD398" i="40" s="1"/>
  <c r="BC8" i="40"/>
  <c r="BC122" i="40"/>
  <c r="BD122" i="40" s="1"/>
  <c r="BC170" i="40"/>
  <c r="BD170" i="40" s="1"/>
  <c r="BC216" i="40"/>
  <c r="BD216" i="40" s="1"/>
  <c r="BC395" i="40"/>
  <c r="BD395" i="40" s="1"/>
  <c r="BC298" i="40"/>
  <c r="BD298" i="40" s="1"/>
  <c r="BC370" i="40"/>
  <c r="BD370" i="40" s="1"/>
  <c r="BC65" i="40"/>
  <c r="BD65" i="40" s="1"/>
  <c r="BC21" i="40"/>
  <c r="BD21" i="40" s="1"/>
  <c r="BC66" i="40"/>
  <c r="BD66" i="40" s="1"/>
  <c r="BC124" i="40"/>
  <c r="BD124" i="40" s="1"/>
  <c r="BC175" i="40"/>
  <c r="BD175" i="40" s="1"/>
  <c r="BC236" i="40"/>
  <c r="BD236" i="40" s="1"/>
  <c r="BC286" i="40"/>
  <c r="BD286" i="40" s="1"/>
  <c r="BC332" i="40"/>
  <c r="BD332" i="40" s="1"/>
  <c r="BC241" i="40"/>
  <c r="BD241" i="40" s="1"/>
  <c r="BC320" i="40"/>
  <c r="BD320" i="40" s="1"/>
  <c r="BC393" i="40"/>
  <c r="BD393" i="40" s="1"/>
  <c r="BC245" i="40"/>
  <c r="BD245" i="40" s="1"/>
  <c r="BC323" i="40"/>
  <c r="BC396" i="40"/>
  <c r="BD396" i="40" s="1"/>
  <c r="BC83" i="40"/>
  <c r="BD83" i="40" s="1"/>
  <c r="BC25" i="40"/>
  <c r="BD25" i="40" s="1"/>
  <c r="BC68" i="40"/>
  <c r="BD68" i="40" s="1"/>
  <c r="BC128" i="40"/>
  <c r="BD128" i="40" s="1"/>
  <c r="BC180" i="40"/>
  <c r="BD180" i="40" s="1"/>
  <c r="BC238" i="40"/>
  <c r="BD238" i="40" s="1"/>
  <c r="BC290" i="40"/>
  <c r="BD290" i="40" s="1"/>
  <c r="BC338" i="40"/>
  <c r="BD338" i="40" s="1"/>
  <c r="BC251" i="40"/>
  <c r="BD251" i="40" s="1"/>
  <c r="BC334" i="40"/>
  <c r="BD334" i="40" s="1"/>
  <c r="BC37" i="40"/>
  <c r="BD37" i="40" s="1"/>
  <c r="BC98" i="40"/>
  <c r="BC196" i="40"/>
  <c r="BD196" i="40" s="1"/>
  <c r="BC312" i="40"/>
  <c r="BC270" i="40"/>
  <c r="BD270" i="40" s="1"/>
  <c r="BC296" i="40"/>
  <c r="BD296" i="40" s="1"/>
  <c r="BC235" i="40"/>
  <c r="BD235" i="40" s="1"/>
  <c r="BC111" i="40"/>
  <c r="BD111" i="40" s="1"/>
  <c r="BC368" i="40"/>
  <c r="BC62" i="40"/>
  <c r="BD62" i="40" s="1"/>
  <c r="BC113" i="40"/>
  <c r="BD113" i="40" s="1"/>
  <c r="BC189" i="40"/>
  <c r="BD189" i="40" s="1"/>
  <c r="BC232" i="40"/>
  <c r="BD232" i="40" s="1"/>
  <c r="BC272" i="40"/>
  <c r="BD272" i="40" s="1"/>
  <c r="BC311" i="40"/>
  <c r="BD311" i="40" s="1"/>
  <c r="BC344" i="40"/>
  <c r="BD344" i="40" s="1"/>
  <c r="BC382" i="40"/>
  <c r="BD382" i="40" s="1"/>
  <c r="BC50" i="40"/>
  <c r="BD50" i="40" s="1"/>
  <c r="BC150" i="40"/>
  <c r="BD150" i="40" s="1"/>
  <c r="BC208" i="40"/>
  <c r="BC23" i="40"/>
  <c r="BD23" i="40" s="1"/>
  <c r="BC114" i="40"/>
  <c r="BD114" i="40" s="1"/>
  <c r="BC226" i="40"/>
  <c r="BD226" i="40" s="1"/>
  <c r="BC288" i="40"/>
  <c r="BD288" i="40" s="1"/>
  <c r="BC407" i="40"/>
  <c r="BD407" i="40" s="1"/>
  <c r="BC36" i="40"/>
  <c r="BD36" i="40" s="1"/>
  <c r="BC143" i="40"/>
  <c r="BD143" i="40" s="1"/>
  <c r="BC182" i="40"/>
  <c r="BD182" i="40" s="1"/>
  <c r="BC387" i="40"/>
  <c r="BD387" i="40" s="1"/>
  <c r="BC99" i="40"/>
  <c r="BD99" i="40" s="1"/>
  <c r="BC184" i="40"/>
  <c r="BD184" i="40" s="1"/>
  <c r="BC227" i="40"/>
  <c r="BD227" i="40" s="1"/>
  <c r="BC266" i="40"/>
  <c r="BD266" i="40" s="1"/>
  <c r="BC308" i="40"/>
  <c r="BC336" i="40"/>
  <c r="BD336" i="40" s="1"/>
  <c r="BC385" i="40"/>
  <c r="BD385" i="40" s="1"/>
  <c r="BC41" i="40"/>
  <c r="BD41" i="40" s="1"/>
  <c r="BC142" i="40"/>
  <c r="BD142" i="40" s="1"/>
  <c r="BC203" i="40"/>
  <c r="BC17" i="40"/>
  <c r="BD17" i="40" s="1"/>
  <c r="BC107" i="40"/>
  <c r="BD107" i="40" s="1"/>
  <c r="BC228" i="40"/>
  <c r="BD228" i="40" s="1"/>
  <c r="BC279" i="40"/>
  <c r="BD279" i="40" s="1"/>
  <c r="BC405" i="40"/>
  <c r="BD405" i="40" s="1"/>
  <c r="BC31" i="40"/>
  <c r="BD31" i="40" s="1"/>
  <c r="BC135" i="40"/>
  <c r="BD135" i="40" s="1"/>
  <c r="BC179" i="40"/>
  <c r="BD179" i="40" s="1"/>
  <c r="BC220" i="40"/>
  <c r="BD220" i="40" s="1"/>
  <c r="BC217" i="40"/>
  <c r="BD217" i="40" s="1"/>
  <c r="BC327" i="40"/>
  <c r="BD327" i="40" s="1"/>
  <c r="BC403" i="40"/>
  <c r="BD403" i="40" s="1"/>
  <c r="BC95" i="40"/>
  <c r="BD95" i="40" s="1"/>
  <c r="BC44" i="40"/>
  <c r="BD44" i="40" s="1"/>
  <c r="BC71" i="40"/>
  <c r="BC144" i="40"/>
  <c r="BD144" i="40" s="1"/>
  <c r="BC183" i="40"/>
  <c r="BD183" i="40" s="1"/>
  <c r="BC246" i="40"/>
  <c r="BD246" i="40" s="1"/>
  <c r="BC295" i="40"/>
  <c r="BD295" i="40" s="1"/>
  <c r="BC346" i="40"/>
  <c r="BD346" i="40" s="1"/>
  <c r="BC268" i="40"/>
  <c r="BD268" i="40" s="1"/>
  <c r="BC331" i="40"/>
  <c r="BD331" i="40" s="1"/>
  <c r="BC10" i="40"/>
  <c r="BD10" i="40" s="1"/>
  <c r="BC276" i="40"/>
  <c r="BD276" i="40" s="1"/>
  <c r="BC348" i="40"/>
  <c r="BD348" i="40" s="1"/>
  <c r="BC55" i="40"/>
  <c r="BD55" i="40" s="1"/>
  <c r="BC108" i="40"/>
  <c r="BD108" i="40" s="1"/>
  <c r="BC49" i="40"/>
  <c r="BD49" i="40" s="1"/>
  <c r="BC84" i="40"/>
  <c r="BD84" i="40" s="1"/>
  <c r="BC149" i="40"/>
  <c r="BD149" i="40" s="1"/>
  <c r="BC192" i="40"/>
  <c r="BD192" i="40" s="1"/>
  <c r="BC250" i="40"/>
  <c r="BD250" i="40" s="1"/>
  <c r="BC303" i="40"/>
  <c r="BD303" i="40" s="1"/>
  <c r="BC350" i="40"/>
  <c r="BD350" i="40" s="1"/>
  <c r="BC277" i="40"/>
  <c r="BD277" i="40" s="1"/>
  <c r="BC349" i="40"/>
  <c r="BD349" i="40" s="1"/>
  <c r="BC67" i="40"/>
  <c r="BD67" i="40" s="1"/>
  <c r="BC254" i="40"/>
  <c r="BD254" i="40" s="1"/>
  <c r="BC77" i="40"/>
  <c r="BD77" i="40" s="1"/>
  <c r="BC273" i="40"/>
  <c r="BD273" i="40" s="1"/>
  <c r="BC161" i="40"/>
  <c r="BD161" i="40" s="1"/>
  <c r="BC242" i="40"/>
  <c r="BD242" i="40" s="1"/>
  <c r="BC78" i="40"/>
  <c r="BD78" i="40" s="1"/>
  <c r="BC54" i="40"/>
  <c r="BD54" i="40" s="1"/>
  <c r="BC306" i="40"/>
  <c r="BD306" i="40" s="1"/>
  <c r="BC115" i="40"/>
  <c r="BD115" i="40" s="1"/>
  <c r="BC258" i="40"/>
  <c r="BD258" i="40" s="1"/>
  <c r="BC329" i="40"/>
  <c r="BD329" i="40" s="1"/>
  <c r="BC89" i="40"/>
  <c r="BD89" i="40" s="1"/>
  <c r="BC153" i="40"/>
  <c r="BD153" i="40" s="1"/>
  <c r="BC300" i="40"/>
  <c r="BD300" i="40" s="1"/>
  <c r="BC47" i="40"/>
  <c r="BD47" i="40" s="1"/>
  <c r="BC43" i="40"/>
  <c r="BD43" i="40" s="1"/>
  <c r="BC355" i="40"/>
  <c r="BC22" i="40"/>
  <c r="BD22" i="40" s="1"/>
  <c r="BC132" i="40"/>
  <c r="BD132" i="40" s="1"/>
  <c r="BC199" i="40"/>
  <c r="BD199" i="40" s="1"/>
  <c r="BC243" i="40"/>
  <c r="BD243" i="40" s="1"/>
  <c r="BC284" i="40"/>
  <c r="BD284" i="40" s="1"/>
  <c r="BC319" i="40"/>
  <c r="BD319" i="40" s="1"/>
  <c r="BC356" i="40"/>
  <c r="BD356" i="40" s="1"/>
  <c r="BC399" i="40"/>
  <c r="BD399" i="40" s="1"/>
  <c r="BC72" i="40"/>
  <c r="BD72" i="40" s="1"/>
  <c r="BC176" i="40"/>
  <c r="BD176" i="40" s="1"/>
  <c r="BC215" i="40"/>
  <c r="BD215" i="40" s="1"/>
  <c r="BC30" i="40"/>
  <c r="BD30" i="40" s="1"/>
  <c r="BC121" i="40"/>
  <c r="BD121" i="40" s="1"/>
  <c r="BC234" i="40"/>
  <c r="BD234" i="40" s="1"/>
  <c r="BC330" i="40"/>
  <c r="BD330" i="40" s="1"/>
  <c r="BC42" i="40"/>
  <c r="BD42" i="40" s="1"/>
  <c r="BC88" i="40"/>
  <c r="BD88" i="40" s="1"/>
  <c r="BC152" i="40"/>
  <c r="BC197" i="40"/>
  <c r="BD197" i="40" s="1"/>
  <c r="BC391" i="40"/>
  <c r="BD391" i="40" s="1"/>
  <c r="BC120" i="40"/>
  <c r="BC191" i="40"/>
  <c r="BD191" i="40" s="1"/>
  <c r="BC239" i="40"/>
  <c r="BD239" i="40" s="1"/>
  <c r="BC282" i="40"/>
  <c r="BD282" i="40" s="1"/>
  <c r="BC316" i="40"/>
  <c r="BD316" i="40" s="1"/>
  <c r="BC351" i="40"/>
  <c r="BD351" i="40" s="1"/>
  <c r="BC389" i="40"/>
  <c r="BD389" i="40" s="1"/>
  <c r="BC60" i="40"/>
  <c r="BD60" i="40" s="1"/>
  <c r="BC159" i="40"/>
  <c r="BD159" i="40" s="1"/>
  <c r="BC219" i="40"/>
  <c r="BD219" i="40" s="1"/>
  <c r="BC27" i="40"/>
  <c r="BD27" i="40" s="1"/>
  <c r="BC116" i="40"/>
  <c r="BD116" i="40" s="1"/>
  <c r="BC230" i="40"/>
  <c r="BD230" i="40" s="1"/>
  <c r="BC313" i="40"/>
  <c r="BD313" i="40" s="1"/>
  <c r="BC26" i="40"/>
  <c r="BD26" i="40" s="1"/>
  <c r="BC76" i="40"/>
  <c r="BD76" i="40" s="1"/>
  <c r="BC147" i="40"/>
  <c r="BD147" i="40" s="1"/>
  <c r="BC188" i="40"/>
  <c r="BC343" i="40"/>
  <c r="BD343" i="40" s="1"/>
  <c r="BC259" i="40"/>
  <c r="BD259" i="40" s="1"/>
  <c r="BC337" i="40"/>
  <c r="BD337" i="40" s="1"/>
  <c r="BC45" i="40"/>
  <c r="BD45" i="40" s="1"/>
  <c r="BC119" i="40"/>
  <c r="BD119" i="40" s="1"/>
  <c r="BC51" i="40"/>
  <c r="BD51" i="40" s="1"/>
  <c r="BC92" i="40"/>
  <c r="BD92" i="40" s="1"/>
  <c r="BC154" i="40"/>
  <c r="BD154" i="40" s="1"/>
  <c r="BC202" i="40"/>
  <c r="BD202" i="40" s="1"/>
  <c r="BC252" i="40"/>
  <c r="BD252" i="40" s="1"/>
  <c r="BC307" i="40"/>
  <c r="BD307" i="40" s="1"/>
  <c r="BC353" i="40"/>
  <c r="BD353" i="40" s="1"/>
  <c r="BC293" i="40"/>
  <c r="BD293" i="40" s="1"/>
  <c r="BC352" i="40"/>
  <c r="BD352" i="40" s="1"/>
  <c r="BC14" i="40"/>
  <c r="BD14" i="40" s="1"/>
  <c r="BC297" i="40"/>
  <c r="BD297" i="40" s="1"/>
  <c r="BC357" i="40"/>
  <c r="BD357" i="40" s="1"/>
  <c r="BC24" i="40"/>
  <c r="BD24" i="40" s="1"/>
  <c r="BC9" i="40"/>
  <c r="BD9" i="40" s="1"/>
  <c r="BC53" i="40"/>
  <c r="BD53" i="40" s="1"/>
  <c r="BC94" i="40"/>
  <c r="BD94" i="40" s="1"/>
  <c r="BC158" i="40"/>
  <c r="BD158" i="40" s="1"/>
  <c r="BC210" i="40"/>
  <c r="BD210" i="40" s="1"/>
  <c r="BC265" i="40"/>
  <c r="BD265" i="40" s="1"/>
  <c r="BC310" i="40"/>
  <c r="BD310" i="40" s="1"/>
  <c r="BC358" i="40"/>
  <c r="BD358" i="40" s="1"/>
  <c r="BC294" i="40"/>
  <c r="BD294" i="40" s="1"/>
  <c r="BC365" i="40"/>
  <c r="BD365" i="40" s="1"/>
  <c r="BC342" i="40"/>
  <c r="BD342" i="40" s="1"/>
  <c r="BC97" i="40"/>
  <c r="BC82" i="40"/>
  <c r="BD82" i="40" s="1"/>
  <c r="BC4" i="40"/>
  <c r="BD4" i="40" s="1"/>
  <c r="BC87" i="40"/>
  <c r="BC169" i="40"/>
  <c r="BD169" i="40" s="1"/>
  <c r="BC255" i="40"/>
  <c r="BD255" i="40" s="1"/>
  <c r="BC384" i="40"/>
  <c r="BD384" i="40" s="1"/>
  <c r="BC283" i="40"/>
  <c r="BD283" i="40" s="1"/>
  <c r="BC35" i="40"/>
  <c r="BD35" i="40" s="1"/>
  <c r="BC29" i="40"/>
  <c r="BC392" i="40"/>
  <c r="BD392" i="40" s="1"/>
  <c r="BC390" i="40"/>
  <c r="BD390" i="40" s="1"/>
  <c r="BC110" i="40"/>
  <c r="BD110" i="40" s="1"/>
  <c r="BC162" i="40"/>
  <c r="BC5" i="40"/>
  <c r="BC156" i="40"/>
  <c r="BD156" i="40" s="1"/>
  <c r="BC375" i="40"/>
  <c r="BD375" i="40" s="1"/>
  <c r="BC261" i="40"/>
  <c r="BD261" i="40" s="1"/>
  <c r="BC105" i="40"/>
  <c r="BD105" i="40" s="1"/>
  <c r="BC46" i="40"/>
  <c r="BD46" i="40" s="1"/>
  <c r="BC145" i="40"/>
  <c r="BD145" i="40" s="1"/>
  <c r="BC212" i="40"/>
  <c r="BD212" i="40" s="1"/>
  <c r="BC249" i="40"/>
  <c r="BD249" i="40" s="1"/>
  <c r="BC291" i="40"/>
  <c r="BD291" i="40" s="1"/>
  <c r="BC326" i="40"/>
  <c r="BD326" i="40" s="1"/>
  <c r="BC364" i="40"/>
  <c r="BD364" i="40" s="1"/>
  <c r="BC404" i="40"/>
  <c r="BD404" i="40" s="1"/>
  <c r="BC106" i="40"/>
  <c r="BD106" i="40" s="1"/>
  <c r="BC186" i="40"/>
  <c r="BD186" i="40" s="1"/>
  <c r="BC237" i="40"/>
  <c r="BD237" i="40" s="1"/>
  <c r="BC75" i="40"/>
  <c r="BD75" i="40" s="1"/>
  <c r="BC187" i="40"/>
  <c r="BD187" i="40" s="1"/>
  <c r="BC244" i="40"/>
  <c r="BD244" i="40" s="1"/>
  <c r="BC388" i="40"/>
  <c r="BD388" i="40" s="1"/>
  <c r="BC63" i="40"/>
  <c r="BD63" i="40" s="1"/>
  <c r="BC117" i="40"/>
  <c r="BD117" i="40" s="1"/>
  <c r="BC167" i="40"/>
  <c r="BD167" i="40" s="1"/>
  <c r="BC207" i="40"/>
  <c r="BD207" i="40" s="1"/>
  <c r="BC38" i="40"/>
  <c r="BD38" i="40" s="1"/>
  <c r="BC140" i="40"/>
  <c r="BD140" i="40" s="1"/>
  <c r="BC204" i="40"/>
  <c r="BD204" i="40" s="1"/>
  <c r="BC247" i="40"/>
  <c r="BD247" i="40" s="1"/>
  <c r="BC287" i="40"/>
  <c r="BD287" i="40" s="1"/>
  <c r="BC322" i="40"/>
  <c r="BD322" i="40" s="1"/>
  <c r="BC372" i="40"/>
  <c r="BD372" i="40" s="1"/>
  <c r="BC401" i="40"/>
  <c r="BD401" i="40" s="1"/>
  <c r="BC91" i="40"/>
  <c r="BC181" i="40"/>
  <c r="BD181" i="40" s="1"/>
  <c r="BC224" i="40"/>
  <c r="BD224" i="40" s="1"/>
  <c r="BC33" i="40"/>
  <c r="BD33" i="40" s="1"/>
  <c r="BC134" i="40"/>
  <c r="BD134" i="40" s="1"/>
  <c r="BC240" i="40"/>
  <c r="BD240" i="40" s="1"/>
  <c r="BC383" i="40"/>
  <c r="BD383" i="40" s="1"/>
  <c r="BC52" i="40"/>
  <c r="BD52" i="40" s="1"/>
  <c r="BC101" i="40"/>
  <c r="BD101" i="40" s="1"/>
  <c r="BC164" i="40"/>
  <c r="BD164" i="40" s="1"/>
  <c r="BC201" i="40"/>
  <c r="BD201" i="40" s="1"/>
  <c r="BC359" i="40"/>
  <c r="BD359" i="40" s="1"/>
  <c r="BC285" i="40"/>
  <c r="BD285" i="40" s="1"/>
  <c r="BC361" i="40"/>
  <c r="BD361" i="40" s="1"/>
  <c r="BC34" i="40"/>
  <c r="BD34" i="40" s="1"/>
  <c r="BC15" i="40"/>
  <c r="BD15" i="40" s="1"/>
  <c r="BC57" i="40"/>
  <c r="BD57" i="40" s="1"/>
  <c r="BC102" i="40"/>
  <c r="BD102" i="40" s="1"/>
  <c r="BC168" i="40"/>
  <c r="BD168" i="40" s="1"/>
  <c r="BC218" i="40"/>
  <c r="BD218" i="40" s="1"/>
  <c r="BC274" i="40"/>
  <c r="BD274" i="40" s="1"/>
  <c r="BC315" i="40"/>
  <c r="BD315" i="40" s="1"/>
  <c r="BC400" i="40"/>
  <c r="BD400" i="40" s="1"/>
  <c r="BC309" i="40"/>
  <c r="BD309" i="40" s="1"/>
  <c r="BC362" i="40"/>
  <c r="BD362" i="40" s="1"/>
  <c r="BC363" i="40"/>
  <c r="BD363" i="40" s="1"/>
  <c r="BC314" i="40"/>
  <c r="BD314" i="40" s="1"/>
  <c r="BC374" i="40"/>
  <c r="BD374" i="40" s="1"/>
  <c r="BC39" i="40"/>
  <c r="BD39" i="40" s="1"/>
  <c r="BC19" i="40"/>
  <c r="BD19" i="40" s="1"/>
  <c r="BC59" i="40"/>
  <c r="BD59" i="40" s="1"/>
  <c r="BC112" i="40"/>
  <c r="BD112" i="40" s="1"/>
  <c r="BC173" i="40"/>
  <c r="BD173" i="40" s="1"/>
  <c r="BC221" i="40"/>
  <c r="BD221" i="40" s="1"/>
  <c r="BC281" i="40"/>
  <c r="BD281" i="40" s="1"/>
  <c r="BC324" i="40"/>
  <c r="BD324" i="40" s="1"/>
  <c r="BC369" i="40"/>
  <c r="BD369" i="40" s="1"/>
  <c r="BC318" i="40"/>
  <c r="BD318" i="40" s="1"/>
  <c r="BC386" i="40"/>
  <c r="BD386" i="40" s="1"/>
  <c r="BC269" i="40"/>
  <c r="BC341" i="40"/>
  <c r="BD341" i="40" s="1"/>
  <c r="BC381" i="40"/>
  <c r="BD381" i="40" s="1"/>
  <c r="BC130" i="40"/>
  <c r="BD130" i="40" s="1"/>
  <c r="BC340" i="40"/>
  <c r="BD340" i="40" s="1"/>
  <c r="BC148" i="40"/>
  <c r="BC229" i="40"/>
  <c r="BD229" i="40" s="1"/>
  <c r="BC366" i="40"/>
  <c r="BC136" i="40"/>
  <c r="BD136" i="40" s="1"/>
  <c r="BC377" i="40"/>
  <c r="BD377" i="40" s="1"/>
  <c r="BC81" i="40"/>
  <c r="BD81" i="40" s="1"/>
  <c r="BC223" i="40"/>
  <c r="BD223" i="40" s="1"/>
  <c r="BC233" i="40"/>
  <c r="BD233" i="40" s="1"/>
  <c r="BC177" i="40"/>
  <c r="BD177" i="40" s="1"/>
  <c r="BC211" i="40"/>
  <c r="BC373" i="40"/>
  <c r="BD373" i="40" s="1"/>
  <c r="BC160" i="40"/>
  <c r="BD160" i="40" s="1"/>
  <c r="BC397" i="40"/>
  <c r="BD397" i="40" s="1"/>
  <c r="BC32" i="40"/>
  <c r="BD32" i="40" s="1"/>
  <c r="BC292" i="40"/>
  <c r="BD292" i="40" s="1"/>
  <c r="BC74" i="40"/>
  <c r="BD74" i="40" s="1"/>
  <c r="BC163" i="40"/>
  <c r="BC302" i="40"/>
  <c r="BD302" i="40" s="1"/>
  <c r="BC171" i="40"/>
  <c r="BD171" i="40" s="1"/>
  <c r="BC90" i="40"/>
  <c r="BC109" i="40"/>
  <c r="BD109" i="40" s="1"/>
  <c r="BC100" i="40"/>
  <c r="BD100" i="40" s="1"/>
  <c r="BC64" i="40"/>
  <c r="BD64" i="40" s="1"/>
  <c r="BC248" i="40"/>
  <c r="BC80" i="40"/>
  <c r="BD80" i="40" s="1"/>
  <c r="BC198" i="40"/>
  <c r="BD198" i="40" s="1"/>
  <c r="BC56" i="40"/>
  <c r="BD56" i="40" s="1"/>
  <c r="BC129" i="40"/>
  <c r="BD129" i="40" s="1"/>
  <c r="BC225" i="40"/>
  <c r="BD225" i="40" s="1"/>
  <c r="BC141" i="40"/>
  <c r="BD141" i="40" s="1"/>
  <c r="BC321" i="40"/>
  <c r="BD321" i="40" s="1"/>
  <c r="BC345" i="40"/>
  <c r="BD345" i="40" s="1"/>
  <c r="BC328" i="40"/>
  <c r="BD328" i="40" s="1"/>
  <c r="BC260" i="40"/>
  <c r="BD260" i="40" s="1"/>
  <c r="BC335" i="40"/>
  <c r="BD335" i="40" s="1"/>
  <c r="BC280" i="40"/>
  <c r="BD280" i="40" s="1"/>
  <c r="BC275" i="40"/>
  <c r="BD275" i="40" s="1"/>
  <c r="BC16" i="40"/>
  <c r="BD16" i="40" s="1"/>
  <c r="BC48" i="40"/>
  <c r="BD48" i="40" s="1"/>
  <c r="BC104" i="40"/>
  <c r="BD104" i="40" s="1"/>
  <c r="BC185" i="40"/>
  <c r="BD185" i="40" s="1"/>
  <c r="BC360" i="40"/>
  <c r="BD360" i="40" s="1"/>
  <c r="BC73" i="40"/>
  <c r="BD73" i="40" s="1"/>
  <c r="BC70" i="40"/>
  <c r="BD70" i="40" s="1"/>
  <c r="BC371" i="40"/>
  <c r="BD371" i="40" s="1"/>
  <c r="BC166" i="40"/>
  <c r="BD166" i="40" s="1"/>
  <c r="BC380" i="40"/>
  <c r="BD380" i="40" s="1"/>
  <c r="BC131" i="40"/>
  <c r="BD131" i="40" s="1"/>
  <c r="BC103" i="40"/>
  <c r="BD103" i="40" s="1"/>
  <c r="BC3" i="40"/>
  <c r="BD3" i="40" s="1"/>
  <c r="BC213" i="40"/>
  <c r="BD213" i="40" s="1"/>
  <c r="BC20" i="40"/>
  <c r="BD20" i="40" s="1"/>
  <c r="BC278" i="40"/>
  <c r="BD278" i="40" s="1"/>
  <c r="BC209" i="40"/>
  <c r="BD209" i="40" s="1"/>
  <c r="BC256" i="40"/>
  <c r="BC118" i="40"/>
  <c r="BD118" i="40" s="1"/>
  <c r="BC263" i="40"/>
  <c r="BD263" i="40" s="1"/>
  <c r="BC69" i="40"/>
  <c r="BD69" i="40" s="1"/>
  <c r="BC190" i="40"/>
  <c r="BD190" i="40" s="1"/>
  <c r="BC304" i="40"/>
  <c r="BD304" i="40" s="1"/>
  <c r="BC354" i="40"/>
  <c r="BC28" i="40"/>
  <c r="BD28" i="40" s="1"/>
  <c r="BC133" i="40"/>
  <c r="BD133" i="40" s="1"/>
  <c r="BC194" i="40"/>
  <c r="BD194" i="40" s="1"/>
  <c r="BC11" i="40"/>
  <c r="BD11" i="40" s="1"/>
  <c r="BC165" i="40"/>
  <c r="BD165" i="40" s="1"/>
  <c r="BC379" i="40"/>
  <c r="BC271" i="40"/>
  <c r="BC394" i="40"/>
  <c r="BD394" i="40" s="1"/>
  <c r="BC367" i="40"/>
  <c r="BD367" i="40" s="1"/>
  <c r="BC257" i="40"/>
  <c r="BD257" i="40" s="1"/>
  <c r="BC146" i="40"/>
  <c r="BD146" i="40" s="1"/>
  <c r="BC61" i="40"/>
  <c r="BD61" i="40" s="1"/>
  <c r="BC137" i="40"/>
  <c r="BD137" i="40" s="1"/>
  <c r="BC123" i="40"/>
  <c r="BD123" i="40" s="1"/>
  <c r="BC40" i="40"/>
  <c r="BD40" i="40" s="1"/>
  <c r="BC125" i="40"/>
  <c r="BD125" i="40" s="1"/>
  <c r="BC205" i="40"/>
  <c r="BD205" i="40" s="1"/>
  <c r="BC289" i="40"/>
  <c r="BD289" i="40" s="1"/>
  <c r="BC96" i="40"/>
  <c r="BD96" i="40" s="1"/>
  <c r="BC317" i="40"/>
  <c r="BD317" i="40" s="1"/>
  <c r="BC178" i="40"/>
  <c r="BD178" i="40" s="1"/>
  <c r="BC231" i="40"/>
  <c r="BD231" i="40" s="1"/>
  <c r="BC93" i="40"/>
  <c r="BD93" i="40" s="1"/>
  <c r="BC301" i="40"/>
  <c r="BC6" i="40"/>
  <c r="BD6" i="40" s="1"/>
  <c r="BC151" i="40"/>
  <c r="BD151" i="40" s="1"/>
  <c r="BC157" i="40"/>
  <c r="BD157" i="40" s="1"/>
  <c r="BC139" i="40"/>
  <c r="BD139" i="40" s="1"/>
  <c r="BE98" i="70"/>
  <c r="U98" i="70"/>
  <c r="BN97" i="70"/>
  <c r="AD97" i="70"/>
  <c r="BW96" i="70"/>
  <c r="AM96" i="70"/>
  <c r="C96" i="70"/>
  <c r="AV95" i="70"/>
  <c r="L95" i="70"/>
  <c r="BE94" i="70"/>
  <c r="U94" i="70"/>
  <c r="BN93" i="70"/>
  <c r="AD93" i="70"/>
  <c r="BW92" i="70"/>
  <c r="AM92" i="70"/>
  <c r="C92" i="70"/>
  <c r="AV91" i="70"/>
  <c r="L91" i="70"/>
  <c r="BE90" i="70"/>
  <c r="U90" i="70"/>
  <c r="BN89" i="70"/>
  <c r="AD89" i="70"/>
  <c r="BW88" i="70"/>
  <c r="AM88" i="70"/>
  <c r="C88" i="70"/>
  <c r="AV87" i="70"/>
  <c r="L87" i="70"/>
  <c r="BE86" i="70"/>
  <c r="U86" i="70"/>
  <c r="BN85" i="70"/>
  <c r="AD85" i="70"/>
  <c r="BW84" i="70"/>
  <c r="AM84" i="70"/>
  <c r="C84" i="70"/>
  <c r="AV83" i="70"/>
  <c r="L83" i="70"/>
  <c r="BE82" i="70"/>
  <c r="U82" i="70"/>
  <c r="BN81" i="70"/>
  <c r="AD81" i="70"/>
  <c r="BW80" i="70"/>
  <c r="AM80" i="70"/>
  <c r="C80" i="70"/>
  <c r="AV79" i="70"/>
  <c r="L79" i="70"/>
  <c r="BE78" i="70"/>
  <c r="U78" i="70"/>
  <c r="BN77" i="70"/>
  <c r="AD77" i="70"/>
  <c r="BW76" i="70"/>
  <c r="AM76" i="70"/>
  <c r="C76" i="70"/>
  <c r="AV75" i="70"/>
  <c r="L75" i="70"/>
  <c r="BE74" i="70"/>
  <c r="U74" i="70"/>
  <c r="BN73" i="70"/>
  <c r="AD73" i="70"/>
  <c r="BW72" i="70"/>
  <c r="AM72" i="70"/>
  <c r="C72" i="70"/>
  <c r="AV71" i="70"/>
  <c r="L71" i="70"/>
  <c r="BE70" i="70"/>
  <c r="U70" i="70"/>
  <c r="BE69" i="70"/>
  <c r="AD69" i="70"/>
  <c r="L69" i="70"/>
  <c r="AV98" i="70"/>
  <c r="L98" i="70"/>
  <c r="BE97" i="70"/>
  <c r="U97" i="70"/>
  <c r="BN96" i="70"/>
  <c r="AD96" i="70"/>
  <c r="BW95" i="70"/>
  <c r="AM95" i="70"/>
  <c r="C95" i="70"/>
  <c r="AV94" i="70"/>
  <c r="L94" i="70"/>
  <c r="BE93" i="70"/>
  <c r="U93" i="70"/>
  <c r="BN92" i="70"/>
  <c r="AD92" i="70"/>
  <c r="BW91" i="70"/>
  <c r="AM91" i="70"/>
  <c r="C91" i="70"/>
  <c r="AV90" i="70"/>
  <c r="L90" i="70"/>
  <c r="BE89" i="70"/>
  <c r="U89" i="70"/>
  <c r="BN88" i="70"/>
  <c r="AD88" i="70"/>
  <c r="BW87" i="70"/>
  <c r="AM87" i="70"/>
  <c r="C87" i="70"/>
  <c r="AV86" i="70"/>
  <c r="L86" i="70"/>
  <c r="BE85" i="70"/>
  <c r="U85" i="70"/>
  <c r="BN84" i="70"/>
  <c r="AD84" i="70"/>
  <c r="BW83" i="70"/>
  <c r="AM83" i="70"/>
  <c r="C83" i="70"/>
  <c r="AV82" i="70"/>
  <c r="L82" i="70"/>
  <c r="BE81" i="70"/>
  <c r="U81" i="70"/>
  <c r="BN80" i="70"/>
  <c r="AD80" i="70"/>
  <c r="BW79" i="70"/>
  <c r="AM79" i="70"/>
  <c r="C79" i="70"/>
  <c r="AV78" i="70"/>
  <c r="L78" i="70"/>
  <c r="BE77" i="70"/>
  <c r="U77" i="70"/>
  <c r="BN76" i="70"/>
  <c r="AD76" i="70"/>
  <c r="BW75" i="70"/>
  <c r="AM75" i="70"/>
  <c r="C75" i="70"/>
  <c r="AV74" i="70"/>
  <c r="L74" i="70"/>
  <c r="BE73" i="70"/>
  <c r="U73" i="70"/>
  <c r="BN72" i="70"/>
  <c r="AD72" i="70"/>
  <c r="BW71" i="70"/>
  <c r="AM71" i="70"/>
  <c r="C71" i="70"/>
  <c r="AV70" i="70"/>
  <c r="L70" i="70"/>
  <c r="BN69" i="70"/>
  <c r="AV69" i="70"/>
  <c r="C69" i="70"/>
  <c r="BW98" i="70"/>
  <c r="AM98" i="70"/>
  <c r="C98" i="70"/>
  <c r="AV97" i="70"/>
  <c r="L97" i="70"/>
  <c r="BE96" i="70"/>
  <c r="U96" i="70"/>
  <c r="BN95" i="70"/>
  <c r="AD95" i="70"/>
  <c r="BW94" i="70"/>
  <c r="AM94" i="70"/>
  <c r="C94" i="70"/>
  <c r="AV93" i="70"/>
  <c r="L93" i="70"/>
  <c r="BE92" i="70"/>
  <c r="U92" i="70"/>
  <c r="BN91" i="70"/>
  <c r="AD91" i="70"/>
  <c r="BW90" i="70"/>
  <c r="AM90" i="70"/>
  <c r="C90" i="70"/>
  <c r="AV89" i="70"/>
  <c r="L89" i="70"/>
  <c r="BE88" i="70"/>
  <c r="U88" i="70"/>
  <c r="BN87" i="70"/>
  <c r="AD87" i="70"/>
  <c r="BW86" i="70"/>
  <c r="AM86" i="70"/>
  <c r="C86" i="70"/>
  <c r="AV85" i="70"/>
  <c r="L85" i="70"/>
  <c r="BE84" i="70"/>
  <c r="U84" i="70"/>
  <c r="BN83" i="70"/>
  <c r="AD83" i="70"/>
  <c r="BW82" i="70"/>
  <c r="AM82" i="70"/>
  <c r="C82" i="70"/>
  <c r="AV81" i="70"/>
  <c r="L81" i="70"/>
  <c r="BE80" i="70"/>
  <c r="U80" i="70"/>
  <c r="BN79" i="70"/>
  <c r="AD79" i="70"/>
  <c r="BW78" i="70"/>
  <c r="AM78" i="70"/>
  <c r="C78" i="70"/>
  <c r="AV77" i="70"/>
  <c r="L77" i="70"/>
  <c r="BE76" i="70"/>
  <c r="U76" i="70"/>
  <c r="BN75" i="70"/>
  <c r="AD75" i="70"/>
  <c r="BW74" i="70"/>
  <c r="AM74" i="70"/>
  <c r="C74" i="70"/>
  <c r="AV73" i="70"/>
  <c r="L73" i="70"/>
  <c r="BE72" i="70"/>
  <c r="U72" i="70"/>
  <c r="BN71" i="70"/>
  <c r="AD71" i="70"/>
  <c r="BW70" i="70"/>
  <c r="AM70" i="70"/>
  <c r="C70" i="70"/>
  <c r="AM69" i="70"/>
  <c r="BN98" i="70"/>
  <c r="AD98" i="70"/>
  <c r="BW97" i="70"/>
  <c r="AM97" i="70"/>
  <c r="C97" i="70"/>
  <c r="AV96" i="70"/>
  <c r="L96" i="70"/>
  <c r="BE95" i="70"/>
  <c r="U95" i="70"/>
  <c r="BN94" i="70"/>
  <c r="AD94" i="70"/>
  <c r="BW93" i="70"/>
  <c r="AM93" i="70"/>
  <c r="C93" i="70"/>
  <c r="AV92" i="70"/>
  <c r="L92" i="70"/>
  <c r="BE91" i="70"/>
  <c r="U91" i="70"/>
  <c r="BN90" i="70"/>
  <c r="AD90" i="70"/>
  <c r="BW89" i="70"/>
  <c r="AM89" i="70"/>
  <c r="C89" i="70"/>
  <c r="AV88" i="70"/>
  <c r="L88" i="70"/>
  <c r="BE87" i="70"/>
  <c r="U87" i="70"/>
  <c r="BN86" i="70"/>
  <c r="AD86" i="70"/>
  <c r="BW85" i="70"/>
  <c r="AM85" i="70"/>
  <c r="C85" i="70"/>
  <c r="AV84" i="70"/>
  <c r="L84" i="70"/>
  <c r="BE83" i="70"/>
  <c r="U83" i="70"/>
  <c r="BN82" i="70"/>
  <c r="AD82" i="70"/>
  <c r="BW81" i="70"/>
  <c r="AM81" i="70"/>
  <c r="C81" i="70"/>
  <c r="AV80" i="70"/>
  <c r="L80" i="70"/>
  <c r="BE79" i="70"/>
  <c r="U79" i="70"/>
  <c r="BN78" i="70"/>
  <c r="AD78" i="70"/>
  <c r="BW77" i="70"/>
  <c r="AM77" i="70"/>
  <c r="C77" i="70"/>
  <c r="AV76" i="70"/>
  <c r="L76" i="70"/>
  <c r="BE75" i="70"/>
  <c r="U75" i="70"/>
  <c r="BN74" i="70"/>
  <c r="AD74" i="70"/>
  <c r="BW73" i="70"/>
  <c r="AM73" i="70"/>
  <c r="C73" i="70"/>
  <c r="AV72" i="70"/>
  <c r="L72" i="70"/>
  <c r="BE71" i="70"/>
  <c r="U71" i="70"/>
  <c r="BN70" i="70"/>
  <c r="AD70" i="70"/>
  <c r="BW69" i="70"/>
  <c r="U69" i="70"/>
  <c r="FI286" i="40"/>
  <c r="FH287" i="40"/>
  <c r="EE286" i="40"/>
  <c r="ED287" i="40"/>
  <c r="EJ286" i="40"/>
  <c r="EI287" i="40"/>
  <c r="ES287" i="40"/>
  <c r="ET286" i="40"/>
  <c r="FM285" i="40"/>
  <c r="FN284" i="40"/>
  <c r="EY289" i="40"/>
  <c r="EX290" i="40"/>
  <c r="FD284" i="40"/>
  <c r="FC285" i="40"/>
  <c r="EO287" i="40"/>
  <c r="EN288" i="40"/>
  <c r="FR288" i="40"/>
  <c r="FS287" i="40"/>
  <c r="D70" i="58"/>
  <c r="BW74" i="62"/>
  <c r="BW98" i="62"/>
  <c r="BW90" i="62"/>
  <c r="BW69" i="62"/>
  <c r="BW82" i="62"/>
  <c r="BW97" i="62"/>
  <c r="BW95" i="62"/>
  <c r="BW92" i="62"/>
  <c r="BW89" i="62"/>
  <c r="BW87" i="62"/>
  <c r="BW84" i="62"/>
  <c r="BW81" i="62"/>
  <c r="BW79" i="62"/>
  <c r="BW76" i="62"/>
  <c r="BW73" i="62"/>
  <c r="BW71" i="62"/>
  <c r="BW94" i="62"/>
  <c r="BW86" i="62"/>
  <c r="BW78" i="62"/>
  <c r="BW70" i="62"/>
  <c r="BW96" i="62"/>
  <c r="BW93" i="62"/>
  <c r="BW91" i="62"/>
  <c r="BW88" i="62"/>
  <c r="BW85" i="62"/>
  <c r="BW83" i="62"/>
  <c r="BW80" i="62"/>
  <c r="BW77" i="62"/>
  <c r="BW75" i="62"/>
  <c r="BW72" i="62"/>
  <c r="BN97" i="62"/>
  <c r="BN95" i="62"/>
  <c r="BN92" i="62"/>
  <c r="BN87" i="62"/>
  <c r="BN84" i="62"/>
  <c r="BN79" i="62"/>
  <c r="BN76" i="62"/>
  <c r="BN71" i="62"/>
  <c r="BE98" i="62"/>
  <c r="BE96" i="62"/>
  <c r="BE89" i="62"/>
  <c r="BE87" i="62"/>
  <c r="BE82" i="62"/>
  <c r="BE80" i="62"/>
  <c r="BE73" i="62"/>
  <c r="BE71" i="62"/>
  <c r="AV98" i="62"/>
  <c r="AV96" i="62"/>
  <c r="AV89" i="62"/>
  <c r="AV87" i="62"/>
  <c r="AV82" i="62"/>
  <c r="AV80" i="62"/>
  <c r="AV73" i="62"/>
  <c r="AV71" i="62"/>
  <c r="AM98" i="62"/>
  <c r="AM96" i="62"/>
  <c r="AM89" i="62"/>
  <c r="AM87" i="62"/>
  <c r="AM82" i="62"/>
  <c r="AM80" i="62"/>
  <c r="AM73" i="62"/>
  <c r="AM71" i="62"/>
  <c r="AD98" i="62"/>
  <c r="AD96" i="62"/>
  <c r="AD89" i="62"/>
  <c r="AD87" i="62"/>
  <c r="AD82" i="62"/>
  <c r="AD80" i="62"/>
  <c r="AD73" i="62"/>
  <c r="AD71" i="62"/>
  <c r="U94" i="62"/>
  <c r="U92" i="62"/>
  <c r="U87" i="62"/>
  <c r="U85" i="62"/>
  <c r="U78" i="62"/>
  <c r="U76" i="62"/>
  <c r="U71" i="62"/>
  <c r="L98" i="62"/>
  <c r="L93" i="62"/>
  <c r="L90" i="62"/>
  <c r="L85" i="62"/>
  <c r="L82" i="62"/>
  <c r="L77" i="62"/>
  <c r="L74" i="62"/>
  <c r="L69" i="62"/>
  <c r="BN94" i="62"/>
  <c r="BN89" i="62"/>
  <c r="BN86" i="62"/>
  <c r="BN81" i="62"/>
  <c r="BN78" i="62"/>
  <c r="BN73" i="62"/>
  <c r="BN70" i="62"/>
  <c r="BE93" i="62"/>
  <c r="BE91" i="62"/>
  <c r="BE86" i="62"/>
  <c r="BE84" i="62"/>
  <c r="BE77" i="62"/>
  <c r="BE75" i="62"/>
  <c r="BE70" i="62"/>
  <c r="AV93" i="62"/>
  <c r="AV91" i="62"/>
  <c r="AV86" i="62"/>
  <c r="AV84" i="62"/>
  <c r="AV77" i="62"/>
  <c r="AV75" i="62"/>
  <c r="AV70" i="62"/>
  <c r="AM93" i="62"/>
  <c r="AM91" i="62"/>
  <c r="AM86" i="62"/>
  <c r="AM84" i="62"/>
  <c r="AM77" i="62"/>
  <c r="AM75" i="62"/>
  <c r="AM70" i="62"/>
  <c r="AD93" i="62"/>
  <c r="AD91" i="62"/>
  <c r="AD86" i="62"/>
  <c r="AD84" i="62"/>
  <c r="AD77" i="62"/>
  <c r="AD75" i="62"/>
  <c r="AD70" i="62"/>
  <c r="U98" i="62"/>
  <c r="U96" i="62"/>
  <c r="U91" i="62"/>
  <c r="U89" i="62"/>
  <c r="U82" i="62"/>
  <c r="U80" i="62"/>
  <c r="U75" i="62"/>
  <c r="U73" i="62"/>
  <c r="L95" i="62"/>
  <c r="L92" i="62"/>
  <c r="L87" i="62"/>
  <c r="L84" i="62"/>
  <c r="L79" i="62"/>
  <c r="L76" i="62"/>
  <c r="L71" i="62"/>
  <c r="BN98" i="62"/>
  <c r="BN96" i="62"/>
  <c r="BN91" i="62"/>
  <c r="BN88" i="62"/>
  <c r="BN83" i="62"/>
  <c r="BN80" i="62"/>
  <c r="BN75" i="62"/>
  <c r="BN72" i="62"/>
  <c r="BE97" i="62"/>
  <c r="BE95" i="62"/>
  <c r="BE90" i="62"/>
  <c r="BE88" i="62"/>
  <c r="BE81" i="62"/>
  <c r="BE79" i="62"/>
  <c r="BE74" i="62"/>
  <c r="BE72" i="62"/>
  <c r="AV97" i="62"/>
  <c r="AV95" i="62"/>
  <c r="AV90" i="62"/>
  <c r="AV88" i="62"/>
  <c r="AV81" i="62"/>
  <c r="AV79" i="62"/>
  <c r="AV74" i="62"/>
  <c r="AV72" i="62"/>
  <c r="AM97" i="62"/>
  <c r="AM95" i="62"/>
  <c r="AM90" i="62"/>
  <c r="AM88" i="62"/>
  <c r="AM81" i="62"/>
  <c r="AM79" i="62"/>
  <c r="AM74" i="62"/>
  <c r="AM72" i="62"/>
  <c r="AD97" i="62"/>
  <c r="AD95" i="62"/>
  <c r="AD90" i="62"/>
  <c r="AD88" i="62"/>
  <c r="AD81" i="62"/>
  <c r="AD79" i="62"/>
  <c r="AD74" i="62"/>
  <c r="AD72" i="62"/>
  <c r="U95" i="62"/>
  <c r="U93" i="62"/>
  <c r="U86" i="62"/>
  <c r="U84" i="62"/>
  <c r="U79" i="62"/>
  <c r="U77" i="62"/>
  <c r="U70" i="62"/>
  <c r="L97" i="62"/>
  <c r="L94" i="62"/>
  <c r="L89" i="62"/>
  <c r="L86" i="62"/>
  <c r="L81" i="62"/>
  <c r="L78" i="62"/>
  <c r="L73" i="62"/>
  <c r="L70" i="62"/>
  <c r="BN93" i="62"/>
  <c r="BN90" i="62"/>
  <c r="BN85" i="62"/>
  <c r="BN82" i="62"/>
  <c r="BN77" i="62"/>
  <c r="BN74" i="62"/>
  <c r="BN69" i="62"/>
  <c r="BE94" i="62"/>
  <c r="BE92" i="62"/>
  <c r="BE85" i="62"/>
  <c r="BE83" i="62"/>
  <c r="BE78" i="62"/>
  <c r="BE76" i="62"/>
  <c r="BE69" i="62"/>
  <c r="AV94" i="62"/>
  <c r="AV92" i="62"/>
  <c r="AV85" i="62"/>
  <c r="AV83" i="62"/>
  <c r="AV78" i="62"/>
  <c r="AV76" i="62"/>
  <c r="AV69" i="62"/>
  <c r="AM94" i="62"/>
  <c r="AM92" i="62"/>
  <c r="AM85" i="62"/>
  <c r="AM83" i="62"/>
  <c r="AM78" i="62"/>
  <c r="AM76" i="62"/>
  <c r="AM69" i="62"/>
  <c r="AD94" i="62"/>
  <c r="AD92" i="62"/>
  <c r="AD85" i="62"/>
  <c r="AD83" i="62"/>
  <c r="AD78" i="62"/>
  <c r="AD76" i="62"/>
  <c r="AD69" i="62"/>
  <c r="U97" i="62"/>
  <c r="U90" i="62"/>
  <c r="U88" i="62"/>
  <c r="U83" i="62"/>
  <c r="U81" i="62"/>
  <c r="U74" i="62"/>
  <c r="U72" i="62"/>
  <c r="U69" i="62"/>
  <c r="L96" i="62"/>
  <c r="L91" i="62"/>
  <c r="L88" i="62"/>
  <c r="L83" i="62"/>
  <c r="L80" i="62"/>
  <c r="L75" i="62"/>
  <c r="L72" i="62"/>
  <c r="BN71" i="59"/>
  <c r="BE97" i="59"/>
  <c r="BE93" i="59"/>
  <c r="BE89" i="59"/>
  <c r="BE85" i="59"/>
  <c r="BE81" i="59"/>
  <c r="BE77" i="59"/>
  <c r="BE73" i="59"/>
  <c r="BE69" i="59"/>
  <c r="AV98" i="59"/>
  <c r="AV97" i="59"/>
  <c r="AV96" i="59"/>
  <c r="AV95" i="59"/>
  <c r="AV94" i="59"/>
  <c r="AV93" i="59"/>
  <c r="AV92" i="59"/>
  <c r="AV91" i="59"/>
  <c r="AV90" i="59"/>
  <c r="BW98" i="59"/>
  <c r="BW97" i="59"/>
  <c r="BW96" i="59"/>
  <c r="BW95" i="59"/>
  <c r="BW94" i="59"/>
  <c r="BW93" i="59"/>
  <c r="BW92" i="59"/>
  <c r="BW91" i="59"/>
  <c r="BW90" i="59"/>
  <c r="BW89" i="59"/>
  <c r="BW88" i="59"/>
  <c r="BW87" i="59"/>
  <c r="BW86" i="59"/>
  <c r="BW85" i="59"/>
  <c r="BW84" i="59"/>
  <c r="BW83" i="59"/>
  <c r="BW82" i="59"/>
  <c r="BW81" i="59"/>
  <c r="BW80" i="59"/>
  <c r="BW79" i="59"/>
  <c r="BW78" i="59"/>
  <c r="BW77" i="59"/>
  <c r="BW76" i="59"/>
  <c r="BW75" i="59"/>
  <c r="BW74" i="59"/>
  <c r="BW73" i="59"/>
  <c r="BW72" i="59"/>
  <c r="BW71" i="59"/>
  <c r="BW70" i="59"/>
  <c r="BW69" i="59"/>
  <c r="BN98" i="59"/>
  <c r="BN97" i="59"/>
  <c r="BN96" i="59"/>
  <c r="BN95" i="59"/>
  <c r="BN94" i="59"/>
  <c r="BN93" i="59"/>
  <c r="BN92" i="59"/>
  <c r="BN91" i="59"/>
  <c r="BN90" i="59"/>
  <c r="BN89" i="59"/>
  <c r="BN88" i="59"/>
  <c r="BN87" i="59"/>
  <c r="BN86" i="59"/>
  <c r="BN85" i="59"/>
  <c r="BN84" i="59"/>
  <c r="BN83" i="59"/>
  <c r="BN82" i="59"/>
  <c r="BN81" i="59"/>
  <c r="BN80" i="59"/>
  <c r="BN79" i="59"/>
  <c r="BN78" i="59"/>
  <c r="BN77" i="59"/>
  <c r="BN76" i="59"/>
  <c r="BN75" i="59"/>
  <c r="BN74" i="59"/>
  <c r="BN73" i="59"/>
  <c r="BN69" i="59"/>
  <c r="BE95" i="59"/>
  <c r="BE91" i="59"/>
  <c r="BE87" i="59"/>
  <c r="BE83" i="59"/>
  <c r="BE79" i="59"/>
  <c r="BE75" i="59"/>
  <c r="BE71" i="59"/>
  <c r="BN72" i="59"/>
  <c r="BE92" i="59"/>
  <c r="BE84" i="59"/>
  <c r="BE76" i="59"/>
  <c r="AV89" i="59"/>
  <c r="AV85" i="59"/>
  <c r="AV84" i="59"/>
  <c r="AV83" i="59"/>
  <c r="AV82" i="59"/>
  <c r="AV81" i="59"/>
  <c r="AV80" i="59"/>
  <c r="AV79" i="59"/>
  <c r="AV78" i="59"/>
  <c r="AV77" i="59"/>
  <c r="AV76" i="59"/>
  <c r="AV75" i="59"/>
  <c r="AV74" i="59"/>
  <c r="AV73" i="59"/>
  <c r="AV72" i="59"/>
  <c r="AV71" i="59"/>
  <c r="AV70" i="59"/>
  <c r="AV69" i="59"/>
  <c r="AM98" i="59"/>
  <c r="AM97" i="59"/>
  <c r="AM96" i="59"/>
  <c r="AM95" i="59"/>
  <c r="AM94" i="59"/>
  <c r="AM93" i="59"/>
  <c r="AM92" i="59"/>
  <c r="AM91" i="59"/>
  <c r="AM90" i="59"/>
  <c r="AM89" i="59"/>
  <c r="AM88" i="59"/>
  <c r="AM87" i="59"/>
  <c r="AM86" i="59"/>
  <c r="AM85" i="59"/>
  <c r="AM84" i="59"/>
  <c r="AM83" i="59"/>
  <c r="AM82" i="59"/>
  <c r="AM81" i="59"/>
  <c r="AM80" i="59"/>
  <c r="AM79" i="59"/>
  <c r="AM78" i="59"/>
  <c r="AM77" i="59"/>
  <c r="AM76" i="59"/>
  <c r="AM75" i="59"/>
  <c r="AM74" i="59"/>
  <c r="AM73" i="59"/>
  <c r="AM72" i="59"/>
  <c r="AM71" i="59"/>
  <c r="AM70" i="59"/>
  <c r="U75" i="59"/>
  <c r="U71" i="59"/>
  <c r="L85" i="59"/>
  <c r="L83" i="59"/>
  <c r="L81" i="59"/>
  <c r="L78" i="59"/>
  <c r="L76" i="59"/>
  <c r="L74" i="59"/>
  <c r="L72" i="59"/>
  <c r="L70" i="59"/>
  <c r="AD71" i="59"/>
  <c r="L82" i="59"/>
  <c r="L75" i="59"/>
  <c r="BE98" i="59"/>
  <c r="BE90" i="59"/>
  <c r="BE82" i="59"/>
  <c r="BE74" i="59"/>
  <c r="AV86" i="59"/>
  <c r="AD70" i="59"/>
  <c r="AD69" i="59"/>
  <c r="U98" i="59"/>
  <c r="U97" i="59"/>
  <c r="U96" i="59"/>
  <c r="U95" i="59"/>
  <c r="U94" i="59"/>
  <c r="U93" i="59"/>
  <c r="U92" i="59"/>
  <c r="U91" i="59"/>
  <c r="U90" i="59"/>
  <c r="U89" i="59"/>
  <c r="U88" i="59"/>
  <c r="U87" i="59"/>
  <c r="U86" i="59"/>
  <c r="U85" i="59"/>
  <c r="U84" i="59"/>
  <c r="U83" i="59"/>
  <c r="U82" i="59"/>
  <c r="U81" i="59"/>
  <c r="U80" i="59"/>
  <c r="U79" i="59"/>
  <c r="U78" i="59"/>
  <c r="U77" i="59"/>
  <c r="U76" i="59"/>
  <c r="U72" i="59"/>
  <c r="L86" i="59"/>
  <c r="L80" i="59"/>
  <c r="L77" i="59"/>
  <c r="L69" i="59"/>
  <c r="BE96" i="59"/>
  <c r="BE88" i="59"/>
  <c r="BE80" i="59"/>
  <c r="BE72" i="59"/>
  <c r="AV87" i="59"/>
  <c r="L84" i="59"/>
  <c r="L71" i="59"/>
  <c r="BN70" i="59"/>
  <c r="BE94" i="59"/>
  <c r="BE86" i="59"/>
  <c r="BE78" i="59"/>
  <c r="BE70" i="59"/>
  <c r="AV88" i="59"/>
  <c r="AM69" i="59"/>
  <c r="AD98" i="59"/>
  <c r="AD97" i="59"/>
  <c r="AD96" i="59"/>
  <c r="AD95" i="59"/>
  <c r="AD94" i="59"/>
  <c r="AD93" i="59"/>
  <c r="AD92" i="59"/>
  <c r="AD91" i="59"/>
  <c r="AD90" i="59"/>
  <c r="AD89" i="59"/>
  <c r="AD88" i="59"/>
  <c r="AD87" i="59"/>
  <c r="AD86" i="59"/>
  <c r="AD85" i="59"/>
  <c r="AD84" i="59"/>
  <c r="AD83" i="59"/>
  <c r="AD82" i="59"/>
  <c r="AD81" i="59"/>
  <c r="AD80" i="59"/>
  <c r="AD79" i="59"/>
  <c r="AD78" i="59"/>
  <c r="AD77" i="59"/>
  <c r="AD76" i="59"/>
  <c r="AD75" i="59"/>
  <c r="AD74" i="59"/>
  <c r="AD73" i="59"/>
  <c r="AD72" i="59"/>
  <c r="U74" i="59"/>
  <c r="U70" i="59"/>
  <c r="U69" i="59"/>
  <c r="L98" i="59"/>
  <c r="L97" i="59"/>
  <c r="L96" i="59"/>
  <c r="L95" i="59"/>
  <c r="L94" i="59"/>
  <c r="L93" i="59"/>
  <c r="L92" i="59"/>
  <c r="L91" i="59"/>
  <c r="L90" i="59"/>
  <c r="L89" i="59"/>
  <c r="L88" i="59"/>
  <c r="L79" i="59"/>
  <c r="U73" i="59"/>
  <c r="L87" i="59"/>
  <c r="L73" i="59"/>
  <c r="D97" i="58"/>
  <c r="E97" i="58" s="1"/>
  <c r="P96" i="58"/>
  <c r="M96" i="58"/>
  <c r="N96" i="58" s="1"/>
  <c r="O96" i="58"/>
  <c r="O90" i="58"/>
  <c r="M90" i="58"/>
  <c r="N90" i="58" s="1"/>
  <c r="P90" i="58"/>
  <c r="P71" i="58"/>
  <c r="M71" i="58"/>
  <c r="N71" i="58" s="1"/>
  <c r="O71" i="58"/>
  <c r="Y72" i="58"/>
  <c r="X72" i="58"/>
  <c r="V72" i="58"/>
  <c r="W72" i="58" s="1"/>
  <c r="Y76" i="58"/>
  <c r="X76" i="58"/>
  <c r="V76" i="58"/>
  <c r="W76" i="58" s="1"/>
  <c r="Y85" i="58"/>
  <c r="X85" i="58"/>
  <c r="V85" i="58"/>
  <c r="W85" i="58" s="1"/>
  <c r="AH73" i="58"/>
  <c r="AG73" i="58"/>
  <c r="AE73" i="58"/>
  <c r="AF73" i="58" s="1"/>
  <c r="AH90" i="58"/>
  <c r="AG90" i="58"/>
  <c r="AE90" i="58"/>
  <c r="AF90" i="58" s="1"/>
  <c r="AQ78" i="58"/>
  <c r="AP78" i="58"/>
  <c r="AN78" i="58"/>
  <c r="AO78" i="58" s="1"/>
  <c r="AQ94" i="58"/>
  <c r="AP94" i="58"/>
  <c r="AN94" i="58"/>
  <c r="AO94" i="58" s="1"/>
  <c r="Y97" i="58"/>
  <c r="X97" i="58"/>
  <c r="V97" i="58"/>
  <c r="W97" i="58" s="1"/>
  <c r="AG80" i="58"/>
  <c r="AE80" i="58"/>
  <c r="AF80" i="58" s="1"/>
  <c r="AH80" i="58"/>
  <c r="AH96" i="58"/>
  <c r="AG96" i="58"/>
  <c r="AE96" i="58"/>
  <c r="AF96" i="58" s="1"/>
  <c r="AP84" i="58"/>
  <c r="AN84" i="58"/>
  <c r="AO84" i="58" s="1"/>
  <c r="AQ84" i="58"/>
  <c r="AQ97" i="58"/>
  <c r="AP97" i="58"/>
  <c r="AN97" i="58"/>
  <c r="AO97" i="58" s="1"/>
  <c r="M76" i="58"/>
  <c r="N76" i="58" s="1"/>
  <c r="P76" i="58"/>
  <c r="O76" i="58"/>
  <c r="M84" i="58"/>
  <c r="N84" i="58" s="1"/>
  <c r="P84" i="58"/>
  <c r="O84" i="58"/>
  <c r="P95" i="58"/>
  <c r="M95" i="58"/>
  <c r="N95" i="58" s="1"/>
  <c r="O95" i="58"/>
  <c r="Y86" i="58"/>
  <c r="X86" i="58"/>
  <c r="V86" i="58"/>
  <c r="W86" i="58" s="1"/>
  <c r="AH77" i="58"/>
  <c r="AG77" i="58"/>
  <c r="AE77" i="58"/>
  <c r="AF77" i="58" s="1"/>
  <c r="AH89" i="58"/>
  <c r="AG89" i="58"/>
  <c r="AE89" i="58"/>
  <c r="AF89" i="58" s="1"/>
  <c r="AQ74" i="58"/>
  <c r="AP74" i="58"/>
  <c r="AN74" i="58"/>
  <c r="AO74" i="58" s="1"/>
  <c r="AQ93" i="58"/>
  <c r="AP93" i="58"/>
  <c r="AN93" i="58"/>
  <c r="AO93" i="58" s="1"/>
  <c r="P87" i="58"/>
  <c r="M87" i="58"/>
  <c r="N87" i="58" s="1"/>
  <c r="O87" i="58"/>
  <c r="Y70" i="58"/>
  <c r="X70" i="58"/>
  <c r="Y87" i="58"/>
  <c r="X87" i="58"/>
  <c r="V87" i="58"/>
  <c r="W87" i="58" s="1"/>
  <c r="AH75" i="58"/>
  <c r="AG75" i="58"/>
  <c r="AE75" i="58"/>
  <c r="AF75" i="58" s="1"/>
  <c r="AG92" i="58"/>
  <c r="AE92" i="58"/>
  <c r="AF92" i="58" s="1"/>
  <c r="AH92" i="58"/>
  <c r="AP72" i="58"/>
  <c r="AN72" i="58"/>
  <c r="AO72" i="58" s="1"/>
  <c r="AQ72" i="58"/>
  <c r="AP88" i="58"/>
  <c r="AN88" i="58"/>
  <c r="AO88" i="58" s="1"/>
  <c r="AQ88" i="58"/>
  <c r="CF98" i="63"/>
  <c r="CF96" i="63"/>
  <c r="CF85" i="63"/>
  <c r="CF83" i="63"/>
  <c r="CF78" i="63"/>
  <c r="CF76" i="63"/>
  <c r="CF69" i="63"/>
  <c r="BW97" i="63"/>
  <c r="BW95" i="63"/>
  <c r="BW86" i="63"/>
  <c r="BW84" i="63"/>
  <c r="BW77" i="63"/>
  <c r="BW75" i="63"/>
  <c r="BW70" i="63"/>
  <c r="BN89" i="63"/>
  <c r="BN87" i="63"/>
  <c r="BN82" i="63"/>
  <c r="BN80" i="63"/>
  <c r="BN73" i="63"/>
  <c r="BN71" i="63"/>
  <c r="BE98" i="63"/>
  <c r="BE93" i="63"/>
  <c r="BE90" i="63"/>
  <c r="BE85" i="63"/>
  <c r="BE82" i="63"/>
  <c r="BE77" i="63"/>
  <c r="BE74" i="63"/>
  <c r="BE69" i="63"/>
  <c r="AV96" i="63"/>
  <c r="AV91" i="63"/>
  <c r="AV88" i="63"/>
  <c r="AV83" i="63"/>
  <c r="AV80" i="63"/>
  <c r="CF93" i="63"/>
  <c r="CF91" i="63"/>
  <c r="CF89" i="63"/>
  <c r="CF87" i="63"/>
  <c r="CF82" i="63"/>
  <c r="CF80" i="63"/>
  <c r="CF73" i="63"/>
  <c r="CF71" i="63"/>
  <c r="BW94" i="63"/>
  <c r="BW92" i="63"/>
  <c r="BW90" i="63"/>
  <c r="BW88" i="63"/>
  <c r="BW81" i="63"/>
  <c r="BW79" i="63"/>
  <c r="BW74" i="63"/>
  <c r="BW72" i="63"/>
  <c r="BN97" i="63"/>
  <c r="BN95" i="63"/>
  <c r="BN93" i="63"/>
  <c r="BN91" i="63"/>
  <c r="BN86" i="63"/>
  <c r="BN84" i="63"/>
  <c r="BN77" i="63"/>
  <c r="BN75" i="63"/>
  <c r="BN70" i="63"/>
  <c r="BE95" i="63"/>
  <c r="BE92" i="63"/>
  <c r="BE87" i="63"/>
  <c r="BE84" i="63"/>
  <c r="BE79" i="63"/>
  <c r="BE76" i="63"/>
  <c r="BE71" i="63"/>
  <c r="AV98" i="63"/>
  <c r="AV93" i="63"/>
  <c r="AV90" i="63"/>
  <c r="AV85" i="63"/>
  <c r="AV82" i="63"/>
  <c r="AV77" i="63"/>
  <c r="AV74" i="63"/>
  <c r="AV69" i="63"/>
  <c r="AM91" i="63"/>
  <c r="CF97" i="63"/>
  <c r="CF95" i="63"/>
  <c r="CF86" i="63"/>
  <c r="CF84" i="63"/>
  <c r="CF77" i="63"/>
  <c r="CF75" i="63"/>
  <c r="CF70" i="63"/>
  <c r="BW98" i="63"/>
  <c r="BW96" i="63"/>
  <c r="BW85" i="63"/>
  <c r="BW83" i="63"/>
  <c r="BW78" i="63"/>
  <c r="BW76" i="63"/>
  <c r="BW69" i="63"/>
  <c r="BN90" i="63"/>
  <c r="BN88" i="63"/>
  <c r="BN81" i="63"/>
  <c r="BN79" i="63"/>
  <c r="BN74" i="63"/>
  <c r="BN72" i="63"/>
  <c r="BE97" i="63"/>
  <c r="BE94" i="63"/>
  <c r="BE89" i="63"/>
  <c r="BE86" i="63"/>
  <c r="BE81" i="63"/>
  <c r="BE78" i="63"/>
  <c r="BE73" i="63"/>
  <c r="BE70" i="63"/>
  <c r="AV95" i="63"/>
  <c r="AV92" i="63"/>
  <c r="AV87" i="63"/>
  <c r="AV84" i="63"/>
  <c r="AV79" i="63"/>
  <c r="CF94" i="63"/>
  <c r="CF92" i="63"/>
  <c r="CF90" i="63"/>
  <c r="CF88" i="63"/>
  <c r="CF81" i="63"/>
  <c r="CF79" i="63"/>
  <c r="CF74" i="63"/>
  <c r="CF72" i="63"/>
  <c r="BW93" i="63"/>
  <c r="BW91" i="63"/>
  <c r="BW89" i="63"/>
  <c r="BW87" i="63"/>
  <c r="BW82" i="63"/>
  <c r="BW80" i="63"/>
  <c r="BW73" i="63"/>
  <c r="BW71" i="63"/>
  <c r="BN98" i="63"/>
  <c r="BN96" i="63"/>
  <c r="BN94" i="63"/>
  <c r="BN92" i="63"/>
  <c r="BN85" i="63"/>
  <c r="BN83" i="63"/>
  <c r="BN78" i="63"/>
  <c r="BN76" i="63"/>
  <c r="BN69" i="63"/>
  <c r="BE96" i="63"/>
  <c r="BE91" i="63"/>
  <c r="BE88" i="63"/>
  <c r="BE83" i="63"/>
  <c r="BE80" i="63"/>
  <c r="BE75" i="63"/>
  <c r="BE72" i="63"/>
  <c r="AV97" i="63"/>
  <c r="AV94" i="63"/>
  <c r="AV89" i="63"/>
  <c r="AV86" i="63"/>
  <c r="AV81" i="63"/>
  <c r="AV78" i="63"/>
  <c r="L94" i="63"/>
  <c r="AM78" i="63"/>
  <c r="L97" i="63"/>
  <c r="L81" i="63"/>
  <c r="AV73" i="63"/>
  <c r="AM96" i="63"/>
  <c r="AD96" i="63"/>
  <c r="AD90" i="63"/>
  <c r="AD82" i="63"/>
  <c r="AD74" i="63"/>
  <c r="AD69" i="63"/>
  <c r="U84" i="63"/>
  <c r="U76" i="63"/>
  <c r="L91" i="63"/>
  <c r="L75" i="63"/>
  <c r="AV76" i="63"/>
  <c r="AV72" i="63"/>
  <c r="AM98" i="63"/>
  <c r="AM95" i="63"/>
  <c r="AM92" i="63"/>
  <c r="AM88" i="63"/>
  <c r="AM85" i="63"/>
  <c r="AM82" i="63"/>
  <c r="AM80" i="63"/>
  <c r="AM77" i="63"/>
  <c r="AM74" i="63"/>
  <c r="AM72" i="63"/>
  <c r="AM69" i="63"/>
  <c r="AD92" i="63"/>
  <c r="AD87" i="63"/>
  <c r="AD84" i="63"/>
  <c r="AD79" i="63"/>
  <c r="AD76" i="63"/>
  <c r="AD71" i="63"/>
  <c r="U98" i="63"/>
  <c r="U96" i="63"/>
  <c r="U93" i="63"/>
  <c r="U91" i="63"/>
  <c r="U83" i="63"/>
  <c r="U75" i="63"/>
  <c r="L96" i="63"/>
  <c r="L93" i="63"/>
  <c r="L90" i="63"/>
  <c r="L87" i="63"/>
  <c r="L80" i="63"/>
  <c r="L77" i="63"/>
  <c r="L74" i="63"/>
  <c r="L71" i="63"/>
  <c r="AV75" i="63"/>
  <c r="AV71" i="63"/>
  <c r="AM94" i="63"/>
  <c r="AM90" i="63"/>
  <c r="AM87" i="63"/>
  <c r="AM79" i="63"/>
  <c r="AM71" i="63"/>
  <c r="AD98" i="63"/>
  <c r="AD95" i="63"/>
  <c r="AD89" i="63"/>
  <c r="AD86" i="63"/>
  <c r="AD81" i="63"/>
  <c r="AD78" i="63"/>
  <c r="AD73" i="63"/>
  <c r="AD70" i="63"/>
  <c r="U95" i="63"/>
  <c r="U90" i="63"/>
  <c r="U88" i="63"/>
  <c r="U85" i="63"/>
  <c r="U82" i="63"/>
  <c r="U80" i="63"/>
  <c r="U77" i="63"/>
  <c r="U74" i="63"/>
  <c r="U72" i="63"/>
  <c r="U69" i="63"/>
  <c r="L92" i="63"/>
  <c r="L89" i="63"/>
  <c r="L86" i="63"/>
  <c r="L83" i="63"/>
  <c r="L76" i="63"/>
  <c r="L73" i="63"/>
  <c r="L70" i="63"/>
  <c r="AV70" i="63"/>
  <c r="AM97" i="63"/>
  <c r="AM93" i="63"/>
  <c r="AM86" i="63"/>
  <c r="AM84" i="63"/>
  <c r="AM81" i="63"/>
  <c r="AM76" i="63"/>
  <c r="AM73" i="63"/>
  <c r="AM70" i="63"/>
  <c r="AD97" i="63"/>
  <c r="AD94" i="63"/>
  <c r="AD91" i="63"/>
  <c r="AD88" i="63"/>
  <c r="AD83" i="63"/>
  <c r="AD80" i="63"/>
  <c r="AD75" i="63"/>
  <c r="AD72" i="63"/>
  <c r="U97" i="63"/>
  <c r="U94" i="63"/>
  <c r="U92" i="63"/>
  <c r="U87" i="63"/>
  <c r="U79" i="63"/>
  <c r="U71" i="63"/>
  <c r="L98" i="63"/>
  <c r="L95" i="63"/>
  <c r="L88" i="63"/>
  <c r="L85" i="63"/>
  <c r="L82" i="63"/>
  <c r="L79" i="63"/>
  <c r="L72" i="63"/>
  <c r="L69" i="63"/>
  <c r="AM89" i="63"/>
  <c r="AM83" i="63"/>
  <c r="AM75" i="63"/>
  <c r="AD93" i="63"/>
  <c r="AD85" i="63"/>
  <c r="AD77" i="63"/>
  <c r="U89" i="63"/>
  <c r="U86" i="63"/>
  <c r="U81" i="63"/>
  <c r="U78" i="63"/>
  <c r="U73" i="63"/>
  <c r="U70" i="63"/>
  <c r="L84" i="63"/>
  <c r="L78" i="63"/>
  <c r="BW71" i="54"/>
  <c r="BZ71" i="54" s="1"/>
  <c r="BW69" i="54"/>
  <c r="BN96" i="54"/>
  <c r="BN95" i="54"/>
  <c r="BN92" i="54"/>
  <c r="BN91" i="54"/>
  <c r="BN88" i="54"/>
  <c r="BN87" i="54"/>
  <c r="BN84" i="54"/>
  <c r="BN83" i="54"/>
  <c r="BN80" i="54"/>
  <c r="BN79" i="54"/>
  <c r="BN76" i="54"/>
  <c r="BN75" i="54"/>
  <c r="BN72" i="54"/>
  <c r="BN71" i="54"/>
  <c r="BE96" i="54"/>
  <c r="BE95" i="54"/>
  <c r="BE89" i="54"/>
  <c r="BE86" i="54"/>
  <c r="BE80" i="54"/>
  <c r="BE79" i="54"/>
  <c r="BE71" i="54"/>
  <c r="BH71" i="54" s="1"/>
  <c r="AM96" i="54"/>
  <c r="AM95" i="54"/>
  <c r="AM92" i="54"/>
  <c r="AM91" i="54"/>
  <c r="AM88" i="54"/>
  <c r="AM87" i="54"/>
  <c r="AM84" i="54"/>
  <c r="AM83" i="54"/>
  <c r="AM80" i="54"/>
  <c r="AM79" i="54"/>
  <c r="AM76" i="54"/>
  <c r="AM75" i="54"/>
  <c r="AM70" i="54"/>
  <c r="AD98" i="54"/>
  <c r="AD92" i="54"/>
  <c r="AD91" i="54"/>
  <c r="AD88" i="54"/>
  <c r="AD87" i="54"/>
  <c r="AD84" i="54"/>
  <c r="AD83" i="54"/>
  <c r="AD80" i="54"/>
  <c r="AD79" i="54"/>
  <c r="AD76" i="54"/>
  <c r="AD75" i="54"/>
  <c r="AD72" i="54"/>
  <c r="AD71" i="54"/>
  <c r="U75" i="54"/>
  <c r="X75" i="54" s="1"/>
  <c r="U70" i="54"/>
  <c r="L97" i="54"/>
  <c r="L93" i="54"/>
  <c r="L89" i="54"/>
  <c r="L85" i="54"/>
  <c r="L81" i="54"/>
  <c r="L77" i="54"/>
  <c r="L74" i="54"/>
  <c r="L72" i="54"/>
  <c r="BW96" i="54"/>
  <c r="BW95" i="54"/>
  <c r="BW92" i="54"/>
  <c r="BW91" i="54"/>
  <c r="BW88" i="54"/>
  <c r="BW87" i="54"/>
  <c r="BW84" i="54"/>
  <c r="BW83" i="54"/>
  <c r="BW80" i="54"/>
  <c r="BW79" i="54"/>
  <c r="BW76" i="54"/>
  <c r="BW75" i="54"/>
  <c r="BW72" i="54"/>
  <c r="BN97" i="54"/>
  <c r="BN93" i="54"/>
  <c r="BN89" i="54"/>
  <c r="BN85" i="54"/>
  <c r="BN81" i="54"/>
  <c r="BN77" i="54"/>
  <c r="BN73" i="54"/>
  <c r="BN69" i="54"/>
  <c r="BE93" i="54"/>
  <c r="BE90" i="54"/>
  <c r="BE84" i="54"/>
  <c r="BE83" i="54"/>
  <c r="BE77" i="54"/>
  <c r="BE74" i="54"/>
  <c r="BE72" i="54"/>
  <c r="BE69" i="54"/>
  <c r="AV96" i="54"/>
  <c r="AV95" i="54"/>
  <c r="AV92" i="54"/>
  <c r="AV91" i="54"/>
  <c r="AV88" i="54"/>
  <c r="AV87" i="54"/>
  <c r="AV84" i="54"/>
  <c r="AV83" i="54"/>
  <c r="AV80" i="54"/>
  <c r="AV79" i="54"/>
  <c r="AV76" i="54"/>
  <c r="AV75" i="54"/>
  <c r="AV72" i="54"/>
  <c r="AV71" i="54"/>
  <c r="AV69" i="54"/>
  <c r="AM97" i="54"/>
  <c r="AM93" i="54"/>
  <c r="AM89" i="54"/>
  <c r="AM85" i="54"/>
  <c r="AM81" i="54"/>
  <c r="AM77" i="54"/>
  <c r="AM73" i="54"/>
  <c r="AD96" i="54"/>
  <c r="AD95" i="54"/>
  <c r="AD93" i="54"/>
  <c r="AD89" i="54"/>
  <c r="AD85" i="54"/>
  <c r="AD81" i="54"/>
  <c r="AD77" i="54"/>
  <c r="AD73" i="54"/>
  <c r="AD69" i="54"/>
  <c r="U96" i="54"/>
  <c r="U95" i="54"/>
  <c r="U92" i="54"/>
  <c r="U91" i="54"/>
  <c r="U88" i="54"/>
  <c r="U87" i="54"/>
  <c r="U84" i="54"/>
  <c r="U83" i="54"/>
  <c r="U80" i="54"/>
  <c r="U79" i="54"/>
  <c r="U76" i="54"/>
  <c r="U73" i="54"/>
  <c r="L98" i="54"/>
  <c r="L94" i="54"/>
  <c r="L90" i="54"/>
  <c r="L86" i="54"/>
  <c r="L82" i="54"/>
  <c r="L78" i="54"/>
  <c r="L70" i="54"/>
  <c r="BW97" i="54"/>
  <c r="BW93" i="54"/>
  <c r="BW89" i="54"/>
  <c r="BW85" i="54"/>
  <c r="BW81" i="54"/>
  <c r="BW77" i="54"/>
  <c r="BW73" i="54"/>
  <c r="BW70" i="54"/>
  <c r="BN98" i="54"/>
  <c r="BN94" i="54"/>
  <c r="BN90" i="54"/>
  <c r="BN86" i="54"/>
  <c r="BN82" i="54"/>
  <c r="BN78" i="54"/>
  <c r="BN74" i="54"/>
  <c r="BN70" i="54"/>
  <c r="BE97" i="54"/>
  <c r="BE94" i="54"/>
  <c r="BE88" i="54"/>
  <c r="BE87" i="54"/>
  <c r="BE81" i="54"/>
  <c r="BE78" i="54"/>
  <c r="BE70" i="54"/>
  <c r="BH70" i="54" s="1"/>
  <c r="AV97" i="54"/>
  <c r="AV93" i="54"/>
  <c r="AV89" i="54"/>
  <c r="AV85" i="54"/>
  <c r="AV81" i="54"/>
  <c r="AV77" i="54"/>
  <c r="AV73" i="54"/>
  <c r="AM94" i="54"/>
  <c r="AM90" i="54"/>
  <c r="AM86" i="54"/>
  <c r="AM82" i="54"/>
  <c r="AM78" i="54"/>
  <c r="AM74" i="54"/>
  <c r="AM71" i="54"/>
  <c r="AM69" i="54"/>
  <c r="AD97" i="54"/>
  <c r="AD90" i="54"/>
  <c r="AD86" i="54"/>
  <c r="AD82" i="54"/>
  <c r="AD78" i="54"/>
  <c r="AD74" i="54"/>
  <c r="AD70" i="54"/>
  <c r="U97" i="54"/>
  <c r="U93" i="54"/>
  <c r="U89" i="54"/>
  <c r="U85" i="54"/>
  <c r="U81" i="54"/>
  <c r="U77" i="54"/>
  <c r="U74" i="54"/>
  <c r="U71" i="54"/>
  <c r="L75" i="54"/>
  <c r="O75" i="54" s="1"/>
  <c r="L73" i="54"/>
  <c r="O73" i="54" s="1"/>
  <c r="BW98" i="54"/>
  <c r="BW94" i="54"/>
  <c r="BW90" i="54"/>
  <c r="BW86" i="54"/>
  <c r="BW82" i="54"/>
  <c r="BW78" i="54"/>
  <c r="BW74" i="54"/>
  <c r="BE98" i="54"/>
  <c r="BE92" i="54"/>
  <c r="BE91" i="54"/>
  <c r="BE85" i="54"/>
  <c r="BE82" i="54"/>
  <c r="BE76" i="54"/>
  <c r="BE75" i="54"/>
  <c r="BE73" i="54"/>
  <c r="AV98" i="54"/>
  <c r="AV94" i="54"/>
  <c r="AV90" i="54"/>
  <c r="AV86" i="54"/>
  <c r="AV82" i="54"/>
  <c r="AV78" i="54"/>
  <c r="AV74" i="54"/>
  <c r="AV70" i="54"/>
  <c r="AM98" i="54"/>
  <c r="AM72" i="54"/>
  <c r="AP72" i="54" s="1"/>
  <c r="AD94" i="54"/>
  <c r="U98" i="54"/>
  <c r="U94" i="54"/>
  <c r="U90" i="54"/>
  <c r="U86" i="54"/>
  <c r="U82" i="54"/>
  <c r="U78" i="54"/>
  <c r="U72" i="54"/>
  <c r="X72" i="54" s="1"/>
  <c r="U69" i="54"/>
  <c r="L96" i="54"/>
  <c r="L95" i="54"/>
  <c r="L92" i="54"/>
  <c r="L91" i="54"/>
  <c r="L88" i="54"/>
  <c r="L87" i="54"/>
  <c r="L84" i="54"/>
  <c r="L83" i="54"/>
  <c r="L80" i="54"/>
  <c r="L79" i="54"/>
  <c r="L76" i="54"/>
  <c r="L71" i="54"/>
  <c r="L69" i="54"/>
  <c r="D78" i="58"/>
  <c r="E78" i="58" s="1"/>
  <c r="D96" i="58"/>
  <c r="E96" i="58" s="1"/>
  <c r="D76" i="58"/>
  <c r="E76" i="58" s="1"/>
  <c r="D90" i="58"/>
  <c r="E90" i="58" s="1"/>
  <c r="D84" i="58"/>
  <c r="E84" i="58" s="1"/>
  <c r="D87" i="58"/>
  <c r="E87" i="58" s="1"/>
  <c r="Y73" i="58"/>
  <c r="X73" i="58"/>
  <c r="V73" i="58"/>
  <c r="W73" i="58" s="1"/>
  <c r="O98" i="58"/>
  <c r="M98" i="58"/>
  <c r="N98" i="58" s="1"/>
  <c r="P98" i="58"/>
  <c r="P75" i="58"/>
  <c r="M75" i="58"/>
  <c r="N75" i="58" s="1"/>
  <c r="O75" i="58"/>
  <c r="Y81" i="58"/>
  <c r="X81" i="58"/>
  <c r="V81" i="58"/>
  <c r="W81" i="58" s="1"/>
  <c r="Y77" i="58"/>
  <c r="X77" i="58"/>
  <c r="V77" i="58"/>
  <c r="W77" i="58" s="1"/>
  <c r="Y92" i="58"/>
  <c r="X92" i="58"/>
  <c r="V92" i="58"/>
  <c r="W92" i="58" s="1"/>
  <c r="AH74" i="58"/>
  <c r="AG74" i="58"/>
  <c r="AE74" i="58"/>
  <c r="AF74" i="58" s="1"/>
  <c r="AH93" i="58"/>
  <c r="AG93" i="58"/>
  <c r="AE93" i="58"/>
  <c r="AF93" i="58" s="1"/>
  <c r="AQ81" i="58"/>
  <c r="AP81" i="58"/>
  <c r="AN81" i="58"/>
  <c r="AO81" i="58" s="1"/>
  <c r="Y88" i="58"/>
  <c r="X88" i="58"/>
  <c r="V88" i="58"/>
  <c r="W88" i="58" s="1"/>
  <c r="AH71" i="58"/>
  <c r="AG71" i="58"/>
  <c r="AE71" i="58"/>
  <c r="AF71" i="58" s="1"/>
  <c r="AH83" i="58"/>
  <c r="AG83" i="58"/>
  <c r="AE83" i="58"/>
  <c r="AF83" i="58" s="1"/>
  <c r="AH98" i="58"/>
  <c r="AG98" i="58"/>
  <c r="AE98" i="58"/>
  <c r="AF98" i="58" s="1"/>
  <c r="AQ87" i="58"/>
  <c r="AP87" i="58"/>
  <c r="AN87" i="58"/>
  <c r="AO87" i="58" s="1"/>
  <c r="O70" i="58"/>
  <c r="M70" i="58"/>
  <c r="N70" i="58" s="1"/>
  <c r="P70" i="58"/>
  <c r="O78" i="58"/>
  <c r="M78" i="58"/>
  <c r="N78" i="58" s="1"/>
  <c r="P78" i="58"/>
  <c r="O86" i="58"/>
  <c r="M86" i="58"/>
  <c r="N86" i="58" s="1"/>
  <c r="P86" i="58"/>
  <c r="Y69" i="58"/>
  <c r="V69" i="58"/>
  <c r="X69" i="58"/>
  <c r="Y91" i="58"/>
  <c r="X91" i="58"/>
  <c r="V91" i="58"/>
  <c r="W91" i="58" s="1"/>
  <c r="AH78" i="58"/>
  <c r="AG78" i="58"/>
  <c r="AE78" i="58"/>
  <c r="AF78" i="58" s="1"/>
  <c r="AH94" i="58"/>
  <c r="AG94" i="58"/>
  <c r="AE94" i="58"/>
  <c r="AF94" i="58" s="1"/>
  <c r="AQ82" i="58"/>
  <c r="AP82" i="58"/>
  <c r="AN82" i="58"/>
  <c r="AO82" i="58" s="1"/>
  <c r="P81" i="58"/>
  <c r="M81" i="58"/>
  <c r="N81" i="58" s="1"/>
  <c r="O81" i="58"/>
  <c r="P89" i="58"/>
  <c r="M89" i="58"/>
  <c r="N89" i="58" s="1"/>
  <c r="O89" i="58"/>
  <c r="Y79" i="58"/>
  <c r="X79" i="58"/>
  <c r="V79" i="58"/>
  <c r="W79" i="58" s="1"/>
  <c r="Y89" i="58"/>
  <c r="X89" i="58"/>
  <c r="V89" i="58"/>
  <c r="W89" i="58" s="1"/>
  <c r="AG76" i="58"/>
  <c r="AE76" i="58"/>
  <c r="AF76" i="58" s="1"/>
  <c r="AH76" i="58"/>
  <c r="AH95" i="58"/>
  <c r="AG95" i="58"/>
  <c r="AE95" i="58"/>
  <c r="AF95" i="58" s="1"/>
  <c r="AQ79" i="58"/>
  <c r="AP79" i="58"/>
  <c r="AN79" i="58"/>
  <c r="AO79" i="58" s="1"/>
  <c r="AQ91" i="58"/>
  <c r="AP91" i="58"/>
  <c r="AN91" i="58"/>
  <c r="AO91" i="58" s="1"/>
  <c r="AD97" i="61"/>
  <c r="AD95" i="61"/>
  <c r="AD93" i="61"/>
  <c r="AD91" i="61"/>
  <c r="AD89" i="61"/>
  <c r="AD87" i="61"/>
  <c r="AD85" i="61"/>
  <c r="AD80" i="61"/>
  <c r="AD76" i="61"/>
  <c r="AD73" i="61"/>
  <c r="AD69" i="61"/>
  <c r="U95" i="61"/>
  <c r="U91" i="61"/>
  <c r="U87" i="61"/>
  <c r="U83" i="61"/>
  <c r="U79" i="61"/>
  <c r="U75" i="61"/>
  <c r="U71" i="61"/>
  <c r="L97" i="61"/>
  <c r="L93" i="61"/>
  <c r="L89" i="61"/>
  <c r="L85" i="61"/>
  <c r="L70" i="61"/>
  <c r="AD83" i="61"/>
  <c r="AD81" i="61"/>
  <c r="AD79" i="61"/>
  <c r="AD77" i="61"/>
  <c r="AD75" i="61"/>
  <c r="U98" i="61"/>
  <c r="U96" i="61"/>
  <c r="U94" i="61"/>
  <c r="U92" i="61"/>
  <c r="U90" i="61"/>
  <c r="U88" i="61"/>
  <c r="U86" i="61"/>
  <c r="U84" i="61"/>
  <c r="U82" i="61"/>
  <c r="U80" i="61"/>
  <c r="U78" i="61"/>
  <c r="U76" i="61"/>
  <c r="U74" i="61"/>
  <c r="U72" i="61"/>
  <c r="U69" i="61"/>
  <c r="L95" i="61"/>
  <c r="L91" i="61"/>
  <c r="L87" i="61"/>
  <c r="L83" i="61"/>
  <c r="L81" i="61"/>
  <c r="L77" i="61"/>
  <c r="L73" i="61"/>
  <c r="L71" i="61"/>
  <c r="AD98" i="61"/>
  <c r="AD94" i="61"/>
  <c r="AD90" i="61"/>
  <c r="AD86" i="61"/>
  <c r="AD72" i="61"/>
  <c r="L98" i="61"/>
  <c r="L96" i="61"/>
  <c r="L94" i="61"/>
  <c r="L92" i="61"/>
  <c r="L90" i="61"/>
  <c r="L88" i="61"/>
  <c r="L86" i="61"/>
  <c r="L84" i="61"/>
  <c r="L79" i="61"/>
  <c r="L75" i="61"/>
  <c r="AD96" i="61"/>
  <c r="AD92" i="61"/>
  <c r="AD88" i="61"/>
  <c r="AD84" i="61"/>
  <c r="AD82" i="61"/>
  <c r="AD78" i="61"/>
  <c r="AD74" i="61"/>
  <c r="AD71" i="61"/>
  <c r="AD70" i="61"/>
  <c r="U97" i="61"/>
  <c r="U93" i="61"/>
  <c r="U89" i="61"/>
  <c r="U85" i="61"/>
  <c r="U81" i="61"/>
  <c r="U77" i="61"/>
  <c r="U73" i="61"/>
  <c r="U70" i="61"/>
  <c r="L82" i="61"/>
  <c r="L80" i="61"/>
  <c r="L78" i="61"/>
  <c r="L76" i="61"/>
  <c r="L74" i="61"/>
  <c r="L72" i="61"/>
  <c r="L69" i="61"/>
  <c r="AM97" i="51"/>
  <c r="AM94" i="51"/>
  <c r="AM89" i="51"/>
  <c r="AM86" i="51"/>
  <c r="AM81" i="51"/>
  <c r="AM78" i="51"/>
  <c r="AM73" i="51"/>
  <c r="AM70" i="51"/>
  <c r="AD98" i="51"/>
  <c r="AD96" i="51"/>
  <c r="AD91" i="51"/>
  <c r="AD89" i="51"/>
  <c r="AD82" i="51"/>
  <c r="AD80" i="51"/>
  <c r="AD75" i="51"/>
  <c r="AD73" i="51"/>
  <c r="U97" i="51"/>
  <c r="U95" i="51"/>
  <c r="U90" i="51"/>
  <c r="U88" i="51"/>
  <c r="U81" i="51"/>
  <c r="U79" i="51"/>
  <c r="U74" i="51"/>
  <c r="U72" i="51"/>
  <c r="L97" i="51"/>
  <c r="L92" i="51"/>
  <c r="L89" i="51"/>
  <c r="L84" i="51"/>
  <c r="L81" i="51"/>
  <c r="L76" i="51"/>
  <c r="L73" i="51"/>
  <c r="AM96" i="51"/>
  <c r="AM91" i="51"/>
  <c r="AM88" i="51"/>
  <c r="AM83" i="51"/>
  <c r="AM80" i="51"/>
  <c r="AM75" i="51"/>
  <c r="AM72" i="51"/>
  <c r="AD95" i="51"/>
  <c r="AD93" i="51"/>
  <c r="AD86" i="51"/>
  <c r="AD84" i="51"/>
  <c r="AD79" i="51"/>
  <c r="AD77" i="51"/>
  <c r="AD70" i="51"/>
  <c r="U94" i="51"/>
  <c r="U92" i="51"/>
  <c r="U85" i="51"/>
  <c r="U83" i="51"/>
  <c r="U78" i="51"/>
  <c r="U76" i="51"/>
  <c r="U69" i="51"/>
  <c r="L94" i="51"/>
  <c r="L91" i="51"/>
  <c r="L86" i="51"/>
  <c r="L83" i="51"/>
  <c r="L78" i="51"/>
  <c r="L75" i="51"/>
  <c r="L70" i="51"/>
  <c r="AM98" i="51"/>
  <c r="AM93" i="51"/>
  <c r="AM90" i="51"/>
  <c r="AM85" i="51"/>
  <c r="AM82" i="51"/>
  <c r="AM77" i="51"/>
  <c r="AM74" i="51"/>
  <c r="AM69" i="51"/>
  <c r="AD97" i="51"/>
  <c r="AD90" i="51"/>
  <c r="AD88" i="51"/>
  <c r="AD83" i="51"/>
  <c r="AD81" i="51"/>
  <c r="AD74" i="51"/>
  <c r="AD72" i="51"/>
  <c r="AD69" i="51"/>
  <c r="U96" i="51"/>
  <c r="U89" i="51"/>
  <c r="U87" i="51"/>
  <c r="U82" i="51"/>
  <c r="U80" i="51"/>
  <c r="U73" i="51"/>
  <c r="U71" i="51"/>
  <c r="L96" i="51"/>
  <c r="L93" i="51"/>
  <c r="L88" i="51"/>
  <c r="L85" i="51"/>
  <c r="L80" i="51"/>
  <c r="L77" i="51"/>
  <c r="L72" i="51"/>
  <c r="L69" i="51"/>
  <c r="AM95" i="51"/>
  <c r="AM92" i="51"/>
  <c r="AM87" i="51"/>
  <c r="AM84" i="51"/>
  <c r="AM79" i="51"/>
  <c r="AM76" i="51"/>
  <c r="AM71" i="51"/>
  <c r="AD94" i="51"/>
  <c r="AD92" i="51"/>
  <c r="AD87" i="51"/>
  <c r="AD85" i="51"/>
  <c r="AD78" i="51"/>
  <c r="AD76" i="51"/>
  <c r="AD71" i="51"/>
  <c r="U98" i="51"/>
  <c r="U93" i="51"/>
  <c r="U91" i="51"/>
  <c r="U86" i="51"/>
  <c r="U84" i="51"/>
  <c r="U77" i="51"/>
  <c r="U75" i="51"/>
  <c r="U70" i="51"/>
  <c r="L98" i="51"/>
  <c r="L95" i="51"/>
  <c r="L90" i="51"/>
  <c r="L87" i="51"/>
  <c r="L82" i="51"/>
  <c r="L79" i="51"/>
  <c r="L74" i="51"/>
  <c r="L71" i="51"/>
  <c r="BW97" i="50"/>
  <c r="BW95" i="50"/>
  <c r="BW93" i="50"/>
  <c r="BW91" i="50"/>
  <c r="BW86" i="50"/>
  <c r="BW84" i="50"/>
  <c r="BW77" i="50"/>
  <c r="BW75" i="50"/>
  <c r="BW70" i="50"/>
  <c r="BN97" i="50"/>
  <c r="BN95" i="50"/>
  <c r="BN92" i="50"/>
  <c r="BN89" i="50"/>
  <c r="BN87" i="50"/>
  <c r="BN84" i="50"/>
  <c r="BN81" i="50"/>
  <c r="BN79" i="50"/>
  <c r="BN76" i="50"/>
  <c r="BN73" i="50"/>
  <c r="BN71" i="50"/>
  <c r="BE98" i="50"/>
  <c r="BE93" i="50"/>
  <c r="BE91" i="50"/>
  <c r="BE86" i="50"/>
  <c r="BE84" i="50"/>
  <c r="BE77" i="50"/>
  <c r="BE75" i="50"/>
  <c r="BE70" i="50"/>
  <c r="AV97" i="50"/>
  <c r="AV95" i="50"/>
  <c r="AV90" i="50"/>
  <c r="AV88" i="50"/>
  <c r="AV81" i="50"/>
  <c r="AV79" i="50"/>
  <c r="AV74" i="50"/>
  <c r="AV72" i="50"/>
  <c r="AM97" i="50"/>
  <c r="AM94" i="50"/>
  <c r="AM92" i="50"/>
  <c r="AM89" i="50"/>
  <c r="AM86" i="50"/>
  <c r="AM84" i="50"/>
  <c r="AM79" i="50"/>
  <c r="AM71" i="50"/>
  <c r="AD97" i="50"/>
  <c r="AD95" i="50"/>
  <c r="AD92" i="50"/>
  <c r="AD89" i="50"/>
  <c r="AD87" i="50"/>
  <c r="AD84" i="50"/>
  <c r="AD81" i="50"/>
  <c r="AD79" i="50"/>
  <c r="AD76" i="50"/>
  <c r="AD69" i="50"/>
  <c r="U96" i="50"/>
  <c r="U93" i="50"/>
  <c r="U91" i="50"/>
  <c r="U88" i="50"/>
  <c r="U85" i="50"/>
  <c r="U83" i="50"/>
  <c r="U80" i="50"/>
  <c r="U77" i="50"/>
  <c r="U74" i="50"/>
  <c r="U71" i="50"/>
  <c r="L95" i="50"/>
  <c r="L92" i="50"/>
  <c r="L87" i="50"/>
  <c r="L84" i="50"/>
  <c r="L79" i="50"/>
  <c r="L76" i="50"/>
  <c r="L71" i="50"/>
  <c r="BW90" i="50"/>
  <c r="BW88" i="50"/>
  <c r="BW81" i="50"/>
  <c r="BW79" i="50"/>
  <c r="BW74" i="50"/>
  <c r="BW72" i="50"/>
  <c r="BN94" i="50"/>
  <c r="BN86" i="50"/>
  <c r="BN78" i="50"/>
  <c r="BN70" i="50"/>
  <c r="BE97" i="50"/>
  <c r="BE95" i="50"/>
  <c r="BE90" i="50"/>
  <c r="BE88" i="50"/>
  <c r="BE81" i="50"/>
  <c r="BE79" i="50"/>
  <c r="BE74" i="50"/>
  <c r="BE72" i="50"/>
  <c r="AV94" i="50"/>
  <c r="AV92" i="50"/>
  <c r="AV85" i="50"/>
  <c r="AV83" i="50"/>
  <c r="AV78" i="50"/>
  <c r="AV76" i="50"/>
  <c r="AV69" i="50"/>
  <c r="AM91" i="50"/>
  <c r="AM81" i="50"/>
  <c r="AM78" i="50"/>
  <c r="AM76" i="50"/>
  <c r="AM73" i="50"/>
  <c r="AM70" i="50"/>
  <c r="AD94" i="50"/>
  <c r="AD86" i="50"/>
  <c r="AD78" i="50"/>
  <c r="AD73" i="50"/>
  <c r="AD71" i="50"/>
  <c r="U98" i="50"/>
  <c r="U90" i="50"/>
  <c r="U82" i="50"/>
  <c r="U73" i="50"/>
  <c r="U70" i="50"/>
  <c r="L97" i="50"/>
  <c r="L94" i="50"/>
  <c r="L89" i="50"/>
  <c r="L86" i="50"/>
  <c r="L81" i="50"/>
  <c r="L78" i="50"/>
  <c r="L73" i="50"/>
  <c r="L70" i="50"/>
  <c r="BW96" i="50"/>
  <c r="BW94" i="50"/>
  <c r="BW92" i="50"/>
  <c r="BW85" i="50"/>
  <c r="BW83" i="50"/>
  <c r="BW78" i="50"/>
  <c r="BW76" i="50"/>
  <c r="BW69" i="50"/>
  <c r="BN96" i="50"/>
  <c r="BN93" i="50"/>
  <c r="BN91" i="50"/>
  <c r="BN88" i="50"/>
  <c r="BN85" i="50"/>
  <c r="BN83" i="50"/>
  <c r="BN80" i="50"/>
  <c r="BN77" i="50"/>
  <c r="BN75" i="50"/>
  <c r="BN72" i="50"/>
  <c r="BE94" i="50"/>
  <c r="BE92" i="50"/>
  <c r="BE85" i="50"/>
  <c r="BE83" i="50"/>
  <c r="BE78" i="50"/>
  <c r="BE76" i="50"/>
  <c r="BE69" i="50"/>
  <c r="AV96" i="50"/>
  <c r="AV89" i="50"/>
  <c r="AV87" i="50"/>
  <c r="AV82" i="50"/>
  <c r="AV80" i="50"/>
  <c r="AV73" i="50"/>
  <c r="AV71" i="50"/>
  <c r="AM98" i="50"/>
  <c r="AM96" i="50"/>
  <c r="AM93" i="50"/>
  <c r="AM90" i="50"/>
  <c r="AM88" i="50"/>
  <c r="AM85" i="50"/>
  <c r="AM83" i="50"/>
  <c r="AM75" i="50"/>
  <c r="AM69" i="50"/>
  <c r="AD96" i="50"/>
  <c r="AD93" i="50"/>
  <c r="AD91" i="50"/>
  <c r="AD88" i="50"/>
  <c r="AD85" i="50"/>
  <c r="AD83" i="50"/>
  <c r="AD80" i="50"/>
  <c r="AD77" i="50"/>
  <c r="AD75" i="50"/>
  <c r="AD70" i="50"/>
  <c r="U97" i="50"/>
  <c r="U95" i="50"/>
  <c r="U92" i="50"/>
  <c r="U89" i="50"/>
  <c r="U87" i="50"/>
  <c r="U84" i="50"/>
  <c r="U81" i="50"/>
  <c r="U79" i="50"/>
  <c r="U76" i="50"/>
  <c r="U69" i="50"/>
  <c r="L96" i="50"/>
  <c r="L91" i="50"/>
  <c r="L88" i="50"/>
  <c r="L83" i="50"/>
  <c r="L80" i="50"/>
  <c r="L75" i="50"/>
  <c r="L72" i="50"/>
  <c r="BW98" i="50"/>
  <c r="BW89" i="50"/>
  <c r="BW87" i="50"/>
  <c r="BW82" i="50"/>
  <c r="BW80" i="50"/>
  <c r="BW73" i="50"/>
  <c r="BW71" i="50"/>
  <c r="BN98" i="50"/>
  <c r="BN90" i="50"/>
  <c r="BN82" i="50"/>
  <c r="BN74" i="50"/>
  <c r="BN69" i="50"/>
  <c r="BE96" i="50"/>
  <c r="BE89" i="50"/>
  <c r="BE87" i="50"/>
  <c r="BE82" i="50"/>
  <c r="BE80" i="50"/>
  <c r="BE73" i="50"/>
  <c r="BE71" i="50"/>
  <c r="AV98" i="50"/>
  <c r="AV93" i="50"/>
  <c r="AV91" i="50"/>
  <c r="AV86" i="50"/>
  <c r="AV84" i="50"/>
  <c r="AV77" i="50"/>
  <c r="AV75" i="50"/>
  <c r="AV70" i="50"/>
  <c r="AM95" i="50"/>
  <c r="AM87" i="50"/>
  <c r="AM82" i="50"/>
  <c r="AM80" i="50"/>
  <c r="AM77" i="50"/>
  <c r="AM74" i="50"/>
  <c r="AM72" i="50"/>
  <c r="AD98" i="50"/>
  <c r="AD90" i="50"/>
  <c r="AD82" i="50"/>
  <c r="AD74" i="50"/>
  <c r="AD72" i="50"/>
  <c r="U94" i="50"/>
  <c r="U86" i="50"/>
  <c r="U78" i="50"/>
  <c r="U75" i="50"/>
  <c r="U72" i="50"/>
  <c r="L98" i="50"/>
  <c r="L93" i="50"/>
  <c r="L90" i="50"/>
  <c r="L85" i="50"/>
  <c r="L82" i="50"/>
  <c r="L77" i="50"/>
  <c r="L74" i="50"/>
  <c r="L69" i="50"/>
  <c r="D88" i="58"/>
  <c r="E88" i="58" s="1"/>
  <c r="D71" i="58"/>
  <c r="D79" i="58"/>
  <c r="E79" i="58" s="1"/>
  <c r="D74" i="58"/>
  <c r="E74" i="58" s="1"/>
  <c r="D86" i="58"/>
  <c r="E86" i="58" s="1"/>
  <c r="D81" i="58"/>
  <c r="E81" i="58" s="1"/>
  <c r="D77" i="58"/>
  <c r="E77" i="58" s="1"/>
  <c r="P73" i="58"/>
  <c r="M73" i="58"/>
  <c r="N73" i="58" s="1"/>
  <c r="O73" i="58"/>
  <c r="Y74" i="58"/>
  <c r="X74" i="58"/>
  <c r="V74" i="58"/>
  <c r="W74" i="58" s="1"/>
  <c r="P79" i="58"/>
  <c r="M79" i="58"/>
  <c r="N79" i="58" s="1"/>
  <c r="O79" i="58"/>
  <c r="P69" i="58"/>
  <c r="M69" i="58"/>
  <c r="O69" i="58"/>
  <c r="Y78" i="58"/>
  <c r="X78" i="58"/>
  <c r="V78" i="58"/>
  <c r="W78" i="58" s="1"/>
  <c r="Y94" i="58"/>
  <c r="X94" i="58"/>
  <c r="V94" i="58"/>
  <c r="W94" i="58" s="1"/>
  <c r="AH82" i="58"/>
  <c r="AG82" i="58"/>
  <c r="AE82" i="58"/>
  <c r="AF82" i="58" s="1"/>
  <c r="AP70" i="58"/>
  <c r="AN70" i="58"/>
  <c r="AO70" i="58" s="1"/>
  <c r="AQ70" i="58"/>
  <c r="AQ86" i="58"/>
  <c r="AP86" i="58"/>
  <c r="AN86" i="58"/>
  <c r="AO86" i="58" s="1"/>
  <c r="Y90" i="58"/>
  <c r="X90" i="58"/>
  <c r="V90" i="58"/>
  <c r="W90" i="58" s="1"/>
  <c r="AG72" i="58"/>
  <c r="AE72" i="58"/>
  <c r="AF72" i="58" s="1"/>
  <c r="AH72" i="58"/>
  <c r="AG88" i="58"/>
  <c r="AE88" i="58"/>
  <c r="AF88" i="58" s="1"/>
  <c r="AH88" i="58"/>
  <c r="AQ75" i="58"/>
  <c r="AP75" i="58"/>
  <c r="AN75" i="58"/>
  <c r="AO75" i="58" s="1"/>
  <c r="AP92" i="58"/>
  <c r="AN92" i="58"/>
  <c r="AO92" i="58" s="1"/>
  <c r="AQ92" i="58"/>
  <c r="M72" i="58"/>
  <c r="N72" i="58" s="1"/>
  <c r="O72" i="58"/>
  <c r="P72" i="58"/>
  <c r="M80" i="58"/>
  <c r="N80" i="58" s="1"/>
  <c r="O80" i="58"/>
  <c r="P80" i="58"/>
  <c r="M88" i="58"/>
  <c r="N88" i="58" s="1"/>
  <c r="O88" i="58"/>
  <c r="P88" i="58"/>
  <c r="Y71" i="58"/>
  <c r="X71" i="58"/>
  <c r="Y93" i="58"/>
  <c r="X93" i="58"/>
  <c r="V93" i="58"/>
  <c r="W93" i="58" s="1"/>
  <c r="AH81" i="58"/>
  <c r="AG81" i="58"/>
  <c r="AE81" i="58"/>
  <c r="AF81" i="58" s="1"/>
  <c r="AQ69" i="58"/>
  <c r="AP69" i="58"/>
  <c r="AN69" i="58"/>
  <c r="AO69" i="58" s="1"/>
  <c r="AQ85" i="58"/>
  <c r="AP85" i="58"/>
  <c r="AN85" i="58"/>
  <c r="AO85" i="58" s="1"/>
  <c r="P83" i="58"/>
  <c r="M83" i="58"/>
  <c r="N83" i="58" s="1"/>
  <c r="O83" i="58"/>
  <c r="P93" i="58"/>
  <c r="M93" i="58"/>
  <c r="N93" i="58" s="1"/>
  <c r="O93" i="58"/>
  <c r="Y80" i="58"/>
  <c r="X80" i="58"/>
  <c r="V80" i="58"/>
  <c r="W80" i="58" s="1"/>
  <c r="Y96" i="58"/>
  <c r="X96" i="58"/>
  <c r="V96" i="58"/>
  <c r="W96" i="58" s="1"/>
  <c r="AG84" i="58"/>
  <c r="AE84" i="58"/>
  <c r="AF84" i="58" s="1"/>
  <c r="AH84" i="58"/>
  <c r="AH97" i="58"/>
  <c r="AG97" i="58"/>
  <c r="AE97" i="58"/>
  <c r="AF97" i="58" s="1"/>
  <c r="AP80" i="58"/>
  <c r="AN80" i="58"/>
  <c r="AO80" i="58" s="1"/>
  <c r="AQ80" i="58"/>
  <c r="AQ96" i="58"/>
  <c r="AP96" i="58"/>
  <c r="AN96" i="58"/>
  <c r="AO96" i="58" s="1"/>
  <c r="AD93" i="60"/>
  <c r="AD91" i="60"/>
  <c r="AD86" i="60"/>
  <c r="AD84" i="60"/>
  <c r="AD76" i="60"/>
  <c r="AD75" i="60"/>
  <c r="U98" i="60"/>
  <c r="U93" i="60"/>
  <c r="U91" i="60"/>
  <c r="U86" i="60"/>
  <c r="U84" i="60"/>
  <c r="U70" i="60"/>
  <c r="L93" i="60"/>
  <c r="L91" i="60"/>
  <c r="L86" i="60"/>
  <c r="L84" i="60"/>
  <c r="L82" i="60"/>
  <c r="L80" i="60"/>
  <c r="L79" i="60"/>
  <c r="L70" i="60"/>
  <c r="AD97" i="60"/>
  <c r="AD95" i="60"/>
  <c r="AD90" i="60"/>
  <c r="AD88" i="60"/>
  <c r="AD81" i="60"/>
  <c r="AD78" i="60"/>
  <c r="AD77" i="60"/>
  <c r="AD70" i="60"/>
  <c r="U97" i="60"/>
  <c r="U95" i="60"/>
  <c r="U90" i="60"/>
  <c r="U88" i="60"/>
  <c r="U81" i="60"/>
  <c r="U74" i="60"/>
  <c r="U73" i="60"/>
  <c r="U72" i="60"/>
  <c r="U71" i="60"/>
  <c r="L97" i="60"/>
  <c r="L95" i="60"/>
  <c r="L90" i="60"/>
  <c r="L88" i="60"/>
  <c r="L72" i="60"/>
  <c r="L71" i="60"/>
  <c r="AD94" i="60"/>
  <c r="AD92" i="60"/>
  <c r="AD85" i="60"/>
  <c r="AD83" i="60"/>
  <c r="AD80" i="60"/>
  <c r="AD79" i="60"/>
  <c r="AD72" i="60"/>
  <c r="AD71" i="60"/>
  <c r="U94" i="60"/>
  <c r="U92" i="60"/>
  <c r="U85" i="60"/>
  <c r="U83" i="60"/>
  <c r="U78" i="60"/>
  <c r="U77" i="60"/>
  <c r="U76" i="60"/>
  <c r="U75" i="60"/>
  <c r="U69" i="60"/>
  <c r="L94" i="60"/>
  <c r="L92" i="60"/>
  <c r="L85" i="60"/>
  <c r="L83" i="60"/>
  <c r="L81" i="60"/>
  <c r="L74" i="60"/>
  <c r="L73" i="60"/>
  <c r="L69" i="60"/>
  <c r="AD98" i="60"/>
  <c r="AD96" i="60"/>
  <c r="AD89" i="60"/>
  <c r="AD87" i="60"/>
  <c r="AD82" i="60"/>
  <c r="AD74" i="60"/>
  <c r="AD73" i="60"/>
  <c r="AD69" i="60"/>
  <c r="U96" i="60"/>
  <c r="U89" i="60"/>
  <c r="U87" i="60"/>
  <c r="U82" i="60"/>
  <c r="U80" i="60"/>
  <c r="U79" i="60"/>
  <c r="L98" i="60"/>
  <c r="L96" i="60"/>
  <c r="L89" i="60"/>
  <c r="L87" i="60"/>
  <c r="L78" i="60"/>
  <c r="L77" i="60"/>
  <c r="L76" i="60"/>
  <c r="L75" i="60"/>
  <c r="D89" i="58"/>
  <c r="E89" i="58" s="1"/>
  <c r="D82" i="58"/>
  <c r="E82" i="58" s="1"/>
  <c r="D92" i="58"/>
  <c r="E92" i="58" s="1"/>
  <c r="D73" i="58"/>
  <c r="E73" i="58" s="1"/>
  <c r="D75" i="58"/>
  <c r="E75" i="58" s="1"/>
  <c r="P77" i="58"/>
  <c r="M77" i="58"/>
  <c r="N77" i="58" s="1"/>
  <c r="O77" i="58"/>
  <c r="P92" i="58"/>
  <c r="M92" i="58"/>
  <c r="N92" i="58" s="1"/>
  <c r="O92" i="58"/>
  <c r="O94" i="58"/>
  <c r="M94" i="58"/>
  <c r="N94" i="58" s="1"/>
  <c r="P94" i="58"/>
  <c r="Y75" i="58"/>
  <c r="X75" i="58"/>
  <c r="V75" i="58"/>
  <c r="W75" i="58" s="1"/>
  <c r="Y83" i="58"/>
  <c r="X83" i="58"/>
  <c r="V83" i="58"/>
  <c r="W83" i="58" s="1"/>
  <c r="AH69" i="58"/>
  <c r="AG69" i="58"/>
  <c r="AE69" i="58"/>
  <c r="AF69" i="58" s="1"/>
  <c r="AH85" i="58"/>
  <c r="AG85" i="58"/>
  <c r="AE85" i="58"/>
  <c r="AF85" i="58" s="1"/>
  <c r="AQ77" i="58"/>
  <c r="AP77" i="58"/>
  <c r="AN77" i="58"/>
  <c r="AO77" i="58" s="1"/>
  <c r="AQ89" i="58"/>
  <c r="AP89" i="58"/>
  <c r="AN89" i="58"/>
  <c r="AO89" i="58" s="1"/>
  <c r="Y95" i="58"/>
  <c r="X95" i="58"/>
  <c r="V95" i="58"/>
  <c r="W95" i="58" s="1"/>
  <c r="AH79" i="58"/>
  <c r="AG79" i="58"/>
  <c r="AE79" i="58"/>
  <c r="AF79" i="58" s="1"/>
  <c r="AH91" i="58"/>
  <c r="AG91" i="58"/>
  <c r="AE91" i="58"/>
  <c r="AF91" i="58" s="1"/>
  <c r="AP76" i="58"/>
  <c r="AN76" i="58"/>
  <c r="AO76" i="58" s="1"/>
  <c r="AQ76" i="58"/>
  <c r="AQ95" i="58"/>
  <c r="AP95" i="58"/>
  <c r="AN95" i="58"/>
  <c r="AO95" i="58" s="1"/>
  <c r="O74" i="58"/>
  <c r="M74" i="58"/>
  <c r="N74" i="58" s="1"/>
  <c r="P74" i="58"/>
  <c r="O82" i="58"/>
  <c r="M82" i="58"/>
  <c r="N82" i="58" s="1"/>
  <c r="P82" i="58"/>
  <c r="P91" i="58"/>
  <c r="M91" i="58"/>
  <c r="N91" i="58" s="1"/>
  <c r="O91" i="58"/>
  <c r="Y84" i="58"/>
  <c r="X84" i="58"/>
  <c r="V84" i="58"/>
  <c r="W84" i="58" s="1"/>
  <c r="AH70" i="58"/>
  <c r="AG70" i="58"/>
  <c r="AE70" i="58"/>
  <c r="AF70" i="58" s="1"/>
  <c r="AH86" i="58"/>
  <c r="AG86" i="58"/>
  <c r="AE86" i="58"/>
  <c r="AF86" i="58" s="1"/>
  <c r="AQ73" i="58"/>
  <c r="AP73" i="58"/>
  <c r="AN73" i="58"/>
  <c r="AO73" i="58" s="1"/>
  <c r="AQ90" i="58"/>
  <c r="AP90" i="58"/>
  <c r="AN90" i="58"/>
  <c r="AO90" i="58" s="1"/>
  <c r="P85" i="58"/>
  <c r="M85" i="58"/>
  <c r="N85" i="58" s="1"/>
  <c r="O85" i="58"/>
  <c r="P97" i="58"/>
  <c r="M97" i="58"/>
  <c r="N97" i="58" s="1"/>
  <c r="O97" i="58"/>
  <c r="Y82" i="58"/>
  <c r="X82" i="58"/>
  <c r="V82" i="58"/>
  <c r="W82" i="58" s="1"/>
  <c r="Y98" i="58"/>
  <c r="X98" i="58"/>
  <c r="V98" i="58"/>
  <c r="W98" i="58" s="1"/>
  <c r="AH87" i="58"/>
  <c r="AG87" i="58"/>
  <c r="AE87" i="58"/>
  <c r="AF87" i="58" s="1"/>
  <c r="AQ71" i="58"/>
  <c r="AP71" i="58"/>
  <c r="AN71" i="58"/>
  <c r="AO71" i="58" s="1"/>
  <c r="AQ83" i="58"/>
  <c r="AP83" i="58"/>
  <c r="AN83" i="58"/>
  <c r="AO83" i="58" s="1"/>
  <c r="AQ98" i="58"/>
  <c r="AP98" i="58"/>
  <c r="AN98" i="58"/>
  <c r="AO98" i="58" s="1"/>
  <c r="BW98" i="49"/>
  <c r="BW96" i="49"/>
  <c r="BW94" i="49"/>
  <c r="BW92" i="49"/>
  <c r="BW90" i="49"/>
  <c r="BW88" i="49"/>
  <c r="BW86" i="49"/>
  <c r="BW84" i="49"/>
  <c r="BW82" i="49"/>
  <c r="BW80" i="49"/>
  <c r="BW78" i="49"/>
  <c r="BW76" i="49"/>
  <c r="BW74" i="49"/>
  <c r="BW72" i="49"/>
  <c r="BW70" i="49"/>
  <c r="BN98" i="49"/>
  <c r="BN96" i="49"/>
  <c r="BN93" i="49"/>
  <c r="BN91" i="49"/>
  <c r="BN89" i="49"/>
  <c r="BN87" i="49"/>
  <c r="BN85" i="49"/>
  <c r="BN83" i="49"/>
  <c r="BN81" i="49"/>
  <c r="BN79" i="49"/>
  <c r="BN77" i="49"/>
  <c r="BN75" i="49"/>
  <c r="BN73" i="49"/>
  <c r="BN69" i="49"/>
  <c r="BE69" i="49"/>
  <c r="BN94" i="49"/>
  <c r="BN92" i="49"/>
  <c r="BN90" i="49"/>
  <c r="BN88" i="49"/>
  <c r="BN86" i="49"/>
  <c r="BN84" i="49"/>
  <c r="BN82" i="49"/>
  <c r="BN80" i="49"/>
  <c r="BW69" i="49"/>
  <c r="BN72" i="49"/>
  <c r="BN70" i="49"/>
  <c r="BE98" i="49"/>
  <c r="BE96" i="49"/>
  <c r="BW97" i="49"/>
  <c r="BW95" i="49"/>
  <c r="BW93" i="49"/>
  <c r="BW91" i="49"/>
  <c r="BW89" i="49"/>
  <c r="BW87" i="49"/>
  <c r="BW85" i="49"/>
  <c r="BW83" i="49"/>
  <c r="BW81" i="49"/>
  <c r="BW79" i="49"/>
  <c r="BW77" i="49"/>
  <c r="BW75" i="49"/>
  <c r="BW73" i="49"/>
  <c r="BW71" i="49"/>
  <c r="BN97" i="49"/>
  <c r="BN95" i="49"/>
  <c r="AV98" i="49"/>
  <c r="AV96" i="49"/>
  <c r="AV94" i="49"/>
  <c r="AV92" i="49"/>
  <c r="AV90" i="49"/>
  <c r="AV88" i="49"/>
  <c r="AV86" i="49"/>
  <c r="AV84" i="49"/>
  <c r="AV82" i="49"/>
  <c r="AV79" i="49"/>
  <c r="AV77" i="49"/>
  <c r="AV75" i="49"/>
  <c r="AV73" i="49"/>
  <c r="AV71" i="49"/>
  <c r="AM97" i="49"/>
  <c r="AM95" i="49"/>
  <c r="AM93" i="49"/>
  <c r="AM91" i="49"/>
  <c r="AM89" i="49"/>
  <c r="AM87" i="49"/>
  <c r="AM85" i="49"/>
  <c r="AM83" i="49"/>
  <c r="AM81" i="49"/>
  <c r="AM79" i="49"/>
  <c r="AM77" i="49"/>
  <c r="AM75" i="49"/>
  <c r="AM73" i="49"/>
  <c r="AM71" i="49"/>
  <c r="AD97" i="49"/>
  <c r="AD95" i="49"/>
  <c r="AD92" i="49"/>
  <c r="AD91" i="49"/>
  <c r="AD85" i="49"/>
  <c r="AD82" i="49"/>
  <c r="AD76" i="49"/>
  <c r="BE83" i="49"/>
  <c r="AM72" i="49"/>
  <c r="AD83" i="49"/>
  <c r="AD78" i="49"/>
  <c r="AD69" i="49"/>
  <c r="U83" i="49"/>
  <c r="L69" i="49"/>
  <c r="AV97" i="49"/>
  <c r="AM98" i="49"/>
  <c r="AM82" i="49"/>
  <c r="AM74" i="49"/>
  <c r="AD87" i="49"/>
  <c r="AD84" i="49"/>
  <c r="AD73" i="49"/>
  <c r="U96" i="49"/>
  <c r="U80" i="49"/>
  <c r="U79" i="49"/>
  <c r="U73" i="49"/>
  <c r="L97" i="49"/>
  <c r="L95" i="49"/>
  <c r="L89" i="49"/>
  <c r="L87" i="49"/>
  <c r="L81" i="49"/>
  <c r="L77" i="49"/>
  <c r="L73" i="49"/>
  <c r="U92" i="49"/>
  <c r="U85" i="49"/>
  <c r="U76" i="49"/>
  <c r="L94" i="49"/>
  <c r="L86" i="49"/>
  <c r="L84" i="49"/>
  <c r="L76" i="49"/>
  <c r="L70" i="49"/>
  <c r="BN78" i="49"/>
  <c r="BN71" i="49"/>
  <c r="BE94" i="49"/>
  <c r="BE90" i="49"/>
  <c r="BE86" i="49"/>
  <c r="BE82" i="49"/>
  <c r="BE74" i="49"/>
  <c r="BE70" i="49"/>
  <c r="AV93" i="49"/>
  <c r="AV81" i="49"/>
  <c r="AD94" i="49"/>
  <c r="AD70" i="49"/>
  <c r="U95" i="49"/>
  <c r="U89" i="49"/>
  <c r="U70" i="49"/>
  <c r="L91" i="49"/>
  <c r="L83" i="49"/>
  <c r="L75" i="49"/>
  <c r="AD81" i="49"/>
  <c r="U75" i="49"/>
  <c r="L96" i="49"/>
  <c r="L90" i="49"/>
  <c r="L78" i="49"/>
  <c r="L72" i="49"/>
  <c r="BN76" i="49"/>
  <c r="BE93" i="49"/>
  <c r="BE89" i="49"/>
  <c r="BE85" i="49"/>
  <c r="BE81" i="49"/>
  <c r="BE77" i="49"/>
  <c r="BE73" i="49"/>
  <c r="AV80" i="49"/>
  <c r="AV72" i="49"/>
  <c r="AM92" i="49"/>
  <c r="AM84" i="49"/>
  <c r="AM76" i="49"/>
  <c r="AD96" i="49"/>
  <c r="AD93" i="49"/>
  <c r="AD88" i="49"/>
  <c r="U82" i="49"/>
  <c r="L92" i="49"/>
  <c r="L82" i="49"/>
  <c r="BN74" i="49"/>
  <c r="BE97" i="49"/>
  <c r="BE92" i="49"/>
  <c r="BE88" i="49"/>
  <c r="BE84" i="49"/>
  <c r="BE80" i="49"/>
  <c r="BE76" i="49"/>
  <c r="BE72" i="49"/>
  <c r="AV95" i="49"/>
  <c r="AV91" i="49"/>
  <c r="AV87" i="49"/>
  <c r="AV83" i="49"/>
  <c r="AV74" i="49"/>
  <c r="AV69" i="49"/>
  <c r="AM94" i="49"/>
  <c r="AM86" i="49"/>
  <c r="AM78" i="49"/>
  <c r="AM70" i="49"/>
  <c r="AD98" i="49"/>
  <c r="AD86" i="49"/>
  <c r="AD79" i="49"/>
  <c r="AD72" i="49"/>
  <c r="AD71" i="49"/>
  <c r="U97" i="49"/>
  <c r="U94" i="49"/>
  <c r="U88" i="49"/>
  <c r="U87" i="49"/>
  <c r="U81" i="49"/>
  <c r="U78" i="49"/>
  <c r="U72" i="49"/>
  <c r="U71" i="49"/>
  <c r="BE95" i="49"/>
  <c r="BE91" i="49"/>
  <c r="BE87" i="49"/>
  <c r="BE79" i="49"/>
  <c r="BE75" i="49"/>
  <c r="BE71" i="49"/>
  <c r="AV76" i="49"/>
  <c r="AM96" i="49"/>
  <c r="AM88" i="49"/>
  <c r="AM80" i="49"/>
  <c r="AD90" i="49"/>
  <c r="AD80" i="49"/>
  <c r="AD74" i="49"/>
  <c r="U93" i="49"/>
  <c r="U90" i="49"/>
  <c r="U84" i="49"/>
  <c r="U77" i="49"/>
  <c r="U74" i="49"/>
  <c r="U69" i="49"/>
  <c r="BE78" i="49"/>
  <c r="AV89" i="49"/>
  <c r="AV85" i="49"/>
  <c r="AV78" i="49"/>
  <c r="AV70" i="49"/>
  <c r="AM90" i="49"/>
  <c r="AM69" i="49"/>
  <c r="AD89" i="49"/>
  <c r="AD77" i="49"/>
  <c r="U86" i="49"/>
  <c r="L93" i="49"/>
  <c r="L85" i="49"/>
  <c r="L79" i="49"/>
  <c r="L71" i="49"/>
  <c r="AD75" i="49"/>
  <c r="U98" i="49"/>
  <c r="U91" i="49"/>
  <c r="L98" i="49"/>
  <c r="L88" i="49"/>
  <c r="L80" i="49"/>
  <c r="L74" i="49"/>
  <c r="C98" i="60"/>
  <c r="C94" i="60"/>
  <c r="C90" i="60"/>
  <c r="C86" i="60"/>
  <c r="C82" i="60"/>
  <c r="C78" i="60"/>
  <c r="C74" i="60"/>
  <c r="C70" i="60"/>
  <c r="C97" i="60"/>
  <c r="C92" i="60"/>
  <c r="C87" i="60"/>
  <c r="C81" i="60"/>
  <c r="C76" i="60"/>
  <c r="C71" i="60"/>
  <c r="C96" i="60"/>
  <c r="C91" i="60"/>
  <c r="C85" i="60"/>
  <c r="C80" i="60"/>
  <c r="C75" i="60"/>
  <c r="C69" i="60"/>
  <c r="F69" i="60" s="1"/>
  <c r="C95" i="60"/>
  <c r="C89" i="60"/>
  <c r="C84" i="60"/>
  <c r="C79" i="60"/>
  <c r="C73" i="60"/>
  <c r="C93" i="60"/>
  <c r="C88" i="60"/>
  <c r="C83" i="60"/>
  <c r="C77" i="60"/>
  <c r="C72" i="60"/>
  <c r="G89" i="58"/>
  <c r="F89" i="58"/>
  <c r="G82" i="58"/>
  <c r="F82" i="58"/>
  <c r="F92" i="58"/>
  <c r="G92" i="58"/>
  <c r="G98" i="58"/>
  <c r="F98" i="58"/>
  <c r="F72" i="58"/>
  <c r="G72" i="58"/>
  <c r="G73" i="58"/>
  <c r="F73" i="58"/>
  <c r="F75" i="58"/>
  <c r="G75" i="58"/>
  <c r="C98" i="49"/>
  <c r="C94" i="49"/>
  <c r="C90" i="49"/>
  <c r="C93" i="49"/>
  <c r="C88" i="49"/>
  <c r="C84" i="49"/>
  <c r="C80" i="49"/>
  <c r="C76" i="49"/>
  <c r="C72" i="49"/>
  <c r="C97" i="49"/>
  <c r="C92" i="49"/>
  <c r="C87" i="49"/>
  <c r="C83" i="49"/>
  <c r="C79" i="49"/>
  <c r="C75" i="49"/>
  <c r="C71" i="49"/>
  <c r="C96" i="49"/>
  <c r="C91" i="49"/>
  <c r="C86" i="49"/>
  <c r="C82" i="49"/>
  <c r="C78" i="49"/>
  <c r="C74" i="49"/>
  <c r="C70" i="49"/>
  <c r="C95" i="49"/>
  <c r="C77" i="49"/>
  <c r="C89" i="49"/>
  <c r="C73" i="49"/>
  <c r="C85" i="49"/>
  <c r="C69" i="49"/>
  <c r="F69" i="49" s="1"/>
  <c r="C81" i="49"/>
  <c r="F95" i="58"/>
  <c r="G95" i="58"/>
  <c r="G97" i="58"/>
  <c r="F97" i="58"/>
  <c r="F83" i="58"/>
  <c r="G83" i="58"/>
  <c r="G93" i="58"/>
  <c r="F93" i="58"/>
  <c r="G94" i="58"/>
  <c r="F94" i="58"/>
  <c r="F91" i="58"/>
  <c r="G91" i="58"/>
  <c r="F80" i="58"/>
  <c r="G80" i="58"/>
  <c r="C70" i="54"/>
  <c r="C69" i="54"/>
  <c r="F69" i="54" s="1"/>
  <c r="C71" i="54"/>
  <c r="C72" i="54"/>
  <c r="C73" i="54"/>
  <c r="F73" i="54" s="1"/>
  <c r="C74" i="54"/>
  <c r="C76" i="54"/>
  <c r="C86" i="54"/>
  <c r="C87" i="54"/>
  <c r="C94" i="54"/>
  <c r="C88" i="54"/>
  <c r="C83" i="54"/>
  <c r="C89" i="54"/>
  <c r="C80" i="54"/>
  <c r="C98" i="54"/>
  <c r="C78" i="54"/>
  <c r="C90" i="54"/>
  <c r="C96" i="54"/>
  <c r="C91" i="54"/>
  <c r="C92" i="54"/>
  <c r="C85" i="54"/>
  <c r="C93" i="54"/>
  <c r="C82" i="54"/>
  <c r="C79" i="54"/>
  <c r="C81" i="54"/>
  <c r="C84" i="54"/>
  <c r="C97" i="54"/>
  <c r="C95" i="54"/>
  <c r="C75" i="54"/>
  <c r="F75" i="54" s="1"/>
  <c r="C77" i="54"/>
  <c r="G78" i="58"/>
  <c r="F78" i="58"/>
  <c r="F96" i="58"/>
  <c r="G96" i="58"/>
  <c r="G85" i="58"/>
  <c r="F85" i="58"/>
  <c r="F76" i="58"/>
  <c r="G76" i="58"/>
  <c r="G90" i="58"/>
  <c r="F90" i="58"/>
  <c r="F84" i="58"/>
  <c r="G84" i="58"/>
  <c r="F87" i="58"/>
  <c r="G87" i="58"/>
  <c r="F70" i="58"/>
  <c r="G70" i="58"/>
  <c r="C69" i="61"/>
  <c r="D69" i="61" s="1"/>
  <c r="C70" i="61"/>
  <c r="C88" i="61"/>
  <c r="D88" i="61" s="1"/>
  <c r="E88" i="61" s="1"/>
  <c r="C87" i="61"/>
  <c r="D87" i="61" s="1"/>
  <c r="E87" i="61" s="1"/>
  <c r="C95" i="61"/>
  <c r="D95" i="61" s="1"/>
  <c r="E95" i="61" s="1"/>
  <c r="C72" i="61"/>
  <c r="C81" i="61"/>
  <c r="D81" i="61" s="1"/>
  <c r="E81" i="61" s="1"/>
  <c r="C85" i="61"/>
  <c r="D85" i="61" s="1"/>
  <c r="E85" i="61" s="1"/>
  <c r="C96" i="61"/>
  <c r="C94" i="61"/>
  <c r="D94" i="61" s="1"/>
  <c r="E94" i="61" s="1"/>
  <c r="C89" i="61"/>
  <c r="D89" i="61" s="1"/>
  <c r="E89" i="61" s="1"/>
  <c r="C77" i="61"/>
  <c r="D77" i="61" s="1"/>
  <c r="E77" i="61" s="1"/>
  <c r="C75" i="61"/>
  <c r="D75" i="61" s="1"/>
  <c r="E75" i="61" s="1"/>
  <c r="C90" i="61"/>
  <c r="D90" i="61" s="1"/>
  <c r="E90" i="61" s="1"/>
  <c r="C98" i="61"/>
  <c r="D98" i="61" s="1"/>
  <c r="E98" i="61" s="1"/>
  <c r="C78" i="61"/>
  <c r="D78" i="61" s="1"/>
  <c r="E78" i="61" s="1"/>
  <c r="C86" i="61"/>
  <c r="D86" i="61" s="1"/>
  <c r="E86" i="61" s="1"/>
  <c r="C74" i="61"/>
  <c r="D74" i="61" s="1"/>
  <c r="E74" i="61" s="1"/>
  <c r="C84" i="61"/>
  <c r="D84" i="61" s="1"/>
  <c r="E84" i="61" s="1"/>
  <c r="C82" i="61"/>
  <c r="D82" i="61" s="1"/>
  <c r="E82" i="61" s="1"/>
  <c r="C93" i="61"/>
  <c r="D93" i="61" s="1"/>
  <c r="E93" i="61" s="1"/>
  <c r="C76" i="61"/>
  <c r="D76" i="61" s="1"/>
  <c r="E76" i="61" s="1"/>
  <c r="C97" i="61"/>
  <c r="D97" i="61" s="1"/>
  <c r="E97" i="61" s="1"/>
  <c r="C91" i="61"/>
  <c r="D91" i="61" s="1"/>
  <c r="E91" i="61" s="1"/>
  <c r="C73" i="61"/>
  <c r="D73" i="61" s="1"/>
  <c r="E73" i="61" s="1"/>
  <c r="C83" i="61"/>
  <c r="D83" i="61" s="1"/>
  <c r="E83" i="61" s="1"/>
  <c r="C92" i="61"/>
  <c r="D92" i="61" s="1"/>
  <c r="E92" i="61" s="1"/>
  <c r="C80" i="61"/>
  <c r="D80" i="61" s="1"/>
  <c r="E80" i="61" s="1"/>
  <c r="C79" i="61"/>
  <c r="D79" i="61" s="1"/>
  <c r="E79" i="61" s="1"/>
  <c r="C71" i="61"/>
  <c r="C96" i="51"/>
  <c r="C92" i="51"/>
  <c r="C88" i="51"/>
  <c r="C84" i="51"/>
  <c r="C80" i="51"/>
  <c r="C76" i="51"/>
  <c r="C72" i="51"/>
  <c r="C94" i="51"/>
  <c r="C89" i="51"/>
  <c r="C83" i="51"/>
  <c r="C78" i="51"/>
  <c r="C73" i="51"/>
  <c r="C98" i="51"/>
  <c r="C93" i="51"/>
  <c r="C87" i="51"/>
  <c r="C82" i="51"/>
  <c r="C77" i="51"/>
  <c r="C71" i="51"/>
  <c r="C97" i="51"/>
  <c r="C91" i="51"/>
  <c r="C86" i="51"/>
  <c r="C81" i="51"/>
  <c r="C75" i="51"/>
  <c r="C70" i="51"/>
  <c r="C95" i="51"/>
  <c r="C90" i="51"/>
  <c r="C85" i="51"/>
  <c r="C79" i="51"/>
  <c r="C74" i="51"/>
  <c r="C69" i="51"/>
  <c r="C96" i="50"/>
  <c r="C92" i="50"/>
  <c r="C88" i="50"/>
  <c r="C84" i="50"/>
  <c r="C80" i="50"/>
  <c r="C76" i="50"/>
  <c r="C72" i="50"/>
  <c r="C95" i="50"/>
  <c r="C90" i="50"/>
  <c r="C85" i="50"/>
  <c r="C79" i="50"/>
  <c r="C74" i="50"/>
  <c r="C69" i="50"/>
  <c r="C94" i="50"/>
  <c r="C89" i="50"/>
  <c r="C83" i="50"/>
  <c r="C78" i="50"/>
  <c r="C73" i="50"/>
  <c r="C98" i="50"/>
  <c r="C93" i="50"/>
  <c r="C87" i="50"/>
  <c r="C82" i="50"/>
  <c r="C77" i="50"/>
  <c r="C71" i="50"/>
  <c r="C97" i="50"/>
  <c r="C86" i="50"/>
  <c r="C81" i="50"/>
  <c r="C75" i="50"/>
  <c r="C91" i="50"/>
  <c r="C70" i="50"/>
  <c r="F88" i="58"/>
  <c r="G88" i="58"/>
  <c r="F71" i="58"/>
  <c r="G71" i="58"/>
  <c r="F79" i="58"/>
  <c r="G79" i="58"/>
  <c r="G74" i="58"/>
  <c r="F74" i="58"/>
  <c r="G86" i="58"/>
  <c r="F86" i="58"/>
  <c r="G81" i="58"/>
  <c r="F81" i="58"/>
  <c r="G77" i="58"/>
  <c r="F77" i="58"/>
  <c r="G69" i="58"/>
  <c r="F69" i="58"/>
  <c r="C95" i="63"/>
  <c r="C91" i="63"/>
  <c r="C87" i="63"/>
  <c r="C83" i="63"/>
  <c r="C79" i="63"/>
  <c r="C75" i="63"/>
  <c r="C71" i="63"/>
  <c r="C98" i="63"/>
  <c r="C94" i="63"/>
  <c r="C90" i="63"/>
  <c r="C86" i="63"/>
  <c r="C82" i="63"/>
  <c r="C78" i="63"/>
  <c r="C74" i="63"/>
  <c r="C70" i="63"/>
  <c r="C97" i="63"/>
  <c r="C93" i="63"/>
  <c r="C89" i="63"/>
  <c r="C85" i="63"/>
  <c r="C81" i="63"/>
  <c r="C77" i="63"/>
  <c r="C73" i="63"/>
  <c r="C69" i="63"/>
  <c r="F69" i="63" s="1"/>
  <c r="C96" i="63"/>
  <c r="C92" i="63"/>
  <c r="C88" i="63"/>
  <c r="C84" i="63"/>
  <c r="C80" i="63"/>
  <c r="C76" i="63"/>
  <c r="C72" i="63"/>
  <c r="C98" i="62"/>
  <c r="F98" i="62" s="1"/>
  <c r="C94" i="62"/>
  <c r="F94" i="62" s="1"/>
  <c r="C90" i="62"/>
  <c r="F90" i="62" s="1"/>
  <c r="C86" i="62"/>
  <c r="F86" i="62" s="1"/>
  <c r="C82" i="62"/>
  <c r="F82" i="62" s="1"/>
  <c r="C78" i="62"/>
  <c r="F78" i="62" s="1"/>
  <c r="C74" i="62"/>
  <c r="F74" i="62" s="1"/>
  <c r="C70" i="62"/>
  <c r="F70" i="62" s="1"/>
  <c r="C97" i="62"/>
  <c r="F97" i="62" s="1"/>
  <c r="C93" i="62"/>
  <c r="F93" i="62" s="1"/>
  <c r="C89" i="62"/>
  <c r="F89" i="62" s="1"/>
  <c r="C85" i="62"/>
  <c r="F85" i="62" s="1"/>
  <c r="C81" i="62"/>
  <c r="F81" i="62" s="1"/>
  <c r="C77" i="62"/>
  <c r="F77" i="62" s="1"/>
  <c r="C73" i="62"/>
  <c r="F73" i="62" s="1"/>
  <c r="C69" i="62"/>
  <c r="F69" i="62" s="1"/>
  <c r="C96" i="62"/>
  <c r="F96" i="62" s="1"/>
  <c r="C92" i="62"/>
  <c r="F92" i="62" s="1"/>
  <c r="C88" i="62"/>
  <c r="F88" i="62" s="1"/>
  <c r="C84" i="62"/>
  <c r="F84" i="62" s="1"/>
  <c r="C80" i="62"/>
  <c r="F80" i="62" s="1"/>
  <c r="C76" i="62"/>
  <c r="F76" i="62" s="1"/>
  <c r="C72" i="62"/>
  <c r="F72" i="62" s="1"/>
  <c r="C95" i="62"/>
  <c r="F95" i="62" s="1"/>
  <c r="C91" i="62"/>
  <c r="F91" i="62" s="1"/>
  <c r="C87" i="62"/>
  <c r="F87" i="62" s="1"/>
  <c r="C83" i="62"/>
  <c r="F83" i="62" s="1"/>
  <c r="C79" i="62"/>
  <c r="F79" i="62" s="1"/>
  <c r="C75" i="62"/>
  <c r="F75" i="62" s="1"/>
  <c r="C71" i="62"/>
  <c r="F71" i="62" s="1"/>
  <c r="C76" i="59"/>
  <c r="C91" i="59"/>
  <c r="C87" i="59"/>
  <c r="C75" i="59"/>
  <c r="C90" i="59"/>
  <c r="C78" i="59"/>
  <c r="C70" i="59"/>
  <c r="C95" i="59"/>
  <c r="C83" i="59"/>
  <c r="C71" i="59"/>
  <c r="C98" i="59"/>
  <c r="C94" i="59"/>
  <c r="C82" i="59"/>
  <c r="C74" i="59"/>
  <c r="C86" i="59"/>
  <c r="C97" i="59"/>
  <c r="C93" i="59"/>
  <c r="C89" i="59"/>
  <c r="C85" i="59"/>
  <c r="C81" i="59"/>
  <c r="C77" i="59"/>
  <c r="C73" i="59"/>
  <c r="C69" i="59"/>
  <c r="C96" i="59"/>
  <c r="C92" i="59"/>
  <c r="C88" i="59"/>
  <c r="C84" i="59"/>
  <c r="C80" i="59"/>
  <c r="C72" i="59"/>
  <c r="C79" i="59"/>
  <c r="D96" i="61"/>
  <c r="E96" i="61" s="1"/>
  <c r="U387" i="23"/>
  <c r="L38" i="51"/>
  <c r="L37" i="51" s="1"/>
  <c r="B37" i="51" s="1"/>
  <c r="BI283" i="40"/>
  <c r="BI288" i="40" s="1"/>
  <c r="BI291" i="40" s="1"/>
  <c r="CE22" i="40"/>
  <c r="CD23" i="40"/>
  <c r="BZ22" i="40"/>
  <c r="BY23" i="40"/>
  <c r="CH185" i="40"/>
  <c r="BU11" i="40"/>
  <c r="BT12" i="40"/>
  <c r="CM192" i="40"/>
  <c r="CW43" i="40"/>
  <c r="Y63" i="18"/>
  <c r="N72" i="23"/>
  <c r="N43" i="23"/>
  <c r="N78" i="23" s="1"/>
  <c r="N38" i="23"/>
  <c r="N73" i="23" s="1"/>
  <c r="N47" i="23"/>
  <c r="N42" i="23"/>
  <c r="N77" i="23" s="1"/>
  <c r="N46" i="23"/>
  <c r="N40" i="23"/>
  <c r="N75" i="23" s="1"/>
  <c r="N36" i="23"/>
  <c r="G198" i="1" s="1"/>
  <c r="N44" i="23"/>
  <c r="N79" i="23" s="1"/>
  <c r="N39" i="23"/>
  <c r="N74" i="23" s="1"/>
  <c r="N41" i="23"/>
  <c r="N76" i="23" s="1"/>
  <c r="N45" i="23"/>
  <c r="N80" i="23" s="1"/>
  <c r="O47" i="23"/>
  <c r="O36" i="23"/>
  <c r="G200" i="1" s="1"/>
  <c r="O72" i="23"/>
  <c r="O40" i="23"/>
  <c r="O75" i="23" s="1"/>
  <c r="O38" i="23"/>
  <c r="O73" i="23" s="1"/>
  <c r="O44" i="23"/>
  <c r="O79" i="23" s="1"/>
  <c r="O41" i="23"/>
  <c r="O76" i="23" s="1"/>
  <c r="O42" i="23"/>
  <c r="O77" i="23" s="1"/>
  <c r="O39" i="23"/>
  <c r="O74" i="23" s="1"/>
  <c r="O45" i="23"/>
  <c r="O80" i="23" s="1"/>
  <c r="O46" i="23"/>
  <c r="O43" i="23"/>
  <c r="O78" i="23" s="1"/>
  <c r="L47" i="23"/>
  <c r="L42" i="23"/>
  <c r="L46" i="23"/>
  <c r="L40" i="23"/>
  <c r="L36" i="23"/>
  <c r="G194" i="1" s="1"/>
  <c r="AG168" i="1" s="1"/>
  <c r="L44" i="23"/>
  <c r="L79" i="23" s="1"/>
  <c r="L39" i="23"/>
  <c r="L43" i="23"/>
  <c r="L38" i="23"/>
  <c r="L41" i="23"/>
  <c r="L45" i="23"/>
  <c r="L80" i="23" s="1"/>
  <c r="L264" i="23"/>
  <c r="M264" i="23" s="1"/>
  <c r="AH280" i="23"/>
  <c r="AH276" i="23"/>
  <c r="AH272" i="23"/>
  <c r="AH268" i="23"/>
  <c r="AH264" i="23"/>
  <c r="AE279" i="23"/>
  <c r="AE275" i="23"/>
  <c r="AE271" i="23"/>
  <c r="AE267" i="23"/>
  <c r="AE263" i="23"/>
  <c r="AB280" i="23"/>
  <c r="AB276" i="23"/>
  <c r="AB272" i="23"/>
  <c r="AB268" i="23"/>
  <c r="AB264" i="23"/>
  <c r="Y279" i="23"/>
  <c r="Y275" i="23"/>
  <c r="Y271" i="23"/>
  <c r="Y267" i="23"/>
  <c r="Y263" i="23"/>
  <c r="AH279" i="23"/>
  <c r="AH275" i="23"/>
  <c r="AH271" i="23"/>
  <c r="AH267" i="23"/>
  <c r="AH263" i="23"/>
  <c r="AE278" i="23"/>
  <c r="AE274" i="23"/>
  <c r="AE270" i="23"/>
  <c r="AE266" i="23"/>
  <c r="AB279" i="23"/>
  <c r="AB275" i="23"/>
  <c r="AB271" i="23"/>
  <c r="AB267" i="23"/>
  <c r="AB263" i="23"/>
  <c r="Y278" i="23"/>
  <c r="Y274" i="23"/>
  <c r="Y270" i="23"/>
  <c r="Y266" i="23"/>
  <c r="AH278" i="23"/>
  <c r="AH274" i="23"/>
  <c r="AH270" i="23"/>
  <c r="AH266" i="23"/>
  <c r="AE281" i="23"/>
  <c r="AE277" i="23"/>
  <c r="AE273" i="23"/>
  <c r="AE269" i="23"/>
  <c r="AE265" i="23"/>
  <c r="AB278" i="23"/>
  <c r="AB274" i="23"/>
  <c r="AB270" i="23"/>
  <c r="AB266" i="23"/>
  <c r="Y281" i="23"/>
  <c r="Y277" i="23"/>
  <c r="Y273" i="23"/>
  <c r="Y269" i="23"/>
  <c r="Y265" i="23"/>
  <c r="S263" i="23"/>
  <c r="AH281" i="23"/>
  <c r="AH277" i="23"/>
  <c r="AH273" i="23"/>
  <c r="AH269" i="23"/>
  <c r="AH265" i="23"/>
  <c r="AE280" i="23"/>
  <c r="AE276" i="23"/>
  <c r="AE272" i="23"/>
  <c r="AE268" i="23"/>
  <c r="AE264" i="23"/>
  <c r="AB281" i="23"/>
  <c r="AB277" i="23"/>
  <c r="AB273" i="23"/>
  <c r="AB269" i="23"/>
  <c r="AB265" i="23"/>
  <c r="Y280" i="23"/>
  <c r="Y276" i="23"/>
  <c r="Y272" i="23"/>
  <c r="Y268" i="23"/>
  <c r="Y264" i="23"/>
  <c r="V263" i="23"/>
  <c r="M263" i="23"/>
  <c r="P263" i="23"/>
  <c r="M47" i="23"/>
  <c r="M45" i="23"/>
  <c r="M80" i="23" s="1"/>
  <c r="M36" i="23"/>
  <c r="G196" i="1" s="1"/>
  <c r="AG169" i="1" s="1"/>
  <c r="M72" i="23"/>
  <c r="M38" i="23"/>
  <c r="M73" i="23" s="1"/>
  <c r="M40" i="23"/>
  <c r="M75" i="23" s="1"/>
  <c r="M42" i="23"/>
  <c r="M77" i="23" s="1"/>
  <c r="M39" i="23"/>
  <c r="M74" i="23" s="1"/>
  <c r="M44" i="23"/>
  <c r="M79" i="23" s="1"/>
  <c r="M41" i="23"/>
  <c r="M76" i="23" s="1"/>
  <c r="M46" i="23"/>
  <c r="M43" i="23"/>
  <c r="M78" i="23" s="1"/>
  <c r="J161" i="23"/>
  <c r="J159" i="23"/>
  <c r="J168" i="23"/>
  <c r="J167" i="23"/>
  <c r="J166" i="23"/>
  <c r="J162" i="23"/>
  <c r="J158" i="23"/>
  <c r="J165" i="23"/>
  <c r="J157" i="23"/>
  <c r="J164" i="23"/>
  <c r="J160" i="23"/>
  <c r="J156" i="23"/>
  <c r="K156" i="23" s="1"/>
  <c r="J163" i="23"/>
  <c r="BN63" i="40"/>
  <c r="BN64" i="40" s="1"/>
  <c r="BN65" i="40" s="1"/>
  <c r="BN66" i="40" s="1"/>
  <c r="BN68" i="40" s="1"/>
  <c r="BN70" i="40" s="1"/>
  <c r="BN71" i="40" s="1"/>
  <c r="BN72" i="40" s="1"/>
  <c r="BN73" i="40" s="1"/>
  <c r="BN255" i="40"/>
  <c r="CS27" i="40"/>
  <c r="CT26" i="40"/>
  <c r="H208" i="1"/>
  <c r="AL157" i="23"/>
  <c r="AM157" i="23" s="1"/>
  <c r="AM156" i="23"/>
  <c r="J373" i="23"/>
  <c r="J378" i="23" s="1"/>
  <c r="V127" i="1" s="1"/>
  <c r="V133" i="1" s="1"/>
  <c r="AD264" i="23"/>
  <c r="AH5" i="23"/>
  <c r="AG269" i="23"/>
  <c r="AG266" i="23"/>
  <c r="AG281" i="23"/>
  <c r="AD277" i="23"/>
  <c r="AG278" i="23"/>
  <c r="AD274" i="23"/>
  <c r="AG271" i="23"/>
  <c r="AD280" i="23"/>
  <c r="AD269" i="23"/>
  <c r="AG274" i="23"/>
  <c r="AD272" i="23"/>
  <c r="H265" i="23"/>
  <c r="AD266" i="23"/>
  <c r="O264" i="23"/>
  <c r="P264" i="23" s="1"/>
  <c r="AG275" i="23"/>
  <c r="AG270" i="23"/>
  <c r="AG265" i="23"/>
  <c r="AD278" i="23"/>
  <c r="AD273" i="23"/>
  <c r="AD268" i="23"/>
  <c r="X264" i="23"/>
  <c r="X265" i="23" s="1"/>
  <c r="AG279" i="23"/>
  <c r="AG273" i="23"/>
  <c r="AG267" i="23"/>
  <c r="AD281" i="23"/>
  <c r="AD276" i="23"/>
  <c r="AD270" i="23"/>
  <c r="AD265" i="23"/>
  <c r="AG277" i="23"/>
  <c r="AA264" i="23"/>
  <c r="AA265" i="23" s="1"/>
  <c r="AA266" i="23" s="1"/>
  <c r="U168" i="1"/>
  <c r="T168" i="1" s="1"/>
  <c r="AG276" i="23"/>
  <c r="AG272" i="23"/>
  <c r="AG268" i="23"/>
  <c r="AD279" i="23"/>
  <c r="AD275" i="23"/>
  <c r="AD271" i="23"/>
  <c r="AD267" i="23"/>
  <c r="R264" i="23"/>
  <c r="R265" i="23" s="1"/>
  <c r="R266" i="23" s="1"/>
  <c r="S266" i="23" s="1"/>
  <c r="AG280" i="23"/>
  <c r="AG264" i="23"/>
  <c r="U264" i="23"/>
  <c r="V264" i="23" s="1"/>
  <c r="Y370" i="23"/>
  <c r="Z370" i="23" s="1"/>
  <c r="Y366" i="23"/>
  <c r="Y362" i="23"/>
  <c r="Y368" i="23"/>
  <c r="Y373" i="23"/>
  <c r="Z373" i="23" s="1"/>
  <c r="Y369" i="23"/>
  <c r="Y365" i="23"/>
  <c r="Y361" i="23"/>
  <c r="Y360" i="23"/>
  <c r="Y372" i="23"/>
  <c r="Z372" i="23" s="1"/>
  <c r="Y371" i="23"/>
  <c r="Y367" i="23"/>
  <c r="Y363" i="23"/>
  <c r="Y364" i="23"/>
  <c r="N222" i="23"/>
  <c r="N224" i="23"/>
  <c r="N219" i="23"/>
  <c r="N217" i="23"/>
  <c r="N220" i="23"/>
  <c r="N215" i="23"/>
  <c r="N225" i="23"/>
  <c r="N216" i="23"/>
  <c r="N218" i="23"/>
  <c r="N221" i="23"/>
  <c r="N223" i="23"/>
  <c r="N214" i="23"/>
  <c r="P214" i="23" s="1"/>
  <c r="AA267" i="23"/>
  <c r="X266" i="23"/>
  <c r="B249" i="23"/>
  <c r="C249" i="23" s="1"/>
  <c r="A250" i="23"/>
  <c r="D69" i="49" l="1"/>
  <c r="E69" i="49" s="1"/>
  <c r="BD5" i="40"/>
  <c r="BD7" i="40" s="1"/>
  <c r="BD8" i="40" s="1"/>
  <c r="BD71" i="40"/>
  <c r="AG70" i="70"/>
  <c r="AE70" i="70"/>
  <c r="AF70" i="70" s="1"/>
  <c r="AH70" i="70"/>
  <c r="M72" i="70"/>
  <c r="N72" i="70" s="1"/>
  <c r="P72" i="70"/>
  <c r="O72" i="70"/>
  <c r="BZ73" i="70"/>
  <c r="BX73" i="70"/>
  <c r="BY73" i="70" s="1"/>
  <c r="CA73" i="70"/>
  <c r="BH75" i="70"/>
  <c r="BI75" i="70"/>
  <c r="BF75" i="70"/>
  <c r="BG75" i="70" s="1"/>
  <c r="AP77" i="70"/>
  <c r="AQ77" i="70"/>
  <c r="AN77" i="70"/>
  <c r="AO77" i="70" s="1"/>
  <c r="V79" i="70"/>
  <c r="W79" i="70" s="1"/>
  <c r="X79" i="70"/>
  <c r="Y79" i="70"/>
  <c r="G81" i="70"/>
  <c r="D81" i="70"/>
  <c r="E81" i="70" s="1"/>
  <c r="F81" i="70"/>
  <c r="BO82" i="70"/>
  <c r="BP82" i="70" s="1"/>
  <c r="BQ82" i="70"/>
  <c r="BR82" i="70"/>
  <c r="AY84" i="70"/>
  <c r="AZ84" i="70"/>
  <c r="AW84" i="70"/>
  <c r="AX84" i="70" s="1"/>
  <c r="AG86" i="70"/>
  <c r="AH86" i="70"/>
  <c r="AE86" i="70"/>
  <c r="AF86" i="70" s="1"/>
  <c r="O88" i="70"/>
  <c r="P88" i="70"/>
  <c r="M88" i="70"/>
  <c r="N88" i="70" s="1"/>
  <c r="CA89" i="70"/>
  <c r="BX89" i="70"/>
  <c r="BY89" i="70" s="1"/>
  <c r="BZ89" i="70"/>
  <c r="BI91" i="70"/>
  <c r="BF91" i="70"/>
  <c r="BG91" i="70" s="1"/>
  <c r="BH91" i="70"/>
  <c r="AQ93" i="70"/>
  <c r="AN93" i="70"/>
  <c r="AO93" i="70" s="1"/>
  <c r="AP93" i="70"/>
  <c r="Y95" i="70"/>
  <c r="V95" i="70"/>
  <c r="W95" i="70" s="1"/>
  <c r="X95" i="70"/>
  <c r="G97" i="70"/>
  <c r="D97" i="70"/>
  <c r="E97" i="70" s="1"/>
  <c r="F97" i="70"/>
  <c r="BR98" i="70"/>
  <c r="BO98" i="70"/>
  <c r="BP98" i="70" s="1"/>
  <c r="BQ98" i="70"/>
  <c r="BZ70" i="70"/>
  <c r="CA70" i="70"/>
  <c r="BX70" i="70"/>
  <c r="BY70" i="70" s="1"/>
  <c r="BH72" i="70"/>
  <c r="BI72" i="70"/>
  <c r="BF72" i="70"/>
  <c r="BG72" i="70" s="1"/>
  <c r="AN74" i="70"/>
  <c r="AO74" i="70" s="1"/>
  <c r="AQ74" i="70"/>
  <c r="AP74" i="70"/>
  <c r="V76" i="70"/>
  <c r="W76" i="70" s="1"/>
  <c r="Y76" i="70"/>
  <c r="X76" i="70"/>
  <c r="D78" i="70"/>
  <c r="E78" i="70" s="1"/>
  <c r="F78" i="70"/>
  <c r="G78" i="70"/>
  <c r="BQ79" i="70"/>
  <c r="BO79" i="70"/>
  <c r="BP79" i="70" s="1"/>
  <c r="BR79" i="70"/>
  <c r="AZ81" i="70"/>
  <c r="AW81" i="70"/>
  <c r="AX81" i="70" s="1"/>
  <c r="AY81" i="70"/>
  <c r="AG83" i="70"/>
  <c r="AH83" i="70"/>
  <c r="AE83" i="70"/>
  <c r="AF83" i="70" s="1"/>
  <c r="P85" i="70"/>
  <c r="O85" i="70"/>
  <c r="M85" i="70"/>
  <c r="N85" i="70" s="1"/>
  <c r="CA86" i="70"/>
  <c r="BZ86" i="70"/>
  <c r="BX86" i="70"/>
  <c r="BY86" i="70" s="1"/>
  <c r="BI88" i="70"/>
  <c r="BH88" i="70"/>
  <c r="BF88" i="70"/>
  <c r="BG88" i="70" s="1"/>
  <c r="AQ90" i="70"/>
  <c r="AN90" i="70"/>
  <c r="AO90" i="70" s="1"/>
  <c r="AP90" i="70"/>
  <c r="Y92" i="70"/>
  <c r="X92" i="70"/>
  <c r="V92" i="70"/>
  <c r="W92" i="70" s="1"/>
  <c r="G94" i="70"/>
  <c r="D94" i="70"/>
  <c r="E94" i="70" s="1"/>
  <c r="F94" i="70"/>
  <c r="BR95" i="70"/>
  <c r="BQ95" i="70"/>
  <c r="BO95" i="70"/>
  <c r="BP95" i="70" s="1"/>
  <c r="AZ97" i="70"/>
  <c r="AW97" i="70"/>
  <c r="AX97" i="70" s="1"/>
  <c r="AY97" i="70"/>
  <c r="D69" i="70"/>
  <c r="E69" i="70" s="1"/>
  <c r="F69" i="70"/>
  <c r="AZ70" i="70"/>
  <c r="AW70" i="70"/>
  <c r="AX70" i="70" s="1"/>
  <c r="AY70" i="70"/>
  <c r="AH72" i="70"/>
  <c r="AE72" i="70"/>
  <c r="AF72" i="70" s="1"/>
  <c r="AG72" i="70"/>
  <c r="P74" i="70"/>
  <c r="M74" i="70"/>
  <c r="N74" i="70" s="1"/>
  <c r="O74" i="70"/>
  <c r="CA75" i="70"/>
  <c r="BX75" i="70"/>
  <c r="BY75" i="70" s="1"/>
  <c r="BZ75" i="70"/>
  <c r="BI77" i="70"/>
  <c r="BH77" i="70"/>
  <c r="BF77" i="70"/>
  <c r="BG77" i="70" s="1"/>
  <c r="AQ79" i="70"/>
  <c r="AP79" i="70"/>
  <c r="AN79" i="70"/>
  <c r="AO79" i="70" s="1"/>
  <c r="V81" i="70"/>
  <c r="W81" i="70" s="1"/>
  <c r="Y81" i="70"/>
  <c r="X81" i="70"/>
  <c r="G83" i="70"/>
  <c r="F83" i="70"/>
  <c r="D83" i="70"/>
  <c r="E83" i="70" s="1"/>
  <c r="BO84" i="70"/>
  <c r="BP84" i="70" s="1"/>
  <c r="BR84" i="70"/>
  <c r="BQ84" i="70"/>
  <c r="AW86" i="70"/>
  <c r="AX86" i="70" s="1"/>
  <c r="AY86" i="70"/>
  <c r="AZ86" i="70"/>
  <c r="AE88" i="70"/>
  <c r="AF88" i="70" s="1"/>
  <c r="AG88" i="70"/>
  <c r="AH88" i="70"/>
  <c r="P90" i="70"/>
  <c r="M90" i="70"/>
  <c r="N90" i="70" s="1"/>
  <c r="O90" i="70"/>
  <c r="BX91" i="70"/>
  <c r="BY91" i="70" s="1"/>
  <c r="BZ91" i="70"/>
  <c r="CA91" i="70"/>
  <c r="BF93" i="70"/>
  <c r="BG93" i="70" s="1"/>
  <c r="BH93" i="70"/>
  <c r="BI93" i="70"/>
  <c r="AQ95" i="70"/>
  <c r="AP95" i="70"/>
  <c r="AN95" i="70"/>
  <c r="AO95" i="70" s="1"/>
  <c r="Y97" i="70"/>
  <c r="X97" i="70"/>
  <c r="V97" i="70"/>
  <c r="W97" i="70" s="1"/>
  <c r="M69" i="70"/>
  <c r="N69" i="70" s="1"/>
  <c r="O69" i="70"/>
  <c r="BF70" i="70"/>
  <c r="BG70" i="70" s="1"/>
  <c r="BI70" i="70"/>
  <c r="BH70" i="70"/>
  <c r="AN72" i="70"/>
  <c r="AO72" i="70" s="1"/>
  <c r="AQ72" i="70"/>
  <c r="AP72" i="70"/>
  <c r="V74" i="70"/>
  <c r="W74" i="70" s="1"/>
  <c r="Y74" i="70"/>
  <c r="X74" i="70"/>
  <c r="F76" i="70"/>
  <c r="D76" i="70"/>
  <c r="E76" i="70" s="1"/>
  <c r="G76" i="70"/>
  <c r="BR77" i="70"/>
  <c r="BO77" i="70"/>
  <c r="BP77" i="70" s="1"/>
  <c r="BQ77" i="70"/>
  <c r="AZ79" i="70"/>
  <c r="AW79" i="70"/>
  <c r="AX79" i="70" s="1"/>
  <c r="AY79" i="70"/>
  <c r="AH81" i="70"/>
  <c r="AG81" i="70"/>
  <c r="AE81" i="70"/>
  <c r="AF81" i="70" s="1"/>
  <c r="P83" i="70"/>
  <c r="O83" i="70"/>
  <c r="M83" i="70"/>
  <c r="N83" i="70" s="1"/>
  <c r="CA84" i="70"/>
  <c r="BZ84" i="70"/>
  <c r="BX84" i="70"/>
  <c r="BY84" i="70" s="1"/>
  <c r="BI86" i="70"/>
  <c r="BF86" i="70"/>
  <c r="BG86" i="70" s="1"/>
  <c r="BH86" i="70"/>
  <c r="AQ88" i="70"/>
  <c r="AP88" i="70"/>
  <c r="AN88" i="70"/>
  <c r="AO88" i="70" s="1"/>
  <c r="Y90" i="70"/>
  <c r="V90" i="70"/>
  <c r="W90" i="70" s="1"/>
  <c r="X90" i="70"/>
  <c r="D92" i="70"/>
  <c r="E92" i="70" s="1"/>
  <c r="F92" i="70"/>
  <c r="G92" i="70"/>
  <c r="BO93" i="70"/>
  <c r="BP93" i="70" s="1"/>
  <c r="BQ93" i="70"/>
  <c r="BR93" i="70"/>
  <c r="AW95" i="70"/>
  <c r="AX95" i="70" s="1"/>
  <c r="AY95" i="70"/>
  <c r="AZ95" i="70"/>
  <c r="AH97" i="70"/>
  <c r="AE97" i="70"/>
  <c r="AF97" i="70" s="1"/>
  <c r="AG97" i="70"/>
  <c r="AO98" i="30"/>
  <c r="BR70" i="70"/>
  <c r="BQ70" i="70"/>
  <c r="BO70" i="70"/>
  <c r="BP70" i="70" s="1"/>
  <c r="AY72" i="70"/>
  <c r="AW72" i="70"/>
  <c r="AX72" i="70" s="1"/>
  <c r="AZ72" i="70"/>
  <c r="AH74" i="70"/>
  <c r="AG74" i="70"/>
  <c r="AE74" i="70"/>
  <c r="AF74" i="70" s="1"/>
  <c r="O76" i="70"/>
  <c r="P76" i="70"/>
  <c r="M76" i="70"/>
  <c r="N76" i="70" s="1"/>
  <c r="BZ77" i="70"/>
  <c r="BX77" i="70"/>
  <c r="BY77" i="70" s="1"/>
  <c r="CA77" i="70"/>
  <c r="BI79" i="70"/>
  <c r="BF79" i="70"/>
  <c r="BG79" i="70" s="1"/>
  <c r="BH79" i="70"/>
  <c r="AQ81" i="70"/>
  <c r="AP81" i="70"/>
  <c r="AN81" i="70"/>
  <c r="AO81" i="70" s="1"/>
  <c r="X83" i="70"/>
  <c r="Y83" i="70"/>
  <c r="V83" i="70"/>
  <c r="W83" i="70" s="1"/>
  <c r="F85" i="70"/>
  <c r="D85" i="70"/>
  <c r="E85" i="70" s="1"/>
  <c r="G85" i="70"/>
  <c r="BQ86" i="70"/>
  <c r="BO86" i="70"/>
  <c r="BP86" i="70" s="1"/>
  <c r="BR86" i="70"/>
  <c r="AY88" i="70"/>
  <c r="AW88" i="70"/>
  <c r="AX88" i="70" s="1"/>
  <c r="AZ88" i="70"/>
  <c r="AH90" i="70"/>
  <c r="AE90" i="70"/>
  <c r="AF90" i="70" s="1"/>
  <c r="AG90" i="70"/>
  <c r="P92" i="70"/>
  <c r="M92" i="70"/>
  <c r="N92" i="70" s="1"/>
  <c r="O92" i="70"/>
  <c r="CA93" i="70"/>
  <c r="BX93" i="70"/>
  <c r="BY93" i="70" s="1"/>
  <c r="BZ93" i="70"/>
  <c r="BI95" i="70"/>
  <c r="BF95" i="70"/>
  <c r="BG95" i="70" s="1"/>
  <c r="BH95" i="70"/>
  <c r="AQ97" i="70"/>
  <c r="AN97" i="70"/>
  <c r="AO97" i="70" s="1"/>
  <c r="AP97" i="70"/>
  <c r="AN69" i="70"/>
  <c r="AO69" i="70" s="1"/>
  <c r="AP69" i="70"/>
  <c r="AH71" i="70"/>
  <c r="AE71" i="70"/>
  <c r="AF71" i="70" s="1"/>
  <c r="AG71" i="70"/>
  <c r="P73" i="70"/>
  <c r="M73" i="70"/>
  <c r="N73" i="70" s="1"/>
  <c r="O73" i="70"/>
  <c r="BX74" i="70"/>
  <c r="BY74" i="70" s="1"/>
  <c r="CA74" i="70"/>
  <c r="BZ74" i="70"/>
  <c r="BF76" i="70"/>
  <c r="BG76" i="70" s="1"/>
  <c r="BI76" i="70"/>
  <c r="BH76" i="70"/>
  <c r="AN78" i="70"/>
  <c r="AO78" i="70" s="1"/>
  <c r="AP78" i="70"/>
  <c r="AQ78" i="70"/>
  <c r="V80" i="70"/>
  <c r="W80" i="70" s="1"/>
  <c r="Y80" i="70"/>
  <c r="X80" i="70"/>
  <c r="D82" i="70"/>
  <c r="E82" i="70" s="1"/>
  <c r="G82" i="70"/>
  <c r="F82" i="70"/>
  <c r="BQ83" i="70"/>
  <c r="BR83" i="70"/>
  <c r="BO83" i="70"/>
  <c r="BP83" i="70" s="1"/>
  <c r="AZ85" i="70"/>
  <c r="AW85" i="70"/>
  <c r="AX85" i="70" s="1"/>
  <c r="AY85" i="70"/>
  <c r="AH87" i="70"/>
  <c r="AE87" i="70"/>
  <c r="AF87" i="70" s="1"/>
  <c r="AG87" i="70"/>
  <c r="O89" i="70"/>
  <c r="M89" i="70"/>
  <c r="N89" i="70" s="1"/>
  <c r="P89" i="70"/>
  <c r="CA90" i="70"/>
  <c r="BX90" i="70"/>
  <c r="BY90" i="70" s="1"/>
  <c r="BZ90" i="70"/>
  <c r="BI92" i="70"/>
  <c r="BH92" i="70"/>
  <c r="BF92" i="70"/>
  <c r="BG92" i="70" s="1"/>
  <c r="AQ94" i="70"/>
  <c r="AP94" i="70"/>
  <c r="AN94" i="70"/>
  <c r="AO94" i="70" s="1"/>
  <c r="Y96" i="70"/>
  <c r="V96" i="70"/>
  <c r="W96" i="70" s="1"/>
  <c r="X96" i="70"/>
  <c r="G98" i="70"/>
  <c r="D98" i="70"/>
  <c r="E98" i="70" s="1"/>
  <c r="F98" i="70"/>
  <c r="AY69" i="70"/>
  <c r="AW69" i="70"/>
  <c r="AX69" i="70" s="1"/>
  <c r="G71" i="70"/>
  <c r="F71" i="70"/>
  <c r="D71" i="70"/>
  <c r="E71" i="70" s="1"/>
  <c r="BR72" i="70"/>
  <c r="BQ72" i="70"/>
  <c r="BO72" i="70"/>
  <c r="BP72" i="70" s="1"/>
  <c r="AZ74" i="70"/>
  <c r="AY74" i="70"/>
  <c r="AW74" i="70"/>
  <c r="AX74" i="70" s="1"/>
  <c r="AH76" i="70"/>
  <c r="AG76" i="70"/>
  <c r="AE76" i="70"/>
  <c r="AF76" i="70" s="1"/>
  <c r="P78" i="70"/>
  <c r="M78" i="70"/>
  <c r="N78" i="70" s="1"/>
  <c r="O78" i="70"/>
  <c r="BZ79" i="70"/>
  <c r="BX79" i="70"/>
  <c r="BY79" i="70" s="1"/>
  <c r="CA79" i="70"/>
  <c r="BI81" i="70"/>
  <c r="BF81" i="70"/>
  <c r="BG81" i="70" s="1"/>
  <c r="BH81" i="70"/>
  <c r="AN83" i="70"/>
  <c r="AO83" i="70" s="1"/>
  <c r="AP83" i="70"/>
  <c r="AQ83" i="70"/>
  <c r="V85" i="70"/>
  <c r="W85" i="70" s="1"/>
  <c r="X85" i="70"/>
  <c r="Y85" i="70"/>
  <c r="D87" i="70"/>
  <c r="E87" i="70" s="1"/>
  <c r="F87" i="70"/>
  <c r="G87" i="70"/>
  <c r="BO88" i="70"/>
  <c r="BP88" i="70" s="1"/>
  <c r="BQ88" i="70"/>
  <c r="BR88" i="70"/>
  <c r="AY90" i="70"/>
  <c r="AZ90" i="70"/>
  <c r="AW90" i="70"/>
  <c r="AX90" i="70" s="1"/>
  <c r="AE92" i="70"/>
  <c r="AF92" i="70" s="1"/>
  <c r="AG92" i="70"/>
  <c r="AH92" i="70"/>
  <c r="M94" i="70"/>
  <c r="N94" i="70" s="1"/>
  <c r="O94" i="70"/>
  <c r="P94" i="70"/>
  <c r="BX95" i="70"/>
  <c r="BY95" i="70" s="1"/>
  <c r="BZ95" i="70"/>
  <c r="CA95" i="70"/>
  <c r="BI97" i="70"/>
  <c r="BF97" i="70"/>
  <c r="BG97" i="70" s="1"/>
  <c r="BH97" i="70"/>
  <c r="AE69" i="70"/>
  <c r="AF69" i="70" s="1"/>
  <c r="AG69" i="70"/>
  <c r="P71" i="70"/>
  <c r="O71" i="70"/>
  <c r="M71" i="70"/>
  <c r="N71" i="70" s="1"/>
  <c r="CA72" i="70"/>
  <c r="BZ72" i="70"/>
  <c r="BX72" i="70"/>
  <c r="BY72" i="70" s="1"/>
  <c r="BH74" i="70"/>
  <c r="BI74" i="70"/>
  <c r="BF74" i="70"/>
  <c r="BG74" i="70" s="1"/>
  <c r="AP76" i="70"/>
  <c r="AQ76" i="70"/>
  <c r="AN76" i="70"/>
  <c r="AO76" i="70" s="1"/>
  <c r="Y78" i="70"/>
  <c r="V78" i="70"/>
  <c r="W78" i="70" s="1"/>
  <c r="X78" i="70"/>
  <c r="G80" i="70"/>
  <c r="F80" i="70"/>
  <c r="D80" i="70"/>
  <c r="E80" i="70" s="1"/>
  <c r="BR81" i="70"/>
  <c r="BQ81" i="70"/>
  <c r="BO81" i="70"/>
  <c r="BP81" i="70" s="1"/>
  <c r="AZ83" i="70"/>
  <c r="AY83" i="70"/>
  <c r="AW83" i="70"/>
  <c r="AX83" i="70" s="1"/>
  <c r="AH85" i="70"/>
  <c r="AG85" i="70"/>
  <c r="AE85" i="70"/>
  <c r="AF85" i="70" s="1"/>
  <c r="P87" i="70"/>
  <c r="O87" i="70"/>
  <c r="M87" i="70"/>
  <c r="N87" i="70" s="1"/>
  <c r="CA88" i="70"/>
  <c r="BZ88" i="70"/>
  <c r="BX88" i="70"/>
  <c r="BY88" i="70" s="1"/>
  <c r="BI90" i="70"/>
  <c r="BF90" i="70"/>
  <c r="BG90" i="70" s="1"/>
  <c r="BH90" i="70"/>
  <c r="AN92" i="70"/>
  <c r="AO92" i="70" s="1"/>
  <c r="AP92" i="70"/>
  <c r="AQ92" i="70"/>
  <c r="Y94" i="70"/>
  <c r="V94" i="70"/>
  <c r="W94" i="70" s="1"/>
  <c r="X94" i="70"/>
  <c r="D96" i="70"/>
  <c r="E96" i="70" s="1"/>
  <c r="G96" i="70"/>
  <c r="F96" i="70"/>
  <c r="BR97" i="70"/>
  <c r="BO97" i="70"/>
  <c r="BP97" i="70" s="1"/>
  <c r="BQ97" i="70"/>
  <c r="V69" i="70"/>
  <c r="W69" i="70" s="1"/>
  <c r="X69" i="70"/>
  <c r="X71" i="70"/>
  <c r="V71" i="70"/>
  <c r="W71" i="70" s="1"/>
  <c r="Y71" i="70"/>
  <c r="G73" i="70"/>
  <c r="F73" i="70"/>
  <c r="D73" i="70"/>
  <c r="E73" i="70" s="1"/>
  <c r="BQ74" i="70"/>
  <c r="BR74" i="70"/>
  <c r="BO74" i="70"/>
  <c r="BP74" i="70" s="1"/>
  <c r="AY76" i="70"/>
  <c r="AZ76" i="70"/>
  <c r="AW76" i="70"/>
  <c r="AX76" i="70" s="1"/>
  <c r="AG78" i="70"/>
  <c r="AH78" i="70"/>
  <c r="AE78" i="70"/>
  <c r="AF78" i="70" s="1"/>
  <c r="M80" i="70"/>
  <c r="N80" i="70" s="1"/>
  <c r="O80" i="70"/>
  <c r="P80" i="70"/>
  <c r="CA81" i="70"/>
  <c r="BZ81" i="70"/>
  <c r="BX81" i="70"/>
  <c r="BY81" i="70" s="1"/>
  <c r="BH83" i="70"/>
  <c r="BI83" i="70"/>
  <c r="BF83" i="70"/>
  <c r="BG83" i="70" s="1"/>
  <c r="AP85" i="70"/>
  <c r="AQ85" i="70"/>
  <c r="AN85" i="70"/>
  <c r="AO85" i="70" s="1"/>
  <c r="X87" i="70"/>
  <c r="Y87" i="70"/>
  <c r="V87" i="70"/>
  <c r="W87" i="70" s="1"/>
  <c r="G89" i="70"/>
  <c r="D89" i="70"/>
  <c r="E89" i="70" s="1"/>
  <c r="F89" i="70"/>
  <c r="BR90" i="70"/>
  <c r="BO90" i="70"/>
  <c r="BP90" i="70" s="1"/>
  <c r="BQ90" i="70"/>
  <c r="AZ92" i="70"/>
  <c r="AW92" i="70"/>
  <c r="AX92" i="70" s="1"/>
  <c r="AY92" i="70"/>
  <c r="AH94" i="70"/>
  <c r="AE94" i="70"/>
  <c r="AF94" i="70" s="1"/>
  <c r="AG94" i="70"/>
  <c r="P96" i="70"/>
  <c r="M96" i="70"/>
  <c r="N96" i="70" s="1"/>
  <c r="O96" i="70"/>
  <c r="CA97" i="70"/>
  <c r="BX97" i="70"/>
  <c r="BY97" i="70" s="1"/>
  <c r="BZ97" i="70"/>
  <c r="D70" i="70"/>
  <c r="E70" i="70" s="1"/>
  <c r="F70" i="70"/>
  <c r="G70" i="70"/>
  <c r="BO71" i="70"/>
  <c r="BP71" i="70" s="1"/>
  <c r="BQ71" i="70"/>
  <c r="BR71" i="70"/>
  <c r="AW73" i="70"/>
  <c r="AX73" i="70" s="1"/>
  <c r="AY73" i="70"/>
  <c r="AZ73" i="70"/>
  <c r="AE75" i="70"/>
  <c r="AF75" i="70" s="1"/>
  <c r="AH75" i="70"/>
  <c r="AG75" i="70"/>
  <c r="M77" i="70"/>
  <c r="N77" i="70" s="1"/>
  <c r="P77" i="70"/>
  <c r="O77" i="70"/>
  <c r="BX78" i="70"/>
  <c r="BY78" i="70" s="1"/>
  <c r="BZ78" i="70"/>
  <c r="CA78" i="70"/>
  <c r="BF80" i="70"/>
  <c r="BG80" i="70" s="1"/>
  <c r="BI80" i="70"/>
  <c r="BH80" i="70"/>
  <c r="AN82" i="70"/>
  <c r="AO82" i="70" s="1"/>
  <c r="AQ82" i="70"/>
  <c r="AP82" i="70"/>
  <c r="X84" i="70"/>
  <c r="Y84" i="70"/>
  <c r="V84" i="70"/>
  <c r="W84" i="70" s="1"/>
  <c r="G86" i="70"/>
  <c r="F86" i="70"/>
  <c r="D86" i="70"/>
  <c r="E86" i="70" s="1"/>
  <c r="BR87" i="70"/>
  <c r="BQ87" i="70"/>
  <c r="BO87" i="70"/>
  <c r="BP87" i="70" s="1"/>
  <c r="AY89" i="70"/>
  <c r="AZ89" i="70"/>
  <c r="AW89" i="70"/>
  <c r="AX89" i="70" s="1"/>
  <c r="AH91" i="70"/>
  <c r="AE91" i="70"/>
  <c r="AF91" i="70" s="1"/>
  <c r="AG91" i="70"/>
  <c r="P93" i="70"/>
  <c r="M93" i="70"/>
  <c r="N93" i="70" s="1"/>
  <c r="O93" i="70"/>
  <c r="CA94" i="70"/>
  <c r="BX94" i="70"/>
  <c r="BY94" i="70" s="1"/>
  <c r="BZ94" i="70"/>
  <c r="BI96" i="70"/>
  <c r="BH96" i="70"/>
  <c r="BF96" i="70"/>
  <c r="BG96" i="70" s="1"/>
  <c r="AQ98" i="70"/>
  <c r="AN98" i="70"/>
  <c r="AO98" i="70" s="1"/>
  <c r="AP98" i="70"/>
  <c r="BO69" i="70"/>
  <c r="BP69" i="70" s="1"/>
  <c r="BQ69" i="70"/>
  <c r="AQ71" i="70"/>
  <c r="AN71" i="70"/>
  <c r="AO71" i="70" s="1"/>
  <c r="AP71" i="70"/>
  <c r="Y73" i="70"/>
  <c r="V73" i="70"/>
  <c r="W73" i="70" s="1"/>
  <c r="X73" i="70"/>
  <c r="G75" i="70"/>
  <c r="D75" i="70"/>
  <c r="E75" i="70" s="1"/>
  <c r="F75" i="70"/>
  <c r="BR76" i="70"/>
  <c r="BO76" i="70"/>
  <c r="BP76" i="70" s="1"/>
  <c r="BQ76" i="70"/>
  <c r="AZ78" i="70"/>
  <c r="AW78" i="70"/>
  <c r="AX78" i="70" s="1"/>
  <c r="AY78" i="70"/>
  <c r="AG80" i="70"/>
  <c r="AE80" i="70"/>
  <c r="AF80" i="70" s="1"/>
  <c r="AH80" i="70"/>
  <c r="P82" i="70"/>
  <c r="M82" i="70"/>
  <c r="N82" i="70" s="1"/>
  <c r="O82" i="70"/>
  <c r="BX83" i="70"/>
  <c r="BY83" i="70" s="1"/>
  <c r="BZ83" i="70"/>
  <c r="CA83" i="70"/>
  <c r="BF85" i="70"/>
  <c r="BG85" i="70" s="1"/>
  <c r="BH85" i="70"/>
  <c r="BI85" i="70"/>
  <c r="AN87" i="70"/>
  <c r="AO87" i="70" s="1"/>
  <c r="AP87" i="70"/>
  <c r="AQ87" i="70"/>
  <c r="Y89" i="70"/>
  <c r="V89" i="70"/>
  <c r="W89" i="70" s="1"/>
  <c r="X89" i="70"/>
  <c r="F91" i="70"/>
  <c r="G91" i="70"/>
  <c r="D91" i="70"/>
  <c r="E91" i="70" s="1"/>
  <c r="BO92" i="70"/>
  <c r="BP92" i="70" s="1"/>
  <c r="BQ92" i="70"/>
  <c r="BR92" i="70"/>
  <c r="AW94" i="70"/>
  <c r="AX94" i="70" s="1"/>
  <c r="AY94" i="70"/>
  <c r="AZ94" i="70"/>
  <c r="AE96" i="70"/>
  <c r="AF96" i="70" s="1"/>
  <c r="AG96" i="70"/>
  <c r="AH96" i="70"/>
  <c r="P98" i="70"/>
  <c r="M98" i="70"/>
  <c r="N98" i="70" s="1"/>
  <c r="O98" i="70"/>
  <c r="BF69" i="70"/>
  <c r="BG69" i="70" s="1"/>
  <c r="BH69" i="70"/>
  <c r="AY71" i="70"/>
  <c r="AW71" i="70"/>
  <c r="AX71" i="70" s="1"/>
  <c r="AZ71" i="70"/>
  <c r="AG73" i="70"/>
  <c r="AE73" i="70"/>
  <c r="AF73" i="70" s="1"/>
  <c r="AH73" i="70"/>
  <c r="O75" i="70"/>
  <c r="P75" i="70"/>
  <c r="M75" i="70"/>
  <c r="N75" i="70" s="1"/>
  <c r="BZ76" i="70"/>
  <c r="CA76" i="70"/>
  <c r="BX76" i="70"/>
  <c r="BY76" i="70" s="1"/>
  <c r="BI78" i="70"/>
  <c r="BF78" i="70"/>
  <c r="BG78" i="70" s="1"/>
  <c r="BH78" i="70"/>
  <c r="AQ80" i="70"/>
  <c r="AN80" i="70"/>
  <c r="AO80" i="70" s="1"/>
  <c r="AP80" i="70"/>
  <c r="Y82" i="70"/>
  <c r="X82" i="70"/>
  <c r="V82" i="70"/>
  <c r="W82" i="70" s="1"/>
  <c r="G84" i="70"/>
  <c r="D84" i="70"/>
  <c r="E84" i="70" s="1"/>
  <c r="F84" i="70"/>
  <c r="BR85" i="70"/>
  <c r="BQ85" i="70"/>
  <c r="BO85" i="70"/>
  <c r="BP85" i="70" s="1"/>
  <c r="AZ87" i="70"/>
  <c r="AW87" i="70"/>
  <c r="AX87" i="70" s="1"/>
  <c r="AY87" i="70"/>
  <c r="AE89" i="70"/>
  <c r="AF89" i="70" s="1"/>
  <c r="AG89" i="70"/>
  <c r="AH89" i="70"/>
  <c r="P91" i="70"/>
  <c r="O91" i="70"/>
  <c r="M91" i="70"/>
  <c r="N91" i="70" s="1"/>
  <c r="BX92" i="70"/>
  <c r="BY92" i="70" s="1"/>
  <c r="CA92" i="70"/>
  <c r="BZ92" i="70"/>
  <c r="BF94" i="70"/>
  <c r="BG94" i="70" s="1"/>
  <c r="BI94" i="70"/>
  <c r="BH94" i="70"/>
  <c r="AQ96" i="70"/>
  <c r="AN96" i="70"/>
  <c r="AO96" i="70" s="1"/>
  <c r="AP96" i="70"/>
  <c r="Y98" i="70"/>
  <c r="V98" i="70"/>
  <c r="W98" i="70" s="1"/>
  <c r="X98" i="70"/>
  <c r="BX69" i="70"/>
  <c r="BY69" i="70" s="1"/>
  <c r="BZ69" i="70"/>
  <c r="BH71" i="70"/>
  <c r="BF71" i="70"/>
  <c r="BG71" i="70" s="1"/>
  <c r="BI71" i="70"/>
  <c r="AN73" i="70"/>
  <c r="AO73" i="70" s="1"/>
  <c r="AQ73" i="70"/>
  <c r="AP73" i="70"/>
  <c r="X75" i="70"/>
  <c r="Y75" i="70"/>
  <c r="V75" i="70"/>
  <c r="W75" i="70" s="1"/>
  <c r="F77" i="70"/>
  <c r="G77" i="70"/>
  <c r="D77" i="70"/>
  <c r="E77" i="70" s="1"/>
  <c r="BQ78" i="70"/>
  <c r="BO78" i="70"/>
  <c r="BP78" i="70" s="1"/>
  <c r="BR78" i="70"/>
  <c r="AZ80" i="70"/>
  <c r="AY80" i="70"/>
  <c r="AW80" i="70"/>
  <c r="AX80" i="70" s="1"/>
  <c r="AE82" i="70"/>
  <c r="AF82" i="70" s="1"/>
  <c r="AG82" i="70"/>
  <c r="AH82" i="70"/>
  <c r="P84" i="70"/>
  <c r="M84" i="70"/>
  <c r="N84" i="70" s="1"/>
  <c r="O84" i="70"/>
  <c r="BZ85" i="70"/>
  <c r="BX85" i="70"/>
  <c r="BY85" i="70" s="1"/>
  <c r="CA85" i="70"/>
  <c r="BH87" i="70"/>
  <c r="BF87" i="70"/>
  <c r="BG87" i="70" s="1"/>
  <c r="BI87" i="70"/>
  <c r="AQ89" i="70"/>
  <c r="AN89" i="70"/>
  <c r="AO89" i="70" s="1"/>
  <c r="AP89" i="70"/>
  <c r="Y91" i="70"/>
  <c r="V91" i="70"/>
  <c r="W91" i="70" s="1"/>
  <c r="X91" i="70"/>
  <c r="G93" i="70"/>
  <c r="D93" i="70"/>
  <c r="E93" i="70" s="1"/>
  <c r="F93" i="70"/>
  <c r="BR94" i="70"/>
  <c r="BO94" i="70"/>
  <c r="BP94" i="70" s="1"/>
  <c r="BQ94" i="70"/>
  <c r="AZ96" i="70"/>
  <c r="AW96" i="70"/>
  <c r="AX96" i="70" s="1"/>
  <c r="AY96" i="70"/>
  <c r="AH98" i="70"/>
  <c r="AE98" i="70"/>
  <c r="AF98" i="70" s="1"/>
  <c r="AG98" i="70"/>
  <c r="AN70" i="70"/>
  <c r="AO70" i="70" s="1"/>
  <c r="AP70" i="70"/>
  <c r="AQ70" i="70"/>
  <c r="V72" i="70"/>
  <c r="W72" i="70" s="1"/>
  <c r="X72" i="70"/>
  <c r="Y72" i="70"/>
  <c r="D74" i="70"/>
  <c r="E74" i="70" s="1"/>
  <c r="F74" i="70"/>
  <c r="G74" i="70"/>
  <c r="BO75" i="70"/>
  <c r="BP75" i="70" s="1"/>
  <c r="BR75" i="70"/>
  <c r="BQ75" i="70"/>
  <c r="AW77" i="70"/>
  <c r="AX77" i="70" s="1"/>
  <c r="AZ77" i="70"/>
  <c r="AY77" i="70"/>
  <c r="AH79" i="70"/>
  <c r="AG79" i="70"/>
  <c r="AE79" i="70"/>
  <c r="AF79" i="70" s="1"/>
  <c r="P81" i="70"/>
  <c r="M81" i="70"/>
  <c r="N81" i="70" s="1"/>
  <c r="O81" i="70"/>
  <c r="BZ82" i="70"/>
  <c r="CA82" i="70"/>
  <c r="BX82" i="70"/>
  <c r="BY82" i="70" s="1"/>
  <c r="BI84" i="70"/>
  <c r="BF84" i="70"/>
  <c r="BG84" i="70" s="1"/>
  <c r="BH84" i="70"/>
  <c r="AQ86" i="70"/>
  <c r="AP86" i="70"/>
  <c r="AN86" i="70"/>
  <c r="AO86" i="70" s="1"/>
  <c r="Y88" i="70"/>
  <c r="V88" i="70"/>
  <c r="W88" i="70" s="1"/>
  <c r="X88" i="70"/>
  <c r="G90" i="70"/>
  <c r="D90" i="70"/>
  <c r="E90" i="70" s="1"/>
  <c r="F90" i="70"/>
  <c r="BR91" i="70"/>
  <c r="BQ91" i="70"/>
  <c r="BO91" i="70"/>
  <c r="BP91" i="70" s="1"/>
  <c r="AZ93" i="70"/>
  <c r="AY93" i="70"/>
  <c r="AW93" i="70"/>
  <c r="AX93" i="70" s="1"/>
  <c r="AH95" i="70"/>
  <c r="AG95" i="70"/>
  <c r="AE95" i="70"/>
  <c r="AF95" i="70" s="1"/>
  <c r="P97" i="70"/>
  <c r="O97" i="70"/>
  <c r="M97" i="70"/>
  <c r="N97" i="70" s="1"/>
  <c r="CA98" i="70"/>
  <c r="BZ98" i="70"/>
  <c r="BX98" i="70"/>
  <c r="BY98" i="70" s="1"/>
  <c r="P70" i="70"/>
  <c r="M70" i="70"/>
  <c r="N70" i="70" s="1"/>
  <c r="O70" i="70"/>
  <c r="CA71" i="70"/>
  <c r="BZ71" i="70"/>
  <c r="BX71" i="70"/>
  <c r="BY71" i="70" s="1"/>
  <c r="BI73" i="70"/>
  <c r="BF73" i="70"/>
  <c r="BG73" i="70" s="1"/>
  <c r="BH73" i="70"/>
  <c r="AQ75" i="70"/>
  <c r="AN75" i="70"/>
  <c r="AO75" i="70" s="1"/>
  <c r="AP75" i="70"/>
  <c r="Y77" i="70"/>
  <c r="V77" i="70"/>
  <c r="W77" i="70" s="1"/>
  <c r="X77" i="70"/>
  <c r="G79" i="70"/>
  <c r="D79" i="70"/>
  <c r="E79" i="70" s="1"/>
  <c r="F79" i="70"/>
  <c r="BO80" i="70"/>
  <c r="BP80" i="70" s="1"/>
  <c r="BR80" i="70"/>
  <c r="BQ80" i="70"/>
  <c r="AZ82" i="70"/>
  <c r="AY82" i="70"/>
  <c r="AW82" i="70"/>
  <c r="AX82" i="70" s="1"/>
  <c r="AG84" i="70"/>
  <c r="AE84" i="70"/>
  <c r="AF84" i="70" s="1"/>
  <c r="AH84" i="70"/>
  <c r="M86" i="70"/>
  <c r="N86" i="70" s="1"/>
  <c r="O86" i="70"/>
  <c r="P86" i="70"/>
  <c r="BX87" i="70"/>
  <c r="BY87" i="70" s="1"/>
  <c r="BZ87" i="70"/>
  <c r="CA87" i="70"/>
  <c r="BI89" i="70"/>
  <c r="BF89" i="70"/>
  <c r="BG89" i="70" s="1"/>
  <c r="BH89" i="70"/>
  <c r="AP91" i="70"/>
  <c r="AQ91" i="70"/>
  <c r="AN91" i="70"/>
  <c r="AO91" i="70" s="1"/>
  <c r="V93" i="70"/>
  <c r="W93" i="70" s="1"/>
  <c r="X93" i="70"/>
  <c r="Y93" i="70"/>
  <c r="D95" i="70"/>
  <c r="E95" i="70" s="1"/>
  <c r="F95" i="70"/>
  <c r="G95" i="70"/>
  <c r="BO96" i="70"/>
  <c r="BP96" i="70" s="1"/>
  <c r="BQ96" i="70"/>
  <c r="BR96" i="70"/>
  <c r="AZ98" i="70"/>
  <c r="AY98" i="70"/>
  <c r="AW98" i="70"/>
  <c r="AX98" i="70" s="1"/>
  <c r="X70" i="70"/>
  <c r="V70" i="70"/>
  <c r="W70" i="70" s="1"/>
  <c r="Y70" i="70"/>
  <c r="F72" i="70"/>
  <c r="D72" i="70"/>
  <c r="E72" i="70" s="1"/>
  <c r="G72" i="70"/>
  <c r="BQ73" i="70"/>
  <c r="BO73" i="70"/>
  <c r="BP73" i="70" s="1"/>
  <c r="BR73" i="70"/>
  <c r="AY75" i="70"/>
  <c r="AZ75" i="70"/>
  <c r="AW75" i="70"/>
  <c r="AX75" i="70" s="1"/>
  <c r="AG77" i="70"/>
  <c r="AH77" i="70"/>
  <c r="AE77" i="70"/>
  <c r="AF77" i="70" s="1"/>
  <c r="P79" i="70"/>
  <c r="M79" i="70"/>
  <c r="N79" i="70" s="1"/>
  <c r="O79" i="70"/>
  <c r="CA80" i="70"/>
  <c r="BZ80" i="70"/>
  <c r="BX80" i="70"/>
  <c r="BY80" i="70" s="1"/>
  <c r="BI82" i="70"/>
  <c r="BH82" i="70"/>
  <c r="BF82" i="70"/>
  <c r="BG82" i="70" s="1"/>
  <c r="AQ84" i="70"/>
  <c r="AN84" i="70"/>
  <c r="AO84" i="70" s="1"/>
  <c r="AP84" i="70"/>
  <c r="Y86" i="70"/>
  <c r="X86" i="70"/>
  <c r="V86" i="70"/>
  <c r="W86" i="70" s="1"/>
  <c r="G88" i="70"/>
  <c r="D88" i="70"/>
  <c r="E88" i="70" s="1"/>
  <c r="F88" i="70"/>
  <c r="BO89" i="70"/>
  <c r="BP89" i="70" s="1"/>
  <c r="BQ89" i="70"/>
  <c r="BR89" i="70"/>
  <c r="AZ91" i="70"/>
  <c r="AY91" i="70"/>
  <c r="AW91" i="70"/>
  <c r="AX91" i="70" s="1"/>
  <c r="AE93" i="70"/>
  <c r="AF93" i="70" s="1"/>
  <c r="AG93" i="70"/>
  <c r="AH93" i="70"/>
  <c r="M95" i="70"/>
  <c r="N95" i="70" s="1"/>
  <c r="P95" i="70"/>
  <c r="O95" i="70"/>
  <c r="CA96" i="70"/>
  <c r="BX96" i="70"/>
  <c r="BY96" i="70" s="1"/>
  <c r="BZ96" i="70"/>
  <c r="BI98" i="70"/>
  <c r="BF98" i="70"/>
  <c r="BG98" i="70" s="1"/>
  <c r="BH98" i="70"/>
  <c r="D69" i="54"/>
  <c r="D70" i="54" s="1"/>
  <c r="D71" i="54" s="1"/>
  <c r="D72" i="54" s="1"/>
  <c r="EN289" i="40"/>
  <c r="EO288" i="40"/>
  <c r="EY290" i="40"/>
  <c r="EX291" i="40"/>
  <c r="ED288" i="40"/>
  <c r="EE287" i="40"/>
  <c r="ES288" i="40"/>
  <c r="ET287" i="40"/>
  <c r="FD285" i="40"/>
  <c r="FC286" i="40"/>
  <c r="EI288" i="40"/>
  <c r="EJ287" i="40"/>
  <c r="FI287" i="40"/>
  <c r="FH288" i="40"/>
  <c r="FR289" i="40"/>
  <c r="FS288" i="40"/>
  <c r="FM286" i="40"/>
  <c r="FN285" i="40"/>
  <c r="D69" i="60"/>
  <c r="F76" i="63"/>
  <c r="D76" i="63"/>
  <c r="E76" i="63" s="1"/>
  <c r="F92" i="63"/>
  <c r="D92" i="63"/>
  <c r="E92" i="63" s="1"/>
  <c r="F77" i="63"/>
  <c r="D77" i="63"/>
  <c r="E77" i="63" s="1"/>
  <c r="F93" i="63"/>
  <c r="D93" i="63"/>
  <c r="E93" i="63" s="1"/>
  <c r="F78" i="63"/>
  <c r="D78" i="63"/>
  <c r="E78" i="63" s="1"/>
  <c r="F94" i="63"/>
  <c r="D94" i="63"/>
  <c r="E94" i="63" s="1"/>
  <c r="F79" i="63"/>
  <c r="D79" i="63"/>
  <c r="E79" i="63" s="1"/>
  <c r="F95" i="63"/>
  <c r="D95" i="63"/>
  <c r="E95" i="63" s="1"/>
  <c r="F81" i="50"/>
  <c r="D81" i="50"/>
  <c r="F77" i="50"/>
  <c r="D77" i="50"/>
  <c r="F98" i="50"/>
  <c r="D98" i="50"/>
  <c r="E98" i="50" s="1"/>
  <c r="F89" i="50"/>
  <c r="D89" i="50"/>
  <c r="F79" i="50"/>
  <c r="D79" i="50"/>
  <c r="F72" i="50"/>
  <c r="D72" i="50"/>
  <c r="F88" i="50"/>
  <c r="D88" i="50"/>
  <c r="F74" i="51"/>
  <c r="D74" i="51"/>
  <c r="F95" i="51"/>
  <c r="D95" i="51"/>
  <c r="E95" i="51" s="1"/>
  <c r="F86" i="51"/>
  <c r="D86" i="51"/>
  <c r="E86" i="51" s="1"/>
  <c r="F77" i="51"/>
  <c r="D77" i="51"/>
  <c r="F98" i="51"/>
  <c r="D98" i="51"/>
  <c r="E98" i="51" s="1"/>
  <c r="F89" i="51"/>
  <c r="D89" i="51"/>
  <c r="E89" i="51" s="1"/>
  <c r="F80" i="51"/>
  <c r="D80" i="51"/>
  <c r="F96" i="51"/>
  <c r="D96" i="51"/>
  <c r="E96" i="51" s="1"/>
  <c r="F81" i="54"/>
  <c r="D81" i="54"/>
  <c r="E81" i="54" s="1"/>
  <c r="F85" i="54"/>
  <c r="D85" i="54"/>
  <c r="E85" i="54" s="1"/>
  <c r="F90" i="54"/>
  <c r="D90" i="54"/>
  <c r="E90" i="54" s="1"/>
  <c r="F89" i="54"/>
  <c r="D89" i="54"/>
  <c r="E89" i="54" s="1"/>
  <c r="F87" i="54"/>
  <c r="D87" i="54"/>
  <c r="E87" i="54" s="1"/>
  <c r="F70" i="54"/>
  <c r="F77" i="49"/>
  <c r="D77" i="49"/>
  <c r="E77" i="49" s="1"/>
  <c r="F78" i="49"/>
  <c r="D78" i="49"/>
  <c r="E78" i="49" s="1"/>
  <c r="F96" i="49"/>
  <c r="D96" i="49"/>
  <c r="E96" i="49" s="1"/>
  <c r="F83" i="49"/>
  <c r="D83" i="49"/>
  <c r="E83" i="49" s="1"/>
  <c r="F72" i="49"/>
  <c r="D72" i="49"/>
  <c r="E72" i="49" s="1"/>
  <c r="F88" i="49"/>
  <c r="D88" i="49"/>
  <c r="E88" i="49" s="1"/>
  <c r="F98" i="49"/>
  <c r="D98" i="49"/>
  <c r="E98" i="49" s="1"/>
  <c r="F77" i="60"/>
  <c r="D77" i="60"/>
  <c r="E77" i="60" s="1"/>
  <c r="Z77" i="60"/>
  <c r="S77" i="60"/>
  <c r="Q77" i="60"/>
  <c r="AK77" i="60"/>
  <c r="AI77" i="60"/>
  <c r="AB77" i="60"/>
  <c r="F73" i="60"/>
  <c r="AK73" i="60"/>
  <c r="Q73" i="60"/>
  <c r="AI73" i="60"/>
  <c r="AB73" i="60"/>
  <c r="Z73" i="60"/>
  <c r="S73" i="60"/>
  <c r="F95" i="60"/>
  <c r="D95" i="60"/>
  <c r="E95" i="60" s="1"/>
  <c r="F85" i="60"/>
  <c r="D85" i="60"/>
  <c r="E85" i="60" s="1"/>
  <c r="F76" i="60"/>
  <c r="D76" i="60"/>
  <c r="E76" i="60" s="1"/>
  <c r="Z76" i="60"/>
  <c r="S76" i="60"/>
  <c r="Q76" i="60"/>
  <c r="AK76" i="60"/>
  <c r="AI76" i="60"/>
  <c r="AB76" i="60"/>
  <c r="F97" i="60"/>
  <c r="D97" i="60"/>
  <c r="E97" i="60" s="1"/>
  <c r="F82" i="60"/>
  <c r="D82" i="60"/>
  <c r="E82" i="60" s="1"/>
  <c r="F98" i="60"/>
  <c r="D98" i="60"/>
  <c r="E98" i="60" s="1"/>
  <c r="O98" i="49"/>
  <c r="M98" i="49"/>
  <c r="N98" i="49" s="1"/>
  <c r="O71" i="49"/>
  <c r="M71" i="49"/>
  <c r="N71" i="49" s="1"/>
  <c r="X86" i="49"/>
  <c r="V86" i="49"/>
  <c r="W86" i="49" s="1"/>
  <c r="AP90" i="49"/>
  <c r="AN90" i="49"/>
  <c r="AO90" i="49" s="1"/>
  <c r="AY89" i="49"/>
  <c r="AW89" i="49"/>
  <c r="AX89" i="49" s="1"/>
  <c r="X77" i="49"/>
  <c r="V77" i="49"/>
  <c r="W77" i="49" s="1"/>
  <c r="AG74" i="49"/>
  <c r="AE74" i="49"/>
  <c r="AF74" i="49" s="1"/>
  <c r="AP88" i="49"/>
  <c r="AN88" i="49"/>
  <c r="AO88" i="49" s="1"/>
  <c r="BH75" i="49"/>
  <c r="BF75" i="49"/>
  <c r="BG75" i="49" s="1"/>
  <c r="BH95" i="49"/>
  <c r="BF95" i="49"/>
  <c r="BG95" i="49" s="1"/>
  <c r="X81" i="49"/>
  <c r="V81" i="49"/>
  <c r="W81" i="49" s="1"/>
  <c r="X97" i="49"/>
  <c r="V97" i="49"/>
  <c r="W97" i="49" s="1"/>
  <c r="AG86" i="49"/>
  <c r="AE86" i="49"/>
  <c r="AF86" i="49" s="1"/>
  <c r="AP86" i="49"/>
  <c r="AN86" i="49"/>
  <c r="AO86" i="49" s="1"/>
  <c r="AY83" i="49"/>
  <c r="AW83" i="49"/>
  <c r="AX83" i="49" s="1"/>
  <c r="BH72" i="49"/>
  <c r="BF72" i="49"/>
  <c r="BG72" i="49" s="1"/>
  <c r="BH88" i="49"/>
  <c r="BF88" i="49"/>
  <c r="BG88" i="49" s="1"/>
  <c r="O82" i="49"/>
  <c r="M82" i="49"/>
  <c r="N82" i="49" s="1"/>
  <c r="AG93" i="49"/>
  <c r="AE93" i="49"/>
  <c r="AF93" i="49" s="1"/>
  <c r="AP92" i="49"/>
  <c r="AN92" i="49"/>
  <c r="AO92" i="49" s="1"/>
  <c r="BH77" i="49"/>
  <c r="BF77" i="49"/>
  <c r="BG77" i="49" s="1"/>
  <c r="BH93" i="49"/>
  <c r="BF93" i="49"/>
  <c r="BG93" i="49" s="1"/>
  <c r="O90" i="49"/>
  <c r="M90" i="49"/>
  <c r="N90" i="49" s="1"/>
  <c r="O75" i="49"/>
  <c r="M75" i="49"/>
  <c r="N75" i="49" s="1"/>
  <c r="X89" i="49"/>
  <c r="V89" i="49"/>
  <c r="W89" i="49" s="1"/>
  <c r="AY81" i="49"/>
  <c r="AW81" i="49"/>
  <c r="AX81" i="49" s="1"/>
  <c r="BH82" i="49"/>
  <c r="BF82" i="49"/>
  <c r="BG82" i="49" s="1"/>
  <c r="BQ71" i="49"/>
  <c r="BO71" i="49"/>
  <c r="BP71" i="49" s="1"/>
  <c r="O84" i="49"/>
  <c r="M84" i="49"/>
  <c r="N84" i="49" s="1"/>
  <c r="X85" i="49"/>
  <c r="V85" i="49"/>
  <c r="W85" i="49" s="1"/>
  <c r="O81" i="49"/>
  <c r="M81" i="49"/>
  <c r="N81" i="49" s="1"/>
  <c r="O97" i="49"/>
  <c r="M97" i="49"/>
  <c r="N97" i="49" s="1"/>
  <c r="X96" i="49"/>
  <c r="V96" i="49"/>
  <c r="W96" i="49" s="1"/>
  <c r="AP74" i="49"/>
  <c r="AN74" i="49"/>
  <c r="AO74" i="49" s="1"/>
  <c r="O69" i="49"/>
  <c r="M69" i="49"/>
  <c r="N69" i="49" s="1"/>
  <c r="AG83" i="49"/>
  <c r="AE83" i="49"/>
  <c r="AF83" i="49" s="1"/>
  <c r="AG82" i="49"/>
  <c r="AE82" i="49"/>
  <c r="AF82" i="49" s="1"/>
  <c r="AG95" i="49"/>
  <c r="AE95" i="49"/>
  <c r="AF95" i="49" s="1"/>
  <c r="AP75" i="49"/>
  <c r="AN75" i="49"/>
  <c r="AO75" i="49" s="1"/>
  <c r="AP83" i="49"/>
  <c r="AN83" i="49"/>
  <c r="AO83" i="49" s="1"/>
  <c r="AP91" i="49"/>
  <c r="AN91" i="49"/>
  <c r="AO91" i="49" s="1"/>
  <c r="AY71" i="49"/>
  <c r="AW71" i="49"/>
  <c r="AX71" i="49" s="1"/>
  <c r="AY79" i="49"/>
  <c r="AW79" i="49"/>
  <c r="AX79" i="49" s="1"/>
  <c r="AY88" i="49"/>
  <c r="AW88" i="49"/>
  <c r="AX88" i="49" s="1"/>
  <c r="AY96" i="49"/>
  <c r="AW96" i="49"/>
  <c r="AX96" i="49" s="1"/>
  <c r="BZ71" i="49"/>
  <c r="BX71" i="49"/>
  <c r="BY71" i="49" s="1"/>
  <c r="BX79" i="49"/>
  <c r="BY79" i="49" s="1"/>
  <c r="BZ79" i="49"/>
  <c r="BX87" i="49"/>
  <c r="BY87" i="49" s="1"/>
  <c r="BZ87" i="49"/>
  <c r="BX95" i="49"/>
  <c r="BY95" i="49" s="1"/>
  <c r="BZ95" i="49"/>
  <c r="BQ70" i="49"/>
  <c r="BO70" i="49"/>
  <c r="BP70" i="49" s="1"/>
  <c r="BQ82" i="49"/>
  <c r="BO82" i="49"/>
  <c r="BP82" i="49" s="1"/>
  <c r="BQ90" i="49"/>
  <c r="BO90" i="49"/>
  <c r="BP90" i="49" s="1"/>
  <c r="BQ69" i="49"/>
  <c r="BO69" i="49"/>
  <c r="BP69" i="49" s="1"/>
  <c r="BQ79" i="49"/>
  <c r="BO79" i="49"/>
  <c r="BP79" i="49" s="1"/>
  <c r="BQ87" i="49"/>
  <c r="BO87" i="49"/>
  <c r="BP87" i="49" s="1"/>
  <c r="BO96" i="49"/>
  <c r="BP96" i="49" s="1"/>
  <c r="BQ96" i="49"/>
  <c r="BX74" i="49"/>
  <c r="BY74" i="49" s="1"/>
  <c r="BZ74" i="49"/>
  <c r="BX82" i="49"/>
  <c r="BY82" i="49" s="1"/>
  <c r="BZ82" i="49"/>
  <c r="BX90" i="49"/>
  <c r="BY90" i="49" s="1"/>
  <c r="BZ90" i="49"/>
  <c r="BX98" i="49"/>
  <c r="BY98" i="49" s="1"/>
  <c r="BZ98" i="49"/>
  <c r="P77" i="60"/>
  <c r="O77" i="60"/>
  <c r="M77" i="60"/>
  <c r="N77" i="60" s="1"/>
  <c r="P96" i="60"/>
  <c r="O96" i="60"/>
  <c r="M96" i="60"/>
  <c r="N96" i="60" s="1"/>
  <c r="Y82" i="60"/>
  <c r="X82" i="60"/>
  <c r="V82" i="60"/>
  <c r="W82" i="60" s="1"/>
  <c r="AG69" i="60"/>
  <c r="AE69" i="60"/>
  <c r="AF69" i="60" s="1"/>
  <c r="AH87" i="60"/>
  <c r="AG87" i="60"/>
  <c r="AE87" i="60"/>
  <c r="AF87" i="60" s="1"/>
  <c r="O69" i="60"/>
  <c r="M69" i="60"/>
  <c r="M70" i="60" s="1"/>
  <c r="P83" i="60"/>
  <c r="O83" i="60"/>
  <c r="M83" i="60"/>
  <c r="N83" i="60" s="1"/>
  <c r="X69" i="60"/>
  <c r="V69" i="60"/>
  <c r="W69" i="60" s="1"/>
  <c r="Y78" i="60"/>
  <c r="X78" i="60"/>
  <c r="V78" i="60"/>
  <c r="W78" i="60" s="1"/>
  <c r="Y94" i="60"/>
  <c r="X94" i="60"/>
  <c r="V94" i="60"/>
  <c r="W94" i="60" s="1"/>
  <c r="AG80" i="60"/>
  <c r="AE80" i="60"/>
  <c r="AF80" i="60" s="1"/>
  <c r="AH80" i="60"/>
  <c r="AH94" i="60"/>
  <c r="AG94" i="60"/>
  <c r="AE94" i="60"/>
  <c r="AF94" i="60" s="1"/>
  <c r="P90" i="60"/>
  <c r="O90" i="60"/>
  <c r="M90" i="60"/>
  <c r="N90" i="60" s="1"/>
  <c r="Y72" i="60"/>
  <c r="X72" i="60"/>
  <c r="V72" i="60"/>
  <c r="W72" i="60" s="1"/>
  <c r="Y88" i="60"/>
  <c r="X88" i="60"/>
  <c r="V88" i="60"/>
  <c r="W88" i="60" s="1"/>
  <c r="AH70" i="60"/>
  <c r="AG70" i="60"/>
  <c r="AE70" i="60"/>
  <c r="AF70" i="60" s="1"/>
  <c r="AH88" i="60"/>
  <c r="AG88" i="60"/>
  <c r="AE88" i="60"/>
  <c r="AF88" i="60" s="1"/>
  <c r="O70" i="60"/>
  <c r="P70" i="60"/>
  <c r="P84" i="60"/>
  <c r="O84" i="60"/>
  <c r="M84" i="60"/>
  <c r="N84" i="60" s="1"/>
  <c r="Y70" i="60"/>
  <c r="X70" i="60"/>
  <c r="V70" i="60"/>
  <c r="W70" i="60" s="1"/>
  <c r="Y93" i="60"/>
  <c r="X93" i="60"/>
  <c r="V93" i="60"/>
  <c r="W93" i="60" s="1"/>
  <c r="AH84" i="60"/>
  <c r="AG84" i="60"/>
  <c r="AE84" i="60"/>
  <c r="AF84" i="60" s="1"/>
  <c r="P77" i="50"/>
  <c r="O77" i="50"/>
  <c r="M77" i="50"/>
  <c r="N77" i="50" s="1"/>
  <c r="P93" i="50"/>
  <c r="O93" i="50"/>
  <c r="M93" i="50"/>
  <c r="N93" i="50" s="1"/>
  <c r="Y78" i="50"/>
  <c r="X78" i="50"/>
  <c r="V78" i="50"/>
  <c r="W78" i="50" s="1"/>
  <c r="AG74" i="50"/>
  <c r="AE74" i="50"/>
  <c r="AF74" i="50" s="1"/>
  <c r="AH74" i="50"/>
  <c r="AQ72" i="50"/>
  <c r="AP72" i="50"/>
  <c r="AN72" i="50"/>
  <c r="AO72" i="50" s="1"/>
  <c r="AQ82" i="50"/>
  <c r="AP82" i="50"/>
  <c r="AN82" i="50"/>
  <c r="AO82" i="50" s="1"/>
  <c r="AZ75" i="50"/>
  <c r="AY75" i="50"/>
  <c r="AW75" i="50"/>
  <c r="AX75" i="50" s="1"/>
  <c r="AZ91" i="50"/>
  <c r="AY91" i="50"/>
  <c r="AW91" i="50"/>
  <c r="AX91" i="50" s="1"/>
  <c r="BI73" i="50"/>
  <c r="BH73" i="50"/>
  <c r="BF73" i="50"/>
  <c r="BG73" i="50" s="1"/>
  <c r="BI89" i="50"/>
  <c r="BH89" i="50"/>
  <c r="BF89" i="50"/>
  <c r="BG89" i="50" s="1"/>
  <c r="BR82" i="50"/>
  <c r="BQ82" i="50"/>
  <c r="BO82" i="50"/>
  <c r="BP82" i="50" s="1"/>
  <c r="CA73" i="50"/>
  <c r="BZ73" i="50"/>
  <c r="BX73" i="50"/>
  <c r="BY73" i="50" s="1"/>
  <c r="CA89" i="50"/>
  <c r="BZ89" i="50"/>
  <c r="BX89" i="50"/>
  <c r="BY89" i="50" s="1"/>
  <c r="O80" i="50"/>
  <c r="M80" i="50"/>
  <c r="N80" i="50" s="1"/>
  <c r="P80" i="50"/>
  <c r="O96" i="50"/>
  <c r="M96" i="50"/>
  <c r="N96" i="50" s="1"/>
  <c r="P96" i="50"/>
  <c r="X81" i="50"/>
  <c r="V81" i="50"/>
  <c r="W81" i="50" s="1"/>
  <c r="Y81" i="50"/>
  <c r="Y92" i="50"/>
  <c r="X92" i="50"/>
  <c r="V92" i="50"/>
  <c r="W92" i="50" s="1"/>
  <c r="AH75" i="50"/>
  <c r="AG75" i="50"/>
  <c r="AE75" i="50"/>
  <c r="AF75" i="50" s="1"/>
  <c r="AH85" i="50"/>
  <c r="AG85" i="50"/>
  <c r="AE85" i="50"/>
  <c r="AF85" i="50" s="1"/>
  <c r="AH96" i="50"/>
  <c r="AG96" i="50"/>
  <c r="AE96" i="50"/>
  <c r="AF96" i="50" s="1"/>
  <c r="AQ85" i="50"/>
  <c r="AP85" i="50"/>
  <c r="AN85" i="50"/>
  <c r="AO85" i="50" s="1"/>
  <c r="AQ96" i="50"/>
  <c r="AP96" i="50"/>
  <c r="AN96" i="50"/>
  <c r="AO96" i="50" s="1"/>
  <c r="AZ80" i="50"/>
  <c r="AY80" i="50"/>
  <c r="AW80" i="50"/>
  <c r="AX80" i="50" s="1"/>
  <c r="AZ96" i="50"/>
  <c r="AY96" i="50"/>
  <c r="AW96" i="50"/>
  <c r="AX96" i="50" s="1"/>
  <c r="BI83" i="50"/>
  <c r="BH83" i="50"/>
  <c r="BF83" i="50"/>
  <c r="BG83" i="50" s="1"/>
  <c r="BR72" i="50"/>
  <c r="BQ72" i="50"/>
  <c r="BO72" i="50"/>
  <c r="BP72" i="50" s="1"/>
  <c r="BR83" i="50"/>
  <c r="BQ83" i="50"/>
  <c r="BO83" i="50"/>
  <c r="BP83" i="50" s="1"/>
  <c r="BQ93" i="50"/>
  <c r="BO93" i="50"/>
  <c r="BP93" i="50" s="1"/>
  <c r="BR93" i="50"/>
  <c r="CA78" i="50"/>
  <c r="BZ78" i="50"/>
  <c r="BX78" i="50"/>
  <c r="BY78" i="50" s="1"/>
  <c r="BZ94" i="50"/>
  <c r="BX94" i="50"/>
  <c r="BY94" i="50" s="1"/>
  <c r="CA94" i="50"/>
  <c r="O78" i="50"/>
  <c r="M78" i="50"/>
  <c r="N78" i="50" s="1"/>
  <c r="P78" i="50"/>
  <c r="O94" i="50"/>
  <c r="M94" i="50"/>
  <c r="N94" i="50" s="1"/>
  <c r="P94" i="50"/>
  <c r="Y82" i="50"/>
  <c r="X82" i="50"/>
  <c r="V82" i="50"/>
  <c r="W82" i="50" s="1"/>
  <c r="AG73" i="50"/>
  <c r="AE73" i="50"/>
  <c r="AF73" i="50" s="1"/>
  <c r="AH73" i="50"/>
  <c r="AP70" i="50"/>
  <c r="AN70" i="50"/>
  <c r="AO70" i="50" s="1"/>
  <c r="AQ70" i="50"/>
  <c r="AQ81" i="50"/>
  <c r="AP81" i="50"/>
  <c r="AN81" i="50"/>
  <c r="AO81" i="50" s="1"/>
  <c r="AZ78" i="50"/>
  <c r="AY78" i="50"/>
  <c r="AW78" i="50"/>
  <c r="AX78" i="50" s="1"/>
  <c r="AZ94" i="50"/>
  <c r="AY94" i="50"/>
  <c r="AW94" i="50"/>
  <c r="AX94" i="50" s="1"/>
  <c r="BI81" i="50"/>
  <c r="BH81" i="50"/>
  <c r="BF81" i="50"/>
  <c r="BG81" i="50" s="1"/>
  <c r="BH97" i="50"/>
  <c r="BF97" i="50"/>
  <c r="BG97" i="50" s="1"/>
  <c r="BI97" i="50"/>
  <c r="BR94" i="50"/>
  <c r="BQ94" i="50"/>
  <c r="BO94" i="50"/>
  <c r="BP94" i="50" s="1"/>
  <c r="CA81" i="50"/>
  <c r="BZ81" i="50"/>
  <c r="BX81" i="50"/>
  <c r="BY81" i="50" s="1"/>
  <c r="O76" i="50"/>
  <c r="M76" i="50"/>
  <c r="N76" i="50" s="1"/>
  <c r="P76" i="50"/>
  <c r="O92" i="50"/>
  <c r="M92" i="50"/>
  <c r="N92" i="50" s="1"/>
  <c r="P92" i="50"/>
  <c r="X77" i="50"/>
  <c r="V77" i="50"/>
  <c r="W77" i="50" s="1"/>
  <c r="Y77" i="50"/>
  <c r="Y88" i="50"/>
  <c r="X88" i="50"/>
  <c r="V88" i="50"/>
  <c r="W88" i="50" s="1"/>
  <c r="AG69" i="50"/>
  <c r="AE69" i="50"/>
  <c r="AF69" i="50" s="1"/>
  <c r="AH84" i="50"/>
  <c r="AG84" i="50"/>
  <c r="AE84" i="50"/>
  <c r="AF84" i="50" s="1"/>
  <c r="AH95" i="50"/>
  <c r="AG95" i="50"/>
  <c r="AE95" i="50"/>
  <c r="AF95" i="50" s="1"/>
  <c r="AQ84" i="50"/>
  <c r="AP84" i="50"/>
  <c r="AN84" i="50"/>
  <c r="AO84" i="50" s="1"/>
  <c r="AQ94" i="50"/>
  <c r="AP94" i="50"/>
  <c r="AN94" i="50"/>
  <c r="AO94" i="50" s="1"/>
  <c r="AZ79" i="50"/>
  <c r="AY79" i="50"/>
  <c r="AW79" i="50"/>
  <c r="AX79" i="50" s="1"/>
  <c r="AZ95" i="50"/>
  <c r="AY95" i="50"/>
  <c r="AW95" i="50"/>
  <c r="AX95" i="50" s="1"/>
  <c r="BI77" i="50"/>
  <c r="BH77" i="50"/>
  <c r="BF77" i="50"/>
  <c r="BG77" i="50" s="1"/>
  <c r="BI93" i="50"/>
  <c r="BH93" i="50"/>
  <c r="BF93" i="50"/>
  <c r="BG93" i="50" s="1"/>
  <c r="BR76" i="50"/>
  <c r="BQ76" i="50"/>
  <c r="BO76" i="50"/>
  <c r="BP76" i="50" s="1"/>
  <c r="BR87" i="50"/>
  <c r="BQ87" i="50"/>
  <c r="BO87" i="50"/>
  <c r="BP87" i="50" s="1"/>
  <c r="BQ97" i="50"/>
  <c r="BO97" i="50"/>
  <c r="BP97" i="50" s="1"/>
  <c r="BR97" i="50"/>
  <c r="CA84" i="50"/>
  <c r="BZ84" i="50"/>
  <c r="BX84" i="50"/>
  <c r="BY84" i="50" s="1"/>
  <c r="CA95" i="50"/>
  <c r="BZ95" i="50"/>
  <c r="BX95" i="50"/>
  <c r="BY95" i="50" s="1"/>
  <c r="O79" i="51"/>
  <c r="M79" i="51"/>
  <c r="N79" i="51" s="1"/>
  <c r="P79" i="51"/>
  <c r="O95" i="51"/>
  <c r="M95" i="51"/>
  <c r="N95" i="51" s="1"/>
  <c r="P95" i="51"/>
  <c r="Y77" i="51"/>
  <c r="X77" i="51"/>
  <c r="V77" i="51"/>
  <c r="W77" i="51" s="1"/>
  <c r="Y93" i="51"/>
  <c r="X93" i="51"/>
  <c r="V93" i="51"/>
  <c r="W93" i="51" s="1"/>
  <c r="AH78" i="51"/>
  <c r="AG78" i="51"/>
  <c r="AE78" i="51"/>
  <c r="AF78" i="51" s="1"/>
  <c r="AH94" i="51"/>
  <c r="AG94" i="51"/>
  <c r="AE94" i="51"/>
  <c r="AF94" i="51" s="1"/>
  <c r="AP84" i="51"/>
  <c r="AN84" i="51"/>
  <c r="AO84" i="51" s="1"/>
  <c r="AQ84" i="51"/>
  <c r="O69" i="51"/>
  <c r="M69" i="51"/>
  <c r="N69" i="51" s="1"/>
  <c r="O85" i="51"/>
  <c r="M85" i="51"/>
  <c r="N85" i="51" s="1"/>
  <c r="P85" i="51"/>
  <c r="Y71" i="51"/>
  <c r="X71" i="51"/>
  <c r="V71" i="51"/>
  <c r="W71" i="51" s="1"/>
  <c r="Y87" i="51"/>
  <c r="X87" i="51"/>
  <c r="V87" i="51"/>
  <c r="W87" i="51" s="1"/>
  <c r="AH72" i="51"/>
  <c r="AG72" i="51"/>
  <c r="AE72" i="51"/>
  <c r="AF72" i="51" s="1"/>
  <c r="AH88" i="51"/>
  <c r="AG88" i="51"/>
  <c r="AE88" i="51"/>
  <c r="AF88" i="51" s="1"/>
  <c r="AQ74" i="51"/>
  <c r="AP74" i="51"/>
  <c r="AN74" i="51"/>
  <c r="AO74" i="51" s="1"/>
  <c r="AQ90" i="51"/>
  <c r="AP90" i="51"/>
  <c r="AN90" i="51"/>
  <c r="AO90" i="51" s="1"/>
  <c r="O75" i="51"/>
  <c r="M75" i="51"/>
  <c r="N75" i="51" s="1"/>
  <c r="P75" i="51"/>
  <c r="O91" i="51"/>
  <c r="M91" i="51"/>
  <c r="N91" i="51" s="1"/>
  <c r="P91" i="51"/>
  <c r="Y78" i="51"/>
  <c r="X78" i="51"/>
  <c r="V78" i="51"/>
  <c r="W78" i="51" s="1"/>
  <c r="Y94" i="51"/>
  <c r="X94" i="51"/>
  <c r="V94" i="51"/>
  <c r="W94" i="51" s="1"/>
  <c r="AH84" i="51"/>
  <c r="AG84" i="51"/>
  <c r="AE84" i="51"/>
  <c r="AF84" i="51" s="1"/>
  <c r="AP72" i="51"/>
  <c r="AN72" i="51"/>
  <c r="AO72" i="51" s="1"/>
  <c r="AQ72" i="51"/>
  <c r="AP88" i="51"/>
  <c r="AN88" i="51"/>
  <c r="AO88" i="51" s="1"/>
  <c r="AQ88" i="51"/>
  <c r="P76" i="51"/>
  <c r="O76" i="51"/>
  <c r="M76" i="51"/>
  <c r="N76" i="51" s="1"/>
  <c r="P92" i="51"/>
  <c r="O92" i="51"/>
  <c r="M92" i="51"/>
  <c r="N92" i="51" s="1"/>
  <c r="Y79" i="51"/>
  <c r="X79" i="51"/>
  <c r="V79" i="51"/>
  <c r="W79" i="51" s="1"/>
  <c r="Y95" i="51"/>
  <c r="X95" i="51"/>
  <c r="V95" i="51"/>
  <c r="W95" i="51" s="1"/>
  <c r="AH80" i="51"/>
  <c r="AG80" i="51"/>
  <c r="AE80" i="51"/>
  <c r="AF80" i="51" s="1"/>
  <c r="AH96" i="51"/>
  <c r="AG96" i="51"/>
  <c r="AE96" i="51"/>
  <c r="AF96" i="51" s="1"/>
  <c r="AQ78" i="51"/>
  <c r="AP78" i="51"/>
  <c r="AN78" i="51"/>
  <c r="AO78" i="51" s="1"/>
  <c r="AQ94" i="51"/>
  <c r="AP94" i="51"/>
  <c r="AN94" i="51"/>
  <c r="AO94" i="51" s="1"/>
  <c r="P74" i="61"/>
  <c r="M74" i="61"/>
  <c r="N74" i="61" s="1"/>
  <c r="O74" i="61"/>
  <c r="O82" i="61"/>
  <c r="M82" i="61"/>
  <c r="N82" i="61" s="1"/>
  <c r="P82" i="61"/>
  <c r="Y81" i="61"/>
  <c r="V81" i="61"/>
  <c r="W81" i="61" s="1"/>
  <c r="X81" i="61"/>
  <c r="Y97" i="61"/>
  <c r="V97" i="61"/>
  <c r="W97" i="61" s="1"/>
  <c r="X97" i="61"/>
  <c r="AH78" i="61"/>
  <c r="AE78" i="61"/>
  <c r="AF78" i="61" s="1"/>
  <c r="AG78" i="61"/>
  <c r="AH92" i="61"/>
  <c r="AE92" i="61"/>
  <c r="AF92" i="61" s="1"/>
  <c r="AG92" i="61"/>
  <c r="P84" i="61"/>
  <c r="M84" i="61"/>
  <c r="N84" i="61" s="1"/>
  <c r="O84" i="61"/>
  <c r="P92" i="61"/>
  <c r="M92" i="61"/>
  <c r="N92" i="61" s="1"/>
  <c r="O92" i="61"/>
  <c r="AH72" i="61"/>
  <c r="AG72" i="61"/>
  <c r="AH98" i="61"/>
  <c r="AE98" i="61"/>
  <c r="AF98" i="61" s="1"/>
  <c r="AG98" i="61"/>
  <c r="P81" i="61"/>
  <c r="M81" i="61"/>
  <c r="N81" i="61" s="1"/>
  <c r="O81" i="61"/>
  <c r="P95" i="61"/>
  <c r="M95" i="61"/>
  <c r="N95" i="61" s="1"/>
  <c r="O95" i="61"/>
  <c r="Y76" i="61"/>
  <c r="V76" i="61"/>
  <c r="W76" i="61" s="1"/>
  <c r="X76" i="61"/>
  <c r="Y84" i="61"/>
  <c r="V84" i="61"/>
  <c r="W84" i="61" s="1"/>
  <c r="X84" i="61"/>
  <c r="Y92" i="61"/>
  <c r="V92" i="61"/>
  <c r="W92" i="61" s="1"/>
  <c r="X92" i="61"/>
  <c r="AG75" i="61"/>
  <c r="AE75" i="61"/>
  <c r="AF75" i="61" s="1"/>
  <c r="AH75" i="61"/>
  <c r="AG83" i="61"/>
  <c r="AE83" i="61"/>
  <c r="AF83" i="61" s="1"/>
  <c r="AH83" i="61"/>
  <c r="P93" i="61"/>
  <c r="M93" i="61"/>
  <c r="N93" i="61" s="1"/>
  <c r="O93" i="61"/>
  <c r="Y79" i="61"/>
  <c r="V79" i="61"/>
  <c r="W79" i="61" s="1"/>
  <c r="X79" i="61"/>
  <c r="Y95" i="61"/>
  <c r="V95" i="61"/>
  <c r="W95" i="61" s="1"/>
  <c r="X95" i="61"/>
  <c r="AH80" i="61"/>
  <c r="AE80" i="61"/>
  <c r="AF80" i="61" s="1"/>
  <c r="AG80" i="61"/>
  <c r="AG91" i="61"/>
  <c r="AE91" i="61"/>
  <c r="AF91" i="61" s="1"/>
  <c r="AH91" i="61"/>
  <c r="O71" i="54"/>
  <c r="M83" i="54"/>
  <c r="N83" i="54" s="1"/>
  <c r="O83" i="54"/>
  <c r="M91" i="54"/>
  <c r="N91" i="54" s="1"/>
  <c r="O91" i="54"/>
  <c r="V69" i="54"/>
  <c r="X69" i="54"/>
  <c r="X86" i="54"/>
  <c r="V86" i="54"/>
  <c r="W86" i="54" s="1"/>
  <c r="AG94" i="54"/>
  <c r="AE94" i="54"/>
  <c r="AF94" i="54" s="1"/>
  <c r="AY74" i="54"/>
  <c r="AW74" i="54"/>
  <c r="AX74" i="54" s="1"/>
  <c r="AY90" i="54"/>
  <c r="AW90" i="54"/>
  <c r="AX90" i="54" s="1"/>
  <c r="BF75" i="54"/>
  <c r="BG75" i="54" s="1"/>
  <c r="BH75" i="54"/>
  <c r="BF91" i="54"/>
  <c r="BG91" i="54" s="1"/>
  <c r="BH91" i="54"/>
  <c r="BZ78" i="54"/>
  <c r="BX78" i="54"/>
  <c r="BY78" i="54" s="1"/>
  <c r="BZ94" i="54"/>
  <c r="BX94" i="54"/>
  <c r="BY94" i="54" s="1"/>
  <c r="X71" i="54"/>
  <c r="X85" i="54"/>
  <c r="V85" i="54"/>
  <c r="W85" i="54" s="1"/>
  <c r="AG70" i="54"/>
  <c r="AE70" i="54"/>
  <c r="AF70" i="54" s="1"/>
  <c r="AG86" i="54"/>
  <c r="AE86" i="54"/>
  <c r="AF86" i="54" s="1"/>
  <c r="AP71" i="54"/>
  <c r="AP86" i="54"/>
  <c r="AN86" i="54"/>
  <c r="AO86" i="54" s="1"/>
  <c r="AY77" i="54"/>
  <c r="AW77" i="54"/>
  <c r="AX77" i="54" s="1"/>
  <c r="AY93" i="54"/>
  <c r="AW93" i="54"/>
  <c r="AX93" i="54" s="1"/>
  <c r="BH81" i="54"/>
  <c r="BF81" i="54"/>
  <c r="BG81" i="54" s="1"/>
  <c r="BH97" i="54"/>
  <c r="BF97" i="54"/>
  <c r="BG97" i="54" s="1"/>
  <c r="BQ82" i="54"/>
  <c r="BO82" i="54"/>
  <c r="BP82" i="54" s="1"/>
  <c r="BQ98" i="54"/>
  <c r="BO98" i="54"/>
  <c r="BP98" i="54" s="1"/>
  <c r="BZ81" i="54"/>
  <c r="BX81" i="54"/>
  <c r="BY81" i="54" s="1"/>
  <c r="BZ97" i="54"/>
  <c r="BX97" i="54"/>
  <c r="BY97" i="54" s="1"/>
  <c r="O86" i="54"/>
  <c r="M86" i="54"/>
  <c r="N86" i="54" s="1"/>
  <c r="X73" i="54"/>
  <c r="V83" i="54"/>
  <c r="W83" i="54" s="1"/>
  <c r="X83" i="54"/>
  <c r="V91" i="54"/>
  <c r="W91" i="54" s="1"/>
  <c r="X91" i="54"/>
  <c r="AG69" i="54"/>
  <c r="AE69" i="54"/>
  <c r="AF69" i="54" s="1"/>
  <c r="AG85" i="54"/>
  <c r="AE85" i="54"/>
  <c r="AF85" i="54" s="1"/>
  <c r="AG96" i="54"/>
  <c r="AE96" i="54"/>
  <c r="AF96" i="54" s="1"/>
  <c r="AP85" i="54"/>
  <c r="AN85" i="54"/>
  <c r="AO85" i="54" s="1"/>
  <c r="AY69" i="54"/>
  <c r="AW69" i="54"/>
  <c r="AY76" i="54"/>
  <c r="AW76" i="54"/>
  <c r="AX76" i="54" s="1"/>
  <c r="AY84" i="54"/>
  <c r="AW84" i="54"/>
  <c r="AX84" i="54" s="1"/>
  <c r="AY92" i="54"/>
  <c r="AW92" i="54"/>
  <c r="AX92" i="54" s="1"/>
  <c r="BH72" i="54"/>
  <c r="BF84" i="54"/>
  <c r="BG84" i="54" s="1"/>
  <c r="BH84" i="54"/>
  <c r="BQ73" i="54"/>
  <c r="BO73" i="54"/>
  <c r="BP73" i="54" s="1"/>
  <c r="BQ89" i="54"/>
  <c r="BO89" i="54"/>
  <c r="BP89" i="54" s="1"/>
  <c r="BX75" i="54"/>
  <c r="BY75" i="54" s="1"/>
  <c r="BZ75" i="54"/>
  <c r="BX83" i="54"/>
  <c r="BY83" i="54" s="1"/>
  <c r="BZ83" i="54"/>
  <c r="BX91" i="54"/>
  <c r="BY91" i="54" s="1"/>
  <c r="BZ91" i="54"/>
  <c r="O72" i="54"/>
  <c r="O85" i="54"/>
  <c r="M85" i="54"/>
  <c r="N85" i="54" s="1"/>
  <c r="X70" i="54"/>
  <c r="V70" i="54"/>
  <c r="AE75" i="54"/>
  <c r="AF75" i="54" s="1"/>
  <c r="AG75" i="54"/>
  <c r="AE83" i="54"/>
  <c r="AF83" i="54" s="1"/>
  <c r="AG83" i="54"/>
  <c r="AE91" i="54"/>
  <c r="AF91" i="54" s="1"/>
  <c r="AG91" i="54"/>
  <c r="AN75" i="54"/>
  <c r="AO75" i="54" s="1"/>
  <c r="AP75" i="54"/>
  <c r="AN83" i="54"/>
  <c r="AO83" i="54" s="1"/>
  <c r="AP83" i="54"/>
  <c r="AN91" i="54"/>
  <c r="AO91" i="54" s="1"/>
  <c r="AP91" i="54"/>
  <c r="BH89" i="54"/>
  <c r="BF89" i="54"/>
  <c r="BG89" i="54" s="1"/>
  <c r="BQ72" i="54"/>
  <c r="BO72" i="54"/>
  <c r="BP72" i="54" s="1"/>
  <c r="BQ80" i="54"/>
  <c r="BO80" i="54"/>
  <c r="BP80" i="54" s="1"/>
  <c r="BQ88" i="54"/>
  <c r="BO88" i="54"/>
  <c r="BP88" i="54" s="1"/>
  <c r="BQ96" i="54"/>
  <c r="BO96" i="54"/>
  <c r="BP96" i="54" s="1"/>
  <c r="O84" i="63"/>
  <c r="M84" i="63"/>
  <c r="N84" i="63" s="1"/>
  <c r="P84" i="63"/>
  <c r="Y81" i="63"/>
  <c r="X81" i="63"/>
  <c r="V81" i="63"/>
  <c r="W81" i="63" s="1"/>
  <c r="AH85" i="63"/>
  <c r="AG85" i="63"/>
  <c r="AE85" i="63"/>
  <c r="AF85" i="63" s="1"/>
  <c r="AQ89" i="63"/>
  <c r="AP89" i="63"/>
  <c r="AN89" i="63"/>
  <c r="AO89" i="63" s="1"/>
  <c r="O82" i="63"/>
  <c r="M82" i="63"/>
  <c r="N82" i="63" s="1"/>
  <c r="P82" i="63"/>
  <c r="P98" i="63"/>
  <c r="O98" i="63"/>
  <c r="M98" i="63"/>
  <c r="N98" i="63" s="1"/>
  <c r="Y92" i="63"/>
  <c r="X92" i="63"/>
  <c r="V92" i="63"/>
  <c r="W92" i="63" s="1"/>
  <c r="AH75" i="63"/>
  <c r="AG75" i="63"/>
  <c r="AE75" i="63"/>
  <c r="AF75" i="63" s="1"/>
  <c r="AH91" i="63"/>
  <c r="AG91" i="63"/>
  <c r="AE91" i="63"/>
  <c r="AF91" i="63" s="1"/>
  <c r="AQ73" i="63"/>
  <c r="AP73" i="63"/>
  <c r="AN73" i="63"/>
  <c r="AO73" i="63" s="1"/>
  <c r="AQ86" i="63"/>
  <c r="AP86" i="63"/>
  <c r="AN86" i="63"/>
  <c r="AO86" i="63" s="1"/>
  <c r="O70" i="63"/>
  <c r="M70" i="63"/>
  <c r="N70" i="63" s="1"/>
  <c r="P70" i="63"/>
  <c r="P86" i="63"/>
  <c r="O86" i="63"/>
  <c r="M86" i="63"/>
  <c r="N86" i="63" s="1"/>
  <c r="Y72" i="63"/>
  <c r="X72" i="63"/>
  <c r="V72" i="63"/>
  <c r="W72" i="63" s="1"/>
  <c r="Y82" i="63"/>
  <c r="X82" i="63"/>
  <c r="V82" i="63"/>
  <c r="W82" i="63" s="1"/>
  <c r="X95" i="63"/>
  <c r="V95" i="63"/>
  <c r="W95" i="63" s="1"/>
  <c r="Y95" i="63"/>
  <c r="AH81" i="63"/>
  <c r="AG81" i="63"/>
  <c r="AE81" i="63"/>
  <c r="AF81" i="63" s="1"/>
  <c r="AH98" i="63"/>
  <c r="AG98" i="63"/>
  <c r="AE98" i="63"/>
  <c r="AF98" i="63" s="1"/>
  <c r="AQ90" i="63"/>
  <c r="AP90" i="63"/>
  <c r="AN90" i="63"/>
  <c r="AO90" i="63" s="1"/>
  <c r="P71" i="63"/>
  <c r="O71" i="63"/>
  <c r="M71" i="63"/>
  <c r="N71" i="63" s="1"/>
  <c r="P87" i="63"/>
  <c r="O87" i="63"/>
  <c r="M87" i="63"/>
  <c r="N87" i="63" s="1"/>
  <c r="X75" i="63"/>
  <c r="V75" i="63"/>
  <c r="W75" i="63" s="1"/>
  <c r="Y75" i="63"/>
  <c r="Y96" i="63"/>
  <c r="X96" i="63"/>
  <c r="V96" i="63"/>
  <c r="W96" i="63" s="1"/>
  <c r="AH79" i="63"/>
  <c r="AG79" i="63"/>
  <c r="AE79" i="63"/>
  <c r="AF79" i="63" s="1"/>
  <c r="AQ69" i="63"/>
  <c r="AP69" i="63"/>
  <c r="AN69" i="63"/>
  <c r="AO69" i="63" s="1"/>
  <c r="AQ80" i="63"/>
  <c r="AP80" i="63"/>
  <c r="AN80" i="63"/>
  <c r="AO80" i="63" s="1"/>
  <c r="AQ92" i="63"/>
  <c r="AP92" i="63"/>
  <c r="AN92" i="63"/>
  <c r="AO92" i="63" s="1"/>
  <c r="AY76" i="63"/>
  <c r="AW76" i="63"/>
  <c r="AX76" i="63" s="1"/>
  <c r="AZ76" i="63"/>
  <c r="Y84" i="63"/>
  <c r="X84" i="63"/>
  <c r="V84" i="63"/>
  <c r="W84" i="63" s="1"/>
  <c r="AG90" i="63"/>
  <c r="AE90" i="63"/>
  <c r="AF90" i="63" s="1"/>
  <c r="AH90" i="63"/>
  <c r="O81" i="63"/>
  <c r="M81" i="63"/>
  <c r="N81" i="63" s="1"/>
  <c r="P81" i="63"/>
  <c r="AZ78" i="63"/>
  <c r="AY78" i="63"/>
  <c r="AW78" i="63"/>
  <c r="AX78" i="63" s="1"/>
  <c r="AY94" i="63"/>
  <c r="AW94" i="63"/>
  <c r="AX94" i="63" s="1"/>
  <c r="AZ94" i="63"/>
  <c r="BH80" i="63"/>
  <c r="BF80" i="63"/>
  <c r="BG80" i="63" s="1"/>
  <c r="BI80" i="63"/>
  <c r="BH96" i="63"/>
  <c r="BF96" i="63"/>
  <c r="BG96" i="63" s="1"/>
  <c r="BI96" i="63"/>
  <c r="BR83" i="63"/>
  <c r="BQ83" i="63"/>
  <c r="BO83" i="63"/>
  <c r="BP83" i="63" s="1"/>
  <c r="BR96" i="63"/>
  <c r="BQ96" i="63"/>
  <c r="BO96" i="63"/>
  <c r="BP96" i="63" s="1"/>
  <c r="CA80" i="63"/>
  <c r="BZ80" i="63"/>
  <c r="BX80" i="63"/>
  <c r="BY80" i="63" s="1"/>
  <c r="CA91" i="63"/>
  <c r="BZ91" i="63"/>
  <c r="BX91" i="63"/>
  <c r="BY91" i="63" s="1"/>
  <c r="CJ79" i="63"/>
  <c r="CI79" i="63"/>
  <c r="CG79" i="63"/>
  <c r="CH79" i="63" s="1"/>
  <c r="CJ92" i="63"/>
  <c r="CI92" i="63"/>
  <c r="CG92" i="63"/>
  <c r="CH92" i="63" s="1"/>
  <c r="AZ87" i="63"/>
  <c r="AY87" i="63"/>
  <c r="AW87" i="63"/>
  <c r="AX87" i="63" s="1"/>
  <c r="BI73" i="63"/>
  <c r="BH73" i="63"/>
  <c r="BF73" i="63"/>
  <c r="BG73" i="63" s="1"/>
  <c r="BI89" i="63"/>
  <c r="BH89" i="63"/>
  <c r="BF89" i="63"/>
  <c r="BG89" i="63" s="1"/>
  <c r="BQ74" i="63"/>
  <c r="BO74" i="63"/>
  <c r="BP74" i="63" s="1"/>
  <c r="BR74" i="63"/>
  <c r="BR90" i="63"/>
  <c r="BQ90" i="63"/>
  <c r="BO90" i="63"/>
  <c r="BP90" i="63" s="1"/>
  <c r="CA83" i="63"/>
  <c r="BZ83" i="63"/>
  <c r="BX83" i="63"/>
  <c r="BY83" i="63" s="1"/>
  <c r="CJ70" i="63"/>
  <c r="CI70" i="63"/>
  <c r="CG70" i="63"/>
  <c r="CH70" i="63" s="1"/>
  <c r="CJ86" i="63"/>
  <c r="CI86" i="63"/>
  <c r="CG86" i="63"/>
  <c r="CH86" i="63" s="1"/>
  <c r="AZ69" i="63"/>
  <c r="AY69" i="63"/>
  <c r="AW69" i="63"/>
  <c r="AX69" i="63" s="1"/>
  <c r="AZ85" i="63"/>
  <c r="AY85" i="63"/>
  <c r="AW85" i="63"/>
  <c r="AX85" i="63" s="1"/>
  <c r="BI71" i="63"/>
  <c r="BH71" i="63"/>
  <c r="BF71" i="63"/>
  <c r="BG71" i="63" s="1"/>
  <c r="BI87" i="63"/>
  <c r="BH87" i="63"/>
  <c r="BF87" i="63"/>
  <c r="BG87" i="63" s="1"/>
  <c r="BR75" i="63"/>
  <c r="BQ75" i="63"/>
  <c r="BO75" i="63"/>
  <c r="BP75" i="63" s="1"/>
  <c r="BR91" i="63"/>
  <c r="BQ91" i="63"/>
  <c r="BO91" i="63"/>
  <c r="BP91" i="63" s="1"/>
  <c r="CA72" i="63"/>
  <c r="BZ72" i="63"/>
  <c r="BX72" i="63"/>
  <c r="BY72" i="63" s="1"/>
  <c r="CA88" i="63"/>
  <c r="BZ88" i="63"/>
  <c r="BX88" i="63"/>
  <c r="BY88" i="63" s="1"/>
  <c r="CJ71" i="63"/>
  <c r="CI71" i="63"/>
  <c r="CG71" i="63"/>
  <c r="CH71" i="63" s="1"/>
  <c r="CJ87" i="63"/>
  <c r="CI87" i="63"/>
  <c r="CG87" i="63"/>
  <c r="CH87" i="63" s="1"/>
  <c r="AY80" i="63"/>
  <c r="AW80" i="63"/>
  <c r="AX80" i="63" s="1"/>
  <c r="AZ80" i="63"/>
  <c r="AY96" i="63"/>
  <c r="AW96" i="63"/>
  <c r="AX96" i="63" s="1"/>
  <c r="AZ96" i="63"/>
  <c r="BI82" i="63"/>
  <c r="BH82" i="63"/>
  <c r="BF82" i="63"/>
  <c r="BG82" i="63" s="1"/>
  <c r="BI98" i="63"/>
  <c r="BH98" i="63"/>
  <c r="BF98" i="63"/>
  <c r="BG98" i="63" s="1"/>
  <c r="BR82" i="63"/>
  <c r="BQ82" i="63"/>
  <c r="BO82" i="63"/>
  <c r="BP82" i="63" s="1"/>
  <c r="CA75" i="63"/>
  <c r="BZ75" i="63"/>
  <c r="BX75" i="63"/>
  <c r="BY75" i="63" s="1"/>
  <c r="CA95" i="63"/>
  <c r="BZ95" i="63"/>
  <c r="BX95" i="63"/>
  <c r="BY95" i="63" s="1"/>
  <c r="CJ78" i="63"/>
  <c r="CI78" i="63"/>
  <c r="CG78" i="63"/>
  <c r="CH78" i="63" s="1"/>
  <c r="CJ98" i="63"/>
  <c r="CI98" i="63"/>
  <c r="CG98" i="63"/>
  <c r="CH98" i="63" s="1"/>
  <c r="O73" i="59"/>
  <c r="P73" i="59"/>
  <c r="P88" i="59"/>
  <c r="O88" i="59"/>
  <c r="M88" i="59"/>
  <c r="N88" i="59" s="1"/>
  <c r="P92" i="59"/>
  <c r="O92" i="59"/>
  <c r="M92" i="59"/>
  <c r="N92" i="59" s="1"/>
  <c r="P96" i="59"/>
  <c r="O96" i="59"/>
  <c r="M96" i="59"/>
  <c r="N96" i="59" s="1"/>
  <c r="Y70" i="59"/>
  <c r="X70" i="59"/>
  <c r="AH74" i="59"/>
  <c r="AE74" i="59"/>
  <c r="AF74" i="59" s="1"/>
  <c r="AG74" i="59"/>
  <c r="AH78" i="59"/>
  <c r="AE78" i="59"/>
  <c r="AF78" i="59" s="1"/>
  <c r="AG78" i="59"/>
  <c r="AH82" i="59"/>
  <c r="AG82" i="59"/>
  <c r="AE82" i="59"/>
  <c r="AF82" i="59" s="1"/>
  <c r="AH86" i="59"/>
  <c r="AG86" i="59"/>
  <c r="AE86" i="59"/>
  <c r="AF86" i="59" s="1"/>
  <c r="AH90" i="59"/>
  <c r="AE90" i="59"/>
  <c r="AF90" i="59" s="1"/>
  <c r="AG90" i="59"/>
  <c r="AH94" i="59"/>
  <c r="AG94" i="59"/>
  <c r="AE94" i="59"/>
  <c r="AF94" i="59" s="1"/>
  <c r="AH98" i="59"/>
  <c r="AE98" i="59"/>
  <c r="AF98" i="59" s="1"/>
  <c r="AG98" i="59"/>
  <c r="BI78" i="59"/>
  <c r="BF78" i="59"/>
  <c r="BG78" i="59" s="1"/>
  <c r="BH78" i="59"/>
  <c r="O71" i="59"/>
  <c r="P71" i="59"/>
  <c r="BI80" i="59"/>
  <c r="BH80" i="59"/>
  <c r="BF80" i="59"/>
  <c r="BG80" i="59" s="1"/>
  <c r="O77" i="59"/>
  <c r="P77" i="59"/>
  <c r="M77" i="59"/>
  <c r="N77" i="59" s="1"/>
  <c r="V76" i="59"/>
  <c r="W76" i="59" s="1"/>
  <c r="X76" i="59"/>
  <c r="Y76" i="59"/>
  <c r="V80" i="59"/>
  <c r="W80" i="59" s="1"/>
  <c r="Y80" i="59"/>
  <c r="X80" i="59"/>
  <c r="V84" i="59"/>
  <c r="W84" i="59" s="1"/>
  <c r="Y84" i="59"/>
  <c r="X84" i="59"/>
  <c r="V88" i="59"/>
  <c r="W88" i="59" s="1"/>
  <c r="Y88" i="59"/>
  <c r="X88" i="59"/>
  <c r="V92" i="59"/>
  <c r="W92" i="59" s="1"/>
  <c r="X92" i="59"/>
  <c r="Y92" i="59"/>
  <c r="V96" i="59"/>
  <c r="W96" i="59" s="1"/>
  <c r="X96" i="59"/>
  <c r="Y96" i="59"/>
  <c r="AG70" i="59"/>
  <c r="AH70" i="59"/>
  <c r="BI90" i="59"/>
  <c r="BF90" i="59"/>
  <c r="BG90" i="59" s="1"/>
  <c r="BH90" i="59"/>
  <c r="AH71" i="59"/>
  <c r="AG71" i="59"/>
  <c r="O76" i="59"/>
  <c r="P76" i="59"/>
  <c r="M76" i="59"/>
  <c r="N76" i="59" s="1"/>
  <c r="M85" i="59"/>
  <c r="N85" i="59" s="1"/>
  <c r="P85" i="59"/>
  <c r="O85" i="59"/>
  <c r="AQ71" i="59"/>
  <c r="AP71" i="59"/>
  <c r="AN71" i="59"/>
  <c r="AO71" i="59" s="1"/>
  <c r="AQ75" i="59"/>
  <c r="AP75" i="59"/>
  <c r="AN75" i="59"/>
  <c r="AO75" i="59" s="1"/>
  <c r="AQ79" i="59"/>
  <c r="AN79" i="59"/>
  <c r="AO79" i="59" s="1"/>
  <c r="AP79" i="59"/>
  <c r="AQ83" i="59"/>
  <c r="AN83" i="59"/>
  <c r="AO83" i="59" s="1"/>
  <c r="AP83" i="59"/>
  <c r="AQ87" i="59"/>
  <c r="AP87" i="59"/>
  <c r="AN87" i="59"/>
  <c r="AO87" i="59" s="1"/>
  <c r="AQ91" i="59"/>
  <c r="AP91" i="59"/>
  <c r="AN91" i="59"/>
  <c r="AO91" i="59" s="1"/>
  <c r="AQ95" i="59"/>
  <c r="AP95" i="59"/>
  <c r="AN95" i="59"/>
  <c r="AO95" i="59" s="1"/>
  <c r="AZ69" i="59"/>
  <c r="AY69" i="59"/>
  <c r="AW69" i="59"/>
  <c r="AX69" i="59" s="1"/>
  <c r="AZ73" i="59"/>
  <c r="AY73" i="59"/>
  <c r="AW73" i="59"/>
  <c r="AX73" i="59" s="1"/>
  <c r="AZ77" i="59"/>
  <c r="AY77" i="59"/>
  <c r="AW77" i="59"/>
  <c r="AX77" i="59" s="1"/>
  <c r="AZ81" i="59"/>
  <c r="AY81" i="59"/>
  <c r="AW81" i="59"/>
  <c r="AX81" i="59" s="1"/>
  <c r="AY85" i="59"/>
  <c r="AZ85" i="59"/>
  <c r="AW85" i="59"/>
  <c r="AX85" i="59" s="1"/>
  <c r="BI92" i="59"/>
  <c r="BH92" i="59"/>
  <c r="BF92" i="59"/>
  <c r="BG92" i="59" s="1"/>
  <c r="BI79" i="59"/>
  <c r="BF79" i="59"/>
  <c r="BG79" i="59" s="1"/>
  <c r="BH79" i="59"/>
  <c r="BI95" i="59"/>
  <c r="BF95" i="59"/>
  <c r="BG95" i="59" s="1"/>
  <c r="BH95" i="59"/>
  <c r="BQ75" i="59"/>
  <c r="BR75" i="59"/>
  <c r="BO75" i="59"/>
  <c r="BP75" i="59" s="1"/>
  <c r="BQ79" i="59"/>
  <c r="BR79" i="59"/>
  <c r="BO79" i="59"/>
  <c r="BP79" i="59" s="1"/>
  <c r="BQ83" i="59"/>
  <c r="BR83" i="59"/>
  <c r="BO83" i="59"/>
  <c r="BP83" i="59" s="1"/>
  <c r="BQ87" i="59"/>
  <c r="BR87" i="59"/>
  <c r="BO87" i="59"/>
  <c r="BP87" i="59" s="1"/>
  <c r="BQ91" i="59"/>
  <c r="BR91" i="59"/>
  <c r="BO91" i="59"/>
  <c r="BP91" i="59" s="1"/>
  <c r="BQ95" i="59"/>
  <c r="BR95" i="59"/>
  <c r="BO95" i="59"/>
  <c r="BP95" i="59" s="1"/>
  <c r="BZ69" i="59"/>
  <c r="CA69" i="59"/>
  <c r="BX69" i="59"/>
  <c r="BY69" i="59" s="1"/>
  <c r="BZ73" i="59"/>
  <c r="CA73" i="59"/>
  <c r="BX73" i="59"/>
  <c r="BY73" i="59" s="1"/>
  <c r="BZ77" i="59"/>
  <c r="CA77" i="59"/>
  <c r="BX77" i="59"/>
  <c r="BY77" i="59" s="1"/>
  <c r="BZ81" i="59"/>
  <c r="CA81" i="59"/>
  <c r="BX81" i="59"/>
  <c r="BY81" i="59" s="1"/>
  <c r="BZ85" i="59"/>
  <c r="CA85" i="59"/>
  <c r="BX85" i="59"/>
  <c r="BY85" i="59" s="1"/>
  <c r="BZ89" i="59"/>
  <c r="CA89" i="59"/>
  <c r="BX89" i="59"/>
  <c r="BY89" i="59" s="1"/>
  <c r="CA93" i="59"/>
  <c r="BZ93" i="59"/>
  <c r="BX93" i="59"/>
  <c r="BY93" i="59" s="1"/>
  <c r="CA97" i="59"/>
  <c r="BZ97" i="59"/>
  <c r="BX97" i="59"/>
  <c r="BY97" i="59" s="1"/>
  <c r="AY92" i="59"/>
  <c r="AZ92" i="59"/>
  <c r="AW92" i="59"/>
  <c r="AX92" i="59" s="1"/>
  <c r="AY96" i="59"/>
  <c r="AZ96" i="59"/>
  <c r="AW96" i="59"/>
  <c r="AX96" i="59" s="1"/>
  <c r="BI73" i="59"/>
  <c r="BH73" i="59"/>
  <c r="BF73" i="59"/>
  <c r="BG73" i="59" s="1"/>
  <c r="BI89" i="59"/>
  <c r="BH89" i="59"/>
  <c r="BF89" i="59"/>
  <c r="BG89" i="59" s="1"/>
  <c r="O72" i="62"/>
  <c r="M72" i="62"/>
  <c r="N72" i="62" s="1"/>
  <c r="P72" i="62"/>
  <c r="O88" i="62"/>
  <c r="M88" i="62"/>
  <c r="N88" i="62" s="1"/>
  <c r="P88" i="62"/>
  <c r="Y72" i="62"/>
  <c r="X72" i="62"/>
  <c r="V72" i="62"/>
  <c r="W72" i="62" s="1"/>
  <c r="Y88" i="62"/>
  <c r="X88" i="62"/>
  <c r="V88" i="62"/>
  <c r="W88" i="62" s="1"/>
  <c r="AH76" i="62"/>
  <c r="AG76" i="62"/>
  <c r="AE76" i="62"/>
  <c r="AF76" i="62" s="1"/>
  <c r="AH92" i="62"/>
  <c r="AG92" i="62"/>
  <c r="AE92" i="62"/>
  <c r="AF92" i="62" s="1"/>
  <c r="AQ78" i="62"/>
  <c r="AP78" i="62"/>
  <c r="AN78" i="62"/>
  <c r="AO78" i="62" s="1"/>
  <c r="AQ94" i="62"/>
  <c r="AP94" i="62"/>
  <c r="AN94" i="62"/>
  <c r="AO94" i="62" s="1"/>
  <c r="AZ83" i="62"/>
  <c r="AY83" i="62"/>
  <c r="AW83" i="62"/>
  <c r="AX83" i="62" s="1"/>
  <c r="BH69" i="62"/>
  <c r="BF69" i="62"/>
  <c r="BG69" i="62" s="1"/>
  <c r="BI85" i="62"/>
  <c r="BH85" i="62"/>
  <c r="BF85" i="62"/>
  <c r="BG85" i="62" s="1"/>
  <c r="BR74" i="62"/>
  <c r="BQ74" i="62"/>
  <c r="BO74" i="62"/>
  <c r="BP74" i="62" s="1"/>
  <c r="BR90" i="62"/>
  <c r="BQ90" i="62"/>
  <c r="BO90" i="62"/>
  <c r="BP90" i="62" s="1"/>
  <c r="P78" i="62"/>
  <c r="O78" i="62"/>
  <c r="M78" i="62"/>
  <c r="N78" i="62" s="1"/>
  <c r="P94" i="62"/>
  <c r="O94" i="62"/>
  <c r="M94" i="62"/>
  <c r="N94" i="62" s="1"/>
  <c r="X79" i="62"/>
  <c r="V79" i="62"/>
  <c r="W79" i="62" s="1"/>
  <c r="Y79" i="62"/>
  <c r="X95" i="62"/>
  <c r="V95" i="62"/>
  <c r="W95" i="62" s="1"/>
  <c r="Y95" i="62"/>
  <c r="AH81" i="62"/>
  <c r="AG81" i="62"/>
  <c r="AE81" i="62"/>
  <c r="AF81" i="62" s="1"/>
  <c r="AH97" i="62"/>
  <c r="AG97" i="62"/>
  <c r="AE97" i="62"/>
  <c r="AF97" i="62" s="1"/>
  <c r="AQ81" i="62"/>
  <c r="AP81" i="62"/>
  <c r="AN81" i="62"/>
  <c r="AO81" i="62" s="1"/>
  <c r="AQ97" i="62"/>
  <c r="AP97" i="62"/>
  <c r="AN97" i="62"/>
  <c r="AO97" i="62" s="1"/>
  <c r="AZ81" i="62"/>
  <c r="AY81" i="62"/>
  <c r="AW81" i="62"/>
  <c r="AX81" i="62" s="1"/>
  <c r="AZ97" i="62"/>
  <c r="AY97" i="62"/>
  <c r="AW97" i="62"/>
  <c r="AX97" i="62" s="1"/>
  <c r="BI81" i="62"/>
  <c r="BH81" i="62"/>
  <c r="BF81" i="62"/>
  <c r="BG81" i="62" s="1"/>
  <c r="BI97" i="62"/>
  <c r="BH97" i="62"/>
  <c r="BF97" i="62"/>
  <c r="BG97" i="62" s="1"/>
  <c r="BR83" i="62"/>
  <c r="BQ83" i="62"/>
  <c r="BO83" i="62"/>
  <c r="BP83" i="62" s="1"/>
  <c r="BR98" i="62"/>
  <c r="BQ98" i="62"/>
  <c r="BO98" i="62"/>
  <c r="BP98" i="62" s="1"/>
  <c r="O84" i="62"/>
  <c r="M84" i="62"/>
  <c r="N84" i="62" s="1"/>
  <c r="P84" i="62"/>
  <c r="Y73" i="62"/>
  <c r="X73" i="62"/>
  <c r="V73" i="62"/>
  <c r="W73" i="62" s="1"/>
  <c r="Y89" i="62"/>
  <c r="X89" i="62"/>
  <c r="V89" i="62"/>
  <c r="W89" i="62" s="1"/>
  <c r="AH70" i="62"/>
  <c r="AG70" i="62"/>
  <c r="AE70" i="62"/>
  <c r="AF70" i="62" s="1"/>
  <c r="AH86" i="62"/>
  <c r="AG86" i="62"/>
  <c r="AE86" i="62"/>
  <c r="AF86" i="62" s="1"/>
  <c r="AQ75" i="62"/>
  <c r="AP75" i="62"/>
  <c r="AN75" i="62"/>
  <c r="AO75" i="62" s="1"/>
  <c r="AQ91" i="62"/>
  <c r="AP91" i="62"/>
  <c r="AN91" i="62"/>
  <c r="AO91" i="62" s="1"/>
  <c r="AZ77" i="62"/>
  <c r="AY77" i="62"/>
  <c r="AW77" i="62"/>
  <c r="AX77" i="62" s="1"/>
  <c r="AZ93" i="62"/>
  <c r="AY93" i="62"/>
  <c r="AW93" i="62"/>
  <c r="AX93" i="62" s="1"/>
  <c r="BI84" i="62"/>
  <c r="BH84" i="62"/>
  <c r="BF84" i="62"/>
  <c r="BG84" i="62" s="1"/>
  <c r="BR70" i="62"/>
  <c r="BQ70" i="62"/>
  <c r="BO70" i="62"/>
  <c r="BP70" i="62" s="1"/>
  <c r="BR86" i="62"/>
  <c r="BQ86" i="62"/>
  <c r="BO86" i="62"/>
  <c r="BP86" i="62" s="1"/>
  <c r="P74" i="62"/>
  <c r="O74" i="62"/>
  <c r="M74" i="62"/>
  <c r="N74" i="62" s="1"/>
  <c r="P90" i="62"/>
  <c r="O90" i="62"/>
  <c r="M90" i="62"/>
  <c r="N90" i="62" s="1"/>
  <c r="Y76" i="62"/>
  <c r="X76" i="62"/>
  <c r="V76" i="62"/>
  <c r="W76" i="62" s="1"/>
  <c r="Y92" i="62"/>
  <c r="X92" i="62"/>
  <c r="V92" i="62"/>
  <c r="W92" i="62" s="1"/>
  <c r="AH80" i="62"/>
  <c r="AG80" i="62"/>
  <c r="AE80" i="62"/>
  <c r="AF80" i="62" s="1"/>
  <c r="AH96" i="62"/>
  <c r="AG96" i="62"/>
  <c r="AE96" i="62"/>
  <c r="AF96" i="62" s="1"/>
  <c r="AQ80" i="62"/>
  <c r="AP80" i="62"/>
  <c r="AN80" i="62"/>
  <c r="AO80" i="62" s="1"/>
  <c r="AQ96" i="62"/>
  <c r="AP96" i="62"/>
  <c r="AN96" i="62"/>
  <c r="AO96" i="62" s="1"/>
  <c r="AZ80" i="62"/>
  <c r="AY80" i="62"/>
  <c r="AW80" i="62"/>
  <c r="AX80" i="62" s="1"/>
  <c r="AZ96" i="62"/>
  <c r="AY96" i="62"/>
  <c r="AW96" i="62"/>
  <c r="AX96" i="62" s="1"/>
  <c r="BI80" i="62"/>
  <c r="BH80" i="62"/>
  <c r="BF80" i="62"/>
  <c r="BG80" i="62" s="1"/>
  <c r="BI96" i="62"/>
  <c r="BH96" i="62"/>
  <c r="BF96" i="62"/>
  <c r="BG96" i="62" s="1"/>
  <c r="BR79" i="62"/>
  <c r="BQ79" i="62"/>
  <c r="BO79" i="62"/>
  <c r="BP79" i="62" s="1"/>
  <c r="BR95" i="62"/>
  <c r="BQ95" i="62"/>
  <c r="BO95" i="62"/>
  <c r="BP95" i="62" s="1"/>
  <c r="BZ77" i="62"/>
  <c r="BX77" i="62"/>
  <c r="BY77" i="62" s="1"/>
  <c r="CA77" i="62"/>
  <c r="CA88" i="62"/>
  <c r="BZ88" i="62"/>
  <c r="BX88" i="62"/>
  <c r="BY88" i="62" s="1"/>
  <c r="CA70" i="62"/>
  <c r="BZ70" i="62"/>
  <c r="BX70" i="62"/>
  <c r="BY70" i="62" s="1"/>
  <c r="CA71" i="62"/>
  <c r="BZ71" i="62"/>
  <c r="BX71" i="62"/>
  <c r="BY71" i="62" s="1"/>
  <c r="CA81" i="62"/>
  <c r="BZ81" i="62"/>
  <c r="BX81" i="62"/>
  <c r="BY81" i="62" s="1"/>
  <c r="CA92" i="62"/>
  <c r="BZ92" i="62"/>
  <c r="BX92" i="62"/>
  <c r="BY92" i="62" s="1"/>
  <c r="BZ69" i="62"/>
  <c r="BX69" i="62"/>
  <c r="BY69" i="62" s="1"/>
  <c r="F80" i="63"/>
  <c r="D80" i="63"/>
  <c r="E80" i="63" s="1"/>
  <c r="F96" i="63"/>
  <c r="D96" i="63"/>
  <c r="E96" i="63" s="1"/>
  <c r="F81" i="63"/>
  <c r="D81" i="63"/>
  <c r="E81" i="63" s="1"/>
  <c r="F97" i="63"/>
  <c r="D97" i="63"/>
  <c r="E97" i="63" s="1"/>
  <c r="F82" i="63"/>
  <c r="D82" i="63"/>
  <c r="E82" i="63" s="1"/>
  <c r="F98" i="63"/>
  <c r="D98" i="63"/>
  <c r="E98" i="63" s="1"/>
  <c r="F83" i="63"/>
  <c r="D83" i="63"/>
  <c r="E83" i="63" s="1"/>
  <c r="F70" i="50"/>
  <c r="D70" i="50"/>
  <c r="F86" i="50"/>
  <c r="D86" i="50"/>
  <c r="F82" i="50"/>
  <c r="D82" i="50"/>
  <c r="F73" i="50"/>
  <c r="D73" i="50"/>
  <c r="F94" i="50"/>
  <c r="D94" i="50"/>
  <c r="E94" i="50" s="1"/>
  <c r="F85" i="50"/>
  <c r="D85" i="50"/>
  <c r="F76" i="50"/>
  <c r="D76" i="50"/>
  <c r="F92" i="50"/>
  <c r="D92" i="50"/>
  <c r="E92" i="50" s="1"/>
  <c r="F79" i="51"/>
  <c r="D79" i="51"/>
  <c r="F70" i="51"/>
  <c r="D70" i="51"/>
  <c r="F91" i="51"/>
  <c r="D91" i="51"/>
  <c r="E91" i="51" s="1"/>
  <c r="F82" i="51"/>
  <c r="D82" i="51"/>
  <c r="F73" i="51"/>
  <c r="D73" i="51"/>
  <c r="F94" i="51"/>
  <c r="D94" i="51"/>
  <c r="E94" i="51" s="1"/>
  <c r="F84" i="51"/>
  <c r="D84" i="51"/>
  <c r="AK70" i="61"/>
  <c r="AI70" i="61"/>
  <c r="AB70" i="61"/>
  <c r="Z70" i="61"/>
  <c r="S70" i="61"/>
  <c r="Q70" i="61"/>
  <c r="F95" i="54"/>
  <c r="D95" i="54"/>
  <c r="E95" i="54" s="1"/>
  <c r="F79" i="54"/>
  <c r="D79" i="54"/>
  <c r="E79" i="54" s="1"/>
  <c r="F92" i="54"/>
  <c r="D92" i="54"/>
  <c r="E92" i="54" s="1"/>
  <c r="F78" i="54"/>
  <c r="D78" i="54"/>
  <c r="E78" i="54" s="1"/>
  <c r="F83" i="54"/>
  <c r="D83" i="54"/>
  <c r="E83" i="54" s="1"/>
  <c r="F86" i="54"/>
  <c r="D86" i="54"/>
  <c r="E86" i="54" s="1"/>
  <c r="F72" i="54"/>
  <c r="F85" i="49"/>
  <c r="D85" i="49"/>
  <c r="E85" i="49" s="1"/>
  <c r="F95" i="49"/>
  <c r="D95" i="49"/>
  <c r="E95" i="49" s="1"/>
  <c r="F82" i="49"/>
  <c r="D82" i="49"/>
  <c r="E82" i="49" s="1"/>
  <c r="F71" i="49"/>
  <c r="D71" i="49"/>
  <c r="E71" i="49" s="1"/>
  <c r="F87" i="49"/>
  <c r="D87" i="49"/>
  <c r="E87" i="49" s="1"/>
  <c r="F76" i="49"/>
  <c r="D76" i="49"/>
  <c r="E76" i="49" s="1"/>
  <c r="F93" i="49"/>
  <c r="D93" i="49"/>
  <c r="E93" i="49" s="1"/>
  <c r="F83" i="60"/>
  <c r="D83" i="60"/>
  <c r="E83" i="60" s="1"/>
  <c r="F79" i="60"/>
  <c r="D79" i="60"/>
  <c r="E79" i="60" s="1"/>
  <c r="AI79" i="60"/>
  <c r="AB79" i="60"/>
  <c r="Z79" i="60"/>
  <c r="S79" i="60"/>
  <c r="Q79" i="60"/>
  <c r="AK79" i="60"/>
  <c r="F91" i="60"/>
  <c r="D91" i="60"/>
  <c r="E91" i="60" s="1"/>
  <c r="F81" i="60"/>
  <c r="D81" i="60"/>
  <c r="E81" i="60" s="1"/>
  <c r="F70" i="60"/>
  <c r="D70" i="60"/>
  <c r="AI70" i="60"/>
  <c r="AB70" i="60"/>
  <c r="S70" i="60"/>
  <c r="AK70" i="60"/>
  <c r="Z70" i="60"/>
  <c r="Q70" i="60"/>
  <c r="F86" i="60"/>
  <c r="D86" i="60"/>
  <c r="E86" i="60" s="1"/>
  <c r="O74" i="49"/>
  <c r="M74" i="49"/>
  <c r="N74" i="49" s="1"/>
  <c r="X91" i="49"/>
  <c r="V91" i="49"/>
  <c r="W91" i="49" s="1"/>
  <c r="O79" i="49"/>
  <c r="M79" i="49"/>
  <c r="N79" i="49" s="1"/>
  <c r="AG77" i="49"/>
  <c r="AE77" i="49"/>
  <c r="AF77" i="49" s="1"/>
  <c r="AY70" i="49"/>
  <c r="AW70" i="49"/>
  <c r="AX70" i="49" s="1"/>
  <c r="BH78" i="49"/>
  <c r="BF78" i="49"/>
  <c r="BG78" i="49" s="1"/>
  <c r="X84" i="49"/>
  <c r="V84" i="49"/>
  <c r="W84" i="49" s="1"/>
  <c r="AG80" i="49"/>
  <c r="AE80" i="49"/>
  <c r="AF80" i="49" s="1"/>
  <c r="AP96" i="49"/>
  <c r="AN96" i="49"/>
  <c r="BH79" i="49"/>
  <c r="BF79" i="49"/>
  <c r="BG79" i="49" s="1"/>
  <c r="X71" i="49"/>
  <c r="V71" i="49"/>
  <c r="W71" i="49" s="1"/>
  <c r="X87" i="49"/>
  <c r="V87" i="49"/>
  <c r="W87" i="49" s="1"/>
  <c r="AG71" i="49"/>
  <c r="AE71" i="49"/>
  <c r="AF71" i="49" s="1"/>
  <c r="AG98" i="49"/>
  <c r="AE98" i="49"/>
  <c r="AF98" i="49" s="1"/>
  <c r="AP94" i="49"/>
  <c r="AN94" i="49"/>
  <c r="AO94" i="49" s="1"/>
  <c r="AY87" i="49"/>
  <c r="AW87" i="49"/>
  <c r="AX87" i="49" s="1"/>
  <c r="BH76" i="49"/>
  <c r="BF76" i="49"/>
  <c r="BG76" i="49" s="1"/>
  <c r="BH92" i="49"/>
  <c r="BF92" i="49"/>
  <c r="BG92" i="49" s="1"/>
  <c r="O92" i="49"/>
  <c r="M92" i="49"/>
  <c r="N92" i="49" s="1"/>
  <c r="AG96" i="49"/>
  <c r="AE96" i="49"/>
  <c r="AF96" i="49" s="1"/>
  <c r="AY72" i="49"/>
  <c r="AW72" i="49"/>
  <c r="AX72" i="49" s="1"/>
  <c r="BH81" i="49"/>
  <c r="BF81" i="49"/>
  <c r="BG81" i="49" s="1"/>
  <c r="BQ76" i="49"/>
  <c r="BO76" i="49"/>
  <c r="BP76" i="49" s="1"/>
  <c r="O96" i="49"/>
  <c r="M96" i="49"/>
  <c r="N96" i="49" s="1"/>
  <c r="O83" i="49"/>
  <c r="M83" i="49"/>
  <c r="N83" i="49" s="1"/>
  <c r="X95" i="49"/>
  <c r="V95" i="49"/>
  <c r="W95" i="49" s="1"/>
  <c r="AY93" i="49"/>
  <c r="AW93" i="49"/>
  <c r="AX93" i="49" s="1"/>
  <c r="BH86" i="49"/>
  <c r="BF86" i="49"/>
  <c r="BG86" i="49" s="1"/>
  <c r="BQ78" i="49"/>
  <c r="BO78" i="49"/>
  <c r="BP78" i="49" s="1"/>
  <c r="O86" i="49"/>
  <c r="M86" i="49"/>
  <c r="N86" i="49" s="1"/>
  <c r="X92" i="49"/>
  <c r="V92" i="49"/>
  <c r="W92" i="49" s="1"/>
  <c r="O87" i="49"/>
  <c r="M87" i="49"/>
  <c r="N87" i="49" s="1"/>
  <c r="X73" i="49"/>
  <c r="V73" i="49"/>
  <c r="W73" i="49" s="1"/>
  <c r="AG73" i="49"/>
  <c r="AE73" i="49"/>
  <c r="AF73" i="49" s="1"/>
  <c r="AP82" i="49"/>
  <c r="AN82" i="49"/>
  <c r="AO82" i="49" s="1"/>
  <c r="X83" i="49"/>
  <c r="V83" i="49"/>
  <c r="W83" i="49" s="1"/>
  <c r="AP72" i="49"/>
  <c r="AN72" i="49"/>
  <c r="AO72" i="49" s="1"/>
  <c r="AG85" i="49"/>
  <c r="AE85" i="49"/>
  <c r="AF85" i="49" s="1"/>
  <c r="AG97" i="49"/>
  <c r="AE97" i="49"/>
  <c r="AF97" i="49" s="1"/>
  <c r="AP77" i="49"/>
  <c r="AN77" i="49"/>
  <c r="AO77" i="49" s="1"/>
  <c r="AP85" i="49"/>
  <c r="AN85" i="49"/>
  <c r="AO85" i="49" s="1"/>
  <c r="AP93" i="49"/>
  <c r="AN93" i="49"/>
  <c r="AO93" i="49" s="1"/>
  <c r="AY73" i="49"/>
  <c r="AW73" i="49"/>
  <c r="AX73" i="49" s="1"/>
  <c r="AY82" i="49"/>
  <c r="AW82" i="49"/>
  <c r="AX82" i="49" s="1"/>
  <c r="AY90" i="49"/>
  <c r="AW90" i="49"/>
  <c r="AX90" i="49" s="1"/>
  <c r="AY98" i="49"/>
  <c r="AW98" i="49"/>
  <c r="AX98" i="49" s="1"/>
  <c r="BZ73" i="49"/>
  <c r="BX73" i="49"/>
  <c r="BY73" i="49" s="1"/>
  <c r="BZ81" i="49"/>
  <c r="BX81" i="49"/>
  <c r="BY81" i="49" s="1"/>
  <c r="BZ89" i="49"/>
  <c r="BX89" i="49"/>
  <c r="BY89" i="49" s="1"/>
  <c r="BZ97" i="49"/>
  <c r="BX97" i="49"/>
  <c r="BY97" i="49" s="1"/>
  <c r="BQ72" i="49"/>
  <c r="BO72" i="49"/>
  <c r="BP72" i="49" s="1"/>
  <c r="BQ84" i="49"/>
  <c r="BO84" i="49"/>
  <c r="BP84" i="49" s="1"/>
  <c r="BO92" i="49"/>
  <c r="BP92" i="49" s="1"/>
  <c r="BQ92" i="49"/>
  <c r="BQ73" i="49"/>
  <c r="BO73" i="49"/>
  <c r="BP73" i="49" s="1"/>
  <c r="BQ81" i="49"/>
  <c r="BO81" i="49"/>
  <c r="BP81" i="49" s="1"/>
  <c r="BQ89" i="49"/>
  <c r="BO89" i="49"/>
  <c r="BP89" i="49" s="1"/>
  <c r="BO98" i="49"/>
  <c r="BP98" i="49" s="1"/>
  <c r="BQ98" i="49"/>
  <c r="BX76" i="49"/>
  <c r="BY76" i="49" s="1"/>
  <c r="BZ76" i="49"/>
  <c r="BX84" i="49"/>
  <c r="BY84" i="49" s="1"/>
  <c r="BZ84" i="49"/>
  <c r="BX92" i="49"/>
  <c r="BY92" i="49" s="1"/>
  <c r="BZ92" i="49"/>
  <c r="P78" i="60"/>
  <c r="O78" i="60"/>
  <c r="M78" i="60"/>
  <c r="N78" i="60" s="1"/>
  <c r="P98" i="60"/>
  <c r="O98" i="60"/>
  <c r="M98" i="60"/>
  <c r="N98" i="60" s="1"/>
  <c r="Y87" i="60"/>
  <c r="X87" i="60"/>
  <c r="V87" i="60"/>
  <c r="W87" i="60" s="1"/>
  <c r="AH73" i="60"/>
  <c r="AG73" i="60"/>
  <c r="AE73" i="60"/>
  <c r="AF73" i="60" s="1"/>
  <c r="AH89" i="60"/>
  <c r="AG89" i="60"/>
  <c r="AE89" i="60"/>
  <c r="AF89" i="60" s="1"/>
  <c r="P73" i="60"/>
  <c r="O73" i="60"/>
  <c r="M73" i="60"/>
  <c r="N73" i="60" s="1"/>
  <c r="P85" i="60"/>
  <c r="O85" i="60"/>
  <c r="M85" i="60"/>
  <c r="N85" i="60" s="1"/>
  <c r="Y75" i="60"/>
  <c r="X75" i="60"/>
  <c r="V75" i="60"/>
  <c r="W75" i="60" s="1"/>
  <c r="Y83" i="60"/>
  <c r="X83" i="60"/>
  <c r="V83" i="60"/>
  <c r="W83" i="60" s="1"/>
  <c r="AH71" i="60"/>
  <c r="AG71" i="60"/>
  <c r="AE71" i="60"/>
  <c r="AF71" i="60" s="1"/>
  <c r="AH83" i="60"/>
  <c r="AG83" i="60"/>
  <c r="AE83" i="60"/>
  <c r="AF83" i="60" s="1"/>
  <c r="P71" i="60"/>
  <c r="O71" i="60"/>
  <c r="M71" i="60"/>
  <c r="N71" i="60" s="1"/>
  <c r="P95" i="60"/>
  <c r="O95" i="60"/>
  <c r="M95" i="60"/>
  <c r="N95" i="60" s="1"/>
  <c r="Y73" i="60"/>
  <c r="X73" i="60"/>
  <c r="V73" i="60"/>
  <c r="W73" i="60" s="1"/>
  <c r="Y90" i="60"/>
  <c r="X90" i="60"/>
  <c r="V90" i="60"/>
  <c r="W90" i="60" s="1"/>
  <c r="AH77" i="60"/>
  <c r="AG77" i="60"/>
  <c r="AE77" i="60"/>
  <c r="AF77" i="60" s="1"/>
  <c r="AH90" i="60"/>
  <c r="AG90" i="60"/>
  <c r="AE90" i="60"/>
  <c r="AF90" i="60" s="1"/>
  <c r="P79" i="60"/>
  <c r="O79" i="60"/>
  <c r="M79" i="60"/>
  <c r="N79" i="60" s="1"/>
  <c r="P86" i="60"/>
  <c r="O86" i="60"/>
  <c r="M86" i="60"/>
  <c r="N86" i="60" s="1"/>
  <c r="Y84" i="60"/>
  <c r="X84" i="60"/>
  <c r="V84" i="60"/>
  <c r="W84" i="60" s="1"/>
  <c r="Y98" i="60"/>
  <c r="X98" i="60"/>
  <c r="V98" i="60"/>
  <c r="W98" i="60" s="1"/>
  <c r="AH86" i="60"/>
  <c r="AG86" i="60"/>
  <c r="AE86" i="60"/>
  <c r="AF86" i="60" s="1"/>
  <c r="O82" i="50"/>
  <c r="M82" i="50"/>
  <c r="N82" i="50" s="1"/>
  <c r="P82" i="50"/>
  <c r="P98" i="50"/>
  <c r="O98" i="50"/>
  <c r="M98" i="50"/>
  <c r="N98" i="50" s="1"/>
  <c r="Y86" i="50"/>
  <c r="X86" i="50"/>
  <c r="V86" i="50"/>
  <c r="W86" i="50" s="1"/>
  <c r="AH82" i="50"/>
  <c r="AG82" i="50"/>
  <c r="AE82" i="50"/>
  <c r="AF82" i="50" s="1"/>
  <c r="AP74" i="50"/>
  <c r="AN74" i="50"/>
  <c r="AO74" i="50" s="1"/>
  <c r="AQ74" i="50"/>
  <c r="AP87" i="50"/>
  <c r="AN87" i="50"/>
  <c r="AO87" i="50" s="1"/>
  <c r="AQ87" i="50"/>
  <c r="AZ77" i="50"/>
  <c r="AY77" i="50"/>
  <c r="AW77" i="50"/>
  <c r="AX77" i="50" s="1"/>
  <c r="AZ93" i="50"/>
  <c r="AY93" i="50"/>
  <c r="AW93" i="50"/>
  <c r="AX93" i="50" s="1"/>
  <c r="BI80" i="50"/>
  <c r="BH80" i="50"/>
  <c r="BF80" i="50"/>
  <c r="BG80" i="50" s="1"/>
  <c r="BI96" i="50"/>
  <c r="BH96" i="50"/>
  <c r="BF96" i="50"/>
  <c r="BG96" i="50" s="1"/>
  <c r="BR90" i="50"/>
  <c r="BQ90" i="50"/>
  <c r="BO90" i="50"/>
  <c r="BP90" i="50" s="1"/>
  <c r="CA80" i="50"/>
  <c r="BZ80" i="50"/>
  <c r="BX80" i="50"/>
  <c r="BY80" i="50" s="1"/>
  <c r="CA98" i="50"/>
  <c r="BZ98" i="50"/>
  <c r="BX98" i="50"/>
  <c r="BY98" i="50" s="1"/>
  <c r="P83" i="50"/>
  <c r="O83" i="50"/>
  <c r="M83" i="50"/>
  <c r="N83" i="50" s="1"/>
  <c r="X69" i="50"/>
  <c r="V69" i="50"/>
  <c r="W69" i="50" s="1"/>
  <c r="Y84" i="50"/>
  <c r="X84" i="50"/>
  <c r="V84" i="50"/>
  <c r="W84" i="50" s="1"/>
  <c r="Y95" i="50"/>
  <c r="X95" i="50"/>
  <c r="V95" i="50"/>
  <c r="W95" i="50" s="1"/>
  <c r="AG77" i="50"/>
  <c r="AE77" i="50"/>
  <c r="AF77" i="50" s="1"/>
  <c r="AH77" i="50"/>
  <c r="AH88" i="50"/>
  <c r="AG88" i="50"/>
  <c r="AE88" i="50"/>
  <c r="AF88" i="50" s="1"/>
  <c r="AP69" i="50"/>
  <c r="AN69" i="50"/>
  <c r="AO69" i="50" s="1"/>
  <c r="AQ88" i="50"/>
  <c r="AP88" i="50"/>
  <c r="AN88" i="50"/>
  <c r="AO88" i="50" s="1"/>
  <c r="AQ98" i="50"/>
  <c r="AP98" i="50"/>
  <c r="AN98" i="50"/>
  <c r="AO98" i="50" s="1"/>
  <c r="AZ82" i="50"/>
  <c r="AY82" i="50"/>
  <c r="AW82" i="50"/>
  <c r="AX82" i="50" s="1"/>
  <c r="BH69" i="50"/>
  <c r="BF69" i="50"/>
  <c r="BG69" i="50" s="1"/>
  <c r="BI85" i="50"/>
  <c r="BH85" i="50"/>
  <c r="BF85" i="50"/>
  <c r="BG85" i="50" s="1"/>
  <c r="BR75" i="50"/>
  <c r="BQ75" i="50"/>
  <c r="BO75" i="50"/>
  <c r="BP75" i="50" s="1"/>
  <c r="BQ85" i="50"/>
  <c r="BO85" i="50"/>
  <c r="BP85" i="50" s="1"/>
  <c r="BR85" i="50"/>
  <c r="BR96" i="50"/>
  <c r="BQ96" i="50"/>
  <c r="BO96" i="50"/>
  <c r="BP96" i="50" s="1"/>
  <c r="CA83" i="50"/>
  <c r="BZ83" i="50"/>
  <c r="BX83" i="50"/>
  <c r="BY83" i="50" s="1"/>
  <c r="CA96" i="50"/>
  <c r="BZ96" i="50"/>
  <c r="BX96" i="50"/>
  <c r="BY96" i="50" s="1"/>
  <c r="P81" i="50"/>
  <c r="O81" i="50"/>
  <c r="M81" i="50"/>
  <c r="N81" i="50" s="1"/>
  <c r="P97" i="50"/>
  <c r="O97" i="50"/>
  <c r="M97" i="50"/>
  <c r="N97" i="50" s="1"/>
  <c r="Y90" i="50"/>
  <c r="X90" i="50"/>
  <c r="V90" i="50"/>
  <c r="W90" i="50" s="1"/>
  <c r="AH78" i="50"/>
  <c r="AG78" i="50"/>
  <c r="AE78" i="50"/>
  <c r="AF78" i="50" s="1"/>
  <c r="AQ73" i="50"/>
  <c r="AP73" i="50"/>
  <c r="AN73" i="50"/>
  <c r="AO73" i="50" s="1"/>
  <c r="AP91" i="50"/>
  <c r="AN91" i="50"/>
  <c r="AO91" i="50" s="1"/>
  <c r="AQ91" i="50"/>
  <c r="AZ83" i="50"/>
  <c r="AY83" i="50"/>
  <c r="AW83" i="50"/>
  <c r="AX83" i="50" s="1"/>
  <c r="BI72" i="50"/>
  <c r="BH72" i="50"/>
  <c r="BF72" i="50"/>
  <c r="BG72" i="50" s="1"/>
  <c r="BI88" i="50"/>
  <c r="BH88" i="50"/>
  <c r="BF88" i="50"/>
  <c r="BG88" i="50" s="1"/>
  <c r="BR70" i="50"/>
  <c r="BQ70" i="50"/>
  <c r="BO70" i="50"/>
  <c r="BP70" i="50" s="1"/>
  <c r="CA72" i="50"/>
  <c r="BZ72" i="50"/>
  <c r="BX72" i="50"/>
  <c r="BY72" i="50" s="1"/>
  <c r="CA88" i="50"/>
  <c r="BZ88" i="50"/>
  <c r="BX88" i="50"/>
  <c r="BY88" i="50" s="1"/>
  <c r="P79" i="50"/>
  <c r="O79" i="50"/>
  <c r="M79" i="50"/>
  <c r="N79" i="50" s="1"/>
  <c r="P95" i="50"/>
  <c r="O95" i="50"/>
  <c r="M95" i="50"/>
  <c r="N95" i="50" s="1"/>
  <c r="Y80" i="50"/>
  <c r="X80" i="50"/>
  <c r="V80" i="50"/>
  <c r="W80" i="50" s="1"/>
  <c r="Y91" i="50"/>
  <c r="X91" i="50"/>
  <c r="V91" i="50"/>
  <c r="W91" i="50" s="1"/>
  <c r="AH76" i="50"/>
  <c r="AG76" i="50"/>
  <c r="AE76" i="50"/>
  <c r="AF76" i="50" s="1"/>
  <c r="AH87" i="50"/>
  <c r="AG87" i="50"/>
  <c r="AE87" i="50"/>
  <c r="AF87" i="50" s="1"/>
  <c r="AH97" i="50"/>
  <c r="AG97" i="50"/>
  <c r="AE97" i="50"/>
  <c r="AF97" i="50" s="1"/>
  <c r="AQ86" i="50"/>
  <c r="AP86" i="50"/>
  <c r="AN86" i="50"/>
  <c r="AO86" i="50" s="1"/>
  <c r="AQ97" i="50"/>
  <c r="AP97" i="50"/>
  <c r="AN97" i="50"/>
  <c r="AO97" i="50" s="1"/>
  <c r="AZ81" i="50"/>
  <c r="AY81" i="50"/>
  <c r="AW81" i="50"/>
  <c r="AX81" i="50" s="1"/>
  <c r="AY97" i="50"/>
  <c r="AW97" i="50"/>
  <c r="AX97" i="50" s="1"/>
  <c r="AZ97" i="50"/>
  <c r="BI84" i="50"/>
  <c r="BH84" i="50"/>
  <c r="BF84" i="50"/>
  <c r="BG84" i="50" s="1"/>
  <c r="BI98" i="50"/>
  <c r="BH98" i="50"/>
  <c r="BF98" i="50"/>
  <c r="BG98" i="50" s="1"/>
  <c r="BR79" i="50"/>
  <c r="BQ79" i="50"/>
  <c r="BO79" i="50"/>
  <c r="BP79" i="50" s="1"/>
  <c r="BQ89" i="50"/>
  <c r="BO89" i="50"/>
  <c r="BP89" i="50" s="1"/>
  <c r="BR89" i="50"/>
  <c r="CA70" i="50"/>
  <c r="BZ70" i="50"/>
  <c r="BX70" i="50"/>
  <c r="BY70" i="50" s="1"/>
  <c r="CA86" i="50"/>
  <c r="BZ86" i="50"/>
  <c r="BX86" i="50"/>
  <c r="BY86" i="50" s="1"/>
  <c r="BZ97" i="50"/>
  <c r="BX97" i="50"/>
  <c r="BY97" i="50" s="1"/>
  <c r="CA97" i="50"/>
  <c r="P82" i="51"/>
  <c r="O82" i="51"/>
  <c r="M82" i="51"/>
  <c r="N82" i="51" s="1"/>
  <c r="P98" i="51"/>
  <c r="O98" i="51"/>
  <c r="M98" i="51"/>
  <c r="N98" i="51" s="1"/>
  <c r="Y84" i="51"/>
  <c r="X84" i="51"/>
  <c r="V84" i="51"/>
  <c r="W84" i="51" s="1"/>
  <c r="Y98" i="51"/>
  <c r="X98" i="51"/>
  <c r="V98" i="51"/>
  <c r="W98" i="51" s="1"/>
  <c r="AH85" i="51"/>
  <c r="AG85" i="51"/>
  <c r="AE85" i="51"/>
  <c r="AF85" i="51" s="1"/>
  <c r="AQ71" i="51"/>
  <c r="AP71" i="51"/>
  <c r="AN71" i="51"/>
  <c r="AO71" i="51" s="1"/>
  <c r="AQ87" i="51"/>
  <c r="AP87" i="51"/>
  <c r="AN87" i="51"/>
  <c r="AO87" i="51" s="1"/>
  <c r="P72" i="51"/>
  <c r="O72" i="51"/>
  <c r="M72" i="51"/>
  <c r="N72" i="51" s="1"/>
  <c r="P88" i="51"/>
  <c r="O88" i="51"/>
  <c r="M88" i="51"/>
  <c r="N88" i="51" s="1"/>
  <c r="Y73" i="51"/>
  <c r="X73" i="51"/>
  <c r="V73" i="51"/>
  <c r="W73" i="51" s="1"/>
  <c r="Y89" i="51"/>
  <c r="X89" i="51"/>
  <c r="V89" i="51"/>
  <c r="W89" i="51" s="1"/>
  <c r="AH74" i="51"/>
  <c r="AG74" i="51"/>
  <c r="AE74" i="51"/>
  <c r="AF74" i="51" s="1"/>
  <c r="AH90" i="51"/>
  <c r="AG90" i="51"/>
  <c r="AE90" i="51"/>
  <c r="AF90" i="51" s="1"/>
  <c r="AQ77" i="51"/>
  <c r="AP77" i="51"/>
  <c r="AN77" i="51"/>
  <c r="AO77" i="51" s="1"/>
  <c r="AQ93" i="51"/>
  <c r="AP93" i="51"/>
  <c r="AN93" i="51"/>
  <c r="AO93" i="51" s="1"/>
  <c r="P78" i="51"/>
  <c r="O78" i="51"/>
  <c r="M78" i="51"/>
  <c r="N78" i="51" s="1"/>
  <c r="P94" i="51"/>
  <c r="O94" i="51"/>
  <c r="M94" i="51"/>
  <c r="N94" i="51" s="1"/>
  <c r="Y83" i="51"/>
  <c r="X83" i="51"/>
  <c r="V83" i="51"/>
  <c r="W83" i="51" s="1"/>
  <c r="AH70" i="51"/>
  <c r="AG70" i="51"/>
  <c r="AE70" i="51"/>
  <c r="AF70" i="51" s="1"/>
  <c r="AH86" i="51"/>
  <c r="AG86" i="51"/>
  <c r="AE86" i="51"/>
  <c r="AF86" i="51" s="1"/>
  <c r="AQ75" i="51"/>
  <c r="AP75" i="51"/>
  <c r="AN75" i="51"/>
  <c r="AO75" i="51" s="1"/>
  <c r="AQ91" i="51"/>
  <c r="AP91" i="51"/>
  <c r="AN91" i="51"/>
  <c r="AO91" i="51" s="1"/>
  <c r="O81" i="51"/>
  <c r="M81" i="51"/>
  <c r="N81" i="51" s="1"/>
  <c r="P81" i="51"/>
  <c r="O97" i="51"/>
  <c r="M97" i="51"/>
  <c r="N97" i="51" s="1"/>
  <c r="P97" i="51"/>
  <c r="Y81" i="51"/>
  <c r="X81" i="51"/>
  <c r="V81" i="51"/>
  <c r="W81" i="51" s="1"/>
  <c r="X97" i="51"/>
  <c r="V97" i="51"/>
  <c r="W97" i="51" s="1"/>
  <c r="Y97" i="51"/>
  <c r="AH82" i="51"/>
  <c r="AG82" i="51"/>
  <c r="AE82" i="51"/>
  <c r="AF82" i="51" s="1"/>
  <c r="AH98" i="51"/>
  <c r="AG98" i="51"/>
  <c r="AE98" i="51"/>
  <c r="AF98" i="51" s="1"/>
  <c r="AQ81" i="51"/>
  <c r="AP81" i="51"/>
  <c r="AN81" i="51"/>
  <c r="AO81" i="51" s="1"/>
  <c r="AQ97" i="51"/>
  <c r="AP97" i="51"/>
  <c r="AN97" i="51"/>
  <c r="AO97" i="51" s="1"/>
  <c r="P76" i="61"/>
  <c r="M76" i="61"/>
  <c r="N76" i="61" s="1"/>
  <c r="O76" i="61"/>
  <c r="Y70" i="61"/>
  <c r="X70" i="61"/>
  <c r="Y85" i="61"/>
  <c r="V85" i="61"/>
  <c r="W85" i="61" s="1"/>
  <c r="X85" i="61"/>
  <c r="AH70" i="61"/>
  <c r="AG70" i="61"/>
  <c r="AH82" i="61"/>
  <c r="AE82" i="61"/>
  <c r="AF82" i="61" s="1"/>
  <c r="AG82" i="61"/>
  <c r="AH96" i="61"/>
  <c r="AE96" i="61"/>
  <c r="AF96" i="61" s="1"/>
  <c r="AG96" i="61"/>
  <c r="P86" i="61"/>
  <c r="M86" i="61"/>
  <c r="N86" i="61" s="1"/>
  <c r="O86" i="61"/>
  <c r="P94" i="61"/>
  <c r="M94" i="61"/>
  <c r="N94" i="61" s="1"/>
  <c r="O94" i="61"/>
  <c r="AH86" i="61"/>
  <c r="AE86" i="61"/>
  <c r="AF86" i="61" s="1"/>
  <c r="AG86" i="61"/>
  <c r="P71" i="61"/>
  <c r="O71" i="61"/>
  <c r="P83" i="61"/>
  <c r="M83" i="61"/>
  <c r="N83" i="61" s="1"/>
  <c r="O83" i="61"/>
  <c r="Y69" i="61"/>
  <c r="V69" i="61"/>
  <c r="V70" i="61" s="1"/>
  <c r="X69" i="61"/>
  <c r="Y78" i="61"/>
  <c r="V78" i="61"/>
  <c r="W78" i="61" s="1"/>
  <c r="X78" i="61"/>
  <c r="Y86" i="61"/>
  <c r="V86" i="61"/>
  <c r="W86" i="61" s="1"/>
  <c r="X86" i="61"/>
  <c r="Y94" i="61"/>
  <c r="V94" i="61"/>
  <c r="W94" i="61" s="1"/>
  <c r="X94" i="61"/>
  <c r="AH77" i="61"/>
  <c r="AE77" i="61"/>
  <c r="AF77" i="61" s="1"/>
  <c r="AG77" i="61"/>
  <c r="P70" i="61"/>
  <c r="O70" i="61"/>
  <c r="P97" i="61"/>
  <c r="M97" i="61"/>
  <c r="N97" i="61" s="1"/>
  <c r="O97" i="61"/>
  <c r="Y83" i="61"/>
  <c r="V83" i="61"/>
  <c r="W83" i="61" s="1"/>
  <c r="X83" i="61"/>
  <c r="AE69" i="61"/>
  <c r="AE70" i="61" s="1"/>
  <c r="AH69" i="61"/>
  <c r="AG69" i="61"/>
  <c r="AH85" i="61"/>
  <c r="AE85" i="61"/>
  <c r="AF85" i="61" s="1"/>
  <c r="AG85" i="61"/>
  <c r="AH93" i="61"/>
  <c r="AE93" i="61"/>
  <c r="AF93" i="61" s="1"/>
  <c r="AG93" i="61"/>
  <c r="O76" i="54"/>
  <c r="M76" i="54"/>
  <c r="N76" i="54" s="1"/>
  <c r="O84" i="54"/>
  <c r="M84" i="54"/>
  <c r="N84" i="54" s="1"/>
  <c r="O92" i="54"/>
  <c r="M92" i="54"/>
  <c r="N92" i="54" s="1"/>
  <c r="X90" i="54"/>
  <c r="V90" i="54"/>
  <c r="W90" i="54" s="1"/>
  <c r="AY78" i="54"/>
  <c r="AW78" i="54"/>
  <c r="AX78" i="54" s="1"/>
  <c r="AY94" i="54"/>
  <c r="AW94" i="54"/>
  <c r="AX94" i="54" s="1"/>
  <c r="BF76" i="54"/>
  <c r="BG76" i="54" s="1"/>
  <c r="BH76" i="54"/>
  <c r="BF92" i="54"/>
  <c r="BG92" i="54" s="1"/>
  <c r="BH92" i="54"/>
  <c r="BZ82" i="54"/>
  <c r="BX82" i="54"/>
  <c r="BY82" i="54" s="1"/>
  <c r="BZ98" i="54"/>
  <c r="BX98" i="54"/>
  <c r="BY98" i="54" s="1"/>
  <c r="X74" i="54"/>
  <c r="X89" i="54"/>
  <c r="V89" i="54"/>
  <c r="W89" i="54" s="1"/>
  <c r="AG74" i="54"/>
  <c r="AE74" i="54"/>
  <c r="AF74" i="54" s="1"/>
  <c r="AG90" i="54"/>
  <c r="AE90" i="54"/>
  <c r="AF90" i="54" s="1"/>
  <c r="AP74" i="54"/>
  <c r="AN74" i="54"/>
  <c r="AO74" i="54" s="1"/>
  <c r="AP90" i="54"/>
  <c r="AN90" i="54"/>
  <c r="AO90" i="54" s="1"/>
  <c r="AY81" i="54"/>
  <c r="AW81" i="54"/>
  <c r="AX81" i="54" s="1"/>
  <c r="AY97" i="54"/>
  <c r="AW97" i="54"/>
  <c r="AX97" i="54" s="1"/>
  <c r="BF87" i="54"/>
  <c r="BG87" i="54" s="1"/>
  <c r="BH87" i="54"/>
  <c r="BQ70" i="54"/>
  <c r="BO70" i="54"/>
  <c r="BP70" i="54" s="1"/>
  <c r="BQ86" i="54"/>
  <c r="BO86" i="54"/>
  <c r="BP86" i="54" s="1"/>
  <c r="BZ70" i="54"/>
  <c r="BZ85" i="54"/>
  <c r="BX85" i="54"/>
  <c r="BY85" i="54" s="1"/>
  <c r="O70" i="54"/>
  <c r="O90" i="54"/>
  <c r="M90" i="54"/>
  <c r="N90" i="54" s="1"/>
  <c r="X76" i="54"/>
  <c r="V76" i="54"/>
  <c r="W76" i="54" s="1"/>
  <c r="X84" i="54"/>
  <c r="V84" i="54"/>
  <c r="W84" i="54" s="1"/>
  <c r="X92" i="54"/>
  <c r="V92" i="54"/>
  <c r="W92" i="54" s="1"/>
  <c r="AG73" i="54"/>
  <c r="AE73" i="54"/>
  <c r="AF73" i="54" s="1"/>
  <c r="AG89" i="54"/>
  <c r="AE89" i="54"/>
  <c r="AF89" i="54" s="1"/>
  <c r="AP73" i="54"/>
  <c r="AN73" i="54"/>
  <c r="AO73" i="54" s="1"/>
  <c r="AP89" i="54"/>
  <c r="AN89" i="54"/>
  <c r="AO89" i="54" s="1"/>
  <c r="AW71" i="54"/>
  <c r="AX71" i="54" s="1"/>
  <c r="AY71" i="54"/>
  <c r="AW79" i="54"/>
  <c r="AX79" i="54" s="1"/>
  <c r="AY79" i="54"/>
  <c r="AW87" i="54"/>
  <c r="AX87" i="54" s="1"/>
  <c r="AY87" i="54"/>
  <c r="AW95" i="54"/>
  <c r="AX95" i="54" s="1"/>
  <c r="AY95" i="54"/>
  <c r="BH74" i="54"/>
  <c r="BF74" i="54"/>
  <c r="BG74" i="54" s="1"/>
  <c r="BH90" i="54"/>
  <c r="BF90" i="54"/>
  <c r="BG90" i="54" s="1"/>
  <c r="BQ77" i="54"/>
  <c r="BO77" i="54"/>
  <c r="BP77" i="54" s="1"/>
  <c r="BQ93" i="54"/>
  <c r="BO93" i="54"/>
  <c r="BP93" i="54" s="1"/>
  <c r="BZ76" i="54"/>
  <c r="BX76" i="54"/>
  <c r="BY76" i="54" s="1"/>
  <c r="BZ84" i="54"/>
  <c r="BX84" i="54"/>
  <c r="BY84" i="54" s="1"/>
  <c r="BZ92" i="54"/>
  <c r="BX92" i="54"/>
  <c r="BY92" i="54" s="1"/>
  <c r="O74" i="54"/>
  <c r="O89" i="54"/>
  <c r="M89" i="54"/>
  <c r="N89" i="54" s="1"/>
  <c r="AG76" i="54"/>
  <c r="AE76" i="54"/>
  <c r="AF76" i="54" s="1"/>
  <c r="AG84" i="54"/>
  <c r="AE84" i="54"/>
  <c r="AF84" i="54" s="1"/>
  <c r="AG92" i="54"/>
  <c r="AE92" i="54"/>
  <c r="AF92" i="54" s="1"/>
  <c r="AP76" i="54"/>
  <c r="AN76" i="54"/>
  <c r="AO76" i="54" s="1"/>
  <c r="AP84" i="54"/>
  <c r="AN84" i="54"/>
  <c r="AO84" i="54" s="1"/>
  <c r="AP92" i="54"/>
  <c r="AN92" i="54"/>
  <c r="AO92" i="54" s="1"/>
  <c r="BF79" i="54"/>
  <c r="BG79" i="54" s="1"/>
  <c r="BH79" i="54"/>
  <c r="BF95" i="54"/>
  <c r="BG95" i="54" s="1"/>
  <c r="BH95" i="54"/>
  <c r="BO75" i="54"/>
  <c r="BP75" i="54" s="1"/>
  <c r="BQ75" i="54"/>
  <c r="BO83" i="54"/>
  <c r="BP83" i="54" s="1"/>
  <c r="BQ83" i="54"/>
  <c r="BO91" i="54"/>
  <c r="BP91" i="54" s="1"/>
  <c r="BQ91" i="54"/>
  <c r="BX69" i="54"/>
  <c r="BX70" i="54" s="1"/>
  <c r="BZ69" i="54"/>
  <c r="X70" i="63"/>
  <c r="V70" i="63"/>
  <c r="W70" i="63" s="1"/>
  <c r="Y70" i="63"/>
  <c r="Y86" i="63"/>
  <c r="X86" i="63"/>
  <c r="V86" i="63"/>
  <c r="W86" i="63" s="1"/>
  <c r="AG93" i="63"/>
  <c r="AE93" i="63"/>
  <c r="AF93" i="63" s="1"/>
  <c r="AH93" i="63"/>
  <c r="O69" i="63"/>
  <c r="M69" i="63"/>
  <c r="N69" i="63" s="1"/>
  <c r="P69" i="63"/>
  <c r="O85" i="63"/>
  <c r="M85" i="63"/>
  <c r="N85" i="63" s="1"/>
  <c r="P85" i="63"/>
  <c r="X71" i="63"/>
  <c r="V71" i="63"/>
  <c r="W71" i="63" s="1"/>
  <c r="Y71" i="63"/>
  <c r="Y94" i="63"/>
  <c r="X94" i="63"/>
  <c r="V94" i="63"/>
  <c r="W94" i="63" s="1"/>
  <c r="AG80" i="63"/>
  <c r="AE80" i="63"/>
  <c r="AF80" i="63" s="1"/>
  <c r="AH80" i="63"/>
  <c r="AH94" i="63"/>
  <c r="AG94" i="63"/>
  <c r="AE94" i="63"/>
  <c r="AF94" i="63" s="1"/>
  <c r="AQ76" i="63"/>
  <c r="AP76" i="63"/>
  <c r="AN76" i="63"/>
  <c r="AO76" i="63" s="1"/>
  <c r="AQ93" i="63"/>
  <c r="AP93" i="63"/>
  <c r="AN93" i="63"/>
  <c r="AO93" i="63" s="1"/>
  <c r="O73" i="63"/>
  <c r="M73" i="63"/>
  <c r="N73" i="63" s="1"/>
  <c r="P73" i="63"/>
  <c r="O89" i="63"/>
  <c r="M89" i="63"/>
  <c r="N89" i="63" s="1"/>
  <c r="P89" i="63"/>
  <c r="X74" i="63"/>
  <c r="V74" i="63"/>
  <c r="W74" i="63" s="1"/>
  <c r="Y74" i="63"/>
  <c r="Y85" i="63"/>
  <c r="X85" i="63"/>
  <c r="V85" i="63"/>
  <c r="W85" i="63" s="1"/>
  <c r="AG70" i="63"/>
  <c r="AE70" i="63"/>
  <c r="AF70" i="63" s="1"/>
  <c r="AH70" i="63"/>
  <c r="AG86" i="63"/>
  <c r="AE86" i="63"/>
  <c r="AF86" i="63" s="1"/>
  <c r="AH86" i="63"/>
  <c r="AP71" i="63"/>
  <c r="AN71" i="63"/>
  <c r="AO71" i="63" s="1"/>
  <c r="AQ71" i="63"/>
  <c r="AQ94" i="63"/>
  <c r="AP94" i="63"/>
  <c r="AN94" i="63"/>
  <c r="AO94" i="63" s="1"/>
  <c r="P74" i="63"/>
  <c r="O74" i="63"/>
  <c r="M74" i="63"/>
  <c r="N74" i="63" s="1"/>
  <c r="P90" i="63"/>
  <c r="O90" i="63"/>
  <c r="M90" i="63"/>
  <c r="N90" i="63" s="1"/>
  <c r="X83" i="63"/>
  <c r="V83" i="63"/>
  <c r="W83" i="63" s="1"/>
  <c r="Y83" i="63"/>
  <c r="Y98" i="63"/>
  <c r="X98" i="63"/>
  <c r="V98" i="63"/>
  <c r="W98" i="63" s="1"/>
  <c r="AG84" i="63"/>
  <c r="AE84" i="63"/>
  <c r="AF84" i="63" s="1"/>
  <c r="AH84" i="63"/>
  <c r="AQ72" i="63"/>
  <c r="AP72" i="63"/>
  <c r="AN72" i="63"/>
  <c r="AO72" i="63" s="1"/>
  <c r="AQ82" i="63"/>
  <c r="AP82" i="63"/>
  <c r="AN82" i="63"/>
  <c r="AO82" i="63" s="1"/>
  <c r="AP95" i="63"/>
  <c r="AN95" i="63"/>
  <c r="AO95" i="63" s="1"/>
  <c r="AQ95" i="63"/>
  <c r="P75" i="63"/>
  <c r="O75" i="63"/>
  <c r="M75" i="63"/>
  <c r="N75" i="63" s="1"/>
  <c r="AH69" i="63"/>
  <c r="AG69" i="63"/>
  <c r="AE69" i="63"/>
  <c r="AF69" i="63" s="1"/>
  <c r="AG96" i="63"/>
  <c r="AE96" i="63"/>
  <c r="AF96" i="63" s="1"/>
  <c r="AH96" i="63"/>
  <c r="P97" i="63"/>
  <c r="O97" i="63"/>
  <c r="M97" i="63"/>
  <c r="N97" i="63" s="1"/>
  <c r="AZ81" i="63"/>
  <c r="AY81" i="63"/>
  <c r="AW81" i="63"/>
  <c r="AX81" i="63" s="1"/>
  <c r="AZ97" i="63"/>
  <c r="AY97" i="63"/>
  <c r="AW97" i="63"/>
  <c r="AX97" i="63" s="1"/>
  <c r="BI83" i="63"/>
  <c r="BH83" i="63"/>
  <c r="BF83" i="63"/>
  <c r="BG83" i="63" s="1"/>
  <c r="BR69" i="63"/>
  <c r="BQ69" i="63"/>
  <c r="BO69" i="63"/>
  <c r="BP69" i="63" s="1"/>
  <c r="BR85" i="63"/>
  <c r="BQ85" i="63"/>
  <c r="BO85" i="63"/>
  <c r="BP85" i="63" s="1"/>
  <c r="BR98" i="63"/>
  <c r="BQ98" i="63"/>
  <c r="BO98" i="63"/>
  <c r="BP98" i="63" s="1"/>
  <c r="CA82" i="63"/>
  <c r="BZ82" i="63"/>
  <c r="BX82" i="63"/>
  <c r="BY82" i="63" s="1"/>
  <c r="CA93" i="63"/>
  <c r="BZ93" i="63"/>
  <c r="BX93" i="63"/>
  <c r="BY93" i="63" s="1"/>
  <c r="CJ81" i="63"/>
  <c r="CI81" i="63"/>
  <c r="CG81" i="63"/>
  <c r="CH81" i="63" s="1"/>
  <c r="CJ94" i="63"/>
  <c r="CI94" i="63"/>
  <c r="CG94" i="63"/>
  <c r="CH94" i="63" s="1"/>
  <c r="AY92" i="63"/>
  <c r="AW92" i="63"/>
  <c r="AX92" i="63" s="1"/>
  <c r="AZ92" i="63"/>
  <c r="BI78" i="63"/>
  <c r="BH78" i="63"/>
  <c r="BF78" i="63"/>
  <c r="BG78" i="63" s="1"/>
  <c r="BH94" i="63"/>
  <c r="BF94" i="63"/>
  <c r="BG94" i="63" s="1"/>
  <c r="BI94" i="63"/>
  <c r="BR79" i="63"/>
  <c r="BQ79" i="63"/>
  <c r="BO79" i="63"/>
  <c r="BP79" i="63" s="1"/>
  <c r="CA69" i="63"/>
  <c r="BZ69" i="63"/>
  <c r="BX69" i="63"/>
  <c r="BY69" i="63" s="1"/>
  <c r="CA85" i="63"/>
  <c r="BZ85" i="63"/>
  <c r="BX85" i="63"/>
  <c r="BY85" i="63" s="1"/>
  <c r="CJ75" i="63"/>
  <c r="CI75" i="63"/>
  <c r="CG75" i="63"/>
  <c r="CH75" i="63" s="1"/>
  <c r="CJ95" i="63"/>
  <c r="CI95" i="63"/>
  <c r="CG95" i="63"/>
  <c r="CH95" i="63" s="1"/>
  <c r="AZ74" i="63"/>
  <c r="AY74" i="63"/>
  <c r="AW74" i="63"/>
  <c r="AX74" i="63" s="1"/>
  <c r="AZ90" i="63"/>
  <c r="AY90" i="63"/>
  <c r="AW90" i="63"/>
  <c r="AX90" i="63" s="1"/>
  <c r="BH76" i="63"/>
  <c r="BF76" i="63"/>
  <c r="BG76" i="63" s="1"/>
  <c r="BI76" i="63"/>
  <c r="BH92" i="63"/>
  <c r="BF92" i="63"/>
  <c r="BG92" i="63" s="1"/>
  <c r="BI92" i="63"/>
  <c r="BR77" i="63"/>
  <c r="BQ77" i="63"/>
  <c r="BO77" i="63"/>
  <c r="BP77" i="63" s="1"/>
  <c r="BR93" i="63"/>
  <c r="BQ93" i="63"/>
  <c r="BO93" i="63"/>
  <c r="BP93" i="63" s="1"/>
  <c r="BZ74" i="63"/>
  <c r="BX74" i="63"/>
  <c r="BY74" i="63" s="1"/>
  <c r="CA74" i="63"/>
  <c r="BZ90" i="63"/>
  <c r="BX90" i="63"/>
  <c r="BY90" i="63" s="1"/>
  <c r="CA90" i="63"/>
  <c r="CJ73" i="63"/>
  <c r="CI73" i="63"/>
  <c r="CG73" i="63"/>
  <c r="CH73" i="63" s="1"/>
  <c r="CJ89" i="63"/>
  <c r="CI89" i="63"/>
  <c r="CG89" i="63"/>
  <c r="CH89" i="63" s="1"/>
  <c r="AZ83" i="63"/>
  <c r="AY83" i="63"/>
  <c r="AW83" i="63"/>
  <c r="AX83" i="63" s="1"/>
  <c r="BI69" i="63"/>
  <c r="BH69" i="63"/>
  <c r="BF69" i="63"/>
  <c r="BG69" i="63" s="1"/>
  <c r="BI85" i="63"/>
  <c r="BH85" i="63"/>
  <c r="BF85" i="63"/>
  <c r="BG85" i="63" s="1"/>
  <c r="BR71" i="63"/>
  <c r="BQ71" i="63"/>
  <c r="BO71" i="63"/>
  <c r="BP71" i="63" s="1"/>
  <c r="BR87" i="63"/>
  <c r="BQ87" i="63"/>
  <c r="BO87" i="63"/>
  <c r="BP87" i="63" s="1"/>
  <c r="CA77" i="63"/>
  <c r="BZ77" i="63"/>
  <c r="BX77" i="63"/>
  <c r="BY77" i="63" s="1"/>
  <c r="CA97" i="63"/>
  <c r="BZ97" i="63"/>
  <c r="BX97" i="63"/>
  <c r="BY97" i="63" s="1"/>
  <c r="CJ83" i="63"/>
  <c r="CI83" i="63"/>
  <c r="CG83" i="63"/>
  <c r="CH83" i="63" s="1"/>
  <c r="M87" i="59"/>
  <c r="N87" i="59" s="1"/>
  <c r="P87" i="59"/>
  <c r="O87" i="59"/>
  <c r="P89" i="59"/>
  <c r="M89" i="59"/>
  <c r="N89" i="59" s="1"/>
  <c r="O89" i="59"/>
  <c r="P93" i="59"/>
  <c r="O93" i="59"/>
  <c r="M93" i="59"/>
  <c r="N93" i="59" s="1"/>
  <c r="P97" i="59"/>
  <c r="M97" i="59"/>
  <c r="N97" i="59" s="1"/>
  <c r="O97" i="59"/>
  <c r="Y74" i="59"/>
  <c r="X74" i="59"/>
  <c r="AH75" i="59"/>
  <c r="AG75" i="59"/>
  <c r="AE75" i="59"/>
  <c r="AF75" i="59" s="1"/>
  <c r="AH79" i="59"/>
  <c r="AG79" i="59"/>
  <c r="AE79" i="59"/>
  <c r="AF79" i="59" s="1"/>
  <c r="AH83" i="59"/>
  <c r="AG83" i="59"/>
  <c r="AE83" i="59"/>
  <c r="AF83" i="59" s="1"/>
  <c r="AH87" i="59"/>
  <c r="AG87" i="59"/>
  <c r="AE87" i="59"/>
  <c r="AF87" i="59" s="1"/>
  <c r="AH91" i="59"/>
  <c r="AG91" i="59"/>
  <c r="AE91" i="59"/>
  <c r="AF91" i="59" s="1"/>
  <c r="AH95" i="59"/>
  <c r="AG95" i="59"/>
  <c r="AE95" i="59"/>
  <c r="AF95" i="59" s="1"/>
  <c r="AN69" i="59"/>
  <c r="AO69" i="59" s="1"/>
  <c r="AQ69" i="59"/>
  <c r="AP69" i="59"/>
  <c r="BI86" i="59"/>
  <c r="BF86" i="59"/>
  <c r="BG86" i="59" s="1"/>
  <c r="BH86" i="59"/>
  <c r="O84" i="59"/>
  <c r="P84" i="59"/>
  <c r="M84" i="59"/>
  <c r="N84" i="59" s="1"/>
  <c r="BI88" i="59"/>
  <c r="BH88" i="59"/>
  <c r="BF88" i="59"/>
  <c r="BG88" i="59" s="1"/>
  <c r="P80" i="59"/>
  <c r="O80" i="59"/>
  <c r="M80" i="59"/>
  <c r="N80" i="59" s="1"/>
  <c r="V77" i="59"/>
  <c r="W77" i="59" s="1"/>
  <c r="Y77" i="59"/>
  <c r="X77" i="59"/>
  <c r="V81" i="59"/>
  <c r="W81" i="59" s="1"/>
  <c r="Y81" i="59"/>
  <c r="X81" i="59"/>
  <c r="V85" i="59"/>
  <c r="W85" i="59" s="1"/>
  <c r="Y85" i="59"/>
  <c r="X85" i="59"/>
  <c r="V89" i="59"/>
  <c r="W89" i="59" s="1"/>
  <c r="X89" i="59"/>
  <c r="Y89" i="59"/>
  <c r="V93" i="59"/>
  <c r="W93" i="59" s="1"/>
  <c r="Y93" i="59"/>
  <c r="X93" i="59"/>
  <c r="V97" i="59"/>
  <c r="W97" i="59" s="1"/>
  <c r="Y97" i="59"/>
  <c r="X97" i="59"/>
  <c r="AY86" i="59"/>
  <c r="AW86" i="59"/>
  <c r="AX86" i="59" s="1"/>
  <c r="AZ86" i="59"/>
  <c r="BI98" i="59"/>
  <c r="BF98" i="59"/>
  <c r="BG98" i="59" s="1"/>
  <c r="BH98" i="59"/>
  <c r="O70" i="59"/>
  <c r="P70" i="59"/>
  <c r="P78" i="59"/>
  <c r="O78" i="59"/>
  <c r="M78" i="59"/>
  <c r="N78" i="59" s="1"/>
  <c r="Y71" i="59"/>
  <c r="X71" i="59"/>
  <c r="AQ72" i="59"/>
  <c r="AN72" i="59"/>
  <c r="AO72" i="59" s="1"/>
  <c r="AP72" i="59"/>
  <c r="AQ76" i="59"/>
  <c r="AN76" i="59"/>
  <c r="AO76" i="59" s="1"/>
  <c r="AP76" i="59"/>
  <c r="AP80" i="59"/>
  <c r="AQ80" i="59"/>
  <c r="AN80" i="59"/>
  <c r="AO80" i="59" s="1"/>
  <c r="AP84" i="59"/>
  <c r="AQ84" i="59"/>
  <c r="AN84" i="59"/>
  <c r="AO84" i="59" s="1"/>
  <c r="AP88" i="59"/>
  <c r="AQ88" i="59"/>
  <c r="AN88" i="59"/>
  <c r="AO88" i="59" s="1"/>
  <c r="AQ92" i="59"/>
  <c r="AP92" i="59"/>
  <c r="AN92" i="59"/>
  <c r="AO92" i="59" s="1"/>
  <c r="AQ96" i="59"/>
  <c r="AP96" i="59"/>
  <c r="AN96" i="59"/>
  <c r="AO96" i="59" s="1"/>
  <c r="AZ70" i="59"/>
  <c r="AW70" i="59"/>
  <c r="AY70" i="59"/>
  <c r="AZ74" i="59"/>
  <c r="AY74" i="59"/>
  <c r="AW74" i="59"/>
  <c r="AX74" i="59" s="1"/>
  <c r="AZ78" i="59"/>
  <c r="AY78" i="59"/>
  <c r="AW78" i="59"/>
  <c r="AX78" i="59" s="1"/>
  <c r="AZ82" i="59"/>
  <c r="AY82" i="59"/>
  <c r="AW82" i="59"/>
  <c r="AX82" i="59" s="1"/>
  <c r="AY89" i="59"/>
  <c r="AZ89" i="59"/>
  <c r="AW89" i="59"/>
  <c r="AX89" i="59" s="1"/>
  <c r="BO72" i="59"/>
  <c r="BP72" i="59" s="1"/>
  <c r="BQ72" i="59"/>
  <c r="BR72" i="59"/>
  <c r="BI83" i="59"/>
  <c r="BF83" i="59"/>
  <c r="BG83" i="59" s="1"/>
  <c r="BH83" i="59"/>
  <c r="BO69" i="59"/>
  <c r="BR69" i="59"/>
  <c r="BQ69" i="59"/>
  <c r="BQ76" i="59"/>
  <c r="BO76" i="59"/>
  <c r="BP76" i="59" s="1"/>
  <c r="BR76" i="59"/>
  <c r="BQ80" i="59"/>
  <c r="BO80" i="59"/>
  <c r="BP80" i="59" s="1"/>
  <c r="BR80" i="59"/>
  <c r="BQ84" i="59"/>
  <c r="BO84" i="59"/>
  <c r="BP84" i="59" s="1"/>
  <c r="BR84" i="59"/>
  <c r="BQ88" i="59"/>
  <c r="BO88" i="59"/>
  <c r="BP88" i="59" s="1"/>
  <c r="BR88" i="59"/>
  <c r="BQ92" i="59"/>
  <c r="BO92" i="59"/>
  <c r="BP92" i="59" s="1"/>
  <c r="BR92" i="59"/>
  <c r="BQ96" i="59"/>
  <c r="BO96" i="59"/>
  <c r="BP96" i="59" s="1"/>
  <c r="BR96" i="59"/>
  <c r="BZ70" i="59"/>
  <c r="BX70" i="59"/>
  <c r="CA70" i="59"/>
  <c r="BZ74" i="59"/>
  <c r="BX74" i="59"/>
  <c r="BY74" i="59" s="1"/>
  <c r="CA74" i="59"/>
  <c r="BZ78" i="59"/>
  <c r="BX78" i="59"/>
  <c r="BY78" i="59" s="1"/>
  <c r="CA78" i="59"/>
  <c r="BZ82" i="59"/>
  <c r="BX82" i="59"/>
  <c r="BY82" i="59" s="1"/>
  <c r="CA82" i="59"/>
  <c r="BZ86" i="59"/>
  <c r="BX86" i="59"/>
  <c r="BY86" i="59" s="1"/>
  <c r="CA86" i="59"/>
  <c r="BZ90" i="59"/>
  <c r="BX90" i="59"/>
  <c r="BY90" i="59" s="1"/>
  <c r="CA90" i="59"/>
  <c r="CA94" i="59"/>
  <c r="BZ94" i="59"/>
  <c r="BX94" i="59"/>
  <c r="BY94" i="59" s="1"/>
  <c r="CA98" i="59"/>
  <c r="BZ98" i="59"/>
  <c r="BX98" i="59"/>
  <c r="BY98" i="59" s="1"/>
  <c r="AY93" i="59"/>
  <c r="AZ93" i="59"/>
  <c r="AW93" i="59"/>
  <c r="AX93" i="59" s="1"/>
  <c r="AY97" i="59"/>
  <c r="AZ97" i="59"/>
  <c r="AW97" i="59"/>
  <c r="AX97" i="59" s="1"/>
  <c r="BI77" i="59"/>
  <c r="BH77" i="59"/>
  <c r="BF77" i="59"/>
  <c r="BG77" i="59" s="1"/>
  <c r="BI93" i="59"/>
  <c r="BH93" i="59"/>
  <c r="BF93" i="59"/>
  <c r="BG93" i="59" s="1"/>
  <c r="P75" i="62"/>
  <c r="O75" i="62"/>
  <c r="M75" i="62"/>
  <c r="N75" i="62" s="1"/>
  <c r="P91" i="62"/>
  <c r="O91" i="62"/>
  <c r="M91" i="62"/>
  <c r="N91" i="62" s="1"/>
  <c r="Y74" i="62"/>
  <c r="X74" i="62"/>
  <c r="V74" i="62"/>
  <c r="W74" i="62" s="1"/>
  <c r="Y90" i="62"/>
  <c r="X90" i="62"/>
  <c r="V90" i="62"/>
  <c r="W90" i="62" s="1"/>
  <c r="AH78" i="62"/>
  <c r="AG78" i="62"/>
  <c r="AE78" i="62"/>
  <c r="AF78" i="62" s="1"/>
  <c r="AH94" i="62"/>
  <c r="AG94" i="62"/>
  <c r="AE94" i="62"/>
  <c r="AF94" i="62" s="1"/>
  <c r="AQ83" i="62"/>
  <c r="AP83" i="62"/>
  <c r="AN83" i="62"/>
  <c r="AO83" i="62" s="1"/>
  <c r="AY69" i="62"/>
  <c r="AW69" i="62"/>
  <c r="AX69" i="62" s="1"/>
  <c r="AZ85" i="62"/>
  <c r="AY85" i="62"/>
  <c r="AW85" i="62"/>
  <c r="AX85" i="62" s="1"/>
  <c r="BI76" i="62"/>
  <c r="BH76" i="62"/>
  <c r="BF76" i="62"/>
  <c r="BG76" i="62" s="1"/>
  <c r="BI92" i="62"/>
  <c r="BH92" i="62"/>
  <c r="BF92" i="62"/>
  <c r="BG92" i="62" s="1"/>
  <c r="BR77" i="62"/>
  <c r="BQ77" i="62"/>
  <c r="BO77" i="62"/>
  <c r="BP77" i="62" s="1"/>
  <c r="BR93" i="62"/>
  <c r="BQ93" i="62"/>
  <c r="BO93" i="62"/>
  <c r="BP93" i="62" s="1"/>
  <c r="P81" i="62"/>
  <c r="O81" i="62"/>
  <c r="M81" i="62"/>
  <c r="N81" i="62" s="1"/>
  <c r="P97" i="62"/>
  <c r="O97" i="62"/>
  <c r="M97" i="62"/>
  <c r="N97" i="62" s="1"/>
  <c r="Y84" i="62"/>
  <c r="X84" i="62"/>
  <c r="V84" i="62"/>
  <c r="W84" i="62" s="1"/>
  <c r="AH72" i="62"/>
  <c r="AG72" i="62"/>
  <c r="AE72" i="62"/>
  <c r="AF72" i="62" s="1"/>
  <c r="AH88" i="62"/>
  <c r="AG88" i="62"/>
  <c r="AE88" i="62"/>
  <c r="AF88" i="62" s="1"/>
  <c r="AQ72" i="62"/>
  <c r="AP72" i="62"/>
  <c r="AN72" i="62"/>
  <c r="AO72" i="62" s="1"/>
  <c r="AQ88" i="62"/>
  <c r="AP88" i="62"/>
  <c r="AN88" i="62"/>
  <c r="AO88" i="62" s="1"/>
  <c r="AZ72" i="62"/>
  <c r="AY72" i="62"/>
  <c r="AW72" i="62"/>
  <c r="AX72" i="62" s="1"/>
  <c r="AZ88" i="62"/>
  <c r="AY88" i="62"/>
  <c r="AW88" i="62"/>
  <c r="AX88" i="62" s="1"/>
  <c r="BI72" i="62"/>
  <c r="BH72" i="62"/>
  <c r="BF72" i="62"/>
  <c r="BG72" i="62" s="1"/>
  <c r="BI88" i="62"/>
  <c r="BH88" i="62"/>
  <c r="BF88" i="62"/>
  <c r="BG88" i="62" s="1"/>
  <c r="BQ72" i="62"/>
  <c r="BO72" i="62"/>
  <c r="BP72" i="62" s="1"/>
  <c r="BR72" i="62"/>
  <c r="BQ88" i="62"/>
  <c r="BO88" i="62"/>
  <c r="BP88" i="62" s="1"/>
  <c r="BR88" i="62"/>
  <c r="P71" i="62"/>
  <c r="O71" i="62"/>
  <c r="M71" i="62"/>
  <c r="N71" i="62" s="1"/>
  <c r="P87" i="62"/>
  <c r="O87" i="62"/>
  <c r="M87" i="62"/>
  <c r="N87" i="62" s="1"/>
  <c r="X75" i="62"/>
  <c r="V75" i="62"/>
  <c r="W75" i="62" s="1"/>
  <c r="Y75" i="62"/>
  <c r="X91" i="62"/>
  <c r="V91" i="62"/>
  <c r="W91" i="62" s="1"/>
  <c r="Y91" i="62"/>
  <c r="AH75" i="62"/>
  <c r="AG75" i="62"/>
  <c r="AE75" i="62"/>
  <c r="AF75" i="62" s="1"/>
  <c r="AH91" i="62"/>
  <c r="AG91" i="62"/>
  <c r="AE91" i="62"/>
  <c r="AF91" i="62" s="1"/>
  <c r="AQ77" i="62"/>
  <c r="AP77" i="62"/>
  <c r="AN77" i="62"/>
  <c r="AO77" i="62" s="1"/>
  <c r="AQ93" i="62"/>
  <c r="AP93" i="62"/>
  <c r="AN93" i="62"/>
  <c r="AO93" i="62" s="1"/>
  <c r="AZ84" i="62"/>
  <c r="AY84" i="62"/>
  <c r="AW84" i="62"/>
  <c r="AX84" i="62" s="1"/>
  <c r="BI70" i="62"/>
  <c r="BH70" i="62"/>
  <c r="BF70" i="62"/>
  <c r="BG70" i="62" s="1"/>
  <c r="BI86" i="62"/>
  <c r="BH86" i="62"/>
  <c r="BF86" i="62"/>
  <c r="BG86" i="62" s="1"/>
  <c r="BR73" i="62"/>
  <c r="BQ73" i="62"/>
  <c r="BO73" i="62"/>
  <c r="BP73" i="62" s="1"/>
  <c r="BR89" i="62"/>
  <c r="BQ89" i="62"/>
  <c r="BO89" i="62"/>
  <c r="BP89" i="62" s="1"/>
  <c r="P77" i="62"/>
  <c r="O77" i="62"/>
  <c r="M77" i="62"/>
  <c r="N77" i="62" s="1"/>
  <c r="P93" i="62"/>
  <c r="O93" i="62"/>
  <c r="M93" i="62"/>
  <c r="N93" i="62" s="1"/>
  <c r="Y78" i="62"/>
  <c r="X78" i="62"/>
  <c r="V78" i="62"/>
  <c r="W78" i="62" s="1"/>
  <c r="Y94" i="62"/>
  <c r="X94" i="62"/>
  <c r="V94" i="62"/>
  <c r="W94" i="62" s="1"/>
  <c r="AH82" i="62"/>
  <c r="AG82" i="62"/>
  <c r="AE82" i="62"/>
  <c r="AF82" i="62" s="1"/>
  <c r="AH98" i="62"/>
  <c r="AG98" i="62"/>
  <c r="AE98" i="62"/>
  <c r="AF98" i="62" s="1"/>
  <c r="AQ82" i="62"/>
  <c r="AP82" i="62"/>
  <c r="AN82" i="62"/>
  <c r="AO82" i="62" s="1"/>
  <c r="AQ98" i="62"/>
  <c r="AP98" i="62"/>
  <c r="AN98" i="62"/>
  <c r="AO98" i="62" s="1"/>
  <c r="AZ82" i="62"/>
  <c r="AY82" i="62"/>
  <c r="AW82" i="62"/>
  <c r="AX82" i="62" s="1"/>
  <c r="AZ98" i="62"/>
  <c r="AY98" i="62"/>
  <c r="AW98" i="62"/>
  <c r="AX98" i="62" s="1"/>
  <c r="BI82" i="62"/>
  <c r="BH82" i="62"/>
  <c r="BF82" i="62"/>
  <c r="BG82" i="62" s="1"/>
  <c r="BI98" i="62"/>
  <c r="BH98" i="62"/>
  <c r="BF98" i="62"/>
  <c r="BG98" i="62" s="1"/>
  <c r="BQ84" i="62"/>
  <c r="BO84" i="62"/>
  <c r="BP84" i="62" s="1"/>
  <c r="BR84" i="62"/>
  <c r="BR97" i="62"/>
  <c r="BQ97" i="62"/>
  <c r="BO97" i="62"/>
  <c r="BP97" i="62" s="1"/>
  <c r="CA80" i="62"/>
  <c r="BZ80" i="62"/>
  <c r="BX80" i="62"/>
  <c r="BY80" i="62" s="1"/>
  <c r="CA91" i="62"/>
  <c r="BZ91" i="62"/>
  <c r="BX91" i="62"/>
  <c r="BY91" i="62" s="1"/>
  <c r="BZ78" i="62"/>
  <c r="BX78" i="62"/>
  <c r="BY78" i="62" s="1"/>
  <c r="CA78" i="62"/>
  <c r="BZ73" i="62"/>
  <c r="BX73" i="62"/>
  <c r="BY73" i="62" s="1"/>
  <c r="CA73" i="62"/>
  <c r="CA84" i="62"/>
  <c r="BZ84" i="62"/>
  <c r="BX84" i="62"/>
  <c r="BY84" i="62" s="1"/>
  <c r="CA95" i="62"/>
  <c r="BZ95" i="62"/>
  <c r="BX95" i="62"/>
  <c r="BY95" i="62" s="1"/>
  <c r="BZ90" i="62"/>
  <c r="BX90" i="62"/>
  <c r="BY90" i="62" s="1"/>
  <c r="CA90" i="62"/>
  <c r="F84" i="63"/>
  <c r="D84" i="63"/>
  <c r="E84" i="63" s="1"/>
  <c r="F85" i="63"/>
  <c r="D85" i="63"/>
  <c r="E85" i="63" s="1"/>
  <c r="F70" i="63"/>
  <c r="D70" i="63"/>
  <c r="E70" i="63" s="1"/>
  <c r="F86" i="63"/>
  <c r="D86" i="63"/>
  <c r="E86" i="63" s="1"/>
  <c r="F71" i="63"/>
  <c r="D71" i="63"/>
  <c r="E71" i="63" s="1"/>
  <c r="F87" i="63"/>
  <c r="D87" i="63"/>
  <c r="E87" i="63" s="1"/>
  <c r="F91" i="50"/>
  <c r="D91" i="50"/>
  <c r="E91" i="50" s="1"/>
  <c r="F97" i="50"/>
  <c r="D97" i="50"/>
  <c r="E97" i="50" s="1"/>
  <c r="F87" i="50"/>
  <c r="D87" i="50"/>
  <c r="F78" i="50"/>
  <c r="D78" i="50"/>
  <c r="D69" i="50"/>
  <c r="E69" i="50" s="1"/>
  <c r="F69" i="50"/>
  <c r="F90" i="50"/>
  <c r="D90" i="50"/>
  <c r="E90" i="50" s="1"/>
  <c r="F80" i="50"/>
  <c r="D80" i="50"/>
  <c r="F96" i="50"/>
  <c r="D96" i="50"/>
  <c r="E96" i="50" s="1"/>
  <c r="F85" i="51"/>
  <c r="D85" i="51"/>
  <c r="E85" i="51" s="1"/>
  <c r="F75" i="51"/>
  <c r="D75" i="51"/>
  <c r="F97" i="51"/>
  <c r="D97" i="51"/>
  <c r="E97" i="51" s="1"/>
  <c r="F87" i="51"/>
  <c r="D87" i="51"/>
  <c r="E87" i="51" s="1"/>
  <c r="F78" i="51"/>
  <c r="D78" i="51"/>
  <c r="F72" i="51"/>
  <c r="D72" i="51"/>
  <c r="F88" i="51"/>
  <c r="D88" i="51"/>
  <c r="E88" i="51" s="1"/>
  <c r="F97" i="54"/>
  <c r="D97" i="54"/>
  <c r="E97" i="54" s="1"/>
  <c r="F82" i="54"/>
  <c r="D82" i="54"/>
  <c r="E82" i="54" s="1"/>
  <c r="F91" i="54"/>
  <c r="D91" i="54"/>
  <c r="E91" i="54" s="1"/>
  <c r="F98" i="54"/>
  <c r="D98" i="54"/>
  <c r="E98" i="54" s="1"/>
  <c r="F88" i="54"/>
  <c r="D88" i="54"/>
  <c r="E88" i="54" s="1"/>
  <c r="F76" i="54"/>
  <c r="D76" i="54"/>
  <c r="F71" i="54"/>
  <c r="F73" i="49"/>
  <c r="D73" i="49"/>
  <c r="E73" i="49" s="1"/>
  <c r="F70" i="49"/>
  <c r="D70" i="49"/>
  <c r="E70" i="49" s="1"/>
  <c r="F86" i="49"/>
  <c r="D86" i="49"/>
  <c r="E86" i="49" s="1"/>
  <c r="F75" i="49"/>
  <c r="D75" i="49"/>
  <c r="E75" i="49" s="1"/>
  <c r="F92" i="49"/>
  <c r="D92" i="49"/>
  <c r="E92" i="49" s="1"/>
  <c r="F80" i="49"/>
  <c r="D80" i="49"/>
  <c r="E80" i="49" s="1"/>
  <c r="F90" i="49"/>
  <c r="D90" i="49"/>
  <c r="E90" i="49" s="1"/>
  <c r="F88" i="60"/>
  <c r="D88" i="60"/>
  <c r="E88" i="60" s="1"/>
  <c r="F84" i="60"/>
  <c r="D84" i="60"/>
  <c r="E84" i="60" s="1"/>
  <c r="F75" i="60"/>
  <c r="D75" i="60"/>
  <c r="E75" i="60" s="1"/>
  <c r="Z75" i="60"/>
  <c r="S75" i="60"/>
  <c r="AK75" i="60"/>
  <c r="Q75" i="60"/>
  <c r="AI75" i="60"/>
  <c r="AB75" i="60"/>
  <c r="F96" i="60"/>
  <c r="D96" i="60"/>
  <c r="E96" i="60" s="1"/>
  <c r="F87" i="60"/>
  <c r="D87" i="60"/>
  <c r="E87" i="60" s="1"/>
  <c r="F74" i="60"/>
  <c r="D74" i="60"/>
  <c r="E74" i="60" s="1"/>
  <c r="Z74" i="60"/>
  <c r="S74" i="60"/>
  <c r="AK74" i="60"/>
  <c r="Q74" i="60"/>
  <c r="AI74" i="60"/>
  <c r="AB74" i="60"/>
  <c r="F90" i="60"/>
  <c r="D90" i="60"/>
  <c r="E90" i="60" s="1"/>
  <c r="O80" i="49"/>
  <c r="M80" i="49"/>
  <c r="N80" i="49" s="1"/>
  <c r="X98" i="49"/>
  <c r="V98" i="49"/>
  <c r="W98" i="49" s="1"/>
  <c r="O85" i="49"/>
  <c r="M85" i="49"/>
  <c r="N85" i="49" s="1"/>
  <c r="AG89" i="49"/>
  <c r="AE89" i="49"/>
  <c r="AF89" i="49" s="1"/>
  <c r="AY78" i="49"/>
  <c r="AW78" i="49"/>
  <c r="AX78" i="49" s="1"/>
  <c r="X69" i="49"/>
  <c r="V69" i="49"/>
  <c r="W69" i="49" s="1"/>
  <c r="X90" i="49"/>
  <c r="V90" i="49"/>
  <c r="W90" i="49" s="1"/>
  <c r="AG90" i="49"/>
  <c r="AE90" i="49"/>
  <c r="AF90" i="49" s="1"/>
  <c r="AY76" i="49"/>
  <c r="AW76" i="49"/>
  <c r="AX76" i="49" s="1"/>
  <c r="BH87" i="49"/>
  <c r="BF87" i="49"/>
  <c r="BG87" i="49" s="1"/>
  <c r="X72" i="49"/>
  <c r="V72" i="49"/>
  <c r="W72" i="49" s="1"/>
  <c r="X88" i="49"/>
  <c r="V88" i="49"/>
  <c r="W88" i="49" s="1"/>
  <c r="AG72" i="49"/>
  <c r="AE72" i="49"/>
  <c r="AF72" i="49" s="1"/>
  <c r="AP70" i="49"/>
  <c r="AN70" i="49"/>
  <c r="AO70" i="49" s="1"/>
  <c r="AY69" i="49"/>
  <c r="AW69" i="49"/>
  <c r="AX69" i="49" s="1"/>
  <c r="AY91" i="49"/>
  <c r="AW91" i="49"/>
  <c r="AX91" i="49" s="1"/>
  <c r="BH80" i="49"/>
  <c r="BF80" i="49"/>
  <c r="BG80" i="49" s="1"/>
  <c r="BH97" i="49"/>
  <c r="BF97" i="49"/>
  <c r="BG97" i="49" s="1"/>
  <c r="X82" i="49"/>
  <c r="V82" i="49"/>
  <c r="W82" i="49" s="1"/>
  <c r="AP76" i="49"/>
  <c r="AN76" i="49"/>
  <c r="AO76" i="49" s="1"/>
  <c r="AY80" i="49"/>
  <c r="AW80" i="49"/>
  <c r="AX80" i="49" s="1"/>
  <c r="BH85" i="49"/>
  <c r="BF85" i="49"/>
  <c r="BG85" i="49" s="1"/>
  <c r="O72" i="49"/>
  <c r="M72" i="49"/>
  <c r="N72" i="49" s="1"/>
  <c r="X75" i="49"/>
  <c r="V75" i="49"/>
  <c r="W75" i="49" s="1"/>
  <c r="O91" i="49"/>
  <c r="M91" i="49"/>
  <c r="N91" i="49" s="1"/>
  <c r="AG70" i="49"/>
  <c r="AE70" i="49"/>
  <c r="AF70" i="49" s="1"/>
  <c r="BH70" i="49"/>
  <c r="BF70" i="49"/>
  <c r="BG70" i="49" s="1"/>
  <c r="BH90" i="49"/>
  <c r="BF90" i="49"/>
  <c r="BG90" i="49" s="1"/>
  <c r="O70" i="49"/>
  <c r="M70" i="49"/>
  <c r="N70" i="49" s="1"/>
  <c r="O94" i="49"/>
  <c r="M94" i="49"/>
  <c r="N94" i="49" s="1"/>
  <c r="O73" i="49"/>
  <c r="M73" i="49"/>
  <c r="N73" i="49" s="1"/>
  <c r="O89" i="49"/>
  <c r="M89" i="49"/>
  <c r="N89" i="49" s="1"/>
  <c r="X79" i="49"/>
  <c r="V79" i="49"/>
  <c r="W79" i="49" s="1"/>
  <c r="AG84" i="49"/>
  <c r="AE84" i="49"/>
  <c r="AF84" i="49" s="1"/>
  <c r="AP98" i="49"/>
  <c r="AN98" i="49"/>
  <c r="AO98" i="49" s="1"/>
  <c r="AG69" i="49"/>
  <c r="AE69" i="49"/>
  <c r="AF69" i="49" s="1"/>
  <c r="BH83" i="49"/>
  <c r="BF83" i="49"/>
  <c r="BG83" i="49" s="1"/>
  <c r="AG91" i="49"/>
  <c r="AE91" i="49"/>
  <c r="AF91" i="49" s="1"/>
  <c r="AP71" i="49"/>
  <c r="AN71" i="49"/>
  <c r="AO71" i="49" s="1"/>
  <c r="AP79" i="49"/>
  <c r="AN79" i="49"/>
  <c r="AO79" i="49" s="1"/>
  <c r="AP87" i="49"/>
  <c r="AN87" i="49"/>
  <c r="AO87" i="49" s="1"/>
  <c r="AP95" i="49"/>
  <c r="AN95" i="49"/>
  <c r="AO95" i="49" s="1"/>
  <c r="AY75" i="49"/>
  <c r="AW75" i="49"/>
  <c r="AX75" i="49" s="1"/>
  <c r="AY84" i="49"/>
  <c r="AW84" i="49"/>
  <c r="AX84" i="49" s="1"/>
  <c r="AY92" i="49"/>
  <c r="AW92" i="49"/>
  <c r="AX92" i="49" s="1"/>
  <c r="BQ95" i="49"/>
  <c r="BO95" i="49"/>
  <c r="BP95" i="49" s="1"/>
  <c r="BX75" i="49"/>
  <c r="BY75" i="49" s="1"/>
  <c r="BZ75" i="49"/>
  <c r="BX83" i="49"/>
  <c r="BY83" i="49" s="1"/>
  <c r="BZ83" i="49"/>
  <c r="BX91" i="49"/>
  <c r="BY91" i="49" s="1"/>
  <c r="BZ91" i="49"/>
  <c r="BH96" i="49"/>
  <c r="BF96" i="49"/>
  <c r="BG96" i="49" s="1"/>
  <c r="BZ69" i="49"/>
  <c r="BX69" i="49"/>
  <c r="BY69" i="49" s="1"/>
  <c r="BQ86" i="49"/>
  <c r="BO86" i="49"/>
  <c r="BP86" i="49" s="1"/>
  <c r="BO94" i="49"/>
  <c r="BP94" i="49" s="1"/>
  <c r="BQ94" i="49"/>
  <c r="BQ75" i="49"/>
  <c r="BO75" i="49"/>
  <c r="BP75" i="49" s="1"/>
  <c r="BQ83" i="49"/>
  <c r="BO83" i="49"/>
  <c r="BP83" i="49" s="1"/>
  <c r="BQ91" i="49"/>
  <c r="BO91" i="49"/>
  <c r="BP91" i="49" s="1"/>
  <c r="BX70" i="49"/>
  <c r="BY70" i="49" s="1"/>
  <c r="BZ70" i="49"/>
  <c r="BX78" i="49"/>
  <c r="BY78" i="49" s="1"/>
  <c r="BZ78" i="49"/>
  <c r="BX86" i="49"/>
  <c r="BY86" i="49" s="1"/>
  <c r="BZ86" i="49"/>
  <c r="BX94" i="49"/>
  <c r="BY94" i="49" s="1"/>
  <c r="BZ94" i="49"/>
  <c r="P75" i="60"/>
  <c r="O75" i="60"/>
  <c r="M75" i="60"/>
  <c r="N75" i="60" s="1"/>
  <c r="P87" i="60"/>
  <c r="O87" i="60"/>
  <c r="M87" i="60"/>
  <c r="N87" i="60" s="1"/>
  <c r="Y79" i="60"/>
  <c r="X79" i="60"/>
  <c r="V79" i="60"/>
  <c r="W79" i="60" s="1"/>
  <c r="Y89" i="60"/>
  <c r="X89" i="60"/>
  <c r="V89" i="60"/>
  <c r="W89" i="60" s="1"/>
  <c r="AH74" i="60"/>
  <c r="AG74" i="60"/>
  <c r="AE74" i="60"/>
  <c r="AF74" i="60" s="1"/>
  <c r="AH96" i="60"/>
  <c r="AG96" i="60"/>
  <c r="AE96" i="60"/>
  <c r="AF96" i="60" s="1"/>
  <c r="P74" i="60"/>
  <c r="O74" i="60"/>
  <c r="M74" i="60"/>
  <c r="N74" i="60" s="1"/>
  <c r="P92" i="60"/>
  <c r="O92" i="60"/>
  <c r="M92" i="60"/>
  <c r="N92" i="60" s="1"/>
  <c r="Y76" i="60"/>
  <c r="X76" i="60"/>
  <c r="V76" i="60"/>
  <c r="W76" i="60" s="1"/>
  <c r="Y85" i="60"/>
  <c r="X85" i="60"/>
  <c r="V85" i="60"/>
  <c r="W85" i="60" s="1"/>
  <c r="AG72" i="60"/>
  <c r="AE72" i="60"/>
  <c r="AF72" i="60" s="1"/>
  <c r="AH72" i="60"/>
  <c r="AH85" i="60"/>
  <c r="AG85" i="60"/>
  <c r="AE85" i="60"/>
  <c r="AF85" i="60" s="1"/>
  <c r="O72" i="60"/>
  <c r="M72" i="60"/>
  <c r="N72" i="60" s="1"/>
  <c r="P72" i="60"/>
  <c r="P97" i="60"/>
  <c r="O97" i="60"/>
  <c r="M97" i="60"/>
  <c r="N97" i="60" s="1"/>
  <c r="Y74" i="60"/>
  <c r="X74" i="60"/>
  <c r="V74" i="60"/>
  <c r="W74" i="60" s="1"/>
  <c r="Y95" i="60"/>
  <c r="X95" i="60"/>
  <c r="V95" i="60"/>
  <c r="W95" i="60" s="1"/>
  <c r="AH78" i="60"/>
  <c r="AG78" i="60"/>
  <c r="AE78" i="60"/>
  <c r="AF78" i="60" s="1"/>
  <c r="AH95" i="60"/>
  <c r="AG95" i="60"/>
  <c r="AE95" i="60"/>
  <c r="AF95" i="60" s="1"/>
  <c r="P80" i="60"/>
  <c r="O80" i="60"/>
  <c r="M80" i="60"/>
  <c r="N80" i="60" s="1"/>
  <c r="P91" i="60"/>
  <c r="O91" i="60"/>
  <c r="M91" i="60"/>
  <c r="N91" i="60" s="1"/>
  <c r="Y86" i="60"/>
  <c r="X86" i="60"/>
  <c r="V86" i="60"/>
  <c r="W86" i="60" s="1"/>
  <c r="AH75" i="60"/>
  <c r="AG75" i="60"/>
  <c r="AE75" i="60"/>
  <c r="AF75" i="60" s="1"/>
  <c r="AH91" i="60"/>
  <c r="AG91" i="60"/>
  <c r="AE91" i="60"/>
  <c r="AF91" i="60" s="1"/>
  <c r="O69" i="50"/>
  <c r="M69" i="50"/>
  <c r="N69" i="50" s="1"/>
  <c r="P85" i="50"/>
  <c r="O85" i="50"/>
  <c r="M85" i="50"/>
  <c r="N85" i="50" s="1"/>
  <c r="Y72" i="50"/>
  <c r="X72" i="50"/>
  <c r="V72" i="50"/>
  <c r="W72" i="50" s="1"/>
  <c r="Y94" i="50"/>
  <c r="X94" i="50"/>
  <c r="V94" i="50"/>
  <c r="W94" i="50" s="1"/>
  <c r="AH90" i="50"/>
  <c r="AG90" i="50"/>
  <c r="AE90" i="50"/>
  <c r="AF90" i="50" s="1"/>
  <c r="AQ77" i="50"/>
  <c r="AP77" i="50"/>
  <c r="AN77" i="50"/>
  <c r="AO77" i="50" s="1"/>
  <c r="AP95" i="50"/>
  <c r="AN95" i="50"/>
  <c r="AO95" i="50" s="1"/>
  <c r="AQ95" i="50"/>
  <c r="AZ84" i="50"/>
  <c r="AY84" i="50"/>
  <c r="AW84" i="50"/>
  <c r="AX84" i="50" s="1"/>
  <c r="AZ98" i="50"/>
  <c r="AY98" i="50"/>
  <c r="AW98" i="50"/>
  <c r="AX98" i="50" s="1"/>
  <c r="BI82" i="50"/>
  <c r="BH82" i="50"/>
  <c r="BF82" i="50"/>
  <c r="BG82" i="50" s="1"/>
  <c r="BQ69" i="50"/>
  <c r="BO69" i="50"/>
  <c r="BP69" i="50" s="1"/>
  <c r="BR98" i="50"/>
  <c r="BQ98" i="50"/>
  <c r="BO98" i="50"/>
  <c r="BP98" i="50" s="1"/>
  <c r="CA82" i="50"/>
  <c r="BZ82" i="50"/>
  <c r="BX82" i="50"/>
  <c r="BY82" i="50" s="1"/>
  <c r="O72" i="50"/>
  <c r="M72" i="50"/>
  <c r="N72" i="50" s="1"/>
  <c r="P72" i="50"/>
  <c r="O88" i="50"/>
  <c r="M88" i="50"/>
  <c r="N88" i="50" s="1"/>
  <c r="P88" i="50"/>
  <c r="Y76" i="50"/>
  <c r="X76" i="50"/>
  <c r="V76" i="50"/>
  <c r="W76" i="50" s="1"/>
  <c r="Y87" i="50"/>
  <c r="X87" i="50"/>
  <c r="V87" i="50"/>
  <c r="W87" i="50" s="1"/>
  <c r="X97" i="50"/>
  <c r="V97" i="50"/>
  <c r="W97" i="50" s="1"/>
  <c r="Y97" i="50"/>
  <c r="AH80" i="50"/>
  <c r="AG80" i="50"/>
  <c r="AE80" i="50"/>
  <c r="AF80" i="50" s="1"/>
  <c r="AH91" i="50"/>
  <c r="AG91" i="50"/>
  <c r="AE91" i="50"/>
  <c r="AF91" i="50" s="1"/>
  <c r="AP75" i="50"/>
  <c r="AN75" i="50"/>
  <c r="AO75" i="50" s="1"/>
  <c r="AQ75" i="50"/>
  <c r="AQ90" i="50"/>
  <c r="AP90" i="50"/>
  <c r="AN90" i="50"/>
  <c r="AO90" i="50" s="1"/>
  <c r="AZ71" i="50"/>
  <c r="AY71" i="50"/>
  <c r="AW71" i="50"/>
  <c r="AX71" i="50" s="1"/>
  <c r="AZ87" i="50"/>
  <c r="AY87" i="50"/>
  <c r="AW87" i="50"/>
  <c r="AX87" i="50" s="1"/>
  <c r="BI76" i="50"/>
  <c r="BH76" i="50"/>
  <c r="BF76" i="50"/>
  <c r="BG76" i="50" s="1"/>
  <c r="BI92" i="50"/>
  <c r="BH92" i="50"/>
  <c r="BF92" i="50"/>
  <c r="BG92" i="50" s="1"/>
  <c r="BR77" i="50"/>
  <c r="BQ77" i="50"/>
  <c r="BO77" i="50"/>
  <c r="BP77" i="50" s="1"/>
  <c r="BR88" i="50"/>
  <c r="BQ88" i="50"/>
  <c r="BO88" i="50"/>
  <c r="BP88" i="50" s="1"/>
  <c r="BZ69" i="50"/>
  <c r="BX69" i="50"/>
  <c r="BY69" i="50" s="1"/>
  <c r="CA85" i="50"/>
  <c r="BZ85" i="50"/>
  <c r="BX85" i="50"/>
  <c r="BY85" i="50" s="1"/>
  <c r="P70" i="50"/>
  <c r="O70" i="50"/>
  <c r="M70" i="50"/>
  <c r="N70" i="50" s="1"/>
  <c r="O86" i="50"/>
  <c r="M86" i="50"/>
  <c r="N86" i="50" s="1"/>
  <c r="P86" i="50"/>
  <c r="Y70" i="50"/>
  <c r="X70" i="50"/>
  <c r="V70" i="50"/>
  <c r="W70" i="50" s="1"/>
  <c r="Y98" i="50"/>
  <c r="X98" i="50"/>
  <c r="V98" i="50"/>
  <c r="W98" i="50" s="1"/>
  <c r="AH86" i="50"/>
  <c r="AG86" i="50"/>
  <c r="AE86" i="50"/>
  <c r="AF86" i="50" s="1"/>
  <c r="AQ76" i="50"/>
  <c r="AP76" i="50"/>
  <c r="AN76" i="50"/>
  <c r="AO76" i="50" s="1"/>
  <c r="AY69" i="50"/>
  <c r="AW69" i="50"/>
  <c r="AX69" i="50" s="1"/>
  <c r="AZ85" i="50"/>
  <c r="AY85" i="50"/>
  <c r="AW85" i="50"/>
  <c r="AX85" i="50" s="1"/>
  <c r="BI74" i="50"/>
  <c r="BH74" i="50"/>
  <c r="BF74" i="50"/>
  <c r="BG74" i="50" s="1"/>
  <c r="BI90" i="50"/>
  <c r="BH90" i="50"/>
  <c r="BF90" i="50"/>
  <c r="BG90" i="50" s="1"/>
  <c r="BQ78" i="50"/>
  <c r="BO78" i="50"/>
  <c r="BP78" i="50" s="1"/>
  <c r="BR78" i="50"/>
  <c r="CA74" i="50"/>
  <c r="BZ74" i="50"/>
  <c r="BX74" i="50"/>
  <c r="BY74" i="50" s="1"/>
  <c r="CA90" i="50"/>
  <c r="BZ90" i="50"/>
  <c r="BX90" i="50"/>
  <c r="BY90" i="50" s="1"/>
  <c r="P84" i="50"/>
  <c r="O84" i="50"/>
  <c r="M84" i="50"/>
  <c r="N84" i="50" s="1"/>
  <c r="X71" i="50"/>
  <c r="V71" i="50"/>
  <c r="W71" i="50" s="1"/>
  <c r="Y71" i="50"/>
  <c r="Y83" i="50"/>
  <c r="X83" i="50"/>
  <c r="V83" i="50"/>
  <c r="W83" i="50" s="1"/>
  <c r="X93" i="50"/>
  <c r="V93" i="50"/>
  <c r="W93" i="50" s="1"/>
  <c r="Y93" i="50"/>
  <c r="AH79" i="50"/>
  <c r="AG79" i="50"/>
  <c r="AE79" i="50"/>
  <c r="AF79" i="50" s="1"/>
  <c r="AG89" i="50"/>
  <c r="AE89" i="50"/>
  <c r="AF89" i="50" s="1"/>
  <c r="AH89" i="50"/>
  <c r="AP71" i="50"/>
  <c r="AN71" i="50"/>
  <c r="AO71" i="50" s="1"/>
  <c r="AQ71" i="50"/>
  <c r="AQ89" i="50"/>
  <c r="AP89" i="50"/>
  <c r="AN89" i="50"/>
  <c r="AO89" i="50" s="1"/>
  <c r="AZ72" i="50"/>
  <c r="AY72" i="50"/>
  <c r="AW72" i="50"/>
  <c r="AX72" i="50" s="1"/>
  <c r="AZ88" i="50"/>
  <c r="AY88" i="50"/>
  <c r="AW88" i="50"/>
  <c r="AX88" i="50" s="1"/>
  <c r="BH70" i="50"/>
  <c r="BF70" i="50"/>
  <c r="BG70" i="50" s="1"/>
  <c r="BI70" i="50"/>
  <c r="BI86" i="50"/>
  <c r="BH86" i="50"/>
  <c r="BF86" i="50"/>
  <c r="BG86" i="50" s="1"/>
  <c r="BR71" i="50"/>
  <c r="BQ71" i="50"/>
  <c r="BO71" i="50"/>
  <c r="BP71" i="50" s="1"/>
  <c r="BQ81" i="50"/>
  <c r="BO81" i="50"/>
  <c r="BP81" i="50" s="1"/>
  <c r="BR81" i="50"/>
  <c r="BR92" i="50"/>
  <c r="BQ92" i="50"/>
  <c r="BO92" i="50"/>
  <c r="BP92" i="50" s="1"/>
  <c r="CA75" i="50"/>
  <c r="BZ75" i="50"/>
  <c r="BX75" i="50"/>
  <c r="BY75" i="50" s="1"/>
  <c r="CA91" i="50"/>
  <c r="BZ91" i="50"/>
  <c r="BX91" i="50"/>
  <c r="BY91" i="50" s="1"/>
  <c r="O71" i="51"/>
  <c r="M71" i="51"/>
  <c r="N71" i="51" s="1"/>
  <c r="P71" i="51"/>
  <c r="O87" i="51"/>
  <c r="M87" i="51"/>
  <c r="N87" i="51" s="1"/>
  <c r="P87" i="51"/>
  <c r="X70" i="51"/>
  <c r="V70" i="51"/>
  <c r="W70" i="51" s="1"/>
  <c r="Y70" i="51"/>
  <c r="Y86" i="51"/>
  <c r="X86" i="51"/>
  <c r="V86" i="51"/>
  <c r="W86" i="51" s="1"/>
  <c r="AG71" i="51"/>
  <c r="AE71" i="51"/>
  <c r="AF71" i="51" s="1"/>
  <c r="AH71" i="51"/>
  <c r="AG87" i="51"/>
  <c r="AE87" i="51"/>
  <c r="AF87" i="51" s="1"/>
  <c r="AH87" i="51"/>
  <c r="AP76" i="51"/>
  <c r="AN76" i="51"/>
  <c r="AO76" i="51" s="1"/>
  <c r="AQ76" i="51"/>
  <c r="AP92" i="51"/>
  <c r="AN92" i="51"/>
  <c r="AO92" i="51" s="1"/>
  <c r="AQ92" i="51"/>
  <c r="O77" i="51"/>
  <c r="M77" i="51"/>
  <c r="N77" i="51" s="1"/>
  <c r="P77" i="51"/>
  <c r="O93" i="51"/>
  <c r="M93" i="51"/>
  <c r="N93" i="51" s="1"/>
  <c r="P93" i="51"/>
  <c r="Y80" i="51"/>
  <c r="X80" i="51"/>
  <c r="V80" i="51"/>
  <c r="W80" i="51" s="1"/>
  <c r="Y96" i="51"/>
  <c r="X96" i="51"/>
  <c r="V96" i="51"/>
  <c r="W96" i="51" s="1"/>
  <c r="AH81" i="51"/>
  <c r="AG81" i="51"/>
  <c r="AE81" i="51"/>
  <c r="AF81" i="51" s="1"/>
  <c r="AH97" i="51"/>
  <c r="AG97" i="51"/>
  <c r="AE97" i="51"/>
  <c r="AF97" i="51" s="1"/>
  <c r="AQ82" i="51"/>
  <c r="AP82" i="51"/>
  <c r="AN82" i="51"/>
  <c r="AO82" i="51" s="1"/>
  <c r="AQ98" i="51"/>
  <c r="AP98" i="51"/>
  <c r="AN98" i="51"/>
  <c r="AO98" i="51" s="1"/>
  <c r="O83" i="51"/>
  <c r="M83" i="51"/>
  <c r="N83" i="51" s="1"/>
  <c r="P83" i="51"/>
  <c r="X69" i="51"/>
  <c r="V69" i="51"/>
  <c r="W69" i="51" s="1"/>
  <c r="Y85" i="51"/>
  <c r="X85" i="51"/>
  <c r="V85" i="51"/>
  <c r="W85" i="51" s="1"/>
  <c r="AH77" i="51"/>
  <c r="AG77" i="51"/>
  <c r="AE77" i="51"/>
  <c r="AF77" i="51" s="1"/>
  <c r="AH93" i="51"/>
  <c r="AG93" i="51"/>
  <c r="AE93" i="51"/>
  <c r="AF93" i="51" s="1"/>
  <c r="AP80" i="51"/>
  <c r="AN80" i="51"/>
  <c r="AO80" i="51" s="1"/>
  <c r="AQ80" i="51"/>
  <c r="AP96" i="51"/>
  <c r="AN96" i="51"/>
  <c r="AO96" i="51" s="1"/>
  <c r="AQ96" i="51"/>
  <c r="P84" i="51"/>
  <c r="O84" i="51"/>
  <c r="M84" i="51"/>
  <c r="N84" i="51" s="1"/>
  <c r="Y72" i="51"/>
  <c r="X72" i="51"/>
  <c r="V72" i="51"/>
  <c r="W72" i="51" s="1"/>
  <c r="Y88" i="51"/>
  <c r="X88" i="51"/>
  <c r="V88" i="51"/>
  <c r="W88" i="51" s="1"/>
  <c r="AH73" i="51"/>
  <c r="AG73" i="51"/>
  <c r="AE73" i="51"/>
  <c r="AF73" i="51" s="1"/>
  <c r="AH89" i="51"/>
  <c r="AG89" i="51"/>
  <c r="AE89" i="51"/>
  <c r="AF89" i="51" s="1"/>
  <c r="AQ70" i="51"/>
  <c r="AP70" i="51"/>
  <c r="AN70" i="51"/>
  <c r="AO70" i="51" s="1"/>
  <c r="AQ86" i="51"/>
  <c r="AP86" i="51"/>
  <c r="AN86" i="51"/>
  <c r="AO86" i="51" s="1"/>
  <c r="P69" i="61"/>
  <c r="O69" i="61"/>
  <c r="M69" i="61"/>
  <c r="P78" i="61"/>
  <c r="M78" i="61"/>
  <c r="N78" i="61" s="1"/>
  <c r="O78" i="61"/>
  <c r="Y73" i="61"/>
  <c r="V73" i="61"/>
  <c r="W73" i="61" s="1"/>
  <c r="X73" i="61"/>
  <c r="Y89" i="61"/>
  <c r="V89" i="61"/>
  <c r="W89" i="61" s="1"/>
  <c r="X89" i="61"/>
  <c r="AG71" i="61"/>
  <c r="AE71" i="61"/>
  <c r="AE72" i="61" s="1"/>
  <c r="AH71" i="61"/>
  <c r="AH84" i="61"/>
  <c r="AE84" i="61"/>
  <c r="AF84" i="61" s="1"/>
  <c r="AG84" i="61"/>
  <c r="P75" i="61"/>
  <c r="M75" i="61"/>
  <c r="N75" i="61" s="1"/>
  <c r="O75" i="61"/>
  <c r="P88" i="61"/>
  <c r="M88" i="61"/>
  <c r="N88" i="61" s="1"/>
  <c r="O88" i="61"/>
  <c r="P96" i="61"/>
  <c r="M96" i="61"/>
  <c r="N96" i="61" s="1"/>
  <c r="O96" i="61"/>
  <c r="AH90" i="61"/>
  <c r="AE90" i="61"/>
  <c r="AF90" i="61" s="1"/>
  <c r="AG90" i="61"/>
  <c r="P73" i="61"/>
  <c r="M73" i="61"/>
  <c r="N73" i="61" s="1"/>
  <c r="O73" i="61"/>
  <c r="P87" i="61"/>
  <c r="M87" i="61"/>
  <c r="N87" i="61" s="1"/>
  <c r="O87" i="61"/>
  <c r="Y72" i="61"/>
  <c r="V72" i="61"/>
  <c r="W72" i="61" s="1"/>
  <c r="X72" i="61"/>
  <c r="Y80" i="61"/>
  <c r="V80" i="61"/>
  <c r="W80" i="61" s="1"/>
  <c r="X80" i="61"/>
  <c r="Y88" i="61"/>
  <c r="V88" i="61"/>
  <c r="W88" i="61" s="1"/>
  <c r="X88" i="61"/>
  <c r="Y96" i="61"/>
  <c r="V96" i="61"/>
  <c r="W96" i="61" s="1"/>
  <c r="X96" i="61"/>
  <c r="AG79" i="61"/>
  <c r="AE79" i="61"/>
  <c r="AF79" i="61" s="1"/>
  <c r="AH79" i="61"/>
  <c r="P85" i="61"/>
  <c r="M85" i="61"/>
  <c r="N85" i="61" s="1"/>
  <c r="O85" i="61"/>
  <c r="Y71" i="61"/>
  <c r="V71" i="61"/>
  <c r="W71" i="61" s="1"/>
  <c r="X71" i="61"/>
  <c r="Y87" i="61"/>
  <c r="V87" i="61"/>
  <c r="W87" i="61" s="1"/>
  <c r="X87" i="61"/>
  <c r="AH73" i="61"/>
  <c r="AE73" i="61"/>
  <c r="AG73" i="61"/>
  <c r="AG87" i="61"/>
  <c r="AE87" i="61"/>
  <c r="AF87" i="61" s="1"/>
  <c r="AH87" i="61"/>
  <c r="AG95" i="61"/>
  <c r="AE95" i="61"/>
  <c r="AF95" i="61" s="1"/>
  <c r="AH95" i="61"/>
  <c r="M79" i="54"/>
  <c r="N79" i="54" s="1"/>
  <c r="O79" i="54"/>
  <c r="M87" i="54"/>
  <c r="N87" i="54" s="1"/>
  <c r="O87" i="54"/>
  <c r="M95" i="54"/>
  <c r="N95" i="54" s="1"/>
  <c r="O95" i="54"/>
  <c r="X78" i="54"/>
  <c r="V78" i="54"/>
  <c r="W78" i="54" s="1"/>
  <c r="X94" i="54"/>
  <c r="V94" i="54"/>
  <c r="W94" i="54" s="1"/>
  <c r="AP98" i="54"/>
  <c r="AN98" i="54"/>
  <c r="AO98" i="54" s="1"/>
  <c r="AY82" i="54"/>
  <c r="AW82" i="54"/>
  <c r="AX82" i="54" s="1"/>
  <c r="AY98" i="54"/>
  <c r="AW98" i="54"/>
  <c r="AX98" i="54" s="1"/>
  <c r="BH82" i="54"/>
  <c r="BF82" i="54"/>
  <c r="BG82" i="54" s="1"/>
  <c r="BH98" i="54"/>
  <c r="BF98" i="54"/>
  <c r="BG98" i="54" s="1"/>
  <c r="BZ86" i="54"/>
  <c r="BX86" i="54"/>
  <c r="BY86" i="54" s="1"/>
  <c r="X77" i="54"/>
  <c r="V77" i="54"/>
  <c r="W77" i="54" s="1"/>
  <c r="X93" i="54"/>
  <c r="V93" i="54"/>
  <c r="W93" i="54" s="1"/>
  <c r="AG78" i="54"/>
  <c r="AE78" i="54"/>
  <c r="AF78" i="54" s="1"/>
  <c r="AE97" i="54"/>
  <c r="AF97" i="54" s="1"/>
  <c r="AG97" i="54"/>
  <c r="AP78" i="54"/>
  <c r="AN78" i="54"/>
  <c r="AO78" i="54" s="1"/>
  <c r="AP94" i="54"/>
  <c r="AN94" i="54"/>
  <c r="AO94" i="54" s="1"/>
  <c r="AY85" i="54"/>
  <c r="AW85" i="54"/>
  <c r="AX85" i="54" s="1"/>
  <c r="BF88" i="54"/>
  <c r="BG88" i="54" s="1"/>
  <c r="BH88" i="54"/>
  <c r="BQ74" i="54"/>
  <c r="BO74" i="54"/>
  <c r="BP74" i="54" s="1"/>
  <c r="BQ90" i="54"/>
  <c r="BO90" i="54"/>
  <c r="BP90" i="54" s="1"/>
  <c r="BZ73" i="54"/>
  <c r="BX73" i="54"/>
  <c r="BY73" i="54" s="1"/>
  <c r="BZ89" i="54"/>
  <c r="BX89" i="54"/>
  <c r="BY89" i="54" s="1"/>
  <c r="O78" i="54"/>
  <c r="M78" i="54"/>
  <c r="N78" i="54" s="1"/>
  <c r="O94" i="54"/>
  <c r="M94" i="54"/>
  <c r="N94" i="54" s="1"/>
  <c r="V79" i="54"/>
  <c r="W79" i="54" s="1"/>
  <c r="X79" i="54"/>
  <c r="V87" i="54"/>
  <c r="W87" i="54" s="1"/>
  <c r="X87" i="54"/>
  <c r="V95" i="54"/>
  <c r="W95" i="54" s="1"/>
  <c r="X95" i="54"/>
  <c r="AG77" i="54"/>
  <c r="AE77" i="54"/>
  <c r="AF77" i="54" s="1"/>
  <c r="AE93" i="54"/>
  <c r="AF93" i="54" s="1"/>
  <c r="AG93" i="54"/>
  <c r="AP77" i="54"/>
  <c r="AN77" i="54"/>
  <c r="AO77" i="54" s="1"/>
  <c r="AP93" i="54"/>
  <c r="AN93" i="54"/>
  <c r="AO93" i="54" s="1"/>
  <c r="AY72" i="54"/>
  <c r="AW72" i="54"/>
  <c r="AX72" i="54" s="1"/>
  <c r="AY80" i="54"/>
  <c r="AW80" i="54"/>
  <c r="AX80" i="54" s="1"/>
  <c r="AY88" i="54"/>
  <c r="AW88" i="54"/>
  <c r="AX88" i="54" s="1"/>
  <c r="AY96" i="54"/>
  <c r="AW96" i="54"/>
  <c r="AX96" i="54" s="1"/>
  <c r="BH77" i="54"/>
  <c r="BF77" i="54"/>
  <c r="BG77" i="54" s="1"/>
  <c r="BH93" i="54"/>
  <c r="BF93" i="54"/>
  <c r="BG93" i="54" s="1"/>
  <c r="BQ81" i="54"/>
  <c r="BO81" i="54"/>
  <c r="BP81" i="54" s="1"/>
  <c r="BQ97" i="54"/>
  <c r="BO97" i="54"/>
  <c r="BP97" i="54" s="1"/>
  <c r="BX79" i="54"/>
  <c r="BY79" i="54" s="1"/>
  <c r="BZ79" i="54"/>
  <c r="BX87" i="54"/>
  <c r="BY87" i="54" s="1"/>
  <c r="BZ87" i="54"/>
  <c r="BX95" i="54"/>
  <c r="BY95" i="54" s="1"/>
  <c r="BZ95" i="54"/>
  <c r="O77" i="54"/>
  <c r="M77" i="54"/>
  <c r="N77" i="54" s="1"/>
  <c r="O93" i="54"/>
  <c r="M93" i="54"/>
  <c r="N93" i="54" s="1"/>
  <c r="AE71" i="54"/>
  <c r="AF71" i="54" s="1"/>
  <c r="AG71" i="54"/>
  <c r="AE79" i="54"/>
  <c r="AF79" i="54" s="1"/>
  <c r="AG79" i="54"/>
  <c r="AE87" i="54"/>
  <c r="AF87" i="54" s="1"/>
  <c r="AG87" i="54"/>
  <c r="AG98" i="54"/>
  <c r="AE98" i="54"/>
  <c r="AF98" i="54" s="1"/>
  <c r="AN79" i="54"/>
  <c r="AO79" i="54" s="1"/>
  <c r="AP79" i="54"/>
  <c r="AN87" i="54"/>
  <c r="AO87" i="54" s="1"/>
  <c r="AP87" i="54"/>
  <c r="AN95" i="54"/>
  <c r="AO95" i="54" s="1"/>
  <c r="AP95" i="54"/>
  <c r="BF80" i="54"/>
  <c r="BG80" i="54" s="1"/>
  <c r="BH80" i="54"/>
  <c r="BF96" i="54"/>
  <c r="BG96" i="54" s="1"/>
  <c r="BH96" i="54"/>
  <c r="BQ76" i="54"/>
  <c r="BO76" i="54"/>
  <c r="BP76" i="54" s="1"/>
  <c r="BQ84" i="54"/>
  <c r="BO84" i="54"/>
  <c r="BP84" i="54" s="1"/>
  <c r="BQ92" i="54"/>
  <c r="BO92" i="54"/>
  <c r="BP92" i="54" s="1"/>
  <c r="Y73" i="63"/>
  <c r="X73" i="63"/>
  <c r="V73" i="63"/>
  <c r="W73" i="63" s="1"/>
  <c r="Y89" i="63"/>
  <c r="X89" i="63"/>
  <c r="V89" i="63"/>
  <c r="W89" i="63" s="1"/>
  <c r="AP75" i="63"/>
  <c r="AN75" i="63"/>
  <c r="AO75" i="63" s="1"/>
  <c r="AQ75" i="63"/>
  <c r="O72" i="63"/>
  <c r="M72" i="63"/>
  <c r="N72" i="63" s="1"/>
  <c r="P72" i="63"/>
  <c r="O88" i="63"/>
  <c r="M88" i="63"/>
  <c r="N88" i="63" s="1"/>
  <c r="P88" i="63"/>
  <c r="X79" i="63"/>
  <c r="V79" i="63"/>
  <c r="W79" i="63" s="1"/>
  <c r="Y79" i="63"/>
  <c r="Y97" i="63"/>
  <c r="X97" i="63"/>
  <c r="V97" i="63"/>
  <c r="W97" i="63" s="1"/>
  <c r="AH83" i="63"/>
  <c r="AG83" i="63"/>
  <c r="AE83" i="63"/>
  <c r="AF83" i="63" s="1"/>
  <c r="AH97" i="63"/>
  <c r="AG97" i="63"/>
  <c r="AE97" i="63"/>
  <c r="AF97" i="63" s="1"/>
  <c r="AQ81" i="63"/>
  <c r="AP81" i="63"/>
  <c r="AN81" i="63"/>
  <c r="AO81" i="63" s="1"/>
  <c r="AQ97" i="63"/>
  <c r="AP97" i="63"/>
  <c r="AN97" i="63"/>
  <c r="AO97" i="63" s="1"/>
  <c r="P76" i="63"/>
  <c r="O76" i="63"/>
  <c r="M76" i="63"/>
  <c r="N76" i="63" s="1"/>
  <c r="O92" i="63"/>
  <c r="M92" i="63"/>
  <c r="N92" i="63" s="1"/>
  <c r="P92" i="63"/>
  <c r="Y77" i="63"/>
  <c r="X77" i="63"/>
  <c r="V77" i="63"/>
  <c r="W77" i="63" s="1"/>
  <c r="Y88" i="63"/>
  <c r="X88" i="63"/>
  <c r="V88" i="63"/>
  <c r="W88" i="63" s="1"/>
  <c r="AH73" i="63"/>
  <c r="AG73" i="63"/>
  <c r="AE73" i="63"/>
  <c r="AF73" i="63" s="1"/>
  <c r="AH89" i="63"/>
  <c r="AG89" i="63"/>
  <c r="AE89" i="63"/>
  <c r="AF89" i="63" s="1"/>
  <c r="AP79" i="63"/>
  <c r="AN79" i="63"/>
  <c r="AO79" i="63" s="1"/>
  <c r="AQ79" i="63"/>
  <c r="AZ71" i="63"/>
  <c r="AY71" i="63"/>
  <c r="AW71" i="63"/>
  <c r="AX71" i="63" s="1"/>
  <c r="P77" i="63"/>
  <c r="O77" i="63"/>
  <c r="M77" i="63"/>
  <c r="N77" i="63" s="1"/>
  <c r="P93" i="63"/>
  <c r="O93" i="63"/>
  <c r="M93" i="63"/>
  <c r="N93" i="63" s="1"/>
  <c r="X91" i="63"/>
  <c r="V91" i="63"/>
  <c r="W91" i="63" s="1"/>
  <c r="Y91" i="63"/>
  <c r="AH71" i="63"/>
  <c r="AG71" i="63"/>
  <c r="AE71" i="63"/>
  <c r="AF71" i="63" s="1"/>
  <c r="AH87" i="63"/>
  <c r="AG87" i="63"/>
  <c r="AE87" i="63"/>
  <c r="AF87" i="63" s="1"/>
  <c r="AQ74" i="63"/>
  <c r="AP74" i="63"/>
  <c r="AN74" i="63"/>
  <c r="AO74" i="63" s="1"/>
  <c r="AQ85" i="63"/>
  <c r="AP85" i="63"/>
  <c r="AN85" i="63"/>
  <c r="AO85" i="63" s="1"/>
  <c r="AQ98" i="63"/>
  <c r="AP98" i="63"/>
  <c r="AN98" i="63"/>
  <c r="AO98" i="63" s="1"/>
  <c r="P91" i="63"/>
  <c r="O91" i="63"/>
  <c r="M91" i="63"/>
  <c r="N91" i="63" s="1"/>
  <c r="AH74" i="63"/>
  <c r="AG74" i="63"/>
  <c r="AE74" i="63"/>
  <c r="AF74" i="63" s="1"/>
  <c r="AQ96" i="63"/>
  <c r="AP96" i="63"/>
  <c r="AN96" i="63"/>
  <c r="AO96" i="63" s="1"/>
  <c r="AQ78" i="63"/>
  <c r="AP78" i="63"/>
  <c r="AN78" i="63"/>
  <c r="AO78" i="63" s="1"/>
  <c r="AY86" i="63"/>
  <c r="AW86" i="63"/>
  <c r="AX86" i="63" s="1"/>
  <c r="AZ86" i="63"/>
  <c r="BH72" i="63"/>
  <c r="BF72" i="63"/>
  <c r="BG72" i="63" s="1"/>
  <c r="BI72" i="63"/>
  <c r="BH88" i="63"/>
  <c r="BF88" i="63"/>
  <c r="BG88" i="63" s="1"/>
  <c r="BI88" i="63"/>
  <c r="BR76" i="63"/>
  <c r="BQ76" i="63"/>
  <c r="BO76" i="63"/>
  <c r="BP76" i="63" s="1"/>
  <c r="BR92" i="63"/>
  <c r="BQ92" i="63"/>
  <c r="BO92" i="63"/>
  <c r="BP92" i="63" s="1"/>
  <c r="CA71" i="63"/>
  <c r="BZ71" i="63"/>
  <c r="BX71" i="63"/>
  <c r="BY71" i="63" s="1"/>
  <c r="CA87" i="63"/>
  <c r="BZ87" i="63"/>
  <c r="BX87" i="63"/>
  <c r="BY87" i="63" s="1"/>
  <c r="CJ72" i="63"/>
  <c r="CI72" i="63"/>
  <c r="CG72" i="63"/>
  <c r="CH72" i="63" s="1"/>
  <c r="CJ88" i="63"/>
  <c r="CI88" i="63"/>
  <c r="CG88" i="63"/>
  <c r="CH88" i="63" s="1"/>
  <c r="AZ79" i="63"/>
  <c r="AY79" i="63"/>
  <c r="AW79" i="63"/>
  <c r="AX79" i="63" s="1"/>
  <c r="AZ95" i="63"/>
  <c r="AY95" i="63"/>
  <c r="AW95" i="63"/>
  <c r="AX95" i="63" s="1"/>
  <c r="BI81" i="63"/>
  <c r="BH81" i="63"/>
  <c r="BF81" i="63"/>
  <c r="BG81" i="63" s="1"/>
  <c r="BI97" i="63"/>
  <c r="BH97" i="63"/>
  <c r="BF97" i="63"/>
  <c r="BG97" i="63" s="1"/>
  <c r="BR81" i="63"/>
  <c r="BQ81" i="63"/>
  <c r="BO81" i="63"/>
  <c r="BP81" i="63" s="1"/>
  <c r="CA76" i="63"/>
  <c r="BZ76" i="63"/>
  <c r="BX76" i="63"/>
  <c r="BY76" i="63" s="1"/>
  <c r="CA96" i="63"/>
  <c r="BZ96" i="63"/>
  <c r="BX96" i="63"/>
  <c r="BY96" i="63" s="1"/>
  <c r="CJ77" i="63"/>
  <c r="CI77" i="63"/>
  <c r="CG77" i="63"/>
  <c r="CH77" i="63" s="1"/>
  <c r="CJ97" i="63"/>
  <c r="CI97" i="63"/>
  <c r="CG97" i="63"/>
  <c r="CH97" i="63" s="1"/>
  <c r="AZ77" i="63"/>
  <c r="AY77" i="63"/>
  <c r="AW77" i="63"/>
  <c r="AX77" i="63" s="1"/>
  <c r="AZ93" i="63"/>
  <c r="AY93" i="63"/>
  <c r="AW93" i="63"/>
  <c r="AX93" i="63" s="1"/>
  <c r="BI79" i="63"/>
  <c r="BH79" i="63"/>
  <c r="BF79" i="63"/>
  <c r="BG79" i="63" s="1"/>
  <c r="BI95" i="63"/>
  <c r="BH95" i="63"/>
  <c r="BF95" i="63"/>
  <c r="BG95" i="63" s="1"/>
  <c r="BR84" i="63"/>
  <c r="BQ84" i="63"/>
  <c r="BO84" i="63"/>
  <c r="BP84" i="63" s="1"/>
  <c r="BR95" i="63"/>
  <c r="BQ95" i="63"/>
  <c r="BO95" i="63"/>
  <c r="BP95" i="63" s="1"/>
  <c r="CA79" i="63"/>
  <c r="BZ79" i="63"/>
  <c r="BX79" i="63"/>
  <c r="BY79" i="63" s="1"/>
  <c r="CA92" i="63"/>
  <c r="BZ92" i="63"/>
  <c r="BX92" i="63"/>
  <c r="BY92" i="63" s="1"/>
  <c r="CJ80" i="63"/>
  <c r="CI80" i="63"/>
  <c r="CG80" i="63"/>
  <c r="CH80" i="63" s="1"/>
  <c r="CJ91" i="63"/>
  <c r="CI91" i="63"/>
  <c r="CG91" i="63"/>
  <c r="CH91" i="63" s="1"/>
  <c r="AY88" i="63"/>
  <c r="AW88" i="63"/>
  <c r="AX88" i="63" s="1"/>
  <c r="AZ88" i="63"/>
  <c r="BI74" i="63"/>
  <c r="BH74" i="63"/>
  <c r="BF74" i="63"/>
  <c r="BG74" i="63" s="1"/>
  <c r="BH90" i="63"/>
  <c r="BF90" i="63"/>
  <c r="BG90" i="63" s="1"/>
  <c r="BI90" i="63"/>
  <c r="BR73" i="63"/>
  <c r="BQ73" i="63"/>
  <c r="BO73" i="63"/>
  <c r="BP73" i="63" s="1"/>
  <c r="BR89" i="63"/>
  <c r="BQ89" i="63"/>
  <c r="BO89" i="63"/>
  <c r="BP89" i="63" s="1"/>
  <c r="CA84" i="63"/>
  <c r="BZ84" i="63"/>
  <c r="BX84" i="63"/>
  <c r="BY84" i="63" s="1"/>
  <c r="CJ69" i="63"/>
  <c r="CI69" i="63"/>
  <c r="CG69" i="63"/>
  <c r="CH69" i="63" s="1"/>
  <c r="CH68" i="63"/>
  <c r="CJ85" i="63"/>
  <c r="CI85" i="63"/>
  <c r="CG85" i="63"/>
  <c r="CH85" i="63" s="1"/>
  <c r="Y73" i="59"/>
  <c r="X73" i="59"/>
  <c r="P90" i="59"/>
  <c r="O90" i="59"/>
  <c r="M90" i="59"/>
  <c r="N90" i="59" s="1"/>
  <c r="P94" i="59"/>
  <c r="M94" i="59"/>
  <c r="N94" i="59" s="1"/>
  <c r="O94" i="59"/>
  <c r="P98" i="59"/>
  <c r="O98" i="59"/>
  <c r="M98" i="59"/>
  <c r="N98" i="59" s="1"/>
  <c r="AH72" i="59"/>
  <c r="AG72" i="59"/>
  <c r="AE72" i="59"/>
  <c r="AF72" i="59" s="1"/>
  <c r="AH76" i="59"/>
  <c r="AG76" i="59"/>
  <c r="AE76" i="59"/>
  <c r="AF76" i="59" s="1"/>
  <c r="AH80" i="59"/>
  <c r="AG80" i="59"/>
  <c r="AE80" i="59"/>
  <c r="AF80" i="59" s="1"/>
  <c r="AH84" i="59"/>
  <c r="AE84" i="59"/>
  <c r="AF84" i="59" s="1"/>
  <c r="AG84" i="59"/>
  <c r="AH88" i="59"/>
  <c r="AE88" i="59"/>
  <c r="AF88" i="59" s="1"/>
  <c r="AG88" i="59"/>
  <c r="AH92" i="59"/>
  <c r="AE92" i="59"/>
  <c r="AF92" i="59" s="1"/>
  <c r="AG92" i="59"/>
  <c r="AH96" i="59"/>
  <c r="AG96" i="59"/>
  <c r="AE96" i="59"/>
  <c r="AF96" i="59" s="1"/>
  <c r="AY88" i="59"/>
  <c r="AZ88" i="59"/>
  <c r="AW88" i="59"/>
  <c r="AX88" i="59" s="1"/>
  <c r="BI94" i="59"/>
  <c r="BF94" i="59"/>
  <c r="BG94" i="59" s="1"/>
  <c r="BH94" i="59"/>
  <c r="AY87" i="59"/>
  <c r="AZ87" i="59"/>
  <c r="AW87" i="59"/>
  <c r="AX87" i="59" s="1"/>
  <c r="BI96" i="59"/>
  <c r="BH96" i="59"/>
  <c r="BF96" i="59"/>
  <c r="BG96" i="59" s="1"/>
  <c r="M86" i="59"/>
  <c r="N86" i="59" s="1"/>
  <c r="O86" i="59"/>
  <c r="P86" i="59"/>
  <c r="V78" i="59"/>
  <c r="W78" i="59" s="1"/>
  <c r="Y78" i="59"/>
  <c r="X78" i="59"/>
  <c r="V82" i="59"/>
  <c r="W82" i="59" s="1"/>
  <c r="X82" i="59"/>
  <c r="Y82" i="59"/>
  <c r="V86" i="59"/>
  <c r="W86" i="59" s="1"/>
  <c r="X86" i="59"/>
  <c r="Y86" i="59"/>
  <c r="V90" i="59"/>
  <c r="W90" i="59" s="1"/>
  <c r="Y90" i="59"/>
  <c r="X90" i="59"/>
  <c r="V94" i="59"/>
  <c r="W94" i="59" s="1"/>
  <c r="Y94" i="59"/>
  <c r="X94" i="59"/>
  <c r="V98" i="59"/>
  <c r="W98" i="59" s="1"/>
  <c r="Y98" i="59"/>
  <c r="X98" i="59"/>
  <c r="BI74" i="59"/>
  <c r="BF74" i="59"/>
  <c r="BG74" i="59" s="1"/>
  <c r="BH74" i="59"/>
  <c r="O75" i="59"/>
  <c r="P75" i="59"/>
  <c r="O72" i="59"/>
  <c r="P72" i="59"/>
  <c r="O81" i="59"/>
  <c r="P81" i="59"/>
  <c r="M81" i="59"/>
  <c r="N81" i="59" s="1"/>
  <c r="Y75" i="59"/>
  <c r="X75" i="59"/>
  <c r="AP73" i="59"/>
  <c r="AQ73" i="59"/>
  <c r="AN73" i="59"/>
  <c r="AO73" i="59" s="1"/>
  <c r="AP77" i="59"/>
  <c r="AQ77" i="59"/>
  <c r="AN77" i="59"/>
  <c r="AO77" i="59" s="1"/>
  <c r="AQ81" i="59"/>
  <c r="AP81" i="59"/>
  <c r="AN81" i="59"/>
  <c r="AO81" i="59" s="1"/>
  <c r="AQ85" i="59"/>
  <c r="AP85" i="59"/>
  <c r="AN85" i="59"/>
  <c r="AO85" i="59" s="1"/>
  <c r="AQ89" i="59"/>
  <c r="AP89" i="59"/>
  <c r="AN89" i="59"/>
  <c r="AO89" i="59" s="1"/>
  <c r="AQ93" i="59"/>
  <c r="AP93" i="59"/>
  <c r="AN93" i="59"/>
  <c r="AO93" i="59" s="1"/>
  <c r="AQ97" i="59"/>
  <c r="AP97" i="59"/>
  <c r="AN97" i="59"/>
  <c r="AO97" i="59" s="1"/>
  <c r="AZ71" i="59"/>
  <c r="AY71" i="59"/>
  <c r="AW71" i="59"/>
  <c r="AX71" i="59" s="1"/>
  <c r="AZ75" i="59"/>
  <c r="AY75" i="59"/>
  <c r="AW75" i="59"/>
  <c r="AX75" i="59" s="1"/>
  <c r="AZ79" i="59"/>
  <c r="AY79" i="59"/>
  <c r="AW79" i="59"/>
  <c r="AX79" i="59" s="1"/>
  <c r="AZ83" i="59"/>
  <c r="AY83" i="59"/>
  <c r="AW83" i="59"/>
  <c r="AX83" i="59" s="1"/>
  <c r="BI76" i="59"/>
  <c r="BH76" i="59"/>
  <c r="BF76" i="59"/>
  <c r="BG76" i="59" s="1"/>
  <c r="BI71" i="59"/>
  <c r="BF71" i="59"/>
  <c r="BG71" i="59" s="1"/>
  <c r="BH71" i="59"/>
  <c r="BI87" i="59"/>
  <c r="BF87" i="59"/>
  <c r="BG87" i="59" s="1"/>
  <c r="BH87" i="59"/>
  <c r="BQ73" i="59"/>
  <c r="BR73" i="59"/>
  <c r="BO73" i="59"/>
  <c r="BP73" i="59" s="1"/>
  <c r="BQ77" i="59"/>
  <c r="BR77" i="59"/>
  <c r="BO77" i="59"/>
  <c r="BP77" i="59" s="1"/>
  <c r="BQ81" i="59"/>
  <c r="BR81" i="59"/>
  <c r="BO81" i="59"/>
  <c r="BP81" i="59" s="1"/>
  <c r="BQ85" i="59"/>
  <c r="BR85" i="59"/>
  <c r="BO85" i="59"/>
  <c r="BP85" i="59" s="1"/>
  <c r="BQ89" i="59"/>
  <c r="BR89" i="59"/>
  <c r="BO89" i="59"/>
  <c r="BP89" i="59" s="1"/>
  <c r="BQ93" i="59"/>
  <c r="BR93" i="59"/>
  <c r="BO93" i="59"/>
  <c r="BP93" i="59" s="1"/>
  <c r="BQ97" i="59"/>
  <c r="BR97" i="59"/>
  <c r="BO97" i="59"/>
  <c r="BP97" i="59" s="1"/>
  <c r="BZ71" i="59"/>
  <c r="CA71" i="59"/>
  <c r="BX71" i="59"/>
  <c r="BY71" i="59" s="1"/>
  <c r="BZ75" i="59"/>
  <c r="CA75" i="59"/>
  <c r="BX75" i="59"/>
  <c r="BY75" i="59" s="1"/>
  <c r="BZ79" i="59"/>
  <c r="CA79" i="59"/>
  <c r="BX79" i="59"/>
  <c r="BY79" i="59" s="1"/>
  <c r="BZ83" i="59"/>
  <c r="CA83" i="59"/>
  <c r="BX83" i="59"/>
  <c r="BY83" i="59" s="1"/>
  <c r="BZ87" i="59"/>
  <c r="CA87" i="59"/>
  <c r="BX87" i="59"/>
  <c r="BY87" i="59" s="1"/>
  <c r="BZ91" i="59"/>
  <c r="CA91" i="59"/>
  <c r="BX91" i="59"/>
  <c r="BY91" i="59" s="1"/>
  <c r="CA95" i="59"/>
  <c r="BZ95" i="59"/>
  <c r="BX95" i="59"/>
  <c r="BY95" i="59" s="1"/>
  <c r="AY90" i="59"/>
  <c r="AZ90" i="59"/>
  <c r="AW90" i="59"/>
  <c r="AX90" i="59" s="1"/>
  <c r="AY94" i="59"/>
  <c r="AZ94" i="59"/>
  <c r="AW94" i="59"/>
  <c r="AX94" i="59" s="1"/>
  <c r="AY98" i="59"/>
  <c r="AZ98" i="59"/>
  <c r="AW98" i="59"/>
  <c r="AX98" i="59" s="1"/>
  <c r="BI81" i="59"/>
  <c r="BH81" i="59"/>
  <c r="BF81" i="59"/>
  <c r="BG81" i="59" s="1"/>
  <c r="BI97" i="59"/>
  <c r="BH97" i="59"/>
  <c r="BF97" i="59"/>
  <c r="BG97" i="59" s="1"/>
  <c r="O80" i="62"/>
  <c r="M80" i="62"/>
  <c r="N80" i="62" s="1"/>
  <c r="P80" i="62"/>
  <c r="O96" i="62"/>
  <c r="M96" i="62"/>
  <c r="N96" i="62" s="1"/>
  <c r="P96" i="62"/>
  <c r="Y81" i="62"/>
  <c r="X81" i="62"/>
  <c r="V81" i="62"/>
  <c r="W81" i="62" s="1"/>
  <c r="Y97" i="62"/>
  <c r="X97" i="62"/>
  <c r="V97" i="62"/>
  <c r="W97" i="62" s="1"/>
  <c r="AH83" i="62"/>
  <c r="AG83" i="62"/>
  <c r="AE83" i="62"/>
  <c r="AF83" i="62" s="1"/>
  <c r="AP69" i="62"/>
  <c r="AN69" i="62"/>
  <c r="AO69" i="62" s="1"/>
  <c r="AQ85" i="62"/>
  <c r="AP85" i="62"/>
  <c r="AN85" i="62"/>
  <c r="AO85" i="62" s="1"/>
  <c r="AZ76" i="62"/>
  <c r="AY76" i="62"/>
  <c r="AW76" i="62"/>
  <c r="AX76" i="62" s="1"/>
  <c r="AZ92" i="62"/>
  <c r="AY92" i="62"/>
  <c r="AW92" i="62"/>
  <c r="AX92" i="62" s="1"/>
  <c r="BI78" i="62"/>
  <c r="BH78" i="62"/>
  <c r="BF78" i="62"/>
  <c r="BG78" i="62" s="1"/>
  <c r="BI94" i="62"/>
  <c r="BH94" i="62"/>
  <c r="BF94" i="62"/>
  <c r="BG94" i="62" s="1"/>
  <c r="BR82" i="62"/>
  <c r="BQ82" i="62"/>
  <c r="BO82" i="62"/>
  <c r="BP82" i="62" s="1"/>
  <c r="P70" i="62"/>
  <c r="O70" i="62"/>
  <c r="M70" i="62"/>
  <c r="N70" i="62" s="1"/>
  <c r="P86" i="62"/>
  <c r="O86" i="62"/>
  <c r="M86" i="62"/>
  <c r="N86" i="62" s="1"/>
  <c r="Y70" i="62"/>
  <c r="X70" i="62"/>
  <c r="V70" i="62"/>
  <c r="W70" i="62" s="1"/>
  <c r="Y86" i="62"/>
  <c r="X86" i="62"/>
  <c r="V86" i="62"/>
  <c r="W86" i="62" s="1"/>
  <c r="AH74" i="62"/>
  <c r="AG74" i="62"/>
  <c r="AE74" i="62"/>
  <c r="AF74" i="62" s="1"/>
  <c r="AH90" i="62"/>
  <c r="AG90" i="62"/>
  <c r="AE90" i="62"/>
  <c r="AF90" i="62" s="1"/>
  <c r="AQ74" i="62"/>
  <c r="AP74" i="62"/>
  <c r="AN74" i="62"/>
  <c r="AO74" i="62" s="1"/>
  <c r="AQ90" i="62"/>
  <c r="AP90" i="62"/>
  <c r="AN90" i="62"/>
  <c r="AO90" i="62" s="1"/>
  <c r="AZ74" i="62"/>
  <c r="AY74" i="62"/>
  <c r="AW74" i="62"/>
  <c r="AX74" i="62" s="1"/>
  <c r="AZ90" i="62"/>
  <c r="AY90" i="62"/>
  <c r="AW90" i="62"/>
  <c r="AX90" i="62" s="1"/>
  <c r="BI74" i="62"/>
  <c r="BH74" i="62"/>
  <c r="BF74" i="62"/>
  <c r="BG74" i="62" s="1"/>
  <c r="BI90" i="62"/>
  <c r="BH90" i="62"/>
  <c r="BF90" i="62"/>
  <c r="BG90" i="62" s="1"/>
  <c r="BR75" i="62"/>
  <c r="BQ75" i="62"/>
  <c r="BO75" i="62"/>
  <c r="BP75" i="62" s="1"/>
  <c r="BR91" i="62"/>
  <c r="BQ91" i="62"/>
  <c r="BO91" i="62"/>
  <c r="BP91" i="62" s="1"/>
  <c r="O76" i="62"/>
  <c r="M76" i="62"/>
  <c r="N76" i="62" s="1"/>
  <c r="P76" i="62"/>
  <c r="O92" i="62"/>
  <c r="M92" i="62"/>
  <c r="N92" i="62" s="1"/>
  <c r="P92" i="62"/>
  <c r="Y80" i="62"/>
  <c r="X80" i="62"/>
  <c r="V80" i="62"/>
  <c r="W80" i="62" s="1"/>
  <c r="Y96" i="62"/>
  <c r="X96" i="62"/>
  <c r="V96" i="62"/>
  <c r="W96" i="62" s="1"/>
  <c r="AH77" i="62"/>
  <c r="AG77" i="62"/>
  <c r="AE77" i="62"/>
  <c r="AF77" i="62" s="1"/>
  <c r="AH93" i="62"/>
  <c r="AG93" i="62"/>
  <c r="AE93" i="62"/>
  <c r="AF93" i="62" s="1"/>
  <c r="AQ84" i="62"/>
  <c r="AP84" i="62"/>
  <c r="AN84" i="62"/>
  <c r="AO84" i="62" s="1"/>
  <c r="AZ70" i="62"/>
  <c r="AY70" i="62"/>
  <c r="AW70" i="62"/>
  <c r="AX70" i="62" s="1"/>
  <c r="AZ86" i="62"/>
  <c r="AY86" i="62"/>
  <c r="AW86" i="62"/>
  <c r="AX86" i="62" s="1"/>
  <c r="BI75" i="62"/>
  <c r="BH75" i="62"/>
  <c r="BF75" i="62"/>
  <c r="BG75" i="62" s="1"/>
  <c r="BI91" i="62"/>
  <c r="BH91" i="62"/>
  <c r="BF91" i="62"/>
  <c r="BG91" i="62" s="1"/>
  <c r="BR78" i="62"/>
  <c r="BQ78" i="62"/>
  <c r="BO78" i="62"/>
  <c r="BP78" i="62" s="1"/>
  <c r="BR94" i="62"/>
  <c r="BQ94" i="62"/>
  <c r="BO94" i="62"/>
  <c r="BP94" i="62" s="1"/>
  <c r="P82" i="62"/>
  <c r="O82" i="62"/>
  <c r="M82" i="62"/>
  <c r="N82" i="62" s="1"/>
  <c r="P98" i="62"/>
  <c r="O98" i="62"/>
  <c r="M98" i="62"/>
  <c r="N98" i="62" s="1"/>
  <c r="Y85" i="62"/>
  <c r="X85" i="62"/>
  <c r="V85" i="62"/>
  <c r="W85" i="62" s="1"/>
  <c r="AH71" i="62"/>
  <c r="AG71" i="62"/>
  <c r="AE71" i="62"/>
  <c r="AF71" i="62" s="1"/>
  <c r="AH87" i="62"/>
  <c r="AG87" i="62"/>
  <c r="AE87" i="62"/>
  <c r="AF87" i="62" s="1"/>
  <c r="AQ71" i="62"/>
  <c r="AP71" i="62"/>
  <c r="AN71" i="62"/>
  <c r="AO71" i="62" s="1"/>
  <c r="AQ87" i="62"/>
  <c r="AP87" i="62"/>
  <c r="AN87" i="62"/>
  <c r="AO87" i="62" s="1"/>
  <c r="AZ71" i="62"/>
  <c r="AY71" i="62"/>
  <c r="AW71" i="62"/>
  <c r="AX71" i="62" s="1"/>
  <c r="AZ87" i="62"/>
  <c r="AY87" i="62"/>
  <c r="AW87" i="62"/>
  <c r="AX87" i="62" s="1"/>
  <c r="BI71" i="62"/>
  <c r="BH71" i="62"/>
  <c r="BF71" i="62"/>
  <c r="BG71" i="62" s="1"/>
  <c r="BI87" i="62"/>
  <c r="BH87" i="62"/>
  <c r="BF87" i="62"/>
  <c r="BG87" i="62" s="1"/>
  <c r="BR71" i="62"/>
  <c r="BQ71" i="62"/>
  <c r="BO71" i="62"/>
  <c r="BP71" i="62" s="1"/>
  <c r="BR87" i="62"/>
  <c r="BQ87" i="62"/>
  <c r="BO87" i="62"/>
  <c r="BP87" i="62" s="1"/>
  <c r="CA72" i="62"/>
  <c r="BZ72" i="62"/>
  <c r="BX72" i="62"/>
  <c r="BY72" i="62" s="1"/>
  <c r="CA83" i="62"/>
  <c r="BZ83" i="62"/>
  <c r="BX83" i="62"/>
  <c r="BY83" i="62" s="1"/>
  <c r="CA93" i="62"/>
  <c r="BZ93" i="62"/>
  <c r="BX93" i="62"/>
  <c r="BY93" i="62" s="1"/>
  <c r="CA86" i="62"/>
  <c r="BZ86" i="62"/>
  <c r="BX86" i="62"/>
  <c r="BY86" i="62" s="1"/>
  <c r="CA76" i="62"/>
  <c r="BZ76" i="62"/>
  <c r="BX76" i="62"/>
  <c r="BY76" i="62" s="1"/>
  <c r="CA87" i="62"/>
  <c r="BZ87" i="62"/>
  <c r="BX87" i="62"/>
  <c r="BY87" i="62" s="1"/>
  <c r="BZ97" i="62"/>
  <c r="BX97" i="62"/>
  <c r="BY97" i="62" s="1"/>
  <c r="CA97" i="62"/>
  <c r="CA98" i="62"/>
  <c r="BZ98" i="62"/>
  <c r="BX98" i="62"/>
  <c r="BY98" i="62" s="1"/>
  <c r="F72" i="63"/>
  <c r="D72" i="63"/>
  <c r="E72" i="63" s="1"/>
  <c r="F88" i="63"/>
  <c r="D88" i="63"/>
  <c r="E88" i="63" s="1"/>
  <c r="F73" i="63"/>
  <c r="D73" i="63"/>
  <c r="E73" i="63" s="1"/>
  <c r="F89" i="63"/>
  <c r="D89" i="63"/>
  <c r="E89" i="63" s="1"/>
  <c r="F74" i="63"/>
  <c r="D74" i="63"/>
  <c r="E74" i="63" s="1"/>
  <c r="F90" i="63"/>
  <c r="D90" i="63"/>
  <c r="E90" i="63" s="1"/>
  <c r="F75" i="63"/>
  <c r="D75" i="63"/>
  <c r="E75" i="63" s="1"/>
  <c r="F91" i="63"/>
  <c r="D91" i="63"/>
  <c r="E91" i="63" s="1"/>
  <c r="F75" i="50"/>
  <c r="D75" i="50"/>
  <c r="F71" i="50"/>
  <c r="D71" i="50"/>
  <c r="F93" i="50"/>
  <c r="D93" i="50"/>
  <c r="E93" i="50" s="1"/>
  <c r="F83" i="50"/>
  <c r="D83" i="50"/>
  <c r="F74" i="50"/>
  <c r="D74" i="50"/>
  <c r="F95" i="50"/>
  <c r="D95" i="50"/>
  <c r="E95" i="50" s="1"/>
  <c r="F84" i="50"/>
  <c r="D84" i="50"/>
  <c r="D69" i="51"/>
  <c r="E69" i="51" s="1"/>
  <c r="F69" i="51"/>
  <c r="F90" i="51"/>
  <c r="D90" i="51"/>
  <c r="E90" i="51" s="1"/>
  <c r="F81" i="51"/>
  <c r="D81" i="51"/>
  <c r="F71" i="51"/>
  <c r="D71" i="51"/>
  <c r="F93" i="51"/>
  <c r="D93" i="51"/>
  <c r="E93" i="51" s="1"/>
  <c r="F83" i="51"/>
  <c r="D83" i="51"/>
  <c r="F76" i="51"/>
  <c r="D76" i="51"/>
  <c r="F92" i="51"/>
  <c r="D92" i="51"/>
  <c r="E92" i="51" s="1"/>
  <c r="F77" i="54"/>
  <c r="D77" i="54"/>
  <c r="E77" i="54" s="1"/>
  <c r="F84" i="54"/>
  <c r="D84" i="54"/>
  <c r="E84" i="54" s="1"/>
  <c r="F93" i="54"/>
  <c r="D93" i="54"/>
  <c r="E93" i="54" s="1"/>
  <c r="F96" i="54"/>
  <c r="D96" i="54"/>
  <c r="E96" i="54" s="1"/>
  <c r="F80" i="54"/>
  <c r="D80" i="54"/>
  <c r="E80" i="54" s="1"/>
  <c r="F94" i="54"/>
  <c r="D94" i="54"/>
  <c r="E94" i="54" s="1"/>
  <c r="F74" i="54"/>
  <c r="F81" i="49"/>
  <c r="D81" i="49"/>
  <c r="E81" i="49" s="1"/>
  <c r="F89" i="49"/>
  <c r="D89" i="49"/>
  <c r="E89" i="49" s="1"/>
  <c r="F74" i="49"/>
  <c r="D74" i="49"/>
  <c r="E74" i="49" s="1"/>
  <c r="F91" i="49"/>
  <c r="D91" i="49"/>
  <c r="E91" i="49" s="1"/>
  <c r="F79" i="49"/>
  <c r="D79" i="49"/>
  <c r="E79" i="49" s="1"/>
  <c r="F97" i="49"/>
  <c r="D97" i="49"/>
  <c r="E97" i="49" s="1"/>
  <c r="F84" i="49"/>
  <c r="D84" i="49"/>
  <c r="E84" i="49" s="1"/>
  <c r="F94" i="49"/>
  <c r="D94" i="49"/>
  <c r="E94" i="49" s="1"/>
  <c r="F72" i="60"/>
  <c r="AK72" i="60"/>
  <c r="Q72" i="60"/>
  <c r="AI72" i="60"/>
  <c r="AB72" i="60"/>
  <c r="Z72" i="60"/>
  <c r="S72" i="60"/>
  <c r="F93" i="60"/>
  <c r="D93" i="60"/>
  <c r="E93" i="60" s="1"/>
  <c r="F89" i="60"/>
  <c r="D89" i="60"/>
  <c r="E89" i="60" s="1"/>
  <c r="F80" i="60"/>
  <c r="D80" i="60"/>
  <c r="E80" i="60" s="1"/>
  <c r="F71" i="60"/>
  <c r="D71" i="60"/>
  <c r="D72" i="60" s="1"/>
  <c r="AI71" i="60"/>
  <c r="AB71" i="60"/>
  <c r="S71" i="60"/>
  <c r="AK71" i="60"/>
  <c r="Z71" i="60"/>
  <c r="Q71" i="60"/>
  <c r="F92" i="60"/>
  <c r="D92" i="60"/>
  <c r="E92" i="60" s="1"/>
  <c r="F78" i="60"/>
  <c r="D78" i="60"/>
  <c r="E78" i="60" s="1"/>
  <c r="AI78" i="60"/>
  <c r="AB78" i="60"/>
  <c r="Z78" i="60"/>
  <c r="S78" i="60"/>
  <c r="Q78" i="60"/>
  <c r="AK78" i="60"/>
  <c r="F94" i="60"/>
  <c r="D94" i="60"/>
  <c r="E94" i="60" s="1"/>
  <c r="O88" i="49"/>
  <c r="M88" i="49"/>
  <c r="N88" i="49" s="1"/>
  <c r="AG75" i="49"/>
  <c r="AE75" i="49"/>
  <c r="AF75" i="49" s="1"/>
  <c r="O93" i="49"/>
  <c r="M93" i="49"/>
  <c r="N93" i="49" s="1"/>
  <c r="AP69" i="49"/>
  <c r="AN69" i="49"/>
  <c r="AO69" i="49" s="1"/>
  <c r="AY85" i="49"/>
  <c r="AW85" i="49"/>
  <c r="AX85" i="49" s="1"/>
  <c r="X74" i="49"/>
  <c r="V74" i="49"/>
  <c r="W74" i="49" s="1"/>
  <c r="X93" i="49"/>
  <c r="V93" i="49"/>
  <c r="W93" i="49" s="1"/>
  <c r="AP80" i="49"/>
  <c r="AN80" i="49"/>
  <c r="AO80" i="49" s="1"/>
  <c r="BH71" i="49"/>
  <c r="BF71" i="49"/>
  <c r="BG71" i="49" s="1"/>
  <c r="BH91" i="49"/>
  <c r="BF91" i="49"/>
  <c r="BG91" i="49" s="1"/>
  <c r="X78" i="49"/>
  <c r="V78" i="49"/>
  <c r="W78" i="49" s="1"/>
  <c r="X94" i="49"/>
  <c r="V94" i="49"/>
  <c r="W94" i="49" s="1"/>
  <c r="AG79" i="49"/>
  <c r="AE79" i="49"/>
  <c r="AF79" i="49" s="1"/>
  <c r="AP78" i="49"/>
  <c r="AN78" i="49"/>
  <c r="AO78" i="49" s="1"/>
  <c r="AY74" i="49"/>
  <c r="AW74" i="49"/>
  <c r="AX74" i="49" s="1"/>
  <c r="AY95" i="49"/>
  <c r="AW95" i="49"/>
  <c r="AX95" i="49" s="1"/>
  <c r="BH84" i="49"/>
  <c r="BF84" i="49"/>
  <c r="BG84" i="49" s="1"/>
  <c r="BQ74" i="49"/>
  <c r="BO74" i="49"/>
  <c r="BP74" i="49" s="1"/>
  <c r="AG88" i="49"/>
  <c r="AE88" i="49"/>
  <c r="AF88" i="49" s="1"/>
  <c r="AP84" i="49"/>
  <c r="AN84" i="49"/>
  <c r="AO84" i="49" s="1"/>
  <c r="BH73" i="49"/>
  <c r="BF73" i="49"/>
  <c r="BG73" i="49" s="1"/>
  <c r="BH89" i="49"/>
  <c r="BF89" i="49"/>
  <c r="BG89" i="49" s="1"/>
  <c r="O78" i="49"/>
  <c r="M78" i="49"/>
  <c r="N78" i="49" s="1"/>
  <c r="AG81" i="49"/>
  <c r="AE81" i="49"/>
  <c r="AF81" i="49" s="1"/>
  <c r="X70" i="49"/>
  <c r="V70" i="49"/>
  <c r="W70" i="49" s="1"/>
  <c r="AG94" i="49"/>
  <c r="AE94" i="49"/>
  <c r="AF94" i="49" s="1"/>
  <c r="BH74" i="49"/>
  <c r="BF74" i="49"/>
  <c r="BG74" i="49" s="1"/>
  <c r="BH94" i="49"/>
  <c r="BF94" i="49"/>
  <c r="BG94" i="49" s="1"/>
  <c r="O76" i="49"/>
  <c r="M76" i="49"/>
  <c r="N76" i="49" s="1"/>
  <c r="X76" i="49"/>
  <c r="V76" i="49"/>
  <c r="W76" i="49" s="1"/>
  <c r="O77" i="49"/>
  <c r="M77" i="49"/>
  <c r="N77" i="49" s="1"/>
  <c r="O95" i="49"/>
  <c r="M95" i="49"/>
  <c r="N95" i="49" s="1"/>
  <c r="X80" i="49"/>
  <c r="V80" i="49"/>
  <c r="W80" i="49" s="1"/>
  <c r="AG87" i="49"/>
  <c r="AE87" i="49"/>
  <c r="AF87" i="49" s="1"/>
  <c r="AY97" i="49"/>
  <c r="AW97" i="49"/>
  <c r="AX97" i="49" s="1"/>
  <c r="AG78" i="49"/>
  <c r="AE78" i="49"/>
  <c r="AF78" i="49" s="1"/>
  <c r="AG76" i="49"/>
  <c r="AE76" i="49"/>
  <c r="AF76" i="49" s="1"/>
  <c r="AG92" i="49"/>
  <c r="AE92" i="49"/>
  <c r="AF92" i="49" s="1"/>
  <c r="AP73" i="49"/>
  <c r="AN73" i="49"/>
  <c r="AO73" i="49" s="1"/>
  <c r="AP81" i="49"/>
  <c r="AN81" i="49"/>
  <c r="AO81" i="49" s="1"/>
  <c r="AP89" i="49"/>
  <c r="AN89" i="49"/>
  <c r="AO89" i="49" s="1"/>
  <c r="AP97" i="49"/>
  <c r="AN97" i="49"/>
  <c r="AO97" i="49" s="1"/>
  <c r="AY77" i="49"/>
  <c r="AW77" i="49"/>
  <c r="AX77" i="49" s="1"/>
  <c r="AY86" i="49"/>
  <c r="AW86" i="49"/>
  <c r="AX86" i="49" s="1"/>
  <c r="AY94" i="49"/>
  <c r="AW94" i="49"/>
  <c r="AX94" i="49" s="1"/>
  <c r="BQ97" i="49"/>
  <c r="BO97" i="49"/>
  <c r="BP97" i="49" s="1"/>
  <c r="BZ77" i="49"/>
  <c r="BX77" i="49"/>
  <c r="BY77" i="49" s="1"/>
  <c r="BZ85" i="49"/>
  <c r="BX85" i="49"/>
  <c r="BY85" i="49" s="1"/>
  <c r="BZ93" i="49"/>
  <c r="BX93" i="49"/>
  <c r="BY93" i="49" s="1"/>
  <c r="BH98" i="49"/>
  <c r="BF98" i="49"/>
  <c r="BG98" i="49" s="1"/>
  <c r="BQ80" i="49"/>
  <c r="BO80" i="49"/>
  <c r="BP80" i="49" s="1"/>
  <c r="BQ88" i="49"/>
  <c r="BO88" i="49"/>
  <c r="BP88" i="49" s="1"/>
  <c r="BH69" i="49"/>
  <c r="BF69" i="49"/>
  <c r="BG69" i="49" s="1"/>
  <c r="BQ77" i="49"/>
  <c r="BO77" i="49"/>
  <c r="BP77" i="49" s="1"/>
  <c r="BQ85" i="49"/>
  <c r="BO85" i="49"/>
  <c r="BP85" i="49" s="1"/>
  <c r="BQ93" i="49"/>
  <c r="BO93" i="49"/>
  <c r="BP93" i="49" s="1"/>
  <c r="BX72" i="49"/>
  <c r="BY72" i="49" s="1"/>
  <c r="BZ72" i="49"/>
  <c r="BX80" i="49"/>
  <c r="BY80" i="49" s="1"/>
  <c r="BZ80" i="49"/>
  <c r="BX88" i="49"/>
  <c r="BY88" i="49" s="1"/>
  <c r="BZ88" i="49"/>
  <c r="BX96" i="49"/>
  <c r="BY96" i="49" s="1"/>
  <c r="BZ96" i="49"/>
  <c r="P76" i="60"/>
  <c r="O76" i="60"/>
  <c r="M76" i="60"/>
  <c r="N76" i="60" s="1"/>
  <c r="P89" i="60"/>
  <c r="O89" i="60"/>
  <c r="M89" i="60"/>
  <c r="N89" i="60" s="1"/>
  <c r="Y80" i="60"/>
  <c r="X80" i="60"/>
  <c r="V80" i="60"/>
  <c r="W80" i="60" s="1"/>
  <c r="Y96" i="60"/>
  <c r="X96" i="60"/>
  <c r="V96" i="60"/>
  <c r="W96" i="60" s="1"/>
  <c r="AH82" i="60"/>
  <c r="AG82" i="60"/>
  <c r="AE82" i="60"/>
  <c r="AF82" i="60" s="1"/>
  <c r="AH98" i="60"/>
  <c r="AG98" i="60"/>
  <c r="AE98" i="60"/>
  <c r="AF98" i="60" s="1"/>
  <c r="P81" i="60"/>
  <c r="O81" i="60"/>
  <c r="M81" i="60"/>
  <c r="N81" i="60" s="1"/>
  <c r="P94" i="60"/>
  <c r="O94" i="60"/>
  <c r="M94" i="60"/>
  <c r="N94" i="60" s="1"/>
  <c r="Y77" i="60"/>
  <c r="X77" i="60"/>
  <c r="V77" i="60"/>
  <c r="W77" i="60" s="1"/>
  <c r="Y92" i="60"/>
  <c r="X92" i="60"/>
  <c r="V92" i="60"/>
  <c r="W92" i="60" s="1"/>
  <c r="AH79" i="60"/>
  <c r="AG79" i="60"/>
  <c r="AE79" i="60"/>
  <c r="AF79" i="60" s="1"/>
  <c r="AH92" i="60"/>
  <c r="AG92" i="60"/>
  <c r="AE92" i="60"/>
  <c r="AF92" i="60" s="1"/>
  <c r="P88" i="60"/>
  <c r="O88" i="60"/>
  <c r="M88" i="60"/>
  <c r="N88" i="60" s="1"/>
  <c r="Y71" i="60"/>
  <c r="X71" i="60"/>
  <c r="V71" i="60"/>
  <c r="W71" i="60" s="1"/>
  <c r="Y81" i="60"/>
  <c r="X81" i="60"/>
  <c r="V81" i="60"/>
  <c r="W81" i="60" s="1"/>
  <c r="X97" i="60"/>
  <c r="V97" i="60"/>
  <c r="W97" i="60" s="1"/>
  <c r="Y97" i="60"/>
  <c r="AH81" i="60"/>
  <c r="AG81" i="60"/>
  <c r="AE81" i="60"/>
  <c r="AF81" i="60" s="1"/>
  <c r="AH97" i="60"/>
  <c r="AG97" i="60"/>
  <c r="AE97" i="60"/>
  <c r="AF97" i="60" s="1"/>
  <c r="O82" i="60"/>
  <c r="M82" i="60"/>
  <c r="N82" i="60" s="1"/>
  <c r="P82" i="60"/>
  <c r="P93" i="60"/>
  <c r="O93" i="60"/>
  <c r="M93" i="60"/>
  <c r="N93" i="60" s="1"/>
  <c r="Y91" i="60"/>
  <c r="X91" i="60"/>
  <c r="V91" i="60"/>
  <c r="W91" i="60" s="1"/>
  <c r="AG76" i="60"/>
  <c r="AE76" i="60"/>
  <c r="AF76" i="60" s="1"/>
  <c r="AH76" i="60"/>
  <c r="AH93" i="60"/>
  <c r="AG93" i="60"/>
  <c r="AE93" i="60"/>
  <c r="AF93" i="60" s="1"/>
  <c r="O74" i="50"/>
  <c r="M74" i="50"/>
  <c r="N74" i="50" s="1"/>
  <c r="P74" i="50"/>
  <c r="P90" i="50"/>
  <c r="O90" i="50"/>
  <c r="M90" i="50"/>
  <c r="N90" i="50" s="1"/>
  <c r="X75" i="50"/>
  <c r="V75" i="50"/>
  <c r="W75" i="50" s="1"/>
  <c r="Y75" i="50"/>
  <c r="AH72" i="50"/>
  <c r="AG72" i="50"/>
  <c r="AE72" i="50"/>
  <c r="AF72" i="50" s="1"/>
  <c r="AH98" i="50"/>
  <c r="AG98" i="50"/>
  <c r="AE98" i="50"/>
  <c r="AF98" i="50" s="1"/>
  <c r="AQ80" i="50"/>
  <c r="AP80" i="50"/>
  <c r="AN80" i="50"/>
  <c r="AO80" i="50" s="1"/>
  <c r="AZ70" i="50"/>
  <c r="AY70" i="50"/>
  <c r="AW70" i="50"/>
  <c r="AX70" i="50" s="1"/>
  <c r="AY86" i="50"/>
  <c r="AW86" i="50"/>
  <c r="AX86" i="50" s="1"/>
  <c r="AZ86" i="50"/>
  <c r="BI71" i="50"/>
  <c r="BH71" i="50"/>
  <c r="BF71" i="50"/>
  <c r="BG71" i="50" s="1"/>
  <c r="BI87" i="50"/>
  <c r="BH87" i="50"/>
  <c r="BF87" i="50"/>
  <c r="BG87" i="50" s="1"/>
  <c r="BR74" i="50"/>
  <c r="BQ74" i="50"/>
  <c r="BO74" i="50"/>
  <c r="BP74" i="50" s="1"/>
  <c r="CA71" i="50"/>
  <c r="BZ71" i="50"/>
  <c r="BX71" i="50"/>
  <c r="BY71" i="50" s="1"/>
  <c r="CA87" i="50"/>
  <c r="BZ87" i="50"/>
  <c r="BX87" i="50"/>
  <c r="BY87" i="50" s="1"/>
  <c r="P75" i="50"/>
  <c r="O75" i="50"/>
  <c r="M75" i="50"/>
  <c r="N75" i="50" s="1"/>
  <c r="P91" i="50"/>
  <c r="O91" i="50"/>
  <c r="M91" i="50"/>
  <c r="N91" i="50" s="1"/>
  <c r="Y79" i="50"/>
  <c r="X79" i="50"/>
  <c r="V79" i="50"/>
  <c r="W79" i="50" s="1"/>
  <c r="X89" i="50"/>
  <c r="V89" i="50"/>
  <c r="W89" i="50" s="1"/>
  <c r="Y89" i="50"/>
  <c r="AG70" i="50"/>
  <c r="AE70" i="50"/>
  <c r="AF70" i="50" s="1"/>
  <c r="AH70" i="50"/>
  <c r="AH83" i="50"/>
  <c r="AG83" i="50"/>
  <c r="AE83" i="50"/>
  <c r="AF83" i="50" s="1"/>
  <c r="AG93" i="50"/>
  <c r="AE93" i="50"/>
  <c r="AF93" i="50" s="1"/>
  <c r="AH93" i="50"/>
  <c r="AP83" i="50"/>
  <c r="AN83" i="50"/>
  <c r="AO83" i="50" s="1"/>
  <c r="AQ83" i="50"/>
  <c r="AQ93" i="50"/>
  <c r="AP93" i="50"/>
  <c r="AN93" i="50"/>
  <c r="AO93" i="50" s="1"/>
  <c r="AZ73" i="50"/>
  <c r="AY73" i="50"/>
  <c r="AW73" i="50"/>
  <c r="AX73" i="50" s="1"/>
  <c r="AZ89" i="50"/>
  <c r="AY89" i="50"/>
  <c r="AW89" i="50"/>
  <c r="AX89" i="50" s="1"/>
  <c r="BI78" i="50"/>
  <c r="BH78" i="50"/>
  <c r="BF78" i="50"/>
  <c r="BG78" i="50" s="1"/>
  <c r="BI94" i="50"/>
  <c r="BH94" i="50"/>
  <c r="BF94" i="50"/>
  <c r="BG94" i="50" s="1"/>
  <c r="BR80" i="50"/>
  <c r="BQ80" i="50"/>
  <c r="BO80" i="50"/>
  <c r="BP80" i="50" s="1"/>
  <c r="BR91" i="50"/>
  <c r="BQ91" i="50"/>
  <c r="BO91" i="50"/>
  <c r="BP91" i="50" s="1"/>
  <c r="CA76" i="50"/>
  <c r="BZ76" i="50"/>
  <c r="BX76" i="50"/>
  <c r="BY76" i="50" s="1"/>
  <c r="CA92" i="50"/>
  <c r="BZ92" i="50"/>
  <c r="BX92" i="50"/>
  <c r="BY92" i="50" s="1"/>
  <c r="P73" i="50"/>
  <c r="O73" i="50"/>
  <c r="M73" i="50"/>
  <c r="N73" i="50" s="1"/>
  <c r="P89" i="50"/>
  <c r="O89" i="50"/>
  <c r="M89" i="50"/>
  <c r="N89" i="50" s="1"/>
  <c r="Y73" i="50"/>
  <c r="X73" i="50"/>
  <c r="V73" i="50"/>
  <c r="W73" i="50" s="1"/>
  <c r="AH71" i="50"/>
  <c r="AG71" i="50"/>
  <c r="AE71" i="50"/>
  <c r="AF71" i="50" s="1"/>
  <c r="AH94" i="50"/>
  <c r="AG94" i="50"/>
  <c r="AE94" i="50"/>
  <c r="AF94" i="50" s="1"/>
  <c r="AQ78" i="50"/>
  <c r="AP78" i="50"/>
  <c r="AN78" i="50"/>
  <c r="AO78" i="50" s="1"/>
  <c r="AZ76" i="50"/>
  <c r="AY76" i="50"/>
  <c r="AW76" i="50"/>
  <c r="AX76" i="50" s="1"/>
  <c r="AZ92" i="50"/>
  <c r="AY92" i="50"/>
  <c r="AW92" i="50"/>
  <c r="AX92" i="50" s="1"/>
  <c r="BI79" i="50"/>
  <c r="BH79" i="50"/>
  <c r="BF79" i="50"/>
  <c r="BG79" i="50" s="1"/>
  <c r="BI95" i="50"/>
  <c r="BH95" i="50"/>
  <c r="BF95" i="50"/>
  <c r="BG95" i="50" s="1"/>
  <c r="BR86" i="50"/>
  <c r="BQ86" i="50"/>
  <c r="BO86" i="50"/>
  <c r="BP86" i="50" s="1"/>
  <c r="CA79" i="50"/>
  <c r="BZ79" i="50"/>
  <c r="BX79" i="50"/>
  <c r="BY79" i="50" s="1"/>
  <c r="P71" i="50"/>
  <c r="O71" i="50"/>
  <c r="M71" i="50"/>
  <c r="N71" i="50" s="1"/>
  <c r="P87" i="50"/>
  <c r="O87" i="50"/>
  <c r="M87" i="50"/>
  <c r="N87" i="50" s="1"/>
  <c r="X74" i="50"/>
  <c r="V74" i="50"/>
  <c r="W74" i="50" s="1"/>
  <c r="Y74" i="50"/>
  <c r="X85" i="50"/>
  <c r="V85" i="50"/>
  <c r="W85" i="50" s="1"/>
  <c r="Y85" i="50"/>
  <c r="Y96" i="50"/>
  <c r="X96" i="50"/>
  <c r="V96" i="50"/>
  <c r="W96" i="50" s="1"/>
  <c r="AG81" i="50"/>
  <c r="AE81" i="50"/>
  <c r="AF81" i="50" s="1"/>
  <c r="AH81" i="50"/>
  <c r="AH92" i="50"/>
  <c r="AG92" i="50"/>
  <c r="AE92" i="50"/>
  <c r="AF92" i="50" s="1"/>
  <c r="AP79" i="50"/>
  <c r="AN79" i="50"/>
  <c r="AO79" i="50" s="1"/>
  <c r="AQ79" i="50"/>
  <c r="AQ92" i="50"/>
  <c r="AP92" i="50"/>
  <c r="AN92" i="50"/>
  <c r="AO92" i="50" s="1"/>
  <c r="AZ74" i="50"/>
  <c r="AY74" i="50"/>
  <c r="AW74" i="50"/>
  <c r="AX74" i="50" s="1"/>
  <c r="AZ90" i="50"/>
  <c r="AY90" i="50"/>
  <c r="AW90" i="50"/>
  <c r="AX90" i="50" s="1"/>
  <c r="BI75" i="50"/>
  <c r="BH75" i="50"/>
  <c r="BF75" i="50"/>
  <c r="BG75" i="50" s="1"/>
  <c r="BI91" i="50"/>
  <c r="BH91" i="50"/>
  <c r="BF91" i="50"/>
  <c r="BG91" i="50" s="1"/>
  <c r="BR73" i="50"/>
  <c r="BQ73" i="50"/>
  <c r="BO73" i="50"/>
  <c r="BP73" i="50" s="1"/>
  <c r="BR84" i="50"/>
  <c r="BQ84" i="50"/>
  <c r="BO84" i="50"/>
  <c r="BP84" i="50" s="1"/>
  <c r="BR95" i="50"/>
  <c r="BQ95" i="50"/>
  <c r="BO95" i="50"/>
  <c r="BP95" i="50" s="1"/>
  <c r="CA77" i="50"/>
  <c r="BZ77" i="50"/>
  <c r="BX77" i="50"/>
  <c r="BY77" i="50" s="1"/>
  <c r="CA93" i="50"/>
  <c r="BZ93" i="50"/>
  <c r="BX93" i="50"/>
  <c r="BY93" i="50" s="1"/>
  <c r="P74" i="51"/>
  <c r="O74" i="51"/>
  <c r="M74" i="51"/>
  <c r="N74" i="51" s="1"/>
  <c r="P90" i="51"/>
  <c r="O90" i="51"/>
  <c r="M90" i="51"/>
  <c r="N90" i="51" s="1"/>
  <c r="Y75" i="51"/>
  <c r="X75" i="51"/>
  <c r="V75" i="51"/>
  <c r="W75" i="51" s="1"/>
  <c r="Y91" i="51"/>
  <c r="X91" i="51"/>
  <c r="V91" i="51"/>
  <c r="W91" i="51" s="1"/>
  <c r="AH76" i="51"/>
  <c r="AG76" i="51"/>
  <c r="AE76" i="51"/>
  <c r="AF76" i="51" s="1"/>
  <c r="AH92" i="51"/>
  <c r="AG92" i="51"/>
  <c r="AE92" i="51"/>
  <c r="AF92" i="51" s="1"/>
  <c r="AQ79" i="51"/>
  <c r="AP79" i="51"/>
  <c r="AN79" i="51"/>
  <c r="AO79" i="51" s="1"/>
  <c r="AQ95" i="51"/>
  <c r="AP95" i="51"/>
  <c r="AN95" i="51"/>
  <c r="AO95" i="51" s="1"/>
  <c r="P80" i="51"/>
  <c r="O80" i="51"/>
  <c r="M80" i="51"/>
  <c r="N80" i="51" s="1"/>
  <c r="P96" i="51"/>
  <c r="O96" i="51"/>
  <c r="M96" i="51"/>
  <c r="N96" i="51" s="1"/>
  <c r="Y82" i="51"/>
  <c r="X82" i="51"/>
  <c r="V82" i="51"/>
  <c r="W82" i="51" s="1"/>
  <c r="AG69" i="51"/>
  <c r="AE69" i="51"/>
  <c r="AF69" i="51" s="1"/>
  <c r="AG83" i="51"/>
  <c r="AE83" i="51"/>
  <c r="AF83" i="51" s="1"/>
  <c r="AH83" i="51"/>
  <c r="AP69" i="51"/>
  <c r="AN69" i="51"/>
  <c r="AO69" i="51" s="1"/>
  <c r="AQ85" i="51"/>
  <c r="AP85" i="51"/>
  <c r="AN85" i="51"/>
  <c r="AO85" i="51" s="1"/>
  <c r="P70" i="51"/>
  <c r="O70" i="51"/>
  <c r="M70" i="51"/>
  <c r="N70" i="51" s="1"/>
  <c r="P86" i="51"/>
  <c r="O86" i="51"/>
  <c r="M86" i="51"/>
  <c r="N86" i="51" s="1"/>
  <c r="Y76" i="51"/>
  <c r="X76" i="51"/>
  <c r="V76" i="51"/>
  <c r="W76" i="51" s="1"/>
  <c r="Y92" i="51"/>
  <c r="X92" i="51"/>
  <c r="V92" i="51"/>
  <c r="W92" i="51" s="1"/>
  <c r="AG79" i="51"/>
  <c r="AE79" i="51"/>
  <c r="AF79" i="51" s="1"/>
  <c r="AH79" i="51"/>
  <c r="AG95" i="51"/>
  <c r="AE95" i="51"/>
  <c r="AF95" i="51" s="1"/>
  <c r="AH95" i="51"/>
  <c r="AQ83" i="51"/>
  <c r="AP83" i="51"/>
  <c r="AN83" i="51"/>
  <c r="AO83" i="51" s="1"/>
  <c r="O73" i="51"/>
  <c r="M73" i="51"/>
  <c r="N73" i="51" s="1"/>
  <c r="P73" i="51"/>
  <c r="O89" i="51"/>
  <c r="M89" i="51"/>
  <c r="N89" i="51" s="1"/>
  <c r="P89" i="51"/>
  <c r="Y74" i="51"/>
  <c r="X74" i="51"/>
  <c r="V74" i="51"/>
  <c r="W74" i="51" s="1"/>
  <c r="Y90" i="51"/>
  <c r="X90" i="51"/>
  <c r="V90" i="51"/>
  <c r="W90" i="51" s="1"/>
  <c r="AG75" i="51"/>
  <c r="AE75" i="51"/>
  <c r="AF75" i="51" s="1"/>
  <c r="AH75" i="51"/>
  <c r="AG91" i="51"/>
  <c r="AE91" i="51"/>
  <c r="AF91" i="51" s="1"/>
  <c r="AH91" i="51"/>
  <c r="AQ73" i="51"/>
  <c r="AP73" i="51"/>
  <c r="AN73" i="51"/>
  <c r="AO73" i="51" s="1"/>
  <c r="AQ89" i="51"/>
  <c r="AP89" i="51"/>
  <c r="AN89" i="51"/>
  <c r="AO89" i="51" s="1"/>
  <c r="P72" i="61"/>
  <c r="M72" i="61"/>
  <c r="N72" i="61" s="1"/>
  <c r="O72" i="61"/>
  <c r="P80" i="61"/>
  <c r="M80" i="61"/>
  <c r="N80" i="61" s="1"/>
  <c r="O80" i="61"/>
  <c r="Y77" i="61"/>
  <c r="V77" i="61"/>
  <c r="W77" i="61" s="1"/>
  <c r="X77" i="61"/>
  <c r="Y93" i="61"/>
  <c r="V93" i="61"/>
  <c r="W93" i="61" s="1"/>
  <c r="X93" i="61"/>
  <c r="AH74" i="61"/>
  <c r="AE74" i="61"/>
  <c r="AF74" i="61" s="1"/>
  <c r="AG74" i="61"/>
  <c r="AH88" i="61"/>
  <c r="AE88" i="61"/>
  <c r="AF88" i="61" s="1"/>
  <c r="AG88" i="61"/>
  <c r="P79" i="61"/>
  <c r="M79" i="61"/>
  <c r="N79" i="61" s="1"/>
  <c r="O79" i="61"/>
  <c r="P90" i="61"/>
  <c r="M90" i="61"/>
  <c r="N90" i="61" s="1"/>
  <c r="O90" i="61"/>
  <c r="P98" i="61"/>
  <c r="M98" i="61"/>
  <c r="N98" i="61" s="1"/>
  <c r="O98" i="61"/>
  <c r="AH94" i="61"/>
  <c r="AE94" i="61"/>
  <c r="AF94" i="61" s="1"/>
  <c r="AG94" i="61"/>
  <c r="P77" i="61"/>
  <c r="M77" i="61"/>
  <c r="N77" i="61" s="1"/>
  <c r="O77" i="61"/>
  <c r="P91" i="61"/>
  <c r="M91" i="61"/>
  <c r="N91" i="61" s="1"/>
  <c r="O91" i="61"/>
  <c r="Y74" i="61"/>
  <c r="V74" i="61"/>
  <c r="W74" i="61" s="1"/>
  <c r="X74" i="61"/>
  <c r="Y82" i="61"/>
  <c r="V82" i="61"/>
  <c r="W82" i="61" s="1"/>
  <c r="X82" i="61"/>
  <c r="Y90" i="61"/>
  <c r="V90" i="61"/>
  <c r="W90" i="61" s="1"/>
  <c r="X90" i="61"/>
  <c r="Y98" i="61"/>
  <c r="V98" i="61"/>
  <c r="W98" i="61" s="1"/>
  <c r="X98" i="61"/>
  <c r="AH81" i="61"/>
  <c r="AE81" i="61"/>
  <c r="AF81" i="61" s="1"/>
  <c r="AG81" i="61"/>
  <c r="P89" i="61"/>
  <c r="M89" i="61"/>
  <c r="N89" i="61" s="1"/>
  <c r="O89" i="61"/>
  <c r="Y75" i="61"/>
  <c r="V75" i="61"/>
  <c r="W75" i="61" s="1"/>
  <c r="X75" i="61"/>
  <c r="Y91" i="61"/>
  <c r="V91" i="61"/>
  <c r="W91" i="61" s="1"/>
  <c r="X91" i="61"/>
  <c r="AH76" i="61"/>
  <c r="AE76" i="61"/>
  <c r="AF76" i="61" s="1"/>
  <c r="AG76" i="61"/>
  <c r="AH89" i="61"/>
  <c r="AE89" i="61"/>
  <c r="AF89" i="61" s="1"/>
  <c r="AG89" i="61"/>
  <c r="AH97" i="61"/>
  <c r="AE97" i="61"/>
  <c r="AF97" i="61" s="1"/>
  <c r="AG97" i="61"/>
  <c r="M69" i="54"/>
  <c r="O69" i="54"/>
  <c r="O80" i="54"/>
  <c r="M80" i="54"/>
  <c r="N80" i="54" s="1"/>
  <c r="O88" i="54"/>
  <c r="M88" i="54"/>
  <c r="N88" i="54" s="1"/>
  <c r="O96" i="54"/>
  <c r="M96" i="54"/>
  <c r="N96" i="54" s="1"/>
  <c r="X82" i="54"/>
  <c r="V82" i="54"/>
  <c r="W82" i="54" s="1"/>
  <c r="X98" i="54"/>
  <c r="V98" i="54"/>
  <c r="W98" i="54" s="1"/>
  <c r="AY70" i="54"/>
  <c r="AW70" i="54"/>
  <c r="AX70" i="54" s="1"/>
  <c r="AY86" i="54"/>
  <c r="AW86" i="54"/>
  <c r="AX86" i="54" s="1"/>
  <c r="BH73" i="54"/>
  <c r="BH85" i="54"/>
  <c r="BF85" i="54"/>
  <c r="BG85" i="54" s="1"/>
  <c r="BZ74" i="54"/>
  <c r="BX74" i="54"/>
  <c r="BY74" i="54" s="1"/>
  <c r="BZ90" i="54"/>
  <c r="BX90" i="54"/>
  <c r="BY90" i="54" s="1"/>
  <c r="X81" i="54"/>
  <c r="V81" i="54"/>
  <c r="W81" i="54" s="1"/>
  <c r="X97" i="54"/>
  <c r="V97" i="54"/>
  <c r="W97" i="54" s="1"/>
  <c r="AG82" i="54"/>
  <c r="AE82" i="54"/>
  <c r="AF82" i="54" s="1"/>
  <c r="AN69" i="54"/>
  <c r="AN70" i="54" s="1"/>
  <c r="AP69" i="54"/>
  <c r="AP82" i="54"/>
  <c r="AN82" i="54"/>
  <c r="AO82" i="54" s="1"/>
  <c r="AY73" i="54"/>
  <c r="AW73" i="54"/>
  <c r="AX73" i="54" s="1"/>
  <c r="AY89" i="54"/>
  <c r="AW89" i="54"/>
  <c r="AX89" i="54" s="1"/>
  <c r="BH78" i="54"/>
  <c r="BF78" i="54"/>
  <c r="BG78" i="54" s="1"/>
  <c r="BH94" i="54"/>
  <c r="BF94" i="54"/>
  <c r="BG94" i="54" s="1"/>
  <c r="BQ78" i="54"/>
  <c r="BO78" i="54"/>
  <c r="BP78" i="54" s="1"/>
  <c r="BQ94" i="54"/>
  <c r="BO94" i="54"/>
  <c r="BP94" i="54" s="1"/>
  <c r="BZ77" i="54"/>
  <c r="BX77" i="54"/>
  <c r="BY77" i="54" s="1"/>
  <c r="BZ93" i="54"/>
  <c r="BX93" i="54"/>
  <c r="BY93" i="54" s="1"/>
  <c r="O82" i="54"/>
  <c r="M82" i="54"/>
  <c r="N82" i="54" s="1"/>
  <c r="O98" i="54"/>
  <c r="M98" i="54"/>
  <c r="N98" i="54" s="1"/>
  <c r="X80" i="54"/>
  <c r="V80" i="54"/>
  <c r="W80" i="54" s="1"/>
  <c r="X88" i="54"/>
  <c r="V88" i="54"/>
  <c r="W88" i="54" s="1"/>
  <c r="X96" i="54"/>
  <c r="V96" i="54"/>
  <c r="W96" i="54" s="1"/>
  <c r="AG81" i="54"/>
  <c r="AE81" i="54"/>
  <c r="AF81" i="54" s="1"/>
  <c r="AE95" i="54"/>
  <c r="AF95" i="54" s="1"/>
  <c r="AG95" i="54"/>
  <c r="AP81" i="54"/>
  <c r="AN81" i="54"/>
  <c r="AO81" i="54" s="1"/>
  <c r="AN97" i="54"/>
  <c r="AO97" i="54" s="1"/>
  <c r="AP97" i="54"/>
  <c r="AW75" i="54"/>
  <c r="AX75" i="54" s="1"/>
  <c r="AY75" i="54"/>
  <c r="AW83" i="54"/>
  <c r="AX83" i="54" s="1"/>
  <c r="AY83" i="54"/>
  <c r="AW91" i="54"/>
  <c r="AX91" i="54" s="1"/>
  <c r="AY91" i="54"/>
  <c r="BF69" i="54"/>
  <c r="BF70" i="54" s="1"/>
  <c r="BF71" i="54" s="1"/>
  <c r="BH69" i="54"/>
  <c r="BF83" i="54"/>
  <c r="BG83" i="54" s="1"/>
  <c r="BH83" i="54"/>
  <c r="BQ69" i="54"/>
  <c r="BO69" i="54"/>
  <c r="BP69" i="54" s="1"/>
  <c r="BQ85" i="54"/>
  <c r="BO85" i="54"/>
  <c r="BP85" i="54" s="1"/>
  <c r="BZ72" i="54"/>
  <c r="BX72" i="54"/>
  <c r="BY72" i="54" s="1"/>
  <c r="BZ80" i="54"/>
  <c r="BX80" i="54"/>
  <c r="BY80" i="54" s="1"/>
  <c r="BZ88" i="54"/>
  <c r="BX88" i="54"/>
  <c r="BY88" i="54" s="1"/>
  <c r="BZ96" i="54"/>
  <c r="BX96" i="54"/>
  <c r="BY96" i="54" s="1"/>
  <c r="O81" i="54"/>
  <c r="M81" i="54"/>
  <c r="N81" i="54" s="1"/>
  <c r="O97" i="54"/>
  <c r="M97" i="54"/>
  <c r="N97" i="54" s="1"/>
  <c r="AG72" i="54"/>
  <c r="AE72" i="54"/>
  <c r="AF72" i="54" s="1"/>
  <c r="AG80" i="54"/>
  <c r="AE80" i="54"/>
  <c r="AF80" i="54" s="1"/>
  <c r="AG88" i="54"/>
  <c r="AE88" i="54"/>
  <c r="AF88" i="54" s="1"/>
  <c r="AP70" i="54"/>
  <c r="AP80" i="54"/>
  <c r="AN80" i="54"/>
  <c r="AO80" i="54" s="1"/>
  <c r="AP88" i="54"/>
  <c r="AN88" i="54"/>
  <c r="AO88" i="54" s="1"/>
  <c r="AP96" i="54"/>
  <c r="AN96" i="54"/>
  <c r="AO96" i="54" s="1"/>
  <c r="BH86" i="54"/>
  <c r="BF86" i="54"/>
  <c r="BG86" i="54" s="1"/>
  <c r="BO71" i="54"/>
  <c r="BP71" i="54" s="1"/>
  <c r="BQ71" i="54"/>
  <c r="BO79" i="54"/>
  <c r="BP79" i="54" s="1"/>
  <c r="BQ79" i="54"/>
  <c r="BO87" i="54"/>
  <c r="BP87" i="54" s="1"/>
  <c r="BQ87" i="54"/>
  <c r="BO95" i="54"/>
  <c r="BP95" i="54" s="1"/>
  <c r="BQ95" i="54"/>
  <c r="O78" i="63"/>
  <c r="M78" i="63"/>
  <c r="N78" i="63" s="1"/>
  <c r="P78" i="63"/>
  <c r="X78" i="63"/>
  <c r="V78" i="63"/>
  <c r="W78" i="63" s="1"/>
  <c r="Y78" i="63"/>
  <c r="AH77" i="63"/>
  <c r="AG77" i="63"/>
  <c r="AE77" i="63"/>
  <c r="AF77" i="63" s="1"/>
  <c r="AP83" i="63"/>
  <c r="AN83" i="63"/>
  <c r="AO83" i="63" s="1"/>
  <c r="AQ83" i="63"/>
  <c r="P79" i="63"/>
  <c r="O79" i="63"/>
  <c r="M79" i="63"/>
  <c r="N79" i="63" s="1"/>
  <c r="P95" i="63"/>
  <c r="O95" i="63"/>
  <c r="M95" i="63"/>
  <c r="N95" i="63" s="1"/>
  <c r="X87" i="63"/>
  <c r="V87" i="63"/>
  <c r="W87" i="63" s="1"/>
  <c r="Y87" i="63"/>
  <c r="AG72" i="63"/>
  <c r="AE72" i="63"/>
  <c r="AF72" i="63" s="1"/>
  <c r="AH72" i="63"/>
  <c r="AG88" i="63"/>
  <c r="AE88" i="63"/>
  <c r="AF88" i="63" s="1"/>
  <c r="AH88" i="63"/>
  <c r="AQ70" i="63"/>
  <c r="AP70" i="63"/>
  <c r="AN70" i="63"/>
  <c r="AO70" i="63" s="1"/>
  <c r="AQ84" i="63"/>
  <c r="AP84" i="63"/>
  <c r="AN84" i="63"/>
  <c r="AO84" i="63" s="1"/>
  <c r="AZ70" i="63"/>
  <c r="AY70" i="63"/>
  <c r="AW70" i="63"/>
  <c r="AX70" i="63" s="1"/>
  <c r="P83" i="63"/>
  <c r="O83" i="63"/>
  <c r="M83" i="63"/>
  <c r="N83" i="63" s="1"/>
  <c r="Y69" i="63"/>
  <c r="X69" i="63"/>
  <c r="V69" i="63"/>
  <c r="W69" i="63" s="1"/>
  <c r="Y80" i="63"/>
  <c r="X80" i="63"/>
  <c r="V80" i="63"/>
  <c r="W80" i="63" s="1"/>
  <c r="Y90" i="63"/>
  <c r="X90" i="63"/>
  <c r="V90" i="63"/>
  <c r="W90" i="63" s="1"/>
  <c r="AH78" i="63"/>
  <c r="AG78" i="63"/>
  <c r="AE78" i="63"/>
  <c r="AF78" i="63" s="1"/>
  <c r="AH95" i="63"/>
  <c r="AG95" i="63"/>
  <c r="AE95" i="63"/>
  <c r="AF95" i="63" s="1"/>
  <c r="AP87" i="63"/>
  <c r="AN87" i="63"/>
  <c r="AO87" i="63" s="1"/>
  <c r="AQ87" i="63"/>
  <c r="AZ75" i="63"/>
  <c r="AY75" i="63"/>
  <c r="AW75" i="63"/>
  <c r="AX75" i="63" s="1"/>
  <c r="O80" i="63"/>
  <c r="M80" i="63"/>
  <c r="N80" i="63" s="1"/>
  <c r="P80" i="63"/>
  <c r="O96" i="63"/>
  <c r="M96" i="63"/>
  <c r="N96" i="63" s="1"/>
  <c r="P96" i="63"/>
  <c r="Y93" i="63"/>
  <c r="X93" i="63"/>
  <c r="V93" i="63"/>
  <c r="W93" i="63" s="1"/>
  <c r="AG76" i="63"/>
  <c r="AE76" i="63"/>
  <c r="AF76" i="63" s="1"/>
  <c r="AH76" i="63"/>
  <c r="AG92" i="63"/>
  <c r="AE92" i="63"/>
  <c r="AF92" i="63" s="1"/>
  <c r="AH92" i="63"/>
  <c r="AQ77" i="63"/>
  <c r="AP77" i="63"/>
  <c r="AN77" i="63"/>
  <c r="AO77" i="63" s="1"/>
  <c r="AQ88" i="63"/>
  <c r="AP88" i="63"/>
  <c r="AN88" i="63"/>
  <c r="AO88" i="63" s="1"/>
  <c r="AY72" i="63"/>
  <c r="AW72" i="63"/>
  <c r="AX72" i="63" s="1"/>
  <c r="AZ72" i="63"/>
  <c r="Y76" i="63"/>
  <c r="X76" i="63"/>
  <c r="V76" i="63"/>
  <c r="W76" i="63" s="1"/>
  <c r="AG82" i="63"/>
  <c r="AE82" i="63"/>
  <c r="AF82" i="63" s="1"/>
  <c r="AH82" i="63"/>
  <c r="AZ73" i="63"/>
  <c r="AY73" i="63"/>
  <c r="AW73" i="63"/>
  <c r="AX73" i="63" s="1"/>
  <c r="P94" i="63"/>
  <c r="O94" i="63"/>
  <c r="M94" i="63"/>
  <c r="N94" i="63" s="1"/>
  <c r="AZ89" i="63"/>
  <c r="AY89" i="63"/>
  <c r="AW89" i="63"/>
  <c r="AX89" i="63" s="1"/>
  <c r="BI75" i="63"/>
  <c r="BH75" i="63"/>
  <c r="BF75" i="63"/>
  <c r="BG75" i="63" s="1"/>
  <c r="BI91" i="63"/>
  <c r="BH91" i="63"/>
  <c r="BF91" i="63"/>
  <c r="BG91" i="63" s="1"/>
  <c r="BR78" i="63"/>
  <c r="BQ78" i="63"/>
  <c r="BO78" i="63"/>
  <c r="BP78" i="63" s="1"/>
  <c r="BQ94" i="63"/>
  <c r="BO94" i="63"/>
  <c r="BP94" i="63" s="1"/>
  <c r="BR94" i="63"/>
  <c r="CA73" i="63"/>
  <c r="BZ73" i="63"/>
  <c r="BX73" i="63"/>
  <c r="BY73" i="63" s="1"/>
  <c r="CA89" i="63"/>
  <c r="BZ89" i="63"/>
  <c r="BX89" i="63"/>
  <c r="BY89" i="63" s="1"/>
  <c r="CJ74" i="63"/>
  <c r="CI74" i="63"/>
  <c r="CG74" i="63"/>
  <c r="CH74" i="63" s="1"/>
  <c r="CI90" i="63"/>
  <c r="CG90" i="63"/>
  <c r="CH90" i="63" s="1"/>
  <c r="CJ90" i="63"/>
  <c r="AY84" i="63"/>
  <c r="AW84" i="63"/>
  <c r="AX84" i="63" s="1"/>
  <c r="AZ84" i="63"/>
  <c r="BI70" i="63"/>
  <c r="BH70" i="63"/>
  <c r="BF70" i="63"/>
  <c r="BG70" i="63" s="1"/>
  <c r="BH86" i="63"/>
  <c r="BF86" i="63"/>
  <c r="BG86" i="63" s="1"/>
  <c r="BI86" i="63"/>
  <c r="BR72" i="63"/>
  <c r="BQ72" i="63"/>
  <c r="BO72" i="63"/>
  <c r="BP72" i="63" s="1"/>
  <c r="BR88" i="63"/>
  <c r="BQ88" i="63"/>
  <c r="BO88" i="63"/>
  <c r="BP88" i="63" s="1"/>
  <c r="CA78" i="63"/>
  <c r="BZ78" i="63"/>
  <c r="BX78" i="63"/>
  <c r="BY78" i="63" s="1"/>
  <c r="CA98" i="63"/>
  <c r="BZ98" i="63"/>
  <c r="BX98" i="63"/>
  <c r="BY98" i="63" s="1"/>
  <c r="CJ84" i="63"/>
  <c r="CI84" i="63"/>
  <c r="CG84" i="63"/>
  <c r="CH84" i="63" s="1"/>
  <c r="AP91" i="63"/>
  <c r="AN91" i="63"/>
  <c r="AO91" i="63" s="1"/>
  <c r="AQ91" i="63"/>
  <c r="AY82" i="63"/>
  <c r="AW82" i="63"/>
  <c r="AX82" i="63" s="1"/>
  <c r="AZ82" i="63"/>
  <c r="AZ98" i="63"/>
  <c r="AY98" i="63"/>
  <c r="AW98" i="63"/>
  <c r="AX98" i="63" s="1"/>
  <c r="BH84" i="63"/>
  <c r="BF84" i="63"/>
  <c r="BG84" i="63" s="1"/>
  <c r="BI84" i="63"/>
  <c r="BR70" i="63"/>
  <c r="BQ70" i="63"/>
  <c r="BO70" i="63"/>
  <c r="BP70" i="63" s="1"/>
  <c r="BR86" i="63"/>
  <c r="BQ86" i="63"/>
  <c r="BO86" i="63"/>
  <c r="BP86" i="63" s="1"/>
  <c r="BR97" i="63"/>
  <c r="BQ97" i="63"/>
  <c r="BO97" i="63"/>
  <c r="BP97" i="63" s="1"/>
  <c r="CA81" i="63"/>
  <c r="BZ81" i="63"/>
  <c r="BX81" i="63"/>
  <c r="BY81" i="63" s="1"/>
  <c r="CA94" i="63"/>
  <c r="BZ94" i="63"/>
  <c r="BX94" i="63"/>
  <c r="BY94" i="63" s="1"/>
  <c r="CJ82" i="63"/>
  <c r="CI82" i="63"/>
  <c r="CG82" i="63"/>
  <c r="CH82" i="63" s="1"/>
  <c r="CJ93" i="63"/>
  <c r="CI93" i="63"/>
  <c r="CG93" i="63"/>
  <c r="CH93" i="63" s="1"/>
  <c r="AZ91" i="63"/>
  <c r="AY91" i="63"/>
  <c r="AW91" i="63"/>
  <c r="AX91" i="63" s="1"/>
  <c r="BI77" i="63"/>
  <c r="BH77" i="63"/>
  <c r="BF77" i="63"/>
  <c r="BG77" i="63" s="1"/>
  <c r="BI93" i="63"/>
  <c r="BH93" i="63"/>
  <c r="BF93" i="63"/>
  <c r="BG93" i="63" s="1"/>
  <c r="BR80" i="63"/>
  <c r="BQ80" i="63"/>
  <c r="BO80" i="63"/>
  <c r="BP80" i="63" s="1"/>
  <c r="CA70" i="63"/>
  <c r="BZ70" i="63"/>
  <c r="BX70" i="63"/>
  <c r="BY70" i="63" s="1"/>
  <c r="CA86" i="63"/>
  <c r="BZ86" i="63"/>
  <c r="BX86" i="63"/>
  <c r="BY86" i="63" s="1"/>
  <c r="CJ76" i="63"/>
  <c r="CI76" i="63"/>
  <c r="CG76" i="63"/>
  <c r="CH76" i="63" s="1"/>
  <c r="CJ96" i="63"/>
  <c r="CI96" i="63"/>
  <c r="CG96" i="63"/>
  <c r="CH96" i="63" s="1"/>
  <c r="V70" i="58"/>
  <c r="V71" i="58" s="1"/>
  <c r="O79" i="59"/>
  <c r="P79" i="59"/>
  <c r="M79" i="59"/>
  <c r="N79" i="59" s="1"/>
  <c r="P91" i="59"/>
  <c r="O91" i="59"/>
  <c r="M91" i="59"/>
  <c r="N91" i="59" s="1"/>
  <c r="P95" i="59"/>
  <c r="O95" i="59"/>
  <c r="M95" i="59"/>
  <c r="N95" i="59" s="1"/>
  <c r="Y69" i="59"/>
  <c r="X69" i="59"/>
  <c r="V69" i="59"/>
  <c r="AH73" i="59"/>
  <c r="AG73" i="59"/>
  <c r="AE73" i="59"/>
  <c r="AF73" i="59" s="1"/>
  <c r="AH77" i="59"/>
  <c r="AG77" i="59"/>
  <c r="AE77" i="59"/>
  <c r="AF77" i="59" s="1"/>
  <c r="AH81" i="59"/>
  <c r="AE81" i="59"/>
  <c r="AF81" i="59" s="1"/>
  <c r="AG81" i="59"/>
  <c r="AH85" i="59"/>
  <c r="AG85" i="59"/>
  <c r="AE85" i="59"/>
  <c r="AF85" i="59" s="1"/>
  <c r="AH89" i="59"/>
  <c r="AG89" i="59"/>
  <c r="AE89" i="59"/>
  <c r="AF89" i="59" s="1"/>
  <c r="AH93" i="59"/>
  <c r="AG93" i="59"/>
  <c r="AE93" i="59"/>
  <c r="AF93" i="59" s="1"/>
  <c r="AH97" i="59"/>
  <c r="AG97" i="59"/>
  <c r="AE97" i="59"/>
  <c r="AF97" i="59" s="1"/>
  <c r="BI70" i="59"/>
  <c r="BF70" i="59"/>
  <c r="BG70" i="59" s="1"/>
  <c r="BH70" i="59"/>
  <c r="BO70" i="59"/>
  <c r="BP70" i="59" s="1"/>
  <c r="BQ70" i="59"/>
  <c r="BR70" i="59"/>
  <c r="BI72" i="59"/>
  <c r="BH72" i="59"/>
  <c r="BF72" i="59"/>
  <c r="BG72" i="59" s="1"/>
  <c r="O69" i="59"/>
  <c r="P69" i="59"/>
  <c r="M69" i="59"/>
  <c r="X72" i="59"/>
  <c r="Y72" i="59"/>
  <c r="V79" i="59"/>
  <c r="W79" i="59" s="1"/>
  <c r="X79" i="59"/>
  <c r="Y79" i="59"/>
  <c r="V83" i="59"/>
  <c r="W83" i="59" s="1"/>
  <c r="Y83" i="59"/>
  <c r="X83" i="59"/>
  <c r="V87" i="59"/>
  <c r="W87" i="59" s="1"/>
  <c r="Y87" i="59"/>
  <c r="X87" i="59"/>
  <c r="V91" i="59"/>
  <c r="W91" i="59" s="1"/>
  <c r="Y91" i="59"/>
  <c r="X91" i="59"/>
  <c r="V95" i="59"/>
  <c r="W95" i="59" s="1"/>
  <c r="Y95" i="59"/>
  <c r="X95" i="59"/>
  <c r="AE69" i="59"/>
  <c r="AF69" i="59" s="1"/>
  <c r="AG69" i="59"/>
  <c r="AH69" i="59"/>
  <c r="BI82" i="59"/>
  <c r="BF82" i="59"/>
  <c r="BG82" i="59" s="1"/>
  <c r="BH82" i="59"/>
  <c r="O82" i="59"/>
  <c r="P82" i="59"/>
  <c r="M82" i="59"/>
  <c r="N82" i="59" s="1"/>
  <c r="O74" i="59"/>
  <c r="P74" i="59"/>
  <c r="O83" i="59"/>
  <c r="P83" i="59"/>
  <c r="M83" i="59"/>
  <c r="N83" i="59" s="1"/>
  <c r="AP70" i="59"/>
  <c r="AQ70" i="59"/>
  <c r="AN70" i="59"/>
  <c r="AQ74" i="59"/>
  <c r="AP74" i="59"/>
  <c r="AN74" i="59"/>
  <c r="AO74" i="59" s="1"/>
  <c r="AQ78" i="59"/>
  <c r="AP78" i="59"/>
  <c r="AN78" i="59"/>
  <c r="AO78" i="59" s="1"/>
  <c r="AQ82" i="59"/>
  <c r="AP82" i="59"/>
  <c r="AN82" i="59"/>
  <c r="AO82" i="59" s="1"/>
  <c r="AQ86" i="59"/>
  <c r="AN86" i="59"/>
  <c r="AO86" i="59" s="1"/>
  <c r="AP86" i="59"/>
  <c r="AQ90" i="59"/>
  <c r="AN90" i="59"/>
  <c r="AO90" i="59" s="1"/>
  <c r="AP90" i="59"/>
  <c r="AQ94" i="59"/>
  <c r="AP94" i="59"/>
  <c r="AN94" i="59"/>
  <c r="AO94" i="59" s="1"/>
  <c r="AP98" i="59"/>
  <c r="AQ98" i="59"/>
  <c r="AN98" i="59"/>
  <c r="AO98" i="59" s="1"/>
  <c r="AZ72" i="59"/>
  <c r="AY72" i="59"/>
  <c r="AW72" i="59"/>
  <c r="AX72" i="59" s="1"/>
  <c r="AZ76" i="59"/>
  <c r="AY76" i="59"/>
  <c r="AW76" i="59"/>
  <c r="AX76" i="59" s="1"/>
  <c r="AZ80" i="59"/>
  <c r="AY80" i="59"/>
  <c r="AW80" i="59"/>
  <c r="AX80" i="59" s="1"/>
  <c r="AZ84" i="59"/>
  <c r="AY84" i="59"/>
  <c r="AW84" i="59"/>
  <c r="AX84" i="59" s="1"/>
  <c r="BI84" i="59"/>
  <c r="BH84" i="59"/>
  <c r="BF84" i="59"/>
  <c r="BG84" i="59" s="1"/>
  <c r="BI75" i="59"/>
  <c r="BF75" i="59"/>
  <c r="BG75" i="59" s="1"/>
  <c r="BH75" i="59"/>
  <c r="BI91" i="59"/>
  <c r="BF91" i="59"/>
  <c r="BG91" i="59" s="1"/>
  <c r="BH91" i="59"/>
  <c r="BQ74" i="59"/>
  <c r="BO74" i="59"/>
  <c r="BP74" i="59" s="1"/>
  <c r="BR74" i="59"/>
  <c r="BQ78" i="59"/>
  <c r="BO78" i="59"/>
  <c r="BP78" i="59" s="1"/>
  <c r="BR78" i="59"/>
  <c r="BQ82" i="59"/>
  <c r="BO82" i="59"/>
  <c r="BP82" i="59" s="1"/>
  <c r="BR82" i="59"/>
  <c r="BQ86" i="59"/>
  <c r="BO86" i="59"/>
  <c r="BP86" i="59" s="1"/>
  <c r="BR86" i="59"/>
  <c r="BQ90" i="59"/>
  <c r="BO90" i="59"/>
  <c r="BP90" i="59" s="1"/>
  <c r="BR90" i="59"/>
  <c r="BQ94" i="59"/>
  <c r="BO94" i="59"/>
  <c r="BP94" i="59" s="1"/>
  <c r="BR94" i="59"/>
  <c r="BQ98" i="59"/>
  <c r="BO98" i="59"/>
  <c r="BP98" i="59" s="1"/>
  <c r="BR98" i="59"/>
  <c r="BZ72" i="59"/>
  <c r="BX72" i="59"/>
  <c r="BY72" i="59" s="1"/>
  <c r="CA72" i="59"/>
  <c r="BZ76" i="59"/>
  <c r="BX76" i="59"/>
  <c r="BY76" i="59" s="1"/>
  <c r="CA76" i="59"/>
  <c r="BZ80" i="59"/>
  <c r="BX80" i="59"/>
  <c r="BY80" i="59" s="1"/>
  <c r="CA80" i="59"/>
  <c r="BZ84" i="59"/>
  <c r="BX84" i="59"/>
  <c r="BY84" i="59" s="1"/>
  <c r="CA84" i="59"/>
  <c r="BZ88" i="59"/>
  <c r="BX88" i="59"/>
  <c r="BY88" i="59" s="1"/>
  <c r="CA88" i="59"/>
  <c r="CA92" i="59"/>
  <c r="BZ92" i="59"/>
  <c r="BX92" i="59"/>
  <c r="BY92" i="59" s="1"/>
  <c r="CA96" i="59"/>
  <c r="BZ96" i="59"/>
  <c r="BX96" i="59"/>
  <c r="BY96" i="59" s="1"/>
  <c r="AY91" i="59"/>
  <c r="AZ91" i="59"/>
  <c r="AW91" i="59"/>
  <c r="AX91" i="59" s="1"/>
  <c r="AY95" i="59"/>
  <c r="AZ95" i="59"/>
  <c r="AW95" i="59"/>
  <c r="AX95" i="59" s="1"/>
  <c r="BI69" i="59"/>
  <c r="BH69" i="59"/>
  <c r="BF69" i="59"/>
  <c r="BI85" i="59"/>
  <c r="BH85" i="59"/>
  <c r="BF85" i="59"/>
  <c r="BG85" i="59" s="1"/>
  <c r="BO71" i="59"/>
  <c r="BP71" i="59" s="1"/>
  <c r="BR71" i="59"/>
  <c r="BQ71" i="59"/>
  <c r="P83" i="62"/>
  <c r="O83" i="62"/>
  <c r="M83" i="62"/>
  <c r="N83" i="62" s="1"/>
  <c r="X69" i="62"/>
  <c r="V69" i="62"/>
  <c r="W69" i="62" s="1"/>
  <c r="X83" i="62"/>
  <c r="V83" i="62"/>
  <c r="W83" i="62" s="1"/>
  <c r="Y83" i="62"/>
  <c r="AG69" i="62"/>
  <c r="AE69" i="62"/>
  <c r="AF69" i="62" s="1"/>
  <c r="AH85" i="62"/>
  <c r="AG85" i="62"/>
  <c r="AE85" i="62"/>
  <c r="AF85" i="62" s="1"/>
  <c r="AQ76" i="62"/>
  <c r="AP76" i="62"/>
  <c r="AN76" i="62"/>
  <c r="AO76" i="62" s="1"/>
  <c r="AQ92" i="62"/>
  <c r="AP92" i="62"/>
  <c r="AN92" i="62"/>
  <c r="AO92" i="62" s="1"/>
  <c r="AZ78" i="62"/>
  <c r="AY78" i="62"/>
  <c r="AW78" i="62"/>
  <c r="AX78" i="62" s="1"/>
  <c r="AZ94" i="62"/>
  <c r="AY94" i="62"/>
  <c r="AW94" i="62"/>
  <c r="AX94" i="62" s="1"/>
  <c r="BI83" i="62"/>
  <c r="BH83" i="62"/>
  <c r="BF83" i="62"/>
  <c r="BG83" i="62" s="1"/>
  <c r="BQ69" i="62"/>
  <c r="BO69" i="62"/>
  <c r="BP69" i="62" s="1"/>
  <c r="BR85" i="62"/>
  <c r="BQ85" i="62"/>
  <c r="BO85" i="62"/>
  <c r="BP85" i="62" s="1"/>
  <c r="P73" i="62"/>
  <c r="O73" i="62"/>
  <c r="M73" i="62"/>
  <c r="N73" i="62" s="1"/>
  <c r="P89" i="62"/>
  <c r="O89" i="62"/>
  <c r="M89" i="62"/>
  <c r="N89" i="62" s="1"/>
  <c r="Y77" i="62"/>
  <c r="X77" i="62"/>
  <c r="V77" i="62"/>
  <c r="W77" i="62" s="1"/>
  <c r="Y93" i="62"/>
  <c r="X93" i="62"/>
  <c r="V93" i="62"/>
  <c r="W93" i="62" s="1"/>
  <c r="AH79" i="62"/>
  <c r="AG79" i="62"/>
  <c r="AE79" i="62"/>
  <c r="AF79" i="62" s="1"/>
  <c r="AH95" i="62"/>
  <c r="AG95" i="62"/>
  <c r="AE95" i="62"/>
  <c r="AF95" i="62" s="1"/>
  <c r="AQ79" i="62"/>
  <c r="AP79" i="62"/>
  <c r="AN79" i="62"/>
  <c r="AO79" i="62" s="1"/>
  <c r="AQ95" i="62"/>
  <c r="AP95" i="62"/>
  <c r="AN95" i="62"/>
  <c r="AO95" i="62" s="1"/>
  <c r="AZ79" i="62"/>
  <c r="AY79" i="62"/>
  <c r="AW79" i="62"/>
  <c r="AX79" i="62" s="1"/>
  <c r="AZ95" i="62"/>
  <c r="AY95" i="62"/>
  <c r="AW95" i="62"/>
  <c r="AX95" i="62" s="1"/>
  <c r="BI79" i="62"/>
  <c r="BH79" i="62"/>
  <c r="BF79" i="62"/>
  <c r="BG79" i="62" s="1"/>
  <c r="BI95" i="62"/>
  <c r="BH95" i="62"/>
  <c r="BF95" i="62"/>
  <c r="BG95" i="62" s="1"/>
  <c r="BQ80" i="62"/>
  <c r="BO80" i="62"/>
  <c r="BP80" i="62" s="1"/>
  <c r="BR80" i="62"/>
  <c r="BR96" i="62"/>
  <c r="BQ96" i="62"/>
  <c r="BO96" i="62"/>
  <c r="BP96" i="62" s="1"/>
  <c r="P79" i="62"/>
  <c r="O79" i="62"/>
  <c r="M79" i="62"/>
  <c r="N79" i="62" s="1"/>
  <c r="P95" i="62"/>
  <c r="O95" i="62"/>
  <c r="M95" i="62"/>
  <c r="N95" i="62" s="1"/>
  <c r="Y82" i="62"/>
  <c r="X82" i="62"/>
  <c r="V82" i="62"/>
  <c r="W82" i="62" s="1"/>
  <c r="Y98" i="62"/>
  <c r="X98" i="62"/>
  <c r="V98" i="62"/>
  <c r="W98" i="62" s="1"/>
  <c r="AH84" i="62"/>
  <c r="AG84" i="62"/>
  <c r="AE84" i="62"/>
  <c r="AF84" i="62" s="1"/>
  <c r="AQ70" i="62"/>
  <c r="AP70" i="62"/>
  <c r="AN70" i="62"/>
  <c r="AO70" i="62" s="1"/>
  <c r="AQ86" i="62"/>
  <c r="AP86" i="62"/>
  <c r="AN86" i="62"/>
  <c r="AO86" i="62" s="1"/>
  <c r="AZ75" i="62"/>
  <c r="AY75" i="62"/>
  <c r="AW75" i="62"/>
  <c r="AX75" i="62" s="1"/>
  <c r="AZ91" i="62"/>
  <c r="AY91" i="62"/>
  <c r="AW91" i="62"/>
  <c r="AX91" i="62" s="1"/>
  <c r="BI77" i="62"/>
  <c r="BH77" i="62"/>
  <c r="BF77" i="62"/>
  <c r="BG77" i="62" s="1"/>
  <c r="BI93" i="62"/>
  <c r="BH93" i="62"/>
  <c r="BF93" i="62"/>
  <c r="BG93" i="62" s="1"/>
  <c r="BR81" i="62"/>
  <c r="BQ81" i="62"/>
  <c r="BO81" i="62"/>
  <c r="BP81" i="62" s="1"/>
  <c r="O69" i="62"/>
  <c r="M69" i="62"/>
  <c r="N69" i="62" s="1"/>
  <c r="P85" i="62"/>
  <c r="O85" i="62"/>
  <c r="M85" i="62"/>
  <c r="N85" i="62" s="1"/>
  <c r="X71" i="62"/>
  <c r="V71" i="62"/>
  <c r="W71" i="62" s="1"/>
  <c r="Y71" i="62"/>
  <c r="X87" i="62"/>
  <c r="V87" i="62"/>
  <c r="W87" i="62" s="1"/>
  <c r="Y87" i="62"/>
  <c r="AH73" i="62"/>
  <c r="AG73" i="62"/>
  <c r="AE73" i="62"/>
  <c r="AF73" i="62" s="1"/>
  <c r="AH89" i="62"/>
  <c r="AG89" i="62"/>
  <c r="AE89" i="62"/>
  <c r="AF89" i="62" s="1"/>
  <c r="AQ73" i="62"/>
  <c r="AP73" i="62"/>
  <c r="AN73" i="62"/>
  <c r="AO73" i="62" s="1"/>
  <c r="AQ89" i="62"/>
  <c r="AP89" i="62"/>
  <c r="AN89" i="62"/>
  <c r="AO89" i="62" s="1"/>
  <c r="AZ73" i="62"/>
  <c r="AY73" i="62"/>
  <c r="AW73" i="62"/>
  <c r="AX73" i="62" s="1"/>
  <c r="AZ89" i="62"/>
  <c r="AY89" i="62"/>
  <c r="AW89" i="62"/>
  <c r="AX89" i="62" s="1"/>
  <c r="BI73" i="62"/>
  <c r="BH73" i="62"/>
  <c r="BF73" i="62"/>
  <c r="BG73" i="62" s="1"/>
  <c r="BI89" i="62"/>
  <c r="BH89" i="62"/>
  <c r="BF89" i="62"/>
  <c r="BG89" i="62" s="1"/>
  <c r="BQ76" i="62"/>
  <c r="BO76" i="62"/>
  <c r="BP76" i="62" s="1"/>
  <c r="BR76" i="62"/>
  <c r="BQ92" i="62"/>
  <c r="BO92" i="62"/>
  <c r="BP92" i="62" s="1"/>
  <c r="BR92" i="62"/>
  <c r="CA75" i="62"/>
  <c r="BZ75" i="62"/>
  <c r="BX75" i="62"/>
  <c r="BY75" i="62" s="1"/>
  <c r="BZ85" i="62"/>
  <c r="BX85" i="62"/>
  <c r="BY85" i="62" s="1"/>
  <c r="CA85" i="62"/>
  <c r="CA96" i="62"/>
  <c r="BZ96" i="62"/>
  <c r="BX96" i="62"/>
  <c r="BY96" i="62" s="1"/>
  <c r="BZ94" i="62"/>
  <c r="BX94" i="62"/>
  <c r="BY94" i="62" s="1"/>
  <c r="CA94" i="62"/>
  <c r="CA79" i="62"/>
  <c r="BZ79" i="62"/>
  <c r="BX79" i="62"/>
  <c r="BY79" i="62" s="1"/>
  <c r="CA89" i="62"/>
  <c r="BZ89" i="62"/>
  <c r="BX89" i="62"/>
  <c r="BY89" i="62" s="1"/>
  <c r="BZ82" i="62"/>
  <c r="BX82" i="62"/>
  <c r="BY82" i="62" s="1"/>
  <c r="CA82" i="62"/>
  <c r="CA74" i="62"/>
  <c r="BZ74" i="62"/>
  <c r="BX74" i="62"/>
  <c r="BY74" i="62" s="1"/>
  <c r="P74" i="49"/>
  <c r="Y91" i="49"/>
  <c r="P79" i="49"/>
  <c r="AH77" i="49"/>
  <c r="AZ70" i="49"/>
  <c r="BI78" i="49"/>
  <c r="Y84" i="49"/>
  <c r="AH80" i="49"/>
  <c r="AO96" i="49"/>
  <c r="AQ96" i="49"/>
  <c r="BI79" i="49"/>
  <c r="Y71" i="49"/>
  <c r="Y87" i="49"/>
  <c r="AH71" i="49"/>
  <c r="AH98" i="49"/>
  <c r="AQ94" i="49"/>
  <c r="AZ87" i="49"/>
  <c r="BI76" i="49"/>
  <c r="BI92" i="49"/>
  <c r="P92" i="49"/>
  <c r="AH96" i="49"/>
  <c r="AZ72" i="49"/>
  <c r="BI81" i="49"/>
  <c r="BR76" i="49"/>
  <c r="P96" i="49"/>
  <c r="P83" i="49"/>
  <c r="Y95" i="49"/>
  <c r="AZ93" i="49"/>
  <c r="BI86" i="49"/>
  <c r="BR78" i="49"/>
  <c r="P86" i="49"/>
  <c r="Y92" i="49"/>
  <c r="P87" i="49"/>
  <c r="Y73" i="49"/>
  <c r="AH73" i="49"/>
  <c r="AQ82" i="49"/>
  <c r="Y83" i="49"/>
  <c r="AQ72" i="49"/>
  <c r="AH85" i="49"/>
  <c r="AH97" i="49"/>
  <c r="AQ77" i="49"/>
  <c r="AQ85" i="49"/>
  <c r="AQ93" i="49"/>
  <c r="AZ73" i="49"/>
  <c r="AZ82" i="49"/>
  <c r="AZ90" i="49"/>
  <c r="AZ98" i="49"/>
  <c r="CA73" i="49"/>
  <c r="CA81" i="49"/>
  <c r="CA89" i="49"/>
  <c r="CA97" i="49"/>
  <c r="BR72" i="49"/>
  <c r="BR84" i="49"/>
  <c r="BR92" i="49"/>
  <c r="BR73" i="49"/>
  <c r="BR81" i="49"/>
  <c r="BR89" i="49"/>
  <c r="BR98" i="49"/>
  <c r="CA76" i="49"/>
  <c r="CA84" i="49"/>
  <c r="CA92" i="49"/>
  <c r="P80" i="49"/>
  <c r="Y98" i="49"/>
  <c r="P85" i="49"/>
  <c r="AH89" i="49"/>
  <c r="AZ78" i="49"/>
  <c r="Y90" i="49"/>
  <c r="AH90" i="49"/>
  <c r="AZ76" i="49"/>
  <c r="BI87" i="49"/>
  <c r="Y72" i="49"/>
  <c r="Y88" i="49"/>
  <c r="AH72" i="49"/>
  <c r="AQ70" i="49"/>
  <c r="AZ91" i="49"/>
  <c r="BI80" i="49"/>
  <c r="BI97" i="49"/>
  <c r="Y82" i="49"/>
  <c r="AQ76" i="49"/>
  <c r="AZ80" i="49"/>
  <c r="BI85" i="49"/>
  <c r="P72" i="49"/>
  <c r="Y75" i="49"/>
  <c r="P91" i="49"/>
  <c r="AH70" i="49"/>
  <c r="BI70" i="49"/>
  <c r="BI90" i="49"/>
  <c r="P70" i="49"/>
  <c r="P94" i="49"/>
  <c r="P73" i="49"/>
  <c r="P89" i="49"/>
  <c r="Y79" i="49"/>
  <c r="AH84" i="49"/>
  <c r="AQ98" i="49"/>
  <c r="BI83" i="49"/>
  <c r="AH91" i="49"/>
  <c r="AQ71" i="49"/>
  <c r="AQ79" i="49"/>
  <c r="AQ87" i="49"/>
  <c r="AQ95" i="49"/>
  <c r="AZ75" i="49"/>
  <c r="AZ84" i="49"/>
  <c r="AZ92" i="49"/>
  <c r="BR95" i="49"/>
  <c r="CA75" i="49"/>
  <c r="CA83" i="49"/>
  <c r="CA91" i="49"/>
  <c r="BI96" i="49"/>
  <c r="BR86" i="49"/>
  <c r="BR94" i="49"/>
  <c r="BR75" i="49"/>
  <c r="BR83" i="49"/>
  <c r="BR91" i="49"/>
  <c r="CA70" i="49"/>
  <c r="CA78" i="49"/>
  <c r="CA86" i="49"/>
  <c r="CA94" i="49"/>
  <c r="P88" i="49"/>
  <c r="AH75" i="49"/>
  <c r="P93" i="49"/>
  <c r="AZ85" i="49"/>
  <c r="Y74" i="49"/>
  <c r="Y93" i="49"/>
  <c r="AQ80" i="49"/>
  <c r="BI71" i="49"/>
  <c r="BI91" i="49"/>
  <c r="Y78" i="49"/>
  <c r="Y94" i="49"/>
  <c r="AH79" i="49"/>
  <c r="AQ78" i="49"/>
  <c r="AZ74" i="49"/>
  <c r="AZ95" i="49"/>
  <c r="BI84" i="49"/>
  <c r="BR74" i="49"/>
  <c r="AH88" i="49"/>
  <c r="AQ84" i="49"/>
  <c r="BI73" i="49"/>
  <c r="BI89" i="49"/>
  <c r="P78" i="49"/>
  <c r="AH81" i="49"/>
  <c r="Y70" i="49"/>
  <c r="AH94" i="49"/>
  <c r="BI74" i="49"/>
  <c r="BI94" i="49"/>
  <c r="P76" i="49"/>
  <c r="Y76" i="49"/>
  <c r="P77" i="49"/>
  <c r="P95" i="49"/>
  <c r="Y80" i="49"/>
  <c r="AH87" i="49"/>
  <c r="AZ97" i="49"/>
  <c r="AH78" i="49"/>
  <c r="AH76" i="49"/>
  <c r="AH92" i="49"/>
  <c r="AQ73" i="49"/>
  <c r="AQ81" i="49"/>
  <c r="AQ89" i="49"/>
  <c r="AQ97" i="49"/>
  <c r="AZ77" i="49"/>
  <c r="AZ86" i="49"/>
  <c r="AZ94" i="49"/>
  <c r="BR97" i="49"/>
  <c r="CA77" i="49"/>
  <c r="CA85" i="49"/>
  <c r="CA93" i="49"/>
  <c r="BI98" i="49"/>
  <c r="BR80" i="49"/>
  <c r="BR88" i="49"/>
  <c r="BR77" i="49"/>
  <c r="BR85" i="49"/>
  <c r="BR93" i="49"/>
  <c r="CA72" i="49"/>
  <c r="CA80" i="49"/>
  <c r="CA88" i="49"/>
  <c r="CA96" i="49"/>
  <c r="P98" i="49"/>
  <c r="P71" i="49"/>
  <c r="Y86" i="49"/>
  <c r="AQ90" i="49"/>
  <c r="AZ89" i="49"/>
  <c r="Y77" i="49"/>
  <c r="AH74" i="49"/>
  <c r="AQ88" i="49"/>
  <c r="BI75" i="49"/>
  <c r="BI95" i="49"/>
  <c r="Y81" i="49"/>
  <c r="Y97" i="49"/>
  <c r="AH86" i="49"/>
  <c r="AQ86" i="49"/>
  <c r="AZ83" i="49"/>
  <c r="BI72" i="49"/>
  <c r="BI88" i="49"/>
  <c r="P82" i="49"/>
  <c r="AH93" i="49"/>
  <c r="AQ92" i="49"/>
  <c r="BI77" i="49"/>
  <c r="BI93" i="49"/>
  <c r="P90" i="49"/>
  <c r="P75" i="49"/>
  <c r="Y89" i="49"/>
  <c r="AZ81" i="49"/>
  <c r="BI82" i="49"/>
  <c r="BR71" i="49"/>
  <c r="P84" i="49"/>
  <c r="Y85" i="49"/>
  <c r="P81" i="49"/>
  <c r="P97" i="49"/>
  <c r="Y96" i="49"/>
  <c r="AQ74" i="49"/>
  <c r="AH83" i="49"/>
  <c r="AH82" i="49"/>
  <c r="AH95" i="49"/>
  <c r="AQ75" i="49"/>
  <c r="AQ83" i="49"/>
  <c r="AQ91" i="49"/>
  <c r="AZ71" i="49"/>
  <c r="AZ79" i="49"/>
  <c r="AZ88" i="49"/>
  <c r="AZ96" i="49"/>
  <c r="CA71" i="49"/>
  <c r="CA79" i="49"/>
  <c r="CA87" i="49"/>
  <c r="CA95" i="49"/>
  <c r="BR70" i="49"/>
  <c r="BR82" i="49"/>
  <c r="BR90" i="49"/>
  <c r="BR79" i="49"/>
  <c r="BR87" i="49"/>
  <c r="BR96" i="49"/>
  <c r="CA74" i="49"/>
  <c r="CA82" i="49"/>
  <c r="CA90" i="49"/>
  <c r="CA98" i="49"/>
  <c r="D88" i="59"/>
  <c r="E88" i="59" s="1"/>
  <c r="F88" i="59"/>
  <c r="G88" i="59"/>
  <c r="F73" i="59"/>
  <c r="G73" i="59"/>
  <c r="D89" i="59"/>
  <c r="E89" i="59" s="1"/>
  <c r="F89" i="59"/>
  <c r="G89" i="59"/>
  <c r="G74" i="59"/>
  <c r="F74" i="59"/>
  <c r="G71" i="59"/>
  <c r="F71" i="59"/>
  <c r="D78" i="59"/>
  <c r="E78" i="59" s="1"/>
  <c r="F78" i="59"/>
  <c r="G78" i="59"/>
  <c r="D91" i="59"/>
  <c r="E91" i="59" s="1"/>
  <c r="G91" i="59"/>
  <c r="F91" i="59"/>
  <c r="G70" i="50"/>
  <c r="G86" i="50"/>
  <c r="G82" i="50"/>
  <c r="G73" i="50"/>
  <c r="G94" i="50"/>
  <c r="G85" i="50"/>
  <c r="G76" i="50"/>
  <c r="G92" i="50"/>
  <c r="G79" i="51"/>
  <c r="G70" i="51"/>
  <c r="G91" i="51"/>
  <c r="G82" i="51"/>
  <c r="G73" i="51"/>
  <c r="G94" i="51"/>
  <c r="G84" i="51"/>
  <c r="G71" i="61"/>
  <c r="F71" i="61"/>
  <c r="G83" i="61"/>
  <c r="F83" i="61"/>
  <c r="F76" i="61"/>
  <c r="G76" i="61"/>
  <c r="G74" i="61"/>
  <c r="F74" i="61"/>
  <c r="F90" i="61"/>
  <c r="G90" i="61"/>
  <c r="G94" i="61"/>
  <c r="F94" i="61"/>
  <c r="G72" i="61"/>
  <c r="F72" i="61"/>
  <c r="G70" i="61"/>
  <c r="F70" i="61"/>
  <c r="G85" i="49"/>
  <c r="G95" i="49"/>
  <c r="G82" i="49"/>
  <c r="G71" i="49"/>
  <c r="G87" i="49"/>
  <c r="G76" i="49"/>
  <c r="G93" i="49"/>
  <c r="G83" i="60"/>
  <c r="G79" i="60"/>
  <c r="G91" i="60"/>
  <c r="G81" i="60"/>
  <c r="G70" i="60"/>
  <c r="G86" i="60"/>
  <c r="F72" i="59"/>
  <c r="G72" i="59"/>
  <c r="D92" i="59"/>
  <c r="E92" i="59" s="1"/>
  <c r="G92" i="59"/>
  <c r="F92" i="59"/>
  <c r="D77" i="59"/>
  <c r="E77" i="59" s="1"/>
  <c r="F77" i="59"/>
  <c r="G77" i="59"/>
  <c r="D93" i="59"/>
  <c r="E93" i="59" s="1"/>
  <c r="F93" i="59"/>
  <c r="G93" i="59"/>
  <c r="D82" i="59"/>
  <c r="E82" i="59" s="1"/>
  <c r="F82" i="59"/>
  <c r="G82" i="59"/>
  <c r="D83" i="59"/>
  <c r="E83" i="59" s="1"/>
  <c r="G83" i="59"/>
  <c r="F83" i="59"/>
  <c r="D90" i="59"/>
  <c r="E90" i="59" s="1"/>
  <c r="G90" i="59"/>
  <c r="F90" i="59"/>
  <c r="G76" i="59"/>
  <c r="F76" i="59"/>
  <c r="G91" i="50"/>
  <c r="G97" i="50"/>
  <c r="G87" i="50"/>
  <c r="G78" i="50"/>
  <c r="G90" i="50"/>
  <c r="G80" i="50"/>
  <c r="G96" i="50"/>
  <c r="G85" i="51"/>
  <c r="G75" i="51"/>
  <c r="G97" i="51"/>
  <c r="G87" i="51"/>
  <c r="G78" i="51"/>
  <c r="G72" i="51"/>
  <c r="G88" i="51"/>
  <c r="F79" i="61"/>
  <c r="G79" i="61"/>
  <c r="G73" i="61"/>
  <c r="F73" i="61"/>
  <c r="G93" i="61"/>
  <c r="F93" i="61"/>
  <c r="G86" i="61"/>
  <c r="F86" i="61"/>
  <c r="G75" i="61"/>
  <c r="F75" i="61"/>
  <c r="F96" i="61"/>
  <c r="G96" i="61"/>
  <c r="G95" i="61"/>
  <c r="F95" i="61"/>
  <c r="G69" i="61"/>
  <c r="F69" i="61"/>
  <c r="G73" i="49"/>
  <c r="G70" i="49"/>
  <c r="G86" i="49"/>
  <c r="G75" i="49"/>
  <c r="G92" i="49"/>
  <c r="G80" i="49"/>
  <c r="G90" i="49"/>
  <c r="G88" i="60"/>
  <c r="G84" i="60"/>
  <c r="G75" i="60"/>
  <c r="G96" i="60"/>
  <c r="G87" i="60"/>
  <c r="G74" i="60"/>
  <c r="G90" i="60"/>
  <c r="D80" i="59"/>
  <c r="E80" i="59" s="1"/>
  <c r="G80" i="59"/>
  <c r="F80" i="59"/>
  <c r="D96" i="59"/>
  <c r="E96" i="59" s="1"/>
  <c r="G96" i="59"/>
  <c r="F96" i="59"/>
  <c r="D81" i="59"/>
  <c r="E81" i="59" s="1"/>
  <c r="F81" i="59"/>
  <c r="G81" i="59"/>
  <c r="D97" i="59"/>
  <c r="E97" i="59" s="1"/>
  <c r="F97" i="59"/>
  <c r="G97" i="59"/>
  <c r="D94" i="59"/>
  <c r="E94" i="59" s="1"/>
  <c r="F94" i="59"/>
  <c r="G94" i="59"/>
  <c r="D95" i="59"/>
  <c r="E95" i="59" s="1"/>
  <c r="G95" i="59"/>
  <c r="F95" i="59"/>
  <c r="G75" i="59"/>
  <c r="F75" i="59"/>
  <c r="G75" i="50"/>
  <c r="G71" i="50"/>
  <c r="G93" i="50"/>
  <c r="G83" i="50"/>
  <c r="G74" i="50"/>
  <c r="G95" i="50"/>
  <c r="G84" i="50"/>
  <c r="G90" i="51"/>
  <c r="G81" i="51"/>
  <c r="G71" i="51"/>
  <c r="G93" i="51"/>
  <c r="G83" i="51"/>
  <c r="G76" i="51"/>
  <c r="G92" i="51"/>
  <c r="G80" i="61"/>
  <c r="F80" i="61"/>
  <c r="G91" i="61"/>
  <c r="F91" i="61"/>
  <c r="F82" i="61"/>
  <c r="G82" i="61"/>
  <c r="F78" i="61"/>
  <c r="G78" i="61"/>
  <c r="G77" i="61"/>
  <c r="F77" i="61"/>
  <c r="G85" i="61"/>
  <c r="F85" i="61"/>
  <c r="F87" i="61"/>
  <c r="G87" i="61"/>
  <c r="G81" i="49"/>
  <c r="G89" i="49"/>
  <c r="G74" i="49"/>
  <c r="G91" i="49"/>
  <c r="G79" i="49"/>
  <c r="G97" i="49"/>
  <c r="G84" i="49"/>
  <c r="G94" i="49"/>
  <c r="G72" i="60"/>
  <c r="G93" i="60"/>
  <c r="G89" i="60"/>
  <c r="G80" i="60"/>
  <c r="G71" i="60"/>
  <c r="G92" i="60"/>
  <c r="G78" i="60"/>
  <c r="G94" i="60"/>
  <c r="D79" i="59"/>
  <c r="E79" i="59" s="1"/>
  <c r="G79" i="59"/>
  <c r="F79" i="59"/>
  <c r="D84" i="59"/>
  <c r="E84" i="59" s="1"/>
  <c r="G84" i="59"/>
  <c r="F84" i="59"/>
  <c r="D69" i="59"/>
  <c r="D70" i="59" s="1"/>
  <c r="F69" i="59"/>
  <c r="G69" i="59"/>
  <c r="D85" i="59"/>
  <c r="E85" i="59" s="1"/>
  <c r="F85" i="59"/>
  <c r="G85" i="59"/>
  <c r="D86" i="59"/>
  <c r="E86" i="59" s="1"/>
  <c r="G86" i="59"/>
  <c r="F86" i="59"/>
  <c r="D98" i="59"/>
  <c r="E98" i="59" s="1"/>
  <c r="F98" i="59"/>
  <c r="G98" i="59"/>
  <c r="G70" i="59"/>
  <c r="F70" i="59"/>
  <c r="D87" i="59"/>
  <c r="E87" i="59" s="1"/>
  <c r="G87" i="59"/>
  <c r="F87" i="59"/>
  <c r="G81" i="50"/>
  <c r="G77" i="50"/>
  <c r="G98" i="50"/>
  <c r="G89" i="50"/>
  <c r="G79" i="50"/>
  <c r="G72" i="50"/>
  <c r="G88" i="50"/>
  <c r="G74" i="51"/>
  <c r="G95" i="51"/>
  <c r="G86" i="51"/>
  <c r="G77" i="51"/>
  <c r="G98" i="51"/>
  <c r="G89" i="51"/>
  <c r="G80" i="51"/>
  <c r="G96" i="51"/>
  <c r="F92" i="61"/>
  <c r="G92" i="61"/>
  <c r="G97" i="61"/>
  <c r="F97" i="61"/>
  <c r="G84" i="61"/>
  <c r="F84" i="61"/>
  <c r="G98" i="61"/>
  <c r="F98" i="61"/>
  <c r="F89" i="61"/>
  <c r="G89" i="61"/>
  <c r="F81" i="61"/>
  <c r="G81" i="61"/>
  <c r="G88" i="61"/>
  <c r="F88" i="61"/>
  <c r="G77" i="49"/>
  <c r="G78" i="49"/>
  <c r="G96" i="49"/>
  <c r="G83" i="49"/>
  <c r="G72" i="49"/>
  <c r="G88" i="49"/>
  <c r="G98" i="49"/>
  <c r="G77" i="60"/>
  <c r="G73" i="60"/>
  <c r="G95" i="60"/>
  <c r="G85" i="60"/>
  <c r="G76" i="60"/>
  <c r="G97" i="60"/>
  <c r="G82" i="60"/>
  <c r="G98" i="60"/>
  <c r="G72" i="63"/>
  <c r="G88" i="63"/>
  <c r="G73" i="63"/>
  <c r="G89" i="63"/>
  <c r="G74" i="63"/>
  <c r="G90" i="63"/>
  <c r="G75" i="63"/>
  <c r="G91" i="63"/>
  <c r="G76" i="63"/>
  <c r="G92" i="63"/>
  <c r="G77" i="63"/>
  <c r="G93" i="63"/>
  <c r="G78" i="63"/>
  <c r="G94" i="63"/>
  <c r="G79" i="63"/>
  <c r="G95" i="63"/>
  <c r="G80" i="63"/>
  <c r="G96" i="63"/>
  <c r="G81" i="63"/>
  <c r="G97" i="63"/>
  <c r="G82" i="63"/>
  <c r="G98" i="63"/>
  <c r="G83" i="63"/>
  <c r="G84" i="63"/>
  <c r="D69" i="63"/>
  <c r="E69" i="63" s="1"/>
  <c r="G69" i="63"/>
  <c r="G85" i="63"/>
  <c r="G70" i="63"/>
  <c r="G86" i="63"/>
  <c r="G71" i="63"/>
  <c r="G87" i="63"/>
  <c r="D79" i="62"/>
  <c r="E79" i="62" s="1"/>
  <c r="G79" i="62"/>
  <c r="D95" i="62"/>
  <c r="E95" i="62" s="1"/>
  <c r="G95" i="62"/>
  <c r="D84" i="62"/>
  <c r="E84" i="62" s="1"/>
  <c r="G84" i="62"/>
  <c r="D69" i="62"/>
  <c r="E69" i="62" s="1"/>
  <c r="D85" i="62"/>
  <c r="E85" i="62" s="1"/>
  <c r="G85" i="62"/>
  <c r="D70" i="62"/>
  <c r="E70" i="62" s="1"/>
  <c r="G70" i="62"/>
  <c r="D86" i="62"/>
  <c r="E86" i="62" s="1"/>
  <c r="G86" i="62"/>
  <c r="D83" i="62"/>
  <c r="E83" i="62" s="1"/>
  <c r="G83" i="62"/>
  <c r="D72" i="62"/>
  <c r="E72" i="62" s="1"/>
  <c r="G72" i="62"/>
  <c r="D88" i="62"/>
  <c r="E88" i="62" s="1"/>
  <c r="G88" i="62"/>
  <c r="D73" i="62"/>
  <c r="E73" i="62" s="1"/>
  <c r="G73" i="62"/>
  <c r="D89" i="62"/>
  <c r="E89" i="62" s="1"/>
  <c r="G89" i="62"/>
  <c r="D74" i="62"/>
  <c r="E74" i="62" s="1"/>
  <c r="G74" i="62"/>
  <c r="D90" i="62"/>
  <c r="E90" i="62" s="1"/>
  <c r="G90" i="62"/>
  <c r="D71" i="62"/>
  <c r="E71" i="62" s="1"/>
  <c r="G71" i="62"/>
  <c r="D87" i="62"/>
  <c r="E87" i="62" s="1"/>
  <c r="G87" i="62"/>
  <c r="D76" i="62"/>
  <c r="E76" i="62" s="1"/>
  <c r="G76" i="62"/>
  <c r="D92" i="62"/>
  <c r="E92" i="62" s="1"/>
  <c r="G92" i="62"/>
  <c r="D77" i="62"/>
  <c r="E77" i="62" s="1"/>
  <c r="G77" i="62"/>
  <c r="D93" i="62"/>
  <c r="E93" i="62" s="1"/>
  <c r="G93" i="62"/>
  <c r="D78" i="62"/>
  <c r="E78" i="62" s="1"/>
  <c r="G78" i="62"/>
  <c r="D94" i="62"/>
  <c r="E94" i="62" s="1"/>
  <c r="G94" i="62"/>
  <c r="D75" i="62"/>
  <c r="E75" i="62" s="1"/>
  <c r="G75" i="62"/>
  <c r="D91" i="62"/>
  <c r="E91" i="62" s="1"/>
  <c r="G91" i="62"/>
  <c r="D80" i="62"/>
  <c r="E80" i="62" s="1"/>
  <c r="G80" i="62"/>
  <c r="D96" i="62"/>
  <c r="E96" i="62" s="1"/>
  <c r="G96" i="62"/>
  <c r="D81" i="62"/>
  <c r="E81" i="62" s="1"/>
  <c r="G81" i="62"/>
  <c r="D97" i="62"/>
  <c r="E97" i="62" s="1"/>
  <c r="G97" i="62"/>
  <c r="D82" i="62"/>
  <c r="E82" i="62" s="1"/>
  <c r="G82" i="62"/>
  <c r="D98" i="62"/>
  <c r="E98" i="62" s="1"/>
  <c r="G98" i="62"/>
  <c r="L265" i="23"/>
  <c r="M265" i="23" s="1"/>
  <c r="D70" i="61"/>
  <c r="U388" i="23"/>
  <c r="U392" i="23" s="1"/>
  <c r="BI292" i="40"/>
  <c r="BI296" i="40" s="1"/>
  <c r="BI297" i="40" s="1"/>
  <c r="BI302" i="40" s="1"/>
  <c r="BI304" i="40" s="1"/>
  <c r="BI305" i="40" s="1"/>
  <c r="BI306" i="40" s="1"/>
  <c r="BI311" i="40" s="1"/>
  <c r="BI316" i="40" s="1"/>
  <c r="BI318" i="40" s="1"/>
  <c r="BI320" i="40" s="1"/>
  <c r="BY24" i="40"/>
  <c r="BZ23" i="40"/>
  <c r="CD24" i="40"/>
  <c r="CE23" i="40"/>
  <c r="CH189" i="40"/>
  <c r="BU12" i="40"/>
  <c r="BT13" i="40"/>
  <c r="CW44" i="40"/>
  <c r="CM197" i="40"/>
  <c r="S265" i="23"/>
  <c r="S264" i="23"/>
  <c r="A11" i="43"/>
  <c r="C11" i="43" s="1"/>
  <c r="K157" i="23"/>
  <c r="R60" i="23"/>
  <c r="N71" i="23"/>
  <c r="Q60" i="23"/>
  <c r="M71" i="23"/>
  <c r="O71" i="23"/>
  <c r="S60" i="23"/>
  <c r="BO314" i="23"/>
  <c r="CG314" i="23"/>
  <c r="CA314" i="23"/>
  <c r="BU314" i="23"/>
  <c r="BI314" i="23"/>
  <c r="BC314" i="23"/>
  <c r="AW314" i="23"/>
  <c r="CA28" i="30"/>
  <c r="AH167" i="1"/>
  <c r="CZ28" i="30" s="1"/>
  <c r="J148" i="23"/>
  <c r="J144" i="23"/>
  <c r="K144" i="23" s="1"/>
  <c r="J150" i="23"/>
  <c r="J145" i="23"/>
  <c r="J151" i="23"/>
  <c r="J147" i="23"/>
  <c r="J146" i="23"/>
  <c r="J149" i="23"/>
  <c r="BN74" i="40"/>
  <c r="CS28" i="40"/>
  <c r="CT27" i="40"/>
  <c r="P49" i="23"/>
  <c r="P60" i="23" s="1"/>
  <c r="P50" i="23"/>
  <c r="CF315" i="23"/>
  <c r="BN315" i="23"/>
  <c r="BT315" i="23"/>
  <c r="BH315" i="23"/>
  <c r="BZ315" i="23"/>
  <c r="S57" i="23"/>
  <c r="O68" i="23" s="1"/>
  <c r="S68" i="23" s="1"/>
  <c r="R50" i="23"/>
  <c r="N61" i="23" s="1"/>
  <c r="S58" i="23"/>
  <c r="O69" i="23" s="1"/>
  <c r="S69" i="23" s="1"/>
  <c r="R51" i="23"/>
  <c r="N62" i="23" s="1"/>
  <c r="S56" i="23"/>
  <c r="O67" i="23" s="1"/>
  <c r="S67" i="23" s="1"/>
  <c r="S49" i="23"/>
  <c r="O60" i="23" s="1"/>
  <c r="P53" i="23"/>
  <c r="S55" i="23"/>
  <c r="O66" i="23" s="1"/>
  <c r="S66" i="23" s="1"/>
  <c r="S54" i="23"/>
  <c r="O65" i="23" s="1"/>
  <c r="S65" i="23" s="1"/>
  <c r="S52" i="23"/>
  <c r="O63" i="23" s="1"/>
  <c r="S63" i="23" s="1"/>
  <c r="R52" i="23"/>
  <c r="N63" i="23" s="1"/>
  <c r="S53" i="23"/>
  <c r="O64" i="23" s="1"/>
  <c r="S64" i="23" s="1"/>
  <c r="S50" i="23"/>
  <c r="O61" i="23" s="1"/>
  <c r="S61" i="23" s="1"/>
  <c r="S51" i="23"/>
  <c r="O62" i="23" s="1"/>
  <c r="S62" i="23" s="1"/>
  <c r="Q49" i="23"/>
  <c r="M60" i="23" s="1"/>
  <c r="R55" i="23"/>
  <c r="N66" i="23" s="1"/>
  <c r="R66" i="23" s="1"/>
  <c r="P54" i="23"/>
  <c r="P52" i="23"/>
  <c r="P51" i="23"/>
  <c r="R53" i="23"/>
  <c r="N64" i="23" s="1"/>
  <c r="P57" i="23"/>
  <c r="P68" i="23" s="1"/>
  <c r="R49" i="23"/>
  <c r="N60" i="23" s="1"/>
  <c r="R57" i="23"/>
  <c r="N68" i="23" s="1"/>
  <c r="R68" i="23" s="1"/>
  <c r="R56" i="23"/>
  <c r="N67" i="23" s="1"/>
  <c r="R67" i="23" s="1"/>
  <c r="R58" i="23"/>
  <c r="N69" i="23" s="1"/>
  <c r="R69" i="23" s="1"/>
  <c r="R54" i="23"/>
  <c r="N65" i="23" s="1"/>
  <c r="P58" i="23"/>
  <c r="P69" i="23" s="1"/>
  <c r="O265" i="23"/>
  <c r="P265" i="23" s="1"/>
  <c r="P55" i="23"/>
  <c r="P66" i="23" s="1"/>
  <c r="P56" i="23"/>
  <c r="P67" i="23" s="1"/>
  <c r="Q54" i="23"/>
  <c r="M65" i="23" s="1"/>
  <c r="Q55" i="23"/>
  <c r="M66" i="23" s="1"/>
  <c r="Q66" i="23" s="1"/>
  <c r="U265" i="23"/>
  <c r="Q53" i="23"/>
  <c r="M64" i="23" s="1"/>
  <c r="Q58" i="23"/>
  <c r="M69" i="23" s="1"/>
  <c r="Q69" i="23" s="1"/>
  <c r="Q57" i="23"/>
  <c r="M68" i="23" s="1"/>
  <c r="Q68" i="23" s="1"/>
  <c r="Q51" i="23"/>
  <c r="M62" i="23" s="1"/>
  <c r="Q50" i="23"/>
  <c r="M61" i="23" s="1"/>
  <c r="Q56" i="23"/>
  <c r="M67" i="23" s="1"/>
  <c r="Q67" i="23" s="1"/>
  <c r="Q52" i="23"/>
  <c r="M63" i="23" s="1"/>
  <c r="Z367" i="23"/>
  <c r="Z361" i="23"/>
  <c r="Z368" i="23"/>
  <c r="Z371" i="23"/>
  <c r="Z365" i="23"/>
  <c r="Z362" i="23"/>
  <c r="Z364" i="23"/>
  <c r="Z369" i="23"/>
  <c r="Z366" i="23"/>
  <c r="Z363" i="23"/>
  <c r="Z360" i="23"/>
  <c r="AA360" i="23"/>
  <c r="AB360" i="23" s="1"/>
  <c r="O225" i="23"/>
  <c r="P225" i="23"/>
  <c r="X267" i="23"/>
  <c r="AA268" i="23"/>
  <c r="R267" i="23"/>
  <c r="S267" i="23" s="1"/>
  <c r="L266" i="23"/>
  <c r="A251" i="23"/>
  <c r="B250" i="23"/>
  <c r="C250" i="23" s="1"/>
  <c r="O219" i="23"/>
  <c r="P219" i="23"/>
  <c r="O217" i="23"/>
  <c r="P217" i="23"/>
  <c r="O215" i="23"/>
  <c r="P215" i="23"/>
  <c r="O224" i="23"/>
  <c r="P224" i="23"/>
  <c r="O222" i="23"/>
  <c r="P222" i="23"/>
  <c r="O220" i="23"/>
  <c r="P220" i="23"/>
  <c r="O218" i="23"/>
  <c r="P218" i="23"/>
  <c r="O216" i="23"/>
  <c r="P216" i="23"/>
  <c r="O223" i="23"/>
  <c r="P223" i="23"/>
  <c r="O221" i="23"/>
  <c r="P221" i="23"/>
  <c r="O214" i="23"/>
  <c r="Q214" i="23"/>
  <c r="D73" i="60" l="1"/>
  <c r="Y385" i="23"/>
  <c r="W385" i="23"/>
  <c r="X385" i="23"/>
  <c r="BD29" i="40"/>
  <c r="BD58" i="40" s="1"/>
  <c r="EY291" i="40"/>
  <c r="EX292" i="40"/>
  <c r="FS289" i="40"/>
  <c r="FR290" i="40"/>
  <c r="EI289" i="40"/>
  <c r="EJ288" i="40"/>
  <c r="ET288" i="40"/>
  <c r="ES289" i="40"/>
  <c r="FI288" i="40"/>
  <c r="FH289" i="40"/>
  <c r="FC287" i="40"/>
  <c r="FD286" i="40"/>
  <c r="FN286" i="40"/>
  <c r="FM287" i="40"/>
  <c r="EE288" i="40"/>
  <c r="ED289" i="40"/>
  <c r="EO289" i="40"/>
  <c r="EN290" i="40"/>
  <c r="D73" i="54"/>
  <c r="D74" i="54" s="1"/>
  <c r="D75" i="54" s="1"/>
  <c r="E69" i="59"/>
  <c r="M70" i="59" s="1"/>
  <c r="N70" i="59" s="1"/>
  <c r="BG69" i="59"/>
  <c r="BF68" i="49"/>
  <c r="BG68" i="49" s="1"/>
  <c r="BF68" i="50" s="1"/>
  <c r="BG68" i="50" s="1"/>
  <c r="N69" i="59"/>
  <c r="BP69" i="59"/>
  <c r="BO68" i="49"/>
  <c r="BP68" i="49" s="1"/>
  <c r="BO68" i="50" s="1"/>
  <c r="BP68" i="50" s="1"/>
  <c r="AW68" i="49"/>
  <c r="AX68" i="49" s="1"/>
  <c r="AW68" i="50" s="1"/>
  <c r="AX68" i="50" s="1"/>
  <c r="AX70" i="59"/>
  <c r="M70" i="54"/>
  <c r="AN68" i="49"/>
  <c r="AO68" i="49" s="1"/>
  <c r="AN68" i="50" s="1"/>
  <c r="AO68" i="50" s="1"/>
  <c r="AN68" i="51" s="1"/>
  <c r="AO68" i="51" s="1"/>
  <c r="AN68" i="58" s="1"/>
  <c r="AO68" i="58" s="1"/>
  <c r="AO70" i="59"/>
  <c r="W69" i="59"/>
  <c r="BF72" i="54"/>
  <c r="BF73" i="54" s="1"/>
  <c r="AN71" i="54"/>
  <c r="AN72" i="54" s="1"/>
  <c r="V71" i="54"/>
  <c r="BX68" i="49"/>
  <c r="BY68" i="49" s="1"/>
  <c r="BX68" i="50" s="1"/>
  <c r="BY68" i="50" s="1"/>
  <c r="BY70" i="59"/>
  <c r="M70" i="61"/>
  <c r="M71" i="61" s="1"/>
  <c r="D71" i="59"/>
  <c r="E71" i="59" s="1"/>
  <c r="E70" i="59"/>
  <c r="BX71" i="54"/>
  <c r="D71" i="61"/>
  <c r="D72" i="61"/>
  <c r="V386" i="23"/>
  <c r="BI321" i="40"/>
  <c r="BI322" i="40" s="1"/>
  <c r="BI326" i="40" s="1"/>
  <c r="BI328" i="40" s="1"/>
  <c r="BI329" i="40" s="1"/>
  <c r="CE24" i="40"/>
  <c r="CD25" i="40"/>
  <c r="BY25" i="40"/>
  <c r="BZ24" i="40"/>
  <c r="BT14" i="40"/>
  <c r="BU13" i="40"/>
  <c r="CH190" i="40"/>
  <c r="CM199" i="40"/>
  <c r="CW45" i="40"/>
  <c r="U266" i="23"/>
  <c r="V266" i="23" s="1"/>
  <c r="V265" i="23"/>
  <c r="K145" i="23"/>
  <c r="K146" i="23" s="1"/>
  <c r="K147" i="23" s="1"/>
  <c r="K148" i="23" s="1"/>
  <c r="K158" i="23"/>
  <c r="L71" i="23"/>
  <c r="BN76" i="40"/>
  <c r="CS29" i="40"/>
  <c r="CT28" i="40"/>
  <c r="R61" i="23"/>
  <c r="P61" i="23"/>
  <c r="P62" i="23" s="1"/>
  <c r="P63" i="23" s="1"/>
  <c r="P64" i="23" s="1"/>
  <c r="P65" i="23" s="1"/>
  <c r="R65" i="23"/>
  <c r="Q61" i="23"/>
  <c r="Q62" i="23" s="1"/>
  <c r="Q63" i="23" s="1"/>
  <c r="O266" i="23"/>
  <c r="P266" i="23" s="1"/>
  <c r="AA361" i="23"/>
  <c r="AA269" i="23"/>
  <c r="X268" i="23"/>
  <c r="R268" i="23"/>
  <c r="S268" i="23" s="1"/>
  <c r="M266" i="23"/>
  <c r="L267" i="23"/>
  <c r="B251" i="23"/>
  <c r="C251" i="23" s="1"/>
  <c r="A252" i="23"/>
  <c r="Q215" i="23"/>
  <c r="Q216" i="23" s="1"/>
  <c r="BD79" i="40" l="1"/>
  <c r="AW68" i="62"/>
  <c r="AX68" i="62" s="1"/>
  <c r="AW68" i="63" s="1"/>
  <c r="AX68" i="63" s="1"/>
  <c r="AW68" i="54" s="1"/>
  <c r="AX68" i="54" s="1"/>
  <c r="AW68" i="70"/>
  <c r="AX68" i="70" s="1"/>
  <c r="BF68" i="62"/>
  <c r="BG68" i="62" s="1"/>
  <c r="BF68" i="63" s="1"/>
  <c r="BG68" i="63" s="1"/>
  <c r="BF68" i="54" s="1"/>
  <c r="BG69" i="54" s="1"/>
  <c r="BF68" i="70"/>
  <c r="BG68" i="70" s="1"/>
  <c r="AN68" i="62"/>
  <c r="AO68" i="62" s="1"/>
  <c r="AN68" i="63" s="1"/>
  <c r="AO68" i="63" s="1"/>
  <c r="AN68" i="54" s="1"/>
  <c r="AO69" i="54" s="1"/>
  <c r="AN68" i="70"/>
  <c r="AO68" i="70" s="1"/>
  <c r="BO68" i="62"/>
  <c r="BP68" i="62" s="1"/>
  <c r="BO68" i="63" s="1"/>
  <c r="BP68" i="63" s="1"/>
  <c r="BO68" i="54" s="1"/>
  <c r="BP68" i="54" s="1"/>
  <c r="BO68" i="70"/>
  <c r="BP68" i="70" s="1"/>
  <c r="BX68" i="62"/>
  <c r="BY68" i="62" s="1"/>
  <c r="BX68" i="63" s="1"/>
  <c r="BY68" i="63" s="1"/>
  <c r="BX68" i="54" s="1"/>
  <c r="BY69" i="54" s="1"/>
  <c r="BX68" i="70"/>
  <c r="BY68" i="70" s="1"/>
  <c r="Y386" i="23"/>
  <c r="V387" i="23"/>
  <c r="V388" i="23" s="1"/>
  <c r="V389" i="23" s="1"/>
  <c r="V390" i="23" s="1"/>
  <c r="V391" i="23" s="1"/>
  <c r="V392" i="23" s="1"/>
  <c r="V393" i="23" s="1"/>
  <c r="V394" i="23" s="1"/>
  <c r="CE44" i="57"/>
  <c r="CE85" i="57" s="1"/>
  <c r="CF85" i="57" s="1"/>
  <c r="CG85" i="57" s="1"/>
  <c r="CE40" i="57"/>
  <c r="CE81" i="57" s="1"/>
  <c r="CF81" i="57" s="1"/>
  <c r="CG81" i="57" s="1"/>
  <c r="CE36" i="57"/>
  <c r="CE77" i="57" s="1"/>
  <c r="CF77" i="57" s="1"/>
  <c r="CG77" i="57" s="1"/>
  <c r="CE32" i="57"/>
  <c r="CE73" i="57" s="1"/>
  <c r="CF73" i="57" s="1"/>
  <c r="CG73" i="57" s="1"/>
  <c r="CE28" i="57"/>
  <c r="CE69" i="57" s="1"/>
  <c r="CF69" i="57" s="1"/>
  <c r="CG69" i="57" s="1"/>
  <c r="CE24" i="57"/>
  <c r="CE65" i="57" s="1"/>
  <c r="CF65" i="57" s="1"/>
  <c r="CG65" i="57" s="1"/>
  <c r="CE20" i="57"/>
  <c r="CE61" i="57" s="1"/>
  <c r="CF61" i="57" s="1"/>
  <c r="CG61" i="57" s="1"/>
  <c r="CE16" i="57"/>
  <c r="CE57" i="57" s="1"/>
  <c r="CF57" i="57" s="1"/>
  <c r="CG57" i="57" s="1"/>
  <c r="CE12" i="57"/>
  <c r="CE53" i="57" s="1"/>
  <c r="CF53" i="57" s="1"/>
  <c r="CG53" i="57" s="1"/>
  <c r="CE8" i="57"/>
  <c r="CE49" i="57" s="1"/>
  <c r="CF49" i="57" s="1"/>
  <c r="CG49" i="57" s="1"/>
  <c r="CE7" i="57"/>
  <c r="CE48" i="57" s="1"/>
  <c r="CF48" i="57" s="1"/>
  <c r="CG48" i="57" s="1"/>
  <c r="CE43" i="57"/>
  <c r="CE84" i="57" s="1"/>
  <c r="CF84" i="57" s="1"/>
  <c r="CG84" i="57" s="1"/>
  <c r="CE39" i="57"/>
  <c r="CE80" i="57" s="1"/>
  <c r="CF80" i="57" s="1"/>
  <c r="CG80" i="57" s="1"/>
  <c r="CE35" i="57"/>
  <c r="CE76" i="57" s="1"/>
  <c r="CF76" i="57" s="1"/>
  <c r="CG76" i="57" s="1"/>
  <c r="CE31" i="57"/>
  <c r="CE72" i="57" s="1"/>
  <c r="CF72" i="57" s="1"/>
  <c r="CG72" i="57" s="1"/>
  <c r="CE27" i="57"/>
  <c r="CE68" i="57" s="1"/>
  <c r="CF68" i="57" s="1"/>
  <c r="CG68" i="57" s="1"/>
  <c r="CE23" i="57"/>
  <c r="CE64" i="57" s="1"/>
  <c r="CF64" i="57" s="1"/>
  <c r="CG64" i="57" s="1"/>
  <c r="CE19" i="57"/>
  <c r="CE60" i="57" s="1"/>
  <c r="CF60" i="57" s="1"/>
  <c r="CG60" i="57" s="1"/>
  <c r="CE15" i="57"/>
  <c r="CE56" i="57" s="1"/>
  <c r="CF56" i="57" s="1"/>
  <c r="CG56" i="57" s="1"/>
  <c r="CE11" i="57"/>
  <c r="CE52" i="57" s="1"/>
  <c r="CF52" i="57" s="1"/>
  <c r="CG52" i="57" s="1"/>
  <c r="CE46" i="57"/>
  <c r="CE87" i="57" s="1"/>
  <c r="CF87" i="57" s="1"/>
  <c r="CG87" i="57" s="1"/>
  <c r="CE42" i="57"/>
  <c r="CE83" i="57" s="1"/>
  <c r="CF83" i="57" s="1"/>
  <c r="CG83" i="57" s="1"/>
  <c r="CE38" i="57"/>
  <c r="CE79" i="57" s="1"/>
  <c r="CF79" i="57" s="1"/>
  <c r="CG79" i="57" s="1"/>
  <c r="CE34" i="57"/>
  <c r="CE75" i="57" s="1"/>
  <c r="CF75" i="57" s="1"/>
  <c r="CG75" i="57" s="1"/>
  <c r="CE30" i="57"/>
  <c r="CE71" i="57" s="1"/>
  <c r="CF71" i="57" s="1"/>
  <c r="CG71" i="57" s="1"/>
  <c r="CE26" i="57"/>
  <c r="CE67" i="57" s="1"/>
  <c r="CF67" i="57" s="1"/>
  <c r="CG67" i="57" s="1"/>
  <c r="CE22" i="57"/>
  <c r="CE63" i="57" s="1"/>
  <c r="CF63" i="57" s="1"/>
  <c r="CG63" i="57" s="1"/>
  <c r="CE18" i="57"/>
  <c r="CE59" i="57" s="1"/>
  <c r="CF59" i="57" s="1"/>
  <c r="CG59" i="57" s="1"/>
  <c r="CE14" i="57"/>
  <c r="CE55" i="57" s="1"/>
  <c r="CF55" i="57" s="1"/>
  <c r="CG55" i="57" s="1"/>
  <c r="CE10" i="57"/>
  <c r="CE51" i="57" s="1"/>
  <c r="CF51" i="57" s="1"/>
  <c r="CG51" i="57" s="1"/>
  <c r="CE45" i="57"/>
  <c r="CE86" i="57" s="1"/>
  <c r="CF86" i="57" s="1"/>
  <c r="CG86" i="57" s="1"/>
  <c r="CE41" i="57"/>
  <c r="CE82" i="57" s="1"/>
  <c r="CF82" i="57" s="1"/>
  <c r="CG82" i="57" s="1"/>
  <c r="CE37" i="57"/>
  <c r="CE78" i="57" s="1"/>
  <c r="CF78" i="57" s="1"/>
  <c r="CG78" i="57" s="1"/>
  <c r="CE33" i="57"/>
  <c r="CE74" i="57" s="1"/>
  <c r="CF74" i="57" s="1"/>
  <c r="CG74" i="57" s="1"/>
  <c r="CE29" i="57"/>
  <c r="CE70" i="57" s="1"/>
  <c r="CF70" i="57" s="1"/>
  <c r="CG70" i="57" s="1"/>
  <c r="CE25" i="57"/>
  <c r="CE66" i="57" s="1"/>
  <c r="CF66" i="57" s="1"/>
  <c r="CG66" i="57" s="1"/>
  <c r="CE21" i="57"/>
  <c r="CE62" i="57" s="1"/>
  <c r="CF62" i="57" s="1"/>
  <c r="CG62" i="57" s="1"/>
  <c r="CE17" i="57"/>
  <c r="CE58" i="57" s="1"/>
  <c r="CF58" i="57" s="1"/>
  <c r="CG58" i="57" s="1"/>
  <c r="CE13" i="57"/>
  <c r="CE54" i="57" s="1"/>
  <c r="CF54" i="57" s="1"/>
  <c r="CG54" i="57" s="1"/>
  <c r="CE9" i="57"/>
  <c r="CE50" i="57" s="1"/>
  <c r="CF50" i="57" s="1"/>
  <c r="CG50" i="57" s="1"/>
  <c r="ED290" i="40"/>
  <c r="EE289" i="40"/>
  <c r="ES290" i="40"/>
  <c r="ET289" i="40"/>
  <c r="FS290" i="40"/>
  <c r="FR291" i="40"/>
  <c r="FD287" i="40"/>
  <c r="FC288" i="40"/>
  <c r="EN291" i="40"/>
  <c r="EO290" i="40"/>
  <c r="FM288" i="40"/>
  <c r="FN287" i="40"/>
  <c r="FI289" i="40"/>
  <c r="FH290" i="40"/>
  <c r="EY292" i="40"/>
  <c r="EX293" i="40"/>
  <c r="EJ289" i="40"/>
  <c r="EI290" i="40"/>
  <c r="D72" i="59"/>
  <c r="M71" i="59"/>
  <c r="N71" i="59" s="1"/>
  <c r="M71" i="54"/>
  <c r="M72" i="54" s="1"/>
  <c r="M73" i="54" s="1"/>
  <c r="AE70" i="59"/>
  <c r="AF70" i="59" s="1"/>
  <c r="V72" i="54"/>
  <c r="V73" i="54" s="1"/>
  <c r="V70" i="59"/>
  <c r="W386" i="23"/>
  <c r="X386" i="23"/>
  <c r="BI334" i="40"/>
  <c r="BZ25" i="40"/>
  <c r="BY26" i="40"/>
  <c r="CE25" i="40"/>
  <c r="CD26" i="40"/>
  <c r="CH191" i="40"/>
  <c r="CH192" i="40" s="1"/>
  <c r="CH197" i="40" s="1"/>
  <c r="CH198" i="40" s="1"/>
  <c r="CH199" i="40" s="1"/>
  <c r="CH201" i="40"/>
  <c r="BT15" i="40"/>
  <c r="BU14" i="40"/>
  <c r="CW46" i="40"/>
  <c r="CM200" i="40"/>
  <c r="U267" i="23"/>
  <c r="V267" i="23" s="1"/>
  <c r="K149" i="23"/>
  <c r="K150" i="23" s="1"/>
  <c r="K151" i="23" s="1"/>
  <c r="L146" i="23" s="1"/>
  <c r="K159" i="23"/>
  <c r="L76" i="23"/>
  <c r="L74" i="23"/>
  <c r="L75" i="23"/>
  <c r="L72" i="23"/>
  <c r="L73" i="23"/>
  <c r="L78" i="23"/>
  <c r="L77" i="23"/>
  <c r="BN77" i="40"/>
  <c r="CS30" i="40"/>
  <c r="CT29" i="40"/>
  <c r="R62" i="23"/>
  <c r="O267" i="23"/>
  <c r="P267" i="23" s="1"/>
  <c r="Q64" i="23"/>
  <c r="Q65" i="23" s="1"/>
  <c r="AB361" i="23"/>
  <c r="AA362" i="23"/>
  <c r="X269" i="23"/>
  <c r="AA270" i="23"/>
  <c r="R269" i="23"/>
  <c r="S269" i="23" s="1"/>
  <c r="M267" i="23"/>
  <c r="L268" i="23"/>
  <c r="A253" i="23"/>
  <c r="B252" i="23"/>
  <c r="C252" i="23" s="1"/>
  <c r="Q217" i="23"/>
  <c r="BY68" i="54" l="1"/>
  <c r="AO68" i="54"/>
  <c r="E72" i="59"/>
  <c r="BD87" i="40"/>
  <c r="BD90" i="40" s="1"/>
  <c r="BD91" i="40" s="1"/>
  <c r="BD97" i="40" s="1"/>
  <c r="BD98" i="40" s="1"/>
  <c r="BD120" i="40" s="1"/>
  <c r="BD148" i="40" s="1"/>
  <c r="BD152" i="40" s="1"/>
  <c r="BD162" i="40" s="1"/>
  <c r="BD163" i="40" s="1"/>
  <c r="BD172" i="40" s="1"/>
  <c r="BD188" i="40" s="1"/>
  <c r="BD203" i="40" s="1"/>
  <c r="BD206" i="40" s="1"/>
  <c r="BD208" i="40" s="1"/>
  <c r="BD211" i="40" s="1"/>
  <c r="BD248" i="40" s="1"/>
  <c r="BD256" i="40" s="1"/>
  <c r="BD269" i="40" s="1"/>
  <c r="BD271" i="40" s="1"/>
  <c r="BD301" i="40" s="1"/>
  <c r="BD308" i="40" s="1"/>
  <c r="BD312" i="40" s="1"/>
  <c r="BD323" i="40" s="1"/>
  <c r="BD354" i="40" s="1"/>
  <c r="BD355" i="40" s="1"/>
  <c r="BD366" i="40" s="1"/>
  <c r="BD368" i="40" s="1"/>
  <c r="BD379" i="40" s="1"/>
  <c r="BE4" i="40" s="1"/>
  <c r="BF4" i="40" s="1"/>
  <c r="AX69" i="54"/>
  <c r="BK7" i="57" s="1"/>
  <c r="BK48" i="57" s="1"/>
  <c r="BL48" i="57" s="1"/>
  <c r="BG68" i="54"/>
  <c r="EN292" i="40"/>
  <c r="EO291" i="40"/>
  <c r="FC289" i="40"/>
  <c r="FD288" i="40"/>
  <c r="EJ290" i="40"/>
  <c r="EI291" i="40"/>
  <c r="EY293" i="40"/>
  <c r="EX294" i="40"/>
  <c r="FI290" i="40"/>
  <c r="FH291" i="40"/>
  <c r="ES291" i="40"/>
  <c r="ET290" i="40"/>
  <c r="FM289" i="40"/>
  <c r="FN288" i="40"/>
  <c r="FS291" i="40"/>
  <c r="FR292" i="40"/>
  <c r="ED291" i="40"/>
  <c r="EE290" i="40"/>
  <c r="D73" i="59"/>
  <c r="M72" i="59"/>
  <c r="N72" i="59" s="1"/>
  <c r="V74" i="54"/>
  <c r="V75" i="54" s="1"/>
  <c r="W70" i="59"/>
  <c r="V71" i="59"/>
  <c r="M74" i="54"/>
  <c r="M75" i="54" s="1"/>
  <c r="BI335" i="40"/>
  <c r="BI336" i="40" s="1"/>
  <c r="CE26" i="40"/>
  <c r="CD27" i="40"/>
  <c r="BZ26" i="40"/>
  <c r="BY27" i="40"/>
  <c r="BU15" i="40"/>
  <c r="BT16" i="40"/>
  <c r="CH202" i="40"/>
  <c r="U268" i="23"/>
  <c r="V268" i="23" s="1"/>
  <c r="CM202" i="40"/>
  <c r="CW47" i="40"/>
  <c r="K160" i="23"/>
  <c r="L145" i="23"/>
  <c r="L149" i="23"/>
  <c r="L144" i="23"/>
  <c r="L150" i="23"/>
  <c r="L147" i="23"/>
  <c r="L148" i="23"/>
  <c r="L151" i="23"/>
  <c r="BN79" i="40"/>
  <c r="CS31" i="40"/>
  <c r="CT30" i="40"/>
  <c r="R63" i="23"/>
  <c r="R64" i="23" s="1"/>
  <c r="O268" i="23"/>
  <c r="P268" i="23" s="1"/>
  <c r="AB362" i="23"/>
  <c r="AA363" i="23"/>
  <c r="AA271" i="23"/>
  <c r="X270" i="23"/>
  <c r="R270" i="23"/>
  <c r="S270" i="23" s="1"/>
  <c r="M268" i="23"/>
  <c r="L269" i="23"/>
  <c r="B253" i="23"/>
  <c r="C253" i="23" s="1"/>
  <c r="A254" i="23"/>
  <c r="Q218" i="23"/>
  <c r="BE5" i="40" l="1"/>
  <c r="BE6" i="40" s="1"/>
  <c r="D74" i="59"/>
  <c r="E74" i="59" s="1"/>
  <c r="BF3" i="40"/>
  <c r="BK23" i="57"/>
  <c r="BK64" i="57" s="1"/>
  <c r="BL64" i="57" s="1"/>
  <c r="BM64" i="57" s="1"/>
  <c r="BK36" i="57"/>
  <c r="BK77" i="57" s="1"/>
  <c r="BL77" i="57" s="1"/>
  <c r="BM77" i="57" s="1"/>
  <c r="BK33" i="57"/>
  <c r="BK74" i="57" s="1"/>
  <c r="BL74" i="57" s="1"/>
  <c r="BM74" i="57" s="1"/>
  <c r="BK10" i="57"/>
  <c r="BK51" i="57" s="1"/>
  <c r="BL51" i="57" s="1"/>
  <c r="BM51" i="57" s="1"/>
  <c r="BK39" i="57"/>
  <c r="BK80" i="57" s="1"/>
  <c r="BL80" i="57" s="1"/>
  <c r="BM80" i="57" s="1"/>
  <c r="BK25" i="57"/>
  <c r="BK66" i="57" s="1"/>
  <c r="BL66" i="57" s="1"/>
  <c r="BM66" i="57" s="1"/>
  <c r="BK27" i="57"/>
  <c r="BK68" i="57" s="1"/>
  <c r="BL68" i="57" s="1"/>
  <c r="BM68" i="57" s="1"/>
  <c r="BK13" i="57"/>
  <c r="BK54" i="57" s="1"/>
  <c r="BL54" i="57" s="1"/>
  <c r="BM54" i="57" s="1"/>
  <c r="BK34" i="57"/>
  <c r="BK75" i="57" s="1"/>
  <c r="BL75" i="57" s="1"/>
  <c r="BM75" i="57" s="1"/>
  <c r="BK24" i="57"/>
  <c r="BK65" i="57" s="1"/>
  <c r="BL65" i="57" s="1"/>
  <c r="BM65" i="57" s="1"/>
  <c r="BK41" i="57"/>
  <c r="BK82" i="57" s="1"/>
  <c r="BL82" i="57" s="1"/>
  <c r="BM82" i="57" s="1"/>
  <c r="BK19" i="57"/>
  <c r="BK60" i="57" s="1"/>
  <c r="BL60" i="57" s="1"/>
  <c r="BM60" i="57" s="1"/>
  <c r="BK46" i="57"/>
  <c r="BK87" i="57" s="1"/>
  <c r="BL87" i="57" s="1"/>
  <c r="BM87" i="57" s="1"/>
  <c r="BK45" i="57"/>
  <c r="BK86" i="57" s="1"/>
  <c r="BL86" i="57" s="1"/>
  <c r="BM86" i="57" s="1"/>
  <c r="BK26" i="57"/>
  <c r="BK67" i="57" s="1"/>
  <c r="BL67" i="57" s="1"/>
  <c r="BM67" i="57" s="1"/>
  <c r="BK16" i="57"/>
  <c r="BK57" i="57" s="1"/>
  <c r="BL57" i="57" s="1"/>
  <c r="BM57" i="57" s="1"/>
  <c r="BK42" i="57"/>
  <c r="BK83" i="57" s="1"/>
  <c r="BL83" i="57" s="1"/>
  <c r="BM83" i="57" s="1"/>
  <c r="BK14" i="57"/>
  <c r="BK55" i="57" s="1"/>
  <c r="BL55" i="57" s="1"/>
  <c r="BM55" i="57" s="1"/>
  <c r="BK44" i="57"/>
  <c r="BK85" i="57" s="1"/>
  <c r="BL85" i="57" s="1"/>
  <c r="BM85" i="57" s="1"/>
  <c r="BK29" i="57"/>
  <c r="BK70" i="57" s="1"/>
  <c r="BL70" i="57" s="1"/>
  <c r="BM70" i="57" s="1"/>
  <c r="BK15" i="57"/>
  <c r="BK56" i="57" s="1"/>
  <c r="BL56" i="57" s="1"/>
  <c r="BM56" i="57" s="1"/>
  <c r="BK40" i="57"/>
  <c r="BK81" i="57" s="1"/>
  <c r="BL81" i="57" s="1"/>
  <c r="BM81" i="57" s="1"/>
  <c r="BK35" i="57"/>
  <c r="BK76" i="57" s="1"/>
  <c r="BL76" i="57" s="1"/>
  <c r="BM76" i="57" s="1"/>
  <c r="BK21" i="57"/>
  <c r="BK62" i="57" s="1"/>
  <c r="BL62" i="57" s="1"/>
  <c r="BM62" i="57" s="1"/>
  <c r="BK18" i="57"/>
  <c r="BK59" i="57" s="1"/>
  <c r="BL59" i="57" s="1"/>
  <c r="BM59" i="57" s="1"/>
  <c r="BK28" i="57"/>
  <c r="BK69" i="57" s="1"/>
  <c r="BL69" i="57" s="1"/>
  <c r="BM69" i="57" s="1"/>
  <c r="BK43" i="57"/>
  <c r="BK84" i="57" s="1"/>
  <c r="BL84" i="57" s="1"/>
  <c r="BM84" i="57" s="1"/>
  <c r="BK32" i="57"/>
  <c r="BK73" i="57" s="1"/>
  <c r="BL73" i="57" s="1"/>
  <c r="BM73" i="57" s="1"/>
  <c r="BK30" i="57"/>
  <c r="BK71" i="57" s="1"/>
  <c r="BL71" i="57" s="1"/>
  <c r="BM71" i="57" s="1"/>
  <c r="BK20" i="57"/>
  <c r="BK61" i="57" s="1"/>
  <c r="BL61" i="57" s="1"/>
  <c r="BM61" i="57" s="1"/>
  <c r="BK31" i="57"/>
  <c r="BK72" i="57" s="1"/>
  <c r="BL72" i="57" s="1"/>
  <c r="BM72" i="57" s="1"/>
  <c r="BK17" i="57"/>
  <c r="BK58" i="57" s="1"/>
  <c r="BL58" i="57" s="1"/>
  <c r="BM58" i="57" s="1"/>
  <c r="BK22" i="57"/>
  <c r="BK63" i="57" s="1"/>
  <c r="BL63" i="57" s="1"/>
  <c r="BM63" i="57" s="1"/>
  <c r="BK12" i="57"/>
  <c r="BK53" i="57" s="1"/>
  <c r="BL53" i="57" s="1"/>
  <c r="BM53" i="57" s="1"/>
  <c r="BK37" i="57"/>
  <c r="BK78" i="57" s="1"/>
  <c r="BL78" i="57" s="1"/>
  <c r="BM78" i="57" s="1"/>
  <c r="BK9" i="57"/>
  <c r="BK50" i="57" s="1"/>
  <c r="BL50" i="57" s="1"/>
  <c r="BM50" i="57" s="1"/>
  <c r="BK11" i="57"/>
  <c r="BK52" i="57" s="1"/>
  <c r="BL52" i="57" s="1"/>
  <c r="BM52" i="57" s="1"/>
  <c r="BK8" i="57"/>
  <c r="BK49" i="57" s="1"/>
  <c r="BL49" i="57" s="1"/>
  <c r="BK38" i="57"/>
  <c r="BK79" i="57" s="1"/>
  <c r="BL79" i="57" s="1"/>
  <c r="BM79" i="57" s="1"/>
  <c r="EJ291" i="40"/>
  <c r="EI292" i="40"/>
  <c r="FC290" i="40"/>
  <c r="FD289" i="40"/>
  <c r="EO292" i="40"/>
  <c r="EN293" i="40"/>
  <c r="ED292" i="40"/>
  <c r="EE291" i="40"/>
  <c r="FS292" i="40"/>
  <c r="FR293" i="40"/>
  <c r="FN289" i="40"/>
  <c r="FM290" i="40"/>
  <c r="FI291" i="40"/>
  <c r="FH292" i="40"/>
  <c r="ES292" i="40"/>
  <c r="ET291" i="40"/>
  <c r="EY294" i="40"/>
  <c r="EX295" i="40"/>
  <c r="E73" i="59"/>
  <c r="M73" i="59"/>
  <c r="AE71" i="59"/>
  <c r="W71" i="59"/>
  <c r="V72" i="59"/>
  <c r="BG70" i="54"/>
  <c r="AO70" i="54"/>
  <c r="BY70" i="54"/>
  <c r="E72" i="58"/>
  <c r="U269" i="23"/>
  <c r="V269" i="23" s="1"/>
  <c r="BI342" i="40"/>
  <c r="BI348" i="40" s="1"/>
  <c r="BZ27" i="40"/>
  <c r="BY28" i="40"/>
  <c r="CE27" i="40"/>
  <c r="CD28" i="40"/>
  <c r="CH204" i="40"/>
  <c r="CH207" i="40"/>
  <c r="CH209" i="40" s="1"/>
  <c r="BT17" i="40"/>
  <c r="BU16" i="40"/>
  <c r="CW48" i="40"/>
  <c r="CM203" i="40"/>
  <c r="K161" i="23"/>
  <c r="G312" i="1"/>
  <c r="I312" i="1" s="1"/>
  <c r="BN80" i="40"/>
  <c r="CS32" i="40"/>
  <c r="CT31" i="40"/>
  <c r="O269" i="23"/>
  <c r="O270" i="23" s="1"/>
  <c r="P270" i="23" s="1"/>
  <c r="AB363" i="23"/>
  <c r="AA364" i="23"/>
  <c r="AA365" i="23" s="1"/>
  <c r="AB365" i="23" s="1"/>
  <c r="X271" i="23"/>
  <c r="AA272" i="23"/>
  <c r="R271" i="23"/>
  <c r="S271" i="23" s="1"/>
  <c r="L270" i="23"/>
  <c r="M269" i="23"/>
  <c r="A255" i="23"/>
  <c r="B254" i="23"/>
  <c r="C254" i="23" s="1"/>
  <c r="Q219" i="23"/>
  <c r="CH210" i="40" l="1"/>
  <c r="BF5" i="40"/>
  <c r="D75" i="59"/>
  <c r="BE7" i="40"/>
  <c r="BF6" i="40"/>
  <c r="EY295" i="40"/>
  <c r="EX296" i="40"/>
  <c r="FI292" i="40"/>
  <c r="FH293" i="40"/>
  <c r="FM291" i="40"/>
  <c r="FN290" i="40"/>
  <c r="EJ292" i="40"/>
  <c r="EI293" i="40"/>
  <c r="ES293" i="40"/>
  <c r="ET292" i="40"/>
  <c r="FR294" i="40"/>
  <c r="FS293" i="40"/>
  <c r="EO293" i="40"/>
  <c r="EN294" i="40"/>
  <c r="EE292" i="40"/>
  <c r="ED293" i="40"/>
  <c r="FC291" i="40"/>
  <c r="FD290" i="40"/>
  <c r="M74" i="59"/>
  <c r="N74" i="59" s="1"/>
  <c r="N73" i="59"/>
  <c r="W72" i="59"/>
  <c r="V73" i="59"/>
  <c r="AE68" i="49"/>
  <c r="AF68" i="49" s="1"/>
  <c r="AE68" i="50" s="1"/>
  <c r="AF68" i="50" s="1"/>
  <c r="AE68" i="60" s="1"/>
  <c r="AF68" i="60" s="1"/>
  <c r="AE68" i="51" s="1"/>
  <c r="AF68" i="51" s="1"/>
  <c r="AE68" i="58" s="1"/>
  <c r="AF68" i="58" s="1"/>
  <c r="AE68" i="61" s="1"/>
  <c r="AF72" i="61" s="1"/>
  <c r="AF71" i="59"/>
  <c r="E72" i="61"/>
  <c r="U270" i="23"/>
  <c r="V270" i="23" s="1"/>
  <c r="BI351" i="40"/>
  <c r="BI354" i="40" s="1"/>
  <c r="BI355" i="40" s="1"/>
  <c r="BI356" i="40" s="1"/>
  <c r="CD29" i="40"/>
  <c r="CE28" i="40"/>
  <c r="BY29" i="40"/>
  <c r="BZ28" i="40"/>
  <c r="CH211" i="40"/>
  <c r="BT18" i="40"/>
  <c r="BU17" i="40"/>
  <c r="M312" i="1"/>
  <c r="CM208" i="40"/>
  <c r="CW49" i="40"/>
  <c r="K162" i="23"/>
  <c r="K163" i="23" s="1"/>
  <c r="K164" i="23" s="1"/>
  <c r="K165" i="23" s="1"/>
  <c r="O312" i="1"/>
  <c r="K312" i="1"/>
  <c r="G314" i="1"/>
  <c r="O314" i="1" s="1"/>
  <c r="BN81" i="40"/>
  <c r="BN340" i="40"/>
  <c r="BN342" i="40" s="1"/>
  <c r="BN343" i="40" s="1"/>
  <c r="CS33" i="40"/>
  <c r="CT32" i="40"/>
  <c r="O271" i="23"/>
  <c r="O272" i="23" s="1"/>
  <c r="P269" i="23"/>
  <c r="G208" i="1"/>
  <c r="K208" i="1"/>
  <c r="AB364" i="23"/>
  <c r="AA366" i="23"/>
  <c r="AB366" i="23" s="1"/>
  <c r="AA273" i="23"/>
  <c r="X272" i="23"/>
  <c r="R272" i="23"/>
  <c r="S272" i="23" s="1"/>
  <c r="M270" i="23"/>
  <c r="L271" i="23"/>
  <c r="A256" i="23"/>
  <c r="B255" i="23"/>
  <c r="C255" i="23" s="1"/>
  <c r="Q220" i="23"/>
  <c r="D76" i="59" l="1"/>
  <c r="BP15" i="57" s="1"/>
  <c r="E75" i="59"/>
  <c r="BF7" i="40"/>
  <c r="BE8" i="40"/>
  <c r="U271" i="23"/>
  <c r="V271" i="23" s="1"/>
  <c r="EN295" i="40"/>
  <c r="EO294" i="40"/>
  <c r="FS294" i="40"/>
  <c r="FR295" i="40"/>
  <c r="FI293" i="40"/>
  <c r="FH294" i="40"/>
  <c r="FC292" i="40"/>
  <c r="FD291" i="40"/>
  <c r="FN291" i="40"/>
  <c r="FM292" i="40"/>
  <c r="ED294" i="40"/>
  <c r="EE293" i="40"/>
  <c r="ES294" i="40"/>
  <c r="ET293" i="40"/>
  <c r="EI294" i="40"/>
  <c r="EJ293" i="40"/>
  <c r="EY296" i="40"/>
  <c r="EX297" i="40"/>
  <c r="AF73" i="61"/>
  <c r="AF71" i="61"/>
  <c r="M75" i="59"/>
  <c r="AF69" i="61"/>
  <c r="AF68" i="61"/>
  <c r="AF70" i="61"/>
  <c r="V74" i="59"/>
  <c r="W73" i="59"/>
  <c r="E69" i="58"/>
  <c r="E71" i="58"/>
  <c r="E70" i="58"/>
  <c r="E76" i="54"/>
  <c r="X387" i="23"/>
  <c r="W387" i="23"/>
  <c r="G316" i="1" s="1"/>
  <c r="Y387" i="23"/>
  <c r="BI360" i="40"/>
  <c r="BI361" i="40" s="1"/>
  <c r="BY30" i="40"/>
  <c r="BZ29" i="40"/>
  <c r="CD30" i="40"/>
  <c r="CE29" i="40"/>
  <c r="CH212" i="40"/>
  <c r="BT19" i="40"/>
  <c r="BU18" i="40"/>
  <c r="CH214" i="40"/>
  <c r="CW50" i="40"/>
  <c r="CM209" i="40"/>
  <c r="K166" i="23"/>
  <c r="I314" i="1"/>
  <c r="M314" i="1"/>
  <c r="K314" i="1"/>
  <c r="BN82" i="40"/>
  <c r="CS34" i="40"/>
  <c r="CT33" i="40"/>
  <c r="P271" i="23"/>
  <c r="AA367" i="23"/>
  <c r="X273" i="23"/>
  <c r="AA274" i="23"/>
  <c r="R273" i="23"/>
  <c r="S273" i="23" s="1"/>
  <c r="M271" i="23"/>
  <c r="L272" i="23"/>
  <c r="P272" i="23"/>
  <c r="O273" i="23"/>
  <c r="A257" i="23"/>
  <c r="B256" i="23"/>
  <c r="C256" i="23" s="1"/>
  <c r="Q221" i="23"/>
  <c r="Q222" i="23" s="1"/>
  <c r="Q223" i="23" s="1"/>
  <c r="CJ8" i="57" l="1"/>
  <c r="CJ11" i="57"/>
  <c r="CH216" i="40"/>
  <c r="CH217" i="40" s="1"/>
  <c r="CH218" i="40" s="1"/>
  <c r="BP8" i="57"/>
  <c r="BP9" i="57"/>
  <c r="CJ38" i="57"/>
  <c r="BP13" i="57"/>
  <c r="BP11" i="57"/>
  <c r="CJ10" i="57"/>
  <c r="CJ33" i="57"/>
  <c r="CJ13" i="57"/>
  <c r="CJ12" i="57"/>
  <c r="BP7" i="57"/>
  <c r="CJ7" i="57"/>
  <c r="BP12" i="57"/>
  <c r="CJ9" i="57"/>
  <c r="CJ46" i="57"/>
  <c r="BP35" i="57"/>
  <c r="CJ27" i="57"/>
  <c r="CJ32" i="57"/>
  <c r="BP25" i="57"/>
  <c r="BP38" i="57"/>
  <c r="BP29" i="57"/>
  <c r="BP41" i="57"/>
  <c r="BP33" i="57"/>
  <c r="CJ39" i="57"/>
  <c r="CJ16" i="57"/>
  <c r="CJ37" i="57"/>
  <c r="BP19" i="57"/>
  <c r="BP40" i="57"/>
  <c r="BP23" i="57"/>
  <c r="CJ42" i="57"/>
  <c r="CJ28" i="57"/>
  <c r="CJ20" i="57"/>
  <c r="CJ30" i="57"/>
  <c r="CJ25" i="57"/>
  <c r="CJ17" i="57"/>
  <c r="BP28" i="57"/>
  <c r="CJ36" i="57"/>
  <c r="D68" i="49"/>
  <c r="E68" i="49" s="1"/>
  <c r="D68" i="50" s="1"/>
  <c r="E68" i="50" s="1"/>
  <c r="D68" i="60" s="1"/>
  <c r="CJ31" i="57"/>
  <c r="BP27" i="57"/>
  <c r="BP39" i="57"/>
  <c r="BP10" i="57"/>
  <c r="CJ29" i="57"/>
  <c r="CJ34" i="57"/>
  <c r="BP31" i="57"/>
  <c r="CJ21" i="57"/>
  <c r="BP46" i="57"/>
  <c r="BP20" i="57"/>
  <c r="BP34" i="57"/>
  <c r="CJ40" i="57"/>
  <c r="BP44" i="57"/>
  <c r="CJ41" i="57"/>
  <c r="CJ43" i="57"/>
  <c r="BP18" i="57"/>
  <c r="CJ23" i="57"/>
  <c r="BP30" i="57"/>
  <c r="CJ15" i="57"/>
  <c r="BP36" i="57"/>
  <c r="BP22" i="57"/>
  <c r="CJ14" i="57"/>
  <c r="BP16" i="57"/>
  <c r="CJ19" i="57"/>
  <c r="CJ22" i="57"/>
  <c r="BP26" i="57"/>
  <c r="CJ26" i="57"/>
  <c r="CJ18" i="57"/>
  <c r="CJ44" i="57"/>
  <c r="BP42" i="57"/>
  <c r="CJ45" i="57"/>
  <c r="BP14" i="57"/>
  <c r="CJ24" i="57"/>
  <c r="BP17" i="57"/>
  <c r="BP32" i="57"/>
  <c r="BP45" i="57"/>
  <c r="BP37" i="57"/>
  <c r="CJ35" i="57"/>
  <c r="BP21" i="57"/>
  <c r="BP43" i="57"/>
  <c r="E76" i="59"/>
  <c r="BP24" i="57"/>
  <c r="U272" i="23"/>
  <c r="V272" i="23" s="1"/>
  <c r="BE9" i="40"/>
  <c r="BF8" i="40"/>
  <c r="AE68" i="62"/>
  <c r="AF68" i="62" s="1"/>
  <c r="AE68" i="63" s="1"/>
  <c r="AF68" i="63" s="1"/>
  <c r="AE68" i="54" s="1"/>
  <c r="AF68" i="54" s="1"/>
  <c r="AE68" i="70"/>
  <c r="AF68" i="70" s="1"/>
  <c r="AQ16" i="57"/>
  <c r="AQ57" i="57" s="1"/>
  <c r="AR57" i="57" s="1"/>
  <c r="AS57" i="57" s="1"/>
  <c r="AV46" i="57"/>
  <c r="AV32" i="57"/>
  <c r="AV18" i="57"/>
  <c r="AV21" i="57"/>
  <c r="AV14" i="57"/>
  <c r="AV44" i="57"/>
  <c r="AV41" i="57"/>
  <c r="AV42" i="57"/>
  <c r="AV22" i="57"/>
  <c r="AV45" i="57"/>
  <c r="AV24" i="57"/>
  <c r="AV20" i="57"/>
  <c r="AV37" i="57"/>
  <c r="AV15" i="57"/>
  <c r="AV43" i="57"/>
  <c r="AV36" i="57"/>
  <c r="AV39" i="57"/>
  <c r="AV29" i="57"/>
  <c r="AV16" i="57"/>
  <c r="AV33" i="57"/>
  <c r="AV27" i="57"/>
  <c r="AV17" i="57"/>
  <c r="AV34" i="57"/>
  <c r="AV30" i="57"/>
  <c r="AV38" i="57"/>
  <c r="AV19" i="57"/>
  <c r="AV35" i="57"/>
  <c r="AV26" i="57"/>
  <c r="AV23" i="57"/>
  <c r="AV25" i="57"/>
  <c r="AV40" i="57"/>
  <c r="AV31" i="57"/>
  <c r="EJ294" i="40"/>
  <c r="EI295" i="40"/>
  <c r="EE294" i="40"/>
  <c r="ED295" i="40"/>
  <c r="AQ34" i="57"/>
  <c r="AQ75" i="57" s="1"/>
  <c r="AR75" i="57" s="1"/>
  <c r="AS75" i="57" s="1"/>
  <c r="AQ37" i="57"/>
  <c r="AQ78" i="57" s="1"/>
  <c r="AR78" i="57" s="1"/>
  <c r="AS78" i="57" s="1"/>
  <c r="AQ15" i="57"/>
  <c r="AQ56" i="57" s="1"/>
  <c r="AR56" i="57" s="1"/>
  <c r="AS56" i="57" s="1"/>
  <c r="AQ20" i="57"/>
  <c r="AQ61" i="57" s="1"/>
  <c r="AR61" i="57" s="1"/>
  <c r="AS61" i="57" s="1"/>
  <c r="AQ30" i="57"/>
  <c r="AQ71" i="57" s="1"/>
  <c r="AR71" i="57" s="1"/>
  <c r="AS71" i="57" s="1"/>
  <c r="AQ29" i="57"/>
  <c r="AQ70" i="57" s="1"/>
  <c r="AR70" i="57" s="1"/>
  <c r="AS70" i="57" s="1"/>
  <c r="AQ24" i="57"/>
  <c r="AQ65" i="57" s="1"/>
  <c r="AR65" i="57" s="1"/>
  <c r="AS65" i="57" s="1"/>
  <c r="AQ18" i="57"/>
  <c r="AQ59" i="57" s="1"/>
  <c r="AR59" i="57" s="1"/>
  <c r="AS59" i="57" s="1"/>
  <c r="FR296" i="40"/>
  <c r="FS295" i="40"/>
  <c r="AV8" i="57"/>
  <c r="AQ7" i="57"/>
  <c r="AQ48" i="57" s="1"/>
  <c r="AR48" i="57" s="1"/>
  <c r="AV7" i="57"/>
  <c r="AV9" i="57"/>
  <c r="AV10" i="57"/>
  <c r="AQ8" i="57"/>
  <c r="AQ49" i="57" s="1"/>
  <c r="AR49" i="57" s="1"/>
  <c r="AV11" i="57"/>
  <c r="AV12" i="57"/>
  <c r="AV28" i="57"/>
  <c r="AV13" i="57"/>
  <c r="EY297" i="40"/>
  <c r="EX298" i="40"/>
  <c r="AQ25" i="57"/>
  <c r="AQ66" i="57" s="1"/>
  <c r="AR66" i="57" s="1"/>
  <c r="AS66" i="57" s="1"/>
  <c r="AQ32" i="57"/>
  <c r="AQ73" i="57" s="1"/>
  <c r="AR73" i="57" s="1"/>
  <c r="AS73" i="57" s="1"/>
  <c r="AQ42" i="57"/>
  <c r="AQ83" i="57" s="1"/>
  <c r="AR83" i="57" s="1"/>
  <c r="AS83" i="57" s="1"/>
  <c r="AQ23" i="57"/>
  <c r="AQ64" i="57" s="1"/>
  <c r="AR64" i="57" s="1"/>
  <c r="AS64" i="57" s="1"/>
  <c r="AQ17" i="57"/>
  <c r="AQ58" i="57" s="1"/>
  <c r="AR58" i="57" s="1"/>
  <c r="AS58" i="57" s="1"/>
  <c r="AQ28" i="57"/>
  <c r="AQ69" i="57" s="1"/>
  <c r="AR69" i="57" s="1"/>
  <c r="AS69" i="57" s="1"/>
  <c r="AQ38" i="57"/>
  <c r="AQ79" i="57" s="1"/>
  <c r="AR79" i="57" s="1"/>
  <c r="AS79" i="57" s="1"/>
  <c r="AQ11" i="57"/>
  <c r="AQ52" i="57" s="1"/>
  <c r="AQ12" i="57"/>
  <c r="AQ53" i="57" s="1"/>
  <c r="AQ26" i="57"/>
  <c r="AQ67" i="57" s="1"/>
  <c r="AR67" i="57" s="1"/>
  <c r="AS67" i="57" s="1"/>
  <c r="ET294" i="40"/>
  <c r="ES295" i="40"/>
  <c r="AQ35" i="57"/>
  <c r="AQ76" i="57" s="1"/>
  <c r="AR76" i="57" s="1"/>
  <c r="AS76" i="57" s="1"/>
  <c r="AQ41" i="57"/>
  <c r="AQ82" i="57" s="1"/>
  <c r="AR82" i="57" s="1"/>
  <c r="AS82" i="57" s="1"/>
  <c r="AQ13" i="57"/>
  <c r="AQ54" i="57" s="1"/>
  <c r="AQ19" i="57"/>
  <c r="AQ60" i="57" s="1"/>
  <c r="AR60" i="57" s="1"/>
  <c r="AS60" i="57" s="1"/>
  <c r="AQ31" i="57"/>
  <c r="AQ72" i="57" s="1"/>
  <c r="AR72" i="57" s="1"/>
  <c r="AS72" i="57" s="1"/>
  <c r="AQ33" i="57"/>
  <c r="AQ74" i="57" s="1"/>
  <c r="AR74" i="57" s="1"/>
  <c r="AS74" i="57" s="1"/>
  <c r="AQ36" i="57"/>
  <c r="AQ77" i="57" s="1"/>
  <c r="AR77" i="57" s="1"/>
  <c r="AS77" i="57" s="1"/>
  <c r="AQ46" i="57"/>
  <c r="AQ87" i="57" s="1"/>
  <c r="AR87" i="57" s="1"/>
  <c r="AS87" i="57" s="1"/>
  <c r="AQ9" i="57"/>
  <c r="AQ50" i="57" s="1"/>
  <c r="AR50" i="57" s="1"/>
  <c r="AQ40" i="57"/>
  <c r="AQ81" i="57" s="1"/>
  <c r="AR81" i="57" s="1"/>
  <c r="AS81" i="57" s="1"/>
  <c r="FD292" i="40"/>
  <c r="FC293" i="40"/>
  <c r="FI294" i="40"/>
  <c r="FH295" i="40"/>
  <c r="AQ21" i="57"/>
  <c r="AQ62" i="57" s="1"/>
  <c r="AR62" i="57" s="1"/>
  <c r="AS62" i="57" s="1"/>
  <c r="AQ43" i="57"/>
  <c r="AQ84" i="57" s="1"/>
  <c r="AR84" i="57" s="1"/>
  <c r="AS84" i="57" s="1"/>
  <c r="AQ14" i="57"/>
  <c r="AQ55" i="57" s="1"/>
  <c r="AQ22" i="57"/>
  <c r="AQ63" i="57" s="1"/>
  <c r="AR63" i="57" s="1"/>
  <c r="AS63" i="57" s="1"/>
  <c r="AQ45" i="57"/>
  <c r="AQ86" i="57" s="1"/>
  <c r="AR86" i="57" s="1"/>
  <c r="AS86" i="57" s="1"/>
  <c r="AQ39" i="57"/>
  <c r="AQ80" i="57" s="1"/>
  <c r="AR80" i="57" s="1"/>
  <c r="AS80" i="57" s="1"/>
  <c r="AQ10" i="57"/>
  <c r="AQ51" i="57" s="1"/>
  <c r="AR51" i="57" s="1"/>
  <c r="AQ44" i="57"/>
  <c r="AQ85" i="57" s="1"/>
  <c r="AR85" i="57" s="1"/>
  <c r="AS85" i="57" s="1"/>
  <c r="AQ27" i="57"/>
  <c r="AQ68" i="57" s="1"/>
  <c r="AR68" i="57" s="1"/>
  <c r="AS68" i="57" s="1"/>
  <c r="FM293" i="40"/>
  <c r="FN292" i="40"/>
  <c r="EN296" i="40"/>
  <c r="EO295" i="40"/>
  <c r="M68" i="49"/>
  <c r="N68" i="49" s="1"/>
  <c r="M68" i="50" s="1"/>
  <c r="N68" i="50" s="1"/>
  <c r="M68" i="60" s="1"/>
  <c r="N75" i="59"/>
  <c r="E69" i="61"/>
  <c r="E70" i="61"/>
  <c r="E71" i="61"/>
  <c r="W74" i="59"/>
  <c r="V75" i="59"/>
  <c r="BY71" i="54"/>
  <c r="AO71" i="54"/>
  <c r="BG71" i="54"/>
  <c r="Y388" i="23"/>
  <c r="X388" i="23"/>
  <c r="W388" i="23"/>
  <c r="G318" i="1" s="1"/>
  <c r="O318" i="1" s="1"/>
  <c r="O316" i="1"/>
  <c r="I316" i="1"/>
  <c r="K316" i="1"/>
  <c r="M316" i="1"/>
  <c r="BI365" i="40"/>
  <c r="BI367" i="40" s="1"/>
  <c r="BI370" i="40" s="1"/>
  <c r="CE30" i="40"/>
  <c r="CD31" i="40"/>
  <c r="BZ30" i="40"/>
  <c r="BY31" i="40"/>
  <c r="CH219" i="40"/>
  <c r="CH226" i="40" s="1"/>
  <c r="CH233" i="40" s="1"/>
  <c r="CH235" i="40" s="1"/>
  <c r="BU19" i="40"/>
  <c r="BT20" i="40"/>
  <c r="CM210" i="40"/>
  <c r="CM211" i="40" s="1"/>
  <c r="CM217" i="40" s="1"/>
  <c r="CM219" i="40" s="1"/>
  <c r="CM220" i="40" s="1"/>
  <c r="CM223" i="40" s="1"/>
  <c r="CM230" i="40" s="1"/>
  <c r="CM232" i="40" s="1"/>
  <c r="CM234" i="40" s="1"/>
  <c r="CM236" i="40" s="1"/>
  <c r="CM239" i="40" s="1"/>
  <c r="CM241" i="40" s="1"/>
  <c r="CM243" i="40" s="1"/>
  <c r="CM247" i="40" s="1"/>
  <c r="CM250" i="40" s="1"/>
  <c r="CM254" i="40" s="1"/>
  <c r="CM256" i="40" s="1"/>
  <c r="CM258" i="40" s="1"/>
  <c r="CM260" i="40" s="1"/>
  <c r="CW51" i="40"/>
  <c r="K167" i="23"/>
  <c r="K168" i="23"/>
  <c r="BN84" i="40"/>
  <c r="BN371" i="40"/>
  <c r="CS35" i="40"/>
  <c r="CT34" i="40"/>
  <c r="AB367" i="23"/>
  <c r="AA368" i="23"/>
  <c r="AA275" i="23"/>
  <c r="X274" i="23"/>
  <c r="U273" i="23"/>
  <c r="V273" i="23" s="1"/>
  <c r="R274" i="23"/>
  <c r="S274" i="23" s="1"/>
  <c r="P273" i="23"/>
  <c r="O274" i="23"/>
  <c r="M272" i="23"/>
  <c r="L273" i="23"/>
  <c r="B257" i="23"/>
  <c r="C257" i="23" s="1"/>
  <c r="A258" i="23"/>
  <c r="Q224" i="23"/>
  <c r="Q225" i="23" s="1"/>
  <c r="E68" i="60" l="1"/>
  <c r="D68" i="51" s="1"/>
  <c r="E68" i="51" s="1"/>
  <c r="D68" i="58" s="1"/>
  <c r="E68" i="58" s="1"/>
  <c r="D68" i="61" s="1"/>
  <c r="E68" i="61" s="1"/>
  <c r="D68" i="70" s="1"/>
  <c r="E68" i="70" s="1"/>
  <c r="E69" i="60"/>
  <c r="E73" i="60"/>
  <c r="N68" i="60"/>
  <c r="M68" i="51" s="1"/>
  <c r="N68" i="51" s="1"/>
  <c r="M68" i="58" s="1"/>
  <c r="N70" i="60"/>
  <c r="N69" i="60"/>
  <c r="CO7" i="57"/>
  <c r="CO48" i="57" s="1"/>
  <c r="CP48" i="57" s="1"/>
  <c r="CO8" i="57"/>
  <c r="CO49" i="57" s="1"/>
  <c r="CP49" i="57" s="1"/>
  <c r="CT8" i="57"/>
  <c r="CT7" i="57"/>
  <c r="BE10" i="40"/>
  <c r="BF9" i="40"/>
  <c r="D68" i="62"/>
  <c r="E68" i="62" s="1"/>
  <c r="D68" i="63" s="1"/>
  <c r="E68" i="63" s="1"/>
  <c r="D68" i="54" s="1"/>
  <c r="EO296" i="40"/>
  <c r="EN297" i="40"/>
  <c r="FH296" i="40"/>
  <c r="FI295" i="40"/>
  <c r="ED296" i="40"/>
  <c r="EE295" i="40"/>
  <c r="CT15" i="57"/>
  <c r="CT24" i="57"/>
  <c r="CT44" i="57"/>
  <c r="CT30" i="57"/>
  <c r="CT20" i="57"/>
  <c r="CT38" i="57"/>
  <c r="CT43" i="57"/>
  <c r="CT16" i="57"/>
  <c r="CT18" i="57"/>
  <c r="CT40" i="57"/>
  <c r="CO46" i="57"/>
  <c r="CO87" i="57" s="1"/>
  <c r="CP87" i="57" s="1"/>
  <c r="CQ87" i="57" s="1"/>
  <c r="CO45" i="57"/>
  <c r="CO86" i="57" s="1"/>
  <c r="CP86" i="57" s="1"/>
  <c r="CQ86" i="57" s="1"/>
  <c r="CO17" i="57"/>
  <c r="CO58" i="57" s="1"/>
  <c r="CP58" i="57" s="1"/>
  <c r="CQ58" i="57" s="1"/>
  <c r="CO23" i="57"/>
  <c r="CO64" i="57" s="1"/>
  <c r="CP64" i="57" s="1"/>
  <c r="CQ64" i="57" s="1"/>
  <c r="CO22" i="57"/>
  <c r="CO63" i="57" s="1"/>
  <c r="CP63" i="57" s="1"/>
  <c r="CQ63" i="57" s="1"/>
  <c r="CO40" i="57"/>
  <c r="CO81" i="57" s="1"/>
  <c r="CP81" i="57" s="1"/>
  <c r="CQ81" i="57" s="1"/>
  <c r="CO9" i="57"/>
  <c r="CO50" i="57" s="1"/>
  <c r="CP50" i="57" s="1"/>
  <c r="CO10" i="57"/>
  <c r="CO51" i="57" s="1"/>
  <c r="CP51" i="57" s="1"/>
  <c r="CQ51" i="57" s="1"/>
  <c r="CO12" i="57"/>
  <c r="CO53" i="57" s="1"/>
  <c r="CP53" i="57" s="1"/>
  <c r="CQ53" i="57" s="1"/>
  <c r="CO29" i="57"/>
  <c r="CO70" i="57" s="1"/>
  <c r="CP70" i="57" s="1"/>
  <c r="CQ70" i="57" s="1"/>
  <c r="CT45" i="57"/>
  <c r="CT14" i="57"/>
  <c r="CT33" i="57"/>
  <c r="CT39" i="57"/>
  <c r="CT22" i="57"/>
  <c r="CT42" i="57"/>
  <c r="CT27" i="57"/>
  <c r="CT23" i="57"/>
  <c r="CO26" i="57"/>
  <c r="CO67" i="57" s="1"/>
  <c r="CP67" i="57" s="1"/>
  <c r="CQ67" i="57" s="1"/>
  <c r="CO28" i="57"/>
  <c r="CO69" i="57" s="1"/>
  <c r="CP69" i="57" s="1"/>
  <c r="CQ69" i="57" s="1"/>
  <c r="CO31" i="57"/>
  <c r="CO72" i="57" s="1"/>
  <c r="CP72" i="57" s="1"/>
  <c r="CQ72" i="57" s="1"/>
  <c r="CO42" i="57"/>
  <c r="CO83" i="57" s="1"/>
  <c r="CP83" i="57" s="1"/>
  <c r="CQ83" i="57" s="1"/>
  <c r="CO44" i="57"/>
  <c r="CO85" i="57" s="1"/>
  <c r="CP85" i="57" s="1"/>
  <c r="CQ85" i="57" s="1"/>
  <c r="CO38" i="57"/>
  <c r="CO79" i="57" s="1"/>
  <c r="CP79" i="57" s="1"/>
  <c r="CQ79" i="57" s="1"/>
  <c r="CO14" i="57"/>
  <c r="CO55" i="57" s="1"/>
  <c r="CP55" i="57" s="1"/>
  <c r="CQ55" i="57" s="1"/>
  <c r="CO34" i="57"/>
  <c r="CO75" i="57" s="1"/>
  <c r="CP75" i="57" s="1"/>
  <c r="CQ75" i="57" s="1"/>
  <c r="CO35" i="57"/>
  <c r="CO76" i="57" s="1"/>
  <c r="CP76" i="57" s="1"/>
  <c r="CQ76" i="57" s="1"/>
  <c r="CO25" i="57"/>
  <c r="CO66" i="57" s="1"/>
  <c r="CP66" i="57" s="1"/>
  <c r="CQ66" i="57" s="1"/>
  <c r="CO15" i="57"/>
  <c r="CO56" i="57" s="1"/>
  <c r="CP56" i="57" s="1"/>
  <c r="CQ56" i="57" s="1"/>
  <c r="CT28" i="57"/>
  <c r="CT34" i="57"/>
  <c r="CT12" i="57"/>
  <c r="CT11" i="57"/>
  <c r="CT19" i="57"/>
  <c r="CT31" i="57"/>
  <c r="CT41" i="57"/>
  <c r="CT37" i="57"/>
  <c r="CT25" i="57"/>
  <c r="CT32" i="57"/>
  <c r="CT35" i="57"/>
  <c r="CO41" i="57"/>
  <c r="CO82" i="57" s="1"/>
  <c r="CP82" i="57" s="1"/>
  <c r="CQ82" i="57" s="1"/>
  <c r="CO13" i="57"/>
  <c r="CO54" i="57" s="1"/>
  <c r="CP54" i="57" s="1"/>
  <c r="CQ54" i="57" s="1"/>
  <c r="CO24" i="57"/>
  <c r="CO65" i="57" s="1"/>
  <c r="CP65" i="57" s="1"/>
  <c r="CQ65" i="57" s="1"/>
  <c r="CO18" i="57"/>
  <c r="CO59" i="57" s="1"/>
  <c r="CP59" i="57" s="1"/>
  <c r="CQ59" i="57" s="1"/>
  <c r="CO33" i="57"/>
  <c r="CO74" i="57" s="1"/>
  <c r="CP74" i="57" s="1"/>
  <c r="CQ74" i="57" s="1"/>
  <c r="CO39" i="57"/>
  <c r="CO80" i="57" s="1"/>
  <c r="CP80" i="57" s="1"/>
  <c r="CQ80" i="57" s="1"/>
  <c r="CO16" i="57"/>
  <c r="CO57" i="57" s="1"/>
  <c r="CP57" i="57" s="1"/>
  <c r="CQ57" i="57" s="1"/>
  <c r="CO11" i="57"/>
  <c r="CO52" i="57" s="1"/>
  <c r="CP52" i="57" s="1"/>
  <c r="CQ52" i="57" s="1"/>
  <c r="CT10" i="57"/>
  <c r="CT13" i="57"/>
  <c r="CT21" i="57"/>
  <c r="CT17" i="57"/>
  <c r="CT26" i="57"/>
  <c r="CO21" i="57"/>
  <c r="CO62" i="57" s="1"/>
  <c r="CP62" i="57" s="1"/>
  <c r="CQ62" i="57" s="1"/>
  <c r="CO27" i="57"/>
  <c r="CO68" i="57" s="1"/>
  <c r="CP68" i="57" s="1"/>
  <c r="CQ68" i="57" s="1"/>
  <c r="CO36" i="57"/>
  <c r="CO77" i="57" s="1"/>
  <c r="CP77" i="57" s="1"/>
  <c r="CQ77" i="57" s="1"/>
  <c r="CO37" i="57"/>
  <c r="CO78" i="57" s="1"/>
  <c r="CP78" i="57" s="1"/>
  <c r="CQ78" i="57" s="1"/>
  <c r="CO43" i="57"/>
  <c r="CO84" i="57" s="1"/>
  <c r="CP84" i="57" s="1"/>
  <c r="CQ84" i="57" s="1"/>
  <c r="CO19" i="57"/>
  <c r="CO60" i="57" s="1"/>
  <c r="CP60" i="57" s="1"/>
  <c r="CQ60" i="57" s="1"/>
  <c r="CT9" i="57"/>
  <c r="CO20" i="57"/>
  <c r="CO61" i="57" s="1"/>
  <c r="CP61" i="57" s="1"/>
  <c r="CQ61" i="57" s="1"/>
  <c r="CO30" i="57"/>
  <c r="CO71" i="57" s="1"/>
  <c r="CP71" i="57" s="1"/>
  <c r="CQ71" i="57" s="1"/>
  <c r="CO32" i="57"/>
  <c r="CO73" i="57" s="1"/>
  <c r="CP73" i="57" s="1"/>
  <c r="CQ73" i="57" s="1"/>
  <c r="CT29" i="57"/>
  <c r="CT46" i="57"/>
  <c r="CT36" i="57"/>
  <c r="FM294" i="40"/>
  <c r="FN293" i="40"/>
  <c r="FD293" i="40"/>
  <c r="FC294" i="40"/>
  <c r="ES296" i="40"/>
  <c r="ET295" i="40"/>
  <c r="AR52" i="57"/>
  <c r="EY298" i="40"/>
  <c r="EX299" i="40"/>
  <c r="EI296" i="40"/>
  <c r="EJ295" i="40"/>
  <c r="FR297" i="40"/>
  <c r="FS296" i="40"/>
  <c r="N69" i="58"/>
  <c r="N68" i="58"/>
  <c r="M68" i="61" s="1"/>
  <c r="W75" i="59"/>
  <c r="V68" i="49"/>
  <c r="W68" i="49" s="1"/>
  <c r="V68" i="50" s="1"/>
  <c r="W68" i="50" s="1"/>
  <c r="V68" i="60" s="1"/>
  <c r="W68" i="60" s="1"/>
  <c r="V68" i="51" s="1"/>
  <c r="W68" i="51" s="1"/>
  <c r="V68" i="58" s="1"/>
  <c r="E74" i="54"/>
  <c r="E71" i="54"/>
  <c r="E73" i="54"/>
  <c r="E68" i="54"/>
  <c r="L397" i="23" s="1"/>
  <c r="E75" i="54"/>
  <c r="E72" i="54"/>
  <c r="E69" i="54"/>
  <c r="E70" i="54"/>
  <c r="BG72" i="54"/>
  <c r="AO72" i="54"/>
  <c r="BA15" i="57" s="1"/>
  <c r="BA56" i="57" s="1"/>
  <c r="BB56" i="57" s="1"/>
  <c r="BC56" i="57" s="1"/>
  <c r="X389" i="23"/>
  <c r="W389" i="23"/>
  <c r="G320" i="1" s="1"/>
  <c r="O320" i="1" s="1"/>
  <c r="Y389" i="23"/>
  <c r="BI373" i="40"/>
  <c r="BI374" i="40" s="1"/>
  <c r="BI375" i="40" s="1"/>
  <c r="BI376" i="40" s="1"/>
  <c r="BI378" i="40" s="1"/>
  <c r="BI379" i="40" s="1"/>
  <c r="BI382" i="40" s="1"/>
  <c r="BY32" i="40"/>
  <c r="BZ31" i="40"/>
  <c r="CE31" i="40"/>
  <c r="CD32" i="40"/>
  <c r="BU20" i="40"/>
  <c r="BT21" i="40"/>
  <c r="CH238" i="40"/>
  <c r="CH240" i="40" s="1"/>
  <c r="CH243" i="40" s="1"/>
  <c r="CW52" i="40"/>
  <c r="CM261" i="40"/>
  <c r="CM267" i="40" s="1"/>
  <c r="CM268" i="40" s="1"/>
  <c r="CM273" i="40" s="1"/>
  <c r="CM278" i="40" s="1"/>
  <c r="CM282" i="40" s="1"/>
  <c r="CM289" i="40" s="1"/>
  <c r="CM291" i="40" s="1"/>
  <c r="CM292" i="40" s="1"/>
  <c r="CM293" i="40" s="1"/>
  <c r="CM296" i="40" s="1"/>
  <c r="CM301" i="40" s="1"/>
  <c r="CM302" i="40" s="1"/>
  <c r="CM304" i="40" s="1"/>
  <c r="CM308" i="40" s="1"/>
  <c r="CM309" i="40" s="1"/>
  <c r="CM310" i="40" s="1"/>
  <c r="CM316" i="40" s="1"/>
  <c r="CM320" i="40" s="1"/>
  <c r="L165" i="23"/>
  <c r="L167" i="23"/>
  <c r="L161" i="23"/>
  <c r="L164" i="23"/>
  <c r="L156" i="23"/>
  <c r="L158" i="23"/>
  <c r="L157" i="23"/>
  <c r="L163" i="23"/>
  <c r="L166" i="23"/>
  <c r="L160" i="23"/>
  <c r="L162" i="23"/>
  <c r="L159" i="23"/>
  <c r="L168" i="23"/>
  <c r="K318" i="1"/>
  <c r="I318" i="1"/>
  <c r="M318" i="1"/>
  <c r="BN85" i="40"/>
  <c r="BN380" i="40"/>
  <c r="CS36" i="40"/>
  <c r="CT35" i="40"/>
  <c r="AB368" i="23"/>
  <c r="AA369" i="23"/>
  <c r="AR191" i="23"/>
  <c r="T214" i="23"/>
  <c r="X275" i="23"/>
  <c r="AA276" i="23"/>
  <c r="U274" i="23"/>
  <c r="V274" i="23" s="1"/>
  <c r="R275" i="23"/>
  <c r="S275" i="23" s="1"/>
  <c r="L274" i="23"/>
  <c r="M273" i="23"/>
  <c r="P274" i="23"/>
  <c r="O275" i="23"/>
  <c r="A259" i="23"/>
  <c r="B258" i="23"/>
  <c r="C258" i="23" s="1"/>
  <c r="BF8" i="57" l="1"/>
  <c r="BF9" i="57"/>
  <c r="BF10" i="57"/>
  <c r="BA9" i="57"/>
  <c r="BA50" i="57" s="1"/>
  <c r="BA10" i="57"/>
  <c r="BA51" i="57" s="1"/>
  <c r="BA8" i="57"/>
  <c r="BA49" i="57" s="1"/>
  <c r="BE11" i="40"/>
  <c r="BF10" i="40"/>
  <c r="EI297" i="40"/>
  <c r="EJ296" i="40"/>
  <c r="BA14" i="57"/>
  <c r="BA55" i="57" s="1"/>
  <c r="BB55" i="57" s="1"/>
  <c r="BC55" i="57" s="1"/>
  <c r="BA33" i="57"/>
  <c r="BA74" i="57" s="1"/>
  <c r="BB74" i="57" s="1"/>
  <c r="BC74" i="57" s="1"/>
  <c r="BA7" i="57"/>
  <c r="BA48" i="57" s="1"/>
  <c r="BB48" i="57" s="1"/>
  <c r="BA45" i="57"/>
  <c r="BA86" i="57" s="1"/>
  <c r="BB86" i="57" s="1"/>
  <c r="BC86" i="57" s="1"/>
  <c r="BA17" i="57"/>
  <c r="BA58" i="57" s="1"/>
  <c r="BB58" i="57" s="1"/>
  <c r="BC58" i="57" s="1"/>
  <c r="BA25" i="57"/>
  <c r="BA66" i="57" s="1"/>
  <c r="BB66" i="57" s="1"/>
  <c r="BC66" i="57" s="1"/>
  <c r="BA20" i="57"/>
  <c r="BA61" i="57" s="1"/>
  <c r="BB61" i="57" s="1"/>
  <c r="BC61" i="57" s="1"/>
  <c r="BA41" i="57"/>
  <c r="BA82" i="57" s="1"/>
  <c r="BB82" i="57" s="1"/>
  <c r="BC82" i="57" s="1"/>
  <c r="BA24" i="57"/>
  <c r="BA65" i="57" s="1"/>
  <c r="BB65" i="57" s="1"/>
  <c r="BC65" i="57" s="1"/>
  <c r="BA12" i="57"/>
  <c r="BA53" i="57" s="1"/>
  <c r="BB53" i="57" s="1"/>
  <c r="BC53" i="57" s="1"/>
  <c r="EE296" i="40"/>
  <c r="ED297" i="40"/>
  <c r="FI296" i="40"/>
  <c r="FH297" i="40"/>
  <c r="FS297" i="40"/>
  <c r="FR298" i="40"/>
  <c r="EY299" i="40"/>
  <c r="EX300" i="40"/>
  <c r="ET296" i="40"/>
  <c r="ES297" i="40"/>
  <c r="FM295" i="40"/>
  <c r="FN294" i="40"/>
  <c r="BA31" i="57"/>
  <c r="BA72" i="57" s="1"/>
  <c r="BB72" i="57" s="1"/>
  <c r="BC72" i="57" s="1"/>
  <c r="BA32" i="57"/>
  <c r="BA73" i="57" s="1"/>
  <c r="BB73" i="57" s="1"/>
  <c r="BC73" i="57" s="1"/>
  <c r="BA34" i="57"/>
  <c r="BA75" i="57" s="1"/>
  <c r="BB75" i="57" s="1"/>
  <c r="BC75" i="57" s="1"/>
  <c r="BA27" i="57"/>
  <c r="BA68" i="57" s="1"/>
  <c r="BB68" i="57" s="1"/>
  <c r="BC68" i="57" s="1"/>
  <c r="BA22" i="57"/>
  <c r="BA63" i="57" s="1"/>
  <c r="BB63" i="57" s="1"/>
  <c r="BC63" i="57" s="1"/>
  <c r="BA23" i="57"/>
  <c r="BA64" i="57" s="1"/>
  <c r="BB64" i="57" s="1"/>
  <c r="BC64" i="57" s="1"/>
  <c r="BA37" i="57"/>
  <c r="BA78" i="57" s="1"/>
  <c r="BB78" i="57" s="1"/>
  <c r="BC78" i="57" s="1"/>
  <c r="BA39" i="57"/>
  <c r="BA80" i="57" s="1"/>
  <c r="BB80" i="57" s="1"/>
  <c r="BC80" i="57" s="1"/>
  <c r="EO297" i="40"/>
  <c r="EN298" i="40"/>
  <c r="BF14" i="57"/>
  <c r="BF41" i="57"/>
  <c r="BF39" i="57"/>
  <c r="BF23" i="57"/>
  <c r="BF13" i="57"/>
  <c r="BF37" i="57"/>
  <c r="BF44" i="57"/>
  <c r="BF33" i="57"/>
  <c r="BF22" i="57"/>
  <c r="BF11" i="57"/>
  <c r="BF46" i="57"/>
  <c r="BF16" i="57"/>
  <c r="BF19" i="57"/>
  <c r="BF21" i="57"/>
  <c r="BF12" i="57"/>
  <c r="BF45" i="57"/>
  <c r="BF34" i="57"/>
  <c r="BF38" i="57"/>
  <c r="BF20" i="57"/>
  <c r="BF28" i="57"/>
  <c r="BF15" i="57"/>
  <c r="BF40" i="57"/>
  <c r="BF18" i="57"/>
  <c r="BF42" i="57"/>
  <c r="BF25" i="57"/>
  <c r="BF32" i="57"/>
  <c r="BF30" i="57"/>
  <c r="BF26" i="57"/>
  <c r="BF17" i="57"/>
  <c r="BF29" i="57"/>
  <c r="BF35" i="57"/>
  <c r="BF24" i="57"/>
  <c r="BF43" i="57"/>
  <c r="BF36" i="57"/>
  <c r="BF27" i="57"/>
  <c r="FC295" i="40"/>
  <c r="FD294" i="40"/>
  <c r="BA29" i="57"/>
  <c r="BA70" i="57" s="1"/>
  <c r="BB70" i="57" s="1"/>
  <c r="BC70" i="57" s="1"/>
  <c r="BA18" i="57"/>
  <c r="BA59" i="57" s="1"/>
  <c r="BB59" i="57" s="1"/>
  <c r="BC59" i="57" s="1"/>
  <c r="BA30" i="57"/>
  <c r="BA71" i="57" s="1"/>
  <c r="BB71" i="57" s="1"/>
  <c r="BC71" i="57" s="1"/>
  <c r="BA40" i="57"/>
  <c r="BA81" i="57" s="1"/>
  <c r="BB81" i="57" s="1"/>
  <c r="BC81" i="57" s="1"/>
  <c r="BA26" i="57"/>
  <c r="BA67" i="57" s="1"/>
  <c r="BB67" i="57" s="1"/>
  <c r="BC67" i="57" s="1"/>
  <c r="BA21" i="57"/>
  <c r="BA62" i="57" s="1"/>
  <c r="BB62" i="57" s="1"/>
  <c r="BC62" i="57" s="1"/>
  <c r="BA36" i="57"/>
  <c r="BA77" i="57" s="1"/>
  <c r="BB77" i="57" s="1"/>
  <c r="BC77" i="57" s="1"/>
  <c r="BA35" i="57"/>
  <c r="BA76" i="57" s="1"/>
  <c r="BB76" i="57" s="1"/>
  <c r="BC76" i="57" s="1"/>
  <c r="BA13" i="57"/>
  <c r="BA54" i="57" s="1"/>
  <c r="BB54" i="57" s="1"/>
  <c r="BC54" i="57" s="1"/>
  <c r="BA46" i="57"/>
  <c r="BA87" i="57" s="1"/>
  <c r="BB87" i="57" s="1"/>
  <c r="BC87" i="57" s="1"/>
  <c r="BF31" i="57"/>
  <c r="BA16" i="57"/>
  <c r="BA57" i="57" s="1"/>
  <c r="BB57" i="57" s="1"/>
  <c r="BC57" i="57" s="1"/>
  <c r="BA42" i="57"/>
  <c r="BA83" i="57" s="1"/>
  <c r="BB83" i="57" s="1"/>
  <c r="BC83" i="57" s="1"/>
  <c r="BF7" i="57"/>
  <c r="BA44" i="57"/>
  <c r="BA85" i="57" s="1"/>
  <c r="BB85" i="57" s="1"/>
  <c r="BC85" i="57" s="1"/>
  <c r="BA11" i="57"/>
  <c r="BA52" i="57" s="1"/>
  <c r="BA19" i="57"/>
  <c r="BA60" i="57" s="1"/>
  <c r="BB60" i="57" s="1"/>
  <c r="BC60" i="57" s="1"/>
  <c r="BA28" i="57"/>
  <c r="BA69" i="57" s="1"/>
  <c r="BB69" i="57" s="1"/>
  <c r="BC69" i="57" s="1"/>
  <c r="BA43" i="57"/>
  <c r="BA84" i="57" s="1"/>
  <c r="BB84" i="57" s="1"/>
  <c r="BC84" i="57" s="1"/>
  <c r="BA38" i="57"/>
  <c r="BA79" i="57" s="1"/>
  <c r="BB79" i="57" s="1"/>
  <c r="BC79" i="57" s="1"/>
  <c r="AR53" i="57"/>
  <c r="N68" i="61"/>
  <c r="N71" i="61"/>
  <c r="N69" i="61"/>
  <c r="N70" i="61"/>
  <c r="W68" i="58"/>
  <c r="V68" i="61" s="1"/>
  <c r="W69" i="58"/>
  <c r="W70" i="58"/>
  <c r="W71" i="58"/>
  <c r="BG73" i="54"/>
  <c r="BU8" i="57" s="1"/>
  <c r="BU49" i="57" s="1"/>
  <c r="Y390" i="23"/>
  <c r="W390" i="23"/>
  <c r="G322" i="1" s="1"/>
  <c r="X390" i="23"/>
  <c r="I320" i="1"/>
  <c r="K320" i="1"/>
  <c r="M320" i="1"/>
  <c r="BI383" i="40"/>
  <c r="BI384" i="40" s="1"/>
  <c r="BI385" i="40" s="1"/>
  <c r="BI386" i="40" s="1"/>
  <c r="BI387" i="40" s="1"/>
  <c r="CD33" i="40"/>
  <c r="CE32" i="40"/>
  <c r="BY33" i="40"/>
  <c r="BZ32" i="40"/>
  <c r="CH244" i="40"/>
  <c r="BT22" i="40"/>
  <c r="BU21" i="40"/>
  <c r="CM324" i="40"/>
  <c r="CM325" i="40" s="1"/>
  <c r="CM328" i="40" s="1"/>
  <c r="CM329" i="40" s="1"/>
  <c r="CM334" i="40" s="1"/>
  <c r="CM336" i="40" s="1"/>
  <c r="CW53" i="40"/>
  <c r="DI207" i="23"/>
  <c r="DI203" i="23"/>
  <c r="DI199" i="23"/>
  <c r="DI195" i="23"/>
  <c r="DC209" i="23"/>
  <c r="DC205" i="23"/>
  <c r="DC201" i="23"/>
  <c r="DC197" i="23"/>
  <c r="DC193" i="23"/>
  <c r="CW207" i="23"/>
  <c r="CW203" i="23"/>
  <c r="CW199" i="23"/>
  <c r="CW195" i="23"/>
  <c r="CQ209" i="23"/>
  <c r="CQ205" i="23"/>
  <c r="CQ201" i="23"/>
  <c r="CQ197" i="23"/>
  <c r="CQ193" i="23"/>
  <c r="CK207" i="23"/>
  <c r="CK203" i="23"/>
  <c r="CK199" i="23"/>
  <c r="CK195" i="23"/>
  <c r="CE209" i="23"/>
  <c r="CE205" i="23"/>
  <c r="CE201" i="23"/>
  <c r="CE197" i="23"/>
  <c r="CE193" i="23"/>
  <c r="DI210" i="23"/>
  <c r="DI206" i="23"/>
  <c r="DI202" i="23"/>
  <c r="DI198" i="23"/>
  <c r="DI194" i="23"/>
  <c r="DC208" i="23"/>
  <c r="DC204" i="23"/>
  <c r="DC200" i="23"/>
  <c r="DC196" i="23"/>
  <c r="CW210" i="23"/>
  <c r="CW206" i="23"/>
  <c r="CW202" i="23"/>
  <c r="CW198" i="23"/>
  <c r="CW194" i="23"/>
  <c r="CQ208" i="23"/>
  <c r="CQ204" i="23"/>
  <c r="CQ200" i="23"/>
  <c r="CQ196" i="23"/>
  <c r="CK210" i="23"/>
  <c r="CK206" i="23"/>
  <c r="CK202" i="23"/>
  <c r="CK198" i="23"/>
  <c r="CK194" i="23"/>
  <c r="CE208" i="23"/>
  <c r="CE204" i="23"/>
  <c r="CE200" i="23"/>
  <c r="CE196" i="23"/>
  <c r="DI209" i="23"/>
  <c r="DI205" i="23"/>
  <c r="DI201" i="23"/>
  <c r="DI197" i="23"/>
  <c r="DI193" i="23"/>
  <c r="DC207" i="23"/>
  <c r="DC203" i="23"/>
  <c r="DC199" i="23"/>
  <c r="DC195" i="23"/>
  <c r="CW209" i="23"/>
  <c r="CW205" i="23"/>
  <c r="CW201" i="23"/>
  <c r="CW197" i="23"/>
  <c r="CW193" i="23"/>
  <c r="CQ207" i="23"/>
  <c r="CQ203" i="23"/>
  <c r="CQ199" i="23"/>
  <c r="CQ195" i="23"/>
  <c r="CK209" i="23"/>
  <c r="CK205" i="23"/>
  <c r="CK201" i="23"/>
  <c r="CK197" i="23"/>
  <c r="CK193" i="23"/>
  <c r="CE207" i="23"/>
  <c r="CE203" i="23"/>
  <c r="CE199" i="23"/>
  <c r="CE195" i="23"/>
  <c r="DI208" i="23"/>
  <c r="DI204" i="23"/>
  <c r="DI200" i="23"/>
  <c r="DI196" i="23"/>
  <c r="DC210" i="23"/>
  <c r="DC206" i="23"/>
  <c r="DC202" i="23"/>
  <c r="DC198" i="23"/>
  <c r="DC194" i="23"/>
  <c r="CW208" i="23"/>
  <c r="CW204" i="23"/>
  <c r="CW200" i="23"/>
  <c r="CW196" i="23"/>
  <c r="CQ210" i="23"/>
  <c r="CQ206" i="23"/>
  <c r="CQ202" i="23"/>
  <c r="CQ198" i="23"/>
  <c r="CQ194" i="23"/>
  <c r="CK208" i="23"/>
  <c r="CK204" i="23"/>
  <c r="CK200" i="23"/>
  <c r="CK196" i="23"/>
  <c r="CE210" i="23"/>
  <c r="CE206" i="23"/>
  <c r="CE202" i="23"/>
  <c r="CE198" i="23"/>
  <c r="CE194" i="23"/>
  <c r="BN86" i="40"/>
  <c r="BN384" i="40"/>
  <c r="BN385" i="40" s="1"/>
  <c r="BN386" i="40" s="1"/>
  <c r="BN387" i="40" s="1"/>
  <c r="CS37" i="40"/>
  <c r="CT36" i="40"/>
  <c r="AA370" i="23"/>
  <c r="AB369" i="23"/>
  <c r="T215" i="23"/>
  <c r="U214" i="23"/>
  <c r="V214" i="23" s="1"/>
  <c r="Y227" i="23" s="1"/>
  <c r="AQ206" i="23" s="1"/>
  <c r="AR206" i="23" s="1"/>
  <c r="DH209" i="23"/>
  <c r="DH207" i="23"/>
  <c r="DH205" i="23"/>
  <c r="DH203" i="23"/>
  <c r="DH201" i="23"/>
  <c r="DH199" i="23"/>
  <c r="DH197" i="23"/>
  <c r="DH195" i="23"/>
  <c r="CV210" i="23"/>
  <c r="CV208" i="23"/>
  <c r="CV206" i="23"/>
  <c r="CV204" i="23"/>
  <c r="CV202" i="23"/>
  <c r="CV200" i="23"/>
  <c r="CV198" i="23"/>
  <c r="CV196" i="23"/>
  <c r="CV194" i="23"/>
  <c r="DB210" i="23"/>
  <c r="DB208" i="23"/>
  <c r="DB206" i="23"/>
  <c r="DB204" i="23"/>
  <c r="DB202" i="23"/>
  <c r="DB200" i="23"/>
  <c r="DB198" i="23"/>
  <c r="DB196" i="23"/>
  <c r="DB194" i="23"/>
  <c r="DH208" i="23"/>
  <c r="DH204" i="23"/>
  <c r="DH200" i="23"/>
  <c r="DH196" i="23"/>
  <c r="CV207" i="23"/>
  <c r="CV203" i="23"/>
  <c r="CV199" i="23"/>
  <c r="CV195" i="23"/>
  <c r="CV201" i="23"/>
  <c r="DB207" i="23"/>
  <c r="DB199" i="23"/>
  <c r="DB209" i="23"/>
  <c r="DB205" i="23"/>
  <c r="DB201" i="23"/>
  <c r="DB197" i="23"/>
  <c r="DH210" i="23"/>
  <c r="DH206" i="23"/>
  <c r="DH202" i="23"/>
  <c r="DH198" i="23"/>
  <c r="DH194" i="23"/>
  <c r="CV209" i="23"/>
  <c r="CV205" i="23"/>
  <c r="CV197" i="23"/>
  <c r="DB203" i="23"/>
  <c r="DB195" i="23"/>
  <c r="AA277" i="23"/>
  <c r="X276" i="23"/>
  <c r="U275" i="23"/>
  <c r="V275" i="23" s="1"/>
  <c r="R276" i="23"/>
  <c r="S276" i="23" s="1"/>
  <c r="P275" i="23"/>
  <c r="O276" i="23"/>
  <c r="M274" i="23"/>
  <c r="L275" i="23"/>
  <c r="B259" i="23"/>
  <c r="C259" i="23" s="1"/>
  <c r="A260" i="23"/>
  <c r="BZ9" i="57" l="1"/>
  <c r="BU21" i="57"/>
  <c r="BU62" i="57" s="1"/>
  <c r="BV62" i="57" s="1"/>
  <c r="BW62" i="57" s="1"/>
  <c r="BZ8" i="57"/>
  <c r="BU11" i="57"/>
  <c r="BU52" i="57" s="1"/>
  <c r="BU10" i="57"/>
  <c r="BU51" i="57" s="1"/>
  <c r="BZ10" i="57"/>
  <c r="BU9" i="57"/>
  <c r="BU50" i="57" s="1"/>
  <c r="BE12" i="40"/>
  <c r="BF11" i="40"/>
  <c r="M68" i="62"/>
  <c r="N68" i="62" s="1"/>
  <c r="M68" i="63" s="1"/>
  <c r="N68" i="63" s="1"/>
  <c r="M68" i="54" s="1"/>
  <c r="N75" i="54" s="1"/>
  <c r="M68" i="70"/>
  <c r="N68" i="70" s="1"/>
  <c r="BU14" i="57"/>
  <c r="BU55" i="57" s="1"/>
  <c r="BV55" i="57" s="1"/>
  <c r="BW55" i="57" s="1"/>
  <c r="BU22" i="57"/>
  <c r="BU63" i="57" s="1"/>
  <c r="BV63" i="57" s="1"/>
  <c r="BW63" i="57" s="1"/>
  <c r="BU19" i="57"/>
  <c r="BU60" i="57" s="1"/>
  <c r="BV60" i="57" s="1"/>
  <c r="BW60" i="57" s="1"/>
  <c r="BU34" i="57"/>
  <c r="BU75" i="57" s="1"/>
  <c r="BV75" i="57" s="1"/>
  <c r="BW75" i="57" s="1"/>
  <c r="BU24" i="57"/>
  <c r="BU65" i="57" s="1"/>
  <c r="BV65" i="57" s="1"/>
  <c r="BW65" i="57" s="1"/>
  <c r="EN299" i="40"/>
  <c r="EO298" i="40"/>
  <c r="EY300" i="40"/>
  <c r="EX301" i="40"/>
  <c r="BU41" i="57"/>
  <c r="BU82" i="57" s="1"/>
  <c r="BV82" i="57" s="1"/>
  <c r="BW82" i="57" s="1"/>
  <c r="BU40" i="57"/>
  <c r="BU81" i="57" s="1"/>
  <c r="BV81" i="57" s="1"/>
  <c r="BW81" i="57" s="1"/>
  <c r="ED298" i="40"/>
  <c r="EE297" i="40"/>
  <c r="BZ27" i="57"/>
  <c r="BZ32" i="57"/>
  <c r="BZ35" i="57"/>
  <c r="BZ29" i="57"/>
  <c r="BZ42" i="57"/>
  <c r="BZ31" i="57"/>
  <c r="BZ21" i="57"/>
  <c r="BZ38" i="57"/>
  <c r="BZ30" i="57"/>
  <c r="BZ13" i="57"/>
  <c r="BZ41" i="57"/>
  <c r="BZ11" i="57"/>
  <c r="BZ36" i="57"/>
  <c r="BZ40" i="57"/>
  <c r="BZ37" i="57"/>
  <c r="BZ33" i="57"/>
  <c r="BZ25" i="57"/>
  <c r="BZ16" i="57"/>
  <c r="BZ19" i="57"/>
  <c r="BZ34" i="57"/>
  <c r="BZ18" i="57"/>
  <c r="BZ23" i="57"/>
  <c r="BZ14" i="57"/>
  <c r="BZ15" i="57"/>
  <c r="BZ22" i="57"/>
  <c r="BZ17" i="57"/>
  <c r="BZ26" i="57"/>
  <c r="BZ44" i="57"/>
  <c r="BZ46" i="57"/>
  <c r="BZ24" i="57"/>
  <c r="BZ20" i="57"/>
  <c r="BZ45" i="57"/>
  <c r="BZ39" i="57"/>
  <c r="BZ12" i="57"/>
  <c r="BZ43" i="57"/>
  <c r="BZ28" i="57"/>
  <c r="BZ7" i="57"/>
  <c r="BU45" i="57"/>
  <c r="BU86" i="57" s="1"/>
  <c r="BV86" i="57" s="1"/>
  <c r="BW86" i="57" s="1"/>
  <c r="BU16" i="57"/>
  <c r="BU57" i="57" s="1"/>
  <c r="BV57" i="57" s="1"/>
  <c r="BW57" i="57" s="1"/>
  <c r="BU13" i="57"/>
  <c r="BU54" i="57" s="1"/>
  <c r="BV54" i="57" s="1"/>
  <c r="BW54" i="57" s="1"/>
  <c r="BU43" i="57"/>
  <c r="BU84" i="57" s="1"/>
  <c r="BV84" i="57" s="1"/>
  <c r="BW84" i="57" s="1"/>
  <c r="BU28" i="57"/>
  <c r="BU69" i="57" s="1"/>
  <c r="BV69" i="57" s="1"/>
  <c r="BW69" i="57" s="1"/>
  <c r="BU7" i="57"/>
  <c r="BU48" i="57" s="1"/>
  <c r="BV48" i="57" s="1"/>
  <c r="BU29" i="57"/>
  <c r="BU70" i="57" s="1"/>
  <c r="BV70" i="57" s="1"/>
  <c r="BW70" i="57" s="1"/>
  <c r="FM296" i="40"/>
  <c r="FN295" i="40"/>
  <c r="BU31" i="57"/>
  <c r="BU72" i="57" s="1"/>
  <c r="BV72" i="57" s="1"/>
  <c r="BW72" i="57" s="1"/>
  <c r="BU36" i="57"/>
  <c r="BU77" i="57" s="1"/>
  <c r="BV77" i="57" s="1"/>
  <c r="BW77" i="57" s="1"/>
  <c r="BB49" i="57"/>
  <c r="BB50" i="57" s="1"/>
  <c r="EJ297" i="40"/>
  <c r="EI298" i="40"/>
  <c r="BU39" i="57"/>
  <c r="BU80" i="57" s="1"/>
  <c r="BV80" i="57" s="1"/>
  <c r="BW80" i="57" s="1"/>
  <c r="BU37" i="57"/>
  <c r="BU78" i="57" s="1"/>
  <c r="BV78" i="57" s="1"/>
  <c r="BW78" i="57" s="1"/>
  <c r="AR54" i="57"/>
  <c r="BU30" i="57"/>
  <c r="BU71" i="57" s="1"/>
  <c r="BV71" i="57" s="1"/>
  <c r="BW71" i="57" s="1"/>
  <c r="BU12" i="57"/>
  <c r="BU53" i="57" s="1"/>
  <c r="FD295" i="40"/>
  <c r="FC296" i="40"/>
  <c r="BU42" i="57"/>
  <c r="BU83" i="57" s="1"/>
  <c r="BV83" i="57" s="1"/>
  <c r="BW83" i="57" s="1"/>
  <c r="BU18" i="57"/>
  <c r="BU59" i="57" s="1"/>
  <c r="BV59" i="57" s="1"/>
  <c r="BW59" i="57" s="1"/>
  <c r="BU15" i="57"/>
  <c r="BU56" i="57" s="1"/>
  <c r="BV56" i="57" s="1"/>
  <c r="BW56" i="57" s="1"/>
  <c r="ES298" i="40"/>
  <c r="ET297" i="40"/>
  <c r="FS298" i="40"/>
  <c r="FR299" i="40"/>
  <c r="BU20" i="57"/>
  <c r="BU61" i="57" s="1"/>
  <c r="BV61" i="57" s="1"/>
  <c r="BW61" i="57" s="1"/>
  <c r="BU33" i="57"/>
  <c r="BU74" i="57" s="1"/>
  <c r="BV74" i="57" s="1"/>
  <c r="BW74" i="57" s="1"/>
  <c r="FH298" i="40"/>
  <c r="FI297" i="40"/>
  <c r="AR55" i="57"/>
  <c r="BU25" i="57"/>
  <c r="BU66" i="57" s="1"/>
  <c r="BV66" i="57" s="1"/>
  <c r="BW66" i="57" s="1"/>
  <c r="BU32" i="57"/>
  <c r="BU73" i="57" s="1"/>
  <c r="BV73" i="57" s="1"/>
  <c r="BW73" i="57" s="1"/>
  <c r="BU26" i="57"/>
  <c r="BU67" i="57" s="1"/>
  <c r="BV67" i="57" s="1"/>
  <c r="BW67" i="57" s="1"/>
  <c r="BU38" i="57"/>
  <c r="BU79" i="57" s="1"/>
  <c r="BV79" i="57" s="1"/>
  <c r="BW79" i="57" s="1"/>
  <c r="BU46" i="57"/>
  <c r="BU87" i="57" s="1"/>
  <c r="BV87" i="57" s="1"/>
  <c r="BW87" i="57" s="1"/>
  <c r="BU35" i="57"/>
  <c r="BU76" i="57" s="1"/>
  <c r="BV76" i="57" s="1"/>
  <c r="BW76" i="57" s="1"/>
  <c r="BU17" i="57"/>
  <c r="BU58" i="57" s="1"/>
  <c r="BV58" i="57" s="1"/>
  <c r="BW58" i="57" s="1"/>
  <c r="BU23" i="57"/>
  <c r="BU64" i="57" s="1"/>
  <c r="BV64" i="57" s="1"/>
  <c r="BW64" i="57" s="1"/>
  <c r="BU27" i="57"/>
  <c r="BU68" i="57" s="1"/>
  <c r="BV68" i="57" s="1"/>
  <c r="BW68" i="57" s="1"/>
  <c r="BU44" i="57"/>
  <c r="BU85" i="57" s="1"/>
  <c r="BV85" i="57" s="1"/>
  <c r="BW85" i="57" s="1"/>
  <c r="N71" i="54"/>
  <c r="N72" i="54"/>
  <c r="N70" i="54"/>
  <c r="N74" i="54"/>
  <c r="N69" i="54"/>
  <c r="N73" i="54"/>
  <c r="W69" i="61"/>
  <c r="W68" i="61"/>
  <c r="W70" i="61"/>
  <c r="X391" i="23"/>
  <c r="W391" i="23"/>
  <c r="G324" i="1" s="1"/>
  <c r="Y391" i="23"/>
  <c r="O322" i="1"/>
  <c r="M322" i="1"/>
  <c r="I322" i="1"/>
  <c r="K322" i="1"/>
  <c r="BI390" i="40"/>
  <c r="BI391" i="40" s="1"/>
  <c r="BI394" i="40" s="1"/>
  <c r="BI397" i="40" s="1"/>
  <c r="BI404" i="40" s="1"/>
  <c r="BI405" i="40" s="1"/>
  <c r="BZ33" i="40"/>
  <c r="BY34" i="40"/>
  <c r="CD34" i="40"/>
  <c r="CE33" i="40"/>
  <c r="BU22" i="40"/>
  <c r="BT23" i="40"/>
  <c r="CH246" i="40"/>
  <c r="CH250" i="40" s="1"/>
  <c r="CH251" i="40" s="1"/>
  <c r="CH252" i="40" s="1"/>
  <c r="CH258" i="40" s="1"/>
  <c r="CH269" i="40" s="1"/>
  <c r="CH270" i="40" s="1"/>
  <c r="CH275" i="40" s="1"/>
  <c r="CH277" i="40" s="1"/>
  <c r="CH280" i="40" s="1"/>
  <c r="CH285" i="40" s="1"/>
  <c r="CH288" i="40" s="1"/>
  <c r="CH291" i="40" s="1"/>
  <c r="CM340" i="40"/>
  <c r="CM342" i="40" s="1"/>
  <c r="CM345" i="40" s="1"/>
  <c r="CM364" i="40" s="1"/>
  <c r="CM376" i="40" s="1"/>
  <c r="CM394" i="40" s="1"/>
  <c r="CM396" i="40" s="1"/>
  <c r="CM405" i="40" s="1"/>
  <c r="CW54" i="40"/>
  <c r="BN389" i="40"/>
  <c r="BN87" i="40"/>
  <c r="BN89" i="40" s="1"/>
  <c r="BN90" i="40" s="1"/>
  <c r="BN91" i="40" s="1"/>
  <c r="BN92" i="40" s="1"/>
  <c r="BN95" i="40" s="1"/>
  <c r="BN96" i="40" s="1"/>
  <c r="BN97" i="40" s="1"/>
  <c r="BN399" i="40"/>
  <c r="CS38" i="40"/>
  <c r="CT37" i="40"/>
  <c r="AB370" i="23"/>
  <c r="AA371" i="23"/>
  <c r="U215" i="23"/>
  <c r="V215" i="23" s="1"/>
  <c r="Z216" i="23" s="1"/>
  <c r="AW195" i="23" s="1"/>
  <c r="AX195" i="23" s="1"/>
  <c r="T216" i="23"/>
  <c r="Y222" i="23"/>
  <c r="AQ201" i="23" s="1"/>
  <c r="AR201" i="23" s="1"/>
  <c r="Y213" i="23"/>
  <c r="Y228" i="23"/>
  <c r="AQ207" i="23" s="1"/>
  <c r="AR207" i="23" s="1"/>
  <c r="Y223" i="23"/>
  <c r="AQ202" i="23" s="1"/>
  <c r="AR202" i="23" s="1"/>
  <c r="Y217" i="23"/>
  <c r="AQ196" i="23" s="1"/>
  <c r="AR196" i="23" s="1"/>
  <c r="Y224" i="23"/>
  <c r="AQ203" i="23" s="1"/>
  <c r="AR203" i="23" s="1"/>
  <c r="Y214" i="23"/>
  <c r="AQ193" i="23" s="1"/>
  <c r="AR193" i="23" s="1"/>
  <c r="AS193" i="23" s="1"/>
  <c r="Y219" i="23"/>
  <c r="AQ198" i="23" s="1"/>
  <c r="AR198" i="23" s="1"/>
  <c r="Y229" i="23"/>
  <c r="AQ208" i="23" s="1"/>
  <c r="AR208" i="23" s="1"/>
  <c r="Y218" i="23"/>
  <c r="AQ197" i="23" s="1"/>
  <c r="AR197" i="23" s="1"/>
  <c r="Y220" i="23"/>
  <c r="AQ199" i="23" s="1"/>
  <c r="AR199" i="23" s="1"/>
  <c r="Y225" i="23"/>
  <c r="AQ204" i="23" s="1"/>
  <c r="AR204" i="23" s="1"/>
  <c r="Y230" i="23"/>
  <c r="AQ209" i="23" s="1"/>
  <c r="AR209" i="23" s="1"/>
  <c r="Y231" i="23"/>
  <c r="AQ210" i="23" s="1"/>
  <c r="AR210" i="23" s="1"/>
  <c r="Y215" i="23"/>
  <c r="AQ194" i="23" s="1"/>
  <c r="AR194" i="23" s="1"/>
  <c r="AS194" i="23" s="1"/>
  <c r="Y216" i="23"/>
  <c r="AQ195" i="23" s="1"/>
  <c r="AR195" i="23" s="1"/>
  <c r="Y221" i="23"/>
  <c r="AQ200" i="23" s="1"/>
  <c r="AR200" i="23" s="1"/>
  <c r="Y226" i="23"/>
  <c r="AQ205" i="23" s="1"/>
  <c r="AR205" i="23" s="1"/>
  <c r="X277" i="23"/>
  <c r="AA278" i="23"/>
  <c r="U276" i="23"/>
  <c r="V276" i="23" s="1"/>
  <c r="R277" i="23"/>
  <c r="S277" i="23" s="1"/>
  <c r="M275" i="23"/>
  <c r="L276" i="23"/>
  <c r="P276" i="23"/>
  <c r="O277" i="23"/>
  <c r="A261" i="23"/>
  <c r="B260" i="23"/>
  <c r="C260" i="23" s="1"/>
  <c r="N68" i="54" l="1"/>
  <c r="W18" i="57"/>
  <c r="W59" i="57" s="1"/>
  <c r="BE13" i="40"/>
  <c r="BF12" i="40"/>
  <c r="V68" i="62"/>
  <c r="W68" i="62" s="1"/>
  <c r="V68" i="63" s="1"/>
  <c r="W68" i="63" s="1"/>
  <c r="V68" i="54" s="1"/>
  <c r="W75" i="54" s="1"/>
  <c r="V68" i="70"/>
  <c r="W68" i="70" s="1"/>
  <c r="W22" i="57"/>
  <c r="W63" i="57" s="1"/>
  <c r="W35" i="57"/>
  <c r="W76" i="57" s="1"/>
  <c r="X76" i="57" s="1"/>
  <c r="Y76" i="57" s="1"/>
  <c r="W17" i="57"/>
  <c r="W58" i="57" s="1"/>
  <c r="W25" i="57"/>
  <c r="W66" i="57" s="1"/>
  <c r="X66" i="57" s="1"/>
  <c r="Y66" i="57" s="1"/>
  <c r="W20" i="57"/>
  <c r="W61" i="57" s="1"/>
  <c r="W24" i="57"/>
  <c r="W65" i="57" s="1"/>
  <c r="W44" i="57"/>
  <c r="W85" i="57" s="1"/>
  <c r="X85" i="57" s="1"/>
  <c r="Y85" i="57" s="1"/>
  <c r="W28" i="57"/>
  <c r="W69" i="57" s="1"/>
  <c r="X69" i="57" s="1"/>
  <c r="Y69" i="57" s="1"/>
  <c r="AB45" i="57"/>
  <c r="AB12" i="57"/>
  <c r="W23" i="57"/>
  <c r="W64" i="57" s="1"/>
  <c r="W45" i="57"/>
  <c r="W86" i="57" s="1"/>
  <c r="X86" i="57" s="1"/>
  <c r="Y86" i="57" s="1"/>
  <c r="W38" i="57"/>
  <c r="W79" i="57" s="1"/>
  <c r="X79" i="57" s="1"/>
  <c r="Y79" i="57" s="1"/>
  <c r="AB13" i="57"/>
  <c r="W34" i="57"/>
  <c r="W75" i="57" s="1"/>
  <c r="X75" i="57" s="1"/>
  <c r="Y75" i="57" s="1"/>
  <c r="AB30" i="57"/>
  <c r="W33" i="57"/>
  <c r="W74" i="57" s="1"/>
  <c r="X74" i="57" s="1"/>
  <c r="Y74" i="57" s="1"/>
  <c r="AB33" i="57"/>
  <c r="W26" i="57"/>
  <c r="W67" i="57" s="1"/>
  <c r="X67" i="57" s="1"/>
  <c r="Y67" i="57" s="1"/>
  <c r="AB37" i="57"/>
  <c r="AB7" i="57"/>
  <c r="AB14" i="57"/>
  <c r="W11" i="57"/>
  <c r="W52" i="57" s="1"/>
  <c r="W15" i="57"/>
  <c r="W56" i="57" s="1"/>
  <c r="W8" i="57"/>
  <c r="W49" i="57" s="1"/>
  <c r="W9" i="57"/>
  <c r="W50" i="57" s="1"/>
  <c r="W46" i="57"/>
  <c r="W87" i="57" s="1"/>
  <c r="X87" i="57" s="1"/>
  <c r="Y87" i="57" s="1"/>
  <c r="W12" i="57"/>
  <c r="W53" i="57" s="1"/>
  <c r="AB27" i="57"/>
  <c r="AB42" i="57"/>
  <c r="AB31" i="57"/>
  <c r="AB24" i="57"/>
  <c r="AB9" i="57"/>
  <c r="AB40" i="57"/>
  <c r="AB41" i="57"/>
  <c r="AB25" i="57"/>
  <c r="AB16" i="57"/>
  <c r="AB36" i="57"/>
  <c r="W39" i="57"/>
  <c r="W80" i="57" s="1"/>
  <c r="X80" i="57" s="1"/>
  <c r="Y80" i="57" s="1"/>
  <c r="W32" i="57"/>
  <c r="W73" i="57" s="1"/>
  <c r="X73" i="57" s="1"/>
  <c r="Y73" i="57" s="1"/>
  <c r="W31" i="57"/>
  <c r="W72" i="57" s="1"/>
  <c r="X72" i="57" s="1"/>
  <c r="Y72" i="57" s="1"/>
  <c r="W14" i="57"/>
  <c r="W55" i="57" s="1"/>
  <c r="W10" i="57"/>
  <c r="W51" i="57" s="1"/>
  <c r="W27" i="57"/>
  <c r="W68" i="57" s="1"/>
  <c r="X68" i="57" s="1"/>
  <c r="Y68" i="57" s="1"/>
  <c r="W41" i="57"/>
  <c r="W82" i="57" s="1"/>
  <c r="X82" i="57" s="1"/>
  <c r="Y82" i="57" s="1"/>
  <c r="AB26" i="57"/>
  <c r="AB38" i="57"/>
  <c r="AB28" i="57"/>
  <c r="AB29" i="57"/>
  <c r="AB8" i="57"/>
  <c r="AB35" i="57"/>
  <c r="AB44" i="57"/>
  <c r="AB15" i="57"/>
  <c r="W13" i="57"/>
  <c r="W54" i="57" s="1"/>
  <c r="W43" i="57"/>
  <c r="W84" i="57" s="1"/>
  <c r="X84" i="57" s="1"/>
  <c r="Y84" i="57" s="1"/>
  <c r="W21" i="57"/>
  <c r="W62" i="57" s="1"/>
  <c r="W40" i="57"/>
  <c r="W81" i="57" s="1"/>
  <c r="X81" i="57" s="1"/>
  <c r="Y81" i="57" s="1"/>
  <c r="AB43" i="57"/>
  <c r="AB17" i="57"/>
  <c r="AB46" i="57"/>
  <c r="W16" i="57"/>
  <c r="W57" i="57" s="1"/>
  <c r="AB11" i="57"/>
  <c r="AB39" i="57"/>
  <c r="AB10" i="57"/>
  <c r="AB34" i="57"/>
  <c r="W36" i="57"/>
  <c r="W77" i="57" s="1"/>
  <c r="X77" i="57" s="1"/>
  <c r="Y77" i="57" s="1"/>
  <c r="BB51" i="57"/>
  <c r="BV49" i="57"/>
  <c r="BV50" i="57" s="1"/>
  <c r="ED299" i="40"/>
  <c r="EE298" i="40"/>
  <c r="AB32" i="57"/>
  <c r="ES299" i="40"/>
  <c r="ET298" i="40"/>
  <c r="FD296" i="40"/>
  <c r="FC297" i="40"/>
  <c r="EJ298" i="40"/>
  <c r="EI299" i="40"/>
  <c r="FS299" i="40"/>
  <c r="FR300" i="40"/>
  <c r="FM297" i="40"/>
  <c r="FN296" i="40"/>
  <c r="EN300" i="40"/>
  <c r="EO299" i="40"/>
  <c r="FI298" i="40"/>
  <c r="FH299" i="40"/>
  <c r="EY301" i="40"/>
  <c r="EX302" i="40"/>
  <c r="AB21" i="57"/>
  <c r="W7" i="57"/>
  <c r="W48" i="57" s="1"/>
  <c r="X48" i="57" s="1"/>
  <c r="W37" i="57"/>
  <c r="W78" i="57" s="1"/>
  <c r="X78" i="57" s="1"/>
  <c r="Y78" i="57" s="1"/>
  <c r="W29" i="57"/>
  <c r="W70" i="57" s="1"/>
  <c r="X70" i="57" s="1"/>
  <c r="Y70" i="57" s="1"/>
  <c r="W19" i="57"/>
  <c r="W60" i="57" s="1"/>
  <c r="W30" i="57"/>
  <c r="W71" i="57" s="1"/>
  <c r="X71" i="57" s="1"/>
  <c r="Y71" i="57" s="1"/>
  <c r="W42" i="57"/>
  <c r="W83" i="57" s="1"/>
  <c r="X83" i="57" s="1"/>
  <c r="Y83" i="57" s="1"/>
  <c r="AB22" i="57"/>
  <c r="AB19" i="57"/>
  <c r="AB18" i="57"/>
  <c r="AB20" i="57"/>
  <c r="AB23" i="57"/>
  <c r="W69" i="54"/>
  <c r="W70" i="54"/>
  <c r="W71" i="54"/>
  <c r="W72" i="54"/>
  <c r="W73" i="54"/>
  <c r="W74" i="54"/>
  <c r="Y392" i="23"/>
  <c r="X392" i="23"/>
  <c r="W392" i="23"/>
  <c r="G326" i="1" s="1"/>
  <c r="O324" i="1"/>
  <c r="K324" i="1"/>
  <c r="I324" i="1"/>
  <c r="M324" i="1"/>
  <c r="BJ4" i="40"/>
  <c r="BJ5" i="40" s="1"/>
  <c r="BK3" i="40"/>
  <c r="CE34" i="40"/>
  <c r="CD35" i="40"/>
  <c r="BZ34" i="40"/>
  <c r="BY35" i="40"/>
  <c r="CH293" i="40"/>
  <c r="CH296" i="40" s="1"/>
  <c r="CH297" i="40" s="1"/>
  <c r="CH302" i="40" s="1"/>
  <c r="CH304" i="40" s="1"/>
  <c r="CH305" i="40" s="1"/>
  <c r="CH306" i="40" s="1"/>
  <c r="CH311" i="40" s="1"/>
  <c r="BT24" i="40"/>
  <c r="BU23" i="40"/>
  <c r="CN4" i="40"/>
  <c r="CN5" i="40" s="1"/>
  <c r="CN6" i="40" s="1"/>
  <c r="CO3" i="40"/>
  <c r="CW55" i="40"/>
  <c r="BN98" i="40"/>
  <c r="BN99" i="40" s="1"/>
  <c r="BN100" i="40" s="1"/>
  <c r="BN101" i="40" s="1"/>
  <c r="CS39" i="40"/>
  <c r="CT38" i="40"/>
  <c r="Z221" i="23"/>
  <c r="AW200" i="23" s="1"/>
  <c r="AX200" i="23" s="1"/>
  <c r="Z218" i="23"/>
  <c r="AW197" i="23" s="1"/>
  <c r="AX197" i="23" s="1"/>
  <c r="Z224" i="23"/>
  <c r="AW203" i="23" s="1"/>
  <c r="AX203" i="23" s="1"/>
  <c r="Z217" i="23"/>
  <c r="AW196" i="23" s="1"/>
  <c r="AX196" i="23" s="1"/>
  <c r="Z214" i="23"/>
  <c r="AW193" i="23" s="1"/>
  <c r="AX193" i="23" s="1"/>
  <c r="AY193" i="23" s="1"/>
  <c r="Z223" i="23"/>
  <c r="AW202" i="23" s="1"/>
  <c r="AX202" i="23" s="1"/>
  <c r="Z222" i="23"/>
  <c r="AW201" i="23" s="1"/>
  <c r="AX201" i="23" s="1"/>
  <c r="Z227" i="23"/>
  <c r="AW206" i="23" s="1"/>
  <c r="AX206" i="23" s="1"/>
  <c r="Z228" i="23"/>
  <c r="AW207" i="23" s="1"/>
  <c r="AX207" i="23" s="1"/>
  <c r="Z229" i="23"/>
  <c r="AW208" i="23" s="1"/>
  <c r="AX208" i="23" s="1"/>
  <c r="Z220" i="23"/>
  <c r="AW199" i="23" s="1"/>
  <c r="AX199" i="23" s="1"/>
  <c r="Z230" i="23"/>
  <c r="AW209" i="23" s="1"/>
  <c r="AX209" i="23" s="1"/>
  <c r="Z213" i="23"/>
  <c r="Z219" i="23"/>
  <c r="AW198" i="23" s="1"/>
  <c r="AX198" i="23" s="1"/>
  <c r="Z225" i="23"/>
  <c r="AW204" i="23" s="1"/>
  <c r="AX204" i="23" s="1"/>
  <c r="Z226" i="23"/>
  <c r="AW205" i="23" s="1"/>
  <c r="AX205" i="23" s="1"/>
  <c r="Z231" i="23"/>
  <c r="AW210" i="23" s="1"/>
  <c r="AX210" i="23" s="1"/>
  <c r="Z215" i="23"/>
  <c r="AW194" i="23" s="1"/>
  <c r="AX194" i="23" s="1"/>
  <c r="AA372" i="23"/>
  <c r="AB371" i="23"/>
  <c r="U216" i="23"/>
  <c r="V216" i="23" s="1"/>
  <c r="AA217" i="23" s="1"/>
  <c r="BC196" i="23" s="1"/>
  <c r="BD196" i="23" s="1"/>
  <c r="T217" i="23"/>
  <c r="AA279" i="23"/>
  <c r="X278" i="23"/>
  <c r="U277" i="23"/>
  <c r="V277" i="23" s="1"/>
  <c r="R278" i="23"/>
  <c r="S278" i="23" s="1"/>
  <c r="P277" i="23"/>
  <c r="O278" i="23"/>
  <c r="M276" i="23"/>
  <c r="L277" i="23"/>
  <c r="B261" i="23"/>
  <c r="C261" i="23" s="1"/>
  <c r="A262" i="23"/>
  <c r="AS195" i="23"/>
  <c r="W68" i="54" l="1"/>
  <c r="BE14" i="40"/>
  <c r="BF13" i="40"/>
  <c r="AG12" i="57"/>
  <c r="AG53" i="57" s="1"/>
  <c r="ES300" i="40"/>
  <c r="ET299" i="40"/>
  <c r="AG20" i="57"/>
  <c r="AG61" i="57" s="1"/>
  <c r="FM298" i="40"/>
  <c r="FN297" i="40"/>
  <c r="FC298" i="40"/>
  <c r="FD297" i="40"/>
  <c r="FR301" i="40"/>
  <c r="FS300" i="40"/>
  <c r="EI300" i="40"/>
  <c r="EJ299" i="40"/>
  <c r="X49" i="57"/>
  <c r="X50" i="57" s="1"/>
  <c r="ED300" i="40"/>
  <c r="EE299" i="40"/>
  <c r="EY302" i="40"/>
  <c r="EX303" i="40"/>
  <c r="FI299" i="40"/>
  <c r="FH300" i="40"/>
  <c r="EN301" i="40"/>
  <c r="EO300" i="40"/>
  <c r="BV51" i="57"/>
  <c r="BB52" i="57"/>
  <c r="AL19" i="57"/>
  <c r="AL31" i="57"/>
  <c r="AL44" i="57"/>
  <c r="AG11" i="57"/>
  <c r="AG52" i="57" s="1"/>
  <c r="AL37" i="57"/>
  <c r="AL27" i="57"/>
  <c r="AG18" i="57"/>
  <c r="AG59" i="57" s="1"/>
  <c r="AG44" i="57"/>
  <c r="AG85" i="57" s="1"/>
  <c r="AH85" i="57" s="1"/>
  <c r="AI85" i="57" s="1"/>
  <c r="AG43" i="57"/>
  <c r="AG84" i="57" s="1"/>
  <c r="AH84" i="57" s="1"/>
  <c r="AI84" i="57" s="1"/>
  <c r="AL13" i="57"/>
  <c r="AG31" i="57"/>
  <c r="AG72" i="57" s="1"/>
  <c r="AH72" i="57" s="1"/>
  <c r="AI72" i="57" s="1"/>
  <c r="AG17" i="57"/>
  <c r="AG58" i="57" s="1"/>
  <c r="AL8" i="57"/>
  <c r="AG7" i="57"/>
  <c r="AG48" i="57" s="1"/>
  <c r="AH48" i="57" s="1"/>
  <c r="AL35" i="57"/>
  <c r="AL24" i="57"/>
  <c r="AL36" i="57"/>
  <c r="AG15" i="57"/>
  <c r="AG56" i="57" s="1"/>
  <c r="AL12" i="57"/>
  <c r="AG8" i="57"/>
  <c r="AG49" i="57" s="1"/>
  <c r="AL10" i="57"/>
  <c r="AL9" i="57"/>
  <c r="AG22" i="57"/>
  <c r="AG63" i="57" s="1"/>
  <c r="AL42" i="57"/>
  <c r="AL33" i="57"/>
  <c r="AG9" i="57"/>
  <c r="AG50" i="57" s="1"/>
  <c r="AG16" i="57"/>
  <c r="AG57" i="57" s="1"/>
  <c r="AG10" i="57"/>
  <c r="AG51" i="57" s="1"/>
  <c r="AG33" i="57"/>
  <c r="AG74" i="57" s="1"/>
  <c r="AH74" i="57" s="1"/>
  <c r="AI74" i="57" s="1"/>
  <c r="AL26" i="57"/>
  <c r="AG38" i="57"/>
  <c r="AG79" i="57" s="1"/>
  <c r="AH79" i="57" s="1"/>
  <c r="AI79" i="57" s="1"/>
  <c r="AG35" i="57"/>
  <c r="AG76" i="57" s="1"/>
  <c r="AH76" i="57" s="1"/>
  <c r="AI76" i="57" s="1"/>
  <c r="AG45" i="57"/>
  <c r="AG86" i="57" s="1"/>
  <c r="AH86" i="57" s="1"/>
  <c r="AI86" i="57" s="1"/>
  <c r="AG19" i="57"/>
  <c r="AG60" i="57" s="1"/>
  <c r="AL18" i="57"/>
  <c r="AL39" i="57"/>
  <c r="AL46" i="57"/>
  <c r="AG46" i="57"/>
  <c r="AG87" i="57" s="1"/>
  <c r="AH87" i="57" s="1"/>
  <c r="AI87" i="57" s="1"/>
  <c r="AL16" i="57"/>
  <c r="AG32" i="57"/>
  <c r="AG73" i="57" s="1"/>
  <c r="AH73" i="57" s="1"/>
  <c r="AI73" i="57" s="1"/>
  <c r="AG41" i="57"/>
  <c r="AG82" i="57" s="1"/>
  <c r="AH82" i="57" s="1"/>
  <c r="AI82" i="57" s="1"/>
  <c r="AL22" i="57"/>
  <c r="AG30" i="57"/>
  <c r="AG71" i="57" s="1"/>
  <c r="AH71" i="57" s="1"/>
  <c r="AI71" i="57" s="1"/>
  <c r="AG26" i="57"/>
  <c r="AG67" i="57" s="1"/>
  <c r="AH67" i="57" s="1"/>
  <c r="AI67" i="57" s="1"/>
  <c r="AL29" i="57"/>
  <c r="AG29" i="57"/>
  <c r="AG70" i="57" s="1"/>
  <c r="AH70" i="57" s="1"/>
  <c r="AI70" i="57" s="1"/>
  <c r="AG39" i="57"/>
  <c r="AG80" i="57" s="1"/>
  <c r="AH80" i="57" s="1"/>
  <c r="AI80" i="57" s="1"/>
  <c r="AL15" i="57"/>
  <c r="AG27" i="57"/>
  <c r="AG68" i="57" s="1"/>
  <c r="AH68" i="57" s="1"/>
  <c r="AI68" i="57" s="1"/>
  <c r="AG13" i="57"/>
  <c r="AG54" i="57" s="1"/>
  <c r="AL41" i="57"/>
  <c r="AL45" i="57"/>
  <c r="AG23" i="57"/>
  <c r="AG64" i="57" s="1"/>
  <c r="AG24" i="57"/>
  <c r="AG65" i="57" s="1"/>
  <c r="AL34" i="57"/>
  <c r="AL17" i="57"/>
  <c r="AL38" i="57"/>
  <c r="AG34" i="57"/>
  <c r="AG75" i="57" s="1"/>
  <c r="AH75" i="57" s="1"/>
  <c r="AI75" i="57" s="1"/>
  <c r="AL32" i="57"/>
  <c r="AL43" i="57"/>
  <c r="AG36" i="57"/>
  <c r="AG77" i="57" s="1"/>
  <c r="AH77" i="57" s="1"/>
  <c r="AI77" i="57" s="1"/>
  <c r="AL20" i="57"/>
  <c r="AG21" i="57"/>
  <c r="AG62" i="57" s="1"/>
  <c r="AL23" i="57"/>
  <c r="AL14" i="57"/>
  <c r="AG37" i="57"/>
  <c r="AG78" i="57" s="1"/>
  <c r="AH78" i="57" s="1"/>
  <c r="AI78" i="57" s="1"/>
  <c r="AG40" i="57"/>
  <c r="AG81" i="57" s="1"/>
  <c r="AH81" i="57" s="1"/>
  <c r="AI81" i="57" s="1"/>
  <c r="AL40" i="57"/>
  <c r="AL25" i="57"/>
  <c r="AG42" i="57"/>
  <c r="AG83" i="57" s="1"/>
  <c r="AH83" i="57" s="1"/>
  <c r="AI83" i="57" s="1"/>
  <c r="AL28" i="57"/>
  <c r="AG28" i="57"/>
  <c r="AG69" i="57" s="1"/>
  <c r="AH69" i="57" s="1"/>
  <c r="AI69" i="57" s="1"/>
  <c r="AL30" i="57"/>
  <c r="AL21" i="57"/>
  <c r="AL11" i="57"/>
  <c r="AG25" i="57"/>
  <c r="AG66" i="57" s="1"/>
  <c r="AG14" i="57"/>
  <c r="AG55" i="57" s="1"/>
  <c r="AL7" i="57"/>
  <c r="X393" i="23"/>
  <c r="W393" i="23"/>
  <c r="G328" i="1" s="1"/>
  <c r="Y393" i="23"/>
  <c r="O326" i="1"/>
  <c r="M326" i="1"/>
  <c r="I326" i="1"/>
  <c r="K326" i="1"/>
  <c r="BK4" i="40"/>
  <c r="BK5" i="40"/>
  <c r="BJ6" i="40"/>
  <c r="BZ35" i="40"/>
  <c r="BY36" i="40"/>
  <c r="CE35" i="40"/>
  <c r="CD36" i="40"/>
  <c r="CO4" i="40"/>
  <c r="CH316" i="40"/>
  <c r="CH317" i="40" s="1"/>
  <c r="CH318" i="40" s="1"/>
  <c r="BU24" i="40"/>
  <c r="BT25" i="40"/>
  <c r="CO5" i="40"/>
  <c r="CO6" i="40"/>
  <c r="CN7" i="40"/>
  <c r="CW56" i="40"/>
  <c r="BN103" i="40"/>
  <c r="BN104" i="40" s="1"/>
  <c r="CS40" i="40"/>
  <c r="CT39" i="40"/>
  <c r="AY194" i="23"/>
  <c r="AY195" i="23" s="1"/>
  <c r="AA222" i="23"/>
  <c r="BC201" i="23" s="1"/>
  <c r="BD201" i="23" s="1"/>
  <c r="AA230" i="23"/>
  <c r="BC209" i="23" s="1"/>
  <c r="BD209" i="23" s="1"/>
  <c r="AA226" i="23"/>
  <c r="BC205" i="23" s="1"/>
  <c r="BD205" i="23" s="1"/>
  <c r="AA227" i="23"/>
  <c r="BC206" i="23" s="1"/>
  <c r="BD206" i="23" s="1"/>
  <c r="AA219" i="23"/>
  <c r="BC198" i="23" s="1"/>
  <c r="BD198" i="23" s="1"/>
  <c r="AA223" i="23"/>
  <c r="BC202" i="23" s="1"/>
  <c r="BD202" i="23" s="1"/>
  <c r="AA214" i="23"/>
  <c r="BC193" i="23" s="1"/>
  <c r="BD193" i="23" s="1"/>
  <c r="BE193" i="23" s="1"/>
  <c r="AA218" i="23"/>
  <c r="BC197" i="23" s="1"/>
  <c r="BD197" i="23" s="1"/>
  <c r="AA228" i="23"/>
  <c r="BC207" i="23" s="1"/>
  <c r="BD207" i="23" s="1"/>
  <c r="AA224" i="23"/>
  <c r="BC203" i="23" s="1"/>
  <c r="BD203" i="23" s="1"/>
  <c r="AA220" i="23"/>
  <c r="BC199" i="23" s="1"/>
  <c r="BD199" i="23" s="1"/>
  <c r="AA225" i="23"/>
  <c r="BC204" i="23" s="1"/>
  <c r="BD204" i="23" s="1"/>
  <c r="AA229" i="23"/>
  <c r="BC208" i="23" s="1"/>
  <c r="BD208" i="23" s="1"/>
  <c r="AA231" i="23"/>
  <c r="BC210" i="23" s="1"/>
  <c r="BD210" i="23" s="1"/>
  <c r="AA215" i="23"/>
  <c r="BC194" i="23" s="1"/>
  <c r="BD194" i="23" s="1"/>
  <c r="BE194" i="23" s="1"/>
  <c r="AA216" i="23"/>
  <c r="BC195" i="23" s="1"/>
  <c r="BD195" i="23" s="1"/>
  <c r="AA221" i="23"/>
  <c r="BC200" i="23" s="1"/>
  <c r="BD200" i="23" s="1"/>
  <c r="AA213" i="23"/>
  <c r="AA373" i="23"/>
  <c r="AB373" i="23" s="1"/>
  <c r="AB372" i="23"/>
  <c r="T218" i="23"/>
  <c r="U217" i="23"/>
  <c r="V217" i="23" s="1"/>
  <c r="AB213" i="23" s="1"/>
  <c r="X279" i="23"/>
  <c r="AA280" i="23"/>
  <c r="U278" i="23"/>
  <c r="V278" i="23" s="1"/>
  <c r="R279" i="23"/>
  <c r="S279" i="23" s="1"/>
  <c r="L278" i="23"/>
  <c r="M277" i="23"/>
  <c r="P278" i="23"/>
  <c r="O279" i="23"/>
  <c r="A263" i="23"/>
  <c r="B262" i="23"/>
  <c r="C262" i="23" s="1"/>
  <c r="AS196" i="23"/>
  <c r="AS197" i="23" s="1"/>
  <c r="BE15" i="40" l="1"/>
  <c r="BF14" i="40"/>
  <c r="EN302" i="40"/>
  <c r="EO301" i="40"/>
  <c r="EY303" i="40"/>
  <c r="EX304" i="40"/>
  <c r="EE300" i="40"/>
  <c r="ED301" i="40"/>
  <c r="BV52" i="57"/>
  <c r="BV53" i="57" s="1"/>
  <c r="FC299" i="40"/>
  <c r="FD298" i="40"/>
  <c r="ES301" i="40"/>
  <c r="ET300" i="40"/>
  <c r="AH49" i="57"/>
  <c r="AH50" i="57" s="1"/>
  <c r="AH51" i="57" s="1"/>
  <c r="FR302" i="40"/>
  <c r="FS301" i="40"/>
  <c r="X51" i="57"/>
  <c r="X52" i="57" s="1"/>
  <c r="FI300" i="40"/>
  <c r="FH301" i="40"/>
  <c r="EI301" i="40"/>
  <c r="EJ300" i="40"/>
  <c r="FN298" i="40"/>
  <c r="FM299" i="40"/>
  <c r="Y394" i="23"/>
  <c r="W394" i="23"/>
  <c r="G330" i="1" s="1"/>
  <c r="X394" i="23"/>
  <c r="O328" i="1"/>
  <c r="I328" i="1"/>
  <c r="M328" i="1"/>
  <c r="K328" i="1"/>
  <c r="BK6" i="40"/>
  <c r="BJ7" i="40"/>
  <c r="CD37" i="40"/>
  <c r="CE36" i="40"/>
  <c r="BZ36" i="40"/>
  <c r="BY37" i="40"/>
  <c r="BU25" i="40"/>
  <c r="BT26" i="40"/>
  <c r="CH320" i="40"/>
  <c r="CH325" i="40" s="1"/>
  <c r="CH330" i="40" s="1"/>
  <c r="CH334" i="40" s="1"/>
  <c r="CW57" i="40"/>
  <c r="CO7" i="40"/>
  <c r="CN8" i="40"/>
  <c r="AU193" i="23"/>
  <c r="BA193" i="23"/>
  <c r="BN105" i="40"/>
  <c r="BN106" i="40" s="1"/>
  <c r="BN107" i="40" s="1"/>
  <c r="CS41" i="40"/>
  <c r="CT40" i="40"/>
  <c r="AY196" i="23"/>
  <c r="BE195" i="23"/>
  <c r="BE196" i="23" s="1"/>
  <c r="AB227" i="23"/>
  <c r="BI206" i="23" s="1"/>
  <c r="BJ206" i="23" s="1"/>
  <c r="AB216" i="23"/>
  <c r="BI195" i="23" s="1"/>
  <c r="BJ195" i="23" s="1"/>
  <c r="AB229" i="23"/>
  <c r="BI208" i="23" s="1"/>
  <c r="BJ208" i="23" s="1"/>
  <c r="AB215" i="23"/>
  <c r="BI194" i="23" s="1"/>
  <c r="BJ194" i="23" s="1"/>
  <c r="AB226" i="23"/>
  <c r="BI205" i="23" s="1"/>
  <c r="BJ205" i="23" s="1"/>
  <c r="AB228" i="23"/>
  <c r="BI207" i="23" s="1"/>
  <c r="BJ207" i="23" s="1"/>
  <c r="AB222" i="23"/>
  <c r="BI201" i="23" s="1"/>
  <c r="BJ201" i="23" s="1"/>
  <c r="AB223" i="23"/>
  <c r="BI202" i="23" s="1"/>
  <c r="BJ202" i="23" s="1"/>
  <c r="AB231" i="23"/>
  <c r="BI210" i="23" s="1"/>
  <c r="BJ210" i="23" s="1"/>
  <c r="AB214" i="23"/>
  <c r="BI193" i="23" s="1"/>
  <c r="BJ193" i="23" s="1"/>
  <c r="BK193" i="23" s="1"/>
  <c r="AB225" i="23"/>
  <c r="BI204" i="23" s="1"/>
  <c r="BJ204" i="23" s="1"/>
  <c r="AB219" i="23"/>
  <c r="BI198" i="23" s="1"/>
  <c r="BJ198" i="23" s="1"/>
  <c r="AB224" i="23"/>
  <c r="BI203" i="23" s="1"/>
  <c r="BJ203" i="23" s="1"/>
  <c r="AB217" i="23"/>
  <c r="BI196" i="23" s="1"/>
  <c r="BJ196" i="23" s="1"/>
  <c r="AB220" i="23"/>
  <c r="BI199" i="23" s="1"/>
  <c r="BJ199" i="23" s="1"/>
  <c r="AB221" i="23"/>
  <c r="BI200" i="23" s="1"/>
  <c r="BJ200" i="23" s="1"/>
  <c r="AB218" i="23"/>
  <c r="BI197" i="23" s="1"/>
  <c r="BJ197" i="23" s="1"/>
  <c r="AB230" i="23"/>
  <c r="BI209" i="23" s="1"/>
  <c r="BJ209" i="23" s="1"/>
  <c r="AE360" i="23"/>
  <c r="N313" i="23" s="1"/>
  <c r="AD361" i="23"/>
  <c r="T219" i="23"/>
  <c r="U218" i="23"/>
  <c r="V218" i="23" s="1"/>
  <c r="AC227" i="23" s="1"/>
  <c r="BO206" i="23" s="1"/>
  <c r="AS198" i="23"/>
  <c r="AS199" i="23" s="1"/>
  <c r="AA281" i="23"/>
  <c r="X280" i="23"/>
  <c r="U279" i="23"/>
  <c r="V279" i="23" s="1"/>
  <c r="R280" i="23"/>
  <c r="S280" i="23" s="1"/>
  <c r="O280" i="23"/>
  <c r="P279" i="23"/>
  <c r="M278" i="23"/>
  <c r="L279" i="23"/>
  <c r="BE197" i="23"/>
  <c r="B263" i="23"/>
  <c r="C263" i="23" s="1"/>
  <c r="A264" i="23"/>
  <c r="AY197" i="23"/>
  <c r="AY198" i="23" s="1"/>
  <c r="BE16" i="40" l="1"/>
  <c r="BF15" i="40"/>
  <c r="FM300" i="40"/>
  <c r="FN299" i="40"/>
  <c r="ES302" i="40"/>
  <c r="ET301" i="40"/>
  <c r="ED302" i="40"/>
  <c r="EE301" i="40"/>
  <c r="FH302" i="40"/>
  <c r="FI301" i="40"/>
  <c r="EN303" i="40"/>
  <c r="EO302" i="40"/>
  <c r="AH52" i="57"/>
  <c r="AH53" i="57" s="1"/>
  <c r="FD299" i="40"/>
  <c r="FC300" i="40"/>
  <c r="EY304" i="40"/>
  <c r="EX305" i="40"/>
  <c r="EJ301" i="40"/>
  <c r="EI302" i="40"/>
  <c r="X53" i="57"/>
  <c r="FS302" i="40"/>
  <c r="FR303" i="40"/>
  <c r="O330" i="1"/>
  <c r="K330" i="1"/>
  <c r="I330" i="1"/>
  <c r="M330" i="1"/>
  <c r="BK7" i="40"/>
  <c r="BJ8" i="40"/>
  <c r="BY38" i="40"/>
  <c r="BZ37" i="40"/>
  <c r="CE37" i="40"/>
  <c r="CD38" i="40"/>
  <c r="CH336" i="40"/>
  <c r="CH345" i="40" s="1"/>
  <c r="CH346" i="40" s="1"/>
  <c r="CH348" i="40" s="1"/>
  <c r="CH354" i="40" s="1"/>
  <c r="CH356" i="40" s="1"/>
  <c r="CH361" i="40" s="1"/>
  <c r="CH366" i="40" s="1"/>
  <c r="CH367" i="40" s="1"/>
  <c r="CH370" i="40" s="1"/>
  <c r="CH374" i="40" s="1"/>
  <c r="CH375" i="40" s="1"/>
  <c r="CH376" i="40" s="1"/>
  <c r="BT27" i="40"/>
  <c r="BU26" i="40"/>
  <c r="CO8" i="40"/>
  <c r="CN9" i="40"/>
  <c r="CW58" i="40"/>
  <c r="BG193" i="23"/>
  <c r="BN109" i="40"/>
  <c r="BN111" i="40" s="1"/>
  <c r="BN113" i="40" s="1"/>
  <c r="BN117" i="40" s="1"/>
  <c r="BN118" i="40" s="1"/>
  <c r="BN119" i="40" s="1"/>
  <c r="BN120" i="40" s="1"/>
  <c r="BN121" i="40" s="1"/>
  <c r="BN122" i="40" s="1"/>
  <c r="BN123" i="40" s="1"/>
  <c r="BN124" i="40" s="1"/>
  <c r="BN125" i="40" s="1"/>
  <c r="BN126" i="40" s="1"/>
  <c r="CS42" i="40"/>
  <c r="CT41" i="40"/>
  <c r="BK194" i="23"/>
  <c r="BK195" i="23" s="1"/>
  <c r="BK196" i="23" s="1"/>
  <c r="BK197" i="23" s="1"/>
  <c r="AC224" i="23"/>
  <c r="BO203" i="23" s="1"/>
  <c r="BP203" i="23" s="1"/>
  <c r="AC217" i="23"/>
  <c r="BO196" i="23" s="1"/>
  <c r="BP196" i="23" s="1"/>
  <c r="AC218" i="23"/>
  <c r="BO197" i="23" s="1"/>
  <c r="BP197" i="23" s="1"/>
  <c r="AC213" i="23"/>
  <c r="AC231" i="23"/>
  <c r="BO210" i="23" s="1"/>
  <c r="BP210" i="23" s="1"/>
  <c r="AC228" i="23"/>
  <c r="BO207" i="23" s="1"/>
  <c r="BP207" i="23" s="1"/>
  <c r="AC229" i="23"/>
  <c r="BO208" i="23" s="1"/>
  <c r="BP208" i="23" s="1"/>
  <c r="AC220" i="23"/>
  <c r="BO199" i="23" s="1"/>
  <c r="BP199" i="23" s="1"/>
  <c r="AC221" i="23"/>
  <c r="BO200" i="23" s="1"/>
  <c r="BP200" i="23" s="1"/>
  <c r="AC223" i="23"/>
  <c r="BO202" i="23" s="1"/>
  <c r="BP202" i="23" s="1"/>
  <c r="AC226" i="23"/>
  <c r="BO205" i="23" s="1"/>
  <c r="BP205" i="23" s="1"/>
  <c r="AC214" i="23"/>
  <c r="BO193" i="23" s="1"/>
  <c r="BP193" i="23" s="1"/>
  <c r="BQ193" i="23" s="1"/>
  <c r="AC219" i="23"/>
  <c r="BO198" i="23" s="1"/>
  <c r="BP198" i="23" s="1"/>
  <c r="AC222" i="23"/>
  <c r="BO201" i="23" s="1"/>
  <c r="BP201" i="23" s="1"/>
  <c r="AC215" i="23"/>
  <c r="BO194" i="23" s="1"/>
  <c r="BP194" i="23" s="1"/>
  <c r="AE361" i="23"/>
  <c r="AD362" i="23"/>
  <c r="I323" i="23"/>
  <c r="I340" i="23"/>
  <c r="I332" i="23"/>
  <c r="I327" i="23"/>
  <c r="I322" i="23"/>
  <c r="I339" i="23"/>
  <c r="I317" i="23"/>
  <c r="I346" i="23"/>
  <c r="I316" i="23"/>
  <c r="I320" i="23"/>
  <c r="I337" i="23"/>
  <c r="I315" i="23"/>
  <c r="I321" i="23"/>
  <c r="I341" i="23"/>
  <c r="I336" i="23"/>
  <c r="I314" i="23"/>
  <c r="I331" i="23"/>
  <c r="I349" i="23"/>
  <c r="I330" i="23"/>
  <c r="I334" i="23"/>
  <c r="I351" i="23"/>
  <c r="I329" i="23"/>
  <c r="I335" i="23"/>
  <c r="I344" i="23"/>
  <c r="I350" i="23"/>
  <c r="I328" i="23"/>
  <c r="I345" i="23"/>
  <c r="I338" i="23"/>
  <c r="I319" i="23"/>
  <c r="I348" i="23"/>
  <c r="I326" i="23"/>
  <c r="I318" i="23"/>
  <c r="I324" i="23"/>
  <c r="I333" i="23"/>
  <c r="I325" i="23"/>
  <c r="I342" i="23"/>
  <c r="I343" i="23"/>
  <c r="I352" i="23"/>
  <c r="I347" i="23"/>
  <c r="AC216" i="23"/>
  <c r="BO195" i="23" s="1"/>
  <c r="BP195" i="23" s="1"/>
  <c r="AC225" i="23"/>
  <c r="BO204" i="23" s="1"/>
  <c r="BP204" i="23" s="1"/>
  <c r="AC230" i="23"/>
  <c r="BO209" i="23" s="1"/>
  <c r="BP209" i="23" s="1"/>
  <c r="T220" i="23"/>
  <c r="U219" i="23"/>
  <c r="V219" i="23" s="1"/>
  <c r="AD216" i="23" s="1"/>
  <c r="BU195" i="23" s="1"/>
  <c r="BV195" i="23" s="1"/>
  <c r="BE198" i="23"/>
  <c r="AS200" i="23"/>
  <c r="AS201" i="23" s="1"/>
  <c r="AS202" i="23" s="1"/>
  <c r="AS203" i="23" s="1"/>
  <c r="X281" i="23"/>
  <c r="U280" i="23"/>
  <c r="V280" i="23" s="1"/>
  <c r="R281" i="23"/>
  <c r="S281" i="23" s="1"/>
  <c r="AY199" i="23"/>
  <c r="M279" i="23"/>
  <c r="L280" i="23"/>
  <c r="O281" i="23"/>
  <c r="P281" i="23" s="1"/>
  <c r="P280" i="23"/>
  <c r="A265" i="23"/>
  <c r="B264" i="23"/>
  <c r="C264" i="23" s="1"/>
  <c r="BP206" i="23"/>
  <c r="BE17" i="40" l="1"/>
  <c r="BF16" i="40"/>
  <c r="FS303" i="40"/>
  <c r="FR304" i="40"/>
  <c r="X54" i="57"/>
  <c r="EJ302" i="40"/>
  <c r="EI303" i="40"/>
  <c r="FC301" i="40"/>
  <c r="FD300" i="40"/>
  <c r="ET302" i="40"/>
  <c r="ES303" i="40"/>
  <c r="AH54" i="57"/>
  <c r="FH303" i="40"/>
  <c r="FI302" i="40"/>
  <c r="EY305" i="40"/>
  <c r="EX306" i="40"/>
  <c r="EO303" i="40"/>
  <c r="EN304" i="40"/>
  <c r="ED303" i="40"/>
  <c r="EE302" i="40"/>
  <c r="FM301" i="40"/>
  <c r="FN300" i="40"/>
  <c r="BQ194" i="23"/>
  <c r="BS193" i="23" s="1"/>
  <c r="BM193" i="23"/>
  <c r="BK8" i="40"/>
  <c r="BJ9" i="40"/>
  <c r="CD39" i="40"/>
  <c r="CE38" i="40"/>
  <c r="BZ38" i="40"/>
  <c r="BY39" i="40"/>
  <c r="CH377" i="40"/>
  <c r="CH378" i="40" s="1"/>
  <c r="CH379" i="40" s="1"/>
  <c r="BT28" i="40"/>
  <c r="BU27" i="40"/>
  <c r="CW59" i="40"/>
  <c r="CO9" i="40"/>
  <c r="CN10" i="40"/>
  <c r="BN127" i="40"/>
  <c r="CS43" i="40"/>
  <c r="CT42" i="40"/>
  <c r="AD229" i="23"/>
  <c r="BU208" i="23" s="1"/>
  <c r="BV208" i="23" s="1"/>
  <c r="AD218" i="23"/>
  <c r="BU197" i="23" s="1"/>
  <c r="BV197" i="23" s="1"/>
  <c r="AD217" i="23"/>
  <c r="BU196" i="23" s="1"/>
  <c r="BV196" i="23" s="1"/>
  <c r="AD214" i="23"/>
  <c r="BU193" i="23" s="1"/>
  <c r="BV193" i="23" s="1"/>
  <c r="BW193" i="23" s="1"/>
  <c r="AD223" i="23"/>
  <c r="BU202" i="23" s="1"/>
  <c r="BV202" i="23" s="1"/>
  <c r="BW202" i="23" s="1"/>
  <c r="AD222" i="23"/>
  <c r="BU201" i="23" s="1"/>
  <c r="BV201" i="23" s="1"/>
  <c r="AD228" i="23"/>
  <c r="BU207" i="23" s="1"/>
  <c r="BV207" i="23" s="1"/>
  <c r="AD227" i="23"/>
  <c r="BU206" i="23" s="1"/>
  <c r="BV206" i="23" s="1"/>
  <c r="J347" i="23"/>
  <c r="J325" i="23"/>
  <c r="J326" i="23"/>
  <c r="J345" i="23"/>
  <c r="J335" i="23"/>
  <c r="J330" i="23"/>
  <c r="J336" i="23"/>
  <c r="J337" i="23"/>
  <c r="J317" i="23"/>
  <c r="J332" i="23"/>
  <c r="K332" i="23"/>
  <c r="J352" i="23"/>
  <c r="K352" i="23"/>
  <c r="J333" i="23"/>
  <c r="K348" i="23"/>
  <c r="J348" i="23"/>
  <c r="J328" i="23"/>
  <c r="J329" i="23"/>
  <c r="K349" i="23"/>
  <c r="J349" i="23"/>
  <c r="J341" i="23"/>
  <c r="J320" i="23"/>
  <c r="J339" i="23"/>
  <c r="J340" i="23"/>
  <c r="J343" i="23"/>
  <c r="J324" i="23"/>
  <c r="J319" i="23"/>
  <c r="J350" i="23"/>
  <c r="J351" i="23"/>
  <c r="J331" i="23"/>
  <c r="J321" i="23"/>
  <c r="J316" i="23"/>
  <c r="J322" i="23"/>
  <c r="J323" i="23"/>
  <c r="J342" i="23"/>
  <c r="J318" i="23"/>
  <c r="J338" i="23"/>
  <c r="J344" i="23"/>
  <c r="J334" i="23"/>
  <c r="J314" i="23"/>
  <c r="K314" i="23" s="1"/>
  <c r="J315" i="23"/>
  <c r="J346" i="23"/>
  <c r="J327" i="23"/>
  <c r="AE362" i="23"/>
  <c r="AD363" i="23"/>
  <c r="AD224" i="23"/>
  <c r="BU203" i="23" s="1"/>
  <c r="BV203" i="23" s="1"/>
  <c r="AD225" i="23"/>
  <c r="BU204" i="23" s="1"/>
  <c r="BV204" i="23" s="1"/>
  <c r="AD230" i="23"/>
  <c r="BU209" i="23" s="1"/>
  <c r="BV209" i="23" s="1"/>
  <c r="AD213" i="23"/>
  <c r="AD219" i="23"/>
  <c r="BU198" i="23" s="1"/>
  <c r="BV198" i="23" s="1"/>
  <c r="AD220" i="23"/>
  <c r="BU199" i="23" s="1"/>
  <c r="BV199" i="23" s="1"/>
  <c r="AD221" i="23"/>
  <c r="BU200" i="23" s="1"/>
  <c r="BV200" i="23" s="1"/>
  <c r="AD226" i="23"/>
  <c r="BU205" i="23" s="1"/>
  <c r="BV205" i="23" s="1"/>
  <c r="AD231" i="23"/>
  <c r="BU210" i="23" s="1"/>
  <c r="BV210" i="23" s="1"/>
  <c r="AD215" i="23"/>
  <c r="BU194" i="23" s="1"/>
  <c r="BV194" i="23" s="1"/>
  <c r="BW194" i="23" s="1"/>
  <c r="T221" i="23"/>
  <c r="U220" i="23"/>
  <c r="V220" i="23" s="1"/>
  <c r="AE229" i="23" s="1"/>
  <c r="CA208" i="23" s="1"/>
  <c r="CB208" i="23" s="1"/>
  <c r="CC208" i="23" s="1"/>
  <c r="BK198" i="23"/>
  <c r="BK199" i="23" s="1"/>
  <c r="BE199" i="23"/>
  <c r="U281" i="23"/>
  <c r="V281" i="23" s="1"/>
  <c r="AS204" i="23"/>
  <c r="AS205" i="23" s="1"/>
  <c r="AS206" i="23" s="1"/>
  <c r="AS207" i="23" s="1"/>
  <c r="AY200" i="23"/>
  <c r="M280" i="23"/>
  <c r="L281" i="23"/>
  <c r="M281" i="23" s="1"/>
  <c r="A266" i="23"/>
  <c r="B265" i="23"/>
  <c r="C265" i="23" s="1"/>
  <c r="BQ196" i="23"/>
  <c r="BE18" i="40" l="1"/>
  <c r="BF17" i="40"/>
  <c r="BQ195" i="23"/>
  <c r="FM302" i="40"/>
  <c r="FN301" i="40"/>
  <c r="EO304" i="40"/>
  <c r="EN305" i="40"/>
  <c r="AH55" i="57"/>
  <c r="X55" i="57"/>
  <c r="ES304" i="40"/>
  <c r="ET303" i="40"/>
  <c r="EI304" i="40"/>
  <c r="EJ303" i="40"/>
  <c r="FS304" i="40"/>
  <c r="FR305" i="40"/>
  <c r="ED304" i="40"/>
  <c r="EE303" i="40"/>
  <c r="FH304" i="40"/>
  <c r="FI303" i="40"/>
  <c r="EY306" i="40"/>
  <c r="EX307" i="40"/>
  <c r="FC302" i="40"/>
  <c r="FD301" i="40"/>
  <c r="BJ10" i="40"/>
  <c r="BK9" i="40"/>
  <c r="BZ39" i="40"/>
  <c r="BY40" i="40"/>
  <c r="CD40" i="40"/>
  <c r="CE39" i="40"/>
  <c r="BU28" i="40"/>
  <c r="BT29" i="40"/>
  <c r="CH382" i="40"/>
  <c r="CH390" i="40" s="1"/>
  <c r="CO10" i="40"/>
  <c r="CN11" i="40"/>
  <c r="CW60" i="40"/>
  <c r="BN128" i="40"/>
  <c r="BN129" i="40" s="1"/>
  <c r="BN130" i="40" s="1"/>
  <c r="BN131" i="40" s="1"/>
  <c r="BN133" i="40" s="1"/>
  <c r="BN134" i="40" s="1"/>
  <c r="BN135" i="40" s="1"/>
  <c r="BN137" i="40" s="1"/>
  <c r="BN140" i="40" s="1"/>
  <c r="BN142" i="40" s="1"/>
  <c r="BN143" i="40" s="1"/>
  <c r="BN144" i="40" s="1"/>
  <c r="BN145" i="40" s="1"/>
  <c r="BN147" i="40" s="1"/>
  <c r="BN148" i="40" s="1"/>
  <c r="BN152" i="40" s="1"/>
  <c r="BN154" i="40" s="1"/>
  <c r="CS44" i="40"/>
  <c r="CT43" i="40"/>
  <c r="K315" i="23"/>
  <c r="K316" i="23" s="1"/>
  <c r="AE230" i="23"/>
  <c r="CA209" i="23" s="1"/>
  <c r="CB209" i="23" s="1"/>
  <c r="AE231" i="23"/>
  <c r="CA210" i="23" s="1"/>
  <c r="CB210" i="23" s="1"/>
  <c r="AE216" i="23"/>
  <c r="CA195" i="23" s="1"/>
  <c r="CB195" i="23" s="1"/>
  <c r="AE221" i="23"/>
  <c r="CA200" i="23" s="1"/>
  <c r="CB200" i="23" s="1"/>
  <c r="CC200" i="23" s="1"/>
  <c r="AE215" i="23"/>
  <c r="CA194" i="23" s="1"/>
  <c r="CB194" i="23" s="1"/>
  <c r="CC194" i="23" s="1"/>
  <c r="AE222" i="23"/>
  <c r="CA201" i="23" s="1"/>
  <c r="CB201" i="23" s="1"/>
  <c r="AE224" i="23"/>
  <c r="CA203" i="23" s="1"/>
  <c r="CB203" i="23" s="1"/>
  <c r="AE214" i="23"/>
  <c r="CA193" i="23" s="1"/>
  <c r="CB193" i="23" s="1"/>
  <c r="CC193" i="23" s="1"/>
  <c r="AE218" i="23"/>
  <c r="CA197" i="23" s="1"/>
  <c r="CB197" i="23" s="1"/>
  <c r="AE219" i="23"/>
  <c r="CA198" i="23" s="1"/>
  <c r="CB198" i="23" s="1"/>
  <c r="AE220" i="23"/>
  <c r="CA199" i="23" s="1"/>
  <c r="CB199" i="23" s="1"/>
  <c r="AE225" i="23"/>
  <c r="CA204" i="23" s="1"/>
  <c r="CB204" i="23" s="1"/>
  <c r="AE226" i="23"/>
  <c r="CA205" i="23" s="1"/>
  <c r="CB205" i="23" s="1"/>
  <c r="AE227" i="23"/>
  <c r="CA206" i="23" s="1"/>
  <c r="CB206" i="23" s="1"/>
  <c r="AE228" i="23"/>
  <c r="CA207" i="23" s="1"/>
  <c r="CB207" i="23" s="1"/>
  <c r="AE213" i="23"/>
  <c r="AE217" i="23"/>
  <c r="CA196" i="23" s="1"/>
  <c r="CB196" i="23" s="1"/>
  <c r="AE223" i="23"/>
  <c r="CA202" i="23" s="1"/>
  <c r="CB202" i="23" s="1"/>
  <c r="CC202" i="23" s="1"/>
  <c r="BW195" i="23"/>
  <c r="AD364" i="23"/>
  <c r="AE363" i="23"/>
  <c r="T222" i="23"/>
  <c r="U221" i="23"/>
  <c r="V221" i="23" s="1"/>
  <c r="AF213" i="23" s="1"/>
  <c r="BE200" i="23"/>
  <c r="BE201" i="23" s="1"/>
  <c r="AY201" i="23"/>
  <c r="B266" i="23"/>
  <c r="C266" i="23" s="1"/>
  <c r="A267" i="23"/>
  <c r="AS208" i="23"/>
  <c r="AS209" i="23" s="1"/>
  <c r="AS210" i="23" s="1"/>
  <c r="BW196" i="23"/>
  <c r="BQ197" i="23"/>
  <c r="BK200" i="23"/>
  <c r="BY193" i="23" l="1"/>
  <c r="BW197" i="23"/>
  <c r="BE19" i="40"/>
  <c r="BF18" i="40"/>
  <c r="FC303" i="40"/>
  <c r="FD302" i="40"/>
  <c r="FI304" i="40"/>
  <c r="FH305" i="40"/>
  <c r="ES305" i="40"/>
  <c r="ET304" i="40"/>
  <c r="EN306" i="40"/>
  <c r="EO305" i="40"/>
  <c r="EY307" i="40"/>
  <c r="EX308" i="40"/>
  <c r="X56" i="57"/>
  <c r="AH56" i="57"/>
  <c r="EE304" i="40"/>
  <c r="ED305" i="40"/>
  <c r="EJ304" i="40"/>
  <c r="EI305" i="40"/>
  <c r="FR306" i="40"/>
  <c r="FS305" i="40"/>
  <c r="FN302" i="40"/>
  <c r="FM303" i="40"/>
  <c r="BJ11" i="40"/>
  <c r="BK10" i="40"/>
  <c r="CD41" i="40"/>
  <c r="CE40" i="40"/>
  <c r="BZ40" i="40"/>
  <c r="BY41" i="40"/>
  <c r="CH391" i="40"/>
  <c r="CH394" i="40" s="1"/>
  <c r="CH396" i="40" s="1"/>
  <c r="CH397" i="40" s="1"/>
  <c r="CH398" i="40" s="1"/>
  <c r="CH400" i="40" s="1"/>
  <c r="CH402" i="40" s="1"/>
  <c r="CH403" i="40" s="1"/>
  <c r="CH404" i="40" s="1"/>
  <c r="CH406" i="40" s="1"/>
  <c r="BT30" i="40"/>
  <c r="BU29" i="40"/>
  <c r="CW61" i="40"/>
  <c r="CW62" i="40" s="1"/>
  <c r="CW63" i="40" s="1"/>
  <c r="CW64" i="40" s="1"/>
  <c r="CW65" i="40" s="1"/>
  <c r="CW66" i="40" s="1"/>
  <c r="CW67" i="40" s="1"/>
  <c r="CW68" i="40" s="1"/>
  <c r="CW69" i="40" s="1"/>
  <c r="CW70" i="40" s="1"/>
  <c r="CW71" i="40" s="1"/>
  <c r="CW72" i="40" s="1"/>
  <c r="CW73" i="40" s="1"/>
  <c r="CW74" i="40" s="1"/>
  <c r="CW75" i="40" s="1"/>
  <c r="CW76" i="40" s="1"/>
  <c r="CW77" i="40" s="1"/>
  <c r="CW78" i="40" s="1"/>
  <c r="CW79" i="40" s="1"/>
  <c r="CW80" i="40" s="1"/>
  <c r="CW81" i="40" s="1"/>
  <c r="CW82" i="40" s="1"/>
  <c r="CW83" i="40" s="1"/>
  <c r="CW84" i="40" s="1"/>
  <c r="CW85" i="40" s="1"/>
  <c r="CW86" i="40" s="1"/>
  <c r="CW87" i="40" s="1"/>
  <c r="CW88" i="40" s="1"/>
  <c r="CW89" i="40" s="1"/>
  <c r="CW90" i="40" s="1"/>
  <c r="CW91" i="40" s="1"/>
  <c r="CW92" i="40" s="1"/>
  <c r="CW93" i="40" s="1"/>
  <c r="CW94" i="40" s="1"/>
  <c r="CW95" i="40" s="1"/>
  <c r="CW96" i="40" s="1"/>
  <c r="CW97" i="40" s="1"/>
  <c r="CW98" i="40" s="1"/>
  <c r="CW99" i="40" s="1"/>
  <c r="CW100" i="40" s="1"/>
  <c r="CW101" i="40" s="1"/>
  <c r="CW102" i="40" s="1"/>
  <c r="CW103" i="40" s="1"/>
  <c r="CW104" i="40" s="1"/>
  <c r="CW105" i="40" s="1"/>
  <c r="CW106" i="40" s="1"/>
  <c r="CW107" i="40" s="1"/>
  <c r="CW108" i="40" s="1"/>
  <c r="CW109" i="40" s="1"/>
  <c r="CW110" i="40" s="1"/>
  <c r="CW111" i="40" s="1"/>
  <c r="CW112" i="40" s="1"/>
  <c r="CW113" i="40" s="1"/>
  <c r="CW114" i="40" s="1"/>
  <c r="CW115" i="40" s="1"/>
  <c r="CW116" i="40" s="1"/>
  <c r="CW117" i="40" s="1"/>
  <c r="CW118" i="40" s="1"/>
  <c r="CW119" i="40" s="1"/>
  <c r="CW120" i="40" s="1"/>
  <c r="CW121" i="40" s="1"/>
  <c r="CW122" i="40" s="1"/>
  <c r="CW123" i="40" s="1"/>
  <c r="CW124" i="40" s="1"/>
  <c r="CW125" i="40" s="1"/>
  <c r="CW126" i="40" s="1"/>
  <c r="CW127" i="40" s="1"/>
  <c r="CW128" i="40" s="1"/>
  <c r="CW129" i="40" s="1"/>
  <c r="CW130" i="40" s="1"/>
  <c r="CW131" i="40" s="1"/>
  <c r="CN12" i="40"/>
  <c r="CO11" i="40"/>
  <c r="BN159" i="40"/>
  <c r="BN156" i="40"/>
  <c r="BN157" i="40" s="1"/>
  <c r="BN158" i="40" s="1"/>
  <c r="CS45" i="40"/>
  <c r="CT44" i="40"/>
  <c r="K317" i="23"/>
  <c r="K318" i="23" s="1"/>
  <c r="K319" i="23" s="1"/>
  <c r="CC196" i="23"/>
  <c r="AF231" i="23"/>
  <c r="CG210" i="23" s="1"/>
  <c r="CH210" i="23" s="1"/>
  <c r="AD365" i="23"/>
  <c r="AE364" i="23"/>
  <c r="AF230" i="23"/>
  <c r="CG209" i="23" s="1"/>
  <c r="CH209" i="23" s="1"/>
  <c r="AF214" i="23"/>
  <c r="CG193" i="23" s="1"/>
  <c r="CH193" i="23" s="1"/>
  <c r="CI193" i="23" s="1"/>
  <c r="AF223" i="23"/>
  <c r="CG202" i="23" s="1"/>
  <c r="CH202" i="23" s="1"/>
  <c r="CI202" i="23" s="1"/>
  <c r="AF229" i="23"/>
  <c r="CG208" i="23" s="1"/>
  <c r="CH208" i="23" s="1"/>
  <c r="CI208" i="23" s="1"/>
  <c r="AF227" i="23"/>
  <c r="CG206" i="23" s="1"/>
  <c r="CH206" i="23" s="1"/>
  <c r="AF224" i="23"/>
  <c r="CG203" i="23" s="1"/>
  <c r="CH203" i="23" s="1"/>
  <c r="AF219" i="23"/>
  <c r="CG198" i="23" s="1"/>
  <c r="CH198" i="23" s="1"/>
  <c r="CI198" i="23" s="1"/>
  <c r="AF226" i="23"/>
  <c r="CG205" i="23" s="1"/>
  <c r="CH205" i="23" s="1"/>
  <c r="AF228" i="23"/>
  <c r="CG207" i="23" s="1"/>
  <c r="CH207" i="23" s="1"/>
  <c r="CI207" i="23" s="1"/>
  <c r="AF225" i="23"/>
  <c r="CG204" i="23" s="1"/>
  <c r="CH204" i="23" s="1"/>
  <c r="AF216" i="23"/>
  <c r="CG195" i="23" s="1"/>
  <c r="CH195" i="23" s="1"/>
  <c r="CI195" i="23" s="1"/>
  <c r="AF218" i="23"/>
  <c r="CG197" i="23" s="1"/>
  <c r="CH197" i="23" s="1"/>
  <c r="AF215" i="23"/>
  <c r="CG194" i="23" s="1"/>
  <c r="CH194" i="23" s="1"/>
  <c r="CI194" i="23" s="1"/>
  <c r="AF220" i="23"/>
  <c r="CG199" i="23" s="1"/>
  <c r="CH199" i="23" s="1"/>
  <c r="AF221" i="23"/>
  <c r="CG200" i="23" s="1"/>
  <c r="CH200" i="23" s="1"/>
  <c r="AF222" i="23"/>
  <c r="CG201" i="23" s="1"/>
  <c r="CH201" i="23" s="1"/>
  <c r="AF217" i="23"/>
  <c r="CG196" i="23" s="1"/>
  <c r="CH196" i="23" s="1"/>
  <c r="T223" i="23"/>
  <c r="U222" i="23"/>
  <c r="V222" i="23" s="1"/>
  <c r="AG223" i="23" s="1"/>
  <c r="CM202" i="23" s="1"/>
  <c r="CN202" i="23" s="1"/>
  <c r="CO202" i="23" s="1"/>
  <c r="CC195" i="23"/>
  <c r="BE202" i="23"/>
  <c r="BE203" i="23" s="1"/>
  <c r="BE204" i="23" s="1"/>
  <c r="BE205" i="23" s="1"/>
  <c r="BE206" i="23" s="1"/>
  <c r="BQ198" i="23"/>
  <c r="BQ199" i="23" s="1"/>
  <c r="BW198" i="23"/>
  <c r="AT194" i="23"/>
  <c r="AU194" i="23" s="1"/>
  <c r="AY202" i="23"/>
  <c r="AY203" i="23" s="1"/>
  <c r="B267" i="23"/>
  <c r="C267" i="23" s="1"/>
  <c r="A268" i="23"/>
  <c r="CC197" i="23"/>
  <c r="CC209" i="23"/>
  <c r="BK201" i="23"/>
  <c r="BF19" i="40" l="1"/>
  <c r="BE20" i="40"/>
  <c r="FS306" i="40"/>
  <c r="FR307" i="40"/>
  <c r="EE305" i="40"/>
  <c r="ED306" i="40"/>
  <c r="X57" i="57"/>
  <c r="FH306" i="40"/>
  <c r="FI305" i="40"/>
  <c r="FM304" i="40"/>
  <c r="FN303" i="40"/>
  <c r="EN307" i="40"/>
  <c r="EO306" i="40"/>
  <c r="EI306" i="40"/>
  <c r="EJ305" i="40"/>
  <c r="EY308" i="40"/>
  <c r="EX309" i="40"/>
  <c r="AH57" i="57"/>
  <c r="ET305" i="40"/>
  <c r="ES306" i="40"/>
  <c r="FD303" i="40"/>
  <c r="FC304" i="40"/>
  <c r="BK11" i="40"/>
  <c r="BJ12" i="40"/>
  <c r="BZ41" i="40"/>
  <c r="BY42" i="40"/>
  <c r="CE41" i="40"/>
  <c r="CD42" i="40"/>
  <c r="CI4" i="40"/>
  <c r="CI5" i="40" s="1"/>
  <c r="CJ3" i="40"/>
  <c r="BU30" i="40"/>
  <c r="BT31" i="40"/>
  <c r="CO12" i="40"/>
  <c r="CN13" i="40"/>
  <c r="CW132" i="40"/>
  <c r="CW133" i="40" s="1"/>
  <c r="CW134" i="40" s="1"/>
  <c r="CW135" i="40" s="1"/>
  <c r="CW136" i="40" s="1"/>
  <c r="CW137" i="40" s="1"/>
  <c r="CW138" i="40" s="1"/>
  <c r="CW139" i="40" s="1"/>
  <c r="CW140" i="40" s="1"/>
  <c r="CW141" i="40" s="1"/>
  <c r="CW142" i="40" s="1"/>
  <c r="CW143" i="40" s="1"/>
  <c r="CW144" i="40" s="1"/>
  <c r="CW145" i="40" s="1"/>
  <c r="CW146" i="40" s="1"/>
  <c r="CW147" i="40" s="1"/>
  <c r="CW148" i="40" s="1"/>
  <c r="CW149" i="40" s="1"/>
  <c r="CW150" i="40" s="1"/>
  <c r="CW151" i="40" s="1"/>
  <c r="CW152" i="40" s="1"/>
  <c r="CW153" i="40" s="1"/>
  <c r="CW154" i="40" s="1"/>
  <c r="CW155" i="40" s="1"/>
  <c r="CW156" i="40" s="1"/>
  <c r="CW157" i="40" s="1"/>
  <c r="CW158" i="40" s="1"/>
  <c r="CW159" i="40" s="1"/>
  <c r="CW160" i="40" s="1"/>
  <c r="CW161" i="40" s="1"/>
  <c r="CW162" i="40" s="1"/>
  <c r="CW163" i="40" s="1"/>
  <c r="CW164" i="40" s="1"/>
  <c r="CW165" i="40" s="1"/>
  <c r="CW166" i="40" s="1"/>
  <c r="CW167" i="40" s="1"/>
  <c r="CW168" i="40" s="1"/>
  <c r="CW169" i="40" s="1"/>
  <c r="CW170" i="40" s="1"/>
  <c r="CW171" i="40" s="1"/>
  <c r="CW172" i="40" s="1"/>
  <c r="CW173" i="40" s="1"/>
  <c r="CW174" i="40" s="1"/>
  <c r="CW175" i="40" s="1"/>
  <c r="CW176" i="40" s="1"/>
  <c r="CW177" i="40" s="1"/>
  <c r="CW178" i="40" s="1"/>
  <c r="CW179" i="40" s="1"/>
  <c r="CW180" i="40" s="1"/>
  <c r="CW181" i="40" s="1"/>
  <c r="CW182" i="40" s="1"/>
  <c r="CW183" i="40" s="1"/>
  <c r="CW184" i="40" s="1"/>
  <c r="CW185" i="40" s="1"/>
  <c r="BN161" i="40"/>
  <c r="BN162" i="40" s="1"/>
  <c r="BN163" i="40" s="1"/>
  <c r="BN164" i="40" s="1"/>
  <c r="BN165" i="40" s="1"/>
  <c r="CS46" i="40"/>
  <c r="CT45" i="40"/>
  <c r="CI209" i="23"/>
  <c r="K320" i="23"/>
  <c r="AG228" i="23"/>
  <c r="CM207" i="23" s="1"/>
  <c r="CN207" i="23" s="1"/>
  <c r="CO207" i="23" s="1"/>
  <c r="AG217" i="23"/>
  <c r="CM196" i="23" s="1"/>
  <c r="CN196" i="23" s="1"/>
  <c r="CO196" i="23" s="1"/>
  <c r="AG219" i="23"/>
  <c r="CM198" i="23" s="1"/>
  <c r="CN198" i="23" s="1"/>
  <c r="CO198" i="23" s="1"/>
  <c r="AD366" i="23"/>
  <c r="AE365" i="23"/>
  <c r="AG213" i="23"/>
  <c r="AG224" i="23"/>
  <c r="CM203" i="23" s="1"/>
  <c r="CN203" i="23" s="1"/>
  <c r="AG229" i="23"/>
  <c r="CM208" i="23" s="1"/>
  <c r="CN208" i="23" s="1"/>
  <c r="CO208" i="23" s="1"/>
  <c r="AG214" i="23"/>
  <c r="CM193" i="23" s="1"/>
  <c r="CN193" i="23" s="1"/>
  <c r="CO193" i="23" s="1"/>
  <c r="AG218" i="23"/>
  <c r="CM197" i="23" s="1"/>
  <c r="CN197" i="23" s="1"/>
  <c r="AG215" i="23"/>
  <c r="CM194" i="23" s="1"/>
  <c r="CN194" i="23" s="1"/>
  <c r="CO194" i="23" s="1"/>
  <c r="AG225" i="23"/>
  <c r="CM204" i="23" s="1"/>
  <c r="CN204" i="23" s="1"/>
  <c r="CO204" i="23" s="1"/>
  <c r="AG227" i="23"/>
  <c r="CM206" i="23" s="1"/>
  <c r="CN206" i="23" s="1"/>
  <c r="AG222" i="23"/>
  <c r="CM201" i="23" s="1"/>
  <c r="CN201" i="23" s="1"/>
  <c r="CO201" i="23" s="1"/>
  <c r="AG220" i="23"/>
  <c r="CM199" i="23" s="1"/>
  <c r="CN199" i="23" s="1"/>
  <c r="AG230" i="23"/>
  <c r="CM209" i="23" s="1"/>
  <c r="CN209" i="23" s="1"/>
  <c r="CO209" i="23" s="1"/>
  <c r="AG231" i="23"/>
  <c r="CM210" i="23" s="1"/>
  <c r="CN210" i="23" s="1"/>
  <c r="AG216" i="23"/>
  <c r="CM195" i="23" s="1"/>
  <c r="CN195" i="23" s="1"/>
  <c r="CO195" i="23" s="1"/>
  <c r="AG221" i="23"/>
  <c r="CM200" i="23" s="1"/>
  <c r="CN200" i="23" s="1"/>
  <c r="AG226" i="23"/>
  <c r="CM205" i="23" s="1"/>
  <c r="CN205" i="23" s="1"/>
  <c r="T224" i="23"/>
  <c r="U223" i="23"/>
  <c r="V223" i="23" s="1"/>
  <c r="AH216" i="23" s="1"/>
  <c r="CS195" i="23" s="1"/>
  <c r="CT195" i="23" s="1"/>
  <c r="CU195" i="23" s="1"/>
  <c r="BQ200" i="23"/>
  <c r="BQ201" i="23" s="1"/>
  <c r="BE207" i="23"/>
  <c r="BE208" i="23" s="1"/>
  <c r="BE209" i="23" s="1"/>
  <c r="BE210" i="23" s="1"/>
  <c r="BF194" i="23" s="1"/>
  <c r="BW199" i="23"/>
  <c r="BK202" i="23"/>
  <c r="BK203" i="23" s="1"/>
  <c r="BK204" i="23" s="1"/>
  <c r="BK205" i="23" s="1"/>
  <c r="BK206" i="23" s="1"/>
  <c r="BK207" i="23" s="1"/>
  <c r="BK208" i="23" s="1"/>
  <c r="BK209" i="23" s="1"/>
  <c r="BK210" i="23" s="1"/>
  <c r="BL194" i="23" s="1"/>
  <c r="BM194" i="23" s="1"/>
  <c r="CC201" i="23"/>
  <c r="BW203" i="23"/>
  <c r="CC198" i="23"/>
  <c r="CC199" i="23" s="1"/>
  <c r="AT195" i="23"/>
  <c r="AU195" i="23" s="1"/>
  <c r="AY204" i="23"/>
  <c r="AY205" i="23" s="1"/>
  <c r="AY206" i="23" s="1"/>
  <c r="AY207" i="23" s="1"/>
  <c r="B268" i="23"/>
  <c r="C268" i="23" s="1"/>
  <c r="A269" i="23"/>
  <c r="CC204" i="23"/>
  <c r="BW204" i="23"/>
  <c r="CI196" i="23"/>
  <c r="BW201" i="23" l="1"/>
  <c r="BW200" i="23"/>
  <c r="BF20" i="40"/>
  <c r="BE21" i="40"/>
  <c r="ES307" i="40"/>
  <c r="ET306" i="40"/>
  <c r="EY309" i="40"/>
  <c r="EX310" i="40"/>
  <c r="EE306" i="40"/>
  <c r="ED307" i="40"/>
  <c r="EO307" i="40"/>
  <c r="EN308" i="40"/>
  <c r="FH307" i="40"/>
  <c r="FI306" i="40"/>
  <c r="FC305" i="40"/>
  <c r="FD304" i="40"/>
  <c r="X58" i="57"/>
  <c r="FS307" i="40"/>
  <c r="FR308" i="40"/>
  <c r="AH58" i="57"/>
  <c r="EJ306" i="40"/>
  <c r="EI307" i="40"/>
  <c r="FM305" i="40"/>
  <c r="FN304" i="40"/>
  <c r="BK12" i="40"/>
  <c r="BJ13" i="40"/>
  <c r="CD43" i="40"/>
  <c r="CE42" i="40"/>
  <c r="BY43" i="40"/>
  <c r="BZ42" i="40"/>
  <c r="CJ4" i="40"/>
  <c r="BU31" i="40"/>
  <c r="BT32" i="40"/>
  <c r="CJ5" i="40"/>
  <c r="CI6" i="40"/>
  <c r="CW186" i="40"/>
  <c r="CW187" i="40" s="1"/>
  <c r="CW188" i="40" s="1"/>
  <c r="CW189" i="40" s="1"/>
  <c r="CW190" i="40" s="1"/>
  <c r="CW191" i="40" s="1"/>
  <c r="CW192" i="40" s="1"/>
  <c r="CW193" i="40" s="1"/>
  <c r="CN14" i="40"/>
  <c r="CO13" i="40"/>
  <c r="BF195" i="23"/>
  <c r="BG195" i="23" s="1"/>
  <c r="BG194" i="23"/>
  <c r="BN166" i="40"/>
  <c r="BN167" i="40" s="1"/>
  <c r="BN170" i="40" s="1"/>
  <c r="CS47" i="40"/>
  <c r="CT46" i="40"/>
  <c r="BQ202" i="23"/>
  <c r="BQ203" i="23" s="1"/>
  <c r="BQ204" i="23" s="1"/>
  <c r="K321" i="23"/>
  <c r="CO197" i="23"/>
  <c r="AH225" i="23"/>
  <c r="CS204" i="23" s="1"/>
  <c r="CT204" i="23" s="1"/>
  <c r="CU204" i="23" s="1"/>
  <c r="AH230" i="23"/>
  <c r="CS209" i="23" s="1"/>
  <c r="CT209" i="23" s="1"/>
  <c r="CU209" i="23" s="1"/>
  <c r="AH218" i="23"/>
  <c r="CS197" i="23" s="1"/>
  <c r="CT197" i="23" s="1"/>
  <c r="AH229" i="23"/>
  <c r="CS208" i="23" s="1"/>
  <c r="CT208" i="23" s="1"/>
  <c r="CU208" i="23" s="1"/>
  <c r="AH231" i="23"/>
  <c r="CS210" i="23" s="1"/>
  <c r="CT210" i="23" s="1"/>
  <c r="AH221" i="23"/>
  <c r="CS200" i="23" s="1"/>
  <c r="CT200" i="23" s="1"/>
  <c r="CU200" i="23" s="1"/>
  <c r="AH223" i="23"/>
  <c r="CS202" i="23" s="1"/>
  <c r="CT202" i="23" s="1"/>
  <c r="CU202" i="23" s="1"/>
  <c r="AH226" i="23"/>
  <c r="CS205" i="23" s="1"/>
  <c r="CT205" i="23" s="1"/>
  <c r="AH219" i="23"/>
  <c r="CS198" i="23" s="1"/>
  <c r="CT198" i="23" s="1"/>
  <c r="CU198" i="23" s="1"/>
  <c r="AH217" i="23"/>
  <c r="CS196" i="23" s="1"/>
  <c r="CT196" i="23" s="1"/>
  <c r="CU196" i="23" s="1"/>
  <c r="AH213" i="23"/>
  <c r="AH215" i="23"/>
  <c r="CS194" i="23" s="1"/>
  <c r="CT194" i="23" s="1"/>
  <c r="CU194" i="23" s="1"/>
  <c r="AH228" i="23"/>
  <c r="CS207" i="23" s="1"/>
  <c r="CT207" i="23" s="1"/>
  <c r="CU207" i="23" s="1"/>
  <c r="AH224" i="23"/>
  <c r="CS203" i="23" s="1"/>
  <c r="CT203" i="23" s="1"/>
  <c r="AH220" i="23"/>
  <c r="CS199" i="23" s="1"/>
  <c r="CT199" i="23" s="1"/>
  <c r="AH222" i="23"/>
  <c r="CS201" i="23" s="1"/>
  <c r="CT201" i="23" s="1"/>
  <c r="CU201" i="23" s="1"/>
  <c r="AH227" i="23"/>
  <c r="CS206" i="23" s="1"/>
  <c r="CT206" i="23" s="1"/>
  <c r="AH214" i="23"/>
  <c r="CS193" i="23" s="1"/>
  <c r="CT193" i="23" s="1"/>
  <c r="AD367" i="23"/>
  <c r="AE366" i="23"/>
  <c r="T225" i="23"/>
  <c r="U225" i="23" s="1"/>
  <c r="V225" i="23" s="1"/>
  <c r="U224" i="23"/>
  <c r="V224" i="23" s="1"/>
  <c r="CI197" i="23"/>
  <c r="CO199" i="23"/>
  <c r="BL195" i="23"/>
  <c r="BM195" i="23" s="1"/>
  <c r="CC203" i="23"/>
  <c r="AT196" i="23"/>
  <c r="AU196" i="23" s="1"/>
  <c r="AY208" i="23"/>
  <c r="AY209" i="23" s="1"/>
  <c r="AY210" i="23" s="1"/>
  <c r="A270" i="23"/>
  <c r="B269" i="23"/>
  <c r="C269" i="23" s="1"/>
  <c r="BW205" i="23"/>
  <c r="CI201" i="23"/>
  <c r="BF21" i="40" l="1"/>
  <c r="BE22" i="40"/>
  <c r="BF196" i="23"/>
  <c r="BG196" i="23" s="1"/>
  <c r="EJ307" i="40"/>
  <c r="EI308" i="40"/>
  <c r="FR309" i="40"/>
  <c r="FS308" i="40"/>
  <c r="EO308" i="40"/>
  <c r="EN309" i="40"/>
  <c r="EY310" i="40"/>
  <c r="EX311" i="40"/>
  <c r="FC306" i="40"/>
  <c r="FD305" i="40"/>
  <c r="AH59" i="57"/>
  <c r="X59" i="57"/>
  <c r="EE307" i="40"/>
  <c r="ED308" i="40"/>
  <c r="FN305" i="40"/>
  <c r="FM306" i="40"/>
  <c r="FH308" i="40"/>
  <c r="FI307" i="40"/>
  <c r="ES308" i="40"/>
  <c r="ET307" i="40"/>
  <c r="BJ14" i="40"/>
  <c r="BK13" i="40"/>
  <c r="BZ43" i="40"/>
  <c r="BY44" i="40"/>
  <c r="CD44" i="40"/>
  <c r="CE43" i="40"/>
  <c r="CJ6" i="40"/>
  <c r="CI7" i="40"/>
  <c r="BU32" i="40"/>
  <c r="BT33" i="40"/>
  <c r="CW194" i="40"/>
  <c r="CW195" i="40" s="1"/>
  <c r="CW196" i="40" s="1"/>
  <c r="CW197" i="40" s="1"/>
  <c r="CW198" i="40" s="1"/>
  <c r="CW199" i="40" s="1"/>
  <c r="CW200" i="40" s="1"/>
  <c r="CW201" i="40" s="1"/>
  <c r="CW202" i="40" s="1"/>
  <c r="CW203" i="40" s="1"/>
  <c r="CW204" i="40" s="1"/>
  <c r="CW205" i="40" s="1"/>
  <c r="CW206" i="40" s="1"/>
  <c r="CW207" i="40" s="1"/>
  <c r="CW208" i="40" s="1"/>
  <c r="CW209" i="40" s="1"/>
  <c r="CW210" i="40" s="1"/>
  <c r="CW211" i="40" s="1"/>
  <c r="CW212" i="40" s="1"/>
  <c r="CW213" i="40" s="1"/>
  <c r="CW214" i="40" s="1"/>
  <c r="CW215" i="40" s="1"/>
  <c r="CW216" i="40" s="1"/>
  <c r="CW217" i="40" s="1"/>
  <c r="CW218" i="40" s="1"/>
  <c r="CW219" i="40" s="1"/>
  <c r="CW220" i="40" s="1"/>
  <c r="CN15" i="40"/>
  <c r="CO14" i="40"/>
  <c r="BN171" i="40"/>
  <c r="BN172" i="40" s="1"/>
  <c r="BN173" i="40" s="1"/>
  <c r="BN174" i="40" s="1"/>
  <c r="CS48" i="40"/>
  <c r="CT47" i="40"/>
  <c r="CU193" i="23"/>
  <c r="K322" i="23"/>
  <c r="CO200" i="23"/>
  <c r="AD368" i="23"/>
  <c r="AE367" i="23"/>
  <c r="AI217" i="23"/>
  <c r="CY196" i="23" s="1"/>
  <c r="CZ196" i="23" s="1"/>
  <c r="DA196" i="23" s="1"/>
  <c r="AI213" i="23"/>
  <c r="AI228" i="23"/>
  <c r="CY207" i="23" s="1"/>
  <c r="CZ207" i="23" s="1"/>
  <c r="DA207" i="23" s="1"/>
  <c r="AI227" i="23"/>
  <c r="CY206" i="23" s="1"/>
  <c r="CZ206" i="23" s="1"/>
  <c r="AI226" i="23"/>
  <c r="CY205" i="23" s="1"/>
  <c r="CZ205" i="23" s="1"/>
  <c r="AI221" i="23"/>
  <c r="CY200" i="23" s="1"/>
  <c r="CZ200" i="23" s="1"/>
  <c r="DA200" i="23" s="1"/>
  <c r="AI216" i="23"/>
  <c r="CY195" i="23" s="1"/>
  <c r="CZ195" i="23" s="1"/>
  <c r="DA195" i="23" s="1"/>
  <c r="AI215" i="23"/>
  <c r="CY194" i="23" s="1"/>
  <c r="CZ194" i="23" s="1"/>
  <c r="DA194" i="23" s="1"/>
  <c r="AI231" i="23"/>
  <c r="CY210" i="23" s="1"/>
  <c r="CZ210" i="23" s="1"/>
  <c r="AI230" i="23"/>
  <c r="CY209" i="23" s="1"/>
  <c r="CZ209" i="23" s="1"/>
  <c r="DA209" i="23" s="1"/>
  <c r="AI225" i="23"/>
  <c r="CY204" i="23" s="1"/>
  <c r="CZ204" i="23" s="1"/>
  <c r="DA204" i="23" s="1"/>
  <c r="AI220" i="23"/>
  <c r="CY199" i="23" s="1"/>
  <c r="CZ199" i="23" s="1"/>
  <c r="AI219" i="23"/>
  <c r="CY198" i="23" s="1"/>
  <c r="CZ198" i="23" s="1"/>
  <c r="DA198" i="23" s="1"/>
  <c r="AI218" i="23"/>
  <c r="CY197" i="23" s="1"/>
  <c r="CZ197" i="23" s="1"/>
  <c r="DA197" i="23" s="1"/>
  <c r="AI214" i="23"/>
  <c r="CY193" i="23" s="1"/>
  <c r="CZ193" i="23" s="1"/>
  <c r="DA193" i="23" s="1"/>
  <c r="AI229" i="23"/>
  <c r="CY208" i="23" s="1"/>
  <c r="CZ208" i="23" s="1"/>
  <c r="DA208" i="23" s="1"/>
  <c r="AI224" i="23"/>
  <c r="CY203" i="23" s="1"/>
  <c r="CZ203" i="23" s="1"/>
  <c r="DA203" i="23" s="1"/>
  <c r="AI223" i="23"/>
  <c r="CY202" i="23" s="1"/>
  <c r="CZ202" i="23" s="1"/>
  <c r="DA202" i="23" s="1"/>
  <c r="AI222" i="23"/>
  <c r="CY201" i="23" s="1"/>
  <c r="CZ201" i="23" s="1"/>
  <c r="DA201" i="23" s="1"/>
  <c r="CC205" i="23"/>
  <c r="CC206" i="23" s="1"/>
  <c r="BL196" i="23"/>
  <c r="CO203" i="23"/>
  <c r="BQ205" i="23"/>
  <c r="BQ206" i="23" s="1"/>
  <c r="BQ207" i="23" s="1"/>
  <c r="CI199" i="23"/>
  <c r="CI203" i="23" s="1"/>
  <c r="BW206" i="23"/>
  <c r="BW207" i="23" s="1"/>
  <c r="BW208" i="23" s="1"/>
  <c r="BW209" i="23" s="1"/>
  <c r="BW210" i="23" s="1"/>
  <c r="BX194" i="23" s="1"/>
  <c r="BY194" i="23" s="1"/>
  <c r="CU197" i="23"/>
  <c r="BF197" i="23"/>
  <c r="BG197" i="23" s="1"/>
  <c r="AZ194" i="23"/>
  <c r="BA194" i="23" s="1"/>
  <c r="AT197" i="23"/>
  <c r="AU197" i="23" s="1"/>
  <c r="A271" i="23"/>
  <c r="B270" i="23"/>
  <c r="C270" i="23" s="1"/>
  <c r="CI204" i="23"/>
  <c r="BE23" i="40" l="1"/>
  <c r="BF22" i="40"/>
  <c r="EE308" i="40"/>
  <c r="ED309" i="40"/>
  <c r="AH60" i="57"/>
  <c r="EY311" i="40"/>
  <c r="EX312" i="40"/>
  <c r="FH309" i="40"/>
  <c r="FI308" i="40"/>
  <c r="FR310" i="40"/>
  <c r="FS309" i="40"/>
  <c r="FM307" i="40"/>
  <c r="FN306" i="40"/>
  <c r="X60" i="57"/>
  <c r="EO309" i="40"/>
  <c r="EN310" i="40"/>
  <c r="EI309" i="40"/>
  <c r="EJ308" i="40"/>
  <c r="ES309" i="40"/>
  <c r="ET308" i="40"/>
  <c r="FC307" i="40"/>
  <c r="FD306" i="40"/>
  <c r="BL197" i="23"/>
  <c r="BM197" i="23" s="1"/>
  <c r="BM196" i="23"/>
  <c r="BK14" i="40"/>
  <c r="BJ15" i="40"/>
  <c r="CE44" i="40"/>
  <c r="CD45" i="40"/>
  <c r="BY45" i="40"/>
  <c r="BZ44" i="40"/>
  <c r="BU33" i="40"/>
  <c r="BT34" i="40"/>
  <c r="CI8" i="40"/>
  <c r="CJ7" i="40"/>
  <c r="CW221" i="40"/>
  <c r="CW222" i="40" s="1"/>
  <c r="CW223" i="40" s="1"/>
  <c r="CO15" i="40"/>
  <c r="CN16" i="40"/>
  <c r="BN176" i="40"/>
  <c r="BN178" i="40" s="1"/>
  <c r="BN179" i="40" s="1"/>
  <c r="CS49" i="40"/>
  <c r="CT48" i="40"/>
  <c r="DA205" i="23"/>
  <c r="K323" i="23"/>
  <c r="AD369" i="23"/>
  <c r="AE368" i="23"/>
  <c r="DA199" i="23"/>
  <c r="CI200" i="23"/>
  <c r="BX195" i="23"/>
  <c r="CC207" i="23"/>
  <c r="CC210" i="23"/>
  <c r="CU199" i="23"/>
  <c r="CU203" i="23" s="1"/>
  <c r="DA206" i="23"/>
  <c r="CO205" i="23"/>
  <c r="CO206" i="23" s="1"/>
  <c r="CO210" i="23" s="1"/>
  <c r="CI205" i="23"/>
  <c r="CI206" i="23" s="1"/>
  <c r="BQ208" i="23"/>
  <c r="DA210" i="23"/>
  <c r="BL198" i="23"/>
  <c r="BM198" i="23" s="1"/>
  <c r="AZ195" i="23"/>
  <c r="BA195" i="23" s="1"/>
  <c r="AT198" i="23"/>
  <c r="AU198" i="23" s="1"/>
  <c r="BF198" i="23"/>
  <c r="BG198" i="23" s="1"/>
  <c r="A272" i="23"/>
  <c r="B271" i="23"/>
  <c r="C271" i="23" s="1"/>
  <c r="BX196" i="23" l="1"/>
  <c r="BY196" i="23" s="1"/>
  <c r="BY195" i="23"/>
  <c r="BF23" i="40"/>
  <c r="BE24" i="40"/>
  <c r="EO310" i="40"/>
  <c r="EN311" i="40"/>
  <c r="AH61" i="57"/>
  <c r="ES310" i="40"/>
  <c r="ET309" i="40"/>
  <c r="FN307" i="40"/>
  <c r="FM308" i="40"/>
  <c r="FH310" i="40"/>
  <c r="FI309" i="40"/>
  <c r="X61" i="57"/>
  <c r="EY312" i="40"/>
  <c r="EX313" i="40"/>
  <c r="ED310" i="40"/>
  <c r="EE309" i="40"/>
  <c r="FC308" i="40"/>
  <c r="FD307" i="40"/>
  <c r="EJ309" i="40"/>
  <c r="EI310" i="40"/>
  <c r="FS310" i="40"/>
  <c r="FR311" i="40"/>
  <c r="BJ16" i="40"/>
  <c r="BK15" i="40"/>
  <c r="BZ45" i="40"/>
  <c r="BY46" i="40"/>
  <c r="CD46" i="40"/>
  <c r="CE45" i="40"/>
  <c r="CI9" i="40"/>
  <c r="CJ8" i="40"/>
  <c r="BT35" i="40"/>
  <c r="BU34" i="40"/>
  <c r="CW224" i="40"/>
  <c r="CW225" i="40" s="1"/>
  <c r="CW226" i="40" s="1"/>
  <c r="CW227" i="40" s="1"/>
  <c r="CW228" i="40" s="1"/>
  <c r="CW229" i="40" s="1"/>
  <c r="CW230" i="40" s="1"/>
  <c r="CW231" i="40" s="1"/>
  <c r="CW232" i="40" s="1"/>
  <c r="CW233" i="40" s="1"/>
  <c r="CW234" i="40" s="1"/>
  <c r="CW235" i="40" s="1"/>
  <c r="CW236" i="40" s="1"/>
  <c r="CW237" i="40" s="1"/>
  <c r="CW238" i="40" s="1"/>
  <c r="CW239" i="40" s="1"/>
  <c r="CW240" i="40" s="1"/>
  <c r="CW241" i="40" s="1"/>
  <c r="CW242" i="40" s="1"/>
  <c r="CW243" i="40" s="1"/>
  <c r="CW244" i="40" s="1"/>
  <c r="CW245" i="40" s="1"/>
  <c r="CW246" i="40" s="1"/>
  <c r="CW247" i="40" s="1"/>
  <c r="CW248" i="40" s="1"/>
  <c r="CW249" i="40" s="1"/>
  <c r="CW250" i="40" s="1"/>
  <c r="CW251" i="40" s="1"/>
  <c r="CW252" i="40" s="1"/>
  <c r="CW253" i="40" s="1"/>
  <c r="CW254" i="40" s="1"/>
  <c r="CW255" i="40" s="1"/>
  <c r="CW256" i="40" s="1"/>
  <c r="CW257" i="40" s="1"/>
  <c r="CW258" i="40" s="1"/>
  <c r="CW259" i="40" s="1"/>
  <c r="CW260" i="40" s="1"/>
  <c r="CN17" i="40"/>
  <c r="CO16" i="40"/>
  <c r="BN180" i="40"/>
  <c r="CS50" i="40"/>
  <c r="CT49" i="40"/>
  <c r="K324" i="23"/>
  <c r="K325" i="23" s="1"/>
  <c r="AD370" i="23"/>
  <c r="AE369" i="23"/>
  <c r="BQ209" i="23"/>
  <c r="BQ210" i="23" s="1"/>
  <c r="CP194" i="23"/>
  <c r="CD194" i="23"/>
  <c r="CI210" i="23"/>
  <c r="CU205" i="23"/>
  <c r="CU206" i="23" s="1"/>
  <c r="BL199" i="23"/>
  <c r="BM199" i="23" s="1"/>
  <c r="BX197" i="23"/>
  <c r="BY197" i="23" s="1"/>
  <c r="AT199" i="23"/>
  <c r="AU199" i="23" s="1"/>
  <c r="BF199" i="23"/>
  <c r="BG199" i="23" s="1"/>
  <c r="AZ196" i="23"/>
  <c r="BA196" i="23" s="1"/>
  <c r="B272" i="23"/>
  <c r="C272" i="23" s="1"/>
  <c r="A273" i="23"/>
  <c r="BF24" i="40" l="1"/>
  <c r="BE25" i="40"/>
  <c r="EJ310" i="40"/>
  <c r="EI311" i="40"/>
  <c r="X62" i="57"/>
  <c r="FN308" i="40"/>
  <c r="FM309" i="40"/>
  <c r="AH62" i="57"/>
  <c r="EE310" i="40"/>
  <c r="ED311" i="40"/>
  <c r="FR312" i="40"/>
  <c r="FS311" i="40"/>
  <c r="EY313" i="40"/>
  <c r="EX314" i="40"/>
  <c r="EO311" i="40"/>
  <c r="EN312" i="40"/>
  <c r="FD308" i="40"/>
  <c r="FC309" i="40"/>
  <c r="FH311" i="40"/>
  <c r="FI310" i="40"/>
  <c r="ES311" i="40"/>
  <c r="ET310" i="40"/>
  <c r="BK16" i="40"/>
  <c r="BJ17" i="40"/>
  <c r="CE46" i="40"/>
  <c r="CD47" i="40"/>
  <c r="BZ46" i="40"/>
  <c r="BY47" i="40"/>
  <c r="BU35" i="40"/>
  <c r="BT36" i="40"/>
  <c r="CJ9" i="40"/>
  <c r="CI10" i="40"/>
  <c r="CW261" i="40"/>
  <c r="CW262" i="40" s="1"/>
  <c r="CW263" i="40" s="1"/>
  <c r="CW264" i="40" s="1"/>
  <c r="CW265" i="40" s="1"/>
  <c r="CW266" i="40" s="1"/>
  <c r="CW267" i="40" s="1"/>
  <c r="CW268" i="40" s="1"/>
  <c r="CW269" i="40" s="1"/>
  <c r="CW270" i="40" s="1"/>
  <c r="CW271" i="40" s="1"/>
  <c r="CW272" i="40" s="1"/>
  <c r="CW273" i="40" s="1"/>
  <c r="CW274" i="40" s="1"/>
  <c r="CW275" i="40" s="1"/>
  <c r="CW276" i="40" s="1"/>
  <c r="CW277" i="40" s="1"/>
  <c r="CW278" i="40" s="1"/>
  <c r="CW279" i="40" s="1"/>
  <c r="CW280" i="40" s="1"/>
  <c r="CW281" i="40" s="1"/>
  <c r="CW282" i="40" s="1"/>
  <c r="CW283" i="40" s="1"/>
  <c r="CW284" i="40" s="1"/>
  <c r="CW285" i="40" s="1"/>
  <c r="CW286" i="40" s="1"/>
  <c r="CW287" i="40" s="1"/>
  <c r="CW288" i="40" s="1"/>
  <c r="CW289" i="40" s="1"/>
  <c r="CW290" i="40" s="1"/>
  <c r="CW291" i="40" s="1"/>
  <c r="CW292" i="40" s="1"/>
  <c r="CW293" i="40" s="1"/>
  <c r="CW294" i="40" s="1"/>
  <c r="CW295" i="40" s="1"/>
  <c r="CW296" i="40" s="1"/>
  <c r="CW297" i="40" s="1"/>
  <c r="CW298" i="40" s="1"/>
  <c r="CW299" i="40" s="1"/>
  <c r="CW300" i="40" s="1"/>
  <c r="CW301" i="40" s="1"/>
  <c r="CW302" i="40" s="1"/>
  <c r="CW303" i="40" s="1"/>
  <c r="CW304" i="40" s="1"/>
  <c r="CW305" i="40" s="1"/>
  <c r="CW306" i="40" s="1"/>
  <c r="CW307" i="40" s="1"/>
  <c r="CW308" i="40" s="1"/>
  <c r="CW309" i="40" s="1"/>
  <c r="CW310" i="40" s="1"/>
  <c r="CW311" i="40" s="1"/>
  <c r="CW312" i="40" s="1"/>
  <c r="CW313" i="40" s="1"/>
  <c r="CW314" i="40" s="1"/>
  <c r="CW315" i="40" s="1"/>
  <c r="CW316" i="40" s="1"/>
  <c r="CW317" i="40" s="1"/>
  <c r="CW318" i="40" s="1"/>
  <c r="CW319" i="40" s="1"/>
  <c r="CW320" i="40" s="1"/>
  <c r="CW321" i="40" s="1"/>
  <c r="CW322" i="40" s="1"/>
  <c r="CW323" i="40" s="1"/>
  <c r="CW324" i="40" s="1"/>
  <c r="CW325" i="40" s="1"/>
  <c r="CW326" i="40" s="1"/>
  <c r="CW327" i="40" s="1"/>
  <c r="CW328" i="40" s="1"/>
  <c r="CW329" i="40" s="1"/>
  <c r="CW330" i="40" s="1"/>
  <c r="CW331" i="40" s="1"/>
  <c r="CW332" i="40" s="1"/>
  <c r="CW333" i="40" s="1"/>
  <c r="CW334" i="40" s="1"/>
  <c r="CN18" i="40"/>
  <c r="CO17" i="40"/>
  <c r="BN182" i="40"/>
  <c r="BN183" i="40" s="1"/>
  <c r="BN184" i="40" s="1"/>
  <c r="BN185" i="40" s="1"/>
  <c r="BN187" i="40" s="1"/>
  <c r="CS51" i="40"/>
  <c r="CT50" i="40"/>
  <c r="K326" i="23"/>
  <c r="BR194" i="23"/>
  <c r="AD371" i="23"/>
  <c r="AE370" i="23"/>
  <c r="CP195" i="23"/>
  <c r="CD195" i="23"/>
  <c r="CU210" i="23"/>
  <c r="CJ194" i="23"/>
  <c r="BL200" i="23"/>
  <c r="BM200" i="23" s="1"/>
  <c r="BX198" i="23"/>
  <c r="BY198" i="23" s="1"/>
  <c r="BF200" i="23"/>
  <c r="BG200" i="23" s="1"/>
  <c r="AZ197" i="23"/>
  <c r="BA197" i="23" s="1"/>
  <c r="AT200" i="23"/>
  <c r="AU200" i="23" s="1"/>
  <c r="A274" i="23"/>
  <c r="B273" i="23"/>
  <c r="C273" i="23" s="1"/>
  <c r="BE26" i="40" l="1"/>
  <c r="BF25" i="40"/>
  <c r="EO312" i="40"/>
  <c r="EN313" i="40"/>
  <c r="AH63" i="57"/>
  <c r="X63" i="57"/>
  <c r="FH312" i="40"/>
  <c r="FI311" i="40"/>
  <c r="FR313" i="40"/>
  <c r="FS312" i="40"/>
  <c r="FD309" i="40"/>
  <c r="FC310" i="40"/>
  <c r="EY314" i="40"/>
  <c r="EX315" i="40"/>
  <c r="ED312" i="40"/>
  <c r="EE311" i="40"/>
  <c r="FM310" i="40"/>
  <c r="FN309" i="40"/>
  <c r="EJ311" i="40"/>
  <c r="EI312" i="40"/>
  <c r="ET311" i="40"/>
  <c r="ES312" i="40"/>
  <c r="BR195" i="23"/>
  <c r="BS195" i="23" s="1"/>
  <c r="BS194" i="23"/>
  <c r="BK17" i="40"/>
  <c r="BJ18" i="40"/>
  <c r="BY48" i="40"/>
  <c r="BZ47" i="40"/>
  <c r="CE47" i="40"/>
  <c r="CD48" i="40"/>
  <c r="CI11" i="40"/>
  <c r="CJ10" i="40"/>
  <c r="BT37" i="40"/>
  <c r="BU36" i="40"/>
  <c r="CW335" i="40"/>
  <c r="CW336" i="40" s="1"/>
  <c r="CW337" i="40" s="1"/>
  <c r="CO18" i="40"/>
  <c r="CN19" i="40"/>
  <c r="BN188" i="40"/>
  <c r="BN189" i="40" s="1"/>
  <c r="BN190" i="40" s="1"/>
  <c r="BN191" i="40" s="1"/>
  <c r="BN192" i="40" s="1"/>
  <c r="BN193" i="40" s="1"/>
  <c r="BN195" i="40" s="1"/>
  <c r="BN196" i="40" s="1"/>
  <c r="BN197" i="40" s="1"/>
  <c r="BN198" i="40" s="1"/>
  <c r="BN199" i="40" s="1"/>
  <c r="CT51" i="40"/>
  <c r="CS52" i="40"/>
  <c r="K327" i="23"/>
  <c r="AD372" i="23"/>
  <c r="AE371" i="23"/>
  <c r="CP196" i="23"/>
  <c r="CD196" i="23"/>
  <c r="CJ195" i="23"/>
  <c r="BL201" i="23"/>
  <c r="BM201" i="23" s="1"/>
  <c r="BX199" i="23"/>
  <c r="BY199" i="23" s="1"/>
  <c r="AT201" i="23"/>
  <c r="AU201" i="23" s="1"/>
  <c r="AZ198" i="23"/>
  <c r="BA198" i="23" s="1"/>
  <c r="BF201" i="23"/>
  <c r="BG201" i="23" s="1"/>
  <c r="B274" i="23"/>
  <c r="C274" i="23" s="1"/>
  <c r="A275" i="23"/>
  <c r="BE27" i="40" l="1"/>
  <c r="BF26" i="40"/>
  <c r="BR196" i="23"/>
  <c r="BS196" i="23" s="1"/>
  <c r="EI313" i="40"/>
  <c r="EJ312" i="40"/>
  <c r="FD310" i="40"/>
  <c r="FC311" i="40"/>
  <c r="AH64" i="57"/>
  <c r="EE312" i="40"/>
  <c r="ED313" i="40"/>
  <c r="FH313" i="40"/>
  <c r="FI312" i="40"/>
  <c r="ES313" i="40"/>
  <c r="ET312" i="40"/>
  <c r="EY315" i="40"/>
  <c r="EX316" i="40"/>
  <c r="X64" i="57"/>
  <c r="EN314" i="40"/>
  <c r="EO313" i="40"/>
  <c r="FM311" i="40"/>
  <c r="FN310" i="40"/>
  <c r="FS313" i="40"/>
  <c r="FR314" i="40"/>
  <c r="BK18" i="40"/>
  <c r="BJ19" i="40"/>
  <c r="CD49" i="40"/>
  <c r="CE48" i="40"/>
  <c r="BZ48" i="40"/>
  <c r="BY49" i="40"/>
  <c r="BU37" i="40"/>
  <c r="BT38" i="40"/>
  <c r="CI12" i="40"/>
  <c r="CJ11" i="40"/>
  <c r="CW338" i="40"/>
  <c r="CW339" i="40" s="1"/>
  <c r="CW340" i="40" s="1"/>
  <c r="CW341" i="40" s="1"/>
  <c r="CW342" i="40" s="1"/>
  <c r="CW343" i="40" s="1"/>
  <c r="CW344" i="40" s="1"/>
  <c r="CW345" i="40" s="1"/>
  <c r="CW346" i="40" s="1"/>
  <c r="CW347" i="40" s="1"/>
  <c r="CW348" i="40" s="1"/>
  <c r="CW349" i="40" s="1"/>
  <c r="CW350" i="40" s="1"/>
  <c r="CW351" i="40" s="1"/>
  <c r="CW352" i="40" s="1"/>
  <c r="CW353" i="40" s="1"/>
  <c r="CW354" i="40" s="1"/>
  <c r="CW355" i="40" s="1"/>
  <c r="CW356" i="40" s="1"/>
  <c r="CW357" i="40" s="1"/>
  <c r="CW358" i="40" s="1"/>
  <c r="CW359" i="40" s="1"/>
  <c r="CW360" i="40" s="1"/>
  <c r="CW361" i="40" s="1"/>
  <c r="CW362" i="40" s="1"/>
  <c r="CW363" i="40" s="1"/>
  <c r="CW364" i="40" s="1"/>
  <c r="CN20" i="40"/>
  <c r="CO19" i="40"/>
  <c r="BN200" i="40"/>
  <c r="BN201" i="40" s="1"/>
  <c r="BN202" i="40" s="1"/>
  <c r="BN203" i="40" s="1"/>
  <c r="CS53" i="40"/>
  <c r="CT52" i="40"/>
  <c r="K328" i="23"/>
  <c r="K329" i="23" s="1"/>
  <c r="K330" i="23" s="1"/>
  <c r="K331" i="23"/>
  <c r="AD373" i="23"/>
  <c r="AE372" i="23"/>
  <c r="CP197" i="23"/>
  <c r="CD197" i="23"/>
  <c r="CJ196" i="23"/>
  <c r="BL202" i="23"/>
  <c r="BM202" i="23" s="1"/>
  <c r="BX200" i="23"/>
  <c r="BY200" i="23" s="1"/>
  <c r="AZ199" i="23"/>
  <c r="BA199" i="23" s="1"/>
  <c r="BF202" i="23"/>
  <c r="BG202" i="23" s="1"/>
  <c r="AT202" i="23"/>
  <c r="AU202" i="23" s="1"/>
  <c r="A276" i="23"/>
  <c r="B275" i="23"/>
  <c r="C275" i="23" s="1"/>
  <c r="BF27" i="40" l="1"/>
  <c r="BE28" i="40"/>
  <c r="BR197" i="23"/>
  <c r="BS197" i="23" s="1"/>
  <c r="X65" i="57"/>
  <c r="ED314" i="40"/>
  <c r="EE313" i="40"/>
  <c r="FD311" i="40"/>
  <c r="FC312" i="40"/>
  <c r="FM312" i="40"/>
  <c r="FN311" i="40"/>
  <c r="ES314" i="40"/>
  <c r="ET313" i="40"/>
  <c r="FR315" i="40"/>
  <c r="FS314" i="40"/>
  <c r="EY316" i="40"/>
  <c r="EX317" i="40"/>
  <c r="AH65" i="57"/>
  <c r="EO314" i="40"/>
  <c r="EN315" i="40"/>
  <c r="FH314" i="40"/>
  <c r="FI313" i="40"/>
  <c r="EI314" i="40"/>
  <c r="EJ313" i="40"/>
  <c r="BK19" i="40"/>
  <c r="BJ20" i="40"/>
  <c r="BY50" i="40"/>
  <c r="BZ49" i="40"/>
  <c r="CD50" i="40"/>
  <c r="CE49" i="40"/>
  <c r="CJ12" i="40"/>
  <c r="CI13" i="40"/>
  <c r="BT39" i="40"/>
  <c r="BU38" i="40"/>
  <c r="CW365" i="40"/>
  <c r="CW366" i="40" s="1"/>
  <c r="CW367" i="40" s="1"/>
  <c r="CW368" i="40" s="1"/>
  <c r="CW369" i="40" s="1"/>
  <c r="CW370" i="40" s="1"/>
  <c r="CW371" i="40" s="1"/>
  <c r="CW372" i="40" s="1"/>
  <c r="CW373" i="40" s="1"/>
  <c r="CW374" i="40" s="1"/>
  <c r="CW375" i="40" s="1"/>
  <c r="CW376" i="40" s="1"/>
  <c r="CW377" i="40" s="1"/>
  <c r="CW378" i="40" s="1"/>
  <c r="CW379" i="40" s="1"/>
  <c r="CW380" i="40" s="1"/>
  <c r="CW381" i="40" s="1"/>
  <c r="CW382" i="40" s="1"/>
  <c r="CW383" i="40" s="1"/>
  <c r="CW384" i="40" s="1"/>
  <c r="CW385" i="40" s="1"/>
  <c r="CW386" i="40" s="1"/>
  <c r="CW387" i="40" s="1"/>
  <c r="CW388" i="40" s="1"/>
  <c r="CW389" i="40" s="1"/>
  <c r="CW390" i="40" s="1"/>
  <c r="CW391" i="40" s="1"/>
  <c r="CW392" i="40" s="1"/>
  <c r="CW393" i="40" s="1"/>
  <c r="CW394" i="40" s="1"/>
  <c r="CW395" i="40" s="1"/>
  <c r="CW396" i="40" s="1"/>
  <c r="CW397" i="40" s="1"/>
  <c r="CW398" i="40" s="1"/>
  <c r="CW399" i="40" s="1"/>
  <c r="CW400" i="40" s="1"/>
  <c r="CW401" i="40" s="1"/>
  <c r="CW402" i="40" s="1"/>
  <c r="CW403" i="40" s="1"/>
  <c r="CW404" i="40" s="1"/>
  <c r="CW405" i="40" s="1"/>
  <c r="CW406" i="40" s="1"/>
  <c r="CW407" i="40" s="1"/>
  <c r="CX4" i="40" s="1"/>
  <c r="CY4" i="40" s="1"/>
  <c r="CO20" i="40"/>
  <c r="CN21" i="40"/>
  <c r="BN204" i="40"/>
  <c r="CS54" i="40"/>
  <c r="CT53" i="40"/>
  <c r="K333" i="23"/>
  <c r="AD374" i="23"/>
  <c r="AE373" i="23"/>
  <c r="CP198" i="23"/>
  <c r="CD198" i="23"/>
  <c r="CJ197" i="23"/>
  <c r="BL203" i="23"/>
  <c r="BM203" i="23" s="1"/>
  <c r="BX201" i="23"/>
  <c r="BY201" i="23" s="1"/>
  <c r="BF203" i="23"/>
  <c r="BG203" i="23" s="1"/>
  <c r="AT203" i="23"/>
  <c r="AU203" i="23" s="1"/>
  <c r="AZ200" i="23"/>
  <c r="BA200" i="23" s="1"/>
  <c r="A277" i="23"/>
  <c r="B276" i="23"/>
  <c r="C276" i="23" s="1"/>
  <c r="BE29" i="40" l="1"/>
  <c r="BF28" i="40"/>
  <c r="BR198" i="23"/>
  <c r="BS198" i="23" s="1"/>
  <c r="AH66" i="57"/>
  <c r="FI314" i="40"/>
  <c r="FH315" i="40"/>
  <c r="FR316" i="40"/>
  <c r="FS315" i="40"/>
  <c r="FM313" i="40"/>
  <c r="FN312" i="40"/>
  <c r="ED315" i="40"/>
  <c r="EE314" i="40"/>
  <c r="EN316" i="40"/>
  <c r="EO315" i="40"/>
  <c r="EY317" i="40"/>
  <c r="EX318" i="40"/>
  <c r="FD312" i="40"/>
  <c r="FC313" i="40"/>
  <c r="EJ314" i="40"/>
  <c r="EI315" i="40"/>
  <c r="ET314" i="40"/>
  <c r="ES315" i="40"/>
  <c r="BK20" i="40"/>
  <c r="BJ21" i="40"/>
  <c r="CD51" i="40"/>
  <c r="CE50" i="40"/>
  <c r="BY51" i="40"/>
  <c r="BZ50" i="40"/>
  <c r="BU39" i="40"/>
  <c r="BT40" i="40"/>
  <c r="CI14" i="40"/>
  <c r="CJ13" i="40"/>
  <c r="CX5" i="40"/>
  <c r="CN22" i="40"/>
  <c r="CO21" i="40"/>
  <c r="BN206" i="40"/>
  <c r="BN207" i="40" s="1"/>
  <c r="CS55" i="40"/>
  <c r="CT54" i="40"/>
  <c r="K334" i="23"/>
  <c r="AD375" i="23"/>
  <c r="AE374" i="23"/>
  <c r="CP199" i="23"/>
  <c r="CD199" i="23"/>
  <c r="CJ198" i="23"/>
  <c r="BL204" i="23"/>
  <c r="BM204" i="23" s="1"/>
  <c r="BX202" i="23"/>
  <c r="BY202" i="23" s="1"/>
  <c r="AT204" i="23"/>
  <c r="AU204" i="23" s="1"/>
  <c r="AZ201" i="23"/>
  <c r="BA201" i="23" s="1"/>
  <c r="BF204" i="23"/>
  <c r="BG204" i="23" s="1"/>
  <c r="A278" i="23"/>
  <c r="B277" i="23"/>
  <c r="C277" i="23" s="1"/>
  <c r="K335" i="23" l="1"/>
  <c r="K336" i="23" s="1"/>
  <c r="K337" i="23" s="1"/>
  <c r="BE30" i="40"/>
  <c r="BF29" i="40"/>
  <c r="BR199" i="23"/>
  <c r="BS199" i="23" s="1"/>
  <c r="FC314" i="40"/>
  <c r="FD313" i="40"/>
  <c r="FI315" i="40"/>
  <c r="FH316" i="40"/>
  <c r="EI316" i="40"/>
  <c r="EJ315" i="40"/>
  <c r="EN317" i="40"/>
  <c r="EO316" i="40"/>
  <c r="FM314" i="40"/>
  <c r="FN313" i="40"/>
  <c r="EY318" i="40"/>
  <c r="EX319" i="40"/>
  <c r="ES316" i="40"/>
  <c r="ET315" i="40"/>
  <c r="ED316" i="40"/>
  <c r="EE315" i="40"/>
  <c r="FR317" i="40"/>
  <c r="FS316" i="40"/>
  <c r="BK21" i="40"/>
  <c r="BJ22" i="40"/>
  <c r="BY52" i="40"/>
  <c r="BZ51" i="40"/>
  <c r="CD52" i="40"/>
  <c r="CE51" i="40"/>
  <c r="CI15" i="40"/>
  <c r="CJ14" i="40"/>
  <c r="BU40" i="40"/>
  <c r="BT41" i="40"/>
  <c r="CX6" i="40"/>
  <c r="CY5" i="40"/>
  <c r="CO22" i="40"/>
  <c r="CN23" i="40"/>
  <c r="BN208" i="40"/>
  <c r="BN209" i="40" s="1"/>
  <c r="BN210" i="40" s="1"/>
  <c r="BN211" i="40" s="1"/>
  <c r="CS56" i="40"/>
  <c r="CT55" i="40"/>
  <c r="K338" i="23"/>
  <c r="AD376" i="23"/>
  <c r="AE375" i="23"/>
  <c r="CP200" i="23"/>
  <c r="CD200" i="23"/>
  <c r="CJ199" i="23"/>
  <c r="BL205" i="23"/>
  <c r="BM205" i="23" s="1"/>
  <c r="BX203" i="23"/>
  <c r="BY203" i="23" s="1"/>
  <c r="AZ202" i="23"/>
  <c r="BA202" i="23" s="1"/>
  <c r="BF205" i="23"/>
  <c r="BG205" i="23" s="1"/>
  <c r="AT205" i="23"/>
  <c r="AU205" i="23" s="1"/>
  <c r="A279" i="23"/>
  <c r="B278" i="23"/>
  <c r="C278" i="23" s="1"/>
  <c r="BE31" i="40" l="1"/>
  <c r="BF30" i="40"/>
  <c r="BR200" i="23"/>
  <c r="BS200" i="23" s="1"/>
  <c r="ED317" i="40"/>
  <c r="EE316" i="40"/>
  <c r="EY319" i="40"/>
  <c r="EX320" i="40"/>
  <c r="FH317" i="40"/>
  <c r="FI316" i="40"/>
  <c r="EO317" i="40"/>
  <c r="EN318" i="40"/>
  <c r="FR318" i="40"/>
  <c r="FS317" i="40"/>
  <c r="ET316" i="40"/>
  <c r="ES317" i="40"/>
  <c r="FM315" i="40"/>
  <c r="FN314" i="40"/>
  <c r="EJ316" i="40"/>
  <c r="EI317" i="40"/>
  <c r="FC315" i="40"/>
  <c r="FD314" i="40"/>
  <c r="BJ23" i="40"/>
  <c r="BK22" i="40"/>
  <c r="CE52" i="40"/>
  <c r="CD53" i="40"/>
  <c r="BZ52" i="40"/>
  <c r="BY53" i="40"/>
  <c r="BT42" i="40"/>
  <c r="BU41" i="40"/>
  <c r="CJ15" i="40"/>
  <c r="CI16" i="40"/>
  <c r="CX7" i="40"/>
  <c r="CY6" i="40"/>
  <c r="CN24" i="40"/>
  <c r="CO23" i="40"/>
  <c r="BN212" i="40"/>
  <c r="BN214" i="40" s="1"/>
  <c r="BN216" i="40" s="1"/>
  <c r="BN217" i="40" s="1"/>
  <c r="BN218" i="40" s="1"/>
  <c r="BN219" i="40" s="1"/>
  <c r="BN220" i="40" s="1"/>
  <c r="BN222" i="40" s="1"/>
  <c r="BN225" i="40" s="1"/>
  <c r="BN226" i="40" s="1"/>
  <c r="BN233" i="40" s="1"/>
  <c r="CS57" i="40"/>
  <c r="CT56" i="40"/>
  <c r="K339" i="23"/>
  <c r="AD377" i="23"/>
  <c r="AE376" i="23"/>
  <c r="CP201" i="23"/>
  <c r="CD201" i="23"/>
  <c r="CJ200" i="23"/>
  <c r="BL206" i="23"/>
  <c r="BM206" i="23" s="1"/>
  <c r="BX204" i="23"/>
  <c r="BY204" i="23" s="1"/>
  <c r="BF206" i="23"/>
  <c r="BG206" i="23" s="1"/>
  <c r="AT206" i="23"/>
  <c r="AU206" i="23" s="1"/>
  <c r="AZ203" i="23"/>
  <c r="BA203" i="23" s="1"/>
  <c r="A280" i="23"/>
  <c r="B279" i="23"/>
  <c r="C279" i="23" s="1"/>
  <c r="BE32" i="40" l="1"/>
  <c r="BF31" i="40"/>
  <c r="BR201" i="23"/>
  <c r="BS201" i="23" s="1"/>
  <c r="EI318" i="40"/>
  <c r="EJ317" i="40"/>
  <c r="ES318" i="40"/>
  <c r="ET317" i="40"/>
  <c r="EN319" i="40"/>
  <c r="EO318" i="40"/>
  <c r="EY320" i="40"/>
  <c r="EX321" i="40"/>
  <c r="FD315" i="40"/>
  <c r="FC316" i="40"/>
  <c r="FM316" i="40"/>
  <c r="FN315" i="40"/>
  <c r="FS318" i="40"/>
  <c r="FR319" i="40"/>
  <c r="FI317" i="40"/>
  <c r="FH318" i="40"/>
  <c r="ED318" i="40"/>
  <c r="EE317" i="40"/>
  <c r="BJ24" i="40"/>
  <c r="BK23" i="40"/>
  <c r="BY54" i="40"/>
  <c r="BZ53" i="40"/>
  <c r="CD54" i="40"/>
  <c r="CE53" i="40"/>
  <c r="CJ16" i="40"/>
  <c r="CI17" i="40"/>
  <c r="BU42" i="40"/>
  <c r="BT43" i="40"/>
  <c r="CX8" i="40"/>
  <c r="CY7" i="40"/>
  <c r="CN25" i="40"/>
  <c r="CO24" i="40"/>
  <c r="BN234" i="40"/>
  <c r="BN235" i="40" s="1"/>
  <c r="CS58" i="40"/>
  <c r="CT57" i="40"/>
  <c r="K340" i="23"/>
  <c r="K341" i="23" s="1"/>
  <c r="K342" i="23" s="1"/>
  <c r="K343" i="23" s="1"/>
  <c r="K344" i="23" s="1"/>
  <c r="K345" i="23" s="1"/>
  <c r="K346" i="23" s="1"/>
  <c r="K347" i="23" s="1"/>
  <c r="K350" i="23" s="1"/>
  <c r="K351" i="23" s="1"/>
  <c r="AD378" i="23"/>
  <c r="AE377" i="23"/>
  <c r="CP202" i="23"/>
  <c r="CD202" i="23"/>
  <c r="CJ201" i="23"/>
  <c r="BL207" i="23"/>
  <c r="BM207" i="23" s="1"/>
  <c r="BX205" i="23"/>
  <c r="BY205" i="23" s="1"/>
  <c r="AT207" i="23"/>
  <c r="AU207" i="23" s="1"/>
  <c r="AZ204" i="23"/>
  <c r="BA204" i="23" s="1"/>
  <c r="BF207" i="23"/>
  <c r="BG207" i="23" s="1"/>
  <c r="A281" i="23"/>
  <c r="B280" i="23"/>
  <c r="C280" i="23" s="1"/>
  <c r="BR202" i="23" l="1"/>
  <c r="BS202" i="23" s="1"/>
  <c r="M314" i="23"/>
  <c r="BE33" i="40"/>
  <c r="BF32" i="40"/>
  <c r="FH319" i="40"/>
  <c r="FI318" i="40"/>
  <c r="EY321" i="40"/>
  <c r="EX322" i="40"/>
  <c r="FM317" i="40"/>
  <c r="FN316" i="40"/>
  <c r="ET318" i="40"/>
  <c r="ES319" i="40"/>
  <c r="FS319" i="40"/>
  <c r="FR320" i="40"/>
  <c r="FD316" i="40"/>
  <c r="FC317" i="40"/>
  <c r="ED319" i="40"/>
  <c r="EE318" i="40"/>
  <c r="EO319" i="40"/>
  <c r="EN320" i="40"/>
  <c r="EJ318" i="40"/>
  <c r="EI319" i="40"/>
  <c r="BJ25" i="40"/>
  <c r="BK24" i="40"/>
  <c r="CD55" i="40"/>
  <c r="CE54" i="40"/>
  <c r="BY55" i="40"/>
  <c r="BZ54" i="40"/>
  <c r="BT44" i="40"/>
  <c r="BU43" i="40"/>
  <c r="CI18" i="40"/>
  <c r="CJ17" i="40"/>
  <c r="CX9" i="40"/>
  <c r="CY8" i="40"/>
  <c r="CO25" i="40"/>
  <c r="CN26" i="40"/>
  <c r="BN236" i="40"/>
  <c r="BN237" i="40" s="1"/>
  <c r="BN238" i="40" s="1"/>
  <c r="BN240" i="40" s="1"/>
  <c r="BN243" i="40" s="1"/>
  <c r="BN244" i="40" s="1"/>
  <c r="BN246" i="40" s="1"/>
  <c r="BN248" i="40" s="1"/>
  <c r="BN249" i="40" s="1"/>
  <c r="CS59" i="40"/>
  <c r="CT58" i="40"/>
  <c r="L315" i="23"/>
  <c r="M315" i="23" s="1"/>
  <c r="AD379" i="23"/>
  <c r="BJ313" i="23" s="1"/>
  <c r="AE378" i="23"/>
  <c r="CP203" i="23"/>
  <c r="CD203" i="23"/>
  <c r="BR203" i="23"/>
  <c r="BS203" i="23" s="1"/>
  <c r="CJ202" i="23"/>
  <c r="BL208" i="23"/>
  <c r="BM208" i="23" s="1"/>
  <c r="BX206" i="23"/>
  <c r="BY206" i="23" s="1"/>
  <c r="AZ205" i="23"/>
  <c r="BA205" i="23" s="1"/>
  <c r="BF208" i="23"/>
  <c r="BG208" i="23" s="1"/>
  <c r="AT208" i="23"/>
  <c r="AU208" i="23" s="1"/>
  <c r="A282" i="23"/>
  <c r="B281" i="23"/>
  <c r="C281" i="23" s="1"/>
  <c r="BE34" i="40" l="1"/>
  <c r="BF33" i="40"/>
  <c r="EN321" i="40"/>
  <c r="EO320" i="40"/>
  <c r="FC318" i="40"/>
  <c r="FD317" i="40"/>
  <c r="ES320" i="40"/>
  <c r="ET319" i="40"/>
  <c r="EY322" i="40"/>
  <c r="EX323" i="40"/>
  <c r="EI320" i="40"/>
  <c r="EJ319" i="40"/>
  <c r="FR321" i="40"/>
  <c r="FS320" i="40"/>
  <c r="ED320" i="40"/>
  <c r="EE319" i="40"/>
  <c r="FM318" i="40"/>
  <c r="FN317" i="40"/>
  <c r="FI319" i="40"/>
  <c r="FH320" i="40"/>
  <c r="BJ26" i="40"/>
  <c r="BK25" i="40"/>
  <c r="BZ55" i="40"/>
  <c r="BY56" i="40"/>
  <c r="CE55" i="40"/>
  <c r="CD56" i="40"/>
  <c r="CJ18" i="40"/>
  <c r="CI19" i="40"/>
  <c r="BU44" i="40"/>
  <c r="BT45" i="40"/>
  <c r="CX10" i="40"/>
  <c r="CY9" i="40"/>
  <c r="CN27" i="40"/>
  <c r="CO26" i="40"/>
  <c r="BN250" i="40"/>
  <c r="BN251" i="40" s="1"/>
  <c r="BN252" i="40" s="1"/>
  <c r="BN254" i="40" s="1"/>
  <c r="BN256" i="40" s="1"/>
  <c r="BN257" i="40" s="1"/>
  <c r="CS60" i="40"/>
  <c r="CT59" i="40"/>
  <c r="L316" i="23"/>
  <c r="M316" i="23" s="1"/>
  <c r="T313" i="23"/>
  <c r="AF313" i="23"/>
  <c r="Z313" i="23"/>
  <c r="AX313" i="23"/>
  <c r="AL313" i="23"/>
  <c r="AE379" i="23"/>
  <c r="BV313" i="23"/>
  <c r="BP313" i="23"/>
  <c r="CH313" i="23"/>
  <c r="CB313" i="23"/>
  <c r="CP204" i="23"/>
  <c r="CD204" i="23"/>
  <c r="CJ203" i="23"/>
  <c r="BR204" i="23"/>
  <c r="BS204" i="23" s="1"/>
  <c r="BL209" i="23"/>
  <c r="BM209" i="23" s="1"/>
  <c r="BX207" i="23"/>
  <c r="BY207" i="23" s="1"/>
  <c r="BF209" i="23"/>
  <c r="BG209" i="23" s="1"/>
  <c r="AT209" i="23"/>
  <c r="AU209" i="23" s="1"/>
  <c r="AZ206" i="23"/>
  <c r="BA206" i="23" s="1"/>
  <c r="A283" i="23"/>
  <c r="B282" i="23"/>
  <c r="C282" i="23" s="1"/>
  <c r="BE35" i="40" l="1"/>
  <c r="BF34" i="40"/>
  <c r="EY323" i="40"/>
  <c r="EX324" i="40"/>
  <c r="FN318" i="40"/>
  <c r="FM319" i="40"/>
  <c r="FR322" i="40"/>
  <c r="FS321" i="40"/>
  <c r="FC319" i="40"/>
  <c r="FD318" i="40"/>
  <c r="FH321" i="40"/>
  <c r="FI320" i="40"/>
  <c r="EE320" i="40"/>
  <c r="ED321" i="40"/>
  <c r="EJ320" i="40"/>
  <c r="EI321" i="40"/>
  <c r="ES321" i="40"/>
  <c r="ET320" i="40"/>
  <c r="EN322" i="40"/>
  <c r="EO321" i="40"/>
  <c r="BK26" i="40"/>
  <c r="BJ27" i="40"/>
  <c r="CE56" i="40"/>
  <c r="CD57" i="40"/>
  <c r="BY57" i="40"/>
  <c r="BZ56" i="40"/>
  <c r="BU45" i="40"/>
  <c r="BT46" i="40"/>
  <c r="CI20" i="40"/>
  <c r="CJ19" i="40"/>
  <c r="CX11" i="40"/>
  <c r="CY10" i="40"/>
  <c r="CO27" i="40"/>
  <c r="CN28" i="40"/>
  <c r="BN260" i="40"/>
  <c r="BN261" i="40" s="1"/>
  <c r="BN258" i="40"/>
  <c r="CS61" i="40"/>
  <c r="CT60" i="40"/>
  <c r="L317" i="23"/>
  <c r="M317" i="23" s="1"/>
  <c r="AS314" i="23"/>
  <c r="AW315" i="23" s="1"/>
  <c r="AS345" i="23"/>
  <c r="AW346" i="23" s="1"/>
  <c r="AS340" i="23"/>
  <c r="AW341" i="23" s="1"/>
  <c r="AS331" i="23"/>
  <c r="AW332" i="23" s="1"/>
  <c r="AS326" i="23"/>
  <c r="AW327" i="23" s="1"/>
  <c r="AS317" i="23"/>
  <c r="AW318" i="23" s="1"/>
  <c r="AS349" i="23"/>
  <c r="AW350" i="23" s="1"/>
  <c r="AS344" i="23"/>
  <c r="AW345" i="23" s="1"/>
  <c r="AS335" i="23"/>
  <c r="AW336" i="23" s="1"/>
  <c r="AS330" i="23"/>
  <c r="AW331" i="23" s="1"/>
  <c r="AS321" i="23"/>
  <c r="AW322" i="23" s="1"/>
  <c r="AS316" i="23"/>
  <c r="AW317" i="23" s="1"/>
  <c r="AS348" i="23"/>
  <c r="AW349" i="23" s="1"/>
  <c r="AS339" i="23"/>
  <c r="AW340" i="23" s="1"/>
  <c r="AS334" i="23"/>
  <c r="AW335" i="23" s="1"/>
  <c r="AS325" i="23"/>
  <c r="AW326" i="23" s="1"/>
  <c r="AS320" i="23"/>
  <c r="AW321" i="23" s="1"/>
  <c r="AS352" i="23"/>
  <c r="AT352" i="23" s="1"/>
  <c r="AS343" i="23"/>
  <c r="AW344" i="23" s="1"/>
  <c r="AS338" i="23"/>
  <c r="AW339" i="23" s="1"/>
  <c r="AS329" i="23"/>
  <c r="AW330" i="23" s="1"/>
  <c r="AS324" i="23"/>
  <c r="AW325" i="23" s="1"/>
  <c r="AS315" i="23"/>
  <c r="AW316" i="23" s="1"/>
  <c r="AS347" i="23"/>
  <c r="AW348" i="23" s="1"/>
  <c r="AS342" i="23"/>
  <c r="AW343" i="23" s="1"/>
  <c r="AS333" i="23"/>
  <c r="AW334" i="23" s="1"/>
  <c r="AS328" i="23"/>
  <c r="AW329" i="23" s="1"/>
  <c r="AS319" i="23"/>
  <c r="AW320" i="23" s="1"/>
  <c r="AS351" i="23"/>
  <c r="AS346" i="23"/>
  <c r="AW347" i="23" s="1"/>
  <c r="AS337" i="23"/>
  <c r="AW338" i="23" s="1"/>
  <c r="AS332" i="23"/>
  <c r="AW333" i="23" s="1"/>
  <c r="AS323" i="23"/>
  <c r="AW324" i="23" s="1"/>
  <c r="AS318" i="23"/>
  <c r="AW319" i="23" s="1"/>
  <c r="AS350" i="23"/>
  <c r="AW351" i="23" s="1"/>
  <c r="AS341" i="23"/>
  <c r="AW342" i="23" s="1"/>
  <c r="AS336" i="23"/>
  <c r="AW337" i="23" s="1"/>
  <c r="AS327" i="23"/>
  <c r="AW328" i="23" s="1"/>
  <c r="AS322" i="23"/>
  <c r="AW323" i="23" s="1"/>
  <c r="U329" i="23"/>
  <c r="U324" i="23"/>
  <c r="U326" i="23"/>
  <c r="U315" i="23"/>
  <c r="U347" i="23"/>
  <c r="U346" i="23"/>
  <c r="U333" i="23"/>
  <c r="U328" i="23"/>
  <c r="U330" i="23"/>
  <c r="U343" i="23"/>
  <c r="U337" i="23"/>
  <c r="U332" i="23"/>
  <c r="U350" i="23"/>
  <c r="U323" i="23"/>
  <c r="U318" i="23"/>
  <c r="U314" i="23"/>
  <c r="U341" i="23"/>
  <c r="U336" i="23"/>
  <c r="U319" i="23"/>
  <c r="U322" i="23"/>
  <c r="U345" i="23"/>
  <c r="U340" i="23"/>
  <c r="U338" i="23"/>
  <c r="U331" i="23"/>
  <c r="U334" i="23"/>
  <c r="U317" i="23"/>
  <c r="U349" i="23"/>
  <c r="U344" i="23"/>
  <c r="U327" i="23"/>
  <c r="U321" i="23"/>
  <c r="U316" i="23"/>
  <c r="U348" i="23"/>
  <c r="U352" i="23"/>
  <c r="V352" i="23" s="1"/>
  <c r="W352" i="23" s="1"/>
  <c r="U339" i="23"/>
  <c r="U342" i="23"/>
  <c r="U325" i="23"/>
  <c r="U320" i="23"/>
  <c r="U351" i="23"/>
  <c r="U335" i="23"/>
  <c r="AA323" i="23"/>
  <c r="AA328" i="23"/>
  <c r="AA325" i="23"/>
  <c r="AA332" i="23"/>
  <c r="AA339" i="23"/>
  <c r="AA344" i="23"/>
  <c r="AA316" i="23"/>
  <c r="AA330" i="23"/>
  <c r="AA322" i="23"/>
  <c r="AA343" i="23"/>
  <c r="AA333" i="23"/>
  <c r="AA340" i="23"/>
  <c r="AA337" i="23"/>
  <c r="AA342" i="23"/>
  <c r="AA349" i="23"/>
  <c r="AA321" i="23"/>
  <c r="AA326" i="23"/>
  <c r="AA335" i="23"/>
  <c r="AA327" i="23"/>
  <c r="AA314" i="23"/>
  <c r="AA345" i="23"/>
  <c r="AA350" i="23"/>
  <c r="AA347" i="23"/>
  <c r="AA317" i="23"/>
  <c r="AA324" i="23"/>
  <c r="AA331" i="23"/>
  <c r="AA336" i="23"/>
  <c r="AA352" i="23"/>
  <c r="AB352" i="23" s="1"/>
  <c r="AA351" i="23"/>
  <c r="AA319" i="23"/>
  <c r="AA318" i="23"/>
  <c r="AA315" i="23"/>
  <c r="AA320" i="23"/>
  <c r="AA329" i="23"/>
  <c r="AA334" i="23"/>
  <c r="AA341" i="23"/>
  <c r="AA348" i="23"/>
  <c r="AA346" i="23"/>
  <c r="AA338" i="23"/>
  <c r="AG337" i="23"/>
  <c r="AG348" i="23"/>
  <c r="AG346" i="23"/>
  <c r="AG341" i="23"/>
  <c r="AG315" i="23"/>
  <c r="AG344" i="23"/>
  <c r="AG352" i="23"/>
  <c r="AH352" i="23" s="1"/>
  <c r="AG329" i="23"/>
  <c r="AG328" i="23"/>
  <c r="AG320" i="23"/>
  <c r="AG345" i="23"/>
  <c r="AG342" i="23"/>
  <c r="AG333" i="23"/>
  <c r="AG347" i="23"/>
  <c r="AG324" i="23"/>
  <c r="AG314" i="23"/>
  <c r="AG325" i="23"/>
  <c r="AG323" i="23"/>
  <c r="AG330" i="23"/>
  <c r="AG349" i="23"/>
  <c r="AG335" i="23"/>
  <c r="AG336" i="23"/>
  <c r="AG319" i="23"/>
  <c r="AG331" i="23"/>
  <c r="AG318" i="23"/>
  <c r="AG332" i="23"/>
  <c r="AG343" i="23"/>
  <c r="AG340" i="23"/>
  <c r="AG327" i="23"/>
  <c r="AG317" i="23"/>
  <c r="AG316" i="23"/>
  <c r="AG338" i="23"/>
  <c r="AG326" i="23"/>
  <c r="AG339" i="23"/>
  <c r="AG350" i="23"/>
  <c r="AG322" i="23"/>
  <c r="AG351" i="23"/>
  <c r="AG334" i="23"/>
  <c r="AG321" i="23"/>
  <c r="O348" i="23"/>
  <c r="O342" i="23"/>
  <c r="O314" i="23"/>
  <c r="O320" i="23"/>
  <c r="O335" i="23"/>
  <c r="O332" i="23"/>
  <c r="O340" i="23"/>
  <c r="O319" i="23"/>
  <c r="O351" i="23"/>
  <c r="O339" i="23"/>
  <c r="O341" i="23"/>
  <c r="O352" i="23"/>
  <c r="P352" i="23" s="1"/>
  <c r="O333" i="23"/>
  <c r="O322" i="23"/>
  <c r="O330" i="23"/>
  <c r="O325" i="23"/>
  <c r="O327" i="23"/>
  <c r="O338" i="23"/>
  <c r="O317" i="23"/>
  <c r="O316" i="23"/>
  <c r="O347" i="23"/>
  <c r="O349" i="23"/>
  <c r="O321" i="23"/>
  <c r="O336" i="23"/>
  <c r="O323" i="23"/>
  <c r="O331" i="23"/>
  <c r="O337" i="23"/>
  <c r="O328" i="23"/>
  <c r="O346" i="23"/>
  <c r="O334" i="23"/>
  <c r="O324" i="23"/>
  <c r="O344" i="23"/>
  <c r="O350" i="23"/>
  <c r="O329" i="23"/>
  <c r="O318" i="23"/>
  <c r="O326" i="23"/>
  <c r="O343" i="23"/>
  <c r="O345" i="23"/>
  <c r="O315" i="23"/>
  <c r="BQ314" i="23"/>
  <c r="BU315" i="23" s="1"/>
  <c r="BQ321" i="23"/>
  <c r="BU322" i="23" s="1"/>
  <c r="BQ329" i="23"/>
  <c r="BU330" i="23" s="1"/>
  <c r="BQ337" i="23"/>
  <c r="BU338" i="23" s="1"/>
  <c r="BQ345" i="23"/>
  <c r="BU346" i="23" s="1"/>
  <c r="BQ316" i="23"/>
  <c r="BU317" i="23" s="1"/>
  <c r="BQ324" i="23"/>
  <c r="BU325" i="23" s="1"/>
  <c r="BQ332" i="23"/>
  <c r="BU333" i="23" s="1"/>
  <c r="BQ340" i="23"/>
  <c r="BU341" i="23" s="1"/>
  <c r="BQ348" i="23"/>
  <c r="BU349" i="23" s="1"/>
  <c r="BQ317" i="23"/>
  <c r="BU318" i="23" s="1"/>
  <c r="BQ325" i="23"/>
  <c r="BU326" i="23" s="1"/>
  <c r="BQ333" i="23"/>
  <c r="BU334" i="23" s="1"/>
  <c r="BQ341" i="23"/>
  <c r="BU342" i="23" s="1"/>
  <c r="BQ349" i="23"/>
  <c r="BU350" i="23" s="1"/>
  <c r="BQ320" i="23"/>
  <c r="BU321" i="23" s="1"/>
  <c r="BQ328" i="23"/>
  <c r="BU329" i="23" s="1"/>
  <c r="BQ336" i="23"/>
  <c r="BU337" i="23" s="1"/>
  <c r="BQ344" i="23"/>
  <c r="BU345" i="23" s="1"/>
  <c r="BQ352" i="23"/>
  <c r="BR352" i="23" s="1"/>
  <c r="BQ319" i="23"/>
  <c r="BU320" i="23" s="1"/>
  <c r="BQ327" i="23"/>
  <c r="BU328" i="23" s="1"/>
  <c r="BQ335" i="23"/>
  <c r="BU336" i="23" s="1"/>
  <c r="BQ343" i="23"/>
  <c r="BU344" i="23" s="1"/>
  <c r="BQ351" i="23"/>
  <c r="BU352" i="23" s="1"/>
  <c r="BQ322" i="23"/>
  <c r="BU323" i="23" s="1"/>
  <c r="BQ330" i="23"/>
  <c r="BU331" i="23" s="1"/>
  <c r="BQ338" i="23"/>
  <c r="BU339" i="23" s="1"/>
  <c r="BQ346" i="23"/>
  <c r="BU347" i="23" s="1"/>
  <c r="BQ315" i="23"/>
  <c r="BU316" i="23" s="1"/>
  <c r="BQ347" i="23"/>
  <c r="BU348" i="23" s="1"/>
  <c r="BQ342" i="23"/>
  <c r="BU343" i="23" s="1"/>
  <c r="BQ323" i="23"/>
  <c r="BU324" i="23" s="1"/>
  <c r="BQ318" i="23"/>
  <c r="BU319" i="23" s="1"/>
  <c r="BQ350" i="23"/>
  <c r="BU351" i="23" s="1"/>
  <c r="BQ331" i="23"/>
  <c r="BU332" i="23" s="1"/>
  <c r="BQ326" i="23"/>
  <c r="BU327" i="23" s="1"/>
  <c r="BQ339" i="23"/>
  <c r="BU340" i="23" s="1"/>
  <c r="BQ334" i="23"/>
  <c r="BU335" i="23" s="1"/>
  <c r="BW314" i="23"/>
  <c r="CA315" i="23" s="1"/>
  <c r="BW319" i="23"/>
  <c r="CA320" i="23" s="1"/>
  <c r="BW327" i="23"/>
  <c r="CA328" i="23" s="1"/>
  <c r="BW335" i="23"/>
  <c r="CA336" i="23" s="1"/>
  <c r="BW343" i="23"/>
  <c r="CA344" i="23" s="1"/>
  <c r="BW351" i="23"/>
  <c r="CA352" i="23" s="1"/>
  <c r="BW322" i="23"/>
  <c r="CA323" i="23" s="1"/>
  <c r="BW330" i="23"/>
  <c r="CA331" i="23" s="1"/>
  <c r="BW338" i="23"/>
  <c r="CA339" i="23" s="1"/>
  <c r="BW346" i="23"/>
  <c r="CA347" i="23" s="1"/>
  <c r="BW315" i="23"/>
  <c r="CA316" i="23" s="1"/>
  <c r="BW323" i="23"/>
  <c r="CA324" i="23" s="1"/>
  <c r="BW331" i="23"/>
  <c r="CA332" i="23" s="1"/>
  <c r="BW339" i="23"/>
  <c r="CA340" i="23" s="1"/>
  <c r="BW347" i="23"/>
  <c r="CA348" i="23" s="1"/>
  <c r="BW318" i="23"/>
  <c r="CA319" i="23" s="1"/>
  <c r="BW326" i="23"/>
  <c r="CA327" i="23" s="1"/>
  <c r="BW334" i="23"/>
  <c r="CA335" i="23" s="1"/>
  <c r="BW342" i="23"/>
  <c r="CA343" i="23" s="1"/>
  <c r="BW350" i="23"/>
  <c r="CA351" i="23" s="1"/>
  <c r="BW317" i="23"/>
  <c r="CA318" i="23" s="1"/>
  <c r="BW325" i="23"/>
  <c r="CA326" i="23" s="1"/>
  <c r="BW333" i="23"/>
  <c r="CA334" i="23" s="1"/>
  <c r="BW341" i="23"/>
  <c r="CA342" i="23" s="1"/>
  <c r="BW349" i="23"/>
  <c r="CA350" i="23" s="1"/>
  <c r="BW320" i="23"/>
  <c r="CA321" i="23" s="1"/>
  <c r="BW328" i="23"/>
  <c r="CA329" i="23" s="1"/>
  <c r="BW336" i="23"/>
  <c r="CA337" i="23" s="1"/>
  <c r="BW344" i="23"/>
  <c r="CA345" i="23" s="1"/>
  <c r="BW352" i="23"/>
  <c r="BX352" i="23" s="1"/>
  <c r="BW329" i="23"/>
  <c r="CA330" i="23" s="1"/>
  <c r="BW324" i="23"/>
  <c r="CA325" i="23" s="1"/>
  <c r="BW337" i="23"/>
  <c r="CA338" i="23" s="1"/>
  <c r="BW332" i="23"/>
  <c r="CA333" i="23" s="1"/>
  <c r="BW345" i="23"/>
  <c r="CA346" i="23" s="1"/>
  <c r="BW340" i="23"/>
  <c r="CA341" i="23" s="1"/>
  <c r="BW321" i="23"/>
  <c r="CA322" i="23" s="1"/>
  <c r="BW316" i="23"/>
  <c r="CA317" i="23" s="1"/>
  <c r="BW348" i="23"/>
  <c r="CA349" i="23" s="1"/>
  <c r="CC345" i="23"/>
  <c r="CG346" i="23" s="1"/>
  <c r="CC329" i="23"/>
  <c r="CG330" i="23" s="1"/>
  <c r="CC348" i="23"/>
  <c r="CG349" i="23" s="1"/>
  <c r="CC340" i="23"/>
  <c r="CG341" i="23" s="1"/>
  <c r="CC332" i="23"/>
  <c r="CG333" i="23" s="1"/>
  <c r="CC324" i="23"/>
  <c r="CG325" i="23" s="1"/>
  <c r="CC316" i="23"/>
  <c r="CG317" i="23" s="1"/>
  <c r="CC315" i="23"/>
  <c r="CG316" i="23" s="1"/>
  <c r="CC335" i="23"/>
  <c r="CG336" i="23" s="1"/>
  <c r="CC317" i="23"/>
  <c r="CG318" i="23" s="1"/>
  <c r="CC343" i="23"/>
  <c r="CG344" i="23" s="1"/>
  <c r="CC323" i="23"/>
  <c r="CG324" i="23" s="1"/>
  <c r="CC346" i="23"/>
  <c r="CG347" i="23" s="1"/>
  <c r="CC338" i="23"/>
  <c r="CG339" i="23" s="1"/>
  <c r="CC330" i="23"/>
  <c r="CG331" i="23" s="1"/>
  <c r="CC322" i="23"/>
  <c r="CG323" i="23" s="1"/>
  <c r="CC347" i="23"/>
  <c r="CG348" i="23" s="1"/>
  <c r="CC349" i="23"/>
  <c r="CG350" i="23" s="1"/>
  <c r="CC327" i="23"/>
  <c r="CG328" i="23" s="1"/>
  <c r="CC314" i="23"/>
  <c r="CG315" i="23" s="1"/>
  <c r="CC337" i="23"/>
  <c r="CG338" i="23" s="1"/>
  <c r="CC352" i="23"/>
  <c r="CD352" i="23" s="1"/>
  <c r="CC344" i="23"/>
  <c r="CG345" i="23" s="1"/>
  <c r="CC336" i="23"/>
  <c r="CG337" i="23" s="1"/>
  <c r="CC328" i="23"/>
  <c r="CG329" i="23" s="1"/>
  <c r="CC351" i="23"/>
  <c r="CG352" i="23" s="1"/>
  <c r="CC333" i="23"/>
  <c r="CG334" i="23" s="1"/>
  <c r="CC350" i="23"/>
  <c r="CG351" i="23" s="1"/>
  <c r="CC342" i="23"/>
  <c r="CG343" i="23" s="1"/>
  <c r="CC334" i="23"/>
  <c r="CG335" i="23" s="1"/>
  <c r="CC326" i="23"/>
  <c r="CG327" i="23" s="1"/>
  <c r="CC318" i="23"/>
  <c r="CG319" i="23" s="1"/>
  <c r="CC319" i="23"/>
  <c r="CG320" i="23" s="1"/>
  <c r="CC339" i="23"/>
  <c r="CG340" i="23" s="1"/>
  <c r="CC321" i="23"/>
  <c r="CG322" i="23" s="1"/>
  <c r="CC320" i="23"/>
  <c r="CG321" i="23" s="1"/>
  <c r="CC331" i="23"/>
  <c r="CG332" i="23" s="1"/>
  <c r="CC341" i="23"/>
  <c r="CG342" i="23" s="1"/>
  <c r="CC325" i="23"/>
  <c r="CG326" i="23" s="1"/>
  <c r="BK315" i="23"/>
  <c r="BO316" i="23" s="1"/>
  <c r="BK346" i="23"/>
  <c r="BO347" i="23" s="1"/>
  <c r="BK338" i="23"/>
  <c r="BO339" i="23" s="1"/>
  <c r="BK330" i="23"/>
  <c r="BO331" i="23" s="1"/>
  <c r="BK322" i="23"/>
  <c r="BO323" i="23" s="1"/>
  <c r="BK347" i="23"/>
  <c r="BO348" i="23" s="1"/>
  <c r="BK337" i="23"/>
  <c r="BO338" i="23" s="1"/>
  <c r="BK317" i="23"/>
  <c r="BO318" i="23" s="1"/>
  <c r="BK333" i="23"/>
  <c r="BO334" i="23" s="1"/>
  <c r="BK319" i="23"/>
  <c r="BO320" i="23" s="1"/>
  <c r="BK352" i="23"/>
  <c r="BL352" i="23" s="1"/>
  <c r="BK344" i="23"/>
  <c r="BO345" i="23" s="1"/>
  <c r="BK336" i="23"/>
  <c r="BO337" i="23" s="1"/>
  <c r="BK328" i="23"/>
  <c r="BO329" i="23" s="1"/>
  <c r="BK320" i="23"/>
  <c r="BO321" i="23" s="1"/>
  <c r="BK345" i="23"/>
  <c r="BO346" i="23" s="1"/>
  <c r="BK335" i="23"/>
  <c r="BO336" i="23" s="1"/>
  <c r="BK351" i="23"/>
  <c r="BO352" i="23" s="1"/>
  <c r="BK331" i="23"/>
  <c r="BO332" i="23" s="1"/>
  <c r="BK314" i="23"/>
  <c r="BO315" i="23" s="1"/>
  <c r="BK350" i="23"/>
  <c r="BO351" i="23" s="1"/>
  <c r="BK342" i="23"/>
  <c r="BO343" i="23" s="1"/>
  <c r="BK334" i="23"/>
  <c r="BO335" i="23" s="1"/>
  <c r="BK326" i="23"/>
  <c r="BO327" i="23" s="1"/>
  <c r="BK318" i="23"/>
  <c r="BO319" i="23" s="1"/>
  <c r="BK343" i="23"/>
  <c r="BO344" i="23" s="1"/>
  <c r="BK329" i="23"/>
  <c r="BO330" i="23" s="1"/>
  <c r="BK349" i="23"/>
  <c r="BO350" i="23" s="1"/>
  <c r="BK325" i="23"/>
  <c r="BO326" i="23" s="1"/>
  <c r="BK321" i="23"/>
  <c r="BO322" i="23" s="1"/>
  <c r="BK348" i="23"/>
  <c r="BO349" i="23" s="1"/>
  <c r="BK340" i="23"/>
  <c r="BO341" i="23" s="1"/>
  <c r="BK332" i="23"/>
  <c r="BO333" i="23" s="1"/>
  <c r="BK324" i="23"/>
  <c r="BO325" i="23" s="1"/>
  <c r="BK316" i="23"/>
  <c r="BO317" i="23" s="1"/>
  <c r="BK339" i="23"/>
  <c r="BO340" i="23" s="1"/>
  <c r="BK327" i="23"/>
  <c r="BO328" i="23" s="1"/>
  <c r="BK341" i="23"/>
  <c r="BO342" i="23" s="1"/>
  <c r="BK323" i="23"/>
  <c r="BO324" i="23" s="1"/>
  <c r="AR313" i="23"/>
  <c r="BD313" i="23"/>
  <c r="CP205" i="23"/>
  <c r="CD205" i="23"/>
  <c r="BR205" i="23"/>
  <c r="BS205" i="23" s="1"/>
  <c r="CJ204" i="23"/>
  <c r="BL210" i="23"/>
  <c r="BM210" i="23" s="1"/>
  <c r="BX208" i="23"/>
  <c r="BY208" i="23" s="1"/>
  <c r="AT210" i="23"/>
  <c r="AU210" i="23" s="1"/>
  <c r="AZ207" i="23"/>
  <c r="BA207" i="23" s="1"/>
  <c r="BF210" i="23"/>
  <c r="BG210" i="23" s="1"/>
  <c r="A284" i="23"/>
  <c r="B283" i="23"/>
  <c r="C283" i="23" s="1"/>
  <c r="BE36" i="40" l="1"/>
  <c r="BF35" i="40"/>
  <c r="EE321" i="40"/>
  <c r="ED322" i="40"/>
  <c r="FN319" i="40"/>
  <c r="FM320" i="40"/>
  <c r="ES322" i="40"/>
  <c r="ET321" i="40"/>
  <c r="FC320" i="40"/>
  <c r="FD319" i="40"/>
  <c r="EJ321" i="40"/>
  <c r="EI322" i="40"/>
  <c r="EY324" i="40"/>
  <c r="EX325" i="40"/>
  <c r="EN323" i="40"/>
  <c r="EO322" i="40"/>
  <c r="FI321" i="40"/>
  <c r="FH322" i="40"/>
  <c r="FS322" i="40"/>
  <c r="FR323" i="40"/>
  <c r="BK27" i="40"/>
  <c r="BJ28" i="40"/>
  <c r="BY58" i="40"/>
  <c r="BZ57" i="40"/>
  <c r="CD58" i="40"/>
  <c r="CE57" i="40"/>
  <c r="CI21" i="40"/>
  <c r="CJ20" i="40"/>
  <c r="BU46" i="40"/>
  <c r="BT47" i="40"/>
  <c r="CY11" i="40"/>
  <c r="CX12" i="40"/>
  <c r="CN29" i="40"/>
  <c r="CO28" i="40"/>
  <c r="P324" i="23"/>
  <c r="P337" i="23"/>
  <c r="P321" i="23"/>
  <c r="P330" i="23"/>
  <c r="P341" i="23"/>
  <c r="P340" i="23"/>
  <c r="AB351" i="23"/>
  <c r="P345" i="23"/>
  <c r="P329" i="23"/>
  <c r="P334" i="23"/>
  <c r="P331" i="23"/>
  <c r="P349" i="23"/>
  <c r="P338" i="23"/>
  <c r="P322" i="23"/>
  <c r="P339" i="23"/>
  <c r="P332" i="23"/>
  <c r="P342" i="23"/>
  <c r="AH351" i="23"/>
  <c r="P343" i="23"/>
  <c r="P350" i="23"/>
  <c r="P346" i="23"/>
  <c r="P323" i="23"/>
  <c r="P347" i="23"/>
  <c r="P327" i="23"/>
  <c r="P333" i="23"/>
  <c r="P351" i="23"/>
  <c r="P335" i="23"/>
  <c r="P348" i="23"/>
  <c r="V351" i="23"/>
  <c r="W351" i="23" s="1"/>
  <c r="AT351" i="23"/>
  <c r="AW352" i="23"/>
  <c r="P326" i="23"/>
  <c r="P344" i="23"/>
  <c r="P328" i="23"/>
  <c r="P336" i="23"/>
  <c r="P325" i="23"/>
  <c r="P320" i="23"/>
  <c r="BN263" i="40"/>
  <c r="BN262" i="40"/>
  <c r="CS62" i="40"/>
  <c r="CT61" i="40"/>
  <c r="L318" i="23"/>
  <c r="M318" i="23" s="1"/>
  <c r="BN326" i="23"/>
  <c r="BN345" i="23"/>
  <c r="BN344" i="23"/>
  <c r="BL351" i="23"/>
  <c r="BN330" i="23"/>
  <c r="BN321" i="23"/>
  <c r="BN349" i="23"/>
  <c r="BN348" i="23"/>
  <c r="CF333" i="23"/>
  <c r="CF321" i="23"/>
  <c r="CF344" i="23"/>
  <c r="CF330" i="23"/>
  <c r="CF339" i="23"/>
  <c r="CF349" i="23"/>
  <c r="CF348" i="23"/>
  <c r="CF337" i="23"/>
  <c r="CF334" i="23"/>
  <c r="CF347" i="23"/>
  <c r="BZ342" i="23"/>
  <c r="BZ326" i="23"/>
  <c r="BZ338" i="23"/>
  <c r="BZ343" i="23"/>
  <c r="BZ352" i="23"/>
  <c r="BZ320" i="23"/>
  <c r="BZ325" i="23"/>
  <c r="BZ332" i="23"/>
  <c r="BZ337" i="23"/>
  <c r="BT336" i="23"/>
  <c r="BT352" i="23"/>
  <c r="BT349" i="23"/>
  <c r="BT332" i="23"/>
  <c r="BT337" i="23"/>
  <c r="BT346" i="23"/>
  <c r="BT351" i="23"/>
  <c r="BT319" i="23"/>
  <c r="BT326" i="23"/>
  <c r="BT331" i="23"/>
  <c r="AH321" i="23"/>
  <c r="AH350" i="23"/>
  <c r="AH316" i="23"/>
  <c r="AH343" i="23"/>
  <c r="AH319" i="23"/>
  <c r="AH330" i="23"/>
  <c r="AH324" i="23"/>
  <c r="AH345" i="23"/>
  <c r="AH346" i="23"/>
  <c r="AB346" i="23"/>
  <c r="AB329" i="23"/>
  <c r="AB319" i="23"/>
  <c r="AB331" i="23"/>
  <c r="AB350" i="23"/>
  <c r="AB335" i="23"/>
  <c r="AB342" i="23"/>
  <c r="AB343" i="23"/>
  <c r="AB344" i="23"/>
  <c r="AB328" i="23"/>
  <c r="V320" i="23"/>
  <c r="V327" i="23"/>
  <c r="V334" i="23"/>
  <c r="W334" i="23" s="1"/>
  <c r="V345" i="23"/>
  <c r="V341" i="23"/>
  <c r="V350" i="23"/>
  <c r="V330" i="23"/>
  <c r="V347" i="23"/>
  <c r="V329" i="23"/>
  <c r="AT341" i="23"/>
  <c r="AT332" i="23"/>
  <c r="AT319" i="23"/>
  <c r="AT347" i="23"/>
  <c r="AT338" i="23"/>
  <c r="AT325" i="23"/>
  <c r="AT344" i="23"/>
  <c r="AT331" i="23"/>
  <c r="BN343" i="23"/>
  <c r="BN323" i="23"/>
  <c r="BN329" i="23"/>
  <c r="BN334" i="23"/>
  <c r="BN327" i="23"/>
  <c r="BN320" i="23"/>
  <c r="BN352" i="23"/>
  <c r="BN337" i="23"/>
  <c r="BN338" i="23"/>
  <c r="BN335" i="23"/>
  <c r="BN324" i="23"/>
  <c r="BN317" i="23"/>
  <c r="CF322" i="23"/>
  <c r="CF320" i="23"/>
  <c r="CF352" i="23"/>
  <c r="CF338" i="23"/>
  <c r="CF316" i="23"/>
  <c r="CF324" i="23"/>
  <c r="CF325" i="23"/>
  <c r="CF317" i="23"/>
  <c r="CF342" i="23"/>
  <c r="BZ350" i="23"/>
  <c r="BZ347" i="23"/>
  <c r="BZ331" i="23"/>
  <c r="BZ330" i="23"/>
  <c r="BZ335" i="23"/>
  <c r="BZ344" i="23"/>
  <c r="BZ349" i="23"/>
  <c r="BZ317" i="23"/>
  <c r="BZ324" i="23"/>
  <c r="BZ329" i="23"/>
  <c r="BT341" i="23"/>
  <c r="BT320" i="23"/>
  <c r="BT317" i="23"/>
  <c r="BT324" i="23"/>
  <c r="BT329" i="23"/>
  <c r="BT338" i="23"/>
  <c r="BT343" i="23"/>
  <c r="BT350" i="23"/>
  <c r="BT318" i="23"/>
  <c r="BT323" i="23"/>
  <c r="AH334" i="23"/>
  <c r="AH339" i="23"/>
  <c r="AH317" i="23"/>
  <c r="AH332" i="23"/>
  <c r="AH336" i="23"/>
  <c r="AH323" i="23"/>
  <c r="AH347" i="23"/>
  <c r="AH320" i="23"/>
  <c r="AH344" i="23"/>
  <c r="AH348" i="23"/>
  <c r="AB348" i="23"/>
  <c r="AB320" i="23"/>
  <c r="AB324" i="23"/>
  <c r="AB345" i="23"/>
  <c r="AB326" i="23"/>
  <c r="AB337" i="23"/>
  <c r="AB322" i="23"/>
  <c r="AB339" i="23"/>
  <c r="AB323" i="23"/>
  <c r="V325" i="23"/>
  <c r="V348" i="23"/>
  <c r="W348" i="23" s="1"/>
  <c r="V344" i="23"/>
  <c r="V331" i="23"/>
  <c r="W331" i="23" s="1"/>
  <c r="V322" i="23"/>
  <c r="V332" i="23"/>
  <c r="W332" i="23" s="1"/>
  <c r="V328" i="23"/>
  <c r="AT322" i="23"/>
  <c r="AT350" i="23"/>
  <c r="AU350" i="23" s="1"/>
  <c r="AT337" i="23"/>
  <c r="AT328" i="23"/>
  <c r="AT343" i="23"/>
  <c r="AT334" i="23"/>
  <c r="AT321" i="23"/>
  <c r="AT349" i="23"/>
  <c r="AT340" i="23"/>
  <c r="BN341" i="23"/>
  <c r="BN342" i="23"/>
  <c r="BN351" i="23"/>
  <c r="BN328" i="23"/>
  <c r="BN316" i="23"/>
  <c r="BN347" i="23"/>
  <c r="BN346" i="23"/>
  <c r="BN319" i="23"/>
  <c r="BN332" i="23"/>
  <c r="CF327" i="23"/>
  <c r="CF323" i="23"/>
  <c r="CF328" i="23"/>
  <c r="CF335" i="23"/>
  <c r="CF346" i="23"/>
  <c r="CF329" i="23"/>
  <c r="CF332" i="23"/>
  <c r="CF345" i="23"/>
  <c r="CF318" i="23"/>
  <c r="CF350" i="23"/>
  <c r="BZ318" i="23"/>
  <c r="BZ334" i="23"/>
  <c r="BZ322" i="23"/>
  <c r="BZ327" i="23"/>
  <c r="BZ336" i="23"/>
  <c r="BZ341" i="23"/>
  <c r="BZ348" i="23"/>
  <c r="BX351" i="23"/>
  <c r="BZ321" i="23"/>
  <c r="BT328" i="23"/>
  <c r="BT325" i="23"/>
  <c r="BT348" i="23"/>
  <c r="BR351" i="23"/>
  <c r="BT321" i="23"/>
  <c r="BT330" i="23"/>
  <c r="BT335" i="23"/>
  <c r="BT342" i="23"/>
  <c r="BT347" i="23"/>
  <c r="BT316" i="23"/>
  <c r="AH326" i="23"/>
  <c r="AH327" i="23"/>
  <c r="AH318" i="23"/>
  <c r="AH335" i="23"/>
  <c r="AH325" i="23"/>
  <c r="AH333" i="23"/>
  <c r="AH328" i="23"/>
  <c r="AH315" i="23"/>
  <c r="AH337" i="23"/>
  <c r="AB341" i="23"/>
  <c r="AB321" i="23"/>
  <c r="AB340" i="23"/>
  <c r="AB330" i="23"/>
  <c r="AB332" i="23"/>
  <c r="V335" i="23"/>
  <c r="W335" i="23" s="1"/>
  <c r="V342" i="23"/>
  <c r="V316" i="23"/>
  <c r="V349" i="23"/>
  <c r="W349" i="23" s="1"/>
  <c r="V338" i="23"/>
  <c r="V319" i="23"/>
  <c r="V318" i="23"/>
  <c r="V337" i="23"/>
  <c r="W337" i="23" s="1"/>
  <c r="V333" i="23"/>
  <c r="W333" i="23" s="1"/>
  <c r="V326" i="23"/>
  <c r="AT327" i="23"/>
  <c r="AT318" i="23"/>
  <c r="AT346" i="23"/>
  <c r="AT333" i="23"/>
  <c r="AT324" i="23"/>
  <c r="AT339" i="23"/>
  <c r="AT330" i="23"/>
  <c r="AT317" i="23"/>
  <c r="AT345" i="23"/>
  <c r="BN325" i="23"/>
  <c r="BN318" i="23"/>
  <c r="BN350" i="23"/>
  <c r="BN331" i="23"/>
  <c r="BN336" i="23"/>
  <c r="BN333" i="23"/>
  <c r="BN322" i="23"/>
  <c r="BN339" i="23"/>
  <c r="BN340" i="23"/>
  <c r="CF343" i="23"/>
  <c r="CF341" i="23"/>
  <c r="CF336" i="23"/>
  <c r="CD351" i="23"/>
  <c r="CF351" i="23"/>
  <c r="CF340" i="23"/>
  <c r="CF319" i="23"/>
  <c r="CF326" i="23"/>
  <c r="CF331" i="23"/>
  <c r="BZ323" i="23"/>
  <c r="BZ339" i="23"/>
  <c r="BZ346" i="23"/>
  <c r="BZ351" i="23"/>
  <c r="BZ319" i="23"/>
  <c r="BZ328" i="23"/>
  <c r="BZ333" i="23"/>
  <c r="BZ340" i="23"/>
  <c r="BZ345" i="23"/>
  <c r="BZ316" i="23"/>
  <c r="BT333" i="23"/>
  <c r="BT344" i="23"/>
  <c r="BT340" i="23"/>
  <c r="BT345" i="23"/>
  <c r="BT322" i="23"/>
  <c r="BT327" i="23"/>
  <c r="BT334" i="23"/>
  <c r="BT339" i="23"/>
  <c r="AH322" i="23"/>
  <c r="AH338" i="23"/>
  <c r="AH340" i="23"/>
  <c r="AH331" i="23"/>
  <c r="AH349" i="23"/>
  <c r="AH314" i="23"/>
  <c r="AI314" i="23" s="1"/>
  <c r="AH342" i="23"/>
  <c r="AH329" i="23"/>
  <c r="AH341" i="23"/>
  <c r="AB338" i="23"/>
  <c r="AB334" i="23"/>
  <c r="AB336" i="23"/>
  <c r="AB347" i="23"/>
  <c r="AB327" i="23"/>
  <c r="AB349" i="23"/>
  <c r="AB333" i="23"/>
  <c r="AC333" i="23" s="1"/>
  <c r="AB325" i="23"/>
  <c r="V339" i="23"/>
  <c r="V321" i="23"/>
  <c r="V317" i="23"/>
  <c r="V340" i="23"/>
  <c r="V336" i="23"/>
  <c r="W336" i="23" s="1"/>
  <c r="V323" i="23"/>
  <c r="V343" i="23"/>
  <c r="V346" i="23"/>
  <c r="V324" i="23"/>
  <c r="AT336" i="23"/>
  <c r="AT323" i="23"/>
  <c r="AT342" i="23"/>
  <c r="AT329" i="23"/>
  <c r="AT320" i="23"/>
  <c r="AT348" i="23"/>
  <c r="AT335" i="23"/>
  <c r="AT326" i="23"/>
  <c r="P316" i="23"/>
  <c r="P319" i="23"/>
  <c r="AT316" i="23"/>
  <c r="P315" i="23"/>
  <c r="P318" i="23"/>
  <c r="P317" i="23"/>
  <c r="P314" i="23"/>
  <c r="Q314" i="23" s="1"/>
  <c r="V314" i="23"/>
  <c r="W314" i="23" s="1"/>
  <c r="V315" i="23"/>
  <c r="AT315" i="23"/>
  <c r="AB315" i="23"/>
  <c r="AB317" i="23"/>
  <c r="AB314" i="23"/>
  <c r="AC314" i="23" s="1"/>
  <c r="AB318" i="23"/>
  <c r="AB316" i="23"/>
  <c r="AT314" i="23"/>
  <c r="AU314" i="23" s="1"/>
  <c r="AM314" i="23"/>
  <c r="AM315" i="23"/>
  <c r="AM323" i="23"/>
  <c r="AM331" i="23"/>
  <c r="AM339" i="23"/>
  <c r="AM347" i="23"/>
  <c r="AM318" i="23"/>
  <c r="AM326" i="23"/>
  <c r="AM334" i="23"/>
  <c r="AM342" i="23"/>
  <c r="AM350" i="23"/>
  <c r="AM344" i="23"/>
  <c r="AM348" i="23"/>
  <c r="AM317" i="23"/>
  <c r="AM325" i="23"/>
  <c r="AM333" i="23"/>
  <c r="AM341" i="23"/>
  <c r="AM349" i="23"/>
  <c r="AM320" i="23"/>
  <c r="AM328" i="23"/>
  <c r="AM336" i="23"/>
  <c r="AM352" i="23"/>
  <c r="AM319" i="23"/>
  <c r="AM327" i="23"/>
  <c r="AM335" i="23"/>
  <c r="AM343" i="23"/>
  <c r="AM351" i="23"/>
  <c r="AM322" i="23"/>
  <c r="AM330" i="23"/>
  <c r="AM338" i="23"/>
  <c r="AM346" i="23"/>
  <c r="AM332" i="23"/>
  <c r="AM321" i="23"/>
  <c r="AM329" i="23"/>
  <c r="AM337" i="23"/>
  <c r="AM345" i="23"/>
  <c r="AM316" i="23"/>
  <c r="AM324" i="23"/>
  <c r="AM340" i="23"/>
  <c r="BL323" i="23"/>
  <c r="BL316" i="23"/>
  <c r="BL348" i="23"/>
  <c r="BL329" i="23"/>
  <c r="BL334" i="23"/>
  <c r="BL331" i="23"/>
  <c r="BL320" i="23"/>
  <c r="BL337" i="23"/>
  <c r="BL338" i="23"/>
  <c r="CD341" i="23"/>
  <c r="CD339" i="23"/>
  <c r="CD334" i="23"/>
  <c r="CD349" i="23"/>
  <c r="CD338" i="23"/>
  <c r="CD317" i="23"/>
  <c r="CD324" i="23"/>
  <c r="CD329" i="23"/>
  <c r="BX348" i="23"/>
  <c r="BX345" i="23"/>
  <c r="BX329" i="23"/>
  <c r="BX328" i="23"/>
  <c r="BX333" i="23"/>
  <c r="BX342" i="23"/>
  <c r="BX347" i="23"/>
  <c r="BX315" i="23"/>
  <c r="BX322" i="23"/>
  <c r="BX327" i="23"/>
  <c r="BR331" i="23"/>
  <c r="BR342" i="23"/>
  <c r="BR338" i="23"/>
  <c r="BR343" i="23"/>
  <c r="BR320" i="23"/>
  <c r="BR325" i="23"/>
  <c r="BR332" i="23"/>
  <c r="BR337" i="23"/>
  <c r="BL341" i="23"/>
  <c r="BL324" i="23"/>
  <c r="BL321" i="23"/>
  <c r="BL343" i="23"/>
  <c r="BL342" i="23"/>
  <c r="BL328" i="23"/>
  <c r="BL319" i="23"/>
  <c r="BL347" i="23"/>
  <c r="BL346" i="23"/>
  <c r="CD331" i="23"/>
  <c r="CD319" i="23"/>
  <c r="CD342" i="23"/>
  <c r="CD328" i="23"/>
  <c r="CD337" i="23"/>
  <c r="CD347" i="23"/>
  <c r="CD346" i="23"/>
  <c r="CD335" i="23"/>
  <c r="CD332" i="23"/>
  <c r="CD345" i="23"/>
  <c r="BX316" i="23"/>
  <c r="BX332" i="23"/>
  <c r="BX320" i="23"/>
  <c r="BX325" i="23"/>
  <c r="BX334" i="23"/>
  <c r="BX339" i="23"/>
  <c r="BX346" i="23"/>
  <c r="BX319" i="23"/>
  <c r="BR334" i="23"/>
  <c r="BR350" i="23"/>
  <c r="BR347" i="23"/>
  <c r="BR330" i="23"/>
  <c r="BR335" i="23"/>
  <c r="BR344" i="23"/>
  <c r="BR349" i="23"/>
  <c r="BR317" i="23"/>
  <c r="BR324" i="23"/>
  <c r="BR329" i="23"/>
  <c r="AY314" i="23"/>
  <c r="BC315" i="23" s="1"/>
  <c r="AY319" i="23"/>
  <c r="BC320" i="23" s="1"/>
  <c r="AY327" i="23"/>
  <c r="BC328" i="23" s="1"/>
  <c r="AY335" i="23"/>
  <c r="BC336" i="23" s="1"/>
  <c r="AY343" i="23"/>
  <c r="BC344" i="23" s="1"/>
  <c r="AY351" i="23"/>
  <c r="AY322" i="23"/>
  <c r="BC323" i="23" s="1"/>
  <c r="AY330" i="23"/>
  <c r="BC331" i="23" s="1"/>
  <c r="AY338" i="23"/>
  <c r="BC339" i="23" s="1"/>
  <c r="AY346" i="23"/>
  <c r="BC347" i="23" s="1"/>
  <c r="AY321" i="23"/>
  <c r="BC322" i="23" s="1"/>
  <c r="AY329" i="23"/>
  <c r="BC330" i="23" s="1"/>
  <c r="AY337" i="23"/>
  <c r="BC338" i="23" s="1"/>
  <c r="AY345" i="23"/>
  <c r="BC346" i="23" s="1"/>
  <c r="AY316" i="23"/>
  <c r="BC317" i="23" s="1"/>
  <c r="AY324" i="23"/>
  <c r="BC325" i="23" s="1"/>
  <c r="AY332" i="23"/>
  <c r="BC333" i="23" s="1"/>
  <c r="AY340" i="23"/>
  <c r="BC341" i="23" s="1"/>
  <c r="AY348" i="23"/>
  <c r="BC349" i="23" s="1"/>
  <c r="AY315" i="23"/>
  <c r="BC316" i="23" s="1"/>
  <c r="AY323" i="23"/>
  <c r="BC324" i="23" s="1"/>
  <c r="AY331" i="23"/>
  <c r="BC332" i="23" s="1"/>
  <c r="AY339" i="23"/>
  <c r="BC340" i="23" s="1"/>
  <c r="AY347" i="23"/>
  <c r="BC348" i="23" s="1"/>
  <c r="AY318" i="23"/>
  <c r="BC319" i="23" s="1"/>
  <c r="AY326" i="23"/>
  <c r="BC327" i="23" s="1"/>
  <c r="AY334" i="23"/>
  <c r="BC335" i="23" s="1"/>
  <c r="AY342" i="23"/>
  <c r="BC343" i="23" s="1"/>
  <c r="AY350" i="23"/>
  <c r="BC351" i="23" s="1"/>
  <c r="AY317" i="23"/>
  <c r="BC318" i="23" s="1"/>
  <c r="AY325" i="23"/>
  <c r="BC326" i="23" s="1"/>
  <c r="AY333" i="23"/>
  <c r="BC334" i="23" s="1"/>
  <c r="AY341" i="23"/>
  <c r="BC342" i="23" s="1"/>
  <c r="AY349" i="23"/>
  <c r="BC350" i="23" s="1"/>
  <c r="AY320" i="23"/>
  <c r="BC321" i="23" s="1"/>
  <c r="AY328" i="23"/>
  <c r="BC329" i="23" s="1"/>
  <c r="AY336" i="23"/>
  <c r="BC337" i="23" s="1"/>
  <c r="AY344" i="23"/>
  <c r="BC345" i="23" s="1"/>
  <c r="AY352" i="23"/>
  <c r="AZ352" i="23" s="1"/>
  <c r="BL327" i="23"/>
  <c r="BL332" i="23"/>
  <c r="BL325" i="23"/>
  <c r="BL318" i="23"/>
  <c r="BL350" i="23"/>
  <c r="BL335" i="23"/>
  <c r="BL336" i="23"/>
  <c r="BL333" i="23"/>
  <c r="BL322" i="23"/>
  <c r="BL315" i="23"/>
  <c r="CD320" i="23"/>
  <c r="CD318" i="23"/>
  <c r="CD350" i="23"/>
  <c r="CE350" i="23" s="1"/>
  <c r="CD336" i="23"/>
  <c r="CD314" i="23"/>
  <c r="CE314" i="23" s="1"/>
  <c r="CD322" i="23"/>
  <c r="CD323" i="23"/>
  <c r="CD315" i="23"/>
  <c r="CD340" i="23"/>
  <c r="BX321" i="23"/>
  <c r="BX337" i="23"/>
  <c r="BX344" i="23"/>
  <c r="BX349" i="23"/>
  <c r="BX317" i="23"/>
  <c r="BX326" i="23"/>
  <c r="BX331" i="23"/>
  <c r="BX338" i="23"/>
  <c r="BX343" i="23"/>
  <c r="BX314" i="23"/>
  <c r="BY314" i="23" s="1"/>
  <c r="BR339" i="23"/>
  <c r="BR318" i="23"/>
  <c r="BR315" i="23"/>
  <c r="BR322" i="23"/>
  <c r="BR327" i="23"/>
  <c r="BR336" i="23"/>
  <c r="BR341" i="23"/>
  <c r="BR348" i="23"/>
  <c r="BR316" i="23"/>
  <c r="BR321" i="23"/>
  <c r="BE314" i="23"/>
  <c r="BI315" i="23" s="1"/>
  <c r="BE319" i="23"/>
  <c r="BI320" i="23" s="1"/>
  <c r="BE327" i="23"/>
  <c r="BI328" i="23" s="1"/>
  <c r="BE335" i="23"/>
  <c r="BI336" i="23" s="1"/>
  <c r="BE343" i="23"/>
  <c r="BI344" i="23" s="1"/>
  <c r="BE351" i="23"/>
  <c r="BI352" i="23" s="1"/>
  <c r="BE317" i="23"/>
  <c r="BI318" i="23" s="1"/>
  <c r="BE325" i="23"/>
  <c r="BI326" i="23" s="1"/>
  <c r="BE333" i="23"/>
  <c r="BI334" i="23" s="1"/>
  <c r="BE341" i="23"/>
  <c r="BI342" i="23" s="1"/>
  <c r="BE315" i="23"/>
  <c r="BI316" i="23" s="1"/>
  <c r="BE331" i="23"/>
  <c r="BI332" i="23" s="1"/>
  <c r="BE347" i="23"/>
  <c r="BI348" i="23" s="1"/>
  <c r="BE320" i="23"/>
  <c r="BI321" i="23" s="1"/>
  <c r="BE328" i="23"/>
  <c r="BI329" i="23" s="1"/>
  <c r="BE336" i="23"/>
  <c r="BI337" i="23" s="1"/>
  <c r="BE344" i="23"/>
  <c r="BI345" i="23" s="1"/>
  <c r="BE352" i="23"/>
  <c r="BF352" i="23" s="1"/>
  <c r="BE321" i="23"/>
  <c r="BI322" i="23" s="1"/>
  <c r="BE337" i="23"/>
  <c r="BI338" i="23" s="1"/>
  <c r="BE349" i="23"/>
  <c r="BI350" i="23" s="1"/>
  <c r="BE322" i="23"/>
  <c r="BI323" i="23" s="1"/>
  <c r="BE330" i="23"/>
  <c r="BI331" i="23" s="1"/>
  <c r="BE338" i="23"/>
  <c r="BI339" i="23" s="1"/>
  <c r="BE346" i="23"/>
  <c r="BI347" i="23" s="1"/>
  <c r="BE323" i="23"/>
  <c r="BI324" i="23" s="1"/>
  <c r="BE339" i="23"/>
  <c r="BI340" i="23" s="1"/>
  <c r="BE316" i="23"/>
  <c r="BI317" i="23" s="1"/>
  <c r="BE324" i="23"/>
  <c r="BI325" i="23" s="1"/>
  <c r="BE332" i="23"/>
  <c r="BI333" i="23" s="1"/>
  <c r="BE340" i="23"/>
  <c r="BI341" i="23" s="1"/>
  <c r="BE348" i="23"/>
  <c r="BI349" i="23" s="1"/>
  <c r="BE329" i="23"/>
  <c r="BI330" i="23" s="1"/>
  <c r="BE345" i="23"/>
  <c r="BI346" i="23" s="1"/>
  <c r="BE318" i="23"/>
  <c r="BI319" i="23" s="1"/>
  <c r="BE326" i="23"/>
  <c r="BI327" i="23" s="1"/>
  <c r="BE334" i="23"/>
  <c r="BI335" i="23" s="1"/>
  <c r="BE342" i="23"/>
  <c r="BI343" i="23" s="1"/>
  <c r="BE350" i="23"/>
  <c r="BI351" i="23" s="1"/>
  <c r="BL339" i="23"/>
  <c r="BL340" i="23"/>
  <c r="BL349" i="23"/>
  <c r="BL326" i="23"/>
  <c r="BL314" i="23"/>
  <c r="BM314" i="23" s="1"/>
  <c r="BL345" i="23"/>
  <c r="BL344" i="23"/>
  <c r="BL317" i="23"/>
  <c r="BL330" i="23"/>
  <c r="CD325" i="23"/>
  <c r="CD321" i="23"/>
  <c r="CD326" i="23"/>
  <c r="CD333" i="23"/>
  <c r="CD344" i="23"/>
  <c r="CD327" i="23"/>
  <c r="CD330" i="23"/>
  <c r="CD343" i="23"/>
  <c r="CD316" i="23"/>
  <c r="CD348" i="23"/>
  <c r="BX340" i="23"/>
  <c r="BX324" i="23"/>
  <c r="BX336" i="23"/>
  <c r="BX341" i="23"/>
  <c r="BX350" i="23"/>
  <c r="BX318" i="23"/>
  <c r="BX323" i="23"/>
  <c r="BX330" i="23"/>
  <c r="BX335" i="23"/>
  <c r="BR326" i="23"/>
  <c r="BR323" i="23"/>
  <c r="BR346" i="23"/>
  <c r="BR319" i="23"/>
  <c r="BR328" i="23"/>
  <c r="BR333" i="23"/>
  <c r="BR340" i="23"/>
  <c r="BR345" i="23"/>
  <c r="BR314" i="23"/>
  <c r="BS314" i="23" s="1"/>
  <c r="CP206" i="23"/>
  <c r="CD206" i="23"/>
  <c r="CJ205" i="23"/>
  <c r="BR206" i="23"/>
  <c r="BS206" i="23" s="1"/>
  <c r="BX209" i="23"/>
  <c r="BY209" i="23" s="1"/>
  <c r="AZ208" i="23"/>
  <c r="BA208" i="23" s="1"/>
  <c r="A285" i="23"/>
  <c r="B284" i="23"/>
  <c r="C284" i="23" s="1"/>
  <c r="BF36" i="40" l="1"/>
  <c r="BE37" i="40"/>
  <c r="FH323" i="40"/>
  <c r="FI322" i="40"/>
  <c r="EY325" i="40"/>
  <c r="EX326" i="40"/>
  <c r="FM321" i="40"/>
  <c r="FN320" i="40"/>
  <c r="FC321" i="40"/>
  <c r="FD320" i="40"/>
  <c r="FS323" i="40"/>
  <c r="FR324" i="40"/>
  <c r="EI323" i="40"/>
  <c r="EJ322" i="40"/>
  <c r="ED323" i="40"/>
  <c r="EE322" i="40"/>
  <c r="EO323" i="40"/>
  <c r="EN324" i="40"/>
  <c r="ET322" i="40"/>
  <c r="ES323" i="40"/>
  <c r="BK28" i="40"/>
  <c r="BJ29" i="40"/>
  <c r="CE58" i="40"/>
  <c r="CD59" i="40"/>
  <c r="BY59" i="40"/>
  <c r="BZ58" i="40"/>
  <c r="BT48" i="40"/>
  <c r="BU47" i="40"/>
  <c r="CJ21" i="40"/>
  <c r="CI22" i="40"/>
  <c r="CX13" i="40"/>
  <c r="CY12" i="40"/>
  <c r="CO29" i="40"/>
  <c r="CN30" i="40"/>
  <c r="AI315" i="23"/>
  <c r="AN351" i="23"/>
  <c r="AZ351" i="23"/>
  <c r="BC352" i="23"/>
  <c r="BN269" i="40"/>
  <c r="BN270" i="40" s="1"/>
  <c r="CS63" i="40"/>
  <c r="CT62" i="40"/>
  <c r="L319" i="23"/>
  <c r="M319" i="23" s="1"/>
  <c r="AI316" i="23"/>
  <c r="Q315" i="23"/>
  <c r="BH328" i="23"/>
  <c r="BH350" i="23"/>
  <c r="BH318" i="23"/>
  <c r="BH340" i="23"/>
  <c r="BH339" i="23"/>
  <c r="BH338" i="23"/>
  <c r="BH333" i="23"/>
  <c r="BH327" i="23"/>
  <c r="BH337" i="23"/>
  <c r="BH342" i="23"/>
  <c r="BH341" i="23"/>
  <c r="BH332" i="23"/>
  <c r="BH323" i="23"/>
  <c r="BH330" i="23"/>
  <c r="BH317" i="23"/>
  <c r="BH319" i="23"/>
  <c r="BH329" i="23"/>
  <c r="BH352" i="23"/>
  <c r="BH347" i="23"/>
  <c r="BH325" i="23"/>
  <c r="BH322" i="23"/>
  <c r="BH343" i="23"/>
  <c r="BF351" i="23"/>
  <c r="BH321" i="23"/>
  <c r="BH320" i="23"/>
  <c r="BH344" i="23"/>
  <c r="BH334" i="23"/>
  <c r="BH324" i="23"/>
  <c r="BH336" i="23"/>
  <c r="BH331" i="23"/>
  <c r="BH326" i="23"/>
  <c r="BH348" i="23"/>
  <c r="BH351" i="23"/>
  <c r="BH346" i="23"/>
  <c r="BH349" i="23"/>
  <c r="BH335" i="23"/>
  <c r="BH345" i="23"/>
  <c r="BH316" i="23"/>
  <c r="W315" i="23"/>
  <c r="W316" i="23" s="1"/>
  <c r="W317" i="23" s="1"/>
  <c r="W318" i="23" s="1"/>
  <c r="Q316" i="23"/>
  <c r="Q317" i="23" s="1"/>
  <c r="AU315" i="23"/>
  <c r="AU316" i="23" s="1"/>
  <c r="AU317" i="23" s="1"/>
  <c r="AU318" i="23" s="1"/>
  <c r="AC315" i="23"/>
  <c r="AC316" i="23" s="1"/>
  <c r="AC317" i="23" s="1"/>
  <c r="AC318" i="23" s="1"/>
  <c r="AI317" i="23"/>
  <c r="BM315" i="23"/>
  <c r="BM316" i="23" s="1"/>
  <c r="BM317" i="23" s="1"/>
  <c r="BM318" i="23" s="1"/>
  <c r="BM319" i="23" s="1"/>
  <c r="BM320" i="23" s="1"/>
  <c r="BS315" i="23"/>
  <c r="BS316" i="23" s="1"/>
  <c r="BS317" i="23" s="1"/>
  <c r="BF350" i="23"/>
  <c r="BG350" i="23" s="1"/>
  <c r="BF318" i="23"/>
  <c r="BF340" i="23"/>
  <c r="BF339" i="23"/>
  <c r="BF330" i="23"/>
  <c r="BF321" i="23"/>
  <c r="BF328" i="23"/>
  <c r="BF315" i="23"/>
  <c r="BF317" i="23"/>
  <c r="BF327" i="23"/>
  <c r="CE315" i="23"/>
  <c r="BF342" i="23"/>
  <c r="BF345" i="23"/>
  <c r="BF332" i="23"/>
  <c r="BF323" i="23"/>
  <c r="BF322" i="23"/>
  <c r="BF320" i="23"/>
  <c r="BF341" i="23"/>
  <c r="BF319" i="23"/>
  <c r="BF334" i="23"/>
  <c r="BF329" i="23"/>
  <c r="BF324" i="23"/>
  <c r="BF346" i="23"/>
  <c r="BF349" i="23"/>
  <c r="BF344" i="23"/>
  <c r="BF347" i="23"/>
  <c r="BF333" i="23"/>
  <c r="BF343" i="23"/>
  <c r="BF314" i="23"/>
  <c r="BG314" i="23" s="1"/>
  <c r="BF326" i="23"/>
  <c r="BF348" i="23"/>
  <c r="BF316" i="23"/>
  <c r="BF338" i="23"/>
  <c r="BF337" i="23"/>
  <c r="BF336" i="23"/>
  <c r="BF331" i="23"/>
  <c r="BF325" i="23"/>
  <c r="BF335" i="23"/>
  <c r="AZ336" i="23"/>
  <c r="AZ341" i="23"/>
  <c r="AZ350" i="23"/>
  <c r="BA350" i="23" s="1"/>
  <c r="AZ318" i="23"/>
  <c r="AZ323" i="23"/>
  <c r="AZ332" i="23"/>
  <c r="AZ337" i="23"/>
  <c r="AZ338" i="23"/>
  <c r="AZ343" i="23"/>
  <c r="AZ314" i="23"/>
  <c r="BA314" i="23" s="1"/>
  <c r="AN345" i="23"/>
  <c r="AN332" i="23"/>
  <c r="AN322" i="23"/>
  <c r="AN327" i="23"/>
  <c r="AN328" i="23"/>
  <c r="AN333" i="23"/>
  <c r="AN344" i="23"/>
  <c r="AN326" i="23"/>
  <c r="AN331" i="23"/>
  <c r="AZ328" i="23"/>
  <c r="AZ333" i="23"/>
  <c r="AZ342" i="23"/>
  <c r="AZ347" i="23"/>
  <c r="AZ315" i="23"/>
  <c r="AZ324" i="23"/>
  <c r="AZ329" i="23"/>
  <c r="AZ330" i="23"/>
  <c r="AZ335" i="23"/>
  <c r="AN340" i="23"/>
  <c r="AN337" i="23"/>
  <c r="AN346" i="23"/>
  <c r="AN319" i="23"/>
  <c r="AN320" i="23"/>
  <c r="AN325" i="23"/>
  <c r="AN350" i="23"/>
  <c r="AO350" i="23" s="1"/>
  <c r="AN318" i="23"/>
  <c r="AN323" i="23"/>
  <c r="AZ320" i="23"/>
  <c r="AZ325" i="23"/>
  <c r="AZ334" i="23"/>
  <c r="AZ339" i="23"/>
  <c r="AZ348" i="23"/>
  <c r="AZ316" i="23"/>
  <c r="AZ321" i="23"/>
  <c r="AZ322" i="23"/>
  <c r="AZ327" i="23"/>
  <c r="BY315" i="23"/>
  <c r="BY316" i="23" s="1"/>
  <c r="AN324" i="23"/>
  <c r="AN329" i="23"/>
  <c r="AN338" i="23"/>
  <c r="AN343" i="23"/>
  <c r="AN352" i="23"/>
  <c r="AN349" i="23"/>
  <c r="AN317" i="23"/>
  <c r="AN342" i="23"/>
  <c r="AN347" i="23"/>
  <c r="AN315" i="23"/>
  <c r="AZ344" i="23"/>
  <c r="AZ349" i="23"/>
  <c r="AZ317" i="23"/>
  <c r="AZ326" i="23"/>
  <c r="AZ331" i="23"/>
  <c r="AZ340" i="23"/>
  <c r="AZ345" i="23"/>
  <c r="AZ346" i="23"/>
  <c r="AZ319" i="23"/>
  <c r="AN316" i="23"/>
  <c r="AN321" i="23"/>
  <c r="AN330" i="23"/>
  <c r="AN335" i="23"/>
  <c r="AN336" i="23"/>
  <c r="AN341" i="23"/>
  <c r="AN348" i="23"/>
  <c r="AN334" i="23"/>
  <c r="AN339" i="23"/>
  <c r="AN314" i="23"/>
  <c r="AO314" i="23" s="1"/>
  <c r="CP207" i="23"/>
  <c r="CD207" i="23"/>
  <c r="BR207" i="23"/>
  <c r="BS207" i="23" s="1"/>
  <c r="CJ206" i="23"/>
  <c r="BX210" i="23"/>
  <c r="BY210" i="23" s="1"/>
  <c r="AZ209" i="23"/>
  <c r="BA209" i="23" s="1"/>
  <c r="A286" i="23"/>
  <c r="B285" i="23"/>
  <c r="C285" i="23" s="1"/>
  <c r="BE38" i="40" l="1"/>
  <c r="BF37" i="40"/>
  <c r="EO324" i="40"/>
  <c r="EN325" i="40"/>
  <c r="EY326" i="40"/>
  <c r="EX327" i="40"/>
  <c r="EI324" i="40"/>
  <c r="EJ323" i="40"/>
  <c r="FD321" i="40"/>
  <c r="FC322" i="40"/>
  <c r="ET323" i="40"/>
  <c r="ES324" i="40"/>
  <c r="FS324" i="40"/>
  <c r="FR325" i="40"/>
  <c r="EE323" i="40"/>
  <c r="ED324" i="40"/>
  <c r="FN321" i="40"/>
  <c r="FM322" i="40"/>
  <c r="FI323" i="40"/>
  <c r="FH324" i="40"/>
  <c r="BJ30" i="40"/>
  <c r="BK29" i="40"/>
  <c r="BZ59" i="40"/>
  <c r="BY60" i="40"/>
  <c r="CD60" i="40"/>
  <c r="CE59" i="40"/>
  <c r="CJ22" i="40"/>
  <c r="CI23" i="40"/>
  <c r="BT49" i="40"/>
  <c r="BU48" i="40"/>
  <c r="CX14" i="40"/>
  <c r="CY13" i="40"/>
  <c r="CN31" i="40"/>
  <c r="CO30" i="40"/>
  <c r="BN271" i="40"/>
  <c r="BN272" i="40" s="1"/>
  <c r="BN273" i="40" s="1"/>
  <c r="BN274" i="40" s="1"/>
  <c r="CS64" i="40"/>
  <c r="CT63" i="40"/>
  <c r="L320" i="23"/>
  <c r="M320" i="23" s="1"/>
  <c r="AU319" i="23"/>
  <c r="AC319" i="23"/>
  <c r="AC320" i="23" s="1"/>
  <c r="AC321" i="23" s="1"/>
  <c r="AC322" i="23" s="1"/>
  <c r="W319" i="23"/>
  <c r="AI318" i="23"/>
  <c r="Q318" i="23"/>
  <c r="AO315" i="23"/>
  <c r="AO316" i="23" s="1"/>
  <c r="AO317" i="23" s="1"/>
  <c r="AO318" i="23" s="1"/>
  <c r="BM321" i="23"/>
  <c r="BS318" i="23"/>
  <c r="BA315" i="23"/>
  <c r="BA316" i="23" s="1"/>
  <c r="BA317" i="23" s="1"/>
  <c r="BG315" i="23"/>
  <c r="BG316" i="23" s="1"/>
  <c r="CE316" i="23"/>
  <c r="BY317" i="23"/>
  <c r="BY318" i="23" s="1"/>
  <c r="BY319" i="23" s="1"/>
  <c r="CP208" i="23"/>
  <c r="CD208" i="23"/>
  <c r="CJ207" i="23"/>
  <c r="BR208" i="23"/>
  <c r="BS208" i="23" s="1"/>
  <c r="AZ210" i="23"/>
  <c r="BA210" i="23" s="1"/>
  <c r="A287" i="23"/>
  <c r="B286" i="23"/>
  <c r="C286" i="23" s="1"/>
  <c r="BE39" i="40" l="1"/>
  <c r="BF38" i="40"/>
  <c r="FM323" i="40"/>
  <c r="FN322" i="40"/>
  <c r="FS325" i="40"/>
  <c r="FR326" i="40"/>
  <c r="FC323" i="40"/>
  <c r="FD322" i="40"/>
  <c r="EY327" i="40"/>
  <c r="EX328" i="40"/>
  <c r="FH325" i="40"/>
  <c r="FI324" i="40"/>
  <c r="EE324" i="40"/>
  <c r="ED325" i="40"/>
  <c r="ET324" i="40"/>
  <c r="ES325" i="40"/>
  <c r="EN326" i="40"/>
  <c r="EO325" i="40"/>
  <c r="EJ324" i="40"/>
  <c r="EI325" i="40"/>
  <c r="BK30" i="40"/>
  <c r="BJ31" i="40"/>
  <c r="CD61" i="40"/>
  <c r="CE60" i="40"/>
  <c r="BZ60" i="40"/>
  <c r="BY61" i="40"/>
  <c r="BT50" i="40"/>
  <c r="BU49" i="40"/>
  <c r="CJ23" i="40"/>
  <c r="CI24" i="40"/>
  <c r="CX15" i="40"/>
  <c r="CY14" i="40"/>
  <c r="CN32" i="40"/>
  <c r="CO31" i="40"/>
  <c r="BN275" i="40"/>
  <c r="CS65" i="40"/>
  <c r="CT64" i="40"/>
  <c r="Q319" i="23"/>
  <c r="Q320" i="23" s="1"/>
  <c r="L321" i="23"/>
  <c r="M321" i="23" s="1"/>
  <c r="W320" i="23"/>
  <c r="W321" i="23" s="1"/>
  <c r="AU320" i="23"/>
  <c r="AU321" i="23"/>
  <c r="AI319" i="23"/>
  <c r="AI320" i="23" s="1"/>
  <c r="AC323" i="23"/>
  <c r="BM322" i="23"/>
  <c r="BS319" i="23"/>
  <c r="BG317" i="23"/>
  <c r="BG318" i="23" s="1"/>
  <c r="BA318" i="23"/>
  <c r="AO319" i="23"/>
  <c r="BY320" i="23"/>
  <c r="BY321" i="23" s="1"/>
  <c r="CE317" i="23"/>
  <c r="CE318" i="23" s="1"/>
  <c r="CP209" i="23"/>
  <c r="CD209" i="23"/>
  <c r="BR209" i="23"/>
  <c r="BS209" i="23" s="1"/>
  <c r="CJ208" i="23"/>
  <c r="A288" i="23"/>
  <c r="B287" i="23"/>
  <c r="C287" i="23" s="1"/>
  <c r="BF39" i="40" l="1"/>
  <c r="BE40" i="40"/>
  <c r="ED326" i="40"/>
  <c r="EE325" i="40"/>
  <c r="EY328" i="40"/>
  <c r="EX329" i="40"/>
  <c r="FR327" i="40"/>
  <c r="FS326" i="40"/>
  <c r="EN327" i="40"/>
  <c r="EO326" i="40"/>
  <c r="EI326" i="40"/>
  <c r="EJ325" i="40"/>
  <c r="ES326" i="40"/>
  <c r="ET325" i="40"/>
  <c r="FI325" i="40"/>
  <c r="FH326" i="40"/>
  <c r="FD323" i="40"/>
  <c r="FC324" i="40"/>
  <c r="FN323" i="40"/>
  <c r="FM324" i="40"/>
  <c r="BJ32" i="40"/>
  <c r="BK31" i="40"/>
  <c r="BZ61" i="40"/>
  <c r="BY62" i="40"/>
  <c r="CD62" i="40"/>
  <c r="CE61" i="40"/>
  <c r="CJ24" i="40"/>
  <c r="CI25" i="40"/>
  <c r="BT51" i="40"/>
  <c r="BU50" i="40"/>
  <c r="CX16" i="40"/>
  <c r="CY15" i="40"/>
  <c r="CO32" i="40"/>
  <c r="CN33" i="40"/>
  <c r="Q321" i="23"/>
  <c r="Q322" i="23" s="1"/>
  <c r="Q323" i="23" s="1"/>
  <c r="BN277" i="40"/>
  <c r="BN279" i="40" s="1"/>
  <c r="CS66" i="40"/>
  <c r="CT65" i="40"/>
  <c r="L322" i="23"/>
  <c r="M322" i="23" s="1"/>
  <c r="AU322" i="23"/>
  <c r="AU323" i="23" s="1"/>
  <c r="W322" i="23"/>
  <c r="W323" i="23" s="1"/>
  <c r="AI321" i="23"/>
  <c r="AC324" i="23"/>
  <c r="AC325" i="23" s="1"/>
  <c r="AC326" i="23" s="1"/>
  <c r="AC327" i="23" s="1"/>
  <c r="AC328" i="23" s="1"/>
  <c r="AC329" i="23" s="1"/>
  <c r="AC330" i="23" s="1"/>
  <c r="AU324" i="23"/>
  <c r="BM323" i="23"/>
  <c r="BM324" i="23" s="1"/>
  <c r="BM325" i="23" s="1"/>
  <c r="BA319" i="23"/>
  <c r="BA320" i="23" s="1"/>
  <c r="BA321" i="23" s="1"/>
  <c r="BA322" i="23" s="1"/>
  <c r="BG319" i="23"/>
  <c r="BG320" i="23" s="1"/>
  <c r="BG321" i="23" s="1"/>
  <c r="BG322" i="23" s="1"/>
  <c r="BG323" i="23" s="1"/>
  <c r="BS320" i="23"/>
  <c r="AO320" i="23"/>
  <c r="BY322" i="23"/>
  <c r="BY323" i="23" s="1"/>
  <c r="BY324" i="23" s="1"/>
  <c r="BY325" i="23" s="1"/>
  <c r="BY326" i="23" s="1"/>
  <c r="BY327" i="23" s="1"/>
  <c r="BY328" i="23" s="1"/>
  <c r="BY329" i="23" s="1"/>
  <c r="BY330" i="23" s="1"/>
  <c r="CE319" i="23"/>
  <c r="CE320" i="23" s="1"/>
  <c r="CE321" i="23" s="1"/>
  <c r="CE322" i="23" s="1"/>
  <c r="CE323" i="23" s="1"/>
  <c r="CE324" i="23" s="1"/>
  <c r="CE325" i="23" s="1"/>
  <c r="CE326" i="23" s="1"/>
  <c r="CE327" i="23" s="1"/>
  <c r="CE328" i="23" s="1"/>
  <c r="CE329" i="23" s="1"/>
  <c r="CE330" i="23" s="1"/>
  <c r="CE331" i="23" s="1"/>
  <c r="CP210" i="23"/>
  <c r="CD210" i="23"/>
  <c r="CJ209" i="23"/>
  <c r="BR210" i="23"/>
  <c r="BS210" i="23" s="1"/>
  <c r="A289" i="23"/>
  <c r="B288" i="23"/>
  <c r="C288" i="23" s="1"/>
  <c r="BE41" i="40" l="1"/>
  <c r="BF40" i="40"/>
  <c r="FC325" i="40"/>
  <c r="FD324" i="40"/>
  <c r="EX330" i="40"/>
  <c r="EY329" i="40"/>
  <c r="ES327" i="40"/>
  <c r="ET326" i="40"/>
  <c r="EO327" i="40"/>
  <c r="EN328" i="40"/>
  <c r="FM325" i="40"/>
  <c r="FN324" i="40"/>
  <c r="FH327" i="40"/>
  <c r="FI326" i="40"/>
  <c r="EI327" i="40"/>
  <c r="EJ326" i="40"/>
  <c r="FS327" i="40"/>
  <c r="FR328" i="40"/>
  <c r="EE326" i="40"/>
  <c r="ED327" i="40"/>
  <c r="BJ33" i="40"/>
  <c r="BK32" i="40"/>
  <c r="CD63" i="40"/>
  <c r="CE62" i="40"/>
  <c r="BZ62" i="40"/>
  <c r="BY63" i="40"/>
  <c r="BT52" i="40"/>
  <c r="BU51" i="40"/>
  <c r="CJ25" i="40"/>
  <c r="CI26" i="40"/>
  <c r="CY16" i="40"/>
  <c r="CX17" i="40"/>
  <c r="CO33" i="40"/>
  <c r="CN34" i="40"/>
  <c r="BN280" i="40"/>
  <c r="BN284" i="40" s="1"/>
  <c r="BN285" i="40" s="1"/>
  <c r="BN287" i="40" s="1"/>
  <c r="BN288" i="40" s="1"/>
  <c r="BN289" i="40" s="1"/>
  <c r="BN290" i="40" s="1"/>
  <c r="BN291" i="40" s="1"/>
  <c r="BN292" i="40" s="1"/>
  <c r="CS67" i="40"/>
  <c r="CT66" i="40"/>
  <c r="L323" i="23"/>
  <c r="M323" i="23" s="1"/>
  <c r="Q324" i="23"/>
  <c r="Q325" i="23" s="1"/>
  <c r="Q326" i="23" s="1"/>
  <c r="Q327" i="23" s="1"/>
  <c r="Q328" i="23" s="1"/>
  <c r="Q329" i="23" s="1"/>
  <c r="Q330" i="23" s="1"/>
  <c r="W324" i="23"/>
  <c r="W325" i="23" s="1"/>
  <c r="AC331" i="23"/>
  <c r="AC332" i="23" s="1"/>
  <c r="AC334" i="23" s="1"/>
  <c r="AC335" i="23" s="1"/>
  <c r="BY331" i="23"/>
  <c r="AU325" i="23"/>
  <c r="BY332" i="23"/>
  <c r="BY333" i="23" s="1"/>
  <c r="AI322" i="23"/>
  <c r="CE332" i="23"/>
  <c r="CE333" i="23" s="1"/>
  <c r="BY350" i="23"/>
  <c r="BM326" i="23"/>
  <c r="BM327" i="23" s="1"/>
  <c r="BS321" i="23"/>
  <c r="BS322" i="23" s="1"/>
  <c r="BG324" i="23"/>
  <c r="BA323" i="23"/>
  <c r="AO321" i="23"/>
  <c r="CJ210" i="23"/>
  <c r="A290" i="23"/>
  <c r="B289" i="23"/>
  <c r="C289" i="23" s="1"/>
  <c r="Q331" i="23" l="1"/>
  <c r="Q332" i="23" s="1"/>
  <c r="Q333" i="23" s="1"/>
  <c r="Q334" i="23" s="1"/>
  <c r="Q335" i="23" s="1"/>
  <c r="Q336" i="23" s="1"/>
  <c r="Q337" i="23" s="1"/>
  <c r="BE42" i="40"/>
  <c r="BF41" i="40"/>
  <c r="FR329" i="40"/>
  <c r="FS328" i="40"/>
  <c r="EO328" i="40"/>
  <c r="EN329" i="40"/>
  <c r="FI327" i="40"/>
  <c r="FH328" i="40"/>
  <c r="EY330" i="40"/>
  <c r="EX331" i="40"/>
  <c r="EE327" i="40"/>
  <c r="ED328" i="40"/>
  <c r="EJ327" i="40"/>
  <c r="EI328" i="40"/>
  <c r="FN325" i="40"/>
  <c r="FM326" i="40"/>
  <c r="ET327" i="40"/>
  <c r="ES328" i="40"/>
  <c r="FD325" i="40"/>
  <c r="FC326" i="40"/>
  <c r="BJ34" i="40"/>
  <c r="BK33" i="40"/>
  <c r="BZ63" i="40"/>
  <c r="BY64" i="40"/>
  <c r="CE63" i="40"/>
  <c r="CD64" i="40"/>
  <c r="CI27" i="40"/>
  <c r="CJ26" i="40"/>
  <c r="BU52" i="40"/>
  <c r="BT53" i="40"/>
  <c r="CX18" i="40"/>
  <c r="CY17" i="40"/>
  <c r="CN35" i="40"/>
  <c r="CO34" i="40"/>
  <c r="BN293" i="40"/>
  <c r="BN296" i="40" s="1"/>
  <c r="BN297" i="40" s="1"/>
  <c r="CS68" i="40"/>
  <c r="CT67" i="40"/>
  <c r="W326" i="23"/>
  <c r="W327" i="23" s="1"/>
  <c r="W328" i="23" s="1"/>
  <c r="W329" i="23" s="1"/>
  <c r="W330" i="23" s="1"/>
  <c r="L324" i="23"/>
  <c r="M324" i="23" s="1"/>
  <c r="AC336" i="23"/>
  <c r="BY334" i="23"/>
  <c r="BY335" i="23" s="1"/>
  <c r="BY336" i="23" s="1"/>
  <c r="BY337" i="23" s="1"/>
  <c r="BY338" i="23" s="1"/>
  <c r="BY339" i="23" s="1"/>
  <c r="BY340" i="23" s="1"/>
  <c r="BY341" i="23" s="1"/>
  <c r="BY342" i="23" s="1"/>
  <c r="BY343" i="23" s="1"/>
  <c r="BY344" i="23" s="1"/>
  <c r="BY345" i="23" s="1"/>
  <c r="BY346" i="23" s="1"/>
  <c r="BY347" i="23" s="1"/>
  <c r="BY348" i="23" s="1"/>
  <c r="CE334" i="23"/>
  <c r="CE335" i="23" s="1"/>
  <c r="CE336" i="23" s="1"/>
  <c r="CE337" i="23" s="1"/>
  <c r="AU326" i="23"/>
  <c r="AI323" i="23"/>
  <c r="BS323" i="23"/>
  <c r="BS324" i="23" s="1"/>
  <c r="BS325" i="23" s="1"/>
  <c r="BS326" i="23" s="1"/>
  <c r="BS327" i="23" s="1"/>
  <c r="BS328" i="23" s="1"/>
  <c r="BS329" i="23" s="1"/>
  <c r="BM328" i="23"/>
  <c r="BM329" i="23" s="1"/>
  <c r="BM330" i="23" s="1"/>
  <c r="BM331" i="23" s="1"/>
  <c r="BM332" i="23" s="1"/>
  <c r="BA324" i="23"/>
  <c r="BA325" i="23" s="1"/>
  <c r="BA326" i="23" s="1"/>
  <c r="BA327" i="23" s="1"/>
  <c r="BA328" i="23" s="1"/>
  <c r="BA329" i="23" s="1"/>
  <c r="BA330" i="23" s="1"/>
  <c r="AO322" i="23"/>
  <c r="BG325" i="23"/>
  <c r="A291" i="23"/>
  <c r="B290" i="23"/>
  <c r="C290" i="23" s="1"/>
  <c r="Q338" i="23" l="1"/>
  <c r="Q339" i="23" s="1"/>
  <c r="Q340" i="23" s="1"/>
  <c r="Q341" i="23" s="1"/>
  <c r="Q342" i="23" s="1"/>
  <c r="BE43" i="40"/>
  <c r="BF42" i="40"/>
  <c r="ES329" i="40"/>
  <c r="ET328" i="40"/>
  <c r="EI329" i="40"/>
  <c r="EJ328" i="40"/>
  <c r="EY331" i="40"/>
  <c r="EX332" i="40"/>
  <c r="EN330" i="40"/>
  <c r="EO329" i="40"/>
  <c r="FC327" i="40"/>
  <c r="FD326" i="40"/>
  <c r="FN326" i="40"/>
  <c r="FM327" i="40"/>
  <c r="EE328" i="40"/>
  <c r="ED329" i="40"/>
  <c r="FI328" i="40"/>
  <c r="FH329" i="40"/>
  <c r="FS329" i="40"/>
  <c r="FR330" i="40"/>
  <c r="BK34" i="40"/>
  <c r="BJ35" i="40"/>
  <c r="CE64" i="40"/>
  <c r="CD65" i="40"/>
  <c r="BZ64" i="40"/>
  <c r="BY65" i="40"/>
  <c r="BT54" i="40"/>
  <c r="BU53" i="40"/>
  <c r="CJ27" i="40"/>
  <c r="CI28" i="40"/>
  <c r="CY18" i="40"/>
  <c r="CX19" i="40"/>
  <c r="CN36" i="40"/>
  <c r="CO35" i="40"/>
  <c r="BN298" i="40"/>
  <c r="BN301" i="40" s="1"/>
  <c r="CS69" i="40"/>
  <c r="CT68" i="40"/>
  <c r="W338" i="23"/>
  <c r="W339" i="23" s="1"/>
  <c r="W340" i="23" s="1"/>
  <c r="W341" i="23" s="1"/>
  <c r="W342" i="23" s="1"/>
  <c r="W343" i="23" s="1"/>
  <c r="W344" i="23" s="1"/>
  <c r="W345" i="23" s="1"/>
  <c r="W346" i="23" s="1"/>
  <c r="W347" i="23" s="1"/>
  <c r="L325" i="23"/>
  <c r="M325" i="23" s="1"/>
  <c r="AC337" i="23"/>
  <c r="AC338" i="23" s="1"/>
  <c r="BA331" i="23"/>
  <c r="BA332" i="23" s="1"/>
  <c r="AU327" i="23"/>
  <c r="AU328" i="23" s="1"/>
  <c r="AU329" i="23" s="1"/>
  <c r="AU330" i="23" s="1"/>
  <c r="AU331" i="23" s="1"/>
  <c r="AU332" i="23" s="1"/>
  <c r="AU333" i="23" s="1"/>
  <c r="AU334" i="23" s="1"/>
  <c r="AU335" i="23" s="1"/>
  <c r="AU336" i="23" s="1"/>
  <c r="CE338" i="23"/>
  <c r="AI324" i="23"/>
  <c r="AI325" i="23" s="1"/>
  <c r="AI326" i="23" s="1"/>
  <c r="AI327" i="23" s="1"/>
  <c r="BY349" i="23"/>
  <c r="BY351" i="23" s="1"/>
  <c r="BY352" i="23" s="1"/>
  <c r="BS330" i="23"/>
  <c r="BS331" i="23" s="1"/>
  <c r="BS332" i="23" s="1"/>
  <c r="BS333" i="23" s="1"/>
  <c r="BS334" i="23" s="1"/>
  <c r="BS335" i="23" s="1"/>
  <c r="BS336" i="23" s="1"/>
  <c r="BS337" i="23" s="1"/>
  <c r="BS338" i="23" s="1"/>
  <c r="BS339" i="23" s="1"/>
  <c r="BS340" i="23" s="1"/>
  <c r="BS341" i="23" s="1"/>
  <c r="BS342" i="23" s="1"/>
  <c r="BS343" i="23" s="1"/>
  <c r="BS344" i="23" s="1"/>
  <c r="BS345" i="23" s="1"/>
  <c r="BS346" i="23" s="1"/>
  <c r="BS347" i="23" s="1"/>
  <c r="BM333" i="23"/>
  <c r="BG326" i="23"/>
  <c r="AO323" i="23"/>
  <c r="A292" i="23"/>
  <c r="B291" i="23"/>
  <c r="C291" i="23" s="1"/>
  <c r="Q343" i="23" l="1"/>
  <c r="BE44" i="40"/>
  <c r="BF43" i="40"/>
  <c r="W350" i="23"/>
  <c r="X315" i="23" s="1"/>
  <c r="Y315" i="23" s="1"/>
  <c r="FI329" i="40"/>
  <c r="FH330" i="40"/>
  <c r="FN327" i="40"/>
  <c r="FM328" i="40"/>
  <c r="EN331" i="40"/>
  <c r="EO330" i="40"/>
  <c r="EJ329" i="40"/>
  <c r="EI330" i="40"/>
  <c r="FR331" i="40"/>
  <c r="FS330" i="40"/>
  <c r="ED330" i="40"/>
  <c r="EE329" i="40"/>
  <c r="EY332" i="40"/>
  <c r="EX333" i="40"/>
  <c r="FC328" i="40"/>
  <c r="FD327" i="40"/>
  <c r="ET329" i="40"/>
  <c r="ES330" i="40"/>
  <c r="BK35" i="40"/>
  <c r="BJ36" i="40"/>
  <c r="BY66" i="40"/>
  <c r="BZ65" i="40"/>
  <c r="CE65" i="40"/>
  <c r="CD66" i="40"/>
  <c r="CI29" i="40"/>
  <c r="CJ28" i="40"/>
  <c r="BT55" i="40"/>
  <c r="BU54" i="40"/>
  <c r="CX20" i="40"/>
  <c r="CY19" i="40"/>
  <c r="CO36" i="40"/>
  <c r="CN37" i="40"/>
  <c r="AI328" i="23"/>
  <c r="AI329" i="23" s="1"/>
  <c r="BN302" i="40"/>
  <c r="BN304" i="40" s="1"/>
  <c r="BN305" i="40" s="1"/>
  <c r="BN306" i="40" s="1"/>
  <c r="CS70" i="40"/>
  <c r="CT69" i="40"/>
  <c r="AC339" i="23"/>
  <c r="AC340" i="23" s="1"/>
  <c r="AC341" i="23" s="1"/>
  <c r="AC342" i="23" s="1"/>
  <c r="AC343" i="23" s="1"/>
  <c r="AC344" i="23" s="1"/>
  <c r="AC345" i="23" s="1"/>
  <c r="AC346" i="23" s="1"/>
  <c r="AC347" i="23" s="1"/>
  <c r="AC348" i="23" s="1"/>
  <c r="AC349" i="23" s="1"/>
  <c r="L326" i="23"/>
  <c r="M326" i="23" s="1"/>
  <c r="BS348" i="23"/>
  <c r="CE339" i="23"/>
  <c r="CE340" i="23" s="1"/>
  <c r="AU337" i="23"/>
  <c r="AU338" i="23" s="1"/>
  <c r="AU339" i="23" s="1"/>
  <c r="AU340" i="23" s="1"/>
  <c r="AU341" i="23" s="1"/>
  <c r="AU342" i="23" s="1"/>
  <c r="AU343" i="23" s="1"/>
  <c r="AU344" i="23" s="1"/>
  <c r="AU345" i="23" s="1"/>
  <c r="AU346" i="23" s="1"/>
  <c r="AU347" i="23" s="1"/>
  <c r="BA333" i="23"/>
  <c r="BS349" i="23"/>
  <c r="BM334" i="23"/>
  <c r="BM335" i="23" s="1"/>
  <c r="BM336" i="23" s="1"/>
  <c r="BM337" i="23" s="1"/>
  <c r="BM338" i="23" s="1"/>
  <c r="BM339" i="23" s="1"/>
  <c r="BM340" i="23" s="1"/>
  <c r="BM341" i="23" s="1"/>
  <c r="BM342" i="23" s="1"/>
  <c r="BM343" i="23" s="1"/>
  <c r="BM344" i="23" s="1"/>
  <c r="BM345" i="23" s="1"/>
  <c r="BM346" i="23" s="1"/>
  <c r="BM347" i="23" s="1"/>
  <c r="BG327" i="23"/>
  <c r="BG328" i="23" s="1"/>
  <c r="BG329" i="23" s="1"/>
  <c r="BG330" i="23" s="1"/>
  <c r="BG331" i="23" s="1"/>
  <c r="BG332" i="23" s="1"/>
  <c r="AO324" i="23"/>
  <c r="AO325" i="23" s="1"/>
  <c r="AO326" i="23" s="1"/>
  <c r="AO327" i="23" s="1"/>
  <c r="AO328" i="23" s="1"/>
  <c r="AO329" i="23" s="1"/>
  <c r="AO330" i="23" s="1"/>
  <c r="A293" i="23"/>
  <c r="B292" i="23"/>
  <c r="C292" i="23" s="1"/>
  <c r="Q344" i="23" l="1"/>
  <c r="Y314" i="23"/>
  <c r="BF44" i="40"/>
  <c r="BE45" i="40"/>
  <c r="EJ330" i="40"/>
  <c r="EI331" i="40"/>
  <c r="FN328" i="40"/>
  <c r="FM329" i="40"/>
  <c r="FD328" i="40"/>
  <c r="FC329" i="40"/>
  <c r="ED331" i="40"/>
  <c r="EE330" i="40"/>
  <c r="ET330" i="40"/>
  <c r="ES331" i="40"/>
  <c r="EY333" i="40"/>
  <c r="EX334" i="40"/>
  <c r="FI330" i="40"/>
  <c r="FH331" i="40"/>
  <c r="FR332" i="40"/>
  <c r="FS331" i="40"/>
  <c r="EN332" i="40"/>
  <c r="EO331" i="40"/>
  <c r="BK36" i="40"/>
  <c r="BJ37" i="40"/>
  <c r="CE66" i="40"/>
  <c r="CD67" i="40"/>
  <c r="BY67" i="40"/>
  <c r="BZ66" i="40"/>
  <c r="BU55" i="40"/>
  <c r="BT56" i="40"/>
  <c r="CJ29" i="40"/>
  <c r="CI30" i="40"/>
  <c r="CY20" i="40"/>
  <c r="CX21" i="40"/>
  <c r="CN38" i="40"/>
  <c r="CO37" i="40"/>
  <c r="AI330" i="23"/>
  <c r="AI331" i="23"/>
  <c r="AI332" i="23" s="1"/>
  <c r="X316" i="23"/>
  <c r="Y316" i="23" s="1"/>
  <c r="AC351" i="23"/>
  <c r="AC352" i="23" s="1"/>
  <c r="AE314" i="23" s="1"/>
  <c r="AC350" i="23"/>
  <c r="BN308" i="40"/>
  <c r="BN309" i="40" s="1"/>
  <c r="BN310" i="40" s="1"/>
  <c r="CS71" i="40"/>
  <c r="CT70" i="40"/>
  <c r="L327" i="23"/>
  <c r="M327" i="23" s="1"/>
  <c r="CE341" i="23"/>
  <c r="CE342" i="23" s="1"/>
  <c r="CE343" i="23" s="1"/>
  <c r="CE344" i="23" s="1"/>
  <c r="CE345" i="23" s="1"/>
  <c r="CE346" i="23" s="1"/>
  <c r="CE347" i="23" s="1"/>
  <c r="CE348" i="23" s="1"/>
  <c r="CE349" i="23" s="1"/>
  <c r="CE351" i="23" s="1"/>
  <c r="CE352" i="23" s="1"/>
  <c r="AU348" i="23"/>
  <c r="AU349" i="23" s="1"/>
  <c r="AU351" i="23" s="1"/>
  <c r="AU352" i="23" s="1"/>
  <c r="AV315" i="23" s="1"/>
  <c r="AO333" i="23"/>
  <c r="AO331" i="23"/>
  <c r="AO332" i="23" s="1"/>
  <c r="BA334" i="23"/>
  <c r="BS350" i="23"/>
  <c r="BM348" i="23"/>
  <c r="BM349" i="23" s="1"/>
  <c r="BM350" i="23" s="1"/>
  <c r="BM351" i="23" s="1"/>
  <c r="BM352" i="23" s="1"/>
  <c r="BG333" i="23"/>
  <c r="A294" i="23"/>
  <c r="B293" i="23"/>
  <c r="C293" i="23" s="1"/>
  <c r="Q345" i="23" l="1"/>
  <c r="BF45" i="40"/>
  <c r="BE46" i="40"/>
  <c r="EY334" i="40"/>
  <c r="EX335" i="40"/>
  <c r="FN329" i="40"/>
  <c r="FM330" i="40"/>
  <c r="FS332" i="40"/>
  <c r="FR333" i="40"/>
  <c r="ED332" i="40"/>
  <c r="EE331" i="40"/>
  <c r="FI331" i="40"/>
  <c r="FH332" i="40"/>
  <c r="ES332" i="40"/>
  <c r="ET331" i="40"/>
  <c r="FD329" i="40"/>
  <c r="FC330" i="40"/>
  <c r="EI332" i="40"/>
  <c r="EJ331" i="40"/>
  <c r="EN333" i="40"/>
  <c r="EO332" i="40"/>
  <c r="BK37" i="40"/>
  <c r="BJ38" i="40"/>
  <c r="BZ67" i="40"/>
  <c r="BY68" i="40"/>
  <c r="CE67" i="40"/>
  <c r="CD68" i="40"/>
  <c r="CJ30" i="40"/>
  <c r="CI31" i="40"/>
  <c r="BT57" i="40"/>
  <c r="BU56" i="40"/>
  <c r="CX22" i="40"/>
  <c r="CY21" i="40"/>
  <c r="CO38" i="40"/>
  <c r="CN39" i="40"/>
  <c r="AI333" i="23"/>
  <c r="AI334" i="23" s="1"/>
  <c r="AI335" i="23" s="1"/>
  <c r="AI336" i="23" s="1"/>
  <c r="AI337" i="23" s="1"/>
  <c r="AI338" i="23" s="1"/>
  <c r="AI339" i="23" s="1"/>
  <c r="AI340" i="23" s="1"/>
  <c r="AI341" i="23" s="1"/>
  <c r="AI342" i="23" s="1"/>
  <c r="AI343" i="23" s="1"/>
  <c r="AI344" i="23" s="1"/>
  <c r="AI345" i="23" s="1"/>
  <c r="AI346" i="23" s="1"/>
  <c r="AI347" i="23" s="1"/>
  <c r="AI348" i="23" s="1"/>
  <c r="AI349" i="23" s="1"/>
  <c r="X317" i="23"/>
  <c r="Y317" i="23" s="1"/>
  <c r="AD315" i="23"/>
  <c r="AE315" i="23" s="1"/>
  <c r="BN311" i="40"/>
  <c r="CS72" i="40"/>
  <c r="CT71" i="40"/>
  <c r="L328" i="23"/>
  <c r="M328" i="23" s="1"/>
  <c r="AV316" i="23"/>
  <c r="BA335" i="23"/>
  <c r="BA336" i="23" s="1"/>
  <c r="BA337" i="23" s="1"/>
  <c r="BA338" i="23" s="1"/>
  <c r="BA339" i="23" s="1"/>
  <c r="BA340" i="23" s="1"/>
  <c r="BA341" i="23" s="1"/>
  <c r="BA342" i="23" s="1"/>
  <c r="BA343" i="23" s="1"/>
  <c r="BA344" i="23" s="1"/>
  <c r="BA345" i="23" s="1"/>
  <c r="BA346" i="23" s="1"/>
  <c r="BA347" i="23" s="1"/>
  <c r="AO334" i="23"/>
  <c r="BS351" i="23"/>
  <c r="BS352" i="23" s="1"/>
  <c r="BG334" i="23"/>
  <c r="BG335" i="23" s="1"/>
  <c r="A295" i="23"/>
  <c r="B294" i="23"/>
  <c r="C294" i="23" s="1"/>
  <c r="Q346" i="23" l="1"/>
  <c r="Q347" i="23" s="1"/>
  <c r="BE47" i="40"/>
  <c r="BF46" i="40"/>
  <c r="FN330" i="40"/>
  <c r="FM331" i="40"/>
  <c r="EI333" i="40"/>
  <c r="EJ332" i="40"/>
  <c r="ET332" i="40"/>
  <c r="ES333" i="40"/>
  <c r="EE332" i="40"/>
  <c r="ED333" i="40"/>
  <c r="FD330" i="40"/>
  <c r="FC331" i="40"/>
  <c r="FI332" i="40"/>
  <c r="FH333" i="40"/>
  <c r="FS333" i="40"/>
  <c r="FR334" i="40"/>
  <c r="EY335" i="40"/>
  <c r="EX336" i="40"/>
  <c r="EO333" i="40"/>
  <c r="EN334" i="40"/>
  <c r="BK38" i="40"/>
  <c r="BJ39" i="40"/>
  <c r="CE68" i="40"/>
  <c r="CD69" i="40"/>
  <c r="BZ68" i="40"/>
  <c r="BY69" i="40"/>
  <c r="BU57" i="40"/>
  <c r="BT58" i="40"/>
  <c r="CJ31" i="40"/>
  <c r="CI32" i="40"/>
  <c r="CX23" i="40"/>
  <c r="CY22" i="40"/>
  <c r="CN40" i="40"/>
  <c r="CO39" i="40"/>
  <c r="AI350" i="23"/>
  <c r="X318" i="23"/>
  <c r="Y318" i="23" s="1"/>
  <c r="AD316" i="23"/>
  <c r="AE316" i="23" s="1"/>
  <c r="BN312" i="40"/>
  <c r="BN313" i="40" s="1"/>
  <c r="BN314" i="40" s="1"/>
  <c r="BN315" i="40" s="1"/>
  <c r="CS73" i="40"/>
  <c r="CT72" i="40"/>
  <c r="L329" i="23"/>
  <c r="M329" i="23" s="1"/>
  <c r="AV317" i="23"/>
  <c r="AO335" i="23"/>
  <c r="BA348" i="23"/>
  <c r="BA349" i="23" s="1"/>
  <c r="BG336" i="23"/>
  <c r="BG337" i="23" s="1"/>
  <c r="BG338" i="23" s="1"/>
  <c r="BG339" i="23" s="1"/>
  <c r="BG340" i="23" s="1"/>
  <c r="BG341" i="23" s="1"/>
  <c r="BG342" i="23" s="1"/>
  <c r="BG343" i="23" s="1"/>
  <c r="BG344" i="23" s="1"/>
  <c r="BG345" i="23" s="1"/>
  <c r="BG346" i="23" s="1"/>
  <c r="BG347" i="23" s="1"/>
  <c r="B295" i="23"/>
  <c r="C295" i="23" s="1"/>
  <c r="A296" i="23"/>
  <c r="Q351" i="23" l="1"/>
  <c r="Q348" i="23"/>
  <c r="Q349" i="23" s="1"/>
  <c r="BE48" i="40"/>
  <c r="BF47" i="40"/>
  <c r="EY336" i="40"/>
  <c r="EX337" i="40"/>
  <c r="FI333" i="40"/>
  <c r="FH334" i="40"/>
  <c r="ED334" i="40"/>
  <c r="EE333" i="40"/>
  <c r="EJ333" i="40"/>
  <c r="EI334" i="40"/>
  <c r="EO334" i="40"/>
  <c r="EN335" i="40"/>
  <c r="FS334" i="40"/>
  <c r="FR335" i="40"/>
  <c r="FD331" i="40"/>
  <c r="FC332" i="40"/>
  <c r="ET333" i="40"/>
  <c r="ES334" i="40"/>
  <c r="FN331" i="40"/>
  <c r="FM332" i="40"/>
  <c r="BK39" i="40"/>
  <c r="BJ40" i="40"/>
  <c r="BZ69" i="40"/>
  <c r="BY70" i="40"/>
  <c r="CE69" i="40"/>
  <c r="CD70" i="40"/>
  <c r="CI33" i="40"/>
  <c r="CJ32" i="40"/>
  <c r="BT59" i="40"/>
  <c r="BU58" i="40"/>
  <c r="CY23" i="40"/>
  <c r="CX24" i="40"/>
  <c r="CO40" i="40"/>
  <c r="CN41" i="40"/>
  <c r="AI351" i="23"/>
  <c r="AI352" i="23" s="1"/>
  <c r="AK314" i="23" s="1"/>
  <c r="X319" i="23"/>
  <c r="Y319" i="23" s="1"/>
  <c r="AD317" i="23"/>
  <c r="AE317" i="23" s="1"/>
  <c r="BN316" i="40"/>
  <c r="CS74" i="40"/>
  <c r="CT73" i="40"/>
  <c r="L330" i="23"/>
  <c r="M330" i="23" s="1"/>
  <c r="AV318" i="23"/>
  <c r="BA351" i="23"/>
  <c r="BA352" i="23" s="1"/>
  <c r="BB315" i="23" s="1"/>
  <c r="AO336" i="23"/>
  <c r="BG348" i="23"/>
  <c r="BG349" i="23" s="1"/>
  <c r="A297" i="23"/>
  <c r="B296" i="23"/>
  <c r="C296" i="23" s="1"/>
  <c r="Q350" i="23" l="1"/>
  <c r="S314" i="23" s="1"/>
  <c r="BE49" i="40"/>
  <c r="BF48" i="40"/>
  <c r="ES335" i="40"/>
  <c r="ET334" i="40"/>
  <c r="FS335" i="40"/>
  <c r="FR336" i="40"/>
  <c r="EJ334" i="40"/>
  <c r="EI335" i="40"/>
  <c r="FI334" i="40"/>
  <c r="FH335" i="40"/>
  <c r="FN332" i="40"/>
  <c r="FM333" i="40"/>
  <c r="FD332" i="40"/>
  <c r="FC333" i="40"/>
  <c r="EN336" i="40"/>
  <c r="EO335" i="40"/>
  <c r="EY337" i="40"/>
  <c r="EX338" i="40"/>
  <c r="EE334" i="40"/>
  <c r="ED335" i="40"/>
  <c r="BJ41" i="40"/>
  <c r="BK40" i="40"/>
  <c r="CE70" i="40"/>
  <c r="CD71" i="40"/>
  <c r="BZ70" i="40"/>
  <c r="BY71" i="40"/>
  <c r="BU59" i="40"/>
  <c r="BT60" i="40"/>
  <c r="CJ33" i="40"/>
  <c r="CI34" i="40"/>
  <c r="CY24" i="40"/>
  <c r="CX25" i="40"/>
  <c r="CO41" i="40"/>
  <c r="CN42" i="40"/>
  <c r="AJ315" i="23"/>
  <c r="X320" i="23"/>
  <c r="Y320" i="23" s="1"/>
  <c r="AD318" i="23"/>
  <c r="AE318" i="23" s="1"/>
  <c r="BN317" i="40"/>
  <c r="BN318" i="40" s="1"/>
  <c r="BN320" i="40" s="1"/>
  <c r="CS75" i="40"/>
  <c r="CT74" i="40"/>
  <c r="L331" i="23"/>
  <c r="M331" i="23" s="1"/>
  <c r="BB316" i="23"/>
  <c r="AV319" i="23"/>
  <c r="BG351" i="23"/>
  <c r="BG352" i="23" s="1"/>
  <c r="AO337" i="23"/>
  <c r="A298" i="23"/>
  <c r="B297" i="23"/>
  <c r="C297" i="23" s="1"/>
  <c r="Q352" i="23" l="1"/>
  <c r="R315" i="23" s="1"/>
  <c r="BE50" i="40"/>
  <c r="BF49" i="40"/>
  <c r="EY338" i="40"/>
  <c r="EX339" i="40"/>
  <c r="FD333" i="40"/>
  <c r="FC334" i="40"/>
  <c r="FI335" i="40"/>
  <c r="FH336" i="40"/>
  <c r="FS336" i="40"/>
  <c r="FR337" i="40"/>
  <c r="EE335" i="40"/>
  <c r="ED336" i="40"/>
  <c r="FN333" i="40"/>
  <c r="FM334" i="40"/>
  <c r="EI336" i="40"/>
  <c r="EJ335" i="40"/>
  <c r="EO336" i="40"/>
  <c r="EN337" i="40"/>
  <c r="ES336" i="40"/>
  <c r="ET335" i="40"/>
  <c r="BJ42" i="40"/>
  <c r="BK41" i="40"/>
  <c r="BZ71" i="40"/>
  <c r="BY72" i="40"/>
  <c r="CD72" i="40"/>
  <c r="CE71" i="40"/>
  <c r="CJ34" i="40"/>
  <c r="CI35" i="40"/>
  <c r="BU60" i="40"/>
  <c r="BT61" i="40"/>
  <c r="CX26" i="40"/>
  <c r="CY25" i="40"/>
  <c r="CN43" i="40"/>
  <c r="CO42" i="40"/>
  <c r="AK315" i="23"/>
  <c r="AJ316" i="23"/>
  <c r="X321" i="23"/>
  <c r="Y321" i="23" s="1"/>
  <c r="AD319" i="23"/>
  <c r="AE319" i="23" s="1"/>
  <c r="BN323" i="40"/>
  <c r="BN325" i="40" s="1"/>
  <c r="BN326" i="40" s="1"/>
  <c r="BN329" i="40" s="1"/>
  <c r="BN330" i="40" s="1"/>
  <c r="BN333" i="40" s="1"/>
  <c r="CS76" i="40"/>
  <c r="CT75" i="40"/>
  <c r="L332" i="23"/>
  <c r="M332" i="23" s="1"/>
  <c r="BB317" i="23"/>
  <c r="AV320" i="23"/>
  <c r="AO338" i="23"/>
  <c r="AO339" i="23" s="1"/>
  <c r="AO340" i="23" s="1"/>
  <c r="A299" i="23"/>
  <c r="B298" i="23"/>
  <c r="C298" i="23" s="1"/>
  <c r="S315" i="23" l="1"/>
  <c r="R316" i="23"/>
  <c r="BE51" i="40"/>
  <c r="BF50" i="40"/>
  <c r="EN338" i="40"/>
  <c r="EO337" i="40"/>
  <c r="FM335" i="40"/>
  <c r="FN334" i="40"/>
  <c r="FS337" i="40"/>
  <c r="FR338" i="40"/>
  <c r="FD334" i="40"/>
  <c r="FC335" i="40"/>
  <c r="ED337" i="40"/>
  <c r="EE336" i="40"/>
  <c r="FH337" i="40"/>
  <c r="FI336" i="40"/>
  <c r="EX340" i="40"/>
  <c r="EY339" i="40"/>
  <c r="ET336" i="40"/>
  <c r="ES337" i="40"/>
  <c r="EI337" i="40"/>
  <c r="EJ336" i="40"/>
  <c r="BK42" i="40"/>
  <c r="BJ43" i="40"/>
  <c r="CE72" i="40"/>
  <c r="CD73" i="40"/>
  <c r="BZ72" i="40"/>
  <c r="BY73" i="40"/>
  <c r="BU61" i="40"/>
  <c r="BT62" i="40"/>
  <c r="CI36" i="40"/>
  <c r="CJ35" i="40"/>
  <c r="CY26" i="40"/>
  <c r="CX27" i="40"/>
  <c r="CN44" i="40"/>
  <c r="CO43" i="40"/>
  <c r="AK316" i="23"/>
  <c r="AJ317" i="23"/>
  <c r="X322" i="23"/>
  <c r="Y322" i="23" s="1"/>
  <c r="AD320" i="23"/>
  <c r="AE320" i="23" s="1"/>
  <c r="BN334" i="40"/>
  <c r="BN336" i="40" s="1"/>
  <c r="BN339" i="40" s="1"/>
  <c r="BN345" i="40" s="1"/>
  <c r="BN346" i="40" s="1"/>
  <c r="BN348" i="40" s="1"/>
  <c r="CS77" i="40"/>
  <c r="CT76" i="40"/>
  <c r="L333" i="23"/>
  <c r="M333" i="23" s="1"/>
  <c r="AV321" i="23"/>
  <c r="BB318" i="23"/>
  <c r="AO341" i="23"/>
  <c r="AO342" i="23" s="1"/>
  <c r="AO343" i="23" s="1"/>
  <c r="AO344" i="23" s="1"/>
  <c r="AO345" i="23" s="1"/>
  <c r="AO346" i="23" s="1"/>
  <c r="AO347" i="23" s="1"/>
  <c r="A300" i="23"/>
  <c r="B299" i="23"/>
  <c r="C299" i="23" s="1"/>
  <c r="R317" i="23" l="1"/>
  <c r="S316" i="23"/>
  <c r="BE52" i="40"/>
  <c r="BF51" i="40"/>
  <c r="ET337" i="40"/>
  <c r="ES338" i="40"/>
  <c r="FD335" i="40"/>
  <c r="FC336" i="40"/>
  <c r="FI337" i="40"/>
  <c r="FH338" i="40"/>
  <c r="FN335" i="40"/>
  <c r="FM336" i="40"/>
  <c r="FS338" i="40"/>
  <c r="FR339" i="40"/>
  <c r="EJ337" i="40"/>
  <c r="EI338" i="40"/>
  <c r="EY340" i="40"/>
  <c r="EX341" i="40"/>
  <c r="ED338" i="40"/>
  <c r="EE337" i="40"/>
  <c r="EN339" i="40"/>
  <c r="EO338" i="40"/>
  <c r="BJ44" i="40"/>
  <c r="BK43" i="40"/>
  <c r="BY74" i="40"/>
  <c r="BZ73" i="40"/>
  <c r="CE73" i="40"/>
  <c r="CD74" i="40"/>
  <c r="CJ36" i="40"/>
  <c r="CI37" i="40"/>
  <c r="BT63" i="40"/>
  <c r="BU62" i="40"/>
  <c r="CY27" i="40"/>
  <c r="CX28" i="40"/>
  <c r="CN45" i="40"/>
  <c r="CO44" i="40"/>
  <c r="AK317" i="23"/>
  <c r="AJ318" i="23"/>
  <c r="X323" i="23"/>
  <c r="Y323" i="23" s="1"/>
  <c r="AD321" i="23"/>
  <c r="AE321" i="23" s="1"/>
  <c r="BN349" i="40"/>
  <c r="BN351" i="40" s="1"/>
  <c r="BN353" i="40" s="1"/>
  <c r="CS78" i="40"/>
  <c r="CT77" i="40"/>
  <c r="L334" i="23"/>
  <c r="M334" i="23" s="1"/>
  <c r="BB319" i="23"/>
  <c r="AV322" i="23"/>
  <c r="AO348" i="23"/>
  <c r="AO349" i="23" s="1"/>
  <c r="AO351" i="23" s="1"/>
  <c r="AO352" i="23" s="1"/>
  <c r="AQ314" i="23" s="1"/>
  <c r="A301" i="23"/>
  <c r="B300" i="23"/>
  <c r="C300" i="23" s="1"/>
  <c r="S317" i="23" l="1"/>
  <c r="R318" i="23"/>
  <c r="BF52" i="40"/>
  <c r="BE53" i="40"/>
  <c r="EI339" i="40"/>
  <c r="EJ338" i="40"/>
  <c r="FN336" i="40"/>
  <c r="FM337" i="40"/>
  <c r="FC337" i="40"/>
  <c r="FD336" i="40"/>
  <c r="EE338" i="40"/>
  <c r="ED339" i="40"/>
  <c r="EY341" i="40"/>
  <c r="EX342" i="40"/>
  <c r="FS339" i="40"/>
  <c r="FR340" i="40"/>
  <c r="FI338" i="40"/>
  <c r="FH339" i="40"/>
  <c r="ET338" i="40"/>
  <c r="ES339" i="40"/>
  <c r="EN340" i="40"/>
  <c r="EO339" i="40"/>
  <c r="BJ45" i="40"/>
  <c r="BK44" i="40"/>
  <c r="CE74" i="40"/>
  <c r="CD75" i="40"/>
  <c r="BY75" i="40"/>
  <c r="BZ74" i="40"/>
  <c r="BU63" i="40"/>
  <c r="BT64" i="40"/>
  <c r="CI38" i="40"/>
  <c r="CJ37" i="40"/>
  <c r="CY28" i="40"/>
  <c r="CX29" i="40"/>
  <c r="CO45" i="40"/>
  <c r="CN46" i="40"/>
  <c r="AK318" i="23"/>
  <c r="AJ319" i="23"/>
  <c r="X324" i="23"/>
  <c r="Y324" i="23" s="1"/>
  <c r="AD322" i="23"/>
  <c r="AE322" i="23" s="1"/>
  <c r="BN354" i="40"/>
  <c r="BN355" i="40" s="1"/>
  <c r="BN356" i="40" s="1"/>
  <c r="BN359" i="40" s="1"/>
  <c r="BN361" i="40" s="1"/>
  <c r="CS79" i="40"/>
  <c r="CT78" i="40"/>
  <c r="AP315" i="23"/>
  <c r="AQ315" i="23" s="1"/>
  <c r="L335" i="23"/>
  <c r="M335" i="23" s="1"/>
  <c r="AV323" i="23"/>
  <c r="AP316" i="23"/>
  <c r="AQ316" i="23" s="1"/>
  <c r="BB320" i="23"/>
  <c r="A302" i="23"/>
  <c r="B301" i="23"/>
  <c r="C301" i="23" s="1"/>
  <c r="S318" i="23" l="1"/>
  <c r="R319" i="23"/>
  <c r="BF53" i="40"/>
  <c r="BE54" i="40"/>
  <c r="ES340" i="40"/>
  <c r="ET339" i="40"/>
  <c r="FR341" i="40"/>
  <c r="FS340" i="40"/>
  <c r="ED340" i="40"/>
  <c r="EE339" i="40"/>
  <c r="FN337" i="40"/>
  <c r="FM338" i="40"/>
  <c r="FI339" i="40"/>
  <c r="FH340" i="40"/>
  <c r="EY342" i="40"/>
  <c r="EX343" i="40"/>
  <c r="EN341" i="40"/>
  <c r="EO340" i="40"/>
  <c r="FD337" i="40"/>
  <c r="FC338" i="40"/>
  <c r="EI340" i="40"/>
  <c r="EJ339" i="40"/>
  <c r="BJ46" i="40"/>
  <c r="BK45" i="40"/>
  <c r="BZ75" i="40"/>
  <c r="BY76" i="40"/>
  <c r="CE75" i="40"/>
  <c r="CD76" i="40"/>
  <c r="CJ38" i="40"/>
  <c r="CI39" i="40"/>
  <c r="BU64" i="40"/>
  <c r="BT65" i="40"/>
  <c r="CX30" i="40"/>
  <c r="CY29" i="40"/>
  <c r="CN47" i="40"/>
  <c r="CO46" i="40"/>
  <c r="AK319" i="23"/>
  <c r="AJ320" i="23"/>
  <c r="X325" i="23"/>
  <c r="Y325" i="23" s="1"/>
  <c r="AD323" i="23"/>
  <c r="AE323" i="23" s="1"/>
  <c r="BN363" i="40"/>
  <c r="BN364" i="40" s="1"/>
  <c r="BN366" i="40" s="1"/>
  <c r="CS80" i="40"/>
  <c r="CT79" i="40"/>
  <c r="L336" i="23"/>
  <c r="M336" i="23" s="1"/>
  <c r="BB321" i="23"/>
  <c r="AP317" i="23"/>
  <c r="AQ317" i="23" s="1"/>
  <c r="AV324" i="23"/>
  <c r="A303" i="23"/>
  <c r="B302" i="23"/>
  <c r="C302" i="23" s="1"/>
  <c r="S319" i="23" l="1"/>
  <c r="R320" i="23"/>
  <c r="BE55" i="40"/>
  <c r="BF54" i="40"/>
  <c r="FD338" i="40"/>
  <c r="FC339" i="40"/>
  <c r="EY343" i="40"/>
  <c r="EX344" i="40"/>
  <c r="FN338" i="40"/>
  <c r="FM339" i="40"/>
  <c r="FS341" i="40"/>
  <c r="FR342" i="40"/>
  <c r="FI340" i="40"/>
  <c r="FH341" i="40"/>
  <c r="EI341" i="40"/>
  <c r="EJ340" i="40"/>
  <c r="EO341" i="40"/>
  <c r="EN342" i="40"/>
  <c r="ED341" i="40"/>
  <c r="EE340" i="40"/>
  <c r="ET340" i="40"/>
  <c r="ES341" i="40"/>
  <c r="BK46" i="40"/>
  <c r="BJ47" i="40"/>
  <c r="CE76" i="40"/>
  <c r="CD77" i="40"/>
  <c r="BZ76" i="40"/>
  <c r="BY77" i="40"/>
  <c r="BU65" i="40"/>
  <c r="BT66" i="40"/>
  <c r="CJ39" i="40"/>
  <c r="CI40" i="40"/>
  <c r="CX31" i="40"/>
  <c r="CY30" i="40"/>
  <c r="CN48" i="40"/>
  <c r="CO47" i="40"/>
  <c r="AK320" i="23"/>
  <c r="AJ321" i="23"/>
  <c r="X326" i="23"/>
  <c r="Y326" i="23" s="1"/>
  <c r="AD324" i="23"/>
  <c r="AE324" i="23" s="1"/>
  <c r="BN367" i="40"/>
  <c r="CS81" i="40"/>
  <c r="CT80" i="40"/>
  <c r="L337" i="23"/>
  <c r="M337" i="23" s="1"/>
  <c r="BB322" i="23"/>
  <c r="AV325" i="23"/>
  <c r="AP318" i="23"/>
  <c r="AQ318" i="23" s="1"/>
  <c r="A304" i="23"/>
  <c r="B303" i="23"/>
  <c r="C303" i="23" s="1"/>
  <c r="S320" i="23" l="1"/>
  <c r="R321" i="23"/>
  <c r="BE56" i="40"/>
  <c r="BF55" i="40"/>
  <c r="FS342" i="40"/>
  <c r="FR343" i="40"/>
  <c r="EY344" i="40"/>
  <c r="EX345" i="40"/>
  <c r="EE341" i="40"/>
  <c r="ED342" i="40"/>
  <c r="EJ341" i="40"/>
  <c r="EI342" i="40"/>
  <c r="ET341" i="40"/>
  <c r="ES342" i="40"/>
  <c r="EN343" i="40"/>
  <c r="EO342" i="40"/>
  <c r="FI341" i="40"/>
  <c r="FH342" i="40"/>
  <c r="FN339" i="40"/>
  <c r="FM340" i="40"/>
  <c r="FD339" i="40"/>
  <c r="FC340" i="40"/>
  <c r="BK47" i="40"/>
  <c r="BJ48" i="40"/>
  <c r="BY78" i="40"/>
  <c r="BZ77" i="40"/>
  <c r="CE77" i="40"/>
  <c r="CD78" i="40"/>
  <c r="CI41" i="40"/>
  <c r="CJ40" i="40"/>
  <c r="BT67" i="40"/>
  <c r="BU66" i="40"/>
  <c r="CX32" i="40"/>
  <c r="CY31" i="40"/>
  <c r="CO48" i="40"/>
  <c r="CN49" i="40"/>
  <c r="AK321" i="23"/>
  <c r="AJ322" i="23"/>
  <c r="X327" i="23"/>
  <c r="Y327" i="23" s="1"/>
  <c r="AD325" i="23"/>
  <c r="AE325" i="23" s="1"/>
  <c r="BN368" i="40"/>
  <c r="BN370" i="40" s="1"/>
  <c r="BN373" i="40" s="1"/>
  <c r="BN374" i="40" s="1"/>
  <c r="BN375" i="40" s="1"/>
  <c r="BN376" i="40" s="1"/>
  <c r="BN377" i="40" s="1"/>
  <c r="BN378" i="40" s="1"/>
  <c r="BN379" i="40" s="1"/>
  <c r="BN382" i="40" s="1"/>
  <c r="BN383" i="40" s="1"/>
  <c r="BN388" i="40" s="1"/>
  <c r="BN390" i="40" s="1"/>
  <c r="BN391" i="40" s="1"/>
  <c r="BN394" i="40" s="1"/>
  <c r="CS82" i="40"/>
  <c r="CT81" i="40"/>
  <c r="L338" i="23"/>
  <c r="M338" i="23" s="1"/>
  <c r="AP319" i="23"/>
  <c r="AQ319" i="23" s="1"/>
  <c r="AV326" i="23"/>
  <c r="BB323" i="23"/>
  <c r="A305" i="23"/>
  <c r="B304" i="23"/>
  <c r="C304" i="23" s="1"/>
  <c r="S321" i="23" l="1"/>
  <c r="R322" i="23"/>
  <c r="BF56" i="40"/>
  <c r="BE57" i="40"/>
  <c r="FN340" i="40"/>
  <c r="FM341" i="40"/>
  <c r="EJ342" i="40"/>
  <c r="EI343" i="40"/>
  <c r="EY345" i="40"/>
  <c r="EX346" i="40"/>
  <c r="EO343" i="40"/>
  <c r="EN344" i="40"/>
  <c r="FD340" i="40"/>
  <c r="FC341" i="40"/>
  <c r="FI342" i="40"/>
  <c r="FH343" i="40"/>
  <c r="ES343" i="40"/>
  <c r="ET342" i="40"/>
  <c r="ED343" i="40"/>
  <c r="EE342" i="40"/>
  <c r="FS343" i="40"/>
  <c r="FR344" i="40"/>
  <c r="BJ49" i="40"/>
  <c r="BK48" i="40"/>
  <c r="CE78" i="40"/>
  <c r="CD79" i="40"/>
  <c r="BZ78" i="40"/>
  <c r="BY79" i="40"/>
  <c r="BU67" i="40"/>
  <c r="BT68" i="40"/>
  <c r="CJ41" i="40"/>
  <c r="CI42" i="40"/>
  <c r="CY32" i="40"/>
  <c r="CX33" i="40"/>
  <c r="CO49" i="40"/>
  <c r="CN50" i="40"/>
  <c r="AK322" i="23"/>
  <c r="AJ323" i="23"/>
  <c r="X328" i="23"/>
  <c r="Y328" i="23" s="1"/>
  <c r="AD326" i="23"/>
  <c r="AE326" i="23" s="1"/>
  <c r="BN396" i="40"/>
  <c r="BN397" i="40" s="1"/>
  <c r="BN398" i="40" s="1"/>
  <c r="BN400" i="40" s="1"/>
  <c r="BN401" i="40" s="1"/>
  <c r="BN402" i="40" s="1"/>
  <c r="BN403" i="40" s="1"/>
  <c r="BN404" i="40" s="1"/>
  <c r="BN405" i="40" s="1"/>
  <c r="CS83" i="40"/>
  <c r="CT82" i="40"/>
  <c r="L339" i="23"/>
  <c r="M339" i="23" s="1"/>
  <c r="BB324" i="23"/>
  <c r="AV327" i="23"/>
  <c r="AP320" i="23"/>
  <c r="AQ320" i="23" s="1"/>
  <c r="A306" i="23"/>
  <c r="B305" i="23"/>
  <c r="C305" i="23" s="1"/>
  <c r="S322" i="23" l="1"/>
  <c r="R323" i="23"/>
  <c r="BF57" i="40"/>
  <c r="BE58" i="40"/>
  <c r="FI343" i="40"/>
  <c r="FH344" i="40"/>
  <c r="EO344" i="40"/>
  <c r="EN345" i="40"/>
  <c r="EI344" i="40"/>
  <c r="EJ343" i="40"/>
  <c r="EE343" i="40"/>
  <c r="ED344" i="40"/>
  <c r="FS344" i="40"/>
  <c r="FR345" i="40"/>
  <c r="FD341" i="40"/>
  <c r="FC342" i="40"/>
  <c r="EY346" i="40"/>
  <c r="EX347" i="40"/>
  <c r="FN341" i="40"/>
  <c r="FM342" i="40"/>
  <c r="ES344" i="40"/>
  <c r="ET343" i="40"/>
  <c r="BJ50" i="40"/>
  <c r="BK49" i="40"/>
  <c r="BZ79" i="40"/>
  <c r="BY80" i="40"/>
  <c r="CE79" i="40"/>
  <c r="CD80" i="40"/>
  <c r="CJ42" i="40"/>
  <c r="CI43" i="40"/>
  <c r="BT69" i="40"/>
  <c r="BU68" i="40"/>
  <c r="CY33" i="40"/>
  <c r="CX34" i="40"/>
  <c r="CN51" i="40"/>
  <c r="CO50" i="40"/>
  <c r="AK323" i="23"/>
  <c r="AJ324" i="23"/>
  <c r="X329" i="23"/>
  <c r="Y329" i="23" s="1"/>
  <c r="AD327" i="23"/>
  <c r="AE327" i="23" s="1"/>
  <c r="BN406" i="40"/>
  <c r="BO4" i="40" s="1"/>
  <c r="CS84" i="40"/>
  <c r="CT83" i="40"/>
  <c r="L340" i="23"/>
  <c r="M340" i="23" s="1"/>
  <c r="AP321" i="23"/>
  <c r="AQ321" i="23" s="1"/>
  <c r="AV328" i="23"/>
  <c r="BB325" i="23"/>
  <c r="A307" i="23"/>
  <c r="B306" i="23"/>
  <c r="C306" i="23" s="1"/>
  <c r="S323" i="23" l="1"/>
  <c r="R324" i="23"/>
  <c r="BF58" i="40"/>
  <c r="BE59" i="40"/>
  <c r="FN342" i="40"/>
  <c r="FM343" i="40"/>
  <c r="FD342" i="40"/>
  <c r="FC343" i="40"/>
  <c r="ED345" i="40"/>
  <c r="EE344" i="40"/>
  <c r="EN346" i="40"/>
  <c r="EO345" i="40"/>
  <c r="EY347" i="40"/>
  <c r="EX348" i="40"/>
  <c r="FS345" i="40"/>
  <c r="FR346" i="40"/>
  <c r="FI344" i="40"/>
  <c r="FH345" i="40"/>
  <c r="ET344" i="40"/>
  <c r="ES345" i="40"/>
  <c r="EJ344" i="40"/>
  <c r="EI345" i="40"/>
  <c r="BK50" i="40"/>
  <c r="BJ51" i="40"/>
  <c r="CD81" i="40"/>
  <c r="CE80" i="40"/>
  <c r="BZ80" i="40"/>
  <c r="BY81" i="40"/>
  <c r="BU69" i="40"/>
  <c r="BT70" i="40"/>
  <c r="CI44" i="40"/>
  <c r="CJ43" i="40"/>
  <c r="CY34" i="40"/>
  <c r="CX35" i="40"/>
  <c r="CO51" i="40"/>
  <c r="CN52" i="40"/>
  <c r="AK324" i="23"/>
  <c r="AJ325" i="23"/>
  <c r="X330" i="23"/>
  <c r="Y330" i="23" s="1"/>
  <c r="BP3" i="40"/>
  <c r="AD328" i="23"/>
  <c r="AE328" i="23" s="1"/>
  <c r="BO5" i="40"/>
  <c r="BP4" i="40"/>
  <c r="CS85" i="40"/>
  <c r="CT84" i="40"/>
  <c r="L341" i="23"/>
  <c r="M341" i="23" s="1"/>
  <c r="BB326" i="23"/>
  <c r="AP322" i="23"/>
  <c r="AQ322" i="23" s="1"/>
  <c r="AV329" i="23"/>
  <c r="A308" i="23"/>
  <c r="B307" i="23"/>
  <c r="C307" i="23" s="1"/>
  <c r="S324" i="23" l="1"/>
  <c r="R325" i="23"/>
  <c r="BE60" i="40"/>
  <c r="BF59" i="40"/>
  <c r="ET345" i="40"/>
  <c r="ES346" i="40"/>
  <c r="FS346" i="40"/>
  <c r="FR347" i="40"/>
  <c r="FD343" i="40"/>
  <c r="FC344" i="40"/>
  <c r="EO346" i="40"/>
  <c r="EN347" i="40"/>
  <c r="EJ345" i="40"/>
  <c r="EI346" i="40"/>
  <c r="FI345" i="40"/>
  <c r="FH346" i="40"/>
  <c r="EY348" i="40"/>
  <c r="EX349" i="40"/>
  <c r="FN343" i="40"/>
  <c r="FM344" i="40"/>
  <c r="ED346" i="40"/>
  <c r="EE345" i="40"/>
  <c r="BJ52" i="40"/>
  <c r="BK51" i="40"/>
  <c r="BY82" i="40"/>
  <c r="BZ81" i="40"/>
  <c r="CD82" i="40"/>
  <c r="CE81" i="40"/>
  <c r="CJ44" i="40"/>
  <c r="CI45" i="40"/>
  <c r="BU70" i="40"/>
  <c r="BT71" i="40"/>
  <c r="CX36" i="40"/>
  <c r="CY35" i="40"/>
  <c r="CO52" i="40"/>
  <c r="CN53" i="40"/>
  <c r="AK325" i="23"/>
  <c r="AJ326" i="23"/>
  <c r="X331" i="23"/>
  <c r="Y331" i="23" s="1"/>
  <c r="AD329" i="23"/>
  <c r="AE329" i="23" s="1"/>
  <c r="BP5" i="40"/>
  <c r="BO6" i="40"/>
  <c r="CS86" i="40"/>
  <c r="CT85" i="40"/>
  <c r="L342" i="23"/>
  <c r="M342" i="23" s="1"/>
  <c r="AV330" i="23"/>
  <c r="AP323" i="23"/>
  <c r="AQ323" i="23" s="1"/>
  <c r="BB327" i="23"/>
  <c r="A309" i="23"/>
  <c r="B308" i="23"/>
  <c r="C308" i="23" s="1"/>
  <c r="S325" i="23" l="1"/>
  <c r="R326" i="23"/>
  <c r="BF60" i="40"/>
  <c r="BE61" i="40"/>
  <c r="FN344" i="40"/>
  <c r="FM345" i="40"/>
  <c r="FI346" i="40"/>
  <c r="FH347" i="40"/>
  <c r="EN348" i="40"/>
  <c r="EO347" i="40"/>
  <c r="FS347" i="40"/>
  <c r="FR348" i="40"/>
  <c r="EY349" i="40"/>
  <c r="EX350" i="40"/>
  <c r="EI347" i="40"/>
  <c r="EJ346" i="40"/>
  <c r="FD344" i="40"/>
  <c r="FC345" i="40"/>
  <c r="ES347" i="40"/>
  <c r="ET346" i="40"/>
  <c r="EE346" i="40"/>
  <c r="ED347" i="40"/>
  <c r="BJ53" i="40"/>
  <c r="BK52" i="40"/>
  <c r="CE82" i="40"/>
  <c r="CD83" i="40"/>
  <c r="BY83" i="40"/>
  <c r="BZ82" i="40"/>
  <c r="BU71" i="40"/>
  <c r="BT72" i="40"/>
  <c r="CI46" i="40"/>
  <c r="CJ45" i="40"/>
  <c r="CX37" i="40"/>
  <c r="CY36" i="40"/>
  <c r="CN54" i="40"/>
  <c r="CO53" i="40"/>
  <c r="AK326" i="23"/>
  <c r="AJ327" i="23"/>
  <c r="X332" i="23"/>
  <c r="Y332" i="23" s="1"/>
  <c r="AD330" i="23"/>
  <c r="AE330" i="23" s="1"/>
  <c r="BP6" i="40"/>
  <c r="BO7" i="40"/>
  <c r="CS87" i="40"/>
  <c r="CT86" i="40"/>
  <c r="L343" i="23"/>
  <c r="M343" i="23" s="1"/>
  <c r="BB328" i="23"/>
  <c r="AV331" i="23"/>
  <c r="AP324" i="23"/>
  <c r="AQ324" i="23" s="1"/>
  <c r="B309" i="23"/>
  <c r="C309" i="23" s="1"/>
  <c r="A310" i="23"/>
  <c r="S326" i="23" l="1"/>
  <c r="R327" i="23"/>
  <c r="BE62" i="40"/>
  <c r="BF61" i="40"/>
  <c r="FS348" i="40"/>
  <c r="FR349" i="40"/>
  <c r="FI347" i="40"/>
  <c r="FH348" i="40"/>
  <c r="ES348" i="40"/>
  <c r="ET347" i="40"/>
  <c r="EI348" i="40"/>
  <c r="EJ347" i="40"/>
  <c r="EE347" i="40"/>
  <c r="ED348" i="40"/>
  <c r="FD345" i="40"/>
  <c r="FC346" i="40"/>
  <c r="EY350" i="40"/>
  <c r="EX351" i="40"/>
  <c r="FN345" i="40"/>
  <c r="FM346" i="40"/>
  <c r="EN349" i="40"/>
  <c r="EO348" i="40"/>
  <c r="BJ54" i="40"/>
  <c r="BK53" i="40"/>
  <c r="BZ83" i="40"/>
  <c r="BY84" i="40"/>
  <c r="CD84" i="40"/>
  <c r="CE83" i="40"/>
  <c r="CJ46" i="40"/>
  <c r="CI47" i="40"/>
  <c r="BT73" i="40"/>
  <c r="BU72" i="40"/>
  <c r="CY37" i="40"/>
  <c r="CX38" i="40"/>
  <c r="CN55" i="40"/>
  <c r="CO54" i="40"/>
  <c r="AK327" i="23"/>
  <c r="AJ328" i="23"/>
  <c r="X333" i="23"/>
  <c r="Y333" i="23" s="1"/>
  <c r="AD331" i="23"/>
  <c r="AE331" i="23" s="1"/>
  <c r="BO8" i="40"/>
  <c r="BP7" i="40"/>
  <c r="CS88" i="40"/>
  <c r="CT87" i="40"/>
  <c r="L344" i="23"/>
  <c r="M344" i="23" s="1"/>
  <c r="AV332" i="23"/>
  <c r="AP325" i="23"/>
  <c r="AQ325" i="23" s="1"/>
  <c r="BB329" i="23"/>
  <c r="A311" i="23"/>
  <c r="B310" i="23"/>
  <c r="C310" i="23" s="1"/>
  <c r="S327" i="23" l="1"/>
  <c r="R328" i="23"/>
  <c r="BE63" i="40"/>
  <c r="BF62" i="40"/>
  <c r="FN346" i="40"/>
  <c r="FM347" i="40"/>
  <c r="FD346" i="40"/>
  <c r="FC347" i="40"/>
  <c r="FI348" i="40"/>
  <c r="FH349" i="40"/>
  <c r="EJ348" i="40"/>
  <c r="EI349" i="40"/>
  <c r="EY351" i="40"/>
  <c r="EX352" i="40"/>
  <c r="EE348" i="40"/>
  <c r="ED349" i="40"/>
  <c r="FS349" i="40"/>
  <c r="FR350" i="40"/>
  <c r="EO349" i="40"/>
  <c r="EN350" i="40"/>
  <c r="ET348" i="40"/>
  <c r="ES349" i="40"/>
  <c r="BJ55" i="40"/>
  <c r="BK54" i="40"/>
  <c r="CD85" i="40"/>
  <c r="CE84" i="40"/>
  <c r="BZ84" i="40"/>
  <c r="BY85" i="40"/>
  <c r="BU73" i="40"/>
  <c r="BT74" i="40"/>
  <c r="CJ47" i="40"/>
  <c r="CI48" i="40"/>
  <c r="CY38" i="40"/>
  <c r="CX39" i="40"/>
  <c r="CN56" i="40"/>
  <c r="CO55" i="40"/>
  <c r="AK328" i="23"/>
  <c r="AJ329" i="23"/>
  <c r="X334" i="23"/>
  <c r="Y334" i="23" s="1"/>
  <c r="AD332" i="23"/>
  <c r="AE332" i="23" s="1"/>
  <c r="BP8" i="40"/>
  <c r="BO9" i="40"/>
  <c r="CS89" i="40"/>
  <c r="CT88" i="40"/>
  <c r="L345" i="23"/>
  <c r="M345" i="23" s="1"/>
  <c r="BB330" i="23"/>
  <c r="AV333" i="23"/>
  <c r="AP326" i="23"/>
  <c r="AQ326" i="23" s="1"/>
  <c r="B311" i="23"/>
  <c r="C311" i="23" s="1"/>
  <c r="A312" i="23"/>
  <c r="S328" i="23" l="1"/>
  <c r="R329" i="23"/>
  <c r="BE64" i="40"/>
  <c r="BF63" i="40"/>
  <c r="EN351" i="40"/>
  <c r="EO350" i="40"/>
  <c r="ED350" i="40"/>
  <c r="EE349" i="40"/>
  <c r="EJ349" i="40"/>
  <c r="EI350" i="40"/>
  <c r="FD347" i="40"/>
  <c r="FC348" i="40"/>
  <c r="ET349" i="40"/>
  <c r="ES350" i="40"/>
  <c r="FS350" i="40"/>
  <c r="FR351" i="40"/>
  <c r="EY352" i="40"/>
  <c r="EX353" i="40"/>
  <c r="FI349" i="40"/>
  <c r="FH350" i="40"/>
  <c r="FN347" i="40"/>
  <c r="FM348" i="40"/>
  <c r="BJ56" i="40"/>
  <c r="BK55" i="40"/>
  <c r="BY86" i="40"/>
  <c r="BZ85" i="40"/>
  <c r="CD86" i="40"/>
  <c r="CE85" i="40"/>
  <c r="CJ48" i="40"/>
  <c r="CI49" i="40"/>
  <c r="BU74" i="40"/>
  <c r="BT75" i="40"/>
  <c r="CX40" i="40"/>
  <c r="CY39" i="40"/>
  <c r="CN57" i="40"/>
  <c r="CO56" i="40"/>
  <c r="AK329" i="23"/>
  <c r="AJ330" i="23"/>
  <c r="X335" i="23"/>
  <c r="Y335" i="23" s="1"/>
  <c r="AD333" i="23"/>
  <c r="AE333" i="23" s="1"/>
  <c r="BO10" i="40"/>
  <c r="BP9" i="40"/>
  <c r="CS90" i="40"/>
  <c r="CT89" i="40"/>
  <c r="L346" i="23"/>
  <c r="M346" i="23" s="1"/>
  <c r="AV334" i="23"/>
  <c r="BB331" i="23"/>
  <c r="AP327" i="23"/>
  <c r="AQ327" i="23" s="1"/>
  <c r="A313" i="23"/>
  <c r="B312" i="23"/>
  <c r="C312" i="23" s="1"/>
  <c r="S329" i="23" l="1"/>
  <c r="R330" i="23"/>
  <c r="BE65" i="40"/>
  <c r="BF64" i="40"/>
  <c r="FH351" i="40"/>
  <c r="FI350" i="40"/>
  <c r="FS351" i="40"/>
  <c r="FR352" i="40"/>
  <c r="FD348" i="40"/>
  <c r="FC349" i="40"/>
  <c r="ED351" i="40"/>
  <c r="EE350" i="40"/>
  <c r="FN348" i="40"/>
  <c r="FM349" i="40"/>
  <c r="EX354" i="40"/>
  <c r="EY353" i="40"/>
  <c r="ES351" i="40"/>
  <c r="ET350" i="40"/>
  <c r="EI351" i="40"/>
  <c r="EJ350" i="40"/>
  <c r="EN352" i="40"/>
  <c r="EO351" i="40"/>
  <c r="BJ57" i="40"/>
  <c r="BK56" i="40"/>
  <c r="CD87" i="40"/>
  <c r="CE86" i="40"/>
  <c r="BY87" i="40"/>
  <c r="BZ86" i="40"/>
  <c r="BU75" i="40"/>
  <c r="BT76" i="40"/>
  <c r="CJ49" i="40"/>
  <c r="CI50" i="40"/>
  <c r="CX41" i="40"/>
  <c r="CY40" i="40"/>
  <c r="CO57" i="40"/>
  <c r="CN58" i="40"/>
  <c r="AK330" i="23"/>
  <c r="AJ331" i="23"/>
  <c r="X336" i="23"/>
  <c r="Y336" i="23" s="1"/>
  <c r="AD334" i="23"/>
  <c r="AE334" i="23" s="1"/>
  <c r="BP10" i="40"/>
  <c r="BO11" i="40"/>
  <c r="CS91" i="40"/>
  <c r="CT90" i="40"/>
  <c r="L347" i="23"/>
  <c r="M347" i="23" s="1"/>
  <c r="AP328" i="23"/>
  <c r="AQ328" i="23" s="1"/>
  <c r="AV335" i="23"/>
  <c r="BB332" i="23"/>
  <c r="A314" i="23"/>
  <c r="B313" i="23"/>
  <c r="C313" i="23" s="1"/>
  <c r="S330" i="23" l="1"/>
  <c r="R331" i="23"/>
  <c r="BE66" i="40"/>
  <c r="BF65" i="40"/>
  <c r="FS352" i="40"/>
  <c r="FR353" i="40"/>
  <c r="EI352" i="40"/>
  <c r="EJ351" i="40"/>
  <c r="EY354" i="40"/>
  <c r="EX355" i="40"/>
  <c r="EE351" i="40"/>
  <c r="ED352" i="40"/>
  <c r="FN349" i="40"/>
  <c r="FM350" i="40"/>
  <c r="FD349" i="40"/>
  <c r="FC350" i="40"/>
  <c r="EO352" i="40"/>
  <c r="EN353" i="40"/>
  <c r="ES352" i="40"/>
  <c r="ET351" i="40"/>
  <c r="FI351" i="40"/>
  <c r="FH352" i="40"/>
  <c r="BJ58" i="40"/>
  <c r="BK57" i="40"/>
  <c r="BZ87" i="40"/>
  <c r="BY88" i="40"/>
  <c r="CD88" i="40"/>
  <c r="CE87" i="40"/>
  <c r="CJ50" i="40"/>
  <c r="CI51" i="40"/>
  <c r="BT77" i="40"/>
  <c r="BU76" i="40"/>
  <c r="CY41" i="40"/>
  <c r="CX42" i="40"/>
  <c r="CN59" i="40"/>
  <c r="CO58" i="40"/>
  <c r="AK331" i="23"/>
  <c r="AJ332" i="23"/>
  <c r="X337" i="23"/>
  <c r="Y337" i="23" s="1"/>
  <c r="AD335" i="23"/>
  <c r="AE335" i="23" s="1"/>
  <c r="BO12" i="40"/>
  <c r="BP11" i="40"/>
  <c r="CS92" i="40"/>
  <c r="CT91" i="40"/>
  <c r="L348" i="23"/>
  <c r="M348" i="23" s="1"/>
  <c r="AV336" i="23"/>
  <c r="BB333" i="23"/>
  <c r="AP329" i="23"/>
  <c r="AQ329" i="23" s="1"/>
  <c r="A315" i="23"/>
  <c r="B314" i="23"/>
  <c r="C314" i="23" s="1"/>
  <c r="S331" i="23" l="1"/>
  <c r="R332" i="23"/>
  <c r="BF66" i="40"/>
  <c r="BE67" i="40"/>
  <c r="FD350" i="40"/>
  <c r="FC351" i="40"/>
  <c r="EE352" i="40"/>
  <c r="ED353" i="40"/>
  <c r="ET352" i="40"/>
  <c r="ES353" i="40"/>
  <c r="EI353" i="40"/>
  <c r="EJ352" i="40"/>
  <c r="FI352" i="40"/>
  <c r="FH353" i="40"/>
  <c r="EN354" i="40"/>
  <c r="EO353" i="40"/>
  <c r="FM351" i="40"/>
  <c r="FN350" i="40"/>
  <c r="EY355" i="40"/>
  <c r="EX356" i="40"/>
  <c r="FS353" i="40"/>
  <c r="FR354" i="40"/>
  <c r="BJ59" i="40"/>
  <c r="BK58" i="40"/>
  <c r="CE88" i="40"/>
  <c r="CD89" i="40"/>
  <c r="BY89" i="40"/>
  <c r="BZ88" i="40"/>
  <c r="BU77" i="40"/>
  <c r="BT78" i="40"/>
  <c r="CJ51" i="40"/>
  <c r="CI52" i="40"/>
  <c r="CY42" i="40"/>
  <c r="CX43" i="40"/>
  <c r="CN60" i="40"/>
  <c r="CO59" i="40"/>
  <c r="AK332" i="23"/>
  <c r="AJ333" i="23"/>
  <c r="X338" i="23"/>
  <c r="Y338" i="23" s="1"/>
  <c r="AD336" i="23"/>
  <c r="AE336" i="23" s="1"/>
  <c r="BO13" i="40"/>
  <c r="BP12" i="40"/>
  <c r="CS93" i="40"/>
  <c r="CT92" i="40"/>
  <c r="L349" i="23"/>
  <c r="M349" i="23" s="1"/>
  <c r="BB334" i="23"/>
  <c r="AP330" i="23"/>
  <c r="AQ330" i="23" s="1"/>
  <c r="AV337" i="23"/>
  <c r="A316" i="23"/>
  <c r="B315" i="23"/>
  <c r="C315" i="23" s="1"/>
  <c r="S332" i="23" l="1"/>
  <c r="R333" i="23"/>
  <c r="BE68" i="40"/>
  <c r="BF67" i="40"/>
  <c r="EY356" i="40"/>
  <c r="EX357" i="40"/>
  <c r="ED354" i="40"/>
  <c r="EE353" i="40"/>
  <c r="EO354" i="40"/>
  <c r="EN355" i="40"/>
  <c r="EJ353" i="40"/>
  <c r="EI354" i="40"/>
  <c r="FS354" i="40"/>
  <c r="FR355" i="40"/>
  <c r="FI353" i="40"/>
  <c r="FH354" i="40"/>
  <c r="ET353" i="40"/>
  <c r="ES354" i="40"/>
  <c r="FD351" i="40"/>
  <c r="FC352" i="40"/>
  <c r="FM352" i="40"/>
  <c r="FN351" i="40"/>
  <c r="BJ60" i="40"/>
  <c r="BK59" i="40"/>
  <c r="BY90" i="40"/>
  <c r="BZ89" i="40"/>
  <c r="CD90" i="40"/>
  <c r="CE89" i="40"/>
  <c r="CJ52" i="40"/>
  <c r="CI53" i="40"/>
  <c r="BU78" i="40"/>
  <c r="BT79" i="40"/>
  <c r="CY43" i="40"/>
  <c r="CX44" i="40"/>
  <c r="CO60" i="40"/>
  <c r="CN61" i="40"/>
  <c r="AK333" i="23"/>
  <c r="AJ334" i="23"/>
  <c r="X339" i="23"/>
  <c r="Y339" i="23" s="1"/>
  <c r="AD337" i="23"/>
  <c r="AE337" i="23" s="1"/>
  <c r="BP13" i="40"/>
  <c r="BO14" i="40"/>
  <c r="CS94" i="40"/>
  <c r="CT93" i="40"/>
  <c r="L350" i="23"/>
  <c r="M350" i="23" s="1"/>
  <c r="AV338" i="23"/>
  <c r="BB335" i="23"/>
  <c r="AP331" i="23"/>
  <c r="AQ331" i="23" s="1"/>
  <c r="A317" i="23"/>
  <c r="B316" i="23"/>
  <c r="C316" i="23" s="1"/>
  <c r="S333" i="23" l="1"/>
  <c r="R334" i="23"/>
  <c r="BE69" i="40"/>
  <c r="BF68" i="40"/>
  <c r="FC353" i="40"/>
  <c r="FD352" i="40"/>
  <c r="FI354" i="40"/>
  <c r="FH355" i="40"/>
  <c r="EJ354" i="40"/>
  <c r="EI355" i="40"/>
  <c r="ED355" i="40"/>
  <c r="EE354" i="40"/>
  <c r="ES355" i="40"/>
  <c r="ET354" i="40"/>
  <c r="FS355" i="40"/>
  <c r="FR356" i="40"/>
  <c r="EO355" i="40"/>
  <c r="EN356" i="40"/>
  <c r="EY357" i="40"/>
  <c r="EX358" i="40"/>
  <c r="FM353" i="40"/>
  <c r="FN352" i="40"/>
  <c r="BJ61" i="40"/>
  <c r="BK60" i="40"/>
  <c r="CD91" i="40"/>
  <c r="CE90" i="40"/>
  <c r="BY91" i="40"/>
  <c r="BZ90" i="40"/>
  <c r="BU79" i="40"/>
  <c r="BT80" i="40"/>
  <c r="CJ53" i="40"/>
  <c r="CI54" i="40"/>
  <c r="CX45" i="40"/>
  <c r="CY44" i="40"/>
  <c r="CO61" i="40"/>
  <c r="CN62" i="40"/>
  <c r="AK334" i="23"/>
  <c r="AJ335" i="23"/>
  <c r="X340" i="23"/>
  <c r="Y340" i="23" s="1"/>
  <c r="AD338" i="23"/>
  <c r="AE338" i="23" s="1"/>
  <c r="BP14" i="40"/>
  <c r="BO15" i="40"/>
  <c r="CS95" i="40"/>
  <c r="CT94" i="40"/>
  <c r="L351" i="23"/>
  <c r="M351" i="23" s="1"/>
  <c r="AP332" i="23"/>
  <c r="AQ332" i="23" s="1"/>
  <c r="AV339" i="23"/>
  <c r="BB336" i="23"/>
  <c r="B317" i="23"/>
  <c r="C317" i="23" s="1"/>
  <c r="A318" i="23"/>
  <c r="S334" i="23" l="1"/>
  <c r="R335" i="23"/>
  <c r="BE70" i="40"/>
  <c r="BF69" i="40"/>
  <c r="EY358" i="40"/>
  <c r="EX359" i="40"/>
  <c r="FR357" i="40"/>
  <c r="FS356" i="40"/>
  <c r="FI355" i="40"/>
  <c r="FH356" i="40"/>
  <c r="EE355" i="40"/>
  <c r="ED356" i="40"/>
  <c r="EO356" i="40"/>
  <c r="EN357" i="40"/>
  <c r="EJ355" i="40"/>
  <c r="EI356" i="40"/>
  <c r="FN353" i="40"/>
  <c r="FM354" i="40"/>
  <c r="ET355" i="40"/>
  <c r="ES356" i="40"/>
  <c r="FC354" i="40"/>
  <c r="FD353" i="40"/>
  <c r="BJ62" i="40"/>
  <c r="BK61" i="40"/>
  <c r="BZ91" i="40"/>
  <c r="BY92" i="40"/>
  <c r="CE91" i="40"/>
  <c r="CD92" i="40"/>
  <c r="CJ54" i="40"/>
  <c r="CI55" i="40"/>
  <c r="BT81" i="40"/>
  <c r="BU80" i="40"/>
  <c r="CY45" i="40"/>
  <c r="CX46" i="40"/>
  <c r="CN63" i="40"/>
  <c r="CO62" i="40"/>
  <c r="AK335" i="23"/>
  <c r="AJ336" i="23"/>
  <c r="X341" i="23"/>
  <c r="Y341" i="23" s="1"/>
  <c r="AD339" i="23"/>
  <c r="AE339" i="23" s="1"/>
  <c r="BP15" i="40"/>
  <c r="BO16" i="40"/>
  <c r="CS96" i="40"/>
  <c r="CT95" i="40"/>
  <c r="L352" i="23"/>
  <c r="M352" i="23" s="1"/>
  <c r="AV340" i="23"/>
  <c r="BB337" i="23"/>
  <c r="AP333" i="23"/>
  <c r="AQ333" i="23" s="1"/>
  <c r="A319" i="23"/>
  <c r="B318" i="23"/>
  <c r="C318" i="23" s="1"/>
  <c r="S335" i="23" l="1"/>
  <c r="R336" i="23"/>
  <c r="BE71" i="40"/>
  <c r="BF70" i="40"/>
  <c r="ET356" i="40"/>
  <c r="ES357" i="40"/>
  <c r="EI357" i="40"/>
  <c r="EJ356" i="40"/>
  <c r="EE356" i="40"/>
  <c r="ED357" i="40"/>
  <c r="FR358" i="40"/>
  <c r="FS357" i="40"/>
  <c r="FM355" i="40"/>
  <c r="FN354" i="40"/>
  <c r="EN358" i="40"/>
  <c r="EO357" i="40"/>
  <c r="FH357" i="40"/>
  <c r="FI356" i="40"/>
  <c r="EX360" i="40"/>
  <c r="EY359" i="40"/>
  <c r="FC355" i="40"/>
  <c r="FD354" i="40"/>
  <c r="BJ63" i="40"/>
  <c r="BK62" i="40"/>
  <c r="CE92" i="40"/>
  <c r="CD93" i="40"/>
  <c r="BY93" i="40"/>
  <c r="BZ92" i="40"/>
  <c r="BT82" i="40"/>
  <c r="BU81" i="40"/>
  <c r="CI56" i="40"/>
  <c r="CJ55" i="40"/>
  <c r="CX47" i="40"/>
  <c r="CY46" i="40"/>
  <c r="CN64" i="40"/>
  <c r="CO63" i="40"/>
  <c r="AK336" i="23"/>
  <c r="AJ337" i="23"/>
  <c r="X342" i="23"/>
  <c r="Y342" i="23" s="1"/>
  <c r="AD340" i="23"/>
  <c r="AE340" i="23" s="1"/>
  <c r="BO17" i="40"/>
  <c r="BP16" i="40"/>
  <c r="CS97" i="40"/>
  <c r="CT96" i="40"/>
  <c r="AP334" i="23"/>
  <c r="AQ334" i="23" s="1"/>
  <c r="AV341" i="23"/>
  <c r="BB338" i="23"/>
  <c r="B319" i="23"/>
  <c r="C319" i="23" s="1"/>
  <c r="A320" i="23"/>
  <c r="S336" i="23" l="1"/>
  <c r="R337" i="23"/>
  <c r="BE72" i="40"/>
  <c r="BF71" i="40"/>
  <c r="EY360" i="40"/>
  <c r="EX361" i="40"/>
  <c r="EO358" i="40"/>
  <c r="EN359" i="40"/>
  <c r="FR359" i="40"/>
  <c r="FS358" i="40"/>
  <c r="EI358" i="40"/>
  <c r="EJ357" i="40"/>
  <c r="ED358" i="40"/>
  <c r="EE357" i="40"/>
  <c r="ES358" i="40"/>
  <c r="ET357" i="40"/>
  <c r="FD355" i="40"/>
  <c r="FC356" i="40"/>
  <c r="FI357" i="40"/>
  <c r="FH358" i="40"/>
  <c r="FN355" i="40"/>
  <c r="FM356" i="40"/>
  <c r="BJ64" i="40"/>
  <c r="BK63" i="40"/>
  <c r="BY94" i="40"/>
  <c r="BZ93" i="40"/>
  <c r="CE93" i="40"/>
  <c r="CD94" i="40"/>
  <c r="CJ56" i="40"/>
  <c r="CI57" i="40"/>
  <c r="BU82" i="40"/>
  <c r="BT83" i="40"/>
  <c r="CX48" i="40"/>
  <c r="CY47" i="40"/>
  <c r="CO64" i="40"/>
  <c r="CN65" i="40"/>
  <c r="AK337" i="23"/>
  <c r="AJ338" i="23"/>
  <c r="X343" i="23"/>
  <c r="Y343" i="23" s="1"/>
  <c r="AD341" i="23"/>
  <c r="AE341" i="23" s="1"/>
  <c r="BO18" i="40"/>
  <c r="BP17" i="40"/>
  <c r="CS98" i="40"/>
  <c r="CT97" i="40"/>
  <c r="BB339" i="23"/>
  <c r="AV342" i="23"/>
  <c r="AP335" i="23"/>
  <c r="AQ335" i="23" s="1"/>
  <c r="A321" i="23"/>
  <c r="B320" i="23"/>
  <c r="C320" i="23" s="1"/>
  <c r="S337" i="23" l="1"/>
  <c r="R338" i="23"/>
  <c r="BE73" i="40"/>
  <c r="BF72" i="40"/>
  <c r="FH359" i="40"/>
  <c r="FI358" i="40"/>
  <c r="EO359" i="40"/>
  <c r="EN360" i="40"/>
  <c r="ES359" i="40"/>
  <c r="ET358" i="40"/>
  <c r="EI359" i="40"/>
  <c r="EJ358" i="40"/>
  <c r="FN356" i="40"/>
  <c r="FM357" i="40"/>
  <c r="FC357" i="40"/>
  <c r="FD356" i="40"/>
  <c r="EX362" i="40"/>
  <c r="EY361" i="40"/>
  <c r="EE358" i="40"/>
  <c r="ED359" i="40"/>
  <c r="FS359" i="40"/>
  <c r="FR360" i="40"/>
  <c r="BJ65" i="40"/>
  <c r="BK64" i="40"/>
  <c r="CD95" i="40"/>
  <c r="CE94" i="40"/>
  <c r="BY95" i="40"/>
  <c r="BZ94" i="40"/>
  <c r="BU83" i="40"/>
  <c r="BT84" i="40"/>
  <c r="CI58" i="40"/>
  <c r="CJ57" i="40"/>
  <c r="CX49" i="40"/>
  <c r="CY48" i="40"/>
  <c r="CO65" i="40"/>
  <c r="CN66" i="40"/>
  <c r="AK338" i="23"/>
  <c r="AJ339" i="23"/>
  <c r="X344" i="23"/>
  <c r="Y344" i="23" s="1"/>
  <c r="AD342" i="23"/>
  <c r="AE342" i="23" s="1"/>
  <c r="BP18" i="40"/>
  <c r="BO19" i="40"/>
  <c r="CS99" i="40"/>
  <c r="CT98" i="40"/>
  <c r="AP336" i="23"/>
  <c r="AQ336" i="23" s="1"/>
  <c r="BB340" i="23"/>
  <c r="AV343" i="23"/>
  <c r="A322" i="23"/>
  <c r="B321" i="23"/>
  <c r="C321" i="23" s="1"/>
  <c r="S338" i="23" l="1"/>
  <c r="R339" i="23"/>
  <c r="BF73" i="40"/>
  <c r="BE74" i="40"/>
  <c r="ED360" i="40"/>
  <c r="EE359" i="40"/>
  <c r="EN361" i="40"/>
  <c r="EO360" i="40"/>
  <c r="FD357" i="40"/>
  <c r="FC358" i="40"/>
  <c r="EJ359" i="40"/>
  <c r="EI360" i="40"/>
  <c r="FR361" i="40"/>
  <c r="FS360" i="40"/>
  <c r="FN357" i="40"/>
  <c r="FM358" i="40"/>
  <c r="EX363" i="40"/>
  <c r="EY362" i="40"/>
  <c r="ET359" i="40"/>
  <c r="ES360" i="40"/>
  <c r="FH360" i="40"/>
  <c r="FI359" i="40"/>
  <c r="BK65" i="40"/>
  <c r="BJ66" i="40"/>
  <c r="BZ95" i="40"/>
  <c r="BY96" i="40"/>
  <c r="CE95" i="40"/>
  <c r="CD96" i="40"/>
  <c r="CJ58" i="40"/>
  <c r="CI59" i="40"/>
  <c r="BU84" i="40"/>
  <c r="BT85" i="40"/>
  <c r="CY49" i="40"/>
  <c r="CX50" i="40"/>
  <c r="CN67" i="40"/>
  <c r="CO66" i="40"/>
  <c r="AK339" i="23"/>
  <c r="AJ340" i="23"/>
  <c r="X345" i="23"/>
  <c r="Y345" i="23" s="1"/>
  <c r="AD343" i="23"/>
  <c r="AE343" i="23" s="1"/>
  <c r="BO20" i="40"/>
  <c r="BP19" i="40"/>
  <c r="CS100" i="40"/>
  <c r="CT99" i="40"/>
  <c r="AV344" i="23"/>
  <c r="BB341" i="23"/>
  <c r="AP337" i="23"/>
  <c r="AQ337" i="23" s="1"/>
  <c r="A323" i="23"/>
  <c r="B322" i="23"/>
  <c r="C322" i="23" s="1"/>
  <c r="S339" i="23" l="1"/>
  <c r="R340" i="23"/>
  <c r="BE75" i="40"/>
  <c r="BF74" i="40"/>
  <c r="ES361" i="40"/>
  <c r="ET360" i="40"/>
  <c r="FN358" i="40"/>
  <c r="FM359" i="40"/>
  <c r="EI361" i="40"/>
  <c r="EJ360" i="40"/>
  <c r="EN362" i="40"/>
  <c r="EO361" i="40"/>
  <c r="FD358" i="40"/>
  <c r="FC359" i="40"/>
  <c r="FI360" i="40"/>
  <c r="FH361" i="40"/>
  <c r="EY363" i="40"/>
  <c r="EX364" i="40"/>
  <c r="FS361" i="40"/>
  <c r="FR362" i="40"/>
  <c r="ED361" i="40"/>
  <c r="EE360" i="40"/>
  <c r="BK66" i="40"/>
  <c r="BJ67" i="40"/>
  <c r="CE96" i="40"/>
  <c r="CD97" i="40"/>
  <c r="BZ96" i="40"/>
  <c r="BY97" i="40"/>
  <c r="BT86" i="40"/>
  <c r="BU85" i="40"/>
  <c r="CI60" i="40"/>
  <c r="CJ59" i="40"/>
  <c r="CY50" i="40"/>
  <c r="CX51" i="40"/>
  <c r="CN68" i="40"/>
  <c r="CO67" i="40"/>
  <c r="AK340" i="23"/>
  <c r="AJ341" i="23"/>
  <c r="X346" i="23"/>
  <c r="Y346" i="23" s="1"/>
  <c r="AD344" i="23"/>
  <c r="AE344" i="23" s="1"/>
  <c r="BP20" i="40"/>
  <c r="BO21" i="40"/>
  <c r="CS101" i="40"/>
  <c r="CT100" i="40"/>
  <c r="AP338" i="23"/>
  <c r="AQ338" i="23" s="1"/>
  <c r="AV345" i="23"/>
  <c r="BB342" i="23"/>
  <c r="A324" i="23"/>
  <c r="B323" i="23"/>
  <c r="C323" i="23" s="1"/>
  <c r="S340" i="23" l="1"/>
  <c r="R341" i="23"/>
  <c r="BF75" i="40"/>
  <c r="BE76" i="40"/>
  <c r="FS362" i="40"/>
  <c r="FR363" i="40"/>
  <c r="FI361" i="40"/>
  <c r="FH362" i="40"/>
  <c r="FN359" i="40"/>
  <c r="FM360" i="40"/>
  <c r="EN363" i="40"/>
  <c r="EO362" i="40"/>
  <c r="EY364" i="40"/>
  <c r="EX365" i="40"/>
  <c r="FD359" i="40"/>
  <c r="FC360" i="40"/>
  <c r="ED362" i="40"/>
  <c r="EE361" i="40"/>
  <c r="EJ361" i="40"/>
  <c r="EI362" i="40"/>
  <c r="ES362" i="40"/>
  <c r="ET361" i="40"/>
  <c r="BJ68" i="40"/>
  <c r="BK67" i="40"/>
  <c r="BY98" i="40"/>
  <c r="BZ97" i="40"/>
  <c r="CD98" i="40"/>
  <c r="CE97" i="40"/>
  <c r="CJ60" i="40"/>
  <c r="CI61" i="40"/>
  <c r="BU86" i="40"/>
  <c r="BT87" i="40"/>
  <c r="CY51" i="40"/>
  <c r="CX52" i="40"/>
  <c r="CN69" i="40"/>
  <c r="CO68" i="40"/>
  <c r="AK341" i="23"/>
  <c r="AJ342" i="23"/>
  <c r="X347" i="23"/>
  <c r="Y347" i="23" s="1"/>
  <c r="AD345" i="23"/>
  <c r="AE345" i="23" s="1"/>
  <c r="BP21" i="40"/>
  <c r="BO22" i="40"/>
  <c r="CS102" i="40"/>
  <c r="CT101" i="40"/>
  <c r="AV346" i="23"/>
  <c r="BB343" i="23"/>
  <c r="AP339" i="23"/>
  <c r="AQ339" i="23" s="1"/>
  <c r="A325" i="23"/>
  <c r="B324" i="23"/>
  <c r="C324" i="23" s="1"/>
  <c r="S341" i="23" l="1"/>
  <c r="R342" i="23"/>
  <c r="BE77" i="40"/>
  <c r="BF76" i="40"/>
  <c r="EI363" i="40"/>
  <c r="EJ362" i="40"/>
  <c r="FD360" i="40"/>
  <c r="FC361" i="40"/>
  <c r="FH363" i="40"/>
  <c r="FI362" i="40"/>
  <c r="EN364" i="40"/>
  <c r="EO363" i="40"/>
  <c r="EX366" i="40"/>
  <c r="EY365" i="40"/>
  <c r="FM361" i="40"/>
  <c r="FN360" i="40"/>
  <c r="FS363" i="40"/>
  <c r="FR364" i="40"/>
  <c r="ET362" i="40"/>
  <c r="ES363" i="40"/>
  <c r="EE362" i="40"/>
  <c r="ED363" i="40"/>
  <c r="BJ69" i="40"/>
  <c r="BK68" i="40"/>
  <c r="CD99" i="40"/>
  <c r="CE98" i="40"/>
  <c r="BY99" i="40"/>
  <c r="BZ98" i="40"/>
  <c r="BT88" i="40"/>
  <c r="BU87" i="40"/>
  <c r="CI62" i="40"/>
  <c r="CJ61" i="40"/>
  <c r="CX53" i="40"/>
  <c r="CY52" i="40"/>
  <c r="CO69" i="40"/>
  <c r="CN70" i="40"/>
  <c r="AK342" i="23"/>
  <c r="AJ343" i="23"/>
  <c r="X348" i="23"/>
  <c r="Y348" i="23" s="1"/>
  <c r="AD346" i="23"/>
  <c r="AE346" i="23" s="1"/>
  <c r="BP22" i="40"/>
  <c r="BO23" i="40"/>
  <c r="CS103" i="40"/>
  <c r="CT102" i="40"/>
  <c r="AV347" i="23"/>
  <c r="AP340" i="23"/>
  <c r="AQ340" i="23" s="1"/>
  <c r="BB344" i="23"/>
  <c r="A326" i="23"/>
  <c r="B325" i="23"/>
  <c r="C325" i="23" s="1"/>
  <c r="S342" i="23" l="1"/>
  <c r="R343" i="23"/>
  <c r="BF77" i="40"/>
  <c r="BE78" i="40"/>
  <c r="ET363" i="40"/>
  <c r="ES364" i="40"/>
  <c r="FC362" i="40"/>
  <c r="FD361" i="40"/>
  <c r="FN361" i="40"/>
  <c r="FM362" i="40"/>
  <c r="EO364" i="40"/>
  <c r="EN365" i="40"/>
  <c r="EE363" i="40"/>
  <c r="ED364" i="40"/>
  <c r="FS364" i="40"/>
  <c r="FR365" i="40"/>
  <c r="EY366" i="40"/>
  <c r="EX367" i="40"/>
  <c r="FI363" i="40"/>
  <c r="FH364" i="40"/>
  <c r="EJ363" i="40"/>
  <c r="EI364" i="40"/>
  <c r="BJ70" i="40"/>
  <c r="BK69" i="40"/>
  <c r="BZ99" i="40"/>
  <c r="BY100" i="40"/>
  <c r="CD100" i="40"/>
  <c r="CE99" i="40"/>
  <c r="CI63" i="40"/>
  <c r="CJ62" i="40"/>
  <c r="BU88" i="40"/>
  <c r="BT89" i="40"/>
  <c r="CY53" i="40"/>
  <c r="CX54" i="40"/>
  <c r="CO70" i="40"/>
  <c r="CN71" i="40"/>
  <c r="AK343" i="23"/>
  <c r="AJ344" i="23"/>
  <c r="X349" i="23"/>
  <c r="Y349" i="23" s="1"/>
  <c r="AD347" i="23"/>
  <c r="AE347" i="23" s="1"/>
  <c r="BP23" i="40"/>
  <c r="BO24" i="40"/>
  <c r="CS104" i="40"/>
  <c r="CT103" i="40"/>
  <c r="AV348" i="23"/>
  <c r="BB345" i="23"/>
  <c r="AP341" i="23"/>
  <c r="AQ341" i="23" s="1"/>
  <c r="A327" i="23"/>
  <c r="B326" i="23"/>
  <c r="C326" i="23" s="1"/>
  <c r="S343" i="23" l="1"/>
  <c r="R344" i="23"/>
  <c r="BF78" i="40"/>
  <c r="BE79" i="40"/>
  <c r="FI364" i="40"/>
  <c r="FH365" i="40"/>
  <c r="FS365" i="40"/>
  <c r="FR366" i="40"/>
  <c r="EN366" i="40"/>
  <c r="EO365" i="40"/>
  <c r="FC363" i="40"/>
  <c r="FD362" i="40"/>
  <c r="EI365" i="40"/>
  <c r="EJ364" i="40"/>
  <c r="EY367" i="40"/>
  <c r="EX368" i="40"/>
  <c r="EE364" i="40"/>
  <c r="ED365" i="40"/>
  <c r="FN362" i="40"/>
  <c r="FM363" i="40"/>
  <c r="ES365" i="40"/>
  <c r="ET364" i="40"/>
  <c r="BJ71" i="40"/>
  <c r="BK70" i="40"/>
  <c r="CE100" i="40"/>
  <c r="CD101" i="40"/>
  <c r="BZ100" i="40"/>
  <c r="BY101" i="40"/>
  <c r="BU89" i="40"/>
  <c r="BT90" i="40"/>
  <c r="CJ63" i="40"/>
  <c r="CI64" i="40"/>
  <c r="CY54" i="40"/>
  <c r="CX55" i="40"/>
  <c r="CN72" i="40"/>
  <c r="CO71" i="40"/>
  <c r="AK344" i="23"/>
  <c r="AJ345" i="23"/>
  <c r="X350" i="23"/>
  <c r="Y350" i="23" s="1"/>
  <c r="AD348" i="23"/>
  <c r="AE348" i="23" s="1"/>
  <c r="BP24" i="40"/>
  <c r="BO25" i="40"/>
  <c r="CS105" i="40"/>
  <c r="CT104" i="40"/>
  <c r="AV349" i="23"/>
  <c r="AP342" i="23"/>
  <c r="AQ342" i="23" s="1"/>
  <c r="BB346" i="23"/>
  <c r="B327" i="23"/>
  <c r="C327" i="23" s="1"/>
  <c r="A328" i="23"/>
  <c r="S344" i="23" l="1"/>
  <c r="R345" i="23"/>
  <c r="BE80" i="40"/>
  <c r="BF79" i="40"/>
  <c r="FN363" i="40"/>
  <c r="FM364" i="40"/>
  <c r="EY368" i="40"/>
  <c r="EX369" i="40"/>
  <c r="FR367" i="40"/>
  <c r="FS366" i="40"/>
  <c r="FD363" i="40"/>
  <c r="FC364" i="40"/>
  <c r="ED366" i="40"/>
  <c r="EE365" i="40"/>
  <c r="FI365" i="40"/>
  <c r="FH366" i="40"/>
  <c r="ET365" i="40"/>
  <c r="ES366" i="40"/>
  <c r="EI366" i="40"/>
  <c r="EJ365" i="40"/>
  <c r="EO366" i="40"/>
  <c r="EN367" i="40"/>
  <c r="BJ72" i="40"/>
  <c r="BK71" i="40"/>
  <c r="BY102" i="40"/>
  <c r="BZ101" i="40"/>
  <c r="CD102" i="40"/>
  <c r="CE101" i="40"/>
  <c r="CJ64" i="40"/>
  <c r="CI65" i="40"/>
  <c r="BU90" i="40"/>
  <c r="BT91" i="40"/>
  <c r="CX56" i="40"/>
  <c r="CY55" i="40"/>
  <c r="CO72" i="40"/>
  <c r="CN73" i="40"/>
  <c r="AK345" i="23"/>
  <c r="AJ346" i="23"/>
  <c r="X351" i="23"/>
  <c r="Y351" i="23" s="1"/>
  <c r="AD349" i="23"/>
  <c r="AE349" i="23" s="1"/>
  <c r="BP25" i="40"/>
  <c r="BO26" i="40"/>
  <c r="CS106" i="40"/>
  <c r="CT105" i="40"/>
  <c r="BB347" i="23"/>
  <c r="AV350" i="23"/>
  <c r="AP343" i="23"/>
  <c r="AQ343" i="23" s="1"/>
  <c r="A329" i="23"/>
  <c r="B328" i="23"/>
  <c r="C328" i="23" s="1"/>
  <c r="S345" i="23" l="1"/>
  <c r="R346" i="23"/>
  <c r="BF80" i="40"/>
  <c r="BE81" i="40"/>
  <c r="FI366" i="40"/>
  <c r="FH367" i="40"/>
  <c r="FD364" i="40"/>
  <c r="FC365" i="40"/>
  <c r="EY369" i="40"/>
  <c r="EX370" i="40"/>
  <c r="EI367" i="40"/>
  <c r="EJ366" i="40"/>
  <c r="EO367" i="40"/>
  <c r="EN368" i="40"/>
  <c r="ET366" i="40"/>
  <c r="ES367" i="40"/>
  <c r="FN364" i="40"/>
  <c r="FM365" i="40"/>
  <c r="ED367" i="40"/>
  <c r="EE366" i="40"/>
  <c r="FS367" i="40"/>
  <c r="FR368" i="40"/>
  <c r="BJ73" i="40"/>
  <c r="BK72" i="40"/>
  <c r="CD103" i="40"/>
  <c r="CE102" i="40"/>
  <c r="BY103" i="40"/>
  <c r="BZ102" i="40"/>
  <c r="BT92" i="40"/>
  <c r="BU91" i="40"/>
  <c r="CJ65" i="40"/>
  <c r="CI66" i="40"/>
  <c r="CY56" i="40"/>
  <c r="CX57" i="40"/>
  <c r="CO73" i="40"/>
  <c r="CN74" i="40"/>
  <c r="AK346" i="23"/>
  <c r="AJ347" i="23"/>
  <c r="X352" i="23"/>
  <c r="Y352" i="23" s="1"/>
  <c r="AD350" i="23"/>
  <c r="AE350" i="23" s="1"/>
  <c r="BP26" i="40"/>
  <c r="BO27" i="40"/>
  <c r="CS107" i="40"/>
  <c r="CT106" i="40"/>
  <c r="AV351" i="23"/>
  <c r="AP344" i="23"/>
  <c r="AQ344" i="23" s="1"/>
  <c r="BB348" i="23"/>
  <c r="A330" i="23"/>
  <c r="B329" i="23"/>
  <c r="C329" i="23" s="1"/>
  <c r="S346" i="23" l="1"/>
  <c r="R347" i="23"/>
  <c r="BF81" i="40"/>
  <c r="BE82" i="40"/>
  <c r="ET367" i="40"/>
  <c r="ES368" i="40"/>
  <c r="FD365" i="40"/>
  <c r="FC366" i="40"/>
  <c r="ED368" i="40"/>
  <c r="EE367" i="40"/>
  <c r="EJ367" i="40"/>
  <c r="EI368" i="40"/>
  <c r="FS368" i="40"/>
  <c r="FR369" i="40"/>
  <c r="FN365" i="40"/>
  <c r="FM366" i="40"/>
  <c r="EO368" i="40"/>
  <c r="EN369" i="40"/>
  <c r="EX371" i="40"/>
  <c r="EY370" i="40"/>
  <c r="FH368" i="40"/>
  <c r="FI367" i="40"/>
  <c r="BJ74" i="40"/>
  <c r="BK73" i="40"/>
  <c r="BZ103" i="40"/>
  <c r="BY104" i="40"/>
  <c r="CE103" i="40"/>
  <c r="CD104" i="40"/>
  <c r="CJ66" i="40"/>
  <c r="CI67" i="40"/>
  <c r="BU92" i="40"/>
  <c r="BT93" i="40"/>
  <c r="CY57" i="40"/>
  <c r="CX58" i="40"/>
  <c r="CN75" i="40"/>
  <c r="CO74" i="40"/>
  <c r="AK347" i="23"/>
  <c r="AJ348" i="23"/>
  <c r="AD351" i="23"/>
  <c r="AE351" i="23" s="1"/>
  <c r="BP27" i="40"/>
  <c r="BO28" i="40"/>
  <c r="CS108" i="40"/>
  <c r="CT107" i="40"/>
  <c r="AP345" i="23"/>
  <c r="AQ345" i="23" s="1"/>
  <c r="AV352" i="23"/>
  <c r="BB349" i="23"/>
  <c r="A331" i="23"/>
  <c r="B330" i="23"/>
  <c r="C330" i="23" s="1"/>
  <c r="S347" i="23" l="1"/>
  <c r="R348" i="23"/>
  <c r="BF82" i="40"/>
  <c r="BE83" i="40"/>
  <c r="FN366" i="40"/>
  <c r="FM367" i="40"/>
  <c r="EJ368" i="40"/>
  <c r="EI369" i="40"/>
  <c r="FD366" i="40"/>
  <c r="FC367" i="40"/>
  <c r="EY371" i="40"/>
  <c r="EX372" i="40"/>
  <c r="EN370" i="40"/>
  <c r="EO369" i="40"/>
  <c r="FS369" i="40"/>
  <c r="FR370" i="40"/>
  <c r="ET368" i="40"/>
  <c r="ES369" i="40"/>
  <c r="FI368" i="40"/>
  <c r="FH369" i="40"/>
  <c r="ED369" i="40"/>
  <c r="EE368" i="40"/>
  <c r="BJ75" i="40"/>
  <c r="BK74" i="40"/>
  <c r="CE104" i="40"/>
  <c r="CD105" i="40"/>
  <c r="BY105" i="40"/>
  <c r="BZ104" i="40"/>
  <c r="BU93" i="40"/>
  <c r="BT94" i="40"/>
  <c r="CJ67" i="40"/>
  <c r="CI68" i="40"/>
  <c r="CX59" i="40"/>
  <c r="CY58" i="40"/>
  <c r="CN76" i="40"/>
  <c r="CO75" i="40"/>
  <c r="AK348" i="23"/>
  <c r="AJ349" i="23"/>
  <c r="AD352" i="23"/>
  <c r="AE352" i="23" s="1"/>
  <c r="BP28" i="40"/>
  <c r="BO29" i="40"/>
  <c r="CS109" i="40"/>
  <c r="CT108" i="40"/>
  <c r="BB350" i="23"/>
  <c r="AP346" i="23"/>
  <c r="AQ346" i="23" s="1"/>
  <c r="A332" i="23"/>
  <c r="B331" i="23"/>
  <c r="C331" i="23" s="1"/>
  <c r="S348" i="23" l="1"/>
  <c r="R349" i="23"/>
  <c r="BE84" i="40"/>
  <c r="BF83" i="40"/>
  <c r="FH370" i="40"/>
  <c r="FI369" i="40"/>
  <c r="FS370" i="40"/>
  <c r="FR371" i="40"/>
  <c r="EX373" i="40"/>
  <c r="EY372" i="40"/>
  <c r="EJ369" i="40"/>
  <c r="EI370" i="40"/>
  <c r="ES370" i="40"/>
  <c r="ET369" i="40"/>
  <c r="FD367" i="40"/>
  <c r="FC368" i="40"/>
  <c r="FN367" i="40"/>
  <c r="FM368" i="40"/>
  <c r="ED370" i="40"/>
  <c r="EE369" i="40"/>
  <c r="EO370" i="40"/>
  <c r="EN371" i="40"/>
  <c r="BJ76" i="40"/>
  <c r="BK75" i="40"/>
  <c r="BY106" i="40"/>
  <c r="BZ105" i="40"/>
  <c r="CE105" i="40"/>
  <c r="CD106" i="40"/>
  <c r="CJ68" i="40"/>
  <c r="CI69" i="40"/>
  <c r="BU94" i="40"/>
  <c r="BT95" i="40"/>
  <c r="CX60" i="40"/>
  <c r="CY59" i="40"/>
  <c r="CO76" i="40"/>
  <c r="CN77" i="40"/>
  <c r="AK349" i="23"/>
  <c r="AJ350" i="23"/>
  <c r="BP29" i="40"/>
  <c r="BO30" i="40"/>
  <c r="CS110" i="40"/>
  <c r="CT109" i="40"/>
  <c r="AP347" i="23"/>
  <c r="AQ347" i="23" s="1"/>
  <c r="BB351" i="23"/>
  <c r="A333" i="23"/>
  <c r="B332" i="23"/>
  <c r="C332" i="23" s="1"/>
  <c r="S349" i="23" l="1"/>
  <c r="R350" i="23"/>
  <c r="BE85" i="40"/>
  <c r="BF84" i="40"/>
  <c r="FD368" i="40"/>
  <c r="FC369" i="40"/>
  <c r="EJ370" i="40"/>
  <c r="EI371" i="40"/>
  <c r="FS371" i="40"/>
  <c r="FR372" i="40"/>
  <c r="ED371" i="40"/>
  <c r="EE370" i="40"/>
  <c r="EN372" i="40"/>
  <c r="EO371" i="40"/>
  <c r="FM369" i="40"/>
  <c r="FN368" i="40"/>
  <c r="ET370" i="40"/>
  <c r="ES371" i="40"/>
  <c r="EX374" i="40"/>
  <c r="EY373" i="40"/>
  <c r="FH371" i="40"/>
  <c r="FI370" i="40"/>
  <c r="BJ77" i="40"/>
  <c r="BK76" i="40"/>
  <c r="CD107" i="40"/>
  <c r="CE106" i="40"/>
  <c r="BY107" i="40"/>
  <c r="BZ106" i="40"/>
  <c r="BU95" i="40"/>
  <c r="BT96" i="40"/>
  <c r="CJ69" i="40"/>
  <c r="CI70" i="40"/>
  <c r="CY60" i="40"/>
  <c r="CX61" i="40"/>
  <c r="CO77" i="40"/>
  <c r="CN78" i="40"/>
  <c r="AK350" i="23"/>
  <c r="AJ351" i="23"/>
  <c r="BP30" i="40"/>
  <c r="BO31" i="40"/>
  <c r="CS111" i="40"/>
  <c r="CT110" i="40"/>
  <c r="BB352" i="23"/>
  <c r="AP348" i="23"/>
  <c r="AQ348" i="23" s="1"/>
  <c r="A334" i="23"/>
  <c r="B333" i="23"/>
  <c r="C333" i="23" s="1"/>
  <c r="S350" i="23" l="1"/>
  <c r="R351" i="23"/>
  <c r="BE86" i="40"/>
  <c r="BF85" i="40"/>
  <c r="EI372" i="40"/>
  <c r="EJ371" i="40"/>
  <c r="EY374" i="40"/>
  <c r="EX375" i="40"/>
  <c r="FM370" i="40"/>
  <c r="FN369" i="40"/>
  <c r="EE371" i="40"/>
  <c r="ED372" i="40"/>
  <c r="ET371" i="40"/>
  <c r="ES372" i="40"/>
  <c r="FS372" i="40"/>
  <c r="FR373" i="40"/>
  <c r="FD369" i="40"/>
  <c r="FC370" i="40"/>
  <c r="FI371" i="40"/>
  <c r="FH372" i="40"/>
  <c r="EO372" i="40"/>
  <c r="EN373" i="40"/>
  <c r="BJ78" i="40"/>
  <c r="BK77" i="40"/>
  <c r="BZ107" i="40"/>
  <c r="BY108" i="40"/>
  <c r="CD108" i="40"/>
  <c r="CE107" i="40"/>
  <c r="CJ70" i="40"/>
  <c r="CI71" i="40"/>
  <c r="BU96" i="40"/>
  <c r="BT97" i="40"/>
  <c r="CY61" i="40"/>
  <c r="CX62" i="40"/>
  <c r="CN79" i="40"/>
  <c r="CO78" i="40"/>
  <c r="AK351" i="23"/>
  <c r="AJ352" i="23"/>
  <c r="AK352" i="23" s="1"/>
  <c r="BP31" i="40"/>
  <c r="BO32" i="40"/>
  <c r="CS112" i="40"/>
  <c r="CT111" i="40"/>
  <c r="AP349" i="23"/>
  <c r="AQ349" i="23" s="1"/>
  <c r="A335" i="23"/>
  <c r="B334" i="23"/>
  <c r="C334" i="23" s="1"/>
  <c r="S351" i="23" l="1"/>
  <c r="R352" i="23"/>
  <c r="S352" i="23" s="1"/>
  <c r="BF86" i="40"/>
  <c r="BE87" i="40"/>
  <c r="FI372" i="40"/>
  <c r="FH373" i="40"/>
  <c r="FS373" i="40"/>
  <c r="FR374" i="40"/>
  <c r="EE372" i="40"/>
  <c r="ED373" i="40"/>
  <c r="EY375" i="40"/>
  <c r="EX376" i="40"/>
  <c r="EN374" i="40"/>
  <c r="EO373" i="40"/>
  <c r="FC371" i="40"/>
  <c r="FD370" i="40"/>
  <c r="ET372" i="40"/>
  <c r="ES373" i="40"/>
  <c r="FN370" i="40"/>
  <c r="FM371" i="40"/>
  <c r="EJ372" i="40"/>
  <c r="EI373" i="40"/>
  <c r="BJ79" i="40"/>
  <c r="BK78" i="40"/>
  <c r="CE108" i="40"/>
  <c r="CD109" i="40"/>
  <c r="BZ108" i="40"/>
  <c r="BY109" i="40"/>
  <c r="BU97" i="40"/>
  <c r="BT98" i="40"/>
  <c r="CI72" i="40"/>
  <c r="CJ71" i="40"/>
  <c r="CY62" i="40"/>
  <c r="CX63" i="40"/>
  <c r="CN80" i="40"/>
  <c r="CO79" i="40"/>
  <c r="BP32" i="40"/>
  <c r="BO33" i="40"/>
  <c r="CS113" i="40"/>
  <c r="CT112" i="40"/>
  <c r="AP350" i="23"/>
  <c r="AQ350" i="23" s="1"/>
  <c r="A336" i="23"/>
  <c r="B335" i="23"/>
  <c r="C335" i="23" s="1"/>
  <c r="BF87" i="40" l="1"/>
  <c r="BE88" i="40"/>
  <c r="FM372" i="40"/>
  <c r="FN371" i="40"/>
  <c r="EY376" i="40"/>
  <c r="EX377" i="40"/>
  <c r="FR375" i="40"/>
  <c r="FS374" i="40"/>
  <c r="FC372" i="40"/>
  <c r="FD371" i="40"/>
  <c r="EI374" i="40"/>
  <c r="EJ373" i="40"/>
  <c r="ET373" i="40"/>
  <c r="ES374" i="40"/>
  <c r="ED374" i="40"/>
  <c r="EE373" i="40"/>
  <c r="FI373" i="40"/>
  <c r="FH374" i="40"/>
  <c r="EO374" i="40"/>
  <c r="EN375" i="40"/>
  <c r="BJ80" i="40"/>
  <c r="BK79" i="40"/>
  <c r="BY110" i="40"/>
  <c r="BZ109" i="40"/>
  <c r="CE109" i="40"/>
  <c r="CD110" i="40"/>
  <c r="CI73" i="40"/>
  <c r="CJ72" i="40"/>
  <c r="BU98" i="40"/>
  <c r="BT99" i="40"/>
  <c r="CX64" i="40"/>
  <c r="CY63" i="40"/>
  <c r="CO80" i="40"/>
  <c r="CN81" i="40"/>
  <c r="BP33" i="40"/>
  <c r="BO34" i="40"/>
  <c r="CS114" i="40"/>
  <c r="CT113" i="40"/>
  <c r="AP351" i="23"/>
  <c r="AQ351" i="23" s="1"/>
  <c r="A337" i="23"/>
  <c r="B336" i="23"/>
  <c r="C336" i="23" s="1"/>
  <c r="BE89" i="40" l="1"/>
  <c r="BF88" i="40"/>
  <c r="FI374" i="40"/>
  <c r="FH375" i="40"/>
  <c r="ET374" i="40"/>
  <c r="ES375" i="40"/>
  <c r="EY377" i="40"/>
  <c r="EX378" i="40"/>
  <c r="FD372" i="40"/>
  <c r="FC373" i="40"/>
  <c r="EO375" i="40"/>
  <c r="EN376" i="40"/>
  <c r="ED375" i="40"/>
  <c r="EE374" i="40"/>
  <c r="EJ374" i="40"/>
  <c r="EI375" i="40"/>
  <c r="FR376" i="40"/>
  <c r="FS375" i="40"/>
  <c r="FN372" i="40"/>
  <c r="FM373" i="40"/>
  <c r="BJ81" i="40"/>
  <c r="BK80" i="40"/>
  <c r="CE110" i="40"/>
  <c r="CD111" i="40"/>
  <c r="BY111" i="40"/>
  <c r="BZ110" i="40"/>
  <c r="BU99" i="40"/>
  <c r="BT100" i="40"/>
  <c r="CJ73" i="40"/>
  <c r="CI74" i="40"/>
  <c r="CX65" i="40"/>
  <c r="CY64" i="40"/>
  <c r="CN82" i="40"/>
  <c r="CO81" i="40"/>
  <c r="BP34" i="40"/>
  <c r="BO35" i="40"/>
  <c r="CS115" i="40"/>
  <c r="CT114" i="40"/>
  <c r="AP352" i="23"/>
  <c r="AQ352" i="23" s="1"/>
  <c r="A338" i="23"/>
  <c r="B337" i="23"/>
  <c r="C337" i="23" s="1"/>
  <c r="BE90" i="40" l="1"/>
  <c r="BF89" i="40"/>
  <c r="FC374" i="40"/>
  <c r="FD373" i="40"/>
  <c r="ES376" i="40"/>
  <c r="ET375" i="40"/>
  <c r="FS376" i="40"/>
  <c r="FR377" i="40"/>
  <c r="EE375" i="40"/>
  <c r="ED376" i="40"/>
  <c r="FN373" i="40"/>
  <c r="FM374" i="40"/>
  <c r="EJ375" i="40"/>
  <c r="EI376" i="40"/>
  <c r="EO376" i="40"/>
  <c r="EN377" i="40"/>
  <c r="EY378" i="40"/>
  <c r="EX379" i="40"/>
  <c r="FI375" i="40"/>
  <c r="FH376" i="40"/>
  <c r="BJ82" i="40"/>
  <c r="BK81" i="40"/>
  <c r="BY112" i="40"/>
  <c r="BZ111" i="40"/>
  <c r="CD112" i="40"/>
  <c r="CE111" i="40"/>
  <c r="CJ74" i="40"/>
  <c r="CI75" i="40"/>
  <c r="BU100" i="40"/>
  <c r="BT101" i="40"/>
  <c r="CY65" i="40"/>
  <c r="CX66" i="40"/>
  <c r="CN83" i="40"/>
  <c r="CO82" i="40"/>
  <c r="BP35" i="40"/>
  <c r="BO36" i="40"/>
  <c r="CS116" i="40"/>
  <c r="CT115" i="40"/>
  <c r="A339" i="23"/>
  <c r="B338" i="23"/>
  <c r="C338" i="23" s="1"/>
  <c r="BE91" i="40" l="1"/>
  <c r="BF90" i="40"/>
  <c r="EY379" i="40"/>
  <c r="EX380" i="40"/>
  <c r="EI377" i="40"/>
  <c r="EJ376" i="40"/>
  <c r="ED377" i="40"/>
  <c r="EE376" i="40"/>
  <c r="ES377" i="40"/>
  <c r="ET376" i="40"/>
  <c r="FI376" i="40"/>
  <c r="FH377" i="40"/>
  <c r="EO377" i="40"/>
  <c r="EN378" i="40"/>
  <c r="FN374" i="40"/>
  <c r="FM375" i="40"/>
  <c r="FR378" i="40"/>
  <c r="FS377" i="40"/>
  <c r="FD374" i="40"/>
  <c r="FC375" i="40"/>
  <c r="BJ83" i="40"/>
  <c r="BK82" i="40"/>
  <c r="CE112" i="40"/>
  <c r="CD113" i="40"/>
  <c r="BY113" i="40"/>
  <c r="BZ112" i="40"/>
  <c r="BT102" i="40"/>
  <c r="BU101" i="40"/>
  <c r="CJ75" i="40"/>
  <c r="CI76" i="40"/>
  <c r="CY66" i="40"/>
  <c r="CX67" i="40"/>
  <c r="CN84" i="40"/>
  <c r="CO83" i="40"/>
  <c r="BO37" i="40"/>
  <c r="BP36" i="40"/>
  <c r="CS117" i="40"/>
  <c r="CT116" i="40"/>
  <c r="A340" i="23"/>
  <c r="B339" i="23"/>
  <c r="C339" i="23" s="1"/>
  <c r="BE92" i="40" l="1"/>
  <c r="BF91" i="40"/>
  <c r="EN379" i="40"/>
  <c r="EO378" i="40"/>
  <c r="FS378" i="40"/>
  <c r="FR379" i="40"/>
  <c r="ET377" i="40"/>
  <c r="ES378" i="40"/>
  <c r="EI378" i="40"/>
  <c r="EJ377" i="40"/>
  <c r="FD375" i="40"/>
  <c r="FC376" i="40"/>
  <c r="FN375" i="40"/>
  <c r="FM376" i="40"/>
  <c r="FI377" i="40"/>
  <c r="FH378" i="40"/>
  <c r="EY380" i="40"/>
  <c r="EX381" i="40"/>
  <c r="EE377" i="40"/>
  <c r="ED378" i="40"/>
  <c r="BJ84" i="40"/>
  <c r="BK83" i="40"/>
  <c r="BY114" i="40"/>
  <c r="BZ113" i="40"/>
  <c r="CE113" i="40"/>
  <c r="CD114" i="40"/>
  <c r="CJ76" i="40"/>
  <c r="CI77" i="40"/>
  <c r="BU102" i="40"/>
  <c r="BT103" i="40"/>
  <c r="CY67" i="40"/>
  <c r="CX68" i="40"/>
  <c r="CO84" i="40"/>
  <c r="CN85" i="40"/>
  <c r="BO38" i="40"/>
  <c r="BP37" i="40"/>
  <c r="CS118" i="40"/>
  <c r="CT117" i="40"/>
  <c r="A341" i="23"/>
  <c r="B340" i="23"/>
  <c r="C340" i="23" s="1"/>
  <c r="BE93" i="40" l="1"/>
  <c r="BF92" i="40"/>
  <c r="EY381" i="40"/>
  <c r="EX382" i="40"/>
  <c r="FN376" i="40"/>
  <c r="FM377" i="40"/>
  <c r="FS379" i="40"/>
  <c r="FR380" i="40"/>
  <c r="EJ378" i="40"/>
  <c r="EI379" i="40"/>
  <c r="ED379" i="40"/>
  <c r="EE378" i="40"/>
  <c r="FI378" i="40"/>
  <c r="FH379" i="40"/>
  <c r="FD376" i="40"/>
  <c r="FC377" i="40"/>
  <c r="ET378" i="40"/>
  <c r="ES379" i="40"/>
  <c r="EN380" i="40"/>
  <c r="EO379" i="40"/>
  <c r="BJ85" i="40"/>
  <c r="BK84" i="40"/>
  <c r="CD115" i="40"/>
  <c r="CE114" i="40"/>
  <c r="BZ114" i="40"/>
  <c r="BY115" i="40"/>
  <c r="BU103" i="40"/>
  <c r="BT104" i="40"/>
  <c r="CJ77" i="40"/>
  <c r="CI78" i="40"/>
  <c r="CX69" i="40"/>
  <c r="CY68" i="40"/>
  <c r="CO85" i="40"/>
  <c r="CN86" i="40"/>
  <c r="BP38" i="40"/>
  <c r="BO39" i="40"/>
  <c r="CS119" i="40"/>
  <c r="CT118" i="40"/>
  <c r="B341" i="23"/>
  <c r="C341" i="23" s="1"/>
  <c r="A342" i="23"/>
  <c r="BE94" i="40" l="1"/>
  <c r="BF93" i="40"/>
  <c r="ES380" i="40"/>
  <c r="ET379" i="40"/>
  <c r="FI379" i="40"/>
  <c r="FH380" i="40"/>
  <c r="EJ379" i="40"/>
  <c r="EI380" i="40"/>
  <c r="FN377" i="40"/>
  <c r="FM378" i="40"/>
  <c r="FD377" i="40"/>
  <c r="FC378" i="40"/>
  <c r="FS380" i="40"/>
  <c r="FR381" i="40"/>
  <c r="EY382" i="40"/>
  <c r="EX383" i="40"/>
  <c r="EN381" i="40"/>
  <c r="EO380" i="40"/>
  <c r="ED380" i="40"/>
  <c r="EE379" i="40"/>
  <c r="BJ86" i="40"/>
  <c r="BK85" i="40"/>
  <c r="BY116" i="40"/>
  <c r="BZ115" i="40"/>
  <c r="CE115" i="40"/>
  <c r="CD116" i="40"/>
  <c r="CJ78" i="40"/>
  <c r="CI79" i="40"/>
  <c r="BT105" i="40"/>
  <c r="BU104" i="40"/>
  <c r="CX70" i="40"/>
  <c r="CY69" i="40"/>
  <c r="CN87" i="40"/>
  <c r="CO86" i="40"/>
  <c r="BP39" i="40"/>
  <c r="BO40" i="40"/>
  <c r="CS120" i="40"/>
  <c r="CT119" i="40"/>
  <c r="A343" i="23"/>
  <c r="B342" i="23"/>
  <c r="C342" i="23" s="1"/>
  <c r="BE95" i="40" l="1"/>
  <c r="BF94" i="40"/>
  <c r="FS381" i="40"/>
  <c r="FR382" i="40"/>
  <c r="FN378" i="40"/>
  <c r="FM379" i="40"/>
  <c r="FI380" i="40"/>
  <c r="FH381" i="40"/>
  <c r="EN382" i="40"/>
  <c r="EO381" i="40"/>
  <c r="EY383" i="40"/>
  <c r="EX384" i="40"/>
  <c r="FD378" i="40"/>
  <c r="FC379" i="40"/>
  <c r="EI381" i="40"/>
  <c r="EJ380" i="40"/>
  <c r="EE380" i="40"/>
  <c r="ED381" i="40"/>
  <c r="ES381" i="40"/>
  <c r="ET380" i="40"/>
  <c r="BJ87" i="40"/>
  <c r="BK86" i="40"/>
  <c r="CE116" i="40"/>
  <c r="CD117" i="40"/>
  <c r="BY117" i="40"/>
  <c r="BZ116" i="40"/>
  <c r="BT106" i="40"/>
  <c r="BU105" i="40"/>
  <c r="CJ79" i="40"/>
  <c r="CI80" i="40"/>
  <c r="CY70" i="40"/>
  <c r="CX71" i="40"/>
  <c r="CN88" i="40"/>
  <c r="CO87" i="40"/>
  <c r="BO41" i="40"/>
  <c r="BP40" i="40"/>
  <c r="CS121" i="40"/>
  <c r="CT120" i="40"/>
  <c r="B343" i="23"/>
  <c r="C343" i="23" s="1"/>
  <c r="A344" i="23"/>
  <c r="BE96" i="40" l="1"/>
  <c r="BF95" i="40"/>
  <c r="ED382" i="40"/>
  <c r="EE381" i="40"/>
  <c r="FD379" i="40"/>
  <c r="FC380" i="40"/>
  <c r="FN379" i="40"/>
  <c r="FM380" i="40"/>
  <c r="EO382" i="40"/>
  <c r="EN383" i="40"/>
  <c r="EY384" i="40"/>
  <c r="EX385" i="40"/>
  <c r="FI381" i="40"/>
  <c r="FH382" i="40"/>
  <c r="FS382" i="40"/>
  <c r="FR383" i="40"/>
  <c r="ET381" i="40"/>
  <c r="ES382" i="40"/>
  <c r="EI382" i="40"/>
  <c r="EJ381" i="40"/>
  <c r="BJ88" i="40"/>
  <c r="BK87" i="40"/>
  <c r="BY118" i="40"/>
  <c r="BZ117" i="40"/>
  <c r="CD118" i="40"/>
  <c r="CE117" i="40"/>
  <c r="CJ80" i="40"/>
  <c r="CI81" i="40"/>
  <c r="BU106" i="40"/>
  <c r="BT107" i="40"/>
  <c r="CY71" i="40"/>
  <c r="CX72" i="40"/>
  <c r="CO88" i="40"/>
  <c r="CN89" i="40"/>
  <c r="BP41" i="40"/>
  <c r="BO42" i="40"/>
  <c r="CS122" i="40"/>
  <c r="CT121" i="40"/>
  <c r="A345" i="23"/>
  <c r="B344" i="23"/>
  <c r="C344" i="23" s="1"/>
  <c r="BE97" i="40" l="1"/>
  <c r="BF96" i="40"/>
  <c r="ET382" i="40"/>
  <c r="ES383" i="40"/>
  <c r="FI382" i="40"/>
  <c r="FH383" i="40"/>
  <c r="EN384" i="40"/>
  <c r="EO383" i="40"/>
  <c r="FD380" i="40"/>
  <c r="FC381" i="40"/>
  <c r="FS383" i="40"/>
  <c r="FR384" i="40"/>
  <c r="EY385" i="40"/>
  <c r="EX386" i="40"/>
  <c r="FN380" i="40"/>
  <c r="FM381" i="40"/>
  <c r="EJ382" i="40"/>
  <c r="EI383" i="40"/>
  <c r="ED383" i="40"/>
  <c r="EE382" i="40"/>
  <c r="BK88" i="40"/>
  <c r="BJ89" i="40"/>
  <c r="CD119" i="40"/>
  <c r="CE118" i="40"/>
  <c r="BY119" i="40"/>
  <c r="BZ118" i="40"/>
  <c r="BU107" i="40"/>
  <c r="BT108" i="40"/>
  <c r="CJ81" i="40"/>
  <c r="CI82" i="40"/>
  <c r="CX73" i="40"/>
  <c r="CY72" i="40"/>
  <c r="CO89" i="40"/>
  <c r="CN90" i="40"/>
  <c r="BP42" i="40"/>
  <c r="BO43" i="40"/>
  <c r="CS123" i="40"/>
  <c r="CT122" i="40"/>
  <c r="A346" i="23"/>
  <c r="B345" i="23"/>
  <c r="C345" i="23" s="1"/>
  <c r="BE98" i="40" l="1"/>
  <c r="BF97" i="40"/>
  <c r="EJ383" i="40"/>
  <c r="EI384" i="40"/>
  <c r="EY386" i="40"/>
  <c r="EX387" i="40"/>
  <c r="FD381" i="40"/>
  <c r="FC382" i="40"/>
  <c r="FI383" i="40"/>
  <c r="FH384" i="40"/>
  <c r="FN381" i="40"/>
  <c r="FM382" i="40"/>
  <c r="FS384" i="40"/>
  <c r="FR385" i="40"/>
  <c r="ET383" i="40"/>
  <c r="ES384" i="40"/>
  <c r="EE383" i="40"/>
  <c r="ED384" i="40"/>
  <c r="EO384" i="40"/>
  <c r="EN385" i="40"/>
  <c r="BJ90" i="40"/>
  <c r="BK89" i="40"/>
  <c r="BY120" i="40"/>
  <c r="BZ119" i="40"/>
  <c r="CD120" i="40"/>
  <c r="CE119" i="40"/>
  <c r="CJ82" i="40"/>
  <c r="CI83" i="40"/>
  <c r="BT109" i="40"/>
  <c r="BU108" i="40"/>
  <c r="CX74" i="40"/>
  <c r="CY73" i="40"/>
  <c r="CN91" i="40"/>
  <c r="CO90" i="40"/>
  <c r="BP43" i="40"/>
  <c r="BO44" i="40"/>
  <c r="CS124" i="40"/>
  <c r="CT123" i="40"/>
  <c r="A347" i="23"/>
  <c r="B346" i="23"/>
  <c r="C346" i="23" s="1"/>
  <c r="BE99" i="40" l="1"/>
  <c r="BF98" i="40"/>
  <c r="EE384" i="40"/>
  <c r="ED385" i="40"/>
  <c r="FS385" i="40"/>
  <c r="FR386" i="40"/>
  <c r="FH385" i="40"/>
  <c r="FI384" i="40"/>
  <c r="EX388" i="40"/>
  <c r="EY387" i="40"/>
  <c r="EO385" i="40"/>
  <c r="EN386" i="40"/>
  <c r="ES385" i="40"/>
  <c r="ET384" i="40"/>
  <c r="FM383" i="40"/>
  <c r="FN382" i="40"/>
  <c r="FD382" i="40"/>
  <c r="FC383" i="40"/>
  <c r="EI385" i="40"/>
  <c r="EJ384" i="40"/>
  <c r="BK90" i="40"/>
  <c r="BJ91" i="40"/>
  <c r="CE120" i="40"/>
  <c r="CD121" i="40"/>
  <c r="BY121" i="40"/>
  <c r="BZ120" i="40"/>
  <c r="BT110" i="40"/>
  <c r="BU109" i="40"/>
  <c r="CJ83" i="40"/>
  <c r="CI84" i="40"/>
  <c r="CX75" i="40"/>
  <c r="CY74" i="40"/>
  <c r="CO91" i="40"/>
  <c r="CN92" i="40"/>
  <c r="BP44" i="40"/>
  <c r="BO45" i="40"/>
  <c r="CS125" i="40"/>
  <c r="CT124" i="40"/>
  <c r="A348" i="23"/>
  <c r="B347" i="23"/>
  <c r="C347" i="23" s="1"/>
  <c r="BE100" i="40" l="1"/>
  <c r="BF99" i="40"/>
  <c r="FD383" i="40"/>
  <c r="FC384" i="40"/>
  <c r="FS386" i="40"/>
  <c r="FR387" i="40"/>
  <c r="ES386" i="40"/>
  <c r="ET385" i="40"/>
  <c r="EY388" i="40"/>
  <c r="EX389" i="40"/>
  <c r="EN387" i="40"/>
  <c r="EO386" i="40"/>
  <c r="ED386" i="40"/>
  <c r="EE385" i="40"/>
  <c r="EI386" i="40"/>
  <c r="EJ385" i="40"/>
  <c r="FN383" i="40"/>
  <c r="FM384" i="40"/>
  <c r="FI385" i="40"/>
  <c r="FH386" i="40"/>
  <c r="BJ92" i="40"/>
  <c r="BK91" i="40"/>
  <c r="BY122" i="40"/>
  <c r="BZ121" i="40"/>
  <c r="CE121" i="40"/>
  <c r="CD122" i="40"/>
  <c r="CJ84" i="40"/>
  <c r="CI85" i="40"/>
  <c r="BU110" i="40"/>
  <c r="BT111" i="40"/>
  <c r="CY75" i="40"/>
  <c r="CX76" i="40"/>
  <c r="CO92" i="40"/>
  <c r="CN93" i="40"/>
  <c r="BP45" i="40"/>
  <c r="BO46" i="40"/>
  <c r="CT125" i="40"/>
  <c r="CS126" i="40"/>
  <c r="A349" i="23"/>
  <c r="B348" i="23"/>
  <c r="C348" i="23" s="1"/>
  <c r="BE101" i="40" l="1"/>
  <c r="BF100" i="40"/>
  <c r="FN384" i="40"/>
  <c r="FM385" i="40"/>
  <c r="EY389" i="40"/>
  <c r="EX390" i="40"/>
  <c r="FS387" i="40"/>
  <c r="FR388" i="40"/>
  <c r="ED387" i="40"/>
  <c r="EE386" i="40"/>
  <c r="FI386" i="40"/>
  <c r="FH387" i="40"/>
  <c r="FC385" i="40"/>
  <c r="FD384" i="40"/>
  <c r="EI387" i="40"/>
  <c r="EJ386" i="40"/>
  <c r="EN388" i="40"/>
  <c r="EO387" i="40"/>
  <c r="ES387" i="40"/>
  <c r="ET386" i="40"/>
  <c r="BJ93" i="40"/>
  <c r="BK92" i="40"/>
  <c r="CD123" i="40"/>
  <c r="CE122" i="40"/>
  <c r="BY123" i="40"/>
  <c r="BZ122" i="40"/>
  <c r="BU111" i="40"/>
  <c r="BT112" i="40"/>
  <c r="CI86" i="40"/>
  <c r="CJ85" i="40"/>
  <c r="CY76" i="40"/>
  <c r="CX77" i="40"/>
  <c r="CO93" i="40"/>
  <c r="CN94" i="40"/>
  <c r="BP46" i="40"/>
  <c r="BO47" i="40"/>
  <c r="CS127" i="40"/>
  <c r="CT126" i="40"/>
  <c r="A350" i="23"/>
  <c r="B349" i="23"/>
  <c r="C349" i="23" s="1"/>
  <c r="BE102" i="40" l="1"/>
  <c r="BF101" i="40"/>
  <c r="EY390" i="40"/>
  <c r="EX391" i="40"/>
  <c r="EN389" i="40"/>
  <c r="EO388" i="40"/>
  <c r="FD385" i="40"/>
  <c r="FC386" i="40"/>
  <c r="EE387" i="40"/>
  <c r="ED388" i="40"/>
  <c r="FI387" i="40"/>
  <c r="FH388" i="40"/>
  <c r="FR389" i="40"/>
  <c r="FS388" i="40"/>
  <c r="FN385" i="40"/>
  <c r="FM386" i="40"/>
  <c r="ET387" i="40"/>
  <c r="ES388" i="40"/>
  <c r="EJ387" i="40"/>
  <c r="EI388" i="40"/>
  <c r="BJ94" i="40"/>
  <c r="BK93" i="40"/>
  <c r="BY124" i="40"/>
  <c r="BZ123" i="40"/>
  <c r="CE123" i="40"/>
  <c r="CD124" i="40"/>
  <c r="CJ86" i="40"/>
  <c r="CI87" i="40"/>
  <c r="BT113" i="40"/>
  <c r="BU112" i="40"/>
  <c r="CX78" i="40"/>
  <c r="CY77" i="40"/>
  <c r="CN95" i="40"/>
  <c r="CO94" i="40"/>
  <c r="BP47" i="40"/>
  <c r="BO48" i="40"/>
  <c r="CS128" i="40"/>
  <c r="CT127" i="40"/>
  <c r="A351" i="23"/>
  <c r="B350" i="23"/>
  <c r="C350" i="23" s="1"/>
  <c r="BE103" i="40" l="1"/>
  <c r="BF102" i="40"/>
  <c r="ES389" i="40"/>
  <c r="ET388" i="40"/>
  <c r="EE388" i="40"/>
  <c r="ED389" i="40"/>
  <c r="FS389" i="40"/>
  <c r="FR390" i="40"/>
  <c r="EN390" i="40"/>
  <c r="EO389" i="40"/>
  <c r="EI389" i="40"/>
  <c r="EJ388" i="40"/>
  <c r="FN386" i="40"/>
  <c r="FM387" i="40"/>
  <c r="FI388" i="40"/>
  <c r="FH389" i="40"/>
  <c r="FD386" i="40"/>
  <c r="FC387" i="40"/>
  <c r="EY391" i="40"/>
  <c r="EX392" i="40"/>
  <c r="BJ95" i="40"/>
  <c r="BK94" i="40"/>
  <c r="CE124" i="40"/>
  <c r="CD125" i="40"/>
  <c r="BY125" i="40"/>
  <c r="BZ124" i="40"/>
  <c r="BT114" i="40"/>
  <c r="BU113" i="40"/>
  <c r="CI88" i="40"/>
  <c r="CJ87" i="40"/>
  <c r="CX79" i="40"/>
  <c r="CY78" i="40"/>
  <c r="CN96" i="40"/>
  <c r="CO95" i="40"/>
  <c r="BP48" i="40"/>
  <c r="BO49" i="40"/>
  <c r="CS129" i="40"/>
  <c r="CT128" i="40"/>
  <c r="A352" i="23"/>
  <c r="B351" i="23"/>
  <c r="C351" i="23" s="1"/>
  <c r="BE104" i="40" l="1"/>
  <c r="BF103" i="40"/>
  <c r="FD387" i="40"/>
  <c r="FC388" i="40"/>
  <c r="FN387" i="40"/>
  <c r="FM388" i="40"/>
  <c r="ED390" i="40"/>
  <c r="EE389" i="40"/>
  <c r="EO390" i="40"/>
  <c r="EN391" i="40"/>
  <c r="EY392" i="40"/>
  <c r="EX393" i="40"/>
  <c r="FI389" i="40"/>
  <c r="FH390" i="40"/>
  <c r="FS390" i="40"/>
  <c r="FR391" i="40"/>
  <c r="EI390" i="40"/>
  <c r="EJ389" i="40"/>
  <c r="ET389" i="40"/>
  <c r="ES390" i="40"/>
  <c r="BJ96" i="40"/>
  <c r="BK95" i="40"/>
  <c r="BY126" i="40"/>
  <c r="BZ125" i="40"/>
  <c r="CD126" i="40"/>
  <c r="CE125" i="40"/>
  <c r="CJ88" i="40"/>
  <c r="CI89" i="40"/>
  <c r="BU114" i="40"/>
  <c r="BT115" i="40"/>
  <c r="CY79" i="40"/>
  <c r="CX80" i="40"/>
  <c r="CO96" i="40"/>
  <c r="CN97" i="40"/>
  <c r="BO50" i="40"/>
  <c r="BP49" i="40"/>
  <c r="CS130" i="40"/>
  <c r="CT129" i="40"/>
  <c r="A353" i="23"/>
  <c r="B352" i="23"/>
  <c r="C352" i="23" s="1"/>
  <c r="BE105" i="40" l="1"/>
  <c r="BF104" i="40"/>
  <c r="FI390" i="40"/>
  <c r="FH391" i="40"/>
  <c r="EO391" i="40"/>
  <c r="EN392" i="40"/>
  <c r="FN388" i="40"/>
  <c r="FM389" i="40"/>
  <c r="EJ390" i="40"/>
  <c r="EI391" i="40"/>
  <c r="ET390" i="40"/>
  <c r="ES391" i="40"/>
  <c r="FS391" i="40"/>
  <c r="FR392" i="40"/>
  <c r="EY393" i="40"/>
  <c r="EX394" i="40"/>
  <c r="FD388" i="40"/>
  <c r="FC389" i="40"/>
  <c r="EE390" i="40"/>
  <c r="ED391" i="40"/>
  <c r="BJ97" i="40"/>
  <c r="BK96" i="40"/>
  <c r="CD127" i="40"/>
  <c r="CE126" i="40"/>
  <c r="BY127" i="40"/>
  <c r="BZ126" i="40"/>
  <c r="BU115" i="40"/>
  <c r="BT116" i="40"/>
  <c r="CJ89" i="40"/>
  <c r="CI90" i="40"/>
  <c r="CY80" i="40"/>
  <c r="CX81" i="40"/>
  <c r="CO97" i="40"/>
  <c r="CN98" i="40"/>
  <c r="BO51" i="40"/>
  <c r="BP50" i="40"/>
  <c r="CS131" i="40"/>
  <c r="CT130" i="40"/>
  <c r="A354" i="23"/>
  <c r="B353" i="23"/>
  <c r="C353" i="23" s="1"/>
  <c r="BE106" i="40" l="1"/>
  <c r="BF105" i="40"/>
  <c r="FD389" i="40"/>
  <c r="FC390" i="40"/>
  <c r="FS392" i="40"/>
  <c r="FR393" i="40"/>
  <c r="EJ391" i="40"/>
  <c r="EI392" i="40"/>
  <c r="EO392" i="40"/>
  <c r="EN393" i="40"/>
  <c r="EE391" i="40"/>
  <c r="ED392" i="40"/>
  <c r="EY394" i="40"/>
  <c r="EX395" i="40"/>
  <c r="ET391" i="40"/>
  <c r="ES392" i="40"/>
  <c r="FN389" i="40"/>
  <c r="FM390" i="40"/>
  <c r="FI391" i="40"/>
  <c r="FH392" i="40"/>
  <c r="BJ98" i="40"/>
  <c r="BK97" i="40"/>
  <c r="BY128" i="40"/>
  <c r="BZ127" i="40"/>
  <c r="CD128" i="40"/>
  <c r="CE127" i="40"/>
  <c r="CJ90" i="40"/>
  <c r="CI91" i="40"/>
  <c r="BT117" i="40"/>
  <c r="BU116" i="40"/>
  <c r="CY81" i="40"/>
  <c r="CX82" i="40"/>
  <c r="CN99" i="40"/>
  <c r="CO98" i="40"/>
  <c r="BO52" i="40"/>
  <c r="BP51" i="40"/>
  <c r="CS132" i="40"/>
  <c r="CT131" i="40"/>
  <c r="A355" i="23"/>
  <c r="B354" i="23"/>
  <c r="C354" i="23" s="1"/>
  <c r="BE107" i="40" l="1"/>
  <c r="BF106" i="40"/>
  <c r="FN390" i="40"/>
  <c r="FM391" i="40"/>
  <c r="EY395" i="40"/>
  <c r="EX396" i="40"/>
  <c r="EO393" i="40"/>
  <c r="EN394" i="40"/>
  <c r="FS393" i="40"/>
  <c r="FR394" i="40"/>
  <c r="FI392" i="40"/>
  <c r="FH393" i="40"/>
  <c r="ET392" i="40"/>
  <c r="ES393" i="40"/>
  <c r="EE392" i="40"/>
  <c r="ED393" i="40"/>
  <c r="EI393" i="40"/>
  <c r="EJ392" i="40"/>
  <c r="FD390" i="40"/>
  <c r="FC391" i="40"/>
  <c r="BJ99" i="40"/>
  <c r="BK98" i="40"/>
  <c r="CE128" i="40"/>
  <c r="CD129" i="40"/>
  <c r="BY129" i="40"/>
  <c r="BZ128" i="40"/>
  <c r="BU117" i="40"/>
  <c r="BT118" i="40"/>
  <c r="CJ91" i="40"/>
  <c r="CI92" i="40"/>
  <c r="CX83" i="40"/>
  <c r="CY82" i="40"/>
  <c r="CO99" i="40"/>
  <c r="CN100" i="40"/>
  <c r="BP52" i="40"/>
  <c r="BO53" i="40"/>
  <c r="CS133" i="40"/>
  <c r="CT132" i="40"/>
  <c r="A356" i="23"/>
  <c r="B355" i="23"/>
  <c r="C355" i="23" s="1"/>
  <c r="BE108" i="40" l="1"/>
  <c r="BF107" i="40"/>
  <c r="ET393" i="40"/>
  <c r="ES394" i="40"/>
  <c r="FS394" i="40"/>
  <c r="FR395" i="40"/>
  <c r="EY396" i="40"/>
  <c r="EX397" i="40"/>
  <c r="EI394" i="40"/>
  <c r="EJ393" i="40"/>
  <c r="FD391" i="40"/>
  <c r="FC392" i="40"/>
  <c r="ED394" i="40"/>
  <c r="EE393" i="40"/>
  <c r="FI393" i="40"/>
  <c r="FH394" i="40"/>
  <c r="EN395" i="40"/>
  <c r="EO394" i="40"/>
  <c r="FN391" i="40"/>
  <c r="FM392" i="40"/>
  <c r="BJ100" i="40"/>
  <c r="BK99" i="40"/>
  <c r="BY130" i="40"/>
  <c r="BZ129" i="40"/>
  <c r="CD130" i="40"/>
  <c r="CE129" i="40"/>
  <c r="CJ92" i="40"/>
  <c r="CI93" i="40"/>
  <c r="BU118" i="40"/>
  <c r="BT119" i="40"/>
  <c r="CY83" i="40"/>
  <c r="CX84" i="40"/>
  <c r="CO100" i="40"/>
  <c r="CN101" i="40"/>
  <c r="BP53" i="40"/>
  <c r="BO54" i="40"/>
  <c r="CS134" i="40"/>
  <c r="CT133" i="40"/>
  <c r="A357" i="23"/>
  <c r="B356" i="23"/>
  <c r="C356" i="23" s="1"/>
  <c r="BE109" i="40" l="1"/>
  <c r="BF108" i="40"/>
  <c r="FS395" i="40"/>
  <c r="FR396" i="40"/>
  <c r="EN396" i="40"/>
  <c r="EO395" i="40"/>
  <c r="ED395" i="40"/>
  <c r="EE394" i="40"/>
  <c r="EJ394" i="40"/>
  <c r="EI395" i="40"/>
  <c r="FN392" i="40"/>
  <c r="FM393" i="40"/>
  <c r="FI394" i="40"/>
  <c r="FH395" i="40"/>
  <c r="FD392" i="40"/>
  <c r="FC393" i="40"/>
  <c r="EY397" i="40"/>
  <c r="EX398" i="40"/>
  <c r="ET394" i="40"/>
  <c r="ES395" i="40"/>
  <c r="BJ101" i="40"/>
  <c r="BK100" i="40"/>
  <c r="CD131" i="40"/>
  <c r="CE130" i="40"/>
  <c r="BZ130" i="40"/>
  <c r="BY131" i="40"/>
  <c r="BT120" i="40"/>
  <c r="BU119" i="40"/>
  <c r="CJ93" i="40"/>
  <c r="CI94" i="40"/>
  <c r="CY84" i="40"/>
  <c r="CX85" i="40"/>
  <c r="CN102" i="40"/>
  <c r="CO101" i="40"/>
  <c r="BP54" i="40"/>
  <c r="BO55" i="40"/>
  <c r="CS135" i="40"/>
  <c r="CT134" i="40"/>
  <c r="B357" i="23"/>
  <c r="C357" i="23" s="1"/>
  <c r="A358" i="23"/>
  <c r="BE110" i="40" l="1"/>
  <c r="BF109" i="40"/>
  <c r="EY398" i="40"/>
  <c r="EX399" i="40"/>
  <c r="FI395" i="40"/>
  <c r="FH396" i="40"/>
  <c r="EJ395" i="40"/>
  <c r="EI396" i="40"/>
  <c r="EN397" i="40"/>
  <c r="EO396" i="40"/>
  <c r="ET395" i="40"/>
  <c r="ES396" i="40"/>
  <c r="FD393" i="40"/>
  <c r="FC394" i="40"/>
  <c r="FN393" i="40"/>
  <c r="FM394" i="40"/>
  <c r="FS396" i="40"/>
  <c r="FR397" i="40"/>
  <c r="EE395" i="40"/>
  <c r="ED396" i="40"/>
  <c r="BJ102" i="40"/>
  <c r="BK101" i="40"/>
  <c r="BY132" i="40"/>
  <c r="BZ131" i="40"/>
  <c r="CD132" i="40"/>
  <c r="CE131" i="40"/>
  <c r="CJ94" i="40"/>
  <c r="CI95" i="40"/>
  <c r="BU120" i="40"/>
  <c r="BT121" i="40"/>
  <c r="CY85" i="40"/>
  <c r="CX86" i="40"/>
  <c r="CN103" i="40"/>
  <c r="CO102" i="40"/>
  <c r="BO56" i="40"/>
  <c r="BP55" i="40"/>
  <c r="CS136" i="40"/>
  <c r="CT135" i="40"/>
  <c r="A359" i="23"/>
  <c r="B358" i="23"/>
  <c r="C358" i="23" s="1"/>
  <c r="BE111" i="40" l="1"/>
  <c r="BF110" i="40"/>
  <c r="FS397" i="40"/>
  <c r="FR398" i="40"/>
  <c r="FD394" i="40"/>
  <c r="FC395" i="40"/>
  <c r="FI396" i="40"/>
  <c r="FH397" i="40"/>
  <c r="EO397" i="40"/>
  <c r="EN398" i="40"/>
  <c r="EE396" i="40"/>
  <c r="ED397" i="40"/>
  <c r="FN394" i="40"/>
  <c r="FM395" i="40"/>
  <c r="ES397" i="40"/>
  <c r="ET396" i="40"/>
  <c r="EI397" i="40"/>
  <c r="EJ396" i="40"/>
  <c r="EY399" i="40"/>
  <c r="EX400" i="40"/>
  <c r="BJ103" i="40"/>
  <c r="BK102" i="40"/>
  <c r="CE132" i="40"/>
  <c r="CD133" i="40"/>
  <c r="BY133" i="40"/>
  <c r="BZ132" i="40"/>
  <c r="BU121" i="40"/>
  <c r="BT122" i="40"/>
  <c r="CJ95" i="40"/>
  <c r="CI96" i="40"/>
  <c r="CY86" i="40"/>
  <c r="CX87" i="40"/>
  <c r="CN104" i="40"/>
  <c r="CO103" i="40"/>
  <c r="BP56" i="40"/>
  <c r="BO57" i="40"/>
  <c r="CS137" i="40"/>
  <c r="CT136" i="40"/>
  <c r="B359" i="23"/>
  <c r="C359" i="23" s="1"/>
  <c r="A360" i="23"/>
  <c r="BE112" i="40" l="1"/>
  <c r="BF111" i="40"/>
  <c r="FN395" i="40"/>
  <c r="FM396" i="40"/>
  <c r="EO398" i="40"/>
  <c r="EN399" i="40"/>
  <c r="FD395" i="40"/>
  <c r="FC396" i="40"/>
  <c r="EI398" i="40"/>
  <c r="EJ397" i="40"/>
  <c r="EY400" i="40"/>
  <c r="EX401" i="40"/>
  <c r="ED398" i="40"/>
  <c r="EE397" i="40"/>
  <c r="FI397" i="40"/>
  <c r="FH398" i="40"/>
  <c r="FS398" i="40"/>
  <c r="FR399" i="40"/>
  <c r="ES398" i="40"/>
  <c r="ET397" i="40"/>
  <c r="BJ104" i="40"/>
  <c r="BK103" i="40"/>
  <c r="BY134" i="40"/>
  <c r="BZ133" i="40"/>
  <c r="CD134" i="40"/>
  <c r="CE133" i="40"/>
  <c r="CJ96" i="40"/>
  <c r="CI97" i="40"/>
  <c r="BT123" i="40"/>
  <c r="BU122" i="40"/>
  <c r="CX88" i="40"/>
  <c r="CY87" i="40"/>
  <c r="CO104" i="40"/>
  <c r="CN105" i="40"/>
  <c r="BO58" i="40"/>
  <c r="BP57" i="40"/>
  <c r="CS138" i="40"/>
  <c r="CT137" i="40"/>
  <c r="A361" i="23"/>
  <c r="B360" i="23"/>
  <c r="C360" i="23" s="1"/>
  <c r="BF112" i="40" l="1"/>
  <c r="BE113" i="40"/>
  <c r="FS399" i="40"/>
  <c r="FR400" i="40"/>
  <c r="EO399" i="40"/>
  <c r="EN400" i="40"/>
  <c r="ED399" i="40"/>
  <c r="EE398" i="40"/>
  <c r="EI399" i="40"/>
  <c r="EJ398" i="40"/>
  <c r="FI398" i="40"/>
  <c r="FH399" i="40"/>
  <c r="EY401" i="40"/>
  <c r="EX402" i="40"/>
  <c r="FD396" i="40"/>
  <c r="FC397" i="40"/>
  <c r="FM397" i="40"/>
  <c r="FN396" i="40"/>
  <c r="ET398" i="40"/>
  <c r="ES399" i="40"/>
  <c r="BJ105" i="40"/>
  <c r="BK104" i="40"/>
  <c r="CD135" i="40"/>
  <c r="CE134" i="40"/>
  <c r="BY135" i="40"/>
  <c r="BZ134" i="40"/>
  <c r="BT124" i="40"/>
  <c r="BU123" i="40"/>
  <c r="CJ97" i="40"/>
  <c r="CI98" i="40"/>
  <c r="CX89" i="40"/>
  <c r="CY88" i="40"/>
  <c r="CO105" i="40"/>
  <c r="CN106" i="40"/>
  <c r="BO59" i="40"/>
  <c r="BP58" i="40"/>
  <c r="CS139" i="40"/>
  <c r="CT138" i="40"/>
  <c r="A362" i="23"/>
  <c r="B361" i="23"/>
  <c r="C361" i="23" s="1"/>
  <c r="BF113" i="40" l="1"/>
  <c r="BE114" i="40"/>
  <c r="EY402" i="40"/>
  <c r="EX403" i="40"/>
  <c r="EO400" i="40"/>
  <c r="EN401" i="40"/>
  <c r="FN397" i="40"/>
  <c r="FM398" i="40"/>
  <c r="EJ399" i="40"/>
  <c r="EI400" i="40"/>
  <c r="ET399" i="40"/>
  <c r="ES400" i="40"/>
  <c r="FD397" i="40"/>
  <c r="FC398" i="40"/>
  <c r="FI399" i="40"/>
  <c r="FH400" i="40"/>
  <c r="FS400" i="40"/>
  <c r="FR401" i="40"/>
  <c r="EE399" i="40"/>
  <c r="ED400" i="40"/>
  <c r="BJ106" i="40"/>
  <c r="BK105" i="40"/>
  <c r="BY136" i="40"/>
  <c r="BZ135" i="40"/>
  <c r="CE135" i="40"/>
  <c r="CD136" i="40"/>
  <c r="CJ98" i="40"/>
  <c r="CI99" i="40"/>
  <c r="BT125" i="40"/>
  <c r="BU124" i="40"/>
  <c r="CY89" i="40"/>
  <c r="CX90" i="40"/>
  <c r="CN107" i="40"/>
  <c r="CO106" i="40"/>
  <c r="BO60" i="40"/>
  <c r="BP59" i="40"/>
  <c r="CS140" i="40"/>
  <c r="CT139" i="40"/>
  <c r="A363" i="23"/>
  <c r="B362" i="23"/>
  <c r="C362" i="23" s="1"/>
  <c r="BE115" i="40" l="1"/>
  <c r="BF114" i="40"/>
  <c r="FS401" i="40"/>
  <c r="FR402" i="40"/>
  <c r="FC399" i="40"/>
  <c r="FD398" i="40"/>
  <c r="EJ400" i="40"/>
  <c r="EI401" i="40"/>
  <c r="EO401" i="40"/>
  <c r="EN402" i="40"/>
  <c r="EE400" i="40"/>
  <c r="ED401" i="40"/>
  <c r="FI400" i="40"/>
  <c r="FH401" i="40"/>
  <c r="ES401" i="40"/>
  <c r="ET400" i="40"/>
  <c r="FN398" i="40"/>
  <c r="FM399" i="40"/>
  <c r="EY403" i="40"/>
  <c r="EX404" i="40"/>
  <c r="BJ107" i="40"/>
  <c r="BK106" i="40"/>
  <c r="CE136" i="40"/>
  <c r="CD137" i="40"/>
  <c r="BY137" i="40"/>
  <c r="BZ136" i="40"/>
  <c r="BT126" i="40"/>
  <c r="BU125" i="40"/>
  <c r="CJ99" i="40"/>
  <c r="CI100" i="40"/>
  <c r="CX91" i="40"/>
  <c r="CY90" i="40"/>
  <c r="CO107" i="40"/>
  <c r="CN108" i="40"/>
  <c r="BO61" i="40"/>
  <c r="BP60" i="40"/>
  <c r="CT140" i="40"/>
  <c r="CS141" i="40"/>
  <c r="A364" i="23"/>
  <c r="B363" i="23"/>
  <c r="C363" i="23" s="1"/>
  <c r="BE116" i="40" l="1"/>
  <c r="BF115" i="40"/>
  <c r="FN399" i="40"/>
  <c r="FM400" i="40"/>
  <c r="FI401" i="40"/>
  <c r="FH402" i="40"/>
  <c r="EN403" i="40"/>
  <c r="EO402" i="40"/>
  <c r="FC400" i="40"/>
  <c r="FD399" i="40"/>
  <c r="EY404" i="40"/>
  <c r="EX405" i="40"/>
  <c r="ED402" i="40"/>
  <c r="EE401" i="40"/>
  <c r="EI402" i="40"/>
  <c r="EJ401" i="40"/>
  <c r="FS402" i="40"/>
  <c r="FR403" i="40"/>
  <c r="ES402" i="40"/>
  <c r="ET401" i="40"/>
  <c r="BJ108" i="40"/>
  <c r="BK107" i="40"/>
  <c r="BY138" i="40"/>
  <c r="BZ137" i="40"/>
  <c r="CE137" i="40"/>
  <c r="CD138" i="40"/>
  <c r="CJ100" i="40"/>
  <c r="CI101" i="40"/>
  <c r="BT127" i="40"/>
  <c r="BU126" i="40"/>
  <c r="CY91" i="40"/>
  <c r="CX92" i="40"/>
  <c r="CO108" i="40"/>
  <c r="CN109" i="40"/>
  <c r="BP61" i="40"/>
  <c r="BO62" i="40"/>
  <c r="CT141" i="40"/>
  <c r="CS142" i="40"/>
  <c r="A365" i="23"/>
  <c r="B364" i="23"/>
  <c r="C364" i="23" s="1"/>
  <c r="BF116" i="40" l="1"/>
  <c r="BE117" i="40"/>
  <c r="FS403" i="40"/>
  <c r="FR404" i="40"/>
  <c r="FI402" i="40"/>
  <c r="FH403" i="40"/>
  <c r="ED403" i="40"/>
  <c r="EE402" i="40"/>
  <c r="FC401" i="40"/>
  <c r="FD400" i="40"/>
  <c r="EY405" i="40"/>
  <c r="EX406" i="40"/>
  <c r="FN400" i="40"/>
  <c r="FM401" i="40"/>
  <c r="ET402" i="40"/>
  <c r="ES403" i="40"/>
  <c r="EI403" i="40"/>
  <c r="EJ402" i="40"/>
  <c r="EN404" i="40"/>
  <c r="EO403" i="40"/>
  <c r="BJ109" i="40"/>
  <c r="BK108" i="40"/>
  <c r="CD139" i="40"/>
  <c r="CE138" i="40"/>
  <c r="BY139" i="40"/>
  <c r="BZ138" i="40"/>
  <c r="BU127" i="40"/>
  <c r="BT128" i="40"/>
  <c r="CJ101" i="40"/>
  <c r="CI102" i="40"/>
  <c r="CX93" i="40"/>
  <c r="CY92" i="40"/>
  <c r="CO109" i="40"/>
  <c r="CN110" i="40"/>
  <c r="BP62" i="40"/>
  <c r="BO63" i="40"/>
  <c r="CT142" i="40"/>
  <c r="CS143" i="40"/>
  <c r="A366" i="23"/>
  <c r="B365" i="23"/>
  <c r="C365" i="23" s="1"/>
  <c r="BE118" i="40" l="1"/>
  <c r="BF117" i="40"/>
  <c r="FN401" i="40"/>
  <c r="FM402" i="40"/>
  <c r="FI403" i="40"/>
  <c r="FH404" i="40"/>
  <c r="EJ403" i="40"/>
  <c r="EI404" i="40"/>
  <c r="FD401" i="40"/>
  <c r="FC402" i="40"/>
  <c r="ET403" i="40"/>
  <c r="ES404" i="40"/>
  <c r="EY406" i="40"/>
  <c r="EX407" i="40"/>
  <c r="EY407" i="40" s="1"/>
  <c r="FS404" i="40"/>
  <c r="FR405" i="40"/>
  <c r="EN405" i="40"/>
  <c r="EO404" i="40"/>
  <c r="EE403" i="40"/>
  <c r="ED404" i="40"/>
  <c r="BJ110" i="40"/>
  <c r="BK109" i="40"/>
  <c r="BY140" i="40"/>
  <c r="BZ139" i="40"/>
  <c r="CE139" i="40"/>
  <c r="CD140" i="40"/>
  <c r="CJ102" i="40"/>
  <c r="CI103" i="40"/>
  <c r="BT129" i="40"/>
  <c r="BU128" i="40"/>
  <c r="CY93" i="40"/>
  <c r="CX94" i="40"/>
  <c r="CO110" i="40"/>
  <c r="CN111" i="40"/>
  <c r="BO64" i="40"/>
  <c r="BP63" i="40"/>
  <c r="CT143" i="40"/>
  <c r="CS144" i="40"/>
  <c r="A367" i="23"/>
  <c r="B366" i="23"/>
  <c r="C366" i="23" s="1"/>
  <c r="BE119" i="40" l="1"/>
  <c r="BF118" i="40"/>
  <c r="FC403" i="40"/>
  <c r="FD402" i="40"/>
  <c r="FI404" i="40"/>
  <c r="FH405" i="40"/>
  <c r="EN406" i="40"/>
  <c r="EO405" i="40"/>
  <c r="ED405" i="40"/>
  <c r="EE404" i="40"/>
  <c r="FS405" i="40"/>
  <c r="FR406" i="40"/>
  <c r="ES405" i="40"/>
  <c r="ET404" i="40"/>
  <c r="EJ404" i="40"/>
  <c r="EI405" i="40"/>
  <c r="FN402" i="40"/>
  <c r="FM403" i="40"/>
  <c r="BJ111" i="40"/>
  <c r="BK110" i="40"/>
  <c r="CE140" i="40"/>
  <c r="CD141" i="40"/>
  <c r="BY141" i="40"/>
  <c r="BZ140" i="40"/>
  <c r="BT130" i="40"/>
  <c r="BU129" i="40"/>
  <c r="CJ103" i="40"/>
  <c r="CI104" i="40"/>
  <c r="CX95" i="40"/>
  <c r="CY94" i="40"/>
  <c r="CO111" i="40"/>
  <c r="CN112" i="40"/>
  <c r="BP64" i="40"/>
  <c r="BO65" i="40"/>
  <c r="CT144" i="40"/>
  <c r="CS145" i="40"/>
  <c r="A368" i="23"/>
  <c r="B367" i="23"/>
  <c r="C367" i="23" s="1"/>
  <c r="BE120" i="40" l="1"/>
  <c r="BF119" i="40"/>
  <c r="FN403" i="40"/>
  <c r="FM404" i="40"/>
  <c r="FI405" i="40"/>
  <c r="FH406" i="40"/>
  <c r="ES406" i="40"/>
  <c r="ET405" i="40"/>
  <c r="ED406" i="40"/>
  <c r="EE405" i="40"/>
  <c r="EI406" i="40"/>
  <c r="EJ405" i="40"/>
  <c r="FS406" i="40"/>
  <c r="FR407" i="40"/>
  <c r="FS407" i="40" s="1"/>
  <c r="EO406" i="40"/>
  <c r="EN407" i="40"/>
  <c r="EO407" i="40" s="1"/>
  <c r="FD403" i="40"/>
  <c r="FC404" i="40"/>
  <c r="BJ112" i="40"/>
  <c r="BK111" i="40"/>
  <c r="BY142" i="40"/>
  <c r="BZ141" i="40"/>
  <c r="CD142" i="40"/>
  <c r="CE141" i="40"/>
  <c r="CJ104" i="40"/>
  <c r="CI105" i="40"/>
  <c r="BT131" i="40"/>
  <c r="BU130" i="40"/>
  <c r="CY95" i="40"/>
  <c r="CX96" i="40"/>
  <c r="CO112" i="40"/>
  <c r="CN113" i="40"/>
  <c r="BO66" i="40"/>
  <c r="BP65" i="40"/>
  <c r="CT145" i="40"/>
  <c r="CS146" i="40"/>
  <c r="A369" i="23"/>
  <c r="B368" i="23"/>
  <c r="C368" i="23" s="1"/>
  <c r="BE121" i="40" l="1"/>
  <c r="BF120" i="40"/>
  <c r="FD404" i="40"/>
  <c r="FC405" i="40"/>
  <c r="FI406" i="40"/>
  <c r="FH407" i="40"/>
  <c r="FI407" i="40" s="1"/>
  <c r="ED407" i="40"/>
  <c r="EE407" i="40" s="1"/>
  <c r="EE406" i="40"/>
  <c r="FN404" i="40"/>
  <c r="FM405" i="40"/>
  <c r="EI407" i="40"/>
  <c r="EJ407" i="40" s="1"/>
  <c r="EJ406" i="40"/>
  <c r="ET406" i="40"/>
  <c r="ES407" i="40"/>
  <c r="ET407" i="40" s="1"/>
  <c r="BJ113" i="40"/>
  <c r="BK112" i="40"/>
  <c r="CD143" i="40"/>
  <c r="CE142" i="40"/>
  <c r="BY143" i="40"/>
  <c r="BZ142" i="40"/>
  <c r="BT132" i="40"/>
  <c r="BU131" i="40"/>
  <c r="CJ105" i="40"/>
  <c r="CI106" i="40"/>
  <c r="CX97" i="40"/>
  <c r="CY96" i="40"/>
  <c r="CO113" i="40"/>
  <c r="CN114" i="40"/>
  <c r="BP66" i="40"/>
  <c r="BO67" i="40"/>
  <c r="CT146" i="40"/>
  <c r="CS147" i="40"/>
  <c r="A370" i="23"/>
  <c r="B369" i="23"/>
  <c r="C369" i="23" s="1"/>
  <c r="BE122" i="40" l="1"/>
  <c r="BF121" i="40"/>
  <c r="FN405" i="40"/>
  <c r="FM406" i="40"/>
  <c r="FD405" i="40"/>
  <c r="FC406" i="40"/>
  <c r="BK113" i="40"/>
  <c r="BJ114" i="40"/>
  <c r="BY144" i="40"/>
  <c r="BZ143" i="40"/>
  <c r="CD144" i="40"/>
  <c r="CE143" i="40"/>
  <c r="CJ106" i="40"/>
  <c r="CI107" i="40"/>
  <c r="BU132" i="40"/>
  <c r="BT133" i="40"/>
  <c r="CY97" i="40"/>
  <c r="CX98" i="40"/>
  <c r="CO114" i="40"/>
  <c r="CN115" i="40"/>
  <c r="BP67" i="40"/>
  <c r="BO68" i="40"/>
  <c r="CT147" i="40"/>
  <c r="CS148" i="40"/>
  <c r="A371" i="23"/>
  <c r="B370" i="23"/>
  <c r="C370" i="23" s="1"/>
  <c r="BE123" i="40" l="1"/>
  <c r="BF122" i="40"/>
  <c r="FC407" i="40"/>
  <c r="FD407" i="40" s="1"/>
  <c r="FD406" i="40"/>
  <c r="FN406" i="40"/>
  <c r="FM407" i="40"/>
  <c r="FN407" i="40" s="1"/>
  <c r="BK114" i="40"/>
  <c r="BJ115" i="40"/>
  <c r="CE144" i="40"/>
  <c r="CD145" i="40"/>
  <c r="BY145" i="40"/>
  <c r="BZ144" i="40"/>
  <c r="BU133" i="40"/>
  <c r="BT134" i="40"/>
  <c r="CJ107" i="40"/>
  <c r="CI108" i="40"/>
  <c r="CX99" i="40"/>
  <c r="CY98" i="40"/>
  <c r="CN116" i="40"/>
  <c r="CO115" i="40"/>
  <c r="BP68" i="40"/>
  <c r="BO69" i="40"/>
  <c r="CT148" i="40"/>
  <c r="CS149" i="40"/>
  <c r="A372" i="23"/>
  <c r="B371" i="23"/>
  <c r="C371" i="23" s="1"/>
  <c r="BE124" i="40" l="1"/>
  <c r="BF123" i="40"/>
  <c r="BJ116" i="40"/>
  <c r="BK115" i="40"/>
  <c r="BY146" i="40"/>
  <c r="BZ145" i="40"/>
  <c r="CD146" i="40"/>
  <c r="CE145" i="40"/>
  <c r="CJ108" i="40"/>
  <c r="CI109" i="40"/>
  <c r="BT135" i="40"/>
  <c r="BU134" i="40"/>
  <c r="CX100" i="40"/>
  <c r="CY99" i="40"/>
  <c r="CO116" i="40"/>
  <c r="CN117" i="40"/>
  <c r="BP69" i="40"/>
  <c r="BO70" i="40"/>
  <c r="CT149" i="40"/>
  <c r="CS150" i="40"/>
  <c r="A373" i="23"/>
  <c r="B372" i="23"/>
  <c r="C372" i="23" s="1"/>
  <c r="BE125" i="40" l="1"/>
  <c r="BF124" i="40"/>
  <c r="BJ117" i="40"/>
  <c r="BK116" i="40"/>
  <c r="CD147" i="40"/>
  <c r="CE146" i="40"/>
  <c r="BY147" i="40"/>
  <c r="BZ146" i="40"/>
  <c r="BT136" i="40"/>
  <c r="BU135" i="40"/>
  <c r="CJ109" i="40"/>
  <c r="CI110" i="40"/>
  <c r="CY100" i="40"/>
  <c r="CX101" i="40"/>
  <c r="CO117" i="40"/>
  <c r="CN118" i="40"/>
  <c r="BO71" i="40"/>
  <c r="BP70" i="40"/>
  <c r="CT150" i="40"/>
  <c r="CS151" i="40"/>
  <c r="B373" i="23"/>
  <c r="C373" i="23" s="1"/>
  <c r="A374" i="23"/>
  <c r="BE126" i="40" l="1"/>
  <c r="BF125" i="40"/>
  <c r="BJ118" i="40"/>
  <c r="BK117" i="40"/>
  <c r="BZ147" i="40"/>
  <c r="BY148" i="40"/>
  <c r="CE147" i="40"/>
  <c r="CD148" i="40"/>
  <c r="CI111" i="40"/>
  <c r="CJ110" i="40"/>
  <c r="BT137" i="40"/>
  <c r="BU136" i="40"/>
  <c r="CX102" i="40"/>
  <c r="CY101" i="40"/>
  <c r="CN119" i="40"/>
  <c r="CO118" i="40"/>
  <c r="BO72" i="40"/>
  <c r="BP71" i="40"/>
  <c r="CT151" i="40"/>
  <c r="CS152" i="40"/>
  <c r="A375" i="23"/>
  <c r="B374" i="23"/>
  <c r="C374" i="23" s="1"/>
  <c r="BE127" i="40" l="1"/>
  <c r="BF126" i="40"/>
  <c r="BJ119" i="40"/>
  <c r="BK118" i="40"/>
  <c r="CE148" i="40"/>
  <c r="CD149" i="40"/>
  <c r="BZ148" i="40"/>
  <c r="BY149" i="40"/>
  <c r="BT138" i="40"/>
  <c r="BU137" i="40"/>
  <c r="CJ111" i="40"/>
  <c r="CI112" i="40"/>
  <c r="CX103" i="40"/>
  <c r="CY102" i="40"/>
  <c r="CO119" i="40"/>
  <c r="CN120" i="40"/>
  <c r="BO73" i="40"/>
  <c r="BP72" i="40"/>
  <c r="CT152" i="40"/>
  <c r="CS153" i="40"/>
  <c r="B375" i="23"/>
  <c r="C375" i="23" s="1"/>
  <c r="A376" i="23"/>
  <c r="BE128" i="40" l="1"/>
  <c r="BF127" i="40"/>
  <c r="BJ120" i="40"/>
  <c r="BK119" i="40"/>
  <c r="BZ149" i="40"/>
  <c r="BY150" i="40"/>
  <c r="CD150" i="40"/>
  <c r="CE149" i="40"/>
  <c r="CI113" i="40"/>
  <c r="CJ112" i="40"/>
  <c r="BT139" i="40"/>
  <c r="BU138" i="40"/>
  <c r="CX104" i="40"/>
  <c r="CY103" i="40"/>
  <c r="CN121" i="40"/>
  <c r="CO120" i="40"/>
  <c r="BP73" i="40"/>
  <c r="BO74" i="40"/>
  <c r="CT153" i="40"/>
  <c r="CS154" i="40"/>
  <c r="A377" i="23"/>
  <c r="B376" i="23"/>
  <c r="C376" i="23" s="1"/>
  <c r="BE129" i="40" l="1"/>
  <c r="BF128" i="40"/>
  <c r="BJ121" i="40"/>
  <c r="BK120" i="40"/>
  <c r="CD151" i="40"/>
  <c r="CE150" i="40"/>
  <c r="BZ150" i="40"/>
  <c r="BY151" i="40"/>
  <c r="BT140" i="40"/>
  <c r="BU139" i="40"/>
  <c r="CI114" i="40"/>
  <c r="CJ113" i="40"/>
  <c r="CY104" i="40"/>
  <c r="CX105" i="40"/>
  <c r="CO121" i="40"/>
  <c r="CN122" i="40"/>
  <c r="BO75" i="40"/>
  <c r="BP74" i="40"/>
  <c r="CT154" i="40"/>
  <c r="CS155" i="40"/>
  <c r="A378" i="23"/>
  <c r="B377" i="23"/>
  <c r="C377" i="23" s="1"/>
  <c r="BE130" i="40" l="1"/>
  <c r="BF129" i="40"/>
  <c r="BJ122" i="40"/>
  <c r="BK121" i="40"/>
  <c r="BZ151" i="40"/>
  <c r="BY152" i="40"/>
  <c r="CE151" i="40"/>
  <c r="CD152" i="40"/>
  <c r="CI115" i="40"/>
  <c r="CJ114" i="40"/>
  <c r="BU140" i="40"/>
  <c r="BT141" i="40"/>
  <c r="CY105" i="40"/>
  <c r="CX106" i="40"/>
  <c r="CN123" i="40"/>
  <c r="CO122" i="40"/>
  <c r="BP75" i="40"/>
  <c r="BO76" i="40"/>
  <c r="CT155" i="40"/>
  <c r="CS156" i="40"/>
  <c r="A379" i="23"/>
  <c r="B378" i="23"/>
  <c r="C378" i="23" s="1"/>
  <c r="BE131" i="40" l="1"/>
  <c r="BF130" i="40"/>
  <c r="BJ123" i="40"/>
  <c r="BK122" i="40"/>
  <c r="CE152" i="40"/>
  <c r="CD153" i="40"/>
  <c r="BZ152" i="40"/>
  <c r="BY153" i="40"/>
  <c r="BT142" i="40"/>
  <c r="BU141" i="40"/>
  <c r="CI116" i="40"/>
  <c r="CJ115" i="40"/>
  <c r="CX107" i="40"/>
  <c r="CY106" i="40"/>
  <c r="CN124" i="40"/>
  <c r="CO123" i="40"/>
  <c r="BO77" i="40"/>
  <c r="BP76" i="40"/>
  <c r="CT156" i="40"/>
  <c r="CS157" i="40"/>
  <c r="A380" i="23"/>
  <c r="B379" i="23"/>
  <c r="C379" i="23" s="1"/>
  <c r="BE132" i="40" l="1"/>
  <c r="BF131" i="40"/>
  <c r="BJ124" i="40"/>
  <c r="BK123" i="40"/>
  <c r="BZ153" i="40"/>
  <c r="BY154" i="40"/>
  <c r="CD154" i="40"/>
  <c r="CE153" i="40"/>
  <c r="CI117" i="40"/>
  <c r="CJ116" i="40"/>
  <c r="BT143" i="40"/>
  <c r="BU142" i="40"/>
  <c r="CX108" i="40"/>
  <c r="CY107" i="40"/>
  <c r="CN125" i="40"/>
  <c r="CO124" i="40"/>
  <c r="BO78" i="40"/>
  <c r="BP77" i="40"/>
  <c r="CT157" i="40"/>
  <c r="CS158" i="40"/>
  <c r="A381" i="23"/>
  <c r="B380" i="23"/>
  <c r="C380" i="23" s="1"/>
  <c r="BE133" i="40" l="1"/>
  <c r="BF132" i="40"/>
  <c r="BJ125" i="40"/>
  <c r="BK124" i="40"/>
  <c r="CD155" i="40"/>
  <c r="CE154" i="40"/>
  <c r="BZ154" i="40"/>
  <c r="BY155" i="40"/>
  <c r="BU143" i="40"/>
  <c r="BT144" i="40"/>
  <c r="CI118" i="40"/>
  <c r="CJ117" i="40"/>
  <c r="CX109" i="40"/>
  <c r="CY108" i="40"/>
  <c r="CN126" i="40"/>
  <c r="CO125" i="40"/>
  <c r="BO79" i="40"/>
  <c r="BP78" i="40"/>
  <c r="CT158" i="40"/>
  <c r="CS159" i="40"/>
  <c r="B381" i="23"/>
  <c r="C381" i="23" s="1"/>
  <c r="A382" i="23"/>
  <c r="BE134" i="40" l="1"/>
  <c r="BF133" i="40"/>
  <c r="BJ126" i="40"/>
  <c r="BK125" i="40"/>
  <c r="BZ155" i="40"/>
  <c r="BY156" i="40"/>
  <c r="CE155" i="40"/>
  <c r="CD156" i="40"/>
  <c r="CJ118" i="40"/>
  <c r="CI119" i="40"/>
  <c r="BT145" i="40"/>
  <c r="BU144" i="40"/>
  <c r="CX110" i="40"/>
  <c r="CY109" i="40"/>
  <c r="CN127" i="40"/>
  <c r="CO126" i="40"/>
  <c r="BO80" i="40"/>
  <c r="BP79" i="40"/>
  <c r="CT159" i="40"/>
  <c r="CS160" i="40"/>
  <c r="B382" i="23"/>
  <c r="C382" i="23" s="1"/>
  <c r="A383" i="23"/>
  <c r="BE135" i="40" l="1"/>
  <c r="BF134" i="40"/>
  <c r="BK126" i="40"/>
  <c r="BJ127" i="40"/>
  <c r="CE156" i="40"/>
  <c r="CD157" i="40"/>
  <c r="BZ156" i="40"/>
  <c r="BY157" i="40"/>
  <c r="BT146" i="40"/>
  <c r="BU145" i="40"/>
  <c r="CI120" i="40"/>
  <c r="CJ119" i="40"/>
  <c r="CX111" i="40"/>
  <c r="CY110" i="40"/>
  <c r="CN128" i="40"/>
  <c r="CO127" i="40"/>
  <c r="BO81" i="40"/>
  <c r="BP80" i="40"/>
  <c r="CT160" i="40"/>
  <c r="CS161" i="40"/>
  <c r="A384" i="23"/>
  <c r="B383" i="23"/>
  <c r="C383" i="23" s="1"/>
  <c r="BE136" i="40" l="1"/>
  <c r="BF135" i="40"/>
  <c r="BJ128" i="40"/>
  <c r="BK127" i="40"/>
  <c r="BZ157" i="40"/>
  <c r="BY158" i="40"/>
  <c r="CD158" i="40"/>
  <c r="CE157" i="40"/>
  <c r="CI121" i="40"/>
  <c r="CJ120" i="40"/>
  <c r="BT147" i="40"/>
  <c r="BU146" i="40"/>
  <c r="CY111" i="40"/>
  <c r="CX112" i="40"/>
  <c r="CN129" i="40"/>
  <c r="CO128" i="40"/>
  <c r="BP81" i="40"/>
  <c r="BO82" i="40"/>
  <c r="CT161" i="40"/>
  <c r="CS162" i="40"/>
  <c r="B384" i="23"/>
  <c r="C384" i="23" s="1"/>
  <c r="A385" i="23"/>
  <c r="BE137" i="40" l="1"/>
  <c r="BF136" i="40"/>
  <c r="BJ129" i="40"/>
  <c r="BK128" i="40"/>
  <c r="CD159" i="40"/>
  <c r="CE158" i="40"/>
  <c r="BZ158" i="40"/>
  <c r="BY159" i="40"/>
  <c r="BT148" i="40"/>
  <c r="BU147" i="40"/>
  <c r="CI122" i="40"/>
  <c r="CJ121" i="40"/>
  <c r="CX113" i="40"/>
  <c r="CY112" i="40"/>
  <c r="CO129" i="40"/>
  <c r="CN130" i="40"/>
  <c r="BP82" i="40"/>
  <c r="BO83" i="40"/>
  <c r="CT162" i="40"/>
  <c r="CS163" i="40"/>
  <c r="A386" i="23"/>
  <c r="B385" i="23"/>
  <c r="C385" i="23" s="1"/>
  <c r="BE138" i="40" l="1"/>
  <c r="BF137" i="40"/>
  <c r="BJ130" i="40"/>
  <c r="BK129" i="40"/>
  <c r="BZ159" i="40"/>
  <c r="BY160" i="40"/>
  <c r="CD160" i="40"/>
  <c r="CE159" i="40"/>
  <c r="CI123" i="40"/>
  <c r="CJ122" i="40"/>
  <c r="BT149" i="40"/>
  <c r="BU148" i="40"/>
  <c r="CX114" i="40"/>
  <c r="CY113" i="40"/>
  <c r="CN131" i="40"/>
  <c r="CO130" i="40"/>
  <c r="BP83" i="40"/>
  <c r="BO84" i="40"/>
  <c r="CT163" i="40"/>
  <c r="CS164" i="40"/>
  <c r="B386" i="23"/>
  <c r="C386" i="23" s="1"/>
  <c r="A387" i="23"/>
  <c r="BE139" i="40" l="1"/>
  <c r="BF138" i="40"/>
  <c r="BJ131" i="40"/>
  <c r="BK130" i="40"/>
  <c r="CD161" i="40"/>
  <c r="CE160" i="40"/>
  <c r="BY161" i="40"/>
  <c r="BZ160" i="40"/>
  <c r="BT150" i="40"/>
  <c r="BU149" i="40"/>
  <c r="CI124" i="40"/>
  <c r="CJ123" i="40"/>
  <c r="CX115" i="40"/>
  <c r="CY114" i="40"/>
  <c r="CN132" i="40"/>
  <c r="CO131" i="40"/>
  <c r="BP84" i="40"/>
  <c r="BO85" i="40"/>
  <c r="CT164" i="40"/>
  <c r="CS165" i="40"/>
  <c r="A388" i="23"/>
  <c r="B387" i="23"/>
  <c r="C387" i="23" s="1"/>
  <c r="BE140" i="40" l="1"/>
  <c r="BF139" i="40"/>
  <c r="BJ132" i="40"/>
  <c r="BK131" i="40"/>
  <c r="BY162" i="40"/>
  <c r="BZ161" i="40"/>
  <c r="CD162" i="40"/>
  <c r="CE161" i="40"/>
  <c r="CI125" i="40"/>
  <c r="CJ124" i="40"/>
  <c r="BT151" i="40"/>
  <c r="BU150" i="40"/>
  <c r="CX116" i="40"/>
  <c r="CY115" i="40"/>
  <c r="CN133" i="40"/>
  <c r="CO132" i="40"/>
  <c r="BP85" i="40"/>
  <c r="BO86" i="40"/>
  <c r="CS166" i="40"/>
  <c r="CT165" i="40"/>
  <c r="A389" i="23"/>
  <c r="B388" i="23"/>
  <c r="C388" i="23" s="1"/>
  <c r="BE141" i="40" l="1"/>
  <c r="BF140" i="40"/>
  <c r="BJ133" i="40"/>
  <c r="BK132" i="40"/>
  <c r="CD163" i="40"/>
  <c r="CE162" i="40"/>
  <c r="BY163" i="40"/>
  <c r="BZ162" i="40"/>
  <c r="BT152" i="40"/>
  <c r="BU151" i="40"/>
  <c r="CI126" i="40"/>
  <c r="CJ125" i="40"/>
  <c r="CX117" i="40"/>
  <c r="CY116" i="40"/>
  <c r="CN134" i="40"/>
  <c r="CO133" i="40"/>
  <c r="BO87" i="40"/>
  <c r="BP86" i="40"/>
  <c r="CT166" i="40"/>
  <c r="CS167" i="40"/>
  <c r="A390" i="23"/>
  <c r="B389" i="23"/>
  <c r="C389" i="23" s="1"/>
  <c r="BE142" i="40" l="1"/>
  <c r="BF141" i="40"/>
  <c r="BJ134" i="40"/>
  <c r="BK133" i="40"/>
  <c r="BY164" i="40"/>
  <c r="BZ163" i="40"/>
  <c r="CE163" i="40"/>
  <c r="CD164" i="40"/>
  <c r="CI127" i="40"/>
  <c r="CJ126" i="40"/>
  <c r="BT153" i="40"/>
  <c r="BU152" i="40"/>
  <c r="CX118" i="40"/>
  <c r="CY117" i="40"/>
  <c r="CO134" i="40"/>
  <c r="CN135" i="40"/>
  <c r="BP87" i="40"/>
  <c r="BO88" i="40"/>
  <c r="CT167" i="40"/>
  <c r="CS168" i="40"/>
  <c r="A391" i="23"/>
  <c r="B390" i="23"/>
  <c r="C390" i="23" s="1"/>
  <c r="BE143" i="40" l="1"/>
  <c r="BF142" i="40"/>
  <c r="BJ135" i="40"/>
  <c r="BK134" i="40"/>
  <c r="CE164" i="40"/>
  <c r="CD165" i="40"/>
  <c r="BY165" i="40"/>
  <c r="BZ164" i="40"/>
  <c r="BT154" i="40"/>
  <c r="BU153" i="40"/>
  <c r="CI128" i="40"/>
  <c r="CJ127" i="40"/>
  <c r="CY118" i="40"/>
  <c r="CX119" i="40"/>
  <c r="CN136" i="40"/>
  <c r="CO135" i="40"/>
  <c r="BP88" i="40"/>
  <c r="BO89" i="40"/>
  <c r="CT168" i="40"/>
  <c r="CS169" i="40"/>
  <c r="B391" i="23"/>
  <c r="C391" i="23" s="1"/>
  <c r="A392" i="23"/>
  <c r="BE144" i="40" l="1"/>
  <c r="BF143" i="40"/>
  <c r="BJ136" i="40"/>
  <c r="BK135" i="40"/>
  <c r="BZ165" i="40"/>
  <c r="BY166" i="40"/>
  <c r="CD166" i="40"/>
  <c r="CE165" i="40"/>
  <c r="CI129" i="40"/>
  <c r="CJ128" i="40"/>
  <c r="BT155" i="40"/>
  <c r="BU154" i="40"/>
  <c r="CX120" i="40"/>
  <c r="CY119" i="40"/>
  <c r="CN137" i="40"/>
  <c r="CO136" i="40"/>
  <c r="BO90" i="40"/>
  <c r="BP89" i="40"/>
  <c r="CT169" i="40"/>
  <c r="CS170" i="40"/>
  <c r="A393" i="23"/>
  <c r="B392" i="23"/>
  <c r="C392" i="23" s="1"/>
  <c r="BE145" i="40" l="1"/>
  <c r="BF144" i="40"/>
  <c r="BJ137" i="40"/>
  <c r="BK136" i="40"/>
  <c r="CD167" i="40"/>
  <c r="CE166" i="40"/>
  <c r="BZ166" i="40"/>
  <c r="BY167" i="40"/>
  <c r="BT156" i="40"/>
  <c r="BU155" i="40"/>
  <c r="CI130" i="40"/>
  <c r="CJ129" i="40"/>
  <c r="CY120" i="40"/>
  <c r="CX121" i="40"/>
  <c r="CN138" i="40"/>
  <c r="CO137" i="40"/>
  <c r="BP90" i="40"/>
  <c r="BO91" i="40"/>
  <c r="CT170" i="40"/>
  <c r="CS171" i="40"/>
  <c r="A394" i="23"/>
  <c r="B393" i="23"/>
  <c r="C393" i="23" s="1"/>
  <c r="BE146" i="40" l="1"/>
  <c r="BF145" i="40"/>
  <c r="BJ138" i="40"/>
  <c r="BK137" i="40"/>
  <c r="BZ167" i="40"/>
  <c r="BY168" i="40"/>
  <c r="CD168" i="40"/>
  <c r="CE167" i="40"/>
  <c r="CI131" i="40"/>
  <c r="CJ130" i="40"/>
  <c r="BT157" i="40"/>
  <c r="BU156" i="40"/>
  <c r="CX122" i="40"/>
  <c r="CY121" i="40"/>
  <c r="CN139" i="40"/>
  <c r="CO138" i="40"/>
  <c r="BP91" i="40"/>
  <c r="BO92" i="40"/>
  <c r="CT171" i="40"/>
  <c r="CS172" i="40"/>
  <c r="A395" i="23"/>
  <c r="B394" i="23"/>
  <c r="C394" i="23" s="1"/>
  <c r="BE147" i="40" l="1"/>
  <c r="BF146" i="40"/>
  <c r="BJ139" i="40"/>
  <c r="BK138" i="40"/>
  <c r="CE168" i="40"/>
  <c r="CD169" i="40"/>
  <c r="BZ168" i="40"/>
  <c r="BY169" i="40"/>
  <c r="BT158" i="40"/>
  <c r="BU157" i="40"/>
  <c r="CI132" i="40"/>
  <c r="CJ131" i="40"/>
  <c r="CX123" i="40"/>
  <c r="CY122" i="40"/>
  <c r="CN140" i="40"/>
  <c r="CO139" i="40"/>
  <c r="BP92" i="40"/>
  <c r="BO93" i="40"/>
  <c r="CT172" i="40"/>
  <c r="CS173" i="40"/>
  <c r="A396" i="23"/>
  <c r="B395" i="23"/>
  <c r="C395" i="23" s="1"/>
  <c r="BE148" i="40" l="1"/>
  <c r="BF147" i="40"/>
  <c r="BJ140" i="40"/>
  <c r="BK139" i="40"/>
  <c r="BZ169" i="40"/>
  <c r="BY170" i="40"/>
  <c r="CE169" i="40"/>
  <c r="CD170" i="40"/>
  <c r="CI133" i="40"/>
  <c r="CJ132" i="40"/>
  <c r="BT159" i="40"/>
  <c r="BU158" i="40"/>
  <c r="CY123" i="40"/>
  <c r="CX124" i="40"/>
  <c r="CO140" i="40"/>
  <c r="CN141" i="40"/>
  <c r="BO94" i="40"/>
  <c r="BP93" i="40"/>
  <c r="CT173" i="40"/>
  <c r="CS174" i="40"/>
  <c r="A397" i="23"/>
  <c r="B396" i="23"/>
  <c r="C396" i="23" s="1"/>
  <c r="BE149" i="40" l="1"/>
  <c r="BF148" i="40"/>
  <c r="BJ141" i="40"/>
  <c r="BK140" i="40"/>
  <c r="CD171" i="40"/>
  <c r="CE170" i="40"/>
  <c r="BZ170" i="40"/>
  <c r="BY171" i="40"/>
  <c r="BT160" i="40"/>
  <c r="BU159" i="40"/>
  <c r="CI134" i="40"/>
  <c r="CJ133" i="40"/>
  <c r="CX125" i="40"/>
  <c r="CY124" i="40"/>
  <c r="CO141" i="40"/>
  <c r="CN142" i="40"/>
  <c r="BO95" i="40"/>
  <c r="BP94" i="40"/>
  <c r="CT174" i="40"/>
  <c r="CS175" i="40"/>
  <c r="A398" i="23"/>
  <c r="B397" i="23"/>
  <c r="C397" i="23" s="1"/>
  <c r="BF149" i="40" l="1"/>
  <c r="BE150" i="40"/>
  <c r="BJ142" i="40"/>
  <c r="BK141" i="40"/>
  <c r="BZ171" i="40"/>
  <c r="BY172" i="40"/>
  <c r="CE171" i="40"/>
  <c r="CD172" i="40"/>
  <c r="CI135" i="40"/>
  <c r="CJ134" i="40"/>
  <c r="BT161" i="40"/>
  <c r="BU160" i="40"/>
  <c r="CX126" i="40"/>
  <c r="CY125" i="40"/>
  <c r="CN143" i="40"/>
  <c r="CO142" i="40"/>
  <c r="BO96" i="40"/>
  <c r="BP95" i="40"/>
  <c r="CT175" i="40"/>
  <c r="CS176" i="40"/>
  <c r="A399" i="23"/>
  <c r="B398" i="23"/>
  <c r="C398" i="23" s="1"/>
  <c r="BE151" i="40" l="1"/>
  <c r="BF150" i="40"/>
  <c r="BJ143" i="40"/>
  <c r="BK142" i="40"/>
  <c r="CE172" i="40"/>
  <c r="CD173" i="40"/>
  <c r="BZ172" i="40"/>
  <c r="BY173" i="40"/>
  <c r="BT162" i="40"/>
  <c r="BU161" i="40"/>
  <c r="CI136" i="40"/>
  <c r="CJ135" i="40"/>
  <c r="CX127" i="40"/>
  <c r="CY126" i="40"/>
  <c r="CO143" i="40"/>
  <c r="CN144" i="40"/>
  <c r="BP96" i="40"/>
  <c r="BO97" i="40"/>
  <c r="CT176" i="40"/>
  <c r="CS177" i="40"/>
  <c r="A400" i="23"/>
  <c r="B399" i="23"/>
  <c r="C399" i="23" s="1"/>
  <c r="BE152" i="40" l="1"/>
  <c r="BF151" i="40"/>
  <c r="BJ144" i="40"/>
  <c r="BK143" i="40"/>
  <c r="BZ173" i="40"/>
  <c r="BY174" i="40"/>
  <c r="CD174" i="40"/>
  <c r="CE173" i="40"/>
  <c r="CI137" i="40"/>
  <c r="CJ136" i="40"/>
  <c r="BT163" i="40"/>
  <c r="BU162" i="40"/>
  <c r="CX128" i="40"/>
  <c r="CY127" i="40"/>
  <c r="CN145" i="40"/>
  <c r="CO144" i="40"/>
  <c r="BO98" i="40"/>
  <c r="BP97" i="40"/>
  <c r="CT177" i="40"/>
  <c r="CS178" i="40"/>
  <c r="A401" i="23"/>
  <c r="B400" i="23"/>
  <c r="C400" i="23" s="1"/>
  <c r="BE153" i="40" l="1"/>
  <c r="BF152" i="40"/>
  <c r="BJ145" i="40"/>
  <c r="BK144" i="40"/>
  <c r="CD175" i="40"/>
  <c r="CE174" i="40"/>
  <c r="BZ174" i="40"/>
  <c r="BY175" i="40"/>
  <c r="BT164" i="40"/>
  <c r="BU163" i="40"/>
  <c r="CI138" i="40"/>
  <c r="CJ137" i="40"/>
  <c r="CX129" i="40"/>
  <c r="CY128" i="40"/>
  <c r="CN146" i="40"/>
  <c r="CO145" i="40"/>
  <c r="BO99" i="40"/>
  <c r="BP98" i="40"/>
  <c r="CT178" i="40"/>
  <c r="CS179" i="40"/>
  <c r="A402" i="23"/>
  <c r="B401" i="23"/>
  <c r="C401" i="23" s="1"/>
  <c r="BF153" i="40" l="1"/>
  <c r="BE154" i="40"/>
  <c r="BJ146" i="40"/>
  <c r="BK145" i="40"/>
  <c r="BZ175" i="40"/>
  <c r="BY176" i="40"/>
  <c r="CD176" i="40"/>
  <c r="CE175" i="40"/>
  <c r="CI139" i="40"/>
  <c r="CJ138" i="40"/>
  <c r="BU164" i="40"/>
  <c r="BT165" i="40"/>
  <c r="CX130" i="40"/>
  <c r="CY129" i="40"/>
  <c r="CN147" i="40"/>
  <c r="CO146" i="40"/>
  <c r="BO100" i="40"/>
  <c r="BP99" i="40"/>
  <c r="CT179" i="40"/>
  <c r="CS180" i="40"/>
  <c r="A403" i="23"/>
  <c r="B402" i="23"/>
  <c r="C402" i="23" s="1"/>
  <c r="BF154" i="40" l="1"/>
  <c r="BE155" i="40"/>
  <c r="BJ147" i="40"/>
  <c r="BK146" i="40"/>
  <c r="CE176" i="40"/>
  <c r="CD177" i="40"/>
  <c r="BZ176" i="40"/>
  <c r="BY177" i="40"/>
  <c r="BT166" i="40"/>
  <c r="BU165" i="40"/>
  <c r="CI140" i="40"/>
  <c r="CJ139" i="40"/>
  <c r="CX131" i="40"/>
  <c r="CY130" i="40"/>
  <c r="CN148" i="40"/>
  <c r="CO147" i="40"/>
  <c r="BO101" i="40"/>
  <c r="BP100" i="40"/>
  <c r="CT180" i="40"/>
  <c r="CS181" i="40"/>
  <c r="A404" i="23"/>
  <c r="B403" i="23"/>
  <c r="C403" i="23" s="1"/>
  <c r="BE156" i="40" l="1"/>
  <c r="BF155" i="40"/>
  <c r="BJ148" i="40"/>
  <c r="BK147" i="40"/>
  <c r="BZ177" i="40"/>
  <c r="BY178" i="40"/>
  <c r="CD178" i="40"/>
  <c r="CE177" i="40"/>
  <c r="CI141" i="40"/>
  <c r="CJ140" i="40"/>
  <c r="BT167" i="40"/>
  <c r="BU166" i="40"/>
  <c r="CX132" i="40"/>
  <c r="CY131" i="40"/>
  <c r="CN149" i="40"/>
  <c r="CO148" i="40"/>
  <c r="BO102" i="40"/>
  <c r="BP101" i="40"/>
  <c r="CT181" i="40"/>
  <c r="CS182" i="40"/>
  <c r="A405" i="23"/>
  <c r="B404" i="23"/>
  <c r="C404" i="23" s="1"/>
  <c r="BF156" i="40" l="1"/>
  <c r="BE157" i="40"/>
  <c r="BJ149" i="40"/>
  <c r="BK148" i="40"/>
  <c r="CD179" i="40"/>
  <c r="CE178" i="40"/>
  <c r="BZ178" i="40"/>
  <c r="BY179" i="40"/>
  <c r="BT168" i="40"/>
  <c r="BU167" i="40"/>
  <c r="CI142" i="40"/>
  <c r="CJ141" i="40"/>
  <c r="CX133" i="40"/>
  <c r="CY132" i="40"/>
  <c r="CN150" i="40"/>
  <c r="CO149" i="40"/>
  <c r="BP102" i="40"/>
  <c r="BO103" i="40"/>
  <c r="CT182" i="40"/>
  <c r="CS183" i="40"/>
  <c r="B405" i="23"/>
  <c r="C405" i="23" s="1"/>
  <c r="A406" i="23"/>
  <c r="BE158" i="40" l="1"/>
  <c r="BF157" i="40"/>
  <c r="BJ150" i="40"/>
  <c r="BK149" i="40"/>
  <c r="BZ179" i="40"/>
  <c r="BY180" i="40"/>
  <c r="CE179" i="40"/>
  <c r="CD180" i="40"/>
  <c r="CI143" i="40"/>
  <c r="CJ142" i="40"/>
  <c r="BT169" i="40"/>
  <c r="BU168" i="40"/>
  <c r="CX134" i="40"/>
  <c r="CY133" i="40"/>
  <c r="CN151" i="40"/>
  <c r="CO150" i="40"/>
  <c r="BP103" i="40"/>
  <c r="BO104" i="40"/>
  <c r="CT183" i="40"/>
  <c r="CS184" i="40"/>
  <c r="A407" i="23"/>
  <c r="B406" i="23"/>
  <c r="C406" i="23" s="1"/>
  <c r="BF158" i="40" l="1"/>
  <c r="BE159" i="40"/>
  <c r="BJ151" i="40"/>
  <c r="BK150" i="40"/>
  <c r="CE180" i="40"/>
  <c r="CD181" i="40"/>
  <c r="BZ180" i="40"/>
  <c r="BY181" i="40"/>
  <c r="BT170" i="40"/>
  <c r="BU169" i="40"/>
  <c r="CI144" i="40"/>
  <c r="CJ143" i="40"/>
  <c r="CX135" i="40"/>
  <c r="CY134" i="40"/>
  <c r="CN152" i="40"/>
  <c r="CO151" i="40"/>
  <c r="BP104" i="40"/>
  <c r="BO105" i="40"/>
  <c r="CT184" i="40"/>
  <c r="CS185" i="40"/>
  <c r="A408" i="23"/>
  <c r="B407" i="23"/>
  <c r="C407" i="23" s="1"/>
  <c r="BE160" i="40" l="1"/>
  <c r="BF159" i="40"/>
  <c r="BJ152" i="40"/>
  <c r="BK151" i="40"/>
  <c r="BZ181" i="40"/>
  <c r="BY182" i="40"/>
  <c r="CE181" i="40"/>
  <c r="CD182" i="40"/>
  <c r="CI145" i="40"/>
  <c r="CJ144" i="40"/>
  <c r="BT171" i="40"/>
  <c r="BU170" i="40"/>
  <c r="CY135" i="40"/>
  <c r="CX136" i="40"/>
  <c r="CN153" i="40"/>
  <c r="CO152" i="40"/>
  <c r="BO106" i="40"/>
  <c r="BP105" i="40"/>
  <c r="CT185" i="40"/>
  <c r="CS186" i="40"/>
  <c r="B408" i="23"/>
  <c r="C408" i="23" s="1"/>
  <c r="A409" i="23"/>
  <c r="BE161" i="40" l="1"/>
  <c r="BF160" i="40"/>
  <c r="BJ153" i="40"/>
  <c r="BK152" i="40"/>
  <c r="CD183" i="40"/>
  <c r="CE182" i="40"/>
  <c r="BZ182" i="40"/>
  <c r="BY183" i="40"/>
  <c r="BT172" i="40"/>
  <c r="BU171" i="40"/>
  <c r="CI146" i="40"/>
  <c r="CJ145" i="40"/>
  <c r="CX137" i="40"/>
  <c r="CY136" i="40"/>
  <c r="CN154" i="40"/>
  <c r="CO153" i="40"/>
  <c r="BP106" i="40"/>
  <c r="BO107" i="40"/>
  <c r="CT186" i="40"/>
  <c r="CS187" i="40"/>
  <c r="A410" i="23"/>
  <c r="B409" i="23"/>
  <c r="C409" i="23" s="1"/>
  <c r="BF161" i="40" l="1"/>
  <c r="BE162" i="40"/>
  <c r="BJ154" i="40"/>
  <c r="BK153" i="40"/>
  <c r="BZ183" i="40"/>
  <c r="BY184" i="40"/>
  <c r="CD184" i="40"/>
  <c r="CE183" i="40"/>
  <c r="CI147" i="40"/>
  <c r="CJ146" i="40"/>
  <c r="BT173" i="40"/>
  <c r="BU172" i="40"/>
  <c r="CX138" i="40"/>
  <c r="CY137" i="40"/>
  <c r="CN155" i="40"/>
  <c r="CO154" i="40"/>
  <c r="BO108" i="40"/>
  <c r="BP107" i="40"/>
  <c r="CT187" i="40"/>
  <c r="CS188" i="40"/>
  <c r="B410" i="23"/>
  <c r="C410" i="23" s="1"/>
  <c r="A411" i="23"/>
  <c r="BF162" i="40" l="1"/>
  <c r="BE163" i="40"/>
  <c r="BJ155" i="40"/>
  <c r="BK154" i="40"/>
  <c r="CE184" i="40"/>
  <c r="CD185" i="40"/>
  <c r="BZ184" i="40"/>
  <c r="BY185" i="40"/>
  <c r="BT174" i="40"/>
  <c r="BU173" i="40"/>
  <c r="CI148" i="40"/>
  <c r="CJ147" i="40"/>
  <c r="CX139" i="40"/>
  <c r="CY138" i="40"/>
  <c r="CN156" i="40"/>
  <c r="CO155" i="40"/>
  <c r="BP108" i="40"/>
  <c r="BO109" i="40"/>
  <c r="CT188" i="40"/>
  <c r="CS189" i="40"/>
  <c r="A412" i="23"/>
  <c r="B411" i="23"/>
  <c r="C411" i="23" s="1"/>
  <c r="BE164" i="40" l="1"/>
  <c r="BF163" i="40"/>
  <c r="BJ156" i="40"/>
  <c r="BK155" i="40"/>
  <c r="BY186" i="40"/>
  <c r="BZ185" i="40"/>
  <c r="CE185" i="40"/>
  <c r="CD186" i="40"/>
  <c r="CI149" i="40"/>
  <c r="CJ148" i="40"/>
  <c r="BT175" i="40"/>
  <c r="BU174" i="40"/>
  <c r="CY139" i="40"/>
  <c r="CX140" i="40"/>
  <c r="CO156" i="40"/>
  <c r="CN157" i="40"/>
  <c r="BP109" i="40"/>
  <c r="BO110" i="40"/>
  <c r="CS190" i="40"/>
  <c r="CT189" i="40"/>
  <c r="B412" i="23"/>
  <c r="C412" i="23" s="1"/>
  <c r="A413" i="23"/>
  <c r="BF164" i="40" l="1"/>
  <c r="BE165" i="40"/>
  <c r="BJ157" i="40"/>
  <c r="BK156" i="40"/>
  <c r="CD187" i="40"/>
  <c r="CE186" i="40"/>
  <c r="BZ186" i="40"/>
  <c r="BY187" i="40"/>
  <c r="BU175" i="40"/>
  <c r="BT176" i="40"/>
  <c r="CI150" i="40"/>
  <c r="CJ149" i="40"/>
  <c r="CY140" i="40"/>
  <c r="CX141" i="40"/>
  <c r="CN158" i="40"/>
  <c r="CO157" i="40"/>
  <c r="BP110" i="40"/>
  <c r="BO111" i="40"/>
  <c r="CT190" i="40"/>
  <c r="CS191" i="40"/>
  <c r="A414" i="23"/>
  <c r="B413" i="23"/>
  <c r="C413" i="23" s="1"/>
  <c r="BF165" i="40" l="1"/>
  <c r="BE166" i="40"/>
  <c r="BJ158" i="40"/>
  <c r="BK157" i="40"/>
  <c r="BZ187" i="40"/>
  <c r="BY188" i="40"/>
  <c r="CD188" i="40"/>
  <c r="CE187" i="40"/>
  <c r="CI151" i="40"/>
  <c r="CJ150" i="40"/>
  <c r="BT177" i="40"/>
  <c r="BU176" i="40"/>
  <c r="CX142" i="40"/>
  <c r="CY141" i="40"/>
  <c r="CN159" i="40"/>
  <c r="CO158" i="40"/>
  <c r="BP111" i="40"/>
  <c r="BO112" i="40"/>
  <c r="CT191" i="40"/>
  <c r="CS192" i="40"/>
  <c r="B414" i="23"/>
  <c r="C414" i="23" s="1"/>
  <c r="A415" i="23"/>
  <c r="BE167" i="40" l="1"/>
  <c r="BF166" i="40"/>
  <c r="BJ159" i="40"/>
  <c r="BK158" i="40"/>
  <c r="CE188" i="40"/>
  <c r="CD189" i="40"/>
  <c r="BZ188" i="40"/>
  <c r="BY189" i="40"/>
  <c r="BU177" i="40"/>
  <c r="BT178" i="40"/>
  <c r="CI152" i="40"/>
  <c r="CJ151" i="40"/>
  <c r="CX143" i="40"/>
  <c r="CY142" i="40"/>
  <c r="CO159" i="40"/>
  <c r="CN160" i="40"/>
  <c r="BO113" i="40"/>
  <c r="BP112" i="40"/>
  <c r="CT192" i="40"/>
  <c r="CS193" i="40"/>
  <c r="B415" i="23"/>
  <c r="C415" i="23" s="1"/>
  <c r="A416" i="23"/>
  <c r="BE168" i="40" l="1"/>
  <c r="BF167" i="40"/>
  <c r="BJ160" i="40"/>
  <c r="BK159" i="40"/>
  <c r="BZ189" i="40"/>
  <c r="BY190" i="40"/>
  <c r="CE189" i="40"/>
  <c r="CD190" i="40"/>
  <c r="CJ152" i="40"/>
  <c r="CI153" i="40"/>
  <c r="BT179" i="40"/>
  <c r="BU178" i="40"/>
  <c r="CX144" i="40"/>
  <c r="CY143" i="40"/>
  <c r="CO160" i="40"/>
  <c r="CN161" i="40"/>
  <c r="BP113" i="40"/>
  <c r="BO114" i="40"/>
  <c r="CT193" i="40"/>
  <c r="CS194" i="40"/>
  <c r="B416" i="23"/>
  <c r="C416" i="23" s="1"/>
  <c r="A417" i="23"/>
  <c r="BF168" i="40" l="1"/>
  <c r="BE169" i="40"/>
  <c r="BJ161" i="40"/>
  <c r="BK160" i="40"/>
  <c r="CD191" i="40"/>
  <c r="CE190" i="40"/>
  <c r="BY191" i="40"/>
  <c r="BZ190" i="40"/>
  <c r="BU179" i="40"/>
  <c r="BT180" i="40"/>
  <c r="CI154" i="40"/>
  <c r="CJ153" i="40"/>
  <c r="CX145" i="40"/>
  <c r="CY144" i="40"/>
  <c r="CO161" i="40"/>
  <c r="CN162" i="40"/>
  <c r="BP114" i="40"/>
  <c r="BO115" i="40"/>
  <c r="CT194" i="40"/>
  <c r="CS195" i="40"/>
  <c r="A418" i="23"/>
  <c r="B417" i="23"/>
  <c r="C417" i="23" s="1"/>
  <c r="BE170" i="40" l="1"/>
  <c r="BF169" i="40"/>
  <c r="BJ162" i="40"/>
  <c r="BK161" i="40"/>
  <c r="BZ191" i="40"/>
  <c r="BY192" i="40"/>
  <c r="CD192" i="40"/>
  <c r="CE191" i="40"/>
  <c r="CI155" i="40"/>
  <c r="CJ154" i="40"/>
  <c r="BU180" i="40"/>
  <c r="BT181" i="40"/>
  <c r="CY145" i="40"/>
  <c r="CX146" i="40"/>
  <c r="CO162" i="40"/>
  <c r="CN163" i="40"/>
  <c r="BP115" i="40"/>
  <c r="BO116" i="40"/>
  <c r="CT195" i="40"/>
  <c r="CS196" i="40"/>
  <c r="B418" i="23"/>
  <c r="C418" i="23" s="1"/>
  <c r="A419" i="23"/>
  <c r="BE171" i="40" l="1"/>
  <c r="BF170" i="40"/>
  <c r="BJ163" i="40"/>
  <c r="BK162" i="40"/>
  <c r="CE192" i="40"/>
  <c r="CD193" i="40"/>
  <c r="BY193" i="40"/>
  <c r="BZ192" i="40"/>
  <c r="BU181" i="40"/>
  <c r="BT182" i="40"/>
  <c r="CI156" i="40"/>
  <c r="CJ155" i="40"/>
  <c r="CX147" i="40"/>
  <c r="CY146" i="40"/>
  <c r="CN164" i="40"/>
  <c r="CO163" i="40"/>
  <c r="BP116" i="40"/>
  <c r="BO117" i="40"/>
  <c r="CT196" i="40"/>
  <c r="CS197" i="40"/>
  <c r="A420" i="23"/>
  <c r="B419" i="23"/>
  <c r="C419" i="23" s="1"/>
  <c r="BE172" i="40" l="1"/>
  <c r="BF171" i="40"/>
  <c r="BJ164" i="40"/>
  <c r="BK163" i="40"/>
  <c r="BZ193" i="40"/>
  <c r="BY194" i="40"/>
  <c r="CE193" i="40"/>
  <c r="CD194" i="40"/>
  <c r="CI157" i="40"/>
  <c r="CJ156" i="40"/>
  <c r="BT183" i="40"/>
  <c r="BU182" i="40"/>
  <c r="CX148" i="40"/>
  <c r="CY147" i="40"/>
  <c r="CN165" i="40"/>
  <c r="CO164" i="40"/>
  <c r="BP117" i="40"/>
  <c r="BO118" i="40"/>
  <c r="CT197" i="40"/>
  <c r="CS198" i="40"/>
  <c r="B420" i="23"/>
  <c r="C420" i="23" s="1"/>
  <c r="A421" i="23"/>
  <c r="BE173" i="40" l="1"/>
  <c r="BF172" i="40"/>
  <c r="BJ165" i="40"/>
  <c r="BK164" i="40"/>
  <c r="CD195" i="40"/>
  <c r="CE194" i="40"/>
  <c r="BZ194" i="40"/>
  <c r="BY195" i="40"/>
  <c r="BT184" i="40"/>
  <c r="BU183" i="40"/>
  <c r="CI158" i="40"/>
  <c r="CJ157" i="40"/>
  <c r="CX149" i="40"/>
  <c r="CY148" i="40"/>
  <c r="CN166" i="40"/>
  <c r="CO165" i="40"/>
  <c r="BO119" i="40"/>
  <c r="BP118" i="40"/>
  <c r="CT198" i="40"/>
  <c r="CS199" i="40"/>
  <c r="A422" i="23"/>
  <c r="B421" i="23"/>
  <c r="C421" i="23" s="1"/>
  <c r="BE174" i="40" l="1"/>
  <c r="BF173" i="40"/>
  <c r="BK165" i="40"/>
  <c r="BJ166" i="40"/>
  <c r="BZ195" i="40"/>
  <c r="BY196" i="40"/>
  <c r="CD196" i="40"/>
  <c r="CE195" i="40"/>
  <c r="CI159" i="40"/>
  <c r="CJ158" i="40"/>
  <c r="BU184" i="40"/>
  <c r="BT185" i="40"/>
  <c r="CY149" i="40"/>
  <c r="CX150" i="40"/>
  <c r="CO166" i="40"/>
  <c r="CN167" i="40"/>
  <c r="BP119" i="40"/>
  <c r="BO120" i="40"/>
  <c r="CT199" i="40"/>
  <c r="CS200" i="40"/>
  <c r="B422" i="23"/>
  <c r="C422" i="23" s="1"/>
  <c r="A423" i="23"/>
  <c r="BF174" i="40" l="1"/>
  <c r="BE175" i="40"/>
  <c r="BJ167" i="40"/>
  <c r="BK166" i="40"/>
  <c r="CD197" i="40"/>
  <c r="CE196" i="40"/>
  <c r="BY197" i="40"/>
  <c r="BZ196" i="40"/>
  <c r="BT186" i="40"/>
  <c r="BU185" i="40"/>
  <c r="CI160" i="40"/>
  <c r="CJ159" i="40"/>
  <c r="CX151" i="40"/>
  <c r="CY150" i="40"/>
  <c r="CO167" i="40"/>
  <c r="CN168" i="40"/>
  <c r="BO121" i="40"/>
  <c r="BP120" i="40"/>
  <c r="CT200" i="40"/>
  <c r="CS201" i="40"/>
  <c r="B423" i="23"/>
  <c r="C423" i="23" s="1"/>
  <c r="A424" i="23"/>
  <c r="BE176" i="40" l="1"/>
  <c r="BF175" i="40"/>
  <c r="BK167" i="40"/>
  <c r="BJ168" i="40"/>
  <c r="BZ197" i="40"/>
  <c r="BY198" i="40"/>
  <c r="CE197" i="40"/>
  <c r="CD198" i="40"/>
  <c r="CI161" i="40"/>
  <c r="CJ160" i="40"/>
  <c r="BT187" i="40"/>
  <c r="BU186" i="40"/>
  <c r="CY151" i="40"/>
  <c r="CX152" i="40"/>
  <c r="CO168" i="40"/>
  <c r="CN169" i="40"/>
  <c r="BP121" i="40"/>
  <c r="BO122" i="40"/>
  <c r="CT201" i="40"/>
  <c r="CS202" i="40"/>
  <c r="B424" i="23"/>
  <c r="C424" i="23" s="1"/>
  <c r="A425" i="23"/>
  <c r="BF176" i="40" l="1"/>
  <c r="BE177" i="40"/>
  <c r="BK168" i="40"/>
  <c r="BJ169" i="40"/>
  <c r="CE198" i="40"/>
  <c r="CD199" i="40"/>
  <c r="BZ198" i="40"/>
  <c r="BY199" i="40"/>
  <c r="BU187" i="40"/>
  <c r="BT188" i="40"/>
  <c r="CI162" i="40"/>
  <c r="CJ161" i="40"/>
  <c r="CX153" i="40"/>
  <c r="CY152" i="40"/>
  <c r="CN170" i="40"/>
  <c r="CO169" i="40"/>
  <c r="BO123" i="40"/>
  <c r="BP122" i="40"/>
  <c r="CT202" i="40"/>
  <c r="CS203" i="40"/>
  <c r="A426" i="23"/>
  <c r="B425" i="23"/>
  <c r="C425" i="23" s="1"/>
  <c r="BF177" i="40" l="1"/>
  <c r="BE178" i="40"/>
  <c r="BK169" i="40"/>
  <c r="BJ170" i="40"/>
  <c r="BZ199" i="40"/>
  <c r="BY200" i="40"/>
  <c r="CD200" i="40"/>
  <c r="CE199" i="40"/>
  <c r="CI163" i="40"/>
  <c r="CJ162" i="40"/>
  <c r="BT189" i="40"/>
  <c r="BU188" i="40"/>
  <c r="CX154" i="40"/>
  <c r="CY153" i="40"/>
  <c r="CN171" i="40"/>
  <c r="CO170" i="40"/>
  <c r="BO124" i="40"/>
  <c r="BP123" i="40"/>
  <c r="CS204" i="40"/>
  <c r="CT203" i="40"/>
  <c r="B426" i="23"/>
  <c r="C426" i="23" s="1"/>
  <c r="A427" i="23"/>
  <c r="BE179" i="40" l="1"/>
  <c r="BF178" i="40"/>
  <c r="BK170" i="40"/>
  <c r="BJ171" i="40"/>
  <c r="CD201" i="40"/>
  <c r="CE200" i="40"/>
  <c r="BZ200" i="40"/>
  <c r="BY201" i="40"/>
  <c r="BU189" i="40"/>
  <c r="BT190" i="40"/>
  <c r="CI164" i="40"/>
  <c r="CJ163" i="40"/>
  <c r="CY154" i="40"/>
  <c r="CX155" i="40"/>
  <c r="CO171" i="40"/>
  <c r="CN172" i="40"/>
  <c r="BP124" i="40"/>
  <c r="BO125" i="40"/>
  <c r="CT204" i="40"/>
  <c r="CS205" i="40"/>
  <c r="A428" i="23"/>
  <c r="B427" i="23"/>
  <c r="C427" i="23" s="1"/>
  <c r="BE180" i="40" l="1"/>
  <c r="BF179" i="40"/>
  <c r="BK171" i="40"/>
  <c r="BJ172" i="40"/>
  <c r="BZ201" i="40"/>
  <c r="BY202" i="40"/>
  <c r="CE201" i="40"/>
  <c r="CD202" i="40"/>
  <c r="CI165" i="40"/>
  <c r="CJ164" i="40"/>
  <c r="BT191" i="40"/>
  <c r="BU190" i="40"/>
  <c r="CY155" i="40"/>
  <c r="CX156" i="40"/>
  <c r="CN173" i="40"/>
  <c r="CO172" i="40"/>
  <c r="BO126" i="40"/>
  <c r="BP125" i="40"/>
  <c r="CT205" i="40"/>
  <c r="CS206" i="40"/>
  <c r="B428" i="23"/>
  <c r="C428" i="23" s="1"/>
  <c r="A429" i="23"/>
  <c r="BF180" i="40" l="1"/>
  <c r="BE181" i="40"/>
  <c r="BK172" i="40"/>
  <c r="BJ173" i="40"/>
  <c r="CE202" i="40"/>
  <c r="CD203" i="40"/>
  <c r="BZ202" i="40"/>
  <c r="BY203" i="40"/>
  <c r="BT192" i="40"/>
  <c r="BU191" i="40"/>
  <c r="CI166" i="40"/>
  <c r="CJ165" i="40"/>
  <c r="CY156" i="40"/>
  <c r="CX157" i="40"/>
  <c r="CO173" i="40"/>
  <c r="CN174" i="40"/>
  <c r="BO127" i="40"/>
  <c r="BP126" i="40"/>
  <c r="CT206" i="40"/>
  <c r="CS207" i="40"/>
  <c r="B429" i="23"/>
  <c r="C429" i="23" s="1"/>
  <c r="A430" i="23"/>
  <c r="BE182" i="40" l="1"/>
  <c r="BF181" i="40"/>
  <c r="BK173" i="40"/>
  <c r="BJ174" i="40"/>
  <c r="BY204" i="40"/>
  <c r="BZ203" i="40"/>
  <c r="CD204" i="40"/>
  <c r="CE203" i="40"/>
  <c r="CI167" i="40"/>
  <c r="CJ166" i="40"/>
  <c r="BT193" i="40"/>
  <c r="BU192" i="40"/>
  <c r="CX158" i="40"/>
  <c r="CY157" i="40"/>
  <c r="CN175" i="40"/>
  <c r="CO174" i="40"/>
  <c r="BP127" i="40"/>
  <c r="BO128" i="40"/>
  <c r="CT207" i="40"/>
  <c r="CS208" i="40"/>
  <c r="B430" i="23"/>
  <c r="C430" i="23" s="1"/>
  <c r="A431" i="23"/>
  <c r="BF182" i="40" l="1"/>
  <c r="BE183" i="40"/>
  <c r="BK174" i="40"/>
  <c r="BJ175" i="40"/>
  <c r="CD205" i="40"/>
  <c r="CE204" i="40"/>
  <c r="BZ204" i="40"/>
  <c r="BY205" i="40"/>
  <c r="BU193" i="40"/>
  <c r="BT194" i="40"/>
  <c r="CI168" i="40"/>
  <c r="CJ167" i="40"/>
  <c r="CX159" i="40"/>
  <c r="CY158" i="40"/>
  <c r="CN176" i="40"/>
  <c r="CO175" i="40"/>
  <c r="BO129" i="40"/>
  <c r="BP128" i="40"/>
  <c r="CT208" i="40"/>
  <c r="CS209" i="40"/>
  <c r="A432" i="23"/>
  <c r="B431" i="23"/>
  <c r="C431" i="23" s="1"/>
  <c r="BE184" i="40" l="1"/>
  <c r="BF183" i="40"/>
  <c r="BK175" i="40"/>
  <c r="BJ176" i="40"/>
  <c r="BZ205" i="40"/>
  <c r="BY206" i="40"/>
  <c r="CE205" i="40"/>
  <c r="CD206" i="40"/>
  <c r="CI169" i="40"/>
  <c r="CJ168" i="40"/>
  <c r="BT195" i="40"/>
  <c r="BU194" i="40"/>
  <c r="CX160" i="40"/>
  <c r="CY159" i="40"/>
  <c r="CN177" i="40"/>
  <c r="CO176" i="40"/>
  <c r="BP129" i="40"/>
  <c r="BO130" i="40"/>
  <c r="CT209" i="40"/>
  <c r="CS210" i="40"/>
  <c r="B432" i="23"/>
  <c r="C432" i="23" s="1"/>
  <c r="A433" i="23"/>
  <c r="BF184" i="40" l="1"/>
  <c r="BE185" i="40"/>
  <c r="BK176" i="40"/>
  <c r="BJ177" i="40"/>
  <c r="CE206" i="40"/>
  <c r="CD207" i="40"/>
  <c r="BZ206" i="40"/>
  <c r="BY207" i="40"/>
  <c r="BU195" i="40"/>
  <c r="BT196" i="40"/>
  <c r="CI170" i="40"/>
  <c r="CJ169" i="40"/>
  <c r="CX161" i="40"/>
  <c r="CY160" i="40"/>
  <c r="CO177" i="40"/>
  <c r="CN178" i="40"/>
  <c r="BP130" i="40"/>
  <c r="BO131" i="40"/>
  <c r="CT210" i="40"/>
  <c r="CS211" i="40"/>
  <c r="B433" i="23"/>
  <c r="C433" i="23" s="1"/>
  <c r="A434" i="23"/>
  <c r="BF185" i="40" l="1"/>
  <c r="BE186" i="40"/>
  <c r="BK177" i="40"/>
  <c r="BJ178" i="40"/>
  <c r="BZ207" i="40"/>
  <c r="BY208" i="40"/>
  <c r="CD208" i="40"/>
  <c r="CE207" i="40"/>
  <c r="CI171" i="40"/>
  <c r="CJ170" i="40"/>
  <c r="BT197" i="40"/>
  <c r="BU196" i="40"/>
  <c r="CX162" i="40"/>
  <c r="CY161" i="40"/>
  <c r="CN179" i="40"/>
  <c r="CO178" i="40"/>
  <c r="BP131" i="40"/>
  <c r="BO132" i="40"/>
  <c r="CT211" i="40"/>
  <c r="CS212" i="40"/>
  <c r="B434" i="23"/>
  <c r="C434" i="23" s="1"/>
  <c r="A435" i="23"/>
  <c r="BE187" i="40" l="1"/>
  <c r="BF186" i="40"/>
  <c r="BK178" i="40"/>
  <c r="BJ179" i="40"/>
  <c r="CD209" i="40"/>
  <c r="CE208" i="40"/>
  <c r="BZ208" i="40"/>
  <c r="BY209" i="40"/>
  <c r="BT198" i="40"/>
  <c r="BU197" i="40"/>
  <c r="CI172" i="40"/>
  <c r="CJ171" i="40"/>
  <c r="CY162" i="40"/>
  <c r="CX163" i="40"/>
  <c r="CO179" i="40"/>
  <c r="CN180" i="40"/>
  <c r="BO133" i="40"/>
  <c r="BP132" i="40"/>
  <c r="CT212" i="40"/>
  <c r="CS213" i="40"/>
  <c r="A436" i="23"/>
  <c r="B435" i="23"/>
  <c r="C435" i="23" s="1"/>
  <c r="BE188" i="40" l="1"/>
  <c r="BF187" i="40"/>
  <c r="BK179" i="40"/>
  <c r="BJ180" i="40"/>
  <c r="BZ209" i="40"/>
  <c r="BY210" i="40"/>
  <c r="CE209" i="40"/>
  <c r="CD210" i="40"/>
  <c r="CI173" i="40"/>
  <c r="CJ172" i="40"/>
  <c r="BT199" i="40"/>
  <c r="BU198" i="40"/>
  <c r="CY163" i="40"/>
  <c r="CX164" i="40"/>
  <c r="CN181" i="40"/>
  <c r="CO180" i="40"/>
  <c r="BP133" i="40"/>
  <c r="BO134" i="40"/>
  <c r="CT213" i="40"/>
  <c r="CS214" i="40"/>
  <c r="B436" i="23"/>
  <c r="C436" i="23" s="1"/>
  <c r="A437" i="23"/>
  <c r="BF188" i="40" l="1"/>
  <c r="BE189" i="40"/>
  <c r="BK180" i="40"/>
  <c r="BJ181" i="40"/>
  <c r="CE210" i="40"/>
  <c r="CD211" i="40"/>
  <c r="BZ210" i="40"/>
  <c r="BY211" i="40"/>
  <c r="BU199" i="40"/>
  <c r="BT200" i="40"/>
  <c r="CI174" i="40"/>
  <c r="CJ173" i="40"/>
  <c r="CX165" i="40"/>
  <c r="CY164" i="40"/>
  <c r="CN182" i="40"/>
  <c r="CO181" i="40"/>
  <c r="BO135" i="40"/>
  <c r="BP134" i="40"/>
  <c r="CT214" i="40"/>
  <c r="CS215" i="40"/>
  <c r="A438" i="23"/>
  <c r="B437" i="23"/>
  <c r="C437" i="23" s="1"/>
  <c r="BF189" i="40" l="1"/>
  <c r="BE190" i="40"/>
  <c r="BK181" i="40"/>
  <c r="BJ182" i="40"/>
  <c r="BZ211" i="40"/>
  <c r="BY212" i="40"/>
  <c r="CD212" i="40"/>
  <c r="CE211" i="40"/>
  <c r="CJ174" i="40"/>
  <c r="CI175" i="40"/>
  <c r="BT201" i="40"/>
  <c r="BU200" i="40"/>
  <c r="CY165" i="40"/>
  <c r="CX166" i="40"/>
  <c r="CN183" i="40"/>
  <c r="CO182" i="40"/>
  <c r="BO136" i="40"/>
  <c r="BP135" i="40"/>
  <c r="CT215" i="40"/>
  <c r="CS216" i="40"/>
  <c r="B438" i="23"/>
  <c r="C438" i="23" s="1"/>
  <c r="A439" i="23"/>
  <c r="BE191" i="40" l="1"/>
  <c r="BF190" i="40"/>
  <c r="BK182" i="40"/>
  <c r="BJ183" i="40"/>
  <c r="CD213" i="40"/>
  <c r="CE212" i="40"/>
  <c r="BZ212" i="40"/>
  <c r="BY213" i="40"/>
  <c r="BU201" i="40"/>
  <c r="BT202" i="40"/>
  <c r="CI176" i="40"/>
  <c r="CJ175" i="40"/>
  <c r="CX167" i="40"/>
  <c r="CY166" i="40"/>
  <c r="CN184" i="40"/>
  <c r="CO183" i="40"/>
  <c r="BO137" i="40"/>
  <c r="BP136" i="40"/>
  <c r="CT216" i="40"/>
  <c r="CS217" i="40"/>
  <c r="B439" i="23"/>
  <c r="C439" i="23" s="1"/>
  <c r="A440" i="23"/>
  <c r="BE192" i="40" l="1"/>
  <c r="BF191" i="40"/>
  <c r="BK183" i="40"/>
  <c r="BJ184" i="40"/>
  <c r="BZ213" i="40"/>
  <c r="BY214" i="40"/>
  <c r="CE213" i="40"/>
  <c r="CD214" i="40"/>
  <c r="CI177" i="40"/>
  <c r="CJ176" i="40"/>
  <c r="BT203" i="40"/>
  <c r="BU202" i="40"/>
  <c r="CX168" i="40"/>
  <c r="CY167" i="40"/>
  <c r="CN185" i="40"/>
  <c r="CO184" i="40"/>
  <c r="BP137" i="40"/>
  <c r="BO138" i="40"/>
  <c r="CT217" i="40"/>
  <c r="CS218" i="40"/>
  <c r="B440" i="23"/>
  <c r="C440" i="23" s="1"/>
  <c r="A441" i="23"/>
  <c r="BF192" i="40" l="1"/>
  <c r="BE193" i="40"/>
  <c r="BK184" i="40"/>
  <c r="BJ185" i="40"/>
  <c r="CE214" i="40"/>
  <c r="CD215" i="40"/>
  <c r="BY215" i="40"/>
  <c r="BZ214" i="40"/>
  <c r="BT204" i="40"/>
  <c r="BU203" i="40"/>
  <c r="CI178" i="40"/>
  <c r="CJ177" i="40"/>
  <c r="CY168" i="40"/>
  <c r="CX169" i="40"/>
  <c r="CN186" i="40"/>
  <c r="CO185" i="40"/>
  <c r="BP138" i="40"/>
  <c r="BO139" i="40"/>
  <c r="CT218" i="40"/>
  <c r="CS219" i="40"/>
  <c r="B441" i="23"/>
  <c r="C441" i="23" s="1"/>
  <c r="A442" i="23"/>
  <c r="BF193" i="40" l="1"/>
  <c r="BE194" i="40"/>
  <c r="BK185" i="40"/>
  <c r="BJ186" i="40"/>
  <c r="BZ215" i="40"/>
  <c r="BY216" i="40"/>
  <c r="CD216" i="40"/>
  <c r="CE215" i="40"/>
  <c r="CI179" i="40"/>
  <c r="CJ178" i="40"/>
  <c r="BU204" i="40"/>
  <c r="BT205" i="40"/>
  <c r="CY169" i="40"/>
  <c r="CX170" i="40"/>
  <c r="CN187" i="40"/>
  <c r="CO186" i="40"/>
  <c r="BO140" i="40"/>
  <c r="BP139" i="40"/>
  <c r="CT219" i="40"/>
  <c r="CS220" i="40"/>
  <c r="B442" i="23"/>
  <c r="C442" i="23" s="1"/>
  <c r="A443" i="23"/>
  <c r="BE195" i="40" l="1"/>
  <c r="BF194" i="40"/>
  <c r="BK186" i="40"/>
  <c r="BJ187" i="40"/>
  <c r="CD217" i="40"/>
  <c r="CE216" i="40"/>
  <c r="BY217" i="40"/>
  <c r="BZ216" i="40"/>
  <c r="BU205" i="40"/>
  <c r="BT206" i="40"/>
  <c r="CJ179" i="40"/>
  <c r="CI180" i="40"/>
  <c r="CX171" i="40"/>
  <c r="CY170" i="40"/>
  <c r="CN188" i="40"/>
  <c r="CO187" i="40"/>
  <c r="BP140" i="40"/>
  <c r="BO141" i="40"/>
  <c r="CT220" i="40"/>
  <c r="CS221" i="40"/>
  <c r="B443" i="23"/>
  <c r="C443" i="23" s="1"/>
  <c r="A444" i="23"/>
  <c r="BF195" i="40" l="1"/>
  <c r="BE196" i="40"/>
  <c r="BK187" i="40"/>
  <c r="BJ188" i="40"/>
  <c r="BZ217" i="40"/>
  <c r="BY218" i="40"/>
  <c r="CE217" i="40"/>
  <c r="CD218" i="40"/>
  <c r="CI181" i="40"/>
  <c r="CJ180" i="40"/>
  <c r="BT207" i="40"/>
  <c r="BU206" i="40"/>
  <c r="CX172" i="40"/>
  <c r="CY171" i="40"/>
  <c r="CN189" i="40"/>
  <c r="CO188" i="40"/>
  <c r="BP141" i="40"/>
  <c r="BO142" i="40"/>
  <c r="CT221" i="40"/>
  <c r="CS222" i="40"/>
  <c r="A445" i="23"/>
  <c r="B444" i="23"/>
  <c r="C444" i="23" s="1"/>
  <c r="BF196" i="40" l="1"/>
  <c r="BE197" i="40"/>
  <c r="BK188" i="40"/>
  <c r="BJ189" i="40"/>
  <c r="CE218" i="40"/>
  <c r="CD219" i="40"/>
  <c r="BZ218" i="40"/>
  <c r="BY219" i="40"/>
  <c r="BT208" i="40"/>
  <c r="BU207" i="40"/>
  <c r="CI182" i="40"/>
  <c r="CJ181" i="40"/>
  <c r="CX173" i="40"/>
  <c r="CY172" i="40"/>
  <c r="CN190" i="40"/>
  <c r="CO189" i="40"/>
  <c r="BP142" i="40"/>
  <c r="BO143" i="40"/>
  <c r="CT222" i="40"/>
  <c r="CS223" i="40"/>
  <c r="A446" i="23"/>
  <c r="B445" i="23"/>
  <c r="C445" i="23" s="1"/>
  <c r="BF197" i="40" l="1"/>
  <c r="BE198" i="40"/>
  <c r="BK189" i="40"/>
  <c r="BJ190" i="40"/>
  <c r="BZ219" i="40"/>
  <c r="BY220" i="40"/>
  <c r="CD220" i="40"/>
  <c r="CE219" i="40"/>
  <c r="CJ182" i="40"/>
  <c r="CI183" i="40"/>
  <c r="BU208" i="40"/>
  <c r="BT209" i="40"/>
  <c r="CY173" i="40"/>
  <c r="CX174" i="40"/>
  <c r="CN191" i="40"/>
  <c r="CO190" i="40"/>
  <c r="BO144" i="40"/>
  <c r="BP143" i="40"/>
  <c r="CS224" i="40"/>
  <c r="CT223" i="40"/>
  <c r="B446" i="23"/>
  <c r="C446" i="23" s="1"/>
  <c r="A447" i="23"/>
  <c r="BF198" i="40" l="1"/>
  <c r="BE199" i="40"/>
  <c r="BK190" i="40"/>
  <c r="BJ191" i="40"/>
  <c r="CD221" i="40"/>
  <c r="CE220" i="40"/>
  <c r="BZ220" i="40"/>
  <c r="BY221" i="40"/>
  <c r="BU209" i="40"/>
  <c r="BT210" i="40"/>
  <c r="CI184" i="40"/>
  <c r="CJ183" i="40"/>
  <c r="CY174" i="40"/>
  <c r="CX175" i="40"/>
  <c r="CN192" i="40"/>
  <c r="CO191" i="40"/>
  <c r="BP144" i="40"/>
  <c r="BO145" i="40"/>
  <c r="CT224" i="40"/>
  <c r="CS225" i="40"/>
  <c r="A448" i="23"/>
  <c r="B447" i="23"/>
  <c r="C447" i="23" s="1"/>
  <c r="BF199" i="40" l="1"/>
  <c r="BE200" i="40"/>
  <c r="BK191" i="40"/>
  <c r="BJ192" i="40"/>
  <c r="BZ221" i="40"/>
  <c r="BY222" i="40"/>
  <c r="CE221" i="40"/>
  <c r="CD222" i="40"/>
  <c r="CI185" i="40"/>
  <c r="CJ184" i="40"/>
  <c r="BU210" i="40"/>
  <c r="BT211" i="40"/>
  <c r="CY175" i="40"/>
  <c r="CX176" i="40"/>
  <c r="CN193" i="40"/>
  <c r="CO192" i="40"/>
  <c r="BO146" i="40"/>
  <c r="BP145" i="40"/>
  <c r="CT225" i="40"/>
  <c r="CS226" i="40"/>
  <c r="B448" i="23"/>
  <c r="C448" i="23" s="1"/>
  <c r="A449" i="23"/>
  <c r="BE201" i="40" l="1"/>
  <c r="BF200" i="40"/>
  <c r="BK192" i="40"/>
  <c r="BJ193" i="40"/>
  <c r="CE222" i="40"/>
  <c r="CD223" i="40"/>
  <c r="BZ222" i="40"/>
  <c r="BY223" i="40"/>
  <c r="BU211" i="40"/>
  <c r="BT212" i="40"/>
  <c r="CI186" i="40"/>
  <c r="CJ185" i="40"/>
  <c r="CX177" i="40"/>
  <c r="CY176" i="40"/>
  <c r="CN194" i="40"/>
  <c r="CO193" i="40"/>
  <c r="BO147" i="40"/>
  <c r="BP146" i="40"/>
  <c r="CT226" i="40"/>
  <c r="CS227" i="40"/>
  <c r="A450" i="23"/>
  <c r="B449" i="23"/>
  <c r="C449" i="23" s="1"/>
  <c r="BF201" i="40" l="1"/>
  <c r="BE202" i="40"/>
  <c r="BK193" i="40"/>
  <c r="BJ194" i="40"/>
  <c r="BY224" i="40"/>
  <c r="BZ223" i="40"/>
  <c r="CD224" i="40"/>
  <c r="CE223" i="40"/>
  <c r="CJ186" i="40"/>
  <c r="CI187" i="40"/>
  <c r="BT213" i="40"/>
  <c r="BU212" i="40"/>
  <c r="CY177" i="40"/>
  <c r="CX178" i="40"/>
  <c r="CN195" i="40"/>
  <c r="CO194" i="40"/>
  <c r="BP147" i="40"/>
  <c r="BO148" i="40"/>
  <c r="CS228" i="40"/>
  <c r="CT227" i="40"/>
  <c r="B450" i="23"/>
  <c r="C450" i="23" s="1"/>
  <c r="A451" i="23"/>
  <c r="BE203" i="40" l="1"/>
  <c r="BF202" i="40"/>
  <c r="BK194" i="40"/>
  <c r="BJ195" i="40"/>
  <c r="CD225" i="40"/>
  <c r="CE224" i="40"/>
  <c r="BZ224" i="40"/>
  <c r="BY225" i="40"/>
  <c r="BT214" i="40"/>
  <c r="BU213" i="40"/>
  <c r="CI188" i="40"/>
  <c r="CJ187" i="40"/>
  <c r="CX179" i="40"/>
  <c r="CY178" i="40"/>
  <c r="CN196" i="40"/>
  <c r="CO195" i="40"/>
  <c r="BO149" i="40"/>
  <c r="BP148" i="40"/>
  <c r="CT228" i="40"/>
  <c r="CS229" i="40"/>
  <c r="A452" i="23"/>
  <c r="B451" i="23"/>
  <c r="C451" i="23" s="1"/>
  <c r="BE204" i="40" l="1"/>
  <c r="BF203" i="40"/>
  <c r="BK195" i="40"/>
  <c r="BJ196" i="40"/>
  <c r="BZ225" i="40"/>
  <c r="BY226" i="40"/>
  <c r="CD226" i="40"/>
  <c r="CE225" i="40"/>
  <c r="CI189" i="40"/>
  <c r="CJ188" i="40"/>
  <c r="BU214" i="40"/>
  <c r="BT215" i="40"/>
  <c r="CY179" i="40"/>
  <c r="CX180" i="40"/>
  <c r="CN197" i="40"/>
  <c r="CO196" i="40"/>
  <c r="BO150" i="40"/>
  <c r="BP149" i="40"/>
  <c r="CT229" i="40"/>
  <c r="CS230" i="40"/>
  <c r="A453" i="23"/>
  <c r="B452" i="23"/>
  <c r="C452" i="23" s="1"/>
  <c r="BE205" i="40" l="1"/>
  <c r="BF204" i="40"/>
  <c r="BK196" i="40"/>
  <c r="BJ197" i="40"/>
  <c r="CE226" i="40"/>
  <c r="CD227" i="40"/>
  <c r="BZ226" i="40"/>
  <c r="BY227" i="40"/>
  <c r="BT216" i="40"/>
  <c r="BU215" i="40"/>
  <c r="CI190" i="40"/>
  <c r="CJ189" i="40"/>
  <c r="CY180" i="40"/>
  <c r="CX181" i="40"/>
  <c r="CO197" i="40"/>
  <c r="CN198" i="40"/>
  <c r="BO151" i="40"/>
  <c r="BP150" i="40"/>
  <c r="CT230" i="40"/>
  <c r="CS231" i="40"/>
  <c r="B453" i="23"/>
  <c r="C453" i="23" s="1"/>
  <c r="A454" i="23"/>
  <c r="BE206" i="40" l="1"/>
  <c r="BF205" i="40"/>
  <c r="BK197" i="40"/>
  <c r="BJ198" i="40"/>
  <c r="BZ227" i="40"/>
  <c r="BY228" i="40"/>
  <c r="CD228" i="40"/>
  <c r="CE227" i="40"/>
  <c r="CI191" i="40"/>
  <c r="CJ190" i="40"/>
  <c r="BT217" i="40"/>
  <c r="BU216" i="40"/>
  <c r="CX182" i="40"/>
  <c r="CY181" i="40"/>
  <c r="CN199" i="40"/>
  <c r="CO198" i="40"/>
  <c r="BP151" i="40"/>
  <c r="BO152" i="40"/>
  <c r="CT231" i="40"/>
  <c r="CS232" i="40"/>
  <c r="A455" i="23"/>
  <c r="B454" i="23"/>
  <c r="C454" i="23" s="1"/>
  <c r="BE207" i="40" l="1"/>
  <c r="BF206" i="40"/>
  <c r="BK198" i="40"/>
  <c r="BJ199" i="40"/>
  <c r="CD229" i="40"/>
  <c r="CE228" i="40"/>
  <c r="BZ228" i="40"/>
  <c r="BY229" i="40"/>
  <c r="BT218" i="40"/>
  <c r="BU217" i="40"/>
  <c r="CI192" i="40"/>
  <c r="CJ191" i="40"/>
  <c r="CY182" i="40"/>
  <c r="CX183" i="40"/>
  <c r="CO199" i="40"/>
  <c r="CN200" i="40"/>
  <c r="BP152" i="40"/>
  <c r="BO153" i="40"/>
  <c r="CT232" i="40"/>
  <c r="CS233" i="40"/>
  <c r="B455" i="23"/>
  <c r="C455" i="23" s="1"/>
  <c r="A456" i="23"/>
  <c r="BF207" i="40" l="1"/>
  <c r="BE208" i="40"/>
  <c r="BK199" i="40"/>
  <c r="BJ200" i="40"/>
  <c r="BZ229" i="40"/>
  <c r="BY230" i="40"/>
  <c r="CE229" i="40"/>
  <c r="CD230" i="40"/>
  <c r="CI193" i="40"/>
  <c r="CJ192" i="40"/>
  <c r="BU218" i="40"/>
  <c r="BT219" i="40"/>
  <c r="CY183" i="40"/>
  <c r="CX184" i="40"/>
  <c r="CO200" i="40"/>
  <c r="CN201" i="40"/>
  <c r="BP153" i="40"/>
  <c r="BO154" i="40"/>
  <c r="CT233" i="40"/>
  <c r="CS234" i="40"/>
  <c r="A457" i="23"/>
  <c r="B456" i="23"/>
  <c r="C456" i="23" s="1"/>
  <c r="BE209" i="40" l="1"/>
  <c r="BF208" i="40"/>
  <c r="BK200" i="40"/>
  <c r="BJ201" i="40"/>
  <c r="CE230" i="40"/>
  <c r="CD231" i="40"/>
  <c r="BZ230" i="40"/>
  <c r="BY231" i="40"/>
  <c r="BU219" i="40"/>
  <c r="BT220" i="40"/>
  <c r="CI194" i="40"/>
  <c r="CJ193" i="40"/>
  <c r="CX185" i="40"/>
  <c r="CY184" i="40"/>
  <c r="CO201" i="40"/>
  <c r="CN202" i="40"/>
  <c r="BO155" i="40"/>
  <c r="BP154" i="40"/>
  <c r="CT234" i="40"/>
  <c r="CS235" i="40"/>
  <c r="A458" i="23"/>
  <c r="B457" i="23"/>
  <c r="C457" i="23" s="1"/>
  <c r="BE210" i="40" l="1"/>
  <c r="BF209" i="40"/>
  <c r="BK201" i="40"/>
  <c r="BJ202" i="40"/>
  <c r="BZ231" i="40"/>
  <c r="BY232" i="40"/>
  <c r="CD232" i="40"/>
  <c r="CE231" i="40"/>
  <c r="CI195" i="40"/>
  <c r="CJ194" i="40"/>
  <c r="BT221" i="40"/>
  <c r="BU220" i="40"/>
  <c r="CX186" i="40"/>
  <c r="CY185" i="40"/>
  <c r="CN203" i="40"/>
  <c r="CO202" i="40"/>
  <c r="BO156" i="40"/>
  <c r="BP155" i="40"/>
  <c r="CT235" i="40"/>
  <c r="CS236" i="40"/>
  <c r="A459" i="23"/>
  <c r="B458" i="23"/>
  <c r="C458" i="23" s="1"/>
  <c r="BE211" i="40" l="1"/>
  <c r="BF210" i="40"/>
  <c r="BK202" i="40"/>
  <c r="BJ203" i="40"/>
  <c r="CD233" i="40"/>
  <c r="CE232" i="40"/>
  <c r="BZ232" i="40"/>
  <c r="BY233" i="40"/>
  <c r="BU221" i="40"/>
  <c r="BT222" i="40"/>
  <c r="CI196" i="40"/>
  <c r="CJ195" i="40"/>
  <c r="CX187" i="40"/>
  <c r="CY186" i="40"/>
  <c r="CN204" i="40"/>
  <c r="CO203" i="40"/>
  <c r="BP156" i="40"/>
  <c r="BO157" i="40"/>
  <c r="CT236" i="40"/>
  <c r="CS237" i="40"/>
  <c r="A460" i="23"/>
  <c r="B459" i="23"/>
  <c r="C459" i="23" s="1"/>
  <c r="BE212" i="40" l="1"/>
  <c r="BF211" i="40"/>
  <c r="BK203" i="40"/>
  <c r="BJ204" i="40"/>
  <c r="BZ233" i="40"/>
  <c r="BY234" i="40"/>
  <c r="CE233" i="40"/>
  <c r="CD234" i="40"/>
  <c r="CI197" i="40"/>
  <c r="CJ196" i="40"/>
  <c r="BT223" i="40"/>
  <c r="BU222" i="40"/>
  <c r="CY187" i="40"/>
  <c r="CX188" i="40"/>
  <c r="CN205" i="40"/>
  <c r="CO204" i="40"/>
  <c r="BP157" i="40"/>
  <c r="BO158" i="40"/>
  <c r="CT237" i="40"/>
  <c r="CS238" i="40"/>
  <c r="A461" i="23"/>
  <c r="B460" i="23"/>
  <c r="C460" i="23" s="1"/>
  <c r="BE213" i="40" l="1"/>
  <c r="BF212" i="40"/>
  <c r="BK204" i="40"/>
  <c r="BJ205" i="40"/>
  <c r="CE234" i="40"/>
  <c r="CD235" i="40"/>
  <c r="BZ234" i="40"/>
  <c r="BY235" i="40"/>
  <c r="BU223" i="40"/>
  <c r="BT224" i="40"/>
  <c r="CI198" i="40"/>
  <c r="CJ197" i="40"/>
  <c r="CY188" i="40"/>
  <c r="CX189" i="40"/>
  <c r="CO205" i="40"/>
  <c r="CN206" i="40"/>
  <c r="BO159" i="40"/>
  <c r="BP158" i="40"/>
  <c r="CT238" i="40"/>
  <c r="CS239" i="40"/>
  <c r="B461" i="23"/>
  <c r="C461" i="23" s="1"/>
  <c r="A462" i="23"/>
  <c r="BE214" i="40" l="1"/>
  <c r="BF213" i="40"/>
  <c r="BK205" i="40"/>
  <c r="BJ206" i="40"/>
  <c r="BZ235" i="40"/>
  <c r="BY236" i="40"/>
  <c r="CE235" i="40"/>
  <c r="CD236" i="40"/>
  <c r="CI199" i="40"/>
  <c r="CJ198" i="40"/>
  <c r="BT225" i="40"/>
  <c r="BU224" i="40"/>
  <c r="CX190" i="40"/>
  <c r="CY189" i="40"/>
  <c r="CN207" i="40"/>
  <c r="CO206" i="40"/>
  <c r="BO160" i="40"/>
  <c r="BP159" i="40"/>
  <c r="CT239" i="40"/>
  <c r="CS240" i="40"/>
  <c r="A463" i="23"/>
  <c r="B462" i="23"/>
  <c r="C462" i="23" s="1"/>
  <c r="BE215" i="40" l="1"/>
  <c r="BF214" i="40"/>
  <c r="BK206" i="40"/>
  <c r="BJ207" i="40"/>
  <c r="CD237" i="40"/>
  <c r="CE236" i="40"/>
  <c r="BZ236" i="40"/>
  <c r="BY237" i="40"/>
  <c r="BT226" i="40"/>
  <c r="BU225" i="40"/>
  <c r="CI200" i="40"/>
  <c r="CJ199" i="40"/>
  <c r="CY190" i="40"/>
  <c r="CX191" i="40"/>
  <c r="CN208" i="40"/>
  <c r="CO207" i="40"/>
  <c r="BO161" i="40"/>
  <c r="BP160" i="40"/>
  <c r="CS241" i="40"/>
  <c r="CT240" i="40"/>
  <c r="B463" i="23"/>
  <c r="C463" i="23" s="1"/>
  <c r="A464" i="23"/>
  <c r="BE216" i="40" l="1"/>
  <c r="BF215" i="40"/>
  <c r="BK207" i="40"/>
  <c r="BJ208" i="40"/>
  <c r="BZ237" i="40"/>
  <c r="BY238" i="40"/>
  <c r="CE237" i="40"/>
  <c r="CD238" i="40"/>
  <c r="CI201" i="40"/>
  <c r="CJ200" i="40"/>
  <c r="BU226" i="40"/>
  <c r="BT227" i="40"/>
  <c r="CX192" i="40"/>
  <c r="CY191" i="40"/>
  <c r="CN209" i="40"/>
  <c r="CO208" i="40"/>
  <c r="BO162" i="40"/>
  <c r="BP161" i="40"/>
  <c r="CS242" i="40"/>
  <c r="CT241" i="40"/>
  <c r="A465" i="23"/>
  <c r="B464" i="23"/>
  <c r="C464" i="23" s="1"/>
  <c r="BF216" i="40" l="1"/>
  <c r="BE217" i="40"/>
  <c r="BK208" i="40"/>
  <c r="BJ209" i="40"/>
  <c r="CE238" i="40"/>
  <c r="CD239" i="40"/>
  <c r="BZ238" i="40"/>
  <c r="BY239" i="40"/>
  <c r="BT228" i="40"/>
  <c r="BU227" i="40"/>
  <c r="CI202" i="40"/>
  <c r="CJ201" i="40"/>
  <c r="CY192" i="40"/>
  <c r="CX193" i="40"/>
  <c r="CN210" i="40"/>
  <c r="CO209" i="40"/>
  <c r="BO163" i="40"/>
  <c r="BP162" i="40"/>
  <c r="CS243" i="40"/>
  <c r="CT242" i="40"/>
  <c r="A466" i="23"/>
  <c r="B465" i="23"/>
  <c r="C465" i="23" s="1"/>
  <c r="BE218" i="40" l="1"/>
  <c r="BF217" i="40"/>
  <c r="BK209" i="40"/>
  <c r="BJ210" i="40"/>
  <c r="BZ239" i="40"/>
  <c r="BY240" i="40"/>
  <c r="CD240" i="40"/>
  <c r="CE239" i="40"/>
  <c r="CI203" i="40"/>
  <c r="CJ202" i="40"/>
  <c r="BT229" i="40"/>
  <c r="BU228" i="40"/>
  <c r="CY193" i="40"/>
  <c r="CX194" i="40"/>
  <c r="CO210" i="40"/>
  <c r="CN211" i="40"/>
  <c r="BO164" i="40"/>
  <c r="BP163" i="40"/>
  <c r="CS244" i="40"/>
  <c r="CT243" i="40"/>
  <c r="A467" i="23"/>
  <c r="B466" i="23"/>
  <c r="C466" i="23" s="1"/>
  <c r="BE219" i="40" l="1"/>
  <c r="BF218" i="40"/>
  <c r="BK210" i="40"/>
  <c r="BJ211" i="40"/>
  <c r="CD241" i="40"/>
  <c r="CE240" i="40"/>
  <c r="BZ240" i="40"/>
  <c r="BY241" i="40"/>
  <c r="BT230" i="40"/>
  <c r="BU229" i="40"/>
  <c r="CI204" i="40"/>
  <c r="CJ203" i="40"/>
  <c r="CX195" i="40"/>
  <c r="CY194" i="40"/>
  <c r="CO211" i="40"/>
  <c r="CN212" i="40"/>
  <c r="BP164" i="40"/>
  <c r="BO165" i="40"/>
  <c r="CS245" i="40"/>
  <c r="CT244" i="40"/>
  <c r="B467" i="23"/>
  <c r="C467" i="23" s="1"/>
  <c r="A468" i="23"/>
  <c r="BF219" i="40" l="1"/>
  <c r="BE220" i="40"/>
  <c r="BK211" i="40"/>
  <c r="BJ212" i="40"/>
  <c r="BZ241" i="40"/>
  <c r="BY242" i="40"/>
  <c r="CE241" i="40"/>
  <c r="CD242" i="40"/>
  <c r="CJ204" i="40"/>
  <c r="CI205" i="40"/>
  <c r="BU230" i="40"/>
  <c r="BT231" i="40"/>
  <c r="CX196" i="40"/>
  <c r="CY195" i="40"/>
  <c r="CN213" i="40"/>
  <c r="CO212" i="40"/>
  <c r="BO166" i="40"/>
  <c r="BP165" i="40"/>
  <c r="CS246" i="40"/>
  <c r="CT245" i="40"/>
  <c r="A469" i="23"/>
  <c r="B468" i="23"/>
  <c r="C468" i="23" s="1"/>
  <c r="BF220" i="40" l="1"/>
  <c r="BE221" i="40"/>
  <c r="BK212" i="40"/>
  <c r="BJ213" i="40"/>
  <c r="CE242" i="40"/>
  <c r="CD243" i="40"/>
  <c r="BZ242" i="40"/>
  <c r="BY243" i="40"/>
  <c r="BT232" i="40"/>
  <c r="BU231" i="40"/>
  <c r="CI206" i="40"/>
  <c r="CJ205" i="40"/>
  <c r="CY196" i="40"/>
  <c r="CX197" i="40"/>
  <c r="CN214" i="40"/>
  <c r="CO213" i="40"/>
  <c r="BP166" i="40"/>
  <c r="BO167" i="40"/>
  <c r="CS247" i="40"/>
  <c r="CT246" i="40"/>
  <c r="B469" i="23"/>
  <c r="C469" i="23" s="1"/>
  <c r="A470" i="23"/>
  <c r="BE222" i="40" l="1"/>
  <c r="BF221" i="40"/>
  <c r="BK213" i="40"/>
  <c r="BJ214" i="40"/>
  <c r="BZ243" i="40"/>
  <c r="BY244" i="40"/>
  <c r="CD244" i="40"/>
  <c r="CE243" i="40"/>
  <c r="CI207" i="40"/>
  <c r="CJ206" i="40"/>
  <c r="BT233" i="40"/>
  <c r="BU232" i="40"/>
  <c r="CX198" i="40"/>
  <c r="CY197" i="40"/>
  <c r="CN215" i="40"/>
  <c r="CO214" i="40"/>
  <c r="BP167" i="40"/>
  <c r="BO168" i="40"/>
  <c r="CS248" i="40"/>
  <c r="CT247" i="40"/>
  <c r="A471" i="23"/>
  <c r="B470" i="23"/>
  <c r="C470" i="23" s="1"/>
  <c r="BE223" i="40" l="1"/>
  <c r="BF222" i="40"/>
  <c r="BK214" i="40"/>
  <c r="BJ215" i="40"/>
  <c r="BZ244" i="40"/>
  <c r="BY245" i="40"/>
  <c r="CD245" i="40"/>
  <c r="CE244" i="40"/>
  <c r="BT234" i="40"/>
  <c r="BU233" i="40"/>
  <c r="CI208" i="40"/>
  <c r="CJ207" i="40"/>
  <c r="CY198" i="40"/>
  <c r="CX199" i="40"/>
  <c r="CN216" i="40"/>
  <c r="CO215" i="40"/>
  <c r="BO169" i="40"/>
  <c r="BP168" i="40"/>
  <c r="CS249" i="40"/>
  <c r="CT248" i="40"/>
  <c r="A472" i="23"/>
  <c r="B471" i="23"/>
  <c r="C471" i="23" s="1"/>
  <c r="BF223" i="40" l="1"/>
  <c r="BE224" i="40"/>
  <c r="BK215" i="40"/>
  <c r="BJ216" i="40"/>
  <c r="CE245" i="40"/>
  <c r="CD246" i="40"/>
  <c r="BZ245" i="40"/>
  <c r="BY246" i="40"/>
  <c r="CI209" i="40"/>
  <c r="CJ208" i="40"/>
  <c r="BT235" i="40"/>
  <c r="BU234" i="40"/>
  <c r="CY199" i="40"/>
  <c r="CX200" i="40"/>
  <c r="CN217" i="40"/>
  <c r="CO216" i="40"/>
  <c r="BO170" i="40"/>
  <c r="BP169" i="40"/>
  <c r="CS250" i="40"/>
  <c r="CT249" i="40"/>
  <c r="A473" i="23"/>
  <c r="B472" i="23"/>
  <c r="C472" i="23" s="1"/>
  <c r="BE225" i="40" l="1"/>
  <c r="BF224" i="40"/>
  <c r="BK216" i="40"/>
  <c r="BJ217" i="40"/>
  <c r="BZ246" i="40"/>
  <c r="BY247" i="40"/>
  <c r="CE246" i="40"/>
  <c r="CD247" i="40"/>
  <c r="BT236" i="40"/>
  <c r="BU235" i="40"/>
  <c r="CI210" i="40"/>
  <c r="CJ209" i="40"/>
  <c r="CY200" i="40"/>
  <c r="CX201" i="40"/>
  <c r="CN218" i="40"/>
  <c r="CO217" i="40"/>
  <c r="BO171" i="40"/>
  <c r="BP170" i="40"/>
  <c r="CS251" i="40"/>
  <c r="CT250" i="40"/>
  <c r="B473" i="23"/>
  <c r="C473" i="23" s="1"/>
  <c r="A474" i="23"/>
  <c r="BE226" i="40" l="1"/>
  <c r="BF225" i="40"/>
  <c r="BK217" i="40"/>
  <c r="BJ218" i="40"/>
  <c r="CD248" i="40"/>
  <c r="CE247" i="40"/>
  <c r="BY248" i="40"/>
  <c r="BZ247" i="40"/>
  <c r="CI211" i="40"/>
  <c r="CJ210" i="40"/>
  <c r="BT237" i="40"/>
  <c r="BU236" i="40"/>
  <c r="CX202" i="40"/>
  <c r="CY201" i="40"/>
  <c r="CN219" i="40"/>
  <c r="CO218" i="40"/>
  <c r="BO172" i="40"/>
  <c r="BP171" i="40"/>
  <c r="CS252" i="40"/>
  <c r="CT251" i="40"/>
  <c r="A475" i="23"/>
  <c r="B474" i="23"/>
  <c r="C474" i="23" s="1"/>
  <c r="BF226" i="40" l="1"/>
  <c r="BE227" i="40"/>
  <c r="BK218" i="40"/>
  <c r="BJ219" i="40"/>
  <c r="BY249" i="40"/>
  <c r="BZ248" i="40"/>
  <c r="CD249" i="40"/>
  <c r="CE248" i="40"/>
  <c r="BU237" i="40"/>
  <c r="BT238" i="40"/>
  <c r="CI212" i="40"/>
  <c r="CJ211" i="40"/>
  <c r="CY202" i="40"/>
  <c r="CX203" i="40"/>
  <c r="CN220" i="40"/>
  <c r="CO219" i="40"/>
  <c r="BO173" i="40"/>
  <c r="BP172" i="40"/>
  <c r="CS253" i="40"/>
  <c r="CT252" i="40"/>
  <c r="A476" i="23"/>
  <c r="B475" i="23"/>
  <c r="C475" i="23" s="1"/>
  <c r="BF227" i="40" l="1"/>
  <c r="BE228" i="40"/>
  <c r="BK219" i="40"/>
  <c r="BJ220" i="40"/>
  <c r="CE249" i="40"/>
  <c r="CD250" i="40"/>
  <c r="BY250" i="40"/>
  <c r="BZ249" i="40"/>
  <c r="CI213" i="40"/>
  <c r="CJ212" i="40"/>
  <c r="BT239" i="40"/>
  <c r="BU238" i="40"/>
  <c r="CX204" i="40"/>
  <c r="CY203" i="40"/>
  <c r="CN221" i="40"/>
  <c r="CO220" i="40"/>
  <c r="BP173" i="40"/>
  <c r="BO174" i="40"/>
  <c r="CS254" i="40"/>
  <c r="CT253" i="40"/>
  <c r="A477" i="23"/>
  <c r="B476" i="23"/>
  <c r="C476" i="23" s="1"/>
  <c r="BE229" i="40" l="1"/>
  <c r="BF228" i="40"/>
  <c r="BJ221" i="40"/>
  <c r="BK220" i="40"/>
  <c r="BZ250" i="40"/>
  <c r="BY251" i="40"/>
  <c r="CE250" i="40"/>
  <c r="CD251" i="40"/>
  <c r="BT240" i="40"/>
  <c r="BU239" i="40"/>
  <c r="CI214" i="40"/>
  <c r="CJ213" i="40"/>
  <c r="CX205" i="40"/>
  <c r="CY204" i="40"/>
  <c r="CN222" i="40"/>
  <c r="CO221" i="40"/>
  <c r="BO175" i="40"/>
  <c r="BP174" i="40"/>
  <c r="CS255" i="40"/>
  <c r="CT254" i="40"/>
  <c r="B477" i="23"/>
  <c r="C477" i="23" s="1"/>
  <c r="A478" i="23"/>
  <c r="BF229" i="40" l="1"/>
  <c r="BE230" i="40"/>
  <c r="BK221" i="40"/>
  <c r="BJ222" i="40"/>
  <c r="CD252" i="40"/>
  <c r="CE251" i="40"/>
  <c r="BY252" i="40"/>
  <c r="BZ251" i="40"/>
  <c r="CI215" i="40"/>
  <c r="CJ214" i="40"/>
  <c r="BU240" i="40"/>
  <c r="BT241" i="40"/>
  <c r="CY205" i="40"/>
  <c r="CX206" i="40"/>
  <c r="CN223" i="40"/>
  <c r="CO222" i="40"/>
  <c r="BP175" i="40"/>
  <c r="BO176" i="40"/>
  <c r="CS256" i="40"/>
  <c r="CT255" i="40"/>
  <c r="A479" i="23"/>
  <c r="B478" i="23"/>
  <c r="C478" i="23" s="1"/>
  <c r="BE231" i="40" l="1"/>
  <c r="BF230" i="40"/>
  <c r="BK222" i="40"/>
  <c r="BJ223" i="40"/>
  <c r="BZ252" i="40"/>
  <c r="BY253" i="40"/>
  <c r="CD253" i="40"/>
  <c r="CE252" i="40"/>
  <c r="BT242" i="40"/>
  <c r="BU241" i="40"/>
  <c r="CI216" i="40"/>
  <c r="CJ215" i="40"/>
  <c r="CY206" i="40"/>
  <c r="CX207" i="40"/>
  <c r="CN224" i="40"/>
  <c r="CO223" i="40"/>
  <c r="BP176" i="40"/>
  <c r="BO177" i="40"/>
  <c r="CS257" i="40"/>
  <c r="CT256" i="40"/>
  <c r="B479" i="23"/>
  <c r="C479" i="23" s="1"/>
  <c r="A480" i="23"/>
  <c r="BE232" i="40" l="1"/>
  <c r="BF231" i="40"/>
  <c r="BK223" i="40"/>
  <c r="BJ224" i="40"/>
  <c r="CE253" i="40"/>
  <c r="CD254" i="40"/>
  <c r="BZ253" i="40"/>
  <c r="BY254" i="40"/>
  <c r="CI217" i="40"/>
  <c r="CJ216" i="40"/>
  <c r="BU242" i="40"/>
  <c r="BT243" i="40"/>
  <c r="CX208" i="40"/>
  <c r="CY207" i="40"/>
  <c r="CO224" i="40"/>
  <c r="CN225" i="40"/>
  <c r="BP177" i="40"/>
  <c r="BO178" i="40"/>
  <c r="CS258" i="40"/>
  <c r="CT257" i="40"/>
  <c r="A481" i="23"/>
  <c r="B480" i="23"/>
  <c r="C480" i="23" s="1"/>
  <c r="BF232" i="40" l="1"/>
  <c r="BE233" i="40"/>
  <c r="BK224" i="40"/>
  <c r="BJ225" i="40"/>
  <c r="BZ254" i="40"/>
  <c r="BY255" i="40"/>
  <c r="CE254" i="40"/>
  <c r="CD255" i="40"/>
  <c r="BU243" i="40"/>
  <c r="BT244" i="40"/>
  <c r="CI218" i="40"/>
  <c r="CJ217" i="40"/>
  <c r="CY208" i="40"/>
  <c r="CX209" i="40"/>
  <c r="CN226" i="40"/>
  <c r="CO225" i="40"/>
  <c r="BP178" i="40"/>
  <c r="BO179" i="40"/>
  <c r="CS259" i="40"/>
  <c r="CT258" i="40"/>
  <c r="B481" i="23"/>
  <c r="C481" i="23" s="1"/>
  <c r="A482" i="23"/>
  <c r="BE234" i="40" l="1"/>
  <c r="BF233" i="40"/>
  <c r="BK225" i="40"/>
  <c r="BJ226" i="40"/>
  <c r="CD256" i="40"/>
  <c r="CE255" i="40"/>
  <c r="BZ255" i="40"/>
  <c r="BY256" i="40"/>
  <c r="CI219" i="40"/>
  <c r="CJ218" i="40"/>
  <c r="BT245" i="40"/>
  <c r="BU244" i="40"/>
  <c r="CX210" i="40"/>
  <c r="CY209" i="40"/>
  <c r="CN227" i="40"/>
  <c r="CO226" i="40"/>
  <c r="BP179" i="40"/>
  <c r="BO180" i="40"/>
  <c r="CS260" i="40"/>
  <c r="CT259" i="40"/>
  <c r="A483" i="23"/>
  <c r="B482" i="23"/>
  <c r="C482" i="23" s="1"/>
  <c r="BE235" i="40" l="1"/>
  <c r="BF234" i="40"/>
  <c r="BK226" i="40"/>
  <c r="BJ227" i="40"/>
  <c r="BZ256" i="40"/>
  <c r="BY257" i="40"/>
  <c r="CD257" i="40"/>
  <c r="CE256" i="40"/>
  <c r="BT246" i="40"/>
  <c r="BU245" i="40"/>
  <c r="CI220" i="40"/>
  <c r="CJ219" i="40"/>
  <c r="CY210" i="40"/>
  <c r="CX211" i="40"/>
  <c r="CN228" i="40"/>
  <c r="CO227" i="40"/>
  <c r="BO181" i="40"/>
  <c r="BP180" i="40"/>
  <c r="CS261" i="40"/>
  <c r="CT260" i="40"/>
  <c r="B483" i="23"/>
  <c r="C483" i="23" s="1"/>
  <c r="A484" i="23"/>
  <c r="BE236" i="40" l="1"/>
  <c r="BF235" i="40"/>
  <c r="BJ228" i="40"/>
  <c r="BK227" i="40"/>
  <c r="CE257" i="40"/>
  <c r="CD258" i="40"/>
  <c r="BY258" i="40"/>
  <c r="BZ257" i="40"/>
  <c r="CJ220" i="40"/>
  <c r="CI221" i="40"/>
  <c r="BT247" i="40"/>
  <c r="BU246" i="40"/>
  <c r="CY211" i="40"/>
  <c r="CX212" i="40"/>
  <c r="CN229" i="40"/>
  <c r="CO228" i="40"/>
  <c r="BP181" i="40"/>
  <c r="BO182" i="40"/>
  <c r="CS262" i="40"/>
  <c r="CT261" i="40"/>
  <c r="A485" i="23"/>
  <c r="B484" i="23"/>
  <c r="C484" i="23" s="1"/>
  <c r="BE237" i="40" l="1"/>
  <c r="BF236" i="40"/>
  <c r="BK228" i="40"/>
  <c r="BJ229" i="40"/>
  <c r="BZ258" i="40"/>
  <c r="BY259" i="40"/>
  <c r="CE258" i="40"/>
  <c r="CD259" i="40"/>
  <c r="BT248" i="40"/>
  <c r="BU247" i="40"/>
  <c r="CI222" i="40"/>
  <c r="CJ221" i="40"/>
  <c r="CY212" i="40"/>
  <c r="CX213" i="40"/>
  <c r="CN230" i="40"/>
  <c r="CO229" i="40"/>
  <c r="BP182" i="40"/>
  <c r="BO183" i="40"/>
  <c r="CS263" i="40"/>
  <c r="CT262" i="40"/>
  <c r="B485" i="23"/>
  <c r="C485" i="23" s="1"/>
  <c r="A486" i="23"/>
  <c r="BF237" i="40" l="1"/>
  <c r="BE238" i="40"/>
  <c r="BJ230" i="40"/>
  <c r="BK229" i="40"/>
  <c r="CD260" i="40"/>
  <c r="CE259" i="40"/>
  <c r="BZ259" i="40"/>
  <c r="BY260" i="40"/>
  <c r="CJ222" i="40"/>
  <c r="CI223" i="40"/>
  <c r="BT249" i="40"/>
  <c r="BU248" i="40"/>
  <c r="CX214" i="40"/>
  <c r="CY213" i="40"/>
  <c r="CN231" i="40"/>
  <c r="CO230" i="40"/>
  <c r="BP183" i="40"/>
  <c r="BO184" i="40"/>
  <c r="CS264" i="40"/>
  <c r="CT263" i="40"/>
  <c r="A487" i="23"/>
  <c r="B486" i="23"/>
  <c r="C486" i="23" s="1"/>
  <c r="BE239" i="40" l="1"/>
  <c r="BF238" i="40"/>
  <c r="BJ231" i="40"/>
  <c r="BK230" i="40"/>
  <c r="BZ260" i="40"/>
  <c r="BY261" i="40"/>
  <c r="CE260" i="40"/>
  <c r="CD261" i="40"/>
  <c r="BU249" i="40"/>
  <c r="BT250" i="40"/>
  <c r="CI224" i="40"/>
  <c r="CJ223" i="40"/>
  <c r="CX215" i="40"/>
  <c r="CY214" i="40"/>
  <c r="CN232" i="40"/>
  <c r="CO231" i="40"/>
  <c r="BP184" i="40"/>
  <c r="BO185" i="40"/>
  <c r="CS265" i="40"/>
  <c r="CT264" i="40"/>
  <c r="B487" i="23"/>
  <c r="C487" i="23" s="1"/>
  <c r="A488" i="23"/>
  <c r="BE240" i="40" l="1"/>
  <c r="BF239" i="40"/>
  <c r="BK231" i="40"/>
  <c r="BJ232" i="40"/>
  <c r="CE261" i="40"/>
  <c r="CD262" i="40"/>
  <c r="BZ261" i="40"/>
  <c r="BY262" i="40"/>
  <c r="CI225" i="40"/>
  <c r="CJ224" i="40"/>
  <c r="BT251" i="40"/>
  <c r="BU250" i="40"/>
  <c r="CY215" i="40"/>
  <c r="CX216" i="40"/>
  <c r="CN233" i="40"/>
  <c r="CO232" i="40"/>
  <c r="BP185" i="40"/>
  <c r="BO186" i="40"/>
  <c r="CS266" i="40"/>
  <c r="CT265" i="40"/>
  <c r="A489" i="23"/>
  <c r="B488" i="23"/>
  <c r="C488" i="23" s="1"/>
  <c r="BE241" i="40" l="1"/>
  <c r="BF240" i="40"/>
  <c r="BJ233" i="40"/>
  <c r="BK232" i="40"/>
  <c r="BZ262" i="40"/>
  <c r="BY263" i="40"/>
  <c r="CE262" i="40"/>
  <c r="CD263" i="40"/>
  <c r="BU251" i="40"/>
  <c r="BT252" i="40"/>
  <c r="CI226" i="40"/>
  <c r="CJ225" i="40"/>
  <c r="CY216" i="40"/>
  <c r="CX217" i="40"/>
  <c r="CN234" i="40"/>
  <c r="CO233" i="40"/>
  <c r="BP186" i="40"/>
  <c r="BO187" i="40"/>
  <c r="CS267" i="40"/>
  <c r="CT266" i="40"/>
  <c r="B489" i="23"/>
  <c r="C489" i="23" s="1"/>
  <c r="A490" i="23"/>
  <c r="BE242" i="40" l="1"/>
  <c r="BF241" i="40"/>
  <c r="BJ234" i="40"/>
  <c r="BK233" i="40"/>
  <c r="CE263" i="40"/>
  <c r="CD264" i="40"/>
  <c r="BY264" i="40"/>
  <c r="BZ263" i="40"/>
  <c r="CJ226" i="40"/>
  <c r="CI227" i="40"/>
  <c r="BU252" i="40"/>
  <c r="BT253" i="40"/>
  <c r="CX218" i="40"/>
  <c r="CY217" i="40"/>
  <c r="CN235" i="40"/>
  <c r="CO234" i="40"/>
  <c r="BO188" i="40"/>
  <c r="BP187" i="40"/>
  <c r="CS268" i="40"/>
  <c r="CT267" i="40"/>
  <c r="A491" i="23"/>
  <c r="B490" i="23"/>
  <c r="C490" i="23" s="1"/>
  <c r="BF242" i="40" l="1"/>
  <c r="BE243" i="40"/>
  <c r="BJ235" i="40"/>
  <c r="BK234" i="40"/>
  <c r="BZ264" i="40"/>
  <c r="BY265" i="40"/>
  <c r="CD265" i="40"/>
  <c r="CE264" i="40"/>
  <c r="BU253" i="40"/>
  <c r="BT254" i="40"/>
  <c r="CI228" i="40"/>
  <c r="CJ227" i="40"/>
  <c r="CX219" i="40"/>
  <c r="CY218" i="40"/>
  <c r="CN236" i="40"/>
  <c r="CO235" i="40"/>
  <c r="BP188" i="40"/>
  <c r="BO189" i="40"/>
  <c r="CS269" i="40"/>
  <c r="CT268" i="40"/>
  <c r="B491" i="23"/>
  <c r="C491" i="23" s="1"/>
  <c r="A492" i="23"/>
  <c r="BE244" i="40" l="1"/>
  <c r="BF243" i="40"/>
  <c r="BJ236" i="40"/>
  <c r="BK235" i="40"/>
  <c r="CE265" i="40"/>
  <c r="CD266" i="40"/>
  <c r="BY266" i="40"/>
  <c r="BZ265" i="40"/>
  <c r="CI229" i="40"/>
  <c r="CJ228" i="40"/>
  <c r="BU254" i="40"/>
  <c r="BT255" i="40"/>
  <c r="CX220" i="40"/>
  <c r="CY219" i="40"/>
  <c r="CO236" i="40"/>
  <c r="CN237" i="40"/>
  <c r="BO190" i="40"/>
  <c r="BP189" i="40"/>
  <c r="CS270" i="40"/>
  <c r="CT269" i="40"/>
  <c r="A493" i="23"/>
  <c r="B492" i="23"/>
  <c r="C492" i="23" s="1"/>
  <c r="BE245" i="40" l="1"/>
  <c r="BF244" i="40"/>
  <c r="BK236" i="40"/>
  <c r="BJ237" i="40"/>
  <c r="BY267" i="40"/>
  <c r="BZ266" i="40"/>
  <c r="CD267" i="40"/>
  <c r="CE266" i="40"/>
  <c r="BU255" i="40"/>
  <c r="BT256" i="40"/>
  <c r="CI230" i="40"/>
  <c r="CJ229" i="40"/>
  <c r="CY220" i="40"/>
  <c r="CX221" i="40"/>
  <c r="CN238" i="40"/>
  <c r="CO237" i="40"/>
  <c r="BO191" i="40"/>
  <c r="BP190" i="40"/>
  <c r="CS271" i="40"/>
  <c r="CT270" i="40"/>
  <c r="B493" i="23"/>
  <c r="C493" i="23" s="1"/>
  <c r="A494" i="23"/>
  <c r="BE246" i="40" l="1"/>
  <c r="BF245" i="40"/>
  <c r="BJ238" i="40"/>
  <c r="BK237" i="40"/>
  <c r="CE267" i="40"/>
  <c r="CD268" i="40"/>
  <c r="BZ267" i="40"/>
  <c r="BY268" i="40"/>
  <c r="CI231" i="40"/>
  <c r="CJ230" i="40"/>
  <c r="BT257" i="40"/>
  <c r="BU256" i="40"/>
  <c r="CY221" i="40"/>
  <c r="CX222" i="40"/>
  <c r="CN239" i="40"/>
  <c r="CO238" i="40"/>
  <c r="BO192" i="40"/>
  <c r="BP191" i="40"/>
  <c r="CS272" i="40"/>
  <c r="CT271" i="40"/>
  <c r="A495" i="23"/>
  <c r="B494" i="23"/>
  <c r="C494" i="23" s="1"/>
  <c r="BE247" i="40" l="1"/>
  <c r="BF246" i="40"/>
  <c r="BJ239" i="40"/>
  <c r="BK238" i="40"/>
  <c r="BZ268" i="40"/>
  <c r="BY269" i="40"/>
  <c r="CD269" i="40"/>
  <c r="CE268" i="40"/>
  <c r="BU257" i="40"/>
  <c r="BT258" i="40"/>
  <c r="CI232" i="40"/>
  <c r="CJ231" i="40"/>
  <c r="CX223" i="40"/>
  <c r="CY222" i="40"/>
  <c r="CO239" i="40"/>
  <c r="CN240" i="40"/>
  <c r="BO193" i="40"/>
  <c r="BP192" i="40"/>
  <c r="CS273" i="40"/>
  <c r="CT272" i="40"/>
  <c r="B495" i="23"/>
  <c r="C495" i="23" s="1"/>
  <c r="A496" i="23"/>
  <c r="BF247" i="40" l="1"/>
  <c r="BE248" i="40"/>
  <c r="BJ240" i="40"/>
  <c r="BK239" i="40"/>
  <c r="CE269" i="40"/>
  <c r="CD270" i="40"/>
  <c r="BZ269" i="40"/>
  <c r="BY270" i="40"/>
  <c r="CJ232" i="40"/>
  <c r="CI233" i="40"/>
  <c r="BU258" i="40"/>
  <c r="BT259" i="40"/>
  <c r="CX224" i="40"/>
  <c r="CY223" i="40"/>
  <c r="CN241" i="40"/>
  <c r="CO240" i="40"/>
  <c r="BP193" i="40"/>
  <c r="BO194" i="40"/>
  <c r="CS274" i="40"/>
  <c r="CT273" i="40"/>
  <c r="A497" i="23"/>
  <c r="B496" i="23"/>
  <c r="C496" i="23" s="1"/>
  <c r="BE249" i="40" l="1"/>
  <c r="BF248" i="40"/>
  <c r="BJ241" i="40"/>
  <c r="BK240" i="40"/>
  <c r="BY271" i="40"/>
  <c r="BZ270" i="40"/>
  <c r="CE270" i="40"/>
  <c r="CD271" i="40"/>
  <c r="BU259" i="40"/>
  <c r="BT260" i="40"/>
  <c r="CI234" i="40"/>
  <c r="CJ233" i="40"/>
  <c r="CX225" i="40"/>
  <c r="CY224" i="40"/>
  <c r="CN242" i="40"/>
  <c r="CO241" i="40"/>
  <c r="BP194" i="40"/>
  <c r="BO195" i="40"/>
  <c r="CS275" i="40"/>
  <c r="CT274" i="40"/>
  <c r="B497" i="23"/>
  <c r="C497" i="23" s="1"/>
  <c r="A498" i="23"/>
  <c r="BE250" i="40" l="1"/>
  <c r="BF249" i="40"/>
  <c r="BJ242" i="40"/>
  <c r="BK241" i="40"/>
  <c r="CD272" i="40"/>
  <c r="CE271" i="40"/>
  <c r="BZ271" i="40"/>
  <c r="BY272" i="40"/>
  <c r="CI235" i="40"/>
  <c r="CJ234" i="40"/>
  <c r="BU260" i="40"/>
  <c r="BT261" i="40"/>
  <c r="CX226" i="40"/>
  <c r="CY225" i="40"/>
  <c r="CN243" i="40"/>
  <c r="CO242" i="40"/>
  <c r="BO196" i="40"/>
  <c r="BP195" i="40"/>
  <c r="CS276" i="40"/>
  <c r="CT275" i="40"/>
  <c r="A499" i="23"/>
  <c r="B498" i="23"/>
  <c r="C498" i="23" s="1"/>
  <c r="BF250" i="40" l="1"/>
  <c r="BE251" i="40"/>
  <c r="BK242" i="40"/>
  <c r="BJ243" i="40"/>
  <c r="BZ272" i="40"/>
  <c r="BY273" i="40"/>
  <c r="CD273" i="40"/>
  <c r="CE272" i="40"/>
  <c r="BT262" i="40"/>
  <c r="BU261" i="40"/>
  <c r="CI236" i="40"/>
  <c r="CJ235" i="40"/>
  <c r="CX227" i="40"/>
  <c r="CY226" i="40"/>
  <c r="CO243" i="40"/>
  <c r="CN244" i="40"/>
  <c r="BO197" i="40"/>
  <c r="BP196" i="40"/>
  <c r="CS277" i="40"/>
  <c r="CT276" i="40"/>
  <c r="B499" i="23"/>
  <c r="C499" i="23" s="1"/>
  <c r="A500" i="23"/>
  <c r="BF251" i="40" l="1"/>
  <c r="BE252" i="40"/>
  <c r="BJ244" i="40"/>
  <c r="BK243" i="40"/>
  <c r="CE273" i="40"/>
  <c r="CD274" i="40"/>
  <c r="BY274" i="40"/>
  <c r="BZ273" i="40"/>
  <c r="CI237" i="40"/>
  <c r="CJ236" i="40"/>
  <c r="BU262" i="40"/>
  <c r="BT263" i="40"/>
  <c r="CX228" i="40"/>
  <c r="CY227" i="40"/>
  <c r="CN245" i="40"/>
  <c r="CO244" i="40"/>
  <c r="BP197" i="40"/>
  <c r="BO198" i="40"/>
  <c r="CS278" i="40"/>
  <c r="CT277" i="40"/>
  <c r="A501" i="23"/>
  <c r="B500" i="23"/>
  <c r="C500" i="23" s="1"/>
  <c r="BE253" i="40" l="1"/>
  <c r="BF252" i="40"/>
  <c r="BJ245" i="40"/>
  <c r="BK244" i="40"/>
  <c r="BY275" i="40"/>
  <c r="BZ274" i="40"/>
  <c r="CE274" i="40"/>
  <c r="CD275" i="40"/>
  <c r="BT264" i="40"/>
  <c r="BU263" i="40"/>
  <c r="CJ237" i="40"/>
  <c r="CI238" i="40"/>
  <c r="CY228" i="40"/>
  <c r="CX229" i="40"/>
  <c r="CO245" i="40"/>
  <c r="CN246" i="40"/>
  <c r="BO199" i="40"/>
  <c r="BP198" i="40"/>
  <c r="CS279" i="40"/>
  <c r="CT278" i="40"/>
  <c r="B501" i="23"/>
  <c r="C501" i="23" s="1"/>
  <c r="A502" i="23"/>
  <c r="BE254" i="40" l="1"/>
  <c r="BF253" i="40"/>
  <c r="BJ246" i="40"/>
  <c r="BK245" i="40"/>
  <c r="CE275" i="40"/>
  <c r="CD276" i="40"/>
  <c r="BZ275" i="40"/>
  <c r="BY276" i="40"/>
  <c r="CJ238" i="40"/>
  <c r="CI239" i="40"/>
  <c r="BT265" i="40"/>
  <c r="BU264" i="40"/>
  <c r="CX230" i="40"/>
  <c r="CY229" i="40"/>
  <c r="CN247" i="40"/>
  <c r="CO246" i="40"/>
  <c r="BP199" i="40"/>
  <c r="BO200" i="40"/>
  <c r="CS280" i="40"/>
  <c r="CT279" i="40"/>
  <c r="A503" i="23"/>
  <c r="B502" i="23"/>
  <c r="C502" i="23" s="1"/>
  <c r="BF254" i="40" l="1"/>
  <c r="BE255" i="40"/>
  <c r="BJ247" i="40"/>
  <c r="BK246" i="40"/>
  <c r="BY277" i="40"/>
  <c r="BZ276" i="40"/>
  <c r="CD277" i="40"/>
  <c r="CE276" i="40"/>
  <c r="BU265" i="40"/>
  <c r="BT266" i="40"/>
  <c r="CI240" i="40"/>
  <c r="CJ239" i="40"/>
  <c r="CX231" i="40"/>
  <c r="CY230" i="40"/>
  <c r="CN248" i="40"/>
  <c r="CO247" i="40"/>
  <c r="BO201" i="40"/>
  <c r="BP200" i="40"/>
  <c r="CT280" i="40"/>
  <c r="CS281" i="40"/>
  <c r="B503" i="23"/>
  <c r="C503" i="23" s="1"/>
  <c r="A504" i="23"/>
  <c r="BE256" i="40" l="1"/>
  <c r="BF255" i="40"/>
  <c r="BJ248" i="40"/>
  <c r="BK247" i="40"/>
  <c r="CE277" i="40"/>
  <c r="CD278" i="40"/>
  <c r="BY278" i="40"/>
  <c r="BZ277" i="40"/>
  <c r="CJ240" i="40"/>
  <c r="CI241" i="40"/>
  <c r="BU266" i="40"/>
  <c r="BT267" i="40"/>
  <c r="CY231" i="40"/>
  <c r="CX232" i="40"/>
  <c r="CN249" i="40"/>
  <c r="CO248" i="40"/>
  <c r="BP201" i="40"/>
  <c r="BO202" i="40"/>
  <c r="CS282" i="40"/>
  <c r="CT281" i="40"/>
  <c r="A505" i="23"/>
  <c r="B504" i="23"/>
  <c r="C504" i="23" s="1"/>
  <c r="BE257" i="40" l="1"/>
  <c r="BF256" i="40"/>
  <c r="BJ249" i="40"/>
  <c r="BK248" i="40"/>
  <c r="BY279" i="40"/>
  <c r="BZ278" i="40"/>
  <c r="CE278" i="40"/>
  <c r="CD279" i="40"/>
  <c r="BT268" i="40"/>
  <c r="BU267" i="40"/>
  <c r="CI242" i="40"/>
  <c r="CJ241" i="40"/>
  <c r="CY232" i="40"/>
  <c r="CX233" i="40"/>
  <c r="CN250" i="40"/>
  <c r="CO249" i="40"/>
  <c r="BO203" i="40"/>
  <c r="BP202" i="40"/>
  <c r="CS283" i="40"/>
  <c r="CT282" i="40"/>
  <c r="B505" i="23"/>
  <c r="C505" i="23" s="1"/>
  <c r="A506" i="23"/>
  <c r="BF257" i="40" l="1"/>
  <c r="BE258" i="40"/>
  <c r="BJ250" i="40"/>
  <c r="BK249" i="40"/>
  <c r="CD280" i="40"/>
  <c r="CE279" i="40"/>
  <c r="BY280" i="40"/>
  <c r="BZ279" i="40"/>
  <c r="CJ242" i="40"/>
  <c r="CI243" i="40"/>
  <c r="BT269" i="40"/>
  <c r="BU268" i="40"/>
  <c r="CY233" i="40"/>
  <c r="CX234" i="40"/>
  <c r="CN251" i="40"/>
  <c r="CO250" i="40"/>
  <c r="BP203" i="40"/>
  <c r="BO204" i="40"/>
  <c r="CS284" i="40"/>
  <c r="CT283" i="40"/>
  <c r="A507" i="23"/>
  <c r="B506" i="23"/>
  <c r="C506" i="23" s="1"/>
  <c r="BF258" i="40" l="1"/>
  <c r="BE259" i="40"/>
  <c r="BK250" i="40"/>
  <c r="BJ251" i="40"/>
  <c r="BY281" i="40"/>
  <c r="BZ280" i="40"/>
  <c r="CD281" i="40"/>
  <c r="CE280" i="40"/>
  <c r="BT270" i="40"/>
  <c r="BU269" i="40"/>
  <c r="CI244" i="40"/>
  <c r="CJ243" i="40"/>
  <c r="CY234" i="40"/>
  <c r="CX235" i="40"/>
  <c r="CO251" i="40"/>
  <c r="CN252" i="40"/>
  <c r="BO205" i="40"/>
  <c r="BP204" i="40"/>
  <c r="CS285" i="40"/>
  <c r="CT284" i="40"/>
  <c r="B507" i="23"/>
  <c r="C507" i="23" s="1"/>
  <c r="A508" i="23"/>
  <c r="BE260" i="40" l="1"/>
  <c r="BF259" i="40"/>
  <c r="BJ252" i="40"/>
  <c r="BK251" i="40"/>
  <c r="CD282" i="40"/>
  <c r="CE281" i="40"/>
  <c r="BY282" i="40"/>
  <c r="BZ281" i="40"/>
  <c r="CJ244" i="40"/>
  <c r="CI245" i="40"/>
  <c r="BT271" i="40"/>
  <c r="BU270" i="40"/>
  <c r="CY235" i="40"/>
  <c r="CX236" i="40"/>
  <c r="CN253" i="40"/>
  <c r="CO252" i="40"/>
  <c r="BO206" i="40"/>
  <c r="BP205" i="40"/>
  <c r="CT285" i="40"/>
  <c r="CS286" i="40"/>
  <c r="A509" i="23"/>
  <c r="B509" i="23" s="1"/>
  <c r="C509" i="23" s="1"/>
  <c r="B508" i="23"/>
  <c r="C508" i="23" s="1"/>
  <c r="BF260" i="40" l="1"/>
  <c r="BE261" i="40"/>
  <c r="BJ253" i="40"/>
  <c r="BK252" i="40"/>
  <c r="BY283" i="40"/>
  <c r="BZ282" i="40"/>
  <c r="CE282" i="40"/>
  <c r="CD283" i="40"/>
  <c r="BU271" i="40"/>
  <c r="BT272" i="40"/>
  <c r="CJ245" i="40"/>
  <c r="CI246" i="40"/>
  <c r="CY236" i="40"/>
  <c r="CX237" i="40"/>
  <c r="CN254" i="40"/>
  <c r="CO253" i="40"/>
  <c r="BP206" i="40"/>
  <c r="BO207" i="40"/>
  <c r="CS287" i="40"/>
  <c r="CT286" i="40"/>
  <c r="BE262" i="40" l="1"/>
  <c r="BF261" i="40"/>
  <c r="BJ254" i="40"/>
  <c r="BK253" i="40"/>
  <c r="CE283" i="40"/>
  <c r="CD284" i="40"/>
  <c r="BY284" i="40"/>
  <c r="BZ283" i="40"/>
  <c r="CI247" i="40"/>
  <c r="CJ246" i="40"/>
  <c r="BT273" i="40"/>
  <c r="BU272" i="40"/>
  <c r="CY237" i="40"/>
  <c r="CX238" i="40"/>
  <c r="CN255" i="40"/>
  <c r="CO254" i="40"/>
  <c r="BO208" i="40"/>
  <c r="BP207" i="40"/>
  <c r="CS288" i="40"/>
  <c r="CT287" i="40"/>
  <c r="BE263" i="40" l="1"/>
  <c r="BF262" i="40"/>
  <c r="BJ255" i="40"/>
  <c r="BK254" i="40"/>
  <c r="BY285" i="40"/>
  <c r="BZ284" i="40"/>
  <c r="CD285" i="40"/>
  <c r="CE284" i="40"/>
  <c r="BU273" i="40"/>
  <c r="BT274" i="40"/>
  <c r="CJ247" i="40"/>
  <c r="CI248" i="40"/>
  <c r="CX239" i="40"/>
  <c r="CY238" i="40"/>
  <c r="CN256" i="40"/>
  <c r="CO255" i="40"/>
  <c r="BP208" i="40"/>
  <c r="BO209" i="40"/>
  <c r="CS289" i="40"/>
  <c r="CT288" i="40"/>
  <c r="BF263" i="40" l="1"/>
  <c r="BE264" i="40"/>
  <c r="BJ256" i="40"/>
  <c r="BK255" i="40"/>
  <c r="CE285" i="40"/>
  <c r="CD286" i="40"/>
  <c r="BY286" i="40"/>
  <c r="BZ285" i="40"/>
  <c r="CJ248" i="40"/>
  <c r="CI249" i="40"/>
  <c r="BT275" i="40"/>
  <c r="BU274" i="40"/>
  <c r="CX240" i="40"/>
  <c r="CY239" i="40"/>
  <c r="CN257" i="40"/>
  <c r="CO256" i="40"/>
  <c r="BP209" i="40"/>
  <c r="BO210" i="40"/>
  <c r="CS290" i="40"/>
  <c r="CT289" i="40"/>
  <c r="BE265" i="40" l="1"/>
  <c r="BF264" i="40"/>
  <c r="BJ257" i="40"/>
  <c r="BK256" i="40"/>
  <c r="BY287" i="40"/>
  <c r="BZ286" i="40"/>
  <c r="CE286" i="40"/>
  <c r="CD287" i="40"/>
  <c r="BT276" i="40"/>
  <c r="BU275" i="40"/>
  <c r="CJ249" i="40"/>
  <c r="CI250" i="40"/>
  <c r="CX241" i="40"/>
  <c r="CY240" i="40"/>
  <c r="CN258" i="40"/>
  <c r="CO257" i="40"/>
  <c r="BP210" i="40"/>
  <c r="BO211" i="40"/>
  <c r="CT290" i="40"/>
  <c r="CS291" i="40"/>
  <c r="BE266" i="40" l="1"/>
  <c r="BF265" i="40"/>
  <c r="BJ258" i="40"/>
  <c r="BK257" i="40"/>
  <c r="CD288" i="40"/>
  <c r="CE287" i="40"/>
  <c r="BY288" i="40"/>
  <c r="BZ287" i="40"/>
  <c r="CI251" i="40"/>
  <c r="CJ250" i="40"/>
  <c r="BT277" i="40"/>
  <c r="BU276" i="40"/>
  <c r="CY241" i="40"/>
  <c r="CX242" i="40"/>
  <c r="CN259" i="40"/>
  <c r="CO258" i="40"/>
  <c r="BO212" i="40"/>
  <c r="BP211" i="40"/>
  <c r="CT291" i="40"/>
  <c r="CS292" i="40"/>
  <c r="BF266" i="40" l="1"/>
  <c r="BE267" i="40"/>
  <c r="BJ259" i="40"/>
  <c r="BK258" i="40"/>
  <c r="BY289" i="40"/>
  <c r="BZ288" i="40"/>
  <c r="CE288" i="40"/>
  <c r="CD289" i="40"/>
  <c r="BT278" i="40"/>
  <c r="BU277" i="40"/>
  <c r="CJ251" i="40"/>
  <c r="CI252" i="40"/>
  <c r="CY242" i="40"/>
  <c r="CX243" i="40"/>
  <c r="CN260" i="40"/>
  <c r="CO259" i="40"/>
  <c r="BO213" i="40"/>
  <c r="BP212" i="40"/>
  <c r="CS293" i="40"/>
  <c r="CT292" i="40"/>
  <c r="BE268" i="40" l="1"/>
  <c r="BF267" i="40"/>
  <c r="BJ260" i="40"/>
  <c r="BK259" i="40"/>
  <c r="CE289" i="40"/>
  <c r="CD290" i="40"/>
  <c r="BY290" i="40"/>
  <c r="BZ289" i="40"/>
  <c r="CJ252" i="40"/>
  <c r="CI253" i="40"/>
  <c r="BU278" i="40"/>
  <c r="BT279" i="40"/>
  <c r="CY243" i="40"/>
  <c r="CX244" i="40"/>
  <c r="CN261" i="40"/>
  <c r="CO260" i="40"/>
  <c r="BP213" i="40"/>
  <c r="BO214" i="40"/>
  <c r="CS294" i="40"/>
  <c r="CT293" i="40"/>
  <c r="BE269" i="40" l="1"/>
  <c r="BF268" i="40"/>
  <c r="BJ261" i="40"/>
  <c r="BK260" i="40"/>
  <c r="BZ290" i="40"/>
  <c r="BY291" i="40"/>
  <c r="CE290" i="40"/>
  <c r="CD291" i="40"/>
  <c r="BU279" i="40"/>
  <c r="BT280" i="40"/>
  <c r="CJ253" i="40"/>
  <c r="CI254" i="40"/>
  <c r="CY244" i="40"/>
  <c r="CX245" i="40"/>
  <c r="CN262" i="40"/>
  <c r="CO261" i="40"/>
  <c r="BO215" i="40"/>
  <c r="BP214" i="40"/>
  <c r="CS295" i="40"/>
  <c r="CT294" i="40"/>
  <c r="BF269" i="40" l="1"/>
  <c r="BE270" i="40"/>
  <c r="BJ262" i="40"/>
  <c r="BK261" i="40"/>
  <c r="CD292" i="40"/>
  <c r="CE291" i="40"/>
  <c r="BY292" i="40"/>
  <c r="BZ291" i="40"/>
  <c r="CJ254" i="40"/>
  <c r="CI255" i="40"/>
  <c r="BU280" i="40"/>
  <c r="BT281" i="40"/>
  <c r="CY245" i="40"/>
  <c r="CX246" i="40"/>
  <c r="CN263" i="40"/>
  <c r="CO262" i="40"/>
  <c r="BP215" i="40"/>
  <c r="BO216" i="40"/>
  <c r="CS296" i="40"/>
  <c r="CT295" i="40"/>
  <c r="BF270" i="40" l="1"/>
  <c r="BE271" i="40"/>
  <c r="BK262" i="40"/>
  <c r="BJ263" i="40"/>
  <c r="BY293" i="40"/>
  <c r="BZ292" i="40"/>
  <c r="CD293" i="40"/>
  <c r="CE292" i="40"/>
  <c r="BT282" i="40"/>
  <c r="BU281" i="40"/>
  <c r="CJ255" i="40"/>
  <c r="CI256" i="40"/>
  <c r="CY246" i="40"/>
  <c r="CX247" i="40"/>
  <c r="CO263" i="40"/>
  <c r="CN264" i="40"/>
  <c r="BO217" i="40"/>
  <c r="BP216" i="40"/>
  <c r="CS297" i="40"/>
  <c r="CT296" i="40"/>
  <c r="BF271" i="40" l="1"/>
  <c r="BE272" i="40"/>
  <c r="BJ264" i="40"/>
  <c r="BK263" i="40"/>
  <c r="CE293" i="40"/>
  <c r="CD294" i="40"/>
  <c r="BZ293" i="40"/>
  <c r="BY294" i="40"/>
  <c r="CJ256" i="40"/>
  <c r="CI257" i="40"/>
  <c r="BT283" i="40"/>
  <c r="BU282" i="40"/>
  <c r="CY247" i="40"/>
  <c r="CX248" i="40"/>
  <c r="CN265" i="40"/>
  <c r="CO264" i="40"/>
  <c r="BP217" i="40"/>
  <c r="BO218" i="40"/>
  <c r="CS298" i="40"/>
  <c r="CT297" i="40"/>
  <c r="BE273" i="40" l="1"/>
  <c r="BF272" i="40"/>
  <c r="BJ265" i="40"/>
  <c r="BK264" i="40"/>
  <c r="BY295" i="40"/>
  <c r="BZ294" i="40"/>
  <c r="CE294" i="40"/>
  <c r="CD295" i="40"/>
  <c r="BU283" i="40"/>
  <c r="BT284" i="40"/>
  <c r="CJ257" i="40"/>
  <c r="CI258" i="40"/>
  <c r="CY248" i="40"/>
  <c r="CX249" i="40"/>
  <c r="CN266" i="40"/>
  <c r="CO265" i="40"/>
  <c r="BP218" i="40"/>
  <c r="BO219" i="40"/>
  <c r="CS299" i="40"/>
  <c r="CT298" i="40"/>
  <c r="BE274" i="40" l="1"/>
  <c r="BF273" i="40"/>
  <c r="BJ266" i="40"/>
  <c r="BK265" i="40"/>
  <c r="CE295" i="40"/>
  <c r="CD296" i="40"/>
  <c r="BZ295" i="40"/>
  <c r="BY296" i="40"/>
  <c r="CJ258" i="40"/>
  <c r="CI259" i="40"/>
  <c r="BT285" i="40"/>
  <c r="BU284" i="40"/>
  <c r="CX250" i="40"/>
  <c r="CY249" i="40"/>
  <c r="CN267" i="40"/>
  <c r="CO266" i="40"/>
  <c r="BP219" i="40"/>
  <c r="BO220" i="40"/>
  <c r="CS300" i="40"/>
  <c r="CT299" i="40"/>
  <c r="BE275" i="40" l="1"/>
  <c r="BF274" i="40"/>
  <c r="BK266" i="40"/>
  <c r="BJ267" i="40"/>
  <c r="BY297" i="40"/>
  <c r="BZ296" i="40"/>
  <c r="CE296" i="40"/>
  <c r="CD297" i="40"/>
  <c r="BU285" i="40"/>
  <c r="BT286" i="40"/>
  <c r="CJ259" i="40"/>
  <c r="CI260" i="40"/>
  <c r="CX251" i="40"/>
  <c r="CY250" i="40"/>
  <c r="CO267" i="40"/>
  <c r="CN268" i="40"/>
  <c r="BO221" i="40"/>
  <c r="BP220" i="40"/>
  <c r="CS301" i="40"/>
  <c r="CT300" i="40"/>
  <c r="BE276" i="40" l="1"/>
  <c r="BF275" i="40"/>
  <c r="BJ268" i="40"/>
  <c r="BK267" i="40"/>
  <c r="CE297" i="40"/>
  <c r="CD298" i="40"/>
  <c r="BZ297" i="40"/>
  <c r="BY298" i="40"/>
  <c r="CJ260" i="40"/>
  <c r="CI261" i="40"/>
  <c r="BT287" i="40"/>
  <c r="BU286" i="40"/>
  <c r="CY251" i="40"/>
  <c r="CX252" i="40"/>
  <c r="CO268" i="40"/>
  <c r="CN269" i="40"/>
  <c r="BO222" i="40"/>
  <c r="BP221" i="40"/>
  <c r="CS302" i="40"/>
  <c r="CT301" i="40"/>
  <c r="BE277" i="40" l="1"/>
  <c r="BF276" i="40"/>
  <c r="BK268" i="40"/>
  <c r="BJ269" i="40"/>
  <c r="BZ298" i="40"/>
  <c r="BY299" i="40"/>
  <c r="CE298" i="40"/>
  <c r="CD299" i="40"/>
  <c r="BT288" i="40"/>
  <c r="BU287" i="40"/>
  <c r="CJ261" i="40"/>
  <c r="CI262" i="40"/>
  <c r="CX253" i="40"/>
  <c r="CY252" i="40"/>
  <c r="CN270" i="40"/>
  <c r="CO269" i="40"/>
  <c r="BP222" i="40"/>
  <c r="BO223" i="40"/>
  <c r="CT302" i="40"/>
  <c r="CS303" i="40"/>
  <c r="BE278" i="40" l="1"/>
  <c r="BF277" i="40"/>
  <c r="BJ270" i="40"/>
  <c r="BK269" i="40"/>
  <c r="CD300" i="40"/>
  <c r="CE299" i="40"/>
  <c r="BY300" i="40"/>
  <c r="BZ299" i="40"/>
  <c r="CJ262" i="40"/>
  <c r="CI263" i="40"/>
  <c r="BT289" i="40"/>
  <c r="BU288" i="40"/>
  <c r="CY253" i="40"/>
  <c r="CX254" i="40"/>
  <c r="CN271" i="40"/>
  <c r="CO270" i="40"/>
  <c r="BP223" i="40"/>
  <c r="BO224" i="40"/>
  <c r="CT303" i="40"/>
  <c r="CS304" i="40"/>
  <c r="BF278" i="40" l="1"/>
  <c r="BE279" i="40"/>
  <c r="BK270" i="40"/>
  <c r="BJ271" i="40"/>
  <c r="BY301" i="40"/>
  <c r="BZ300" i="40"/>
  <c r="CE300" i="40"/>
  <c r="CD301" i="40"/>
  <c r="BU289" i="40"/>
  <c r="BT290" i="40"/>
  <c r="CJ263" i="40"/>
  <c r="CI264" i="40"/>
  <c r="CY254" i="40"/>
  <c r="CX255" i="40"/>
  <c r="CN272" i="40"/>
  <c r="CO271" i="40"/>
  <c r="BP224" i="40"/>
  <c r="BO225" i="40"/>
  <c r="CS305" i="40"/>
  <c r="CT304" i="40"/>
  <c r="BE280" i="40" l="1"/>
  <c r="BF279" i="40"/>
  <c r="BK271" i="40"/>
  <c r="BJ272" i="40"/>
  <c r="CE301" i="40"/>
  <c r="CD302" i="40"/>
  <c r="BZ301" i="40"/>
  <c r="BY302" i="40"/>
  <c r="CI265" i="40"/>
  <c r="CJ264" i="40"/>
  <c r="BT291" i="40"/>
  <c r="BU290" i="40"/>
  <c r="CX256" i="40"/>
  <c r="CY255" i="40"/>
  <c r="CN273" i="40"/>
  <c r="CO272" i="40"/>
  <c r="BP225" i="40"/>
  <c r="BO226" i="40"/>
  <c r="CS306" i="40"/>
  <c r="CT305" i="40"/>
  <c r="BE281" i="40" l="1"/>
  <c r="BF280" i="40"/>
  <c r="BJ273" i="40"/>
  <c r="BK272" i="40"/>
  <c r="BY303" i="40"/>
  <c r="BZ302" i="40"/>
  <c r="CE302" i="40"/>
  <c r="CD303" i="40"/>
  <c r="BU291" i="40"/>
  <c r="BT292" i="40"/>
  <c r="CJ265" i="40"/>
  <c r="CI266" i="40"/>
  <c r="CY256" i="40"/>
  <c r="CX257" i="40"/>
  <c r="CO273" i="40"/>
  <c r="CN274" i="40"/>
  <c r="BP226" i="40"/>
  <c r="BO227" i="40"/>
  <c r="CT306" i="40"/>
  <c r="CS307" i="40"/>
  <c r="BE282" i="40" l="1"/>
  <c r="BF281" i="40"/>
  <c r="BJ274" i="40"/>
  <c r="BK273" i="40"/>
  <c r="CE303" i="40"/>
  <c r="CD304" i="40"/>
  <c r="BY304" i="40"/>
  <c r="BZ303" i="40"/>
  <c r="CJ266" i="40"/>
  <c r="CI267" i="40"/>
  <c r="BT293" i="40"/>
  <c r="BU292" i="40"/>
  <c r="CY257" i="40"/>
  <c r="CX258" i="40"/>
  <c r="CN275" i="40"/>
  <c r="CO274" i="40"/>
  <c r="BP227" i="40"/>
  <c r="BO228" i="40"/>
  <c r="CS308" i="40"/>
  <c r="CT307" i="40"/>
  <c r="BF282" i="40" l="1"/>
  <c r="BE283" i="40"/>
  <c r="BJ275" i="40"/>
  <c r="BK274" i="40"/>
  <c r="BY305" i="40"/>
  <c r="BZ304" i="40"/>
  <c r="CD305" i="40"/>
  <c r="CE304" i="40"/>
  <c r="BU293" i="40"/>
  <c r="BT294" i="40"/>
  <c r="CJ267" i="40"/>
  <c r="CI268" i="40"/>
  <c r="CX259" i="40"/>
  <c r="CY258" i="40"/>
  <c r="CN276" i="40"/>
  <c r="CO275" i="40"/>
  <c r="BO229" i="40"/>
  <c r="BP228" i="40"/>
  <c r="CS309" i="40"/>
  <c r="CT308" i="40"/>
  <c r="BE284" i="40" l="1"/>
  <c r="BF283" i="40"/>
  <c r="BJ276" i="40"/>
  <c r="BK275" i="40"/>
  <c r="CE305" i="40"/>
  <c r="CD306" i="40"/>
  <c r="BZ305" i="40"/>
  <c r="BY306" i="40"/>
  <c r="CI269" i="40"/>
  <c r="CJ268" i="40"/>
  <c r="BT295" i="40"/>
  <c r="BU294" i="40"/>
  <c r="CX260" i="40"/>
  <c r="CY259" i="40"/>
  <c r="CO276" i="40"/>
  <c r="CN277" i="40"/>
  <c r="BP229" i="40"/>
  <c r="BO230" i="40"/>
  <c r="CS310" i="40"/>
  <c r="CT309" i="40"/>
  <c r="BF284" i="40" l="1"/>
  <c r="BE285" i="40"/>
  <c r="BJ277" i="40"/>
  <c r="BK276" i="40"/>
  <c r="BZ306" i="40"/>
  <c r="BY307" i="40"/>
  <c r="CD307" i="40"/>
  <c r="CE306" i="40"/>
  <c r="BU295" i="40"/>
  <c r="BT296" i="40"/>
  <c r="CJ269" i="40"/>
  <c r="CI270" i="40"/>
  <c r="CY260" i="40"/>
  <c r="CX261" i="40"/>
  <c r="CN278" i="40"/>
  <c r="CO277" i="40"/>
  <c r="BP230" i="40"/>
  <c r="BO231" i="40"/>
  <c r="CS311" i="40"/>
  <c r="CT310" i="40"/>
  <c r="BE286" i="40" l="1"/>
  <c r="BF285" i="40"/>
  <c r="BK277" i="40"/>
  <c r="BJ278" i="40"/>
  <c r="CE307" i="40"/>
  <c r="CD308" i="40"/>
  <c r="BZ307" i="40"/>
  <c r="BY308" i="40"/>
  <c r="CI271" i="40"/>
  <c r="CJ270" i="40"/>
  <c r="BT297" i="40"/>
  <c r="BU296" i="40"/>
  <c r="CY261" i="40"/>
  <c r="CX262" i="40"/>
  <c r="CN279" i="40"/>
  <c r="CO278" i="40"/>
  <c r="BP231" i="40"/>
  <c r="BO232" i="40"/>
  <c r="CT311" i="40"/>
  <c r="CS312" i="40"/>
  <c r="BF286" i="40" l="1"/>
  <c r="BE287" i="40"/>
  <c r="BJ279" i="40"/>
  <c r="BK278" i="40"/>
  <c r="BY309" i="40"/>
  <c r="BZ308" i="40"/>
  <c r="CE308" i="40"/>
  <c r="CD309" i="40"/>
  <c r="BT298" i="40"/>
  <c r="BU297" i="40"/>
  <c r="CJ271" i="40"/>
  <c r="CI272" i="40"/>
  <c r="CX263" i="40"/>
  <c r="CY262" i="40"/>
  <c r="CN280" i="40"/>
  <c r="CO279" i="40"/>
  <c r="BP232" i="40"/>
  <c r="BO233" i="40"/>
  <c r="CS313" i="40"/>
  <c r="CT312" i="40"/>
  <c r="BE288" i="40" l="1"/>
  <c r="BF287" i="40"/>
  <c r="BK279" i="40"/>
  <c r="BJ280" i="40"/>
  <c r="CE309" i="40"/>
  <c r="CD310" i="40"/>
  <c r="BY310" i="40"/>
  <c r="BZ309" i="40"/>
  <c r="CI273" i="40"/>
  <c r="CJ272" i="40"/>
  <c r="BT299" i="40"/>
  <c r="BU298" i="40"/>
  <c r="CX264" i="40"/>
  <c r="CY263" i="40"/>
  <c r="CO280" i="40"/>
  <c r="CN281" i="40"/>
  <c r="BO234" i="40"/>
  <c r="BP233" i="40"/>
  <c r="CS314" i="40"/>
  <c r="CT313" i="40"/>
  <c r="BE289" i="40" l="1"/>
  <c r="BF288" i="40"/>
  <c r="BK280" i="40"/>
  <c r="BJ281" i="40"/>
  <c r="BY311" i="40"/>
  <c r="BZ310" i="40"/>
  <c r="CE310" i="40"/>
  <c r="CD311" i="40"/>
  <c r="BT300" i="40"/>
  <c r="BU299" i="40"/>
  <c r="CJ273" i="40"/>
  <c r="CI274" i="40"/>
  <c r="CY264" i="40"/>
  <c r="CX265" i="40"/>
  <c r="CN282" i="40"/>
  <c r="CO281" i="40"/>
  <c r="BP234" i="40"/>
  <c r="BO235" i="40"/>
  <c r="CS315" i="40"/>
  <c r="CT314" i="40"/>
  <c r="BE290" i="40" l="1"/>
  <c r="BF289" i="40"/>
  <c r="BK281" i="40"/>
  <c r="BJ282" i="40"/>
  <c r="CD312" i="40"/>
  <c r="CE311" i="40"/>
  <c r="BY312" i="40"/>
  <c r="BZ311" i="40"/>
  <c r="CJ274" i="40"/>
  <c r="CI275" i="40"/>
  <c r="BU300" i="40"/>
  <c r="BT301" i="40"/>
  <c r="CY265" i="40"/>
  <c r="CX266" i="40"/>
  <c r="CN283" i="40"/>
  <c r="CO282" i="40"/>
  <c r="BO236" i="40"/>
  <c r="BP235" i="40"/>
  <c r="CS316" i="40"/>
  <c r="CT315" i="40"/>
  <c r="BE291" i="40" l="1"/>
  <c r="BF290" i="40"/>
  <c r="BK282" i="40"/>
  <c r="BJ283" i="40"/>
  <c r="BY313" i="40"/>
  <c r="BZ312" i="40"/>
  <c r="CD313" i="40"/>
  <c r="CE312" i="40"/>
  <c r="BU301" i="40"/>
  <c r="BT302" i="40"/>
  <c r="CJ275" i="40"/>
  <c r="CI276" i="40"/>
  <c r="CY266" i="40"/>
  <c r="CX267" i="40"/>
  <c r="CO283" i="40"/>
  <c r="CN284" i="40"/>
  <c r="BP236" i="40"/>
  <c r="BO237" i="40"/>
  <c r="CS317" i="40"/>
  <c r="CT316" i="40"/>
  <c r="BE292" i="40" l="1"/>
  <c r="BF291" i="40"/>
  <c r="BK283" i="40"/>
  <c r="BJ284" i="40"/>
  <c r="CE313" i="40"/>
  <c r="CD314" i="40"/>
  <c r="BY314" i="40"/>
  <c r="BZ313" i="40"/>
  <c r="CI277" i="40"/>
  <c r="CJ276" i="40"/>
  <c r="BT303" i="40"/>
  <c r="BU302" i="40"/>
  <c r="CX268" i="40"/>
  <c r="CY267" i="40"/>
  <c r="CO284" i="40"/>
  <c r="CN285" i="40"/>
  <c r="BP237" i="40"/>
  <c r="BO238" i="40"/>
  <c r="CS318" i="40"/>
  <c r="CT317" i="40"/>
  <c r="BE293" i="40" l="1"/>
  <c r="BF292" i="40"/>
  <c r="BK284" i="40"/>
  <c r="BJ285" i="40"/>
  <c r="BY315" i="40"/>
  <c r="BZ314" i="40"/>
  <c r="CE314" i="40"/>
  <c r="CD315" i="40"/>
  <c r="BT304" i="40"/>
  <c r="BU303" i="40"/>
  <c r="CJ277" i="40"/>
  <c r="CI278" i="40"/>
  <c r="CY268" i="40"/>
  <c r="CX269" i="40"/>
  <c r="CO285" i="40"/>
  <c r="CN286" i="40"/>
  <c r="BP238" i="40"/>
  <c r="BO239" i="40"/>
  <c r="CS319" i="40"/>
  <c r="CT318" i="40"/>
  <c r="BE294" i="40" l="1"/>
  <c r="BF293" i="40"/>
  <c r="BK285" i="40"/>
  <c r="BJ286" i="40"/>
  <c r="CE315" i="40"/>
  <c r="CD316" i="40"/>
  <c r="BY316" i="40"/>
  <c r="BZ315" i="40"/>
  <c r="CJ278" i="40"/>
  <c r="CI279" i="40"/>
  <c r="BT305" i="40"/>
  <c r="BU304" i="40"/>
  <c r="CX270" i="40"/>
  <c r="CY269" i="40"/>
  <c r="CN287" i="40"/>
  <c r="CO286" i="40"/>
  <c r="BP239" i="40"/>
  <c r="BO240" i="40"/>
  <c r="CS320" i="40"/>
  <c r="CT319" i="40"/>
  <c r="BF294" i="40" l="1"/>
  <c r="BE295" i="40"/>
  <c r="BK286" i="40"/>
  <c r="BJ287" i="40"/>
  <c r="BY317" i="40"/>
  <c r="BZ316" i="40"/>
  <c r="CD317" i="40"/>
  <c r="CE316" i="40"/>
  <c r="BT306" i="40"/>
  <c r="BU305" i="40"/>
  <c r="CJ279" i="40"/>
  <c r="CI280" i="40"/>
  <c r="CY270" i="40"/>
  <c r="CX271" i="40"/>
  <c r="CN288" i="40"/>
  <c r="CO287" i="40"/>
  <c r="BO241" i="40"/>
  <c r="BP240" i="40"/>
  <c r="CS321" i="40"/>
  <c r="CT320" i="40"/>
  <c r="BE296" i="40" l="1"/>
  <c r="BF295" i="40"/>
  <c r="BK287" i="40"/>
  <c r="BJ288" i="40"/>
  <c r="CE317" i="40"/>
  <c r="CD318" i="40"/>
  <c r="BY318" i="40"/>
  <c r="BZ317" i="40"/>
  <c r="CI281" i="40"/>
  <c r="CJ280" i="40"/>
  <c r="BT307" i="40"/>
  <c r="BU306" i="40"/>
  <c r="CX272" i="40"/>
  <c r="CY271" i="40"/>
  <c r="CN289" i="40"/>
  <c r="CO288" i="40"/>
  <c r="BO242" i="40"/>
  <c r="BP241" i="40"/>
  <c r="CS322" i="40"/>
  <c r="CT321" i="40"/>
  <c r="BE297" i="40" l="1"/>
  <c r="BF296" i="40"/>
  <c r="BK288" i="40"/>
  <c r="BJ289" i="40"/>
  <c r="BY319" i="40"/>
  <c r="BZ318" i="40"/>
  <c r="CD319" i="40"/>
  <c r="CE318" i="40"/>
  <c r="BU307" i="40"/>
  <c r="BT308" i="40"/>
  <c r="CJ281" i="40"/>
  <c r="CI282" i="40"/>
  <c r="CX273" i="40"/>
  <c r="CY272" i="40"/>
  <c r="CO289" i="40"/>
  <c r="CN290" i="40"/>
  <c r="BP242" i="40"/>
  <c r="BO243" i="40"/>
  <c r="CS323" i="40"/>
  <c r="CT322" i="40"/>
  <c r="BE298" i="40" l="1"/>
  <c r="BF297" i="40"/>
  <c r="BK289" i="40"/>
  <c r="BJ290" i="40"/>
  <c r="CD320" i="40"/>
  <c r="CE319" i="40"/>
  <c r="BY320" i="40"/>
  <c r="BZ319" i="40"/>
  <c r="CJ282" i="40"/>
  <c r="CI283" i="40"/>
  <c r="BT309" i="40"/>
  <c r="BU308" i="40"/>
  <c r="CY273" i="40"/>
  <c r="CX274" i="40"/>
  <c r="CN291" i="40"/>
  <c r="CO290" i="40"/>
  <c r="BP243" i="40"/>
  <c r="BO244" i="40"/>
  <c r="CT323" i="40"/>
  <c r="CS324" i="40"/>
  <c r="BF298" i="40" l="1"/>
  <c r="BE299" i="40"/>
  <c r="BK290" i="40"/>
  <c r="BJ291" i="40"/>
  <c r="BY321" i="40"/>
  <c r="BZ320" i="40"/>
  <c r="CD321" i="40"/>
  <c r="CE320" i="40"/>
  <c r="BT310" i="40"/>
  <c r="BU309" i="40"/>
  <c r="CJ283" i="40"/>
  <c r="CI284" i="40"/>
  <c r="CX275" i="40"/>
  <c r="CY274" i="40"/>
  <c r="CN292" i="40"/>
  <c r="CO291" i="40"/>
  <c r="BO245" i="40"/>
  <c r="BP244" i="40"/>
  <c r="CT324" i="40"/>
  <c r="CS325" i="40"/>
  <c r="BE300" i="40" l="1"/>
  <c r="BF299" i="40"/>
  <c r="BK291" i="40"/>
  <c r="BJ292" i="40"/>
  <c r="CE321" i="40"/>
  <c r="CD322" i="40"/>
  <c r="BY322" i="40"/>
  <c r="BZ321" i="40"/>
  <c r="CJ284" i="40"/>
  <c r="CI285" i="40"/>
  <c r="BT311" i="40"/>
  <c r="BU310" i="40"/>
  <c r="CY275" i="40"/>
  <c r="CX276" i="40"/>
  <c r="CN293" i="40"/>
  <c r="CO292" i="40"/>
  <c r="BP245" i="40"/>
  <c r="BO246" i="40"/>
  <c r="CT325" i="40"/>
  <c r="CS326" i="40"/>
  <c r="BE301" i="40" l="1"/>
  <c r="BF300" i="40"/>
  <c r="BK292" i="40"/>
  <c r="BJ293" i="40"/>
  <c r="BZ322" i="40"/>
  <c r="BY323" i="40"/>
  <c r="CE322" i="40"/>
  <c r="CD323" i="40"/>
  <c r="BU311" i="40"/>
  <c r="BT312" i="40"/>
  <c r="CJ285" i="40"/>
  <c r="CI286" i="40"/>
  <c r="CX277" i="40"/>
  <c r="CY276" i="40"/>
  <c r="CN294" i="40"/>
  <c r="CO293" i="40"/>
  <c r="BP246" i="40"/>
  <c r="BO247" i="40"/>
  <c r="CT326" i="40"/>
  <c r="CS327" i="40"/>
  <c r="BE302" i="40" l="1"/>
  <c r="BF301" i="40"/>
  <c r="BK293" i="40"/>
  <c r="BJ294" i="40"/>
  <c r="CE323" i="40"/>
  <c r="CD324" i="40"/>
  <c r="BY324" i="40"/>
  <c r="BZ323" i="40"/>
  <c r="CI287" i="40"/>
  <c r="CJ286" i="40"/>
  <c r="BT313" i="40"/>
  <c r="BU312" i="40"/>
  <c r="CY277" i="40"/>
  <c r="CX278" i="40"/>
  <c r="CN295" i="40"/>
  <c r="CO294" i="40"/>
  <c r="BP247" i="40"/>
  <c r="BO248" i="40"/>
  <c r="CT327" i="40"/>
  <c r="CS328" i="40"/>
  <c r="BF302" i="40" l="1"/>
  <c r="BE303" i="40"/>
  <c r="BJ295" i="40"/>
  <c r="BK294" i="40"/>
  <c r="BZ324" i="40"/>
  <c r="BY325" i="40"/>
  <c r="CD325" i="40"/>
  <c r="CE324" i="40"/>
  <c r="BT314" i="40"/>
  <c r="BU313" i="40"/>
  <c r="CJ287" i="40"/>
  <c r="CI288" i="40"/>
  <c r="CX279" i="40"/>
  <c r="CY278" i="40"/>
  <c r="CN296" i="40"/>
  <c r="CO295" i="40"/>
  <c r="BP248" i="40"/>
  <c r="BO249" i="40"/>
  <c r="CT328" i="40"/>
  <c r="CS329" i="40"/>
  <c r="BE304" i="40" l="1"/>
  <c r="BF303" i="40"/>
  <c r="BK295" i="40"/>
  <c r="BJ296" i="40"/>
  <c r="CD326" i="40"/>
  <c r="CE325" i="40"/>
  <c r="BZ325" i="40"/>
  <c r="BY326" i="40"/>
  <c r="CI289" i="40"/>
  <c r="CJ288" i="40"/>
  <c r="BT315" i="40"/>
  <c r="BU314" i="40"/>
  <c r="CY279" i="40"/>
  <c r="CX280" i="40"/>
  <c r="CN297" i="40"/>
  <c r="CO296" i="40"/>
  <c r="BP249" i="40"/>
  <c r="BO250" i="40"/>
  <c r="CT329" i="40"/>
  <c r="CS330" i="40"/>
  <c r="BF304" i="40" l="1"/>
  <c r="BE305" i="40"/>
  <c r="BK296" i="40"/>
  <c r="BJ297" i="40"/>
  <c r="BZ326" i="40"/>
  <c r="BY327" i="40"/>
  <c r="CD327" i="40"/>
  <c r="CE326" i="40"/>
  <c r="BU315" i="40"/>
  <c r="BT316" i="40"/>
  <c r="CJ289" i="40"/>
  <c r="CI290" i="40"/>
  <c r="CX281" i="40"/>
  <c r="CY280" i="40"/>
  <c r="CN298" i="40"/>
  <c r="CO297" i="40"/>
  <c r="BP250" i="40"/>
  <c r="BO251" i="40"/>
  <c r="CT330" i="40"/>
  <c r="CS331" i="40"/>
  <c r="BF305" i="40" l="1"/>
  <c r="BE306" i="40"/>
  <c r="BJ298" i="40"/>
  <c r="BK297" i="40"/>
  <c r="CD328" i="40"/>
  <c r="CE327" i="40"/>
  <c r="BZ327" i="40"/>
  <c r="BY328" i="40"/>
  <c r="CI291" i="40"/>
  <c r="CJ290" i="40"/>
  <c r="BT317" i="40"/>
  <c r="BU316" i="40"/>
  <c r="CY281" i="40"/>
  <c r="CX282" i="40"/>
  <c r="CO298" i="40"/>
  <c r="CN299" i="40"/>
  <c r="BP251" i="40"/>
  <c r="BO252" i="40"/>
  <c r="CT331" i="40"/>
  <c r="CS332" i="40"/>
  <c r="BF306" i="40" l="1"/>
  <c r="BE307" i="40"/>
  <c r="BJ299" i="40"/>
  <c r="BK298" i="40"/>
  <c r="BZ328" i="40"/>
  <c r="BY329" i="40"/>
  <c r="CD329" i="40"/>
  <c r="CE328" i="40"/>
  <c r="BU317" i="40"/>
  <c r="BT318" i="40"/>
  <c r="CJ291" i="40"/>
  <c r="CI292" i="40"/>
  <c r="CX283" i="40"/>
  <c r="CY282" i="40"/>
  <c r="CN300" i="40"/>
  <c r="CO299" i="40"/>
  <c r="BP252" i="40"/>
  <c r="BO253" i="40"/>
  <c r="CT332" i="40"/>
  <c r="CS333" i="40"/>
  <c r="BF307" i="40" l="1"/>
  <c r="BE308" i="40"/>
  <c r="BK299" i="40"/>
  <c r="BJ300" i="40"/>
  <c r="CE329" i="40"/>
  <c r="CD330" i="40"/>
  <c r="BZ329" i="40"/>
  <c r="BY330" i="40"/>
  <c r="CI293" i="40"/>
  <c r="CJ292" i="40"/>
  <c r="BT319" i="40"/>
  <c r="BU318" i="40"/>
  <c r="CY283" i="40"/>
  <c r="CX284" i="40"/>
  <c r="CN301" i="40"/>
  <c r="CO300" i="40"/>
  <c r="BO254" i="40"/>
  <c r="BP253" i="40"/>
  <c r="CT333" i="40"/>
  <c r="CS334" i="40"/>
  <c r="BF308" i="40" l="1"/>
  <c r="BE309" i="40"/>
  <c r="BK300" i="40"/>
  <c r="BJ301" i="40"/>
  <c r="BZ330" i="40"/>
  <c r="BY331" i="40"/>
  <c r="CD331" i="40"/>
  <c r="CE330" i="40"/>
  <c r="BU319" i="40"/>
  <c r="BT320" i="40"/>
  <c r="CJ293" i="40"/>
  <c r="CI294" i="40"/>
  <c r="CX285" i="40"/>
  <c r="CY284" i="40"/>
  <c r="CN302" i="40"/>
  <c r="CO301" i="40"/>
  <c r="BO255" i="40"/>
  <c r="BP254" i="40"/>
  <c r="CT334" i="40"/>
  <c r="CS335" i="40"/>
  <c r="BF309" i="40" l="1"/>
  <c r="BE310" i="40"/>
  <c r="BK301" i="40"/>
  <c r="BJ302" i="40"/>
  <c r="CE331" i="40"/>
  <c r="CD332" i="40"/>
  <c r="BY332" i="40"/>
  <c r="BZ331" i="40"/>
  <c r="CJ294" i="40"/>
  <c r="CI295" i="40"/>
  <c r="BT321" i="40"/>
  <c r="BU320" i="40"/>
  <c r="CY285" i="40"/>
  <c r="CX286" i="40"/>
  <c r="CN303" i="40"/>
  <c r="CO302" i="40"/>
  <c r="BP255" i="40"/>
  <c r="BO256" i="40"/>
  <c r="CT335" i="40"/>
  <c r="CS336" i="40"/>
  <c r="BF310" i="40" l="1"/>
  <c r="BE311" i="40"/>
  <c r="BK302" i="40"/>
  <c r="BJ303" i="40"/>
  <c r="BZ332" i="40"/>
  <c r="BY333" i="40"/>
  <c r="CD333" i="40"/>
  <c r="CE332" i="40"/>
  <c r="BU321" i="40"/>
  <c r="BT322" i="40"/>
  <c r="CJ295" i="40"/>
  <c r="CI296" i="40"/>
  <c r="CX287" i="40"/>
  <c r="CY286" i="40"/>
  <c r="CN304" i="40"/>
  <c r="CO303" i="40"/>
  <c r="BP256" i="40"/>
  <c r="BO257" i="40"/>
  <c r="CT336" i="40"/>
  <c r="CS337" i="40"/>
  <c r="BE312" i="40" l="1"/>
  <c r="BF311" i="40"/>
  <c r="BK303" i="40"/>
  <c r="BJ304" i="40"/>
  <c r="CE333" i="40"/>
  <c r="CD334" i="40"/>
  <c r="BZ333" i="40"/>
  <c r="BY334" i="40"/>
  <c r="CI297" i="40"/>
  <c r="CJ296" i="40"/>
  <c r="BT323" i="40"/>
  <c r="BU322" i="40"/>
  <c r="CX288" i="40"/>
  <c r="CY287" i="40"/>
  <c r="CN305" i="40"/>
  <c r="CO304" i="40"/>
  <c r="BO258" i="40"/>
  <c r="BP257" i="40"/>
  <c r="CT337" i="40"/>
  <c r="CS338" i="40"/>
  <c r="BF312" i="40" l="1"/>
  <c r="BE313" i="40"/>
  <c r="BK304" i="40"/>
  <c r="BJ305" i="40"/>
  <c r="BZ334" i="40"/>
  <c r="BY335" i="40"/>
  <c r="CE334" i="40"/>
  <c r="CD335" i="40"/>
  <c r="BT324" i="40"/>
  <c r="BU323" i="40"/>
  <c r="CJ297" i="40"/>
  <c r="CI298" i="40"/>
  <c r="CX289" i="40"/>
  <c r="CY288" i="40"/>
  <c r="CO305" i="40"/>
  <c r="CN306" i="40"/>
  <c r="BP258" i="40"/>
  <c r="BO259" i="40"/>
  <c r="CT338" i="40"/>
  <c r="CS339" i="40"/>
  <c r="BE314" i="40" l="1"/>
  <c r="BF313" i="40"/>
  <c r="BK305" i="40"/>
  <c r="BJ306" i="40"/>
  <c r="CD336" i="40"/>
  <c r="CE335" i="40"/>
  <c r="BY336" i="40"/>
  <c r="BZ335" i="40"/>
  <c r="CI299" i="40"/>
  <c r="CJ298" i="40"/>
  <c r="BT325" i="40"/>
  <c r="BU324" i="40"/>
  <c r="CY289" i="40"/>
  <c r="CX290" i="40"/>
  <c r="CO306" i="40"/>
  <c r="CN307" i="40"/>
  <c r="BO260" i="40"/>
  <c r="BP259" i="40"/>
  <c r="CT339" i="40"/>
  <c r="CS340" i="40"/>
  <c r="BF314" i="40" l="1"/>
  <c r="BE315" i="40"/>
  <c r="BK306" i="40"/>
  <c r="BJ307" i="40"/>
  <c r="BY337" i="40"/>
  <c r="BZ336" i="40"/>
  <c r="CE336" i="40"/>
  <c r="CD337" i="40"/>
  <c r="BU325" i="40"/>
  <c r="BT326" i="40"/>
  <c r="CJ299" i="40"/>
  <c r="CI300" i="40"/>
  <c r="CX291" i="40"/>
  <c r="CY290" i="40"/>
  <c r="CN308" i="40"/>
  <c r="CO307" i="40"/>
  <c r="BP260" i="40"/>
  <c r="BO261" i="40"/>
  <c r="CT340" i="40"/>
  <c r="CS341" i="40"/>
  <c r="BF315" i="40" l="1"/>
  <c r="BE316" i="40"/>
  <c r="BK307" i="40"/>
  <c r="BJ308" i="40"/>
  <c r="CD338" i="40"/>
  <c r="CE337" i="40"/>
  <c r="BZ337" i="40"/>
  <c r="BY338" i="40"/>
  <c r="CI301" i="40"/>
  <c r="CJ300" i="40"/>
  <c r="BT327" i="40"/>
  <c r="BU326" i="40"/>
  <c r="CX292" i="40"/>
  <c r="CY291" i="40"/>
  <c r="CN309" i="40"/>
  <c r="CO308" i="40"/>
  <c r="BP261" i="40"/>
  <c r="BO262" i="40"/>
  <c r="CT341" i="40"/>
  <c r="CS342" i="40"/>
  <c r="BE317" i="40" l="1"/>
  <c r="BF316" i="40"/>
  <c r="BJ309" i="40"/>
  <c r="BK308" i="40"/>
  <c r="BZ338" i="40"/>
  <c r="BY339" i="40"/>
  <c r="CE338" i="40"/>
  <c r="CD339" i="40"/>
  <c r="BT328" i="40"/>
  <c r="BU327" i="40"/>
  <c r="CJ301" i="40"/>
  <c r="CI302" i="40"/>
  <c r="CX293" i="40"/>
  <c r="CY292" i="40"/>
  <c r="CN310" i="40"/>
  <c r="CO309" i="40"/>
  <c r="BP262" i="40"/>
  <c r="BO263" i="40"/>
  <c r="CT342" i="40"/>
  <c r="CS343" i="40"/>
  <c r="BE318" i="40" l="1"/>
  <c r="BF317" i="40"/>
  <c r="BK309" i="40"/>
  <c r="BJ310" i="40"/>
  <c r="CE339" i="40"/>
  <c r="CD340" i="40"/>
  <c r="BZ339" i="40"/>
  <c r="BY340" i="40"/>
  <c r="CJ302" i="40"/>
  <c r="CI303" i="40"/>
  <c r="BT329" i="40"/>
  <c r="BU328" i="40"/>
  <c r="CX294" i="40"/>
  <c r="CY293" i="40"/>
  <c r="CN311" i="40"/>
  <c r="CO310" i="40"/>
  <c r="BP263" i="40"/>
  <c r="BO264" i="40"/>
  <c r="CT343" i="40"/>
  <c r="CS344" i="40"/>
  <c r="BE319" i="40" l="1"/>
  <c r="BF318" i="40"/>
  <c r="BK310" i="40"/>
  <c r="BJ311" i="40"/>
  <c r="BZ340" i="40"/>
  <c r="BY341" i="40"/>
  <c r="CD341" i="40"/>
  <c r="CE340" i="40"/>
  <c r="BU329" i="40"/>
  <c r="BT330" i="40"/>
  <c r="CJ303" i="40"/>
  <c r="CI304" i="40"/>
  <c r="CY294" i="40"/>
  <c r="CX295" i="40"/>
  <c r="CN312" i="40"/>
  <c r="CO311" i="40"/>
  <c r="BP264" i="40"/>
  <c r="BO265" i="40"/>
  <c r="CT344" i="40"/>
  <c r="CS345" i="40"/>
  <c r="BE320" i="40" l="1"/>
  <c r="BF319" i="40"/>
  <c r="BK311" i="40"/>
  <c r="BJ312" i="40"/>
  <c r="CE341" i="40"/>
  <c r="CD342" i="40"/>
  <c r="BZ341" i="40"/>
  <c r="BY342" i="40"/>
  <c r="CI305" i="40"/>
  <c r="CJ304" i="40"/>
  <c r="BT331" i="40"/>
  <c r="BU330" i="40"/>
  <c r="CY295" i="40"/>
  <c r="CX296" i="40"/>
  <c r="CN313" i="40"/>
  <c r="CO312" i="40"/>
  <c r="BP265" i="40"/>
  <c r="BO266" i="40"/>
  <c r="CT345" i="40"/>
  <c r="CS346" i="40"/>
  <c r="BE321" i="40" l="1"/>
  <c r="BF320" i="40"/>
  <c r="BK312" i="40"/>
  <c r="BJ313" i="40"/>
  <c r="BZ342" i="40"/>
  <c r="BY343" i="40"/>
  <c r="CD343" i="40"/>
  <c r="CE342" i="40"/>
  <c r="BU331" i="40"/>
  <c r="BT332" i="40"/>
  <c r="CJ305" i="40"/>
  <c r="CI306" i="40"/>
  <c r="CX297" i="40"/>
  <c r="CY296" i="40"/>
  <c r="CN314" i="40"/>
  <c r="CO313" i="40"/>
  <c r="BO267" i="40"/>
  <c r="BP266" i="40"/>
  <c r="CT346" i="40"/>
  <c r="CS347" i="40"/>
  <c r="BF321" i="40" l="1"/>
  <c r="BE322" i="40"/>
  <c r="BJ314" i="40"/>
  <c r="BK313" i="40"/>
  <c r="CD344" i="40"/>
  <c r="CE343" i="40"/>
  <c r="BZ343" i="40"/>
  <c r="BY344" i="40"/>
  <c r="CI307" i="40"/>
  <c r="CJ306" i="40"/>
  <c r="BU332" i="40"/>
  <c r="BT333" i="40"/>
  <c r="CX298" i="40"/>
  <c r="CY297" i="40"/>
  <c r="CN315" i="40"/>
  <c r="CO314" i="40"/>
  <c r="BP267" i="40"/>
  <c r="BO268" i="40"/>
  <c r="CT347" i="40"/>
  <c r="CS348" i="40"/>
  <c r="BF322" i="40" l="1"/>
  <c r="BE323" i="40"/>
  <c r="BK314" i="40"/>
  <c r="BJ315" i="40"/>
  <c r="BY345" i="40"/>
  <c r="BZ344" i="40"/>
  <c r="CE344" i="40"/>
  <c r="CD345" i="40"/>
  <c r="BU333" i="40"/>
  <c r="BT334" i="40"/>
  <c r="CJ307" i="40"/>
  <c r="CI308" i="40"/>
  <c r="CX299" i="40"/>
  <c r="CY298" i="40"/>
  <c r="CO315" i="40"/>
  <c r="CN316" i="40"/>
  <c r="BO269" i="40"/>
  <c r="BP268" i="40"/>
  <c r="CT348" i="40"/>
  <c r="CS349" i="40"/>
  <c r="BF323" i="40" l="1"/>
  <c r="BE324" i="40"/>
  <c r="BK315" i="40"/>
  <c r="BJ316" i="40"/>
  <c r="CE345" i="40"/>
  <c r="CD346" i="40"/>
  <c r="BZ345" i="40"/>
  <c r="BY346" i="40"/>
  <c r="CI309" i="40"/>
  <c r="CJ308" i="40"/>
  <c r="BT335" i="40"/>
  <c r="BU334" i="40"/>
  <c r="CX300" i="40"/>
  <c r="CY299" i="40"/>
  <c r="CN317" i="40"/>
  <c r="CO316" i="40"/>
  <c r="BO270" i="40"/>
  <c r="BP269" i="40"/>
  <c r="CT349" i="40"/>
  <c r="CS350" i="40"/>
  <c r="BF324" i="40" l="1"/>
  <c r="BE325" i="40"/>
  <c r="BK316" i="40"/>
  <c r="BJ317" i="40"/>
  <c r="BY347" i="40"/>
  <c r="BZ346" i="40"/>
  <c r="CE346" i="40"/>
  <c r="CD347" i="40"/>
  <c r="BU335" i="40"/>
  <c r="BT336" i="40"/>
  <c r="CJ309" i="40"/>
  <c r="CI310" i="40"/>
  <c r="CY300" i="40"/>
  <c r="CX301" i="40"/>
  <c r="CO317" i="40"/>
  <c r="CN318" i="40"/>
  <c r="BO271" i="40"/>
  <c r="BP270" i="40"/>
  <c r="CT350" i="40"/>
  <c r="CS351" i="40"/>
  <c r="BE326" i="40" l="1"/>
  <c r="BF325" i="40"/>
  <c r="BK317" i="40"/>
  <c r="BJ318" i="40"/>
  <c r="CD348" i="40"/>
  <c r="CE347" i="40"/>
  <c r="BZ347" i="40"/>
  <c r="BY348" i="40"/>
  <c r="CJ310" i="40"/>
  <c r="CI311" i="40"/>
  <c r="BT337" i="40"/>
  <c r="BU336" i="40"/>
  <c r="CX302" i="40"/>
  <c r="CY301" i="40"/>
  <c r="CN319" i="40"/>
  <c r="CO318" i="40"/>
  <c r="BO272" i="40"/>
  <c r="BP271" i="40"/>
  <c r="CT351" i="40"/>
  <c r="CS352" i="40"/>
  <c r="BE327" i="40" l="1"/>
  <c r="BF326" i="40"/>
  <c r="BK318" i="40"/>
  <c r="BJ319" i="40"/>
  <c r="BZ348" i="40"/>
  <c r="BY349" i="40"/>
  <c r="CE348" i="40"/>
  <c r="CD349" i="40"/>
  <c r="BU337" i="40"/>
  <c r="BT338" i="40"/>
  <c r="CJ311" i="40"/>
  <c r="CI312" i="40"/>
  <c r="CY302" i="40"/>
  <c r="CX303" i="40"/>
  <c r="CN320" i="40"/>
  <c r="CO319" i="40"/>
  <c r="BO273" i="40"/>
  <c r="BP272" i="40"/>
  <c r="CT352" i="40"/>
  <c r="CS353" i="40"/>
  <c r="BE328" i="40" l="1"/>
  <c r="BF327" i="40"/>
  <c r="BJ320" i="40"/>
  <c r="BK319" i="40"/>
  <c r="CE349" i="40"/>
  <c r="CD350" i="40"/>
  <c r="BZ349" i="40"/>
  <c r="BY350" i="40"/>
  <c r="CI313" i="40"/>
  <c r="CJ312" i="40"/>
  <c r="BT339" i="40"/>
  <c r="BU338" i="40"/>
  <c r="CY303" i="40"/>
  <c r="CX304" i="40"/>
  <c r="CN321" i="40"/>
  <c r="CO320" i="40"/>
  <c r="BO274" i="40"/>
  <c r="BP273" i="40"/>
  <c r="CT353" i="40"/>
  <c r="CS354" i="40"/>
  <c r="BF328" i="40" l="1"/>
  <c r="BE329" i="40"/>
  <c r="BK320" i="40"/>
  <c r="BJ321" i="40"/>
  <c r="BZ350" i="40"/>
  <c r="BY351" i="40"/>
  <c r="CD351" i="40"/>
  <c r="CE350" i="40"/>
  <c r="BU339" i="40"/>
  <c r="BT340" i="40"/>
  <c r="CJ313" i="40"/>
  <c r="CI314" i="40"/>
  <c r="CY304" i="40"/>
  <c r="CX305" i="40"/>
  <c r="CN322" i="40"/>
  <c r="CO321" i="40"/>
  <c r="BO275" i="40"/>
  <c r="BP274" i="40"/>
  <c r="CT354" i="40"/>
  <c r="CS355" i="40"/>
  <c r="BE330" i="40" l="1"/>
  <c r="BF329" i="40"/>
  <c r="BK321" i="40"/>
  <c r="BJ322" i="40"/>
  <c r="CD352" i="40"/>
  <c r="CE351" i="40"/>
  <c r="BZ351" i="40"/>
  <c r="BY352" i="40"/>
  <c r="CI315" i="40"/>
  <c r="CJ314" i="40"/>
  <c r="BT341" i="40"/>
  <c r="BU340" i="40"/>
  <c r="CY305" i="40"/>
  <c r="CX306" i="40"/>
  <c r="CN323" i="40"/>
  <c r="CO322" i="40"/>
  <c r="BO276" i="40"/>
  <c r="BP275" i="40"/>
  <c r="CT355" i="40"/>
  <c r="CS356" i="40"/>
  <c r="BF330" i="40" l="1"/>
  <c r="BE331" i="40"/>
  <c r="BK322" i="40"/>
  <c r="BJ323" i="40"/>
  <c r="BZ352" i="40"/>
  <c r="BY353" i="40"/>
  <c r="CD353" i="40"/>
  <c r="CE352" i="40"/>
  <c r="BU341" i="40"/>
  <c r="BT342" i="40"/>
  <c r="CJ315" i="40"/>
  <c r="CI316" i="40"/>
  <c r="CY306" i="40"/>
  <c r="CX307" i="40"/>
  <c r="CO323" i="40"/>
  <c r="CN324" i="40"/>
  <c r="BO277" i="40"/>
  <c r="BP276" i="40"/>
  <c r="CT356" i="40"/>
  <c r="CS357" i="40"/>
  <c r="BE332" i="40" l="1"/>
  <c r="BF331" i="40"/>
  <c r="BJ324" i="40"/>
  <c r="BK323" i="40"/>
  <c r="CD354" i="40"/>
  <c r="CE353" i="40"/>
  <c r="BZ353" i="40"/>
  <c r="BY354" i="40"/>
  <c r="CI317" i="40"/>
  <c r="CJ316" i="40"/>
  <c r="BT343" i="40"/>
  <c r="BU342" i="40"/>
  <c r="CX308" i="40"/>
  <c r="CY307" i="40"/>
  <c r="CO324" i="40"/>
  <c r="CN325" i="40"/>
  <c r="BP277" i="40"/>
  <c r="BO278" i="40"/>
  <c r="CT357" i="40"/>
  <c r="CS358" i="40"/>
  <c r="BF332" i="40" l="1"/>
  <c r="BE333" i="40"/>
  <c r="BK324" i="40"/>
  <c r="BJ325" i="40"/>
  <c r="BZ354" i="40"/>
  <c r="BY355" i="40"/>
  <c r="CE354" i="40"/>
  <c r="CD355" i="40"/>
  <c r="BU343" i="40"/>
  <c r="BT344" i="40"/>
  <c r="CJ317" i="40"/>
  <c r="CI318" i="40"/>
  <c r="CX309" i="40"/>
  <c r="CY308" i="40"/>
  <c r="CN326" i="40"/>
  <c r="CO325" i="40"/>
  <c r="BO279" i="40"/>
  <c r="BP278" i="40"/>
  <c r="CT358" i="40"/>
  <c r="CS359" i="40"/>
  <c r="BF333" i="40" l="1"/>
  <c r="BE334" i="40"/>
  <c r="BK325" i="40"/>
  <c r="BJ326" i="40"/>
  <c r="CE355" i="40"/>
  <c r="CD356" i="40"/>
  <c r="BZ355" i="40"/>
  <c r="BY356" i="40"/>
  <c r="CI319" i="40"/>
  <c r="CJ318" i="40"/>
  <c r="BT345" i="40"/>
  <c r="BU344" i="40"/>
  <c r="CX310" i="40"/>
  <c r="CY309" i="40"/>
  <c r="CO326" i="40"/>
  <c r="CN327" i="40"/>
  <c r="BO280" i="40"/>
  <c r="BP279" i="40"/>
  <c r="CT359" i="40"/>
  <c r="CS360" i="40"/>
  <c r="BE335" i="40" l="1"/>
  <c r="BF334" i="40"/>
  <c r="BK326" i="40"/>
  <c r="BJ327" i="40"/>
  <c r="BZ356" i="40"/>
  <c r="BY357" i="40"/>
  <c r="CD357" i="40"/>
  <c r="CE356" i="40"/>
  <c r="BU345" i="40"/>
  <c r="BT346" i="40"/>
  <c r="CJ319" i="40"/>
  <c r="CI320" i="40"/>
  <c r="CY310" i="40"/>
  <c r="CX311" i="40"/>
  <c r="CO327" i="40"/>
  <c r="CN328" i="40"/>
  <c r="BP280" i="40"/>
  <c r="BO281" i="40"/>
  <c r="CT360" i="40"/>
  <c r="CS361" i="40"/>
  <c r="BF335" i="40" l="1"/>
  <c r="BE336" i="40"/>
  <c r="BJ328" i="40"/>
  <c r="BK327" i="40"/>
  <c r="CE357" i="40"/>
  <c r="CD358" i="40"/>
  <c r="BZ357" i="40"/>
  <c r="BY358" i="40"/>
  <c r="CI321" i="40"/>
  <c r="CJ320" i="40"/>
  <c r="BU346" i="40"/>
  <c r="BT347" i="40"/>
  <c r="CX312" i="40"/>
  <c r="CY311" i="40"/>
  <c r="CN329" i="40"/>
  <c r="CO328" i="40"/>
  <c r="BP281" i="40"/>
  <c r="BO282" i="40"/>
  <c r="CT361" i="40"/>
  <c r="CS362" i="40"/>
  <c r="BE337" i="40" l="1"/>
  <c r="BF336" i="40"/>
  <c r="BK328" i="40"/>
  <c r="BJ329" i="40"/>
  <c r="BZ358" i="40"/>
  <c r="BY359" i="40"/>
  <c r="CD359" i="40"/>
  <c r="CE358" i="40"/>
  <c r="BT348" i="40"/>
  <c r="BU347" i="40"/>
  <c r="CJ321" i="40"/>
  <c r="CI322" i="40"/>
  <c r="CY312" i="40"/>
  <c r="CX313" i="40"/>
  <c r="CO329" i="40"/>
  <c r="CN330" i="40"/>
  <c r="BO283" i="40"/>
  <c r="BP282" i="40"/>
  <c r="CT362" i="40"/>
  <c r="CS363" i="40"/>
  <c r="BF337" i="40" l="1"/>
  <c r="BE338" i="40"/>
  <c r="BK329" i="40"/>
  <c r="BJ330" i="40"/>
  <c r="CD360" i="40"/>
  <c r="CE359" i="40"/>
  <c r="BZ359" i="40"/>
  <c r="BY360" i="40"/>
  <c r="CJ322" i="40"/>
  <c r="CI323" i="40"/>
  <c r="BT349" i="40"/>
  <c r="BU348" i="40"/>
  <c r="CY313" i="40"/>
  <c r="CX314" i="40"/>
  <c r="CO330" i="40"/>
  <c r="CN331" i="40"/>
  <c r="BP283" i="40"/>
  <c r="BO284" i="40"/>
  <c r="CT363" i="40"/>
  <c r="CS364" i="40"/>
  <c r="BF338" i="40" l="1"/>
  <c r="BE339" i="40"/>
  <c r="BK330" i="40"/>
  <c r="BJ331" i="40"/>
  <c r="BZ360" i="40"/>
  <c r="BY361" i="40"/>
  <c r="CE360" i="40"/>
  <c r="CD361" i="40"/>
  <c r="BU349" i="40"/>
  <c r="BT350" i="40"/>
  <c r="CJ323" i="40"/>
  <c r="CI324" i="40"/>
  <c r="CY314" i="40"/>
  <c r="CX315" i="40"/>
  <c r="CO331" i="40"/>
  <c r="CN332" i="40"/>
  <c r="BP284" i="40"/>
  <c r="BO285" i="40"/>
  <c r="CT364" i="40"/>
  <c r="CS365" i="40"/>
  <c r="BF339" i="40" l="1"/>
  <c r="BE340" i="40"/>
  <c r="BJ332" i="40"/>
  <c r="BK331" i="40"/>
  <c r="CD362" i="40"/>
  <c r="CE361" i="40"/>
  <c r="BZ361" i="40"/>
  <c r="BY362" i="40"/>
  <c r="CI325" i="40"/>
  <c r="CJ324" i="40"/>
  <c r="BT351" i="40"/>
  <c r="BU350" i="40"/>
  <c r="CX316" i="40"/>
  <c r="CY315" i="40"/>
  <c r="CN333" i="40"/>
  <c r="CO332" i="40"/>
  <c r="BP285" i="40"/>
  <c r="BO286" i="40"/>
  <c r="CT365" i="40"/>
  <c r="CS366" i="40"/>
  <c r="BE341" i="40" l="1"/>
  <c r="BF340" i="40"/>
  <c r="BK332" i="40"/>
  <c r="BJ333" i="40"/>
  <c r="BZ362" i="40"/>
  <c r="BY363" i="40"/>
  <c r="CD363" i="40"/>
  <c r="CE362" i="40"/>
  <c r="BT352" i="40"/>
  <c r="BU351" i="40"/>
  <c r="CJ325" i="40"/>
  <c r="CI326" i="40"/>
  <c r="CY316" i="40"/>
  <c r="CX317" i="40"/>
  <c r="CO333" i="40"/>
  <c r="CN334" i="40"/>
  <c r="BO287" i="40"/>
  <c r="BP286" i="40"/>
  <c r="CT366" i="40"/>
  <c r="CS367" i="40"/>
  <c r="BF341" i="40" l="1"/>
  <c r="BE342" i="40"/>
  <c r="BJ334" i="40"/>
  <c r="BK333" i="40"/>
  <c r="CE363" i="40"/>
  <c r="CD364" i="40"/>
  <c r="BZ363" i="40"/>
  <c r="BY364" i="40"/>
  <c r="CJ326" i="40"/>
  <c r="CI327" i="40"/>
  <c r="BU352" i="40"/>
  <c r="BT353" i="40"/>
  <c r="CX318" i="40"/>
  <c r="CY317" i="40"/>
  <c r="CO334" i="40"/>
  <c r="CN335" i="40"/>
  <c r="BO288" i="40"/>
  <c r="BP287" i="40"/>
  <c r="CT367" i="40"/>
  <c r="CS368" i="40"/>
  <c r="BE343" i="40" l="1"/>
  <c r="BF342" i="40"/>
  <c r="BK334" i="40"/>
  <c r="BJ335" i="40"/>
  <c r="BZ364" i="40"/>
  <c r="BY365" i="40"/>
  <c r="CE364" i="40"/>
  <c r="CD365" i="40"/>
  <c r="BT354" i="40"/>
  <c r="BU353" i="40"/>
  <c r="CJ327" i="40"/>
  <c r="CI328" i="40"/>
  <c r="CX319" i="40"/>
  <c r="CY318" i="40"/>
  <c r="CO335" i="40"/>
  <c r="CN336" i="40"/>
  <c r="BO289" i="40"/>
  <c r="BP288" i="40"/>
  <c r="CT368" i="40"/>
  <c r="CS369" i="40"/>
  <c r="BF343" i="40" l="1"/>
  <c r="BE344" i="40"/>
  <c r="BK335" i="40"/>
  <c r="BJ336" i="40"/>
  <c r="CD366" i="40"/>
  <c r="CE365" i="40"/>
  <c r="BY366" i="40"/>
  <c r="BZ365" i="40"/>
  <c r="CI329" i="40"/>
  <c r="CJ328" i="40"/>
  <c r="BT355" i="40"/>
  <c r="BU354" i="40"/>
  <c r="CY319" i="40"/>
  <c r="CX320" i="40"/>
  <c r="CO336" i="40"/>
  <c r="CN337" i="40"/>
  <c r="BO290" i="40"/>
  <c r="BP289" i="40"/>
  <c r="CT369" i="40"/>
  <c r="CS370" i="40"/>
  <c r="BE345" i="40" l="1"/>
  <c r="BF344" i="40"/>
  <c r="BK336" i="40"/>
  <c r="BJ337" i="40"/>
  <c r="BZ366" i="40"/>
  <c r="BY367" i="40"/>
  <c r="CE366" i="40"/>
  <c r="CD367" i="40"/>
  <c r="BU355" i="40"/>
  <c r="BT356" i="40"/>
  <c r="CJ329" i="40"/>
  <c r="CI330" i="40"/>
  <c r="CX321" i="40"/>
  <c r="CY320" i="40"/>
  <c r="CO337" i="40"/>
  <c r="CN338" i="40"/>
  <c r="BO291" i="40"/>
  <c r="BP290" i="40"/>
  <c r="CT370" i="40"/>
  <c r="CS371" i="40"/>
  <c r="BE346" i="40" l="1"/>
  <c r="BF345" i="40"/>
  <c r="BJ338" i="40"/>
  <c r="BK337" i="40"/>
  <c r="CD368" i="40"/>
  <c r="CE367" i="40"/>
  <c r="BZ367" i="40"/>
  <c r="BY368" i="40"/>
  <c r="CI331" i="40"/>
  <c r="CJ330" i="40"/>
  <c r="BU356" i="40"/>
  <c r="BT357" i="40"/>
  <c r="CY321" i="40"/>
  <c r="CX322" i="40"/>
  <c r="CO338" i="40"/>
  <c r="CN339" i="40"/>
  <c r="BO292" i="40"/>
  <c r="BP291" i="40"/>
  <c r="CT371" i="40"/>
  <c r="CS372" i="40"/>
  <c r="BE347" i="40" l="1"/>
  <c r="BF346" i="40"/>
  <c r="BK338" i="40"/>
  <c r="BJ339" i="40"/>
  <c r="BZ368" i="40"/>
  <c r="BY369" i="40"/>
  <c r="CE368" i="40"/>
  <c r="CD369" i="40"/>
  <c r="BU357" i="40"/>
  <c r="BT358" i="40"/>
  <c r="CJ331" i="40"/>
  <c r="CI332" i="40"/>
  <c r="CY322" i="40"/>
  <c r="CX323" i="40"/>
  <c r="CO339" i="40"/>
  <c r="CN340" i="40"/>
  <c r="BP292" i="40"/>
  <c r="BO293" i="40"/>
  <c r="CT372" i="40"/>
  <c r="CS373" i="40"/>
  <c r="BE348" i="40" l="1"/>
  <c r="BF347" i="40"/>
  <c r="BK339" i="40"/>
  <c r="BJ340" i="40"/>
  <c r="CD370" i="40"/>
  <c r="CE369" i="40"/>
  <c r="BZ369" i="40"/>
  <c r="BY370" i="40"/>
  <c r="CJ332" i="40"/>
  <c r="CI333" i="40"/>
  <c r="BT359" i="40"/>
  <c r="BU358" i="40"/>
  <c r="CX324" i="40"/>
  <c r="CY323" i="40"/>
  <c r="CO340" i="40"/>
  <c r="CN341" i="40"/>
  <c r="BO294" i="40"/>
  <c r="BP293" i="40"/>
  <c r="CT373" i="40"/>
  <c r="CS374" i="40"/>
  <c r="BE349" i="40" l="1"/>
  <c r="BF348" i="40"/>
  <c r="BK340" i="40"/>
  <c r="BJ341" i="40"/>
  <c r="BY371" i="40"/>
  <c r="BZ370" i="40"/>
  <c r="CD371" i="40"/>
  <c r="CE370" i="40"/>
  <c r="BT360" i="40"/>
  <c r="BU359" i="40"/>
  <c r="CJ333" i="40"/>
  <c r="CI334" i="40"/>
  <c r="CY324" i="40"/>
  <c r="CX325" i="40"/>
  <c r="CO341" i="40"/>
  <c r="CN342" i="40"/>
  <c r="BO295" i="40"/>
  <c r="BP294" i="40"/>
  <c r="CT374" i="40"/>
  <c r="CS375" i="40"/>
  <c r="BF349" i="40" l="1"/>
  <c r="BE350" i="40"/>
  <c r="BK341" i="40"/>
  <c r="BJ342" i="40"/>
  <c r="CE371" i="40"/>
  <c r="CD372" i="40"/>
  <c r="BZ371" i="40"/>
  <c r="BY372" i="40"/>
  <c r="CI335" i="40"/>
  <c r="CJ334" i="40"/>
  <c r="BU360" i="40"/>
  <c r="BT361" i="40"/>
  <c r="CY325" i="40"/>
  <c r="CX326" i="40"/>
  <c r="CO342" i="40"/>
  <c r="CN343" i="40"/>
  <c r="BO296" i="40"/>
  <c r="BP295" i="40"/>
  <c r="CT375" i="40"/>
  <c r="CS376" i="40"/>
  <c r="BE351" i="40" l="1"/>
  <c r="BF350" i="40"/>
  <c r="BK342" i="40"/>
  <c r="BJ343" i="40"/>
  <c r="BZ372" i="40"/>
  <c r="BY373" i="40"/>
  <c r="CE372" i="40"/>
  <c r="CD373" i="40"/>
  <c r="BU361" i="40"/>
  <c r="BT362" i="40"/>
  <c r="CJ335" i="40"/>
  <c r="CI336" i="40"/>
  <c r="CY326" i="40"/>
  <c r="CX327" i="40"/>
  <c r="CO343" i="40"/>
  <c r="CN344" i="40"/>
  <c r="BO297" i="40"/>
  <c r="BP296" i="40"/>
  <c r="CT376" i="40"/>
  <c r="CS377" i="40"/>
  <c r="BE352" i="40" l="1"/>
  <c r="BF351" i="40"/>
  <c r="BK343" i="40"/>
  <c r="BJ344" i="40"/>
  <c r="CE373" i="40"/>
  <c r="CD374" i="40"/>
  <c r="BZ373" i="40"/>
  <c r="BY374" i="40"/>
  <c r="CI337" i="40"/>
  <c r="CJ336" i="40"/>
  <c r="BU362" i="40"/>
  <c r="BT363" i="40"/>
  <c r="CX328" i="40"/>
  <c r="CY327" i="40"/>
  <c r="CO344" i="40"/>
  <c r="CN345" i="40"/>
  <c r="BO298" i="40"/>
  <c r="BP297" i="40"/>
  <c r="CT377" i="40"/>
  <c r="CS378" i="40"/>
  <c r="BF352" i="40" l="1"/>
  <c r="BE353" i="40"/>
  <c r="BK344" i="40"/>
  <c r="BJ345" i="40"/>
  <c r="BY375" i="40"/>
  <c r="BZ374" i="40"/>
  <c r="CE374" i="40"/>
  <c r="CD375" i="40"/>
  <c r="BT364" i="40"/>
  <c r="BU363" i="40"/>
  <c r="CI338" i="40"/>
  <c r="CJ337" i="40"/>
  <c r="CY328" i="40"/>
  <c r="CX329" i="40"/>
  <c r="CO345" i="40"/>
  <c r="CN346" i="40"/>
  <c r="BP298" i="40"/>
  <c r="BO299" i="40"/>
  <c r="CT378" i="40"/>
  <c r="CS379" i="40"/>
  <c r="BE354" i="40" l="1"/>
  <c r="BF353" i="40"/>
  <c r="BK345" i="40"/>
  <c r="BJ346" i="40"/>
  <c r="CD376" i="40"/>
  <c r="CE375" i="40"/>
  <c r="BZ375" i="40"/>
  <c r="BY376" i="40"/>
  <c r="CJ338" i="40"/>
  <c r="CI339" i="40"/>
  <c r="BT365" i="40"/>
  <c r="BU364" i="40"/>
  <c r="CX330" i="40"/>
  <c r="CY329" i="40"/>
  <c r="CO346" i="40"/>
  <c r="CN347" i="40"/>
  <c r="BO300" i="40"/>
  <c r="BP299" i="40"/>
  <c r="CT379" i="40"/>
  <c r="CS380" i="40"/>
  <c r="BE355" i="40" l="1"/>
  <c r="BF354" i="40"/>
  <c r="BK346" i="40"/>
  <c r="BJ347" i="40"/>
  <c r="BZ376" i="40"/>
  <c r="BY377" i="40"/>
  <c r="CE376" i="40"/>
  <c r="CD377" i="40"/>
  <c r="BU365" i="40"/>
  <c r="BT366" i="40"/>
  <c r="CJ339" i="40"/>
  <c r="CI340" i="40"/>
  <c r="CY330" i="40"/>
  <c r="CX331" i="40"/>
  <c r="CO347" i="40"/>
  <c r="CN348" i="40"/>
  <c r="BO301" i="40"/>
  <c r="BP300" i="40"/>
  <c r="CT380" i="40"/>
  <c r="CS381" i="40"/>
  <c r="BE356" i="40" l="1"/>
  <c r="BF355" i="40"/>
  <c r="BK347" i="40"/>
  <c r="BJ348" i="40"/>
  <c r="CE377" i="40"/>
  <c r="CD378" i="40"/>
  <c r="BZ377" i="40"/>
  <c r="BY378" i="40"/>
  <c r="CJ340" i="40"/>
  <c r="CI341" i="40"/>
  <c r="BT367" i="40"/>
  <c r="BU366" i="40"/>
  <c r="CX332" i="40"/>
  <c r="CY331" i="40"/>
  <c r="CO348" i="40"/>
  <c r="CN349" i="40"/>
  <c r="BP301" i="40"/>
  <c r="BO302" i="40"/>
  <c r="CT381" i="40"/>
  <c r="CS382" i="40"/>
  <c r="BE357" i="40" l="1"/>
  <c r="BF356" i="40"/>
  <c r="BK348" i="40"/>
  <c r="BJ349" i="40"/>
  <c r="BY379" i="40"/>
  <c r="BZ378" i="40"/>
  <c r="CE378" i="40"/>
  <c r="CD379" i="40"/>
  <c r="BU367" i="40"/>
  <c r="BT368" i="40"/>
  <c r="CJ341" i="40"/>
  <c r="CI342" i="40"/>
  <c r="CX333" i="40"/>
  <c r="CY332" i="40"/>
  <c r="CO349" i="40"/>
  <c r="CN350" i="40"/>
  <c r="BO303" i="40"/>
  <c r="BP302" i="40"/>
  <c r="CT382" i="40"/>
  <c r="CS383" i="40"/>
  <c r="BE358" i="40" l="1"/>
  <c r="BF357" i="40"/>
  <c r="BK349" i="40"/>
  <c r="BJ350" i="40"/>
  <c r="CD380" i="40"/>
  <c r="CE379" i="40"/>
  <c r="BZ379" i="40"/>
  <c r="BY380" i="40"/>
  <c r="CJ342" i="40"/>
  <c r="CI343" i="40"/>
  <c r="BT369" i="40"/>
  <c r="BU368" i="40"/>
  <c r="CY333" i="40"/>
  <c r="CX334" i="40"/>
  <c r="CO350" i="40"/>
  <c r="CN351" i="40"/>
  <c r="BP303" i="40"/>
  <c r="BO304" i="40"/>
  <c r="CT383" i="40"/>
  <c r="CS384" i="40"/>
  <c r="BE359" i="40" l="1"/>
  <c r="BF358" i="40"/>
  <c r="BK350" i="40"/>
  <c r="BJ351" i="40"/>
  <c r="BZ380" i="40"/>
  <c r="BY381" i="40"/>
  <c r="CE380" i="40"/>
  <c r="CD381" i="40"/>
  <c r="BT370" i="40"/>
  <c r="BU369" i="40"/>
  <c r="CJ343" i="40"/>
  <c r="CI344" i="40"/>
  <c r="CY334" i="40"/>
  <c r="CX335" i="40"/>
  <c r="CO351" i="40"/>
  <c r="CN352" i="40"/>
  <c r="BO305" i="40"/>
  <c r="BP304" i="40"/>
  <c r="CT384" i="40"/>
  <c r="CS385" i="40"/>
  <c r="BE360" i="40" l="1"/>
  <c r="BF359" i="40"/>
  <c r="BK351" i="40"/>
  <c r="BJ352" i="40"/>
  <c r="CE381" i="40"/>
  <c r="CD382" i="40"/>
  <c r="BZ381" i="40"/>
  <c r="BY382" i="40"/>
  <c r="CJ344" i="40"/>
  <c r="CI345" i="40"/>
  <c r="BU370" i="40"/>
  <c r="BT371" i="40"/>
  <c r="CY335" i="40"/>
  <c r="CX336" i="40"/>
  <c r="CO352" i="40"/>
  <c r="CN353" i="40"/>
  <c r="BO306" i="40"/>
  <c r="BP305" i="40"/>
  <c r="CT385" i="40"/>
  <c r="CS386" i="40"/>
  <c r="BE361" i="40" l="1"/>
  <c r="BF360" i="40"/>
  <c r="BK352" i="40"/>
  <c r="BJ353" i="40"/>
  <c r="BY383" i="40"/>
  <c r="BZ382" i="40"/>
  <c r="CD383" i="40"/>
  <c r="CE382" i="40"/>
  <c r="BU371" i="40"/>
  <c r="BT372" i="40"/>
  <c r="CJ345" i="40"/>
  <c r="CI346" i="40"/>
  <c r="CX337" i="40"/>
  <c r="CY336" i="40"/>
  <c r="CO353" i="40"/>
  <c r="CN354" i="40"/>
  <c r="BP306" i="40"/>
  <c r="BO307" i="40"/>
  <c r="CT386" i="40"/>
  <c r="CS387" i="40"/>
  <c r="BF361" i="40" l="1"/>
  <c r="BE362" i="40"/>
  <c r="BJ354" i="40"/>
  <c r="BK353" i="40"/>
  <c r="CE383" i="40"/>
  <c r="CD384" i="40"/>
  <c r="BZ383" i="40"/>
  <c r="BY384" i="40"/>
  <c r="CJ346" i="40"/>
  <c r="CI347" i="40"/>
  <c r="BT373" i="40"/>
  <c r="BU372" i="40"/>
  <c r="CY337" i="40"/>
  <c r="CX338" i="40"/>
  <c r="CO354" i="40"/>
  <c r="CN355" i="40"/>
  <c r="BO308" i="40"/>
  <c r="BP307" i="40"/>
  <c r="CT387" i="40"/>
  <c r="CS388" i="40"/>
  <c r="BE363" i="40" l="1"/>
  <c r="BF362" i="40"/>
  <c r="BK354" i="40"/>
  <c r="BJ355" i="40"/>
  <c r="BZ384" i="40"/>
  <c r="BY385" i="40"/>
  <c r="CE384" i="40"/>
  <c r="CD385" i="40"/>
  <c r="BT374" i="40"/>
  <c r="BU373" i="40"/>
  <c r="CJ347" i="40"/>
  <c r="CI348" i="40"/>
  <c r="CY338" i="40"/>
  <c r="CX339" i="40"/>
  <c r="CO355" i="40"/>
  <c r="CN356" i="40"/>
  <c r="BP308" i="40"/>
  <c r="BO309" i="40"/>
  <c r="CT388" i="40"/>
  <c r="CS389" i="40"/>
  <c r="BE364" i="40" l="1"/>
  <c r="BF363" i="40"/>
  <c r="BK355" i="40"/>
  <c r="BJ356" i="40"/>
  <c r="CE385" i="40"/>
  <c r="CD386" i="40"/>
  <c r="BZ385" i="40"/>
  <c r="BY386" i="40"/>
  <c r="CJ348" i="40"/>
  <c r="CI349" i="40"/>
  <c r="BU374" i="40"/>
  <c r="BT375" i="40"/>
  <c r="CX340" i="40"/>
  <c r="CY339" i="40"/>
  <c r="CO356" i="40"/>
  <c r="CN357" i="40"/>
  <c r="BO310" i="40"/>
  <c r="BP309" i="40"/>
  <c r="CT389" i="40"/>
  <c r="CS390" i="40"/>
  <c r="BE365" i="40" l="1"/>
  <c r="BF364" i="40"/>
  <c r="BK356" i="40"/>
  <c r="BJ357" i="40"/>
  <c r="BY387" i="40"/>
  <c r="BZ386" i="40"/>
  <c r="CD387" i="40"/>
  <c r="CE386" i="40"/>
  <c r="BT376" i="40"/>
  <c r="BU375" i="40"/>
  <c r="CJ349" i="40"/>
  <c r="CI350" i="40"/>
  <c r="CY340" i="40"/>
  <c r="CX341" i="40"/>
  <c r="CO357" i="40"/>
  <c r="CN358" i="40"/>
  <c r="BP310" i="40"/>
  <c r="BO311" i="40"/>
  <c r="CT390" i="40"/>
  <c r="CS391" i="40"/>
  <c r="BE366" i="40" l="1"/>
  <c r="BF365" i="40"/>
  <c r="BK357" i="40"/>
  <c r="BJ358" i="40"/>
  <c r="CE387" i="40"/>
  <c r="CD388" i="40"/>
  <c r="BZ387" i="40"/>
  <c r="BY388" i="40"/>
  <c r="CI351" i="40"/>
  <c r="CJ350" i="40"/>
  <c r="BU376" i="40"/>
  <c r="BT377" i="40"/>
  <c r="CY341" i="40"/>
  <c r="CX342" i="40"/>
  <c r="CO358" i="40"/>
  <c r="CN359" i="40"/>
  <c r="BP311" i="40"/>
  <c r="BO312" i="40"/>
  <c r="CT391" i="40"/>
  <c r="CS392" i="40"/>
  <c r="BE367" i="40" l="1"/>
  <c r="BF366" i="40"/>
  <c r="BK358" i="40"/>
  <c r="BJ359" i="40"/>
  <c r="BZ388" i="40"/>
  <c r="BY389" i="40"/>
  <c r="CE388" i="40"/>
  <c r="CD389" i="40"/>
  <c r="BU377" i="40"/>
  <c r="BT378" i="40"/>
  <c r="CI352" i="40"/>
  <c r="CJ351" i="40"/>
  <c r="CY342" i="40"/>
  <c r="CX343" i="40"/>
  <c r="CO359" i="40"/>
  <c r="CN360" i="40"/>
  <c r="BO313" i="40"/>
  <c r="BP312" i="40"/>
  <c r="CT392" i="40"/>
  <c r="CS393" i="40"/>
  <c r="BE368" i="40" l="1"/>
  <c r="BF367" i="40"/>
  <c r="BK359" i="40"/>
  <c r="BJ360" i="40"/>
  <c r="CD390" i="40"/>
  <c r="CE389" i="40"/>
  <c r="BZ389" i="40"/>
  <c r="BY390" i="40"/>
  <c r="CJ352" i="40"/>
  <c r="CI353" i="40"/>
  <c r="BU378" i="40"/>
  <c r="BT379" i="40"/>
  <c r="CY343" i="40"/>
  <c r="CX344" i="40"/>
  <c r="CO360" i="40"/>
  <c r="CN361" i="40"/>
  <c r="BO314" i="40"/>
  <c r="BP313" i="40"/>
  <c r="CT393" i="40"/>
  <c r="CS394" i="40"/>
  <c r="BF368" i="40" l="1"/>
  <c r="BE369" i="40"/>
  <c r="BK360" i="40"/>
  <c r="BJ361" i="40"/>
  <c r="BY391" i="40"/>
  <c r="BZ390" i="40"/>
  <c r="CD391" i="40"/>
  <c r="CE390" i="40"/>
  <c r="BU379" i="40"/>
  <c r="BT380" i="40"/>
  <c r="CJ353" i="40"/>
  <c r="CI354" i="40"/>
  <c r="CY344" i="40"/>
  <c r="CX345" i="40"/>
  <c r="CN362" i="40"/>
  <c r="CO361" i="40"/>
  <c r="BP314" i="40"/>
  <c r="BO315" i="40"/>
  <c r="CT394" i="40"/>
  <c r="CS395" i="40"/>
  <c r="BE370" i="40" l="1"/>
  <c r="BF369" i="40"/>
  <c r="BK361" i="40"/>
  <c r="BJ362" i="40"/>
  <c r="CE391" i="40"/>
  <c r="CD392" i="40"/>
  <c r="BZ391" i="40"/>
  <c r="BY392" i="40"/>
  <c r="CI355" i="40"/>
  <c r="CJ354" i="40"/>
  <c r="BU380" i="40"/>
  <c r="BT381" i="40"/>
  <c r="CX346" i="40"/>
  <c r="CY345" i="40"/>
  <c r="CO362" i="40"/>
  <c r="CN363" i="40"/>
  <c r="BP315" i="40"/>
  <c r="BO316" i="40"/>
  <c r="CT395" i="40"/>
  <c r="CS396" i="40"/>
  <c r="BE371" i="40" l="1"/>
  <c r="BF370" i="40"/>
  <c r="BK362" i="40"/>
  <c r="BJ363" i="40"/>
  <c r="BY393" i="40"/>
  <c r="BZ392" i="40"/>
  <c r="CE392" i="40"/>
  <c r="CD393" i="40"/>
  <c r="BT382" i="40"/>
  <c r="BU381" i="40"/>
  <c r="CJ355" i="40"/>
  <c r="CI356" i="40"/>
  <c r="CX347" i="40"/>
  <c r="CY346" i="40"/>
  <c r="CO363" i="40"/>
  <c r="CN364" i="40"/>
  <c r="BO317" i="40"/>
  <c r="BP316" i="40"/>
  <c r="CT396" i="40"/>
  <c r="CS397" i="40"/>
  <c r="BE372" i="40" l="1"/>
  <c r="BF371" i="40"/>
  <c r="BK363" i="40"/>
  <c r="BJ364" i="40"/>
  <c r="CD394" i="40"/>
  <c r="CE393" i="40"/>
  <c r="BZ393" i="40"/>
  <c r="BY394" i="40"/>
  <c r="CI357" i="40"/>
  <c r="CJ356" i="40"/>
  <c r="BT383" i="40"/>
  <c r="BU382" i="40"/>
  <c r="CY347" i="40"/>
  <c r="CX348" i="40"/>
  <c r="CO364" i="40"/>
  <c r="CN365" i="40"/>
  <c r="BO318" i="40"/>
  <c r="BP317" i="40"/>
  <c r="CT397" i="40"/>
  <c r="CS398" i="40"/>
  <c r="BF372" i="40" l="1"/>
  <c r="BE373" i="40"/>
  <c r="BK364" i="40"/>
  <c r="BJ365" i="40"/>
  <c r="BZ394" i="40"/>
  <c r="BY395" i="40"/>
  <c r="CE394" i="40"/>
  <c r="CD395" i="40"/>
  <c r="BT384" i="40"/>
  <c r="BU383" i="40"/>
  <c r="CJ357" i="40"/>
  <c r="CI358" i="40"/>
  <c r="CY348" i="40"/>
  <c r="CX349" i="40"/>
  <c r="CO365" i="40"/>
  <c r="CN366" i="40"/>
  <c r="BP318" i="40"/>
  <c r="BO319" i="40"/>
  <c r="CT398" i="40"/>
  <c r="CS399" i="40"/>
  <c r="BF373" i="40" l="1"/>
  <c r="BE374" i="40"/>
  <c r="BK365" i="40"/>
  <c r="BJ366" i="40"/>
  <c r="CE395" i="40"/>
  <c r="CD396" i="40"/>
  <c r="BY396" i="40"/>
  <c r="BZ395" i="40"/>
  <c r="CJ358" i="40"/>
  <c r="CI359" i="40"/>
  <c r="BT385" i="40"/>
  <c r="BU384" i="40"/>
  <c r="CY349" i="40"/>
  <c r="CX350" i="40"/>
  <c r="CO366" i="40"/>
  <c r="CN367" i="40"/>
  <c r="BP319" i="40"/>
  <c r="BO320" i="40"/>
  <c r="CT399" i="40"/>
  <c r="CS400" i="40"/>
  <c r="BE375" i="40" l="1"/>
  <c r="BF374" i="40"/>
  <c r="BK366" i="40"/>
  <c r="BJ367" i="40"/>
  <c r="BY397" i="40"/>
  <c r="BZ396" i="40"/>
  <c r="CD397" i="40"/>
  <c r="CE396" i="40"/>
  <c r="BT386" i="40"/>
  <c r="BU385" i="40"/>
  <c r="CJ359" i="40"/>
  <c r="CI360" i="40"/>
  <c r="CX351" i="40"/>
  <c r="CY350" i="40"/>
  <c r="CO367" i="40"/>
  <c r="CN368" i="40"/>
  <c r="BP320" i="40"/>
  <c r="BO321" i="40"/>
  <c r="CT400" i="40"/>
  <c r="CS401" i="40"/>
  <c r="BE376" i="40" l="1"/>
  <c r="BF375" i="40"/>
  <c r="BK367" i="40"/>
  <c r="BJ368" i="40"/>
  <c r="CD398" i="40"/>
  <c r="CE397" i="40"/>
  <c r="BZ397" i="40"/>
  <c r="BY398" i="40"/>
  <c r="CI361" i="40"/>
  <c r="CJ360" i="40"/>
  <c r="BT387" i="40"/>
  <c r="BU386" i="40"/>
  <c r="CX352" i="40"/>
  <c r="CY351" i="40"/>
  <c r="CN369" i="40"/>
  <c r="CO368" i="40"/>
  <c r="BP321" i="40"/>
  <c r="BO322" i="40"/>
  <c r="CT401" i="40"/>
  <c r="CS402" i="40"/>
  <c r="BF376" i="40" l="1"/>
  <c r="BE377" i="40"/>
  <c r="BK368" i="40"/>
  <c r="BJ369" i="40"/>
  <c r="BZ398" i="40"/>
  <c r="BY399" i="40"/>
  <c r="CD399" i="40"/>
  <c r="CE398" i="40"/>
  <c r="BU387" i="40"/>
  <c r="BT388" i="40"/>
  <c r="CI362" i="40"/>
  <c r="CJ361" i="40"/>
  <c r="CX353" i="40"/>
  <c r="CY352" i="40"/>
  <c r="CN370" i="40"/>
  <c r="CO369" i="40"/>
  <c r="BP322" i="40"/>
  <c r="BO323" i="40"/>
  <c r="CT402" i="40"/>
  <c r="CS403" i="40"/>
  <c r="BE378" i="40" l="1"/>
  <c r="BF377" i="40"/>
  <c r="BK369" i="40"/>
  <c r="BJ370" i="40"/>
  <c r="CD400" i="40"/>
  <c r="CE399" i="40"/>
  <c r="BY400" i="40"/>
  <c r="BZ399" i="40"/>
  <c r="CI363" i="40"/>
  <c r="CJ362" i="40"/>
  <c r="BU388" i="40"/>
  <c r="BT389" i="40"/>
  <c r="CX354" i="40"/>
  <c r="CY353" i="40"/>
  <c r="CO370" i="40"/>
  <c r="CN371" i="40"/>
  <c r="BO324" i="40"/>
  <c r="BP323" i="40"/>
  <c r="CT403" i="40"/>
  <c r="CS404" i="40"/>
  <c r="BF378" i="40" l="1"/>
  <c r="BE379" i="40"/>
  <c r="BK370" i="40"/>
  <c r="BJ371" i="40"/>
  <c r="BY401" i="40"/>
  <c r="BZ400" i="40"/>
  <c r="CE400" i="40"/>
  <c r="CD401" i="40"/>
  <c r="BU389" i="40"/>
  <c r="BT390" i="40"/>
  <c r="CJ363" i="40"/>
  <c r="CI364" i="40"/>
  <c r="CX355" i="40"/>
  <c r="CY354" i="40"/>
  <c r="CO371" i="40"/>
  <c r="CN372" i="40"/>
  <c r="BP324" i="40"/>
  <c r="BO325" i="40"/>
  <c r="CT404" i="40"/>
  <c r="CS405" i="40"/>
  <c r="BE380" i="40" l="1"/>
  <c r="BF379" i="40"/>
  <c r="BK371" i="40"/>
  <c r="BJ372" i="40"/>
  <c r="CE401" i="40"/>
  <c r="CD402" i="40"/>
  <c r="BY402" i="40"/>
  <c r="BZ401" i="40"/>
  <c r="CJ364" i="40"/>
  <c r="CI365" i="40"/>
  <c r="BT391" i="40"/>
  <c r="BU390" i="40"/>
  <c r="CY355" i="40"/>
  <c r="CX356" i="40"/>
  <c r="CO372" i="40"/>
  <c r="CN373" i="40"/>
  <c r="BO326" i="40"/>
  <c r="BP325" i="40"/>
  <c r="CT405" i="40"/>
  <c r="CS406" i="40"/>
  <c r="BE381" i="40" l="1"/>
  <c r="BF380" i="40"/>
  <c r="BJ373" i="40"/>
  <c r="BK372" i="40"/>
  <c r="BY403" i="40"/>
  <c r="BZ402" i="40"/>
  <c r="CD403" i="40"/>
  <c r="CE402" i="40"/>
  <c r="BU391" i="40"/>
  <c r="BT392" i="40"/>
  <c r="CI366" i="40"/>
  <c r="CJ365" i="40"/>
  <c r="CX357" i="40"/>
  <c r="CY356" i="40"/>
  <c r="CO373" i="40"/>
  <c r="CN374" i="40"/>
  <c r="BO327" i="40"/>
  <c r="BP326" i="40"/>
  <c r="CT406" i="40"/>
  <c r="CS407" i="40"/>
  <c r="CT407" i="40" s="1"/>
  <c r="BE382" i="40" l="1"/>
  <c r="BF381" i="40"/>
  <c r="BK373" i="40"/>
  <c r="BJ374" i="40"/>
  <c r="CE403" i="40"/>
  <c r="CD404" i="40"/>
  <c r="BZ403" i="40"/>
  <c r="BY404" i="40"/>
  <c r="CJ366" i="40"/>
  <c r="CI367" i="40"/>
  <c r="BU392" i="40"/>
  <c r="BT393" i="40"/>
  <c r="CX358" i="40"/>
  <c r="CY357" i="40"/>
  <c r="CN375" i="40"/>
  <c r="CO374" i="40"/>
  <c r="BP327" i="40"/>
  <c r="BO328" i="40"/>
  <c r="BF382" i="40" l="1"/>
  <c r="BE383" i="40"/>
  <c r="BK374" i="40"/>
  <c r="BJ375" i="40"/>
  <c r="BY405" i="40"/>
  <c r="BZ404" i="40"/>
  <c r="CD405" i="40"/>
  <c r="CE404" i="40"/>
  <c r="BU393" i="40"/>
  <c r="BT394" i="40"/>
  <c r="CJ367" i="40"/>
  <c r="CI368" i="40"/>
  <c r="CX359" i="40"/>
  <c r="CY358" i="40"/>
  <c r="CO375" i="40"/>
  <c r="CN376" i="40"/>
  <c r="BP328" i="40"/>
  <c r="BO329" i="40"/>
  <c r="BE384" i="40" l="1"/>
  <c r="BF383" i="40"/>
  <c r="BK375" i="40"/>
  <c r="BJ376" i="40"/>
  <c r="CD406" i="40"/>
  <c r="CE405" i="40"/>
  <c r="BZ405" i="40"/>
  <c r="BY406" i="40"/>
  <c r="CJ368" i="40"/>
  <c r="CI369" i="40"/>
  <c r="BU394" i="40"/>
  <c r="BT395" i="40"/>
  <c r="CX360" i="40"/>
  <c r="CY359" i="40"/>
  <c r="CN377" i="40"/>
  <c r="CO376" i="40"/>
  <c r="BP329" i="40"/>
  <c r="BO330" i="40"/>
  <c r="BE385" i="40" l="1"/>
  <c r="BF384" i="40"/>
  <c r="BK376" i="40"/>
  <c r="BJ377" i="40"/>
  <c r="BZ406" i="40"/>
  <c r="BY407" i="40"/>
  <c r="BZ407" i="40" s="1"/>
  <c r="CD407" i="40"/>
  <c r="CE407" i="40" s="1"/>
  <c r="CE406" i="40"/>
  <c r="BT396" i="40"/>
  <c r="BU395" i="40"/>
  <c r="CI370" i="40"/>
  <c r="CJ369" i="40"/>
  <c r="CY360" i="40"/>
  <c r="CX361" i="40"/>
  <c r="CO377" i="40"/>
  <c r="CN378" i="40"/>
  <c r="BO331" i="40"/>
  <c r="BP330" i="40"/>
  <c r="BE386" i="40" l="1"/>
  <c r="BF385" i="40"/>
  <c r="BK377" i="40"/>
  <c r="BJ378" i="40"/>
  <c r="CI371" i="40"/>
  <c r="CJ370" i="40"/>
  <c r="BU396" i="40"/>
  <c r="BT397" i="40"/>
  <c r="CX362" i="40"/>
  <c r="CY361" i="40"/>
  <c r="CO378" i="40"/>
  <c r="CN379" i="40"/>
  <c r="BP331" i="40"/>
  <c r="BO332" i="40"/>
  <c r="BE387" i="40" l="1"/>
  <c r="BF386" i="40"/>
  <c r="BK378" i="40"/>
  <c r="BJ379" i="40"/>
  <c r="BU397" i="40"/>
  <c r="BT398" i="40"/>
  <c r="CJ371" i="40"/>
  <c r="CI372" i="40"/>
  <c r="CX363" i="40"/>
  <c r="CY362" i="40"/>
  <c r="CO379" i="40"/>
  <c r="CN380" i="40"/>
  <c r="BO333" i="40"/>
  <c r="BP332" i="40"/>
  <c r="BE388" i="40" l="1"/>
  <c r="BF387" i="40"/>
  <c r="BK379" i="40"/>
  <c r="BJ380" i="40"/>
  <c r="BU398" i="40"/>
  <c r="BT399" i="40"/>
  <c r="CJ372" i="40"/>
  <c r="CI373" i="40"/>
  <c r="CX364" i="40"/>
  <c r="CY363" i="40"/>
  <c r="CO380" i="40"/>
  <c r="CN381" i="40"/>
  <c r="BP333" i="40"/>
  <c r="BO334" i="40"/>
  <c r="BE389" i="40" l="1"/>
  <c r="BF388" i="40"/>
  <c r="BK380" i="40"/>
  <c r="BJ381" i="40"/>
  <c r="CI374" i="40"/>
  <c r="CJ373" i="40"/>
  <c r="BU399" i="40"/>
  <c r="BT400" i="40"/>
  <c r="CX365" i="40"/>
  <c r="CY364" i="40"/>
  <c r="CN382" i="40"/>
  <c r="CO381" i="40"/>
  <c r="BO335" i="40"/>
  <c r="BP334" i="40"/>
  <c r="BE390" i="40" l="1"/>
  <c r="BF389" i="40"/>
  <c r="BK381" i="40"/>
  <c r="BJ382" i="40"/>
  <c r="BU400" i="40"/>
  <c r="BT401" i="40"/>
  <c r="CJ374" i="40"/>
  <c r="CI375" i="40"/>
  <c r="CX366" i="40"/>
  <c r="CY365" i="40"/>
  <c r="CN383" i="40"/>
  <c r="CO382" i="40"/>
  <c r="BO336" i="40"/>
  <c r="BP335" i="40"/>
  <c r="BE391" i="40" l="1"/>
  <c r="BF390" i="40"/>
  <c r="BK382" i="40"/>
  <c r="BJ383" i="40"/>
  <c r="CJ375" i="40"/>
  <c r="CI376" i="40"/>
  <c r="BU401" i="40"/>
  <c r="BT402" i="40"/>
  <c r="CX367" i="40"/>
  <c r="CY366" i="40"/>
  <c r="CO383" i="40"/>
  <c r="CN384" i="40"/>
  <c r="BO337" i="40"/>
  <c r="BP336" i="40"/>
  <c r="BF391" i="40" l="1"/>
  <c r="BE392" i="40"/>
  <c r="BK383" i="40"/>
  <c r="BJ384" i="40"/>
  <c r="BT403" i="40"/>
  <c r="BU402" i="40"/>
  <c r="CI377" i="40"/>
  <c r="CJ376" i="40"/>
  <c r="CY367" i="40"/>
  <c r="CX368" i="40"/>
  <c r="CO384" i="40"/>
  <c r="CN385" i="40"/>
  <c r="BO338" i="40"/>
  <c r="BP337" i="40"/>
  <c r="BF392" i="40" l="1"/>
  <c r="BE393" i="40"/>
  <c r="BK384" i="40"/>
  <c r="BJ385" i="40"/>
  <c r="CJ377" i="40"/>
  <c r="CI378" i="40"/>
  <c r="BT404" i="40"/>
  <c r="BU403" i="40"/>
  <c r="CX369" i="40"/>
  <c r="CY368" i="40"/>
  <c r="CN386" i="40"/>
  <c r="CO385" i="40"/>
  <c r="BO339" i="40"/>
  <c r="BP338" i="40"/>
  <c r="BF393" i="40" l="1"/>
  <c r="BE394" i="40"/>
  <c r="BK385" i="40"/>
  <c r="BJ386" i="40"/>
  <c r="CI379" i="40"/>
  <c r="CJ378" i="40"/>
  <c r="BT405" i="40"/>
  <c r="BU404" i="40"/>
  <c r="CX370" i="40"/>
  <c r="CY369" i="40"/>
  <c r="CO386" i="40"/>
  <c r="CN387" i="40"/>
  <c r="BP339" i="40"/>
  <c r="BO340" i="40"/>
  <c r="BE395" i="40" l="1"/>
  <c r="BF394" i="40"/>
  <c r="BJ387" i="40"/>
  <c r="BK386" i="40"/>
  <c r="BU405" i="40"/>
  <c r="BT406" i="40"/>
  <c r="CJ379" i="40"/>
  <c r="CI380" i="40"/>
  <c r="CY370" i="40"/>
  <c r="CX371" i="40"/>
  <c r="CN388" i="40"/>
  <c r="CO387" i="40"/>
  <c r="BP340" i="40"/>
  <c r="BO341" i="40"/>
  <c r="BF395" i="40" l="1"/>
  <c r="BE396" i="40"/>
  <c r="BK387" i="40"/>
  <c r="BJ388" i="40"/>
  <c r="CI381" i="40"/>
  <c r="CJ380" i="40"/>
  <c r="BU406" i="40"/>
  <c r="BT407" i="40"/>
  <c r="BU407" i="40" s="1"/>
  <c r="CY371" i="40"/>
  <c r="CX372" i="40"/>
  <c r="CN389" i="40"/>
  <c r="CO388" i="40"/>
  <c r="BP341" i="40"/>
  <c r="BO342" i="40"/>
  <c r="BF396" i="40" l="1"/>
  <c r="BE397" i="40"/>
  <c r="BK388" i="40"/>
  <c r="BJ389" i="40"/>
  <c r="CJ381" i="40"/>
  <c r="CI382" i="40"/>
  <c r="CX373" i="40"/>
  <c r="CY372" i="40"/>
  <c r="CO389" i="40"/>
  <c r="CN390" i="40"/>
  <c r="BP342" i="40"/>
  <c r="BO343" i="40"/>
  <c r="BE398" i="40" l="1"/>
  <c r="BF397" i="40"/>
  <c r="BK389" i="40"/>
  <c r="BJ390" i="40"/>
  <c r="CJ382" i="40"/>
  <c r="CI383" i="40"/>
  <c r="CY373" i="40"/>
  <c r="CX374" i="40"/>
  <c r="CO390" i="40"/>
  <c r="CN391" i="40"/>
  <c r="BO344" i="40"/>
  <c r="BP343" i="40"/>
  <c r="BE399" i="40" l="1"/>
  <c r="BF398" i="40"/>
  <c r="BK390" i="40"/>
  <c r="BJ391" i="40"/>
  <c r="CI384" i="40"/>
  <c r="CJ383" i="40"/>
  <c r="CY374" i="40"/>
  <c r="CX375" i="40"/>
  <c r="CN392" i="40"/>
  <c r="CO391" i="40"/>
  <c r="BP344" i="40"/>
  <c r="BO345" i="40"/>
  <c r="BF399" i="40" l="1"/>
  <c r="BE400" i="40"/>
  <c r="BJ392" i="40"/>
  <c r="BK391" i="40"/>
  <c r="CJ384" i="40"/>
  <c r="CI385" i="40"/>
  <c r="CX376" i="40"/>
  <c r="CY375" i="40"/>
  <c r="CO392" i="40"/>
  <c r="CN393" i="40"/>
  <c r="BP345" i="40"/>
  <c r="BO346" i="40"/>
  <c r="BF400" i="40" l="1"/>
  <c r="BE401" i="40"/>
  <c r="BK392" i="40"/>
  <c r="BJ393" i="40"/>
  <c r="CI386" i="40"/>
  <c r="CJ385" i="40"/>
  <c r="CY376" i="40"/>
  <c r="CX377" i="40"/>
  <c r="CO393" i="40"/>
  <c r="CN394" i="40"/>
  <c r="BP346" i="40"/>
  <c r="BO347" i="40"/>
  <c r="BE402" i="40" l="1"/>
  <c r="BF401" i="40"/>
  <c r="BK393" i="40"/>
  <c r="BJ394" i="40"/>
  <c r="CI387" i="40"/>
  <c r="CJ386" i="40"/>
  <c r="CX378" i="40"/>
  <c r="CY377" i="40"/>
  <c r="CN395" i="40"/>
  <c r="CO394" i="40"/>
  <c r="BP347" i="40"/>
  <c r="BO348" i="40"/>
  <c r="BE403" i="40" l="1"/>
  <c r="BF402" i="40"/>
  <c r="BK394" i="40"/>
  <c r="BJ395" i="40"/>
  <c r="CI388" i="40"/>
  <c r="CJ387" i="40"/>
  <c r="CY378" i="40"/>
  <c r="CX379" i="40"/>
  <c r="CN396" i="40"/>
  <c r="CO395" i="40"/>
  <c r="BP348" i="40"/>
  <c r="BO349" i="40"/>
  <c r="BE404" i="40" l="1"/>
  <c r="BF403" i="40"/>
  <c r="BK395" i="40"/>
  <c r="BJ396" i="40"/>
  <c r="CI389" i="40"/>
  <c r="CJ388" i="40"/>
  <c r="CY379" i="40"/>
  <c r="CX380" i="40"/>
  <c r="CO396" i="40"/>
  <c r="CN397" i="40"/>
  <c r="BO350" i="40"/>
  <c r="BP349" i="40"/>
  <c r="BF404" i="40" l="1"/>
  <c r="BE405" i="40"/>
  <c r="BJ397" i="40"/>
  <c r="BK396" i="40"/>
  <c r="CJ389" i="40"/>
  <c r="CI390" i="40"/>
  <c r="CX381" i="40"/>
  <c r="CY380" i="40"/>
  <c r="CN398" i="40"/>
  <c r="CO397" i="40"/>
  <c r="BP350" i="40"/>
  <c r="BO351" i="40"/>
  <c r="BE406" i="40" l="1"/>
  <c r="BF405" i="40"/>
  <c r="BK397" i="40"/>
  <c r="BJ398" i="40"/>
  <c r="CI391" i="40"/>
  <c r="CJ390" i="40"/>
  <c r="CY381" i="40"/>
  <c r="CX382" i="40"/>
  <c r="CN399" i="40"/>
  <c r="CO398" i="40"/>
  <c r="BO352" i="40"/>
  <c r="BP351" i="40"/>
  <c r="BE407" i="40" l="1"/>
  <c r="BF407" i="40" s="1"/>
  <c r="BF406" i="40"/>
  <c r="BK398" i="40"/>
  <c r="BJ399" i="40"/>
  <c r="CJ391" i="40"/>
  <c r="CI392" i="40"/>
  <c r="CX383" i="40"/>
  <c r="CY382" i="40"/>
  <c r="CN400" i="40"/>
  <c r="CO399" i="40"/>
  <c r="BO353" i="40"/>
  <c r="BP352" i="40"/>
  <c r="BK399" i="40" l="1"/>
  <c r="BJ400" i="40"/>
  <c r="CJ392" i="40"/>
  <c r="CI393" i="40"/>
  <c r="CY383" i="40"/>
  <c r="CX384" i="40"/>
  <c r="CN401" i="40"/>
  <c r="CO400" i="40"/>
  <c r="BO354" i="40"/>
  <c r="BP353" i="40"/>
  <c r="BJ401" i="40" l="1"/>
  <c r="BK400" i="40"/>
  <c r="CJ393" i="40"/>
  <c r="CI394" i="40"/>
  <c r="CX385" i="40"/>
  <c r="CY384" i="40"/>
  <c r="CO401" i="40"/>
  <c r="CN402" i="40"/>
  <c r="BP354" i="40"/>
  <c r="BO355" i="40"/>
  <c r="BK401" i="40" l="1"/>
  <c r="BJ402" i="40"/>
  <c r="CJ394" i="40"/>
  <c r="CI395" i="40"/>
  <c r="CX386" i="40"/>
  <c r="CY385" i="40"/>
  <c r="CO402" i="40"/>
  <c r="CN403" i="40"/>
  <c r="BO356" i="40"/>
  <c r="BP355" i="40"/>
  <c r="BK402" i="40" l="1"/>
  <c r="BJ403" i="40"/>
  <c r="CI396" i="40"/>
  <c r="CJ395" i="40"/>
  <c r="CX387" i="40"/>
  <c r="CY386" i="40"/>
  <c r="CN404" i="40"/>
  <c r="CO403" i="40"/>
  <c r="BP356" i="40"/>
  <c r="BO357" i="40"/>
  <c r="BK403" i="40" l="1"/>
  <c r="BJ404" i="40"/>
  <c r="CI397" i="40"/>
  <c r="CJ396" i="40"/>
  <c r="CY387" i="40"/>
  <c r="CX388" i="40"/>
  <c r="CO404" i="40"/>
  <c r="CN405" i="40"/>
  <c r="BP357" i="40"/>
  <c r="BO358" i="40"/>
  <c r="BK404" i="40" l="1"/>
  <c r="BJ405" i="40"/>
  <c r="CJ397" i="40"/>
  <c r="CI398" i="40"/>
  <c r="CY388" i="40"/>
  <c r="CX389" i="40"/>
  <c r="CO405" i="40"/>
  <c r="CN406" i="40"/>
  <c r="BP358" i="40"/>
  <c r="BO359" i="40"/>
  <c r="BK405" i="40" l="1"/>
  <c r="BJ406" i="40"/>
  <c r="CJ398" i="40"/>
  <c r="CI399" i="40"/>
  <c r="CX390" i="40"/>
  <c r="CY389" i="40"/>
  <c r="CN407" i="40"/>
  <c r="CO407" i="40" s="1"/>
  <c r="CO406" i="40"/>
  <c r="BP359" i="40"/>
  <c r="BO360" i="40"/>
  <c r="BJ407" i="40" l="1"/>
  <c r="BK407" i="40" s="1"/>
  <c r="BK406" i="40"/>
  <c r="CJ399" i="40"/>
  <c r="CI400" i="40"/>
  <c r="CY390" i="40"/>
  <c r="CX391" i="40"/>
  <c r="BO361" i="40"/>
  <c r="BP360" i="40"/>
  <c r="CI401" i="40" l="1"/>
  <c r="CJ400" i="40"/>
  <c r="CX392" i="40"/>
  <c r="CY391" i="40"/>
  <c r="BO362" i="40"/>
  <c r="BP361" i="40"/>
  <c r="CJ401" i="40" l="1"/>
  <c r="CI402" i="40"/>
  <c r="CX393" i="40"/>
  <c r="CY392" i="40"/>
  <c r="BP362" i="40"/>
  <c r="BO363" i="40"/>
  <c r="CI403" i="40" l="1"/>
  <c r="CJ402" i="40"/>
  <c r="CY393" i="40"/>
  <c r="CX394" i="40"/>
  <c r="BO364" i="40"/>
  <c r="BP363" i="40"/>
  <c r="CJ403" i="40" l="1"/>
  <c r="CI404" i="40"/>
  <c r="CY394" i="40"/>
  <c r="CX395" i="40"/>
  <c r="BP364" i="40"/>
  <c r="BO365" i="40"/>
  <c r="CJ404" i="40" l="1"/>
  <c r="CI405" i="40"/>
  <c r="CY395" i="40"/>
  <c r="CX396" i="40"/>
  <c r="BO366" i="40"/>
  <c r="BP365" i="40"/>
  <c r="CI406" i="40" l="1"/>
  <c r="CJ405" i="40"/>
  <c r="CX397" i="40"/>
  <c r="CY396" i="40"/>
  <c r="BP366" i="40"/>
  <c r="BO367" i="40"/>
  <c r="CJ406" i="40" l="1"/>
  <c r="CI407" i="40"/>
  <c r="CJ407" i="40" s="1"/>
  <c r="CY397" i="40"/>
  <c r="CX398" i="40"/>
  <c r="BO368" i="40"/>
  <c r="BP367" i="40"/>
  <c r="CX399" i="40" l="1"/>
  <c r="CY398" i="40"/>
  <c r="BP368" i="40"/>
  <c r="BO369" i="40"/>
  <c r="CY399" i="40" l="1"/>
  <c r="CX400" i="40"/>
  <c r="BO370" i="40"/>
  <c r="BP369" i="40"/>
  <c r="CY400" i="40" l="1"/>
  <c r="CX401" i="40"/>
  <c r="BP370" i="40"/>
  <c r="BO371" i="40"/>
  <c r="CY401" i="40" l="1"/>
  <c r="CX402" i="40"/>
  <c r="BO372" i="40"/>
  <c r="BP371" i="40"/>
  <c r="CY402" i="40" l="1"/>
  <c r="CX403" i="40"/>
  <c r="BO373" i="40"/>
  <c r="BP372" i="40"/>
  <c r="CX404" i="40" l="1"/>
  <c r="CY403" i="40"/>
  <c r="BP373" i="40"/>
  <c r="BO374" i="40"/>
  <c r="CX405" i="40" l="1"/>
  <c r="CY404" i="40"/>
  <c r="BO375" i="40"/>
  <c r="BP374" i="40"/>
  <c r="CX406" i="40" l="1"/>
  <c r="CY405" i="40"/>
  <c r="BO376" i="40"/>
  <c r="BP375" i="40"/>
  <c r="CX407" i="40" l="1"/>
  <c r="CY407" i="40" s="1"/>
  <c r="CY406" i="40"/>
  <c r="BP376" i="40"/>
  <c r="BO377" i="40"/>
  <c r="BP377" i="40" l="1"/>
  <c r="BO378" i="40"/>
  <c r="BP378" i="40" l="1"/>
  <c r="BO379" i="40"/>
  <c r="BP379" i="40" l="1"/>
  <c r="BO380" i="40"/>
  <c r="BP380" i="40" l="1"/>
  <c r="BO381" i="40"/>
  <c r="BO382" i="40" l="1"/>
  <c r="BP381" i="40"/>
  <c r="BP382" i="40" l="1"/>
  <c r="BO383" i="40"/>
  <c r="BO384" i="40" l="1"/>
  <c r="BP383" i="40"/>
  <c r="BO385" i="40" l="1"/>
  <c r="BP384" i="40"/>
  <c r="BO386" i="40" l="1"/>
  <c r="BP385" i="40"/>
  <c r="BO387" i="40" l="1"/>
  <c r="BP386" i="40"/>
  <c r="BP387" i="40" l="1"/>
  <c r="BO388" i="40"/>
  <c r="BP388" i="40" l="1"/>
  <c r="BO389" i="40"/>
  <c r="BO390" i="40" l="1"/>
  <c r="BP389" i="40"/>
  <c r="BP390" i="40" l="1"/>
  <c r="BO391" i="40"/>
  <c r="BO392" i="40" l="1"/>
  <c r="BP391" i="40"/>
  <c r="BP392" i="40" l="1"/>
  <c r="BO393" i="40"/>
  <c r="BO394" i="40" l="1"/>
  <c r="BP393" i="40"/>
  <c r="BP394" i="40" l="1"/>
  <c r="BO395" i="40"/>
  <c r="BP395" i="40" l="1"/>
  <c r="BO396" i="40"/>
  <c r="BO397" i="40" l="1"/>
  <c r="BP396" i="40"/>
  <c r="BO398" i="40" l="1"/>
  <c r="BP397" i="40"/>
  <c r="BO399" i="40" l="1"/>
  <c r="BP398" i="40"/>
  <c r="BO400" i="40" l="1"/>
  <c r="BP399" i="40"/>
  <c r="BP400" i="40" l="1"/>
  <c r="BO401" i="40"/>
  <c r="BO402" i="40" l="1"/>
  <c r="BP401" i="40"/>
  <c r="BP402" i="40" l="1"/>
  <c r="BO403" i="40"/>
  <c r="BO404" i="40" l="1"/>
  <c r="BP403" i="40"/>
  <c r="BP404" i="40" l="1"/>
  <c r="BO405" i="40"/>
  <c r="BO406" i="40" l="1"/>
  <c r="BP405" i="40"/>
  <c r="BO407" i="40" l="1"/>
  <c r="BP407" i="40" s="1"/>
  <c r="BP406" i="40"/>
  <c r="AB21" i="59" l="1"/>
  <c r="AC52" i="59" s="1"/>
  <c r="AD52" i="59" s="1"/>
  <c r="AB19" i="59"/>
  <c r="AC50" i="59" s="1"/>
  <c r="AD50" i="59" s="1"/>
  <c r="AB29" i="59"/>
  <c r="AC60" i="59" s="1"/>
  <c r="AD60" i="59" s="1"/>
  <c r="AB25" i="59"/>
  <c r="AC56" i="59" s="1"/>
  <c r="AD56" i="59" s="1"/>
  <c r="AB26" i="59"/>
  <c r="AC57" i="59" s="1"/>
  <c r="AD57" i="59" s="1"/>
  <c r="AB23" i="59"/>
  <c r="AC54" i="59" s="1"/>
  <c r="AD54" i="59" s="1"/>
  <c r="AB22" i="59"/>
  <c r="AC53" i="59" s="1"/>
  <c r="AD53" i="59" s="1"/>
  <c r="AB20" i="59"/>
  <c r="AC51" i="59" s="1"/>
  <c r="AD51" i="59" s="1"/>
  <c r="AB33" i="59"/>
  <c r="AC64" i="59" s="1"/>
  <c r="AD64" i="59" s="1"/>
  <c r="AB34" i="59"/>
  <c r="AC65" i="59" s="1"/>
  <c r="AD65" i="59" s="1"/>
  <c r="AB17" i="59"/>
  <c r="AC48" i="59" s="1"/>
  <c r="AD48" i="59" s="1"/>
  <c r="AB35" i="59"/>
  <c r="AC66" i="59" s="1"/>
  <c r="AD66" i="59" s="1"/>
  <c r="AB30" i="59"/>
  <c r="AC61" i="59" s="1"/>
  <c r="AD61" i="59" s="1"/>
  <c r="AB16" i="59"/>
  <c r="AC47" i="59" s="1"/>
  <c r="AD47" i="59" s="1"/>
  <c r="AB18" i="59"/>
  <c r="AC49" i="59" s="1"/>
  <c r="AD49" i="59" s="1"/>
  <c r="AB14" i="59"/>
  <c r="AC45" i="59" s="1"/>
  <c r="AD45" i="59" s="1"/>
  <c r="AB31" i="59"/>
  <c r="AC62" i="59" s="1"/>
  <c r="AD62" i="59" s="1"/>
  <c r="AB15" i="59"/>
  <c r="AC46" i="59" s="1"/>
  <c r="AD46" i="59" s="1"/>
  <c r="AB13" i="59"/>
  <c r="AC44" i="59" s="1"/>
  <c r="AD44" i="59" s="1"/>
  <c r="AB24" i="59"/>
  <c r="AC55" i="59" s="1"/>
  <c r="AD55" i="59" s="1"/>
  <c r="AB28" i="59"/>
  <c r="AC59" i="59" s="1"/>
  <c r="AD59" i="59" s="1"/>
  <c r="AB27" i="59"/>
  <c r="AC58" i="59" s="1"/>
  <c r="AD58" i="59" s="1"/>
  <c r="AB32" i="59"/>
  <c r="AC63" i="59" s="1"/>
  <c r="AD63" i="59" s="1"/>
  <c r="AB12" i="59"/>
  <c r="AC43" i="59" s="1"/>
  <c r="AD43" i="59" s="1"/>
  <c r="J6" i="60"/>
  <c r="K37" i="60" s="1"/>
  <c r="L37" i="60" s="1"/>
  <c r="J32" i="60"/>
  <c r="K63" i="60" s="1"/>
  <c r="L63" i="60" s="1"/>
  <c r="J9" i="60"/>
  <c r="K40" i="60" s="1"/>
  <c r="L40" i="60" s="1"/>
  <c r="J25" i="60"/>
  <c r="K56" i="60" s="1"/>
  <c r="L56" i="60" s="1"/>
  <c r="J24" i="60"/>
  <c r="K55" i="60" s="1"/>
  <c r="L55" i="60" s="1"/>
  <c r="J19" i="60"/>
  <c r="K50" i="60" s="1"/>
  <c r="L50" i="60" s="1"/>
  <c r="J35" i="60"/>
  <c r="K66" i="60" s="1"/>
  <c r="L66" i="60" s="1"/>
  <c r="J34" i="60"/>
  <c r="K65" i="60" s="1"/>
  <c r="L65" i="60" s="1"/>
  <c r="J20" i="60"/>
  <c r="K51" i="60" s="1"/>
  <c r="L51" i="60" s="1"/>
  <c r="J17" i="60"/>
  <c r="K48" i="60" s="1"/>
  <c r="L48" i="60" s="1"/>
  <c r="J11" i="60"/>
  <c r="K42" i="60" s="1"/>
  <c r="L42" i="60" s="1"/>
  <c r="J18" i="60"/>
  <c r="K49" i="60" s="1"/>
  <c r="L49" i="60" s="1"/>
  <c r="J27" i="60"/>
  <c r="K58" i="60" s="1"/>
  <c r="L58" i="60" s="1"/>
  <c r="J26" i="60"/>
  <c r="K57" i="60" s="1"/>
  <c r="L57" i="60" s="1"/>
  <c r="J22" i="60"/>
  <c r="K53" i="60" s="1"/>
  <c r="L53" i="60" s="1"/>
  <c r="J29" i="60"/>
  <c r="K60" i="60" s="1"/>
  <c r="L60" i="60" s="1"/>
  <c r="J8" i="60"/>
  <c r="K39" i="60" s="1"/>
  <c r="L39" i="60" s="1"/>
  <c r="J12" i="60"/>
  <c r="K43" i="60" s="1"/>
  <c r="L43" i="60" s="1"/>
  <c r="J23" i="60"/>
  <c r="K54" i="60" s="1"/>
  <c r="L54" i="60" s="1"/>
  <c r="J30" i="60"/>
  <c r="K61" i="60" s="1"/>
  <c r="L61" i="60" s="1"/>
  <c r="J33" i="60"/>
  <c r="K64" i="60" s="1"/>
  <c r="L64" i="60" s="1"/>
  <c r="J10" i="60"/>
  <c r="K41" i="60" s="1"/>
  <c r="L41" i="60" s="1"/>
  <c r="J21" i="60"/>
  <c r="K52" i="60" s="1"/>
  <c r="L52" i="60" s="1"/>
  <c r="J31" i="60"/>
  <c r="K62" i="60" s="1"/>
  <c r="L62" i="60" s="1"/>
  <c r="J14" i="60"/>
  <c r="K45" i="60" s="1"/>
  <c r="L45" i="60" s="1"/>
  <c r="J28" i="60"/>
  <c r="K59" i="60" s="1"/>
  <c r="L59" i="60" s="1"/>
  <c r="J16" i="60"/>
  <c r="K47" i="60" s="1"/>
  <c r="L47" i="60" s="1"/>
  <c r="J13" i="60"/>
  <c r="K44" i="60" s="1"/>
  <c r="L44" i="60" s="1"/>
  <c r="J15" i="60"/>
  <c r="K46" i="60" s="1"/>
  <c r="L46" i="60" s="1"/>
  <c r="J7" i="60"/>
  <c r="K38" i="60" s="1"/>
  <c r="L38" i="60" s="1"/>
  <c r="AE38" i="59" l="1"/>
  <c r="AE37" i="59" s="1"/>
  <c r="B37" i="59" s="1"/>
  <c r="M38" i="60"/>
  <c r="M37" i="60" s="1"/>
  <c r="S17" i="60"/>
  <c r="T48" i="60" s="1"/>
  <c r="U48" i="60" s="1"/>
  <c r="S32" i="60"/>
  <c r="T63" i="60" s="1"/>
  <c r="U63" i="60" s="1"/>
  <c r="S34" i="60"/>
  <c r="T65" i="60" s="1"/>
  <c r="U65" i="60" s="1"/>
  <c r="S7" i="60"/>
  <c r="T38" i="60" s="1"/>
  <c r="U38" i="60" s="1"/>
  <c r="S26" i="60"/>
  <c r="T57" i="60" s="1"/>
  <c r="U57" i="60" s="1"/>
  <c r="S23" i="60"/>
  <c r="T54" i="60" s="1"/>
  <c r="U54" i="60" s="1"/>
  <c r="S25" i="60"/>
  <c r="T56" i="60" s="1"/>
  <c r="U56" i="60" s="1"/>
  <c r="S16" i="60"/>
  <c r="T47" i="60" s="1"/>
  <c r="U47" i="60" s="1"/>
  <c r="S35" i="60"/>
  <c r="T66" i="60" s="1"/>
  <c r="U66" i="60" s="1"/>
  <c r="S10" i="60"/>
  <c r="T41" i="60" s="1"/>
  <c r="U41" i="60" s="1"/>
  <c r="S8" i="60"/>
  <c r="T39" i="60" s="1"/>
  <c r="U39" i="60" s="1"/>
  <c r="S13" i="60"/>
  <c r="T44" i="60" s="1"/>
  <c r="U44" i="60" s="1"/>
  <c r="S28" i="60"/>
  <c r="T59" i="60" s="1"/>
  <c r="U59" i="60" s="1"/>
  <c r="S33" i="60"/>
  <c r="T64" i="60" s="1"/>
  <c r="U64" i="60" s="1"/>
  <c r="S30" i="60"/>
  <c r="T61" i="60" s="1"/>
  <c r="U61" i="60" s="1"/>
  <c r="S11" i="60"/>
  <c r="T42" i="60" s="1"/>
  <c r="U42" i="60" s="1"/>
  <c r="S18" i="60"/>
  <c r="T49" i="60" s="1"/>
  <c r="U49" i="60" s="1"/>
  <c r="S19" i="60"/>
  <c r="T50" i="60" s="1"/>
  <c r="U50" i="60" s="1"/>
  <c r="S27" i="60"/>
  <c r="T58" i="60" s="1"/>
  <c r="U58" i="60" s="1"/>
  <c r="S22" i="60"/>
  <c r="T53" i="60" s="1"/>
  <c r="U53" i="60" s="1"/>
  <c r="S15" i="60"/>
  <c r="T46" i="60" s="1"/>
  <c r="U46" i="60" s="1"/>
  <c r="S9" i="60"/>
  <c r="T40" i="60" s="1"/>
  <c r="U40" i="60" s="1"/>
  <c r="S12" i="60"/>
  <c r="T43" i="60" s="1"/>
  <c r="U43" i="60" s="1"/>
  <c r="S29" i="60"/>
  <c r="T60" i="60" s="1"/>
  <c r="U60" i="60" s="1"/>
  <c r="S24" i="60"/>
  <c r="T55" i="60" s="1"/>
  <c r="U55" i="60" s="1"/>
  <c r="S21" i="60"/>
  <c r="T52" i="60" s="1"/>
  <c r="U52" i="60" s="1"/>
  <c r="S14" i="60"/>
  <c r="T45" i="60" s="1"/>
  <c r="U45" i="60" s="1"/>
  <c r="S20" i="60"/>
  <c r="T51" i="60" s="1"/>
  <c r="U51" i="60" s="1"/>
  <c r="S31" i="60"/>
  <c r="T62" i="60" s="1"/>
  <c r="U62" i="60" s="1"/>
  <c r="S6" i="60"/>
  <c r="T37" i="60" s="1"/>
  <c r="U37" i="60" s="1"/>
  <c r="V38" i="60" l="1"/>
  <c r="V37" i="60" s="1"/>
  <c r="AB15" i="60"/>
  <c r="AC46" i="60" s="1"/>
  <c r="AD46" i="60" s="1"/>
  <c r="AB21" i="60"/>
  <c r="AC52" i="60" s="1"/>
  <c r="AD52" i="60" s="1"/>
  <c r="AB34" i="60"/>
  <c r="AC65" i="60" s="1"/>
  <c r="AD65" i="60" s="1"/>
  <c r="AB32" i="60"/>
  <c r="AC63" i="60" s="1"/>
  <c r="AD63" i="60" s="1"/>
  <c r="AB31" i="60"/>
  <c r="AC62" i="60" s="1"/>
  <c r="AD62" i="60" s="1"/>
  <c r="AB18" i="60"/>
  <c r="AC49" i="60" s="1"/>
  <c r="AD49" i="60" s="1"/>
  <c r="AB19" i="60"/>
  <c r="AC50" i="60" s="1"/>
  <c r="AD50" i="60" s="1"/>
  <c r="AB25" i="60"/>
  <c r="AC56" i="60" s="1"/>
  <c r="AD56" i="60" s="1"/>
  <c r="AB11" i="60"/>
  <c r="AC42" i="60" s="1"/>
  <c r="AD42" i="60" s="1"/>
  <c r="AB22" i="60"/>
  <c r="AC53" i="60" s="1"/>
  <c r="AD53" i="60" s="1"/>
  <c r="AB10" i="60"/>
  <c r="AC41" i="60" s="1"/>
  <c r="AD41" i="60" s="1"/>
  <c r="AB7" i="60"/>
  <c r="AC38" i="60" s="1"/>
  <c r="AD38" i="60" s="1"/>
  <c r="AB14" i="60"/>
  <c r="AC45" i="60" s="1"/>
  <c r="AD45" i="60" s="1"/>
  <c r="AB29" i="60"/>
  <c r="AC60" i="60" s="1"/>
  <c r="AD60" i="60" s="1"/>
  <c r="AB24" i="60"/>
  <c r="AC55" i="60" s="1"/>
  <c r="AD55" i="60" s="1"/>
  <c r="AB17" i="60"/>
  <c r="AC48" i="60" s="1"/>
  <c r="AD48" i="60" s="1"/>
  <c r="AB16" i="60"/>
  <c r="AC47" i="60" s="1"/>
  <c r="AD47" i="60" s="1"/>
  <c r="AB13" i="60"/>
  <c r="AC44" i="60" s="1"/>
  <c r="AD44" i="60" s="1"/>
  <c r="AB28" i="60"/>
  <c r="AC59" i="60" s="1"/>
  <c r="AD59" i="60" s="1"/>
  <c r="AB27" i="60"/>
  <c r="AC58" i="60" s="1"/>
  <c r="AD58" i="60" s="1"/>
  <c r="AB12" i="60"/>
  <c r="AC43" i="60" s="1"/>
  <c r="AD43" i="60" s="1"/>
  <c r="AB33" i="60"/>
  <c r="AC64" i="60" s="1"/>
  <c r="AD64" i="60" s="1"/>
  <c r="AB20" i="60"/>
  <c r="AC51" i="60" s="1"/>
  <c r="AD51" i="60" s="1"/>
  <c r="AB23" i="60"/>
  <c r="AC54" i="60" s="1"/>
  <c r="AD54" i="60" s="1"/>
  <c r="AB9" i="60"/>
  <c r="AC40" i="60" s="1"/>
  <c r="AD40" i="60" s="1"/>
  <c r="AB26" i="60"/>
  <c r="AC57" i="60" s="1"/>
  <c r="AD57" i="60" s="1"/>
  <c r="AB30" i="60"/>
  <c r="AC61" i="60" s="1"/>
  <c r="AD61" i="60" s="1"/>
  <c r="AB35" i="60"/>
  <c r="AC66" i="60" s="1"/>
  <c r="AD66" i="60" s="1"/>
  <c r="AB8" i="60"/>
  <c r="AC39" i="60" s="1"/>
  <c r="AD39" i="60" s="1"/>
  <c r="AB6" i="60"/>
  <c r="AC37" i="60" s="1"/>
  <c r="AD37" i="60" s="1"/>
  <c r="AJ30" i="60"/>
  <c r="AK61" i="60" s="1"/>
  <c r="AL61" i="60" s="1"/>
  <c r="AJ15" i="60"/>
  <c r="AK46" i="60" s="1"/>
  <c r="AL46" i="60" s="1"/>
  <c r="AJ17" i="60"/>
  <c r="AK48" i="60" s="1"/>
  <c r="AL48" i="60" s="1"/>
  <c r="AJ19" i="60"/>
  <c r="AK50" i="60" s="1"/>
  <c r="AL50" i="60" s="1"/>
  <c r="AJ32" i="60"/>
  <c r="AK63" i="60" s="1"/>
  <c r="AL63" i="60" s="1"/>
  <c r="AJ10" i="60"/>
  <c r="AK41" i="60" s="1"/>
  <c r="AL41" i="60" s="1"/>
  <c r="AJ29" i="60"/>
  <c r="AK60" i="60" s="1"/>
  <c r="AL60" i="60" s="1"/>
  <c r="AJ8" i="60"/>
  <c r="AK39" i="60" s="1"/>
  <c r="AL39" i="60" s="1"/>
  <c r="AJ24" i="60"/>
  <c r="AK55" i="60" s="1"/>
  <c r="AL55" i="60" s="1"/>
  <c r="AJ33" i="60"/>
  <c r="AK64" i="60" s="1"/>
  <c r="AL64" i="60" s="1"/>
  <c r="AJ14" i="60"/>
  <c r="AK45" i="60" s="1"/>
  <c r="AL45" i="60" s="1"/>
  <c r="AJ9" i="60"/>
  <c r="AK40" i="60" s="1"/>
  <c r="AL40" i="60" s="1"/>
  <c r="AJ31" i="60"/>
  <c r="AK62" i="60" s="1"/>
  <c r="AL62" i="60" s="1"/>
  <c r="AJ28" i="60"/>
  <c r="AK59" i="60" s="1"/>
  <c r="AL59" i="60" s="1"/>
  <c r="AJ21" i="60"/>
  <c r="AK52" i="60" s="1"/>
  <c r="AL52" i="60" s="1"/>
  <c r="AJ22" i="60"/>
  <c r="AK53" i="60" s="1"/>
  <c r="AL53" i="60" s="1"/>
  <c r="AJ27" i="60"/>
  <c r="AK58" i="60" s="1"/>
  <c r="AL58" i="60" s="1"/>
  <c r="AJ12" i="60"/>
  <c r="AK43" i="60" s="1"/>
  <c r="AL43" i="60" s="1"/>
  <c r="AJ35" i="60"/>
  <c r="AK66" i="60" s="1"/>
  <c r="AL66" i="60" s="1"/>
  <c r="AJ7" i="60"/>
  <c r="AK38" i="60" s="1"/>
  <c r="AL38" i="60" s="1"/>
  <c r="AJ20" i="60"/>
  <c r="AK51" i="60" s="1"/>
  <c r="AL51" i="60" s="1"/>
  <c r="AJ16" i="60"/>
  <c r="AK47" i="60" s="1"/>
  <c r="AL47" i="60" s="1"/>
  <c r="AJ13" i="60"/>
  <c r="AK44" i="60" s="1"/>
  <c r="AL44" i="60" s="1"/>
  <c r="AJ34" i="60"/>
  <c r="AK65" i="60" s="1"/>
  <c r="AL65" i="60" s="1"/>
  <c r="AJ25" i="60"/>
  <c r="AK56" i="60" s="1"/>
  <c r="AL56" i="60" s="1"/>
  <c r="AJ18" i="60"/>
  <c r="AK49" i="60" s="1"/>
  <c r="AL49" i="60" s="1"/>
  <c r="AJ23" i="60"/>
  <c r="AK54" i="60" s="1"/>
  <c r="AL54" i="60" s="1"/>
  <c r="AJ26" i="60"/>
  <c r="AK57" i="60" s="1"/>
  <c r="AL57" i="60" s="1"/>
  <c r="AJ11" i="60"/>
  <c r="AK42" i="60" s="1"/>
  <c r="AL42" i="60" s="1"/>
  <c r="AJ6" i="60"/>
  <c r="AK37" i="60" s="1"/>
  <c r="AL37" i="60" s="1"/>
  <c r="AE38" i="60" l="1"/>
  <c r="AE37" i="60" s="1"/>
  <c r="AM38" i="60"/>
  <c r="AM37" i="60" s="1"/>
  <c r="E71" i="50"/>
  <c r="E76" i="50"/>
  <c r="E77" i="50"/>
  <c r="E83" i="50"/>
  <c r="E86" i="50"/>
  <c r="E89" i="50"/>
  <c r="E72" i="50"/>
  <c r="E75" i="50"/>
  <c r="E79" i="50"/>
  <c r="E84" i="50"/>
  <c r="E88" i="50"/>
  <c r="E73" i="50"/>
  <c r="E80" i="50"/>
  <c r="E81" i="50"/>
  <c r="E85" i="50"/>
  <c r="E74" i="50"/>
  <c r="E78" i="50"/>
  <c r="E82" i="50"/>
  <c r="E87" i="50"/>
  <c r="E70" i="50"/>
  <c r="B37" i="60" l="1"/>
  <c r="M2" i="43" s="1"/>
  <c r="H70" i="60" l="1"/>
  <c r="A70" i="60"/>
  <c r="J70" i="60"/>
  <c r="J79" i="60"/>
  <c r="H79" i="60"/>
  <c r="A79" i="60"/>
  <c r="J74" i="60"/>
  <c r="A74" i="60"/>
  <c r="H74" i="60"/>
  <c r="A72" i="60"/>
  <c r="J72" i="60"/>
  <c r="H72" i="60"/>
  <c r="A77" i="60"/>
  <c r="J77" i="60"/>
  <c r="H77" i="60"/>
  <c r="H75" i="60"/>
  <c r="J75" i="60"/>
  <c r="A75" i="60"/>
  <c r="J71" i="60"/>
  <c r="H71" i="60"/>
  <c r="A71" i="60"/>
  <c r="A78" i="60"/>
  <c r="H78" i="60"/>
  <c r="J78" i="60"/>
  <c r="H76" i="60"/>
  <c r="A76" i="60"/>
  <c r="J76" i="60"/>
  <c r="J73" i="60"/>
  <c r="H73" i="60"/>
  <c r="A73" i="60"/>
  <c r="A69" i="60"/>
  <c r="E72" i="60"/>
  <c r="E70" i="60"/>
  <c r="E71" i="60"/>
  <c r="A68" i="60"/>
  <c r="E70" i="51" l="1"/>
  <c r="H70" i="61"/>
  <c r="J70" i="61"/>
  <c r="A72" i="61"/>
  <c r="A76" i="61"/>
  <c r="A71" i="61"/>
  <c r="A79" i="61"/>
  <c r="A78" i="61"/>
  <c r="A77" i="61"/>
  <c r="A75" i="61"/>
  <c r="A74" i="61"/>
  <c r="A73" i="61"/>
  <c r="E84" i="51" l="1"/>
  <c r="E82" i="51"/>
  <c r="E80" i="51"/>
  <c r="E77" i="51"/>
  <c r="E81" i="51"/>
  <c r="E78" i="51"/>
  <c r="E76" i="51"/>
  <c r="E83" i="51"/>
  <c r="E79" i="51"/>
  <c r="E72" i="51"/>
  <c r="E73" i="51"/>
  <c r="E74" i="51"/>
  <c r="E75" i="51"/>
  <c r="E71" i="51"/>
  <c r="M18" i="57" l="1"/>
  <c r="M59" i="57" s="1"/>
  <c r="M9" i="57"/>
  <c r="M50" i="57" s="1"/>
  <c r="M24" i="57"/>
  <c r="M65" i="57" s="1"/>
  <c r="M38" i="57"/>
  <c r="M79" i="57" s="1"/>
  <c r="N79" i="57" s="1"/>
  <c r="O79" i="57" s="1"/>
  <c r="M10" i="57"/>
  <c r="M51" i="57" s="1"/>
  <c r="M29" i="57"/>
  <c r="M70" i="57" s="1"/>
  <c r="N70" i="57" s="1"/>
  <c r="O70" i="57" s="1"/>
  <c r="M35" i="57"/>
  <c r="M76" i="57" s="1"/>
  <c r="N76" i="57" s="1"/>
  <c r="O76" i="57" s="1"/>
  <c r="M41" i="57"/>
  <c r="M82" i="57" s="1"/>
  <c r="N82" i="57" s="1"/>
  <c r="O82" i="57" s="1"/>
  <c r="M12" i="57"/>
  <c r="M53" i="57" s="1"/>
  <c r="M31" i="57"/>
  <c r="M72" i="57" s="1"/>
  <c r="N72" i="57" s="1"/>
  <c r="O72" i="57" s="1"/>
  <c r="M42" i="57"/>
  <c r="M83" i="57" s="1"/>
  <c r="N83" i="57" s="1"/>
  <c r="O83" i="57" s="1"/>
  <c r="M17" i="57"/>
  <c r="M58" i="57" s="1"/>
  <c r="M32" i="57"/>
  <c r="M73" i="57" s="1"/>
  <c r="N73" i="57" s="1"/>
  <c r="O73" i="57" s="1"/>
  <c r="M13" i="57"/>
  <c r="M54" i="57" s="1"/>
  <c r="M44" i="57"/>
  <c r="M85" i="57" s="1"/>
  <c r="N85" i="57" s="1"/>
  <c r="O85" i="57" s="1"/>
  <c r="M19" i="57"/>
  <c r="M60" i="57" s="1"/>
  <c r="M30" i="57"/>
  <c r="M71" i="57" s="1"/>
  <c r="N71" i="57" s="1"/>
  <c r="O71" i="57" s="1"/>
  <c r="M20" i="57"/>
  <c r="M61" i="57" s="1"/>
  <c r="M26" i="57"/>
  <c r="M67" i="57" s="1"/>
  <c r="M45" i="57"/>
  <c r="M86" i="57" s="1"/>
  <c r="N86" i="57" s="1"/>
  <c r="O86" i="57" s="1"/>
  <c r="M16" i="57"/>
  <c r="M57" i="57" s="1"/>
  <c r="M23" i="57"/>
  <c r="M64" i="57" s="1"/>
  <c r="M37" i="57"/>
  <c r="M78" i="57" s="1"/>
  <c r="N78" i="57" s="1"/>
  <c r="O78" i="57" s="1"/>
  <c r="M39" i="57"/>
  <c r="M80" i="57" s="1"/>
  <c r="N80" i="57" s="1"/>
  <c r="O80" i="57" s="1"/>
  <c r="M14" i="57"/>
  <c r="M55" i="57" s="1"/>
  <c r="M33" i="57"/>
  <c r="M74" i="57" s="1"/>
  <c r="N74" i="57" s="1"/>
  <c r="O74" i="57" s="1"/>
  <c r="M11" i="57"/>
  <c r="M52" i="57" s="1"/>
  <c r="M34" i="57"/>
  <c r="M75" i="57" s="1"/>
  <c r="N75" i="57" s="1"/>
  <c r="O75" i="57" s="1"/>
  <c r="M7" i="57"/>
  <c r="M48" i="57" s="1"/>
  <c r="M46" i="57"/>
  <c r="M87" i="57" s="1"/>
  <c r="N87" i="57" s="1"/>
  <c r="O87" i="57" s="1"/>
  <c r="M36" i="57"/>
  <c r="M77" i="57" s="1"/>
  <c r="N77" i="57" s="1"/>
  <c r="O77" i="57" s="1"/>
  <c r="M8" i="57"/>
  <c r="M49" i="57" s="1"/>
  <c r="M43" i="57"/>
  <c r="M84" i="57" s="1"/>
  <c r="N84" i="57" s="1"/>
  <c r="O84" i="57" s="1"/>
  <c r="M22" i="57"/>
  <c r="M63" i="57" s="1"/>
  <c r="M21" i="57"/>
  <c r="M62" i="57" s="1"/>
  <c r="M40" i="57"/>
  <c r="M81" i="57" s="1"/>
  <c r="N81" i="57" s="1"/>
  <c r="O81" i="57" s="1"/>
  <c r="M15" i="57"/>
  <c r="M56" i="57" s="1"/>
  <c r="M25" i="57"/>
  <c r="M66" i="57" s="1"/>
  <c r="M27" i="57"/>
  <c r="M68" i="57" s="1"/>
  <c r="M28" i="57"/>
  <c r="M69" i="57" s="1"/>
  <c r="N69" i="57" s="1"/>
  <c r="O69" i="57" s="1"/>
  <c r="R46" i="57"/>
  <c r="R18" i="57"/>
  <c r="R38" i="57"/>
  <c r="R21" i="57"/>
  <c r="R39" i="57"/>
  <c r="R20" i="57"/>
  <c r="R34" i="57"/>
  <c r="R15" i="57"/>
  <c r="R44" i="57"/>
  <c r="R33" i="57"/>
  <c r="R14" i="57"/>
  <c r="R36" i="57"/>
  <c r="R17" i="57"/>
  <c r="R45" i="57"/>
  <c r="R35" i="57"/>
  <c r="R16" i="57"/>
  <c r="R11" i="57"/>
  <c r="R8" i="57"/>
  <c r="R30" i="57"/>
  <c r="R10" i="57"/>
  <c r="R7" i="57"/>
  <c r="R42" i="57"/>
  <c r="R29" i="57"/>
  <c r="R32" i="57"/>
  <c r="R12" i="57"/>
  <c r="R43" i="57"/>
  <c r="R31" i="57"/>
  <c r="R26" i="57"/>
  <c r="R23" i="57"/>
  <c r="R13" i="57"/>
  <c r="R25" i="57"/>
  <c r="R22" i="57"/>
  <c r="R28" i="57"/>
  <c r="R9" i="57"/>
  <c r="R27" i="57"/>
  <c r="R24" i="57"/>
  <c r="R41" i="57"/>
  <c r="R37" i="57"/>
  <c r="R19" i="57"/>
  <c r="R40" i="57"/>
  <c r="P48" i="57" l="1"/>
  <c r="C90" i="57" s="1"/>
  <c r="N48" i="57"/>
  <c r="N49" i="57" s="1"/>
  <c r="N50" i="57" s="1"/>
  <c r="O50" i="57" l="1"/>
  <c r="N51" i="57"/>
  <c r="O51" i="57" s="1"/>
  <c r="O48" i="57"/>
  <c r="O49" i="57"/>
  <c r="N52" i="57" l="1"/>
  <c r="N53" i="57" s="1"/>
  <c r="O53" i="57" s="1"/>
  <c r="O52" i="57" l="1"/>
  <c r="N54" i="57"/>
  <c r="O54" i="57" s="1"/>
  <c r="N55" i="57" l="1"/>
  <c r="O55" i="57" s="1"/>
  <c r="N56" i="57" l="1"/>
  <c r="O56" i="57" l="1"/>
  <c r="N57" i="57"/>
  <c r="N58" i="57" s="1"/>
  <c r="O58" i="57" l="1"/>
  <c r="O57" i="57"/>
  <c r="N59" i="57"/>
  <c r="N60" i="57" l="1"/>
  <c r="O60" i="57" s="1"/>
  <c r="O59" i="57"/>
  <c r="N61" i="57"/>
  <c r="O61" i="57" s="1"/>
  <c r="N62" i="57" l="1"/>
  <c r="O62" i="57" s="1"/>
  <c r="N63" i="57" l="1"/>
  <c r="O63" i="57" l="1"/>
  <c r="N64" i="57"/>
  <c r="O64" i="57" s="1"/>
  <c r="N65" i="57" l="1"/>
  <c r="N66" i="57" l="1"/>
  <c r="O66" i="57" s="1"/>
  <c r="O65" i="57"/>
  <c r="N67" i="57" l="1"/>
  <c r="O67" i="57" l="1"/>
  <c r="N68" i="57"/>
  <c r="O68" i="57" s="1"/>
  <c r="Q48" i="57" l="1"/>
  <c r="Z48" i="57" s="1"/>
  <c r="Y50" i="57" l="1"/>
  <c r="C91" i="57"/>
  <c r="Y63" i="57"/>
  <c r="Y60" i="57"/>
  <c r="Y57" i="57"/>
  <c r="Y54" i="57"/>
  <c r="Y51" i="57"/>
  <c r="Y48" i="57"/>
  <c r="Y61" i="57"/>
  <c r="Y55" i="57"/>
  <c r="Y52" i="57"/>
  <c r="Y65" i="57"/>
  <c r="Y62" i="57"/>
  <c r="Y59" i="57"/>
  <c r="Y56" i="57"/>
  <c r="Y53" i="57"/>
  <c r="Y64" i="57"/>
  <c r="Y58" i="57"/>
  <c r="Y49" i="57"/>
  <c r="AA48" i="57" l="1"/>
  <c r="AJ48" i="57" s="1"/>
  <c r="AI56" i="57" l="1"/>
  <c r="AI53" i="57"/>
  <c r="AI49" i="57"/>
  <c r="AI66" i="57"/>
  <c r="AI59" i="57"/>
  <c r="AI63" i="57"/>
  <c r="AI61" i="57"/>
  <c r="AI60" i="57"/>
  <c r="AI57" i="57"/>
  <c r="AI54" i="57"/>
  <c r="C92" i="57"/>
  <c r="AI64" i="57"/>
  <c r="AI51" i="57"/>
  <c r="AI52" i="57"/>
  <c r="AI50" i="57"/>
  <c r="AI65" i="57"/>
  <c r="AI62" i="57"/>
  <c r="AI55" i="57"/>
  <c r="AI48" i="57"/>
  <c r="AI58" i="57"/>
  <c r="AK48" i="57" l="1"/>
  <c r="AT48" i="57" s="1"/>
  <c r="AS53" i="57" s="1"/>
  <c r="AS49" i="57" l="1"/>
  <c r="AS54" i="57"/>
  <c r="C93" i="57"/>
  <c r="AS55" i="57"/>
  <c r="AS50" i="57"/>
  <c r="AS51" i="57"/>
  <c r="AS52" i="57"/>
  <c r="AS48" i="57"/>
  <c r="AU48" i="57" l="1"/>
  <c r="BD48" i="57" s="1"/>
  <c r="C94" i="57" s="1"/>
  <c r="BC50" i="57"/>
  <c r="BC49" i="57"/>
  <c r="BC51" i="57"/>
  <c r="BC52" i="57"/>
  <c r="BC48" i="57" l="1"/>
  <c r="BE48" i="57" l="1"/>
  <c r="BN48" i="57" s="1"/>
  <c r="BM48" i="57" s="1"/>
  <c r="C95" i="57"/>
  <c r="BM49" i="57"/>
  <c r="BO48" i="57" s="1"/>
  <c r="BX48" i="57" s="1"/>
  <c r="BW51" i="57" l="1"/>
  <c r="C96" i="57"/>
  <c r="BW52" i="57"/>
  <c r="BW53" i="57"/>
  <c r="BW48" i="57"/>
  <c r="BW49" i="57"/>
  <c r="BW50" i="57"/>
  <c r="BY48" i="57" l="1"/>
  <c r="CH48" i="57" s="1"/>
  <c r="CI48" i="57" s="1"/>
  <c r="CR48" i="57" s="1"/>
  <c r="C98" i="57" s="1"/>
  <c r="CQ50" i="57" l="1"/>
  <c r="CQ48" i="57"/>
  <c r="CQ49" i="57"/>
  <c r="C97" i="57"/>
  <c r="DB77" i="57" s="1"/>
  <c r="DG65" i="57"/>
  <c r="DB69" i="57"/>
  <c r="DB75" i="57"/>
  <c r="DB35" i="57"/>
  <c r="DB10" i="57"/>
  <c r="DB111" i="57" l="1"/>
  <c r="DB12" i="57"/>
  <c r="DB27" i="57"/>
  <c r="DB13" i="57"/>
  <c r="DB92" i="57"/>
  <c r="DB98" i="57"/>
  <c r="DB93" i="57"/>
  <c r="DB109" i="57"/>
  <c r="DB7" i="57"/>
  <c r="DB49" i="57"/>
  <c r="DB70" i="57"/>
  <c r="DB61" i="57"/>
  <c r="DB74" i="57"/>
  <c r="DB31" i="57"/>
  <c r="DB123" i="57"/>
  <c r="DB26" i="57"/>
  <c r="DB124" i="57"/>
  <c r="DB11" i="57"/>
  <c r="DB22" i="57"/>
  <c r="DB76" i="57"/>
  <c r="DB84" i="57"/>
  <c r="DB28" i="57"/>
  <c r="DB121" i="57"/>
  <c r="DB102" i="57"/>
  <c r="DB73" i="57"/>
  <c r="DB45" i="57"/>
  <c r="DB21" i="57"/>
  <c r="DB62" i="57"/>
  <c r="DB113" i="57"/>
  <c r="DB108" i="57"/>
  <c r="DB122" i="57"/>
  <c r="DB117" i="57"/>
  <c r="DB107" i="57"/>
  <c r="DB56" i="57"/>
  <c r="DB46" i="57"/>
  <c r="DB110" i="57"/>
  <c r="DB40" i="57"/>
  <c r="DB54" i="57"/>
  <c r="DG61" i="57"/>
  <c r="DB125" i="57"/>
  <c r="DB106" i="57"/>
  <c r="DB85" i="57"/>
  <c r="DB118" i="57"/>
  <c r="DG123" i="57"/>
  <c r="DG113" i="57"/>
  <c r="DB99" i="57"/>
  <c r="CS48" i="57"/>
  <c r="DG97" i="57"/>
  <c r="DG101" i="57"/>
  <c r="DG54" i="57"/>
  <c r="DG72" i="57"/>
  <c r="DG118" i="57"/>
  <c r="DG111" i="57"/>
  <c r="DG15" i="57"/>
  <c r="DG68" i="57"/>
  <c r="DG21" i="57"/>
  <c r="DG104" i="57"/>
  <c r="DG116" i="57"/>
  <c r="DB23" i="57"/>
  <c r="DG20" i="57"/>
  <c r="DB44" i="57"/>
  <c r="DB34" i="57"/>
  <c r="DB17" i="57"/>
  <c r="DB79" i="57"/>
  <c r="DB72" i="57"/>
  <c r="DB39" i="57"/>
  <c r="DB91" i="57"/>
  <c r="DB88" i="57"/>
  <c r="DB60" i="57"/>
  <c r="DB127" i="57"/>
  <c r="DB37" i="57"/>
  <c r="DB57" i="57"/>
  <c r="DB67" i="57"/>
  <c r="DB90" i="57"/>
  <c r="DB53" i="57"/>
  <c r="DB100" i="57"/>
  <c r="DB65" i="57"/>
  <c r="DB126" i="57"/>
  <c r="DB95" i="57"/>
  <c r="DB129" i="57"/>
  <c r="DB66" i="57"/>
  <c r="DB42" i="57"/>
  <c r="DB38" i="57"/>
  <c r="DB94" i="57"/>
  <c r="DB64" i="57"/>
  <c r="DB32" i="57"/>
  <c r="DB71" i="57"/>
  <c r="DB43" i="57"/>
  <c r="DB16" i="57"/>
  <c r="DB82" i="57"/>
  <c r="DB101" i="57"/>
  <c r="DB112" i="57"/>
  <c r="DB36" i="57"/>
  <c r="DB50" i="57"/>
  <c r="DB78" i="57"/>
  <c r="DB130" i="57"/>
  <c r="DB86" i="57"/>
  <c r="DB9" i="57"/>
  <c r="DB131" i="57"/>
  <c r="DB59" i="57"/>
  <c r="DB41" i="57"/>
  <c r="DB15" i="57"/>
  <c r="DB25" i="57"/>
  <c r="DG27" i="57"/>
  <c r="DG131" i="57"/>
  <c r="DG102" i="57"/>
  <c r="DG44" i="57"/>
  <c r="DG30" i="57"/>
  <c r="DG96" i="57"/>
  <c r="DG90" i="57"/>
  <c r="DG125" i="57"/>
  <c r="DG100" i="57"/>
  <c r="DG17" i="57"/>
  <c r="DG32" i="57"/>
  <c r="DG77" i="57"/>
  <c r="DG74" i="57"/>
  <c r="DG39" i="57"/>
  <c r="DG92" i="57"/>
  <c r="DG45" i="57"/>
  <c r="DG99" i="57"/>
  <c r="DG73" i="57"/>
  <c r="DG63" i="57"/>
  <c r="DB30" i="57"/>
  <c r="DB105" i="57"/>
  <c r="DB58" i="57"/>
  <c r="DB119" i="57"/>
  <c r="DB114" i="57"/>
  <c r="DB87" i="57"/>
  <c r="DB51" i="57"/>
  <c r="DB89" i="57"/>
  <c r="DB52" i="57"/>
  <c r="DB103" i="57"/>
  <c r="DB63" i="57"/>
  <c r="DB8" i="57"/>
  <c r="DB33" i="57"/>
  <c r="DB29" i="57"/>
  <c r="DB81" i="57"/>
  <c r="DB128" i="57"/>
  <c r="DB115" i="57"/>
  <c r="DB48" i="57"/>
  <c r="DB68" i="57"/>
  <c r="DB47" i="57"/>
  <c r="DB97" i="57"/>
  <c r="DB18" i="57"/>
  <c r="DG10" i="57"/>
  <c r="DG122" i="57"/>
  <c r="DG126" i="57"/>
  <c r="DG62" i="57"/>
  <c r="DG66" i="57"/>
  <c r="DG88" i="57"/>
  <c r="DG56" i="57"/>
  <c r="DG38" i="57"/>
  <c r="DG42" i="57"/>
  <c r="DG31" i="57"/>
  <c r="DG93" i="57"/>
  <c r="DG87" i="57"/>
  <c r="DG129" i="57"/>
  <c r="DG36" i="57"/>
  <c r="DG35" i="57"/>
  <c r="DG120" i="57"/>
  <c r="DG23" i="57"/>
  <c r="DG107" i="57"/>
  <c r="DG115" i="57"/>
  <c r="DG40" i="57"/>
  <c r="DG29" i="57"/>
  <c r="DG41" i="57"/>
  <c r="DG86" i="57"/>
  <c r="DG119" i="57"/>
  <c r="DG78" i="57"/>
  <c r="DG82" i="57"/>
  <c r="DG81" i="57"/>
  <c r="DG110" i="57"/>
  <c r="DG103" i="57"/>
  <c r="DG105" i="57"/>
  <c r="DG34" i="57"/>
  <c r="DG85" i="57"/>
  <c r="DG127" i="57"/>
  <c r="DG76" i="57"/>
  <c r="DG69" i="57"/>
  <c r="DG26" i="57"/>
  <c r="DG124" i="57"/>
  <c r="DG28" i="57"/>
  <c r="DG112" i="57"/>
  <c r="DG51" i="57"/>
  <c r="DG80" i="57"/>
  <c r="DG75" i="57"/>
  <c r="DG43" i="57"/>
  <c r="DG57" i="57"/>
  <c r="DG71" i="57"/>
  <c r="DG114" i="57"/>
  <c r="DG95" i="57"/>
  <c r="DG37" i="57"/>
  <c r="DG12" i="57"/>
  <c r="DG7" i="57"/>
  <c r="DG8" i="57"/>
  <c r="DG106" i="57"/>
  <c r="DG16" i="57"/>
  <c r="DG117" i="57"/>
  <c r="DG79" i="57"/>
  <c r="DG108" i="57"/>
  <c r="DG59" i="57"/>
  <c r="DG84" i="57"/>
  <c r="DG49" i="57"/>
  <c r="DG24" i="57"/>
  <c r="DG9" i="57"/>
  <c r="DG53" i="57"/>
  <c r="DG52" i="57"/>
  <c r="DG89" i="57"/>
  <c r="DG98" i="57"/>
  <c r="DG121" i="57"/>
  <c r="DG55" i="57"/>
  <c r="DG18" i="57"/>
  <c r="DG46" i="57"/>
  <c r="DG50" i="57"/>
  <c r="DG33" i="57"/>
  <c r="DG91" i="57"/>
  <c r="DG48" i="57"/>
  <c r="DG128" i="57"/>
  <c r="DG67" i="57"/>
  <c r="DG25" i="57"/>
  <c r="DG47" i="57"/>
  <c r="DG60" i="57"/>
  <c r="DG13" i="57"/>
  <c r="DG64" i="57"/>
  <c r="DG109" i="57"/>
  <c r="DG130" i="57"/>
  <c r="DG14" i="57"/>
  <c r="DG58" i="57"/>
  <c r="DG70" i="57"/>
  <c r="DG19" i="57"/>
  <c r="DG94" i="57"/>
  <c r="DG83" i="57"/>
  <c r="DG11" i="57"/>
  <c r="DG22" i="57"/>
  <c r="DB120" i="57"/>
  <c r="DB24" i="57"/>
  <c r="DB116" i="57"/>
  <c r="DB20" i="57"/>
  <c r="DB55" i="57"/>
  <c r="DB14" i="57"/>
  <c r="DB96" i="57"/>
  <c r="DB19" i="57"/>
  <c r="DB83" i="57"/>
  <c r="DB104" i="57"/>
  <c r="DB80" i="5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Антон Палихов</author>
    <author>Палихов Антон</author>
  </authors>
  <commentList>
    <comment ref="AC44" authorId="0" shapeId="0" xr:uid="{00000000-0006-0000-0300-000001000000}">
      <text>
        <r>
          <rPr>
            <b/>
            <sz val="9"/>
            <color indexed="81"/>
            <rFont val="Tahoma"/>
            <family val="2"/>
            <charset val="204"/>
          </rPr>
          <t>Palant:
You can enter any score here</t>
        </r>
      </text>
    </comment>
    <comment ref="D106" authorId="1" shapeId="0" xr:uid="{00000000-0006-0000-0300-000002000000}">
      <text>
        <r>
          <rPr>
            <b/>
            <sz val="9"/>
            <color indexed="81"/>
            <rFont val="Tahoma"/>
            <family val="2"/>
            <charset val="204"/>
          </rPr>
          <t>Palant:
If you want take other background skills - you need select they here</t>
        </r>
      </text>
    </comment>
    <comment ref="V127" authorId="0" shapeId="0" xr:uid="{00000000-0006-0000-0300-000003000000}">
      <text>
        <r>
          <rPr>
            <b/>
            <sz val="9"/>
            <color indexed="81"/>
            <rFont val="Tahoma"/>
            <family val="2"/>
            <charset val="204"/>
          </rPr>
          <t>Антон Палихов:</t>
        </r>
        <r>
          <rPr>
            <sz val="9"/>
            <color indexed="81"/>
            <rFont val="Tahoma"/>
            <family val="2"/>
            <charset val="204"/>
          </rPr>
          <t xml:space="preserve">
Пока не считается</t>
        </r>
      </text>
    </comment>
    <comment ref="K168" authorId="0" shapeId="0" xr:uid="{00000000-0006-0000-0300-000004000000}">
      <text>
        <r>
          <rPr>
            <b/>
            <sz val="9"/>
            <color indexed="81"/>
            <rFont val="Tahoma"/>
            <family val="2"/>
            <charset val="204"/>
          </rPr>
          <t>Total Combat Maneuvers Known</t>
        </r>
        <r>
          <rPr>
            <sz val="9"/>
            <color indexed="81"/>
            <rFont val="Tahoma"/>
            <family val="2"/>
            <charset val="204"/>
          </rPr>
          <t xml:space="preserve">
</t>
        </r>
      </text>
    </comment>
    <comment ref="F170" authorId="0" shapeId="0" xr:uid="{00000000-0006-0000-0300-000005000000}">
      <text>
        <r>
          <rPr>
            <sz val="9"/>
            <color indexed="81"/>
            <rFont val="Tahoma"/>
            <family val="2"/>
            <charset val="204"/>
          </rPr>
          <t xml:space="preserve">Total invocations known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Антон Палихов</author>
  </authors>
  <commentList>
    <comment ref="F423" authorId="0" shapeId="0" xr:uid="{00000000-0006-0000-0600-000001000000}">
      <text>
        <r>
          <rPr>
            <b/>
            <sz val="9"/>
            <color indexed="81"/>
            <rFont val="Tahoma"/>
            <family val="2"/>
            <charset val="204"/>
          </rPr>
          <t>Антон Палихов:</t>
        </r>
        <r>
          <rPr>
            <sz val="9"/>
            <color indexed="81"/>
            <rFont val="Tahoma"/>
            <family val="2"/>
            <charset val="204"/>
          </rPr>
          <t xml:space="preserve">
проверка на twohanded
</t>
        </r>
      </text>
    </comment>
    <comment ref="K423" authorId="0" shapeId="0" xr:uid="{00000000-0006-0000-0600-000002000000}">
      <text>
        <r>
          <rPr>
            <b/>
            <sz val="9"/>
            <color indexed="81"/>
            <rFont val="Tahoma"/>
            <family val="2"/>
            <charset val="204"/>
          </rPr>
          <t>Антон Палихов:</t>
        </r>
        <r>
          <rPr>
            <sz val="9"/>
            <color indexed="81"/>
            <rFont val="Tahoma"/>
            <family val="2"/>
            <charset val="204"/>
          </rPr>
          <t xml:space="preserve">
проверка на twohanded
</t>
        </r>
      </text>
    </comment>
    <comment ref="P423" authorId="0" shapeId="0" xr:uid="{00000000-0006-0000-0600-000003000000}">
      <text>
        <r>
          <rPr>
            <b/>
            <sz val="9"/>
            <color indexed="81"/>
            <rFont val="Tahoma"/>
            <family val="2"/>
            <charset val="204"/>
          </rPr>
          <t>Антон Палихов:</t>
        </r>
        <r>
          <rPr>
            <sz val="9"/>
            <color indexed="81"/>
            <rFont val="Tahoma"/>
            <family val="2"/>
            <charset val="204"/>
          </rPr>
          <t xml:space="preserve">
проверка на twohanded
</t>
        </r>
      </text>
    </comment>
    <comment ref="U423" authorId="0" shapeId="0" xr:uid="{00000000-0006-0000-0600-000004000000}">
      <text>
        <r>
          <rPr>
            <b/>
            <sz val="9"/>
            <color indexed="81"/>
            <rFont val="Tahoma"/>
            <family val="2"/>
            <charset val="204"/>
          </rPr>
          <t>Антон Палихов:</t>
        </r>
        <r>
          <rPr>
            <sz val="9"/>
            <color indexed="81"/>
            <rFont val="Tahoma"/>
            <family val="2"/>
            <charset val="204"/>
          </rPr>
          <t xml:space="preserve">
проверка на twohanded
</t>
        </r>
      </text>
    </comment>
    <comment ref="Z423" authorId="0" shapeId="0" xr:uid="{00000000-0006-0000-0600-000005000000}">
      <text>
        <r>
          <rPr>
            <b/>
            <sz val="9"/>
            <color indexed="81"/>
            <rFont val="Tahoma"/>
            <family val="2"/>
            <charset val="204"/>
          </rPr>
          <t>Антон Палихов:</t>
        </r>
        <r>
          <rPr>
            <sz val="9"/>
            <color indexed="81"/>
            <rFont val="Tahoma"/>
            <family val="2"/>
            <charset val="204"/>
          </rPr>
          <t xml:space="preserve">
проверка на twohanded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Антон Палихов</author>
  </authors>
  <commentList>
    <comment ref="C1" authorId="0" shapeId="0" xr:uid="{00000000-0006-0000-1600-000001000000}">
      <text>
        <r>
          <rPr>
            <b/>
            <sz val="9"/>
            <color indexed="81"/>
            <rFont val="Tahoma"/>
            <family val="2"/>
            <charset val="204"/>
          </rPr>
          <t>Антон Палихов:</t>
        </r>
        <r>
          <rPr>
            <sz val="9"/>
            <color indexed="81"/>
            <rFont val="Tahoma"/>
            <family val="2"/>
            <charset val="204"/>
          </rPr>
          <t xml:space="preserve">
Служебное поле (служит для расчета уникальных рас)</t>
        </r>
      </text>
    </comment>
    <comment ref="D1" authorId="0" shapeId="0" xr:uid="{00000000-0006-0000-1600-000002000000}">
      <text>
        <r>
          <rPr>
            <b/>
            <sz val="9"/>
            <color indexed="81"/>
            <rFont val="Tahoma"/>
            <family val="2"/>
            <charset val="204"/>
          </rPr>
          <t>Антон Палихов:</t>
        </r>
        <r>
          <rPr>
            <sz val="9"/>
            <color indexed="81"/>
            <rFont val="Tahoma"/>
            <family val="2"/>
            <charset val="204"/>
          </rPr>
          <t xml:space="preserve">
Служебное поле (включается ли раса в список субрас)</t>
        </r>
      </text>
    </comment>
  </commentList>
</comments>
</file>

<file path=xl/sharedStrings.xml><?xml version="1.0" encoding="utf-8"?>
<sst xmlns="http://schemas.openxmlformats.org/spreadsheetml/2006/main" count="20104" uniqueCount="7501">
  <si>
    <t>Name</t>
  </si>
  <si>
    <t>Race</t>
  </si>
  <si>
    <t>Background</t>
  </si>
  <si>
    <t>Str</t>
  </si>
  <si>
    <t>Dex</t>
  </si>
  <si>
    <t>Con</t>
  </si>
  <si>
    <t>Int</t>
  </si>
  <si>
    <t>Wis</t>
  </si>
  <si>
    <t>Cha</t>
  </si>
  <si>
    <t>Gender</t>
  </si>
  <si>
    <t>Subrace</t>
  </si>
  <si>
    <t>Size</t>
  </si>
  <si>
    <t>AC</t>
  </si>
  <si>
    <t>Speed</t>
  </si>
  <si>
    <t>Darkvision</t>
  </si>
  <si>
    <t>Age Range</t>
  </si>
  <si>
    <t>Racial Trait 1</t>
  </si>
  <si>
    <t>Racial Trait 2</t>
  </si>
  <si>
    <t>Racial Trait 3</t>
  </si>
  <si>
    <t>Racial Trait 4</t>
  </si>
  <si>
    <t>Proficiency 1</t>
  </si>
  <si>
    <t>Proficiency 2</t>
  </si>
  <si>
    <t>Proficiency 3</t>
  </si>
  <si>
    <t>Proficiency 4</t>
  </si>
  <si>
    <t>Proficiency 5</t>
  </si>
  <si>
    <t>Proficiency 6</t>
  </si>
  <si>
    <t>Bonus Proficiencies</t>
  </si>
  <si>
    <t>Optional Proficiency 1</t>
  </si>
  <si>
    <t>Optional Proficiency 2</t>
  </si>
  <si>
    <t>Optional Proficiency 3</t>
  </si>
  <si>
    <t>Bonus Languages</t>
  </si>
  <si>
    <t>Language 1</t>
  </si>
  <si>
    <t>Language 2</t>
  </si>
  <si>
    <t>Dwarf</t>
  </si>
  <si>
    <t>Hill Dwarf</t>
  </si>
  <si>
    <t>Battleaxe</t>
  </si>
  <si>
    <t>Handaxe</t>
  </si>
  <si>
    <t>Throwing Hammer</t>
  </si>
  <si>
    <t>Warhammer</t>
  </si>
  <si>
    <t>Smith's tools</t>
  </si>
  <si>
    <t>Brewer's supplies</t>
  </si>
  <si>
    <t>Mason's tools</t>
  </si>
  <si>
    <t>Dwarvish</t>
  </si>
  <si>
    <t>Common</t>
  </si>
  <si>
    <t>Mountain Dwarf</t>
  </si>
  <si>
    <t>Light armor</t>
  </si>
  <si>
    <t>Medium armor</t>
  </si>
  <si>
    <t>Elf</t>
  </si>
  <si>
    <t>High Elf</t>
  </si>
  <si>
    <t>Perception</t>
  </si>
  <si>
    <t>Longsword</t>
  </si>
  <si>
    <t>Shortsword</t>
  </si>
  <si>
    <t>Shortbow</t>
  </si>
  <si>
    <t>Longbow</t>
  </si>
  <si>
    <t>Elvish</t>
  </si>
  <si>
    <t>Wood Elf</t>
  </si>
  <si>
    <t>Halfling</t>
  </si>
  <si>
    <t>Lightfoot Halfling</t>
  </si>
  <si>
    <t>Stout Halfling</t>
  </si>
  <si>
    <t>Human</t>
  </si>
  <si>
    <t>Class</t>
  </si>
  <si>
    <t>HitDice</t>
  </si>
  <si>
    <t>Level</t>
  </si>
  <si>
    <t>Proficiency Bonus</t>
  </si>
  <si>
    <t>Skill Proficiency 1</t>
  </si>
  <si>
    <t>Skill Proficiency 2</t>
  </si>
  <si>
    <t>Skill Proficiency 3</t>
  </si>
  <si>
    <t>Bonus Skills</t>
  </si>
  <si>
    <t>Tool Proficiency 1</t>
  </si>
  <si>
    <t>Tool Proficiency 2</t>
  </si>
  <si>
    <t>Acolyte</t>
  </si>
  <si>
    <t>Insight</t>
  </si>
  <si>
    <t>Religion</t>
  </si>
  <si>
    <t>Criminal</t>
  </si>
  <si>
    <t>Deception</t>
  </si>
  <si>
    <t>Stealth</t>
  </si>
  <si>
    <t>Thieve's tools</t>
  </si>
  <si>
    <t>Gaming set</t>
  </si>
  <si>
    <t>Folk Hero</t>
  </si>
  <si>
    <t>Animal Handling</t>
  </si>
  <si>
    <t>Survival</t>
  </si>
  <si>
    <t>Vehicles (land)</t>
  </si>
  <si>
    <t>Sage</t>
  </si>
  <si>
    <t>Arcana</t>
  </si>
  <si>
    <t>History</t>
  </si>
  <si>
    <t>Soldier</t>
  </si>
  <si>
    <t>Athletics</t>
  </si>
  <si>
    <t>Intimidation</t>
  </si>
  <si>
    <t>Armor Type</t>
  </si>
  <si>
    <t>Armor</t>
  </si>
  <si>
    <t>Cost</t>
  </si>
  <si>
    <t>Armor Class (AC)</t>
  </si>
  <si>
    <t>Dexterity Bonus</t>
  </si>
  <si>
    <t>Strength</t>
  </si>
  <si>
    <t>Weight</t>
  </si>
  <si>
    <t>No Armor</t>
  </si>
  <si>
    <t>Padded Armor</t>
  </si>
  <si>
    <t>Disadvantage</t>
  </si>
  <si>
    <t>Leather Armor</t>
  </si>
  <si>
    <t>Studded Leather</t>
  </si>
  <si>
    <t>Hide</t>
  </si>
  <si>
    <t>Chain Shirt</t>
  </si>
  <si>
    <t>Scale Mail</t>
  </si>
  <si>
    <t>Breastplate</t>
  </si>
  <si>
    <t>Half Plate</t>
  </si>
  <si>
    <t>Ring Mail</t>
  </si>
  <si>
    <t>Chain Mail</t>
  </si>
  <si>
    <t>Splint</t>
  </si>
  <si>
    <t>Plate</t>
  </si>
  <si>
    <t>Shields</t>
  </si>
  <si>
    <t>Shield</t>
  </si>
  <si>
    <t>Weapon</t>
  </si>
  <si>
    <t>Damage Type</t>
  </si>
  <si>
    <t>STR</t>
  </si>
  <si>
    <t>Slashing</t>
  </si>
  <si>
    <t>Versatile</t>
  </si>
  <si>
    <t>Blowgun</t>
  </si>
  <si>
    <t>DEX</t>
  </si>
  <si>
    <t>Piercing</t>
  </si>
  <si>
    <t>Club</t>
  </si>
  <si>
    <t>1d4</t>
  </si>
  <si>
    <t>Bludgeoning</t>
  </si>
  <si>
    <t>Light</t>
  </si>
  <si>
    <t>Dagger</t>
  </si>
  <si>
    <t>Dart</t>
  </si>
  <si>
    <t>Flail</t>
  </si>
  <si>
    <t>1d8</t>
  </si>
  <si>
    <t>Glaive</t>
  </si>
  <si>
    <t>1d10</t>
  </si>
  <si>
    <t>Great Club</t>
  </si>
  <si>
    <t>Greataxe</t>
  </si>
  <si>
    <t>1d12</t>
  </si>
  <si>
    <t>Greatsword</t>
  </si>
  <si>
    <t>2d6</t>
  </si>
  <si>
    <t>Halberd</t>
  </si>
  <si>
    <t>Hand Crossbow</t>
  </si>
  <si>
    <t>1d6</t>
  </si>
  <si>
    <t>Heavy Crossbow</t>
  </si>
  <si>
    <t>Javelin</t>
  </si>
  <si>
    <t>Thrown</t>
  </si>
  <si>
    <t>Lance</t>
  </si>
  <si>
    <t>Light Crossbow</t>
  </si>
  <si>
    <t>Light Hammer</t>
  </si>
  <si>
    <t>Mace</t>
  </si>
  <si>
    <t>Maul</t>
  </si>
  <si>
    <t>Morningstar</t>
  </si>
  <si>
    <t>Net</t>
  </si>
  <si>
    <t>Pike</t>
  </si>
  <si>
    <t>Quarterstaff</t>
  </si>
  <si>
    <t>Rapier</t>
  </si>
  <si>
    <t>Finesse</t>
  </si>
  <si>
    <t>Scimitar</t>
  </si>
  <si>
    <t>Sickle</t>
  </si>
  <si>
    <t>Sling</t>
  </si>
  <si>
    <t>Ammunition</t>
  </si>
  <si>
    <t>Spear</t>
  </si>
  <si>
    <t>Trident</t>
  </si>
  <si>
    <t>Unarmed Strike</t>
  </si>
  <si>
    <t>War Pick</t>
  </si>
  <si>
    <t>Whip</t>
  </si>
  <si>
    <t>Ranged</t>
  </si>
  <si>
    <t>Type</t>
  </si>
  <si>
    <t>Reach</t>
  </si>
  <si>
    <t>Loading</t>
  </si>
  <si>
    <t>Heavy</t>
  </si>
  <si>
    <t>Two-Handed</t>
  </si>
  <si>
    <t>Range</t>
  </si>
  <si>
    <t>RangeMax</t>
  </si>
  <si>
    <t>Special</t>
  </si>
  <si>
    <t>Damage1</t>
  </si>
  <si>
    <t>Damage2</t>
  </si>
  <si>
    <t>YES</t>
  </si>
  <si>
    <t xml:space="preserve">Martial </t>
  </si>
  <si>
    <t>Martial</t>
  </si>
  <si>
    <t>Item Group</t>
  </si>
  <si>
    <t>Item</t>
  </si>
  <si>
    <t>Capacity</t>
  </si>
  <si>
    <t>Description</t>
  </si>
  <si>
    <t>Tool</t>
  </si>
  <si>
    <t>Abacus</t>
  </si>
  <si>
    <t>Alchemical</t>
  </si>
  <si>
    <t>Acid (vial)</t>
  </si>
  <si>
    <t>As an action, you can splash the contents of this vial onto a creature within 5 feet of you or throw the vial up to 20 feet, shattering it on impact. In either case, make a ranged attack against a creature or object, treating the acid as an improvised weapon. On a hit, the target takes 2d6 acid damage.</t>
  </si>
  <si>
    <t xml:space="preserve">Alchemist’s fire (flask) </t>
  </si>
  <si>
    <t>This sticky, adhesive fluid ignites when exposed to air. As an action, you can throw this flask up to 20 feet, shattering it on impact. Make a ranged attack against a creature or object, treating the alchemist’s fire as an improvised weapon. On a hit, the target takes 1d4 fire damage at the start of each of its turns. A creature can end this damage by using its action to make a DC 10 Dexterity check toextinguish the flames.</t>
  </si>
  <si>
    <t>Artisan’s tool</t>
  </si>
  <si>
    <t>Alchemist’s supplies</t>
  </si>
  <si>
    <t>These special tools include the items needed to pursue a craft or trade. Proficiency with a set of artisan’s tools lets you add your proficiency bonus to any ability checks you make using the tools in your craft</t>
  </si>
  <si>
    <t>Holy symbol</t>
  </si>
  <si>
    <t xml:space="preserve">Amulet </t>
  </si>
  <si>
    <t xml:space="preserve">A holy symbol is a representation of a god or pantheon. A cleric or paladin can use a holy symbol as a spellcasting focus, as described in chapter 10. To use the symbol in this way, the caster must hold it in hand, wear it visibly, or bear it on a shield. </t>
  </si>
  <si>
    <t>Medical</t>
  </si>
  <si>
    <t xml:space="preserve">Antitoxin (vial) </t>
  </si>
  <si>
    <t>A creature that drinks this vial of liquid gains advantage on saving throws against poison for 1 hour. It confers no benefit to undead or constructs.</t>
  </si>
  <si>
    <t>Service</t>
  </si>
  <si>
    <t>Aristocratic Inn stay (per day)</t>
  </si>
  <si>
    <t>Food</t>
  </si>
  <si>
    <t>Aristocratic Meal (per day)</t>
  </si>
  <si>
    <t xml:space="preserve">Arrows (20) </t>
  </si>
  <si>
    <t>Container</t>
  </si>
  <si>
    <t>Backpack</t>
  </si>
  <si>
    <t>1 cubic foot/30 pounds of gear</t>
  </si>
  <si>
    <t>Musical instrument</t>
  </si>
  <si>
    <t>Bagpipes</t>
  </si>
  <si>
    <t xml:space="preserve">If you have proficiency with a given musical instrument, you can add your proficiency bonus to any ability checks you make to play music with the instrument. Each type of musical instrument requires a separate proficiency. </t>
  </si>
  <si>
    <t>Miscellaneous</t>
  </si>
  <si>
    <t xml:space="preserve">Ball bearings (bag of 1000) </t>
  </si>
  <si>
    <t>As an action, you can spill these tiny metal balls from their pouch to cover a level area 10 feet square. A creature moving across the covered area must succeed on a DC 10 Dexterity saving throw or fall prone. A creature moving through the area at half speed doesn’t need to make the saving throw.</t>
  </si>
  <si>
    <t>Banquet (per person)</t>
  </si>
  <si>
    <t>Barrel</t>
  </si>
  <si>
    <t>40 gallons liquid, 4 cubic feet solid</t>
  </si>
  <si>
    <t>Poison</t>
  </si>
  <si>
    <t>Basic (vial)</t>
  </si>
  <si>
    <t>You can use the poison in this vial to coat one slashing or piercing weapon or up to three pieces of ammunition. Applying the poison takes an action. A creature hit by the poisoned weapon or ammunition must make a DC 10 Constitution saving throw or take 1d4 poison damage. Once applied, the poison retains potency for 1 minute before drying.</t>
  </si>
  <si>
    <t xml:space="preserve">Basket </t>
  </si>
  <si>
    <t>2 cubic feet/40 pounds of gear</t>
  </si>
  <si>
    <t>Supplies</t>
  </si>
  <si>
    <t>Bedroll</t>
  </si>
  <si>
    <t xml:space="preserve">Bell </t>
  </si>
  <si>
    <t>Harness</t>
  </si>
  <si>
    <t>Bit and bridle</t>
  </si>
  <si>
    <t xml:space="preserve">Blanket </t>
  </si>
  <si>
    <t>Block and tackle</t>
  </si>
  <si>
    <t>A set of pulleys with a cable threaded through them and a hook to attach to objects, a block and tackle allows you to hoist up to four times the weight you can normally lift.</t>
  </si>
  <si>
    <t xml:space="preserve">Blowgun needles (50) </t>
  </si>
  <si>
    <t>Book</t>
  </si>
  <si>
    <t>A book might contain poetry, historical accounts, information pertaining to a particular field of lore, diagrams and notes on gnomish contraptions, or just about anything else that can be represented using text or pictures.</t>
  </si>
  <si>
    <t>Medium Barding</t>
  </si>
  <si>
    <t>Barding is armor designed to protect an animal’s head, neck, chest, and body</t>
  </si>
  <si>
    <t>Brewer’s supplies</t>
  </si>
  <si>
    <t>Bucket</t>
  </si>
  <si>
    <t>3 gallons liquid, 1/2 cubic foot solid</t>
  </si>
  <si>
    <t>Bullseye Lantern</t>
  </si>
  <si>
    <t xml:space="preserve">A bullseye lantern casts bright light in a 60-foot cone and dim light for an additional 60 feet. Once lit, it burns for 6 hours on a flask (1 pint) of oil. </t>
  </si>
  <si>
    <t>Calligrapher's supplies</t>
  </si>
  <si>
    <t xml:space="preserve">Caltrops (bag of 20) </t>
  </si>
  <si>
    <t>As an action, you can spread a single bag of caltrops to cover a 5-foot-square area. Any creature that enters the area must succeed on a DC 15 Dexterity saving throw or stop moving and take 1 piercing damage. Until the creature regains at least 1 hit point, its walking speed is reduced by 10 feet. A creature moving through the area at half speed doesn’t need to make the saving throw.</t>
  </si>
  <si>
    <t>Mount</t>
  </si>
  <si>
    <t>Camel</t>
  </si>
  <si>
    <t>480 lb</t>
  </si>
  <si>
    <t>50 ft</t>
  </si>
  <si>
    <t>An animal pulling a carriage, cart, chariot, sled, or wagon can move weight up to five times its base carrying capacity, including the weight of the vehicle. If multiple animals pull the same vehicle, they can add their carrying capacity together.</t>
  </si>
  <si>
    <t xml:space="preserve">Candle </t>
  </si>
  <si>
    <t>For 1 hour, a candle sheds bright light in a 5-foot radius and dim light for an additional 5 feet.</t>
  </si>
  <si>
    <t>Carpenter’s tools</t>
  </si>
  <si>
    <t>Drawn Vehicle</t>
  </si>
  <si>
    <t>Carriage</t>
  </si>
  <si>
    <t>Cart</t>
  </si>
  <si>
    <t>Cartographer’s tools</t>
  </si>
  <si>
    <t xml:space="preserve">Chain (10 feet) </t>
  </si>
  <si>
    <t xml:space="preserve">A chain has 10 hit points. It can be burst with a successful DC 20 Strength check. </t>
  </si>
  <si>
    <t>Heavy Barding</t>
  </si>
  <si>
    <t>Chain mail</t>
  </si>
  <si>
    <t>Chain shirt</t>
  </si>
  <si>
    <t xml:space="preserve">Chalk (1 piece) </t>
  </si>
  <si>
    <t>Chariot</t>
  </si>
  <si>
    <t xml:space="preserve">Chest </t>
  </si>
  <si>
    <t>12 cubic feet/300 pounds of gear</t>
  </si>
  <si>
    <t>Chunk of Meat</t>
  </si>
  <si>
    <t xml:space="preserve">Climber’s kit </t>
  </si>
  <si>
    <t xml:space="preserve">A climber’s kit includes special pitons, boot tips, gloves, and a harness. You can use the climber’s kit as an action to anchor yourself; when you do, you can’t fall more than 25 feet from the point where you anchored yourself, and you can’t climb more than 25 feet away from that point without undoing the anchor. </t>
  </si>
  <si>
    <t>Coach cab between towns</t>
  </si>
  <si>
    <t>Cost per mile</t>
  </si>
  <si>
    <t>Coach cab within a city</t>
  </si>
  <si>
    <t>Cobbler’s tools</t>
  </si>
  <si>
    <t>Comfortable Inn stay (per day)</t>
  </si>
  <si>
    <t>Comfortable Meal (per day)</t>
  </si>
  <si>
    <t>Clothing</t>
  </si>
  <si>
    <t>Drink</t>
  </si>
  <si>
    <t>Common Wine (pitcher)</t>
  </si>
  <si>
    <t>Spellcasting</t>
  </si>
  <si>
    <t xml:space="preserve">Component pouch </t>
  </si>
  <si>
    <t>A component pouch is a small, watertight leather belt pouch that has compartments to hold all the material components and other special items you need to cast your spells, except for those components that have a specific cost (as indicated in a spell’s description).</t>
  </si>
  <si>
    <t>Cook’s utensils</t>
  </si>
  <si>
    <t>Costume</t>
  </si>
  <si>
    <t>Case</t>
  </si>
  <si>
    <t>Crossbow bolt</t>
  </si>
  <si>
    <t xml:space="preserve">This wooden case can hold up to twenty crossbow bolts. </t>
  </si>
  <si>
    <t xml:space="preserve">Crossbow bolts (20) </t>
  </si>
  <si>
    <t xml:space="preserve">Crowbar </t>
  </si>
  <si>
    <t>Using a crowbar grants advantage to Strength checks where the crowbar’s leverage can be applied.</t>
  </si>
  <si>
    <t>Arcane focus</t>
  </si>
  <si>
    <t>Crystal</t>
  </si>
  <si>
    <t>An arcane focus is a special item designed to channel the power of arcane spells. A sorcerer, warlock, or wizard can use such an item as a spellcasting focus, as described in chapter 10.</t>
  </si>
  <si>
    <t>Dice set</t>
  </si>
  <si>
    <t xml:space="preserve">If you are proficient with a gaming set, you can add your proficiency bonus to ability checks you make to play a game with that set. Each type of gaming set requires a separate proficiency. </t>
  </si>
  <si>
    <t>Class Tools</t>
  </si>
  <si>
    <t>Disguise kit</t>
  </si>
  <si>
    <t>This pouch of cosmetics, hair dye, and small props lets you create disguises that change your physical appearance. Proficiency with this kit lets you add your proficiency bonus to any ability checks you make to create a visual disguise.</t>
  </si>
  <si>
    <t>Donkey or mule</t>
  </si>
  <si>
    <t>420 lb</t>
  </si>
  <si>
    <t>40 ft</t>
  </si>
  <si>
    <t>Draft Horse</t>
  </si>
  <si>
    <t>540 lb</t>
  </si>
  <si>
    <t>Dragonchess set</t>
  </si>
  <si>
    <t>Drum</t>
  </si>
  <si>
    <t>Dulcimer</t>
  </si>
  <si>
    <t>Elephant</t>
  </si>
  <si>
    <t>1,320 lb</t>
  </si>
  <si>
    <t xml:space="preserve">Emblem </t>
  </si>
  <si>
    <t>Saddle</t>
  </si>
  <si>
    <t>Exotic</t>
  </si>
  <si>
    <t>An exotic saddle is required for riding any aquatic or flying mount.</t>
  </si>
  <si>
    <t>Feed (per day)</t>
  </si>
  <si>
    <t>Fine</t>
  </si>
  <si>
    <t>Boots</t>
  </si>
  <si>
    <t>Fine Boots</t>
  </si>
  <si>
    <t>Gloves</t>
  </si>
  <si>
    <t>Fine Gloves</t>
  </si>
  <si>
    <t>Hat</t>
  </si>
  <si>
    <t>Fine Hat</t>
  </si>
  <si>
    <t>Fine Wine (bottle)</t>
  </si>
  <si>
    <t xml:space="preserve">Fishing tackle </t>
  </si>
  <si>
    <t>This kit includes a wooden rod, silken line, corkwood bobbers, steel hooks, lead sinkers, velvet lures, and narrow netting.</t>
  </si>
  <si>
    <t xml:space="preserve">Flask or tankard </t>
  </si>
  <si>
    <t>1 pint liquid</t>
  </si>
  <si>
    <t>Flute</t>
  </si>
  <si>
    <t>Forgery kit</t>
  </si>
  <si>
    <t>This small box contains a variety of papers and parchments, pens and inks, seals and sealing wax, gold and silver leaf, and other supplies necessary to create convincing forgeries of physical documents. Proficiency with this kit lets you add your proficiency bonus to any ability checks you make to create a physical forgery of a document.</t>
  </si>
  <si>
    <t>Warerborne Vehicle</t>
  </si>
  <si>
    <t>Galley</t>
  </si>
  <si>
    <t>4 mph</t>
  </si>
  <si>
    <t>Gallon of Ale</t>
  </si>
  <si>
    <t>Glass Bottle</t>
  </si>
  <si>
    <t>1½ pints liquid</t>
  </si>
  <si>
    <t>Glassblower’s tools</t>
  </si>
  <si>
    <t xml:space="preserve">Grappling hook </t>
  </si>
  <si>
    <t>Half plate</t>
  </si>
  <si>
    <t>Hammer</t>
  </si>
  <si>
    <t xml:space="preserve">Healer’s kit </t>
  </si>
  <si>
    <t xml:space="preserve">This kit is a leather pouch containing bandages, salves, and splints. The kit has ten uses. As an action, you can expend one use of the kit to stabilize a creature that has 0 hit points, without needing to make a Wisdom (Medicine) check. </t>
  </si>
  <si>
    <t>Hempen Rope (50 feet)</t>
  </si>
  <si>
    <t>Has 2 hit points and can be burst with a DC 17 Strength check.</t>
  </si>
  <si>
    <t>Herbalism kit</t>
  </si>
  <si>
    <t xml:space="preserve">This kit contains a variety of instruments such as clippers, mortar and pestle, and pouches and vials used by herbalists to create remedies and potions. Proficiency with this kit lets you add your proficiency bonus to any ability checks you make to identify or apply herbs. Also, proficiency with this kit is required to create antitoxin and potions of healing. </t>
  </si>
  <si>
    <t xml:space="preserve">Holy water (flask) </t>
  </si>
  <si>
    <t xml:space="preserve">As an action, you can splash the contents of this flask onto a creature within 5 feet of you or throw it up to 20 feet, shattering it on impact. In either case, make a ranged attack against a target creature, treating the holy water as an improvised weapon. If the target is a fiend or undead, it takes 2d6 radiant damage. A cleric or paladin may create holy water by performing a special ritual. The ritual takes 1 hour to perform, uses 25 gp worth of powdered silver, and requires the caster to expend a 1st-level spell slot. </t>
  </si>
  <si>
    <t>Hooded Lantern</t>
  </si>
  <si>
    <t xml:space="preserve">A hooded lantern casts bright light in a 30-foot radius and dim light for an additional 30 feet. Once lit, it burns for 6 hours on a flask (1 pint) of oil. As an action, you can lower the hood, reducing the light to dim light in a 5-foot radius. </t>
  </si>
  <si>
    <t>Horn</t>
  </si>
  <si>
    <t>Hourglass</t>
  </si>
  <si>
    <t>Hunk of Cheese</t>
  </si>
  <si>
    <t xml:space="preserve">Hunting trap </t>
  </si>
  <si>
    <t xml:space="preserve">When you use your action to set it, this trap forms a saw-toothed steel ring that snaps shut when a creature steps on a pressure plate in the center. The trap is affixed by a heavy chain to an immobile object, such as a tree or a spike driven into the ground. A creature that steps on the plate must succeed on a DC 13 Dexterity saving throw or take 1d4 piercing damage and stop moving. Thereafter, until the creature breaks free of the trap, its movement is limited by the length of the chain (typically 3 feet long). A creature can use its action to make a DC 13 Strength check, freeing itself or another creature within its reach on a success. Each failed check deals 1 piercing damage to the trapped creature. </t>
  </si>
  <si>
    <t>Ink (1 ounce bottle)</t>
  </si>
  <si>
    <t>Ink pen</t>
  </si>
  <si>
    <t>Iron Pot</t>
  </si>
  <si>
    <t>1 gallon liquid</t>
  </si>
  <si>
    <t>Iron Spikes (10)</t>
  </si>
  <si>
    <t>Jeweler’s tools</t>
  </si>
  <si>
    <t xml:space="preserve">Jug or pitcher </t>
  </si>
  <si>
    <t>Keelboat</t>
  </si>
  <si>
    <t>1 mph</t>
  </si>
  <si>
    <t>If going downstream, add the speed of the current (typically 3 miles per hour) to the speed of the vehicle. These vehicles can’t be rowed against any significant current, but they can be pulled upstream by draft animals on the shores.</t>
  </si>
  <si>
    <t>Ladder (10-foot)</t>
  </si>
  <si>
    <t>Lamp</t>
  </si>
  <si>
    <t xml:space="preserve">A lamp casts bright light in a 15-foot radius and dim light for an additional 30 feet. Once lit, it burns for 6 hours on a flask (1 pint) of oil. </t>
  </si>
  <si>
    <t>Light Barding</t>
  </si>
  <si>
    <t>Leather</t>
  </si>
  <si>
    <t>Leatherworker’s tools</t>
  </si>
  <si>
    <t>Loaf of Bread</t>
  </si>
  <si>
    <t xml:space="preserve">Lock </t>
  </si>
  <si>
    <t>A key is provided with the lock. Without the key, a creature proficient with thieves’ tools can pick this lock with a successful DC 15 Dexterity check. Your DM may decide that better locks are available for higher prices.</t>
  </si>
  <si>
    <t>Longship</t>
  </si>
  <si>
    <t>3 mph</t>
  </si>
  <si>
    <t>Lute</t>
  </si>
  <si>
    <t>Lyre</t>
  </si>
  <si>
    <t xml:space="preserve">Magnifying glass </t>
  </si>
  <si>
    <t>This lens allows a closer look at small objects. It is also useful as a substitute for flint and steel when starting fires. Lighting a fire with a magnifying glass requires light as bright as sunlight to focus, tinder to ignite, and about 5 minutes for the fire to ignite. A magnifying glass grants advantage on any ability check made to appraise or inspect an item that is small or highly detailed.</t>
  </si>
  <si>
    <t>Manacles</t>
  </si>
  <si>
    <t>These metal restraints can bind a Small or Medium creature. Escaping the manacles requires a successful DC 20 Dexterity check. Breaking them requires a successful DC 20 Strength check. Each set of manacles comes with one key. Without the key, a creature proficient with thieves’ tools can pick the manacles’ lock with a successful DC 15 Dexterity check. Manacles have 15 hit points.</t>
  </si>
  <si>
    <t>Map or scroll</t>
  </si>
  <si>
    <t xml:space="preserve">This cylindrical leather case can hold up to ten rolled-up sheets of paper or five rolled-up sheets of parchment. </t>
  </si>
  <si>
    <t>Mason’s tools</t>
  </si>
  <si>
    <t>Mastiff</t>
  </si>
  <si>
    <t>195 lb</t>
  </si>
  <si>
    <t>Merchant’s Scale</t>
  </si>
  <si>
    <t>A scale includes a small balance,pans, and a suitable assortment of weights up to 2 pounds. With it, you can measure the exact weight of small objects, such as raw precious metals or trade goods, to help determine their worth.</t>
  </si>
  <si>
    <t xml:space="preserve">Mess kit </t>
  </si>
  <si>
    <t>This tin box contains a cup and simple cutlery. The box clamps together, and one side can be used as a cooking pan and the other as a plate or shallow bowl.</t>
  </si>
  <si>
    <t>Messenger</t>
  </si>
  <si>
    <t>Military</t>
  </si>
  <si>
    <t>A military saddle braces the rider, helping you keep your seat on an active mount in battle. It gives you advantage on any check you make to remain mounted</t>
  </si>
  <si>
    <t>Miner’s Pick</t>
  </si>
  <si>
    <t>Modest Inn stay (per day)</t>
  </si>
  <si>
    <t>Modest Meal (per day)</t>
  </si>
  <si>
    <t>Mug of Ale</t>
  </si>
  <si>
    <t>Navigator’s tools</t>
  </si>
  <si>
    <t>This set of instruments is used for navigation at sea. Proficiency with navigator’s tools lets you chart a ship’s course and follow navigation charts. In addition, these tools allow you to add your proficiency bonus to any ability check you make to avoid getting lost at sea.</t>
  </si>
  <si>
    <t>Oil (flask)</t>
  </si>
  <si>
    <t xml:space="preserve">Oil usually comes in a clay flask that holds 1 pint. As an action, you can splash the oil in this flask onto a creature within 5 feet of you or throw it up to 20 feet, shattering it on impact. Make a ranged attack against a target creature or object, treating the oil as an improvised weapon. On a hit, the target is covered in oil. If the target takes any fire damage before the oil dries (after 1 minute), the target takes an additional 5 fire damage from the burning oil. You can also pour a flask of oil on the ground to cover a 5-foot-square area, provided that the surface is level. If lit, the oil burns for 2 rounds and deals 5 fire damage to any creature that enters the area or ends its turn in the area. A creature can take this damage only once per turn. </t>
  </si>
  <si>
    <t>Orb</t>
  </si>
  <si>
    <t>Pack</t>
  </si>
  <si>
    <t>Padded</t>
  </si>
  <si>
    <t>Painter’s supplies</t>
  </si>
  <si>
    <t>Pan flute</t>
  </si>
  <si>
    <t>Paper (one sheet)</t>
  </si>
  <si>
    <t xml:space="preserve">Parchment (one sheet) </t>
  </si>
  <si>
    <t xml:space="preserve">Perfume (vial) </t>
  </si>
  <si>
    <t>Piton</t>
  </si>
  <si>
    <t>Playing card set</t>
  </si>
  <si>
    <t>Poisoner’s kit</t>
  </si>
  <si>
    <t>A poisoner’s kit includes the vials, chemicals, and other equipment necessary for the creation of poisons. Proficiency with this kit lets you add your proficiency bonus to any ability checks you make to craft or use poisons.</t>
  </si>
  <si>
    <t>Pole (10-foot)</t>
  </si>
  <si>
    <t>Pony</t>
  </si>
  <si>
    <t>225 lb</t>
  </si>
  <si>
    <t>Poor Inn stay (per day)</t>
  </si>
  <si>
    <t>Poor Meal (per day)</t>
  </si>
  <si>
    <t>Portable Ram</t>
  </si>
  <si>
    <t>You can use a portable ram to break down doors. When doing so, you gain a +4 bonus on the Strength check. One other character can help you use the ram, giving you advantage on this check.</t>
  </si>
  <si>
    <t>Potion</t>
  </si>
  <si>
    <t xml:space="preserve">Potion of healing </t>
  </si>
  <si>
    <t>A character who drinks the magical red fluid in this vial regains 2d4 + 2 hit points. Drinking or administering a potion takes an action.</t>
  </si>
  <si>
    <t>Potter’s tools</t>
  </si>
  <si>
    <t xml:space="preserve">Pouch </t>
  </si>
  <si>
    <t>1/5 cubic foot/6 pounds of gear</t>
  </si>
  <si>
    <t>A cloth or leather pouch can hold up to 20 sling bullets or 50 blowgun needles, among other things. A compartmentalized pouch for holding spell components is called a component pouch (described earlier in this section).</t>
  </si>
  <si>
    <t>Quiver</t>
  </si>
  <si>
    <t>A quiver can hold up to 20 arrows.</t>
  </si>
  <si>
    <t xml:space="preserve">Rations (1 day) </t>
  </si>
  <si>
    <t>Rations consist of dry foods suitable for extended travel, including jerky, dried fruit,hardtack, and nuts.</t>
  </si>
  <si>
    <t xml:space="preserve">Reliquary </t>
  </si>
  <si>
    <t>Riding</t>
  </si>
  <si>
    <t>Riding Horse</t>
  </si>
  <si>
    <t>60 ft</t>
  </si>
  <si>
    <t>Ring mail</t>
  </si>
  <si>
    <t>Ring</t>
  </si>
  <si>
    <t>Ring or Protection +1</t>
  </si>
  <si>
    <t>Road or gate toll</t>
  </si>
  <si>
    <t xml:space="preserve">Robes </t>
  </si>
  <si>
    <t>Rod</t>
  </si>
  <si>
    <t>Rowboat</t>
  </si>
  <si>
    <t>1½ mph</t>
  </si>
  <si>
    <t xml:space="preserve">Sack </t>
  </si>
  <si>
    <t>Saddlebags</t>
  </si>
  <si>
    <t>Sailing ship</t>
  </si>
  <si>
    <t>2 mph</t>
  </si>
  <si>
    <t>Scale mail</t>
  </si>
  <si>
    <t>Scroll</t>
  </si>
  <si>
    <t>Scroll of Animal Friendship</t>
  </si>
  <si>
    <t>Sealing wax</t>
  </si>
  <si>
    <t>Shawm</t>
  </si>
  <si>
    <t>Ship's passage</t>
  </si>
  <si>
    <t xml:space="preserve">Shovel </t>
  </si>
  <si>
    <t xml:space="preserve">Signal whistle </t>
  </si>
  <si>
    <t xml:space="preserve">Signet ring </t>
  </si>
  <si>
    <t>Silk Rope (50 feet)</t>
  </si>
  <si>
    <t>Necklace</t>
  </si>
  <si>
    <t>Simple Necklace</t>
  </si>
  <si>
    <t>Skilled Hireling</t>
  </si>
  <si>
    <t>Cost per day</t>
  </si>
  <si>
    <t>Sled</t>
  </si>
  <si>
    <t>Sledge Hammer</t>
  </si>
  <si>
    <t xml:space="preserve">Sling bullets (20) </t>
  </si>
  <si>
    <t>Smith’s tools</t>
  </si>
  <si>
    <t>Soap</t>
  </si>
  <si>
    <t xml:space="preserve">Spellbook </t>
  </si>
  <si>
    <t>Essential for wizards, a spellbook is a leather-bound tome with 100 blank vellum pages suitable for recording spells.</t>
  </si>
  <si>
    <t>Druidic focus</t>
  </si>
  <si>
    <t xml:space="preserve">Sprig of mistletoe </t>
  </si>
  <si>
    <t xml:space="preserve">A druid can use such an object as a spellcasting focus, as described in chapter 10. </t>
  </si>
  <si>
    <t xml:space="preserve">Spyglass </t>
  </si>
  <si>
    <t>Objects viewed through a spyglass are magnified to twice their size.</t>
  </si>
  <si>
    <t>Squalid Inn stay (per day)</t>
  </si>
  <si>
    <t>Squalid Meal (per day)</t>
  </si>
  <si>
    <t>Stabling (per day)</t>
  </si>
  <si>
    <t>Staff</t>
  </si>
  <si>
    <t>Staff of Fire</t>
  </si>
  <si>
    <t>Steel Mirror</t>
  </si>
  <si>
    <t>Studded leather</t>
  </si>
  <si>
    <t>Thieves’ tools</t>
  </si>
  <si>
    <t xml:space="preserve">This set of tools includes a small file, a set of lock picks, a small mirror mounted on a metal handle, a set of narrow-bladed scissors, and a pair of pliers. Proficiency with these tools lets you add your proficiency bonus to any ability checks you make to disarm traps or open locks. </t>
  </si>
  <si>
    <t>Three-Dragon Ante set</t>
  </si>
  <si>
    <t>Tinderbox</t>
  </si>
  <si>
    <t>This small container holds flint, fire steel,and tinder (usually dry cloth soaked in light oil) used to kindle a fire. Using it to light a torch—or anything else with abundant, exposed fuel—takes an action. Lightingany other fire takes 1 minute.</t>
  </si>
  <si>
    <t>Tinker’s tools</t>
  </si>
  <si>
    <t>Torch</t>
  </si>
  <si>
    <t>A torch burns for 1 hour, providing bright light in a 20-foot radius and dim light for an additional 20 feet. If you make a melee attack with a burning torch and hit, it deals 1 fire damage</t>
  </si>
  <si>
    <t xml:space="preserve">Totem </t>
  </si>
  <si>
    <t>Traveler’s</t>
  </si>
  <si>
    <t>Two-personTent</t>
  </si>
  <si>
    <t>A simple and portable canvas shelter, a tent sleeps two.</t>
  </si>
  <si>
    <t>Untrained Hireling</t>
  </si>
  <si>
    <t xml:space="preserve">Vial </t>
  </si>
  <si>
    <t>4 ounces liquid</t>
  </si>
  <si>
    <t>Viol</t>
  </si>
  <si>
    <t>Wagon</t>
  </si>
  <si>
    <t>Wand</t>
  </si>
  <si>
    <t>Warhorse</t>
  </si>
  <si>
    <t>Warship</t>
  </si>
  <si>
    <t>2½ mph</t>
  </si>
  <si>
    <t>Waterskin</t>
  </si>
  <si>
    <t>4 pints liquid</t>
  </si>
  <si>
    <t>Wealthy Inn stay (per day)</t>
  </si>
  <si>
    <t>Wealthy Meal (per day)</t>
  </si>
  <si>
    <t>Weaver’s tools</t>
  </si>
  <si>
    <t>Whetstone</t>
  </si>
  <si>
    <t>Woodcarver’s tools</t>
  </si>
  <si>
    <t xml:space="preserve">Wooden staff </t>
  </si>
  <si>
    <t xml:space="preserve">Yew wand </t>
  </si>
  <si>
    <t>Deity</t>
  </si>
  <si>
    <t>Player</t>
  </si>
  <si>
    <t>Urchin</t>
  </si>
  <si>
    <t>Noble</t>
  </si>
  <si>
    <t>Knight</t>
  </si>
  <si>
    <t>Sailor</t>
  </si>
  <si>
    <t>Outlander</t>
  </si>
  <si>
    <t>Hermit</t>
  </si>
  <si>
    <t>CON</t>
  </si>
  <si>
    <t>INT</t>
  </si>
  <si>
    <t>WIS</t>
  </si>
  <si>
    <t>CHA</t>
  </si>
  <si>
    <t>Personality Trait 1</t>
  </si>
  <si>
    <t>Personality Trait 2</t>
  </si>
  <si>
    <t>Personality Trait 3</t>
  </si>
  <si>
    <t>Personality Trait 4</t>
  </si>
  <si>
    <t>Personality Trait 5</t>
  </si>
  <si>
    <t>Personality Trait 6</t>
  </si>
  <si>
    <t>Personality Trait 7</t>
  </si>
  <si>
    <t>Personality Trait 8</t>
  </si>
  <si>
    <t>Personality Traits</t>
  </si>
  <si>
    <t>Personality Trait 9</t>
  </si>
  <si>
    <t>Personality Trait 10</t>
  </si>
  <si>
    <t>Ideal 1</t>
  </si>
  <si>
    <t>Ideal 2</t>
  </si>
  <si>
    <t>Ideal 3</t>
  </si>
  <si>
    <t>Ideal 4</t>
  </si>
  <si>
    <t>Ideal 5</t>
  </si>
  <si>
    <t>Ideal 6</t>
  </si>
  <si>
    <t>Ideal 7</t>
  </si>
  <si>
    <t>Ideal 8</t>
  </si>
  <si>
    <t>Ideal 9</t>
  </si>
  <si>
    <t>Ideal 10</t>
  </si>
  <si>
    <t>Bond 1</t>
  </si>
  <si>
    <t>Bond 2</t>
  </si>
  <si>
    <t>Bond 3</t>
  </si>
  <si>
    <t>Bond 4</t>
  </si>
  <si>
    <t>Bond 5</t>
  </si>
  <si>
    <t>Bond 6</t>
  </si>
  <si>
    <t>Bond 7</t>
  </si>
  <si>
    <t>Bond 8</t>
  </si>
  <si>
    <t>Bond 9</t>
  </si>
  <si>
    <t>Bond 10</t>
  </si>
  <si>
    <t>Flaw 1</t>
  </si>
  <si>
    <t>Flaw 2</t>
  </si>
  <si>
    <t>Flaw 3</t>
  </si>
  <si>
    <t>Flaw 4</t>
  </si>
  <si>
    <t>Flaw 5</t>
  </si>
  <si>
    <t>Flaw 6</t>
  </si>
  <si>
    <t>Flaw 7</t>
  </si>
  <si>
    <t>Flaw 8</t>
  </si>
  <si>
    <t>Flaw 9</t>
  </si>
  <si>
    <t>Flaw 10</t>
  </si>
  <si>
    <t>Feature</t>
  </si>
  <si>
    <t>Gladiator</t>
  </si>
  <si>
    <t>Entertainer</t>
  </si>
  <si>
    <t>Special Select Name</t>
  </si>
  <si>
    <t>Special Select 1</t>
  </si>
  <si>
    <t>Special Select 2</t>
  </si>
  <si>
    <t>Special Select 3</t>
  </si>
  <si>
    <t>Special Select 4</t>
  </si>
  <si>
    <t>Special Select 5</t>
  </si>
  <si>
    <t>Special Select 6</t>
  </si>
  <si>
    <t>Special Select 7</t>
  </si>
  <si>
    <t>Special Select 8</t>
  </si>
  <si>
    <t>Special Select 9</t>
  </si>
  <si>
    <t>Special Select 10</t>
  </si>
  <si>
    <t>Cavalry</t>
  </si>
  <si>
    <t>Количество рас</t>
  </si>
  <si>
    <t>Free Attribute Points</t>
  </si>
  <si>
    <t>Fey Ancestry</t>
  </si>
  <si>
    <t>Trance</t>
  </si>
  <si>
    <t>Brave</t>
  </si>
  <si>
    <t>Dwarven Resilience</t>
  </si>
  <si>
    <t>Dwarven Toughness</t>
  </si>
  <si>
    <t>Mask of the Wild</t>
  </si>
  <si>
    <t>Ideal</t>
  </si>
  <si>
    <t>Bond</t>
  </si>
  <si>
    <t>Flaw</t>
  </si>
  <si>
    <t>Drow</t>
  </si>
  <si>
    <t>Gnome</t>
  </si>
  <si>
    <t>Tiefling</t>
  </si>
  <si>
    <t>Dragonborn</t>
  </si>
  <si>
    <t>Warforged</t>
  </si>
  <si>
    <t>yes</t>
  </si>
  <si>
    <t>Blindsight</t>
  </si>
  <si>
    <t>Список уникальных рас</t>
  </si>
  <si>
    <t>Количество уникальных рас</t>
  </si>
  <si>
    <t>Список уникальных подрас для выбранной расы</t>
  </si>
  <si>
    <t>Количество уникальных подрас для выбранной расы</t>
  </si>
  <si>
    <t>№</t>
  </si>
  <si>
    <t>Выбранный</t>
  </si>
  <si>
    <t>Feature Description</t>
  </si>
  <si>
    <t>Infantry</t>
  </si>
  <si>
    <t>pt9</t>
  </si>
  <si>
    <t>pt10</t>
  </si>
  <si>
    <t>Number of Special Select</t>
  </si>
  <si>
    <t>Вы</t>
  </si>
  <si>
    <t>Выбранная раса</t>
  </si>
  <si>
    <t>Medium</t>
  </si>
  <si>
    <t>Small</t>
  </si>
  <si>
    <t>Base</t>
  </si>
  <si>
    <t>Racial</t>
  </si>
  <si>
    <t>+</t>
  </si>
  <si>
    <t>Select</t>
  </si>
  <si>
    <t>=</t>
  </si>
  <si>
    <t>Additional Points</t>
  </si>
  <si>
    <t>Acrobatics</t>
  </si>
  <si>
    <t>Indimidation</t>
  </si>
  <si>
    <t>Investigation</t>
  </si>
  <si>
    <t>Medicine</t>
  </si>
  <si>
    <t>Nature</t>
  </si>
  <si>
    <t>Performance</t>
  </si>
  <si>
    <t>Persuasion</t>
  </si>
  <si>
    <t>Sleight of Hand</t>
  </si>
  <si>
    <t>no</t>
  </si>
  <si>
    <t>Barbarian</t>
  </si>
  <si>
    <t>Cleric</t>
  </si>
  <si>
    <t>Druid</t>
  </si>
  <si>
    <t>Fighter</t>
  </si>
  <si>
    <t>Monk</t>
  </si>
  <si>
    <t>Ranger</t>
  </si>
  <si>
    <t>Rogue</t>
  </si>
  <si>
    <t>Sorcerer</t>
  </si>
  <si>
    <t>Warlock</t>
  </si>
  <si>
    <t>Wizard</t>
  </si>
  <si>
    <t>Charlatan</t>
  </si>
  <si>
    <t>Guild Artisan</t>
  </si>
  <si>
    <t>Spy</t>
  </si>
  <si>
    <t>Shelter of the Faithful</t>
  </si>
  <si>
    <t>Criminal Contact</t>
  </si>
  <si>
    <t>Rustic Hospitality</t>
  </si>
  <si>
    <t>Position of Privilege</t>
  </si>
  <si>
    <t>Researcher</t>
  </si>
  <si>
    <t>Military Rank</t>
  </si>
  <si>
    <t>False Identity</t>
  </si>
  <si>
    <t>By Popular Demand</t>
  </si>
  <si>
    <t>Guild Membership</t>
  </si>
  <si>
    <t>Discovery</t>
  </si>
  <si>
    <t>Wanderer</t>
  </si>
  <si>
    <t>Ship's Passage</t>
  </si>
  <si>
    <t>City Secrets</t>
  </si>
  <si>
    <t>I idolize a particular hero of my faith, and constantly refer to that person’s deeds and example.</t>
  </si>
  <si>
    <t>I can find common ground between the fiercest enemies, empathizing with them and always working toward peace.</t>
  </si>
  <si>
    <t>I see omens in every event and action. The gods try to speak to us, we just need to listen</t>
  </si>
  <si>
    <t>Nothing can shake my optimistic attitude.</t>
  </si>
  <si>
    <t>I quote (or misquote) sacred texts and proverbs in almost every situation.</t>
  </si>
  <si>
    <t>I am tolerant (or intolerant) of other faiths and respect (or condemn) the worship of other gods.</t>
  </si>
  <si>
    <t>I’ve enjoyed fine food, drink, and high society among my temple’s elite. Rough living grates on me.</t>
  </si>
  <si>
    <t>I’ve spent so long in the temple that I have little practical experience dealing with people in the outside world.</t>
  </si>
  <si>
    <t>I always have a plan for what to do when things go wrong.</t>
  </si>
  <si>
    <t>I am always calm, no matter what the situation. I never raise my voice or let my emotions control me.</t>
  </si>
  <si>
    <t>The first thing I do in a new place is note the locations of everything valuable—or where such things could be hidden.</t>
  </si>
  <si>
    <t>I would rather make a new friend than a new enemy.</t>
  </si>
  <si>
    <t>I am incredibly slow to trust. Those who seem the fairest often have the most to hide.</t>
  </si>
  <si>
    <t>I don’t pay attention to the risks in a situation. Never tell me the odds.</t>
  </si>
  <si>
    <t>The best way to get me to do something is to tell me I can’t do it.</t>
  </si>
  <si>
    <t>I blow up at the slightest insult.</t>
  </si>
  <si>
    <t>I judge people by their actions, not their words.</t>
  </si>
  <si>
    <t>If someone is in trouble, I’m always ready to lend help.</t>
  </si>
  <si>
    <t>When I set my mind to something, I follow through no matter what gets in my way.</t>
  </si>
  <si>
    <t>I have a strong sense of fair play and always try to find the most equitable solution to arguments.</t>
  </si>
  <si>
    <t>I’m confident in my own abilities and do what I can to instill confidence in others.</t>
  </si>
  <si>
    <t>Thinking is for other people. I prefer action.</t>
  </si>
  <si>
    <t>I misuse long words in an attempt to sound smarter.</t>
  </si>
  <si>
    <t>I get bored easily. When am I going to get on with my destiny?</t>
  </si>
  <si>
    <t>My eloquent flattery makes everyone I talk to feel like the most wonderful and important person in the world.</t>
  </si>
  <si>
    <t>The common folk love me for my kindness and generosity.</t>
  </si>
  <si>
    <t>No one could doubt by looking at my regal bearing that I am a cut above the unwashed masses.</t>
  </si>
  <si>
    <t>I take great pains to always look my best and follow the latest fashions.</t>
  </si>
  <si>
    <t>I don’t like to get my hands dirty, and I won’t be caught dead in unsuitable accommodations.</t>
  </si>
  <si>
    <t>Despite my noble birth, I do not place myself above other folk. We all have the same blood.</t>
  </si>
  <si>
    <t>My favor, once lost, is lost forever.</t>
  </si>
  <si>
    <t>If you do me an injury, I will crush you, ruin your name, and salt your fields.</t>
  </si>
  <si>
    <t>I use polysyllabic words that convey the impression of great erudition.</t>
  </si>
  <si>
    <t>I’ve read every book in the world’s greatest libraries—or I like to boast that I have.</t>
  </si>
  <si>
    <t>I’m used to helping out those who aren’t as smart as I am, and I patiently explain anything and everything to others.</t>
  </si>
  <si>
    <t>There’s nothing I like more than a good mystery.</t>
  </si>
  <si>
    <t>I’m willing to listen to every side of an argument before I make my own judgment.</t>
  </si>
  <si>
    <t>I . . . speak . . . slowly . . . when talking . . . to idiots, . . .which . . . almost . . . everyone . . . is . . . compared . . .to me.</t>
  </si>
  <si>
    <t>I am horribly, horribly awkward in social situations.</t>
  </si>
  <si>
    <t>I’m convinced that people are always trying to steal my secrets.</t>
  </si>
  <si>
    <t>I’m always polite and respectful.</t>
  </si>
  <si>
    <t>I’m haunted by memories of war. I can’t get the images of violence out of my mind.</t>
  </si>
  <si>
    <t>I’ve lost too many friends, and I’m slow to make new ones.</t>
  </si>
  <si>
    <t>I’m full of inspiring and cautionary tales from my military experience relevant to almost every combat situation.</t>
  </si>
  <si>
    <t>I can stare down a hell hound without flinching.</t>
  </si>
  <si>
    <t>I enjoy being strong and like breaking things.</t>
  </si>
  <si>
    <t>I have a crude sense of humor.</t>
  </si>
  <si>
    <t>I face problems head-on. A simple, direct solution is the best path to success.</t>
  </si>
  <si>
    <t>I fall in and out of love easily, and am always pursuing someone.</t>
  </si>
  <si>
    <t>I have a joke for every occasion, especially occasions where humor is inappropriate.</t>
  </si>
  <si>
    <t>Flattery is my preferred trick for getting what I want.</t>
  </si>
  <si>
    <t>I’m a born gambler who can't resist taking a risk for a potential payoff.</t>
  </si>
  <si>
    <t>I lie about almost everything, even when there’s no good reason to.</t>
  </si>
  <si>
    <t>Sarcasm and insults are my weapons of choice.</t>
  </si>
  <si>
    <t>I keep multiple holy symbols on me and invoke whatever deity might come in useful at any given moment.</t>
  </si>
  <si>
    <t>I pocket anything I see that might have some value.</t>
  </si>
  <si>
    <t>I know a story relevant to almost every situation.</t>
  </si>
  <si>
    <t>Whenever I come to a new place, I collect local rumors and spread gossip.</t>
  </si>
  <si>
    <t>I’m a hopeless romantic, always searching for that “special someone.”</t>
  </si>
  <si>
    <t>Nobody stays angry at me or around me for long, since I can defuse any amount of tension.</t>
  </si>
  <si>
    <t>I love a good insult, even one directed at me.</t>
  </si>
  <si>
    <t>I get bitter if I’m not the center of attention.</t>
  </si>
  <si>
    <t>I’ll settle for nothing less than perfection.</t>
  </si>
  <si>
    <t>I change my mood or my mind as quickly as I change key in a song.</t>
  </si>
  <si>
    <t>I believe that anything worth doing is worth doing right. I can’t help it— I’m a perfectionist.</t>
  </si>
  <si>
    <t>I’m a snob who looks down on those who can’t appreciate fine art.</t>
  </si>
  <si>
    <t>I always want to know how things work and what makes people tick.</t>
  </si>
  <si>
    <t>I’m full of witty aphorisms and have a proverb for every occasion.</t>
  </si>
  <si>
    <t>I’m rude to people who lack my commitment to hard work and fair play.</t>
  </si>
  <si>
    <t>I like to talk at length about my profession.</t>
  </si>
  <si>
    <t>I don’t part with my money easily and will haggle tirelessly to get the best deal possible.</t>
  </si>
  <si>
    <t>I’m well known for my work, and I want to make sure everyone appreciates it. I'm always taken aback when people haven’t heard of me.</t>
  </si>
  <si>
    <t>I’ve been isolated for so long that I rarely speak, preferring gestures and the occasional grunt.</t>
  </si>
  <si>
    <t>I am utterly serene, even in the face of disaster.</t>
  </si>
  <si>
    <t>The leader of my community had something wise to say on every topic, and I am eager to share that wisdom.</t>
  </si>
  <si>
    <t>I feel tremendous empathy for all who suffer.</t>
  </si>
  <si>
    <t>I’m oblivious to etiquette and social expectations.</t>
  </si>
  <si>
    <t>I connect everything that happens to me to a grand, cosmic plan.</t>
  </si>
  <si>
    <t>I often get lost in my own thoughts and contemplation, becoming oblivious to my surroundings.</t>
  </si>
  <si>
    <t>I am working on a grand philosophical theory and love sharing my ideas.</t>
  </si>
  <si>
    <t>I’m driven by a wanderlust that led me away from home.</t>
  </si>
  <si>
    <t>I watch over my friends as if they were a litter of newborn pups.</t>
  </si>
  <si>
    <t>I once ran twenty-five miles without stopping to warn to my clan of an approaching orc horde. I’d do it again if I had to.</t>
  </si>
  <si>
    <t>I have a lesson for every situation, drawn from observing nature.</t>
  </si>
  <si>
    <t>I place no stock in wealthy or well-mannered folk. Money and manners won’t save you from a hungry owlbear.</t>
  </si>
  <si>
    <t xml:space="preserve">I’m always picking things up, absently fiddling with them, and sometimes accidentally breaking them. </t>
  </si>
  <si>
    <t>I feel far more comfortable around animals than people.</t>
  </si>
  <si>
    <t>I was, in fact, raised by wolves.</t>
  </si>
  <si>
    <t>My friends know they can rely on me, no matter what.</t>
  </si>
  <si>
    <t>I work hard so that I can play hard when the work is done.</t>
  </si>
  <si>
    <t>I enjoy sailing into new ports and making new friends over a flagon of ale.</t>
  </si>
  <si>
    <t>I stretch the truth for the sake of a good story.</t>
  </si>
  <si>
    <t>To me, a tavern brawl is a nice way to get to know a new city.</t>
  </si>
  <si>
    <t>I never pass up a friendly wager.</t>
  </si>
  <si>
    <t>My language is as foul as an otyugh nest.</t>
  </si>
  <si>
    <t>I like a job well done, especially if I can convince someone else to do it.</t>
  </si>
  <si>
    <t>I hide scraps of food and trinkets away in my pockets.</t>
  </si>
  <si>
    <t>I ask a lot of questions.</t>
  </si>
  <si>
    <t>I like to squeeze into small places where no one else can get to me.</t>
  </si>
  <si>
    <t>I sleep with my back to a wall or tree, with everything I own wrapped in a bundle in my arms.</t>
  </si>
  <si>
    <t>I eat like a pig and have bad manners.</t>
  </si>
  <si>
    <t>I think anyone who’s nice to me is hiding evil intent.</t>
  </si>
  <si>
    <t>I don’t like to bathe.</t>
  </si>
  <si>
    <t>I bluntly say what other people are hinting at or hiding.</t>
  </si>
  <si>
    <t>Tradition. The ancient traditions of worship and sacrifice must be preserved and upheld. (Lawful)</t>
  </si>
  <si>
    <t>Charity. I always try to help those in need, no matter what the personal cost. (Good)</t>
  </si>
  <si>
    <t>Change. We must help bring about the changes the gods are constantly working in the world. (Chaotic)</t>
  </si>
  <si>
    <t>Power. I hope to one day rise to the top of my faith’s religious hierarchy. (Lawful)</t>
  </si>
  <si>
    <t>Faith. I trust that my deity will guide my actions. I have faith that if I work hard, things will go well. (Lawful)</t>
  </si>
  <si>
    <t>Aspiration. I seek to prove myself worthy of my god’s favor by matching my actions against his or her teachings. (Any)</t>
  </si>
  <si>
    <t>Honor. I don’t steal from others in the trade. (Lawful)</t>
  </si>
  <si>
    <t>Freedom. Chains are meant to be broken, as are those who would forge them. (Chaotic)</t>
  </si>
  <si>
    <t>Charity. I steal from the wealthy so that I can help people in need. (Good)</t>
  </si>
  <si>
    <t>Greed. I will do whatever it takes to become wealthy. (Evil)</t>
  </si>
  <si>
    <t>People. I’m loyal to my friends, not to any ideals, and everyone else can take a trip down the Styx for all I care. (Neutral)</t>
  </si>
  <si>
    <t>Redemption. There’s a spark of good in everyone. (Good)</t>
  </si>
  <si>
    <t>Respect. People deserve to be treated with dignity and respect. (Good)</t>
  </si>
  <si>
    <t>Fairness. No one should get preferential treatment before the law, and no one is above the law. (Lawful)</t>
  </si>
  <si>
    <t>Freedom. Tyrants must not be allowed to oppress the people. (Chaotic)</t>
  </si>
  <si>
    <t>Might. If I become strong, I can take what I want— what I deserve. (Evil)</t>
  </si>
  <si>
    <t>Sincerity. There’s no good in pretending to be something I’m not. (Neutral)</t>
  </si>
  <si>
    <t>Destiny. Nothing and no one can steer me away from my higher calling. (Any)</t>
  </si>
  <si>
    <t>Respect. Respect is due to me because of my position,but all people regardless of station deserve to be treated with dignity. (Good)</t>
  </si>
  <si>
    <t>Responsibility. It is my duty to respect the authority of those above me, just as those below me must respect mine. (Lawful)</t>
  </si>
  <si>
    <t>Independence. I must prove that I can handle myself without the coddling of my family. (Chaotic)</t>
  </si>
  <si>
    <t>Power. If I can attain more power, no one will tell me what to do. (Evil)</t>
  </si>
  <si>
    <t>Family. Blood runs thicker than water. (Any)</t>
  </si>
  <si>
    <t>Noble Obligation. It is my duty to protect and care for the people beneath me. (Good)</t>
  </si>
  <si>
    <t>Knowledge. The path to power and self-improvement is through knowledge. (Neutral)</t>
  </si>
  <si>
    <t>Beauty. What is beautiful points us beyond itself toward what is true. (Good)</t>
  </si>
  <si>
    <t>Logic. Emotions must not cloud our logical thinking. (Lawful)</t>
  </si>
  <si>
    <t>No Limits. Nothing should fetter the infinite possibility inherent in all existence. (Chaotic)</t>
  </si>
  <si>
    <t>Power. Knowledge is the path to power and domination. (Evil)</t>
  </si>
  <si>
    <t>Self-Improvement. The goal of a life of study is the betterment of oneself. (Any)</t>
  </si>
  <si>
    <t>Greater Good. Our lot is to lay down our lives in defense of others. (Good)</t>
  </si>
  <si>
    <t>Responsibility. I do what I must and obey just authority. (Lawful)</t>
  </si>
  <si>
    <t>Independence. When people follow orders blindly, they embrace a kind of tyranny. (Chaotic)</t>
  </si>
  <si>
    <t>Might. In life as in war, the stronger force wins. (Evil)</t>
  </si>
  <si>
    <t>Live and Let Live. Ideals aren’t worth killing over or going to war for. (Neutral)</t>
  </si>
  <si>
    <t>Nation. My city, nation, or people are all that matter. (Any)</t>
  </si>
  <si>
    <t>Independence. I am a free spirit— no one tells me what to do. (Chaotic)</t>
  </si>
  <si>
    <t>Fairness. I never target people who can’t afford to lose a few coins. (Lawful)</t>
  </si>
  <si>
    <t>Charity. I distribute the money I acquire to the people who really need it. (Good)</t>
  </si>
  <si>
    <t>Creativity. I never run the same con twice. (Chaotic)</t>
  </si>
  <si>
    <t>Friendship. Material goods come and go. Bonds of friendship last forever. (Good)</t>
  </si>
  <si>
    <t>Aspiration. I’m determined to make something of myself. (Any)</t>
  </si>
  <si>
    <t>Beauty. When I perform, I make the world better than it was. (Good)</t>
  </si>
  <si>
    <t>Tradition. The stories, legends, and songs o f the past must never be forgotten, for they teach us who we are. (Lawful)</t>
  </si>
  <si>
    <t>Creativity. The world is in need of new ideas and bold action. (Chaotic)</t>
  </si>
  <si>
    <t>Greed. I’m only in it for the money and fame. (Evil)</t>
  </si>
  <si>
    <t>People. I like seeing the smiles on people’s faces when I perform. That’s all that matters. (Neutral)</t>
  </si>
  <si>
    <t>Honesty. Art should reflect the soul; it should come from within and reveal who we really are. (Any)</t>
  </si>
  <si>
    <t>Community. It is the duty of all civilized people to strengthen the bonds of community and the security of civilization. (Lawful)</t>
  </si>
  <si>
    <t>Generosity. My talents were given to me so that I could use them to benefit the world. (Good)</t>
  </si>
  <si>
    <t>Freedom. Everyone should be free to pursue his or her own livelihood. (Chaotic)</t>
  </si>
  <si>
    <t>Greed. I’m only in it for the money. (Evil)</t>
  </si>
  <si>
    <t>People. I’m committed to the people I care about, not to ideals. (Neutral)</t>
  </si>
  <si>
    <t>Aspiration. I work hard to be the best there is at my craft.</t>
  </si>
  <si>
    <t>Greater Good. My gifts are meant to be shared with all, not used for my own benefit. (Good)</t>
  </si>
  <si>
    <t>Logic. Emotions must not cloud our sense of what is right and true, or our logical thinking. (Lawful)</t>
  </si>
  <si>
    <t>Free Thinking. Inquiry and curiosity are the pillars of progress. (Chaotic)</t>
  </si>
  <si>
    <t>Power. Solitude and contemplation are paths toward mystical or magical power. (Evil)</t>
  </si>
  <si>
    <t>Live and Let Live. Meddling in the affairs o f others only causes trouble. (Neutral)</t>
  </si>
  <si>
    <t>Self-Knowledge. If you know yourself, there’s nothing left to know. (Any)</t>
  </si>
  <si>
    <t>Change. Life is like the seasons, in constant change, and we must change with it. (Chaotic)</t>
  </si>
  <si>
    <t>Greater Good. It is each person’s responsibility to make the most happiness for the whole tribe. (Good)</t>
  </si>
  <si>
    <t>Honor. If I dishonor myself, I dishonor my whole clan. (Lawful)</t>
  </si>
  <si>
    <t>Might. The strongest are meant to rule. (Evil)</t>
  </si>
  <si>
    <t>Nature. The natural world is more important than all the constructs of civilization. (Neutral)</t>
  </si>
  <si>
    <t>Glory. I must earn glory in battle, for myself and my clan. (Any)</t>
  </si>
  <si>
    <t>Respect. The thing that keeps a ship together is mutual respect between captain and crew. (Good)</t>
  </si>
  <si>
    <t>Fairness. We all do the work, so we all share in the rewards. (Lawful)</t>
  </si>
  <si>
    <t>Freedom. The sea is freedom—the freedom to go anywhere and do anything. (Chaotic)</t>
  </si>
  <si>
    <t>Mastery. I’m a predator, and the other ships on the sea are my prey. (Evil)</t>
  </si>
  <si>
    <t>People. I’m committed to my crewmates, not to ideals. (Neutral)</t>
  </si>
  <si>
    <t xml:space="preserve">Aspiration. Someday I’ll own my own ship and chart my own destiny. (Any) </t>
  </si>
  <si>
    <t>Respect. All people, rich or poor, deserve respect. (Good)</t>
  </si>
  <si>
    <t>Community. We have to take care of each other, because no one else is going to do it. (Lawful)</t>
  </si>
  <si>
    <t>Change. The low are lifted up, and the high and mighty are brought down. Change is the nature of things. (Chaotic)</t>
  </si>
  <si>
    <t>Retribution. The rich need to be shown what life and death are like in the gutters. (Evil)</t>
  </si>
  <si>
    <t>People. I help the people who help me—that’s what keeps us alive. (Neutral)</t>
  </si>
  <si>
    <t>Aspiration. I'm going to prove that I'm worthy of a better life.</t>
  </si>
  <si>
    <t>I would die to recover an ancient relic of my faith that was lost long ago.</t>
  </si>
  <si>
    <t>I will someday get revenge on the corrupt temple hierarchy who branded me a heretic.</t>
  </si>
  <si>
    <t>I owe my life to the priest who took me in when my parents died.</t>
  </si>
  <si>
    <t>Everything I do is for the common people.</t>
  </si>
  <si>
    <t>I will do anything to protect the temple where I served.</t>
  </si>
  <si>
    <t>I seek to preserve a sacred text that my enemies consider heretical and seek to destroy.</t>
  </si>
  <si>
    <t>I’m trying to pay off an old debt I owe to a generous benefactor.</t>
  </si>
  <si>
    <t>My ill-gotten gains go to support my family.</t>
  </si>
  <si>
    <t>Something important was taken from me, and I aim to steal it back.</t>
  </si>
  <si>
    <t>I will become the greatest thief that ever lived.</t>
  </si>
  <si>
    <t>I’m guilty of a terrible crime. I hope I can redeem myself for it.</t>
  </si>
  <si>
    <t>Someone I loved died because of I mistake I made. That will never happen again.</t>
  </si>
  <si>
    <t>I have a family, but I have no idea where they are. One day, I hope to see them again.G</t>
  </si>
  <si>
    <t>I worked the land, I love the land, and I will protect the land.</t>
  </si>
  <si>
    <t>A proud noble once gave me a horrible beating, and I will take my revenge on any bully I encounter.</t>
  </si>
  <si>
    <t>My tools are symbols of my past life, and I carry them so that I will never forget my roots.</t>
  </si>
  <si>
    <t>I protect those who cannot protect themselves.</t>
  </si>
  <si>
    <t>I wish my childhood sweetheart had come with me to pursue my destiny.</t>
  </si>
  <si>
    <t>I will face any challenge to win the approval of my family.</t>
  </si>
  <si>
    <t>My house’s alliance with another noble family must be sustained at all costs.</t>
  </si>
  <si>
    <t>Nothing is more important than the other members of my family.</t>
  </si>
  <si>
    <t>I am in love with the heir of a family that my family despises.</t>
  </si>
  <si>
    <t>My loyalty to my sovereign is unwavering.</t>
  </si>
  <si>
    <t>The common folk must see me as a hero of the people.</t>
  </si>
  <si>
    <t>It is my duty to protect my students.</t>
  </si>
  <si>
    <t>I have an ancient text that holds terrible secrets that must not fall into the wrong hands.</t>
  </si>
  <si>
    <t>I work to preserve a library, university, scriptorium, or monastery.</t>
  </si>
  <si>
    <t>My life’s work is a series of tomes related to a specific field of lore.</t>
  </si>
  <si>
    <t>I’ve been searching my whole life for the answer to a certain question.</t>
  </si>
  <si>
    <t>I sold my soul for knowledge. I hope to do great deeds and win it back.</t>
  </si>
  <si>
    <t>I would still lay down my life for the people I served with.</t>
  </si>
  <si>
    <t>Someone saved my life on the battlefield. To this day, I will never leave a friend behind.</t>
  </si>
  <si>
    <t>My honor is my life.</t>
  </si>
  <si>
    <t>I’ll never forget the crushing defeat my company suffered or the enemies who dealt it.</t>
  </si>
  <si>
    <t>Those who fight beside me are those worth dying for.</t>
  </si>
  <si>
    <t>I fight for those who cannot fight for themselves.</t>
  </si>
  <si>
    <t>I fleeced the wrong person and must work to ensure that this individual never crosses paths with me or those I care about.</t>
  </si>
  <si>
    <t>I owe everything to my mentor—a horrible person who’s probably rotting in jail somewhere.</t>
  </si>
  <si>
    <t>Somewhere out there, I have a child who doesn’t know me. I’m making the world better for him or her.</t>
  </si>
  <si>
    <t>I come from a noble family, and one day I’ll reclaim my lands and title from those who stole them from me.</t>
  </si>
  <si>
    <t>A powerful person killed someone I love. Some day soon, I’ll have my revenge.</t>
  </si>
  <si>
    <t>I swindled and ruined a person who didn’t deserve it. I seek to atone for my misdeeds but might never be able to forgive myself.</t>
  </si>
  <si>
    <t>My instrument is my most treasured possession, and it reminds me of someone I love.</t>
  </si>
  <si>
    <t>Someone stole my precious instrument, and someday I’ll get it back.</t>
  </si>
  <si>
    <t>I want to be famous, whatever it takes.</t>
  </si>
  <si>
    <t>I idolize a hero of the old tales and measure my deeds against that person’s.</t>
  </si>
  <si>
    <t>I will do anything to prove myself superior to my hated rival.</t>
  </si>
  <si>
    <t>I would do anything for the other members of my old troupe.</t>
  </si>
  <si>
    <t>The workshop where I learned my trade is the most important place in the world to me.</t>
  </si>
  <si>
    <t>I created a great work for someone, and then found them unworthy to receive it. I’m still looking for someone worthy.</t>
  </si>
  <si>
    <t>I owe my guild a great debt for forging me into the person I am today.</t>
  </si>
  <si>
    <t>I pursue wealth to secure someone’s love.</t>
  </si>
  <si>
    <t>One day I will return to my guild and prove that I am the greatest artisan of them all.</t>
  </si>
  <si>
    <t>I will get revenge on the evil forces that destroyed my place of business and ruined my livelihood.</t>
  </si>
  <si>
    <t>Nothing is more important than the other members of my hermitage, order, or association.</t>
  </si>
  <si>
    <t>I entered seclusion to hide from the ones who might still be hunting me. I must someday confront them.</t>
  </si>
  <si>
    <t>I’m still seeking the enlightenment I pursued in my seclusion, and it still eludes me.</t>
  </si>
  <si>
    <t>I entered seclusion because I loved someone I could not have.</t>
  </si>
  <si>
    <t>Should my discovery come to light, it could bring ruin to the world.</t>
  </si>
  <si>
    <t>My isolation gave me great insight into a great evil that only I can destroy.</t>
  </si>
  <si>
    <t>My family, clan, or tribe is the most important thing in my life, even when they are far from me.</t>
  </si>
  <si>
    <t>An injury to the unspoiled wilderness of my home is an injury to me.</t>
  </si>
  <si>
    <t>I will bring terrible wrath down on the evildoers who destroyed my homeland.</t>
  </si>
  <si>
    <t>I am the last of my tribe, and it is up to me to ensure their names enter legend.</t>
  </si>
  <si>
    <t>I suffer awful visions of a coming disaster and will do anything to prevent it.</t>
  </si>
  <si>
    <t>It is my duty to provide children to sustain my tribe.</t>
  </si>
  <si>
    <t>I’m loyal to my captain first, everything else second.</t>
  </si>
  <si>
    <t>The ship is most important—crewmates and captains come and go.</t>
  </si>
  <si>
    <t>I’ll always remember my first ship.</t>
  </si>
  <si>
    <t>In a harbor town, I have a paramour whose eyes nearly stole me from the sea.</t>
  </si>
  <si>
    <t>I was cheated out of my fair share of the profits, and I want to get my due.</t>
  </si>
  <si>
    <t>Ruthless pirates murdered my captain and crewmates, plundered our ship, and left me to die. Vengeance will be mine.</t>
  </si>
  <si>
    <t>My town or city is my home, and I’ll fight to defend it.</t>
  </si>
  <si>
    <t>I sponsor an orphanage to keep others from enduring what I was forced to endure.</t>
  </si>
  <si>
    <t>I owe my survival to another urchin who taught me to live on the streets.</t>
  </si>
  <si>
    <t>I owe a debt I can never repay to the person who took pity on me.</t>
  </si>
  <si>
    <t>I escaped my life of poverty by robbing an important person, and I’m wanted for it.</t>
  </si>
  <si>
    <t>No one else should have to endure the hardships I’ve been through.</t>
  </si>
  <si>
    <t>I judge others harshly, and myself even more severely.</t>
  </si>
  <si>
    <t>I put too much trust in those who wield power within my temple’s hierarchy.</t>
  </si>
  <si>
    <t>My piety sometimes leads me to blindly trust those that profess faith in my god.</t>
  </si>
  <si>
    <t>I am inflexible in my thinking.</t>
  </si>
  <si>
    <t>I am suspicious of strangers and expect the worst of them.</t>
  </si>
  <si>
    <t xml:space="preserve">Once I pick a goal, I become obsessed with it to the detriment of everything else in my life. </t>
  </si>
  <si>
    <t>When I see something valuable, I can’t think about anything but how to steal it.</t>
  </si>
  <si>
    <t>When faced with a choice between money and my friends, I usually choose the money.</t>
  </si>
  <si>
    <t>If there’s a plan, I’ll forget it. If I don’t forget it, I’ll ignore it.</t>
  </si>
  <si>
    <t>I have a “tell” that reveals when I’m lying.</t>
  </si>
  <si>
    <t>I turn tail and run when things look bad.</t>
  </si>
  <si>
    <t>An innocent person is in prison for a crime that I committed. I’m okay with that.</t>
  </si>
  <si>
    <t>The tyrant who rules my land will stop at nothing to see me killed.</t>
  </si>
  <si>
    <t>I’m convinced of the significance of my destiny, and blind to my shortcomings and the risk of failure.</t>
  </si>
  <si>
    <t>The people who knew me when I was young know my shameful secret, so I can never go home again.</t>
  </si>
  <si>
    <t>I have a weakness for the vices of the city, especially hard drink.</t>
  </si>
  <si>
    <t>Secretly, I believe that things would be better if I were a tyrant lording over the land.</t>
  </si>
  <si>
    <t>I have trouble trusting in my allies.</t>
  </si>
  <si>
    <t>I secretly believe that everyone is beneath me.</t>
  </si>
  <si>
    <t>I hide a truly scandalous secret that could ruin my family forever.</t>
  </si>
  <si>
    <t>I too often hear veiled insults and threats in every word addressed to me, and I’m quick to anger.</t>
  </si>
  <si>
    <t>I have an insatiable desire for carnal pleasures.</t>
  </si>
  <si>
    <t>In fact, the world does revolve around me.</t>
  </si>
  <si>
    <t>By my words and actions, I often bring shame to my family.</t>
  </si>
  <si>
    <t>I am easily distracted by the promise of information.</t>
  </si>
  <si>
    <t>Most people scream and run when they see a demon. I stop and take notes on its anatomy.</t>
  </si>
  <si>
    <t>Unlocking an ancient mystery is worth the price of a civilization.</t>
  </si>
  <si>
    <t>I overlook obvious solutions in favor of complicated ones.</t>
  </si>
  <si>
    <t>I speak without really thinking through my words, invariably insulting others.</t>
  </si>
  <si>
    <t>I can’t keep a secret to save my life, or anyone else’s.</t>
  </si>
  <si>
    <t>The monstrous enemy we faced in battle still leaves me quivering with fear.</t>
  </si>
  <si>
    <t>I have little respect for anyone who is not a proven warrior.</t>
  </si>
  <si>
    <t>I made a terrible mistake in battle that cost many lives—and I would do anything to keep that mistake secret.</t>
  </si>
  <si>
    <t>My hatred of my enemies is blind and unreasoning.</t>
  </si>
  <si>
    <t>I obey the law, even if the law causes misery.</t>
  </si>
  <si>
    <t>I’d rather eat my armor than admit when I’m wrong.</t>
  </si>
  <si>
    <t>I can’t resist a pretty face.</t>
  </si>
  <si>
    <t>I'm always in debt. I spend my ill-gotten gains on decadent luxuries faster than I bring them in..</t>
  </si>
  <si>
    <t>I’m convinced that no one could ever fool me the way I fool others.</t>
  </si>
  <si>
    <t>I’m too greedy for my own good. I can’t resist taking a risk if there’s money involved.</t>
  </si>
  <si>
    <t>I can’t resist swindling people who are more powerful than me.</t>
  </si>
  <si>
    <t>I hate to admit it and will hate myself for it, but I'll run and preserve my own hide if the going gets tough.</t>
  </si>
  <si>
    <t>I’ll do anything to win fame and renown.</t>
  </si>
  <si>
    <t>I’m a sucker for a pretty face.</t>
  </si>
  <si>
    <t>A scandal prevents me from ever going home again. That kind of trouble seems to follow me around.</t>
  </si>
  <si>
    <t>I once satirized a noble who still wants my head. It was a mistake that I will likely repeat.</t>
  </si>
  <si>
    <t>I have trouble keeping my true feelings hidden. My sharp tongue lands me in trouble.</t>
  </si>
  <si>
    <t>Despite my best efforts, I am unreliable to my friends.</t>
  </si>
  <si>
    <t>I’ll do anything to get my hands on something rare or priceless.</t>
  </si>
  <si>
    <t>I’m quick to assume that someone is trying to cheat me.</t>
  </si>
  <si>
    <t>No one must ever learn that I once stole money from guild coffers.</t>
  </si>
  <si>
    <t>I’m never satisfied with what I have— I always want more.</t>
  </si>
  <si>
    <t>I would kill to acquire a noble title.</t>
  </si>
  <si>
    <t>I’m horribly jealous of anyone who can outshine my handiwork. Everywhere I go, I’m surrounded by rivals.</t>
  </si>
  <si>
    <t>Now that I've returned to the world, I enjoy its delights a little too much.</t>
  </si>
  <si>
    <t>I harbor dark, bloodthirsty thoughts that my isolation and meditation failed to quell.</t>
  </si>
  <si>
    <t>I am dogmatic in my thoughts and philosophy.</t>
  </si>
  <si>
    <t>I let my need to win arguments overshadow friendships and harmony.</t>
  </si>
  <si>
    <t>I’d risk too much to uncover a lost bit of knowledge.</t>
  </si>
  <si>
    <t>I like keeping secrets and won’t share them with anyone.</t>
  </si>
  <si>
    <t>I am too enamored of ale, wine, and other intoxicants.</t>
  </si>
  <si>
    <t>There’s no room for caution in a life lived to the fullest.</t>
  </si>
  <si>
    <t>I remember every insult I’ve received and nurse a silent resentment toward anyone who’s ever wronged me.</t>
  </si>
  <si>
    <t>I am slow to trust members of other races, tribes, and societies.</t>
  </si>
  <si>
    <t>Violence is my answer to almost any challenge.</t>
  </si>
  <si>
    <t>Don’t expect me to save those who can’t save themselves. It is nature’s way that the strong thrive and the weak perish.</t>
  </si>
  <si>
    <t>I follow orders, even if I think they’re wrong.</t>
  </si>
  <si>
    <t>I’ll say anything to avoid having to do extra work.</t>
  </si>
  <si>
    <t>Once someone questions my courage, I never back down no matter how dangerous the situation.</t>
  </si>
  <si>
    <t>Once I start drinking, it’s hard for me to stop.</t>
  </si>
  <si>
    <t>I can’t help but pocket loose coins and other trinkets I come across.</t>
  </si>
  <si>
    <t>My pride will probably lead to my destruction.</t>
  </si>
  <si>
    <t>If I'm outnumbered, I will run away from a fight.</t>
  </si>
  <si>
    <t>Gold seems like a lot of money to me, and I’ll do just about anything for more of it.</t>
  </si>
  <si>
    <t>I will never fully trust anyone other than myself.</t>
  </si>
  <si>
    <t>I’d rather kill someone in their sleep then fight fair.</t>
  </si>
  <si>
    <t>It’s not stealing if I need it more than someone else.</t>
  </si>
  <si>
    <t>People who can't take care of themselves get what they deserve.</t>
  </si>
  <si>
    <t>I cheat at games of chance.</t>
  </si>
  <si>
    <t>I shave coins or forge documents.</t>
  </si>
  <si>
    <t>I insinuate myself into people’s lives to prey on their weakness and secure their fortunes.</t>
  </si>
  <si>
    <t>I put on new identities like clothes.</t>
  </si>
  <si>
    <t>I run sleight-of-hand cons on street corners.</t>
  </si>
  <si>
    <t>I convince people that worthless junk is worth their hard-earned money.</t>
  </si>
  <si>
    <t xml:space="preserve">Actor </t>
  </si>
  <si>
    <t>Instrumentalist</t>
  </si>
  <si>
    <t xml:space="preserve">Dancer </t>
  </si>
  <si>
    <t>Poet</t>
  </si>
  <si>
    <t xml:space="preserve">Fire-eater </t>
  </si>
  <si>
    <t>Singer</t>
  </si>
  <si>
    <t xml:space="preserve">Jester </t>
  </si>
  <si>
    <t>Storyteller</t>
  </si>
  <si>
    <t xml:space="preserve">Juggler </t>
  </si>
  <si>
    <t>Tumbler</t>
  </si>
  <si>
    <t>I stood up to a tyrant’s agents.</t>
  </si>
  <si>
    <t>I saved people during a natural disaster.</t>
  </si>
  <si>
    <t>I stood alone against a terrible monster.</t>
  </si>
  <si>
    <t>I stole from a corrupt merchant to help the poor.</t>
  </si>
  <si>
    <t>I led a militia to fight off an invading army.</t>
  </si>
  <si>
    <t>I broke into a tyrant’s castle and stole weapons to arm the people.</t>
  </si>
  <si>
    <t>I trained the peasantry to use farm implements as weapons against a tyrant’s soldiers.</t>
  </si>
  <si>
    <t>A lord rescinded an unpopular decree after I led a symbolic act of protect against it.</t>
  </si>
  <si>
    <t>A celestial, fey, or similar creature gave me a blessing or revealed my secret origin.</t>
  </si>
  <si>
    <t>Recruited into a lord’s army, I rose to leadership and was commended for my heroism.</t>
  </si>
  <si>
    <t>I was searching for spiritual enlightenment.</t>
  </si>
  <si>
    <t>I was partaking of communal living in accordance with the dictates of a religious order.</t>
  </si>
  <si>
    <t>I was exiled for a crime I didn’t commit.</t>
  </si>
  <si>
    <t>I retreated from society after a life-altering event.</t>
  </si>
  <si>
    <t>I needed a quiet place to work on my art, literature, music, or manifesto.</t>
  </si>
  <si>
    <t>I needed to commune with nature, far from civilization.</t>
  </si>
  <si>
    <t>I was the caretaker of an ancient ruin or relic.</t>
  </si>
  <si>
    <t>I was a pilgrim in search of a person, place, or relic of spiritual significance.</t>
  </si>
  <si>
    <t>Forester</t>
  </si>
  <si>
    <t>Bounty hunter</t>
  </si>
  <si>
    <t>Trapper</t>
  </si>
  <si>
    <t>Pilgrim</t>
  </si>
  <si>
    <t>Homesteader</t>
  </si>
  <si>
    <t>Tribal nomad</t>
  </si>
  <si>
    <t>Guide</t>
  </si>
  <si>
    <t>Hunter-gatherer</t>
  </si>
  <si>
    <t>Exile</t>
  </si>
  <si>
    <t>Outcast</t>
  </si>
  <si>
    <t>Alchemist</t>
  </si>
  <si>
    <t>Professor</t>
  </si>
  <si>
    <t>Astronomer</t>
  </si>
  <si>
    <t>Wizard’s apprentice</t>
  </si>
  <si>
    <t>Scribe</t>
  </si>
  <si>
    <t>Librarian</t>
  </si>
  <si>
    <t xml:space="preserve">Officer </t>
  </si>
  <si>
    <t>Quartermaster</t>
  </si>
  <si>
    <t xml:space="preserve">Scout </t>
  </si>
  <si>
    <t>Standard bearer</t>
  </si>
  <si>
    <t>Support staff (cook, blacksmith, or the like)</t>
  </si>
  <si>
    <t>Healer</t>
  </si>
  <si>
    <t>Temple</t>
  </si>
  <si>
    <t>Pantheon</t>
  </si>
  <si>
    <t>Special Select 11</t>
  </si>
  <si>
    <t>Special Select 12</t>
  </si>
  <si>
    <t>Special Select 13</t>
  </si>
  <si>
    <t>Special Select 14</t>
  </si>
  <si>
    <t>Special Select 15</t>
  </si>
  <si>
    <t>Special Select 16</t>
  </si>
  <si>
    <t>Special Select 17</t>
  </si>
  <si>
    <t>Special Select 18</t>
  </si>
  <si>
    <t>Special Select 19</t>
  </si>
  <si>
    <t>Special Select 20</t>
  </si>
  <si>
    <t>Alchemists and apothecaries</t>
  </si>
  <si>
    <t>Armorers, locksmiths, and finesmiths</t>
  </si>
  <si>
    <t>Brewers, distillers, and vintners</t>
  </si>
  <si>
    <t>Calligraphers, scribes, and scriveners</t>
  </si>
  <si>
    <t>Carpenters, roofers, and plasterers</t>
  </si>
  <si>
    <t>Cartographers, surveyors, and chart-makers</t>
  </si>
  <si>
    <t>Cobblers and shoemakers</t>
  </si>
  <si>
    <t>Cooks and bakers</t>
  </si>
  <si>
    <t>Glassblowers and glaziers</t>
  </si>
  <si>
    <t>Jewelers and gemcutters</t>
  </si>
  <si>
    <t>Leatherworkers, skinners, and tanners</t>
  </si>
  <si>
    <t>Masons and stonecutters</t>
  </si>
  <si>
    <t>Painters, limners, and sign-makers</t>
  </si>
  <si>
    <t>Potters and tile-makers</t>
  </si>
  <si>
    <t>Shipwrights and sailmakers</t>
  </si>
  <si>
    <t>Smiths and metal-forgers</t>
  </si>
  <si>
    <t>Tinkers, pewterers, and casters</t>
  </si>
  <si>
    <t>Wagon-makers and wheelwrights</t>
  </si>
  <si>
    <t>Weavers and dyers</t>
  </si>
  <si>
    <t>Woodcarvers, coopers, and bowyers</t>
  </si>
  <si>
    <t>n/a</t>
  </si>
  <si>
    <t>City of Origin</t>
  </si>
  <si>
    <t>Religious service</t>
  </si>
  <si>
    <t>Specialty</t>
  </si>
  <si>
    <t>Defining Event</t>
  </si>
  <si>
    <t>Military Organization</t>
  </si>
  <si>
    <t>Favorite Scheme</t>
  </si>
  <si>
    <t>Routine</t>
  </si>
  <si>
    <t>Guild Business</t>
  </si>
  <si>
    <t>Life of Seclusion</t>
  </si>
  <si>
    <t>Origin</t>
  </si>
  <si>
    <t>Ship Service</t>
  </si>
  <si>
    <t>Human (Calishite)</t>
  </si>
  <si>
    <t>Human (Chondathan)</t>
  </si>
  <si>
    <t>Human (Damaran)</t>
  </si>
  <si>
    <t>Human (Illuskan)</t>
  </si>
  <si>
    <t>Human (Mulan)</t>
  </si>
  <si>
    <t>Human (Rashemi)</t>
  </si>
  <si>
    <t>Human (Shou)</t>
  </si>
  <si>
    <t>Human (Tethyrian-Chondathan)</t>
  </si>
  <si>
    <t>Human (Turami)</t>
  </si>
  <si>
    <t>Human (Variant)</t>
  </si>
  <si>
    <t>Forest Gnome</t>
  </si>
  <si>
    <t>Rock Gnome</t>
  </si>
  <si>
    <t>Half-elf</t>
  </si>
  <si>
    <t>Half-orc</t>
  </si>
  <si>
    <t>Dark Elf</t>
  </si>
  <si>
    <t>Green</t>
  </si>
  <si>
    <t>Free skills chois</t>
  </si>
  <si>
    <t>Giant</t>
  </si>
  <si>
    <t>Gnomish</t>
  </si>
  <si>
    <t>Goblin</t>
  </si>
  <si>
    <t>Orc</t>
  </si>
  <si>
    <t>Abyssal</t>
  </si>
  <si>
    <t>Celestial</t>
  </si>
  <si>
    <t>Draconic</t>
  </si>
  <si>
    <t>Deep Speech</t>
  </si>
  <si>
    <t>Infernal</t>
  </si>
  <si>
    <t>Primordial</t>
  </si>
  <si>
    <t>Sylvan</t>
  </si>
  <si>
    <t>Undercommon</t>
  </si>
  <si>
    <t>Bard</t>
  </si>
  <si>
    <t>Paladin</t>
  </si>
  <si>
    <t>Weapons</t>
  </si>
  <si>
    <t>Tools</t>
  </si>
  <si>
    <t>Simple weapons</t>
  </si>
  <si>
    <t>None</t>
  </si>
  <si>
    <t>Herbalism Kit</t>
  </si>
  <si>
    <t>Action Surge (one use)</t>
  </si>
  <si>
    <t>Cunning Action</t>
  </si>
  <si>
    <t>Arcane Tradition</t>
  </si>
  <si>
    <t>Font of Magic</t>
  </si>
  <si>
    <t>Eldrich Invocations</t>
  </si>
  <si>
    <t xml:space="preserve"> </t>
  </si>
  <si>
    <t>Artisan's Tools</t>
  </si>
  <si>
    <t>Tinker's tools</t>
  </si>
  <si>
    <t>TRINKETS</t>
  </si>
  <si>
    <t>A shard of obsidian that always feels warm to the</t>
  </si>
  <si>
    <t>A mummified goblin hand touch</t>
  </si>
  <si>
    <t xml:space="preserve">A piece of crystal that faintly glows in the moonlight </t>
  </si>
  <si>
    <t>A dragon's bony talon hanging from a plain leather</t>
  </si>
  <si>
    <t>A gold coin minted in an unknown land necklace</t>
  </si>
  <si>
    <t xml:space="preserve">A diary written in a language you don’t know </t>
  </si>
  <si>
    <t>A  living worm with a head on each end of its body</t>
  </si>
  <si>
    <t xml:space="preserve">A brass ring that never tarnishes </t>
  </si>
  <si>
    <t>A blank book whose pages refuse to hold ink, chalk,</t>
  </si>
  <si>
    <t>An old chess piece made from glass graphite, or any other substance or marking</t>
  </si>
  <si>
    <t>A pair of knucklebone dice, each with a skull symbol on the side that would normally show six pips</t>
  </si>
  <si>
    <t>A silver badge in the shape of a five-pointed star</t>
  </si>
  <si>
    <t>A knife that belonged to a relative</t>
  </si>
  <si>
    <t>A small idol depicting a nightmarish creature that gives you unsettling dreams when you sleep near it</t>
  </si>
  <si>
    <t>A glass vial filled with nail clippings</t>
  </si>
  <si>
    <t>A rectangular metal device with two tiny metal cups</t>
  </si>
  <si>
    <t xml:space="preserve">A rope necklace from which dangles four mummified on one end that throws sparks when wet elf fingers </t>
  </si>
  <si>
    <t>A white, sequined glove sized for a human</t>
  </si>
  <si>
    <t>The deed for a parcel of land in a realm unknown to you</t>
  </si>
  <si>
    <t>A vest with one hundred tiny pockets</t>
  </si>
  <si>
    <t>A small, weightless stone block</t>
  </si>
  <si>
    <t xml:space="preserve">A 1-ounce block made from an unknown material </t>
  </si>
  <si>
    <t>A tiny sketch portrait of a goblin</t>
  </si>
  <si>
    <t xml:space="preserve">A small cloth doll skewered with needles </t>
  </si>
  <si>
    <t>An empty glass vial that smells of perfume when</t>
  </si>
  <si>
    <t>A tooth from an unknown beast opened</t>
  </si>
  <si>
    <t xml:space="preserve">An enormous scale, perhaps from a dragon </t>
  </si>
  <si>
    <t>A gemstone that looks like a lump of coal when</t>
  </si>
  <si>
    <t>A bright green feather examined by anyone but you</t>
  </si>
  <si>
    <t xml:space="preserve">An old divination card bearing your likeness </t>
  </si>
  <si>
    <t>A scrap of cloth from an old banner</t>
  </si>
  <si>
    <t xml:space="preserve">A glass orb filled with moving smoke </t>
  </si>
  <si>
    <t>A rank insignia from a lost legionnaire</t>
  </si>
  <si>
    <t xml:space="preserve">A 1-pound egg with a bright red shell </t>
  </si>
  <si>
    <t>A tiny silver bell without a clapper</t>
  </si>
  <si>
    <t>A pipe that blows bubbles</t>
  </si>
  <si>
    <t>A mechanical canary inside a gnomish lamp</t>
  </si>
  <si>
    <t>A glass jar containing a weird bit of flesh floating in pickling fluid</t>
  </si>
  <si>
    <t>A tiny chest carved to look like it has numerous feet on the bottom</t>
  </si>
  <si>
    <t>A tiny gnome-crafted music box that plays a song you dimly remember from your childhood</t>
  </si>
  <si>
    <t>A dead sprite inside a clear glass bottle</t>
  </si>
  <si>
    <t>A metal can that has no opening but sounds as if it is filled with liquid, sand, spiders, or broken glass (your choice)</t>
  </si>
  <si>
    <t>A small wooden statuette of a smug halfling</t>
  </si>
  <si>
    <t>A brass orb etched with strange runes</t>
  </si>
  <si>
    <t>A multicolored stone disk</t>
  </si>
  <si>
    <t>A glass orb filled with water, in which swims a</t>
  </si>
  <si>
    <t>A tiny silver icon of a raven clockwork goldfish</t>
  </si>
  <si>
    <t>A bag containing forty-seven humanoid teeth, one of which is rotten</t>
  </si>
  <si>
    <t>A silver spoon with an M engraved on the handle</t>
  </si>
  <si>
    <t>A whistle made from gold-colored wood</t>
  </si>
  <si>
    <t xml:space="preserve">A dead scarab beetle the size of your hand </t>
  </si>
  <si>
    <t>An invitation to a party where a murder happened</t>
  </si>
  <si>
    <t xml:space="preserve">Two toy soldiers, one with a missing head </t>
  </si>
  <si>
    <t>A bronze pentacle with an etching of a rat's head</t>
  </si>
  <si>
    <t>A small box filled with different-sized buttons in its center</t>
  </si>
  <si>
    <t xml:space="preserve">A candle that can’t be lit </t>
  </si>
  <si>
    <t>A purple handkerchief embroidered with the name of</t>
  </si>
  <si>
    <t>A tiny cage with no door a powerful archmage</t>
  </si>
  <si>
    <t xml:space="preserve">An old key </t>
  </si>
  <si>
    <t>Half of a floorplan for a temple, castle, or some other</t>
  </si>
  <si>
    <t>An indecipherable treasure map structure</t>
  </si>
  <si>
    <t xml:space="preserve">A hilt from a broken sword </t>
  </si>
  <si>
    <t>A bit of folded cloth that, when unfolded, turns into</t>
  </si>
  <si>
    <t>A rabbit’s foot a stylish cap</t>
  </si>
  <si>
    <t xml:space="preserve">A glass eye </t>
  </si>
  <si>
    <t>A receipt of deposit at a bank in a far-flung city</t>
  </si>
  <si>
    <t xml:space="preserve">A cameo carved in the likeness of a hideous person </t>
  </si>
  <si>
    <t>A diary with seven missing pages</t>
  </si>
  <si>
    <t xml:space="preserve">A silver skull the size of a coin </t>
  </si>
  <si>
    <t>An empty silver snuffbox bearing an inscription on</t>
  </si>
  <si>
    <t>An alabaster mask the surface that says “dreams’’</t>
  </si>
  <si>
    <t xml:space="preserve">A pyramid of sticky black incense that smells very bad </t>
  </si>
  <si>
    <t>An iron holy symbol devoted to an unknown god</t>
  </si>
  <si>
    <t>A nightcap that, when worn, gives you pleasant dreams</t>
  </si>
  <si>
    <t>A book that tells the story of a legendary hero's rise and fall, with the last chapter missing</t>
  </si>
  <si>
    <t xml:space="preserve">A single caltrop made from bone </t>
  </si>
  <si>
    <t>A vial of dragon blood</t>
  </si>
  <si>
    <t>A gold monocle frame without the lens</t>
  </si>
  <si>
    <t>An ancient arrow of elven design</t>
  </si>
  <si>
    <t>A 1-inch cube, each side painted a different color</t>
  </si>
  <si>
    <t>A needle that never bends</t>
  </si>
  <si>
    <t xml:space="preserve">A crystal knob from a door </t>
  </si>
  <si>
    <t>An ornate brooch of dwarven design</t>
  </si>
  <si>
    <t xml:space="preserve">A small packet filled with pink dust </t>
  </si>
  <si>
    <t>An empty wine bottle bearing a pretty label that says, “The Wizard of Wines Winery, Red Dragon Crush, 331422-W"</t>
  </si>
  <si>
    <t>A fragment of a beautiful song, written as musical notes on two pieces of parchment</t>
  </si>
  <si>
    <t xml:space="preserve">A silver teardrop earring made from a real teardrop </t>
  </si>
  <si>
    <t>A mosaic tile with a multicolored, glazed surface</t>
  </si>
  <si>
    <t>The shell of an egg painted with scenes of human misery in disturbing detail</t>
  </si>
  <si>
    <t>A petrified mouse</t>
  </si>
  <si>
    <t>A black pirate flag adorned with a dragon's skull</t>
  </si>
  <si>
    <t>A fan that, when unfolded, shows a sleeping cat and crossbones</t>
  </si>
  <si>
    <t xml:space="preserve">A set of bone pipes </t>
  </si>
  <si>
    <t>A tiny mechanical crab or spider that moves about</t>
  </si>
  <si>
    <t>A four-leaf clover pressed inside a book discussing when it’s not being observed manners and etiquette</t>
  </si>
  <si>
    <t>A glass jar containing lard with a label that reads,</t>
  </si>
  <si>
    <t>A sheet of parchment upon which is drawn a complex “Griffon Grease” mechanical contraption</t>
  </si>
  <si>
    <t>A wooden box with a ceramic bottom that holds a</t>
  </si>
  <si>
    <t>An ornate scabbard that fits no blade you have found so far</t>
  </si>
  <si>
    <t>A metal urn containing the ashes of a hero</t>
  </si>
  <si>
    <t>COL</t>
  </si>
  <si>
    <t>RANDOM</t>
  </si>
  <si>
    <t>names</t>
  </si>
  <si>
    <t>Calishite</t>
  </si>
  <si>
    <t>Chondathan</t>
  </si>
  <si>
    <t>Damaran</t>
  </si>
  <si>
    <t>Illuskan</t>
  </si>
  <si>
    <t>Mulan</t>
  </si>
  <si>
    <t>Rashemi</t>
  </si>
  <si>
    <t>Shou</t>
  </si>
  <si>
    <t>Tethyrian (cho)</t>
  </si>
  <si>
    <t>Turami</t>
  </si>
  <si>
    <t>Dragonborn (not incl childhood)</t>
  </si>
  <si>
    <t>Gnome (not incl pet name)</t>
  </si>
  <si>
    <t>1/2 Orc</t>
  </si>
  <si>
    <t>1/2 elf</t>
  </si>
  <si>
    <t>Male</t>
  </si>
  <si>
    <t>Female</t>
  </si>
  <si>
    <t>Family</t>
  </si>
  <si>
    <t>M</t>
  </si>
  <si>
    <t>F</t>
  </si>
  <si>
    <t>SUR</t>
  </si>
  <si>
    <t xml:space="preserve">M </t>
  </si>
  <si>
    <t>Surname</t>
  </si>
  <si>
    <t>Family/Clan</t>
  </si>
  <si>
    <t>Clan</t>
  </si>
  <si>
    <t>Nickname</t>
  </si>
  <si>
    <t>elf or human</t>
  </si>
  <si>
    <t>#</t>
  </si>
  <si>
    <r>
      <t>Ad</t>
    </r>
    <r>
      <rPr>
        <sz val="8"/>
        <color rgb="FF141216"/>
        <rFont val="Calibri"/>
        <family val="2"/>
        <scheme val="minor"/>
      </rPr>
      <t>ri</t>
    </r>
    <r>
      <rPr>
        <sz val="8"/>
        <color rgb="FF2D2530"/>
        <rFont val="Calibri"/>
        <family val="2"/>
        <scheme val="minor"/>
      </rPr>
      <t>k</t>
    </r>
  </si>
  <si>
    <t>Amber</t>
  </si>
  <si>
    <r>
      <t>Balder</t>
    </r>
    <r>
      <rPr>
        <sz val="8"/>
        <color rgb="FF141216"/>
        <rFont val="Calibri"/>
        <family val="2"/>
        <scheme val="minor"/>
      </rPr>
      <t>k</t>
    </r>
  </si>
  <si>
    <r>
      <t>Ad</t>
    </r>
    <r>
      <rPr>
        <sz val="8"/>
        <color rgb="FF121013"/>
        <rFont val="Calibri"/>
        <family val="2"/>
        <scheme val="minor"/>
      </rPr>
      <t>r</t>
    </r>
    <r>
      <rPr>
        <sz val="8"/>
        <color rgb="FF2E2630"/>
        <rFont val="Calibri"/>
        <family val="2"/>
        <scheme val="minor"/>
      </rPr>
      <t>a</t>
    </r>
    <r>
      <rPr>
        <sz val="8"/>
        <color rgb="FF121013"/>
        <rFont val="Calibri"/>
        <family val="2"/>
        <scheme val="minor"/>
      </rPr>
      <t>n</t>
    </r>
  </si>
  <si>
    <r>
      <t>A</t>
    </r>
    <r>
      <rPr>
        <sz val="8"/>
        <color rgb="FF2E2630"/>
        <rFont val="Calibri"/>
        <family val="2"/>
        <scheme val="minor"/>
      </rPr>
      <t>d</t>
    </r>
    <r>
      <rPr>
        <sz val="8"/>
        <color rgb="FF121013"/>
        <rFont val="Calibri"/>
        <family val="2"/>
        <scheme val="minor"/>
      </rPr>
      <t>ri</t>
    </r>
    <r>
      <rPr>
        <sz val="8"/>
        <color rgb="FF2E2630"/>
        <rFont val="Calibri"/>
        <family val="2"/>
        <scheme val="minor"/>
      </rPr>
      <t>e</t>
    </r>
  </si>
  <si>
    <r>
      <t>Ama</t>
    </r>
    <r>
      <rPr>
        <sz val="8"/>
        <color rgb="FF121015"/>
        <rFont val="Calibri"/>
        <family val="2"/>
        <scheme val="minor"/>
      </rPr>
      <t>k</t>
    </r>
    <r>
      <rPr>
        <sz val="8"/>
        <color rgb="FF2F2631"/>
        <rFont val="Calibri"/>
        <family val="2"/>
        <scheme val="minor"/>
      </rPr>
      <t>iir</t>
    </r>
    <r>
      <rPr>
        <sz val="8"/>
        <color rgb="FF433B48"/>
        <rFont val="Calibri"/>
        <family val="2"/>
        <scheme val="minor"/>
      </rPr>
      <t>(Ge</t>
    </r>
    <r>
      <rPr>
        <sz val="8"/>
        <color rgb="FF121015"/>
        <rFont val="Calibri"/>
        <family val="2"/>
        <scheme val="minor"/>
      </rPr>
      <t>mfl</t>
    </r>
    <r>
      <rPr>
        <sz val="8"/>
        <color rgb="FF2F2631"/>
        <rFont val="Calibri"/>
        <family val="2"/>
        <scheme val="minor"/>
      </rPr>
      <t>owe</t>
    </r>
    <r>
      <rPr>
        <sz val="8"/>
        <color rgb="FF121015"/>
        <rFont val="Calibri"/>
        <family val="2"/>
        <scheme val="minor"/>
      </rPr>
      <t>r</t>
    </r>
    <r>
      <rPr>
        <sz val="8"/>
        <color rgb="FF564A58"/>
        <rFont val="Calibri"/>
        <family val="2"/>
        <scheme val="minor"/>
      </rPr>
      <t>)</t>
    </r>
  </si>
  <si>
    <t>Alton</t>
  </si>
  <si>
    <r>
      <t>A</t>
    </r>
    <r>
      <rPr>
        <sz val="8"/>
        <color rgb="FF131115"/>
        <rFont val="Calibri"/>
        <family val="2"/>
        <scheme val="minor"/>
      </rPr>
      <t>n</t>
    </r>
    <r>
      <rPr>
        <sz val="8"/>
        <color rgb="FF2F2731"/>
        <rFont val="Calibri"/>
        <family val="2"/>
        <scheme val="minor"/>
      </rPr>
      <t>dr</t>
    </r>
    <r>
      <rPr>
        <sz val="8"/>
        <color rgb="FF463C4D"/>
        <rFont val="Calibri"/>
        <family val="2"/>
        <scheme val="minor"/>
      </rPr>
      <t>y</t>
    </r>
  </si>
  <si>
    <r>
      <t>Bru</t>
    </r>
    <r>
      <rPr>
        <sz val="8"/>
        <color rgb="FF463C4D"/>
        <rFont val="Calibri"/>
        <family val="2"/>
        <scheme val="minor"/>
      </rPr>
      <t>s</t>
    </r>
    <r>
      <rPr>
        <sz val="8"/>
        <color rgb="FF2F2731"/>
        <rFont val="Calibri"/>
        <family val="2"/>
        <scheme val="minor"/>
      </rPr>
      <t>h</t>
    </r>
    <r>
      <rPr>
        <sz val="8"/>
        <color rgb="FF463C4D"/>
        <rFont val="Calibri"/>
        <family val="2"/>
        <scheme val="minor"/>
      </rPr>
      <t>g</t>
    </r>
    <r>
      <rPr>
        <sz val="8"/>
        <color rgb="FF2F2731"/>
        <rFont val="Calibri"/>
        <family val="2"/>
        <scheme val="minor"/>
      </rPr>
      <t>ather</t>
    </r>
  </si>
  <si>
    <t>Aesir</t>
  </si>
  <si>
    <t>Atala</t>
  </si>
  <si>
    <t>Basha</t>
  </si>
  <si>
    <t>Darvain</t>
  </si>
  <si>
    <t>Arveene</t>
  </si>
  <si>
    <t>Amblecrown</t>
  </si>
  <si>
    <t>Bor</t>
  </si>
  <si>
    <t>Alethra</t>
  </si>
  <si>
    <t>Bersk</t>
  </si>
  <si>
    <t>Ander</t>
  </si>
  <si>
    <t>Amafrey</t>
  </si>
  <si>
    <t>Brightwood</t>
  </si>
  <si>
    <t>Aoth</t>
  </si>
  <si>
    <t>Arizima</t>
  </si>
  <si>
    <t>Ankhalab</t>
  </si>
  <si>
    <t>Borivik</t>
  </si>
  <si>
    <t>Fyevarra</t>
  </si>
  <si>
    <t>Chergoba</t>
  </si>
  <si>
    <t>An</t>
  </si>
  <si>
    <t>Bai</t>
  </si>
  <si>
    <t>Chien</t>
  </si>
  <si>
    <t>Anton</t>
  </si>
  <si>
    <t>Balama</t>
  </si>
  <si>
    <t>Agosto</t>
  </si>
  <si>
    <t>Ahlysaaria</t>
  </si>
  <si>
    <t>A'Daragon</t>
  </si>
  <si>
    <t>Arjhan</t>
  </si>
  <si>
    <t>Akra</t>
  </si>
  <si>
    <t>Clethinthiallor</t>
  </si>
  <si>
    <t>Alston</t>
  </si>
  <si>
    <t>Bimpnotton</t>
  </si>
  <si>
    <t>Beren</t>
  </si>
  <si>
    <t>Aleslosh</t>
  </si>
  <si>
    <t>Feng</t>
  </si>
  <si>
    <t>Baggi</t>
  </si>
  <si>
    <t>Akmenos</t>
  </si>
  <si>
    <t>Akta</t>
  </si>
  <si>
    <t>Art</t>
  </si>
  <si>
    <r>
      <t>Albe</t>
    </r>
    <r>
      <rPr>
        <sz val="8"/>
        <color rgb="FF141216"/>
        <rFont val="Calibri"/>
        <family val="2"/>
        <scheme val="minor"/>
      </rPr>
      <t>ri</t>
    </r>
    <r>
      <rPr>
        <sz val="8"/>
        <color rgb="FF2D2530"/>
        <rFont val="Calibri"/>
        <family val="2"/>
        <scheme val="minor"/>
      </rPr>
      <t>ch</t>
    </r>
  </si>
  <si>
    <r>
      <t>Art</t>
    </r>
    <r>
      <rPr>
        <sz val="8"/>
        <color rgb="FF141216"/>
        <rFont val="Calibri"/>
        <family val="2"/>
        <scheme val="minor"/>
      </rPr>
      <t>in</t>
    </r>
  </si>
  <si>
    <r>
      <t>Battleham</t>
    </r>
    <r>
      <rPr>
        <sz val="8"/>
        <color rgb="FF141216"/>
        <rFont val="Calibri"/>
        <family val="2"/>
        <scheme val="minor"/>
      </rPr>
      <t>m</t>
    </r>
    <r>
      <rPr>
        <sz val="8"/>
        <color rgb="FF443B4D"/>
        <rFont val="Calibri"/>
        <family val="2"/>
        <scheme val="minor"/>
      </rPr>
      <t>e</t>
    </r>
    <r>
      <rPr>
        <sz val="8"/>
        <color rgb="FF2D2530"/>
        <rFont val="Calibri"/>
        <family val="2"/>
        <scheme val="minor"/>
      </rPr>
      <t>r</t>
    </r>
  </si>
  <si>
    <t>Aelar</t>
  </si>
  <si>
    <r>
      <t>A</t>
    </r>
    <r>
      <rPr>
        <sz val="8"/>
        <color rgb="FF121013"/>
        <rFont val="Calibri"/>
        <family val="2"/>
        <scheme val="minor"/>
      </rPr>
      <t>l</t>
    </r>
    <r>
      <rPr>
        <sz val="8"/>
        <color rgb="FF2E2630"/>
        <rFont val="Calibri"/>
        <family val="2"/>
        <scheme val="minor"/>
      </rPr>
      <t>tha</t>
    </r>
    <r>
      <rPr>
        <sz val="8"/>
        <color rgb="FF453C4D"/>
        <rFont val="Calibri"/>
        <family val="2"/>
        <scheme val="minor"/>
      </rPr>
      <t>e</t>
    </r>
    <r>
      <rPr>
        <sz val="8"/>
        <color rgb="FF2E2630"/>
        <rFont val="Calibri"/>
        <family val="2"/>
        <scheme val="minor"/>
      </rPr>
      <t>a</t>
    </r>
  </si>
  <si>
    <r>
      <t>Amas</t>
    </r>
    <r>
      <rPr>
        <sz val="8"/>
        <color rgb="FF121015"/>
        <rFont val="Calibri"/>
        <family val="2"/>
        <scheme val="minor"/>
      </rPr>
      <t>t</t>
    </r>
    <r>
      <rPr>
        <sz val="8"/>
        <color rgb="FF2F2631"/>
        <rFont val="Calibri"/>
        <family val="2"/>
        <scheme val="minor"/>
      </rPr>
      <t>acia</t>
    </r>
    <r>
      <rPr>
        <sz val="8"/>
        <color rgb="FF564A58"/>
        <rFont val="Calibri"/>
        <family val="2"/>
        <scheme val="minor"/>
      </rPr>
      <t>(S</t>
    </r>
    <r>
      <rPr>
        <sz val="8"/>
        <color rgb="FF172338"/>
        <rFont val="Calibri"/>
        <family val="2"/>
        <scheme val="minor"/>
      </rPr>
      <t>tar</t>
    </r>
    <r>
      <rPr>
        <sz val="8"/>
        <color rgb="FF121015"/>
        <rFont val="Calibri"/>
        <family val="2"/>
        <scheme val="minor"/>
      </rPr>
      <t>fl</t>
    </r>
    <r>
      <rPr>
        <sz val="8"/>
        <color rgb="FF433B48"/>
        <rFont val="Calibri"/>
        <family val="2"/>
        <scheme val="minor"/>
      </rPr>
      <t>ower)</t>
    </r>
  </si>
  <si>
    <r>
      <t>A</t>
    </r>
    <r>
      <rPr>
        <sz val="8"/>
        <color rgb="FF131115"/>
        <rFont val="Calibri"/>
        <family val="2"/>
        <scheme val="minor"/>
      </rPr>
      <t>n</t>
    </r>
    <r>
      <rPr>
        <sz val="8"/>
        <color rgb="FF2F2731"/>
        <rFont val="Calibri"/>
        <family val="2"/>
        <scheme val="minor"/>
      </rPr>
      <t>de</t>
    </r>
    <r>
      <rPr>
        <sz val="8"/>
        <color rgb="FF131115"/>
        <rFont val="Calibri"/>
        <family val="2"/>
        <scheme val="minor"/>
      </rPr>
      <t>r</t>
    </r>
  </si>
  <si>
    <r>
      <t>B</t>
    </r>
    <r>
      <rPr>
        <sz val="8"/>
        <color rgb="FF2F2731"/>
        <rFont val="Calibri"/>
        <family val="2"/>
        <scheme val="minor"/>
      </rPr>
      <t>ree</t>
    </r>
  </si>
  <si>
    <r>
      <t>G</t>
    </r>
    <r>
      <rPr>
        <sz val="8"/>
        <color rgb="FF463C4D"/>
        <rFont val="Calibri"/>
        <family val="2"/>
        <scheme val="minor"/>
      </rPr>
      <t>oo</t>
    </r>
    <r>
      <rPr>
        <sz val="8"/>
        <color rgb="FF2F2731"/>
        <rFont val="Calibri"/>
        <family val="2"/>
        <scheme val="minor"/>
      </rPr>
      <t>dbarrel</t>
    </r>
  </si>
  <si>
    <t>Bardeid</t>
  </si>
  <si>
    <t>Ceidil</t>
  </si>
  <si>
    <t>Dumein</t>
  </si>
  <si>
    <t>Dorn</t>
  </si>
  <si>
    <t>Esvele</t>
  </si>
  <si>
    <t>Buckman</t>
  </si>
  <si>
    <t>Fodel</t>
  </si>
  <si>
    <t>Kara</t>
  </si>
  <si>
    <t>Chernin</t>
  </si>
  <si>
    <t>Blath</t>
  </si>
  <si>
    <t>Betha</t>
  </si>
  <si>
    <t>Helder</t>
  </si>
  <si>
    <t>Bares</t>
  </si>
  <si>
    <t>Chathi</t>
  </si>
  <si>
    <t>Anskuld</t>
  </si>
  <si>
    <t>Faurgar</t>
  </si>
  <si>
    <t>Hulmarra</t>
  </si>
  <si>
    <t>Dyernina</t>
  </si>
  <si>
    <t>Chen</t>
  </si>
  <si>
    <t>Chao</t>
  </si>
  <si>
    <t>Huang</t>
  </si>
  <si>
    <t>Diero</t>
  </si>
  <si>
    <t>Dona</t>
  </si>
  <si>
    <t>Astorio</t>
  </si>
  <si>
    <t>Balok</t>
  </si>
  <si>
    <t>Akordia</t>
  </si>
  <si>
    <t>Abaeir</t>
  </si>
  <si>
    <t>Balasar</t>
  </si>
  <si>
    <t>Biri</t>
  </si>
  <si>
    <t>Daardendrian</t>
  </si>
  <si>
    <t>Alvyn</t>
  </si>
  <si>
    <t>Breena</t>
  </si>
  <si>
    <t>Daergel</t>
  </si>
  <si>
    <t>Ashhearth</t>
  </si>
  <si>
    <t>Gell</t>
  </si>
  <si>
    <t>Emen</t>
  </si>
  <si>
    <t>Amnon</t>
  </si>
  <si>
    <t>Anakis</t>
  </si>
  <si>
    <t>Carrion</t>
  </si>
  <si>
    <r>
      <t>B</t>
    </r>
    <r>
      <rPr>
        <sz val="8"/>
        <color rgb="FF2D2530"/>
        <rFont val="Calibri"/>
        <family val="2"/>
        <scheme val="minor"/>
      </rPr>
      <t>aern</t>
    </r>
  </si>
  <si>
    <r>
      <t>A</t>
    </r>
    <r>
      <rPr>
        <sz val="8"/>
        <color rgb="FF2D2530"/>
        <rFont val="Calibri"/>
        <family val="2"/>
        <scheme val="minor"/>
      </rPr>
      <t>ud</t>
    </r>
    <r>
      <rPr>
        <sz val="8"/>
        <color rgb="FF141216"/>
        <rFont val="Calibri"/>
        <family val="2"/>
        <scheme val="minor"/>
      </rPr>
      <t>h</t>
    </r>
    <r>
      <rPr>
        <sz val="8"/>
        <color rgb="FF2D2530"/>
        <rFont val="Calibri"/>
        <family val="2"/>
        <scheme val="minor"/>
      </rPr>
      <t>ild</t>
    </r>
  </si>
  <si>
    <r>
      <t>B</t>
    </r>
    <r>
      <rPr>
        <sz val="8"/>
        <color rgb="FF2D2530"/>
        <rFont val="Calibri"/>
        <family val="2"/>
        <scheme val="minor"/>
      </rPr>
      <t>raw</t>
    </r>
    <r>
      <rPr>
        <sz val="8"/>
        <color rgb="FF141216"/>
        <rFont val="Calibri"/>
        <family val="2"/>
        <scheme val="minor"/>
      </rPr>
      <t>n</t>
    </r>
    <r>
      <rPr>
        <sz val="8"/>
        <color rgb="FF2D2530"/>
        <rFont val="Calibri"/>
        <family val="2"/>
        <scheme val="minor"/>
      </rPr>
      <t>a</t>
    </r>
    <r>
      <rPr>
        <sz val="8"/>
        <color rgb="FF141216"/>
        <rFont val="Calibri"/>
        <family val="2"/>
        <scheme val="minor"/>
      </rPr>
      <t>n</t>
    </r>
    <r>
      <rPr>
        <sz val="8"/>
        <color rgb="FF2D2530"/>
        <rFont val="Calibri"/>
        <family val="2"/>
        <scheme val="minor"/>
      </rPr>
      <t>vil</t>
    </r>
  </si>
  <si>
    <r>
      <t>Aram</t>
    </r>
    <r>
      <rPr>
        <sz val="8"/>
        <color rgb="FF121013"/>
        <rFont val="Calibri"/>
        <family val="2"/>
        <scheme val="minor"/>
      </rPr>
      <t>il</t>
    </r>
  </si>
  <si>
    <r>
      <t>A</t>
    </r>
    <r>
      <rPr>
        <sz val="8"/>
        <color rgb="FF121013"/>
        <rFont val="Calibri"/>
        <family val="2"/>
        <scheme val="minor"/>
      </rPr>
      <t>n</t>
    </r>
    <r>
      <rPr>
        <sz val="8"/>
        <color rgb="FF2E2630"/>
        <rFont val="Calibri"/>
        <family val="2"/>
        <scheme val="minor"/>
      </rPr>
      <t>a</t>
    </r>
    <r>
      <rPr>
        <sz val="8"/>
        <color rgb="FF453C4D"/>
        <rFont val="Calibri"/>
        <family val="2"/>
        <scheme val="minor"/>
      </rPr>
      <t>s</t>
    </r>
    <r>
      <rPr>
        <sz val="8"/>
        <color rgb="FF2E2630"/>
        <rFont val="Calibri"/>
        <family val="2"/>
        <scheme val="minor"/>
      </rPr>
      <t>trianna</t>
    </r>
    <r>
      <rPr>
        <sz val="8"/>
        <color rgb="FF453C4D"/>
        <rFont val="Calibri"/>
        <family val="2"/>
        <scheme val="minor"/>
      </rPr>
      <t>,</t>
    </r>
  </si>
  <si>
    <r>
      <t>Ga</t>
    </r>
    <r>
      <rPr>
        <sz val="8"/>
        <color rgb="FF121015"/>
        <rFont val="Calibri"/>
        <family val="2"/>
        <scheme val="minor"/>
      </rPr>
      <t>l</t>
    </r>
    <r>
      <rPr>
        <sz val="8"/>
        <color rgb="FF2F2631"/>
        <rFont val="Calibri"/>
        <family val="2"/>
        <scheme val="minor"/>
      </rPr>
      <t>a</t>
    </r>
    <r>
      <rPr>
        <sz val="8"/>
        <color rgb="FF121015"/>
        <rFont val="Calibri"/>
        <family val="2"/>
        <scheme val="minor"/>
      </rPr>
      <t>n</t>
    </r>
    <r>
      <rPr>
        <sz val="8"/>
        <color rgb="FF433B48"/>
        <rFont val="Calibri"/>
        <family val="2"/>
        <scheme val="minor"/>
      </rPr>
      <t>odel</t>
    </r>
    <r>
      <rPr>
        <sz val="8"/>
        <color rgb="FF564A58"/>
        <rFont val="Calibri"/>
        <family val="2"/>
        <scheme val="minor"/>
      </rPr>
      <t>(</t>
    </r>
    <r>
      <rPr>
        <sz val="8"/>
        <color rgb="FF2F2631"/>
        <rFont val="Calibri"/>
        <family val="2"/>
        <scheme val="minor"/>
      </rPr>
      <t>Moonwhispe</t>
    </r>
    <r>
      <rPr>
        <sz val="8"/>
        <color rgb="FF121015"/>
        <rFont val="Calibri"/>
        <family val="2"/>
        <scheme val="minor"/>
      </rPr>
      <t>r</t>
    </r>
    <r>
      <rPr>
        <sz val="8"/>
        <color rgb="FF564A58"/>
        <rFont val="Calibri"/>
        <family val="2"/>
        <scheme val="minor"/>
      </rPr>
      <t>)</t>
    </r>
  </si>
  <si>
    <t>Cade</t>
  </si>
  <si>
    <r>
      <t>Ca</t>
    </r>
    <r>
      <rPr>
        <sz val="8"/>
        <color rgb="FF131115"/>
        <rFont val="Calibri"/>
        <family val="2"/>
        <scheme val="minor"/>
      </rPr>
      <t>lli</t>
    </r>
    <r>
      <rPr>
        <sz val="8"/>
        <color rgb="FF2F2731"/>
        <rFont val="Calibri"/>
        <family val="2"/>
        <scheme val="minor"/>
      </rPr>
      <t>e</t>
    </r>
  </si>
  <si>
    <r>
      <t>Greenbo</t>
    </r>
    <r>
      <rPr>
        <sz val="8"/>
        <color rgb="FF131115"/>
        <rFont val="Calibri"/>
        <family val="2"/>
        <scheme val="minor"/>
      </rPr>
      <t>tt</t>
    </r>
    <r>
      <rPr>
        <sz val="8"/>
        <color rgb="FF2F2731"/>
        <rFont val="Calibri"/>
        <family val="2"/>
        <scheme val="minor"/>
      </rPr>
      <t>le</t>
    </r>
  </si>
  <si>
    <t>Haseid</t>
  </si>
  <si>
    <t>Hama</t>
  </si>
  <si>
    <t>Jassan</t>
  </si>
  <si>
    <t>Evendur</t>
  </si>
  <si>
    <t>Jhessail</t>
  </si>
  <si>
    <t>Dundragon</t>
  </si>
  <si>
    <t>Glar</t>
  </si>
  <si>
    <t>Katernin</t>
  </si>
  <si>
    <t>Dotsk</t>
  </si>
  <si>
    <t>Bran</t>
  </si>
  <si>
    <t>Cefrey</t>
  </si>
  <si>
    <t>Hornraven</t>
  </si>
  <si>
    <t>Ehput-Ki</t>
  </si>
  <si>
    <t>Nephis</t>
  </si>
  <si>
    <t>Fezim</t>
  </si>
  <si>
    <t>Jandar</t>
  </si>
  <si>
    <t>Immith</t>
  </si>
  <si>
    <t>Iltazyara</t>
  </si>
  <si>
    <t>Chi</t>
  </si>
  <si>
    <t>Jia</t>
  </si>
  <si>
    <t>Kao</t>
  </si>
  <si>
    <t>Marcon</t>
  </si>
  <si>
    <t>Faila</t>
  </si>
  <si>
    <t>Calabra</t>
  </si>
  <si>
    <t>Baragh</t>
  </si>
  <si>
    <t>Alaunirra</t>
  </si>
  <si>
    <t>Abbylan</t>
  </si>
  <si>
    <t>Bharash</t>
  </si>
  <si>
    <t>Daar</t>
  </si>
  <si>
    <t>Delmirev</t>
  </si>
  <si>
    <t>Boddynock</t>
  </si>
  <si>
    <t>Caramip</t>
  </si>
  <si>
    <t>Folkor</t>
  </si>
  <si>
    <t>Badger</t>
  </si>
  <si>
    <t>Henk</t>
  </si>
  <si>
    <t>Engong</t>
  </si>
  <si>
    <t>Barakas</t>
  </si>
  <si>
    <t>Bryseis</t>
  </si>
  <si>
    <t>Chant</t>
  </si>
  <si>
    <r>
      <t>Bare</t>
    </r>
    <r>
      <rPr>
        <sz val="8"/>
        <color rgb="FF141216"/>
        <rFont val="Calibri"/>
        <family val="2"/>
        <scheme val="minor"/>
      </rPr>
      <t>n</t>
    </r>
    <r>
      <rPr>
        <sz val="8"/>
        <color rgb="FF2D2530"/>
        <rFont val="Calibri"/>
        <family val="2"/>
        <scheme val="minor"/>
      </rPr>
      <t>dd</t>
    </r>
  </si>
  <si>
    <r>
      <t>Bardr</t>
    </r>
    <r>
      <rPr>
        <sz val="8"/>
        <color rgb="FF443B4D"/>
        <rFont val="Calibri"/>
        <family val="2"/>
        <scheme val="minor"/>
      </rPr>
      <t>y</t>
    </r>
    <r>
      <rPr>
        <sz val="8"/>
        <color rgb="FF2D2530"/>
        <rFont val="Calibri"/>
        <family val="2"/>
        <scheme val="minor"/>
      </rPr>
      <t>n</t>
    </r>
  </si>
  <si>
    <r>
      <t>Da</t>
    </r>
    <r>
      <rPr>
        <sz val="8"/>
        <color rgb="FF141216"/>
        <rFont val="Calibri"/>
        <family val="2"/>
        <scheme val="minor"/>
      </rPr>
      <t>n</t>
    </r>
    <r>
      <rPr>
        <sz val="8"/>
        <color rgb="FF2D2530"/>
        <rFont val="Calibri"/>
        <family val="2"/>
        <scheme val="minor"/>
      </rPr>
      <t>k</t>
    </r>
    <r>
      <rPr>
        <sz val="8"/>
        <color rgb="FF141216"/>
        <rFont val="Calibri"/>
        <family val="2"/>
        <scheme val="minor"/>
      </rPr>
      <t>il</t>
    </r>
  </si>
  <si>
    <r>
      <t>Aran</t>
    </r>
    <r>
      <rPr>
        <sz val="8"/>
        <color rgb="FF121013"/>
        <rFont val="Calibri"/>
        <family val="2"/>
        <scheme val="minor"/>
      </rPr>
      <t>ni</t>
    </r>
    <r>
      <rPr>
        <sz val="8"/>
        <color rgb="FF453C4D"/>
        <rFont val="Calibri"/>
        <family val="2"/>
        <scheme val="minor"/>
      </rPr>
      <t>s</t>
    </r>
  </si>
  <si>
    <r>
      <t>A</t>
    </r>
    <r>
      <rPr>
        <sz val="8"/>
        <color rgb="FF121013"/>
        <rFont val="Calibri"/>
        <family val="2"/>
        <scheme val="minor"/>
      </rPr>
      <t>n</t>
    </r>
    <r>
      <rPr>
        <sz val="8"/>
        <color rgb="FF2E2630"/>
        <rFont val="Calibri"/>
        <family val="2"/>
        <scheme val="minor"/>
      </rPr>
      <t>dra</t>
    </r>
    <r>
      <rPr>
        <sz val="8"/>
        <color rgb="FF453C4D"/>
        <rFont val="Calibri"/>
        <family val="2"/>
        <scheme val="minor"/>
      </rPr>
      <t>s</t>
    </r>
    <r>
      <rPr>
        <sz val="8"/>
        <color rgb="FF121013"/>
        <rFont val="Calibri"/>
        <family val="2"/>
        <scheme val="minor"/>
      </rPr>
      <t>t</t>
    </r>
    <r>
      <rPr>
        <sz val="8"/>
        <color rgb="FF2E2630"/>
        <rFont val="Calibri"/>
        <family val="2"/>
        <scheme val="minor"/>
      </rPr>
      <t>e</t>
    </r>
  </si>
  <si>
    <r>
      <t>H</t>
    </r>
    <r>
      <rPr>
        <sz val="8"/>
        <color rgb="FF433B48"/>
        <rFont val="Calibri"/>
        <family val="2"/>
        <scheme val="minor"/>
      </rPr>
      <t>oli</t>
    </r>
    <r>
      <rPr>
        <sz val="8"/>
        <color rgb="FF121015"/>
        <rFont val="Calibri"/>
        <family val="2"/>
        <scheme val="minor"/>
      </rPr>
      <t>mi</t>
    </r>
    <r>
      <rPr>
        <sz val="8"/>
        <color rgb="FF433B48"/>
        <rFont val="Calibri"/>
        <family val="2"/>
        <scheme val="minor"/>
      </rPr>
      <t>o</t>
    </r>
    <r>
      <rPr>
        <sz val="8"/>
        <color rgb="FF121015"/>
        <rFont val="Calibri"/>
        <family val="2"/>
        <scheme val="minor"/>
      </rPr>
      <t>n</t>
    </r>
    <r>
      <rPr>
        <sz val="8"/>
        <color rgb="FF2F2631"/>
        <rFont val="Calibri"/>
        <family val="2"/>
        <scheme val="minor"/>
      </rPr>
      <t>(</t>
    </r>
    <r>
      <rPr>
        <sz val="8"/>
        <color rgb="FF121015"/>
        <rFont val="Calibri"/>
        <family val="2"/>
        <scheme val="minor"/>
      </rPr>
      <t>D</t>
    </r>
    <r>
      <rPr>
        <sz val="8"/>
        <color rgb="FF2F2631"/>
        <rFont val="Calibri"/>
        <family val="2"/>
        <scheme val="minor"/>
      </rPr>
      <t>ia</t>
    </r>
    <r>
      <rPr>
        <sz val="8"/>
        <color rgb="FF121015"/>
        <rFont val="Calibri"/>
        <family val="2"/>
        <scheme val="minor"/>
      </rPr>
      <t>m</t>
    </r>
    <r>
      <rPr>
        <sz val="8"/>
        <color rgb="FF433B48"/>
        <rFont val="Calibri"/>
        <family val="2"/>
        <scheme val="minor"/>
      </rPr>
      <t>o</t>
    </r>
    <r>
      <rPr>
        <sz val="8"/>
        <color rgb="FF121015"/>
        <rFont val="Calibri"/>
        <family val="2"/>
        <scheme val="minor"/>
      </rPr>
      <t>n</t>
    </r>
    <r>
      <rPr>
        <sz val="8"/>
        <color rgb="FF2F2631"/>
        <rFont val="Calibri"/>
        <family val="2"/>
        <scheme val="minor"/>
      </rPr>
      <t>ddew</t>
    </r>
    <r>
      <rPr>
        <sz val="8"/>
        <color rgb="FF564A58"/>
        <rFont val="Calibri"/>
        <family val="2"/>
        <scheme val="minor"/>
      </rPr>
      <t>)</t>
    </r>
  </si>
  <si>
    <t>Corrin</t>
  </si>
  <si>
    <r>
      <t>C</t>
    </r>
    <r>
      <rPr>
        <sz val="8"/>
        <color rgb="FF463C4D"/>
        <rFont val="Calibri"/>
        <family val="2"/>
        <scheme val="minor"/>
      </rPr>
      <t>o</t>
    </r>
    <r>
      <rPr>
        <sz val="8"/>
        <color rgb="FF131115"/>
        <rFont val="Calibri"/>
        <family val="2"/>
        <scheme val="minor"/>
      </rPr>
      <t>r</t>
    </r>
    <r>
      <rPr>
        <sz val="8"/>
        <color rgb="FF2F2731"/>
        <rFont val="Calibri"/>
        <family val="2"/>
        <scheme val="minor"/>
      </rPr>
      <t>a</t>
    </r>
  </si>
  <si>
    <r>
      <t>H</t>
    </r>
    <r>
      <rPr>
        <sz val="8"/>
        <color rgb="FF2F2731"/>
        <rFont val="Calibri"/>
        <family val="2"/>
        <scheme val="minor"/>
      </rPr>
      <t>i</t>
    </r>
    <r>
      <rPr>
        <sz val="8"/>
        <color rgb="FF463C4D"/>
        <rFont val="Calibri"/>
        <family val="2"/>
        <scheme val="minor"/>
      </rPr>
      <t>g</t>
    </r>
    <r>
      <rPr>
        <sz val="8"/>
        <color rgb="FF2F2731"/>
        <rFont val="Calibri"/>
        <family val="2"/>
        <scheme val="minor"/>
      </rPr>
      <t>h</t>
    </r>
    <r>
      <rPr>
        <sz val="8"/>
        <color rgb="FF131115"/>
        <rFont val="Calibri"/>
        <family val="2"/>
        <scheme val="minor"/>
      </rPr>
      <t>-h</t>
    </r>
    <r>
      <rPr>
        <sz val="8"/>
        <color rgb="FF2F2731"/>
        <rFont val="Calibri"/>
        <family val="2"/>
        <scheme val="minor"/>
      </rPr>
      <t>ill</t>
    </r>
  </si>
  <si>
    <t>Khemed</t>
  </si>
  <si>
    <t>Jasmal</t>
  </si>
  <si>
    <t>Khalid</t>
  </si>
  <si>
    <t>Gorstag</t>
  </si>
  <si>
    <t>Kerri</t>
  </si>
  <si>
    <t>Evenwood</t>
  </si>
  <si>
    <t>Grigor</t>
  </si>
  <si>
    <t>Mara</t>
  </si>
  <si>
    <t>Kulenov</t>
  </si>
  <si>
    <t>Frath</t>
  </si>
  <si>
    <t>Kethra</t>
  </si>
  <si>
    <t>Lackman</t>
  </si>
  <si>
    <t>Kethoth</t>
  </si>
  <si>
    <t>Nulara</t>
  </si>
  <si>
    <t>Hahpet</t>
  </si>
  <si>
    <t>Kanithar</t>
  </si>
  <si>
    <t>Imzel</t>
  </si>
  <si>
    <t>Murnyethara</t>
  </si>
  <si>
    <t>Fai</t>
  </si>
  <si>
    <t>Lei</t>
  </si>
  <si>
    <t>Kung</t>
  </si>
  <si>
    <t>Pieron</t>
  </si>
  <si>
    <t>Jalana</t>
  </si>
  <si>
    <t>Domine</t>
  </si>
  <si>
    <t>Belaern</t>
  </si>
  <si>
    <t>Alystin</t>
  </si>
  <si>
    <t>Argith</t>
  </si>
  <si>
    <t>Donaar</t>
  </si>
  <si>
    <t>Farideh</t>
  </si>
  <si>
    <t>Drachedandion</t>
  </si>
  <si>
    <t>Brocc</t>
  </si>
  <si>
    <t>Carlin</t>
  </si>
  <si>
    <t>Garrick</t>
  </si>
  <si>
    <t>Cloak</t>
  </si>
  <si>
    <t>Holg</t>
  </si>
  <si>
    <t>Kansif</t>
  </si>
  <si>
    <t>Damakos</t>
  </si>
  <si>
    <t>Criella</t>
  </si>
  <si>
    <t>Creed</t>
  </si>
  <si>
    <r>
      <t>B</t>
    </r>
    <r>
      <rPr>
        <sz val="8"/>
        <color rgb="FF141216"/>
        <rFont val="Calibri"/>
        <family val="2"/>
        <scheme val="minor"/>
      </rPr>
      <t>r</t>
    </r>
    <r>
      <rPr>
        <sz val="8"/>
        <color rgb="FF2D2530"/>
        <rFont val="Calibri"/>
        <family val="2"/>
        <scheme val="minor"/>
      </rPr>
      <t>o</t>
    </r>
    <r>
      <rPr>
        <sz val="8"/>
        <color rgb="FF141216"/>
        <rFont val="Calibri"/>
        <family val="2"/>
        <scheme val="minor"/>
      </rPr>
      <t>u</t>
    </r>
    <r>
      <rPr>
        <sz val="8"/>
        <color rgb="FF2D2530"/>
        <rFont val="Calibri"/>
        <family val="2"/>
        <scheme val="minor"/>
      </rPr>
      <t>or</t>
    </r>
  </si>
  <si>
    <r>
      <t>Da</t>
    </r>
    <r>
      <rPr>
        <sz val="8"/>
        <color rgb="FF443B4D"/>
        <rFont val="Calibri"/>
        <family val="2"/>
        <scheme val="minor"/>
      </rPr>
      <t>g</t>
    </r>
    <r>
      <rPr>
        <sz val="8"/>
        <color rgb="FF2D2530"/>
        <rFont val="Calibri"/>
        <family val="2"/>
        <scheme val="minor"/>
      </rPr>
      <t>nal</t>
    </r>
  </si>
  <si>
    <r>
      <t>F</t>
    </r>
    <r>
      <rPr>
        <sz val="8"/>
        <color rgb="FF2D2530"/>
        <rFont val="Calibri"/>
        <family val="2"/>
        <scheme val="minor"/>
      </rPr>
      <t>iref</t>
    </r>
    <r>
      <rPr>
        <sz val="8"/>
        <color rgb="FF443B4D"/>
        <rFont val="Calibri"/>
        <family val="2"/>
        <scheme val="minor"/>
      </rPr>
      <t>o</t>
    </r>
    <r>
      <rPr>
        <sz val="8"/>
        <color rgb="FF2D2530"/>
        <rFont val="Calibri"/>
        <family val="2"/>
        <scheme val="minor"/>
      </rPr>
      <t>rge</t>
    </r>
  </si>
  <si>
    <r>
      <t>Au</t>
    </r>
    <r>
      <rPr>
        <sz val="8"/>
        <color rgb="FF453C4D"/>
        <rFont val="Calibri"/>
        <family val="2"/>
        <scheme val="minor"/>
      </rPr>
      <t>s</t>
    </r>
    <r>
      <rPr>
        <sz val="8"/>
        <color rgb="FF121013"/>
        <rFont val="Calibri"/>
        <family val="2"/>
        <scheme val="minor"/>
      </rPr>
      <t>t</t>
    </r>
  </si>
  <si>
    <r>
      <t>A</t>
    </r>
    <r>
      <rPr>
        <sz val="8"/>
        <color rgb="FF121013"/>
        <rFont val="Calibri"/>
        <family val="2"/>
        <scheme val="minor"/>
      </rPr>
      <t>ntin</t>
    </r>
    <r>
      <rPr>
        <sz val="8"/>
        <color rgb="FF2E2630"/>
        <rFont val="Calibri"/>
        <family val="2"/>
        <scheme val="minor"/>
      </rPr>
      <t>ua</t>
    </r>
  </si>
  <si>
    <r>
      <t>Ilphel</t>
    </r>
    <r>
      <rPr>
        <sz val="8"/>
        <color rgb="FF121015"/>
        <rFont val="Calibri"/>
        <family val="2"/>
        <scheme val="minor"/>
      </rPr>
      <t>k</t>
    </r>
    <r>
      <rPr>
        <sz val="8"/>
        <color rgb="FF2F2631"/>
        <rFont val="Calibri"/>
        <family val="2"/>
        <scheme val="minor"/>
      </rPr>
      <t>iir</t>
    </r>
    <r>
      <rPr>
        <sz val="8"/>
        <color rgb="FF433B48"/>
        <rFont val="Calibri"/>
        <family val="2"/>
        <scheme val="minor"/>
      </rPr>
      <t>(Gem</t>
    </r>
    <r>
      <rPr>
        <sz val="8"/>
        <color rgb="FF2F2631"/>
        <rFont val="Calibri"/>
        <family val="2"/>
        <scheme val="minor"/>
      </rPr>
      <t>b</t>
    </r>
    <r>
      <rPr>
        <sz val="8"/>
        <color rgb="FF121015"/>
        <rFont val="Calibri"/>
        <family val="2"/>
        <scheme val="minor"/>
      </rPr>
      <t>l</t>
    </r>
    <r>
      <rPr>
        <sz val="8"/>
        <color rgb="FF433B48"/>
        <rFont val="Calibri"/>
        <family val="2"/>
        <scheme val="minor"/>
      </rPr>
      <t>ossom)</t>
    </r>
  </si>
  <si>
    <r>
      <t>E</t>
    </r>
    <r>
      <rPr>
        <sz val="8"/>
        <color rgb="FF2F2731"/>
        <rFont val="Calibri"/>
        <family val="2"/>
        <scheme val="minor"/>
      </rPr>
      <t>ldon</t>
    </r>
  </si>
  <si>
    <r>
      <t>E</t>
    </r>
    <r>
      <rPr>
        <sz val="8"/>
        <color rgb="FF131115"/>
        <rFont val="Calibri"/>
        <family val="2"/>
        <scheme val="minor"/>
      </rPr>
      <t>u</t>
    </r>
    <r>
      <rPr>
        <sz val="8"/>
        <color rgb="FF2F2731"/>
        <rFont val="Calibri"/>
        <family val="2"/>
        <scheme val="minor"/>
      </rPr>
      <t>p</t>
    </r>
    <r>
      <rPr>
        <sz val="8"/>
        <color rgb="FF131115"/>
        <rFont val="Calibri"/>
        <family val="2"/>
        <scheme val="minor"/>
      </rPr>
      <t>h</t>
    </r>
    <r>
      <rPr>
        <sz val="8"/>
        <color rgb="FF2F2731"/>
        <rFont val="Calibri"/>
        <family val="2"/>
        <scheme val="minor"/>
      </rPr>
      <t>emia</t>
    </r>
  </si>
  <si>
    <r>
      <t>H</t>
    </r>
    <r>
      <rPr>
        <sz val="8"/>
        <color rgb="FF2F2731"/>
        <rFont val="Calibri"/>
        <family val="2"/>
        <scheme val="minor"/>
      </rPr>
      <t>illtop</t>
    </r>
    <r>
      <rPr>
        <sz val="8"/>
        <color rgb="FF131115"/>
        <rFont val="Calibri"/>
        <family val="2"/>
        <scheme val="minor"/>
      </rPr>
      <t>pl</t>
    </r>
    <r>
      <rPr>
        <sz val="8"/>
        <color rgb="FF2F2731"/>
        <rFont val="Calibri"/>
        <family val="2"/>
        <scheme val="minor"/>
      </rPr>
      <t>e</t>
    </r>
  </si>
  <si>
    <t>Mehmen</t>
  </si>
  <si>
    <t>Melil</t>
  </si>
  <si>
    <t>Mostana</t>
  </si>
  <si>
    <t>Grim</t>
  </si>
  <si>
    <t>Lureene</t>
  </si>
  <si>
    <t>Greycastle</t>
  </si>
  <si>
    <t>Igan</t>
  </si>
  <si>
    <t>Natali</t>
  </si>
  <si>
    <t>Marsk</t>
  </si>
  <si>
    <t>Geth</t>
  </si>
  <si>
    <t>Stormwind</t>
  </si>
  <si>
    <t>Mumed</t>
  </si>
  <si>
    <t>Murithi</t>
  </si>
  <si>
    <t>Nathandem</t>
  </si>
  <si>
    <t>Madislak</t>
  </si>
  <si>
    <t>navarra</t>
  </si>
  <si>
    <t>Stayanoga</t>
  </si>
  <si>
    <t>Jiant</t>
  </si>
  <si>
    <t>Mei</t>
  </si>
  <si>
    <t>Lao</t>
  </si>
  <si>
    <t>Rimardo</t>
  </si>
  <si>
    <t>Luisa</t>
  </si>
  <si>
    <t>Falvone</t>
  </si>
  <si>
    <t>Belgos</t>
  </si>
  <si>
    <t>Amalica</t>
  </si>
  <si>
    <t>Baenre</t>
  </si>
  <si>
    <t>Ghesh</t>
  </si>
  <si>
    <t>Harann</t>
  </si>
  <si>
    <t>Fenkenkabradon</t>
  </si>
  <si>
    <t>Burgell</t>
  </si>
  <si>
    <t>Donella</t>
  </si>
  <si>
    <t>Nackle</t>
  </si>
  <si>
    <t>Doublelock</t>
  </si>
  <si>
    <t>Imsh</t>
  </si>
  <si>
    <t>Myev</t>
  </si>
  <si>
    <t>Ekemon</t>
  </si>
  <si>
    <t>Damaia</t>
  </si>
  <si>
    <t>Despair</t>
  </si>
  <si>
    <r>
      <t>B</t>
    </r>
    <r>
      <rPr>
        <sz val="8"/>
        <color rgb="FF141216"/>
        <rFont val="Calibri"/>
        <family val="2"/>
        <scheme val="minor"/>
      </rPr>
      <t>r</t>
    </r>
    <r>
      <rPr>
        <sz val="8"/>
        <color rgb="FF2D2530"/>
        <rFont val="Calibri"/>
        <family val="2"/>
        <scheme val="minor"/>
      </rPr>
      <t>ue</t>
    </r>
    <r>
      <rPr>
        <sz val="8"/>
        <color rgb="FF141216"/>
        <rFont val="Calibri"/>
        <family val="2"/>
        <scheme val="minor"/>
      </rPr>
      <t>n</t>
    </r>
    <r>
      <rPr>
        <sz val="8"/>
        <color rgb="FF443B4D"/>
        <rFont val="Calibri"/>
        <family val="2"/>
        <scheme val="minor"/>
      </rPr>
      <t>o</t>
    </r>
    <r>
      <rPr>
        <sz val="8"/>
        <color rgb="FF141216"/>
        <rFont val="Calibri"/>
        <family val="2"/>
        <scheme val="minor"/>
      </rPr>
      <t>r</t>
    </r>
  </si>
  <si>
    <r>
      <t>D</t>
    </r>
    <r>
      <rPr>
        <sz val="8"/>
        <color rgb="FF2D2530"/>
        <rFont val="Calibri"/>
        <family val="2"/>
        <scheme val="minor"/>
      </rPr>
      <t>ie</t>
    </r>
    <r>
      <rPr>
        <sz val="8"/>
        <color rgb="FF5E4D57"/>
        <rFont val="Calibri"/>
        <family val="2"/>
        <scheme val="minor"/>
      </rPr>
      <t>s</t>
    </r>
    <r>
      <rPr>
        <sz val="8"/>
        <color rgb="FF2D2530"/>
        <rFont val="Calibri"/>
        <family val="2"/>
        <scheme val="minor"/>
      </rPr>
      <t>a</t>
    </r>
  </si>
  <si>
    <r>
      <t>Fro</t>
    </r>
    <r>
      <rPr>
        <sz val="8"/>
        <color rgb="FF443B4D"/>
        <rFont val="Calibri"/>
        <family val="2"/>
        <scheme val="minor"/>
      </rPr>
      <t>s</t>
    </r>
    <r>
      <rPr>
        <sz val="8"/>
        <color rgb="FF2D2530"/>
        <rFont val="Calibri"/>
        <family val="2"/>
        <scheme val="minor"/>
      </rPr>
      <t>tbeard</t>
    </r>
  </si>
  <si>
    <r>
      <t>B</t>
    </r>
    <r>
      <rPr>
        <sz val="8"/>
        <color rgb="FF2E2630"/>
        <rFont val="Calibri"/>
        <family val="2"/>
        <scheme val="minor"/>
      </rPr>
      <t>eiro</t>
    </r>
  </si>
  <si>
    <r>
      <t>B</t>
    </r>
    <r>
      <rPr>
        <sz val="8"/>
        <color rgb="FF453C4D"/>
        <rFont val="Calibri"/>
        <family val="2"/>
        <scheme val="minor"/>
      </rPr>
      <t>e</t>
    </r>
    <r>
      <rPr>
        <sz val="8"/>
        <color rgb="FF121013"/>
        <rFont val="Calibri"/>
        <family val="2"/>
        <scheme val="minor"/>
      </rPr>
      <t>t</t>
    </r>
    <r>
      <rPr>
        <sz val="8"/>
        <color rgb="FF2E2630"/>
        <rFont val="Calibri"/>
        <family val="2"/>
        <scheme val="minor"/>
      </rPr>
      <t>h</t>
    </r>
    <r>
      <rPr>
        <sz val="8"/>
        <color rgb="FF121013"/>
        <rFont val="Calibri"/>
        <family val="2"/>
        <scheme val="minor"/>
      </rPr>
      <t>r</t>
    </r>
    <r>
      <rPr>
        <sz val="8"/>
        <color rgb="FF2E2630"/>
        <rFont val="Calibri"/>
        <family val="2"/>
        <scheme val="minor"/>
      </rPr>
      <t>y</t>
    </r>
    <r>
      <rPr>
        <sz val="8"/>
        <color rgb="FF121013"/>
        <rFont val="Calibri"/>
        <family val="2"/>
        <scheme val="minor"/>
      </rPr>
      <t>n</t>
    </r>
    <r>
      <rPr>
        <sz val="8"/>
        <color rgb="FF2E2630"/>
        <rFont val="Calibri"/>
        <family val="2"/>
        <scheme val="minor"/>
      </rPr>
      <t>na</t>
    </r>
  </si>
  <si>
    <r>
      <t>Li</t>
    </r>
    <r>
      <rPr>
        <sz val="8"/>
        <color rgb="FF2F2631"/>
        <rFont val="Calibri"/>
        <family val="2"/>
        <scheme val="minor"/>
      </rPr>
      <t>adon(S</t>
    </r>
    <r>
      <rPr>
        <sz val="8"/>
        <color rgb="FF121015"/>
        <rFont val="Calibri"/>
        <family val="2"/>
        <scheme val="minor"/>
      </rPr>
      <t>il</t>
    </r>
    <r>
      <rPr>
        <sz val="8"/>
        <color rgb="FF433B48"/>
        <rFont val="Calibri"/>
        <family val="2"/>
        <scheme val="minor"/>
      </rPr>
      <t>ve</t>
    </r>
    <r>
      <rPr>
        <sz val="8"/>
        <color rgb="FF121015"/>
        <rFont val="Calibri"/>
        <family val="2"/>
        <scheme val="minor"/>
      </rPr>
      <t>rf</t>
    </r>
    <r>
      <rPr>
        <sz val="8"/>
        <color rgb="FF2F2631"/>
        <rFont val="Calibri"/>
        <family val="2"/>
        <scheme val="minor"/>
      </rPr>
      <t>rond)</t>
    </r>
  </si>
  <si>
    <r>
      <t>E</t>
    </r>
    <r>
      <rPr>
        <sz val="8"/>
        <color rgb="FF2F2731"/>
        <rFont val="Calibri"/>
        <family val="2"/>
        <scheme val="minor"/>
      </rPr>
      <t>rr</t>
    </r>
    <r>
      <rPr>
        <sz val="8"/>
        <color rgb="FF463C4D"/>
        <rFont val="Calibri"/>
        <family val="2"/>
        <scheme val="minor"/>
      </rPr>
      <t>ic</t>
    </r>
    <r>
      <rPr>
        <sz val="8"/>
        <color rgb="FF2F2731"/>
        <rFont val="Calibri"/>
        <family val="2"/>
        <scheme val="minor"/>
      </rPr>
      <t>h,</t>
    </r>
  </si>
  <si>
    <r>
      <t>Jilli</t>
    </r>
    <r>
      <rPr>
        <sz val="8"/>
        <color rgb="FF2F2731"/>
        <rFont val="Calibri"/>
        <family val="2"/>
        <scheme val="minor"/>
      </rPr>
      <t>a</t>
    </r>
    <r>
      <rPr>
        <sz val="8"/>
        <color rgb="FF131115"/>
        <rFont val="Calibri"/>
        <family val="2"/>
        <scheme val="minor"/>
      </rPr>
      <t>n</t>
    </r>
  </si>
  <si>
    <r>
      <t>L</t>
    </r>
    <r>
      <rPr>
        <sz val="8"/>
        <color rgb="FF2F2731"/>
        <rFont val="Calibri"/>
        <family val="2"/>
        <scheme val="minor"/>
      </rPr>
      <t>ea</t>
    </r>
    <r>
      <rPr>
        <sz val="8"/>
        <color rgb="FF463C4D"/>
        <rFont val="Calibri"/>
        <family val="2"/>
        <scheme val="minor"/>
      </rPr>
      <t>g</t>
    </r>
    <r>
      <rPr>
        <sz val="8"/>
        <color rgb="FF2F2731"/>
        <rFont val="Calibri"/>
        <family val="2"/>
        <scheme val="minor"/>
      </rPr>
      <t>a</t>
    </r>
    <r>
      <rPr>
        <sz val="8"/>
        <color rgb="FF131115"/>
        <rFont val="Calibri"/>
        <family val="2"/>
        <scheme val="minor"/>
      </rPr>
      <t>ll</t>
    </r>
    <r>
      <rPr>
        <sz val="8"/>
        <color rgb="FF463C4D"/>
        <rFont val="Calibri"/>
        <family val="2"/>
        <scheme val="minor"/>
      </rPr>
      <t>o</t>
    </r>
    <r>
      <rPr>
        <sz val="8"/>
        <color rgb="FF2F2731"/>
        <rFont val="Calibri"/>
        <family val="2"/>
        <scheme val="minor"/>
      </rPr>
      <t>w</t>
    </r>
  </si>
  <si>
    <t>Sudeiman</t>
  </si>
  <si>
    <t>Seipora</t>
  </si>
  <si>
    <t>Pashar</t>
  </si>
  <si>
    <t>Helm</t>
  </si>
  <si>
    <t>Mire</t>
  </si>
  <si>
    <t>Tallstag</t>
  </si>
  <si>
    <t>Ivor</t>
  </si>
  <si>
    <t>Olma</t>
  </si>
  <si>
    <t>Nemetsk</t>
  </si>
  <si>
    <t>Lander</t>
  </si>
  <si>
    <t>Olga</t>
  </si>
  <si>
    <t>Windriver</t>
  </si>
  <si>
    <t>Ramas</t>
  </si>
  <si>
    <t>Sefris</t>
  </si>
  <si>
    <t>Sepret</t>
  </si>
  <si>
    <t>Ralmevik</t>
  </si>
  <si>
    <t>Shevarra</t>
  </si>
  <si>
    <t>Ulmokina</t>
  </si>
  <si>
    <t>Jun</t>
  </si>
  <si>
    <t>Qiao</t>
  </si>
  <si>
    <t>Ling</t>
  </si>
  <si>
    <t>Romero</t>
  </si>
  <si>
    <t>Marta</t>
  </si>
  <si>
    <t>Marivaldi</t>
  </si>
  <si>
    <t>Bemril</t>
  </si>
  <si>
    <t>Angaste</t>
  </si>
  <si>
    <t>Beltaulur</t>
  </si>
  <si>
    <t>Heskan</t>
  </si>
  <si>
    <t>Havilar</t>
  </si>
  <si>
    <t>Kepeshkmolik</t>
  </si>
  <si>
    <t>Dimble</t>
  </si>
  <si>
    <t>Duvamil</t>
  </si>
  <si>
    <t>Murnig</t>
  </si>
  <si>
    <t>Filchbatter</t>
  </si>
  <si>
    <t>Keth</t>
  </si>
  <si>
    <t>Neega</t>
  </si>
  <si>
    <t>Iados</t>
  </si>
  <si>
    <t>Ea</t>
  </si>
  <si>
    <t>Excellence</t>
  </si>
  <si>
    <r>
      <t>D</t>
    </r>
    <r>
      <rPr>
        <sz val="8"/>
        <color rgb="FF2D2530"/>
        <rFont val="Calibri"/>
        <family val="2"/>
        <scheme val="minor"/>
      </rPr>
      <t>ain</t>
    </r>
  </si>
  <si>
    <r>
      <t>E</t>
    </r>
    <r>
      <rPr>
        <sz val="8"/>
        <color rgb="FF141216"/>
        <rFont val="Calibri"/>
        <family val="2"/>
        <scheme val="minor"/>
      </rPr>
      <t>l</t>
    </r>
    <r>
      <rPr>
        <sz val="8"/>
        <color rgb="FF2D2530"/>
        <rFont val="Calibri"/>
        <family val="2"/>
        <scheme val="minor"/>
      </rPr>
      <t>de</t>
    </r>
    <r>
      <rPr>
        <sz val="8"/>
        <color rgb="FF141216"/>
        <rFont val="Calibri"/>
        <family val="2"/>
        <scheme val="minor"/>
      </rPr>
      <t>th</t>
    </r>
  </si>
  <si>
    <r>
      <t>Goru</t>
    </r>
    <r>
      <rPr>
        <sz val="8"/>
        <color rgb="FF141216"/>
        <rFont val="Calibri"/>
        <family val="2"/>
        <scheme val="minor"/>
      </rPr>
      <t>n</t>
    </r>
    <r>
      <rPr>
        <sz val="8"/>
        <color rgb="FF2D2530"/>
        <rFont val="Calibri"/>
        <family val="2"/>
        <scheme val="minor"/>
      </rPr>
      <t>n</t>
    </r>
  </si>
  <si>
    <r>
      <t>B</t>
    </r>
    <r>
      <rPr>
        <sz val="8"/>
        <color rgb="FF2E2630"/>
        <rFont val="Calibri"/>
        <family val="2"/>
        <scheme val="minor"/>
      </rPr>
      <t>errian</t>
    </r>
  </si>
  <si>
    <r>
      <t>Bi</t>
    </r>
    <r>
      <rPr>
        <sz val="8"/>
        <color rgb="FF121013"/>
        <rFont val="Calibri"/>
        <family val="2"/>
        <scheme val="minor"/>
      </rPr>
      <t>r</t>
    </r>
    <r>
      <rPr>
        <sz val="8"/>
        <color rgb="FF2E2630"/>
        <rFont val="Calibri"/>
        <family val="2"/>
        <scheme val="minor"/>
      </rPr>
      <t>el</t>
    </r>
  </si>
  <si>
    <r>
      <t>Meliamne</t>
    </r>
    <r>
      <rPr>
        <sz val="8"/>
        <color rgb="FF564A58"/>
        <rFont val="Calibri"/>
        <family val="2"/>
        <scheme val="minor"/>
      </rPr>
      <t>(</t>
    </r>
    <r>
      <rPr>
        <sz val="8"/>
        <color rgb="FF2F2631"/>
        <rFont val="Calibri"/>
        <family val="2"/>
        <scheme val="minor"/>
      </rPr>
      <t>Oakenheel</t>
    </r>
    <r>
      <rPr>
        <sz val="8"/>
        <color rgb="FF564A58"/>
        <rFont val="Calibri"/>
        <family val="2"/>
        <scheme val="minor"/>
      </rPr>
      <t>)</t>
    </r>
  </si>
  <si>
    <r>
      <t>F</t>
    </r>
    <r>
      <rPr>
        <sz val="8"/>
        <color rgb="FF2F2731"/>
        <rFont val="Calibri"/>
        <family val="2"/>
        <scheme val="minor"/>
      </rPr>
      <t>innan</t>
    </r>
  </si>
  <si>
    <r>
      <t>K</t>
    </r>
    <r>
      <rPr>
        <sz val="8"/>
        <color rgb="FF131115"/>
        <rFont val="Calibri"/>
        <family val="2"/>
        <scheme val="minor"/>
      </rPr>
      <t>i</t>
    </r>
    <r>
      <rPr>
        <sz val="8"/>
        <color rgb="FF2F2731"/>
        <rFont val="Calibri"/>
        <family val="2"/>
        <scheme val="minor"/>
      </rPr>
      <t>th</t>
    </r>
    <r>
      <rPr>
        <sz val="8"/>
        <color rgb="FF131115"/>
        <rFont val="Calibri"/>
        <family val="2"/>
        <scheme val="minor"/>
      </rPr>
      <t>ri</t>
    </r>
  </si>
  <si>
    <t>Tealeaf</t>
  </si>
  <si>
    <t>Zasheir</t>
  </si>
  <si>
    <t>Yashiera</t>
  </si>
  <si>
    <t>Rein</t>
  </si>
  <si>
    <t>Malark</t>
  </si>
  <si>
    <t>Rowan</t>
  </si>
  <si>
    <t>Kosef</t>
  </si>
  <si>
    <t>Tana</t>
  </si>
  <si>
    <t>Shemov</t>
  </si>
  <si>
    <t>Luth</t>
  </si>
  <si>
    <t>Silifrey</t>
  </si>
  <si>
    <t>So-Kehur</t>
  </si>
  <si>
    <t>Thola</t>
  </si>
  <si>
    <t>Uuthrakt</t>
  </si>
  <si>
    <t>Shaumar</t>
  </si>
  <si>
    <t>Tammith</t>
  </si>
  <si>
    <t>Lian</t>
  </si>
  <si>
    <t>Shui</t>
  </si>
  <si>
    <t>Salazar</t>
  </si>
  <si>
    <t>Quara</t>
  </si>
  <si>
    <t>Pisacar</t>
  </si>
  <si>
    <t>Berg'inyon</t>
  </si>
  <si>
    <t>Anluryn</t>
  </si>
  <si>
    <t>Blaerabban</t>
  </si>
  <si>
    <t>Kriv</t>
  </si>
  <si>
    <t>Jheri</t>
  </si>
  <si>
    <t>Kerrhylon</t>
  </si>
  <si>
    <t>Eldon</t>
  </si>
  <si>
    <t>Ella</t>
  </si>
  <si>
    <t>Ningel</t>
  </si>
  <si>
    <t>Fnipper</t>
  </si>
  <si>
    <t>Krusk</t>
  </si>
  <si>
    <t>Ovak</t>
  </si>
  <si>
    <t>Kairon</t>
  </si>
  <si>
    <t>Kallista</t>
  </si>
  <si>
    <t>Fear</t>
  </si>
  <si>
    <r>
      <t>Da</t>
    </r>
    <r>
      <rPr>
        <sz val="8"/>
        <color rgb="FF141216"/>
        <rFont val="Calibri"/>
        <family val="2"/>
        <scheme val="minor"/>
      </rPr>
      <t>r</t>
    </r>
    <r>
      <rPr>
        <sz val="8"/>
        <color rgb="FF2D2530"/>
        <rFont val="Calibri"/>
        <family val="2"/>
        <scheme val="minor"/>
      </rPr>
      <t>rak</t>
    </r>
  </si>
  <si>
    <r>
      <t>Falk</t>
    </r>
    <r>
      <rPr>
        <sz val="8"/>
        <color rgb="FF141216"/>
        <rFont val="Calibri"/>
        <family val="2"/>
        <scheme val="minor"/>
      </rPr>
      <t>ru</t>
    </r>
    <r>
      <rPr>
        <sz val="8"/>
        <color rgb="FF2D2530"/>
        <rFont val="Calibri"/>
        <family val="2"/>
        <scheme val="minor"/>
      </rPr>
      <t>nn</t>
    </r>
  </si>
  <si>
    <r>
      <t>H</t>
    </r>
    <r>
      <rPr>
        <sz val="8"/>
        <color rgb="FF2D2530"/>
        <rFont val="Calibri"/>
        <family val="2"/>
        <scheme val="minor"/>
      </rPr>
      <t>old</t>
    </r>
    <r>
      <rPr>
        <sz val="8"/>
        <color rgb="FF443B4D"/>
        <rFont val="Calibri"/>
        <family val="2"/>
        <scheme val="minor"/>
      </rPr>
      <t>e</t>
    </r>
    <r>
      <rPr>
        <sz val="8"/>
        <color rgb="FF2D2530"/>
        <rFont val="Calibri"/>
        <family val="2"/>
        <scheme val="minor"/>
      </rPr>
      <t>rhek</t>
    </r>
  </si>
  <si>
    <t>Carrie</t>
  </si>
  <si>
    <r>
      <t>Cael</t>
    </r>
    <r>
      <rPr>
        <sz val="8"/>
        <color rgb="FF453C4D"/>
        <rFont val="Calibri"/>
        <family val="2"/>
        <scheme val="minor"/>
      </rPr>
      <t>y</t>
    </r>
    <r>
      <rPr>
        <sz val="8"/>
        <color rgb="FF2E2630"/>
        <rFont val="Calibri"/>
        <family val="2"/>
        <scheme val="minor"/>
      </rPr>
      <t>n</t>
    </r>
    <r>
      <rPr>
        <sz val="8"/>
        <color rgb="FF121013"/>
        <rFont val="Calibri"/>
        <family val="2"/>
        <scheme val="minor"/>
      </rPr>
      <t>n</t>
    </r>
    <r>
      <rPr>
        <sz val="8"/>
        <color rgb="FF453C4D"/>
        <rFont val="Calibri"/>
        <family val="2"/>
        <scheme val="minor"/>
      </rPr>
      <t>,</t>
    </r>
  </si>
  <si>
    <r>
      <t>Natlo</t>
    </r>
    <r>
      <rPr>
        <sz val="8"/>
        <color rgb="FF2F2631"/>
        <rFont val="Calibri"/>
        <family val="2"/>
        <scheme val="minor"/>
      </rPr>
      <t>(Nig</t>
    </r>
    <r>
      <rPr>
        <sz val="8"/>
        <color rgb="FF121015"/>
        <rFont val="Calibri"/>
        <family val="2"/>
        <scheme val="minor"/>
      </rPr>
      <t>ht</t>
    </r>
    <r>
      <rPr>
        <sz val="8"/>
        <color rgb="FF2F2631"/>
        <rFont val="Calibri"/>
        <family val="2"/>
        <scheme val="minor"/>
      </rPr>
      <t>b</t>
    </r>
    <r>
      <rPr>
        <sz val="8"/>
        <color rgb="FF121015"/>
        <rFont val="Calibri"/>
        <family val="2"/>
        <scheme val="minor"/>
      </rPr>
      <t>r</t>
    </r>
    <r>
      <rPr>
        <sz val="8"/>
        <color rgb="FF2F2631"/>
        <rFont val="Calibri"/>
        <family val="2"/>
        <scheme val="minor"/>
      </rPr>
      <t>eeze</t>
    </r>
    <r>
      <rPr>
        <sz val="8"/>
        <color rgb="FF564A58"/>
        <rFont val="Calibri"/>
        <family val="2"/>
        <scheme val="minor"/>
      </rPr>
      <t>)</t>
    </r>
  </si>
  <si>
    <t>Garret</t>
  </si>
  <si>
    <r>
      <t>L</t>
    </r>
    <r>
      <rPr>
        <sz val="8"/>
        <color rgb="FF2F2731"/>
        <rFont val="Calibri"/>
        <family val="2"/>
        <scheme val="minor"/>
      </rPr>
      <t>avinia</t>
    </r>
  </si>
  <si>
    <r>
      <t>T</t>
    </r>
    <r>
      <rPr>
        <sz val="8"/>
        <color rgb="FF2F2731"/>
        <rFont val="Calibri"/>
        <family val="2"/>
        <scheme val="minor"/>
      </rPr>
      <t>hornga</t>
    </r>
    <r>
      <rPr>
        <sz val="8"/>
        <color rgb="FF463C4D"/>
        <rFont val="Calibri"/>
        <family val="2"/>
        <scheme val="minor"/>
      </rPr>
      <t>g</t>
    </r>
    <r>
      <rPr>
        <sz val="8"/>
        <color rgb="FF2F2731"/>
        <rFont val="Calibri"/>
        <family val="2"/>
        <scheme val="minor"/>
      </rPr>
      <t>e</t>
    </r>
  </si>
  <si>
    <t>Zasheida</t>
  </si>
  <si>
    <t>Morn</t>
  </si>
  <si>
    <t>Shandri</t>
  </si>
  <si>
    <t>Mival</t>
  </si>
  <si>
    <t>Zora</t>
  </si>
  <si>
    <t>Starag</t>
  </si>
  <si>
    <t>Malcer</t>
  </si>
  <si>
    <t>Westra</t>
  </si>
  <si>
    <t>Thazar-De</t>
  </si>
  <si>
    <t>Umara</t>
  </si>
  <si>
    <t>Vladislak</t>
  </si>
  <si>
    <t>Yuldra</t>
  </si>
  <si>
    <t>Long</t>
  </si>
  <si>
    <t>Tai</t>
  </si>
  <si>
    <t>Ping</t>
  </si>
  <si>
    <t>Umbero</t>
  </si>
  <si>
    <t>Selise</t>
  </si>
  <si>
    <t>Ramondo</t>
  </si>
  <si>
    <t>Bhintel</t>
  </si>
  <si>
    <t>Ardulace</t>
  </si>
  <si>
    <t>Blundyth</t>
  </si>
  <si>
    <t>Medrash</t>
  </si>
  <si>
    <t>Kava</t>
  </si>
  <si>
    <t>Kimbatuul</t>
  </si>
  <si>
    <t>Erky</t>
  </si>
  <si>
    <t>Ellyjobell</t>
  </si>
  <si>
    <t>Raulnor</t>
  </si>
  <si>
    <t>Ku</t>
  </si>
  <si>
    <t>Mhurren</t>
  </si>
  <si>
    <t>Ownka</t>
  </si>
  <si>
    <t>Leucis</t>
  </si>
  <si>
    <t>Lerissa</t>
  </si>
  <si>
    <t>Glory</t>
  </si>
  <si>
    <r>
      <t>De</t>
    </r>
    <r>
      <rPr>
        <sz val="8"/>
        <color rgb="FF141216"/>
        <rFont val="Calibri"/>
        <family val="2"/>
        <scheme val="minor"/>
      </rPr>
      <t>l</t>
    </r>
    <r>
      <rPr>
        <sz val="8"/>
        <color rgb="FF2D2530"/>
        <rFont val="Calibri"/>
        <family val="2"/>
        <scheme val="minor"/>
      </rPr>
      <t>g</t>
    </r>
  </si>
  <si>
    <r>
      <t>Fi</t>
    </r>
    <r>
      <rPr>
        <sz val="8"/>
        <color rgb="FF2D2530"/>
        <rFont val="Calibri"/>
        <family val="2"/>
        <scheme val="minor"/>
      </rPr>
      <t>ne</t>
    </r>
    <r>
      <rPr>
        <sz val="8"/>
        <color rgb="FF141216"/>
        <rFont val="Calibri"/>
        <family val="2"/>
        <scheme val="minor"/>
      </rPr>
      <t>ll</t>
    </r>
    <r>
      <rPr>
        <sz val="8"/>
        <color rgb="FF2D2530"/>
        <rFont val="Calibri"/>
        <family val="2"/>
        <scheme val="minor"/>
      </rPr>
      <t>en</t>
    </r>
  </si>
  <si>
    <r>
      <t>Ironfi</t>
    </r>
    <r>
      <rPr>
        <sz val="8"/>
        <color rgb="FF443B4D"/>
        <rFont val="Calibri"/>
        <family val="2"/>
        <scheme val="minor"/>
      </rPr>
      <t>s</t>
    </r>
    <r>
      <rPr>
        <sz val="8"/>
        <color rgb="FF141216"/>
        <rFont val="Calibri"/>
        <family val="2"/>
        <scheme val="minor"/>
      </rPr>
      <t>t</t>
    </r>
  </si>
  <si>
    <r>
      <t>E</t>
    </r>
    <r>
      <rPr>
        <sz val="8"/>
        <color rgb="FF121013"/>
        <rFont val="Calibri"/>
        <family val="2"/>
        <scheme val="minor"/>
      </rPr>
      <t>n</t>
    </r>
    <r>
      <rPr>
        <sz val="8"/>
        <color rgb="FF2E2630"/>
        <rFont val="Calibri"/>
        <family val="2"/>
        <scheme val="minor"/>
      </rPr>
      <t>iali</t>
    </r>
    <r>
      <rPr>
        <sz val="8"/>
        <color rgb="FF453C4D"/>
        <rFont val="Calibri"/>
        <family val="2"/>
        <scheme val="minor"/>
      </rPr>
      <t>s</t>
    </r>
  </si>
  <si>
    <r>
      <t>Dru</t>
    </r>
    <r>
      <rPr>
        <sz val="8"/>
        <color rgb="FF453C4D"/>
        <rFont val="Calibri"/>
        <family val="2"/>
        <scheme val="minor"/>
      </rPr>
      <t>s</t>
    </r>
    <r>
      <rPr>
        <sz val="8"/>
        <color rgb="FF2E2630"/>
        <rFont val="Calibri"/>
        <family val="2"/>
        <scheme val="minor"/>
      </rPr>
      <t>ilia</t>
    </r>
  </si>
  <si>
    <r>
      <t>S</t>
    </r>
    <r>
      <rPr>
        <sz val="8"/>
        <color rgb="FF121015"/>
        <rFont val="Calibri"/>
        <family val="2"/>
        <scheme val="minor"/>
      </rPr>
      <t>i</t>
    </r>
    <r>
      <rPr>
        <sz val="8"/>
        <color rgb="FF2F2631"/>
        <rFont val="Calibri"/>
        <family val="2"/>
        <scheme val="minor"/>
      </rPr>
      <t>a</t>
    </r>
    <r>
      <rPr>
        <sz val="8"/>
        <color rgb="FF121015"/>
        <rFont val="Calibri"/>
        <family val="2"/>
        <scheme val="minor"/>
      </rPr>
      <t>nn</t>
    </r>
    <r>
      <rPr>
        <sz val="8"/>
        <color rgb="FF2F2631"/>
        <rFont val="Calibri"/>
        <family val="2"/>
        <scheme val="minor"/>
      </rPr>
      <t>odel</t>
    </r>
    <r>
      <rPr>
        <sz val="8"/>
        <color rgb="FF564A58"/>
        <rFont val="Calibri"/>
        <family val="2"/>
        <scheme val="minor"/>
      </rPr>
      <t>(</t>
    </r>
    <r>
      <rPr>
        <sz val="8"/>
        <color rgb="FF2F2631"/>
        <rFont val="Calibri"/>
        <family val="2"/>
        <scheme val="minor"/>
      </rPr>
      <t>Moonbrook)</t>
    </r>
  </si>
  <si>
    <r>
      <t>Lin</t>
    </r>
    <r>
      <rPr>
        <sz val="8"/>
        <color rgb="FF131115"/>
        <rFont val="Calibri"/>
        <family val="2"/>
        <scheme val="minor"/>
      </rPr>
      <t>d</t>
    </r>
    <r>
      <rPr>
        <sz val="8"/>
        <color rgb="FF2F2731"/>
        <rFont val="Calibri"/>
        <family val="2"/>
        <scheme val="minor"/>
      </rPr>
      <t>al</t>
    </r>
  </si>
  <si>
    <t>Lidda</t>
  </si>
  <si>
    <r>
      <t>T</t>
    </r>
    <r>
      <rPr>
        <sz val="8"/>
        <color rgb="FF2F2731"/>
        <rFont val="Calibri"/>
        <family val="2"/>
        <scheme val="minor"/>
      </rPr>
      <t>o</t>
    </r>
    <r>
      <rPr>
        <sz val="8"/>
        <color rgb="FF463C4D"/>
        <rFont val="Calibri"/>
        <family val="2"/>
        <scheme val="minor"/>
      </rPr>
      <t>ssc</t>
    </r>
    <r>
      <rPr>
        <sz val="8"/>
        <color rgb="FF2F2731"/>
        <rFont val="Calibri"/>
        <family val="2"/>
        <scheme val="minor"/>
      </rPr>
      <t>obble</t>
    </r>
  </si>
  <si>
    <t>Randal</t>
  </si>
  <si>
    <t>Tessele</t>
  </si>
  <si>
    <t>orel</t>
  </si>
  <si>
    <t>Stor</t>
  </si>
  <si>
    <t>Urhur</t>
  </si>
  <si>
    <t>Zolis</t>
  </si>
  <si>
    <t>Men</t>
  </si>
  <si>
    <t>Shin</t>
  </si>
  <si>
    <t>Vonda</t>
  </si>
  <si>
    <t>Brorn</t>
  </si>
  <si>
    <t>Aunrae</t>
  </si>
  <si>
    <t>Chaulssin</t>
  </si>
  <si>
    <t>Mehen</t>
  </si>
  <si>
    <t>Korinn</t>
  </si>
  <si>
    <t>Linxakasendalor</t>
  </si>
  <si>
    <t>Fonkin</t>
  </si>
  <si>
    <t>Ellywick</t>
  </si>
  <si>
    <t>Scheppen</t>
  </si>
  <si>
    <t>Nim</t>
  </si>
  <si>
    <t>Ront</t>
  </si>
  <si>
    <t>Shautha</t>
  </si>
  <si>
    <t>Melech</t>
  </si>
  <si>
    <t>Makaria</t>
  </si>
  <si>
    <t>Hope</t>
  </si>
  <si>
    <r>
      <t>E</t>
    </r>
    <r>
      <rPr>
        <sz val="8"/>
        <color rgb="FF2D2530"/>
        <rFont val="Calibri"/>
        <family val="2"/>
        <scheme val="minor"/>
      </rPr>
      <t>b</t>
    </r>
    <r>
      <rPr>
        <sz val="8"/>
        <color rgb="FF443B4D"/>
        <rFont val="Calibri"/>
        <family val="2"/>
        <scheme val="minor"/>
      </rPr>
      <t>e</t>
    </r>
    <r>
      <rPr>
        <sz val="8"/>
        <color rgb="FF2D2530"/>
        <rFont val="Calibri"/>
        <family val="2"/>
        <scheme val="minor"/>
      </rPr>
      <t>rk</t>
    </r>
  </si>
  <si>
    <r>
      <t>G</t>
    </r>
    <r>
      <rPr>
        <sz val="8"/>
        <color rgb="FF141216"/>
        <rFont val="Calibri"/>
        <family val="2"/>
        <scheme val="minor"/>
      </rPr>
      <t>u</t>
    </r>
    <r>
      <rPr>
        <sz val="8"/>
        <color rgb="FF2D2530"/>
        <rFont val="Calibri"/>
        <family val="2"/>
        <scheme val="minor"/>
      </rPr>
      <t>nnloda</t>
    </r>
  </si>
  <si>
    <r>
      <t>L</t>
    </r>
    <r>
      <rPr>
        <sz val="8"/>
        <color rgb="FF2D2530"/>
        <rFont val="Calibri"/>
        <family val="2"/>
        <scheme val="minor"/>
      </rPr>
      <t>od</t>
    </r>
    <r>
      <rPr>
        <sz val="8"/>
        <color rgb="FF443B4D"/>
        <rFont val="Calibri"/>
        <family val="2"/>
        <scheme val="minor"/>
      </rPr>
      <t>e</t>
    </r>
    <r>
      <rPr>
        <sz val="8"/>
        <color rgb="FF2D2530"/>
        <rFont val="Calibri"/>
        <family val="2"/>
        <scheme val="minor"/>
      </rPr>
      <t>rr</t>
    </r>
  </si>
  <si>
    <r>
      <t>E</t>
    </r>
    <r>
      <rPr>
        <sz val="8"/>
        <color rgb="FF121013"/>
        <rFont val="Calibri"/>
        <family val="2"/>
        <scheme val="minor"/>
      </rPr>
      <t>r</t>
    </r>
    <r>
      <rPr>
        <sz val="8"/>
        <color rgb="FF2E2630"/>
        <rFont val="Calibri"/>
        <family val="2"/>
        <scheme val="minor"/>
      </rPr>
      <t>dan</t>
    </r>
  </si>
  <si>
    <r>
      <t>E</t>
    </r>
    <r>
      <rPr>
        <sz val="8"/>
        <color rgb="FF121013"/>
        <rFont val="Calibri"/>
        <family val="2"/>
        <scheme val="minor"/>
      </rPr>
      <t>n</t>
    </r>
    <r>
      <rPr>
        <sz val="8"/>
        <color rgb="FF2E2630"/>
        <rFont val="Calibri"/>
        <family val="2"/>
        <scheme val="minor"/>
      </rPr>
      <t>na</t>
    </r>
  </si>
  <si>
    <r>
      <t>X</t>
    </r>
    <r>
      <rPr>
        <sz val="8"/>
        <color rgb="FF121015"/>
        <rFont val="Calibri"/>
        <family val="2"/>
        <scheme val="minor"/>
      </rPr>
      <t>il</t>
    </r>
    <r>
      <rPr>
        <sz val="8"/>
        <color rgb="FF433B48"/>
        <rFont val="Calibri"/>
        <family val="2"/>
        <scheme val="minor"/>
      </rPr>
      <t>oscie</t>
    </r>
    <r>
      <rPr>
        <sz val="8"/>
        <color rgb="FF121015"/>
        <rFont val="Calibri"/>
        <family val="2"/>
        <scheme val="minor"/>
      </rPr>
      <t>nt</t>
    </r>
    <r>
      <rPr>
        <sz val="8"/>
        <color rgb="FF433B48"/>
        <rFont val="Calibri"/>
        <family val="2"/>
        <scheme val="minor"/>
      </rPr>
      <t>(Goldpeta</t>
    </r>
    <r>
      <rPr>
        <sz val="8"/>
        <color rgb="FF121015"/>
        <rFont val="Calibri"/>
        <family val="2"/>
        <scheme val="minor"/>
      </rPr>
      <t>l</t>
    </r>
    <r>
      <rPr>
        <sz val="8"/>
        <color rgb="FF564A58"/>
        <rFont val="Calibri"/>
        <family val="2"/>
        <scheme val="minor"/>
      </rPr>
      <t>)</t>
    </r>
  </si>
  <si>
    <r>
      <t>L</t>
    </r>
    <r>
      <rPr>
        <sz val="8"/>
        <color rgb="FF463C4D"/>
        <rFont val="Calibri"/>
        <family val="2"/>
        <scheme val="minor"/>
      </rPr>
      <t>y</t>
    </r>
    <r>
      <rPr>
        <sz val="8"/>
        <color rgb="FF131115"/>
        <rFont val="Calibri"/>
        <family val="2"/>
        <scheme val="minor"/>
      </rPr>
      <t>l</t>
    </r>
    <r>
      <rPr>
        <sz val="8"/>
        <color rgb="FF2F2731"/>
        <rFont val="Calibri"/>
        <family val="2"/>
        <scheme val="minor"/>
      </rPr>
      <t>e</t>
    </r>
  </si>
  <si>
    <r>
      <t>Me</t>
    </r>
    <r>
      <rPr>
        <sz val="8"/>
        <color rgb="FF131115"/>
        <rFont val="Calibri"/>
        <family val="2"/>
        <scheme val="minor"/>
      </rPr>
      <t>d</t>
    </r>
    <r>
      <rPr>
        <sz val="8"/>
        <color rgb="FF2F2731"/>
        <rFont val="Calibri"/>
        <family val="2"/>
        <scheme val="minor"/>
      </rPr>
      <t>a</t>
    </r>
  </si>
  <si>
    <r>
      <t>Underbou</t>
    </r>
    <r>
      <rPr>
        <sz val="8"/>
        <color rgb="FF463C4D"/>
        <rFont val="Calibri"/>
        <family val="2"/>
        <scheme val="minor"/>
      </rPr>
      <t>g</t>
    </r>
    <r>
      <rPr>
        <sz val="8"/>
        <color rgb="FF2F2731"/>
        <rFont val="Calibri"/>
        <family val="2"/>
        <scheme val="minor"/>
      </rPr>
      <t>h</t>
    </r>
  </si>
  <si>
    <t>Stedd</t>
  </si>
  <si>
    <t>Pavel</t>
  </si>
  <si>
    <t>Taman</t>
  </si>
  <si>
    <t>On</t>
  </si>
  <si>
    <t>Sum</t>
  </si>
  <si>
    <t>Bruherd</t>
  </si>
  <si>
    <t>Balaena</t>
  </si>
  <si>
    <t>Coborel</t>
  </si>
  <si>
    <t>Nadarr</t>
  </si>
  <si>
    <t>Mishann</t>
  </si>
  <si>
    <t>Myastan</t>
  </si>
  <si>
    <t>Frug</t>
  </si>
  <si>
    <t>Lilli</t>
  </si>
  <si>
    <t>Timbers</t>
  </si>
  <si>
    <t>Oneshoe</t>
  </si>
  <si>
    <t>Schump</t>
  </si>
  <si>
    <t>Vola</t>
  </si>
  <si>
    <t>Mordai</t>
  </si>
  <si>
    <t>Nemeia</t>
  </si>
  <si>
    <r>
      <t>E</t>
    </r>
    <r>
      <rPr>
        <sz val="8"/>
        <color rgb="FF2D2530"/>
        <rFont val="Calibri"/>
        <family val="2"/>
        <scheme val="minor"/>
      </rPr>
      <t>in</t>
    </r>
    <r>
      <rPr>
        <sz val="8"/>
        <color rgb="FF141216"/>
        <rFont val="Calibri"/>
        <family val="2"/>
        <scheme val="minor"/>
      </rPr>
      <t>k</t>
    </r>
    <r>
      <rPr>
        <sz val="8"/>
        <color rgb="FF2D2530"/>
        <rFont val="Calibri"/>
        <family val="2"/>
        <scheme val="minor"/>
      </rPr>
      <t>il</t>
    </r>
  </si>
  <si>
    <r>
      <t>Gurdi</t>
    </r>
    <r>
      <rPr>
        <sz val="8"/>
        <color rgb="FF443B4D"/>
        <rFont val="Calibri"/>
        <family val="2"/>
        <scheme val="minor"/>
      </rPr>
      <t>s</t>
    </r>
  </si>
  <si>
    <r>
      <t>L</t>
    </r>
    <r>
      <rPr>
        <sz val="8"/>
        <color rgb="FF2D2530"/>
        <rFont val="Calibri"/>
        <family val="2"/>
        <scheme val="minor"/>
      </rPr>
      <t>u</t>
    </r>
    <r>
      <rPr>
        <sz val="8"/>
        <color rgb="FF141216"/>
        <rFont val="Calibri"/>
        <family val="2"/>
        <scheme val="minor"/>
      </rPr>
      <t>t</t>
    </r>
    <r>
      <rPr>
        <sz val="8"/>
        <color rgb="FF2D2530"/>
        <rFont val="Calibri"/>
        <family val="2"/>
        <scheme val="minor"/>
      </rPr>
      <t>geh</t>
    </r>
    <r>
      <rPr>
        <sz val="8"/>
        <color rgb="FF141216"/>
        <rFont val="Calibri"/>
        <family val="2"/>
        <scheme val="minor"/>
      </rPr>
      <t>r</t>
    </r>
  </si>
  <si>
    <r>
      <t>Ereva</t>
    </r>
    <r>
      <rPr>
        <sz val="8"/>
        <color rgb="FF121013"/>
        <rFont val="Calibri"/>
        <family val="2"/>
        <scheme val="minor"/>
      </rPr>
      <t>n</t>
    </r>
  </si>
  <si>
    <r>
      <t>Fe</t>
    </r>
    <r>
      <rPr>
        <sz val="8"/>
        <color rgb="FF121013"/>
        <rFont val="Calibri"/>
        <family val="2"/>
        <scheme val="minor"/>
      </rPr>
      <t>l</t>
    </r>
    <r>
      <rPr>
        <sz val="8"/>
        <color rgb="FF453C4D"/>
        <rFont val="Calibri"/>
        <family val="2"/>
        <scheme val="minor"/>
      </rPr>
      <t>os</t>
    </r>
    <r>
      <rPr>
        <sz val="8"/>
        <color rgb="FF121013"/>
        <rFont val="Calibri"/>
        <family val="2"/>
        <scheme val="minor"/>
      </rPr>
      <t>i</t>
    </r>
    <r>
      <rPr>
        <sz val="8"/>
        <color rgb="FF2E2630"/>
        <rFont val="Calibri"/>
        <family val="2"/>
        <scheme val="minor"/>
      </rPr>
      <t>al</t>
    </r>
  </si>
  <si>
    <r>
      <t>Me</t>
    </r>
    <r>
      <rPr>
        <sz val="8"/>
        <color rgb="FF131115"/>
        <rFont val="Calibri"/>
        <family val="2"/>
        <scheme val="minor"/>
      </rPr>
      <t>rri</t>
    </r>
    <r>
      <rPr>
        <sz val="8"/>
        <color rgb="FF463C4D"/>
        <rFont val="Calibri"/>
        <family val="2"/>
        <scheme val="minor"/>
      </rPr>
      <t>e</t>
    </r>
  </si>
  <si>
    <r>
      <t>N</t>
    </r>
    <r>
      <rPr>
        <sz val="8"/>
        <color rgb="FF2F2731"/>
        <rFont val="Calibri"/>
        <family val="2"/>
        <scheme val="minor"/>
      </rPr>
      <t>edda</t>
    </r>
  </si>
  <si>
    <t>Sergor</t>
  </si>
  <si>
    <t>Urth</t>
  </si>
  <si>
    <t>Shan</t>
  </si>
  <si>
    <t>Tan</t>
  </si>
  <si>
    <t>Caelkoth</t>
  </si>
  <si>
    <t>Baltana</t>
  </si>
  <si>
    <t>Coloara</t>
  </si>
  <si>
    <t>Pandjed</t>
  </si>
  <si>
    <t>nala</t>
  </si>
  <si>
    <t>Nemmonis</t>
  </si>
  <si>
    <t>Gerbo</t>
  </si>
  <si>
    <t>Loopmottin</t>
  </si>
  <si>
    <t>Turen</t>
  </si>
  <si>
    <t>Pock</t>
  </si>
  <si>
    <t>Thokk</t>
  </si>
  <si>
    <t>Volen</t>
  </si>
  <si>
    <t>Morthos</t>
  </si>
  <si>
    <t>Orianna</t>
  </si>
  <si>
    <t>Music</t>
  </si>
  <si>
    <r>
      <t>F</t>
    </r>
    <r>
      <rPr>
        <sz val="8"/>
        <color rgb="FF2D2530"/>
        <rFont val="Calibri"/>
        <family val="2"/>
        <scheme val="minor"/>
      </rPr>
      <t>a</t>
    </r>
    <r>
      <rPr>
        <sz val="8"/>
        <color rgb="FF141216"/>
        <rFont val="Calibri"/>
        <family val="2"/>
        <scheme val="minor"/>
      </rPr>
      <t>r</t>
    </r>
    <r>
      <rPr>
        <sz val="8"/>
        <color rgb="FF2D2530"/>
        <rFont val="Calibri"/>
        <family val="2"/>
        <scheme val="minor"/>
      </rPr>
      <t>g</t>
    </r>
    <r>
      <rPr>
        <sz val="8"/>
        <color rgb="FF141216"/>
        <rFont val="Calibri"/>
        <family val="2"/>
        <scheme val="minor"/>
      </rPr>
      <t>ri</t>
    </r>
    <r>
      <rPr>
        <sz val="8"/>
        <color rgb="FF2D2530"/>
        <rFont val="Calibri"/>
        <family val="2"/>
        <scheme val="minor"/>
      </rPr>
      <t>m</t>
    </r>
  </si>
  <si>
    <r>
      <t>H</t>
    </r>
    <r>
      <rPr>
        <sz val="8"/>
        <color rgb="FF2D2530"/>
        <rFont val="Calibri"/>
        <family val="2"/>
        <scheme val="minor"/>
      </rPr>
      <t>elja</t>
    </r>
  </si>
  <si>
    <r>
      <t>R</t>
    </r>
    <r>
      <rPr>
        <sz val="8"/>
        <color rgb="FF141216"/>
        <rFont val="Calibri"/>
        <family val="2"/>
        <scheme val="minor"/>
      </rPr>
      <t>u</t>
    </r>
    <r>
      <rPr>
        <sz val="8"/>
        <color rgb="FF2D2530"/>
        <rFont val="Calibri"/>
        <family val="2"/>
        <scheme val="minor"/>
      </rPr>
      <t>mnaheim</t>
    </r>
  </si>
  <si>
    <r>
      <t>Galinnda</t>
    </r>
    <r>
      <rPr>
        <sz val="8"/>
        <color rgb="FF121013"/>
        <rFont val="Calibri"/>
        <family val="2"/>
        <scheme val="minor"/>
      </rPr>
      <t>n</t>
    </r>
  </si>
  <si>
    <r>
      <t>I</t>
    </r>
    <r>
      <rPr>
        <sz val="8"/>
        <color rgb="FF2E2630"/>
        <rFont val="Calibri"/>
        <family val="2"/>
        <scheme val="minor"/>
      </rPr>
      <t>e</t>
    </r>
    <r>
      <rPr>
        <sz val="8"/>
        <color rgb="FF121013"/>
        <rFont val="Calibri"/>
        <family val="2"/>
        <scheme val="minor"/>
      </rPr>
      <t>l</t>
    </r>
    <r>
      <rPr>
        <sz val="8"/>
        <color rgb="FF2E2630"/>
        <rFont val="Calibri"/>
        <family val="2"/>
        <scheme val="minor"/>
      </rPr>
      <t>e</t>
    </r>
    <r>
      <rPr>
        <sz val="8"/>
        <color rgb="FF121013"/>
        <rFont val="Calibri"/>
        <family val="2"/>
        <scheme val="minor"/>
      </rPr>
      <t>ni</t>
    </r>
    <r>
      <rPr>
        <sz val="8"/>
        <color rgb="FF2E2630"/>
        <rFont val="Calibri"/>
        <family val="2"/>
        <scheme val="minor"/>
      </rPr>
      <t>a</t>
    </r>
  </si>
  <si>
    <t>Milo</t>
  </si>
  <si>
    <r>
      <t>P</t>
    </r>
    <r>
      <rPr>
        <sz val="8"/>
        <color rgb="FF2F2731"/>
        <rFont val="Calibri"/>
        <family val="2"/>
        <scheme val="minor"/>
      </rPr>
      <t>ae</t>
    </r>
    <r>
      <rPr>
        <sz val="8"/>
        <color rgb="FF131115"/>
        <rFont val="Calibri"/>
        <family val="2"/>
        <scheme val="minor"/>
      </rPr>
      <t>l</t>
    </r>
    <r>
      <rPr>
        <sz val="8"/>
        <color rgb="FF2F2731"/>
        <rFont val="Calibri"/>
        <family val="2"/>
        <scheme val="minor"/>
      </rPr>
      <t>a</t>
    </r>
  </si>
  <si>
    <t>Wan</t>
  </si>
  <si>
    <t>Callimar</t>
  </si>
  <si>
    <t>Bautha</t>
  </si>
  <si>
    <t>Cormrael</t>
  </si>
  <si>
    <t>Perra</t>
  </si>
  <si>
    <t>Norixius</t>
  </si>
  <si>
    <t>Gimble</t>
  </si>
  <si>
    <t>Lorilla</t>
  </si>
  <si>
    <t>Sparklegem</t>
  </si>
  <si>
    <t>Dench</t>
  </si>
  <si>
    <t>Yevelda</t>
  </si>
  <si>
    <t>Pelaios</t>
  </si>
  <si>
    <t>Phelaia</t>
  </si>
  <si>
    <t>Nowhere</t>
  </si>
  <si>
    <t>Flint</t>
  </si>
  <si>
    <r>
      <t>Hli</t>
    </r>
    <r>
      <rPr>
        <sz val="8"/>
        <color rgb="FF2D2530"/>
        <rFont val="Calibri"/>
        <family val="2"/>
        <scheme val="minor"/>
      </rPr>
      <t>n</t>
    </r>
  </si>
  <si>
    <r>
      <t>S</t>
    </r>
    <r>
      <rPr>
        <sz val="8"/>
        <color rgb="FF141216"/>
        <rFont val="Calibri"/>
        <family val="2"/>
        <scheme val="minor"/>
      </rPr>
      <t>t</t>
    </r>
    <r>
      <rPr>
        <sz val="8"/>
        <color rgb="FF2D2530"/>
        <rFont val="Calibri"/>
        <family val="2"/>
        <scheme val="minor"/>
      </rPr>
      <t>rakelin</t>
    </r>
  </si>
  <si>
    <r>
      <t>H</t>
    </r>
    <r>
      <rPr>
        <sz val="8"/>
        <color rgb="FF2E2630"/>
        <rFont val="Calibri"/>
        <family val="2"/>
        <scheme val="minor"/>
      </rPr>
      <t>adarai</t>
    </r>
  </si>
  <si>
    <r>
      <t>J</t>
    </r>
    <r>
      <rPr>
        <sz val="8"/>
        <color rgb="FF2E2630"/>
        <rFont val="Calibri"/>
        <family val="2"/>
        <scheme val="minor"/>
      </rPr>
      <t>ele</t>
    </r>
    <r>
      <rPr>
        <sz val="8"/>
        <color rgb="FF121013"/>
        <rFont val="Calibri"/>
        <family val="2"/>
        <scheme val="minor"/>
      </rPr>
      <t>n</t>
    </r>
    <r>
      <rPr>
        <sz val="8"/>
        <color rgb="FF2E2630"/>
        <rFont val="Calibri"/>
        <family val="2"/>
        <scheme val="minor"/>
      </rPr>
      <t>neth</t>
    </r>
  </si>
  <si>
    <r>
      <t>O</t>
    </r>
    <r>
      <rPr>
        <sz val="8"/>
        <color rgb="FF463C4D"/>
        <rFont val="Calibri"/>
        <family val="2"/>
        <scheme val="minor"/>
      </rPr>
      <t>s</t>
    </r>
    <r>
      <rPr>
        <sz val="8"/>
        <color rgb="FF131115"/>
        <rFont val="Calibri"/>
        <family val="2"/>
        <scheme val="minor"/>
      </rPr>
      <t>b</t>
    </r>
    <r>
      <rPr>
        <sz val="8"/>
        <color rgb="FF463C4D"/>
        <rFont val="Calibri"/>
        <family val="2"/>
        <scheme val="minor"/>
      </rPr>
      <t>o</t>
    </r>
    <r>
      <rPr>
        <sz val="8"/>
        <color rgb="FF131115"/>
        <rFont val="Calibri"/>
        <family val="2"/>
        <scheme val="minor"/>
      </rPr>
      <t>rn</t>
    </r>
  </si>
  <si>
    <r>
      <t>P</t>
    </r>
    <r>
      <rPr>
        <sz val="8"/>
        <color rgb="FF2F2731"/>
        <rFont val="Calibri"/>
        <family val="2"/>
        <scheme val="minor"/>
      </rPr>
      <t>ortia</t>
    </r>
  </si>
  <si>
    <t>Wen</t>
  </si>
  <si>
    <t>Chakos</t>
  </si>
  <si>
    <t>Belarbreena</t>
  </si>
  <si>
    <t>Daevion'lyr</t>
  </si>
  <si>
    <t>Raiann</t>
  </si>
  <si>
    <t>Ophinshtalajiir</t>
  </si>
  <si>
    <t>Glim</t>
  </si>
  <si>
    <t>Mardnab</t>
  </si>
  <si>
    <t>Stubledock</t>
  </si>
  <si>
    <t>Skamos</t>
  </si>
  <si>
    <t>Rieta</t>
  </si>
  <si>
    <t>Open</t>
  </si>
  <si>
    <r>
      <t>Garda</t>
    </r>
    <r>
      <rPr>
        <sz val="8"/>
        <color rgb="FF141216"/>
        <rFont val="Calibri"/>
        <family val="2"/>
        <scheme val="minor"/>
      </rPr>
      <t>i</t>
    </r>
    <r>
      <rPr>
        <sz val="8"/>
        <color rgb="FF2D2530"/>
        <rFont val="Calibri"/>
        <family val="2"/>
        <scheme val="minor"/>
      </rPr>
      <t>n</t>
    </r>
  </si>
  <si>
    <r>
      <t>Ka</t>
    </r>
    <r>
      <rPr>
        <sz val="8"/>
        <color rgb="FF141216"/>
        <rFont val="Calibri"/>
        <family val="2"/>
        <scheme val="minor"/>
      </rPr>
      <t>t</t>
    </r>
    <r>
      <rPr>
        <sz val="8"/>
        <color rgb="FF2D2530"/>
        <rFont val="Calibri"/>
        <family val="2"/>
        <scheme val="minor"/>
      </rPr>
      <t>h</t>
    </r>
    <r>
      <rPr>
        <sz val="8"/>
        <color rgb="FF141216"/>
        <rFont val="Calibri"/>
        <family val="2"/>
        <scheme val="minor"/>
      </rPr>
      <t>r</t>
    </r>
    <r>
      <rPr>
        <sz val="8"/>
        <color rgb="FF2D2530"/>
        <rFont val="Calibri"/>
        <family val="2"/>
        <scheme val="minor"/>
      </rPr>
      <t>a</t>
    </r>
  </si>
  <si>
    <r>
      <t>T</t>
    </r>
    <r>
      <rPr>
        <sz val="8"/>
        <color rgb="FF443B4D"/>
        <rFont val="Calibri"/>
        <family val="2"/>
        <scheme val="minor"/>
      </rPr>
      <t>o</t>
    </r>
    <r>
      <rPr>
        <sz val="8"/>
        <color rgb="FF2D2530"/>
        <rFont val="Calibri"/>
        <family val="2"/>
        <scheme val="minor"/>
      </rPr>
      <t>runn</t>
    </r>
  </si>
  <si>
    <r>
      <t>H</t>
    </r>
    <r>
      <rPr>
        <sz val="8"/>
        <color rgb="FF2E2630"/>
        <rFont val="Calibri"/>
        <family val="2"/>
        <scheme val="minor"/>
      </rPr>
      <t>eian</t>
    </r>
  </si>
  <si>
    <r>
      <t>Ke</t>
    </r>
    <r>
      <rPr>
        <sz val="8"/>
        <color rgb="FF453C4D"/>
        <rFont val="Calibri"/>
        <family val="2"/>
        <scheme val="minor"/>
      </rPr>
      <t>y</t>
    </r>
    <r>
      <rPr>
        <sz val="8"/>
        <color rgb="FF2E2630"/>
        <rFont val="Calibri"/>
        <family val="2"/>
        <scheme val="minor"/>
      </rPr>
      <t>leth</t>
    </r>
    <r>
      <rPr>
        <sz val="8"/>
        <color rgb="FF453C4D"/>
        <rFont val="Calibri"/>
        <family val="2"/>
        <scheme val="minor"/>
      </rPr>
      <t>,</t>
    </r>
  </si>
  <si>
    <r>
      <t>P</t>
    </r>
    <r>
      <rPr>
        <sz val="8"/>
        <color rgb="FF463C4D"/>
        <rFont val="Calibri"/>
        <family val="2"/>
        <scheme val="minor"/>
      </rPr>
      <t>e</t>
    </r>
    <r>
      <rPr>
        <sz val="8"/>
        <color rgb="FF2F2731"/>
        <rFont val="Calibri"/>
        <family val="2"/>
        <scheme val="minor"/>
      </rPr>
      <t>rrin</t>
    </r>
  </si>
  <si>
    <r>
      <t>Serap</t>
    </r>
    <r>
      <rPr>
        <sz val="8"/>
        <color rgb="FF131115"/>
        <rFont val="Calibri"/>
        <family val="2"/>
        <scheme val="minor"/>
      </rPr>
      <t>h</t>
    </r>
    <r>
      <rPr>
        <sz val="8"/>
        <color rgb="FF2F2731"/>
        <rFont val="Calibri"/>
        <family val="2"/>
        <scheme val="minor"/>
      </rPr>
      <t>ina</t>
    </r>
  </si>
  <si>
    <t>Chaszmyr</t>
  </si>
  <si>
    <t>Beszrima</t>
  </si>
  <si>
    <t>Dalael</t>
  </si>
  <si>
    <t>Sora</t>
  </si>
  <si>
    <t>Prexijandilin</t>
  </si>
  <si>
    <t>Jebeddo</t>
  </si>
  <si>
    <t>Nissa</t>
  </si>
  <si>
    <t>Therai</t>
  </si>
  <si>
    <t>Poetry</t>
  </si>
  <si>
    <r>
      <t>H</t>
    </r>
    <r>
      <rPr>
        <sz val="8"/>
        <color rgb="FF2D2530"/>
        <rFont val="Calibri"/>
        <family val="2"/>
        <scheme val="minor"/>
      </rPr>
      <t>arbe</t>
    </r>
    <r>
      <rPr>
        <sz val="8"/>
        <color rgb="FF141216"/>
        <rFont val="Calibri"/>
        <family val="2"/>
        <scheme val="minor"/>
      </rPr>
      <t>k</t>
    </r>
  </si>
  <si>
    <r>
      <t>Kri</t>
    </r>
    <r>
      <rPr>
        <sz val="8"/>
        <color rgb="FF443B4D"/>
        <rFont val="Calibri"/>
        <family val="2"/>
        <scheme val="minor"/>
      </rPr>
      <t>s</t>
    </r>
    <r>
      <rPr>
        <sz val="8"/>
        <color rgb="FF2D2530"/>
        <rFont val="Calibri"/>
        <family val="2"/>
        <scheme val="minor"/>
      </rPr>
      <t>tr</t>
    </r>
    <r>
      <rPr>
        <sz val="8"/>
        <color rgb="FF443B4D"/>
        <rFont val="Calibri"/>
        <family val="2"/>
        <scheme val="minor"/>
      </rPr>
      <t>y</t>
    </r>
    <r>
      <rPr>
        <sz val="8"/>
        <color rgb="FF2D2530"/>
        <rFont val="Calibri"/>
        <family val="2"/>
        <scheme val="minor"/>
      </rPr>
      <t>d</t>
    </r>
  </si>
  <si>
    <r>
      <t>Un</t>
    </r>
    <r>
      <rPr>
        <sz val="8"/>
        <color rgb="FF443B4D"/>
        <rFont val="Calibri"/>
        <family val="2"/>
        <scheme val="minor"/>
      </rPr>
      <t>g</t>
    </r>
    <r>
      <rPr>
        <sz val="8"/>
        <color rgb="FF2D2530"/>
        <rFont val="Calibri"/>
        <family val="2"/>
        <scheme val="minor"/>
      </rPr>
      <t>art</t>
    </r>
  </si>
  <si>
    <r>
      <t>H</t>
    </r>
    <r>
      <rPr>
        <sz val="8"/>
        <color rgb="FF2E2630"/>
        <rFont val="Calibri"/>
        <family val="2"/>
        <scheme val="minor"/>
      </rPr>
      <t>im</t>
    </r>
    <r>
      <rPr>
        <sz val="8"/>
        <color rgb="FF453C4D"/>
        <rFont val="Calibri"/>
        <family val="2"/>
        <scheme val="minor"/>
      </rPr>
      <t>o</t>
    </r>
  </si>
  <si>
    <r>
      <t>L</t>
    </r>
    <r>
      <rPr>
        <sz val="8"/>
        <color rgb="FF2E2630"/>
        <rFont val="Calibri"/>
        <family val="2"/>
        <scheme val="minor"/>
      </rPr>
      <t>e</t>
    </r>
    <r>
      <rPr>
        <sz val="8"/>
        <color rgb="FF5B4D59"/>
        <rFont val="Calibri"/>
        <family val="2"/>
        <scheme val="minor"/>
      </rPr>
      <t>s</t>
    </r>
    <r>
      <rPr>
        <sz val="8"/>
        <color rgb="FF121013"/>
        <rFont val="Calibri"/>
        <family val="2"/>
        <scheme val="minor"/>
      </rPr>
      <t>h</t>
    </r>
    <r>
      <rPr>
        <sz val="8"/>
        <color rgb="FF2E2630"/>
        <rFont val="Calibri"/>
        <family val="2"/>
        <scheme val="minor"/>
      </rPr>
      <t>a</t>
    </r>
    <r>
      <rPr>
        <sz val="8"/>
        <color rgb="FF121013"/>
        <rFont val="Calibri"/>
        <family val="2"/>
        <scheme val="minor"/>
      </rPr>
      <t>n</t>
    </r>
    <r>
      <rPr>
        <sz val="8"/>
        <color rgb="FF2E2630"/>
        <rFont val="Calibri"/>
        <family val="2"/>
        <scheme val="minor"/>
      </rPr>
      <t>na</t>
    </r>
  </si>
  <si>
    <r>
      <t>R</t>
    </r>
    <r>
      <rPr>
        <sz val="8"/>
        <color rgb="FF2F2731"/>
        <rFont val="Calibri"/>
        <family val="2"/>
        <scheme val="minor"/>
      </rPr>
      <t>eed</t>
    </r>
  </si>
  <si>
    <r>
      <t>Shae</t>
    </r>
    <r>
      <rPr>
        <sz val="8"/>
        <color rgb="FF131115"/>
        <rFont val="Calibri"/>
        <family val="2"/>
        <scheme val="minor"/>
      </rPr>
      <t>n</t>
    </r>
    <r>
      <rPr>
        <sz val="8"/>
        <color rgb="FF2F2731"/>
        <rFont val="Calibri"/>
        <family val="2"/>
        <scheme val="minor"/>
      </rPr>
      <t>a</t>
    </r>
  </si>
  <si>
    <t>Coranzen</t>
  </si>
  <si>
    <t>Brigantyna</t>
  </si>
  <si>
    <t>Dhalmass</t>
  </si>
  <si>
    <t>Surina</t>
  </si>
  <si>
    <t>Shestendeliath</t>
  </si>
  <si>
    <t>Kellen</t>
  </si>
  <si>
    <t>Nyx</t>
  </si>
  <si>
    <t>Quest</t>
  </si>
  <si>
    <t>Kildrak</t>
  </si>
  <si>
    <t>Hilde</t>
  </si>
  <si>
    <r>
      <t>I</t>
    </r>
    <r>
      <rPr>
        <sz val="8"/>
        <color rgb="FF2E2630"/>
        <rFont val="Calibri"/>
        <family val="2"/>
        <scheme val="minor"/>
      </rPr>
      <t>mmeral</t>
    </r>
  </si>
  <si>
    <t>Lia</t>
  </si>
  <si>
    <r>
      <t>Ro</t>
    </r>
    <r>
      <rPr>
        <sz val="8"/>
        <color rgb="FF463C4D"/>
        <rFont val="Calibri"/>
        <family val="2"/>
        <scheme val="minor"/>
      </rPr>
      <t>sc</t>
    </r>
    <r>
      <rPr>
        <sz val="8"/>
        <color rgb="FF2F2731"/>
        <rFont val="Calibri"/>
        <family val="2"/>
        <scheme val="minor"/>
      </rPr>
      <t>oe</t>
    </r>
  </si>
  <si>
    <t>Trym</t>
  </si>
  <si>
    <t>Dantrag</t>
  </si>
  <si>
    <t>Briza</t>
  </si>
  <si>
    <t>Dhunnyl</t>
  </si>
  <si>
    <t>Thava</t>
  </si>
  <si>
    <t>Turnuroth</t>
  </si>
  <si>
    <t>Namfoodle</t>
  </si>
  <si>
    <t>Oda</t>
  </si>
  <si>
    <t>Random</t>
  </si>
  <si>
    <r>
      <t>M</t>
    </r>
    <r>
      <rPr>
        <sz val="8"/>
        <color rgb="FF443B4D"/>
        <rFont val="Calibri"/>
        <family val="2"/>
        <scheme val="minor"/>
      </rPr>
      <t>o</t>
    </r>
    <r>
      <rPr>
        <sz val="8"/>
        <color rgb="FF141216"/>
        <rFont val="Calibri"/>
        <family val="2"/>
        <scheme val="minor"/>
      </rPr>
      <t>r</t>
    </r>
    <r>
      <rPr>
        <sz val="8"/>
        <color rgb="FF2D2530"/>
        <rFont val="Calibri"/>
        <family val="2"/>
        <scheme val="minor"/>
      </rPr>
      <t>g</t>
    </r>
    <r>
      <rPr>
        <sz val="8"/>
        <color rgb="FF141216"/>
        <rFont val="Calibri"/>
        <family val="2"/>
        <scheme val="minor"/>
      </rPr>
      <t>r</t>
    </r>
    <r>
      <rPr>
        <sz val="8"/>
        <color rgb="FF2D2530"/>
        <rFont val="Calibri"/>
        <family val="2"/>
        <scheme val="minor"/>
      </rPr>
      <t>a</t>
    </r>
    <r>
      <rPr>
        <sz val="8"/>
        <color rgb="FF141216"/>
        <rFont val="Calibri"/>
        <family val="2"/>
        <scheme val="minor"/>
      </rPr>
      <t>n</t>
    </r>
  </si>
  <si>
    <r>
      <t>Lif</t>
    </r>
    <r>
      <rPr>
        <sz val="8"/>
        <color rgb="FF141216"/>
        <rFont val="Calibri"/>
        <family val="2"/>
        <scheme val="minor"/>
      </rPr>
      <t>tr</t>
    </r>
    <r>
      <rPr>
        <sz val="8"/>
        <color rgb="FF2D2530"/>
        <rFont val="Calibri"/>
        <family val="2"/>
        <scheme val="minor"/>
      </rPr>
      <t>a</t>
    </r>
    <r>
      <rPr>
        <sz val="8"/>
        <color rgb="FF443B4D"/>
        <rFont val="Calibri"/>
        <family val="2"/>
        <scheme val="minor"/>
      </rPr>
      <t>s</t>
    </r>
    <r>
      <rPr>
        <sz val="8"/>
        <color rgb="FF2D2530"/>
        <rFont val="Calibri"/>
        <family val="2"/>
        <scheme val="minor"/>
      </rPr>
      <t>a</t>
    </r>
  </si>
  <si>
    <r>
      <t>Ive</t>
    </r>
    <r>
      <rPr>
        <sz val="8"/>
        <color rgb="FF121013"/>
        <rFont val="Calibri"/>
        <family val="2"/>
        <scheme val="minor"/>
      </rPr>
      <t>lli</t>
    </r>
    <r>
      <rPr>
        <sz val="8"/>
        <color rgb="FF2E2630"/>
        <rFont val="Calibri"/>
        <family val="2"/>
        <scheme val="minor"/>
      </rPr>
      <t>o</t>
    </r>
    <r>
      <rPr>
        <sz val="8"/>
        <color rgb="FF453C4D"/>
        <rFont val="Calibri"/>
        <family val="2"/>
        <scheme val="minor"/>
      </rPr>
      <t>s</t>
    </r>
  </si>
  <si>
    <r>
      <t>M</t>
    </r>
    <r>
      <rPr>
        <sz val="8"/>
        <color rgb="FF453C4D"/>
        <rFont val="Calibri"/>
        <family val="2"/>
        <scheme val="minor"/>
      </rPr>
      <t>e</t>
    </r>
    <r>
      <rPr>
        <sz val="8"/>
        <color rgb="FF2E2630"/>
        <rFont val="Calibri"/>
        <family val="2"/>
        <scheme val="minor"/>
      </rPr>
      <t>riele</t>
    </r>
  </si>
  <si>
    <t>Wellby</t>
  </si>
  <si>
    <t>Vani</t>
  </si>
  <si>
    <t>Dhuunyl</t>
  </si>
  <si>
    <t>Brorna</t>
  </si>
  <si>
    <t>Diliriy</t>
  </si>
  <si>
    <t>Uadjit</t>
  </si>
  <si>
    <t>Verthisathurgiesh</t>
  </si>
  <si>
    <t>Orryn</t>
  </si>
  <si>
    <t>Orla</t>
  </si>
  <si>
    <t>Reverence</t>
  </si>
  <si>
    <r>
      <t>Or</t>
    </r>
    <r>
      <rPr>
        <sz val="8"/>
        <color rgb="FF443B4D"/>
        <rFont val="Calibri"/>
        <family val="2"/>
        <scheme val="minor"/>
      </rPr>
      <t>s</t>
    </r>
    <r>
      <rPr>
        <sz val="8"/>
        <color rgb="FF2D2530"/>
        <rFont val="Calibri"/>
        <family val="2"/>
        <scheme val="minor"/>
      </rPr>
      <t>ik</t>
    </r>
  </si>
  <si>
    <r>
      <t>Mard</t>
    </r>
    <r>
      <rPr>
        <sz val="8"/>
        <color rgb="FF141216"/>
        <rFont val="Calibri"/>
        <family val="2"/>
        <scheme val="minor"/>
      </rPr>
      <t>r</t>
    </r>
    <r>
      <rPr>
        <sz val="8"/>
        <color rgb="FF2D2530"/>
        <rFont val="Calibri"/>
        <family val="2"/>
        <scheme val="minor"/>
      </rPr>
      <t>ed</t>
    </r>
  </si>
  <si>
    <r>
      <t>L</t>
    </r>
    <r>
      <rPr>
        <sz val="8"/>
        <color rgb="FF2E2630"/>
        <rFont val="Calibri"/>
        <family val="2"/>
        <scheme val="minor"/>
      </rPr>
      <t>aucia</t>
    </r>
    <r>
      <rPr>
        <sz val="8"/>
        <color rgb="FF121013"/>
        <rFont val="Calibri"/>
        <family val="2"/>
        <scheme val="minor"/>
      </rPr>
      <t>n</t>
    </r>
  </si>
  <si>
    <t>Mialee</t>
  </si>
  <si>
    <t>Verna</t>
  </si>
  <si>
    <t>Dinin</t>
  </si>
  <si>
    <t>Burryna</t>
  </si>
  <si>
    <t>Dinoryn</t>
  </si>
  <si>
    <t>Yarjerit</t>
  </si>
  <si>
    <t>Roondar</t>
  </si>
  <si>
    <t>Roywyn</t>
  </si>
  <si>
    <t>Sorrow</t>
  </si>
  <si>
    <r>
      <t>O</t>
    </r>
    <r>
      <rPr>
        <sz val="8"/>
        <color rgb="FF443B4D"/>
        <rFont val="Calibri"/>
        <family val="2"/>
        <scheme val="minor"/>
      </rPr>
      <t>s</t>
    </r>
    <r>
      <rPr>
        <sz val="8"/>
        <color rgb="FF2D2530"/>
        <rFont val="Calibri"/>
        <family val="2"/>
        <scheme val="minor"/>
      </rPr>
      <t>kar</t>
    </r>
  </si>
  <si>
    <r>
      <t>Ri</t>
    </r>
    <r>
      <rPr>
        <sz val="8"/>
        <color rgb="FF443B4D"/>
        <rFont val="Calibri"/>
        <family val="2"/>
        <scheme val="minor"/>
      </rPr>
      <t>s</t>
    </r>
    <r>
      <rPr>
        <sz val="8"/>
        <color rgb="FF2D2530"/>
        <rFont val="Calibri"/>
        <family val="2"/>
        <scheme val="minor"/>
      </rPr>
      <t>w</t>
    </r>
    <r>
      <rPr>
        <sz val="8"/>
        <color rgb="FF443B4D"/>
        <rFont val="Calibri"/>
        <family val="2"/>
        <scheme val="minor"/>
      </rPr>
      <t>y</t>
    </r>
    <r>
      <rPr>
        <sz val="8"/>
        <color rgb="FF141216"/>
        <rFont val="Calibri"/>
        <family val="2"/>
        <scheme val="minor"/>
      </rPr>
      <t>n</t>
    </r>
    <r>
      <rPr>
        <sz val="8"/>
        <color rgb="FF2D2530"/>
        <rFont val="Calibri"/>
        <family val="2"/>
        <scheme val="minor"/>
      </rPr>
      <t>n</t>
    </r>
  </si>
  <si>
    <r>
      <t>Minda</t>
    </r>
    <r>
      <rPr>
        <sz val="8"/>
        <color rgb="FF121013"/>
        <rFont val="Calibri"/>
        <family val="2"/>
        <scheme val="minor"/>
      </rPr>
      <t>rti</t>
    </r>
    <r>
      <rPr>
        <sz val="8"/>
        <color rgb="FF453C4D"/>
        <rFont val="Calibri"/>
        <family val="2"/>
        <scheme val="minor"/>
      </rPr>
      <t>s</t>
    </r>
  </si>
  <si>
    <r>
      <t>N</t>
    </r>
    <r>
      <rPr>
        <sz val="8"/>
        <color rgb="FF2E2630"/>
        <rFont val="Calibri"/>
        <family val="2"/>
        <scheme val="minor"/>
      </rPr>
      <t>aiva</t>
    </r>
    <r>
      <rPr>
        <sz val="8"/>
        <color rgb="FF121013"/>
        <rFont val="Calibri"/>
        <family val="2"/>
        <scheme val="minor"/>
      </rPr>
      <t>r</t>
    </r>
    <r>
      <rPr>
        <sz val="8"/>
        <color rgb="FF2E2630"/>
        <rFont val="Calibri"/>
        <family val="2"/>
        <scheme val="minor"/>
      </rPr>
      <t>a</t>
    </r>
  </si>
  <si>
    <t>Dresmorlin</t>
  </si>
  <si>
    <t>Byrtyn</t>
  </si>
  <si>
    <t>Dryaalis</t>
  </si>
  <si>
    <t>Seebo</t>
  </si>
  <si>
    <t>Shamil</t>
  </si>
  <si>
    <t>Temerity</t>
  </si>
  <si>
    <t>Rangrim</t>
  </si>
  <si>
    <r>
      <t>San</t>
    </r>
    <r>
      <rPr>
        <sz val="8"/>
        <color rgb="FF141216"/>
        <rFont val="Calibri"/>
        <family val="2"/>
        <scheme val="minor"/>
      </rPr>
      <t>n</t>
    </r>
    <r>
      <rPr>
        <sz val="8"/>
        <color rgb="FF2D2530"/>
        <rFont val="Calibri"/>
        <family val="2"/>
        <scheme val="minor"/>
      </rPr>
      <t>l</t>
    </r>
  </si>
  <si>
    <r>
      <t>P</t>
    </r>
    <r>
      <rPr>
        <sz val="8"/>
        <color rgb="FF2E2630"/>
        <rFont val="Calibri"/>
        <family val="2"/>
        <scheme val="minor"/>
      </rPr>
      <t>a</t>
    </r>
    <r>
      <rPr>
        <sz val="8"/>
        <color rgb="FF453C4D"/>
        <rFont val="Calibri"/>
        <family val="2"/>
        <scheme val="minor"/>
      </rPr>
      <t>e</t>
    </r>
    <r>
      <rPr>
        <sz val="8"/>
        <color rgb="FF2E2630"/>
        <rFont val="Calibri"/>
        <family val="2"/>
        <scheme val="minor"/>
      </rPr>
      <t>lia</t>
    </r>
    <r>
      <rPr>
        <sz val="8"/>
        <color rgb="FF453C4D"/>
        <rFont val="Calibri"/>
        <family val="2"/>
        <scheme val="minor"/>
      </rPr>
      <t>s</t>
    </r>
  </si>
  <si>
    <r>
      <t>Q</t>
    </r>
    <r>
      <rPr>
        <sz val="8"/>
        <color rgb="FF121013"/>
        <rFont val="Calibri"/>
        <family val="2"/>
        <scheme val="minor"/>
      </rPr>
      <t>u</t>
    </r>
    <r>
      <rPr>
        <sz val="8"/>
        <color rgb="FF2E2630"/>
        <rFont val="Calibri"/>
        <family val="2"/>
        <scheme val="minor"/>
      </rPr>
      <t>e</t>
    </r>
    <r>
      <rPr>
        <sz val="8"/>
        <color rgb="FF121013"/>
        <rFont val="Calibri"/>
        <family val="2"/>
        <scheme val="minor"/>
      </rPr>
      <t>l</t>
    </r>
    <r>
      <rPr>
        <sz val="8"/>
        <color rgb="FF2E2630"/>
        <rFont val="Calibri"/>
        <family val="2"/>
        <scheme val="minor"/>
      </rPr>
      <t>e</t>
    </r>
    <r>
      <rPr>
        <sz val="8"/>
        <color rgb="FF121013"/>
        <rFont val="Calibri"/>
        <family val="2"/>
        <scheme val="minor"/>
      </rPr>
      <t>nn</t>
    </r>
    <r>
      <rPr>
        <sz val="8"/>
        <color rgb="FF2E2630"/>
        <rFont val="Calibri"/>
        <family val="2"/>
        <scheme val="minor"/>
      </rPr>
      <t>a</t>
    </r>
  </si>
  <si>
    <t>Dro</t>
  </si>
  <si>
    <t>Cazna</t>
  </si>
  <si>
    <t>Duskryn</t>
  </si>
  <si>
    <t>Sindri</t>
  </si>
  <si>
    <t>tana</t>
  </si>
  <si>
    <t>Torment</t>
  </si>
  <si>
    <r>
      <t>Ruri</t>
    </r>
    <r>
      <rPr>
        <sz val="8"/>
        <color rgb="FF2D2530"/>
        <rFont val="Calibri"/>
        <family val="2"/>
        <scheme val="minor"/>
      </rPr>
      <t>k</t>
    </r>
  </si>
  <si>
    <r>
      <t>T</t>
    </r>
    <r>
      <rPr>
        <sz val="8"/>
        <color rgb="FF443B4D"/>
        <rFont val="Calibri"/>
        <family val="2"/>
        <scheme val="minor"/>
      </rPr>
      <t>o</t>
    </r>
    <r>
      <rPr>
        <sz val="8"/>
        <color rgb="FF141216"/>
        <rFont val="Calibri"/>
        <family val="2"/>
        <scheme val="minor"/>
      </rPr>
      <t>r</t>
    </r>
    <r>
      <rPr>
        <sz val="8"/>
        <color rgb="FF2D2530"/>
        <rFont val="Calibri"/>
        <family val="2"/>
        <scheme val="minor"/>
      </rPr>
      <t>bera</t>
    </r>
  </si>
  <si>
    <r>
      <t>P</t>
    </r>
    <r>
      <rPr>
        <sz val="8"/>
        <color rgb="FF2E2630"/>
        <rFont val="Calibri"/>
        <family val="2"/>
        <scheme val="minor"/>
      </rPr>
      <t>e</t>
    </r>
    <r>
      <rPr>
        <sz val="8"/>
        <color rgb="FF121013"/>
        <rFont val="Calibri"/>
        <family val="2"/>
        <scheme val="minor"/>
      </rPr>
      <t>r</t>
    </r>
    <r>
      <rPr>
        <sz val="8"/>
        <color rgb="FF2E2630"/>
        <rFont val="Calibri"/>
        <family val="2"/>
        <scheme val="minor"/>
      </rPr>
      <t>en</t>
    </r>
  </si>
  <si>
    <r>
      <t>Qu</t>
    </r>
    <r>
      <rPr>
        <sz val="8"/>
        <color rgb="FF121015"/>
        <rFont val="Calibri"/>
        <family val="2"/>
        <scheme val="minor"/>
      </rPr>
      <t>ill</t>
    </r>
    <r>
      <rPr>
        <sz val="8"/>
        <color rgb="FF2F2631"/>
        <rFont val="Calibri"/>
        <family val="2"/>
        <scheme val="minor"/>
      </rPr>
      <t>a</t>
    </r>
    <r>
      <rPr>
        <sz val="8"/>
        <color rgb="FF121015"/>
        <rFont val="Calibri"/>
        <family val="2"/>
        <scheme val="minor"/>
      </rPr>
      <t>t</t>
    </r>
    <r>
      <rPr>
        <sz val="8"/>
        <color rgb="FF2F2631"/>
        <rFont val="Calibri"/>
        <family val="2"/>
        <scheme val="minor"/>
      </rPr>
      <t>he</t>
    </r>
  </si>
  <si>
    <t>Duagloth</t>
  </si>
  <si>
    <t>Chadra</t>
  </si>
  <si>
    <t>Dyrr</t>
  </si>
  <si>
    <t>Warryn</t>
  </si>
  <si>
    <t>Waywocket</t>
  </si>
  <si>
    <t>Weary</t>
  </si>
  <si>
    <r>
      <t>Ta</t>
    </r>
    <r>
      <rPr>
        <sz val="8"/>
        <color rgb="FF141216"/>
        <rFont val="Calibri"/>
        <family val="2"/>
        <scheme val="minor"/>
      </rPr>
      <t>k</t>
    </r>
    <r>
      <rPr>
        <sz val="8"/>
        <color rgb="FF2D2530"/>
        <rFont val="Calibri"/>
        <family val="2"/>
        <scheme val="minor"/>
      </rPr>
      <t>li</t>
    </r>
    <r>
      <rPr>
        <sz val="8"/>
        <color rgb="FF141216"/>
        <rFont val="Calibri"/>
        <family val="2"/>
        <scheme val="minor"/>
      </rPr>
      <t>n</t>
    </r>
    <r>
      <rPr>
        <sz val="8"/>
        <color rgb="FF2D2530"/>
        <rFont val="Calibri"/>
        <family val="2"/>
        <scheme val="minor"/>
      </rPr>
      <t>n</t>
    </r>
  </si>
  <si>
    <r>
      <t>T</t>
    </r>
    <r>
      <rPr>
        <sz val="8"/>
        <color rgb="FF2D2530"/>
        <rFont val="Calibri"/>
        <family val="2"/>
        <scheme val="minor"/>
      </rPr>
      <t>or</t>
    </r>
    <r>
      <rPr>
        <sz val="8"/>
        <color rgb="FF443B4D"/>
        <rFont val="Calibri"/>
        <family val="2"/>
        <scheme val="minor"/>
      </rPr>
      <t>g</t>
    </r>
    <r>
      <rPr>
        <sz val="8"/>
        <color rgb="FF2D2530"/>
        <rFont val="Calibri"/>
        <family val="2"/>
        <scheme val="minor"/>
      </rPr>
      <t>ga</t>
    </r>
  </si>
  <si>
    <r>
      <t>Qua</t>
    </r>
    <r>
      <rPr>
        <sz val="8"/>
        <color rgb="FF121013"/>
        <rFont val="Calibri"/>
        <family val="2"/>
        <scheme val="minor"/>
      </rPr>
      <t>ri</t>
    </r>
    <r>
      <rPr>
        <sz val="8"/>
        <color rgb="FF453C4D"/>
        <rFont val="Calibri"/>
        <family val="2"/>
        <scheme val="minor"/>
      </rPr>
      <t>o</t>
    </r>
    <r>
      <rPr>
        <sz val="8"/>
        <color rgb="FF121013"/>
        <rFont val="Calibri"/>
        <family val="2"/>
        <scheme val="minor"/>
      </rPr>
      <t>n</t>
    </r>
  </si>
  <si>
    <t>Sariel</t>
  </si>
  <si>
    <t>Durdyn</t>
  </si>
  <si>
    <t>Chadzina</t>
  </si>
  <si>
    <t>Elpragh</t>
  </si>
  <si>
    <t>Wrenn</t>
  </si>
  <si>
    <t>Zanna</t>
  </si>
  <si>
    <r>
      <t>T</t>
    </r>
    <r>
      <rPr>
        <sz val="8"/>
        <color rgb="FF2D2530"/>
        <rFont val="Calibri"/>
        <family val="2"/>
        <scheme val="minor"/>
      </rPr>
      <t>hora</t>
    </r>
    <r>
      <rPr>
        <sz val="8"/>
        <color rgb="FF141216"/>
        <rFont val="Calibri"/>
        <family val="2"/>
        <scheme val="minor"/>
      </rPr>
      <t>d</t>
    </r>
    <r>
      <rPr>
        <sz val="8"/>
        <color rgb="FF2D2530"/>
        <rFont val="Calibri"/>
        <family val="2"/>
        <scheme val="minor"/>
      </rPr>
      <t>i</t>
    </r>
    <r>
      <rPr>
        <sz val="8"/>
        <color rgb="FF141216"/>
        <rFont val="Calibri"/>
        <family val="2"/>
        <scheme val="minor"/>
      </rPr>
      <t>n</t>
    </r>
  </si>
  <si>
    <r>
      <t>Vi</t>
    </r>
    <r>
      <rPr>
        <sz val="8"/>
        <color rgb="FF443B4D"/>
        <rFont val="Calibri"/>
        <family val="2"/>
        <scheme val="minor"/>
      </rPr>
      <t>s</t>
    </r>
    <r>
      <rPr>
        <sz val="8"/>
        <color rgb="FF141216"/>
        <rFont val="Calibri"/>
        <family val="2"/>
        <scheme val="minor"/>
      </rPr>
      <t>tr</t>
    </r>
    <r>
      <rPr>
        <sz val="8"/>
        <color rgb="FF2D2530"/>
        <rFont val="Calibri"/>
        <family val="2"/>
        <scheme val="minor"/>
      </rPr>
      <t>a</t>
    </r>
  </si>
  <si>
    <t>Riardol</t>
  </si>
  <si>
    <r>
      <t>Shanair</t>
    </r>
    <r>
      <rPr>
        <sz val="8"/>
        <color rgb="FF121015"/>
        <rFont val="Calibri"/>
        <family val="2"/>
        <scheme val="minor"/>
      </rPr>
      <t>r</t>
    </r>
    <r>
      <rPr>
        <sz val="8"/>
        <color rgb="FF2F2631"/>
        <rFont val="Calibri"/>
        <family val="2"/>
        <scheme val="minor"/>
      </rPr>
      <t>a</t>
    </r>
  </si>
  <si>
    <t>Elamshin</t>
  </si>
  <si>
    <t>Chalithra</t>
  </si>
  <si>
    <t>Zook</t>
  </si>
  <si>
    <r>
      <t>T</t>
    </r>
    <r>
      <rPr>
        <sz val="8"/>
        <color rgb="FF141216"/>
        <rFont val="Calibri"/>
        <family val="2"/>
        <scheme val="minor"/>
      </rPr>
      <t>h</t>
    </r>
    <r>
      <rPr>
        <sz val="8"/>
        <color rgb="FF2D2530"/>
        <rFont val="Calibri"/>
        <family val="2"/>
        <scheme val="minor"/>
      </rPr>
      <t>orin</t>
    </r>
  </si>
  <si>
    <r>
      <t>R</t>
    </r>
    <r>
      <rPr>
        <sz val="8"/>
        <color rgb="FF453C4D"/>
        <rFont val="Calibri"/>
        <family val="2"/>
        <scheme val="minor"/>
      </rPr>
      <t>o</t>
    </r>
    <r>
      <rPr>
        <sz val="8"/>
        <color rgb="FF2E2630"/>
        <rFont val="Calibri"/>
        <family val="2"/>
        <scheme val="minor"/>
      </rPr>
      <t>le</t>
    </r>
    <r>
      <rPr>
        <sz val="8"/>
        <color rgb="FF121013"/>
        <rFont val="Calibri"/>
        <family val="2"/>
        <scheme val="minor"/>
      </rPr>
      <t>n</t>
    </r>
  </si>
  <si>
    <r>
      <t>S</t>
    </r>
    <r>
      <rPr>
        <sz val="8"/>
        <color rgb="FF121015"/>
        <rFont val="Calibri"/>
        <family val="2"/>
        <scheme val="minor"/>
      </rPr>
      <t>h</t>
    </r>
    <r>
      <rPr>
        <sz val="8"/>
        <color rgb="FF2F2631"/>
        <rFont val="Calibri"/>
        <family val="2"/>
        <scheme val="minor"/>
      </rPr>
      <t>ava</t>
    </r>
  </si>
  <si>
    <t>Elendar</t>
  </si>
  <si>
    <t>Chandara</t>
  </si>
  <si>
    <t>Faertala</t>
  </si>
  <si>
    <r>
      <t>T</t>
    </r>
    <r>
      <rPr>
        <sz val="8"/>
        <color rgb="FF443B4D"/>
        <rFont val="Calibri"/>
        <family val="2"/>
        <scheme val="minor"/>
      </rPr>
      <t>o</t>
    </r>
    <r>
      <rPr>
        <sz val="8"/>
        <color rgb="FF2D2530"/>
        <rFont val="Calibri"/>
        <family val="2"/>
        <scheme val="minor"/>
      </rPr>
      <t>rde</t>
    </r>
    <r>
      <rPr>
        <sz val="8"/>
        <color rgb="FF141216"/>
        <rFont val="Calibri"/>
        <family val="2"/>
        <scheme val="minor"/>
      </rPr>
      <t>k</t>
    </r>
  </si>
  <si>
    <r>
      <t>Sove</t>
    </r>
    <r>
      <rPr>
        <sz val="8"/>
        <color rgb="FF121013"/>
        <rFont val="Calibri"/>
        <family val="2"/>
        <scheme val="minor"/>
      </rPr>
      <t>li</t>
    </r>
    <r>
      <rPr>
        <sz val="8"/>
        <color rgb="FF453C4D"/>
        <rFont val="Calibri"/>
        <family val="2"/>
        <scheme val="minor"/>
      </rPr>
      <t>ss</t>
    </r>
  </si>
  <si>
    <r>
      <t>S</t>
    </r>
    <r>
      <rPr>
        <sz val="8"/>
        <color rgb="FF121015"/>
        <rFont val="Calibri"/>
        <family val="2"/>
        <scheme val="minor"/>
      </rPr>
      <t>il</t>
    </r>
    <r>
      <rPr>
        <sz val="8"/>
        <color rgb="FF2F2631"/>
        <rFont val="Calibri"/>
        <family val="2"/>
        <scheme val="minor"/>
      </rPr>
      <t>aq</t>
    </r>
    <r>
      <rPr>
        <sz val="8"/>
        <color rgb="FF121015"/>
        <rFont val="Calibri"/>
        <family val="2"/>
        <scheme val="minor"/>
      </rPr>
      <t>u</t>
    </r>
    <r>
      <rPr>
        <sz val="8"/>
        <color rgb="FF2F2631"/>
        <rFont val="Calibri"/>
        <family val="2"/>
        <scheme val="minor"/>
      </rPr>
      <t>i</t>
    </r>
    <r>
      <rPr>
        <sz val="8"/>
        <color rgb="FF564A58"/>
        <rFont val="Calibri"/>
        <family val="2"/>
        <scheme val="minor"/>
      </rPr>
      <t>,</t>
    </r>
  </si>
  <si>
    <t>Elkantar</t>
  </si>
  <si>
    <t>Chardalyn</t>
  </si>
  <si>
    <t>Filifar</t>
  </si>
  <si>
    <r>
      <t>T</t>
    </r>
    <r>
      <rPr>
        <sz val="8"/>
        <color rgb="FF2D2530"/>
        <rFont val="Calibri"/>
        <family val="2"/>
        <scheme val="minor"/>
      </rPr>
      <t>raubon</t>
    </r>
  </si>
  <si>
    <r>
      <t>T</t>
    </r>
    <r>
      <rPr>
        <sz val="8"/>
        <color rgb="FF2E2630"/>
        <rFont val="Calibri"/>
        <family val="2"/>
        <scheme val="minor"/>
      </rPr>
      <t>ham</t>
    </r>
    <r>
      <rPr>
        <sz val="8"/>
        <color rgb="FF121013"/>
        <rFont val="Calibri"/>
        <family val="2"/>
        <scheme val="minor"/>
      </rPr>
      <t>i</t>
    </r>
    <r>
      <rPr>
        <sz val="8"/>
        <color rgb="FF453C4D"/>
        <rFont val="Calibri"/>
        <family val="2"/>
        <scheme val="minor"/>
      </rPr>
      <t>o</t>
    </r>
    <r>
      <rPr>
        <sz val="8"/>
        <color rgb="FF121013"/>
        <rFont val="Calibri"/>
        <family val="2"/>
        <scheme val="minor"/>
      </rPr>
      <t>r</t>
    </r>
  </si>
  <si>
    <r>
      <t>T</t>
    </r>
    <r>
      <rPr>
        <sz val="8"/>
        <color rgb="FF2F2631"/>
        <rFont val="Calibri"/>
        <family val="2"/>
        <scheme val="minor"/>
      </rPr>
      <t>heiras</t>
    </r>
    <r>
      <rPr>
        <sz val="8"/>
        <color rgb="FF121015"/>
        <rFont val="Calibri"/>
        <family val="2"/>
        <scheme val="minor"/>
      </rPr>
      <t>tr</t>
    </r>
    <r>
      <rPr>
        <sz val="8"/>
        <color rgb="FF2F2631"/>
        <rFont val="Calibri"/>
        <family val="2"/>
        <scheme val="minor"/>
      </rPr>
      <t>a</t>
    </r>
  </si>
  <si>
    <t>Filraen</t>
  </si>
  <si>
    <t>Charinida</t>
  </si>
  <si>
    <t>Gallaer</t>
  </si>
  <si>
    <r>
      <t>T</t>
    </r>
    <r>
      <rPr>
        <sz val="8"/>
        <color rgb="FF2D2530"/>
        <rFont val="Calibri"/>
        <family val="2"/>
        <scheme val="minor"/>
      </rPr>
      <t>ravok</t>
    </r>
  </si>
  <si>
    <r>
      <t>T</t>
    </r>
    <r>
      <rPr>
        <sz val="8"/>
        <color rgb="FF2E2630"/>
        <rFont val="Calibri"/>
        <family val="2"/>
        <scheme val="minor"/>
      </rPr>
      <t>harivo</t>
    </r>
    <r>
      <rPr>
        <sz val="8"/>
        <color rgb="FF121013"/>
        <rFont val="Calibri"/>
        <family val="2"/>
        <scheme val="minor"/>
      </rPr>
      <t>l</t>
    </r>
  </si>
  <si>
    <r>
      <t>T</t>
    </r>
    <r>
      <rPr>
        <sz val="8"/>
        <color rgb="FF121015"/>
        <rFont val="Calibri"/>
        <family val="2"/>
        <scheme val="minor"/>
      </rPr>
      <t>h</t>
    </r>
    <r>
      <rPr>
        <sz val="8"/>
        <color rgb="FF2F2631"/>
        <rFont val="Calibri"/>
        <family val="2"/>
        <scheme val="minor"/>
      </rPr>
      <t>ia</t>
    </r>
  </si>
  <si>
    <t>Ghaundan</t>
  </si>
  <si>
    <t>Charlindra</t>
  </si>
  <si>
    <t>Glannath</t>
  </si>
  <si>
    <r>
      <t>U</t>
    </r>
    <r>
      <rPr>
        <sz val="8"/>
        <color rgb="FF141216"/>
        <rFont val="Calibri"/>
        <family val="2"/>
        <scheme val="minor"/>
      </rPr>
      <t>lf</t>
    </r>
    <r>
      <rPr>
        <sz val="8"/>
        <color rgb="FF443B4D"/>
        <rFont val="Calibri"/>
        <family val="2"/>
        <scheme val="minor"/>
      </rPr>
      <t>g</t>
    </r>
    <r>
      <rPr>
        <sz val="8"/>
        <color rgb="FF2D2530"/>
        <rFont val="Calibri"/>
        <family val="2"/>
        <scheme val="minor"/>
      </rPr>
      <t>ar</t>
    </r>
  </si>
  <si>
    <r>
      <t>T</t>
    </r>
    <r>
      <rPr>
        <sz val="8"/>
        <color rgb="FF121013"/>
        <rFont val="Calibri"/>
        <family val="2"/>
        <scheme val="minor"/>
      </rPr>
      <t>h</t>
    </r>
    <r>
      <rPr>
        <sz val="8"/>
        <color rgb="FF2E2630"/>
        <rFont val="Calibri"/>
        <family val="2"/>
        <scheme val="minor"/>
      </rPr>
      <t>e</t>
    </r>
    <r>
      <rPr>
        <sz val="8"/>
        <color rgb="FF121013"/>
        <rFont val="Calibri"/>
        <family val="2"/>
        <scheme val="minor"/>
      </rPr>
      <t>r</t>
    </r>
    <r>
      <rPr>
        <sz val="8"/>
        <color rgb="FF2E2630"/>
        <rFont val="Calibri"/>
        <family val="2"/>
        <scheme val="minor"/>
      </rPr>
      <t>en</t>
    </r>
  </si>
  <si>
    <t>Vadania</t>
  </si>
  <si>
    <t>Ghaundar</t>
  </si>
  <si>
    <t>Chenzira</t>
  </si>
  <si>
    <t>Glaurach</t>
  </si>
  <si>
    <r>
      <t>Ve</t>
    </r>
    <r>
      <rPr>
        <sz val="8"/>
        <color rgb="FF141216"/>
        <rFont val="Calibri"/>
        <family val="2"/>
        <scheme val="minor"/>
      </rPr>
      <t>it</t>
    </r>
  </si>
  <si>
    <r>
      <t>Vari</t>
    </r>
    <r>
      <rPr>
        <sz val="8"/>
        <color rgb="FF453C4D"/>
        <rFont val="Calibri"/>
        <family val="2"/>
        <scheme val="minor"/>
      </rPr>
      <t>s</t>
    </r>
  </si>
  <si>
    <t>Valanthe</t>
  </si>
  <si>
    <t>Guldor</t>
  </si>
  <si>
    <t>Chessintra</t>
  </si>
  <si>
    <t>Helviiryn</t>
  </si>
  <si>
    <r>
      <t>V</t>
    </r>
    <r>
      <rPr>
        <sz val="8"/>
        <color rgb="FF443B4D"/>
        <rFont val="Calibri"/>
        <family val="2"/>
        <scheme val="minor"/>
      </rPr>
      <t>o</t>
    </r>
    <r>
      <rPr>
        <sz val="8"/>
        <color rgb="FF141216"/>
        <rFont val="Calibri"/>
        <family val="2"/>
        <scheme val="minor"/>
      </rPr>
      <t>n</t>
    </r>
    <r>
      <rPr>
        <sz val="8"/>
        <color rgb="FF2D2530"/>
        <rFont val="Calibri"/>
        <family val="2"/>
        <scheme val="minor"/>
      </rPr>
      <t>da</t>
    </r>
    <r>
      <rPr>
        <sz val="8"/>
        <color rgb="FF141216"/>
        <rFont val="Calibri"/>
        <family val="2"/>
        <scheme val="minor"/>
      </rPr>
      <t>l</t>
    </r>
  </si>
  <si>
    <r>
      <t>Xa</t>
    </r>
    <r>
      <rPr>
        <sz val="8"/>
        <color rgb="FF121015"/>
        <rFont val="Calibri"/>
        <family val="2"/>
        <scheme val="minor"/>
      </rPr>
      <t>n</t>
    </r>
    <r>
      <rPr>
        <sz val="8"/>
        <color rgb="FF2F2631"/>
        <rFont val="Calibri"/>
        <family val="2"/>
        <scheme val="minor"/>
      </rPr>
      <t>a</t>
    </r>
    <r>
      <rPr>
        <sz val="8"/>
        <color rgb="FF121015"/>
        <rFont val="Calibri"/>
        <family val="2"/>
        <scheme val="minor"/>
      </rPr>
      <t>p</t>
    </r>
    <r>
      <rPr>
        <sz val="8"/>
        <color rgb="FF2F2631"/>
        <rFont val="Calibri"/>
        <family val="2"/>
        <scheme val="minor"/>
      </rPr>
      <t>h</t>
    </r>
    <r>
      <rPr>
        <sz val="8"/>
        <color rgb="FF121015"/>
        <rFont val="Calibri"/>
        <family val="2"/>
        <scheme val="minor"/>
      </rPr>
      <t>i</t>
    </r>
    <r>
      <rPr>
        <sz val="8"/>
        <color rgb="FF2F2631"/>
        <rFont val="Calibri"/>
        <family val="2"/>
        <scheme val="minor"/>
      </rPr>
      <t>a</t>
    </r>
  </si>
  <si>
    <t>Dhaunae</t>
  </si>
  <si>
    <t>Hune</t>
  </si>
  <si>
    <t>Gwylyss</t>
  </si>
  <si>
    <t>Dilynrae</t>
  </si>
  <si>
    <t>Hunzrin</t>
  </si>
  <si>
    <t>Hadrogh</t>
  </si>
  <si>
    <t>Drada</t>
  </si>
  <si>
    <t>Hyluan</t>
  </si>
  <si>
    <t>Hatch'net</t>
  </si>
  <si>
    <t>Drisinil</t>
  </si>
  <si>
    <t>Icharyd</t>
  </si>
  <si>
    <t>Honemmeth</t>
  </si>
  <si>
    <t>Eclavdra</t>
  </si>
  <si>
    <t>Ilaleztice</t>
  </si>
  <si>
    <t>Houndaer</t>
  </si>
  <si>
    <t>Elerra</t>
  </si>
  <si>
    <t>Illistyn</t>
  </si>
  <si>
    <t>Ildan</t>
  </si>
  <si>
    <t>Elvanshalee</t>
  </si>
  <si>
    <t>Illykur</t>
  </si>
  <si>
    <t>Ilmryn</t>
  </si>
  <si>
    <t>Elvraema</t>
  </si>
  <si>
    <t>Jhalavar</t>
  </si>
  <si>
    <t>Ilphrin</t>
  </si>
  <si>
    <t>Erakasyne</t>
  </si>
  <si>
    <t>Jusztiirn</t>
  </si>
  <si>
    <t>Imbros</t>
  </si>
  <si>
    <t>Ereldra</t>
  </si>
  <si>
    <t>Keteeruae</t>
  </si>
  <si>
    <t>Irennan</t>
  </si>
  <si>
    <t>Faeryl</t>
  </si>
  <si>
    <t>Khalazza</t>
  </si>
  <si>
    <t>Istolil</t>
  </si>
  <si>
    <t>Felyndiira</t>
  </si>
  <si>
    <t>Istorvir</t>
  </si>
  <si>
    <t>Kront'tane</t>
  </si>
  <si>
    <t>Iymril</t>
  </si>
  <si>
    <t>Filfaere</t>
  </si>
  <si>
    <t>Lhalabar</t>
  </si>
  <si>
    <t>Jaezred</t>
  </si>
  <si>
    <t>G'eldriia</t>
  </si>
  <si>
    <t>Lueltar</t>
  </si>
  <si>
    <t>Jalynfein</t>
  </si>
  <si>
    <t>Gaussra</t>
  </si>
  <si>
    <t>Mizzrym</t>
  </si>
  <si>
    <t>Jeggred</t>
  </si>
  <si>
    <t>Ghilanna</t>
  </si>
  <si>
    <t>Mlezziir</t>
  </si>
  <si>
    <t>Jevan</t>
  </si>
  <si>
    <t>Greyanna</t>
  </si>
  <si>
    <t>Naerth</t>
  </si>
  <si>
    <t>Jhaamdath</t>
  </si>
  <si>
    <t>Gurina</t>
  </si>
  <si>
    <t>Nirinath</t>
  </si>
  <si>
    <t>Jhaldrym</t>
  </si>
  <si>
    <t>Haelra</t>
  </si>
  <si>
    <t>Olonrae</t>
  </si>
  <si>
    <t>Jivvin</t>
  </si>
  <si>
    <t>Halisstra</t>
  </si>
  <si>
    <t>Omriwin</t>
  </si>
  <si>
    <t>Jyslin</t>
  </si>
  <si>
    <t>Ilharess</t>
  </si>
  <si>
    <t>Philiom</t>
  </si>
  <si>
    <t>K'yorl</t>
  </si>
  <si>
    <t>Ilivarrra</t>
  </si>
  <si>
    <t>Quavein</t>
  </si>
  <si>
    <t>Kalannar</t>
  </si>
  <si>
    <t>Ilmra</t>
  </si>
  <si>
    <t>Rhomduil</t>
  </si>
  <si>
    <t>Kethan</t>
  </si>
  <si>
    <t>Imrae</t>
  </si>
  <si>
    <t>Rrostarr</t>
  </si>
  <si>
    <t>Kluthruel</t>
  </si>
  <si>
    <t>Jaelryn</t>
  </si>
  <si>
    <t>Seerear</t>
  </si>
  <si>
    <t>Kophyn</t>
  </si>
  <si>
    <t>Jezzara</t>
  </si>
  <si>
    <t>Ssambra</t>
  </si>
  <si>
    <t>Krenaste</t>
  </si>
  <si>
    <t>Jhaelryna</t>
  </si>
  <si>
    <t>T'orgh</t>
  </si>
  <si>
    <t>Krondorl</t>
  </si>
  <si>
    <t>Jhaelrynna</t>
  </si>
  <si>
    <t>T'sarran</t>
  </si>
  <si>
    <t>Kyorlin</t>
  </si>
  <si>
    <t>Jhalass</t>
  </si>
  <si>
    <t>Tanor'Thal</t>
  </si>
  <si>
    <t>Lesaonar</t>
  </si>
  <si>
    <t>Jhangara</t>
  </si>
  <si>
    <t>Telenna</t>
  </si>
  <si>
    <t>Lirdnolu</t>
  </si>
  <si>
    <t>Jhanniss</t>
  </si>
  <si>
    <t>Tlin'orzza</t>
  </si>
  <si>
    <t>Llaulmyn</t>
  </si>
  <si>
    <t>Jhulae</t>
  </si>
  <si>
    <t>Tlintarn</t>
  </si>
  <si>
    <t>Malaggar</t>
  </si>
  <si>
    <t>Khaless</t>
  </si>
  <si>
    <t>Tuin</t>
  </si>
  <si>
    <t>Micarlin</t>
  </si>
  <si>
    <t>Kiaran</t>
  </si>
  <si>
    <t>Uloavae</t>
  </si>
  <si>
    <t>Minolin</t>
  </si>
  <si>
    <t>Laele</t>
  </si>
  <si>
    <t>Vrammyr</t>
  </si>
  <si>
    <t>Molvayas</t>
  </si>
  <si>
    <t>Vrinn</t>
  </si>
  <si>
    <t>Morennel</t>
  </si>
  <si>
    <t>Larynda</t>
  </si>
  <si>
    <t>Waeglossz</t>
  </si>
  <si>
    <t>Nadal</t>
  </si>
  <si>
    <t>LiNeerlay</t>
  </si>
  <si>
    <t>Xiltyn</t>
  </si>
  <si>
    <t>Nalfein</t>
  </si>
  <si>
    <t>Lledrith</t>
  </si>
  <si>
    <t>Yauntyrr</t>
  </si>
  <si>
    <t>Narissorin</t>
  </si>
  <si>
    <t>Llolfaen</t>
  </si>
  <si>
    <t>Yauthlo</t>
  </si>
  <si>
    <t>Narlros</t>
  </si>
  <si>
    <t>Lualyrr</t>
  </si>
  <si>
    <t>Yril'Lysaen</t>
  </si>
  <si>
    <t>Nilonim</t>
  </si>
  <si>
    <t>Lythrana</t>
  </si>
  <si>
    <t>Zaphresz</t>
  </si>
  <si>
    <t>Nimruil</t>
  </si>
  <si>
    <t>Malice</t>
  </si>
  <si>
    <t>Zauviir</t>
  </si>
  <si>
    <t>Numrini'th</t>
  </si>
  <si>
    <t>Maya</t>
  </si>
  <si>
    <t>Zolond</t>
  </si>
  <si>
    <t>Nyloth</t>
  </si>
  <si>
    <t>Menzoberra</t>
  </si>
  <si>
    <t>Nym</t>
  </si>
  <si>
    <t>Mez'Barris</t>
  </si>
  <si>
    <t>Omareth</t>
  </si>
  <si>
    <t>Orgoloth</t>
  </si>
  <si>
    <t>Miz'ri</t>
  </si>
  <si>
    <t>Ornaryn</t>
  </si>
  <si>
    <t>Pharaun</t>
  </si>
  <si>
    <t>Myrymma</t>
  </si>
  <si>
    <t>Pharius</t>
  </si>
  <si>
    <t>Narcelia</t>
  </si>
  <si>
    <t>Quave</t>
  </si>
  <si>
    <t>Nathrae</t>
  </si>
  <si>
    <t>Quendar</t>
  </si>
  <si>
    <t>Nedylene</t>
  </si>
  <si>
    <t>Quenthel</t>
  </si>
  <si>
    <t>Nendra</t>
  </si>
  <si>
    <t>Quevven</t>
  </si>
  <si>
    <t>Nizana</t>
  </si>
  <si>
    <t>Ranaghar</t>
  </si>
  <si>
    <t>Nulliira</t>
  </si>
  <si>
    <t>Relonor</t>
  </si>
  <si>
    <t>Olorae</t>
  </si>
  <si>
    <t>Riklaunim</t>
  </si>
  <si>
    <t>Pellanistra</t>
  </si>
  <si>
    <t>Rinnill</t>
  </si>
  <si>
    <t>Phaere</t>
  </si>
  <si>
    <t>Ristel</t>
  </si>
  <si>
    <t>Phyrra</t>
  </si>
  <si>
    <t>Ruathym</t>
  </si>
  <si>
    <t>Qilue</t>
  </si>
  <si>
    <t>Ryld</t>
  </si>
  <si>
    <t>Quarra</t>
  </si>
  <si>
    <t>Ryltar</t>
  </si>
  <si>
    <t>Rauva</t>
  </si>
  <si>
    <t>Sabal</t>
  </si>
  <si>
    <t>Rilrae</t>
  </si>
  <si>
    <t>Selakiir</t>
  </si>
  <si>
    <t>Sabrae</t>
  </si>
  <si>
    <t>Seldszar</t>
  </si>
  <si>
    <t>Saradreza</t>
  </si>
  <si>
    <t>Sassandra</t>
  </si>
  <si>
    <t>Sengo</t>
  </si>
  <si>
    <t>Schezalle</t>
  </si>
  <si>
    <t>Solaufein</t>
  </si>
  <si>
    <t>Shimyra</t>
  </si>
  <si>
    <t>Sorn</t>
  </si>
  <si>
    <t>ShriNeerune</t>
  </si>
  <si>
    <t>Syrdar</t>
  </si>
  <si>
    <t>Shulvallriel</t>
  </si>
  <si>
    <t>Szordrin</t>
  </si>
  <si>
    <t>Shurdriira</t>
  </si>
  <si>
    <t>Taldinyon</t>
  </si>
  <si>
    <t>Shurraenil</t>
  </si>
  <si>
    <t>Tarlyn</t>
  </si>
  <si>
    <t>Shyntlara</t>
  </si>
  <si>
    <t>Tathlyn</t>
  </si>
  <si>
    <t>SiNafay</t>
  </si>
  <si>
    <t>Tazennin</t>
  </si>
  <si>
    <t>Sindyrrith</t>
  </si>
  <si>
    <t>Tebryn</t>
  </si>
  <si>
    <t>Solenzara</t>
  </si>
  <si>
    <t>Tolokoph</t>
  </si>
  <si>
    <t>Ssapriina</t>
  </si>
  <si>
    <t>Torrellan</t>
  </si>
  <si>
    <t>T'risstree</t>
  </si>
  <si>
    <t>Trelgath</t>
  </si>
  <si>
    <t>Talabrina</t>
  </si>
  <si>
    <t>Tsabrak</t>
  </si>
  <si>
    <t>Talice</t>
  </si>
  <si>
    <t>Urlryn</t>
  </si>
  <si>
    <t>Tallrene</t>
  </si>
  <si>
    <t>Valas</t>
  </si>
  <si>
    <t>Thalra</t>
  </si>
  <si>
    <t>Veldrin</t>
  </si>
  <si>
    <t>Thirza</t>
  </si>
  <si>
    <t>Velkyn</t>
  </si>
  <si>
    <t>Thraele</t>
  </si>
  <si>
    <t>Vhurdaer</t>
  </si>
  <si>
    <t>Triel</t>
  </si>
  <si>
    <t>Vhurindrar</t>
  </si>
  <si>
    <t>Ulitree</t>
  </si>
  <si>
    <t>Vielyn</t>
  </si>
  <si>
    <t>Ulviirala</t>
  </si>
  <si>
    <t>Vlondril</t>
  </si>
  <si>
    <t>Umrae</t>
  </si>
  <si>
    <t>Vorn</t>
  </si>
  <si>
    <t>Vuzlyn</t>
  </si>
  <si>
    <t>Urmelena</t>
  </si>
  <si>
    <t>Welverin</t>
  </si>
  <si>
    <t>Vhondryl</t>
  </si>
  <si>
    <t>Xarann</t>
  </si>
  <si>
    <t>Viconia</t>
  </si>
  <si>
    <t>Xundus</t>
  </si>
  <si>
    <t>Vierna</t>
  </si>
  <si>
    <t>Yazston</t>
  </si>
  <si>
    <t>Vornalla</t>
  </si>
  <si>
    <t>Yuimmar</t>
  </si>
  <si>
    <t>Waerva</t>
  </si>
  <si>
    <t>Zaknafein</t>
  </si>
  <si>
    <t>Wuyondra</t>
  </si>
  <si>
    <t>Zeerith</t>
  </si>
  <si>
    <t>Xalyth</t>
  </si>
  <si>
    <t>Zyn</t>
  </si>
  <si>
    <t>Xullrae</t>
  </si>
  <si>
    <t>Xune</t>
  </si>
  <si>
    <t>Yasrena</t>
  </si>
  <si>
    <t>Yvonnel</t>
  </si>
  <si>
    <t>Z'ress</t>
  </si>
  <si>
    <t>Zarra</t>
  </si>
  <si>
    <t>Zebeyana</t>
  </si>
  <si>
    <t>Zelpassa</t>
  </si>
  <si>
    <t>Zendalure</t>
  </si>
  <si>
    <t>Zesstra</t>
  </si>
  <si>
    <t>Zilvra</t>
  </si>
  <si>
    <t>Alert</t>
  </si>
  <si>
    <t>Athlete</t>
  </si>
  <si>
    <t>Actor</t>
  </si>
  <si>
    <t>Defensive Duelist</t>
  </si>
  <si>
    <t>Dungeon Delver</t>
  </si>
  <si>
    <t>Durable</t>
  </si>
  <si>
    <t>Elemental Adept</t>
  </si>
  <si>
    <t>Grappler</t>
  </si>
  <si>
    <t>Great Weapon Master</t>
  </si>
  <si>
    <t>Heavily Armored</t>
  </si>
  <si>
    <t>Heavy Armor Master</t>
  </si>
  <si>
    <t>Inspiring Leader</t>
  </si>
  <si>
    <t>Keen Mind</t>
  </si>
  <si>
    <t>Lightly Armored</t>
  </si>
  <si>
    <t>Linguist</t>
  </si>
  <si>
    <t>Lucky</t>
  </si>
  <si>
    <t>Mage Slayer</t>
  </si>
  <si>
    <t>Magic Initiate</t>
  </si>
  <si>
    <t>Martial Adept</t>
  </si>
  <si>
    <t>Medium Armor Master</t>
  </si>
  <si>
    <t>Mobile</t>
  </si>
  <si>
    <t>Moderately Armored</t>
  </si>
  <si>
    <t>Mounted Combatant</t>
  </si>
  <si>
    <t>Observant</t>
  </si>
  <si>
    <t>Polearm Master</t>
  </si>
  <si>
    <t>Resilient</t>
  </si>
  <si>
    <t>Ritual Caster</t>
  </si>
  <si>
    <t>Savage Attacker</t>
  </si>
  <si>
    <t>Sentinel</t>
  </si>
  <si>
    <t>Sharpshooter</t>
  </si>
  <si>
    <t>Shield Master</t>
  </si>
  <si>
    <t>Skilled</t>
  </si>
  <si>
    <t>Skulker</t>
  </si>
  <si>
    <t>Spell Sniper</t>
  </si>
  <si>
    <t>Tavern Brawler</t>
  </si>
  <si>
    <t>Tough</t>
  </si>
  <si>
    <t>War Caster</t>
  </si>
  <si>
    <t>Weapon Master</t>
  </si>
  <si>
    <t>Explorer's Pack</t>
  </si>
  <si>
    <t>Free Points</t>
  </si>
  <si>
    <t>Stonecunning</t>
  </si>
  <si>
    <t>Dwarven Armor Training</t>
  </si>
  <si>
    <t>Elf Weapon Training</t>
  </si>
  <si>
    <t>Halfling Nimbleness</t>
  </si>
  <si>
    <t>Naturally Stealthy</t>
  </si>
  <si>
    <t>Stout Resilience</t>
  </si>
  <si>
    <t>Gnome Cunning</t>
  </si>
  <si>
    <t>Natural Illusionist</t>
  </si>
  <si>
    <t>Speak with Small Beasts</t>
  </si>
  <si>
    <t>Artificer's Lore</t>
  </si>
  <si>
    <t>Tinker</t>
  </si>
  <si>
    <t>Keen Senses</t>
  </si>
  <si>
    <t>Racial Trait 5</t>
  </si>
  <si>
    <t>Relentless Endurance</t>
  </si>
  <si>
    <t>Savage Attacks</t>
  </si>
  <si>
    <t>Hellish Resistance</t>
  </si>
  <si>
    <t>Infernal Legacy</t>
  </si>
  <si>
    <t>Breath Weapon</t>
  </si>
  <si>
    <t>Damage Resistance</t>
  </si>
  <si>
    <t>Draconic Ancestry</t>
  </si>
  <si>
    <t>Drow Weapon Training</t>
  </si>
  <si>
    <t>Drow Magic</t>
  </si>
  <si>
    <t>Sun Sensitivity</t>
  </si>
  <si>
    <t>Class Skill</t>
  </si>
  <si>
    <t>Racial Skill</t>
  </si>
  <si>
    <t>Background Skill</t>
  </si>
  <si>
    <t>Free Skill</t>
  </si>
  <si>
    <t>Class skill points</t>
  </si>
  <si>
    <t>Main Class</t>
  </si>
  <si>
    <t>Выбранный класс</t>
  </si>
  <si>
    <t>ST Str</t>
  </si>
  <si>
    <t>ST Dex</t>
  </si>
  <si>
    <t>ST Con</t>
  </si>
  <si>
    <t>ST Int</t>
  </si>
  <si>
    <t>ST Wis</t>
  </si>
  <si>
    <t>ST Cha</t>
  </si>
  <si>
    <t>Mod</t>
  </si>
  <si>
    <t>Prof</t>
  </si>
  <si>
    <t>Skills</t>
  </si>
  <si>
    <t>Abilites</t>
  </si>
  <si>
    <t>Personality Characteristics</t>
  </si>
  <si>
    <t>Class Traits</t>
  </si>
  <si>
    <t>Total</t>
  </si>
  <si>
    <t>Class Specialty Name</t>
  </si>
  <si>
    <t>College of</t>
  </si>
  <si>
    <t>Path of</t>
  </si>
  <si>
    <t>Domain of</t>
  </si>
  <si>
    <t>Circle</t>
  </si>
  <si>
    <t>Martial Archetype</t>
  </si>
  <si>
    <t>Oath of</t>
  </si>
  <si>
    <t>Tradition of</t>
  </si>
  <si>
    <t>Ranger Archetype</t>
  </si>
  <si>
    <t>Rogue Archetype</t>
  </si>
  <si>
    <t>Power Source</t>
  </si>
  <si>
    <t>Pact of</t>
  </si>
  <si>
    <t>Total LVL</t>
  </si>
  <si>
    <t>ST1</t>
  </si>
  <si>
    <t>ST2</t>
  </si>
  <si>
    <t>Saving Throw 1</t>
  </si>
  <si>
    <t>Saving Throw 2</t>
  </si>
  <si>
    <t>JoT</t>
  </si>
  <si>
    <t>Expert</t>
  </si>
  <si>
    <t>total</t>
  </si>
  <si>
    <t>misc</t>
  </si>
  <si>
    <t>prof</t>
  </si>
  <si>
    <t>mod</t>
  </si>
  <si>
    <t>Unarmored Defense (Wis)</t>
  </si>
  <si>
    <t>Unarmored Defense (Con)</t>
  </si>
  <si>
    <t>Improved Ability Score</t>
  </si>
  <si>
    <t>Rage</t>
  </si>
  <si>
    <t>Bardic Inspiration (d6)</t>
  </si>
  <si>
    <t>Divine Domain</t>
  </si>
  <si>
    <t>Druidic language</t>
  </si>
  <si>
    <t>Second Wind</t>
  </si>
  <si>
    <t>Martial Arts</t>
  </si>
  <si>
    <t>Lay on Hands</t>
  </si>
  <si>
    <t>Divine Sense</t>
  </si>
  <si>
    <t>Natural Explorer</t>
  </si>
  <si>
    <t>Favored Enemy</t>
  </si>
  <si>
    <t>Expertise</t>
  </si>
  <si>
    <t>Sneak Attack</t>
  </si>
  <si>
    <t>Thieves' Cant</t>
  </si>
  <si>
    <t>Sorcerous Origin</t>
  </si>
  <si>
    <t>Otherworldly Patron</t>
  </si>
  <si>
    <t>Pact Magic</t>
  </si>
  <si>
    <t>Arcane Recovery</t>
  </si>
  <si>
    <t>Danger Sense</t>
  </si>
  <si>
    <t>Reckless Attack</t>
  </si>
  <si>
    <t>Channel Divinity (1/rest)</t>
  </si>
  <si>
    <t>Divine Domain feature</t>
  </si>
  <si>
    <t>Wild Shape</t>
  </si>
  <si>
    <t>Druid Circle</t>
  </si>
  <si>
    <t>Unarmored Movement</t>
  </si>
  <si>
    <t>Divine Smite'</t>
  </si>
  <si>
    <t>You have disadvantage when you use a lance to attack a target within 5 feet of you. Also, a lance requires two hands to wield when you aren’t mounted.</t>
  </si>
  <si>
    <t xml:space="preserve">Large or smaller creature hit by a net is restrained until it is freed. A net has no effect on creatures that are formless, or creatures that are Huge or larger. A creature can use its action to make a DC 10 Strength check, freeing itself or another creature within its reach on a success. Dealing 5 slashing damage to the net (AC 10) also frees the creature without harming it, ending the effect and destroying the net. </t>
  </si>
  <si>
    <t>When you use an action, bonus action, or reaction to attack with a net, you can make only one attack regardless of the number of attacks you can normally make</t>
  </si>
  <si>
    <t>Bonus Feat</t>
  </si>
  <si>
    <t>Spellcasting (Wiz)</t>
  </si>
  <si>
    <t>Spellcasting (Sor)</t>
  </si>
  <si>
    <t>Spellcasting (Pal)</t>
  </si>
  <si>
    <t>Spellcasting (Rng)</t>
  </si>
  <si>
    <t>Spellcasting (EK)</t>
  </si>
  <si>
    <t>Spellcasting (AT)</t>
  </si>
  <si>
    <t>Spellcasting (Warlock)</t>
  </si>
  <si>
    <t>Spellcasting (Divine)</t>
  </si>
  <si>
    <t>Fighting Style (f)</t>
  </si>
  <si>
    <t>Fighting Style (p)</t>
  </si>
  <si>
    <t>Fighting Style (r)</t>
  </si>
  <si>
    <t>Jack of Trades</t>
  </si>
  <si>
    <t>Cantrips</t>
  </si>
  <si>
    <t>Known</t>
  </si>
  <si>
    <t>Slots</t>
  </si>
  <si>
    <t>Number of Uses</t>
  </si>
  <si>
    <t>Bardic Inspiration</t>
  </si>
  <si>
    <t>Song of Rest</t>
  </si>
  <si>
    <t>Channel Divinity</t>
  </si>
  <si>
    <t>Beast Shape Max. CR</t>
  </si>
  <si>
    <t>Moon Shape Max. CR</t>
  </si>
  <si>
    <t>Limitations</t>
  </si>
  <si>
    <t>1/4</t>
  </si>
  <si>
    <t>No Flying/Swimming</t>
  </si>
  <si>
    <t>1/2</t>
  </si>
  <si>
    <t>No Flying</t>
  </si>
  <si>
    <t>Action Surge</t>
  </si>
  <si>
    <t>Indomitable</t>
  </si>
  <si>
    <t>Ki</t>
  </si>
  <si>
    <t>Movement</t>
  </si>
  <si>
    <t>10ft</t>
  </si>
  <si>
    <t>15ft</t>
  </si>
  <si>
    <t>20ft</t>
  </si>
  <si>
    <t>25ft</t>
  </si>
  <si>
    <t>30ft</t>
  </si>
  <si>
    <t>3d6</t>
  </si>
  <si>
    <t>4d6</t>
  </si>
  <si>
    <t>5d6</t>
  </si>
  <si>
    <t>6d6</t>
  </si>
  <si>
    <t>7d6</t>
  </si>
  <si>
    <t>8d6</t>
  </si>
  <si>
    <t>9d6</t>
  </si>
  <si>
    <t>10d6</t>
  </si>
  <si>
    <t>Sorcery Points</t>
  </si>
  <si>
    <t>Invocations</t>
  </si>
  <si>
    <t>Slot Level</t>
  </si>
  <si>
    <t>Rages</t>
  </si>
  <si>
    <t>Rage Damage</t>
  </si>
  <si>
    <t>Brutal Critical</t>
  </si>
  <si>
    <t>+1</t>
  </si>
  <si>
    <t>+2</t>
  </si>
  <si>
    <t>+3</t>
  </si>
  <si>
    <t>Unlimited</t>
  </si>
  <si>
    <t>level</t>
  </si>
  <si>
    <t>Components</t>
  </si>
  <si>
    <t>Duration</t>
  </si>
  <si>
    <t>Acid Splash</t>
  </si>
  <si>
    <t>Aid</t>
  </si>
  <si>
    <t>Alarm</t>
  </si>
  <si>
    <t>Alter Self</t>
  </si>
  <si>
    <t>Self</t>
  </si>
  <si>
    <t>Animal Friendship</t>
  </si>
  <si>
    <t>Animal Messenger</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</si>
  <si>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</si>
  <si>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</si>
  <si>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Animate Dead</t>
  </si>
  <si>
    <t>Animate Objects</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</si>
  <si>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</si>
  <si>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affected creature is forced to pass through the barrier, the spell ends.</t>
  </si>
  <si>
    <t>Antimagic Field</t>
  </si>
  <si>
    <t>Antipathy/Sympathy</t>
  </si>
  <si>
    <t>10 days</t>
  </si>
  <si>
    <t>Arcane Eye</t>
  </si>
  <si>
    <t>Arcane Gate</t>
  </si>
  <si>
    <t>Arcane Lock</t>
  </si>
  <si>
    <t>Armor of Agathys</t>
  </si>
  <si>
    <t>Arms of Hadar</t>
  </si>
  <si>
    <t>Astral Projection</t>
  </si>
  <si>
    <t>Augury</t>
  </si>
  <si>
    <t>Aura of Life</t>
  </si>
  <si>
    <t>V</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</si>
  <si>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</si>
  <si>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</si>
  <si>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blinded, charmed, deafened, frightened, paralyzed, poisoned, and stunned.</t>
  </si>
  <si>
    <t>Aura of Vitality</t>
  </si>
  <si>
    <t>Healing energy radiates from you in an aura with a 30-foot radius. Until the spell ends, the aura moves with you, centered on you. You can use a bonus action to cause one creature in the aura (including you) to regain 2d6 hit points.</t>
  </si>
  <si>
    <t>Awaken</t>
  </si>
  <si>
    <t>Bane</t>
  </si>
  <si>
    <t>Banishing Smite</t>
  </si>
  <si>
    <t>Banishment</t>
  </si>
  <si>
    <t>Barkskin</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</si>
  <si>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</si>
  <si>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</si>
  <si>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Beast Sense</t>
  </si>
  <si>
    <t>S</t>
  </si>
  <si>
    <t>You touch a willing beast. For the duration of the spell, you can use your action to see through the beast’s eyes and hear what it hears, and continue to do so until you use your action to return to your normal senses. While perceiving through the beast’s senses, you gain the benefits of any special senses possessed by that creature, though you are blinded and deafened to your own surroundings.</t>
  </si>
  <si>
    <t>Bestow Curse</t>
  </si>
  <si>
    <t>Bigby's Hand</t>
  </si>
  <si>
    <t>Blade Barrier</t>
  </si>
  <si>
    <t>Blade Ward</t>
  </si>
  <si>
    <t>You extend your hand and trace a sigil of warding in the air. Until the end of your next turn, you have resistance against bludgeoning, piercing, and slashing damage dealt by weapon attacks.</t>
  </si>
  <si>
    <t>Bless</t>
  </si>
  <si>
    <t>Blight</t>
  </si>
  <si>
    <t>Blinding Smite</t>
  </si>
  <si>
    <t>Blindness/Deafness</t>
  </si>
  <si>
    <t>Blink</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</si>
  <si>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</si>
  <si>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</si>
  <si>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Branding Smite</t>
  </si>
  <si>
    <t>Burning Hands</t>
  </si>
  <si>
    <t>Call Lightning</t>
  </si>
  <si>
    <t>Calm Emotions</t>
  </si>
  <si>
    <t>Chain Lightning</t>
  </si>
  <si>
    <t>Charm Person</t>
  </si>
  <si>
    <t>Chill Touch</t>
  </si>
  <si>
    <t>Chromatic Orb</t>
  </si>
  <si>
    <t>Circle of Death</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</si>
  <si>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</si>
  <si>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</si>
  <si>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Clairvoyance</t>
  </si>
  <si>
    <t>1 mile</t>
  </si>
  <si>
    <t>Clone</t>
  </si>
  <si>
    <t>Cloud of Daggers</t>
  </si>
  <si>
    <t>Cloudkill</t>
  </si>
  <si>
    <t>Color Spray</t>
  </si>
  <si>
    <t>Command</t>
  </si>
  <si>
    <t>Commune</t>
  </si>
  <si>
    <t>Commune with Nature</t>
  </si>
  <si>
    <t>Compelled Duel</t>
  </si>
  <si>
    <t>Comprehend Languages</t>
  </si>
  <si>
    <t>Compulsion</t>
  </si>
  <si>
    <t>Cone of Cold</t>
  </si>
  <si>
    <t>Confusion</t>
  </si>
  <si>
    <t>Conjure Animals</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</si>
  <si>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</si>
  <si>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</si>
  <si>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Conjure Celestial</t>
  </si>
  <si>
    <t>Conjure Elemental</t>
  </si>
  <si>
    <t>Conjure Fey</t>
  </si>
  <si>
    <t>Conjure Minor Elementals</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</si>
  <si>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</si>
  <si>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</si>
  <si>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Conjure Woodland Beings</t>
  </si>
  <si>
    <t>Contact Other Plane</t>
  </si>
  <si>
    <t>Contagion</t>
  </si>
  <si>
    <t>7 days</t>
  </si>
  <si>
    <t>Contingency</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</si>
  <si>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</si>
  <si>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</si>
  <si>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Control Water</t>
  </si>
  <si>
    <t>Cordon of Arrows</t>
  </si>
  <si>
    <t>Counterspell</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</si>
  <si>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</si>
  <si>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</si>
  <si>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Create or Destroy Water</t>
  </si>
  <si>
    <t>Create Undead</t>
  </si>
  <si>
    <t>Creation</t>
  </si>
  <si>
    <t>Crown of Madness</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</si>
  <si>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</si>
  <si>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</si>
  <si>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Cure Wounds</t>
  </si>
  <si>
    <t>Dancing Lights</t>
  </si>
  <si>
    <t>Darkness</t>
  </si>
  <si>
    <t>You touch a willing creature to grant it the ability to see in the dark. For the duration, that creature has darkvision out to a range of 60 feet.</t>
  </si>
  <si>
    <t>Daylight</t>
  </si>
  <si>
    <t>Death Ward</t>
  </si>
  <si>
    <t>Delayed Blast Fireball</t>
  </si>
  <si>
    <t>Demiplane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</si>
  <si>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</si>
  <si>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</si>
  <si>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Detect Evil and Good</t>
  </si>
  <si>
    <t>Detect Magic</t>
  </si>
  <si>
    <t>Detect Poison and Disease</t>
  </si>
  <si>
    <t>Detect Thoughts</t>
  </si>
  <si>
    <t>Dimension Door</t>
  </si>
  <si>
    <t>Disguise Self</t>
  </si>
  <si>
    <t>Disintegrate</t>
  </si>
  <si>
    <t>Dispel Evil and Good</t>
  </si>
  <si>
    <t>Dispel Magic</t>
  </si>
  <si>
    <t>Dissonant Whispers</t>
  </si>
  <si>
    <t>Divination</t>
  </si>
  <si>
    <t>Divine Favor</t>
  </si>
  <si>
    <t>Your prayer empowers you with divine radiance. Until the spell ends, your weapon attacks deal an extra 1d4 radiant damage on a hit.</t>
  </si>
  <si>
    <t>Divine Word</t>
  </si>
  <si>
    <t>Dominate Beast</t>
  </si>
  <si>
    <t>Dominate Monster</t>
  </si>
  <si>
    <t>Dominate Person</t>
  </si>
  <si>
    <t>Dream</t>
  </si>
  <si>
    <t>Druidcraft</t>
  </si>
  <si>
    <t>Earthquake</t>
  </si>
  <si>
    <t>Eldritch Blast</t>
  </si>
  <si>
    <t>Elemental Weapon</t>
  </si>
  <si>
    <t>Enhance Ability</t>
  </si>
  <si>
    <t>Enlarge/Reduce</t>
  </si>
  <si>
    <t>Ensnaring Strike</t>
  </si>
  <si>
    <t>Entangle</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</si>
  <si>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</si>
  <si>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</si>
  <si>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Etherealness</t>
  </si>
  <si>
    <t>Evard's Black Tentacles</t>
  </si>
  <si>
    <t>Expeditious Retreat</t>
  </si>
  <si>
    <t>This spell allows you to move at an incredible pace. When you cast this spell, and then as a bonus action on each of your turns until the spell ends, you can take the Dash action.</t>
  </si>
  <si>
    <t>Eyebite</t>
  </si>
  <si>
    <t>Fabricate</t>
  </si>
  <si>
    <t>Faerie Fire</t>
  </si>
  <si>
    <t>False Life</t>
  </si>
  <si>
    <t>Feather Fall</t>
  </si>
  <si>
    <t>Choose up to five falling creatures within range. A falling creature's rate of descent slows to 60 feet per round until the spell ends. If the creature lands before the spell ends, it takes no falling damage and can land on its feet, and the spell ends for that creature.</t>
  </si>
  <si>
    <t>Feeblemind</t>
  </si>
  <si>
    <t>Feign Death</t>
  </si>
  <si>
    <t>Find Familiar</t>
  </si>
  <si>
    <t>Find Steed</t>
  </si>
  <si>
    <t>Find the Path</t>
  </si>
  <si>
    <t>Find Traps</t>
  </si>
  <si>
    <t>Finger of Death</t>
  </si>
  <si>
    <t>Fireball</t>
  </si>
  <si>
    <t>Fire Bolt</t>
  </si>
  <si>
    <t>Fire Shield</t>
  </si>
  <si>
    <t>Fire Storm</t>
  </si>
  <si>
    <t>Flame Blade</t>
  </si>
  <si>
    <t>Flame Strike</t>
  </si>
  <si>
    <t>Flaming Sphere</t>
  </si>
  <si>
    <t>Flesh to Stone</t>
  </si>
  <si>
    <t>Fly</t>
  </si>
  <si>
    <t>Fog Cloud</t>
  </si>
  <si>
    <t>Forbiddance</t>
  </si>
  <si>
    <t>1 day</t>
  </si>
  <si>
    <t>Forcecage</t>
  </si>
  <si>
    <t>Foresight</t>
  </si>
  <si>
    <t>Freedom of Movement</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</si>
  <si>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</si>
  <si>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</si>
  <si>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Gaseous Form</t>
  </si>
  <si>
    <t>Gate</t>
  </si>
  <si>
    <t>Geas</t>
  </si>
  <si>
    <t>30 days</t>
  </si>
  <si>
    <t>Gentle Repose</t>
  </si>
  <si>
    <t>Giant Insect</t>
  </si>
  <si>
    <t>Glibness</t>
  </si>
  <si>
    <t>Until the spell ends, when you make a Charisma check, you can replace the number you roll with a 15. Additionally, no matter what you say, magic that would determine if you are telling the truth indicates that you are being truthful.</t>
  </si>
  <si>
    <t>Globe of Invulnerability</t>
  </si>
  <si>
    <t>Glyph of Warding</t>
  </si>
  <si>
    <t>Goodberry</t>
  </si>
  <si>
    <t>Grasping Vine</t>
  </si>
  <si>
    <t>Grease</t>
  </si>
  <si>
    <t>Greater Invisibility</t>
  </si>
  <si>
    <t>You or a creature you touch becomes invisible until the spell ends. Anything the target is wearing or carrying is invisible as long as it is on the target’s person.</t>
  </si>
  <si>
    <t>Greater Restoration</t>
  </si>
  <si>
    <t>Guardian of Faith</t>
  </si>
  <si>
    <t>Guards and Wards</t>
  </si>
  <si>
    <t>Guidance</t>
  </si>
  <si>
    <t>You touch one willing creature. Once before the spell ends, the target can roll a d4 and add the number rolled to one ability check of its choice. It can roll the die before or after making the ability check. The spell then ends.</t>
  </si>
  <si>
    <t>Guiding Bolt</t>
  </si>
  <si>
    <t>Gust of Wind</t>
  </si>
  <si>
    <t>Hail of Thorns</t>
  </si>
  <si>
    <t>Hallow</t>
  </si>
  <si>
    <t>Hallucinatory Terrain</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</si>
  <si>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</si>
  <si>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</si>
  <si>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Haste</t>
  </si>
  <si>
    <t>Heal</t>
  </si>
  <si>
    <t>Healing Word</t>
  </si>
  <si>
    <t>Heat Metal</t>
  </si>
  <si>
    <t>Hellish Rebuke</t>
  </si>
  <si>
    <t>Heroes' Feast</t>
  </si>
  <si>
    <t>Heroism</t>
  </si>
  <si>
    <t>Hex</t>
  </si>
  <si>
    <t>Hold Monster</t>
  </si>
  <si>
    <t>Hold Person</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</si>
  <si>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</si>
  <si>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</si>
  <si>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Hunger of Hadar</t>
  </si>
  <si>
    <t>Hunter's Mark</t>
  </si>
  <si>
    <t>Hypnotic Pattern</t>
  </si>
  <si>
    <t>Ice Storm</t>
  </si>
  <si>
    <t>Identify</t>
  </si>
  <si>
    <t>Illusory Script</t>
  </si>
  <si>
    <t>Imprisonment</t>
  </si>
  <si>
    <t>Incendiary Cloud</t>
  </si>
  <si>
    <t>Inflict Wounds</t>
  </si>
  <si>
    <t>Insect Plague</t>
  </si>
  <si>
    <t>Invisibility</t>
  </si>
  <si>
    <t>Jump</t>
  </si>
  <si>
    <t>You touch a creature. The creature’s jump distance is tripled until the spell ends.</t>
  </si>
  <si>
    <t>Knock</t>
  </si>
  <si>
    <t>Legend Lore</t>
  </si>
  <si>
    <t>Leomund's Secret Chest</t>
  </si>
  <si>
    <t>Leomund's Tiny Hut</t>
  </si>
  <si>
    <t>Lesser Restoration</t>
  </si>
  <si>
    <t>You touch a creature and can end either one disease or one condition afflicting it. The condition can be blinded, deafened, paralyzed, or poisoned.</t>
  </si>
  <si>
    <t>Levitate</t>
  </si>
  <si>
    <t>Lightning Arrow</t>
  </si>
  <si>
    <t>Lightning Bolt</t>
  </si>
  <si>
    <t>Locate Animals or Plants</t>
  </si>
  <si>
    <t>Describe or name a specific kind of beast or plant. Concentrating on the voice of nature in your surroundings, you learn the direction and distance to the closest creature or plant of that kind within 5 miles, if any are present.</t>
  </si>
  <si>
    <t>Locate Creature</t>
  </si>
  <si>
    <t>Locate Object</t>
  </si>
  <si>
    <t>Longstrider</t>
  </si>
  <si>
    <t>Mage Armor</t>
  </si>
  <si>
    <t>You touch a willing creature who isn’t wearing armor, and a protective magical force surrounds it until the spell ends. The target’s base AC becomes 13 + its Dexterity modifier. The spell ends if the target dons armor or if you dismiss the spell as an action.</t>
  </si>
  <si>
    <t>Mage Hand</t>
  </si>
  <si>
    <t>Magic Circle</t>
  </si>
  <si>
    <t>Magic Jar</t>
  </si>
  <si>
    <t>Magic Missile</t>
  </si>
  <si>
    <t>Magic Mouth</t>
  </si>
  <si>
    <t>Magic Weapon</t>
  </si>
  <si>
    <t>Major Image</t>
  </si>
  <si>
    <t>Mass Cure Wounds</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</si>
  <si>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</si>
  <si>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</si>
  <si>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Mass Healing Word</t>
  </si>
  <si>
    <t>Mass Suggestion</t>
  </si>
  <si>
    <t>Maze</t>
  </si>
  <si>
    <t>Meld into Stone</t>
  </si>
  <si>
    <t>Melf's Acid Arrow</t>
  </si>
  <si>
    <t>Mending</t>
  </si>
  <si>
    <t>Message</t>
  </si>
  <si>
    <t>Meteor Swarm</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</si>
  <si>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</si>
  <si>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</si>
  <si>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Minor Illusion</t>
  </si>
  <si>
    <t>Mirage Arcane</t>
  </si>
  <si>
    <t>Mirror Image</t>
  </si>
  <si>
    <t>Mislead</t>
  </si>
  <si>
    <t>Misty Step</t>
  </si>
  <si>
    <t>Briefly surrounded by silvery mist, you teleport up to 30 feet to an unoccupied space that you can see.</t>
  </si>
  <si>
    <t>Modify Memory</t>
  </si>
  <si>
    <t>Moonbeam</t>
  </si>
  <si>
    <t>Move Earth</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</si>
  <si>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</si>
  <si>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</si>
  <si>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Nystul's Magic Aura</t>
  </si>
  <si>
    <t>Otiluke's Freezing Sphere</t>
  </si>
  <si>
    <t>Otiluke's Resilient Sphere</t>
  </si>
  <si>
    <t>Otto's Irresistible Dance</t>
  </si>
  <si>
    <t>Pass without Trace</t>
  </si>
  <si>
    <t>Passwall</t>
  </si>
  <si>
    <t>Phantasmal Force</t>
  </si>
  <si>
    <t>Phantasmal Killer</t>
  </si>
  <si>
    <t>Phantom Steed</t>
  </si>
  <si>
    <t>Planar Ally</t>
  </si>
  <si>
    <t>Planar Binding</t>
  </si>
  <si>
    <t>Plane Shift</t>
  </si>
  <si>
    <t>Plant Growth</t>
  </si>
  <si>
    <t>Poison Spray</t>
  </si>
  <si>
    <t>Polymorph</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</si>
  <si>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</si>
  <si>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</si>
  <si>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</si>
  <si>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choose has 100 hit points or fewer, it dies. Otherwise, the spell has no effect.</t>
  </si>
  <si>
    <t>Power Word Stun</t>
  </si>
  <si>
    <t>Prayer of Healing</t>
  </si>
  <si>
    <t>Prestidigitation</t>
  </si>
  <si>
    <t>Prismatic Spray</t>
  </si>
  <si>
    <t>Prismatic Wall</t>
  </si>
  <si>
    <t>Produce Flame</t>
  </si>
  <si>
    <t>Programmed Illusion</t>
  </si>
  <si>
    <t>Project Image</t>
  </si>
  <si>
    <t>500 miles</t>
  </si>
  <si>
    <t>Protection from Energy</t>
  </si>
  <si>
    <t>For the duration, the willing creature you touch has resistance to one damage type of your choice: acid, cold, fire, lightning, or thunder.</t>
  </si>
  <si>
    <t>Protection from Evil and Good</t>
  </si>
  <si>
    <t>Protection from Poison</t>
  </si>
  <si>
    <t>Purify Food and Drink</t>
  </si>
  <si>
    <t>All nonmagical food and drink within a 5-foot-radius sphere centered on a point of your choice within range is purified and rendered free of poison and disease.</t>
  </si>
  <si>
    <t>Raise Dead</t>
  </si>
  <si>
    <t>Rary's Telepathic Bond</t>
  </si>
  <si>
    <t>Ray of Enfeeblement</t>
  </si>
  <si>
    <t>Ray of Frost</t>
  </si>
  <si>
    <t>Ray of Sickness</t>
  </si>
  <si>
    <t>Regenerate</t>
  </si>
  <si>
    <t>Reincarnate</t>
  </si>
  <si>
    <t>Remove Curse</t>
  </si>
  <si>
    <t>At your touch, all curses affecting one creature or object end. If the object is a cursed magic item, its curse remains, but the spell breaks its owner’s attunement to the object so it can be removed or discarded.</t>
  </si>
  <si>
    <t>Resistance</t>
  </si>
  <si>
    <t>You touch one willing creature. Once before the spell ends, the target can roll a d4 and add the number rolled to one saving throw of its choice. It can roll the die before or after making the saving throw. The spell then ends.</t>
  </si>
  <si>
    <t>Resurrection</t>
  </si>
  <si>
    <t>Reverse Gravity</t>
  </si>
  <si>
    <t>Revivify</t>
  </si>
  <si>
    <t>Rope Trick</t>
  </si>
  <si>
    <t>Sacred Flame</t>
  </si>
  <si>
    <t>Sanctuary</t>
  </si>
  <si>
    <t>Scorching Ray</t>
  </si>
  <si>
    <t>Scrying</t>
  </si>
  <si>
    <t>Searing Smite</t>
  </si>
  <si>
    <t>See Invisibility</t>
  </si>
  <si>
    <t>For the duration, you see invisible creatures and objects as if they were visible, and you can see into the Ethereal Plane. Ethereal creatures and objects appear ghostly and translucent.</t>
  </si>
  <si>
    <t>Seeming</t>
  </si>
  <si>
    <t>Sending</t>
  </si>
  <si>
    <t>Sequester</t>
  </si>
  <si>
    <t>Shapechange</t>
  </si>
  <si>
    <t>Shatter</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</si>
  <si>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</si>
  <si>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</si>
  <si>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</si>
  <si>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</si>
  <si>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</si>
  <si>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</si>
  <si>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</si>
  <si>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</si>
  <si>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Silent Image</t>
  </si>
  <si>
    <t>Simulacrum</t>
  </si>
  <si>
    <t>Sleep</t>
  </si>
  <si>
    <t>Sleet Storm</t>
  </si>
  <si>
    <t>Slow</t>
  </si>
  <si>
    <t>Spare the Dying</t>
  </si>
  <si>
    <t>You touch a living creature that has 0 hit points. The creature becomes stable. This spell has no effect on undead or constructs.</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</si>
  <si>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</si>
  <si>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</si>
  <si>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Speak with Dead</t>
  </si>
  <si>
    <t>Speak with Plants</t>
  </si>
  <si>
    <t>Spider Climb</t>
  </si>
  <si>
    <t>Until the spell ends, one willing creature you touch gains the ability to move up, down, and across vertical surfaces and upside down along ceilings, while leaving its hands free. The target also gains a climbing speed equal to its walking speed.</t>
  </si>
  <si>
    <t>Spike Growth</t>
  </si>
  <si>
    <t>Spirit Guardians</t>
  </si>
  <si>
    <t>Spiritual Weapon</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</si>
  <si>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</si>
  <si>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</si>
  <si>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Stinking Cloud</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</si>
  <si>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</si>
  <si>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</si>
  <si>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Stoneskin</t>
  </si>
  <si>
    <t>This spell turns the flesh of a willing creature you touch as hard as stone. Until the spell ends, the target has resistance to nonmagical bludgeoning, piercing, and slashing damage.</t>
  </si>
  <si>
    <t>Storm of Vengeance</t>
  </si>
  <si>
    <t>Suggestion</t>
  </si>
  <si>
    <t>Sunbeam</t>
  </si>
  <si>
    <t>Sunburst</t>
  </si>
  <si>
    <t>Swift Quiver</t>
  </si>
  <si>
    <t>Symbol</t>
  </si>
  <si>
    <t>Tasha's Hideous Laughter</t>
  </si>
  <si>
    <t>Telekinesis</t>
  </si>
  <si>
    <t>Telepathy</t>
  </si>
  <si>
    <t>Teleport</t>
  </si>
  <si>
    <t>Teleportation Circle</t>
  </si>
  <si>
    <t>Tenser's Floating Disk</t>
  </si>
  <si>
    <t>Thaumaturgy</t>
  </si>
  <si>
    <t>Thorn Whip</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</si>
  <si>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</si>
  <si>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</si>
  <si>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Thunderwave</t>
  </si>
  <si>
    <t>Time Stop</t>
  </si>
  <si>
    <t>Tongues</t>
  </si>
  <si>
    <t>This spell grants the creature you touch the ability to understand any spoken language it hears. Moreover, when the target speaks, any creature that knows at least one language and can hear the target understands what it says.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</si>
  <si>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</si>
  <si>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</si>
  <si>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Tree Stride</t>
  </si>
  <si>
    <t>True Polymorph</t>
  </si>
  <si>
    <t>True Resurrection</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</si>
  <si>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</si>
  <si>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</si>
  <si>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</si>
  <si>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</si>
  <si>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Tsunami</t>
  </si>
  <si>
    <t>Unseen Servant</t>
  </si>
  <si>
    <t>Vampiric Touch</t>
  </si>
  <si>
    <t>Vicious Mockery</t>
  </si>
  <si>
    <t>Wall of Fire</t>
  </si>
  <si>
    <t>Wall of Force</t>
  </si>
  <si>
    <t>Wall of Ice</t>
  </si>
  <si>
    <t>Wall of Stone</t>
  </si>
  <si>
    <t>Wall of Thorns</t>
  </si>
  <si>
    <t>Warding Bond</t>
  </si>
  <si>
    <t>Water Breathing</t>
  </si>
  <si>
    <t>This spell grants up to ten willing creatures you can see within range the ability to breathe underwater until the spell ends. Affected creatures also retain their normal mode of respiration.</t>
  </si>
  <si>
    <t>Water Walk</t>
  </si>
  <si>
    <t>Web</t>
  </si>
  <si>
    <t>Weird</t>
  </si>
  <si>
    <t>Wind Walk</t>
  </si>
  <si>
    <t>Wind Wall</t>
  </si>
  <si>
    <t>Wish</t>
  </si>
  <si>
    <t>Witch Bolt</t>
  </si>
  <si>
    <t>Word of Recall</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</si>
  <si>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</si>
  <si>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</si>
  <si>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Zone of Truth</t>
  </si>
  <si>
    <t>VARIABLES</t>
  </si>
  <si>
    <t>Fighting style</t>
  </si>
  <si>
    <t>Wildmage</t>
  </si>
  <si>
    <t>Discredited academic</t>
  </si>
  <si>
    <t>Changeling</t>
  </si>
  <si>
    <t>Shapechanger</t>
  </si>
  <si>
    <t>Duplicity</t>
  </si>
  <si>
    <t>Shifter</t>
  </si>
  <si>
    <t>Orcish</t>
  </si>
  <si>
    <t>Beasthide</t>
  </si>
  <si>
    <t>Cliffwalk</t>
  </si>
  <si>
    <t>Longstride</t>
  </si>
  <si>
    <t>Longtooth</t>
  </si>
  <si>
    <t>Razorclaw</t>
  </si>
  <si>
    <t>Wildhunt</t>
  </si>
  <si>
    <t>Shifting (Cliffwalk)</t>
  </si>
  <si>
    <t>Shifting (Longstride)</t>
  </si>
  <si>
    <t>Shifting (Longtooth)</t>
  </si>
  <si>
    <t>Shifting (Razorclaw)</t>
  </si>
  <si>
    <t>Shifting (Wildhunt)</t>
  </si>
  <si>
    <t>Shifting (beasthide)</t>
  </si>
  <si>
    <t>Composite Plating</t>
  </si>
  <si>
    <t>Living Construct</t>
  </si>
  <si>
    <t>Carrying Capacity</t>
  </si>
  <si>
    <t>Simple</t>
  </si>
  <si>
    <t>Item 1</t>
  </si>
  <si>
    <t>Item 2</t>
  </si>
  <si>
    <t>Item 3</t>
  </si>
  <si>
    <t>Item 4</t>
  </si>
  <si>
    <t>Item 5</t>
  </si>
  <si>
    <t>Item 6</t>
  </si>
  <si>
    <t>Item 7</t>
  </si>
  <si>
    <t>holy symbol</t>
  </si>
  <si>
    <t>prayer book</t>
  </si>
  <si>
    <t>vestments</t>
  </si>
  <si>
    <t>common clothes</t>
  </si>
  <si>
    <t>belt pouch</t>
  </si>
  <si>
    <t>5 sticks incense</t>
  </si>
  <si>
    <t>crowbar</t>
  </si>
  <si>
    <t>dark common clothes with hood</t>
  </si>
  <si>
    <t>herbalism kit</t>
  </si>
  <si>
    <t>Money, gp</t>
  </si>
  <si>
    <t>Artisan's tools</t>
  </si>
  <si>
    <t>Shovel</t>
  </si>
  <si>
    <t>Iron pot</t>
  </si>
  <si>
    <t>scroll of pedigree</t>
  </si>
  <si>
    <t>fine clothes</t>
  </si>
  <si>
    <t>signet ring</t>
  </si>
  <si>
    <t>purse</t>
  </si>
  <si>
    <t>bottle of black ink</t>
  </si>
  <si>
    <t>quill</t>
  </si>
  <si>
    <t>small knife</t>
  </si>
  <si>
    <t>a letter from a dead colleague posing a question you have not yet been able to answe</t>
  </si>
  <si>
    <t>insignia of rank</t>
  </si>
  <si>
    <t>trophy taken form a fallen enemy</t>
  </si>
  <si>
    <t>gaming set</t>
  </si>
  <si>
    <t>tools of the con of your choice (ten stoppered bottles filled with colored liquid, a set of weighted dice, a deck of marked cards, or a signet ring of an imaginary duke)</t>
  </si>
  <si>
    <t>Item to choose 1</t>
  </si>
  <si>
    <t>Item to choose 2</t>
  </si>
  <si>
    <t xml:space="preserve"> favor of an admirer</t>
  </si>
  <si>
    <t>Letter of introduction from your guild</t>
  </si>
  <si>
    <t>traveler's clothes</t>
  </si>
  <si>
    <t>A scroll case stuffed full of notes from your studies or prayers</t>
  </si>
  <si>
    <t>winter blanket</t>
  </si>
  <si>
    <t>staff</t>
  </si>
  <si>
    <t>hunting trap</t>
  </si>
  <si>
    <t>a trophy from an animal you killed</t>
  </si>
  <si>
    <t>a lucky charm such as a rabbit foot or a small stone with a hole in the center (or you may roll for a random trinket on the Trinkets table in chapter 5)</t>
  </si>
  <si>
    <t>club</t>
  </si>
  <si>
    <t>silk rope (50ft)</t>
  </si>
  <si>
    <t>a token to remember your parents by</t>
  </si>
  <si>
    <t>pet mouse</t>
  </si>
  <si>
    <t>map of the city</t>
  </si>
  <si>
    <t>Clothes</t>
  </si>
  <si>
    <t>explorer's pack</t>
  </si>
  <si>
    <t>Pack 1</t>
  </si>
  <si>
    <t>Pack 2</t>
  </si>
  <si>
    <t>diplomat's pack</t>
  </si>
  <si>
    <t>musical instrument</t>
  </si>
  <si>
    <t>leather armor</t>
  </si>
  <si>
    <t>dagger</t>
  </si>
  <si>
    <t>scale mail</t>
  </si>
  <si>
    <t>chainmail</t>
  </si>
  <si>
    <t>priest's pack</t>
  </si>
  <si>
    <t>druidic focus</t>
  </si>
  <si>
    <t>dungeoneer's pack</t>
  </si>
  <si>
    <t>longbow</t>
  </si>
  <si>
    <t>burglar's pack</t>
  </si>
  <si>
    <t>thieves tools</t>
  </si>
  <si>
    <t>scholar's pack</t>
  </si>
  <si>
    <t>spellbook</t>
  </si>
  <si>
    <t>Pack 3</t>
  </si>
  <si>
    <t>Armor 1</t>
  </si>
  <si>
    <t>Armor 2</t>
  </si>
  <si>
    <t>Armor 3</t>
  </si>
  <si>
    <t>To choose</t>
  </si>
  <si>
    <t>arcane focus</t>
  </si>
  <si>
    <t>Quantity 1</t>
  </si>
  <si>
    <t>Quantity 2</t>
  </si>
  <si>
    <t>shield</t>
  </si>
  <si>
    <t>dart</t>
  </si>
  <si>
    <t>Quantity 3</t>
  </si>
  <si>
    <t>Burglar's Pack</t>
  </si>
  <si>
    <t>backpack</t>
  </si>
  <si>
    <t>Bag of 1000 ball bearing</t>
  </si>
  <si>
    <t>bell</t>
  </si>
  <si>
    <t>candles</t>
  </si>
  <si>
    <t>string 10 ft</t>
  </si>
  <si>
    <t>hammer</t>
  </si>
  <si>
    <t>pilon</t>
  </si>
  <si>
    <t>hooded lanter</t>
  </si>
  <si>
    <t>flask of oil</t>
  </si>
  <si>
    <t>day ration</t>
  </si>
  <si>
    <t>linderbox</t>
  </si>
  <si>
    <t>waterskin</t>
  </si>
  <si>
    <t>hempen rope 50 ft</t>
  </si>
  <si>
    <t>chest</t>
  </si>
  <si>
    <t>case for maps and scrolls</t>
  </si>
  <si>
    <t>bottle of ink</t>
  </si>
  <si>
    <t>ink pen</t>
  </si>
  <si>
    <t>lamp</t>
  </si>
  <si>
    <t>sheet of paper</t>
  </si>
  <si>
    <t>vial of perfume</t>
  </si>
  <si>
    <t>sealing wax</t>
  </si>
  <si>
    <t>soap</t>
  </si>
  <si>
    <t>Diplomat's Pack</t>
  </si>
  <si>
    <t>Dungeoneer's Pack</t>
  </si>
  <si>
    <t>torch</t>
  </si>
  <si>
    <t>bedroll</t>
  </si>
  <si>
    <t>costume</t>
  </si>
  <si>
    <t>candle</t>
  </si>
  <si>
    <t>disguise kit</t>
  </si>
  <si>
    <t>Entertainer's Pack</t>
  </si>
  <si>
    <t>mess kit</t>
  </si>
  <si>
    <t>Priest's Pack</t>
  </si>
  <si>
    <t>blanket</t>
  </si>
  <si>
    <t>block of incense</t>
  </si>
  <si>
    <t>censer</t>
  </si>
  <si>
    <t>alms box</t>
  </si>
  <si>
    <t>tinderbox</t>
  </si>
  <si>
    <t>Scholar's Pack</t>
  </si>
  <si>
    <t>book of lore</t>
  </si>
  <si>
    <t>sheet of parchment</t>
  </si>
  <si>
    <t>little bag of sand</t>
  </si>
  <si>
    <t>Item 8</t>
  </si>
  <si>
    <t>Item 9</t>
  </si>
  <si>
    <t>Item 10</t>
  </si>
  <si>
    <t>Quantity 4</t>
  </si>
  <si>
    <t>Quantity 5</t>
  </si>
  <si>
    <t>Quantity 6</t>
  </si>
  <si>
    <t>Quantity 7</t>
  </si>
  <si>
    <t>Quantity 8</t>
  </si>
  <si>
    <t>Quantity 9</t>
  </si>
  <si>
    <t>Quantity 10</t>
  </si>
  <si>
    <t>Item 11</t>
  </si>
  <si>
    <t>Quantity 11</t>
  </si>
  <si>
    <t>Item 12</t>
  </si>
  <si>
    <t>Quantity 12</t>
  </si>
  <si>
    <t>Item 13</t>
  </si>
  <si>
    <t>Quantity 13</t>
  </si>
  <si>
    <t>Item 14</t>
  </si>
  <si>
    <t>Quantity 14</t>
  </si>
  <si>
    <t>Item 15</t>
  </si>
  <si>
    <t>Quantity 15</t>
  </si>
  <si>
    <t>Item 16</t>
  </si>
  <si>
    <t>Quantity 16</t>
  </si>
  <si>
    <t>Item 17</t>
  </si>
  <si>
    <t>Quantity 17</t>
  </si>
  <si>
    <t>Item 18</t>
  </si>
  <si>
    <t>Quantity 18</t>
  </si>
  <si>
    <t>Item 19</t>
  </si>
  <si>
    <t>Quantity 19</t>
  </si>
  <si>
    <t>Item 20</t>
  </si>
  <si>
    <t>Quantity 20</t>
  </si>
  <si>
    <t>Weapon 1</t>
  </si>
  <si>
    <t>Weapon 2</t>
  </si>
  <si>
    <t>Weapon 3</t>
  </si>
  <si>
    <t>Weapon 4</t>
  </si>
  <si>
    <t>Weapon 5</t>
  </si>
  <si>
    <t>Weapon 6</t>
  </si>
  <si>
    <t>Conditional weapon</t>
  </si>
  <si>
    <t>Bolts</t>
  </si>
  <si>
    <t>Arrows</t>
  </si>
  <si>
    <t>Javelins</t>
  </si>
  <si>
    <t>Condition</t>
  </si>
  <si>
    <t>Weapon 5 (conditional)</t>
  </si>
  <si>
    <t>Item name</t>
  </si>
  <si>
    <t>Cost, gp</t>
  </si>
  <si>
    <t>cost</t>
  </si>
  <si>
    <t>Chainmail</t>
  </si>
  <si>
    <t>Selectable items</t>
  </si>
  <si>
    <t>Essential items</t>
  </si>
  <si>
    <t>artisan's tools</t>
  </si>
  <si>
    <t>Selectable item</t>
  </si>
  <si>
    <t>Variant 1</t>
  </si>
  <si>
    <t>Variant 2</t>
  </si>
  <si>
    <t>Class tools</t>
  </si>
  <si>
    <t>Gaming Set</t>
  </si>
  <si>
    <t>Life</t>
  </si>
  <si>
    <t>Sunlight Sensitivity</t>
  </si>
  <si>
    <t>Charisma</t>
  </si>
  <si>
    <t>Wisdom</t>
  </si>
  <si>
    <t>Dexterity</t>
  </si>
  <si>
    <t>Intelligence</t>
  </si>
  <si>
    <t>Druidic</t>
  </si>
  <si>
    <t>Goat</t>
  </si>
  <si>
    <t>Musical Instrument</t>
  </si>
  <si>
    <t>Navigator's tools</t>
  </si>
  <si>
    <t>Copper</t>
  </si>
  <si>
    <t>Silver</t>
  </si>
  <si>
    <t>Gold</t>
  </si>
  <si>
    <t>location</t>
  </si>
  <si>
    <t>name</t>
  </si>
  <si>
    <t>Aasimar</t>
  </si>
  <si>
    <t>Celestial Resistance</t>
  </si>
  <si>
    <t>Celestial Legacy</t>
  </si>
  <si>
    <t>Eladrin</t>
  </si>
  <si>
    <t>Fey Step</t>
  </si>
  <si>
    <t>race</t>
  </si>
  <si>
    <t>gender</t>
  </si>
  <si>
    <t>background</t>
  </si>
  <si>
    <t>Expertise1</t>
  </si>
  <si>
    <t>Expertise2</t>
  </si>
  <si>
    <t>Expertise3</t>
  </si>
  <si>
    <t>Expertise4</t>
  </si>
  <si>
    <t>Список классов и количество уровней</t>
  </si>
  <si>
    <t>Aarakocra</t>
  </si>
  <si>
    <t>Bullywug</t>
  </si>
  <si>
    <t>Gnol</t>
  </si>
  <si>
    <t>Deep Gnome</t>
  </si>
  <si>
    <t>Grimlock</t>
  </si>
  <si>
    <t>Hobgoblin</t>
  </si>
  <si>
    <t>Kenku</t>
  </si>
  <si>
    <t>Kobold</t>
  </si>
  <si>
    <t>Kuo-toa</t>
  </si>
  <si>
    <t>Lizardfolk</t>
  </si>
  <si>
    <t>Merfolk</t>
  </si>
  <si>
    <t>-2</t>
  </si>
  <si>
    <t>2</t>
  </si>
  <si>
    <t>-4</t>
  </si>
  <si>
    <t>Troglodyte</t>
  </si>
  <si>
    <t>Dive attack</t>
  </si>
  <si>
    <t>Amphibious</t>
  </si>
  <si>
    <t>Speak with Frogs and Toads</t>
  </si>
  <si>
    <t>Swamp Camouflage</t>
  </si>
  <si>
    <t>Standing Leap</t>
  </si>
  <si>
    <t>Auran</t>
  </si>
  <si>
    <t>Rampage</t>
  </si>
  <si>
    <t>Innate Spellcasting (deep gnome)</t>
  </si>
  <si>
    <t>Stone Camouflage</t>
  </si>
  <si>
    <t>Aquan</t>
  </si>
  <si>
    <t>Blind Senses</t>
  </si>
  <si>
    <t>Keen Hearing and Smell</t>
  </si>
  <si>
    <t>Martial Advantage</t>
  </si>
  <si>
    <t>Ambusher</t>
  </si>
  <si>
    <t>Mimicry</t>
  </si>
  <si>
    <t>Pack Tactics</t>
  </si>
  <si>
    <t>Otherworldly Perception</t>
  </si>
  <si>
    <t>Slippery</t>
  </si>
  <si>
    <t>Hold Breath</t>
  </si>
  <si>
    <t>Aggressive</t>
  </si>
  <si>
    <t>Nimble Escape</t>
  </si>
  <si>
    <t>Chameleon Skin</t>
  </si>
  <si>
    <t>Stench</t>
  </si>
  <si>
    <t>Language 3</t>
  </si>
  <si>
    <t>Standard Array</t>
  </si>
  <si>
    <t/>
  </si>
  <si>
    <t>Hadarai</t>
  </si>
  <si>
    <t>Archetype</t>
  </si>
  <si>
    <t>Primeval Awareness</t>
  </si>
  <si>
    <t>Ability Score Improvement</t>
  </si>
  <si>
    <t>Extra Attack</t>
  </si>
  <si>
    <t>Ranger Archetype Feature</t>
  </si>
  <si>
    <t>Land's Stride</t>
  </si>
  <si>
    <t>Hide in Plain Sight</t>
  </si>
  <si>
    <t>Vanish</t>
  </si>
  <si>
    <t>Feral Senses</t>
  </si>
  <si>
    <t>Foe Slayer</t>
  </si>
  <si>
    <t>Martial Archetype Feature</t>
  </si>
  <si>
    <t>Extra Attack (2)</t>
  </si>
  <si>
    <t>Extra Attack (3)</t>
  </si>
  <si>
    <t>Sacred Oath</t>
  </si>
  <si>
    <t>Divine Smite</t>
  </si>
  <si>
    <t>Primal Path</t>
  </si>
  <si>
    <t>Jack of All Trades</t>
  </si>
  <si>
    <t>Bard College</t>
  </si>
  <si>
    <t>Divine Domain Feature</t>
  </si>
  <si>
    <t>Monastic Tradition</t>
  </si>
  <si>
    <t>Deflect Missiles</t>
  </si>
  <si>
    <t>Roguish Archetype</t>
  </si>
  <si>
    <t>Metamagic</t>
  </si>
  <si>
    <t>Eldritch Invocations</t>
  </si>
  <si>
    <t>Pact Boon</t>
  </si>
  <si>
    <t>Spell caster Progression</t>
  </si>
  <si>
    <t xml:space="preserve">Spellcaster /3 </t>
  </si>
  <si>
    <t>Spell caster /2</t>
  </si>
  <si>
    <t>BARD</t>
  </si>
  <si>
    <t>DRUID</t>
  </si>
  <si>
    <t>FIGHTER</t>
  </si>
  <si>
    <t>MONK</t>
  </si>
  <si>
    <t>PALADIN</t>
  </si>
  <si>
    <t>RANGER</t>
  </si>
  <si>
    <t>ROGUE</t>
  </si>
  <si>
    <t>WARLOCK</t>
  </si>
  <si>
    <t>BARBARIAN</t>
  </si>
  <si>
    <t>With backpack</t>
  </si>
  <si>
    <t>Without backpack</t>
  </si>
  <si>
    <t>Variant 3</t>
  </si>
  <si>
    <t>Variant 4</t>
  </si>
  <si>
    <t>Variant 5</t>
  </si>
  <si>
    <t>Ability Score minimum</t>
  </si>
  <si>
    <t>Strength or Dexterity</t>
  </si>
  <si>
    <t>Dexterity and Wisdom</t>
  </si>
  <si>
    <t>Strength and Charisma</t>
  </si>
  <si>
    <t>Simple Weapons</t>
  </si>
  <si>
    <t>Martial Weapons</t>
  </si>
  <si>
    <t>light armor</t>
  </si>
  <si>
    <t>one skill</t>
  </si>
  <si>
    <t>one musical instrument</t>
  </si>
  <si>
    <t>medium armor</t>
  </si>
  <si>
    <t>shields</t>
  </si>
  <si>
    <t>Shortswords</t>
  </si>
  <si>
    <t>Multiclassing</t>
  </si>
  <si>
    <t>Arcane Tradition Feature</t>
  </si>
  <si>
    <t>Spell Mastery</t>
  </si>
  <si>
    <t>Signature Spell</t>
  </si>
  <si>
    <t>Fast Movement</t>
  </si>
  <si>
    <t>Feral Instinct</t>
  </si>
  <si>
    <t>Relentless Rage</t>
  </si>
  <si>
    <t>Persistent Rage</t>
  </si>
  <si>
    <t>Indomitable Might</t>
  </si>
  <si>
    <t>Primal Champion</t>
  </si>
  <si>
    <t>Font of Inspiration</t>
  </si>
  <si>
    <t>Countercharm</t>
  </si>
  <si>
    <t>Bard College Feature</t>
  </si>
  <si>
    <t>Unarmored Defense</t>
  </si>
  <si>
    <t>Magical Secrets</t>
  </si>
  <si>
    <t>Superior Inspiration</t>
  </si>
  <si>
    <t>Divine Intervention</t>
  </si>
  <si>
    <t>Divine Intervention Improvement</t>
  </si>
  <si>
    <t>Wild Shape Improvement</t>
  </si>
  <si>
    <t>Druid Circle Feature</t>
  </si>
  <si>
    <t>Timeless Body</t>
  </si>
  <si>
    <t>Beast Spells</t>
  </si>
  <si>
    <t>Archdruid</t>
  </si>
  <si>
    <t>Stunning Strike</t>
  </si>
  <si>
    <t>Ki-Empowered Strikes</t>
  </si>
  <si>
    <t>Monastic Tradition Feature</t>
  </si>
  <si>
    <t>Evasion</t>
  </si>
  <si>
    <t>Stillness of Mind</t>
  </si>
  <si>
    <t>Unarmored Movement Improvement</t>
  </si>
  <si>
    <t>Purity of Body</t>
  </si>
  <si>
    <t>Tongue of the Sun and Moon</t>
  </si>
  <si>
    <t>Diamond Soul</t>
  </si>
  <si>
    <t>Empty Body</t>
  </si>
  <si>
    <t>Perfect Self</t>
  </si>
  <si>
    <t>Aura of Protection</t>
  </si>
  <si>
    <t>Sacred Oath Feature</t>
  </si>
  <si>
    <t>Aura improvements</t>
  </si>
  <si>
    <t>Cleansing Touch</t>
  </si>
  <si>
    <t>Improved Divine Smite</t>
  </si>
  <si>
    <t>Aura of Courage</t>
  </si>
  <si>
    <t>Uncanny Dodge</t>
  </si>
  <si>
    <t>Roguish Archetype Feature</t>
  </si>
  <si>
    <t>Reliable Talent</t>
  </si>
  <si>
    <t>Blindsense</t>
  </si>
  <si>
    <t>Slippery Mind</t>
  </si>
  <si>
    <t>Elusive</t>
  </si>
  <si>
    <t>Stroke of Luck</t>
  </si>
  <si>
    <t>Sorcerous Restoration</t>
  </si>
  <si>
    <t>Sorcerous Origin Feature</t>
  </si>
  <si>
    <t>Otherworldly Patron Feature</t>
  </si>
  <si>
    <t>Eldritch Master</t>
  </si>
  <si>
    <t>School of Abjuration</t>
  </si>
  <si>
    <t>School of Conjuration</t>
  </si>
  <si>
    <t>School of Divination</t>
  </si>
  <si>
    <t>School of Enchantment</t>
  </si>
  <si>
    <t>School of Evocation</t>
  </si>
  <si>
    <t>School of Illusion</t>
  </si>
  <si>
    <t>School of Necromancy</t>
  </si>
  <si>
    <t>School of Transmutation</t>
  </si>
  <si>
    <t>Artificier</t>
  </si>
  <si>
    <t>College of Lore</t>
  </si>
  <si>
    <t>College of Valor</t>
  </si>
  <si>
    <t>Life Domain</t>
  </si>
  <si>
    <t>Light Domain</t>
  </si>
  <si>
    <t>Nature Domain</t>
  </si>
  <si>
    <t>Tempest Domain</t>
  </si>
  <si>
    <t>Knowledge Domain</t>
  </si>
  <si>
    <t>Trickery Domain</t>
  </si>
  <si>
    <t>War Domain</t>
  </si>
  <si>
    <t>Death Domain</t>
  </si>
  <si>
    <t>Circle of the Land</t>
  </si>
  <si>
    <t>Circle of the Moon</t>
  </si>
  <si>
    <t>Battlemaster</t>
  </si>
  <si>
    <t>Champion</t>
  </si>
  <si>
    <t>Eldritch Knight</t>
  </si>
  <si>
    <t>Way of the Open Hand</t>
  </si>
  <si>
    <t>Way of the Four Elements</t>
  </si>
  <si>
    <t>Way of Shadow</t>
  </si>
  <si>
    <t>Arctic</t>
  </si>
  <si>
    <t>Coast</t>
  </si>
  <si>
    <t>Desert</t>
  </si>
  <si>
    <t>Forest</t>
  </si>
  <si>
    <t>Grassland</t>
  </si>
  <si>
    <t>Mountain</t>
  </si>
  <si>
    <t>Swamp</t>
  </si>
  <si>
    <t>Underdark</t>
  </si>
  <si>
    <t>the Archfey</t>
  </si>
  <si>
    <t>the Fiend</t>
  </si>
  <si>
    <t>the Great Old One</t>
  </si>
  <si>
    <t>Pact of the Chain</t>
  </si>
  <si>
    <t>Pact of the Blade</t>
  </si>
  <si>
    <t>Pact of the Tome</t>
  </si>
  <si>
    <t>Path of the Berserker</t>
  </si>
  <si>
    <t>Path of the Totem Warrior</t>
  </si>
  <si>
    <t>Hunter</t>
  </si>
  <si>
    <t>Beast Master</t>
  </si>
  <si>
    <t>Thief</t>
  </si>
  <si>
    <t>Assasin</t>
  </si>
  <si>
    <t>Arcane Trickster</t>
  </si>
  <si>
    <t>Oath of Devotion</t>
  </si>
  <si>
    <t>Oath of the Ancients</t>
  </si>
  <si>
    <t>Oath of Vengeance</t>
  </si>
  <si>
    <t>Oathbreaker</t>
  </si>
  <si>
    <t>Draconic Bloodline</t>
  </si>
  <si>
    <t>Mystic Arcanum</t>
  </si>
  <si>
    <t>Fighting Style</t>
  </si>
  <si>
    <t>Destroy Undead</t>
  </si>
  <si>
    <t>Archery</t>
  </si>
  <si>
    <t>Defense</t>
  </si>
  <si>
    <t>Dueling</t>
  </si>
  <si>
    <t>Great Weapon Fighting</t>
  </si>
  <si>
    <t>Protection</t>
  </si>
  <si>
    <t>Two-Weapon Fighting</t>
  </si>
  <si>
    <t>none</t>
  </si>
  <si>
    <t>You can increase one ability score of your choice by 2, or you can increase two ability scores of your choice by 1. 
You cannot increase an ability score above 20 using this feature.</t>
  </si>
  <si>
    <t xml:space="preserve">  - Increase one ability score of your choice by 2, or increase two ability scores of your choice by 1.</t>
  </si>
  <si>
    <t>Always on the lookout for danger, you gain the following benefits:
• You gain a +5 bonus to initiative. 
• You can’t be surprised while you are conscious. 
• Other creatures don’t gain advantage on attack rolls against you as a result of being hidden from you.</t>
  </si>
  <si>
    <t xml:space="preserve">  - Gain a +5 bonus to initiative. 
  - You can’t be surprised while you are conscious. 
  - Other creatures don’t gain advantage on attack rolls against you as a result of being hidden from you.</t>
  </si>
  <si>
    <t>You have undergone extensive physical training to gain the following benefits:
• Increase your Strength or Dexterity score by 1, to a maximum of 20. 
• When you are prone, standing up uses only 5 feet of your movement.
• Climbing doesn’t halve your speed. 
• You can make a running long jump or a running high jump after moving only 5 feet on foot, rather than 10 feet.</t>
  </si>
  <si>
    <t xml:space="preserve">  - Increase your Strength or Dexterity score by 1, to a maximum of 20. 
  - When you are prone, standing up uses only 5 feet of your movement.
  - Climbing doesn’t halve your speed. 
  - You can make a running long jump or a running high jump after moving only 5 feet on foot, rather than 10 feet.</t>
  </si>
  <si>
    <t>Skilled at mimicry and dramatics, you gain the following benefits:
• Increase your Charisma score by 1, to a maximum of 20. 
• You have advantage on Charisma (Deception) and Charisma (Performance) checks when trying to pass yourself off as a different person. 
• You can mimic the speech of another person or the sounds made by other creatures. You must have heard the person speaking, or heard the creature make the sound, for at least 1 minute. A successful Wisdom (Insight) check contested by your Charisma (Deception) check allows a listener to determine that the effect is faked.</t>
  </si>
  <si>
    <t xml:space="preserve">  - Increase your Charisma score by 1, to a maximum of 20. 
  - Advantage on Charisma (Deception) and Charisma (Performance) checks when trying to pass as a different person. 
  - You can mimic the speech of another person or the sounds made by other creatures. You must have heard the person
     speaking, or heard the creature make the sound, for at least 1 minute. A successful Wisdom (Insight) check contested
     by your Charisma (Deception) check allows a listener to determine that the effect is faked.</t>
  </si>
  <si>
    <t>Charger</t>
  </si>
  <si>
    <t>When you use your action to Dash, you can use a bonus action to make one melee weapon attack or to shove a creature. 
If you move at least 10 feet in a straight line immediately before taking this bonus action, you either gain a +5 bonus to the attack’s damage roll (if you chose to make a melee attack and hit) or push the target up to 10 feet away from you (if you chose to shove and you succeed).</t>
  </si>
  <si>
    <t xml:space="preserve">  - When you use your action to Dash, you can use a bonus action to make one melee weapon attack or to shove a creature. 
  - If you move at least 10 feet in a straight line immediately before taking this bonus action, you either 
    - Gain a +5 bonus to the attack’s damage roll (if you chose to make a melee attack and hit) 
    - Push the target up to 10 feet away from you (if you chose to shove and you succeed).</t>
  </si>
  <si>
    <t>Crossbow Expert</t>
  </si>
  <si>
    <t>Thanks to extensive practice with the crossbow, you gain the following benefits:
• You ignore the loading quality of crossbows with which you are proficient. 
• Being within 5 feet of a hostile creature doesn’t impose disadvantage on your ranged attack rolls. 
• When you use the Attack action and attack with a one-handed weapon, you can use a bonus action to attack with a loaded hand crossbow you are holding.</t>
  </si>
  <si>
    <t xml:space="preserve">  - Ignore the loading quality of crossbows with which you are proficient. 
  - Being within 5 feet of a hostile creature doesn’t impose disadvantage on your ranged attack rolls. 
  - When you use the Attack action and attack with a one-handed weapon, you can use a bonus action to attack with a loaded
     hand crossbow you are holding.</t>
  </si>
  <si>
    <t>Dexterity 13 or higher</t>
  </si>
  <si>
    <t>When you are wielding a finesse weapon with which you are proficient and another creature hits you with a melee attack, you can use your reaction to add your proficiency bonus to your AC for that attack, potentially causing the attack to miss you.</t>
  </si>
  <si>
    <t xml:space="preserve">  - When wielding a finesse weapon with which you are proficient and another creature hits you with a melee attack,  you can
     use your reaction to add your proficiency bonus to your AC for that attack, potentially causing the attack to miss you.</t>
  </si>
  <si>
    <t>Dual Wielder</t>
  </si>
  <si>
    <t>You master fighting with two weapons, gaining the following benefits:
• You gain a +1 bonus to AC while you are wielding a separate melee weapon in each hand. 
• You can use two-weapon fighting even when the one-handed melee weapons you are wielding aren’t light. 
• You can draw or stow two one-handed weapons when you would normally be able to draw or stow only one.</t>
  </si>
  <si>
    <t xml:space="preserve">  - You gain a +1 bonus to AC while you are wielding a separate melee weapon in each hand. 
  - You can use two-weapon fighting even when the one-handed melee weapons you are wielding aren’t light. 
  - You can draw or stow two one-handed weapons when you would normally be able to draw or stow only one.</t>
  </si>
  <si>
    <t>Alert to the hidden traps and secret doors found in many dungeons, you gain the following benefits:
• You have advantage on Wisdom (Perception) and Intelligence (Investigation) checks made to detect the presence of secret doors. 
• You have advantage on saving throws made to avoid or resist traps. 
• You have resistance to the damage dealt by traps. 
• You can search for traps while traveling at a normal pace, instead of only at a slow pace.</t>
  </si>
  <si>
    <t xml:space="preserve">  - Advantage on Wisdom (Perception) and Intelligence (Investigation) checks made to detect the presence of secret doors. 
  - You have advantage on saving throws made to avoid or resist traps. 
  - You have resistance to the damage dealt by traps.
  - You can search for traps while traveling at a normal pace, instead of only at a slow pace.</t>
  </si>
  <si>
    <t>Hardy and resilient, you gain the following benefits:
• Increase your Constitution score by 1, to a maximum of 20.
• When you roll a Hit Die to regain hit points, the minimum number of hit points you regain from the roll equals twice your Constitution modifier (minimum of 2).</t>
  </si>
  <si>
    <t xml:space="preserve">  - Increase your Constitution score by 1, to a maximum of 20.
  - When you roll a Hit Die to regain hit points, the minimum number of hit points you regain from the roll equals twice your
     Constitution modifier (minimum of 2).</t>
  </si>
  <si>
    <t>The ability to cast at least one spell</t>
  </si>
  <si>
    <t>When you gain this feat, choose one of the following damage types: acid, cold, fire, lightning, or thunder. 
Spells you cast ignore resistance to damage of the chosen type. In addition, when you roll damage for a spell you cast that deals damage of that type, you can treat any 1 on a damage die as a 2. 
You can select this feat multiple times. Each time you do so, you must choose a different damage type.</t>
  </si>
  <si>
    <t xml:space="preserve">  - Choose one of the following damage types: acid, cold, fire, lightning, or thunder. 
  - Spells you cast ignore resistance to damage of the chosen type. 
  - When you roll damage for a spell you cast that deals damage of that type, treat any 1 on a damage die as a 2. </t>
  </si>
  <si>
    <t>Strength 13 or higher</t>
  </si>
  <si>
    <t>You’ve developed the skills necessary to hold your own in close-quarters grappling. You gain the following benefits: 
• You have advantage on attack rolls against a creature you are grappling. 
• You can use your action to try to pin a creature grappled by you. To do so, make another grapple check. If you succeed, you and the creature are both restrained until the grapple ends. 
• Creatures that are one size larger than you don’t automatically succeed on checks to escape your grapple.</t>
  </si>
  <si>
    <t xml:space="preserve">  - You have advantage on attack rolls against a creature you are grappling. 
  - You can use your action to try to pin a creature grappled by you. To do so, make another grapple check. If you succeed, you
     and the creature are both restrained until the grapple ends. 
  - Creatures that are one size larger than you don’t automatically succeed on checks to escape your grapple.</t>
  </si>
  <si>
    <t>You’ve learned to put the weight of a weapon to your advantage, letting its momentum empower your strikes. You gain the following benefits:
• On your turn, when you score a critical hit with a melee weapon or reduce a creature to 0 hit points with one, you can make one melee weapon attack as a bonus action. 
• Before you make a melee attack with a heavy weapon that you are proficient with, you can choose to take a -5 penalty to the attack roll. If the attack hits, you add +10 to the attack’s damage.</t>
  </si>
  <si>
    <t xml:space="preserve">  - On your turn, when you score a critical hit with a melee weapon or reduce a creature to 0 hit points with one,
     you can make one melee weapon attack as a bonus action. 
  - Before you make a melee attack with a heavy weapon that you are proficient with, you can choose to take a -5 penalty to
     the attack roll. If the attack hits, you add +10 to the attack’s damage.</t>
  </si>
  <si>
    <t>You are an able physician, allowing you to mend wounds quickly and get your allies back in the fight. You gain the following benefits:
• When you use a healer’s kit to stabilize a dying creature, that creature also regains 1 hit point. 
• As an action, you can spend one use of a healer’s kit to tend to a creature and restore 1d6 + 4 hit points to it, plus additional hit points equal to the creature’s maximum number of Hit Dice. The creature can’t regain hit points from this feat again until it finishes a short or long rest.</t>
  </si>
  <si>
    <t xml:space="preserve">  - When you use a healer’s kit to stabilize a dying creature, that creature also regains 1 hit point. 
  - As an action, you can spend one use of a healer’s kit to tend to a creature and restore 1d6+4 hit points to it, plus additional
     hit points equal to the creature’s maximum number of Hit Dice. The creature can’t regain hit points from this feat again until
     it finishes a short or long rest.</t>
  </si>
  <si>
    <t>Proficiency with medium armor</t>
  </si>
  <si>
    <t>You have trained to master the use of heavy armor, gaining the following benefits:
• Increase your Strength score by 1, to a maximum of 20. 
• You gain proficiency with heavy armor.</t>
  </si>
  <si>
    <t xml:space="preserve">  - Increase your Strength score by 1, to a maximum of 20. 
  - You gain proficiency with heavy armor.</t>
  </si>
  <si>
    <t>Proficiency with heavy armor</t>
  </si>
  <si>
    <t>You can use your armor to deflect strikes that would kill others. You gain the following benefits:
• Increase your Strength score by 1, to a maximum of 20. 
• While you are wearing heavy armor, bludgeoning, piercing, and slashing damage that you take from non magical weapons is reduced by 3.</t>
  </si>
  <si>
    <t xml:space="preserve">  - Increase your Strength score by 1, to a maximum of 20. 
  - While wearing heavy armor, bludgeoning, piercing, and slashing damage taken from non magical weapons is reduced by 3.</t>
  </si>
  <si>
    <t>Charisma 13 or higher</t>
  </si>
  <si>
    <t>You can spend 10 minutes inspiring your companions, shoring up their resolve to fight. When you do so, choose up to six friendly creatures (which can include yourself) within 30 feet of you who can see or hear you and who can understand you. Each creature can gain temporary hit points equal to your level + your Charisma modifier. A creature can’t gain temporary hit points from this feat again until it has finished a short or long rest.</t>
  </si>
  <si>
    <t xml:space="preserve">  - You can spend 10 minutes inspiring your companions, shoring up their resolve to fight. Choose up to 6 friendly creatures
     (which can include yourself) within 30 feet who can see or hear you and who  can understand you. Each creature can gain
     temporary hit points equal to your level + your Charisma modifier. A creature can’t gain temporary hit points from this
     feat again until it has finished a short or long rest.</t>
  </si>
  <si>
    <t>You have a mind that can track time, direction, and detail with uncanny precision. You gain the following benefits.
• Increase your Intelligence score by 1, to a maximum of 20. 
• You always know which way is north. 
• You always know the number of hours left before the next sunrise or sunset. 
• You can accurately recall anything you have seen or heard within the past month.</t>
  </si>
  <si>
    <t xml:space="preserve">  - Increase your Intelligence score by 1, to a maximum of 20. 
  - You always know which way is north. 
  - You always know the number of hours left before the next sunrise or sunset. 
  - You can accurately recall anything you have seen or heard within the past month.</t>
  </si>
  <si>
    <t>You have trained to master the use of light armor, gaining the following benefits:
• Increase your Strength or Dexterity score by 1, to a maximum of 20. 
• You gain proficiency with light armor.</t>
  </si>
  <si>
    <t xml:space="preserve">  - Increase your Strength or Dexterity score by 1, to a maximum of 20. 
  - You gain proficiency with light armor.</t>
  </si>
  <si>
    <t>You have studied languages and codes, gaining the following benefits:
• Increase your Intelligence score by 1, to a maximum of 20. 
• You learn three languages of your choice. 
• You can ably create written ciphers. Others can’t decipher a code you create unless you teach them, they succeed on an Intelligence check (DC = Intelligence score + your proficiency bonus), or they use magic to decipher it.</t>
  </si>
  <si>
    <t>You have inexplicable luck that seems to kick in at just the right moment. 
You have 3 luck points. Whenever you make an attack roll, an ability check, or a saving throw, you can spend one luck point to roll an additional d20. You can choose to spend one of your luck points after you roll the die, but before the outcome is determined. You choose which of the d20s is used for the attack roll, ability check, or saving throw. 
You can also spend one luck point when an attack roll is made against you. Roll a d20, and then choose whether the attack uses the attacker’s roll or yours. 
If more than one creature spends a luck point to influence the outcome of a roll, the points cancel each other out; no additional dice are rolled. 
You regain your expended luck points when you finish a long rest.</t>
  </si>
  <si>
    <t xml:space="preserve">  - You have 3 luck points. 
  - Whenever you make an attack roll, an ability check, or a saving throw, you can spend one luck point to roll an additional d20.
     You can choose to spend one of your luck points after you roll the die, but before the outcome is determined. You choose
     which of the d20s is used for the attack roll, ability check, or saving throw. 
  - You can also spend one luck point when an attack roll is made against you. Roll a d20, and then choose whether the attack
     uses the attacker’s roll or yours. 
  - If more than one creature spends a luck point to influence the outcome of a roll, the points cancel each other out; no
     additional dice are rolled. 
  - You regain your expended luck points when you finish a long rest.</t>
  </si>
  <si>
    <t>You have practiced techniques useful in melee combat against spellcasters, gaining the following benefits:
• When a creature within 5 feet of you casts a spell, you can use your reaction to make a melee weapon attack against that creature. 
• When you damage a creature that is concentrating on a spell, that creature has disadvantage on the saving throw it makes to maintain its concentration. 
• You have advantage on saving throws against spells cast by creatures within 5 feet of you.</t>
  </si>
  <si>
    <t xml:space="preserve">  - When a creature within 5 feet of you casts a spell, use your reaction to make a melee weapon attack against that creature. 
  - When you damage a creature that is concentrating on a spell, that creature has disadvantage on the saving throw it makes
     to maintain its concentration. 
  - You have advantage on saving throws against spells cast by creatures within 5 feet of you.</t>
  </si>
  <si>
    <t>Choose a class: bard, cleric, druid, sorcerer, warlock, or wizard. You learn two cantrips of your choice from that class’s spell list. 
In addition, choose one 1st-level spell from that same list. You learn that spell and can cast it at its lowest level. Once you cast it, you must finish a long rest before you can cast it again. 
Your spellcasting ability for these spells depends on the class you chose: Charisma for bard, sorcerer, or warlock; Wisdom for cleric or druid: or Intelligence for wizard.</t>
  </si>
  <si>
    <t xml:space="preserve">  - Choose a class: bard, cleric, druid, sorcerer, warlock, or wizard. 
  - You learn two cantrips of your choice from that class’s spell list. 
  - In addition, choose one 1st-level spell from that same list. You learn that spell and can cast it at its lowest level. Once you cast
     it, you must finish a long rest before you can cast it again. 
  - Your spellcasting ability for these spells depends on the class chosen: Charisma for bard, sorcerer, or warlock; Wisdom for
     cleric or druid: or Intelligence for wizard.</t>
  </si>
  <si>
    <t>You have martial training that allows you to perform special combat maneuvers. You gain the following benefits:
• You learn two maneuvers of your choice from among those available to the Battle Master archetype in the fighter class. If a maneuver you use requires your target to make a saving throw to resist the maneuver’s effects, the saving throw DC equals 8 + your proficiency bonus + your Strength or Dexterity modifier (your choice). 
• If you already have superiority dice, you gain one more; otherwise, you have one superiority die, which is a d6. This die is used to fuel your maneuvers. A superiority die is expended when you use it. You regain your expended superiority dice when you finish a short or long rest.</t>
  </si>
  <si>
    <t>You have practiced moving in medium armor to gain the following benefits:
• Wearing medium armor doesn’t impose disadvantage on your Dexterity (Stealth) checks. 
• When you wear medium armor, you can add 3, rather than 2, to your AC if you have a Dexterity of 16 or higher.</t>
  </si>
  <si>
    <t xml:space="preserve">  - Wearing medium armor doesn’t impose disadvantage on your Dexterity (Stealth) checks. 
  - When you wear medium armor, you add 3, rather than 2, to your AC if you have a Dexterity of 16 or higher.</t>
  </si>
  <si>
    <t>You are exceptionally speedy and agile. You gain the following benefits:
• Your speed increases by 10 feet.
• When you use the Dash action, difficult terrain doesn’t cost you extra movement on that turn. 
• When you make a melee attack against a creature, you don’t provoke opportunity attacks from that creature for the rest of the turn, whether you hit or not.</t>
  </si>
  <si>
    <t xml:space="preserve">  - Your speed increases by 10 feet.
  - When you use the Dash action, difficult terrain doesn’t cost you extra movement on that turn. 
  - When you make a melee attack against a creature, you don’t provoke opportunity attacks from that creature for the rest of
     the turn, whether you hit or not.</t>
  </si>
  <si>
    <t>Proficiency with light armor</t>
  </si>
  <si>
    <t>You have trained to master the use of medium armor and shields, gaining the following benefits:
• Increase your Strength or Dexterity score by 1, to a maximum of 20. 
• You gain proficiency with medium armor and shields.</t>
  </si>
  <si>
    <t xml:space="preserve">  - Increase your Strength or Dexterity score by 1, to a maximum of 20. 
  - You gain proficiency with medium armor and shields.</t>
  </si>
  <si>
    <t>You are a dangerous foe to face while mounted. While you are mounted and aren’t incapacitated, you gain the following benefits:
• You have advantage on melee attack rolls against any unmounted creature that is smaller than your mount. 
• You can force an attack targeted at your mount to target you instead. 
• If your mount is subjected to an effect that allows it to  make a Dexterity saving throw to take only half damage, it instead takes no damage if it succeeds on the saving throw, and only half damage if it fails.</t>
  </si>
  <si>
    <t xml:space="preserve">  - You have advantage on melee attack rolls against any unmounted creature that is smaller than your mount. 
  - You can force an attack targeted at your mount to target you instead. 
  - If your mount is subjected to an effect that allows it to  make a Dexterity saving throw to take only half damage, it instead
     takes no damage if it succeeds on the saving throw, and only half damage if it fails.</t>
  </si>
  <si>
    <t>Quick to notice details of your environment, you gain the following benefits:
• Increase your Intelligence or Wisdom score by 1, to a maximum of 20. 
• If you can see a creature’s mouth while it is speaking a language you understand, you can interpret what it’s saying by reading its lips. 
• You have a +5 bonus to your passive Wisdom (Perception) and passive Intelligence (Investigation) scores.</t>
  </si>
  <si>
    <t xml:space="preserve">  - Increase your Intelligence or Wisdom score by 1, to a maximum of 20. 
  - If you can see a creature’s mouth while it is speaking a language you understand, you can interpret what it’s saying by
     reading its lips. 
  - You have a +5 bonus to your passive Wisdom (Perception) and passive Intelligence (Investigation) scores.</t>
  </si>
  <si>
    <t>You can keep your enemies at bay with reach weapons. You gain the following benefits:
• When you take the Attack action and attack with only a glaive, halberd, or quarterstaff, you can use a bonus action to make a melee attack with the opposite end of the weapon. The weapon’s damage die for this attack is a d4, and the attack deals bludgeoning damage. 
• While you are wielding a glaive, halberd, pike, or quarterstaff, other creatures provoke an opportunity attack from you when they enter your reach.</t>
  </si>
  <si>
    <t xml:space="preserve">  - When you take the Attack action and attack with only a glaive, halberd, or quarterstaff, you can use a bonus action to make a
     melee attack with the opposite end of the weapon. The weapon’s damage die for this attack is a d4, and the attack deal
     bludgeoning damage. 
  - While you are wielding a glaive, halberd, pike, or quarterstaff, other creatures provoke an opportunity attack from you
     when they enter your reach.</t>
  </si>
  <si>
    <t>Choose one ability score. You gain the following benefits:
• Increase the chosen ability score by 1, to a maximum of 20. 
• You gain proficiency in saving throws using the chosen ability.</t>
  </si>
  <si>
    <t xml:space="preserve">  - Increase the chosen ability score by 1, to a maximum of 20. 
  - You gain proficiency in saving throws using the chosen ability.</t>
  </si>
  <si>
    <t>You have learned a number of spells that you can cast as rituals. These spells are written in a ritual book, which you must have in hand while casting one of them. 
When you choose this feat, you acquire a ritual book holding two 1st-level spells of your choice. Choose one of the following classes: bard, cleric, druid, sorcerer, warlock, or wizard. You must choose your spells from that class’s spell list, and the spells you choose must have the ritual tag. The class you choose also determines your spellcasting ability for these spells: Charisma for bard, sorcerer, or warlock; Wisdom for cleric or druid; or Intelligence for wizard. 
If you come across a spell in written form, such as a magical spell scroll or a wizard’s spellbook, you might be able to add it to your ritual book. The spell must be on the spell list for the class you chose, the spell’s level can be no higher than half your level (rounded up), and it must have the ritual tag. The process of copying the spell into your ritual book takes 2 hours per level of the spell, and costs 50 gp per level. The cost represents material components you expend as you experiment with the spell to master it, as well as the fine inks you need to record it.</t>
  </si>
  <si>
    <t xml:space="preserve">  - You acquire a ritual book holding two 1st-level spells of your choice. Choose one of the following classes: bard, cleric, druid,
     sorcerer, warlock, or wizard. You must choose your spells from that class’s spell list, and the spells you choose must have
     the ritual tag. The class you choose determines your spellcasting ability for these spells: Charisma for bard, sorcerer, or
     warlock; Wisdom for cleric or druid; or Intelligence for wizard. 
  - If you come across a spell in written form, such as a magical spell scroll or a wizard’s spellbook, you might be able to add it
     to your ritual book. The spell must be on the spell list for the class you chose, the spell’s level can be no higher than half your
     level (rounded up), and it must have the ritual tag. The process of copying spells into your ritual book takes 2 hours per level
     of the spell and 50 gp per level. The cost represents material components expended as you experiment with the spell to
     master it, as well as fine inks you need to record it.</t>
  </si>
  <si>
    <t>Once per turn when you roll damage for a melee weapon attack, you can reroll the weapon’s damage dice and use either total.</t>
  </si>
  <si>
    <t xml:space="preserve">  - Once per turn when you roll damage for a melee weapon attack, reroll the weapon’s damage dice and use either total.</t>
  </si>
  <si>
    <t>You have mastered techniques to take advantage of every drop in any enemy’s guard, gaining the following benefits:
• When you hit a creature with an opportunity attack, the creature’s speed becomes 0 for the rest of the turn.
• Creatures within 5 feet of you provoke opportunity attacks from you even if they take the Disengage action before leaving your reach. 
• When a creature within 5 feet of you makes an attack against a target other than you (and that target doesn’t have this feat), you can use your reaction to make a melee weapon attack against the attacking creature.</t>
  </si>
  <si>
    <t xml:space="preserve">  - When you hit a creature with an opportunity attack, the creature’s speed becomes 0 for the rest of the turn.
  - Creatures within 5 feet of you provoke opportunity attacks even if they take the Disengage action before leaving your reach. 
  - When a creature within 5 feet of you makes an attack against a target other than you (and that target doesn’t have this feat),
     you can use your reaction to make a melee weapon attack against the attacking creature.</t>
  </si>
  <si>
    <t>You have mastered ranged weapons and can make shots that others find impossible. You gain the following benefits:
• Attacking at long range doesn't impose disadvantage on your ranged weapon attack rolls. 
• Your ranged weapon attacks ignore half cover and three-quarters cover. 
• Before you make an attack with a ranged weapon that you are proficient with, you can choose to take a -5 penalty to the attack roll. If the attack hits, you add +10 to the attack’s damage.</t>
  </si>
  <si>
    <t xml:space="preserve">  - Attacking at long range doesn't impose disadvantage on your ranged weapon attack rolls. 
  - Your ranged weapon attacks ignore half cover and three-quarters cover. 
  - Before you make an attack with a ranged weapon that you are proficient with, you can choose to take a -5 penalty to the
     attack roll. If the attack hits, you add +10 to the attack’s damage.</t>
  </si>
  <si>
    <t>You use shields not just for protection but also for offense. You gain the following benefits while you are wielding a shield:
• If you take the Attack action on your turn, you can use a bonus action to try to shove a creature within 5 feet of you with your shield. 
• If you aren’t incapacitated, you can add your shield’s AC bonus to any Dexterity saving throw you make against a spell or other harmful effect that targets only you. 
• If you are subjected to an effect that allows you to make a Dexterity saving throw to take only half damage, you can use your reaction to take no damage if you succeed on the saving throw, interposing your shield between yourself and the source of the effect.</t>
  </si>
  <si>
    <t xml:space="preserve">  - If you take the Attack action on your turn, use a bonus action to try to shove a creature within 5 feet of you with your shield. 
  - If you aren’t incapacitated, add your shield’s AC bonus to any Dexterity saving throw you make against a spell or other
     harmful effect that targets only you. 
  - If you are subjected to an effect that allows you to make a Dexterity saving throw to take only half damage, use your reaction
     to take no damage if you succeed on the saving throw, interposing your shield between you and the source of the effect.</t>
  </si>
  <si>
    <t>You gain proficiency in any combination of three skills or tools of your choice.</t>
  </si>
  <si>
    <t xml:space="preserve">  - You gain proficiency in any combination of three skills or tools of your choice.</t>
  </si>
  <si>
    <t>You are expert at slinking through shadows. You gain the following benefits:
• You can try to hide when you are lightly obscured from the creature from which you are hiding. 
• When you are hidden from a creature and miss it with a ranged weapon attack, making the attack doesn't reveal your position. 
• Dim light doesn’t impose disadvantage on your Wisdom (Perception) checks relying on sight.</t>
  </si>
  <si>
    <t xml:space="preserve">  - You can try to hide when you are lightly obscured from the creature from which you are hiding. 
  - When you are hidden from a creature and miss it with a ranged weapon attack, making the attack doesn't reveal your position. 
  - Dim light doesn’t impose disadvantage on your Wisdom (Perception) checks relying on sight.</t>
  </si>
  <si>
    <t>You have learned techniques to enhance your attacks with certain kinds of spells, gaining the following benefits:
• When you cast a spell that requires you to make an attack roll, the spell’s range is doubled. 
• Your ranged spell attacks ignore half cover and three-quarters cover. 
• You learn one cantrip that requires an attack roll. Choose the cantrip from the bard, cleric, druid, sorcerer, warlock, or wizard spell list. Your spellcasting ability for this cantrip depends on the spell list you chose from: Charisma for bard, sorcerer, or warlock; Wisdom for cleric or druid; or Intelligence for wizard.</t>
  </si>
  <si>
    <t xml:space="preserve">  - When you cast a spell that requires you to make an attack roll, the spell’s range is doubled. 
  - Your ranged spell attacks ignore half cover and three-quarters cover. 
  - You learn one cantrip that requires an attack roll. Choose the cantrip from the bard, cleric, druid, sorcerer, warlock, or wizard
     spell list. Your spellcasting ability for this cantrip depends on the spell list chosen: Charisma for bard, sorcerer, or warlock;
     Wisdom for cleric or druid; or Intelligence for wizard.</t>
  </si>
  <si>
    <t>Accustomed to rough-and-tumble fighting using whatever weapons happen to be at hand, you gain the following benefits:
• Increase your Strength or Constitution score by 1, to a maximum of 20. 
• You are proficient with improvised weapons and unarmed strikes. 
• Your unarmed strike uses a d4 for damage. 
• When you hit a creature with an unarmed strike or an improvised weapon on your turn, you can use a bonus action to attempt to grapple the target.</t>
  </si>
  <si>
    <t xml:space="preserve">  - Increase your Strength or Constitution score by 1, to a maximum of 20. 
  - You are proficient with improvised weapons and unarmed strikes. 
  - Your unarmed strike uses a d4 for damage. 
  - When you hit a creature with an unarmed strike or an improvised weapon on your turn, use a bonus action to attempt to
     grapple the target.</t>
  </si>
  <si>
    <t>Your hit point maximum increases by an amount equal to twice your level when you gain this feat. Whenever you gain a level thereafter, your hit point maximum increases by an additional 2 hit points.</t>
  </si>
  <si>
    <t xml:space="preserve">  - Your hit point maximum increases by an amount equal to twice your level when you gain this feat. Whenever you gain a level
    thereafter, your hit point maximum increases by an additional 2 hit points.</t>
  </si>
  <si>
    <t>You have practiced casting spells in the midst of combat, learning techniques that grant you the following benefits:
• You have advantage on Constitution saving throws that you make to maintain your concentration on a spell when you take damage. 
• You can perform the somatic components of spells even when you have weapons or a shield in one or both hands. 
• When a hostile creature’s movement provokes an opportunity attack from you, you can use your reaction to cast a spell at the creature, rather than making an opportunity attack. The spell must have a casting time of 1 action and must target only that creature.</t>
  </si>
  <si>
    <t xml:space="preserve">  - Advantage on Constitution saving throws that you make to maintain your concentration on a spell when you take damage. 
  - You can perform the somatic components of spells even when you have weapons or a shield in one or both hands. 
  - When a hostile creature’s movement provokes an opportunity attack, use your reaction to cast a spell at the creature, rather
     than making an opportunity attack. The spell must have a casting time of 1 action and must target only that creature.</t>
  </si>
  <si>
    <t>You have practiced extensively with a variety of weapons, gaining the following benefits:
• Increase your Strength or Dexterity score by 1, to a maximum of 20. 
• You gain proficiency with four weapons of your choice.</t>
  </si>
  <si>
    <t xml:space="preserve">  - Increase your Strength or Dexterity score by 1, to a maximum of 20. 
  - You gain proficiency with four weapons of your choice.</t>
  </si>
  <si>
    <t>FEAT NAME</t>
  </si>
  <si>
    <t>PREREQUISITE</t>
  </si>
  <si>
    <t>DESCRIPTION</t>
  </si>
  <si>
    <t>Class skills</t>
  </si>
  <si>
    <t>Skill1</t>
  </si>
  <si>
    <t>Skill2</t>
  </si>
  <si>
    <t>Skill3</t>
  </si>
  <si>
    <t>Skill4</t>
  </si>
  <si>
    <t>Проверка на родные статы</t>
  </si>
  <si>
    <t>Feats</t>
  </si>
  <si>
    <t>Multiclass</t>
  </si>
  <si>
    <t>Age</t>
  </si>
  <si>
    <t>Height</t>
  </si>
  <si>
    <t>Alignment</t>
  </si>
  <si>
    <t>Class and Levels</t>
  </si>
  <si>
    <t>2nd class</t>
  </si>
  <si>
    <t>3rd class</t>
  </si>
  <si>
    <t>4th class</t>
  </si>
  <si>
    <t>5th class</t>
  </si>
  <si>
    <t>6th class</t>
  </si>
  <si>
    <t>Total Class Level</t>
  </si>
  <si>
    <t>Points Left</t>
  </si>
  <si>
    <t>Racial Trait 6</t>
  </si>
  <si>
    <t>Racial Traits</t>
  </si>
  <si>
    <t>Supreme Darkvision</t>
  </si>
  <si>
    <t>Fighting Styles</t>
  </si>
  <si>
    <t>Barbarian's Path of Berserker Totem Spirits</t>
  </si>
  <si>
    <t>Domain Knowledge</t>
  </si>
  <si>
    <t>Combat Maneuvers</t>
  </si>
  <si>
    <t>Ranger Favored Enemies</t>
  </si>
  <si>
    <t>Ranger Natural Explorer</t>
  </si>
  <si>
    <t>Background Feature</t>
  </si>
  <si>
    <t>You have a military rank from your career as a soldier. Soldiers loyal to your former military organization still recognize your authority and influence, and they defer to you if they are of a lower rank.</t>
  </si>
  <si>
    <t>As an acolyte, you command the respect of those who share your faith, and you can perform the religious ceremonies of your deity.</t>
  </si>
  <si>
    <t>You have created a second identity that includes documentation, established acquaintances, and disguises that allow you to assume that persona. Additionally, you can forge documents including official papers and personal letters, as long as you have seen an example of the kind of document or the handwriting you are trying to copy.</t>
  </si>
  <si>
    <t>You have a reliable and trustworthy contact who acts as your liaison to a network of other criminals.</t>
  </si>
  <si>
    <t>You can always find a place to perform, usually in an inn or tavern but possibly with a circus, at a theater, or even in a noble’s court. You receive free lodging and food of a modest or comfortable standard, as long as you perform each night. Your performance makes you something of a local figure. When strangers recognize you in a town where you have performed they typically take a liking to you.</t>
  </si>
  <si>
    <t>Since you come from the ranks of the common folk, you fit in among them with ease.</t>
  </si>
  <si>
    <t>As a member of a guild, you can rely on certain benefits that membership provides. Your fellow guild members will provide lodging and food if necessary. If you are accused of a crime, your guild will support you if a good case can be made for you innocence or the crime is justifiable. You must pay dues of 5 gp per month to the guild to remain in the guild’s good graces.</t>
  </si>
  <si>
    <t>The quiet seclusion of your extended hermitage gave you access to a unique and powerful discovery. It might be a great truth about the cosmos, the deities, the powerful beings of the outer planes, or the forces of nature. It could be a site that no one else has ever seen. You might have uncovered a fact that has long been forgotten, or unearthed some relic of the past that could rewrite history...</t>
  </si>
  <si>
    <t>Thanks to your noble birth, people are inclined to think the best of you. You are welcome in high society, and people assume you have the right to be wherever you are.</t>
  </si>
  <si>
    <t>You have an excellent memory for maps and geography, and can always recall the general layout of terrain, settlements, and other features around you. In addition, you can find food and fresh water for yourself and up to five other people each day, provided that the land offers berries, small game, water, and so forth.</t>
  </si>
  <si>
    <t>When you attempt to learn or recall a piece of lore, if you do not know that information, you often know where and from whom you can obtain it.</t>
  </si>
  <si>
    <t>You can secure free passage on a sailing ship for yourself and your adventuring companions. You might sail on the ship you served on, or another ship you have good relations with. Because you’re calling in a favor, you can’t be certain of a schedule or route that will meet your every need. In return for your free passage, you and your companions are expected to assist the crew during the voyage.</t>
  </si>
  <si>
    <t>You know the secret patterns and flow to cities and can find passages through the urban sprawl that others would miss. When you are not in combat, you (and companions you lead) can travel between any two locations in the city twice as fast as your speed would normally allow.</t>
  </si>
  <si>
    <t>Ranger Hunter Features</t>
  </si>
  <si>
    <t>Warlock Invocations</t>
  </si>
  <si>
    <t>Saving Throws</t>
  </si>
  <si>
    <t>Feat os ASI</t>
  </si>
  <si>
    <t>BardCantrips</t>
  </si>
  <si>
    <t>BardSpellsKnown</t>
  </si>
  <si>
    <t>BardNumberofUses</t>
  </si>
  <si>
    <t>BardicInspiration</t>
  </si>
  <si>
    <t>SongofRest</t>
  </si>
  <si>
    <t>ClericCantrips</t>
  </si>
  <si>
    <t>ClericChannelDivinity</t>
  </si>
  <si>
    <t>DruidCantrips</t>
  </si>
  <si>
    <t>DruidBeastShapeMAXCR</t>
  </si>
  <si>
    <t>DruidMoonShapeMAXCR</t>
  </si>
  <si>
    <t>EldritchKnightCantrips</t>
  </si>
  <si>
    <t>EldritchKnightSpellsKnown</t>
  </si>
  <si>
    <t>MonkKi</t>
  </si>
  <si>
    <t>MonkMartialArts</t>
  </si>
  <si>
    <t>MonkFastMovement</t>
  </si>
  <si>
    <t>PaladinDivineSense</t>
  </si>
  <si>
    <t>PaladinLayonHandsPool</t>
  </si>
  <si>
    <t>RangerSpellsKnown</t>
  </si>
  <si>
    <t>ArcaneTricksterCantrips</t>
  </si>
  <si>
    <t>ArcaneTricksterSpellsKnown</t>
  </si>
  <si>
    <t>RogueSneakAttack</t>
  </si>
  <si>
    <t>SorcererCantrips</t>
  </si>
  <si>
    <t>SorcererSpellsKnown</t>
  </si>
  <si>
    <t>SorcererSorceryPoints</t>
  </si>
  <si>
    <t>WarlockCantrips</t>
  </si>
  <si>
    <t>WarlockSpellsKnown</t>
  </si>
  <si>
    <t>WarlockSlotLevel</t>
  </si>
  <si>
    <t>WarlockSlots</t>
  </si>
  <si>
    <t>WarlockInvocationsKnown</t>
  </si>
  <si>
    <t>WizardCantrips</t>
  </si>
  <si>
    <t>BarbarianRages</t>
  </si>
  <si>
    <t>BarbarianRageDamage</t>
  </si>
  <si>
    <t>BarbarianBrutalCricial</t>
  </si>
  <si>
    <t>Frenzy</t>
  </si>
  <si>
    <t>Mindless Rage</t>
  </si>
  <si>
    <t>Intimidating Presence</t>
  </si>
  <si>
    <t>Retaliation</t>
  </si>
  <si>
    <t>Spirit Seeker</t>
  </si>
  <si>
    <t>Totem Spirit</t>
  </si>
  <si>
    <t>Aspect of the Beast</t>
  </si>
  <si>
    <t>Spirit Walker</t>
  </si>
  <si>
    <t>Totemic Attunement</t>
  </si>
  <si>
    <t>Cutting Words</t>
  </si>
  <si>
    <t>Peerless Skill</t>
  </si>
  <si>
    <t>Additional Magical Secrets</t>
  </si>
  <si>
    <t>College of Valor: Bonus Proficiencies</t>
  </si>
  <si>
    <t>College of Lore: Bonus Proficiencies</t>
  </si>
  <si>
    <t>Combat Inspiration</t>
  </si>
  <si>
    <t>Battle Magic</t>
  </si>
  <si>
    <t>Blessings of Knowledge</t>
  </si>
  <si>
    <t>Channel Divinity: Knowledge of the Ages</t>
  </si>
  <si>
    <t>Channel Divinity: Read Thoughts</t>
  </si>
  <si>
    <t>Potent Spellcasting</t>
  </si>
  <si>
    <t>Visions of the Past</t>
  </si>
  <si>
    <t>Life Domain: Bonus Proficiency</t>
  </si>
  <si>
    <t>Disciple of Life</t>
  </si>
  <si>
    <t>Channel Divinity: Preserve Life</t>
  </si>
  <si>
    <t>Blessed Healer</t>
  </si>
  <si>
    <t>Divine Strike</t>
  </si>
  <si>
    <t>Supreme Healing</t>
  </si>
  <si>
    <t>Channel Divinity: Radiance of the Dawn</t>
  </si>
  <si>
    <t>Improved Flare</t>
  </si>
  <si>
    <t>Corona of Light</t>
  </si>
  <si>
    <t>Warding Flare</t>
  </si>
  <si>
    <t>Channel Divinity: Charm Animals and Plants</t>
  </si>
  <si>
    <t>Dampen Elements</t>
  </si>
  <si>
    <t>Master of Nature</t>
  </si>
  <si>
    <t>Acolyte of Nature</t>
  </si>
  <si>
    <t>Wrath of the Storm</t>
  </si>
  <si>
    <t>Channel Divinity: Destructive Wrath</t>
  </si>
  <si>
    <t>Thunderbolt Strike</t>
  </si>
  <si>
    <t>Stormborn</t>
  </si>
  <si>
    <t>Blessing of Trickster</t>
  </si>
  <si>
    <t>Channel Divinity: Invoke Duplicity</t>
  </si>
  <si>
    <t>Channel Divinity: Cloak of Shadows</t>
  </si>
  <si>
    <t>Improved Dupilicty</t>
  </si>
  <si>
    <t>Trickstery</t>
  </si>
  <si>
    <t>Tempest</t>
  </si>
  <si>
    <t>War Priest</t>
  </si>
  <si>
    <t>War</t>
  </si>
  <si>
    <t>Channel Divinity: Guided Strike</t>
  </si>
  <si>
    <t>Channel Divinity: War God's Blessing</t>
  </si>
  <si>
    <t>Avatar of Battle</t>
  </si>
  <si>
    <t>Natural Recovery</t>
  </si>
  <si>
    <t>Circle Spells</t>
  </si>
  <si>
    <t>Nature's Ward</t>
  </si>
  <si>
    <t>Nature's Sanctuary</t>
  </si>
  <si>
    <t>Combat Wild Shape</t>
  </si>
  <si>
    <t>Circle Forms</t>
  </si>
  <si>
    <t>Primal Strike</t>
  </si>
  <si>
    <t>Elemental Wild Shape</t>
  </si>
  <si>
    <t>Thousand Forms</t>
  </si>
  <si>
    <t>Improved Criticals</t>
  </si>
  <si>
    <t>Remarkable Athlete</t>
  </si>
  <si>
    <t>Additional Fighting Style</t>
  </si>
  <si>
    <t>Superior Critical</t>
  </si>
  <si>
    <t>Survivor</t>
  </si>
  <si>
    <t>Combat Superiority</t>
  </si>
  <si>
    <t>Student of War</t>
  </si>
  <si>
    <t>Know Your Enemy</t>
  </si>
  <si>
    <t>Relentless</t>
  </si>
  <si>
    <t>Weapon Bond</t>
  </si>
  <si>
    <t>War Magic</t>
  </si>
  <si>
    <t>Eldritch Strike</t>
  </si>
  <si>
    <t>Arcane Charge</t>
  </si>
  <si>
    <t>Improved War Magic</t>
  </si>
  <si>
    <t>Battle Master</t>
  </si>
  <si>
    <t>Open Hand Technique</t>
  </si>
  <si>
    <t>Wholeness of Body</t>
  </si>
  <si>
    <t>Tranquility</t>
  </si>
  <si>
    <t>Quivering Palm</t>
  </si>
  <si>
    <t>Shadow Arts</t>
  </si>
  <si>
    <t>Shadow Step</t>
  </si>
  <si>
    <t>Cloack of Shadows</t>
  </si>
  <si>
    <t>Opportunist</t>
  </si>
  <si>
    <t>Disciple of the Elements</t>
  </si>
  <si>
    <t>Channel Divinity: Sacred Weapon</t>
  </si>
  <si>
    <t>Channel Divinity: Turn the Unholy</t>
  </si>
  <si>
    <t>Aura of Devotion</t>
  </si>
  <si>
    <t>Purity of Spirit</t>
  </si>
  <si>
    <t>Holy Nimbus</t>
  </si>
  <si>
    <t>Channel Divnity: Nature's Wrath</t>
  </si>
  <si>
    <t>Channel Divnity: Turn the Faithless</t>
  </si>
  <si>
    <t>Aura of Warding</t>
  </si>
  <si>
    <t>Undying Sentinel</t>
  </si>
  <si>
    <t>Elder Champion</t>
  </si>
  <si>
    <t>Channel Divinity: Abjure Elements</t>
  </si>
  <si>
    <t>Channel Divinity: Vow of Emnity</t>
  </si>
  <si>
    <t>Relentless Avenger</t>
  </si>
  <si>
    <t>Soul of Vengeance</t>
  </si>
  <si>
    <t>Avenging Angel</t>
  </si>
  <si>
    <t>Hunter's Prey</t>
  </si>
  <si>
    <t>Defensive Tactics</t>
  </si>
  <si>
    <t>Multiattack</t>
  </si>
  <si>
    <t>Superior Hunter's Defense</t>
  </si>
  <si>
    <t>Ranger's Companion</t>
  </si>
  <si>
    <t>Exceptional Training</t>
  </si>
  <si>
    <t>Bestial Fury</t>
  </si>
  <si>
    <t>Share Spells</t>
  </si>
  <si>
    <t>Fast Hands</t>
  </si>
  <si>
    <t>Second-Story Work</t>
  </si>
  <si>
    <t>Supreme Sneak</t>
  </si>
  <si>
    <t>Use Magic Device</t>
  </si>
  <si>
    <t>Thief's Reflexes</t>
  </si>
  <si>
    <t>Infiltration Expertise</t>
  </si>
  <si>
    <t>Impostor</t>
  </si>
  <si>
    <t>Death Strike</t>
  </si>
  <si>
    <t>Mage Hand Legerdemain</t>
  </si>
  <si>
    <t>Magical Ambush</t>
  </si>
  <si>
    <t>Versatile Trickster</t>
  </si>
  <si>
    <t>Spell Thief</t>
  </si>
  <si>
    <t>Dragon Ancestor</t>
  </si>
  <si>
    <t>Draconic Resilence</t>
  </si>
  <si>
    <t>Elemental Affinity</t>
  </si>
  <si>
    <t>Dragon Wings</t>
  </si>
  <si>
    <t>Draconic Presence</t>
  </si>
  <si>
    <t>Wild Magic Surge</t>
  </si>
  <si>
    <t>Tides of Chaos</t>
  </si>
  <si>
    <t>Bend Luck</t>
  </si>
  <si>
    <t>Controlled Chaos</t>
  </si>
  <si>
    <t>Spell Bombardment</t>
  </si>
  <si>
    <t>Abjuration Savant</t>
  </si>
  <si>
    <t>Arcane Ward</t>
  </si>
  <si>
    <t>Projected Ward</t>
  </si>
  <si>
    <t>Improved Abjuration</t>
  </si>
  <si>
    <t>Spell Resistance</t>
  </si>
  <si>
    <t xml:space="preserve">Conjuration Savant </t>
  </si>
  <si>
    <t>Minor Conjuration</t>
  </si>
  <si>
    <t>Benign Transposition</t>
  </si>
  <si>
    <t>Focused Conjuration</t>
  </si>
  <si>
    <t>Durable Summons</t>
  </si>
  <si>
    <t xml:space="preserve">Divination Savant </t>
  </si>
  <si>
    <t>Portent 2d20</t>
  </si>
  <si>
    <t>Expert Divination</t>
  </si>
  <si>
    <t>The Third Eye</t>
  </si>
  <si>
    <t>Greater Portent 3d20</t>
  </si>
  <si>
    <t xml:space="preserve">Enchantment Savant </t>
  </si>
  <si>
    <t>Hypnotic Gaze</t>
  </si>
  <si>
    <t>Instinctive Charm</t>
  </si>
  <si>
    <t>Split Enchantment</t>
  </si>
  <si>
    <t>Alter Memories</t>
  </si>
  <si>
    <t xml:space="preserve">Evocation Savant </t>
  </si>
  <si>
    <t>Sculpt Spells</t>
  </si>
  <si>
    <t>Potent Cantrip</t>
  </si>
  <si>
    <t>Empowered Evocation</t>
  </si>
  <si>
    <t>Overchannel</t>
  </si>
  <si>
    <t xml:space="preserve">Illusion Savant </t>
  </si>
  <si>
    <t>Improved Minor Illusion</t>
  </si>
  <si>
    <t>Malleable Illusions</t>
  </si>
  <si>
    <t>Illusory Self</t>
  </si>
  <si>
    <t>Illusionary Reality</t>
  </si>
  <si>
    <t xml:space="preserve">Necromancy Savant </t>
  </si>
  <si>
    <t>Grim Harvest</t>
  </si>
  <si>
    <t>Undead Thralls</t>
  </si>
  <si>
    <t>Inured to Undeath</t>
  </si>
  <si>
    <t>Command Undead</t>
  </si>
  <si>
    <t xml:space="preserve">Transmutation Savant </t>
  </si>
  <si>
    <t>Minor Alchemy</t>
  </si>
  <si>
    <t>Transmuter's Stone</t>
  </si>
  <si>
    <t>Master Transmuter</t>
  </si>
  <si>
    <t>Nature Domain: Bonus Proficiencies</t>
  </si>
  <si>
    <t>Tempest Domain: Bonus Proficiencies</t>
  </si>
  <si>
    <t>War Domain: Bonus Proficiencies</t>
  </si>
  <si>
    <t>Circle of the Land: Bonus Cantrip</t>
  </si>
  <si>
    <t>Light Domain: Bonus Cantrip</t>
  </si>
  <si>
    <t>Multiclasses</t>
  </si>
  <si>
    <t>Archetype1</t>
  </si>
  <si>
    <t>Archetype2</t>
  </si>
  <si>
    <t>Archetype3</t>
  </si>
  <si>
    <t>Archetype4</t>
  </si>
  <si>
    <t>Archetype5</t>
  </si>
  <si>
    <t>Archetype6</t>
  </si>
  <si>
    <t>Number of Variants</t>
  </si>
  <si>
    <t>RogueExpertise</t>
  </si>
  <si>
    <t>BardExpertise</t>
  </si>
  <si>
    <t>Knowledge</t>
  </si>
  <si>
    <t>First Class</t>
  </si>
  <si>
    <t>DomainKnowledgeSkills</t>
  </si>
  <si>
    <t>BardCollegeOfLore</t>
  </si>
  <si>
    <t>Proficient</t>
  </si>
  <si>
    <t>Expertise Skill</t>
  </si>
  <si>
    <t>Thieve's Tools</t>
  </si>
  <si>
    <t>Vehicles (water)</t>
  </si>
  <si>
    <t>Expertise 4</t>
  </si>
  <si>
    <t>Expertise 5</t>
  </si>
  <si>
    <t>Expertise 6</t>
  </si>
  <si>
    <t>Expertise 7</t>
  </si>
  <si>
    <t>Expertise 8</t>
  </si>
  <si>
    <t>Expertise 3</t>
  </si>
  <si>
    <t>Expertise 2</t>
  </si>
  <si>
    <t>Expertise 1</t>
  </si>
  <si>
    <t>Expertise Skill 1</t>
  </si>
  <si>
    <t>Expertise Skill 2</t>
  </si>
  <si>
    <t>Expertise Skill 3</t>
  </si>
  <si>
    <t>Expertise Skill 4</t>
  </si>
  <si>
    <t>CombatManeuvers</t>
  </si>
  <si>
    <t>RangerFavoredEnemiesNumber</t>
  </si>
  <si>
    <t>RangerNaturalExplorer</t>
  </si>
  <si>
    <t>RangerHunterFeatures</t>
  </si>
  <si>
    <t>FightingStylesNumber</t>
  </si>
  <si>
    <t>MonkElementalDisciplines</t>
  </si>
  <si>
    <t>Expertise Skill 5</t>
  </si>
  <si>
    <t>Expertise Skill 6</t>
  </si>
  <si>
    <t>Expertise Skill 7</t>
  </si>
  <si>
    <t>Expertise Skill 8</t>
  </si>
  <si>
    <t>SKILL</t>
  </si>
  <si>
    <t>TOOLS</t>
  </si>
  <si>
    <t>BarbarianSpiritTotems</t>
  </si>
  <si>
    <t>assassin</t>
  </si>
  <si>
    <t>Prerequisites</t>
  </si>
  <si>
    <t>Any</t>
  </si>
  <si>
    <t>ASINumber</t>
  </si>
  <si>
    <t>Additional Points (ASI)</t>
  </si>
  <si>
    <t>Lawful Neutral</t>
  </si>
  <si>
    <t>Neutral</t>
  </si>
  <si>
    <t>Tools Proficiency and Languages</t>
  </si>
  <si>
    <t>Languages Known</t>
  </si>
  <si>
    <t>Languages Train</t>
  </si>
  <si>
    <t>Languages Left</t>
  </si>
  <si>
    <t>Commander’s Strike</t>
  </si>
  <si>
    <t>Disarming Attack</t>
  </si>
  <si>
    <t>Distracting Strike</t>
  </si>
  <si>
    <t>Evasive Footwork</t>
  </si>
  <si>
    <t>Feinting Attack</t>
  </si>
  <si>
    <t>Goading Attack</t>
  </si>
  <si>
    <t>Lunging Attack</t>
  </si>
  <si>
    <t>Maneuvering Attack</t>
  </si>
  <si>
    <t>Menacing Attack</t>
  </si>
  <si>
    <t>Parry</t>
  </si>
  <si>
    <t>Precision Attack</t>
  </si>
  <si>
    <t>Pushing Attack</t>
  </si>
  <si>
    <t>Rally</t>
  </si>
  <si>
    <t>Riposte</t>
  </si>
  <si>
    <t>Sweeping Attack</t>
  </si>
  <si>
    <t>Trip Attack</t>
  </si>
  <si>
    <t>Breath of Winter</t>
  </si>
  <si>
    <t>Clench of the North Wind</t>
  </si>
  <si>
    <t>Eternal Mountain Defense</t>
  </si>
  <si>
    <t>Fangs of the Fire Snake</t>
  </si>
  <si>
    <t>Fist of Four Thunders</t>
  </si>
  <si>
    <t>Fist of Unbroken Air</t>
  </si>
  <si>
    <t>Flames of the Phoenix</t>
  </si>
  <si>
    <t>Gong of the Summit</t>
  </si>
  <si>
    <t>Mist Stance</t>
  </si>
  <si>
    <t>Ride the Wind</t>
  </si>
  <si>
    <t>River of Hungry Flame</t>
  </si>
  <si>
    <t>Rush of the Gale Spirits</t>
  </si>
  <si>
    <t>Shape the Flowing River</t>
  </si>
  <si>
    <t>Sweeping Cinder Strike</t>
  </si>
  <si>
    <t>Water Whip</t>
  </si>
  <si>
    <t>Wave of Rolling Earth</t>
  </si>
  <si>
    <t>Bear</t>
  </si>
  <si>
    <t>While raging, resistance to all damage except psychic damage.</t>
  </si>
  <si>
    <t>Carrying capacity (incl. max. load &amp; max. lift) is doubled. Advantage on Strength checks to push, pull, lift, or break objects.</t>
  </si>
  <si>
    <t>Eagle</t>
  </si>
  <si>
    <t>See up to 1 mile away. No disadvantage on Wisdom (Perception) checks in dim light.</t>
  </si>
  <si>
    <t>While raging, flying speed equals walking speed. Fall if end turn in the air.</t>
  </si>
  <si>
    <t>Wolf</t>
  </si>
  <si>
    <t>While raging, friends have advantage on melee attack rolls against any creature within 5 feet of you that is hostile to you.</t>
  </si>
  <si>
    <t>Track creatures while traveling at a fast pace, move stealthily while traveling at a normal pace.</t>
  </si>
  <si>
    <t>While raging, bonus action to knock a Large or smaller creature prone when hit with melee weapon attack.</t>
  </si>
  <si>
    <t>aberrations</t>
  </si>
  <si>
    <t>beasts</t>
  </si>
  <si>
    <t>celestials</t>
  </si>
  <si>
    <t>constructs</t>
  </si>
  <si>
    <t>dragons</t>
  </si>
  <si>
    <t>elementals</t>
  </si>
  <si>
    <t>fey</t>
  </si>
  <si>
    <t>fiends</t>
  </si>
  <si>
    <t>giants</t>
  </si>
  <si>
    <t>monstrosities</t>
  </si>
  <si>
    <t>oozes</t>
  </si>
  <si>
    <t>plants</t>
  </si>
  <si>
    <t>undead</t>
  </si>
  <si>
    <t>Colossus Slayer</t>
  </si>
  <si>
    <t>Giant Killer</t>
  </si>
  <si>
    <t>Horde Breaker</t>
  </si>
  <si>
    <t>Escape the Horde</t>
  </si>
  <si>
    <t>Multiattack Defense</t>
  </si>
  <si>
    <t>Steel Will</t>
  </si>
  <si>
    <t>Volley</t>
  </si>
  <si>
    <t>Whirlwind Attack</t>
  </si>
  <si>
    <t>Stand Against the Tide</t>
  </si>
  <si>
    <t>Careful Spell</t>
  </si>
  <si>
    <t>Distant Spell</t>
  </si>
  <si>
    <t>Empowered Spell</t>
  </si>
  <si>
    <t>Extended Spell</t>
  </si>
  <si>
    <t>Heightened Spell</t>
  </si>
  <si>
    <t>Quickened Spell</t>
  </si>
  <si>
    <t>Subtle Spell</t>
  </si>
  <si>
    <t>Twinned Spell</t>
  </si>
  <si>
    <t>Agonizing Blast</t>
  </si>
  <si>
    <t>Armor of Shadows</t>
  </si>
  <si>
    <t>Ascendant Step</t>
  </si>
  <si>
    <t>Beast Speech</t>
  </si>
  <si>
    <t>Beguiling Influence</t>
  </si>
  <si>
    <t>Bewitching Whispers</t>
  </si>
  <si>
    <t>Book of Ancient Secrets</t>
  </si>
  <si>
    <t>Chains of Carceri</t>
  </si>
  <si>
    <t>Devil’s Sight</t>
  </si>
  <si>
    <t>Dreadful Word</t>
  </si>
  <si>
    <t>Eldritch Sight</t>
  </si>
  <si>
    <t>Eldritch Spear</t>
  </si>
  <si>
    <t>Eyes of the Rune Keeper</t>
  </si>
  <si>
    <t>Fiendish Vigor</t>
  </si>
  <si>
    <t>Gaze of Two Minds</t>
  </si>
  <si>
    <t>Lifedrinker</t>
  </si>
  <si>
    <t>Mask of Many Faces</t>
  </si>
  <si>
    <t>Master of Myriad Forms</t>
  </si>
  <si>
    <t>Minions of Chaos</t>
  </si>
  <si>
    <t>Mire the Mind</t>
  </si>
  <si>
    <t>Misty Visions</t>
  </si>
  <si>
    <t>One with Shadows</t>
  </si>
  <si>
    <t>Otherworldly Leap</t>
  </si>
  <si>
    <t>Repelling Blast</t>
  </si>
  <si>
    <t>Sculptor of Flesh</t>
  </si>
  <si>
    <t>Sign of Ill Omen</t>
  </si>
  <si>
    <t>Thief of Five Fates</t>
  </si>
  <si>
    <t>Thirsting Blade</t>
  </si>
  <si>
    <t>Visions of Distant Realms</t>
  </si>
  <si>
    <t>Voice of the Chain Master</t>
  </si>
  <si>
    <t>Whispers of the Grave</t>
  </si>
  <si>
    <t>Witch Sight</t>
  </si>
  <si>
    <t>Details</t>
  </si>
  <si>
    <t>Suggested Domains</t>
  </si>
  <si>
    <t>Auril (NE)</t>
  </si>
  <si>
    <t>Goddess of winter</t>
  </si>
  <si>
    <t>Neutral Evil</t>
  </si>
  <si>
    <t>Nature, Tempest</t>
  </si>
  <si>
    <t>Six-pointed snowflake</t>
  </si>
  <si>
    <t>Azuth (LN)</t>
  </si>
  <si>
    <t>God of wizards</t>
  </si>
  <si>
    <t>Left hand pointing upward, outlined in fire</t>
  </si>
  <si>
    <t>Bane (LE)</t>
  </si>
  <si>
    <t>God of tyranny</t>
  </si>
  <si>
    <t>Lawful Evil</t>
  </si>
  <si>
    <t>Upright black right hand,  thumb and fingers together</t>
  </si>
  <si>
    <t>Beshaba (CE)</t>
  </si>
  <si>
    <t>Goddess of misfortune</t>
  </si>
  <si>
    <t>Chaotic Evil</t>
  </si>
  <si>
    <t>Trickery</t>
  </si>
  <si>
    <t>Black antlers</t>
  </si>
  <si>
    <t>Bhaal (NE)</t>
  </si>
  <si>
    <t>God of murder</t>
  </si>
  <si>
    <t>Death</t>
  </si>
  <si>
    <t>Skull surrounded by a ring of blood droplets</t>
  </si>
  <si>
    <t>Chauntea (NG)</t>
  </si>
  <si>
    <t>Goddess of agriculture</t>
  </si>
  <si>
    <t>Neutral Good</t>
  </si>
  <si>
    <t>Sheaf of grain or a blooming rose over grain</t>
  </si>
  <si>
    <t>Cyric (CE)</t>
  </si>
  <si>
    <t>God of lies</t>
  </si>
  <si>
    <t>White jawless skull on black or purple sunburst</t>
  </si>
  <si>
    <t>Deneir (NG)</t>
  </si>
  <si>
    <t>God of writing</t>
  </si>
  <si>
    <t>Lit candle above an open eye</t>
  </si>
  <si>
    <t>Eldath (NG)</t>
  </si>
  <si>
    <t>Goddess of peace</t>
  </si>
  <si>
    <t>Life, Nature</t>
  </si>
  <si>
    <t>Waterfall plunging into still pool</t>
  </si>
  <si>
    <t>Gond (N)</t>
  </si>
  <si>
    <t>God of craft</t>
  </si>
  <si>
    <t>Toothed cog with four spokes</t>
  </si>
  <si>
    <t>Helm (LN)</t>
  </si>
  <si>
    <t>God of protection</t>
  </si>
  <si>
    <t>Life, Light</t>
  </si>
  <si>
    <t>Staring eye on upright left gauntlet</t>
  </si>
  <si>
    <t>Ilmater (LG)</t>
  </si>
  <si>
    <t>God of endurance</t>
  </si>
  <si>
    <t>Lawful Good</t>
  </si>
  <si>
    <t>Hands bound at the wrist with red cord</t>
  </si>
  <si>
    <t>Kelemvor (LN)</t>
  </si>
  <si>
    <t>God of the dead</t>
  </si>
  <si>
    <t>Upright skeletal arm holding balanced scales</t>
  </si>
  <si>
    <t>Lathander (NG)</t>
  </si>
  <si>
    <t>God of birth and renewal</t>
  </si>
  <si>
    <t>Life,Light</t>
  </si>
  <si>
    <t>Road traveling into a sunrise</t>
  </si>
  <si>
    <t>Leira (CN)</t>
  </si>
  <si>
    <t>Goddess of illusion</t>
  </si>
  <si>
    <t>Chaotic Neutral</t>
  </si>
  <si>
    <t>Point-down triangle containing a swirl of mist</t>
  </si>
  <si>
    <t>Lliira (CG)</t>
  </si>
  <si>
    <t>Goddess of joy</t>
  </si>
  <si>
    <t>Chaotic Good</t>
  </si>
  <si>
    <t>Triangle of three six-pointed stars</t>
  </si>
  <si>
    <t>Loviatar (LE)</t>
  </si>
  <si>
    <t>Goddess of pain</t>
  </si>
  <si>
    <t>Nine-tailed barbed scourge</t>
  </si>
  <si>
    <t>Malar (CE)</t>
  </si>
  <si>
    <t>God of the hunt</t>
  </si>
  <si>
    <t>Clawed paw</t>
  </si>
  <si>
    <t>Mask (CN)</t>
  </si>
  <si>
    <t>God of thieves</t>
  </si>
  <si>
    <t>Black mask</t>
  </si>
  <si>
    <t>Mielikki (NG)</t>
  </si>
  <si>
    <t>Goddess of forests</t>
  </si>
  <si>
    <t>Unicorn’s head</t>
  </si>
  <si>
    <t>Milil (NG)</t>
  </si>
  <si>
    <t>God of poetry and song</t>
  </si>
  <si>
    <t>Five-stringed harp made of leaves</t>
  </si>
  <si>
    <t>Myrkul (NE)</t>
  </si>
  <si>
    <t>God of death</t>
  </si>
  <si>
    <t>White human skull</t>
  </si>
  <si>
    <t>Mystra (NG)</t>
  </si>
  <si>
    <t>Goddess of magic</t>
  </si>
  <si>
    <t>Circle of seven stars; or nine stars encircling a flowing red mist; or a single star</t>
  </si>
  <si>
    <t>Oghma (N)</t>
  </si>
  <si>
    <t>God of knowledge</t>
  </si>
  <si>
    <t>Blank scroll</t>
  </si>
  <si>
    <t>Savras (LN)</t>
  </si>
  <si>
    <t>God of divination and fate</t>
  </si>
  <si>
    <t>Crystal ball containing many kinds of eyes</t>
  </si>
  <si>
    <t>Selûne (CG)</t>
  </si>
  <si>
    <t>Goddess of the moon</t>
  </si>
  <si>
    <t>Knowledge, Life</t>
  </si>
  <si>
    <t>Pair of eyes surrounded by seven stars</t>
  </si>
  <si>
    <t>Shar (NE)</t>
  </si>
  <si>
    <t>Goddess of darkness and loss</t>
  </si>
  <si>
    <t>Death, Trickery</t>
  </si>
  <si>
    <t>Black disk encircled with a border</t>
  </si>
  <si>
    <t>Silvanus (N)</t>
  </si>
  <si>
    <t>God of wild nature</t>
  </si>
  <si>
    <t>Oak leaf</t>
  </si>
  <si>
    <t>Sune (CG)</t>
  </si>
  <si>
    <t>Goddess of love and beauty</t>
  </si>
  <si>
    <t>Face of a beautiful red-haired woman</t>
  </si>
  <si>
    <t>Talona (CE)</t>
  </si>
  <si>
    <t>Goddess of disease and poison</t>
  </si>
  <si>
    <t>Three teardrops on a triangle</t>
  </si>
  <si>
    <t>Talos (CE)</t>
  </si>
  <si>
    <t>God of storms</t>
  </si>
  <si>
    <t>Three lightning bolts radiating from a central point</t>
  </si>
  <si>
    <t>Tempus (N)</t>
  </si>
  <si>
    <t>God of war</t>
  </si>
  <si>
    <t>Upright flaming sword</t>
  </si>
  <si>
    <t>Torm (LG)</t>
  </si>
  <si>
    <t>God of courage and self-sacrifice</t>
  </si>
  <si>
    <t>White right gauntlet</t>
  </si>
  <si>
    <t>Tymora (CG)</t>
  </si>
  <si>
    <t>Goddess of good fortune</t>
  </si>
  <si>
    <t>Face-up coin</t>
  </si>
  <si>
    <t>Tyr (LG)</t>
  </si>
  <si>
    <t>God of justice</t>
  </si>
  <si>
    <t>Balanced scales resting on a warhammer</t>
  </si>
  <si>
    <t>Umberlee (CE)</t>
  </si>
  <si>
    <t>Goddess of the sea</t>
  </si>
  <si>
    <t>Wave curling left and right</t>
  </si>
  <si>
    <t>Waukeen (N)</t>
  </si>
  <si>
    <t>Goddess of trade</t>
  </si>
  <si>
    <t>Knowledge, Trickery</t>
  </si>
  <si>
    <t>Upright coin with Waukeen’s profile facing left</t>
  </si>
  <si>
    <t>Beory (N)</t>
  </si>
  <si>
    <t>goddess of nature</t>
  </si>
  <si>
    <t>Green disk</t>
  </si>
  <si>
    <t>Boccob (N)</t>
  </si>
  <si>
    <t>god of magic</t>
  </si>
  <si>
    <t>Eye within a pentagram</t>
  </si>
  <si>
    <t>Celestian (N)</t>
  </si>
  <si>
    <t>god of stars and wanderers</t>
  </si>
  <si>
    <t>Arc of seven stars inside a circle</t>
  </si>
  <si>
    <t>Ehlonna (NG)</t>
  </si>
  <si>
    <t>goddess of woodlands</t>
  </si>
  <si>
    <t>Unicorn horn</t>
  </si>
  <si>
    <t>Erythnul (CE)</t>
  </si>
  <si>
    <t>god of envy and slaughter</t>
  </si>
  <si>
    <t>Blood drop</t>
  </si>
  <si>
    <t>Fharlanghn (NG)</t>
  </si>
  <si>
    <t>god of horizons and travel</t>
  </si>
  <si>
    <t>Circle crossed by a curved horizon line</t>
  </si>
  <si>
    <t>Heironeous (LG)</t>
  </si>
  <si>
    <t>god of chivalry and valor</t>
  </si>
  <si>
    <t>Lightning bolt</t>
  </si>
  <si>
    <t>Hextor (LE)</t>
  </si>
  <si>
    <t>god of war and discord</t>
  </si>
  <si>
    <t>Six arrows facing downward in a fan</t>
  </si>
  <si>
    <t>Incabulos (NE)</t>
  </si>
  <si>
    <t>god of plague and famine</t>
  </si>
  <si>
    <t>Reptilian eye with a horizontal diamond</t>
  </si>
  <si>
    <t>Istus (N)</t>
  </si>
  <si>
    <t>goddess of fate and destiny</t>
  </si>
  <si>
    <t>Weaver's spindle with three strands</t>
  </si>
  <si>
    <t>Kord (CG)</t>
  </si>
  <si>
    <t>god of athletics and sport</t>
  </si>
  <si>
    <t>Tempest, War</t>
  </si>
  <si>
    <t>Four spears and four maces radiating out from a central point</t>
  </si>
  <si>
    <t>luz (CE)</t>
  </si>
  <si>
    <t>god of pain and oppression</t>
  </si>
  <si>
    <t>Grinning human skull</t>
  </si>
  <si>
    <t>Nerull (NE)</t>
  </si>
  <si>
    <t>god of death</t>
  </si>
  <si>
    <t>Skull with either a sickle or a scythe</t>
  </si>
  <si>
    <t>Obad-Hai (N)</t>
  </si>
  <si>
    <t>god of nature</t>
  </si>
  <si>
    <t>Oak leaf and acorn</t>
  </si>
  <si>
    <t>Olidammara (CN)</t>
  </si>
  <si>
    <t>god of revelry</t>
  </si>
  <si>
    <t>Laughing mask</t>
  </si>
  <si>
    <t>Pelor (NG)</t>
  </si>
  <si>
    <t>god of the sun and healing</t>
  </si>
  <si>
    <t>Sun</t>
  </si>
  <si>
    <t>Pholtus (LG)</t>
  </si>
  <si>
    <t>god of light and law</t>
  </si>
  <si>
    <t>Silver sun or full moon partially eclipsed by a smaller crescent moon</t>
  </si>
  <si>
    <t>Ralishaz (CN)</t>
  </si>
  <si>
    <t>god of ill luck and insanity</t>
  </si>
  <si>
    <t>Three bone fate-casting sticks</t>
  </si>
  <si>
    <t>Rao (LG)</t>
  </si>
  <si>
    <t>god of peace and reason</t>
  </si>
  <si>
    <t>White heart</t>
  </si>
  <si>
    <t>St. Cuthbert (LN)</t>
  </si>
  <si>
    <t>god of common sense and zeal</t>
  </si>
  <si>
    <t>Circle at the center of a starburst of lines</t>
  </si>
  <si>
    <t>Tharizdun (CE)</t>
  </si>
  <si>
    <t>god of eternal darkness</t>
  </si>
  <si>
    <t>Dark spiral or inverted ziggurat</t>
  </si>
  <si>
    <t>Trithereon (CG)</t>
  </si>
  <si>
    <t>god of liberty and retribution</t>
  </si>
  <si>
    <t>Triskelion</t>
  </si>
  <si>
    <t>Ulaa (LG)</t>
  </si>
  <si>
    <t>goddess of hills and mountains</t>
  </si>
  <si>
    <t>Life, War</t>
  </si>
  <si>
    <t>Mountain with a circle at its heart</t>
  </si>
  <si>
    <t>Vecna (NE)</t>
  </si>
  <si>
    <t>god of evil secrets</t>
  </si>
  <si>
    <t>Hand with eye in the palm</t>
  </si>
  <si>
    <t>Wee Jas (LN)</t>
  </si>
  <si>
    <t>goddess of magic and death</t>
  </si>
  <si>
    <t>Death, Knowledge</t>
  </si>
  <si>
    <t>Red skull in front of fireball</t>
  </si>
  <si>
    <t>Branchala (NG)</t>
  </si>
  <si>
    <t>god of music</t>
  </si>
  <si>
    <t>Bard’s harp</t>
  </si>
  <si>
    <t>Habbakuk (NG)</t>
  </si>
  <si>
    <t>god of animal life and the sea</t>
  </si>
  <si>
    <t>Nature; Tempest</t>
  </si>
  <si>
    <t>Blue bird</t>
  </si>
  <si>
    <t>Kiri-Jolith (LG)</t>
  </si>
  <si>
    <t>god of honor and war</t>
  </si>
  <si>
    <t>Bison’s horns</t>
  </si>
  <si>
    <t>Majere (LG)</t>
  </si>
  <si>
    <t>god of meditation and order</t>
  </si>
  <si>
    <t>Copper spider</t>
  </si>
  <si>
    <t>Mishakal (LG)</t>
  </si>
  <si>
    <t>goddess of healing</t>
  </si>
  <si>
    <t>Knowledge; Life</t>
  </si>
  <si>
    <t>Blue infinity sign</t>
  </si>
  <si>
    <t>Paladine (LG)</t>
  </si>
  <si>
    <t>god of rulers and guardians</t>
  </si>
  <si>
    <t>Silver triangle</t>
  </si>
  <si>
    <t>Solinari (LG)</t>
  </si>
  <si>
    <t>god of good magic</t>
  </si>
  <si>
    <t>no clerics</t>
  </si>
  <si>
    <t>White circle or sphere</t>
  </si>
  <si>
    <t>Chislev (N)</t>
  </si>
  <si>
    <t>Feather</t>
  </si>
  <si>
    <t>Gilean (N)</t>
  </si>
  <si>
    <t>god of knowledge</t>
  </si>
  <si>
    <t>Open book</t>
  </si>
  <si>
    <t>Lunitari (N)</t>
  </si>
  <si>
    <t>goddess of neutral magic</t>
  </si>
  <si>
    <t>Red circle or sphere</t>
  </si>
  <si>
    <t>Reorx (N)</t>
  </si>
  <si>
    <t>god of craft</t>
  </si>
  <si>
    <t>Forging hammer</t>
  </si>
  <si>
    <t>Shinare (N)</t>
  </si>
  <si>
    <t>goddess of wealth and trade</t>
  </si>
  <si>
    <t>Knowledge; Trickery</t>
  </si>
  <si>
    <t>Griffon’s wing</t>
  </si>
  <si>
    <t>Sirrion (N)</t>
  </si>
  <si>
    <t>god of fire and change</t>
  </si>
  <si>
    <t>Multi-colored fire</t>
  </si>
  <si>
    <t>Zivilyn (N)</t>
  </si>
  <si>
    <t>god of wisdom</t>
  </si>
  <si>
    <t>Great green or gold tree</t>
  </si>
  <si>
    <t>Chemosh (LE)</t>
  </si>
  <si>
    <t>god of the undead</t>
  </si>
  <si>
    <t>Yellow skull</t>
  </si>
  <si>
    <t>Hiddukel (CE)</t>
  </si>
  <si>
    <t>god of lies and greed</t>
  </si>
  <si>
    <t>Broken merchant’s scales</t>
  </si>
  <si>
    <t>Morgion (NE)</t>
  </si>
  <si>
    <t>god of disease and secrecy</t>
  </si>
  <si>
    <t>Hood with two red eyes</t>
  </si>
  <si>
    <t>Nuitari (LE)</t>
  </si>
  <si>
    <t>god of evil magic</t>
  </si>
  <si>
    <t>Black circle or sphere</t>
  </si>
  <si>
    <t>Sargonnas (LE)</t>
  </si>
  <si>
    <t>god of vengeance and fire</t>
  </si>
  <si>
    <t>Stylized red condor</t>
  </si>
  <si>
    <t>Takhisis (LE)</t>
  </si>
  <si>
    <t>goddess of night and hatred</t>
  </si>
  <si>
    <t>Black crescent</t>
  </si>
  <si>
    <t>Zeboim (CE)</t>
  </si>
  <si>
    <t>goddess of the sea and storms</t>
  </si>
  <si>
    <t>Turtle shell</t>
  </si>
  <si>
    <t>Decription</t>
  </si>
  <si>
    <t>Host</t>
  </si>
  <si>
    <t>Arawai (NG)</t>
  </si>
  <si>
    <t>goddess of fertility</t>
  </si>
  <si>
    <t>Sheaf of wheat tied with green ribbon</t>
  </si>
  <si>
    <t>Aureon (LN)</t>
  </si>
  <si>
    <t>god of law and knowledge</t>
  </si>
  <si>
    <t>Open tome</t>
  </si>
  <si>
    <t>Balinor (N)</t>
  </si>
  <si>
    <t>god of beasts and the hunt</t>
  </si>
  <si>
    <t>Pair of antlers</t>
  </si>
  <si>
    <t>Boldrei (LG)</t>
  </si>
  <si>
    <t>goddess of community and home</t>
  </si>
  <si>
    <t>Fire in a stone hearth</t>
  </si>
  <si>
    <t>Dol Arrah (LG)</t>
  </si>
  <si>
    <t>goddess of sunlight and honor</t>
  </si>
  <si>
    <t>Light, War</t>
  </si>
  <si>
    <t>Rising sun</t>
  </si>
  <si>
    <t>Dol Dorn (CG)</t>
  </si>
  <si>
    <t>god of strength at arms</t>
  </si>
  <si>
    <t>Longsword crossed over a shield</t>
  </si>
  <si>
    <t>Kol Korran (N)</t>
  </si>
  <si>
    <t>god of trade and wealth</t>
  </si>
  <si>
    <t>Nine-sided gold coin</t>
  </si>
  <si>
    <t>Olladra (NG)</t>
  </si>
  <si>
    <t>goddess of good fortune</t>
  </si>
  <si>
    <t>Life, Trickery</t>
  </si>
  <si>
    <t>Domino</t>
  </si>
  <si>
    <t>Onatar (NG)</t>
  </si>
  <si>
    <t>Crossed hammer and tongs</t>
  </si>
  <si>
    <t>The Devourer (NE)</t>
  </si>
  <si>
    <t>god of nature’s wrath</t>
  </si>
  <si>
    <t>Bundle of five sharpened bones</t>
  </si>
  <si>
    <t>The Fury (NE)</t>
  </si>
  <si>
    <t>goddess of wrath and madness</t>
  </si>
  <si>
    <t>Winged wyrm with woman’s head and upper body</t>
  </si>
  <si>
    <t>The Keeper (NE)</t>
  </si>
  <si>
    <t>god of greed and death</t>
  </si>
  <si>
    <t>Dragonshard stone in the shape of a fang</t>
  </si>
  <si>
    <t>The Mockery (NE)</t>
  </si>
  <si>
    <t>god of violence and treachery</t>
  </si>
  <si>
    <t>Five blood-spattered tools</t>
  </si>
  <si>
    <t>The Shadow (CE)</t>
  </si>
  <si>
    <t>god of dark magic</t>
  </si>
  <si>
    <t>Obsidian tower</t>
  </si>
  <si>
    <t>The Traveler (CN)</t>
  </si>
  <si>
    <t>deity of chaos and change</t>
  </si>
  <si>
    <t>Four crossed, rune-inscribed bones</t>
  </si>
  <si>
    <t>Cults of the Dragon Below (NE)</t>
  </si>
  <si>
    <t>deities of madness</t>
  </si>
  <si>
    <t>Varies</t>
  </si>
  <si>
    <t>The Blood of Vol (LN)</t>
  </si>
  <si>
    <t>philosophy of immortality and undeath</t>
  </si>
  <si>
    <t>Death, Life</t>
  </si>
  <si>
    <t>Stylized dragon skull on red teardrop gem</t>
  </si>
  <si>
    <t>The Path of Light (LN)</t>
  </si>
  <si>
    <t>philosophy of light and self-improvement</t>
  </si>
  <si>
    <t>Brilliant crystal</t>
  </si>
  <si>
    <t>The Silver Flame (LG)</t>
  </si>
  <si>
    <t>deity of protection and good</t>
  </si>
  <si>
    <t>Life, Light, War</t>
  </si>
  <si>
    <t>Flame drawn on silver or molded from silver</t>
  </si>
  <si>
    <t>The Spirits of the Past (CG)</t>
  </si>
  <si>
    <t>elven ancestors</t>
  </si>
  <si>
    <t>The Undying Court (NG)</t>
  </si>
  <si>
    <t>Bahamut (LG)</t>
  </si>
  <si>
    <t>dragon god of good</t>
  </si>
  <si>
    <t>Dragon’s head in profile</t>
  </si>
  <si>
    <t>Blibdoolpoolp (NE)</t>
  </si>
  <si>
    <t>kuo-toa goddess</t>
  </si>
  <si>
    <t>Lobster head or black pearl</t>
  </si>
  <si>
    <t>Corellon Larethian (CG)</t>
  </si>
  <si>
    <t>elf deity of art and magic</t>
  </si>
  <si>
    <t>Quarter moon or starburst</t>
  </si>
  <si>
    <t>Deep Sashelas (CG)</t>
  </si>
  <si>
    <t>elf god of the sea</t>
  </si>
  <si>
    <t>Dolphin</t>
  </si>
  <si>
    <t>Eadro (N)</t>
  </si>
  <si>
    <t>merfolk deity of the sea</t>
  </si>
  <si>
    <t>Spiral design</t>
  </si>
  <si>
    <t>Garl Glittergold (LG)</t>
  </si>
  <si>
    <t>gnome god of trickery and wiles</t>
  </si>
  <si>
    <t>Gold nugget</t>
  </si>
  <si>
    <t>Grolantor (CE)</t>
  </si>
  <si>
    <t>hill giant god of war</t>
  </si>
  <si>
    <t>Wooden club</t>
  </si>
  <si>
    <t>Gruumsh (CE)</t>
  </si>
  <si>
    <t>orc god of storms and war</t>
  </si>
  <si>
    <t>Unblinking eye</t>
  </si>
  <si>
    <t>Hruggek (CE)</t>
  </si>
  <si>
    <t>bugbear god of violence</t>
  </si>
  <si>
    <t>Kurtulmak (LE)</t>
  </si>
  <si>
    <t>kobold god of war and mining</t>
  </si>
  <si>
    <t>Gnome skull</t>
  </si>
  <si>
    <t>Laogzed (CE)</t>
  </si>
  <si>
    <t>troglodyte god of hunger</t>
  </si>
  <si>
    <t>Image of the lizard/toad god</t>
  </si>
  <si>
    <t>Lolth (CE)</t>
  </si>
  <si>
    <t>drow goddess of spiders</t>
  </si>
  <si>
    <t>Spider</t>
  </si>
  <si>
    <t>Maglubiyet (LE)</t>
  </si>
  <si>
    <t>goblinoid god of war</t>
  </si>
  <si>
    <t>Bloody axe</t>
  </si>
  <si>
    <t>Moradin (LG)</t>
  </si>
  <si>
    <t>dwarf god of creation</t>
  </si>
  <si>
    <t>Hammer and anvil</t>
  </si>
  <si>
    <t>Rillifane Rallathil (CG)</t>
  </si>
  <si>
    <t>wood elf god of nature</t>
  </si>
  <si>
    <t>Oak</t>
  </si>
  <si>
    <t>Sehanine Moonbow (CG)</t>
  </si>
  <si>
    <t>elf goddess of the moon</t>
  </si>
  <si>
    <t>Crescent moon</t>
  </si>
  <si>
    <t>Sekolah (LE)</t>
  </si>
  <si>
    <t>sahuagin god of the hunt</t>
  </si>
  <si>
    <t>Shark</t>
  </si>
  <si>
    <t>Semuanya (N)</t>
  </si>
  <si>
    <t>lizardfolk deity of survival</t>
  </si>
  <si>
    <t>Egg</t>
  </si>
  <si>
    <t>Skerrit (N)</t>
  </si>
  <si>
    <t>centaur and satyr god of nature</t>
  </si>
  <si>
    <t>Oak growing from acorn</t>
  </si>
  <si>
    <t>koraeus Stonebones (N)</t>
  </si>
  <si>
    <t>god of stone giants and art</t>
  </si>
  <si>
    <t>Stalactite</t>
  </si>
  <si>
    <t>Surtur (LE)</t>
  </si>
  <si>
    <t>god of fire giants and craft</t>
  </si>
  <si>
    <t>Knowledge, War</t>
  </si>
  <si>
    <t>Flaming sword</t>
  </si>
  <si>
    <t>Thrym (CE)</t>
  </si>
  <si>
    <t>god of frost giants and strength</t>
  </si>
  <si>
    <t>White double-bladed axe</t>
  </si>
  <si>
    <t>Tiamat (LE)</t>
  </si>
  <si>
    <t>dragon goddess of evil</t>
  </si>
  <si>
    <t>Dragon head with five claw marks</t>
  </si>
  <si>
    <t>Yondalla (LG)</t>
  </si>
  <si>
    <t>halfling goddess of fertility and protection</t>
  </si>
  <si>
    <t>Languages</t>
  </si>
  <si>
    <t>Language6</t>
  </si>
  <si>
    <t>Language7</t>
  </si>
  <si>
    <t>Language8</t>
  </si>
  <si>
    <t>Language9</t>
  </si>
  <si>
    <t>Language10</t>
  </si>
  <si>
    <t>Language11</t>
  </si>
  <si>
    <t>Language12</t>
  </si>
  <si>
    <t>Language13</t>
  </si>
  <si>
    <t>Tools Proficiency</t>
  </si>
  <si>
    <t>Number of Proficiency</t>
  </si>
  <si>
    <t>Total Tools Proficiency</t>
  </si>
  <si>
    <t>Tools Train</t>
  </si>
  <si>
    <t>Tools Left</t>
  </si>
  <si>
    <t>Skill Proficiency</t>
  </si>
  <si>
    <t>Setting</t>
  </si>
  <si>
    <t>Forgotten Realms</t>
  </si>
  <si>
    <t>Greyhawk</t>
  </si>
  <si>
    <t>Dragonlance</t>
  </si>
  <si>
    <t>Eberron</t>
  </si>
  <si>
    <t>Nonhuman</t>
  </si>
  <si>
    <t>Heavy armor</t>
  </si>
  <si>
    <t>Martial weapons</t>
  </si>
  <si>
    <t>MultiClass</t>
  </si>
  <si>
    <t>Proficiency_temp</t>
  </si>
  <si>
    <t>heavy armor</t>
  </si>
  <si>
    <t>martial weapons</t>
  </si>
  <si>
    <t>simple weapons</t>
  </si>
  <si>
    <t>Парсинг</t>
  </si>
  <si>
    <t>Simple weapons, Martial weapons</t>
  </si>
  <si>
    <t>Simple Weapons, Hand crossbow, Longsword, Rapier, Shortsword</t>
  </si>
  <si>
    <t>Club, Dagger, Dart, Javelin, Mace, Quarterstaff, Scimitar, Sickle, Sling, Spear</t>
  </si>
  <si>
    <t>Simple Weapons, Martial Weapons</t>
  </si>
  <si>
    <t>Simple Weapons, Shortsword</t>
  </si>
  <si>
    <t>Dagger, Dart, Sling, Quarterstaff, Light crossbow</t>
  </si>
  <si>
    <t>Light Armor, Medium Armor, Shields</t>
  </si>
  <si>
    <t>Light Armor</t>
  </si>
  <si>
    <t>Light Armor, Medium Armor, Shields, Heavy Armor</t>
  </si>
  <si>
    <t>Weapon Proficiency</t>
  </si>
  <si>
    <t>Armor Proficiency</t>
  </si>
  <si>
    <t>Acrobatics (Dex) , Animal Handling (Wis) , Arcana (Int) , Athletics (Str) , Deception (Cha) , History (Int) , Insight (Wis) , Intimidation (Cha) , Investigation (Int) , Medicine (Wis) , Nature (Int) , Perception (Wis) , Performance (Cha) , Persuasion (Cha) , Religion (Int) , Sleight of Hand (Dex) , Stealth (Dex) , Survival (Wis) ,</t>
  </si>
  <si>
    <t>Acrobatics (Dex) , Animal Handling (Wis) , Athletics (Str) , History (Int) , Insight (Wis) , Intimidation (Cha) , Perception (Wis) , Survival (Wis) ,</t>
  </si>
  <si>
    <t>Acrobatics (Dex) , Athletics (Str) , History (Int) , Insight (Wis) , Religion (Int) , Stealth (Dex) ,</t>
  </si>
  <si>
    <t>Acrobatics (Dex) , Athletics (Str) , Deception (Cha) , Insight (Wis) , Intimidation (Cha) , Investigation (Int) , Perception (Wis) , Performance (Cha) , Persuasion (Cha) , Sleight of Hand (Dex) , Stealth (Dex) ,</t>
  </si>
  <si>
    <t>Animal Handling (Wis) , Athletics (Str) , Intimidation (Cha) , Nature (Int) , Perception (Wis) , Survival (Wis) ,</t>
  </si>
  <si>
    <t>History (Int) , Insight (Wis) , Medicine (Wis) , Persuasion (Cha) , Religion (Int) ,</t>
  </si>
  <si>
    <t>Animal Handling (Wis) , Arcana (Int) , Insight (Wis) , Medicine (Wis) , Nature (Int) , Perception (Wis) , Religion (Int) , Survival (Wis) ,</t>
  </si>
  <si>
    <t>Athletics (Str) , Insight (Wis) , Intimidation (Cha) , Medicine (Wis) , Persuasion (Cha) , Religion (Int) ,</t>
  </si>
  <si>
    <t>Animal Handling (Wis) , Athletics (Str) , Insight (Wis) , Investigation (Int) , Nature (Int) , Perception (Wis) , Stealth (Dex) , Survival (Wis) ,</t>
  </si>
  <si>
    <t>Arcana (Int) , Deception (Cha) , Insight (Wis) , Intimidation (Cha) , Perception (Wis) , Religion (Int) ,</t>
  </si>
  <si>
    <t>Arcana (Int) , Deception (Cha) , History (Int) , Intimidation (Cha) , Investigation (Int) , Nature (Int) , Religion (Int) ,</t>
  </si>
  <si>
    <t>Arcana (Int) , History (Int) , Insight (Wis) , Investigation (Int) , Medicine (Wis) , Religion (Int) ,</t>
  </si>
  <si>
    <t>Shields, Simple weapons, Martial weapons</t>
  </si>
  <si>
    <t>Light armor, One Skill, One Musical Instrument</t>
  </si>
  <si>
    <t>Light armor, Medium armor, Shields</t>
  </si>
  <si>
    <t>Light armor, Medium armor, Shields, Simple Weapons, Martial Weapons</t>
  </si>
  <si>
    <t>Light armor, Medium armor, Shields, Simple Weapons, Martial Weapons, One Skill</t>
  </si>
  <si>
    <t>Light armor, One skill, Thieve's tools</t>
  </si>
  <si>
    <t>Light armor, Simple Weapons</t>
  </si>
  <si>
    <t>Multiclass Proficiency</t>
  </si>
  <si>
    <t xml:space="preserve">Reckless Attack, Danger Sense, </t>
  </si>
  <si>
    <t xml:space="preserve">Ability Score Improvement, </t>
  </si>
  <si>
    <t xml:space="preserve">Extra Attack, Fast Movement, </t>
  </si>
  <si>
    <t xml:space="preserve">Feral Instinct, </t>
  </si>
  <si>
    <t xml:space="preserve">Brutal Critical, </t>
  </si>
  <si>
    <t xml:space="preserve">Relentless Rage, </t>
  </si>
  <si>
    <t xml:space="preserve">Persistent Rage, </t>
  </si>
  <si>
    <t xml:space="preserve">Indomitable Might, </t>
  </si>
  <si>
    <t xml:space="preserve">Primal Champion, </t>
  </si>
  <si>
    <t xml:space="preserve">Jack of All Trades, Song of Rest, </t>
  </si>
  <si>
    <t xml:space="preserve">Bardic Inspiration (d8), Font of Inspiration, </t>
  </si>
  <si>
    <t xml:space="preserve">Song of Rest, </t>
  </si>
  <si>
    <t xml:space="preserve">Bardic Inspiration, Expertise, Magical Secrets, </t>
  </si>
  <si>
    <t xml:space="preserve">Bardic Inspiration, </t>
  </si>
  <si>
    <t xml:space="preserve">Magical Secrets, </t>
  </si>
  <si>
    <t xml:space="preserve">Superior Inspiration, </t>
  </si>
  <si>
    <t xml:space="preserve">Destroy Undead, </t>
  </si>
  <si>
    <t xml:space="preserve">Divine Intervention, </t>
  </si>
  <si>
    <t xml:space="preserve">Channel Divinity, </t>
  </si>
  <si>
    <t xml:space="preserve">Divine Intervention Improvement, </t>
  </si>
  <si>
    <t xml:space="preserve">Wild Shape, Druid Circle, </t>
  </si>
  <si>
    <t xml:space="preserve">Ability Score Improvement, Wild Shape Improvement, </t>
  </si>
  <si>
    <t xml:space="preserve">Timeless Body, Beast Spells, </t>
  </si>
  <si>
    <t xml:space="preserve">Archdruid, </t>
  </si>
  <si>
    <t xml:space="preserve">Action Surge, </t>
  </si>
  <si>
    <t xml:space="preserve">Extra Attack, </t>
  </si>
  <si>
    <t xml:space="preserve">Indomitable, </t>
  </si>
  <si>
    <t xml:space="preserve">Extra Attack (2), </t>
  </si>
  <si>
    <t xml:space="preserve">Action Surge, Indomitable, </t>
  </si>
  <si>
    <t xml:space="preserve">Extra Attack (3), </t>
  </si>
  <si>
    <t xml:space="preserve">Ki, Unarmored Movement, </t>
  </si>
  <si>
    <t xml:space="preserve">Extra Attack, Stunning Strike, </t>
  </si>
  <si>
    <t xml:space="preserve">Evasion, Stillness of Mind, </t>
  </si>
  <si>
    <t xml:space="preserve">Unarmored Movement Improvement, </t>
  </si>
  <si>
    <t xml:space="preserve">Purity of Body, </t>
  </si>
  <si>
    <t xml:space="preserve">Tongue of the Sun and Moon, </t>
  </si>
  <si>
    <t xml:space="preserve">Diamond Soul, </t>
  </si>
  <si>
    <t xml:space="preserve">Timeless Body, </t>
  </si>
  <si>
    <t xml:space="preserve">Empty Body, </t>
  </si>
  <si>
    <t xml:space="preserve">Perfect Self, </t>
  </si>
  <si>
    <t xml:space="preserve">Divine Sense, Lay on Hands, </t>
  </si>
  <si>
    <t xml:space="preserve">Aura of Protection, </t>
  </si>
  <si>
    <t xml:space="preserve">Aura of Courage, </t>
  </si>
  <si>
    <t xml:space="preserve">Improved Divine Smite, </t>
  </si>
  <si>
    <t xml:space="preserve">Cleansing Touch, </t>
  </si>
  <si>
    <t xml:space="preserve">Aura improvements, </t>
  </si>
  <si>
    <t xml:space="preserve">Favored Enemy, Natural Explorer, </t>
  </si>
  <si>
    <t xml:space="preserve">Natural Explorer, Hide in Plain Sight, </t>
  </si>
  <si>
    <t xml:space="preserve">Favored Enemy, Vanish, </t>
  </si>
  <si>
    <t xml:space="preserve">Feral Senses, </t>
  </si>
  <si>
    <t xml:space="preserve">Foe Slayer, </t>
  </si>
  <si>
    <t xml:space="preserve">Expertise, Sneak Attack, Thieves' Cant, </t>
  </si>
  <si>
    <t xml:space="preserve">Cunning Action, </t>
  </si>
  <si>
    <t xml:space="preserve">Uncanny Dodge, </t>
  </si>
  <si>
    <t xml:space="preserve">Expertise, </t>
  </si>
  <si>
    <t xml:space="preserve">Evasion, </t>
  </si>
  <si>
    <t xml:space="preserve">Reliable Talent, </t>
  </si>
  <si>
    <t xml:space="preserve">Blindsense, </t>
  </si>
  <si>
    <t xml:space="preserve">Slippery Mind, </t>
  </si>
  <si>
    <t xml:space="preserve">Elusive, </t>
  </si>
  <si>
    <t xml:space="preserve">Stroke of Luck, </t>
  </si>
  <si>
    <t xml:space="preserve">Font of Magic, </t>
  </si>
  <si>
    <t xml:space="preserve">Metamagic, </t>
  </si>
  <si>
    <t xml:space="preserve">Sorcerous Restoration, </t>
  </si>
  <si>
    <t xml:space="preserve">Otherworldly Patron, </t>
  </si>
  <si>
    <t xml:space="preserve">Eldritch Invocations, </t>
  </si>
  <si>
    <t xml:space="preserve">Pact Boon, </t>
  </si>
  <si>
    <t xml:space="preserve">Mystic Arcanum, </t>
  </si>
  <si>
    <t xml:space="preserve">Eldritch Master, </t>
  </si>
  <si>
    <t xml:space="preserve">Arcane Tradition, </t>
  </si>
  <si>
    <t xml:space="preserve">Spell Mastery, </t>
  </si>
  <si>
    <t xml:space="preserve">Signature Spell, </t>
  </si>
  <si>
    <t>Constitution</t>
  </si>
  <si>
    <t>Proficiencies</t>
  </si>
  <si>
    <t>SKILLS</t>
  </si>
  <si>
    <t>Forgery Kit</t>
  </si>
  <si>
    <t>ITEMS</t>
  </si>
  <si>
    <t>Racial Proficiency</t>
  </si>
  <si>
    <t>Background Proficiency</t>
  </si>
  <si>
    <t>SingleWeapon</t>
  </si>
  <si>
    <t>Genasi</t>
  </si>
  <si>
    <t>Air Genasi</t>
  </si>
  <si>
    <t>Fire Genasi</t>
  </si>
  <si>
    <t>Earth Genasi</t>
  </si>
  <si>
    <t>Water Genasi</t>
  </si>
  <si>
    <t>1</t>
  </si>
  <si>
    <t>Flight</t>
  </si>
  <si>
    <t>Talons</t>
  </si>
  <si>
    <t>Aaracocra</t>
  </si>
  <si>
    <t>Unending Breath</t>
  </si>
  <si>
    <t>Mingle with the Wind</t>
  </si>
  <si>
    <t>Earth Walk</t>
  </si>
  <si>
    <t>Merge with Stone</t>
  </si>
  <si>
    <t>Fire Resistance</t>
  </si>
  <si>
    <t>Reach to the Blaze</t>
  </si>
  <si>
    <t>Acid Resistance</t>
  </si>
  <si>
    <t>Swim</t>
  </si>
  <si>
    <t>Call to the Wave</t>
  </si>
  <si>
    <t>Goliath</t>
  </si>
  <si>
    <t>Natural Athlete</t>
  </si>
  <si>
    <t>Stone's Endurance</t>
  </si>
  <si>
    <t>Powerful Build</t>
  </si>
  <si>
    <t>Mountain Born</t>
  </si>
  <si>
    <t>Archetype Feature</t>
  </si>
  <si>
    <t>Уровень</t>
  </si>
  <si>
    <t>Условие замены Feature</t>
  </si>
  <si>
    <t>Musical Instrument or Artisan's Tools</t>
  </si>
  <si>
    <t>Racial Tools</t>
  </si>
  <si>
    <t>Class 1</t>
  </si>
  <si>
    <t>Class 2</t>
  </si>
  <si>
    <t>Class 3</t>
  </si>
  <si>
    <t>Race Description</t>
  </si>
  <si>
    <t>SubRace Description</t>
  </si>
  <si>
    <t>Bonuses</t>
  </si>
  <si>
    <t>Background Description</t>
  </si>
  <si>
    <t>Tools List 1</t>
  </si>
  <si>
    <t>Tools List 2</t>
  </si>
  <si>
    <t>Leveling</t>
  </si>
  <si>
    <t>Know</t>
  </si>
  <si>
    <t xml:space="preserve">Martial Archetype Feature7, </t>
  </si>
  <si>
    <t xml:space="preserve">Martial Archetype Feature10, </t>
  </si>
  <si>
    <t xml:space="preserve">Martial Archetype Feature15, </t>
  </si>
  <si>
    <t xml:space="preserve">Martial Archetype Feature18, </t>
  </si>
  <si>
    <t>Martial Archetype Feature7</t>
  </si>
  <si>
    <t>Martial Archetype Feature10</t>
  </si>
  <si>
    <t>Martial Archetype Feature15</t>
  </si>
  <si>
    <t>Martial Archetype Feature18</t>
  </si>
  <si>
    <t>Improved Combat Superiority (d12)</t>
  </si>
  <si>
    <t>Improved Combat Superiority (d10)</t>
  </si>
  <si>
    <t>Class Feature_WorkName</t>
  </si>
  <si>
    <t>Class Feature_DisplayName</t>
  </si>
  <si>
    <t>Martial Archetype Feature3-1</t>
  </si>
  <si>
    <t>Martial Archetype Feature3-2</t>
  </si>
  <si>
    <t>Improved Combat Superiority</t>
  </si>
  <si>
    <t>Martial Archetype, Martial Archetype Feature3-1, Martial Archetype Feature3-2,</t>
  </si>
  <si>
    <t xml:space="preserve">Countercharm, Bard College Feature6, </t>
  </si>
  <si>
    <t xml:space="preserve">Magical Secrets, Bard College Feature14, </t>
  </si>
  <si>
    <t>Bard College Feature3-1</t>
  </si>
  <si>
    <t>Bard College Feature3-2</t>
  </si>
  <si>
    <t>Bard College Feature6</t>
  </si>
  <si>
    <t>Bard College Feature14</t>
  </si>
  <si>
    <t xml:space="preserve">Spellcasting (Bard), Bardic Inspiration, </t>
  </si>
  <si>
    <t>Spellcasting (Bard)</t>
  </si>
  <si>
    <t>WorkName</t>
  </si>
  <si>
    <t>DisplayName</t>
  </si>
  <si>
    <t xml:space="preserve">Path Feature6, </t>
  </si>
  <si>
    <t xml:space="preserve">Path Feature10, </t>
  </si>
  <si>
    <t xml:space="preserve">Path Feature14, </t>
  </si>
  <si>
    <t xml:space="preserve">Channel Divinity, Divine Domain Feature2, </t>
  </si>
  <si>
    <t xml:space="preserve">Channel Divinity, Divine Domain Feature6, </t>
  </si>
  <si>
    <t xml:space="preserve">Ability Score Improvement, Divine Domain Feature8, Destroy Undead, </t>
  </si>
  <si>
    <t xml:space="preserve">Destroy Undead, Divine Domain Feature17, </t>
  </si>
  <si>
    <t xml:space="preserve">Spellcasting (Druid), Druidic language, </t>
  </si>
  <si>
    <t xml:space="preserve">Druid Circle Feature6, </t>
  </si>
  <si>
    <t xml:space="preserve">Druid Circle Feature10, </t>
  </si>
  <si>
    <t xml:space="preserve">Druid Circle Feature14, </t>
  </si>
  <si>
    <t xml:space="preserve">Monastic Tradition Feature17, </t>
  </si>
  <si>
    <t xml:space="preserve">Monastic Tradition Feature11, </t>
  </si>
  <si>
    <t xml:space="preserve">Ki-Empowered Strikes, Monastic Tradition Feature6, </t>
  </si>
  <si>
    <t xml:space="preserve">Sacred Oath Feature7, </t>
  </si>
  <si>
    <t xml:space="preserve">Sacred Oath Feature15, </t>
  </si>
  <si>
    <t xml:space="preserve">Sacred Oath Feature20, </t>
  </si>
  <si>
    <t xml:space="preserve">Ranger Archetype Feature15, </t>
  </si>
  <si>
    <t xml:space="preserve">Ranger Archetype Feature11, </t>
  </si>
  <si>
    <t xml:space="preserve">Ranger Archetype Feature7, </t>
  </si>
  <si>
    <t xml:space="preserve">Roguish Archetype Feature9, </t>
  </si>
  <si>
    <t xml:space="preserve">Roguish Archetype Feature13, </t>
  </si>
  <si>
    <t xml:space="preserve">Roguish Archetype Feature17, </t>
  </si>
  <si>
    <t xml:space="preserve">Spellcasting (sorcerer), Sorcerous Origin, </t>
  </si>
  <si>
    <t xml:space="preserve">Sorcerous Origin Feature14, </t>
  </si>
  <si>
    <t xml:space="preserve">Sorcerous Origin Feature18, </t>
  </si>
  <si>
    <t xml:space="preserve">Otherworldly Patron Feature14, </t>
  </si>
  <si>
    <t xml:space="preserve">Otherworldly Patron Feature10, </t>
  </si>
  <si>
    <t xml:space="preserve">Otherworldly Patron Feature6, </t>
  </si>
  <si>
    <t xml:space="preserve">Arcane Tradition Feature6, </t>
  </si>
  <si>
    <t xml:space="preserve">Arcane Tradition Feature10, </t>
  </si>
  <si>
    <t xml:space="preserve">Arcane Tradition Feature14, </t>
  </si>
  <si>
    <t>Class Description</t>
  </si>
  <si>
    <t>Armor and Weapon Proficiency</t>
  </si>
  <si>
    <t>Gain +2 bonus to attack rolls made with ranged weapons</t>
  </si>
  <si>
    <t>Gain +1 bonus to armor class when wearing armor</t>
  </si>
  <si>
    <t>Gain +2 bonus to damage rolls when wielding a melee weapon in one hand and no other weapon.</t>
  </si>
  <si>
    <t>When engaging in two-weapon fighting, add your ability modifier to the second attack</t>
  </si>
  <si>
    <t>When you take the Attack action on your turn, forgo one of your attacks and use a bonus action to direct one of your companions to strike. Choose a friendly creature who can see or hear you and expend one superiority die. That creature can immediately use its reaction to make one weapon attack, adding the superiority die to the damage roll.</t>
  </si>
  <si>
    <t>When you hit a creature with a weapon attack, expend one superiority die to attempt to disarm the target, forcing it to drop one item of your choice that it’s holding. Add the superiority die to the damage roll, and the target must make a Strength saving throw. On a failed save, it drops the object you choose. The object lands at its feet.</t>
  </si>
  <si>
    <t>When you hit a creature with a weapon attack, expend one superiority die to distract the creature, giving allies an opening. Add the superiority die to the damage roll. The next attack roll against the target by an attacker other than you has advantage if the attack is made before the start of your next turn.</t>
  </si>
  <si>
    <t>When you move, expend one superiority die, adding the number rolled to your AC until you stop moving.</t>
  </si>
  <si>
    <t>Expend one superiority die and use a bonus action on your turn to feint, choose one creature within 5 feet of you as your target. You have advantage on your next attack roll against that creature. If that attack hits, add the superiority die to the damage roll.</t>
  </si>
  <si>
    <t>When you hit a creature with a weapon attack, expend one superiority die to attempt to goad the target into attacking you. Add the superiority die to the damage roll, and the target must make a Wisdom saving throw. On a failed save, the target has disadvantage on all attack rolls against targets other than you until the end of your next turn.</t>
  </si>
  <si>
    <t>When you make a melee weapon attack on your turn, expend one superiority die to increase your reach for that attack by 5 feet. If you hit, you add the superiority die to the damage roll.</t>
  </si>
  <si>
    <t>When you hit a creature with a weapon attack, expend one superiority die to maneuver one of your comrades into a more advantageous position. Add the superiority die to the damage roll, and choose a friendly creature who can see or hear you. It can use its reaction to move up to half its speed without provoking opportunity attacks from the target of your attack.</t>
  </si>
  <si>
    <t>When you hit a creature with a weapon attack, expend one superiority die to attempt to frighten the target. Add the superiority die to the damage roll, the target must make a Wisdom saving throw. On a failed save, it is frightened of you until the end of your next turn.</t>
  </si>
  <si>
    <t>When another creature damages you with a melee attack, use your reaction and expend one superiority die to reduce the damage by the number you roll on your superiority die + your Dexterity modifier.</t>
  </si>
  <si>
    <t>When you make a weapon attack roll against a creature, expend one superiority die to add it to the roll. You can use this maneuver before or after making the attack roll, but before any effects of the attack are applied.</t>
  </si>
  <si>
    <t>When you hit a creature with a weapon attack, expend one superiority die to attempt to drive the target back. Add the superiority die to the damage roll, if the target is Large or smaller, it must make a Strength saving throw. On a failed save, you push the target up to 15 feet away from you.</t>
  </si>
  <si>
    <t>On your turn, use a bonus action and expend one superiority die to bolster the resolve of one of your companions. Choose a friendly creature who can see or hear you. It gains temporary HP equal to the superiority die roll + your Charisma modifier.</t>
  </si>
  <si>
    <t>When a creature misses you with a melee attack, use your reaction and expend one superiority die to make a melee weapon attack against the creature. If you hit, add the superiority die to the damage roll.</t>
  </si>
  <si>
    <t>When you hit a creature with a melee weapon attack, expend one superiority die to attempt to damage another creature with the same attack. Choose another creature within 5 feet of the original target and within your reach. If the original attack roll would hit the second creature, it takes damage equal to the number you roll on your superiority die.</t>
  </si>
  <si>
    <t>When you hit a creature with a weapon attack, expend one superiority die to attempt to knock the target down. Add the superiority die to the damage roll, and if the target is Large or smaller, it must make a Strength saving throw. On a failed save, you knock the target prone.</t>
  </si>
  <si>
    <t>Combat Maneuver</t>
  </si>
  <si>
    <t>Spend 6 ki points to cast cone of cold.</t>
  </si>
  <si>
    <t>Spend 3 ki points to cast hold person.</t>
  </si>
  <si>
    <t>Spend 5 ki points to cast stoneskin, targeting yourself.</t>
  </si>
  <si>
    <t>Spend 2 ki points to cast thunderwave.</t>
  </si>
  <si>
    <t>Spend 4 ki points to cast fireball.</t>
  </si>
  <si>
    <t>Spend 3 ki points to cast shatter.</t>
  </si>
  <si>
    <t>Spend 4 ki points to cast gaseous form, targeting yourself.</t>
  </si>
  <si>
    <t>Spend 4 ki points to cast fly, targeting yourself.</t>
  </si>
  <si>
    <t>Send 5 ki points to cast wall of fire.</t>
  </si>
  <si>
    <t>Spend 2 ki points to cast gust of wind.</t>
  </si>
  <si>
    <t>Spend 2 ki points to cast burning hands.</t>
  </si>
  <si>
    <t>Spend 6 ki points to cast wall of stone.</t>
  </si>
  <si>
    <t>Elemental Discipline</t>
  </si>
  <si>
    <t xml:space="preserve">Fighting Style (fighter), Second Wind, </t>
  </si>
  <si>
    <t>Fighting style (fighter)</t>
  </si>
  <si>
    <t>Eldritch Invocation</t>
  </si>
  <si>
    <t>Arcane Tradition Feature6</t>
  </si>
  <si>
    <t>Arcane Tradition Feature2-1</t>
  </si>
  <si>
    <t>Arcane Tradition Feature2-2</t>
  </si>
  <si>
    <t>Arcane Tradition Feature10</t>
  </si>
  <si>
    <t>Arcane Tradition Feature14</t>
  </si>
  <si>
    <t>Divine Domain Feature2</t>
  </si>
  <si>
    <t>Divine Domain Feature6</t>
  </si>
  <si>
    <t>Divine Domain Feature8</t>
  </si>
  <si>
    <t>Divine Domain Feature17</t>
  </si>
  <si>
    <t>Druid Circle Feature2-1</t>
  </si>
  <si>
    <t>Druid Circle Feature2-2</t>
  </si>
  <si>
    <t>Druid Circle Feature6</t>
  </si>
  <si>
    <t>Druid Circle Feature10</t>
  </si>
  <si>
    <t>Druid Circle Feature14</t>
  </si>
  <si>
    <t>Monastic Tradition Feature3</t>
  </si>
  <si>
    <t>Monastic Tradition Feature6</t>
  </si>
  <si>
    <t>Monastic Tradition Feature11</t>
  </si>
  <si>
    <t>Monastic Tradition Feature17</t>
  </si>
  <si>
    <t>When you cast eldritch blast, add your Charisma modifier to the damage it deals on a hit.</t>
  </si>
  <si>
    <t>You can cast mage armor on yourself at will, without expending a spell slot or material components.</t>
  </si>
  <si>
    <t>You can cast levitate on yourself at will, without expending a spell slot or material components.</t>
  </si>
  <si>
    <t>You can cast speak with animals at will, without expending a spell slot.</t>
  </si>
  <si>
    <t>You gain proficiency in the Deception and Persuasion skills.</t>
  </si>
  <si>
    <t>You can cast compulsion once using a warlock spell slot. You can’t do so again until you finish a long rest.</t>
  </si>
  <si>
    <t>You can see normally in darkness, both magical and nonmagical, to a distance of 120 feet.</t>
  </si>
  <si>
    <t>You can cast confusion once using a warlock spell slot. You can’t do so again until you finish a long rest.</t>
  </si>
  <si>
    <t>You can cast detect magic at will, without expending a spell slot.</t>
  </si>
  <si>
    <t>When you cast eldritch blast, its range is 300 feet.</t>
  </si>
  <si>
    <t>You can read all writing.</t>
  </si>
  <si>
    <t>You can cast false life on yourself at will as a 1st-level spell, without expending a spell slot or material components.</t>
  </si>
  <si>
    <t>When you hit a creature with your pact weapon, it takes an extra necrotic damage.</t>
  </si>
  <si>
    <t>You can cast disguise self at will, without expending a spell slot.</t>
  </si>
  <si>
    <t>You can cast alter self at will, without expending a spell slot.</t>
  </si>
  <si>
    <t>You can cast conjure elemental once using a warlock spell slot. You can’t do so again until you finish a long rest.</t>
  </si>
  <si>
    <t>You can cast slow once using a warlock spell slot. You can’t do so again until you finish a long rest.</t>
  </si>
  <si>
    <t>You can cast silent image at will, without expending a spell slot or material components.</t>
  </si>
  <si>
    <t>You can cast jump on yourself at will, without expending a spell slot or material components.</t>
  </si>
  <si>
    <t>When you hit a creature with eldritch blast, you can push the creature up to 10 feet away from you in a straight line.</t>
  </si>
  <si>
    <t>You can cast polymorph once using a warlock spell slot. You can’t do so again until you finish a long rest.</t>
  </si>
  <si>
    <t>You can cast bestow curse once using a warlock spell slot. You can’t do so again until you finish a long rest.</t>
  </si>
  <si>
    <t>You can cast bane once using a warlock spell slot. You can’t do so again until you finish a long rest.</t>
  </si>
  <si>
    <t>You can attack with your pact weapon twice, instead of once, whenever you take the Attack action on your turn.</t>
  </si>
  <si>
    <t>You can cast arcane eye at will, without expending a spell slot.</t>
  </si>
  <si>
    <t>You can cast speak with dead at will, without expending a spell slot.</t>
  </si>
  <si>
    <t>Otherworldly Patron Feature1-1</t>
  </si>
  <si>
    <t>Otherworldly Patron Feature1-2</t>
  </si>
  <si>
    <t>Otherworldly Patron Feature6</t>
  </si>
  <si>
    <t>Otherworldly Patron Feature10</t>
  </si>
  <si>
    <t>Otherworldly Patron Feature14</t>
  </si>
  <si>
    <t>Ranger Archetype Feature3</t>
  </si>
  <si>
    <t>Ranger Archetype Feature7</t>
  </si>
  <si>
    <t>Ranger Archetype Feature11</t>
  </si>
  <si>
    <t>Ranger Archetype Feature15</t>
  </si>
  <si>
    <t>Roguish Archetype Feature3-1</t>
  </si>
  <si>
    <t>Roguish Archetype Feature3-2</t>
  </si>
  <si>
    <t>Roguish Archetype Feature9</t>
  </si>
  <si>
    <t>Roguish Archetype Feature13</t>
  </si>
  <si>
    <t>Roguish Archetype Feature17</t>
  </si>
  <si>
    <t>Sacred Oath Feature3-1</t>
  </si>
  <si>
    <t>Sacred Oath Feature3-2</t>
  </si>
  <si>
    <t>Sacred Oath Feature7</t>
  </si>
  <si>
    <t>Sacred Oath Feature15</t>
  </si>
  <si>
    <t>Sacred Oath Feature20</t>
  </si>
  <si>
    <t>Sorcerous Origin Feature1-1</t>
  </si>
  <si>
    <t>Sorcerous Origin Feature1-2</t>
  </si>
  <si>
    <t>Sorcerous Origin Feature6</t>
  </si>
  <si>
    <t>Sorcerous Origin Feature14</t>
  </si>
  <si>
    <t>Sorcerous Origin Feature18</t>
  </si>
  <si>
    <t>Path Feature3-1</t>
  </si>
  <si>
    <t>Path Feature3-2</t>
  </si>
  <si>
    <t>Path Feature6</t>
  </si>
  <si>
    <t>Path Feature10</t>
  </si>
  <si>
    <t>Path Feature14</t>
  </si>
  <si>
    <t>Primal Path Feature</t>
  </si>
  <si>
    <t>Divine Domain Feature1-1</t>
  </si>
  <si>
    <t>Divine Domain Feature1-2</t>
  </si>
  <si>
    <t>Druid Circle Feature3</t>
  </si>
  <si>
    <t>Spellcasting (Wizard)</t>
  </si>
  <si>
    <t>Spellcasting (Sorcerer)</t>
  </si>
  <si>
    <t>Spellcasting (Cleric)</t>
  </si>
  <si>
    <t>Spellcasting (Druid)</t>
  </si>
  <si>
    <t>Spellcasting (Ranger)</t>
  </si>
  <si>
    <t>Spellcasting (Paladin)</t>
  </si>
  <si>
    <t>Variant 6</t>
  </si>
  <si>
    <t>Variant 7</t>
  </si>
  <si>
    <t>Variant 8</t>
  </si>
  <si>
    <t>Variant 9</t>
  </si>
  <si>
    <t>Variant 10</t>
  </si>
  <si>
    <t>Variant 11</t>
  </si>
  <si>
    <t>Variant 12</t>
  </si>
  <si>
    <t>Variant 13</t>
  </si>
  <si>
    <t>Variant 14</t>
  </si>
  <si>
    <t>Variant 15</t>
  </si>
  <si>
    <t>Variant 16</t>
  </si>
  <si>
    <t>Variant 17</t>
  </si>
  <si>
    <t>Variant 18</t>
  </si>
  <si>
    <t>Variant 19</t>
  </si>
  <si>
    <t>Variant 20</t>
  </si>
  <si>
    <t>Primal Path, Path Feature3-1, Path Feature3-2,</t>
  </si>
  <si>
    <t>Monastic Tradition, Deflect Missiles, Monastic Tradition Feature3,</t>
  </si>
  <si>
    <t>Sacred Oath, Sacred Oath Feature3-1, Sacred Oath Feature3-2,</t>
  </si>
  <si>
    <t xml:space="preserve">Spellcasting (wizard), Arcane Recovery, </t>
  </si>
  <si>
    <t xml:space="preserve">Rage, Unarmored Defense (con), </t>
  </si>
  <si>
    <t xml:space="preserve">Martial Arts, Unarmored Defense (wis), </t>
  </si>
  <si>
    <t>Unarmored Defense (wis)</t>
  </si>
  <si>
    <t>Unarmored Defense (con)</t>
  </si>
  <si>
    <t xml:space="preserve">Fighting style (ranger), Spellcasting (ranger), </t>
  </si>
  <si>
    <t xml:space="preserve">Fighting style (paladin), Spellcasting (paladin), Divine Smite, </t>
  </si>
  <si>
    <t>Fighting style (paladin)</t>
  </si>
  <si>
    <t>Fighting style (Ranger)</t>
  </si>
  <si>
    <t>FE</t>
  </si>
  <si>
    <t>NE</t>
  </si>
  <si>
    <t xml:space="preserve">Ranger Archetype, Primeval Awareness, Ranger Archetype Feature3, </t>
  </si>
  <si>
    <t>Fighting Style 1</t>
  </si>
  <si>
    <t>Fighting Style 2</t>
  </si>
  <si>
    <t>Fighting Style 3</t>
  </si>
  <si>
    <t>Fighting Style 4</t>
  </si>
  <si>
    <t>FightingStyleRanger</t>
  </si>
  <si>
    <t>FightingStylePaladin</t>
  </si>
  <si>
    <t>FightingStyleFighter</t>
  </si>
  <si>
    <t>FightingStyleChampion</t>
  </si>
  <si>
    <t>Fighting Style Ranger</t>
  </si>
  <si>
    <t>Fighting Style Paladin</t>
  </si>
  <si>
    <t>Fighting Style Fighter</t>
  </si>
  <si>
    <t>Fighting Style Champion</t>
  </si>
  <si>
    <t>Выбрано</t>
  </si>
  <si>
    <t>Доступно для выбора</t>
  </si>
  <si>
    <t>Fighter (Champion)</t>
  </si>
  <si>
    <t>Evocations</t>
  </si>
  <si>
    <t>Combat maneuvers</t>
  </si>
  <si>
    <t>Bonus Proficiency: Death Domain</t>
  </si>
  <si>
    <t>Channel Divinity: Touch of Death</t>
  </si>
  <si>
    <t>Reaper</t>
  </si>
  <si>
    <t>Inescapable Destruction</t>
  </si>
  <si>
    <t>Divine Strike (necrotic)</t>
  </si>
  <si>
    <t>Improved Reaper</t>
  </si>
  <si>
    <t>Channel Divinity: Control Undead</t>
  </si>
  <si>
    <t>Channel Divinity: Dreadful Aspect</t>
  </si>
  <si>
    <t>Aura of Hate</t>
  </si>
  <si>
    <t>Supernatural Resistance</t>
  </si>
  <si>
    <t>Dread Lord</t>
  </si>
  <si>
    <t>Spells Known</t>
  </si>
  <si>
    <t>TotalSpellcastingLevel</t>
  </si>
  <si>
    <t>Slot1lvl</t>
  </si>
  <si>
    <t>Slot2lvl</t>
  </si>
  <si>
    <t>Slot3lvl</t>
  </si>
  <si>
    <t>Slot4lvl</t>
  </si>
  <si>
    <t>Slot5lvl</t>
  </si>
  <si>
    <t>Slot6lvl</t>
  </si>
  <si>
    <t>Slot7lvl</t>
  </si>
  <si>
    <t>Slot8lvl</t>
  </si>
  <si>
    <t>Slot9lvl</t>
  </si>
  <si>
    <t>SpellcastingBard</t>
  </si>
  <si>
    <t>SpellcastingCleric</t>
  </si>
  <si>
    <t>SpellcastingDruid</t>
  </si>
  <si>
    <t>SpellcastingEK</t>
  </si>
  <si>
    <t>SpellcastingPaladin</t>
  </si>
  <si>
    <t>SpellcastingRanger</t>
  </si>
  <si>
    <t>SpellcastingSorcerer</t>
  </si>
  <si>
    <t>SpellcastingWizard</t>
  </si>
  <si>
    <t>SpellcastingAT</t>
  </si>
  <si>
    <t>Dwarven Combat Training</t>
  </si>
  <si>
    <t>When you roll a 1 on an attack roll, ability check, or saving throw, you can reroll the die and must use the new roll.</t>
  </si>
  <si>
    <t>You have advantage on saving throws against being frightened.</t>
  </si>
  <si>
    <t>You can move through the space of any creature that is of a size larger than yours.</t>
  </si>
  <si>
    <t>You can attempt to hide even when you are obscured only by a creature that is at least one size larger than you.</t>
  </si>
  <si>
    <t>You have advantage on saving throws against poison, and you have resistance against poison damage</t>
  </si>
  <si>
    <t>You have proficiency with rapiers, shortswords, and hand crossbows</t>
  </si>
  <si>
    <t>You know the dancing lights cantrip. When you reach 3rd level, you can cast the faerie fire spell once per day. When you reach 5th level, you can also cast the darkness spell once per day. Charisma is your spellcasting ability for these spells.</t>
  </si>
  <si>
    <t>You have disadvantage on attack rolls and on Wisdom (Perception) checks that rely on sight when you, the target of your attack, or whatever you are trying to perceive is in direct sunlight.</t>
  </si>
  <si>
    <t>Your darkvision has a radius of 120 feet.</t>
  </si>
  <si>
    <t>Your base walking speed increases to 35 feet.</t>
  </si>
  <si>
    <t>Fleet of Foot</t>
  </si>
  <si>
    <t>You have proficiency with the longsword, shortsword, shortbow, and longbow.</t>
  </si>
  <si>
    <t>You can attempt to hide even when you are only lightly obscured by foliage, heavy rain, falling snow, mist, and other natural phenomena.</t>
  </si>
  <si>
    <t>You have advantage on saving throws against being charmed, and magic can’t put you to sleep.</t>
  </si>
  <si>
    <t>You have proficiency in the Perception skill.</t>
  </si>
  <si>
    <t>Accustomed to twilit forests and the night sky, you have superior vision in dark and dim conditions. You can see in dim light within 60 feet of you as if it were bright light, and in darkness as if it were dim light. You can’t discern color in darkness, only shades of gray.</t>
  </si>
  <si>
    <t>You have proficiency with light and medium armor.</t>
  </si>
  <si>
    <t>Your hit point maximum increases by 1, and it increases by 1 every time you gain a level.</t>
  </si>
  <si>
    <t>You have proficiency with the battleaxe, handaxe, throwing hammer, and warhammer.</t>
  </si>
  <si>
    <t>Whenever you make an Intelligence (History) check related to the origin of stonework, you are considered proficient in the History skill and add double your proficiency bonus to the check, instead of your normal proficiency bonus.</t>
  </si>
  <si>
    <t>You gain proficiency with the artisan’s tools of your choice: smith’s tools, brewer’s supplies, or mason’s tools.</t>
  </si>
  <si>
    <t>You have advantage on all Intelligence, Wisdom, and Charisma saving throws against magic.</t>
  </si>
  <si>
    <t>Through sounds and gestures, you can communicate simple ideas with Small or smaller beasts. Forest gnomes love animals and often keep squirrels, badgers, rabbits, moles, woodpeckers, and other creatures as beloved pets.</t>
  </si>
  <si>
    <t>Whenever you make an Intelligence (History) check related to magic items, alchemical objects, or technological devices, you can add twice your proficiency bonus, instead of any proficiency bonus you normally apply.</t>
  </si>
  <si>
    <t>You gain proficiency in two skills of your choice.</t>
  </si>
  <si>
    <t>Skill Versatility</t>
  </si>
  <si>
    <t>Menacing</t>
  </si>
  <si>
    <t>When you are reduced to 0 hit points but not killed outright, you ean drop to 1 hit point instead. You can’t use this feature again until you finish a long rest.</t>
  </si>
  <si>
    <t>When you score a critical hit with a melee weapon attack, you can roll one of the weapon’s damage dice one additional time and add it to the extra damage of the critical hit.</t>
  </si>
  <si>
    <t>You have resistance to fire damage.</t>
  </si>
  <si>
    <t>While you are not wearing any armor, your Armor Class equals 10 +your Dexterity modifier +your Constitution modifier. You can use a shield and still gain this benefit.</t>
  </si>
  <si>
    <t>Starting at 2nd level, you can throw aside all concern for defense to attack with fierce desperation. When you make your first attack on your turn, you can decide to attack recklessly. Doing so gives you advantage on melee weapon attack rolls using Strength during this turn, but attack rolls against you have advantage until your next turn.</t>
  </si>
  <si>
    <t>Beginning at 5th level, you can attack twice, instead of once, whenever you take the Attack action on your turn.</t>
  </si>
  <si>
    <t>Starting at 5th level, your speed increases by 10 feet while you aren't wearing heavy armor.</t>
  </si>
  <si>
    <t>barbarian</t>
  </si>
  <si>
    <t>Beginning at 15th level, your rage is so fierce that it ends early only if you fall unconscious or if you choose to end it.</t>
  </si>
  <si>
    <t>Beginning at 18th level, if your total fora Strength check is less than your Strength score, you can use that score in place of the total.</t>
  </si>
  <si>
    <t>At 20th level, you embody the power of the wilds. Your Strength and Constitution scores increase by 4. Your maximum for those scores is now 24.</t>
  </si>
  <si>
    <t>Beginning at 6th level, you can't be charmed or frightened while raging. If you are charmed or frightened when you enter your rage, the effect is suspended for the duration of the rage.</t>
  </si>
  <si>
    <t>Starting at 14th level, when you take damage from a creature that is within 5 feet of you, you can use your reaction to make a melee weapon attack against that creature.</t>
  </si>
  <si>
    <t>Yours is a path that seeks attunement with the natural world, giving you a kinship with beasts. At 3rd level when you adopt this path, you gain the ability to cast the beast sense and speak with animals spells, but only as rituals, as described in chapter 10.</t>
  </si>
  <si>
    <t>At 10th level, you can cast the commune with nature spell, but only as a ritual. When you do so, a spiritual version of one of the animals you chose for Totem Spirit or Aspect of the Beast appears to you to convey the information you seek.</t>
  </si>
  <si>
    <t>Starting at 2nd level, you can add half your proficiency bonus, rounded down, to any ability check you make that doesn’t already include your proficiency bonus.</t>
  </si>
  <si>
    <t>Beginning when you reach 5th level, you regain all of your expended uses of Bardic Inspiration when you finish a short or long rest.</t>
  </si>
  <si>
    <t>When you join the College of Lore at 3rd level, you gain proficiency with three skills of your choice.</t>
  </si>
  <si>
    <t>Also at 3rd level, you learn how to use your wit to distract, confuse, and otherwise sap the confidence and competence of others. When a creature that you can see within 60 feet of you makes an attack roll, an ability check, or a damage roll, you can use your reaction to expend one of your uses of Bardic Inspiration, roiling a Bardic Inspiration die and subtracting the number rolled from the creature’s roll. You can choose to use this feature after the creature makes its roll, but before the DM determines whether the attack roll or ability check succeeds or fails, or before the creature deals its damage. The creature is immune if it can’t hear you or if it's immune to being charmed.</t>
  </si>
  <si>
    <t>At 6th level, you learn two spells of your choice from any class. A spell you choose must be of a level you can cast, as shown on the Bard table, or a cantrip. The chosen spells count as bard spells for you but don’t count against the number of bard spells you know.</t>
  </si>
  <si>
    <t>Starting at 14th level, when you make an ability check, you can expend one use of Bardic Inspiration. Roll a Bardic Inspiration die and add the number rolled to your ability check. You can choose to do so after you roll the die for the ability check, but before the DM tells you whether you succeed or fail.</t>
  </si>
  <si>
    <t>When you join the College of Valor at 3rd level, you gain proficiency with medium armor, shields, and martial weapons.</t>
  </si>
  <si>
    <t>Starting at 6th level, you can attack twice, instead of once, whenever you take the Attack action on your turn.</t>
  </si>
  <si>
    <t>At 14th level, you have mastered the art of weaving spellcasting and weapon use into a single harmonious act. When you use your action to cast a bard spell, you can make one weapon attack as a bonus action.</t>
  </si>
  <si>
    <t>CHANNEL DIVINITY: TURN UNDEAD</t>
  </si>
  <si>
    <t>Starting at 5th level, when an undead fails its saving throw against your Turn Undead feature, the creature is instantly destroyed if its challenge rating is at or below a certain threshold</t>
  </si>
  <si>
    <t>At 20th level, your call for intervention succeeds automatically, no roll required.</t>
  </si>
  <si>
    <t>Starting at 2nd level, you can use your Channel Divinity to tap into a divine well of knowledge. As an action, you choose one skill or tool. For 10 minutes, you have proficiency with the chosen skill or tool.</t>
  </si>
  <si>
    <t>Starting at 8th level, you add your Wisdom modifier to the damage you deal with any cleric cantrip.</t>
  </si>
  <si>
    <t>Potent Spellcasting (cleric)</t>
  </si>
  <si>
    <t>When you choose this domain at 1st level, you gain proficiency with heavy armor.</t>
  </si>
  <si>
    <t>Also starting at 1st level, your healing spells are more effective. Whenever you use a spell of 1st level or higher to restore hit points to a creature, the creature regains additional hit points equal to 2 + the spell’s level.</t>
  </si>
  <si>
    <t>Beginning at 6th level, the healing spells you cast on others heal you as well. When you cast a spell of 1st level or higher that restores hit points to a creature other than you, you regain hit points equal to 2 + the spell’s level.</t>
  </si>
  <si>
    <t>At 8th level, you gain the ability to infuse your weapon strikes with divine energy. Once on each of your turns when you hit a creature with a weapon attack, you can cause the attack to deal an extra 1 d8 radiant damage to the target. When you reach 14th level, the extra damage increases to 2d8.</t>
  </si>
  <si>
    <t>Divine Strike (radiant)</t>
  </si>
  <si>
    <t>When you choose this domain at 1st level, you gain the light cantrip if you don’t already know it.</t>
  </si>
  <si>
    <t>Starting at 6th level, you can also use your Warding Flare feature when a creature that you can see within 30 feet of you attacks a creature other than you.</t>
  </si>
  <si>
    <t>Starting at 17th level, you can use your action to activate an aura of sunlight that lasts for 1 minute or until you dismiss it using another action. You emit bright light in a 60-foot radius and dim light 30 feet beyond that. Your enemies in the bright light have disadvantage on saving throws against any spell that deals fire or radiant damage.</t>
  </si>
  <si>
    <t>At 1st level, you learn one druid cantrip of your choice. You also gain proficiency in one of the following skills of your choice: Animal Handling, Nature, or Survival. Also at 1st level, you gain proficiency with heavy armor.</t>
  </si>
  <si>
    <t>Also at 1st level, you gain proficiency with heavy armor.</t>
  </si>
  <si>
    <t>Starting at 6th level, when you or a creature within 30 feet of you takes acid, cold, fire, lightning, or thunder damage, you can use your reaction to grant resistance to the creature against that instance of the damage.</t>
  </si>
  <si>
    <t>At 8th level, you gain the ability to infuse your weapon strikes with divine energy. Once on each of your turns when you hit a creature with a weapon attack, you can cause the attack to deal an extra ld8 cold, fire, or lightning damage (your choice) to the target. When you reach 14th level, the extra damage increases to 2d8.</t>
  </si>
  <si>
    <t>At 17th level, you gain the ability to command animals and plant creatures. While creatures are charmed by your Charm Animals and Plants feature, you can take a bonus action on your turn to verbally command what each of those creatures will do on its next turn.</t>
  </si>
  <si>
    <t>Divine Strike (nature)</t>
  </si>
  <si>
    <t>At 1st level, you gain proficiency with martial weapons and heavy armor.</t>
  </si>
  <si>
    <t>At 6th level, when you deal lightning damage to a Large or smaller creature, you can also push it up to 10 feet away from you.</t>
  </si>
  <si>
    <t>At 8th level, you gain the ability to infuse your weapon strikes with divine energy. Once on each of your turns when you hit a creature with a weapon attack, you can cause the attack to deal an extra ld8 thunder damage to the target. When you reach 14th level, the extra damage increases to 2d8.</t>
  </si>
  <si>
    <t>Divine Strike (thunder)</t>
  </si>
  <si>
    <t>At 17th level, you have a flying speed equal to your current walking speed whenever you are not underground or indoors.</t>
  </si>
  <si>
    <t>Starting when you choose this domain at 1st level, you can use your action to touch a willing creature other than yourself to give it advantage on Dexterity (Stealth) checks. This blessing lasts for 1 hour or until you use this feature again.</t>
  </si>
  <si>
    <t>At 8th level, you gain the ability to infuse your weapon strikes with poison—a gift from your deity. Once on each of your turns when you hit a creature with a weapon attack, you can cause the attack to deal an extra ld8 poison damage to the target. When you reach 14th level, the extra damage increases to 2d8.</t>
  </si>
  <si>
    <t>Divine Strike (poison)</t>
  </si>
  <si>
    <t>At 17th level, you can create up to four duplicates of yourself, instead of one, when you use Invoke Duplicity. As a bonus action on your turn, you can move any number of them up to 30 feet, to a maximum range of 120 feet.</t>
  </si>
  <si>
    <t>Starting at 2nd level, you can use your Channel Divinity to strike with supernatural accuracy. When you make an attack roll, you can use your Channel Divinity to gain a +10 bonus to the roll. You make this choice after you see the roll, but before the DM says whether the attack hits or misses.</t>
  </si>
  <si>
    <t>At 6th level, when a creature within 30 feet of you makes an attack roll, you can use your reaction to grant that creature a +10 bonus to the roll, using your Channel Divinity. You make this choice after you see the roll, but before the DM says whether the attack hits or misses.</t>
  </si>
  <si>
    <t>At 8th level, you gain the ability to infuse your weapon strikes with divine energy. Once on each of your turns when you hit a creature with a weapon attack, you can cause the attack to deal an extra ld8 damage of the same type dealt by the weapon to the target. When you reach 14th level, the extra damage increases to 2d8.</t>
  </si>
  <si>
    <t>Divine Strike (weapon)</t>
  </si>
  <si>
    <t>At 17th level, you gain resistance to bludgeoning, piercing, and slashing damage from nonmagical weapons</t>
  </si>
  <si>
    <t>You know Druidic, the secret language of druids. You can speak the language and use it to leave hidden messages. You and others who know this language automatically spot such a message. Others spot the message’s presence with a successful DC 15 Wisdom (Perception) check but can't decipher it without magic.</t>
  </si>
  <si>
    <t>Starting at 18th level, the primal magic that you wield causes you to age more slowly. For every 10 years that pass, your body ages only 1 year.</t>
  </si>
  <si>
    <t>Beginning at 18th level, you can cast many of your druid spells in any shape you assume using Wild Shape. You can perform the somatic and verbal components of a druid spell while in a beast shape, but you aren’t able to provide material components. Additionally, you can ignore the verbal and somatic components of your druid spells, as well as any material components that lack a cost and aren't consumed by a spell. You gain this benefit in both your normal shape and your beast shape from Wild Shape.</t>
  </si>
  <si>
    <t>When you choose this circle at 2nd level, you learn one additional druid cantrip of your choice.</t>
  </si>
  <si>
    <t>When you reach 10th level, you can’t be charmed or frightened by elementals or fey, and you are immune to poison and disease.</t>
  </si>
  <si>
    <t>At 10th level, you can expend two uses of Wild Shape at the same time to transform into an air elemental, an earth elemental, a fire elemental, or a water elemental.</t>
  </si>
  <si>
    <t>By 14th level, you have learned to use magic to alter your physical form in more subtle ways. You can cast the alter self spell at will.</t>
  </si>
  <si>
    <t>Starting at 6th level, your attacks in beast form count as magical for the purpose of overcoming resistance and immunity to nonmagical attacks and damage.</t>
  </si>
  <si>
    <t>Beginning when you choose this archetype at 3rd level, your weapon attacks score a critical hit on a roll of 19 or 20.</t>
  </si>
  <si>
    <t>Starting at 15th level, your weapon attacks score a critical hit on a roll of 18-20.</t>
  </si>
  <si>
    <t>At 18th level, you attain the pinnacle of resilience in battle. At the start of each of your turns, you regain hit points equal to 5 + your Constitution modifier if you have no more than half of your hit points left. You don’t gain this benefit if you have 0 hit points.</t>
  </si>
  <si>
    <t>At 3rd level, you gain proficiency with one type of artisan’s tools of your choice.</t>
  </si>
  <si>
    <t>Starting at 15th level, when you roll initiative and have no superiority dice remaining, you regain 1 superiority die.</t>
  </si>
  <si>
    <t>Beginning at 7th level, when you use your action to cast a cantrip, you can make one weapon attack as a bonus action.</t>
  </si>
  <si>
    <t>At 10th level, you learn how to make your weapon strikes undercut a creature’s resistance to your spells. When you hit a creature with a weapon attack, that creature has disadvantage on the next saving throw it makes against a spell you cast before the end of your next turn.</t>
  </si>
  <si>
    <t>At 15th level, you gain the ability to teleport up to 30 feet to an unoccupied space you can see when you use your Action Surge. You can teleport before or after the additional action.</t>
  </si>
  <si>
    <t>Beginning at 1st level, while you are wearing no armor and not wielding a shield, your AC equals 10 + your Dexterity modifier + your Wisdom modifier.</t>
  </si>
  <si>
    <t>Flurry of Blows</t>
  </si>
  <si>
    <t>Immediately after you take the Attack action on your turn, you can spend 1 ki point to make two unarmed strikes as a bonus action.</t>
  </si>
  <si>
    <t>Patient Defense</t>
  </si>
  <si>
    <t>You can spend 1 ki point to take the Dodge action as a bonus action on your turn.</t>
  </si>
  <si>
    <t>At 9th level, you gain the ability to move along vertical surfaces and across liquids on your turn without falling during the move.</t>
  </si>
  <si>
    <t>Slow Fall</t>
  </si>
  <si>
    <t>Beginning at 4th level, you can use your reaction when you fall to reduce any falling damage you take by an amount equal to five times your monk level.</t>
  </si>
  <si>
    <t>Starting at 5th level, you can interfere with the flow of ki in an opponent’s body. When you hit another creature with a melee weapon attack, you can spend 1 ki point to attempt a stunning strike. The target must succeed on a Constitution saving throw or be stunned until the end of your next turn.</t>
  </si>
  <si>
    <t>Starting at 6th level, your unarmed strikes count as magical for the purpose of overcoming resistance and immunity to nonmagical attacks and damage.</t>
  </si>
  <si>
    <t>At 7th level, your instinctive agility lets you dodge out of the way of certain area effects, such as a blue dragon’s lightning breath or a fireball spell. When you are subjected to an effect that allows you to make a Dexterity saving throw to take only half damage, you instead take no damage if you succeed on the saving throw, and only half damage if you fail.</t>
  </si>
  <si>
    <t>Starting at 7th level, you can use your action to end one effect on yourself that is causing you to be charmed or frightened.</t>
  </si>
  <si>
    <t>At 10th level, your mastery of the ki flowing through you makes you immune to disease and poison.</t>
  </si>
  <si>
    <t>Starting at 13th level, you learn to touch the ki of other minds so that you understand all spoken languages. Moreover, any creature that can understand a language can understand what you say.</t>
  </si>
  <si>
    <t>Timeless Body (druid)</t>
  </si>
  <si>
    <t>At 15th level, your ki sustains you so that you suffer none of the frailty of old age, and you can’t be aged magically. You can still die of old age, however. In addition, you no longer need food or water.</t>
  </si>
  <si>
    <t>Timeless Body (monk)</t>
  </si>
  <si>
    <t>At 20th level, when you roll for initiative and have no ki points remaining, you regain 4 ki points.</t>
  </si>
  <si>
    <t>At 6th level, you gain the ability to heal yourself. As an action, you can regain hit points equal to three times your monk level. You must finish a long rest before you can use this feature again.</t>
  </si>
  <si>
    <t>Starting when you choose this tradition at 3rd level, you can use your ki to duplicate the effects of certain spells. As an action, you can spend 2 ki points to cast darkness, darkvision, pass without trace, or silence, without providing material components. Additionally, you gain the minor illusion cantrip if you don't already know it.</t>
  </si>
  <si>
    <t>At 6th level, you gain the ability to step from one shadow into another. When you are in dim light or darkness, as a bonus action you can teleport up to 60 feet to an unoccupied space you can see that is also in dim light or darkness. You then have advantage on the first melee attack you make before the end of the turn.</t>
  </si>
  <si>
    <t>By 11th level, you have learned to become one with the shadows. When you are in an area of dim light or darkness, you can use your action to become invisible. You remain invisible until you make an attack, cast a spell, or are in an area of bright light.</t>
  </si>
  <si>
    <t>At 17th level, you can exploit a creature’s momentary distraction when it is hit by an attack. Whenever a creature within 5 feet of you is hit by an attack made by a creature other than you. you can use your reaction to make a melee attack against that creature.</t>
  </si>
  <si>
    <t>Starting at 2nd level, when you hit a creature with a melee weapon attack, you can expend one paladin spell slot to deal radiant damage to the target, in addition to the weapon's damage. The extra damage is 2d8 for a 1 st-level spell slot, plus ld8 for each spell level higher than 1st, to a maximum of 5d8. The damage increases by ld8 if the target is an undead or a fiend.</t>
  </si>
  <si>
    <t>Divine Health</t>
  </si>
  <si>
    <t>By 3rd level, the divine magic flowing through you makes you immune to disease.</t>
  </si>
  <si>
    <t>DruidLands</t>
  </si>
  <si>
    <t>Ranges of auras increase to 30 feet</t>
  </si>
  <si>
    <t>NatureDomain</t>
  </si>
  <si>
    <t>Druid Lands</t>
  </si>
  <si>
    <t>DruidLand1</t>
  </si>
  <si>
    <t>DruidLand2</t>
  </si>
  <si>
    <t>DomainNature</t>
  </si>
  <si>
    <t>BardMulti</t>
  </si>
  <si>
    <t>RogueMulti</t>
  </si>
  <si>
    <t>RangerMulti</t>
  </si>
  <si>
    <t>DomainKnowledge1</t>
  </si>
  <si>
    <t>DomainKnowledge2</t>
  </si>
  <si>
    <t>CollegeofLore1</t>
  </si>
  <si>
    <t>CollegeofLore2</t>
  </si>
  <si>
    <t>CollegeofLore3</t>
  </si>
  <si>
    <t>KnowledgeDomain</t>
  </si>
  <si>
    <t>Com.man1</t>
  </si>
  <si>
    <t>Beginning at 3rd level, you can use your action and expend one ranger spell slot to focus your awareness on the region around you. For 1 minute per level of the spell slot you expend, you can sense whether the following types of creatures are present within 1 mile of you (or within up to 6 miles if you are in your favored terrain): aberrations, celestials, dragons, elementals, fey, fiends, and undead. This feature doesn’t reveal the creatures’ location or number.</t>
  </si>
  <si>
    <t>Land's Stride (ranger)</t>
  </si>
  <si>
    <t xml:space="preserve">Ability Score Improvement, Land's Stride (ranger), </t>
  </si>
  <si>
    <t>Starting at 14th level, you can use the Hide action as a bonus action on your turn. Also, you can’t be tracked by nonmagical means, unless you choose to leave a trail.</t>
  </si>
  <si>
    <t>At 20th level, you become an unparalleled hunter of your enemies. Once on each of your turns, you can add your Wisdom modifier to the attack roll or the damage roll of an attack you make against one of your favored enemies. You can choose to use this feature before or after the roll, but before any effects of the roll are applied.</t>
  </si>
  <si>
    <t>Your tenacity can wear down the most potent foes. When you hit a creature with a weapon attack, the creature takes an extra ld8 damage if it's below its hit point maximum. You can deal this extra damage only once per turn.</t>
  </si>
  <si>
    <t>When a Large or larger creature within 5 feet of you hits or misses you with an attack, you can use your reaction to attack that creature immediately after its attack, provided that you can see the creature.</t>
  </si>
  <si>
    <t>Once on each of your turns when you make a weapon attack, you can make another attack with the same weapon against a different creature that is within 5 feet of the original target and within range of your weapon.</t>
  </si>
  <si>
    <t>Opportunity attacks against you are made with disadvantage.</t>
  </si>
  <si>
    <t>When a creature hits you with an attack, you gain a +4 bonus to AC against all subsequent attacks made by that creature for the rest of the turn.</t>
  </si>
  <si>
    <t>You can use your action to make a ranged attack against any number of creatures within 10 feet of a point you can see within your weapon’s range. You must have ammunition for each target, as normal, and you make a separate attack roll for each target.</t>
  </si>
  <si>
    <t>You can use your action to make a melee attack against any number of creatures within 5 feet of you, with a separate attack roll for each target.</t>
  </si>
  <si>
    <t>When an attacker that you can see hits you with an attack, you can use your reaction to halve the attack’s damage against you.</t>
  </si>
  <si>
    <t>When a hostile creature misses you with a melee attack, you can use your reaction to force that creature to repeat the same attack against another creature (other than itself) of your choice.</t>
  </si>
  <si>
    <t>Beginning at 7th level, on any of your turns when your beast companion doesn’t attack, you can use a bonus action to command the beast to take the Dash, Disengage, Dodge, or Help action on its turn.</t>
  </si>
  <si>
    <t>Starting at 11th level, your beast companion can make two attacks when you command it to use the Attack action.</t>
  </si>
  <si>
    <t>Starting at 2nd level, your quick thinking and agility allow you to move and act quickly. You can take a bonus action on each of your turns in combat. This action can be used only to take the Dash, Disengage, or Hide action.</t>
  </si>
  <si>
    <t>Starting at 5th level, when an attacker that you can see hits you with an attack, you can use your reaction to halve the attack’s damage against you.</t>
  </si>
  <si>
    <t>By 11th level, you have refined your chosen skills until they approach perfection. Whenever you make an ability check that lets you add your proficiency bonus, you can treat a d20 roll of 9 or lower as a 10.</t>
  </si>
  <si>
    <t>Starting at 14th level, if you are able to hear, you are aware of the location of any hidden or invisible creature within 10 feet of you.</t>
  </si>
  <si>
    <t>By 15th level, you have acquired greater mental strength. You gain proficiency in Wisdom saving throws.</t>
  </si>
  <si>
    <t>Beginning at 18th level, you are so evasive that attackers rarely gain the upper hand against you. No attack roll has advantage against you while you aren’t incapacitated</t>
  </si>
  <si>
    <t>Starting at 3rd level, you can use the bonus action granted by your Cunning Action to make a Dexterity (Sleight of Hand) check, use your thieves’ tools to disarm a trap or open a lock, or take the Use an Object action.</t>
  </si>
  <si>
    <t>Starting at 9th level, you have advantage on a Dexterity (Stealth) check if you move no more than half your speed on the same turn.</t>
  </si>
  <si>
    <t>By 13th level, you have learned enough about the workings of magic that you can improvise the use of items even when they are not intended for you. You ignore all class, race, and level requirements on the use of magic items.</t>
  </si>
  <si>
    <t>When you reach 17th level, you have become adept at laying ambushes and quickly escaping danger. You can take two turns during the first round of any combat. You take your first turn at your normal initiative and your second turn at your initiative minus 10. You can’t use this feature when you are surprised.</t>
  </si>
  <si>
    <t>When you choose this archetype at 3rd level, you gain proficiency with the disguise kit and the poisoner's kit.</t>
  </si>
  <si>
    <t>Starting at 3rd level, you are at your deadliest when you get the drop on your enemies. You have advantage on attack rolls against any creature that hasn’t taken a turn in the combat yet. In addition, any hit you score against a creature that is surprised is a critical hit.</t>
  </si>
  <si>
    <t>Starting at 17th level, you become a master of instant death. When you attack and hit a creature that is surprised, it must make a Constitution saving throw (DC 8 + your Dexterity modifier + your proficiency bonus). On a failed save, double the damage of your attack against the creature.</t>
  </si>
  <si>
    <t>Starting at 9th level, if you are hidden from a creature when you cast a spell on it, the creature has disadvantage on any saving throw it makes against the spell this turn.</t>
  </si>
  <si>
    <t>Black</t>
  </si>
  <si>
    <t>Blue</t>
  </si>
  <si>
    <t>Brass</t>
  </si>
  <si>
    <t>Bronze</t>
  </si>
  <si>
    <t>Red</t>
  </si>
  <si>
    <t>White</t>
  </si>
  <si>
    <t>At 1st level, you choose one type of dragon as your ancestor. The damage type associated with each dragon is used by features you gain later. You can speak, read, and write Draconic. Additionally, whenever you make a Charisma check when interacting with dragons, your proficiency bonus is doubled if it applies to the check.</t>
  </si>
  <si>
    <t>Beginning at 18th level, you can channel the dread presence of your dragon ancestor, causing those around you to become awestruck or frightened. As an action, you can spend 5 sorcery points to draw on this power and exude an aura of awe or fear (your choice) to a distance of 60 feet. For 1 minute or until you lose your concentration (as if you were casting a concentration spell), each hostile creature that starts its turn in this aura must succeed on a Wisdom saving throw or be charmed (if you chose awe) or frightened (if you chose fear) until the aura ends. A creature that succeeds on this saving throw is immune to your aura for 24 hours.</t>
  </si>
  <si>
    <t>Starting when you choose this origin at 1st level, your spellcasting can unleash surges of untamed magic. Immediately after you cast a sorcerer spell of 1st level or higher, the DM can have you roll a d20. If you roll a 1, roll on the Wild Magic Surge table to create a random magical effect.</t>
  </si>
  <si>
    <t>At 14th level, you gain a modicum of control over the surges of your wild magic. Whenever you roll on the Wild Magic Surge table, you can roll twice and use either number.</t>
  </si>
  <si>
    <t>Beginning at 18th level, the harmful energy of your spells intensifies. When you roll damage for a spell and roll the highest number possible on any of the dice, choose one of those dice, roll it again and add that roll to the damage. You can use the feature only once per turn</t>
  </si>
  <si>
    <t>At 3rd level, your otherworldly patron bestows a gift upon you for your loyal service. You gain one of the following features of your choice.</t>
  </si>
  <si>
    <t>At 20th level, you can draw on your inner reserve of mystical power while entreating your patron to regain expended spell slots. You can spend 1 minute entreating your patron for aid to regain all your expended spell slots from your Pact Magic feature. Once you regain spell slots with this feature, you must finish a long rest before you can do so again.</t>
  </si>
  <si>
    <t>Expanded Spell List - the Archfey</t>
  </si>
  <si>
    <t>The Archfey lets you choose from an expanded list of spells when you learn a warlock spell. The following spells are added to the warlock spell list for you.</t>
  </si>
  <si>
    <t>Misty Escape</t>
  </si>
  <si>
    <t>Beginning at 10th level, your patron teaches you how to turn the mind-affecting magic of your enemies against them. You are immune to being charmed, and when another creature attempts to charm you, you can use your reaction to attempt to turn the charm back on that creature. The creature must succeed on a Wisdom saving throw against your warlock spell save DC or be charmed by you for 1 minute or until the creature takes any damage.</t>
  </si>
  <si>
    <t>Expanded Spell List - the Fiend</t>
  </si>
  <si>
    <t>Dark One’s Blessing</t>
  </si>
  <si>
    <t>Starting at 10th level, you can choose one damage type when you finish a short or long rest. You gain resistance to that damage type until you choose a different one with this feature. Damage from magical weapons or silver weapons ignores this resistance.</t>
  </si>
  <si>
    <t>Starting at 1st level, when you reduce a hostile creature to 0 hit points, you gain temporary hit points equal to your Charisma modifier + your warlock level (minimum of 1)</t>
  </si>
  <si>
    <t>Starting at 10th level, your thoughts can’t be read by telepathy or other means unless you allow it. You also have resistance to psychic damage, and whenever a creature deals psychic damage to you, that creature takes the same amount of damage that you do.</t>
  </si>
  <si>
    <t>Starting at 1st level, your alien knowledge gives you the ability to touch the minds of other creatures. You can communicate telepathically with any creature you can see within 30 feet of you. You don’t need to share a language with the creature for it to understand your telepathic utterances, but the creature must be able to understand at least one language.</t>
  </si>
  <si>
    <t>Expanded Spell List - the Old One</t>
  </si>
  <si>
    <t>The Great Old One lets you choose from an expanded list of spells when you learn a warlock spell. The following spells are added to the warlock spell list for you.</t>
  </si>
  <si>
    <t>Fey Presence</t>
  </si>
  <si>
    <t>Dark Delirium</t>
  </si>
  <si>
    <t>Beguiling Defenses</t>
  </si>
  <si>
    <t>Dark One’s Own Luck</t>
  </si>
  <si>
    <t>Fiendish Resilience</t>
  </si>
  <si>
    <t>Hurl Through Hell</t>
  </si>
  <si>
    <t>Awakened Mind</t>
  </si>
  <si>
    <t>Entropic Ward</t>
  </si>
  <si>
    <t>Thought Shield</t>
  </si>
  <si>
    <t>Create thrall</t>
  </si>
  <si>
    <t>The Fiend lets you choose from an expanded list of spells when you learn a warlock spell. The following spells are added to the warlock spell list for you.</t>
  </si>
  <si>
    <t>The Old One</t>
  </si>
  <si>
    <t>The Fiend</t>
  </si>
  <si>
    <t>The Archfey</t>
  </si>
  <si>
    <t>Yes</t>
  </si>
  <si>
    <t>Beginning when you select this school at 2nd level, the gold and time you must spend to copy an abjuration spell into your spellbook is halved.</t>
  </si>
  <si>
    <t>Starting at 6th level, when a creature that you can see within 30 feet of you takes damage, you can use your reaction to cause your Arcane Ward to absorb that damage. If this damage reduces the ward to 0 hit points, the warded creature takes any remaining damage.</t>
  </si>
  <si>
    <t>Beginning at 10th level, when you cast an abjuration spell that requires you to make an ability check as a part of casting that spell (as in counterspell and dispel magic), you add your proficiency bonus to that ability check</t>
  </si>
  <si>
    <t>Beginning when you select this school at 2nd level, the gold and time you must spend to copy a conjuration spell into your spellbook is halved.</t>
  </si>
  <si>
    <t>Beginning at 10th level, while you are concentrating on a conjuration spell, your concentration can’t be broken as a result of taking damage.</t>
  </si>
  <si>
    <t>Starting at 14th level, any creature that you summon or create with a conjuration spell has 30 temporary hit points.</t>
  </si>
  <si>
    <t>Beginning when you select this school at 2nd level, the gold and time you must spend to copy a divination spell into your spellbook is halved.</t>
  </si>
  <si>
    <t>Beginning at 6th level, casting divination spells comes so easily to you that it expends only a fraction of your spellcasting efforts. When you cast a divination spell of 2nd level or higher using a spell slot, you regain one expended spell slot. The slot you regain must be of a level lower than the spell you cast and can’t be higher than 5th level.</t>
  </si>
  <si>
    <t>Starting at 14th level, the visions in your dreams intensify and paint a more accurate picture in your mind of what is to come. You roll three d20s for your Portent feature, rather than two.</t>
  </si>
  <si>
    <t>Beginning when you select this school at 2nd level, the gold and time you must spend to copy an enchantment spell into your spellbook is halved.</t>
  </si>
  <si>
    <t>Starting at 10th level, when you cast an enchantment spell of 1st level or higher that targets only one creature, you can have it target a second creature.</t>
  </si>
  <si>
    <t>Beginning when you select this school at 2nd level, the gold and time you must spend to copy an evocation spell into your spellbook is halved.</t>
  </si>
  <si>
    <t>Beginning at 2nd level, you can create pockets of relative safety within the effects of your evocation spells. When you cast an evocation spell that affects other creatures that you can see, you can choose a number of them equal to 1 + the spell’s level. The chosen creatures automatically succeed on their saving throws against the spell, and they take no damage if they would normally take half damage on a successful save.</t>
  </si>
  <si>
    <t>Starting at 6th level, your damaging cantrips affect even creatures that avoid the brunt of the effect. When a creature succeeds on a saving throw against your cantrip, the creature takes half the cantrip’s damage (if any) but suffers no additional effect from the cantrip.</t>
  </si>
  <si>
    <t>Beginning at 10th level, you can add your Intelligence modifier to the damage roll of any wizard evocation spell you cast.</t>
  </si>
  <si>
    <t>Beginning when you select this school at 2nd gold and time you must spend to copy an illusion spell into your spellbook is halved.</t>
  </si>
  <si>
    <t>Starting at 6th level, when you cast an illusion spell that has a duration of 1 minute or longer, you can use your action to change the nature of that illusion (using the spell’s normal parameters for the illusion), provided that you can see the illusion.</t>
  </si>
  <si>
    <t>Beginning when you select this school at 2nd level, the gold and time you must spend to copy a necromancy spell into your spellbook is halved.</t>
  </si>
  <si>
    <t>At 2nd level, you gain the ability to reap life energy from creatures you kill with your spells. Once per turn when you kill one or more creatures with a spell of 1st level or higher, you regain hit points equal to twice the spell’s level, or three times its level if the spell belongs to the School of Necromancy. You don’t gain this benefit for killing constructs or undead</t>
  </si>
  <si>
    <t>Beginning at 10th level, you have resistance to necrotic damage, and your hit point maximum can't be reduced. You have spent so much time dealing with undead and the forces that animate them that you have become inured to some of their worst effects.</t>
  </si>
  <si>
    <t>Beginning when you select this school at 2nd level, the gold and time you must spend to copy a transmutation spell into your spellbook is halved.</t>
  </si>
  <si>
    <t>Starting at 2nd level when you select this school, you can temporarily alter the physical properties of one nonmagical object, changing it from one substance into another. You perform a special alchemical procedure on one object composed entirely of wood, stone (but not a gemstone), iron, copper, or silver, transforming it into a different one of those materials. For each 10 minutes you spend performing the procedure, you can transform up to 1 cubic foot of material. After 1 hour, or until you lose your concentration (as if you were concentrating on a spell), the material reverts to its original substance.</t>
  </si>
  <si>
    <t>Artificer</t>
  </si>
  <si>
    <t>Infuse Potions</t>
  </si>
  <si>
    <t>Infuse Scrolls</t>
  </si>
  <si>
    <t>Infuse Weapons and Armor</t>
  </si>
  <si>
    <t>Superior Artificer</t>
  </si>
  <si>
    <t>On reaching 14th level, your mastery of arcane magic allows you to produce a variety of magic items. You can create a single item chosen from Magic Item Tables A and B in chapter 7 of the Dungeon Master’s Guide. It takes you 1 week to produce such an item, and you must rest for 1 month before using this ability to craft another item.</t>
  </si>
  <si>
    <t>Master Artificer</t>
  </si>
  <si>
    <t>As an action, you can polymorph into any humanoid of your size that you have seen, or back into your true form. However, your equipment does not change with you. If you die, you revert to your natural appearance.</t>
  </si>
  <si>
    <t>Your construction incorporates wood and metal, granting you a +1 bonus to Armor Class.</t>
  </si>
  <si>
    <t>You gain proficiency in the Deception skill.</t>
  </si>
  <si>
    <t>The warforged were made as the ideal soldiers to serve in the devastating Last War. Although they are constructs, they have much in common with living creatures, including emotions and social bonds, and perhaps even souls.</t>
  </si>
  <si>
    <t>Sequestered in high mountains atop tall trees, the aarakocra, sometimes called birdfolk, evoke fear and wonder. Many aarakocra aren’t even native to the
Material Plane. They hail from a world beyond—from
the boundless vistas of the Elemental Plane of Air.
They are immigrants, refugees, scouts, and explorers,
their outposts functioning as footholds in a world both
strange and alien.</t>
  </si>
  <si>
    <t>You have a swimming speed of 30 feet.</t>
  </si>
  <si>
    <t>You know the shape water cantrip (see chapter 2). When you reach 3rd level, you can castthe create or destroy water spell as a 2nd-level spellonce with this trait, and you regain the ability to cast itthis way when you finish a long rest. Constitution is yourspellcasting ability for these spells.</t>
  </si>
  <si>
    <t>You can move across difficultterrain made of earth or stone without expendingextra movement.</t>
  </si>
  <si>
    <t>You have a flying speed of 50 feet. To use thisspeed, you can’t be wearing medium or heavy armor.</t>
  </si>
  <si>
    <t>You know the thaumaturgy cantrip. Once you reach 3rd level, you can cast the hellish rebuke spell once per day as a 2nd-level spell. Once you reach 5th level, you can also cast the darkness spell once per day. Charisma is your spellcasting ability for these spells.</t>
  </si>
  <si>
    <t>Even though you were constructed, you are a living creature. You are immune to disease. You do not need to eat or breathe, but you can ingest food and drink if you wish.Instead of sleeping, you enter an inactive state for 4 hours each day. You do not dream in this state; you are fully aware of your surroundings and notice approaching enemies and other events as normal.</t>
  </si>
  <si>
    <t>You can cast the pass without trace spell once with this trait, requiring no material components, and you regain the ability to cast it thisway when you finish a long rest. Constitution is yourspellcasting ability for this spell.</t>
  </si>
  <si>
    <t>You can cast the levitate spell once with this trait, requiring no material components, and you regain the ability to cast it this way when youfinish a long rest. Constitution is your spellcastingability for this spell.</t>
  </si>
  <si>
    <t>You’re acclimated to high altitude,including elevations above 20,000 feet. You’re alsonaturally adapted to cold climates,</t>
  </si>
  <si>
    <t>You have proficiency in theAthletics skill.</t>
  </si>
  <si>
    <t>You know the minor illusion cantrip. Intelligence is your spellcasting ability for it.</t>
  </si>
  <si>
    <t>You count as one size larger whendetermining your carrying capacity and the weight youcan push, drag, or lift.</t>
  </si>
  <si>
    <t>You know the produce flamecantrip. Once you reach 3rd level, you can cast theburning hands spell once with this trait as a 1st-levelspell, and you regain the ability to cast it this way whenyou finish a long rest. Constitution is your spellcastingability for these spells.</t>
  </si>
  <si>
    <t>On your turn, you can shift as a bonus action. Shifting lasts for 1 minute or until you end it on your turn as a bonus action.While shifting, you gain temporary hit points equal to your level + your Constitution bonus (minimum of 1). You also gain a feature that depends on your shifter subrace, described below. While shifting, you gain a +1 bonus to AC.</t>
  </si>
  <si>
    <t>On your turn, you can shift as a bonus action. Shifting lasts for 1 minute or until you end it on your turn as a bonus action.While shifting, you gain temporary hit points equal to your level + your Constitution bonus (minimum of 1). You also gain a feature that depends on your shifter subrace, described below. Shifting Feature. While shifting, you gain a climb speed of 30 feet.</t>
  </si>
  <si>
    <t>On your turn, you can shift as a bonus action. Shifting lasts for 1 minute or until you end it on your turn as a bonus action.While shifting, you gain temporary hit points equal to your level + your Constitution bonus (minimum of 1). You also gain a feature that depends on your shifter subrace, described below. Shifting Feature. While shifting, you can use the Dash action as a bonus action.</t>
  </si>
  <si>
    <t>On your turn, you can shift as a bonus action. Shifting lasts for 1 minute or until you end it on your turn as a bonus action.While shifting, you gain temporary hit points equal to your level + your Constitution bonus (minimum of 1). You also gain a feature that depends on your shifter subrace, described below. Shifting Feature. While shifting, you can make a bite attack as an action. This is a melee weapon attack that uses Strength for its attack roll and damage bonus and deals 1d6 piercing damage. If this attack hits a target that is your size or smaller, the target is also grappled.</t>
  </si>
  <si>
    <t>On your turn, you can shift as a bonus action. Shifting lasts for 1 minute or until you end it on your turn as a bonus action.While shifting, you gain temporary hit points equal to your level + your Constitution bonus (minimum of 1). You also gain a feature that depends on your shifter subrace, described below. Shifting Feature. While shifting, you can make an unarmed strike as a bonus action. You can use your Dexterity for its attack roll and damage bonus, and this attack deals slashing damage.</t>
  </si>
  <si>
    <t>On your turn, you can shift as a bonus action. Shifting lasts for 1 minute or until you end it on your turn as a bonus action.While shifting, you gain temporary hit points equal to your level + your Constitution bonus (minimum of 1). You also gain a feature that depends on your shifter subrace, described below. Shifting Feature. While shifting, you gain advantage on all Wisdom-based checks and saving throws.</t>
  </si>
  <si>
    <t>You can focus yourself tooccasionally shrug off injury. When you take damage,you can use your reaction to roll a d12. Add your Constitution modifier to the number rolled, and reducethe damage by that total. After you use this trait, youcan’t use it again until you finish a short or long rest.</t>
  </si>
  <si>
    <t>You are proficient with your unarmed strikes,which deal 1d4 slashing damage on a hit.</t>
  </si>
  <si>
    <t>You have proficiency with artisan’s tools (tinker’s tools). Using those tools, you can spend 1 hour and 10 gp worth of materials to construct a Tiny clockwork device (AC 5, 1 hp). The device ceases to function after 24 hours (unless you spend 1 hour repairing it to keep the device functioning), or when you use your action to dismantle it; at that time, you can reclaim the materials used to create it. You can have up to three such devices active at a time.When you create a device, choose one of the following options:Clockwork Toy. This toy is a clockwork animal, monster, or person, such as a frog, mouse, bird, dragon, or soldier. When placed on the ground, the toy moves 5 feet across the ground on each of your turns in a random direction. It makes noises as appropriate to the creature it represents.Fire Starter. The device produces a miniature flame, which you can use to light a candle, torch, or campfire. Using the device requires your action.Music Box. When opened, this music box plays a single song at a moderate volume.The box stops playing when it reaches the song’s end or when it is closed.</t>
  </si>
  <si>
    <t>You can hold your breathindefinitely while you’re not incapacitated</t>
  </si>
  <si>
    <t>You know the light can trip. Onceyou reach 3rd level, you can cast the lesser restorationspell once with this trait, and you regain the ability to doso when you finish a long rest. Once you reach 5th level,you can cast the daylight spell once with this trait as a3rd-level spell, and you regain the ability to do so whenyou finish a long rest. Charisma is your spellcastingability for these spells.</t>
  </si>
  <si>
    <t>You have resistance to necroticdamage and radiant damage.</t>
  </si>
  <si>
    <t>You can cast the misty step spell once usinthis trait. You regain the ability to do so when you finisha short or long rest.</t>
  </si>
  <si>
    <t>When you reach 2nd level, you choose an arcane tradition, shaping your practice of magic through one of eight schools: Abjuration, Conjuration, Divination, Enchantment, Evocation, Illusion, Necromancy, or Transmutation,</t>
  </si>
  <si>
    <t>Starting at 6th level, whenever you or a friendly creature within 10 feet of you must make a saving throw, the creature gains a bonus to the saving throw equal to your Charisma modifier (with a minimum bonus of +1). You must be conscious to grant this bonus. At 18th level, the range of this aura increases to 30 feet.</t>
  </si>
  <si>
    <t>Starting at 2nd level, your speed increases by 10 feet while you are not wearing armor or wielding a shield. This bonus increases when you reach certain monk levels, as shown in the Monk table.</t>
  </si>
  <si>
    <t>Starting when you choose this path at 3rd level, you can go into a frenzy when you rage. If you do so, for the duration of your rage you can make a single melee weapon attack as a bonus action on each of your turns after this one. When your rage ends, you suffer one level of exhaustion</t>
  </si>
  <si>
    <t>Starting at 18th level, when you use your action to cast a spell, you can make one weapon attack as a bonus action.</t>
  </si>
  <si>
    <t>Beginning at 11th level, you can enter a special meditation that surrounds you with an aura of peace. At the end of a long rest, you gain the effect of a sanctuary spell that lasts until the start of your next long rest (the spell can end early as normal). The saving throw DC for the spell equals 8 +your Wisdom modifier + your proficiency bonus.</t>
  </si>
  <si>
    <t>Beginning at 15th level, you are always under the effects of a protection from evil and good spell.</t>
  </si>
  <si>
    <t>Beginning at 15th level, when you cast a spell targeting yourself, you can also affect your beast companion with the spell if the beast is within 30 feet of you.</t>
  </si>
  <si>
    <t>At 13th level, you gain the ability to distract targets with your mage hand. As a bonus action on your turn, you can designate a creature within 5 feet of the spectral hand created by the spell. Doing so gives you advantage on attack rolls against that creature until the end of the turn.</t>
  </si>
  <si>
    <t>When you roll a 1 or 2 on a damage roll using a melee attack with a two-handed or versile melee weapon with two hands, you can reroll the die. You must use the new roll.</t>
  </si>
  <si>
    <t>When a creature you can see attacks a target other than you within 5 feet, you can use your reaction to impose a disadvantage on the attack roll. You must be wielding a shield.</t>
  </si>
  <si>
    <t>When you use the Attack action on your turn, spend 1 ki point to cause tendrils of flame to stretch out from your fists and feet. Your reach with your unarmed strikes increases by 10 feet for that action, as well as the rest of the turn. A hit with such an attack deals fire damage instead of bludgeoning damage, and if you spend 1 ki point when the attack hits, it also deals an extra 1d10 fire damage.</t>
  </si>
  <si>
    <t>Create a blast of compressed air that strikes like a mighty fist. As an action, spend 2 ki points and choose a creature within 30 feet of you. It must make a Strength saving throw. On a failed save, the creature takes 3d10 bludgeoning damage, plus an extra 1d10 bludgeoning damage for each additional ki point you spend, and you can push the creature up to 20 feet away from you and knock it prone. On a successful save, the creature takes half as much damage, and is not pushed or knock it prone.</t>
  </si>
  <si>
    <t>As an action, spend 1 ki point to choose an area of ice or water no larger than 30 feet on a side within 120 feet of you. You can change water to ice within the area and vice versa, and you can reshape ice in the area in any manner you choose. You can raise or lower the ice’s elevation, create or fill in a trench, erect or flatten a wall, or form a pillar. The extent of any such changes can’t exceed half the area’s largest dimension. For example, if you affect a 30-foot square, you can create a pillar up to 15 feet high, raise or lower the square’s elevation by up to 15 feet, dig a trench up to 15 feet deep, and so on. You can’t shape the ice to trap or injure a creature in the area.</t>
  </si>
  <si>
    <t>Spend 2 ki points as a bonus action to create a whip of water that shoves and pulls a creature to unbalance it. A creature you can see that is within 30 feet must make a Dexterity saving throw. On a failed save, it takes 3d10 bludgeoning damage, plus an extra 1d10 bludgeoning damage for each additional ki point you spend, and you can either knock it prone or pull it up to 25 feet closer to you. On a successful save, the creature takes half as much damage, and you don’t pull it or knock it prone.</t>
  </si>
  <si>
    <t>You can now inscribe magical rituals in your Book of Shadows. Choose two 1st-level spells that have the ritual tag from any class’s spell list. The spells appear in the book and don’t count against the number of spells you know. With your Book of Shadows in hand, you can cast the chosen spells as rituals. You can’t cast the spells except as rituals, unless you’ve learned them by some other means. You can also cast a warlock spell you know as a ritual if it has the ritual tag. On your adventures, you can add other ritual spells to your Book of Shadows. When you find such a spell, you can add it to the book if the spell’s level is equal to or less than 0 and if you can spare the time to transcribe the spell. For each level of the spell, the transcription process takes 2 hours and costs 50 gp for the rare inks needed to inscribe it.</t>
  </si>
  <si>
    <t>You can cast hold monster at will—targeting a celestial, fiend, or elemental—without expending a spell slot or material components. You must finish a long rest before you can use this invocation on the same creature again.</t>
  </si>
  <si>
    <t>You can use your action to touch a willing humanoid and perceive through its senses until the end of your next turn. As long as the creature is on the same plane of existence as you, you can use your action on subsequent turns to maintain this connection, extending the duration until the end of your next turn. While perceiving through the other creature’s senses, you benefit from any special senses possessed by that creature, and you are blinded and deafened to your own surroundings.</t>
  </si>
  <si>
    <t>When you are in an area of dim light or darkness, you can use your action to become invisible until you move or take an action or a reaction.</t>
  </si>
  <si>
    <t>You can communicate telepathically with your familiar and perceive through your familiar’s senses as long as you are on the same plane of existence. Additionally, while perceiving through your familiar’s senses, you can also speak through your familiar in your own voice, even if your familiar is normally incapable of speech.</t>
  </si>
  <si>
    <t>You can see the true form of any shapechanger or creature concealed by illusion or transmutation magic while the creature is within 30 feet of you and within line of sight.</t>
  </si>
  <si>
    <t>You can nimbly dodge out of the way of certain area effects, such as a red dragon’s fiery breath or a lightning bolt spell. When you are subjected to an effect that allows you to make a Dexterity saving throw to take only half damage, you instead take no damage if you succeed on the saving throw, and only half damage if you fail.</t>
  </si>
  <si>
    <t>Starting at 2nd level, you can push yourself beyond your normal limits for a moment. On your turn, you can take one additional action on top of your regular action and a possible bonus action. Once you use this feature, you must finish a short or long rest before you can use it again. Starting at 17th level, you can use it twice before a rest, but only once on the same turn.</t>
  </si>
  <si>
    <t>You have learned to regain some of your magical energy by studying your spellbook. Once per day when you finish a short rest, you can choose expended spell slots to recover. The spell slots can have a combined level that is equal to or less than half your wizard level (rounded up), and none of the slots can be 6th level or higher. For example, if you’re a 4th-level wizard, you can recover up to two levels worth of spell slots. You can recover either a 2nd-level spell slot or two lst-level spell slots.</t>
  </si>
  <si>
    <t>Starting at 10th level, you and friendly creatures within 10 feet of you can’t be frightened while you are conscious. At 18th level, the range of this aura increases to 30 feet.</t>
  </si>
  <si>
    <t>You can inspire others through stirring words or music. To do so, you use a bonus action on your turn to choose one creature other than yourself within 60 feet of you who can hear you. That creature gains one Bardic Inspiration die, a d6. Once within the next 10 minutes, the creature can roll the die and add the number rolled to one ability check, attack roll, or saving throw it makes. The creature can wait until after it rolls the d20 before deciding to use the Bardic Inspiration die, but must decide before the DM says whether the roll succeeds or fails. Once the Bardic Inspiration die is rolled, it is lost. A creature can have only one Bardic Inspiration die at a time. You can use this feature a number of times equal to your Charisma modifier (a minimum of once). You regain any expended uses when you finish a long rest. Your Bardic Inspiration die changes when you reach certain levels in this class. The die becomes a d8 at 5th level, a dlO at 10th level, and a dl2 at 15th level.</t>
  </si>
  <si>
    <t>Beginning at 9th level, you can roll one additional weapon damage die when determining the extra damage for a critical hit with a melee attack. This increases to two additional dice at 13th level and three additional dice at 17th level.</t>
  </si>
  <si>
    <t>At 2nd level, you gain the ability to channel divine energy directly from your deity, using that energy to fuel magical effects. You start with two such effects: Turn Undead and an effect determined by your domain. Some domains grant you additional effects as you advance in levels, as noted in the domain description. When you use your Channel Divinity, you choose which effect to create. You must then finish a short or long rest to use your Channel Divinity again. Some Channel Divinity effects require saving throws. When you use such an effect from this class, the DC equals your cleric spell save DC. Beginning at 6th level, you can use your Channel Divinity twice between rests, and beginning at 18th level you can use it three times between rests. When you finish a short or long rest, you regain your expended uses.</t>
  </si>
  <si>
    <t>Beginning at 14th level, you can use your action to end one spell on yourself or on one willing creature that you touch. You can use this feature a number of times equal to your Charisma modifier (a minimum of once). You regain expended uses when you finish a long rest.</t>
  </si>
  <si>
    <t>At 6th level, you gain the ability to use musical notes or words of power to disrupt mind-influencing effects. As an action, you can start a performance that lasts until the end of your next turn. During that time, you and any friendly creatures within 30 feet of you have advantage on saving throws against being frightened or charmed. A creature must be able to hear you to gain this benefit. The performance ends early if you are incapacitated or silenced or if you voluntarily end it (no action required).</t>
  </si>
  <si>
    <t>At 2nd level, you gain an uncanny sense of when things nearby aren’t as they should be, giving you an edge when you dodge away from danger. You have advantage on Dexterity saving throws against effects that you can see, such as traps and spells. To gain this benefit, you can’t be blinded, deafened, or incapacitated.</t>
  </si>
  <si>
    <t>Starting at 3rd level, you can use your reaction to deflect or catch the missile when you are hit by a ranged weapon attack. When you do so, the damage you take from the attack is reduced by ldlO + your Dexterity modifier + your monk level. If you reduce the damage to 0, you can catch the missile if it is small enough for you to hold in one hand and you have at least one hand free. If you catch a missile in this way, you can spend 1 ki point to make a ranged attack with the weapon or piece of ammunition you just caught, as part of the same reaction. You make this attack with proficiency, regardless of your weapon proficiencies, and the missile counts as a monk weapon for the attack.</t>
  </si>
  <si>
    <t>Beginning at 10th level, you can call on your deity to intervene on your behalf when your need is great. Imploring your deity’s aid requires you to use your action. Describe the assistance you seek, and roll percentile dice. If you roll a number equal to or lower than your cleric level, your deity intervenes. The DM chooses the nature of the intervention; the effect of any cleric spell or cleric domain spell would be appropriate. If your deity intervenes, you can’t use this feature again for 7 days. Otherwise, you can use it again after you finish a long rest. At 20th level, your call for intervention succeeds automatically, no roll required.</t>
  </si>
  <si>
    <t>The presence of strong evil registers on your senses like a noxious odor, and powerful good rings like heavenly music in your ears. As an action, you can open your awareness to detect such forces. Until the end of your next turn, you know the location of any celestial, fiend, or undead within 60 feet of you that is not behind total cover. You know the type (celestial, fiend, or undead) of any being whose presence you sense, but not its identity (the vampire Count Strahd von Zarovich, for instance). Within the same radius, you also detect the presence of any place or object that has been consecrated or desecrated, as with the hallow spell. You can use this feature a number of times equal to 1 + your Charisma modifier. When you finish a long rest, you regain all expended uses.</t>
  </si>
  <si>
    <t>In your study of occult lore, you have unearthed eldritch invocations, fragments of forbidden knowledge that imbue you with an abiding magical ability. At 2nd level, you gain two eldritch invocations of your choice. Your invocation options are detailed at the end of the class description. When you gain certain warlock levels, you gain additional invocations of your choice, as shown in the Invocations Known column of the Warlock table. Additionally, when you gain a level in this class, you can choose one of the invocations you know and replace it with another invocation that you could learn at that level.</t>
  </si>
  <si>
    <t>Beginning at 18th level, you can use your action to spend 4 ki points to become invisible for 1 minute. During that time, you also have resistance to all damage but force damage. Additionally, you can spend 8 ki points to cast the astral projection spell, without needing material components. When you do so. you can’t take any other creatures with you.</t>
  </si>
  <si>
    <t>At 3rd level, choose two of your skill proficiencies. Your proficiency bonus is doubled for any ability check you make that uses either of the chosen proficiencies. At 10th level, you can choose another two skill proficiencies to gain this benefit.</t>
  </si>
  <si>
    <t>Beginning at 1st level, you have significant experience studying, tracking, hunting, and even talking to a certain type of enemy. Choose a type of favored enemy: aberrations, beasts, celestials, constructs, dragons, elementals, fey, fiends, giants, monstrosities, oozes, plants, or undead. Alternatively, you can select two races of humanoid (such as gnolls and ores) as favored enemies. You have advantage on Wisdom (Survival) checks to track your favored enemies, as well as on Intelligence checks to recall information about them. When you gain this feature, you also learn one language of your choice that is spoken by your favored enemies, if they speak one at all. You choose one additional favored enemy, as well as an associated language, at 6th and 14th level. As you gain levels, your choices should reflect the types of monsters you have encountered on your adventures.</t>
  </si>
  <si>
    <t>By 7th level, your instincts are so honed that you have advantage on initiative rolls. Additionally, if you are surprised at the beginning of combat and aren't incapacitated, you can act normally on your first turn, but only if you enter your rage before doing anything else on that turn.</t>
  </si>
  <si>
    <t>At 18th level, you gain preternatural senses that help you fight creatures you can’t see. When you attack a creature you can’t see, your inability to see it doesn’t impose disadvantage on your attack rolls against it. You are also aware of the location of any invisible creature within 30 feet of you, provided that the creature isn't hidden from you and you aren't blinded or deafened.</t>
  </si>
  <si>
    <t>Starting at 10th level, you can spend 1 minute creating camouflage for yourself. You must have access to fresh mud, dirt, plants, soot, and other naturally occurring materials with which to create your camouflage. Once you are camouflaged in this way, you can try to hide by pressing yourself up against a solid surface, such as a tree or wall, that is at least as tall and wide as you are. You gain a +10 bonus to Dexterity (Stealth) checks as long as you remain there without moving or taking actions. Once you move or take an action or a reaction, you must camouflage yourself again to gain this benefit.</t>
  </si>
  <si>
    <t>Beginning at 9th level, you can reroll a saving throw that you fail. If you do so, you must use the new roll, and you can't use this feature again until you finish a long rest. You can use this feature twice between long rests starting at 13th level and three times between long rests starting at 17th level.</t>
  </si>
  <si>
    <t>Starting at 2nd level, your training allows you to harness the mystic energy of ki. Your access to this energy is represented by a number of ki points. Your monk level determines the number of points you have, as shown in the Ki Points column of the Monk table. You can spend these points to fuel various ki features. You start knowing three such features: Flurry of Blows, Patient Defense, and Step of the Wind. You learn more ki features as you gain levels in this class. When you spend a ki point, it is unavailable until you finish a short or long rest, at the end of which you draw all of your expended ki back into yourself. You must spend at least 30 minutes of the rest meditating to regain your ki points. Some of your ki features require your target to make a saving throw to resist the feature’s effects. The saving throw DC is calculated as follows: Ki save DC = 8 + your proficiency bonus + yourWisdom modifier FLURRY OF BLOWS Immediately after you take the Attack action on your turn, you can spend 1 ki point to make two unarmed strikes as a bonus action. PATIENT DEFENSE You can spend 1 ki point to take the Dodge action as a bonus action on your turn. STEP OF THE WIND You can spend 1 ki point to take the Disengage or Dash action as a bonus action on your turn, and your jump distance is doubled for the turn.</t>
  </si>
  <si>
    <t>Starting at 8th level, moving through nonmagical difficult terrain costs you no extra movement. You can also pass through nonmagical plants without being slowed by them and without taking damage from them if they have thorns, spines, or a similar hazard. In addition, you have advantage on saving throws against plants that are magically created or manipulated to impede movement, such those created by the entangle spell.</t>
  </si>
  <si>
    <t>Your blessed touch can heal wounds. You have a pool of healing power that replenishes when you take a long rest. With that pool, you can restore a total number of hit points equal to your paladin level x 5. As an action, you can touch a creature and draw power from the pool to restore a number of hit points to that creature, up to the maximum amount remaining in your pool. Alternatively, you can expend 5 hit points from your pool of healing to cure the target of one disease or neutralize one poison affecting it. You can cure multiple diseases and neutralize multiple poisons with a single use of Lay on Hands, expending hit points separately for each one. This feature has no effect on undead and constructs.</t>
  </si>
  <si>
    <t>By 10th level, you have plundered magical knowledge from a wide spectrum of disciplines. Choose two spells from any class, including this one. A spell you choose must be of a level you can cast, as shown on the Bard table, or a cantrip. The chosen spells count as bard spells for you and are included in the number in the Spells Known column of the Bard table. You learn two additional spells from any class at 14th level and again at 18th level.</t>
  </si>
  <si>
    <t>At 11th level, your patron bestows upon you a magical secret called an arcanum. Choose one 6th-level spell from the warlock spell list as this arcanum. You can cast your arcanum spell once without expending a spell slot. You must finish a long rest before you can do so again. At higher levels, you gain more warlock spells of your choice that can be cast in this way: one 7th-level spell at 13th level, one 8th-level spell at 15th level, and one 9th-level spell at 17th level. You regain all uses of your Mystic Arcanum when you finish a long rest.</t>
  </si>
  <si>
    <t>You are particularly familiar with one type of natural environment and are adept at traveling and surviving in such regions. Choose one type of favored terrain: arctic, coast, desert, forest, grassland, mountain, swamp, or the Underdark. When you make an Intelligence or Wisdom check related to your favored terrain, your proficiency bonus is doubled if you are using a skill that youre proficient in. While traveling for an hour or more in your favored terrain, you gain the following benefits: • Difficult terrain doesn’t slow your group's travel, • Your group can’t become lost except by magical means. • Even when you are engaged in another activity while traveling (such as foraging, navigating, or tracking), you remain alert to danger. • If you are traveling alone, you can move stealthily at a normal pace. • When you forage, you find twice as much food as you normally would. • While tracking other creatures, you also learn their exact number, their sizes, and how long ago they passed through the area. You choose additional favored terrain types at 6th and 10th level.</t>
  </si>
  <si>
    <t>In battle, you fight with primal ferocity. On your turn, you can enter a rage as a bonus action. While raging, you gain the following benefits if you aren’t wearing heavy armor: • You have advantage on Strength checks and Strength saving throws. • When you make a melee weapon attack using Strength, you gain a bonus to the damage roll that increases as you gain levels as a barbarian, as shown in the Rage Damage column of the Barbarian table. • You have resistance to bludgeoning, piercing, and slashing damage. If you are able to cast spells, you can't cast them or concentrate on them while raging. Your rage lasts for 1 minute. It ends early if you are knocked unconscious or if your turn ends and you haven't attacked a hostile creature since your last turn or taken damage since then. You can also end your rage on your turn as a bonus action. Once you have raged the number of times shown for your barbarian level in the Rages column of the Barbarian table, you must finish a long rest before you can rage again.</t>
  </si>
  <si>
    <t>Starting at 11th level, your rage can keep you fighting despite grievous wounds. If you drop to 0 hit points while you’re raging and don't die outright, you can make a DC 10 Constitution saving throw. If you succeed, you drop to 1 hit point instead. Each time you use this feature after the first, the DC increases by 5. When you finish a short or long rest, the DC resets to 10.</t>
  </si>
  <si>
    <t>You have a limited well of stamina that you can draw on to protect yourself from harm. On your turn, you can use a bonus action to regain hit points equal to ldlO + your fighter level. Once you use this feature, you must finish a short or long rest before you can use it again.</t>
  </si>
  <si>
    <t>When you reach 20th level, you gain mastery over two powerful spells and can cast them with little effort. Choose two 3rd-level wizard spells in your spellbook as your signature spells. You always have these spells prepared, they don't count against the number of spells you have prepared, and you can cast each of them once at 3rd level without expending a spell slot. When you do so, you can’t do so again until you finish a short or long rest. If you want to cast either spell at a higher level, you must expend a spell slot as normal.</t>
  </si>
  <si>
    <t>Beginning at 1st level, you know how to strike subtly and exploit a foe’s distraction. Once per turn, you can deal an extra ld6 damage to one creature you hit with an attack if you have advantage on the attack roll. The attack must use a finesse or a ranged weapon. You don’t need advantage on the attack roll if another enemy of the target is within 5 feet of it, that enemy isn’t incapacitated, and you don’t have disadvantage on the attack roll. The amount of the extra damage increases as you gain levels in this class, as shown in the Sneak Attack column of the Rogue table.</t>
  </si>
  <si>
    <t>At 20th level, you have an uncanny knack for succeeding when you need to. If your attack misses a target within range, you can turn the miss into a hit. Alternatively, if you fail an ability check, you can treat the d20 roll as a 20. Once you use this feature, you can’t use it again until you finish a short or long rest.</t>
  </si>
  <si>
    <t>During your rogue training you learned thieves’ cant, a secret mix of dialect, jargon, and code that allows you to hide messages in seemingly normal conversation. Only another creature that knows thieves' cant understands such messages. It takes four times longer to convey such a message than it does to speak the same idea plainly. In addition, you understand a set of secret signs and symbols used to convey short, simple messages, such as whether an area is dangerous or the territory of a thieves’ guild, whether loot is nearby, or whether the people in an area are easy marks or will provide a safe house for thieves on the run.</t>
  </si>
  <si>
    <t>Starting at 2nd level, you can use your action to magically assume the shape of a beast that you have seen before. You can use this feature twice. You regain expended uses when you finish a short or long rest. Your druid level determines the beasts you can transform into, as shown in the Beast Shapes table. At 2nd level, for example, you can transform into any beast that has a challenge rating of 1/4 or lower that doesn't have a flying or swimming speed. You can stay in a beast shape for a number of hours equal to half your druid level (rounded down). You then revert to your normal form unless you expend another use of this feature. You can revert to your normal form earlier by using a bonus action on your turn. You automatically revert if you fall unconscious, drop to 0 hit points, or die.</t>
  </si>
  <si>
    <t>Beginning at 10th level, you can use your action to frighten someone with your menacing presence. When you do so, choose one creature that you can see within 30 feet of you. If the creature can see or hear you, it must succeed on a Wisdom saving throw (DC equal to 8 + your proficiency bonus + your Charisma modifier) or be frightened of you until the end of your next turn. On subsequent turns, you can use your action to extend the duration of this effect on the frightened creature until the end of your next turn. This effect ends if the creature ends its turn out of line of sight or more than 60 feet away from you. If the creature succeeds on its saving throw, you can’t use this feature on that creature again for 24 hours.</t>
  </si>
  <si>
    <t>At 3rd level, when you adopt this path, you choose a totem spirit and gain its feature. You must make or acquire a physical totem object—an amulet or similar adornment—that incorporates fur or feathers, claws, teeth, or bones of the totem animal. At your option, you also gain minor physical attributes that are reminiscent of your totem spirit. For example, if you have a bear totem spirit, you might be unusually hairy and thick¬skinned. or if your totem is the eagle, your eyes turn bright yellow. Your totem animal might be an animal related to those listed here but more appropriate to your homeland. For example, you could choose a hawk or vulture in place of an eagle. Bear. While raging, you have resistance to all damage except psychic damage. The spirit of the bear makes you tough enough to stand up to any punishment. Eagle. While you’re raging and aren’t wearing heavy armor, other creatures have disadvantage on opportunity attack rolls against you, and you can use the Dash action as a bonus action on your turn. The spirit of the eagle makes you into a predator who can weave through the fray with ease. Wolf. While you’re raging, your friends have advantage on melee attack rolls against any creature within 5 feet of you that is hostile to you. The spirit of the wolf makes you a leader of hunters.</t>
  </si>
  <si>
    <t>At 6th level, you gain a magical benefit based on the totem animal of your choice. You can choose the same animal you selected at 3rd level or a different one. Bear. You gain the might of a bear. Your carrying capacity (including maximum load and maximum lift) is doubled, and you have advantage on Strength checks made to push, pull. lift, or break objects. Eagle. You gain the eyesight of an eagle. You can see up to 1 mile away with no difficulty, able to discern even fine details as though looking at something no more than 100 feet away from you. Additionally, dim light doesn't impose disadvantage on your Wisdom (Perception) checks, №o/f Yoti gain the hunting sensibilities of a wolf. You can track other creatures while traveling at a fast pace, and you can move stealthily while traveling at a normal pace (see chapter 8 for rules on travel pace).</t>
  </si>
  <si>
    <t>Also at 3rd level, you learn to inspire others in battle. A creature that has a Bardic Inspiration die from you can roll that die and add the number rolled to a weapon damage roll it just made. Alternatively, when an attack roll is made against the creature, it can use its reaction to roll the Bardic Inspiration die and add the number rolled to its AC against that attack, after seeing the roll but before knowing whether it hits or trusses.</t>
  </si>
  <si>
    <t>At 1st level, you learn two languages of your choice. You also become proficient in your choice of two of the following skills: Arcana, History, Nature, or Religion. Your proficiency bonus is doubled for any ability check you make that uses either of those skills.</t>
  </si>
  <si>
    <t>At 6th level, you can use your Channel Divinity to read a creature's thoughts. You can then use your access to the creature's mind to command it. As an action, choose one creature that you can see within 60 feet of you. That creature must make a Wisdom saving throw. If the creature succeeds on the saving throw, you can’t use this feature on it again until you finish a long rest. If the creature fails its save, you can read its surface thoughts (those foremost in its mind, reflecting its current emotions and what it is actively thinking about) when it is within 60 feet of you. This effect lasts for 1 minute. During that time, you can use your action to end this effect and cast the suggestion spell on the creature without expending a spell slot. The target automatically fails its saving throw against the spell.</t>
  </si>
  <si>
    <t>Starting at 17th level, you can call up visions of the past that relate to an object you hold or your immediate surroundings. You spend at least 1 minute in meditation and prayer, then receive dreamlike, shadowy glimpses of recent events. You can meditate in this way for a number of minutes equal to your Wisdom score and must maintain concentration during that time, as if you were casting a spell. Once you use this feature, you can’t use it again until you finish a short or long rest. Object Reading. Holding an object as you meditate, you can see visions of the object's previous owner. After meditating for 1 minute, you learn how the owner acquired and lost the object, as well as the most recent significant event involving the object and that owner. If the object was owned by another creature in the recent past (within a number of days equal to your Wisdom score), you can spend 1 additional minute for each owner to learn the same information about that creature. Area Reading. As you meditate, you see visions of recent events in your immediate vicinity (a room, street, tunnel, clearing, or the like, up to a 50-foot cube), going back a number of days equal to your Wisdom score. For each minute you meditate, you learn about one significant event, beginning with the most recent. Significant events typically involve powerful emotions, such as battles and betrayals, marriages and murders, births and funerals. However, they might also include more mundane events that are nevertheless important in your current situation.</t>
  </si>
  <si>
    <t>Starting at 2nd level, you can use your Channel Divinity to heal the badly injured. As an action, you present your holy symbol and evoke healing energy that can restore a number of hit points equal to five times your cleric level. Choose any creatures within 30 feet of you, and divide those hit points among them. This feature can restore a creature to no more than half of its hit point maximum. You can’t use this feature on an undead or a construct.</t>
  </si>
  <si>
    <t>Starting at 17th level, when you would normally roll one or more dice to restore hit points with a spell, you instead use the highest number possible for each die. For example, instead of restoring 2d6 hit points to a creature, you restore 12.</t>
  </si>
  <si>
    <t>Also at 1st level, you can interpose divine light between yourself and an attacking enemy. When you are attacked by a creature within 30 feet of you that you can see, you can use your reaction to impose disadvantage on the attack roll, causing light to flare before the attacker before it hits or misses. An attacker that can’t be blinded is immune to this feature. You can use this feature a number of times equal to your Wisdom modifier (a minimum of once). You regain all expended uses when you finish a long rest.</t>
  </si>
  <si>
    <t>Starting at 2nd level, you can use your Channel Divinity to harness sunlight, banishing darkness and dealing radiant damage to your foes. As an action, you present your holy symbol, and any magical darkness within 30 feet of you is dispelled, Additionally, each hostile creature within 30 feet of you must make a Constitution saving throw. A creature takes radiant damage equal to 2dl0 + your cleric level on a failed saving throw, and half as much damage on a successful one. A creature that has total cover from you is not affected.</t>
  </si>
  <si>
    <t>Starting at 2nd level, you can use your Channel Divinity to charm animals and plants. As an action, you present your holy symbol and invoke the name of your deity. Each beast or plant creature that can see you within 30 feet of you must make a Wisdom saving throw. If the creature fails its saving throw, it is charmed by you for 1 minute or until it takes damage. While it is charmed by you, it is friendly to you and other creatures you designate.</t>
  </si>
  <si>
    <t>Also at 1st level, you can thunderously rebuke attackers. When a creature within 5 feet of you that you can see hits you with an attack, you can use your reaction to cause the creature to make a Dexterity saving throw. The creature takes 2d8 lightning or thunder damage (your choice) on a failed saving throw, and half as much damage on a successful one. You can use this feature a number of times equal to your Wisdom modifier (a minimum of once). You regain all expended uses when you finish a long rest.</t>
  </si>
  <si>
    <t>Starting at 2nd level, you can use your Channel Divinity to wield the power of the storm with unchecked ferocity. When you roll lightning or thunder damage, you can use your Channel Divinity to deal maximum damage, instead of rolling.</t>
  </si>
  <si>
    <t>Starting at 2nd level, you can use your Channel Divinity to create an illusory duplicate of yourself. As an action, you create a perfect illusion of yourself that lasts for 1 minute, or until you lose your concentration (as if you were concentrating on a spell). The illusion appears in an unoccupied space that you can see within 30 feet of you. As a bonus action on your turn, you can move the illusion up to 30 feet to a space you can see, but it must remain within 120 feet of you. For the duration, you can cast spells as though you were in the illusion's space, but you must use your own senses. Additionally, when both you and your illusion are within 5 feet of a creature that can see the illusion, you have advantage on attack rolls against that creature, given how distracting the illusion is to the target.</t>
  </si>
  <si>
    <t>Starting at 6th level, you can use your Channel Divinity to vanish. As an action, you become invisible until the end of your next turn. You become visible if you attack or cast a spell.</t>
  </si>
  <si>
    <t>From 1st level, your god delivers bolts of inspiration to you while you are engaged in battle. When you use the Attack action, you can make one weapon attack as a bonus action. You can use this feature a number of times equal to your Wisdom modifier (a minimum of once). You regain all expended uses when you finish a long rest.</t>
  </si>
  <si>
    <t>Starting at 2nd level, you can regain some of your magical energy by sitting in meditation and communing with nature. During a short rest, you choose expended spell slots to recover. The spell slots can have a combined level that is equal to or less than half your druid level (rounded up), and none of the slots can be 6th level or higher. You can’t use this feature again until you finish a long rest For example, when you are a 4th-level druid, you can recover up to two levels worth of spell slots. You can recover either a 2nd-level slot or two lst-level slots.</t>
  </si>
  <si>
    <t>Your mystical connection to the land infuses you with the ability to cast certain spells. At 3rd. 5th, 7th, and 9th level you gain access to circle spells connected to the land where you became a druid. Choose that land—arctic, coast, desert, forest, grassland, mountain, swamp, or Underdark—and consult the associated list of spells. Once you gain access to a circle spell, you always have it prepared, and it doesn’t count against the number of spells you can prepare each day. If you gain access to a spell that doesn't appear on the druid spell list, the spell is nonetheless a druid spell for you.</t>
  </si>
  <si>
    <t>Starting at 6th level, moving through nonmagical difficult terrain costs you no extra movement. You can also pass through nonmagical plants without being slowed by them and without taking damage from them if they have thorns, spines, or a similar hazard. In addition, you have advantage on saving throws against plants that are magically created or manipulated to impede movement, such those created by the entangle spell.</t>
  </si>
  <si>
    <t>When you reach 14th level, creatures of the natural world sense your connection to nature and become hesitant to attack you. When a beast or plant creature attacks you, that creature must make a Wisdom saving throw against your druid spell save DC. On a failed save, the creature must choose a different target, or the attack automatically misses. On a successful save, the creature is immune to this effect for 24 hours. The creature is aware of this effect before it makes its attack against you.</t>
  </si>
  <si>
    <t>When you choose this circle at 2nd level, you gain the ability to use Wild Shape on your turn as a bonus action, rather than as an action. Additionally, while you are transformed by Wild Shape, you can use a bonus action to expend one spell slot to regain ld8 hit points per level of the spell slot expended.</t>
  </si>
  <si>
    <t>The rites of your circle grant you the ability to transform into more dangerous animal forms. Starting at 2nd level, you can use your Wild Shape to transform into a beast with a challenge rating as high as 1 (you ignore the Max. CR column of the Beast Shapes table, but must abide by the other limitations there). Starting at 6th level, you can transform into a beast with a challenge rating as high as your druid level divided by 3, rounded down.</t>
  </si>
  <si>
    <t>Starting at 7th level, you can add half your proficiency bonus (round up) to any Strength, Dexterity, or Constitution check you make that doesn't already use your proficiency bonus. In addition, when you make a running long jump, the distance you can cover increases by a number of feet equal to your Strength modifier</t>
  </si>
  <si>
    <t>At 10th level, you can choose a second option from the Fighting Style class feature.</t>
  </si>
  <si>
    <t>When you choose this archetype at 3rd level, you learn maneuvers that are fueled by special dice called superiority dice. Maneuvers. You learn three maneuvers of your choice, which are detailed under “Maneuvers” below. Many maneuvers enhance an attack in some way. You can use only one maneuver per attack. You learn two additional maneuvers of your choice at 7th, 10th, and 15th level. Each time you learn new maneuvers, you can also replace one maneuver you know with a different one. Superiority Dice. You have four superiority dice, which are d8s. A superiority die is expended when you use it. You regain all of your expended superiority dice when you finish a short or long rest. You gain another superiority die at 7th level and one more at 15th level. Saving Throws. Some of your maneuvers require your target to make a saving throw to resist the maneuver's effects. The saving throw DC is calculated as follows: Maneuver save DC = 8 + your proficiency bonus + your Strength or Dexterity modifier (your choice)</t>
  </si>
  <si>
    <t>Starting at 7th level, if you spend at least 1 minute observing or interacting with another creature outside combat, you can learn certain information about its capabilities compared to your own. The DM tells you if the creature is your equal, superior, or inferior in regard to two of the following characteristics of your choice: • Strength score • Dexterity score • Constitution score • Armor Class • Current hit points • Total class levels (if any) • Fighter class levels (if any)</t>
  </si>
  <si>
    <t>At 18th level, they turn into dl2s.</t>
  </si>
  <si>
    <t>At 3rd level, you learn a ritual that creates a magical bond between yourself and one weapon. You perform the ritual over the course of 1 hour, which can be done during a short rest. The weapon must be within your reach throughout the ritual, at the conclusion of which you touch the weapon and forge the bond. Once you have bonded a weapon to yourself, you can't be disarmed of that weapon unless you are incapacitated. If it is on the same plane of existence, you can summon that weapon as a bonus action on your turn, causing it to teleport instantly to your hand. You can have up to two bonded weapons, but can summon only one at a time with your bonus action. If you attempt to bond with a third weapon, you must break the bond with one of the other two.</t>
  </si>
  <si>
    <t>Starting when you choose this tradition at 3rd level, you can manipulate your enemy’s ki when you harness your own. Whenever you hit a creature with one of the attacks granted by your Flurry of Blows, you can impose one of the following effects on that target: • It must succeed on a Dexterity saving throw or be knocked prone. • It must make a Strength saving throw. If it fails, you can push it up to 15 feet away from you. • It can’t take reactions until the end of your next turn.</t>
  </si>
  <si>
    <t>When you choose this tradition at 3rd level, you learn magical disciplines that harness the power of the four elements. A discipline requires you to spend ki points each time you use it. You know the Elemental Attunement discipline and one other elemental discipline of your choice, which are detailed in the “Elemental Disciplines" section below. You learn one additional elemental discipline of your choice at 6lh, 11th, and 17th level. Whenever you learn a new elemental discipline, you can also replace one elemental discipline that you already know with a different discipline.</t>
  </si>
  <si>
    <t>As an action, you can imbue one weapon that you are holding with positive energy, using your Channel Divinity. For 1 minute, you add your Charisma modifier to attack rolls made with that weapon (with a minimum bonus of +1). The weapon also emits bright light in a 20-foot radius and dim light 20 feet beyond that. If the weapon is not already magical, it becomes magical for the duration. You can end this effect on your turn as part of any other action. If you are no longer holding or carrying this weapon, or if you fall unconscious, this effect ends.</t>
  </si>
  <si>
    <t>As an action, you present your holy symbol and speak a prayer censuring fiends and undead, using your Channel Divinity. Each fiend or undead that can see or hear you within 30 feet of you must make a Wisdom saving throw. If the creature fails its saving throw, it is turned for 1 minute or until it takes damage. A turned creature must spend its turns trying to move as far away from you as it can, and it can’t willingly move to a space within 30 feet of you. It also can’t take reactions. For its action, it can use only the Dash action or try to escape from an effect that prevents it from moving. If there's nowhere to move, the creature can use the Dodge action.</t>
  </si>
  <si>
    <t>Starting at 7th level, you and friendly creatures within 10 feet of you can’t be charmed while you are conscious. At 18th level, the range of this aura increases to 30 feet.</t>
  </si>
  <si>
    <t>At 20th level, as an action, you can emanate an aura of sunlight. For 1 minute, bright light shines from you in a 30-foot radius, and dim light shines 30 feet beyond that. Whenever an enemy creature starts its turn in the bright light, the creature takes 10 radiant damage. In addition, for the duration, you have advantage on saving throws against spells cast by fiends or undead. Once you use this feature, you can’t use it again until you finish a long rest.</t>
  </si>
  <si>
    <t>You can use your Channel Divinity to invoke primeval forces to ensnare a foe. As an action, you can cause spectral vines to spring up and reach for a creature within 10 feet of you that you can see. The creature must succeed on a Strength or Dexterity saving throw (its choice) or be restrained. While restrained by the vines, the creature repeats the saving throw at the end of each of its turns. On a success, it frees itself and the vines vanish.</t>
  </si>
  <si>
    <t>You can use your Channel Divinity to utter ancient words that are painful for fey and fiends to hear. As an action, you present your holy symbol, and each fey or fiend within 30 feet of you that can hear you must make a Wisdom saving throw. On a failed save, the creature is turned for 1 minute or until it takes damage. A turned creature must spend its turns trying to move as far away from you as it can, and it can’t willingly move to a space within 30 feet of you. It also can’t take reactions. For its action, it can use only the Dash action or try to escape from an effect that prevents it from moving. If there’s nowhere to move, the creature can use the Dodge action. If the creature’s true form is concealed by an illusion, shapeshifting, or other effect, that form is revealed while it is turned.</t>
  </si>
  <si>
    <t>Beginning at 7th level, ancient magic lies so heavily upon you that it forms an eldritch ward. You and friendly creatures within 10 feet of you have resistance to damage from spells. At 18th level, the range of this aura increases to 30 feet.</t>
  </si>
  <si>
    <t>Starting at 15th level, when you are reduced to 0 hit points and are not killed outright, you can choose to drop to 1 hit point instead. Once you use this ability, you can’t use it again until you finish a long rest. Additionally, you suffer none of the drawbacks of old age, and you can’t be aged magically.</t>
  </si>
  <si>
    <t>At 3rd level, you gain a beast companion that accompanies you on your adventures and is trained to fight alongside you. Choose a beast that is no larger than Medium and that has a challenge rating of 1/4 or lower (appendix D presents statistics for the hawk, mastiff, and panther as examples). Add your proficiency bonus to the beast’s AC, attack rolls, and damage rolls, as well as to any saving throws and skills it is proficient in. Its hit point maximum equals its normal maximum or four times your ranger level, whichever is higher. The beast obeys your commands as best as it can. It takes its turn on your initiative, though it doesn't take an action unless you command it to. On your turn, you can verbally command the beast where to move (no action required by you). You can use your action to verbally command it to take the Attack, Dash, Disengage, Dodge, or Help action. Once you have the Extra Attack feature, you can make one weapon attack yourself when you command the beast to take the Attack action. While traveling through your favored terrain with only the beast, you can move stealthily at a normal pace. If the beast dies, you can obtain another one by spending 8 hours magically bonding with another beast that isn’t hostile to you, either the same type of beast as before or a different one.</t>
  </si>
  <si>
    <t>When you choose this archetype at 3rd level, you gain the ability to climb faster than normal; climbing no longer costs you extra movement. In addition, when you make a running jump, the distance you cover increases by a number of feet equal to your Dexterity modifier.</t>
  </si>
  <si>
    <t>Starting at 9th level, you can unfailingly create false identities for yourself. You must spend seven days and 25 gp to establish the history, profession, and affiliations for an identity. You can’t establish an identity that belongs to someone else. For example, you might acquire appropriate clothing, letters of introduction, and official¬looking certification to establish yourself as a member of a trading house from a remote city so you can insinuate yourself into the company of other wealthy merchants. Thereafter, if you adopt the new identity as a disguise, other creatures believe you to be that person until given an obvious reason not to.</t>
  </si>
  <si>
    <t>At 13th level, you gain the ability to unerringly mimic another person's speech, writing, and behavior. You must spend at least three hours studying these three components of the person's behavior, listening to speech, examining handwriting, and observing mannerisms. Your ruse is indiscernible to the casual observer. If a wary creature suspects something is amiss, you have advantage on any Charisma (Deception) check you make to avoid detection.</t>
  </si>
  <si>
    <t>Cantrips. You learn three cantrips: mage hand and two other cantrips of your choice from the wizard spell list. You learn another wizard cantrip of your choice at 10th level. Spellcasting Ability. Intelligence is your spellcasting ability for your wizard spells, since you learn your spells through dedicated study and memorization. You use your Intelligence whenever a spell refers to your spellcasting ability. In addition, you use your Intelligence modifier when setting the saving throw DC for a wizard spell you cast and when making an attack roll with one</t>
  </si>
  <si>
    <t>At 17th level, you gain the ability to magically steal the knowledge of how to cast a spell from another spellcaster. Immediately after a creature casts a spell that targets you or includes you in its area of effect, you can use your reaction to force the creature to make a saving throw with its spellcasting ability modifier. The DC equals your spell save DC. On a failed save, you negate the spell’s effect against you, and you steal the knowledge of the spell if it is at least 1st level and of a level you can cast (it doesn’t need to be a wizard spell). For the next 8 hours, you know the spell and can cast it using your spell slots. The creature can’t cast that spell until the 8 hours have passed. Once you use this feature, you can't use it again until you finish a long rest</t>
  </si>
  <si>
    <t>As magic flows through your body, it causes physical traits of your dragon ancestors to emerge. At 1st level, your hit point maximum increases by 1 and increases by 1 again whenever you gain a level in this class. Additionally, parts of your skin are covered by a thin sheen of dragondike scales. When you aren't wearing armor, your AC equals 13 + your Dexterity modifier.</t>
  </si>
  <si>
    <t>Starting at 6th level, when you cast a spell that deals damage of the type associated with your draconic ancestry, add your Charisma modifier to that damage. At the same time, you can spend 1 sorcery point to gain resistance to that damage type for 1 hour</t>
  </si>
  <si>
    <t>At 14th level, you gain the ability to sprout a pair of dragon wings from your back, gaining a flying speed equal to your current speed. You can create these wings as a bonus action on your turn. They last until you dismiss them as a bonus action on your turn. You can’t manifest your wings while wearing armor unless the armor is made to accommodate them, and clothing not made to accommodate your wings might be destroyed when you manifest them.</t>
  </si>
  <si>
    <t>Starting at 1st level, you can manipulate the forces of chance and chaos to gain advantage on one attack roll, ability check, or saving throw. Once you do so, you must finish a long rest before you can use this feature again. Any time before you regain the use of this feature, the DM can have you roll on the Wild Magic Surge table immediately after you cast a sorcerer spell of 1st level or higher. You then regain the use of this feature.</t>
  </si>
  <si>
    <t>Starting at 6th level, you have the ability to twist fate using your wild magic. When another creature you can see makes an attack roll, an ability check, or a saving throw, you can use your reaction and spend 2 sorcery points to roll ld4 and apply the number rolled as a bonus or penalty (your choice) to the creature's roll. You can do so after the creature rolls but before any effects of the roll occur.</t>
  </si>
  <si>
    <t>Starting at 2nd level, you can weave magic around yourself for protection. When you cast an abjuration spell of 1st level or higher, you can simultaneously use a strand of the spell's magic to create a magical ward on yourself that lasts until you finish a long rest. The ward has hit points equal to twice your wizard level + your Intelligence modifier. Whenever you take damage, the ward takes the damage instead. If this damage reduces the ward to 0 hit points, you take any remaining damage. While the ward has 0 hit points, it can’t absorb damage, but its magic remains. Whenever you cast an abjuration spell of 1st level or higher, the ward regains a number of hit points equal to twice the level of the spell. Once you create the ward, you can't create it again until you finish a long rest.</t>
  </si>
  <si>
    <t>Starting at 14th level, you have advantage on saving throws against spells. Furthermore, you have resistance against the damage of spells.</t>
  </si>
  <si>
    <t>Starting at 2nd level when you select this school, you can use your action to conjure up an inanimate object in your hand or on the ground in an unoccupied space that you can see within 10 feet of you. This object can be no larger than 3 feet on a side and weigh no more than 10 pounds, and its form must be that of a nonmagical object that you have seen. The object is visibly magical, radiating dim light out to 5 feet. The object disappears after 1 hour, when you use this feature again, or if it takes any damage.</t>
  </si>
  <si>
    <t>Starting at 6th level, you can use your action to teleport up to 30 feet to an unoccupied space that you can see. Alternatively, you can choose a space within range that is occupied by a Small or Medium creature. If that creature is willing, you both teleport, swapping places. Once you use this feature, you can't use it again until you finish a long rest or you cast a conjuration spell of 1st level or higher.</t>
  </si>
  <si>
    <t>Starting at 2nd level when you choose this school, glimpses of the future begin to press in on your awareness. When you finish a long rest, roll two d20s and record the numbers rolled. You can replace any attack roll, saving throw, or ability check made by you or a creature that you can see with one of these foretelling rolls. You must choose to do so before the roll, and you can replace a roll in this way only once per turn. Each foretelling roll can be used only once. When you finish a long rest, you lose any unused foretelling rolls.</t>
  </si>
  <si>
    <t>Starting at 10th level, you can use your action to increase your powers of perception. When you do so choose one of the following benefits, which lasts until you are incapacitated or you take a short or long rest. You can’t use the feature again until you finish a rest. Darkvision. You gain darkvision out to a range of 60 feet, as described in chapter 8. Ethereal Sight. You can see into the Ethereal Plane within 60 feet of you. Greater Comprehension. You can read any language. See Invisibility. You can see invisible creatures and objects within 10 feet of you that are within line of sight.</t>
  </si>
  <si>
    <t>Starting at 2nd level when you choose this school, your soft words and enchanting gaze can magically enthrall another creature. As an action, choose one creature that you can see within 5 feet of you. If the target can see or hear you, it must succeed on a Wisdom saving throw against your wizard spell save DC or be charmed by you until the end of your next turn. The charmed creature’s speed drops to 0, and the creature is incapacitated and visibly dazed. On subsequent turns, you can use your action to maintain this effect, extending its duration until the end of your next turn. However, the effect ends if you move more than 5 feet away from the creature, if the creature can neither see nor hear you, or if the creature takes damage. Once the effect ends, or if the creature succeeds on its initial saving throw against this effect, you can’t use this feature on that creature again until you finish a long rest.</t>
  </si>
  <si>
    <t>Beginning at 6th level, when a creature you can see within 30 feet of you makes an attack roll against you, you can use your reaction to divert the attack, provided that another creature is within the attack's range. The attacker must make a Wisdom saving throw against your wizard spell save DC. On a failed save, the attacker must target the creature that is closest to it, not including you or itself. If multiple creatures are closest, the attacker chooses which one to target. On a successful save, you can't use this feature on the attacker again until you finish a long rest. You must choose to use this feature before knowing whether the attack hits or misses. Creatures that can’t be charmed are immune to this effect.</t>
  </si>
  <si>
    <t>At 14th level, you gain the ability to make a creature unaware of your magical influence on it. When you cast an enchantment spell to charm one or more creatures, you can alter one creature’s understanding so that it remains unaware of being charmed. Additionally, once before the spell expires, you can use your action to try to make the chosen creature forget some of the time it spent charmed. The creature must succeed on an Intelligence saving throw against your wizard spell save DC or lose a number of hours of its memories equal to 1 + your Charisma modifier (minimum 1). You can make the creature forget less time, and the amount of time can’t exceed the duration of your enchantment spell.</t>
  </si>
  <si>
    <t>Starting at 14th level, you can increase the power of your simpler spells. When you cast a wizard spell of 5th level or lower that deals damage, you can deal maximum damage with that spell. The first time you do so, you suffer no adverse effect. If you use this feature again before you finish a long rest, you take 2dl2 necrotic damage for each level of the spell, immediately after you cast it. Each time you use this feature again before finishing a long rest, the necrotic damage per spell level increases by ldl2. This damage ignores resistance and immunity.</t>
  </si>
  <si>
    <t>When you choose this school at 2nd level, you learn the minor illusion cantrip. If you already know this cantrip, you learn a different wizard cantrip of your choice. The cantrip doesn’t count against your number of cantrips known. When you cast minor illusion, you can create both a sound and an image with a single casting of the spell.</t>
  </si>
  <si>
    <t>Beginning at 10th level, you can create an illusory duplicate of yourself as an instant, almost instinctual reaction to danger. When a creature makes an attack roll against you, you can use your reaction to interpose the illusory duplicate between the attacker and yourself. The attack automatically misses you, then the illusion dissipates. Once you use this feature, you can’t use it again until you finish a short or long rest.</t>
  </si>
  <si>
    <t>By 14th level, you have learned the secret of weaving shadow magic into your illusions to give them a semi¬reality. When you cast an illusion spell of 1st level or higher, you can choose one inanimate, nonmagical object that is part of the illusion and make that object real. You can do this on your turn as a bonus action while the spell is ongoing. The object remains real for 1 minute. For example, you can create an illusion of a bridge over a chasm and then make it real long enough for your allies to cross. The object can’t deal damage or otherwise directly harm anyone.</t>
  </si>
  <si>
    <t>At 6th level, you add the animate dead spell to your spellbook if it is not there already. When you cast animate dead, you can target one additional corpse or pile of bones, creating another zombie or skeleton, as appropriate. Whenever you create an undead using a necromancy spell, it has additional benefits: &lt; The creature’s hit point maximum is increased by an amount equal to your wizard level. • The creature adds your proficiency bonus to its weapon damage rolls.</t>
  </si>
  <si>
    <t>Starting at 14th level, you can use magic to bring undead under your control, even those created by other wizards. As an action, you can choose one undead that you can see within 60 feet of you. That creature must make a Charisma saving throw against your wizard spell save DC. If it succeeds, you can’t use this feature on it again. If it fails, it becomes friendly to you and obeys your commands until you use this feature again. Intelligent undead are harder to control in this way. If the target has an Intelligence of 8 or higher, it has advantage on the saving throw. If it fails the saving throw and has an Intelligence of 12 or higher, it can repeat the saving throw at the end of every hour until it succeeds and breaks free.</t>
  </si>
  <si>
    <t>Starting at 6th level, you can spend 8 hours creating a transmuter’s stone that stores transmutation magic. You can benefit from the stone yourself or give it to another creature, A creature gains a benefit of your choice as long as the stone is in the creature's possession. When you create the stone, choose the benefit from the following options: • Darkvision out to a range of 60 feet, as described in chapter 8 • An increase to speed of 10 feet while the creature is unencumbered • Proficiency in Constitution saving throws • Resistance to acid, cold, fire, lightning, or thunder damage (your choice whenever you choose this benefit) Each time you cast a transmutation spell of 1st level or higher, you can change the effect of your stone if the stone is on your person. If you create a new transmuter’s stone, the previous one ceases to function.</t>
  </si>
  <si>
    <t>At 10th level, you add the polymorph spell to your spellbook, if it is not there already. You can cast polymorph without expending a spell slot. When you do so, you can target only yourself and transform into a beast whose challenge rating is 1 or lower. Once you cast polymorph in this way, you can’t do so again until you finish a short or long rest, though you can still cast it normally using an available spell slot.</t>
  </si>
  <si>
    <t>Starting at 14th level, you can use your action to consume the reserve of transmutation magic stored within your transmuter’s stone in a single burst. When you do so, choose one of the following effects. Your transmuter’s stone is destroyed and can’t be remade until you finish a long rest. Major Transformation. You can transmute one nonmagical object—no larger than a 5-foot cube—into another nonmagical object of similar size and mass and of equal or lesser value. You must spend 10 minutes handling the object to transform it. Panacea. You remove all curses, diseases, and poisons affecting a creature that you touch with the transmuters stone. The creature also regains all its hit points. Restore Life. You cast the raise dead spell on a creature you touch with the transmuter’s stone, without expending a spell slot or needing to have the spell in your spellbook. Restore Youth. You touch the transmuter's stone to a willing creature, and that creature’s apparent age is reduced by 3dl0 years, to a minimum of 13 years. This effect doesn’t extend the creature's lifespa</t>
  </si>
  <si>
    <t>When the cleric chooses this domain at 1st level, he or she gains proficiency with martial weapons.</t>
  </si>
  <si>
    <t>At 1st level, the cleric learns one necromancy cantrip of his or her choice from any spell list. When the cleric casts a necromancy cantrip that normally targets only one creature, the spell can instead target two creatures within range and within 5 feet of each other.</t>
  </si>
  <si>
    <t>:illrting at 2nd level, the cleric can use Channel Divinity destroy another creature's life force by touch. .\"hen the cleric hits a creature with a melee attack, -e cleric can use Channel Divinity to deal extra rotic damage to the target. The damage equals 5 + · ce his or her cleric level.</t>
  </si>
  <si>
    <t>:::!:aft ing at 6th level, the cleric's ability to channel --gative energy becomes more potent. Necrotic damage :. alt by the character's cleric spells and Channel _ inity options ignores resistance to necrotic damage.</t>
  </si>
  <si>
    <t>:&lt;arting at 17th level, when the cleric casts a - cromancy spell of 1st through 5th level that targets illy one creature, the spell can instead target two ::-eatures within range and within 5 feet of each other. If - e spell consumes its material components, the cleric ::ru t provide them for each target.</t>
  </si>
  <si>
    <t>As an action, the paladin targets one ndead creature he or she can see within 30 feet of him or her. The target must make a Wisdom saving throw. On a failed save, the target must obey the paladin's commands for the next 24 hours, or until the paladin uses this Channel Divinity option again. An undead whose challenge rating is equal to or greater than the paladin's level is immune to this effect.</t>
  </si>
  <si>
    <t>As an action, the paladin channels the darkest emotions and focuses them into a burst of magical menace. Each creature of the paladin's choice within 30 feet of the paladin must make a Wisdom s aving throw if it can see the paladin. On a failed save, the target is frightened of the paladin for 1 minute. If a creature frightened by this effect ends its turn more than 30 feet away from the paladin, it can attempt another Wisdom saving throw to end the effect on it.</t>
  </si>
  <si>
    <t>Starting at 7th level, the paladin, as well any fiends and undead within 10 feet of the paladin, gains a bonus to melee weapon damage rolls equal to the paladin's Charisma modifier (minimum of +1). A creature can benefit from this feature from only one paladin at a time. f\t 18th level, the range of this aura increases to 30 feet.</t>
  </si>
  <si>
    <t>At 15th level, the paladin gains resistance to bludgeoning, piercing, and slashing damage from nonmagical weapons.</t>
  </si>
  <si>
    <t>At 20th-level, the paladin can, as an action, surround himself or herself with an aura of gloom that lasts for 1 minute. The aura reduces any bright light in a 30-foot radius around the paladin to dim light. Whenever an enemy that is frightened by the paladin starts its turn in the aura, it takes 4dl0 psychic damage. Additionally, the paladin and creatures he or she chooses in the aura are draped in deeper shadow. Creatures that rely on sight have disadvantage on attack rolls against creatures draped in this shadow. While the aura lasts, the paladin can use a bonus action on his or her turn to cause the shadows in the aura to attack one creature. The paladin makes a melee spell attack against the target. If the attack hits, the target takes necrotic damage equal to 3d10 +.the paladin's Charisma modifier. After activating the aura, the paladin can't do so again until he or she finishes a long rest.</t>
  </si>
  <si>
    <t>As an action, you present your holy symbol and speak a prayer censuring the undead. Each undead that can see or hear you within 30 feet of you must make a Wisdom saving throw. If the creature fails its saving throw, it is turned for 1 minute or until it takes any damage. A turned creature must spend its turns trying to move as far away from you as it can, and it can’t willingly move to a space within 30 feet of you. It also can’t take reactions. For its action, it can use only the Dash action or try to escape from an effect that prevents it from moving. If there’s nowhere to move, the creature can use the Dodge action.</t>
  </si>
  <si>
    <t>You learn the find familiar spell and can cast it as a ritual. The spell doesn’t count against your number of spells known. When you cast the spell, you can choose one of the normal forms for your familiar or one of the following special forms: imp, pseudodragon, quasit, or sprite. Additionally, when you take the Attack action, you can forgo one of your own attacks to allow your familiar to make one attack of its own.</t>
  </si>
  <si>
    <t>You can use your action to create a pact weapon in your empty hand. You can choose the form that this melee weapon takes each time you create it (see chapter 5 for weapon options). You are proficient with it while you wield it. This weapon counts as magical for the purpose of overcoming resistance and immunity to nonmagical attacks and damage. Your pact weapon disappears if it is more than 5 feet away from you for 1 minute or more. It also disappears if you use this feature again, if you dismiss the weapon (no action required), or if you die. You can transform one magic weapon into your pact weapon by performing a special ritual while you hold the weapon. You perform the ritual over the course of 1 hour, which can be done during a short rest. You can then dismiss the weapon, shunting it into an extradimensional space, and it appears whenever you create your pact weapon thereafter. You can’t affect an artifact or a sentient weapon in this way. The weapon ceases being your pact weapon if you die, if you perform the 1-hour ritual on a different weapon, or if you use a 1-hour ritual to break your bond to it. The weapon appears at your feet if it is in the extradimensional space when the bond breaks.</t>
  </si>
  <si>
    <t>Your patron gives you a grimoire called a Book of Shadows. When you gain this feature, choose three cantrips from any class’s spell list. While the book is on your person, you can cast those cantrips at will. They don't count against your number of cantrips known. ff you lose your Book of Shadows, you can perform a 1-hour ceremony to receive a replacement from your patron. This ceremony can be performed during a short or long rest, and it destroys the previous book. The book turns to ash when you die.</t>
  </si>
  <si>
    <t>Starting at 1st level, your patron bestows upon you the ability to project the beguiling and fearsome presence of the fey. As an action, you can cause each creature in a 10-foot cube originating from you to make a Wisdom saving throw against your warlock spell save DC. The creatures that fail their saving throws are all charmed or frightened by you (your choice) until the end of your next turn. Once you use this feature, you can’t use it again until you finish a short or long rest.</t>
  </si>
  <si>
    <t>Starting at 6th level, you can vanish in a puff of mist in response to harm. When you take damage, you can use your reaction to turn invisible and teleport up to 60 feet to an unoccupied space you can see. You remain invisible until the start of your next turn or until you attack or cast a spell. Once you use this feature, you can’t use it again until you finish a short or long rest.</t>
  </si>
  <si>
    <t>Starting at 14th level, you can plunge a creature into an illusory realm. As an action, choose a creature that you can see within 60 feet of you. It must make a Wisdom saving throw against your warlock spell save DC. On a failed save, it is charmed or frightened by you (your choice) for 1 minute or until your concentration is broken (as if you are concentrating on a spell). This effect ends early if the creature takes any damage. Until this illusion ends, the creature thinks it is lost in a misty realm, the appearance of which you choose. The creature can see and hear only itself, you, and the illusion. You must finish a short or long rest before you can use this feature again.</t>
  </si>
  <si>
    <t>Starting at 6th level, you can call on your patron to alter fate in your favor. When you make an ability check or a saving throw, you can use this feature to add a dlO to your roll. You can do so after seeing the initial roll but before any of the roll’s effects occur. Once you use this feature, you can’t use it again until you finish a short or long rest.</t>
  </si>
  <si>
    <t>Starting at 14th level, when you hit a creature with an attack, you can use this feature to instantly transport the target through the lower planes. The creature disappears and hurtles through a nightmare landscape. At the end of your next turn, the target returns to the space it previously occupied, or the nearest unoccupied space. If the target is not a fiend, it takes lOdlO psychic damage as it reels from its horrific experience. Once you use this feature, you can't use it again until you finish a long rest.</t>
  </si>
  <si>
    <t>At 6th level, you learn to magically ward yourself against attack and to turn an enemy’s failed strike into good luck for yourself. When a creature makes an attack roll against you, you can use your reaction to impose disadvantage on that roll. If the attack misses you, your next attack roll against the creature has advantage if you make it before the end of your next turn. Once you use this feature, you can’t use it again until you finish a short or long rest.</t>
  </si>
  <si>
    <t>At 14th level, you gain the ability to infect a humanoid’s mind with the alien magic of your patron. You can use your action to touch an incapacitated humanoid. That creature is then charmed by you until a remove curse spell is cast on it, the charmed condition is removed from it, or you use this feature again. You can communicate telepathically with the charmed creature as long as the two of you are on the same plane of existence.</t>
  </si>
  <si>
    <t>Starting at 2nd level, you can produce magic potions. You spend 10 minutes focusing your magic on a vial of mundane water and expend a spell slot to transform it into a potion. Once you have expended a spell slot to create a potion, you cannot regain that slot until the potion is consumed or after 1 week, at which time the potion loses its effectiveness. You can create up to three potions at a time; creating a fourth potion causes the oldest currently active one to immediately lose its potency. If that potion has been consumed, its effects immediately end. Spell Slot Potion Created 1st Climbing, growth, or healing 2nd Mind reading or greater healing 3rd Invisibility, superior healing, or water breathing 4th Resistance</t>
  </si>
  <si>
    <t>At 2nd level, you can also tap into your reserves of magical energy to create spell scrolls. You can use your Arcane Recovery ability to create a scroll instead of regaining expended spell slots. You must finish a short rest, then spend 10 minutes with parchment, quill, and ink to create a spell scroll containing one spell chosen from those you know. Subtract the spell’s level from the total levels worth of slots you regain using Arcane Recovery. This reduction to your Arcane Recovery applies until you use the scroll and then finish a long rest.</t>
  </si>
  <si>
    <t>Beginning at 6th level, you can produce magic weapons and armor. You spend 10 minutes focusing your magic on a mundane weapon, suit of armor, shield, or bundle of twenty pieces of ammunition, and expend a spell slot to infuse it with magical energy. The magic item retains its enhancement for 8 hours or until used (in the case of magic ammunition). You can infuse only one item at a time; if you infuse a second one, the first immediately loses its potency. Once you have expended a spell slot to create such an item, you cannot regain that slot until the item becomes nonmagical. The spell slot you expend determines the type of weapon, armor, or shield you can create. Spell Slot Item Created 2nd +1 ammunition (20 pieces) 3rd +1 weapon or +1 shield 4th +1 armor 5th +2 weapon or +2 ammunition (20 pieces) 6th +2 armor</t>
  </si>
  <si>
    <t>Starting at 10th level, you can create a second magic weapon, suit of armor, shield, or bundle of ammunition using your Infuse Weapons and Armor ability. Attempting to infuse a third item causes the oldest one to immediately lose its potency. You can also create one additional potion or scroll using Infuse Potions or Infuse Scrolls.</t>
  </si>
  <si>
    <t>Beginning at 11th level, you can attack three times instead of twice whenever you take the Attack action on your turn.</t>
  </si>
  <si>
    <t>Beginning at 20th level, you can attack four times instead of three whenever you take the Attack action on your turn.</t>
  </si>
  <si>
    <t>When you cast a spell that forces other creatures to make a saving throw, you can protect some of those creatures from the spell’s full force. Spend 1 sorcery point and choose a number of those creatures up to your Charisma modifier (minimum of one creature). A chosen creature automatically succeeds on its saving throw against the spell.</t>
  </si>
  <si>
    <t>When you cast a spell that has a range of 5 feet or greater, you can spend 1 sorcery point to double the range of the spell. When you cast a spell that has a range of touch, spend 1 sorcery point to make the range of the spell 30 feet.</t>
  </si>
  <si>
    <t>When you roll damage for a spell, spend 1 sorcery point to reroll a number of the damage dice up to your Charisma modifier (minimum of one). You must use the new rolls. You can use Empowered Spell even if you have already used a different Metamagic option during the casting of the spell.</t>
  </si>
  <si>
    <t>When you cast a spell that has a duration of 1 minute or longer, spend 1 sorcery point to double its duration, to a maximum duration of 24 hours.</t>
  </si>
  <si>
    <t>When you cast a spell that forces a creature to make a saving throw to resist its effects, spend 3 sorcery points to give one target of the spell disadvantage on its first saving throw made against the spell.</t>
  </si>
  <si>
    <t>When you cast a spell that has a casting time of 1 action, spend 2 sorcery points to change the casting time to 1 bonus action.</t>
  </si>
  <si>
    <t>When you cast a spell, spend 1 sorcery point to cast it without any somatic or verbal components.</t>
  </si>
  <si>
    <t>When you cast a spell that targets only one creature and doesn’t have a range of self, spend a number of sorcery points equal to the spell’s level to target a second creature in range with the same spell (1 sorcery point if the spell is a cantrip).</t>
  </si>
  <si>
    <t>Lightning Resistance</t>
  </si>
  <si>
    <t>Poison Resistance</t>
  </si>
  <si>
    <t>Cold Resistance</t>
  </si>
  <si>
    <t>TYPE</t>
  </si>
  <si>
    <t>SIZE</t>
  </si>
  <si>
    <t>HP</t>
  </si>
  <si>
    <t>SPEED</t>
  </si>
  <si>
    <t>SENSES</t>
  </si>
  <si>
    <t>ATTACKS</t>
  </si>
  <si>
    <t>TRAITS</t>
  </si>
  <si>
    <t>Beast</t>
  </si>
  <si>
    <t>Tiny</t>
  </si>
  <si>
    <t>20ft, burrow 5ft</t>
  </si>
  <si>
    <t>passive Perception 11, darkvision 30 ft</t>
  </si>
  <si>
    <t>Bite melee +2, reach 5ft, 1 piercing</t>
  </si>
  <si>
    <t>Bat</t>
  </si>
  <si>
    <t>5 ft, fly 30 ft</t>
  </si>
  <si>
    <t>passive Perception 11, blindsight 60 ft</t>
  </si>
  <si>
    <t>Bite melee +0, reach 5ft, 1 piercing</t>
  </si>
  <si>
    <t>Cat</t>
  </si>
  <si>
    <t>40 ft, climb 30 ft</t>
  </si>
  <si>
    <t>Perception +3, Stealth +4</t>
  </si>
  <si>
    <t>passive Perception 13</t>
  </si>
  <si>
    <t>Claw Melee +0, reach 5ft, 1 slashing</t>
  </si>
  <si>
    <t>Crab</t>
  </si>
  <si>
    <t>20ft, swim 20ft</t>
  </si>
  <si>
    <t>Stealth +2</t>
  </si>
  <si>
    <t>passive Perception 9, blindsight 30ft</t>
  </si>
  <si>
    <t>Claw Melee +0, reach 5ft, 1 bludgeoning</t>
  </si>
  <si>
    <t>Frog</t>
  </si>
  <si>
    <t>20 ft, swim 20 ft</t>
  </si>
  <si>
    <t>Perception +1, Stealth +3</t>
  </si>
  <si>
    <t>Hawk</t>
  </si>
  <si>
    <t>10 ft, fly 60 ft</t>
  </si>
  <si>
    <t>Perception +4</t>
  </si>
  <si>
    <t>passive Perception 14</t>
  </si>
  <si>
    <t>Talons melee +5, reach 5ft, 1 slashing</t>
  </si>
  <si>
    <t>Lizard</t>
  </si>
  <si>
    <t>20 ft, climb 20 ft</t>
  </si>
  <si>
    <t>passive Perception 9, darkvision 30 ft</t>
  </si>
  <si>
    <t>Octopus</t>
  </si>
  <si>
    <t>5 ft, swim 30ft</t>
  </si>
  <si>
    <t>Perception +2, Stealth +4</t>
  </si>
  <si>
    <t>passive Perception 12, darkvision 30 ft</t>
  </si>
  <si>
    <t>Tentacles melee +4, reach 5ft, 1 bludgeoning. [Ink Cloud 5ft rad. 1min]</t>
  </si>
  <si>
    <t>Owl</t>
  </si>
  <si>
    <t>5 ft, fly 60 ft</t>
  </si>
  <si>
    <t>Perception +3, Stealth +3</t>
  </si>
  <si>
    <t>passive Perception 13, darkvision 120 ft</t>
  </si>
  <si>
    <t>Talons melee +3, reach 5ft, 1 slashing</t>
  </si>
  <si>
    <t>Quipper</t>
  </si>
  <si>
    <t>0 ft, swim 40 ft</t>
  </si>
  <si>
    <t>passive Perception 8, darkvision 60 ft</t>
  </si>
  <si>
    <t>Bite melee +5, reach 5ft, 1 piercing
DC10 Con save ½ , 2d4 poison</t>
  </si>
  <si>
    <t>Rat</t>
  </si>
  <si>
    <t>20 ft</t>
  </si>
  <si>
    <t>passive Perception 10, darkvision 30 ft</t>
  </si>
  <si>
    <t>Raven</t>
  </si>
  <si>
    <t>10 ft, fly 50 ft</t>
  </si>
  <si>
    <t>Perception +3</t>
  </si>
  <si>
    <t>Beak melee +4, reach 5ft, 1 piercing</t>
  </si>
  <si>
    <t>Scorpion</t>
  </si>
  <si>
    <t>10 ft</t>
  </si>
  <si>
    <t>passive Perception 9, blindsight 10ft</t>
  </si>
  <si>
    <t>Sting melee +2, reach 5ft, 1 piercing
DC 9 Con save ½, 1d8 poison</t>
  </si>
  <si>
    <t>Snake</t>
  </si>
  <si>
    <t>30 ft, swim 30 ft</t>
  </si>
  <si>
    <t>passive Perception 10, blindsight 10 ft</t>
  </si>
  <si>
    <t>Stealth +4</t>
  </si>
  <si>
    <t>Bite melee +4, reach 5ft, 1 piercing
DC 9 Con save ½, 1d4 poison</t>
  </si>
  <si>
    <t>30 ft</t>
  </si>
  <si>
    <t>Imp</t>
  </si>
  <si>
    <t>Fiend</t>
  </si>
  <si>
    <t>20 ft, fly 40 ft</t>
  </si>
  <si>
    <t>Deception +4, Insight +3, Persuation +4, Stealth +5</t>
  </si>
  <si>
    <t>passive Perception 11, darkvision 120 ft (devil's sight)</t>
  </si>
  <si>
    <t>Sting melee +5, reach 5ft, 1d4+3 piercing
DC11 Con save ½, 3d6 poison</t>
  </si>
  <si>
    <t>Invisiblity. Use action turn invisible (see spell)
Immunities. fire, poison (poisoned). Resistances. cold; bludgeon, pierce, slash (silver)
Shapechange. Use action to polymorph into a rat, raven or spider. Equipment not transformed
Magic Resistance: Advantage on saving throws against spells and magical effects</t>
  </si>
  <si>
    <t>Bite melee +3, reach 5ft, 1d6+1 piercing
DC 11 Str save or prone</t>
  </si>
  <si>
    <t>Pseudodragon</t>
  </si>
  <si>
    <t>Dragon</t>
  </si>
  <si>
    <t>15 ft, fly 60 ft</t>
  </si>
  <si>
    <t>passive Perception 13, darkvision 60 ft, blindsight 10 ft</t>
  </si>
  <si>
    <t>Claw melee +4, reach 5ft, 1d4+2 piercing
Sting melee +4, reach 5ft, 1d4+2 piercing
DC 11 Con save, poisoned 1hr (&lt;6 unconcious)</t>
  </si>
  <si>
    <t>Quasit</t>
  </si>
  <si>
    <t>Stealth +5</t>
  </si>
  <si>
    <t>passive Perception 10, darkvision 120 ft</t>
  </si>
  <si>
    <t>Bite melee +4, reach 5ft, 1d4+3
DC 10 Con save, 2d4 poison, poisoned 1 min</t>
  </si>
  <si>
    <t>Invisiblity. Use action turn invisible (see spell)
Immunities. poison (poisoned). Resistances. cold, fire, lightning; bludgeon, pierce, slash (magic)
Scare. Use action 1/day, 1 creature within 20ft, DC 10 Wis save or frightened (1 min)
Shapechange. Use action to polymorph into a bat, centipede or toad. Equipment not transformed
Magic Resistance: Advantage on saving throws against spells and magical effects</t>
  </si>
  <si>
    <t>Sprite</t>
  </si>
  <si>
    <t>4' 9'' + 2d8</t>
  </si>
  <si>
    <t>110 lb. x 2d4</t>
  </si>
  <si>
    <t>4' 10'' + 2d10</t>
  </si>
  <si>
    <t>140 lb. x 2d6</t>
  </si>
  <si>
    <t>2' 11'' + 2d4</t>
  </si>
  <si>
    <t>35 lb. x 1</t>
  </si>
  <si>
    <t>4' 8'' + 2d10</t>
  </si>
  <si>
    <t>2' 7'' + 2d4</t>
  </si>
  <si>
    <t>4' 5'' + 2d6</t>
  </si>
  <si>
    <t>4' 6'' + 2d10</t>
  </si>
  <si>
    <t>75 lb. x 1d6</t>
  </si>
  <si>
    <t>100 lb. x 1d4</t>
  </si>
  <si>
    <t>90 lb. x 1d4</t>
  </si>
  <si>
    <t>3' 8'' +2d4</t>
  </si>
  <si>
    <t>4' +2d4</t>
  </si>
  <si>
    <t>115 lb. x 2d6</t>
  </si>
  <si>
    <t>130 lb. x 2d6</t>
  </si>
  <si>
    <t>Dwarves mature at the same rate as humans, but they're considered young until they reach the age of 50. On average, they live about 350 years.</t>
  </si>
  <si>
    <t>Although elves reach physical maturity about the same age as humans, the elven understanding of adulthood goes beyond physical growth to encompass worldly experience. An elf typically claims adulthood and an adult name around the age of 100 and can live to be 750 years old.</t>
  </si>
  <si>
    <t>A halfling reaches adulthood at the age of 20 and generally lives into the middle of his or her second century.</t>
  </si>
  <si>
    <t>Humans reach adulthood in their late teens and live less than a century</t>
  </si>
  <si>
    <t>Young dragonborn grow quickly. They walk hours after hatching, attain the size and development of a 10-year-old human child by the age of 3, and reach adulthood by 15. They live to be around 80.</t>
  </si>
  <si>
    <t>Gnomes mature at the same rate humans do, and most are expected to settle down into an adult life by around age 40. They can live 350 to almost 500 years.</t>
  </si>
  <si>
    <t>Half-elves mature at the same rate humans do and reach adulthood around the age of 20. They live much longer than humans, however, often exceeding 180 years.</t>
  </si>
  <si>
    <t>Half-orcs mature a little faster than humans, reaching adulthood around age 14. They age noticeably faster and rarely live longer than 75 years.</t>
  </si>
  <si>
    <t>Tieflings mature at the same rate as humans but live a few years longer.</t>
  </si>
  <si>
    <t>Aasimar mature at the same rate as humans but live a few years longer.</t>
  </si>
  <si>
    <t>Dexterity 13</t>
  </si>
  <si>
    <t>Ability to cast</t>
  </si>
  <si>
    <t>Strength 13</t>
  </si>
  <si>
    <t>Charisma 13</t>
  </si>
  <si>
    <t>Ritual Casting</t>
  </si>
  <si>
    <t>Calculating</t>
  </si>
  <si>
    <t>Spellcasting: Cha, known, bard</t>
  </si>
  <si>
    <t>Spellcasting: cha, known, sorcerer</t>
  </si>
  <si>
    <t>Spellcasting: wis, known, ranger</t>
  </si>
  <si>
    <t>Spellcasting: cha, prepared, paladin</t>
  </si>
  <si>
    <t>All ST + CHAMOD</t>
  </si>
  <si>
    <t xml:space="preserve">HIT POINTS
Hit Dice: 1d12 per barbarian level
Hit Points at 1st Level: 12 + your Constitution modifier
Hit Points at Higher Levels: 1d12 (or 7) + your Constitution modifier per barbarian level after 1st
PROFICIENCIES
Armor: Light armor, medium armor, shields 
Weapons: Simple weapons, martial weapons 
Tools: None
Saving Throws: Strength, Constitution 
Skills: Choose two from Animal Handling, Athletics, Intimidation, Nature, Perception, and Survival
</t>
  </si>
  <si>
    <t>HIT POINTS
Hit Dice: 1d8 per bard levei
Hit Points at 1st LeveI: 8 + your Constitution modifier
Hit Points at Higher LeveIs: 1d8 (or 5) + your Constitution modifier per bard leveI after 1st
PROFICIENCIES
Armor: Light armor
Weapons: Simple weapons, hand crossbows, longswords, rapiers, shortswords
Tools: Three musical instruments of your choice
Saving Throws: Dexterity, Charisma
Skills: Choose any three
EQUlPMENT
You start with the following equipment, in addition to the equipment granted by your background:
(a) a rapier, (b) a longsword, or (c) any simple weapon
(a) a diplomat's pack or (b) an entertainer's pack
(a) a lute or (b) any other musical instrument
leather armor and a dagger</t>
  </si>
  <si>
    <t>HIT POINTS
Hit Dice: 1d8 per cleric level
Hit Points at 1st Level: 8 + your Constitution modifier
Hit Points at Higher Levels: 1d8 (or 5) + your Constitution modifier per cleric level after 1st
PROFICIENCIES
Armor: Light armor, medium armor, shields 
Weapons: All simple weapons
Tools: None
Saving Throws: Wisdom, Charisma 
Skills: Choose two from History, Insight, Medicine, Persuasion, and Religion
EQUIPMENT
You start with the following equipment, in addition to the equipment granted by your background:
• (a) a mace or (b) a warhammer (if proficient)
• (a) scale mail, (b) leather armor, or (c) chain mail (if proficient)
• (a) a light crossbow and 20 bolts or (b) any simple weapon
• (a) a priest’s pack or (b) an explorer's pack
• A shield and a holy symbol</t>
  </si>
  <si>
    <t xml:space="preserve">HIT POINTS
Hit Dice: 1d8 per druid level
Hit Points at 1st Level: 8 + your Constitution modifier 
Hit Points at Higher Levels: 1d8 (or 5) + your Constitution modifier per druid level after 1st
PROFICIENCIES
Armor: Light armor, medium armor, shields (druids will not wear armor or use shields made of metal) 
Weapons: Clubs, daggers, darts, javelins, maces, quarterstaffs, scimitars, sickles, slings, spears 
Tools: Herbalism kit
Saving Throws: Intelligence, Wisdom
Skills: Choose two from Arcana, Animal Handling, Insight, Medicine, Nature, Perception, Religion, and Survival
EQUIPMENT
You start with the following equipment, in addition to the equipment granted by your background;
• (a) a wooden shield or (b) any simple weapon
• (a) a scimitar or (b) any simple melee weapon
• Leather armor, an explorer’s pack, and a druidic focus
</t>
  </si>
  <si>
    <t>HIT POINTS
HitDice: 1d10 per fighter level
Hit Points at 1st Levei: 10 + your Constitution modifier
Hit Points at Higher LeveIs: 1d10 (or 6) + your Constitution modifier per fighter levei after 1st
PROFICIENCIES
Armor: All armor, shields
Skills: Choose two skills from Acrobatics, Animal Handling, Athletics, History, Insight, Intimidation, Perception, and Survival
You start with the following equipment, in addition to the equipment granted by your background:
• (a) chain mail or (6) leather, longbow, and 20 arrows
• (a) a martial weapon and a shield or (b) two martial weapons
• (a) a light crossbow and 20 bolts or (6) two handaxes
• (a) a dungeoneer's pack or (b) an explorer’s pack</t>
  </si>
  <si>
    <t xml:space="preserve">HIT POINTS
Hit Dice: ld8 per monk level
Hit Points at 1st Level: 8 + your Constitution modifier Hit Points at Higher Levels: ld8 (or 5) +your Constitution modifier per monk level after 1st
PROFICIENCIES
Armor: None
Weapons: Simple weapons, shortswords Tools: Choose one type of artisan’s tools or one musical instrument
Saving Throws: Strength, Dexterity Skills: Choose two from Acrobatics, Athletics, History, Insight, Religion, and Stealth
EQUIPMENT
You start with the following equipment, in addition to the equipment granted by your background:
■ (a) a shortsword or (ti) any simple weapon
• (a) a dungeoneer’s pack or (b) an explorer's pack
• 10 darts
</t>
  </si>
  <si>
    <t xml:space="preserve">HIT POINTS
Hit Dice: ldlO per paladin level
Hit Points at 1st Level: 10 + your Constitution modifier Hit Points at Higher Levels: ldlO (or 6) + your Constitution modifier per paladin level after 1st
PROFICIENCIES
Armor: All armor, shields
Weapons: Simple weapons, martial weapons
Tools: None
Saving Throws: Wisdom, Charisma Skills: Choose two from Athletics, Insight, Intimidation, Medicine, Persuasion, and Religion
EQUIPMENT
You start with the following equipment, in addition to the equipment granted by your background:
• (a) a martial weapon and a shield or (b) two martial weapons
• (a) five javelins or (b) any simple melee weapon
• (a) a priest’s pack or (b) an explorer’s pack
• Chain mail and a holy symbol
</t>
  </si>
  <si>
    <t xml:space="preserve">HIT POINTS
Hit Dice: ldlO per ranger level
Hit Points at 1st Level: 10 +your Constitution modifier Hit Points at Higher Levels: ldlO (or 6) + your Constitution modifier per ranger level after 1st
PROFICIENCIES
Armor: Light armor, medium armor, shields Weapons: Simple weapons, martial weapons Tools: None
Saving Throws: Strength, Dexterity Skills: Choose three from Animal Handling,
Athletics, Insight, Investigation, Nature, Perception, Stealth, and Survival
EQUIPMENT
You start with the following equipment, in addition to the equipment granted by your background: 
• (a) scale mail or (b) leather armor
• (a) two shortswords or (b) two simple melee weapons
• (a) a dungeoneer’s pack or (£&gt;) an explorer’s pack
• A longbow and a quiver of 20 arrows
</t>
  </si>
  <si>
    <t>HIT POINTS
Hit Dice: ld8 per rogue level
Hit Points at 1st Level: 8 + your Constitution modifier Hit Points at Higher Levels: ld8 (or 5) + your Constitution modifier per rogue level after 1st
PROFICIENCIES
Armor: Light armor
Weapons: Simple weapons, hand crossbows, longswords, rapiers, shortswords Tools: Thieves’ tools
EQUIPMENT
You start with the following equipment, in addition to the equipment granted by your background:
• (a) a rapier or (b) a shortsword
• (a) a shortbow and quiver of 20 arrows or (b) a shortsword
• (a) a burglar’s pack, (6) a dungeoneer's pack, or (c) an explorer’s pack
• Leather armor, two daggers, and thieves’ tools
Saving Throws: Dexterity, Intelligence Skills: Choose four from Acrobatics, Athletics, Deception, Insight, Intimidation, Investigation. Perception, Performance. Persuasion. Sleight of Hand, and Stealth</t>
  </si>
  <si>
    <t xml:space="preserve">HIT POINTS
Hit Dice: ld6 per sorcerer level
Hit Points at 1st Level: 6 + your Constitution modifier Hit Points at Higher Levels: ld6 (or 4) +your Constitution modifier per sorcerer level after 1st
PROFICIENCIES
Armor: None
Weapons: Daggers, darts, slings, quarterstaffs, light crossbows Tools: None
Saving Throws: Constitution, Charisma Skills: Choose two from Arcana, Deception, Insight, Intimidation, Persuasion, and Religion 
EQUIPMENT
You start with the following equipment, in addition to the equipment granted by your background:
• (a) a light crossbow and 20 bolts or (b) any simple weapon
• (a) a component pouch or (b) an arcane focus
• (a) a dungeoneer's pack or (b) an explorer’s pack
• Two daggers
</t>
  </si>
  <si>
    <t xml:space="preserve">HIT POINTS
Hit Dice: ld6 per wizard level
Hit Points at 1st Level: 6 + your Constitution modifier Hit Points at Higher Levels: ld6 (or 4) +your Constitution modifier per wizard level after 1st
PROFICIENCIES
Armor: None
Weapons: Daggers, darts, slings, quarterstaffs, light crossbows Tools: None
Saving Throws: Intelligence, Wisdom Skills: Choose two from Arcana, History, Insight, Investigation, Medicine, and Religion 
EQUIPMENT
You start with the following equipment, in addition to the equipment granted by your background:
• (a) a quarterstaff or (6) a dagger
• (a) a component pouch or (ft) an arcane focus
• (a) a scholar’s pack or (ft) an explorer's pack
• A spellbook
</t>
  </si>
  <si>
    <t>HIT POINTS
Hit Dice: ld8 per warlock level
Hit Points at 1st Level: 8 +your Constitution modifier Hit Points at Higher Levels: ld8 (or 5) + your Constitution modifier per warlock level after 1st 
PROFICIENCIES Armor: Light armor Weapons: Simple weapons Tools: None
Saving Throws: Wisdom, Charisma Skills: Choose two skills from Arcana,
Deception, History, Intimidation, Investigation,
Nature, and Religion
EQUIPMENT
You start with the following equipment, in addition to the equipment granted by your background:
• (a) a light crossbow and 20 bolts or (b) any simple weapon
• (a) a component pouch or (b) an arcane focus
• (a) a scholar’s pack or (b) a dungeoneer’s pack
• Leather armor, any simple weapon, and two daggers</t>
  </si>
  <si>
    <t>2d4 x 10 gp</t>
  </si>
  <si>
    <t>5d4 x 10 gp</t>
  </si>
  <si>
    <t>5d4 gp</t>
  </si>
  <si>
    <t>4d4 x 10 gp</t>
  </si>
  <si>
    <t>3d4 x 10 gp</t>
  </si>
  <si>
    <t>Work_Name</t>
  </si>
  <si>
    <t>Display_Name</t>
  </si>
  <si>
    <t>Innate Spellcasting (Elf)</t>
  </si>
  <si>
    <t>You have resistance to acid damage.</t>
  </si>
  <si>
    <t>You have resistance to lightning damage.</t>
  </si>
  <si>
    <t>You have resistance to poison damage.</t>
  </si>
  <si>
    <t>You have resistance to cold damage.</t>
  </si>
  <si>
    <t>Spellcasting: Int,prepared, wizard, ritual casting</t>
  </si>
  <si>
    <t>Spellcasting: wis, prepared, cleric, ritual casting</t>
  </si>
  <si>
    <t>Spellcasting: wis, prepared, druid, ritual casting</t>
  </si>
  <si>
    <t>Channel Divinity: Turn Undead</t>
  </si>
  <si>
    <t>At 18th level, you have achieved such mastery over certain spells that you can cast them at will. Choose a 1st-level wizard spell and a 2nd-level wizard spell that are in your spellbook. You can cast those spells at their lowest level without expending a spell slot when you have them prepared. If you want to cast either spell at a higher level, you must expend a spell slot as normal. By spending 8 hours in study, you can exchange one or both of the spells you chose for different spells of the same levels.</t>
  </si>
  <si>
    <t>ClassProficiency</t>
  </si>
  <si>
    <t>Mainclass1</t>
  </si>
  <si>
    <t>Mainclass2</t>
  </si>
  <si>
    <t>Mainclass3</t>
  </si>
  <si>
    <t>Mainclass4</t>
  </si>
  <si>
    <t>Skill5</t>
  </si>
  <si>
    <t>Skill6</t>
  </si>
  <si>
    <t>Skill7</t>
  </si>
  <si>
    <t>Skill8</t>
  </si>
  <si>
    <t>Skill9</t>
  </si>
  <si>
    <t>FreeSkill1</t>
  </si>
  <si>
    <t>FreeSkill2</t>
  </si>
  <si>
    <t>Определение порядка получения скиллов</t>
  </si>
  <si>
    <t>Familiars</t>
  </si>
  <si>
    <t>Mounts</t>
  </si>
  <si>
    <t>Hitpoints</t>
  </si>
  <si>
    <t>Senses</t>
  </si>
  <si>
    <t>Resistances</t>
  </si>
  <si>
    <t>Traits</t>
  </si>
  <si>
    <t>Actions</t>
  </si>
  <si>
    <t>beast</t>
  </si>
  <si>
    <t>large</t>
  </si>
  <si>
    <t>unaligned</t>
  </si>
  <si>
    <t>19 (3d10+3)</t>
  </si>
  <si>
    <t>60 ft.</t>
  </si>
  <si>
    <t>PP 11</t>
  </si>
  <si>
    <t>Trampling Charge</t>
  </si>
  <si>
    <t>Hooves, +4 to hit, reach 5 ft., one target, 2d6+4 bludgeoning damage</t>
  </si>
  <si>
    <t>10 ft., fly 40 ft.</t>
  </si>
  <si>
    <t>Perception +3, Stealth +8</t>
  </si>
  <si>
    <t>long sword, melee +2, 1 damage</t>
  </si>
  <si>
    <t>13 (2d10+2)</t>
  </si>
  <si>
    <t>PP 10</t>
  </si>
  <si>
    <t>Hooves, +2 to hit, reach 5 ft., one target, 2d6+3 bludgeoning damage</t>
  </si>
  <si>
    <t>Mule</t>
  </si>
  <si>
    <t>medium</t>
  </si>
  <si>
    <t>11 (2d8+2)</t>
  </si>
  <si>
    <t>40 ft.</t>
  </si>
  <si>
    <t>Hooves. Melee Weapon Attack: +2 to hit, reach 5 fI., one largel.
Hit: 4 (ld4 + 2) bludgeoning damage.</t>
  </si>
  <si>
    <t>Bite. Melee Weapon Attaek: +3 lo hit, reach 5 fI., one target. Hit:
4 (ld6 + 1) piercing damage. Ifthe larget is a creature, it must
succeed on a DC 11 Slrength saving throw or be knocked prone.</t>
  </si>
  <si>
    <t>5 (1d8+1)</t>
  </si>
  <si>
    <t>PP 13</t>
  </si>
  <si>
    <t>Boar</t>
  </si>
  <si>
    <t>PP 9</t>
  </si>
  <si>
    <t>Tusk. Melee Weopon Atlack: +3 to hit, reach 5 ft., one target.
Hit: 4 (ld6 + 1) slashing damage.</t>
  </si>
  <si>
    <r>
      <t xml:space="preserve">Baboon </t>
    </r>
    <r>
      <rPr>
        <sz val="11"/>
        <color rgb="FF000000"/>
        <rFont val="Tahoma"/>
        <family val="2"/>
        <charset val="204"/>
      </rPr>
      <t>(Small, AC:12, HP:3, Spd 30 Climb 30,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PP11, </t>
    </r>
    <r>
      <rPr>
        <i/>
        <sz val="11"/>
        <color rgb="FF000000"/>
        <rFont val="Tahoma"/>
        <family val="2"/>
        <charset val="204"/>
      </rPr>
      <t>Pack Tactics</t>
    </r>
    <r>
      <rPr>
        <sz val="11"/>
        <color rgb="FF000000"/>
        <rFont val="Tahoma"/>
        <family val="2"/>
        <charset val="204"/>
      </rPr>
      <t>, Bite +1 (1 prc))</t>
    </r>
  </si>
  <si>
    <r>
      <t>Badger </t>
    </r>
    <r>
      <rPr>
        <sz val="11"/>
        <color rgb="FF000000"/>
        <rFont val="Tahoma"/>
        <family val="2"/>
        <charset val="204"/>
      </rPr>
      <t>(Tiny, AC:10, HP:3, Spd 20 Burrow 5,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Darkvision 30 PP11, </t>
    </r>
    <r>
      <rPr>
        <i/>
        <sz val="11"/>
        <color rgb="FF000000"/>
        <rFont val="Tahoma"/>
        <family val="2"/>
        <charset val="204"/>
      </rPr>
      <t>Keen Smell,</t>
    </r>
    <r>
      <rPr>
        <sz val="11"/>
        <color rgb="FF000000"/>
        <rFont val="Tahoma"/>
        <family val="2"/>
        <charset val="204"/>
      </rPr>
      <t> Bite +2 (1 prc))</t>
    </r>
  </si>
  <si>
    <r>
      <t>Bat </t>
    </r>
    <r>
      <rPr>
        <sz val="11"/>
        <color rgb="FF000000"/>
        <rFont val="Tahoma"/>
        <family val="2"/>
        <charset val="204"/>
      </rPr>
      <t>(Tiny, AC:12, HP:1, Spd 5 Fly 30,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Blindsight 60ft. PP11, </t>
    </r>
    <r>
      <rPr>
        <i/>
        <sz val="11"/>
        <color rgb="FF000000"/>
        <rFont val="Tahoma"/>
        <family val="2"/>
        <charset val="204"/>
      </rPr>
      <t>Echolocation, Keen Hearing</t>
    </r>
    <r>
      <rPr>
        <sz val="11"/>
        <color rgb="FF000000"/>
        <rFont val="Tahoma"/>
        <family val="2"/>
        <charset val="204"/>
      </rPr>
      <t>, Bite +1 (1 prc))</t>
    </r>
  </si>
  <si>
    <r>
      <t>Blood Hawk</t>
    </r>
    <r>
      <rPr>
        <sz val="11"/>
        <color rgb="FF000000"/>
        <rFont val="Tahoma"/>
        <family val="2"/>
        <charset val="204"/>
      </rPr>
      <t> (Small, AC:12, HP:7, Spd 10 Fly 60, </t>
    </r>
    <r>
      <rPr>
        <i/>
        <sz val="11"/>
        <color rgb="FF000000"/>
        <rFont val="Tahoma"/>
        <family val="2"/>
        <charset val="204"/>
      </rPr>
      <t>Skills</t>
    </r>
    <r>
      <rPr>
        <sz val="11"/>
        <color rgb="FF000000"/>
        <rFont val="Tahoma"/>
        <family val="2"/>
        <charset val="204"/>
      </rPr>
      <t>: Perception +4, </t>
    </r>
    <r>
      <rPr>
        <i/>
        <sz val="11"/>
        <color rgb="FF000000"/>
        <rFont val="Tahoma"/>
        <family val="2"/>
        <charset val="204"/>
      </rPr>
      <t>Senses</t>
    </r>
    <r>
      <rPr>
        <sz val="11"/>
        <color rgb="FF000000"/>
        <rFont val="Tahoma"/>
        <family val="2"/>
        <charset val="204"/>
      </rPr>
      <t>: PP14, </t>
    </r>
    <r>
      <rPr>
        <i/>
        <sz val="11"/>
        <color rgb="FF000000"/>
        <rFont val="Tahoma"/>
        <family val="2"/>
        <charset val="204"/>
      </rPr>
      <t>Keen Sight, Pack Tactics,</t>
    </r>
    <r>
      <rPr>
        <sz val="11"/>
        <color rgb="FF000000"/>
        <rFont val="Tahoma"/>
        <family val="2"/>
        <charset val="204"/>
      </rPr>
      <t> Beak +4 (4 prc))</t>
    </r>
  </si>
  <si>
    <r>
      <t>Boar </t>
    </r>
    <r>
      <rPr>
        <sz val="11"/>
        <color rgb="FF000000"/>
        <rFont val="Tahoma"/>
        <family val="2"/>
        <charset val="204"/>
      </rPr>
      <t>(Medium, AC:11, HP:11, Spd 40,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PP9, </t>
    </r>
    <r>
      <rPr>
        <i/>
        <sz val="11"/>
        <color rgb="FF000000"/>
        <rFont val="Tahoma"/>
        <family val="2"/>
        <charset val="204"/>
      </rPr>
      <t>Charge, Relentless,</t>
    </r>
    <r>
      <rPr>
        <sz val="11"/>
        <color rgb="FF000000"/>
        <rFont val="Tahoma"/>
        <family val="2"/>
        <charset val="204"/>
      </rPr>
      <t> Tusk +3 (4 slash))</t>
    </r>
  </si>
  <si>
    <r>
      <t>Cat </t>
    </r>
    <r>
      <rPr>
        <sz val="11"/>
        <color rgb="FF000000"/>
        <rFont val="Tahoma"/>
        <family val="2"/>
        <charset val="204"/>
      </rPr>
      <t>(Tiny, AC:12, HP:2, Spd 40 Climb 30, </t>
    </r>
    <r>
      <rPr>
        <i/>
        <sz val="11"/>
        <color rgb="FF000000"/>
        <rFont val="Tahoma"/>
        <family val="2"/>
        <charset val="204"/>
      </rPr>
      <t>Skills</t>
    </r>
    <r>
      <rPr>
        <sz val="11"/>
        <color rgb="FF000000"/>
        <rFont val="Tahoma"/>
        <family val="2"/>
        <charset val="204"/>
      </rPr>
      <t>: Perception +3 Stealth +4, </t>
    </r>
    <r>
      <rPr>
        <i/>
        <sz val="11"/>
        <color rgb="FF000000"/>
        <rFont val="Tahoma"/>
        <family val="2"/>
        <charset val="204"/>
      </rPr>
      <t>Senses</t>
    </r>
    <r>
      <rPr>
        <sz val="11"/>
        <color rgb="FF000000"/>
        <rFont val="Tahoma"/>
        <family val="2"/>
        <charset val="204"/>
      </rPr>
      <t>: PP13, </t>
    </r>
    <r>
      <rPr>
        <i/>
        <sz val="11"/>
        <color rgb="FF000000"/>
        <rFont val="Tahoma"/>
        <family val="2"/>
        <charset val="204"/>
      </rPr>
      <t>Keen Smell, </t>
    </r>
    <r>
      <rPr>
        <sz val="11"/>
        <color rgb="FF000000"/>
        <rFont val="Tahoma"/>
        <family val="2"/>
        <charset val="204"/>
      </rPr>
      <t>Claws +0 (1 prc))</t>
    </r>
  </si>
  <si>
    <r>
      <t>Crab </t>
    </r>
    <r>
      <rPr>
        <sz val="11"/>
        <color rgb="FF000000"/>
        <rFont val="Tahoma"/>
        <family val="2"/>
        <charset val="204"/>
      </rPr>
      <t>(Tiny, AC:11, HP:2, Spd 10 Swim 20, </t>
    </r>
    <r>
      <rPr>
        <i/>
        <sz val="11"/>
        <color rgb="FF000000"/>
        <rFont val="Tahoma"/>
        <family val="2"/>
        <charset val="204"/>
      </rPr>
      <t>Skills</t>
    </r>
    <r>
      <rPr>
        <sz val="11"/>
        <color rgb="FF000000"/>
        <rFont val="Tahoma"/>
        <family val="2"/>
        <charset val="204"/>
      </rPr>
      <t>: Stealth +2, </t>
    </r>
    <r>
      <rPr>
        <i/>
        <sz val="11"/>
        <color rgb="FF000000"/>
        <rFont val="Tahoma"/>
        <family val="2"/>
        <charset val="204"/>
      </rPr>
      <t>Senses</t>
    </r>
    <r>
      <rPr>
        <sz val="11"/>
        <color rgb="FF000000"/>
        <rFont val="Tahoma"/>
        <family val="2"/>
        <charset val="204"/>
      </rPr>
      <t>: Blindsight 30ft PP9, </t>
    </r>
    <r>
      <rPr>
        <i/>
        <sz val="11"/>
        <color rgb="FF000000"/>
        <rFont val="Tahoma"/>
        <family val="2"/>
        <charset val="204"/>
      </rPr>
      <t>Amphibious,</t>
    </r>
    <r>
      <rPr>
        <sz val="11"/>
        <color rgb="FF000000"/>
        <rFont val="Tahoma"/>
        <family val="2"/>
        <charset val="204"/>
      </rPr>
      <t> Claw +0 (1 bldgn))</t>
    </r>
  </si>
  <si>
    <r>
      <t>Deer </t>
    </r>
    <r>
      <rPr>
        <sz val="11"/>
        <color rgb="FF000000"/>
        <rFont val="Tahoma"/>
        <family val="2"/>
        <charset val="204"/>
      </rPr>
      <t>(Medium, AC:13, HP:4, Spd 50,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PP12, Bite +2 (2 prc))</t>
    </r>
  </si>
  <si>
    <r>
      <t>Eagle </t>
    </r>
    <r>
      <rPr>
        <sz val="11"/>
        <color rgb="FF000000"/>
        <rFont val="Tahoma"/>
        <family val="2"/>
        <charset val="204"/>
      </rPr>
      <t>(Small, AC:12, HP:3, Spd 10 Fly 60, </t>
    </r>
    <r>
      <rPr>
        <i/>
        <sz val="11"/>
        <color rgb="FF000000"/>
        <rFont val="Tahoma"/>
        <family val="2"/>
        <charset val="204"/>
      </rPr>
      <t>Skills</t>
    </r>
    <r>
      <rPr>
        <sz val="11"/>
        <color rgb="FF000000"/>
        <rFont val="Tahoma"/>
        <family val="2"/>
        <charset val="204"/>
      </rPr>
      <t>: Perception +4, </t>
    </r>
    <r>
      <rPr>
        <i/>
        <sz val="11"/>
        <color rgb="FF000000"/>
        <rFont val="Tahoma"/>
        <family val="2"/>
        <charset val="204"/>
      </rPr>
      <t>Senses</t>
    </r>
    <r>
      <rPr>
        <sz val="11"/>
        <color rgb="FF000000"/>
        <rFont val="Tahoma"/>
        <family val="2"/>
        <charset val="204"/>
      </rPr>
      <t>: PP14, Talons +4 (4 slash))</t>
    </r>
  </si>
  <si>
    <r>
      <t>Flying Snake</t>
    </r>
    <r>
      <rPr>
        <sz val="11"/>
        <color rgb="FF000000"/>
        <rFont val="Tahoma"/>
        <family val="2"/>
        <charset val="204"/>
      </rPr>
      <t>(Tiny, AC:14, HP:5, Spd 30 Fly 60 Swim 30,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Blindsight 10 PP11, </t>
    </r>
    <r>
      <rPr>
        <i/>
        <sz val="11"/>
        <color rgb="FF000000"/>
        <rFont val="Tahoma"/>
        <family val="2"/>
        <charset val="204"/>
      </rPr>
      <t>Flyby</t>
    </r>
    <r>
      <rPr>
        <sz val="11"/>
        <color rgb="FF000000"/>
        <rFont val="Tahoma"/>
        <family val="2"/>
        <charset val="204"/>
      </rPr>
      <t>, Bite +6 (1 prc + 7 poison))</t>
    </r>
  </si>
  <si>
    <r>
      <t>Frog </t>
    </r>
    <r>
      <rPr>
        <sz val="11"/>
        <color rgb="FF000000"/>
        <rFont val="Tahoma"/>
        <family val="2"/>
        <charset val="204"/>
      </rPr>
      <t>(Tiny, AC:11, HP:1, Spd 20 Swim 20, </t>
    </r>
    <r>
      <rPr>
        <i/>
        <sz val="11"/>
        <color rgb="FF000000"/>
        <rFont val="Tahoma"/>
        <family val="2"/>
        <charset val="204"/>
      </rPr>
      <t>Skills</t>
    </r>
    <r>
      <rPr>
        <sz val="11"/>
        <color rgb="FF000000"/>
        <rFont val="Tahoma"/>
        <family val="2"/>
        <charset val="204"/>
      </rPr>
      <t>: Perception +1 Stealth +3, </t>
    </r>
    <r>
      <rPr>
        <i/>
        <sz val="11"/>
        <color rgb="FF000000"/>
        <rFont val="Tahoma"/>
        <family val="2"/>
        <charset val="204"/>
      </rPr>
      <t>Senses</t>
    </r>
    <r>
      <rPr>
        <sz val="11"/>
        <color rgb="FF000000"/>
        <rFont val="Tahoma"/>
        <family val="2"/>
        <charset val="204"/>
      </rPr>
      <t>: Darkvision 30 PP11, </t>
    </r>
    <r>
      <rPr>
        <i/>
        <sz val="11"/>
        <color rgb="FF000000"/>
        <rFont val="Tahoma"/>
        <family val="2"/>
        <charset val="204"/>
      </rPr>
      <t>Amphibious, Standing Leap</t>
    </r>
    <r>
      <rPr>
        <sz val="11"/>
        <color rgb="FF000000"/>
        <rFont val="Tahoma"/>
        <family val="2"/>
        <charset val="204"/>
      </rPr>
      <t>, no attacks)</t>
    </r>
  </si>
  <si>
    <r>
      <t>Giant Badger</t>
    </r>
    <r>
      <rPr>
        <sz val="11"/>
        <color rgb="FF000000"/>
        <rFont val="Tahoma"/>
        <family val="2"/>
        <charset val="204"/>
      </rPr>
      <t> (Medium, AC:10, HP:13, Spd 30 Burrow 10,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Darkvision 30 PP11, </t>
    </r>
    <r>
      <rPr>
        <i/>
        <sz val="11"/>
        <color rgb="FF000000"/>
        <rFont val="Tahoma"/>
        <family val="2"/>
        <charset val="204"/>
      </rPr>
      <t>Keen Smell, Multiattack</t>
    </r>
    <r>
      <rPr>
        <sz val="11"/>
        <color rgb="FF000000"/>
        <rFont val="Tahoma"/>
        <family val="2"/>
        <charset val="204"/>
      </rPr>
      <t> Bite +3 (4 prc) Claws +3 (6 slash))</t>
    </r>
  </si>
  <si>
    <r>
      <t>Giant Centipede</t>
    </r>
    <r>
      <rPr>
        <sz val="11"/>
        <color rgb="FF000000"/>
        <rFont val="Tahoma"/>
        <family val="2"/>
        <charset val="204"/>
      </rPr>
      <t> (Small, AC:13, HP:4, Spd 30 Climb 30,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Blindsight 30 PP8, Bite +4 (4 prc + DC11 Constitution of 10 Poison + Special))</t>
    </r>
  </si>
  <si>
    <r>
      <t>Giant Crab </t>
    </r>
    <r>
      <rPr>
        <sz val="11"/>
        <color rgb="FF000000"/>
        <rFont val="Tahoma"/>
        <family val="2"/>
        <charset val="204"/>
      </rPr>
      <t>(Medium, AC:15, HP:13, Spd 30 Swim 30, </t>
    </r>
    <r>
      <rPr>
        <i/>
        <sz val="11"/>
        <color rgb="FF000000"/>
        <rFont val="Tahoma"/>
        <family val="2"/>
        <charset val="204"/>
      </rPr>
      <t>Skills</t>
    </r>
    <r>
      <rPr>
        <sz val="11"/>
        <color rgb="FF000000"/>
        <rFont val="Tahoma"/>
        <family val="2"/>
        <charset val="204"/>
      </rPr>
      <t>: Stealth +4, </t>
    </r>
    <r>
      <rPr>
        <i/>
        <sz val="11"/>
        <color rgb="FF000000"/>
        <rFont val="Tahoma"/>
        <family val="2"/>
        <charset val="204"/>
      </rPr>
      <t>Senses</t>
    </r>
    <r>
      <rPr>
        <sz val="11"/>
        <color rgb="FF000000"/>
        <rFont val="Tahoma"/>
        <family val="2"/>
        <charset val="204"/>
      </rPr>
      <t>: Blindsight 30 PP9, </t>
    </r>
    <r>
      <rPr>
        <i/>
        <sz val="11"/>
        <color rgb="FF000000"/>
        <rFont val="Tahoma"/>
        <family val="2"/>
        <charset val="204"/>
      </rPr>
      <t>Amphibious</t>
    </r>
    <r>
      <rPr>
        <sz val="11"/>
        <color rgb="FF000000"/>
        <rFont val="Tahoma"/>
        <family val="2"/>
        <charset val="204"/>
      </rPr>
      <t>, Claw +3 (4 bldgn + DC11 Grapple))</t>
    </r>
  </si>
  <si>
    <r>
      <t>Giant Fire Beetle</t>
    </r>
    <r>
      <rPr>
        <sz val="11"/>
        <color rgb="FF000000"/>
        <rFont val="Tahoma"/>
        <family val="2"/>
        <charset val="204"/>
      </rPr>
      <t> (Small, AC:13, HP:4, Spd 30,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Blindsight 30 PP8, </t>
    </r>
    <r>
      <rPr>
        <i/>
        <sz val="11"/>
        <color rgb="FF000000"/>
        <rFont val="Tahoma"/>
        <family val="2"/>
        <charset val="204"/>
      </rPr>
      <t>Illumination</t>
    </r>
    <r>
      <rPr>
        <sz val="11"/>
        <color rgb="FF000000"/>
        <rFont val="Tahoma"/>
        <family val="2"/>
        <charset val="204"/>
      </rPr>
      <t>, Bite +1 (2 slash))</t>
    </r>
  </si>
  <si>
    <r>
      <t>Giant Frog</t>
    </r>
    <r>
      <rPr>
        <sz val="11"/>
        <color rgb="FF000000"/>
        <rFont val="Tahoma"/>
        <family val="2"/>
        <charset val="204"/>
      </rPr>
      <t xml:space="preserve"> (Medium, AC:11, HP:18, Spd 30 Swim 30, </t>
    </r>
    <r>
      <rPr>
        <i/>
        <sz val="11"/>
        <color rgb="FF000000"/>
        <rFont val="Tahoma"/>
        <family val="2"/>
        <charset val="204"/>
      </rPr>
      <t>Skills</t>
    </r>
    <r>
      <rPr>
        <sz val="11"/>
        <color rgb="FF000000"/>
        <rFont val="Tahoma"/>
        <family val="2"/>
        <charset val="204"/>
      </rPr>
      <t>: Perception +2 Stealth +3, </t>
    </r>
    <r>
      <rPr>
        <i/>
        <sz val="11"/>
        <color rgb="FF000000"/>
        <rFont val="Tahoma"/>
        <family val="2"/>
        <charset val="204"/>
      </rPr>
      <t>Senses</t>
    </r>
    <r>
      <rPr>
        <sz val="11"/>
        <color rgb="FF000000"/>
        <rFont val="Tahoma"/>
        <family val="2"/>
        <charset val="204"/>
      </rPr>
      <t>: Darkvision 30 PP12, </t>
    </r>
    <r>
      <rPr>
        <i/>
        <sz val="11"/>
        <color rgb="FF000000"/>
        <rFont val="Tahoma"/>
        <family val="2"/>
        <charset val="204"/>
      </rPr>
      <t>Amphibious, Standing Leap</t>
    </r>
    <r>
      <rPr>
        <sz val="11"/>
        <color rgb="FF000000"/>
        <rFont val="Tahoma"/>
        <family val="2"/>
        <charset val="204"/>
      </rPr>
      <t>, Bite +3 (4 prc + DC11 Grapple, Swallow Attack))</t>
    </r>
  </si>
  <si>
    <r>
      <t>Giant Poisonous Snake</t>
    </r>
    <r>
      <rPr>
        <sz val="11"/>
        <color rgb="FF000000"/>
        <rFont val="Tahoma"/>
        <family val="2"/>
        <charset val="204"/>
      </rPr>
      <t> (Medium, AC:14, HP:11, Spd 30 Swim 30, </t>
    </r>
    <r>
      <rPr>
        <i/>
        <sz val="11"/>
        <color rgb="FF000000"/>
        <rFont val="Tahoma"/>
        <family val="2"/>
        <charset val="204"/>
      </rPr>
      <t>Skills</t>
    </r>
    <r>
      <rPr>
        <sz val="11"/>
        <color rgb="FF000000"/>
        <rFont val="Tahoma"/>
        <family val="2"/>
        <charset val="204"/>
      </rPr>
      <t>: Perception +2, </t>
    </r>
    <r>
      <rPr>
        <i/>
        <sz val="11"/>
        <color rgb="FF000000"/>
        <rFont val="Tahoma"/>
        <family val="2"/>
        <charset val="204"/>
      </rPr>
      <t>Senses</t>
    </r>
    <r>
      <rPr>
        <sz val="11"/>
        <color rgb="FF000000"/>
        <rFont val="Tahoma"/>
        <family val="2"/>
        <charset val="204"/>
      </rPr>
      <t>: Blindsight 10 PP12, Bite +6 (6 prc + DC 11 Constitution or 10 poison))</t>
    </r>
  </si>
  <si>
    <r>
      <t xml:space="preserve">Giant Rat </t>
    </r>
    <r>
      <rPr>
        <sz val="11"/>
        <color rgb="FF000000"/>
        <rFont val="Tahoma"/>
        <family val="2"/>
        <charset val="204"/>
      </rPr>
      <t>(Small, AC:12, HP:7, Spd 30,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Darkvision 30 PP10, </t>
    </r>
    <r>
      <rPr>
        <i/>
        <sz val="11"/>
        <color rgb="FF000000"/>
        <rFont val="Tahoma"/>
        <family val="2"/>
        <charset val="204"/>
      </rPr>
      <t>Keen Smell, Pack Tactics,</t>
    </r>
    <r>
      <rPr>
        <sz val="11"/>
        <color rgb="FF000000"/>
        <rFont val="Tahoma"/>
        <family val="2"/>
        <charset val="204"/>
      </rPr>
      <t> Bite +4 (4 prc))</t>
    </r>
  </si>
  <si>
    <r>
      <t>Giant Weasel</t>
    </r>
    <r>
      <rPr>
        <sz val="11"/>
        <color rgb="FF000000"/>
        <rFont val="Tahoma"/>
        <family val="2"/>
        <charset val="204"/>
      </rPr>
      <t xml:space="preserve"> (Medium, AC:13, HP:9, Spd 40, </t>
    </r>
    <r>
      <rPr>
        <i/>
        <sz val="11"/>
        <color rgb="FF000000"/>
        <rFont val="Tahoma"/>
        <family val="2"/>
        <charset val="204"/>
      </rPr>
      <t>Skills</t>
    </r>
    <r>
      <rPr>
        <sz val="11"/>
        <color rgb="FF000000"/>
        <rFont val="Tahoma"/>
        <family val="2"/>
        <charset val="204"/>
      </rPr>
      <t>: Perception +3 Stealth +5, </t>
    </r>
    <r>
      <rPr>
        <i/>
        <sz val="11"/>
        <color rgb="FF000000"/>
        <rFont val="Tahoma"/>
        <family val="2"/>
        <charset val="204"/>
      </rPr>
      <t>Senses</t>
    </r>
    <r>
      <rPr>
        <sz val="11"/>
        <color rgb="FF000000"/>
        <rFont val="Tahoma"/>
        <family val="2"/>
        <charset val="204"/>
      </rPr>
      <t>: Darkvision PP13, </t>
    </r>
    <r>
      <rPr>
        <i/>
        <sz val="11"/>
        <color rgb="FF000000"/>
        <rFont val="Tahoma"/>
        <family val="2"/>
        <charset val="204"/>
      </rPr>
      <t>Keen Hearing/Smell</t>
    </r>
    <r>
      <rPr>
        <sz val="11"/>
        <color rgb="FF000000"/>
        <rFont val="Tahoma"/>
        <family val="2"/>
        <charset val="204"/>
      </rPr>
      <t>, Bite +5 (5 prc))</t>
    </r>
  </si>
  <si>
    <r>
      <t>Giant Wolf Spider</t>
    </r>
    <r>
      <rPr>
        <sz val="11"/>
        <color rgb="FF000000"/>
        <rFont val="Tahoma"/>
        <family val="2"/>
        <charset val="204"/>
      </rPr>
      <t> (Medium, AC:13, HP:11, Spd 40 Climb 40, </t>
    </r>
    <r>
      <rPr>
        <i/>
        <sz val="11"/>
        <color rgb="FF000000"/>
        <rFont val="Tahoma"/>
        <family val="2"/>
        <charset val="204"/>
      </rPr>
      <t>Skills</t>
    </r>
    <r>
      <rPr>
        <sz val="11"/>
        <color rgb="FF000000"/>
        <rFont val="Tahoma"/>
        <family val="2"/>
        <charset val="204"/>
      </rPr>
      <t>: Perception +3 Stealth +7, </t>
    </r>
    <r>
      <rPr>
        <i/>
        <sz val="11"/>
        <color rgb="FF000000"/>
        <rFont val="Tahoma"/>
        <family val="2"/>
        <charset val="204"/>
      </rPr>
      <t>Senses</t>
    </r>
    <r>
      <rPr>
        <sz val="11"/>
        <color rgb="FF000000"/>
        <rFont val="Tahoma"/>
        <family val="2"/>
        <charset val="204"/>
      </rPr>
      <t>: Blindsight 10 Darkvision 60 PP13, </t>
    </r>
    <r>
      <rPr>
        <i/>
        <sz val="11"/>
        <color rgb="FF000000"/>
        <rFont val="Tahoma"/>
        <family val="2"/>
        <charset val="204"/>
      </rPr>
      <t>Spider Climb, Web Sense, Web Walker</t>
    </r>
    <r>
      <rPr>
        <sz val="11"/>
        <color rgb="FF000000"/>
        <rFont val="Tahoma"/>
        <family val="2"/>
        <charset val="204"/>
      </rPr>
      <t>, Bite +3 (4 prc + DC11 Constitution or 7 Poison + Special))</t>
    </r>
  </si>
  <si>
    <r>
      <t>Goat</t>
    </r>
    <r>
      <rPr>
        <sz val="11"/>
        <color rgb="FF000000"/>
        <rFont val="Tahoma"/>
        <family val="2"/>
        <charset val="204"/>
      </rPr>
      <t xml:space="preserve"> (Medium, AC:10, HP:4, Spd 40,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PP10, </t>
    </r>
    <r>
      <rPr>
        <i/>
        <sz val="11"/>
        <color rgb="FF000000"/>
        <rFont val="Tahoma"/>
        <family val="2"/>
        <charset val="204"/>
      </rPr>
      <t>Charge, Sure Footed</t>
    </r>
    <r>
      <rPr>
        <sz val="11"/>
        <color rgb="FF000000"/>
        <rFont val="Tahoma"/>
        <family val="2"/>
        <charset val="204"/>
      </rPr>
      <t>, Ram +3 (3 bldgn))</t>
    </r>
  </si>
  <si>
    <r>
      <t xml:space="preserve">Hawk </t>
    </r>
    <r>
      <rPr>
        <sz val="11"/>
        <color rgb="FF000000"/>
        <rFont val="Tahoma"/>
        <family val="2"/>
        <charset val="204"/>
      </rPr>
      <t>(Tiny, AC:13, HP:1, Spd 10 Fly 60, </t>
    </r>
    <r>
      <rPr>
        <i/>
        <sz val="11"/>
        <color rgb="FF000000"/>
        <rFont val="Tahoma"/>
        <family val="2"/>
        <charset val="204"/>
      </rPr>
      <t>Skills</t>
    </r>
    <r>
      <rPr>
        <sz val="11"/>
        <color rgb="FF000000"/>
        <rFont val="Tahoma"/>
        <family val="2"/>
        <charset val="204"/>
      </rPr>
      <t>: Perception +4, </t>
    </r>
    <r>
      <rPr>
        <i/>
        <sz val="11"/>
        <color rgb="FF000000"/>
        <rFont val="Tahoma"/>
        <family val="2"/>
        <charset val="204"/>
      </rPr>
      <t>Senses</t>
    </r>
    <r>
      <rPr>
        <sz val="11"/>
        <color rgb="FF000000"/>
        <rFont val="Tahoma"/>
        <family val="2"/>
        <charset val="204"/>
      </rPr>
      <t>: PP14, </t>
    </r>
    <r>
      <rPr>
        <i/>
        <sz val="11"/>
        <color rgb="FF000000"/>
        <rFont val="Tahoma"/>
        <family val="2"/>
        <charset val="204"/>
      </rPr>
      <t>Keen Sight</t>
    </r>
    <r>
      <rPr>
        <sz val="11"/>
        <color rgb="FF000000"/>
        <rFont val="Tahoma"/>
        <family val="2"/>
        <charset val="204"/>
      </rPr>
      <t>, Talons +5 (1 slash))</t>
    </r>
  </si>
  <si>
    <r>
      <t>Hyena</t>
    </r>
    <r>
      <rPr>
        <sz val="11"/>
        <color rgb="FF000000"/>
        <rFont val="Tahoma"/>
        <family val="2"/>
        <charset val="204"/>
      </rPr>
      <t xml:space="preserve"> (Medium, AC:11, HP: 5, Spd 50, </t>
    </r>
    <r>
      <rPr>
        <i/>
        <sz val="11"/>
        <color rgb="FF000000"/>
        <rFont val="Tahoma"/>
        <family val="2"/>
        <charset val="204"/>
      </rPr>
      <t>Skills</t>
    </r>
    <r>
      <rPr>
        <sz val="11"/>
        <color rgb="FF000000"/>
        <rFont val="Tahoma"/>
        <family val="2"/>
        <charset val="204"/>
      </rPr>
      <t>: Perception +3, </t>
    </r>
    <r>
      <rPr>
        <i/>
        <sz val="11"/>
        <color rgb="FF000000"/>
        <rFont val="Tahoma"/>
        <family val="2"/>
        <charset val="204"/>
      </rPr>
      <t>Senses</t>
    </r>
    <r>
      <rPr>
        <sz val="11"/>
        <color rgb="FF000000"/>
        <rFont val="Tahoma"/>
        <family val="2"/>
        <charset val="204"/>
      </rPr>
      <t>: PP13, </t>
    </r>
    <r>
      <rPr>
        <i/>
        <sz val="11"/>
        <color rgb="FF000000"/>
        <rFont val="Tahoma"/>
        <family val="2"/>
        <charset val="204"/>
      </rPr>
      <t>Pack Tactics,</t>
    </r>
    <r>
      <rPr>
        <sz val="11"/>
        <color rgb="FF000000"/>
        <rFont val="Tahoma"/>
        <family val="2"/>
        <charset val="204"/>
      </rPr>
      <t> Bite +2 (3 prc))</t>
    </r>
  </si>
  <si>
    <r>
      <t xml:space="preserve">Jackal </t>
    </r>
    <r>
      <rPr>
        <sz val="11"/>
        <color rgb="FF000000"/>
        <rFont val="Tahoma"/>
        <family val="2"/>
        <charset val="204"/>
      </rPr>
      <t>(Small, AC:12, HP:3, Spd 40, </t>
    </r>
    <r>
      <rPr>
        <i/>
        <sz val="11"/>
        <color rgb="FF000000"/>
        <rFont val="Tahoma"/>
        <family val="2"/>
        <charset val="204"/>
      </rPr>
      <t>Skills</t>
    </r>
    <r>
      <rPr>
        <sz val="11"/>
        <color rgb="FF000000"/>
        <rFont val="Tahoma"/>
        <family val="2"/>
        <charset val="204"/>
      </rPr>
      <t>: Perception +3, </t>
    </r>
    <r>
      <rPr>
        <i/>
        <sz val="11"/>
        <color rgb="FF000000"/>
        <rFont val="Tahoma"/>
        <family val="2"/>
        <charset val="204"/>
      </rPr>
      <t>Senses</t>
    </r>
    <r>
      <rPr>
        <sz val="11"/>
        <color rgb="FF000000"/>
        <rFont val="Tahoma"/>
        <family val="2"/>
        <charset val="204"/>
      </rPr>
      <t>: PP 13, </t>
    </r>
    <r>
      <rPr>
        <i/>
        <sz val="11"/>
        <color rgb="FF000000"/>
        <rFont val="Tahoma"/>
        <family val="2"/>
        <charset val="204"/>
      </rPr>
      <t>Keen Hearing/Smell, Pack Tactics</t>
    </r>
    <r>
      <rPr>
        <sz val="11"/>
        <color rgb="FF000000"/>
        <rFont val="Tahoma"/>
        <family val="2"/>
        <charset val="204"/>
      </rPr>
      <t>, Bite +1 (1 prc))</t>
    </r>
  </si>
  <si>
    <r>
      <t xml:space="preserve">Lizard </t>
    </r>
    <r>
      <rPr>
        <sz val="11"/>
        <color rgb="FF000000"/>
        <rFont val="Tahoma"/>
        <family val="2"/>
        <charset val="204"/>
      </rPr>
      <t>(Tiny, AC:10, HP:2, Spd 20 Climb 20,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Darkvision 30 PP9, Bite +0 (1 prc))</t>
    </r>
  </si>
  <si>
    <r>
      <t xml:space="preserve">Mastiff </t>
    </r>
    <r>
      <rPr>
        <sz val="11"/>
        <color rgb="FF000000"/>
        <rFont val="Tahoma"/>
        <family val="2"/>
        <charset val="204"/>
      </rPr>
      <t>(Medium, AC:12, HP:5, Spd 40, </t>
    </r>
    <r>
      <rPr>
        <i/>
        <sz val="11"/>
        <color rgb="FF000000"/>
        <rFont val="Tahoma"/>
        <family val="2"/>
        <charset val="204"/>
      </rPr>
      <t>Skills</t>
    </r>
    <r>
      <rPr>
        <sz val="11"/>
        <color rgb="FF000000"/>
        <rFont val="Tahoma"/>
        <family val="2"/>
        <charset val="204"/>
      </rPr>
      <t>: Perception +3, </t>
    </r>
    <r>
      <rPr>
        <i/>
        <sz val="11"/>
        <color rgb="FF000000"/>
        <rFont val="Tahoma"/>
        <family val="2"/>
        <charset val="204"/>
      </rPr>
      <t>Senses</t>
    </r>
    <r>
      <rPr>
        <sz val="11"/>
        <color rgb="FF000000"/>
        <rFont val="Tahoma"/>
        <family val="2"/>
        <charset val="204"/>
      </rPr>
      <t>: PP13, </t>
    </r>
    <r>
      <rPr>
        <i/>
        <sz val="11"/>
        <color rgb="FF000000"/>
        <rFont val="Tahoma"/>
        <family val="2"/>
        <charset val="204"/>
      </rPr>
      <t>Keen Hearing/Smell</t>
    </r>
    <r>
      <rPr>
        <sz val="11"/>
        <color rgb="FF000000"/>
        <rFont val="Tahoma"/>
        <family val="2"/>
        <charset val="204"/>
      </rPr>
      <t>, Bite +3 (4 prc + DC11 Strength or Prone))</t>
    </r>
  </si>
  <si>
    <r>
      <t xml:space="preserve">Mule </t>
    </r>
    <r>
      <rPr>
        <sz val="11"/>
        <color rgb="FF000000"/>
        <rFont val="Tahoma"/>
        <family val="2"/>
        <charset val="204"/>
      </rPr>
      <t>(Medium, AC:10, HP:11, Spd 40,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PP10, </t>
    </r>
    <r>
      <rPr>
        <i/>
        <sz val="11"/>
        <color rgb="FF000000"/>
        <rFont val="Tahoma"/>
        <family val="2"/>
        <charset val="204"/>
      </rPr>
      <t>Beast of Burden, Sure Footed</t>
    </r>
    <r>
      <rPr>
        <sz val="11"/>
        <color rgb="FF000000"/>
        <rFont val="Tahoma"/>
        <family val="2"/>
        <charset val="204"/>
      </rPr>
      <t>, Hooves +2 (4 bldgn))</t>
    </r>
  </si>
  <si>
    <r>
      <t xml:space="preserve">Octopus </t>
    </r>
    <r>
      <rPr>
        <sz val="11"/>
        <color rgb="FF000000"/>
        <rFont val="Tahoma"/>
        <family val="2"/>
        <charset val="204"/>
      </rPr>
      <t>(Small, AC:12, HP:3, Spd 5 Swim 30, </t>
    </r>
    <r>
      <rPr>
        <i/>
        <sz val="11"/>
        <color rgb="FF000000"/>
        <rFont val="Tahoma"/>
        <family val="2"/>
        <charset val="204"/>
      </rPr>
      <t>Skills</t>
    </r>
    <r>
      <rPr>
        <sz val="11"/>
        <color rgb="FF000000"/>
        <rFont val="Tahoma"/>
        <family val="2"/>
        <charset val="204"/>
      </rPr>
      <t>: Perception +2 Stealth +3, </t>
    </r>
    <r>
      <rPr>
        <i/>
        <sz val="11"/>
        <color rgb="FF000000"/>
        <rFont val="Tahoma"/>
        <family val="2"/>
        <charset val="204"/>
      </rPr>
      <t>Senses</t>
    </r>
    <r>
      <rPr>
        <sz val="11"/>
        <color rgb="FF000000"/>
        <rFont val="Tahoma"/>
        <family val="2"/>
        <charset val="204"/>
      </rPr>
      <t>: Darkvision 30 PP12, </t>
    </r>
    <r>
      <rPr>
        <i/>
        <sz val="11"/>
        <color rgb="FF000000"/>
        <rFont val="Tahoma"/>
        <family val="2"/>
        <charset val="204"/>
      </rPr>
      <t>Hold Breath, Underwater Camouflage, Water Breathing,</t>
    </r>
    <r>
      <rPr>
        <sz val="11"/>
        <color rgb="FF000000"/>
        <rFont val="Tahoma"/>
        <family val="2"/>
        <charset val="204"/>
      </rPr>
      <t> Tentacles +4 (1 bldgn + Grapple), Ink Cloud</t>
    </r>
  </si>
  <si>
    <r>
      <t xml:space="preserve">Owl </t>
    </r>
    <r>
      <rPr>
        <sz val="11"/>
        <color rgb="FF000000"/>
        <rFont val="Tahoma"/>
        <family val="2"/>
        <charset val="204"/>
      </rPr>
      <t>(Tiny, AC:11, HP:1, Spd 5 Fly 60, </t>
    </r>
    <r>
      <rPr>
        <i/>
        <sz val="11"/>
        <color rgb="FF000000"/>
        <rFont val="Tahoma"/>
        <family val="2"/>
        <charset val="204"/>
      </rPr>
      <t>Skills</t>
    </r>
    <r>
      <rPr>
        <sz val="11"/>
        <color rgb="FF000000"/>
        <rFont val="Tahoma"/>
        <family val="2"/>
        <charset val="204"/>
      </rPr>
      <t>: Perception +3 Stealth +3, </t>
    </r>
    <r>
      <rPr>
        <i/>
        <sz val="11"/>
        <color rgb="FF000000"/>
        <rFont val="Tahoma"/>
        <family val="2"/>
        <charset val="204"/>
      </rPr>
      <t>Senses</t>
    </r>
    <r>
      <rPr>
        <sz val="11"/>
        <color rgb="FF000000"/>
        <rFont val="Tahoma"/>
        <family val="2"/>
        <charset val="204"/>
      </rPr>
      <t>: Darkvision 120 PP13, </t>
    </r>
    <r>
      <rPr>
        <i/>
        <sz val="11"/>
        <color rgb="FF000000"/>
        <rFont val="Tahoma"/>
        <family val="2"/>
        <charset val="204"/>
      </rPr>
      <t>Flyby, Keen Hearing/Sight</t>
    </r>
    <r>
      <rPr>
        <sz val="11"/>
        <color rgb="FF000000"/>
        <rFont val="Tahoma"/>
        <family val="2"/>
        <charset val="204"/>
      </rPr>
      <t>, Talons +3 (1 slash))</t>
    </r>
  </si>
  <si>
    <r>
      <t xml:space="preserve">Panther </t>
    </r>
    <r>
      <rPr>
        <sz val="11"/>
        <color rgb="FF000000"/>
        <rFont val="Tahoma"/>
        <family val="2"/>
        <charset val="204"/>
      </rPr>
      <t>(Medium, AC:12, HP:13, Spd 50 Climb 40, </t>
    </r>
    <r>
      <rPr>
        <i/>
        <sz val="11"/>
        <color rgb="FF000000"/>
        <rFont val="Tahoma"/>
        <family val="2"/>
        <charset val="204"/>
      </rPr>
      <t>Skills</t>
    </r>
    <r>
      <rPr>
        <sz val="11"/>
        <color rgb="FF000000"/>
        <rFont val="Tahoma"/>
        <family val="2"/>
        <charset val="204"/>
      </rPr>
      <t>: Perception +4 Stealth +6, </t>
    </r>
    <r>
      <rPr>
        <i/>
        <sz val="11"/>
        <color rgb="FF000000"/>
        <rFont val="Tahoma"/>
        <family val="2"/>
        <charset val="204"/>
      </rPr>
      <t>Senses</t>
    </r>
    <r>
      <rPr>
        <sz val="11"/>
        <color rgb="FF000000"/>
        <rFont val="Tahoma"/>
        <family val="2"/>
        <charset val="204"/>
      </rPr>
      <t>: PP14, </t>
    </r>
    <r>
      <rPr>
        <i/>
        <sz val="11"/>
        <color rgb="FF000000"/>
        <rFont val="Tahoma"/>
        <family val="2"/>
        <charset val="204"/>
      </rPr>
      <t>Keen Smell, Pounce</t>
    </r>
    <r>
      <rPr>
        <sz val="11"/>
        <color rgb="FF000000"/>
        <rFont val="Tahoma"/>
        <family val="2"/>
        <charset val="204"/>
      </rPr>
      <t>, Bite +4 (5 prc) Claw +4 (4 slash))</t>
    </r>
  </si>
  <si>
    <r>
      <t>Poisonous Snake</t>
    </r>
    <r>
      <rPr>
        <sz val="11"/>
        <color rgb="FF000000"/>
        <rFont val="Tahoma"/>
        <family val="2"/>
        <charset val="204"/>
      </rPr>
      <t xml:space="preserve"> (Tiny, AC:13, HP:2, Spd 30 Swim 30,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Blindsight 10 PP10, Bite +5 (1 prc + DC10 Constitution or 5 poison))</t>
    </r>
  </si>
  <si>
    <r>
      <t xml:space="preserve">Pony </t>
    </r>
    <r>
      <rPr>
        <sz val="11"/>
        <color rgb="FF000000"/>
        <rFont val="Tahoma"/>
        <family val="2"/>
        <charset val="204"/>
      </rPr>
      <t>(Medium, AC:10, HP:11, Spd 40,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PP10, Hooves +4 (7 bldgn))</t>
    </r>
  </si>
  <si>
    <r>
      <t>Pteranodon</t>
    </r>
    <r>
      <rPr>
        <sz val="11"/>
        <color rgb="FF000000"/>
        <rFont val="Tahoma"/>
        <family val="2"/>
        <charset val="204"/>
      </rPr>
      <t xml:space="preserve"> (Medium, AC:13, HP:13, Spd 10 Fly 60, </t>
    </r>
    <r>
      <rPr>
        <i/>
        <sz val="11"/>
        <color rgb="FF000000"/>
        <rFont val="Tahoma"/>
        <family val="2"/>
        <charset val="204"/>
      </rPr>
      <t>Skills</t>
    </r>
    <r>
      <rPr>
        <sz val="11"/>
        <color rgb="FF000000"/>
        <rFont val="Tahoma"/>
        <family val="2"/>
        <charset val="204"/>
      </rPr>
      <t>: Perception +1, </t>
    </r>
    <r>
      <rPr>
        <i/>
        <sz val="11"/>
        <color rgb="FF000000"/>
        <rFont val="Tahoma"/>
        <family val="2"/>
        <charset val="204"/>
      </rPr>
      <t>Senses</t>
    </r>
    <r>
      <rPr>
        <sz val="11"/>
        <color rgb="FF000000"/>
        <rFont val="Tahoma"/>
        <family val="2"/>
        <charset val="204"/>
      </rPr>
      <t>: PP11, </t>
    </r>
    <r>
      <rPr>
        <i/>
        <sz val="11"/>
        <color rgb="FF000000"/>
        <rFont val="Tahoma"/>
        <family val="2"/>
        <charset val="204"/>
      </rPr>
      <t>Flyby</t>
    </r>
    <r>
      <rPr>
        <sz val="11"/>
        <color rgb="FF000000"/>
        <rFont val="Tahoma"/>
        <family val="2"/>
        <charset val="204"/>
      </rPr>
      <t>, Bite +3 (6 prc))</t>
    </r>
  </si>
  <si>
    <r>
      <t xml:space="preserve">Quipper </t>
    </r>
    <r>
      <rPr>
        <sz val="11"/>
        <color rgb="FF000000"/>
        <rFont val="Tahoma"/>
        <family val="2"/>
        <charset val="204"/>
      </rPr>
      <t>(Tiny, AC:13, HP:1, Spd 0 Swim 40,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Darkvision 60 PP8, </t>
    </r>
    <r>
      <rPr>
        <i/>
        <sz val="11"/>
        <color rgb="FF000000"/>
        <rFont val="Tahoma"/>
        <family val="2"/>
        <charset val="204"/>
      </rPr>
      <t>Blood Frenzy, Water Breathing</t>
    </r>
    <r>
      <rPr>
        <sz val="11"/>
        <color rgb="FF000000"/>
        <rFont val="Tahoma"/>
        <family val="2"/>
        <charset val="204"/>
      </rPr>
      <t>, Bite +5 (1 prc))</t>
    </r>
  </si>
  <si>
    <r>
      <t xml:space="preserve">Rat </t>
    </r>
    <r>
      <rPr>
        <sz val="11"/>
        <color rgb="FF000000"/>
        <rFont val="Tahoma"/>
        <family val="2"/>
        <charset val="204"/>
      </rPr>
      <t>(Tiny, AC:10, HP:1, Spd 20,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Darkvision 30 PP10,</t>
    </r>
    <r>
      <rPr>
        <i/>
        <sz val="11"/>
        <color rgb="FF000000"/>
        <rFont val="Tahoma"/>
        <family val="2"/>
        <charset val="204"/>
      </rPr>
      <t> Keen Smell,</t>
    </r>
    <r>
      <rPr>
        <sz val="11"/>
        <color rgb="FF000000"/>
        <rFont val="Tahoma"/>
        <family val="2"/>
        <charset val="204"/>
      </rPr>
      <t> Bite +0 (1 prc))</t>
    </r>
  </si>
  <si>
    <r>
      <t>Raven</t>
    </r>
    <r>
      <rPr>
        <sz val="11"/>
        <color rgb="FF000000"/>
        <rFont val="Tahoma"/>
        <family val="2"/>
        <charset val="204"/>
      </rPr>
      <t xml:space="preserve"> (Tiny, AC:12, HP:1, Spd 10 Fly 50, </t>
    </r>
    <r>
      <rPr>
        <i/>
        <sz val="11"/>
        <color rgb="FF000000"/>
        <rFont val="Tahoma"/>
        <family val="2"/>
        <charset val="204"/>
      </rPr>
      <t>Skills</t>
    </r>
    <r>
      <rPr>
        <sz val="11"/>
        <color rgb="FF000000"/>
        <rFont val="Tahoma"/>
        <family val="2"/>
        <charset val="204"/>
      </rPr>
      <t>: Perception +3, </t>
    </r>
    <r>
      <rPr>
        <i/>
        <sz val="11"/>
        <color rgb="FF000000"/>
        <rFont val="Tahoma"/>
        <family val="2"/>
        <charset val="204"/>
      </rPr>
      <t>Senses</t>
    </r>
    <r>
      <rPr>
        <sz val="11"/>
        <color rgb="FF000000"/>
        <rFont val="Tahoma"/>
        <family val="2"/>
        <charset val="204"/>
      </rPr>
      <t>: PP13, </t>
    </r>
    <r>
      <rPr>
        <i/>
        <sz val="11"/>
        <color rgb="FF000000"/>
        <rFont val="Tahoma"/>
        <family val="2"/>
        <charset val="204"/>
      </rPr>
      <t>Mimicry</t>
    </r>
    <r>
      <rPr>
        <sz val="11"/>
        <color rgb="FF000000"/>
        <rFont val="Tahoma"/>
        <family val="2"/>
        <charset val="204"/>
      </rPr>
      <t>, Beak +4 (1 prc))</t>
    </r>
  </si>
  <si>
    <r>
      <t xml:space="preserve">Scorpion </t>
    </r>
    <r>
      <rPr>
        <sz val="11"/>
        <color rgb="FF000000"/>
        <rFont val="Tahoma"/>
        <family val="2"/>
        <charset val="204"/>
      </rPr>
      <t>(Tiny, AC:11, HP:1, Spd 10,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Blindsight 10 PP9, Sting +2 (1 prc + DC9 Constitution or 4 poison))</t>
    </r>
  </si>
  <si>
    <r>
      <t>Sea Horse</t>
    </r>
    <r>
      <rPr>
        <sz val="11"/>
        <color rgb="FF000000"/>
        <rFont val="Tahoma"/>
        <family val="2"/>
        <charset val="204"/>
      </rPr>
      <t xml:space="preserve"> (Tiny, AC:11, HP:1, Spd 0 Swim 20,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PP10, </t>
    </r>
    <r>
      <rPr>
        <i/>
        <sz val="11"/>
        <color rgb="FF000000"/>
        <rFont val="Tahoma"/>
        <family val="2"/>
        <charset val="204"/>
      </rPr>
      <t>Waterbreathing</t>
    </r>
    <r>
      <rPr>
        <sz val="11"/>
        <color rgb="FF000000"/>
        <rFont val="Tahoma"/>
        <family val="2"/>
        <charset val="204"/>
      </rPr>
      <t>, no attacks)</t>
    </r>
  </si>
  <si>
    <r>
      <t xml:space="preserve">Spider </t>
    </r>
    <r>
      <rPr>
        <sz val="11"/>
        <color rgb="FF000000"/>
        <rFont val="Tahoma"/>
        <family val="2"/>
        <charset val="204"/>
      </rPr>
      <t>(Tiny, AC:12, HP:1, Spd 20 Climb 20, </t>
    </r>
    <r>
      <rPr>
        <i/>
        <sz val="11"/>
        <color rgb="FF000000"/>
        <rFont val="Tahoma"/>
        <family val="2"/>
        <charset val="204"/>
      </rPr>
      <t>Skills</t>
    </r>
    <r>
      <rPr>
        <sz val="11"/>
        <color rgb="FF000000"/>
        <rFont val="Tahoma"/>
        <family val="2"/>
        <charset val="204"/>
      </rPr>
      <t>: Stealth +4, </t>
    </r>
    <r>
      <rPr>
        <i/>
        <sz val="11"/>
        <color rgb="FF000000"/>
        <rFont val="Tahoma"/>
        <family val="2"/>
        <charset val="204"/>
      </rPr>
      <t>Senses</t>
    </r>
    <r>
      <rPr>
        <sz val="11"/>
        <color rgb="FF000000"/>
        <rFont val="Tahoma"/>
        <family val="2"/>
        <charset val="204"/>
      </rPr>
      <t>: Darkvision 30 PP10, </t>
    </r>
    <r>
      <rPr>
        <i/>
        <sz val="11"/>
        <color rgb="FF000000"/>
        <rFont val="Tahoma"/>
        <family val="2"/>
        <charset val="204"/>
      </rPr>
      <t>Spider Climb, Web Sense, Web Walker</t>
    </r>
    <r>
      <rPr>
        <sz val="11"/>
        <color rgb="FF000000"/>
        <rFont val="Tahoma"/>
        <family val="2"/>
        <charset val="204"/>
      </rPr>
      <t>, Bite +1 (1 prc + DC9 Constitution or 2 poison))</t>
    </r>
  </si>
  <si>
    <r>
      <t xml:space="preserve">Stirge </t>
    </r>
    <r>
      <rPr>
        <sz val="11"/>
        <color rgb="FF000000"/>
        <rFont val="Tahoma"/>
        <family val="2"/>
        <charset val="204"/>
      </rPr>
      <t>(Tiny, AC:14, HP:2, Spd 10 Fly 40, </t>
    </r>
    <r>
      <rPr>
        <i/>
        <sz val="11"/>
        <color rgb="FF000000"/>
        <rFont val="Tahoma"/>
        <family val="2"/>
        <charset val="204"/>
      </rPr>
      <t>Skills</t>
    </r>
    <r>
      <rPr>
        <sz val="11"/>
        <color rgb="FF000000"/>
        <rFont val="Tahoma"/>
        <family val="2"/>
        <charset val="204"/>
      </rPr>
      <t>: None, </t>
    </r>
    <r>
      <rPr>
        <i/>
        <sz val="11"/>
        <color rgb="FF000000"/>
        <rFont val="Tahoma"/>
        <family val="2"/>
        <charset val="204"/>
      </rPr>
      <t>Senses</t>
    </r>
    <r>
      <rPr>
        <sz val="11"/>
        <color rgb="FF000000"/>
        <rFont val="Tahoma"/>
        <family val="2"/>
        <charset val="204"/>
      </rPr>
      <t>: Darkvision 60 PP9, </t>
    </r>
    <r>
      <rPr>
        <i/>
        <sz val="11"/>
        <color rgb="FF000000"/>
        <rFont val="Tahoma"/>
        <family val="2"/>
        <charset val="204"/>
      </rPr>
      <t>Blood Drain</t>
    </r>
    <r>
      <rPr>
        <sz val="11"/>
        <color rgb="FF000000"/>
        <rFont val="Tahoma"/>
        <family val="2"/>
        <charset val="204"/>
      </rPr>
      <t> +5 (5 prc + blood drain)</t>
    </r>
  </si>
  <si>
    <r>
      <t xml:space="preserve">Weasel </t>
    </r>
    <r>
      <rPr>
        <sz val="11"/>
        <color rgb="FF000000"/>
        <rFont val="Tahoma"/>
        <family val="2"/>
        <charset val="204"/>
      </rPr>
      <t>(Tiny, AC:13, HP:1, Spd 30, </t>
    </r>
    <r>
      <rPr>
        <i/>
        <sz val="11"/>
        <color rgb="FF000000"/>
        <rFont val="Tahoma"/>
        <family val="2"/>
        <charset val="204"/>
      </rPr>
      <t>Skills</t>
    </r>
    <r>
      <rPr>
        <sz val="11"/>
        <color rgb="FF000000"/>
        <rFont val="Tahoma"/>
        <family val="2"/>
        <charset val="204"/>
      </rPr>
      <t>: Perception +3 Stealth +5, </t>
    </r>
    <r>
      <rPr>
        <i/>
        <sz val="11"/>
        <color rgb="FF000000"/>
        <rFont val="Tahoma"/>
        <family val="2"/>
        <charset val="204"/>
      </rPr>
      <t>Senses</t>
    </r>
    <r>
      <rPr>
        <sz val="11"/>
        <color rgb="FF000000"/>
        <rFont val="Tahoma"/>
        <family val="2"/>
        <charset val="204"/>
      </rPr>
      <t>: PP13, </t>
    </r>
    <r>
      <rPr>
        <i/>
        <sz val="11"/>
        <color rgb="FF000000"/>
        <rFont val="Tahoma"/>
        <family val="2"/>
        <charset val="204"/>
      </rPr>
      <t>Keen Hearing/Smell,</t>
    </r>
    <r>
      <rPr>
        <sz val="11"/>
        <color rgb="FF000000"/>
        <rFont val="Tahoma"/>
        <family val="2"/>
        <charset val="204"/>
      </rPr>
      <t> Bite +5 (1 prc))</t>
    </r>
  </si>
  <si>
    <r>
      <t xml:space="preserve">Wolf </t>
    </r>
    <r>
      <rPr>
        <sz val="11"/>
        <color rgb="FF000000"/>
        <rFont val="Tahoma"/>
        <family val="2"/>
        <charset val="204"/>
      </rPr>
      <t>(Medium, AC:13, HP:11, Spd 40, </t>
    </r>
    <r>
      <rPr>
        <i/>
        <sz val="11"/>
        <color rgb="FF000000"/>
        <rFont val="Tahoma"/>
        <family val="2"/>
        <charset val="204"/>
      </rPr>
      <t>Skills</t>
    </r>
    <r>
      <rPr>
        <sz val="11"/>
        <color rgb="FF000000"/>
        <rFont val="Tahoma"/>
        <family val="2"/>
        <charset val="204"/>
      </rPr>
      <t>: Perception +3 Stealth +4, </t>
    </r>
    <r>
      <rPr>
        <i/>
        <sz val="11"/>
        <color rgb="FF000000"/>
        <rFont val="Tahoma"/>
        <family val="2"/>
        <charset val="204"/>
      </rPr>
      <t>Senses</t>
    </r>
    <r>
      <rPr>
        <sz val="11"/>
        <color rgb="FF000000"/>
        <rFont val="Tahoma"/>
        <family val="2"/>
        <charset val="204"/>
      </rPr>
      <t>: PP13, </t>
    </r>
    <r>
      <rPr>
        <i/>
        <sz val="11"/>
        <color rgb="FF000000"/>
        <rFont val="Tahoma"/>
        <family val="2"/>
        <charset val="204"/>
      </rPr>
      <t>Keen Hearing/Smell, Pack Tactics,</t>
    </r>
    <r>
      <rPr>
        <sz val="11"/>
        <color rgb="FF000000"/>
        <rFont val="Tahoma"/>
        <family val="2"/>
        <charset val="204"/>
      </rPr>
      <t> Bite +4 (7 prc + DC11 Stength or prone))</t>
    </r>
  </si>
  <si>
    <t>Beast Master Ranger Animal Companion List</t>
  </si>
  <si>
    <t>Verbal</t>
  </si>
  <si>
    <t>Somatic</t>
  </si>
  <si>
    <t>Material</t>
  </si>
  <si>
    <t>At 8th level, you gain the ability to infuse your weapon strikes with necrotic energy -  gift from your deity. Once on each of your turns when you hit a creature with a weapon attack, you can cause the attack to deal an extra 1d8 necrotic damage to the target. When you reach 14th level, the extra damage increases to 2d8.</t>
  </si>
  <si>
    <t>WarlockInvoc</t>
  </si>
  <si>
    <t>Skill10</t>
  </si>
  <si>
    <t>Skill11</t>
  </si>
  <si>
    <t>Skill12</t>
  </si>
  <si>
    <t>Assassin: Bonus Proficiencies</t>
  </si>
  <si>
    <t>Assassin</t>
  </si>
  <si>
    <t>Class Feature</t>
  </si>
  <si>
    <t>1 - exist, 0 - no</t>
  </si>
  <si>
    <t>While raging, creatures within 5 feet have disadvantage on attack rolls against other targets. Enemy is immune if it can’t see,    hear or be frightened.</t>
  </si>
  <si>
    <t>While raging and not wearing heavy armor, other creatures have disadvantage on opportunity attack rolls. Use the Dash action as a bonus action.</t>
  </si>
  <si>
    <t>Prerequisite</t>
  </si>
  <si>
    <t>9 level</t>
  </si>
  <si>
    <t>7 level</t>
  </si>
  <si>
    <t>Eldritch blast cantrip</t>
  </si>
  <si>
    <t>15 level</t>
  </si>
  <si>
    <t>5 level</t>
  </si>
  <si>
    <t>15 level, Pact of the Chain</t>
  </si>
  <si>
    <t>12 level, Pact of the Blade</t>
  </si>
  <si>
    <t>5 level, Pact of the Blade</t>
  </si>
  <si>
    <t>Pact</t>
  </si>
  <si>
    <t xml:space="preserve">Lawful good creatures can be counted on to do the right thing, as expected by society. Gold dragons, paladins, and most dwarves are lawful good.  </t>
  </si>
  <si>
    <t xml:space="preserve">Neutral good folk do the best they can to help others according to their needs. Many celestials, some cloud giants, and most gnomes are neutral good.  </t>
  </si>
  <si>
    <t xml:space="preserve">Chaotic good creatures act as their conscience directs, with little regard for what others expect. Copper dragons, many elves, and unicorns are chaotic good.  </t>
  </si>
  <si>
    <t xml:space="preserve">Lawful neutral individuals act in accordance with law, tradition, or personal codes. Many monks and some wizards are lawful neutral.  </t>
  </si>
  <si>
    <t xml:space="preserve">Neutral is the alignment of those that prefer to steer clear of moral questions and don’t take sides, doing what seems best at the time. Lizardfolk, most druids, and many humans are neutral.  </t>
  </si>
  <si>
    <t xml:space="preserve">Chaotic neutral creatures follow their whims, holding their personal freedom above all else. Many barbarians and rogues, and some bards, are chaotic neutral.  </t>
  </si>
  <si>
    <t xml:space="preserve">Lawful evil creatures methodically take what they want, within the limits of a code of tradition, loyalty, or order. Devils, blue dragons, and hobgoblins are lawful evil.  </t>
  </si>
  <si>
    <t xml:space="preserve">Neutral evil is the alignment of those that do whatever they can get away with, without compassion or qualms. Many drow, some cloud giants, and yugoloths are neutral evil.  </t>
  </si>
  <si>
    <t>Chaotic evil creatures act with arbitrary violence, spurred by their greed, hatred, or bloodlust. Demons, red dragons, and orcs are chaotic evil.</t>
  </si>
  <si>
    <t>LEVEL</t>
  </si>
  <si>
    <t>ritual</t>
  </si>
  <si>
    <t>Abjuration</t>
  </si>
  <si>
    <t>Conjuration</t>
  </si>
  <si>
    <t>Enchantment</t>
  </si>
  <si>
    <t>Evocation</t>
  </si>
  <si>
    <t>Illusion</t>
  </si>
  <si>
    <t>Necromancy</t>
  </si>
  <si>
    <t>Transmutation</t>
  </si>
  <si>
    <t>CANTRIP</t>
  </si>
  <si>
    <t>instant</t>
  </si>
  <si>
    <t>8 hrs</t>
  </si>
  <si>
    <t>a tiny strip of white cloth</t>
  </si>
  <si>
    <t>1 min ᴿ</t>
  </si>
  <si>
    <t>a tiny bell and a piece of fine silver wire</t>
  </si>
  <si>
    <t>self</t>
  </si>
  <si>
    <t>1 hr ᶜᵒᶰ</t>
  </si>
  <si>
    <t>24 hrs</t>
  </si>
  <si>
    <t>a morsel of food</t>
  </si>
  <si>
    <t>24 hrs ᶜᵒᶰ</t>
  </si>
  <si>
    <t>1 min</t>
  </si>
  <si>
    <t>a drop of blood, a piece of flesh, and a pinch of bone dust</t>
  </si>
  <si>
    <t>120 ft</t>
  </si>
  <si>
    <t>1 min ᶜᵒᶰ</t>
  </si>
  <si>
    <t>a pinch of powdered iron or iron filings</t>
  </si>
  <si>
    <t>1 hr</t>
  </si>
  <si>
    <t>either a lump of alum soaked in vinegar for the antipathy effect or a drop of honey for the sympathy effect</t>
  </si>
  <si>
    <t>a bit of bat fur</t>
  </si>
  <si>
    <t>500 ft</t>
  </si>
  <si>
    <t>10 min ᶜᵒᶰ</t>
  </si>
  <si>
    <t>touch</t>
  </si>
  <si>
    <t>dispelled</t>
  </si>
  <si>
    <t>gold dust worth at least 25 gp, which the spell consumes</t>
  </si>
  <si>
    <t>a cup of water</t>
  </si>
  <si>
    <t>special</t>
  </si>
  <si>
    <t>for each creature you affect with this spell, you must provide one jacinth worth at least 1,000 gp and one ornately carved bar of silver worth at least 100 gp, all of which the spell consumes</t>
  </si>
  <si>
    <t>specially marked sticks, bones, or similar tokens worth at least 25 gp</t>
  </si>
  <si>
    <t>an agate worth at least 1,000 gp, which the spell consumes</t>
  </si>
  <si>
    <t>a drop of blood</t>
  </si>
  <si>
    <t>The next time you hit a creature with a weapon attack before this spell ends, your weapon crackles with force, and the attack deals an extra 5d10 force damage to the target. Additionally, if this attack reduces the target to 50 hit points or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target reappears in the space it left or in the nearest unoccupied space if that space is occupied.</t>
  </si>
  <si>
    <t>an item distasteful to the target</t>
  </si>
  <si>
    <t>a handful of oak bark</t>
  </si>
  <si>
    <t>You touch a willing creature. Until the spell ends, the target’s skin has a rough, bark-like appearance, and the target’s AC can’t be less than 16, regardless of what kind of armor it is wearing.</t>
  </si>
  <si>
    <t>an eggshell and a snakeskin glove</t>
  </si>
  <si>
    <t>90 ft</t>
  </si>
  <si>
    <t>1 rnd</t>
  </si>
  <si>
    <t>a sprinkling of holy water</t>
  </si>
  <si>
    <t>150 ft</t>
  </si>
  <si>
    <t>a bit of fur; a piece of amber, glass, or a crystal rod; and three silver pins</t>
  </si>
  <si>
    <t>a diamond worth at least 50 gp</t>
  </si>
  <si>
    <t>the powder of a crushed black pearl worth at least 500 gp</t>
  </si>
  <si>
    <t>10 min</t>
  </si>
  <si>
    <t>a focus worth at least 100 gp, either a jeweled horn for hearing or a glass eye for seeing</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</si>
  <si>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</si>
  <si>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a sliver of glass</t>
  </si>
  <si>
    <t>a pinch of powder or sand that is colored red, yellow, and blue</t>
  </si>
  <si>
    <t>incense and a vial of holy or unholy water</t>
  </si>
  <si>
    <t>a pinch of soot and salt</t>
  </si>
  <si>
    <t>a small crystal or glass cone</t>
  </si>
  <si>
    <t>three nut shells</t>
  </si>
  <si>
    <t>one piece of ammunition or a thrown weapon</t>
  </si>
  <si>
    <t>burning incense for air, soft clay for earth, sulfur and phosphorus for fire, or water and sand for water</t>
  </si>
  <si>
    <t>one piece of ammunition or one thrown weapon</t>
  </si>
  <si>
    <t>one holly berry per creature summoned</t>
  </si>
  <si>
    <t>a statuette of yourself carved from ivory and decorated with gems worth at least 1,500 gp</t>
  </si>
  <si>
    <t>ruby dust worth 50 gp, which the spell consumes</t>
  </si>
  <si>
    <t>300 ft</t>
  </si>
  <si>
    <t>a drop of water and a pinch of dust</t>
  </si>
  <si>
    <t>Control Weather</t>
  </si>
  <si>
    <t>8 hrs ᶜᵒᶰ</t>
  </si>
  <si>
    <t>burning incense and bits of earth and wood mixed in water</t>
  </si>
  <si>
    <t>5 ft</t>
  </si>
  <si>
    <t>four or more arrows or bolts</t>
  </si>
  <si>
    <t>1 react</t>
  </si>
  <si>
    <t>a drop of water if creating water or a few grains of sand if destroying it</t>
  </si>
  <si>
    <t>one clay pot filled with grave dirt, one clay pot filled with brackish water and one 150 gp black onyx stone for each corpse</t>
  </si>
  <si>
    <t>a tiny piece of matter of the same type of the item you plan to create</t>
  </si>
  <si>
    <t>a bit of phosphorus or wychwood, or a glowworm</t>
  </si>
  <si>
    <t>bat fur and a drop of pitch or piece of coal</t>
  </si>
  <si>
    <t>either a pinch of dried carrot or an agate</t>
  </si>
  <si>
    <t>a tiny ball of bat guano and sulfur</t>
  </si>
  <si>
    <t>a yew leaf</t>
  </si>
  <si>
    <t>a copper piece</t>
  </si>
  <si>
    <t>a lodestone and a pinch of dust</t>
  </si>
  <si>
    <t>holy water or power silver and iron</t>
  </si>
  <si>
    <t>incense and a sacrificial offering appropriate to your religion, together worth at least 25 gp, which the spell consumes</t>
  </si>
  <si>
    <t>Drawmij's Instant Summons</t>
  </si>
  <si>
    <t>a sapphire worth 1,000 gp</t>
  </si>
  <si>
    <t>a handful of sand, a dab of ink, and a writing quill plucked from a sleeping bird</t>
  </si>
  <si>
    <t>a pinch of dirt, a piece of rock, and a lump of clay</t>
  </si>
  <si>
    <t>fur or a feather from a beast</t>
  </si>
  <si>
    <t>a pinch of powdered iron</t>
  </si>
  <si>
    <t>a piece of tentacle from a giant octopus or a giant squid</t>
  </si>
  <si>
    <t>a small amount of alcohol or distilled spirits</t>
  </si>
  <si>
    <t>a white feather or the heart of a hen</t>
  </si>
  <si>
    <t>a small feather or piece of down</t>
  </si>
  <si>
    <t>a handful of clay, crystal, glass, or mineral spheres</t>
  </si>
  <si>
    <t>a pinch of graveyard dirt</t>
  </si>
  <si>
    <t>1 hr ᴿ</t>
  </si>
  <si>
    <t>10 gp worth of charcoal, incense, and herbs that must be consumed by fire in a brass brazier</t>
  </si>
  <si>
    <t>1 day ᶜᵒᶰ</t>
  </si>
  <si>
    <t>a set of divinatory tools - such as bones, ivory sticks, cards, teeth, or carved runes - worth 100 gp and an object from the location you wish to find</t>
  </si>
  <si>
    <t>a bit of phosphorus or a firefly</t>
  </si>
  <si>
    <t>leaf of sumac</t>
  </si>
  <si>
    <t>a pinch of sulphur</t>
  </si>
  <si>
    <t>a bit of tallow, a pinch of brimstone, and a dusting of powdered iron</t>
  </si>
  <si>
    <t>a pinch of lime, water, and earth</t>
  </si>
  <si>
    <t>a wing feather from any bird</t>
  </si>
  <si>
    <t>10 min ᴿ</t>
  </si>
  <si>
    <t>a sprinkling of holy water, rare incense, and powered ruby worth at least 1,000 gp</t>
  </si>
  <si>
    <t>100 ft</t>
  </si>
  <si>
    <t>ruby dust worth 1,500 gp</t>
  </si>
  <si>
    <t>a hummingbird feather</t>
  </si>
  <si>
    <t>a leather strap bound, around the arm or a similar appendage</t>
  </si>
  <si>
    <t>a small amount of makeup applied to the face as this spell is cast</t>
  </si>
  <si>
    <t>a bit of gauze and a wisp of smoke</t>
  </si>
  <si>
    <t>a diamond worth at least 5,000 gp</t>
  </si>
  <si>
    <t>a pinch of salt and one copper piece placed on each of the corpse’s eyes, which must remain there for the duration</t>
  </si>
  <si>
    <t>a glass or crytal bead that shatters when the spell ends</t>
  </si>
  <si>
    <t>triggered</t>
  </si>
  <si>
    <t>incense and powdered diamond worth at least 200 gp, which the spell consumes</t>
  </si>
  <si>
    <t>a sprig of mistletoe</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</si>
  <si>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</si>
  <si>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bit of pork rind or butter</t>
  </si>
  <si>
    <t>diamond dust worth at least 100 gp, which the spell consumes</t>
  </si>
  <si>
    <t>burning incense, a small measure of brimstone and oil, a knotted string, a small amount of umber hulk blood, and a small silver rod worth at least 10 gp</t>
  </si>
  <si>
    <t>a legume seed</t>
  </si>
  <si>
    <t>herbs, oils, and incense worth at least 1,000 gp, which the spell consumes</t>
  </si>
  <si>
    <t>a stone, a twig, and a bit of green plant</t>
  </si>
  <si>
    <t>a shaving of licorice root</t>
  </si>
  <si>
    <t>a piece of iron and a flame</t>
  </si>
  <si>
    <t>a gem-encrusted bowl worth at least 1,000 gp, which the spell comsumes</t>
  </si>
  <si>
    <t>the petrified eye of a newt</t>
  </si>
  <si>
    <t>a small, straight piece of iron</t>
  </si>
  <si>
    <t>a tiny reliquary worth at least 1,000 gp containing a sacred relic, such as a scrap of cloth from a saint’s robe or a piece of parchment from a religious text</t>
  </si>
  <si>
    <t>a pickled octopus tentacle</t>
  </si>
  <si>
    <t>a glowing stick of incense or a crystal vial filled with phosphorescent material</t>
  </si>
  <si>
    <t>a pinch of dust and a few drops of water</t>
  </si>
  <si>
    <t>a pearl worth at least 100 gp and an owl feather</t>
  </si>
  <si>
    <t>a lead-based ink worth at least 10 gp, which the spell consumes</t>
  </si>
  <si>
    <t>a vellum depiction or a carved statuette in the likeness of the target, and a special component that varies according to the version of the spell you choose, worth at least 500 gp per Hit Die of the target</t>
  </si>
  <si>
    <t>a few grains of sugar, some kernels of grain, and a smear of fat</t>
  </si>
  <si>
    <t>an eyelash encased in gum arabic</t>
  </si>
  <si>
    <t>a grasshopper’s hind leg</t>
  </si>
  <si>
    <t>incense worth at least 250 gp, which the spell consumes, and four ivory strips worth at least 50 gp each</t>
  </si>
  <si>
    <t>an exquisite chest, 3 feet by 2 feet by 2 feet, constructed from rare materials worth at least 5,000 gp, and a Tiny replica made from the same materials worth at least 50 gp</t>
  </si>
  <si>
    <t>a small crystal bead</t>
  </si>
  <si>
    <t>either a small leather loop or a piece of golden wire bent into a cup shape with a long shank on one end</t>
  </si>
  <si>
    <t>a firefly or phosphorescent moss</t>
  </si>
  <si>
    <t>a bit of fur and a rod of amber, crystal, or glass</t>
  </si>
  <si>
    <t>a bit of fur from a bloodhound</t>
  </si>
  <si>
    <t>a forked twig</t>
  </si>
  <si>
    <t>a pinch of dirt</t>
  </si>
  <si>
    <t>You touch a creature. The target’s speed increases by 10 feet until the spell ends.</t>
  </si>
  <si>
    <t>a piece of cured leather</t>
  </si>
  <si>
    <t>holy water or powdered silver and iron worth at least 100 gp, which the spell consumes</t>
  </si>
  <si>
    <t>a gem, crystal, reliquary, or some other ornamental container worth at least 500 gp</t>
  </si>
  <si>
    <t>a small bit of honeycomb and jade dust worth at least 10 gp, which the spell consumes</t>
  </si>
  <si>
    <t>a bit of fleece</t>
  </si>
  <si>
    <t>a snake’s tongue and either a bit of honeycomb or a drop of sweet oil</t>
  </si>
  <si>
    <t>powdered rhubarb leaf and an adder’s stomach</t>
  </si>
  <si>
    <t>Touch an object that is no larger than a 5-foot cube, such as a broken chain link, two halves of a broken key, a torn cloak, or a leaking wineskin. A single break or tear in the object is mended, and any trace of the former damage is erased. An object with multiple breaks can be fixed with multiple applications of mending. This spell can physically repair a magic item or construct, but the spell cannot restore magic to such an object.</t>
  </si>
  <si>
    <t>a short piece of copper wire</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</si>
  <si>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</si>
  <si>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sight</t>
  </si>
  <si>
    <t>several seeds of any moonseed plant and a piece of opalescent feldspar</t>
  </si>
  <si>
    <t>Mordenkainen's Faithful Hound</t>
  </si>
  <si>
    <t>a tiny silver whistle, a piece of bone, and a thread</t>
  </si>
  <si>
    <t>Mordenkainen's Magnificent Mansion</t>
  </si>
  <si>
    <t>a miniature portal carved from ivory, a small piece of polished marble, and a tiny silver spoon, each item worth at least 5 gp</t>
  </si>
  <si>
    <t>Mordenkainen's Private Sanctum</t>
  </si>
  <si>
    <t>a thin sheet of lead, a piece of opaque glass, a wad of cotton or cloth, and powered chrysolite</t>
  </si>
  <si>
    <t>Mordenkainen's Sword</t>
  </si>
  <si>
    <t>a miniature platinum sword with a grip and pommel of copper and zinc, worth 250 gp</t>
  </si>
  <si>
    <t>2 hrs ᶜᵒᶰ</t>
  </si>
  <si>
    <t>an iron blade and a small bag containing a mixture of soils—clay, loam, and sand</t>
  </si>
  <si>
    <t>a pinch of diamond dust worth 25 gp sprinkled over the target, which the spell consumes</t>
  </si>
  <si>
    <t>a small square of silk</t>
  </si>
  <si>
    <t>a small crystal sphere</t>
  </si>
  <si>
    <t>a hemispherical piece of clear crystal and a matching hemispherical piece of gum arabic</t>
  </si>
  <si>
    <t>ashes from a burned leaf of mistletoe and a sprig of spruce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</si>
  <si>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</si>
  <si>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 xml:space="preserve"> a pinch of sesame seeds</t>
  </si>
  <si>
    <t>a jewel worth a least 1,000 gp, which the spell consumes</t>
  </si>
  <si>
    <t>a forked, metal rod worth at least 250 gp, attuned to a particular plane of existence</t>
  </si>
  <si>
    <t>You extend your hand toward a creature you can see within range and project a puff of noxious gas from your palm. The creature must succeed on a Constitution saving throw or take 1d12 poison damage. This spell’s damage increases by 1d12 when you reach 5th level (2d12), 11th level (3d12), and 17th level (4d12).</t>
  </si>
  <si>
    <t>a caterpillar cocoon</t>
  </si>
  <si>
    <t>up to 1 hr</t>
  </si>
  <si>
    <t>a bit fleece and jade dust worth at least 25 gp</t>
  </si>
  <si>
    <t>a small replica of you mad from materials worth at least 5 gp</t>
  </si>
  <si>
    <t>holy water or powdered silver and iron, which the spell consumes</t>
  </si>
  <si>
    <t>a diamond worth at least 500 gp, which the spell consumes</t>
  </si>
  <si>
    <t>pieces of eggshell from two different kinds of creatures</t>
  </si>
  <si>
    <t>a prayer wheel and holy water</t>
  </si>
  <si>
    <t>rare oils and unguents worth at least 1,000 gp, which the spell consumes</t>
  </si>
  <si>
    <t>a miniature cloak</t>
  </si>
  <si>
    <t>a diamond worth at least 1,000 gp, which the spell consumes</t>
  </si>
  <si>
    <t>a lodestone and iron filings</t>
  </si>
  <si>
    <t>diamonds worth at least 300 gp, which the spell consumes</t>
  </si>
  <si>
    <t>You touch a creature that has died within the last minute. That creature returns to life with 1 hit point. This spell can’t return to life a creature that has died of old age, nor can it restore any missing body parts</t>
  </si>
  <si>
    <t>powdered corn extract and a twisted loop of parchment</t>
  </si>
  <si>
    <t>a small silver mirror</t>
  </si>
  <si>
    <t>You ward a creature within range against attack. Until the spell ends, any creature who targets the warded creature with an attack or a harmful spell must first make a Wisdom saving throw. On a failed save, the creature must choose a new target or lose the attack</t>
  </si>
  <si>
    <t>a focus worth at least 1,000 gp, either a crystal ball, a silver mirror, or a font filled with holy water</t>
  </si>
  <si>
    <t>a pinch of talc and a small sprinkling of powdered silver</t>
  </si>
  <si>
    <t>unlimited</t>
  </si>
  <si>
    <t>a short piece of fine copper wire</t>
  </si>
  <si>
    <t>a power composed of diamond, emerald, ruby, and sapphire dust worth at least 5,000 gp, which the spell consumes</t>
  </si>
  <si>
    <t>a jade circlet worth a least 1,500 gp, which you must place on your head before you cast the spell</t>
  </si>
  <si>
    <t>a chip of mica</t>
  </si>
  <si>
    <t>a small parchment with a bit of holy text written on it</t>
  </si>
  <si>
    <t>mistletoe, a shamrock leaf, and a club or quarterstaff</t>
  </si>
  <si>
    <t>12 hrs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</si>
  <si>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</si>
  <si>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a pinch of fine sand, rose petals, or a cricket</t>
  </si>
  <si>
    <t>a drop of molasses</t>
  </si>
  <si>
    <t>burning incense</t>
  </si>
  <si>
    <t>a drop of bitumen and a spider</t>
  </si>
  <si>
    <t>seven sharp thorns or seven small twigs, each sharpened to a point</t>
  </si>
  <si>
    <t>a holy symbol</t>
  </si>
  <si>
    <t>a rotten egg or several skunk cabbage leaves</t>
  </si>
  <si>
    <t>soft clay, which must be worked into roughly the desired shape of the stone object</t>
  </si>
  <si>
    <t>diamond dust worth 100 gp</t>
  </si>
  <si>
    <t>a magnifying glass</t>
  </si>
  <si>
    <t>fire and a piece of sunstone</t>
  </si>
  <si>
    <t>mercury, phosphorus, and powered diamond and opal with a total of at least 1,000 gp, which the spell consumes</t>
  </si>
  <si>
    <t>tiny tarts and a feather that is waved in the air</t>
  </si>
  <si>
    <t>a pair of linked silver rings</t>
  </si>
  <si>
    <t>rare chalks and inks infused with precious gems worth 50 gp, which the spell consumes</t>
  </si>
  <si>
    <t>a drop of mercury</t>
  </si>
  <si>
    <t>up to 1 min</t>
  </si>
  <si>
    <t>the stem of a plant with thorns</t>
  </si>
  <si>
    <t>a small clay model of a ziggurat</t>
  </si>
  <si>
    <t>Trap the Soul</t>
  </si>
  <si>
    <t>permanent</t>
  </si>
  <si>
    <t>a gemstone worth at least 1,000 gp for each Hit Die of the creature that is trapped</t>
  </si>
  <si>
    <t>a drop of mercury, a dollop of gum arabic, and a wisp of smoke</t>
  </si>
  <si>
    <t>a sprinkle of holy water and diamonds worth at least 25,000 gp, which the spell consumes</t>
  </si>
  <si>
    <t>an ointment for the eyes that costs 25 gp and is made from mushroom powder, saffron, and fat</t>
  </si>
  <si>
    <t>1 rnd ᶜᵒᶰ</t>
  </si>
  <si>
    <t>6 rnd ᶜᵒᶰ</t>
  </si>
  <si>
    <t>a piece of string and a bit of wood</t>
  </si>
  <si>
    <t xml:space="preserve"> a small piece of phosphorus</t>
  </si>
  <si>
    <t>a pinch of powder made by crushing a clear gemstone</t>
  </si>
  <si>
    <t>a small piece of quartz</t>
  </si>
  <si>
    <t>a small block of granite</t>
  </si>
  <si>
    <t>a pair of platinum rings worth at least 50 gp each, which you and the target must wear for the duration</t>
  </si>
  <si>
    <t>a short reed or piece of straw</t>
  </si>
  <si>
    <t>a piece of cork</t>
  </si>
  <si>
    <t>This spell grants the ability to move across any liquid surface—such as water, acid, mud, snow, quicksand, or lava—as if it were harmless solid ground (creatures crossing molten lava can still take damage from the heat). Up to ten willing creatures you can see within range gain this ability for the duration. If you target a creature submerged in a liquid, the spell carries the target to the surface of the liquid at a rate of 60 feet per round.</t>
  </si>
  <si>
    <t>a bit of spiderweb</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</si>
  <si>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 es frightened for the duration. The illusion calls on the creature’s deepest fears, manifesting its worst nightmares as an implacable threat. At the start of each of the frightened creature’s turns, it must succeed on a Wisdom saving throw or take 4d10 psychic damage. On a successful save, the spell ends for that creature.</t>
  </si>
  <si>
    <t>a tiny fan and a feather of exotic origin</t>
  </si>
  <si>
    <t>a twig from a tree that has been struck by lightning</t>
  </si>
  <si>
    <t>Abi-Dalzim’s Horrid Wilting</t>
  </si>
  <si>
    <t>a bit of sponge</t>
  </si>
  <si>
    <t>Absorb Elements</t>
  </si>
  <si>
    <t>Aganazzar’s Scorcher</t>
  </si>
  <si>
    <t>a red dragon’s scale</t>
  </si>
  <si>
    <t>Beast Bond</t>
  </si>
  <si>
    <t>a bit of fur wrapped in a cloth</t>
  </si>
  <si>
    <t>Bones of the Earth</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</si>
  <si>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</si>
  <si>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 At Higher Levels. When you cast this spell using a spell slot of 2nd level or higher, the maximum weight of objects that you can target with this spell increases by 5 pounds, and the damage increases by 1d8, for each slot level above 1st.</t>
  </si>
  <si>
    <t>Create Bonfire</t>
  </si>
  <si>
    <t>Control Flames</t>
  </si>
  <si>
    <t>Control Winds</t>
  </si>
  <si>
    <t>Dust Devil</t>
  </si>
  <si>
    <t>a pinch of dust</t>
  </si>
  <si>
    <t>Earthbind</t>
  </si>
  <si>
    <t>Earth Tremor</t>
  </si>
  <si>
    <t>Elemental Bane</t>
  </si>
  <si>
    <t>Erupting Earth</t>
  </si>
  <si>
    <t>a piece of obsidian</t>
  </si>
  <si>
    <t>Flame Arrows</t>
  </si>
  <si>
    <t>Frostbite</t>
  </si>
  <si>
    <t>Gust</t>
  </si>
  <si>
    <t>Ice Knife</t>
  </si>
  <si>
    <t>a drop of water or piece of ice</t>
  </si>
  <si>
    <t>Immolation</t>
  </si>
  <si>
    <t>Investiture of Flame</t>
  </si>
  <si>
    <t>Investiture of Ice</t>
  </si>
  <si>
    <t>Investiture of Stone</t>
  </si>
  <si>
    <t>Investiture of Wind</t>
  </si>
  <si>
    <t>Maelstrom</t>
  </si>
  <si>
    <t>paper or leaf in the shape of a funnel</t>
  </si>
  <si>
    <t>Magic Stone</t>
  </si>
  <si>
    <t>Maximilian’s Earthen Grasp</t>
  </si>
  <si>
    <t>a miniature hand sculpted from clay</t>
  </si>
  <si>
    <t>Melf’s Minute Meteors</t>
  </si>
  <si>
    <t>niter, sulfur, and pine tar formed into a bead</t>
  </si>
  <si>
    <t>Mold Earth</t>
  </si>
  <si>
    <t>Primordial Ward</t>
  </si>
  <si>
    <t>Pyrotechnics</t>
  </si>
  <si>
    <t>in</t>
  </si>
  <si>
    <t>Shape Water</t>
  </si>
  <si>
    <t>Skywrite</t>
  </si>
  <si>
    <t>Snilloc’s Snowball Swarm</t>
  </si>
  <si>
    <t>a piece of ice or a small white rock chip</t>
  </si>
  <si>
    <t>Storm Sphere</t>
  </si>
  <si>
    <t>Thunderclap</t>
  </si>
  <si>
    <t>Tidal Wave</t>
  </si>
  <si>
    <t>a drop of water</t>
  </si>
  <si>
    <t>Transmute Rock</t>
  </si>
  <si>
    <t>clay and water</t>
  </si>
  <si>
    <t>Vitriolic Sphere</t>
  </si>
  <si>
    <t>a drop of giant slug bile</t>
  </si>
  <si>
    <t>Wall of Sand</t>
  </si>
  <si>
    <t>a handful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</si>
  <si>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</si>
  <si>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Wall of Water</t>
  </si>
  <si>
    <t>Warding Wind</t>
  </si>
  <si>
    <t>Watery Sphere</t>
  </si>
  <si>
    <t>a droplet of water</t>
  </si>
  <si>
    <t>Whirlwind</t>
  </si>
  <si>
    <t>a piece of straw</t>
  </si>
  <si>
    <t>You hurl a bubble of acid. Choose one creature within range, or choose two creatures within range that are within 5 feet of each other. A target must succeed on a Dexterity saving throw or take 1d6 acid damage. This spell’s damage increases by 1d6 when you reach 5th level (2d6), 11th level (3d6), and 17th level (4d6).</t>
  </si>
  <si>
    <t>Your spell bolsters your allies with toughness and resolve. Choose up to three creatures within range. Each target’s hit point maximum and current hit points increase by 5 for the duration. At Higher Levels. When you cast this spell using a spell slot of 3rd level or higher, a target’s hit points increase by an additional 5 for each slot level above 2nd.</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</si>
  <si>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</si>
  <si>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spells ends. At Higher Levels. When you cast this spell using a spell slot of 2nd level or higher, you can affect one additional beast for each slot level above 1st.</t>
  </si>
  <si>
    <t>By means of this spell, you use an animal to deliver a message. Choose a Tiny beast you can see within range, such as a squirrel, a blue jay, or a bat.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 At Higher Levels. If you cast this spell using a spell slot of 3nd level or higher, the duration of the spell increases by 48 hours for each slot level above 2nd.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</si>
  <si>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control of the creature for another 24 hours, you must cast this spell on the creature again before the current 24-hour period ends. This use of the spell reasserts your control over up to four creatures you have animated with this spell, rather than animating a new one. At Higher Levels. When you cast this spell using a spell slot of 4th level or higher, you animate or reassert control over two additional undead creatures for each slot level above 3rd. Each of the creatures must come from a different corpse or pile of bones.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</si>
  <si>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Size HP AC Attack Str Dex Tiny 20 18 +8 to hit, 1d4+4 damage 4 18 Small 25 16 +6 to hit, 1d8+2 damage 6 14 Medium 40 13 +5 to hit, 2d6+1 damage 10 12 Large 50 10 +6 to hit, 2d10+2 damage 14 10 Huge 80 10 +8 to hit, 2d12+4 damage 18 6 An animated object is a construct with AC, hit points, attacks, Strength, and Dexterity determined by its size. Its Constitution is 10 and its Intelligence and Wisdom are 3, and its Charisma is 1. Its speed is 30 feet; if the object lacks legs or other appendages it can use for locomotion, it instead has a flying speed of 30 feet and can hover. If the object is securely attached to a surface or a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determined by its size. The DM might rule that a specific object inflicts slashing or piercing damage based on its form. At Higher Levels. If you cast this spell using a spell slot of 6th level or higher, you can animate two additional objects for each slot level above 5th.</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</si>
  <si>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longsword in the sphere functions as a nonmagical longsword. A magic weapon’s properties and powers are suppressed if it is used against a target in the sphere or wielded by an attacker in the sphere. If a magic weapon or a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</si>
  <si>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 is allowed another Wisdom saving throw every 24 hours while the spell persists. A creature that successfully saves against this effect is immune to it for 1 minute, after which time it can be affected again.</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</si>
  <si>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</si>
  <si>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</si>
  <si>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</si>
  <si>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A protective magical force surrounds you, manifesting as a spectral frost that covers you and your gear. You gain 5 temporary hit points for the duration. If a creature hits you with a melee attack while you have these hit points, the creature takes 5 cold damage. At Higher Levels. When you cast this spell using a spell slot of 2nd level or higher, both the temporary hit points and the cold damage increase by 5 for each slot level above 1st.</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</si>
  <si>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 At Higher Levels. When you cast this spell using a spell slot of 2nd level or higher, the damage increases by 1d6 for each slot level above 1st.</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</si>
  <si>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</si>
  <si>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</si>
  <si>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or your companions do anything harmful to it. When the charmed condition ends, the awakened creature chooses whether to remain friendly to you, based on how you treated it while it was charmed.</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</si>
  <si>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 At Higher Levels. When you cast this spell using a spell slot of 2nd level or higher, you can target one additional creature for each slot level above 1st.</t>
  </si>
  <si>
    <t>You attempt to send one creature that you can see within range to another plane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than the one you’re on, the target is banished with a faint popping noise, returning to its home plane. If the spell ends before 1 minute has passed, the target reappears in the space it left or in the nearest unoccupied space if that space is occupied. Otherwise, the target doesn't return. At Higher Levels. When you cast this spell using a spell slot of 5th level or higher, you can target one additional creature for each slot level above 4th.</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</si>
  <si>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 At Higher Levels. 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</si>
  <si>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 At Higher Levels. When you cast this spell using a spell slot of 6th level or higher, the damage from the clenched fist option increases by 2d8 and the damage from the grasping hand increases by 2d6 for each slot level above 5th.</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</si>
  <si>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</si>
  <si>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You bless up to three creatures of your choice within range. Whenever a target makes an attack roll or a saving throw before the spell ends, the target can roll a d4 and add the number rolled to the attack roll or saving throw. At Higher Levels. When you cast this spell using a spell slot of 2nd level or higher, you can target one additional creature for each slot level above 1st.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</si>
  <si>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 At Higher Levels. When you cast this spell using a spell slot of 5th level or higher, the damage increases by 1d8 for each slot level above 4th.</t>
  </si>
  <si>
    <t>The next time you hit a creature with a melee weapon attack during this spell’s duration, your weapon flares with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</si>
  <si>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 At Higher Levels. When you cast this spell using a spell slot of 3rd level or higher, you can target one additional creature for each slot level above 2nd</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</si>
  <si>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your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there more than 60 feet away. You can only affect and be affected by other creatures on the Ethereal Plane. Creatures that aren’t there can’t perceive you or interact with you, unless they have the ability to do so.</t>
  </si>
  <si>
    <t>The next time you hit a creature with a weapon attack before this spell ends, the weapon gleams with astral radiance as you strike. The attack deals an extra 2d6 radiant damage to the target, which becomes visible if it’s invisible, and the target sheds dim light in a 5-foot radius and can’t become invisible until the spell ends. At Higher Levels. When you cast this spell using a spell slot of 3rd level or higher, the extra damage increases by 1d6 for each slot level above 2nd.</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</si>
  <si>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 At Higher Levels. When you cast this spell using a spell slot of 2nd level or higher, the damage increases by 1d6 for each slot level above 1st.</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</si>
  <si>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 If you are outdoors in stormy conditions when you cast this spell, the spell gives you control over the existing storm instead of creating a new one. Under such conditions, the spell’s damage increases by 1d10. At Higher Levels. When you cast this spell using a spell slot of 4th or higher level, the damage increases by 1d10 for each slot level above 3rd.</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</si>
  <si>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</si>
  <si>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damage on a successful one. At Higher Levels. When you cast this spell using a spell slot of level or higher, one additional bolt leaps from the first target to another target for each slot level above 6th.</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</si>
  <si>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 At Higher Levels. When you cast this spell using a spell slot of 2nd level or higher, you can target one additional creature for each slot level above 1st. The creatures must be within 30 feet of each other when you target them.</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</si>
  <si>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 This spell’s damage increases by 1d8 when you reach 5th level (2d8), 11th level (3d8), and 17th level (4d8).</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</si>
  <si>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 At Higher Levels. When you cast this spell using a spell slot of 2nd level or higher, the damage increases by 1d8 for each slot level above 1st</t>
  </si>
  <si>
    <t>A sphere of negative energy ripples out in a 60-foot radius sphere from a point within range. Each creature in that area must make a Constitution saving throw. A target takes 8d6 necrotic damage on a failed save, or half as much damage on a successful one. At Higher Levels. When you cast this spell using a spell slot of 7th level or higher, the damage increases by 2d6 for each slot level above 6th.</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</si>
  <si>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benefiting from see invisibility or truesight) sees a luminous, intangible orb about the size of your fist.</t>
  </si>
  <si>
    <t>This spell grows an inert duplicate of a living creature as a safeguard against death. This clone forms inside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</si>
  <si>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You fill the air with spinning daggers in a cube 5 feet on each side, centered on a point you choose within range. A creature takes 4d4 slashing damage when it enters the spell’s area for the first time on a turn or starts its turn there. At Higher Levels. When you cast this spell using a spell slot of 3rd level or higher, the damage increases by 2d4 for each slot level above 2nd.</t>
  </si>
  <si>
    <t>You create a 20-foot-radius sphere of poisonous, yellow 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 At Higher Levels. When you cast this spell using a spell slot of 6th level or higher, the damage increases by 1d8 for each slot level above 5th.</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</si>
  <si>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that creature to be affected. At Higher Levels. When you cast this spell using a spell slot of 2nd level or higher, roll an additional 2d10 for each slot level above 1st.</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</si>
  <si>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 At Higher Levels. When you cast this spell using a spell slot of 2nd level or higher, you can affect one additional creature for each slot level above 1st. The creatures must be within 30 feet of each other when you target them.</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</si>
  <si>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</si>
  <si>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 prevalent plants, minerals, animals, or peoples • powerful celestials, fey, fiends, elementals, or undead • influence from other planes of existence • buildings For example, you could determine the location of powerful undead in the area, the location of major sources of safe drinking water, and the location of any nearby towns.</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</si>
  <si>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</si>
  <si>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For the duration, you understand the literal meaning of any spoken language that you hear. You also understand any written language that you see, but you must be touching the surface on which the words are written. It takes about 1 minute to read one page of text. This spell doesn’t decode secret messages in a text or a glyph, such as an arcane sigil, that isn’t part of a written language.</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</si>
  <si>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to try to end the effect. A target isn’t compelled to move into an obviously deadly hazard, such as a fire or pit, but it will provoke opportunity attacks to move in the designated direction.</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</si>
  <si>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 At Higher Levels. When you cast this spell using a spell slot of 6th level or higher, the damage increases by 1d8 for each slot level above 5th.</t>
  </si>
  <si>
    <t>This spell assaults and twists creatures' minds, spawning delusions and provoking uncontrolled action.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d10 Behavior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each of its turns, an affected target can make a Wisdom saving throw. If it succeeds, this effect ends for that target. At Higher Levels. When you cast this spell using a spell slot of 5th level or higher, the radius of the sphere increases by 5 feet for each slot level above 4th.</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</si>
  <si>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 At Higher Levels. When you cast this spell using certain higher-level spell slots, you choose one of the summoning options above, and more creatures appear: twice as many with a 5th-level slot, three times as many with a 7th-level slot, and four times as many with a 9th-level slot.</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</si>
  <si>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 At Higher Levels. When you cast this spell using a 9th-level spell slot, you summon a celestial of challenge rating 5 or lower.</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</si>
  <si>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 At Higher Levels. When you cast this spell using a spell slot of 6th level or higher, the challenge rating increases by 1 for each slot level above 5th.</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</si>
  <si>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 es hostile toward you and your companions, and it might attack. An uncontrolled fey creature can't be dismissed by you, and it disappears 1 hour after you summoned it. The DM has the fey creature’s statistics. At Higher Levels. When you cast this spell using a spell slot of level or higher, the challenge rating increases by 1 for each slot level above 6th.</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</si>
  <si>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 At Higher Levels. When you cast this spell using certain higher-level spell slots, you choose one of the summoning options above, and more creatures appear: twice as many with a 6th-level slot and three times as many with an 8th-level slot.</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</si>
  <si>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 At Higher Levels. When you cast this spell using certain higher-level spell slots, you choose one of the summoning options above, and more creatures appear: twice as many with a 6th-level slot and three times as many with an 8th-level slot.</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</si>
  <si>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or “unclear” (if the entity doesn’t know the answer to the question). If a one-word answer would be misleading, the DM might instead offer a short phrase as an answer.</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</si>
  <si>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</si>
  <si>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</si>
  <si>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Condition 1 Clear 2 Light clouds 3 Overcast or ground fog 4 Rain, hail, or snow 5 Torrential rain, driving hail, or blizzard Temperature Stage Condition 1 Unbearable heat 2 Hot 3 Warm 4 Cool 5 Cold 6 Arctic cold Wind Stage Condition 1 Calm 2 Moderate wind 3 Strong wind 4 Gale 5 Storm</t>
  </si>
  <si>
    <t>You plant four pieces of nonmagical ammunition— arrows or crossbow bolts—in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 At Higher Levels. When you cast this spell using a spell slot of 3rd level or higher, the amount of ammunition that can be affected increases by two for each slot level above 2nd.</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</si>
  <si>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Levels. When you cast this spell using a spell slot of 4th level or higher, the interrupted spell has no effect if its level is less than or equal to the level of the spell slot you used.</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</si>
  <si>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 At Higher Levels. When you cast this spell using a spell slot of 2nd level or higher, you create or destroy 10 additional gallons of water, or the size of the cube increases by 5 feet, for each slot level above 1st</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</si>
  <si>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hours, you must cast this spell on the creature before the current 24-hour period ends. This use of the spell reasserts your control over up to three creatures you have animated with this spell, rather than animating new ones. At Higher Levels. 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</si>
  <si>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You pull wisps of shadow material from the Shadowfell to create a nonliving object of vegetable matter within range: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 posed of multiple materials, use the shortest duration. Material Duration Vegetable matter 1 day Stone or crystal 12 hours Precious metals 1 hour Gems 10 minutes Adamantine or mithral 1 minute Using any material created by this spell as another spell’s material component causes that spell to fail. At Higher Levels. When you cast this spell using a spell slot of 6th level or higher, the cube increases by 5 feet for each slot level above 5th.</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</si>
  <si>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</si>
  <si>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A creature you touch regains a number of hit points equal to 1d8 + your spellcasting ability modifier. This spell has no effect on undead or constructs. At Higher Levels. When you cast this spell using a spell slot of 2nd level or higher, the healing increases by 1d8 for each slot level above 1st.</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</si>
  <si>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</si>
  <si>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Magical darkness spreads from a point you choose within range to fill a 15-foot-radius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2nd level or lower, the spell that created the light is dispelled.</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</si>
  <si>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and moves with it. Completely covering the affected object with an opaque object, such as a bowl or a helm, blocks the light. If any of this spell’s area overlaps with an area of darkness created by a spell of 3rd level or lower, the spell that created the darkness is dispelled.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</si>
  <si>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 ends.</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</si>
  <si>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The spell’s base damage is 12d6. If at the end of your turn the bead has not yet detonated, the damage increases by 1d6.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 At Higher Levels. When you cast this spell using a spell slot of 8th level or higher, the base damage increases by 1d6 for each slot level above 7th.</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</si>
  <si>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</si>
  <si>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For the duration, you know if there is an aberration, celestial, elemental, fey, fiend, or undead within 30 feet of you, as well as where the creature is located. Similarly, you know if there is a place or object within 30 feet of you that has been magically consecrated or desecrated. The spell can penetrate most barriers, but it is blocked by 1 foot of stone, 1 inch of common metal, a thin sheet of lead, or 3 feet of wood or dirt.</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</si>
  <si>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it is blocked by 1 foot of stone, 1 inch of common metal, a thin sheet of lead, or 3 feet of wood or dirt.</t>
  </si>
  <si>
    <t>For the duration, you can sense the presence and location of poisons, poisonous creatures, and diseases within 30 feet of you. You also identify the kind of poison, poisonous creature, or disease in each case. The spell can penetrate most barriers, but it is blocked by 1 foot of stone, 1 inch of common metal, a thin sheet of lead, or 3 feet of wood or dirt.</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</si>
  <si>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</si>
  <si>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</si>
  <si>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You make yourself—including your clothing, armor, weapons, and other belongings on your person—look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</si>
  <si>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 At Higher Levels. When you cast this spell using a spell slot of 7th level or higher, the damage increases by 3d6 for each slot level above 6th.</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</si>
  <si>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</si>
  <si>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Choose one creature, object, or magical effect within range. Any spell of 3rd level or lower on the target ends. For each spell of 4th level or higher on the target, make an ability check using your spellcasting ability. The DC equals 10 + the spell’s level. On a successful check, the spell ends. At Higher Levels. When you cast this spell using a spell slot of 4th level or higher, you automatically end the effects of a spell on the target if the spell’s level is equal to or less than the level of the spell slot you used.</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</si>
  <si>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 At Higher Levels. When you cast this spell using a spell slot of 2nd level or higher, the damage increases by 1d6 for each slot level above 1st.</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</si>
  <si>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the spell two or more times before finishing your next long rest, there is a cumulative 25 percent chance for each casting after the first that you get a random reading. The DM makes this roll in secret.</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</si>
  <si>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deafened for 1 minute • 40 hit points or fewer: deafened and blinded for 10 minutes • 30 hit points or fewer: blinded, deafened, and stunned for 1 hour • 20 hit points or fewer: killed instantly Regardless of its current hit points, a celestial, an elemental, a fey, or a fiend that fails its save is forced back to its plane of origin (if it isn’t there already) and can’t return to your current plane for 24 hours by any means short of a wish spell.</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</si>
  <si>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 At Higher Levels. When you cast this spell with a 5th-level spell slot, the duration is concentration, up to 10 minutes. When you use a 6th-level spell slot, the duration is concentration, up to 1 hour. When you use a spell slot of 7th level or higher, the duration is concentration, up to 8 hours.</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</si>
  <si>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 At Higher Levels. When you cast this spell with a 9th-level spell slot, the duration is concentration, up to 8 hours.</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</si>
  <si>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 At Higher Levels. When you cast this spell using a 6th-level spell slot, the duration is concentration, up to 10 minutes. When you use a 7th-level spell slot, the duration is concentration, up to 1 hour. When you use a spell slot of 8th level or higher, the duration is concentration, up to 8 hours.</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</si>
  <si>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</si>
  <si>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</si>
  <si>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</si>
  <si>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You create a seismic disturbance at a point on the ground that you can see within range. For the duration, an intense tremor rips through the ground in a 100-foot-radius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 Fissures. Fissures open throughout the spell’s area at the start of your next turn after you cast the spell. A total of 1d6 such fissures open in locations chosen by the DM. Each is 1d10 ×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</si>
  <si>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A beam of crackling energy streaks toward a creature within range. Make a ranged spell attack against the target. On a hit, the target takes 1d10 force damage. The spell creates more than one beam when you reach Higher Levels: two beams at 5th level, three beams at 11th level, and four beams at 17th level. You can direct the beams at the same target or at different ones. Make a separate attack roll for each beam.</t>
  </si>
  <si>
    <t>You touch a creature and bestow upon it a magical enhancement. Choose one of the following effects; the target gains that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 At Higher Levels. When you cast this spell using a spell slot of 3rd level or higher, you can target one additional creature for each slot level above 2nd.</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</si>
  <si>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attacks with them deal 1d4 extra damage. Reduce. The target’s size is halved in all dimensions, and its weight is reduced to one-eighth of normal. This reduction decreases its size by one category—from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</si>
  <si>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 At Higher Levels. If you cast this spell using a spell slot of 2nd level or higher, the damage increases by 1d6 for each slot level above 1st.</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</si>
  <si>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</si>
  <si>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plane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plane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 At Higher Levels. When you cast this spell using a spell slot of 8th level or higher, you can target up to three willing creatures (including you) for each slot level above . The creatures must be within 10 feet of you when you cast the spell.</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</si>
  <si>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</si>
  <si>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</si>
  <si>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</si>
  <si>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</si>
  <si>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Bolstering yourself with a necromantic facsimile of life, you gain 1d4+4 temporary hit points for the duration. At Higher Levels. When you cast this spell using a spell slot of 2nd level or higher, you gain 5 additional temporary hit points for each slot level above 1st.</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</si>
  <si>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</si>
  <si>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</si>
  <si>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</si>
  <si>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You gain the service of a familiar, a spirit that takes an animal form you choose: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your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</si>
  <si>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</si>
  <si>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This spell allows you to find the shortest, most direct physical route to a specific fixed location that you are familiar with on the same plane of existence. If you name a destination on another plane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</si>
  <si>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</si>
  <si>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</si>
  <si>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You hurl a mote of fire at a creature or object within range. Make a ranged spell attack against the target. On a hit, the target takes 1d10 fire damage. A flammable object hit by this spell ignites if it isn’t being worn or carried. This spell’s damage increases by 1d10 when you reach 5th level (2d10), 11th level (3d10), and 17th level (4d10).</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</si>
  <si>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</si>
  <si>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a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</si>
  <si>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A bright streak flashes from your pointing finger to a point you choose within range and then blossoms with a low roar into an explosion of flame. Each creature in a 20-foot-radius sphere centered on that point must make a Dexterity saving throw. A target takes 8d6 fire damage on a failed save, or half as much damage on a successful one. The fire spreads around corners. It ignites flammable objects in the area that aren't being worn or carried. At Higher Levels. When you cast this spell using a spell slot of 4th level or higher, the damage increases by 1d6 for each slot level above 3rd.</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</si>
  <si>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 At Higher Levels. When you cast this spell using a spell slot of 4th level or higher, the damage increases by 1d6 for every two slot levels above 2nd.</t>
  </si>
  <si>
    <t>A vertical column of divine fire roars down from the heavens in a location you specify. Each creature in a 10-foot-radius, 40-foot-high cylinder centered on a point within range must make a Dexterity saving throw. A creature takes 4d6 fire damage and 4d6 radiant damage on a failed save, or half as much damage on a successful one. At Higher Levels. When you cast this spell using a spell slot of 6th level or higher, the fire damage or the radiant damage (your choice) increases by 1d6 for each slot level above 5th.</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</si>
  <si>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 At Higher Levels. When you cast this spell using a spell slot of 3rd level or higher, the damage increases by 1d6 for each slot level above 2nd.</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</si>
  <si>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its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</si>
  <si>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You touch a willing creature. The target gains a flying speed of 60 feet for the duration. When the spell ends, the target falls if it is still aloft, unless it can stop the fall. At Higher Levels. When you cast this spell using a spell slot of 4th level or higher, you can target one additional creature for each slot level above 3rd.</t>
  </si>
  <si>
    <t>You create a 20-foot-radius sphere of fog centered on a point within range. The sphere spreads around corners, and its area is heavily obscured. It lasts for the duration or until a wind of moderate or greater speed (at least 10 miles per hour) disperses it. At Higher Levels. When you cast this spell using a spell slot of 2nd level or higher, the radius of the fog increases by 20 feet for each slot level above 1st.</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</si>
  <si>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</si>
  <si>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An immobile, invisible, cube-shaped prison composed of magical force springs into existence around an area you choose within range. The prison can be a cage or a solid box, as you choose. A prison in the shape of a cage can be up to 20 feet on a side and is made from 1/2 inch diameter bars spaced 1/2 inch apart. A prison in the shape of a box can be up to 10 feet on a side, creating a solid barrier that prevents any matter from passing through it and blocking any spells cast into or out from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</si>
  <si>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</si>
  <si>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</si>
  <si>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</si>
  <si>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</si>
  <si>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 At Higher Levels. When you cast this spell using a spell slot of 7th or 8th level, the duration is 1 year. When you cast this spell using a spell slot of 9th level, the spell lasts until it is ended by one of the spells mentioned above.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</si>
  <si>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</si>
  <si>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</si>
  <si>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 At Higher Levels. When you cast this spell using a spell slot of 7th level or higher, the barrier blocks spells of one level higher for each slot level above 6th.</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</si>
  <si>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area must make a Dexterity saving throw. A creature takes 5d8 acid, cold, fire, lightning, or thunder damage on a failed saving throw (your choice when you create the glyph), or half as much damage on a successful one. Spell Glyph. You can store a prepared spell of 3rd level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 At Higher Levels. 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</si>
  <si>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</si>
  <si>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</si>
  <si>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</si>
  <si>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</si>
  <si>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</si>
  <si>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 At Higher Levels. When you cast this spell using a spell slot of 2nd level or higher, the damage increases by 1d6 for each slot level above 1st.</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</si>
  <si>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</si>
  <si>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 At Higher Levels. If you cast this spell using a spell slot of 2nd level or higher, the damage increases by 1d10 for each slot level above 1st (to a maximum of 6d10).</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</si>
  <si>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</si>
  <si>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</si>
  <si>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</si>
  <si>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Choose a creature that you can see within range. A surge of positive energy washes through the creature, causing it to regain 70 hit points. This spell also ends blindness, deafness, and any diseases affecting the target. This spell has no effect on constructs or undead. At Higher Levels. When you cast this spell using a spell slot of 7th level or higher, the amount of healing increases by 10 for each slot level above 6th.</t>
  </si>
  <si>
    <t>A creature of your choice that you can see within range regains hit points equal to 1d4 + your spellcasting ability modifier. This spell has no effect on undead or constructs. At Higher Levels. When you cast this spell using a spell slot of 2nd level or higher, the healing increases by 1d4 for each slot level above 1st.</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</si>
  <si>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At Higher Levels. When you cast this spell using a spell slot of 2nd level or higher, you can target one additional creature for each slot level above 1st</t>
  </si>
  <si>
    <t>You point your finger, and the creature that damaged you is momentarily surrounded by hellish flames. The creature must make a Dexterity saving throw. It takes 2d10 fire damage on a failed save, or half as much damage on a successful one. At Higher Levels. When you cast this spell using a spell slot of 2nd level or higher, the damage increases by 1d10 for each slot level above 1st.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</si>
  <si>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</si>
  <si>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 At Higher Levels. W hen you cast this spell using a spell slot of 2nd level or higher, you can target one additional creature for each slot level above 1st.</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</si>
  <si>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 At Higher Levels. When you cast this spell using a spell slot of 3rd or 4th level, you can maintain your concentration on the spell for up to 8 hours. When you use a spell slot of 5th level or higher, you can maintain your concentration on the spell for up to 24 hours.</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</si>
  <si>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 At Higher Levels. When you cast this spell using a spell slot of 6th level or higher, you can target one additional creature for each slot level above 5th. The creatures must be within 30 feet of each other when you target them.</t>
  </si>
  <si>
    <t>Choose a humanoid that you can see within range. The target must succeed on a Wisdom saving throw or be paralyzed for the duration. At the end of each of its turns, the target can make another Wisdom saving throw. On a success, the spell ends on the target. At Higher Levels. When you cast this spell using a spell slot of 3rd level or higher, you can target one additional humanoid for each slot level above 2nd. The humanoids must be within 30 feet of each other when you target them.</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</si>
  <si>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</si>
  <si>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 At Higher Levels. When you cast this spell using a spell slot of 3rd or 4th level, you can maintain your concentration on the spell for up to 8 hours. When you use a spell slot of 5th level or higher, you can maintain your concentration on the spell for up to 24 hours.</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</si>
  <si>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</si>
  <si>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 At Higher Levels. When you cast this spell using a spell slot of 5th level or higher, the bludgeoning damage increases by 1d8 for each slot level above 4th.</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</si>
  <si>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</si>
  <si>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</si>
  <si>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</si>
  <si>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</si>
  <si>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Make a melee spell attack against a creature you can reach. On a hit, the target takes 3d10 necrotic damage. At Higher Levels. When you cast this spell using a spell slot of 2nd level or higher, the damage increases by 1d10 for each slot level above 1st.</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</si>
  <si>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 At Higher Levels. When you cast this spell using a spell slot of 6th level or higher, the damage increases by 1d10 for each slot level above 5th.</t>
  </si>
  <si>
    <t>A creature you touch becomes invisible until the spell ends. Anything the target is wearing or carrying is invisible as long as it is on the target’s person. The spell ends for a target that attacks or casts a spell. At Higher Levels. When you cast this spell using a spell slot of 3rd level or higher, you can target one additional creature for each slot level above 2nd.</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</si>
  <si>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</si>
  <si>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“Woe to the evildoer whose hand touches the axe, for even the haft slices the hand of the evil ones. Only a true Child of Stone, lover and beloved of Moradin, may awaken the true powers of the axe, and only with the sacred word Rudnogg on the lips.”</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</si>
  <si>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</si>
  <si>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</si>
  <si>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</si>
  <si>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</si>
  <si>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 At Higher Levels. When you cast this spell using a spell slot of 4th level or higher, the damage for both effects of the spell increases by 1d8 for each slot level above 3rd.</t>
  </si>
  <si>
    <t>A stroke of lightning forming a line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 At Higher Levels. When you cast this spell using a spell slot of 4th level or higher, the damage increases by 1d6 for each slot level above 3rd.</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</si>
  <si>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close—within 30 feet—at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</si>
  <si>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close—within 30 feet—at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</si>
  <si>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 items, or carry more than 10 pounds.</t>
  </si>
  <si>
    <t>You create a 10-foot-radius, 20-foot-tall cylinder of magical energy centered on a point on the ground that you can see within range. Glowing runes appear wherever the cylinder intersects with the floor or other surface. Choose one or more of the following types of creatures: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 At Higher Levels. When you cast this spell using a spell slot of 4th level or higher, the duration increases by 1 hour for each slot level above 3rd.</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</si>
  <si>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features.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</si>
  <si>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You create three glowing darts of magical force. Each dart hits a creature of your choice that you can see within range. A dart deals 1d4+1 force damage to its target. The darts all strike simultaneously, and you can direct them to hit one creature or several. At Higher Levels. When you cast this spell using a spell slot of 2nd level or higher, the spell creates one more dart for each slot level above 1st.</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</si>
  <si>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the words appear to come from the object’s mouth. When you cast this spell, you can have the spell end after it delivers its message, or it can remain and repeat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</si>
  <si>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 At Higher Levels. When you cast this spell using a spell slot of 6th level or higher, the spell lasts until dispelled, without requiring your concentration.</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</si>
  <si>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 At Higher Levels. When you cast this spell using a spell slot of 6th level or higher, the healing increases by 1d8 for each slot level above 5th.</t>
  </si>
  <si>
    <t>As you call out words of restoration, up to six creatures of your choice that you can see within range regain hit points equal to 1d4 + your spellcasting ability modifier. This spell has no effect on undead or constructs. At Higher Levels. When you cast this spell using a spell slot of 4th level or higher, the healing increases by 1d4 for each slot level above 3rd.</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</si>
  <si>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 At Higher Levels. When you cast this spell using a 7th-level spell slot, the duration is 10 days. When you use an 8th-level spell slot, the duration is 30 days. When you use a 9th-level spell slot, the duration is a year and a day.</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</si>
  <si>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</si>
  <si>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</si>
  <si>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 At Higher Levels. When you cast this spell using a spell slot of 3rd level or higher, the damage (both initial and later) increases by 1d4 for each slot level above 2nd.</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</si>
  <si>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</si>
  <si>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object—such as a chair, muddy footprints, or a small chest—it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</si>
  <si>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</si>
  <si>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</si>
  <si>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</si>
  <si>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 At Higher Levels. If you cast this spell using a spell slot of 6th level or higher, you can alter the target’s memories of an event that took place up to 7 days ago (6th level), 30 days ago (7th level), 1 year ago (8th level), or any time in the creature’s past (9th level).</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</si>
  <si>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 At Higher Levels. When you cast this spell using a spell slot of 3rd level or higher, the damage increases by 1d10 for each slot level above 2nd.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</si>
  <si>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</si>
  <si>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</si>
  <si>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 At Higher Levels. When you cast this spell using a spell slot of 5th level or higher, you can increase the size of the cube by 100 feet for each slot level beyond 4th. Thus you could protect a cube that can be up to 200 feet on one side by using a spell slot of 5th level.</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</si>
  <si>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</si>
  <si>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</si>
  <si>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</si>
  <si>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frigid globe of cold energy streaks from your fingertips to a point of your choice within range, where it explodes in a 60-foot-radius sphere. Each creature within the area must make a Constitution saving throw. On a failed save, a creature takes 10d6 cold damage. On a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 At Higher Levels. When you cast this spell using a spell slot of 7th level or higher, the damage increases by 1d6 for each slot level above 6th.</t>
  </si>
  <si>
    <t>A sphere of shimmering force encloses a creature or object of Large size or smaller within range. An unwilling creature must make a Dexterity saving throw. On a failed save, the creature is enclosed for the duration. Nothing—not physical objects, energy, or other spell effects—can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</si>
  <si>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Choose one creature that you can see within range. The target begins a comic dance in place: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</si>
  <si>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A passage appears at a point of your choice that you can see on a wooden, plaster, or stone surface (such as a wall, a ceiling, or a floor) within range, and lasts for the duration. You choose the opening’s dimensions: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</si>
  <si>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</si>
  <si>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You tap into the nightmares of a creature you can see within range and create an illusory manifestation of its deepest fears, visible only to that creature. The target must make a Wisdom saving throw. On a failed save, the target becomes frightened for the duration. At the start of each of the target’s turns before the spell ends, the target must succeed on a Wisdom saving throw or take 4d10 psychic damage. On a successful save, the spell ends. At Higher Levels. When you cast this spell using a spell slot of 5th level or higher, the damage increases by 1d10 for each slot level above 4th.</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</si>
  <si>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</si>
  <si>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You beseech an otherworldly entity for aid. The being must be known to you: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</si>
  <si>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 At Higher Levels. When you cast this spell using a spell slot of a higher level, the duration increases to 10 days with a 6th-level slot, to 30 days with a 7th-level slot, to 180 days with an 8th-level slot, and to a year and a day with a 9th-level spell slot.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</si>
  <si>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this save, it is transported to a random location on the plane of existence you specify. A creature so transported must find its own way back to your current plane of existence.</t>
  </si>
  <si>
    <t>This spell transforms a creature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</si>
  <si>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</si>
  <si>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Up to six creatures of your choice that you can see within range each regain hit points equal to 2d8 + your spellcasting ability modifier. This spell has no effect on undead or constructs. At Higher Levels. When you cast this spell using a spell slot of 3rd level or higher, the healing increases by 1d8 for each slot level above 2nd.</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</si>
  <si>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</si>
  <si>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Eight multicolored rays of light flash from your hand. Each ray is a different color and has a different power and purpose. Each creature in a 60-foot cone must make a Dexterity saving throw. For each target, roll a d8 to determine which color ray affects it. 1. Red. The target takes 10d6 fire damage on a failed save, or half as much damage on a successful one. 2. Orange. The target takes 10d6 acid damage on a failed save, or half as much damage on a successful one. 3. Yellow. The target takes 10d6 lightning damage on a failed save, or half as much damage on a successful one. 4. Green. The target takes 10d6 poison damage on a failed save, or half as much damage on a successful one. 5. Blue. The target takes 10d6 cold damage on a failed save, or half as much damage on a successful one. 6. 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 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 Special. The target is struck by two rays. Roll twice more, rerolling any 8.</t>
  </si>
  <si>
    <t>A shimmering, multicolored plane of light forms a vertical opaque wall—up to 90 feet long, 30 feet high, and 1 inch thick—centered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1. Red. The creature takes 10d6 fire damage on a failed save, or half as much damage on a successful one. While this layer is in place, nonmagical ranged attacks can’t pass through the wall. The layer can be destroyed by dealing at least 25 cold damage to it. 2. Orange. The creature takes 10d6 acid damage on a failed save, or half as much damage on a successful one. While this layer is in place, magical ranged attacks can’t pass through the wall. The layer is destroyed by a strong wind. 3. Yellow. The creature takes 10d6 lightning damage on a failed save, or half as much damage on a successful one. This layer can be destroyed by dealing at least 60 force damage to it. 4. Green. The creature takes 10d6 poison damage on a failed save, or half as much damage on a successful one. A passwall spell, or another spell of equal or greater level that can open a portal on a solid surface, destroys this layer. 5. Blue. The creature takes 10d6 cold damage on a failed save, or half as much damage on a successful one. This layer can be destroyed by dealing at least 25 fire damage to it. 6.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7.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</si>
  <si>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 This spell’s damage increases by 1d8 when you reach 5th level (2d8), 11th level (3d8), and 17th level (4d8).</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</si>
  <si>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</si>
  <si>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</si>
  <si>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Until the spell ends, one willing creature you touch is protected against certain types of creatures: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</si>
  <si>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You touch a creature. If it is poisoned, you neutralize the poison. If more than one poison afflicts the target, you neutralize one poison that you know is present, or you neutralize one at random. For the duration, the target has advantage on saving throws against being poisoned, and it has resistance to poison damage.</t>
  </si>
  <si>
    <t>You return a dead creature you touch to life, provided that it has been dead no longer than 10 days. If the creature’s soul is both willing and at liberty to rejoin the body, the creature returns to life with 1 hit point. This spell also neutralizes any poisons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survival—its head, for instance—the spell automatically fails. Coming back from the dead is an ordeal. The target takes a -4 penalty to all attack rolls, saving throws, and ability checks. Every time the target finishes a long rest, the penalty is reduced by 1 until it disappears.</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</si>
  <si>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</si>
  <si>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</si>
  <si>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A frigid beam of blue-white light streaks toward a creature within range. Make a ranged spell attack against the target. On a hit, it takes 1d8 cold damage, and its speed is reduced by 10 feet until the start of your next turn. The spell’s damage increases by 1d8 when you reach 5th level (2d8), 11th level (3d8), and 17th level (4d8).</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</si>
  <si>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 At Higher Levels. When you cast this spell using a spell slot of 2nd level or higher, the damage increases by 1d8 for each slot level above 1st.</t>
  </si>
  <si>
    <t>You touch a creature and stimulate its natural healing ability. The target regains 4d8+15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</si>
  <si>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</si>
  <si>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effects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</si>
  <si>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</si>
  <si>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</si>
  <si>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Flame-like radiance descends on a creature that you can see within range. The target must succeed on a Dexterity saving throw or take 1d8 radiant damage. The target gains no benefit from cover for this saving throw. The spell’s damage increases by 1d8 when you reach 5th level (2d8), 11th level (3d8), and 17th level (4d8).</t>
  </si>
  <si>
    <t>You create three rays of fire and hurl them at targets within range. You can hurl them at one target or several. Make a ranged spell attack for each ray. On a hit, the target takes 2d6 fire damage. At Higher Levels. When you cast this spell using a spell slot of 3rd level or higher, you create one additional ray for each slot level above 2nd.</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</si>
  <si>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Save Modifier Secondhand (you have heard of the target) +5 Firsthand (you have met the target) +0 Familiar (you know the target well) -5 Connection Save Modifier Likeness or picture -2 Possession or garment -4 Body part, lock of hair, bit of nail, or the like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</si>
  <si>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 At Higher Levels. When you cast this spell using a spell slot of 2nd level or higher, the initial extra damage dealt by the attack increases by 1d6 for each slot level above 1st.</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</si>
  <si>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 as well as clothing, armor, weapons, and equipment. You can make each creature seem 1 foot shorter or taller and appear thin, fat, or in 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 For example, if you use this spell to add a hat to a creature’s outfit, objects pass through the hat, and anyone who touches it would feel nothing or would feel the creature’s head and hair. If you use this spell to appear thinner than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</si>
  <si>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You send a short message of twenty-five words or less to a creature with which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</si>
  <si>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By means of this spell, a willing creature or an object can be hidden away, safe from detection for the duration. When you cast the spell and touch the target, it becomes invisible and can’t be targeted by divination spells or perceived through scrying sensors created by divination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awakens.” This spell also ends if the target takes any damage.</t>
  </si>
  <si>
    <t>You assume the form of a different creature for the duration. The new form can be of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form,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if your new form has more hit points than your current one, your hit points remain at their current value.</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</si>
  <si>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 At Higher Levels. When you cast this spell using a spell slot of 3rd level or higher, the damage increases by 1d8 for each slot level above 2nd.</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</si>
  <si>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 The spell’s damage increases by 1d8 when you reach 5th level (2d8), 11th level (3d8), and 17th level (4d8).</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</si>
  <si>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</si>
  <si>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</si>
  <si>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 At Higher Levels. When you cast this spell using a spell slot of 2nd level or higher, roll an additional 2d8 for each slot level above 1st.</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</si>
  <si>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</si>
  <si>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</si>
  <si>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</si>
  <si>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cast must make a Wisdom (Perception) check against your spell save DC to recognize the terrain as hazardous before entering it.</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</si>
  <si>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 At Higher Levels. When you cast this spell using a spell slot of 4th level or higher, the damage increases by 1d8 for each slot level above 3rd.</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</si>
  <si>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 At Higher Levels. When you cast this spell using a spell slot of 3rd level or higher, the damage increases by 1d8 for every two slot levels above the 2nd.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</si>
  <si>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</si>
  <si>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</si>
  <si>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performed. If you or any of your companions damage the target, the spell ends.</t>
  </si>
  <si>
    <t>A beam of brilliant light flashes out from your hand in a 5-foot-wide, 60-foot-long 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This light is sunlight.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</si>
  <si>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</si>
  <si>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</si>
  <si>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</si>
  <si>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A creature of your choice that you can see within range perceives everything as hilariously funny and falls into fits of laughter if this spell affects it. The target must succeed on a Wisdom saving throw or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</si>
  <si>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</si>
  <si>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</si>
  <si>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Mishap Similar Off On Area Target Target Permanent circle — — — 01-100 Associated object — — — 01-100 Very familiar 01-05 06-13 14-24 25-100 Seen casually 01-33 34-43 44-53 54-100 Viewed once 01-43 44-53 54-73 74-100 Description 01-43 44-53 54-73 74-100 False destination 01-50 51-100 — —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someplace you have seen more than once but with which you aren’t very familiar. “Viewed once” is a place you have seen once, possibly using magic. “Description” is a place whose location and appearance you know through someone else’s description, perhaps from a map. “False destination” is a place that doesn’t exist. Perhaps you tried to scry an enemy’s sanctum but instead viewed an illusion, or you are attempting to teleport to a familiar location that no longer exists. On Target. You and your group (or the target object) appear where you want to. Off Target. You and your group (or the target object) appear a random distance away from the destination in a random direction. Distance off target is 1d10 x 1d10 percent of the distance that was to be traveled. For example, if you tried to travel 120 miles, landed off target, and rolled a 5 and 3 on the two d 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</si>
  <si>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</si>
  <si>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move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</si>
  <si>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 nous whispers. • You instantaneously cause an unlocked door or win- dow to fly open or slam shut. • You alter the appearance of your eyes for 1 minute. If you cast this spell multiple times, you can have up to three of its 1-minute effects active at a time, and you can dismiss such an effect as an action.</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</si>
  <si>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 This spell’s damage increases by 1d6 when you reach 5th level (2d6), 11th level (3d6), and 17th level (4d6).</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</si>
  <si>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 At Higher Levels. When you cast this spell using a spell slot of 2nd level or higher, the damage increases by 1d8 for each slot level above 1st.</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</si>
  <si>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</si>
  <si>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Choose a creature within range that you can see. The target must make a Wisdom saving throw. On a failed save, you force the target’s soul into a gemstone. While its soul is so trapped, the target’s body and all the equipment it is carrying cease to exist. The gem holds the target indefinitely or until the gem is broken, at which time the target’s body reforms in an unoccupied space nearest to the gem and in the same state as when this spell was cast on it, with all the equipment it was carrying when it was trapped. You, and you alone, can communicate telepathically with the trapped soul. Other creatures that inspect the gemstone see a tiny figure inside it. If you speak the target’s true name when you cast the spell, the target has disadvantage on the saving throw.</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</si>
  <si>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</si>
  <si>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Choose one creature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</si>
  <si>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and limbs. The spell can even provide a new body if the original no longer exists, in which case you must speak the creature’s name. The creature then appears in an unoccupied space you choose within 10 feet of you.</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</si>
  <si>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</si>
  <si>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</si>
  <si>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The touch of your shadow-wreathed hand can siphon life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 At Higher Levels. When you cast this spell using a spell slot of 4th level or higher, the damage increases by 1d6 for each slot level above 3rd.</t>
  </si>
  <si>
    <t>You unleash a string of insults laced with subtle enchantments at a creature you can see within range. If the target can hear you (though it need not understand you), it must succeed on a Wisdom saving throw or take 1d4 psychic damage and have disadvantage on the next attack roll it makes before the end of its next turn. This spell’s damage increases by 1d4 when you reach 5th level (2d4), 11th level (3d4), and 17th level (4d4).</t>
  </si>
  <si>
    <t>You create a wall of fire on a solid surface within range. You can make the wall up to 60 feet long, 20 feet high, and 1 foot thick, or a ringed wall up to 20 feet in diameter, 20 feet high, and 1 foot thick.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 At Higher Levels. When you cast this spell using a spell slot of 5th level or higher, the damage increases by 1d8 for each slot level above 4th.</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</si>
  <si>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10-foot-by- 10-foot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</si>
  <si>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You create a wall of ice on a solid surface within range. You can form it into a hemispherical dome or a sphere with a radius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That creature takes 5d6 cold damage on a failed save, or half as much damage on a successful one. At Higher Levels. When you cast this spell using a spell slot of 7th level or higher, the damage the wall deals when it appears increases by 2d6, and the damage from passing through the sheet of frigid air increases by 1d6, for each slot level above 6th.</t>
  </si>
  <si>
    <t>A nonmagical wall of solid stone springs into existence at a point you choose within range. The wall is 6 inches thick and is com posed of ten 10-foot-by-10-foot panels. Each panel must be contiguous with at least one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</si>
  <si>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damage on a successful one. At Higher Levels. When you cast this spell using a spell slot of 7th level or higher, both types of damage increase by 1d8 for each slot level above 6th.</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</si>
  <si>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 to make a Strength check against your spell save DC. If it succeeds, it is no longer restrained. The webs are flammable. Any 5-foot cube of webs exposed to fire burns away in 1 round, dealing 2d4 fire damage to any creature that starts its turn in the fire.</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</si>
  <si>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</si>
  <si>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</si>
  <si>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Wish is the mightiest spell a mortal creature can cast. By simply speaking aloud, you can alter the very foundations of reality in accord with your desires. The basic use of this spell is to duplicate any other spell of 8th level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 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 ­ 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</si>
  <si>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 At Higher Levels. When you cast this spell using a spell slot of 2nd level or higher, the initial damage increases by 1d12 for each slot level above 1st.</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</si>
  <si>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</si>
  <si>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a creature can be evasive in its answers as long as it remains within the boundaries of the truth.</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</si>
  <si>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</si>
  <si>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 At Higher Levels. When you cast this spell using a spell slot of 2nd level or higher, the extra damage increases by 1d6 for each slot level above 1st.</t>
  </si>
  <si>
    <t>A line of roaring flame 30 feet long and 5 feet wide emanates from you in a direction you choose. Each creature in the line must make a Dexterity saving throw. A creature takes 3d8 fire damage on a failed save, or half as much damage on a successful one. At Higher Levels. When you cast this spell using a spell slot of 3rd level or higher, the damage increases by 1d8 for each slot level above 2nd.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</si>
  <si>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</si>
  <si>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 If a pillar is prevented from reaching its full height because of a ceiling or other obstacle, a creature on the pillar takes 6d6 bludgeoning damage and is restrained, pinched between the pillar and the obstacle. The restrained creature can use an action to make a Strength or Dexterity check (the creature’s choice) against the spell’s saving throw DC. On a success, the creature is no longer restrained and must either move off the pillar or fall off it. At Higher Levels. When you cast this spell using a spell slot of 7th level or higher, you can create two additional pillars for each slot level above 6th.</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</si>
  <si>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 The spell’s damage increases by 1d8 when you reach 5th level (2d8), 11th level (3d8), and 17th level (4d8).</t>
  </si>
  <si>
    <t>You choose nonmagical flame that you can see within range and that fits within a 5-foot cube. You affect it in one of the following ways: • You instantaneously expand the flame 5 feet in one direction, provided that wood or other fuel is present in the new location. • You instantaneously extinguish the flames within the cube. • You double or halve the area of bright light and dim light cast by the flame, change its color, or both. The change lasts for 1 hour. • You cause simple shapes such as the vague form of a creature, an inanimate object, or a location to appear within the flames and animate as you like. The shapes last for 1 hour. If you cast this spell multiple times, you can have up to three of its non-instantaneous effects active at a time, and you can dismiss such an effect as an action.</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</si>
  <si>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</si>
  <si>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 At Higher Levels. When you cast this spell using a spell slot of 3rd level or higher, the damage increases by 1d8 for each slot level above 2nd.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</si>
  <si>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</si>
  <si>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 At Higher Levels. When you cast this spell using a spell slot of 2nd level or higher, the damage increases by 1d6 for each slot level above 1st.</t>
  </si>
  <si>
    <t>Choose one creature you can see within range, and choose one of the following damage types: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 At Higher Levels. When you cast this spell using a spell slot of 5th level or higher, you can target one additional creature for each slot level above 4th. The creatures must be within 30 feet of each other when you target them.</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</si>
  <si>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 At Higher Levels. When you cast this spell using a spell slot of 3rd level or higher, the damage increases by 1d12 for each slot level above 2nd.</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</si>
  <si>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 At Higher Levels. When you cast this spell using a spell slot of 4th level or higher, the number of pieces of ammunition you can affect with this spell increases by two for each slot level above 3rd.</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</si>
  <si>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 The spell’s damage increases by 1d6 when you reach 5th level (2d6), 11th level (3d6), and 17th level (4d6).</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</si>
  <si>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</si>
  <si>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 At Higher Levels. When you cast this spell using a spell slot of 2nd level or higher, the cold damage increases by 1d6 for each slot level above 1st.</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</si>
  <si>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</si>
  <si>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</si>
  <si>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</si>
  <si>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</si>
  <si>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</si>
  <si>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</si>
  <si>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</si>
  <si>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</si>
  <si>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You create six tiny meteors in your space. They float in the air and orbit you for the spell’s duration. When you cast the spell and as a bonus action on each of your turns thereafter 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 At Higher Levels. When you cast this spell using a spell slot of 4th level or higher, the number of meteors created increases by two for each slot level above 3rd</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</si>
  <si>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</si>
  <si>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</si>
  <si>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</si>
  <si>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</si>
  <si>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You cause up to ten words to form in a part of the sky you can see. The words appear to be made of cloud and remain in place for the spell’s duration. The words dissipate when the spell ends. A strong wind can disperse the clouds and end the spell early.</t>
  </si>
  <si>
    <t>A flurry of magic snowballs erupts from a point you choose within range. Each creature in a 5-foot-radius sphere centered on that point must make a Dexterity saving throw. A creature takes 3d6 cold damage on a failed save, or half as much damage on a successful one. At Higher Levels. When you cast this spell using a spell slot of 3rd level or higher, the damage increases by 1d6 for each slot level above 2nd.</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</si>
  <si>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 At Higher Levels. When you cast this spell using a spell slot of 5th level or higher, the damage increases for each of its effects by 1d6 for each slot level above 4th.</t>
  </si>
  <si>
    <t>You create a burst of thunderous sound, which can be heard 100 feet away. Each creature other than you within 5 feet of you must make a Constitution saving throw. On a failed save, the creature takes 1d6 thunder damage. The spell’s damage increases by 1d6 when you reach 5th level (2d6), 11th level (3d6), and 17th level (4d6).</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</si>
  <si>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</si>
  <si>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</si>
  <si>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 At Higher Levels. When you cast this spell using a spell slot of 5th level or higher, the initial damage increases by 2d4 for each slot level above 4th.</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</si>
  <si>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</si>
  <si>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</si>
  <si>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</si>
  <si>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 10 feet away from it in a random direction.</t>
  </si>
  <si>
    <t>School</t>
  </si>
  <si>
    <t>Material Component</t>
  </si>
  <si>
    <t>Ritual</t>
  </si>
  <si>
    <t>action</t>
  </si>
  <si>
    <t>action ᴿ</t>
  </si>
  <si>
    <t>action/8 hr</t>
  </si>
  <si>
    <t>Choose a spell of 5th level or lower that you can cast, that has a casting time of actionion, and that can target you. You cast that spell—called the contingent spell—as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</si>
  <si>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This spell channels vitality into plants within a specific area. There are two possible uses for the spell, granting either immediate or long-term benefits. If you cast this spell using actionion,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</si>
  <si>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actionion,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</si>
  <si>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bonus action</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</si>
  <si>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can’t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your unarmed strikes. Finally, the natural weapon is magic and you have a +bonus actionus to the attack and damage rolls you make using it.</t>
  </si>
  <si>
    <t>A nonmagical weapon you touch becomes a magic weapon. Choose one of the following damage types: acid, cold, fire, lightning, or thunder. For the duration, the weapon has a +bonus actionus to attack rolls and deals an extra 1d4 damage of the chosen type when it hits. At Higher Levels. When you cast this spell using a spell slot of 5th or 6th level, the bonus to attack rolls increases to +2 and the extra damage increases to 2d4. When you use a spell slot of 7th level or higher, the bonus increases to +3 and the extra damage increases to 3d4.</t>
  </si>
  <si>
    <t>You touch a nonmagical weapon. Until the spell ends, that weapon becomes a magic weapon with a +bonus actionus to attack rolls and damage rolls. At Higher Levels. When you cast this spell using a spell slot of 4th level or higher, the bonus increases to +2. When you use a spell slot of 6th level or higher, the bonus increases to +3.</t>
  </si>
  <si>
    <t>This spell wards a willing creature you touch and creates a mystic connection between you and the target until the spell ends. While the target is within 60 feet of you, it gains a +bonus actionus to AC and saving throws, and it has resistance to all damage. Also, each time it takes damage, you take the same amount of damage. The spell ends if you drop to 0 hit points or if you and the target becom e separated by more than 60 feet. It also ends if the spell is cast again on either of the connected creatures. You can also dismiss the spell as an action.</t>
  </si>
  <si>
    <t>Concentration</t>
  </si>
  <si>
    <t>Display Name</t>
  </si>
  <si>
    <t>Casting time</t>
  </si>
  <si>
    <t>Skin</t>
  </si>
  <si>
    <t>Eyes</t>
  </si>
  <si>
    <t>Hair</t>
  </si>
  <si>
    <t>Starting gold</t>
  </si>
  <si>
    <t>Racial Languages</t>
  </si>
  <si>
    <t>DruidicLanguage</t>
  </si>
  <si>
    <t>RogueLanguage</t>
  </si>
  <si>
    <t>Background Languages</t>
  </si>
  <si>
    <t>Rogue Language</t>
  </si>
  <si>
    <t>Druidic Language</t>
  </si>
  <si>
    <t>aasimar</t>
  </si>
  <si>
    <t>bugbear</t>
  </si>
  <si>
    <t>bullywug</t>
  </si>
  <si>
    <t>catfolk</t>
  </si>
  <si>
    <t>darfellan</t>
  </si>
  <si>
    <t>dark one</t>
  </si>
  <si>
    <t>dragonborn</t>
  </si>
  <si>
    <t>dwarf</t>
  </si>
  <si>
    <t>eladrin</t>
  </si>
  <si>
    <t>elf</t>
  </si>
  <si>
    <t>genasi</t>
  </si>
  <si>
    <t>gibberling</t>
  </si>
  <si>
    <t>githyanki</t>
  </si>
  <si>
    <t>githzerai</t>
  </si>
  <si>
    <t>gnoll</t>
  </si>
  <si>
    <t>gnome</t>
  </si>
  <si>
    <t>goblin</t>
  </si>
  <si>
    <t>goliath</t>
  </si>
  <si>
    <t>grippli</t>
  </si>
  <si>
    <t>half-elf</t>
  </si>
  <si>
    <t>half-orc</t>
  </si>
  <si>
    <t>halfling</t>
  </si>
  <si>
    <t>hobgoblin</t>
  </si>
  <si>
    <t>human</t>
  </si>
  <si>
    <t>kenku</t>
  </si>
  <si>
    <t>kobold</t>
  </si>
  <si>
    <t>lizardfolk</t>
  </si>
  <si>
    <t>locathah</t>
  </si>
  <si>
    <t>merfolk</t>
  </si>
  <si>
    <t>mongrelfolk</t>
  </si>
  <si>
    <t>mul</t>
  </si>
  <si>
    <t>nilbog</t>
  </si>
  <si>
    <t>norker</t>
  </si>
  <si>
    <t>orc</t>
  </si>
  <si>
    <t>orog</t>
  </si>
  <si>
    <t>rakasta</t>
  </si>
  <si>
    <t>saurial</t>
  </si>
  <si>
    <t>selkie</t>
  </si>
  <si>
    <t>shifter</t>
  </si>
  <si>
    <t>skulk</t>
  </si>
  <si>
    <t>swanmay</t>
  </si>
  <si>
    <t>tasloi</t>
  </si>
  <si>
    <t>tiefling</t>
  </si>
  <si>
    <t>troglodyte</t>
  </si>
  <si>
    <t>Dwarven</t>
  </si>
  <si>
    <t>Languages List</t>
  </si>
  <si>
    <t>Language</t>
  </si>
  <si>
    <t>Typical Speakers</t>
  </si>
  <si>
    <t>Thieve's Cant</t>
  </si>
  <si>
    <t>Single tools</t>
  </si>
  <si>
    <t>Racial Tools1</t>
  </si>
  <si>
    <t>Background Tools1</t>
  </si>
  <si>
    <t>Background Tools2</t>
  </si>
  <si>
    <t>Class Tools1</t>
  </si>
  <si>
    <t>Class Tools2</t>
  </si>
  <si>
    <t>Number of proficiency</t>
  </si>
  <si>
    <t>ToolsProficiencyThievesTools</t>
  </si>
  <si>
    <t>BeguilingInfluence2</t>
  </si>
  <si>
    <t>BeguilingInfluence1</t>
  </si>
  <si>
    <t>RaceTools</t>
  </si>
  <si>
    <t>multiclass</t>
  </si>
  <si>
    <t>Other</t>
  </si>
  <si>
    <t>lvl</t>
  </si>
  <si>
    <t>Class Traits Description</t>
  </si>
  <si>
    <t>Stat</t>
  </si>
  <si>
    <t>Class Level</t>
  </si>
  <si>
    <t>Statmod</t>
  </si>
  <si>
    <t>Spellcasting Level</t>
  </si>
  <si>
    <t>Spells Prepared</t>
  </si>
  <si>
    <t>Total Spellcaster Level</t>
  </si>
  <si>
    <t>MaxSpellLevelKnown</t>
  </si>
  <si>
    <t>MaxSpellLevel</t>
  </si>
  <si>
    <t>Druid Form List</t>
  </si>
  <si>
    <t>Baboon</t>
  </si>
  <si>
    <t>Deer</t>
  </si>
  <si>
    <t>Giant fire beetle</t>
  </si>
  <si>
    <t>Hyena</t>
  </si>
  <si>
    <t>Jackal</t>
  </si>
  <si>
    <t>Sea horse</t>
  </si>
  <si>
    <t>Vulture</t>
  </si>
  <si>
    <t>Weasel</t>
  </si>
  <si>
    <t>Blood hawk</t>
  </si>
  <si>
    <t>Flying snake</t>
  </si>
  <si>
    <t>Giant crab</t>
  </si>
  <si>
    <t>Giant rat</t>
  </si>
  <si>
    <t>Giant weasel</t>
  </si>
  <si>
    <t>Poisonous snake</t>
  </si>
  <si>
    <t>Axe beak</t>
  </si>
  <si>
    <t>Constrictor snake</t>
  </si>
  <si>
    <t>Draft horse</t>
  </si>
  <si>
    <t>Elk</t>
  </si>
  <si>
    <t>Giant badger</t>
  </si>
  <si>
    <t>Giant bat</t>
  </si>
  <si>
    <t>Giant centipede</t>
  </si>
  <si>
    <t>Giant frog</t>
  </si>
  <si>
    <t>Giant lizard</t>
  </si>
  <si>
    <t>Giant owl</t>
  </si>
  <si>
    <t>Giant poisonous snake</t>
  </si>
  <si>
    <t>Giant wolf spider</t>
  </si>
  <si>
    <t>Panther</t>
  </si>
  <si>
    <t>Pteranodon</t>
  </si>
  <si>
    <t>Riding horse</t>
  </si>
  <si>
    <t>Swarm of bats</t>
  </si>
  <si>
    <t>Swarm of rats</t>
  </si>
  <si>
    <t>Swarm of ravens</t>
  </si>
  <si>
    <t>Ape</t>
  </si>
  <si>
    <t>Black bear</t>
  </si>
  <si>
    <t>Crocodile</t>
  </si>
  <si>
    <t>Giant goat</t>
  </si>
  <si>
    <t>Giant sea horse</t>
  </si>
  <si>
    <t>Giant wasp</t>
  </si>
  <si>
    <t>Reef shark</t>
  </si>
  <si>
    <t>Swarm of insects</t>
  </si>
  <si>
    <t>Worg</t>
  </si>
  <si>
    <t>Brown bear</t>
  </si>
  <si>
    <t>Dire wolf</t>
  </si>
  <si>
    <t>Giant eagle</t>
  </si>
  <si>
    <t>Giant hyena</t>
  </si>
  <si>
    <t>Giant octopus</t>
  </si>
  <si>
    <t>Giant spider</t>
  </si>
  <si>
    <t>Giant toad</t>
  </si>
  <si>
    <t>Giant vulture</t>
  </si>
  <si>
    <t>Lion</t>
  </si>
  <si>
    <t>Swarm of quippers</t>
  </si>
  <si>
    <t>Tiger</t>
  </si>
  <si>
    <t>Allosaurus</t>
  </si>
  <si>
    <t>Giant boar</t>
  </si>
  <si>
    <t>Giant constrictor snake</t>
  </si>
  <si>
    <t>Giant elk</t>
  </si>
  <si>
    <t>Hunter shark</t>
  </si>
  <si>
    <t>Plesiosaurus</t>
  </si>
  <si>
    <t>Polar bear/Cave bear</t>
  </si>
  <si>
    <t>Rhinoceros</t>
  </si>
  <si>
    <t>Saber-toothed tiger</t>
  </si>
  <si>
    <t>Swarm of poisonous snakes</t>
  </si>
  <si>
    <t>Ankylosaurus</t>
  </si>
  <si>
    <t>Giant scorpion</t>
  </si>
  <si>
    <t>Killer whale</t>
  </si>
  <si>
    <t>Giant crocodile</t>
  </si>
  <si>
    <t>Giant shark</t>
  </si>
  <si>
    <t>Triceratops</t>
  </si>
  <si>
    <t>Challenge 6 (2,300 XP)</t>
  </si>
  <si>
    <t>Mammoth</t>
  </si>
  <si>
    <t>Air elemental</t>
  </si>
  <si>
    <t>Earth Elemental</t>
  </si>
  <si>
    <t>Fire Elemental</t>
  </si>
  <si>
    <t>Water elemental</t>
  </si>
  <si>
    <t>CR</t>
  </si>
  <si>
    <t>Blood Hawk</t>
  </si>
  <si>
    <t>Flying Snake</t>
  </si>
  <si>
    <t>Echolocation, Keen Hearing</t>
  </si>
  <si>
    <t>Amphibious, Standing Leap,</t>
  </si>
  <si>
    <t>Keen Sight,</t>
  </si>
  <si>
    <t>Keen Hearing and Smell,</t>
  </si>
  <si>
    <t>Hold Breath, Underwater Camouflage, Water Breathing,</t>
  </si>
  <si>
    <t>Flyby, Keen Sight,</t>
  </si>
  <si>
    <t>Keen Senses, Magic Resistance, Limited Telepathy,</t>
  </si>
  <si>
    <t>Blood Frenzy, Water Breathing,</t>
  </si>
  <si>
    <t>Keen Smell,</t>
  </si>
  <si>
    <t>Mimicry,</t>
  </si>
  <si>
    <t>Spider Climb, Web Sense,Web Walker,</t>
  </si>
  <si>
    <t>Beast o fBurden, Sure Footed,</t>
  </si>
  <si>
    <t>Charge, Relentless,</t>
  </si>
  <si>
    <t>Experience per Level</t>
  </si>
  <si>
    <t>Skill Name</t>
  </si>
  <si>
    <t>Ability</t>
  </si>
  <si>
    <t>Shifting</t>
  </si>
  <si>
    <t>Innate Spellcasting</t>
  </si>
  <si>
    <t>Breath Weapon (acid)</t>
  </si>
  <si>
    <t>You gain proficiency in the Intimidation skill.</t>
  </si>
  <si>
    <t>Tool Proficiency (dwarf)</t>
  </si>
  <si>
    <t>Tool Proficiency</t>
  </si>
  <si>
    <t>Medium Armor</t>
  </si>
  <si>
    <t>Heavy Armor</t>
  </si>
  <si>
    <t>Group</t>
  </si>
  <si>
    <t>Blackmailer</t>
  </si>
  <si>
    <t>Burglar</t>
  </si>
  <si>
    <t>Enforcer</t>
  </si>
  <si>
    <t>Fence</t>
  </si>
  <si>
    <t>Highwayrobber</t>
  </si>
  <si>
    <t>HiredKiller</t>
  </si>
  <si>
    <t>Pickpocket</t>
  </si>
  <si>
    <t>Smuggler</t>
  </si>
  <si>
    <t>Spyvariant</t>
  </si>
  <si>
    <t>Retainers</t>
  </si>
  <si>
    <t>you can find a place to perform in any place that features combat for entertainment-perhaps a gladiatorial arena or secret pit fighting club. Vou can replace the musical instrument in your equipment package with an inexpensive but unusual weapon, such as a trident or neto</t>
  </si>
  <si>
    <t>Pirate</t>
  </si>
  <si>
    <t>Bad Reputation</t>
  </si>
  <si>
    <t>No matter where you go, people are afraid of you due to  your reputation. When you are in a civilized seltlement, you can gel away wilh minor criminal offenses, such as refusing to pay for food at a tavern ar breaking down doors at a local shop, since mosl people will nol reporl your aclivity to the aulhorilies.</t>
  </si>
  <si>
    <t xml:space="preserve">Svirfneblin seem more like creatures of stone than flesh. Their leathery skin is usually a gray, brown, or dun hue that acts as a natural camouflage with the rock around them. Their bodies are gnarled with hard muscle or fat, and they are heavier than their small stature suggests; svirfneblin often weigh 100 pounds or more but rarely stand much more than 3 feet tall.
Male svirfneblin are bald from early childhood, although adults can grow stiff beards or mustaches. Females have full heads of hair, and they usually tie their hair back in braids or cut it short to keep it from getting in their way as they work.
Svirfneblin are well adapted for their subterranean existence. They have excellent darkvision, and many of them have magical talents that rival the innate spellcasting of the drow and duergar. They are surprisingly strong for their size, enduring toil and danger that would overwhelm most other people.
</t>
  </si>
  <si>
    <t xml:space="preserve">Male Names: Belwar, Brickers, Durthmeck, Firble, Krieger, Kronthud, Schneltheck, Schnicktick, Thulwar, Walschud
Female Names: Beliss, Durthee, Fricknarti, Ivridda, Krivi, Lulthiss, Nalvarti, Schnella, Thulmarra,
W ll si Id. |
Clan Names: Crystalfist, Gemcutter, Ironfoot, Rockhewer, Seamfinder, Stonecutter
</t>
  </si>
  <si>
    <t>As an air genasi, you are descended from the djinn. As changeable as the weather, your moods shift from calm to wild and violent with little warning, but these storms rarely last long.
Air genasi typically have light blue skin, hair, and eyes. A faint but constant breeze accompanies them, tousling the hair and stirring the clothing. Some air genasi speak with breathy voices, marked by a faint echo. A few display odd patterns in their flesh or grow crystals from their scalps.</t>
  </si>
  <si>
    <t xml:space="preserve">As an earth genasi, you are descended from the cruel and greedy dao, though you aren’t necessarily evil. You have inherited some measure of control over earth, reveling in superior strength and solid power. You tend to avoid rash decisions, pausing long enough to consider your options before taking action.
Elemental earth manifests differently from one individual to the next. Some earth genasi always have bits of dust falling from their bodies and mud clinging to their clothes, never getting clean no matter how often they bathe. Others are as shiny and polished as gemstones, with skin tones of deep brown or black, eyes sparkling like agates. Earth genasi can also have smooth metallic flesh, dull iron skin spotted with rust, a pebbled and rough hide, or even a coating of tiny embedded crystals. The most arresting have fissures in their flesh, from which faint light shines.
</t>
  </si>
  <si>
    <t>As a fire genasi, you have inherited the volatile mood and keen mind of the efreet. You tend toward impatience and making snap judgments. Rather than hide your distinctive appearance, you exult in it.
Nearly all fire genasi are feverishly hot as if burning inside, an impression reinforced by flaming red, coal- black, or ash-gray skin tones. The more human-looking have fiery red hair that writhes under extreme emotion, while more exotic specimens sport actual flames dancing on their heads. Fire genasi voices might sound like crackling flames, and their eyes flare when angered. Some are accompanied by the faint scent of brimstone.</t>
  </si>
  <si>
    <t>The lapping of waves, the spray of sea foam on the wind, the ocean depths—all of these things call to your heart. You wander freely and take pride in your independence, though others might consider you selfish.
Most water genasi look as if they just finished bathing, with beads of moisture collecting on their skin and hair. They smell of fresh rain and clean water. Blue or green skin is common, and most have somewhat overlarge eyes, blue-black in color. A water genasi’s hair might float freely, swaying and waving as if underwater. Some have voices with undertones reminiscent of whale song or trickling streams.</t>
  </si>
  <si>
    <t>At the highest mountain peaks—far above the slopes where trees grow and where the air is thin and the frigid winds howl—dwell the reclusive goliaths. Few folk can claim to have seen a goliath, and fewer still can claim friendship with them. Goliaths wander a bleak realm of rock, wind, and cold. Their bodies look as if they are carved from mountain stone and give them great physical power. Their spirits take after the wandering wind, making them nomads who wander from peak to peak. Their hearts are infused with the cold regard of their frigid realm, leaving each goliath with the responsibility to earn a place in the tribe or die trying.</t>
  </si>
  <si>
    <t>Goliaths present all three names when identifying themselves, in the order of birth name, nickname, and clan name. In casual conversation, they use their nickname.
Birth Names: Aukan, Eglath, Gae-Al, Gauthak, Ilikan, Keothi, Kuori, Lo-Kag, Manneo, Maveith, Nalla, Orilo, Paavu, Pethani, Thalai, Thotham, Uthal, Vaunea, Vimak
Nicknames: Bearkiller, Dawncaller, Fearless, Flintfinder, Horncarver, Keeneye, Lonehunter, Longleaper, Rootsmasher, Skywatcher, Steadyhand, Threadtwister, Twice-Orphaned, Twistedlimb, Wordpainter
Clan Names: Anakalathai, Elanithino, Gathakanathi, Kalagiano, Katho-Olavi, Kolae-Gileana, Ogolakanu, Thuliaga, Thunukalathi, Vaimei-Laga</t>
  </si>
  <si>
    <t xml:space="preserve">Goliaths are between 7 and 8 feet tall </t>
  </si>
  <si>
    <t>weigh between 280 and 340 pounds</t>
  </si>
  <si>
    <t>Goliaths have lifespans comparable to humans. They enter adulthood in their late teens and usually live less than a century.</t>
  </si>
  <si>
    <t xml:space="preserve">Male Names: Adrik, Alberich, Baern, Barendd, Brottor, Bruenor, Dain, Darrak, Delg, Eberk, Einkil, Fargrim, Flint, Gardain, Harbek, Kildrak, Morgran, Orsik, Oskar, Rangrim, Rurik, Taklinn, Thoradin, Thorin, Tordek, Traubon, Travok, Ulfgar, Veit, Vondal Female Names: Amber, Artin, Audhild, Bardryn,
Dagnal, Diesa, Eldeth, Falkrunn, Finellen, Gunnloda, Gurdis, Helja, Hlin, Kathra, Kristryd, Ilde, Liftrasa, Mardred, Riswynn, Sannl, Torbera, Torgga, Vistra Clan Names: Balderk, Battlehammer, Brawnanvil, Dankil, Fireforge, Frostbeard, Gorunn, Holderhek, Ironfist, Loderr, Lutgehr, Rumnaheim, Strakeln, Torunn, Ungart
</t>
  </si>
  <si>
    <t xml:space="preserve">Male Names: Alton, Ander, Cade, Corrin, Eldon, Errich, Finnan, Garret, Lindal, Lyle, Merric, Milo, Osborn, Perrin, Reed, Roscoe, Wellby Female Names: Andry, Bree, Callie, Cora, Euphemia, Jillian, Kithri, Lavinia, Lidda, Merla, Nedda, Paela, Portia, Seraphina, Shaena, Trym, Vani, Verna Family Names: Brushgather, Goodbarrel, Greenbottle, High-hill, Hilltopple, Leagallow, Tealeaf, Thorngage, Tosscobble, Underbough </t>
  </si>
  <si>
    <t xml:space="preserve">Child Names: Ara, Bryn, Del, Eryn, Faen, Innil,
Lael, Mella, Naill, Naeris, Phann, Rael, Rinn, Sai, Syllin, Thia, Vail
Male Adult Names: Adran, Aelar, Aramil, Arannis, Aust, Beiro, Berrian, Carrie, Enialis, Erdan, Erevan, Galinndan, Hadarai, Heian, Himo, Immeral, Ivellios, Laucian, Mindartis, Paelias, Peren, Quarion, Riardon, Rolen, Soveliss, Thamior, Tharivol, Theren, Varis
Female Adult Names: Adrie, Althaea, Anastrianna,
Andraste, Antinua, Bethrynna, Birel, Caelynn,
Drusilia, Enna, Felosial, Ielenia, Jelenneth, Keyleth, Leshanna, Lia, Meriele, Mialee, Naivara, Quelenna, Quillathe, Sariel, Shanairra, Shava, Silaqui, Theirastra, Thia, Vadania, Valanthe, Xanaphia Family Names (Common Translations): Amakiir (Gemflower), Amastacia (Starflower), Galanodel (Moonwhisper), Holimion (Diamonddew), Ilphelkiir (Gemblossom), Liadon (Silverfrond), Meliamne (Oakenheel), Nai'lo (Nightbreeze), Siannodel (Moonbrook), Xiloscient (Goidpetal)
</t>
  </si>
  <si>
    <t>Chondathan Names: (Male) Darvin, Dorn, Evendur, Gorstag, Grim, Helm, Malark, Morn, Randal,
Stedd: (female) Arveene, Esvele, Jhessail, Kerri, Lureene, Miri, Rowan, Shandri, Tessele; (surnames) Amblecrown, Buckman, Dundragon, Evenwood, Greycastle, Tallstag</t>
  </si>
  <si>
    <t>Found primarily in the northwest of Faerfin, Damarans are of moderate height and build, with skin hues ranging from tawny to fair. Their hair is usually brown or black, and their eye color varies widely, though brown is most common.</t>
  </si>
  <si>
    <t>Damaran Names: (Male) Bor, Fodel, Glar, Grigor,
Igan, Ivor, Kosef, Mival, Orel, Pavel, Sergor; (female) Alethra, Kara, Katernin, Mara, Natali, Olma, Tana, Zora; (surnames) Bersk, Chernin, Dotsk, Kulenov, Marsk, Nemetsk, Shemov, Starag</t>
  </si>
  <si>
    <t>Illuskans are tall, fair-skinned folk with blue or steely gray eyes. Most have raven-black hair, but those who inhabit the extreme northwest have blond, red, or light brown hair.</t>
  </si>
  <si>
    <t>Illuskan Names: (Male) Ander, Blath, Bran, Frath,
Geth, Lander, Luth, Malcer, Stor, Taman, Urth; (female) Amafrey, Betha, Cefrey, Kethra, Mara, Olga, Silifrey, Westra; (surnames) Brightwood, Helder, Hornraven, Lackman, Stormwind, Windrivver</t>
  </si>
  <si>
    <t>Dominant in the eastern and southeastern shores of the Inner Sea, the Mulan are generally tall, slim, and amber-skinned, with eyes of hazel or brown. Their hair ranges from black to dark brown, but in the lands where the Mulan are most prominent, nobles and many other Mulan shave off all their hair.</t>
  </si>
  <si>
    <t xml:space="preserve">Mulan Names: (Male) Aoth, Bareris, Ehput-Ki,
Kethoth, Mumed, Ramas, So-Kehur, Thazar-De, Urhur; (female) Arizima, Chathi, Nephis, Nulara, Murithi, Sefris, Thola, Umara, Zolis; (surnames) Ankhalab, Anskuld, Fezim, Hahpet, Nathandem, Sepret, Uuthrakt
</t>
  </si>
  <si>
    <t>Most often found east of the Inner Sea and often intermingled with the Mulan, Rashemis tend to be short, stout, and muscular, They usually have dusky skin, dark eyes, and thick black hair.</t>
  </si>
  <si>
    <t>Rashemi Names: (Male) Borivik, Faurgar, Jandar, Kanithar, Madislak, Ralmevik, Shaumar, Vladislak; (female) Fyevarra, Hulmarra, Immith, Imzel,
Navarra, Shevarra, Tammith, Yuldra; (surnames) Chergoba, Dyernina, Iltazyara, Murnyethara, Stayanoga, Ulmokina</t>
  </si>
  <si>
    <t>Shou Names: (Male) An, Chen, Chi, Fai, Jiang, Jun,
Lian, Long, Meng, On, Shan, Shui, Wen; (female)
Bai, Chao, Jia, Lei, Mei, Qiao, Shui, Tai; (surnames) Chien, Huang, Kao, Kung, Lao, Ling, Mei, Pin, Shin, Sum, Tan, Wan</t>
  </si>
  <si>
    <t>The Shou are the most numerous and powerful ethnic group in Kara-Tur, far to the east of Faerun. They are yellowish-bronze in hue, with black hair and dark eyes. Shou surnames are usually presented before the given name.</t>
  </si>
  <si>
    <t>Widespread along the entire Sword Coast at the western edge of Faerun, Tethyrians are of medium build and height, with dusky skin that tends to grow fairer the farther north they dwell. Their hair and eye color varies widely, but brown hair and blue eyes are the most common. Tethyrians primarily use Chondathan names.</t>
  </si>
  <si>
    <t>Native to the southern shore of the Inner Sea, the Turami people are generally tall and muscular, with dark mahogany skin, curly black hair, and dark eyes.</t>
  </si>
  <si>
    <t>Turami Names: (Male) Anton, Diero, Marcon, Pieron, Rimardo, Romero, Salazar, Umbero; (female) Balama, Dona, Faila, jalana, Luisa, Marta, Quara, Selise, Vonda; (surnames) Agosto, Astorio, Calabra, Domine, Falone, Marivaldi, Pisacar, Ramondo</t>
  </si>
  <si>
    <t>Calishite Names: (Male) Aseir, Bardeid, Haseid, Khemed, Mehmen, Sudeiman, Zasheir; (female)
Atala, Ceidil, Hama, Jasmal, Meilil, Seipora, Yasheira, Zasheida; (surnames) Basha, Dumein, Jassan, Khalid, Mostana, Pashar, Rein</t>
  </si>
  <si>
    <t>Shorter and slighter in build than most other humans, Calishites have dusky brown skin, hair, and eyes. They’re found primarily in southwest Faerun.</t>
  </si>
  <si>
    <t>Chondathans are slender, tawny-skinned folk with brown hair that ranges from almost blond to almost black. Most are tall and have green or brown eyes, but these traits are hardly universal. Humans of Chondathan descent dominate the central lands of Faerun, around the Inner Sea</t>
  </si>
  <si>
    <t>Male Names: Arjhan, Balasar, Bharash, Donaar, Ghesh Heskan, Kriv, Medrash, Mehen, Nadarr, Pandjed, Patrin, Rhogar, Shamash, Shedinn, Tarhun, Torinn Female Names: Akra, Вігі, Daar, Farideh, Harann, Havilar, Jheri, Kava, Korinn, Mishann, Nala, Perra, Raiann, Sora, Surina, Thava, Uadjit
Childhood Names: Climber, Earbender, Leaper, Pious, Shieldbiter, Zealous
Clan Names: Clethtinthiallor, Daardendrian, Delmirev, Drachedandion, Fenkenkabradon, Kepeshkmolik, Kerrhylon. Kimbatuul, Linxakasendalor, Myastan, Nemmonis, Norixius, Ophinshtalajiir, Prexijandilin, Shestendeliath, Turnuroth, Verthisathurgiesh, Yarjerit</t>
  </si>
  <si>
    <t>Mate Names: Alston, Alvyn, Boddynock, Brocc, Burgell. Dimble, Eldon, Erky, Fonkin, Frug, Gerbo, Gimble, Glim, Jebeddo, Kellen, Namfoodle, Orryn, Roondar, Seebo, Sindri, Warryn, Wrenn, Zook Female Names: Bimpnottin, Breena, Caramip, Carlin, Donella, Duvamil, Ella, Ellyjobell, Ellywick, Lilli, Loopmottin, Lorilla, Mardnab, Nissa, Nyx, Oda, Orla, Roywyn, Shamil, Tana, Waywocket, Zanna Clan Names: Beren, Daergel, Folkor, Garrick, Nackle, Murnig, Ningel, Raulnor, Scheppen, Timbers, Turen Nicknames: Aleslosh, Ashhearth, Badger, Cloak, Doublelock, Filchbatter, Fnipper, Ku, Nim, Oneshoe, Pock, Sparkiegem, Stumbleduck</t>
  </si>
  <si>
    <t>Curious and impulsive, gnomes might take up adventuring as a way to see the world or for the love of exploring. As lovers of gems and other fine items, some gnomes take to adventuring as a quick, if dangerous, path to wealth. Regardless of what spurs them to adventure, gnomes who adopt this way of life eke as much enjoyment out of it as they do out of any other activity they undertake, sometimes to the great annoyance of their adventuring companions.</t>
  </si>
  <si>
    <t>As a forest gnome, you have a natural knack for illusion and inherent quickness and stealth. In the worlds of D&amp;D, forest gnomes are rare and secretive. They gather in hidden communities in sylvan forests, using illusions and trickery to conceal themselves from threats or to mask their escape should they be detected. Forest gnomes tend to be friendly with other good spirited woodland folk, and they regard elves and good fey as their most important allies. These gnomes also befriend small forest animals and rely on them for information about threats that might prowl their lands.</t>
  </si>
  <si>
    <t xml:space="preserve">Half-elves have no lands of their own, though they are welcome in human cities and somewhat less welcome in elven forests. In large cities in regions where elves and humans interact often, half-elves are sometimes numerous enough to form small communities of their own. They enjoy the company of other half-elves, the only people who truly understand what it is to live between these two worlds.
In most parts of the world, though, half-elves are uncommon enough that one might live for years without meeting another. Some half-elves prefer to avoid company altogether, wandering the wilds as trappers, foresters, hunters, or adventurers and visiting civilization only rarely. Like elves, they are driven by the wanderlust that comes of their longevity. Others, in contrast, throw themselves into the thick of society, putting their charisma and social skills to great use in diplomatic roles or as swindlers.
</t>
  </si>
  <si>
    <t>Male Infernal Names: Akmenos, Amnon, Barakas, Damakos, Ekemon, Iados, Kairon, Leucis, Melech, Mordai, Morthos, Pelaios, Skamos, Therai Female Infernal Names: Akta, Anakis, Bryseis, Criella, Damaia, Ea, Kallista, Lerissa, Makaria, Nemeia, Orianna, Phelaia, Rieta
“Virtue” Names: Art, Carrion, Chant, Creed, Despair, Excellence, Fear, Glory, Hope, Ideal, Music, Nowhere, Open, Poetry, Quest, Random, Reverence, Sorrow, Temerity, Torment, Weary</t>
  </si>
  <si>
    <t>A fierce warrior of primitive background who can enter a battle rage</t>
  </si>
  <si>
    <t>An inspiring magician whose power echoes the music of creation</t>
  </si>
  <si>
    <t>A priestly champion who wields divine magic in service of a higher power</t>
  </si>
  <si>
    <t>A priest of the Old Faith, wielding the powers of nature—moonlight and plant growth, fire and lightning—and adopting animal forms</t>
  </si>
  <si>
    <t>A master of martial combat, skilled with a variety of weapons and armor</t>
  </si>
  <si>
    <t>An master of martial arts, harnessing the power of the body in pursuit of physical and spiritual perfection</t>
  </si>
  <si>
    <t>A holy warrior bound to a sacred oath</t>
  </si>
  <si>
    <t>A warrior who uses martial prowess and nature magic to combat threats on the edges of civilization</t>
  </si>
  <si>
    <t>A scoundrel who uses stealth and trickery to overcome obstacles and enemies</t>
  </si>
  <si>
    <t>A spellcaster who draws on inherent magic from a gift or bloodline</t>
  </si>
  <si>
    <t>A wielder of magic that is derived from a bargain with an extraplanar entity</t>
  </si>
  <si>
    <t>A scholarly magic-user capable of manipulating the structures of reality</t>
  </si>
  <si>
    <t xml:space="preserve">You have spent your life in the service of a temple to a specific god or pantheon of gods. You act as an intermediary between the realm of the holy and the mortal world, performing sacred rites and offering sacrifices in order to conduct worshipers into the presence of the divine. You are not necessarily a cleric—performing sacred rites is not the same thing as channeling divine power.
Choose a god, a pantheon of gods, or some other quasi-divine being from among those listed in appendix B or those specified by your DM, and work with your DM to detail the nature of your religious service.
Were you a lesser functionary in a temple, raised from childhood to assist the priests in the sacred rites? Or were you a high priest who suddenly experienced a call to serve your god in a different way? Perhaps you were the leader of a small cult outside of any established temple structure, or even an occult group that served a fiendish master that you now deny.
</t>
  </si>
  <si>
    <t xml:space="preserve">You have always had a way with people. You know what makes them tick, you can tease out their hearts' desires after a few minutes of conversation, and with a few leading questions you can read them like they were children’s books, it's a useful talent, and one that you're perfectly willing to use for your advantage.
You know what people want and you deliver, or rather, you promise to deliver. Common sense should steer people away from things that sound too good to be true, but common sense seems to be in short supply when you’re around. The bottle of pink-colored liquid will surely cure that unseemly rash, this ointment—nothing more than a bit of fat with a sprinkle of silver dust—can restore youth and vigor, and there’s a bridge in the city that just happens to be for sale. These marvels sound implausible, but you make them sound like the real deal.
</t>
  </si>
  <si>
    <t>Although your capabilities are not much different from those of a burglar or smuggler, you learned and practiced them in a very different context: as an espionage agent. You might have been an officially sanctioned agent of the crown, or perhaps you sold the secrets you uncovered to the highest bidder.</t>
  </si>
  <si>
    <t xml:space="preserve">A gladiator is as much an entertainer as any minstrel or circus performer, trained to make the arts of combat into a spectacle the crowd can enjoy. This kind of flashy combat is your entertainer routine, though you might also have some skills as a tumbler or actor.
Using your By Popular Demand feature, you can find a place to perform in any place that features combat for entertainment—perhaps a gladiatorial arena or secret pit fighting club. You can replace the musical instrument in your equipment package with an inexpensive but unusual weapon, such as a trident or net.
</t>
  </si>
  <si>
    <t>You come from a humble social rank, but you are destined for so much more. Already the people of your home village regard you as their champion, and your destiny calls you to stand against the tyrants and monsters that threaten the common folk everywhere.</t>
  </si>
  <si>
    <t>You are a member of an artisan’s guild, skilled in a particular field and closely associated with other artisans. You are a well-established part of the mercantile world, freed by talent and wealth from the constraints of a feudal social order. You learned your skills as an apprentice to a master artisan, under the sponsorship of your guild, until you became a master in your own right.</t>
  </si>
  <si>
    <t>Guild Merchant</t>
  </si>
  <si>
    <t xml:space="preserve">Instead of an artisans’ guild, you might belong to a guild of traders, caravan masters, or shopkeepers. You don’t craft items yourself but earn a living by buying and selling the works of others (or the raw materials artisans need to practice their craft). Your guild might be a large merchant consortium (or family) with interests across the region. Perhaps you transported goods from one place to another, by ship, wagon, or caravan, or bought them from traveling traders and sold them in your own little shop. In some ways, the traveling merchant’s life lends itself to adventure far more than the life of an artisan.
</t>
  </si>
  <si>
    <t>mule</t>
  </si>
  <si>
    <t>cart</t>
  </si>
  <si>
    <t>You lived in seclusion—either in a sheltered community such as a monastery, or entirely alone—for a formative part of your life. In your time apart from the clamor of society, you found quiet, solitude, and perhaps some of the answers you were looking for.</t>
  </si>
  <si>
    <t>You have the service of three retainers loyal to your family. These retainers can be attendants or messengers, and one might be a majordomo. Your retainers are commoners who can perform mundane tasks for you, but they do not fight for you, will not follow you into obviously dangerous areas (such as dungeons), and will leave if they are frequently endangered or abused.</t>
  </si>
  <si>
    <t xml:space="preserve">A knighthood is among the lowest noble titles in most societies, but it can be a path to higher status. If you wish to be a knight, choose the Retainers feature (see the sidebar) instead of the Position of Privilege feature. One of your commoner retainers is replaced by a noble who serves as your squire, aiding you in exchange for
^ h.
VARIANT FEATURE: RETAINERS
If your character has a noble background, you may select this background feature instead of Position of Privilege.
You have the service of three retainers loyal to your family. These retainers can be attendants or messengers, and one might be a majordomo. Your retainers are commoners who can perform mundane tasks for you, but they do not fight for you, will not follow you into obviously dangerous areas (such as dungeons), and will leave if they are frequently endangered or abused.
training on his or her own path to knighthood. Your two remaining retainers might include a groom to care for your horse and a servant who polishes your armor (and even helps you put it on).
As an emblem of chivalry and the ideals of courtly love, you might include among your equipment a banner or other token from a noble lord or lady to whom you have given your heart—in a chaste sort of devotion.
(This person could be your bond.)
</t>
  </si>
  <si>
    <t>You grew up in the wilds, far from civilization and the comforts of town and technology. You've witnessed the migration of herds larger than forests, survived weather more extreme than any city-dweller could comprehend, and enjoyed the solitude of being the only thinking creature for miles in any direction. The wilds are in your blood, whether you were a nomad, an explorer, a recluse, a hunter-gatherer, or even a marauder. Even in places where you don’t know the specific features of the terrain, you know the ways of the wild.</t>
  </si>
  <si>
    <t xml:space="preserve">You sailed on a seagoing vessel for years. In that time, you faced down mighty storms, monsters of the deep, and those who wanted to sink your craft to the bottomless depths. Your first love is the distant line of the horizon, but the time has come to try your hand at something new.
Discuss the nature of the ship you previously sailed with your Dungeon Master. Was it a merchant ship, a naval vessel, a ship of discovery, or a pirate ship?
How famous (or infamous) is it? Is it widely traveled?
Is it still sailing, or is it missing and presumed lost with all hands?
What were your duties on board—boatswain, captain, navigator, cook, or some other position? Who were the captain and first mate? Did you leave your ship on good terms with your fellows, or on the run?
</t>
  </si>
  <si>
    <t xml:space="preserve">You spent your youth under the sway of a dread pirate, a ruthless cutthroat who taught you how to survive in a world of sharks and savages. You’ve indulged in larceny on the high seas and sent more than one deserving soul to a briny grave. Fear and bloodshed are no strangers to you, and you’ve garnered a somewhat unsavory reputation in many a port town.
If you decide that your sailing career involved piracy, you can choose the Bad Reputation feature (see sidebar) instead of the Ship’s Passage feature.
</t>
  </si>
  <si>
    <t xml:space="preserve">War has been your life for as long as you care to remember. You trained as a youth, studied the use of weapons and armor, learned basic survival techniques, including how to stay alive on the battlefield. You might have been part of a standing national army or a mercenary company, or perhaps a member of a local militia who rose to prominence during a recent war.
When you choose this background, work with your DM to determine which military organization you were a part of, how far through its ranks you progressed, and what kind of experiences you had during your military career. Was it a standing army, a town guard, or a village militia? Or it might have been a noble's or merchant’s private army, or a mercenary company.
</t>
  </si>
  <si>
    <t xml:space="preserve">You grew up on the streets alone, orphaned, and poor. You had no one to watch over you or to provide for you, so you learned to provide for yourself. You fought fiercely over food and kept a constant watch out for other desperate souls who might steal from you. You slept on rooftops and in alleyways, exposed to the elements, and endured sickness without the advantage of medicine or a place to recuperate. You've survived despite all odds, and did so through cunning, strength, speed, or some combination of each.
You begin your adventuring career with enough money to live modestly but securely for at least ten days. How did you come by that money? What allowed you to break free of your desperate circumstances and embark on a better life?
</t>
  </si>
  <si>
    <t>You thrive in front of an audience. You know how to entrance them, entertain them, and even inspire them. Your poetics can stir the hearts of those who hear you, awakening grief or joy, laughter or anger. Your music raises their spirits or captures their sorrow. Your dance steps captivate, your humor cuts to the quick. Whatever techniques you use, your art is your life.</t>
  </si>
  <si>
    <t>You understand wealth, power, and privilege. You carry a noble title, and your family owns land, collects taxes, and wields significant political influence. You might be a pampered aristocrat unfamiliar with work or discomfort, a former merchant just elevated to the nobility, or a disinherited scoundrel with a disproportionate sense of entitlement. Or you could be an honest, hard-working landowner who cares deeply about the people who live and work on your land, keenly aware of your responsibility to them.</t>
  </si>
  <si>
    <t>Ability Roll</t>
  </si>
  <si>
    <t>As a high elf, you have a keen mind and a mastery of at least the basics of magic. In many of the worlds of D&amp;D, there are two kinds of high elves. One type (which includes the gray elves and valley elves of Greyhawk, the Silvanesti of Dragonlance, and the sun elves of the Forgotten Realms) is haughty and reclusive, believing themselves to be superior to non-elves and even other elves. The other type (including the high elves of Greyhawk. the Qualinesti of Dragonlance, and the moon elves of the Forgotten Realms) are more common and more friendly, and often encountered among humans and other races.
The sun elves of Faerun (also called gold elves or sunrise elves) have bronze skin and hair of copper, black, or golden blond. Their eyes are golden, silver, or black. Moon elves (also called silver elves or gray elves) are much paler, with alabaster skin sometimes tinged with blue. They often have hair of silver-white, black, or blue, but various shades of blond, brown, and red are not uncommon. Their eyes are blue or green and flecked with gold.</t>
  </si>
  <si>
    <t xml:space="preserve">As a wood elf, you have keen senses and intuition, and your fleet feet carry you quickly and stealthily through your native forests. This category includes the wild elves (grugach) of Greyhawk and the Kagonesti of Dragonlance, as well as the races called wood elves in Greyhawk and the Forgotten Realms. In Faerun, wood elves (also called wild elves, green elves, or forest elves) are reclusive and distrusting of non-elves.
Wood elves' skin tends to be copperish in hue, sometimes with traces of green. Their hair tends toward browns and blacks, but it is occasionally blond or copper-colored. Their eyes are green, brown, or hazel.
</t>
  </si>
  <si>
    <t xml:space="preserve">Descended from an earlier subrace of dark-skinned elves, the drow were banished from the surface world for following the goddess Lolth down the path to evil and corruption. Now they have built their own civilization in the depths of the Underdark, patterned after the Way of Lolth. Also called dark elves, the drow have black skin that resembles polished obsidian and stark white or pale yellow hair. They commonly have very pale eyes (so pale as to be mistaken for white) in shades of lilac, silver, pink, red, and blue. They tend to be smaller and thinner than most elves.
Drow adventurers are rare, and the race does not exist in all worlds. Check with your Dungeon Master to see if you can play a drow character.
</t>
  </si>
  <si>
    <t xml:space="preserve">As a lightfoot halfling, you can easily hide from notice, even using other people as cover. You're inclined to be affable and get along well with others. In the Forgotten Realms, lightfoot halflings have spread the farthest and thus are the most common variety.
Lightfoots are more prone to wanderlust than other halflings, and often dwell alongside other races or take up a nomadic life. In the world of Greyhawk, these halflings are called hairfeet or tallfellows.
</t>
  </si>
  <si>
    <t>As a stout halfling, you’re hardier than average and have some resistance to poison. Some say that stouts have dwarven blood. In the Forgotten Realms, these halflings are called stronghearts, and they’re most common in the south.</t>
  </si>
  <si>
    <t>As a hill dwarf, you have keen senses, deep intuition, and remarkable resilience. The gold dwarves of Faerun in their mighty southern kingdom are hill dwarves, as are the exiled Neidar and the debased Klar of Krynn in the Dragonlance setting.</t>
  </si>
  <si>
    <t>As a mountain dwarf, you’re strong and hardy, accustomed to a difficult life in rugged terrain. You’re probably on the tall side (for a dwarf), and tend toward lighter coloration. The shield dwarves of northern Faerun, as well as the ruling Hylar clan and the noble Daewar clan of Dragonlance, are mountain dwarves.</t>
  </si>
  <si>
    <t>Duergar</t>
  </si>
  <si>
    <t>Male Orc Names: Dench, Feng, Gell, Henk, Holg, Imsh, Keth, Krusk, Mhurren, Ront, Shump. Thokk Female Ore Names: Baggi, Emen, Engong, Kansif, Myev, Neega, Ovak, Ownka, Shautha, Sutha, Vola, Volen, Yevelda</t>
  </si>
  <si>
    <t>Duergar Resilience</t>
  </si>
  <si>
    <t>Duergar Combat Training</t>
  </si>
  <si>
    <t>Enlarge (1 min) per short rest, Invisibility per short rest</t>
  </si>
  <si>
    <t>The tyrannical duergar, also known as gray dwarves,
dwell in fantastic cities deep in the Underdark. Using
ancient dwarven knowledge and myriad slaves, they
work tirelessly to expand their subterranean kingdoms.
Most duergar (including females) are bald and have
ashen gray skin. They wear drab clothing designed
to blend in with stone, along with simple jewelry that
reflects their severe and utilitarian demeanor.</t>
  </si>
  <si>
    <t>Innate Spellcasting (duergar)</t>
  </si>
  <si>
    <t>Chosen Array</t>
  </si>
  <si>
    <t>Массив для выбора</t>
  </si>
  <si>
    <t>Выбранные значения</t>
  </si>
  <si>
    <t>Оставшие значения</t>
  </si>
  <si>
    <t>Additional Elemental Discipline</t>
  </si>
  <si>
    <t>Bard College, Expertise, Bard College Feature3-1, Bard College Feature3-2,</t>
  </si>
  <si>
    <t>ED1</t>
  </si>
  <si>
    <t>ED2</t>
  </si>
  <si>
    <t>ED3</t>
  </si>
  <si>
    <t>ED4</t>
  </si>
  <si>
    <t>ED5</t>
  </si>
  <si>
    <t>ASI</t>
  </si>
  <si>
    <t>alignment</t>
  </si>
  <si>
    <t>ST</t>
  </si>
  <si>
    <t>Personal Traits</t>
  </si>
  <si>
    <t>EYES</t>
  </si>
  <si>
    <t>HIT POINTS</t>
  </si>
  <si>
    <t>HEAD</t>
  </si>
  <si>
    <t>HANDS</t>
  </si>
  <si>
    <t>ARMS / WRISTS</t>
  </si>
  <si>
    <t>NECK</t>
  </si>
  <si>
    <t>BODY</t>
  </si>
  <si>
    <t>TORSO</t>
  </si>
  <si>
    <t>RINGS</t>
  </si>
  <si>
    <t>WAIST</t>
  </si>
  <si>
    <t>FEET</t>
  </si>
  <si>
    <t>Mercenary</t>
  </si>
  <si>
    <t>Military Profession</t>
  </si>
  <si>
    <t>Scout</t>
  </si>
  <si>
    <t>Engineer</t>
  </si>
  <si>
    <t>short sword</t>
  </si>
  <si>
    <t>light crossbow</t>
  </si>
  <si>
    <t>Total Spellcaster Lvl</t>
  </si>
  <si>
    <t>Roguish Archetype, Roguish Archetype Feature3-1,</t>
  </si>
  <si>
    <t>Spellcasting (warlock)</t>
  </si>
  <si>
    <t>Score</t>
  </si>
  <si>
    <t>Abv.</t>
  </si>
  <si>
    <t>EK</t>
  </si>
  <si>
    <t>AT</t>
  </si>
  <si>
    <t>B</t>
  </si>
  <si>
    <t>W</t>
  </si>
  <si>
    <t>C</t>
  </si>
  <si>
    <t>D</t>
  </si>
  <si>
    <t>R</t>
  </si>
  <si>
    <t>P</t>
  </si>
  <si>
    <t>Wl</t>
  </si>
  <si>
    <t>all</t>
  </si>
  <si>
    <t>Known Spells</t>
  </si>
  <si>
    <t>BattleMaster</t>
  </si>
  <si>
    <t>Assassinate</t>
  </si>
  <si>
    <t>Appearance</t>
  </si>
  <si>
    <t>deity</t>
  </si>
  <si>
    <t>Notes</t>
  </si>
  <si>
    <t>perception</t>
  </si>
  <si>
    <t>speed</t>
  </si>
  <si>
    <t>proficiency bonus</t>
  </si>
  <si>
    <t>Combat</t>
  </si>
  <si>
    <t>combat</t>
  </si>
  <si>
    <t>Active / passive</t>
  </si>
  <si>
    <t>Active</t>
  </si>
  <si>
    <t>passive</t>
  </si>
  <si>
    <t>active</t>
  </si>
  <si>
    <t>Background Tools Proficiency</t>
  </si>
  <si>
    <t>Class Tools Proficiency</t>
  </si>
  <si>
    <t>StudentofWar</t>
  </si>
  <si>
    <t>Student of War Proficiency</t>
  </si>
  <si>
    <t>Racial Tools Proficiency</t>
  </si>
  <si>
    <t>Trained</t>
  </si>
  <si>
    <t>2nd lvl</t>
  </si>
  <si>
    <t>1st lvl</t>
  </si>
  <si>
    <t>3rd lvl</t>
  </si>
  <si>
    <t>4th lvl</t>
  </si>
  <si>
    <t>5th lvl</t>
  </si>
  <si>
    <t>6th lvl</t>
  </si>
  <si>
    <t>7th lvl</t>
  </si>
  <si>
    <t>8th lvl</t>
  </si>
  <si>
    <t>9th lvl</t>
  </si>
  <si>
    <t>Output</t>
  </si>
  <si>
    <t>Racial
Language</t>
  </si>
  <si>
    <t>Class
Language</t>
  </si>
  <si>
    <t>User-defined Language</t>
  </si>
  <si>
    <t>Tools Proficiency
User defined</t>
  </si>
  <si>
    <t>Language
User-defined</t>
  </si>
  <si>
    <t>Elemental Disciplines</t>
  </si>
  <si>
    <t>Кнопка "Reset Data" пока не работает</t>
  </si>
  <si>
    <t>Hit Points</t>
  </si>
  <si>
    <t>Base Class</t>
  </si>
  <si>
    <t>DwarvenToughness</t>
  </si>
  <si>
    <t>FeatTough</t>
  </si>
  <si>
    <t>Unarmored Defense (monk)</t>
  </si>
  <si>
    <t>Unarmored Defense (barbarian)</t>
  </si>
  <si>
    <t>UnarmoredDefenseWis</t>
  </si>
  <si>
    <t>UnarmoredDefenseCon</t>
  </si>
  <si>
    <t>UnarmoredDefenseCha</t>
  </si>
  <si>
    <t>UnarmoredDefenseInt</t>
  </si>
  <si>
    <t>Unarmored Defense (cha)</t>
  </si>
  <si>
    <t>Unarmored Defense (int)</t>
  </si>
  <si>
    <t>Message from Developer</t>
  </si>
  <si>
    <t>Selectable</t>
  </si>
  <si>
    <t>Manual Input</t>
  </si>
  <si>
    <t xml:space="preserve">Calculation </t>
  </si>
  <si>
    <t>Some text</t>
  </si>
  <si>
    <t>VERSION HISTORY</t>
  </si>
  <si>
    <t>Global Variables Container</t>
  </si>
  <si>
    <t>Archfey</t>
  </si>
  <si>
    <t>Archfiend</t>
  </si>
  <si>
    <t>Old One</t>
  </si>
  <si>
    <t>Divine Domains</t>
  </si>
  <si>
    <t>Druidic Lands</t>
  </si>
  <si>
    <t>Otherworldly Patrons</t>
  </si>
  <si>
    <t>Oaths</t>
  </si>
  <si>
    <t>Devotion</t>
  </si>
  <si>
    <t>Vengeance</t>
  </si>
  <si>
    <t>Ancients</t>
  </si>
  <si>
    <t>Protection From Evil and Good</t>
  </si>
  <si>
    <t>Protection From Energy</t>
  </si>
  <si>
    <t>Commune With Nature</t>
  </si>
  <si>
    <t>slow</t>
  </si>
  <si>
    <t xml:space="preserve">Hold Person, Spike Growth, Sleet Storm, slow, Freedom of Movement, Ice Storm, Commune with Nature, Cone of Cold, </t>
  </si>
  <si>
    <t xml:space="preserve">Mirror Image, Misty Step, Water Breathing, Water Walk, Control Water, Freedom of Movement, Conjure Elemental, Scrying, </t>
  </si>
  <si>
    <t xml:space="preserve">Blur, Silence, Create Food and Water, Protection From Energy, Blight, Hallucinatory Terrain, Insect Plague, Wall of Stone, </t>
  </si>
  <si>
    <t xml:space="preserve">Barkskin, Spider Climb, Call Lightning, Plant Growth, Divination, Freedom of Movement, Commune with Nature, Tree Stride, </t>
  </si>
  <si>
    <t xml:space="preserve">Invisibility, Pass without Trace, Daylight, Haste, Divination, Freedom of Movement, Dream, Insect Plague, </t>
  </si>
  <si>
    <t xml:space="preserve">Spider Climb, Spike Growth, Lightning Bolt, Meld into Stone, Stone Shape, Stoneskin, Passwall, Wall of Stone, </t>
  </si>
  <si>
    <t xml:space="preserve">Darkness, Melf's Acid Arrow, Water Walk, Stinking Cloud, Freedom of Movement, Locate Creature, Insect Plague, Scrying, </t>
  </si>
  <si>
    <t xml:space="preserve">Spider Climb, Web, Gaseous Form, Stinking Cloud, Greater Invisibility, Stone Shape, Cloudkill, Insect Plague, </t>
  </si>
  <si>
    <t>Druidic Arctic Land Spells</t>
  </si>
  <si>
    <t>Druidic Coast Land Spells</t>
  </si>
  <si>
    <t>Druidic Desert Land Spells</t>
  </si>
  <si>
    <t>Druidic Forest Land Spells</t>
  </si>
  <si>
    <t>Druidic Grassland Land Spells</t>
  </si>
  <si>
    <t>Druidic Mountain Land Spells</t>
  </si>
  <si>
    <t>Druidic Swamp Land Spells</t>
  </si>
  <si>
    <t>Druidic Underdark Land Spells</t>
  </si>
  <si>
    <t>Speak With Animals</t>
  </si>
  <si>
    <t>Speak with dead</t>
  </si>
  <si>
    <t>Arcane eye</t>
  </si>
  <si>
    <t>Spellcasting Variables</t>
  </si>
  <si>
    <t>cantrip</t>
  </si>
  <si>
    <t>RitualCasting</t>
  </si>
  <si>
    <t>MagicalInitiate</t>
  </si>
  <si>
    <t>BardMagicalSecrets</t>
  </si>
  <si>
    <t>Wizard (for AT)</t>
  </si>
  <si>
    <t>Wizard (for EK)</t>
  </si>
  <si>
    <t>Arcane Trickster*</t>
  </si>
  <si>
    <t>EK any spells</t>
  </si>
  <si>
    <t>AT any Spells</t>
  </si>
  <si>
    <t>Eldritch Knight*</t>
  </si>
  <si>
    <t>OATH</t>
  </si>
  <si>
    <t>DOMAIN</t>
  </si>
  <si>
    <t>1 st lvl</t>
  </si>
  <si>
    <t>Domain</t>
  </si>
  <si>
    <t>●</t>
  </si>
  <si>
    <t>WaR</t>
  </si>
  <si>
    <t xml:space="preserve">Command, Identify, Augury, Suggestion, Nondetection, Speak with dead, Arcane eye, Confusion, Legend Lore, Scrying, </t>
  </si>
  <si>
    <t xml:space="preserve">Bless, Cure Wounds, Lesser Restoration, Spiritual Weapon, Beacon of Hope, Revivify, Death Ward, Guardian of Faith, Mass Cure Wounds, Raise Dead, </t>
  </si>
  <si>
    <t xml:space="preserve">Burning Hands, Faerie Fire, Flaming Sphere, Scorching Ray, Daylight, Fireball, Guardian of Faith, Wall of Fire, Flame Strike, Scrying, </t>
  </si>
  <si>
    <t xml:space="preserve">Animal Friendship, Speak With Animals, Barkskin, Spike Growth, Plant Growth, Wind Wall, Dominate Beast, Grasping Vine, Insect Plague, Tree Stride, </t>
  </si>
  <si>
    <t xml:space="preserve">Fog Cloud, Thunderwave, Gust of Wind, Shatter, Call Lightning, Sleet Storm, Control Water, Ice Storm, Destructive Wave, Insect Plague, </t>
  </si>
  <si>
    <t xml:space="preserve">Charm Person, Disguise Self, Mirror Image, Pass without Trace, Blink, Dispel Magic, Dimension Door, Polymorph, Dominate Person, Modify Memory, </t>
  </si>
  <si>
    <t xml:space="preserve">Divine Favor, Shield of Faith, Magic Weapon, Spiritual Weapon, Crusader's Mantle, Spirit Guardians, Freedom of Movement, Stoneskin, Flame Strike, Hold Monster, </t>
  </si>
  <si>
    <t xml:space="preserve">False Life, Ray of Sickness, Blindness/Deafness, Ray of Enfeeblement, Animate Dead, Vampiric Touch, Blight, Death Ward, Antilife Shell, Cloudkill, </t>
  </si>
  <si>
    <t>Knowledge Domain Spells</t>
  </si>
  <si>
    <t>Life Domain Spells</t>
  </si>
  <si>
    <t>Light Domain Spells</t>
  </si>
  <si>
    <t>Nature Domain Spells</t>
  </si>
  <si>
    <t>Tempest Domain Spells</t>
  </si>
  <si>
    <t>Trickery Domain Spells</t>
  </si>
  <si>
    <t>War Domain Spells</t>
  </si>
  <si>
    <t>Death Domain Spells</t>
  </si>
  <si>
    <t>Domain Spells</t>
  </si>
  <si>
    <t>CLERIC</t>
  </si>
  <si>
    <t>Can Prepare</t>
  </si>
  <si>
    <t>Prepared</t>
  </si>
  <si>
    <t>Max Spell Level</t>
  </si>
  <si>
    <t>Lands</t>
  </si>
  <si>
    <t>L</t>
  </si>
  <si>
    <t>Land Spells</t>
  </si>
  <si>
    <t>MAGICAL SECRETS</t>
  </si>
  <si>
    <t>Right Hand</t>
  </si>
  <si>
    <t>Left Hand</t>
  </si>
  <si>
    <t>Set I</t>
  </si>
  <si>
    <t>Set II</t>
  </si>
  <si>
    <t>Set III</t>
  </si>
  <si>
    <t>Set IV</t>
  </si>
  <si>
    <t>Set V</t>
  </si>
  <si>
    <t>Set VI</t>
  </si>
  <si>
    <t>Set VII</t>
  </si>
  <si>
    <t>Unarmed</t>
  </si>
  <si>
    <t>RH1</t>
  </si>
  <si>
    <t>LH1</t>
  </si>
  <si>
    <t>Two-handed weapon</t>
  </si>
  <si>
    <t xml:space="preserve">Paladin </t>
  </si>
  <si>
    <t xml:space="preserve">Protection From Evil and Good, Sanctuary, Lesser Restoration, Zone of Truth, Beacon of Hope, Dispel Magic, Freedom of Movement, Guardian of Faith, Commune, Flame Strike, </t>
  </si>
  <si>
    <t xml:space="preserve">Ensnaring Strike, Speak with Animals, Moonbeam, Misty Step, Plant Growth, Protection From Energy, Ice Storm, Stoneskin, Commune With Nature, Tree Stride, </t>
  </si>
  <si>
    <t xml:space="preserve">Bane, Hunter's Mark, Hold Person, Misty Step, Haste, Protection From Energy, Banishment, Dimension Door, Hold Monster, Scrying, </t>
  </si>
  <si>
    <t xml:space="preserve">Hellish Rebuke, Inflict Wounds, Crown of Madness, Darkness, Animate Dead, Bestow Curse, Blight, Confusion, Contagion, Dominate Person, </t>
  </si>
  <si>
    <t>Oath of Ancients</t>
  </si>
  <si>
    <t>Oath</t>
  </si>
  <si>
    <t>O</t>
  </si>
  <si>
    <t>Oath Spells</t>
  </si>
  <si>
    <t>WIZARD</t>
  </si>
  <si>
    <t>Patron</t>
  </si>
  <si>
    <t>Great Old One</t>
  </si>
  <si>
    <t xml:space="preserve">Faerie Fire, Sleep, Calm Emotions, Phantasmal Force, Blink, Plant Growth, Dominate Beast, Greater Invisibility, Dominate Person, Seeming, </t>
  </si>
  <si>
    <t xml:space="preserve">Burning Hands, Command, Blindness/Deafness, Scorching Ray, Fireball, Stinking Cloud, Fire Shield, Wall of Fire, Flame Strike, Hallow, </t>
  </si>
  <si>
    <t xml:space="preserve">Dissonant Whispers, Tasha's Hideous Laughter, Detect Thoughts, Phantasmal Force, Clairvoyance, Sending, Dominate Beast, Evard's Black Tentacles, Dominate Person, Telekinesis, </t>
  </si>
  <si>
    <t>MagicInitiate</t>
  </si>
  <si>
    <t>CLASS TRAITS</t>
  </si>
  <si>
    <t>FEATS</t>
  </si>
  <si>
    <t>Fignting styles</t>
  </si>
  <si>
    <t>z</t>
  </si>
  <si>
    <t>Warlock Invocations:</t>
  </si>
  <si>
    <t>Aberrations</t>
  </si>
  <si>
    <t>Beasts</t>
  </si>
  <si>
    <t>Celestials</t>
  </si>
  <si>
    <t>Constructs</t>
  </si>
  <si>
    <t>Dragons</t>
  </si>
  <si>
    <t>Elementals</t>
  </si>
  <si>
    <t>Fey</t>
  </si>
  <si>
    <t>Fiends</t>
  </si>
  <si>
    <t>Giants</t>
  </si>
  <si>
    <t>Monstrosities</t>
  </si>
  <si>
    <t>Oozes</t>
  </si>
  <si>
    <t>Plants</t>
  </si>
  <si>
    <t>Undead</t>
  </si>
  <si>
    <t>FORGED ANVIL</t>
  </si>
  <si>
    <t>Thanks</t>
  </si>
  <si>
    <t>Inventory</t>
  </si>
  <si>
    <t>item name</t>
  </si>
  <si>
    <t>qty</t>
  </si>
  <si>
    <t>weight</t>
  </si>
  <si>
    <t>gp</t>
  </si>
  <si>
    <t>pp</t>
  </si>
  <si>
    <t>sp</t>
  </si>
  <si>
    <t>ep</t>
  </si>
  <si>
    <t>cp</t>
  </si>
  <si>
    <t>Attuned Magical Items</t>
  </si>
  <si>
    <t>Plaintext</t>
  </si>
  <si>
    <t>html</t>
  </si>
  <si>
    <t>Weapons Proficiency</t>
  </si>
  <si>
    <t>PROFICIENCY</t>
  </si>
  <si>
    <t>Proficiency</t>
  </si>
  <si>
    <t>v.0.53</t>
  </si>
  <si>
    <t>Favored Soul</t>
  </si>
  <si>
    <t>At 1st level, you choose one of the cleric class’s divine domains. You add that domain’s spells for 1st-level clerics to your known spells. These spells do not count against the number of spells you can know, and they are considered to be sorcerer spells for you. When you reach 3rd, 5th, 7th, and 9th levels in the sorcerer class, you likewise learn your domain’s spells that become available at those levels.</t>
  </si>
  <si>
    <t>Chosen of the Gods</t>
  </si>
  <si>
    <t>Favored Soul: Bonus Proficiencies</t>
  </si>
  <si>
    <t>At 1st level, you gain proficiency in light armor, medium armor, shields, and simple weapons.</t>
  </si>
  <si>
    <t>Divine Wings</t>
  </si>
  <si>
    <t>At 14th level, you gain the ability to sprout a pair of wings from your back (feathered or bat-like, your choice), gaining a flying speed equal to your current walking speed. You can create these wings as a bonus action on your turn. They last until you dismiss them as a bonus action on your turn.
You can’t manifest your wings while wearing armor unless the armor is made to accommodate them, and clothing not made to accommodate your wings might be destroyed when you manifest them.</t>
  </si>
  <si>
    <t>Power of the Chosen</t>
  </si>
  <si>
    <t>Starting at 18th level, when you cast one of the spells you learned from your Chosen of the Gods class feature, you regain hit points equal to your Charisma modifier (minimum +1) + the spell’s level.</t>
  </si>
  <si>
    <t>Poultices</t>
  </si>
  <si>
    <t>At 3rd level, you can create special herbal poultices that have healing power comparable to some potions. You can spend 1 hour gathering herbs and preparing herbal poultices using treated bandages to create a number of such poultices equal to your Wisdom modifier (minimum 1). You can carry a number of poultices at one time equal to your Wisdom modifier (minimum 1). The poultices you create cannot be applied by anyone but you. After 24 hours, any poultices that you have not used lose their potency.
If you spend 1 minute applying one of your poultices to a wounded humanoid creature, thereby expending its use, that creature regains 1d6 hit points for every two ranger levels you have (rounded up).</t>
  </si>
  <si>
    <t>Natural Antivenom</t>
  </si>
  <si>
    <t>Starting at 9th level, you have advantage on saving throws against poison and have resistance to poison damage. Additionally, you can use one of your poultices to cure one poison effect on the creature you are applying it to, in addition to restoring hit points.</t>
  </si>
  <si>
    <t>Call Natural Allies</t>
  </si>
  <si>
    <t>Starting at 13th level, when you are in an area of your favored terrain, you can call natural creatures from that terrain to fight on your behalf, using your attunement to the natural world to convince them to aid you. The DM chooses beasts appropriate to the terrain to come to your aid from among those that could hear you and that are within 1 mile of you, in one of the following groups:
• One beast of challenge rating 2 or lower
• Two beasts of challenge rating 1 or lower
• Four beasts of challenge rating 1/2 or lower
• Eight beasts of challenge rating 1/4 or lower
These beasts approach you from their current location, and will fight alongside you, attacking any creatures that are hostile to you. They are friendly to you and your comrades, and you roll initiative for the called creatures as a group, which takes its own turns. The DM has the creatures’ statistics.
After 1 hour, these beasts return to their previous location. Once you use this feature, you cannot use it again in the same general area for 24 hours, since the same animals will not repeatedly heed your call.</t>
  </si>
  <si>
    <t>Beastly Coordination</t>
  </si>
  <si>
    <t>Beginning at 15th level, when an attacker that you can see hits your beast companion with an attack, you can call out a warning. If your beast companion can hear you, it can use its reaction to halve the attack’s damage against it.</t>
  </si>
  <si>
    <t>Favored Soul Domain</t>
  </si>
  <si>
    <t>Invocation</t>
  </si>
  <si>
    <t>light armor, medium armor, shields, simple weapons</t>
  </si>
  <si>
    <t>Short Description</t>
  </si>
  <si>
    <t>Class Trait Lookup</t>
  </si>
  <si>
    <t>SORCERER</t>
  </si>
  <si>
    <t>FavoredSoul Domain</t>
  </si>
  <si>
    <t>Spells Known &amp; Prepared</t>
  </si>
  <si>
    <t>DruidLand3</t>
  </si>
  <si>
    <t>DruidLand4</t>
  </si>
  <si>
    <t>Starting Gear</t>
  </si>
  <si>
    <t>Override</t>
  </si>
  <si>
    <t>Race Name</t>
  </si>
  <si>
    <t>Custom Race (currently not working)</t>
  </si>
  <si>
    <t>Subrace Name</t>
  </si>
  <si>
    <t>Subrace Description</t>
  </si>
  <si>
    <t>Base AC</t>
  </si>
  <si>
    <t>Racial Trait</t>
  </si>
  <si>
    <t>Custom Background (currently not working)</t>
  </si>
  <si>
    <t>Примечание</t>
  </si>
  <si>
    <t>PACK</t>
  </si>
  <si>
    <t>Encumbrance</t>
  </si>
  <si>
    <t>##</t>
  </si>
  <si>
    <t>override</t>
  </si>
  <si>
    <t>Bard Cantrips</t>
  </si>
  <si>
    <t>Cleric Cantrips</t>
  </si>
  <si>
    <t>Druid Cantrips</t>
  </si>
  <si>
    <t>Eldritch Knight Cantrips</t>
  </si>
  <si>
    <t>Arcane Trickster Cantrips</t>
  </si>
  <si>
    <t>Sorcerer Cantrips</t>
  </si>
  <si>
    <t>Warlock Cantrips</t>
  </si>
  <si>
    <t>Wizard Cantrips</t>
  </si>
  <si>
    <t>Magic Initiate Cantrips</t>
  </si>
  <si>
    <t>USER DEFINED</t>
  </si>
  <si>
    <t>Category</t>
  </si>
  <si>
    <t>i1</t>
  </si>
  <si>
    <t>Item &amp; Services Lookup</t>
  </si>
  <si>
    <t>2nd level</t>
  </si>
  <si>
    <t>3rd level</t>
  </si>
  <si>
    <t>4th level</t>
  </si>
  <si>
    <t>5th level</t>
  </si>
  <si>
    <t>6th level</t>
  </si>
  <si>
    <t>7th level</t>
  </si>
  <si>
    <t>8th level</t>
  </si>
  <si>
    <t>9th level</t>
  </si>
  <si>
    <t>Total spells</t>
  </si>
  <si>
    <t>SPELLBOOK</t>
  </si>
  <si>
    <t>Среднесрочные планы</t>
  </si>
  <si>
    <t>Долгосрочные планы</t>
  </si>
  <si>
    <t>Краткосрочные планы</t>
  </si>
  <si>
    <t>1st</t>
  </si>
  <si>
    <t>2nd</t>
  </si>
  <si>
    <t>3rd</t>
  </si>
  <si>
    <t>4th</t>
  </si>
  <si>
    <t>Spell Slots</t>
  </si>
  <si>
    <t>Slots Used</t>
  </si>
  <si>
    <t>Warlock Slots</t>
  </si>
  <si>
    <t>slots</t>
  </si>
  <si>
    <t>used</t>
  </si>
  <si>
    <t>RACIAL TRAITS</t>
  </si>
  <si>
    <t>size</t>
  </si>
  <si>
    <t>Starting Equipment</t>
  </si>
  <si>
    <t>(a) a rapier, (b) a longsword, or (c) any simple weapon
(a) a diplomat's pack or (b) an entertainer's pack
(a) a lute or (b) any other musical instrument
Leather armor and a dagger</t>
  </si>
  <si>
    <t>(a) a mace or (b) a warhammer (if proficient)
(a) scale mail, (b) leather armor, or (c) сhain mail (if
proficient)
(a) a light crossbow and 20 bolts or (b) any simple
weapon
(a) a priest's pack or (b) an explorer's pack
A shield and a holy symbol</t>
  </si>
  <si>
    <t>(a) a wooden shield or (b) any simple weapon
(a) a scimitar or (b) any simple melee weapon
Leather armor, an explorer's pack, and a druidic focus</t>
  </si>
  <si>
    <t>(a) chain mail or (b) leather, longbow, and 20 arrows
(a) a martial weapon and a shield or (b) two martial
weapons
(a) a Iight crossbow and 20 bolts or (b) two handaxes
(a) a dungeoneer's pack or (b) an explorer's pack</t>
  </si>
  <si>
    <t>(a) a shortsword or (b) any simple weapon
(a) a dungeoneer's pack or (b) an explorer's pack
10 darts</t>
  </si>
  <si>
    <t>(a) scalemail or (b) leather armor
(a) two shortswords or (b) two simple melee weapons
(a) a dungeoneer's pack or (b) an explorer's pack
A longbow and a quiver of 20 arrows</t>
  </si>
  <si>
    <t>(a) a rapier or (b) a shortsword
(a) a shortbow and quiver of 20 arrows or (b) a
shortsword
(a) a burglar's pack, (b) a dungeoneer's pack, or (c) an
explorer's pack
Leather armor, two daggers, and thieves' tools</t>
  </si>
  <si>
    <t>(a) a light crossbow and 20 bolts or (b) any simple
weapon
(a) a component pouch or (b) an arcane focus
(a) a dungeoneer's pack or (b) an explorer's pack
Two daggers</t>
  </si>
  <si>
    <t>(a) a lighl crossbow and 20 bo!ls or (b) any simple
weapon
(a) a componenl pouch or (b) an arcane focus
(a) a scholar's pack or (b) a dungeoneer's pack
Lealher armor, any simple weapon, and lwo daggers</t>
  </si>
  <si>
    <t>(a) a quarterstaff or (b) a dagger
(a) a eomponent poueh or (b) an areane foeus
(a) a seholar's paek or (b) an explorer's paek
A spellbook</t>
  </si>
  <si>
    <t>(a) a greataxe or (b) any martial melee weapon
(a) two handaxes or (b) any simple weapon
An explorer's pack and four javelins</t>
  </si>
  <si>
    <t>(a) a martial weapon and a shield or (b) two martial
weapons
(a) fivejavelins or (b) any simpIe melee weapon
(a) a priest's pack or (b) an explorer's pack
Chain mail and a holy symbol</t>
  </si>
  <si>
    <t>Eldritch Mastery</t>
  </si>
  <si>
    <t>x</t>
  </si>
  <si>
    <t>SELECTABLES</t>
  </si>
  <si>
    <t>Aspect of Beast</t>
  </si>
  <si>
    <t>Druid Land</t>
  </si>
  <si>
    <t>Dragonmark</t>
  </si>
  <si>
    <t>You have a magical mark that indicates you are a member of one of the dragonmarked houses. Select one of the options from the Dragonmarks table.
You gain the ability to innately cast spells and cantrips, as summarized in the Dragonmark Benefits table, using the spellcasting ability listed under the Ability column. You cast each spell at its lowest level. Once you cast a given spell this way, you must finish a long rest before you can cast it innately again. You must still expend any material components.</t>
  </si>
  <si>
    <t>Selectable Class Features &amp; Traits</t>
  </si>
  <si>
    <t>1 level</t>
  </si>
  <si>
    <t>2 level</t>
  </si>
  <si>
    <t>3 level</t>
  </si>
  <si>
    <t>4 level</t>
  </si>
  <si>
    <t>6 level</t>
  </si>
  <si>
    <t>8 level</t>
  </si>
  <si>
    <t>5th</t>
  </si>
  <si>
    <t>6th</t>
  </si>
  <si>
    <t>7th</t>
  </si>
  <si>
    <t>8th</t>
  </si>
  <si>
    <t>9th</t>
  </si>
  <si>
    <t>Spell Attack</t>
  </si>
  <si>
    <t>Save DC</t>
  </si>
  <si>
    <t>Refugee</t>
  </si>
  <si>
    <t>You have lost your home due to some natural disaster,
act of war, magical cataclysm, or other form of widespread
destruction. Forced to flee your home, you’ve
spent a good portion of your life on the road looking
for a new community that would accept you. As a result,
you’ve learned to endure the hardships of a nomadic existence, traveling from place to place and earning a
meager living to survive. Your dream of one day settling
down for good has been long deferred, but you persevere,
hoping to find acceptance somewhere—even if it
means using force to stake your claim on a new home.</t>
  </si>
  <si>
    <t>Far-flung Friends</t>
  </si>
  <si>
    <t>The disaster that drove you from your home also affected
your family, friends, and other members of your homeland,
village, or clan. These fellow refugees dispersed
across the landscape, taking up residence in numerous
settlements both near and far, and they are always willing
to extend a helping hand to another refugee in need
of assistance. In communities that are now home to your
kith and kin, you can count on housing, food, free advice,
and other assistance so long as it doesn’t threaten the lives
and well-being of those lending you aid. Your GM will
decide whether or not a particular community has fellow
refugees amongst its population.</t>
  </si>
  <si>
    <t>I readily share what little I have with others in need.</t>
  </si>
  <si>
    <t>I refuse to quit, no matter how difficult things may seem.</t>
  </si>
  <si>
    <t>Despite the troubles I’ve experienced, I have a deep love
for traveling the open road and the new experiences such a
journey entails.</t>
  </si>
  <si>
    <t>I’ve collected a number of choice words from different dialects
during my journeys and constantly pepper my speech
with them.</t>
  </si>
  <si>
    <t>I hate not knowing where I am and collect maps and other
scraps of travel lore whenever possible.</t>
  </si>
  <si>
    <t>I strive to learn new things whenever I can, for you never
know when a bit of knowledge or skill might mean the difference
between life and death.</t>
  </si>
  <si>
    <t>I have little time for laughter or frivolity. Survival is a serious
matter.</t>
  </si>
  <si>
    <t>Cooperation. You are only as strong as the weakest amongst
you and must stand ready to assist others when they falter.
(Good)</t>
  </si>
  <si>
    <t>Stability. There is no greater aspiration in life than to possess
a home or other place where one is safe and secure. (Lawful)</t>
  </si>
  <si>
    <t>Self-Reliance. The ability to provide for oneself liberates you
from the need to rely on others. (Chaotic)</t>
  </si>
  <si>
    <t>Vigilance. One must constantly be on the lookout for danger
or difficulty, and swift to intercede before it comes to fruition.
(Neutral)</t>
  </si>
  <si>
    <t>Might. If someone is not strong enough to hold what is theirs,
you have every right to take it for your own. (Evil)</t>
  </si>
  <si>
    <t>Faith. Trust in the gods to guide you through hardships and
they shall eventually put you where they intend for you to be.
(Any)</t>
  </si>
  <si>
    <t>Survival requires cooperation and I am dedicated to those I
share the road with.</t>
  </si>
  <si>
    <t>I harbor an intense hatred for those people or forces responsible
for the destruction of my home.</t>
  </si>
  <si>
    <t>Although separated by disaster and distance, my people
remain dear to me and I will do anything to aid them.</t>
  </si>
  <si>
    <t>A kindly soul helped me when I most needed assistance and
I’ve vowed to return the favor whenever possible.</t>
  </si>
  <si>
    <t>I am devoted to preserving the history, culture, and customs
of my lost homeland.</t>
  </si>
  <si>
    <t>I strive to one day return to my former home and see it rise
from the ashes.</t>
  </si>
  <si>
    <t>Having been bitterly disappointed in the past, I’m reluctant to
trust others.</t>
  </si>
  <si>
    <t>I am prone to looking out for myself first and foremost.</t>
  </si>
  <si>
    <t>I am an easily swayed by someone with a hard luck story.</t>
  </si>
  <si>
    <t>I had a role—either willingly or unwittingly--in the catastrophe
that displaced my loved ones and I must hide my shameful
secret.</t>
  </si>
  <si>
    <t>I hoard every resource I can, be it money, magic, or food,
for fear I might find myself lacking when I most need these
things.</t>
  </si>
  <si>
    <t>I have no respect for those who lead a life of luxury and
leisure, untested by the hardships of life.</t>
  </si>
  <si>
    <t>Small wood axe</t>
  </si>
  <si>
    <t>two-person tent</t>
  </si>
  <si>
    <t>token reminder of your former home</t>
  </si>
  <si>
    <t>UD</t>
  </si>
  <si>
    <t>Right hand</t>
  </si>
  <si>
    <t>Left hand</t>
  </si>
  <si>
    <t>COMBAT</t>
  </si>
  <si>
    <t>Quickslot1</t>
  </si>
  <si>
    <t>Quickslot2</t>
  </si>
  <si>
    <t>Quickslot3</t>
  </si>
  <si>
    <t>Quickslot4</t>
  </si>
  <si>
    <t>quantity</t>
  </si>
  <si>
    <t>SHOULDERS</t>
  </si>
  <si>
    <t>Mainhand1</t>
  </si>
  <si>
    <t>Offhand1</t>
  </si>
  <si>
    <t>Mainhand2</t>
  </si>
  <si>
    <t>Offhand2</t>
  </si>
  <si>
    <t>Mainhand3</t>
  </si>
  <si>
    <t>Offhand4</t>
  </si>
  <si>
    <t>Mainhand5</t>
  </si>
  <si>
    <t>Offhand5</t>
  </si>
  <si>
    <t>Offhand3</t>
  </si>
  <si>
    <t>Mainhand4</t>
  </si>
  <si>
    <t>Quick Items</t>
  </si>
  <si>
    <t>Roleplay block</t>
  </si>
  <si>
    <t>Features Block</t>
  </si>
  <si>
    <t>Short Spellcasting</t>
  </si>
  <si>
    <t>OTHER FEATURES</t>
  </si>
  <si>
    <t>WEAPON PROFICIENCY</t>
  </si>
  <si>
    <t>ARMOR PROFICIENCY</t>
  </si>
  <si>
    <t>USER DEFINED FEATURES</t>
  </si>
  <si>
    <t>shurikens</t>
  </si>
  <si>
    <t>Back to Spellcasting</t>
  </si>
  <si>
    <t>Go to Bard Spells</t>
  </si>
  <si>
    <t>Go to Cleric Spells</t>
  </si>
  <si>
    <t>Go to Druid Spells</t>
  </si>
  <si>
    <t>Go to Eldritch Knight Spells</t>
  </si>
  <si>
    <t>Go to Paladin Spells</t>
  </si>
  <si>
    <t>Go to Ranger Spells</t>
  </si>
  <si>
    <t>Go to Arcane Trickster Spells</t>
  </si>
  <si>
    <t>Go to Sorcerer Spells</t>
  </si>
  <si>
    <t>Go to Warlock Spells</t>
  </si>
  <si>
    <t>Go to Wizard Spells</t>
  </si>
  <si>
    <t>Go to Rituals</t>
  </si>
  <si>
    <t>OPEN SPELLBOOK</t>
  </si>
  <si>
    <t>go to Ranger Spellbook</t>
  </si>
  <si>
    <t>go to Bard Spellbook</t>
  </si>
  <si>
    <t>go to Eldritch Knight Spellbook</t>
  </si>
  <si>
    <t>go to Warlock Spellbook</t>
  </si>
  <si>
    <t>go to Sorcerer Spellbook</t>
  </si>
  <si>
    <t>go to Arcane Trickster Spellbook</t>
  </si>
  <si>
    <t>go to Rituals</t>
  </si>
  <si>
    <t>go to Wizard SpellBook</t>
  </si>
  <si>
    <t>to Wizard Spells Known</t>
  </si>
  <si>
    <t>to SPELLBOOK</t>
  </si>
  <si>
    <t>to Rituals Known</t>
  </si>
  <si>
    <t>to Warlock Spells Known</t>
  </si>
  <si>
    <t>to Sorcerer Spells Known</t>
  </si>
  <si>
    <t>to Arcane Trickster Spells Known</t>
  </si>
  <si>
    <t>to Ranger Spells Known</t>
  </si>
  <si>
    <t xml:space="preserve">to Eldritch Knight Spells </t>
  </si>
  <si>
    <t>to Bard Spells Known</t>
  </si>
  <si>
    <t>Spellcasting Index</t>
  </si>
  <si>
    <t>to Spellcasting Index</t>
  </si>
  <si>
    <t>next →→→→</t>
  </si>
  <si>
    <t>Familiar</t>
  </si>
  <si>
    <t>Companion</t>
  </si>
  <si>
    <t>FAMILIAR →→→→</t>
  </si>
  <si>
    <t>COMPANION →→→→</t>
  </si>
  <si>
    <t>MOUNT →→→→</t>
  </si>
  <si>
    <t>Name, Race and Background</t>
  </si>
  <si>
    <t>1. Сброс введенных данных
2. Вывод данных</t>
  </si>
  <si>
    <t>1. Добавление класса
2. Добавление верхового животного
3. Добавление животного-спутника
4. Добавление фамильяра</t>
  </si>
  <si>
    <t>1. Экспорт персонажа в txt
2. Экспорт персонажа в xls
3. Добавление расы
4. Добавление background
5. Добавление archetype
6. Добавление заклинания
7. Добавление классовой особенности
8. Добавление расовой особенности
9. Добавление фит
       === BETA TESTING ===</t>
  </si>
  <si>
    <t>Ranger Spellcasting</t>
  </si>
  <si>
    <t>Caravan Specialist</t>
  </si>
  <si>
    <t>You are used to life on the road. You pride yourself at having traveled every major tradeway in the Moonsea region, including the best backroads and shortcuts. When traveling these roads, you know where the best inns, campsites, and water sources are located, as well as potential locations of danger such as ambush. Having worked the roads as long as you have, you have made many aquaintences and find it easy to pick up information and rumors floating from town to town. You are skilled with beasts of burden and handling and repairing wagons of all kinds</t>
  </si>
  <si>
    <t>Wagonmaster</t>
  </si>
  <si>
    <t xml:space="preserve">You are used to being in charge of the operation and your reputation for reliability has you on a short list when the job is critical. Experience has taught you to rely on your gut. Others recognize this and look to you for direction when a situation gets serious. You are able to identify the most defensible locations for camping. If you are part of a caravan outfit, you are able to attract two additional workers that are loyal to you based on your reputation. You have an excellent memory for maps and geography and can always determine your cardinal directions while traveling. </t>
  </si>
  <si>
    <t xml:space="preserve">You are a down-on your luck miner from the Earthspur Mountains who is no stranger to hardship. You have spent a great deal of time living among the dwarves, goliaths, and denizens of the Underdark that also work mines in the area. At this point, you're just as comfortable working underground as above. You know how to read a seam, dicker for supplies with the deep gnomes, party with dwarves, and find your way back to the surface afterwards. Unfortunately, you haven't struck it rich…yet. Although you've come to Mulmaster looking for work, the tall peaks and deep mines of the Earthspurs still call to you. </t>
  </si>
  <si>
    <t xml:space="preserve">Deep Miner </t>
  </si>
  <si>
    <t xml:space="preserve">You are used to navigating the deep places of the earth. You never get lost in caves or mines if you have either seen an accurate map of them or have been through them before. Furthermore, you are able to scrounge fresh water and food for yourself and as many as five other people each day if you are in a mine or natural caves. </t>
  </si>
  <si>
    <t xml:space="preserve">You are one of the hundreds of small-time fishermen and women who haul the bounty of Mulmaster's freshwater harbor to the city's markets each morning. You have spent countless days rowing in the waters in and around Mulmaster and know them and the other fisherfolk, dockworkers, and port inhabitants better than anyone. Though you have left that life behind, you still visit once in a while. </t>
  </si>
  <si>
    <t xml:space="preserve">Harborfolk </t>
  </si>
  <si>
    <t xml:space="preserve">You grew up on the docks and waters of Mulmaster Harbor. The harborfolk remember you and still treat you as one of them. They welcome you and your companions. While they might charge you for it, they'll always offer what food and shelter they have; they'll even hide you if the City Watch is after you (but not if the Hawks are). </t>
  </si>
  <si>
    <t>Mulmaster Aristocrat</t>
  </si>
  <si>
    <t xml:space="preserve">Mulmaster is run by and for its aristoracy. Every other class of citizen in the city defers to you, and even the priesthood, Soldiery, Hawks, and Cloaks treat you with deference. Other aristocrats and nobles accept you in their circles and likely know you or of you. Your connections can get you the ear of a Zor or Zora under the right circumstances. </t>
  </si>
  <si>
    <t xml:space="preserve">From your hilltop home, you have looked down (literally and perhaps figuratively) on the unwashed masses of Mulmaster for your entire life. Your fur-trimmed robes and training in the visual and performing arts mark you as wealthy and perhaps well-born; you are a member of the City of Danger's aristocracy. 
 None of your immediate family members sits on the Council of Blades or is even a Zor or Zora…yet. Nevertheless, you are one of Mulmaster's elite, and whether you personally covet a higher standing or not, you are at home in the dance halls where the aristocracy gathers to plot, to scheme, to do business, to discuss the arts, and, above all, to see, and to be seen.  
</t>
  </si>
  <si>
    <t xml:space="preserve">Highborn </t>
  </si>
  <si>
    <t xml:space="preserve">Phlan Refugee </t>
  </si>
  <si>
    <t xml:space="preserve">Gone are the happier days of walking into the Laughing Goblin Inn after a hard day’s labor.  Everything has changed, and you are lucky to be alive.  Back in Phlan you could count yourself among those street-wise folks who knew when to pay a bribe and who to work with to make a living.   Your ability to listen to the winds of change have saved you before, and this time they allowed you to be one of the lucky few who escaped Phlan with something more than just the shirt on your back.    </t>
  </si>
  <si>
    <t xml:space="preserve">Phlan Survivor </t>
  </si>
  <si>
    <t xml:space="preserve">Whatever your prior standing was, you are now one of the many refugees that have come to Mulmaster.  You are able to find refuge with others from Phlan and those who sympathize with your plight.  Within Mulmaster this means that you can find a place to bed down, recover, and hide from the watch with either other refugees from Phlan, or the Zhents within the ghettos.   </t>
  </si>
  <si>
    <t xml:space="preserve">I donated heavily to the restoration of the House Built on Gold, the restored temple of Waukeen. I really want it to succeed. I believe Waukeen will reward me for my efforts. </t>
  </si>
  <si>
    <t xml:space="preserve">My brother was in the Soldiery. He was killed in the line of duty, and they really honored him at his funeral. I think the members of the Soldiery are the bravest men and women around. I do my best to help them when I can and to speak up for them on the rare occasion when others badmouth them. </t>
  </si>
  <si>
    <t xml:space="preserve">I have won a small fortune betting on the dwarven pit fighter Bhún Lundwakazar. I’m a total fan and would like to meet him. He’s the best of the best! </t>
  </si>
  <si>
    <t xml:space="preserve">My cousin married Zora Culkin’s brother a few years ago. I met the Zora at the wedding and even danced with her! She is a striking beauty. I am smitten with her. </t>
  </si>
  <si>
    <t xml:space="preserve">(Wizard) I apprenticed together with Salvar Brix. He’s a very ambitious mage! I learned a lot from him and would do anything to impress him! </t>
  </si>
  <si>
    <t>Earthspur Miner</t>
  </si>
  <si>
    <t>Harborfolk</t>
  </si>
  <si>
    <t>LIFESTYLE</t>
  </si>
  <si>
    <t>SEASON</t>
  </si>
  <si>
    <t>Elemental Evil</t>
  </si>
  <si>
    <t xml:space="preserve">When I first came to Mulmaster, I worked at a high-end dance hall called the Wave and Wink. My bosses were the owner, Urdun Brizik and his beautiful wife, Kata. They treated me like family. I’d do anything for them! </t>
  </si>
  <si>
    <t xml:space="preserve">Benkin Rould sailed with my father and saved his life once. My father made me promise to look after Benking. I drop into the Rusty Chock now and then to spend some coin and check on him. That tough old coot doesn’t need my help, but I promised Dad. </t>
  </si>
  <si>
    <t xml:space="preserve">Captain Gideon Holke, the new commander of Southroad Tower, saved me from getting a beating a few years back. There was a misunderstanding, and he was in the right place at the right time. He’s a good egg, and I’m glad he’s been given an important responsibility. </t>
  </si>
  <si>
    <t xml:space="preserve">(Evil, Baneite) I know Sargent Audra Maskyr of the Mulmaster City Watch. We worship together at the Black Lord’s Altar. I would do for her or any other member of the congregation. It’s the Dark One’s will. </t>
  </si>
  <si>
    <t xml:space="preserve">I worked in the back at the dockside tavern the Black Blade and Bloody Boar for a while, washing dishes and  such. Ma, the proprietor, is good people. She gave me a job when I was down and out. </t>
  </si>
  <si>
    <t xml:space="preserve">I am a secret informant for the Hawks. I send them reports about everything I see and hear, even what my friends and allies are up to. </t>
  </si>
  <si>
    <t xml:space="preserve">I was robbed in the Zhent ghetto once. It will not happen again. </t>
  </si>
  <si>
    <t xml:space="preserve">I killed a drunk member of the City Watch in a brawl. I am terrified that they might find out. </t>
  </si>
  <si>
    <t xml:space="preserve">The Cloaks killed my friend for spellcasting. I'll get them back somehow, someday. </t>
  </si>
  <si>
    <t xml:space="preserve">The Soldiery seized my ship confiscated my cargo, imprisoned my shipmates, yet let me walk free.  I fear for what they have in store for me. </t>
  </si>
  <si>
    <t xml:space="preserve">(PCs 125 years old or older) I was a loyal supporter of High Blade Rassendyll Uoumdolphin. I have suffered greatly since his fall. I honor his memory in secret. </t>
  </si>
  <si>
    <t xml:space="preserve">I have traded the hot, dry winds of the Thay Mount for the cold, wet winds of Mulmaster. Whether a spellcaster, a warrior, a merchant, or an artisan, I will show the decadent aristocrats of the City of Danger that Thay retains the power and influence it had under the Red Wizards. </t>
  </si>
  <si>
    <t xml:space="preserve">The Thayans cannot fool me. They may say the Red Wizards no longer rule them, but I know they are all still foul necromancers and will prove it. </t>
  </si>
  <si>
    <t xml:space="preserve">Magical power and secrets call to me from the Tower of Mysteries. Whether through my dedication to one of the gods worshipped there or my own arcane powers, I will answer.  </t>
  </si>
  <si>
    <t>Tyranny of Dragons</t>
  </si>
  <si>
    <t xml:space="preserve">Any group is only as strong as its weakest link. Everyone has to pull their own weight. </t>
  </si>
  <si>
    <t xml:space="preserve">There's always someone out there trying to take what I've got. Always be vigilent.  </t>
  </si>
  <si>
    <t xml:space="preserve">Anything can be learned if you have the right teacher. Most folks just need a chance. </t>
  </si>
  <si>
    <t xml:space="preserve">Early to bed and early to rise; this much at least is under my control. </t>
  </si>
  <si>
    <t xml:space="preserve">You can listen to me or don't and wish you had. Everyone ends up on one side of that fence. </t>
  </si>
  <si>
    <t xml:space="preserve">Eventually my hard work will be rewarded. Maybe that time has finally come. </t>
  </si>
  <si>
    <t xml:space="preserve">A strong ox or horse is more reliable than most people I've met. </t>
  </si>
  <si>
    <t xml:space="preserve">I never had time for books, but wish I had. I admire folks who have taken the time to learn. </t>
  </si>
  <si>
    <t xml:space="preserve">Service: Using my talents to help others is the best way of helping myself. (Good) </t>
  </si>
  <si>
    <t xml:space="preserve">Selfish: What people don't know WILL hurt them, but why is that my problem? (Evil) </t>
  </si>
  <si>
    <t xml:space="preserve">Wanderer: I go where the road takes me. Sometimes that's a good thing… (Chaotic) </t>
  </si>
  <si>
    <t xml:space="preserve">Fittest: On the open road, the law of nature wins. Victims are the unprepared. (Lawful) </t>
  </si>
  <si>
    <t xml:space="preserve">Focused: I simply have a job to do, and I'm going to do it. (Neutral) </t>
  </si>
  <si>
    <t xml:space="preserve">Motivated: There's a reason I'm good at what I do, I pay attention to the details. (Any) </t>
  </si>
  <si>
    <t xml:space="preserve">My brother has a farm In Elmwood and I've helped him and his neigbors move their goods to Mulmaster and other surrounding towns. Those are good people. </t>
  </si>
  <si>
    <t xml:space="preserve">A caravan I lead was attacked by bandits and many innocents died. I swear that I will avenge them by killing any bandits I encounter. </t>
  </si>
  <si>
    <t xml:space="preserve">The Soldiery are mostly good guys who understand the importance of protecting the roads. The City Watch is who you have to look out for. If they are inspecting your goods, get ready to pay a fine. </t>
  </si>
  <si>
    <t xml:space="preserve">The new commander of Southroad Tower, Capt. Holke, understands the importance of safe roads. He's hired me for several jobs and I'm grateful.  </t>
  </si>
  <si>
    <t xml:space="preserve">There's always a road I haven't traveled before. I'm always looking for new places to explore.  </t>
  </si>
  <si>
    <t xml:space="preserve">Wealth and power mean little without the freedom to go where and when you want. </t>
  </si>
  <si>
    <t xml:space="preserve">I have trouble trusting people I've just met. </t>
  </si>
  <si>
    <t xml:space="preserve">I enjoy the open road. Underground and tight spaces make me very nervous. </t>
  </si>
  <si>
    <t xml:space="preserve">I expect others to heed my orders and have little resepect or sympathy if they don't. </t>
  </si>
  <si>
    <t xml:space="preserve">I am very prideful and have trouble admitting when I'm wrong. </t>
  </si>
  <si>
    <t>Once I decide on a course of action, I do not waiver.</t>
  </si>
  <si>
    <t xml:space="preserve">I like to explore, and my curiosity will sometimes get me into trouble. </t>
  </si>
  <si>
    <t>Tent</t>
  </si>
  <si>
    <t>Regional Map</t>
  </si>
  <si>
    <t>POOR</t>
  </si>
  <si>
    <t>Climber's kit</t>
  </si>
  <si>
    <t>shovel or miner's pick</t>
  </si>
  <si>
    <t xml:space="preserve">Nothing bothers me for long. </t>
  </si>
  <si>
    <t xml:space="preserve">I hate the horrors of the Underdark with a passion. They took my friends and family and almost got me. </t>
  </si>
  <si>
    <t xml:space="preserve">Anything worth doing takes time and patience. I have learned to plan and wait for the things I want and to be patient to achieve my goals. </t>
  </si>
  <si>
    <t xml:space="preserve">I can party with everyone. Whether with dwarves, or goliaths, or deep gnomes, I can find a way to have a good time. </t>
  </si>
  <si>
    <t xml:space="preserve">I'd rather be mining. This is okay; mining is better. </t>
  </si>
  <si>
    <t xml:space="preserve">I think that I will stumble upon great riches if I just keep looking. </t>
  </si>
  <si>
    <t xml:space="preserve">People who don't work with their hands and who live in houses are soft and weak. </t>
  </si>
  <si>
    <t xml:space="preserve">I wish I were more educated. I look up to people who are. </t>
  </si>
  <si>
    <t xml:space="preserve">Generosity: The riches of the earth are to be shared by all. (Good) </t>
  </si>
  <si>
    <t xml:space="preserve">Greed: Gems and precious metals, I want them all for myself. (Evil) </t>
  </si>
  <si>
    <t xml:space="preserve">Mooch: Property, schmoperty. If I need it, I take and use it. If I don't, I leave it for someone else. (Chaotic) </t>
  </si>
  <si>
    <t xml:space="preserve">Boundaries: Everything and everyone has its prescribed place; I respect that and expect others to do the same. (Lawful) </t>
  </si>
  <si>
    <t xml:space="preserve">Let it Be: I don't meddle in the affairs of others if I can avoid it. They're none of my business. (Neutral) </t>
  </si>
  <si>
    <t xml:space="preserve">Materialist: I want riches to improve my life. (Any) </t>
  </si>
  <si>
    <t xml:space="preserve">The people of the Earthspur mines are my family. I will do anything to protect them. </t>
  </si>
  <si>
    <t xml:space="preserve">A deep gnome saved my life when I was injured and alone. I owe his people a great debt. </t>
  </si>
  <si>
    <t xml:space="preserve">I must behold and preserve the natural beauty of places below the earth. </t>
  </si>
  <si>
    <t xml:space="preserve">Gems hold a special fascination for me, more than gold, land, magic, or power. </t>
  </si>
  <si>
    <t xml:space="preserve">I want to explore new depths and scale new heights. </t>
  </si>
  <si>
    <t xml:space="preserve">Someday I'm going to find the mother lode, then I'll spend the rest of my life in luxury. </t>
  </si>
  <si>
    <t xml:space="preserve">I'm uncomfortable spending time under the open sky. I'd rather be indoors or underground. </t>
  </si>
  <si>
    <t xml:space="preserve">I'm not used to being around other people much and sometimes get grouchy about it. </t>
  </si>
  <si>
    <t xml:space="preserve">Good tools are more reliable than people. In a cave in, I would save a sturdy pick before a stranger. </t>
  </si>
  <si>
    <t xml:space="preserve">I jealously guard my secrets, because I think others will take advantage of me if they learn what I know. </t>
  </si>
  <si>
    <t xml:space="preserve">I am obsessed with getting rich. I always have a scheme brewing for making it big. </t>
  </si>
  <si>
    <t>I'm afraid of the dark.</t>
  </si>
  <si>
    <t>fishing tackle</t>
  </si>
  <si>
    <t>rowboat</t>
  </si>
  <si>
    <t xml:space="preserve">I am curious. I want to know why things are the way they are and why people do the things that they do. </t>
  </si>
  <si>
    <t xml:space="preserve">I can't sing, but that never stops me from doing it, loudly. Everyone loves a good sea chanty! </t>
  </si>
  <si>
    <t xml:space="preserve">I think the High Blade is doing a terrific job, don't you? </t>
  </si>
  <si>
    <t xml:space="preserve">I'm very excited that the House Built on Gold is being restored. I am a zealous worshipper of Waukeen. </t>
  </si>
  <si>
    <t xml:space="preserve">I am quite superstitious. I see portents in everyday occurances. </t>
  </si>
  <si>
    <t xml:space="preserve">I resent the rich and enjoy thwarting their plans and spoiling their fun in small ways. </t>
  </si>
  <si>
    <t xml:space="preserve">I have a sea story to fit every occasion. </t>
  </si>
  <si>
    <t xml:space="preserve">I'm a fisher, but I secretly detest eating fish. I will do anything to avoid it. </t>
  </si>
  <si>
    <t xml:space="preserve">Calm: For all things, there is a tide. I set sail when it is right, and mend my nets when it is not. (Lawful)  </t>
  </si>
  <si>
    <t xml:space="preserve">Windblown: I go where the winds blow. No man or woman tells me where or when to sail. (Chaotic) </t>
  </si>
  <si>
    <t xml:space="preserve">Aspiring: I will gain the favor of a Zor or Zora patron, maybe even one of the Blades! (Any) </t>
  </si>
  <si>
    <t xml:space="preserve">Salty: I want people to look to me as an expert on plying Mulmaster Harbor. (Any) </t>
  </si>
  <si>
    <t xml:space="preserve">Selfless: We are all children of the sea. I help everyone in peril afloat and ashore. (Good) </t>
  </si>
  <si>
    <t xml:space="preserve">Let them Drown: I refuse to risk my hide to help others. They wouldn't help me if roles were reversed. (Evil) </t>
  </si>
  <si>
    <t xml:space="preserve">I once lost everything but my rowboat. I'll do anything to protect it. </t>
  </si>
  <si>
    <t xml:space="preserve">My brother was in the Soldiery, but he was killed. I really look up to the men and women who serve. </t>
  </si>
  <si>
    <t xml:space="preserve">The High House of Hurting helped me when I was hurt and asked nothing in return. I owe them my life. </t>
  </si>
  <si>
    <t xml:space="preserve">I would do anything to protect the other harborfolk. </t>
  </si>
  <si>
    <t xml:space="preserve">They are my family. </t>
  </si>
  <si>
    <t xml:space="preserve">I drink too much, which causes me to miss the tide. </t>
  </si>
  <si>
    <t xml:space="preserve">I oversell myself and make promises I can't keep when I want to impress someone. </t>
  </si>
  <si>
    <t xml:space="preserve">Book learning is a waste of time. I have no patience for people who don't speak from experience. </t>
  </si>
  <si>
    <t xml:space="preserve">I almost always cheat. I can't help myself. </t>
  </si>
  <si>
    <t>WEALTHY</t>
  </si>
  <si>
    <t xml:space="preserve">My ambitions are boundless. I will be a Zor or Zora one day! </t>
  </si>
  <si>
    <t xml:space="preserve">I must alwayss look my best. </t>
  </si>
  <si>
    <t xml:space="preserve">Beauty is everywhere. I can find it in even the homliest person and the most horrible tragedy. </t>
  </si>
  <si>
    <t xml:space="preserve">Décorum must be preserved at all costs. </t>
  </si>
  <si>
    <t xml:space="preserve">I will not admit I am wrong if I can avoid it. </t>
  </si>
  <si>
    <t xml:space="preserve">I am extremely well-educated and frequently remind others of that fact. </t>
  </si>
  <si>
    <t xml:space="preserve">I take what I can today, because I do not know what tomorrow holds. </t>
  </si>
  <si>
    <t xml:space="preserve">My life is full of dance, song, drink, and love. </t>
  </si>
  <si>
    <t xml:space="preserve">Generous: I have a responsibility to help and protect the less fortunate. (Good)  </t>
  </si>
  <si>
    <t xml:space="preserve">Loyal: My word, once given, is my bond. (Lawful) </t>
  </si>
  <si>
    <t xml:space="preserve">Callous: I am unconcerned with any negative effects my actions may have on the lives and fortunes of others. (Evil) </t>
  </si>
  <si>
    <t xml:space="preserve">Impulsive: I follow my heart. (Chaotic) </t>
  </si>
  <si>
    <t xml:space="preserve">Ignorant: Explanations bore me. (Neutral) </t>
  </si>
  <si>
    <t>Isolationist: I am concerned with the fortunes of my friends and family. Others must see to themselves. (any)</t>
  </si>
  <si>
    <t xml:space="preserve">I have dedicated my wealth and my talents to the service of one of the city's many temples. </t>
  </si>
  <si>
    <t xml:space="preserve">My family and I are loyal supporters of High Blade Jaseen Drakehorn. Our fortunes are inexorably tied to hers. I would do anything to support her. </t>
  </si>
  <si>
    <t xml:space="preserve">Like many families who were close to High Blade Selfaril Uoumdolphin, mine has suffered greatly since his fall. We honor his memory in secret. </t>
  </si>
  <si>
    <t xml:space="preserve">My family plotted with Rassendyll Uoumdolphin brother usurped brother as High Blade. Betrayal is the quickest route to power.  </t>
  </si>
  <si>
    <t xml:space="preserve">Wealth and power are nothing. Fulfillment can only be found in artistic expression. </t>
  </si>
  <si>
    <t xml:space="preserve">It's not how you feel, who you know, or what you can do - it's how you look, and I look fabulous. </t>
  </si>
  <si>
    <t xml:space="preserve">I have difficulty caring about anyone or anything other than myself. </t>
  </si>
  <si>
    <t xml:space="preserve">Having grown up with wealth, I am careless with my finances. I overspend and am overly generous. </t>
  </si>
  <si>
    <t xml:space="preserve">The ends (my advancement) justify any means. </t>
  </si>
  <si>
    <t xml:space="preserve">I must have what I want and will brook no delay. </t>
  </si>
  <si>
    <t xml:space="preserve">My family has lost everything. I must keep up appearances, lest we become a laughingstock. </t>
  </si>
  <si>
    <t xml:space="preserve">I have no artistic sense. I hide that fact behind extreme opinons and have become a trendsetter. </t>
  </si>
  <si>
    <t>token of the life you once khew</t>
  </si>
  <si>
    <t>MODEST</t>
  </si>
  <si>
    <t xml:space="preserve">I may have lost everything I worked for most of my life, but there's work to be done, no time to linger on the past. </t>
  </si>
  <si>
    <t xml:space="preserve">I worked hard to get where I am and I refuse to let a little hardship stop me from succeeding. </t>
  </si>
  <si>
    <t xml:space="preserve">I protect those around me, you never know when one of them will be useful. </t>
  </si>
  <si>
    <t xml:space="preserve">I have always gotten ahead by giving, why change now? </t>
  </si>
  <si>
    <t xml:space="preserve">I prepare for everything, it paid off in Phlan and it will pay off again. </t>
  </si>
  <si>
    <t xml:space="preserve">I will reclaim my home, though the path may be long, I will never give up hope. </t>
  </si>
  <si>
    <t xml:space="preserve">I never cared for personal hygiene, and am amazed that It bothers others.   </t>
  </si>
  <si>
    <t xml:space="preserve">I am always willing to volunteer my services, just as long as don’t have to do anything. </t>
  </si>
  <si>
    <t xml:space="preserve">Justice:  Corruption brought Phlan down, I will not tolerate that any longer.  (Lawful) </t>
  </si>
  <si>
    <t xml:space="preserve">Acceptance:  Stability is a myth, to think you can control your future is futile.  (Chaotic) </t>
  </si>
  <si>
    <t xml:space="preserve">Hope: I am guided by a higher power and I trust that everything will be right in the end.  (Good) </t>
  </si>
  <si>
    <t xml:space="preserve">Restraint: I hate those who caused my loss.  It is all I can do not to lash out at them.   (Any) </t>
  </si>
  <si>
    <t xml:space="preserve">Strength: As shown in Phlan, the strong survive.  If you are weak you deserve what you get (Evil) </t>
  </si>
  <si>
    <t xml:space="preserve">Openness:  I am always willing to share my life story with anyone who will listen.  (Any) </t>
  </si>
  <si>
    <t xml:space="preserve">I have the chance at a new life and this time I am going to do things right. </t>
  </si>
  <si>
    <t xml:space="preserve">The Lord Regent brought this suffering upon his people.   I will see him brought to justice.   </t>
  </si>
  <si>
    <t xml:space="preserve">I await the day I will be able to return to my home in Phlan. </t>
  </si>
  <si>
    <t xml:space="preserve">I will never forget the debt owed to Glevith of the Welcomers.  I will be ready to repay that debt when called upon. </t>
  </si>
  <si>
    <t xml:space="preserve">There was someone I cared about in Phlan, I will find out what happened to them.   </t>
  </si>
  <si>
    <t xml:space="preserve">Some say my life wasn't worth saving, I will prove them wrong.   </t>
  </si>
  <si>
    <t xml:space="preserve">I used the lives of children to facilitate my escape from Phlan. </t>
  </si>
  <si>
    <t xml:space="preserve">I am a sucker for the underdog, and always bet on the loosing team. </t>
  </si>
  <si>
    <t xml:space="preserve">  I am incapable of standing up for myself. </t>
  </si>
  <si>
    <t xml:space="preserve">I will borrow money from friends with no intention to repay it. </t>
  </si>
  <si>
    <t xml:space="preserve">I am unable to keep secrets.  A secret is just an untold story. </t>
  </si>
  <si>
    <t xml:space="preserve">When something goes wrong, it’s never my fault.  </t>
  </si>
  <si>
    <t>COMFORTABLE</t>
  </si>
  <si>
    <t>Fraction</t>
  </si>
  <si>
    <t>none;Harpers;Zhentarim;Emerald Enclave;Lord's Alliance;Order of the Gauntlet</t>
  </si>
  <si>
    <t>Harpers</t>
  </si>
  <si>
    <t>Zhentarim</t>
  </si>
  <si>
    <t>Emerald Enclave</t>
  </si>
  <si>
    <t>Lord's Alliance</t>
  </si>
  <si>
    <t>Order of the Gauntlet</t>
  </si>
  <si>
    <t>by guilt, he begged you to investigate the cult and undo the evil he may have helped foster. He urged you to begin your search in a town called Greenest.</t>
  </si>
  <si>
    <t>Leosin Erlanthar, a wandering monk, once saved your life. He’s sent urgent word for you to meet him in a small town called Greenest. Looks like it’s time to pay off that debt.</t>
  </si>
  <si>
    <t>When an orc raid drove your family from your home, the people of Greenest took you in. Anyone who threatens Greenest is your sworn enemy.</t>
  </si>
  <si>
    <t>Every five nights, you have a strange sequence of apocalyptic dreams. The world is destroyed by cold, choking fumes, lightning storms, waves of acid, and horrible fire. Each time, the dream ends with ten evil eyes glaring at you from the darkness. You feel a strange compulsion to travel to Greenest. Perhaps the answer to the riddle of your dreams awaits you there.</t>
  </si>
  <si>
    <t>Ontharr Frume, a crusading warrior and champion of good, is your friend and mentor. He has asked you to travel to Greenest in search of rumors of increasing dragon activity.</t>
  </si>
  <si>
    <r>
      <t xml:space="preserve">You have heard rumors that your close childhood friend, a half-elf named Talis, has been kidnapped by a strange group of dragon cultists. Your investigations into the cult have led you to the town of Greenest. You must save her! (Talis appears as a villain in the full </t>
    </r>
    <r>
      <rPr>
        <i/>
        <sz val="9"/>
        <color rgb="FF000000"/>
        <rFont val="Times New Roman"/>
        <family val="1"/>
        <charset val="204"/>
      </rPr>
      <t>Hoard of the Dragon Queen</t>
    </r>
    <r>
      <rPr>
        <sz val="9"/>
        <color rgb="FF000000"/>
        <rFont val="Times New Roman"/>
        <family val="1"/>
        <charset val="204"/>
      </rPr>
      <t xml:space="preserve"> adventure, so do not use this bond unless you plan on running the full adventure.)</t>
    </r>
  </si>
  <si>
    <t>Being the grandchild of a renowned dragon slayer is usually a good way to impress people, but just last week a gang of ruffians attack you. You barely escaped with your life, but as you fled, the ruffians told you that the Cult of the Dragon never forgets and always avenges. You’re hoping to lie low in a sleepy little town called Greenest until this blows over.</t>
  </si>
  <si>
    <t xml:space="preserve">On his deathbed, your father confessed that he had become involved with a group called the Cult of the Dragon. They paid him to smuggle goods across the Sword Coast. Wracked </t>
  </si>
  <si>
    <t>The dragons destroyed everything you hold dear. They killed your family and destroyed your home. Now, with nothing but what you carry on your back and a horrid scar of the near fatal wounds you sustained in the attack, you seek revenge.</t>
  </si>
  <si>
    <t>You and your family were members of the Cult of the Dragon, until your rivals in the cult arranged to wipe you out. Though they slaughtered your kin, you survived, but they think you’re dead. Now is your chance for vengeance! Your hit list consists of three names: a human cultist named Frulam Mondath, a half-orc named Bog Luck, and a half-dragon named Rezmir. You have arrived in Greenest, knowing it’s next on the cult’s list of targets.</t>
  </si>
  <si>
    <t>You have a secret. You once were a gold dragon who served Bahamut. You were too proud and vain, to the point that Bahamut decided to teach you a lesson. You have been trapped in a weak, humanoid body, with your memories of your former life but a dim shadow. You remember only one thing with perfect clarity: Bahamut’s command to go into the world and prove your devotion to the cause of good. If you prove worthy, on your death you will return to his side in your true form.</t>
  </si>
  <si>
    <t>OPTIONAL BOND</t>
  </si>
  <si>
    <t>OPTIONAL FEATURE</t>
  </si>
  <si>
    <t>Cult of the Dragon Infiltrator</t>
  </si>
  <si>
    <t>You have infiltrated the ranks of the Cult of the Dragon. Having spied on the organization for quite some time, you are familiar with its inner workings and customs. You have a second identity as an initiate of the cult, enough of a facade to blend in as a simple grunt or servant.</t>
  </si>
  <si>
    <t>You have studied dragons and their lore for many years. You can automatically identify locations built or used by dragons and can identify dragon eggs and scales by  sight. If you fail an Intelligence check to recall lore relating to dragons, you know someone or some book you can consult for the answer unless the DM rules that the lore is unknown.</t>
  </si>
  <si>
    <t>Dragon Scholar</t>
  </si>
  <si>
    <t>Initiate</t>
  </si>
  <si>
    <t>Agent</t>
  </si>
  <si>
    <t>Stalwart</t>
  </si>
  <si>
    <t>Mentor</t>
  </si>
  <si>
    <t>Leader</t>
  </si>
  <si>
    <t>Goals</t>
  </si>
  <si>
    <t>Beliefs</t>
  </si>
  <si>
    <t>Member Traits</t>
  </si>
  <si>
    <t>Gather information throughout Faerûn.
• Promote fairness and equality by covert means.
• Thwart tyrants and leaders, governments, and
organizations that grow too powerful.
• Aid the weak, poor and oppressed.</t>
  </si>
  <si>
    <t>• One can never have too much information or arcane
knowledge.
• Too much power leads to corruption. The abuse of magic,
in particular, must be closely monitored.
• No one should be powerless.</t>
  </si>
  <si>
    <t>Harper agents are trained to act alone and rely on their own
resources. When they get into scrapes, they don’t count on
their fellow Harpers to rescue them. Nevertheless, Harpers
are dedicated to helping one another in times of need, and
friendships between Harpers are nigh unbreakable.
Masterful spies and infiltrators, they use various guises and
secret identities to form relationships, cultivate their
information networks, and manipulate others into doing
what needs to be done. Although most Harpers prefer to
operate in the shadows, there are exceptions.</t>
  </si>
  <si>
    <t>Watcher</t>
  </si>
  <si>
    <t>Harpshadow</t>
  </si>
  <si>
    <t>Brightcandle</t>
  </si>
  <si>
    <t>Wise Owl</t>
  </si>
  <si>
    <t>High Harper</t>
  </si>
  <si>
    <t>• Be armed and vigilant against evil.
• Identify evil threats such as secretive power groups and inherently evil creatures.
• Enforce justice.
• Enact retribution against evil actions—do not strike preemptively.</t>
  </si>
  <si>
    <t>The Order of the Gauntlet is a dedicated, tightly knit group of like-minded individuals driven by religious zeal or a finely honed sense of justice and honor. Friendship and camaraderie are important to members of the order, and they share a trust and a bond normally reserved for siblings. Like highly motivated soldiers, members of the Order of the Gauntlet seek to become the best at what they do and look forward to testing their mettle. There are few, if any, “lone wolves” in this organization.</t>
  </si>
  <si>
    <t>• Faith is the greatest weapon against evil—faith in one’s god, one’s friends, and one’s self.
• Battling evil is an extraordinary task that requires extraordinary strength and bravery.
• Punishing an evil act is just. Punishing an evil thought is not.</t>
  </si>
  <si>
    <t>Chevall</t>
  </si>
  <si>
    <t>Marcheon</t>
  </si>
  <si>
    <t>Whitehawk</t>
  </si>
  <si>
    <t>Vindicator</t>
  </si>
  <si>
    <t>Righteous Hand</t>
  </si>
  <si>
    <t>Restore and preserve the natural order.
• Destroy all that is unnatural.
• Keep the elemental forces of the world in check.
• Keep civilization and the wilderness from destroying
each other.</t>
  </si>
  <si>
    <t>The natural order must be respected and preserved.
• Forces that upset the natural order must be destroyed.
• Civilization and the wilderness must learn to coexist
peacefully.</t>
  </si>
  <si>
    <t>Members of the Emerald Enclave are spread far and wide,
and usually operate in isolation. They learn to depend on
themselves more than others. Survival in a harsh world also
demands great fortitude and mastery of certain fighting and
survival skills. Members of the Enclave who dedicate
themselves to helping others survive the perils of the
wilderness are more social than others who are charged
with defending sacred glades and preserving the natural
balance.</t>
  </si>
  <si>
    <t>Springwarden</t>
  </si>
  <si>
    <t>Summerstrider</t>
  </si>
  <si>
    <t>Autumnreaver</t>
  </si>
  <si>
    <t>Winterstalker</t>
  </si>
  <si>
    <t>Master of the Wild</t>
  </si>
  <si>
    <t>• Ensure the safety and prosperity of cities and other
settlements of Faerûn.
• Maintain a strong coalition against the forces of disorder.
• Proactively eliminate threats to the established powers.
• Bring honor and glory to one’s leaders and one’s
homeland.</t>
  </si>
  <si>
    <t>• If civilization is to survive, all must unite against the dark
forces that threaten it.
• Fight for your realm. Only you can bring honor, glory,
and prosperity to your lord and homeland.
• Don’t wait for the enemy to come to you. The best
defense is a strong offense.</t>
  </si>
  <si>
    <t>In order to seek out and destroy threats to their homelands,
agents of the Lords’ Alliance must be highly trained at what
they do. Few can match their skills in the field. They fight
for the glory and the security of their people and for the
lords who rule over them, and they do so with pride.
However, the Lords’ Alliance can only survive if its members
“play nice” with one another, which requires a certain
measure of diplomacy. Rogue agents within the Lords’
Alliance are rare, but defections have been known to occur.</t>
  </si>
  <si>
    <t>Redknife</t>
  </si>
  <si>
    <t>Stingblade</t>
  </si>
  <si>
    <t>Warduke</t>
  </si>
  <si>
    <t>Lioncrown</t>
  </si>
  <si>
    <t>• Amass wealth.
• Look for opportunities to seize power.
• Gain influence over important people and organizations.
• Dominate Faerûn.</t>
  </si>
  <si>
    <t>• The Zhentarim is your family. You watch out for it, and it
watches out for you.
• You are the master of your own destiny. Never be less
than what you deserve to be.
• Everything—and everyone—has a price.</t>
  </si>
  <si>
    <t>A member of the Zhentarim thinks of himself or herself as
a member of a large family, and relies on the Black Network
for resources and security. However, members are granted
enough autonomy to pursue their own interests and gain
some measure of personal power or influence. The Black
Network is a meritocracy. As a whole, it promises “the best
of the best,” although in truth, the Zhentarim is more
interested in spreading its own propaganda and influence
than investing in the improvement of its individual
members.</t>
  </si>
  <si>
    <t>Fang</t>
  </si>
  <si>
    <t>Viper</t>
  </si>
  <si>
    <t>Ardragon</t>
  </si>
  <si>
    <t>Born Leader</t>
  </si>
  <si>
    <t>Some people have a natural affinity for leadership
and positions of authority. You are charismatic,
adored by followers, and have an insatiable
drive to accomplish goals. You are respected
(or feared) by those below your station, and they follow
your lead with blind devotion. As such, you are typically
in a position of leadership, whether in politics or in the
military, depending on your skill set.</t>
  </si>
  <si>
    <t>Glib Tongue</t>
  </si>
  <si>
    <t>You are gifted with a silver tongue. All of your Charisma
(Persuasion) checks are made at advantage.</t>
  </si>
  <si>
    <t>I get more accomplished before noon than most folks do all day.</t>
  </si>
  <si>
    <t>If we work together as a team, there is nothing we can’t accomplish.</t>
  </si>
  <si>
    <t>Anything worth doing is worth overdoing.</t>
  </si>
  <si>
    <t>When all is said and done, more must be done than said.</t>
  </si>
  <si>
    <t xml:space="preserve">When someone passes on to the great beyond, few are remembered for their money, but many are remembered for their deeds. </t>
  </si>
  <si>
    <t>Some are followers, and some are leaders. I’ll show you why</t>
  </si>
  <si>
    <t>Let’s get the flock moving in the right direction.</t>
  </si>
  <si>
    <t xml:space="preserve">Is there anything I can do for you to make the situation better?
</t>
  </si>
  <si>
    <t xml:space="preserve">Diplomacy. The answer to any conundrum can be ascertained through thoughtful discussion and compromise. 
(Good)
</t>
  </si>
  <si>
    <t>Structure. Rules are essential to a smooth functioning of society. (Lawful)</t>
  </si>
  <si>
    <t>Chaos. We will take what is ours, and let the gods sort out who is right or wrong. (Chaotic)</t>
  </si>
  <si>
    <t>Strength. Only the strong survive. The weak are killed and eaten! (Evil)</t>
  </si>
  <si>
    <t xml:space="preserve">Arbiter. Only an impartial party can solve our differences. 
(Neutral) 
</t>
  </si>
  <si>
    <r>
      <t>Action.</t>
    </r>
    <r>
      <rPr>
        <sz val="9"/>
        <color rgb="FF000000"/>
        <rFont val="Franklin Gothic Book"/>
        <family val="2"/>
        <charset val="204"/>
      </rPr>
      <t xml:space="preserve"> The butter won’t churn itself. (Any)</t>
    </r>
  </si>
  <si>
    <t>I will do whatever is needed to protect my community.</t>
  </si>
  <si>
    <t>Rules are made to be followed.</t>
  </si>
  <si>
    <t>I owe a great debt to another.</t>
  </si>
  <si>
    <t xml:space="preserve">I have a tremendous admiration—borderline obsession—for another great local leader. </t>
  </si>
  <si>
    <t>My sleep is often disrupted by visions of my true destiny. I shall unite an unknown group of people against a common enemy, and become their leader.</t>
  </si>
  <si>
    <t>Without the adoration of my subjects, I have nothing.</t>
  </si>
  <si>
    <t>Money drives more than the economy. Those who control the coin, control the people.</t>
  </si>
  <si>
    <t>I will stop at nothing to achieve my goals, regardless of who I tread on.</t>
  </si>
  <si>
    <t>A promise is just a way to get somebody to agree to something in your interests.</t>
  </si>
  <si>
    <t xml:space="preserve">I once led my troops into a horrific slaughter, and only I survived. I swear to avenge their deaths, even if it rightly costs my own life. </t>
  </si>
  <si>
    <t>My overzealous admiration for another often puts me in questionable situations.</t>
  </si>
  <si>
    <t>I have no desire to get dirty and do any actual work. I much prefer to have my minions tend to those undesirable tasks.</t>
  </si>
  <si>
    <t>family heirloom</t>
  </si>
  <si>
    <t>Melee Weapon</t>
  </si>
  <si>
    <t>SOURCE</t>
  </si>
  <si>
    <t>PHB</t>
  </si>
  <si>
    <t>Houserule</t>
  </si>
  <si>
    <t>GG FEF 1 - Glitterdoom</t>
  </si>
  <si>
    <t>GG FEF 2 - Fey Sisters Fate</t>
  </si>
  <si>
    <t>Source</t>
  </si>
  <si>
    <t>EEPC</t>
  </si>
  <si>
    <t>UA: Eberron</t>
  </si>
  <si>
    <t>DMG</t>
  </si>
  <si>
    <t>MM</t>
  </si>
  <si>
    <t>Minotaur</t>
  </si>
  <si>
    <t>UA:Waterborne Adventures</t>
  </si>
  <si>
    <t>6'</t>
  </si>
  <si>
    <t>Horns</t>
  </si>
  <si>
    <t>Goring Rush</t>
  </si>
  <si>
    <t>Hammering Horns</t>
  </si>
  <si>
    <t>Labyrinthine Recall</t>
  </si>
  <si>
    <t>Sea Reaver</t>
  </si>
  <si>
    <t>Vehicle (water)</t>
  </si>
  <si>
    <t>Mariner</t>
  </si>
  <si>
    <t>Fancy Footwork</t>
  </si>
  <si>
    <t>Toujours l’Audace</t>
  </si>
  <si>
    <t>Starting at 3rd level, you are a continuous blur of motion in battle as you dart in, attack, and slip away to safety. During your turn, if you make a melee attack against a creature, that creature cannot make opportunity attacks against you for the rest of your turn.</t>
  </si>
  <si>
    <t>At 3rd level, your unmistakable confidence propels you into battle. You add your Charisma modifier to your initiative rolls. In addition, you can use Sneak Attack with any melee attack made against a target that has none of your allies adjacent to it.</t>
  </si>
  <si>
    <t>Panache</t>
  </si>
  <si>
    <t>At 9th level, your charm becomes as sharp and dangerous as your blade. As an action, you can make a Charisma (Persuasion) check contested by a creature’s Wisdom (Insight) check. The creature must be able to hear you, and the two of you must share a language. If you succeed on the check and the creature is hostile, it must target you with any attacks it makes and cannot willingly move farther away from you. This effect lasts for 1 minute or until you move more than 60 feet away from the target. If you succeed on the check and the creature is not hostile, it is charmed by you for 1 minute. While charmed, it regards you as a friendly acquaintance.</t>
  </si>
  <si>
    <t>You complete difficult maneuvers with practiced 
ease. Starting at 13th level, you can use a bonus 
action to gain advantage on the next Dexterity  (Acrobatics) or Strength (Athletics) check you make on your turn.</t>
  </si>
  <si>
    <t>Elegant Maneuver</t>
  </si>
  <si>
    <t xml:space="preserve">Master Duelist </t>
  </si>
  <si>
    <t xml:space="preserve">At 17th level your mastery of the blade lets you 
turn failure to success in combat. If you miss 
with an attack, you can choose to roll the attack 
again with advantage. Once you use this ability, 
you cannot use it again until you finish a short or 
long rest. </t>
  </si>
  <si>
    <t>Master Duelist</t>
  </si>
  <si>
    <t>Swashbuckler</t>
  </si>
  <si>
    <t>Tempestuous Magic</t>
  </si>
  <si>
    <t>Heart of the Storm</t>
  </si>
  <si>
    <t>Storm’s Fury</t>
  </si>
  <si>
    <t>Wind Soul</t>
  </si>
  <si>
    <t xml:space="preserve">At 1st level, you are attuned to elemental air 
magic. Whenever you cast a spell other than a 
cantrip during your turn, whirling gusts of 
elemental air surround you. You can use a bonus 
action to fly 10 feet without provoking 
opportunity attacks. </t>
  </si>
  <si>
    <t xml:space="preserve">At 6th level, you gain resistance to lightning and 
thunder damage. Whenever you cast a spell 
other than a cantrip that deals lightning or 
thunder damage, a stormy aura surrounds you. 
In addition to the spell’s effects, creatures of 
your choice within 10 feet of you take lightning 
or thunder damage (choose each time this ability 
activates) equal to half your sorcerer level. </t>
  </si>
  <si>
    <t xml:space="preserve">At 14th level, the storm energy you channel 
through your magic seethes within your soul. 
When you are hit by a melee attack, you can use 
your reaction to deal lightning damage to the 
attacker equal to your sorcerer level. The 
attacker must also make a Strength saving 
throw, with a DC equal to 8 + your Charisma 
bonus + your proficiency bonus. On a failed save, 
the attacker is pushed in a straight line 20 feet 
away from you.  </t>
  </si>
  <si>
    <t xml:space="preserve">At 18th level, you gain a flying speed of 60 feet 
and immunity to lightning and thunder damage. 
  As an action, you can reduce your flying speed 
to 30 feet for one hour and choose a number of 
creatures within 30 feet of you equal to 3 + your 
Charisma modifier. The chosen creatures gain a 
flying speed of 30 feet for 1 hour. </t>
  </si>
  <si>
    <t>Storm Guide</t>
  </si>
  <si>
    <t>At 6th level, you gain the ability to subtly control the weather around you. If it is raining, you can use an action to cause the rain to stop falling in a 20‐foot radius centered on you. You can end this effect as a bonus action. If it is windy, you can use a bonus action each round to choose the direction that the wind blows in a 100‐foot radius around you. The wind blows in that direction until the end of your next turn. You have no ability to alter the speed of the wind.</t>
  </si>
  <si>
    <t>Sorcerous Origin Feature6-2</t>
  </si>
  <si>
    <t xml:space="preserve">Sorcerous Origin Feature6, Sorcerous Origin Feature6-2,  </t>
  </si>
  <si>
    <t>Minotaur (Krynn)</t>
  </si>
  <si>
    <t xml:space="preserve">In the world of Krynn, the minotaurs rule a chain 
of islands dominated by the isles of Mithas and 
Kothas. Bound by the sea on all sides, the 
minotaurs focused their tenacity, strength, and 
cunning to become some of the most skilled and 
ferocious mariners in the world. They range 
across the water in their ships, raiding and 
pillaging as they wish. Minotaurs sometimes 
engage in trade, but they much prefer to take 
what they want by force. After all, as the 
strongest of all folk, they deserve the treasures 
and goods that lesser creatures have gathered. </t>
  </si>
  <si>
    <t xml:space="preserve">Male Names: Beliminorgath, Cinmac, Dastrun, 
Edder, Galdar, Ganthirogani, Hecariverani, Kyris, 
Tosher, Zurgas 
Female Names: Ayasha, Calina, Fliara, Helati, 
Keeli, Kyri, Mogara, Sekra, Tariki, Telia 
Clan Names: Athak, Bregan, Entragath, 
Kaziganthi, Lagrangli, Mascun, Orilg, Sumarr, 
Teskos, Zhakan </t>
  </si>
  <si>
    <t>Horns (minotaur)</t>
  </si>
  <si>
    <t>You are never unarmed. You are 
proficient with your horns, which are a melee 
weapon that deals 1d10 piercing damage. Your 
horns grant you advantage on all checks made to 
shove a creature, but not to avoid being shoved 
yourself.</t>
  </si>
  <si>
    <t>You gain proficiency with navigator’s tools and vehicles (water).</t>
  </si>
  <si>
    <t>You can perfectly recall any path you have traveled.</t>
  </si>
  <si>
    <t>When you use the Attack action during your turn to make a melee attack, you can attempt to shove a creature with your horns as a bonus action. You cannot use this shove attempt to knock a creature prone.</t>
  </si>
  <si>
    <t>When you use the Dash action during your turn, you can make a melee attack with your horns as a bonus action.</t>
  </si>
  <si>
    <t xml:space="preserve">As long as you are not wearing heavy armor or using a shield, you have a swimming speed and a climbing speed equal to your normal speed, and you gain a +1 bonus to AC. </t>
  </si>
  <si>
    <t>AL: Mulmaster bonds and backgrounds</t>
  </si>
  <si>
    <t>UA: Waterborne Adventures</t>
  </si>
  <si>
    <t>UA: Class Design Variant</t>
  </si>
  <si>
    <t>Used books and materials</t>
  </si>
  <si>
    <t>Player's Handbook</t>
  </si>
  <si>
    <t>Dungeon Master Guide</t>
  </si>
  <si>
    <t>Monster Manual</t>
  </si>
  <si>
    <t>Unearthed Arcana: Eberron</t>
  </si>
  <si>
    <t>Unearthed Arcana: Class Design Variant</t>
  </si>
  <si>
    <t>Unearthed Arcana: Waterborne Adventures</t>
  </si>
  <si>
    <t>UA: When Armies Clash</t>
  </si>
  <si>
    <t>Unearthed Arcana: When Armies Clash</t>
  </si>
  <si>
    <t>AL: Mulmaster backgrounds and bonds</t>
  </si>
  <si>
    <t>Adventure League: Mulmaster backgrounds and bonds</t>
  </si>
  <si>
    <t>Elemental Evil Player Companion</t>
  </si>
  <si>
    <t>Duelist</t>
  </si>
  <si>
    <t>You are a travelling combatant, always on the lookout for a new challenger. You duel with those who seem competent enough to push you further. You might use swords, magic, or even games of chance to test yourself and your chosen foe. In the end there is nothing more important to you than proving of your mettle.</t>
  </si>
  <si>
    <t>Fan creation</t>
  </si>
  <si>
    <t>Challenger</t>
  </si>
  <si>
    <t>Your reputation and bearing as a duelist compels others to accept your challenges. So long as you offer them a duel while outside of combat, most NPCs who are not utterly outclassed by your Level are willing to have a go with you one-on-one, without the help of their companions or bodyguards. Foes are usually willing to duel until first blood, but some are even up for a fight to unconsciousness or death, particularly if you’ve really angered them.</t>
  </si>
  <si>
    <t>1 I treat nearly every endeavor as a competition.</t>
  </si>
  <si>
    <t>2 I seek out peers and distain my inferiors.</t>
  </si>
  <si>
    <t>3 I think I’m a celebrity and act as though I’m constantly recognized.</t>
  </si>
  <si>
    <t>4 I find it extremely embarrassing to give up or surrender.</t>
  </si>
  <si>
    <t>5 I keep my weapons and armor meticulously maintained.</t>
  </si>
  <si>
    <t>6 I have a trusty weapon I can’t live without.</t>
  </si>
  <si>
    <t>7 I give combat pointers to nearly everyone I meet.</t>
  </si>
  <si>
    <t>8 I claim to have never been beaten in a duel.</t>
  </si>
  <si>
    <t>Read more: http://www.enworld.org/forum/5ebackgrounds/showentry.php?e=40&amp;catid=1#ixzz3ZCzRBtmj</t>
  </si>
  <si>
    <t>1 Danger. It is the threat of death that lets us know we’re alive. (Neutral)</t>
  </si>
  <si>
    <t>2 Defense. The weak must be protected by great champions. (Good)</t>
  </si>
  <si>
    <t>3 Fairness. Competition done fairly is the only way to know who’s best, or who is favored by the gods. (Lawful)</t>
  </si>
  <si>
    <t>4 Freedom. Never let others dictate the terms of your existence. (Chaotic)</t>
  </si>
  <si>
    <t>5 Glory. Notoriety brings with it all the pleasures the world has to offer. (Evil)</t>
  </si>
  <si>
    <t>6 Self-Knowledge. Only by constantly testing your abilities can you know your worth. (Any)</t>
  </si>
  <si>
    <t>Read more: http://www.enworld.org/forum/5ebackgrounds/showentry.php?e=40&amp;catid=1#ixzz3ZCzWPK2d</t>
  </si>
  <si>
    <t>1 I shall never cheat in a duel.</t>
  </si>
  <si>
    <t>2 I will become the greatest duelist in the world.</t>
  </si>
  <si>
    <t>3 I will always make for the most dangerous foe.</t>
  </si>
  <si>
    <t>4 I’ll prove my old masters wrong and accomplish great things.</t>
  </si>
  <si>
    <t>5 Upholding the honor of my house, family, nation, or friends is of the utmost importance.</t>
  </si>
  <si>
    <t>6 Defeat is not an option.</t>
  </si>
  <si>
    <t>Read more: http://www.enworld.org/forum/5ebackgrounds/showentry.php?e=40&amp;catid=1#ixzz3ZCzZlqXy</t>
  </si>
  <si>
    <t>1 I can be goaded into a fight rather easily.</t>
  </si>
  <si>
    <t>2 I will not strike an unwary or unarmed foe.</t>
  </si>
  <si>
    <t>3 I think battle is the solution to every problem.</t>
  </si>
  <si>
    <t>4 I think I’m the best combatant in the party and integrate this into my strategies.</t>
  </si>
  <si>
    <t>5 I have no problem going off alone into danger.</t>
  </si>
  <si>
    <t>6 I am easily seduced, especially by those who can fight or otherwise compete with me.</t>
  </si>
  <si>
    <t>Read more: http://www.enworld.org/forum/5ebackgrounds/showentry.php?e=40&amp;catid=1#ixzz3ZCzhQv9i</t>
  </si>
  <si>
    <t>Knowledge
User Defined</t>
  </si>
  <si>
    <t>Proficiencies List</t>
  </si>
  <si>
    <t>Calculation</t>
  </si>
  <si>
    <t>Weapon 1 list</t>
  </si>
  <si>
    <t>Weapon 2 list</t>
  </si>
  <si>
    <t>Weapon 1-1</t>
  </si>
  <si>
    <t>Weapon 1-2</t>
  </si>
  <si>
    <t>Weapon 1-3</t>
  </si>
  <si>
    <t>Weapon 1-4</t>
  </si>
  <si>
    <t>Weapon 1-5</t>
  </si>
  <si>
    <t>Weapon 1-6</t>
  </si>
  <si>
    <t>Weapon 1-7</t>
  </si>
  <si>
    <t>Weapon 1-8</t>
  </si>
  <si>
    <t>Weapon 1-9</t>
  </si>
  <si>
    <t>Weapon 1-10</t>
  </si>
  <si>
    <t>Weapon 1-11</t>
  </si>
  <si>
    <t>Weapon 1-12</t>
  </si>
  <si>
    <t>Weapon 1-13</t>
  </si>
  <si>
    <t>Weapon 1-14</t>
  </si>
  <si>
    <t>Weapon 1-15</t>
  </si>
  <si>
    <t>Weapon 1-16</t>
  </si>
  <si>
    <t>Weapon 1-17</t>
  </si>
  <si>
    <t>Weapon 1-18</t>
  </si>
  <si>
    <t>Weapon 1-19</t>
  </si>
  <si>
    <t>Weapon 1-20</t>
  </si>
  <si>
    <t>Weapon 2-1</t>
  </si>
  <si>
    <t>Weapon 2-2</t>
  </si>
  <si>
    <t>Weapon 2-3</t>
  </si>
  <si>
    <t>Weapon 2-4</t>
  </si>
  <si>
    <t>Weapon 2-5</t>
  </si>
  <si>
    <t>Weapon 2-6</t>
  </si>
  <si>
    <t>Weapon 2-7</t>
  </si>
  <si>
    <t>Weapon 2-8</t>
  </si>
  <si>
    <t>Weapon 2-9</t>
  </si>
  <si>
    <t>Weapon 2-10</t>
  </si>
  <si>
    <t>Weapon 2-11</t>
  </si>
  <si>
    <t>Weapon 2-12</t>
  </si>
  <si>
    <t>Weapon 2-13</t>
  </si>
  <si>
    <t>Weapon 2-14</t>
  </si>
  <si>
    <t>Weapon 2-15</t>
  </si>
  <si>
    <t>Weapon 2-16</t>
  </si>
  <si>
    <t>Weapon 2-17</t>
  </si>
  <si>
    <t>Weapon 2-18</t>
  </si>
  <si>
    <t>Weapon 2-19</t>
  </si>
  <si>
    <t>Weapon 2-20</t>
  </si>
  <si>
    <t>Spellcasting (Cleric), Divine Domain, Divine Domain Feature1,</t>
  </si>
  <si>
    <t>expertise</t>
  </si>
  <si>
    <t>jack of all trades</t>
  </si>
  <si>
    <t>ki</t>
  </si>
  <si>
    <t>Deception, Persuasion</t>
  </si>
  <si>
    <t>ARCHETYPE
yes/no</t>
  </si>
  <si>
    <t>ARCHETYPE FEATURE
yes/no</t>
  </si>
  <si>
    <t>RESOURCE</t>
  </si>
  <si>
    <t>superiority die</t>
  </si>
  <si>
    <t>sorcery point</t>
  </si>
  <si>
    <t>spell slot</t>
  </si>
  <si>
    <t>By 11th level, you are so suffused with righteous might that all your melee weapon strikes carry divine power with them. Whenever you hit a creature with a melee weapon, the creature takes an extra 1d8 radiant damage. If you also use your Divine Smite with an attack, you add this damage to the extra damage of your Divine Smite.</t>
  </si>
  <si>
    <t>Fog cloud, thunderwave, Gust of wind, levitate, Call lightning, sleet storm, Conjure minor elementals, ice storm, Conjure elemental</t>
  </si>
  <si>
    <t>Bonus Spells, Bonus Proficiency</t>
  </si>
  <si>
    <t>The arcane magic you command is infused with elemental air. You can speak, read, and write Primordial. In addition, you gain the following spells at the listed sorcerer level. These spells do not count against the number of sorcerer spells you know</t>
  </si>
  <si>
    <t>[Eldritch Invocations]</t>
  </si>
  <si>
    <t>[+1d8 radiant damage with melee weapons]</t>
  </si>
  <si>
    <t>[+1/2 Proficiency Bonus to non-proficient checks]</t>
  </si>
  <si>
    <t>You can use your total Strength score as total Strength Check</t>
  </si>
  <si>
    <t>you can add half your proficiency bonus, rounded down, to any ability check you make that doesn’t already include your proficiency bonus</t>
  </si>
  <si>
    <t>Your unarmed strikes count as magical</t>
  </si>
  <si>
    <t>Choose two spells from any class up to 3rd level</t>
  </si>
  <si>
    <t xml:space="preserve">At 1st level, your practice of martial arts gives you mastery of combat styles that use unarmed strikes and monk weapons, which are shortswords and any simple melee weapons that don't have the two-handed or heavy property. You gain the following benefits while you are unarmed or wielding only monk weapons and you aren’t wearing armor or wielding a shield: • You can use Dexterity instead of Strength for the attack and damage rolls of your unarmed strikes and monk weapons. • You can roll a d4 in place of the normal damage of your unarmed strike or monk weapon. This die changes as you gain monk levels, as shown in the Martial Arts column of the Monk table. • When you use the Attack action with an unarmed strike or a monk weapon on your turn, you can make, one unarmed strike as a bonus action. </t>
  </si>
  <si>
    <t xml:space="preserve">• You can use Dexterity instead of Strength for the attack and damage rolls of your unarmed strikes and monk weapons
• You can roll a d4 in place of the normal damage of your unarmed strike or monk weapon
• When you use the Attack action with an unarmed strike or a monk weapon on your turn, you can make, one unarmed strike as a bonus action. </t>
  </si>
  <si>
    <t>Choose one 6th-level spell from the warlock spell list as this arcanum. You can cast your arcanum spell once without expending a spell slot.</t>
  </si>
  <si>
    <t xml:space="preserve">While traveling for an hour or more in favored terrain: 
• Difficult terrain doesn’t slow your group's travel, 
• Your group can’t become lost except by magical means. 
• Even when you are engaged in another activity while traveling, you remain alert to danger. 
• If you are traveling alone, you can move stealthily at a normal pace. 
• When you forage, you find twice as much food as you normally would. 
• While tracking other creatures, you also learn their exact number, their sizes, and how long ago they passed through the area. </t>
  </si>
  <si>
    <t>when you roll for initiative and have no ki points remaining, you regain 4 ki points.</t>
  </si>
  <si>
    <t>your rage is so fierce that it ends early only if you fall unconscious or if you choose to end it.</t>
  </si>
  <si>
    <t>Your Strength and Constitution scores increase by 4. Your maximum for those scores is now 24.</t>
  </si>
  <si>
    <t>your mastery of the ki flowing through you makes you immune to disease and poison.</t>
  </si>
  <si>
    <t>[Strength +4] [Constitution +4]</t>
  </si>
  <si>
    <t xml:space="preserve"> If you drop to 0 hit points while you’re raging and don't die outright, you can make a DC 10 Constitution saving throw. If you succeed, you drop to 1 hit point instead. Each time you use this feature after the first, the DC increases by 5. When you finish a short or long rest, the DC resets to 10.</t>
  </si>
  <si>
    <t>Whenever you make an ability check that lets you add your proficiency bonus, you can treat a d20 roll of 9 or lower as a 10.</t>
  </si>
  <si>
    <t>You always two 3rd-level wizard spells prepared, they don't count against the number of spells you have prepared, and you can cast each of them once without expending a spell slot.</t>
  </si>
  <si>
    <t>You can cast a 1st-level wizard spell and a 2nd-level wizard spell at their lowest level without expending a spell slot when you have them prepared.</t>
  </si>
  <si>
    <t>If your attack misses a target within range, you can turn the miss into a hit. Alternatively, if you fail an ability check, you can treat the d20 roll as a 20. Once you use this feature, you can’t use it again until you finish a short or long rest.</t>
  </si>
  <si>
    <t>You know thieves’ cant</t>
  </si>
  <si>
    <t>you suffer none of the frailty of old age, and you can’t be aged magically</t>
  </si>
  <si>
    <t>For every 10 years that pass, your body ages only 1 year</t>
  </si>
  <si>
    <t>you understand all spoken languages and any creature that can understand a language can understand what you say</t>
  </si>
  <si>
    <t>Your AC without armor equals 10 + Dexterity modifier + Constitution modifier+shield</t>
  </si>
  <si>
    <t>your speed increases by 10 feet while you are not wearing armor or wielding a shield. This bonus increases when you reach certain monk levels</t>
  </si>
  <si>
    <t>you gain the ability to move along vertical surfaces and across liquids on your turn without falling during the move.</t>
  </si>
  <si>
    <t>[Ranged attack]+2</t>
  </si>
  <si>
    <t>[AC]+1</t>
  </si>
  <si>
    <t>[Off-hand damage ] + [Ability modifier]</t>
  </si>
  <si>
    <t>You can add Charisma mod to Eldritch Blast damage</t>
  </si>
  <si>
    <t>while you are wearing no armor and not wielding a shield, your AC equals 10 + your Dexterity modifier + your Wisdom modifier.</t>
  </si>
  <si>
    <t>you can use your reaction when you fall to reduce any falling damage you take by an amount equal to five times your monk level.</t>
  </si>
  <si>
    <t>, the divine magic flowing through you makes you immune to disease.</t>
  </si>
  <si>
    <t>You know bonus spells</t>
  </si>
  <si>
    <t>you have advantage on saving throws against poison and have resistance to poison damage. Additionally, you can use one of your poultices to cure one poison effect on the creature you are applying it to, in addition to restoring hit points</t>
  </si>
  <si>
    <t>when an attacker that you can see hits your beast companion with an attack, you can call out a warning. If your beast companion can hear you, it can use its reaction to halve the attack’s damage against it.</t>
  </si>
  <si>
    <t>In light and medium armor without shield you have +1 AC, your swimming and climbing speed equal to normal speed</t>
  </si>
  <si>
    <t>You add your Charisma modifier to your initiative rolls. In addition, you can use Sneak Attack with any melee attack made against a target that has none of your allies adjacent to it.</t>
  </si>
  <si>
    <t>you can use a bonus action to gain advantage on the next Dexterity  (Acrobatics) or Strength (Athletics) check you make on your turn.</t>
  </si>
  <si>
    <t xml:space="preserve">You can use a bonus action to fly 10 feet without provoking opportunity attacks. </t>
  </si>
  <si>
    <t>Once per short rest, you can take one additional action on top of your regular action and a possible bonus action.</t>
  </si>
  <si>
    <t>Once per day when you finish a short rest, you can choose expended spell slots up to half your level  to recover</t>
  </si>
  <si>
    <t>You can perform the somatic and verbal components of a druid spell while in a beast shape and you can ignore the verbal and somatic components of your druid spells, as well as any material components that lack a cost and aren't consumed by a spell</t>
  </si>
  <si>
    <t>you and friendly creatures within 10 feet of you can’t be frightened while you are conscious</t>
  </si>
  <si>
    <t>whenever you or a friendly creature within 10 feet of you must make a saving throw, the creature gains a bonus to the saving throw equal to your Charisma modifier (with a minimum bonus of +1).</t>
  </si>
  <si>
    <t>if you are able to hear, you are aware of the location of any hidden or invisible creature within 10 feet of you.</t>
  </si>
  <si>
    <t>you can roll one additional weapon damage die when determining the extra damage for a critical hit with a melee attack. This increases to two additional dice at 13th level and three additional dice at 17th level.</t>
  </si>
  <si>
    <t>you gain the ability to channel divine energy directly from your deity, using that energy to fuel magical effects. You start with two such effects: Turn Undead and an effect determined by your domain.</t>
  </si>
  <si>
    <t>you can use your action to end one spell on yourself or on one willing creature that you touch. You can use this feature a number of times equal to your Charisma modifier (a minimum of once). You regain expended uses when you finish a long rest.</t>
  </si>
  <si>
    <t>As an action, you can start a performance that lasts until the end of your next turn. During that time, you and any friendly creatures within 30 feet of you have advantage on saving throws against being frightened or charmed. A creature must be able to hear you to gain this benefit. The performance ends early if you are incapacitated or silenced or if you voluntarily end it (no action required).</t>
  </si>
  <si>
    <t>your quick thinking and agility allow you to move and act quickly. You can take a bonus action on each of your turns in combat. This action can be used only to take the Dash, Disengage, or Hide action.</t>
  </si>
  <si>
    <t>You have advantage on Dexterity saving throws against effects that you can see, such as traps and spells. To gain this benefit, you can’t be blinded, deafened, or incapacitated.</t>
  </si>
  <si>
    <t>you can use your reaction to deflect or catch the missile when you are hit by a ranged weapon attack</t>
  </si>
  <si>
    <t>when an undead fails its saving throw against your Turn Undead feature, the creature is instantly destroyed if its challenge rating is at or below a certain threshold</t>
  </si>
  <si>
    <t>you can call on your deity to intervene on your behalf when your need is great. Imploring your deity’s aid requires you to use your action</t>
  </si>
  <si>
    <t>your call for intervention succeeds automatically, no roll required.</t>
  </si>
  <si>
    <t>As an action, you can open your awareness to detect such forces. Until the end of your next turn, you know the location of any celestial, fiend, or undead within 60 feet of you that is not behind total cover. You know the type (celestial, fiend, or undead) of any being whose presence you sense, but not its identity. Within the same radius, you also detect the presence of any place or object that has been consecrated or desecrated, as with the hallow spell. You can use this feature a number of times equal to 1 + your Charisma modifier. When you finish a long rest, you regain all expended uses.</t>
  </si>
  <si>
    <t>when you hit a creature with a melee weapon attack, you can expend one paladin spell slot to deal radiant damage to the target, in addition to the weapon's damage. The extra damage is 2d8 for a 1 st-level spell slot, plus ld8 for each spell level higher than 1st, to a maximum of 5d8. The damage increases by ld8 if the target is an undead or a fiend.</t>
  </si>
  <si>
    <t>You know Druidic, the secret language of druids</t>
  </si>
  <si>
    <t>In your study of occult lore, you have unearthed eldritch invocations, fragments of forbidden knowledge that imbue you with an abiding magical ability.</t>
  </si>
  <si>
    <t>You can spend 1 minute entreating your patron for aid to regain all your expended spell slots from your Pact Magic feature. Once you regain spell slots with this feature, you must finish a long rest before you can do so again.</t>
  </si>
  <si>
    <t>you are so evasive that attackers rarely gain the upper hand against you. No attack roll has advantage against you while you aren’t incapacitated</t>
  </si>
  <si>
    <t>you can use your action to spend 4 ki points to become invisible for 1 minute. During that time, you also have resistance to all damage but force damage. Additionally, you can spend 8 ki points to cast the astral projection spell, without needing material components. When you do so. you can’t take any other creatures with you.</t>
  </si>
  <si>
    <t>When you are subjected to an effect that allows you to make a Dexterity saving throw to take only half damage, you instead take no damage if you succeed on the saving throw, and only half damage if you fail.</t>
  </si>
  <si>
    <t>choose two of your skill proficiencies. Your proficiency bonus is doubled for any ability check you make that uses either of the chosen proficiencies</t>
  </si>
  <si>
    <t>you can attack twice, instead of once, whenever you take the Attack action on your turn.</t>
  </si>
  <si>
    <t>you can attack three times instead of twice whenever you take the Attack action on your turn.</t>
  </si>
  <si>
    <t>you can attack four times instead of three whenever you take the Attack action on your turn.</t>
  </si>
  <si>
    <t>your speed increases by 10 feet while you aren't wearing heavy armor.</t>
  </si>
  <si>
    <t>You have advantage on Wisdom (Survival) checks to track your favored enemies, as well as on Intelligence checks to recall information about them. When you gain this feature, you also learn one language of your choice that is spoken by your favored enemies, if they speak one at all</t>
  </si>
  <si>
    <t>you have advantage on initiative rolls. Additionally, if you are surprised at the beginning of combat and aren't incapacitated, you can act normally on your first turn, but only if you enter your rage before doing anything else on that turn.</t>
  </si>
  <si>
    <t>you gain preternatural senses that help you fight creatures you can’t see. When you attack a creature you can’t see, your inability to see it doesn’t impose disadvantage on your attack rolls against it. You are also aware of the location of any invisible creature within 30 feet of you, provided that the creature isn't hidden from you and you aren't blinded or deafened.</t>
  </si>
  <si>
    <t>Once on each of your turns, you can add your Wisdom modifier to the attack roll or the damage roll of an attack you make against one of your favored enemies</t>
  </si>
  <si>
    <t>you regain all of your expended uses of Bardic Inspiration when you finish a short or long rest.</t>
  </si>
  <si>
    <t>you can spend 1 minute creating camouflage for yourself. You must have access to fresh mud, dirt, plants, soot, and other naturally occurring materials with which to create your camouflage. Once you are camouflaged in this way, you can try to hide by pressing yourself up against a solid surface, such as a tree or wall, that is at least as tall and wide as you are. You gain a +10 bonus to Dexterity (Stealth) checks as long as you remain there without moving or taking actions. Once you move or take an action or a reaction, you must camouflage yourself again to gain this benefit.</t>
  </si>
  <si>
    <t>you are so suffused with righteous might that all your melee weapon strikes carry divine power with them. Whenever you hit a creature with a melee weapon, the creature takes an extra 1d8 radiant damage. If you also use your Divine Smite with an attack, you add this damage to the extra damage of your Divine Smite.</t>
  </si>
  <si>
    <t>you can reroll a saving throw that you fail. If you do so, you must use the new roll, and you can't use this feature again until you finish a long rest. You can use this feature twice between long rests starting at 13th level and three times between long rests starting at 17th level.</t>
  </si>
  <si>
    <t>moving through nonmagical difficult terrain costs you no extra movement. You can also pass through nonmagical plants without being slowed by them and without taking damage from them if they have thorns, spines, or a similar hazard. In addition, you have advantage on saving throws against plants that are magically created or manipulated to impede movement, such those created by the entangle spell.</t>
  </si>
  <si>
    <t>You have a pool of healing power that replenishes when you take a long rest. With that pool, you can restore a total number of hit points equal to your paladin level x 5. Alternatively, you can expend 5 hit points from your pool of healing to cure the target of one disease or neutralize one poison affecting it.</t>
  </si>
  <si>
    <t>you can use your action and expend one ranger spell slot to focus your awareness on the region around you. For 1 minute per level of the spell slot you expend, you can sense whether the following types of creatures are present within 1 mile of you (or within up to 6 miles if you are in your favored terrain): aberrations, celestials, dragons, elementals, fey, fiends, and undead</t>
  </si>
  <si>
    <t>While raging, you gain the following benefits if you aren’t wearing heavy armor: • You have advantage on Strength checks and Strength saving throws. • When you make a melee weapon attack using Strength, you gain a bonus to the damage roll that increases as you gain levels as a barbarian, as shown in the Rage Damage column of the Barbarian table. • You have resistance to bludgeoning, piercing, and slashing damage. If you are able to cast spells, you can't cast them or concentrate on them while raging. Your rage lasts for 1 minute.</t>
  </si>
  <si>
    <t>When you make your first attack on your turn, you can decide to attack recklessly. Doing so gives you advantage on melee weapon attack rolls using Strength during this turn, but attack rolls against you have advantage until your next turn.</t>
  </si>
  <si>
    <t>Once per short rest you can use a bonus action to regain hit points equal to ldlO + your fighter level.</t>
  </si>
  <si>
    <t>You gain proficiency in Wisdom saving throws.</t>
  </si>
  <si>
    <t>Once per turn, you can deal an extra 1d6 damage to one creature you hit with an attack with finesse or ranged weapon if you have advantage on the attack roll.</t>
  </si>
  <si>
    <t xml:space="preserve">If you or any friendly creatures who can hear your performance regain hit points at the end of the short rest, each of those creatures regains an extra 1d6 hit points. </t>
  </si>
  <si>
    <t>Beginning at 2nd level, you can use soothing music or oration to help revitalize your wounded allies during a short rest. If you or any friendly creatures who can hear your performance regain hit points at the end of the short rest, each of those creatures regains an extra ld6 hit points. The extra hit points increase when you reach certain levels in this class: to 1d8 at 9th level, to 1d10 at 13th level, and to 1d12 at 17th level.</t>
  </si>
  <si>
    <t>When you hit another creature with a melee weapon attack, you can spend 1 ki point to attempt a stunning strike. The target must succeed on a Constitution saving throw or be stunned until the end of your next turn.</t>
  </si>
  <si>
    <t>when an attacker that you can see hits you with an attack, you can use your reaction to halve the attack’s damage against you.</t>
  </si>
  <si>
    <t xml:space="preserve"> you can use the Hide action as a bonus action on your turn. Also, you can’t be tracked by nonmagical means, unless you choose to leave a trail.</t>
  </si>
  <si>
    <t>you can use your action to magically assume the shape of a beast that you have seen before. You can use this feature twice. You regain expended uses when you finish a short or long rest</t>
  </si>
  <si>
    <t>you can go into a frenzy when you rage. If you do so, for the duration of your rage you can make a single melee weapon attack as a bonus action on each of your turns after this one. When your rage ends, you suffer one level of exhaustion</t>
  </si>
  <si>
    <t>you can't be charmed or frightened while raging. If you are charmed or frightened when you enter your rage, the effect is suspended for the duration of the rage.</t>
  </si>
  <si>
    <t>you can use your action to frighten someone with your menacing presence. When you do so, choose one creature that you can see within 30 feet of you. If the creature can see or hear you, it must succeed on a Wisdom saving throw (DC equal to 8 + your proficiency bonus + your Charisma modifier) or be frightened of you until the end of your next turn.</t>
  </si>
  <si>
    <t>when you take damage from a creature that is within 5 feet of you, you can use your reaction to make a melee weapon attack against that creature.</t>
  </si>
  <si>
    <t>you gain the ability to cast the beast sense and speak with animals spells, but only as rituals</t>
  </si>
  <si>
    <t>[Ritual Casting]</t>
  </si>
  <si>
    <t>[[[[</t>
  </si>
  <si>
    <t>you can cast the commune with nature spell, but only as a ritual. When you do so, a spiritual version of one of the animals you chose for Totem Spirit or Aspect of the Beast appears to you to convey the information you seek.</t>
  </si>
  <si>
    <t>you gain a magical benefit based on a totem animal of your choice. You can choose the same animal you selected previously or a different one</t>
  </si>
  <si>
    <t>At 14th level, you gain a magical benefit based on a totem animal of your choice. You can choose the same animal you selected previously or a different one. 
Bear. While you're raging, any creature within 5 feet of you that’s hostile to you has disadvantage on attack rolls against targets other than you or another character with this feature. An enemy is immune to this effect if it can’t see or hear you or if it can't be frightened. 
Eagle. While raging, you have a flying speed equal to your current walking speed. This benefit works only in short bursts; you fall if you end your turn in the air and nothing else is holding you aloft. 
Wolf. While you’re raging, you can use a bonus action on your turn to knock a Large or smaller creature prone when you hit it with melee weapon attack</t>
  </si>
  <si>
    <t>[3 skills]</t>
  </si>
  <si>
    <t>When a creature that you can see within 60 feet of you makes an attack roll, an ability check, or a damage roll, you can use your reaction to expend one of your uses of Bardic Inspiration, roiling a Bardic Inspiration die and subtracting the number rolled from the creature’s roll.</t>
  </si>
  <si>
    <t>, when you make an ability check, you can expend one use of Bardic Inspiration. Roll a Bardic Inspiration die and add the number rolled to your ability check.</t>
  </si>
  <si>
    <t>you gain proficiency with medium armor, shields, and martial weapons.</t>
  </si>
  <si>
    <t xml:space="preserve"> A creature that has a Bardic Inspiration die from you can roll that die and add the number rolled to a weapon damage roll it just made. Alternatively, when an attack roll is made against the creature, it can use its reaction to roll the Bardic Inspiration die and add the number rolled to its AC against that attack</t>
  </si>
  <si>
    <t>you can attack twice, instead of once</t>
  </si>
  <si>
    <t>When you use your action to cast a bard spell, you can make one weapon attack as a bonus action.</t>
  </si>
  <si>
    <t>you learn two languages of your choice. You also become proficient in your choice of two of the following skills: Arcana, History, Nature, or Religion. Your proficiency bonus is doubled for any ability check you make that uses either of those skills.</t>
  </si>
  <si>
    <t>you can use your Channel Divinity to tap into a divine well of knowledge. As an action, you choose one skill or tool. For 10 minutes, you have proficiency with the chosen skill or tool.</t>
  </si>
  <si>
    <t>Channel Divnity</t>
  </si>
  <si>
    <t>you can use your action to end one effect on yourself that is causing you to be charmed or frightened.</t>
  </si>
  <si>
    <t>you can use your Channel Divinity to read a creature's thoughts. You can then use your access to the creature's mind to command it. As an action, choose one creature that you can see within 60 feet of you. That creature must make a Wisdom saving throw. If the creature succeeds on the saving throw, you can’t use this feature on it again until you finish a long rest. If the creature fails its save, you can read its surface thoughts (those foremost in its mind, reflecting its current emotions and what it is actively thinking about) when it is within 60 feet of you. This effect lasts for 1 minute. During that time, you can use your action to end this effect and cast the suggestion spell on the creature without expending a spell slot. The target automatically fails its saving throw against the spell.</t>
  </si>
  <si>
    <t>you add your Wisdom modifier to the damage you deal with any cleric cantrip.</t>
  </si>
  <si>
    <t>you can call up visions of the past that relate to an object you hold or your immediate surroundings</t>
  </si>
  <si>
    <t>you gain proficiency with heavy armor.</t>
  </si>
  <si>
    <t>Whenever you use a spell of 1st level or higher to restore hit points to a creature, the creature regains additional hit points equal to 2 + the spell’s level.</t>
  </si>
  <si>
    <t>As an action, you present your holy symbol and evoke healing energy that can restore a number of hit points equal to five times your cleric level. Choose any creatures within 30 feet of you, and divide those hit points among them. This feature can restore a creature to no more than half of its hit point maximum</t>
  </si>
  <si>
    <t>When you cast a spell of 1st level or higher that restores hit points to a creature other than you, you regain hit points equal to 2 + the spell’s level.</t>
  </si>
  <si>
    <t>you gain the ability to infuse your weapon strikes with divine energy. Once on each of your turns when you hit a creature with a weapon attack, you can cause the attack to deal an extra 1 d8 radiant damage to the target. When you reach 14th level, the extra damage increases to 2d8.</t>
  </si>
  <si>
    <t xml:space="preserve"> when you would normally roll one or more dice to restore hit points with a spell, you instead use the highest number possible for each die.</t>
  </si>
  <si>
    <t>[cantrip light]</t>
  </si>
  <si>
    <t>When you are attacked by a creature within 30 feet of you that you can see, you can use your reaction to impose disadvantage on the attack roll, causing light to flare before the attacker before it hits or misses. An attacker that can’t be blinded is immune to this feature. You can use this feature a number of times equal to your Wisdom modifier (a minimum of once). You regain all expended uses when you finish a long rest.</t>
  </si>
  <si>
    <t>RECHARGE</t>
  </si>
  <si>
    <t>Number of Times</t>
  </si>
  <si>
    <t>As an action, you present your holy symbol, and any magical darkness within 30 feet of you is dispelled, Additionally, each hostile creature within 30 feet of you must make a Constitution saving throw. A creature takes radiant damage equal to 2dl0 + your cleric level on a failed saving throw, and half as much damage on a successful one. A creature that has total cover from you is not affected.</t>
  </si>
  <si>
    <t>you can also use your Warding Flare feature when a creature that you can see within 30 feet of you attacks a creature other than you.</t>
  </si>
  <si>
    <t>you can use your action to activate an aura of sunlight that lasts for 1 minute or until you dismiss it using another action. You emit bright light in a 60-foot radius and dim light 30 feet beyond that. Your enemies in the bright light have disadvantage on saving throws against any spell that deals fire or radiant damage.</t>
  </si>
  <si>
    <t>you learn one druid cantrip of your choice. You also gain proficiency in one of the following skills of your choice: Animal Handling, Nature, or Survival. Also you gain proficiency with heavy armor.</t>
  </si>
  <si>
    <t>As an action, you present your holy symbol and invoke the name of your deity. Each beast or plant creature that can see you within 30 feet of you must make a Wisdom saving throw. If the creature fails its saving throw, it is charmed by you for 1 minute or until it takes damage. While it is charmed by you, it is friendly to you and other creatures you designate.</t>
  </si>
  <si>
    <t>when you or a creature within 30 feet of you takes acid, cold, fire, lightning, or thunder damage, you can use your reaction to grant resistance to the creature against that instance of the damage.</t>
  </si>
  <si>
    <t>you gain the ability to command animals and plant creatures. While creatures are charmed by your Charm Animals and Plants feature, you can take a bonus action on your turn to verbally command what each of those creatures will do on its next turn.</t>
  </si>
  <si>
    <t>you gain the ability to infuse your weapon strikes with divine energy. Once on each of your turns when you hit a creature with a weapon attack, you can cause the attack to deal an extra ld8 cold, fire, or lightning damage (your choice) to the target. When you reach 14th level, the extra damage increases to 2d8.</t>
  </si>
  <si>
    <t>you gain proficiency with heavy armor</t>
  </si>
  <si>
    <t>you gain proficiency with martial weapons and heavy armor</t>
  </si>
  <si>
    <t>you can thunderously rebuke attackers. When a creature within 5 feet of you that you can see hits you with an attack, you can use your reaction to cause the creature to make a Dexterity saving throw. The creature takes 2d8 lightning or thunder damage (your choice) on a failed saving throw, and half as much damage on a successful one. You can use this feature a number of times equal to your Wisdom modifier (a minimum of once). You regain all expended uses when you finish a long rest.</t>
  </si>
  <si>
    <t>you can use your Channel Divinity to wield the power of the storm with unchecked ferocity. When you roll lightning or thunder damage, you can use your Channel Divinity to deal maximum damage, instead of rolling.</t>
  </si>
  <si>
    <t>when you deal lightning damage to a Large or smaller creature, you can also push it up to 10 feet away from you.</t>
  </si>
  <si>
    <t>you gain the ability to infuse your weapon strikes with divine energy. Once on each of your turns when you hit a creature with a weapon attack, you can cause the attack to deal an extra ld8 thunder damage to the target. When you reach 14th level, the extra damage increases to 2d8.</t>
  </si>
  <si>
    <t>you have a flying speed equal to your current walking speed whenever you are not underground or indoors.</t>
  </si>
  <si>
    <t>[flying speed]=[normal speed]</t>
  </si>
  <si>
    <t>you can use your action to touch a willing creature other than yourself to give it advantage on Dexterity (Stealth) checks. This blessing lasts for 1 hour or until you use this feature again.</t>
  </si>
  <si>
    <t>you can use your Channel Divinity to create an illusory duplicate of yourself. As an action, you create a perfect illusion of yourself that lasts for 1 minute, or until you lose your concentration (as if you were concentrating on a spell). The illusion appears in an unoccupied space that you can see within 30 feet of you. As a bonus action on your turn, you can move the illusion up to 30 feet to a space you can see, but it must remain within 120 feet of you. For the duration, you can cast spells as though you were in the illusion's space, but you must use your own senses. Additionally, when both you and your illusion are within 5 feet of a creature that can see the illusion, you have advantage on attack rolls against that creature, given how distracting the illusion is to the target.</t>
  </si>
  <si>
    <t>you can use your Channel Divinity to vanish. As an action, you become invisible until the end of your next turn. You become visible if you attack or cast a spell.</t>
  </si>
  <si>
    <t>you gain the ability to infuse your weapon strikes with poison—a gift from your deity. Once on each of your turns when you hit a creature with a weapon attack, you can cause the attack to deal an extra ld8 poison damage to the target. When you reach 14th level, the extra damage increases to 2d8.</t>
  </si>
  <si>
    <t>you can create up to four duplicates of yourself, instead of one, when you use Invoke Duplicity. As a bonus action on your turn, you can move any number of them up to 30 feet, to a maximum range of 120 feet.</t>
  </si>
  <si>
    <t>When you use the Attack action, you can make one weapon attack as a bonus action. You can use this feature a number of times equal to your Wisdom modifier (a minimum of once). You regain all expended uses when you finish a long rest.</t>
  </si>
  <si>
    <t>you gain proficiency with martial weapons and heavy armor.</t>
  </si>
  <si>
    <t>you can use your Channel Divinity to strike with supernatural accuracy. When you make an attack roll, you can use your Channel Divinity to gain a +10 bonus to the roll. You make this choice after you see the roll, but before the DM says whether the attack hits or misses.</t>
  </si>
  <si>
    <t>when a creature within 30 feet of you makes an attack roll, you can use your reaction to grant that creature a +10 bonus to the roll, using your Channel Divinity. You make this choice after you see the roll, but before the DM says whether the attack hits or misses.</t>
  </si>
  <si>
    <t>you gain the ability to infuse your weapon strikes with divine energy. Once on each of your turns when you hit a creature with a weapon attack, you can cause the attack to deal an extra ld8 damage of the same type dealt by the weapon to the target. When you reach 14th level, the extra damage increases to 2d8.</t>
  </si>
  <si>
    <t>you gain resistance to bludgeoning, piercing, and slashing damage from nonmagical weapons</t>
  </si>
  <si>
    <t>[bludgeoning resistance][slashing resistance][piercing resistance]</t>
  </si>
  <si>
    <t>you learn one additional druid cantrip of your choice.</t>
  </si>
  <si>
    <t>you can regain some of your magical energy by sitting in meditation and communing with nature. During a short rest, you choose expended spell slots to recover. The spell slots can have a combined level that is equal to or less than half your druid level (rounded up), and none of the slots can be 6th level or higher. You can’t use this feature again until you finish a long rest For example, when you are a 4th-level druid, you can recover up to two levels worth of spell slots. You can recover either a 2nd-level slot or two lst-level slots.</t>
  </si>
  <si>
    <t xml:space="preserve"> you gain access to circle spells connected to the land where you became a druid. Once you gain access to a circle spell, you always have it prepared, and it doesn’t count against the number of spells you can prepare each day. If you gain access to a spell that doesn't appear on the druid spell list, the spell is nonetheless a druid spell for you.</t>
  </si>
  <si>
    <t>ou can’t be charmed or frightened by elementals or fey, and you are immune to poison and disease.</t>
  </si>
  <si>
    <t>[disease immunity] [poison immunity]</t>
  </si>
  <si>
    <t>When a beast or plant creature attacks you, that creature must make a Wisdom saving throw against your druid spell save DC. On a failed save, the creature must choose a different target, or the attack automatically misses. On a successful save, the creature is immune to this effect for 24 hours. The creature is aware of this effect before it makes its attack against you.</t>
  </si>
  <si>
    <t>you gain the ability to use Wild Shape on your turn as a bonus action, rather than as an action. Additionally, while you are transformed by Wild Shape, you can use a bonus action to expend one spell slot to regain ld8 hit points per level of the spell slot expended.</t>
  </si>
  <si>
    <t xml:space="preserve">ou can use your Wild Shape to transform into a beast with a challenge rating as high as 1 (you ignore the Max. CR column of the Beast Shapes table, but must abide by the other limitations there). </t>
  </si>
  <si>
    <t>your attacks in beast form count as magical for the purpose of overcoming resistance and immunity to nonmagical attacks and damage.</t>
  </si>
  <si>
    <t>you can expend two uses of Wild Shape at the same time to transform into an air elemental, an earth elemental, a fire elemental, or a water elemental.</t>
  </si>
  <si>
    <t>you have learned to use magic to alter your physical form in more subtle ways. You can cast the alter self spell at will.</t>
  </si>
  <si>
    <t>[alter self at-will]</t>
  </si>
  <si>
    <t>your weapon attacks score a critical hit on a roll of 19 or 20.</t>
  </si>
  <si>
    <t>[double critical range]</t>
  </si>
  <si>
    <t>you can add half your proficiency bonus (round up) to any Strength, Dexterity, or Constitution check you make that doesn't already use your proficiency bonus. In addition, when you make a running long jump, the distance you can cover increases by a number of feet equal to your Strength modifier</t>
  </si>
  <si>
    <t>you can choose a second Fighting Style</t>
  </si>
  <si>
    <t xml:space="preserve"> your weapon attacks score a critical hit on a roll of 18-20.</t>
  </si>
  <si>
    <t>[triple critical range]</t>
  </si>
  <si>
    <t>At the start of each of your turns, you regain hit points equal to 5 + your Constitution modifier if you have no more than half of your hit points left. You don’t gain this benefit if you have 0 hit points.</t>
  </si>
  <si>
    <t>you learn maneuvers that are fueled by special dice called superiority dice</t>
  </si>
  <si>
    <t>you gain proficiency with one type of artisan’s tools of your choice.</t>
  </si>
  <si>
    <t>if you spend at least 1 minute observing or interacting with another creature outside combat, you can learn certain information about its capabilities compared to your own</t>
  </si>
  <si>
    <t>At 10th level, your superiority dice turn into d10s.</t>
  </si>
  <si>
    <t>your superiority dice turn into d10s.</t>
  </si>
  <si>
    <t>your superiority dice turn into d12s.</t>
  </si>
  <si>
    <t>when you roll initiative and have no superiority dice remaining, you regain 1 superiority die.</t>
  </si>
  <si>
    <t>you learn a ritual that creates a magical bond between yourself and one weapon</t>
  </si>
  <si>
    <t>when you use your action to cast a cantrip, you can make one weapon attack as a bonus action.</t>
  </si>
  <si>
    <t>When you hit a creature with a weapon attack, that creature has disadvantage on the next saving throw it makes against a spell you cast before the end of your next turn.</t>
  </si>
  <si>
    <t>you gain the ability to teleport up to 30 feet to an unoccupied space you can see when you use your Action Surge</t>
  </si>
  <si>
    <t>when you use your action to cast a spell, you can make one weapon attack as a bonus action.</t>
  </si>
  <si>
    <t>Int, known, spont</t>
  </si>
  <si>
    <t>Whenever you hit a creature with one of the attacks granted by your Flurry of Blows, you can impose one of the following effects on that target: • It must succeed on a Dexterity saving throw or be knocked prone. • It must make a Strength saving throw. If it fails, you can push it up to 15 feet away from you. • It can’t take reactions until the end of your next turn.</t>
  </si>
  <si>
    <t>As an action, you can regain hit points equal to three times your monk level. You must finish a long rest before you can use this feature again.</t>
  </si>
  <si>
    <t>you can enter a special meditation that surrounds you with an aura of peace. At the end of a long rest, you gain the effect of a sanctuary spell that lasts until the start of your next long rest (the spell can end early as normal). The saving throw DC for the spell equals 8 +your Wisdom modifier + your proficiency bonus.</t>
  </si>
  <si>
    <t>When you hit a creature with an unarmed strike, you can spend 3 ki points to start these imperceptible vibrations, which last for a number of days equal to your monk level. The vibrations are harmless unless you use your action to end them. To do so, you and the target must be on the same plane of existence. When you use this action, the creature must make a Constitution saving throw. If it fails, it is reduced to 0 hit points. If it succeeds, it takes lOdlO necrotic damage. You can have only one creature under the effect of this feature at a time. You can choose to end the vibrations harmlessly without using an action.</t>
  </si>
  <si>
    <t>At 17th level, you gain the ability to set up lethal vibrations in someone’s body. When you hit a creature with an unarmed strike, you can spend 3 ki points to start these imperceptible vibrations, which last for a number of days equal to your monk level. The vibrations are harmless unless you use your action to end them. To do so, you and the target must be on the same plane of existence. When you use this action, the creature must make a Constitution saving throw. If it fails, it is reduced to 0 hit points. If it succeeds, it takes 10d10 necrotic damage. You can have only one creature under the effect of this feature at a time. You can choose to end the vibrations harmlessly without using an action.</t>
  </si>
  <si>
    <t>you can use your ki to duplicate the effects of certain spells. As an action, you can spend 2 ki points to cast darkness, darkvision, pass without trace, or silence, without providing material components. Additionally, you gain the minor illusion cantrip if you don't already know it.</t>
  </si>
  <si>
    <t>[minor illusion]</t>
  </si>
  <si>
    <t xml:space="preserve"> you gain the ability to step from one shadow into another. When you are in dim light or darkness, as a bonus action you can teleport up to 60 feet to an unoccupied space you can see that is also in dim light or darkness. You then have advantage on the first melee attack you make before the end of the turn.</t>
  </si>
  <si>
    <t>When you are in an area of dim light or darkness, you can use your action to become invisible. You remain invisible until you make an attack, cast a spell, or are in an area of bright light.</t>
  </si>
  <si>
    <t>Whenever a creature within 5 feet of you is hit by an attack made by a creature other than you. you can use your reaction to make a melee attack against that creature.</t>
  </si>
  <si>
    <t>you learn magical disciplines that harness the power of the four elements. A discipline requires you to spend ki points each time you use it. You know the Elemental Attunement discipline and one other elemental discipline of your choice</t>
  </si>
  <si>
    <t>[Elemental attunement]</t>
  </si>
  <si>
    <t>For 1 minute, you add your Charisma modifier to attack rolls made with that weapon (with a minimum bonus of +1). The weapon also emits bright light in a 20-foot radius and dim light 20 feet beyond that.</t>
  </si>
  <si>
    <t>you and friendly creatures within 10 feet of you can’t be charmed while you are conscious</t>
  </si>
  <si>
    <t>you are always under the effects of a protection from evil and good spell.</t>
  </si>
  <si>
    <t>as an action, you can emanate an aura of sunlight. For 1 minute, bright light shines from you in a 30-foot radius, and dim light shines 30 feet beyond that. Whenever an enemy creature starts its turn in the bright light, the creature takes 10 radiant damage. In addition, for the duration, you have advantage on saving throws against spells cast by fiends or undead. Once you use this feature, you can’t use it again until you finish a long rest.</t>
  </si>
  <si>
    <t>As an action, you can cause spectral vines to spring up and reach for a creature within 10 feet of you that you can see. The creature must succeed on a Strength or Dexterity saving throw (its choice) or be restrained. While restrained by the vines, the creature repeats the saving throw at the end of each of its turns. On a success, it frees itself and the vines vanish.</t>
  </si>
  <si>
    <t>As an action, you present your holy symbol, and each fey or fiend within 30 feet of you that can hear you must make a Wisdom saving throw. On a failed save, the creature is turned for 1 minute or until it takes damage. A turned creature must spend its turns trying to move as far away from you as it can, and it can’t willingly move to a space within 30 feet of you. It also can’t take reactions. For its action, it can use only the Dash action or try to escape from an effect that prevents it from moving. If there’s nowhere to move, the creature can use the Dodge action. If the creature’s true form is concealed by an illusion, shapeshifting, or other effect, that form is revealed while it is turned.</t>
  </si>
  <si>
    <t>ancient magic lies so heavily upon you that it forms an eldritch ward. You and friendly creatures within 10 feet of you have resistance to damage from spells. At 18th level, the range of this aura increases to 30 feet.</t>
  </si>
  <si>
    <t>when you are reduced to 0 hit points and are not killed outright, you can choose to drop to 1 hit point instead. Once you use this ability, you can’t use it again until you finish a long rest. Additionally, you suffer none of the drawbacks of old age, and you can’t be aged magically.</t>
  </si>
  <si>
    <t>At 20th level, you can assume the form of an ancient force of nature, taking on an appearance you choose. For example, your skin might turn green or take on a bark-like texture, your hair might become leafy or moss-like, or you might sprout antlers or a lion-like mane. Using your action, you undergo a transformation. For 1 minute, you gain the following benefits: 
• At the start of each of your turns, you regain 10 hit points. 
• Whenever you cast a paladin spell that has a casting time of 1 action, you can cast it using a bonus action instead. 
• Enemy creatures within 10 feet of you have disadvan¬tage on saving throws against your paladin spells and Channel Divinity options. Once you use this feature, you can’t use it again until you finish a long rest.</t>
  </si>
  <si>
    <t xml:space="preserve">you can assume the form of an ancient force of nature, taking on an appearance you choose. For 1 minute, you gain the following benefits: 
• At the start of each of your turns, you regain 10 hit points. 
• Whenever you cast a paladin spell that has a casting time of 1 action, you can cast it using a bonus action instead. 
• Enemy creatures within 10 feet of you have disadvan¬tage on saving throws against your paladin spells and Channel Divinity options. </t>
  </si>
  <si>
    <t>you gain a beast companion that accompanies you on your adventures and is trained to fight alongside you</t>
  </si>
  <si>
    <t>on any of your turns when your beast companion doesn’t attack, you can use a bonus action to command the beast to take the Dash, Disengage, Dodge, or Help action on its turn</t>
  </si>
  <si>
    <t>your beast companion can make two attacks when you command it to use the Attack action.</t>
  </si>
  <si>
    <t>when you cast a spell targeting yourself, you can also affect your beast companion with the spell if the beast is within 30 feet of you.</t>
  </si>
  <si>
    <t>you can use the bonus action granted by your Cunning Action to make a Dexterity (Sleight of Hand) check, use your thieves’ tools to disarm a trap or open a lock, or take the Use an Object action.</t>
  </si>
  <si>
    <t>you have advantage on a Dexterity (Stealth) check if you move no more than half your speed on the same turn.</t>
  </si>
  <si>
    <t>you gain the ability to climb faster than normal; climbing no longer costs you extra movement. In addition, when you make a running jump, the distance you cover increases by a number of feet equal to your Dexterity modifier.</t>
  </si>
  <si>
    <t>You ignore all class, race, and level requirements on the use of magic items.</t>
  </si>
  <si>
    <t>you present your holy symbol and speak a prayer censuring fiends and undead, using your Channel Divinity. Each fiend or undead that can see or hear you within 30 feet of you must make a Wisdom saving throw. If the creature fails its saving throw, it is turned for 1 minute or until it takes damage. A turned creature must spend its turns trying to move as far away from you as it can, and it can’t willingly move to a space within 30 feet of you. It also can’t take reactions. For its action, it can use only the Dash action or try to escape from an effect that prevents it from moving. If there's nowhere to move, the creature can use the Dodge action.</t>
  </si>
  <si>
    <t>You can take two turns during the first round of any combat. You take your first turn at your normal initiative and your second turn at your initiative minus 10. You can’t use this feature when you are surprised.</t>
  </si>
  <si>
    <t>[disguise kit] [poisoner's kit]</t>
  </si>
  <si>
    <t xml:space="preserve"> You have advantage on attack rolls against any creature that hasn’t taken a turn in the combat yet. In addition, any hit you score against a creature that is surprised is a critical hit.</t>
  </si>
  <si>
    <t>you gain proficiency with the disguise kit and the poisoner's kit.</t>
  </si>
  <si>
    <t>you can unfailingly create false identities for yourself. You must spend seven days and 25 gp to establish the history, profession, and affiliations for an identity. You can’t establish an identity that belongs to someone else</t>
  </si>
  <si>
    <t>you gain the ability to unerringly mimic another person's speech, writing, and behavior</t>
  </si>
  <si>
    <t>become a master of instant death. When you attack and hit a creature that is surprised, it must make a Constitution saving throw (DC 8 + your Dexterity modifier + your proficiency bonus). On a failed save, double the damage of your attack against the creature.</t>
  </si>
  <si>
    <t>Starting at 3rd level, when you cast mage hand, you can make the spectral hand invisible, and you can perform the following additional tasks with it: 
• You can stow one object the hand is holding in a container worn or carried by another creature. 
• You can retrieve an object in a container worn or carried by another creature. 
• You can use thieves’ tools to pick locks and disarm traps at range.</t>
  </si>
  <si>
    <t>Spectral hand of mage hand can be invisible and you can stow one object the hand is holding in a container worn or carried by another creature, an object in a container worn or carried by another creature, can use thieves’ tools to pick locks and disarm traps at range.</t>
  </si>
  <si>
    <t>if you are hidden from a creature when you cast a spell on it, the creature has disadvantage on any saving throw it makes against the spell this turn.</t>
  </si>
  <si>
    <t>As a bonus action on your turn, you can designate a creature within 5 feet of the spectral hand created by the spell. Doing so gives you advantage on attack rolls against that creature until the end of the turn.</t>
  </si>
  <si>
    <t>mmediately after a creature casts a spell that targets you or includes you in its area of effect, you can use your reaction to force the creature to make a saving throw with its spellcasting ability modifier. The DC equals your spell save DC. On a failed save, you negate the spell’s effect against you, and you steal the knowledge of the spell if it is at least 1st level and of a level you can cast (it doesn’t need to be a wizard spell). For the next 8 hours, you know the spell and can cast it using your spell slots. The creature can’t cast that spell until the 8 hours have passed. Once you use this feature, you can't use it again until you finish a long rest</t>
  </si>
  <si>
    <t xml:space="preserve"> you choose one type of dragon as your ancestor, You can speak, read, and write Draconic. Additionally, whenever you make a Charisma check when interacting with dragons, your proficiency bonus is doubled if it applies to the check.</t>
  </si>
  <si>
    <t>Your hit point maximum increases by 1 and increases by 1 again whenever you gain a level in this class. Additionally, parts of your skin are covered by a thin sheen of dragondike scales. When you aren't wearing armor, your AC equals 13 + your Dexterity modifier</t>
  </si>
  <si>
    <t>when you cast a spell that deals damage of the type associated with your draconic ancestry, add your Charisma modifier to that damage. At the same time, you can spend 1 sorcery point to gain resistance to that damage type for 1 hour</t>
  </si>
  <si>
    <t>ou gain the ability to sprout a pair of dragon wings from your back, gaining a flying speed equal to your current speed. You can create these wings as a bonus action on your turn. They last until you dismiss them as a bonus action on your turn</t>
  </si>
  <si>
    <t>you can channel the dread presence of your dragon ancestor, causing those around you to become awestruck or frightened. As an action, you can spend 5 sorcery points to draw on this power and exude an aura of awe or fear (your choice) to a distance of 60 feet. For 1 minute or until you lose your concentration (as if you were casting a concentration spell), each hostile creature that starts its turn in this aura must succeed on a Wisdom saving throw or be charmed (if you chose awe) or frightened (if you chose fear) until the aura ends. A creature that succeeds on this saving throw is immune to your aura for 24 hours.</t>
  </si>
  <si>
    <t>your spellcasting can unleash surges of untamed magic. Immediately after you cast a sorcerer spell of 1st level or higher, the DM can have you roll a d20. If you roll a 1, roll on the Wild Magic Surge table to create a random magical effect</t>
  </si>
  <si>
    <t>ou can manipulate the forces of chance and chaos to gain advantage on one attack roll, ability check, or saving throw. Once you do so, you must finish a long rest before you can use this feature again</t>
  </si>
  <si>
    <t>When another creature you can see makes an attack roll, an ability check, or a saving throw, you can use your reaction and spend 2 sorcery points to roll ld4 and apply the number rolled as a bonus or penalty (your choice) to the creature's roll</t>
  </si>
  <si>
    <t>Whenever you roll on the Wild Magic Surge table, you can roll twice and use either number.</t>
  </si>
  <si>
    <t>When you roll damage for a spell and roll the highest number possible on any of the dice, choose one of those dice, roll it again and add that roll to the damage. You can use the feature only once per turn</t>
  </si>
  <si>
    <t>he gold and time you must spend to copy an abjuration spell into your spellbook is halved</t>
  </si>
  <si>
    <t>When you cast an abjuration spell of 1st level or higher, you can simultaneously use a strand of the spell's magic to create a magical ward on yourself that lasts until you finish a long rest. The ward has hit points equal to twice your wizard level + your Intelligence modifier. Whenever you take damage, the ward takes the damage instead. If this damage reduces the ward to 0 hit points, you take any remaining damage. While the ward has 0 hit points, it can’t absorb damage, but its magic remains. Whenever you cast an abjuration spell of 1st level or higher, the ward regains a number of hit points equal to twice the level of the spell. Once you create the ward, you can't create it again until you finish a long rest.</t>
  </si>
  <si>
    <t>short rest</t>
  </si>
  <si>
    <t>long rest</t>
  </si>
  <si>
    <t>1+[Charisma mod]</t>
  </si>
  <si>
    <t>[Charisma mod]</t>
  </si>
  <si>
    <t>(Fighter 12-, 1)(Fighter 16-, 2)(Fighter 17+, 3)</t>
  </si>
  <si>
    <t>[Paladin Level * 5]</t>
  </si>
  <si>
    <t>[Wisdom mod]</t>
  </si>
  <si>
    <t>[Druidic]</t>
  </si>
  <si>
    <t>[Aura range]=(30 ft)</t>
  </si>
  <si>
    <t>?[not heavy armor] [speed]=++(10)</t>
  </si>
  <si>
    <t>[language]</t>
  </si>
  <si>
    <t>[Wisdom ST]</t>
  </si>
  <si>
    <t>[Thieves’ cant]</t>
  </si>
  <si>
    <t>?[no armor] [AC]=10+Dexterity mod+Constitution</t>
  </si>
  <si>
    <t>?[no armor]?[no shiels] [Speed]=++10</t>
  </si>
  <si>
    <t>[2 spells known from any list]</t>
  </si>
  <si>
    <t>[medium armor] [shields] [martial weapons]</t>
  </si>
  <si>
    <t>[cleric cantrip damage]=++(Wisdom mod)</t>
  </si>
  <si>
    <t>[heavy armor]</t>
  </si>
  <si>
    <t>[martial weapons] [heavy armor]</t>
  </si>
  <si>
    <t>[artisan’s tools]</t>
  </si>
  <si>
    <t>[Draconic]</t>
  </si>
  <si>
    <t>?[no armor][no shield]-&gt;[AC]=13+Dexterity modifier</t>
  </si>
  <si>
    <t>?[one-handed weapon]?[one weapon]-&gt; [Damage] +2</t>
  </si>
  <si>
    <t>[Eldritch blast damage]+[Charisma mod]</t>
  </si>
  <si>
    <t xml:space="preserve"> [Deception][Persuasion]</t>
  </si>
  <si>
    <t>[Eldritch blast range]=[300 ft]</t>
  </si>
  <si>
    <t>?[no armor]?[no shield]-&gt;[AC]=10+Dexterity mod+Wisdom mod</t>
  </si>
  <si>
    <t>[disease immunity]</t>
  </si>
  <si>
    <t>?[no heavy armor][no shield]-&gt;[AC]=++(1) [climbing speed]=(normal speed) [swimming speed]=(normal speed)</t>
  </si>
  <si>
    <t>[Initiative]=++(Charisma mod)</t>
  </si>
  <si>
    <t>[lightning resistance] [thunder resistance]</t>
  </si>
  <si>
    <t>[lightning immunity] [thunder immunity] [flying speed]= 60 ft</t>
  </si>
  <si>
    <t>(Fighter 16-,1)(Fighter 17+,2)</t>
  </si>
  <si>
    <t>[acid resistance]</t>
  </si>
  <si>
    <t>[shape water cantrip]</t>
  </si>
  <si>
    <t xml:space="preserve">[necrotic resistance] [radiant resistance] </t>
  </si>
  <si>
    <t>[rapier][shortsword][hand crossbow]</t>
  </si>
  <si>
    <t>[Deception]</t>
  </si>
  <si>
    <t>[light armor][medium armor]</t>
  </si>
  <si>
    <t>[battleaxe][handaxe][throwing hammer][warhammer]</t>
  </si>
  <si>
    <t>[poison resistance]</t>
  </si>
  <si>
    <t>[longsword][shortsword][shortbow][longbow]</t>
  </si>
  <si>
    <t>[HP]=++[Level]*1</t>
  </si>
  <si>
    <t>[fire resistance]</t>
  </si>
  <si>
    <t>[thaumaturgy cantrip]</t>
  </si>
  <si>
    <t>[perception]</t>
  </si>
  <si>
    <t>[Athletics]</t>
  </si>
  <si>
    <t>[swimming speed]=30 ft</t>
  </si>
  <si>
    <t>[unarmed strikes 1d4]</t>
  </si>
  <si>
    <t>[tinker's tools]</t>
  </si>
  <si>
    <t>[dwarf tools]</t>
  </si>
  <si>
    <t>[two skills]</t>
  </si>
  <si>
    <t>[Intimidation]</t>
  </si>
  <si>
    <t>[lightning resistance]</t>
  </si>
  <si>
    <t>[cold resistance]</t>
  </si>
  <si>
    <t>The duergar has advantage on saving throws against poison, spells, and illusions, as well as to resist being charmed or paralyzed.</t>
  </si>
  <si>
    <t>{[enlarge](1/short rest)}{[invisibility](1/short rest)}</t>
  </si>
  <si>
    <t>[navigator's tools][vehicle (water)]</t>
  </si>
  <si>
    <t>{?[no medium armor]?[no heavy armor] [flying speed]=50 ft}</t>
  </si>
  <si>
    <t>{[pass without trace](Constitution)(1/long rest)}</t>
  </si>
  <si>
    <t>{[levitation](Constitution)(1/long rest)}</t>
  </si>
  <si>
    <t>{[light cantrip]}{?[level=&gt;3][lesser restoration](Charisma)(1/long rest)}{?[level=&gt;5][daylight](Charisma)(1/long rest)}</t>
  </si>
  <si>
    <t>{[dancing lights cantrip]}{?[level=&gt;3][faerie fire](Charisma)(1/long rest)}{?[level=&gt;5][darkness](Charisma)(1/long rest)}</t>
  </si>
  <si>
    <t>{[misty step](1/long rest)}</t>
  </si>
  <si>
    <t>{[minor illusion cantrip](Intelligence)}</t>
  </si>
  <si>
    <t>{[produce flame cantrip]}{?[level&gt;=3][burning hands](Constitution)(1/long rest)}</t>
  </si>
  <si>
    <t>{[darkvision]=120 ft}</t>
  </si>
  <si>
    <t>{[darkvision]=60 ft}</t>
  </si>
  <si>
    <t>{[speed]=35 ft}</t>
  </si>
  <si>
    <t>{[AC]=++1}</t>
  </si>
  <si>
    <t>{[initiative]=++5}</t>
  </si>
  <si>
    <t>{[Charisma]=++1}</t>
  </si>
  <si>
    <t>{?[two weapons]-&gt;[AC]=++1}{[non-light off-hand]}</t>
  </si>
  <si>
    <t>{[Constitution]=++1} {[minimal hp-roll]=2*[Constitution mod]}</t>
  </si>
  <si>
    <t>{[Strength]=++1}[medium Armor]</t>
  </si>
  <si>
    <t>{[Intelligence]=++1}</t>
  </si>
  <si>
    <t>{[light armor]}{([Strength]&lt;-&gt;[Dexterity])=++1}</t>
  </si>
  <si>
    <t>[Magic Initiate]</t>
  </si>
  <si>
    <t>{[Combat Maneuvers known]=++2}{[superiority die]=++1}</t>
  </si>
  <si>
    <t>{[speed]=++10}</t>
  </si>
  <si>
    <t>{[medium armor]}{[shields]}{([Strength]&lt;-&gt;[Dexterity])=++1}</t>
  </si>
  <si>
    <t>{[passive perception]=++5}{[passive investigation]=++5}{([Intelligence]&lt;-&gt;[Wisdom])=++1}</t>
  </si>
  <si>
    <t>{[ability=++1]}{[ability saving throw]}</t>
  </si>
  <si>
    <t>{[Dexterity ST]=++[Shield bonus]}</t>
  </si>
  <si>
    <t>{[unarmed strikes]}{[ijmprovised weapons]}{([Strength]&lt;-&gt;[Constitution])=++1}</t>
  </si>
  <si>
    <t>{[hit points]=++2*[level]}</t>
  </si>
  <si>
    <t>{[weapons known=++4]}{([Strength]&lt;-&gt;[Dexterity])=++1}</t>
  </si>
  <si>
    <t>[cantrip known=++1]</t>
  </si>
  <si>
    <t>{[skills known]=++3}</t>
  </si>
  <si>
    <t>{[Intelligence]=++1}{[languages known]=++3}</t>
  </si>
  <si>
    <t>{([Strength]&lt;-&gt;[Dexterity])=++1}</t>
  </si>
  <si>
    <t>{[cantrips known=++1]&amp;[druid cantrip]} [skills known=++1] [heavy armor]</t>
  </si>
  <si>
    <t>{[cantrips known=++1]&amp;[druid cantrip]}</t>
  </si>
  <si>
    <t>{[languages known]=++2} [skills known=++2]</t>
  </si>
  <si>
    <t>{[combat maneuvers known]=++3}</t>
  </si>
  <si>
    <t>Damage Reduction</t>
  </si>
  <si>
    <t>Speed factor</t>
  </si>
  <si>
    <t>str</t>
  </si>
  <si>
    <t>dex</t>
  </si>
  <si>
    <t>con</t>
  </si>
  <si>
    <t>int</t>
  </si>
  <si>
    <t>wis</t>
  </si>
  <si>
    <t>cha</t>
  </si>
  <si>
    <t>Palant</t>
  </si>
  <si>
    <t>Rank</t>
  </si>
  <si>
    <t>Storyline</t>
  </si>
  <si>
    <t>6'3''</t>
  </si>
  <si>
    <t>260 lb</t>
  </si>
  <si>
    <t>pale</t>
  </si>
  <si>
    <t>green</t>
  </si>
  <si>
    <t>Mathematics</t>
  </si>
  <si>
    <t>Blessing of Bahamut</t>
  </si>
  <si>
    <t>Spell level</t>
  </si>
  <si>
    <t>male</t>
  </si>
  <si>
    <t>high man in black clothing wit long black hair</t>
  </si>
  <si>
    <t>long black</t>
  </si>
  <si>
    <r>
      <t xml:space="preserve">Palant Character Builder v.0.64
HOMEPAGE: http://palikhov.com.ua/pbc/
e-mail: </t>
    </r>
    <r>
      <rPr>
        <u/>
        <sz val="11"/>
        <color theme="0"/>
        <rFont val="Calibri"/>
        <family val="2"/>
        <charset val="204"/>
        <scheme val="minor"/>
      </rPr>
      <t xml:space="preserve">anton@palikhov.com.ua
</t>
    </r>
    <r>
      <rPr>
        <sz val="11"/>
        <color theme="0"/>
        <rFont val="Calibri"/>
        <family val="2"/>
        <charset val="204"/>
        <scheme val="minor"/>
      </rPr>
      <t>2015</t>
    </r>
  </si>
  <si>
    <t>not working</t>
  </si>
  <si>
    <t>v.0.64</t>
  </si>
  <si>
    <t>custom</t>
  </si>
  <si>
    <t>Первый класс выбирается слева, все остальные по уровням. || in left part  need to select first class, other classes are selected in level table
Для случайной наброски - необходимо выделить диапазон с 2ого уровня по последний и нажать кнопку || for rolling hitpoints - select all green cells and press "roll"</t>
  </si>
  <si>
    <t>Bonus Skill</t>
  </si>
  <si>
    <t>Вы можете вводить собственные значения в идеал, особенности, связь и недостатки || You can enter your own Ideal, Bond, Traits or Flaw</t>
  </si>
  <si>
    <t>Special Bond</t>
  </si>
  <si>
    <t>SEASON NAME</t>
  </si>
  <si>
    <t>Faction</t>
  </si>
  <si>
    <t>Rank 1</t>
  </si>
  <si>
    <t>Rank 2</t>
  </si>
  <si>
    <t>Rank 3</t>
  </si>
  <si>
    <t>Rank 4</t>
  </si>
  <si>
    <t>Rank 5</t>
  </si>
  <si>
    <t>Order Of the Gauntlet</t>
  </si>
  <si>
    <t>В User-defined языки и инструменты можно вводить любые значения|| In User-defined cells You can enter any data</t>
  </si>
  <si>
    <t>Выбор разных классовых умений, которые тяжело или нельзя формализовать. || Selecting some traits and features which I don't know how to select :-)</t>
  </si>
  <si>
    <t>Выбор фит || Selecting Feats and Asi</t>
  </si>
  <si>
    <t xml:space="preserve">Отображаются справочные данные о количестве спеллов, количество спеллов для подготовки || Only for information </t>
  </si>
  <si>
    <t>Spellcasting - Known Spells for Spontaneous Casters  (some errors)</t>
  </si>
  <si>
    <t>Cantrips (errors)</t>
  </si>
  <si>
    <t>Starting Gear (some errors)</t>
  </si>
  <si>
    <t>Inventory (not working at all)</t>
  </si>
  <si>
    <t>Combat (no calculations yet)</t>
  </si>
  <si>
    <t>Familiar, Animal Companion, Mount (not working)</t>
  </si>
  <si>
    <t>Instructions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</si>
</sst>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34" x14ac:knownFonts="1">
    <font>
      <sz val="11"/>
      <color theme="1"/>
      <name val="Calibri"/>
      <family val="2"/>
      <charset val="204"/>
      <scheme val="minor"/>
    </font>
    <font>
      <sz val="10"/>
      <name val="Arial"/>
      <family val="2"/>
      <charset val="204"/>
    </font>
    <font>
      <b/>
      <sz val="10"/>
      <name val="Arial"/>
      <family val="2"/>
    </font>
    <font>
      <sz val="10"/>
      <name val="Arial"/>
      <family val="2"/>
    </font>
    <font>
      <b/>
      <sz val="11"/>
      <color theme="1"/>
      <name val="Calibri"/>
      <family val="2"/>
      <charset val="204"/>
      <scheme val="minor"/>
    </font>
    <font>
      <b/>
      <i/>
      <sz val="11"/>
      <color theme="1"/>
      <name val="Monotype Corsiva"/>
      <family val="4"/>
      <charset val="204"/>
    </font>
    <font>
      <sz val="10"/>
      <color theme="0" tint="-0.249977111117893"/>
      <name val="Arial"/>
      <family val="2"/>
    </font>
    <font>
      <sz val="12"/>
      <color theme="1"/>
      <name val="Palatino Linotype"/>
      <family val="1"/>
      <charset val="204"/>
    </font>
    <font>
      <sz val="14"/>
      <color theme="1"/>
      <name val="Palatino Linotype"/>
      <family val="1"/>
      <charset val="204"/>
    </font>
    <font>
      <b/>
      <sz val="14"/>
      <color theme="1"/>
      <name val="Palatino Linotype"/>
      <family val="1"/>
      <charset val="204"/>
    </font>
    <font>
      <b/>
      <sz val="12"/>
      <color theme="0"/>
      <name val="Monotype Corsiva"/>
      <family val="4"/>
      <charset val="204"/>
    </font>
    <font>
      <b/>
      <sz val="24"/>
      <color theme="1"/>
      <name val="Palatino Linotype"/>
      <family val="1"/>
      <charset val="204"/>
    </font>
    <font>
      <sz val="8"/>
      <color theme="1"/>
      <name val="Calibri"/>
      <family val="2"/>
      <scheme val="minor"/>
    </font>
    <font>
      <b/>
      <u/>
      <sz val="8"/>
      <color theme="1"/>
      <name val="Calibri"/>
      <family val="2"/>
      <scheme val="minor"/>
    </font>
    <font>
      <sz val="8"/>
      <name val="Calibri"/>
      <family val="2"/>
      <scheme val="minor"/>
    </font>
    <font>
      <b/>
      <i/>
      <u/>
      <sz val="8"/>
      <color theme="1"/>
      <name val="Calibri"/>
      <family val="2"/>
      <scheme val="minor"/>
    </font>
    <font>
      <sz val="9"/>
      <color theme="1"/>
      <name val="Times New Roman"/>
      <family val="1"/>
    </font>
    <font>
      <b/>
      <sz val="8"/>
      <color theme="1"/>
      <name val="Calibri"/>
      <family val="2"/>
      <scheme val="minor"/>
    </font>
    <font>
      <u/>
      <sz val="8"/>
      <color theme="1"/>
      <name val="Calibri"/>
      <family val="2"/>
      <scheme val="minor"/>
    </font>
    <font>
      <sz val="8"/>
      <color rgb="FF2D2530"/>
      <name val="Calibri"/>
      <family val="2"/>
      <scheme val="minor"/>
    </font>
    <font>
      <sz val="8"/>
      <color rgb="FF141216"/>
      <name val="Calibri"/>
      <family val="2"/>
      <scheme val="minor"/>
    </font>
    <font>
      <sz val="8"/>
      <color rgb="FF2E2630"/>
      <name val="Calibri"/>
      <family val="2"/>
      <scheme val="minor"/>
    </font>
    <font>
      <sz val="8"/>
      <color rgb="FF121013"/>
      <name val="Calibri"/>
      <family val="2"/>
      <scheme val="minor"/>
    </font>
    <font>
      <sz val="8"/>
      <color rgb="FF453C4D"/>
      <name val="Calibri"/>
      <family val="2"/>
      <scheme val="minor"/>
    </font>
    <font>
      <sz val="8"/>
      <color rgb="FF2F2631"/>
      <name val="Calibri"/>
      <family val="2"/>
      <scheme val="minor"/>
    </font>
    <font>
      <sz val="8"/>
      <color rgb="FF121015"/>
      <name val="Calibri"/>
      <family val="2"/>
      <scheme val="minor"/>
    </font>
    <font>
      <sz val="8"/>
      <color rgb="FF433B48"/>
      <name val="Calibri"/>
      <family val="2"/>
      <scheme val="minor"/>
    </font>
    <font>
      <sz val="8"/>
      <color rgb="FF564A58"/>
      <name val="Calibri"/>
      <family val="2"/>
      <scheme val="minor"/>
    </font>
    <font>
      <sz val="8"/>
      <color rgb="FF2F2731"/>
      <name val="Calibri"/>
      <family val="2"/>
      <scheme val="minor"/>
    </font>
    <font>
      <sz val="8"/>
      <color rgb="FF131115"/>
      <name val="Calibri"/>
      <family val="2"/>
      <scheme val="minor"/>
    </font>
    <font>
      <sz val="8"/>
      <color rgb="FF463C4D"/>
      <name val="Calibri"/>
      <family val="2"/>
      <scheme val="minor"/>
    </font>
    <font>
      <sz val="8"/>
      <color rgb="FF000000"/>
      <name val="Calibri"/>
      <family val="2"/>
      <scheme val="minor"/>
    </font>
    <font>
      <sz val="8"/>
      <color rgb="FF443B4D"/>
      <name val="Calibri"/>
      <family val="2"/>
      <scheme val="minor"/>
    </font>
    <font>
      <sz val="8"/>
      <color rgb="FF172338"/>
      <name val="Calibri"/>
      <family val="2"/>
      <scheme val="minor"/>
    </font>
    <font>
      <sz val="8"/>
      <color rgb="FF5E4D57"/>
      <name val="Calibri"/>
      <family val="2"/>
      <scheme val="minor"/>
    </font>
    <font>
      <sz val="8"/>
      <color rgb="FF5B4D59"/>
      <name val="Calibri"/>
      <family val="2"/>
      <scheme val="minor"/>
    </font>
    <font>
      <b/>
      <sz val="20"/>
      <color theme="1"/>
      <name val="Palatino Linotype"/>
      <family val="1"/>
      <charset val="204"/>
    </font>
    <font>
      <sz val="11"/>
      <color theme="1"/>
      <name val="Palatino Linotype"/>
      <family val="1"/>
      <charset val="204"/>
    </font>
    <font>
      <b/>
      <sz val="10"/>
      <color theme="0"/>
      <name val="Calibri"/>
      <family val="2"/>
      <charset val="204"/>
      <scheme val="minor"/>
    </font>
    <font>
      <b/>
      <sz val="12"/>
      <color theme="1"/>
      <name val="Palatino Linotype"/>
      <family val="1"/>
      <charset val="204"/>
    </font>
    <font>
      <b/>
      <sz val="12"/>
      <color theme="0"/>
      <name val="Palatino Linotype"/>
      <family val="1"/>
      <charset val="204"/>
    </font>
    <font>
      <b/>
      <i/>
      <sz val="11"/>
      <color theme="1"/>
      <name val="Palatino Linotype"/>
      <family val="1"/>
      <charset val="204"/>
    </font>
    <font>
      <b/>
      <sz val="11"/>
      <color theme="1"/>
      <name val="Palatino Linotype"/>
      <family val="1"/>
      <charset val="204"/>
    </font>
    <font>
      <sz val="10"/>
      <name val="Palatino Linotype"/>
      <family val="1"/>
      <charset val="204"/>
    </font>
    <font>
      <sz val="11"/>
      <color theme="0" tint="-4.9989318521683403E-2"/>
      <name val="Calibri"/>
      <family val="2"/>
      <charset val="204"/>
      <scheme val="minor"/>
    </font>
    <font>
      <sz val="11"/>
      <color theme="1"/>
      <name val="Calibri"/>
      <family val="2"/>
      <scheme val="minor"/>
    </font>
    <font>
      <sz val="11"/>
      <color rgb="FF006100"/>
      <name val="Calibri"/>
      <family val="2"/>
      <scheme val="minor"/>
    </font>
    <font>
      <sz val="11"/>
      <color theme="0"/>
      <name val="Calibri"/>
      <family val="2"/>
      <charset val="204"/>
      <scheme val="minor"/>
    </font>
    <font>
      <sz val="11"/>
      <color rgb="FFFF0000"/>
      <name val="Calibri"/>
      <family val="2"/>
      <charset val="204"/>
      <scheme val="minor"/>
    </font>
    <font>
      <sz val="11"/>
      <color rgb="FFFF0000"/>
      <name val="Palatino Linotype"/>
      <family val="1"/>
      <charset val="204"/>
    </font>
    <font>
      <sz val="10"/>
      <color theme="1"/>
      <name val="Palatino Linotype"/>
      <family val="1"/>
      <charset val="204"/>
    </font>
    <font>
      <sz val="11"/>
      <color theme="0"/>
      <name val="Palatino Linotype"/>
      <family val="1"/>
      <charset val="204"/>
    </font>
    <font>
      <b/>
      <sz val="11"/>
      <name val="Palatino Linotype"/>
      <family val="1"/>
      <charset val="204"/>
    </font>
    <font>
      <sz val="11"/>
      <name val="Calibri"/>
      <family val="2"/>
      <charset val="204"/>
      <scheme val="minor"/>
    </font>
    <font>
      <sz val="8"/>
      <color theme="1"/>
      <name val="Palatino Linotype"/>
      <family val="1"/>
      <charset val="204"/>
    </font>
    <font>
      <u/>
      <sz val="11"/>
      <color theme="10"/>
      <name val="Calibri"/>
      <family val="2"/>
      <charset val="204"/>
      <scheme val="minor"/>
    </font>
    <font>
      <b/>
      <sz val="10"/>
      <color theme="1"/>
      <name val="Palatino Linotype"/>
      <family val="1"/>
      <charset val="204"/>
    </font>
    <font>
      <b/>
      <sz val="11"/>
      <color theme="0"/>
      <name val="Palatino Linotype"/>
      <family val="1"/>
      <charset val="204"/>
    </font>
    <font>
      <sz val="9"/>
      <color indexed="81"/>
      <name val="Tahoma"/>
      <family val="2"/>
      <charset val="204"/>
    </font>
    <font>
      <b/>
      <sz val="9"/>
      <color indexed="81"/>
      <name val="Tahoma"/>
      <family val="2"/>
      <charset val="204"/>
    </font>
    <font>
      <b/>
      <sz val="8"/>
      <color theme="1"/>
      <name val="Palatino Linotype"/>
      <family val="1"/>
      <charset val="204"/>
    </font>
    <font>
      <sz val="8.5"/>
      <color rgb="FF000000"/>
      <name val="Century Schoolbook"/>
      <family val="1"/>
      <charset val="204"/>
    </font>
    <font>
      <sz val="11"/>
      <color rgb="FF000000"/>
      <name val="Calibri"/>
      <family val="2"/>
      <charset val="204"/>
      <scheme val="minor"/>
    </font>
    <font>
      <sz val="9.5"/>
      <color rgb="FF000000"/>
      <name val="Georgia"/>
      <family val="1"/>
      <charset val="204"/>
    </font>
    <font>
      <b/>
      <sz val="8"/>
      <color theme="0"/>
      <name val="Arial"/>
      <family val="2"/>
    </font>
    <font>
      <sz val="8"/>
      <name val="Arial"/>
      <family val="2"/>
    </font>
    <font>
      <sz val="8"/>
      <color rgb="FF000000"/>
      <name val="Segoe UI"/>
      <family val="2"/>
      <charset val="204"/>
    </font>
    <font>
      <b/>
      <sz val="11"/>
      <color rgb="FF000000"/>
      <name val="Tahoma"/>
      <family val="2"/>
      <charset val="204"/>
    </font>
    <font>
      <sz val="11"/>
      <color rgb="FF000000"/>
      <name val="Tahoma"/>
      <family val="2"/>
      <charset val="204"/>
    </font>
    <font>
      <i/>
      <sz val="11"/>
      <color rgb="FF000000"/>
      <name val="Tahoma"/>
      <family val="2"/>
      <charset val="204"/>
    </font>
    <font>
      <b/>
      <sz val="10"/>
      <color rgb="FF333333"/>
      <name val="Verdana"/>
      <family val="2"/>
      <charset val="204"/>
    </font>
    <font>
      <b/>
      <sz val="8"/>
      <color theme="0"/>
      <name val="Monotype Corsiva"/>
      <family val="4"/>
      <charset val="204"/>
    </font>
    <font>
      <sz val="7"/>
      <color theme="1"/>
      <name val="Palatino Linotype"/>
      <family val="1"/>
      <charset val="204"/>
    </font>
    <font>
      <sz val="9"/>
      <color theme="1"/>
      <name val="Calibri"/>
      <family val="2"/>
      <charset val="204"/>
      <scheme val="minor"/>
    </font>
    <font>
      <sz val="8.5"/>
      <color theme="1"/>
      <name val="Arial"/>
      <family val="2"/>
      <charset val="204"/>
    </font>
    <font>
      <b/>
      <sz val="9"/>
      <color theme="1"/>
      <name val="Calibri"/>
      <family val="2"/>
      <charset val="204"/>
      <scheme val="minor"/>
    </font>
    <font>
      <sz val="11"/>
      <color theme="0"/>
      <name val="Monotype Corsiva"/>
      <family val="4"/>
      <charset val="204"/>
    </font>
    <font>
      <b/>
      <sz val="10"/>
      <color theme="0"/>
      <name val="Monotype Corsiva"/>
      <family val="4"/>
      <charset val="204"/>
    </font>
    <font>
      <b/>
      <sz val="11"/>
      <color theme="0"/>
      <name val="Monotype Corsiva"/>
      <family val="4"/>
      <charset val="204"/>
    </font>
    <font>
      <b/>
      <sz val="11"/>
      <name val="Monotype Corsiva"/>
      <family val="4"/>
      <charset val="204"/>
    </font>
    <font>
      <b/>
      <sz val="10"/>
      <name val="Monotype Corsiva"/>
      <family val="4"/>
      <charset val="204"/>
    </font>
    <font>
      <b/>
      <i/>
      <sz val="11"/>
      <color theme="0"/>
      <name val="Monotype Corsiva"/>
      <family val="4"/>
      <charset val="204"/>
    </font>
    <font>
      <b/>
      <sz val="10"/>
      <color rgb="FF000000"/>
      <name val="Arial"/>
      <family val="2"/>
      <charset val="204"/>
    </font>
    <font>
      <sz val="10"/>
      <color rgb="FF000000"/>
      <name val="Arial"/>
      <family val="2"/>
      <charset val="204"/>
    </font>
    <font>
      <sz val="11"/>
      <name val="Monotype Corsiva"/>
      <family val="4"/>
      <charset val="204"/>
    </font>
    <font>
      <b/>
      <sz val="10"/>
      <name val="Calibri"/>
      <family val="2"/>
      <charset val="204"/>
      <scheme val="minor"/>
    </font>
    <font>
      <sz val="8"/>
      <name val="Monotype Corsiva"/>
      <family val="4"/>
      <charset val="204"/>
    </font>
    <font>
      <b/>
      <sz val="9"/>
      <name val="Calibri"/>
      <family val="2"/>
      <charset val="204"/>
      <scheme val="minor"/>
    </font>
    <font>
      <b/>
      <sz val="20"/>
      <color theme="0"/>
      <name val="Palatino Linotype"/>
      <family val="1"/>
      <charset val="204"/>
    </font>
    <font>
      <sz val="11"/>
      <color theme="0" tint="-4.9989318521683403E-2"/>
      <name val="Palatino Linotype"/>
      <family val="1"/>
      <charset val="204"/>
    </font>
    <font>
      <b/>
      <sz val="9"/>
      <color theme="1"/>
      <name val="Palatino Linotype"/>
      <family val="1"/>
      <charset val="204"/>
    </font>
    <font>
      <b/>
      <sz val="9"/>
      <color theme="0"/>
      <name val="Monotype Corsiva"/>
      <family val="4"/>
      <charset val="204"/>
    </font>
    <font>
      <sz val="8"/>
      <color theme="1"/>
      <name val="Calibri"/>
      <family val="2"/>
      <charset val="204"/>
      <scheme val="minor"/>
    </font>
    <font>
      <sz val="11"/>
      <name val="Palatino Linotype"/>
      <family val="1"/>
      <charset val="204"/>
    </font>
    <font>
      <sz val="16"/>
      <color theme="1"/>
      <name val="Calibri"/>
      <family val="2"/>
      <charset val="204"/>
      <scheme val="minor"/>
    </font>
    <font>
      <b/>
      <sz val="18"/>
      <color theme="1"/>
      <name val="Monotype Corsiva"/>
      <family val="4"/>
      <charset val="204"/>
    </font>
    <font>
      <sz val="8"/>
      <name val="Calibri"/>
      <family val="2"/>
      <charset val="204"/>
      <scheme val="minor"/>
    </font>
    <font>
      <b/>
      <sz val="28"/>
      <color theme="1"/>
      <name val="Cambria"/>
      <family val="1"/>
      <charset val="204"/>
      <scheme val="major"/>
    </font>
    <font>
      <b/>
      <sz val="48"/>
      <color theme="1"/>
      <name val="Palatino Linotype"/>
      <family val="1"/>
      <charset val="204"/>
    </font>
    <font>
      <b/>
      <sz val="10"/>
      <color theme="0"/>
      <name val="Palatino Linotype"/>
      <family val="1"/>
      <charset val="204"/>
    </font>
    <font>
      <b/>
      <sz val="11"/>
      <color theme="0"/>
      <name val="Calibri"/>
      <family val="2"/>
      <charset val="204"/>
      <scheme val="minor"/>
    </font>
    <font>
      <b/>
      <sz val="16"/>
      <color theme="0" tint="-4.9989318521683403E-2"/>
      <name val="Calibri"/>
      <family val="2"/>
      <charset val="204"/>
      <scheme val="minor"/>
    </font>
    <font>
      <sz val="20"/>
      <color theme="1"/>
      <name val="Calibri"/>
      <family val="2"/>
      <charset val="204"/>
      <scheme val="minor"/>
    </font>
    <font>
      <sz val="6"/>
      <color theme="0"/>
      <name val="Calibri"/>
      <family val="2"/>
      <charset val="204"/>
      <scheme val="minor"/>
    </font>
    <font>
      <sz val="18"/>
      <name val="Monotype Corsiva"/>
      <family val="4"/>
      <charset val="204"/>
    </font>
    <font>
      <sz val="8"/>
      <color theme="1"/>
      <name val="Arial"/>
      <family val="2"/>
      <charset val="204"/>
    </font>
    <font>
      <sz val="8"/>
      <color rgb="FF000000"/>
      <name val="Arial"/>
      <family val="2"/>
      <charset val="204"/>
    </font>
    <font>
      <b/>
      <sz val="28"/>
      <color rgb="FFFF0000"/>
      <name val="Monotype Corsiva"/>
      <family val="4"/>
      <charset val="204"/>
    </font>
    <font>
      <b/>
      <sz val="8"/>
      <name val="Monotype Corsiva"/>
      <family val="4"/>
      <charset val="204"/>
    </font>
    <font>
      <b/>
      <sz val="18"/>
      <color rgb="FFFF0000"/>
      <name val="Monotype Corsiva"/>
      <family val="4"/>
      <charset val="204"/>
    </font>
    <font>
      <b/>
      <sz val="18"/>
      <name val="Monotype Corsiva"/>
      <family val="4"/>
      <charset val="204"/>
    </font>
    <font>
      <sz val="18"/>
      <name val="Calibri"/>
      <family val="2"/>
      <charset val="204"/>
      <scheme val="minor"/>
    </font>
    <font>
      <b/>
      <sz val="14"/>
      <name val="Palatino Linotype"/>
      <family val="1"/>
      <charset val="204"/>
    </font>
    <font>
      <b/>
      <sz val="14"/>
      <name val="Calibri"/>
      <family val="2"/>
      <charset val="204"/>
      <scheme val="minor"/>
    </font>
    <font>
      <b/>
      <u/>
      <sz val="11"/>
      <name val="Calibri"/>
      <family val="2"/>
      <charset val="204"/>
      <scheme val="minor"/>
    </font>
    <font>
      <b/>
      <u/>
      <sz val="12"/>
      <name val="Calibri"/>
      <family val="2"/>
      <charset val="204"/>
      <scheme val="minor"/>
    </font>
    <font>
      <b/>
      <u/>
      <sz val="14"/>
      <name val="Calibri"/>
      <family val="2"/>
      <charset val="204"/>
      <scheme val="minor"/>
    </font>
    <font>
      <u/>
      <sz val="16"/>
      <name val="Calibri"/>
      <family val="2"/>
      <charset val="204"/>
      <scheme val="minor"/>
    </font>
    <font>
      <b/>
      <sz val="10"/>
      <color theme="1"/>
      <name val="Calibri"/>
      <family val="2"/>
      <charset val="204"/>
    </font>
    <font>
      <sz val="9"/>
      <color rgb="FF000000"/>
      <name val="Times New Roman"/>
      <family val="1"/>
      <charset val="204"/>
    </font>
    <font>
      <sz val="8.5"/>
      <color rgb="FF000000"/>
      <name val="Calibri"/>
      <family val="2"/>
      <charset val="204"/>
    </font>
    <font>
      <i/>
      <sz val="9"/>
      <color rgb="FF000000"/>
      <name val="Times New Roman"/>
      <family val="1"/>
      <charset val="204"/>
    </font>
    <font>
      <sz val="9"/>
      <color rgb="FF000000"/>
      <name val="Franklin Gothic Book"/>
      <family val="2"/>
      <charset val="204"/>
    </font>
    <font>
      <b/>
      <sz val="9"/>
      <color rgb="FF000000"/>
      <name val="Times New Roman"/>
      <family val="1"/>
      <charset val="204"/>
    </font>
    <font>
      <b/>
      <sz val="20"/>
      <color rgb="FFFFFF00"/>
      <name val="Palatino Linotype"/>
      <family val="1"/>
      <charset val="204"/>
    </font>
    <font>
      <b/>
      <sz val="11"/>
      <color rgb="FF333333"/>
      <name val="Tahoma"/>
      <family val="2"/>
      <charset val="204"/>
    </font>
    <font>
      <b/>
      <sz val="10"/>
      <name val="Segoe UI"/>
      <family val="2"/>
      <charset val="204"/>
    </font>
    <font>
      <b/>
      <sz val="12"/>
      <name val="Segoe UI"/>
      <family val="2"/>
      <charset val="204"/>
    </font>
    <font>
      <sz val="11"/>
      <name val="Segoe UI"/>
      <family val="2"/>
      <charset val="204"/>
    </font>
    <font>
      <b/>
      <sz val="11"/>
      <name val="Segoe UI"/>
      <family val="2"/>
      <charset val="204"/>
    </font>
    <font>
      <sz val="10"/>
      <name val="Segoe UI"/>
      <family val="2"/>
      <charset val="204"/>
    </font>
    <font>
      <sz val="11"/>
      <color rgb="FF000000"/>
      <name val="Calibri"/>
      <family val="2"/>
      <charset val="204"/>
    </font>
    <font>
      <b/>
      <sz val="11"/>
      <color theme="0" tint="-4.9989318521683403E-2"/>
      <name val="Calibri"/>
      <family val="2"/>
      <charset val="204"/>
      <scheme val="minor"/>
    </font>
    <font>
      <u/>
      <sz val="11"/>
      <color theme="0"/>
      <name val="Calibri"/>
      <family val="2"/>
      <charset val="204"/>
      <scheme val="minor"/>
    </font>
  </fonts>
  <fills count="42">
    <fill>
      <patternFill patternType="none"/>
    </fill>
    <fill>
      <patternFill patternType="gray125"/>
    </fill>
    <fill>
      <patternFill patternType="solid">
        <fgColor rgb="FFFFFFCC"/>
        <bgColor indexed="64"/>
      </patternFill>
    </fill>
    <fill>
      <patternFill patternType="solid">
        <fgColor theme="2"/>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99FF99"/>
        <bgColor indexed="64"/>
      </patternFill>
    </fill>
    <fill>
      <patternFill patternType="solid">
        <fgColor theme="0" tint="-0.249977111117893"/>
        <bgColor indexed="64"/>
      </patternFill>
    </fill>
    <fill>
      <patternFill patternType="solid">
        <fgColor theme="1"/>
        <bgColor indexed="64"/>
      </patternFill>
    </fill>
    <fill>
      <patternFill patternType="solid">
        <fgColor theme="6" tint="0.59999389629810485"/>
        <bgColor indexed="64"/>
      </patternFill>
    </fill>
    <fill>
      <patternFill patternType="solid">
        <fgColor rgb="FFFFFF00"/>
        <bgColor indexed="64"/>
      </patternFill>
    </fill>
    <fill>
      <patternFill patternType="solid">
        <fgColor theme="2" tint="-0.249977111117893"/>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6" tint="-0.249977111117893"/>
        <bgColor indexed="64"/>
      </patternFill>
    </fill>
    <fill>
      <patternFill patternType="solid">
        <fgColor rgb="FFFFD961"/>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rgb="FF00FF00"/>
        <bgColor indexed="64"/>
      </patternFill>
    </fill>
    <fill>
      <patternFill patternType="solid">
        <fgColor theme="5" tint="0.79998168889431442"/>
        <bgColor indexed="64"/>
      </patternFill>
    </fill>
    <fill>
      <patternFill patternType="solid">
        <fgColor rgb="FFCCFFCC"/>
        <bgColor indexed="64"/>
      </patternFill>
    </fill>
    <fill>
      <patternFill patternType="solid">
        <fgColor rgb="FF00B050"/>
        <bgColor indexed="64"/>
      </patternFill>
    </fill>
    <fill>
      <patternFill patternType="solid">
        <fgColor theme="7" tint="0.39997558519241921"/>
        <bgColor indexed="64"/>
      </patternFill>
    </fill>
    <fill>
      <patternFill patternType="solid">
        <fgColor rgb="FFFFFF99"/>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00FFFF"/>
        <bgColor indexed="64"/>
      </patternFill>
    </fill>
  </fills>
  <borders count="91">
    <border>
      <left/>
      <right/>
      <top/>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medium">
        <color auto="1"/>
      </left>
      <right style="thin">
        <color auto="1"/>
      </right>
      <top style="medium">
        <color auto="1"/>
      </top>
      <bottom/>
      <diagonal/>
    </border>
    <border>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auto="1"/>
      </right>
      <top/>
      <bottom style="thin">
        <color indexed="64"/>
      </bottom>
      <diagonal/>
    </border>
    <border>
      <left style="thin">
        <color auto="1"/>
      </left>
      <right style="medium">
        <color indexed="64"/>
      </right>
      <top/>
      <bottom style="thin">
        <color indexed="64"/>
      </bottom>
      <diagonal/>
    </border>
    <border>
      <left style="thin">
        <color auto="1"/>
      </left>
      <right/>
      <top/>
      <bottom/>
      <diagonal/>
    </border>
    <border>
      <left/>
      <right/>
      <top style="thin">
        <color indexed="64"/>
      </top>
      <bottom style="thin">
        <color indexed="64"/>
      </bottom>
      <diagonal/>
    </border>
    <border>
      <left/>
      <right/>
      <top style="thin">
        <color auto="1"/>
      </top>
      <bottom/>
      <diagonal/>
    </border>
    <border>
      <left/>
      <right style="medium">
        <color indexed="64"/>
      </right>
      <top style="medium">
        <color indexed="64"/>
      </top>
      <bottom style="thin">
        <color auto="1"/>
      </bottom>
      <diagonal/>
    </border>
    <border>
      <left/>
      <right style="medium">
        <color indexed="64"/>
      </right>
      <top style="thin">
        <color indexed="64"/>
      </top>
      <bottom style="thin">
        <color indexed="64"/>
      </bottom>
      <diagonal/>
    </border>
    <border>
      <left/>
      <right style="medium">
        <color auto="1"/>
      </right>
      <top style="thin">
        <color auto="1"/>
      </top>
      <bottom style="medium">
        <color auto="1"/>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auto="1"/>
      </bottom>
      <diagonal/>
    </border>
    <border>
      <left style="medium">
        <color indexed="64"/>
      </left>
      <right style="medium">
        <color indexed="64"/>
      </right>
      <top/>
      <bottom/>
      <diagonal/>
    </border>
    <border>
      <left style="thin">
        <color auto="1"/>
      </left>
      <right/>
      <top style="thin">
        <color auto="1"/>
      </top>
      <bottom style="medium">
        <color indexed="64"/>
      </bottom>
      <diagonal/>
    </border>
    <border>
      <left style="medium">
        <color auto="1"/>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auto="1"/>
      </right>
      <top/>
      <bottom/>
      <diagonal/>
    </border>
    <border>
      <left/>
      <right/>
      <top style="medium">
        <color indexed="64"/>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style="thin">
        <color auto="1"/>
      </left>
      <right style="medium">
        <color auto="1"/>
      </right>
      <top/>
      <bottom/>
      <diagonal/>
    </border>
    <border>
      <left/>
      <right/>
      <top/>
      <bottom style="medium">
        <color theme="0"/>
      </bottom>
      <diagonal/>
    </border>
    <border>
      <left style="medium">
        <color indexed="64"/>
      </left>
      <right style="thin">
        <color indexed="64"/>
      </right>
      <top/>
      <bottom/>
      <diagonal/>
    </border>
    <border>
      <left style="double">
        <color auto="1"/>
      </left>
      <right style="double">
        <color auto="1"/>
      </right>
      <top style="double">
        <color auto="1"/>
      </top>
      <bottom style="double">
        <color auto="1"/>
      </bottom>
      <diagonal/>
    </border>
    <border>
      <left style="slantDashDot">
        <color rgb="FFFF0000"/>
      </left>
      <right/>
      <top style="slantDashDot">
        <color rgb="FFFF0000"/>
      </top>
      <bottom/>
      <diagonal/>
    </border>
    <border>
      <left/>
      <right/>
      <top style="slantDashDot">
        <color rgb="FFFF0000"/>
      </top>
      <bottom/>
      <diagonal/>
    </border>
    <border>
      <left/>
      <right style="slantDashDot">
        <color rgb="FFFF0000"/>
      </right>
      <top style="slantDashDot">
        <color rgb="FFFF0000"/>
      </top>
      <bottom/>
      <diagonal/>
    </border>
    <border>
      <left style="thin">
        <color auto="1"/>
      </left>
      <right/>
      <top style="medium">
        <color auto="1"/>
      </top>
      <bottom/>
      <diagonal/>
    </border>
    <border>
      <left style="slantDashDot">
        <color rgb="FFFF0000"/>
      </left>
      <right/>
      <top/>
      <bottom/>
      <diagonal/>
    </border>
    <border>
      <left/>
      <right style="slantDashDot">
        <color rgb="FFFF0000"/>
      </right>
      <top/>
      <bottom/>
      <diagonal/>
    </border>
    <border>
      <left/>
      <right style="double">
        <color auto="1"/>
      </right>
      <top/>
      <bottom/>
      <diagonal/>
    </border>
    <border>
      <left style="medium">
        <color auto="1"/>
      </left>
      <right/>
      <top style="thin">
        <color auto="1"/>
      </top>
      <bottom/>
      <diagonal/>
    </border>
    <border>
      <left style="medium">
        <color auto="1"/>
      </left>
      <right/>
      <top/>
      <bottom style="thin">
        <color auto="1"/>
      </bottom>
      <diagonal/>
    </border>
    <border>
      <left/>
      <right style="medium">
        <color indexed="64"/>
      </right>
      <top style="thin">
        <color auto="1"/>
      </top>
      <bottom/>
      <diagonal/>
    </border>
    <border>
      <left style="medium">
        <color auto="1"/>
      </left>
      <right style="thin">
        <color auto="1"/>
      </right>
      <top style="thin">
        <color auto="1"/>
      </top>
      <bottom/>
      <diagonal/>
    </border>
    <border>
      <left/>
      <right/>
      <top style="double">
        <color auto="1"/>
      </top>
      <bottom style="double">
        <color auto="1"/>
      </bottom>
      <diagonal/>
    </border>
    <border>
      <left/>
      <right/>
      <top style="double">
        <color auto="1"/>
      </top>
      <bottom/>
      <diagonal/>
    </border>
    <border>
      <left style="thin">
        <color auto="1"/>
      </left>
      <right style="medium">
        <color auto="1"/>
      </right>
      <top style="thin">
        <color auto="1"/>
      </top>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auto="1"/>
      </left>
      <right/>
      <top style="double">
        <color auto="1"/>
      </top>
      <bottom/>
      <diagonal/>
    </border>
    <border>
      <left/>
      <right style="double">
        <color auto="1"/>
      </right>
      <top style="double">
        <color auto="1"/>
      </top>
      <bottom/>
      <diagonal/>
    </border>
    <border>
      <left style="double">
        <color auto="1"/>
      </left>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double">
        <color auto="1"/>
      </left>
      <right style="double">
        <color auto="1"/>
      </right>
      <top style="double">
        <color auto="1"/>
      </top>
      <bottom style="thin">
        <color auto="1"/>
      </bottom>
      <diagonal/>
    </border>
    <border>
      <left style="double">
        <color auto="1"/>
      </left>
      <right style="double">
        <color auto="1"/>
      </right>
      <top style="double">
        <color auto="1"/>
      </top>
      <bottom/>
      <diagonal/>
    </border>
    <border>
      <left style="double">
        <color auto="1"/>
      </left>
      <right style="double">
        <color auto="1"/>
      </right>
      <top/>
      <bottom style="double">
        <color auto="1"/>
      </bottom>
      <diagonal/>
    </border>
  </borders>
  <cellStyleXfs count="7">
    <xf numFmtId="0" fontId="0" fillId="0" borderId="0"/>
    <xf numFmtId="0" fontId="1" fillId="0" borderId="0"/>
    <xf numFmtId="0" fontId="3" fillId="0" borderId="0"/>
    <xf numFmtId="0" fontId="45" fillId="0" borderId="0"/>
    <xf numFmtId="0" fontId="46" fillId="24" borderId="0" applyNumberFormat="0" applyBorder="0" applyAlignment="0" applyProtection="0"/>
    <xf numFmtId="0" fontId="55" fillId="0" borderId="0" applyNumberFormat="0" applyFill="0" applyBorder="0" applyAlignment="0" applyProtection="0"/>
    <xf numFmtId="0" fontId="3" fillId="0" borderId="0"/>
  </cellStyleXfs>
  <cellXfs count="1291">
    <xf numFmtId="0" fontId="0" fillId="0" borderId="0" xfId="0"/>
    <xf numFmtId="0" fontId="1" fillId="0" borderId="0" xfId="1" applyBorder="1"/>
    <xf numFmtId="0" fontId="1" fillId="0" borderId="2" xfId="1" applyBorder="1"/>
    <xf numFmtId="0" fontId="1" fillId="0" borderId="0" xfId="1"/>
    <xf numFmtId="0" fontId="0" fillId="0" borderId="2" xfId="0" applyBorder="1"/>
    <xf numFmtId="0" fontId="0" fillId="0" borderId="2" xfId="0" applyBorder="1" applyAlignment="1">
      <alignment horizontal="center" vertical="center"/>
    </xf>
    <xf numFmtId="0" fontId="3" fillId="0" borderId="2" xfId="0" applyFont="1" applyBorder="1"/>
    <xf numFmtId="0" fontId="0" fillId="5" borderId="2" xfId="0" applyFill="1" applyBorder="1"/>
    <xf numFmtId="0" fontId="1" fillId="7" borderId="0" xfId="1" applyFill="1"/>
    <xf numFmtId="0" fontId="6" fillId="7" borderId="0" xfId="1" applyFont="1" applyFill="1"/>
    <xf numFmtId="0" fontId="10" fillId="8" borderId="0" xfId="0" applyFont="1" applyFill="1" applyAlignment="1">
      <alignment horizontal="center" vertical="center"/>
    </xf>
    <xf numFmtId="0" fontId="12" fillId="0" borderId="2" xfId="0" applyFont="1" applyBorder="1"/>
    <xf numFmtId="0" fontId="12" fillId="0" borderId="14" xfId="0" applyFont="1" applyBorder="1"/>
    <xf numFmtId="0" fontId="12" fillId="0" borderId="25" xfId="0" applyFont="1" applyBorder="1"/>
    <xf numFmtId="0" fontId="12" fillId="0" borderId="7" xfId="0" applyFont="1" applyBorder="1"/>
    <xf numFmtId="0" fontId="12" fillId="0" borderId="1" xfId="0" applyFont="1" applyBorder="1"/>
    <xf numFmtId="0" fontId="12" fillId="4" borderId="7" xfId="0" applyFont="1" applyFill="1" applyBorder="1"/>
    <xf numFmtId="0" fontId="12" fillId="0" borderId="3" xfId="0" applyFont="1" applyBorder="1"/>
    <xf numFmtId="0" fontId="15" fillId="18" borderId="15" xfId="0" applyFont="1" applyFill="1" applyBorder="1"/>
    <xf numFmtId="0" fontId="16" fillId="0" borderId="2" xfId="0" applyFont="1" applyBorder="1" applyAlignment="1">
      <alignment vertical="center"/>
    </xf>
    <xf numFmtId="0" fontId="12" fillId="0" borderId="2" xfId="0" applyFont="1" applyBorder="1" applyAlignment="1">
      <alignment horizontal="center"/>
    </xf>
    <xf numFmtId="0" fontId="16" fillId="0" borderId="4" xfId="0" applyFont="1" applyBorder="1" applyAlignment="1">
      <alignment vertical="center"/>
    </xf>
    <xf numFmtId="0" fontId="12" fillId="0" borderId="0" xfId="0" applyFont="1" applyAlignment="1">
      <alignment horizontal="center"/>
    </xf>
    <xf numFmtId="0" fontId="12" fillId="0" borderId="7" xfId="0" applyFont="1" applyBorder="1" applyAlignment="1">
      <alignment horizontal="center"/>
    </xf>
    <xf numFmtId="0" fontId="12" fillId="14" borderId="25" xfId="0" applyFont="1" applyFill="1" applyBorder="1" applyAlignment="1">
      <alignment horizontal="center"/>
    </xf>
    <xf numFmtId="0" fontId="12" fillId="14" borderId="2" xfId="0" applyFont="1" applyFill="1" applyBorder="1" applyAlignment="1">
      <alignment horizontal="center"/>
    </xf>
    <xf numFmtId="0" fontId="12" fillId="0" borderId="30" xfId="0" applyFont="1" applyBorder="1" applyAlignment="1">
      <alignment horizontal="center"/>
    </xf>
    <xf numFmtId="0" fontId="12" fillId="0" borderId="0" xfId="0" applyFont="1" applyAlignment="1">
      <alignment horizontal="left"/>
    </xf>
    <xf numFmtId="0" fontId="12" fillId="19" borderId="2" xfId="0" applyFont="1" applyFill="1" applyBorder="1" applyAlignment="1">
      <alignment horizontal="left"/>
    </xf>
    <xf numFmtId="0" fontId="12" fillId="19" borderId="7" xfId="0" applyFont="1" applyFill="1" applyBorder="1" applyAlignment="1">
      <alignment horizontal="left"/>
    </xf>
    <xf numFmtId="0" fontId="12" fillId="16" borderId="7" xfId="0" applyFont="1" applyFill="1" applyBorder="1" applyAlignment="1">
      <alignment horizontal="left"/>
    </xf>
    <xf numFmtId="0" fontId="12" fillId="10" borderId="2" xfId="0" applyFont="1" applyFill="1" applyBorder="1" applyAlignment="1">
      <alignment horizontal="left"/>
    </xf>
    <xf numFmtId="0" fontId="14" fillId="14" borderId="29" xfId="0" applyFont="1" applyFill="1" applyBorder="1" applyAlignment="1">
      <alignment horizontal="left"/>
    </xf>
    <xf numFmtId="0" fontId="12" fillId="14" borderId="30" xfId="0" applyFont="1" applyFill="1" applyBorder="1" applyAlignment="1">
      <alignment horizontal="left"/>
    </xf>
    <xf numFmtId="0" fontId="14" fillId="19" borderId="30" xfId="0" applyFont="1" applyFill="1" applyBorder="1" applyAlignment="1">
      <alignment horizontal="left"/>
    </xf>
    <xf numFmtId="0" fontId="12" fillId="19" borderId="30" xfId="0" applyFont="1" applyFill="1" applyBorder="1" applyAlignment="1">
      <alignment horizontal="left"/>
    </xf>
    <xf numFmtId="0" fontId="12" fillId="19" borderId="6" xfId="0" applyFont="1" applyFill="1" applyBorder="1" applyAlignment="1">
      <alignment horizontal="left"/>
    </xf>
    <xf numFmtId="0" fontId="12" fillId="0" borderId="2" xfId="0" applyFont="1" applyBorder="1" applyAlignment="1">
      <alignment horizontal="left"/>
    </xf>
    <xf numFmtId="0" fontId="17" fillId="15" borderId="2" xfId="0" applyFont="1" applyFill="1" applyBorder="1" applyAlignment="1">
      <alignment horizontal="center"/>
    </xf>
    <xf numFmtId="0" fontId="17" fillId="15" borderId="2" xfId="0" applyFont="1" applyFill="1" applyBorder="1"/>
    <xf numFmtId="0" fontId="17" fillId="7" borderId="2" xfId="0" applyFont="1" applyFill="1" applyBorder="1"/>
    <xf numFmtId="0" fontId="17" fillId="15" borderId="7" xfId="0" applyFont="1" applyFill="1" applyBorder="1"/>
    <xf numFmtId="0" fontId="17" fillId="15" borderId="31" xfId="0" applyFont="1" applyFill="1" applyBorder="1"/>
    <xf numFmtId="0" fontId="17" fillId="7" borderId="7" xfId="0" applyFont="1" applyFill="1" applyBorder="1"/>
    <xf numFmtId="0" fontId="13" fillId="15" borderId="2" xfId="0" applyFont="1" applyFill="1" applyBorder="1"/>
    <xf numFmtId="0" fontId="17" fillId="15" borderId="26" xfId="0" applyFont="1" applyFill="1" applyBorder="1"/>
    <xf numFmtId="0" fontId="17" fillId="15" borderId="15" xfId="0" applyFont="1" applyFill="1" applyBorder="1"/>
    <xf numFmtId="0" fontId="17" fillId="15" borderId="16" xfId="0" applyFont="1" applyFill="1" applyBorder="1"/>
    <xf numFmtId="0" fontId="13" fillId="19" borderId="25" xfId="0" applyFont="1" applyFill="1" applyBorder="1" applyAlignment="1">
      <alignment horizontal="left"/>
    </xf>
    <xf numFmtId="0" fontId="17" fillId="19" borderId="2" xfId="0" applyFont="1" applyFill="1" applyBorder="1"/>
    <xf numFmtId="0" fontId="17" fillId="19" borderId="7" xfId="0" applyFont="1" applyFill="1" applyBorder="1"/>
    <xf numFmtId="0" fontId="13" fillId="15" borderId="25" xfId="0" applyFont="1" applyFill="1" applyBorder="1"/>
    <xf numFmtId="0" fontId="17" fillId="15" borderId="0" xfId="0" applyFont="1" applyFill="1"/>
    <xf numFmtId="0" fontId="18" fillId="15" borderId="2" xfId="0" applyFont="1" applyFill="1" applyBorder="1" applyAlignment="1">
      <alignment horizontal="center"/>
    </xf>
    <xf numFmtId="0" fontId="18" fillId="7" borderId="2" xfId="0" applyFont="1" applyFill="1" applyBorder="1" applyAlignment="1">
      <alignment horizontal="center"/>
    </xf>
    <xf numFmtId="0" fontId="18" fillId="15" borderId="7" xfId="0" applyFont="1" applyFill="1" applyBorder="1" applyAlignment="1">
      <alignment horizontal="center"/>
    </xf>
    <xf numFmtId="0" fontId="18" fillId="15" borderId="32" xfId="0" applyFont="1" applyFill="1" applyBorder="1" applyAlignment="1">
      <alignment horizontal="center"/>
    </xf>
    <xf numFmtId="0" fontId="18" fillId="7" borderId="7" xfId="0" applyFont="1" applyFill="1" applyBorder="1" applyAlignment="1">
      <alignment horizontal="center"/>
    </xf>
    <xf numFmtId="0" fontId="18" fillId="15" borderId="25" xfId="0" applyFont="1" applyFill="1" applyBorder="1" applyAlignment="1">
      <alignment horizontal="center"/>
    </xf>
    <xf numFmtId="0" fontId="18" fillId="15" borderId="28" xfId="0" applyFont="1" applyFill="1" applyBorder="1" applyAlignment="1">
      <alignment horizontal="center"/>
    </xf>
    <xf numFmtId="0" fontId="18" fillId="15" borderId="1" xfId="0" applyFont="1" applyFill="1" applyBorder="1" applyAlignment="1">
      <alignment horizontal="left"/>
    </xf>
    <xf numFmtId="0" fontId="18" fillId="15" borderId="1" xfId="0" applyFont="1" applyFill="1" applyBorder="1" applyAlignment="1">
      <alignment horizontal="center"/>
    </xf>
    <xf numFmtId="0" fontId="18" fillId="15" borderId="0" xfId="0" applyFont="1" applyFill="1" applyAlignment="1">
      <alignment horizontal="center"/>
    </xf>
    <xf numFmtId="0" fontId="12" fillId="12" borderId="2" xfId="0" applyFont="1" applyFill="1" applyBorder="1" applyAlignment="1">
      <alignment horizontal="center"/>
    </xf>
    <xf numFmtId="0" fontId="12" fillId="12" borderId="7" xfId="0" applyFont="1" applyFill="1" applyBorder="1" applyAlignment="1">
      <alignment horizontal="center"/>
    </xf>
    <xf numFmtId="0" fontId="12" fillId="12" borderId="32" xfId="0" applyFont="1" applyFill="1" applyBorder="1" applyAlignment="1">
      <alignment horizontal="center"/>
    </xf>
    <xf numFmtId="0" fontId="12" fillId="12" borderId="25" xfId="0" applyFont="1" applyFill="1" applyBorder="1" applyAlignment="1">
      <alignment horizontal="center"/>
    </xf>
    <xf numFmtId="0" fontId="12" fillId="12" borderId="28" xfId="0" applyFont="1" applyFill="1" applyBorder="1" applyAlignment="1">
      <alignment horizontal="center"/>
    </xf>
    <xf numFmtId="0" fontId="12" fillId="8" borderId="2" xfId="0" applyFont="1" applyFill="1" applyBorder="1" applyAlignment="1">
      <alignment horizontal="center"/>
    </xf>
    <xf numFmtId="0" fontId="12" fillId="12" borderId="0" xfId="0" applyFont="1" applyFill="1" applyAlignment="1">
      <alignment horizontal="center"/>
    </xf>
    <xf numFmtId="0" fontId="19" fillId="0" borderId="2" xfId="0" applyFont="1" applyBorder="1"/>
    <xf numFmtId="0" fontId="21" fillId="7" borderId="2" xfId="0" applyFont="1" applyFill="1" applyBorder="1"/>
    <xf numFmtId="0" fontId="23" fillId="7" borderId="2" xfId="0" applyFont="1" applyFill="1" applyBorder="1"/>
    <xf numFmtId="0" fontId="24" fillId="7" borderId="2" xfId="0" applyFont="1" applyFill="1" applyBorder="1"/>
    <xf numFmtId="0" fontId="28" fillId="0" borderId="2" xfId="0" applyFont="1" applyBorder="1"/>
    <xf numFmtId="0" fontId="28" fillId="0" borderId="7" xfId="0" applyFont="1" applyBorder="1"/>
    <xf numFmtId="0" fontId="28" fillId="0" borderId="32" xfId="0" applyFont="1" applyBorder="1"/>
    <xf numFmtId="0" fontId="12" fillId="7" borderId="2" xfId="0" applyFont="1" applyFill="1" applyBorder="1"/>
    <xf numFmtId="0" fontId="12" fillId="7" borderId="7" xfId="0" applyFont="1" applyFill="1" applyBorder="1"/>
    <xf numFmtId="0" fontId="31" fillId="0" borderId="2" xfId="0" applyFont="1" applyBorder="1"/>
    <xf numFmtId="0" fontId="12" fillId="20" borderId="25" xfId="0" applyFont="1" applyFill="1" applyBorder="1"/>
    <xf numFmtId="0" fontId="12" fillId="20" borderId="2" xfId="0" applyFont="1" applyFill="1" applyBorder="1"/>
    <xf numFmtId="0" fontId="12" fillId="20" borderId="28" xfId="0" applyFont="1" applyFill="1" applyBorder="1"/>
    <xf numFmtId="0" fontId="12" fillId="4" borderId="25" xfId="0" applyFont="1" applyFill="1" applyBorder="1"/>
    <xf numFmtId="0" fontId="12" fillId="4" borderId="2" xfId="0" applyFont="1" applyFill="1" applyBorder="1"/>
    <xf numFmtId="0" fontId="12" fillId="21" borderId="25" xfId="0" applyFont="1" applyFill="1" applyBorder="1"/>
    <xf numFmtId="0" fontId="12" fillId="21" borderId="2" xfId="0" applyFont="1" applyFill="1" applyBorder="1"/>
    <xf numFmtId="0" fontId="12" fillId="17" borderId="2" xfId="0" applyFont="1" applyFill="1" applyBorder="1"/>
    <xf numFmtId="0" fontId="12" fillId="8" borderId="2" xfId="0" applyFont="1" applyFill="1" applyBorder="1"/>
    <xf numFmtId="0" fontId="12" fillId="0" borderId="0" xfId="0" applyFont="1"/>
    <xf numFmtId="0" fontId="26" fillId="7" borderId="2" xfId="0" applyFont="1" applyFill="1" applyBorder="1"/>
    <xf numFmtId="0" fontId="29" fillId="0" borderId="7" xfId="0" applyFont="1" applyBorder="1"/>
    <xf numFmtId="0" fontId="20" fillId="0" borderId="2" xfId="0" applyFont="1" applyBorder="1"/>
    <xf numFmtId="0" fontId="32" fillId="0" borderId="2" xfId="0" applyFont="1" applyBorder="1"/>
    <xf numFmtId="0" fontId="25" fillId="7" borderId="2" xfId="0" applyFont="1" applyFill="1" applyBorder="1"/>
    <xf numFmtId="0" fontId="29" fillId="0" borderId="32" xfId="0" applyFont="1" applyBorder="1"/>
    <xf numFmtId="0" fontId="29" fillId="0" borderId="2" xfId="0" applyFont="1" applyBorder="1"/>
    <xf numFmtId="0" fontId="22" fillId="7" borderId="2" xfId="0" applyFont="1" applyFill="1" applyBorder="1"/>
    <xf numFmtId="0" fontId="12" fillId="7" borderId="2" xfId="0" applyFont="1" applyFill="1" applyBorder="1" applyAlignment="1">
      <alignment horizontal="center"/>
    </xf>
    <xf numFmtId="0" fontId="20" fillId="7" borderId="2" xfId="0" applyFont="1" applyFill="1" applyBorder="1"/>
    <xf numFmtId="0" fontId="19" fillId="7" borderId="2" xfId="0" applyFont="1" applyFill="1" applyBorder="1"/>
    <xf numFmtId="0" fontId="29" fillId="7" borderId="2" xfId="0" applyFont="1" applyFill="1" applyBorder="1"/>
    <xf numFmtId="0" fontId="28" fillId="7" borderId="7" xfId="0" applyFont="1" applyFill="1" applyBorder="1"/>
    <xf numFmtId="0" fontId="28" fillId="7" borderId="32" xfId="0" applyFont="1" applyFill="1" applyBorder="1"/>
    <xf numFmtId="0" fontId="12" fillId="7" borderId="7" xfId="0" applyFont="1" applyFill="1" applyBorder="1" applyAlignment="1">
      <alignment horizontal="center"/>
    </xf>
    <xf numFmtId="0" fontId="12" fillId="7" borderId="0" xfId="0" applyFont="1" applyFill="1"/>
    <xf numFmtId="0" fontId="28" fillId="7" borderId="33" xfId="0" applyFont="1" applyFill="1" applyBorder="1"/>
    <xf numFmtId="0" fontId="30" fillId="0" borderId="2" xfId="0" applyFont="1" applyBorder="1"/>
    <xf numFmtId="0" fontId="12" fillId="0" borderId="8" xfId="0" applyFont="1" applyBorder="1"/>
    <xf numFmtId="0" fontId="12" fillId="4" borderId="34" xfId="0" applyFont="1" applyFill="1" applyBorder="1"/>
    <xf numFmtId="0" fontId="28" fillId="7" borderId="2" xfId="0" applyFont="1" applyFill="1" applyBorder="1"/>
    <xf numFmtId="0" fontId="12" fillId="20" borderId="35" xfId="0" applyFont="1" applyFill="1" applyBorder="1"/>
    <xf numFmtId="0" fontId="12" fillId="20" borderId="4" xfId="0" applyFont="1" applyFill="1" applyBorder="1"/>
    <xf numFmtId="0" fontId="12" fillId="20" borderId="5" xfId="0" applyFont="1" applyFill="1" applyBorder="1"/>
    <xf numFmtId="0" fontId="12" fillId="0" borderId="27" xfId="0" applyFont="1" applyBorder="1"/>
    <xf numFmtId="0" fontId="12" fillId="0" borderId="34" xfId="0" applyFont="1" applyBorder="1"/>
    <xf numFmtId="0" fontId="12" fillId="4" borderId="7" xfId="0" applyFont="1" applyFill="1" applyBorder="1" applyAlignment="1">
      <alignment horizontal="center"/>
    </xf>
    <xf numFmtId="0" fontId="12" fillId="0" borderId="34" xfId="0" applyFont="1" applyBorder="1" applyAlignment="1">
      <alignment horizontal="center"/>
    </xf>
    <xf numFmtId="0" fontId="0" fillId="22" borderId="0" xfId="0" applyFill="1"/>
    <xf numFmtId="0" fontId="0" fillId="23" borderId="0" xfId="0" applyFill="1" applyBorder="1"/>
    <xf numFmtId="0" fontId="0" fillId="23" borderId="0" xfId="0" applyFill="1"/>
    <xf numFmtId="0" fontId="0" fillId="5" borderId="14" xfId="0" applyFill="1" applyBorder="1"/>
    <xf numFmtId="0" fontId="0" fillId="5" borderId="15" xfId="0" applyFill="1" applyBorder="1"/>
    <xf numFmtId="0" fontId="0" fillId="5" borderId="4" xfId="0" applyFill="1" applyBorder="1"/>
    <xf numFmtId="0" fontId="0" fillId="0" borderId="31" xfId="0" applyBorder="1" applyAlignment="1">
      <alignment horizontal="left"/>
    </xf>
    <xf numFmtId="0" fontId="0" fillId="0" borderId="32" xfId="0" applyBorder="1" applyAlignment="1">
      <alignment horizontal="left"/>
    </xf>
    <xf numFmtId="0" fontId="0" fillId="0" borderId="33" xfId="0" applyBorder="1" applyAlignment="1">
      <alignment horizontal="left"/>
    </xf>
    <xf numFmtId="0" fontId="38" fillId="8" borderId="0" xfId="0" applyFont="1" applyFill="1" applyAlignment="1">
      <alignment horizontal="center" vertical="center"/>
    </xf>
    <xf numFmtId="0" fontId="0" fillId="0" borderId="48" xfId="0" applyBorder="1"/>
    <xf numFmtId="0" fontId="0" fillId="0" borderId="50" xfId="0" applyBorder="1"/>
    <xf numFmtId="0" fontId="0" fillId="0" borderId="49" xfId="0" applyBorder="1"/>
    <xf numFmtId="0" fontId="37" fillId="0" borderId="0" xfId="0" applyFont="1"/>
    <xf numFmtId="0" fontId="43" fillId="7" borderId="0" xfId="1" applyFont="1" applyFill="1"/>
    <xf numFmtId="0" fontId="4" fillId="0" borderId="2" xfId="0" applyFont="1" applyBorder="1"/>
    <xf numFmtId="0" fontId="1" fillId="7" borderId="2" xfId="1" applyFill="1" applyBorder="1"/>
    <xf numFmtId="0" fontId="0" fillId="0" borderId="0" xfId="0" applyAlignment="1">
      <alignment horizontal="center"/>
    </xf>
    <xf numFmtId="0" fontId="0" fillId="0" borderId="0" xfId="0" applyBorder="1"/>
    <xf numFmtId="0" fontId="0" fillId="0" borderId="2" xfId="0" applyFill="1" applyBorder="1"/>
    <xf numFmtId="0" fontId="0" fillId="17" borderId="0" xfId="0" applyFill="1"/>
    <xf numFmtId="0" fontId="0" fillId="0" borderId="0" xfId="0" applyAlignment="1">
      <alignment horizontal="left"/>
    </xf>
    <xf numFmtId="0" fontId="37" fillId="0" borderId="0" xfId="0" applyFont="1" applyFill="1"/>
    <xf numFmtId="0" fontId="36" fillId="0" borderId="0" xfId="0" applyFont="1" applyFill="1" applyBorder="1" applyAlignment="1">
      <alignment horizontal="center" vertical="center"/>
    </xf>
    <xf numFmtId="0" fontId="37" fillId="0" borderId="2" xfId="0" applyFont="1" applyFill="1" applyBorder="1"/>
    <xf numFmtId="0" fontId="7" fillId="0" borderId="9" xfId="0" applyFont="1" applyFill="1" applyBorder="1" applyAlignment="1">
      <alignment horizontal="left" vertical="center" wrapText="1"/>
    </xf>
    <xf numFmtId="0" fontId="7" fillId="0" borderId="42" xfId="0" applyFont="1" applyFill="1" applyBorder="1" applyAlignment="1">
      <alignment horizontal="left" vertical="center" wrapText="1"/>
    </xf>
    <xf numFmtId="0" fontId="7" fillId="0" borderId="43" xfId="0" applyFont="1" applyFill="1" applyBorder="1" applyAlignment="1">
      <alignment horizontal="left" vertical="center" wrapText="1"/>
    </xf>
    <xf numFmtId="0" fontId="36" fillId="17" borderId="0" xfId="0" applyFont="1" applyFill="1" applyBorder="1" applyAlignment="1">
      <alignment horizontal="center" vertical="center"/>
    </xf>
    <xf numFmtId="0" fontId="0" fillId="0" borderId="18" xfId="0" applyBorder="1"/>
    <xf numFmtId="0" fontId="0" fillId="0" borderId="19" xfId="0" applyBorder="1"/>
    <xf numFmtId="0" fontId="0" fillId="0" borderId="20" xfId="0" applyBorder="1"/>
    <xf numFmtId="0" fontId="0" fillId="0" borderId="52" xfId="0" applyBorder="1"/>
    <xf numFmtId="0" fontId="0" fillId="0" borderId="53" xfId="0" applyBorder="1"/>
    <xf numFmtId="0" fontId="0" fillId="0" borderId="21" xfId="0" applyBorder="1"/>
    <xf numFmtId="0" fontId="0" fillId="0" borderId="22" xfId="0" applyBorder="1"/>
    <xf numFmtId="0" fontId="0" fillId="0" borderId="23" xfId="0" applyBorder="1"/>
    <xf numFmtId="0" fontId="0" fillId="8" borderId="0" xfId="0" applyFill="1"/>
    <xf numFmtId="0" fontId="0" fillId="0" borderId="14" xfId="0" applyBorder="1"/>
    <xf numFmtId="0" fontId="0" fillId="4" borderId="16" xfId="0" applyFill="1" applyBorder="1"/>
    <xf numFmtId="0" fontId="0" fillId="0" borderId="1" xfId="0" applyBorder="1"/>
    <xf numFmtId="0" fontId="0" fillId="4" borderId="28" xfId="0" applyFill="1" applyBorder="1"/>
    <xf numFmtId="0" fontId="0" fillId="0" borderId="3" xfId="0" applyBorder="1"/>
    <xf numFmtId="0" fontId="0" fillId="4" borderId="5" xfId="0" applyFill="1" applyBorder="1"/>
    <xf numFmtId="0" fontId="47" fillId="29" borderId="21" xfId="0" applyFont="1" applyFill="1" applyBorder="1"/>
    <xf numFmtId="0" fontId="0" fillId="30" borderId="23" xfId="0" applyFill="1" applyBorder="1"/>
    <xf numFmtId="0" fontId="37" fillId="0" borderId="0" xfId="0" applyFont="1" applyFill="1" applyBorder="1"/>
    <xf numFmtId="0" fontId="48" fillId="0" borderId="0" xfId="0" applyFont="1"/>
    <xf numFmtId="0" fontId="0" fillId="0" borderId="25" xfId="0" applyBorder="1"/>
    <xf numFmtId="0" fontId="49" fillId="0" borderId="0" xfId="0" applyFont="1" applyFill="1"/>
    <xf numFmtId="0" fontId="0" fillId="0" borderId="0" xfId="0" applyAlignment="1"/>
    <xf numFmtId="0" fontId="0" fillId="0" borderId="37" xfId="0" applyBorder="1" applyAlignment="1"/>
    <xf numFmtId="0" fontId="0" fillId="0" borderId="38" xfId="0" applyBorder="1" applyAlignment="1"/>
    <xf numFmtId="3" fontId="3" fillId="0" borderId="45" xfId="0" applyNumberFormat="1" applyFont="1" applyFill="1" applyBorder="1" applyAlignment="1"/>
    <xf numFmtId="3" fontId="3" fillId="0" borderId="46" xfId="0" applyNumberFormat="1" applyFont="1" applyFill="1" applyBorder="1" applyAlignment="1"/>
    <xf numFmtId="0" fontId="0" fillId="10" borderId="0" xfId="0" applyFill="1"/>
    <xf numFmtId="0" fontId="0" fillId="0" borderId="60" xfId="0" applyBorder="1" applyAlignment="1"/>
    <xf numFmtId="3" fontId="3" fillId="0" borderId="47" xfId="0" applyNumberFormat="1" applyFont="1" applyFill="1" applyBorder="1" applyAlignment="1"/>
    <xf numFmtId="0" fontId="4" fillId="0" borderId="0" xfId="0" applyFont="1" applyAlignment="1"/>
    <xf numFmtId="0" fontId="48" fillId="7" borderId="27" xfId="0" applyFont="1" applyFill="1" applyBorder="1" applyAlignment="1"/>
    <xf numFmtId="0" fontId="48" fillId="7" borderId="40" xfId="0" applyFont="1" applyFill="1" applyBorder="1" applyAlignment="1">
      <alignment horizontal="center"/>
    </xf>
    <xf numFmtId="0" fontId="48" fillId="7" borderId="34" xfId="0" applyFont="1" applyFill="1" applyBorder="1" applyAlignment="1">
      <alignment horizontal="center"/>
    </xf>
    <xf numFmtId="0" fontId="48" fillId="7" borderId="39" xfId="0" applyFont="1" applyFill="1" applyBorder="1" applyAlignment="1"/>
    <xf numFmtId="0" fontId="48" fillId="7" borderId="40" xfId="0" applyFont="1" applyFill="1" applyBorder="1" applyAlignment="1"/>
    <xf numFmtId="0" fontId="48" fillId="7" borderId="1" xfId="0" applyFont="1" applyFill="1" applyBorder="1" applyAlignment="1"/>
    <xf numFmtId="0" fontId="48" fillId="7" borderId="28" xfId="0" applyFont="1" applyFill="1" applyBorder="1" applyAlignment="1"/>
    <xf numFmtId="0" fontId="48" fillId="7" borderId="60" xfId="0" applyFont="1" applyFill="1" applyBorder="1" applyAlignment="1"/>
    <xf numFmtId="0" fontId="48" fillId="7" borderId="34" xfId="0" applyFont="1" applyFill="1" applyBorder="1" applyAlignment="1"/>
    <xf numFmtId="0" fontId="48" fillId="7" borderId="25" xfId="0" applyFont="1" applyFill="1" applyBorder="1" applyAlignment="1"/>
    <xf numFmtId="0" fontId="48" fillId="7" borderId="2" xfId="0" applyFont="1" applyFill="1" applyBorder="1" applyAlignment="1"/>
    <xf numFmtId="0" fontId="48" fillId="7" borderId="28" xfId="0" applyFont="1" applyFill="1" applyBorder="1" applyAlignment="1">
      <alignment horizontal="center"/>
    </xf>
    <xf numFmtId="0" fontId="0" fillId="9" borderId="39" xfId="0" applyFill="1" applyBorder="1" applyAlignment="1"/>
    <xf numFmtId="0" fontId="0" fillId="9" borderId="34" xfId="0" applyFill="1" applyBorder="1" applyAlignment="1"/>
    <xf numFmtId="0" fontId="0" fillId="9" borderId="34" xfId="0" applyFill="1" applyBorder="1" applyAlignment="1">
      <alignment horizontal="center"/>
    </xf>
    <xf numFmtId="0" fontId="0" fillId="9" borderId="40" xfId="0" applyFill="1" applyBorder="1" applyAlignment="1">
      <alignment horizontal="center"/>
    </xf>
    <xf numFmtId="0" fontId="0" fillId="9" borderId="39" xfId="0" applyFill="1" applyBorder="1" applyAlignment="1">
      <alignment horizontal="center"/>
    </xf>
    <xf numFmtId="0" fontId="0" fillId="9" borderId="27" xfId="0" applyFill="1" applyBorder="1" applyAlignment="1"/>
    <xf numFmtId="0" fontId="4" fillId="9" borderId="60" xfId="0" applyFont="1" applyFill="1" applyBorder="1" applyAlignment="1"/>
    <xf numFmtId="0" fontId="0" fillId="9" borderId="28" xfId="0" applyFill="1" applyBorder="1" applyAlignment="1">
      <alignment horizontal="center"/>
    </xf>
    <xf numFmtId="0" fontId="0" fillId="9" borderId="25" xfId="0" applyFill="1" applyBorder="1" applyAlignment="1"/>
    <xf numFmtId="0" fontId="0" fillId="9" borderId="2" xfId="0" applyFill="1" applyBorder="1" applyAlignment="1"/>
    <xf numFmtId="0" fontId="0" fillId="9" borderId="2" xfId="0" applyFill="1" applyBorder="1" applyAlignment="1">
      <alignment horizontal="center"/>
    </xf>
    <xf numFmtId="0" fontId="4" fillId="9" borderId="37" xfId="0" applyFont="1" applyFill="1" applyBorder="1" applyAlignment="1"/>
    <xf numFmtId="0" fontId="0" fillId="9" borderId="1" xfId="0" applyFill="1" applyBorder="1" applyAlignment="1">
      <alignment horizontal="center"/>
    </xf>
    <xf numFmtId="0" fontId="0" fillId="9" borderId="1" xfId="0" applyFill="1" applyBorder="1" applyAlignment="1"/>
    <xf numFmtId="0" fontId="0" fillId="9" borderId="2" xfId="0" quotePrefix="1" applyFill="1" applyBorder="1" applyAlignment="1">
      <alignment horizontal="center"/>
    </xf>
    <xf numFmtId="0" fontId="0" fillId="9" borderId="37" xfId="0" applyFill="1" applyBorder="1" applyAlignment="1"/>
    <xf numFmtId="0" fontId="0" fillId="9" borderId="28" xfId="0" applyFill="1" applyBorder="1" applyAlignment="1"/>
    <xf numFmtId="0" fontId="0" fillId="9" borderId="28" xfId="0" quotePrefix="1" applyFill="1" applyBorder="1" applyAlignment="1">
      <alignment horizontal="center"/>
    </xf>
    <xf numFmtId="0" fontId="0" fillId="9" borderId="35" xfId="0" applyFill="1" applyBorder="1" applyAlignment="1"/>
    <xf numFmtId="0" fontId="0" fillId="9" borderId="4" xfId="0" applyFill="1" applyBorder="1" applyAlignment="1"/>
    <xf numFmtId="0" fontId="0" fillId="9" borderId="5" xfId="0" applyFill="1" applyBorder="1" applyAlignment="1"/>
    <xf numFmtId="0" fontId="0" fillId="9" borderId="3" xfId="0" applyFill="1" applyBorder="1" applyAlignment="1"/>
    <xf numFmtId="0" fontId="0" fillId="9" borderId="4" xfId="0" applyFill="1" applyBorder="1" applyAlignment="1">
      <alignment horizontal="center"/>
    </xf>
    <xf numFmtId="0" fontId="0" fillId="9" borderId="5" xfId="0" applyFill="1" applyBorder="1" applyAlignment="1">
      <alignment horizontal="center"/>
    </xf>
    <xf numFmtId="0" fontId="0" fillId="9" borderId="3" xfId="0" applyFill="1" applyBorder="1" applyAlignment="1">
      <alignment horizontal="center"/>
    </xf>
    <xf numFmtId="0" fontId="0" fillId="9" borderId="38" xfId="0" applyFill="1" applyBorder="1" applyAlignment="1"/>
    <xf numFmtId="0" fontId="4" fillId="9" borderId="38" xfId="0" applyFont="1" applyFill="1" applyBorder="1" applyAlignment="1"/>
    <xf numFmtId="0" fontId="0" fillId="9" borderId="5" xfId="0" quotePrefix="1" applyFill="1" applyBorder="1" applyAlignment="1">
      <alignment horizontal="center"/>
    </xf>
    <xf numFmtId="0" fontId="37" fillId="27" borderId="2" xfId="0" applyFont="1" applyFill="1" applyBorder="1"/>
    <xf numFmtId="0" fontId="37" fillId="5" borderId="2" xfId="0" applyFont="1" applyFill="1" applyBorder="1"/>
    <xf numFmtId="0" fontId="37" fillId="26" borderId="2" xfId="0" applyFont="1" applyFill="1" applyBorder="1"/>
    <xf numFmtId="0" fontId="37" fillId="30" borderId="0" xfId="0" applyFont="1" applyFill="1"/>
    <xf numFmtId="0" fontId="37" fillId="10" borderId="0" xfId="0" applyFont="1" applyFill="1"/>
    <xf numFmtId="0" fontId="37" fillId="10" borderId="2" xfId="0" applyFont="1" applyFill="1" applyBorder="1"/>
    <xf numFmtId="0" fontId="0" fillId="0" borderId="0" xfId="0" applyAlignment="1">
      <alignment horizontal="center" vertical="center"/>
    </xf>
    <xf numFmtId="0" fontId="2" fillId="0" borderId="50" xfId="0" applyFont="1" applyFill="1" applyBorder="1" applyAlignment="1">
      <alignment horizontal="center"/>
    </xf>
    <xf numFmtId="0" fontId="2" fillId="0" borderId="53" xfId="0" applyFont="1" applyFill="1" applyBorder="1" applyAlignment="1">
      <alignment horizontal="center"/>
    </xf>
    <xf numFmtId="0" fontId="0" fillId="0" borderId="58" xfId="0" applyBorder="1" applyAlignment="1"/>
    <xf numFmtId="0" fontId="0" fillId="0" borderId="24" xfId="0" applyBorder="1" applyAlignment="1"/>
    <xf numFmtId="0" fontId="0" fillId="0" borderId="62" xfId="0" applyBorder="1" applyAlignment="1"/>
    <xf numFmtId="0" fontId="0" fillId="18" borderId="0" xfId="0" applyFill="1" applyAlignment="1"/>
    <xf numFmtId="0" fontId="0" fillId="30" borderId="0" xfId="0" applyFill="1"/>
    <xf numFmtId="0" fontId="37" fillId="4" borderId="0" xfId="0" applyFont="1" applyFill="1"/>
    <xf numFmtId="0" fontId="4" fillId="10" borderId="0" xfId="0" applyFont="1" applyFill="1" applyAlignment="1">
      <alignment horizontal="center" vertical="center"/>
    </xf>
    <xf numFmtId="0" fontId="53" fillId="4" borderId="2" xfId="0" applyFont="1" applyFill="1" applyBorder="1"/>
    <xf numFmtId="0" fontId="0" fillId="0" borderId="7" xfId="0" applyBorder="1"/>
    <xf numFmtId="0" fontId="37" fillId="2" borderId="0" xfId="0" applyFont="1" applyFill="1"/>
    <xf numFmtId="0" fontId="37" fillId="34" borderId="0" xfId="0" applyFont="1" applyFill="1"/>
    <xf numFmtId="0" fontId="0" fillId="0" borderId="2" xfId="0" applyBorder="1" applyAlignment="1">
      <alignment horizontal="left"/>
    </xf>
    <xf numFmtId="0" fontId="0" fillId="10" borderId="2" xfId="0" applyFill="1" applyBorder="1"/>
    <xf numFmtId="0" fontId="0" fillId="10" borderId="0" xfId="0" applyFill="1" applyBorder="1"/>
    <xf numFmtId="0" fontId="0" fillId="0" borderId="25" xfId="0" applyBorder="1" applyAlignment="1">
      <alignment horizontal="center" vertical="center"/>
    </xf>
    <xf numFmtId="0" fontId="0" fillId="25" borderId="48" xfId="0" applyFill="1" applyBorder="1"/>
    <xf numFmtId="0" fontId="0" fillId="25" borderId="50" xfId="0" applyFill="1" applyBorder="1"/>
    <xf numFmtId="0" fontId="0" fillId="25" borderId="49" xfId="0" applyFill="1" applyBorder="1"/>
    <xf numFmtId="0" fontId="53" fillId="25" borderId="37" xfId="0" applyFont="1" applyFill="1" applyBorder="1"/>
    <xf numFmtId="0" fontId="53" fillId="25" borderId="38" xfId="0" applyFont="1" applyFill="1" applyBorder="1"/>
    <xf numFmtId="0" fontId="37" fillId="25" borderId="0" xfId="0" applyFont="1" applyFill="1"/>
    <xf numFmtId="0" fontId="55" fillId="0" borderId="0" xfId="5"/>
    <xf numFmtId="0" fontId="38" fillId="8" borderId="2" xfId="0" applyFont="1" applyFill="1" applyBorder="1" applyAlignment="1">
      <alignment horizontal="center" vertical="center"/>
    </xf>
    <xf numFmtId="0" fontId="4" fillId="10" borderId="2" xfId="0" applyFont="1" applyFill="1" applyBorder="1" applyAlignment="1">
      <alignment horizontal="center" vertical="center"/>
    </xf>
    <xf numFmtId="0" fontId="3" fillId="0" borderId="2" xfId="0" applyFont="1" applyBorder="1" applyAlignment="1"/>
    <xf numFmtId="0" fontId="3" fillId="0" borderId="2" xfId="0" applyNumberFormat="1" applyFont="1" applyBorder="1" applyAlignment="1"/>
    <xf numFmtId="1" fontId="3" fillId="0" borderId="2" xfId="0" applyNumberFormat="1" applyFont="1" applyBorder="1" applyAlignment="1"/>
    <xf numFmtId="49" fontId="3" fillId="0" borderId="2" xfId="0" applyNumberFormat="1" applyFont="1" applyBorder="1" applyAlignment="1"/>
    <xf numFmtId="0" fontId="0" fillId="0" borderId="2" xfId="0" applyNumberFormat="1" applyBorder="1" applyAlignment="1"/>
    <xf numFmtId="0" fontId="0" fillId="0" borderId="2" xfId="0" applyBorder="1" applyAlignment="1"/>
    <xf numFmtId="49" fontId="0" fillId="0" borderId="2" xfId="0" applyNumberFormat="1" applyBorder="1" applyAlignment="1"/>
    <xf numFmtId="1" fontId="0" fillId="0" borderId="2" xfId="0" applyNumberFormat="1" applyBorder="1" applyAlignment="1"/>
    <xf numFmtId="0" fontId="38" fillId="8" borderId="30" xfId="0" applyFont="1" applyFill="1" applyBorder="1" applyAlignment="1">
      <alignment horizontal="center" vertical="center"/>
    </xf>
    <xf numFmtId="0" fontId="0" fillId="0" borderId="61" xfId="0" applyBorder="1" applyAlignment="1"/>
    <xf numFmtId="0" fontId="48" fillId="7" borderId="9" xfId="0" applyFont="1" applyFill="1" applyBorder="1" applyAlignment="1"/>
    <xf numFmtId="0" fontId="0" fillId="9" borderId="42" xfId="0" applyFill="1" applyBorder="1" applyAlignment="1"/>
    <xf numFmtId="0" fontId="0" fillId="9" borderId="43" xfId="0" applyFill="1" applyBorder="1" applyAlignment="1"/>
    <xf numFmtId="0" fontId="0" fillId="36" borderId="19" xfId="0" applyFill="1" applyBorder="1"/>
    <xf numFmtId="0" fontId="0" fillId="36" borderId="20" xfId="0" applyFill="1" applyBorder="1"/>
    <xf numFmtId="0" fontId="0" fillId="36" borderId="0" xfId="0" applyFill="1" applyBorder="1"/>
    <xf numFmtId="0" fontId="0" fillId="36" borderId="53" xfId="0" applyFill="1" applyBorder="1"/>
    <xf numFmtId="0" fontId="0" fillId="36" borderId="23" xfId="0" applyFill="1" applyBorder="1"/>
    <xf numFmtId="0" fontId="0" fillId="30" borderId="19" xfId="0" applyFill="1" applyBorder="1"/>
    <xf numFmtId="0" fontId="0" fillId="30" borderId="20" xfId="0" applyFill="1" applyBorder="1"/>
    <xf numFmtId="0" fontId="0" fillId="30" borderId="0" xfId="0" applyFill="1" applyBorder="1"/>
    <xf numFmtId="0" fontId="0" fillId="30" borderId="53" xfId="0" applyFill="1" applyBorder="1"/>
    <xf numFmtId="0" fontId="0" fillId="30" borderId="22" xfId="0" applyFill="1" applyBorder="1"/>
    <xf numFmtId="0" fontId="37" fillId="28" borderId="18" xfId="0" applyFont="1" applyFill="1" applyBorder="1"/>
    <xf numFmtId="0" fontId="37" fillId="28" borderId="19" xfId="0" applyFont="1" applyFill="1" applyBorder="1"/>
    <xf numFmtId="0" fontId="0" fillId="28" borderId="19" xfId="0" applyFill="1" applyBorder="1"/>
    <xf numFmtId="0" fontId="37" fillId="28" borderId="52" xfId="0" applyFont="1" applyFill="1" applyBorder="1"/>
    <xf numFmtId="0" fontId="37" fillId="28" borderId="0" xfId="0" applyFont="1" applyFill="1" applyBorder="1"/>
    <xf numFmtId="0" fontId="0" fillId="28" borderId="0" xfId="0" applyFill="1" applyBorder="1"/>
    <xf numFmtId="0" fontId="0" fillId="28" borderId="53" xfId="0" applyFill="1" applyBorder="1"/>
    <xf numFmtId="0" fontId="37" fillId="28" borderId="21" xfId="0" applyFont="1" applyFill="1" applyBorder="1"/>
    <xf numFmtId="0" fontId="37" fillId="28" borderId="22" xfId="0" applyFont="1" applyFill="1" applyBorder="1"/>
    <xf numFmtId="0" fontId="0" fillId="28" borderId="22" xfId="0" applyFill="1" applyBorder="1"/>
    <xf numFmtId="0" fontId="0" fillId="28" borderId="23" xfId="0" applyFill="1" applyBorder="1"/>
    <xf numFmtId="0" fontId="0" fillId="26" borderId="0" xfId="0" applyFill="1"/>
    <xf numFmtId="0" fontId="0" fillId="13" borderId="18" xfId="0" applyFill="1" applyBorder="1"/>
    <xf numFmtId="0" fontId="0" fillId="13" borderId="19" xfId="0" applyFill="1" applyBorder="1"/>
    <xf numFmtId="0" fontId="0" fillId="13" borderId="20" xfId="0" applyFill="1" applyBorder="1"/>
    <xf numFmtId="0" fontId="0" fillId="13" borderId="52" xfId="0" applyFill="1" applyBorder="1"/>
    <xf numFmtId="0" fontId="0" fillId="13" borderId="0" xfId="0" applyFill="1" applyBorder="1"/>
    <xf numFmtId="0" fontId="0" fillId="13" borderId="53" xfId="0" applyFill="1" applyBorder="1"/>
    <xf numFmtId="0" fontId="0" fillId="13" borderId="21" xfId="0" applyFill="1" applyBorder="1"/>
    <xf numFmtId="0" fontId="0" fillId="13" borderId="22" xfId="0" applyFill="1" applyBorder="1"/>
    <xf numFmtId="0" fontId="0" fillId="13" borderId="23" xfId="0" applyFill="1" applyBorder="1"/>
    <xf numFmtId="0" fontId="0" fillId="36" borderId="18" xfId="0" applyFill="1" applyBorder="1"/>
    <xf numFmtId="0" fontId="0" fillId="36" borderId="52" xfId="0" applyFill="1" applyBorder="1"/>
    <xf numFmtId="0" fontId="0" fillId="36" borderId="21" xfId="0" applyFill="1" applyBorder="1"/>
    <xf numFmtId="0" fontId="0" fillId="19" borderId="19" xfId="0" applyFill="1" applyBorder="1"/>
    <xf numFmtId="0" fontId="0" fillId="19" borderId="20" xfId="0" applyFill="1" applyBorder="1"/>
    <xf numFmtId="0" fontId="0" fillId="19" borderId="52" xfId="0" applyFill="1" applyBorder="1"/>
    <xf numFmtId="0" fontId="0" fillId="19" borderId="0" xfId="0" applyFill="1" applyBorder="1"/>
    <xf numFmtId="0" fontId="0" fillId="19" borderId="53" xfId="0" applyFill="1" applyBorder="1"/>
    <xf numFmtId="0" fontId="0" fillId="19" borderId="21" xfId="0" applyFill="1" applyBorder="1"/>
    <xf numFmtId="0" fontId="0" fillId="19" borderId="22" xfId="0" applyFill="1" applyBorder="1"/>
    <xf numFmtId="0" fontId="0" fillId="19" borderId="23" xfId="0" applyFill="1" applyBorder="1"/>
    <xf numFmtId="0" fontId="0" fillId="14" borderId="18" xfId="0" applyFill="1" applyBorder="1"/>
    <xf numFmtId="0" fontId="0" fillId="14" borderId="19" xfId="0" applyFill="1" applyBorder="1"/>
    <xf numFmtId="0" fontId="0" fillId="14" borderId="20" xfId="0" applyFill="1" applyBorder="1"/>
    <xf numFmtId="0" fontId="0" fillId="14" borderId="52" xfId="0" applyFill="1" applyBorder="1"/>
    <xf numFmtId="0" fontId="0" fillId="14" borderId="0" xfId="0" applyFill="1" applyBorder="1"/>
    <xf numFmtId="0" fontId="0" fillId="14" borderId="53" xfId="0" applyFill="1" applyBorder="1"/>
    <xf numFmtId="0" fontId="0" fillId="14" borderId="21" xfId="0" applyFill="1" applyBorder="1"/>
    <xf numFmtId="0" fontId="0" fillId="14" borderId="22" xfId="0" applyFill="1" applyBorder="1"/>
    <xf numFmtId="0" fontId="0" fillId="14" borderId="23" xfId="0" applyFill="1" applyBorder="1"/>
    <xf numFmtId="0" fontId="0" fillId="32" borderId="18" xfId="0" applyFill="1" applyBorder="1"/>
    <xf numFmtId="0" fontId="0" fillId="32" borderId="19" xfId="0" applyFill="1" applyBorder="1"/>
    <xf numFmtId="0" fontId="0" fillId="32" borderId="52" xfId="0" applyFill="1" applyBorder="1"/>
    <xf numFmtId="0" fontId="0" fillId="32" borderId="0" xfId="0" applyFill="1" applyBorder="1"/>
    <xf numFmtId="0" fontId="0" fillId="32" borderId="21" xfId="0" applyFill="1" applyBorder="1"/>
    <xf numFmtId="0" fontId="0" fillId="32" borderId="22" xfId="0" applyFill="1" applyBorder="1"/>
    <xf numFmtId="0" fontId="0" fillId="30" borderId="18" xfId="0" applyFill="1" applyBorder="1"/>
    <xf numFmtId="0" fontId="0" fillId="30" borderId="52" xfId="0" applyFill="1" applyBorder="1"/>
    <xf numFmtId="0" fontId="53" fillId="30" borderId="53" xfId="0" applyFont="1" applyFill="1" applyBorder="1"/>
    <xf numFmtId="0" fontId="0" fillId="0" borderId="52" xfId="0" applyFill="1" applyBorder="1"/>
    <xf numFmtId="0" fontId="53" fillId="17" borderId="53" xfId="0" applyFont="1" applyFill="1" applyBorder="1"/>
    <xf numFmtId="0" fontId="0" fillId="30" borderId="21" xfId="0" applyFill="1" applyBorder="1"/>
    <xf numFmtId="0" fontId="37" fillId="19" borderId="18" xfId="0" applyFont="1" applyFill="1" applyBorder="1"/>
    <xf numFmtId="0" fontId="37" fillId="19" borderId="19" xfId="0" applyFont="1" applyFill="1" applyBorder="1"/>
    <xf numFmtId="0" fontId="37" fillId="19" borderId="20" xfId="0" applyFont="1" applyFill="1" applyBorder="1"/>
    <xf numFmtId="0" fontId="37" fillId="19" borderId="0" xfId="0" applyFont="1" applyFill="1" applyBorder="1"/>
    <xf numFmtId="0" fontId="37" fillId="19" borderId="53" xfId="0" applyFont="1" applyFill="1" applyBorder="1"/>
    <xf numFmtId="0" fontId="37" fillId="19" borderId="52" xfId="0" applyFont="1" applyFill="1" applyBorder="1"/>
    <xf numFmtId="0" fontId="37" fillId="19" borderId="21" xfId="0" applyFont="1" applyFill="1" applyBorder="1"/>
    <xf numFmtId="0" fontId="0" fillId="9" borderId="52" xfId="0" applyFill="1" applyBorder="1"/>
    <xf numFmtId="0" fontId="0" fillId="9" borderId="0" xfId="0" applyFill="1" applyBorder="1"/>
    <xf numFmtId="0" fontId="53" fillId="9" borderId="53" xfId="0" applyFont="1" applyFill="1" applyBorder="1"/>
    <xf numFmtId="0" fontId="0" fillId="12" borderId="0" xfId="0" applyFill="1"/>
    <xf numFmtId="0" fontId="37" fillId="12" borderId="0" xfId="0" applyFont="1" applyFill="1"/>
    <xf numFmtId="0" fontId="0" fillId="0" borderId="0" xfId="0" applyFont="1"/>
    <xf numFmtId="0" fontId="0" fillId="0" borderId="0" xfId="0" applyFont="1" applyBorder="1"/>
    <xf numFmtId="0" fontId="0" fillId="0" borderId="2" xfId="0" applyFont="1" applyBorder="1" applyAlignment="1"/>
    <xf numFmtId="0" fontId="53" fillId="0" borderId="2" xfId="1" applyFont="1" applyBorder="1" applyAlignment="1"/>
    <xf numFmtId="0" fontId="53" fillId="0" borderId="2" xfId="1" applyFont="1" applyFill="1" applyBorder="1" applyAlignment="1"/>
    <xf numFmtId="0" fontId="53" fillId="0" borderId="2" xfId="1" applyFont="1" applyBorder="1"/>
    <xf numFmtId="0" fontId="53" fillId="0" borderId="2" xfId="1" applyFont="1" applyFill="1" applyBorder="1"/>
    <xf numFmtId="0" fontId="64" fillId="8" borderId="63" xfId="0" applyFont="1" applyFill="1" applyBorder="1" applyAlignment="1">
      <alignment horizontal="center" vertical="center"/>
    </xf>
    <xf numFmtId="0" fontId="65" fillId="0" borderId="0" xfId="0" applyFont="1" applyAlignment="1">
      <alignment horizontal="left" vertical="center"/>
    </xf>
    <xf numFmtId="0" fontId="65" fillId="0" borderId="0" xfId="0" applyFont="1" applyAlignment="1">
      <alignment horizontal="center" vertical="center"/>
    </xf>
    <xf numFmtId="0" fontId="65" fillId="0" borderId="0" xfId="0" applyFont="1" applyAlignment="1">
      <alignment vertical="center"/>
    </xf>
    <xf numFmtId="0" fontId="0" fillId="0" borderId="42" xfId="0" applyBorder="1" applyAlignment="1"/>
    <xf numFmtId="0" fontId="37" fillId="0" borderId="2" xfId="0" applyFont="1" applyBorder="1"/>
    <xf numFmtId="0" fontId="48" fillId="10" borderId="2" xfId="0" applyFont="1" applyFill="1" applyBorder="1"/>
    <xf numFmtId="0" fontId="42" fillId="0" borderId="2" xfId="0" applyFont="1" applyBorder="1"/>
    <xf numFmtId="0" fontId="64" fillId="8" borderId="0" xfId="0" applyFont="1" applyFill="1" applyBorder="1" applyAlignment="1">
      <alignment horizontal="center" vertical="center"/>
    </xf>
    <xf numFmtId="0" fontId="67" fillId="0" borderId="0" xfId="0" applyFont="1"/>
    <xf numFmtId="0" fontId="68" fillId="0" borderId="0" xfId="0" applyFont="1"/>
    <xf numFmtId="0" fontId="0" fillId="0" borderId="56" xfId="0" applyBorder="1"/>
    <xf numFmtId="0" fontId="37" fillId="14" borderId="27" xfId="0" applyFont="1" applyFill="1" applyBorder="1"/>
    <xf numFmtId="0" fontId="37" fillId="14" borderId="25" xfId="0" applyFont="1" applyFill="1" applyBorder="1"/>
    <xf numFmtId="0" fontId="37" fillId="13" borderId="39" xfId="0" applyFont="1" applyFill="1" applyBorder="1"/>
    <xf numFmtId="0" fontId="37" fillId="13" borderId="40" xfId="0" applyFont="1" applyFill="1" applyBorder="1"/>
    <xf numFmtId="0" fontId="37" fillId="13" borderId="1" xfId="0" applyFont="1" applyFill="1" applyBorder="1"/>
    <xf numFmtId="0" fontId="37" fillId="13" borderId="28" xfId="0" applyFont="1" applyFill="1" applyBorder="1"/>
    <xf numFmtId="0" fontId="37" fillId="13" borderId="3" xfId="0" applyFont="1" applyFill="1" applyBorder="1"/>
    <xf numFmtId="0" fontId="37" fillId="13" borderId="5" xfId="0" applyFont="1" applyFill="1" applyBorder="1"/>
    <xf numFmtId="0" fontId="37" fillId="0" borderId="0" xfId="0" applyFont="1" applyAlignment="1"/>
    <xf numFmtId="0" fontId="0" fillId="28" borderId="18" xfId="0" applyFill="1" applyBorder="1"/>
    <xf numFmtId="0" fontId="0" fillId="28" borderId="20" xfId="0" applyFill="1" applyBorder="1"/>
    <xf numFmtId="0" fontId="0" fillId="28" borderId="52" xfId="0" applyFill="1" applyBorder="1"/>
    <xf numFmtId="0" fontId="0" fillId="28" borderId="21" xfId="0" applyFill="1" applyBorder="1"/>
    <xf numFmtId="0" fontId="37" fillId="0" borderId="18" xfId="0" applyFont="1" applyBorder="1"/>
    <xf numFmtId="0" fontId="37" fillId="0" borderId="52" xfId="0" applyFont="1" applyBorder="1"/>
    <xf numFmtId="0" fontId="37" fillId="0" borderId="0" xfId="0" applyFont="1" applyBorder="1"/>
    <xf numFmtId="0" fontId="37" fillId="12" borderId="19" xfId="0" applyFont="1" applyFill="1" applyBorder="1"/>
    <xf numFmtId="0" fontId="37" fillId="12" borderId="0" xfId="0" applyFont="1" applyFill="1" applyBorder="1"/>
    <xf numFmtId="0" fontId="37" fillId="12" borderId="22" xfId="0" applyFont="1" applyFill="1" applyBorder="1"/>
    <xf numFmtId="0" fontId="37" fillId="26" borderId="0" xfId="0" applyFont="1" applyFill="1" applyBorder="1"/>
    <xf numFmtId="0" fontId="0" fillId="26" borderId="0" xfId="0" applyFill="1" applyBorder="1"/>
    <xf numFmtId="0" fontId="37" fillId="26" borderId="18" xfId="0" applyFont="1" applyFill="1" applyBorder="1"/>
    <xf numFmtId="0" fontId="37" fillId="26" borderId="19" xfId="0" applyFont="1" applyFill="1" applyBorder="1"/>
    <xf numFmtId="0" fontId="0" fillId="26" borderId="19" xfId="0" applyFill="1" applyBorder="1"/>
    <xf numFmtId="0" fontId="37" fillId="26" borderId="52" xfId="0" applyFont="1" applyFill="1" applyBorder="1"/>
    <xf numFmtId="0" fontId="0" fillId="26" borderId="53" xfId="0" applyFill="1" applyBorder="1"/>
    <xf numFmtId="0" fontId="0" fillId="26" borderId="52" xfId="0" applyFill="1" applyBorder="1" applyAlignment="1">
      <alignment horizontal="center"/>
    </xf>
    <xf numFmtId="0" fontId="37" fillId="26" borderId="21" xfId="0" applyFont="1" applyFill="1" applyBorder="1"/>
    <xf numFmtId="0" fontId="0" fillId="26" borderId="22" xfId="0" applyFill="1" applyBorder="1"/>
    <xf numFmtId="0" fontId="37" fillId="26" borderId="22" xfId="0" applyFont="1" applyFill="1" applyBorder="1"/>
    <xf numFmtId="0" fontId="0" fillId="26" borderId="23" xfId="0" applyFill="1" applyBorder="1"/>
    <xf numFmtId="0" fontId="0" fillId="26" borderId="52" xfId="0" applyFill="1" applyBorder="1"/>
    <xf numFmtId="0" fontId="0" fillId="26" borderId="21" xfId="0" applyFill="1" applyBorder="1"/>
    <xf numFmtId="0" fontId="0" fillId="26" borderId="48" xfId="0" applyFill="1" applyBorder="1"/>
    <xf numFmtId="0" fontId="0" fillId="26" borderId="50" xfId="0" applyFill="1" applyBorder="1"/>
    <xf numFmtId="0" fontId="0" fillId="26" borderId="49" xfId="0" applyFill="1" applyBorder="1"/>
    <xf numFmtId="0" fontId="0" fillId="26" borderId="54" xfId="0" applyFill="1" applyBorder="1"/>
    <xf numFmtId="0" fontId="0" fillId="26" borderId="55" xfId="0" applyFill="1" applyBorder="1"/>
    <xf numFmtId="0" fontId="37" fillId="26" borderId="55" xfId="0" applyFont="1" applyFill="1" applyBorder="1"/>
    <xf numFmtId="0" fontId="0" fillId="26" borderId="57" xfId="0" applyFill="1" applyBorder="1"/>
    <xf numFmtId="0" fontId="65" fillId="0" borderId="0" xfId="0" applyFont="1" applyFill="1" applyAlignment="1">
      <alignment horizontal="left" vertical="center"/>
    </xf>
    <xf numFmtId="0" fontId="65" fillId="10" borderId="0" xfId="0" applyFont="1" applyFill="1" applyAlignment="1">
      <alignment vertical="center"/>
    </xf>
    <xf numFmtId="0" fontId="0" fillId="5" borderId="16" xfId="0" applyFill="1" applyBorder="1"/>
    <xf numFmtId="0" fontId="0" fillId="5" borderId="1" xfId="0" applyFill="1" applyBorder="1"/>
    <xf numFmtId="0" fontId="0" fillId="5" borderId="28" xfId="0" applyFill="1" applyBorder="1"/>
    <xf numFmtId="0" fontId="0" fillId="5" borderId="3" xfId="0" applyFill="1" applyBorder="1"/>
    <xf numFmtId="0" fontId="0" fillId="5" borderId="5" xfId="0" applyFill="1" applyBorder="1"/>
    <xf numFmtId="0" fontId="0" fillId="9" borderId="44" xfId="0" applyFill="1" applyBorder="1" applyAlignment="1">
      <alignment horizontal="center" vertical="center"/>
    </xf>
    <xf numFmtId="0" fontId="0" fillId="9" borderId="45" xfId="0" applyFill="1" applyBorder="1" applyAlignment="1">
      <alignment horizontal="center" vertical="center"/>
    </xf>
    <xf numFmtId="0" fontId="0" fillId="9" borderId="46" xfId="0" applyFill="1" applyBorder="1" applyAlignment="1">
      <alignment horizontal="center" vertical="center"/>
    </xf>
    <xf numFmtId="0" fontId="37" fillId="0" borderId="52" xfId="0" applyFont="1" applyFill="1" applyBorder="1"/>
    <xf numFmtId="0" fontId="37" fillId="31" borderId="0" xfId="0" applyFont="1" applyFill="1" applyBorder="1"/>
    <xf numFmtId="0" fontId="37" fillId="4" borderId="0" xfId="0" applyFont="1" applyFill="1" applyBorder="1"/>
    <xf numFmtId="0" fontId="0" fillId="37" borderId="0" xfId="0" applyFill="1"/>
    <xf numFmtId="0" fontId="0" fillId="35" borderId="52" xfId="0" applyFill="1" applyBorder="1"/>
    <xf numFmtId="0" fontId="0" fillId="35" borderId="0" xfId="0" applyFill="1" applyBorder="1"/>
    <xf numFmtId="0" fontId="37" fillId="35" borderId="53" xfId="0" applyFont="1" applyFill="1" applyBorder="1"/>
    <xf numFmtId="0" fontId="0" fillId="35" borderId="21" xfId="0" applyFill="1" applyBorder="1"/>
    <xf numFmtId="0" fontId="0" fillId="35" borderId="22" xfId="0" applyFill="1" applyBorder="1"/>
    <xf numFmtId="0" fontId="37" fillId="35" borderId="23" xfId="0" applyFont="1" applyFill="1" applyBorder="1"/>
    <xf numFmtId="0" fontId="0" fillId="35" borderId="54" xfId="0" applyFill="1" applyBorder="1" applyAlignment="1"/>
    <xf numFmtId="0" fontId="48" fillId="35" borderId="52" xfId="0" applyFont="1" applyFill="1" applyBorder="1"/>
    <xf numFmtId="0" fontId="4" fillId="35" borderId="52" xfId="0" applyFont="1" applyFill="1" applyBorder="1"/>
    <xf numFmtId="0" fontId="0" fillId="38" borderId="56" xfId="0" applyFill="1" applyBorder="1" applyAlignment="1"/>
    <xf numFmtId="0" fontId="4" fillId="38" borderId="52" xfId="0" applyFont="1" applyFill="1" applyBorder="1"/>
    <xf numFmtId="0" fontId="0" fillId="38" borderId="0" xfId="0" applyFill="1" applyBorder="1"/>
    <xf numFmtId="0" fontId="37" fillId="38" borderId="53" xfId="0" applyFont="1" applyFill="1" applyBorder="1"/>
    <xf numFmtId="0" fontId="4" fillId="38" borderId="21" xfId="0" applyFont="1" applyFill="1" applyBorder="1"/>
    <xf numFmtId="0" fontId="0" fillId="38" borderId="22" xfId="0" applyFill="1" applyBorder="1"/>
    <xf numFmtId="0" fontId="37" fillId="38" borderId="23" xfId="0" applyFont="1" applyFill="1" applyBorder="1"/>
    <xf numFmtId="0" fontId="37" fillId="10" borderId="24" xfId="0" applyFont="1" applyFill="1" applyBorder="1"/>
    <xf numFmtId="0" fontId="0" fillId="11" borderId="0" xfId="0" applyFill="1"/>
    <xf numFmtId="0" fontId="0" fillId="0" borderId="2" xfId="0" applyBorder="1" applyAlignment="1">
      <alignment horizontal="left"/>
    </xf>
    <xf numFmtId="0" fontId="70" fillId="36" borderId="0" xfId="0" applyFont="1" applyFill="1" applyAlignment="1">
      <alignment horizontal="center"/>
    </xf>
    <xf numFmtId="0" fontId="2" fillId="0" borderId="0" xfId="0" applyFont="1" applyFill="1" applyBorder="1" applyAlignment="1">
      <alignment horizontal="center"/>
    </xf>
    <xf numFmtId="0" fontId="0" fillId="0" borderId="9" xfId="0" applyBorder="1" applyAlignment="1"/>
    <xf numFmtId="0" fontId="0" fillId="0" borderId="0" xfId="0" applyBorder="1" applyAlignment="1"/>
    <xf numFmtId="0" fontId="0" fillId="0" borderId="52" xfId="0" applyBorder="1" applyAlignment="1"/>
    <xf numFmtId="0" fontId="48" fillId="7" borderId="14" xfId="0" applyFont="1" applyFill="1" applyBorder="1" applyAlignment="1"/>
    <xf numFmtId="0" fontId="48" fillId="7" borderId="15" xfId="0" applyFont="1" applyFill="1" applyBorder="1" applyAlignment="1"/>
    <xf numFmtId="0" fontId="48" fillId="7" borderId="16" xfId="0" applyFont="1" applyFill="1" applyBorder="1" applyAlignment="1"/>
    <xf numFmtId="0" fontId="0" fillId="0" borderId="64" xfId="0" applyBorder="1" applyAlignment="1"/>
    <xf numFmtId="0" fontId="48" fillId="7" borderId="26" xfId="0" applyFont="1" applyFill="1" applyBorder="1" applyAlignment="1"/>
    <xf numFmtId="0" fontId="73" fillId="0" borderId="0" xfId="0" applyFont="1"/>
    <xf numFmtId="0" fontId="74" fillId="0" borderId="0" xfId="0" applyFont="1"/>
    <xf numFmtId="0" fontId="75" fillId="0" borderId="0" xfId="0" applyFont="1"/>
    <xf numFmtId="0" fontId="0" fillId="0" borderId="2" xfId="0" applyFont="1" applyBorder="1"/>
    <xf numFmtId="0" fontId="0" fillId="0" borderId="2" xfId="0" applyFont="1" applyBorder="1" applyAlignment="1">
      <alignment horizontal="left" vertical="center"/>
    </xf>
    <xf numFmtId="0" fontId="62" fillId="0" borderId="2" xfId="0" applyFont="1" applyBorder="1" applyAlignment="1">
      <alignment horizontal="left" vertical="center"/>
    </xf>
    <xf numFmtId="0" fontId="62" fillId="0" borderId="2" xfId="0" applyFont="1" applyBorder="1" applyAlignment="1">
      <alignment vertical="center"/>
    </xf>
    <xf numFmtId="0" fontId="62" fillId="0" borderId="2" xfId="0" applyFont="1" applyBorder="1"/>
    <xf numFmtId="0" fontId="0" fillId="0" borderId="2" xfId="0" applyFill="1" applyBorder="1" applyAlignment="1">
      <alignment horizontal="center" vertical="center"/>
    </xf>
    <xf numFmtId="0" fontId="0" fillId="10" borderId="2" xfId="0" applyFont="1" applyFill="1" applyBorder="1" applyAlignment="1">
      <alignment horizontal="left" vertical="center"/>
    </xf>
    <xf numFmtId="0" fontId="62" fillId="0" borderId="2" xfId="0" applyFont="1" applyBorder="1" applyAlignment="1"/>
    <xf numFmtId="0" fontId="61" fillId="0" borderId="2" xfId="0" applyFont="1" applyBorder="1" applyAlignment="1">
      <alignment vertical="center"/>
    </xf>
    <xf numFmtId="0" fontId="61" fillId="0" borderId="2" xfId="0" applyFont="1" applyBorder="1"/>
    <xf numFmtId="0" fontId="0" fillId="0" borderId="2" xfId="0" applyFont="1" applyFill="1" applyBorder="1"/>
    <xf numFmtId="0" fontId="62" fillId="0" borderId="2" xfId="0" applyFont="1" applyBorder="1" applyAlignment="1">
      <alignment horizontal="justify" vertical="center"/>
    </xf>
    <xf numFmtId="0" fontId="63" fillId="0" borderId="2" xfId="0" applyFont="1" applyBorder="1" applyAlignment="1">
      <alignment horizontal="justify" vertical="center"/>
    </xf>
    <xf numFmtId="0" fontId="78" fillId="8" borderId="48" xfId="0" applyFont="1" applyFill="1" applyBorder="1" applyAlignment="1">
      <alignment horizontal="center" vertical="center"/>
    </xf>
    <xf numFmtId="0" fontId="78" fillId="8" borderId="0" xfId="0" applyFont="1" applyFill="1" applyAlignment="1">
      <alignment horizontal="center" vertical="center"/>
    </xf>
    <xf numFmtId="0" fontId="78" fillId="8" borderId="2" xfId="0" applyFont="1" applyFill="1" applyBorder="1"/>
    <xf numFmtId="0" fontId="76" fillId="8" borderId="14" xfId="0" applyFont="1" applyFill="1" applyBorder="1" applyAlignment="1">
      <alignment horizontal="center" vertical="center"/>
    </xf>
    <xf numFmtId="0" fontId="0" fillId="4" borderId="2" xfId="0" applyFill="1" applyBorder="1" applyAlignment="1">
      <alignment horizontal="center" vertical="center"/>
    </xf>
    <xf numFmtId="0" fontId="0" fillId="30" borderId="1" xfId="0" applyFill="1" applyBorder="1"/>
    <xf numFmtId="0" fontId="0" fillId="30" borderId="3" xfId="0" applyFill="1" applyBorder="1"/>
    <xf numFmtId="0" fontId="0" fillId="30" borderId="2" xfId="0" applyFill="1" applyBorder="1"/>
    <xf numFmtId="0" fontId="65" fillId="30" borderId="2" xfId="0" applyFont="1" applyFill="1" applyBorder="1" applyAlignment="1">
      <alignment vertical="center"/>
    </xf>
    <xf numFmtId="0" fontId="47" fillId="29" borderId="2" xfId="0" applyFont="1" applyFill="1" applyBorder="1"/>
    <xf numFmtId="0" fontId="77" fillId="8" borderId="2" xfId="0" applyFont="1" applyFill="1" applyBorder="1"/>
    <xf numFmtId="0" fontId="77" fillId="8" borderId="7" xfId="0" applyFont="1" applyFill="1" applyBorder="1"/>
    <xf numFmtId="0" fontId="80" fillId="10" borderId="57" xfId="0" applyFont="1" applyFill="1" applyBorder="1"/>
    <xf numFmtId="0" fontId="78" fillId="8" borderId="7" xfId="0" applyFont="1" applyFill="1" applyBorder="1"/>
    <xf numFmtId="0" fontId="78" fillId="8" borderId="25" xfId="0" applyFont="1" applyFill="1" applyBorder="1"/>
    <xf numFmtId="0" fontId="79" fillId="10" borderId="57" xfId="0" applyFont="1" applyFill="1" applyBorder="1"/>
    <xf numFmtId="0" fontId="81" fillId="8" borderId="2" xfId="0" applyFont="1" applyFill="1" applyBorder="1"/>
    <xf numFmtId="0" fontId="3" fillId="0" borderId="2" xfId="1" applyFont="1" applyFill="1" applyBorder="1" applyAlignment="1"/>
    <xf numFmtId="0" fontId="3" fillId="25" borderId="2" xfId="1" applyFont="1" applyFill="1" applyBorder="1" applyAlignment="1"/>
    <xf numFmtId="0" fontId="0" fillId="0" borderId="2" xfId="0" applyBorder="1" applyAlignment="1">
      <alignment vertical="center"/>
    </xf>
    <xf numFmtId="0" fontId="1" fillId="0" borderId="2" xfId="1" applyBorder="1" applyAlignment="1"/>
    <xf numFmtId="0" fontId="1" fillId="0" borderId="0" xfId="1" applyAlignment="1"/>
    <xf numFmtId="0" fontId="1" fillId="0" borderId="2" xfId="1" applyFont="1" applyBorder="1" applyAlignment="1">
      <alignment horizontal="left" vertical="center"/>
    </xf>
    <xf numFmtId="49" fontId="1" fillId="0" borderId="2" xfId="1" applyNumberFormat="1" applyFont="1" applyBorder="1" applyAlignment="1">
      <alignment horizontal="left" vertical="center"/>
    </xf>
    <xf numFmtId="0" fontId="1" fillId="0" borderId="2" xfId="1" applyNumberFormat="1" applyFont="1" applyBorder="1" applyAlignment="1">
      <alignment horizontal="left" vertical="center"/>
    </xf>
    <xf numFmtId="49" fontId="1" fillId="4" borderId="2" xfId="1" applyNumberFormat="1" applyFont="1" applyFill="1" applyBorder="1" applyAlignment="1">
      <alignment horizontal="left" vertical="center"/>
    </xf>
    <xf numFmtId="0" fontId="1" fillId="4" borderId="2" xfId="1" applyFont="1" applyFill="1" applyBorder="1" applyAlignment="1">
      <alignment horizontal="left" vertical="center"/>
    </xf>
    <xf numFmtId="0" fontId="1" fillId="0" borderId="2" xfId="1" applyFont="1" applyFill="1" applyBorder="1" applyAlignment="1">
      <alignment horizontal="left" vertical="center"/>
    </xf>
    <xf numFmtId="0" fontId="1" fillId="4" borderId="2" xfId="1" applyNumberFormat="1" applyFont="1" applyFill="1" applyBorder="1" applyAlignment="1">
      <alignment horizontal="left" vertical="center"/>
    </xf>
    <xf numFmtId="165" fontId="1" fillId="0" borderId="2" xfId="0" applyNumberFormat="1" applyFont="1" applyBorder="1" applyAlignment="1">
      <alignment horizontal="left" vertical="center"/>
    </xf>
    <xf numFmtId="0" fontId="1" fillId="25" borderId="2" xfId="1" applyFont="1" applyFill="1" applyBorder="1" applyAlignment="1">
      <alignment horizontal="left" vertical="center"/>
    </xf>
    <xf numFmtId="0" fontId="1" fillId="7" borderId="2" xfId="1" applyFont="1" applyFill="1" applyBorder="1" applyAlignment="1">
      <alignment horizontal="left" vertical="center"/>
    </xf>
    <xf numFmtId="0" fontId="1" fillId="0" borderId="2" xfId="0" applyFont="1" applyBorder="1" applyAlignment="1">
      <alignment horizontal="left" vertical="center"/>
    </xf>
    <xf numFmtId="0" fontId="1" fillId="7" borderId="2" xfId="1" applyFill="1" applyBorder="1" applyAlignment="1"/>
    <xf numFmtId="0" fontId="53" fillId="0" borderId="41" xfId="1" applyFont="1" applyFill="1" applyBorder="1" applyAlignment="1"/>
    <xf numFmtId="0" fontId="0" fillId="0" borderId="0" xfId="0" applyAlignment="1">
      <alignment horizontal="left"/>
    </xf>
    <xf numFmtId="1" fontId="0" fillId="0" borderId="14" xfId="0" applyNumberFormat="1" applyBorder="1"/>
    <xf numFmtId="1" fontId="0" fillId="0" borderId="1" xfId="0" applyNumberFormat="1" applyBorder="1"/>
    <xf numFmtId="1" fontId="0" fillId="0" borderId="3" xfId="0" applyNumberFormat="1" applyBorder="1"/>
    <xf numFmtId="1" fontId="47" fillId="29" borderId="21" xfId="0" applyNumberFormat="1" applyFont="1" applyFill="1" applyBorder="1"/>
    <xf numFmtId="0" fontId="37" fillId="0" borderId="53" xfId="0" applyFont="1" applyBorder="1"/>
    <xf numFmtId="3" fontId="37" fillId="0" borderId="0" xfId="0" applyNumberFormat="1" applyFont="1" applyBorder="1"/>
    <xf numFmtId="0" fontId="37" fillId="0" borderId="21" xfId="0" applyFont="1" applyBorder="1"/>
    <xf numFmtId="0" fontId="37" fillId="0" borderId="22" xfId="0" applyFont="1" applyBorder="1"/>
    <xf numFmtId="0" fontId="37" fillId="0" borderId="23" xfId="0" applyFont="1" applyBorder="1"/>
    <xf numFmtId="0" fontId="0" fillId="0" borderId="24" xfId="0" applyFill="1" applyBorder="1"/>
    <xf numFmtId="0" fontId="0" fillId="4" borderId="0" xfId="0" applyFill="1"/>
    <xf numFmtId="0" fontId="4" fillId="10" borderId="36" xfId="0" applyFont="1" applyFill="1" applyBorder="1" applyAlignment="1">
      <alignment horizontal="center" vertical="center"/>
    </xf>
    <xf numFmtId="0" fontId="4" fillId="10" borderId="37" xfId="0" applyFont="1" applyFill="1" applyBorder="1" applyAlignment="1">
      <alignment horizontal="center" vertical="center"/>
    </xf>
    <xf numFmtId="0" fontId="4" fillId="10" borderId="38" xfId="0" applyFont="1" applyFill="1" applyBorder="1" applyAlignment="1">
      <alignment horizontal="center" vertical="center"/>
    </xf>
    <xf numFmtId="0" fontId="0" fillId="17" borderId="0" xfId="0" applyFill="1" applyBorder="1"/>
    <xf numFmtId="0" fontId="53" fillId="0" borderId="0" xfId="0" applyFont="1" applyFill="1" applyBorder="1"/>
    <xf numFmtId="0" fontId="53" fillId="0" borderId="0" xfId="0" applyFont="1" applyFill="1"/>
    <xf numFmtId="0" fontId="53" fillId="0" borderId="18" xfId="0" applyFont="1" applyFill="1" applyBorder="1"/>
    <xf numFmtId="0" fontId="53" fillId="0" borderId="19" xfId="0" applyFont="1" applyFill="1" applyBorder="1"/>
    <xf numFmtId="0" fontId="53" fillId="0" borderId="20" xfId="0" applyFont="1" applyFill="1" applyBorder="1"/>
    <xf numFmtId="0" fontId="53" fillId="0" borderId="52" xfId="0" applyFont="1" applyFill="1" applyBorder="1"/>
    <xf numFmtId="0" fontId="53" fillId="0" borderId="53" xfId="0" applyFont="1" applyFill="1" applyBorder="1"/>
    <xf numFmtId="0" fontId="84" fillId="0" borderId="0" xfId="0" applyFont="1" applyFill="1" applyBorder="1" applyAlignment="1"/>
    <xf numFmtId="0" fontId="53" fillId="0" borderId="0" xfId="0" applyFont="1" applyFill="1" applyBorder="1" applyAlignment="1">
      <alignment horizontal="center"/>
    </xf>
    <xf numFmtId="0" fontId="53" fillId="0" borderId="0" xfId="0" applyFont="1" applyFill="1" applyBorder="1" applyAlignment="1">
      <alignment horizontal="left" vertical="center"/>
    </xf>
    <xf numFmtId="0" fontId="53" fillId="0" borderId="21" xfId="0" applyFont="1" applyFill="1" applyBorder="1"/>
    <xf numFmtId="0" fontId="53" fillId="0" borderId="22" xfId="0" applyFont="1" applyFill="1" applyBorder="1"/>
    <xf numFmtId="0" fontId="53" fillId="0" borderId="23" xfId="0" applyFont="1" applyFill="1" applyBorder="1"/>
    <xf numFmtId="0" fontId="0" fillId="0" borderId="14" xfId="0" applyFont="1" applyBorder="1"/>
    <xf numFmtId="0" fontId="0" fillId="17" borderId="19" xfId="0" applyFill="1" applyBorder="1"/>
    <xf numFmtId="0" fontId="0" fillId="0" borderId="1" xfId="0" applyFont="1" applyBorder="1"/>
    <xf numFmtId="0" fontId="0" fillId="0" borderId="3" xfId="0" applyFont="1" applyBorder="1"/>
    <xf numFmtId="0" fontId="37" fillId="35" borderId="0" xfId="0" applyFont="1" applyFill="1"/>
    <xf numFmtId="0" fontId="0" fillId="35" borderId="0" xfId="0" applyFill="1"/>
    <xf numFmtId="0" fontId="37" fillId="23" borderId="0" xfId="0" applyFont="1" applyFill="1" applyBorder="1"/>
    <xf numFmtId="0" fontId="37" fillId="23" borderId="0" xfId="0" applyFont="1" applyFill="1" applyBorder="1" applyProtection="1">
      <protection hidden="1"/>
    </xf>
    <xf numFmtId="0" fontId="40" fillId="8" borderId="0" xfId="0" applyFont="1" applyFill="1" applyBorder="1" applyAlignment="1" applyProtection="1">
      <alignment horizontal="center" vertical="center"/>
      <protection hidden="1"/>
    </xf>
    <xf numFmtId="0" fontId="37" fillId="7" borderId="0" xfId="0" applyFont="1" applyFill="1" applyBorder="1" applyAlignment="1" applyProtection="1">
      <alignment horizontal="center" vertical="center"/>
      <protection hidden="1"/>
    </xf>
    <xf numFmtId="0" fontId="37" fillId="23" borderId="0" xfId="0" applyFont="1" applyFill="1" applyBorder="1" applyAlignment="1" applyProtection="1">
      <alignment horizontal="left"/>
      <protection hidden="1"/>
    </xf>
    <xf numFmtId="0" fontId="51" fillId="8" borderId="0" xfId="0" applyFont="1" applyFill="1" applyBorder="1"/>
    <xf numFmtId="2" fontId="0" fillId="0" borderId="0" xfId="0" applyNumberFormat="1"/>
    <xf numFmtId="0" fontId="37" fillId="14" borderId="0" xfId="0" applyFont="1" applyFill="1" applyBorder="1" applyProtection="1">
      <protection hidden="1"/>
    </xf>
    <xf numFmtId="0" fontId="42" fillId="23" borderId="0" xfId="0" applyFont="1" applyFill="1" applyBorder="1"/>
    <xf numFmtId="0" fontId="37" fillId="0" borderId="0" xfId="0" applyFont="1" applyFill="1" applyAlignment="1">
      <alignment horizontal="center"/>
    </xf>
    <xf numFmtId="0" fontId="89" fillId="23" borderId="0" xfId="0" applyFont="1" applyFill="1" applyBorder="1" applyProtection="1">
      <protection hidden="1"/>
    </xf>
    <xf numFmtId="0" fontId="37" fillId="33" borderId="65" xfId="0" applyFont="1" applyFill="1" applyBorder="1" applyAlignment="1" applyProtection="1">
      <alignment horizontal="center" vertical="center"/>
      <protection hidden="1"/>
    </xf>
    <xf numFmtId="0" fontId="37" fillId="9" borderId="65" xfId="0" applyFont="1" applyFill="1" applyBorder="1" applyAlignment="1" applyProtection="1">
      <alignment horizontal="center" vertical="center"/>
      <protection hidden="1"/>
    </xf>
    <xf numFmtId="0" fontId="65" fillId="0" borderId="0" xfId="0" applyFont="1" applyAlignment="1">
      <alignment horizontal="center" vertical="center"/>
    </xf>
    <xf numFmtId="0" fontId="71" fillId="17" borderId="0" xfId="0" applyFont="1" applyFill="1" applyBorder="1" applyAlignment="1">
      <alignment vertical="center"/>
    </xf>
    <xf numFmtId="0" fontId="51" fillId="8" borderId="0" xfId="0" applyFont="1" applyFill="1" applyBorder="1" applyAlignment="1">
      <alignment horizontal="center"/>
    </xf>
    <xf numFmtId="0" fontId="65" fillId="0" borderId="0" xfId="0" applyFont="1" applyAlignment="1">
      <alignment horizontal="center" vertical="center"/>
    </xf>
    <xf numFmtId="0" fontId="56" fillId="19" borderId="0" xfId="0" applyFont="1" applyFill="1" applyBorder="1" applyAlignment="1">
      <alignment horizontal="center" vertical="center"/>
    </xf>
    <xf numFmtId="0" fontId="94" fillId="0" borderId="0" xfId="0" applyFont="1" applyAlignment="1">
      <alignment horizontal="center" vertical="center"/>
    </xf>
    <xf numFmtId="0" fontId="0" fillId="23" borderId="0" xfId="0" applyFill="1" applyAlignment="1"/>
    <xf numFmtId="0" fontId="0" fillId="0" borderId="0" xfId="0" applyAlignment="1">
      <alignment horizontal="center"/>
    </xf>
    <xf numFmtId="0" fontId="60" fillId="19" borderId="0" xfId="0" applyFont="1" applyFill="1" applyBorder="1" applyAlignment="1">
      <alignment horizontal="center" vertical="center"/>
    </xf>
    <xf numFmtId="0" fontId="50" fillId="19" borderId="0" xfId="0" applyFont="1" applyFill="1" applyBorder="1"/>
    <xf numFmtId="0" fontId="0" fillId="0" borderId="0" xfId="0" applyAlignment="1">
      <alignment horizontal="center" vertical="center"/>
    </xf>
    <xf numFmtId="0" fontId="0" fillId="0" borderId="0" xfId="0" applyBorder="1" applyAlignment="1">
      <alignment vertical="top" wrapText="1"/>
    </xf>
    <xf numFmtId="0" fontId="0" fillId="2" borderId="0" xfId="0" applyFill="1"/>
    <xf numFmtId="0" fontId="92" fillId="0" borderId="0" xfId="0" applyFont="1" applyBorder="1" applyAlignment="1">
      <alignment vertical="top" wrapText="1"/>
    </xf>
    <xf numFmtId="0" fontId="0" fillId="23" borderId="57" xfId="0" applyFill="1" applyBorder="1" applyAlignment="1">
      <alignment horizontal="center" vertical="center"/>
    </xf>
    <xf numFmtId="14" fontId="0" fillId="23" borderId="57" xfId="0" applyNumberFormat="1" applyFill="1" applyBorder="1"/>
    <xf numFmtId="0" fontId="0" fillId="0" borderId="0" xfId="0" applyAlignment="1">
      <alignment horizontal="left"/>
    </xf>
    <xf numFmtId="0" fontId="0" fillId="0" borderId="0" xfId="0" applyAlignment="1">
      <alignment horizontal="center" vertical="center"/>
    </xf>
    <xf numFmtId="0" fontId="0" fillId="0" borderId="0" xfId="0" applyAlignment="1">
      <alignment horizontal="left"/>
    </xf>
    <xf numFmtId="0" fontId="0" fillId="0" borderId="0" xfId="0" applyAlignment="1">
      <alignment horizontal="center" vertical="center"/>
    </xf>
    <xf numFmtId="0" fontId="53" fillId="0" borderId="0" xfId="0" applyFont="1" applyFill="1" applyBorder="1" applyAlignment="1">
      <alignment horizontal="center"/>
    </xf>
    <xf numFmtId="164" fontId="79" fillId="0" borderId="0" xfId="0" applyNumberFormat="1" applyFont="1" applyFill="1" applyBorder="1" applyAlignment="1">
      <alignment horizontal="center" vertical="center"/>
    </xf>
    <xf numFmtId="0" fontId="53" fillId="0" borderId="0" xfId="0" applyFont="1" applyFill="1" applyBorder="1" applyAlignment="1">
      <alignment horizontal="center" vertical="center"/>
    </xf>
    <xf numFmtId="0" fontId="0" fillId="0" borderId="0" xfId="0" applyAlignment="1">
      <alignment horizontal="center" vertical="center"/>
    </xf>
    <xf numFmtId="0" fontId="0" fillId="0" borderId="2" xfId="0" applyBorder="1" applyAlignment="1">
      <alignment horizontal="center"/>
    </xf>
    <xf numFmtId="0" fontId="53" fillId="23" borderId="0" xfId="0" applyFont="1" applyFill="1"/>
    <xf numFmtId="0" fontId="44" fillId="23" borderId="0" xfId="0" applyFont="1" applyFill="1"/>
    <xf numFmtId="0" fontId="44" fillId="23" borderId="0" xfId="0" applyFont="1" applyFill="1" applyAlignment="1">
      <alignment horizontal="center" vertical="center"/>
    </xf>
    <xf numFmtId="0" fontId="94" fillId="0" borderId="2" xfId="0" applyFont="1" applyBorder="1" applyAlignment="1">
      <alignment horizontal="center" vertical="center"/>
    </xf>
    <xf numFmtId="0" fontId="4" fillId="0" borderId="2" xfId="0" applyFont="1" applyBorder="1" applyAlignment="1">
      <alignment horizontal="center" vertical="center"/>
    </xf>
    <xf numFmtId="0" fontId="94" fillId="40" borderId="2" xfId="0" applyFont="1" applyFill="1" applyBorder="1" applyAlignment="1">
      <alignment horizontal="center" vertical="center"/>
    </xf>
    <xf numFmtId="0" fontId="44" fillId="40" borderId="0" xfId="0" applyFont="1" applyFill="1"/>
    <xf numFmtId="0" fontId="0" fillId="23" borderId="0" xfId="0" applyFill="1" applyAlignment="1">
      <alignment wrapText="1"/>
    </xf>
    <xf numFmtId="0" fontId="44" fillId="23" borderId="0" xfId="0" applyFont="1" applyFill="1" applyAlignment="1">
      <alignment wrapText="1"/>
    </xf>
    <xf numFmtId="0" fontId="44" fillId="16" borderId="0" xfId="0" applyFont="1" applyFill="1"/>
    <xf numFmtId="0" fontId="0" fillId="0" borderId="2" xfId="0" applyBorder="1" applyAlignment="1">
      <alignment horizontal="center" vertical="center"/>
    </xf>
    <xf numFmtId="0" fontId="0" fillId="0" borderId="25" xfId="0" applyBorder="1" applyAlignment="1">
      <alignment horizontal="center"/>
    </xf>
    <xf numFmtId="0" fontId="100" fillId="36" borderId="0" xfId="0" applyFont="1" applyFill="1"/>
    <xf numFmtId="0" fontId="37" fillId="7" borderId="0" xfId="0" applyFont="1" applyFill="1" applyBorder="1" applyAlignment="1">
      <alignment horizontal="center" vertical="center"/>
    </xf>
    <xf numFmtId="0" fontId="37" fillId="17" borderId="0" xfId="0" applyFont="1" applyFill="1" applyAlignment="1"/>
    <xf numFmtId="0" fontId="7" fillId="40" borderId="2" xfId="0" applyFont="1" applyFill="1" applyBorder="1" applyAlignment="1">
      <alignment vertical="center"/>
    </xf>
    <xf numFmtId="0" fontId="4" fillId="0" borderId="0" xfId="0" applyFont="1"/>
    <xf numFmtId="0" fontId="4" fillId="40" borderId="0" xfId="0" applyFont="1" applyFill="1"/>
    <xf numFmtId="0" fontId="0" fillId="40" borderId="0" xfId="0" applyFill="1"/>
    <xf numFmtId="0" fontId="7" fillId="40" borderId="2" xfId="0" applyFont="1" applyFill="1" applyBorder="1" applyAlignment="1">
      <alignment horizontal="center" vertical="center"/>
    </xf>
    <xf numFmtId="0" fontId="42" fillId="23" borderId="57" xfId="0" applyFont="1" applyFill="1" applyBorder="1" applyAlignment="1">
      <alignment horizontal="center" vertical="center"/>
    </xf>
    <xf numFmtId="0" fontId="42" fillId="23" borderId="54" xfId="0" applyFont="1" applyFill="1" applyBorder="1" applyAlignment="1">
      <alignment horizontal="center" vertical="center"/>
    </xf>
    <xf numFmtId="0" fontId="0" fillId="40" borderId="2" xfId="0" applyFill="1" applyBorder="1"/>
    <xf numFmtId="0" fontId="0" fillId="0" borderId="0" xfId="0" applyAlignment="1">
      <alignment horizontal="center"/>
    </xf>
    <xf numFmtId="0" fontId="0" fillId="0" borderId="2" xfId="0" applyBorder="1" applyAlignment="1">
      <alignment horizontal="center"/>
    </xf>
    <xf numFmtId="0" fontId="0" fillId="0" borderId="25" xfId="0" applyBorder="1" applyAlignment="1">
      <alignment horizontal="center"/>
    </xf>
    <xf numFmtId="0" fontId="0" fillId="0" borderId="0" xfId="0" applyAlignment="1">
      <alignment horizontal="left" vertical="top" wrapText="1"/>
    </xf>
    <xf numFmtId="0" fontId="0" fillId="0" borderId="2" xfId="0" applyBorder="1" applyAlignment="1">
      <alignment horizontal="center" vertical="center"/>
    </xf>
    <xf numFmtId="0" fontId="0" fillId="16" borderId="0" xfId="0" applyFill="1" applyAlignment="1">
      <alignment horizontal="center"/>
    </xf>
    <xf numFmtId="0" fontId="0" fillId="0" borderId="0" xfId="0" applyAlignment="1">
      <alignment horizontal="center" vertical="center"/>
    </xf>
    <xf numFmtId="0" fontId="0" fillId="0" borderId="0" xfId="0" applyBorder="1" applyAlignment="1">
      <alignment horizontal="center"/>
    </xf>
    <xf numFmtId="0" fontId="56" fillId="40" borderId="0" xfId="0" applyFont="1" applyFill="1" applyBorder="1" applyAlignment="1">
      <alignment horizontal="center" vertical="center"/>
    </xf>
    <xf numFmtId="0" fontId="37" fillId="40" borderId="0" xfId="0" applyFont="1" applyFill="1" applyBorder="1" applyProtection="1">
      <protection hidden="1"/>
    </xf>
    <xf numFmtId="0" fontId="50" fillId="40" borderId="0" xfId="0" applyFont="1" applyFill="1" applyBorder="1" applyAlignment="1">
      <alignment horizontal="center" vertical="center"/>
    </xf>
    <xf numFmtId="0" fontId="42" fillId="32" borderId="0" xfId="0" applyFont="1" applyFill="1" applyBorder="1" applyAlignment="1">
      <alignment vertical="center"/>
    </xf>
    <xf numFmtId="0" fontId="37" fillId="40" borderId="2" xfId="0" applyFont="1" applyFill="1" applyBorder="1" applyAlignment="1">
      <alignment horizontal="center" vertical="center"/>
    </xf>
    <xf numFmtId="0" fontId="48" fillId="23" borderId="0" xfId="0" applyFont="1" applyFill="1"/>
    <xf numFmtId="0" fontId="94" fillId="0" borderId="0" xfId="0" applyFont="1" applyBorder="1" applyAlignment="1">
      <alignment horizontal="center" vertical="center"/>
    </xf>
    <xf numFmtId="0" fontId="0" fillId="0" borderId="2" xfId="0" applyBorder="1" applyAlignment="1">
      <alignment horizontal="center" vertical="center"/>
    </xf>
    <xf numFmtId="0" fontId="105" fillId="0" borderId="2" xfId="0" applyFont="1" applyFill="1" applyBorder="1"/>
    <xf numFmtId="0" fontId="0" fillId="0" borderId="2" xfId="0" applyBorder="1" applyAlignment="1">
      <alignment horizontal="center"/>
    </xf>
    <xf numFmtId="0" fontId="0" fillId="0" borderId="2" xfId="0" applyBorder="1" applyAlignment="1">
      <alignment horizontal="center" vertical="center"/>
    </xf>
    <xf numFmtId="0" fontId="56" fillId="34" borderId="0" xfId="0" applyFont="1" applyFill="1" applyBorder="1" applyAlignment="1">
      <alignment horizontal="center" vertical="center"/>
    </xf>
    <xf numFmtId="0" fontId="37" fillId="23" borderId="2" xfId="0" applyFont="1" applyFill="1" applyBorder="1" applyAlignment="1">
      <alignment horizontal="center" vertical="center"/>
    </xf>
    <xf numFmtId="0" fontId="37" fillId="23" borderId="2" xfId="0" applyFont="1" applyFill="1" applyBorder="1"/>
    <xf numFmtId="0" fontId="0" fillId="0" borderId="2" xfId="0" applyBorder="1" applyAlignment="1">
      <alignment horizontal="center" vertical="center"/>
    </xf>
    <xf numFmtId="0" fontId="0" fillId="0" borderId="2" xfId="0" applyBorder="1" applyAlignment="1">
      <alignment horizontal="center" vertical="center"/>
    </xf>
    <xf numFmtId="0" fontId="65" fillId="0" borderId="0" xfId="0" applyFont="1" applyAlignment="1">
      <alignment horizontal="center" vertical="center"/>
    </xf>
    <xf numFmtId="0" fontId="0" fillId="0" borderId="0" xfId="0" applyAlignment="1">
      <alignment wrapText="1"/>
    </xf>
    <xf numFmtId="0" fontId="53" fillId="23" borderId="0" xfId="0" applyFont="1" applyFill="1" applyBorder="1"/>
    <xf numFmtId="0" fontId="53" fillId="23" borderId="0" xfId="0" applyFont="1" applyFill="1" applyBorder="1" applyAlignment="1">
      <alignment horizontal="center" vertical="center"/>
    </xf>
    <xf numFmtId="0" fontId="60" fillId="4" borderId="2" xfId="0" applyFont="1" applyFill="1" applyBorder="1" applyAlignment="1">
      <alignment vertical="center"/>
    </xf>
    <xf numFmtId="0" fontId="56" fillId="23" borderId="0" xfId="0" applyFont="1" applyFill="1" applyBorder="1"/>
    <xf numFmtId="0" fontId="48" fillId="0" borderId="2" xfId="0" applyFont="1" applyBorder="1" applyAlignment="1">
      <alignment horizontal="center"/>
    </xf>
    <xf numFmtId="0" fontId="48" fillId="0" borderId="2" xfId="0" applyFont="1" applyBorder="1" applyAlignment="1">
      <alignment horizontal="center" vertical="center"/>
    </xf>
    <xf numFmtId="0" fontId="48" fillId="23" borderId="0" xfId="0" applyFont="1" applyFill="1" applyAlignment="1">
      <alignment horizontal="center" vertical="center"/>
    </xf>
    <xf numFmtId="0" fontId="48" fillId="0" borderId="0" xfId="0" applyFont="1" applyAlignment="1">
      <alignment horizontal="left" vertical="top" wrapText="1"/>
    </xf>
    <xf numFmtId="0" fontId="111" fillId="0" borderId="0" xfId="0" applyFont="1" applyFill="1"/>
    <xf numFmtId="0" fontId="111" fillId="0" borderId="0" xfId="0" applyFont="1" applyFill="1" applyBorder="1"/>
    <xf numFmtId="0" fontId="112" fillId="23" borderId="0" xfId="0" applyFont="1" applyFill="1" applyBorder="1"/>
    <xf numFmtId="0" fontId="50" fillId="23" borderId="0" xfId="0" applyFont="1" applyFill="1" applyBorder="1" applyAlignment="1">
      <alignment horizontal="center" vertical="center"/>
    </xf>
    <xf numFmtId="0" fontId="54" fillId="23" borderId="0" xfId="0" applyFont="1" applyFill="1" applyBorder="1" applyAlignment="1">
      <alignment horizontal="center" vertical="center"/>
    </xf>
    <xf numFmtId="0" fontId="7" fillId="6" borderId="2" xfId="0" applyFont="1" applyFill="1" applyBorder="1" applyAlignment="1">
      <alignment vertical="center"/>
    </xf>
    <xf numFmtId="0" fontId="65" fillId="0" borderId="0" xfId="0" applyFont="1" applyAlignment="1">
      <alignment horizontal="center" vertical="center"/>
    </xf>
    <xf numFmtId="0" fontId="3" fillId="0" borderId="2" xfId="1" applyFont="1" applyBorder="1" applyAlignment="1"/>
    <xf numFmtId="0" fontId="1" fillId="25" borderId="2" xfId="1" applyFill="1" applyBorder="1" applyAlignment="1"/>
    <xf numFmtId="0" fontId="66" fillId="0" borderId="2" xfId="0" applyFont="1" applyBorder="1" applyAlignment="1">
      <alignment vertical="center"/>
    </xf>
    <xf numFmtId="0" fontId="82" fillId="0" borderId="2" xfId="0" applyFont="1" applyBorder="1" applyAlignment="1"/>
    <xf numFmtId="0" fontId="83" fillId="0" borderId="2" xfId="0" applyFont="1" applyBorder="1" applyAlignment="1"/>
    <xf numFmtId="0" fontId="83" fillId="0" borderId="2" xfId="0" applyFont="1" applyBorder="1" applyAlignment="1">
      <alignment horizontal="left" vertical="center"/>
    </xf>
    <xf numFmtId="0" fontId="120" fillId="0" borderId="0" xfId="0" applyFont="1" applyAlignment="1">
      <alignment horizontal="left" vertical="center" indent="1"/>
    </xf>
    <xf numFmtId="0" fontId="119" fillId="0" borderId="0" xfId="0" applyFont="1" applyAlignment="1">
      <alignment vertical="center"/>
    </xf>
    <xf numFmtId="0" fontId="1" fillId="0" borderId="2" xfId="1" applyFont="1" applyBorder="1" applyAlignment="1"/>
    <xf numFmtId="0" fontId="0" fillId="0" borderId="24" xfId="0" applyFont="1" applyFill="1" applyBorder="1"/>
    <xf numFmtId="0" fontId="0" fillId="23" borderId="2" xfId="0" applyFill="1" applyBorder="1" applyAlignment="1">
      <alignment horizontal="left"/>
    </xf>
    <xf numFmtId="0" fontId="0" fillId="0" borderId="0" xfId="0" applyAlignment="1">
      <alignment horizontal="center" vertical="center"/>
    </xf>
    <xf numFmtId="0" fontId="0" fillId="0" borderId="2" xfId="0" applyBorder="1" applyAlignment="1">
      <alignment horizontal="center" vertical="center"/>
    </xf>
    <xf numFmtId="0" fontId="0" fillId="0" borderId="0" xfId="0" applyAlignment="1">
      <alignment horizontal="center" vertical="center"/>
    </xf>
    <xf numFmtId="0" fontId="126" fillId="10" borderId="19" xfId="1" applyFont="1" applyFill="1" applyBorder="1" applyAlignment="1">
      <alignment horizontal="center" vertical="center" wrapText="1"/>
    </xf>
    <xf numFmtId="0" fontId="126" fillId="10" borderId="20" xfId="1" applyFont="1" applyFill="1" applyBorder="1" applyAlignment="1">
      <alignment horizontal="center" vertical="center" wrapText="1"/>
    </xf>
    <xf numFmtId="0" fontId="126" fillId="5" borderId="19" xfId="1" applyFont="1" applyFill="1" applyBorder="1" applyAlignment="1">
      <alignment horizontal="center" vertical="center" wrapText="1"/>
    </xf>
    <xf numFmtId="0" fontId="126" fillId="5" borderId="20" xfId="1" applyFont="1" applyFill="1" applyBorder="1" applyAlignment="1">
      <alignment horizontal="center" vertical="center" wrapText="1"/>
    </xf>
    <xf numFmtId="0" fontId="126" fillId="5" borderId="0" xfId="1" applyFont="1" applyFill="1" applyBorder="1" applyAlignment="1">
      <alignment horizontal="center" vertical="center" wrapText="1"/>
    </xf>
    <xf numFmtId="0" fontId="126" fillId="5" borderId="10" xfId="1" applyFont="1" applyFill="1" applyBorder="1" applyAlignment="1">
      <alignment horizontal="center" vertical="center" wrapText="1"/>
    </xf>
    <xf numFmtId="0" fontId="126" fillId="5" borderId="11" xfId="1" applyFont="1" applyFill="1" applyBorder="1" applyAlignment="1">
      <alignment horizontal="center" vertical="center" wrapText="1"/>
    </xf>
    <xf numFmtId="0" fontId="126" fillId="5" borderId="48" xfId="1" applyFont="1" applyFill="1" applyBorder="1" applyAlignment="1">
      <alignment horizontal="center" vertical="center" wrapText="1"/>
    </xf>
    <xf numFmtId="0" fontId="126" fillId="5" borderId="12" xfId="1" applyFont="1" applyFill="1" applyBorder="1" applyAlignment="1">
      <alignment horizontal="center" vertical="center" wrapText="1"/>
    </xf>
    <xf numFmtId="0" fontId="126" fillId="5" borderId="13" xfId="1" applyFont="1" applyFill="1" applyBorder="1" applyAlignment="1">
      <alignment horizontal="center" vertical="center" wrapText="1"/>
    </xf>
    <xf numFmtId="0" fontId="1" fillId="34" borderId="2" xfId="1" applyFont="1" applyFill="1" applyBorder="1" applyAlignment="1">
      <alignment horizontal="left" vertical="center"/>
    </xf>
    <xf numFmtId="0" fontId="0" fillId="10" borderId="2" xfId="0" applyFill="1" applyBorder="1" applyAlignment="1">
      <alignment horizontal="center" vertical="center"/>
    </xf>
    <xf numFmtId="0" fontId="129" fillId="5" borderId="2" xfId="0" applyFont="1" applyFill="1" applyBorder="1" applyAlignment="1">
      <alignment horizontal="center" vertical="center"/>
    </xf>
    <xf numFmtId="0" fontId="130" fillId="5" borderId="2" xfId="0" applyFont="1" applyFill="1" applyBorder="1" applyAlignment="1">
      <alignment horizontal="center" vertical="center"/>
    </xf>
    <xf numFmtId="0" fontId="130" fillId="5" borderId="0" xfId="1" applyFont="1" applyFill="1" applyAlignment="1"/>
    <xf numFmtId="0" fontId="126" fillId="5" borderId="6" xfId="1" applyFont="1" applyFill="1" applyBorder="1" applyAlignment="1"/>
    <xf numFmtId="0" fontId="126" fillId="5" borderId="0" xfId="1" applyFont="1" applyFill="1" applyBorder="1" applyAlignment="1"/>
    <xf numFmtId="0" fontId="126" fillId="5" borderId="10" xfId="1" applyFont="1" applyFill="1" applyBorder="1" applyAlignment="1"/>
    <xf numFmtId="0" fontId="126" fillId="5" borderId="12" xfId="1" applyFont="1" applyFill="1" applyBorder="1" applyAlignment="1"/>
    <xf numFmtId="0" fontId="126" fillId="5" borderId="13" xfId="1" applyFont="1" applyFill="1" applyBorder="1" applyAlignment="1"/>
    <xf numFmtId="0" fontId="126" fillId="5" borderId="48" xfId="1" applyFont="1" applyFill="1" applyBorder="1" applyAlignment="1"/>
    <xf numFmtId="0" fontId="126" fillId="5" borderId="29" xfId="1" applyFont="1" applyFill="1" applyBorder="1" applyAlignment="1"/>
    <xf numFmtId="0" fontId="126" fillId="5" borderId="18" xfId="1" applyFont="1" applyFill="1" applyBorder="1" applyAlignment="1"/>
    <xf numFmtId="0" fontId="126" fillId="5" borderId="30" xfId="1" applyFont="1" applyFill="1" applyBorder="1" applyAlignment="1"/>
    <xf numFmtId="0" fontId="126" fillId="5" borderId="0" xfId="1" applyFont="1" applyFill="1" applyAlignment="1"/>
    <xf numFmtId="0" fontId="126" fillId="10" borderId="0" xfId="1" applyFont="1" applyFill="1" applyBorder="1" applyAlignment="1">
      <alignment horizontal="center" vertical="center"/>
    </xf>
    <xf numFmtId="0" fontId="122" fillId="0" borderId="2" xfId="0" applyFont="1" applyBorder="1" applyAlignment="1"/>
    <xf numFmtId="0" fontId="122" fillId="0" borderId="2" xfId="0" applyFont="1" applyBorder="1" applyAlignment="1">
      <alignment horizontal="center" vertical="center"/>
    </xf>
    <xf numFmtId="0" fontId="122" fillId="0" borderId="2" xfId="0" applyFont="1" applyBorder="1" applyAlignment="1">
      <alignment vertical="center"/>
    </xf>
    <xf numFmtId="0" fontId="123" fillId="0" borderId="2" xfId="0" applyFont="1" applyBorder="1" applyAlignment="1"/>
    <xf numFmtId="0" fontId="125" fillId="0" borderId="2" xfId="0" applyFont="1" applyBorder="1" applyAlignment="1">
      <alignment horizontal="left" vertical="center" wrapText="1" indent="1"/>
    </xf>
    <xf numFmtId="0" fontId="1" fillId="0" borderId="2" xfId="1" applyBorder="1" applyAlignment="1">
      <alignment wrapText="1"/>
    </xf>
    <xf numFmtId="0" fontId="68" fillId="0" borderId="2" xfId="0" applyFont="1" applyBorder="1"/>
    <xf numFmtId="0" fontId="55" fillId="0" borderId="2" xfId="5" applyBorder="1"/>
    <xf numFmtId="0" fontId="1" fillId="32" borderId="0" xfId="1" applyFill="1"/>
    <xf numFmtId="0" fontId="126" fillId="5" borderId="6" xfId="1" applyFont="1" applyFill="1" applyBorder="1" applyAlignment="1">
      <alignment horizontal="center" vertical="center"/>
    </xf>
    <xf numFmtId="0" fontId="78" fillId="8" borderId="50" xfId="0" applyFont="1" applyFill="1" applyBorder="1" applyAlignment="1">
      <alignment horizontal="center" vertical="center"/>
    </xf>
    <xf numFmtId="0" fontId="0" fillId="0" borderId="2" xfId="0" applyBorder="1" applyAlignment="1">
      <alignment wrapText="1"/>
    </xf>
    <xf numFmtId="0" fontId="105" fillId="0" borderId="2" xfId="0" applyFont="1" applyFill="1" applyBorder="1" applyAlignment="1"/>
    <xf numFmtId="0" fontId="106" fillId="0" borderId="2" xfId="0" applyFont="1" applyFill="1" applyBorder="1"/>
    <xf numFmtId="0" fontId="106" fillId="0" borderId="2" xfId="0" applyFont="1" applyFill="1" applyBorder="1" applyAlignment="1"/>
    <xf numFmtId="0" fontId="106" fillId="0" borderId="2" xfId="0" applyFont="1" applyFill="1" applyBorder="1" applyAlignment="1">
      <alignment vertical="center"/>
    </xf>
    <xf numFmtId="0" fontId="0" fillId="0" borderId="2" xfId="0" applyFill="1" applyBorder="1" applyAlignment="1">
      <alignment wrapText="1"/>
    </xf>
    <xf numFmtId="0" fontId="0" fillId="34" borderId="2" xfId="0" applyFill="1" applyBorder="1" applyAlignment="1">
      <alignment horizontal="center" vertical="center"/>
    </xf>
    <xf numFmtId="0" fontId="128" fillId="5" borderId="2" xfId="0" applyFont="1" applyFill="1" applyBorder="1"/>
    <xf numFmtId="0" fontId="129" fillId="5" borderId="2" xfId="0" applyFont="1" applyFill="1" applyBorder="1" applyAlignment="1">
      <alignment horizontal="center" vertical="center" wrapText="1"/>
    </xf>
    <xf numFmtId="0" fontId="129" fillId="10" borderId="2" xfId="0" applyFont="1" applyFill="1" applyBorder="1" applyAlignment="1">
      <alignment horizontal="center" vertical="center" wrapText="1"/>
    </xf>
    <xf numFmtId="0" fontId="0" fillId="0" borderId="2" xfId="0" applyFont="1" applyFill="1" applyBorder="1" applyAlignment="1"/>
    <xf numFmtId="0" fontId="0" fillId="4" borderId="2" xfId="0" applyFill="1" applyBorder="1"/>
    <xf numFmtId="0" fontId="127" fillId="10" borderId="2" xfId="0" applyFont="1" applyFill="1" applyBorder="1" applyAlignment="1">
      <alignment horizontal="center" vertical="center" wrapText="1"/>
    </xf>
    <xf numFmtId="0" fontId="0" fillId="0" borderId="2" xfId="0" quotePrefix="1" applyBorder="1"/>
    <xf numFmtId="0" fontId="0" fillId="0" borderId="0" xfId="0" applyFill="1" applyBorder="1" applyAlignment="1"/>
    <xf numFmtId="0" fontId="129" fillId="5" borderId="36" xfId="0" applyFont="1" applyFill="1" applyBorder="1" applyAlignment="1">
      <alignment horizontal="center" vertical="center"/>
    </xf>
    <xf numFmtId="0" fontId="129" fillId="5" borderId="38" xfId="0" applyFont="1" applyFill="1" applyBorder="1" applyAlignment="1">
      <alignment horizontal="center" vertical="center"/>
    </xf>
    <xf numFmtId="0" fontId="129" fillId="5" borderId="3" xfId="0" applyFont="1" applyFill="1" applyBorder="1" applyAlignment="1">
      <alignment horizontal="center" vertical="center"/>
    </xf>
    <xf numFmtId="0" fontId="129" fillId="5" borderId="4" xfId="0" applyFont="1" applyFill="1" applyBorder="1" applyAlignment="1">
      <alignment horizontal="center" vertical="center"/>
    </xf>
    <xf numFmtId="0" fontId="129" fillId="5" borderId="5" xfId="0" applyFont="1" applyFill="1" applyBorder="1" applyAlignment="1">
      <alignment horizontal="center" vertical="center"/>
    </xf>
    <xf numFmtId="0" fontId="129" fillId="5" borderId="35" xfId="0" applyFont="1" applyFill="1" applyBorder="1" applyAlignment="1">
      <alignment horizontal="center" vertical="center"/>
    </xf>
    <xf numFmtId="0" fontId="129" fillId="5" borderId="61" xfId="0" applyFont="1" applyFill="1" applyBorder="1" applyAlignment="1">
      <alignment horizontal="center" vertical="center"/>
    </xf>
    <xf numFmtId="0" fontId="80" fillId="11" borderId="2" xfId="0" applyFont="1" applyFill="1" applyBorder="1"/>
    <xf numFmtId="0" fontId="79" fillId="11" borderId="7" xfId="0" applyFont="1" applyFill="1" applyBorder="1"/>
    <xf numFmtId="0" fontId="0" fillId="25" borderId="7" xfId="0" applyFill="1" applyBorder="1"/>
    <xf numFmtId="0" fontId="0" fillId="25" borderId="2" xfId="0" applyFill="1" applyBorder="1"/>
    <xf numFmtId="0" fontId="4" fillId="23" borderId="0" xfId="0" applyFont="1" applyFill="1"/>
    <xf numFmtId="0" fontId="132" fillId="23" borderId="0" xfId="0" applyFont="1" applyFill="1"/>
    <xf numFmtId="0" fontId="99" fillId="8" borderId="0" xfId="0" applyFont="1" applyFill="1" applyBorder="1" applyAlignment="1" applyProtection="1">
      <alignment horizontal="center" vertical="center"/>
      <protection hidden="1"/>
    </xf>
    <xf numFmtId="0" fontId="126" fillId="5" borderId="2" xfId="1" applyFont="1" applyFill="1" applyBorder="1" applyAlignment="1"/>
    <xf numFmtId="0" fontId="0" fillId="23" borderId="2" xfId="0" applyFill="1" applyBorder="1" applyAlignment="1">
      <alignment horizontal="left"/>
    </xf>
    <xf numFmtId="0" fontId="124" fillId="22" borderId="0" xfId="0" applyFont="1" applyFill="1" applyAlignment="1">
      <alignment horizontal="center" vertical="center"/>
    </xf>
    <xf numFmtId="0" fontId="42" fillId="4" borderId="0" xfId="0" applyFont="1" applyFill="1" applyBorder="1" applyAlignment="1" applyProtection="1">
      <alignment horizontal="center" vertical="center" wrapText="1"/>
      <protection hidden="1"/>
    </xf>
    <xf numFmtId="0" fontId="0" fillId="23" borderId="66" xfId="0" applyFill="1" applyBorder="1" applyAlignment="1">
      <alignment horizontal="center" vertical="center"/>
    </xf>
    <xf numFmtId="0" fontId="0" fillId="23" borderId="67" xfId="0" applyFill="1" applyBorder="1" applyAlignment="1">
      <alignment horizontal="center" vertical="center"/>
    </xf>
    <xf numFmtId="0" fontId="0" fillId="23" borderId="68" xfId="0" applyFill="1" applyBorder="1" applyAlignment="1">
      <alignment horizontal="center" vertical="center"/>
    </xf>
    <xf numFmtId="0" fontId="0" fillId="23" borderId="70" xfId="0" applyFill="1" applyBorder="1" applyAlignment="1">
      <alignment horizontal="center" vertical="center"/>
    </xf>
    <xf numFmtId="0" fontId="0" fillId="23" borderId="0" xfId="0" applyFill="1" applyBorder="1" applyAlignment="1">
      <alignment horizontal="center" vertical="center"/>
    </xf>
    <xf numFmtId="0" fontId="0" fillId="23" borderId="71" xfId="0" applyFill="1" applyBorder="1" applyAlignment="1">
      <alignment horizontal="center" vertical="center"/>
    </xf>
    <xf numFmtId="0" fontId="47" fillId="8" borderId="0" xfId="0" applyFont="1" applyFill="1" applyAlignment="1">
      <alignment horizontal="left" vertical="center" wrapText="1"/>
    </xf>
    <xf numFmtId="0" fontId="47" fillId="8" borderId="0" xfId="0" applyFont="1" applyFill="1" applyAlignment="1">
      <alignment horizontal="left" vertical="center"/>
    </xf>
    <xf numFmtId="0" fontId="0" fillId="32" borderId="0" xfId="0" applyFill="1" applyAlignment="1">
      <alignment horizontal="center" vertical="center"/>
    </xf>
    <xf numFmtId="0" fontId="0" fillId="2" borderId="0" xfId="0" applyFill="1" applyAlignment="1">
      <alignment horizontal="center" vertical="center"/>
    </xf>
    <xf numFmtId="0" fontId="0" fillId="33" borderId="0" xfId="0" applyFill="1" applyAlignment="1">
      <alignment horizontal="center"/>
    </xf>
    <xf numFmtId="0" fontId="0" fillId="19" borderId="0" xfId="0" applyFill="1" applyAlignment="1">
      <alignment horizontal="center"/>
    </xf>
    <xf numFmtId="0" fontId="0" fillId="23" borderId="54" xfId="0" applyFill="1" applyBorder="1" applyAlignment="1">
      <alignment horizontal="center"/>
    </xf>
    <xf numFmtId="0" fontId="0" fillId="23" borderId="55" xfId="0" applyFill="1" applyBorder="1" applyAlignment="1">
      <alignment horizontal="center"/>
    </xf>
    <xf numFmtId="0" fontId="0" fillId="23" borderId="56"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lignment horizontal="center"/>
    </xf>
    <xf numFmtId="0" fontId="0" fillId="2" borderId="20" xfId="0" applyFill="1" applyBorder="1" applyAlignment="1">
      <alignment horizontal="center"/>
    </xf>
    <xf numFmtId="0" fontId="0" fillId="2" borderId="52" xfId="0" applyFill="1" applyBorder="1" applyAlignment="1">
      <alignment horizontal="center"/>
    </xf>
    <xf numFmtId="0" fontId="0" fillId="2" borderId="0" xfId="0" applyFill="1" applyBorder="1" applyAlignment="1">
      <alignment horizontal="center"/>
    </xf>
    <xf numFmtId="0" fontId="0" fillId="2" borderId="53" xfId="0" applyFill="1" applyBorder="1" applyAlignment="1">
      <alignment horizontal="center"/>
    </xf>
    <xf numFmtId="0" fontId="0" fillId="2" borderId="21" xfId="0" applyFill="1" applyBorder="1" applyAlignment="1">
      <alignment horizontal="center"/>
    </xf>
    <xf numFmtId="0" fontId="0" fillId="2" borderId="22" xfId="0" applyFill="1" applyBorder="1" applyAlignment="1">
      <alignment horizontal="center"/>
    </xf>
    <xf numFmtId="0" fontId="0" fillId="2" borderId="23" xfId="0" applyFill="1" applyBorder="1" applyAlignment="1">
      <alignment horizontal="center"/>
    </xf>
    <xf numFmtId="0" fontId="97" fillId="2" borderId="18" xfId="0" applyFont="1" applyFill="1" applyBorder="1" applyAlignment="1">
      <alignment horizontal="center" vertical="center"/>
    </xf>
    <xf numFmtId="0" fontId="97" fillId="2" borderId="19" xfId="0" applyFont="1" applyFill="1" applyBorder="1" applyAlignment="1">
      <alignment horizontal="center" vertical="center"/>
    </xf>
    <xf numFmtId="0" fontId="97" fillId="2" borderId="20" xfId="0" applyFont="1" applyFill="1" applyBorder="1" applyAlignment="1">
      <alignment horizontal="center" vertical="center"/>
    </xf>
    <xf numFmtId="0" fontId="97" fillId="2" borderId="21" xfId="0" applyFont="1" applyFill="1" applyBorder="1" applyAlignment="1">
      <alignment horizontal="center" vertical="center"/>
    </xf>
    <xf numFmtId="0" fontId="97" fillId="2" borderId="22" xfId="0" applyFont="1" applyFill="1" applyBorder="1" applyAlignment="1">
      <alignment horizontal="center" vertical="center"/>
    </xf>
    <xf numFmtId="0" fontId="97" fillId="2" borderId="23" xfId="0" applyFont="1" applyFill="1" applyBorder="1" applyAlignment="1">
      <alignment horizontal="center" vertical="center"/>
    </xf>
    <xf numFmtId="0" fontId="0" fillId="23" borderId="0" xfId="0" applyFill="1" applyAlignment="1">
      <alignment horizontal="center" vertical="center"/>
    </xf>
    <xf numFmtId="0" fontId="4" fillId="0" borderId="77" xfId="0" applyFont="1" applyBorder="1" applyAlignment="1">
      <alignment horizontal="center"/>
    </xf>
    <xf numFmtId="0" fontId="0" fillId="0" borderId="78" xfId="0" applyBorder="1" applyAlignment="1">
      <alignment horizontal="left" vertical="top" wrapText="1"/>
    </xf>
    <xf numFmtId="0" fontId="0" fillId="0" borderId="78" xfId="0" applyBorder="1" applyAlignment="1">
      <alignment horizontal="left" vertical="top"/>
    </xf>
    <xf numFmtId="0" fontId="0" fillId="0" borderId="0" xfId="0" applyBorder="1" applyAlignment="1">
      <alignment horizontal="left" vertical="top"/>
    </xf>
    <xf numFmtId="0" fontId="39" fillId="4" borderId="0" xfId="0" applyFont="1" applyFill="1" applyBorder="1" applyAlignment="1" applyProtection="1">
      <alignment horizontal="center" vertical="center"/>
      <protection hidden="1"/>
    </xf>
    <xf numFmtId="0" fontId="8" fillId="6" borderId="0" xfId="0" applyFont="1" applyFill="1" applyBorder="1" applyAlignment="1" applyProtection="1">
      <alignment horizontal="center" vertical="center"/>
      <protection hidden="1"/>
    </xf>
    <xf numFmtId="0" fontId="88" fillId="22" borderId="0" xfId="0" applyFont="1" applyFill="1" applyBorder="1" applyAlignment="1" applyProtection="1">
      <alignment horizontal="left" vertical="center"/>
      <protection hidden="1"/>
    </xf>
    <xf numFmtId="0" fontId="39" fillId="4" borderId="0" xfId="0" applyFont="1" applyFill="1" applyBorder="1" applyAlignment="1" applyProtection="1">
      <alignment horizontal="center" vertical="center" wrapText="1"/>
      <protection hidden="1"/>
    </xf>
    <xf numFmtId="0" fontId="41" fillId="4" borderId="0" xfId="0" applyFont="1" applyFill="1" applyBorder="1" applyAlignment="1" applyProtection="1">
      <alignment horizontal="center" vertical="center"/>
      <protection hidden="1"/>
    </xf>
    <xf numFmtId="0" fontId="42" fillId="6" borderId="0" xfId="0" applyFont="1" applyFill="1" applyBorder="1" applyAlignment="1" applyProtection="1">
      <alignment horizontal="center" vertical="center"/>
      <protection locked="0"/>
    </xf>
    <xf numFmtId="164" fontId="36" fillId="40" borderId="0" xfId="0" applyNumberFormat="1" applyFont="1" applyFill="1" applyBorder="1" applyAlignment="1" applyProtection="1">
      <alignment horizontal="center" vertical="center"/>
      <protection hidden="1"/>
    </xf>
    <xf numFmtId="0" fontId="42" fillId="34" borderId="0" xfId="0" applyFont="1" applyFill="1" applyBorder="1" applyAlignment="1" applyProtection="1">
      <alignment horizontal="center" vertical="center"/>
      <protection locked="0"/>
    </xf>
    <xf numFmtId="0" fontId="37" fillId="34" borderId="0" xfId="0" applyFont="1" applyFill="1" applyBorder="1" applyAlignment="1" applyProtection="1">
      <alignment horizontal="center" vertical="center"/>
      <protection locked="0"/>
    </xf>
    <xf numFmtId="0" fontId="60" fillId="4" borderId="18" xfId="0" applyFont="1" applyFill="1" applyBorder="1" applyAlignment="1" applyProtection="1">
      <alignment horizontal="center" vertical="center" wrapText="1"/>
      <protection hidden="1"/>
    </xf>
    <xf numFmtId="0" fontId="60" fillId="4" borderId="19" xfId="0" applyFont="1" applyFill="1" applyBorder="1" applyAlignment="1" applyProtection="1">
      <alignment horizontal="center" vertical="center" wrapText="1"/>
      <protection hidden="1"/>
    </xf>
    <xf numFmtId="0" fontId="60" fillId="4" borderId="52" xfId="0" applyFont="1" applyFill="1" applyBorder="1" applyAlignment="1" applyProtection="1">
      <alignment horizontal="center" vertical="center" wrapText="1"/>
      <protection hidden="1"/>
    </xf>
    <xf numFmtId="0" fontId="60" fillId="4" borderId="0" xfId="0" applyFont="1" applyFill="1" applyBorder="1" applyAlignment="1" applyProtection="1">
      <alignment horizontal="center" vertical="center" wrapText="1"/>
      <protection hidden="1"/>
    </xf>
    <xf numFmtId="0" fontId="37" fillId="6" borderId="19" xfId="0" applyFont="1" applyFill="1" applyBorder="1" applyAlignment="1" applyProtection="1">
      <alignment horizontal="center" vertical="center"/>
      <protection locked="0"/>
    </xf>
    <xf numFmtId="0" fontId="37" fillId="6" borderId="20" xfId="0" applyFont="1" applyFill="1" applyBorder="1" applyAlignment="1" applyProtection="1">
      <alignment horizontal="center" vertical="center"/>
      <protection locked="0"/>
    </xf>
    <xf numFmtId="0" fontId="37" fillId="6" borderId="0" xfId="0" applyFont="1" applyFill="1" applyBorder="1" applyAlignment="1" applyProtection="1">
      <alignment horizontal="center" vertical="center"/>
      <protection locked="0"/>
    </xf>
    <xf numFmtId="0" fontId="37" fillId="6" borderId="53" xfId="0" applyFont="1" applyFill="1" applyBorder="1" applyAlignment="1" applyProtection="1">
      <alignment horizontal="center" vertical="center"/>
      <protection locked="0"/>
    </xf>
    <xf numFmtId="0" fontId="60" fillId="4" borderId="21" xfId="0" applyFont="1" applyFill="1" applyBorder="1" applyAlignment="1" applyProtection="1">
      <alignment horizontal="center" vertical="center" wrapText="1"/>
      <protection hidden="1"/>
    </xf>
    <xf numFmtId="0" fontId="60" fillId="4" borderId="22" xfId="0" applyFont="1" applyFill="1" applyBorder="1" applyAlignment="1" applyProtection="1">
      <alignment horizontal="center" vertical="center" wrapText="1"/>
      <protection hidden="1"/>
    </xf>
    <xf numFmtId="0" fontId="37" fillId="6" borderId="22" xfId="0" applyFont="1" applyFill="1" applyBorder="1" applyAlignment="1" applyProtection="1">
      <alignment horizontal="center" vertical="center"/>
      <protection locked="0"/>
    </xf>
    <xf numFmtId="0" fontId="37" fillId="6" borderId="23" xfId="0" applyFont="1" applyFill="1" applyBorder="1" applyAlignment="1" applyProtection="1">
      <alignment horizontal="center" vertical="center"/>
      <protection locked="0"/>
    </xf>
    <xf numFmtId="0" fontId="7" fillId="34" borderId="0" xfId="0" applyFont="1" applyFill="1" applyBorder="1" applyAlignment="1">
      <alignment horizontal="center" vertical="center"/>
    </xf>
    <xf numFmtId="0" fontId="42" fillId="4" borderId="0" xfId="0" applyFont="1" applyFill="1" applyBorder="1" applyAlignment="1">
      <alignment horizontal="center" vertical="center" wrapText="1"/>
    </xf>
    <xf numFmtId="0" fontId="7" fillId="6" borderId="0" xfId="0" applyFont="1" applyFill="1" applyBorder="1" applyAlignment="1">
      <alignment horizontal="center" vertical="center"/>
    </xf>
    <xf numFmtId="0" fontId="114" fillId="41" borderId="80" xfId="5" applyFont="1" applyFill="1" applyBorder="1" applyAlignment="1" applyProtection="1">
      <alignment horizontal="center"/>
      <protection hidden="1"/>
    </xf>
    <xf numFmtId="0" fontId="114" fillId="41" borderId="77" xfId="5" applyFont="1" applyFill="1" applyBorder="1" applyAlignment="1" applyProtection="1">
      <alignment horizontal="center"/>
      <protection hidden="1"/>
    </xf>
    <xf numFmtId="0" fontId="114" fillId="41" borderId="81" xfId="5" applyFont="1" applyFill="1" applyBorder="1" applyAlignment="1" applyProtection="1">
      <alignment horizontal="center"/>
      <protection hidden="1"/>
    </xf>
    <xf numFmtId="0" fontId="7" fillId="40" borderId="7" xfId="0" applyFont="1" applyFill="1" applyBorder="1" applyAlignment="1">
      <alignment horizontal="left" vertical="center"/>
    </xf>
    <xf numFmtId="0" fontId="7" fillId="40" borderId="42" xfId="0" applyFont="1" applyFill="1" applyBorder="1" applyAlignment="1">
      <alignment horizontal="left" vertical="center"/>
    </xf>
    <xf numFmtId="0" fontId="7" fillId="40" borderId="25" xfId="0" applyFont="1" applyFill="1" applyBorder="1" applyAlignment="1">
      <alignment horizontal="left" vertical="center"/>
    </xf>
    <xf numFmtId="0" fontId="0" fillId="2" borderId="2" xfId="0" applyFill="1" applyBorder="1" applyAlignment="1">
      <alignment horizontal="center"/>
    </xf>
    <xf numFmtId="0" fontId="88" fillId="22" borderId="0" xfId="0" applyFont="1" applyFill="1" applyBorder="1" applyAlignment="1">
      <alignment horizontal="left" vertical="center"/>
    </xf>
    <xf numFmtId="0" fontId="42" fillId="2" borderId="0" xfId="0" applyFont="1" applyFill="1" applyBorder="1" applyAlignment="1" applyProtection="1">
      <alignment horizontal="center" vertical="center"/>
      <protection locked="0"/>
    </xf>
    <xf numFmtId="0" fontId="41" fillId="4" borderId="0" xfId="0" applyFont="1" applyFill="1" applyBorder="1" applyAlignment="1" applyProtection="1">
      <alignment horizontal="center" vertical="center" wrapText="1"/>
      <protection hidden="1"/>
    </xf>
    <xf numFmtId="0" fontId="42" fillId="23" borderId="0" xfId="0" applyFont="1" applyFill="1" applyBorder="1" applyAlignment="1">
      <alignment horizontal="center"/>
    </xf>
    <xf numFmtId="0" fontId="42" fillId="2" borderId="48" xfId="0" applyFont="1" applyFill="1" applyBorder="1" applyAlignment="1" applyProtection="1">
      <alignment horizontal="center" vertical="center"/>
      <protection locked="0"/>
    </xf>
    <xf numFmtId="0" fontId="42" fillId="2" borderId="49" xfId="0" applyFont="1" applyFill="1" applyBorder="1" applyAlignment="1" applyProtection="1">
      <alignment horizontal="center" vertical="center"/>
      <protection locked="0"/>
    </xf>
    <xf numFmtId="0" fontId="7" fillId="2" borderId="0" xfId="0" applyFont="1" applyFill="1" applyBorder="1" applyAlignment="1">
      <alignment horizontal="center" vertical="center"/>
    </xf>
    <xf numFmtId="0" fontId="42" fillId="32" borderId="0" xfId="0" applyFont="1" applyFill="1" applyBorder="1" applyAlignment="1">
      <alignment horizontal="center" vertical="center" wrapText="1"/>
    </xf>
    <xf numFmtId="0" fontId="88" fillId="22" borderId="0" xfId="0" applyFont="1" applyFill="1" applyBorder="1" applyAlignment="1">
      <alignment horizontal="center" vertical="center"/>
    </xf>
    <xf numFmtId="0" fontId="113" fillId="41" borderId="82" xfId="5" applyFont="1" applyFill="1" applyBorder="1" applyAlignment="1">
      <alignment horizontal="center" vertical="center"/>
    </xf>
    <xf numFmtId="0" fontId="113" fillId="41" borderId="78" xfId="5" applyFont="1" applyFill="1" applyBorder="1" applyAlignment="1">
      <alignment horizontal="center" vertical="center"/>
    </xf>
    <xf numFmtId="0" fontId="113" fillId="41" borderId="83" xfId="5" applyFont="1" applyFill="1" applyBorder="1" applyAlignment="1">
      <alignment horizontal="center" vertical="center"/>
    </xf>
    <xf numFmtId="0" fontId="113" fillId="41" borderId="85" xfId="5" applyFont="1" applyFill="1" applyBorder="1" applyAlignment="1">
      <alignment horizontal="center" vertical="center"/>
    </xf>
    <xf numFmtId="0" fontId="113" fillId="41" borderId="86" xfId="5" applyFont="1" applyFill="1" applyBorder="1" applyAlignment="1">
      <alignment horizontal="center" vertical="center"/>
    </xf>
    <xf numFmtId="0" fontId="113" fillId="41" borderId="87" xfId="5" applyFont="1" applyFill="1" applyBorder="1" applyAlignment="1">
      <alignment horizontal="center" vertical="center"/>
    </xf>
    <xf numFmtId="0" fontId="116" fillId="41" borderId="82" xfId="5" applyFont="1" applyFill="1" applyBorder="1" applyAlignment="1">
      <alignment horizontal="center" vertical="center"/>
    </xf>
    <xf numFmtId="0" fontId="116" fillId="41" borderId="78" xfId="5" applyFont="1" applyFill="1" applyBorder="1" applyAlignment="1">
      <alignment horizontal="center" vertical="center"/>
    </xf>
    <xf numFmtId="0" fontId="116" fillId="41" borderId="83" xfId="5" applyFont="1" applyFill="1" applyBorder="1" applyAlignment="1">
      <alignment horizontal="center" vertical="center"/>
    </xf>
    <xf numFmtId="0" fontId="116" fillId="41" borderId="84" xfId="5" applyFont="1" applyFill="1" applyBorder="1" applyAlignment="1">
      <alignment horizontal="center" vertical="center"/>
    </xf>
    <xf numFmtId="0" fontId="116" fillId="41" borderId="0" xfId="5" applyFont="1" applyFill="1" applyBorder="1" applyAlignment="1">
      <alignment horizontal="center" vertical="center"/>
    </xf>
    <xf numFmtId="0" fontId="116" fillId="41" borderId="72" xfId="5" applyFont="1" applyFill="1" applyBorder="1" applyAlignment="1">
      <alignment horizontal="center" vertical="center"/>
    </xf>
    <xf numFmtId="0" fontId="116" fillId="41" borderId="85" xfId="5" applyFont="1" applyFill="1" applyBorder="1" applyAlignment="1">
      <alignment horizontal="center" vertical="center"/>
    </xf>
    <xf numFmtId="0" fontId="116" fillId="41" borderId="86" xfId="5" applyFont="1" applyFill="1" applyBorder="1" applyAlignment="1">
      <alignment horizontal="center" vertical="center"/>
    </xf>
    <xf numFmtId="0" fontId="116" fillId="41" borderId="87" xfId="5" applyFont="1" applyFill="1" applyBorder="1" applyAlignment="1">
      <alignment horizontal="center" vertical="center"/>
    </xf>
    <xf numFmtId="0" fontId="51" fillId="8" borderId="0" xfId="0" applyFont="1" applyFill="1" applyBorder="1" applyAlignment="1">
      <alignment horizontal="center" vertical="center"/>
    </xf>
    <xf numFmtId="0" fontId="37" fillId="34" borderId="0" xfId="0" applyFont="1" applyFill="1" applyBorder="1" applyAlignment="1">
      <alignment horizontal="center" vertical="center"/>
    </xf>
    <xf numFmtId="0" fontId="37" fillId="40" borderId="0" xfId="0" applyFont="1" applyFill="1" applyBorder="1" applyAlignment="1">
      <alignment horizontal="center" vertical="center"/>
    </xf>
    <xf numFmtId="0" fontId="42" fillId="6" borderId="2" xfId="0" applyFont="1" applyFill="1" applyBorder="1" applyAlignment="1" applyProtection="1">
      <alignment horizontal="center" vertical="center" wrapText="1"/>
      <protection locked="0"/>
    </xf>
    <xf numFmtId="0" fontId="7" fillId="2" borderId="0" xfId="0" applyFont="1" applyFill="1" applyBorder="1" applyAlignment="1" applyProtection="1">
      <alignment horizontal="center" vertical="center" wrapText="1"/>
      <protection locked="0"/>
    </xf>
    <xf numFmtId="0" fontId="42" fillId="7" borderId="0" xfId="0" applyFont="1" applyFill="1" applyBorder="1" applyAlignment="1">
      <alignment horizontal="center"/>
    </xf>
    <xf numFmtId="0" fontId="9" fillId="2" borderId="0" xfId="0" applyFont="1" applyFill="1" applyBorder="1" applyAlignment="1">
      <alignment horizontal="center" vertical="center"/>
    </xf>
    <xf numFmtId="0" fontId="36" fillId="4" borderId="0" xfId="0" applyFont="1" applyFill="1" applyBorder="1" applyAlignment="1">
      <alignment horizontal="center" vertical="center"/>
    </xf>
    <xf numFmtId="0" fontId="42" fillId="2" borderId="2" xfId="0" applyFont="1" applyFill="1" applyBorder="1" applyAlignment="1" applyProtection="1">
      <alignment horizontal="center" vertical="center" wrapText="1"/>
      <protection locked="0"/>
    </xf>
    <xf numFmtId="0" fontId="42" fillId="4" borderId="2" xfId="0" applyFont="1" applyFill="1" applyBorder="1" applyAlignment="1" applyProtection="1">
      <alignment horizontal="center" vertical="center" wrapText="1"/>
      <protection hidden="1"/>
    </xf>
    <xf numFmtId="0" fontId="51" fillId="8" borderId="2" xfId="0" applyFont="1" applyFill="1" applyBorder="1" applyAlignment="1" applyProtection="1">
      <alignment horizontal="center" vertical="center" wrapText="1"/>
      <protection hidden="1"/>
    </xf>
    <xf numFmtId="0" fontId="51" fillId="8" borderId="6" xfId="0" applyFont="1" applyFill="1" applyBorder="1" applyAlignment="1" applyProtection="1">
      <alignment horizontal="center" vertical="center" wrapText="1"/>
      <protection hidden="1"/>
    </xf>
    <xf numFmtId="0" fontId="51" fillId="8" borderId="43" xfId="0" applyFont="1" applyFill="1" applyBorder="1" applyAlignment="1" applyProtection="1">
      <alignment horizontal="center" vertical="center" wrapText="1"/>
      <protection hidden="1"/>
    </xf>
    <xf numFmtId="0" fontId="51" fillId="8" borderId="29" xfId="0" applyFont="1" applyFill="1" applyBorder="1" applyAlignment="1" applyProtection="1">
      <alignment horizontal="center" vertical="center" wrapText="1"/>
      <protection hidden="1"/>
    </xf>
    <xf numFmtId="0" fontId="51" fillId="8" borderId="8" xfId="0" applyFont="1" applyFill="1" applyBorder="1" applyAlignment="1" applyProtection="1">
      <alignment horizontal="center" vertical="center" wrapText="1"/>
      <protection hidden="1"/>
    </xf>
    <xf numFmtId="0" fontId="51" fillId="8" borderId="9" xfId="0" applyFont="1" applyFill="1" applyBorder="1" applyAlignment="1" applyProtection="1">
      <alignment horizontal="center" vertical="center" wrapText="1"/>
      <protection hidden="1"/>
    </xf>
    <xf numFmtId="0" fontId="51" fillId="8" borderId="27" xfId="0" applyFont="1" applyFill="1" applyBorder="1" applyAlignment="1" applyProtection="1">
      <alignment horizontal="center" vertical="center" wrapText="1"/>
      <protection hidden="1"/>
    </xf>
    <xf numFmtId="0" fontId="49" fillId="23" borderId="30" xfId="0" applyFont="1" applyFill="1" applyBorder="1" applyAlignment="1" applyProtection="1">
      <alignment horizontal="center" vertical="center" wrapText="1"/>
      <protection hidden="1"/>
    </xf>
    <xf numFmtId="0" fontId="49" fillId="23" borderId="34" xfId="0" applyFont="1" applyFill="1" applyBorder="1" applyAlignment="1" applyProtection="1">
      <alignment horizontal="center" vertical="center" wrapText="1"/>
      <protection hidden="1"/>
    </xf>
    <xf numFmtId="0" fontId="7" fillId="2" borderId="2" xfId="0" applyFont="1" applyFill="1" applyBorder="1" applyAlignment="1" applyProtection="1">
      <alignment horizontal="center" vertical="center"/>
      <protection hidden="1"/>
    </xf>
    <xf numFmtId="0" fontId="49" fillId="23" borderId="2" xfId="0" applyFont="1" applyFill="1" applyBorder="1" applyAlignment="1" applyProtection="1">
      <alignment horizontal="center" vertical="center" wrapText="1"/>
      <protection hidden="1"/>
    </xf>
    <xf numFmtId="0" fontId="52" fillId="40" borderId="2" xfId="0" applyFont="1" applyFill="1" applyBorder="1" applyAlignment="1" applyProtection="1">
      <alignment horizontal="center" vertical="center" wrapText="1"/>
      <protection hidden="1"/>
    </xf>
    <xf numFmtId="0" fontId="50" fillId="2" borderId="2" xfId="0" applyFont="1" applyFill="1" applyBorder="1" applyAlignment="1" applyProtection="1">
      <alignment horizontal="center" vertical="center"/>
      <protection locked="0"/>
    </xf>
    <xf numFmtId="0" fontId="56" fillId="4" borderId="2" xfId="0" applyFont="1" applyFill="1" applyBorder="1" applyAlignment="1" applyProtection="1">
      <alignment horizontal="center" vertical="center" wrapText="1"/>
      <protection hidden="1"/>
    </xf>
    <xf numFmtId="0" fontId="42" fillId="34" borderId="2" xfId="0" applyFont="1" applyFill="1" applyBorder="1" applyAlignment="1" applyProtection="1">
      <alignment horizontal="center" vertical="center" wrapText="1"/>
      <protection locked="0"/>
    </xf>
    <xf numFmtId="0" fontId="52" fillId="40" borderId="30" xfId="0" applyFont="1" applyFill="1" applyBorder="1" applyAlignment="1" applyProtection="1">
      <alignment horizontal="center" vertical="center" wrapText="1"/>
      <protection hidden="1"/>
    </xf>
    <xf numFmtId="0" fontId="52" fillId="40" borderId="34" xfId="0" applyFont="1" applyFill="1" applyBorder="1" applyAlignment="1" applyProtection="1">
      <alignment horizontal="center" vertical="center" wrapText="1"/>
      <protection hidden="1"/>
    </xf>
    <xf numFmtId="0" fontId="37" fillId="40" borderId="32" xfId="0" applyFont="1" applyFill="1" applyBorder="1" applyAlignment="1">
      <alignment horizontal="left" vertical="center"/>
    </xf>
    <xf numFmtId="0" fontId="37" fillId="40" borderId="42" xfId="0" applyFont="1" applyFill="1" applyBorder="1" applyAlignment="1">
      <alignment horizontal="left" vertical="center"/>
    </xf>
    <xf numFmtId="0" fontId="37" fillId="40" borderId="45" xfId="0" applyFont="1" applyFill="1" applyBorder="1" applyAlignment="1">
      <alignment horizontal="left" vertical="center"/>
    </xf>
    <xf numFmtId="0" fontId="7" fillId="2" borderId="1" xfId="0" applyFont="1" applyFill="1" applyBorder="1" applyAlignment="1">
      <alignment horizontal="center" vertical="center"/>
    </xf>
    <xf numFmtId="0" fontId="7" fillId="2" borderId="2" xfId="0" applyFont="1" applyFill="1" applyBorder="1" applyAlignment="1">
      <alignment horizontal="center" vertical="center"/>
    </xf>
    <xf numFmtId="0" fontId="7" fillId="2" borderId="28" xfId="0" applyFont="1" applyFill="1" applyBorder="1" applyAlignment="1">
      <alignment horizontal="center" vertical="center"/>
    </xf>
    <xf numFmtId="0" fontId="42" fillId="4" borderId="1" xfId="0" applyFont="1" applyFill="1" applyBorder="1" applyAlignment="1">
      <alignment horizontal="center" vertical="center" wrapText="1"/>
    </xf>
    <xf numFmtId="0" fontId="42" fillId="4" borderId="7" xfId="0" applyFont="1" applyFill="1" applyBorder="1" applyAlignment="1">
      <alignment horizontal="center" vertical="center" wrapText="1"/>
    </xf>
    <xf numFmtId="0" fontId="7" fillId="34" borderId="1" xfId="0" applyFont="1" applyFill="1" applyBorder="1" applyAlignment="1">
      <alignment horizontal="center" vertical="center"/>
    </xf>
    <xf numFmtId="0" fontId="7" fillId="34" borderId="2" xfId="0" applyFont="1" applyFill="1" applyBorder="1" applyAlignment="1">
      <alignment horizontal="center" vertical="center"/>
    </xf>
    <xf numFmtId="0" fontId="7" fillId="34" borderId="28" xfId="0" applyFont="1" applyFill="1" applyBorder="1" applyAlignment="1">
      <alignment horizontal="center" vertical="center"/>
    </xf>
    <xf numFmtId="0" fontId="7" fillId="40" borderId="1" xfId="0" applyFont="1" applyFill="1" applyBorder="1" applyAlignment="1">
      <alignment horizontal="center" vertical="center"/>
    </xf>
    <xf numFmtId="0" fontId="7" fillId="40" borderId="2" xfId="0" applyFont="1" applyFill="1" applyBorder="1" applyAlignment="1">
      <alignment horizontal="center" vertical="center"/>
    </xf>
    <xf numFmtId="0" fontId="7" fillId="40" borderId="28" xfId="0" applyFont="1" applyFill="1" applyBorder="1" applyAlignment="1">
      <alignment horizontal="center" vertical="center"/>
    </xf>
    <xf numFmtId="0" fontId="42" fillId="4" borderId="32" xfId="0" applyFont="1" applyFill="1" applyBorder="1" applyAlignment="1">
      <alignment horizontal="center" vertical="center" wrapText="1"/>
    </xf>
    <xf numFmtId="0" fontId="42" fillId="4" borderId="45" xfId="0" applyFont="1" applyFill="1" applyBorder="1" applyAlignment="1">
      <alignment horizontal="center" vertical="center" wrapText="1"/>
    </xf>
    <xf numFmtId="0" fontId="7" fillId="6" borderId="32" xfId="0" applyFont="1" applyFill="1" applyBorder="1" applyAlignment="1">
      <alignment horizontal="center" vertical="center"/>
    </xf>
    <xf numFmtId="0" fontId="7" fillId="6" borderId="42" xfId="0" applyFont="1" applyFill="1" applyBorder="1" applyAlignment="1">
      <alignment horizontal="center" vertical="center"/>
    </xf>
    <xf numFmtId="0" fontId="7" fillId="6" borderId="45" xfId="0" applyFont="1" applyFill="1" applyBorder="1" applyAlignment="1">
      <alignment horizontal="center" vertical="center"/>
    </xf>
    <xf numFmtId="0" fontId="37" fillId="40" borderId="2" xfId="0" applyFont="1" applyFill="1" applyBorder="1" applyAlignment="1">
      <alignment horizontal="center" vertical="center"/>
    </xf>
    <xf numFmtId="0" fontId="88" fillId="8" borderId="0" xfId="0" applyFont="1" applyFill="1" applyBorder="1" applyAlignment="1">
      <alignment horizontal="center" vertical="center"/>
    </xf>
    <xf numFmtId="0" fontId="7" fillId="6" borderId="1" xfId="0" applyFont="1" applyFill="1" applyBorder="1" applyAlignment="1">
      <alignment horizontal="center" vertical="center"/>
    </xf>
    <xf numFmtId="0" fontId="7" fillId="6" borderId="2" xfId="0" applyFont="1" applyFill="1" applyBorder="1" applyAlignment="1">
      <alignment horizontal="center" vertical="center"/>
    </xf>
    <xf numFmtId="0" fontId="7" fillId="6" borderId="28" xfId="0" applyFont="1" applyFill="1" applyBorder="1" applyAlignment="1">
      <alignment horizontal="center" vertical="center"/>
    </xf>
    <xf numFmtId="0" fontId="42" fillId="40" borderId="0" xfId="0" applyFont="1" applyFill="1" applyBorder="1" applyAlignment="1" applyProtection="1">
      <alignment horizontal="center" vertical="center" wrapText="1"/>
      <protection hidden="1"/>
    </xf>
    <xf numFmtId="0" fontId="37" fillId="34" borderId="32" xfId="0" applyFont="1" applyFill="1" applyBorder="1" applyAlignment="1">
      <alignment horizontal="center" vertical="center"/>
    </xf>
    <xf numFmtId="0" fontId="37" fillId="34" borderId="42" xfId="0" applyFont="1" applyFill="1" applyBorder="1" applyAlignment="1">
      <alignment horizontal="center" vertical="center"/>
    </xf>
    <xf numFmtId="0" fontId="37" fillId="34" borderId="45" xfId="0" applyFont="1" applyFill="1" applyBorder="1" applyAlignment="1">
      <alignment horizontal="center" vertical="center"/>
    </xf>
    <xf numFmtId="0" fontId="50" fillId="34" borderId="0" xfId="0" applyFont="1" applyFill="1" applyBorder="1" applyAlignment="1">
      <alignment horizontal="center"/>
    </xf>
    <xf numFmtId="0" fontId="51" fillId="8" borderId="0" xfId="0" applyFont="1" applyFill="1" applyBorder="1" applyAlignment="1">
      <alignment horizontal="center"/>
    </xf>
    <xf numFmtId="0" fontId="50" fillId="2" borderId="0" xfId="0" applyFont="1" applyFill="1" applyBorder="1" applyAlignment="1">
      <alignment horizontal="center"/>
    </xf>
    <xf numFmtId="0" fontId="37" fillId="0" borderId="0" xfId="0" applyFont="1" applyBorder="1" applyAlignment="1">
      <alignment horizontal="center" vertical="center"/>
    </xf>
    <xf numFmtId="0" fontId="37" fillId="19" borderId="0" xfId="0" applyFont="1" applyFill="1" applyBorder="1" applyAlignment="1">
      <alignment horizontal="center" vertical="center"/>
    </xf>
    <xf numFmtId="0" fontId="42" fillId="34" borderId="0" xfId="0" applyFont="1" applyFill="1" applyBorder="1" applyAlignment="1">
      <alignment horizontal="center"/>
    </xf>
    <xf numFmtId="0" fontId="72" fillId="40" borderId="0" xfId="0" applyFont="1" applyFill="1" applyBorder="1" applyAlignment="1" applyProtection="1">
      <alignment horizontal="left" vertical="center" wrapText="1"/>
      <protection hidden="1"/>
    </xf>
    <xf numFmtId="0" fontId="54" fillId="40" borderId="0" xfId="0" applyFont="1" applyFill="1" applyBorder="1" applyAlignment="1" applyProtection="1">
      <alignment horizontal="left" vertical="center" wrapText="1"/>
      <protection hidden="1"/>
    </xf>
    <xf numFmtId="0" fontId="42" fillId="40" borderId="0" xfId="0" applyFont="1" applyFill="1" applyBorder="1" applyAlignment="1">
      <alignment horizontal="center"/>
    </xf>
    <xf numFmtId="0" fontId="50" fillId="2" borderId="2" xfId="0" applyFont="1" applyFill="1" applyBorder="1" applyAlignment="1" applyProtection="1">
      <alignment horizontal="left" vertical="center" wrapText="1"/>
      <protection locked="0"/>
    </xf>
    <xf numFmtId="0" fontId="57" fillId="8" borderId="2" xfId="0" applyFont="1" applyFill="1" applyBorder="1" applyAlignment="1" applyProtection="1">
      <alignment horizontal="center" vertical="center" wrapText="1"/>
      <protection hidden="1"/>
    </xf>
    <xf numFmtId="0" fontId="51" fillId="23" borderId="2" xfId="0" applyFont="1" applyFill="1" applyBorder="1" applyAlignment="1" applyProtection="1">
      <alignment horizontal="center" vertical="center" wrapText="1"/>
      <protection hidden="1"/>
    </xf>
    <xf numFmtId="0" fontId="99" fillId="8" borderId="2" xfId="0" applyFont="1" applyFill="1" applyBorder="1" applyAlignment="1" applyProtection="1">
      <alignment horizontal="center" vertical="center" wrapText="1"/>
      <protection hidden="1"/>
    </xf>
    <xf numFmtId="0" fontId="37" fillId="32" borderId="0" xfId="0" applyFont="1" applyFill="1" applyBorder="1" applyAlignment="1" applyProtection="1">
      <alignment horizontal="center" vertical="center" wrapText="1"/>
      <protection hidden="1"/>
    </xf>
    <xf numFmtId="0" fontId="51" fillId="8" borderId="0" xfId="0" applyFont="1" applyFill="1" applyBorder="1" applyAlignment="1" applyProtection="1">
      <alignment horizontal="center" vertical="center"/>
      <protection hidden="1"/>
    </xf>
    <xf numFmtId="0" fontId="49" fillId="23" borderId="0" xfId="0" applyFont="1" applyFill="1" applyBorder="1" applyAlignment="1" applyProtection="1">
      <alignment horizontal="center" vertical="center" wrapText="1"/>
      <protection hidden="1"/>
    </xf>
    <xf numFmtId="0" fontId="52" fillId="40" borderId="0" xfId="0" applyFont="1" applyFill="1" applyBorder="1" applyAlignment="1" applyProtection="1">
      <alignment horizontal="center" vertical="center" wrapText="1"/>
      <protection hidden="1"/>
    </xf>
    <xf numFmtId="0" fontId="51" fillId="8" borderId="41" xfId="0" applyFont="1" applyFill="1" applyBorder="1" applyAlignment="1" applyProtection="1">
      <alignment horizontal="center" vertical="center" wrapText="1"/>
      <protection hidden="1"/>
    </xf>
    <xf numFmtId="0" fontId="51" fillId="8" borderId="0" xfId="0" applyFont="1" applyFill="1" applyBorder="1" applyAlignment="1" applyProtection="1">
      <alignment horizontal="center" vertical="center" wrapText="1"/>
      <protection hidden="1"/>
    </xf>
    <xf numFmtId="1" fontId="9" fillId="40" borderId="0" xfId="0" applyNumberFormat="1" applyFont="1" applyFill="1" applyBorder="1" applyAlignment="1" applyProtection="1">
      <alignment horizontal="center" vertical="center"/>
      <protection hidden="1"/>
    </xf>
    <xf numFmtId="0" fontId="50" fillId="34" borderId="0" xfId="0" applyFont="1" applyFill="1" applyBorder="1" applyAlignment="1">
      <alignment horizontal="center" vertical="center" wrapText="1"/>
    </xf>
    <xf numFmtId="0" fontId="37" fillId="2" borderId="0" xfId="0" applyFont="1" applyFill="1" applyBorder="1" applyAlignment="1" applyProtection="1">
      <alignment horizontal="center" vertical="center"/>
      <protection locked="0"/>
    </xf>
    <xf numFmtId="0" fontId="8" fillId="40" borderId="0" xfId="0" applyFont="1" applyFill="1" applyBorder="1" applyAlignment="1" applyProtection="1">
      <alignment horizontal="center" vertical="center"/>
      <protection hidden="1"/>
    </xf>
    <xf numFmtId="0" fontId="37" fillId="34" borderId="0" xfId="0" applyFont="1" applyFill="1" applyBorder="1" applyAlignment="1" applyProtection="1">
      <alignment horizontal="center" vertical="center"/>
      <protection hidden="1"/>
    </xf>
    <xf numFmtId="0" fontId="39" fillId="3" borderId="0" xfId="0" applyFont="1" applyFill="1" applyBorder="1" applyAlignment="1" applyProtection="1">
      <alignment horizontal="center" vertical="center" wrapText="1"/>
      <protection hidden="1"/>
    </xf>
    <xf numFmtId="0" fontId="37" fillId="2" borderId="0" xfId="0" applyFont="1" applyFill="1" applyBorder="1" applyAlignment="1" applyProtection="1">
      <alignment horizontal="left" vertical="center"/>
      <protection locked="0"/>
    </xf>
    <xf numFmtId="0" fontId="118" fillId="4" borderId="2" xfId="0" applyFont="1" applyFill="1" applyBorder="1" applyAlignment="1" applyProtection="1">
      <alignment horizontal="left" vertical="center" wrapText="1"/>
      <protection hidden="1"/>
    </xf>
    <xf numFmtId="0" fontId="37" fillId="40" borderId="0" xfId="0" applyFont="1" applyFill="1" applyBorder="1" applyAlignment="1" applyProtection="1">
      <alignment horizontal="center" vertical="center"/>
      <protection locked="0"/>
    </xf>
    <xf numFmtId="0" fontId="7" fillId="2" borderId="2" xfId="0" applyFont="1" applyFill="1" applyBorder="1" applyAlignment="1" applyProtection="1">
      <alignment horizontal="center" vertical="center"/>
      <protection locked="0"/>
    </xf>
    <xf numFmtId="164" fontId="39" fillId="4" borderId="0" xfId="0" applyNumberFormat="1" applyFont="1" applyFill="1" applyBorder="1" applyAlignment="1" applyProtection="1">
      <alignment horizontal="center" vertical="center"/>
      <protection hidden="1"/>
    </xf>
    <xf numFmtId="1" fontId="9" fillId="19" borderId="0" xfId="0" applyNumberFormat="1" applyFont="1" applyFill="1" applyBorder="1" applyAlignment="1" applyProtection="1">
      <alignment horizontal="center" vertical="center"/>
      <protection hidden="1"/>
    </xf>
    <xf numFmtId="0" fontId="37" fillId="2" borderId="0" xfId="0" applyFont="1" applyFill="1" applyBorder="1" applyAlignment="1" applyProtection="1">
      <alignment horizontal="center"/>
      <protection locked="0"/>
    </xf>
    <xf numFmtId="0" fontId="37" fillId="2" borderId="72" xfId="0" applyFont="1" applyFill="1" applyBorder="1" applyAlignment="1" applyProtection="1">
      <alignment horizontal="center"/>
      <protection locked="0"/>
    </xf>
    <xf numFmtId="0" fontId="7" fillId="2" borderId="0" xfId="0" applyFont="1" applyFill="1" applyBorder="1" applyAlignment="1" applyProtection="1">
      <alignment horizontal="left" vertical="center"/>
      <protection locked="0"/>
    </xf>
    <xf numFmtId="0" fontId="39" fillId="4" borderId="0" xfId="0" applyFont="1" applyFill="1" applyBorder="1" applyAlignment="1" applyProtection="1">
      <alignment horizontal="center" vertical="center"/>
      <protection locked="0"/>
    </xf>
    <xf numFmtId="0" fontId="37" fillId="40" borderId="0" xfId="0" applyFont="1" applyFill="1" applyBorder="1" applyAlignment="1" applyProtection="1">
      <alignment horizontal="center" vertical="center"/>
      <protection hidden="1"/>
    </xf>
    <xf numFmtId="0" fontId="56" fillId="4" borderId="0" xfId="0" applyFont="1" applyFill="1" applyBorder="1" applyAlignment="1" applyProtection="1">
      <alignment horizontal="left" vertical="center" wrapText="1"/>
      <protection hidden="1"/>
    </xf>
    <xf numFmtId="0" fontId="8" fillId="19" borderId="0" xfId="0" applyFont="1" applyFill="1" applyBorder="1" applyAlignment="1" applyProtection="1">
      <alignment horizontal="center" vertical="center"/>
      <protection hidden="1"/>
    </xf>
    <xf numFmtId="2" fontId="9" fillId="5" borderId="0" xfId="0" applyNumberFormat="1" applyFont="1" applyFill="1" applyBorder="1" applyAlignment="1" applyProtection="1">
      <alignment horizontal="center" vertical="center"/>
      <protection hidden="1"/>
    </xf>
    <xf numFmtId="1" fontId="9" fillId="5" borderId="0" xfId="0" applyNumberFormat="1" applyFont="1" applyFill="1" applyBorder="1" applyAlignment="1" applyProtection="1">
      <alignment horizontal="center" vertical="center"/>
      <protection hidden="1"/>
    </xf>
    <xf numFmtId="0" fontId="11" fillId="0" borderId="0" xfId="0" applyFont="1" applyBorder="1" applyAlignment="1" applyProtection="1">
      <alignment horizontal="center" vertical="center"/>
      <protection hidden="1"/>
    </xf>
    <xf numFmtId="0" fontId="42" fillId="34" borderId="0" xfId="0" applyFont="1" applyFill="1" applyBorder="1" applyAlignment="1" applyProtection="1">
      <alignment horizontal="center" vertical="center"/>
      <protection hidden="1"/>
    </xf>
    <xf numFmtId="164" fontId="36" fillId="10" borderId="0" xfId="0" applyNumberFormat="1" applyFont="1" applyFill="1" applyBorder="1" applyAlignment="1" applyProtection="1">
      <alignment horizontal="center" vertical="center"/>
      <protection hidden="1"/>
    </xf>
    <xf numFmtId="0" fontId="36" fillId="10" borderId="0" xfId="0" applyFont="1" applyFill="1" applyBorder="1" applyAlignment="1" applyProtection="1">
      <alignment horizontal="center" vertical="center"/>
      <protection hidden="1"/>
    </xf>
    <xf numFmtId="0" fontId="54" fillId="32" borderId="0" xfId="0" applyFont="1" applyFill="1" applyBorder="1" applyAlignment="1" applyProtection="1">
      <alignment horizontal="center" vertical="center" wrapText="1"/>
      <protection hidden="1"/>
    </xf>
    <xf numFmtId="0" fontId="98" fillId="23" borderId="0" xfId="0" applyFont="1" applyFill="1" applyBorder="1" applyAlignment="1" applyProtection="1">
      <alignment horizontal="center" vertical="center"/>
      <protection hidden="1"/>
    </xf>
    <xf numFmtId="0" fontId="42" fillId="6" borderId="0" xfId="0" applyFont="1" applyFill="1" applyBorder="1" applyAlignment="1" applyProtection="1">
      <alignment horizontal="center" wrapText="1"/>
      <protection hidden="1"/>
    </xf>
    <xf numFmtId="0" fontId="54" fillId="35" borderId="0" xfId="0" applyFont="1" applyFill="1" applyBorder="1" applyAlignment="1" applyProtection="1">
      <alignment horizontal="center" vertical="center" wrapText="1"/>
      <protection locked="0"/>
    </xf>
    <xf numFmtId="0" fontId="36" fillId="40" borderId="0" xfId="0" applyFont="1" applyFill="1" applyBorder="1" applyAlignment="1" applyProtection="1">
      <alignment horizontal="center" vertical="center"/>
      <protection hidden="1"/>
    </xf>
    <xf numFmtId="0" fontId="8" fillId="2" borderId="0" xfId="0" applyFont="1" applyFill="1" applyBorder="1" applyAlignment="1" applyProtection="1">
      <alignment horizontal="center" vertical="center"/>
      <protection locked="0"/>
    </xf>
    <xf numFmtId="0" fontId="7" fillId="6" borderId="0" xfId="0" applyFont="1" applyFill="1" applyBorder="1" applyAlignment="1" applyProtection="1">
      <alignment horizontal="left" vertical="top" wrapText="1"/>
      <protection hidden="1"/>
    </xf>
    <xf numFmtId="0" fontId="54" fillId="35" borderId="0" xfId="0" applyFont="1" applyFill="1" applyBorder="1" applyAlignment="1" applyProtection="1">
      <alignment horizontal="center" vertical="center" wrapText="1"/>
      <protection hidden="1"/>
    </xf>
    <xf numFmtId="0" fontId="8" fillId="6" borderId="0" xfId="0" applyFont="1" applyFill="1" applyBorder="1" applyAlignment="1" applyProtection="1">
      <alignment horizontal="center" vertical="center"/>
      <protection locked="0"/>
    </xf>
    <xf numFmtId="0" fontId="7" fillId="2" borderId="0" xfId="0" applyFont="1" applyFill="1" applyBorder="1" applyAlignment="1" applyProtection="1">
      <alignment horizontal="left" vertical="center" wrapText="1"/>
      <protection locked="0"/>
    </xf>
    <xf numFmtId="0" fontId="7" fillId="2" borderId="0" xfId="0" applyFont="1" applyFill="1" applyBorder="1" applyAlignment="1" applyProtection="1">
      <alignment horizontal="center" vertical="center"/>
      <protection locked="0"/>
    </xf>
    <xf numFmtId="2" fontId="9" fillId="38" borderId="0" xfId="0" applyNumberFormat="1" applyFont="1" applyFill="1" applyBorder="1" applyAlignment="1" applyProtection="1">
      <alignment horizontal="center" vertical="center"/>
      <protection locked="0"/>
    </xf>
    <xf numFmtId="0" fontId="50" fillId="2" borderId="0" xfId="0" applyFont="1" applyFill="1" applyBorder="1" applyAlignment="1" applyProtection="1">
      <alignment horizontal="center" vertical="center"/>
      <protection locked="0"/>
    </xf>
    <xf numFmtId="0" fontId="50" fillId="34" borderId="0" xfId="0" applyFont="1" applyFill="1" applyBorder="1" applyAlignment="1" applyProtection="1">
      <alignment horizontal="center" vertical="center"/>
      <protection locked="0"/>
    </xf>
    <xf numFmtId="0" fontId="36" fillId="6" borderId="0" xfId="0" applyFont="1" applyFill="1" applyBorder="1" applyAlignment="1" applyProtection="1">
      <alignment horizontal="center" vertical="center"/>
      <protection hidden="1"/>
    </xf>
    <xf numFmtId="0" fontId="42" fillId="40" borderId="0" xfId="0" applyFont="1" applyFill="1" applyBorder="1" applyAlignment="1" applyProtection="1">
      <alignment horizontal="center" vertical="center"/>
      <protection hidden="1"/>
    </xf>
    <xf numFmtId="0" fontId="56" fillId="4" borderId="0" xfId="0" applyFont="1" applyFill="1" applyBorder="1" applyAlignment="1" applyProtection="1">
      <alignment horizontal="center" vertical="center" wrapText="1"/>
      <protection hidden="1"/>
    </xf>
    <xf numFmtId="0" fontId="42" fillId="4" borderId="0" xfId="0" applyFont="1" applyFill="1" applyBorder="1" applyAlignment="1" applyProtection="1">
      <alignment horizontal="center" vertical="center"/>
      <protection hidden="1"/>
    </xf>
    <xf numFmtId="0" fontId="90" fillId="4" borderId="0" xfId="0" applyFont="1" applyFill="1" applyBorder="1" applyAlignment="1" applyProtection="1">
      <alignment horizontal="center" vertical="center" wrapText="1"/>
      <protection hidden="1"/>
    </xf>
    <xf numFmtId="0" fontId="37" fillId="22" borderId="0" xfId="0" applyFont="1" applyFill="1" applyBorder="1" applyAlignment="1">
      <alignment horizontal="center"/>
    </xf>
    <xf numFmtId="1" fontId="9" fillId="6" borderId="0" xfId="0" applyNumberFormat="1" applyFont="1" applyFill="1" applyBorder="1" applyAlignment="1" applyProtection="1">
      <alignment horizontal="center" vertical="center"/>
      <protection hidden="1"/>
    </xf>
    <xf numFmtId="0" fontId="7" fillId="34" borderId="2" xfId="0" applyFont="1" applyFill="1" applyBorder="1" applyAlignment="1" applyProtection="1">
      <alignment horizontal="center" vertical="center"/>
      <protection hidden="1"/>
    </xf>
    <xf numFmtId="0" fontId="91" fillId="8" borderId="0" xfId="0" applyFont="1" applyFill="1" applyBorder="1" applyAlignment="1" applyProtection="1">
      <alignment horizontal="center"/>
      <protection hidden="1"/>
    </xf>
    <xf numFmtId="0" fontId="57" fillId="39" borderId="18" xfId="0" applyFont="1" applyFill="1" applyBorder="1" applyAlignment="1" applyProtection="1">
      <alignment horizontal="center" vertical="center"/>
      <protection hidden="1"/>
    </xf>
    <xf numFmtId="0" fontId="57" fillId="39" borderId="19" xfId="0" applyFont="1" applyFill="1" applyBorder="1" applyAlignment="1" applyProtection="1">
      <alignment horizontal="center" vertical="center"/>
      <protection hidden="1"/>
    </xf>
    <xf numFmtId="0" fontId="57" fillId="39" borderId="20" xfId="0" applyFont="1" applyFill="1" applyBorder="1" applyAlignment="1" applyProtection="1">
      <alignment horizontal="center" vertical="center"/>
      <protection hidden="1"/>
    </xf>
    <xf numFmtId="0" fontId="57" fillId="39" borderId="21" xfId="0" applyFont="1" applyFill="1" applyBorder="1" applyAlignment="1" applyProtection="1">
      <alignment horizontal="center" vertical="center"/>
      <protection hidden="1"/>
    </xf>
    <xf numFmtId="0" fontId="57" fillId="39" borderId="22" xfId="0" applyFont="1" applyFill="1" applyBorder="1" applyAlignment="1" applyProtection="1">
      <alignment horizontal="center" vertical="center"/>
      <protection hidden="1"/>
    </xf>
    <xf numFmtId="0" fontId="57" fillId="39" borderId="23" xfId="0" applyFont="1" applyFill="1" applyBorder="1" applyAlignment="1" applyProtection="1">
      <alignment horizontal="center" vertical="center"/>
      <protection hidden="1"/>
    </xf>
    <xf numFmtId="1" fontId="9" fillId="35" borderId="0" xfId="0" applyNumberFormat="1" applyFont="1" applyFill="1" applyBorder="1" applyAlignment="1" applyProtection="1">
      <alignment horizontal="center" vertical="center"/>
      <protection hidden="1"/>
    </xf>
    <xf numFmtId="0" fontId="8" fillId="40" borderId="0" xfId="0" applyFont="1" applyFill="1" applyBorder="1" applyAlignment="1" applyProtection="1">
      <alignment horizontal="center" vertical="center"/>
      <protection locked="0"/>
    </xf>
    <xf numFmtId="0" fontId="37" fillId="40" borderId="0" xfId="0" applyFont="1" applyFill="1" applyBorder="1" applyAlignment="1" applyProtection="1">
      <alignment horizontal="center"/>
      <protection locked="0"/>
    </xf>
    <xf numFmtId="0" fontId="42" fillId="2" borderId="0" xfId="0" applyFont="1" applyFill="1" applyBorder="1" applyAlignment="1">
      <alignment horizontal="center" vertical="center"/>
    </xf>
    <xf numFmtId="0" fontId="93" fillId="2" borderId="0" xfId="0" applyFont="1" applyFill="1" applyBorder="1" applyAlignment="1">
      <alignment horizontal="center" vertical="center"/>
    </xf>
    <xf numFmtId="0" fontId="37" fillId="34" borderId="0" xfId="0" applyFont="1" applyFill="1" applyBorder="1" applyAlignment="1">
      <alignment horizontal="center"/>
    </xf>
    <xf numFmtId="0" fontId="37" fillId="2" borderId="0" xfId="0" applyFont="1" applyFill="1" applyBorder="1" applyAlignment="1">
      <alignment horizontal="center"/>
    </xf>
    <xf numFmtId="0" fontId="117" fillId="41" borderId="82" xfId="5" applyFont="1" applyFill="1" applyBorder="1" applyAlignment="1">
      <alignment horizontal="center" vertical="center"/>
    </xf>
    <xf numFmtId="0" fontId="117" fillId="41" borderId="78" xfId="5" applyFont="1" applyFill="1" applyBorder="1" applyAlignment="1">
      <alignment horizontal="center" vertical="center"/>
    </xf>
    <xf numFmtId="0" fontId="117" fillId="41" borderId="83" xfId="5" applyFont="1" applyFill="1" applyBorder="1" applyAlignment="1">
      <alignment horizontal="center" vertical="center"/>
    </xf>
    <xf numFmtId="0" fontId="117" fillId="41" borderId="85" xfId="5" applyFont="1" applyFill="1" applyBorder="1" applyAlignment="1">
      <alignment horizontal="center" vertical="center"/>
    </xf>
    <xf numFmtId="0" fontId="117" fillId="41" borderId="86" xfId="5" applyFont="1" applyFill="1" applyBorder="1" applyAlignment="1">
      <alignment horizontal="center" vertical="center"/>
    </xf>
    <xf numFmtId="0" fontId="117" fillId="41" borderId="87" xfId="5" applyFont="1" applyFill="1" applyBorder="1" applyAlignment="1">
      <alignment horizontal="center" vertical="center"/>
    </xf>
    <xf numFmtId="0" fontId="88" fillId="8" borderId="9" xfId="0" applyFont="1" applyFill="1" applyBorder="1" applyAlignment="1">
      <alignment horizontal="center" vertical="center"/>
    </xf>
    <xf numFmtId="0" fontId="50" fillId="6" borderId="0" xfId="0" applyFont="1" applyFill="1" applyBorder="1" applyAlignment="1">
      <alignment horizontal="center" vertical="center"/>
    </xf>
    <xf numFmtId="0" fontId="56" fillId="4" borderId="0" xfId="0" applyFont="1" applyFill="1" applyBorder="1" applyAlignment="1">
      <alignment horizontal="center" vertical="center" wrapText="1"/>
    </xf>
    <xf numFmtId="0" fontId="88" fillId="22" borderId="0" xfId="0" applyFont="1" applyFill="1" applyBorder="1" applyAlignment="1">
      <alignment vertical="center"/>
    </xf>
    <xf numFmtId="0" fontId="37" fillId="4" borderId="2" xfId="0" applyFont="1" applyFill="1" applyBorder="1" applyAlignment="1">
      <alignment horizontal="center"/>
    </xf>
    <xf numFmtId="0" fontId="7" fillId="40" borderId="18" xfId="0" applyFont="1" applyFill="1" applyBorder="1" applyAlignment="1">
      <alignment horizontal="center" vertical="center"/>
    </xf>
    <xf numFmtId="0" fontId="7" fillId="40" borderId="20" xfId="0" applyFont="1" applyFill="1" applyBorder="1" applyAlignment="1">
      <alignment horizontal="center" vertical="center"/>
    </xf>
    <xf numFmtId="0" fontId="7" fillId="40" borderId="21" xfId="0" applyFont="1" applyFill="1" applyBorder="1" applyAlignment="1">
      <alignment horizontal="center" vertical="center"/>
    </xf>
    <xf numFmtId="0" fontId="7" fillId="40" borderId="23" xfId="0" applyFont="1" applyFill="1" applyBorder="1" applyAlignment="1">
      <alignment horizontal="center" vertical="center"/>
    </xf>
    <xf numFmtId="0" fontId="36" fillId="4" borderId="9" xfId="0" applyFont="1" applyFill="1" applyBorder="1" applyAlignment="1">
      <alignment horizontal="center" vertical="center"/>
    </xf>
    <xf numFmtId="0" fontId="37" fillId="0" borderId="43" xfId="0" applyFont="1" applyBorder="1" applyAlignment="1">
      <alignment horizontal="center" vertical="center" wrapText="1"/>
    </xf>
    <xf numFmtId="0" fontId="37" fillId="0" borderId="0" xfId="0" applyFont="1" applyBorder="1" applyAlignment="1">
      <alignment horizontal="center" vertical="center" wrapText="1"/>
    </xf>
    <xf numFmtId="0" fontId="42" fillId="4" borderId="18" xfId="0" applyFont="1" applyFill="1" applyBorder="1" applyAlignment="1" applyProtection="1">
      <alignment horizontal="center" vertical="center" wrapText="1"/>
      <protection hidden="1"/>
    </xf>
    <xf numFmtId="0" fontId="42" fillId="4" borderId="19" xfId="0" applyFont="1" applyFill="1" applyBorder="1" applyAlignment="1" applyProtection="1">
      <alignment horizontal="center" vertical="center" wrapText="1"/>
      <protection hidden="1"/>
    </xf>
    <xf numFmtId="0" fontId="42" fillId="4" borderId="52" xfId="0" applyFont="1" applyFill="1" applyBorder="1" applyAlignment="1" applyProtection="1">
      <alignment horizontal="center" vertical="center" wrapText="1"/>
      <protection hidden="1"/>
    </xf>
    <xf numFmtId="0" fontId="42" fillId="4" borderId="21" xfId="0" applyFont="1" applyFill="1" applyBorder="1" applyAlignment="1" applyProtection="1">
      <alignment horizontal="center" vertical="center" wrapText="1"/>
      <protection hidden="1"/>
    </xf>
    <xf numFmtId="0" fontId="42" fillId="4" borderId="22" xfId="0" applyFont="1" applyFill="1" applyBorder="1" applyAlignment="1" applyProtection="1">
      <alignment horizontal="center" vertical="center" wrapText="1"/>
      <protection hidden="1"/>
    </xf>
    <xf numFmtId="0" fontId="7" fillId="6" borderId="19" xfId="0" applyFont="1" applyFill="1" applyBorder="1" applyAlignment="1" applyProtection="1">
      <alignment horizontal="center" vertical="center"/>
      <protection locked="0"/>
    </xf>
    <xf numFmtId="0" fontId="7" fillId="6" borderId="0" xfId="0" applyFont="1" applyFill="1" applyBorder="1" applyAlignment="1" applyProtection="1">
      <alignment horizontal="center" vertical="center"/>
      <protection locked="0"/>
    </xf>
    <xf numFmtId="0" fontId="7" fillId="6" borderId="22" xfId="0" applyFont="1" applyFill="1" applyBorder="1" applyAlignment="1" applyProtection="1">
      <alignment horizontal="center" vertical="center"/>
      <protection locked="0"/>
    </xf>
    <xf numFmtId="0" fontId="54" fillId="40" borderId="19" xfId="0" applyFont="1" applyFill="1" applyBorder="1" applyAlignment="1" applyProtection="1">
      <alignment horizontal="left" vertical="center" wrapText="1"/>
      <protection hidden="1"/>
    </xf>
    <xf numFmtId="0" fontId="54" fillId="40" borderId="20" xfId="0" applyFont="1" applyFill="1" applyBorder="1" applyAlignment="1" applyProtection="1">
      <alignment horizontal="left" vertical="center" wrapText="1"/>
      <protection hidden="1"/>
    </xf>
    <xf numFmtId="0" fontId="54" fillId="40" borderId="53" xfId="0" applyFont="1" applyFill="1" applyBorder="1" applyAlignment="1" applyProtection="1">
      <alignment horizontal="left" vertical="center" wrapText="1"/>
      <protection hidden="1"/>
    </xf>
    <xf numFmtId="0" fontId="54" fillId="40" borderId="22" xfId="0" applyFont="1" applyFill="1" applyBorder="1" applyAlignment="1" applyProtection="1">
      <alignment horizontal="left" vertical="center" wrapText="1"/>
      <protection hidden="1"/>
    </xf>
    <xf numFmtId="0" fontId="54" fillId="40" borderId="23" xfId="0" applyFont="1" applyFill="1" applyBorder="1" applyAlignment="1" applyProtection="1">
      <alignment horizontal="left" vertical="center" wrapText="1"/>
      <protection hidden="1"/>
    </xf>
    <xf numFmtId="0" fontId="7" fillId="2" borderId="76" xfId="0" applyFont="1" applyFill="1" applyBorder="1" applyAlignment="1">
      <alignment horizontal="center" vertical="center"/>
    </xf>
    <xf numFmtId="0" fontId="7" fillId="2" borderId="30" xfId="0" applyFont="1" applyFill="1" applyBorder="1" applyAlignment="1">
      <alignment horizontal="center" vertical="center"/>
    </xf>
    <xf numFmtId="0" fontId="7" fillId="2" borderId="73" xfId="0" applyFont="1" applyFill="1" applyBorder="1" applyAlignment="1">
      <alignment horizontal="left" vertical="center"/>
    </xf>
    <xf numFmtId="0" fontId="7" fillId="2" borderId="43" xfId="0" applyFont="1" applyFill="1" applyBorder="1" applyAlignment="1">
      <alignment horizontal="left" vertical="center"/>
    </xf>
    <xf numFmtId="0" fontId="7" fillId="2" borderId="75" xfId="0" applyFont="1" applyFill="1" applyBorder="1" applyAlignment="1">
      <alignment horizontal="left" vertical="center"/>
    </xf>
    <xf numFmtId="0" fontId="7" fillId="2" borderId="74" xfId="0" applyFont="1" applyFill="1" applyBorder="1" applyAlignment="1">
      <alignment horizontal="left" vertical="center"/>
    </xf>
    <xf numFmtId="0" fontId="7" fillId="2" borderId="9" xfId="0" applyFont="1" applyFill="1" applyBorder="1" applyAlignment="1">
      <alignment horizontal="left" vertical="center"/>
    </xf>
    <xf numFmtId="0" fontId="7" fillId="2" borderId="47" xfId="0" applyFont="1" applyFill="1" applyBorder="1" applyAlignment="1">
      <alignment horizontal="left" vertical="center"/>
    </xf>
    <xf numFmtId="0" fontId="42" fillId="34" borderId="1" xfId="0" applyFont="1" applyFill="1" applyBorder="1" applyAlignment="1">
      <alignment horizontal="center" vertical="center" wrapText="1"/>
    </xf>
    <xf numFmtId="0" fontId="42" fillId="34" borderId="7" xfId="0" applyFont="1" applyFill="1" applyBorder="1" applyAlignment="1">
      <alignment horizontal="center" vertical="center" wrapText="1"/>
    </xf>
    <xf numFmtId="0" fontId="37" fillId="40" borderId="73" xfId="0" applyFont="1" applyFill="1" applyBorder="1" applyAlignment="1">
      <alignment horizontal="center" vertical="center" wrapText="1"/>
    </xf>
    <xf numFmtId="0" fontId="37" fillId="40" borderId="43" xfId="0" applyFont="1" applyFill="1" applyBorder="1" applyAlignment="1">
      <alignment horizontal="center" vertical="center" wrapText="1"/>
    </xf>
    <xf numFmtId="0" fontId="37" fillId="40" borderId="75" xfId="0" applyFont="1" applyFill="1" applyBorder="1" applyAlignment="1">
      <alignment horizontal="center" vertical="center" wrapText="1"/>
    </xf>
    <xf numFmtId="0" fontId="37" fillId="40" borderId="74" xfId="0" applyFont="1" applyFill="1" applyBorder="1" applyAlignment="1">
      <alignment horizontal="center" vertical="center" wrapText="1"/>
    </xf>
    <xf numFmtId="0" fontId="37" fillId="40" borderId="9" xfId="0" applyFont="1" applyFill="1" applyBorder="1" applyAlignment="1">
      <alignment horizontal="center" vertical="center" wrapText="1"/>
    </xf>
    <xf numFmtId="0" fontId="37" fillId="40" borderId="47" xfId="0" applyFont="1" applyFill="1" applyBorder="1" applyAlignment="1">
      <alignment horizontal="center" vertical="center" wrapText="1"/>
    </xf>
    <xf numFmtId="0" fontId="40" fillId="8" borderId="0" xfId="0" applyFont="1" applyFill="1" applyBorder="1" applyAlignment="1" applyProtection="1">
      <alignment horizontal="center" vertical="center"/>
      <protection hidden="1"/>
    </xf>
    <xf numFmtId="0" fontId="37" fillId="0" borderId="0" xfId="0" applyFont="1" applyFill="1" applyAlignment="1">
      <alignment horizontal="center"/>
    </xf>
    <xf numFmtId="0" fontId="37" fillId="26" borderId="7" xfId="0" applyFont="1" applyFill="1" applyBorder="1" applyAlignment="1">
      <alignment horizontal="center"/>
    </xf>
    <xf numFmtId="0" fontId="37" fillId="26" borderId="25" xfId="0" applyFont="1" applyFill="1" applyBorder="1" applyAlignment="1">
      <alignment horizontal="center"/>
    </xf>
    <xf numFmtId="0" fontId="37" fillId="27" borderId="7" xfId="0" applyFont="1" applyFill="1" applyBorder="1" applyAlignment="1">
      <alignment horizontal="left" vertical="center"/>
    </xf>
    <xf numFmtId="0" fontId="37" fillId="27" borderId="42" xfId="0" applyFont="1" applyFill="1" applyBorder="1" applyAlignment="1">
      <alignment horizontal="left" vertical="center"/>
    </xf>
    <xf numFmtId="0" fontId="37" fillId="27" borderId="25" xfId="0" applyFont="1" applyFill="1" applyBorder="1" applyAlignment="1">
      <alignment horizontal="left" vertical="center"/>
    </xf>
    <xf numFmtId="0" fontId="37" fillId="9" borderId="0" xfId="0" applyFont="1" applyFill="1" applyBorder="1" applyAlignment="1">
      <alignment horizontal="center" vertical="center" wrapText="1"/>
    </xf>
    <xf numFmtId="0" fontId="42" fillId="4" borderId="2" xfId="0" applyFont="1" applyFill="1" applyBorder="1" applyAlignment="1">
      <alignment horizontal="center" vertical="center" wrapText="1"/>
    </xf>
    <xf numFmtId="0" fontId="50" fillId="5" borderId="41" xfId="0" applyFont="1" applyFill="1" applyBorder="1" applyAlignment="1">
      <alignment horizontal="center" vertical="center"/>
    </xf>
    <xf numFmtId="0" fontId="50" fillId="5" borderId="0" xfId="0" applyFont="1" applyFill="1" applyBorder="1" applyAlignment="1">
      <alignment horizontal="center" vertical="center"/>
    </xf>
    <xf numFmtId="0" fontId="50" fillId="5" borderId="2" xfId="0" applyFont="1" applyFill="1" applyBorder="1" applyAlignment="1">
      <alignment horizontal="left" vertical="center"/>
    </xf>
    <xf numFmtId="0" fontId="0" fillId="0" borderId="1" xfId="0" applyBorder="1" applyAlignment="1">
      <alignment horizontal="left"/>
    </xf>
    <xf numFmtId="0" fontId="0" fillId="0" borderId="2" xfId="0" applyBorder="1" applyAlignment="1">
      <alignment horizontal="left"/>
    </xf>
    <xf numFmtId="0" fontId="0" fillId="0" borderId="7"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51" xfId="0" applyBorder="1" applyAlignment="1">
      <alignment horizontal="left"/>
    </xf>
    <xf numFmtId="0" fontId="36" fillId="19" borderId="18" xfId="0" applyFont="1" applyFill="1" applyBorder="1" applyAlignment="1">
      <alignment horizontal="center" vertical="center"/>
    </xf>
    <xf numFmtId="0" fontId="36" fillId="19" borderId="19" xfId="0" applyFont="1" applyFill="1" applyBorder="1" applyAlignment="1">
      <alignment horizontal="center" vertical="center"/>
    </xf>
    <xf numFmtId="0" fontId="36" fillId="19" borderId="20" xfId="0" applyFont="1" applyFill="1" applyBorder="1" applyAlignment="1">
      <alignment horizontal="center" vertical="center"/>
    </xf>
    <xf numFmtId="0" fontId="36" fillId="19" borderId="21" xfId="0" applyFont="1" applyFill="1" applyBorder="1" applyAlignment="1">
      <alignment horizontal="center" vertical="center"/>
    </xf>
    <xf numFmtId="0" fontId="36" fillId="19" borderId="22" xfId="0" applyFont="1" applyFill="1" applyBorder="1" applyAlignment="1">
      <alignment horizontal="center" vertical="center"/>
    </xf>
    <xf numFmtId="0" fontId="36" fillId="19" borderId="23" xfId="0" applyFont="1" applyFill="1" applyBorder="1" applyAlignment="1">
      <alignment horizontal="center" vertical="center"/>
    </xf>
    <xf numFmtId="0" fontId="0" fillId="0" borderId="14" xfId="0" applyBorder="1" applyAlignment="1">
      <alignment horizontal="left"/>
    </xf>
    <xf numFmtId="0" fontId="0" fillId="0" borderId="15" xfId="0" applyBorder="1" applyAlignment="1">
      <alignment horizontal="left"/>
    </xf>
    <xf numFmtId="0" fontId="0" fillId="0" borderId="17" xfId="0" applyBorder="1" applyAlignment="1">
      <alignment horizontal="left"/>
    </xf>
    <xf numFmtId="0" fontId="11" fillId="0" borderId="41" xfId="0" applyFont="1" applyBorder="1" applyAlignment="1">
      <alignment horizontal="center" vertical="center"/>
    </xf>
    <xf numFmtId="164" fontId="4" fillId="10" borderId="18" xfId="0" applyNumberFormat="1" applyFont="1" applyFill="1" applyBorder="1" applyAlignment="1">
      <alignment horizontal="center" vertical="center"/>
    </xf>
    <xf numFmtId="0" fontId="4" fillId="10" borderId="21" xfId="0" applyFont="1" applyFill="1" applyBorder="1" applyAlignment="1">
      <alignment horizontal="center" vertical="center"/>
    </xf>
    <xf numFmtId="164" fontId="4" fillId="9" borderId="2" xfId="0" applyNumberFormat="1" applyFont="1" applyFill="1" applyBorder="1" applyAlignment="1">
      <alignment horizontal="center" vertical="center"/>
    </xf>
    <xf numFmtId="0" fontId="4" fillId="9" borderId="2" xfId="0" applyFont="1" applyFill="1" applyBorder="1" applyAlignment="1">
      <alignment horizontal="center" vertical="center"/>
    </xf>
    <xf numFmtId="0" fontId="11" fillId="0" borderId="24" xfId="0" applyFont="1" applyBorder="1" applyAlignment="1">
      <alignment horizontal="center" vertical="center"/>
    </xf>
    <xf numFmtId="0" fontId="5" fillId="4" borderId="2" xfId="0" applyFont="1" applyFill="1" applyBorder="1" applyAlignment="1">
      <alignment horizontal="center" vertical="center"/>
    </xf>
    <xf numFmtId="0" fontId="47" fillId="8" borderId="0" xfId="0" applyFont="1" applyFill="1" applyAlignment="1">
      <alignment horizontal="center"/>
    </xf>
    <xf numFmtId="0" fontId="47" fillId="8" borderId="53" xfId="0" applyFont="1" applyFill="1" applyBorder="1" applyAlignment="1">
      <alignment horizontal="center"/>
    </xf>
    <xf numFmtId="0" fontId="102" fillId="0" borderId="0" xfId="0" applyFont="1" applyAlignment="1">
      <alignment horizontal="center"/>
    </xf>
    <xf numFmtId="0" fontId="102" fillId="0" borderId="22" xfId="0" applyFont="1" applyBorder="1" applyAlignment="1">
      <alignment horizontal="center"/>
    </xf>
    <xf numFmtId="0" fontId="102" fillId="0" borderId="0" xfId="0" applyFont="1" applyBorder="1" applyAlignment="1">
      <alignment horizontal="center"/>
    </xf>
    <xf numFmtId="0" fontId="37" fillId="0" borderId="55" xfId="0" applyFont="1" applyBorder="1" applyAlignment="1">
      <alignment horizontal="center"/>
    </xf>
    <xf numFmtId="0" fontId="37" fillId="0" borderId="56" xfId="0" applyFont="1" applyBorder="1" applyAlignment="1">
      <alignment horizontal="center"/>
    </xf>
    <xf numFmtId="0" fontId="0" fillId="28" borderId="0" xfId="0" applyFill="1" applyBorder="1" applyAlignment="1">
      <alignment horizontal="center"/>
    </xf>
    <xf numFmtId="0" fontId="37" fillId="0" borderId="0" xfId="0" applyFont="1" applyFill="1" applyBorder="1" applyAlignment="1">
      <alignment horizontal="center"/>
    </xf>
    <xf numFmtId="0" fontId="0" fillId="0" borderId="0" xfId="0" applyBorder="1" applyAlignment="1">
      <alignment horizontal="center" vertical="center"/>
    </xf>
    <xf numFmtId="0" fontId="42" fillId="10" borderId="54" xfId="0" applyFont="1" applyFill="1" applyBorder="1" applyAlignment="1">
      <alignment horizontal="center"/>
    </xf>
    <xf numFmtId="0" fontId="42" fillId="10" borderId="55" xfId="0" applyFont="1" applyFill="1" applyBorder="1" applyAlignment="1">
      <alignment horizontal="center"/>
    </xf>
    <xf numFmtId="0" fontId="37" fillId="10" borderId="2" xfId="0" applyFont="1" applyFill="1" applyBorder="1" applyAlignment="1">
      <alignment horizontal="center"/>
    </xf>
    <xf numFmtId="0" fontId="0" fillId="10" borderId="2" xfId="0" applyFill="1" applyBorder="1" applyAlignment="1">
      <alignment horizontal="center"/>
    </xf>
    <xf numFmtId="0" fontId="37" fillId="0" borderId="0" xfId="0" applyFont="1" applyAlignment="1">
      <alignment horizontal="center"/>
    </xf>
    <xf numFmtId="0" fontId="0" fillId="26" borderId="55" xfId="0" applyFill="1" applyBorder="1" applyAlignment="1">
      <alignment horizontal="center"/>
    </xf>
    <xf numFmtId="0" fontId="0" fillId="26" borderId="56" xfId="0" applyFill="1" applyBorder="1" applyAlignment="1">
      <alignment horizontal="center"/>
    </xf>
    <xf numFmtId="0" fontId="37" fillId="13" borderId="54" xfId="0" applyFont="1" applyFill="1" applyBorder="1" applyAlignment="1">
      <alignment horizontal="center"/>
    </xf>
    <xf numFmtId="0" fontId="37" fillId="13" borderId="56" xfId="0" applyFont="1" applyFill="1" applyBorder="1" applyAlignment="1">
      <alignment horizontal="center"/>
    </xf>
    <xf numFmtId="0" fontId="0" fillId="38" borderId="55" xfId="0" applyFill="1" applyBorder="1" applyAlignment="1">
      <alignment horizontal="center"/>
    </xf>
    <xf numFmtId="0" fontId="0" fillId="35" borderId="55" xfId="0" applyFill="1" applyBorder="1" applyAlignment="1">
      <alignment horizontal="center"/>
    </xf>
    <xf numFmtId="0" fontId="0" fillId="35" borderId="56" xfId="0" applyFill="1" applyBorder="1" applyAlignment="1">
      <alignment horizontal="center"/>
    </xf>
    <xf numFmtId="0" fontId="0" fillId="38" borderId="54" xfId="0" applyFill="1" applyBorder="1" applyAlignment="1">
      <alignment horizontal="center"/>
    </xf>
    <xf numFmtId="0" fontId="37" fillId="19" borderId="55" xfId="0" applyFont="1" applyFill="1" applyBorder="1" applyAlignment="1">
      <alignment horizontal="center"/>
    </xf>
    <xf numFmtId="0" fontId="37" fillId="19" borderId="56" xfId="0" applyFont="1" applyFill="1" applyBorder="1" applyAlignment="1">
      <alignment horizontal="center"/>
    </xf>
    <xf numFmtId="0" fontId="37" fillId="0" borderId="54" xfId="0" applyFont="1" applyBorder="1" applyAlignment="1">
      <alignment horizontal="center"/>
    </xf>
    <xf numFmtId="0" fontId="37" fillId="19" borderId="54" xfId="0" applyFont="1" applyFill="1" applyBorder="1" applyAlignment="1">
      <alignment horizontal="center"/>
    </xf>
    <xf numFmtId="0" fontId="42" fillId="10" borderId="56" xfId="0" applyFont="1" applyFill="1" applyBorder="1" applyAlignment="1">
      <alignment horizontal="center"/>
    </xf>
    <xf numFmtId="0" fontId="0" fillId="0" borderId="0" xfId="0" applyAlignment="1">
      <alignment horizontal="center"/>
    </xf>
    <xf numFmtId="0" fontId="92" fillId="0" borderId="0" xfId="0" applyFont="1" applyAlignment="1">
      <alignment horizontal="center" vertical="center" wrapText="1"/>
    </xf>
    <xf numFmtId="0" fontId="0" fillId="0" borderId="0" xfId="0" applyAlignment="1">
      <alignment horizontal="center" vertical="center"/>
    </xf>
    <xf numFmtId="0" fontId="115" fillId="41" borderId="65" xfId="5" applyFont="1" applyFill="1" applyBorder="1" applyAlignment="1">
      <alignment horizontal="center"/>
    </xf>
    <xf numFmtId="0" fontId="115" fillId="19" borderId="65" xfId="5" applyFont="1" applyFill="1" applyBorder="1" applyAlignment="1">
      <alignment horizontal="center"/>
    </xf>
    <xf numFmtId="0" fontId="0" fillId="16" borderId="2" xfId="0" applyFill="1" applyBorder="1" applyAlignment="1">
      <alignment horizontal="center"/>
    </xf>
    <xf numFmtId="0" fontId="0" fillId="0" borderId="2" xfId="0" applyBorder="1" applyAlignment="1">
      <alignment horizontal="center"/>
    </xf>
    <xf numFmtId="0" fontId="95" fillId="0" borderId="52" xfId="0" applyFont="1" applyBorder="1" applyAlignment="1">
      <alignment horizontal="center" vertical="center"/>
    </xf>
    <xf numFmtId="0" fontId="95" fillId="0" borderId="0" xfId="0" applyFont="1" applyBorder="1" applyAlignment="1">
      <alignment horizontal="center" vertical="center"/>
    </xf>
    <xf numFmtId="0" fontId="95" fillId="0" borderId="53" xfId="0" applyFont="1" applyBorder="1" applyAlignment="1">
      <alignment horizontal="center" vertical="center"/>
    </xf>
    <xf numFmtId="0" fontId="95" fillId="0" borderId="21" xfId="0" applyFont="1" applyBorder="1" applyAlignment="1">
      <alignment horizontal="center" vertical="center"/>
    </xf>
    <xf numFmtId="0" fontId="95" fillId="0" borderId="22" xfId="0" applyFont="1" applyBorder="1" applyAlignment="1">
      <alignment horizontal="center" vertical="center"/>
    </xf>
    <xf numFmtId="0" fontId="95" fillId="0" borderId="23" xfId="0" applyFont="1" applyBorder="1" applyAlignment="1">
      <alignment horizontal="center" vertical="center"/>
    </xf>
    <xf numFmtId="0" fontId="0" fillId="0" borderId="25" xfId="0" applyBorder="1" applyAlignment="1">
      <alignment horizontal="center"/>
    </xf>
    <xf numFmtId="0" fontId="44" fillId="23" borderId="0" xfId="0" applyFont="1" applyFill="1" applyAlignment="1">
      <alignment horizontal="center"/>
    </xf>
    <xf numFmtId="0" fontId="0" fillId="0" borderId="2" xfId="0" applyBorder="1" applyAlignment="1">
      <alignment horizontal="left" vertical="center"/>
    </xf>
    <xf numFmtId="0" fontId="0" fillId="0" borderId="0" xfId="0" applyAlignment="1">
      <alignment horizontal="left" vertical="top" wrapText="1"/>
    </xf>
    <xf numFmtId="0" fontId="95" fillId="0" borderId="2" xfId="0" applyFont="1" applyBorder="1" applyAlignment="1">
      <alignment horizontal="center" vertical="center"/>
    </xf>
    <xf numFmtId="0" fontId="95" fillId="0" borderId="0" xfId="0" applyFont="1" applyAlignment="1">
      <alignment horizontal="center" vertical="center"/>
    </xf>
    <xf numFmtId="0" fontId="0" fillId="16" borderId="34" xfId="0" applyFill="1" applyBorder="1" applyAlignment="1">
      <alignment horizontal="center"/>
    </xf>
    <xf numFmtId="0" fontId="0" fillId="0" borderId="34" xfId="0" applyBorder="1" applyAlignment="1">
      <alignment horizontal="center"/>
    </xf>
    <xf numFmtId="0" fontId="44" fillId="16" borderId="2" xfId="0" applyFont="1" applyFill="1" applyBorder="1" applyAlignment="1">
      <alignment horizontal="center"/>
    </xf>
    <xf numFmtId="0" fontId="95" fillId="0" borderId="2" xfId="0" applyFont="1" applyBorder="1" applyAlignment="1">
      <alignment horizontal="center" vertical="center" wrapText="1"/>
    </xf>
    <xf numFmtId="0" fontId="0" fillId="0" borderId="2" xfId="0" applyBorder="1" applyAlignment="1">
      <alignment horizontal="center" vertical="center"/>
    </xf>
    <xf numFmtId="0" fontId="0" fillId="0" borderId="2" xfId="0" applyFont="1" applyBorder="1" applyAlignment="1">
      <alignment horizontal="center" vertical="center"/>
    </xf>
    <xf numFmtId="0" fontId="4" fillId="0" borderId="2" xfId="0" applyFont="1" applyBorder="1" applyAlignment="1">
      <alignment horizontal="center"/>
    </xf>
    <xf numFmtId="0" fontId="0" fillId="16" borderId="0" xfId="0" applyFill="1" applyAlignment="1">
      <alignment horizontal="center"/>
    </xf>
    <xf numFmtId="0" fontId="0" fillId="16" borderId="52" xfId="0" applyFill="1" applyBorder="1" applyAlignment="1">
      <alignment horizontal="left"/>
    </xf>
    <xf numFmtId="0" fontId="0" fillId="16" borderId="0" xfId="0" applyFill="1" applyBorder="1" applyAlignment="1">
      <alignment horizontal="left"/>
    </xf>
    <xf numFmtId="0" fontId="95" fillId="0" borderId="18" xfId="0" applyFont="1" applyBorder="1" applyAlignment="1">
      <alignment horizontal="center" vertical="center"/>
    </xf>
    <xf numFmtId="0" fontId="95" fillId="0" borderId="19" xfId="0" applyFont="1" applyBorder="1" applyAlignment="1">
      <alignment horizontal="center" vertical="center"/>
    </xf>
    <xf numFmtId="0" fontId="95" fillId="0" borderId="20" xfId="0" applyFont="1" applyBorder="1" applyAlignment="1">
      <alignment horizontal="center" vertical="center"/>
    </xf>
    <xf numFmtId="0" fontId="0" fillId="0" borderId="0" xfId="0" applyAlignment="1">
      <alignment horizontal="left" vertical="center"/>
    </xf>
    <xf numFmtId="0" fontId="48" fillId="0" borderId="2" xfId="0" applyFont="1" applyBorder="1" applyAlignment="1">
      <alignment horizontal="left" vertical="center"/>
    </xf>
    <xf numFmtId="0" fontId="48" fillId="0" borderId="0" xfId="0" applyFont="1" applyAlignment="1">
      <alignment horizontal="left" vertical="top" wrapText="1"/>
    </xf>
    <xf numFmtId="0" fontId="48" fillId="16" borderId="52" xfId="0" applyFont="1" applyFill="1" applyBorder="1" applyAlignment="1">
      <alignment horizontal="left"/>
    </xf>
    <xf numFmtId="0" fontId="48" fillId="16" borderId="0" xfId="0" applyFont="1" applyFill="1" applyBorder="1" applyAlignment="1">
      <alignment horizontal="left"/>
    </xf>
    <xf numFmtId="0" fontId="48" fillId="0" borderId="2" xfId="0" applyFont="1" applyBorder="1" applyAlignment="1">
      <alignment horizontal="center"/>
    </xf>
    <xf numFmtId="0" fontId="48" fillId="23" borderId="0" xfId="0" applyFont="1" applyFill="1" applyAlignment="1">
      <alignment horizontal="center"/>
    </xf>
    <xf numFmtId="0" fontId="48" fillId="16" borderId="2" xfId="0" applyFont="1" applyFill="1" applyBorder="1" applyAlignment="1">
      <alignment horizontal="center"/>
    </xf>
    <xf numFmtId="0" fontId="109" fillId="0" borderId="18" xfId="0" applyFont="1" applyBorder="1" applyAlignment="1">
      <alignment horizontal="center" vertical="center"/>
    </xf>
    <xf numFmtId="0" fontId="109" fillId="0" borderId="19" xfId="0" applyFont="1" applyBorder="1" applyAlignment="1">
      <alignment horizontal="center" vertical="center"/>
    </xf>
    <xf numFmtId="0" fontId="109" fillId="0" borderId="20" xfId="0" applyFont="1" applyBorder="1" applyAlignment="1">
      <alignment horizontal="center" vertical="center"/>
    </xf>
    <xf numFmtId="0" fontId="109" fillId="0" borderId="21" xfId="0" applyFont="1" applyBorder="1" applyAlignment="1">
      <alignment horizontal="center" vertical="center"/>
    </xf>
    <xf numFmtId="0" fontId="109" fillId="0" borderId="22" xfId="0" applyFont="1" applyBorder="1" applyAlignment="1">
      <alignment horizontal="center" vertical="center"/>
    </xf>
    <xf numFmtId="0" fontId="109" fillId="0" borderId="23" xfId="0" applyFont="1" applyBorder="1" applyAlignment="1">
      <alignment horizontal="center" vertical="center"/>
    </xf>
    <xf numFmtId="0" fontId="48" fillId="0" borderId="25" xfId="0" applyFont="1" applyBorder="1" applyAlignment="1">
      <alignment horizontal="center"/>
    </xf>
    <xf numFmtId="0" fontId="115" fillId="41" borderId="88" xfId="5" applyFont="1" applyFill="1" applyBorder="1" applyAlignment="1">
      <alignment horizontal="center" vertical="center"/>
    </xf>
    <xf numFmtId="0" fontId="115" fillId="41" borderId="90" xfId="5" applyFont="1" applyFill="1" applyBorder="1" applyAlignment="1">
      <alignment horizontal="center" vertical="center"/>
    </xf>
    <xf numFmtId="0" fontId="115" fillId="41" borderId="89" xfId="5" applyFont="1" applyFill="1" applyBorder="1" applyAlignment="1">
      <alignment horizontal="center" vertical="center"/>
    </xf>
    <xf numFmtId="0" fontId="92" fillId="0" borderId="2" xfId="0" applyFont="1" applyBorder="1" applyAlignment="1">
      <alignment horizontal="center" vertical="center" wrapText="1"/>
    </xf>
    <xf numFmtId="0" fontId="92" fillId="0" borderId="7" xfId="0" applyFont="1" applyBorder="1" applyAlignment="1">
      <alignment horizontal="center" vertical="center" wrapText="1"/>
    </xf>
    <xf numFmtId="0" fontId="92" fillId="0" borderId="25" xfId="0" applyFont="1" applyBorder="1" applyAlignment="1">
      <alignment horizontal="center" vertical="center" wrapText="1"/>
    </xf>
    <xf numFmtId="0" fontId="107" fillId="8" borderId="0" xfId="0" applyFont="1" applyFill="1" applyAlignment="1">
      <alignment horizontal="center" vertical="center"/>
    </xf>
    <xf numFmtId="0" fontId="0" fillId="0" borderId="7" xfId="0" applyBorder="1" applyAlignment="1">
      <alignment horizontal="left" vertical="center"/>
    </xf>
    <xf numFmtId="0" fontId="0" fillId="0" borderId="42" xfId="0" applyBorder="1" applyAlignment="1">
      <alignment horizontal="left" vertical="center"/>
    </xf>
    <xf numFmtId="0" fontId="0" fillId="0" borderId="25" xfId="0" applyBorder="1" applyAlignment="1">
      <alignment horizontal="left" vertical="center"/>
    </xf>
    <xf numFmtId="0" fontId="0" fillId="0" borderId="69" xfId="0" applyBorder="1" applyAlignment="1">
      <alignment horizontal="center" vertical="top"/>
    </xf>
    <xf numFmtId="0" fontId="0" fillId="0" borderId="19" xfId="0" applyBorder="1" applyAlignment="1">
      <alignment horizontal="center" vertical="top"/>
    </xf>
    <xf numFmtId="0" fontId="0" fillId="0" borderId="11" xfId="0" applyBorder="1" applyAlignment="1">
      <alignment horizontal="center" vertical="top"/>
    </xf>
    <xf numFmtId="0" fontId="0" fillId="0" borderId="41" xfId="0" applyBorder="1" applyAlignment="1">
      <alignment horizontal="center" vertical="top"/>
    </xf>
    <xf numFmtId="0" fontId="0" fillId="0" borderId="0" xfId="0" applyBorder="1" applyAlignment="1">
      <alignment horizontal="center" vertical="top"/>
    </xf>
    <xf numFmtId="0" fontId="0" fillId="0" borderId="58" xfId="0" applyBorder="1" applyAlignment="1">
      <alignment horizontal="center" vertical="top"/>
    </xf>
    <xf numFmtId="0" fontId="4" fillId="7" borderId="14" xfId="0" applyFont="1" applyFill="1" applyBorder="1" applyAlignment="1">
      <alignment horizontal="center" vertical="center"/>
    </xf>
    <xf numFmtId="0" fontId="4" fillId="7" borderId="15" xfId="0" applyFont="1" applyFill="1" applyBorder="1" applyAlignment="1">
      <alignment horizontal="center" vertical="center"/>
    </xf>
    <xf numFmtId="0" fontId="4" fillId="7" borderId="16" xfId="0" applyFont="1" applyFill="1" applyBorder="1" applyAlignment="1">
      <alignment horizontal="center" vertical="center"/>
    </xf>
    <xf numFmtId="0" fontId="4" fillId="7" borderId="1" xfId="0" applyFont="1" applyFill="1" applyBorder="1" applyAlignment="1">
      <alignment horizontal="center" vertical="center"/>
    </xf>
    <xf numFmtId="0" fontId="4" fillId="7" borderId="2" xfId="0" applyFont="1" applyFill="1" applyBorder="1" applyAlignment="1">
      <alignment horizontal="center" vertical="center"/>
    </xf>
    <xf numFmtId="0" fontId="4" fillId="7" borderId="28" xfId="0" applyFont="1" applyFill="1" applyBorder="1" applyAlignment="1">
      <alignment horizontal="center" vertical="center"/>
    </xf>
    <xf numFmtId="0" fontId="4" fillId="7" borderId="76" xfId="0" applyFont="1" applyFill="1" applyBorder="1" applyAlignment="1">
      <alignment horizontal="center" vertical="center"/>
    </xf>
    <xf numFmtId="0" fontId="4" fillId="7" borderId="30" xfId="0" applyFont="1" applyFill="1" applyBorder="1" applyAlignment="1">
      <alignment horizontal="center" vertical="center"/>
    </xf>
    <xf numFmtId="0" fontId="4" fillId="7" borderId="79" xfId="0" applyFont="1" applyFill="1" applyBorder="1" applyAlignment="1">
      <alignment horizontal="center" vertical="center"/>
    </xf>
    <xf numFmtId="0" fontId="0" fillId="0" borderId="2" xfId="0" applyBorder="1" applyAlignment="1">
      <alignment horizontal="left" vertical="top" wrapText="1"/>
    </xf>
    <xf numFmtId="0" fontId="92" fillId="0" borderId="2" xfId="0" applyFont="1" applyBorder="1" applyAlignment="1">
      <alignment horizontal="left" vertical="top" wrapText="1"/>
    </xf>
    <xf numFmtId="0" fontId="92" fillId="0" borderId="0" xfId="0" applyFont="1" applyBorder="1" applyAlignment="1">
      <alignment horizontal="center" vertical="top" wrapText="1"/>
    </xf>
    <xf numFmtId="0" fontId="92" fillId="0" borderId="9" xfId="0" applyFont="1" applyBorder="1" applyAlignment="1">
      <alignment horizontal="center" vertical="top" wrapText="1"/>
    </xf>
    <xf numFmtId="0" fontId="0" fillId="0" borderId="0" xfId="0" applyBorder="1" applyAlignment="1">
      <alignment horizontal="center"/>
    </xf>
    <xf numFmtId="0" fontId="0" fillId="0" borderId="9" xfId="0" applyBorder="1" applyAlignment="1">
      <alignment horizontal="center"/>
    </xf>
    <xf numFmtId="0" fontId="4" fillId="7" borderId="18" xfId="0" applyFont="1" applyFill="1" applyBorder="1" applyAlignment="1">
      <alignment horizontal="center" vertical="center"/>
    </xf>
    <xf numFmtId="0" fontId="4" fillId="7" borderId="19" xfId="0" applyFont="1" applyFill="1" applyBorder="1" applyAlignment="1">
      <alignment horizontal="center" vertical="center"/>
    </xf>
    <xf numFmtId="0" fontId="4" fillId="7" borderId="20" xfId="0" applyFont="1" applyFill="1" applyBorder="1" applyAlignment="1">
      <alignment horizontal="center" vertical="center"/>
    </xf>
    <xf numFmtId="0" fontId="4" fillId="7" borderId="52" xfId="0" applyFont="1" applyFill="1" applyBorder="1" applyAlignment="1">
      <alignment horizontal="center" vertical="center"/>
    </xf>
    <xf numFmtId="0" fontId="4" fillId="7" borderId="0" xfId="0" applyFont="1" applyFill="1" applyBorder="1" applyAlignment="1">
      <alignment horizontal="center" vertical="center"/>
    </xf>
    <xf numFmtId="0" fontId="4" fillId="7" borderId="53" xfId="0" applyFont="1" applyFill="1" applyBorder="1" applyAlignment="1">
      <alignment horizontal="center" vertical="center"/>
    </xf>
    <xf numFmtId="0" fontId="4" fillId="7" borderId="21" xfId="0" applyFont="1" applyFill="1" applyBorder="1" applyAlignment="1">
      <alignment horizontal="center" vertical="center"/>
    </xf>
    <xf numFmtId="0" fontId="4" fillId="7" borderId="22" xfId="0" applyFont="1" applyFill="1" applyBorder="1" applyAlignment="1">
      <alignment horizontal="center" vertical="center"/>
    </xf>
    <xf numFmtId="0" fontId="4" fillId="7" borderId="23" xfId="0" applyFont="1" applyFill="1" applyBorder="1" applyAlignment="1">
      <alignment horizontal="center" vertical="center"/>
    </xf>
    <xf numFmtId="0" fontId="53" fillId="0" borderId="0" xfId="0" applyFont="1" applyFill="1" applyBorder="1" applyAlignment="1">
      <alignment horizontal="center"/>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0" fontId="4" fillId="7" borderId="5" xfId="0" applyFont="1" applyFill="1" applyBorder="1" applyAlignment="1">
      <alignment horizontal="center" vertical="center"/>
    </xf>
    <xf numFmtId="0" fontId="92" fillId="0" borderId="0" xfId="0" applyFont="1" applyBorder="1" applyAlignment="1">
      <alignment horizontal="center" vertical="center" wrapText="1"/>
    </xf>
    <xf numFmtId="0" fontId="92" fillId="0" borderId="6" xfId="0" applyFont="1" applyBorder="1" applyAlignment="1">
      <alignment horizontal="center" vertical="center" wrapText="1"/>
    </xf>
    <xf numFmtId="0" fontId="92" fillId="0" borderId="43" xfId="0" applyFont="1" applyBorder="1" applyAlignment="1">
      <alignment horizontal="center" vertical="center" wrapText="1"/>
    </xf>
    <xf numFmtId="0" fontId="92" fillId="0" borderId="29" xfId="0" applyFont="1" applyBorder="1" applyAlignment="1">
      <alignment horizontal="center" vertical="center" wrapText="1"/>
    </xf>
    <xf numFmtId="0" fontId="92" fillId="0" borderId="41" xfId="0" applyFont="1" applyBorder="1" applyAlignment="1">
      <alignment horizontal="center" vertical="center" wrapText="1"/>
    </xf>
    <xf numFmtId="0" fontId="92" fillId="0" borderId="58" xfId="0" applyFont="1" applyBorder="1" applyAlignment="1">
      <alignment horizontal="center" vertical="center" wrapText="1"/>
    </xf>
    <xf numFmtId="0" fontId="92" fillId="0" borderId="8" xfId="0" applyFont="1" applyBorder="1" applyAlignment="1">
      <alignment horizontal="center" vertical="center" wrapText="1"/>
    </xf>
    <xf numFmtId="0" fontId="92" fillId="0" borderId="9" xfId="0" applyFont="1" applyBorder="1" applyAlignment="1">
      <alignment horizontal="center" vertical="center" wrapText="1"/>
    </xf>
    <xf numFmtId="0" fontId="92" fillId="0" borderId="27" xfId="0" applyFont="1" applyBorder="1" applyAlignment="1">
      <alignment horizontal="center" vertical="center" wrapText="1"/>
    </xf>
    <xf numFmtId="0" fontId="103" fillId="8" borderId="7" xfId="0" applyFont="1" applyFill="1" applyBorder="1" applyAlignment="1">
      <alignment horizontal="center" vertical="center"/>
    </xf>
    <xf numFmtId="0" fontId="103" fillId="8" borderId="42" xfId="0" applyFont="1" applyFill="1" applyBorder="1" applyAlignment="1">
      <alignment horizontal="center" vertical="center"/>
    </xf>
    <xf numFmtId="0" fontId="92" fillId="0" borderId="6" xfId="0" applyFont="1" applyBorder="1" applyAlignment="1">
      <alignment horizontal="center" vertical="top" wrapText="1"/>
    </xf>
    <xf numFmtId="0" fontId="92" fillId="0" borderId="43" xfId="0" applyFont="1" applyBorder="1" applyAlignment="1">
      <alignment horizontal="center" vertical="top" wrapText="1"/>
    </xf>
    <xf numFmtId="0" fontId="92" fillId="0" borderId="29" xfId="0" applyFont="1" applyBorder="1" applyAlignment="1">
      <alignment horizontal="center" vertical="top" wrapText="1"/>
    </xf>
    <xf numFmtId="0" fontId="92" fillId="0" borderId="41" xfId="0" applyFont="1" applyBorder="1" applyAlignment="1">
      <alignment horizontal="center" vertical="top" wrapText="1"/>
    </xf>
    <xf numFmtId="0" fontId="92" fillId="0" borderId="58" xfId="0" applyFont="1" applyBorder="1" applyAlignment="1">
      <alignment horizontal="center" vertical="top" wrapText="1"/>
    </xf>
    <xf numFmtId="0" fontId="92" fillId="0" borderId="8" xfId="0" applyFont="1" applyBorder="1" applyAlignment="1">
      <alignment horizontal="center" vertical="top" wrapText="1"/>
    </xf>
    <xf numFmtId="0" fontId="92" fillId="0" borderId="27" xfId="0" applyFont="1" applyBorder="1" applyAlignment="1">
      <alignment horizontal="center" vertical="top" wrapText="1"/>
    </xf>
    <xf numFmtId="0" fontId="84" fillId="0" borderId="0" xfId="0" applyFont="1" applyFill="1" applyBorder="1" applyAlignment="1">
      <alignment horizontal="center"/>
    </xf>
    <xf numFmtId="0" fontId="84" fillId="0" borderId="9" xfId="0" applyFont="1" applyFill="1" applyBorder="1" applyAlignment="1">
      <alignment horizontal="center"/>
    </xf>
    <xf numFmtId="0" fontId="96" fillId="0" borderId="0" xfId="0" applyFont="1" applyFill="1" applyBorder="1" applyAlignment="1">
      <alignment horizontal="center"/>
    </xf>
    <xf numFmtId="0" fontId="0" fillId="0" borderId="41" xfId="0" applyBorder="1" applyAlignment="1">
      <alignment horizontal="left" vertical="top" indent="2"/>
    </xf>
    <xf numFmtId="0" fontId="0" fillId="0" borderId="0" xfId="0" applyBorder="1" applyAlignment="1">
      <alignment horizontal="left" vertical="top" indent="2"/>
    </xf>
    <xf numFmtId="0" fontId="0" fillId="0" borderId="58" xfId="0" applyBorder="1" applyAlignment="1">
      <alignment horizontal="left" vertical="top" indent="2"/>
    </xf>
    <xf numFmtId="0" fontId="0" fillId="0" borderId="8" xfId="0" applyBorder="1" applyAlignment="1">
      <alignment horizontal="left" vertical="top" indent="2"/>
    </xf>
    <xf numFmtId="0" fontId="0" fillId="0" borderId="9" xfId="0" applyBorder="1" applyAlignment="1">
      <alignment horizontal="left" vertical="top" indent="2"/>
    </xf>
    <xf numFmtId="0" fontId="0" fillId="0" borderId="27" xfId="0" applyBorder="1" applyAlignment="1">
      <alignment horizontal="left" vertical="top" indent="2"/>
    </xf>
    <xf numFmtId="0" fontId="4" fillId="7" borderId="6" xfId="0" applyFont="1" applyFill="1" applyBorder="1" applyAlignment="1">
      <alignment horizontal="center" vertical="center"/>
    </xf>
    <xf numFmtId="0" fontId="4" fillId="7" borderId="43" xfId="0" applyFont="1" applyFill="1" applyBorder="1" applyAlignment="1">
      <alignment horizontal="center" vertical="center"/>
    </xf>
    <xf numFmtId="0" fontId="4" fillId="7" borderId="29" xfId="0" applyFont="1" applyFill="1" applyBorder="1" applyAlignment="1">
      <alignment horizontal="center" vertical="center"/>
    </xf>
    <xf numFmtId="0" fontId="4" fillId="7" borderId="41" xfId="0" applyFont="1" applyFill="1" applyBorder="1" applyAlignment="1">
      <alignment horizontal="center" vertical="center"/>
    </xf>
    <xf numFmtId="0" fontId="4" fillId="7" borderId="58" xfId="0" applyFont="1" applyFill="1" applyBorder="1" applyAlignment="1">
      <alignment horizontal="center" vertical="center"/>
    </xf>
    <xf numFmtId="0" fontId="4" fillId="7" borderId="8" xfId="0" applyFont="1" applyFill="1" applyBorder="1" applyAlignment="1">
      <alignment horizontal="center" vertical="center"/>
    </xf>
    <xf numFmtId="0" fontId="4" fillId="7" borderId="9" xfId="0" applyFont="1" applyFill="1" applyBorder="1" applyAlignment="1">
      <alignment horizontal="center" vertical="center"/>
    </xf>
    <xf numFmtId="0" fontId="4" fillId="7" borderId="27" xfId="0" applyFont="1" applyFill="1" applyBorder="1" applyAlignment="1">
      <alignment horizontal="center" vertical="center"/>
    </xf>
    <xf numFmtId="0" fontId="73" fillId="0" borderId="0" xfId="0" applyFont="1" applyBorder="1" applyAlignment="1">
      <alignment horizontal="center" vertical="top" wrapText="1"/>
    </xf>
    <xf numFmtId="0" fontId="73" fillId="0" borderId="0" xfId="0" applyFont="1" applyAlignment="1">
      <alignment horizontal="center"/>
    </xf>
    <xf numFmtId="0" fontId="53" fillId="7" borderId="18" xfId="0" applyFont="1" applyFill="1" applyBorder="1" applyAlignment="1">
      <alignment horizontal="center"/>
    </xf>
    <xf numFmtId="0" fontId="53" fillId="7" borderId="19" xfId="0" applyFont="1" applyFill="1" applyBorder="1" applyAlignment="1">
      <alignment horizontal="center"/>
    </xf>
    <xf numFmtId="0" fontId="53" fillId="7" borderId="20" xfId="0" applyFont="1" applyFill="1" applyBorder="1" applyAlignment="1">
      <alignment horizontal="center"/>
    </xf>
    <xf numFmtId="0" fontId="53" fillId="7" borderId="21" xfId="0" applyFont="1" applyFill="1" applyBorder="1" applyAlignment="1">
      <alignment horizontal="center"/>
    </xf>
    <xf numFmtId="0" fontId="53" fillId="7" borderId="22" xfId="0" applyFont="1" applyFill="1" applyBorder="1" applyAlignment="1">
      <alignment horizontal="center"/>
    </xf>
    <xf numFmtId="0" fontId="53" fillId="7" borderId="23" xfId="0" applyFont="1" applyFill="1" applyBorder="1" applyAlignment="1">
      <alignment horizontal="center"/>
    </xf>
    <xf numFmtId="0" fontId="86" fillId="0" borderId="18" xfId="0" applyFont="1" applyFill="1" applyBorder="1" applyAlignment="1">
      <alignment horizontal="center" vertical="center" wrapText="1"/>
    </xf>
    <xf numFmtId="0" fontId="86" fillId="0" borderId="19" xfId="0" applyFont="1" applyFill="1" applyBorder="1" applyAlignment="1">
      <alignment horizontal="center" vertical="center" wrapText="1"/>
    </xf>
    <xf numFmtId="0" fontId="86" fillId="0" borderId="20" xfId="0" applyFont="1" applyFill="1" applyBorder="1" applyAlignment="1">
      <alignment horizontal="center" vertical="center" wrapText="1"/>
    </xf>
    <xf numFmtId="0" fontId="86" fillId="0" borderId="52" xfId="0" applyFont="1" applyFill="1" applyBorder="1" applyAlignment="1">
      <alignment horizontal="center" vertical="center" wrapText="1"/>
    </xf>
    <xf numFmtId="0" fontId="86" fillId="0" borderId="0" xfId="0" applyFont="1" applyFill="1" applyBorder="1" applyAlignment="1">
      <alignment horizontal="center" vertical="center" wrapText="1"/>
    </xf>
    <xf numFmtId="0" fontId="86" fillId="0" borderId="53" xfId="0" applyFont="1" applyFill="1" applyBorder="1" applyAlignment="1">
      <alignment horizontal="center" vertical="center" wrapText="1"/>
    </xf>
    <xf numFmtId="0" fontId="86" fillId="0" borderId="21" xfId="0" applyFont="1" applyFill="1" applyBorder="1" applyAlignment="1">
      <alignment horizontal="center" vertical="center" wrapText="1"/>
    </xf>
    <xf numFmtId="0" fontId="86" fillId="0" borderId="22" xfId="0" applyFont="1" applyFill="1" applyBorder="1" applyAlignment="1">
      <alignment horizontal="center" vertical="center" wrapText="1"/>
    </xf>
    <xf numFmtId="0" fontId="86" fillId="0" borderId="23" xfId="0" applyFont="1" applyFill="1" applyBorder="1" applyAlignment="1">
      <alignment horizontal="center" vertical="center" wrapText="1"/>
    </xf>
    <xf numFmtId="0" fontId="86" fillId="0" borderId="18" xfId="0" applyFont="1" applyFill="1" applyBorder="1" applyAlignment="1">
      <alignment horizontal="left" vertical="center" wrapText="1"/>
    </xf>
    <xf numFmtId="0" fontId="86" fillId="0" borderId="19" xfId="0" applyFont="1" applyFill="1" applyBorder="1" applyAlignment="1">
      <alignment horizontal="left" vertical="center" wrapText="1"/>
    </xf>
    <xf numFmtId="0" fontId="86" fillId="0" borderId="20" xfId="0" applyFont="1" applyFill="1" applyBorder="1" applyAlignment="1">
      <alignment horizontal="left" vertical="center" wrapText="1"/>
    </xf>
    <xf numFmtId="0" fontId="86" fillId="0" borderId="52" xfId="0" applyFont="1" applyFill="1" applyBorder="1" applyAlignment="1">
      <alignment horizontal="left" vertical="center" wrapText="1"/>
    </xf>
    <xf numFmtId="0" fontId="86" fillId="0" borderId="0" xfId="0" applyFont="1" applyFill="1" applyBorder="1" applyAlignment="1">
      <alignment horizontal="left" vertical="center" wrapText="1"/>
    </xf>
    <xf numFmtId="0" fontId="86" fillId="0" borderId="53" xfId="0" applyFont="1" applyFill="1" applyBorder="1" applyAlignment="1">
      <alignment horizontal="left" vertical="center" wrapText="1"/>
    </xf>
    <xf numFmtId="0" fontId="86" fillId="0" borderId="21" xfId="0" applyFont="1" applyFill="1" applyBorder="1" applyAlignment="1">
      <alignment horizontal="left" vertical="center" wrapText="1"/>
    </xf>
    <xf numFmtId="0" fontId="86" fillId="0" borderId="22" xfId="0" applyFont="1" applyFill="1" applyBorder="1" applyAlignment="1">
      <alignment horizontal="left" vertical="center" wrapText="1"/>
    </xf>
    <xf numFmtId="0" fontId="86" fillId="0" borderId="23" xfId="0" applyFont="1" applyFill="1" applyBorder="1" applyAlignment="1">
      <alignment horizontal="left" vertical="center" wrapText="1"/>
    </xf>
    <xf numFmtId="0" fontId="53" fillId="0" borderId="2" xfId="0" applyFont="1" applyFill="1" applyBorder="1" applyAlignment="1">
      <alignment horizontal="center"/>
    </xf>
    <xf numFmtId="0" fontId="87" fillId="0" borderId="2" xfId="0" applyFont="1" applyFill="1" applyBorder="1" applyAlignment="1">
      <alignment vertical="center"/>
    </xf>
    <xf numFmtId="0" fontId="86" fillId="0" borderId="0" xfId="0" applyFont="1" applyFill="1" applyBorder="1" applyAlignment="1">
      <alignment horizontal="center" vertical="center"/>
    </xf>
    <xf numFmtId="0" fontId="86" fillId="0" borderId="9" xfId="0" applyFont="1" applyFill="1" applyBorder="1" applyAlignment="1">
      <alignment horizontal="center" vertical="center"/>
    </xf>
    <xf numFmtId="164" fontId="110" fillId="0" borderId="18" xfId="0" applyNumberFormat="1" applyFont="1" applyFill="1" applyBorder="1" applyAlignment="1">
      <alignment horizontal="center" vertical="center"/>
    </xf>
    <xf numFmtId="164" fontId="110" fillId="0" borderId="19" xfId="0" applyNumberFormat="1" applyFont="1" applyFill="1" applyBorder="1" applyAlignment="1">
      <alignment horizontal="center" vertical="center"/>
    </xf>
    <xf numFmtId="164" fontId="110" fillId="0" borderId="20" xfId="0" applyNumberFormat="1" applyFont="1" applyFill="1" applyBorder="1" applyAlignment="1">
      <alignment horizontal="center" vertical="center"/>
    </xf>
    <xf numFmtId="164" fontId="110" fillId="0" borderId="52" xfId="0" applyNumberFormat="1" applyFont="1" applyFill="1" applyBorder="1" applyAlignment="1">
      <alignment horizontal="center" vertical="center"/>
    </xf>
    <xf numFmtId="164" fontId="110" fillId="0" borderId="0" xfId="0" applyNumberFormat="1" applyFont="1" applyFill="1" applyBorder="1" applyAlignment="1">
      <alignment horizontal="center" vertical="center"/>
    </xf>
    <xf numFmtId="164" fontId="110" fillId="0" borderId="53" xfId="0" applyNumberFormat="1" applyFont="1" applyFill="1" applyBorder="1" applyAlignment="1">
      <alignment horizontal="center" vertical="center"/>
    </xf>
    <xf numFmtId="164" fontId="110" fillId="0" borderId="21" xfId="0" applyNumberFormat="1" applyFont="1" applyFill="1" applyBorder="1" applyAlignment="1">
      <alignment horizontal="center" vertical="center"/>
    </xf>
    <xf numFmtId="164" fontId="110" fillId="0" borderId="22" xfId="0" applyNumberFormat="1" applyFont="1" applyFill="1" applyBorder="1" applyAlignment="1">
      <alignment horizontal="center" vertical="center"/>
    </xf>
    <xf numFmtId="164" fontId="110" fillId="0" borderId="23" xfId="0" applyNumberFormat="1" applyFont="1" applyFill="1" applyBorder="1" applyAlignment="1">
      <alignment horizontal="center" vertical="center"/>
    </xf>
    <xf numFmtId="0" fontId="85" fillId="7" borderId="18" xfId="0" applyFont="1" applyFill="1" applyBorder="1" applyAlignment="1">
      <alignment horizontal="center"/>
    </xf>
    <xf numFmtId="0" fontId="85" fillId="7" borderId="19" xfId="0" applyFont="1" applyFill="1" applyBorder="1" applyAlignment="1">
      <alignment horizontal="center"/>
    </xf>
    <xf numFmtId="0" fontId="85" fillId="7" borderId="20" xfId="0" applyFont="1" applyFill="1" applyBorder="1" applyAlignment="1">
      <alignment horizontal="center"/>
    </xf>
    <xf numFmtId="0" fontId="85" fillId="7" borderId="21" xfId="0" applyFont="1" applyFill="1" applyBorder="1" applyAlignment="1">
      <alignment horizontal="center"/>
    </xf>
    <xf numFmtId="0" fontId="85" fillId="7" borderId="22" xfId="0" applyFont="1" applyFill="1" applyBorder="1" applyAlignment="1">
      <alignment horizontal="center"/>
    </xf>
    <xf numFmtId="0" fontId="85" fillId="7" borderId="23" xfId="0" applyFont="1" applyFill="1" applyBorder="1" applyAlignment="1">
      <alignment horizontal="center"/>
    </xf>
    <xf numFmtId="0" fontId="84" fillId="0" borderId="18" xfId="0" applyFont="1" applyFill="1" applyBorder="1" applyAlignment="1">
      <alignment horizontal="center" vertical="center"/>
    </xf>
    <xf numFmtId="0" fontId="84" fillId="0" borderId="19" xfId="0" applyFont="1" applyFill="1" applyBorder="1" applyAlignment="1">
      <alignment horizontal="center" vertical="center"/>
    </xf>
    <xf numFmtId="0" fontId="84" fillId="0" borderId="20" xfId="0" applyFont="1" applyFill="1" applyBorder="1" applyAlignment="1">
      <alignment horizontal="center" vertical="center"/>
    </xf>
    <xf numFmtId="0" fontId="84" fillId="0" borderId="52" xfId="0" applyFont="1" applyFill="1" applyBorder="1" applyAlignment="1">
      <alignment horizontal="center" vertical="center"/>
    </xf>
    <xf numFmtId="0" fontId="84" fillId="0" borderId="0" xfId="0" applyFont="1" applyFill="1" applyBorder="1" applyAlignment="1">
      <alignment horizontal="center" vertical="center"/>
    </xf>
    <xf numFmtId="0" fontId="84" fillId="0" borderId="53" xfId="0" applyFont="1" applyFill="1" applyBorder="1" applyAlignment="1">
      <alignment horizontal="center" vertical="center"/>
    </xf>
    <xf numFmtId="0" fontId="104" fillId="0" borderId="0" xfId="0" applyFont="1" applyFill="1" applyBorder="1" applyAlignment="1">
      <alignment horizontal="center" vertical="center"/>
    </xf>
    <xf numFmtId="0" fontId="104" fillId="0" borderId="9" xfId="0" applyFont="1" applyFill="1" applyBorder="1" applyAlignment="1">
      <alignment horizontal="center" vertical="center"/>
    </xf>
    <xf numFmtId="0" fontId="104" fillId="0" borderId="0" xfId="0" applyFont="1" applyFill="1" applyBorder="1" applyAlignment="1">
      <alignment horizontal="center"/>
    </xf>
    <xf numFmtId="0" fontId="104" fillId="0" borderId="9" xfId="0" applyFont="1" applyFill="1" applyBorder="1" applyAlignment="1">
      <alignment horizontal="center"/>
    </xf>
    <xf numFmtId="0" fontId="87" fillId="0" borderId="2" xfId="0" applyFont="1" applyFill="1" applyBorder="1" applyAlignment="1">
      <alignment horizontal="center"/>
    </xf>
    <xf numFmtId="164" fontId="79" fillId="0" borderId="0" xfId="0" applyNumberFormat="1" applyFont="1" applyFill="1" applyBorder="1" applyAlignment="1">
      <alignment horizontal="center" vertical="center"/>
    </xf>
    <xf numFmtId="0" fontId="53" fillId="0" borderId="0" xfId="0" applyFont="1" applyFill="1" applyBorder="1" applyAlignment="1">
      <alignment horizontal="center" vertical="center"/>
    </xf>
    <xf numFmtId="0" fontId="53" fillId="7" borderId="52" xfId="0" applyFont="1" applyFill="1" applyBorder="1" applyAlignment="1">
      <alignment horizontal="center"/>
    </xf>
    <xf numFmtId="0" fontId="53" fillId="7" borderId="0" xfId="0" applyFont="1" applyFill="1" applyBorder="1" applyAlignment="1">
      <alignment horizontal="center"/>
    </xf>
    <xf numFmtId="0" fontId="53" fillId="7" borderId="53" xfId="0" applyFont="1" applyFill="1" applyBorder="1" applyAlignment="1">
      <alignment horizontal="center"/>
    </xf>
    <xf numFmtId="0" fontId="92" fillId="0" borderId="34" xfId="0" applyFont="1" applyBorder="1" applyAlignment="1">
      <alignment horizontal="left" vertical="top" wrapText="1" indent="1"/>
    </xf>
    <xf numFmtId="0" fontId="92" fillId="0" borderId="2" xfId="0" applyFont="1" applyBorder="1" applyAlignment="1">
      <alignment horizontal="left" vertical="top" wrapText="1" indent="1"/>
    </xf>
    <xf numFmtId="0" fontId="126" fillId="5" borderId="0" xfId="0" applyFont="1" applyFill="1" applyBorder="1" applyAlignment="1">
      <alignment horizontal="center" vertical="center"/>
    </xf>
    <xf numFmtId="0" fontId="126" fillId="5" borderId="9" xfId="0" applyFont="1" applyFill="1" applyBorder="1" applyAlignment="1">
      <alignment horizontal="center" vertical="center"/>
    </xf>
    <xf numFmtId="0" fontId="126" fillId="5" borderId="0" xfId="1" applyFont="1" applyFill="1" applyBorder="1" applyAlignment="1">
      <alignment horizontal="center" vertical="center"/>
    </xf>
    <xf numFmtId="0" fontId="126" fillId="5" borderId="9" xfId="1" applyFont="1" applyFill="1" applyBorder="1" applyAlignment="1">
      <alignment horizontal="center" vertical="center"/>
    </xf>
    <xf numFmtId="0" fontId="126" fillId="5" borderId="30" xfId="1" applyFont="1" applyFill="1" applyBorder="1" applyAlignment="1">
      <alignment horizontal="center" vertical="center" wrapText="1"/>
    </xf>
    <xf numFmtId="0" fontId="126" fillId="5" borderId="24" xfId="1" applyFont="1" applyFill="1" applyBorder="1" applyAlignment="1">
      <alignment horizontal="center" vertical="center" wrapText="1"/>
    </xf>
    <xf numFmtId="0" fontId="126" fillId="5" borderId="30" xfId="1" applyFont="1" applyFill="1" applyBorder="1" applyAlignment="1">
      <alignment horizontal="center"/>
    </xf>
    <xf numFmtId="0" fontId="126" fillId="5" borderId="24" xfId="1" applyFont="1" applyFill="1" applyBorder="1" applyAlignment="1">
      <alignment horizontal="center"/>
    </xf>
    <xf numFmtId="0" fontId="126" fillId="5" borderId="7" xfId="1" applyFont="1" applyFill="1" applyBorder="1" applyAlignment="1">
      <alignment horizontal="center"/>
    </xf>
    <xf numFmtId="0" fontId="126" fillId="5" borderId="42" xfId="1" applyFont="1" applyFill="1" applyBorder="1" applyAlignment="1">
      <alignment horizontal="center"/>
    </xf>
    <xf numFmtId="0" fontId="126" fillId="5" borderId="25" xfId="1" applyFont="1" applyFill="1" applyBorder="1" applyAlignment="1">
      <alignment horizontal="center"/>
    </xf>
    <xf numFmtId="0" fontId="126" fillId="10" borderId="30" xfId="1" applyFont="1" applyFill="1" applyBorder="1" applyAlignment="1">
      <alignment horizontal="center"/>
    </xf>
    <xf numFmtId="0" fontId="126" fillId="10" borderId="24" xfId="1" applyFont="1" applyFill="1" applyBorder="1" applyAlignment="1">
      <alignment horizontal="center"/>
    </xf>
    <xf numFmtId="0" fontId="126" fillId="5" borderId="6" xfId="1" applyFont="1" applyFill="1" applyBorder="1" applyAlignment="1">
      <alignment horizontal="center" vertical="center"/>
    </xf>
    <xf numFmtId="0" fontId="126" fillId="5" borderId="8" xfId="1" applyFont="1" applyFill="1" applyBorder="1" applyAlignment="1">
      <alignment horizontal="center" vertical="center"/>
    </xf>
    <xf numFmtId="0" fontId="126" fillId="5" borderId="76" xfId="1" applyFont="1" applyFill="1" applyBorder="1" applyAlignment="1">
      <alignment horizontal="center"/>
    </xf>
    <xf numFmtId="0" fontId="126" fillId="5" borderId="64" xfId="1" applyFont="1" applyFill="1" applyBorder="1" applyAlignment="1">
      <alignment horizontal="center"/>
    </xf>
    <xf numFmtId="0" fontId="129" fillId="5" borderId="14" xfId="0" applyFont="1" applyFill="1" applyBorder="1" applyAlignment="1">
      <alignment horizontal="center" vertical="center"/>
    </xf>
    <xf numFmtId="0" fontId="129" fillId="5" borderId="15" xfId="0" applyFont="1" applyFill="1" applyBorder="1" applyAlignment="1">
      <alignment horizontal="center" vertical="center"/>
    </xf>
    <xf numFmtId="0" fontId="129" fillId="5" borderId="16" xfId="0" applyFont="1" applyFill="1" applyBorder="1" applyAlignment="1">
      <alignment horizontal="center" vertical="center"/>
    </xf>
    <xf numFmtId="0" fontId="126" fillId="5" borderId="48" xfId="0" applyFont="1" applyFill="1" applyBorder="1" applyAlignment="1">
      <alignment horizontal="center" vertical="center"/>
    </xf>
    <xf numFmtId="0" fontId="126" fillId="5" borderId="49" xfId="0" applyFont="1" applyFill="1" applyBorder="1" applyAlignment="1">
      <alignment horizontal="center" vertical="center"/>
    </xf>
    <xf numFmtId="0" fontId="126" fillId="5" borderId="48" xfId="0" applyFont="1" applyFill="1" applyBorder="1" applyAlignment="1">
      <alignment horizontal="center" vertical="center" wrapText="1"/>
    </xf>
    <xf numFmtId="0" fontId="126" fillId="5" borderId="49" xfId="0" applyFont="1" applyFill="1" applyBorder="1" applyAlignment="1">
      <alignment horizontal="center" vertical="center" wrapText="1"/>
    </xf>
    <xf numFmtId="0" fontId="129" fillId="5" borderId="26" xfId="0" applyFont="1" applyFill="1" applyBorder="1" applyAlignment="1">
      <alignment horizontal="center" vertical="center"/>
    </xf>
    <xf numFmtId="0" fontId="126" fillId="5" borderId="18" xfId="0" applyFont="1" applyFill="1" applyBorder="1" applyAlignment="1">
      <alignment horizontal="center" vertical="center"/>
    </xf>
    <xf numFmtId="0" fontId="126" fillId="5" borderId="21" xfId="0" applyFont="1" applyFill="1" applyBorder="1" applyAlignment="1">
      <alignment horizontal="center" vertical="center"/>
    </xf>
    <xf numFmtId="0" fontId="126" fillId="5" borderId="26" xfId="0" applyFont="1" applyFill="1" applyBorder="1" applyAlignment="1">
      <alignment horizontal="center" vertical="center"/>
    </xf>
    <xf numFmtId="0" fontId="126" fillId="5" borderId="35" xfId="0" applyFont="1" applyFill="1" applyBorder="1" applyAlignment="1">
      <alignment horizontal="center" vertical="center"/>
    </xf>
    <xf numFmtId="0" fontId="129" fillId="5" borderId="31" xfId="0" applyFont="1" applyFill="1" applyBorder="1" applyAlignment="1">
      <alignment horizontal="center" vertical="center"/>
    </xf>
    <xf numFmtId="0" fontId="129" fillId="5" borderId="59" xfId="0" applyFont="1" applyFill="1" applyBorder="1" applyAlignment="1">
      <alignment horizontal="center" vertical="center"/>
    </xf>
    <xf numFmtId="0" fontId="78" fillId="8" borderId="19" xfId="0" applyFont="1" applyFill="1" applyBorder="1" applyAlignment="1">
      <alignment horizontal="center" vertical="center"/>
    </xf>
    <xf numFmtId="0" fontId="78" fillId="8" borderId="0" xfId="0" applyFont="1" applyFill="1" applyBorder="1" applyAlignment="1">
      <alignment horizontal="center" vertical="center"/>
    </xf>
    <xf numFmtId="0" fontId="129" fillId="5" borderId="43" xfId="0" applyFont="1" applyFill="1" applyBorder="1" applyAlignment="1">
      <alignment horizontal="center" vertical="center"/>
    </xf>
    <xf numFmtId="0" fontId="129" fillId="5" borderId="9" xfId="0" applyFont="1" applyFill="1" applyBorder="1" applyAlignment="1">
      <alignment horizontal="center" vertical="center"/>
    </xf>
    <xf numFmtId="0" fontId="129" fillId="5" borderId="0" xfId="0" applyFont="1" applyFill="1" applyAlignment="1">
      <alignment horizontal="center" vertical="center"/>
    </xf>
    <xf numFmtId="0" fontId="129" fillId="5" borderId="6" xfId="0" applyFont="1" applyFill="1" applyBorder="1" applyAlignment="1">
      <alignment horizontal="center" vertical="center"/>
    </xf>
    <xf numFmtId="0" fontId="129" fillId="5" borderId="8" xfId="0" applyFont="1" applyFill="1" applyBorder="1" applyAlignment="1">
      <alignment horizontal="center" vertical="center"/>
    </xf>
    <xf numFmtId="0" fontId="0" fillId="10" borderId="0" xfId="0" applyFill="1" applyAlignment="1">
      <alignment horizontal="center"/>
    </xf>
    <xf numFmtId="0" fontId="70" fillId="36" borderId="0" xfId="0" applyFont="1" applyFill="1" applyAlignment="1">
      <alignment horizontal="center"/>
    </xf>
    <xf numFmtId="0" fontId="0" fillId="11" borderId="0" xfId="0" applyFill="1" applyAlignment="1">
      <alignment horizontal="center"/>
    </xf>
    <xf numFmtId="0" fontId="71" fillId="17" borderId="0" xfId="0" applyFont="1" applyFill="1" applyBorder="1" applyAlignment="1">
      <alignment horizontal="center" vertical="center"/>
    </xf>
    <xf numFmtId="0" fontId="71" fillId="17" borderId="63" xfId="0" applyFont="1" applyFill="1" applyBorder="1" applyAlignment="1">
      <alignment horizontal="center" vertical="center"/>
    </xf>
    <xf numFmtId="0" fontId="71" fillId="36" borderId="0" xfId="0" applyFont="1" applyFill="1" applyBorder="1" applyAlignment="1">
      <alignment horizontal="center" vertical="center"/>
    </xf>
    <xf numFmtId="0" fontId="71" fillId="8" borderId="0" xfId="0" applyFont="1" applyFill="1" applyBorder="1" applyAlignment="1">
      <alignment horizontal="center" vertical="center"/>
    </xf>
    <xf numFmtId="0" fontId="71" fillId="8" borderId="63" xfId="0" applyFont="1" applyFill="1" applyBorder="1" applyAlignment="1">
      <alignment horizontal="center" vertical="center"/>
    </xf>
    <xf numFmtId="0" fontId="65" fillId="0" borderId="0" xfId="0" applyFont="1" applyAlignment="1">
      <alignment horizontal="center" vertical="center"/>
    </xf>
    <xf numFmtId="0" fontId="65" fillId="0" borderId="63" xfId="0" applyFont="1" applyBorder="1" applyAlignment="1">
      <alignment horizontal="center" vertical="center"/>
    </xf>
    <xf numFmtId="0" fontId="71" fillId="8" borderId="0" xfId="0" quotePrefix="1" applyFont="1" applyFill="1" applyBorder="1" applyAlignment="1">
      <alignment horizontal="center" vertical="center"/>
    </xf>
    <xf numFmtId="0" fontId="71" fillId="8" borderId="63" xfId="0" quotePrefix="1" applyFont="1" applyFill="1" applyBorder="1" applyAlignment="1">
      <alignment horizontal="center" vertical="center"/>
    </xf>
    <xf numFmtId="0" fontId="108" fillId="10" borderId="0" xfId="0" applyFont="1" applyFill="1" applyBorder="1" applyAlignment="1">
      <alignment horizontal="center" vertical="center"/>
    </xf>
    <xf numFmtId="0" fontId="108" fillId="10" borderId="63" xfId="0" applyFont="1" applyFill="1" applyBorder="1" applyAlignment="1">
      <alignment horizontal="center" vertical="center"/>
    </xf>
    <xf numFmtId="0" fontId="108" fillId="10" borderId="0" xfId="0" applyFont="1" applyFill="1" applyBorder="1" applyAlignment="1">
      <alignment horizontal="center" vertical="center" wrapText="1"/>
    </xf>
    <xf numFmtId="0" fontId="108" fillId="10" borderId="63" xfId="0" applyFont="1" applyFill="1" applyBorder="1" applyAlignment="1">
      <alignment horizontal="center" vertical="center" wrapText="1"/>
    </xf>
    <xf numFmtId="0" fontId="101" fillId="36" borderId="0" xfId="0" applyFont="1" applyFill="1" applyAlignment="1">
      <alignment horizontal="center" vertical="center" wrapText="1"/>
    </xf>
    <xf numFmtId="0" fontId="92" fillId="0" borderId="0" xfId="0" applyFont="1" applyAlignment="1">
      <alignment horizontal="left" vertical="top" wrapText="1"/>
    </xf>
  </cellXfs>
  <cellStyles count="7">
    <cellStyle name="Normal 2" xfId="2" xr:uid="{00000000-0005-0000-0000-000000000000}"/>
    <cellStyle name="Гіперпосилання" xfId="5" builtinId="8"/>
    <cellStyle name="Звичайний" xfId="0" builtinId="0"/>
    <cellStyle name="Обычный 2" xfId="1" xr:uid="{00000000-0005-0000-0000-000003000000}"/>
    <cellStyle name="Обычный 3" xfId="3" xr:uid="{00000000-0005-0000-0000-000004000000}"/>
    <cellStyle name="Обычный 4" xfId="6" xr:uid="{00000000-0005-0000-0000-000005000000}"/>
    <cellStyle name="Хороший 2" xfId="4" xr:uid="{00000000-0005-0000-0000-000006000000}"/>
  </cellStyles>
  <dxfs count="97">
    <dxf>
      <font>
        <color theme="0" tint="-4.9989318521683403E-2"/>
      </font>
      <fill>
        <patternFill>
          <bgColor theme="0" tint="-4.9989318521683403E-2"/>
        </patternFill>
      </fill>
      <border>
        <left/>
        <right/>
        <top/>
        <bottom/>
        <vertical/>
        <horizontal/>
      </border>
    </dxf>
    <dxf>
      <font>
        <color rgb="FF9C0006"/>
      </font>
      <fill>
        <patternFill>
          <bgColor rgb="FFFFC7CE"/>
        </patternFill>
      </fill>
    </dxf>
    <dxf>
      <font>
        <color rgb="FF9C0006"/>
      </font>
      <fill>
        <patternFill>
          <bgColor rgb="FFFFC7CE"/>
        </patternFill>
      </fill>
    </dxf>
    <dxf>
      <font>
        <b/>
        <i val="0"/>
        <strike val="0"/>
        <u val="none"/>
      </font>
      <numFmt numFmtId="0" formatCode="General"/>
      <fill>
        <patternFill>
          <bgColor theme="6" tint="0.39994506668294322"/>
        </patternFill>
      </fill>
      <border>
        <left style="thin">
          <color auto="1"/>
        </left>
        <right style="thin">
          <color auto="1"/>
        </right>
        <top style="thin">
          <color auto="1"/>
        </top>
        <bottom style="thin">
          <color auto="1"/>
        </bottom>
        <vertical/>
        <horizontal/>
      </border>
    </dxf>
    <dxf>
      <font>
        <b/>
        <i val="0"/>
        <strike val="0"/>
        <u val="none"/>
      </font>
      <numFmt numFmtId="0" formatCode="General"/>
      <fill>
        <patternFill>
          <bgColor theme="6" tint="0.39994506668294322"/>
        </patternFill>
      </fill>
      <border>
        <left style="thin">
          <color auto="1"/>
        </left>
        <right style="thin">
          <color auto="1"/>
        </right>
        <top style="thin">
          <color auto="1"/>
        </top>
        <bottom style="thin">
          <color auto="1"/>
        </bottom>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font>
      <fill>
        <patternFill>
          <bgColor theme="1"/>
        </patternFill>
      </fill>
      <border>
        <vertical/>
        <horizontal/>
      </border>
    </dxf>
    <dxf>
      <font>
        <color theme="0" tint="-4.9989318521683403E-2"/>
      </font>
      <fill>
        <patternFill>
          <bgColor theme="0" tint="-4.9989318521683403E-2"/>
        </patternFill>
      </fill>
      <border>
        <left/>
        <right/>
        <top/>
        <bottom/>
        <vertical/>
        <horizontal/>
      </border>
    </dxf>
    <dxf>
      <font>
        <color theme="0" tint="-4.9989318521683403E-2"/>
      </font>
      <fill>
        <patternFill>
          <bgColor theme="0" tint="-4.9989318521683403E-2"/>
        </patternFill>
      </fill>
      <border>
        <left/>
        <right/>
        <top/>
        <bottom/>
        <vertical/>
        <horizontal/>
      </border>
    </dxf>
  </dxfs>
  <tableStyles count="0" defaultTableStyle="TableStyleMedium2" defaultPivotStyle="PivotStyleLight16"/>
  <colors>
    <mruColors>
      <color rgb="FFFFFFCC"/>
      <color rgb="FF00FFFF"/>
      <color rgb="FF99FF99"/>
      <color rgb="FF00FF00"/>
      <color rgb="FFCCFFFF"/>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66675</xdr:colOff>
          <xdr:row>4</xdr:row>
          <xdr:rowOff>19050</xdr:rowOff>
        </xdr:from>
        <xdr:to>
          <xdr:col>2</xdr:col>
          <xdr:colOff>523875</xdr:colOff>
          <xdr:row>5</xdr:row>
          <xdr:rowOff>152400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100-000001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Hide all devsheets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66675</xdr:colOff>
          <xdr:row>7</xdr:row>
          <xdr:rowOff>28575</xdr:rowOff>
        </xdr:from>
        <xdr:to>
          <xdr:col>2</xdr:col>
          <xdr:colOff>523875</xdr:colOff>
          <xdr:row>8</xdr:row>
          <xdr:rowOff>161925</xdr:rowOff>
        </xdr:to>
        <xdr:sp macro="" textlink="">
          <xdr:nvSpPr>
            <xdr:cNvPr id="52226" name="Button 2" hidden="1">
              <a:extLst>
                <a:ext uri="{63B3BB69-23CF-44E3-9099-C40C66FF867C}">
                  <a14:compatExt spid="_x0000_s52226"/>
                </a:ext>
                <a:ext uri="{FF2B5EF4-FFF2-40B4-BE49-F238E27FC236}">
                  <a16:creationId xmlns:a16="http://schemas.microsoft.com/office/drawing/2014/main" id="{00000000-0008-0000-0100-000002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Show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28575</xdr:colOff>
          <xdr:row>43</xdr:row>
          <xdr:rowOff>76200</xdr:rowOff>
        </xdr:from>
        <xdr:to>
          <xdr:col>31</xdr:col>
          <xdr:colOff>438150</xdr:colOff>
          <xdr:row>46</xdr:row>
          <xdr:rowOff>142875</xdr:rowOff>
        </xdr:to>
        <xdr:sp macro="" textlink="">
          <xdr:nvSpPr>
            <xdr:cNvPr id="32779" name="Button 11" hidden="1">
              <a:extLst>
                <a:ext uri="{63B3BB69-23CF-44E3-9099-C40C66FF867C}">
                  <a14:compatExt spid="_x0000_s32779"/>
                </a:ext>
                <a:ext uri="{FF2B5EF4-FFF2-40B4-BE49-F238E27FC236}">
                  <a16:creationId xmlns:a16="http://schemas.microsoft.com/office/drawing/2014/main" id="{00000000-0008-0000-0300-00000B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Roll ability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19050</xdr:colOff>
          <xdr:row>60</xdr:row>
          <xdr:rowOff>171450</xdr:rowOff>
        </xdr:from>
        <xdr:to>
          <xdr:col>22</xdr:col>
          <xdr:colOff>428625</xdr:colOff>
          <xdr:row>63</xdr:row>
          <xdr:rowOff>152400</xdr:rowOff>
        </xdr:to>
        <xdr:sp macro="" textlink="">
          <xdr:nvSpPr>
            <xdr:cNvPr id="32793" name="Button 25" hidden="1">
              <a:extLst>
                <a:ext uri="{63B3BB69-23CF-44E3-9099-C40C66FF867C}">
                  <a14:compatExt spid="_x0000_s32793"/>
                </a:ext>
                <a:ext uri="{FF2B5EF4-FFF2-40B4-BE49-F238E27FC236}">
                  <a16:creationId xmlns:a16="http://schemas.microsoft.com/office/drawing/2014/main" id="{00000000-0008-0000-0300-000019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Roll hitpoints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390525</xdr:colOff>
          <xdr:row>3</xdr:row>
          <xdr:rowOff>133350</xdr:rowOff>
        </xdr:from>
        <xdr:to>
          <xdr:col>24</xdr:col>
          <xdr:colOff>152400</xdr:colOff>
          <xdr:row>6</xdr:row>
          <xdr:rowOff>104775</xdr:rowOff>
        </xdr:to>
        <xdr:sp macro="" textlink="">
          <xdr:nvSpPr>
            <xdr:cNvPr id="32797" name="Button 29" hidden="1">
              <a:extLst>
                <a:ext uri="{63B3BB69-23CF-44E3-9099-C40C66FF867C}">
                  <a14:compatExt spid="_x0000_s32797"/>
                </a:ext>
                <a:ext uri="{FF2B5EF4-FFF2-40B4-BE49-F238E27FC236}">
                  <a16:creationId xmlns:a16="http://schemas.microsoft.com/office/drawing/2014/main" id="{00000000-0008-0000-0300-00001D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Reset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Офіс">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hyperlink" Target="http://www.enworld.org/forum/5ebackgrounds/showentry.php?e=40&amp;catid=1" TargetMode="External"/><Relationship Id="rId2" Type="http://schemas.openxmlformats.org/officeDocument/2006/relationships/hyperlink" Target="http://www.enworld.org/forum/5ebackgrounds/showentry.php?e=40&amp;catid=1" TargetMode="External"/><Relationship Id="rId1" Type="http://schemas.openxmlformats.org/officeDocument/2006/relationships/hyperlink" Target="http://www.enworld.org/forum/5ebackgrounds/showentry.php?e=40&amp;catid=1" TargetMode="External"/><Relationship Id="rId5" Type="http://schemas.openxmlformats.org/officeDocument/2006/relationships/printerSettings" Target="../printerSettings/printerSettings6.bin"/><Relationship Id="rId4" Type="http://schemas.openxmlformats.org/officeDocument/2006/relationships/hyperlink" Target="http://www.enworld.org/forum/5ebackgrounds/showentry.php?e=40&amp;catid=1"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4">
    <tabColor rgb="FFFF0000"/>
  </sheetPr>
  <dimension ref="A1:AE30"/>
  <sheetViews>
    <sheetView zoomScale="40" zoomScaleNormal="40" workbookViewId="0">
      <selection activeCell="G4" sqref="G4:N20"/>
    </sheetView>
  </sheetViews>
  <sheetFormatPr defaultRowHeight="15" x14ac:dyDescent="0.25"/>
  <cols>
    <col min="17" max="17" width="10.140625" bestFit="1" customWidth="1"/>
  </cols>
  <sheetData>
    <row r="1" spans="1:31" ht="15.75" thickBot="1" x14ac:dyDescent="0.3">
      <c r="A1" s="718" t="s">
        <v>7474</v>
      </c>
      <c r="B1" s="719"/>
      <c r="C1" s="719"/>
      <c r="D1" s="719"/>
      <c r="E1" s="719"/>
      <c r="F1" s="120"/>
      <c r="G1" s="120"/>
      <c r="H1" s="120"/>
      <c r="I1" s="120"/>
      <c r="J1" s="120"/>
      <c r="K1" s="120"/>
      <c r="L1" s="120"/>
      <c r="M1" s="120"/>
      <c r="N1" s="120"/>
      <c r="O1" s="120"/>
      <c r="P1" s="120"/>
      <c r="Q1" s="120"/>
      <c r="R1" s="120"/>
      <c r="S1" s="120"/>
      <c r="T1" s="120"/>
      <c r="U1" s="120"/>
      <c r="V1" s="120"/>
      <c r="W1" s="120"/>
      <c r="X1" s="120"/>
      <c r="Y1" s="120"/>
      <c r="Z1" s="120"/>
      <c r="AA1" s="120"/>
      <c r="AB1" s="120"/>
      <c r="AC1" s="120"/>
      <c r="AD1" s="120"/>
      <c r="AE1" s="120"/>
    </row>
    <row r="2" spans="1:31" ht="15.75" thickBot="1" x14ac:dyDescent="0.3">
      <c r="A2" s="719"/>
      <c r="B2" s="719"/>
      <c r="C2" s="719"/>
      <c r="D2" s="719"/>
      <c r="E2" s="719"/>
      <c r="F2" s="120"/>
      <c r="G2" s="736" t="s">
        <v>7500</v>
      </c>
      <c r="H2" s="737"/>
      <c r="I2" s="737"/>
      <c r="J2" s="737"/>
      <c r="K2" s="737"/>
      <c r="L2" s="737"/>
      <c r="M2" s="737"/>
      <c r="N2" s="738"/>
      <c r="O2" s="120"/>
      <c r="P2" s="724" t="s">
        <v>6436</v>
      </c>
      <c r="Q2" s="725"/>
      <c r="R2" s="725"/>
      <c r="S2" s="725"/>
      <c r="T2" s="725"/>
      <c r="U2" s="725"/>
      <c r="V2" s="726"/>
      <c r="W2" s="120"/>
      <c r="X2" s="710" t="s">
        <v>7008</v>
      </c>
      <c r="Y2" s="710"/>
      <c r="Z2" s="710"/>
      <c r="AA2" s="710"/>
      <c r="AB2" s="710"/>
      <c r="AC2" s="710"/>
      <c r="AD2" s="120"/>
      <c r="AE2" s="120"/>
    </row>
    <row r="3" spans="1:31" ht="15.75" thickBot="1" x14ac:dyDescent="0.3">
      <c r="A3" s="719"/>
      <c r="B3" s="719"/>
      <c r="C3" s="719"/>
      <c r="D3" s="719"/>
      <c r="E3" s="719"/>
      <c r="F3" s="120"/>
      <c r="G3" s="739"/>
      <c r="H3" s="740"/>
      <c r="I3" s="740"/>
      <c r="J3" s="740"/>
      <c r="K3" s="740"/>
      <c r="L3" s="740"/>
      <c r="M3" s="740"/>
      <c r="N3" s="741"/>
      <c r="O3" s="120"/>
      <c r="P3" s="742" t="s">
        <v>6435</v>
      </c>
      <c r="Q3" s="742"/>
      <c r="R3" s="742"/>
      <c r="S3" s="742"/>
      <c r="T3" s="742"/>
      <c r="U3" s="742"/>
      <c r="V3" s="742"/>
      <c r="W3" s="120"/>
      <c r="X3" s="710"/>
      <c r="Y3" s="710"/>
      <c r="Z3" s="710"/>
      <c r="AA3" s="710"/>
      <c r="AB3" s="710"/>
      <c r="AC3" s="710"/>
      <c r="AD3" s="120"/>
      <c r="AE3" s="120"/>
    </row>
    <row r="4" spans="1:31" x14ac:dyDescent="0.25">
      <c r="A4" s="719"/>
      <c r="B4" s="719"/>
      <c r="C4" s="719"/>
      <c r="D4" s="719"/>
      <c r="E4" s="719"/>
      <c r="F4" s="120"/>
      <c r="G4" s="727"/>
      <c r="H4" s="728"/>
      <c r="I4" s="728"/>
      <c r="J4" s="728"/>
      <c r="K4" s="728"/>
      <c r="L4" s="728"/>
      <c r="M4" s="728"/>
      <c r="N4" s="729"/>
      <c r="O4" s="120"/>
      <c r="P4" s="742"/>
      <c r="Q4" s="742"/>
      <c r="R4" s="742"/>
      <c r="S4" s="742"/>
      <c r="T4" s="742"/>
      <c r="U4" s="742"/>
      <c r="V4" s="742"/>
      <c r="W4" s="120"/>
      <c r="X4" s="120"/>
      <c r="Y4" s="120"/>
      <c r="Z4" s="120"/>
      <c r="AA4" s="120"/>
      <c r="AB4" s="120"/>
      <c r="AC4" s="120"/>
      <c r="AD4" s="120"/>
      <c r="AE4" s="120"/>
    </row>
    <row r="5" spans="1:31" ht="15.75" thickBot="1" x14ac:dyDescent="0.3">
      <c r="A5" s="120"/>
      <c r="B5" s="120"/>
      <c r="C5" s="120"/>
      <c r="D5" s="120"/>
      <c r="E5" s="120"/>
      <c r="F5" s="120"/>
      <c r="G5" s="730"/>
      <c r="H5" s="731"/>
      <c r="I5" s="731"/>
      <c r="J5" s="731"/>
      <c r="K5" s="731"/>
      <c r="L5" s="731"/>
      <c r="M5" s="731"/>
      <c r="N5" s="732"/>
      <c r="O5" s="120"/>
      <c r="P5" s="120"/>
      <c r="Q5" s="120"/>
      <c r="R5" s="120"/>
      <c r="S5" s="120"/>
      <c r="T5" s="120"/>
      <c r="U5" s="120"/>
      <c r="V5" s="120"/>
      <c r="W5" s="120"/>
      <c r="X5" s="638" t="s">
        <v>6952</v>
      </c>
      <c r="Y5" s="709" t="s">
        <v>7009</v>
      </c>
      <c r="Z5" s="709"/>
      <c r="AA5" s="709"/>
      <c r="AB5" s="709"/>
      <c r="AC5" s="709"/>
      <c r="AD5" s="709"/>
      <c r="AE5" s="709"/>
    </row>
    <row r="6" spans="1:31" x14ac:dyDescent="0.25">
      <c r="A6" s="720" t="s">
        <v>6306</v>
      </c>
      <c r="B6" s="720"/>
      <c r="C6" s="720"/>
      <c r="D6" s="720"/>
      <c r="E6" s="120"/>
      <c r="F6" s="120"/>
      <c r="G6" s="730"/>
      <c r="H6" s="731"/>
      <c r="I6" s="731"/>
      <c r="J6" s="731"/>
      <c r="K6" s="731"/>
      <c r="L6" s="731"/>
      <c r="M6" s="731"/>
      <c r="N6" s="732"/>
      <c r="O6" s="120"/>
      <c r="P6" s="712" t="s">
        <v>6311</v>
      </c>
      <c r="Q6" s="713"/>
      <c r="R6" s="713"/>
      <c r="S6" s="713"/>
      <c r="T6" s="713"/>
      <c r="U6" s="713"/>
      <c r="V6" s="714"/>
      <c r="W6" s="120"/>
      <c r="X6" s="638" t="s">
        <v>6959</v>
      </c>
      <c r="Y6" s="709" t="s">
        <v>7010</v>
      </c>
      <c r="Z6" s="709"/>
      <c r="AA6" s="709"/>
      <c r="AB6" s="709"/>
      <c r="AC6" s="709"/>
      <c r="AD6" s="709"/>
      <c r="AE6" s="709"/>
    </row>
    <row r="7" spans="1:31" ht="15.75" thickBot="1" x14ac:dyDescent="0.3">
      <c r="A7" s="720"/>
      <c r="B7" s="720"/>
      <c r="C7" s="720"/>
      <c r="D7" s="720"/>
      <c r="E7" s="120"/>
      <c r="F7" s="120"/>
      <c r="G7" s="730"/>
      <c r="H7" s="731"/>
      <c r="I7" s="731"/>
      <c r="J7" s="731"/>
      <c r="K7" s="731"/>
      <c r="L7" s="731"/>
      <c r="M7" s="731"/>
      <c r="N7" s="732"/>
      <c r="O7" s="120"/>
      <c r="P7" s="715"/>
      <c r="Q7" s="716"/>
      <c r="R7" s="716"/>
      <c r="S7" s="716"/>
      <c r="T7" s="716"/>
      <c r="U7" s="716"/>
      <c r="V7" s="717"/>
      <c r="W7" s="120"/>
      <c r="X7" s="638" t="s">
        <v>6960</v>
      </c>
      <c r="Y7" s="709" t="s">
        <v>7011</v>
      </c>
      <c r="Z7" s="709"/>
      <c r="AA7" s="709"/>
      <c r="AB7" s="709"/>
      <c r="AC7" s="709"/>
      <c r="AD7" s="709"/>
      <c r="AE7" s="709"/>
    </row>
    <row r="8" spans="1:31" ht="15.75" thickBot="1" x14ac:dyDescent="0.3">
      <c r="A8" s="120"/>
      <c r="B8" s="120"/>
      <c r="C8" s="120"/>
      <c r="D8" s="120"/>
      <c r="E8" s="120"/>
      <c r="F8" s="120"/>
      <c r="G8" s="730"/>
      <c r="H8" s="731"/>
      <c r="I8" s="731"/>
      <c r="J8" s="731"/>
      <c r="K8" s="731"/>
      <c r="L8" s="731"/>
      <c r="M8" s="731"/>
      <c r="N8" s="732"/>
      <c r="O8" s="120"/>
      <c r="P8" s="553" t="s">
        <v>6452</v>
      </c>
      <c r="Q8" s="554">
        <v>42100</v>
      </c>
      <c r="R8" s="724"/>
      <c r="S8" s="725"/>
      <c r="T8" s="725"/>
      <c r="U8" s="725"/>
      <c r="V8" s="726"/>
      <c r="W8" s="120"/>
      <c r="X8" s="638" t="s">
        <v>6958</v>
      </c>
      <c r="Y8" s="709" t="s">
        <v>7012</v>
      </c>
      <c r="Z8" s="709"/>
      <c r="AA8" s="709"/>
      <c r="AB8" s="709"/>
      <c r="AC8" s="709"/>
      <c r="AD8" s="709"/>
      <c r="AE8" s="709"/>
    </row>
    <row r="9" spans="1:31" ht="15.75" thickBot="1" x14ac:dyDescent="0.3">
      <c r="A9" s="721" t="s">
        <v>6307</v>
      </c>
      <c r="B9" s="721"/>
      <c r="C9" s="721"/>
      <c r="D9" s="721"/>
      <c r="E9" s="120"/>
      <c r="F9" s="120"/>
      <c r="G9" s="730"/>
      <c r="H9" s="731"/>
      <c r="I9" s="731"/>
      <c r="J9" s="731"/>
      <c r="K9" s="731"/>
      <c r="L9" s="731"/>
      <c r="M9" s="731"/>
      <c r="N9" s="732"/>
      <c r="O9" s="120"/>
      <c r="P9" s="553" t="s">
        <v>7476</v>
      </c>
      <c r="Q9" s="554">
        <v>42146</v>
      </c>
      <c r="R9" s="724"/>
      <c r="S9" s="725"/>
      <c r="T9" s="725"/>
      <c r="U9" s="725"/>
      <c r="V9" s="726"/>
      <c r="W9" s="120"/>
      <c r="X9" s="638" t="s">
        <v>7007</v>
      </c>
      <c r="Y9" s="709" t="s">
        <v>7013</v>
      </c>
      <c r="Z9" s="709"/>
      <c r="AA9" s="709"/>
      <c r="AB9" s="709"/>
      <c r="AC9" s="709"/>
      <c r="AD9" s="709"/>
      <c r="AE9" s="709"/>
    </row>
    <row r="10" spans="1:31" ht="15.75" thickBot="1" x14ac:dyDescent="0.3">
      <c r="A10" s="721"/>
      <c r="B10" s="721"/>
      <c r="C10" s="721"/>
      <c r="D10" s="721"/>
      <c r="E10" s="120"/>
      <c r="F10" s="120"/>
      <c r="G10" s="730"/>
      <c r="H10" s="731"/>
      <c r="I10" s="731"/>
      <c r="J10" s="731"/>
      <c r="K10" s="731"/>
      <c r="L10" s="731"/>
      <c r="M10" s="731"/>
      <c r="N10" s="732"/>
      <c r="O10" s="120"/>
      <c r="P10" s="553"/>
      <c r="Q10" s="554"/>
      <c r="R10" s="724"/>
      <c r="S10" s="725"/>
      <c r="T10" s="725"/>
      <c r="U10" s="725"/>
      <c r="V10" s="726"/>
      <c r="W10" s="120"/>
      <c r="X10" s="638" t="s">
        <v>7006</v>
      </c>
      <c r="Y10" s="709" t="s">
        <v>7014</v>
      </c>
      <c r="Z10" s="709"/>
      <c r="AA10" s="709"/>
      <c r="AB10" s="709"/>
      <c r="AC10" s="709"/>
      <c r="AD10" s="709"/>
      <c r="AE10" s="709"/>
    </row>
    <row r="11" spans="1:31" ht="15.75" thickBot="1" x14ac:dyDescent="0.3">
      <c r="A11" s="120"/>
      <c r="B11" s="120"/>
      <c r="C11" s="120"/>
      <c r="D11" s="120"/>
      <c r="E11" s="120"/>
      <c r="F11" s="120"/>
      <c r="G11" s="730"/>
      <c r="H11" s="731"/>
      <c r="I11" s="731"/>
      <c r="J11" s="731"/>
      <c r="K11" s="731"/>
      <c r="L11" s="731"/>
      <c r="M11" s="731"/>
      <c r="N11" s="732"/>
      <c r="O11" s="120"/>
      <c r="P11" s="553"/>
      <c r="Q11" s="554"/>
      <c r="R11" s="724"/>
      <c r="S11" s="725"/>
      <c r="T11" s="725"/>
      <c r="U11" s="725"/>
      <c r="V11" s="726"/>
      <c r="W11" s="120"/>
      <c r="X11" s="638" t="s">
        <v>7015</v>
      </c>
      <c r="Y11" s="709" t="s">
        <v>7016</v>
      </c>
      <c r="Z11" s="709"/>
      <c r="AA11" s="709"/>
      <c r="AB11" s="709"/>
      <c r="AC11" s="709"/>
      <c r="AD11" s="709"/>
      <c r="AE11" s="709"/>
    </row>
    <row r="12" spans="1:31" ht="15.75" thickBot="1" x14ac:dyDescent="0.3">
      <c r="A12" s="722" t="s">
        <v>6308</v>
      </c>
      <c r="B12" s="722"/>
      <c r="C12" s="722"/>
      <c r="D12" s="722"/>
      <c r="E12" s="120"/>
      <c r="F12" s="120"/>
      <c r="G12" s="730"/>
      <c r="H12" s="731"/>
      <c r="I12" s="731"/>
      <c r="J12" s="731"/>
      <c r="K12" s="731"/>
      <c r="L12" s="731"/>
      <c r="M12" s="731"/>
      <c r="N12" s="732"/>
      <c r="O12" s="120"/>
      <c r="P12" s="553"/>
      <c r="Q12" s="554"/>
      <c r="R12" s="724"/>
      <c r="S12" s="725"/>
      <c r="T12" s="725"/>
      <c r="U12" s="725"/>
      <c r="V12" s="726"/>
      <c r="W12" s="120"/>
      <c r="X12" s="638" t="s">
        <v>7017</v>
      </c>
      <c r="Y12" s="709" t="s">
        <v>7018</v>
      </c>
      <c r="Z12" s="709"/>
      <c r="AA12" s="709"/>
      <c r="AB12" s="709"/>
      <c r="AC12" s="709"/>
      <c r="AD12" s="709"/>
      <c r="AE12" s="709"/>
    </row>
    <row r="13" spans="1:31" ht="15.75" thickBot="1" x14ac:dyDescent="0.3">
      <c r="A13" s="722"/>
      <c r="B13" s="722"/>
      <c r="C13" s="722"/>
      <c r="D13" s="722"/>
      <c r="E13" s="120"/>
      <c r="F13" s="120"/>
      <c r="G13" s="730"/>
      <c r="H13" s="731"/>
      <c r="I13" s="731"/>
      <c r="J13" s="731"/>
      <c r="K13" s="731"/>
      <c r="L13" s="731"/>
      <c r="M13" s="731"/>
      <c r="N13" s="732"/>
      <c r="O13" s="120"/>
      <c r="P13" s="553"/>
      <c r="Q13" s="554"/>
      <c r="R13" s="724"/>
      <c r="S13" s="725"/>
      <c r="T13" s="725"/>
      <c r="U13" s="725"/>
      <c r="V13" s="726"/>
      <c r="W13" s="120"/>
      <c r="X13" s="638" t="s">
        <v>6957</v>
      </c>
      <c r="Y13" s="709" t="s">
        <v>7019</v>
      </c>
      <c r="Z13" s="709"/>
      <c r="AA13" s="709"/>
      <c r="AB13" s="709"/>
      <c r="AC13" s="709"/>
      <c r="AD13" s="709"/>
      <c r="AE13" s="709"/>
    </row>
    <row r="14" spans="1:31" ht="15.75" thickBot="1" x14ac:dyDescent="0.3">
      <c r="A14" s="120"/>
      <c r="B14" s="120"/>
      <c r="C14" s="120"/>
      <c r="D14" s="120"/>
      <c r="E14" s="120"/>
      <c r="F14" s="120"/>
      <c r="G14" s="730"/>
      <c r="H14" s="731"/>
      <c r="I14" s="731"/>
      <c r="J14" s="731"/>
      <c r="K14" s="731"/>
      <c r="L14" s="731"/>
      <c r="M14" s="731"/>
      <c r="N14" s="732"/>
      <c r="O14" s="120"/>
      <c r="P14" s="553"/>
      <c r="Q14" s="554"/>
      <c r="R14" s="724"/>
      <c r="S14" s="725"/>
      <c r="T14" s="725"/>
      <c r="U14" s="725"/>
      <c r="V14" s="726"/>
      <c r="W14" s="120"/>
      <c r="X14" s="120"/>
      <c r="Y14" s="120"/>
      <c r="Z14" s="120"/>
      <c r="AA14" s="120"/>
      <c r="AB14" s="120"/>
      <c r="AC14" s="120"/>
      <c r="AD14" s="120"/>
      <c r="AE14" s="120"/>
    </row>
    <row r="15" spans="1:31" ht="15.75" thickBot="1" x14ac:dyDescent="0.3">
      <c r="A15" s="723" t="s">
        <v>6309</v>
      </c>
      <c r="B15" s="723"/>
      <c r="C15" s="723"/>
      <c r="D15" s="723"/>
      <c r="E15" s="120"/>
      <c r="F15" s="120"/>
      <c r="G15" s="730"/>
      <c r="H15" s="731"/>
      <c r="I15" s="731"/>
      <c r="J15" s="731"/>
      <c r="K15" s="731"/>
      <c r="L15" s="731"/>
      <c r="M15" s="731"/>
      <c r="N15" s="732"/>
      <c r="O15" s="120"/>
      <c r="P15" s="553"/>
      <c r="Q15" s="554"/>
      <c r="R15" s="724"/>
      <c r="S15" s="725"/>
      <c r="T15" s="725"/>
      <c r="U15" s="725"/>
      <c r="V15" s="726"/>
      <c r="W15" s="120"/>
      <c r="X15" s="120"/>
      <c r="Y15" s="120"/>
      <c r="Z15" s="120"/>
      <c r="AA15" s="120"/>
      <c r="AB15" s="120"/>
      <c r="AC15" s="120"/>
      <c r="AD15" s="120"/>
      <c r="AE15" s="120"/>
    </row>
    <row r="16" spans="1:31" ht="15.75" thickBot="1" x14ac:dyDescent="0.3">
      <c r="A16" s="723"/>
      <c r="B16" s="723"/>
      <c r="C16" s="723"/>
      <c r="D16" s="723"/>
      <c r="E16" s="120"/>
      <c r="F16" s="120"/>
      <c r="G16" s="730"/>
      <c r="H16" s="731"/>
      <c r="I16" s="731"/>
      <c r="J16" s="731"/>
      <c r="K16" s="731"/>
      <c r="L16" s="731"/>
      <c r="M16" s="731"/>
      <c r="N16" s="732"/>
      <c r="O16" s="120"/>
      <c r="P16" s="553"/>
      <c r="Q16" s="554"/>
      <c r="R16" s="724"/>
      <c r="S16" s="725"/>
      <c r="T16" s="725"/>
      <c r="U16" s="725"/>
      <c r="V16" s="726"/>
      <c r="W16" s="120"/>
      <c r="X16" s="120"/>
      <c r="Y16" s="120"/>
      <c r="Z16" s="120"/>
      <c r="AA16" s="120"/>
      <c r="AB16" s="120"/>
      <c r="AC16" s="120"/>
      <c r="AD16" s="120"/>
      <c r="AE16" s="120"/>
    </row>
    <row r="17" spans="1:31" ht="15.75" thickBot="1" x14ac:dyDescent="0.3">
      <c r="A17" s="120"/>
      <c r="B17" s="120"/>
      <c r="C17" s="120"/>
      <c r="D17" s="120"/>
      <c r="E17" s="120"/>
      <c r="F17" s="120"/>
      <c r="G17" s="730"/>
      <c r="H17" s="731"/>
      <c r="I17" s="731"/>
      <c r="J17" s="731"/>
      <c r="K17" s="731"/>
      <c r="L17" s="731"/>
      <c r="M17" s="731"/>
      <c r="N17" s="732"/>
      <c r="O17" s="120"/>
      <c r="P17" s="553"/>
      <c r="Q17" s="554"/>
      <c r="R17" s="724"/>
      <c r="S17" s="725"/>
      <c r="T17" s="725"/>
      <c r="U17" s="725"/>
      <c r="V17" s="726"/>
      <c r="W17" s="120"/>
      <c r="X17" s="120"/>
      <c r="Y17" s="120"/>
      <c r="Z17" s="120"/>
      <c r="AA17" s="120"/>
      <c r="AB17" s="120"/>
      <c r="AC17" s="120"/>
      <c r="AD17" s="120"/>
      <c r="AE17" s="120"/>
    </row>
    <row r="18" spans="1:31" ht="15" customHeight="1" thickBot="1" x14ac:dyDescent="0.3">
      <c r="A18" s="711" t="s">
        <v>6310</v>
      </c>
      <c r="B18" s="711"/>
      <c r="C18" s="711"/>
      <c r="D18" s="711"/>
      <c r="E18" s="120"/>
      <c r="F18" s="120"/>
      <c r="G18" s="730"/>
      <c r="H18" s="731"/>
      <c r="I18" s="731"/>
      <c r="J18" s="731"/>
      <c r="K18" s="731"/>
      <c r="L18" s="731"/>
      <c r="M18" s="731"/>
      <c r="N18" s="732"/>
      <c r="O18" s="120"/>
      <c r="P18" s="553"/>
      <c r="Q18" s="554"/>
      <c r="R18" s="724"/>
      <c r="S18" s="725"/>
      <c r="T18" s="725"/>
      <c r="U18" s="725"/>
      <c r="V18" s="726"/>
      <c r="W18" s="120"/>
      <c r="X18" s="120"/>
      <c r="Y18" s="120"/>
      <c r="Z18" s="120"/>
      <c r="AA18" s="120"/>
      <c r="AB18" s="120"/>
      <c r="AC18" s="120"/>
      <c r="AD18" s="120"/>
      <c r="AE18" s="120"/>
    </row>
    <row r="19" spans="1:31" ht="15" customHeight="1" thickBot="1" x14ac:dyDescent="0.3">
      <c r="A19" s="711"/>
      <c r="B19" s="711"/>
      <c r="C19" s="711"/>
      <c r="D19" s="711"/>
      <c r="E19" s="120"/>
      <c r="F19" s="120"/>
      <c r="G19" s="730"/>
      <c r="H19" s="731"/>
      <c r="I19" s="731"/>
      <c r="J19" s="731"/>
      <c r="K19" s="731"/>
      <c r="L19" s="731"/>
      <c r="M19" s="731"/>
      <c r="N19" s="732"/>
      <c r="O19" s="120"/>
      <c r="P19" s="553"/>
      <c r="Q19" s="554"/>
      <c r="R19" s="724"/>
      <c r="S19" s="725"/>
      <c r="T19" s="725"/>
      <c r="U19" s="725"/>
      <c r="V19" s="726"/>
      <c r="W19" s="120"/>
      <c r="X19" s="120"/>
      <c r="Y19" s="120"/>
      <c r="Z19" s="120"/>
      <c r="AA19" s="120"/>
      <c r="AB19" s="120"/>
      <c r="AC19" s="120"/>
      <c r="AD19" s="120"/>
      <c r="AE19" s="120"/>
    </row>
    <row r="20" spans="1:31" ht="15.75" thickBot="1" x14ac:dyDescent="0.3">
      <c r="A20" s="120"/>
      <c r="B20" s="120"/>
      <c r="C20" s="120"/>
      <c r="D20" s="120"/>
      <c r="E20" s="120"/>
      <c r="F20" s="120"/>
      <c r="G20" s="733"/>
      <c r="H20" s="734"/>
      <c r="I20" s="734"/>
      <c r="J20" s="734"/>
      <c r="K20" s="734"/>
      <c r="L20" s="734"/>
      <c r="M20" s="734"/>
      <c r="N20" s="735"/>
      <c r="O20" s="120"/>
      <c r="P20" s="553"/>
      <c r="Q20" s="554"/>
      <c r="R20" s="724"/>
      <c r="S20" s="725"/>
      <c r="T20" s="725"/>
      <c r="U20" s="725"/>
      <c r="V20" s="726"/>
      <c r="W20" s="120"/>
      <c r="X20" s="120"/>
      <c r="Y20" s="120"/>
      <c r="Z20" s="120"/>
      <c r="AA20" s="120"/>
      <c r="AB20" s="120"/>
      <c r="AC20" s="120"/>
      <c r="AD20" s="120"/>
      <c r="AE20" s="120"/>
    </row>
    <row r="21" spans="1:31" ht="15.75" thickBot="1" x14ac:dyDescent="0.3">
      <c r="A21" s="120"/>
      <c r="B21" s="120"/>
      <c r="C21" s="120"/>
      <c r="D21" s="120"/>
      <c r="E21" s="120"/>
      <c r="F21" s="120"/>
      <c r="G21" s="120"/>
      <c r="H21" s="120"/>
      <c r="I21" s="120"/>
      <c r="J21" s="120"/>
      <c r="K21" s="120"/>
      <c r="L21" s="120"/>
      <c r="M21" s="120"/>
      <c r="N21" s="120"/>
      <c r="O21" s="120"/>
      <c r="P21" s="553"/>
      <c r="Q21" s="554"/>
      <c r="R21" s="724"/>
      <c r="S21" s="725"/>
      <c r="T21" s="725"/>
      <c r="U21" s="725"/>
      <c r="V21" s="726"/>
      <c r="W21" s="120"/>
      <c r="X21" s="120"/>
      <c r="Y21" s="120"/>
      <c r="Z21" s="120"/>
      <c r="AA21" s="120"/>
      <c r="AB21" s="120"/>
      <c r="AC21" s="120"/>
      <c r="AD21" s="120"/>
      <c r="AE21" s="120"/>
    </row>
    <row r="22" spans="1:31" ht="15.75" thickBot="1" x14ac:dyDescent="0.3">
      <c r="A22" s="120"/>
      <c r="B22" s="120"/>
      <c r="C22" s="120"/>
      <c r="D22" s="120"/>
      <c r="E22" s="120"/>
      <c r="F22" s="120"/>
      <c r="G22" s="120"/>
      <c r="H22" s="120"/>
      <c r="I22" s="120"/>
      <c r="J22" s="120"/>
      <c r="K22" s="120"/>
      <c r="L22" s="120"/>
      <c r="M22" s="120"/>
      <c r="N22" s="120"/>
      <c r="O22" s="120"/>
      <c r="P22" s="553"/>
      <c r="Q22" s="554"/>
      <c r="R22" s="724"/>
      <c r="S22" s="725"/>
      <c r="T22" s="725"/>
      <c r="U22" s="725"/>
      <c r="V22" s="726"/>
      <c r="W22" s="120"/>
      <c r="X22" s="120"/>
      <c r="Y22" s="120"/>
      <c r="Z22" s="120"/>
      <c r="AA22" s="120"/>
      <c r="AB22" s="120"/>
      <c r="AC22" s="120"/>
      <c r="AD22" s="120"/>
      <c r="AE22" s="120"/>
    </row>
    <row r="23" spans="1:31" x14ac:dyDescent="0.25">
      <c r="A23" s="120"/>
      <c r="B23" s="120"/>
      <c r="C23" s="120"/>
      <c r="D23" s="120"/>
      <c r="E23" s="120"/>
      <c r="F23" s="120"/>
      <c r="G23" s="120"/>
      <c r="H23" s="120"/>
      <c r="I23" s="120"/>
      <c r="J23" s="120"/>
      <c r="K23" s="120"/>
      <c r="L23" s="120"/>
      <c r="M23" s="120"/>
      <c r="N23" s="120"/>
      <c r="O23" s="120"/>
      <c r="P23" s="120"/>
      <c r="Q23" s="120"/>
      <c r="R23" s="120"/>
      <c r="S23" s="120"/>
      <c r="T23" s="120"/>
      <c r="U23" s="120"/>
      <c r="V23" s="120"/>
      <c r="W23" s="120"/>
      <c r="X23" s="120"/>
      <c r="Y23" s="120"/>
      <c r="Z23" s="120"/>
      <c r="AA23" s="120"/>
      <c r="AB23" s="120"/>
      <c r="AC23" s="120"/>
      <c r="AD23" s="120"/>
      <c r="AE23" s="120"/>
    </row>
    <row r="24" spans="1:31" x14ac:dyDescent="0.25">
      <c r="A24" s="120"/>
      <c r="B24" s="120"/>
      <c r="C24" s="120"/>
      <c r="D24" s="120"/>
      <c r="E24" s="120"/>
      <c r="F24" s="120"/>
      <c r="G24" s="120"/>
      <c r="H24" s="120"/>
      <c r="I24" s="120"/>
      <c r="J24" s="120"/>
      <c r="K24" s="120"/>
      <c r="L24" s="120"/>
      <c r="M24" s="120"/>
      <c r="N24" s="120"/>
      <c r="O24" s="120"/>
      <c r="P24" s="120"/>
      <c r="Q24" s="120"/>
      <c r="R24" s="120"/>
      <c r="S24" s="120"/>
      <c r="T24" s="120"/>
      <c r="U24" s="120"/>
      <c r="V24" s="120"/>
      <c r="W24" s="120"/>
      <c r="X24" s="120"/>
      <c r="Y24" s="120"/>
      <c r="Z24" s="120"/>
      <c r="AA24" s="120"/>
      <c r="AB24" s="120"/>
      <c r="AC24" s="120"/>
      <c r="AD24" s="120"/>
      <c r="AE24" s="120"/>
    </row>
    <row r="25" spans="1:31" x14ac:dyDescent="0.25">
      <c r="A25" s="120"/>
      <c r="B25" s="120"/>
      <c r="C25" s="120"/>
      <c r="D25" s="120"/>
      <c r="E25" s="120"/>
      <c r="F25" s="120"/>
      <c r="G25" s="120"/>
      <c r="H25" s="120"/>
      <c r="I25" s="120"/>
      <c r="J25" s="120"/>
      <c r="K25" s="120"/>
      <c r="L25" s="120"/>
      <c r="M25" s="120"/>
      <c r="N25" s="120"/>
      <c r="O25" s="120"/>
      <c r="P25" s="120"/>
      <c r="Q25" s="120"/>
      <c r="R25" s="120"/>
      <c r="S25" s="120"/>
      <c r="T25" s="120"/>
      <c r="U25" s="120"/>
      <c r="V25" s="120"/>
      <c r="W25" s="120"/>
      <c r="X25" s="120"/>
      <c r="Y25" s="120"/>
      <c r="Z25" s="120"/>
      <c r="AA25" s="120"/>
      <c r="AB25" s="120"/>
      <c r="AC25" s="120"/>
      <c r="AD25" s="120"/>
      <c r="AE25" s="120"/>
    </row>
    <row r="26" spans="1:31" x14ac:dyDescent="0.25">
      <c r="A26" s="120"/>
      <c r="B26" s="120"/>
      <c r="C26" s="120"/>
      <c r="D26" s="120"/>
      <c r="E26" s="120"/>
      <c r="F26" s="120"/>
      <c r="G26" s="120"/>
      <c r="H26" s="120"/>
      <c r="I26" s="120"/>
      <c r="J26" s="120"/>
      <c r="K26" s="120"/>
      <c r="L26" s="120"/>
      <c r="M26" s="120"/>
      <c r="N26" s="120"/>
      <c r="O26" s="120"/>
      <c r="P26" s="120"/>
      <c r="Q26" s="120"/>
      <c r="R26" s="120"/>
      <c r="S26" s="120"/>
      <c r="T26" s="120"/>
      <c r="U26" s="120"/>
      <c r="V26" s="120"/>
      <c r="W26" s="120"/>
      <c r="X26" s="120"/>
      <c r="Y26" s="120"/>
      <c r="Z26" s="120"/>
      <c r="AA26" s="120"/>
      <c r="AB26" s="120"/>
      <c r="AC26" s="120"/>
      <c r="AD26" s="120"/>
      <c r="AE26" s="120"/>
    </row>
    <row r="27" spans="1:31" x14ac:dyDescent="0.25">
      <c r="A27" s="120"/>
      <c r="B27" s="120"/>
      <c r="C27" s="120"/>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0"/>
      <c r="AB27" s="120"/>
      <c r="AC27" s="120"/>
      <c r="AD27" s="120"/>
      <c r="AE27" s="120"/>
    </row>
    <row r="28" spans="1:31" x14ac:dyDescent="0.25">
      <c r="A28" s="120"/>
      <c r="B28" s="120"/>
      <c r="C28" s="120"/>
      <c r="D28" s="120"/>
      <c r="E28" s="120"/>
      <c r="F28" s="120"/>
      <c r="G28" s="120"/>
      <c r="H28" s="120"/>
      <c r="I28" s="120"/>
      <c r="J28" s="120"/>
      <c r="K28" s="120"/>
      <c r="L28" s="120"/>
      <c r="M28" s="120"/>
      <c r="N28" s="120"/>
      <c r="O28" s="120"/>
      <c r="P28" s="120"/>
      <c r="Q28" s="120"/>
      <c r="R28" s="120"/>
      <c r="S28" s="120"/>
      <c r="T28" s="120"/>
      <c r="U28" s="120"/>
      <c r="V28" s="120"/>
      <c r="W28" s="120"/>
      <c r="X28" s="120"/>
      <c r="Y28" s="120"/>
      <c r="Z28" s="120"/>
      <c r="AA28" s="120"/>
      <c r="AB28" s="120"/>
      <c r="AC28" s="120"/>
      <c r="AD28" s="120"/>
      <c r="AE28" s="120"/>
    </row>
    <row r="29" spans="1:31" x14ac:dyDescent="0.25">
      <c r="A29" s="120"/>
      <c r="B29" s="120"/>
      <c r="C29" s="120"/>
      <c r="D29" s="120"/>
      <c r="E29" s="120"/>
      <c r="F29" s="120"/>
      <c r="G29" s="120"/>
      <c r="H29" s="120"/>
      <c r="I29" s="120"/>
      <c r="J29" s="120"/>
      <c r="K29" s="120"/>
      <c r="L29" s="120"/>
      <c r="M29" s="120"/>
      <c r="N29" s="120"/>
      <c r="O29" s="120"/>
      <c r="P29" s="120"/>
      <c r="Q29" s="120"/>
      <c r="R29" s="120"/>
      <c r="S29" s="120"/>
      <c r="T29" s="120"/>
      <c r="U29" s="120"/>
      <c r="V29" s="120"/>
      <c r="W29" s="120"/>
      <c r="X29" s="120"/>
      <c r="Y29" s="120"/>
      <c r="Z29" s="120"/>
      <c r="AA29" s="120"/>
      <c r="AB29" s="120"/>
      <c r="AC29" s="120"/>
      <c r="AD29" s="120"/>
      <c r="AE29" s="120"/>
    </row>
    <row r="30" spans="1:31" x14ac:dyDescent="0.25">
      <c r="A30" s="120"/>
      <c r="B30" s="120"/>
      <c r="C30" s="120"/>
      <c r="D30" s="120"/>
      <c r="E30" s="120"/>
      <c r="F30" s="120"/>
      <c r="G30" s="120"/>
      <c r="H30" s="120"/>
      <c r="I30" s="120"/>
      <c r="J30" s="120"/>
      <c r="K30" s="120"/>
      <c r="L30" s="120"/>
      <c r="M30" s="120"/>
      <c r="N30" s="120"/>
      <c r="O30" s="120"/>
      <c r="P30" s="120"/>
      <c r="Q30" s="120"/>
      <c r="R30" s="120"/>
      <c r="S30" s="120"/>
      <c r="T30" s="120"/>
      <c r="U30" s="120"/>
      <c r="V30" s="120"/>
      <c r="W30" s="120"/>
      <c r="X30" s="120"/>
      <c r="Y30" s="120"/>
      <c r="Z30" s="120"/>
      <c r="AA30" s="120"/>
      <c r="AB30" s="120"/>
      <c r="AC30" s="120"/>
      <c r="AD30" s="120"/>
      <c r="AE30" s="120"/>
    </row>
  </sheetData>
  <mergeCells count="36">
    <mergeCell ref="R21:V21"/>
    <mergeCell ref="R22:V22"/>
    <mergeCell ref="R13:V13"/>
    <mergeCell ref="R15:V15"/>
    <mergeCell ref="R14:V14"/>
    <mergeCell ref="R16:V16"/>
    <mergeCell ref="R17:V17"/>
    <mergeCell ref="R18:V18"/>
    <mergeCell ref="R19:V19"/>
    <mergeCell ref="R20:V20"/>
    <mergeCell ref="A18:D19"/>
    <mergeCell ref="P6:V7"/>
    <mergeCell ref="A1:E4"/>
    <mergeCell ref="A6:D7"/>
    <mergeCell ref="A9:D10"/>
    <mergeCell ref="A12:D13"/>
    <mergeCell ref="A15:D16"/>
    <mergeCell ref="R8:V8"/>
    <mergeCell ref="G4:N20"/>
    <mergeCell ref="G2:N3"/>
    <mergeCell ref="R9:V9"/>
    <mergeCell ref="R10:V10"/>
    <mergeCell ref="R11:V11"/>
    <mergeCell ref="R12:V12"/>
    <mergeCell ref="P2:V2"/>
    <mergeCell ref="P3:V4"/>
    <mergeCell ref="X2:AC3"/>
    <mergeCell ref="Y5:AE5"/>
    <mergeCell ref="Y6:AE6"/>
    <mergeCell ref="Y7:AE7"/>
    <mergeCell ref="Y8:AE8"/>
    <mergeCell ref="Y9:AE9"/>
    <mergeCell ref="Y10:AE10"/>
    <mergeCell ref="Y11:AE11"/>
    <mergeCell ref="Y12:AE12"/>
    <mergeCell ref="Y13:AE1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1"/>
  <dimension ref="I1:S21"/>
  <sheetViews>
    <sheetView workbookViewId="0">
      <selection activeCell="I3" sqref="I3:K21"/>
    </sheetView>
  </sheetViews>
  <sheetFormatPr defaultRowHeight="15" x14ac:dyDescent="0.25"/>
  <sheetData>
    <row r="1" spans="9:19" ht="15.75" thickBot="1" x14ac:dyDescent="0.3"/>
    <row r="2" spans="9:19" ht="16.5" thickTop="1" thickBot="1" x14ac:dyDescent="0.3">
      <c r="I2" s="743" t="s">
        <v>6519</v>
      </c>
      <c r="J2" s="743"/>
      <c r="K2" s="743"/>
      <c r="M2" s="743" t="s">
        <v>6517</v>
      </c>
      <c r="N2" s="743"/>
      <c r="O2" s="743"/>
      <c r="Q2" s="743" t="s">
        <v>6518</v>
      </c>
      <c r="R2" s="743"/>
      <c r="S2" s="743"/>
    </row>
    <row r="3" spans="9:19" ht="15.75" thickTop="1" x14ac:dyDescent="0.25">
      <c r="I3" s="744" t="s">
        <v>6665</v>
      </c>
      <c r="J3" s="745"/>
      <c r="K3" s="745"/>
      <c r="M3" s="744" t="s">
        <v>6667</v>
      </c>
      <c r="N3" s="745"/>
      <c r="O3" s="745"/>
      <c r="Q3" s="744" t="s">
        <v>6666</v>
      </c>
      <c r="R3" s="745"/>
      <c r="S3" s="745"/>
    </row>
    <row r="4" spans="9:19" x14ac:dyDescent="0.25">
      <c r="I4" s="746"/>
      <c r="J4" s="746"/>
      <c r="K4" s="746"/>
      <c r="M4" s="746"/>
      <c r="N4" s="746"/>
      <c r="O4" s="746"/>
      <c r="Q4" s="746"/>
      <c r="R4" s="746"/>
      <c r="S4" s="746"/>
    </row>
    <row r="5" spans="9:19" x14ac:dyDescent="0.25">
      <c r="I5" s="746"/>
      <c r="J5" s="746"/>
      <c r="K5" s="746"/>
      <c r="M5" s="746"/>
      <c r="N5" s="746"/>
      <c r="O5" s="746"/>
      <c r="Q5" s="746"/>
      <c r="R5" s="746"/>
      <c r="S5" s="746"/>
    </row>
    <row r="6" spans="9:19" x14ac:dyDescent="0.25">
      <c r="I6" s="746"/>
      <c r="J6" s="746"/>
      <c r="K6" s="746"/>
      <c r="M6" s="746"/>
      <c r="N6" s="746"/>
      <c r="O6" s="746"/>
      <c r="Q6" s="746"/>
      <c r="R6" s="746"/>
      <c r="S6" s="746"/>
    </row>
    <row r="7" spans="9:19" x14ac:dyDescent="0.25">
      <c r="I7" s="746"/>
      <c r="J7" s="746"/>
      <c r="K7" s="746"/>
      <c r="M7" s="746"/>
      <c r="N7" s="746"/>
      <c r="O7" s="746"/>
      <c r="Q7" s="746"/>
      <c r="R7" s="746"/>
      <c r="S7" s="746"/>
    </row>
    <row r="8" spans="9:19" x14ac:dyDescent="0.25">
      <c r="I8" s="746"/>
      <c r="J8" s="746"/>
      <c r="K8" s="746"/>
      <c r="M8" s="746"/>
      <c r="N8" s="746"/>
      <c r="O8" s="746"/>
      <c r="Q8" s="746"/>
      <c r="R8" s="746"/>
      <c r="S8" s="746"/>
    </row>
    <row r="9" spans="9:19" x14ac:dyDescent="0.25">
      <c r="I9" s="746"/>
      <c r="J9" s="746"/>
      <c r="K9" s="746"/>
      <c r="M9" s="746"/>
      <c r="N9" s="746"/>
      <c r="O9" s="746"/>
      <c r="Q9" s="746"/>
      <c r="R9" s="746"/>
      <c r="S9" s="746"/>
    </row>
    <row r="10" spans="9:19" x14ac:dyDescent="0.25">
      <c r="I10" s="746"/>
      <c r="J10" s="746"/>
      <c r="K10" s="746"/>
      <c r="M10" s="746"/>
      <c r="N10" s="746"/>
      <c r="O10" s="746"/>
      <c r="Q10" s="746"/>
      <c r="R10" s="746"/>
      <c r="S10" s="746"/>
    </row>
    <row r="11" spans="9:19" x14ac:dyDescent="0.25">
      <c r="I11" s="746"/>
      <c r="J11" s="746"/>
      <c r="K11" s="746"/>
      <c r="M11" s="746"/>
      <c r="N11" s="746"/>
      <c r="O11" s="746"/>
      <c r="Q11" s="746"/>
      <c r="R11" s="746"/>
      <c r="S11" s="746"/>
    </row>
    <row r="12" spans="9:19" x14ac:dyDescent="0.25">
      <c r="I12" s="746"/>
      <c r="J12" s="746"/>
      <c r="K12" s="746"/>
      <c r="M12" s="746"/>
      <c r="N12" s="746"/>
      <c r="O12" s="746"/>
      <c r="Q12" s="746"/>
      <c r="R12" s="746"/>
      <c r="S12" s="746"/>
    </row>
    <row r="13" spans="9:19" x14ac:dyDescent="0.25">
      <c r="I13" s="746"/>
      <c r="J13" s="746"/>
      <c r="K13" s="746"/>
      <c r="M13" s="746"/>
      <c r="N13" s="746"/>
      <c r="O13" s="746"/>
      <c r="Q13" s="746"/>
      <c r="R13" s="746"/>
      <c r="S13" s="746"/>
    </row>
    <row r="14" spans="9:19" x14ac:dyDescent="0.25">
      <c r="I14" s="746"/>
      <c r="J14" s="746"/>
      <c r="K14" s="746"/>
      <c r="M14" s="746"/>
      <c r="N14" s="746"/>
      <c r="O14" s="746"/>
      <c r="Q14" s="746"/>
      <c r="R14" s="746"/>
      <c r="S14" s="746"/>
    </row>
    <row r="15" spans="9:19" x14ac:dyDescent="0.25">
      <c r="I15" s="746"/>
      <c r="J15" s="746"/>
      <c r="K15" s="746"/>
      <c r="M15" s="746"/>
      <c r="N15" s="746"/>
      <c r="O15" s="746"/>
      <c r="Q15" s="746"/>
      <c r="R15" s="746"/>
      <c r="S15" s="746"/>
    </row>
    <row r="16" spans="9:19" x14ac:dyDescent="0.25">
      <c r="I16" s="746"/>
      <c r="J16" s="746"/>
      <c r="K16" s="746"/>
      <c r="M16" s="746"/>
      <c r="N16" s="746"/>
      <c r="O16" s="746"/>
      <c r="Q16" s="746"/>
      <c r="R16" s="746"/>
      <c r="S16" s="746"/>
    </row>
    <row r="17" spans="9:19" x14ac:dyDescent="0.25">
      <c r="I17" s="746"/>
      <c r="J17" s="746"/>
      <c r="K17" s="746"/>
      <c r="M17" s="746"/>
      <c r="N17" s="746"/>
      <c r="O17" s="746"/>
      <c r="Q17" s="746"/>
      <c r="R17" s="746"/>
      <c r="S17" s="746"/>
    </row>
    <row r="18" spans="9:19" x14ac:dyDescent="0.25">
      <c r="I18" s="746"/>
      <c r="J18" s="746"/>
      <c r="K18" s="746"/>
      <c r="M18" s="746"/>
      <c r="N18" s="746"/>
      <c r="O18" s="746"/>
      <c r="Q18" s="746"/>
      <c r="R18" s="746"/>
      <c r="S18" s="746"/>
    </row>
    <row r="19" spans="9:19" x14ac:dyDescent="0.25">
      <c r="I19" s="746"/>
      <c r="J19" s="746"/>
      <c r="K19" s="746"/>
      <c r="M19" s="746"/>
      <c r="N19" s="746"/>
      <c r="O19" s="746"/>
      <c r="Q19" s="746"/>
      <c r="R19" s="746"/>
      <c r="S19" s="746"/>
    </row>
    <row r="20" spans="9:19" x14ac:dyDescent="0.25">
      <c r="I20" s="746"/>
      <c r="J20" s="746"/>
      <c r="K20" s="746"/>
      <c r="M20" s="746"/>
      <c r="N20" s="746"/>
      <c r="O20" s="746"/>
      <c r="Q20" s="746"/>
      <c r="R20" s="746"/>
      <c r="S20" s="746"/>
    </row>
    <row r="21" spans="9:19" x14ac:dyDescent="0.25">
      <c r="I21" s="746"/>
      <c r="J21" s="746"/>
      <c r="K21" s="746"/>
      <c r="M21" s="746"/>
      <c r="N21" s="746"/>
      <c r="O21" s="746"/>
      <c r="Q21" s="746"/>
      <c r="R21" s="746"/>
      <c r="S21" s="746"/>
    </row>
  </sheetData>
  <mergeCells count="6">
    <mergeCell ref="I2:K2"/>
    <mergeCell ref="I3:K21"/>
    <mergeCell ref="M3:O21"/>
    <mergeCell ref="M2:O2"/>
    <mergeCell ref="Q2:S2"/>
    <mergeCell ref="Q3:S2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HideWorksheets">
                <anchor moveWithCells="1" sizeWithCells="1">
                  <from>
                    <xdr:col>1</xdr:col>
                    <xdr:colOff>66675</xdr:colOff>
                    <xdr:row>4</xdr:row>
                    <xdr:rowOff>19050</xdr:rowOff>
                  </from>
                  <to>
                    <xdr:col>2</xdr:col>
                    <xdr:colOff>523875</xdr:colOff>
                    <xdr:row>5</xdr:row>
                    <xdr:rowOff>152400</xdr:rowOff>
                  </to>
                </anchor>
              </controlPr>
            </control>
          </mc:Choice>
        </mc:AlternateContent>
        <mc:AlternateContent xmlns:mc="http://schemas.openxmlformats.org/markup-compatibility/2006">
          <mc:Choice Requires="x14">
            <control shapeId="52226" r:id="rId5" name="Button 2">
              <controlPr defaultSize="0" print="0" autoFill="0" autoPict="0" macro="[0]!UnHideWorksheets">
                <anchor moveWithCells="1" sizeWithCells="1">
                  <from>
                    <xdr:col>1</xdr:col>
                    <xdr:colOff>66675</xdr:colOff>
                    <xdr:row>7</xdr:row>
                    <xdr:rowOff>28575</xdr:rowOff>
                  </from>
                  <to>
                    <xdr:col>2</xdr:col>
                    <xdr:colOff>523875</xdr:colOff>
                    <xdr:row>8</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
  <dimension ref="A1:AS48"/>
  <sheetViews>
    <sheetView workbookViewId="0">
      <selection activeCell="G41" sqref="G41"/>
    </sheetView>
  </sheetViews>
  <sheetFormatPr defaultRowHeight="15" outlineLevelRow="1" x14ac:dyDescent="0.25"/>
  <cols>
    <col min="1" max="1" width="1.7109375" customWidth="1"/>
    <col min="2" max="30" width="6.7109375" customWidth="1"/>
    <col min="32" max="32" width="1.7109375" customWidth="1"/>
  </cols>
  <sheetData>
    <row r="1" spans="1:45" ht="16.5" x14ac:dyDescent="0.3">
      <c r="A1" s="527"/>
      <c r="B1" s="527"/>
      <c r="C1" s="527"/>
      <c r="D1" s="527"/>
      <c r="E1" s="527"/>
      <c r="F1" s="527"/>
      <c r="G1" s="527"/>
      <c r="H1" s="527"/>
      <c r="I1" s="527"/>
      <c r="J1" s="527"/>
      <c r="K1" s="527"/>
      <c r="L1" s="527"/>
      <c r="M1" s="527"/>
      <c r="N1" s="527"/>
      <c r="O1" s="527"/>
      <c r="P1" s="527"/>
      <c r="Q1" s="527"/>
      <c r="R1" s="527"/>
      <c r="S1" s="527"/>
      <c r="T1" s="527"/>
      <c r="U1" s="527"/>
      <c r="V1" s="527"/>
      <c r="W1" s="527"/>
      <c r="X1" s="527"/>
      <c r="Y1" s="527"/>
      <c r="Z1" s="527"/>
      <c r="AA1" s="527"/>
      <c r="AB1" s="527"/>
      <c r="AC1" s="527"/>
      <c r="AD1" s="527"/>
      <c r="AE1" s="527"/>
      <c r="AF1" s="527"/>
      <c r="AG1" s="527"/>
      <c r="AH1" s="527"/>
      <c r="AI1" s="527"/>
      <c r="AJ1" s="527"/>
      <c r="AK1" s="527"/>
      <c r="AL1" s="527"/>
      <c r="AM1" s="527"/>
      <c r="AN1" s="527"/>
      <c r="AO1" s="527"/>
      <c r="AP1" s="527"/>
      <c r="AQ1" s="527"/>
      <c r="AR1" s="527"/>
      <c r="AS1" s="527"/>
    </row>
    <row r="2" spans="1:45" ht="15" customHeight="1" x14ac:dyDescent="0.3">
      <c r="A2" s="527"/>
      <c r="B2" s="749" t="s">
        <v>6483</v>
      </c>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527"/>
      <c r="AG2" s="527"/>
      <c r="AH2" s="527"/>
      <c r="AI2" s="527"/>
      <c r="AJ2" s="527"/>
      <c r="AK2" s="527"/>
      <c r="AL2" s="527"/>
      <c r="AM2" s="527"/>
      <c r="AN2" s="527"/>
      <c r="AO2" s="527"/>
      <c r="AP2" s="527"/>
      <c r="AQ2" s="527"/>
      <c r="AR2" s="527"/>
      <c r="AS2" s="527"/>
    </row>
    <row r="3" spans="1:45" ht="15" customHeight="1" x14ac:dyDescent="0.3">
      <c r="A3" s="527"/>
      <c r="B3" s="749"/>
      <c r="C3" s="749"/>
      <c r="D3" s="749"/>
      <c r="E3" s="749"/>
      <c r="F3" s="749"/>
      <c r="G3" s="749"/>
      <c r="H3" s="749"/>
      <c r="I3" s="749"/>
      <c r="J3" s="749"/>
      <c r="K3" s="749"/>
      <c r="L3" s="749"/>
      <c r="M3" s="749"/>
      <c r="N3" s="749"/>
      <c r="O3" s="749"/>
      <c r="P3" s="749"/>
      <c r="Q3" s="749"/>
      <c r="R3" s="749"/>
      <c r="S3" s="749"/>
      <c r="T3" s="749"/>
      <c r="U3" s="749"/>
      <c r="V3" s="749"/>
      <c r="W3" s="749"/>
      <c r="X3" s="749"/>
      <c r="Y3" s="749"/>
      <c r="Z3" s="749"/>
      <c r="AA3" s="749"/>
      <c r="AB3" s="749"/>
      <c r="AC3" s="749"/>
      <c r="AD3" s="749"/>
      <c r="AE3" s="749"/>
      <c r="AF3" s="527"/>
      <c r="AG3" s="527"/>
      <c r="AH3" s="527"/>
      <c r="AI3" s="527"/>
      <c r="AJ3" s="527"/>
      <c r="AK3" s="527"/>
      <c r="AL3" s="527"/>
      <c r="AM3" s="527"/>
      <c r="AN3" s="527"/>
      <c r="AO3" s="527"/>
      <c r="AP3" s="527"/>
      <c r="AQ3" s="527"/>
      <c r="AR3" s="527"/>
      <c r="AS3" s="527"/>
    </row>
    <row r="4" spans="1:45" ht="16.5" hidden="1" outlineLevel="1" x14ac:dyDescent="0.3">
      <c r="A4" s="527"/>
      <c r="B4" s="527"/>
      <c r="C4" s="527"/>
      <c r="D4" s="527"/>
      <c r="E4" s="527"/>
      <c r="F4" s="527"/>
      <c r="G4" s="527"/>
      <c r="H4" s="527"/>
      <c r="I4" s="527"/>
      <c r="J4" s="527"/>
      <c r="K4" s="527"/>
      <c r="L4" s="527"/>
      <c r="M4" s="527"/>
      <c r="N4" s="527"/>
      <c r="O4" s="527"/>
      <c r="P4" s="527"/>
      <c r="Q4" s="527"/>
      <c r="R4" s="527"/>
      <c r="S4" s="527"/>
      <c r="T4" s="527"/>
      <c r="U4" s="527"/>
      <c r="V4" s="527"/>
      <c r="W4" s="527"/>
      <c r="X4" s="527"/>
      <c r="Y4" s="527"/>
      <c r="Z4" s="527"/>
      <c r="AA4" s="527"/>
      <c r="AB4" s="527"/>
      <c r="AC4" s="527"/>
      <c r="AD4" s="527"/>
      <c r="AE4" s="527"/>
      <c r="AF4" s="527"/>
      <c r="AG4" s="527"/>
      <c r="AH4" s="527"/>
      <c r="AI4" s="527"/>
      <c r="AJ4" s="527"/>
      <c r="AK4" s="527"/>
      <c r="AL4" s="527"/>
      <c r="AM4" s="527"/>
      <c r="AN4" s="527"/>
      <c r="AO4" s="527"/>
      <c r="AP4" s="527"/>
      <c r="AQ4" s="527"/>
      <c r="AR4" s="527"/>
      <c r="AS4" s="527"/>
    </row>
    <row r="5" spans="1:45" ht="16.5" hidden="1" outlineLevel="1" x14ac:dyDescent="0.3">
      <c r="A5" s="527"/>
      <c r="B5" s="747" t="s">
        <v>6482</v>
      </c>
      <c r="C5" s="747"/>
      <c r="D5" s="748"/>
      <c r="E5" s="748"/>
      <c r="F5" s="748"/>
      <c r="G5" s="748"/>
      <c r="H5" s="527"/>
      <c r="I5" s="750" t="s">
        <v>6484</v>
      </c>
      <c r="J5" s="750"/>
      <c r="K5" s="748"/>
      <c r="L5" s="748"/>
      <c r="M5" s="748"/>
      <c r="N5" s="748"/>
      <c r="O5" s="527"/>
      <c r="P5" s="527"/>
      <c r="Q5" s="527"/>
      <c r="R5" s="527"/>
      <c r="S5" s="747" t="s">
        <v>11</v>
      </c>
      <c r="T5" s="747"/>
      <c r="U5" s="748"/>
      <c r="V5" s="748"/>
      <c r="W5" s="748"/>
      <c r="X5" s="748"/>
      <c r="Y5" s="527"/>
      <c r="Z5" s="750" t="s">
        <v>6487</v>
      </c>
      <c r="AA5" s="750"/>
      <c r="AB5" s="748"/>
      <c r="AC5" s="748"/>
      <c r="AD5" s="748"/>
      <c r="AE5" s="748"/>
      <c r="AF5" s="527"/>
      <c r="AG5" s="527"/>
      <c r="AH5" s="527"/>
      <c r="AI5" s="527"/>
      <c r="AJ5" s="527"/>
      <c r="AK5" s="527"/>
      <c r="AL5" s="527"/>
      <c r="AM5" s="527"/>
      <c r="AN5" s="527"/>
      <c r="AO5" s="527"/>
      <c r="AP5" s="527"/>
      <c r="AQ5" s="527"/>
      <c r="AR5" s="527"/>
      <c r="AS5" s="527"/>
    </row>
    <row r="6" spans="1:45" ht="16.5" hidden="1" outlineLevel="1" x14ac:dyDescent="0.3">
      <c r="A6" s="527"/>
      <c r="B6" s="747"/>
      <c r="C6" s="747"/>
      <c r="D6" s="748"/>
      <c r="E6" s="748"/>
      <c r="F6" s="748"/>
      <c r="G6" s="748"/>
      <c r="H6" s="527"/>
      <c r="I6" s="750"/>
      <c r="J6" s="750"/>
      <c r="K6" s="748"/>
      <c r="L6" s="748"/>
      <c r="M6" s="748"/>
      <c r="N6" s="748"/>
      <c r="O6" s="527"/>
      <c r="P6" s="751" t="s">
        <v>113</v>
      </c>
      <c r="Q6" s="752"/>
      <c r="R6" s="527"/>
      <c r="S6" s="747"/>
      <c r="T6" s="747"/>
      <c r="U6" s="748"/>
      <c r="V6" s="748"/>
      <c r="W6" s="748"/>
      <c r="X6" s="748"/>
      <c r="Y6" s="527"/>
      <c r="Z6" s="750"/>
      <c r="AA6" s="750"/>
      <c r="AB6" s="748"/>
      <c r="AC6" s="748"/>
      <c r="AD6" s="748"/>
      <c r="AE6" s="748"/>
      <c r="AF6" s="527"/>
      <c r="AG6" s="527"/>
      <c r="AH6" s="527"/>
      <c r="AI6" s="527"/>
      <c r="AJ6" s="527"/>
      <c r="AK6" s="527"/>
      <c r="AL6" s="527"/>
      <c r="AM6" s="527"/>
      <c r="AN6" s="527"/>
      <c r="AO6" s="527"/>
      <c r="AP6" s="527"/>
      <c r="AQ6" s="527"/>
      <c r="AR6" s="527"/>
      <c r="AS6" s="527"/>
    </row>
    <row r="7" spans="1:45" ht="16.5" hidden="1" customHeight="1" outlineLevel="1" x14ac:dyDescent="0.3">
      <c r="A7" s="527"/>
      <c r="B7" s="527"/>
      <c r="C7" s="527"/>
      <c r="D7" s="527"/>
      <c r="E7" s="527"/>
      <c r="F7" s="527"/>
      <c r="G7" s="527"/>
      <c r="H7" s="527"/>
      <c r="I7" s="527"/>
      <c r="J7" s="527"/>
      <c r="K7" s="527"/>
      <c r="L7" s="527"/>
      <c r="M7" s="527"/>
      <c r="N7" s="527"/>
      <c r="O7" s="527"/>
      <c r="P7" s="751"/>
      <c r="Q7" s="752"/>
      <c r="R7" s="527"/>
      <c r="S7" s="527"/>
      <c r="T7" s="527"/>
      <c r="U7" s="527"/>
      <c r="V7" s="527"/>
      <c r="W7" s="527"/>
      <c r="X7" s="527"/>
      <c r="Y7" s="527"/>
      <c r="Z7" s="750" t="s">
        <v>6487</v>
      </c>
      <c r="AA7" s="750"/>
      <c r="AB7" s="748"/>
      <c r="AC7" s="748"/>
      <c r="AD7" s="748"/>
      <c r="AE7" s="748"/>
      <c r="AF7" s="527"/>
      <c r="AG7" s="527"/>
      <c r="AH7" s="527"/>
      <c r="AI7" s="527"/>
      <c r="AJ7" s="527"/>
      <c r="AK7" s="527"/>
      <c r="AL7" s="527"/>
      <c r="AM7" s="527"/>
      <c r="AN7" s="527"/>
      <c r="AO7" s="527"/>
      <c r="AP7" s="527"/>
      <c r="AQ7" s="527"/>
      <c r="AR7" s="527"/>
      <c r="AS7" s="527"/>
    </row>
    <row r="8" spans="1:45" ht="16.5" hidden="1" customHeight="1" outlineLevel="1" x14ac:dyDescent="0.3">
      <c r="A8" s="527"/>
      <c r="B8" s="747" t="s">
        <v>4290</v>
      </c>
      <c r="C8" s="747"/>
      <c r="D8" s="747"/>
      <c r="E8" s="747"/>
      <c r="F8" s="747"/>
      <c r="G8" s="747"/>
      <c r="H8" s="527"/>
      <c r="I8" s="747" t="s">
        <v>6485</v>
      </c>
      <c r="J8" s="747"/>
      <c r="K8" s="747"/>
      <c r="L8" s="747"/>
      <c r="M8" s="747"/>
      <c r="N8" s="747"/>
      <c r="O8" s="527"/>
      <c r="P8" s="751" t="s">
        <v>117</v>
      </c>
      <c r="Q8" s="752"/>
      <c r="R8" s="527"/>
      <c r="S8" s="747" t="s">
        <v>13</v>
      </c>
      <c r="T8" s="747"/>
      <c r="U8" s="748"/>
      <c r="V8" s="748"/>
      <c r="W8" s="748"/>
      <c r="X8" s="748"/>
      <c r="Y8" s="527"/>
      <c r="Z8" s="750"/>
      <c r="AA8" s="750"/>
      <c r="AB8" s="748"/>
      <c r="AC8" s="748"/>
      <c r="AD8" s="748"/>
      <c r="AE8" s="748"/>
      <c r="AF8" s="527"/>
      <c r="AG8" s="527"/>
      <c r="AH8" s="527"/>
      <c r="AI8" s="527"/>
      <c r="AJ8" s="527"/>
      <c r="AK8" s="527"/>
      <c r="AL8" s="527"/>
      <c r="AM8" s="527"/>
      <c r="AN8" s="527"/>
      <c r="AO8" s="527"/>
      <c r="AP8" s="527"/>
      <c r="AQ8" s="527"/>
      <c r="AR8" s="527"/>
      <c r="AS8" s="527"/>
    </row>
    <row r="9" spans="1:45" ht="16.5" hidden="1" customHeight="1" outlineLevel="1" x14ac:dyDescent="0.3">
      <c r="A9" s="527"/>
      <c r="B9" s="748"/>
      <c r="C9" s="748"/>
      <c r="D9" s="748"/>
      <c r="E9" s="748"/>
      <c r="F9" s="748"/>
      <c r="G9" s="748"/>
      <c r="H9" s="527"/>
      <c r="I9" s="748"/>
      <c r="J9" s="748"/>
      <c r="K9" s="748"/>
      <c r="L9" s="748"/>
      <c r="M9" s="748"/>
      <c r="N9" s="748"/>
      <c r="O9" s="527"/>
      <c r="P9" s="751"/>
      <c r="Q9" s="752"/>
      <c r="R9" s="527"/>
      <c r="S9" s="747"/>
      <c r="T9" s="747"/>
      <c r="U9" s="748"/>
      <c r="V9" s="748"/>
      <c r="W9" s="748"/>
      <c r="X9" s="748"/>
      <c r="Y9" s="527"/>
      <c r="Z9" s="750" t="s">
        <v>6487</v>
      </c>
      <c r="AA9" s="750"/>
      <c r="AB9" s="748"/>
      <c r="AC9" s="748"/>
      <c r="AD9" s="748"/>
      <c r="AE9" s="748"/>
      <c r="AF9" s="527"/>
      <c r="AG9" s="527"/>
      <c r="AH9" s="527"/>
      <c r="AI9" s="527"/>
      <c r="AJ9" s="527"/>
      <c r="AK9" s="527"/>
      <c r="AL9" s="527"/>
      <c r="AM9" s="527"/>
      <c r="AN9" s="527"/>
      <c r="AO9" s="527"/>
      <c r="AP9" s="527"/>
      <c r="AQ9" s="527"/>
      <c r="AR9" s="527"/>
      <c r="AS9" s="527"/>
    </row>
    <row r="10" spans="1:45" ht="16.5" hidden="1" customHeight="1" outlineLevel="1" x14ac:dyDescent="0.3">
      <c r="A10" s="527"/>
      <c r="B10" s="748"/>
      <c r="C10" s="748"/>
      <c r="D10" s="748"/>
      <c r="E10" s="748"/>
      <c r="F10" s="748"/>
      <c r="G10" s="748"/>
      <c r="H10" s="527"/>
      <c r="I10" s="748"/>
      <c r="J10" s="748"/>
      <c r="K10" s="748"/>
      <c r="L10" s="748"/>
      <c r="M10" s="748"/>
      <c r="N10" s="748"/>
      <c r="O10" s="527"/>
      <c r="P10" s="751" t="s">
        <v>508</v>
      </c>
      <c r="Q10" s="752"/>
      <c r="R10" s="527"/>
      <c r="S10" s="527"/>
      <c r="T10" s="527"/>
      <c r="U10" s="527"/>
      <c r="V10" s="527"/>
      <c r="W10" s="527"/>
      <c r="X10" s="527"/>
      <c r="Y10" s="527"/>
      <c r="Z10" s="750"/>
      <c r="AA10" s="750"/>
      <c r="AB10" s="748"/>
      <c r="AC10" s="748"/>
      <c r="AD10" s="748"/>
      <c r="AE10" s="748"/>
      <c r="AF10" s="527"/>
      <c r="AG10" s="527"/>
      <c r="AH10" s="527"/>
      <c r="AI10" s="527"/>
      <c r="AJ10" s="527"/>
      <c r="AK10" s="527"/>
      <c r="AL10" s="527"/>
      <c r="AM10" s="527"/>
      <c r="AN10" s="527"/>
      <c r="AO10" s="527"/>
      <c r="AP10" s="527"/>
      <c r="AQ10" s="527"/>
      <c r="AR10" s="527"/>
      <c r="AS10" s="527"/>
    </row>
    <row r="11" spans="1:45" ht="16.5" hidden="1" customHeight="1" outlineLevel="1" x14ac:dyDescent="0.3">
      <c r="A11" s="527"/>
      <c r="B11" s="748"/>
      <c r="C11" s="748"/>
      <c r="D11" s="748"/>
      <c r="E11" s="748"/>
      <c r="F11" s="748"/>
      <c r="G11" s="748"/>
      <c r="H11" s="527"/>
      <c r="I11" s="748"/>
      <c r="J11" s="748"/>
      <c r="K11" s="748"/>
      <c r="L11" s="748"/>
      <c r="M11" s="748"/>
      <c r="N11" s="748"/>
      <c r="O11" s="527"/>
      <c r="P11" s="751"/>
      <c r="Q11" s="752"/>
      <c r="R11" s="527"/>
      <c r="S11" s="747" t="s">
        <v>6486</v>
      </c>
      <c r="T11" s="747"/>
      <c r="U11" s="748"/>
      <c r="V11" s="748"/>
      <c r="W11" s="748"/>
      <c r="X11" s="748"/>
      <c r="Y11" s="527"/>
      <c r="Z11" s="750" t="s">
        <v>6487</v>
      </c>
      <c r="AA11" s="750"/>
      <c r="AB11" s="748"/>
      <c r="AC11" s="748"/>
      <c r="AD11" s="748"/>
      <c r="AE11" s="748"/>
      <c r="AF11" s="527"/>
      <c r="AG11" s="527"/>
      <c r="AH11" s="527"/>
      <c r="AI11" s="527"/>
      <c r="AJ11" s="527"/>
      <c r="AK11" s="527"/>
      <c r="AL11" s="527"/>
      <c r="AM11" s="527"/>
      <c r="AN11" s="527"/>
      <c r="AO11" s="527"/>
      <c r="AP11" s="527"/>
      <c r="AQ11" s="527"/>
      <c r="AR11" s="527"/>
      <c r="AS11" s="527"/>
    </row>
    <row r="12" spans="1:45" ht="16.5" hidden="1" customHeight="1" outlineLevel="1" x14ac:dyDescent="0.3">
      <c r="A12" s="527"/>
      <c r="B12" s="748"/>
      <c r="C12" s="748"/>
      <c r="D12" s="748"/>
      <c r="E12" s="748"/>
      <c r="F12" s="748"/>
      <c r="G12" s="748"/>
      <c r="H12" s="527"/>
      <c r="I12" s="748"/>
      <c r="J12" s="748"/>
      <c r="K12" s="748"/>
      <c r="L12" s="748"/>
      <c r="M12" s="748"/>
      <c r="N12" s="748"/>
      <c r="O12" s="527"/>
      <c r="P12" s="751" t="s">
        <v>509</v>
      </c>
      <c r="Q12" s="752"/>
      <c r="R12" s="527"/>
      <c r="S12" s="747"/>
      <c r="T12" s="747"/>
      <c r="U12" s="748"/>
      <c r="V12" s="748"/>
      <c r="W12" s="748"/>
      <c r="X12" s="748"/>
      <c r="Y12" s="527"/>
      <c r="Z12" s="750"/>
      <c r="AA12" s="750"/>
      <c r="AB12" s="748"/>
      <c r="AC12" s="748"/>
      <c r="AD12" s="748"/>
      <c r="AE12" s="748"/>
      <c r="AF12" s="527"/>
      <c r="AG12" s="527"/>
      <c r="AH12" s="527"/>
      <c r="AI12" s="527"/>
      <c r="AJ12" s="527"/>
      <c r="AK12" s="527"/>
      <c r="AL12" s="527"/>
      <c r="AM12" s="527"/>
      <c r="AN12" s="527"/>
      <c r="AO12" s="527"/>
      <c r="AP12" s="527"/>
      <c r="AQ12" s="527"/>
      <c r="AR12" s="527"/>
      <c r="AS12" s="527"/>
    </row>
    <row r="13" spans="1:45" ht="16.5" hidden="1" customHeight="1" outlineLevel="1" x14ac:dyDescent="0.3">
      <c r="A13" s="527"/>
      <c r="B13" s="748"/>
      <c r="C13" s="748"/>
      <c r="D13" s="748"/>
      <c r="E13" s="748"/>
      <c r="F13" s="748"/>
      <c r="G13" s="748"/>
      <c r="H13" s="527"/>
      <c r="I13" s="748"/>
      <c r="J13" s="748"/>
      <c r="K13" s="748"/>
      <c r="L13" s="748"/>
      <c r="M13" s="748"/>
      <c r="N13" s="748"/>
      <c r="O13" s="527"/>
      <c r="P13" s="751"/>
      <c r="Q13" s="752"/>
      <c r="R13" s="527"/>
      <c r="S13" s="527"/>
      <c r="T13" s="527"/>
      <c r="U13" s="527"/>
      <c r="V13" s="527"/>
      <c r="W13" s="527"/>
      <c r="X13" s="527"/>
      <c r="Y13" s="527"/>
      <c r="Z13" s="750" t="s">
        <v>6487</v>
      </c>
      <c r="AA13" s="750"/>
      <c r="AB13" s="748"/>
      <c r="AC13" s="748"/>
      <c r="AD13" s="748"/>
      <c r="AE13" s="748"/>
      <c r="AF13" s="527"/>
      <c r="AG13" s="527"/>
      <c r="AH13" s="527"/>
      <c r="AI13" s="527"/>
      <c r="AJ13" s="527"/>
      <c r="AK13" s="527"/>
      <c r="AL13" s="527"/>
      <c r="AM13" s="527"/>
      <c r="AN13" s="527"/>
      <c r="AO13" s="527"/>
      <c r="AP13" s="527"/>
      <c r="AQ13" s="527"/>
      <c r="AR13" s="527"/>
      <c r="AS13" s="527"/>
    </row>
    <row r="14" spans="1:45" ht="16.5" hidden="1" customHeight="1" outlineLevel="1" x14ac:dyDescent="0.3">
      <c r="A14" s="527"/>
      <c r="B14" s="748"/>
      <c r="C14" s="748"/>
      <c r="D14" s="748"/>
      <c r="E14" s="748"/>
      <c r="F14" s="748"/>
      <c r="G14" s="748"/>
      <c r="H14" s="527"/>
      <c r="I14" s="748"/>
      <c r="J14" s="748"/>
      <c r="K14" s="748"/>
      <c r="L14" s="748"/>
      <c r="M14" s="748"/>
      <c r="N14" s="748"/>
      <c r="O14" s="527"/>
      <c r="P14" s="751" t="s">
        <v>510</v>
      </c>
      <c r="Q14" s="752"/>
      <c r="R14" s="527"/>
      <c r="S14" s="527"/>
      <c r="T14" s="527"/>
      <c r="U14" s="527"/>
      <c r="V14" s="527"/>
      <c r="W14" s="527"/>
      <c r="X14" s="527"/>
      <c r="Y14" s="527"/>
      <c r="Z14" s="750"/>
      <c r="AA14" s="750"/>
      <c r="AB14" s="748"/>
      <c r="AC14" s="748"/>
      <c r="AD14" s="748"/>
      <c r="AE14" s="748"/>
      <c r="AF14" s="527"/>
      <c r="AG14" s="527"/>
      <c r="AH14" s="527"/>
      <c r="AI14" s="527"/>
      <c r="AJ14" s="527"/>
      <c r="AK14" s="527"/>
      <c r="AL14" s="527"/>
      <c r="AM14" s="527"/>
      <c r="AN14" s="527"/>
      <c r="AO14" s="527"/>
      <c r="AP14" s="527"/>
      <c r="AQ14" s="527"/>
      <c r="AR14" s="527"/>
      <c r="AS14" s="527"/>
    </row>
    <row r="15" spans="1:45" ht="16.5" hidden="1" customHeight="1" outlineLevel="1" x14ac:dyDescent="0.3">
      <c r="A15" s="527"/>
      <c r="B15" s="748"/>
      <c r="C15" s="748"/>
      <c r="D15" s="748"/>
      <c r="E15" s="748"/>
      <c r="F15" s="748"/>
      <c r="G15" s="748"/>
      <c r="H15" s="527"/>
      <c r="I15" s="748"/>
      <c r="J15" s="748"/>
      <c r="K15" s="748"/>
      <c r="L15" s="748"/>
      <c r="M15" s="748"/>
      <c r="N15" s="748"/>
      <c r="O15" s="527"/>
      <c r="P15" s="751"/>
      <c r="Q15" s="752"/>
      <c r="R15" s="527"/>
      <c r="S15" s="527"/>
      <c r="T15" s="527"/>
      <c r="U15" s="527"/>
      <c r="V15" s="527"/>
      <c r="W15" s="527"/>
      <c r="X15" s="527"/>
      <c r="Y15" s="527"/>
      <c r="Z15" s="750" t="s">
        <v>6487</v>
      </c>
      <c r="AA15" s="750"/>
      <c r="AB15" s="748"/>
      <c r="AC15" s="748"/>
      <c r="AD15" s="748"/>
      <c r="AE15" s="748"/>
      <c r="AF15" s="527"/>
      <c r="AG15" s="527"/>
      <c r="AH15" s="527"/>
      <c r="AI15" s="527"/>
      <c r="AJ15" s="527"/>
      <c r="AK15" s="527"/>
      <c r="AL15" s="527"/>
      <c r="AM15" s="527"/>
      <c r="AN15" s="527"/>
      <c r="AO15" s="527"/>
      <c r="AP15" s="527"/>
      <c r="AQ15" s="527"/>
      <c r="AR15" s="527"/>
      <c r="AS15" s="527"/>
    </row>
    <row r="16" spans="1:45" ht="16.5" hidden="1" customHeight="1" outlineLevel="1" x14ac:dyDescent="0.3">
      <c r="A16" s="527"/>
      <c r="B16" s="748"/>
      <c r="C16" s="748"/>
      <c r="D16" s="748"/>
      <c r="E16" s="748"/>
      <c r="F16" s="748"/>
      <c r="G16" s="748"/>
      <c r="H16" s="527"/>
      <c r="I16" s="748"/>
      <c r="J16" s="748"/>
      <c r="K16" s="748"/>
      <c r="L16" s="748"/>
      <c r="M16" s="748"/>
      <c r="N16" s="748"/>
      <c r="O16" s="527"/>
      <c r="P16" s="751" t="s">
        <v>511</v>
      </c>
      <c r="Q16" s="752"/>
      <c r="R16" s="527"/>
      <c r="S16" s="527"/>
      <c r="T16" s="527"/>
      <c r="U16" s="527"/>
      <c r="V16" s="527"/>
      <c r="W16" s="527"/>
      <c r="X16" s="527"/>
      <c r="Y16" s="527"/>
      <c r="Z16" s="750"/>
      <c r="AA16" s="750"/>
      <c r="AB16" s="748"/>
      <c r="AC16" s="748"/>
      <c r="AD16" s="748"/>
      <c r="AE16" s="748"/>
      <c r="AF16" s="527"/>
      <c r="AG16" s="527"/>
      <c r="AH16" s="527"/>
      <c r="AI16" s="527"/>
      <c r="AJ16" s="527"/>
      <c r="AK16" s="527"/>
      <c r="AL16" s="527"/>
      <c r="AM16" s="527"/>
      <c r="AN16" s="527"/>
      <c r="AO16" s="527"/>
      <c r="AP16" s="527"/>
      <c r="AQ16" s="527"/>
      <c r="AR16" s="527"/>
      <c r="AS16" s="527"/>
    </row>
    <row r="17" spans="1:45" ht="16.5" hidden="1" outlineLevel="1" x14ac:dyDescent="0.3">
      <c r="A17" s="527"/>
      <c r="B17" s="748"/>
      <c r="C17" s="748"/>
      <c r="D17" s="748"/>
      <c r="E17" s="748"/>
      <c r="F17" s="748"/>
      <c r="G17" s="748"/>
      <c r="H17" s="527"/>
      <c r="I17" s="748"/>
      <c r="J17" s="748"/>
      <c r="K17" s="748"/>
      <c r="L17" s="748"/>
      <c r="M17" s="748"/>
      <c r="N17" s="748"/>
      <c r="O17" s="527"/>
      <c r="P17" s="751"/>
      <c r="Q17" s="752"/>
      <c r="R17" s="527"/>
      <c r="S17" s="527"/>
      <c r="T17" s="527"/>
      <c r="U17" s="527"/>
      <c r="V17" s="527"/>
      <c r="W17" s="527"/>
      <c r="X17" s="527"/>
      <c r="Y17" s="527"/>
      <c r="Z17" s="527"/>
      <c r="AA17" s="527"/>
      <c r="AB17" s="527"/>
      <c r="AC17" s="527"/>
      <c r="AD17" s="527"/>
      <c r="AE17" s="527"/>
      <c r="AF17" s="527"/>
      <c r="AG17" s="527"/>
      <c r="AH17" s="527"/>
      <c r="AI17" s="527"/>
      <c r="AJ17" s="527"/>
      <c r="AK17" s="527"/>
      <c r="AL17" s="527"/>
      <c r="AM17" s="527"/>
      <c r="AN17" s="527"/>
      <c r="AO17" s="527"/>
      <c r="AP17" s="527"/>
      <c r="AQ17" s="527"/>
      <c r="AR17" s="527"/>
      <c r="AS17" s="527"/>
    </row>
    <row r="18" spans="1:45" ht="16.5" hidden="1" customHeight="1" outlineLevel="1" x14ac:dyDescent="0.3">
      <c r="A18" s="527"/>
      <c r="B18" s="748"/>
      <c r="C18" s="748"/>
      <c r="D18" s="748"/>
      <c r="E18" s="748"/>
      <c r="F18" s="748"/>
      <c r="G18" s="748"/>
      <c r="H18" s="527"/>
      <c r="I18" s="748"/>
      <c r="J18" s="748"/>
      <c r="K18" s="748"/>
      <c r="L18" s="748"/>
      <c r="M18" s="748"/>
      <c r="N18" s="748"/>
      <c r="O18" s="527"/>
      <c r="P18" s="527"/>
      <c r="Q18" s="527"/>
      <c r="R18" s="527"/>
      <c r="S18" s="527"/>
      <c r="T18" s="527"/>
      <c r="U18" s="527"/>
      <c r="V18" s="527"/>
      <c r="W18" s="527"/>
      <c r="X18" s="527"/>
      <c r="Y18" s="527"/>
      <c r="Z18" s="750" t="s">
        <v>5982</v>
      </c>
      <c r="AA18" s="750"/>
      <c r="AB18" s="748"/>
      <c r="AC18" s="748"/>
      <c r="AD18" s="748"/>
      <c r="AE18" s="748"/>
      <c r="AF18" s="527"/>
      <c r="AG18" s="527"/>
      <c r="AH18" s="527"/>
      <c r="AI18" s="527"/>
      <c r="AJ18" s="527"/>
      <c r="AK18" s="527"/>
      <c r="AL18" s="527"/>
      <c r="AM18" s="527"/>
      <c r="AN18" s="527"/>
      <c r="AO18" s="527"/>
      <c r="AP18" s="527"/>
      <c r="AQ18" s="527"/>
      <c r="AR18" s="527"/>
      <c r="AS18" s="527"/>
    </row>
    <row r="19" spans="1:45" ht="16.5" hidden="1" customHeight="1" outlineLevel="1" x14ac:dyDescent="0.3">
      <c r="A19" s="527"/>
      <c r="B19" s="748"/>
      <c r="C19" s="748"/>
      <c r="D19" s="748"/>
      <c r="E19" s="748"/>
      <c r="F19" s="748"/>
      <c r="G19" s="748"/>
      <c r="H19" s="527"/>
      <c r="I19" s="748"/>
      <c r="J19" s="748"/>
      <c r="K19" s="748"/>
      <c r="L19" s="748"/>
      <c r="M19" s="748"/>
      <c r="N19" s="748"/>
      <c r="O19" s="527"/>
      <c r="P19" s="527"/>
      <c r="Q19" s="527"/>
      <c r="R19" s="527"/>
      <c r="S19" s="527"/>
      <c r="T19" s="527"/>
      <c r="U19" s="527"/>
      <c r="V19" s="527"/>
      <c r="W19" s="527"/>
      <c r="X19" s="527"/>
      <c r="Y19" s="527"/>
      <c r="Z19" s="750"/>
      <c r="AA19" s="750"/>
      <c r="AB19" s="748"/>
      <c r="AC19" s="748"/>
      <c r="AD19" s="748"/>
      <c r="AE19" s="748"/>
      <c r="AF19" s="527"/>
      <c r="AG19" s="527"/>
      <c r="AH19" s="527"/>
      <c r="AI19" s="527"/>
      <c r="AJ19" s="527"/>
      <c r="AK19" s="527"/>
      <c r="AL19" s="527"/>
      <c r="AM19" s="527"/>
      <c r="AN19" s="527"/>
      <c r="AO19" s="527"/>
      <c r="AP19" s="527"/>
      <c r="AQ19" s="527"/>
      <c r="AR19" s="527"/>
      <c r="AS19" s="527"/>
    </row>
    <row r="20" spans="1:45" ht="16.5" hidden="1" customHeight="1" outlineLevel="1" x14ac:dyDescent="0.3">
      <c r="A20" s="527"/>
      <c r="B20" s="748"/>
      <c r="C20" s="748"/>
      <c r="D20" s="748"/>
      <c r="E20" s="748"/>
      <c r="F20" s="748"/>
      <c r="G20" s="748"/>
      <c r="H20" s="527"/>
      <c r="I20" s="748"/>
      <c r="J20" s="748"/>
      <c r="K20" s="748"/>
      <c r="L20" s="748"/>
      <c r="M20" s="748"/>
      <c r="N20" s="748"/>
      <c r="O20" s="527"/>
      <c r="P20" s="527"/>
      <c r="Q20" s="527"/>
      <c r="R20" s="527"/>
      <c r="S20" s="527"/>
      <c r="T20" s="527"/>
      <c r="U20" s="527"/>
      <c r="V20" s="527"/>
      <c r="W20" s="527"/>
      <c r="X20" s="527"/>
      <c r="Y20" s="527"/>
      <c r="Z20" s="750" t="s">
        <v>5982</v>
      </c>
      <c r="AA20" s="750"/>
      <c r="AB20" s="748"/>
      <c r="AC20" s="748"/>
      <c r="AD20" s="748"/>
      <c r="AE20" s="748"/>
      <c r="AF20" s="527"/>
      <c r="AG20" s="527"/>
      <c r="AH20" s="527"/>
      <c r="AI20" s="527"/>
      <c r="AJ20" s="527"/>
      <c r="AK20" s="527"/>
      <c r="AL20" s="527"/>
      <c r="AM20" s="527"/>
      <c r="AN20" s="527"/>
      <c r="AO20" s="527"/>
      <c r="AP20" s="527"/>
      <c r="AQ20" s="527"/>
      <c r="AR20" s="527"/>
      <c r="AS20" s="527"/>
    </row>
    <row r="21" spans="1:45" ht="16.5" hidden="1" customHeight="1" outlineLevel="1" x14ac:dyDescent="0.3">
      <c r="A21" s="527"/>
      <c r="B21" s="748"/>
      <c r="C21" s="748"/>
      <c r="D21" s="748"/>
      <c r="E21" s="748"/>
      <c r="F21" s="748"/>
      <c r="G21" s="748"/>
      <c r="H21" s="527"/>
      <c r="I21" s="748"/>
      <c r="J21" s="748"/>
      <c r="K21" s="748"/>
      <c r="L21" s="748"/>
      <c r="M21" s="748"/>
      <c r="N21" s="748"/>
      <c r="O21" s="527"/>
      <c r="P21" s="527"/>
      <c r="Q21" s="527"/>
      <c r="R21" s="527"/>
      <c r="S21" s="527"/>
      <c r="T21" s="527"/>
      <c r="U21" s="527"/>
      <c r="V21" s="527"/>
      <c r="W21" s="527"/>
      <c r="X21" s="527"/>
      <c r="Y21" s="527"/>
      <c r="Z21" s="750"/>
      <c r="AA21" s="750"/>
      <c r="AB21" s="748"/>
      <c r="AC21" s="748"/>
      <c r="AD21" s="748"/>
      <c r="AE21" s="748"/>
      <c r="AF21" s="527"/>
      <c r="AG21" s="527"/>
      <c r="AH21" s="527"/>
      <c r="AI21" s="527"/>
      <c r="AJ21" s="527"/>
      <c r="AK21" s="527"/>
      <c r="AL21" s="527"/>
      <c r="AM21" s="527"/>
      <c r="AN21" s="527"/>
      <c r="AO21" s="527"/>
      <c r="AP21" s="527"/>
      <c r="AQ21" s="527"/>
      <c r="AR21" s="527"/>
      <c r="AS21" s="527"/>
    </row>
    <row r="22" spans="1:45" ht="16.5" hidden="1" customHeight="1" outlineLevel="1" x14ac:dyDescent="0.3">
      <c r="A22" s="527"/>
      <c r="B22" s="748"/>
      <c r="C22" s="748"/>
      <c r="D22" s="748"/>
      <c r="E22" s="748"/>
      <c r="F22" s="748"/>
      <c r="G22" s="748"/>
      <c r="H22" s="527"/>
      <c r="I22" s="748"/>
      <c r="J22" s="748"/>
      <c r="K22" s="748"/>
      <c r="L22" s="748"/>
      <c r="M22" s="748"/>
      <c r="N22" s="748"/>
      <c r="O22" s="527"/>
      <c r="P22" s="527"/>
      <c r="Q22" s="527"/>
      <c r="R22" s="527"/>
      <c r="S22" s="527"/>
      <c r="T22" s="527"/>
      <c r="U22" s="527"/>
      <c r="V22" s="527"/>
      <c r="W22" s="527"/>
      <c r="X22" s="527"/>
      <c r="Y22" s="527"/>
      <c r="Z22" s="750" t="s">
        <v>5982</v>
      </c>
      <c r="AA22" s="750"/>
      <c r="AB22" s="748"/>
      <c r="AC22" s="748"/>
      <c r="AD22" s="748"/>
      <c r="AE22" s="748"/>
      <c r="AF22" s="527"/>
      <c r="AG22" s="527"/>
      <c r="AH22" s="527"/>
      <c r="AI22" s="527"/>
      <c r="AJ22" s="527"/>
      <c r="AK22" s="527"/>
      <c r="AL22" s="527"/>
      <c r="AM22" s="527"/>
      <c r="AN22" s="527"/>
      <c r="AO22" s="527"/>
      <c r="AP22" s="527"/>
      <c r="AQ22" s="527"/>
      <c r="AR22" s="527"/>
      <c r="AS22" s="527"/>
    </row>
    <row r="23" spans="1:45" ht="16.5" hidden="1" outlineLevel="1" x14ac:dyDescent="0.3">
      <c r="A23" s="527"/>
      <c r="B23" s="527"/>
      <c r="C23" s="527"/>
      <c r="D23" s="527"/>
      <c r="E23" s="527"/>
      <c r="F23" s="527"/>
      <c r="G23" s="527"/>
      <c r="H23" s="527"/>
      <c r="I23" s="527"/>
      <c r="J23" s="527"/>
      <c r="K23" s="527"/>
      <c r="L23" s="527"/>
      <c r="M23" s="527"/>
      <c r="N23" s="527"/>
      <c r="O23" s="527"/>
      <c r="P23" s="527"/>
      <c r="Q23" s="527"/>
      <c r="R23" s="527"/>
      <c r="S23" s="527"/>
      <c r="T23" s="527"/>
      <c r="U23" s="527"/>
      <c r="V23" s="527"/>
      <c r="W23" s="527"/>
      <c r="X23" s="527"/>
      <c r="Y23" s="527"/>
      <c r="Z23" s="750"/>
      <c r="AA23" s="750"/>
      <c r="AB23" s="748"/>
      <c r="AC23" s="748"/>
      <c r="AD23" s="748"/>
      <c r="AE23" s="748"/>
      <c r="AF23" s="527"/>
      <c r="AG23" s="527"/>
      <c r="AH23" s="527"/>
      <c r="AI23" s="527"/>
      <c r="AJ23" s="527"/>
      <c r="AK23" s="527"/>
      <c r="AL23" s="527"/>
      <c r="AM23" s="527"/>
      <c r="AN23" s="527"/>
      <c r="AO23" s="527"/>
      <c r="AP23" s="527"/>
      <c r="AQ23" s="527"/>
      <c r="AR23" s="527"/>
      <c r="AS23" s="527"/>
    </row>
    <row r="24" spans="1:45" ht="16.5" hidden="1" outlineLevel="1" x14ac:dyDescent="0.3">
      <c r="A24" s="527"/>
      <c r="B24" s="527"/>
      <c r="C24" s="527"/>
      <c r="D24" s="527"/>
      <c r="E24" s="527"/>
      <c r="F24" s="527"/>
      <c r="G24" s="527"/>
      <c r="H24" s="527"/>
      <c r="I24" s="527"/>
      <c r="J24" s="527"/>
      <c r="K24" s="527"/>
      <c r="L24" s="527"/>
      <c r="M24" s="527"/>
      <c r="N24" s="527"/>
      <c r="O24" s="527"/>
      <c r="P24" s="527"/>
      <c r="Q24" s="527"/>
      <c r="R24" s="527"/>
      <c r="S24" s="527"/>
      <c r="T24" s="527"/>
      <c r="U24" s="527"/>
      <c r="V24" s="527"/>
      <c r="W24" s="527"/>
      <c r="X24" s="527"/>
      <c r="Y24" s="527"/>
      <c r="Z24" s="527"/>
      <c r="AA24" s="527"/>
      <c r="AB24" s="527"/>
      <c r="AC24" s="527"/>
      <c r="AD24" s="527"/>
      <c r="AE24" s="527"/>
      <c r="AF24" s="527"/>
      <c r="AG24" s="527"/>
      <c r="AH24" s="527"/>
      <c r="AI24" s="527"/>
      <c r="AJ24" s="527"/>
      <c r="AK24" s="527"/>
      <c r="AL24" s="527"/>
      <c r="AM24" s="527"/>
      <c r="AN24" s="527"/>
      <c r="AO24" s="527"/>
      <c r="AP24" s="527"/>
      <c r="AQ24" s="527"/>
      <c r="AR24" s="527"/>
      <c r="AS24" s="527"/>
    </row>
    <row r="25" spans="1:45" ht="16.5" hidden="1" outlineLevel="1" x14ac:dyDescent="0.3">
      <c r="A25" s="527"/>
      <c r="B25" s="527"/>
      <c r="C25" s="527"/>
      <c r="D25" s="527"/>
      <c r="E25" s="527"/>
      <c r="F25" s="527"/>
      <c r="G25" s="527"/>
      <c r="H25" s="527"/>
      <c r="I25" s="527"/>
      <c r="J25" s="527"/>
      <c r="K25" s="527"/>
      <c r="L25" s="527"/>
      <c r="M25" s="527"/>
      <c r="N25" s="527"/>
      <c r="O25" s="527"/>
      <c r="P25" s="527"/>
      <c r="Q25" s="527"/>
      <c r="R25" s="527"/>
      <c r="S25" s="527"/>
      <c r="T25" s="527"/>
      <c r="U25" s="527"/>
      <c r="V25" s="527"/>
      <c r="W25" s="527"/>
      <c r="X25" s="527"/>
      <c r="Y25" s="527"/>
      <c r="Z25" s="527"/>
      <c r="AA25" s="527"/>
      <c r="AB25" s="527"/>
      <c r="AC25" s="527"/>
      <c r="AD25" s="527"/>
      <c r="AE25" s="527"/>
      <c r="AF25" s="527"/>
      <c r="AG25" s="527"/>
      <c r="AH25" s="527"/>
      <c r="AI25" s="527"/>
      <c r="AJ25" s="527"/>
      <c r="AK25" s="527"/>
      <c r="AL25" s="527"/>
      <c r="AM25" s="527"/>
      <c r="AN25" s="527"/>
      <c r="AO25" s="527"/>
      <c r="AP25" s="527"/>
      <c r="AQ25" s="527"/>
      <c r="AR25" s="527"/>
      <c r="AS25" s="527"/>
    </row>
    <row r="26" spans="1:45" ht="16.5" hidden="1" outlineLevel="1" x14ac:dyDescent="0.3">
      <c r="A26" s="527"/>
      <c r="B26" s="527"/>
      <c r="C26" s="527"/>
      <c r="D26" s="527"/>
      <c r="E26" s="527"/>
      <c r="F26" s="527"/>
      <c r="G26" s="527"/>
      <c r="H26" s="527"/>
      <c r="I26" s="527"/>
      <c r="J26" s="527"/>
      <c r="K26" s="527"/>
      <c r="L26" s="527"/>
      <c r="M26" s="527"/>
      <c r="N26" s="527"/>
      <c r="O26" s="527"/>
      <c r="P26" s="527"/>
      <c r="Q26" s="527"/>
      <c r="R26" s="527"/>
      <c r="S26" s="527"/>
      <c r="T26" s="527"/>
      <c r="U26" s="527"/>
      <c r="V26" s="527"/>
      <c r="W26" s="527"/>
      <c r="X26" s="527"/>
      <c r="Y26" s="527"/>
      <c r="Z26" s="527"/>
      <c r="AA26" s="527"/>
      <c r="AB26" s="527"/>
      <c r="AC26" s="527"/>
      <c r="AD26" s="527"/>
      <c r="AE26" s="527"/>
      <c r="AF26" s="527"/>
      <c r="AG26" s="527"/>
      <c r="AH26" s="527"/>
      <c r="AI26" s="527"/>
      <c r="AJ26" s="527"/>
      <c r="AK26" s="527"/>
      <c r="AL26" s="527"/>
      <c r="AM26" s="527"/>
      <c r="AN26" s="527"/>
      <c r="AO26" s="527"/>
      <c r="AP26" s="527"/>
      <c r="AQ26" s="527"/>
      <c r="AR26" s="527"/>
      <c r="AS26" s="527"/>
    </row>
    <row r="27" spans="1:45" ht="16.5" hidden="1" outlineLevel="1" x14ac:dyDescent="0.3">
      <c r="A27" s="527"/>
      <c r="B27" s="527"/>
      <c r="C27" s="527"/>
      <c r="D27" s="527"/>
      <c r="E27" s="527"/>
      <c r="F27" s="527"/>
      <c r="G27" s="527"/>
      <c r="H27" s="527"/>
      <c r="I27" s="527"/>
      <c r="J27" s="527"/>
      <c r="K27" s="527"/>
      <c r="L27" s="527"/>
      <c r="M27" s="527"/>
      <c r="N27" s="527"/>
      <c r="O27" s="527"/>
      <c r="P27" s="527"/>
      <c r="Q27" s="527"/>
      <c r="R27" s="527"/>
      <c r="S27" s="527"/>
      <c r="T27" s="527"/>
      <c r="U27" s="527"/>
      <c r="V27" s="527"/>
      <c r="W27" s="527"/>
      <c r="X27" s="527"/>
      <c r="Y27" s="527"/>
      <c r="Z27" s="527"/>
      <c r="AA27" s="527"/>
      <c r="AB27" s="527"/>
      <c r="AC27" s="527"/>
      <c r="AD27" s="527"/>
      <c r="AE27" s="527"/>
      <c r="AF27" s="527"/>
      <c r="AG27" s="527"/>
      <c r="AH27" s="527"/>
      <c r="AI27" s="527"/>
      <c r="AJ27" s="527"/>
      <c r="AK27" s="527"/>
      <c r="AL27" s="527"/>
      <c r="AM27" s="527"/>
      <c r="AN27" s="527"/>
      <c r="AO27" s="527"/>
      <c r="AP27" s="527"/>
      <c r="AQ27" s="527"/>
      <c r="AR27" s="527"/>
      <c r="AS27" s="527"/>
    </row>
    <row r="28" spans="1:45" ht="16.5" hidden="1" outlineLevel="1" x14ac:dyDescent="0.3">
      <c r="A28" s="527"/>
      <c r="B28" s="527"/>
      <c r="C28" s="527"/>
      <c r="D28" s="527"/>
      <c r="E28" s="527"/>
      <c r="F28" s="527"/>
      <c r="G28" s="527"/>
      <c r="H28" s="527"/>
      <c r="I28" s="527"/>
      <c r="J28" s="527"/>
      <c r="K28" s="527"/>
      <c r="L28" s="527"/>
      <c r="M28" s="527"/>
      <c r="N28" s="527"/>
      <c r="O28" s="527"/>
      <c r="P28" s="527"/>
      <c r="Q28" s="527"/>
      <c r="R28" s="527"/>
      <c r="S28" s="527"/>
      <c r="T28" s="527"/>
      <c r="U28" s="527"/>
      <c r="V28" s="527"/>
      <c r="W28" s="527"/>
      <c r="X28" s="527"/>
      <c r="Y28" s="527"/>
      <c r="Z28" s="527"/>
      <c r="AA28" s="527"/>
      <c r="AB28" s="527"/>
      <c r="AC28" s="527"/>
      <c r="AD28" s="527"/>
      <c r="AE28" s="527"/>
      <c r="AF28" s="527"/>
      <c r="AG28" s="527"/>
      <c r="AH28" s="527"/>
      <c r="AI28" s="527"/>
      <c r="AJ28" s="527"/>
      <c r="AK28" s="527"/>
      <c r="AL28" s="527"/>
      <c r="AM28" s="527"/>
      <c r="AN28" s="527"/>
      <c r="AO28" s="527"/>
      <c r="AP28" s="527"/>
      <c r="AQ28" s="527"/>
      <c r="AR28" s="527"/>
      <c r="AS28" s="527"/>
    </row>
    <row r="29" spans="1:45" ht="16.5" hidden="1" outlineLevel="1" x14ac:dyDescent="0.3">
      <c r="A29" s="527"/>
      <c r="B29" s="527"/>
      <c r="C29" s="527"/>
      <c r="D29" s="527"/>
      <c r="E29" s="527"/>
      <c r="F29" s="527"/>
      <c r="G29" s="527"/>
      <c r="H29" s="527"/>
      <c r="I29" s="527"/>
      <c r="J29" s="527"/>
      <c r="K29" s="527"/>
      <c r="L29" s="527"/>
      <c r="M29" s="527"/>
      <c r="N29" s="527"/>
      <c r="O29" s="527"/>
      <c r="P29" s="527"/>
      <c r="Q29" s="527"/>
      <c r="R29" s="527"/>
      <c r="S29" s="527"/>
      <c r="T29" s="527"/>
      <c r="U29" s="527"/>
      <c r="V29" s="527"/>
      <c r="W29" s="527"/>
      <c r="X29" s="527"/>
      <c r="Y29" s="527"/>
      <c r="Z29" s="527"/>
      <c r="AA29" s="527"/>
      <c r="AB29" s="527"/>
      <c r="AC29" s="527"/>
      <c r="AD29" s="527"/>
      <c r="AE29" s="527"/>
      <c r="AF29" s="527"/>
      <c r="AG29" s="527"/>
      <c r="AH29" s="527"/>
      <c r="AI29" s="527"/>
      <c r="AJ29" s="527"/>
      <c r="AK29" s="527"/>
      <c r="AL29" s="527"/>
      <c r="AM29" s="527"/>
      <c r="AN29" s="527"/>
      <c r="AO29" s="527"/>
      <c r="AP29" s="527"/>
      <c r="AQ29" s="527"/>
      <c r="AR29" s="527"/>
      <c r="AS29" s="527"/>
    </row>
    <row r="30" spans="1:45" ht="16.5" hidden="1" outlineLevel="1" x14ac:dyDescent="0.3">
      <c r="A30" s="527"/>
      <c r="B30" s="527"/>
      <c r="C30" s="527"/>
      <c r="D30" s="527"/>
      <c r="E30" s="527"/>
      <c r="F30" s="527"/>
      <c r="G30" s="527"/>
      <c r="H30" s="527"/>
      <c r="I30" s="527"/>
      <c r="J30" s="527"/>
      <c r="K30" s="527"/>
      <c r="L30" s="527"/>
      <c r="M30" s="527"/>
      <c r="N30" s="527"/>
      <c r="O30" s="527"/>
      <c r="P30" s="527"/>
      <c r="Q30" s="527"/>
      <c r="R30" s="527"/>
      <c r="S30" s="527"/>
      <c r="T30" s="527"/>
      <c r="U30" s="527"/>
      <c r="V30" s="527"/>
      <c r="W30" s="527"/>
      <c r="X30" s="527"/>
      <c r="Y30" s="527"/>
      <c r="Z30" s="527"/>
      <c r="AA30" s="527"/>
      <c r="AB30" s="527"/>
      <c r="AC30" s="527"/>
      <c r="AD30" s="527"/>
      <c r="AE30" s="527"/>
      <c r="AF30" s="527"/>
      <c r="AG30" s="527"/>
      <c r="AH30" s="527"/>
      <c r="AI30" s="527"/>
      <c r="AJ30" s="527"/>
      <c r="AK30" s="527"/>
      <c r="AL30" s="527"/>
      <c r="AM30" s="527"/>
      <c r="AN30" s="527"/>
      <c r="AO30" s="527"/>
      <c r="AP30" s="527"/>
      <c r="AQ30" s="527"/>
      <c r="AR30" s="527"/>
      <c r="AS30" s="527"/>
    </row>
    <row r="31" spans="1:45" ht="16.5" collapsed="1" x14ac:dyDescent="0.3">
      <c r="A31" s="527"/>
      <c r="B31" s="749" t="s">
        <v>6488</v>
      </c>
      <c r="C31" s="749"/>
      <c r="D31" s="749"/>
      <c r="E31" s="749"/>
      <c r="F31" s="749"/>
      <c r="G31" s="749"/>
      <c r="H31" s="749"/>
      <c r="I31" s="749"/>
      <c r="J31" s="749"/>
      <c r="K31" s="749"/>
      <c r="L31" s="749"/>
      <c r="M31" s="749"/>
      <c r="N31" s="749"/>
      <c r="O31" s="749"/>
      <c r="P31" s="749"/>
      <c r="Q31" s="749"/>
      <c r="R31" s="749"/>
      <c r="S31" s="749"/>
      <c r="T31" s="749"/>
      <c r="U31" s="749"/>
      <c r="V31" s="749"/>
      <c r="W31" s="749"/>
      <c r="X31" s="749"/>
      <c r="Y31" s="749"/>
      <c r="Z31" s="749"/>
      <c r="AA31" s="749"/>
      <c r="AB31" s="749"/>
      <c r="AC31" s="749"/>
      <c r="AD31" s="749"/>
      <c r="AE31" s="749"/>
      <c r="AF31" s="527"/>
      <c r="AG31" s="527"/>
      <c r="AH31" s="527"/>
      <c r="AI31" s="527"/>
      <c r="AJ31" s="527"/>
      <c r="AK31" s="527"/>
      <c r="AL31" s="527"/>
      <c r="AM31" s="527"/>
      <c r="AN31" s="527"/>
      <c r="AO31" s="527"/>
      <c r="AP31" s="527"/>
      <c r="AQ31" s="527"/>
      <c r="AR31" s="527"/>
      <c r="AS31" s="527"/>
    </row>
    <row r="32" spans="1:45" ht="16.5" x14ac:dyDescent="0.3">
      <c r="A32" s="527"/>
      <c r="B32" s="749"/>
      <c r="C32" s="749"/>
      <c r="D32" s="749"/>
      <c r="E32" s="749"/>
      <c r="F32" s="749"/>
      <c r="G32" s="749"/>
      <c r="H32" s="749"/>
      <c r="I32" s="749"/>
      <c r="J32" s="749"/>
      <c r="K32" s="749"/>
      <c r="L32" s="749"/>
      <c r="M32" s="749"/>
      <c r="N32" s="749"/>
      <c r="O32" s="749"/>
      <c r="P32" s="749"/>
      <c r="Q32" s="749"/>
      <c r="R32" s="749"/>
      <c r="S32" s="749"/>
      <c r="T32" s="749"/>
      <c r="U32" s="749"/>
      <c r="V32" s="749"/>
      <c r="W32" s="749"/>
      <c r="X32" s="749"/>
      <c r="Y32" s="749"/>
      <c r="Z32" s="749"/>
      <c r="AA32" s="749"/>
      <c r="AB32" s="749"/>
      <c r="AC32" s="749"/>
      <c r="AD32" s="749"/>
      <c r="AE32" s="749"/>
      <c r="AF32" s="527"/>
      <c r="AG32" s="527"/>
      <c r="AH32" s="527"/>
      <c r="AI32" s="527"/>
      <c r="AJ32" s="527"/>
      <c r="AK32" s="527"/>
      <c r="AL32" s="527"/>
      <c r="AM32" s="527"/>
      <c r="AN32" s="527"/>
      <c r="AO32" s="527"/>
      <c r="AP32" s="527"/>
      <c r="AQ32" s="527"/>
      <c r="AR32" s="527"/>
      <c r="AS32" s="527"/>
    </row>
    <row r="33" spans="1:45" ht="16.5" x14ac:dyDescent="0.3">
      <c r="A33" s="527"/>
      <c r="B33" s="527"/>
      <c r="C33" s="527"/>
      <c r="D33" s="527"/>
      <c r="E33" s="527"/>
      <c r="F33" s="527"/>
      <c r="G33" s="527"/>
      <c r="H33" s="527"/>
      <c r="I33" s="527"/>
      <c r="J33" s="527"/>
      <c r="K33" s="527"/>
      <c r="L33" s="527"/>
      <c r="M33" s="527"/>
      <c r="N33" s="527"/>
      <c r="O33" s="527"/>
      <c r="P33" s="527"/>
      <c r="Q33" s="527"/>
      <c r="R33" s="527"/>
      <c r="S33" s="527"/>
      <c r="T33" s="527"/>
      <c r="U33" s="527"/>
      <c r="V33" s="527"/>
      <c r="W33" s="527"/>
      <c r="X33" s="527"/>
      <c r="Y33" s="527"/>
      <c r="Z33" s="527"/>
      <c r="AA33" s="527"/>
      <c r="AB33" s="527"/>
      <c r="AC33" s="527"/>
      <c r="AD33" s="527"/>
      <c r="AE33" s="527"/>
      <c r="AF33" s="527"/>
      <c r="AG33" s="527"/>
      <c r="AH33" s="527"/>
      <c r="AI33" s="527"/>
      <c r="AJ33" s="527"/>
      <c r="AK33" s="527"/>
      <c r="AL33" s="527"/>
      <c r="AM33" s="527"/>
      <c r="AN33" s="527"/>
      <c r="AO33" s="527"/>
      <c r="AP33" s="527"/>
      <c r="AQ33" s="527"/>
      <c r="AR33" s="527"/>
      <c r="AS33" s="527"/>
    </row>
    <row r="34" spans="1:45" ht="16.5" x14ac:dyDescent="0.3">
      <c r="A34" s="527"/>
      <c r="B34" s="527"/>
      <c r="C34" s="527"/>
      <c r="D34" s="527"/>
      <c r="E34" s="527"/>
      <c r="F34" s="527"/>
      <c r="G34" s="527"/>
      <c r="H34" s="527"/>
      <c r="I34" s="527"/>
      <c r="J34" s="527"/>
      <c r="K34" s="527"/>
      <c r="L34" s="527"/>
      <c r="M34" s="527"/>
      <c r="N34" s="527"/>
      <c r="O34" s="527"/>
      <c r="P34" s="527"/>
      <c r="Q34" s="527"/>
      <c r="R34" s="527"/>
      <c r="S34" s="527"/>
      <c r="T34" s="527"/>
      <c r="U34" s="527"/>
      <c r="V34" s="527"/>
      <c r="W34" s="527"/>
      <c r="X34" s="527"/>
      <c r="Y34" s="527"/>
      <c r="Z34" s="527"/>
      <c r="AA34" s="527"/>
      <c r="AB34" s="527"/>
      <c r="AC34" s="527"/>
      <c r="AD34" s="527"/>
      <c r="AE34" s="527"/>
      <c r="AF34" s="527"/>
      <c r="AG34" s="527"/>
      <c r="AH34" s="527"/>
      <c r="AI34" s="527"/>
      <c r="AJ34" s="527"/>
      <c r="AK34" s="527"/>
      <c r="AL34" s="527"/>
      <c r="AM34" s="527"/>
      <c r="AN34" s="527"/>
      <c r="AO34" s="527"/>
      <c r="AP34" s="527"/>
      <c r="AQ34" s="527"/>
      <c r="AR34" s="527"/>
      <c r="AS34" s="527"/>
    </row>
    <row r="35" spans="1:45" ht="16.5" x14ac:dyDescent="0.3">
      <c r="A35" s="527"/>
      <c r="B35" s="527"/>
      <c r="C35" s="527"/>
      <c r="D35" s="527"/>
      <c r="E35" s="527"/>
      <c r="F35" s="527"/>
      <c r="G35" s="527"/>
      <c r="H35" s="527"/>
      <c r="I35" s="527"/>
      <c r="J35" s="527"/>
      <c r="K35" s="527"/>
      <c r="L35" s="527"/>
      <c r="M35" s="527"/>
      <c r="N35" s="527"/>
      <c r="O35" s="527"/>
      <c r="P35" s="527"/>
      <c r="Q35" s="527"/>
      <c r="R35" s="527"/>
      <c r="S35" s="527"/>
      <c r="T35" s="527"/>
      <c r="U35" s="527"/>
      <c r="V35" s="527"/>
      <c r="W35" s="527"/>
      <c r="X35" s="527"/>
      <c r="Y35" s="527"/>
      <c r="Z35" s="527"/>
      <c r="AA35" s="527"/>
      <c r="AB35" s="527"/>
      <c r="AC35" s="527"/>
      <c r="AD35" s="527"/>
      <c r="AE35" s="527"/>
      <c r="AF35" s="527"/>
      <c r="AG35" s="527"/>
      <c r="AH35" s="527"/>
      <c r="AI35" s="527"/>
      <c r="AJ35" s="527"/>
      <c r="AK35" s="527"/>
      <c r="AL35" s="527"/>
      <c r="AM35" s="527"/>
      <c r="AN35" s="527"/>
      <c r="AO35" s="527"/>
      <c r="AP35" s="527"/>
      <c r="AQ35" s="527"/>
      <c r="AR35" s="527"/>
      <c r="AS35" s="527"/>
    </row>
    <row r="36" spans="1:45" ht="16.5" x14ac:dyDescent="0.3">
      <c r="A36" s="527"/>
      <c r="B36" s="527"/>
      <c r="C36" s="527"/>
      <c r="D36" s="527"/>
      <c r="E36" s="527"/>
      <c r="F36" s="527"/>
      <c r="G36" s="527"/>
      <c r="H36" s="527"/>
      <c r="I36" s="527"/>
      <c r="J36" s="527"/>
      <c r="K36" s="527"/>
      <c r="L36" s="527"/>
      <c r="M36" s="527"/>
      <c r="N36" s="527"/>
      <c r="O36" s="527"/>
      <c r="P36" s="527"/>
      <c r="Q36" s="527"/>
      <c r="R36" s="527"/>
      <c r="S36" s="527"/>
      <c r="T36" s="527"/>
      <c r="U36" s="527"/>
      <c r="V36" s="527"/>
      <c r="W36" s="527"/>
      <c r="X36" s="527"/>
      <c r="Y36" s="527"/>
      <c r="Z36" s="527"/>
      <c r="AA36" s="527"/>
      <c r="AB36" s="527"/>
      <c r="AC36" s="527"/>
      <c r="AD36" s="527"/>
      <c r="AE36" s="527"/>
      <c r="AF36" s="527"/>
      <c r="AG36" s="527"/>
      <c r="AH36" s="527"/>
      <c r="AI36" s="527"/>
      <c r="AJ36" s="527"/>
      <c r="AK36" s="527"/>
      <c r="AL36" s="527"/>
      <c r="AM36" s="527"/>
      <c r="AN36" s="527"/>
      <c r="AO36" s="527"/>
      <c r="AP36" s="527"/>
      <c r="AQ36" s="527"/>
      <c r="AR36" s="527"/>
      <c r="AS36" s="527"/>
    </row>
    <row r="37" spans="1:45" ht="16.5" x14ac:dyDescent="0.3">
      <c r="A37" s="527"/>
      <c r="B37" s="527"/>
      <c r="C37" s="527"/>
      <c r="D37" s="527"/>
      <c r="E37" s="527"/>
      <c r="F37" s="527"/>
      <c r="G37" s="527"/>
      <c r="H37" s="527"/>
      <c r="I37" s="527"/>
      <c r="J37" s="527"/>
      <c r="K37" s="527"/>
      <c r="L37" s="527"/>
      <c r="M37" s="527"/>
      <c r="N37" s="527"/>
      <c r="O37" s="527"/>
      <c r="P37" s="527"/>
      <c r="Q37" s="527"/>
      <c r="R37" s="527"/>
      <c r="S37" s="527"/>
      <c r="T37" s="527"/>
      <c r="U37" s="527"/>
      <c r="V37" s="527"/>
      <c r="W37" s="527"/>
      <c r="X37" s="527"/>
      <c r="Y37" s="527"/>
      <c r="Z37" s="527"/>
      <c r="AA37" s="527"/>
      <c r="AB37" s="527"/>
      <c r="AC37" s="527"/>
      <c r="AD37" s="527"/>
      <c r="AE37" s="527"/>
      <c r="AF37" s="527"/>
      <c r="AG37" s="527"/>
      <c r="AH37" s="527"/>
      <c r="AI37" s="527"/>
      <c r="AJ37" s="527"/>
      <c r="AK37" s="527"/>
      <c r="AL37" s="527"/>
      <c r="AM37" s="527"/>
      <c r="AN37" s="527"/>
      <c r="AO37" s="527"/>
      <c r="AP37" s="527"/>
      <c r="AQ37" s="527"/>
      <c r="AR37" s="527"/>
      <c r="AS37" s="527"/>
    </row>
    <row r="38" spans="1:45" ht="16.5" x14ac:dyDescent="0.3">
      <c r="A38" s="527"/>
      <c r="B38" s="527"/>
      <c r="C38" s="527"/>
      <c r="D38" s="527"/>
      <c r="E38" s="527"/>
      <c r="F38" s="527"/>
      <c r="G38" s="527"/>
      <c r="H38" s="527"/>
      <c r="I38" s="527"/>
      <c r="J38" s="527"/>
      <c r="K38" s="527"/>
      <c r="L38" s="527"/>
      <c r="M38" s="527"/>
      <c r="N38" s="527"/>
      <c r="O38" s="527"/>
      <c r="P38" s="527"/>
      <c r="Q38" s="527"/>
      <c r="R38" s="527"/>
      <c r="S38" s="527"/>
      <c r="T38" s="527"/>
      <c r="U38" s="527"/>
      <c r="V38" s="527"/>
      <c r="W38" s="527"/>
      <c r="X38" s="527"/>
      <c r="Y38" s="527"/>
      <c r="Z38" s="527"/>
      <c r="AA38" s="527"/>
      <c r="AB38" s="527"/>
      <c r="AC38" s="527"/>
      <c r="AD38" s="527"/>
      <c r="AE38" s="527"/>
      <c r="AF38" s="527"/>
      <c r="AG38" s="527"/>
      <c r="AH38" s="527"/>
      <c r="AI38" s="527"/>
      <c r="AJ38" s="527"/>
      <c r="AK38" s="527"/>
      <c r="AL38" s="527"/>
      <c r="AM38" s="527"/>
      <c r="AN38" s="527"/>
      <c r="AO38" s="527"/>
      <c r="AP38" s="527"/>
      <c r="AQ38" s="527"/>
      <c r="AR38" s="527"/>
      <c r="AS38" s="527"/>
    </row>
    <row r="39" spans="1:45" ht="16.5" x14ac:dyDescent="0.3">
      <c r="A39" s="527"/>
      <c r="B39" s="527"/>
      <c r="C39" s="527"/>
      <c r="D39" s="527"/>
      <c r="E39" s="527"/>
      <c r="F39" s="527"/>
      <c r="G39" s="527"/>
      <c r="H39" s="527"/>
      <c r="I39" s="527"/>
      <c r="J39" s="527"/>
      <c r="K39" s="527"/>
      <c r="L39" s="527"/>
      <c r="M39" s="527"/>
      <c r="N39" s="527"/>
      <c r="O39" s="527"/>
      <c r="P39" s="527"/>
      <c r="Q39" s="527"/>
      <c r="R39" s="527"/>
      <c r="S39" s="527"/>
      <c r="T39" s="527"/>
      <c r="U39" s="527"/>
      <c r="V39" s="527"/>
      <c r="W39" s="527"/>
      <c r="X39" s="527"/>
      <c r="Y39" s="527"/>
      <c r="Z39" s="527"/>
      <c r="AA39" s="527"/>
      <c r="AB39" s="527"/>
      <c r="AC39" s="527"/>
      <c r="AD39" s="527"/>
      <c r="AE39" s="527"/>
      <c r="AF39" s="527"/>
      <c r="AG39" s="527"/>
      <c r="AH39" s="527"/>
      <c r="AI39" s="527"/>
      <c r="AJ39" s="527"/>
      <c r="AK39" s="527"/>
      <c r="AL39" s="527"/>
      <c r="AM39" s="527"/>
      <c r="AN39" s="527"/>
      <c r="AO39" s="527"/>
      <c r="AP39" s="527"/>
      <c r="AQ39" s="527"/>
      <c r="AR39" s="527"/>
      <c r="AS39" s="527"/>
    </row>
    <row r="40" spans="1:45" ht="16.5" x14ac:dyDescent="0.3">
      <c r="A40" s="527"/>
      <c r="B40" s="527"/>
      <c r="C40" s="527"/>
      <c r="D40" s="527"/>
      <c r="E40" s="527"/>
      <c r="F40" s="527"/>
      <c r="G40" s="527"/>
      <c r="H40" s="527"/>
      <c r="I40" s="527"/>
      <c r="J40" s="527"/>
      <c r="K40" s="527"/>
      <c r="L40" s="527"/>
      <c r="M40" s="527"/>
      <c r="N40" s="527"/>
      <c r="O40" s="527"/>
      <c r="P40" s="527"/>
      <c r="Q40" s="527"/>
      <c r="R40" s="527"/>
      <c r="S40" s="527"/>
      <c r="T40" s="527"/>
      <c r="U40" s="527"/>
      <c r="V40" s="527"/>
      <c r="W40" s="527"/>
      <c r="X40" s="527"/>
      <c r="Y40" s="527"/>
      <c r="Z40" s="527"/>
      <c r="AA40" s="527"/>
      <c r="AB40" s="527"/>
      <c r="AC40" s="527"/>
      <c r="AD40" s="527"/>
      <c r="AE40" s="527"/>
      <c r="AF40" s="527"/>
      <c r="AG40" s="527"/>
      <c r="AH40" s="527"/>
      <c r="AI40" s="527"/>
      <c r="AJ40" s="527"/>
      <c r="AK40" s="527"/>
      <c r="AL40" s="527"/>
      <c r="AM40" s="527"/>
      <c r="AN40" s="527"/>
      <c r="AO40" s="527"/>
      <c r="AP40" s="527"/>
      <c r="AQ40" s="527"/>
      <c r="AR40" s="527"/>
      <c r="AS40" s="527"/>
    </row>
    <row r="41" spans="1:45" ht="16.5" x14ac:dyDescent="0.3">
      <c r="A41" s="527"/>
      <c r="B41" s="527"/>
      <c r="C41" s="527"/>
      <c r="D41" s="527"/>
      <c r="E41" s="527"/>
      <c r="F41" s="527"/>
      <c r="G41" s="527"/>
      <c r="H41" s="527"/>
      <c r="I41" s="527"/>
      <c r="J41" s="527"/>
      <c r="K41" s="527"/>
      <c r="L41" s="527"/>
      <c r="M41" s="527"/>
      <c r="N41" s="527"/>
      <c r="O41" s="527"/>
      <c r="P41" s="527"/>
      <c r="Q41" s="527"/>
      <c r="R41" s="527"/>
      <c r="S41" s="527"/>
      <c r="T41" s="527"/>
      <c r="U41" s="527"/>
      <c r="V41" s="527"/>
      <c r="W41" s="527"/>
      <c r="X41" s="527"/>
      <c r="Y41" s="527"/>
      <c r="Z41" s="527"/>
      <c r="AA41" s="527"/>
      <c r="AB41" s="527"/>
      <c r="AC41" s="527"/>
      <c r="AD41" s="527"/>
      <c r="AE41" s="527"/>
      <c r="AF41" s="527"/>
      <c r="AG41" s="527"/>
      <c r="AH41" s="527"/>
      <c r="AI41" s="527"/>
      <c r="AJ41" s="527"/>
      <c r="AK41" s="527"/>
      <c r="AL41" s="527"/>
      <c r="AM41" s="527"/>
      <c r="AN41" s="527"/>
      <c r="AO41" s="527"/>
      <c r="AP41" s="527"/>
      <c r="AQ41" s="527"/>
      <c r="AR41" s="527"/>
      <c r="AS41" s="527"/>
    </row>
    <row r="42" spans="1:45" ht="16.5" x14ac:dyDescent="0.3">
      <c r="A42" s="527"/>
      <c r="B42" s="527"/>
      <c r="C42" s="527"/>
      <c r="D42" s="527"/>
      <c r="E42" s="527"/>
      <c r="F42" s="527"/>
      <c r="G42" s="527"/>
      <c r="H42" s="527"/>
      <c r="I42" s="527"/>
      <c r="J42" s="527"/>
      <c r="K42" s="527"/>
      <c r="L42" s="527"/>
      <c r="M42" s="527"/>
      <c r="N42" s="527"/>
      <c r="O42" s="527"/>
      <c r="P42" s="527"/>
      <c r="Q42" s="527"/>
      <c r="R42" s="527"/>
      <c r="S42" s="527"/>
      <c r="T42" s="527"/>
      <c r="U42" s="527"/>
      <c r="V42" s="527"/>
      <c r="W42" s="527"/>
      <c r="X42" s="527"/>
      <c r="Y42" s="527"/>
      <c r="Z42" s="527"/>
      <c r="AA42" s="527"/>
      <c r="AB42" s="527"/>
      <c r="AC42" s="527"/>
      <c r="AD42" s="527"/>
      <c r="AE42" s="527"/>
      <c r="AF42" s="527"/>
      <c r="AG42" s="527"/>
      <c r="AH42" s="527"/>
      <c r="AI42" s="527"/>
      <c r="AJ42" s="527"/>
      <c r="AK42" s="527"/>
      <c r="AL42" s="527"/>
      <c r="AM42" s="527"/>
      <c r="AN42" s="527"/>
      <c r="AO42" s="527"/>
      <c r="AP42" s="527"/>
      <c r="AQ42" s="527"/>
      <c r="AR42" s="527"/>
      <c r="AS42" s="527"/>
    </row>
    <row r="43" spans="1:45" ht="16.5" x14ac:dyDescent="0.3">
      <c r="A43" s="527"/>
      <c r="B43" s="527"/>
      <c r="C43" s="527"/>
      <c r="D43" s="527"/>
      <c r="E43" s="527"/>
      <c r="F43" s="527"/>
      <c r="G43" s="527"/>
      <c r="H43" s="527"/>
      <c r="I43" s="527"/>
      <c r="J43" s="527"/>
      <c r="K43" s="527"/>
      <c r="L43" s="527"/>
      <c r="M43" s="527"/>
      <c r="N43" s="527"/>
      <c r="O43" s="527"/>
      <c r="P43" s="527"/>
      <c r="Q43" s="527"/>
      <c r="R43" s="527"/>
      <c r="S43" s="527"/>
      <c r="T43" s="527"/>
      <c r="U43" s="527"/>
      <c r="V43" s="527"/>
      <c r="W43" s="527"/>
      <c r="X43" s="527"/>
      <c r="Y43" s="527"/>
      <c r="Z43" s="527"/>
      <c r="AA43" s="527"/>
      <c r="AB43" s="527"/>
      <c r="AC43" s="527"/>
      <c r="AD43" s="527"/>
      <c r="AE43" s="527"/>
      <c r="AF43" s="527"/>
      <c r="AG43" s="527"/>
      <c r="AH43" s="527"/>
      <c r="AI43" s="527"/>
      <c r="AJ43" s="527"/>
      <c r="AK43" s="527"/>
      <c r="AL43" s="527"/>
      <c r="AM43" s="527"/>
      <c r="AN43" s="527"/>
      <c r="AO43" s="527"/>
      <c r="AP43" s="527"/>
      <c r="AQ43" s="527"/>
      <c r="AR43" s="527"/>
      <c r="AS43" s="527"/>
    </row>
    <row r="44" spans="1:45" ht="16.5" x14ac:dyDescent="0.3">
      <c r="A44" s="527"/>
      <c r="B44" s="527"/>
      <c r="C44" s="527"/>
      <c r="D44" s="527"/>
      <c r="E44" s="527"/>
      <c r="F44" s="527"/>
      <c r="G44" s="527"/>
      <c r="H44" s="527"/>
      <c r="I44" s="527"/>
      <c r="J44" s="527"/>
      <c r="K44" s="527"/>
      <c r="L44" s="527"/>
      <c r="M44" s="527"/>
      <c r="N44" s="527"/>
      <c r="O44" s="527"/>
      <c r="P44" s="527"/>
      <c r="Q44" s="527"/>
      <c r="R44" s="527"/>
      <c r="S44" s="527"/>
      <c r="T44" s="527"/>
      <c r="U44" s="527"/>
      <c r="V44" s="527"/>
      <c r="W44" s="527"/>
      <c r="X44" s="527"/>
      <c r="Y44" s="527"/>
      <c r="Z44" s="527"/>
      <c r="AA44" s="527"/>
      <c r="AB44" s="527"/>
      <c r="AC44" s="527"/>
      <c r="AD44" s="527"/>
      <c r="AE44" s="527"/>
      <c r="AF44" s="527"/>
      <c r="AG44" s="527"/>
      <c r="AH44" s="527"/>
      <c r="AI44" s="527"/>
      <c r="AJ44" s="527"/>
      <c r="AK44" s="527"/>
      <c r="AL44" s="527"/>
      <c r="AM44" s="527"/>
      <c r="AN44" s="527"/>
      <c r="AO44" s="527"/>
      <c r="AP44" s="527"/>
      <c r="AQ44" s="527"/>
      <c r="AR44" s="527"/>
      <c r="AS44" s="527"/>
    </row>
    <row r="45" spans="1:45" ht="16.5" x14ac:dyDescent="0.3">
      <c r="A45" s="527"/>
      <c r="B45" s="527"/>
      <c r="C45" s="527"/>
      <c r="D45" s="527"/>
      <c r="E45" s="527"/>
      <c r="F45" s="527"/>
      <c r="G45" s="527"/>
      <c r="H45" s="527"/>
      <c r="I45" s="527"/>
      <c r="J45" s="527"/>
      <c r="K45" s="527"/>
      <c r="L45" s="527"/>
      <c r="M45" s="527"/>
      <c r="N45" s="527"/>
      <c r="O45" s="527"/>
      <c r="P45" s="527"/>
      <c r="Q45" s="527"/>
      <c r="R45" s="527"/>
      <c r="S45" s="527"/>
      <c r="T45" s="527"/>
      <c r="U45" s="527"/>
      <c r="V45" s="527"/>
      <c r="W45" s="527"/>
      <c r="X45" s="527"/>
      <c r="Y45" s="527"/>
      <c r="Z45" s="527"/>
      <c r="AA45" s="527"/>
      <c r="AB45" s="527"/>
      <c r="AC45" s="527"/>
      <c r="AD45" s="527"/>
      <c r="AE45" s="527"/>
      <c r="AF45" s="527"/>
      <c r="AG45" s="527"/>
      <c r="AH45" s="527"/>
      <c r="AI45" s="527"/>
      <c r="AJ45" s="527"/>
      <c r="AK45" s="527"/>
      <c r="AL45" s="527"/>
      <c r="AM45" s="527"/>
      <c r="AN45" s="527"/>
      <c r="AO45" s="527"/>
      <c r="AP45" s="527"/>
      <c r="AQ45" s="527"/>
      <c r="AR45" s="527"/>
      <c r="AS45" s="527"/>
    </row>
    <row r="46" spans="1:45" ht="16.5" x14ac:dyDescent="0.3">
      <c r="A46" s="527"/>
      <c r="B46" s="527"/>
      <c r="C46" s="527"/>
      <c r="D46" s="527"/>
      <c r="E46" s="527"/>
      <c r="F46" s="527"/>
      <c r="G46" s="527"/>
      <c r="H46" s="527"/>
      <c r="I46" s="527"/>
      <c r="J46" s="527"/>
      <c r="K46" s="527"/>
      <c r="L46" s="527"/>
      <c r="M46" s="527"/>
      <c r="N46" s="527"/>
      <c r="O46" s="527"/>
      <c r="P46" s="527"/>
      <c r="Q46" s="527"/>
      <c r="R46" s="527"/>
      <c r="S46" s="527"/>
      <c r="T46" s="527"/>
      <c r="U46" s="527"/>
      <c r="V46" s="527"/>
      <c r="W46" s="527"/>
      <c r="X46" s="527"/>
      <c r="Y46" s="527"/>
      <c r="Z46" s="527"/>
      <c r="AA46" s="527"/>
      <c r="AB46" s="527"/>
      <c r="AC46" s="527"/>
      <c r="AD46" s="527"/>
      <c r="AE46" s="527"/>
      <c r="AF46" s="527"/>
      <c r="AG46" s="527"/>
      <c r="AH46" s="527"/>
      <c r="AI46" s="527"/>
      <c r="AJ46" s="527"/>
      <c r="AK46" s="527"/>
      <c r="AL46" s="527"/>
      <c r="AM46" s="527"/>
      <c r="AN46" s="527"/>
      <c r="AO46" s="527"/>
      <c r="AP46" s="527"/>
      <c r="AQ46" s="527"/>
      <c r="AR46" s="527"/>
      <c r="AS46" s="527"/>
    </row>
    <row r="47" spans="1:45" ht="16.5" x14ac:dyDescent="0.3">
      <c r="A47" s="527"/>
      <c r="B47" s="527"/>
      <c r="C47" s="527"/>
      <c r="D47" s="527"/>
      <c r="E47" s="527"/>
      <c r="F47" s="527"/>
      <c r="G47" s="527"/>
      <c r="H47" s="527"/>
      <c r="I47" s="527"/>
      <c r="J47" s="527"/>
      <c r="K47" s="527"/>
      <c r="L47" s="527"/>
      <c r="M47" s="527"/>
      <c r="N47" s="527"/>
      <c r="O47" s="527"/>
      <c r="P47" s="527"/>
      <c r="Q47" s="527"/>
      <c r="R47" s="527"/>
      <c r="S47" s="527"/>
      <c r="T47" s="527"/>
      <c r="U47" s="527"/>
      <c r="V47" s="527"/>
      <c r="W47" s="527"/>
      <c r="X47" s="527"/>
      <c r="Y47" s="527"/>
      <c r="Z47" s="527"/>
      <c r="AA47" s="527"/>
      <c r="AB47" s="527"/>
      <c r="AC47" s="527"/>
      <c r="AD47" s="527"/>
      <c r="AE47" s="527"/>
      <c r="AF47" s="527"/>
      <c r="AG47" s="527"/>
      <c r="AH47" s="527"/>
      <c r="AI47" s="527"/>
      <c r="AJ47" s="527"/>
      <c r="AK47" s="527"/>
      <c r="AL47" s="527"/>
      <c r="AM47" s="527"/>
      <c r="AN47" s="527"/>
      <c r="AO47" s="527"/>
      <c r="AP47" s="527"/>
      <c r="AQ47" s="527"/>
      <c r="AR47" s="527"/>
      <c r="AS47" s="527"/>
    </row>
    <row r="48" spans="1:45" ht="16.5" x14ac:dyDescent="0.3">
      <c r="A48" s="527"/>
      <c r="B48" s="527"/>
      <c r="C48" s="527"/>
      <c r="D48" s="527"/>
      <c r="E48" s="527"/>
      <c r="F48" s="527"/>
      <c r="G48" s="527"/>
      <c r="H48" s="527"/>
      <c r="I48" s="527"/>
      <c r="J48" s="527"/>
      <c r="K48" s="527"/>
      <c r="L48" s="527"/>
      <c r="M48" s="527"/>
      <c r="N48" s="527"/>
      <c r="O48" s="527"/>
      <c r="P48" s="527"/>
      <c r="Q48" s="527"/>
      <c r="R48" s="527"/>
      <c r="S48" s="527"/>
      <c r="T48" s="527"/>
      <c r="U48" s="527"/>
      <c r="V48" s="527"/>
      <c r="W48" s="527"/>
      <c r="X48" s="527"/>
      <c r="Y48" s="527"/>
      <c r="Z48" s="527"/>
      <c r="AA48" s="527"/>
      <c r="AB48" s="527"/>
      <c r="AC48" s="527"/>
      <c r="AD48" s="527"/>
      <c r="AE48" s="527"/>
      <c r="AF48" s="527"/>
      <c r="AG48" s="527"/>
      <c r="AH48" s="527"/>
      <c r="AI48" s="527"/>
      <c r="AJ48" s="527"/>
      <c r="AK48" s="527"/>
      <c r="AL48" s="527"/>
      <c r="AM48" s="527"/>
      <c r="AN48" s="527"/>
      <c r="AO48" s="527"/>
      <c r="AP48" s="527"/>
      <c r="AQ48" s="527"/>
      <c r="AR48" s="527"/>
      <c r="AS48" s="527"/>
    </row>
  </sheetData>
  <mergeCells count="46">
    <mergeCell ref="B31:AE32"/>
    <mergeCell ref="Z18:AA19"/>
    <mergeCell ref="AB18:AE19"/>
    <mergeCell ref="Z20:AA21"/>
    <mergeCell ref="AB20:AE21"/>
    <mergeCell ref="Z22:AA23"/>
    <mergeCell ref="AB22:AE23"/>
    <mergeCell ref="B9:G22"/>
    <mergeCell ref="AB11:AE12"/>
    <mergeCell ref="Z13:AA14"/>
    <mergeCell ref="AB13:AE14"/>
    <mergeCell ref="Z15:AA16"/>
    <mergeCell ref="AB15:AE16"/>
    <mergeCell ref="S11:T12"/>
    <mergeCell ref="U11:X12"/>
    <mergeCell ref="Z5:AA6"/>
    <mergeCell ref="Z7:AA8"/>
    <mergeCell ref="Z9:AA10"/>
    <mergeCell ref="Z11:AA12"/>
    <mergeCell ref="I9:N22"/>
    <mergeCell ref="Q8:Q9"/>
    <mergeCell ref="P10:P11"/>
    <mergeCell ref="Q10:Q11"/>
    <mergeCell ref="P12:P13"/>
    <mergeCell ref="Q12:Q13"/>
    <mergeCell ref="P14:P15"/>
    <mergeCell ref="Q14:Q15"/>
    <mergeCell ref="P8:P9"/>
    <mergeCell ref="P16:P17"/>
    <mergeCell ref="Q16:Q17"/>
    <mergeCell ref="B5:C6"/>
    <mergeCell ref="D5:G6"/>
    <mergeCell ref="B2:AE3"/>
    <mergeCell ref="I5:J6"/>
    <mergeCell ref="K5:N6"/>
    <mergeCell ref="P6:P7"/>
    <mergeCell ref="Q6:Q7"/>
    <mergeCell ref="S5:T6"/>
    <mergeCell ref="U5:X6"/>
    <mergeCell ref="AB5:AE6"/>
    <mergeCell ref="AB7:AE8"/>
    <mergeCell ref="B8:G8"/>
    <mergeCell ref="S8:T9"/>
    <mergeCell ref="U8:X9"/>
    <mergeCell ref="AB9:AE10"/>
    <mergeCell ref="I8:N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00FF00"/>
  </sheetPr>
  <dimension ref="A1:FJ634"/>
  <sheetViews>
    <sheetView topLeftCell="A486" zoomScale="85" zoomScaleNormal="85" workbookViewId="0">
      <selection activeCell="B562" sqref="B562"/>
    </sheetView>
  </sheetViews>
  <sheetFormatPr defaultColWidth="6.7109375" defaultRowHeight="15.95" customHeight="1" outlineLevelRow="1" outlineLevelCol="1" x14ac:dyDescent="0.3"/>
  <cols>
    <col min="1" max="1" width="3.7109375" style="372" customWidth="1"/>
    <col min="2" max="15" width="6.7109375" style="372"/>
    <col min="16" max="16" width="7.7109375" style="372" bestFit="1" customWidth="1"/>
    <col min="17" max="20" width="6.7109375" style="372"/>
    <col min="21" max="32" width="6.7109375" style="372" customWidth="1"/>
    <col min="33" max="33" width="9.5703125" style="131" customWidth="1" outlineLevel="1"/>
    <col min="34" max="35" width="6.7109375" style="131" customWidth="1" outlineLevel="1"/>
    <col min="36" max="36" width="6.7109375" style="131" customWidth="1"/>
    <col min="103" max="129" width="6.7109375" style="140" customWidth="1" outlineLevel="1"/>
    <col min="130" max="130" width="3.7109375" style="140" customWidth="1"/>
    <col min="131" max="132" width="6.7109375" style="140"/>
    <col min="133" max="143" width="6.7109375" style="131"/>
    <col min="144" max="144" width="8.28515625" style="131" bestFit="1" customWidth="1"/>
    <col min="145" max="16384" width="6.7109375" style="131"/>
  </cols>
  <sheetData>
    <row r="1" spans="1:36" ht="15.95" customHeight="1" x14ac:dyDescent="0.35">
      <c r="A1" s="526"/>
      <c r="B1" s="749" t="s">
        <v>6664</v>
      </c>
      <c r="C1" s="749"/>
      <c r="D1" s="749"/>
      <c r="E1" s="749"/>
      <c r="F1" s="749"/>
      <c r="G1" s="749"/>
      <c r="H1" s="749"/>
      <c r="I1" s="749"/>
      <c r="J1" s="749"/>
      <c r="K1" s="749"/>
      <c r="L1" s="749"/>
      <c r="M1" s="749"/>
      <c r="N1" s="749"/>
      <c r="O1" s="749"/>
      <c r="P1" s="749"/>
      <c r="Q1" s="749"/>
      <c r="R1" s="749"/>
      <c r="S1" s="749"/>
      <c r="T1" s="749"/>
      <c r="U1" s="749"/>
      <c r="V1" s="749"/>
      <c r="W1" s="749"/>
      <c r="X1" s="749"/>
      <c r="Y1" s="749"/>
      <c r="Z1" s="749"/>
      <c r="AA1" s="749"/>
      <c r="AB1" s="749"/>
      <c r="AC1" s="749"/>
      <c r="AD1" s="749"/>
      <c r="AE1" s="749"/>
      <c r="AF1" s="534"/>
      <c r="AG1" s="924" t="s">
        <v>6286</v>
      </c>
      <c r="AH1" s="925"/>
      <c r="AI1" s="926"/>
      <c r="AJ1" s="146"/>
    </row>
    <row r="2" spans="1:36" ht="15.95" customHeight="1" thickBot="1" x14ac:dyDescent="0.4">
      <c r="A2" s="526"/>
      <c r="B2" s="749"/>
      <c r="C2" s="749"/>
      <c r="D2" s="749"/>
      <c r="E2" s="749"/>
      <c r="F2" s="749"/>
      <c r="G2" s="749"/>
      <c r="H2" s="749"/>
      <c r="I2" s="749"/>
      <c r="J2" s="749"/>
      <c r="K2" s="749"/>
      <c r="L2" s="749"/>
      <c r="M2" s="749"/>
      <c r="N2" s="749"/>
      <c r="O2" s="749"/>
      <c r="P2" s="749"/>
      <c r="Q2" s="749"/>
      <c r="R2" s="749"/>
      <c r="S2" s="749"/>
      <c r="T2" s="749"/>
      <c r="U2" s="749"/>
      <c r="V2" s="749"/>
      <c r="W2" s="749"/>
      <c r="X2" s="749"/>
      <c r="Y2" s="749"/>
      <c r="Z2" s="749"/>
      <c r="AA2" s="749"/>
      <c r="AB2" s="749"/>
      <c r="AC2" s="749"/>
      <c r="AD2" s="749"/>
      <c r="AE2" s="749"/>
      <c r="AF2" s="534"/>
      <c r="AG2" s="927"/>
      <c r="AH2" s="928"/>
      <c r="AI2" s="929"/>
      <c r="AJ2" s="146"/>
    </row>
    <row r="3" spans="1:36" ht="15.95" customHeight="1" outlineLevel="1" x14ac:dyDescent="0.35">
      <c r="A3" s="526"/>
      <c r="B3" s="526"/>
      <c r="C3" s="526"/>
      <c r="D3" s="526"/>
      <c r="E3" s="526"/>
      <c r="F3" s="526"/>
      <c r="G3" s="526"/>
      <c r="H3" s="526"/>
      <c r="I3" s="526"/>
      <c r="J3" s="526"/>
      <c r="K3" s="526"/>
      <c r="L3" s="526"/>
      <c r="M3" s="526"/>
      <c r="N3" s="526"/>
      <c r="O3" s="526"/>
      <c r="P3" s="526"/>
      <c r="Q3" s="526"/>
      <c r="R3" s="526"/>
      <c r="S3" s="526"/>
      <c r="T3" s="526"/>
      <c r="U3" s="526"/>
      <c r="V3" s="526"/>
      <c r="W3" s="526"/>
      <c r="X3" s="526"/>
      <c r="Y3" s="526"/>
      <c r="Z3" s="526"/>
      <c r="AA3" s="526"/>
      <c r="AB3" s="526"/>
      <c r="AC3" s="526"/>
      <c r="AD3" s="526"/>
      <c r="AE3" s="526"/>
      <c r="AF3" s="534"/>
      <c r="AG3" s="533"/>
      <c r="AH3" s="533"/>
      <c r="AI3" s="533"/>
      <c r="AJ3" s="146"/>
    </row>
    <row r="4" spans="1:36" ht="15.95" customHeight="1" outlineLevel="1" x14ac:dyDescent="0.35">
      <c r="A4" s="527"/>
      <c r="B4" s="747" t="s">
        <v>0</v>
      </c>
      <c r="C4" s="747"/>
      <c r="D4" s="762" t="s">
        <v>7461</v>
      </c>
      <c r="E4" s="762"/>
      <c r="F4" s="762"/>
      <c r="G4" s="762"/>
      <c r="H4" s="762"/>
      <c r="I4" s="527"/>
      <c r="J4" s="747" t="s">
        <v>1</v>
      </c>
      <c r="K4" s="747"/>
      <c r="L4" s="906" t="s">
        <v>59</v>
      </c>
      <c r="M4" s="906"/>
      <c r="N4" s="906"/>
      <c r="O4" s="906"/>
      <c r="P4" s="747" t="s">
        <v>2</v>
      </c>
      <c r="Q4" s="747"/>
      <c r="R4" s="906" t="s">
        <v>82</v>
      </c>
      <c r="S4" s="906"/>
      <c r="T4" s="906"/>
      <c r="U4" s="906"/>
      <c r="V4" s="908" t="str">
        <f>"Race Description"&amp;CHAR(10)&amp;IFERROR(INDEX(T01_Races!G2:G101,SelectedRaceID,1),"")</f>
        <v xml:space="preserve">Race Description
</v>
      </c>
      <c r="W4" s="908"/>
      <c r="X4" s="908"/>
      <c r="Y4" s="908"/>
      <c r="Z4" s="908"/>
      <c r="AA4" s="908"/>
      <c r="AB4" s="908"/>
      <c r="AC4" s="908"/>
      <c r="AD4" s="908"/>
      <c r="AE4" s="908"/>
      <c r="AF4" s="534" t="str">
        <f>""&amp;CHAR(10)&amp;IFERROR(INDEX(T02_Backgrounds!D2:D101,SelectedBackgroundId,1),"")</f>
        <v xml:space="preserve">
You grew up in the wilds, far from civilization and the comforts of town and technology. You've witnessed the migration of herds larger than forests, survived weather more extreme than any city-dweller could comprehend, and enjoyed the solitude of being the only thinking creature for miles in any direction. The wilds are in your blood, whether you were a nomad, an explorer, a recluse, a hunter-gatherer, or even a marauder. Even in places where you don’t know the specific features of the terrain, you know the ways of the wild.</v>
      </c>
      <c r="AG4" s="533"/>
      <c r="AH4" s="533"/>
      <c r="AI4" s="533"/>
      <c r="AJ4" s="146"/>
    </row>
    <row r="5" spans="1:36" ht="15.95" customHeight="1" outlineLevel="1" x14ac:dyDescent="0.35">
      <c r="A5" s="527"/>
      <c r="B5" s="747"/>
      <c r="C5" s="747"/>
      <c r="D5" s="762"/>
      <c r="E5" s="762"/>
      <c r="F5" s="762"/>
      <c r="G5" s="762"/>
      <c r="H5" s="762"/>
      <c r="I5" s="527"/>
      <c r="J5" s="747"/>
      <c r="K5" s="747"/>
      <c r="L5" s="906"/>
      <c r="M5" s="906"/>
      <c r="N5" s="906"/>
      <c r="O5" s="906"/>
      <c r="P5" s="747"/>
      <c r="Q5" s="747"/>
      <c r="R5" s="906"/>
      <c r="S5" s="906"/>
      <c r="T5" s="906"/>
      <c r="U5" s="906"/>
      <c r="V5" s="908"/>
      <c r="W5" s="908"/>
      <c r="X5" s="908"/>
      <c r="Y5" s="908"/>
      <c r="Z5" s="908"/>
      <c r="AA5" s="908"/>
      <c r="AB5" s="908"/>
      <c r="AC5" s="908"/>
      <c r="AD5" s="908"/>
      <c r="AE5" s="908"/>
      <c r="AF5" s="534"/>
      <c r="AG5" s="533"/>
      <c r="AH5" s="533"/>
      <c r="AI5" s="533"/>
      <c r="AJ5" s="146"/>
    </row>
    <row r="6" spans="1:36" ht="15.95" customHeight="1" outlineLevel="1" x14ac:dyDescent="0.35">
      <c r="A6" s="527"/>
      <c r="B6" s="747" t="s">
        <v>501</v>
      </c>
      <c r="C6" s="747"/>
      <c r="D6" s="762" t="s">
        <v>1284</v>
      </c>
      <c r="E6" s="762"/>
      <c r="F6" s="762"/>
      <c r="G6" s="762"/>
      <c r="H6" s="762"/>
      <c r="I6" s="527"/>
      <c r="J6" s="747" t="s">
        <v>10</v>
      </c>
      <c r="K6" s="747"/>
      <c r="L6" s="906" t="s">
        <v>1089</v>
      </c>
      <c r="M6" s="906"/>
      <c r="N6" s="906"/>
      <c r="O6" s="906"/>
      <c r="P6" s="747" t="s">
        <v>3311</v>
      </c>
      <c r="Q6" s="747"/>
      <c r="R6" s="906" t="s">
        <v>3601</v>
      </c>
      <c r="S6" s="906"/>
      <c r="T6" s="906"/>
      <c r="U6" s="906"/>
      <c r="V6" s="908"/>
      <c r="W6" s="908"/>
      <c r="X6" s="908"/>
      <c r="Y6" s="908"/>
      <c r="Z6" s="908"/>
      <c r="AA6" s="908"/>
      <c r="AB6" s="908"/>
      <c r="AC6" s="908"/>
      <c r="AD6" s="908"/>
      <c r="AE6" s="908"/>
      <c r="AF6" s="534"/>
      <c r="AG6" s="533"/>
      <c r="AH6" s="533"/>
      <c r="AI6" s="533"/>
      <c r="AJ6" s="146"/>
    </row>
    <row r="7" spans="1:36" ht="15.95" customHeight="1" outlineLevel="1" x14ac:dyDescent="0.35">
      <c r="A7" s="527"/>
      <c r="B7" s="747"/>
      <c r="C7" s="747"/>
      <c r="D7" s="762"/>
      <c r="E7" s="762"/>
      <c r="F7" s="762"/>
      <c r="G7" s="762"/>
      <c r="H7" s="762"/>
      <c r="I7" s="527"/>
      <c r="J7" s="747"/>
      <c r="K7" s="747"/>
      <c r="L7" s="906"/>
      <c r="M7" s="906"/>
      <c r="N7" s="906"/>
      <c r="O7" s="906"/>
      <c r="P7" s="747"/>
      <c r="Q7" s="747"/>
      <c r="R7" s="906"/>
      <c r="S7" s="906"/>
      <c r="T7" s="906"/>
      <c r="U7" s="906"/>
      <c r="V7" s="908"/>
      <c r="W7" s="908"/>
      <c r="X7" s="908"/>
      <c r="Y7" s="908"/>
      <c r="Z7" s="908"/>
      <c r="AA7" s="908"/>
      <c r="AB7" s="908"/>
      <c r="AC7" s="908"/>
      <c r="AD7" s="908"/>
      <c r="AE7" s="908"/>
      <c r="AF7" s="534"/>
      <c r="AG7" s="533"/>
      <c r="AH7" s="533"/>
      <c r="AI7" s="533"/>
      <c r="AJ7" s="146"/>
    </row>
    <row r="8" spans="1:36" ht="15.95" customHeight="1" outlineLevel="1" x14ac:dyDescent="0.35">
      <c r="A8" s="527"/>
      <c r="B8" s="527"/>
      <c r="C8" s="527"/>
      <c r="D8" s="527"/>
      <c r="E8" s="527"/>
      <c r="F8" s="527"/>
      <c r="G8" s="527"/>
      <c r="H8" s="527"/>
      <c r="I8" s="527"/>
      <c r="J8" s="747" t="s">
        <v>9</v>
      </c>
      <c r="K8" s="747"/>
      <c r="L8" s="906" t="s">
        <v>7471</v>
      </c>
      <c r="M8" s="906"/>
      <c r="N8" s="527"/>
      <c r="O8" s="527"/>
      <c r="P8" s="527"/>
      <c r="Q8" s="527"/>
      <c r="R8" s="527"/>
      <c r="S8" s="527"/>
      <c r="T8" s="527"/>
      <c r="U8" s="527"/>
      <c r="V8" s="908"/>
      <c r="W8" s="908"/>
      <c r="X8" s="908"/>
      <c r="Y8" s="908"/>
      <c r="Z8" s="908"/>
      <c r="AA8" s="908"/>
      <c r="AB8" s="908"/>
      <c r="AC8" s="908"/>
      <c r="AD8" s="908"/>
      <c r="AE8" s="908"/>
      <c r="AF8" s="534"/>
      <c r="AG8" s="533"/>
      <c r="AH8" s="533"/>
      <c r="AI8" s="533"/>
      <c r="AJ8" s="146"/>
    </row>
    <row r="9" spans="1:36" ht="15.95" customHeight="1" outlineLevel="1" x14ac:dyDescent="0.35">
      <c r="A9" s="527"/>
      <c r="B9" s="747" t="s">
        <v>4134</v>
      </c>
      <c r="C9" s="747"/>
      <c r="D9" s="914" t="s">
        <v>7475</v>
      </c>
      <c r="E9" s="914"/>
      <c r="F9" s="914"/>
      <c r="G9" s="914"/>
      <c r="H9" s="527"/>
      <c r="I9" s="527"/>
      <c r="J9" s="747"/>
      <c r="K9" s="747"/>
      <c r="L9" s="906"/>
      <c r="M9" s="906"/>
      <c r="N9" s="527"/>
      <c r="O9" s="527"/>
      <c r="P9" s="747" t="s">
        <v>7483</v>
      </c>
      <c r="Q9" s="747"/>
      <c r="R9" s="913" t="s">
        <v>6853</v>
      </c>
      <c r="S9" s="913"/>
      <c r="T9" s="913"/>
      <c r="U9" s="913"/>
      <c r="V9" s="908"/>
      <c r="W9" s="908"/>
      <c r="X9" s="908"/>
      <c r="Y9" s="908"/>
      <c r="Z9" s="908"/>
      <c r="AA9" s="908"/>
      <c r="AB9" s="908"/>
      <c r="AC9" s="908"/>
      <c r="AD9" s="908"/>
      <c r="AE9" s="908"/>
      <c r="AF9" s="534"/>
      <c r="AG9" s="533"/>
      <c r="AH9" s="533"/>
      <c r="AI9" s="533"/>
      <c r="AJ9" s="146"/>
    </row>
    <row r="10" spans="1:36" ht="15.95" customHeight="1" outlineLevel="1" x14ac:dyDescent="0.35">
      <c r="A10" s="527"/>
      <c r="B10" s="747"/>
      <c r="C10" s="747"/>
      <c r="D10" s="914"/>
      <c r="E10" s="914"/>
      <c r="F10" s="914"/>
      <c r="G10" s="914"/>
      <c r="H10" s="527"/>
      <c r="I10" s="527"/>
      <c r="J10" s="527"/>
      <c r="K10" s="527"/>
      <c r="L10" s="527"/>
      <c r="M10" s="527"/>
      <c r="N10" s="527"/>
      <c r="O10" s="527"/>
      <c r="P10" s="747"/>
      <c r="Q10" s="747"/>
      <c r="R10" s="913"/>
      <c r="S10" s="913"/>
      <c r="T10" s="913"/>
      <c r="U10" s="913"/>
      <c r="V10" s="908" t="str">
        <f>"SubRace Description"&amp;CHAR(10)&amp;IFERROR(INDEX(T01_Races!H2:H101,SelectedRaceID,1),"")</f>
        <v xml:space="preserve">SubRace Description
</v>
      </c>
      <c r="W10" s="908"/>
      <c r="X10" s="908"/>
      <c r="Y10" s="908"/>
      <c r="Z10" s="908"/>
      <c r="AA10" s="908"/>
      <c r="AB10" s="908"/>
      <c r="AC10" s="908"/>
      <c r="AD10" s="908"/>
      <c r="AE10" s="908"/>
      <c r="AF10" s="534"/>
      <c r="AG10" s="533"/>
      <c r="AH10" s="533"/>
      <c r="AI10" s="533"/>
      <c r="AJ10" s="146"/>
    </row>
    <row r="11" spans="1:36" ht="15.95" customHeight="1" outlineLevel="1" x14ac:dyDescent="0.35">
      <c r="A11" s="527"/>
      <c r="B11" s="747" t="s">
        <v>500</v>
      </c>
      <c r="C11" s="747"/>
      <c r="D11" s="913" t="s">
        <v>3913</v>
      </c>
      <c r="E11" s="913"/>
      <c r="F11" s="913"/>
      <c r="G11" s="913"/>
      <c r="H11" s="527"/>
      <c r="I11" s="527"/>
      <c r="J11" s="747" t="s">
        <v>7463</v>
      </c>
      <c r="K11" s="747"/>
      <c r="L11" s="913" t="s">
        <v>6711</v>
      </c>
      <c r="M11" s="913"/>
      <c r="N11" s="913"/>
      <c r="O11" s="913"/>
      <c r="P11" s="747" t="s">
        <v>7462</v>
      </c>
      <c r="Q11" s="747"/>
      <c r="R11" s="914"/>
      <c r="S11" s="914"/>
      <c r="T11" s="914"/>
      <c r="U11" s="914"/>
      <c r="V11" s="908"/>
      <c r="W11" s="908"/>
      <c r="X11" s="908"/>
      <c r="Y11" s="908"/>
      <c r="Z11" s="908"/>
      <c r="AA11" s="908"/>
      <c r="AB11" s="908"/>
      <c r="AC11" s="908"/>
      <c r="AD11" s="908"/>
      <c r="AE11" s="908"/>
      <c r="AF11" s="534"/>
      <c r="AG11" s="533"/>
      <c r="AH11" s="533"/>
      <c r="AI11" s="533"/>
      <c r="AJ11" s="146"/>
    </row>
    <row r="12" spans="1:36" ht="15.95" customHeight="1" outlineLevel="1" x14ac:dyDescent="0.35">
      <c r="A12" s="527"/>
      <c r="B12" s="747"/>
      <c r="C12" s="747"/>
      <c r="D12" s="913"/>
      <c r="E12" s="913"/>
      <c r="F12" s="913"/>
      <c r="G12" s="913"/>
      <c r="H12" s="527"/>
      <c r="I12" s="527"/>
      <c r="J12" s="747"/>
      <c r="K12" s="747"/>
      <c r="L12" s="913"/>
      <c r="M12" s="913"/>
      <c r="N12" s="913"/>
      <c r="O12" s="913"/>
      <c r="P12" s="747"/>
      <c r="Q12" s="747"/>
      <c r="R12" s="914"/>
      <c r="S12" s="914"/>
      <c r="T12" s="914"/>
      <c r="U12" s="914"/>
      <c r="V12" s="908"/>
      <c r="W12" s="908"/>
      <c r="X12" s="908"/>
      <c r="Y12" s="908"/>
      <c r="Z12" s="908"/>
      <c r="AA12" s="908"/>
      <c r="AB12" s="908"/>
      <c r="AC12" s="908"/>
      <c r="AD12" s="908"/>
      <c r="AE12" s="908"/>
      <c r="AF12" s="534"/>
      <c r="AG12" s="533"/>
      <c r="AH12" s="533"/>
      <c r="AI12" s="533"/>
      <c r="AJ12" s="146"/>
    </row>
    <row r="13" spans="1:36" ht="15.95" customHeight="1" outlineLevel="1" x14ac:dyDescent="0.35">
      <c r="A13" s="527"/>
      <c r="B13" s="527"/>
      <c r="C13" s="527"/>
      <c r="D13" s="527"/>
      <c r="E13" s="527"/>
      <c r="F13" s="527"/>
      <c r="G13" s="527"/>
      <c r="H13" s="527"/>
      <c r="I13" s="527"/>
      <c r="J13" s="527"/>
      <c r="K13" s="527"/>
      <c r="L13" s="527"/>
      <c r="M13" s="527"/>
      <c r="N13" s="527"/>
      <c r="O13" s="527"/>
      <c r="P13" s="527"/>
      <c r="Q13" s="527"/>
      <c r="R13" s="527"/>
      <c r="S13" s="527"/>
      <c r="T13" s="527"/>
      <c r="U13" s="527"/>
      <c r="V13" s="908"/>
      <c r="W13" s="908"/>
      <c r="X13" s="908"/>
      <c r="Y13" s="908"/>
      <c r="Z13" s="908"/>
      <c r="AA13" s="908"/>
      <c r="AB13" s="908"/>
      <c r="AC13" s="908"/>
      <c r="AD13" s="908"/>
      <c r="AE13" s="908"/>
      <c r="AF13" s="534"/>
      <c r="AG13" s="533"/>
      <c r="AH13" s="533"/>
      <c r="AI13" s="533"/>
      <c r="AJ13" s="146"/>
    </row>
    <row r="14" spans="1:36" ht="15.95" customHeight="1" outlineLevel="1" x14ac:dyDescent="0.3">
      <c r="A14" s="527"/>
      <c r="B14" s="747" t="s">
        <v>3309</v>
      </c>
      <c r="C14" s="747"/>
      <c r="D14" s="909">
        <v>28</v>
      </c>
      <c r="E14" s="909"/>
      <c r="F14" s="747" t="s">
        <v>5926</v>
      </c>
      <c r="G14" s="747"/>
      <c r="H14" s="748" t="s">
        <v>7466</v>
      </c>
      <c r="I14" s="748"/>
      <c r="J14" s="748"/>
      <c r="K14" s="748"/>
      <c r="L14" s="747" t="s">
        <v>6259</v>
      </c>
      <c r="M14" s="747"/>
      <c r="N14" s="907" t="s">
        <v>7472</v>
      </c>
      <c r="O14" s="907"/>
      <c r="P14" s="907"/>
      <c r="Q14" s="907"/>
      <c r="R14" s="907"/>
      <c r="S14" s="907"/>
      <c r="T14" s="907"/>
      <c r="U14" s="527"/>
      <c r="V14" s="870" t="s">
        <v>6293</v>
      </c>
      <c r="W14" s="870"/>
      <c r="X14" s="870"/>
      <c r="Y14" s="870"/>
      <c r="Z14" s="870"/>
      <c r="AA14" s="870"/>
      <c r="AB14" s="870"/>
      <c r="AC14" s="870"/>
      <c r="AD14" s="870"/>
      <c r="AE14" s="870"/>
      <c r="AF14" s="527"/>
      <c r="AG14" s="533"/>
      <c r="AH14" s="533"/>
      <c r="AI14" s="533"/>
      <c r="AJ14" s="146"/>
    </row>
    <row r="15" spans="1:36" ht="15.95" customHeight="1" outlineLevel="1" x14ac:dyDescent="0.3">
      <c r="A15" s="527"/>
      <c r="B15" s="747"/>
      <c r="C15" s="747"/>
      <c r="D15" s="909"/>
      <c r="E15" s="909"/>
      <c r="F15" s="747"/>
      <c r="G15" s="747"/>
      <c r="H15" s="748"/>
      <c r="I15" s="748"/>
      <c r="J15" s="748"/>
      <c r="K15" s="748"/>
      <c r="L15" s="747"/>
      <c r="M15" s="747"/>
      <c r="N15" s="907"/>
      <c r="O15" s="907"/>
      <c r="P15" s="907"/>
      <c r="Q15" s="907"/>
      <c r="R15" s="907"/>
      <c r="S15" s="907"/>
      <c r="T15" s="907"/>
      <c r="U15" s="527"/>
      <c r="V15" s="870"/>
      <c r="W15" s="870"/>
      <c r="X15" s="870"/>
      <c r="Y15" s="870"/>
      <c r="Z15" s="870"/>
      <c r="AA15" s="870"/>
      <c r="AB15" s="870"/>
      <c r="AC15" s="870"/>
      <c r="AD15" s="870"/>
      <c r="AE15" s="870"/>
      <c r="AF15" s="527"/>
      <c r="AG15" s="533"/>
      <c r="AH15" s="533"/>
      <c r="AI15" s="533"/>
      <c r="AJ15" s="146"/>
    </row>
    <row r="16" spans="1:36" ht="15.95" customHeight="1" outlineLevel="1" x14ac:dyDescent="0.3">
      <c r="A16" s="527"/>
      <c r="B16" s="747" t="s">
        <v>3310</v>
      </c>
      <c r="C16" s="747"/>
      <c r="D16" s="909" t="s">
        <v>7464</v>
      </c>
      <c r="E16" s="909"/>
      <c r="F16" s="747" t="s">
        <v>5927</v>
      </c>
      <c r="G16" s="747"/>
      <c r="H16" s="748" t="s">
        <v>7467</v>
      </c>
      <c r="I16" s="748"/>
      <c r="J16" s="748"/>
      <c r="K16" s="748"/>
      <c r="L16" s="527"/>
      <c r="M16" s="527"/>
      <c r="N16" s="907"/>
      <c r="O16" s="907"/>
      <c r="P16" s="907"/>
      <c r="Q16" s="907"/>
      <c r="R16" s="907"/>
      <c r="S16" s="907"/>
      <c r="T16" s="907"/>
      <c r="U16" s="527"/>
      <c r="V16" s="870"/>
      <c r="W16" s="870"/>
      <c r="X16" s="870"/>
      <c r="Y16" s="870"/>
      <c r="Z16" s="870"/>
      <c r="AA16" s="870"/>
      <c r="AB16" s="870"/>
      <c r="AC16" s="870"/>
      <c r="AD16" s="870"/>
      <c r="AE16" s="870"/>
      <c r="AF16" s="527"/>
      <c r="AG16" s="533"/>
      <c r="AH16" s="533"/>
      <c r="AI16" s="533"/>
      <c r="AJ16" s="146"/>
    </row>
    <row r="17" spans="1:36" ht="15.95" customHeight="1" outlineLevel="1" x14ac:dyDescent="0.3">
      <c r="A17" s="527"/>
      <c r="B17" s="747"/>
      <c r="C17" s="747"/>
      <c r="D17" s="909"/>
      <c r="E17" s="909"/>
      <c r="F17" s="747"/>
      <c r="G17" s="747"/>
      <c r="H17" s="748"/>
      <c r="I17" s="748"/>
      <c r="J17" s="748"/>
      <c r="K17" s="748"/>
      <c r="L17" s="527"/>
      <c r="M17" s="527"/>
      <c r="N17" s="907"/>
      <c r="O17" s="907"/>
      <c r="P17" s="907"/>
      <c r="Q17" s="907"/>
      <c r="R17" s="907"/>
      <c r="S17" s="907"/>
      <c r="T17" s="907"/>
      <c r="U17" s="527"/>
      <c r="V17" s="870"/>
      <c r="W17" s="870"/>
      <c r="X17" s="870"/>
      <c r="Y17" s="870"/>
      <c r="Z17" s="870"/>
      <c r="AA17" s="870"/>
      <c r="AB17" s="870"/>
      <c r="AC17" s="870"/>
      <c r="AD17" s="870"/>
      <c r="AE17" s="870"/>
      <c r="AF17" s="527"/>
      <c r="AG17" s="533"/>
      <c r="AH17" s="533"/>
      <c r="AI17" s="533"/>
      <c r="AJ17" s="146"/>
    </row>
    <row r="18" spans="1:36" ht="15.95" customHeight="1" outlineLevel="1" x14ac:dyDescent="0.3">
      <c r="A18" s="527"/>
      <c r="B18" s="747" t="s">
        <v>94</v>
      </c>
      <c r="C18" s="747"/>
      <c r="D18" s="748" t="s">
        <v>7465</v>
      </c>
      <c r="E18" s="748"/>
      <c r="F18" s="747" t="s">
        <v>5928</v>
      </c>
      <c r="G18" s="747"/>
      <c r="H18" s="748" t="s">
        <v>7473</v>
      </c>
      <c r="I18" s="748"/>
      <c r="J18" s="748"/>
      <c r="K18" s="748"/>
      <c r="L18" s="527"/>
      <c r="M18" s="527"/>
      <c r="N18" s="907"/>
      <c r="O18" s="907"/>
      <c r="P18" s="907"/>
      <c r="Q18" s="907"/>
      <c r="R18" s="907"/>
      <c r="S18" s="907"/>
      <c r="T18" s="907"/>
      <c r="U18" s="527"/>
      <c r="V18" s="870"/>
      <c r="W18" s="870"/>
      <c r="X18" s="870"/>
      <c r="Y18" s="870"/>
      <c r="Z18" s="870"/>
      <c r="AA18" s="870"/>
      <c r="AB18" s="870"/>
      <c r="AC18" s="870"/>
      <c r="AD18" s="870"/>
      <c r="AE18" s="870"/>
      <c r="AF18" s="527"/>
      <c r="AG18" s="533"/>
      <c r="AH18" s="533"/>
      <c r="AI18" s="533"/>
      <c r="AJ18" s="146"/>
    </row>
    <row r="19" spans="1:36" ht="15.95" customHeight="1" outlineLevel="1" thickBot="1" x14ac:dyDescent="0.35">
      <c r="A19" s="527"/>
      <c r="B19" s="747"/>
      <c r="C19" s="747"/>
      <c r="D19" s="748"/>
      <c r="E19" s="748"/>
      <c r="F19" s="747"/>
      <c r="G19" s="747"/>
      <c r="H19" s="748"/>
      <c r="I19" s="748"/>
      <c r="J19" s="748"/>
      <c r="K19" s="748"/>
      <c r="L19" s="527"/>
      <c r="M19" s="527"/>
      <c r="N19" s="907"/>
      <c r="O19" s="907"/>
      <c r="P19" s="907"/>
      <c r="Q19" s="907"/>
      <c r="R19" s="907"/>
      <c r="S19" s="907"/>
      <c r="T19" s="907"/>
      <c r="U19" s="527"/>
      <c r="V19" s="870"/>
      <c r="W19" s="870"/>
      <c r="X19" s="870"/>
      <c r="Y19" s="870"/>
      <c r="Z19" s="870"/>
      <c r="AA19" s="870"/>
      <c r="AB19" s="870"/>
      <c r="AC19" s="870"/>
      <c r="AD19" s="870"/>
      <c r="AE19" s="870"/>
      <c r="AF19" s="527"/>
      <c r="AG19" s="533"/>
      <c r="AH19" s="533"/>
      <c r="AI19" s="533"/>
      <c r="AJ19" s="146"/>
    </row>
    <row r="20" spans="1:36" ht="15.95" customHeight="1" outlineLevel="1" thickTop="1" thickBot="1" x14ac:dyDescent="0.4">
      <c r="A20" s="527"/>
      <c r="B20" s="771" t="s">
        <v>6658</v>
      </c>
      <c r="C20" s="772"/>
      <c r="D20" s="772"/>
      <c r="E20" s="773"/>
      <c r="F20" s="527"/>
      <c r="G20" s="527"/>
      <c r="H20" s="527"/>
      <c r="I20" s="527"/>
      <c r="J20" s="527"/>
      <c r="K20" s="527"/>
      <c r="L20" s="527"/>
      <c r="M20" s="527"/>
      <c r="N20" s="527"/>
      <c r="O20" s="527"/>
      <c r="P20" s="527"/>
      <c r="Q20" s="527"/>
      <c r="R20" s="527"/>
      <c r="S20" s="527"/>
      <c r="T20" s="527"/>
      <c r="U20" s="527"/>
      <c r="Z20" s="527"/>
      <c r="AA20" s="527"/>
      <c r="AB20" s="527"/>
      <c r="AC20" s="527"/>
      <c r="AD20" s="527"/>
      <c r="AE20" s="527"/>
      <c r="AF20" s="534"/>
      <c r="AG20" s="533"/>
      <c r="AH20" s="533"/>
      <c r="AI20" s="533"/>
      <c r="AJ20" s="146"/>
    </row>
    <row r="21" spans="1:36" ht="15.95" customHeight="1" thickTop="1" x14ac:dyDescent="0.35">
      <c r="A21" s="527"/>
      <c r="B21" s="749" t="s">
        <v>2235</v>
      </c>
      <c r="C21" s="749"/>
      <c r="D21" s="749"/>
      <c r="E21" s="749"/>
      <c r="F21" s="749"/>
      <c r="G21" s="749"/>
      <c r="H21" s="749"/>
      <c r="I21" s="749"/>
      <c r="J21" s="749"/>
      <c r="K21" s="749"/>
      <c r="L21" s="749"/>
      <c r="M21" s="749"/>
      <c r="N21" s="749"/>
      <c r="O21" s="749"/>
      <c r="P21" s="749"/>
      <c r="Q21" s="749"/>
      <c r="R21" s="749"/>
      <c r="S21" s="749"/>
      <c r="T21" s="749"/>
      <c r="U21" s="749"/>
      <c r="V21" s="749"/>
      <c r="W21" s="749"/>
      <c r="X21" s="749"/>
      <c r="Y21" s="749"/>
      <c r="Z21" s="749"/>
      <c r="AA21" s="749"/>
      <c r="AB21" s="749"/>
      <c r="AC21" s="749"/>
      <c r="AD21" s="749"/>
      <c r="AE21" s="749"/>
      <c r="AF21" s="534"/>
      <c r="AG21" s="533"/>
      <c r="AH21" s="533"/>
      <c r="AI21" s="533"/>
      <c r="AJ21" s="146"/>
    </row>
    <row r="22" spans="1:36" ht="15.95" customHeight="1" x14ac:dyDescent="0.35">
      <c r="A22" s="527"/>
      <c r="B22" s="749"/>
      <c r="C22" s="749"/>
      <c r="D22" s="749"/>
      <c r="E22" s="749"/>
      <c r="F22" s="749"/>
      <c r="G22" s="749"/>
      <c r="H22" s="749"/>
      <c r="I22" s="749"/>
      <c r="J22" s="749"/>
      <c r="K22" s="749"/>
      <c r="L22" s="749"/>
      <c r="M22" s="749"/>
      <c r="N22" s="749"/>
      <c r="O22" s="749"/>
      <c r="P22" s="749"/>
      <c r="Q22" s="749"/>
      <c r="R22" s="749"/>
      <c r="S22" s="749"/>
      <c r="T22" s="749"/>
      <c r="U22" s="749"/>
      <c r="V22" s="749"/>
      <c r="W22" s="749"/>
      <c r="X22" s="749"/>
      <c r="Y22" s="749"/>
      <c r="Z22" s="749"/>
      <c r="AA22" s="749"/>
      <c r="AB22" s="749"/>
      <c r="AC22" s="749"/>
      <c r="AD22" s="749"/>
      <c r="AE22" s="749"/>
      <c r="AF22" s="534"/>
      <c r="AG22" s="533"/>
      <c r="AH22" s="533"/>
      <c r="AI22" s="533"/>
      <c r="AJ22" s="146"/>
    </row>
    <row r="23" spans="1:36" ht="15.95" customHeight="1" outlineLevel="1" x14ac:dyDescent="0.35">
      <c r="A23" s="527"/>
      <c r="B23" s="527"/>
      <c r="C23" s="527"/>
      <c r="D23" s="527"/>
      <c r="E23" s="527"/>
      <c r="F23" s="527"/>
      <c r="G23" s="527"/>
      <c r="H23" s="527"/>
      <c r="I23" s="527"/>
      <c r="J23" s="527"/>
      <c r="K23" s="527"/>
      <c r="L23" s="527"/>
      <c r="M23" s="527"/>
      <c r="N23" s="527"/>
      <c r="O23" s="527"/>
      <c r="P23" s="527"/>
      <c r="Q23" s="527"/>
      <c r="R23" s="527"/>
      <c r="S23" s="527"/>
      <c r="T23" s="527"/>
      <c r="U23" s="527"/>
      <c r="V23" s="527"/>
      <c r="W23" s="527"/>
      <c r="X23" s="527"/>
      <c r="Y23" s="527"/>
      <c r="Z23" s="527"/>
      <c r="AA23" s="527"/>
      <c r="AB23" s="527"/>
      <c r="AC23" s="527"/>
      <c r="AD23" s="527"/>
      <c r="AE23" s="527"/>
      <c r="AF23" s="534"/>
      <c r="AG23" s="533"/>
      <c r="AH23" s="533"/>
      <c r="AI23" s="533"/>
      <c r="AJ23" s="146"/>
    </row>
    <row r="24" spans="1:36" ht="15.95" customHeight="1" outlineLevel="1" x14ac:dyDescent="0.35">
      <c r="A24" s="527"/>
      <c r="B24" s="917" t="str">
        <f>IF(IFERROR(INDEX(T02_Backgrounds!R2:R101,SelectedBackgroundId,1),"")=0,"",IFERROR(INDEX(T02_Backgrounds!R2:R101,SelectedBackgroundId,1),""))</f>
        <v>Specialty</v>
      </c>
      <c r="C24" s="917"/>
      <c r="D24" s="911" t="s">
        <v>1025</v>
      </c>
      <c r="E24" s="911"/>
      <c r="F24" s="911"/>
      <c r="G24" s="911"/>
      <c r="H24" s="911"/>
      <c r="I24" s="911"/>
      <c r="J24" s="911"/>
      <c r="K24" s="527"/>
      <c r="L24" s="711" t="s">
        <v>520</v>
      </c>
      <c r="M24" s="711"/>
      <c r="N24" s="910" t="s">
        <v>677</v>
      </c>
      <c r="O24" s="910"/>
      <c r="P24" s="910"/>
      <c r="Q24" s="910"/>
      <c r="R24" s="910"/>
      <c r="S24" s="910"/>
      <c r="T24" s="910"/>
      <c r="U24" s="527"/>
      <c r="V24" s="711" t="s">
        <v>7481</v>
      </c>
      <c r="W24" s="711"/>
      <c r="X24" s="910" t="s">
        <v>851</v>
      </c>
      <c r="Y24" s="910"/>
      <c r="Z24" s="910"/>
      <c r="AA24" s="910"/>
      <c r="AB24" s="910"/>
      <c r="AC24" s="910"/>
      <c r="AD24" s="910"/>
      <c r="AE24" s="527"/>
      <c r="AF24" s="534"/>
      <c r="AG24" s="533"/>
      <c r="AH24" s="533"/>
      <c r="AI24" s="533"/>
      <c r="AJ24" s="146"/>
    </row>
    <row r="25" spans="1:36" ht="15.95" customHeight="1" outlineLevel="1" x14ac:dyDescent="0.35">
      <c r="A25" s="527"/>
      <c r="B25" s="917"/>
      <c r="C25" s="917"/>
      <c r="D25" s="911"/>
      <c r="E25" s="911"/>
      <c r="F25" s="911"/>
      <c r="G25" s="911"/>
      <c r="H25" s="911"/>
      <c r="I25" s="911"/>
      <c r="J25" s="911"/>
      <c r="K25" s="527"/>
      <c r="L25" s="711"/>
      <c r="M25" s="711"/>
      <c r="N25" s="910"/>
      <c r="O25" s="910"/>
      <c r="P25" s="910"/>
      <c r="Q25" s="910"/>
      <c r="R25" s="910"/>
      <c r="S25" s="910"/>
      <c r="T25" s="910"/>
      <c r="U25" s="527"/>
      <c r="V25" s="711"/>
      <c r="W25" s="711"/>
      <c r="X25" s="910"/>
      <c r="Y25" s="910"/>
      <c r="Z25" s="910"/>
      <c r="AA25" s="910"/>
      <c r="AB25" s="910"/>
      <c r="AC25" s="910"/>
      <c r="AD25" s="910"/>
      <c r="AE25" s="527"/>
      <c r="AF25" s="534"/>
      <c r="AG25" s="533"/>
      <c r="AH25" s="533"/>
      <c r="AI25" s="533"/>
      <c r="AJ25" s="146"/>
    </row>
    <row r="26" spans="1:36" ht="15.95" customHeight="1" outlineLevel="1" x14ac:dyDescent="0.35">
      <c r="A26" s="527"/>
      <c r="B26" s="527"/>
      <c r="C26" s="527"/>
      <c r="D26" s="527"/>
      <c r="E26" s="527"/>
      <c r="F26" s="527"/>
      <c r="G26" s="527"/>
      <c r="H26" s="527"/>
      <c r="I26" s="527"/>
      <c r="J26" s="527"/>
      <c r="K26" s="527"/>
      <c r="L26" s="711"/>
      <c r="M26" s="711"/>
      <c r="N26" s="910"/>
      <c r="O26" s="910"/>
      <c r="P26" s="910"/>
      <c r="Q26" s="910"/>
      <c r="R26" s="910"/>
      <c r="S26" s="910"/>
      <c r="T26" s="910"/>
      <c r="U26" s="527"/>
      <c r="V26" s="711"/>
      <c r="W26" s="711"/>
      <c r="X26" s="910"/>
      <c r="Y26" s="910"/>
      <c r="Z26" s="910"/>
      <c r="AA26" s="910"/>
      <c r="AB26" s="910"/>
      <c r="AC26" s="910"/>
      <c r="AD26" s="910"/>
      <c r="AE26" s="527"/>
      <c r="AF26" s="534"/>
      <c r="AG26" s="533"/>
      <c r="AH26" s="533"/>
      <c r="AI26" s="533"/>
      <c r="AJ26" s="146"/>
    </row>
    <row r="27" spans="1:36" ht="15.95" customHeight="1" outlineLevel="1" x14ac:dyDescent="0.35">
      <c r="A27" s="527"/>
      <c r="B27" s="711" t="s">
        <v>576</v>
      </c>
      <c r="C27" s="711"/>
      <c r="D27" s="910" t="s">
        <v>770</v>
      </c>
      <c r="E27" s="910"/>
      <c r="F27" s="910"/>
      <c r="G27" s="910"/>
      <c r="H27" s="910"/>
      <c r="I27" s="910"/>
      <c r="J27" s="910"/>
      <c r="K27" s="527"/>
      <c r="L27" s="711"/>
      <c r="M27" s="711"/>
      <c r="N27" s="910" t="s">
        <v>675</v>
      </c>
      <c r="O27" s="910"/>
      <c r="P27" s="910"/>
      <c r="Q27" s="910"/>
      <c r="R27" s="910"/>
      <c r="S27" s="910"/>
      <c r="T27" s="910"/>
      <c r="U27" s="527"/>
      <c r="V27" s="527"/>
      <c r="W27" s="527"/>
      <c r="X27" s="527"/>
      <c r="Y27" s="527"/>
      <c r="Z27" s="527"/>
      <c r="AA27" s="527"/>
      <c r="AB27" s="527"/>
      <c r="AC27" s="527"/>
      <c r="AD27" s="527"/>
      <c r="AE27" s="527"/>
      <c r="AF27" s="534"/>
      <c r="AG27" s="533"/>
      <c r="AH27" s="533"/>
      <c r="AI27" s="533"/>
      <c r="AJ27" s="146"/>
    </row>
    <row r="28" spans="1:36" ht="15.95" customHeight="1" outlineLevel="1" x14ac:dyDescent="0.35">
      <c r="A28" s="527"/>
      <c r="B28" s="711"/>
      <c r="C28" s="711"/>
      <c r="D28" s="910"/>
      <c r="E28" s="910"/>
      <c r="F28" s="910"/>
      <c r="G28" s="910"/>
      <c r="H28" s="910"/>
      <c r="I28" s="910"/>
      <c r="J28" s="910"/>
      <c r="K28" s="527"/>
      <c r="L28" s="711"/>
      <c r="M28" s="711"/>
      <c r="N28" s="910"/>
      <c r="O28" s="910"/>
      <c r="P28" s="910"/>
      <c r="Q28" s="910"/>
      <c r="R28" s="910"/>
      <c r="S28" s="910"/>
      <c r="T28" s="910"/>
      <c r="U28" s="527"/>
      <c r="V28" s="527"/>
      <c r="W28" s="527"/>
      <c r="X28" s="527"/>
      <c r="Y28" s="527"/>
      <c r="Z28" s="527"/>
      <c r="AA28" s="527"/>
      <c r="AB28" s="527"/>
      <c r="AC28" s="527"/>
      <c r="AD28" s="527"/>
      <c r="AE28" s="527"/>
      <c r="AF28" s="534"/>
      <c r="AG28" s="533"/>
      <c r="AH28" s="533"/>
      <c r="AI28" s="533"/>
      <c r="AJ28" s="146"/>
    </row>
    <row r="29" spans="1:36" ht="15.95" customHeight="1" outlineLevel="1" x14ac:dyDescent="0.35">
      <c r="A29" s="527"/>
      <c r="B29" s="711"/>
      <c r="C29" s="711"/>
      <c r="D29" s="910"/>
      <c r="E29" s="910"/>
      <c r="F29" s="910"/>
      <c r="G29" s="910"/>
      <c r="H29" s="910"/>
      <c r="I29" s="910"/>
      <c r="J29" s="910"/>
      <c r="K29" s="527"/>
      <c r="L29" s="711"/>
      <c r="M29" s="711"/>
      <c r="N29" s="910"/>
      <c r="O29" s="910"/>
      <c r="P29" s="910"/>
      <c r="Q29" s="910"/>
      <c r="R29" s="910"/>
      <c r="S29" s="910"/>
      <c r="T29" s="910"/>
      <c r="U29" s="527"/>
      <c r="V29" s="527"/>
      <c r="W29" s="527"/>
      <c r="X29" s="527"/>
      <c r="Y29" s="527"/>
      <c r="Z29" s="527"/>
      <c r="AA29" s="527"/>
      <c r="AB29" s="527"/>
      <c r="AC29" s="527"/>
      <c r="AD29" s="527"/>
      <c r="AE29" s="527"/>
      <c r="AF29" s="534"/>
      <c r="AG29" s="533"/>
      <c r="AH29" s="533"/>
      <c r="AI29" s="533"/>
      <c r="AJ29" s="146"/>
    </row>
    <row r="30" spans="1:36" ht="15.95" customHeight="1" outlineLevel="1" x14ac:dyDescent="0.35">
      <c r="A30" s="527"/>
      <c r="B30" s="711" t="s">
        <v>577</v>
      </c>
      <c r="C30" s="711"/>
      <c r="D30" s="910" t="s">
        <v>851</v>
      </c>
      <c r="E30" s="910"/>
      <c r="F30" s="910"/>
      <c r="G30" s="910"/>
      <c r="H30" s="910"/>
      <c r="I30" s="910"/>
      <c r="J30" s="910"/>
      <c r="K30" s="527"/>
      <c r="L30" s="711" t="s">
        <v>578</v>
      </c>
      <c r="M30" s="711"/>
      <c r="N30" s="910" t="s">
        <v>927</v>
      </c>
      <c r="O30" s="910"/>
      <c r="P30" s="910"/>
      <c r="Q30" s="910"/>
      <c r="R30" s="910"/>
      <c r="S30" s="910"/>
      <c r="T30" s="910"/>
      <c r="U30" s="527"/>
      <c r="V30" s="527"/>
      <c r="W30" s="527"/>
      <c r="X30" s="527"/>
      <c r="Y30" s="527"/>
      <c r="Z30" s="527"/>
      <c r="AA30" s="527"/>
      <c r="AB30" s="527"/>
      <c r="AC30" s="527"/>
      <c r="AD30" s="527"/>
      <c r="AE30" s="527"/>
      <c r="AF30" s="534"/>
      <c r="AG30" s="533"/>
      <c r="AH30" s="533"/>
      <c r="AI30" s="533"/>
      <c r="AJ30" s="146"/>
    </row>
    <row r="31" spans="1:36" ht="15.95" customHeight="1" outlineLevel="1" x14ac:dyDescent="0.35">
      <c r="A31" s="527"/>
      <c r="B31" s="711"/>
      <c r="C31" s="711"/>
      <c r="D31" s="910"/>
      <c r="E31" s="910"/>
      <c r="F31" s="910"/>
      <c r="G31" s="910"/>
      <c r="H31" s="910"/>
      <c r="I31" s="910"/>
      <c r="J31" s="910"/>
      <c r="K31" s="527"/>
      <c r="L31" s="711"/>
      <c r="M31" s="711"/>
      <c r="N31" s="910"/>
      <c r="O31" s="910"/>
      <c r="P31" s="910"/>
      <c r="Q31" s="910"/>
      <c r="R31" s="910"/>
      <c r="S31" s="910"/>
      <c r="T31" s="910"/>
      <c r="U31" s="527"/>
      <c r="V31" s="527"/>
      <c r="W31" s="527"/>
      <c r="X31" s="527"/>
      <c r="Y31" s="527"/>
      <c r="Z31" s="527"/>
      <c r="AA31" s="527"/>
      <c r="AB31" s="527"/>
      <c r="AC31" s="527"/>
      <c r="AD31" s="527"/>
      <c r="AE31" s="527"/>
      <c r="AF31" s="534"/>
      <c r="AG31" s="533"/>
      <c r="AH31" s="533"/>
      <c r="AI31" s="533"/>
      <c r="AJ31" s="146"/>
    </row>
    <row r="32" spans="1:36" ht="15.95" customHeight="1" outlineLevel="1" x14ac:dyDescent="0.35">
      <c r="A32" s="527"/>
      <c r="B32" s="711"/>
      <c r="C32" s="711"/>
      <c r="D32" s="910"/>
      <c r="E32" s="910"/>
      <c r="F32" s="910"/>
      <c r="G32" s="910"/>
      <c r="H32" s="910"/>
      <c r="I32" s="910"/>
      <c r="J32" s="910"/>
      <c r="K32" s="527"/>
      <c r="L32" s="711"/>
      <c r="M32" s="711"/>
      <c r="N32" s="910"/>
      <c r="O32" s="910"/>
      <c r="P32" s="910"/>
      <c r="Q32" s="910"/>
      <c r="R32" s="910"/>
      <c r="S32" s="910"/>
      <c r="T32" s="910"/>
      <c r="U32" s="527"/>
      <c r="V32" s="527"/>
      <c r="W32" s="527"/>
      <c r="X32" s="527"/>
      <c r="Y32" s="527"/>
      <c r="Z32" s="527"/>
      <c r="AA32" s="527"/>
      <c r="AB32" s="527"/>
      <c r="AC32" s="527"/>
      <c r="AD32" s="527"/>
      <c r="AE32" s="527"/>
      <c r="AF32" s="534"/>
      <c r="AG32" s="533"/>
      <c r="AH32" s="533"/>
      <c r="AI32" s="533"/>
      <c r="AJ32" s="146"/>
    </row>
    <row r="33" spans="1:156" ht="15.95" customHeight="1" outlineLevel="1" x14ac:dyDescent="0.35">
      <c r="A33" s="527"/>
      <c r="B33" s="527"/>
      <c r="C33" s="527"/>
      <c r="D33" s="527"/>
      <c r="E33" s="527"/>
      <c r="F33" s="527"/>
      <c r="G33" s="527"/>
      <c r="H33" s="527"/>
      <c r="I33" s="527"/>
      <c r="J33" s="527"/>
      <c r="K33" s="527"/>
      <c r="L33" s="527"/>
      <c r="M33" s="527"/>
      <c r="N33" s="527"/>
      <c r="O33" s="527"/>
      <c r="P33" s="527"/>
      <c r="Q33" s="527"/>
      <c r="R33" s="527"/>
      <c r="S33" s="527"/>
      <c r="T33" s="527"/>
      <c r="U33" s="527"/>
      <c r="V33" s="527"/>
      <c r="W33" s="527"/>
      <c r="X33" s="527"/>
      <c r="Y33" s="527"/>
      <c r="Z33" s="527"/>
      <c r="AA33" s="527"/>
      <c r="AB33" s="527"/>
      <c r="AC33" s="527"/>
      <c r="AD33" s="527"/>
      <c r="AE33" s="527"/>
      <c r="AF33" s="534"/>
      <c r="AG33" s="533"/>
      <c r="AH33" s="533"/>
      <c r="AI33" s="533"/>
      <c r="AJ33" s="146"/>
    </row>
    <row r="34" spans="1:156" ht="15.95" customHeight="1" outlineLevel="1" x14ac:dyDescent="0.35">
      <c r="A34" s="527"/>
      <c r="B34" s="711" t="s">
        <v>3329</v>
      </c>
      <c r="C34" s="711"/>
      <c r="D34" s="918" t="str">
        <f>IFERROR(INDEX(T02_Backgrounds!P2:P101,SelectedBackgroundId,1),"")</f>
        <v>Researcher</v>
      </c>
      <c r="E34" s="918"/>
      <c r="F34" s="918"/>
      <c r="G34" s="918"/>
      <c r="H34" s="864" t="str">
        <f>IFERROR(INDEX(T02_Backgrounds!Q2:Q101,SelectedBackgroundId,1),"")</f>
        <v>When you attempt to learn or recall a piece of lore, if you do not know that information, you often know where and from whom you can obtain it.</v>
      </c>
      <c r="I34" s="864"/>
      <c r="J34" s="864"/>
      <c r="K34" s="864"/>
      <c r="L34" s="864"/>
      <c r="M34" s="864"/>
      <c r="N34" s="864"/>
      <c r="O34" s="864"/>
      <c r="P34" s="864"/>
      <c r="Q34" s="864"/>
      <c r="R34" s="864"/>
      <c r="S34" s="864"/>
      <c r="T34" s="864"/>
      <c r="U34" s="527"/>
      <c r="V34" s="870" t="s">
        <v>7480</v>
      </c>
      <c r="W34" s="870"/>
      <c r="X34" s="870"/>
      <c r="Y34" s="870"/>
      <c r="Z34" s="870"/>
      <c r="AA34" s="870"/>
      <c r="AB34" s="870"/>
      <c r="AC34" s="870"/>
      <c r="AD34" s="870"/>
      <c r="AE34" s="870"/>
      <c r="AF34" s="534"/>
      <c r="AG34" s="533"/>
      <c r="AH34" s="533"/>
      <c r="AI34" s="533"/>
      <c r="AJ34" s="146"/>
    </row>
    <row r="35" spans="1:156" ht="15.95" customHeight="1" outlineLevel="1" x14ac:dyDescent="0.35">
      <c r="A35" s="527"/>
      <c r="B35" s="711"/>
      <c r="C35" s="711"/>
      <c r="D35" s="918"/>
      <c r="E35" s="918"/>
      <c r="F35" s="918"/>
      <c r="G35" s="918"/>
      <c r="H35" s="864"/>
      <c r="I35" s="864"/>
      <c r="J35" s="864"/>
      <c r="K35" s="864"/>
      <c r="L35" s="864"/>
      <c r="M35" s="864"/>
      <c r="N35" s="864"/>
      <c r="O35" s="864"/>
      <c r="P35" s="864"/>
      <c r="Q35" s="864"/>
      <c r="R35" s="864"/>
      <c r="S35" s="864"/>
      <c r="T35" s="864"/>
      <c r="U35" s="527"/>
      <c r="V35" s="870"/>
      <c r="W35" s="870"/>
      <c r="X35" s="870"/>
      <c r="Y35" s="870"/>
      <c r="Z35" s="870"/>
      <c r="AA35" s="870"/>
      <c r="AB35" s="870"/>
      <c r="AC35" s="870"/>
      <c r="AD35" s="870"/>
      <c r="AE35" s="870"/>
      <c r="AF35" s="534"/>
      <c r="AG35" s="533"/>
      <c r="AH35" s="533"/>
      <c r="AI35" s="533"/>
      <c r="AJ35" s="146"/>
    </row>
    <row r="36" spans="1:156" ht="15.95" customHeight="1" outlineLevel="1" x14ac:dyDescent="0.35">
      <c r="A36" s="527"/>
      <c r="B36" s="711"/>
      <c r="C36" s="711"/>
      <c r="D36" s="918"/>
      <c r="E36" s="918"/>
      <c r="F36" s="918"/>
      <c r="G36" s="918"/>
      <c r="H36" s="864"/>
      <c r="I36" s="864"/>
      <c r="J36" s="864"/>
      <c r="K36" s="864"/>
      <c r="L36" s="864"/>
      <c r="M36" s="864"/>
      <c r="N36" s="864"/>
      <c r="O36" s="864"/>
      <c r="P36" s="864"/>
      <c r="Q36" s="864"/>
      <c r="R36" s="864"/>
      <c r="S36" s="864"/>
      <c r="T36" s="864"/>
      <c r="U36" s="527"/>
      <c r="V36" s="870"/>
      <c r="W36" s="870"/>
      <c r="X36" s="870"/>
      <c r="Y36" s="870"/>
      <c r="Z36" s="870"/>
      <c r="AA36" s="870"/>
      <c r="AB36" s="870"/>
      <c r="AC36" s="870"/>
      <c r="AD36" s="870"/>
      <c r="AE36" s="870"/>
      <c r="AF36" s="534"/>
      <c r="AG36" s="533"/>
      <c r="AH36" s="533"/>
      <c r="AI36" s="533"/>
      <c r="AJ36" s="14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row>
    <row r="37" spans="1:156" ht="15.95" customHeight="1" outlineLevel="1" collapsed="1" thickBot="1" x14ac:dyDescent="0.4">
      <c r="A37" s="527"/>
      <c r="B37" s="527"/>
      <c r="C37" s="527"/>
      <c r="D37" s="527"/>
      <c r="E37" s="527"/>
      <c r="F37" s="527"/>
      <c r="G37" s="527"/>
      <c r="H37" s="527"/>
      <c r="I37" s="527"/>
      <c r="J37" s="527"/>
      <c r="K37" s="527"/>
      <c r="L37" s="527"/>
      <c r="M37" s="527"/>
      <c r="N37" s="527"/>
      <c r="O37" s="527"/>
      <c r="P37" s="527"/>
      <c r="Q37" s="527"/>
      <c r="R37" s="527"/>
      <c r="S37" s="527"/>
      <c r="T37" s="527"/>
      <c r="U37" s="527"/>
      <c r="Z37" s="527"/>
      <c r="AA37" s="527"/>
      <c r="AB37" s="527"/>
      <c r="AC37" s="527"/>
      <c r="AD37" s="527"/>
      <c r="AE37" s="527"/>
      <c r="AF37" s="534"/>
      <c r="AG37" s="533"/>
      <c r="AH37" s="533"/>
      <c r="AI37" s="533"/>
      <c r="AJ37" s="146"/>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row>
    <row r="38" spans="1:156" ht="15.95" customHeight="1" outlineLevel="1" thickTop="1" thickBot="1" x14ac:dyDescent="0.4">
      <c r="A38" s="527"/>
      <c r="B38" s="771" t="s">
        <v>6658</v>
      </c>
      <c r="C38" s="772"/>
      <c r="D38" s="772"/>
      <c r="E38" s="773"/>
      <c r="F38" s="527"/>
      <c r="G38" s="527"/>
      <c r="H38" s="527"/>
      <c r="I38" s="527"/>
      <c r="J38" s="527"/>
      <c r="K38" s="527"/>
      <c r="L38" s="527"/>
      <c r="M38" s="527"/>
      <c r="N38" s="527"/>
      <c r="O38" s="527"/>
      <c r="P38" s="527"/>
      <c r="Q38" s="527"/>
      <c r="R38" s="527"/>
      <c r="S38" s="527"/>
      <c r="T38" s="527"/>
      <c r="U38" s="527"/>
      <c r="Z38" s="527"/>
      <c r="AA38" s="527"/>
      <c r="AB38" s="527"/>
      <c r="AC38" s="527"/>
      <c r="AD38" s="527"/>
      <c r="AE38" s="527"/>
      <c r="AF38" s="534"/>
      <c r="AG38" s="533"/>
      <c r="AH38" s="533"/>
      <c r="AI38" s="533"/>
      <c r="AJ38" s="146"/>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row>
    <row r="39" spans="1:156" ht="15.95" customHeight="1" outlineLevel="1" thickTop="1" x14ac:dyDescent="0.35">
      <c r="A39" s="527"/>
      <c r="B39" s="527"/>
      <c r="C39" s="527"/>
      <c r="D39" s="527"/>
      <c r="E39" s="527"/>
      <c r="F39" s="527"/>
      <c r="G39" s="527"/>
      <c r="H39" s="527"/>
      <c r="I39" s="527"/>
      <c r="J39" s="527"/>
      <c r="K39" s="527"/>
      <c r="L39" s="527"/>
      <c r="M39" s="527"/>
      <c r="N39" s="527"/>
      <c r="O39" s="527"/>
      <c r="P39" s="527"/>
      <c r="Q39" s="527"/>
      <c r="R39" s="527"/>
      <c r="S39" s="527"/>
      <c r="T39" s="527"/>
      <c r="U39" s="527"/>
      <c r="Z39" s="527"/>
      <c r="AA39" s="527"/>
      <c r="AB39" s="527"/>
      <c r="AC39" s="527"/>
      <c r="AD39" s="527"/>
      <c r="AE39" s="527"/>
      <c r="AF39" s="534"/>
      <c r="AG39" s="533"/>
      <c r="AH39" s="533"/>
      <c r="AI39" s="533"/>
      <c r="AJ39" s="146"/>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row>
    <row r="40" spans="1:156" ht="15.95" customHeight="1" x14ac:dyDescent="0.35">
      <c r="A40" s="527"/>
      <c r="B40" s="749" t="s">
        <v>2234</v>
      </c>
      <c r="C40" s="749"/>
      <c r="D40" s="749"/>
      <c r="E40" s="749"/>
      <c r="F40" s="749"/>
      <c r="G40" s="749"/>
      <c r="H40" s="749"/>
      <c r="I40" s="749"/>
      <c r="J40" s="749"/>
      <c r="K40" s="749"/>
      <c r="L40" s="749"/>
      <c r="M40" s="749"/>
      <c r="N40" s="749"/>
      <c r="O40" s="749"/>
      <c r="P40" s="749"/>
      <c r="Q40" s="749"/>
      <c r="R40" s="749"/>
      <c r="S40" s="749"/>
      <c r="T40" s="749"/>
      <c r="U40" s="749"/>
      <c r="V40" s="749"/>
      <c r="W40" s="749"/>
      <c r="X40" s="749"/>
      <c r="Y40" s="749"/>
      <c r="Z40" s="749"/>
      <c r="AA40" s="749"/>
      <c r="AB40" s="749"/>
      <c r="AC40" s="749"/>
      <c r="AD40" s="749"/>
      <c r="AE40" s="749"/>
      <c r="AF40" s="534"/>
      <c r="AG40" s="533"/>
      <c r="AH40" s="533"/>
      <c r="AI40" s="533"/>
      <c r="AJ40" s="146"/>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row>
    <row r="41" spans="1:156" ht="15.95" customHeight="1" x14ac:dyDescent="0.35">
      <c r="A41" s="527"/>
      <c r="B41" s="749"/>
      <c r="C41" s="749"/>
      <c r="D41" s="749"/>
      <c r="E41" s="749"/>
      <c r="F41" s="749"/>
      <c r="G41" s="749"/>
      <c r="H41" s="749"/>
      <c r="I41" s="749"/>
      <c r="J41" s="749"/>
      <c r="K41" s="749"/>
      <c r="L41" s="749"/>
      <c r="M41" s="749"/>
      <c r="N41" s="749"/>
      <c r="O41" s="749"/>
      <c r="P41" s="749"/>
      <c r="Q41" s="749"/>
      <c r="R41" s="749"/>
      <c r="S41" s="749"/>
      <c r="T41" s="749"/>
      <c r="U41" s="749"/>
      <c r="V41" s="749"/>
      <c r="W41" s="749"/>
      <c r="X41" s="749"/>
      <c r="Y41" s="749"/>
      <c r="Z41" s="749"/>
      <c r="AA41" s="749"/>
      <c r="AB41" s="749"/>
      <c r="AC41" s="749"/>
      <c r="AD41" s="749"/>
      <c r="AE41" s="749"/>
      <c r="AF41" s="534"/>
      <c r="AG41" s="533"/>
      <c r="AH41" s="533"/>
      <c r="AI41" s="533"/>
      <c r="AJ41" s="146"/>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row>
    <row r="42" spans="1:156" ht="15.95" customHeight="1" outlineLevel="1" x14ac:dyDescent="0.3">
      <c r="A42" s="527"/>
      <c r="B42" s="527"/>
      <c r="C42" s="527"/>
      <c r="D42" s="527"/>
      <c r="E42" s="527"/>
      <c r="F42" s="527"/>
      <c r="G42" s="527"/>
      <c r="H42" s="527"/>
      <c r="I42" s="527"/>
      <c r="J42" s="527"/>
      <c r="K42" s="527"/>
      <c r="L42" s="527"/>
      <c r="M42" s="527"/>
      <c r="N42" s="527"/>
      <c r="O42" s="527"/>
      <c r="P42" s="527"/>
      <c r="Q42" s="527"/>
      <c r="R42" s="527"/>
      <c r="S42" s="527"/>
      <c r="T42" s="527"/>
      <c r="U42" s="527"/>
      <c r="V42" s="527"/>
      <c r="W42" s="527"/>
      <c r="X42" s="527"/>
      <c r="Y42" s="527"/>
      <c r="Z42" s="527"/>
      <c r="AA42" s="881" t="s">
        <v>161</v>
      </c>
      <c r="AB42" s="881"/>
      <c r="AC42" s="912" t="s">
        <v>6194</v>
      </c>
      <c r="AD42" s="912"/>
      <c r="AE42" s="912"/>
      <c r="AF42" s="912"/>
      <c r="AG42" s="533"/>
      <c r="AH42" s="533"/>
      <c r="AI42" s="533"/>
      <c r="AJ42" s="146"/>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row>
    <row r="43" spans="1:156" ht="15.95" customHeight="1" outlineLevel="1" x14ac:dyDescent="0.3">
      <c r="A43" s="527"/>
      <c r="B43" s="527"/>
      <c r="C43" s="528" t="s">
        <v>601</v>
      </c>
      <c r="D43" s="527"/>
      <c r="E43" s="528" t="s">
        <v>602</v>
      </c>
      <c r="F43" s="527"/>
      <c r="G43" s="528" t="s">
        <v>604</v>
      </c>
      <c r="H43" s="527"/>
      <c r="I43" s="528" t="s">
        <v>3307</v>
      </c>
      <c r="J43" s="527"/>
      <c r="K43" s="528" t="s">
        <v>6220</v>
      </c>
      <c r="L43" s="527"/>
      <c r="M43" s="707" t="s">
        <v>7477</v>
      </c>
      <c r="N43" s="527"/>
      <c r="O43" s="528" t="s">
        <v>2257</v>
      </c>
      <c r="P43" s="527"/>
      <c r="Q43" s="527"/>
      <c r="R43" s="984" t="s">
        <v>6493</v>
      </c>
      <c r="S43" s="984"/>
      <c r="T43" s="527"/>
      <c r="U43" s="527"/>
      <c r="V43" s="527"/>
      <c r="W43" s="527"/>
      <c r="X43" s="527"/>
      <c r="Y43" s="527"/>
      <c r="Z43" s="527"/>
      <c r="AA43" s="881"/>
      <c r="AB43" s="881"/>
      <c r="AC43" s="912"/>
      <c r="AD43" s="912"/>
      <c r="AE43" s="912"/>
      <c r="AF43" s="912"/>
      <c r="AG43" s="533"/>
      <c r="AH43" s="533"/>
      <c r="AI43" s="533"/>
      <c r="AJ43" s="146"/>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row>
    <row r="44" spans="1:156" ht="15.95" customHeight="1" outlineLevel="1" x14ac:dyDescent="0.3">
      <c r="A44" s="527"/>
      <c r="B44" s="751" t="s">
        <v>113</v>
      </c>
      <c r="C44" s="779">
        <v>14.00005</v>
      </c>
      <c r="D44" s="897" t="s">
        <v>603</v>
      </c>
      <c r="E44" s="916">
        <f>IFERROR(INDEX(T01_Races!$K$2:$K$101,MATCH(SelectedRaceID,T01_Races!$A$2:$A$101,0),1),"")</f>
        <v>0</v>
      </c>
      <c r="F44" s="897" t="s">
        <v>603</v>
      </c>
      <c r="G44" s="779">
        <v>1</v>
      </c>
      <c r="H44" s="897" t="s">
        <v>603</v>
      </c>
      <c r="I44" s="898"/>
      <c r="J44" s="897" t="s">
        <v>603</v>
      </c>
      <c r="K44" s="779">
        <v>5</v>
      </c>
      <c r="L44" s="897" t="s">
        <v>603</v>
      </c>
      <c r="M44" s="752"/>
      <c r="N44" s="897" t="s">
        <v>605</v>
      </c>
      <c r="O44" s="905">
        <f>IFERROR(INT(BaseStr+E44+G44+I44+K44),"")</f>
        <v>20</v>
      </c>
      <c r="P44" s="753">
        <f>IFERROR(IF(O44&gt;10,ROUNDDOWN((O44-10)/2,0),ROUND((O44-10)/2,0)),"")</f>
        <v>5</v>
      </c>
      <c r="Q44" s="527"/>
      <c r="R44" s="915"/>
      <c r="S44" s="916" t="str">
        <f>IF(R44="","",IFERROR(IF(R44&gt;10,ROUNDDOWN((R44-10)/2,0),ROUND((R44-10)/2,0)),""))</f>
        <v/>
      </c>
      <c r="T44" s="527"/>
      <c r="U44" s="900">
        <f>IF(R44="",O44,R44)</f>
        <v>20</v>
      </c>
      <c r="V44" s="899">
        <f>IFERROR(IF(U44&gt;10,ROUNDDOWN((U44-10)/2,0),ROUND((U44-10)/2,0)),"")</f>
        <v>5</v>
      </c>
      <c r="W44" s="527"/>
      <c r="X44" s="881" t="s">
        <v>606</v>
      </c>
      <c r="Y44" s="881"/>
      <c r="Z44" s="895">
        <f>IFERROR(INDEX(T01_Races!$R$2:$R$101,MATCH(SelectedRaceID,T01_Races!$A$2:$A$101,0),1),"")</f>
        <v>2</v>
      </c>
      <c r="AA44" s="895"/>
      <c r="AB44" s="527"/>
      <c r="AC44" s="891">
        <v>12</v>
      </c>
      <c r="AD44" s="886">
        <f>IFERROR(IF(AC44&gt;10,ROUNDDOWN((AC44-10)/2,0),ROUND((AC44-10)/2,0)),"")</f>
        <v>1</v>
      </c>
      <c r="AE44" s="902">
        <f>SUM(AC44:AC55)</f>
        <v>76</v>
      </c>
      <c r="AF44" s="902"/>
      <c r="AG44" s="533"/>
      <c r="AH44" s="533"/>
      <c r="AI44" s="533"/>
      <c r="AJ44" s="146"/>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row>
    <row r="45" spans="1:156" ht="15.95" customHeight="1" outlineLevel="1" x14ac:dyDescent="0.3">
      <c r="A45" s="527"/>
      <c r="B45" s="751"/>
      <c r="C45" s="779"/>
      <c r="D45" s="897"/>
      <c r="E45" s="916"/>
      <c r="F45" s="897"/>
      <c r="G45" s="779"/>
      <c r="H45" s="897"/>
      <c r="I45" s="898"/>
      <c r="J45" s="897"/>
      <c r="K45" s="779"/>
      <c r="L45" s="897"/>
      <c r="M45" s="752"/>
      <c r="N45" s="897"/>
      <c r="O45" s="905"/>
      <c r="P45" s="753"/>
      <c r="Q45" s="527"/>
      <c r="R45" s="915"/>
      <c r="S45" s="916"/>
      <c r="T45" s="527"/>
      <c r="U45" s="900"/>
      <c r="V45" s="899"/>
      <c r="W45" s="527"/>
      <c r="X45" s="881"/>
      <c r="Y45" s="881"/>
      <c r="Z45" s="895"/>
      <c r="AA45" s="895"/>
      <c r="AB45" s="527"/>
      <c r="AC45" s="891"/>
      <c r="AD45" s="886"/>
      <c r="AE45" s="902"/>
      <c r="AF45" s="902"/>
      <c r="AG45" s="533"/>
      <c r="AH45" s="533"/>
      <c r="AI45" s="533"/>
      <c r="AJ45" s="146"/>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row>
    <row r="46" spans="1:156" ht="15.95" customHeight="1" outlineLevel="1" x14ac:dyDescent="0.3">
      <c r="A46" s="527"/>
      <c r="B46" s="751" t="s">
        <v>117</v>
      </c>
      <c r="C46" s="779">
        <v>12.00006</v>
      </c>
      <c r="D46" s="897" t="s">
        <v>603</v>
      </c>
      <c r="E46" s="916">
        <f>IFERROR(INDEX(T01_Races!$L$2:$L$101,MATCH(SelectedRaceID,T01_Races!$A$2:$A$101,0),1),"")</f>
        <v>0</v>
      </c>
      <c r="F46" s="897" t="s">
        <v>603</v>
      </c>
      <c r="G46" s="779"/>
      <c r="H46" s="897" t="s">
        <v>603</v>
      </c>
      <c r="I46" s="898"/>
      <c r="J46" s="897" t="s">
        <v>603</v>
      </c>
      <c r="K46" s="779"/>
      <c r="L46" s="897" t="s">
        <v>603</v>
      </c>
      <c r="M46" s="752"/>
      <c r="N46" s="897" t="s">
        <v>605</v>
      </c>
      <c r="O46" s="905">
        <f>IFERROR(INT(BaseDex+E46+G46+I46+K46+M46),"")</f>
        <v>12</v>
      </c>
      <c r="P46" s="753">
        <f>IFERROR(IF(O46&gt;10,ROUNDDOWN((O46-10)/2,0),ROUND((O46-10)/2,0)),"")</f>
        <v>1</v>
      </c>
      <c r="Q46" s="527"/>
      <c r="R46" s="915"/>
      <c r="S46" s="916" t="str">
        <f>IF(R46="","",IFERROR(IF(R46&gt;10,ROUNDDOWN((R46-10)/2,0),ROUND((R46-10)/2,0)),""))</f>
        <v/>
      </c>
      <c r="T46" s="527"/>
      <c r="U46" s="900">
        <f>IF(R46="",O46,R46)</f>
        <v>12</v>
      </c>
      <c r="V46" s="899">
        <f>IFERROR(IF(U46&gt;10,ROUNDDOWN((U46-10)/2,0),ROUND((U46-10)/2,0)),"")</f>
        <v>1</v>
      </c>
      <c r="W46" s="527"/>
      <c r="X46" s="527"/>
      <c r="Y46" s="527"/>
      <c r="Z46" s="527"/>
      <c r="AA46" s="527"/>
      <c r="AB46" s="527"/>
      <c r="AC46" s="891">
        <v>16</v>
      </c>
      <c r="AD46" s="886">
        <f>IFERROR(IF(AC46&gt;10,ROUNDDOWN((AC46-10)/2,0),ROUND((AC46-10)/2,0)),"")</f>
        <v>3</v>
      </c>
      <c r="AE46" s="902"/>
      <c r="AF46" s="902"/>
      <c r="AG46" s="533"/>
      <c r="AH46" s="533"/>
      <c r="AI46" s="533"/>
      <c r="AJ46" s="1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row>
    <row r="47" spans="1:156" ht="15.95" customHeight="1" outlineLevel="1" x14ac:dyDescent="0.3">
      <c r="A47" s="527"/>
      <c r="B47" s="751"/>
      <c r="C47" s="779"/>
      <c r="D47" s="897"/>
      <c r="E47" s="916"/>
      <c r="F47" s="897"/>
      <c r="G47" s="779"/>
      <c r="H47" s="897"/>
      <c r="I47" s="898"/>
      <c r="J47" s="897"/>
      <c r="K47" s="779"/>
      <c r="L47" s="897"/>
      <c r="M47" s="752"/>
      <c r="N47" s="897"/>
      <c r="O47" s="905"/>
      <c r="P47" s="753"/>
      <c r="Q47" s="527"/>
      <c r="R47" s="915"/>
      <c r="S47" s="916"/>
      <c r="T47" s="527"/>
      <c r="U47" s="900"/>
      <c r="V47" s="899"/>
      <c r="W47" s="527"/>
      <c r="X47" s="881" t="s">
        <v>2194</v>
      </c>
      <c r="Y47" s="881"/>
      <c r="Z47" s="896">
        <f>IFERROR(Z44-G44-G46-G48-G50-G52-G54,"")</f>
        <v>0</v>
      </c>
      <c r="AA47" s="896"/>
      <c r="AB47" s="527"/>
      <c r="AC47" s="891"/>
      <c r="AD47" s="886"/>
      <c r="AE47" s="902"/>
      <c r="AF47" s="902"/>
      <c r="AG47" s="533"/>
      <c r="AH47" s="533"/>
      <c r="AI47" s="533"/>
      <c r="AJ47" s="146"/>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row>
    <row r="48" spans="1:156" ht="15.95" customHeight="1" outlineLevel="1" x14ac:dyDescent="0.3">
      <c r="A48" s="527"/>
      <c r="B48" s="751" t="s">
        <v>508</v>
      </c>
      <c r="C48" s="779">
        <v>12.000069999999999</v>
      </c>
      <c r="D48" s="897" t="s">
        <v>603</v>
      </c>
      <c r="E48" s="916">
        <f>IFERROR(INDEX(T01_Races!$M$2:$M$101,MATCH(SelectedRaceID,T01_Races!$A$2:$A$101,0),1),"")</f>
        <v>0</v>
      </c>
      <c r="F48" s="897" t="s">
        <v>603</v>
      </c>
      <c r="G48" s="779"/>
      <c r="H48" s="897" t="s">
        <v>603</v>
      </c>
      <c r="I48" s="898"/>
      <c r="J48" s="897" t="s">
        <v>603</v>
      </c>
      <c r="K48" s="779"/>
      <c r="L48" s="897" t="s">
        <v>603</v>
      </c>
      <c r="M48" s="752"/>
      <c r="N48" s="897" t="s">
        <v>605</v>
      </c>
      <c r="O48" s="905">
        <f>IFERROR(INT(BaseCon+E48+G48+I48+K48+M48),"")</f>
        <v>12</v>
      </c>
      <c r="P48" s="753">
        <f>IFERROR(IF(O48&gt;10,ROUNDDOWN((O48-10)/2,0),ROUND((O48-10)/2,0)),"")</f>
        <v>1</v>
      </c>
      <c r="Q48" s="527"/>
      <c r="R48" s="915"/>
      <c r="S48" s="916" t="str">
        <f>IF(R48="","",IFERROR(IF(R48&gt;10,ROUNDDOWN((R48-10)/2,0),ROUND((R48-10)/2,0)),""))</f>
        <v/>
      </c>
      <c r="T48" s="527"/>
      <c r="U48" s="900">
        <f>IF(R48="",O48,R48)</f>
        <v>12</v>
      </c>
      <c r="V48" s="899">
        <f>IFERROR(IF(U48&gt;10,ROUNDDOWN((U48-10)/2,0),ROUND((U48-10)/2,0)),"")</f>
        <v>1</v>
      </c>
      <c r="W48" s="527"/>
      <c r="X48" s="881"/>
      <c r="Y48" s="881"/>
      <c r="Z48" s="896"/>
      <c r="AA48" s="896"/>
      <c r="AB48" s="527"/>
      <c r="AC48" s="891">
        <v>15</v>
      </c>
      <c r="AD48" s="886">
        <f>IFERROR(IF(AC48&gt;10,ROUNDDOWN((AC48-10)/2,0),ROUND((AC48-10)/2,0)),"")</f>
        <v>2</v>
      </c>
      <c r="AE48" s="902"/>
      <c r="AF48" s="902"/>
      <c r="AG48" s="533"/>
      <c r="AH48" s="533"/>
      <c r="AI48" s="533"/>
      <c r="AJ48" s="146"/>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row>
    <row r="49" spans="1:156" ht="15.95" customHeight="1" outlineLevel="1" x14ac:dyDescent="0.3">
      <c r="A49" s="527"/>
      <c r="B49" s="751"/>
      <c r="C49" s="779"/>
      <c r="D49" s="897"/>
      <c r="E49" s="916"/>
      <c r="F49" s="897"/>
      <c r="G49" s="779"/>
      <c r="H49" s="897"/>
      <c r="I49" s="898"/>
      <c r="J49" s="897"/>
      <c r="K49" s="779"/>
      <c r="L49" s="897"/>
      <c r="M49" s="752"/>
      <c r="N49" s="897"/>
      <c r="O49" s="905"/>
      <c r="P49" s="753"/>
      <c r="Q49" s="527"/>
      <c r="R49" s="915"/>
      <c r="S49" s="916"/>
      <c r="T49" s="527"/>
      <c r="U49" s="900"/>
      <c r="V49" s="899"/>
      <c r="W49" s="527"/>
      <c r="X49" s="527"/>
      <c r="Y49" s="527"/>
      <c r="Z49" s="527"/>
      <c r="AA49" s="527"/>
      <c r="AB49" s="527"/>
      <c r="AC49" s="891"/>
      <c r="AD49" s="886"/>
      <c r="AE49" s="902"/>
      <c r="AF49" s="902"/>
      <c r="AG49" s="533"/>
      <c r="AH49" s="533"/>
      <c r="AI49" s="533"/>
      <c r="AJ49" s="146"/>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row>
    <row r="50" spans="1:156" ht="15.95" customHeight="1" outlineLevel="1" x14ac:dyDescent="0.3">
      <c r="A50" s="527"/>
      <c r="B50" s="751" t="s">
        <v>509</v>
      </c>
      <c r="C50" s="779">
        <v>14.00006</v>
      </c>
      <c r="D50" s="897" t="s">
        <v>603</v>
      </c>
      <c r="E50" s="916">
        <f>IFERROR(INDEX(T01_Races!$N$2:$N$101,MATCH(SelectedRaceID,T01_Races!$A$2:$A$101,0),1),"")</f>
        <v>0</v>
      </c>
      <c r="F50" s="897" t="s">
        <v>603</v>
      </c>
      <c r="G50" s="779">
        <v>1</v>
      </c>
      <c r="H50" s="897" t="s">
        <v>603</v>
      </c>
      <c r="I50" s="898"/>
      <c r="J50" s="897" t="s">
        <v>603</v>
      </c>
      <c r="K50" s="779">
        <v>5</v>
      </c>
      <c r="L50" s="897" t="s">
        <v>603</v>
      </c>
      <c r="M50" s="752"/>
      <c r="N50" s="897" t="s">
        <v>605</v>
      </c>
      <c r="O50" s="905">
        <f>IFERROR(INT(BaseInt+E50+G50+I50+K50+M50),"")</f>
        <v>20</v>
      </c>
      <c r="P50" s="753">
        <f>IFERROR(IF(O50&gt;10,ROUNDDOWN((O50-10)/2,0),ROUND((O50-10)/2,0)),"")</f>
        <v>5</v>
      </c>
      <c r="Q50" s="527"/>
      <c r="R50" s="915"/>
      <c r="S50" s="916" t="str">
        <f>IF(R50="","",IFERROR(IF(R50&gt;10,ROUNDDOWN((R50-10)/2,0),ROUND((R50-10)/2,0)),""))</f>
        <v/>
      </c>
      <c r="T50" s="527"/>
      <c r="U50" s="900">
        <f>IF(R50="",O50,R50)</f>
        <v>20</v>
      </c>
      <c r="V50" s="899">
        <f>IFERROR(IF(U50&gt;10,ROUNDDOWN((U50-10)/2,0),ROUND((U50-10)/2,0)),"")</f>
        <v>5</v>
      </c>
      <c r="W50" s="527"/>
      <c r="X50" s="881" t="s">
        <v>3599</v>
      </c>
      <c r="Y50" s="881"/>
      <c r="Z50" s="895">
        <f>2*ASINumber</f>
        <v>10</v>
      </c>
      <c r="AA50" s="895"/>
      <c r="AB50" s="527"/>
      <c r="AC50" s="891">
        <v>12</v>
      </c>
      <c r="AD50" s="886">
        <f>IFERROR(IF(AC50&gt;10,ROUNDDOWN((AC50-10)/2,0),ROUND((AC50-10)/2,0)),"")</f>
        <v>1</v>
      </c>
      <c r="AE50" s="902"/>
      <c r="AF50" s="902"/>
      <c r="AG50" s="533"/>
      <c r="AH50" s="533"/>
      <c r="AI50" s="533"/>
      <c r="AJ50" s="146"/>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row>
    <row r="51" spans="1:156" ht="15.95" customHeight="1" outlineLevel="1" x14ac:dyDescent="0.3">
      <c r="A51" s="527"/>
      <c r="B51" s="751"/>
      <c r="C51" s="779"/>
      <c r="D51" s="897"/>
      <c r="E51" s="916"/>
      <c r="F51" s="897"/>
      <c r="G51" s="779"/>
      <c r="H51" s="897"/>
      <c r="I51" s="898"/>
      <c r="J51" s="897"/>
      <c r="K51" s="779"/>
      <c r="L51" s="897"/>
      <c r="M51" s="752"/>
      <c r="N51" s="897"/>
      <c r="O51" s="905"/>
      <c r="P51" s="753"/>
      <c r="Q51" s="527"/>
      <c r="R51" s="915"/>
      <c r="S51" s="916"/>
      <c r="T51" s="527"/>
      <c r="U51" s="900"/>
      <c r="V51" s="899"/>
      <c r="W51" s="527"/>
      <c r="X51" s="881"/>
      <c r="Y51" s="881"/>
      <c r="Z51" s="895"/>
      <c r="AA51" s="895"/>
      <c r="AB51" s="527"/>
      <c r="AC51" s="891"/>
      <c r="AD51" s="886"/>
      <c r="AE51" s="902"/>
      <c r="AF51" s="902"/>
      <c r="AG51" s="533"/>
      <c r="AH51" s="533"/>
      <c r="AI51" s="533"/>
      <c r="AJ51" s="146"/>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row>
    <row r="52" spans="1:156" ht="15.95" customHeight="1" outlineLevel="1" x14ac:dyDescent="0.3">
      <c r="A52" s="527"/>
      <c r="B52" s="751" t="s">
        <v>510</v>
      </c>
      <c r="C52" s="779">
        <v>10.00009</v>
      </c>
      <c r="D52" s="897" t="s">
        <v>603</v>
      </c>
      <c r="E52" s="916">
        <f>IFERROR(INDEX(T01_Races!$O$2:$O$101,MATCH(SelectedRaceID,T01_Races!$A$2:$A$101,0),1),"")</f>
        <v>0</v>
      </c>
      <c r="F52" s="897" t="s">
        <v>603</v>
      </c>
      <c r="G52" s="779"/>
      <c r="H52" s="897" t="s">
        <v>603</v>
      </c>
      <c r="I52" s="898"/>
      <c r="J52" s="897" t="s">
        <v>603</v>
      </c>
      <c r="K52" s="779"/>
      <c r="L52" s="897" t="s">
        <v>603</v>
      </c>
      <c r="M52" s="752"/>
      <c r="N52" s="897" t="s">
        <v>605</v>
      </c>
      <c r="O52" s="905">
        <f>IFERROR(INT(BaseWis+E52+G52+I52+K52+M52),"")</f>
        <v>10</v>
      </c>
      <c r="P52" s="753">
        <f>IFERROR(IF(O52&gt;10,ROUNDDOWN((O52-10)/2,0),ROUND((O52-10)/2,0)),"")</f>
        <v>0</v>
      </c>
      <c r="Q52" s="527"/>
      <c r="R52" s="915"/>
      <c r="S52" s="916" t="str">
        <f>IF(R52="","",IFERROR(IF(R52&gt;10,ROUNDDOWN((R52-10)/2,0),ROUND((R52-10)/2,0)),""))</f>
        <v/>
      </c>
      <c r="T52" s="527"/>
      <c r="U52" s="900">
        <f>IF(R52="",O52,R52)</f>
        <v>10</v>
      </c>
      <c r="V52" s="899">
        <f>IFERROR(IF(U52&gt;10,ROUNDDOWN((U52-10)/2,0),ROUND((U52-10)/2,0)),"")</f>
        <v>0</v>
      </c>
      <c r="W52" s="527"/>
      <c r="X52" s="527"/>
      <c r="Y52" s="527"/>
      <c r="Z52" s="527"/>
      <c r="AA52" s="527"/>
      <c r="AB52" s="527"/>
      <c r="AC52" s="891">
        <v>10</v>
      </c>
      <c r="AD52" s="886">
        <f>IFERROR(IF(AC52&gt;10,ROUNDDOWN((AC52-10)/2,0),ROUND((AC52-10)/2,0)),"")</f>
        <v>0</v>
      </c>
      <c r="AE52" s="902"/>
      <c r="AF52" s="902"/>
      <c r="AG52" s="533"/>
      <c r="AH52" s="533"/>
      <c r="AI52" s="533"/>
      <c r="AJ52" s="146"/>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row>
    <row r="53" spans="1:156" ht="15.95" customHeight="1" outlineLevel="1" x14ac:dyDescent="0.3">
      <c r="A53" s="527"/>
      <c r="B53" s="751"/>
      <c r="C53" s="779"/>
      <c r="D53" s="897"/>
      <c r="E53" s="916"/>
      <c r="F53" s="897"/>
      <c r="G53" s="779"/>
      <c r="H53" s="897"/>
      <c r="I53" s="898"/>
      <c r="J53" s="897"/>
      <c r="K53" s="779"/>
      <c r="L53" s="897"/>
      <c r="M53" s="752"/>
      <c r="N53" s="897"/>
      <c r="O53" s="905"/>
      <c r="P53" s="753"/>
      <c r="Q53" s="527"/>
      <c r="R53" s="915"/>
      <c r="S53" s="916"/>
      <c r="T53" s="527"/>
      <c r="U53" s="900"/>
      <c r="V53" s="899"/>
      <c r="W53" s="527"/>
      <c r="X53" s="881" t="s">
        <v>2194</v>
      </c>
      <c r="Y53" s="881"/>
      <c r="Z53" s="876">
        <f>IFERROR(Z50-K44-K46-K48-K50-K52-K54,"")</f>
        <v>0</v>
      </c>
      <c r="AA53" s="876"/>
      <c r="AB53" s="527"/>
      <c r="AC53" s="891"/>
      <c r="AD53" s="886"/>
      <c r="AE53" s="902"/>
      <c r="AF53" s="902"/>
      <c r="AG53" s="533"/>
      <c r="AH53" s="533"/>
      <c r="AI53" s="533"/>
      <c r="AJ53" s="146"/>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row>
    <row r="54" spans="1:156" ht="15.95" customHeight="1" outlineLevel="1" x14ac:dyDescent="0.3">
      <c r="A54" s="527"/>
      <c r="B54" s="751" t="s">
        <v>511</v>
      </c>
      <c r="C54" s="779">
        <v>10.000069999999999</v>
      </c>
      <c r="D54" s="897" t="s">
        <v>603</v>
      </c>
      <c r="E54" s="916">
        <f>IFERROR(INDEX(T01_Races!$P$2:$P$101,MATCH(SelectedRaceID,T01_Races!$A$2:$A$101,0),1),"")</f>
        <v>0</v>
      </c>
      <c r="F54" s="897" t="s">
        <v>603</v>
      </c>
      <c r="G54" s="779"/>
      <c r="H54" s="897" t="s">
        <v>603</v>
      </c>
      <c r="I54" s="898"/>
      <c r="J54" s="897" t="s">
        <v>603</v>
      </c>
      <c r="K54" s="779"/>
      <c r="L54" s="897" t="s">
        <v>603</v>
      </c>
      <c r="M54" s="752"/>
      <c r="N54" s="897" t="s">
        <v>605</v>
      </c>
      <c r="O54" s="905">
        <f>IFERROR(INT(BaseCha+E54+G54+I54+K54+M54),"")</f>
        <v>10</v>
      </c>
      <c r="P54" s="753">
        <f>IFERROR(IF(O54&gt;10,ROUNDDOWN((O54-10)/2,0),ROUND((O54-10)/2,0)),"")</f>
        <v>0</v>
      </c>
      <c r="Q54" s="527"/>
      <c r="R54" s="915"/>
      <c r="S54" s="916" t="str">
        <f>IF(R54="","",IFERROR(IF(R54&gt;10,ROUNDDOWN((R54-10)/2,0),ROUND((R54-10)/2,0)),""))</f>
        <v/>
      </c>
      <c r="T54" s="527"/>
      <c r="U54" s="900">
        <f>IF(R54="",O54,R54)</f>
        <v>10</v>
      </c>
      <c r="V54" s="899">
        <f>IFERROR(IF(U54&gt;10,ROUNDDOWN((U54-10)/2,0),ROUND((U54-10)/2,0)),"")</f>
        <v>0</v>
      </c>
      <c r="W54" s="527"/>
      <c r="X54" s="881"/>
      <c r="Y54" s="881"/>
      <c r="Z54" s="876"/>
      <c r="AA54" s="876"/>
      <c r="AB54" s="527"/>
      <c r="AC54" s="891">
        <v>11</v>
      </c>
      <c r="AD54" s="886">
        <f>IFERROR(IF(AC54&gt;10,ROUNDDOWN((AC54-10)/2,0),ROUND((AC54-10)/2,0)),"")</f>
        <v>0</v>
      </c>
      <c r="AE54" s="902"/>
      <c r="AF54" s="902"/>
      <c r="AG54" s="533"/>
      <c r="AH54" s="533"/>
      <c r="AI54" s="533"/>
      <c r="AJ54" s="146"/>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row>
    <row r="55" spans="1:156" ht="15.95" customHeight="1" outlineLevel="1" x14ac:dyDescent="0.3">
      <c r="A55" s="527"/>
      <c r="B55" s="751"/>
      <c r="C55" s="779"/>
      <c r="D55" s="897"/>
      <c r="E55" s="916"/>
      <c r="F55" s="897"/>
      <c r="G55" s="779"/>
      <c r="H55" s="897"/>
      <c r="I55" s="898"/>
      <c r="J55" s="897"/>
      <c r="K55" s="779"/>
      <c r="L55" s="897"/>
      <c r="M55" s="752"/>
      <c r="N55" s="897"/>
      <c r="O55" s="905"/>
      <c r="P55" s="753"/>
      <c r="Q55" s="527"/>
      <c r="R55" s="915"/>
      <c r="S55" s="916"/>
      <c r="T55" s="527"/>
      <c r="U55" s="900"/>
      <c r="V55" s="899"/>
      <c r="W55" s="527"/>
      <c r="X55" s="527"/>
      <c r="Y55" s="527"/>
      <c r="Z55" s="527"/>
      <c r="AA55" s="527"/>
      <c r="AB55" s="527"/>
      <c r="AC55" s="891"/>
      <c r="AD55" s="886"/>
      <c r="AE55" s="902"/>
      <c r="AF55" s="902"/>
      <c r="AG55" s="533"/>
      <c r="AH55" s="533"/>
      <c r="AI55" s="533"/>
      <c r="AJ55" s="146"/>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row>
    <row r="56" spans="1:156" ht="15.95" customHeight="1" outlineLevel="1" thickBot="1" x14ac:dyDescent="0.4">
      <c r="A56" s="527"/>
      <c r="B56" s="527"/>
      <c r="C56" s="527"/>
      <c r="D56" s="527"/>
      <c r="E56" s="527"/>
      <c r="F56" s="527"/>
      <c r="G56" s="527"/>
      <c r="H56" s="527"/>
      <c r="I56" s="527"/>
      <c r="J56" s="527"/>
      <c r="K56" s="527"/>
      <c r="L56" s="527"/>
      <c r="M56" s="527"/>
      <c r="N56" s="527"/>
      <c r="O56" s="527"/>
      <c r="P56" s="527"/>
      <c r="Q56" s="527"/>
      <c r="R56" s="527"/>
      <c r="S56" s="527"/>
      <c r="T56" s="527"/>
      <c r="U56" s="527"/>
      <c r="V56" s="527"/>
      <c r="W56" s="527"/>
      <c r="X56" s="527"/>
      <c r="Y56" s="527"/>
      <c r="Z56" s="527"/>
      <c r="AA56" s="527"/>
      <c r="AB56" s="527"/>
      <c r="AC56" s="527"/>
      <c r="AD56" s="527"/>
      <c r="AE56" s="527"/>
      <c r="AF56" s="534"/>
      <c r="AG56" s="533"/>
      <c r="AH56" s="533"/>
      <c r="AI56" s="533"/>
      <c r="AJ56" s="14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row>
    <row r="57" spans="1:156" ht="15.95" customHeight="1" outlineLevel="1" thickTop="1" thickBot="1" x14ac:dyDescent="0.4">
      <c r="A57" s="527"/>
      <c r="B57" s="771" t="s">
        <v>6658</v>
      </c>
      <c r="C57" s="772"/>
      <c r="D57" s="772"/>
      <c r="E57" s="773"/>
      <c r="F57" s="527"/>
      <c r="G57" s="527"/>
      <c r="H57" s="527"/>
      <c r="I57" s="527"/>
      <c r="J57" s="527"/>
      <c r="K57" s="527"/>
      <c r="L57" s="527"/>
      <c r="M57" s="527"/>
      <c r="N57" s="527"/>
      <c r="O57" s="527"/>
      <c r="P57" s="527"/>
      <c r="Q57" s="527"/>
      <c r="R57" s="527"/>
      <c r="S57" s="527"/>
      <c r="T57" s="527"/>
      <c r="U57" s="527"/>
      <c r="V57" s="527"/>
      <c r="W57" s="527"/>
      <c r="X57" s="527"/>
      <c r="Y57" s="527"/>
      <c r="Z57" s="527"/>
      <c r="AA57" s="527"/>
      <c r="AB57" s="527"/>
      <c r="AC57" s="527"/>
      <c r="AD57" s="527"/>
      <c r="AE57" s="527"/>
      <c r="AF57" s="534"/>
      <c r="AG57" s="533"/>
      <c r="AH57" s="533"/>
      <c r="AI57" s="533"/>
      <c r="AJ57" s="146"/>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row>
    <row r="58" spans="1:156" ht="15.95" customHeight="1" outlineLevel="1" thickTop="1" x14ac:dyDescent="0.35">
      <c r="A58" s="527"/>
      <c r="B58" s="527"/>
      <c r="C58" s="527"/>
      <c r="D58" s="527"/>
      <c r="E58" s="527"/>
      <c r="F58" s="527"/>
      <c r="G58" s="527"/>
      <c r="H58" s="527"/>
      <c r="I58" s="527"/>
      <c r="J58" s="527"/>
      <c r="K58" s="527"/>
      <c r="L58" s="527"/>
      <c r="M58" s="527"/>
      <c r="N58" s="527"/>
      <c r="O58" s="527"/>
      <c r="P58" s="527"/>
      <c r="Q58" s="527"/>
      <c r="R58" s="527"/>
      <c r="S58" s="527"/>
      <c r="T58" s="527"/>
      <c r="U58" s="527"/>
      <c r="V58" s="527"/>
      <c r="W58" s="527"/>
      <c r="X58" s="527"/>
      <c r="Y58" s="527"/>
      <c r="Z58" s="527"/>
      <c r="AA58" s="527"/>
      <c r="AB58" s="527"/>
      <c r="AC58" s="527"/>
      <c r="AD58" s="527"/>
      <c r="AE58" s="527"/>
      <c r="AF58" s="534"/>
      <c r="AG58" s="533"/>
      <c r="AH58" s="533"/>
      <c r="AI58" s="533"/>
      <c r="AJ58" s="146"/>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row>
    <row r="59" spans="1:156" ht="15.95" customHeight="1" x14ac:dyDescent="0.35">
      <c r="A59" s="527"/>
      <c r="B59" s="749" t="s">
        <v>3312</v>
      </c>
      <c r="C59" s="749"/>
      <c r="D59" s="749"/>
      <c r="E59" s="749"/>
      <c r="F59" s="749"/>
      <c r="G59" s="749"/>
      <c r="H59" s="749"/>
      <c r="I59" s="749"/>
      <c r="J59" s="749"/>
      <c r="K59" s="749"/>
      <c r="L59" s="749"/>
      <c r="M59" s="749"/>
      <c r="N59" s="749"/>
      <c r="O59" s="749"/>
      <c r="P59" s="749"/>
      <c r="Q59" s="749"/>
      <c r="R59" s="749"/>
      <c r="S59" s="749"/>
      <c r="T59" s="749"/>
      <c r="U59" s="749"/>
      <c r="V59" s="749"/>
      <c r="W59" s="749"/>
      <c r="X59" s="749"/>
      <c r="Y59" s="749"/>
      <c r="Z59" s="749"/>
      <c r="AA59" s="749"/>
      <c r="AB59" s="749"/>
      <c r="AC59" s="749"/>
      <c r="AD59" s="749"/>
      <c r="AE59" s="749"/>
      <c r="AF59" s="534"/>
      <c r="AG59" s="533"/>
      <c r="AH59" s="533"/>
      <c r="AI59" s="533"/>
      <c r="AJ59" s="146"/>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row>
    <row r="60" spans="1:156" ht="15.95" customHeight="1" x14ac:dyDescent="0.3">
      <c r="A60" s="527"/>
      <c r="B60" s="749"/>
      <c r="C60" s="749"/>
      <c r="D60" s="749"/>
      <c r="E60" s="749"/>
      <c r="F60" s="749"/>
      <c r="G60" s="749"/>
      <c r="H60" s="749"/>
      <c r="I60" s="749"/>
      <c r="J60" s="749"/>
      <c r="K60" s="749"/>
      <c r="L60" s="749"/>
      <c r="M60" s="749"/>
      <c r="N60" s="749"/>
      <c r="O60" s="749"/>
      <c r="P60" s="749"/>
      <c r="Q60" s="749"/>
      <c r="R60" s="749"/>
      <c r="S60" s="749"/>
      <c r="T60" s="749"/>
      <c r="U60" s="749"/>
      <c r="V60" s="749"/>
      <c r="W60" s="749"/>
      <c r="X60" s="749"/>
      <c r="Y60" s="749"/>
      <c r="Z60" s="749"/>
      <c r="AA60" s="749"/>
      <c r="AB60" s="749"/>
      <c r="AC60" s="749"/>
      <c r="AD60" s="749"/>
      <c r="AE60" s="749"/>
      <c r="AF60" s="526"/>
      <c r="AG60" s="533"/>
      <c r="AH60" s="533"/>
      <c r="AI60" s="533"/>
      <c r="AJ60" s="146"/>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row>
    <row r="61" spans="1:156" ht="15.95" customHeight="1" outlineLevel="1" thickBot="1" x14ac:dyDescent="0.4">
      <c r="A61" s="527"/>
      <c r="B61" s="527"/>
      <c r="C61" s="527"/>
      <c r="D61" s="527"/>
      <c r="E61" s="527"/>
      <c r="F61" s="527"/>
      <c r="G61" s="527"/>
      <c r="H61" s="527"/>
      <c r="I61" s="527"/>
      <c r="J61" s="527"/>
      <c r="K61" s="527"/>
      <c r="L61" s="527"/>
      <c r="M61" s="527"/>
      <c r="N61" s="527"/>
      <c r="O61" s="527"/>
      <c r="P61" s="527"/>
      <c r="Q61" s="527"/>
      <c r="R61" s="527"/>
      <c r="S61" s="527"/>
      <c r="T61" s="527"/>
      <c r="U61" s="527"/>
      <c r="V61" s="527"/>
      <c r="W61" s="527"/>
      <c r="X61" s="903" t="s">
        <v>4356</v>
      </c>
      <c r="Y61" s="903"/>
      <c r="Z61" s="903"/>
      <c r="AA61" s="903"/>
      <c r="AB61" s="903"/>
      <c r="AC61" s="903"/>
      <c r="AD61" s="903"/>
      <c r="AE61" s="903"/>
      <c r="AF61" s="526"/>
      <c r="AG61" s="533"/>
      <c r="AH61" s="533"/>
      <c r="AI61" s="533"/>
      <c r="AJ61" s="146"/>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row>
    <row r="62" spans="1:156" ht="15.95" customHeight="1" outlineLevel="1" thickTop="1" thickBot="1" x14ac:dyDescent="0.35">
      <c r="A62" s="527"/>
      <c r="B62" s="747" t="s">
        <v>2223</v>
      </c>
      <c r="C62" s="747"/>
      <c r="D62" s="906" t="s">
        <v>619</v>
      </c>
      <c r="E62" s="906"/>
      <c r="F62" s="906"/>
      <c r="G62" s="906"/>
      <c r="H62" s="893" t="str">
        <f>'C03_ClassVariables'!N4</f>
        <v>Martial Archetype</v>
      </c>
      <c r="I62" s="893"/>
      <c r="J62" s="882" t="s">
        <v>3164</v>
      </c>
      <c r="K62" s="882"/>
      <c r="L62" s="882"/>
      <c r="M62" s="882"/>
      <c r="N62" s="750" t="s">
        <v>3318</v>
      </c>
      <c r="O62" s="750"/>
      <c r="P62" s="879">
        <f>IFERROR(COUNTIF($R$62:$R$81,MainClassSelected),"")</f>
        <v>12</v>
      </c>
      <c r="Q62" s="529">
        <v>1</v>
      </c>
      <c r="R62" s="932" t="str">
        <f>MainClass</f>
        <v>Fighter</v>
      </c>
      <c r="S62" s="932"/>
      <c r="T62" s="932"/>
      <c r="U62" s="538">
        <f>IFERROR(INDEX(T04_Classes!D3:D102,SelectedClassID,1),0)</f>
        <v>10</v>
      </c>
      <c r="V62" s="527"/>
      <c r="W62" s="527"/>
      <c r="X62" s="904" t="str">
        <f>""&amp;CHAR(10)&amp;IFERROR(INDEX(T04_Classes!C3:C102,SelectedClassID,1),"")</f>
        <v xml:space="preserve">
HIT POINTS
HitDice: 1d10 per fighter level
Hit Points at 1st Levei: 10 + your Constitution modifier
Hit Points at Higher LeveIs: 1d10 (or 6) + your Constitution modifier per fighter levei after 1st
PROFICIENCIES
Armor: All armor, shields
Skills: Choose two skills from Acrobatics, Animal Handling, Athletics, History, Insight, Intimidation, Perception, and Survival
You start with the following equipment, in addition to the equipment granted by your background:
• (a) chain mail or (6) leather, longbow, and 20 arrows
• (a) a martial weapon and a shield or (b) two martial weapons
• (a) a light crossbow and 20 bolts or (6) two handaxes
• (a) a dungeoneer's pack or (b) an explorer’s pack</v>
      </c>
      <c r="Y62" s="904"/>
      <c r="Z62" s="904"/>
      <c r="AA62" s="904"/>
      <c r="AB62" s="904"/>
      <c r="AC62" s="904"/>
      <c r="AD62" s="904"/>
      <c r="AE62" s="904"/>
      <c r="AF62" s="526"/>
      <c r="AG62" s="533"/>
      <c r="AH62" s="533"/>
      <c r="AI62" s="533"/>
      <c r="AJ62" s="146"/>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row>
    <row r="63" spans="1:156" ht="15.95" customHeight="1" outlineLevel="1" thickTop="1" thickBot="1" x14ac:dyDescent="0.35">
      <c r="A63" s="527"/>
      <c r="B63" s="747"/>
      <c r="C63" s="747"/>
      <c r="D63" s="906"/>
      <c r="E63" s="906"/>
      <c r="F63" s="906"/>
      <c r="G63" s="906"/>
      <c r="H63" s="893"/>
      <c r="I63" s="893"/>
      <c r="J63" s="882"/>
      <c r="K63" s="882"/>
      <c r="L63" s="882"/>
      <c r="M63" s="882"/>
      <c r="N63" s="750"/>
      <c r="O63" s="750"/>
      <c r="P63" s="879"/>
      <c r="Q63" s="529">
        <f t="shared" ref="Q63:Q81" si="0">Q62+1</f>
        <v>2</v>
      </c>
      <c r="R63" s="888" t="s">
        <v>619</v>
      </c>
      <c r="S63" s="888"/>
      <c r="T63" s="889"/>
      <c r="U63" s="537">
        <v>8</v>
      </c>
      <c r="V63" s="536" t="s">
        <v>617</v>
      </c>
      <c r="W63" s="536"/>
      <c r="X63" s="904"/>
      <c r="Y63" s="904"/>
      <c r="Z63" s="904"/>
      <c r="AA63" s="904"/>
      <c r="AB63" s="904"/>
      <c r="AC63" s="904"/>
      <c r="AD63" s="904"/>
      <c r="AE63" s="904"/>
      <c r="AF63" s="526"/>
      <c r="AG63" s="533"/>
      <c r="AH63" s="533"/>
      <c r="AI63" s="533"/>
      <c r="AJ63" s="146"/>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row>
    <row r="64" spans="1:156" ht="15.95" customHeight="1" outlineLevel="1" thickTop="1" thickBot="1" x14ac:dyDescent="0.35">
      <c r="A64" s="527"/>
      <c r="B64" s="527"/>
      <c r="C64" s="527"/>
      <c r="D64" s="527"/>
      <c r="E64" s="527"/>
      <c r="F64" s="527"/>
      <c r="G64" s="527"/>
      <c r="H64" s="530"/>
      <c r="I64" s="530"/>
      <c r="J64" s="527"/>
      <c r="K64" s="527"/>
      <c r="L64" s="527"/>
      <c r="M64" s="527"/>
      <c r="N64" s="527"/>
      <c r="O64" s="527"/>
      <c r="P64" s="527"/>
      <c r="Q64" s="529">
        <f t="shared" si="0"/>
        <v>3</v>
      </c>
      <c r="R64" s="888" t="s">
        <v>619</v>
      </c>
      <c r="S64" s="888"/>
      <c r="T64" s="889"/>
      <c r="U64" s="537">
        <v>6</v>
      </c>
      <c r="V64" s="536"/>
      <c r="W64" s="536"/>
      <c r="X64" s="904"/>
      <c r="Y64" s="904"/>
      <c r="Z64" s="904"/>
      <c r="AA64" s="904"/>
      <c r="AB64" s="904"/>
      <c r="AC64" s="904"/>
      <c r="AD64" s="904"/>
      <c r="AE64" s="904"/>
      <c r="AF64" s="526"/>
      <c r="AG64" s="533"/>
      <c r="AH64" s="533"/>
      <c r="AI64" s="533"/>
      <c r="AJ64" s="146"/>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row>
    <row r="65" spans="1:156" ht="15.95" customHeight="1" outlineLevel="1" thickTop="1" thickBot="1" x14ac:dyDescent="0.35">
      <c r="A65" s="527"/>
      <c r="B65" s="747" t="s">
        <v>3313</v>
      </c>
      <c r="C65" s="747"/>
      <c r="D65" s="879" t="str">
        <f>IF('C01_BaseCalculation'!W15="","",'C01_BaseCalculation'!W15)</f>
        <v>Wizard</v>
      </c>
      <c r="E65" s="879"/>
      <c r="F65" s="879"/>
      <c r="G65" s="879"/>
      <c r="H65" s="893" t="str">
        <f>'C03_ClassVariables'!N5</f>
        <v>Arcane Tradition</v>
      </c>
      <c r="I65" s="893"/>
      <c r="J65" s="882" t="s">
        <v>3142</v>
      </c>
      <c r="K65" s="882"/>
      <c r="L65" s="882"/>
      <c r="M65" s="882"/>
      <c r="N65" s="750" t="s">
        <v>3318</v>
      </c>
      <c r="O65" s="750"/>
      <c r="P65" s="879">
        <f>IF(Multiclass1="","",IFERROR(COUNTIF($R$62:$R$81,Multiclass1),""))</f>
        <v>8</v>
      </c>
      <c r="Q65" s="529">
        <f t="shared" si="0"/>
        <v>4</v>
      </c>
      <c r="R65" s="888" t="s">
        <v>619</v>
      </c>
      <c r="S65" s="888"/>
      <c r="T65" s="889"/>
      <c r="U65" s="537">
        <v>6</v>
      </c>
      <c r="V65" s="536"/>
      <c r="W65" s="536"/>
      <c r="X65" s="904"/>
      <c r="Y65" s="904"/>
      <c r="Z65" s="904"/>
      <c r="AA65" s="904"/>
      <c r="AB65" s="904"/>
      <c r="AC65" s="904"/>
      <c r="AD65" s="904"/>
      <c r="AE65" s="904"/>
      <c r="AF65" s="526"/>
      <c r="AG65" s="533"/>
      <c r="AH65" s="533"/>
      <c r="AI65" s="533"/>
      <c r="AJ65" s="146"/>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row>
    <row r="66" spans="1:156" ht="15.95" customHeight="1" outlineLevel="1" thickTop="1" thickBot="1" x14ac:dyDescent="0.35">
      <c r="A66" s="527"/>
      <c r="B66" s="747"/>
      <c r="C66" s="747"/>
      <c r="D66" s="879"/>
      <c r="E66" s="879"/>
      <c r="F66" s="879"/>
      <c r="G66" s="879"/>
      <c r="H66" s="893"/>
      <c r="I66" s="893"/>
      <c r="J66" s="882"/>
      <c r="K66" s="882"/>
      <c r="L66" s="882"/>
      <c r="M66" s="882"/>
      <c r="N66" s="750"/>
      <c r="O66" s="750"/>
      <c r="P66" s="879"/>
      <c r="Q66" s="529">
        <f t="shared" si="0"/>
        <v>5</v>
      </c>
      <c r="R66" s="888" t="s">
        <v>625</v>
      </c>
      <c r="S66" s="888"/>
      <c r="T66" s="889"/>
      <c r="U66" s="537">
        <v>2</v>
      </c>
      <c r="V66" s="536"/>
      <c r="W66" s="536"/>
      <c r="X66" s="904"/>
      <c r="Y66" s="904"/>
      <c r="Z66" s="904"/>
      <c r="AA66" s="904"/>
      <c r="AB66" s="904"/>
      <c r="AC66" s="904"/>
      <c r="AD66" s="904"/>
      <c r="AE66" s="904"/>
      <c r="AF66" s="526"/>
      <c r="AG66" s="533"/>
      <c r="AH66" s="533"/>
      <c r="AI66" s="533"/>
      <c r="AJ66" s="14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row>
    <row r="67" spans="1:156" ht="15.95" customHeight="1" outlineLevel="1" thickTop="1" thickBot="1" x14ac:dyDescent="0.35">
      <c r="A67" s="527"/>
      <c r="B67" s="527"/>
      <c r="C67" s="527"/>
      <c r="D67" s="527"/>
      <c r="E67" s="527"/>
      <c r="F67" s="527"/>
      <c r="G67" s="527"/>
      <c r="H67" s="530"/>
      <c r="I67" s="530"/>
      <c r="J67" s="527"/>
      <c r="K67" s="527"/>
      <c r="L67" s="527"/>
      <c r="M67" s="527"/>
      <c r="N67" s="527"/>
      <c r="O67" s="527"/>
      <c r="P67" s="527"/>
      <c r="Q67" s="529">
        <f t="shared" si="0"/>
        <v>6</v>
      </c>
      <c r="R67" s="888" t="s">
        <v>625</v>
      </c>
      <c r="S67" s="888"/>
      <c r="T67" s="889"/>
      <c r="U67" s="537">
        <v>2</v>
      </c>
      <c r="V67" s="536"/>
      <c r="W67" s="536"/>
      <c r="X67" s="904"/>
      <c r="Y67" s="904"/>
      <c r="Z67" s="904"/>
      <c r="AA67" s="904"/>
      <c r="AB67" s="904"/>
      <c r="AC67" s="904"/>
      <c r="AD67" s="904"/>
      <c r="AE67" s="904"/>
      <c r="AF67" s="526"/>
      <c r="AG67" s="533"/>
      <c r="AH67" s="533"/>
      <c r="AI67" s="533"/>
      <c r="AJ67" s="146"/>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row>
    <row r="68" spans="1:156" ht="15.95" customHeight="1" outlineLevel="1" thickTop="1" thickBot="1" x14ac:dyDescent="0.35">
      <c r="A68" s="527"/>
      <c r="B68" s="747" t="s">
        <v>3314</v>
      </c>
      <c r="C68" s="747"/>
      <c r="D68" s="879" t="str">
        <f>IF('C01_BaseCalculation'!W16="","",'C01_BaseCalculation'!W16)</f>
        <v/>
      </c>
      <c r="E68" s="879"/>
      <c r="F68" s="879"/>
      <c r="G68" s="879"/>
      <c r="H68" s="893" t="str">
        <f>'C03_ClassVariables'!N6</f>
        <v/>
      </c>
      <c r="I68" s="893"/>
      <c r="J68" s="890"/>
      <c r="K68" s="890"/>
      <c r="L68" s="890"/>
      <c r="M68" s="890"/>
      <c r="N68" s="750" t="s">
        <v>3318</v>
      </c>
      <c r="O68" s="750"/>
      <c r="P68" s="894" t="str">
        <f>IF(Multiclass2="","",IFERROR(COUNTIF($R$62:$R$81,Multiclass2),""))</f>
        <v/>
      </c>
      <c r="Q68" s="529">
        <f t="shared" si="0"/>
        <v>7</v>
      </c>
      <c r="R68" s="888" t="s">
        <v>625</v>
      </c>
      <c r="S68" s="888"/>
      <c r="T68" s="889"/>
      <c r="U68" s="537">
        <v>5</v>
      </c>
      <c r="V68" s="536"/>
      <c r="W68" s="536"/>
      <c r="X68" s="904"/>
      <c r="Y68" s="904"/>
      <c r="Z68" s="904"/>
      <c r="AA68" s="904"/>
      <c r="AB68" s="904"/>
      <c r="AC68" s="904"/>
      <c r="AD68" s="904"/>
      <c r="AE68" s="904"/>
      <c r="AF68" s="526"/>
      <c r="AG68" s="533"/>
      <c r="AH68" s="533"/>
      <c r="AI68" s="533"/>
      <c r="AJ68" s="146"/>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row>
    <row r="69" spans="1:156" ht="15.95" customHeight="1" outlineLevel="1" thickTop="1" thickBot="1" x14ac:dyDescent="0.35">
      <c r="A69" s="527"/>
      <c r="B69" s="747"/>
      <c r="C69" s="747"/>
      <c r="D69" s="879"/>
      <c r="E69" s="879"/>
      <c r="F69" s="879"/>
      <c r="G69" s="879"/>
      <c r="H69" s="893"/>
      <c r="I69" s="893"/>
      <c r="J69" s="890"/>
      <c r="K69" s="890"/>
      <c r="L69" s="890"/>
      <c r="M69" s="890"/>
      <c r="N69" s="750"/>
      <c r="O69" s="750"/>
      <c r="P69" s="894"/>
      <c r="Q69" s="529">
        <f t="shared" si="0"/>
        <v>8</v>
      </c>
      <c r="R69" s="888" t="s">
        <v>625</v>
      </c>
      <c r="S69" s="888"/>
      <c r="T69" s="889"/>
      <c r="U69" s="537">
        <v>1</v>
      </c>
      <c r="V69" s="536"/>
      <c r="W69" s="536"/>
      <c r="X69" s="904"/>
      <c r="Y69" s="904"/>
      <c r="Z69" s="904"/>
      <c r="AA69" s="904"/>
      <c r="AB69" s="904"/>
      <c r="AC69" s="904"/>
      <c r="AD69" s="904"/>
      <c r="AE69" s="904"/>
      <c r="AF69" s="526"/>
      <c r="AG69" s="533"/>
      <c r="AH69" s="533"/>
      <c r="AI69" s="533"/>
      <c r="AJ69" s="146"/>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row>
    <row r="70" spans="1:156" ht="15.95" customHeight="1" outlineLevel="1" thickTop="1" thickBot="1" x14ac:dyDescent="0.35">
      <c r="A70" s="527"/>
      <c r="B70" s="527"/>
      <c r="C70" s="527"/>
      <c r="D70" s="527"/>
      <c r="E70" s="527"/>
      <c r="F70" s="527"/>
      <c r="G70" s="527"/>
      <c r="H70" s="530"/>
      <c r="I70" s="530"/>
      <c r="J70" s="527"/>
      <c r="K70" s="527"/>
      <c r="L70" s="527"/>
      <c r="M70" s="527"/>
      <c r="N70" s="527"/>
      <c r="O70" s="527"/>
      <c r="P70" s="527"/>
      <c r="Q70" s="529">
        <f t="shared" si="0"/>
        <v>9</v>
      </c>
      <c r="R70" s="888" t="s">
        <v>625</v>
      </c>
      <c r="S70" s="888"/>
      <c r="T70" s="889"/>
      <c r="U70" s="537">
        <v>5</v>
      </c>
      <c r="V70" s="536"/>
      <c r="W70" s="536"/>
      <c r="X70" s="904"/>
      <c r="Y70" s="904"/>
      <c r="Z70" s="904"/>
      <c r="AA70" s="904"/>
      <c r="AB70" s="904"/>
      <c r="AC70" s="904"/>
      <c r="AD70" s="904"/>
      <c r="AE70" s="904"/>
      <c r="AF70" s="526"/>
      <c r="AG70" s="533"/>
      <c r="AH70" s="533"/>
      <c r="AI70" s="533"/>
      <c r="AJ70" s="146"/>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row>
    <row r="71" spans="1:156" ht="15.95" customHeight="1" outlineLevel="1" thickTop="1" thickBot="1" x14ac:dyDescent="0.35">
      <c r="A71" s="527"/>
      <c r="B71" s="747" t="s">
        <v>3315</v>
      </c>
      <c r="C71" s="747"/>
      <c r="D71" s="879" t="str">
        <f>IF('C01_BaseCalculation'!W17="","",'C01_BaseCalculation'!W17)</f>
        <v/>
      </c>
      <c r="E71" s="879"/>
      <c r="F71" s="879"/>
      <c r="G71" s="879"/>
      <c r="H71" s="893" t="str">
        <f>'C03_ClassVariables'!N7</f>
        <v/>
      </c>
      <c r="I71" s="893"/>
      <c r="J71" s="890"/>
      <c r="K71" s="890"/>
      <c r="L71" s="890"/>
      <c r="M71" s="890"/>
      <c r="N71" s="750" t="s">
        <v>3318</v>
      </c>
      <c r="O71" s="750"/>
      <c r="P71" s="894" t="str">
        <f>IF(Multiclass3="","",IFERROR(COUNTIF($R$62:$R$81,Multiclass3),""))</f>
        <v/>
      </c>
      <c r="Q71" s="529">
        <f t="shared" si="0"/>
        <v>10</v>
      </c>
      <c r="R71" s="888" t="s">
        <v>625</v>
      </c>
      <c r="S71" s="888"/>
      <c r="T71" s="889"/>
      <c r="U71" s="537">
        <v>5</v>
      </c>
      <c r="V71" s="536"/>
      <c r="W71" s="536"/>
      <c r="X71" s="904"/>
      <c r="Y71" s="904"/>
      <c r="Z71" s="904"/>
      <c r="AA71" s="904"/>
      <c r="AB71" s="904"/>
      <c r="AC71" s="904"/>
      <c r="AD71" s="904"/>
      <c r="AE71" s="904"/>
      <c r="AF71" s="526"/>
      <c r="AG71" s="533"/>
      <c r="AH71" s="533"/>
      <c r="AI71" s="533"/>
      <c r="AJ71" s="146"/>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row>
    <row r="72" spans="1:156" ht="15.95" customHeight="1" outlineLevel="1" thickTop="1" thickBot="1" x14ac:dyDescent="0.35">
      <c r="A72" s="527"/>
      <c r="B72" s="747"/>
      <c r="C72" s="747"/>
      <c r="D72" s="879"/>
      <c r="E72" s="879"/>
      <c r="F72" s="879"/>
      <c r="G72" s="879"/>
      <c r="H72" s="893"/>
      <c r="I72" s="893"/>
      <c r="J72" s="890"/>
      <c r="K72" s="890"/>
      <c r="L72" s="890"/>
      <c r="M72" s="890"/>
      <c r="N72" s="750"/>
      <c r="O72" s="750"/>
      <c r="P72" s="894"/>
      <c r="Q72" s="529">
        <f t="shared" si="0"/>
        <v>11</v>
      </c>
      <c r="R72" s="888" t="s">
        <v>625</v>
      </c>
      <c r="S72" s="888"/>
      <c r="T72" s="889"/>
      <c r="U72" s="537">
        <v>5</v>
      </c>
      <c r="V72" s="536"/>
      <c r="W72" s="536"/>
      <c r="X72" s="904"/>
      <c r="Y72" s="904"/>
      <c r="Z72" s="904"/>
      <c r="AA72" s="904"/>
      <c r="AB72" s="904"/>
      <c r="AC72" s="904"/>
      <c r="AD72" s="904"/>
      <c r="AE72" s="904"/>
      <c r="AF72" s="526"/>
      <c r="AG72" s="533"/>
      <c r="AH72" s="533"/>
      <c r="AI72" s="533"/>
      <c r="AJ72" s="146"/>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row>
    <row r="73" spans="1:156" ht="15.95" customHeight="1" outlineLevel="1" thickTop="1" thickBot="1" x14ac:dyDescent="0.35">
      <c r="A73" s="527"/>
      <c r="B73" s="527"/>
      <c r="C73" s="527"/>
      <c r="D73" s="527"/>
      <c r="E73" s="527"/>
      <c r="F73" s="527"/>
      <c r="G73" s="527"/>
      <c r="H73" s="530"/>
      <c r="I73" s="530"/>
      <c r="J73" s="527"/>
      <c r="K73" s="527"/>
      <c r="L73" s="527"/>
      <c r="M73" s="527"/>
      <c r="N73" s="527"/>
      <c r="O73" s="527"/>
      <c r="P73" s="527"/>
      <c r="Q73" s="529">
        <f t="shared" si="0"/>
        <v>12</v>
      </c>
      <c r="R73" s="888" t="s">
        <v>625</v>
      </c>
      <c r="S73" s="888"/>
      <c r="T73" s="889"/>
      <c r="U73" s="537">
        <v>1</v>
      </c>
      <c r="V73" s="536"/>
      <c r="W73" s="536"/>
      <c r="X73" s="904"/>
      <c r="Y73" s="904"/>
      <c r="Z73" s="904"/>
      <c r="AA73" s="904"/>
      <c r="AB73" s="904"/>
      <c r="AC73" s="904"/>
      <c r="AD73" s="904"/>
      <c r="AE73" s="904"/>
      <c r="AF73" s="526"/>
      <c r="AG73" s="533"/>
      <c r="AH73" s="533"/>
      <c r="AI73" s="533"/>
      <c r="AJ73" s="146"/>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row>
    <row r="74" spans="1:156" ht="15.95" customHeight="1" outlineLevel="1" thickTop="1" thickBot="1" x14ac:dyDescent="0.35">
      <c r="A74" s="527"/>
      <c r="B74" s="747" t="s">
        <v>3316</v>
      </c>
      <c r="C74" s="747"/>
      <c r="D74" s="879" t="str">
        <f>IF('C01_BaseCalculation'!W18="","",'C01_BaseCalculation'!W18)</f>
        <v/>
      </c>
      <c r="E74" s="879"/>
      <c r="F74" s="879"/>
      <c r="G74" s="879"/>
      <c r="H74" s="893" t="str">
        <f>'C03_ClassVariables'!N8</f>
        <v/>
      </c>
      <c r="I74" s="893"/>
      <c r="J74" s="890"/>
      <c r="K74" s="890"/>
      <c r="L74" s="890"/>
      <c r="M74" s="890"/>
      <c r="N74" s="750" t="s">
        <v>3318</v>
      </c>
      <c r="O74" s="750"/>
      <c r="P74" s="894" t="str">
        <f>IF(Multiclass4="","",IFERROR(COUNTIF($R$62:$R$81,Multiclass4),""))</f>
        <v/>
      </c>
      <c r="Q74" s="529">
        <f t="shared" si="0"/>
        <v>13</v>
      </c>
      <c r="R74" s="888" t="s">
        <v>619</v>
      </c>
      <c r="S74" s="888"/>
      <c r="T74" s="889"/>
      <c r="U74" s="537">
        <v>5</v>
      </c>
      <c r="V74" s="536"/>
      <c r="W74" s="536"/>
      <c r="X74" s="904"/>
      <c r="Y74" s="904"/>
      <c r="Z74" s="904"/>
      <c r="AA74" s="904"/>
      <c r="AB74" s="904"/>
      <c r="AC74" s="904"/>
      <c r="AD74" s="904"/>
      <c r="AE74" s="904"/>
      <c r="AF74" s="526"/>
      <c r="AG74" s="533"/>
      <c r="AH74" s="533"/>
      <c r="AI74" s="533"/>
      <c r="AJ74" s="146"/>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row>
    <row r="75" spans="1:156" ht="15.95" customHeight="1" outlineLevel="1" thickTop="1" thickBot="1" x14ac:dyDescent="0.35">
      <c r="A75" s="527"/>
      <c r="B75" s="747"/>
      <c r="C75" s="747"/>
      <c r="D75" s="879"/>
      <c r="E75" s="879"/>
      <c r="F75" s="879"/>
      <c r="G75" s="879"/>
      <c r="H75" s="893"/>
      <c r="I75" s="893"/>
      <c r="J75" s="890"/>
      <c r="K75" s="890"/>
      <c r="L75" s="890"/>
      <c r="M75" s="890"/>
      <c r="N75" s="750"/>
      <c r="O75" s="750"/>
      <c r="P75" s="894"/>
      <c r="Q75" s="529">
        <f t="shared" si="0"/>
        <v>14</v>
      </c>
      <c r="R75" s="888" t="s">
        <v>619</v>
      </c>
      <c r="S75" s="888"/>
      <c r="T75" s="889"/>
      <c r="U75" s="537">
        <v>9</v>
      </c>
      <c r="V75" s="536"/>
      <c r="W75" s="536"/>
      <c r="X75" s="904"/>
      <c r="Y75" s="904"/>
      <c r="Z75" s="904"/>
      <c r="AA75" s="904"/>
      <c r="AB75" s="904"/>
      <c r="AC75" s="904"/>
      <c r="AD75" s="904"/>
      <c r="AE75" s="904"/>
      <c r="AF75" s="526"/>
      <c r="AG75" s="533"/>
      <c r="AH75" s="533"/>
      <c r="AI75" s="533"/>
      <c r="AJ75" s="146"/>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row>
    <row r="76" spans="1:156" ht="15.95" customHeight="1" outlineLevel="1" thickTop="1" thickBot="1" x14ac:dyDescent="0.35">
      <c r="A76" s="527"/>
      <c r="B76" s="527"/>
      <c r="C76" s="527"/>
      <c r="D76" s="527"/>
      <c r="E76" s="527"/>
      <c r="F76" s="527"/>
      <c r="G76" s="527"/>
      <c r="H76" s="530"/>
      <c r="I76" s="530"/>
      <c r="J76" s="527"/>
      <c r="K76" s="527"/>
      <c r="L76" s="527"/>
      <c r="M76" s="527"/>
      <c r="N76" s="527"/>
      <c r="O76" s="527"/>
      <c r="P76" s="527"/>
      <c r="Q76" s="529">
        <f t="shared" si="0"/>
        <v>15</v>
      </c>
      <c r="R76" s="888" t="s">
        <v>619</v>
      </c>
      <c r="S76" s="888"/>
      <c r="T76" s="889"/>
      <c r="U76" s="537">
        <v>8</v>
      </c>
      <c r="V76" s="536"/>
      <c r="W76" s="536"/>
      <c r="X76" s="527"/>
      <c r="Y76" s="527"/>
      <c r="Z76" s="527"/>
      <c r="AA76" s="527"/>
      <c r="AB76" s="527"/>
      <c r="AC76" s="527"/>
      <c r="AD76" s="527"/>
      <c r="AE76" s="527"/>
      <c r="AF76" s="526"/>
      <c r="AG76" s="533"/>
      <c r="AH76" s="533"/>
      <c r="AI76" s="533"/>
      <c r="AJ76" s="14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row>
    <row r="77" spans="1:156" ht="15.95" customHeight="1" outlineLevel="1" thickTop="1" thickBot="1" x14ac:dyDescent="0.35">
      <c r="A77" s="527"/>
      <c r="B77" s="747" t="s">
        <v>3317</v>
      </c>
      <c r="C77" s="747"/>
      <c r="D77" s="879" t="str">
        <f>IF('C01_BaseCalculation'!W19="","",'C01_BaseCalculation'!W19)</f>
        <v/>
      </c>
      <c r="E77" s="879"/>
      <c r="F77" s="879"/>
      <c r="G77" s="879"/>
      <c r="H77" s="893" t="str">
        <f>'C03_ClassVariables'!N9</f>
        <v/>
      </c>
      <c r="I77" s="893"/>
      <c r="J77" s="890"/>
      <c r="K77" s="890"/>
      <c r="L77" s="890"/>
      <c r="M77" s="890"/>
      <c r="N77" s="750" t="s">
        <v>3318</v>
      </c>
      <c r="O77" s="750"/>
      <c r="P77" s="894" t="str">
        <f>IF(Multiclass5="","",IFERROR(COUNTIF($R$62:$R$81,Multiclass5),""))</f>
        <v/>
      </c>
      <c r="Q77" s="529">
        <f t="shared" si="0"/>
        <v>16</v>
      </c>
      <c r="R77" s="888" t="s">
        <v>619</v>
      </c>
      <c r="S77" s="888"/>
      <c r="T77" s="889"/>
      <c r="U77" s="537">
        <v>4</v>
      </c>
      <c r="V77" s="536"/>
      <c r="W77" s="536"/>
      <c r="X77" s="901" t="s">
        <v>7478</v>
      </c>
      <c r="Y77" s="901"/>
      <c r="Z77" s="901"/>
      <c r="AA77" s="901"/>
      <c r="AB77" s="901"/>
      <c r="AC77" s="901"/>
      <c r="AD77" s="901"/>
      <c r="AE77" s="901"/>
      <c r="AF77" s="526"/>
      <c r="AG77" s="533"/>
      <c r="AH77" s="533"/>
      <c r="AI77" s="533"/>
      <c r="AJ77" s="146"/>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row>
    <row r="78" spans="1:156" ht="15.95" customHeight="1" outlineLevel="1" thickTop="1" thickBot="1" x14ac:dyDescent="0.35">
      <c r="A78" s="527"/>
      <c r="B78" s="747"/>
      <c r="C78" s="747"/>
      <c r="D78" s="879"/>
      <c r="E78" s="879"/>
      <c r="F78" s="879"/>
      <c r="G78" s="879"/>
      <c r="H78" s="893"/>
      <c r="I78" s="893"/>
      <c r="J78" s="890"/>
      <c r="K78" s="890"/>
      <c r="L78" s="890"/>
      <c r="M78" s="890"/>
      <c r="N78" s="750"/>
      <c r="O78" s="750"/>
      <c r="P78" s="894"/>
      <c r="Q78" s="529">
        <f t="shared" si="0"/>
        <v>17</v>
      </c>
      <c r="R78" s="888" t="s">
        <v>619</v>
      </c>
      <c r="S78" s="888"/>
      <c r="T78" s="889"/>
      <c r="U78" s="537">
        <v>10</v>
      </c>
      <c r="V78" s="536"/>
      <c r="W78" s="536"/>
      <c r="X78" s="901"/>
      <c r="Y78" s="901"/>
      <c r="Z78" s="901"/>
      <c r="AA78" s="901"/>
      <c r="AB78" s="901"/>
      <c r="AC78" s="901"/>
      <c r="AD78" s="901"/>
      <c r="AE78" s="901"/>
      <c r="AF78" s="526"/>
      <c r="AG78" s="533"/>
      <c r="AH78" s="533"/>
      <c r="AI78" s="533"/>
      <c r="AJ78" s="146"/>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row>
    <row r="79" spans="1:156" ht="15.95" customHeight="1" outlineLevel="1" thickTop="1" thickBot="1" x14ac:dyDescent="0.35">
      <c r="A79" s="527"/>
      <c r="B79" s="527"/>
      <c r="C79" s="527"/>
      <c r="D79" s="527"/>
      <c r="E79" s="527"/>
      <c r="F79" s="527"/>
      <c r="G79" s="527"/>
      <c r="H79" s="527"/>
      <c r="I79" s="527"/>
      <c r="J79" s="527"/>
      <c r="K79" s="527"/>
      <c r="L79" s="527"/>
      <c r="M79" s="527"/>
      <c r="N79" s="527"/>
      <c r="O79" s="527"/>
      <c r="P79" s="527"/>
      <c r="Q79" s="529">
        <f t="shared" si="0"/>
        <v>18</v>
      </c>
      <c r="R79" s="888" t="s">
        <v>619</v>
      </c>
      <c r="S79" s="888"/>
      <c r="T79" s="889"/>
      <c r="U79" s="537">
        <v>9</v>
      </c>
      <c r="V79" s="536"/>
      <c r="W79" s="536"/>
      <c r="X79" s="901"/>
      <c r="Y79" s="901"/>
      <c r="Z79" s="901"/>
      <c r="AA79" s="901"/>
      <c r="AB79" s="901"/>
      <c r="AC79" s="901"/>
      <c r="AD79" s="901"/>
      <c r="AE79" s="901"/>
      <c r="AF79" s="526"/>
      <c r="AG79" s="533"/>
      <c r="AH79" s="533"/>
      <c r="AI79" s="533"/>
      <c r="AJ79" s="146"/>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row>
    <row r="80" spans="1:156" ht="15.95" customHeight="1" outlineLevel="1" thickTop="1" thickBot="1" x14ac:dyDescent="0.35">
      <c r="A80" s="527"/>
      <c r="B80" s="527"/>
      <c r="C80" s="527"/>
      <c r="D80" s="527"/>
      <c r="E80" s="527"/>
      <c r="F80" s="527"/>
      <c r="G80" s="527"/>
      <c r="H80" s="527"/>
      <c r="I80" s="750" t="s">
        <v>2250</v>
      </c>
      <c r="J80" s="750"/>
      <c r="K80" s="931">
        <f>COUNTA(R62:T81)</f>
        <v>20</v>
      </c>
      <c r="L80" s="750" t="s">
        <v>63</v>
      </c>
      <c r="M80" s="750"/>
      <c r="N80" s="905">
        <f>IFERROR(IFERROR(INDEX(T042_Leveling!$C$4:$C$23,MATCH(Total_Character_Level,T042_Leveling!$A$4:$A$23,0),1),""),"")</f>
        <v>6</v>
      </c>
      <c r="O80" s="905"/>
      <c r="P80" s="527"/>
      <c r="Q80" s="529">
        <f t="shared" si="0"/>
        <v>19</v>
      </c>
      <c r="R80" s="888" t="s">
        <v>619</v>
      </c>
      <c r="S80" s="888"/>
      <c r="T80" s="889"/>
      <c r="U80" s="537">
        <v>1</v>
      </c>
      <c r="V80" s="536"/>
      <c r="W80" s="536"/>
      <c r="X80" s="901"/>
      <c r="Y80" s="901"/>
      <c r="Z80" s="901"/>
      <c r="AA80" s="901"/>
      <c r="AB80" s="901"/>
      <c r="AC80" s="901"/>
      <c r="AD80" s="901"/>
      <c r="AE80" s="901"/>
      <c r="AF80" s="526"/>
      <c r="AG80" s="533"/>
      <c r="AH80" s="533"/>
      <c r="AI80" s="533"/>
      <c r="AJ80" s="146"/>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row>
    <row r="81" spans="1:36" ht="15.95" customHeight="1" outlineLevel="1" thickTop="1" thickBot="1" x14ac:dyDescent="0.35">
      <c r="A81" s="527"/>
      <c r="B81" s="527"/>
      <c r="C81" s="527"/>
      <c r="D81" s="527"/>
      <c r="E81" s="527"/>
      <c r="F81" s="527"/>
      <c r="G81" s="527"/>
      <c r="H81" s="527"/>
      <c r="I81" s="750"/>
      <c r="J81" s="750"/>
      <c r="K81" s="931"/>
      <c r="L81" s="750"/>
      <c r="M81" s="750"/>
      <c r="N81" s="905"/>
      <c r="O81" s="905"/>
      <c r="P81" s="527"/>
      <c r="Q81" s="529">
        <f t="shared" si="0"/>
        <v>20</v>
      </c>
      <c r="R81" s="888" t="s">
        <v>619</v>
      </c>
      <c r="S81" s="888"/>
      <c r="T81" s="889"/>
      <c r="U81" s="537">
        <v>10</v>
      </c>
      <c r="V81" s="536"/>
      <c r="W81" s="536"/>
      <c r="X81" s="901"/>
      <c r="Y81" s="901"/>
      <c r="Z81" s="901"/>
      <c r="AA81" s="901"/>
      <c r="AB81" s="901"/>
      <c r="AC81" s="901"/>
      <c r="AD81" s="901"/>
      <c r="AE81" s="901"/>
      <c r="AF81" s="526"/>
      <c r="AG81" s="533"/>
      <c r="AH81" s="533"/>
      <c r="AI81" s="533"/>
      <c r="AJ81" s="146"/>
    </row>
    <row r="82" spans="1:36" ht="15.95" customHeight="1" outlineLevel="1" thickTop="1" thickBot="1" x14ac:dyDescent="0.4">
      <c r="A82" s="527"/>
      <c r="B82" s="527"/>
      <c r="C82" s="527"/>
      <c r="D82" s="527"/>
      <c r="E82" s="527"/>
      <c r="F82" s="527"/>
      <c r="G82" s="527"/>
      <c r="H82" s="527"/>
      <c r="I82" s="527"/>
      <c r="J82" s="527"/>
      <c r="K82" s="527"/>
      <c r="L82" s="527"/>
      <c r="M82" s="527"/>
      <c r="N82" s="527"/>
      <c r="O82" s="527"/>
      <c r="P82" s="527"/>
      <c r="Q82" s="527"/>
      <c r="V82" s="527"/>
      <c r="W82" s="527"/>
      <c r="X82" s="534"/>
      <c r="Y82" s="534"/>
      <c r="Z82" s="534"/>
      <c r="AA82" s="534"/>
      <c r="AB82" s="534"/>
      <c r="AC82" s="534"/>
      <c r="AD82" s="534"/>
      <c r="AE82" s="534"/>
      <c r="AF82" s="526"/>
      <c r="AG82" s="533"/>
      <c r="AH82" s="533"/>
      <c r="AI82" s="533"/>
      <c r="AJ82" s="146"/>
    </row>
    <row r="83" spans="1:36" ht="15.95" customHeight="1" outlineLevel="1" thickTop="1" thickBot="1" x14ac:dyDescent="0.4">
      <c r="A83" s="527"/>
      <c r="B83" s="771" t="s">
        <v>6658</v>
      </c>
      <c r="C83" s="772"/>
      <c r="D83" s="772"/>
      <c r="E83" s="773"/>
      <c r="F83" s="527"/>
      <c r="G83" s="527"/>
      <c r="H83" s="527"/>
      <c r="I83" s="527"/>
      <c r="J83" s="527"/>
      <c r="K83" s="527"/>
      <c r="L83" s="527"/>
      <c r="M83" s="527"/>
      <c r="N83" s="527"/>
      <c r="O83" s="527"/>
      <c r="P83" s="527"/>
      <c r="Q83" s="527"/>
      <c r="V83" s="527"/>
      <c r="W83" s="527"/>
      <c r="X83" s="534"/>
      <c r="Y83" s="534"/>
      <c r="Z83" s="534"/>
      <c r="AA83" s="534"/>
      <c r="AB83" s="534"/>
      <c r="AC83" s="534"/>
      <c r="AD83" s="534"/>
      <c r="AE83" s="534"/>
      <c r="AF83" s="526"/>
      <c r="AG83" s="533"/>
      <c r="AH83" s="533"/>
      <c r="AI83" s="533"/>
      <c r="AJ83" s="146"/>
    </row>
    <row r="84" spans="1:36" ht="15.95" customHeight="1" outlineLevel="1" thickTop="1" x14ac:dyDescent="0.35">
      <c r="A84" s="527"/>
      <c r="B84" s="527"/>
      <c r="C84" s="527"/>
      <c r="D84" s="527"/>
      <c r="E84" s="527"/>
      <c r="F84" s="527"/>
      <c r="G84" s="527"/>
      <c r="H84" s="527"/>
      <c r="I84" s="527"/>
      <c r="J84" s="527"/>
      <c r="K84" s="527"/>
      <c r="L84" s="527"/>
      <c r="M84" s="527"/>
      <c r="N84" s="527"/>
      <c r="O84" s="527"/>
      <c r="P84" s="527"/>
      <c r="Q84" s="527"/>
      <c r="V84" s="527"/>
      <c r="W84" s="527"/>
      <c r="X84" s="534"/>
      <c r="Y84" s="534"/>
      <c r="Z84" s="534"/>
      <c r="AA84" s="534"/>
      <c r="AB84" s="534"/>
      <c r="AC84" s="534"/>
      <c r="AD84" s="534"/>
      <c r="AE84" s="534"/>
      <c r="AF84" s="526"/>
      <c r="AG84" s="533"/>
      <c r="AH84" s="533"/>
      <c r="AI84" s="533"/>
      <c r="AJ84" s="146"/>
    </row>
    <row r="85" spans="1:36" ht="15.95" customHeight="1" x14ac:dyDescent="0.3">
      <c r="A85" s="527"/>
      <c r="B85" s="749" t="s">
        <v>2233</v>
      </c>
      <c r="C85" s="749"/>
      <c r="D85" s="749"/>
      <c r="E85" s="749"/>
      <c r="F85" s="749"/>
      <c r="G85" s="749"/>
      <c r="H85" s="749"/>
      <c r="I85" s="749"/>
      <c r="J85" s="749"/>
      <c r="K85" s="749"/>
      <c r="L85" s="749"/>
      <c r="M85" s="749"/>
      <c r="N85" s="749"/>
      <c r="O85" s="749"/>
      <c r="P85" s="749"/>
      <c r="Q85" s="749"/>
      <c r="R85" s="749"/>
      <c r="S85" s="749"/>
      <c r="T85" s="749"/>
      <c r="U85" s="749"/>
      <c r="V85" s="749"/>
      <c r="W85" s="749"/>
      <c r="X85" s="749"/>
      <c r="Y85" s="749"/>
      <c r="Z85" s="749"/>
      <c r="AA85" s="749"/>
      <c r="AB85" s="749"/>
      <c r="AC85" s="749"/>
      <c r="AD85" s="749"/>
      <c r="AE85" s="749"/>
      <c r="AF85" s="526"/>
      <c r="AG85" s="533"/>
      <c r="AH85" s="533"/>
      <c r="AI85" s="533"/>
      <c r="AJ85" s="146"/>
    </row>
    <row r="86" spans="1:36" ht="15.95" customHeight="1" x14ac:dyDescent="0.3">
      <c r="A86" s="527"/>
      <c r="B86" s="749"/>
      <c r="C86" s="749"/>
      <c r="D86" s="749"/>
      <c r="E86" s="749"/>
      <c r="F86" s="749"/>
      <c r="G86" s="749"/>
      <c r="H86" s="749"/>
      <c r="I86" s="749"/>
      <c r="J86" s="749"/>
      <c r="K86" s="749"/>
      <c r="L86" s="749"/>
      <c r="M86" s="749"/>
      <c r="N86" s="749"/>
      <c r="O86" s="749"/>
      <c r="P86" s="749"/>
      <c r="Q86" s="749"/>
      <c r="R86" s="749"/>
      <c r="S86" s="749"/>
      <c r="T86" s="749"/>
      <c r="U86" s="749"/>
      <c r="V86" s="749"/>
      <c r="W86" s="749"/>
      <c r="X86" s="749"/>
      <c r="Y86" s="749"/>
      <c r="Z86" s="749"/>
      <c r="AA86" s="749"/>
      <c r="AB86" s="749"/>
      <c r="AC86" s="749"/>
      <c r="AD86" s="749"/>
      <c r="AE86" s="749"/>
      <c r="AF86" s="526"/>
      <c r="AG86" s="533"/>
      <c r="AH86" s="533"/>
      <c r="AI86" s="533"/>
      <c r="AJ86" s="146"/>
    </row>
    <row r="87" spans="1:36" ht="15.95" customHeight="1" outlineLevel="1" x14ac:dyDescent="0.35">
      <c r="A87" s="527"/>
      <c r="B87" s="527"/>
      <c r="C87" s="527"/>
      <c r="D87" s="527"/>
      <c r="E87" s="527"/>
      <c r="F87" s="527"/>
      <c r="G87" s="527"/>
      <c r="H87" s="527"/>
      <c r="I87" s="527"/>
      <c r="J87" s="527"/>
      <c r="K87" s="527"/>
      <c r="L87" s="527"/>
      <c r="M87" s="527"/>
      <c r="N87" s="527"/>
      <c r="O87" s="527"/>
      <c r="P87" s="527"/>
      <c r="Q87" s="527"/>
      <c r="R87" s="527"/>
      <c r="S87" s="527"/>
      <c r="T87" s="527"/>
      <c r="U87" s="527"/>
      <c r="V87" s="527"/>
      <c r="W87" s="527"/>
      <c r="X87" s="534"/>
      <c r="Y87" s="534"/>
      <c r="Z87" s="534"/>
      <c r="AA87" s="534"/>
      <c r="AB87" s="534"/>
      <c r="AC87" s="534"/>
      <c r="AD87" s="534"/>
      <c r="AE87" s="534"/>
      <c r="AF87" s="526"/>
      <c r="AG87" s="533"/>
      <c r="AH87" s="533"/>
      <c r="AI87" s="533"/>
      <c r="AJ87" s="146"/>
    </row>
    <row r="88" spans="1:36" ht="15.95" customHeight="1" outlineLevel="1" x14ac:dyDescent="0.35">
      <c r="A88" s="527"/>
      <c r="B88" s="711" t="s">
        <v>2220</v>
      </c>
      <c r="C88" s="711"/>
      <c r="D88" s="892" t="str">
        <f>IFERROR(INDEX(T02_Backgrounds!$F$2:$F$102,SelectedBackgroundId,1),"")</f>
        <v>Arcana</v>
      </c>
      <c r="E88" s="892"/>
      <c r="F88" s="892"/>
      <c r="G88" s="527"/>
      <c r="H88" s="527"/>
      <c r="I88" s="527"/>
      <c r="J88" s="527"/>
      <c r="K88" s="527"/>
      <c r="L88" s="527"/>
      <c r="M88" s="711" t="str">
        <f>'C03_ClassVariables'!AQ192</f>
        <v>Skill1</v>
      </c>
      <c r="N88" s="711"/>
      <c r="O88" s="878"/>
      <c r="P88" s="878"/>
      <c r="Q88" s="878"/>
      <c r="R88" s="527"/>
      <c r="S88" s="871" t="s">
        <v>2274</v>
      </c>
      <c r="T88" s="871"/>
      <c r="U88" s="871"/>
      <c r="V88" s="871"/>
      <c r="W88" s="871"/>
      <c r="X88" s="534"/>
      <c r="Y88" s="534"/>
      <c r="Z88" s="534"/>
      <c r="AA88" s="534"/>
      <c r="AB88" s="534"/>
      <c r="AC88" s="534"/>
      <c r="AD88" s="534"/>
      <c r="AE88" s="534"/>
      <c r="AF88" s="526"/>
      <c r="AG88" s="533"/>
      <c r="AH88" s="533"/>
      <c r="AI88" s="533"/>
      <c r="AJ88" s="146"/>
    </row>
    <row r="89" spans="1:36" ht="15.95" customHeight="1" outlineLevel="1" x14ac:dyDescent="0.35">
      <c r="A89" s="527"/>
      <c r="B89" s="711"/>
      <c r="C89" s="711"/>
      <c r="D89" s="892"/>
      <c r="E89" s="892"/>
      <c r="F89" s="892"/>
      <c r="G89" s="527"/>
      <c r="H89" s="527"/>
      <c r="I89" s="527"/>
      <c r="J89" s="527"/>
      <c r="K89" s="527"/>
      <c r="L89" s="527"/>
      <c r="M89" s="711"/>
      <c r="N89" s="711"/>
      <c r="O89" s="878"/>
      <c r="P89" s="878"/>
      <c r="Q89" s="878"/>
      <c r="R89" s="527"/>
      <c r="S89" s="871"/>
      <c r="T89" s="871"/>
      <c r="U89" s="871"/>
      <c r="V89" s="871"/>
      <c r="W89" s="871"/>
      <c r="X89" s="534"/>
      <c r="Y89" s="534"/>
      <c r="Z89" s="534"/>
      <c r="AA89" s="534"/>
      <c r="AB89" s="534"/>
      <c r="AC89" s="534"/>
      <c r="AD89" s="534"/>
      <c r="AE89" s="534"/>
      <c r="AF89" s="526"/>
      <c r="AG89" s="533"/>
      <c r="AH89" s="533"/>
      <c r="AI89" s="533"/>
      <c r="AJ89" s="146"/>
    </row>
    <row r="90" spans="1:36" ht="15.95" customHeight="1" outlineLevel="1" x14ac:dyDescent="0.35">
      <c r="A90" s="527"/>
      <c r="B90" s="711" t="s">
        <v>2220</v>
      </c>
      <c r="C90" s="711"/>
      <c r="D90" s="892" t="str">
        <f>IFERROR(INDEX(T02_Backgrounds!$G$2:$G$102,SelectedBackgroundId,1),"")</f>
        <v>History</v>
      </c>
      <c r="E90" s="892"/>
      <c r="F90" s="892"/>
      <c r="G90" s="527"/>
      <c r="H90" s="881" t="s">
        <v>2222</v>
      </c>
      <c r="I90" s="881"/>
      <c r="J90" s="895">
        <f>IFERROR(INDEX(T04_Classes!N3:N102,SelectedClassID,1),"")</f>
        <v>2</v>
      </c>
      <c r="K90" s="895"/>
      <c r="L90" s="527"/>
      <c r="M90" s="711" t="str">
        <f>'C03_ClassVariables'!AW192</f>
        <v>Skill2</v>
      </c>
      <c r="N90" s="711"/>
      <c r="O90" s="878"/>
      <c r="P90" s="878"/>
      <c r="Q90" s="878"/>
      <c r="R90" s="527"/>
      <c r="S90" s="711" t="s">
        <v>3578</v>
      </c>
      <c r="T90" s="711"/>
      <c r="U90" s="882"/>
      <c r="V90" s="882"/>
      <c r="W90" s="882"/>
      <c r="X90" s="534"/>
      <c r="Y90" s="534"/>
      <c r="Z90" s="534"/>
      <c r="AA90" s="534"/>
      <c r="AB90" s="534"/>
      <c r="AC90" s="534"/>
      <c r="AD90" s="534"/>
      <c r="AE90" s="534"/>
      <c r="AF90" s="526"/>
      <c r="AG90" s="533"/>
      <c r="AH90" s="533"/>
      <c r="AI90" s="533"/>
      <c r="AJ90" s="146"/>
    </row>
    <row r="91" spans="1:36" ht="15.95" customHeight="1" outlineLevel="1" x14ac:dyDescent="0.35">
      <c r="A91" s="527"/>
      <c r="B91" s="711"/>
      <c r="C91" s="711"/>
      <c r="D91" s="892"/>
      <c r="E91" s="892"/>
      <c r="F91" s="892"/>
      <c r="G91" s="527"/>
      <c r="H91" s="881"/>
      <c r="I91" s="881"/>
      <c r="J91" s="895"/>
      <c r="K91" s="895"/>
      <c r="L91" s="527"/>
      <c r="M91" s="711"/>
      <c r="N91" s="711"/>
      <c r="O91" s="878"/>
      <c r="P91" s="878"/>
      <c r="Q91" s="878"/>
      <c r="R91" s="527"/>
      <c r="S91" s="711"/>
      <c r="T91" s="711"/>
      <c r="U91" s="882"/>
      <c r="V91" s="882"/>
      <c r="W91" s="882"/>
      <c r="X91" s="534"/>
      <c r="Y91" s="534"/>
      <c r="Z91" s="534"/>
      <c r="AA91" s="534"/>
      <c r="AB91" s="534"/>
      <c r="AC91" s="534"/>
      <c r="AD91" s="534"/>
      <c r="AE91" s="534"/>
      <c r="AF91" s="526"/>
      <c r="AG91" s="533"/>
      <c r="AH91" s="533"/>
      <c r="AI91" s="533"/>
      <c r="AJ91" s="146"/>
    </row>
    <row r="92" spans="1:36" ht="15.95" customHeight="1" outlineLevel="1" x14ac:dyDescent="0.35">
      <c r="A92" s="527"/>
      <c r="B92" s="711" t="s">
        <v>2219</v>
      </c>
      <c r="C92" s="711"/>
      <c r="D92" s="892" t="str">
        <f>IFERROR(IF(INDEX(T01_Races!$AQ$2:$AQ$101,SelectedRaceID,1)=0,"n/a",INDEX(T01_Races!$AQ$2:$AQ$101,SelectedRaceID,1)),"")</f>
        <v>n/a</v>
      </c>
      <c r="E92" s="892"/>
      <c r="F92" s="892"/>
      <c r="G92" s="527"/>
      <c r="H92" s="527"/>
      <c r="I92" s="527"/>
      <c r="J92" s="527"/>
      <c r="K92" s="527"/>
      <c r="L92" s="527"/>
      <c r="M92" s="711" t="str">
        <f>'C03_ClassVariables'!BC192</f>
        <v>Skill3</v>
      </c>
      <c r="N92" s="711"/>
      <c r="O92" s="878"/>
      <c r="P92" s="878"/>
      <c r="Q92" s="878"/>
      <c r="R92" s="527"/>
      <c r="S92" s="711" t="s">
        <v>3579</v>
      </c>
      <c r="T92" s="711"/>
      <c r="U92" s="882"/>
      <c r="V92" s="882"/>
      <c r="W92" s="882"/>
      <c r="X92" s="534"/>
      <c r="Y92" s="534"/>
      <c r="Z92" s="534"/>
      <c r="AA92" s="534"/>
      <c r="AB92" s="534"/>
      <c r="AC92" s="534"/>
      <c r="AD92" s="534"/>
      <c r="AE92" s="534"/>
      <c r="AF92" s="526"/>
      <c r="AG92" s="533"/>
      <c r="AH92" s="533"/>
      <c r="AI92" s="533"/>
      <c r="AJ92" s="146"/>
    </row>
    <row r="93" spans="1:36" ht="15.95" customHeight="1" outlineLevel="1" x14ac:dyDescent="0.35">
      <c r="A93" s="527"/>
      <c r="B93" s="711"/>
      <c r="C93" s="711"/>
      <c r="D93" s="892"/>
      <c r="E93" s="892"/>
      <c r="F93" s="892"/>
      <c r="G93" s="527"/>
      <c r="H93" s="881" t="s">
        <v>3319</v>
      </c>
      <c r="I93" s="881"/>
      <c r="J93" s="896">
        <f>IFERROR(J90-IF(D94="",0,1)-IF(D96="",0,1)-IF(OR(SelectedSkill8="n/a",SelectedSkill8=""),0,1)-IF(OR(SelectedSkill9="n/a",SelectedSkill9=""),0,1),"")</f>
        <v>0</v>
      </c>
      <c r="K93" s="896"/>
      <c r="L93" s="527"/>
      <c r="M93" s="711"/>
      <c r="N93" s="711"/>
      <c r="O93" s="878"/>
      <c r="P93" s="878"/>
      <c r="Q93" s="878"/>
      <c r="R93" s="527"/>
      <c r="S93" s="711"/>
      <c r="T93" s="711"/>
      <c r="U93" s="882"/>
      <c r="V93" s="882"/>
      <c r="W93" s="882"/>
      <c r="X93" s="534"/>
      <c r="Y93" s="534"/>
      <c r="Z93" s="534"/>
      <c r="AA93" s="534"/>
      <c r="AB93" s="534"/>
      <c r="AC93" s="534"/>
      <c r="AD93" s="534"/>
      <c r="AE93" s="534"/>
      <c r="AF93" s="526"/>
      <c r="AG93" s="533"/>
      <c r="AH93" s="533"/>
      <c r="AI93" s="533"/>
      <c r="AJ93" s="146"/>
    </row>
    <row r="94" spans="1:36" ht="15.95" customHeight="1" outlineLevel="1" x14ac:dyDescent="0.35">
      <c r="A94" s="527"/>
      <c r="B94" s="711" t="s">
        <v>2218</v>
      </c>
      <c r="C94" s="711"/>
      <c r="D94" s="878" t="s">
        <v>607</v>
      </c>
      <c r="E94" s="878"/>
      <c r="F94" s="878"/>
      <c r="G94" s="527"/>
      <c r="H94" s="881"/>
      <c r="I94" s="881"/>
      <c r="J94" s="896"/>
      <c r="K94" s="896"/>
      <c r="L94" s="527"/>
      <c r="M94" s="711" t="str">
        <f>'C03_ClassVariables'!BI192</f>
        <v>Skill4</v>
      </c>
      <c r="N94" s="711"/>
      <c r="O94" s="878"/>
      <c r="P94" s="878"/>
      <c r="Q94" s="878"/>
      <c r="R94" s="527"/>
      <c r="S94" s="711" t="s">
        <v>3580</v>
      </c>
      <c r="T94" s="711"/>
      <c r="U94" s="882"/>
      <c r="V94" s="882"/>
      <c r="W94" s="882"/>
      <c r="X94" s="534"/>
      <c r="Y94" s="534"/>
      <c r="Z94" s="534"/>
      <c r="AA94" s="534"/>
      <c r="AB94" s="534"/>
      <c r="AC94" s="534"/>
      <c r="AD94" s="534"/>
      <c r="AE94" s="534"/>
      <c r="AF94" s="526"/>
      <c r="AG94" s="533"/>
      <c r="AH94" s="533"/>
      <c r="AI94" s="533"/>
      <c r="AJ94" s="146"/>
    </row>
    <row r="95" spans="1:36" ht="15.95" customHeight="1" outlineLevel="1" x14ac:dyDescent="0.35">
      <c r="A95" s="527"/>
      <c r="B95" s="711"/>
      <c r="C95" s="711"/>
      <c r="D95" s="878"/>
      <c r="E95" s="878"/>
      <c r="F95" s="878"/>
      <c r="G95" s="527"/>
      <c r="H95" s="527"/>
      <c r="I95" s="527"/>
      <c r="J95" s="527"/>
      <c r="K95" s="527"/>
      <c r="L95" s="527"/>
      <c r="M95" s="711"/>
      <c r="N95" s="711"/>
      <c r="O95" s="878"/>
      <c r="P95" s="878"/>
      <c r="Q95" s="878"/>
      <c r="R95" s="527"/>
      <c r="S95" s="711"/>
      <c r="T95" s="711"/>
      <c r="U95" s="882"/>
      <c r="V95" s="882"/>
      <c r="W95" s="882"/>
      <c r="X95" s="534"/>
      <c r="Y95" s="534"/>
      <c r="Z95" s="534"/>
      <c r="AA95" s="534"/>
      <c r="AB95" s="534"/>
      <c r="AC95" s="534"/>
      <c r="AD95" s="534"/>
      <c r="AE95" s="534"/>
      <c r="AF95" s="526"/>
      <c r="AG95" s="533"/>
      <c r="AH95" s="533"/>
      <c r="AI95" s="533"/>
      <c r="AJ95" s="146"/>
    </row>
    <row r="96" spans="1:36" ht="15.95" customHeight="1" outlineLevel="1" x14ac:dyDescent="0.35">
      <c r="A96" s="527"/>
      <c r="B96" s="711" t="s">
        <v>2218</v>
      </c>
      <c r="C96" s="711"/>
      <c r="D96" s="878" t="s">
        <v>86</v>
      </c>
      <c r="E96" s="878"/>
      <c r="F96" s="878"/>
      <c r="G96" s="527"/>
      <c r="H96" s="527"/>
      <c r="I96" s="527"/>
      <c r="J96" s="527"/>
      <c r="K96" s="527"/>
      <c r="L96" s="527"/>
      <c r="M96" s="711" t="str">
        <f>'C03_ClassVariables'!BO192</f>
        <v>Skill5</v>
      </c>
      <c r="N96" s="711"/>
      <c r="O96" s="878"/>
      <c r="P96" s="878"/>
      <c r="Q96" s="878"/>
      <c r="R96" s="527"/>
      <c r="S96" s="711" t="s">
        <v>3581</v>
      </c>
      <c r="T96" s="711"/>
      <c r="U96" s="882"/>
      <c r="V96" s="882"/>
      <c r="W96" s="882"/>
      <c r="X96" s="534"/>
      <c r="Y96" s="534"/>
      <c r="Z96" s="534"/>
      <c r="AA96" s="534"/>
      <c r="AB96" s="534"/>
      <c r="AC96" s="534"/>
      <c r="AD96" s="534"/>
      <c r="AE96" s="534"/>
      <c r="AF96" s="526"/>
      <c r="AG96" s="533"/>
      <c r="AH96" s="533"/>
      <c r="AI96" s="533"/>
      <c r="AJ96" s="146"/>
    </row>
    <row r="97" spans="1:166" ht="15.95" customHeight="1" outlineLevel="1" x14ac:dyDescent="0.35">
      <c r="A97" s="527"/>
      <c r="B97" s="711"/>
      <c r="C97" s="711"/>
      <c r="D97" s="878"/>
      <c r="E97" s="878"/>
      <c r="F97" s="878"/>
      <c r="G97" s="527"/>
      <c r="H97" s="527"/>
      <c r="I97" s="527"/>
      <c r="J97" s="527"/>
      <c r="K97" s="527"/>
      <c r="L97" s="527"/>
      <c r="M97" s="711"/>
      <c r="N97" s="711"/>
      <c r="O97" s="878"/>
      <c r="P97" s="878"/>
      <c r="Q97" s="878"/>
      <c r="R97" s="527"/>
      <c r="S97" s="711"/>
      <c r="T97" s="711"/>
      <c r="U97" s="882"/>
      <c r="V97" s="882"/>
      <c r="W97" s="882"/>
      <c r="X97" s="534"/>
      <c r="Y97" s="534"/>
      <c r="Z97" s="534"/>
      <c r="AA97" s="534"/>
      <c r="AB97" s="534"/>
      <c r="AC97" s="534"/>
      <c r="AD97" s="534"/>
      <c r="AE97" s="534"/>
      <c r="AF97" s="526"/>
      <c r="AG97" s="533"/>
      <c r="AH97" s="533"/>
      <c r="AI97" s="533"/>
      <c r="AJ97" s="146"/>
    </row>
    <row r="98" spans="1:166" ht="15.95" customHeight="1" outlineLevel="1" x14ac:dyDescent="0.35">
      <c r="A98" s="527"/>
      <c r="B98" s="711" t="s">
        <v>2218</v>
      </c>
      <c r="C98" s="711"/>
      <c r="D98" s="878"/>
      <c r="E98" s="878"/>
      <c r="F98" s="878"/>
      <c r="G98" s="527"/>
      <c r="H98" s="527"/>
      <c r="I98" s="527"/>
      <c r="J98" s="527"/>
      <c r="K98" s="527"/>
      <c r="L98" s="527"/>
      <c r="M98" s="711" t="str">
        <f>'C03_ClassVariables'!BU192</f>
        <v>Skill6</v>
      </c>
      <c r="N98" s="711"/>
      <c r="O98" s="878"/>
      <c r="P98" s="878"/>
      <c r="Q98" s="878"/>
      <c r="R98" s="527"/>
      <c r="S98" s="711" t="s">
        <v>3588</v>
      </c>
      <c r="T98" s="711"/>
      <c r="U98" s="882"/>
      <c r="V98" s="882"/>
      <c r="W98" s="882"/>
      <c r="X98" s="534"/>
      <c r="Y98" s="534"/>
      <c r="Z98" s="534"/>
      <c r="AA98" s="534"/>
      <c r="AB98" s="534"/>
      <c r="AC98" s="534"/>
      <c r="AD98" s="534"/>
      <c r="AE98" s="534"/>
      <c r="AF98" s="526"/>
      <c r="AG98" s="533"/>
      <c r="AH98" s="533"/>
      <c r="AI98" s="533"/>
      <c r="AJ98" s="146"/>
    </row>
    <row r="99" spans="1:166" ht="15.95" customHeight="1" outlineLevel="1" x14ac:dyDescent="0.35">
      <c r="A99" s="527"/>
      <c r="B99" s="711"/>
      <c r="C99" s="711"/>
      <c r="D99" s="878"/>
      <c r="E99" s="878"/>
      <c r="F99" s="878"/>
      <c r="G99" s="527"/>
      <c r="H99" s="527"/>
      <c r="I99" s="527"/>
      <c r="J99" s="527"/>
      <c r="K99" s="527"/>
      <c r="L99" s="527"/>
      <c r="M99" s="711"/>
      <c r="N99" s="711"/>
      <c r="O99" s="878"/>
      <c r="P99" s="878"/>
      <c r="Q99" s="878"/>
      <c r="R99" s="527"/>
      <c r="S99" s="711"/>
      <c r="T99" s="711"/>
      <c r="U99" s="882"/>
      <c r="V99" s="882"/>
      <c r="W99" s="882"/>
      <c r="X99" s="534"/>
      <c r="Y99" s="534"/>
      <c r="Z99" s="534"/>
      <c r="AA99" s="534"/>
      <c r="AB99" s="534"/>
      <c r="AC99" s="534"/>
      <c r="AD99" s="534"/>
      <c r="AE99" s="534"/>
      <c r="AF99" s="526"/>
      <c r="AG99" s="533"/>
      <c r="AH99" s="533"/>
      <c r="AI99" s="533"/>
      <c r="AJ99" s="146"/>
    </row>
    <row r="100" spans="1:166" ht="15.95" customHeight="1" outlineLevel="1" x14ac:dyDescent="0.35">
      <c r="A100" s="527"/>
      <c r="B100" s="711" t="s">
        <v>2218</v>
      </c>
      <c r="C100" s="711"/>
      <c r="D100" s="878"/>
      <c r="E100" s="878"/>
      <c r="F100" s="878"/>
      <c r="G100" s="527"/>
      <c r="H100" s="527"/>
      <c r="I100" s="527"/>
      <c r="J100" s="527"/>
      <c r="K100" s="527"/>
      <c r="L100" s="527"/>
      <c r="M100" s="711" t="str">
        <f>'C03_ClassVariables'!CA192</f>
        <v>Skill7</v>
      </c>
      <c r="N100" s="711"/>
      <c r="O100" s="878"/>
      <c r="P100" s="878"/>
      <c r="Q100" s="878"/>
      <c r="R100" s="527"/>
      <c r="S100" s="711" t="s">
        <v>3589</v>
      </c>
      <c r="T100" s="711"/>
      <c r="U100" s="882"/>
      <c r="V100" s="882"/>
      <c r="W100" s="882"/>
      <c r="X100" s="534"/>
      <c r="Y100" s="534"/>
      <c r="Z100" s="534"/>
      <c r="AA100" s="534"/>
      <c r="AB100" s="534"/>
      <c r="AC100" s="534"/>
      <c r="AD100" s="534"/>
      <c r="AE100" s="534"/>
      <c r="AF100" s="526"/>
      <c r="AG100" s="533"/>
      <c r="AH100" s="533"/>
      <c r="AI100" s="533"/>
      <c r="AJ100" s="146"/>
    </row>
    <row r="101" spans="1:166" ht="15.95" customHeight="1" outlineLevel="1" x14ac:dyDescent="0.35">
      <c r="A101" s="527"/>
      <c r="B101" s="711"/>
      <c r="C101" s="711"/>
      <c r="D101" s="878"/>
      <c r="E101" s="878"/>
      <c r="F101" s="878"/>
      <c r="G101" s="527"/>
      <c r="H101" s="881" t="s">
        <v>606</v>
      </c>
      <c r="I101" s="881"/>
      <c r="J101" s="895">
        <f>IFERROR(INDEX(T01_Races!$AS$2:$AS$101,SelectedRaceID,1),"")</f>
        <v>1</v>
      </c>
      <c r="K101" s="895"/>
      <c r="L101" s="527"/>
      <c r="M101" s="711"/>
      <c r="N101" s="711"/>
      <c r="O101" s="878"/>
      <c r="P101" s="878"/>
      <c r="Q101" s="878"/>
      <c r="R101" s="527"/>
      <c r="S101" s="711"/>
      <c r="T101" s="711"/>
      <c r="U101" s="882"/>
      <c r="V101" s="882"/>
      <c r="W101" s="882"/>
      <c r="X101" s="534"/>
      <c r="Y101" s="534"/>
      <c r="Z101" s="534"/>
      <c r="AA101" s="534"/>
      <c r="AB101" s="534"/>
      <c r="AC101" s="534"/>
      <c r="AD101" s="534"/>
      <c r="AE101" s="534"/>
      <c r="AF101" s="526"/>
      <c r="AG101" s="533"/>
      <c r="AH101" s="533"/>
      <c r="AI101" s="533"/>
      <c r="AJ101" s="146"/>
    </row>
    <row r="102" spans="1:166" ht="15.95" customHeight="1" outlineLevel="1" x14ac:dyDescent="0.35">
      <c r="A102" s="527"/>
      <c r="B102" s="711" t="s">
        <v>2221</v>
      </c>
      <c r="C102" s="711"/>
      <c r="D102" s="878" t="s">
        <v>609</v>
      </c>
      <c r="E102" s="878"/>
      <c r="F102" s="878"/>
      <c r="G102" s="527"/>
      <c r="H102" s="881"/>
      <c r="I102" s="881"/>
      <c r="J102" s="895"/>
      <c r="K102" s="895"/>
      <c r="L102" s="527"/>
      <c r="M102" s="711" t="str">
        <f>'C03_ClassVariables'!CG192</f>
        <v>Skill8</v>
      </c>
      <c r="N102" s="711"/>
      <c r="O102" s="878"/>
      <c r="P102" s="878"/>
      <c r="Q102" s="878"/>
      <c r="R102" s="527"/>
      <c r="S102" s="711" t="s">
        <v>3590</v>
      </c>
      <c r="T102" s="711"/>
      <c r="U102" s="882"/>
      <c r="V102" s="882"/>
      <c r="W102" s="882"/>
      <c r="X102" s="534"/>
      <c r="Y102" s="534"/>
      <c r="Z102" s="534"/>
      <c r="AA102" s="534"/>
      <c r="AB102" s="534"/>
      <c r="AC102" s="534"/>
      <c r="AD102" s="534"/>
      <c r="AE102" s="534"/>
      <c r="AF102" s="526"/>
      <c r="AG102" s="533"/>
      <c r="AH102" s="533"/>
      <c r="AI102" s="533"/>
      <c r="AJ102" s="146"/>
    </row>
    <row r="103" spans="1:166" ht="15.95" customHeight="1" outlineLevel="1" x14ac:dyDescent="0.35">
      <c r="A103" s="527"/>
      <c r="B103" s="711"/>
      <c r="C103" s="711"/>
      <c r="D103" s="878"/>
      <c r="E103" s="878"/>
      <c r="F103" s="878"/>
      <c r="G103" s="527"/>
      <c r="H103" s="527"/>
      <c r="I103" s="527"/>
      <c r="J103" s="527"/>
      <c r="K103" s="527"/>
      <c r="L103" s="527"/>
      <c r="M103" s="711"/>
      <c r="N103" s="711"/>
      <c r="O103" s="878"/>
      <c r="P103" s="878"/>
      <c r="Q103" s="878"/>
      <c r="R103" s="527"/>
      <c r="S103" s="711"/>
      <c r="T103" s="711"/>
      <c r="U103" s="882"/>
      <c r="V103" s="882"/>
      <c r="W103" s="882"/>
      <c r="X103" s="534"/>
      <c r="Y103" s="534"/>
      <c r="Z103" s="534"/>
      <c r="AA103" s="534"/>
      <c r="AB103" s="534"/>
      <c r="AC103" s="534"/>
      <c r="AD103" s="534"/>
      <c r="AE103" s="534"/>
      <c r="AF103" s="526"/>
      <c r="AG103" s="533"/>
      <c r="AH103" s="533"/>
      <c r="AI103" s="533"/>
      <c r="AJ103" s="146"/>
    </row>
    <row r="104" spans="1:166" ht="15.95" customHeight="1" outlineLevel="1" x14ac:dyDescent="0.35">
      <c r="A104" s="527"/>
      <c r="B104" s="711" t="s">
        <v>2221</v>
      </c>
      <c r="C104" s="711"/>
      <c r="D104" s="878"/>
      <c r="E104" s="878"/>
      <c r="F104" s="878"/>
      <c r="G104" s="527"/>
      <c r="H104" s="881" t="s">
        <v>3319</v>
      </c>
      <c r="I104" s="881"/>
      <c r="J104" s="896">
        <f>IFERROR($J$101-IF(OR(SelectedSkill4="n/a",SelectedSkill4=""),0,1)-IF(OR(SelectedSkill5="n/a",SelectedSkill5=""),0,1),"")</f>
        <v>0</v>
      </c>
      <c r="K104" s="896"/>
      <c r="L104" s="527"/>
      <c r="M104" s="711" t="str">
        <f>'C03_ClassVariables'!CM192</f>
        <v>Skill9</v>
      </c>
      <c r="N104" s="711"/>
      <c r="O104" s="878"/>
      <c r="P104" s="878"/>
      <c r="Q104" s="878"/>
      <c r="R104" s="527"/>
      <c r="S104" s="711" t="s">
        <v>3591</v>
      </c>
      <c r="T104" s="711"/>
      <c r="U104" s="882"/>
      <c r="V104" s="882"/>
      <c r="W104" s="882"/>
      <c r="X104" s="534"/>
      <c r="Y104" s="534"/>
      <c r="Z104" s="534"/>
      <c r="AA104" s="534"/>
      <c r="AB104" s="534"/>
      <c r="AC104" s="534"/>
      <c r="AD104" s="534"/>
      <c r="AE104" s="534"/>
      <c r="AF104" s="526"/>
      <c r="AG104" s="533"/>
      <c r="AH104" s="533"/>
      <c r="AI104" s="533"/>
      <c r="AJ104" s="146"/>
    </row>
    <row r="105" spans="1:166" ht="15.95" customHeight="1" outlineLevel="1" x14ac:dyDescent="0.35">
      <c r="A105" s="527"/>
      <c r="B105" s="711"/>
      <c r="C105" s="711"/>
      <c r="D105" s="878"/>
      <c r="E105" s="878"/>
      <c r="F105" s="878"/>
      <c r="G105" s="527"/>
      <c r="H105" s="881"/>
      <c r="I105" s="881"/>
      <c r="J105" s="896"/>
      <c r="K105" s="896"/>
      <c r="L105" s="527"/>
      <c r="M105" s="711"/>
      <c r="N105" s="711"/>
      <c r="O105" s="878"/>
      <c r="P105" s="878"/>
      <c r="Q105" s="878"/>
      <c r="R105" s="527"/>
      <c r="S105" s="711"/>
      <c r="T105" s="711"/>
      <c r="U105" s="882"/>
      <c r="V105" s="882"/>
      <c r="W105" s="882"/>
      <c r="X105" s="534"/>
      <c r="Y105" s="534"/>
      <c r="Z105" s="534"/>
      <c r="AA105" s="534"/>
      <c r="AB105" s="534"/>
      <c r="AC105" s="534"/>
      <c r="AD105" s="534"/>
      <c r="AE105" s="534"/>
      <c r="AF105" s="526"/>
      <c r="AG105" s="533"/>
      <c r="AH105" s="533"/>
      <c r="AI105" s="533"/>
      <c r="AJ105" s="146"/>
    </row>
    <row r="106" spans="1:166" ht="15.95" customHeight="1" outlineLevel="1" x14ac:dyDescent="0.35">
      <c r="A106" s="527"/>
      <c r="B106" s="711" t="s">
        <v>2220</v>
      </c>
      <c r="C106" s="711"/>
      <c r="D106" s="754"/>
      <c r="E106" s="754"/>
      <c r="F106" s="754"/>
      <c r="G106" s="527"/>
      <c r="H106" s="527"/>
      <c r="I106" s="527"/>
      <c r="J106" s="527"/>
      <c r="K106" s="527"/>
      <c r="L106" s="527"/>
      <c r="M106" s="711" t="str">
        <f>'C03_ClassVariables'!CS192</f>
        <v>Skill10</v>
      </c>
      <c r="N106" s="711"/>
      <c r="O106" s="878"/>
      <c r="P106" s="878"/>
      <c r="Q106" s="878"/>
      <c r="R106" s="527"/>
      <c r="S106" s="527"/>
      <c r="T106" s="527"/>
      <c r="U106" s="527"/>
      <c r="V106" s="527"/>
      <c r="W106" s="527"/>
      <c r="X106" s="534"/>
      <c r="Y106" s="534"/>
      <c r="Z106" s="534"/>
      <c r="AA106" s="534"/>
      <c r="AB106" s="534"/>
      <c r="AC106" s="534"/>
      <c r="AD106" s="534"/>
      <c r="AE106" s="534"/>
      <c r="AF106" s="526"/>
      <c r="AG106" s="533"/>
      <c r="AH106" s="533"/>
      <c r="AI106" s="533"/>
      <c r="AJ106" s="146"/>
    </row>
    <row r="107" spans="1:166" ht="15.95" customHeight="1" outlineLevel="1" collapsed="1" x14ac:dyDescent="0.35">
      <c r="A107" s="527"/>
      <c r="B107" s="711"/>
      <c r="C107" s="711"/>
      <c r="D107" s="754"/>
      <c r="E107" s="754"/>
      <c r="F107" s="754"/>
      <c r="G107" s="527"/>
      <c r="H107" s="527"/>
      <c r="I107" s="527"/>
      <c r="J107" s="527"/>
      <c r="K107" s="527"/>
      <c r="L107" s="527"/>
      <c r="M107" s="711"/>
      <c r="N107" s="711"/>
      <c r="O107" s="878"/>
      <c r="P107" s="878"/>
      <c r="Q107" s="878"/>
      <c r="R107" s="527"/>
      <c r="S107" s="527"/>
      <c r="T107" s="527"/>
      <c r="U107" s="527"/>
      <c r="V107" s="527"/>
      <c r="W107" s="527"/>
      <c r="X107" s="534"/>
      <c r="Y107" s="534"/>
      <c r="Z107" s="534"/>
      <c r="AA107" s="534"/>
      <c r="AB107" s="534"/>
      <c r="AC107" s="534"/>
      <c r="AD107" s="534"/>
      <c r="AE107" s="534"/>
      <c r="AF107" s="526"/>
      <c r="AG107" s="533"/>
      <c r="AH107" s="533"/>
      <c r="AI107" s="533"/>
      <c r="AJ107" s="146"/>
    </row>
    <row r="108" spans="1:166" ht="15.95" customHeight="1" outlineLevel="1" x14ac:dyDescent="0.35">
      <c r="A108" s="527"/>
      <c r="B108" s="711" t="s">
        <v>2220</v>
      </c>
      <c r="C108" s="711"/>
      <c r="D108" s="755"/>
      <c r="E108" s="755"/>
      <c r="F108" s="755"/>
      <c r="G108" s="527"/>
      <c r="H108" s="527"/>
      <c r="I108" s="527"/>
      <c r="J108" s="527"/>
      <c r="K108" s="527"/>
      <c r="L108" s="527"/>
      <c r="M108" s="711" t="str">
        <f>'C03_ClassVariables'!CY192</f>
        <v>Skill11</v>
      </c>
      <c r="N108" s="711"/>
      <c r="O108" s="878"/>
      <c r="P108" s="878"/>
      <c r="Q108" s="878"/>
      <c r="R108" s="527"/>
      <c r="S108" s="527"/>
      <c r="T108" s="527"/>
      <c r="U108" s="527"/>
      <c r="V108" s="527"/>
      <c r="W108" s="527"/>
      <c r="X108" s="534"/>
      <c r="Y108" s="534"/>
      <c r="Z108" s="534"/>
      <c r="AA108" s="534"/>
      <c r="AB108" s="534"/>
      <c r="AC108" s="534"/>
      <c r="AD108" s="534"/>
      <c r="AE108" s="534"/>
      <c r="AF108" s="526"/>
      <c r="AG108" s="533"/>
      <c r="AH108" s="533"/>
      <c r="AI108" s="533"/>
      <c r="AJ108" s="146"/>
    </row>
    <row r="109" spans="1:166" ht="15.95" customHeight="1" outlineLevel="1" x14ac:dyDescent="0.35">
      <c r="A109" s="527"/>
      <c r="B109" s="711"/>
      <c r="C109" s="711"/>
      <c r="D109" s="755"/>
      <c r="E109" s="755"/>
      <c r="F109" s="755"/>
      <c r="G109" s="527"/>
      <c r="H109" s="527"/>
      <c r="I109" s="527"/>
      <c r="J109" s="527"/>
      <c r="K109" s="527"/>
      <c r="L109" s="527"/>
      <c r="M109" s="711"/>
      <c r="N109" s="711"/>
      <c r="O109" s="878"/>
      <c r="P109" s="878"/>
      <c r="Q109" s="878"/>
      <c r="R109" s="527"/>
      <c r="S109" s="527"/>
      <c r="T109" s="527"/>
      <c r="U109" s="527"/>
      <c r="V109" s="527"/>
      <c r="W109" s="527"/>
      <c r="X109" s="534"/>
      <c r="Y109" s="534"/>
      <c r="Z109" s="534"/>
      <c r="AA109" s="534"/>
      <c r="AB109" s="534"/>
      <c r="AC109" s="534"/>
      <c r="AD109" s="534"/>
      <c r="AE109" s="534"/>
      <c r="AF109" s="526"/>
      <c r="AG109" s="533"/>
      <c r="AH109" s="533"/>
      <c r="AI109" s="533"/>
      <c r="AJ109" s="146"/>
    </row>
    <row r="110" spans="1:166" ht="15.95" customHeight="1" outlineLevel="1" x14ac:dyDescent="0.35">
      <c r="A110" s="527"/>
      <c r="B110" s="527"/>
      <c r="C110" s="527"/>
      <c r="D110" s="527"/>
      <c r="E110" s="527"/>
      <c r="F110" s="527"/>
      <c r="G110" s="527"/>
      <c r="H110" s="527"/>
      <c r="I110" s="527"/>
      <c r="J110" s="527"/>
      <c r="K110" s="527"/>
      <c r="L110" s="527"/>
      <c r="M110" s="711" t="str">
        <f>'C03_ClassVariables'!DE192</f>
        <v>Skill12</v>
      </c>
      <c r="N110" s="711"/>
      <c r="O110" s="878"/>
      <c r="P110" s="878"/>
      <c r="Q110" s="878"/>
      <c r="R110" s="527"/>
      <c r="S110" s="527"/>
      <c r="T110" s="527"/>
      <c r="U110" s="527"/>
      <c r="V110" s="527"/>
      <c r="W110" s="527"/>
      <c r="X110" s="534"/>
      <c r="Y110" s="534"/>
      <c r="Z110" s="534"/>
      <c r="AA110" s="534"/>
      <c r="AB110" s="534"/>
      <c r="AC110" s="534"/>
      <c r="AD110" s="534"/>
      <c r="AE110" s="534"/>
      <c r="AF110" s="526"/>
      <c r="AG110" s="533"/>
      <c r="AH110" s="533"/>
      <c r="AI110" s="533"/>
      <c r="AJ110" s="146"/>
      <c r="EO110" s="236"/>
      <c r="ER110" s="236"/>
      <c r="EU110" s="236"/>
      <c r="EX110" s="236"/>
      <c r="FA110" s="236"/>
      <c r="FD110" s="236"/>
      <c r="FG110" s="236"/>
      <c r="FJ110" s="236"/>
    </row>
    <row r="111" spans="1:166" ht="15.95" customHeight="1" outlineLevel="1" x14ac:dyDescent="0.35">
      <c r="A111" s="527"/>
      <c r="B111" s="527"/>
      <c r="C111" s="527"/>
      <c r="D111" s="527"/>
      <c r="E111" s="527"/>
      <c r="F111" s="527"/>
      <c r="G111" s="527"/>
      <c r="H111" s="527"/>
      <c r="I111" s="527"/>
      <c r="J111" s="527"/>
      <c r="K111" s="527"/>
      <c r="L111" s="527"/>
      <c r="M111" s="711"/>
      <c r="N111" s="711"/>
      <c r="O111" s="878"/>
      <c r="P111" s="878"/>
      <c r="Q111" s="878"/>
      <c r="R111" s="527"/>
      <c r="S111" s="527"/>
      <c r="T111" s="527"/>
      <c r="U111" s="527"/>
      <c r="V111" s="527"/>
      <c r="W111" s="527"/>
      <c r="X111" s="534"/>
      <c r="Y111" s="534"/>
      <c r="Z111" s="534"/>
      <c r="AA111" s="534"/>
      <c r="AB111" s="534"/>
      <c r="AC111" s="534"/>
      <c r="AD111" s="534"/>
      <c r="AE111" s="534"/>
      <c r="AF111" s="526"/>
      <c r="AG111" s="533"/>
      <c r="AH111" s="533"/>
      <c r="AI111" s="533"/>
      <c r="AJ111" s="146"/>
      <c r="EO111" s="236"/>
      <c r="ER111" s="236"/>
      <c r="EU111" s="236"/>
      <c r="EX111" s="236"/>
      <c r="FA111" s="236"/>
      <c r="FD111" s="236"/>
      <c r="FG111" s="236"/>
      <c r="FJ111" s="236"/>
    </row>
    <row r="112" spans="1:166" ht="15.95" customHeight="1" outlineLevel="1" thickBot="1" x14ac:dyDescent="0.35">
      <c r="A112" s="527"/>
      <c r="B112" s="527"/>
      <c r="C112" s="527"/>
      <c r="D112" s="527"/>
      <c r="E112" s="527"/>
      <c r="F112" s="527"/>
      <c r="G112" s="527"/>
      <c r="H112" s="527"/>
      <c r="I112" s="527"/>
      <c r="J112" s="527"/>
      <c r="K112" s="527"/>
      <c r="L112" s="527"/>
      <c r="M112" s="527"/>
      <c r="N112" s="527"/>
      <c r="O112" s="527"/>
      <c r="P112" s="527"/>
      <c r="Q112" s="527"/>
      <c r="V112" s="527"/>
      <c r="W112" s="527"/>
      <c r="X112" s="527"/>
      <c r="Y112" s="527"/>
      <c r="Z112" s="527"/>
      <c r="AA112" s="527"/>
      <c r="AB112" s="527"/>
      <c r="AC112" s="527"/>
      <c r="AD112" s="527"/>
      <c r="AE112" s="527"/>
      <c r="AF112" s="526"/>
      <c r="AG112" s="533"/>
      <c r="AH112" s="533"/>
      <c r="AI112" s="533"/>
      <c r="AJ112" s="146"/>
      <c r="EO112" s="236"/>
      <c r="ER112" s="236"/>
      <c r="EU112" s="236"/>
      <c r="EX112" s="236"/>
      <c r="FA112" s="236"/>
      <c r="FD112" s="236"/>
      <c r="FG112" s="236"/>
      <c r="FJ112" s="236"/>
    </row>
    <row r="113" spans="1:166" ht="15.95" customHeight="1" outlineLevel="1" thickTop="1" thickBot="1" x14ac:dyDescent="0.35">
      <c r="A113" s="527"/>
      <c r="B113" s="771" t="s">
        <v>6658</v>
      </c>
      <c r="C113" s="772"/>
      <c r="D113" s="772"/>
      <c r="E113" s="773"/>
      <c r="F113" s="527"/>
      <c r="G113" s="527"/>
      <c r="H113" s="527"/>
      <c r="I113" s="527"/>
      <c r="J113" s="527"/>
      <c r="K113" s="527"/>
      <c r="L113" s="527"/>
      <c r="M113" s="527"/>
      <c r="N113" s="527"/>
      <c r="O113" s="527"/>
      <c r="P113" s="527"/>
      <c r="Q113" s="527"/>
      <c r="V113" s="527"/>
      <c r="W113" s="527"/>
      <c r="X113" s="527"/>
      <c r="Y113" s="527"/>
      <c r="Z113" s="527"/>
      <c r="AA113" s="527"/>
      <c r="AB113" s="527"/>
      <c r="AC113" s="527"/>
      <c r="AD113" s="527"/>
      <c r="AE113" s="527"/>
      <c r="AF113" s="526"/>
      <c r="AG113" s="533"/>
      <c r="AH113" s="533"/>
      <c r="AI113" s="533"/>
      <c r="AJ113" s="146"/>
      <c r="EO113" s="236"/>
      <c r="ER113" s="236"/>
      <c r="EU113" s="236"/>
      <c r="EX113" s="236"/>
      <c r="FA113" s="236"/>
      <c r="FD113" s="236"/>
      <c r="FG113" s="236"/>
      <c r="FJ113" s="236"/>
    </row>
    <row r="114" spans="1:166" ht="15.95" customHeight="1" outlineLevel="1" thickTop="1" x14ac:dyDescent="0.3">
      <c r="A114" s="527"/>
      <c r="B114" s="527"/>
      <c r="C114" s="527"/>
      <c r="D114" s="527"/>
      <c r="E114" s="527"/>
      <c r="F114" s="527"/>
      <c r="G114" s="527"/>
      <c r="H114" s="527"/>
      <c r="I114" s="527"/>
      <c r="J114" s="527"/>
      <c r="K114" s="527"/>
      <c r="L114" s="527"/>
      <c r="M114" s="527"/>
      <c r="N114" s="527"/>
      <c r="O114" s="527"/>
      <c r="P114" s="527"/>
      <c r="Q114" s="527"/>
      <c r="V114" s="527"/>
      <c r="W114" s="527"/>
      <c r="X114" s="527"/>
      <c r="Y114" s="527"/>
      <c r="Z114" s="527"/>
      <c r="AA114" s="527"/>
      <c r="AB114" s="527"/>
      <c r="AC114" s="527"/>
      <c r="AD114" s="527"/>
      <c r="AE114" s="527"/>
      <c r="AF114" s="526"/>
      <c r="AG114" s="533"/>
      <c r="AH114" s="533"/>
      <c r="AI114" s="533"/>
      <c r="AJ114" s="146"/>
      <c r="EO114" s="236"/>
      <c r="ER114" s="236"/>
      <c r="EU114" s="236"/>
      <c r="EX114" s="236"/>
      <c r="FA114" s="236"/>
      <c r="FD114" s="236"/>
      <c r="FG114" s="236"/>
      <c r="FJ114" s="236"/>
    </row>
    <row r="115" spans="1:166" ht="15.95" customHeight="1" x14ac:dyDescent="0.3">
      <c r="A115" s="527"/>
      <c r="B115" s="749" t="s">
        <v>3602</v>
      </c>
      <c r="C115" s="749"/>
      <c r="D115" s="749"/>
      <c r="E115" s="749"/>
      <c r="F115" s="749"/>
      <c r="G115" s="749"/>
      <c r="H115" s="749"/>
      <c r="I115" s="749"/>
      <c r="J115" s="749"/>
      <c r="K115" s="749"/>
      <c r="L115" s="749"/>
      <c r="M115" s="749"/>
      <c r="N115" s="749"/>
      <c r="O115" s="749"/>
      <c r="P115" s="749"/>
      <c r="Q115" s="749"/>
      <c r="R115" s="749"/>
      <c r="S115" s="749"/>
      <c r="T115" s="749"/>
      <c r="U115" s="920"/>
      <c r="V115" s="920"/>
      <c r="W115" s="920"/>
      <c r="X115" s="920"/>
      <c r="Y115" s="920"/>
      <c r="Z115" s="920"/>
      <c r="AA115" s="920"/>
      <c r="AB115" s="920"/>
      <c r="AC115" s="920"/>
      <c r="AD115" s="920"/>
      <c r="AE115" s="920"/>
      <c r="AF115" s="526"/>
      <c r="AG115" s="533"/>
      <c r="AH115" s="533"/>
      <c r="AI115" s="533"/>
      <c r="AJ115" s="146"/>
      <c r="EO115" s="236"/>
      <c r="ER115" s="236"/>
      <c r="EU115" s="236"/>
      <c r="EX115" s="236"/>
      <c r="FA115" s="236"/>
      <c r="FD115" s="236"/>
      <c r="FG115" s="236"/>
      <c r="FJ115" s="236"/>
    </row>
    <row r="116" spans="1:166" ht="15.95" customHeight="1" x14ac:dyDescent="0.3">
      <c r="A116" s="527"/>
      <c r="B116" s="749"/>
      <c r="C116" s="749"/>
      <c r="D116" s="749"/>
      <c r="E116" s="749"/>
      <c r="F116" s="749"/>
      <c r="G116" s="749"/>
      <c r="H116" s="749"/>
      <c r="I116" s="749"/>
      <c r="J116" s="749"/>
      <c r="K116" s="749"/>
      <c r="L116" s="749"/>
      <c r="M116" s="749"/>
      <c r="N116" s="749"/>
      <c r="O116" s="749"/>
      <c r="P116" s="749"/>
      <c r="Q116" s="749"/>
      <c r="R116" s="749"/>
      <c r="S116" s="749"/>
      <c r="T116" s="749"/>
      <c r="U116" s="920"/>
      <c r="V116" s="920"/>
      <c r="W116" s="920"/>
      <c r="X116" s="920"/>
      <c r="Y116" s="920"/>
      <c r="Z116" s="920"/>
      <c r="AA116" s="920"/>
      <c r="AB116" s="920"/>
      <c r="AC116" s="920"/>
      <c r="AD116" s="920"/>
      <c r="AE116" s="920"/>
      <c r="AF116" s="526"/>
      <c r="AG116" s="533"/>
      <c r="AH116" s="533"/>
      <c r="AI116" s="533"/>
      <c r="AJ116" s="146"/>
      <c r="EO116" s="236"/>
      <c r="ER116" s="236"/>
      <c r="EU116" s="236"/>
      <c r="EX116" s="236"/>
      <c r="FA116" s="236"/>
      <c r="FD116" s="236"/>
      <c r="FG116" s="236"/>
      <c r="FJ116" s="236"/>
    </row>
    <row r="117" spans="1:166" ht="15.95" customHeight="1" outlineLevel="1" x14ac:dyDescent="0.3">
      <c r="A117" s="527"/>
      <c r="B117" s="527"/>
      <c r="C117" s="527"/>
      <c r="D117" s="527"/>
      <c r="E117" s="527"/>
      <c r="F117" s="527"/>
      <c r="G117" s="527"/>
      <c r="H117" s="527"/>
      <c r="I117" s="527"/>
      <c r="J117" s="527"/>
      <c r="K117" s="527"/>
      <c r="L117" s="527"/>
      <c r="M117" s="527"/>
      <c r="N117" s="527"/>
      <c r="O117" s="527"/>
      <c r="P117" s="527"/>
      <c r="Q117" s="527"/>
      <c r="R117" s="527"/>
      <c r="S117" s="527"/>
      <c r="T117" s="527"/>
      <c r="U117" s="527"/>
      <c r="V117" s="527"/>
      <c r="W117" s="527"/>
      <c r="X117" s="527"/>
      <c r="Y117" s="527"/>
      <c r="Z117" s="527"/>
      <c r="AA117" s="527"/>
      <c r="AB117" s="527"/>
      <c r="AC117" s="527"/>
      <c r="AD117" s="527"/>
      <c r="AE117" s="527"/>
      <c r="AF117" s="526"/>
      <c r="AG117" s="533"/>
      <c r="AH117" s="533"/>
      <c r="AI117" s="533"/>
      <c r="AJ117" s="146"/>
      <c r="EO117" s="236"/>
      <c r="ER117" s="236"/>
      <c r="EU117" s="236"/>
      <c r="EX117" s="236"/>
      <c r="FA117" s="236"/>
      <c r="FD117" s="236"/>
      <c r="FG117" s="236"/>
      <c r="FJ117" s="236"/>
    </row>
    <row r="118" spans="1:166" ht="15.95" customHeight="1" outlineLevel="1" x14ac:dyDescent="0.3">
      <c r="A118" s="527"/>
      <c r="B118" s="711" t="s">
        <v>6287</v>
      </c>
      <c r="C118" s="711"/>
      <c r="D118" s="884" t="str">
        <f>IF(IFERROR(INDEX(T01_Races!BH2:BH101,SelectedRaceID,1),"")=0,"",IFERROR(INDEX(T01_Races!BH2:BH101,SelectedRaceID,1),""))</f>
        <v>Common</v>
      </c>
      <c r="E118" s="884"/>
      <c r="F118" s="884"/>
      <c r="G118" s="527"/>
      <c r="H118" s="711" t="s">
        <v>4128</v>
      </c>
      <c r="I118" s="711"/>
      <c r="J118" s="878" t="s">
        <v>81</v>
      </c>
      <c r="K118" s="878"/>
      <c r="L118" s="878"/>
      <c r="M118" s="527"/>
      <c r="N118" s="919" t="s">
        <v>6291</v>
      </c>
      <c r="O118" s="919"/>
      <c r="P118" s="762"/>
      <c r="Q118" s="762"/>
      <c r="R118" s="762"/>
      <c r="S118" s="527"/>
      <c r="T118" s="881" t="s">
        <v>3603</v>
      </c>
      <c r="U118" s="881"/>
      <c r="V118" s="887">
        <f>IFERROR(INDEX(T01_Races!$BF$2:$BF$101,SelectedRaceID,1)+INDEX(T02_Backgrounds!O2:O101,SelectedBackgroundId,1)+V121,0)</f>
        <v>3</v>
      </c>
      <c r="W118" s="887"/>
      <c r="X118" s="527"/>
      <c r="Y118" s="870" t="s">
        <v>7490</v>
      </c>
      <c r="Z118" s="870"/>
      <c r="AA118" s="870"/>
      <c r="AB118" s="870"/>
      <c r="AC118" s="527"/>
      <c r="AD118" s="527"/>
      <c r="AE118" s="527"/>
      <c r="AF118" s="526"/>
      <c r="AG118" s="533"/>
      <c r="AH118" s="533"/>
      <c r="AI118" s="533"/>
      <c r="AJ118" s="146"/>
      <c r="EO118" s="236"/>
      <c r="ER118" s="236"/>
      <c r="EU118" s="236"/>
      <c r="EX118" s="236"/>
      <c r="FA118" s="236"/>
      <c r="FD118" s="236"/>
      <c r="FG118" s="236"/>
      <c r="FJ118" s="236"/>
    </row>
    <row r="119" spans="1:166" ht="15.95" customHeight="1" outlineLevel="1" x14ac:dyDescent="0.3">
      <c r="A119" s="527"/>
      <c r="B119" s="711"/>
      <c r="C119" s="711"/>
      <c r="D119" s="884"/>
      <c r="E119" s="884"/>
      <c r="F119" s="884"/>
      <c r="G119" s="527"/>
      <c r="H119" s="711"/>
      <c r="I119" s="711"/>
      <c r="J119" s="878"/>
      <c r="K119" s="878"/>
      <c r="L119" s="878"/>
      <c r="M119" s="527"/>
      <c r="N119" s="919"/>
      <c r="O119" s="919"/>
      <c r="P119" s="762"/>
      <c r="Q119" s="762"/>
      <c r="R119" s="762"/>
      <c r="S119" s="527"/>
      <c r="T119" s="881"/>
      <c r="U119" s="881"/>
      <c r="V119" s="887"/>
      <c r="W119" s="887"/>
      <c r="X119" s="527"/>
      <c r="Y119" s="870"/>
      <c r="Z119" s="870"/>
      <c r="AA119" s="870"/>
      <c r="AB119" s="870"/>
      <c r="AC119" s="527"/>
      <c r="AD119" s="527"/>
      <c r="AE119" s="527"/>
      <c r="AF119" s="526"/>
      <c r="AG119" s="533"/>
      <c r="AH119" s="533"/>
      <c r="AI119" s="533"/>
      <c r="AJ119" s="146"/>
      <c r="EO119" s="236"/>
      <c r="ER119" s="236"/>
      <c r="EU119" s="236"/>
      <c r="EX119" s="236"/>
      <c r="FA119" s="236"/>
      <c r="FD119" s="236"/>
      <c r="FG119" s="236"/>
      <c r="FJ119" s="236"/>
    </row>
    <row r="120" spans="1:166" ht="15.95" customHeight="1" outlineLevel="1" x14ac:dyDescent="0.3">
      <c r="A120" s="527"/>
      <c r="B120" s="711" t="s">
        <v>6287</v>
      </c>
      <c r="C120" s="711"/>
      <c r="D120" s="884" t="str">
        <f>IF(IFERROR(INDEX(T01_Races!BI2:BI101,SelectedRaceID,1),"")=0,"",IFERROR(INDEX(T01_Races!BI2:BI101,SelectedRaceID,1),""))</f>
        <v/>
      </c>
      <c r="E120" s="884"/>
      <c r="F120" s="884"/>
      <c r="G120" s="527"/>
      <c r="H120" s="711" t="s">
        <v>4128</v>
      </c>
      <c r="I120" s="711"/>
      <c r="J120" s="878" t="s">
        <v>284</v>
      </c>
      <c r="K120" s="878"/>
      <c r="L120" s="878"/>
      <c r="M120" s="527"/>
      <c r="N120" s="919" t="s">
        <v>6291</v>
      </c>
      <c r="O120" s="919"/>
      <c r="P120" s="762"/>
      <c r="Q120" s="762"/>
      <c r="R120" s="762"/>
      <c r="S120" s="527"/>
      <c r="T120" s="527"/>
      <c r="U120" s="527"/>
      <c r="V120" s="527"/>
      <c r="W120" s="527"/>
      <c r="X120" s="527"/>
      <c r="Y120" s="870"/>
      <c r="Z120" s="870"/>
      <c r="AA120" s="870"/>
      <c r="AB120" s="870"/>
      <c r="AC120" s="527"/>
      <c r="AD120" s="527"/>
      <c r="AE120" s="527"/>
      <c r="AF120" s="526"/>
      <c r="AG120" s="533"/>
      <c r="AH120" s="533"/>
      <c r="AI120" s="533"/>
      <c r="AJ120" s="146"/>
      <c r="EO120" s="236"/>
      <c r="ER120" s="236"/>
      <c r="EU120" s="236"/>
      <c r="EX120" s="236"/>
      <c r="FA120" s="236"/>
      <c r="FD120" s="236"/>
      <c r="FG120" s="236"/>
      <c r="FJ120" s="236"/>
    </row>
    <row r="121" spans="1:166" ht="15.95" customHeight="1" outlineLevel="1" x14ac:dyDescent="0.35">
      <c r="A121" s="527"/>
      <c r="B121" s="711"/>
      <c r="C121" s="711"/>
      <c r="D121" s="884"/>
      <c r="E121" s="884"/>
      <c r="F121" s="884"/>
      <c r="G121" s="527"/>
      <c r="H121" s="711"/>
      <c r="I121" s="711"/>
      <c r="J121" s="878"/>
      <c r="K121" s="878"/>
      <c r="L121" s="878"/>
      <c r="M121" s="527"/>
      <c r="N121" s="919"/>
      <c r="O121" s="919"/>
      <c r="P121" s="762"/>
      <c r="Q121" s="762"/>
      <c r="R121" s="762"/>
      <c r="S121" s="527"/>
      <c r="T121" s="881" t="s">
        <v>3604</v>
      </c>
      <c r="U121" s="881"/>
      <c r="V121" s="921"/>
      <c r="W121" s="921"/>
      <c r="X121" s="527"/>
      <c r="Y121" s="870"/>
      <c r="Z121" s="870"/>
      <c r="AA121" s="870"/>
      <c r="AB121" s="870"/>
      <c r="AC121" s="527"/>
      <c r="AD121" s="534"/>
      <c r="AE121" s="534"/>
      <c r="AF121" s="526"/>
      <c r="AG121" s="533"/>
      <c r="AH121" s="533"/>
      <c r="AI121" s="533"/>
      <c r="AJ121" s="146"/>
      <c r="EO121" s="236"/>
      <c r="ER121" s="236"/>
      <c r="EU121" s="236"/>
      <c r="EX121" s="236"/>
      <c r="FA121" s="236"/>
      <c r="FD121" s="236"/>
      <c r="FG121" s="236"/>
      <c r="FJ121" s="236"/>
    </row>
    <row r="122" spans="1:166" ht="15.95" customHeight="1" outlineLevel="1" x14ac:dyDescent="0.35">
      <c r="A122" s="527"/>
      <c r="B122" s="711" t="s">
        <v>6287</v>
      </c>
      <c r="C122" s="711"/>
      <c r="D122" s="884" t="str">
        <f>IF(IFERROR(INDEX(T01_Races!BJ2:BJ101,SelectedRaceID,1),"")=0,"",IFERROR(INDEX(T01_Races!BJ2:BJ101,SelectedRaceID,1),""))</f>
        <v/>
      </c>
      <c r="E122" s="884"/>
      <c r="F122" s="884"/>
      <c r="G122" s="527"/>
      <c r="H122" s="711" t="s">
        <v>4128</v>
      </c>
      <c r="I122" s="711"/>
      <c r="J122" s="755" t="s">
        <v>3034</v>
      </c>
      <c r="K122" s="755"/>
      <c r="L122" s="755"/>
      <c r="M122" s="527"/>
      <c r="N122" s="919" t="s">
        <v>6289</v>
      </c>
      <c r="O122" s="919"/>
      <c r="P122" s="762"/>
      <c r="Q122" s="762"/>
      <c r="R122" s="762"/>
      <c r="S122" s="527"/>
      <c r="T122" s="881"/>
      <c r="U122" s="881"/>
      <c r="V122" s="921"/>
      <c r="W122" s="921"/>
      <c r="X122" s="527"/>
      <c r="Y122" s="870"/>
      <c r="Z122" s="870"/>
      <c r="AA122" s="870"/>
      <c r="AB122" s="870"/>
      <c r="AC122" s="527"/>
      <c r="AD122" s="534"/>
      <c r="AE122" s="534"/>
      <c r="AF122" s="526"/>
      <c r="AG122" s="533"/>
      <c r="AH122" s="533"/>
      <c r="AI122" s="533"/>
      <c r="AJ122" s="146"/>
      <c r="EO122" s="236"/>
      <c r="ER122" s="236"/>
      <c r="EU122" s="236"/>
      <c r="EX122" s="236"/>
      <c r="FA122" s="236"/>
      <c r="FD122" s="236"/>
      <c r="FG122" s="236"/>
      <c r="FJ122" s="236"/>
    </row>
    <row r="123" spans="1:166" ht="15.95" customHeight="1" outlineLevel="1" x14ac:dyDescent="0.35">
      <c r="A123" s="527"/>
      <c r="B123" s="711"/>
      <c r="C123" s="711"/>
      <c r="D123" s="884"/>
      <c r="E123" s="884"/>
      <c r="F123" s="884"/>
      <c r="G123" s="527"/>
      <c r="H123" s="711"/>
      <c r="I123" s="711"/>
      <c r="J123" s="755"/>
      <c r="K123" s="755"/>
      <c r="L123" s="755"/>
      <c r="M123" s="527"/>
      <c r="N123" s="919"/>
      <c r="O123" s="919"/>
      <c r="P123" s="762"/>
      <c r="Q123" s="762"/>
      <c r="R123" s="762"/>
      <c r="S123" s="527"/>
      <c r="T123" s="527"/>
      <c r="U123" s="527"/>
      <c r="V123" s="527"/>
      <c r="W123" s="527"/>
      <c r="X123" s="527"/>
      <c r="Y123" s="870"/>
      <c r="Z123" s="870"/>
      <c r="AA123" s="870"/>
      <c r="AB123" s="870"/>
      <c r="AC123" s="527"/>
      <c r="AD123" s="534"/>
      <c r="AE123" s="534"/>
      <c r="AF123" s="526"/>
      <c r="AG123" s="533"/>
      <c r="AH123" s="533"/>
      <c r="AI123" s="533"/>
      <c r="AJ123" s="146"/>
      <c r="EO123" s="236"/>
      <c r="ER123" s="236"/>
      <c r="EU123" s="236"/>
      <c r="EX123" s="236"/>
      <c r="FA123" s="236"/>
      <c r="FD123" s="236"/>
      <c r="FG123" s="236"/>
      <c r="FJ123" s="236"/>
    </row>
    <row r="124" spans="1:166" ht="15.95" customHeight="1" outlineLevel="1" x14ac:dyDescent="0.35">
      <c r="A124" s="527"/>
      <c r="B124" s="711" t="s">
        <v>6288</v>
      </c>
      <c r="C124" s="711"/>
      <c r="D124" s="884" t="str">
        <f>IF(RogueLanguage=1,"Thieve's Cant","")</f>
        <v/>
      </c>
      <c r="E124" s="884"/>
      <c r="F124" s="884"/>
      <c r="G124" s="527"/>
      <c r="H124" s="711" t="s">
        <v>4128</v>
      </c>
      <c r="I124" s="711"/>
      <c r="J124" s="755"/>
      <c r="K124" s="755"/>
      <c r="L124" s="755"/>
      <c r="M124" s="527"/>
      <c r="N124" s="919" t="s">
        <v>6289</v>
      </c>
      <c r="O124" s="919"/>
      <c r="P124" s="762"/>
      <c r="Q124" s="762"/>
      <c r="R124" s="762"/>
      <c r="S124" s="527"/>
      <c r="T124" s="881" t="s">
        <v>3605</v>
      </c>
      <c r="U124" s="881"/>
      <c r="V124" s="887">
        <f>V118-COUNTA(D128:F143)</f>
        <v>0</v>
      </c>
      <c r="W124" s="887"/>
      <c r="X124" s="527"/>
      <c r="Y124" s="870"/>
      <c r="Z124" s="870"/>
      <c r="AA124" s="870"/>
      <c r="AB124" s="870"/>
      <c r="AC124" s="527"/>
      <c r="AD124" s="534"/>
      <c r="AE124" s="534"/>
      <c r="AF124" s="526"/>
      <c r="AG124" s="533"/>
      <c r="AH124" s="533"/>
      <c r="AI124" s="533"/>
      <c r="AJ124" s="146"/>
      <c r="EO124" s="236"/>
      <c r="ER124" s="236"/>
      <c r="EU124" s="236"/>
      <c r="EX124" s="236"/>
      <c r="FA124" s="236"/>
      <c r="FD124" s="236"/>
      <c r="FG124" s="236"/>
      <c r="FJ124" s="236"/>
    </row>
    <row r="125" spans="1:166" ht="15.95" customHeight="1" outlineLevel="1" x14ac:dyDescent="0.35">
      <c r="A125" s="527"/>
      <c r="B125" s="711"/>
      <c r="C125" s="711"/>
      <c r="D125" s="884"/>
      <c r="E125" s="884"/>
      <c r="F125" s="884"/>
      <c r="G125" s="527"/>
      <c r="H125" s="711"/>
      <c r="I125" s="711"/>
      <c r="J125" s="755"/>
      <c r="K125" s="755"/>
      <c r="L125" s="755"/>
      <c r="M125" s="527"/>
      <c r="N125" s="919"/>
      <c r="O125" s="919"/>
      <c r="P125" s="762"/>
      <c r="Q125" s="762"/>
      <c r="R125" s="762"/>
      <c r="S125" s="527"/>
      <c r="T125" s="881"/>
      <c r="U125" s="881"/>
      <c r="V125" s="887"/>
      <c r="W125" s="887"/>
      <c r="X125" s="527"/>
      <c r="Y125" s="870"/>
      <c r="Z125" s="870"/>
      <c r="AA125" s="870"/>
      <c r="AB125" s="870"/>
      <c r="AC125" s="527"/>
      <c r="AD125" s="534"/>
      <c r="AE125" s="534"/>
      <c r="AF125" s="526"/>
      <c r="AG125" s="533"/>
      <c r="AH125" s="533"/>
      <c r="AI125" s="533"/>
      <c r="AJ125" s="146"/>
      <c r="EO125" s="236"/>
      <c r="ER125" s="236"/>
      <c r="EU125" s="236"/>
      <c r="EX125" s="236"/>
      <c r="FA125" s="236"/>
      <c r="FD125" s="236"/>
      <c r="FG125" s="236"/>
      <c r="FJ125" s="236"/>
    </row>
    <row r="126" spans="1:166" ht="15.95" customHeight="1" outlineLevel="1" x14ac:dyDescent="0.35">
      <c r="A126" s="527"/>
      <c r="B126" s="711" t="s">
        <v>6288</v>
      </c>
      <c r="C126" s="711"/>
      <c r="D126" s="884" t="str">
        <f>IF(DruidicLanguage=1,"Druidic","")</f>
        <v/>
      </c>
      <c r="E126" s="884"/>
      <c r="F126" s="884"/>
      <c r="G126" s="527"/>
      <c r="H126" s="711" t="s">
        <v>4128</v>
      </c>
      <c r="I126" s="711"/>
      <c r="J126" s="755"/>
      <c r="K126" s="755"/>
      <c r="L126" s="755"/>
      <c r="M126" s="527"/>
      <c r="N126" s="527"/>
      <c r="O126" s="527"/>
      <c r="P126" s="527"/>
      <c r="Q126" s="527"/>
      <c r="R126" s="527"/>
      <c r="S126" s="527"/>
      <c r="T126" s="527"/>
      <c r="U126" s="527"/>
      <c r="V126" s="527"/>
      <c r="W126" s="527"/>
      <c r="X126" s="527"/>
      <c r="Y126" s="527"/>
      <c r="Z126" s="527"/>
      <c r="AA126" s="527"/>
      <c r="AB126" s="527"/>
      <c r="AC126" s="527"/>
      <c r="AD126" s="534"/>
      <c r="AE126" s="534"/>
      <c r="AF126" s="526"/>
      <c r="AG126" s="533"/>
      <c r="AH126" s="533"/>
      <c r="AI126" s="533"/>
      <c r="AJ126" s="146"/>
      <c r="EO126" s="236"/>
      <c r="ER126" s="236"/>
      <c r="EU126" s="236"/>
      <c r="EX126" s="236"/>
      <c r="FA126" s="236"/>
      <c r="FD126" s="236"/>
      <c r="FG126" s="236"/>
      <c r="FJ126" s="236"/>
    </row>
    <row r="127" spans="1:166" ht="15.95" customHeight="1" outlineLevel="1" x14ac:dyDescent="0.35">
      <c r="A127" s="527"/>
      <c r="B127" s="711"/>
      <c r="C127" s="711"/>
      <c r="D127" s="884"/>
      <c r="E127" s="884"/>
      <c r="F127" s="884"/>
      <c r="G127" s="527"/>
      <c r="H127" s="711"/>
      <c r="I127" s="711"/>
      <c r="J127" s="755"/>
      <c r="K127" s="755"/>
      <c r="L127" s="755"/>
      <c r="M127" s="527"/>
      <c r="N127" s="759" t="s">
        <v>6290</v>
      </c>
      <c r="O127" s="759"/>
      <c r="P127" s="762" t="s">
        <v>186</v>
      </c>
      <c r="Q127" s="762"/>
      <c r="R127" s="762"/>
      <c r="S127" s="527"/>
      <c r="T127" s="881" t="s">
        <v>4130</v>
      </c>
      <c r="U127" s="881"/>
      <c r="V127" s="930">
        <f>IFERROR('C03_ClassVariables'!J378,0)</f>
        <v>3</v>
      </c>
      <c r="W127" s="930"/>
      <c r="X127" s="527"/>
      <c r="Y127" s="527"/>
      <c r="Z127" s="527"/>
      <c r="AA127" s="527"/>
      <c r="AB127" s="527"/>
      <c r="AC127" s="527"/>
      <c r="AD127" s="534"/>
      <c r="AE127" s="534"/>
      <c r="AF127" s="526"/>
      <c r="AG127" s="533"/>
      <c r="AH127" s="533"/>
      <c r="AI127" s="533"/>
      <c r="AJ127" s="146"/>
      <c r="EO127" s="236"/>
      <c r="ER127" s="236"/>
      <c r="EU127" s="236"/>
      <c r="EX127" s="236"/>
      <c r="FA127" s="236"/>
      <c r="FD127" s="236"/>
      <c r="FG127" s="236"/>
      <c r="FJ127" s="236"/>
    </row>
    <row r="128" spans="1:166" ht="15.95" customHeight="1" outlineLevel="1" x14ac:dyDescent="0.35">
      <c r="A128" s="527"/>
      <c r="B128" s="711" t="s">
        <v>5982</v>
      </c>
      <c r="C128" s="711"/>
      <c r="D128" s="878" t="s">
        <v>1103</v>
      </c>
      <c r="E128" s="878"/>
      <c r="F128" s="878"/>
      <c r="G128" s="527"/>
      <c r="H128" s="711" t="s">
        <v>4128</v>
      </c>
      <c r="I128" s="711"/>
      <c r="J128" s="880"/>
      <c r="K128" s="880"/>
      <c r="L128" s="880"/>
      <c r="M128" s="527"/>
      <c r="N128" s="759"/>
      <c r="O128" s="759"/>
      <c r="P128" s="762"/>
      <c r="Q128" s="762"/>
      <c r="R128" s="762"/>
      <c r="S128" s="527"/>
      <c r="T128" s="881"/>
      <c r="U128" s="881"/>
      <c r="V128" s="930"/>
      <c r="W128" s="930"/>
      <c r="X128" s="527"/>
      <c r="Y128" s="527"/>
      <c r="Z128" s="527"/>
      <c r="AA128" s="527"/>
      <c r="AB128" s="527"/>
      <c r="AC128" s="527"/>
      <c r="AD128" s="534"/>
      <c r="AE128" s="534"/>
      <c r="AF128" s="526"/>
      <c r="AG128" s="533"/>
      <c r="AH128" s="533"/>
      <c r="AI128" s="533"/>
      <c r="AJ128" s="146"/>
    </row>
    <row r="129" spans="1:166" ht="15.95" customHeight="1" outlineLevel="1" x14ac:dyDescent="0.35">
      <c r="A129" s="527"/>
      <c r="B129" s="711"/>
      <c r="C129" s="711"/>
      <c r="D129" s="878"/>
      <c r="E129" s="878"/>
      <c r="F129" s="878"/>
      <c r="G129" s="527"/>
      <c r="H129" s="711"/>
      <c r="I129" s="711"/>
      <c r="J129" s="880"/>
      <c r="K129" s="880"/>
      <c r="L129" s="880"/>
      <c r="M129" s="527"/>
      <c r="N129" s="759" t="s">
        <v>6290</v>
      </c>
      <c r="O129" s="759"/>
      <c r="P129" s="762"/>
      <c r="Q129" s="762"/>
      <c r="R129" s="762"/>
      <c r="S129" s="527"/>
      <c r="T129" s="527"/>
      <c r="U129" s="527"/>
      <c r="V129" s="527"/>
      <c r="W129" s="527"/>
      <c r="X129" s="527"/>
      <c r="Y129" s="527"/>
      <c r="Z129" s="527"/>
      <c r="AA129" s="527"/>
      <c r="AB129" s="527"/>
      <c r="AC129" s="527"/>
      <c r="AD129" s="534"/>
      <c r="AE129" s="534"/>
      <c r="AF129" s="526"/>
      <c r="AG129" s="533"/>
      <c r="AH129" s="533"/>
      <c r="AI129" s="533"/>
      <c r="AJ129" s="146"/>
      <c r="EN129" s="235"/>
      <c r="EO129" s="235"/>
      <c r="EQ129" s="235"/>
      <c r="ER129" s="235"/>
      <c r="ET129" s="235"/>
      <c r="EU129" s="235"/>
      <c r="EW129" s="235"/>
      <c r="EX129" s="235"/>
      <c r="EZ129" s="235"/>
      <c r="FA129" s="235"/>
      <c r="FC129" s="235"/>
      <c r="FD129" s="235"/>
      <c r="FF129" s="235"/>
      <c r="FG129" s="235"/>
      <c r="FI129" s="235"/>
      <c r="FJ129" s="235"/>
    </row>
    <row r="130" spans="1:166" ht="15.95" customHeight="1" outlineLevel="1" x14ac:dyDescent="0.35">
      <c r="A130" s="527"/>
      <c r="B130" s="711" t="s">
        <v>5982</v>
      </c>
      <c r="C130" s="711"/>
      <c r="D130" s="878" t="s">
        <v>1101</v>
      </c>
      <c r="E130" s="878"/>
      <c r="F130" s="878"/>
      <c r="G130" s="527"/>
      <c r="H130" s="711" t="s">
        <v>4128</v>
      </c>
      <c r="I130" s="711"/>
      <c r="J130" s="880"/>
      <c r="K130" s="880"/>
      <c r="L130" s="880"/>
      <c r="M130" s="527"/>
      <c r="N130" s="759"/>
      <c r="O130" s="759"/>
      <c r="P130" s="762"/>
      <c r="Q130" s="762"/>
      <c r="R130" s="762"/>
      <c r="S130" s="527"/>
      <c r="T130" s="881" t="s">
        <v>4131</v>
      </c>
      <c r="U130" s="881"/>
      <c r="V130" s="921">
        <v>2</v>
      </c>
      <c r="W130" s="921"/>
      <c r="X130" s="527"/>
      <c r="Y130" s="527"/>
      <c r="Z130" s="527"/>
      <c r="AA130" s="527"/>
      <c r="AB130" s="527"/>
      <c r="AC130" s="527"/>
      <c r="AD130" s="534"/>
      <c r="AE130" s="534"/>
      <c r="AF130" s="526"/>
      <c r="AG130" s="533"/>
      <c r="AH130" s="533"/>
      <c r="AI130" s="533"/>
      <c r="AJ130" s="146"/>
      <c r="EN130" s="235"/>
      <c r="EO130" s="235"/>
      <c r="EQ130" s="235"/>
      <c r="ER130" s="235"/>
      <c r="ET130" s="235"/>
      <c r="EU130" s="235"/>
      <c r="EW130" s="235"/>
      <c r="EX130" s="235"/>
      <c r="EZ130" s="235"/>
      <c r="FA130" s="235"/>
      <c r="FC130" s="235"/>
      <c r="FD130" s="235"/>
      <c r="FF130" s="235"/>
      <c r="FG130" s="235"/>
      <c r="FI130" s="235"/>
      <c r="FJ130" s="235"/>
    </row>
    <row r="131" spans="1:166" ht="15.95" customHeight="1" outlineLevel="1" x14ac:dyDescent="0.35">
      <c r="A131" s="527"/>
      <c r="B131" s="711"/>
      <c r="C131" s="711"/>
      <c r="D131" s="878"/>
      <c r="E131" s="878"/>
      <c r="F131" s="878"/>
      <c r="G131" s="527"/>
      <c r="H131" s="711"/>
      <c r="I131" s="711"/>
      <c r="J131" s="880"/>
      <c r="K131" s="880"/>
      <c r="L131" s="880"/>
      <c r="M131" s="527"/>
      <c r="N131" s="759" t="s">
        <v>6290</v>
      </c>
      <c r="O131" s="759"/>
      <c r="P131" s="762"/>
      <c r="Q131" s="762"/>
      <c r="R131" s="762"/>
      <c r="S131" s="527"/>
      <c r="T131" s="881"/>
      <c r="U131" s="881"/>
      <c r="V131" s="921"/>
      <c r="W131" s="921"/>
      <c r="X131" s="527"/>
      <c r="Y131" s="527"/>
      <c r="Z131" s="527"/>
      <c r="AA131" s="527"/>
      <c r="AB131" s="527"/>
      <c r="AC131" s="527"/>
      <c r="AD131" s="534"/>
      <c r="AE131" s="534"/>
      <c r="AF131" s="526"/>
      <c r="AG131" s="533"/>
      <c r="AH131" s="533"/>
      <c r="AI131" s="533"/>
      <c r="AJ131" s="146"/>
      <c r="EN131" s="235"/>
      <c r="EO131" s="235"/>
      <c r="EQ131" s="235"/>
      <c r="ER131" s="235"/>
      <c r="ET131" s="235"/>
      <c r="EU131" s="235"/>
      <c r="EW131" s="235"/>
      <c r="EX131" s="235"/>
      <c r="EZ131" s="235"/>
      <c r="FA131" s="235"/>
      <c r="FC131" s="235"/>
      <c r="FD131" s="235"/>
      <c r="FF131" s="235"/>
      <c r="FG131" s="235"/>
      <c r="FI131" s="235"/>
      <c r="FJ131" s="235"/>
    </row>
    <row r="132" spans="1:166" ht="15.95" customHeight="1" outlineLevel="1" x14ac:dyDescent="0.35">
      <c r="A132" s="527"/>
      <c r="B132" s="711" t="s">
        <v>5982</v>
      </c>
      <c r="C132" s="711"/>
      <c r="D132" s="878" t="s">
        <v>54</v>
      </c>
      <c r="E132" s="878"/>
      <c r="F132" s="878"/>
      <c r="G132" s="527"/>
      <c r="H132" s="711" t="s">
        <v>4128</v>
      </c>
      <c r="I132" s="711"/>
      <c r="J132" s="880"/>
      <c r="K132" s="880"/>
      <c r="L132" s="880"/>
      <c r="M132" s="527"/>
      <c r="N132" s="759"/>
      <c r="O132" s="759"/>
      <c r="P132" s="762"/>
      <c r="Q132" s="762"/>
      <c r="R132" s="762"/>
      <c r="S132" s="527"/>
      <c r="T132" s="527"/>
      <c r="U132" s="527"/>
      <c r="V132" s="527"/>
      <c r="W132" s="527"/>
      <c r="X132" s="527"/>
      <c r="Y132" s="527"/>
      <c r="Z132" s="527"/>
      <c r="AA132" s="527"/>
      <c r="AB132" s="527"/>
      <c r="AC132" s="527"/>
      <c r="AD132" s="534"/>
      <c r="AE132" s="534"/>
      <c r="AF132" s="526"/>
      <c r="AG132" s="533"/>
      <c r="AH132" s="533"/>
      <c r="AI132" s="533"/>
      <c r="AJ132" s="146"/>
      <c r="EN132" s="235"/>
      <c r="EO132" s="235"/>
      <c r="EQ132" s="235"/>
      <c r="ER132" s="235"/>
      <c r="ET132" s="235"/>
      <c r="EU132" s="235"/>
      <c r="EW132" s="235"/>
      <c r="EX132" s="235"/>
      <c r="EZ132" s="235"/>
      <c r="FA132" s="235"/>
      <c r="FC132" s="235"/>
      <c r="FD132" s="235"/>
      <c r="FF132" s="235"/>
      <c r="FG132" s="235"/>
      <c r="FI132" s="235"/>
      <c r="FJ132" s="235"/>
    </row>
    <row r="133" spans="1:166" ht="15.95" customHeight="1" outlineLevel="1" x14ac:dyDescent="0.35">
      <c r="A133" s="527"/>
      <c r="B133" s="711"/>
      <c r="C133" s="711"/>
      <c r="D133" s="878"/>
      <c r="E133" s="878"/>
      <c r="F133" s="878"/>
      <c r="G133" s="527"/>
      <c r="H133" s="711"/>
      <c r="I133" s="711"/>
      <c r="J133" s="880"/>
      <c r="K133" s="880"/>
      <c r="L133" s="880"/>
      <c r="M133" s="527"/>
      <c r="N133" s="759" t="s">
        <v>6290</v>
      </c>
      <c r="O133" s="759"/>
      <c r="P133" s="762"/>
      <c r="Q133" s="762"/>
      <c r="R133" s="762"/>
      <c r="S133" s="527"/>
      <c r="T133" s="881" t="s">
        <v>4132</v>
      </c>
      <c r="U133" s="881"/>
      <c r="V133" s="876">
        <f>V127+COUNTIF(J118:L143,"n/a")-COUNTA(J118:L143)</f>
        <v>0</v>
      </c>
      <c r="W133" s="876"/>
      <c r="X133" s="527"/>
      <c r="Y133" s="527"/>
      <c r="Z133" s="527"/>
      <c r="AA133" s="527"/>
      <c r="AB133" s="527"/>
      <c r="AC133" s="527"/>
      <c r="AD133" s="534"/>
      <c r="AE133" s="534"/>
      <c r="AF133" s="526"/>
      <c r="AG133" s="533"/>
      <c r="AH133" s="533"/>
      <c r="AI133" s="533"/>
      <c r="AJ133" s="146"/>
      <c r="EN133" s="235"/>
      <c r="EO133" s="235"/>
      <c r="EQ133" s="235"/>
      <c r="ER133" s="235"/>
      <c r="ET133" s="235"/>
      <c r="EU133" s="235"/>
      <c r="EW133" s="235"/>
      <c r="EX133" s="235"/>
      <c r="EZ133" s="235"/>
      <c r="FA133" s="235"/>
      <c r="FC133" s="235"/>
      <c r="FD133" s="235"/>
      <c r="FF133" s="235"/>
      <c r="FG133" s="235"/>
      <c r="FI133" s="235"/>
      <c r="FJ133" s="235"/>
    </row>
    <row r="134" spans="1:166" ht="15.95" customHeight="1" outlineLevel="1" x14ac:dyDescent="0.35">
      <c r="A134" s="527"/>
      <c r="B134" s="711" t="s">
        <v>5982</v>
      </c>
      <c r="C134" s="711"/>
      <c r="D134" s="878"/>
      <c r="E134" s="878"/>
      <c r="F134" s="878"/>
      <c r="G134" s="527"/>
      <c r="H134" s="711" t="s">
        <v>4128</v>
      </c>
      <c r="I134" s="711"/>
      <c r="J134" s="880"/>
      <c r="K134" s="880"/>
      <c r="L134" s="880"/>
      <c r="M134" s="527"/>
      <c r="N134" s="759"/>
      <c r="O134" s="759"/>
      <c r="P134" s="762"/>
      <c r="Q134" s="762"/>
      <c r="R134" s="762"/>
      <c r="S134" s="527"/>
      <c r="T134" s="881"/>
      <c r="U134" s="881"/>
      <c r="V134" s="876"/>
      <c r="W134" s="876"/>
      <c r="X134" s="527"/>
      <c r="Y134" s="527"/>
      <c r="Z134" s="527"/>
      <c r="AA134" s="527"/>
      <c r="AB134" s="527"/>
      <c r="AC134" s="527"/>
      <c r="AD134" s="534"/>
      <c r="AE134" s="534"/>
      <c r="AF134" s="526"/>
      <c r="AG134" s="533"/>
      <c r="AH134" s="533"/>
      <c r="AI134" s="533"/>
      <c r="AJ134" s="146"/>
      <c r="EN134" s="235"/>
      <c r="EO134" s="235"/>
      <c r="EQ134" s="235"/>
      <c r="ER134" s="235"/>
      <c r="ET134" s="235"/>
      <c r="EU134" s="235"/>
      <c r="EW134" s="235"/>
      <c r="EX134" s="235"/>
      <c r="EZ134" s="235"/>
      <c r="FA134" s="235"/>
      <c r="FC134" s="235"/>
      <c r="FD134" s="235"/>
      <c r="FF134" s="235"/>
      <c r="FG134" s="235"/>
      <c r="FI134" s="235"/>
      <c r="FJ134" s="235"/>
    </row>
    <row r="135" spans="1:166" ht="15.95" customHeight="1" outlineLevel="1" thickBot="1" x14ac:dyDescent="0.4">
      <c r="A135" s="527"/>
      <c r="B135" s="711"/>
      <c r="C135" s="711"/>
      <c r="D135" s="878"/>
      <c r="E135" s="878"/>
      <c r="F135" s="878"/>
      <c r="G135" s="527"/>
      <c r="H135" s="711"/>
      <c r="I135" s="711"/>
      <c r="J135" s="880"/>
      <c r="K135" s="880"/>
      <c r="L135" s="880"/>
      <c r="M135" s="527"/>
      <c r="N135" s="527"/>
      <c r="O135" s="527"/>
      <c r="P135" s="527"/>
      <c r="Q135" s="527"/>
      <c r="R135" s="527"/>
      <c r="S135" s="527"/>
      <c r="T135" s="527"/>
      <c r="U135" s="527"/>
      <c r="V135" s="527"/>
      <c r="W135" s="527"/>
      <c r="X135" s="527"/>
      <c r="Y135" s="527"/>
      <c r="Z135" s="527"/>
      <c r="AA135" s="527"/>
      <c r="AB135" s="527"/>
      <c r="AC135" s="527"/>
      <c r="AD135" s="534"/>
      <c r="AE135" s="534"/>
      <c r="AF135" s="526"/>
      <c r="AG135" s="533"/>
      <c r="AH135" s="533"/>
      <c r="AI135" s="533"/>
      <c r="AJ135" s="146"/>
      <c r="EN135" s="235"/>
      <c r="EO135" s="235"/>
      <c r="EQ135" s="235"/>
      <c r="ER135" s="235"/>
      <c r="ET135" s="235"/>
      <c r="EU135" s="235"/>
      <c r="EW135" s="235"/>
      <c r="EX135" s="235"/>
      <c r="EZ135" s="235"/>
      <c r="FA135" s="235"/>
      <c r="FC135" s="235"/>
      <c r="FD135" s="235"/>
      <c r="FF135" s="235"/>
      <c r="FG135" s="235"/>
      <c r="FI135" s="235"/>
      <c r="FJ135" s="235"/>
    </row>
    <row r="136" spans="1:166" ht="15.95" customHeight="1" outlineLevel="1" x14ac:dyDescent="0.35">
      <c r="A136" s="527"/>
      <c r="B136" s="711" t="s">
        <v>5982</v>
      </c>
      <c r="C136" s="711"/>
      <c r="D136" s="878"/>
      <c r="E136" s="878"/>
      <c r="F136" s="878"/>
      <c r="G136" s="527"/>
      <c r="H136" s="711" t="s">
        <v>4128</v>
      </c>
      <c r="I136" s="711"/>
      <c r="J136" s="880"/>
      <c r="K136" s="880"/>
      <c r="L136" s="880"/>
      <c r="M136" s="527"/>
      <c r="N136" s="756" t="s">
        <v>7055</v>
      </c>
      <c r="O136" s="757"/>
      <c r="P136" s="760" t="s">
        <v>7468</v>
      </c>
      <c r="Q136" s="760"/>
      <c r="R136" s="761"/>
      <c r="S136" s="527"/>
      <c r="T136" s="527"/>
      <c r="U136" s="527"/>
      <c r="V136" s="527"/>
      <c r="W136" s="527"/>
      <c r="X136" s="527"/>
      <c r="Y136" s="527"/>
      <c r="Z136" s="527"/>
      <c r="AA136" s="534"/>
      <c r="AB136" s="534"/>
      <c r="AC136" s="534"/>
      <c r="AD136" s="534"/>
      <c r="AE136" s="534"/>
      <c r="AF136" s="526"/>
      <c r="AG136" s="533"/>
      <c r="AH136" s="533"/>
      <c r="AI136" s="533"/>
      <c r="AJ136" s="146"/>
      <c r="EN136" s="235"/>
      <c r="EO136" s="235"/>
      <c r="EQ136" s="235"/>
      <c r="ER136" s="235"/>
      <c r="ET136" s="235"/>
      <c r="EU136" s="235"/>
      <c r="EW136" s="235"/>
      <c r="EX136" s="235"/>
      <c r="EZ136" s="235"/>
      <c r="FA136" s="235"/>
      <c r="FC136" s="235"/>
      <c r="FD136" s="235"/>
      <c r="FF136" s="235"/>
      <c r="FG136" s="235"/>
      <c r="FI136" s="235"/>
      <c r="FJ136" s="235"/>
    </row>
    <row r="137" spans="1:166" ht="15.95" customHeight="1" outlineLevel="1" x14ac:dyDescent="0.35">
      <c r="A137" s="527"/>
      <c r="B137" s="711"/>
      <c r="C137" s="711"/>
      <c r="D137" s="878"/>
      <c r="E137" s="878"/>
      <c r="F137" s="878"/>
      <c r="G137" s="527"/>
      <c r="H137" s="711"/>
      <c r="I137" s="711"/>
      <c r="J137" s="880"/>
      <c r="K137" s="880"/>
      <c r="L137" s="880"/>
      <c r="M137" s="527"/>
      <c r="N137" s="758"/>
      <c r="O137" s="759"/>
      <c r="P137" s="762"/>
      <c r="Q137" s="762"/>
      <c r="R137" s="763"/>
      <c r="S137" s="527"/>
      <c r="T137" s="527"/>
      <c r="U137" s="527"/>
      <c r="V137" s="527"/>
      <c r="W137" s="527"/>
      <c r="X137" s="527"/>
      <c r="Y137" s="527"/>
      <c r="Z137" s="527"/>
      <c r="AA137" s="534"/>
      <c r="AB137" s="534"/>
      <c r="AC137" s="534"/>
      <c r="AD137" s="534"/>
      <c r="AE137" s="534"/>
      <c r="AF137" s="526"/>
      <c r="AG137" s="533"/>
      <c r="AH137" s="533"/>
      <c r="AI137" s="533"/>
      <c r="AJ137" s="146"/>
      <c r="EN137" s="235"/>
      <c r="EO137" s="235"/>
      <c r="EQ137" s="235"/>
      <c r="ER137" s="235"/>
      <c r="ET137" s="235"/>
      <c r="EU137" s="235"/>
      <c r="EW137" s="235"/>
      <c r="EX137" s="235"/>
      <c r="EZ137" s="235"/>
      <c r="FA137" s="235"/>
      <c r="FC137" s="235"/>
      <c r="FD137" s="235"/>
      <c r="FF137" s="235"/>
      <c r="FG137" s="235"/>
      <c r="FI137" s="235"/>
      <c r="FJ137" s="235"/>
    </row>
    <row r="138" spans="1:166" ht="15.95" customHeight="1" outlineLevel="1" x14ac:dyDescent="0.35">
      <c r="A138" s="527"/>
      <c r="B138" s="711" t="s">
        <v>5982</v>
      </c>
      <c r="C138" s="711"/>
      <c r="D138" s="878"/>
      <c r="E138" s="878"/>
      <c r="F138" s="878"/>
      <c r="G138" s="527"/>
      <c r="H138" s="711" t="s">
        <v>4128</v>
      </c>
      <c r="I138" s="711"/>
      <c r="J138" s="880"/>
      <c r="K138" s="880"/>
      <c r="L138" s="880"/>
      <c r="M138" s="527"/>
      <c r="N138" s="758" t="s">
        <v>7055</v>
      </c>
      <c r="O138" s="759"/>
      <c r="P138" s="762"/>
      <c r="Q138" s="762"/>
      <c r="R138" s="763"/>
      <c r="S138" s="527"/>
      <c r="T138" s="527"/>
      <c r="U138" s="527"/>
      <c r="V138" s="527"/>
      <c r="W138" s="527"/>
      <c r="X138" s="527"/>
      <c r="Y138" s="527"/>
      <c r="Z138" s="527"/>
      <c r="AA138" s="534"/>
      <c r="AB138" s="534"/>
      <c r="AC138" s="534"/>
      <c r="AD138" s="534"/>
      <c r="AE138" s="534"/>
      <c r="AF138" s="526"/>
      <c r="AG138" s="533"/>
      <c r="AH138" s="533"/>
      <c r="AI138" s="533"/>
      <c r="AJ138" s="146"/>
      <c r="EN138" s="235"/>
      <c r="EO138" s="235"/>
      <c r="EQ138" s="235"/>
      <c r="ER138" s="235"/>
      <c r="ET138" s="235"/>
      <c r="EU138" s="235"/>
      <c r="EW138" s="235"/>
      <c r="EX138" s="235"/>
      <c r="EZ138" s="235"/>
      <c r="FA138" s="235"/>
      <c r="FC138" s="235"/>
      <c r="FD138" s="235"/>
      <c r="FF138" s="235"/>
      <c r="FG138" s="235"/>
      <c r="FI138" s="235"/>
      <c r="FJ138" s="235"/>
    </row>
    <row r="139" spans="1:166" ht="15.95" customHeight="1" outlineLevel="1" x14ac:dyDescent="0.35">
      <c r="A139" s="527"/>
      <c r="B139" s="711"/>
      <c r="C139" s="711"/>
      <c r="D139" s="878"/>
      <c r="E139" s="878"/>
      <c r="F139" s="878"/>
      <c r="G139" s="527"/>
      <c r="H139" s="711"/>
      <c r="I139" s="711"/>
      <c r="J139" s="880"/>
      <c r="K139" s="880"/>
      <c r="L139" s="880"/>
      <c r="M139" s="527"/>
      <c r="N139" s="758"/>
      <c r="O139" s="759"/>
      <c r="P139" s="762"/>
      <c r="Q139" s="762"/>
      <c r="R139" s="763"/>
      <c r="S139" s="527"/>
      <c r="T139" s="527"/>
      <c r="U139" s="527"/>
      <c r="V139" s="527"/>
      <c r="W139" s="527"/>
      <c r="X139" s="527"/>
      <c r="Y139" s="527"/>
      <c r="Z139" s="527"/>
      <c r="AA139" s="534"/>
      <c r="AB139" s="534"/>
      <c r="AC139" s="534"/>
      <c r="AD139" s="534"/>
      <c r="AE139" s="534"/>
      <c r="AF139" s="526"/>
      <c r="AG139" s="533"/>
      <c r="AH139" s="533"/>
      <c r="AI139" s="533"/>
      <c r="AJ139" s="146"/>
      <c r="EN139" s="235"/>
      <c r="EO139" s="235"/>
      <c r="EQ139" s="235"/>
      <c r="ER139" s="235"/>
      <c r="ET139" s="235"/>
      <c r="EU139" s="235"/>
      <c r="EW139" s="235"/>
      <c r="EX139" s="235"/>
      <c r="EZ139" s="235"/>
      <c r="FA139" s="235"/>
      <c r="FC139" s="235"/>
      <c r="FD139" s="235"/>
      <c r="FF139" s="235"/>
      <c r="FG139" s="235"/>
      <c r="FI139" s="235"/>
      <c r="FJ139" s="235"/>
    </row>
    <row r="140" spans="1:166" ht="15.95" customHeight="1" outlineLevel="1" x14ac:dyDescent="0.35">
      <c r="A140" s="527"/>
      <c r="B140" s="711" t="s">
        <v>5982</v>
      </c>
      <c r="C140" s="711"/>
      <c r="D140" s="878"/>
      <c r="E140" s="878"/>
      <c r="F140" s="878"/>
      <c r="G140" s="527"/>
      <c r="H140" s="711" t="s">
        <v>4128</v>
      </c>
      <c r="I140" s="711"/>
      <c r="J140" s="880"/>
      <c r="K140" s="880"/>
      <c r="L140" s="880"/>
      <c r="M140" s="527"/>
      <c r="N140" s="758" t="s">
        <v>7055</v>
      </c>
      <c r="O140" s="759"/>
      <c r="P140" s="762"/>
      <c r="Q140" s="762"/>
      <c r="R140" s="763"/>
      <c r="S140" s="527"/>
      <c r="T140" s="527"/>
      <c r="U140" s="527"/>
      <c r="V140" s="527"/>
      <c r="W140" s="527"/>
      <c r="X140" s="527"/>
      <c r="Y140" s="527"/>
      <c r="Z140" s="527"/>
      <c r="AA140" s="534"/>
      <c r="AB140" s="534"/>
      <c r="AC140" s="534"/>
      <c r="AD140" s="534"/>
      <c r="AE140" s="534"/>
      <c r="AF140" s="526"/>
      <c r="AG140" s="533"/>
      <c r="AH140" s="533"/>
      <c r="AI140" s="533"/>
      <c r="AJ140" s="146"/>
      <c r="EN140" s="235"/>
      <c r="EO140" s="235"/>
      <c r="EQ140" s="235"/>
      <c r="ER140" s="235"/>
      <c r="ET140" s="235"/>
      <c r="EU140" s="235"/>
      <c r="EW140" s="235"/>
      <c r="EX140" s="235"/>
      <c r="EZ140" s="235"/>
      <c r="FA140" s="235"/>
      <c r="FC140" s="235"/>
      <c r="FD140" s="235"/>
      <c r="FF140" s="235"/>
      <c r="FG140" s="235"/>
      <c r="FI140" s="235"/>
      <c r="FJ140" s="235"/>
    </row>
    <row r="141" spans="1:166" ht="15.95" customHeight="1" outlineLevel="1" x14ac:dyDescent="0.35">
      <c r="A141" s="527"/>
      <c r="B141" s="711"/>
      <c r="C141" s="711"/>
      <c r="D141" s="878"/>
      <c r="E141" s="878"/>
      <c r="F141" s="878"/>
      <c r="G141" s="527"/>
      <c r="H141" s="711"/>
      <c r="I141" s="711"/>
      <c r="J141" s="880"/>
      <c r="K141" s="880"/>
      <c r="L141" s="880"/>
      <c r="M141" s="527"/>
      <c r="N141" s="758"/>
      <c r="O141" s="759"/>
      <c r="P141" s="762"/>
      <c r="Q141" s="762"/>
      <c r="R141" s="763"/>
      <c r="S141" s="527"/>
      <c r="T141" s="527"/>
      <c r="U141" s="527"/>
      <c r="V141" s="527"/>
      <c r="W141" s="527"/>
      <c r="X141" s="527"/>
      <c r="Y141" s="527"/>
      <c r="Z141" s="527"/>
      <c r="AA141" s="534"/>
      <c r="AB141" s="534"/>
      <c r="AC141" s="534"/>
      <c r="AD141" s="534"/>
      <c r="AE141" s="534"/>
      <c r="AF141" s="526"/>
      <c r="AG141" s="533"/>
      <c r="AH141" s="533"/>
      <c r="AI141" s="533"/>
      <c r="AJ141" s="146"/>
      <c r="EN141" s="235"/>
      <c r="EO141" s="235"/>
      <c r="EQ141" s="235"/>
      <c r="ER141" s="235"/>
      <c r="ET141" s="235"/>
      <c r="EU141" s="235"/>
      <c r="EW141" s="235"/>
      <c r="EX141" s="235"/>
      <c r="EZ141" s="235"/>
      <c r="FA141" s="235"/>
      <c r="FC141" s="235"/>
      <c r="FD141" s="235"/>
      <c r="FF141" s="235"/>
      <c r="FG141" s="235"/>
      <c r="FI141" s="235"/>
      <c r="FJ141" s="235"/>
    </row>
    <row r="142" spans="1:166" ht="15.95" customHeight="1" outlineLevel="1" x14ac:dyDescent="0.35">
      <c r="A142" s="527"/>
      <c r="B142" s="711" t="s">
        <v>5982</v>
      </c>
      <c r="C142" s="711"/>
      <c r="D142" s="878"/>
      <c r="E142" s="878"/>
      <c r="F142" s="878"/>
      <c r="G142" s="527"/>
      <c r="H142" s="711" t="s">
        <v>4128</v>
      </c>
      <c r="I142" s="711"/>
      <c r="J142" s="880"/>
      <c r="K142" s="880"/>
      <c r="L142" s="880"/>
      <c r="M142" s="527"/>
      <c r="N142" s="758" t="s">
        <v>7055</v>
      </c>
      <c r="O142" s="759"/>
      <c r="P142" s="762"/>
      <c r="Q142" s="762"/>
      <c r="R142" s="763"/>
      <c r="S142" s="527"/>
      <c r="T142" s="527"/>
      <c r="U142" s="527"/>
      <c r="V142" s="527"/>
      <c r="W142" s="527"/>
      <c r="X142" s="527"/>
      <c r="Y142" s="527"/>
      <c r="Z142" s="527"/>
      <c r="AA142" s="534"/>
      <c r="AB142" s="534"/>
      <c r="AC142" s="534"/>
      <c r="AD142" s="534"/>
      <c r="AE142" s="534"/>
      <c r="AF142" s="526"/>
      <c r="AG142" s="533"/>
      <c r="AH142" s="533"/>
      <c r="AI142" s="533"/>
      <c r="AJ142" s="146"/>
      <c r="EN142" s="235"/>
      <c r="EO142" s="235"/>
      <c r="EQ142" s="235"/>
      <c r="ER142" s="235"/>
      <c r="ET142" s="235"/>
      <c r="EU142" s="235"/>
      <c r="EW142" s="235"/>
      <c r="EX142" s="235"/>
      <c r="EZ142" s="235"/>
      <c r="FA142" s="235"/>
      <c r="FC142" s="235"/>
      <c r="FD142" s="235"/>
      <c r="FF142" s="235"/>
      <c r="FG142" s="235"/>
      <c r="FI142" s="235"/>
      <c r="FJ142" s="235"/>
    </row>
    <row r="143" spans="1:166" ht="15.95" customHeight="1" outlineLevel="1" thickBot="1" x14ac:dyDescent="0.4">
      <c r="A143" s="527"/>
      <c r="B143" s="711"/>
      <c r="C143" s="711"/>
      <c r="D143" s="878"/>
      <c r="E143" s="878"/>
      <c r="F143" s="878"/>
      <c r="G143" s="527"/>
      <c r="H143" s="711"/>
      <c r="I143" s="711"/>
      <c r="J143" s="880"/>
      <c r="K143" s="880"/>
      <c r="L143" s="880"/>
      <c r="M143" s="527"/>
      <c r="N143" s="764"/>
      <c r="O143" s="765"/>
      <c r="P143" s="766"/>
      <c r="Q143" s="766"/>
      <c r="R143" s="767"/>
      <c r="S143" s="527"/>
      <c r="T143" s="527"/>
      <c r="U143" s="527"/>
      <c r="V143" s="527"/>
      <c r="W143" s="527"/>
      <c r="X143" s="527"/>
      <c r="Y143" s="527"/>
      <c r="Z143" s="527"/>
      <c r="AA143" s="534"/>
      <c r="AB143" s="534"/>
      <c r="AC143" s="534"/>
      <c r="AD143" s="534"/>
      <c r="AE143" s="534"/>
      <c r="AF143" s="526"/>
      <c r="AG143" s="533"/>
      <c r="AH143" s="533"/>
      <c r="AI143" s="533"/>
      <c r="AJ143" s="146"/>
      <c r="EN143" s="235"/>
      <c r="EO143" s="235"/>
      <c r="EQ143" s="235"/>
      <c r="ER143" s="235"/>
      <c r="ET143" s="235"/>
      <c r="EU143" s="235"/>
      <c r="EW143" s="235"/>
      <c r="EX143" s="235"/>
      <c r="EZ143" s="235"/>
      <c r="FA143" s="235"/>
      <c r="FC143" s="235"/>
      <c r="FD143" s="235"/>
      <c r="FF143" s="235"/>
      <c r="FG143" s="235"/>
      <c r="FI143" s="235"/>
      <c r="FJ143" s="235"/>
    </row>
    <row r="144" spans="1:166" ht="15.95" customHeight="1" outlineLevel="1" thickBot="1" x14ac:dyDescent="0.4">
      <c r="A144" s="527"/>
      <c r="B144" s="527"/>
      <c r="C144" s="527"/>
      <c r="D144" s="527"/>
      <c r="E144" s="527"/>
      <c r="F144" s="527"/>
      <c r="G144" s="527"/>
      <c r="H144" s="527"/>
      <c r="I144" s="527"/>
      <c r="J144" s="527"/>
      <c r="K144" s="527"/>
      <c r="L144" s="527"/>
      <c r="M144" s="527"/>
      <c r="N144" s="527"/>
      <c r="O144" s="527"/>
      <c r="P144" s="527"/>
      <c r="Q144" s="527"/>
      <c r="R144" s="527"/>
      <c r="S144" s="527"/>
      <c r="T144" s="527"/>
      <c r="U144" s="527"/>
      <c r="V144" s="527"/>
      <c r="W144" s="527"/>
      <c r="X144" s="527"/>
      <c r="Y144" s="527"/>
      <c r="Z144" s="527"/>
      <c r="AA144" s="534"/>
      <c r="AB144" s="534"/>
      <c r="AC144" s="534"/>
      <c r="AD144" s="534"/>
      <c r="AE144" s="534"/>
      <c r="AF144" s="526"/>
      <c r="AG144" s="533"/>
      <c r="AH144" s="533"/>
      <c r="AI144" s="533"/>
      <c r="AJ144" s="146"/>
      <c r="EN144" s="235"/>
      <c r="EO144" s="235"/>
      <c r="EQ144" s="235"/>
      <c r="ER144" s="235"/>
      <c r="ET144" s="235"/>
      <c r="EU144" s="235"/>
      <c r="EW144" s="235"/>
      <c r="EX144" s="235"/>
      <c r="EZ144" s="235"/>
      <c r="FA144" s="235"/>
      <c r="FC144" s="235"/>
      <c r="FD144" s="235"/>
      <c r="FF144" s="235"/>
      <c r="FG144" s="235"/>
      <c r="FI144" s="235"/>
      <c r="FJ144" s="235"/>
    </row>
    <row r="145" spans="1:36" ht="15.95" customHeight="1" outlineLevel="1" thickTop="1" thickBot="1" x14ac:dyDescent="0.4">
      <c r="A145" s="527"/>
      <c r="B145" s="771" t="s">
        <v>6658</v>
      </c>
      <c r="C145" s="772"/>
      <c r="D145" s="772"/>
      <c r="E145" s="773"/>
      <c r="F145" s="527"/>
      <c r="G145" s="527"/>
      <c r="H145" s="527"/>
      <c r="I145" s="527"/>
      <c r="J145" s="527"/>
      <c r="K145" s="527"/>
      <c r="L145" s="527"/>
      <c r="M145" s="527"/>
      <c r="N145" s="527"/>
      <c r="O145" s="527"/>
      <c r="P145" s="527"/>
      <c r="Q145" s="527"/>
      <c r="R145" s="527"/>
      <c r="S145" s="527"/>
      <c r="T145" s="527"/>
      <c r="U145" s="527"/>
      <c r="V145" s="527"/>
      <c r="W145" s="527"/>
      <c r="X145" s="527"/>
      <c r="Y145" s="527"/>
      <c r="Z145" s="527"/>
      <c r="AA145" s="534"/>
      <c r="AB145" s="534"/>
      <c r="AC145" s="534"/>
      <c r="AD145" s="534"/>
      <c r="AE145" s="534"/>
      <c r="AF145" s="526"/>
      <c r="AG145" s="533"/>
      <c r="AH145" s="533"/>
      <c r="AI145" s="533"/>
      <c r="AJ145" s="146"/>
    </row>
    <row r="146" spans="1:36" ht="15.95" customHeight="1" outlineLevel="1" thickTop="1" x14ac:dyDescent="0.35">
      <c r="A146" s="527"/>
      <c r="B146" s="527"/>
      <c r="C146" s="527"/>
      <c r="D146" s="527"/>
      <c r="E146" s="527"/>
      <c r="F146" s="527"/>
      <c r="G146" s="527"/>
      <c r="H146" s="527"/>
      <c r="I146" s="527"/>
      <c r="J146" s="527"/>
      <c r="K146" s="527"/>
      <c r="L146" s="527"/>
      <c r="M146" s="527"/>
      <c r="N146" s="527"/>
      <c r="O146" s="527"/>
      <c r="P146" s="527"/>
      <c r="Q146" s="527"/>
      <c r="R146" s="527"/>
      <c r="S146" s="527"/>
      <c r="T146" s="527"/>
      <c r="U146" s="527"/>
      <c r="V146" s="527"/>
      <c r="W146" s="527"/>
      <c r="X146" s="527"/>
      <c r="Y146" s="527"/>
      <c r="Z146" s="527"/>
      <c r="AA146" s="534"/>
      <c r="AB146" s="534"/>
      <c r="AC146" s="534"/>
      <c r="AD146" s="534"/>
      <c r="AE146" s="534"/>
      <c r="AF146" s="526"/>
      <c r="AG146" s="533"/>
      <c r="AH146" s="533"/>
      <c r="AI146" s="533"/>
      <c r="AJ146" s="146"/>
    </row>
    <row r="147" spans="1:36" ht="15.95" customHeight="1" x14ac:dyDescent="0.3">
      <c r="A147" s="527"/>
      <c r="B147" s="749" t="s">
        <v>3321</v>
      </c>
      <c r="C147" s="749"/>
      <c r="D147" s="749"/>
      <c r="E147" s="749"/>
      <c r="F147" s="749"/>
      <c r="G147" s="749"/>
      <c r="H147" s="749"/>
      <c r="I147" s="749"/>
      <c r="J147" s="749"/>
      <c r="K147" s="749"/>
      <c r="L147" s="749"/>
      <c r="M147" s="749"/>
      <c r="N147" s="749"/>
      <c r="O147" s="749"/>
      <c r="P147" s="749"/>
      <c r="Q147" s="749"/>
      <c r="R147" s="749"/>
      <c r="S147" s="749"/>
      <c r="T147" s="749"/>
      <c r="U147" s="749"/>
      <c r="V147" s="749"/>
      <c r="W147" s="749"/>
      <c r="X147" s="749"/>
      <c r="Y147" s="749"/>
      <c r="Z147" s="749"/>
      <c r="AA147" s="749"/>
      <c r="AB147" s="749"/>
      <c r="AC147" s="749"/>
      <c r="AD147" s="749"/>
      <c r="AE147" s="749"/>
      <c r="AF147" s="526"/>
      <c r="AG147" s="533"/>
      <c r="AH147" s="533"/>
      <c r="AI147" s="533"/>
      <c r="AJ147" s="146"/>
    </row>
    <row r="148" spans="1:36" ht="15.95" customHeight="1" x14ac:dyDescent="0.3">
      <c r="A148" s="527"/>
      <c r="B148" s="749"/>
      <c r="C148" s="749"/>
      <c r="D148" s="749"/>
      <c r="E148" s="749"/>
      <c r="F148" s="749"/>
      <c r="G148" s="749"/>
      <c r="H148" s="749"/>
      <c r="I148" s="749"/>
      <c r="J148" s="749"/>
      <c r="K148" s="749"/>
      <c r="L148" s="749"/>
      <c r="M148" s="749"/>
      <c r="N148" s="749"/>
      <c r="O148" s="749"/>
      <c r="P148" s="749"/>
      <c r="Q148" s="749"/>
      <c r="R148" s="749"/>
      <c r="S148" s="749"/>
      <c r="T148" s="749"/>
      <c r="U148" s="749"/>
      <c r="V148" s="749"/>
      <c r="W148" s="749"/>
      <c r="X148" s="749"/>
      <c r="Y148" s="749"/>
      <c r="Z148" s="749"/>
      <c r="AA148" s="749"/>
      <c r="AB148" s="749"/>
      <c r="AC148" s="749"/>
      <c r="AD148" s="749"/>
      <c r="AE148" s="749"/>
      <c r="AF148" s="526"/>
      <c r="AG148" s="533"/>
      <c r="AH148" s="533"/>
      <c r="AI148" s="533"/>
      <c r="AJ148" s="146"/>
    </row>
    <row r="149" spans="1:36" ht="15.95" customHeight="1" outlineLevel="1" x14ac:dyDescent="0.3">
      <c r="A149" s="527"/>
      <c r="B149" s="527"/>
      <c r="C149" s="527"/>
      <c r="D149" s="527"/>
      <c r="E149" s="527"/>
      <c r="F149" s="527"/>
      <c r="G149" s="527"/>
      <c r="H149" s="527"/>
      <c r="I149" s="527"/>
      <c r="J149" s="527"/>
      <c r="K149" s="527"/>
      <c r="L149" s="527"/>
      <c r="M149" s="527"/>
      <c r="N149" s="527"/>
      <c r="O149" s="527"/>
      <c r="P149" s="527"/>
      <c r="Q149" s="527"/>
      <c r="R149" s="527"/>
      <c r="S149" s="527"/>
      <c r="T149" s="527"/>
      <c r="U149" s="527"/>
      <c r="V149" s="527"/>
      <c r="W149" s="527"/>
      <c r="X149" s="527"/>
      <c r="Y149" s="527"/>
      <c r="Z149" s="527"/>
      <c r="AA149" s="527"/>
      <c r="AB149" s="527"/>
      <c r="AC149" s="527"/>
      <c r="AD149" s="527"/>
      <c r="AE149" s="527"/>
      <c r="AF149" s="526"/>
      <c r="AG149" s="533" t="str">
        <f>AG150&amp;AG151&amp;AG152&amp;AG153&amp;AG154&amp;AG155</f>
        <v xml:space="preserve">Bonus Feat
Bonus Skill
</v>
      </c>
      <c r="AH149" s="533"/>
      <c r="AI149" s="533"/>
      <c r="AJ149" s="146"/>
    </row>
    <row r="150" spans="1:36" ht="15.95" customHeight="1" outlineLevel="1" x14ac:dyDescent="0.3">
      <c r="A150" s="527"/>
      <c r="B150" s="711" t="str">
        <f>IFERROR(IF(INDEX(T01_Races!AK2:AK101,SelectedRaceID,1)=0,"",INDEX(T01_Races!AK2:AK101,SelectedRaceID,1)),"")</f>
        <v>Bonus Feat</v>
      </c>
      <c r="C150" s="711"/>
      <c r="D150" s="864" t="str">
        <f>IFERROR(INDEX(T011_RacialTraits!$D$3:$D$1001,MATCH(RacialTrait1,T011_RacialTraits!$B$3:$B$1001,0),1),"")</f>
        <v/>
      </c>
      <c r="E150" s="864"/>
      <c r="F150" s="864"/>
      <c r="G150" s="864"/>
      <c r="H150" s="864"/>
      <c r="I150" s="864"/>
      <c r="J150" s="864"/>
      <c r="K150" s="864"/>
      <c r="L150" s="864"/>
      <c r="M150" s="864"/>
      <c r="N150" s="864"/>
      <c r="O150" s="864"/>
      <c r="P150" s="864"/>
      <c r="Q150" s="864"/>
      <c r="R150" s="864"/>
      <c r="S150" s="864"/>
      <c r="T150" s="864"/>
      <c r="U150" s="527"/>
      <c r="V150" s="527"/>
      <c r="W150" s="527"/>
      <c r="X150" s="527"/>
      <c r="Y150" s="527"/>
      <c r="Z150" s="527"/>
      <c r="AA150" s="527"/>
      <c r="AB150" s="527"/>
      <c r="AC150" s="527"/>
      <c r="AD150" s="527"/>
      <c r="AE150" s="527"/>
      <c r="AF150" s="526"/>
      <c r="AG150" s="533" t="str">
        <f>IF(RacialTrait1&lt;&gt;"",RacialTrait1&amp;CHAR(10),"")</f>
        <v xml:space="preserve">Bonus Feat
</v>
      </c>
      <c r="AH150" s="533"/>
      <c r="AI150" s="533"/>
      <c r="AJ150" s="146"/>
    </row>
    <row r="151" spans="1:36" ht="15.95" customHeight="1" outlineLevel="1" x14ac:dyDescent="0.3">
      <c r="A151" s="527"/>
      <c r="B151" s="711"/>
      <c r="C151" s="711"/>
      <c r="D151" s="864"/>
      <c r="E151" s="864"/>
      <c r="F151" s="864"/>
      <c r="G151" s="864"/>
      <c r="H151" s="864"/>
      <c r="I151" s="864"/>
      <c r="J151" s="864"/>
      <c r="K151" s="864"/>
      <c r="L151" s="864"/>
      <c r="M151" s="864"/>
      <c r="N151" s="864"/>
      <c r="O151" s="864"/>
      <c r="P151" s="864"/>
      <c r="Q151" s="864"/>
      <c r="R151" s="864"/>
      <c r="S151" s="864"/>
      <c r="T151" s="864"/>
      <c r="U151" s="527"/>
      <c r="V151" s="527"/>
      <c r="W151" s="527"/>
      <c r="X151" s="527"/>
      <c r="Y151" s="527"/>
      <c r="Z151" s="527"/>
      <c r="AA151" s="527"/>
      <c r="AB151" s="527"/>
      <c r="AC151" s="527"/>
      <c r="AD151" s="527"/>
      <c r="AE151" s="527"/>
      <c r="AF151" s="526"/>
      <c r="AG151" s="533" t="str">
        <f>IF(RacialTrait2&lt;&gt;"",RacialTrait2&amp;CHAR(10),"")</f>
        <v xml:space="preserve">Bonus Skill
</v>
      </c>
      <c r="AH151" s="533"/>
      <c r="AI151" s="533"/>
      <c r="AJ151" s="146"/>
    </row>
    <row r="152" spans="1:36" ht="15.95" customHeight="1" outlineLevel="1" x14ac:dyDescent="0.3">
      <c r="A152" s="527"/>
      <c r="B152" s="711" t="str">
        <f>IFERROR(IF(INDEX(T01_Races!AL2:AL101,SelectedRaceID,1)=0,"",INDEX(T01_Races!AL2:AL101,SelectedRaceID,1)),"")</f>
        <v>Bonus Skill</v>
      </c>
      <c r="C152" s="711"/>
      <c r="D152" s="864" t="str">
        <f>IFERROR(INDEX(T011_RacialTraits!$D$3:$D$1001,MATCH(RacialTrait2,T011_RacialTraits!$B$3:$B$1001,0),1),"")</f>
        <v/>
      </c>
      <c r="E152" s="864"/>
      <c r="F152" s="864"/>
      <c r="G152" s="864"/>
      <c r="H152" s="864"/>
      <c r="I152" s="864"/>
      <c r="J152" s="864"/>
      <c r="K152" s="864"/>
      <c r="L152" s="864"/>
      <c r="M152" s="864"/>
      <c r="N152" s="864"/>
      <c r="O152" s="864"/>
      <c r="P152" s="864"/>
      <c r="Q152" s="864"/>
      <c r="R152" s="864"/>
      <c r="S152" s="864"/>
      <c r="T152" s="864"/>
      <c r="U152" s="527"/>
      <c r="V152" s="527"/>
      <c r="W152" s="527"/>
      <c r="X152" s="527"/>
      <c r="Y152" s="527"/>
      <c r="Z152" s="527"/>
      <c r="AA152" s="527"/>
      <c r="AB152" s="527"/>
      <c r="AC152" s="527"/>
      <c r="AD152" s="527"/>
      <c r="AE152" s="527"/>
      <c r="AF152" s="526"/>
      <c r="AG152" s="533" t="str">
        <f>IF(RacialTrait3&lt;&gt;"",RacialTrait3&amp;CHAR(10),"")</f>
        <v/>
      </c>
      <c r="AH152" s="533"/>
      <c r="AI152" s="533"/>
      <c r="AJ152" s="146"/>
    </row>
    <row r="153" spans="1:36" ht="15.95" customHeight="1" outlineLevel="1" x14ac:dyDescent="0.3">
      <c r="A153" s="527"/>
      <c r="B153" s="711"/>
      <c r="C153" s="711"/>
      <c r="D153" s="864"/>
      <c r="E153" s="864"/>
      <c r="F153" s="864"/>
      <c r="G153" s="864"/>
      <c r="H153" s="864"/>
      <c r="I153" s="864"/>
      <c r="J153" s="864"/>
      <c r="K153" s="864"/>
      <c r="L153" s="864"/>
      <c r="M153" s="864"/>
      <c r="N153" s="864"/>
      <c r="O153" s="864"/>
      <c r="P153" s="864"/>
      <c r="Q153" s="864"/>
      <c r="R153" s="864"/>
      <c r="S153" s="864"/>
      <c r="T153" s="864"/>
      <c r="U153" s="527"/>
      <c r="V153" s="527"/>
      <c r="W153" s="527"/>
      <c r="X153" s="527"/>
      <c r="Y153" s="527"/>
      <c r="Z153" s="527"/>
      <c r="AA153" s="527"/>
      <c r="AB153" s="527"/>
      <c r="AC153" s="527"/>
      <c r="AD153" s="527"/>
      <c r="AE153" s="527"/>
      <c r="AF153" s="526"/>
      <c r="AG153" s="533" t="str">
        <f>IF(RacialTrait4&lt;&gt;"",RacialTrait4&amp;CHAR(10),"")</f>
        <v/>
      </c>
      <c r="AH153" s="533"/>
      <c r="AI153" s="533"/>
      <c r="AJ153" s="146"/>
    </row>
    <row r="154" spans="1:36" ht="15.95" customHeight="1" outlineLevel="1" x14ac:dyDescent="0.3">
      <c r="A154" s="527"/>
      <c r="B154" s="711" t="str">
        <f>IFERROR(IF(INDEX(T01_Races!AM2:AM101,SelectedRaceID,1)=0,"",INDEX(T01_Races!AM2:AM101,SelectedRaceID,1)),"")</f>
        <v/>
      </c>
      <c r="C154" s="711"/>
      <c r="D154" s="864" t="str">
        <f>IFERROR(INDEX(T011_RacialTraits!$D$3:$D$1001,MATCH(RacialTrait3,T011_RacialTraits!$B$3:$B$1001,0),1),"")</f>
        <v/>
      </c>
      <c r="E154" s="864"/>
      <c r="F154" s="864"/>
      <c r="G154" s="864"/>
      <c r="H154" s="864"/>
      <c r="I154" s="864"/>
      <c r="J154" s="864"/>
      <c r="K154" s="864"/>
      <c r="L154" s="864"/>
      <c r="M154" s="864"/>
      <c r="N154" s="864"/>
      <c r="O154" s="864"/>
      <c r="P154" s="864"/>
      <c r="Q154" s="864"/>
      <c r="R154" s="864"/>
      <c r="S154" s="864"/>
      <c r="T154" s="864"/>
      <c r="U154" s="527"/>
      <c r="V154" s="527"/>
      <c r="W154" s="527"/>
      <c r="X154" s="527"/>
      <c r="Y154" s="527"/>
      <c r="Z154" s="527"/>
      <c r="AA154" s="527"/>
      <c r="AB154" s="527"/>
      <c r="AC154" s="527"/>
      <c r="AD154" s="527"/>
      <c r="AE154" s="527"/>
      <c r="AF154" s="526"/>
      <c r="AG154" s="533" t="str">
        <f>IF(RacialTrait5&lt;&gt;"",RacialTrait5&amp;CHAR(10),"")</f>
        <v/>
      </c>
      <c r="AH154" s="533"/>
      <c r="AI154" s="533"/>
      <c r="AJ154" s="146"/>
    </row>
    <row r="155" spans="1:36" ht="15.95" customHeight="1" outlineLevel="1" x14ac:dyDescent="0.3">
      <c r="A155" s="527"/>
      <c r="B155" s="711"/>
      <c r="C155" s="711"/>
      <c r="D155" s="864"/>
      <c r="E155" s="864"/>
      <c r="F155" s="864"/>
      <c r="G155" s="864"/>
      <c r="H155" s="864"/>
      <c r="I155" s="864"/>
      <c r="J155" s="864"/>
      <c r="K155" s="864"/>
      <c r="L155" s="864"/>
      <c r="M155" s="864"/>
      <c r="N155" s="864"/>
      <c r="O155" s="864"/>
      <c r="P155" s="864"/>
      <c r="Q155" s="864"/>
      <c r="R155" s="864"/>
      <c r="S155" s="864"/>
      <c r="T155" s="864"/>
      <c r="U155" s="527"/>
      <c r="V155" s="527"/>
      <c r="W155" s="527"/>
      <c r="X155" s="527"/>
      <c r="Y155" s="527"/>
      <c r="Z155" s="527"/>
      <c r="AA155" s="527"/>
      <c r="AB155" s="527"/>
      <c r="AC155" s="527"/>
      <c r="AD155" s="527"/>
      <c r="AE155" s="527"/>
      <c r="AF155" s="526"/>
      <c r="AG155" s="533" t="str">
        <f>IF(RacialTrait6&lt;&gt;"",RacialTrait6&amp;CHAR(10),"")</f>
        <v/>
      </c>
      <c r="AH155" s="533"/>
      <c r="AI155" s="533"/>
      <c r="AJ155" s="146"/>
    </row>
    <row r="156" spans="1:36" ht="15.95" customHeight="1" outlineLevel="1" x14ac:dyDescent="0.3">
      <c r="A156" s="527"/>
      <c r="B156" s="711" t="str">
        <f>IFERROR(IF(INDEX(T01_Races!AN2:AN101,SelectedRaceID,1)=0,"",INDEX(T01_Races!AN2:AN101,SelectedRaceID,1)),"")</f>
        <v/>
      </c>
      <c r="C156" s="711"/>
      <c r="D156" s="864" t="str">
        <f>IFERROR(INDEX(T011_RacialTraits!$D$3:$D$1001,MATCH(RacialTrait4,T011_RacialTraits!$B$3:$B$1001,0),1),"")</f>
        <v/>
      </c>
      <c r="E156" s="864"/>
      <c r="F156" s="864"/>
      <c r="G156" s="864"/>
      <c r="H156" s="864"/>
      <c r="I156" s="864"/>
      <c r="J156" s="864"/>
      <c r="K156" s="864"/>
      <c r="L156" s="864"/>
      <c r="M156" s="864"/>
      <c r="N156" s="864"/>
      <c r="O156" s="864"/>
      <c r="P156" s="864"/>
      <c r="Q156" s="864"/>
      <c r="R156" s="864"/>
      <c r="S156" s="864"/>
      <c r="T156" s="864"/>
      <c r="U156" s="527"/>
      <c r="V156" s="527"/>
      <c r="W156" s="527"/>
      <c r="X156" s="527"/>
      <c r="Y156" s="527"/>
      <c r="Z156" s="527"/>
      <c r="AA156" s="527"/>
      <c r="AB156" s="527"/>
      <c r="AC156" s="527"/>
      <c r="AD156" s="527"/>
      <c r="AE156" s="527"/>
      <c r="AF156" s="526"/>
      <c r="AG156" s="533"/>
      <c r="AH156" s="533"/>
      <c r="AI156" s="533"/>
      <c r="AJ156" s="146"/>
    </row>
    <row r="157" spans="1:36" ht="15.95" customHeight="1" outlineLevel="1" collapsed="1" x14ac:dyDescent="0.3">
      <c r="A157" s="527"/>
      <c r="B157" s="711"/>
      <c r="C157" s="711"/>
      <c r="D157" s="864"/>
      <c r="E157" s="864"/>
      <c r="F157" s="864"/>
      <c r="G157" s="864"/>
      <c r="H157" s="864"/>
      <c r="I157" s="864"/>
      <c r="J157" s="864"/>
      <c r="K157" s="864"/>
      <c r="L157" s="864"/>
      <c r="M157" s="864"/>
      <c r="N157" s="864"/>
      <c r="O157" s="864"/>
      <c r="P157" s="864"/>
      <c r="Q157" s="864"/>
      <c r="R157" s="864"/>
      <c r="S157" s="864"/>
      <c r="T157" s="864"/>
      <c r="U157" s="527"/>
      <c r="V157" s="527"/>
      <c r="W157" s="527"/>
      <c r="X157" s="527"/>
      <c r="Y157" s="527"/>
      <c r="Z157" s="527"/>
      <c r="AA157" s="527"/>
      <c r="AB157" s="527"/>
      <c r="AC157" s="527"/>
      <c r="AD157" s="527"/>
      <c r="AE157" s="527"/>
      <c r="AF157" s="526"/>
      <c r="AG157" s="533"/>
      <c r="AH157" s="533"/>
      <c r="AI157" s="533"/>
      <c r="AJ157" s="146"/>
    </row>
    <row r="158" spans="1:36" ht="15.95" customHeight="1" outlineLevel="1" x14ac:dyDescent="0.3">
      <c r="A158" s="527"/>
      <c r="B158" s="711" t="str">
        <f>IFERROR(IF(INDEX(T01_Races!AO2:AO101,SelectedRaceID,1)=0,"",INDEX(T01_Races!AO2:AO101,SelectedRaceID,1)),"")</f>
        <v/>
      </c>
      <c r="C158" s="711"/>
      <c r="D158" s="864" t="str">
        <f>IFERROR(INDEX(T011_RacialTraits!$D$3:$D$1001,MATCH(RacialTrait5,T011_RacialTraits!$B$3:$B$1001,0),1),"")</f>
        <v/>
      </c>
      <c r="E158" s="864"/>
      <c r="F158" s="864"/>
      <c r="G158" s="864"/>
      <c r="H158" s="864"/>
      <c r="I158" s="864"/>
      <c r="J158" s="864"/>
      <c r="K158" s="864"/>
      <c r="L158" s="864"/>
      <c r="M158" s="864"/>
      <c r="N158" s="864"/>
      <c r="O158" s="864"/>
      <c r="P158" s="864"/>
      <c r="Q158" s="864"/>
      <c r="R158" s="864"/>
      <c r="S158" s="864"/>
      <c r="T158" s="864"/>
      <c r="U158" s="527"/>
      <c r="V158" s="527"/>
      <c r="W158" s="527"/>
      <c r="X158" s="527"/>
      <c r="Y158" s="527"/>
      <c r="Z158" s="527"/>
      <c r="AA158" s="527"/>
      <c r="AB158" s="527"/>
      <c r="AC158" s="527"/>
      <c r="AD158" s="527"/>
      <c r="AE158" s="527"/>
      <c r="AF158" s="526"/>
      <c r="AG158" s="533"/>
      <c r="AH158" s="533"/>
      <c r="AI158" s="533"/>
      <c r="AJ158" s="146"/>
    </row>
    <row r="159" spans="1:36" ht="15.95" customHeight="1" outlineLevel="1" x14ac:dyDescent="0.3">
      <c r="A159" s="527"/>
      <c r="B159" s="711"/>
      <c r="C159" s="711"/>
      <c r="D159" s="864"/>
      <c r="E159" s="864"/>
      <c r="F159" s="864"/>
      <c r="G159" s="864"/>
      <c r="H159" s="864"/>
      <c r="I159" s="864"/>
      <c r="J159" s="864"/>
      <c r="K159" s="864"/>
      <c r="L159" s="864"/>
      <c r="M159" s="864"/>
      <c r="N159" s="864"/>
      <c r="O159" s="864"/>
      <c r="P159" s="864"/>
      <c r="Q159" s="864"/>
      <c r="R159" s="864"/>
      <c r="S159" s="864"/>
      <c r="T159" s="864"/>
      <c r="U159" s="527"/>
      <c r="V159" s="527"/>
      <c r="W159" s="527"/>
      <c r="X159" s="527"/>
      <c r="Y159" s="527"/>
      <c r="Z159" s="527"/>
      <c r="AA159" s="527"/>
      <c r="AB159" s="527"/>
      <c r="AC159" s="527"/>
      <c r="AD159" s="527"/>
      <c r="AE159" s="527"/>
      <c r="AF159" s="526"/>
      <c r="AG159" s="533"/>
      <c r="AH159" s="533"/>
      <c r="AI159" s="533"/>
      <c r="AJ159" s="146"/>
    </row>
    <row r="160" spans="1:36" ht="15.95" customHeight="1" outlineLevel="1" x14ac:dyDescent="0.3">
      <c r="A160" s="527"/>
      <c r="B160" s="711" t="str">
        <f>IFERROR(IF(INDEX(T01_Races!AP2:AP101,SelectedRaceID,1)=0,"",INDEX(T01_Races!AP2:AP101,SelectedRaceID,1)),"")</f>
        <v/>
      </c>
      <c r="C160" s="711"/>
      <c r="D160" s="864" t="str">
        <f>IFERROR(INDEX(T011_RacialTraits!$D$3:$D$1001,MATCH(RacialTrait6,T011_RacialTraits!$B$3:$B$1001,0),1),"")</f>
        <v/>
      </c>
      <c r="E160" s="864"/>
      <c r="F160" s="864"/>
      <c r="G160" s="864"/>
      <c r="H160" s="864"/>
      <c r="I160" s="864"/>
      <c r="J160" s="864"/>
      <c r="K160" s="864"/>
      <c r="L160" s="864"/>
      <c r="M160" s="864"/>
      <c r="N160" s="864"/>
      <c r="O160" s="864"/>
      <c r="P160" s="864"/>
      <c r="Q160" s="864"/>
      <c r="R160" s="864"/>
      <c r="S160" s="864"/>
      <c r="T160" s="864"/>
      <c r="U160" s="527"/>
      <c r="V160" s="527"/>
      <c r="W160" s="527"/>
      <c r="X160" s="527"/>
      <c r="Y160" s="527"/>
      <c r="Z160" s="527"/>
      <c r="AA160" s="527"/>
      <c r="AB160" s="527"/>
      <c r="AC160" s="527"/>
      <c r="AD160" s="527"/>
      <c r="AE160" s="527"/>
      <c r="AF160" s="526"/>
      <c r="AG160" s="533"/>
      <c r="AH160" s="533"/>
      <c r="AI160" s="533"/>
      <c r="AJ160" s="146"/>
    </row>
    <row r="161" spans="1:36" ht="15.95" customHeight="1" outlineLevel="1" x14ac:dyDescent="0.3">
      <c r="A161" s="527"/>
      <c r="B161" s="711"/>
      <c r="C161" s="711"/>
      <c r="D161" s="864"/>
      <c r="E161" s="864"/>
      <c r="F161" s="864"/>
      <c r="G161" s="864"/>
      <c r="H161" s="864"/>
      <c r="I161" s="864"/>
      <c r="J161" s="864"/>
      <c r="K161" s="864"/>
      <c r="L161" s="864"/>
      <c r="M161" s="864"/>
      <c r="N161" s="864"/>
      <c r="O161" s="864"/>
      <c r="P161" s="864"/>
      <c r="Q161" s="864"/>
      <c r="R161" s="864"/>
      <c r="S161" s="864"/>
      <c r="T161" s="864"/>
      <c r="U161" s="527"/>
      <c r="V161" s="527"/>
      <c r="W161" s="527"/>
      <c r="X161" s="527"/>
      <c r="Y161" s="527"/>
      <c r="Z161" s="527"/>
      <c r="AA161" s="527"/>
      <c r="AB161" s="527"/>
      <c r="AC161" s="527"/>
      <c r="AD161" s="527"/>
      <c r="AE161" s="527"/>
      <c r="AF161" s="526"/>
      <c r="AG161" s="533"/>
      <c r="AH161" s="533"/>
      <c r="AI161" s="533"/>
      <c r="AJ161" s="146"/>
    </row>
    <row r="162" spans="1:36" ht="15.95" customHeight="1" outlineLevel="1" thickBot="1" x14ac:dyDescent="0.35">
      <c r="A162" s="527"/>
      <c r="B162" s="527"/>
      <c r="C162" s="527"/>
      <c r="D162" s="527"/>
      <c r="E162" s="527"/>
      <c r="F162" s="527"/>
      <c r="G162" s="527"/>
      <c r="H162" s="527"/>
      <c r="I162" s="527"/>
      <c r="J162" s="527"/>
      <c r="K162" s="527"/>
      <c r="L162" s="527"/>
      <c r="M162" s="527"/>
      <c r="N162" s="527"/>
      <c r="O162" s="527"/>
      <c r="P162" s="527"/>
      <c r="Q162" s="527"/>
      <c r="V162" s="527"/>
      <c r="W162" s="527"/>
      <c r="X162" s="527"/>
      <c r="Y162" s="527"/>
      <c r="Z162" s="527"/>
      <c r="AA162" s="527"/>
      <c r="AB162" s="527"/>
      <c r="AC162" s="527"/>
      <c r="AD162" s="527"/>
      <c r="AE162" s="527"/>
      <c r="AF162" s="526"/>
      <c r="AG162" s="533"/>
      <c r="AH162" s="533"/>
      <c r="AI162" s="533"/>
      <c r="AJ162" s="146"/>
    </row>
    <row r="163" spans="1:36" ht="15.95" customHeight="1" outlineLevel="1" thickTop="1" thickBot="1" x14ac:dyDescent="0.35">
      <c r="A163" s="527"/>
      <c r="B163" s="771" t="s">
        <v>6658</v>
      </c>
      <c r="C163" s="772"/>
      <c r="D163" s="772"/>
      <c r="E163" s="773"/>
      <c r="F163" s="527"/>
      <c r="G163" s="527"/>
      <c r="H163" s="527"/>
      <c r="I163" s="527"/>
      <c r="J163" s="527"/>
      <c r="K163" s="527"/>
      <c r="L163" s="527"/>
      <c r="M163" s="527"/>
      <c r="N163" s="527"/>
      <c r="O163" s="527"/>
      <c r="P163" s="527"/>
      <c r="Q163" s="527"/>
      <c r="V163" s="527"/>
      <c r="W163" s="527"/>
      <c r="X163" s="527"/>
      <c r="Y163" s="527"/>
      <c r="Z163" s="527"/>
      <c r="AA163" s="527"/>
      <c r="AB163" s="527"/>
      <c r="AC163" s="527"/>
      <c r="AD163" s="527"/>
      <c r="AE163" s="527"/>
      <c r="AF163" s="526"/>
      <c r="AG163" s="533"/>
      <c r="AH163" s="533"/>
      <c r="AI163" s="533"/>
      <c r="AJ163" s="146"/>
    </row>
    <row r="164" spans="1:36" ht="15.95" customHeight="1" outlineLevel="1" thickTop="1" x14ac:dyDescent="0.3">
      <c r="A164" s="527"/>
      <c r="B164" s="527"/>
      <c r="C164" s="527"/>
      <c r="D164" s="527"/>
      <c r="E164" s="527"/>
      <c r="F164" s="527"/>
      <c r="G164" s="527"/>
      <c r="H164" s="527"/>
      <c r="I164" s="527"/>
      <c r="J164" s="527"/>
      <c r="K164" s="527"/>
      <c r="L164" s="527"/>
      <c r="M164" s="527"/>
      <c r="N164" s="527"/>
      <c r="O164" s="527"/>
      <c r="P164" s="527"/>
      <c r="Q164" s="527"/>
      <c r="V164" s="527"/>
      <c r="W164" s="527"/>
      <c r="X164" s="527"/>
      <c r="Y164" s="527"/>
      <c r="Z164" s="527"/>
      <c r="AA164" s="527"/>
      <c r="AB164" s="527"/>
      <c r="AC164" s="527"/>
      <c r="AD164" s="527"/>
      <c r="AE164" s="527"/>
      <c r="AF164" s="526"/>
      <c r="AG164" s="533"/>
      <c r="AH164" s="533"/>
      <c r="AI164" s="533"/>
      <c r="AJ164" s="146"/>
    </row>
    <row r="165" spans="1:36" ht="15.95" customHeight="1" x14ac:dyDescent="0.3">
      <c r="A165" s="527"/>
      <c r="B165" s="749" t="s">
        <v>6551</v>
      </c>
      <c r="C165" s="749"/>
      <c r="D165" s="749"/>
      <c r="E165" s="749"/>
      <c r="F165" s="749"/>
      <c r="G165" s="749"/>
      <c r="H165" s="749"/>
      <c r="I165" s="749"/>
      <c r="J165" s="749"/>
      <c r="K165" s="749"/>
      <c r="L165" s="749"/>
      <c r="M165" s="749"/>
      <c r="N165" s="749"/>
      <c r="O165" s="749"/>
      <c r="P165" s="749"/>
      <c r="Q165" s="749"/>
      <c r="R165" s="749"/>
      <c r="S165" s="749"/>
      <c r="T165" s="749"/>
      <c r="U165" s="749"/>
      <c r="V165" s="749"/>
      <c r="W165" s="749"/>
      <c r="X165" s="749"/>
      <c r="Y165" s="749"/>
      <c r="Z165" s="749"/>
      <c r="AA165" s="749"/>
      <c r="AB165" s="749"/>
      <c r="AC165" s="749"/>
      <c r="AD165" s="749"/>
      <c r="AE165" s="749"/>
      <c r="AF165" s="526"/>
      <c r="AG165" s="533"/>
      <c r="AH165" s="533"/>
      <c r="AI165" s="533"/>
      <c r="AJ165" s="146"/>
    </row>
    <row r="166" spans="1:36" ht="15.95" customHeight="1" x14ac:dyDescent="0.3">
      <c r="A166" s="527"/>
      <c r="B166" s="749"/>
      <c r="C166" s="749"/>
      <c r="D166" s="749"/>
      <c r="E166" s="749"/>
      <c r="F166" s="749"/>
      <c r="G166" s="749"/>
      <c r="H166" s="749"/>
      <c r="I166" s="749"/>
      <c r="J166" s="749"/>
      <c r="K166" s="749"/>
      <c r="L166" s="749"/>
      <c r="M166" s="749"/>
      <c r="N166" s="749"/>
      <c r="O166" s="749"/>
      <c r="P166" s="749"/>
      <c r="Q166" s="749"/>
      <c r="R166" s="749"/>
      <c r="S166" s="749"/>
      <c r="T166" s="749"/>
      <c r="U166" s="749"/>
      <c r="V166" s="749"/>
      <c r="W166" s="749"/>
      <c r="X166" s="749"/>
      <c r="Y166" s="749"/>
      <c r="Z166" s="749"/>
      <c r="AA166" s="749"/>
      <c r="AB166" s="749"/>
      <c r="AC166" s="749"/>
      <c r="AD166" s="749"/>
      <c r="AE166" s="749"/>
      <c r="AF166" s="526"/>
      <c r="AG166" s="533"/>
      <c r="AH166" s="533"/>
      <c r="AI166" s="533"/>
      <c r="AJ166" s="146"/>
    </row>
    <row r="167" spans="1:36" ht="15.95" customHeight="1" outlineLevel="1" x14ac:dyDescent="0.3">
      <c r="A167" s="527"/>
      <c r="B167" s="527"/>
      <c r="C167" s="527"/>
      <c r="D167" s="527"/>
      <c r="E167" s="527"/>
      <c r="F167" s="527"/>
      <c r="G167" s="527"/>
      <c r="H167" s="527"/>
      <c r="I167" s="527"/>
      <c r="J167" s="527"/>
      <c r="K167" s="527"/>
      <c r="L167" s="527"/>
      <c r="M167" s="527"/>
      <c r="N167" s="527"/>
      <c r="O167" s="527"/>
      <c r="P167" s="527"/>
      <c r="Q167" s="527"/>
      <c r="R167" s="527"/>
      <c r="S167" s="527"/>
      <c r="T167" s="527"/>
      <c r="U167" s="527"/>
      <c r="V167" s="527"/>
      <c r="W167" s="527"/>
      <c r="X167" s="527"/>
      <c r="Y167" s="527"/>
      <c r="Z167" s="527"/>
      <c r="AA167" s="527"/>
      <c r="AB167" s="527"/>
      <c r="AC167" s="527"/>
      <c r="AD167" s="527"/>
      <c r="AE167" s="527"/>
      <c r="AF167" s="526"/>
      <c r="AG167" s="533" t="s">
        <v>6419</v>
      </c>
      <c r="AH167" s="533" t="str">
        <f>IF(AG168&lt;&gt;"","Fighting styles: "&amp;CHAR(10)&amp;AG168&amp;AG169&amp;AG170&amp;AG171)</f>
        <v>Fighting styles: 
Two-Weapon Fighting (Fighter)</v>
      </c>
      <c r="AI167" s="533"/>
      <c r="AJ167" s="146"/>
    </row>
    <row r="168" spans="1:36" ht="15.95" customHeight="1" outlineLevel="1" x14ac:dyDescent="0.3">
      <c r="A168" s="527"/>
      <c r="B168" s="867" t="s">
        <v>3060</v>
      </c>
      <c r="C168" s="867"/>
      <c r="D168" s="821" t="s">
        <v>3034</v>
      </c>
      <c r="E168" s="821"/>
      <c r="F168" s="821"/>
      <c r="G168" s="812" t="s">
        <v>3326</v>
      </c>
      <c r="H168" s="812"/>
      <c r="I168" s="812"/>
      <c r="J168" s="822">
        <f>K168-COUNTA(G170:K191)</f>
        <v>0</v>
      </c>
      <c r="K168" s="823">
        <f>CombatManeuversKnown</f>
        <v>0</v>
      </c>
      <c r="L168" s="813" t="s">
        <v>3324</v>
      </c>
      <c r="M168" s="814"/>
      <c r="N168" s="815"/>
      <c r="O168" s="819">
        <f>P168-COUNTA(N170:P175)</f>
        <v>0</v>
      </c>
      <c r="P168" s="827">
        <f>BarbarianSpiritTotems</f>
        <v>0</v>
      </c>
      <c r="Q168" s="812" t="s">
        <v>3328</v>
      </c>
      <c r="R168" s="812"/>
      <c r="S168" s="812"/>
      <c r="T168" s="822">
        <f>U168-COUNTA(Q170:U175)</f>
        <v>0</v>
      </c>
      <c r="U168" s="823">
        <f>RangerNaturalExplorer</f>
        <v>0</v>
      </c>
      <c r="V168" s="527"/>
      <c r="W168" s="874" t="s">
        <v>6624</v>
      </c>
      <c r="X168" s="875"/>
      <c r="Y168" s="875"/>
      <c r="Z168" s="875"/>
      <c r="AA168" s="875"/>
      <c r="AB168" s="870" t="s">
        <v>7491</v>
      </c>
      <c r="AC168" s="870"/>
      <c r="AD168" s="870"/>
      <c r="AE168" s="870"/>
      <c r="AF168" s="526"/>
      <c r="AG168" s="533" t="str">
        <f>IF(AND(FightingStyle1&lt;&gt;"",FightingStyle1&lt;&gt;"n/a"),FightingStyle1&amp;" ("&amp;G194&amp;")","")</f>
        <v>Two-Weapon Fighting (Fighter)</v>
      </c>
      <c r="AH168" s="533" t="s">
        <v>6420</v>
      </c>
      <c r="AI168" s="533"/>
      <c r="AJ168" s="146"/>
    </row>
    <row r="169" spans="1:36" ht="15.95" customHeight="1" outlineLevel="1" x14ac:dyDescent="0.3">
      <c r="A169" s="527"/>
      <c r="B169" s="867"/>
      <c r="C169" s="867"/>
      <c r="D169" s="821"/>
      <c r="E169" s="821"/>
      <c r="F169" s="821"/>
      <c r="G169" s="812"/>
      <c r="H169" s="812"/>
      <c r="I169" s="812"/>
      <c r="J169" s="822"/>
      <c r="K169" s="823"/>
      <c r="L169" s="816"/>
      <c r="M169" s="817"/>
      <c r="N169" s="818"/>
      <c r="O169" s="820"/>
      <c r="P169" s="828"/>
      <c r="Q169" s="812"/>
      <c r="R169" s="812"/>
      <c r="S169" s="812"/>
      <c r="T169" s="822"/>
      <c r="U169" s="823"/>
      <c r="V169" s="527"/>
      <c r="W169" s="816"/>
      <c r="X169" s="817"/>
      <c r="Y169" s="817"/>
      <c r="Z169" s="817"/>
      <c r="AA169" s="817"/>
      <c r="AB169" s="870"/>
      <c r="AC169" s="870"/>
      <c r="AD169" s="870"/>
      <c r="AE169" s="870"/>
      <c r="AF169" s="526"/>
      <c r="AG169" s="533" t="str">
        <f>IF(AND(FightingStyle2&lt;&gt;"",FightingStyle2&lt;&gt;"n/a"),FightingStyle2&amp;" ("&amp;G196&amp;")","")</f>
        <v/>
      </c>
      <c r="AH169" s="533"/>
      <c r="AI169" s="533"/>
      <c r="AJ169" s="146"/>
    </row>
    <row r="170" spans="1:36" ht="15.95" customHeight="1" outlineLevel="1" x14ac:dyDescent="0.3">
      <c r="A170" s="527"/>
      <c r="B170" s="812" t="s">
        <v>3344</v>
      </c>
      <c r="C170" s="812"/>
      <c r="D170" s="812"/>
      <c r="E170" s="868">
        <f>F170-COUNTA(B172:F187)</f>
        <v>0</v>
      </c>
      <c r="F170" s="823">
        <f>'C03_ClassVariables'!AD32</f>
        <v>0</v>
      </c>
      <c r="G170" s="810"/>
      <c r="H170" s="810"/>
      <c r="I170" s="810"/>
      <c r="J170" s="810"/>
      <c r="K170" s="810"/>
      <c r="L170" s="825"/>
      <c r="M170" s="825"/>
      <c r="N170" s="824"/>
      <c r="O170" s="824"/>
      <c r="P170" s="824"/>
      <c r="Q170" s="810"/>
      <c r="R170" s="810"/>
      <c r="S170" s="810"/>
      <c r="T170" s="810"/>
      <c r="U170" s="810"/>
      <c r="V170" s="527"/>
      <c r="W170" s="805" t="s">
        <v>7469</v>
      </c>
      <c r="X170" s="805"/>
      <c r="Y170" s="805"/>
      <c r="Z170" s="805"/>
      <c r="AA170" s="805"/>
      <c r="AB170" s="870"/>
      <c r="AC170" s="870"/>
      <c r="AD170" s="870"/>
      <c r="AE170" s="870"/>
      <c r="AF170" s="526"/>
      <c r="AG170" s="533" t="str">
        <f>IF(AND(FightingStyle3&lt;&gt;"",FightingStyle3&lt;&gt;"n/a"),FightingStyle3&amp;" ("&amp;G198&amp;")","")</f>
        <v/>
      </c>
      <c r="AH170" s="533"/>
      <c r="AI170" s="533"/>
      <c r="AJ170" s="146"/>
    </row>
    <row r="171" spans="1:36" ht="15.95" customHeight="1" outlineLevel="1" x14ac:dyDescent="0.3">
      <c r="A171" s="527"/>
      <c r="B171" s="812"/>
      <c r="C171" s="812"/>
      <c r="D171" s="812"/>
      <c r="E171" s="868"/>
      <c r="F171" s="823"/>
      <c r="G171" s="810"/>
      <c r="H171" s="810"/>
      <c r="I171" s="810"/>
      <c r="J171" s="810"/>
      <c r="K171" s="810"/>
      <c r="L171" s="825"/>
      <c r="M171" s="825"/>
      <c r="N171" s="824"/>
      <c r="O171" s="824"/>
      <c r="P171" s="824"/>
      <c r="Q171" s="810"/>
      <c r="R171" s="810"/>
      <c r="S171" s="810"/>
      <c r="T171" s="810"/>
      <c r="U171" s="810"/>
      <c r="V171" s="527"/>
      <c r="W171" s="805"/>
      <c r="X171" s="805"/>
      <c r="Y171" s="805"/>
      <c r="Z171" s="805"/>
      <c r="AA171" s="805"/>
      <c r="AB171" s="870"/>
      <c r="AC171" s="870"/>
      <c r="AD171" s="870"/>
      <c r="AE171" s="870"/>
      <c r="AF171" s="526"/>
      <c r="AG171" s="533" t="str">
        <f>IF(AND(FightingStyle4&lt;&gt;"",FightingStyle4&lt;&gt;"n/a"),FightingStyle4&amp;" ("&amp;G200&amp;")","")</f>
        <v/>
      </c>
      <c r="AH171" s="533"/>
      <c r="AI171" s="533"/>
      <c r="AJ171" s="146"/>
    </row>
    <row r="172" spans="1:36" ht="15.95" customHeight="1" outlineLevel="1" x14ac:dyDescent="0.3">
      <c r="A172" s="527"/>
      <c r="B172" s="810"/>
      <c r="C172" s="810"/>
      <c r="D172" s="810"/>
      <c r="E172" s="810"/>
      <c r="F172" s="810"/>
      <c r="G172" s="810"/>
      <c r="H172" s="810"/>
      <c r="I172" s="810"/>
      <c r="J172" s="810"/>
      <c r="K172" s="810"/>
      <c r="L172" s="825"/>
      <c r="M172" s="825"/>
      <c r="N172" s="824"/>
      <c r="O172" s="824"/>
      <c r="P172" s="824"/>
      <c r="Q172" s="810"/>
      <c r="R172" s="810"/>
      <c r="S172" s="810"/>
      <c r="T172" s="810"/>
      <c r="U172" s="810"/>
      <c r="V172" s="527"/>
      <c r="W172" s="805"/>
      <c r="X172" s="805"/>
      <c r="Y172" s="805"/>
      <c r="Z172" s="805"/>
      <c r="AA172" s="805"/>
      <c r="AB172" s="870"/>
      <c r="AC172" s="870"/>
      <c r="AD172" s="870"/>
      <c r="AE172" s="870"/>
      <c r="AF172" s="526"/>
      <c r="AG172" s="533"/>
      <c r="AH172" s="533"/>
      <c r="AI172" s="533"/>
      <c r="AJ172" s="146"/>
    </row>
    <row r="173" spans="1:36" ht="15.95" customHeight="1" outlineLevel="1" x14ac:dyDescent="0.3">
      <c r="A173" s="527"/>
      <c r="B173" s="810"/>
      <c r="C173" s="810"/>
      <c r="D173" s="810"/>
      <c r="E173" s="810"/>
      <c r="F173" s="810"/>
      <c r="G173" s="810"/>
      <c r="H173" s="810"/>
      <c r="I173" s="810"/>
      <c r="J173" s="810"/>
      <c r="K173" s="810"/>
      <c r="L173" s="825"/>
      <c r="M173" s="825"/>
      <c r="N173" s="824"/>
      <c r="O173" s="824"/>
      <c r="P173" s="824"/>
      <c r="Q173" s="810"/>
      <c r="R173" s="810"/>
      <c r="S173" s="810"/>
      <c r="T173" s="810"/>
      <c r="U173" s="810"/>
      <c r="V173" s="527"/>
      <c r="W173" s="805"/>
      <c r="X173" s="805"/>
      <c r="Y173" s="805"/>
      <c r="Z173" s="805"/>
      <c r="AA173" s="805"/>
      <c r="AB173" s="870"/>
      <c r="AC173" s="870"/>
      <c r="AD173" s="870"/>
      <c r="AE173" s="870"/>
      <c r="AF173" s="526"/>
      <c r="AG173" s="533" t="s">
        <v>6421</v>
      </c>
      <c r="AH173" s="533"/>
      <c r="AI173" s="533"/>
      <c r="AJ173" s="146"/>
    </row>
    <row r="174" spans="1:36" ht="15.95" customHeight="1" outlineLevel="1" x14ac:dyDescent="0.3">
      <c r="A174" s="527"/>
      <c r="B174" s="810"/>
      <c r="C174" s="810"/>
      <c r="D174" s="810"/>
      <c r="E174" s="810"/>
      <c r="F174" s="810"/>
      <c r="G174" s="810"/>
      <c r="H174" s="810"/>
      <c r="I174" s="810"/>
      <c r="J174" s="810"/>
      <c r="K174" s="810"/>
      <c r="L174" s="825"/>
      <c r="M174" s="825"/>
      <c r="N174" s="824"/>
      <c r="O174" s="824"/>
      <c r="P174" s="824"/>
      <c r="Q174" s="810"/>
      <c r="R174" s="810"/>
      <c r="S174" s="810"/>
      <c r="T174" s="810"/>
      <c r="U174" s="810"/>
      <c r="V174" s="527"/>
      <c r="W174" s="805"/>
      <c r="X174" s="805"/>
      <c r="Y174" s="805"/>
      <c r="Z174" s="805"/>
      <c r="AA174" s="805"/>
      <c r="AB174" s="870"/>
      <c r="AC174" s="870"/>
      <c r="AD174" s="870"/>
      <c r="AE174" s="870"/>
      <c r="AF174" s="526"/>
      <c r="AG174" s="533" t="str">
        <f>IF(AND(Invocation1&lt;&gt;"",Invocation1&lt;&gt;"n/a"),Invocation1&amp;", ","")</f>
        <v/>
      </c>
      <c r="AH174" s="533"/>
      <c r="AI174" s="533"/>
      <c r="AJ174" s="146"/>
    </row>
    <row r="175" spans="1:36" ht="15.95" customHeight="1" outlineLevel="1" x14ac:dyDescent="0.3">
      <c r="A175" s="527"/>
      <c r="B175" s="810"/>
      <c r="C175" s="810"/>
      <c r="D175" s="810"/>
      <c r="E175" s="810"/>
      <c r="F175" s="810"/>
      <c r="G175" s="810"/>
      <c r="H175" s="810"/>
      <c r="I175" s="810"/>
      <c r="J175" s="810"/>
      <c r="K175" s="810"/>
      <c r="L175" s="825"/>
      <c r="M175" s="825"/>
      <c r="N175" s="824"/>
      <c r="O175" s="824"/>
      <c r="P175" s="824"/>
      <c r="Q175" s="810"/>
      <c r="R175" s="810"/>
      <c r="S175" s="810"/>
      <c r="T175" s="810"/>
      <c r="U175" s="810"/>
      <c r="V175" s="527"/>
      <c r="W175" s="805"/>
      <c r="X175" s="805"/>
      <c r="Y175" s="805"/>
      <c r="Z175" s="805"/>
      <c r="AA175" s="805"/>
      <c r="AB175" s="527"/>
      <c r="AC175" s="527"/>
      <c r="AD175" s="527"/>
      <c r="AE175" s="527"/>
      <c r="AF175" s="526"/>
      <c r="AG175" s="533" t="str">
        <f>IF(AND(Invocation2&lt;&gt;"",Invocation2&lt;&gt;"n/a"),Invocation2&amp;", ","")</f>
        <v/>
      </c>
      <c r="AH175" s="533"/>
      <c r="AI175" s="533"/>
      <c r="AJ175" s="146"/>
    </row>
    <row r="176" spans="1:36" ht="15.95" customHeight="1" outlineLevel="1" x14ac:dyDescent="0.3">
      <c r="A176" s="527"/>
      <c r="B176" s="810"/>
      <c r="C176" s="810"/>
      <c r="D176" s="810"/>
      <c r="E176" s="810"/>
      <c r="F176" s="810"/>
      <c r="G176" s="810"/>
      <c r="H176" s="810"/>
      <c r="I176" s="810"/>
      <c r="J176" s="810"/>
      <c r="K176" s="810"/>
      <c r="L176" s="812" t="s">
        <v>4687</v>
      </c>
      <c r="M176" s="812"/>
      <c r="N176" s="812"/>
      <c r="O176" s="822">
        <f>P176-COUNTA(L178:P185)</f>
        <v>0</v>
      </c>
      <c r="P176" s="823">
        <f>DruidLands</f>
        <v>0</v>
      </c>
      <c r="Q176" s="812" t="s">
        <v>3343</v>
      </c>
      <c r="R176" s="812"/>
      <c r="S176" s="812"/>
      <c r="T176" s="822">
        <f>U176-COUNTA(S178:U185)+COUNTIF(S178:U185,"n/a")</f>
        <v>0</v>
      </c>
      <c r="U176" s="823">
        <f>RangerHunterFeatures</f>
        <v>0</v>
      </c>
      <c r="V176" s="527"/>
      <c r="W176" s="805"/>
      <c r="X176" s="805"/>
      <c r="Y176" s="805"/>
      <c r="Z176" s="805"/>
      <c r="AA176" s="805"/>
      <c r="AB176" s="527"/>
      <c r="AC176" s="527"/>
      <c r="AD176" s="527"/>
      <c r="AE176" s="527"/>
      <c r="AF176" s="526"/>
      <c r="AG176" s="533" t="str">
        <f t="shared" ref="AG176:AG181" si="1">IF(AND(Invocation1&lt;&gt;"",Invocation1&lt;&gt;"n/a"),Invocation1&amp;", ","")</f>
        <v/>
      </c>
      <c r="AH176" s="533"/>
      <c r="AI176" s="533"/>
      <c r="AJ176" s="146"/>
    </row>
    <row r="177" spans="1:36" ht="15.95" customHeight="1" outlineLevel="1" x14ac:dyDescent="0.3">
      <c r="A177" s="527"/>
      <c r="B177" s="810"/>
      <c r="C177" s="810"/>
      <c r="D177" s="810"/>
      <c r="E177" s="810"/>
      <c r="F177" s="810"/>
      <c r="G177" s="810"/>
      <c r="H177" s="810"/>
      <c r="I177" s="810"/>
      <c r="J177" s="810"/>
      <c r="K177" s="810"/>
      <c r="L177" s="812"/>
      <c r="M177" s="812"/>
      <c r="N177" s="812"/>
      <c r="O177" s="822"/>
      <c r="P177" s="823"/>
      <c r="Q177" s="812"/>
      <c r="R177" s="812"/>
      <c r="S177" s="812"/>
      <c r="T177" s="822"/>
      <c r="U177" s="823"/>
      <c r="V177" s="527"/>
      <c r="W177" s="805"/>
      <c r="X177" s="805"/>
      <c r="Y177" s="805"/>
      <c r="Z177" s="805"/>
      <c r="AA177" s="805"/>
      <c r="AB177" s="527"/>
      <c r="AC177" s="527"/>
      <c r="AD177" s="527"/>
      <c r="AE177" s="527"/>
      <c r="AF177" s="526"/>
      <c r="AG177" s="533" t="str">
        <f t="shared" si="1"/>
        <v/>
      </c>
      <c r="AH177" s="533"/>
      <c r="AI177" s="533"/>
      <c r="AJ177" s="146"/>
    </row>
    <row r="178" spans="1:36" ht="15.95" customHeight="1" outlineLevel="1" x14ac:dyDescent="0.3">
      <c r="A178" s="527"/>
      <c r="B178" s="810"/>
      <c r="C178" s="810"/>
      <c r="D178" s="810"/>
      <c r="E178" s="810"/>
      <c r="F178" s="810"/>
      <c r="G178" s="810"/>
      <c r="H178" s="810"/>
      <c r="I178" s="810"/>
      <c r="J178" s="810"/>
      <c r="K178" s="810"/>
      <c r="L178" s="810"/>
      <c r="M178" s="810"/>
      <c r="N178" s="810"/>
      <c r="O178" s="810"/>
      <c r="P178" s="810"/>
      <c r="Q178" s="883" t="s">
        <v>3478</v>
      </c>
      <c r="R178" s="883"/>
      <c r="S178" s="824"/>
      <c r="T178" s="824"/>
      <c r="U178" s="824"/>
      <c r="V178" s="527"/>
      <c r="W178" s="805"/>
      <c r="X178" s="805"/>
      <c r="Y178" s="805"/>
      <c r="Z178" s="805"/>
      <c r="AA178" s="805"/>
      <c r="AB178" s="527"/>
      <c r="AC178" s="527"/>
      <c r="AD178" s="527"/>
      <c r="AE178" s="527"/>
      <c r="AF178" s="526"/>
      <c r="AG178" s="533" t="str">
        <f t="shared" si="1"/>
        <v/>
      </c>
      <c r="AH178" s="533"/>
      <c r="AI178" s="533"/>
      <c r="AJ178" s="146"/>
    </row>
    <row r="179" spans="1:36" ht="15.95" customHeight="1" outlineLevel="1" x14ac:dyDescent="0.3">
      <c r="A179" s="527"/>
      <c r="B179" s="810"/>
      <c r="C179" s="810"/>
      <c r="D179" s="810"/>
      <c r="E179" s="810"/>
      <c r="F179" s="810"/>
      <c r="G179" s="810"/>
      <c r="H179" s="810"/>
      <c r="I179" s="810"/>
      <c r="J179" s="810"/>
      <c r="K179" s="810"/>
      <c r="L179" s="810"/>
      <c r="M179" s="810"/>
      <c r="N179" s="810"/>
      <c r="O179" s="810"/>
      <c r="P179" s="810"/>
      <c r="Q179" s="883"/>
      <c r="R179" s="883"/>
      <c r="S179" s="824"/>
      <c r="T179" s="824"/>
      <c r="U179" s="824"/>
      <c r="V179" s="527"/>
      <c r="W179" s="805"/>
      <c r="X179" s="805"/>
      <c r="Y179" s="805"/>
      <c r="Z179" s="805"/>
      <c r="AA179" s="805"/>
      <c r="AB179" s="527"/>
      <c r="AC179" s="527"/>
      <c r="AD179" s="527"/>
      <c r="AE179" s="527"/>
      <c r="AF179" s="526"/>
      <c r="AG179" s="533" t="str">
        <f t="shared" si="1"/>
        <v/>
      </c>
      <c r="AH179" s="533"/>
      <c r="AI179" s="533"/>
      <c r="AJ179" s="146"/>
    </row>
    <row r="180" spans="1:36" ht="15.95" customHeight="1" outlineLevel="1" x14ac:dyDescent="0.3">
      <c r="A180" s="527"/>
      <c r="B180" s="810"/>
      <c r="C180" s="810"/>
      <c r="D180" s="810"/>
      <c r="E180" s="810"/>
      <c r="F180" s="810"/>
      <c r="G180" s="810"/>
      <c r="H180" s="810"/>
      <c r="I180" s="810"/>
      <c r="J180" s="810"/>
      <c r="K180" s="810"/>
      <c r="L180" s="810"/>
      <c r="M180" s="810"/>
      <c r="N180" s="810"/>
      <c r="O180" s="810"/>
      <c r="P180" s="810"/>
      <c r="Q180" s="883" t="s">
        <v>3479</v>
      </c>
      <c r="R180" s="883"/>
      <c r="S180" s="824"/>
      <c r="T180" s="824"/>
      <c r="U180" s="824"/>
      <c r="V180" s="527"/>
      <c r="W180" s="805"/>
      <c r="X180" s="805"/>
      <c r="Y180" s="805"/>
      <c r="Z180" s="805"/>
      <c r="AA180" s="805"/>
      <c r="AB180" s="527"/>
      <c r="AC180" s="527"/>
      <c r="AD180" s="527"/>
      <c r="AE180" s="527"/>
      <c r="AF180" s="526"/>
      <c r="AG180" s="533" t="str">
        <f t="shared" si="1"/>
        <v/>
      </c>
      <c r="AH180" s="533"/>
      <c r="AI180" s="533"/>
      <c r="AJ180" s="146"/>
    </row>
    <row r="181" spans="1:36" ht="15.95" customHeight="1" outlineLevel="1" x14ac:dyDescent="0.3">
      <c r="A181" s="527"/>
      <c r="B181" s="810"/>
      <c r="C181" s="810"/>
      <c r="D181" s="810"/>
      <c r="E181" s="810"/>
      <c r="F181" s="810"/>
      <c r="G181" s="810"/>
      <c r="H181" s="810"/>
      <c r="I181" s="810"/>
      <c r="J181" s="810"/>
      <c r="K181" s="810"/>
      <c r="L181" s="810"/>
      <c r="M181" s="810"/>
      <c r="N181" s="810"/>
      <c r="O181" s="810"/>
      <c r="P181" s="810"/>
      <c r="Q181" s="883"/>
      <c r="R181" s="883"/>
      <c r="S181" s="824"/>
      <c r="T181" s="824"/>
      <c r="U181" s="824"/>
      <c r="V181" s="527"/>
      <c r="W181" s="805"/>
      <c r="X181" s="805"/>
      <c r="Y181" s="805"/>
      <c r="Z181" s="805"/>
      <c r="AA181" s="805"/>
      <c r="AB181" s="527"/>
      <c r="AC181" s="527"/>
      <c r="AD181" s="527"/>
      <c r="AE181" s="527"/>
      <c r="AF181" s="526"/>
      <c r="AG181" s="533" t="str">
        <f t="shared" si="1"/>
        <v/>
      </c>
      <c r="AH181" s="533"/>
      <c r="AI181" s="533"/>
      <c r="AJ181" s="146"/>
    </row>
    <row r="182" spans="1:36" ht="15.95" customHeight="1" outlineLevel="1" x14ac:dyDescent="0.3">
      <c r="A182" s="527"/>
      <c r="B182" s="810"/>
      <c r="C182" s="810"/>
      <c r="D182" s="810"/>
      <c r="E182" s="810"/>
      <c r="F182" s="810"/>
      <c r="G182" s="810"/>
      <c r="H182" s="810"/>
      <c r="I182" s="810"/>
      <c r="J182" s="810"/>
      <c r="K182" s="810"/>
      <c r="L182" s="810"/>
      <c r="M182" s="810"/>
      <c r="N182" s="810"/>
      <c r="O182" s="810"/>
      <c r="P182" s="810"/>
      <c r="Q182" s="883" t="s">
        <v>3480</v>
      </c>
      <c r="R182" s="883"/>
      <c r="S182" s="824"/>
      <c r="T182" s="824"/>
      <c r="U182" s="824"/>
      <c r="V182" s="527"/>
      <c r="W182" s="805"/>
      <c r="X182" s="805"/>
      <c r="Y182" s="805"/>
      <c r="Z182" s="805"/>
      <c r="AA182" s="805"/>
      <c r="AB182" s="527"/>
      <c r="AC182" s="527"/>
      <c r="AD182" s="527"/>
      <c r="AE182" s="527"/>
      <c r="AF182" s="526"/>
      <c r="AG182" s="533"/>
      <c r="AH182" s="533"/>
      <c r="AI182" s="533"/>
      <c r="AJ182" s="146"/>
    </row>
    <row r="183" spans="1:36" ht="15.95" customHeight="1" outlineLevel="1" x14ac:dyDescent="0.3">
      <c r="A183" s="527"/>
      <c r="B183" s="810"/>
      <c r="C183" s="810"/>
      <c r="D183" s="810"/>
      <c r="E183" s="810"/>
      <c r="F183" s="810"/>
      <c r="G183" s="810"/>
      <c r="H183" s="810"/>
      <c r="I183" s="810"/>
      <c r="J183" s="810"/>
      <c r="K183" s="810"/>
      <c r="L183" s="810"/>
      <c r="M183" s="810"/>
      <c r="N183" s="810"/>
      <c r="O183" s="810"/>
      <c r="P183" s="810"/>
      <c r="Q183" s="883"/>
      <c r="R183" s="883"/>
      <c r="S183" s="824"/>
      <c r="T183" s="824"/>
      <c r="U183" s="824"/>
      <c r="V183" s="527"/>
      <c r="W183" s="805"/>
      <c r="X183" s="805"/>
      <c r="Y183" s="805"/>
      <c r="Z183" s="805"/>
      <c r="AA183" s="805"/>
      <c r="AB183" s="527"/>
      <c r="AC183" s="527"/>
      <c r="AD183" s="527"/>
      <c r="AE183" s="527"/>
      <c r="AF183" s="526"/>
      <c r="AG183" s="533"/>
      <c r="AH183" s="533"/>
      <c r="AI183" s="533"/>
      <c r="AJ183" s="146"/>
    </row>
    <row r="184" spans="1:36" ht="15.95" customHeight="1" outlineLevel="1" x14ac:dyDescent="0.3">
      <c r="A184" s="527"/>
      <c r="B184" s="810"/>
      <c r="C184" s="810"/>
      <c r="D184" s="810"/>
      <c r="E184" s="810"/>
      <c r="F184" s="810"/>
      <c r="G184" s="810"/>
      <c r="H184" s="810"/>
      <c r="I184" s="810"/>
      <c r="J184" s="810"/>
      <c r="K184" s="810"/>
      <c r="L184" s="810"/>
      <c r="M184" s="810"/>
      <c r="N184" s="810"/>
      <c r="O184" s="810"/>
      <c r="P184" s="810"/>
      <c r="Q184" s="883" t="s">
        <v>3481</v>
      </c>
      <c r="R184" s="883"/>
      <c r="S184" s="885"/>
      <c r="T184" s="885"/>
      <c r="U184" s="885"/>
      <c r="V184" s="527"/>
      <c r="W184" s="805"/>
      <c r="X184" s="805"/>
      <c r="Y184" s="805"/>
      <c r="Z184" s="805"/>
      <c r="AA184" s="805"/>
      <c r="AB184" s="527"/>
      <c r="AC184" s="527"/>
      <c r="AD184" s="527"/>
      <c r="AE184" s="527"/>
      <c r="AF184" s="526"/>
      <c r="AG184" s="533"/>
      <c r="AH184" s="533"/>
      <c r="AI184" s="533"/>
      <c r="AJ184" s="146"/>
    </row>
    <row r="185" spans="1:36" ht="15.95" customHeight="1" outlineLevel="1" x14ac:dyDescent="0.3">
      <c r="A185" s="527"/>
      <c r="B185" s="810"/>
      <c r="C185" s="810"/>
      <c r="D185" s="810"/>
      <c r="E185" s="810"/>
      <c r="F185" s="810"/>
      <c r="G185" s="810"/>
      <c r="H185" s="810"/>
      <c r="I185" s="810"/>
      <c r="J185" s="810"/>
      <c r="K185" s="810"/>
      <c r="L185" s="810"/>
      <c r="M185" s="810"/>
      <c r="N185" s="810"/>
      <c r="O185" s="810"/>
      <c r="P185" s="810"/>
      <c r="Q185" s="883"/>
      <c r="R185" s="883"/>
      <c r="S185" s="885"/>
      <c r="T185" s="885"/>
      <c r="U185" s="885"/>
      <c r="V185" s="527"/>
      <c r="W185" s="805"/>
      <c r="X185" s="805"/>
      <c r="Y185" s="805"/>
      <c r="Z185" s="805"/>
      <c r="AA185" s="805"/>
      <c r="AB185" s="527"/>
      <c r="AC185" s="527"/>
      <c r="AD185" s="527"/>
      <c r="AE185" s="527"/>
      <c r="AF185" s="526"/>
      <c r="AG185" s="533"/>
      <c r="AH185" s="533"/>
      <c r="AI185" s="533"/>
      <c r="AJ185" s="146"/>
    </row>
    <row r="186" spans="1:36" ht="15.95" customHeight="1" outlineLevel="1" x14ac:dyDescent="0.3">
      <c r="A186" s="527"/>
      <c r="B186" s="810"/>
      <c r="C186" s="810"/>
      <c r="D186" s="810"/>
      <c r="E186" s="810"/>
      <c r="F186" s="810"/>
      <c r="G186" s="810"/>
      <c r="H186" s="810"/>
      <c r="I186" s="810"/>
      <c r="J186" s="810"/>
      <c r="K186" s="810"/>
      <c r="L186" s="812" t="s">
        <v>6292</v>
      </c>
      <c r="M186" s="812"/>
      <c r="N186" s="812"/>
      <c r="O186" s="822">
        <f>P186-COUNTA(L188:P197)</f>
        <v>0</v>
      </c>
      <c r="P186" s="823">
        <f>MonkElementalDisciplines</f>
        <v>0</v>
      </c>
      <c r="Q186" s="812" t="s">
        <v>3327</v>
      </c>
      <c r="R186" s="812"/>
      <c r="S186" s="812"/>
      <c r="T186" s="822">
        <f>U186-COUNTA(Q188:R193)</f>
        <v>0</v>
      </c>
      <c r="U186" s="823">
        <f>RangerFavoredEnemiesNumber</f>
        <v>0</v>
      </c>
      <c r="V186" s="527"/>
      <c r="W186" s="805"/>
      <c r="X186" s="805"/>
      <c r="Y186" s="805"/>
      <c r="Z186" s="805"/>
      <c r="AA186" s="805"/>
      <c r="AB186" s="527"/>
      <c r="AC186" s="527"/>
      <c r="AD186" s="527"/>
      <c r="AE186" s="527"/>
      <c r="AF186" s="526"/>
      <c r="AG186" s="533"/>
      <c r="AH186" s="533"/>
      <c r="AI186" s="533"/>
      <c r="AJ186" s="146"/>
    </row>
    <row r="187" spans="1:36" ht="15.95" customHeight="1" outlineLevel="1" x14ac:dyDescent="0.3">
      <c r="A187" s="527"/>
      <c r="B187" s="810"/>
      <c r="C187" s="810"/>
      <c r="D187" s="810"/>
      <c r="E187" s="810"/>
      <c r="F187" s="810"/>
      <c r="G187" s="810"/>
      <c r="H187" s="810"/>
      <c r="I187" s="810"/>
      <c r="J187" s="810"/>
      <c r="K187" s="810"/>
      <c r="L187" s="812"/>
      <c r="M187" s="812"/>
      <c r="N187" s="812"/>
      <c r="O187" s="822"/>
      <c r="P187" s="823"/>
      <c r="Q187" s="812"/>
      <c r="R187" s="812"/>
      <c r="S187" s="812"/>
      <c r="T187" s="822"/>
      <c r="U187" s="823"/>
      <c r="V187" s="527"/>
      <c r="W187" s="805"/>
      <c r="X187" s="805"/>
      <c r="Y187" s="805"/>
      <c r="Z187" s="805"/>
      <c r="AA187" s="805"/>
      <c r="AB187" s="527"/>
      <c r="AC187" s="527"/>
      <c r="AD187" s="527"/>
      <c r="AE187" s="527"/>
      <c r="AF187" s="526"/>
      <c r="AG187" s="533"/>
      <c r="AH187" s="533"/>
      <c r="AI187" s="533"/>
      <c r="AJ187" s="146"/>
    </row>
    <row r="188" spans="1:36" ht="15.95" customHeight="1" outlineLevel="1" x14ac:dyDescent="0.3">
      <c r="A188" s="527"/>
      <c r="B188" s="812" t="s">
        <v>6544</v>
      </c>
      <c r="C188" s="812"/>
      <c r="D188" s="812"/>
      <c r="E188" s="822">
        <f>F188-COUNTA(B190:F197)</f>
        <v>0</v>
      </c>
      <c r="F188" s="823"/>
      <c r="G188" s="810"/>
      <c r="H188" s="810"/>
      <c r="I188" s="810"/>
      <c r="J188" s="810"/>
      <c r="K188" s="810"/>
      <c r="L188" s="810"/>
      <c r="M188" s="810"/>
      <c r="N188" s="810"/>
      <c r="O188" s="810"/>
      <c r="P188" s="810"/>
      <c r="Q188" s="810"/>
      <c r="R188" s="810"/>
      <c r="S188" s="810"/>
      <c r="T188" s="810"/>
      <c r="U188" s="810"/>
      <c r="V188" s="527"/>
      <c r="W188" s="805"/>
      <c r="X188" s="805"/>
      <c r="Y188" s="805"/>
      <c r="Z188" s="805"/>
      <c r="AA188" s="805"/>
      <c r="AB188" s="527"/>
      <c r="AC188" s="527"/>
      <c r="AD188" s="527"/>
      <c r="AE188" s="527"/>
      <c r="AF188" s="526"/>
      <c r="AG188" s="533"/>
      <c r="AH188" s="533"/>
      <c r="AI188" s="533"/>
      <c r="AJ188" s="146"/>
    </row>
    <row r="189" spans="1:36" ht="15.95" customHeight="1" outlineLevel="1" x14ac:dyDescent="0.3">
      <c r="A189" s="527"/>
      <c r="B189" s="812"/>
      <c r="C189" s="812"/>
      <c r="D189" s="812"/>
      <c r="E189" s="822"/>
      <c r="F189" s="823"/>
      <c r="G189" s="810"/>
      <c r="H189" s="810"/>
      <c r="I189" s="810"/>
      <c r="J189" s="810"/>
      <c r="K189" s="810"/>
      <c r="L189" s="810"/>
      <c r="M189" s="810"/>
      <c r="N189" s="810"/>
      <c r="O189" s="810"/>
      <c r="P189" s="810"/>
      <c r="Q189" s="810"/>
      <c r="R189" s="810"/>
      <c r="S189" s="810"/>
      <c r="T189" s="810"/>
      <c r="U189" s="810"/>
      <c r="V189" s="527"/>
      <c r="W189" s="805"/>
      <c r="X189" s="805"/>
      <c r="Y189" s="805"/>
      <c r="Z189" s="805"/>
      <c r="AA189" s="805"/>
      <c r="AB189" s="527"/>
      <c r="AC189" s="527"/>
      <c r="AD189" s="527"/>
      <c r="AE189" s="527"/>
      <c r="AF189" s="526"/>
      <c r="AG189" s="533"/>
      <c r="AH189" s="533"/>
      <c r="AI189" s="533"/>
      <c r="AJ189" s="146"/>
    </row>
    <row r="190" spans="1:36" ht="15.95" customHeight="1" outlineLevel="1" x14ac:dyDescent="0.3">
      <c r="A190" s="527"/>
      <c r="B190" s="826"/>
      <c r="C190" s="826"/>
      <c r="D190" s="826"/>
      <c r="E190" s="826"/>
      <c r="F190" s="826"/>
      <c r="G190" s="810"/>
      <c r="H190" s="810"/>
      <c r="I190" s="810"/>
      <c r="J190" s="810"/>
      <c r="K190" s="810"/>
      <c r="L190" s="810"/>
      <c r="M190" s="810"/>
      <c r="N190" s="810"/>
      <c r="O190" s="810"/>
      <c r="P190" s="810"/>
      <c r="Q190" s="810"/>
      <c r="R190" s="810"/>
      <c r="S190" s="810"/>
      <c r="T190" s="810"/>
      <c r="U190" s="810"/>
      <c r="V190" s="527"/>
      <c r="W190" s="805"/>
      <c r="X190" s="805"/>
      <c r="Y190" s="805"/>
      <c r="Z190" s="805"/>
      <c r="AA190" s="805"/>
      <c r="AB190" s="527"/>
      <c r="AC190" s="527"/>
      <c r="AD190" s="527"/>
      <c r="AE190" s="527"/>
      <c r="AF190" s="526"/>
      <c r="AG190" s="533"/>
      <c r="AH190" s="533"/>
      <c r="AI190" s="533"/>
      <c r="AJ190" s="146"/>
    </row>
    <row r="191" spans="1:36" ht="15.95" customHeight="1" outlineLevel="1" x14ac:dyDescent="0.3">
      <c r="A191" s="527"/>
      <c r="B191" s="826"/>
      <c r="C191" s="826"/>
      <c r="D191" s="826"/>
      <c r="E191" s="826"/>
      <c r="F191" s="826"/>
      <c r="G191" s="810"/>
      <c r="H191" s="810"/>
      <c r="I191" s="810"/>
      <c r="J191" s="810"/>
      <c r="K191" s="810"/>
      <c r="L191" s="810"/>
      <c r="M191" s="810"/>
      <c r="N191" s="810"/>
      <c r="O191" s="810"/>
      <c r="P191" s="810"/>
      <c r="Q191" s="810"/>
      <c r="R191" s="810"/>
      <c r="S191" s="810"/>
      <c r="T191" s="810"/>
      <c r="U191" s="810"/>
      <c r="V191" s="527"/>
      <c r="W191" s="805"/>
      <c r="X191" s="805"/>
      <c r="Y191" s="805"/>
      <c r="Z191" s="805"/>
      <c r="AA191" s="805"/>
      <c r="AB191" s="527"/>
      <c r="AC191" s="527"/>
      <c r="AD191" s="527"/>
      <c r="AE191" s="527"/>
      <c r="AF191" s="526"/>
      <c r="AG191" s="533"/>
      <c r="AH191" s="533"/>
      <c r="AI191" s="533"/>
      <c r="AJ191" s="146"/>
    </row>
    <row r="192" spans="1:36" ht="15.95" customHeight="1" outlineLevel="1" x14ac:dyDescent="0.3">
      <c r="A192" s="527"/>
      <c r="B192" s="826"/>
      <c r="C192" s="826"/>
      <c r="D192" s="826"/>
      <c r="E192" s="826"/>
      <c r="F192" s="826"/>
      <c r="G192" s="812" t="s">
        <v>3323</v>
      </c>
      <c r="H192" s="812"/>
      <c r="I192" s="812"/>
      <c r="J192" s="822">
        <f>K192-COUNTA(I194:K201)+COUNTIF(I194:K201,"n/a")</f>
        <v>0</v>
      </c>
      <c r="K192" s="823">
        <f>FightingStylesNumber</f>
        <v>1</v>
      </c>
      <c r="L192" s="810"/>
      <c r="M192" s="810"/>
      <c r="N192" s="810"/>
      <c r="O192" s="810"/>
      <c r="P192" s="810"/>
      <c r="Q192" s="810"/>
      <c r="R192" s="810"/>
      <c r="S192" s="810"/>
      <c r="T192" s="810"/>
      <c r="U192" s="810"/>
      <c r="V192" s="527"/>
      <c r="W192" s="805"/>
      <c r="X192" s="805"/>
      <c r="Y192" s="805"/>
      <c r="Z192" s="805"/>
      <c r="AA192" s="805"/>
      <c r="AB192" s="527"/>
      <c r="AC192" s="527"/>
      <c r="AD192" s="527"/>
      <c r="AE192" s="527"/>
      <c r="AF192" s="526"/>
      <c r="AG192" s="533"/>
      <c r="AH192" s="533"/>
      <c r="AI192" s="533"/>
      <c r="AJ192" s="146"/>
    </row>
    <row r="193" spans="1:36" ht="15.95" customHeight="1" outlineLevel="1" x14ac:dyDescent="0.3">
      <c r="A193" s="527"/>
      <c r="B193" s="826"/>
      <c r="C193" s="826"/>
      <c r="D193" s="826"/>
      <c r="E193" s="826"/>
      <c r="F193" s="826"/>
      <c r="G193" s="812"/>
      <c r="H193" s="812"/>
      <c r="I193" s="812"/>
      <c r="J193" s="822"/>
      <c r="K193" s="823"/>
      <c r="L193" s="810"/>
      <c r="M193" s="810"/>
      <c r="N193" s="810"/>
      <c r="O193" s="810"/>
      <c r="P193" s="810"/>
      <c r="Q193" s="810"/>
      <c r="R193" s="810"/>
      <c r="S193" s="810"/>
      <c r="T193" s="810"/>
      <c r="U193" s="810"/>
      <c r="V193" s="527"/>
      <c r="W193" s="805"/>
      <c r="X193" s="805"/>
      <c r="Y193" s="805"/>
      <c r="Z193" s="805"/>
      <c r="AA193" s="805"/>
      <c r="AB193" s="527"/>
      <c r="AC193" s="527"/>
      <c r="AD193" s="527"/>
      <c r="AE193" s="527"/>
      <c r="AF193" s="526"/>
      <c r="AG193" s="533"/>
      <c r="AH193" s="533"/>
      <c r="AI193" s="533"/>
      <c r="AJ193" s="146"/>
    </row>
    <row r="194" spans="1:36" ht="15.95" customHeight="1" outlineLevel="1" x14ac:dyDescent="0.3">
      <c r="A194" s="527"/>
      <c r="B194" s="826"/>
      <c r="C194" s="826"/>
      <c r="D194" s="826"/>
      <c r="E194" s="826"/>
      <c r="F194" s="826"/>
      <c r="G194" s="811" t="str">
        <f>'C03_ClassVariables'!L36</f>
        <v>Fighter</v>
      </c>
      <c r="H194" s="811"/>
      <c r="I194" s="866" t="s">
        <v>3202</v>
      </c>
      <c r="J194" s="866"/>
      <c r="K194" s="866"/>
      <c r="L194" s="810"/>
      <c r="M194" s="810"/>
      <c r="N194" s="810"/>
      <c r="O194" s="810"/>
      <c r="P194" s="810"/>
      <c r="Q194" s="869" t="s">
        <v>6470</v>
      </c>
      <c r="R194" s="869"/>
      <c r="S194" s="821" t="s">
        <v>3034</v>
      </c>
      <c r="T194" s="821"/>
      <c r="U194" s="821"/>
      <c r="V194" s="527"/>
      <c r="W194" s="805"/>
      <c r="X194" s="805"/>
      <c r="Y194" s="805"/>
      <c r="Z194" s="805"/>
      <c r="AA194" s="805"/>
      <c r="AB194" s="527"/>
      <c r="AC194" s="527"/>
      <c r="AD194" s="527"/>
      <c r="AE194" s="527"/>
      <c r="AF194" s="526"/>
      <c r="AG194" s="533"/>
      <c r="AH194" s="533"/>
      <c r="AI194" s="533"/>
      <c r="AJ194" s="146"/>
    </row>
    <row r="195" spans="1:36" ht="15.95" customHeight="1" outlineLevel="1" x14ac:dyDescent="0.3">
      <c r="A195" s="527"/>
      <c r="B195" s="826"/>
      <c r="C195" s="826"/>
      <c r="D195" s="826"/>
      <c r="E195" s="826"/>
      <c r="F195" s="826"/>
      <c r="G195" s="811"/>
      <c r="H195" s="811"/>
      <c r="I195" s="866"/>
      <c r="J195" s="866"/>
      <c r="K195" s="866"/>
      <c r="L195" s="810"/>
      <c r="M195" s="810"/>
      <c r="N195" s="810"/>
      <c r="O195" s="810"/>
      <c r="P195" s="810"/>
      <c r="Q195" s="869"/>
      <c r="R195" s="869"/>
      <c r="S195" s="821"/>
      <c r="T195" s="821"/>
      <c r="U195" s="821"/>
      <c r="V195" s="527"/>
      <c r="W195" s="805"/>
      <c r="X195" s="805"/>
      <c r="Y195" s="805"/>
      <c r="Z195" s="805"/>
      <c r="AA195" s="805"/>
      <c r="AB195" s="527"/>
      <c r="AC195" s="527"/>
      <c r="AD195" s="527"/>
      <c r="AE195" s="527"/>
      <c r="AF195" s="526"/>
      <c r="AG195" s="533"/>
      <c r="AH195" s="533"/>
      <c r="AI195" s="533"/>
      <c r="AJ195" s="146"/>
    </row>
    <row r="196" spans="1:36" ht="18" customHeight="1" outlineLevel="1" x14ac:dyDescent="0.3">
      <c r="A196" s="527"/>
      <c r="B196" s="826"/>
      <c r="C196" s="826"/>
      <c r="D196" s="826"/>
      <c r="E196" s="826"/>
      <c r="F196" s="826"/>
      <c r="G196" s="811" t="str">
        <f>'C03_ClassVariables'!M36</f>
        <v/>
      </c>
      <c r="H196" s="811"/>
      <c r="I196" s="866"/>
      <c r="J196" s="866"/>
      <c r="K196" s="866"/>
      <c r="L196" s="810"/>
      <c r="M196" s="810"/>
      <c r="N196" s="810"/>
      <c r="O196" s="810"/>
      <c r="P196" s="810"/>
      <c r="Q196" s="869" t="s">
        <v>6549</v>
      </c>
      <c r="R196" s="869"/>
      <c r="S196" s="922" t="s">
        <v>3034</v>
      </c>
      <c r="T196" s="922"/>
      <c r="U196" s="922"/>
      <c r="V196" s="527"/>
      <c r="W196" s="805"/>
      <c r="X196" s="805"/>
      <c r="Y196" s="805"/>
      <c r="Z196" s="805"/>
      <c r="AA196" s="805"/>
      <c r="AB196" s="527"/>
      <c r="AC196" s="527"/>
      <c r="AD196" s="527"/>
      <c r="AE196" s="527"/>
      <c r="AF196" s="526"/>
      <c r="AG196" s="533"/>
      <c r="AH196" s="533"/>
      <c r="AI196" s="533"/>
      <c r="AJ196" s="146"/>
    </row>
    <row r="197" spans="1:36" ht="15.95" customHeight="1" outlineLevel="1" x14ac:dyDescent="0.3">
      <c r="A197" s="527"/>
      <c r="B197" s="826"/>
      <c r="C197" s="826"/>
      <c r="D197" s="826"/>
      <c r="E197" s="826"/>
      <c r="F197" s="826"/>
      <c r="G197" s="811"/>
      <c r="H197" s="811"/>
      <c r="I197" s="866"/>
      <c r="J197" s="866"/>
      <c r="K197" s="866"/>
      <c r="L197" s="810"/>
      <c r="M197" s="810"/>
      <c r="N197" s="810"/>
      <c r="O197" s="810"/>
      <c r="P197" s="810"/>
      <c r="Q197" s="869"/>
      <c r="R197" s="869"/>
      <c r="S197" s="922"/>
      <c r="T197" s="922"/>
      <c r="U197" s="922"/>
      <c r="V197" s="527"/>
      <c r="W197" s="805"/>
      <c r="X197" s="805"/>
      <c r="Y197" s="805"/>
      <c r="Z197" s="805"/>
      <c r="AA197" s="805"/>
      <c r="AB197" s="527"/>
      <c r="AC197" s="527"/>
      <c r="AD197" s="527"/>
      <c r="AE197" s="527"/>
      <c r="AF197" s="526"/>
      <c r="AG197" s="533"/>
      <c r="AH197" s="533"/>
      <c r="AI197" s="533"/>
      <c r="AJ197" s="146"/>
    </row>
    <row r="198" spans="1:36" ht="15.95" customHeight="1" outlineLevel="1" x14ac:dyDescent="0.3">
      <c r="A198" s="527"/>
      <c r="B198" s="527"/>
      <c r="C198" s="527"/>
      <c r="D198" s="527"/>
      <c r="E198" s="527"/>
      <c r="F198" s="527"/>
      <c r="G198" s="811" t="str">
        <f>'C03_ClassVariables'!N36</f>
        <v/>
      </c>
      <c r="H198" s="811"/>
      <c r="I198" s="866"/>
      <c r="J198" s="866"/>
      <c r="K198" s="866"/>
      <c r="L198" s="527"/>
      <c r="M198" s="527"/>
      <c r="N198" s="527"/>
      <c r="O198" s="527"/>
      <c r="P198" s="527"/>
      <c r="Q198" s="869" t="s">
        <v>6668</v>
      </c>
      <c r="R198" s="869"/>
      <c r="S198" s="922" t="s">
        <v>3034</v>
      </c>
      <c r="T198" s="922"/>
      <c r="U198" s="922"/>
      <c r="V198" s="527"/>
      <c r="W198" s="805"/>
      <c r="X198" s="805"/>
      <c r="Y198" s="805"/>
      <c r="Z198" s="805"/>
      <c r="AA198" s="805"/>
      <c r="AB198" s="527"/>
      <c r="AC198" s="527"/>
      <c r="AD198" s="527"/>
      <c r="AE198" s="527"/>
      <c r="AF198" s="526"/>
      <c r="AG198" s="533"/>
      <c r="AH198" s="533"/>
      <c r="AI198" s="533"/>
      <c r="AJ198" s="146"/>
    </row>
    <row r="199" spans="1:36" ht="15.95" customHeight="1" outlineLevel="1" x14ac:dyDescent="0.35">
      <c r="A199" s="527"/>
      <c r="B199" s="527"/>
      <c r="C199" s="527"/>
      <c r="D199" s="527"/>
      <c r="E199" s="527"/>
      <c r="F199" s="527"/>
      <c r="G199" s="811"/>
      <c r="H199" s="811"/>
      <c r="I199" s="866"/>
      <c r="J199" s="866"/>
      <c r="K199" s="866"/>
      <c r="L199" s="527"/>
      <c r="M199" s="527"/>
      <c r="N199" s="527"/>
      <c r="O199" s="527"/>
      <c r="P199" s="527"/>
      <c r="Q199" s="869"/>
      <c r="R199" s="869"/>
      <c r="S199" s="922"/>
      <c r="T199" s="922"/>
      <c r="U199" s="922"/>
      <c r="V199" s="527"/>
      <c r="W199" s="805"/>
      <c r="X199" s="805"/>
      <c r="Y199" s="805"/>
      <c r="Z199" s="805"/>
      <c r="AA199" s="805"/>
      <c r="AB199" s="527"/>
      <c r="AC199" s="527"/>
      <c r="AD199" s="534"/>
      <c r="AE199" s="534"/>
      <c r="AF199" s="526"/>
      <c r="AG199" s="533"/>
      <c r="AH199" s="533"/>
      <c r="AI199" s="533"/>
      <c r="AJ199" s="146"/>
    </row>
    <row r="200" spans="1:36" ht="15.95" customHeight="1" outlineLevel="1" x14ac:dyDescent="0.35">
      <c r="A200" s="527"/>
      <c r="B200" s="527"/>
      <c r="C200" s="527"/>
      <c r="D200" s="527"/>
      <c r="E200" s="527"/>
      <c r="F200" s="527"/>
      <c r="G200" s="811" t="str">
        <f>'C03_ClassVariables'!O36</f>
        <v/>
      </c>
      <c r="H200" s="811"/>
      <c r="I200" s="866"/>
      <c r="J200" s="866"/>
      <c r="K200" s="866"/>
      <c r="L200" s="527"/>
      <c r="M200" s="527"/>
      <c r="N200" s="527"/>
      <c r="O200" s="527"/>
      <c r="P200" s="527"/>
      <c r="Q200" s="527"/>
      <c r="R200" s="527"/>
      <c r="S200" s="527"/>
      <c r="T200" s="527"/>
      <c r="U200" s="527"/>
      <c r="V200" s="527"/>
      <c r="W200" s="805"/>
      <c r="X200" s="805"/>
      <c r="Y200" s="805"/>
      <c r="Z200" s="805"/>
      <c r="AA200" s="805"/>
      <c r="AB200" s="527"/>
      <c r="AC200" s="527"/>
      <c r="AD200" s="534"/>
      <c r="AE200" s="534"/>
      <c r="AF200" s="526"/>
      <c r="AG200" s="533"/>
      <c r="AH200" s="533"/>
      <c r="AI200" s="533"/>
      <c r="AJ200" s="146"/>
    </row>
    <row r="201" spans="1:36" ht="15.95" customHeight="1" outlineLevel="1" x14ac:dyDescent="0.35">
      <c r="A201" s="527"/>
      <c r="B201" s="527"/>
      <c r="C201" s="527"/>
      <c r="D201" s="527"/>
      <c r="E201" s="527"/>
      <c r="F201" s="527"/>
      <c r="G201" s="811"/>
      <c r="H201" s="811"/>
      <c r="I201" s="866"/>
      <c r="J201" s="866"/>
      <c r="K201" s="866"/>
      <c r="L201" s="527"/>
      <c r="M201" s="527"/>
      <c r="N201" s="527"/>
      <c r="O201" s="527"/>
      <c r="P201" s="527"/>
      <c r="Q201" s="527"/>
      <c r="R201" s="527"/>
      <c r="S201" s="527"/>
      <c r="T201" s="527"/>
      <c r="U201" s="527"/>
      <c r="V201" s="527"/>
      <c r="W201" s="805"/>
      <c r="X201" s="805"/>
      <c r="Y201" s="805"/>
      <c r="Z201" s="805"/>
      <c r="AA201" s="805"/>
      <c r="AB201" s="527"/>
      <c r="AC201" s="527"/>
      <c r="AD201" s="534"/>
      <c r="AE201" s="534"/>
      <c r="AF201" s="526"/>
      <c r="AG201" s="533"/>
      <c r="AH201" s="533"/>
      <c r="AI201" s="533"/>
      <c r="AJ201" s="146"/>
    </row>
    <row r="202" spans="1:36" ht="15.95" customHeight="1" outlineLevel="1" thickBot="1" x14ac:dyDescent="0.4">
      <c r="A202" s="527"/>
      <c r="B202" s="527"/>
      <c r="C202" s="527"/>
      <c r="D202" s="527"/>
      <c r="E202" s="527"/>
      <c r="F202" s="527"/>
      <c r="G202" s="527"/>
      <c r="H202" s="527"/>
      <c r="I202" s="527"/>
      <c r="J202" s="527"/>
      <c r="K202" s="527"/>
      <c r="L202" s="527"/>
      <c r="M202" s="527"/>
      <c r="N202" s="527"/>
      <c r="O202" s="527"/>
      <c r="P202" s="527"/>
      <c r="Q202" s="527"/>
      <c r="R202" s="527"/>
      <c r="S202" s="527"/>
      <c r="T202" s="527"/>
      <c r="U202" s="527"/>
      <c r="V202" s="527"/>
      <c r="W202" s="527"/>
      <c r="X202" s="527"/>
      <c r="Y202" s="527"/>
      <c r="Z202" s="527"/>
      <c r="AA202" s="527"/>
      <c r="AB202" s="527"/>
      <c r="AC202" s="527"/>
      <c r="AD202" s="534"/>
      <c r="AE202" s="534"/>
      <c r="AF202" s="526"/>
      <c r="AG202" s="533"/>
      <c r="AH202" s="533"/>
      <c r="AI202" s="533"/>
      <c r="AJ202" s="146"/>
    </row>
    <row r="203" spans="1:36" ht="15.95" customHeight="1" outlineLevel="1" thickTop="1" thickBot="1" x14ac:dyDescent="0.4">
      <c r="A203" s="527"/>
      <c r="B203" s="771" t="s">
        <v>6658</v>
      </c>
      <c r="C203" s="772"/>
      <c r="D203" s="772"/>
      <c r="E203" s="773"/>
      <c r="F203" s="527"/>
      <c r="G203" s="527"/>
      <c r="H203" s="527"/>
      <c r="I203" s="527"/>
      <c r="J203" s="527"/>
      <c r="K203" s="527"/>
      <c r="L203" s="527"/>
      <c r="M203" s="527"/>
      <c r="N203" s="527"/>
      <c r="O203" s="527"/>
      <c r="P203" s="527"/>
      <c r="Q203" s="527"/>
      <c r="R203" s="527"/>
      <c r="S203" s="527"/>
      <c r="T203" s="527"/>
      <c r="U203" s="527"/>
      <c r="V203" s="527"/>
      <c r="W203" s="527"/>
      <c r="X203" s="527"/>
      <c r="Y203" s="527"/>
      <c r="Z203" s="527"/>
      <c r="AA203" s="527"/>
      <c r="AB203" s="527"/>
      <c r="AC203" s="527"/>
      <c r="AD203" s="534"/>
      <c r="AE203" s="534"/>
      <c r="AF203" s="526"/>
      <c r="AG203" s="533"/>
      <c r="AH203" s="533"/>
      <c r="AI203" s="533"/>
      <c r="AJ203" s="146"/>
    </row>
    <row r="204" spans="1:36" ht="14.25" customHeight="1" outlineLevel="1" thickTop="1" x14ac:dyDescent="0.35">
      <c r="A204" s="527"/>
      <c r="B204" s="527"/>
      <c r="C204" s="527"/>
      <c r="D204" s="527"/>
      <c r="E204" s="527"/>
      <c r="F204" s="527"/>
      <c r="G204" s="527"/>
      <c r="H204" s="527"/>
      <c r="I204" s="527"/>
      <c r="J204" s="527"/>
      <c r="K204" s="527"/>
      <c r="L204" s="527"/>
      <c r="M204" s="527"/>
      <c r="N204" s="527"/>
      <c r="O204" s="527"/>
      <c r="P204" s="527"/>
      <c r="Q204" s="527"/>
      <c r="R204" s="527"/>
      <c r="S204" s="527"/>
      <c r="T204" s="527"/>
      <c r="U204" s="527"/>
      <c r="V204" s="527"/>
      <c r="W204" s="527"/>
      <c r="X204" s="527"/>
      <c r="Y204" s="527"/>
      <c r="Z204" s="527"/>
      <c r="AA204" s="527"/>
      <c r="AB204" s="527"/>
      <c r="AC204" s="527"/>
      <c r="AD204" s="534"/>
      <c r="AE204" s="534"/>
      <c r="AF204" s="526"/>
      <c r="AG204" s="533"/>
      <c r="AH204" s="533"/>
      <c r="AI204" s="533"/>
      <c r="AJ204" s="146"/>
    </row>
    <row r="205" spans="1:36" ht="15.95" customHeight="1" x14ac:dyDescent="0.3">
      <c r="A205" s="527"/>
      <c r="B205" s="749" t="s">
        <v>3307</v>
      </c>
      <c r="C205" s="749"/>
      <c r="D205" s="749"/>
      <c r="E205" s="749"/>
      <c r="F205" s="749"/>
      <c r="G205" s="749"/>
      <c r="H205" s="749"/>
      <c r="I205" s="749"/>
      <c r="J205" s="749"/>
      <c r="K205" s="749"/>
      <c r="L205" s="749"/>
      <c r="M205" s="749"/>
      <c r="N205" s="749"/>
      <c r="O205" s="749"/>
      <c r="P205" s="749"/>
      <c r="Q205" s="749"/>
      <c r="R205" s="749"/>
      <c r="S205" s="749"/>
      <c r="T205" s="749"/>
      <c r="U205" s="749"/>
      <c r="V205" s="749"/>
      <c r="W205" s="749"/>
      <c r="X205" s="749"/>
      <c r="Y205" s="749"/>
      <c r="Z205" s="749"/>
      <c r="AA205" s="749"/>
      <c r="AB205" s="749"/>
      <c r="AC205" s="749"/>
      <c r="AD205" s="749"/>
      <c r="AE205" s="749"/>
      <c r="AF205" s="526"/>
      <c r="AG205" s="533"/>
      <c r="AH205" s="533"/>
      <c r="AI205" s="533"/>
      <c r="AJ205" s="146"/>
    </row>
    <row r="206" spans="1:36" ht="15.95" customHeight="1" x14ac:dyDescent="0.3">
      <c r="A206" s="527"/>
      <c r="B206" s="749"/>
      <c r="C206" s="749"/>
      <c r="D206" s="749"/>
      <c r="E206" s="749"/>
      <c r="F206" s="749"/>
      <c r="G206" s="749"/>
      <c r="H206" s="749"/>
      <c r="I206" s="749"/>
      <c r="J206" s="749"/>
      <c r="K206" s="749"/>
      <c r="L206" s="749"/>
      <c r="M206" s="749"/>
      <c r="N206" s="749"/>
      <c r="O206" s="749"/>
      <c r="P206" s="749"/>
      <c r="Q206" s="749"/>
      <c r="R206" s="749"/>
      <c r="S206" s="749"/>
      <c r="T206" s="749"/>
      <c r="U206" s="749"/>
      <c r="V206" s="749"/>
      <c r="W206" s="749"/>
      <c r="X206" s="749"/>
      <c r="Y206" s="749"/>
      <c r="Z206" s="749"/>
      <c r="AA206" s="749"/>
      <c r="AB206" s="749"/>
      <c r="AC206" s="749"/>
      <c r="AD206" s="749"/>
      <c r="AE206" s="749"/>
      <c r="AF206" s="526"/>
      <c r="AG206" s="533"/>
      <c r="AH206" s="533"/>
      <c r="AI206" s="533"/>
      <c r="AJ206" s="146"/>
    </row>
    <row r="207" spans="1:36" ht="15.95" customHeight="1" outlineLevel="1" x14ac:dyDescent="0.35">
      <c r="A207" s="534"/>
      <c r="B207" s="527"/>
      <c r="C207" s="527"/>
      <c r="D207" s="527"/>
      <c r="E207" s="527"/>
      <c r="F207" s="527"/>
      <c r="G207" s="527"/>
      <c r="H207" s="527"/>
      <c r="I207" s="527"/>
      <c r="J207" s="527"/>
      <c r="K207" s="527"/>
      <c r="L207" s="527"/>
      <c r="M207" s="527"/>
      <c r="N207" s="527"/>
      <c r="O207" s="527"/>
      <c r="P207" s="527"/>
      <c r="Q207" s="527"/>
      <c r="R207" s="527"/>
      <c r="S207" s="527"/>
      <c r="T207" s="534"/>
      <c r="U207" s="534"/>
      <c r="V207" s="534"/>
      <c r="W207" s="534"/>
      <c r="X207" s="534"/>
      <c r="Y207" s="534"/>
      <c r="Z207" s="534"/>
      <c r="AA207" s="534"/>
      <c r="AB207" s="534"/>
      <c r="AC207" s="534"/>
      <c r="AD207" s="534"/>
      <c r="AE207" s="534"/>
      <c r="AF207" s="534"/>
      <c r="AG207" s="533"/>
      <c r="AH207" s="533"/>
      <c r="AI207" s="533"/>
      <c r="AJ207" s="146"/>
    </row>
    <row r="208" spans="1:36" ht="15.95" customHeight="1" outlineLevel="1" x14ac:dyDescent="0.35">
      <c r="A208" s="534"/>
      <c r="B208" s="871" t="s">
        <v>3346</v>
      </c>
      <c r="C208" s="871"/>
      <c r="D208" s="871"/>
      <c r="E208" s="871"/>
      <c r="F208" s="871"/>
      <c r="G208" s="872">
        <f>H208-COUNTA(D210:F241)</f>
        <v>0</v>
      </c>
      <c r="H208" s="873">
        <f>COUNTIF(D265:H306,"Ability Score Improvement")+IF(SubRace="Human (Variant)",1,0)</f>
        <v>7</v>
      </c>
      <c r="I208" s="871" t="s">
        <v>3307</v>
      </c>
      <c r="J208" s="871"/>
      <c r="K208" s="872">
        <f>FeatsTotal-O208</f>
        <v>2</v>
      </c>
      <c r="L208" s="527"/>
      <c r="M208" s="871" t="s">
        <v>6220</v>
      </c>
      <c r="N208" s="871"/>
      <c r="O208" s="872">
        <f>COUNTIF(D210:F241,"Ability Score Improvement")</f>
        <v>5</v>
      </c>
      <c r="P208" s="527"/>
      <c r="Q208" s="527"/>
      <c r="R208" s="527"/>
      <c r="S208" s="527"/>
      <c r="T208" s="527"/>
      <c r="V208" s="598"/>
      <c r="W208" s="598"/>
      <c r="X208" s="598"/>
      <c r="Y208" s="598"/>
      <c r="Z208" s="785" t="s">
        <v>7492</v>
      </c>
      <c r="AA208" s="785"/>
      <c r="AB208" s="785"/>
      <c r="AC208" s="785"/>
      <c r="AD208" s="785"/>
      <c r="AE208" s="534"/>
      <c r="AF208" s="534"/>
      <c r="AG208" s="533"/>
      <c r="AH208" s="533"/>
      <c r="AI208" s="533"/>
      <c r="AJ208" s="146"/>
    </row>
    <row r="209" spans="1:36" ht="15.95" customHeight="1" outlineLevel="1" x14ac:dyDescent="0.35">
      <c r="A209" s="534"/>
      <c r="B209" s="871"/>
      <c r="C209" s="871"/>
      <c r="D209" s="871"/>
      <c r="E209" s="871"/>
      <c r="F209" s="871"/>
      <c r="G209" s="872"/>
      <c r="H209" s="873"/>
      <c r="I209" s="871"/>
      <c r="J209" s="871"/>
      <c r="K209" s="872"/>
      <c r="L209" s="527"/>
      <c r="M209" s="871"/>
      <c r="N209" s="871"/>
      <c r="O209" s="872"/>
      <c r="P209" s="527"/>
      <c r="Q209" s="527"/>
      <c r="R209" s="527"/>
      <c r="S209" s="527"/>
      <c r="T209" s="527"/>
      <c r="U209" s="598"/>
      <c r="V209" s="598"/>
      <c r="W209" s="598"/>
      <c r="X209" s="598"/>
      <c r="Y209" s="598"/>
      <c r="Z209" s="785"/>
      <c r="AA209" s="785"/>
      <c r="AB209" s="785"/>
      <c r="AC209" s="785"/>
      <c r="AD209" s="785"/>
      <c r="AE209" s="534"/>
      <c r="AF209" s="534"/>
      <c r="AG209" s="533" t="s">
        <v>3307</v>
      </c>
      <c r="AH209" s="533"/>
      <c r="AI209" s="533"/>
      <c r="AJ209" s="146"/>
    </row>
    <row r="210" spans="1:36" ht="15.95" customHeight="1" outlineLevel="1" x14ac:dyDescent="0.35">
      <c r="A210" s="534"/>
      <c r="B210" s="711"/>
      <c r="C210" s="711"/>
      <c r="D210" s="806" t="s">
        <v>3221</v>
      </c>
      <c r="E210" s="806"/>
      <c r="F210" s="806"/>
      <c r="G210" s="863" t="str">
        <f>IFERROR(INDEX(T05_Feats!$C$3:$C$450,MATCH(Character_Creation!D210,T05_Feats!$A$3:$A$450,0),1),"")</f>
        <v>You master fighting with two weapons, gaining the following benefits:
• You gain a +1 bonus to AC while you are wielding a separate melee weapon in each hand. 
• You can use two-weapon fighting even when the one-handed melee weapons you are wielding aren’t light. 
• You can draw or stow two one-handed weapons when you would normally be able to draw or stow only one.</v>
      </c>
      <c r="H210" s="863"/>
      <c r="I210" s="863"/>
      <c r="J210" s="863"/>
      <c r="K210" s="863"/>
      <c r="L210" s="863"/>
      <c r="M210" s="863"/>
      <c r="N210" s="863"/>
      <c r="O210" s="863"/>
      <c r="P210" s="863"/>
      <c r="Q210" s="863"/>
      <c r="R210" s="863"/>
      <c r="S210" s="863"/>
      <c r="T210" s="863"/>
      <c r="U210" s="598"/>
      <c r="V210" s="598"/>
      <c r="W210" s="598"/>
      <c r="X210" s="598"/>
      <c r="Y210" s="598"/>
      <c r="Z210" s="785"/>
      <c r="AA210" s="785"/>
      <c r="AB210" s="785"/>
      <c r="AC210" s="785"/>
      <c r="AD210" s="785"/>
      <c r="AE210" s="534"/>
      <c r="AF210" s="534"/>
      <c r="AG210" s="533" t="str">
        <f>IF(Feat1&lt;&gt;"",Feat1&amp;CHAR(10),"")</f>
        <v xml:space="preserve">Dual Wielder
</v>
      </c>
      <c r="AH210" s="533" t="str">
        <f>AG210&amp;AG211&amp;AG212&amp;AG213&amp;AG214&amp;AG215&amp;AG216&amp;AG217&amp;AG218&amp;AG219&amp;AG220</f>
        <v xml:space="preserve">Dual Wielder
War Caster
Ability Score Improvement
Ability Score Improvement
Ability Score Improvement
Ability Score Improvement
Ability Score Improvement
</v>
      </c>
      <c r="AI210" s="533"/>
      <c r="AJ210" s="146"/>
    </row>
    <row r="211" spans="1:36" ht="15.95" customHeight="1" outlineLevel="1" x14ac:dyDescent="0.35">
      <c r="A211" s="534"/>
      <c r="B211" s="711"/>
      <c r="C211" s="711"/>
      <c r="D211" s="806"/>
      <c r="E211" s="806"/>
      <c r="F211" s="806"/>
      <c r="G211" s="863"/>
      <c r="H211" s="863"/>
      <c r="I211" s="863"/>
      <c r="J211" s="863"/>
      <c r="K211" s="863"/>
      <c r="L211" s="863"/>
      <c r="M211" s="863"/>
      <c r="N211" s="863"/>
      <c r="O211" s="863"/>
      <c r="P211" s="863"/>
      <c r="Q211" s="863"/>
      <c r="R211" s="863"/>
      <c r="S211" s="863"/>
      <c r="T211" s="863"/>
      <c r="U211" s="598"/>
      <c r="V211" s="598"/>
      <c r="W211" s="598"/>
      <c r="X211" s="598"/>
      <c r="Y211" s="598"/>
      <c r="Z211" s="785"/>
      <c r="AA211" s="785"/>
      <c r="AB211" s="785"/>
      <c r="AC211" s="785"/>
      <c r="AD211" s="785"/>
      <c r="AE211" s="534"/>
      <c r="AF211" s="534"/>
      <c r="AG211" s="533" t="str">
        <f>IF(Feat2&lt;&gt;"",Feat2&amp;CHAR(10),"")</f>
        <v xml:space="preserve">War Caster
</v>
      </c>
      <c r="AH211" s="533"/>
      <c r="AI211" s="533"/>
      <c r="AJ211" s="146"/>
    </row>
    <row r="212" spans="1:36" ht="15.95" customHeight="1" outlineLevel="1" x14ac:dyDescent="0.35">
      <c r="A212" s="534"/>
      <c r="B212" s="711"/>
      <c r="C212" s="711"/>
      <c r="D212" s="806"/>
      <c r="E212" s="806"/>
      <c r="F212" s="806"/>
      <c r="G212" s="863"/>
      <c r="H212" s="863"/>
      <c r="I212" s="863"/>
      <c r="J212" s="863"/>
      <c r="K212" s="863"/>
      <c r="L212" s="863"/>
      <c r="M212" s="863"/>
      <c r="N212" s="863"/>
      <c r="O212" s="863"/>
      <c r="P212" s="863"/>
      <c r="Q212" s="863"/>
      <c r="R212" s="863"/>
      <c r="S212" s="863"/>
      <c r="T212" s="863"/>
      <c r="U212" s="534"/>
      <c r="V212" s="534"/>
      <c r="W212" s="534"/>
      <c r="X212" s="534"/>
      <c r="Y212" s="534"/>
      <c r="Z212" s="534"/>
      <c r="AA212" s="534"/>
      <c r="AB212" s="534"/>
      <c r="AC212" s="534"/>
      <c r="AD212" s="534"/>
      <c r="AE212" s="534"/>
      <c r="AF212" s="534"/>
      <c r="AG212" s="533" t="str">
        <f>IF(Feat3&lt;&gt;"",Feat3&amp;CHAR(10),"")</f>
        <v xml:space="preserve">Ability Score Improvement
</v>
      </c>
      <c r="AH212" s="533"/>
      <c r="AI212" s="533"/>
      <c r="AJ212" s="146"/>
    </row>
    <row r="213" spans="1:36" ht="15.95" customHeight="1" outlineLevel="1" x14ac:dyDescent="0.35">
      <c r="A213" s="534"/>
      <c r="B213" s="711"/>
      <c r="C213" s="711"/>
      <c r="D213" s="806"/>
      <c r="E213" s="806"/>
      <c r="F213" s="806"/>
      <c r="G213" s="863"/>
      <c r="H213" s="863"/>
      <c r="I213" s="863"/>
      <c r="J213" s="863"/>
      <c r="K213" s="863"/>
      <c r="L213" s="863"/>
      <c r="M213" s="863"/>
      <c r="N213" s="863"/>
      <c r="O213" s="863"/>
      <c r="P213" s="863"/>
      <c r="Q213" s="863"/>
      <c r="R213" s="863"/>
      <c r="S213" s="863"/>
      <c r="T213" s="863"/>
      <c r="U213" s="534"/>
      <c r="V213" s="534"/>
      <c r="W213" s="534"/>
      <c r="X213" s="534"/>
      <c r="Y213" s="534"/>
      <c r="Z213" s="534"/>
      <c r="AA213" s="534"/>
      <c r="AB213" s="534"/>
      <c r="AC213" s="534"/>
      <c r="AD213" s="534"/>
      <c r="AE213" s="534"/>
      <c r="AF213" s="534"/>
      <c r="AG213" s="533" t="str">
        <f>IF(Feat4&lt;&gt;"",Feat4&amp;CHAR(10),"")</f>
        <v xml:space="preserve">Ability Score Improvement
</v>
      </c>
      <c r="AH213" s="533"/>
      <c r="AI213" s="533"/>
      <c r="AJ213" s="146"/>
    </row>
    <row r="214" spans="1:36" ht="15.95" customHeight="1" outlineLevel="1" x14ac:dyDescent="0.35">
      <c r="A214" s="534"/>
      <c r="B214" s="711"/>
      <c r="C214" s="711"/>
      <c r="D214" s="806" t="s">
        <v>2191</v>
      </c>
      <c r="E214" s="806"/>
      <c r="F214" s="806"/>
      <c r="G214" s="864" t="str">
        <f>IFERROR(INDEX(T05_Feats!$C$3:$C$450,MATCH(Character_Creation!D214,T05_Feats!$A$3:$A$450,0),1),"")</f>
        <v>You have practiced casting spells in the midst of combat, learning techniques that grant you the following benefits:
• You have advantage on Constitution saving throws that you make to maintain your concentration on a spell when you take damage. 
• You can perform the somatic components of spells even when you have weapons or a shield in one or both hands. 
• When a hostile creature’s movement provokes an opportunity attack from you, you can use your reaction to cast a spell at the creature, rather than making an opportunity attack. The spell must have a casting time of 1 action and must target only that creature.</v>
      </c>
      <c r="H214" s="864"/>
      <c r="I214" s="864"/>
      <c r="J214" s="864"/>
      <c r="K214" s="864"/>
      <c r="L214" s="864"/>
      <c r="M214" s="864"/>
      <c r="N214" s="864"/>
      <c r="O214" s="864"/>
      <c r="P214" s="864"/>
      <c r="Q214" s="864"/>
      <c r="R214" s="864"/>
      <c r="S214" s="864"/>
      <c r="T214" s="864"/>
      <c r="U214" s="534"/>
      <c r="V214" s="534"/>
      <c r="W214" s="534"/>
      <c r="X214" s="534"/>
      <c r="Y214" s="534"/>
      <c r="Z214" s="534"/>
      <c r="AA214" s="534"/>
      <c r="AB214" s="534"/>
      <c r="AC214" s="534"/>
      <c r="AD214" s="534"/>
      <c r="AE214" s="534"/>
      <c r="AF214" s="534"/>
      <c r="AG214" s="533" t="str">
        <f>IF(Feat5&lt;&gt;"",Feat5&amp;CHAR(10),"")</f>
        <v xml:space="preserve">Ability Score Improvement
</v>
      </c>
      <c r="AH214" s="533"/>
      <c r="AI214" s="533"/>
      <c r="AJ214" s="146"/>
    </row>
    <row r="215" spans="1:36" ht="15.95" customHeight="1" outlineLevel="1" x14ac:dyDescent="0.35">
      <c r="A215" s="534"/>
      <c r="B215" s="711"/>
      <c r="C215" s="711"/>
      <c r="D215" s="806"/>
      <c r="E215" s="806"/>
      <c r="F215" s="806"/>
      <c r="G215" s="864"/>
      <c r="H215" s="864"/>
      <c r="I215" s="864"/>
      <c r="J215" s="864"/>
      <c r="K215" s="864"/>
      <c r="L215" s="864"/>
      <c r="M215" s="864"/>
      <c r="N215" s="864"/>
      <c r="O215" s="864"/>
      <c r="P215" s="864"/>
      <c r="Q215" s="864"/>
      <c r="R215" s="864"/>
      <c r="S215" s="864"/>
      <c r="T215" s="864"/>
      <c r="U215" s="534"/>
      <c r="V215" s="534"/>
      <c r="W215" s="534"/>
      <c r="X215" s="534"/>
      <c r="Y215" s="534"/>
      <c r="Z215" s="534"/>
      <c r="AA215" s="534"/>
      <c r="AB215" s="534"/>
      <c r="AC215" s="534"/>
      <c r="AD215" s="534"/>
      <c r="AE215" s="534"/>
      <c r="AF215" s="534"/>
      <c r="AG215" s="533" t="str">
        <f>IF(Feat6&lt;&gt;"",Feat6&amp;CHAR(10),"")</f>
        <v xml:space="preserve">Ability Score Improvement
</v>
      </c>
      <c r="AH215" s="533"/>
      <c r="AI215" s="533"/>
      <c r="AJ215" s="146"/>
    </row>
    <row r="216" spans="1:36" ht="15.95" customHeight="1" outlineLevel="1" x14ac:dyDescent="0.35">
      <c r="A216" s="534"/>
      <c r="B216" s="711"/>
      <c r="C216" s="711"/>
      <c r="D216" s="806"/>
      <c r="E216" s="806"/>
      <c r="F216" s="806"/>
      <c r="G216" s="864"/>
      <c r="H216" s="864"/>
      <c r="I216" s="864"/>
      <c r="J216" s="864"/>
      <c r="K216" s="864"/>
      <c r="L216" s="864"/>
      <c r="M216" s="864"/>
      <c r="N216" s="864"/>
      <c r="O216" s="864"/>
      <c r="P216" s="864"/>
      <c r="Q216" s="864"/>
      <c r="R216" s="864"/>
      <c r="S216" s="864"/>
      <c r="T216" s="864"/>
      <c r="U216" s="534"/>
      <c r="V216" s="534"/>
      <c r="W216" s="534"/>
      <c r="X216" s="534"/>
      <c r="Y216" s="534"/>
      <c r="Z216" s="534"/>
      <c r="AA216" s="534"/>
      <c r="AB216" s="534"/>
      <c r="AC216" s="534"/>
      <c r="AD216" s="534"/>
      <c r="AE216" s="534"/>
      <c r="AF216" s="534"/>
      <c r="AG216" s="533" t="str">
        <f>IF(Feat7&lt;&gt;"",Feat7&amp;CHAR(10),"")</f>
        <v xml:space="preserve">Ability Score Improvement
</v>
      </c>
      <c r="AH216" s="533"/>
      <c r="AI216" s="533"/>
      <c r="AJ216" s="146"/>
    </row>
    <row r="217" spans="1:36" ht="15.95" customHeight="1" outlineLevel="1" x14ac:dyDescent="0.35">
      <c r="A217" s="534"/>
      <c r="B217" s="711"/>
      <c r="C217" s="711"/>
      <c r="D217" s="806"/>
      <c r="E217" s="806"/>
      <c r="F217" s="806"/>
      <c r="G217" s="864"/>
      <c r="H217" s="864"/>
      <c r="I217" s="864"/>
      <c r="J217" s="864"/>
      <c r="K217" s="864"/>
      <c r="L217" s="864"/>
      <c r="M217" s="864"/>
      <c r="N217" s="864"/>
      <c r="O217" s="864"/>
      <c r="P217" s="864"/>
      <c r="Q217" s="864"/>
      <c r="R217" s="864"/>
      <c r="S217" s="864"/>
      <c r="T217" s="864"/>
      <c r="U217" s="534"/>
      <c r="V217" s="534"/>
      <c r="W217" s="534"/>
      <c r="X217" s="534"/>
      <c r="Y217" s="534"/>
      <c r="Z217" s="534"/>
      <c r="AA217" s="534"/>
      <c r="AB217" s="534"/>
      <c r="AC217" s="534"/>
      <c r="AD217" s="534"/>
      <c r="AE217" s="534"/>
      <c r="AF217" s="534"/>
      <c r="AG217" s="533" t="str">
        <f>IF(Feat8&lt;&gt;"",Feat8&amp;CHAR(10),"")</f>
        <v/>
      </c>
      <c r="AH217" s="533"/>
      <c r="AI217" s="533"/>
      <c r="AJ217" s="146"/>
    </row>
    <row r="218" spans="1:36" ht="15.95" customHeight="1" outlineLevel="1" x14ac:dyDescent="0.35">
      <c r="A218" s="534"/>
      <c r="B218" s="711"/>
      <c r="C218" s="711"/>
      <c r="D218" s="806" t="s">
        <v>3038</v>
      </c>
      <c r="E218" s="806"/>
      <c r="F218" s="806"/>
      <c r="G218" s="864" t="str">
        <f>IFERROR(INDEX(T05_Feats!$C$3:$C$450,MATCH(Character_Creation!D218,T05_Feats!$A$3:$A$450,0),1),"")</f>
        <v>You can increase one ability score of your choice by 2, or you can increase two ability scores of your choice by 1. 
You cannot increase an ability score above 20 using this feature.</v>
      </c>
      <c r="H218" s="864"/>
      <c r="I218" s="864"/>
      <c r="J218" s="864"/>
      <c r="K218" s="864"/>
      <c r="L218" s="864"/>
      <c r="M218" s="864"/>
      <c r="N218" s="864"/>
      <c r="O218" s="864"/>
      <c r="P218" s="864"/>
      <c r="Q218" s="864"/>
      <c r="R218" s="864"/>
      <c r="S218" s="864"/>
      <c r="T218" s="864"/>
      <c r="U218" s="534"/>
      <c r="V218" s="534"/>
      <c r="W218" s="534"/>
      <c r="X218" s="534"/>
      <c r="Y218" s="534"/>
      <c r="Z218" s="534"/>
      <c r="AA218" s="534"/>
      <c r="AB218" s="534"/>
      <c r="AC218" s="534"/>
      <c r="AD218" s="534"/>
      <c r="AE218" s="534"/>
      <c r="AF218" s="534"/>
      <c r="AG218" s="533" t="str">
        <f>IF(Feat9&lt;&gt;"",Feat9&amp;CHAR(10),"")</f>
        <v/>
      </c>
      <c r="AH218" s="533"/>
      <c r="AI218" s="533"/>
      <c r="AJ218" s="146"/>
    </row>
    <row r="219" spans="1:36" ht="15.95" customHeight="1" outlineLevel="1" x14ac:dyDescent="0.35">
      <c r="A219" s="534"/>
      <c r="B219" s="711"/>
      <c r="C219" s="711"/>
      <c r="D219" s="806"/>
      <c r="E219" s="806"/>
      <c r="F219" s="806"/>
      <c r="G219" s="864"/>
      <c r="H219" s="864"/>
      <c r="I219" s="864"/>
      <c r="J219" s="864"/>
      <c r="K219" s="864"/>
      <c r="L219" s="864"/>
      <c r="M219" s="864"/>
      <c r="N219" s="864"/>
      <c r="O219" s="864"/>
      <c r="P219" s="864"/>
      <c r="Q219" s="864"/>
      <c r="R219" s="864"/>
      <c r="S219" s="864"/>
      <c r="T219" s="864"/>
      <c r="U219" s="534"/>
      <c r="V219" s="534"/>
      <c r="W219" s="534"/>
      <c r="X219" s="534"/>
      <c r="Y219" s="534"/>
      <c r="Z219" s="534"/>
      <c r="AA219" s="534"/>
      <c r="AB219" s="534"/>
      <c r="AC219" s="534"/>
      <c r="AD219" s="534"/>
      <c r="AE219" s="534"/>
      <c r="AF219" s="534"/>
      <c r="AG219" s="533" t="str">
        <f>IF(Feat10&lt;&gt;"",Feat10&amp;CHAR(10),"")</f>
        <v/>
      </c>
      <c r="AH219" s="533"/>
      <c r="AI219" s="533"/>
      <c r="AJ219" s="146"/>
    </row>
    <row r="220" spans="1:36" ht="15.95" customHeight="1" outlineLevel="1" x14ac:dyDescent="0.35">
      <c r="A220" s="534"/>
      <c r="B220" s="711"/>
      <c r="C220" s="711"/>
      <c r="D220" s="806"/>
      <c r="E220" s="806"/>
      <c r="F220" s="806"/>
      <c r="G220" s="864"/>
      <c r="H220" s="864"/>
      <c r="I220" s="864"/>
      <c r="J220" s="864"/>
      <c r="K220" s="864"/>
      <c r="L220" s="864"/>
      <c r="M220" s="864"/>
      <c r="N220" s="864"/>
      <c r="O220" s="864"/>
      <c r="P220" s="864"/>
      <c r="Q220" s="864"/>
      <c r="R220" s="864"/>
      <c r="S220" s="864"/>
      <c r="T220" s="864"/>
      <c r="U220" s="534"/>
      <c r="V220" s="534"/>
      <c r="W220" s="534"/>
      <c r="X220" s="534"/>
      <c r="Y220" s="534"/>
      <c r="Z220" s="534"/>
      <c r="AA220" s="534"/>
      <c r="AB220" s="534"/>
      <c r="AC220" s="534"/>
      <c r="AD220" s="534"/>
      <c r="AE220" s="534"/>
      <c r="AF220" s="534"/>
      <c r="AG220" s="533" t="str">
        <f>IF(Feat11&lt;&gt;"",Feat11&amp;CHAR(10),"")</f>
        <v/>
      </c>
      <c r="AH220" s="533"/>
      <c r="AI220" s="533"/>
      <c r="AJ220" s="146"/>
    </row>
    <row r="221" spans="1:36" ht="15.95" customHeight="1" outlineLevel="1" x14ac:dyDescent="0.35">
      <c r="A221" s="534"/>
      <c r="B221" s="711"/>
      <c r="C221" s="711"/>
      <c r="D221" s="806"/>
      <c r="E221" s="806"/>
      <c r="F221" s="806"/>
      <c r="G221" s="864"/>
      <c r="H221" s="864"/>
      <c r="I221" s="864"/>
      <c r="J221" s="864"/>
      <c r="K221" s="864"/>
      <c r="L221" s="864"/>
      <c r="M221" s="864"/>
      <c r="N221" s="864"/>
      <c r="O221" s="864"/>
      <c r="P221" s="864"/>
      <c r="Q221" s="864"/>
      <c r="R221" s="864"/>
      <c r="S221" s="864"/>
      <c r="T221" s="864"/>
      <c r="U221" s="534"/>
      <c r="V221" s="534"/>
      <c r="W221" s="534"/>
      <c r="X221" s="534"/>
      <c r="Y221" s="534"/>
      <c r="Z221" s="534"/>
      <c r="AA221" s="534"/>
      <c r="AB221" s="534"/>
      <c r="AC221" s="534"/>
      <c r="AD221" s="534"/>
      <c r="AE221" s="534"/>
      <c r="AF221" s="534"/>
      <c r="AG221" s="533"/>
      <c r="AH221" s="533"/>
      <c r="AI221" s="533"/>
      <c r="AJ221" s="146"/>
    </row>
    <row r="222" spans="1:36" ht="15.95" customHeight="1" outlineLevel="1" x14ac:dyDescent="0.35">
      <c r="A222" s="534"/>
      <c r="B222" s="711"/>
      <c r="C222" s="711"/>
      <c r="D222" s="806" t="s">
        <v>3038</v>
      </c>
      <c r="E222" s="806"/>
      <c r="F222" s="806"/>
      <c r="G222" s="864" t="str">
        <f>IFERROR(INDEX(T05_Feats!$C$3:$C$450,MATCH(Character_Creation!D222,T05_Feats!$A$3:$A$450,0),1),"")</f>
        <v>You can increase one ability score of your choice by 2, or you can increase two ability scores of your choice by 1. 
You cannot increase an ability score above 20 using this feature.</v>
      </c>
      <c r="H222" s="864"/>
      <c r="I222" s="864"/>
      <c r="J222" s="864"/>
      <c r="K222" s="864"/>
      <c r="L222" s="864"/>
      <c r="M222" s="864"/>
      <c r="N222" s="864"/>
      <c r="O222" s="864"/>
      <c r="P222" s="864"/>
      <c r="Q222" s="864"/>
      <c r="R222" s="864"/>
      <c r="S222" s="864"/>
      <c r="T222" s="864"/>
      <c r="U222" s="534"/>
      <c r="V222" s="534"/>
      <c r="W222" s="534"/>
      <c r="X222" s="534"/>
      <c r="Y222" s="534"/>
      <c r="Z222" s="534"/>
      <c r="AA222" s="534"/>
      <c r="AB222" s="534"/>
      <c r="AC222" s="534"/>
      <c r="AD222" s="534"/>
      <c r="AE222" s="534"/>
      <c r="AF222" s="534"/>
      <c r="AG222" s="533"/>
      <c r="AH222" s="533"/>
      <c r="AI222" s="533"/>
      <c r="AJ222" s="146"/>
    </row>
    <row r="223" spans="1:36" ht="15.95" customHeight="1" outlineLevel="1" x14ac:dyDescent="0.35">
      <c r="A223" s="534"/>
      <c r="B223" s="711"/>
      <c r="C223" s="711"/>
      <c r="D223" s="806"/>
      <c r="E223" s="806"/>
      <c r="F223" s="806"/>
      <c r="G223" s="864"/>
      <c r="H223" s="864"/>
      <c r="I223" s="864"/>
      <c r="J223" s="864"/>
      <c r="K223" s="864"/>
      <c r="L223" s="864"/>
      <c r="M223" s="864"/>
      <c r="N223" s="864"/>
      <c r="O223" s="864"/>
      <c r="P223" s="864"/>
      <c r="Q223" s="864"/>
      <c r="R223" s="864"/>
      <c r="S223" s="864"/>
      <c r="T223" s="864"/>
      <c r="U223" s="534"/>
      <c r="V223" s="534"/>
      <c r="W223" s="534"/>
      <c r="X223" s="534"/>
      <c r="Y223" s="534"/>
      <c r="Z223" s="534"/>
      <c r="AA223" s="534"/>
      <c r="AB223" s="534"/>
      <c r="AC223" s="534"/>
      <c r="AD223" s="534"/>
      <c r="AE223" s="534"/>
      <c r="AF223" s="534"/>
      <c r="AG223" s="533"/>
      <c r="AH223" s="533"/>
      <c r="AI223" s="533"/>
      <c r="AJ223" s="146"/>
    </row>
    <row r="224" spans="1:36" ht="15.95" customHeight="1" outlineLevel="1" x14ac:dyDescent="0.35">
      <c r="A224" s="534"/>
      <c r="B224" s="711"/>
      <c r="C224" s="711"/>
      <c r="D224" s="806"/>
      <c r="E224" s="806"/>
      <c r="F224" s="806"/>
      <c r="G224" s="864"/>
      <c r="H224" s="864"/>
      <c r="I224" s="864"/>
      <c r="J224" s="864"/>
      <c r="K224" s="864"/>
      <c r="L224" s="864"/>
      <c r="M224" s="864"/>
      <c r="N224" s="864"/>
      <c r="O224" s="864"/>
      <c r="P224" s="864"/>
      <c r="Q224" s="864"/>
      <c r="R224" s="864"/>
      <c r="S224" s="864"/>
      <c r="T224" s="864"/>
      <c r="U224" s="534"/>
      <c r="V224" s="534"/>
      <c r="W224" s="534"/>
      <c r="X224" s="534"/>
      <c r="Y224" s="534"/>
      <c r="Z224" s="534"/>
      <c r="AA224" s="534"/>
      <c r="AB224" s="534"/>
      <c r="AC224" s="534"/>
      <c r="AD224" s="534"/>
      <c r="AE224" s="534"/>
      <c r="AF224" s="534"/>
      <c r="AG224" s="533"/>
      <c r="AH224" s="533"/>
      <c r="AI224" s="533"/>
      <c r="AJ224" s="146"/>
    </row>
    <row r="225" spans="1:36" ht="15.95" customHeight="1" outlineLevel="1" x14ac:dyDescent="0.35">
      <c r="A225" s="534"/>
      <c r="B225" s="711"/>
      <c r="C225" s="711"/>
      <c r="D225" s="806"/>
      <c r="E225" s="806"/>
      <c r="F225" s="806"/>
      <c r="G225" s="864"/>
      <c r="H225" s="864"/>
      <c r="I225" s="864"/>
      <c r="J225" s="864"/>
      <c r="K225" s="864"/>
      <c r="L225" s="864"/>
      <c r="M225" s="864"/>
      <c r="N225" s="864"/>
      <c r="O225" s="864"/>
      <c r="P225" s="864"/>
      <c r="Q225" s="864"/>
      <c r="R225" s="864"/>
      <c r="S225" s="864"/>
      <c r="T225" s="864"/>
      <c r="U225" s="534"/>
      <c r="V225" s="534"/>
      <c r="W225" s="534"/>
      <c r="X225" s="534"/>
      <c r="Y225" s="534"/>
      <c r="Z225" s="534"/>
      <c r="AA225" s="534"/>
      <c r="AB225" s="534"/>
      <c r="AC225" s="534"/>
      <c r="AD225" s="534"/>
      <c r="AE225" s="534"/>
      <c r="AF225" s="534"/>
      <c r="AG225" s="533"/>
      <c r="AH225" s="533"/>
      <c r="AI225" s="533"/>
      <c r="AJ225" s="146"/>
    </row>
    <row r="226" spans="1:36" ht="15.95" customHeight="1" outlineLevel="1" x14ac:dyDescent="0.35">
      <c r="A226" s="534"/>
      <c r="B226" s="711"/>
      <c r="C226" s="711"/>
      <c r="D226" s="806" t="s">
        <v>3038</v>
      </c>
      <c r="E226" s="806"/>
      <c r="F226" s="806"/>
      <c r="G226" s="864" t="str">
        <f>IFERROR(INDEX(T05_Feats!$C$3:$C$450,MATCH(Character_Creation!D226,T05_Feats!$A$3:$A$450,0),1),"")</f>
        <v>You can increase one ability score of your choice by 2, or you can increase two ability scores of your choice by 1. 
You cannot increase an ability score above 20 using this feature.</v>
      </c>
      <c r="H226" s="864"/>
      <c r="I226" s="864"/>
      <c r="J226" s="864"/>
      <c r="K226" s="864"/>
      <c r="L226" s="864"/>
      <c r="M226" s="864"/>
      <c r="N226" s="864"/>
      <c r="O226" s="864"/>
      <c r="P226" s="864"/>
      <c r="Q226" s="864"/>
      <c r="R226" s="864"/>
      <c r="S226" s="864"/>
      <c r="T226" s="864"/>
      <c r="U226" s="534"/>
      <c r="V226" s="534"/>
      <c r="W226" s="534"/>
      <c r="X226" s="534"/>
      <c r="Y226" s="534"/>
      <c r="Z226" s="534"/>
      <c r="AA226" s="534"/>
      <c r="AB226" s="534"/>
      <c r="AC226" s="534"/>
      <c r="AD226" s="534"/>
      <c r="AE226" s="534"/>
      <c r="AF226" s="534"/>
      <c r="AG226" s="533"/>
      <c r="AH226" s="533"/>
      <c r="AI226" s="533"/>
      <c r="AJ226" s="146"/>
    </row>
    <row r="227" spans="1:36" ht="15.95" customHeight="1" outlineLevel="1" x14ac:dyDescent="0.35">
      <c r="A227" s="534"/>
      <c r="B227" s="711"/>
      <c r="C227" s="711"/>
      <c r="D227" s="806"/>
      <c r="E227" s="806"/>
      <c r="F227" s="806"/>
      <c r="G227" s="864"/>
      <c r="H227" s="864"/>
      <c r="I227" s="864"/>
      <c r="J227" s="864"/>
      <c r="K227" s="864"/>
      <c r="L227" s="864"/>
      <c r="M227" s="864"/>
      <c r="N227" s="864"/>
      <c r="O227" s="864"/>
      <c r="P227" s="864"/>
      <c r="Q227" s="864"/>
      <c r="R227" s="864"/>
      <c r="S227" s="864"/>
      <c r="T227" s="864"/>
      <c r="U227" s="534"/>
      <c r="V227" s="534"/>
      <c r="W227" s="534"/>
      <c r="X227" s="534"/>
      <c r="Y227" s="534"/>
      <c r="Z227" s="534"/>
      <c r="AA227" s="534"/>
      <c r="AB227" s="534"/>
      <c r="AC227" s="534"/>
      <c r="AD227" s="534"/>
      <c r="AE227" s="534"/>
      <c r="AF227" s="534"/>
      <c r="AG227" s="533"/>
      <c r="AH227" s="533"/>
      <c r="AI227" s="533"/>
      <c r="AJ227" s="146"/>
    </row>
    <row r="228" spans="1:36" ht="15.95" customHeight="1" outlineLevel="1" x14ac:dyDescent="0.35">
      <c r="A228" s="534"/>
      <c r="B228" s="711"/>
      <c r="C228" s="711"/>
      <c r="D228" s="806"/>
      <c r="E228" s="806"/>
      <c r="F228" s="806"/>
      <c r="G228" s="864"/>
      <c r="H228" s="864"/>
      <c r="I228" s="864"/>
      <c r="J228" s="864"/>
      <c r="K228" s="864"/>
      <c r="L228" s="864"/>
      <c r="M228" s="864"/>
      <c r="N228" s="864"/>
      <c r="O228" s="864"/>
      <c r="P228" s="864"/>
      <c r="Q228" s="864"/>
      <c r="R228" s="864"/>
      <c r="S228" s="864"/>
      <c r="T228" s="864"/>
      <c r="U228" s="534"/>
      <c r="V228" s="534"/>
      <c r="W228" s="534"/>
      <c r="X228" s="534"/>
      <c r="Y228" s="534"/>
      <c r="Z228" s="534"/>
      <c r="AA228" s="534"/>
      <c r="AB228" s="534"/>
      <c r="AC228" s="534"/>
      <c r="AD228" s="534"/>
      <c r="AE228" s="534"/>
      <c r="AF228" s="534"/>
      <c r="AG228" s="533"/>
      <c r="AH228" s="533"/>
      <c r="AI228" s="533"/>
      <c r="AJ228" s="146"/>
    </row>
    <row r="229" spans="1:36" ht="15.95" customHeight="1" outlineLevel="1" x14ac:dyDescent="0.35">
      <c r="A229" s="534"/>
      <c r="B229" s="711"/>
      <c r="C229" s="711"/>
      <c r="D229" s="806"/>
      <c r="E229" s="806"/>
      <c r="F229" s="806"/>
      <c r="G229" s="864"/>
      <c r="H229" s="864"/>
      <c r="I229" s="864"/>
      <c r="J229" s="864"/>
      <c r="K229" s="864"/>
      <c r="L229" s="864"/>
      <c r="M229" s="864"/>
      <c r="N229" s="864"/>
      <c r="O229" s="864"/>
      <c r="P229" s="864"/>
      <c r="Q229" s="864"/>
      <c r="R229" s="864"/>
      <c r="S229" s="864"/>
      <c r="T229" s="864"/>
      <c r="U229" s="534"/>
      <c r="V229" s="534"/>
      <c r="W229" s="534"/>
      <c r="X229" s="534"/>
      <c r="Y229" s="534"/>
      <c r="Z229" s="534"/>
      <c r="AA229" s="534"/>
      <c r="AB229" s="534"/>
      <c r="AC229" s="534"/>
      <c r="AD229" s="534"/>
      <c r="AE229" s="534"/>
      <c r="AF229" s="534"/>
      <c r="AG229" s="533"/>
      <c r="AH229" s="533"/>
      <c r="AI229" s="533"/>
      <c r="AJ229" s="146"/>
    </row>
    <row r="230" spans="1:36" ht="15.95" customHeight="1" outlineLevel="1" x14ac:dyDescent="0.35">
      <c r="A230" s="534"/>
      <c r="B230" s="711"/>
      <c r="C230" s="711"/>
      <c r="D230" s="806" t="s">
        <v>3038</v>
      </c>
      <c r="E230" s="806"/>
      <c r="F230" s="806"/>
      <c r="G230" s="864" t="str">
        <f>IFERROR(INDEX(T05_Feats!$C$3:$C$450,MATCH(Character_Creation!D230,T05_Feats!$A$3:$A$450,0),1),"")</f>
        <v>You can increase one ability score of your choice by 2, or you can increase two ability scores of your choice by 1. 
You cannot increase an ability score above 20 using this feature.</v>
      </c>
      <c r="H230" s="864"/>
      <c r="I230" s="864"/>
      <c r="J230" s="864"/>
      <c r="K230" s="864"/>
      <c r="L230" s="864"/>
      <c r="M230" s="864"/>
      <c r="N230" s="864"/>
      <c r="O230" s="864"/>
      <c r="P230" s="864"/>
      <c r="Q230" s="864"/>
      <c r="R230" s="864"/>
      <c r="S230" s="864"/>
      <c r="T230" s="864"/>
      <c r="U230" s="534"/>
      <c r="V230" s="534"/>
      <c r="W230" s="534"/>
      <c r="X230" s="534"/>
      <c r="Y230" s="534"/>
      <c r="Z230" s="534"/>
      <c r="AA230" s="534"/>
      <c r="AB230" s="534"/>
      <c r="AC230" s="534"/>
      <c r="AD230" s="534"/>
      <c r="AE230" s="534"/>
      <c r="AF230" s="534"/>
      <c r="AG230" s="533"/>
      <c r="AH230" s="533"/>
      <c r="AI230" s="533"/>
      <c r="AJ230" s="146"/>
    </row>
    <row r="231" spans="1:36" ht="15.95" customHeight="1" outlineLevel="1" x14ac:dyDescent="0.35">
      <c r="A231" s="534"/>
      <c r="B231" s="711"/>
      <c r="C231" s="711"/>
      <c r="D231" s="806"/>
      <c r="E231" s="806"/>
      <c r="F231" s="806"/>
      <c r="G231" s="864"/>
      <c r="H231" s="864"/>
      <c r="I231" s="864"/>
      <c r="J231" s="864"/>
      <c r="K231" s="864"/>
      <c r="L231" s="864"/>
      <c r="M231" s="864"/>
      <c r="N231" s="864"/>
      <c r="O231" s="864"/>
      <c r="P231" s="864"/>
      <c r="Q231" s="864"/>
      <c r="R231" s="864"/>
      <c r="S231" s="864"/>
      <c r="T231" s="864"/>
      <c r="U231" s="534"/>
      <c r="V231" s="534"/>
      <c r="W231" s="534"/>
      <c r="X231" s="534"/>
      <c r="Y231" s="534"/>
      <c r="Z231" s="534"/>
      <c r="AA231" s="534"/>
      <c r="AB231" s="534"/>
      <c r="AC231" s="534"/>
      <c r="AD231" s="534"/>
      <c r="AE231" s="534"/>
      <c r="AF231" s="534"/>
      <c r="AG231" s="533"/>
      <c r="AH231" s="533"/>
      <c r="AI231" s="533"/>
      <c r="AJ231" s="146"/>
    </row>
    <row r="232" spans="1:36" ht="15.95" customHeight="1" outlineLevel="1" x14ac:dyDescent="0.35">
      <c r="A232" s="534"/>
      <c r="B232" s="711"/>
      <c r="C232" s="711"/>
      <c r="D232" s="806"/>
      <c r="E232" s="806"/>
      <c r="F232" s="806"/>
      <c r="G232" s="864"/>
      <c r="H232" s="864"/>
      <c r="I232" s="864"/>
      <c r="J232" s="864"/>
      <c r="K232" s="864"/>
      <c r="L232" s="864"/>
      <c r="M232" s="864"/>
      <c r="N232" s="864"/>
      <c r="O232" s="864"/>
      <c r="P232" s="864"/>
      <c r="Q232" s="864"/>
      <c r="R232" s="864"/>
      <c r="S232" s="864"/>
      <c r="T232" s="864"/>
      <c r="U232" s="534"/>
      <c r="V232" s="534"/>
      <c r="W232" s="534"/>
      <c r="X232" s="534"/>
      <c r="Y232" s="534"/>
      <c r="Z232" s="534"/>
      <c r="AA232" s="534"/>
      <c r="AB232" s="534"/>
      <c r="AC232" s="534"/>
      <c r="AD232" s="534"/>
      <c r="AE232" s="534"/>
      <c r="AF232" s="534"/>
      <c r="AG232" s="533"/>
      <c r="AH232" s="533"/>
      <c r="AI232" s="533"/>
      <c r="AJ232" s="146"/>
    </row>
    <row r="233" spans="1:36" ht="15.95" customHeight="1" outlineLevel="1" x14ac:dyDescent="0.35">
      <c r="A233" s="534"/>
      <c r="B233" s="711"/>
      <c r="C233" s="711"/>
      <c r="D233" s="806"/>
      <c r="E233" s="806"/>
      <c r="F233" s="806"/>
      <c r="G233" s="864"/>
      <c r="H233" s="864"/>
      <c r="I233" s="864"/>
      <c r="J233" s="864"/>
      <c r="K233" s="864"/>
      <c r="L233" s="864"/>
      <c r="M233" s="864"/>
      <c r="N233" s="864"/>
      <c r="O233" s="864"/>
      <c r="P233" s="864"/>
      <c r="Q233" s="864"/>
      <c r="R233" s="864"/>
      <c r="S233" s="864"/>
      <c r="T233" s="864"/>
      <c r="U233" s="534"/>
      <c r="V233" s="534"/>
      <c r="W233" s="534"/>
      <c r="X233" s="534"/>
      <c r="Y233" s="534"/>
      <c r="Z233" s="534"/>
      <c r="AA233" s="534"/>
      <c r="AB233" s="534"/>
      <c r="AC233" s="534"/>
      <c r="AD233" s="534"/>
      <c r="AE233" s="534"/>
      <c r="AF233" s="534"/>
      <c r="AG233" s="533"/>
      <c r="AH233" s="533"/>
      <c r="AI233" s="533"/>
      <c r="AJ233" s="146"/>
    </row>
    <row r="234" spans="1:36" ht="15.95" customHeight="1" outlineLevel="1" x14ac:dyDescent="0.35">
      <c r="A234" s="534"/>
      <c r="B234" s="711"/>
      <c r="C234" s="711"/>
      <c r="D234" s="806" t="s">
        <v>3038</v>
      </c>
      <c r="E234" s="806"/>
      <c r="F234" s="806"/>
      <c r="G234" s="864" t="str">
        <f>IFERROR(INDEX(T05_Feats!$C$3:$C$450,MATCH(Character_Creation!D234,T05_Feats!$A$3:$A$450,0),1),"")</f>
        <v>You can increase one ability score of your choice by 2, or you can increase two ability scores of your choice by 1. 
You cannot increase an ability score above 20 using this feature.</v>
      </c>
      <c r="H234" s="864"/>
      <c r="I234" s="864"/>
      <c r="J234" s="864"/>
      <c r="K234" s="864"/>
      <c r="L234" s="864"/>
      <c r="M234" s="864"/>
      <c r="N234" s="864"/>
      <c r="O234" s="864"/>
      <c r="P234" s="864"/>
      <c r="Q234" s="864"/>
      <c r="R234" s="864"/>
      <c r="S234" s="864"/>
      <c r="T234" s="864"/>
      <c r="U234" s="534"/>
      <c r="V234" s="534"/>
      <c r="W234" s="534"/>
      <c r="X234" s="534"/>
      <c r="Y234" s="534"/>
      <c r="Z234" s="534"/>
      <c r="AA234" s="534"/>
      <c r="AB234" s="534"/>
      <c r="AC234" s="534"/>
      <c r="AD234" s="534"/>
      <c r="AE234" s="534"/>
      <c r="AF234" s="534"/>
      <c r="AG234" s="533"/>
      <c r="AH234" s="533"/>
      <c r="AI234" s="533"/>
      <c r="AJ234" s="146"/>
    </row>
    <row r="235" spans="1:36" ht="15.95" customHeight="1" outlineLevel="1" x14ac:dyDescent="0.35">
      <c r="A235" s="534"/>
      <c r="B235" s="711"/>
      <c r="C235" s="711"/>
      <c r="D235" s="806"/>
      <c r="E235" s="806"/>
      <c r="F235" s="806"/>
      <c r="G235" s="864"/>
      <c r="H235" s="864"/>
      <c r="I235" s="864"/>
      <c r="J235" s="864"/>
      <c r="K235" s="864"/>
      <c r="L235" s="864"/>
      <c r="M235" s="864"/>
      <c r="N235" s="864"/>
      <c r="O235" s="864"/>
      <c r="P235" s="864"/>
      <c r="Q235" s="864"/>
      <c r="R235" s="864"/>
      <c r="S235" s="864"/>
      <c r="T235" s="864"/>
      <c r="U235" s="534"/>
      <c r="V235" s="534"/>
      <c r="W235" s="534"/>
      <c r="X235" s="534"/>
      <c r="Y235" s="534"/>
      <c r="Z235" s="534"/>
      <c r="AA235" s="534"/>
      <c r="AB235" s="534"/>
      <c r="AC235" s="534"/>
      <c r="AD235" s="534"/>
      <c r="AE235" s="534"/>
      <c r="AF235" s="534"/>
      <c r="AG235" s="533"/>
      <c r="AH235" s="533"/>
      <c r="AI235" s="533"/>
      <c r="AJ235" s="146"/>
    </row>
    <row r="236" spans="1:36" ht="15.95" customHeight="1" outlineLevel="1" x14ac:dyDescent="0.35">
      <c r="A236" s="534"/>
      <c r="B236" s="711"/>
      <c r="C236" s="711"/>
      <c r="D236" s="806"/>
      <c r="E236" s="806"/>
      <c r="F236" s="806"/>
      <c r="G236" s="864"/>
      <c r="H236" s="864"/>
      <c r="I236" s="864"/>
      <c r="J236" s="864"/>
      <c r="K236" s="864"/>
      <c r="L236" s="864"/>
      <c r="M236" s="864"/>
      <c r="N236" s="864"/>
      <c r="O236" s="864"/>
      <c r="P236" s="864"/>
      <c r="Q236" s="864"/>
      <c r="R236" s="864"/>
      <c r="S236" s="864"/>
      <c r="T236" s="864"/>
      <c r="U236" s="534"/>
      <c r="V236" s="534"/>
      <c r="W236" s="534"/>
      <c r="X236" s="534"/>
      <c r="Y236" s="534"/>
      <c r="Z236" s="534"/>
      <c r="AA236" s="534"/>
      <c r="AB236" s="534"/>
      <c r="AC236" s="534"/>
      <c r="AD236" s="534"/>
      <c r="AE236" s="534"/>
      <c r="AF236" s="534"/>
      <c r="AG236" s="533"/>
      <c r="AH236" s="533"/>
      <c r="AI236" s="533"/>
      <c r="AJ236" s="146"/>
    </row>
    <row r="237" spans="1:36" ht="15.95" customHeight="1" outlineLevel="1" x14ac:dyDescent="0.35">
      <c r="A237" s="534"/>
      <c r="B237" s="711"/>
      <c r="C237" s="711"/>
      <c r="D237" s="806"/>
      <c r="E237" s="806"/>
      <c r="F237" s="806"/>
      <c r="G237" s="864"/>
      <c r="H237" s="864"/>
      <c r="I237" s="864"/>
      <c r="J237" s="864"/>
      <c r="K237" s="864"/>
      <c r="L237" s="864"/>
      <c r="M237" s="864"/>
      <c r="N237" s="864"/>
      <c r="O237" s="864"/>
      <c r="P237" s="864"/>
      <c r="Q237" s="864"/>
      <c r="R237" s="864"/>
      <c r="S237" s="864"/>
      <c r="T237" s="864"/>
      <c r="U237" s="534"/>
      <c r="V237" s="534"/>
      <c r="W237" s="534"/>
      <c r="X237" s="534"/>
      <c r="Y237" s="534"/>
      <c r="Z237" s="534"/>
      <c r="AA237" s="534"/>
      <c r="AB237" s="534"/>
      <c r="AC237" s="534"/>
      <c r="AD237" s="534"/>
      <c r="AE237" s="534"/>
      <c r="AF237" s="534"/>
      <c r="AG237" s="533"/>
      <c r="AH237" s="533"/>
      <c r="AI237" s="533"/>
      <c r="AJ237" s="146"/>
    </row>
    <row r="238" spans="1:36" ht="15.95" customHeight="1" outlineLevel="1" x14ac:dyDescent="0.35">
      <c r="A238" s="534"/>
      <c r="B238" s="711"/>
      <c r="C238" s="711"/>
      <c r="D238" s="806"/>
      <c r="E238" s="806"/>
      <c r="F238" s="806"/>
      <c r="G238" s="864" t="str">
        <f>IFERROR(INDEX(T05_Feats!$C$3:$C$450,MATCH(Character_Creation!D238,T05_Feats!$A$3:$A$450,0),1),"")</f>
        <v/>
      </c>
      <c r="H238" s="864"/>
      <c r="I238" s="864"/>
      <c r="J238" s="864"/>
      <c r="K238" s="864"/>
      <c r="L238" s="864"/>
      <c r="M238" s="864"/>
      <c r="N238" s="864"/>
      <c r="O238" s="864"/>
      <c r="P238" s="864"/>
      <c r="Q238" s="864"/>
      <c r="R238" s="864"/>
      <c r="S238" s="864"/>
      <c r="T238" s="864"/>
      <c r="U238" s="534"/>
      <c r="V238" s="534"/>
      <c r="W238" s="534"/>
      <c r="X238" s="534"/>
      <c r="Y238" s="534"/>
      <c r="Z238" s="534"/>
      <c r="AA238" s="534"/>
      <c r="AB238" s="534"/>
      <c r="AC238" s="534"/>
      <c r="AD238" s="534"/>
      <c r="AE238" s="534"/>
      <c r="AF238" s="534"/>
      <c r="AG238" s="533"/>
      <c r="AH238" s="533"/>
      <c r="AI238" s="533"/>
      <c r="AJ238" s="146"/>
    </row>
    <row r="239" spans="1:36" ht="15.95" customHeight="1" outlineLevel="1" x14ac:dyDescent="0.35">
      <c r="A239" s="534"/>
      <c r="B239" s="711"/>
      <c r="C239" s="711"/>
      <c r="D239" s="806"/>
      <c r="E239" s="806"/>
      <c r="F239" s="806"/>
      <c r="G239" s="864"/>
      <c r="H239" s="864"/>
      <c r="I239" s="864"/>
      <c r="J239" s="864"/>
      <c r="K239" s="864"/>
      <c r="L239" s="864"/>
      <c r="M239" s="864"/>
      <c r="N239" s="864"/>
      <c r="O239" s="864"/>
      <c r="P239" s="864"/>
      <c r="Q239" s="864"/>
      <c r="R239" s="864"/>
      <c r="S239" s="864"/>
      <c r="T239" s="864"/>
      <c r="U239" s="534"/>
      <c r="V239" s="534"/>
      <c r="W239" s="534"/>
      <c r="X239" s="534"/>
      <c r="Y239" s="534"/>
      <c r="Z239" s="534"/>
      <c r="AA239" s="534"/>
      <c r="AB239" s="534"/>
      <c r="AC239" s="534"/>
      <c r="AD239" s="534"/>
      <c r="AE239" s="534"/>
      <c r="AF239" s="534"/>
      <c r="AG239" s="533"/>
      <c r="AH239" s="533"/>
      <c r="AI239" s="533"/>
      <c r="AJ239" s="146"/>
    </row>
    <row r="240" spans="1:36" ht="15.95" customHeight="1" outlineLevel="1" x14ac:dyDescent="0.35">
      <c r="A240" s="534"/>
      <c r="B240" s="711"/>
      <c r="C240" s="711"/>
      <c r="D240" s="806"/>
      <c r="E240" s="806"/>
      <c r="F240" s="806"/>
      <c r="G240" s="864"/>
      <c r="H240" s="864"/>
      <c r="I240" s="864"/>
      <c r="J240" s="864"/>
      <c r="K240" s="864"/>
      <c r="L240" s="864"/>
      <c r="M240" s="864"/>
      <c r="N240" s="864"/>
      <c r="O240" s="864"/>
      <c r="P240" s="864"/>
      <c r="Q240" s="864"/>
      <c r="R240" s="864"/>
      <c r="S240" s="864"/>
      <c r="T240" s="864"/>
      <c r="U240" s="534"/>
      <c r="V240" s="534"/>
      <c r="W240" s="534"/>
      <c r="X240" s="534"/>
      <c r="Y240" s="534"/>
      <c r="Z240" s="534"/>
      <c r="AA240" s="534"/>
      <c r="AB240" s="534"/>
      <c r="AC240" s="534"/>
      <c r="AD240" s="534"/>
      <c r="AE240" s="534"/>
      <c r="AF240" s="534"/>
      <c r="AG240" s="533"/>
      <c r="AH240" s="533"/>
      <c r="AI240" s="533"/>
      <c r="AJ240" s="146"/>
    </row>
    <row r="241" spans="1:36" ht="15.95" customHeight="1" outlineLevel="1" x14ac:dyDescent="0.35">
      <c r="A241" s="534"/>
      <c r="B241" s="711"/>
      <c r="C241" s="711"/>
      <c r="D241" s="806"/>
      <c r="E241" s="806"/>
      <c r="F241" s="806"/>
      <c r="G241" s="864"/>
      <c r="H241" s="864"/>
      <c r="I241" s="864"/>
      <c r="J241" s="864"/>
      <c r="K241" s="864"/>
      <c r="L241" s="864"/>
      <c r="M241" s="864"/>
      <c r="N241" s="864"/>
      <c r="O241" s="864"/>
      <c r="P241" s="864"/>
      <c r="Q241" s="864"/>
      <c r="R241" s="864"/>
      <c r="S241" s="864"/>
      <c r="T241" s="864"/>
      <c r="U241" s="534"/>
      <c r="V241" s="534"/>
      <c r="W241" s="534"/>
      <c r="X241" s="534"/>
      <c r="Y241" s="534"/>
      <c r="Z241" s="534"/>
      <c r="AA241" s="534"/>
      <c r="AB241" s="534"/>
      <c r="AC241" s="534"/>
      <c r="AD241" s="534"/>
      <c r="AE241" s="534"/>
      <c r="AF241" s="534"/>
      <c r="AG241" s="533"/>
      <c r="AH241" s="533"/>
      <c r="AI241" s="533"/>
      <c r="AJ241" s="146"/>
    </row>
    <row r="242" spans="1:36" ht="15.95" customHeight="1" outlineLevel="1" thickBot="1" x14ac:dyDescent="0.4">
      <c r="A242" s="534"/>
      <c r="B242" s="534"/>
      <c r="C242" s="534"/>
      <c r="D242" s="534"/>
      <c r="E242" s="534"/>
      <c r="F242" s="534"/>
      <c r="G242" s="534"/>
      <c r="H242" s="534"/>
      <c r="I242" s="534"/>
      <c r="J242" s="534"/>
      <c r="K242" s="534"/>
      <c r="L242" s="534"/>
      <c r="M242" s="534"/>
      <c r="N242" s="534"/>
      <c r="O242" s="534"/>
      <c r="P242" s="534"/>
      <c r="Q242" s="534"/>
      <c r="R242" s="534"/>
      <c r="S242" s="534"/>
      <c r="T242" s="534"/>
      <c r="U242" s="534"/>
      <c r="V242" s="534"/>
      <c r="W242" s="534"/>
      <c r="X242" s="534"/>
      <c r="Y242" s="534"/>
      <c r="Z242" s="534"/>
      <c r="AA242" s="534"/>
      <c r="AB242" s="534"/>
      <c r="AC242" s="534"/>
      <c r="AD242" s="534"/>
      <c r="AE242" s="534"/>
      <c r="AF242" s="534"/>
      <c r="AG242" s="533"/>
      <c r="AH242" s="533"/>
      <c r="AI242" s="533"/>
      <c r="AJ242" s="146"/>
    </row>
    <row r="243" spans="1:36" ht="15.95" customHeight="1" outlineLevel="1" thickTop="1" thickBot="1" x14ac:dyDescent="0.4">
      <c r="A243" s="534"/>
      <c r="B243" s="771" t="s">
        <v>6658</v>
      </c>
      <c r="C243" s="772"/>
      <c r="D243" s="772"/>
      <c r="E243" s="773"/>
      <c r="F243" s="534"/>
      <c r="G243" s="534"/>
      <c r="H243" s="534"/>
      <c r="I243" s="534"/>
      <c r="J243" s="534"/>
      <c r="K243" s="534"/>
      <c r="L243" s="534"/>
      <c r="M243" s="534"/>
      <c r="N243" s="534"/>
      <c r="O243" s="534"/>
      <c r="P243" s="534"/>
      <c r="Q243" s="534"/>
      <c r="R243" s="534"/>
      <c r="S243" s="534"/>
      <c r="T243" s="534"/>
      <c r="U243" s="534"/>
      <c r="V243" s="534"/>
      <c r="W243" s="534"/>
      <c r="X243" s="534"/>
      <c r="Y243" s="534"/>
      <c r="Z243" s="534"/>
      <c r="AA243" s="534"/>
      <c r="AB243" s="534"/>
      <c r="AC243" s="534"/>
      <c r="AD243" s="534"/>
      <c r="AE243" s="534"/>
      <c r="AF243" s="534"/>
      <c r="AG243" s="533"/>
      <c r="AH243" s="533"/>
      <c r="AI243" s="533"/>
      <c r="AJ243" s="146"/>
    </row>
    <row r="244" spans="1:36" ht="15.95" customHeight="1" outlineLevel="1" thickTop="1" thickBot="1" x14ac:dyDescent="0.4">
      <c r="A244" s="534"/>
      <c r="B244" s="534"/>
      <c r="C244" s="534"/>
      <c r="D244" s="534"/>
      <c r="E244" s="534"/>
      <c r="F244" s="534"/>
      <c r="G244" s="534"/>
      <c r="H244" s="534"/>
      <c r="I244" s="534"/>
      <c r="J244" s="534"/>
      <c r="K244" s="534"/>
      <c r="L244" s="534"/>
      <c r="M244" s="534"/>
      <c r="N244" s="534"/>
      <c r="O244" s="534"/>
      <c r="P244" s="534"/>
      <c r="Q244" s="534"/>
      <c r="R244" s="534"/>
      <c r="S244" s="534"/>
      <c r="T244" s="534"/>
      <c r="U244" s="534"/>
      <c r="V244" s="534"/>
      <c r="W244" s="534"/>
      <c r="X244" s="534"/>
      <c r="Y244" s="534"/>
      <c r="Z244" s="534"/>
      <c r="AA244" s="534"/>
      <c r="AB244" s="534"/>
      <c r="AC244" s="534"/>
      <c r="AD244" s="534"/>
      <c r="AE244" s="534"/>
      <c r="AF244" s="534"/>
      <c r="AG244" s="533"/>
      <c r="AH244" s="533"/>
      <c r="AI244" s="533"/>
      <c r="AJ244" s="146"/>
    </row>
    <row r="245" spans="1:36" ht="15.95" customHeight="1" outlineLevel="1" x14ac:dyDescent="0.35">
      <c r="A245" s="534"/>
      <c r="B245" s="955" t="s">
        <v>6503</v>
      </c>
      <c r="C245" s="956"/>
      <c r="D245" s="960"/>
      <c r="E245" s="960"/>
      <c r="F245" s="960"/>
      <c r="G245" s="963" t="str">
        <f>IFERROR(INDEX(T05_Feats!$C$3:$C$450,MATCH(Character_Creation!D245,T05_Feats!$A$3:$A$450,0),1),"")</f>
        <v/>
      </c>
      <c r="H245" s="963"/>
      <c r="I245" s="963"/>
      <c r="J245" s="963"/>
      <c r="K245" s="963"/>
      <c r="L245" s="963"/>
      <c r="M245" s="963"/>
      <c r="N245" s="963"/>
      <c r="O245" s="963"/>
      <c r="P245" s="963"/>
      <c r="Q245" s="963"/>
      <c r="R245" s="963"/>
      <c r="S245" s="963"/>
      <c r="T245" s="964"/>
      <c r="U245" s="534"/>
      <c r="V245" s="534"/>
      <c r="W245" s="534"/>
      <c r="X245" s="534"/>
      <c r="Y245" s="534"/>
      <c r="Z245" s="534"/>
      <c r="AA245" s="534"/>
      <c r="AB245" s="534"/>
      <c r="AC245" s="534"/>
      <c r="AD245" s="534"/>
      <c r="AE245" s="534"/>
      <c r="AF245" s="534"/>
      <c r="AG245" s="533"/>
      <c r="AH245" s="533"/>
      <c r="AI245" s="533"/>
      <c r="AJ245" s="146"/>
    </row>
    <row r="246" spans="1:36" ht="15.95" customHeight="1" outlineLevel="1" x14ac:dyDescent="0.35">
      <c r="A246" s="534"/>
      <c r="B246" s="957"/>
      <c r="C246" s="711"/>
      <c r="D246" s="961"/>
      <c r="E246" s="961"/>
      <c r="F246" s="961"/>
      <c r="G246" s="864"/>
      <c r="H246" s="864"/>
      <c r="I246" s="864"/>
      <c r="J246" s="864"/>
      <c r="K246" s="864"/>
      <c r="L246" s="864"/>
      <c r="M246" s="864"/>
      <c r="N246" s="864"/>
      <c r="O246" s="864"/>
      <c r="P246" s="864"/>
      <c r="Q246" s="864"/>
      <c r="R246" s="864"/>
      <c r="S246" s="864"/>
      <c r="T246" s="965"/>
      <c r="U246" s="534"/>
      <c r="V246" s="534"/>
      <c r="W246" s="534"/>
      <c r="X246" s="534"/>
      <c r="Y246" s="534"/>
      <c r="Z246" s="534"/>
      <c r="AA246" s="534"/>
      <c r="AB246" s="534"/>
      <c r="AC246" s="534"/>
      <c r="AD246" s="534"/>
      <c r="AE246" s="534"/>
      <c r="AF246" s="534"/>
      <c r="AG246" s="533"/>
      <c r="AH246" s="533"/>
      <c r="AI246" s="533"/>
      <c r="AJ246" s="146"/>
    </row>
    <row r="247" spans="1:36" ht="15.95" customHeight="1" outlineLevel="1" x14ac:dyDescent="0.35">
      <c r="A247" s="534"/>
      <c r="B247" s="957"/>
      <c r="C247" s="711"/>
      <c r="D247" s="961"/>
      <c r="E247" s="961"/>
      <c r="F247" s="961"/>
      <c r="G247" s="864"/>
      <c r="H247" s="864"/>
      <c r="I247" s="864"/>
      <c r="J247" s="864"/>
      <c r="K247" s="864"/>
      <c r="L247" s="864"/>
      <c r="M247" s="864"/>
      <c r="N247" s="864"/>
      <c r="O247" s="864"/>
      <c r="P247" s="864"/>
      <c r="Q247" s="864"/>
      <c r="R247" s="864"/>
      <c r="S247" s="864"/>
      <c r="T247" s="965"/>
      <c r="U247" s="534"/>
      <c r="V247" s="534"/>
      <c r="W247" s="534"/>
      <c r="X247" s="534"/>
      <c r="Y247" s="534"/>
      <c r="Z247" s="534"/>
      <c r="AA247" s="534"/>
      <c r="AB247" s="534"/>
      <c r="AC247" s="534"/>
      <c r="AD247" s="534"/>
      <c r="AE247" s="534"/>
      <c r="AF247" s="534"/>
      <c r="AG247" s="533"/>
      <c r="AH247" s="533"/>
      <c r="AI247" s="533"/>
      <c r="AJ247" s="146"/>
    </row>
    <row r="248" spans="1:36" ht="15.95" customHeight="1" outlineLevel="1" thickBot="1" x14ac:dyDescent="0.4">
      <c r="A248" s="534"/>
      <c r="B248" s="958"/>
      <c r="C248" s="959"/>
      <c r="D248" s="962"/>
      <c r="E248" s="962"/>
      <c r="F248" s="962"/>
      <c r="G248" s="966"/>
      <c r="H248" s="966"/>
      <c r="I248" s="966"/>
      <c r="J248" s="966"/>
      <c r="K248" s="966"/>
      <c r="L248" s="966"/>
      <c r="M248" s="966"/>
      <c r="N248" s="966"/>
      <c r="O248" s="966"/>
      <c r="P248" s="966"/>
      <c r="Q248" s="966"/>
      <c r="R248" s="966"/>
      <c r="S248" s="966"/>
      <c r="T248" s="967"/>
      <c r="U248" s="534"/>
      <c r="V248" s="534"/>
      <c r="W248" s="534"/>
      <c r="X248" s="534"/>
      <c r="Y248" s="534"/>
      <c r="Z248" s="534"/>
      <c r="AA248" s="534"/>
      <c r="AB248" s="534"/>
      <c r="AC248" s="534"/>
      <c r="AD248" s="534"/>
      <c r="AE248" s="534"/>
      <c r="AF248" s="534"/>
      <c r="AG248" s="533"/>
      <c r="AH248" s="533"/>
      <c r="AI248" s="533"/>
      <c r="AJ248" s="146"/>
    </row>
    <row r="249" spans="1:36" ht="15.95" customHeight="1" outlineLevel="1" x14ac:dyDescent="0.35">
      <c r="A249" s="534"/>
      <c r="B249" s="955" t="s">
        <v>6503</v>
      </c>
      <c r="C249" s="956"/>
      <c r="D249" s="960"/>
      <c r="E249" s="960"/>
      <c r="F249" s="960"/>
      <c r="G249" s="963" t="str">
        <f>IFERROR(INDEX(T05_Feats!$C$3:$C$450,MATCH(Character_Creation!D249,T05_Feats!$A$3:$A$450,0),1),"")</f>
        <v/>
      </c>
      <c r="H249" s="963"/>
      <c r="I249" s="963"/>
      <c r="J249" s="963"/>
      <c r="K249" s="963"/>
      <c r="L249" s="963"/>
      <c r="M249" s="963"/>
      <c r="N249" s="963"/>
      <c r="O249" s="963"/>
      <c r="P249" s="963"/>
      <c r="Q249" s="963"/>
      <c r="R249" s="963"/>
      <c r="S249" s="963"/>
      <c r="T249" s="964"/>
      <c r="U249" s="534"/>
      <c r="V249" s="534"/>
      <c r="W249" s="534"/>
      <c r="X249" s="534"/>
      <c r="Y249" s="534"/>
      <c r="Z249" s="534"/>
      <c r="AA249" s="534"/>
      <c r="AB249" s="534"/>
      <c r="AC249" s="534"/>
      <c r="AD249" s="534"/>
      <c r="AE249" s="534"/>
      <c r="AF249" s="534"/>
      <c r="AG249" s="533"/>
      <c r="AH249" s="533"/>
      <c r="AI249" s="533"/>
      <c r="AJ249" s="146"/>
    </row>
    <row r="250" spans="1:36" ht="15.75" customHeight="1" outlineLevel="1" x14ac:dyDescent="0.35">
      <c r="A250" s="534"/>
      <c r="B250" s="957"/>
      <c r="C250" s="711"/>
      <c r="D250" s="961"/>
      <c r="E250" s="961"/>
      <c r="F250" s="961"/>
      <c r="G250" s="864"/>
      <c r="H250" s="864"/>
      <c r="I250" s="864"/>
      <c r="J250" s="864"/>
      <c r="K250" s="864"/>
      <c r="L250" s="864"/>
      <c r="M250" s="864"/>
      <c r="N250" s="864"/>
      <c r="O250" s="864"/>
      <c r="P250" s="864"/>
      <c r="Q250" s="864"/>
      <c r="R250" s="864"/>
      <c r="S250" s="864"/>
      <c r="T250" s="965"/>
      <c r="U250" s="534"/>
      <c r="V250" s="534"/>
      <c r="W250" s="534"/>
      <c r="X250" s="534"/>
      <c r="Y250" s="534"/>
      <c r="Z250" s="534"/>
      <c r="AA250" s="534"/>
      <c r="AB250" s="534"/>
      <c r="AC250" s="534"/>
      <c r="AD250" s="534"/>
      <c r="AE250" s="534"/>
      <c r="AF250" s="534"/>
      <c r="AG250" s="533"/>
      <c r="AH250" s="533"/>
      <c r="AI250" s="533"/>
      <c r="AJ250" s="146"/>
    </row>
    <row r="251" spans="1:36" ht="15.95" customHeight="1" outlineLevel="1" x14ac:dyDescent="0.35">
      <c r="A251" s="534"/>
      <c r="B251" s="957"/>
      <c r="C251" s="711"/>
      <c r="D251" s="961"/>
      <c r="E251" s="961"/>
      <c r="F251" s="961"/>
      <c r="G251" s="864"/>
      <c r="H251" s="864"/>
      <c r="I251" s="864"/>
      <c r="J251" s="864"/>
      <c r="K251" s="864"/>
      <c r="L251" s="864"/>
      <c r="M251" s="864"/>
      <c r="N251" s="864"/>
      <c r="O251" s="864"/>
      <c r="P251" s="864"/>
      <c r="Q251" s="864"/>
      <c r="R251" s="864"/>
      <c r="S251" s="864"/>
      <c r="T251" s="965"/>
      <c r="U251" s="534"/>
      <c r="V251" s="534"/>
      <c r="W251" s="534"/>
      <c r="X251" s="534"/>
      <c r="Y251" s="534"/>
      <c r="Z251" s="534"/>
      <c r="AA251" s="534"/>
      <c r="AB251" s="534"/>
      <c r="AC251" s="534"/>
      <c r="AD251" s="534"/>
      <c r="AE251" s="534"/>
      <c r="AF251" s="534"/>
      <c r="AG251" s="533"/>
      <c r="AH251" s="533"/>
      <c r="AI251" s="533"/>
      <c r="AJ251" s="146"/>
    </row>
    <row r="252" spans="1:36" ht="15.95" customHeight="1" outlineLevel="1" thickBot="1" x14ac:dyDescent="0.4">
      <c r="A252" s="534"/>
      <c r="B252" s="958"/>
      <c r="C252" s="959"/>
      <c r="D252" s="962"/>
      <c r="E252" s="962"/>
      <c r="F252" s="962"/>
      <c r="G252" s="966"/>
      <c r="H252" s="966"/>
      <c r="I252" s="966"/>
      <c r="J252" s="966"/>
      <c r="K252" s="966"/>
      <c r="L252" s="966"/>
      <c r="M252" s="966"/>
      <c r="N252" s="966"/>
      <c r="O252" s="966"/>
      <c r="P252" s="966"/>
      <c r="Q252" s="966"/>
      <c r="R252" s="966"/>
      <c r="S252" s="966"/>
      <c r="T252" s="967"/>
      <c r="U252" s="534"/>
      <c r="V252" s="534"/>
      <c r="W252" s="534"/>
      <c r="X252" s="534"/>
      <c r="Y252" s="534"/>
      <c r="Z252" s="534"/>
      <c r="AA252" s="534"/>
      <c r="AB252" s="534"/>
      <c r="AC252" s="534"/>
      <c r="AD252" s="534"/>
      <c r="AE252" s="534"/>
      <c r="AF252" s="534"/>
      <c r="AG252" s="533"/>
      <c r="AH252" s="533"/>
      <c r="AI252" s="533"/>
      <c r="AJ252" s="146"/>
    </row>
    <row r="253" spans="1:36" ht="15.95" customHeight="1" outlineLevel="1" x14ac:dyDescent="0.35">
      <c r="A253" s="534"/>
      <c r="B253" s="955" t="s">
        <v>6503</v>
      </c>
      <c r="C253" s="956"/>
      <c r="D253" s="960"/>
      <c r="E253" s="960"/>
      <c r="F253" s="960"/>
      <c r="G253" s="963" t="str">
        <f>IFERROR(INDEX(T05_Feats!$C$3:$C$450,MATCH(Character_Creation!D253,T05_Feats!$A$3:$A$450,0),1),"")</f>
        <v/>
      </c>
      <c r="H253" s="963"/>
      <c r="I253" s="963"/>
      <c r="J253" s="963"/>
      <c r="K253" s="963"/>
      <c r="L253" s="963"/>
      <c r="M253" s="963"/>
      <c r="N253" s="963"/>
      <c r="O253" s="963"/>
      <c r="P253" s="963"/>
      <c r="Q253" s="963"/>
      <c r="R253" s="963"/>
      <c r="S253" s="963"/>
      <c r="T253" s="964"/>
      <c r="U253" s="534"/>
      <c r="V253" s="534"/>
      <c r="W253" s="534"/>
      <c r="X253" s="534"/>
      <c r="Y253" s="534"/>
      <c r="Z253" s="534"/>
      <c r="AA253" s="534"/>
      <c r="AB253" s="534"/>
      <c r="AC253" s="534"/>
      <c r="AD253" s="534"/>
      <c r="AE253" s="534"/>
      <c r="AF253" s="534"/>
      <c r="AG253" s="533"/>
      <c r="AH253" s="533"/>
      <c r="AI253" s="533"/>
      <c r="AJ253" s="146"/>
    </row>
    <row r="254" spans="1:36" ht="15.95" customHeight="1" outlineLevel="1" x14ac:dyDescent="0.35">
      <c r="A254" s="534"/>
      <c r="B254" s="957"/>
      <c r="C254" s="711"/>
      <c r="D254" s="961"/>
      <c r="E254" s="961"/>
      <c r="F254" s="961"/>
      <c r="G254" s="864"/>
      <c r="H254" s="864"/>
      <c r="I254" s="864"/>
      <c r="J254" s="864"/>
      <c r="K254" s="864"/>
      <c r="L254" s="864"/>
      <c r="M254" s="864"/>
      <c r="N254" s="864"/>
      <c r="O254" s="864"/>
      <c r="P254" s="864"/>
      <c r="Q254" s="864"/>
      <c r="R254" s="864"/>
      <c r="S254" s="864"/>
      <c r="T254" s="965"/>
      <c r="U254" s="534"/>
      <c r="V254" s="534"/>
      <c r="W254" s="534"/>
      <c r="X254" s="534"/>
      <c r="Y254" s="534"/>
      <c r="Z254" s="534"/>
      <c r="AA254" s="534"/>
      <c r="AB254" s="534"/>
      <c r="AC254" s="534"/>
      <c r="AD254" s="534"/>
      <c r="AE254" s="534"/>
      <c r="AF254" s="534"/>
      <c r="AG254" s="533"/>
      <c r="AH254" s="533"/>
      <c r="AI254" s="533"/>
      <c r="AJ254" s="146"/>
    </row>
    <row r="255" spans="1:36" ht="15.95" customHeight="1" outlineLevel="1" x14ac:dyDescent="0.35">
      <c r="A255" s="534"/>
      <c r="B255" s="957"/>
      <c r="C255" s="711"/>
      <c r="D255" s="961"/>
      <c r="E255" s="961"/>
      <c r="F255" s="961"/>
      <c r="G255" s="864"/>
      <c r="H255" s="864"/>
      <c r="I255" s="864"/>
      <c r="J255" s="864"/>
      <c r="K255" s="864"/>
      <c r="L255" s="864"/>
      <c r="M255" s="864"/>
      <c r="N255" s="864"/>
      <c r="O255" s="864"/>
      <c r="P255" s="864"/>
      <c r="Q255" s="864"/>
      <c r="R255" s="864"/>
      <c r="S255" s="864"/>
      <c r="T255" s="965"/>
      <c r="U255" s="534"/>
      <c r="V255" s="534"/>
      <c r="W255" s="534"/>
      <c r="X255" s="534"/>
      <c r="Y255" s="534"/>
      <c r="Z255" s="534"/>
      <c r="AA255" s="534"/>
      <c r="AB255" s="534"/>
      <c r="AC255" s="534"/>
      <c r="AD255" s="534"/>
      <c r="AE255" s="534"/>
      <c r="AF255" s="534"/>
      <c r="AG255" s="533"/>
      <c r="AH255" s="533"/>
      <c r="AI255" s="533"/>
      <c r="AJ255" s="146"/>
    </row>
    <row r="256" spans="1:36" ht="15.95" customHeight="1" outlineLevel="1" thickBot="1" x14ac:dyDescent="0.4">
      <c r="A256" s="534"/>
      <c r="B256" s="958"/>
      <c r="C256" s="959"/>
      <c r="D256" s="962"/>
      <c r="E256" s="962"/>
      <c r="F256" s="962"/>
      <c r="G256" s="966"/>
      <c r="H256" s="966"/>
      <c r="I256" s="966"/>
      <c r="J256" s="966"/>
      <c r="K256" s="966"/>
      <c r="L256" s="966"/>
      <c r="M256" s="966"/>
      <c r="N256" s="966"/>
      <c r="O256" s="966"/>
      <c r="P256" s="966"/>
      <c r="Q256" s="966"/>
      <c r="R256" s="966"/>
      <c r="S256" s="966"/>
      <c r="T256" s="967"/>
      <c r="U256" s="534"/>
      <c r="V256" s="534"/>
      <c r="W256" s="534"/>
      <c r="X256" s="534"/>
      <c r="Y256" s="534"/>
      <c r="Z256" s="534"/>
      <c r="AA256" s="534"/>
      <c r="AB256" s="534"/>
      <c r="AC256" s="534"/>
      <c r="AD256" s="534"/>
      <c r="AE256" s="534"/>
      <c r="AF256" s="534"/>
      <c r="AG256" s="533"/>
      <c r="AH256" s="533"/>
      <c r="AI256" s="533"/>
      <c r="AJ256" s="146"/>
    </row>
    <row r="257" spans="1:36" ht="15.95" customHeight="1" outlineLevel="1" thickBot="1" x14ac:dyDescent="0.4">
      <c r="A257" s="534"/>
      <c r="B257" s="534"/>
      <c r="C257" s="534"/>
      <c r="D257" s="534"/>
      <c r="E257" s="534"/>
      <c r="F257" s="534"/>
      <c r="G257" s="534"/>
      <c r="H257" s="534"/>
      <c r="I257" s="534"/>
      <c r="J257" s="534"/>
      <c r="K257" s="534"/>
      <c r="L257" s="534"/>
      <c r="M257" s="534"/>
      <c r="N257" s="534"/>
      <c r="O257" s="534"/>
      <c r="P257" s="534"/>
      <c r="Q257" s="534"/>
      <c r="R257" s="534"/>
      <c r="S257" s="534"/>
      <c r="T257" s="534"/>
      <c r="U257" s="534"/>
      <c r="V257" s="534"/>
      <c r="W257" s="534"/>
      <c r="X257" s="534"/>
      <c r="Y257" s="534"/>
      <c r="Z257" s="534"/>
      <c r="AA257" s="534"/>
      <c r="AB257" s="534"/>
      <c r="AC257" s="534"/>
      <c r="AD257" s="534"/>
      <c r="AE257" s="534"/>
      <c r="AF257" s="534"/>
      <c r="AG257" s="533"/>
      <c r="AH257" s="533"/>
      <c r="AI257" s="533"/>
      <c r="AJ257" s="146"/>
    </row>
    <row r="258" spans="1:36" ht="15.95" customHeight="1" outlineLevel="1" thickTop="1" thickBot="1" x14ac:dyDescent="0.4">
      <c r="A258" s="534"/>
      <c r="B258" s="771" t="s">
        <v>6658</v>
      </c>
      <c r="C258" s="772"/>
      <c r="D258" s="772"/>
      <c r="E258" s="773"/>
      <c r="F258" s="534"/>
      <c r="G258" s="534"/>
      <c r="H258" s="534"/>
      <c r="I258" s="534"/>
      <c r="J258" s="534"/>
      <c r="K258" s="534"/>
      <c r="L258" s="534"/>
      <c r="M258" s="534"/>
      <c r="N258" s="534"/>
      <c r="O258" s="534"/>
      <c r="P258" s="534"/>
      <c r="U258" s="534"/>
      <c r="V258" s="534"/>
      <c r="W258" s="534"/>
      <c r="X258" s="534"/>
      <c r="Y258" s="534"/>
      <c r="Z258" s="534"/>
      <c r="AA258" s="534"/>
      <c r="AB258" s="534"/>
      <c r="AC258" s="534"/>
      <c r="AD258" s="534"/>
      <c r="AE258" s="534"/>
      <c r="AF258" s="534"/>
      <c r="AG258" s="533"/>
      <c r="AH258" s="533"/>
      <c r="AI258" s="533"/>
      <c r="AJ258" s="146"/>
    </row>
    <row r="259" spans="1:36" ht="15.95" customHeight="1" outlineLevel="1" thickTop="1" x14ac:dyDescent="0.35">
      <c r="A259" s="534"/>
      <c r="B259" s="534"/>
      <c r="C259" s="534"/>
      <c r="D259" s="534"/>
      <c r="E259" s="534"/>
      <c r="F259" s="534"/>
      <c r="G259" s="534"/>
      <c r="H259" s="534"/>
      <c r="I259" s="534"/>
      <c r="J259" s="534"/>
      <c r="K259" s="534"/>
      <c r="L259" s="534"/>
      <c r="M259" s="534"/>
      <c r="N259" s="534"/>
      <c r="O259" s="534"/>
      <c r="P259" s="534"/>
      <c r="Q259" s="534"/>
      <c r="R259" s="534"/>
      <c r="S259" s="534"/>
      <c r="T259" s="534"/>
      <c r="U259" s="534"/>
      <c r="V259" s="534"/>
      <c r="W259" s="534"/>
      <c r="X259" s="534"/>
      <c r="Y259" s="534"/>
      <c r="Z259" s="534"/>
      <c r="AA259" s="534"/>
      <c r="AB259" s="534"/>
      <c r="AC259" s="534"/>
      <c r="AD259" s="534"/>
      <c r="AE259" s="534"/>
      <c r="AF259" s="534"/>
      <c r="AG259" s="533"/>
      <c r="AH259" s="533"/>
      <c r="AI259" s="533"/>
      <c r="AJ259" s="146"/>
    </row>
    <row r="260" spans="1:36" ht="15.95" customHeight="1" x14ac:dyDescent="0.35">
      <c r="A260" s="526"/>
      <c r="B260" s="749" t="s">
        <v>5999</v>
      </c>
      <c r="C260" s="749"/>
      <c r="D260" s="749"/>
      <c r="E260" s="749"/>
      <c r="F260" s="749"/>
      <c r="G260" s="749"/>
      <c r="H260" s="749"/>
      <c r="I260" s="749"/>
      <c r="J260" s="749"/>
      <c r="K260" s="749"/>
      <c r="L260" s="749"/>
      <c r="M260" s="749"/>
      <c r="N260" s="749"/>
      <c r="O260" s="749"/>
      <c r="P260" s="749"/>
      <c r="Q260" s="749"/>
      <c r="R260" s="749"/>
      <c r="S260" s="749"/>
      <c r="T260" s="749"/>
      <c r="U260" s="920"/>
      <c r="V260" s="920"/>
      <c r="W260" s="920"/>
      <c r="X260" s="920"/>
      <c r="Y260" s="920"/>
      <c r="Z260" s="920"/>
      <c r="AA260" s="920"/>
      <c r="AB260" s="920"/>
      <c r="AC260" s="920"/>
      <c r="AD260" s="920"/>
      <c r="AE260" s="920"/>
      <c r="AF260" s="534"/>
      <c r="AG260" s="533"/>
      <c r="AH260" s="533"/>
      <c r="AI260" s="533"/>
      <c r="AJ260" s="146"/>
    </row>
    <row r="261" spans="1:36" ht="15.95" customHeight="1" x14ac:dyDescent="0.35">
      <c r="A261" s="526"/>
      <c r="B261" s="749"/>
      <c r="C261" s="749"/>
      <c r="D261" s="749"/>
      <c r="E261" s="749"/>
      <c r="F261" s="749"/>
      <c r="G261" s="749"/>
      <c r="H261" s="749"/>
      <c r="I261" s="749"/>
      <c r="J261" s="749"/>
      <c r="K261" s="749"/>
      <c r="L261" s="749"/>
      <c r="M261" s="749"/>
      <c r="N261" s="749"/>
      <c r="O261" s="749"/>
      <c r="P261" s="749"/>
      <c r="Q261" s="749"/>
      <c r="R261" s="749"/>
      <c r="S261" s="749"/>
      <c r="T261" s="749"/>
      <c r="U261" s="920"/>
      <c r="V261" s="920"/>
      <c r="W261" s="920"/>
      <c r="X261" s="920"/>
      <c r="Y261" s="920"/>
      <c r="Z261" s="920"/>
      <c r="AA261" s="920"/>
      <c r="AB261" s="920"/>
      <c r="AC261" s="920"/>
      <c r="AD261" s="920"/>
      <c r="AE261" s="920"/>
      <c r="AF261" s="534"/>
      <c r="AG261" s="533"/>
      <c r="AH261" s="533"/>
      <c r="AI261" s="533"/>
      <c r="AJ261" s="146"/>
    </row>
    <row r="262" spans="1:36" ht="15.95" customHeight="1" thickBot="1" x14ac:dyDescent="0.4">
      <c r="A262" s="526"/>
      <c r="B262" s="534"/>
      <c r="C262" s="534"/>
      <c r="D262" s="534"/>
      <c r="E262" s="534"/>
      <c r="F262" s="534"/>
      <c r="G262" s="534"/>
      <c r="H262" s="534"/>
      <c r="I262" s="534"/>
      <c r="J262" s="534"/>
      <c r="K262" s="534"/>
      <c r="L262" s="534"/>
      <c r="M262" s="534"/>
      <c r="N262" s="534"/>
      <c r="O262" s="534"/>
      <c r="P262" s="534"/>
      <c r="Q262" s="534"/>
      <c r="R262" s="534"/>
      <c r="S262" s="534"/>
      <c r="T262" s="534"/>
      <c r="U262" s="534"/>
      <c r="V262" s="534"/>
      <c r="W262" s="534"/>
      <c r="X262" s="534"/>
      <c r="Y262" s="534"/>
      <c r="Z262" s="534"/>
      <c r="AA262" s="534"/>
      <c r="AB262" s="534"/>
      <c r="AC262" s="534"/>
      <c r="AD262" s="534"/>
      <c r="AE262" s="534"/>
      <c r="AF262" s="534"/>
      <c r="AG262" s="533"/>
      <c r="AH262" s="533"/>
      <c r="AI262" s="533"/>
      <c r="AJ262" s="146"/>
    </row>
    <row r="263" spans="1:36" ht="15.95" customHeight="1" thickTop="1" thickBot="1" x14ac:dyDescent="0.4">
      <c r="A263" s="526"/>
      <c r="B263" s="771" t="s">
        <v>6658</v>
      </c>
      <c r="C263" s="772"/>
      <c r="D263" s="772"/>
      <c r="E263" s="773"/>
      <c r="F263" s="534"/>
      <c r="G263" s="534"/>
      <c r="H263" s="534"/>
      <c r="I263" s="534"/>
      <c r="J263" s="534"/>
      <c r="K263" s="534"/>
      <c r="L263" s="534"/>
      <c r="M263" s="534"/>
      <c r="N263" s="534"/>
      <c r="O263" s="534"/>
      <c r="P263" s="534"/>
      <c r="Q263" s="534"/>
      <c r="R263" s="534"/>
      <c r="S263" s="534"/>
      <c r="T263" s="534"/>
      <c r="U263" s="534"/>
      <c r="V263" s="534"/>
      <c r="W263" s="534"/>
      <c r="X263" s="534"/>
      <c r="Y263" s="534"/>
      <c r="Z263" s="534"/>
      <c r="AA263" s="534"/>
      <c r="AB263" s="534"/>
      <c r="AC263" s="534"/>
      <c r="AD263" s="534"/>
      <c r="AE263" s="534"/>
      <c r="AF263" s="534"/>
      <c r="AG263" s="533"/>
      <c r="AH263" s="533"/>
      <c r="AI263" s="533"/>
      <c r="AJ263" s="146"/>
    </row>
    <row r="264" spans="1:36" ht="15.95" customHeight="1" outlineLevel="1" thickTop="1" x14ac:dyDescent="0.35">
      <c r="A264" s="526"/>
      <c r="B264" s="534"/>
      <c r="C264" s="534"/>
      <c r="D264" s="534"/>
      <c r="E264" s="534"/>
      <c r="F264" s="534"/>
      <c r="G264" s="534"/>
      <c r="H264" s="534"/>
      <c r="I264" s="534"/>
      <c r="J264" s="534"/>
      <c r="K264" s="534"/>
      <c r="L264" s="534"/>
      <c r="M264" s="534"/>
      <c r="N264" s="534"/>
      <c r="O264" s="534"/>
      <c r="P264" s="534"/>
      <c r="Q264" s="534"/>
      <c r="R264" s="534"/>
      <c r="S264" s="534"/>
      <c r="T264" s="534"/>
      <c r="U264" s="534"/>
      <c r="V264" s="534"/>
      <c r="W264" s="534"/>
      <c r="X264" s="534"/>
      <c r="Y264" s="534"/>
      <c r="Z264" s="534"/>
      <c r="AA264" s="534"/>
      <c r="AB264" s="534"/>
      <c r="AC264" s="534"/>
      <c r="AD264" s="534"/>
      <c r="AE264" s="534"/>
      <c r="AF264" s="534"/>
      <c r="AG264" s="533"/>
      <c r="AH264" s="533"/>
      <c r="AI264" s="533"/>
      <c r="AJ264" s="146"/>
    </row>
    <row r="265" spans="1:36" ht="15.95" customHeight="1" outlineLevel="1" x14ac:dyDescent="0.35">
      <c r="A265" s="526">
        <v>1</v>
      </c>
      <c r="B265" s="807" t="str">
        <f>IFERROR(INDEX('C01_BaseCalculation'!$L$160:$L$239,MATCH(ROW()-264,'C01_BaseCalculation'!$P$160:$P$239,0),1),"")</f>
        <v>Fighter</v>
      </c>
      <c r="C265" s="807"/>
      <c r="D265" s="865" t="str">
        <f>IF(OR(IFERROR(INDEX('C01_BaseCalculation'!$X$160:$X$239,ROW()-264,1),0)=0,IFERROR(INDEX('C01_BaseCalculation'!$X$160:$X$239,ROW()-264,1),0)=""),"",IFERROR(INDEX('C01_BaseCalculation'!$X$160:$X$239,ROW()-264,1),0))</f>
        <v>Fighting style</v>
      </c>
      <c r="E265" s="865"/>
      <c r="F265" s="865"/>
      <c r="G265" s="865"/>
      <c r="H265" s="865"/>
      <c r="I265" s="862" t="str">
        <f>IFERROR(INDEX('C01_BaseCalculation'!$L$160:$L$239,MATCH(ROW()-304,'C01_BaseCalculation'!$P$160:$P$239,0),1),"")</f>
        <v/>
      </c>
      <c r="J265" s="862"/>
      <c r="K265" s="862" t="str">
        <f>IF(OR(IFERROR(INDEX('C01_BaseCalculation'!$X$160:$X$239,ROW()-304,1),0)=0,IFERROR(INDEX('C01_BaseCalculation'!$X$160:$X$239,ROW()-304,1),0)=""),"",IFERROR(INDEX('C01_BaseCalculation'!$X$160:$X$239,ROW()-304,1),0))</f>
        <v/>
      </c>
      <c r="L265" s="862"/>
      <c r="M265" s="862"/>
      <c r="N265" s="862"/>
      <c r="O265" s="862"/>
      <c r="P265" s="534"/>
      <c r="Q265" s="534"/>
      <c r="R265" s="534"/>
      <c r="S265" s="809" t="s">
        <v>6474</v>
      </c>
      <c r="T265" s="809"/>
      <c r="U265" s="809"/>
      <c r="V265" s="809"/>
      <c r="W265" s="809"/>
      <c r="X265" s="809"/>
      <c r="Y265" s="809"/>
      <c r="Z265" s="808"/>
      <c r="AA265" s="808"/>
      <c r="AB265" s="808"/>
      <c r="AC265" s="808"/>
      <c r="AD265" s="808"/>
      <c r="AE265" s="534"/>
      <c r="AF265" s="534"/>
      <c r="AG265" s="533" t="str">
        <f t="shared" ref="AG265:AG305" si="2">IF(D265="","",D265&amp;" ("&amp;B265&amp;")"&amp;CHAR(10))</f>
        <v xml:space="preserve">Fighting style (Fighter)
</v>
      </c>
      <c r="AH265" s="533"/>
      <c r="AI265" s="533"/>
      <c r="AJ265" s="146"/>
    </row>
    <row r="266" spans="1:36" ht="15.95" customHeight="1" outlineLevel="1" x14ac:dyDescent="0.35">
      <c r="A266" s="526">
        <v>2</v>
      </c>
      <c r="B266" s="807" t="str">
        <f>IFERROR(INDEX('C01_BaseCalculation'!$L$160:$L$239,MATCH(ROW()-264,'C01_BaseCalculation'!$P$160:$P$239,0),1),"")</f>
        <v>Fighter</v>
      </c>
      <c r="C266" s="807"/>
      <c r="D266" s="865" t="str">
        <f>IF(OR(IFERROR(INDEX('C01_BaseCalculation'!$X$160:$X$239,ROW()-264,1),0)=0,IFERROR(INDEX('C01_BaseCalculation'!$X$160:$X$239,ROW()-264,1),0)=""),"",IFERROR(INDEX('C01_BaseCalculation'!$X$160:$X$239,ROW()-264,1),0))</f>
        <v>Second Wind</v>
      </c>
      <c r="E266" s="865"/>
      <c r="F266" s="865"/>
      <c r="G266" s="865"/>
      <c r="H266" s="865"/>
      <c r="I266" s="862" t="str">
        <f>IFERROR(INDEX('C01_BaseCalculation'!$L$160:$L$239,MATCH(ROW()-304,'C01_BaseCalculation'!$P$160:$P$239,0),1),"")</f>
        <v/>
      </c>
      <c r="J266" s="862"/>
      <c r="K266" s="862" t="str">
        <f>IF(OR(IFERROR(INDEX('C01_BaseCalculation'!$X$160:$X$239,ROW()-304,1),0)=0,IFERROR(INDEX('C01_BaseCalculation'!$X$160:$X$239,ROW()-304,1),0)=""),"",IFERROR(INDEX('C01_BaseCalculation'!$X$160:$X$239,ROW()-304,1),0))</f>
        <v/>
      </c>
      <c r="L266" s="862"/>
      <c r="M266" s="862"/>
      <c r="N266" s="862"/>
      <c r="O266" s="862"/>
      <c r="P266" s="534"/>
      <c r="Q266" s="534"/>
      <c r="R266" s="534"/>
      <c r="S266" s="809"/>
      <c r="T266" s="809"/>
      <c r="U266" s="809"/>
      <c r="V266" s="809"/>
      <c r="W266" s="809"/>
      <c r="X266" s="809"/>
      <c r="Y266" s="809"/>
      <c r="Z266" s="808"/>
      <c r="AA266" s="808"/>
      <c r="AB266" s="808"/>
      <c r="AC266" s="808"/>
      <c r="AD266" s="808"/>
      <c r="AE266" s="534"/>
      <c r="AF266" s="534"/>
      <c r="AG266" s="533" t="str">
        <f t="shared" si="2"/>
        <v xml:space="preserve">Second Wind (Fighter)
</v>
      </c>
      <c r="AH266" s="533"/>
      <c r="AI266" s="533"/>
      <c r="AJ266" s="146"/>
    </row>
    <row r="267" spans="1:36" ht="15.95" customHeight="1" outlineLevel="1" x14ac:dyDescent="0.35">
      <c r="A267" s="526">
        <v>3</v>
      </c>
      <c r="B267" s="807" t="str">
        <f>IFERROR(INDEX('C01_BaseCalculation'!$L$160:$L$239,MATCH(ROW()-264,'C01_BaseCalculation'!$P$160:$P$239,0),1),"")</f>
        <v>Fighter</v>
      </c>
      <c r="C267" s="807"/>
      <c r="D267" s="865" t="str">
        <f>IF(OR(IFERROR(INDEX('C01_BaseCalculation'!$X$160:$X$239,ROW()-264,1),0)=0,IFERROR(INDEX('C01_BaseCalculation'!$X$160:$X$239,ROW()-264,1),0)=""),"",IFERROR(INDEX('C01_BaseCalculation'!$X$160:$X$239,ROW()-264,1),0))</f>
        <v>Action Surge</v>
      </c>
      <c r="E267" s="865"/>
      <c r="F267" s="865"/>
      <c r="G267" s="865"/>
      <c r="H267" s="865"/>
      <c r="I267" s="862" t="str">
        <f>IFERROR(INDEX('C01_BaseCalculation'!$L$160:$L$239,MATCH(ROW()-304,'C01_BaseCalculation'!$P$160:$P$239,0),1),"")</f>
        <v/>
      </c>
      <c r="J267" s="862"/>
      <c r="K267" s="862" t="str">
        <f>IF(OR(IFERROR(INDEX('C01_BaseCalculation'!$X$160:$X$239,ROW()-304,1),0)=0,IFERROR(INDEX('C01_BaseCalculation'!$X$160:$X$239,ROW()-304,1),0)=""),"",IFERROR(INDEX('C01_BaseCalculation'!$X$160:$X$239,ROW()-304,1),0))</f>
        <v/>
      </c>
      <c r="L267" s="862"/>
      <c r="M267" s="862"/>
      <c r="N267" s="862"/>
      <c r="O267" s="862"/>
      <c r="P267" s="534"/>
      <c r="Q267" s="534"/>
      <c r="R267" s="534"/>
      <c r="S267" s="877"/>
      <c r="T267" s="877"/>
      <c r="U267" s="877"/>
      <c r="V267" s="877"/>
      <c r="W267" s="877"/>
      <c r="X267" s="877"/>
      <c r="Y267" s="877"/>
      <c r="Z267" s="877"/>
      <c r="AA267" s="877"/>
      <c r="AB267" s="877"/>
      <c r="AC267" s="877"/>
      <c r="AD267" s="877"/>
      <c r="AE267" s="877"/>
      <c r="AF267" s="534"/>
      <c r="AG267" s="533" t="str">
        <f t="shared" si="2"/>
        <v xml:space="preserve">Action Surge (Fighter)
</v>
      </c>
      <c r="AH267" s="533"/>
      <c r="AI267" s="533"/>
      <c r="AJ267" s="146"/>
    </row>
    <row r="268" spans="1:36" ht="15.95" customHeight="1" outlineLevel="1" x14ac:dyDescent="0.35">
      <c r="A268" s="526">
        <v>4</v>
      </c>
      <c r="B268" s="807" t="str">
        <f>IFERROR(INDEX('C01_BaseCalculation'!$L$160:$L$239,MATCH(ROW()-264,'C01_BaseCalculation'!$P$160:$P$239,0),1),"")</f>
        <v>Fighter</v>
      </c>
      <c r="C268" s="807"/>
      <c r="D268" s="865" t="str">
        <f>IF(OR(IFERROR(INDEX('C01_BaseCalculation'!$X$160:$X$239,ROW()-264,1),0)=0,IFERROR(INDEX('C01_BaseCalculation'!$X$160:$X$239,ROW()-264,1),0)=""),"",IFERROR(INDEX('C01_BaseCalculation'!$X$160:$X$239,ROW()-264,1),0))</f>
        <v>Martial Archetype</v>
      </c>
      <c r="E268" s="865"/>
      <c r="F268" s="865"/>
      <c r="G268" s="865"/>
      <c r="H268" s="865"/>
      <c r="I268" s="862" t="str">
        <f>IFERROR(INDEX('C01_BaseCalculation'!$L$160:$L$239,MATCH(ROW()-304,'C01_BaseCalculation'!$P$160:$P$239,0),1),"")</f>
        <v/>
      </c>
      <c r="J268" s="862"/>
      <c r="K268" s="862" t="str">
        <f>IF(OR(IFERROR(INDEX('C01_BaseCalculation'!$X$160:$X$239,ROW()-304,1),0)=0,IFERROR(INDEX('C01_BaseCalculation'!$X$160:$X$239,ROW()-304,1),0)=""),"",IFERROR(INDEX('C01_BaseCalculation'!$X$160:$X$239,ROW()-304,1),0))</f>
        <v/>
      </c>
      <c r="L268" s="862"/>
      <c r="M268" s="862"/>
      <c r="N268" s="862"/>
      <c r="O268" s="862"/>
      <c r="P268" s="534"/>
      <c r="Q268" s="534"/>
      <c r="R268" s="534"/>
      <c r="S268" s="877"/>
      <c r="T268" s="877"/>
      <c r="U268" s="877"/>
      <c r="V268" s="877"/>
      <c r="W268" s="877"/>
      <c r="X268" s="877"/>
      <c r="Y268" s="877"/>
      <c r="Z268" s="877"/>
      <c r="AA268" s="877"/>
      <c r="AB268" s="877"/>
      <c r="AC268" s="877"/>
      <c r="AD268" s="877"/>
      <c r="AE268" s="877"/>
      <c r="AF268" s="534"/>
      <c r="AG268" s="533" t="str">
        <f t="shared" si="2"/>
        <v xml:space="preserve">Martial Archetype (Fighter)
</v>
      </c>
      <c r="AH268" s="533"/>
      <c r="AI268" s="533"/>
      <c r="AJ268" s="146"/>
    </row>
    <row r="269" spans="1:36" ht="15.95" customHeight="1" outlineLevel="1" x14ac:dyDescent="0.35">
      <c r="A269" s="526">
        <v>5</v>
      </c>
      <c r="B269" s="807" t="str">
        <f>IFERROR(INDEX('C01_BaseCalculation'!$L$160:$L$239,MATCH(ROW()-264,'C01_BaseCalculation'!$P$160:$P$239,0),1),"")</f>
        <v>Fighter</v>
      </c>
      <c r="C269" s="807"/>
      <c r="D269" s="865" t="str">
        <f>IF(OR(IFERROR(INDEX('C01_BaseCalculation'!$X$160:$X$239,ROW()-264,1),0)=0,IFERROR(INDEX('C01_BaseCalculation'!$X$160:$X$239,ROW()-264,1),0)=""),"",IFERROR(INDEX('C01_BaseCalculation'!$X$160:$X$239,ROW()-264,1),0))</f>
        <v>Spellcasting</v>
      </c>
      <c r="E269" s="865"/>
      <c r="F269" s="865"/>
      <c r="G269" s="865"/>
      <c r="H269" s="865"/>
      <c r="I269" s="862" t="str">
        <f>IFERROR(INDEX('C01_BaseCalculation'!$L$160:$L$239,MATCH(ROW()-304,'C01_BaseCalculation'!$P$160:$P$239,0),1),"")</f>
        <v/>
      </c>
      <c r="J269" s="862"/>
      <c r="K269" s="862" t="str">
        <f>IF(OR(IFERROR(INDEX('C01_BaseCalculation'!$X$160:$X$239,ROW()-304,1),0)=0,IFERROR(INDEX('C01_BaseCalculation'!$X$160:$X$239,ROW()-304,1),0)=""),"",IFERROR(INDEX('C01_BaseCalculation'!$X$160:$X$239,ROW()-304,1),0))</f>
        <v/>
      </c>
      <c r="L269" s="862"/>
      <c r="M269" s="862"/>
      <c r="N269" s="862"/>
      <c r="O269" s="862"/>
      <c r="P269" s="534"/>
      <c r="Q269" s="534"/>
      <c r="R269" s="534"/>
      <c r="S269" s="877"/>
      <c r="T269" s="877"/>
      <c r="U269" s="877"/>
      <c r="V269" s="877"/>
      <c r="W269" s="877"/>
      <c r="X269" s="877"/>
      <c r="Y269" s="877"/>
      <c r="Z269" s="877"/>
      <c r="AA269" s="877"/>
      <c r="AB269" s="877"/>
      <c r="AC269" s="877"/>
      <c r="AD269" s="877"/>
      <c r="AE269" s="877"/>
      <c r="AF269" s="534"/>
      <c r="AG269" s="533" t="str">
        <f t="shared" si="2"/>
        <v xml:space="preserve">Spellcasting (Fighter)
</v>
      </c>
      <c r="AH269" s="533"/>
      <c r="AI269" s="533"/>
      <c r="AJ269" s="146"/>
    </row>
    <row r="270" spans="1:36" ht="15.95" customHeight="1" outlineLevel="1" x14ac:dyDescent="0.35">
      <c r="A270" s="526">
        <v>6</v>
      </c>
      <c r="B270" s="807" t="str">
        <f>IFERROR(INDEX('C01_BaseCalculation'!$L$160:$L$239,MATCH(ROW()-264,'C01_BaseCalculation'!$P$160:$P$239,0),1),"")</f>
        <v>Fighter</v>
      </c>
      <c r="C270" s="807"/>
      <c r="D270" s="865" t="str">
        <f>IF(OR(IFERROR(INDEX('C01_BaseCalculation'!$X$160:$X$239,ROW()-264,1),0)=0,IFERROR(INDEX('C01_BaseCalculation'!$X$160:$X$239,ROW()-264,1),0)=""),"",IFERROR(INDEX('C01_BaseCalculation'!$X$160:$X$239,ROW()-264,1),0))</f>
        <v>Weapon Bond</v>
      </c>
      <c r="E270" s="865"/>
      <c r="F270" s="865"/>
      <c r="G270" s="865"/>
      <c r="H270" s="865"/>
      <c r="I270" s="862" t="str">
        <f>IFERROR(INDEX('C01_BaseCalculation'!$L$160:$L$239,MATCH(ROW()-304,'C01_BaseCalculation'!$P$160:$P$239,0),1),"")</f>
        <v/>
      </c>
      <c r="J270" s="862"/>
      <c r="K270" s="862" t="str">
        <f>IF(OR(IFERROR(INDEX('C01_BaseCalculation'!$X$160:$X$239,ROW()-304,1),0)=0,IFERROR(INDEX('C01_BaseCalculation'!$X$160:$X$239,ROW()-304,1),0)=""),"",IFERROR(INDEX('C01_BaseCalculation'!$X$160:$X$239,ROW()-304,1),0))</f>
        <v/>
      </c>
      <c r="L270" s="862"/>
      <c r="M270" s="862"/>
      <c r="N270" s="862"/>
      <c r="O270" s="862"/>
      <c r="P270" s="534"/>
      <c r="Q270" s="534"/>
      <c r="R270" s="534"/>
      <c r="S270" s="877"/>
      <c r="T270" s="877"/>
      <c r="U270" s="877"/>
      <c r="V270" s="877"/>
      <c r="W270" s="877"/>
      <c r="X270" s="877"/>
      <c r="Y270" s="877"/>
      <c r="Z270" s="877"/>
      <c r="AA270" s="877"/>
      <c r="AB270" s="877"/>
      <c r="AC270" s="877"/>
      <c r="AD270" s="877"/>
      <c r="AE270" s="877"/>
      <c r="AF270" s="534"/>
      <c r="AG270" s="533" t="str">
        <f t="shared" si="2"/>
        <v xml:space="preserve">Weapon Bond (Fighter)
</v>
      </c>
      <c r="AH270" s="533"/>
      <c r="AI270" s="533"/>
      <c r="AJ270" s="146"/>
    </row>
    <row r="271" spans="1:36" ht="15.95" customHeight="1" outlineLevel="1" x14ac:dyDescent="0.35">
      <c r="A271" s="526">
        <v>7</v>
      </c>
      <c r="B271" s="807" t="str">
        <f>IFERROR(INDEX('C01_BaseCalculation'!$L$160:$L$239,MATCH(ROW()-264,'C01_BaseCalculation'!$P$160:$P$239,0),1),"")</f>
        <v>Fighter</v>
      </c>
      <c r="C271" s="807"/>
      <c r="D271" s="865" t="str">
        <f>IF(OR(IFERROR(INDEX('C01_BaseCalculation'!$X$160:$X$239,ROW()-264,1),0)=0,IFERROR(INDEX('C01_BaseCalculation'!$X$160:$X$239,ROW()-264,1),0)=""),"",IFERROR(INDEX('C01_BaseCalculation'!$X$160:$X$239,ROW()-264,1),0))</f>
        <v>Ability Score Improvement</v>
      </c>
      <c r="E271" s="865"/>
      <c r="F271" s="865"/>
      <c r="G271" s="865"/>
      <c r="H271" s="865"/>
      <c r="I271" s="862" t="str">
        <f>IFERROR(INDEX('C01_BaseCalculation'!$L$160:$L$239,MATCH(ROW()-304,'C01_BaseCalculation'!$P$160:$P$239,0),1),"")</f>
        <v/>
      </c>
      <c r="J271" s="862"/>
      <c r="K271" s="862" t="str">
        <f>IF(OR(IFERROR(INDEX('C01_BaseCalculation'!$X$160:$X$239,ROW()-304,1),0)=0,IFERROR(INDEX('C01_BaseCalculation'!$X$160:$X$239,ROW()-304,1),0)=""),"",IFERROR(INDEX('C01_BaseCalculation'!$X$160:$X$239,ROW()-304,1),0))</f>
        <v/>
      </c>
      <c r="L271" s="862"/>
      <c r="M271" s="862"/>
      <c r="N271" s="862"/>
      <c r="O271" s="862"/>
      <c r="P271" s="534"/>
      <c r="Q271" s="534"/>
      <c r="R271" s="534"/>
      <c r="S271" s="877"/>
      <c r="T271" s="877"/>
      <c r="U271" s="877"/>
      <c r="V271" s="877"/>
      <c r="W271" s="877"/>
      <c r="X271" s="877"/>
      <c r="Y271" s="877"/>
      <c r="Z271" s="877"/>
      <c r="AA271" s="877"/>
      <c r="AB271" s="877"/>
      <c r="AC271" s="877"/>
      <c r="AD271" s="877"/>
      <c r="AE271" s="877"/>
      <c r="AF271" s="534"/>
      <c r="AG271" s="533" t="str">
        <f t="shared" si="2"/>
        <v xml:space="preserve">Ability Score Improvement (Fighter)
</v>
      </c>
      <c r="AH271" s="533"/>
      <c r="AI271" s="533"/>
      <c r="AJ271" s="146"/>
    </row>
    <row r="272" spans="1:36" ht="15.95" customHeight="1" outlineLevel="1" x14ac:dyDescent="0.35">
      <c r="A272" s="526">
        <v>8</v>
      </c>
      <c r="B272" s="807" t="str">
        <f>IFERROR(INDEX('C01_BaseCalculation'!$L$160:$L$239,MATCH(ROW()-264,'C01_BaseCalculation'!$P$160:$P$239,0),1),"")</f>
        <v>Wizard</v>
      </c>
      <c r="C272" s="807"/>
      <c r="D272" s="865" t="str">
        <f>IF(OR(IFERROR(INDEX('C01_BaseCalculation'!$X$160:$X$239,ROW()-264,1),0)=0,IFERROR(INDEX('C01_BaseCalculation'!$X$160:$X$239,ROW()-264,1),0)=""),"",IFERROR(INDEX('C01_BaseCalculation'!$X$160:$X$239,ROW()-264,1),0))</f>
        <v>Spellcasting</v>
      </c>
      <c r="E272" s="865"/>
      <c r="F272" s="865"/>
      <c r="G272" s="865"/>
      <c r="H272" s="865"/>
      <c r="I272" s="862" t="str">
        <f>IFERROR(INDEX('C01_BaseCalculation'!$L$160:$L$239,MATCH(ROW()-304,'C01_BaseCalculation'!$P$160:$P$239,0),1),"")</f>
        <v/>
      </c>
      <c r="J272" s="862"/>
      <c r="K272" s="862" t="str">
        <f>IF(OR(IFERROR(INDEX('C01_BaseCalculation'!$X$160:$X$239,ROW()-304,1),0)=0,IFERROR(INDEX('C01_BaseCalculation'!$X$160:$X$239,ROW()-304,1),0)=""),"",IFERROR(INDEX('C01_BaseCalculation'!$X$160:$X$239,ROW()-304,1),0))</f>
        <v/>
      </c>
      <c r="L272" s="862"/>
      <c r="M272" s="862"/>
      <c r="N272" s="862"/>
      <c r="O272" s="862"/>
      <c r="P272" s="534"/>
      <c r="Q272" s="534"/>
      <c r="R272" s="534"/>
      <c r="S272" s="877"/>
      <c r="T272" s="877"/>
      <c r="U272" s="877"/>
      <c r="V272" s="877"/>
      <c r="W272" s="877"/>
      <c r="X272" s="877"/>
      <c r="Y272" s="877"/>
      <c r="Z272" s="877"/>
      <c r="AA272" s="877"/>
      <c r="AB272" s="877"/>
      <c r="AC272" s="877"/>
      <c r="AD272" s="877"/>
      <c r="AE272" s="877"/>
      <c r="AF272" s="534"/>
      <c r="AG272" s="533" t="str">
        <f t="shared" si="2"/>
        <v xml:space="preserve">Spellcasting (Wizard)
</v>
      </c>
      <c r="AH272" s="533"/>
      <c r="AI272" s="533"/>
      <c r="AJ272" s="146"/>
    </row>
    <row r="273" spans="1:36" ht="15.95" customHeight="1" outlineLevel="1" x14ac:dyDescent="0.35">
      <c r="A273" s="526">
        <v>9</v>
      </c>
      <c r="B273" s="807" t="str">
        <f>IFERROR(INDEX('C01_BaseCalculation'!$L$160:$L$239,MATCH(ROW()-264,'C01_BaseCalculation'!$P$160:$P$239,0),1),"")</f>
        <v>Wizard</v>
      </c>
      <c r="C273" s="807"/>
      <c r="D273" s="865" t="str">
        <f>IF(OR(IFERROR(INDEX('C01_BaseCalculation'!$X$160:$X$239,ROW()-264,1),0)=0,IFERROR(INDEX('C01_BaseCalculation'!$X$160:$X$239,ROW()-264,1),0)=""),"",IFERROR(INDEX('C01_BaseCalculation'!$X$160:$X$239,ROW()-264,1),0))</f>
        <v>Arcane Recovery</v>
      </c>
      <c r="E273" s="865"/>
      <c r="F273" s="865"/>
      <c r="G273" s="865"/>
      <c r="H273" s="865"/>
      <c r="I273" s="862" t="str">
        <f>IFERROR(INDEX('C01_BaseCalculation'!$L$160:$L$239,MATCH(ROW()-304,'C01_BaseCalculation'!$P$160:$P$239,0),1),"")</f>
        <v/>
      </c>
      <c r="J273" s="862"/>
      <c r="K273" s="862" t="str">
        <f>IF(OR(IFERROR(INDEX('C01_BaseCalculation'!$X$160:$X$239,ROW()-304,1),0)=0,IFERROR(INDEX('C01_BaseCalculation'!$X$160:$X$239,ROW()-304,1),0)=""),"",IFERROR(INDEX('C01_BaseCalculation'!$X$160:$X$239,ROW()-304,1),0))</f>
        <v/>
      </c>
      <c r="L273" s="862"/>
      <c r="M273" s="862"/>
      <c r="N273" s="862"/>
      <c r="O273" s="862"/>
      <c r="P273" s="534"/>
      <c r="Q273" s="534"/>
      <c r="R273" s="534"/>
      <c r="S273" s="877"/>
      <c r="T273" s="877"/>
      <c r="U273" s="877"/>
      <c r="V273" s="877"/>
      <c r="W273" s="877"/>
      <c r="X273" s="877"/>
      <c r="Y273" s="877"/>
      <c r="Z273" s="877"/>
      <c r="AA273" s="877"/>
      <c r="AB273" s="877"/>
      <c r="AC273" s="877"/>
      <c r="AD273" s="877"/>
      <c r="AE273" s="877"/>
      <c r="AF273" s="534"/>
      <c r="AG273" s="533" t="str">
        <f t="shared" si="2"/>
        <v xml:space="preserve">Arcane Recovery (Wizard)
</v>
      </c>
      <c r="AH273" s="533"/>
      <c r="AI273" s="533"/>
      <c r="AJ273" s="146"/>
    </row>
    <row r="274" spans="1:36" ht="15.95" customHeight="1" outlineLevel="1" x14ac:dyDescent="0.35">
      <c r="A274" s="526">
        <v>10</v>
      </c>
      <c r="B274" s="807" t="str">
        <f>IFERROR(INDEX('C01_BaseCalculation'!$L$160:$L$239,MATCH(ROW()-264,'C01_BaseCalculation'!$P$160:$P$239,0),1),"")</f>
        <v>Wizard</v>
      </c>
      <c r="C274" s="807"/>
      <c r="D274" s="865" t="str">
        <f>IF(OR(IFERROR(INDEX('C01_BaseCalculation'!$X$160:$X$239,ROW()-264,1),0)=0,IFERROR(INDEX('C01_BaseCalculation'!$X$160:$X$239,ROW()-264,1),0)=""),"",IFERROR(INDEX('C01_BaseCalculation'!$X$160:$X$239,ROW()-264,1),0))</f>
        <v>Arcane Tradition</v>
      </c>
      <c r="E274" s="865"/>
      <c r="F274" s="865"/>
      <c r="G274" s="865"/>
      <c r="H274" s="865"/>
      <c r="I274" s="862" t="str">
        <f>IFERROR(INDEX('C01_BaseCalculation'!$L$160:$L$239,MATCH(ROW()-304,'C01_BaseCalculation'!$P$160:$P$239,0),1),"")</f>
        <v/>
      </c>
      <c r="J274" s="862"/>
      <c r="K274" s="862" t="str">
        <f>IF(OR(IFERROR(INDEX('C01_BaseCalculation'!$X$160:$X$239,ROW()-304,1),0)=0,IFERROR(INDEX('C01_BaseCalculation'!$X$160:$X$239,ROW()-304,1),0)=""),"",IFERROR(INDEX('C01_BaseCalculation'!$X$160:$X$239,ROW()-304,1),0))</f>
        <v/>
      </c>
      <c r="L274" s="862"/>
      <c r="M274" s="862"/>
      <c r="N274" s="862"/>
      <c r="O274" s="862"/>
      <c r="P274" s="534"/>
      <c r="Q274" s="534"/>
      <c r="R274" s="534"/>
      <c r="S274" s="877"/>
      <c r="T274" s="877"/>
      <c r="U274" s="877"/>
      <c r="V274" s="877"/>
      <c r="W274" s="877"/>
      <c r="X274" s="877"/>
      <c r="Y274" s="877"/>
      <c r="Z274" s="877"/>
      <c r="AA274" s="877"/>
      <c r="AB274" s="877"/>
      <c r="AC274" s="877"/>
      <c r="AD274" s="877"/>
      <c r="AE274" s="877"/>
      <c r="AF274" s="534"/>
      <c r="AG274" s="533" t="str">
        <f t="shared" si="2"/>
        <v xml:space="preserve">Arcane Tradition (Wizard)
</v>
      </c>
      <c r="AH274" s="533"/>
      <c r="AI274" s="533"/>
      <c r="AJ274" s="146"/>
    </row>
    <row r="275" spans="1:36" ht="15.95" customHeight="1" outlineLevel="1" x14ac:dyDescent="0.35">
      <c r="A275" s="526">
        <v>11</v>
      </c>
      <c r="B275" s="807" t="str">
        <f>IFERROR(INDEX('C01_BaseCalculation'!$L$160:$L$239,MATCH(ROW()-264,'C01_BaseCalculation'!$P$160:$P$239,0),1),"")</f>
        <v>Wizard</v>
      </c>
      <c r="C275" s="807"/>
      <c r="D275" s="865" t="str">
        <f>IF(OR(IFERROR(INDEX('C01_BaseCalculation'!$X$160:$X$239,ROW()-264,1),0)=0,IFERROR(INDEX('C01_BaseCalculation'!$X$160:$X$239,ROW()-264,1),0)=""),"",IFERROR(INDEX('C01_BaseCalculation'!$X$160:$X$239,ROW()-264,1),0))</f>
        <v>Ability Score Improvement</v>
      </c>
      <c r="E275" s="865"/>
      <c r="F275" s="865"/>
      <c r="G275" s="865"/>
      <c r="H275" s="865"/>
      <c r="I275" s="862" t="str">
        <f>IFERROR(INDEX('C01_BaseCalculation'!$L$160:$L$239,MATCH(ROW()-304,'C01_BaseCalculation'!$P$160:$P$239,0),1),"")</f>
        <v/>
      </c>
      <c r="J275" s="862"/>
      <c r="K275" s="862" t="str">
        <f>IF(OR(IFERROR(INDEX('C01_BaseCalculation'!$X$160:$X$239,ROW()-304,1),0)=0,IFERROR(INDEX('C01_BaseCalculation'!$X$160:$X$239,ROW()-304,1),0)=""),"",IFERROR(INDEX('C01_BaseCalculation'!$X$160:$X$239,ROW()-304,1),0))</f>
        <v/>
      </c>
      <c r="L275" s="862"/>
      <c r="M275" s="862"/>
      <c r="N275" s="862"/>
      <c r="O275" s="862"/>
      <c r="P275" s="534"/>
      <c r="Q275" s="534"/>
      <c r="R275" s="534"/>
      <c r="S275" s="877"/>
      <c r="T275" s="877"/>
      <c r="U275" s="877"/>
      <c r="V275" s="877"/>
      <c r="W275" s="877"/>
      <c r="X275" s="877"/>
      <c r="Y275" s="877"/>
      <c r="Z275" s="877"/>
      <c r="AA275" s="877"/>
      <c r="AB275" s="877"/>
      <c r="AC275" s="877"/>
      <c r="AD275" s="877"/>
      <c r="AE275" s="877"/>
      <c r="AF275" s="534"/>
      <c r="AG275" s="533" t="str">
        <f t="shared" si="2"/>
        <v xml:space="preserve">Ability Score Improvement (Wizard)
</v>
      </c>
      <c r="AH275" s="533"/>
      <c r="AI275" s="533"/>
      <c r="AJ275" s="146"/>
    </row>
    <row r="276" spans="1:36" ht="15.95" customHeight="1" outlineLevel="1" x14ac:dyDescent="0.35">
      <c r="A276" s="526">
        <v>12</v>
      </c>
      <c r="B276" s="807" t="str">
        <f>IFERROR(INDEX('C01_BaseCalculation'!$L$160:$L$239,MATCH(ROW()-264,'C01_BaseCalculation'!$P$160:$P$239,0),1),"")</f>
        <v>Wizard</v>
      </c>
      <c r="C276" s="807"/>
      <c r="D276" s="865" t="str">
        <f>IF(OR(IFERROR(INDEX('C01_BaseCalculation'!$X$160:$X$239,ROW()-264,1),0)=0,IFERROR(INDEX('C01_BaseCalculation'!$X$160:$X$239,ROW()-264,1),0)=""),"",IFERROR(INDEX('C01_BaseCalculation'!$X$160:$X$239,ROW()-264,1),0))</f>
        <v>Benign Transposition</v>
      </c>
      <c r="E276" s="865"/>
      <c r="F276" s="865"/>
      <c r="G276" s="865"/>
      <c r="H276" s="865"/>
      <c r="I276" s="862" t="str">
        <f>IFERROR(INDEX('C01_BaseCalculation'!$L$160:$L$239,MATCH(ROW()-304,'C01_BaseCalculation'!$P$160:$P$239,0),1),"")</f>
        <v/>
      </c>
      <c r="J276" s="862"/>
      <c r="K276" s="862" t="str">
        <f>IF(OR(IFERROR(INDEX('C01_BaseCalculation'!$X$160:$X$239,ROW()-304,1),0)=0,IFERROR(INDEX('C01_BaseCalculation'!$X$160:$X$239,ROW()-304,1),0)=""),"",IFERROR(INDEX('C01_BaseCalculation'!$X$160:$X$239,ROW()-304,1),0))</f>
        <v/>
      </c>
      <c r="L276" s="862"/>
      <c r="M276" s="862"/>
      <c r="N276" s="862"/>
      <c r="O276" s="862"/>
      <c r="P276" s="534"/>
      <c r="Q276" s="534"/>
      <c r="R276" s="534"/>
      <c r="S276" s="877"/>
      <c r="T276" s="877"/>
      <c r="U276" s="877"/>
      <c r="V276" s="877"/>
      <c r="W276" s="877"/>
      <c r="X276" s="877"/>
      <c r="Y276" s="877"/>
      <c r="Z276" s="877"/>
      <c r="AA276" s="877"/>
      <c r="AB276" s="877"/>
      <c r="AC276" s="877"/>
      <c r="AD276" s="877"/>
      <c r="AE276" s="877"/>
      <c r="AF276" s="534"/>
      <c r="AG276" s="533" t="str">
        <f t="shared" si="2"/>
        <v xml:space="preserve">Benign Transposition (Wizard)
</v>
      </c>
      <c r="AH276" s="533"/>
      <c r="AI276" s="533"/>
      <c r="AJ276" s="146"/>
    </row>
    <row r="277" spans="1:36" ht="15.95" customHeight="1" outlineLevel="1" x14ac:dyDescent="0.35">
      <c r="A277" s="526">
        <v>13</v>
      </c>
      <c r="B277" s="807" t="str">
        <f>IFERROR(INDEX('C01_BaseCalculation'!$L$160:$L$239,MATCH(ROW()-264,'C01_BaseCalculation'!$P$160:$P$239,0),1),"")</f>
        <v>Wizard</v>
      </c>
      <c r="C277" s="807"/>
      <c r="D277" s="865" t="str">
        <f>IF(OR(IFERROR(INDEX('C01_BaseCalculation'!$X$160:$X$239,ROW()-264,1),0)=0,IFERROR(INDEX('C01_BaseCalculation'!$X$160:$X$239,ROW()-264,1),0)=""),"",IFERROR(INDEX('C01_BaseCalculation'!$X$160:$X$239,ROW()-264,1),0))</f>
        <v>Ability Score Improvement</v>
      </c>
      <c r="E277" s="865"/>
      <c r="F277" s="865"/>
      <c r="G277" s="865"/>
      <c r="H277" s="865"/>
      <c r="I277" s="862" t="str">
        <f>IFERROR(INDEX('C01_BaseCalculation'!$L$160:$L$239,MATCH(ROW()-304,'C01_BaseCalculation'!$P$160:$P$239,0),1),"")</f>
        <v/>
      </c>
      <c r="J277" s="862"/>
      <c r="K277" s="862" t="str">
        <f>IF(OR(IFERROR(INDEX('C01_BaseCalculation'!$X$160:$X$239,ROW()-304,1),0)=0,IFERROR(INDEX('C01_BaseCalculation'!$X$160:$X$239,ROW()-304,1),0)=""),"",IFERROR(INDEX('C01_BaseCalculation'!$X$160:$X$239,ROW()-304,1),0))</f>
        <v/>
      </c>
      <c r="L277" s="862"/>
      <c r="M277" s="862"/>
      <c r="N277" s="862"/>
      <c r="O277" s="862"/>
      <c r="P277" s="534"/>
      <c r="Q277" s="534"/>
      <c r="R277" s="534"/>
      <c r="S277" s="877"/>
      <c r="T277" s="877"/>
      <c r="U277" s="877"/>
      <c r="V277" s="877"/>
      <c r="W277" s="877"/>
      <c r="X277" s="877"/>
      <c r="Y277" s="877"/>
      <c r="Z277" s="877"/>
      <c r="AA277" s="877"/>
      <c r="AB277" s="877"/>
      <c r="AC277" s="877"/>
      <c r="AD277" s="877"/>
      <c r="AE277" s="877"/>
      <c r="AF277" s="534"/>
      <c r="AG277" s="533" t="str">
        <f t="shared" si="2"/>
        <v xml:space="preserve">Ability Score Improvement (Wizard)
</v>
      </c>
      <c r="AH277" s="533"/>
      <c r="AI277" s="533"/>
      <c r="AJ277" s="146"/>
    </row>
    <row r="278" spans="1:36" ht="15.95" customHeight="1" outlineLevel="1" x14ac:dyDescent="0.35">
      <c r="A278" s="526">
        <v>14</v>
      </c>
      <c r="B278" s="807" t="str">
        <f>IFERROR(INDEX('C01_BaseCalculation'!$L$160:$L$239,MATCH(ROW()-264,'C01_BaseCalculation'!$P$160:$P$239,0),1),"")</f>
        <v>Fighter</v>
      </c>
      <c r="C278" s="807"/>
      <c r="D278" s="865" t="str">
        <f>IF(OR(IFERROR(INDEX('C01_BaseCalculation'!$X$160:$X$239,ROW()-264,1),0)=0,IFERROR(INDEX('C01_BaseCalculation'!$X$160:$X$239,ROW()-264,1),0)=""),"",IFERROR(INDEX('C01_BaseCalculation'!$X$160:$X$239,ROW()-264,1),0))</f>
        <v>Extra Attack</v>
      </c>
      <c r="E278" s="865"/>
      <c r="F278" s="865"/>
      <c r="G278" s="865"/>
      <c r="H278" s="865"/>
      <c r="I278" s="862" t="str">
        <f>IFERROR(INDEX('C01_BaseCalculation'!$L$160:$L$239,MATCH(ROW()-304,'C01_BaseCalculation'!$P$160:$P$239,0),1),"")</f>
        <v/>
      </c>
      <c r="J278" s="862"/>
      <c r="K278" s="862" t="str">
        <f>IF(OR(IFERROR(INDEX('C01_BaseCalculation'!$X$160:$X$239,ROW()-304,1),0)=0,IFERROR(INDEX('C01_BaseCalculation'!$X$160:$X$239,ROW()-304,1),0)=""),"",IFERROR(INDEX('C01_BaseCalculation'!$X$160:$X$239,ROW()-304,1),0))</f>
        <v/>
      </c>
      <c r="L278" s="862"/>
      <c r="M278" s="862"/>
      <c r="N278" s="862"/>
      <c r="O278" s="862"/>
      <c r="P278" s="534"/>
      <c r="Q278" s="534"/>
      <c r="R278" s="534"/>
      <c r="S278" s="877"/>
      <c r="T278" s="877"/>
      <c r="U278" s="877"/>
      <c r="V278" s="877"/>
      <c r="W278" s="877"/>
      <c r="X278" s="877"/>
      <c r="Y278" s="877"/>
      <c r="Z278" s="877"/>
      <c r="AA278" s="877"/>
      <c r="AB278" s="877"/>
      <c r="AC278" s="877"/>
      <c r="AD278" s="877"/>
      <c r="AE278" s="877"/>
      <c r="AF278" s="534"/>
      <c r="AG278" s="533" t="str">
        <f t="shared" si="2"/>
        <v xml:space="preserve">Extra Attack (Fighter)
</v>
      </c>
      <c r="AH278" s="533"/>
      <c r="AI278" s="533"/>
      <c r="AJ278" s="146"/>
    </row>
    <row r="279" spans="1:36" ht="15.95" customHeight="1" outlineLevel="1" x14ac:dyDescent="0.35">
      <c r="A279" s="526">
        <v>15</v>
      </c>
      <c r="B279" s="807" t="str">
        <f>IFERROR(INDEX('C01_BaseCalculation'!$L$160:$L$239,MATCH(ROW()-264,'C01_BaseCalculation'!$P$160:$P$239,0),1),"")</f>
        <v>Fighter</v>
      </c>
      <c r="C279" s="807"/>
      <c r="D279" s="865" t="str">
        <f>IF(OR(IFERROR(INDEX('C01_BaseCalculation'!$X$160:$X$239,ROW()-264,1),0)=0,IFERROR(INDEX('C01_BaseCalculation'!$X$160:$X$239,ROW()-264,1),0)=""),"",IFERROR(INDEX('C01_BaseCalculation'!$X$160:$X$239,ROW()-264,1),0))</f>
        <v>Ability Score Improvement</v>
      </c>
      <c r="E279" s="865"/>
      <c r="F279" s="865"/>
      <c r="G279" s="865"/>
      <c r="H279" s="865"/>
      <c r="I279" s="862" t="str">
        <f>IFERROR(INDEX('C01_BaseCalculation'!$L$160:$L$239,MATCH(ROW()-304,'C01_BaseCalculation'!$P$160:$P$239,0),1),"")</f>
        <v/>
      </c>
      <c r="J279" s="862"/>
      <c r="K279" s="862" t="str">
        <f>IF(OR(IFERROR(INDEX('C01_BaseCalculation'!$X$160:$X$239,ROW()-304,1),0)=0,IFERROR(INDEX('C01_BaseCalculation'!$X$160:$X$239,ROW()-304,1),0)=""),"",IFERROR(INDEX('C01_BaseCalculation'!$X$160:$X$239,ROW()-304,1),0))</f>
        <v/>
      </c>
      <c r="L279" s="862"/>
      <c r="M279" s="862"/>
      <c r="N279" s="862"/>
      <c r="O279" s="862"/>
      <c r="P279" s="534"/>
      <c r="Q279" s="534"/>
      <c r="R279" s="534"/>
      <c r="S279" s="877"/>
      <c r="T279" s="877"/>
      <c r="U279" s="877"/>
      <c r="V279" s="877"/>
      <c r="W279" s="877"/>
      <c r="X279" s="877"/>
      <c r="Y279" s="877"/>
      <c r="Z279" s="877"/>
      <c r="AA279" s="877"/>
      <c r="AB279" s="877"/>
      <c r="AC279" s="877"/>
      <c r="AD279" s="877"/>
      <c r="AE279" s="877"/>
      <c r="AF279" s="534"/>
      <c r="AG279" s="533" t="str">
        <f t="shared" si="2"/>
        <v xml:space="preserve">Ability Score Improvement (Fighter)
</v>
      </c>
      <c r="AH279" s="533"/>
      <c r="AI279" s="533"/>
      <c r="AJ279" s="146"/>
    </row>
    <row r="280" spans="1:36" ht="15.95" customHeight="1" outlineLevel="1" x14ac:dyDescent="0.35">
      <c r="A280" s="526">
        <v>16</v>
      </c>
      <c r="B280" s="807" t="str">
        <f>IFERROR(INDEX('C01_BaseCalculation'!$L$160:$L$239,MATCH(ROW()-264,'C01_BaseCalculation'!$P$160:$P$239,0),1),"")</f>
        <v>Fighter</v>
      </c>
      <c r="C280" s="807"/>
      <c r="D280" s="865" t="str">
        <f>IF(OR(IFERROR(INDEX('C01_BaseCalculation'!$X$160:$X$239,ROW()-264,1),0)=0,IFERROR(INDEX('C01_BaseCalculation'!$X$160:$X$239,ROW()-264,1),0)=""),"",IFERROR(INDEX('C01_BaseCalculation'!$X$160:$X$239,ROW()-264,1),0))</f>
        <v>War Magic</v>
      </c>
      <c r="E280" s="865"/>
      <c r="F280" s="865"/>
      <c r="G280" s="865"/>
      <c r="H280" s="865"/>
      <c r="I280" s="862" t="str">
        <f>IFERROR(INDEX('C01_BaseCalculation'!$L$160:$L$239,MATCH(ROW()-304,'C01_BaseCalculation'!$P$160:$P$239,0),1),"")</f>
        <v/>
      </c>
      <c r="J280" s="862"/>
      <c r="K280" s="862" t="str">
        <f>IF(OR(IFERROR(INDEX('C01_BaseCalculation'!$X$160:$X$239,ROW()-304,1),0)=0,IFERROR(INDEX('C01_BaseCalculation'!$X$160:$X$239,ROW()-304,1),0)=""),"",IFERROR(INDEX('C01_BaseCalculation'!$X$160:$X$239,ROW()-304,1),0))</f>
        <v/>
      </c>
      <c r="L280" s="862"/>
      <c r="M280" s="862"/>
      <c r="N280" s="862"/>
      <c r="O280" s="862"/>
      <c r="P280" s="534"/>
      <c r="Q280" s="534"/>
      <c r="R280" s="534"/>
      <c r="S280" s="877"/>
      <c r="T280" s="877"/>
      <c r="U280" s="877"/>
      <c r="V280" s="877"/>
      <c r="W280" s="877"/>
      <c r="X280" s="877"/>
      <c r="Y280" s="877"/>
      <c r="Z280" s="877"/>
      <c r="AA280" s="877"/>
      <c r="AB280" s="877"/>
      <c r="AC280" s="877"/>
      <c r="AD280" s="877"/>
      <c r="AE280" s="877"/>
      <c r="AF280" s="534"/>
      <c r="AG280" s="533" t="str">
        <f t="shared" si="2"/>
        <v xml:space="preserve">War Magic (Fighter)
</v>
      </c>
      <c r="AH280" s="533"/>
      <c r="AI280" s="533"/>
      <c r="AJ280" s="146"/>
    </row>
    <row r="281" spans="1:36" ht="15.95" customHeight="1" outlineLevel="1" x14ac:dyDescent="0.35">
      <c r="A281" s="526">
        <v>17</v>
      </c>
      <c r="B281" s="807" t="str">
        <f>IFERROR(INDEX('C01_BaseCalculation'!$L$160:$L$239,MATCH(ROW()-264,'C01_BaseCalculation'!$P$160:$P$239,0),1),"")</f>
        <v>Fighter</v>
      </c>
      <c r="C281" s="807"/>
      <c r="D281" s="865" t="str">
        <f>IF(OR(IFERROR(INDEX('C01_BaseCalculation'!$X$160:$X$239,ROW()-264,1),0)=0,IFERROR(INDEX('C01_BaseCalculation'!$X$160:$X$239,ROW()-264,1),0)=""),"",IFERROR(INDEX('C01_BaseCalculation'!$X$160:$X$239,ROW()-264,1),0))</f>
        <v>Ability Score Improvement</v>
      </c>
      <c r="E281" s="865"/>
      <c r="F281" s="865"/>
      <c r="G281" s="865"/>
      <c r="H281" s="865"/>
      <c r="I281" s="862" t="str">
        <f>IFERROR(INDEX('C01_BaseCalculation'!$L$160:$L$239,MATCH(ROW()-304,'C01_BaseCalculation'!$P$160:$P$239,0),1),"")</f>
        <v/>
      </c>
      <c r="J281" s="862"/>
      <c r="K281" s="862" t="str">
        <f>IF(OR(IFERROR(INDEX('C01_BaseCalculation'!$X$160:$X$239,ROW()-304,1),0)=0,IFERROR(INDEX('C01_BaseCalculation'!$X$160:$X$239,ROW()-304,1),0)=""),"",IFERROR(INDEX('C01_BaseCalculation'!$X$160:$X$239,ROW()-304,1),0))</f>
        <v/>
      </c>
      <c r="L281" s="862"/>
      <c r="M281" s="862"/>
      <c r="N281" s="862"/>
      <c r="O281" s="862"/>
      <c r="P281" s="534"/>
      <c r="Q281" s="534"/>
      <c r="R281" s="534"/>
      <c r="S281" s="877"/>
      <c r="T281" s="877"/>
      <c r="U281" s="877"/>
      <c r="V281" s="877"/>
      <c r="W281" s="877"/>
      <c r="X281" s="877"/>
      <c r="Y281" s="877"/>
      <c r="Z281" s="877"/>
      <c r="AA281" s="877"/>
      <c r="AB281" s="877"/>
      <c r="AC281" s="877"/>
      <c r="AD281" s="877"/>
      <c r="AE281" s="877"/>
      <c r="AF281" s="534"/>
      <c r="AG281" s="533" t="str">
        <f t="shared" si="2"/>
        <v xml:space="preserve">Ability Score Improvement (Fighter)
</v>
      </c>
      <c r="AH281" s="533"/>
      <c r="AI281" s="533"/>
      <c r="AJ281" s="146"/>
    </row>
    <row r="282" spans="1:36" ht="15.95" customHeight="1" outlineLevel="1" x14ac:dyDescent="0.35">
      <c r="A282" s="526">
        <v>18</v>
      </c>
      <c r="B282" s="807" t="str">
        <f>IFERROR(INDEX('C01_BaseCalculation'!$L$160:$L$239,MATCH(ROW()-264,'C01_BaseCalculation'!$P$160:$P$239,0),1),"")</f>
        <v>Fighter</v>
      </c>
      <c r="C282" s="807"/>
      <c r="D282" s="865" t="str">
        <f>IF(OR(IFERROR(INDEX('C01_BaseCalculation'!$X$160:$X$239,ROW()-264,1),0)=0,IFERROR(INDEX('C01_BaseCalculation'!$X$160:$X$239,ROW()-264,1),0)=""),"",IFERROR(INDEX('C01_BaseCalculation'!$X$160:$X$239,ROW()-264,1),0))</f>
        <v>Indomitable</v>
      </c>
      <c r="E282" s="865"/>
      <c r="F282" s="865"/>
      <c r="G282" s="865"/>
      <c r="H282" s="865"/>
      <c r="I282" s="862" t="str">
        <f>IFERROR(INDEX('C01_BaseCalculation'!$L$160:$L$239,MATCH(ROW()-304,'C01_BaseCalculation'!$P$160:$P$239,0),1),"")</f>
        <v/>
      </c>
      <c r="J282" s="862"/>
      <c r="K282" s="862" t="str">
        <f>IF(OR(IFERROR(INDEX('C01_BaseCalculation'!$X$160:$X$239,ROW()-304,1),0)=0,IFERROR(INDEX('C01_BaseCalculation'!$X$160:$X$239,ROW()-304,1),0)=""),"",IFERROR(INDEX('C01_BaseCalculation'!$X$160:$X$239,ROW()-304,1),0))</f>
        <v/>
      </c>
      <c r="L282" s="862"/>
      <c r="M282" s="862"/>
      <c r="N282" s="862"/>
      <c r="O282" s="862"/>
      <c r="P282" s="534"/>
      <c r="Q282" s="534"/>
      <c r="R282" s="534"/>
      <c r="S282" s="877"/>
      <c r="T282" s="877"/>
      <c r="U282" s="877"/>
      <c r="V282" s="877"/>
      <c r="W282" s="877"/>
      <c r="X282" s="877"/>
      <c r="Y282" s="877"/>
      <c r="Z282" s="877"/>
      <c r="AA282" s="877"/>
      <c r="AB282" s="877"/>
      <c r="AC282" s="877"/>
      <c r="AD282" s="877"/>
      <c r="AE282" s="877"/>
      <c r="AF282" s="534"/>
      <c r="AG282" s="533" t="str">
        <f t="shared" si="2"/>
        <v xml:space="preserve">Indomitable (Fighter)
</v>
      </c>
      <c r="AH282" s="533"/>
      <c r="AI282" s="533"/>
      <c r="AJ282" s="146"/>
    </row>
    <row r="283" spans="1:36" ht="15.95" customHeight="1" outlineLevel="1" x14ac:dyDescent="0.35">
      <c r="A283" s="526">
        <v>19</v>
      </c>
      <c r="B283" s="807" t="str">
        <f>IFERROR(INDEX('C01_BaseCalculation'!$L$160:$L$239,MATCH(ROW()-264,'C01_BaseCalculation'!$P$160:$P$239,0),1),"")</f>
        <v>Fighter</v>
      </c>
      <c r="C283" s="807"/>
      <c r="D283" s="865" t="str">
        <f>IF(OR(IFERROR(INDEX('C01_BaseCalculation'!$X$160:$X$239,ROW()-264,1),0)=0,IFERROR(INDEX('C01_BaseCalculation'!$X$160:$X$239,ROW()-264,1),0)=""),"",IFERROR(INDEX('C01_BaseCalculation'!$X$160:$X$239,ROW()-264,1),0))</f>
        <v>Eldritch Strike</v>
      </c>
      <c r="E283" s="865"/>
      <c r="F283" s="865"/>
      <c r="G283" s="865"/>
      <c r="H283" s="865"/>
      <c r="I283" s="862" t="str">
        <f>IFERROR(INDEX('C01_BaseCalculation'!$L$160:$L$239,MATCH(ROW()-304,'C01_BaseCalculation'!$P$160:$P$239,0),1),"")</f>
        <v/>
      </c>
      <c r="J283" s="862"/>
      <c r="K283" s="862" t="str">
        <f>IF(OR(IFERROR(INDEX('C01_BaseCalculation'!$X$160:$X$239,ROW()-304,1),0)=0,IFERROR(INDEX('C01_BaseCalculation'!$X$160:$X$239,ROW()-304,1),0)=""),"",IFERROR(INDEX('C01_BaseCalculation'!$X$160:$X$239,ROW()-304,1),0))</f>
        <v/>
      </c>
      <c r="L283" s="862"/>
      <c r="M283" s="862"/>
      <c r="N283" s="862"/>
      <c r="O283" s="862"/>
      <c r="P283" s="534"/>
      <c r="Q283" s="534"/>
      <c r="R283" s="534"/>
      <c r="S283" s="534"/>
      <c r="T283" s="534"/>
      <c r="U283" s="534"/>
      <c r="V283" s="534"/>
      <c r="W283" s="534"/>
      <c r="X283" s="534"/>
      <c r="Y283" s="534"/>
      <c r="Z283" s="534"/>
      <c r="AA283" s="534"/>
      <c r="AB283" s="534"/>
      <c r="AC283" s="534"/>
      <c r="AD283" s="534"/>
      <c r="AE283" s="534"/>
      <c r="AF283" s="534"/>
      <c r="AG283" s="533" t="str">
        <f t="shared" si="2"/>
        <v xml:space="preserve">Eldritch Strike (Fighter)
</v>
      </c>
      <c r="AH283" s="533"/>
      <c r="AI283" s="533"/>
      <c r="AJ283" s="146"/>
    </row>
    <row r="284" spans="1:36" ht="15.95" customHeight="1" outlineLevel="1" x14ac:dyDescent="0.35">
      <c r="A284" s="526">
        <v>20</v>
      </c>
      <c r="B284" s="807" t="str">
        <f>IFERROR(INDEX('C01_BaseCalculation'!$L$160:$L$239,MATCH(ROW()-264,'C01_BaseCalculation'!$P$160:$P$239,0),1),"")</f>
        <v>Fighter</v>
      </c>
      <c r="C284" s="807"/>
      <c r="D284" s="865" t="str">
        <f>IF(OR(IFERROR(INDEX('C01_BaseCalculation'!$X$160:$X$239,ROW()-264,1),0)=0,IFERROR(INDEX('C01_BaseCalculation'!$X$160:$X$239,ROW()-264,1),0)=""),"",IFERROR(INDEX('C01_BaseCalculation'!$X$160:$X$239,ROW()-264,1),0))</f>
        <v>Extra Attack (2)</v>
      </c>
      <c r="E284" s="865"/>
      <c r="F284" s="865"/>
      <c r="G284" s="865"/>
      <c r="H284" s="865"/>
      <c r="I284" s="862" t="str">
        <f>IFERROR(INDEX('C01_BaseCalculation'!$L$160:$L$239,MATCH(ROW()-304,'C01_BaseCalculation'!$P$160:$P$239,0),1),"")</f>
        <v/>
      </c>
      <c r="J284" s="862"/>
      <c r="K284" s="862" t="str">
        <f>IF(OR(IFERROR(INDEX('C01_BaseCalculation'!$X$160:$X$239,ROW()-304,1),0)=0,IFERROR(INDEX('C01_BaseCalculation'!$X$160:$X$239,ROW()-304,1),0)=""),"",IFERROR(INDEX('C01_BaseCalculation'!$X$160:$X$239,ROW()-304,1),0))</f>
        <v/>
      </c>
      <c r="L284" s="862"/>
      <c r="M284" s="862"/>
      <c r="N284" s="862"/>
      <c r="O284" s="862"/>
      <c r="P284" s="534"/>
      <c r="Q284" s="534"/>
      <c r="R284" s="534"/>
      <c r="S284" s="534"/>
      <c r="T284" s="534"/>
      <c r="U284" s="534"/>
      <c r="V284" s="534"/>
      <c r="W284" s="534"/>
      <c r="X284" s="534"/>
      <c r="Y284" s="534"/>
      <c r="Z284" s="534"/>
      <c r="AA284" s="534"/>
      <c r="AB284" s="534"/>
      <c r="AC284" s="534"/>
      <c r="AD284" s="534"/>
      <c r="AE284" s="534"/>
      <c r="AF284" s="534"/>
      <c r="AG284" s="533" t="str">
        <f t="shared" si="2"/>
        <v xml:space="preserve">Extra Attack (2) (Fighter)
</v>
      </c>
      <c r="AH284" s="533"/>
      <c r="AI284" s="533"/>
      <c r="AJ284" s="146"/>
    </row>
    <row r="285" spans="1:36" ht="15.95" customHeight="1" outlineLevel="1" x14ac:dyDescent="0.35">
      <c r="A285" s="526">
        <v>21</v>
      </c>
      <c r="B285" s="807" t="str">
        <f>IFERROR(INDEX('C01_BaseCalculation'!$L$160:$L$239,MATCH(ROW()-264,'C01_BaseCalculation'!$P$160:$P$239,0),1),"")</f>
        <v>Fighter</v>
      </c>
      <c r="C285" s="807"/>
      <c r="D285" s="865" t="str">
        <f>IF(OR(IFERROR(INDEX('C01_BaseCalculation'!$X$160:$X$239,ROW()-264,1),0)=0,IFERROR(INDEX('C01_BaseCalculation'!$X$160:$X$239,ROW()-264,1),0)=""),"",IFERROR(INDEX('C01_BaseCalculation'!$X$160:$X$239,ROW()-264,1),0))</f>
        <v>Ability Score Improvement</v>
      </c>
      <c r="E285" s="865"/>
      <c r="F285" s="865"/>
      <c r="G285" s="865"/>
      <c r="H285" s="865"/>
      <c r="I285" s="862" t="str">
        <f>IFERROR(INDEX('C01_BaseCalculation'!$L$160:$L$239,MATCH(ROW()-304,'C01_BaseCalculation'!$P$160:$P$239,0),1),"")</f>
        <v/>
      </c>
      <c r="J285" s="862"/>
      <c r="K285" s="862" t="str">
        <f>IF(OR(IFERROR(INDEX('C01_BaseCalculation'!$X$160:$X$239,ROW()-304,1),0)=0,IFERROR(INDEX('C01_BaseCalculation'!$X$160:$X$239,ROW()-304,1),0)=""),"",IFERROR(INDEX('C01_BaseCalculation'!$X$160:$X$239,ROW()-304,1),0))</f>
        <v/>
      </c>
      <c r="L285" s="862"/>
      <c r="M285" s="862"/>
      <c r="N285" s="862"/>
      <c r="O285" s="862"/>
      <c r="P285" s="534"/>
      <c r="Q285" s="534"/>
      <c r="R285" s="534"/>
      <c r="S285" s="534"/>
      <c r="T285" s="534"/>
      <c r="U285" s="534"/>
      <c r="V285" s="534"/>
      <c r="W285" s="534"/>
      <c r="X285" s="534"/>
      <c r="Y285" s="534"/>
      <c r="Z285" s="534"/>
      <c r="AA285" s="534"/>
      <c r="AB285" s="534"/>
      <c r="AC285" s="534"/>
      <c r="AD285" s="534"/>
      <c r="AE285" s="534"/>
      <c r="AF285" s="534"/>
      <c r="AG285" s="533" t="str">
        <f t="shared" si="2"/>
        <v xml:space="preserve">Ability Score Improvement (Fighter)
</v>
      </c>
      <c r="AH285" s="533"/>
      <c r="AI285" s="533"/>
      <c r="AJ285" s="146"/>
    </row>
    <row r="286" spans="1:36" ht="15.95" customHeight="1" outlineLevel="1" x14ac:dyDescent="0.35">
      <c r="A286" s="526">
        <v>22</v>
      </c>
      <c r="B286" s="807" t="str">
        <f>IFERROR(INDEX('C01_BaseCalculation'!$L$160:$L$239,MATCH(ROW()-264,'C01_BaseCalculation'!$P$160:$P$239,0),1),"")</f>
        <v/>
      </c>
      <c r="C286" s="807"/>
      <c r="D286" s="865" t="str">
        <f>IF(OR(IFERROR(INDEX('C01_BaseCalculation'!$X$160:$X$239,ROW()-264,1),0)=0,IFERROR(INDEX('C01_BaseCalculation'!$X$160:$X$239,ROW()-264,1),0)=""),"",IFERROR(INDEX('C01_BaseCalculation'!$X$160:$X$239,ROW()-264,1),0))</f>
        <v/>
      </c>
      <c r="E286" s="865"/>
      <c r="F286" s="865"/>
      <c r="G286" s="865"/>
      <c r="H286" s="865"/>
      <c r="I286" s="862" t="str">
        <f>IFERROR(INDEX('C01_BaseCalculation'!$L$160:$L$239,MATCH(ROW()-304,'C01_BaseCalculation'!$P$160:$P$239,0),1),"")</f>
        <v/>
      </c>
      <c r="J286" s="862"/>
      <c r="K286" s="862" t="str">
        <f>IF(OR(IFERROR(INDEX('C01_BaseCalculation'!$X$160:$X$239,ROW()-304,1),0)=0,IFERROR(INDEX('C01_BaseCalculation'!$X$160:$X$239,ROW()-304,1),0)=""),"",IFERROR(INDEX('C01_BaseCalculation'!$X$160:$X$239,ROW()-304,1),0))</f>
        <v/>
      </c>
      <c r="L286" s="862"/>
      <c r="M286" s="862"/>
      <c r="N286" s="862"/>
      <c r="O286" s="862"/>
      <c r="P286" s="534"/>
      <c r="Q286" s="534"/>
      <c r="R286" s="534"/>
      <c r="S286" s="534"/>
      <c r="T286" s="534"/>
      <c r="U286" s="534"/>
      <c r="V286" s="534"/>
      <c r="W286" s="534"/>
      <c r="X286" s="534"/>
      <c r="Y286" s="534"/>
      <c r="Z286" s="534"/>
      <c r="AA286" s="534"/>
      <c r="AB286" s="534"/>
      <c r="AC286" s="534"/>
      <c r="AD286" s="534"/>
      <c r="AE286" s="534"/>
      <c r="AF286" s="534"/>
      <c r="AG286" s="533" t="str">
        <f t="shared" si="2"/>
        <v/>
      </c>
      <c r="AH286" s="533"/>
      <c r="AI286" s="533"/>
      <c r="AJ286" s="146"/>
    </row>
    <row r="287" spans="1:36" ht="15.95" customHeight="1" outlineLevel="1" x14ac:dyDescent="0.35">
      <c r="A287" s="526">
        <v>23</v>
      </c>
      <c r="B287" s="807" t="str">
        <f>IFERROR(INDEX('C01_BaseCalculation'!$L$160:$L$239,MATCH(ROW()-264,'C01_BaseCalculation'!$P$160:$P$239,0),1),"")</f>
        <v/>
      </c>
      <c r="C287" s="807"/>
      <c r="D287" s="865" t="str">
        <f>IF(OR(IFERROR(INDEX('C01_BaseCalculation'!$X$160:$X$239,ROW()-264,1),0)=0,IFERROR(INDEX('C01_BaseCalculation'!$X$160:$X$239,ROW()-264,1),0)=""),"",IFERROR(INDEX('C01_BaseCalculation'!$X$160:$X$239,ROW()-264,1),0))</f>
        <v/>
      </c>
      <c r="E287" s="865"/>
      <c r="F287" s="865"/>
      <c r="G287" s="865"/>
      <c r="H287" s="865"/>
      <c r="I287" s="862" t="str">
        <f>IFERROR(INDEX('C01_BaseCalculation'!$L$160:$L$239,MATCH(ROW()-304,'C01_BaseCalculation'!$P$160:$P$239,0),1),"")</f>
        <v/>
      </c>
      <c r="J287" s="862"/>
      <c r="K287" s="862" t="str">
        <f>IF(OR(IFERROR(INDEX('C01_BaseCalculation'!$X$160:$X$239,ROW()-304,1),0)=0,IFERROR(INDEX('C01_BaseCalculation'!$X$160:$X$239,ROW()-304,1),0)=""),"",IFERROR(INDEX('C01_BaseCalculation'!$X$160:$X$239,ROW()-304,1),0))</f>
        <v/>
      </c>
      <c r="L287" s="862"/>
      <c r="M287" s="862"/>
      <c r="N287" s="862"/>
      <c r="O287" s="862"/>
      <c r="P287" s="534"/>
      <c r="Q287" s="534"/>
      <c r="R287" s="534"/>
      <c r="S287" s="534"/>
      <c r="T287" s="534"/>
      <c r="U287" s="534"/>
      <c r="V287" s="534"/>
      <c r="W287" s="534"/>
      <c r="X287" s="534"/>
      <c r="Y287" s="534"/>
      <c r="Z287" s="534"/>
      <c r="AA287" s="534"/>
      <c r="AB287" s="534"/>
      <c r="AC287" s="534"/>
      <c r="AD287" s="534"/>
      <c r="AE287" s="534"/>
      <c r="AF287" s="534"/>
      <c r="AG287" s="533" t="str">
        <f t="shared" si="2"/>
        <v/>
      </c>
      <c r="AH287" s="533"/>
      <c r="AI287" s="533"/>
      <c r="AJ287" s="146"/>
    </row>
    <row r="288" spans="1:36" ht="15.95" customHeight="1" outlineLevel="1" x14ac:dyDescent="0.35">
      <c r="A288" s="526">
        <v>24</v>
      </c>
      <c r="B288" s="807" t="str">
        <f>IFERROR(INDEX('C01_BaseCalculation'!$L$160:$L$239,MATCH(ROW()-264,'C01_BaseCalculation'!$P$160:$P$239,0),1),"")</f>
        <v/>
      </c>
      <c r="C288" s="807"/>
      <c r="D288" s="865" t="str">
        <f>IF(OR(IFERROR(INDEX('C01_BaseCalculation'!$X$160:$X$239,ROW()-264,1),0)=0,IFERROR(INDEX('C01_BaseCalculation'!$X$160:$X$239,ROW()-264,1),0)=""),"",IFERROR(INDEX('C01_BaseCalculation'!$X$160:$X$239,ROW()-264,1),0))</f>
        <v/>
      </c>
      <c r="E288" s="865"/>
      <c r="F288" s="865"/>
      <c r="G288" s="865"/>
      <c r="H288" s="865"/>
      <c r="I288" s="862" t="str">
        <f>IFERROR(INDEX('C01_BaseCalculation'!$L$160:$L$239,MATCH(ROW()-304,'C01_BaseCalculation'!$P$160:$P$239,0),1),"")</f>
        <v/>
      </c>
      <c r="J288" s="862"/>
      <c r="K288" s="862" t="str">
        <f>IF(OR(IFERROR(INDEX('C01_BaseCalculation'!$X$160:$X$239,ROW()-304,1),0)=0,IFERROR(INDEX('C01_BaseCalculation'!$X$160:$X$239,ROW()-304,1),0)=""),"",IFERROR(INDEX('C01_BaseCalculation'!$X$160:$X$239,ROW()-304,1),0))</f>
        <v/>
      </c>
      <c r="L288" s="862"/>
      <c r="M288" s="862"/>
      <c r="N288" s="862"/>
      <c r="O288" s="862"/>
      <c r="P288" s="534"/>
      <c r="Q288" s="534"/>
      <c r="R288" s="534"/>
      <c r="S288" s="534"/>
      <c r="T288" s="534"/>
      <c r="U288" s="534"/>
      <c r="V288" s="534"/>
      <c r="W288" s="534"/>
      <c r="X288" s="534"/>
      <c r="Y288" s="534"/>
      <c r="Z288" s="534"/>
      <c r="AA288" s="534"/>
      <c r="AB288" s="534"/>
      <c r="AC288" s="534"/>
      <c r="AD288" s="534"/>
      <c r="AE288" s="534"/>
      <c r="AF288" s="534"/>
      <c r="AG288" s="533" t="str">
        <f t="shared" si="2"/>
        <v/>
      </c>
      <c r="AH288" s="533"/>
      <c r="AI288" s="533"/>
      <c r="AJ288" s="146"/>
    </row>
    <row r="289" spans="1:36" ht="15.95" customHeight="1" outlineLevel="1" x14ac:dyDescent="0.35">
      <c r="A289" s="526">
        <v>25</v>
      </c>
      <c r="B289" s="807" t="str">
        <f>IFERROR(INDEX('C01_BaseCalculation'!$L$160:$L$239,MATCH(ROW()-264,'C01_BaseCalculation'!$P$160:$P$239,0),1),"")</f>
        <v/>
      </c>
      <c r="C289" s="807"/>
      <c r="D289" s="865" t="str">
        <f>IF(OR(IFERROR(INDEX('C01_BaseCalculation'!$X$160:$X$239,ROW()-264,1),0)=0,IFERROR(INDEX('C01_BaseCalculation'!$X$160:$X$239,ROW()-264,1),0)=""),"",IFERROR(INDEX('C01_BaseCalculation'!$X$160:$X$239,ROW()-264,1),0))</f>
        <v/>
      </c>
      <c r="E289" s="865"/>
      <c r="F289" s="865"/>
      <c r="G289" s="865"/>
      <c r="H289" s="865"/>
      <c r="I289" s="862" t="str">
        <f>IFERROR(INDEX('C01_BaseCalculation'!$L$160:$L$239,MATCH(ROW()-304,'C01_BaseCalculation'!$P$160:$P$239,0),1),"")</f>
        <v/>
      </c>
      <c r="J289" s="862"/>
      <c r="K289" s="862" t="str">
        <f>IF(OR(IFERROR(INDEX('C01_BaseCalculation'!$X$160:$X$239,ROW()-304,1),0)=0,IFERROR(INDEX('C01_BaseCalculation'!$X$160:$X$239,ROW()-304,1),0)=""),"",IFERROR(INDEX('C01_BaseCalculation'!$X$160:$X$239,ROW()-304,1),0))</f>
        <v/>
      </c>
      <c r="L289" s="862"/>
      <c r="M289" s="862"/>
      <c r="N289" s="862"/>
      <c r="O289" s="862"/>
      <c r="P289" s="534"/>
      <c r="Q289" s="534"/>
      <c r="R289" s="534"/>
      <c r="S289" s="534"/>
      <c r="T289" s="534"/>
      <c r="U289" s="534"/>
      <c r="V289" s="534"/>
      <c r="W289" s="534"/>
      <c r="X289" s="534"/>
      <c r="Y289" s="534"/>
      <c r="Z289" s="534"/>
      <c r="AA289" s="534"/>
      <c r="AB289" s="534"/>
      <c r="AC289" s="534"/>
      <c r="AD289" s="534"/>
      <c r="AE289" s="534"/>
      <c r="AF289" s="534"/>
      <c r="AG289" s="533" t="str">
        <f t="shared" si="2"/>
        <v/>
      </c>
      <c r="AH289" s="533"/>
      <c r="AI289" s="533"/>
      <c r="AJ289" s="146"/>
    </row>
    <row r="290" spans="1:36" ht="15.95" customHeight="1" outlineLevel="1" x14ac:dyDescent="0.35">
      <c r="A290" s="526">
        <v>26</v>
      </c>
      <c r="B290" s="807" t="str">
        <f>IFERROR(INDEX('C01_BaseCalculation'!$L$160:$L$239,MATCH(ROW()-264,'C01_BaseCalculation'!$P$160:$P$239,0),1),"")</f>
        <v/>
      </c>
      <c r="C290" s="807"/>
      <c r="D290" s="865" t="str">
        <f>IF(OR(IFERROR(INDEX('C01_BaseCalculation'!$X$160:$X$239,ROW()-264,1),0)=0,IFERROR(INDEX('C01_BaseCalculation'!$X$160:$X$239,ROW()-264,1),0)=""),"",IFERROR(INDEX('C01_BaseCalculation'!$X$160:$X$239,ROW()-264,1),0))</f>
        <v/>
      </c>
      <c r="E290" s="865"/>
      <c r="F290" s="865"/>
      <c r="G290" s="865"/>
      <c r="H290" s="865"/>
      <c r="I290" s="862" t="str">
        <f>IFERROR(INDEX('C01_BaseCalculation'!$L$160:$L$239,MATCH(ROW()-304,'C01_BaseCalculation'!$P$160:$P$239,0),1),"")</f>
        <v/>
      </c>
      <c r="J290" s="862"/>
      <c r="K290" s="862" t="str">
        <f>IF(OR(IFERROR(INDEX('C01_BaseCalculation'!$X$160:$X$239,ROW()-304,1),0)=0,IFERROR(INDEX('C01_BaseCalculation'!$X$160:$X$239,ROW()-304,1),0)=""),"",IFERROR(INDEX('C01_BaseCalculation'!$X$160:$X$239,ROW()-304,1),0))</f>
        <v/>
      </c>
      <c r="L290" s="862"/>
      <c r="M290" s="862"/>
      <c r="N290" s="862"/>
      <c r="O290" s="862"/>
      <c r="P290" s="534"/>
      <c r="Q290" s="534"/>
      <c r="R290" s="534"/>
      <c r="S290" s="534"/>
      <c r="T290" s="534"/>
      <c r="U290" s="534"/>
      <c r="V290" s="534"/>
      <c r="W290" s="534"/>
      <c r="X290" s="534"/>
      <c r="Y290" s="534"/>
      <c r="Z290" s="534"/>
      <c r="AA290" s="534"/>
      <c r="AB290" s="534"/>
      <c r="AC290" s="534"/>
      <c r="AD290" s="534"/>
      <c r="AE290" s="534"/>
      <c r="AF290" s="534"/>
      <c r="AG290" s="533" t="str">
        <f t="shared" si="2"/>
        <v/>
      </c>
      <c r="AH290" s="533"/>
      <c r="AI290" s="533"/>
      <c r="AJ290" s="146"/>
    </row>
    <row r="291" spans="1:36" ht="15.95" customHeight="1" outlineLevel="1" x14ac:dyDescent="0.35">
      <c r="A291" s="526">
        <v>27</v>
      </c>
      <c r="B291" s="807" t="str">
        <f>IFERROR(INDEX('C01_BaseCalculation'!$L$160:$L$239,MATCH(ROW()-264,'C01_BaseCalculation'!$P$160:$P$239,0),1),"")</f>
        <v/>
      </c>
      <c r="C291" s="807"/>
      <c r="D291" s="865" t="str">
        <f>IF(OR(IFERROR(INDEX('C01_BaseCalculation'!$X$160:$X$239,ROW()-264,1),0)=0,IFERROR(INDEX('C01_BaseCalculation'!$X$160:$X$239,ROW()-264,1),0)=""),"",IFERROR(INDEX('C01_BaseCalculation'!$X$160:$X$239,ROW()-264,1),0))</f>
        <v/>
      </c>
      <c r="E291" s="865"/>
      <c r="F291" s="865"/>
      <c r="G291" s="865"/>
      <c r="H291" s="865"/>
      <c r="I291" s="862" t="str">
        <f>IFERROR(INDEX('C01_BaseCalculation'!$L$160:$L$239,MATCH(ROW()-304,'C01_BaseCalculation'!$P$160:$P$239,0),1),"")</f>
        <v/>
      </c>
      <c r="J291" s="862"/>
      <c r="K291" s="862" t="str">
        <f>IF(OR(IFERROR(INDEX('C01_BaseCalculation'!$X$160:$X$239,ROW()-304,1),0)=0,IFERROR(INDEX('C01_BaseCalculation'!$X$160:$X$239,ROW()-304,1),0)=""),"",IFERROR(INDEX('C01_BaseCalculation'!$X$160:$X$239,ROW()-304,1),0))</f>
        <v/>
      </c>
      <c r="L291" s="862"/>
      <c r="M291" s="862"/>
      <c r="N291" s="862"/>
      <c r="O291" s="862"/>
      <c r="P291" s="534"/>
      <c r="Q291" s="534"/>
      <c r="R291" s="534"/>
      <c r="S291" s="534"/>
      <c r="T291" s="534"/>
      <c r="U291" s="534"/>
      <c r="V291" s="534"/>
      <c r="W291" s="534"/>
      <c r="X291" s="534"/>
      <c r="Y291" s="534"/>
      <c r="Z291" s="534"/>
      <c r="AA291" s="534"/>
      <c r="AB291" s="534"/>
      <c r="AC291" s="534"/>
      <c r="AD291" s="534"/>
      <c r="AE291" s="534"/>
      <c r="AF291" s="534"/>
      <c r="AG291" s="533" t="str">
        <f t="shared" si="2"/>
        <v/>
      </c>
      <c r="AH291" s="533"/>
      <c r="AI291" s="533"/>
      <c r="AJ291" s="146"/>
    </row>
    <row r="292" spans="1:36" ht="15.95" customHeight="1" outlineLevel="1" x14ac:dyDescent="0.35">
      <c r="A292" s="526">
        <v>28</v>
      </c>
      <c r="B292" s="807" t="str">
        <f>IFERROR(INDEX('C01_BaseCalculation'!$L$160:$L$239,MATCH(ROW()-264,'C01_BaseCalculation'!$P$160:$P$239,0),1),"")</f>
        <v/>
      </c>
      <c r="C292" s="807"/>
      <c r="D292" s="865" t="str">
        <f>IF(OR(IFERROR(INDEX('C01_BaseCalculation'!$X$160:$X$239,ROW()-264,1),0)=0,IFERROR(INDEX('C01_BaseCalculation'!$X$160:$X$239,ROW()-264,1),0)=""),"",IFERROR(INDEX('C01_BaseCalculation'!$X$160:$X$239,ROW()-264,1),0))</f>
        <v/>
      </c>
      <c r="E292" s="865"/>
      <c r="F292" s="865"/>
      <c r="G292" s="865"/>
      <c r="H292" s="865"/>
      <c r="I292" s="862" t="str">
        <f>IFERROR(INDEX('C01_BaseCalculation'!$L$160:$L$239,MATCH(ROW()-304,'C01_BaseCalculation'!$P$160:$P$239,0),1),"")</f>
        <v/>
      </c>
      <c r="J292" s="862"/>
      <c r="K292" s="862" t="str">
        <f>IF(OR(IFERROR(INDEX('C01_BaseCalculation'!$X$160:$X$239,ROW()-304,1),0)=0,IFERROR(INDEX('C01_BaseCalculation'!$X$160:$X$239,ROW()-304,1),0)=""),"",IFERROR(INDEX('C01_BaseCalculation'!$X$160:$X$239,ROW()-304,1),0))</f>
        <v/>
      </c>
      <c r="L292" s="862"/>
      <c r="M292" s="862"/>
      <c r="N292" s="862"/>
      <c r="O292" s="862"/>
      <c r="P292" s="534"/>
      <c r="Q292" s="534"/>
      <c r="R292" s="534"/>
      <c r="S292" s="534"/>
      <c r="T292" s="534"/>
      <c r="U292" s="534"/>
      <c r="V292" s="534"/>
      <c r="W292" s="534"/>
      <c r="X292" s="534"/>
      <c r="Y292" s="534"/>
      <c r="Z292" s="534"/>
      <c r="AA292" s="534"/>
      <c r="AB292" s="534"/>
      <c r="AC292" s="534"/>
      <c r="AD292" s="534"/>
      <c r="AE292" s="534"/>
      <c r="AF292" s="534"/>
      <c r="AG292" s="533" t="str">
        <f t="shared" si="2"/>
        <v/>
      </c>
      <c r="AH292" s="533"/>
      <c r="AI292" s="533"/>
      <c r="AJ292" s="146"/>
    </row>
    <row r="293" spans="1:36" ht="15.95" customHeight="1" outlineLevel="1" x14ac:dyDescent="0.35">
      <c r="A293" s="526">
        <v>29</v>
      </c>
      <c r="B293" s="807" t="str">
        <f>IFERROR(INDEX('C01_BaseCalculation'!$L$160:$L$239,MATCH(ROW()-264,'C01_BaseCalculation'!$P$160:$P$239,0),1),"")</f>
        <v/>
      </c>
      <c r="C293" s="807"/>
      <c r="D293" s="865" t="str">
        <f>IF(OR(IFERROR(INDEX('C01_BaseCalculation'!$X$160:$X$239,ROW()-264,1),0)=0,IFERROR(INDEX('C01_BaseCalculation'!$X$160:$X$239,ROW()-264,1),0)=""),"",IFERROR(INDEX('C01_BaseCalculation'!$X$160:$X$239,ROW()-264,1),0))</f>
        <v/>
      </c>
      <c r="E293" s="865"/>
      <c r="F293" s="865"/>
      <c r="G293" s="865"/>
      <c r="H293" s="865"/>
      <c r="I293" s="862" t="str">
        <f>IFERROR(INDEX('C01_BaseCalculation'!$L$160:$L$239,MATCH(ROW()-304,'C01_BaseCalculation'!$P$160:$P$239,0),1),"")</f>
        <v/>
      </c>
      <c r="J293" s="862"/>
      <c r="K293" s="862" t="str">
        <f>IF(OR(IFERROR(INDEX('C01_BaseCalculation'!$X$160:$X$239,ROW()-304,1),0)=0,IFERROR(INDEX('C01_BaseCalculation'!$X$160:$X$239,ROW()-304,1),0)=""),"",IFERROR(INDEX('C01_BaseCalculation'!$X$160:$X$239,ROW()-304,1),0))</f>
        <v/>
      </c>
      <c r="L293" s="862"/>
      <c r="M293" s="862"/>
      <c r="N293" s="862"/>
      <c r="O293" s="862"/>
      <c r="P293" s="534"/>
      <c r="Q293" s="534"/>
      <c r="R293" s="534"/>
      <c r="S293" s="534"/>
      <c r="T293" s="534"/>
      <c r="U293" s="534"/>
      <c r="V293" s="534"/>
      <c r="W293" s="534"/>
      <c r="X293" s="534"/>
      <c r="Y293" s="534"/>
      <c r="Z293" s="534"/>
      <c r="AA293" s="534"/>
      <c r="AB293" s="534"/>
      <c r="AC293" s="534"/>
      <c r="AD293" s="534"/>
      <c r="AE293" s="534"/>
      <c r="AF293" s="534"/>
      <c r="AG293" s="533" t="str">
        <f t="shared" si="2"/>
        <v/>
      </c>
      <c r="AH293" s="533"/>
      <c r="AI293" s="533"/>
      <c r="AJ293" s="146"/>
    </row>
    <row r="294" spans="1:36" ht="15.95" customHeight="1" outlineLevel="1" x14ac:dyDescent="0.35">
      <c r="A294" s="526">
        <v>30</v>
      </c>
      <c r="B294" s="807" t="str">
        <f>IFERROR(INDEX('C01_BaseCalculation'!$L$160:$L$239,MATCH(ROW()-264,'C01_BaseCalculation'!$P$160:$P$239,0),1),"")</f>
        <v/>
      </c>
      <c r="C294" s="807"/>
      <c r="D294" s="865" t="str">
        <f>IF(OR(IFERROR(INDEX('C01_BaseCalculation'!$X$160:$X$239,ROW()-264,1),0)=0,IFERROR(INDEX('C01_BaseCalculation'!$X$160:$X$239,ROW()-264,1),0)=""),"",IFERROR(INDEX('C01_BaseCalculation'!$X$160:$X$239,ROW()-264,1),0))</f>
        <v/>
      </c>
      <c r="E294" s="865"/>
      <c r="F294" s="865"/>
      <c r="G294" s="865"/>
      <c r="H294" s="865"/>
      <c r="I294" s="862" t="str">
        <f>IFERROR(INDEX('C01_BaseCalculation'!$L$160:$L$239,MATCH(ROW()-304,'C01_BaseCalculation'!$P$160:$P$239,0),1),"")</f>
        <v/>
      </c>
      <c r="J294" s="862"/>
      <c r="K294" s="862" t="str">
        <f>IF(OR(IFERROR(INDEX('C01_BaseCalculation'!$X$160:$X$239,ROW()-304,1),0)=0,IFERROR(INDEX('C01_BaseCalculation'!$X$160:$X$239,ROW()-304,1),0)=""),"",IFERROR(INDEX('C01_BaseCalculation'!$X$160:$X$239,ROW()-304,1),0))</f>
        <v/>
      </c>
      <c r="L294" s="862"/>
      <c r="M294" s="862"/>
      <c r="N294" s="862"/>
      <c r="O294" s="862"/>
      <c r="P294" s="534"/>
      <c r="Q294" s="534"/>
      <c r="R294" s="534"/>
      <c r="S294" s="534"/>
      <c r="T294" s="534"/>
      <c r="U294" s="534"/>
      <c r="V294" s="534"/>
      <c r="W294" s="534"/>
      <c r="X294" s="534"/>
      <c r="Y294" s="534"/>
      <c r="Z294" s="534"/>
      <c r="AA294" s="534"/>
      <c r="AB294" s="534"/>
      <c r="AC294" s="534"/>
      <c r="AD294" s="534"/>
      <c r="AE294" s="534"/>
      <c r="AF294" s="534"/>
      <c r="AG294" s="533" t="str">
        <f t="shared" si="2"/>
        <v/>
      </c>
      <c r="AH294" s="533"/>
      <c r="AI294" s="533"/>
      <c r="AJ294" s="146"/>
    </row>
    <row r="295" spans="1:36" ht="15.95" customHeight="1" outlineLevel="1" x14ac:dyDescent="0.35">
      <c r="A295" s="526">
        <v>31</v>
      </c>
      <c r="B295" s="807" t="str">
        <f>IFERROR(INDEX('C01_BaseCalculation'!$L$160:$L$239,MATCH(ROW()-264,'C01_BaseCalculation'!$P$160:$P$239,0),1),"")</f>
        <v/>
      </c>
      <c r="C295" s="807"/>
      <c r="D295" s="865" t="str">
        <f>IF(OR(IFERROR(INDEX('C01_BaseCalculation'!$X$160:$X$239,ROW()-264,1),0)=0,IFERROR(INDEX('C01_BaseCalculation'!$X$160:$X$239,ROW()-264,1),0)=""),"",IFERROR(INDEX('C01_BaseCalculation'!$X$160:$X$239,ROW()-264,1),0))</f>
        <v/>
      </c>
      <c r="E295" s="865"/>
      <c r="F295" s="865"/>
      <c r="G295" s="865"/>
      <c r="H295" s="865"/>
      <c r="I295" s="862" t="str">
        <f>IFERROR(INDEX('C01_BaseCalculation'!$L$160:$L$239,MATCH(ROW()-304,'C01_BaseCalculation'!$P$160:$P$239,0),1),"")</f>
        <v/>
      </c>
      <c r="J295" s="862"/>
      <c r="K295" s="862" t="str">
        <f>IF(OR(IFERROR(INDEX('C01_BaseCalculation'!$X$160:$X$239,ROW()-304,1),0)=0,IFERROR(INDEX('C01_BaseCalculation'!$X$160:$X$239,ROW()-304,1),0)=""),"",IFERROR(INDEX('C01_BaseCalculation'!$X$160:$X$239,ROW()-304,1),0))</f>
        <v/>
      </c>
      <c r="L295" s="862"/>
      <c r="M295" s="862"/>
      <c r="N295" s="862"/>
      <c r="O295" s="862"/>
      <c r="P295" s="534"/>
      <c r="Q295" s="534"/>
      <c r="R295" s="534"/>
      <c r="S295" s="534"/>
      <c r="T295" s="534"/>
      <c r="U295" s="534"/>
      <c r="V295" s="534"/>
      <c r="W295" s="534"/>
      <c r="X295" s="534"/>
      <c r="Y295" s="534"/>
      <c r="Z295" s="534"/>
      <c r="AA295" s="534"/>
      <c r="AB295" s="534"/>
      <c r="AC295" s="534"/>
      <c r="AD295" s="534"/>
      <c r="AE295" s="534"/>
      <c r="AF295" s="534"/>
      <c r="AG295" s="533" t="str">
        <f t="shared" si="2"/>
        <v/>
      </c>
      <c r="AH295" s="533"/>
      <c r="AI295" s="533"/>
      <c r="AJ295" s="146"/>
    </row>
    <row r="296" spans="1:36" ht="15.95" customHeight="1" outlineLevel="1" x14ac:dyDescent="0.35">
      <c r="A296" s="526">
        <v>32</v>
      </c>
      <c r="B296" s="807" t="str">
        <f>IFERROR(INDEX('C01_BaseCalculation'!$L$160:$L$239,MATCH(ROW()-264,'C01_BaseCalculation'!$P$160:$P$239,0),1),"")</f>
        <v/>
      </c>
      <c r="C296" s="807"/>
      <c r="D296" s="865" t="str">
        <f>IF(OR(IFERROR(INDEX('C01_BaseCalculation'!$X$160:$X$239,ROW()-264,1),0)=0,IFERROR(INDEX('C01_BaseCalculation'!$X$160:$X$239,ROW()-264,1),0)=""),"",IFERROR(INDEX('C01_BaseCalculation'!$X$160:$X$239,ROW()-264,1),0))</f>
        <v/>
      </c>
      <c r="E296" s="865"/>
      <c r="F296" s="865"/>
      <c r="G296" s="865"/>
      <c r="H296" s="865"/>
      <c r="I296" s="862" t="str">
        <f>IFERROR(INDEX('C01_BaseCalculation'!$L$160:$L$239,MATCH(ROW()-304,'C01_BaseCalculation'!$P$160:$P$239,0),1),"")</f>
        <v/>
      </c>
      <c r="J296" s="862"/>
      <c r="K296" s="862" t="str">
        <f>IF(OR(IFERROR(INDEX('C01_BaseCalculation'!$X$160:$X$239,ROW()-304,1),0)=0,IFERROR(INDEX('C01_BaseCalculation'!$X$160:$X$239,ROW()-304,1),0)=""),"",IFERROR(INDEX('C01_BaseCalculation'!$X$160:$X$239,ROW()-304,1),0))</f>
        <v/>
      </c>
      <c r="L296" s="862"/>
      <c r="M296" s="862"/>
      <c r="N296" s="862"/>
      <c r="O296" s="862"/>
      <c r="P296" s="534"/>
      <c r="Q296" s="534"/>
      <c r="R296" s="534"/>
      <c r="S296" s="534"/>
      <c r="T296" s="534"/>
      <c r="U296" s="534"/>
      <c r="V296" s="534"/>
      <c r="W296" s="534"/>
      <c r="X296" s="534"/>
      <c r="Y296" s="534"/>
      <c r="Z296" s="534"/>
      <c r="AA296" s="534"/>
      <c r="AB296" s="534"/>
      <c r="AC296" s="534"/>
      <c r="AD296" s="534"/>
      <c r="AE296" s="534"/>
      <c r="AF296" s="534"/>
      <c r="AG296" s="533" t="str">
        <f t="shared" si="2"/>
        <v/>
      </c>
      <c r="AH296" s="533"/>
      <c r="AI296" s="533"/>
      <c r="AJ296" s="146"/>
    </row>
    <row r="297" spans="1:36" ht="15.95" customHeight="1" outlineLevel="1" x14ac:dyDescent="0.35">
      <c r="A297" s="526">
        <v>33</v>
      </c>
      <c r="B297" s="807" t="str">
        <f>IFERROR(INDEX('C01_BaseCalculation'!$L$160:$L$239,MATCH(ROW()-264,'C01_BaseCalculation'!$P$160:$P$239,0),1),"")</f>
        <v/>
      </c>
      <c r="C297" s="807"/>
      <c r="D297" s="865" t="str">
        <f>IF(OR(IFERROR(INDEX('C01_BaseCalculation'!$X$160:$X$239,ROW()-264,1),0)=0,IFERROR(INDEX('C01_BaseCalculation'!$X$160:$X$239,ROW()-264,1),0)=""),"",IFERROR(INDEX('C01_BaseCalculation'!$X$160:$X$239,ROW()-264,1),0))</f>
        <v/>
      </c>
      <c r="E297" s="865"/>
      <c r="F297" s="865"/>
      <c r="G297" s="865"/>
      <c r="H297" s="865"/>
      <c r="I297" s="862" t="str">
        <f>IFERROR(INDEX('C01_BaseCalculation'!$L$160:$L$239,MATCH(ROW()-304,'C01_BaseCalculation'!$P$160:$P$239,0),1),"")</f>
        <v/>
      </c>
      <c r="J297" s="862"/>
      <c r="K297" s="862" t="str">
        <f>IF(OR(IFERROR(INDEX('C01_BaseCalculation'!$X$160:$X$239,ROW()-304,1),0)=0,IFERROR(INDEX('C01_BaseCalculation'!$X$160:$X$239,ROW()-304,1),0)=""),"",IFERROR(INDEX('C01_BaseCalculation'!$X$160:$X$239,ROW()-304,1),0))</f>
        <v/>
      </c>
      <c r="L297" s="862"/>
      <c r="M297" s="862"/>
      <c r="N297" s="862"/>
      <c r="O297" s="862"/>
      <c r="P297" s="534"/>
      <c r="Q297" s="534"/>
      <c r="R297" s="534"/>
      <c r="S297" s="534"/>
      <c r="T297" s="534"/>
      <c r="U297" s="534"/>
      <c r="V297" s="534"/>
      <c r="W297" s="534"/>
      <c r="X297" s="534"/>
      <c r="Y297" s="534"/>
      <c r="Z297" s="534"/>
      <c r="AA297" s="534"/>
      <c r="AB297" s="534"/>
      <c r="AC297" s="534"/>
      <c r="AD297" s="534"/>
      <c r="AE297" s="534"/>
      <c r="AF297" s="534"/>
      <c r="AG297" s="533" t="str">
        <f t="shared" si="2"/>
        <v/>
      </c>
      <c r="AH297" s="533"/>
      <c r="AI297" s="533"/>
      <c r="AJ297" s="146"/>
    </row>
    <row r="298" spans="1:36" ht="15.95" customHeight="1" outlineLevel="1" x14ac:dyDescent="0.35">
      <c r="A298" s="526">
        <v>34</v>
      </c>
      <c r="B298" s="807" t="str">
        <f>IFERROR(INDEX('C01_BaseCalculation'!$L$160:$L$239,MATCH(ROW()-264,'C01_BaseCalculation'!$P$160:$P$239,0),1),"")</f>
        <v/>
      </c>
      <c r="C298" s="807"/>
      <c r="D298" s="865" t="str">
        <f>IF(OR(IFERROR(INDEX('C01_BaseCalculation'!$X$160:$X$239,ROW()-264,1),0)=0,IFERROR(INDEX('C01_BaseCalculation'!$X$160:$X$239,ROW()-264,1),0)=""),"",IFERROR(INDEX('C01_BaseCalculation'!$X$160:$X$239,ROW()-264,1),0))</f>
        <v/>
      </c>
      <c r="E298" s="865"/>
      <c r="F298" s="865"/>
      <c r="G298" s="865"/>
      <c r="H298" s="865"/>
      <c r="I298" s="862" t="str">
        <f>IFERROR(INDEX('C01_BaseCalculation'!$L$160:$L$239,MATCH(ROW()-304,'C01_BaseCalculation'!$P$160:$P$239,0),1),"")</f>
        <v/>
      </c>
      <c r="J298" s="862"/>
      <c r="K298" s="862" t="str">
        <f>IF(OR(IFERROR(INDEX('C01_BaseCalculation'!$X$160:$X$239,ROW()-304,1),0)=0,IFERROR(INDEX('C01_BaseCalculation'!$X$160:$X$239,ROW()-304,1),0)=""),"",IFERROR(INDEX('C01_BaseCalculation'!$X$160:$X$239,ROW()-304,1),0))</f>
        <v/>
      </c>
      <c r="L298" s="862"/>
      <c r="M298" s="862"/>
      <c r="N298" s="862"/>
      <c r="O298" s="862"/>
      <c r="P298" s="534"/>
      <c r="Q298" s="534"/>
      <c r="R298" s="534"/>
      <c r="S298" s="534"/>
      <c r="T298" s="534"/>
      <c r="U298" s="534"/>
      <c r="V298" s="534"/>
      <c r="W298" s="534"/>
      <c r="X298" s="534"/>
      <c r="Y298" s="534"/>
      <c r="Z298" s="534"/>
      <c r="AA298" s="534"/>
      <c r="AB298" s="534"/>
      <c r="AC298" s="534"/>
      <c r="AD298" s="534"/>
      <c r="AE298" s="534"/>
      <c r="AF298" s="534"/>
      <c r="AG298" s="533" t="str">
        <f t="shared" si="2"/>
        <v/>
      </c>
      <c r="AH298" s="533"/>
      <c r="AI298" s="533"/>
      <c r="AJ298" s="146"/>
    </row>
    <row r="299" spans="1:36" ht="15.95" customHeight="1" outlineLevel="1" x14ac:dyDescent="0.35">
      <c r="A299" s="526">
        <v>35</v>
      </c>
      <c r="B299" s="807" t="str">
        <f>IFERROR(INDEX('C01_BaseCalculation'!$L$160:$L$239,MATCH(ROW()-264,'C01_BaseCalculation'!$P$160:$P$239,0),1),"")</f>
        <v/>
      </c>
      <c r="C299" s="807"/>
      <c r="D299" s="865" t="str">
        <f>IF(OR(IFERROR(INDEX('C01_BaseCalculation'!$X$160:$X$239,ROW()-264,1),0)=0,IFERROR(INDEX('C01_BaseCalculation'!$X$160:$X$239,ROW()-264,1),0)=""),"",IFERROR(INDEX('C01_BaseCalculation'!$X$160:$X$239,ROW()-264,1),0))</f>
        <v/>
      </c>
      <c r="E299" s="865"/>
      <c r="F299" s="865"/>
      <c r="G299" s="865"/>
      <c r="H299" s="865"/>
      <c r="I299" s="862" t="str">
        <f>IFERROR(INDEX('C01_BaseCalculation'!$L$160:$L$239,MATCH(ROW()-304,'C01_BaseCalculation'!$P$160:$P$239,0),1),"")</f>
        <v/>
      </c>
      <c r="J299" s="862"/>
      <c r="K299" s="862" t="str">
        <f>IF(OR(IFERROR(INDEX('C01_BaseCalculation'!$X$160:$X$239,ROW()-304,1),0)=0,IFERROR(INDEX('C01_BaseCalculation'!$X$160:$X$239,ROW()-304,1),0)=""),"",IFERROR(INDEX('C01_BaseCalculation'!$X$160:$X$239,ROW()-304,1),0))</f>
        <v/>
      </c>
      <c r="L299" s="862"/>
      <c r="M299" s="862"/>
      <c r="N299" s="862"/>
      <c r="O299" s="862"/>
      <c r="P299" s="534"/>
      <c r="Q299" s="534"/>
      <c r="R299" s="534"/>
      <c r="S299" s="534"/>
      <c r="T299" s="534"/>
      <c r="U299" s="534"/>
      <c r="V299" s="534"/>
      <c r="W299" s="534"/>
      <c r="X299" s="534"/>
      <c r="Y299" s="534"/>
      <c r="Z299" s="534"/>
      <c r="AA299" s="534"/>
      <c r="AB299" s="534"/>
      <c r="AC299" s="534"/>
      <c r="AD299" s="534"/>
      <c r="AE299" s="534"/>
      <c r="AF299" s="534"/>
      <c r="AG299" s="533" t="str">
        <f t="shared" si="2"/>
        <v/>
      </c>
      <c r="AH299" s="533"/>
      <c r="AI299" s="533"/>
      <c r="AJ299" s="146"/>
    </row>
    <row r="300" spans="1:36" ht="15.95" customHeight="1" outlineLevel="1" x14ac:dyDescent="0.35">
      <c r="A300" s="526">
        <v>36</v>
      </c>
      <c r="B300" s="807" t="str">
        <f>IFERROR(INDEX('C01_BaseCalculation'!$L$160:$L$239,MATCH(ROW()-264,'C01_BaseCalculation'!$P$160:$P$239,0),1),"")</f>
        <v/>
      </c>
      <c r="C300" s="807"/>
      <c r="D300" s="865" t="str">
        <f>IF(OR(IFERROR(INDEX('C01_BaseCalculation'!$X$160:$X$239,ROW()-264,1),0)=0,IFERROR(INDEX('C01_BaseCalculation'!$X$160:$X$239,ROW()-264,1),0)=""),"",IFERROR(INDEX('C01_BaseCalculation'!$X$160:$X$239,ROW()-264,1),0))</f>
        <v/>
      </c>
      <c r="E300" s="865"/>
      <c r="F300" s="865"/>
      <c r="G300" s="865"/>
      <c r="H300" s="865"/>
      <c r="I300" s="862" t="str">
        <f>IFERROR(INDEX('C01_BaseCalculation'!$L$160:$L$239,MATCH(ROW()-304,'C01_BaseCalculation'!$P$160:$P$239,0),1),"")</f>
        <v/>
      </c>
      <c r="J300" s="862"/>
      <c r="K300" s="862" t="str">
        <f>IF(OR(IFERROR(INDEX('C01_BaseCalculation'!$X$160:$X$239,ROW()-304,1),0)=0,IFERROR(INDEX('C01_BaseCalculation'!$X$160:$X$239,ROW()-304,1),0)=""),"",IFERROR(INDEX('C01_BaseCalculation'!$X$160:$X$239,ROW()-304,1),0))</f>
        <v/>
      </c>
      <c r="L300" s="862"/>
      <c r="M300" s="862"/>
      <c r="N300" s="862"/>
      <c r="O300" s="862"/>
      <c r="P300" s="534"/>
      <c r="Q300" s="534"/>
      <c r="R300" s="534"/>
      <c r="S300" s="534"/>
      <c r="T300" s="534"/>
      <c r="U300" s="534"/>
      <c r="V300" s="534"/>
      <c r="W300" s="534"/>
      <c r="X300" s="534"/>
      <c r="Y300" s="534"/>
      <c r="Z300" s="534"/>
      <c r="AA300" s="534"/>
      <c r="AB300" s="534"/>
      <c r="AC300" s="534"/>
      <c r="AD300" s="534"/>
      <c r="AE300" s="534"/>
      <c r="AF300" s="534"/>
      <c r="AG300" s="533" t="str">
        <f t="shared" si="2"/>
        <v/>
      </c>
      <c r="AH300" s="533"/>
      <c r="AI300" s="533"/>
      <c r="AJ300" s="146"/>
    </row>
    <row r="301" spans="1:36" ht="15.95" customHeight="1" outlineLevel="1" x14ac:dyDescent="0.35">
      <c r="A301" s="526">
        <v>37</v>
      </c>
      <c r="B301" s="807" t="str">
        <f>IFERROR(INDEX('C01_BaseCalculation'!$L$160:$L$239,MATCH(ROW()-264,'C01_BaseCalculation'!$P$160:$P$239,0),1),"")</f>
        <v/>
      </c>
      <c r="C301" s="807"/>
      <c r="D301" s="865" t="str">
        <f>IF(OR(IFERROR(INDEX('C01_BaseCalculation'!$X$160:$X$239,ROW()-264,1),0)=0,IFERROR(INDEX('C01_BaseCalculation'!$X$160:$X$239,ROW()-264,1),0)=""),"",IFERROR(INDEX('C01_BaseCalculation'!$X$160:$X$239,ROW()-264,1),0))</f>
        <v/>
      </c>
      <c r="E301" s="865"/>
      <c r="F301" s="865"/>
      <c r="G301" s="865"/>
      <c r="H301" s="865"/>
      <c r="I301" s="862" t="str">
        <f>IFERROR(INDEX('C01_BaseCalculation'!$L$160:$L$239,MATCH(ROW()-304,'C01_BaseCalculation'!$P$160:$P$239,0),1),"")</f>
        <v/>
      </c>
      <c r="J301" s="862"/>
      <c r="K301" s="862" t="str">
        <f>IF(OR(IFERROR(INDEX('C01_BaseCalculation'!$X$160:$X$239,ROW()-304,1),0)=0,IFERROR(INDEX('C01_BaseCalculation'!$X$160:$X$239,ROW()-304,1),0)=""),"",IFERROR(INDEX('C01_BaseCalculation'!$X$160:$X$239,ROW()-304,1),0))</f>
        <v/>
      </c>
      <c r="L301" s="862"/>
      <c r="M301" s="862"/>
      <c r="N301" s="862"/>
      <c r="O301" s="862"/>
      <c r="P301" s="534"/>
      <c r="Q301" s="534"/>
      <c r="R301" s="534"/>
      <c r="S301" s="534"/>
      <c r="T301" s="534"/>
      <c r="U301" s="534"/>
      <c r="V301" s="534"/>
      <c r="W301" s="534"/>
      <c r="X301" s="534"/>
      <c r="Y301" s="534"/>
      <c r="Z301" s="534"/>
      <c r="AA301" s="534"/>
      <c r="AB301" s="534"/>
      <c r="AC301" s="534"/>
      <c r="AD301" s="534"/>
      <c r="AE301" s="534"/>
      <c r="AF301" s="534"/>
      <c r="AG301" s="533" t="str">
        <f t="shared" si="2"/>
        <v/>
      </c>
      <c r="AH301" s="533"/>
      <c r="AI301" s="533"/>
      <c r="AJ301" s="146"/>
    </row>
    <row r="302" spans="1:36" ht="15.95" customHeight="1" outlineLevel="1" x14ac:dyDescent="0.35">
      <c r="A302" s="526">
        <v>38</v>
      </c>
      <c r="B302" s="807" t="str">
        <f>IFERROR(INDEX('C01_BaseCalculation'!$L$160:$L$239,MATCH(ROW()-264,'C01_BaseCalculation'!$P$160:$P$239,0),1),"")</f>
        <v/>
      </c>
      <c r="C302" s="807"/>
      <c r="D302" s="865" t="str">
        <f>IF(OR(IFERROR(INDEX('C01_BaseCalculation'!$X$160:$X$239,ROW()-264,1),0)=0,IFERROR(INDEX('C01_BaseCalculation'!$X$160:$X$239,ROW()-264,1),0)=""),"",IFERROR(INDEX('C01_BaseCalculation'!$X$160:$X$239,ROW()-264,1),0))</f>
        <v/>
      </c>
      <c r="E302" s="865"/>
      <c r="F302" s="865"/>
      <c r="G302" s="865"/>
      <c r="H302" s="865"/>
      <c r="I302" s="862" t="str">
        <f>IFERROR(INDEX('C01_BaseCalculation'!$L$160:$L$239,MATCH(ROW()-304,'C01_BaseCalculation'!$P$160:$P$239,0),1),"")</f>
        <v/>
      </c>
      <c r="J302" s="862"/>
      <c r="K302" s="862" t="str">
        <f>IF(OR(IFERROR(INDEX('C01_BaseCalculation'!$X$160:$X$239,ROW()-304,1),0)=0,IFERROR(INDEX('C01_BaseCalculation'!$X$160:$X$239,ROW()-304,1),0)=""),"",IFERROR(INDEX('C01_BaseCalculation'!$X$160:$X$239,ROW()-304,1),0))</f>
        <v/>
      </c>
      <c r="L302" s="862"/>
      <c r="M302" s="862"/>
      <c r="N302" s="862"/>
      <c r="O302" s="862"/>
      <c r="P302" s="534"/>
      <c r="Q302" s="534"/>
      <c r="R302" s="534"/>
      <c r="S302" s="534"/>
      <c r="T302" s="534"/>
      <c r="U302" s="534"/>
      <c r="V302" s="534"/>
      <c r="W302" s="534"/>
      <c r="X302" s="534"/>
      <c r="Y302" s="534"/>
      <c r="Z302" s="534"/>
      <c r="AA302" s="534"/>
      <c r="AB302" s="534"/>
      <c r="AC302" s="534"/>
      <c r="AD302" s="534"/>
      <c r="AE302" s="534"/>
      <c r="AF302" s="534"/>
      <c r="AG302" s="533" t="str">
        <f t="shared" si="2"/>
        <v/>
      </c>
      <c r="AH302" s="533"/>
      <c r="AI302" s="533"/>
      <c r="AJ302" s="146"/>
    </row>
    <row r="303" spans="1:36" ht="15.95" customHeight="1" outlineLevel="1" x14ac:dyDescent="0.35">
      <c r="A303" s="526">
        <v>39</v>
      </c>
      <c r="B303" s="807" t="str">
        <f>IFERROR(INDEX('C01_BaseCalculation'!$L$160:$L$239,MATCH(ROW()-264,'C01_BaseCalculation'!$P$160:$P$239,0),1),"")</f>
        <v/>
      </c>
      <c r="C303" s="807"/>
      <c r="D303" s="865" t="str">
        <f>IF(OR(IFERROR(INDEX('C01_BaseCalculation'!$X$160:$X$239,ROW()-264,1),0)=0,IFERROR(INDEX('C01_BaseCalculation'!$X$160:$X$239,ROW()-264,1),0)=""),"",IFERROR(INDEX('C01_BaseCalculation'!$X$160:$X$239,ROW()-264,1),0))</f>
        <v/>
      </c>
      <c r="E303" s="865"/>
      <c r="F303" s="865"/>
      <c r="G303" s="865"/>
      <c r="H303" s="865"/>
      <c r="I303" s="862" t="str">
        <f>IFERROR(INDEX('C01_BaseCalculation'!$L$160:$L$239,MATCH(ROW()-304,'C01_BaseCalculation'!$P$160:$P$239,0),1),"")</f>
        <v/>
      </c>
      <c r="J303" s="862"/>
      <c r="K303" s="862" t="str">
        <f>IF(OR(IFERROR(INDEX('C01_BaseCalculation'!$X$160:$X$239,ROW()-304,1),0)=0,IFERROR(INDEX('C01_BaseCalculation'!$X$160:$X$239,ROW()-304,1),0)=""),"",IFERROR(INDEX('C01_BaseCalculation'!$X$160:$X$239,ROW()-304,1),0))</f>
        <v/>
      </c>
      <c r="L303" s="862"/>
      <c r="M303" s="862"/>
      <c r="N303" s="862"/>
      <c r="O303" s="862"/>
      <c r="P303" s="534"/>
      <c r="Q303" s="534"/>
      <c r="R303" s="534"/>
      <c r="S303" s="534"/>
      <c r="T303" s="534"/>
      <c r="U303" s="534"/>
      <c r="V303" s="534"/>
      <c r="W303" s="534"/>
      <c r="X303" s="534"/>
      <c r="Y303" s="534"/>
      <c r="Z303" s="534"/>
      <c r="AA303" s="534"/>
      <c r="AB303" s="534"/>
      <c r="AC303" s="534"/>
      <c r="AD303" s="534"/>
      <c r="AE303" s="534"/>
      <c r="AF303" s="534"/>
      <c r="AG303" s="533" t="str">
        <f t="shared" si="2"/>
        <v/>
      </c>
      <c r="AH303" s="533"/>
      <c r="AI303" s="533"/>
      <c r="AJ303" s="146"/>
    </row>
    <row r="304" spans="1:36" ht="15.95" customHeight="1" outlineLevel="1" x14ac:dyDescent="0.35">
      <c r="A304" s="526">
        <v>40</v>
      </c>
      <c r="B304" s="807" t="str">
        <f>IFERROR(INDEX('C01_BaseCalculation'!$L$160:$L$239,MATCH(ROW()-264,'C01_BaseCalculation'!$P$160:$P$239,0),1),"")</f>
        <v/>
      </c>
      <c r="C304" s="807"/>
      <c r="D304" s="865" t="str">
        <f>IF(OR(IFERROR(INDEX('C01_BaseCalculation'!$X$160:$X$239,ROW()-264,1),0)=0,IFERROR(INDEX('C01_BaseCalculation'!$X$160:$X$239,ROW()-264,1),0)=""),"",IFERROR(INDEX('C01_BaseCalculation'!$X$160:$X$239,ROW()-264,1),0))</f>
        <v/>
      </c>
      <c r="E304" s="865"/>
      <c r="F304" s="865"/>
      <c r="G304" s="865"/>
      <c r="H304" s="865"/>
      <c r="I304" s="862" t="str">
        <f>IFERROR(INDEX('C01_BaseCalculation'!$L$160:$L$239,MATCH(ROW()-304,'C01_BaseCalculation'!$P$160:$P$239,0),1),"")</f>
        <v>Fighter</v>
      </c>
      <c r="J304" s="862"/>
      <c r="K304" s="862" t="str">
        <f>IF(OR(IFERROR(INDEX('C01_BaseCalculation'!$X$160:$X$239,ROW()-304,1),0)=0,IFERROR(INDEX('C01_BaseCalculation'!$X$160:$X$239,ROW()-304,1),0)=""),"",IFERROR(INDEX('C01_BaseCalculation'!$X$160:$X$239,ROW()-304,1),0))</f>
        <v/>
      </c>
      <c r="L304" s="862"/>
      <c r="M304" s="862"/>
      <c r="N304" s="862"/>
      <c r="O304" s="862"/>
      <c r="P304" s="534"/>
      <c r="Q304" s="534"/>
      <c r="R304" s="534"/>
      <c r="S304" s="534"/>
      <c r="T304" s="534"/>
      <c r="U304" s="534"/>
      <c r="V304" s="534"/>
      <c r="W304" s="534"/>
      <c r="X304" s="534"/>
      <c r="Y304" s="534"/>
      <c r="Z304" s="534"/>
      <c r="AA304" s="534"/>
      <c r="AB304" s="534"/>
      <c r="AC304" s="534"/>
      <c r="AD304" s="534"/>
      <c r="AE304" s="534"/>
      <c r="AF304" s="534"/>
      <c r="AG304" s="533" t="str">
        <f t="shared" si="2"/>
        <v/>
      </c>
      <c r="AH304" s="533"/>
      <c r="AI304" s="533"/>
      <c r="AJ304" s="146"/>
    </row>
    <row r="305" spans="1:36" ht="15.95" customHeight="1" outlineLevel="1" thickBot="1" x14ac:dyDescent="0.4">
      <c r="A305" s="526"/>
      <c r="B305" s="534"/>
      <c r="C305" s="534"/>
      <c r="D305" s="534"/>
      <c r="E305" s="534"/>
      <c r="F305" s="534"/>
      <c r="G305" s="534"/>
      <c r="H305" s="534"/>
      <c r="I305" s="534"/>
      <c r="J305" s="534"/>
      <c r="K305" s="534"/>
      <c r="L305" s="534"/>
      <c r="M305" s="534"/>
      <c r="N305" s="534"/>
      <c r="O305" s="534"/>
      <c r="P305" s="534"/>
      <c r="Q305" s="534"/>
      <c r="R305" s="534"/>
      <c r="S305" s="534"/>
      <c r="T305" s="534"/>
      <c r="U305" s="534"/>
      <c r="V305" s="534"/>
      <c r="W305" s="534"/>
      <c r="X305" s="534"/>
      <c r="Y305" s="534"/>
      <c r="Z305" s="534"/>
      <c r="AA305" s="534"/>
      <c r="AB305" s="534"/>
      <c r="AC305" s="534"/>
      <c r="AD305" s="534"/>
      <c r="AE305" s="534"/>
      <c r="AF305" s="534"/>
      <c r="AG305" s="533" t="str">
        <f t="shared" si="2"/>
        <v/>
      </c>
      <c r="AH305" s="533"/>
      <c r="AI305" s="533"/>
      <c r="AJ305" s="146"/>
    </row>
    <row r="306" spans="1:36" ht="15.95" customHeight="1" outlineLevel="1" thickTop="1" thickBot="1" x14ac:dyDescent="0.4">
      <c r="A306" s="526"/>
      <c r="B306" s="771" t="s">
        <v>6658</v>
      </c>
      <c r="C306" s="772"/>
      <c r="D306" s="772"/>
      <c r="E306" s="773"/>
      <c r="F306" s="534"/>
      <c r="G306" s="534"/>
      <c r="H306" s="534"/>
      <c r="I306" s="534"/>
      <c r="J306" s="534"/>
      <c r="K306" s="534"/>
      <c r="L306" s="534"/>
      <c r="M306" s="534"/>
      <c r="N306" s="534"/>
      <c r="O306" s="534"/>
      <c r="P306" s="534"/>
      <c r="Q306" s="534"/>
      <c r="R306" s="534"/>
      <c r="S306" s="534"/>
      <c r="T306" s="534"/>
      <c r="U306" s="534"/>
      <c r="V306" s="534"/>
      <c r="W306" s="534"/>
      <c r="X306" s="534"/>
      <c r="Y306" s="534"/>
      <c r="Z306" s="534"/>
      <c r="AA306" s="534"/>
      <c r="AB306" s="534"/>
      <c r="AC306" s="534"/>
      <c r="AD306" s="534"/>
      <c r="AE306" s="534"/>
      <c r="AF306" s="534"/>
      <c r="AG306" s="533" t="e">
        <f>IF(#REF!="","",#REF!&amp;" ("&amp;#REF!&amp;")"&amp;CHAR(10))</f>
        <v>#REF!</v>
      </c>
      <c r="AH306" s="533"/>
      <c r="AI306" s="533"/>
      <c r="AJ306" s="146"/>
    </row>
    <row r="307" spans="1:36" ht="15.95" customHeight="1" outlineLevel="1" thickTop="1" x14ac:dyDescent="0.35">
      <c r="A307" s="526"/>
      <c r="B307" s="534"/>
      <c r="C307" s="534"/>
      <c r="D307" s="534"/>
      <c r="E307" s="534"/>
      <c r="F307" s="534"/>
      <c r="G307" s="534"/>
      <c r="H307" s="534"/>
      <c r="I307" s="534"/>
      <c r="J307" s="534"/>
      <c r="K307" s="534"/>
      <c r="L307" s="534"/>
      <c r="M307" s="534"/>
      <c r="N307" s="534"/>
      <c r="O307" s="534"/>
      <c r="P307" s="534"/>
      <c r="Q307" s="534"/>
      <c r="R307" s="534"/>
      <c r="S307" s="534"/>
      <c r="T307" s="534"/>
      <c r="U307" s="534"/>
      <c r="V307" s="534"/>
      <c r="W307" s="534"/>
      <c r="X307" s="534"/>
      <c r="Y307" s="534"/>
      <c r="Z307" s="534"/>
      <c r="AA307" s="534"/>
      <c r="AB307" s="534"/>
      <c r="AC307" s="534"/>
      <c r="AD307" s="534"/>
      <c r="AE307" s="534"/>
      <c r="AF307" s="534"/>
      <c r="AG307" s="533"/>
      <c r="AH307" s="533"/>
      <c r="AI307" s="533"/>
      <c r="AJ307" s="146"/>
    </row>
    <row r="308" spans="1:36" ht="15.95" customHeight="1" x14ac:dyDescent="0.35">
      <c r="A308" s="526"/>
      <c r="B308" s="749" t="s">
        <v>270</v>
      </c>
      <c r="C308" s="749"/>
      <c r="D308" s="749"/>
      <c r="E308" s="749"/>
      <c r="F308" s="749"/>
      <c r="G308" s="749"/>
      <c r="H308" s="749"/>
      <c r="I308" s="749"/>
      <c r="J308" s="749"/>
      <c r="K308" s="749"/>
      <c r="L308" s="749"/>
      <c r="M308" s="749"/>
      <c r="N308" s="749"/>
      <c r="O308" s="749"/>
      <c r="P308" s="749"/>
      <c r="Q308" s="749"/>
      <c r="R308" s="749"/>
      <c r="S308" s="749"/>
      <c r="T308" s="749"/>
      <c r="U308" s="749"/>
      <c r="V308" s="749"/>
      <c r="W308" s="749"/>
      <c r="X308" s="749"/>
      <c r="Y308" s="749"/>
      <c r="Z308" s="749"/>
      <c r="AA308" s="749"/>
      <c r="AB308" s="749"/>
      <c r="AC308" s="749"/>
      <c r="AD308" s="749"/>
      <c r="AE308" s="749"/>
      <c r="AF308" s="534"/>
      <c r="AG308" s="533"/>
      <c r="AH308" s="533"/>
      <c r="AI308" s="533"/>
      <c r="AJ308" s="146"/>
    </row>
    <row r="309" spans="1:36" ht="15.95" customHeight="1" x14ac:dyDescent="0.35">
      <c r="A309" s="526"/>
      <c r="B309" s="749"/>
      <c r="C309" s="749"/>
      <c r="D309" s="749"/>
      <c r="E309" s="749"/>
      <c r="F309" s="749"/>
      <c r="G309" s="749"/>
      <c r="H309" s="749"/>
      <c r="I309" s="749"/>
      <c r="J309" s="749"/>
      <c r="K309" s="749"/>
      <c r="L309" s="749"/>
      <c r="M309" s="749"/>
      <c r="N309" s="749"/>
      <c r="O309" s="749"/>
      <c r="P309" s="749"/>
      <c r="Q309" s="749"/>
      <c r="R309" s="749"/>
      <c r="S309" s="749"/>
      <c r="T309" s="749"/>
      <c r="U309" s="749"/>
      <c r="V309" s="749"/>
      <c r="W309" s="749"/>
      <c r="X309" s="749"/>
      <c r="Y309" s="749"/>
      <c r="Z309" s="749"/>
      <c r="AA309" s="749"/>
      <c r="AB309" s="749"/>
      <c r="AC309" s="749"/>
      <c r="AD309" s="749"/>
      <c r="AE309" s="749"/>
      <c r="AF309" s="534"/>
      <c r="AG309" s="533"/>
      <c r="AH309" s="533"/>
      <c r="AI309" s="533"/>
      <c r="AJ309" s="146"/>
    </row>
    <row r="310" spans="1:36" ht="15.95" customHeight="1" outlineLevel="1" x14ac:dyDescent="0.35">
      <c r="A310" s="526"/>
      <c r="B310" s="527"/>
      <c r="C310" s="527"/>
      <c r="D310" s="527"/>
      <c r="E310" s="527"/>
      <c r="F310" s="527"/>
      <c r="G310" s="527"/>
      <c r="H310" s="527"/>
      <c r="I310" s="527"/>
      <c r="J310" s="527"/>
      <c r="K310" s="527"/>
      <c r="L310" s="527"/>
      <c r="M310" s="527"/>
      <c r="N310" s="527"/>
      <c r="O310" s="527"/>
      <c r="P310" s="527"/>
      <c r="Q310" s="527"/>
      <c r="R310" s="527"/>
      <c r="S310" s="527"/>
      <c r="T310" s="527"/>
      <c r="U310" s="527"/>
      <c r="V310" s="534"/>
      <c r="W310" s="534"/>
      <c r="X310" s="534"/>
      <c r="Y310" s="534"/>
      <c r="Z310" s="534"/>
      <c r="AA310" s="534"/>
      <c r="AB310" s="534"/>
      <c r="AC310" s="534"/>
      <c r="AD310" s="534"/>
      <c r="AE310" s="534"/>
      <c r="AF310" s="534"/>
      <c r="AG310" s="533"/>
      <c r="AH310" s="533"/>
      <c r="AI310" s="533"/>
      <c r="AJ310" s="146"/>
    </row>
    <row r="311" spans="1:36" ht="15.95" customHeight="1" outlineLevel="1" x14ac:dyDescent="0.35">
      <c r="A311" s="526"/>
      <c r="B311" s="711" t="s">
        <v>6241</v>
      </c>
      <c r="C311" s="711"/>
      <c r="D311" s="853">
        <f>'C03_ClassVariables'!I395</f>
        <v>12</v>
      </c>
      <c r="E311" s="853"/>
      <c r="F311" s="527"/>
      <c r="G311" s="923" t="s">
        <v>60</v>
      </c>
      <c r="H311" s="923"/>
      <c r="I311" s="923" t="s">
        <v>6101</v>
      </c>
      <c r="J311" s="923"/>
      <c r="K311" s="923" t="s">
        <v>2305</v>
      </c>
      <c r="L311" s="923"/>
      <c r="M311" s="923" t="s">
        <v>4536</v>
      </c>
      <c r="N311" s="923"/>
      <c r="O311" s="923" t="s">
        <v>6004</v>
      </c>
      <c r="P311" s="923"/>
      <c r="Q311" s="527"/>
      <c r="R311" s="534"/>
      <c r="S311" s="534"/>
      <c r="T311" s="534"/>
      <c r="U311" s="534"/>
      <c r="V311" s="534"/>
      <c r="W311" s="534"/>
      <c r="X311" s="534"/>
      <c r="Y311" s="534"/>
      <c r="Z311" s="534"/>
      <c r="AA311" s="534"/>
      <c r="AB311" s="534"/>
      <c r="AC311" s="534"/>
      <c r="AD311" s="534"/>
      <c r="AE311" s="534"/>
      <c r="AF311" s="534"/>
      <c r="AG311" s="533"/>
      <c r="AH311" s="533"/>
      <c r="AI311" s="533"/>
      <c r="AJ311" s="146"/>
    </row>
    <row r="312" spans="1:36" ht="15.95" customHeight="1" outlineLevel="1" x14ac:dyDescent="0.35">
      <c r="A312" s="526"/>
      <c r="B312" s="711"/>
      <c r="C312" s="711"/>
      <c r="D312" s="853"/>
      <c r="E312" s="853"/>
      <c r="F312" s="527"/>
      <c r="G312" s="853" t="str">
        <f>SpellcastingClass1</f>
        <v>Eldritch Knight</v>
      </c>
      <c r="H312" s="853"/>
      <c r="I312" s="853" t="str">
        <f>IFERROR(INDEX('C03_ClassVariables'!$I$385:$I$394,MATCH(Character_Creation!G312,'C03_ClassVariables'!$K$385:$K$394,0),1),"")</f>
        <v>Intelligence</v>
      </c>
      <c r="J312" s="853"/>
      <c r="K312" s="853">
        <f>IFERROR(INDEX('C03_ClassVariables'!$Q$385:$Q$394,MATCH(Character_Creation!G312,'C03_ClassVariables'!$K$385:$K$394,0),1),"")</f>
        <v>3</v>
      </c>
      <c r="L312" s="853"/>
      <c r="M312" s="853">
        <f>IFERROR(INDEX('C03_ClassVariables'!$P$385:$P$394,MATCH(Character_Creation!G312,'C03_ClassVariables'!$K$385:$K$394,0),1),"")</f>
        <v>8</v>
      </c>
      <c r="N312" s="853"/>
      <c r="O312" s="853" t="str">
        <f>IFERROR(INDEX('C03_ClassVariables'!$O$385:$O$394,MATCH(Character_Creation!G312,'C03_ClassVariables'!$K$385:$K$394,0),1),"")</f>
        <v>n/a</v>
      </c>
      <c r="P312" s="853"/>
      <c r="Q312" s="527"/>
      <c r="R312" s="785" t="s">
        <v>7493</v>
      </c>
      <c r="S312" s="785"/>
      <c r="T312" s="785"/>
      <c r="U312" s="785"/>
      <c r="V312" s="785"/>
      <c r="W312" s="785"/>
      <c r="X312" s="785"/>
      <c r="Y312" s="785"/>
      <c r="Z312" s="785"/>
      <c r="AA312" s="785"/>
      <c r="AB312" s="785"/>
      <c r="AC312" s="785"/>
      <c r="AD312" s="785"/>
      <c r="AE312" s="534"/>
      <c r="AF312" s="534"/>
      <c r="AG312" s="533"/>
      <c r="AH312" s="533"/>
      <c r="AI312" s="533"/>
      <c r="AJ312" s="146"/>
    </row>
    <row r="313" spans="1:36" ht="15.95" customHeight="1" outlineLevel="1" x14ac:dyDescent="0.35">
      <c r="A313" s="526"/>
      <c r="B313" s="527"/>
      <c r="C313" s="527"/>
      <c r="D313" s="527"/>
      <c r="E313" s="527"/>
      <c r="F313" s="527"/>
      <c r="G313" s="853"/>
      <c r="H313" s="853"/>
      <c r="I313" s="853"/>
      <c r="J313" s="853"/>
      <c r="K313" s="853"/>
      <c r="L313" s="853"/>
      <c r="M313" s="853"/>
      <c r="N313" s="853"/>
      <c r="O313" s="853"/>
      <c r="P313" s="853"/>
      <c r="Q313" s="527"/>
      <c r="R313" s="785"/>
      <c r="S313" s="785"/>
      <c r="T313" s="785"/>
      <c r="U313" s="785"/>
      <c r="V313" s="785"/>
      <c r="W313" s="785"/>
      <c r="X313" s="785"/>
      <c r="Y313" s="785"/>
      <c r="Z313" s="785"/>
      <c r="AA313" s="785"/>
      <c r="AB313" s="785"/>
      <c r="AC313" s="785"/>
      <c r="AD313" s="785"/>
      <c r="AE313" s="534"/>
      <c r="AF313" s="534"/>
      <c r="AG313" s="533"/>
      <c r="AH313" s="533"/>
      <c r="AI313" s="533"/>
      <c r="AJ313" s="146"/>
    </row>
    <row r="314" spans="1:36" ht="15.95" customHeight="1" outlineLevel="1" x14ac:dyDescent="0.35">
      <c r="A314" s="526"/>
      <c r="B314" s="711" t="s">
        <v>6278</v>
      </c>
      <c r="C314" s="711"/>
      <c r="D314" s="853">
        <f>SpellSlots1stLvl</f>
        <v>4</v>
      </c>
      <c r="E314" s="853"/>
      <c r="F314" s="527"/>
      <c r="G314" s="853" t="str">
        <f>SpellcastingClass2</f>
        <v>Wizard</v>
      </c>
      <c r="H314" s="853"/>
      <c r="I314" s="853" t="str">
        <f>IFERROR(INDEX('C03_ClassVariables'!$I$385:$I$394,MATCH(Character_Creation!G314,'C03_ClassVariables'!$K$385:$K$394,0),1),"")</f>
        <v>Intelligence</v>
      </c>
      <c r="J314" s="853"/>
      <c r="K314" s="853">
        <f>IFERROR(INDEX('C03_ClassVariables'!$Q$385:$Q$394,MATCH(Character_Creation!G314,'C03_ClassVariables'!$K$385:$K$394,0),1),"")</f>
        <v>3</v>
      </c>
      <c r="L314" s="853"/>
      <c r="M314" s="853" t="str">
        <f>IFERROR(INDEX('C03_ClassVariables'!$P$385:$P$394,MATCH(Character_Creation!G314,'C03_ClassVariables'!$K$385:$K$394,0),1),"")</f>
        <v>20*</v>
      </c>
      <c r="N314" s="853"/>
      <c r="O314" s="853">
        <f>IFERROR(INDEX('C03_ClassVariables'!$O$385:$O$394,MATCH(Character_Creation!G314,'C03_ClassVariables'!$K$385:$K$394,0),1),"")</f>
        <v>13</v>
      </c>
      <c r="P314" s="853"/>
      <c r="Q314" s="527"/>
      <c r="R314" s="785"/>
      <c r="S314" s="785"/>
      <c r="T314" s="785"/>
      <c r="U314" s="785"/>
      <c r="V314" s="785"/>
      <c r="W314" s="785"/>
      <c r="X314" s="785"/>
      <c r="Y314" s="785"/>
      <c r="Z314" s="785"/>
      <c r="AA314" s="785"/>
      <c r="AB314" s="785"/>
      <c r="AC314" s="785"/>
      <c r="AD314" s="785"/>
      <c r="AE314" s="534"/>
      <c r="AF314" s="534"/>
      <c r="AG314" s="533"/>
      <c r="AH314" s="533"/>
      <c r="AI314" s="533"/>
      <c r="AJ314" s="146"/>
    </row>
    <row r="315" spans="1:36" ht="15.95" customHeight="1" outlineLevel="1" x14ac:dyDescent="0.35">
      <c r="A315" s="526"/>
      <c r="B315" s="711"/>
      <c r="C315" s="711"/>
      <c r="D315" s="853"/>
      <c r="E315" s="853"/>
      <c r="F315" s="527"/>
      <c r="G315" s="853"/>
      <c r="H315" s="853"/>
      <c r="I315" s="853"/>
      <c r="J315" s="853"/>
      <c r="K315" s="853"/>
      <c r="L315" s="853"/>
      <c r="M315" s="853"/>
      <c r="N315" s="853"/>
      <c r="O315" s="853"/>
      <c r="P315" s="853"/>
      <c r="Q315" s="527"/>
      <c r="R315" s="786" t="s">
        <v>6656</v>
      </c>
      <c r="S315" s="786"/>
      <c r="T315" s="786"/>
      <c r="U315" s="786"/>
      <c r="V315" s="786"/>
      <c r="W315" s="786"/>
      <c r="X315" s="786"/>
      <c r="Y315" s="786"/>
      <c r="Z315" s="786"/>
      <c r="AA315" s="786"/>
      <c r="AB315" s="534"/>
      <c r="AC315" s="534"/>
      <c r="AD315" s="534"/>
      <c r="AE315" s="534"/>
      <c r="AF315" s="534"/>
      <c r="AG315" s="533"/>
      <c r="AH315" s="533"/>
      <c r="AI315" s="533"/>
      <c r="AJ315" s="146"/>
    </row>
    <row r="316" spans="1:36" ht="15.95" customHeight="1" outlineLevel="1" thickBot="1" x14ac:dyDescent="0.4">
      <c r="A316" s="526"/>
      <c r="B316" s="711" t="s">
        <v>6277</v>
      </c>
      <c r="C316" s="711"/>
      <c r="D316" s="853">
        <f>SpellSlots2ndLvl</f>
        <v>3</v>
      </c>
      <c r="E316" s="853"/>
      <c r="F316" s="527"/>
      <c r="G316" s="853" t="str">
        <f>SpellcastingClass3</f>
        <v/>
      </c>
      <c r="H316" s="853"/>
      <c r="I316" s="853" t="str">
        <f>IFERROR(INDEX('C03_ClassVariables'!$I$385:$I$394,MATCH(Character_Creation!G316,'C03_ClassVariables'!$K$385:$K$394,0),1),"")</f>
        <v/>
      </c>
      <c r="J316" s="853"/>
      <c r="K316" s="853" t="str">
        <f>IFERROR(INDEX('C03_ClassVariables'!$Q$385:$Q$394,MATCH(Character_Creation!G316,'C03_ClassVariables'!$K$385:$K$394,0),1),"")</f>
        <v/>
      </c>
      <c r="L316" s="853"/>
      <c r="M316" s="853" t="str">
        <f>IFERROR(INDEX('C03_ClassVariables'!$P$385:$P$394,MATCH(Character_Creation!G316,'C03_ClassVariables'!$K$385:$K$394,0),1),"")</f>
        <v/>
      </c>
      <c r="N316" s="853"/>
      <c r="O316" s="853" t="str">
        <f>IFERROR(INDEX('C03_ClassVariables'!$O$385:$O$394,MATCH(Character_Creation!G316,'C03_ClassVariables'!$K$385:$K$394,0),1),"")</f>
        <v/>
      </c>
      <c r="P316" s="853"/>
      <c r="Q316" s="527"/>
      <c r="R316" s="786"/>
      <c r="S316" s="786"/>
      <c r="T316" s="786"/>
      <c r="U316" s="786"/>
      <c r="V316" s="786"/>
      <c r="W316" s="786"/>
      <c r="X316" s="786"/>
      <c r="Y316" s="786"/>
      <c r="Z316" s="786"/>
      <c r="AA316" s="786"/>
      <c r="AB316" s="534"/>
      <c r="AC316" s="534"/>
      <c r="AD316" s="534"/>
      <c r="AE316" s="534"/>
      <c r="AF316" s="534"/>
      <c r="AG316" s="533"/>
      <c r="AH316" s="533"/>
      <c r="AI316" s="533"/>
      <c r="AJ316" s="146"/>
    </row>
    <row r="317" spans="1:36" ht="15.95" customHeight="1" outlineLevel="1" thickTop="1" x14ac:dyDescent="0.35">
      <c r="A317" s="526"/>
      <c r="B317" s="711"/>
      <c r="C317" s="711"/>
      <c r="D317" s="853"/>
      <c r="E317" s="853"/>
      <c r="F317" s="527"/>
      <c r="G317" s="853"/>
      <c r="H317" s="853"/>
      <c r="I317" s="853"/>
      <c r="J317" s="853"/>
      <c r="K317" s="853"/>
      <c r="L317" s="853"/>
      <c r="M317" s="853"/>
      <c r="N317" s="853"/>
      <c r="O317" s="853"/>
      <c r="P317" s="853"/>
      <c r="Q317" s="527"/>
      <c r="R317" s="787" t="s">
        <v>6627</v>
      </c>
      <c r="S317" s="788"/>
      <c r="T317" s="788"/>
      <c r="U317" s="788"/>
      <c r="V317" s="789"/>
      <c r="W317" s="787" t="s">
        <v>6632</v>
      </c>
      <c r="X317" s="788"/>
      <c r="Y317" s="788"/>
      <c r="Z317" s="788"/>
      <c r="AA317" s="789"/>
      <c r="AB317" s="534"/>
      <c r="AC317" s="534"/>
      <c r="AD317" s="534"/>
      <c r="AE317" s="534"/>
      <c r="AF317" s="534"/>
      <c r="AG317" s="533"/>
      <c r="AH317" s="533"/>
      <c r="AI317" s="533"/>
      <c r="AJ317" s="146"/>
    </row>
    <row r="318" spans="1:36" ht="15.95" customHeight="1" outlineLevel="1" thickBot="1" x14ac:dyDescent="0.4">
      <c r="A318" s="526"/>
      <c r="B318" s="711" t="s">
        <v>6279</v>
      </c>
      <c r="C318" s="711"/>
      <c r="D318" s="853">
        <f>SpellSlots3rdLvl</f>
        <v>3</v>
      </c>
      <c r="E318" s="853"/>
      <c r="F318" s="527"/>
      <c r="G318" s="853" t="str">
        <f>SpellcastingClass4</f>
        <v/>
      </c>
      <c r="H318" s="853"/>
      <c r="I318" s="853" t="str">
        <f>IFERROR(INDEX('C03_ClassVariables'!$I$385:$I$394,MATCH(Character_Creation!G318,'C03_ClassVariables'!$K$385:$K$394,0),1),"")</f>
        <v/>
      </c>
      <c r="J318" s="853"/>
      <c r="K318" s="853" t="str">
        <f>IFERROR(INDEX('C03_ClassVariables'!$Q$385:$Q$394,MATCH(Character_Creation!G318,'C03_ClassVariables'!$K$385:$K$394,0),1),"")</f>
        <v/>
      </c>
      <c r="L318" s="853"/>
      <c r="M318" s="853" t="str">
        <f>IFERROR(INDEX('C03_ClassVariables'!$P$385:$P$394,MATCH(Character_Creation!G318,'C03_ClassVariables'!$K$385:$K$394,0),1),"")</f>
        <v/>
      </c>
      <c r="N318" s="853"/>
      <c r="O318" s="853" t="str">
        <f>IFERROR(INDEX('C03_ClassVariables'!$O$385:$O$394,MATCH(Character_Creation!G318,'C03_ClassVariables'!$K$385:$K$394,0),1),"")</f>
        <v/>
      </c>
      <c r="P318" s="853"/>
      <c r="Q318" s="527"/>
      <c r="R318" s="790"/>
      <c r="S318" s="791"/>
      <c r="T318" s="791"/>
      <c r="U318" s="791"/>
      <c r="V318" s="792"/>
      <c r="W318" s="790"/>
      <c r="X318" s="791"/>
      <c r="Y318" s="791"/>
      <c r="Z318" s="791"/>
      <c r="AA318" s="792"/>
      <c r="AB318" s="534"/>
      <c r="AC318" s="534"/>
      <c r="AD318" s="534"/>
      <c r="AE318" s="534"/>
      <c r="AF318" s="534"/>
      <c r="AG318" s="533"/>
      <c r="AH318" s="533"/>
      <c r="AI318" s="533"/>
      <c r="AJ318" s="146"/>
    </row>
    <row r="319" spans="1:36" ht="15.95" customHeight="1" outlineLevel="1" thickTop="1" x14ac:dyDescent="0.35">
      <c r="A319" s="526"/>
      <c r="B319" s="711"/>
      <c r="C319" s="711"/>
      <c r="D319" s="853"/>
      <c r="E319" s="853"/>
      <c r="F319" s="527"/>
      <c r="G319" s="853"/>
      <c r="H319" s="853"/>
      <c r="I319" s="853"/>
      <c r="J319" s="853"/>
      <c r="K319" s="853"/>
      <c r="L319" s="853"/>
      <c r="M319" s="853"/>
      <c r="N319" s="853"/>
      <c r="O319" s="853"/>
      <c r="P319" s="853"/>
      <c r="Q319" s="527"/>
      <c r="R319" s="787" t="s">
        <v>6628</v>
      </c>
      <c r="S319" s="788"/>
      <c r="T319" s="788"/>
      <c r="U319" s="788"/>
      <c r="V319" s="789"/>
      <c r="W319" s="787" t="s">
        <v>6633</v>
      </c>
      <c r="X319" s="788"/>
      <c r="Y319" s="788"/>
      <c r="Z319" s="788"/>
      <c r="AA319" s="789"/>
      <c r="AB319" s="534"/>
      <c r="AC319" s="534"/>
      <c r="AD319" s="534"/>
      <c r="AE319" s="534"/>
      <c r="AF319" s="534"/>
      <c r="AG319" s="533"/>
      <c r="AH319" s="533"/>
      <c r="AI319" s="533"/>
      <c r="AJ319" s="146"/>
    </row>
    <row r="320" spans="1:36" ht="15.95" customHeight="1" outlineLevel="1" thickBot="1" x14ac:dyDescent="0.4">
      <c r="A320" s="526"/>
      <c r="B320" s="711" t="s">
        <v>6280</v>
      </c>
      <c r="C320" s="711"/>
      <c r="D320" s="853">
        <f>SpellSlots4thLvl</f>
        <v>3</v>
      </c>
      <c r="E320" s="853"/>
      <c r="F320" s="527"/>
      <c r="G320" s="853" t="str">
        <f>SpellcastingClass5</f>
        <v/>
      </c>
      <c r="H320" s="853"/>
      <c r="I320" s="853" t="str">
        <f>IFERROR(INDEX('C03_ClassVariables'!$I$385:$I$394,MATCH(Character_Creation!G320,'C03_ClassVariables'!$K$385:$K$394,0),1),"")</f>
        <v/>
      </c>
      <c r="J320" s="853"/>
      <c r="K320" s="853" t="str">
        <f>IFERROR(INDEX('C03_ClassVariables'!$Q$385:$Q$394,MATCH(Character_Creation!G320,'C03_ClassVariables'!$K$385:$K$394,0),1),"")</f>
        <v/>
      </c>
      <c r="L320" s="853"/>
      <c r="M320" s="853" t="str">
        <f>IFERROR(INDEX('C03_ClassVariables'!$P$385:$P$394,MATCH(Character_Creation!G320,'C03_ClassVariables'!$K$385:$K$394,0),1),"")</f>
        <v/>
      </c>
      <c r="N320" s="853"/>
      <c r="O320" s="853" t="str">
        <f>IFERROR(INDEX('C03_ClassVariables'!$O$385:$O$394,MATCH(Character_Creation!G320,'C03_ClassVariables'!$K$385:$K$394,0),1),"")</f>
        <v/>
      </c>
      <c r="P320" s="853"/>
      <c r="Q320" s="527"/>
      <c r="R320" s="790"/>
      <c r="S320" s="791"/>
      <c r="T320" s="791"/>
      <c r="U320" s="791"/>
      <c r="V320" s="792"/>
      <c r="W320" s="790"/>
      <c r="X320" s="791"/>
      <c r="Y320" s="791"/>
      <c r="Z320" s="791"/>
      <c r="AA320" s="792"/>
      <c r="AB320" s="534"/>
      <c r="AC320" s="534"/>
      <c r="AD320" s="534"/>
      <c r="AE320" s="534"/>
      <c r="AF320" s="534"/>
      <c r="AG320" s="533"/>
      <c r="AH320" s="533"/>
      <c r="AI320" s="533"/>
      <c r="AJ320" s="146"/>
    </row>
    <row r="321" spans="1:36" ht="15.95" customHeight="1" outlineLevel="1" thickTop="1" x14ac:dyDescent="0.35">
      <c r="A321" s="526"/>
      <c r="B321" s="711"/>
      <c r="C321" s="711"/>
      <c r="D321" s="853"/>
      <c r="E321" s="853"/>
      <c r="F321" s="527"/>
      <c r="G321" s="853"/>
      <c r="H321" s="853"/>
      <c r="I321" s="853"/>
      <c r="J321" s="853"/>
      <c r="K321" s="853"/>
      <c r="L321" s="853"/>
      <c r="M321" s="853"/>
      <c r="N321" s="853"/>
      <c r="O321" s="853"/>
      <c r="P321" s="853"/>
      <c r="Q321" s="527"/>
      <c r="R321" s="787" t="s">
        <v>6629</v>
      </c>
      <c r="S321" s="788"/>
      <c r="T321" s="788"/>
      <c r="U321" s="788"/>
      <c r="V321" s="789"/>
      <c r="W321" s="787" t="s">
        <v>6634</v>
      </c>
      <c r="X321" s="788"/>
      <c r="Y321" s="788"/>
      <c r="Z321" s="788"/>
      <c r="AA321" s="789"/>
      <c r="AB321" s="534"/>
      <c r="AC321" s="534"/>
      <c r="AD321" s="534"/>
      <c r="AE321" s="534"/>
      <c r="AF321" s="534"/>
      <c r="AG321" s="533"/>
      <c r="AH321" s="533"/>
      <c r="AI321" s="533"/>
      <c r="AJ321" s="146"/>
    </row>
    <row r="322" spans="1:36" ht="15.95" customHeight="1" outlineLevel="1" thickBot="1" x14ac:dyDescent="0.4">
      <c r="A322" s="526"/>
      <c r="B322" s="711" t="s">
        <v>6281</v>
      </c>
      <c r="C322" s="711"/>
      <c r="D322" s="853">
        <f>SpellSlots5thLvl</f>
        <v>2</v>
      </c>
      <c r="E322" s="853"/>
      <c r="F322" s="527"/>
      <c r="G322" s="853" t="str">
        <f>SpellcastingClass6</f>
        <v/>
      </c>
      <c r="H322" s="853"/>
      <c r="I322" s="853" t="str">
        <f>IFERROR(INDEX('C03_ClassVariables'!$I$385:$I$394,MATCH(Character_Creation!G322,'C03_ClassVariables'!$K$385:$K$394,0),1),"")</f>
        <v/>
      </c>
      <c r="J322" s="853"/>
      <c r="K322" s="853" t="str">
        <f>IFERROR(INDEX('C03_ClassVariables'!$Q$385:$Q$394,MATCH(Character_Creation!G322,'C03_ClassVariables'!$K$385:$K$394,0),1),"")</f>
        <v/>
      </c>
      <c r="L322" s="853"/>
      <c r="M322" s="853" t="str">
        <f>IFERROR(INDEX('C03_ClassVariables'!$P$385:$P$394,MATCH(Character_Creation!G322,'C03_ClassVariables'!$K$385:$K$394,0),1),"")</f>
        <v/>
      </c>
      <c r="N322" s="853"/>
      <c r="O322" s="853" t="str">
        <f>IFERROR(INDEX('C03_ClassVariables'!$O$385:$O$394,MATCH(Character_Creation!G322,'C03_ClassVariables'!$K$385:$K$394,0),1),"")</f>
        <v/>
      </c>
      <c r="P322" s="853"/>
      <c r="Q322" s="527"/>
      <c r="R322" s="790"/>
      <c r="S322" s="791"/>
      <c r="T322" s="791"/>
      <c r="U322" s="791"/>
      <c r="V322" s="792"/>
      <c r="W322" s="790"/>
      <c r="X322" s="791"/>
      <c r="Y322" s="791"/>
      <c r="Z322" s="791"/>
      <c r="AA322" s="792"/>
      <c r="AB322" s="534"/>
      <c r="AC322" s="534"/>
      <c r="AD322" s="534"/>
      <c r="AE322" s="534"/>
      <c r="AF322" s="534"/>
      <c r="AG322" s="533"/>
      <c r="AH322" s="533"/>
      <c r="AI322" s="533"/>
      <c r="AJ322" s="146"/>
    </row>
    <row r="323" spans="1:36" ht="15.95" customHeight="1" outlineLevel="1" thickTop="1" x14ac:dyDescent="0.35">
      <c r="A323" s="526"/>
      <c r="B323" s="711"/>
      <c r="C323" s="711"/>
      <c r="D323" s="853"/>
      <c r="E323" s="853"/>
      <c r="F323" s="527"/>
      <c r="G323" s="853"/>
      <c r="H323" s="853"/>
      <c r="I323" s="853"/>
      <c r="J323" s="853"/>
      <c r="K323" s="853"/>
      <c r="L323" s="853"/>
      <c r="M323" s="853"/>
      <c r="N323" s="853"/>
      <c r="O323" s="853"/>
      <c r="P323" s="853"/>
      <c r="Q323" s="527"/>
      <c r="R323" s="787" t="s">
        <v>6630</v>
      </c>
      <c r="S323" s="788"/>
      <c r="T323" s="788"/>
      <c r="U323" s="788"/>
      <c r="V323" s="789"/>
      <c r="W323" s="787" t="s">
        <v>6635</v>
      </c>
      <c r="X323" s="788"/>
      <c r="Y323" s="788"/>
      <c r="Z323" s="788"/>
      <c r="AA323" s="789"/>
      <c r="AB323" s="534"/>
      <c r="AC323" s="534"/>
      <c r="AD323" s="534"/>
      <c r="AE323" s="534"/>
      <c r="AF323" s="534"/>
      <c r="AG323" s="533"/>
      <c r="AH323" s="533"/>
      <c r="AI323" s="533"/>
      <c r="AJ323" s="146"/>
    </row>
    <row r="324" spans="1:36" ht="15.95" customHeight="1" outlineLevel="1" thickBot="1" x14ac:dyDescent="0.4">
      <c r="A324" s="526"/>
      <c r="B324" s="711" t="s">
        <v>6282</v>
      </c>
      <c r="C324" s="711"/>
      <c r="D324" s="853">
        <f>SpellSlots6thtLvl</f>
        <v>1</v>
      </c>
      <c r="E324" s="853"/>
      <c r="F324" s="527"/>
      <c r="G324" s="853" t="str">
        <f>SpellcastingClass7</f>
        <v/>
      </c>
      <c r="H324" s="853"/>
      <c r="I324" s="853" t="str">
        <f>IFERROR(INDEX('C03_ClassVariables'!$I$385:$I$394,MATCH(Character_Creation!G324,'C03_ClassVariables'!$K$385:$K$394,0),1),"")</f>
        <v/>
      </c>
      <c r="J324" s="853"/>
      <c r="K324" s="853" t="str">
        <f>IFERROR(INDEX('C03_ClassVariables'!$Q$385:$Q$394,MATCH(Character_Creation!G324,'C03_ClassVariables'!$K$385:$K$394,0),1),"")</f>
        <v/>
      </c>
      <c r="L324" s="853"/>
      <c r="M324" s="853" t="str">
        <f>IFERROR(INDEX('C03_ClassVariables'!$P$385:$P$394,MATCH(Character_Creation!G324,'C03_ClassVariables'!$K$385:$K$394,0),1),"")</f>
        <v/>
      </c>
      <c r="N324" s="853"/>
      <c r="O324" s="853" t="str">
        <f>IFERROR(INDEX('C03_ClassVariables'!$O$385:$O$394,MATCH(Character_Creation!G324,'C03_ClassVariables'!$K$385:$K$394,0),1),"")</f>
        <v/>
      </c>
      <c r="P324" s="853"/>
      <c r="Q324" s="527"/>
      <c r="R324" s="790"/>
      <c r="S324" s="791"/>
      <c r="T324" s="791"/>
      <c r="U324" s="791"/>
      <c r="V324" s="792"/>
      <c r="W324" s="790"/>
      <c r="X324" s="791"/>
      <c r="Y324" s="791"/>
      <c r="Z324" s="791"/>
      <c r="AA324" s="792"/>
      <c r="AB324" s="534"/>
      <c r="AC324" s="534"/>
      <c r="AD324" s="534"/>
      <c r="AE324" s="534"/>
      <c r="AF324" s="534"/>
      <c r="AG324" s="533"/>
      <c r="AH324" s="533"/>
      <c r="AI324" s="533"/>
      <c r="AJ324" s="146"/>
    </row>
    <row r="325" spans="1:36" ht="15.95" customHeight="1" outlineLevel="1" thickTop="1" x14ac:dyDescent="0.35">
      <c r="A325" s="526"/>
      <c r="B325" s="711"/>
      <c r="C325" s="711"/>
      <c r="D325" s="853"/>
      <c r="E325" s="853"/>
      <c r="F325" s="527"/>
      <c r="G325" s="853"/>
      <c r="H325" s="853"/>
      <c r="I325" s="853"/>
      <c r="J325" s="853"/>
      <c r="K325" s="853"/>
      <c r="L325" s="853"/>
      <c r="M325" s="853"/>
      <c r="N325" s="853"/>
      <c r="O325" s="853"/>
      <c r="P325" s="853"/>
      <c r="Q325" s="527"/>
      <c r="R325" s="787" t="s">
        <v>6631</v>
      </c>
      <c r="S325" s="788"/>
      <c r="T325" s="788"/>
      <c r="U325" s="788"/>
      <c r="V325" s="789"/>
      <c r="W325" s="787" t="s">
        <v>6636</v>
      </c>
      <c r="X325" s="788"/>
      <c r="Y325" s="788"/>
      <c r="Z325" s="788"/>
      <c r="AA325" s="789"/>
      <c r="AB325" s="534"/>
      <c r="AC325" s="534"/>
      <c r="AD325" s="534"/>
      <c r="AE325" s="534"/>
      <c r="AF325" s="534"/>
      <c r="AG325" s="533"/>
      <c r="AH325" s="533"/>
      <c r="AI325" s="533"/>
      <c r="AJ325" s="146"/>
    </row>
    <row r="326" spans="1:36" ht="15.95" customHeight="1" outlineLevel="1" thickBot="1" x14ac:dyDescent="0.4">
      <c r="A326" s="526"/>
      <c r="B326" s="711" t="s">
        <v>6283</v>
      </c>
      <c r="C326" s="711"/>
      <c r="D326" s="853">
        <f>SpellSlots7thLvl</f>
        <v>0</v>
      </c>
      <c r="E326" s="853"/>
      <c r="F326" s="527"/>
      <c r="G326" s="853" t="str">
        <f>SpellcastingClass8</f>
        <v/>
      </c>
      <c r="H326" s="853"/>
      <c r="I326" s="853" t="str">
        <f>IFERROR(INDEX('C03_ClassVariables'!$I$385:$I$394,MATCH(Character_Creation!G326,'C03_ClassVariables'!$K$385:$K$394,0),1),"")</f>
        <v/>
      </c>
      <c r="J326" s="853"/>
      <c r="K326" s="853" t="str">
        <f>IFERROR(INDEX('C03_ClassVariables'!$Q$385:$Q$394,MATCH(Character_Creation!G326,'C03_ClassVariables'!$K$385:$K$394,0),1),"")</f>
        <v/>
      </c>
      <c r="L326" s="853"/>
      <c r="M326" s="853" t="str">
        <f>IFERROR(INDEX('C03_ClassVariables'!$P$385:$P$394,MATCH(Character_Creation!G326,'C03_ClassVariables'!$K$385:$K$394,0),1),"")</f>
        <v/>
      </c>
      <c r="N326" s="853"/>
      <c r="O326" s="853" t="str">
        <f>IFERROR(INDEX('C03_ClassVariables'!$O$385:$O$394,MATCH(Character_Creation!G326,'C03_ClassVariables'!$K$385:$K$394,0),1),"")</f>
        <v/>
      </c>
      <c r="P326" s="853"/>
      <c r="Q326" s="527"/>
      <c r="R326" s="790"/>
      <c r="S326" s="791"/>
      <c r="T326" s="791"/>
      <c r="U326" s="791"/>
      <c r="V326" s="792"/>
      <c r="W326" s="790"/>
      <c r="X326" s="791"/>
      <c r="Y326" s="791"/>
      <c r="Z326" s="791"/>
      <c r="AA326" s="792"/>
      <c r="AB326" s="534"/>
      <c r="AC326" s="534"/>
      <c r="AD326" s="534"/>
      <c r="AE326" s="534"/>
      <c r="AF326" s="534"/>
      <c r="AG326" s="533"/>
      <c r="AH326" s="533"/>
      <c r="AI326" s="533"/>
      <c r="AJ326" s="146"/>
    </row>
    <row r="327" spans="1:36" ht="15.95" customHeight="1" outlineLevel="1" thickTop="1" x14ac:dyDescent="0.4">
      <c r="A327" s="526"/>
      <c r="B327" s="711"/>
      <c r="C327" s="711"/>
      <c r="D327" s="853"/>
      <c r="E327" s="853"/>
      <c r="F327" s="527"/>
      <c r="G327" s="853"/>
      <c r="H327" s="853"/>
      <c r="I327" s="853"/>
      <c r="J327" s="853"/>
      <c r="K327" s="853"/>
      <c r="L327" s="853"/>
      <c r="M327" s="853"/>
      <c r="N327" s="853"/>
      <c r="O327" s="853"/>
      <c r="P327" s="853"/>
      <c r="Q327" s="527"/>
      <c r="R327" s="623"/>
      <c r="S327" s="623"/>
      <c r="T327" s="623"/>
      <c r="U327" s="787" t="s">
        <v>6637</v>
      </c>
      <c r="V327" s="788"/>
      <c r="W327" s="788"/>
      <c r="X327" s="788"/>
      <c r="Y327" s="789"/>
      <c r="Z327" s="623"/>
      <c r="AA327" s="623"/>
      <c r="AB327" s="534"/>
      <c r="AC327" s="534"/>
      <c r="AD327" s="534"/>
      <c r="AE327" s="534"/>
      <c r="AF327" s="534"/>
      <c r="AG327" s="533"/>
      <c r="AH327" s="533"/>
      <c r="AI327" s="533"/>
      <c r="AJ327" s="146"/>
    </row>
    <row r="328" spans="1:36" ht="15.95" customHeight="1" outlineLevel="1" thickBot="1" x14ac:dyDescent="0.45">
      <c r="A328" s="526"/>
      <c r="B328" s="711" t="s">
        <v>6284</v>
      </c>
      <c r="C328" s="711"/>
      <c r="D328" s="853">
        <f>SpellSlots8thLvl</f>
        <v>0</v>
      </c>
      <c r="E328" s="853"/>
      <c r="F328" s="527"/>
      <c r="G328" s="853" t="str">
        <f>SpellcastingClass9</f>
        <v/>
      </c>
      <c r="H328" s="853"/>
      <c r="I328" s="853" t="str">
        <f>IFERROR(INDEX('C03_ClassVariables'!$I$385:$I$394,MATCH(Character_Creation!G328,'C03_ClassVariables'!$K$385:$K$394,0),1),"")</f>
        <v/>
      </c>
      <c r="J328" s="853"/>
      <c r="K328" s="853" t="str">
        <f>IFERROR(INDEX('C03_ClassVariables'!$Q$385:$Q$394,MATCH(Character_Creation!G328,'C03_ClassVariables'!$K$385:$K$394,0),1),"")</f>
        <v/>
      </c>
      <c r="L328" s="853"/>
      <c r="M328" s="853" t="str">
        <f>IFERROR(INDEX('C03_ClassVariables'!$P$385:$P$394,MATCH(Character_Creation!G328,'C03_ClassVariables'!$K$385:$K$394,0),1),"")</f>
        <v/>
      </c>
      <c r="N328" s="853"/>
      <c r="O328" s="853" t="str">
        <f>IFERROR(INDEX('C03_ClassVariables'!$O$385:$O$394,MATCH(Character_Creation!G328,'C03_ClassVariables'!$K$385:$K$394,0),1),"")</f>
        <v/>
      </c>
      <c r="P328" s="853"/>
      <c r="Q328" s="527"/>
      <c r="R328" s="623"/>
      <c r="S328" s="623"/>
      <c r="T328" s="623"/>
      <c r="U328" s="790"/>
      <c r="V328" s="791"/>
      <c r="W328" s="791"/>
      <c r="X328" s="791"/>
      <c r="Y328" s="792"/>
      <c r="Z328" s="623"/>
      <c r="AA328" s="623"/>
      <c r="AB328" s="534"/>
      <c r="AC328" s="534"/>
      <c r="AD328" s="534"/>
      <c r="AE328" s="534"/>
      <c r="AF328" s="534"/>
      <c r="AG328" s="533"/>
      <c r="AH328" s="533"/>
      <c r="AI328" s="533"/>
      <c r="AJ328" s="146"/>
    </row>
    <row r="329" spans="1:36" ht="15.95" customHeight="1" outlineLevel="1" thickTop="1" thickBot="1" x14ac:dyDescent="0.4">
      <c r="A329" s="526"/>
      <c r="B329" s="711"/>
      <c r="C329" s="711"/>
      <c r="D329" s="853"/>
      <c r="E329" s="853"/>
      <c r="F329" s="527"/>
      <c r="G329" s="853"/>
      <c r="H329" s="853"/>
      <c r="I329" s="853"/>
      <c r="J329" s="853"/>
      <c r="K329" s="853"/>
      <c r="L329" s="853"/>
      <c r="M329" s="853"/>
      <c r="N329" s="853"/>
      <c r="O329" s="853"/>
      <c r="P329" s="853"/>
      <c r="Q329" s="527"/>
      <c r="R329" s="527"/>
      <c r="S329" s="534"/>
      <c r="T329" s="534"/>
      <c r="U329" s="534"/>
      <c r="V329" s="534"/>
      <c r="W329" s="534"/>
      <c r="X329" s="534"/>
      <c r="Y329" s="534"/>
      <c r="Z329" s="534"/>
      <c r="AA329" s="534"/>
      <c r="AB329" s="534"/>
      <c r="AC329" s="534"/>
      <c r="AD329" s="534"/>
      <c r="AE329" s="534"/>
      <c r="AF329" s="534"/>
      <c r="AG329" s="533"/>
      <c r="AH329" s="533"/>
      <c r="AI329" s="533"/>
      <c r="AJ329" s="146"/>
    </row>
    <row r="330" spans="1:36" ht="15.95" customHeight="1" outlineLevel="1" thickTop="1" x14ac:dyDescent="0.35">
      <c r="A330" s="526"/>
      <c r="B330" s="711" t="s">
        <v>6285</v>
      </c>
      <c r="C330" s="711"/>
      <c r="D330" s="853">
        <f>SpellSlots9thLvl</f>
        <v>0</v>
      </c>
      <c r="E330" s="853"/>
      <c r="F330" s="527"/>
      <c r="G330" s="853" t="str">
        <f>SpellcastingClass10</f>
        <v/>
      </c>
      <c r="H330" s="853"/>
      <c r="I330" s="853" t="str">
        <f>IFERROR(INDEX('C03_ClassVariables'!$I$385:$I$394,MATCH(Character_Creation!G330,'C03_ClassVariables'!$K$385:$K$394,0),1),"")</f>
        <v/>
      </c>
      <c r="J330" s="853"/>
      <c r="K330" s="853" t="str">
        <f>IFERROR(INDEX('C03_ClassVariables'!$Q$385:$Q$394,MATCH(Character_Creation!G330,'C03_ClassVariables'!$K$385:$K$394,0),1),"")</f>
        <v/>
      </c>
      <c r="L330" s="853"/>
      <c r="M330" s="853" t="str">
        <f>IFERROR(INDEX('C03_ClassVariables'!$P$385:$P$394,MATCH(Character_Creation!G330,'C03_ClassVariables'!$K$385:$K$394,0),1),"")</f>
        <v/>
      </c>
      <c r="N330" s="853"/>
      <c r="O330" s="853" t="str">
        <f>IFERROR(INDEX('C03_ClassVariables'!$O$385:$O$394,MATCH(Character_Creation!G330,'C03_ClassVariables'!$K$385:$K$394,0),1),"")</f>
        <v/>
      </c>
      <c r="P330" s="853"/>
      <c r="Q330" s="527"/>
      <c r="R330" s="527"/>
      <c r="S330" s="793" t="s">
        <v>6638</v>
      </c>
      <c r="T330" s="794"/>
      <c r="U330" s="794"/>
      <c r="V330" s="794"/>
      <c r="W330" s="794"/>
      <c r="X330" s="794"/>
      <c r="Y330" s="794"/>
      <c r="Z330" s="795"/>
      <c r="AA330" s="534"/>
      <c r="AB330" s="534"/>
      <c r="AC330" s="534"/>
      <c r="AD330" s="534"/>
      <c r="AE330" s="534"/>
      <c r="AF330" s="534"/>
      <c r="AG330" s="533"/>
      <c r="AH330" s="533"/>
      <c r="AI330" s="533"/>
      <c r="AJ330" s="146"/>
    </row>
    <row r="331" spans="1:36" ht="15.95" customHeight="1" outlineLevel="1" x14ac:dyDescent="0.35">
      <c r="A331" s="526"/>
      <c r="B331" s="711"/>
      <c r="C331" s="711"/>
      <c r="D331" s="853"/>
      <c r="E331" s="853"/>
      <c r="F331" s="527"/>
      <c r="G331" s="853"/>
      <c r="H331" s="853"/>
      <c r="I331" s="853"/>
      <c r="J331" s="853"/>
      <c r="K331" s="853"/>
      <c r="L331" s="853"/>
      <c r="M331" s="853"/>
      <c r="N331" s="853"/>
      <c r="O331" s="853"/>
      <c r="P331" s="853"/>
      <c r="Q331" s="527"/>
      <c r="R331" s="527"/>
      <c r="S331" s="796"/>
      <c r="T331" s="797"/>
      <c r="U331" s="797"/>
      <c r="V331" s="797"/>
      <c r="W331" s="797"/>
      <c r="X331" s="797"/>
      <c r="Y331" s="797"/>
      <c r="Z331" s="798"/>
      <c r="AA331" s="534"/>
      <c r="AB331" s="534"/>
      <c r="AC331" s="534"/>
      <c r="AD331" s="534"/>
      <c r="AE331" s="534"/>
      <c r="AF331" s="534"/>
      <c r="AG331" s="533"/>
      <c r="AH331" s="533"/>
      <c r="AI331" s="533"/>
      <c r="AJ331" s="146"/>
    </row>
    <row r="332" spans="1:36" ht="15.95" customHeight="1" outlineLevel="1" thickBot="1" x14ac:dyDescent="0.4">
      <c r="A332" s="526"/>
      <c r="B332" s="527"/>
      <c r="C332" s="527"/>
      <c r="D332" s="527"/>
      <c r="E332" s="527"/>
      <c r="F332" s="527"/>
      <c r="G332" s="527"/>
      <c r="H332" s="527"/>
      <c r="I332" s="527"/>
      <c r="J332" s="527"/>
      <c r="K332" s="527"/>
      <c r="L332" s="527"/>
      <c r="M332" s="527"/>
      <c r="N332" s="527"/>
      <c r="O332" s="527"/>
      <c r="P332" s="527"/>
      <c r="Q332" s="527"/>
      <c r="R332" s="527"/>
      <c r="S332" s="799"/>
      <c r="T332" s="800"/>
      <c r="U332" s="800"/>
      <c r="V332" s="800"/>
      <c r="W332" s="800"/>
      <c r="X332" s="800"/>
      <c r="Y332" s="800"/>
      <c r="Z332" s="801"/>
      <c r="AA332" s="534"/>
      <c r="AB332" s="534"/>
      <c r="AC332" s="534"/>
      <c r="AD332" s="534"/>
      <c r="AE332" s="534"/>
      <c r="AF332" s="534"/>
      <c r="AG332" s="533"/>
      <c r="AH332" s="533"/>
      <c r="AI332" s="533"/>
      <c r="AJ332" s="146"/>
    </row>
    <row r="333" spans="1:36" ht="15.95" customHeight="1" outlineLevel="1" thickTop="1" thickBot="1" x14ac:dyDescent="0.4">
      <c r="A333" s="526"/>
      <c r="B333" s="771" t="s">
        <v>6658</v>
      </c>
      <c r="C333" s="772"/>
      <c r="D333" s="772"/>
      <c r="E333" s="773"/>
      <c r="F333" s="527"/>
      <c r="G333" s="527"/>
      <c r="H333" s="527"/>
      <c r="I333" s="527"/>
      <c r="J333" s="527"/>
      <c r="K333" s="527"/>
      <c r="L333" s="527"/>
      <c r="M333" s="527"/>
      <c r="N333" s="527"/>
      <c r="O333" s="527"/>
      <c r="P333" s="527"/>
      <c r="Q333" s="527"/>
      <c r="R333" s="527"/>
      <c r="S333" s="527"/>
      <c r="T333" s="527"/>
      <c r="U333" s="527"/>
      <c r="V333" s="534"/>
      <c r="W333" s="534"/>
      <c r="X333" s="534"/>
      <c r="Y333" s="534"/>
      <c r="Z333" s="534"/>
      <c r="AA333" s="534"/>
      <c r="AB333" s="534"/>
      <c r="AC333" s="534"/>
      <c r="AD333" s="534"/>
      <c r="AE333" s="534"/>
      <c r="AF333" s="534"/>
      <c r="AG333" s="533"/>
      <c r="AH333" s="533"/>
      <c r="AI333" s="533"/>
      <c r="AJ333" s="146"/>
    </row>
    <row r="334" spans="1:36" ht="15.95" customHeight="1" outlineLevel="1" thickTop="1" x14ac:dyDescent="0.35">
      <c r="A334" s="526"/>
      <c r="B334" s="527"/>
      <c r="C334" s="527"/>
      <c r="D334" s="527"/>
      <c r="E334" s="527"/>
      <c r="F334" s="527"/>
      <c r="G334" s="527"/>
      <c r="H334" s="527"/>
      <c r="I334" s="527"/>
      <c r="J334" s="527"/>
      <c r="K334" s="527"/>
      <c r="L334" s="527"/>
      <c r="M334" s="527"/>
      <c r="N334" s="527"/>
      <c r="O334" s="527"/>
      <c r="P334" s="527"/>
      <c r="Q334" s="527"/>
      <c r="R334" s="527"/>
      <c r="S334" s="527"/>
      <c r="T334" s="527"/>
      <c r="U334" s="527"/>
      <c r="V334" s="534"/>
      <c r="W334" s="534"/>
      <c r="X334" s="534"/>
      <c r="Y334" s="534"/>
      <c r="Z334" s="534"/>
      <c r="AA334" s="534"/>
      <c r="AB334" s="534"/>
      <c r="AC334" s="534"/>
      <c r="AD334" s="534"/>
      <c r="AE334" s="534"/>
      <c r="AF334" s="534"/>
      <c r="AG334" s="533"/>
      <c r="AH334" s="533"/>
      <c r="AI334" s="533"/>
      <c r="AJ334" s="146"/>
    </row>
    <row r="335" spans="1:36" ht="15.95" customHeight="1" x14ac:dyDescent="0.35">
      <c r="A335" s="526"/>
      <c r="B335" s="778" t="s">
        <v>7494</v>
      </c>
      <c r="C335" s="778"/>
      <c r="D335" s="778"/>
      <c r="E335" s="778"/>
      <c r="F335" s="778"/>
      <c r="G335" s="778"/>
      <c r="H335" s="778"/>
      <c r="I335" s="778"/>
      <c r="J335" s="778"/>
      <c r="K335" s="778"/>
      <c r="L335" s="778"/>
      <c r="M335" s="778"/>
      <c r="N335" s="778"/>
      <c r="O335" s="778"/>
      <c r="P335" s="778"/>
      <c r="Q335" s="778"/>
      <c r="R335" s="778"/>
      <c r="S335" s="778"/>
      <c r="T335" s="778"/>
      <c r="U335" s="778"/>
      <c r="V335" s="778"/>
      <c r="W335" s="778"/>
      <c r="X335" s="778"/>
      <c r="Y335" s="778"/>
      <c r="Z335" s="778"/>
      <c r="AA335" s="778"/>
      <c r="AB335" s="778"/>
      <c r="AC335" s="778"/>
      <c r="AD335" s="778"/>
      <c r="AE335" s="778"/>
      <c r="AF335" s="534"/>
      <c r="AG335" s="533"/>
      <c r="AH335" s="533"/>
      <c r="AI335" s="533"/>
      <c r="AJ335" s="146"/>
    </row>
    <row r="336" spans="1:36" ht="15.95" customHeight="1" x14ac:dyDescent="0.35">
      <c r="A336" s="526"/>
      <c r="B336" s="778"/>
      <c r="C336" s="778"/>
      <c r="D336" s="778"/>
      <c r="E336" s="778"/>
      <c r="F336" s="778"/>
      <c r="G336" s="778"/>
      <c r="H336" s="778"/>
      <c r="I336" s="778"/>
      <c r="J336" s="778"/>
      <c r="K336" s="778"/>
      <c r="L336" s="778"/>
      <c r="M336" s="778"/>
      <c r="N336" s="778"/>
      <c r="O336" s="778"/>
      <c r="P336" s="778"/>
      <c r="Q336" s="778"/>
      <c r="R336" s="778"/>
      <c r="S336" s="778"/>
      <c r="T336" s="778"/>
      <c r="U336" s="778"/>
      <c r="V336" s="778"/>
      <c r="W336" s="778"/>
      <c r="X336" s="778"/>
      <c r="Y336" s="778"/>
      <c r="Z336" s="778"/>
      <c r="AA336" s="778"/>
      <c r="AB336" s="778"/>
      <c r="AC336" s="778"/>
      <c r="AD336" s="778"/>
      <c r="AE336" s="778"/>
      <c r="AF336" s="534"/>
      <c r="AG336" s="533"/>
      <c r="AH336" s="533"/>
      <c r="AI336" s="533"/>
      <c r="AJ336" s="146"/>
    </row>
    <row r="337" spans="1:36" ht="15.95" customHeight="1" outlineLevel="1" x14ac:dyDescent="0.35">
      <c r="A337" s="526"/>
      <c r="B337" s="527"/>
      <c r="C337" s="527"/>
      <c r="D337" s="527"/>
      <c r="E337" s="527"/>
      <c r="F337" s="527"/>
      <c r="G337" s="527"/>
      <c r="H337" s="527"/>
      <c r="I337" s="527"/>
      <c r="J337" s="527"/>
      <c r="K337" s="527"/>
      <c r="L337" s="527"/>
      <c r="M337" s="527"/>
      <c r="N337" s="527"/>
      <c r="O337" s="527"/>
      <c r="P337" s="527"/>
      <c r="Q337" s="527"/>
      <c r="R337" s="527"/>
      <c r="S337" s="527"/>
      <c r="T337" s="527"/>
      <c r="U337" s="527"/>
      <c r="V337" s="534"/>
      <c r="W337" s="534"/>
      <c r="X337" s="534"/>
      <c r="Y337" s="534"/>
      <c r="Z337" s="534"/>
      <c r="AA337" s="534"/>
      <c r="AB337" s="534"/>
      <c r="AC337" s="534"/>
      <c r="AD337" s="534"/>
      <c r="AE337" s="534"/>
      <c r="AF337" s="534"/>
      <c r="AG337" s="533"/>
      <c r="AH337" s="533"/>
      <c r="AI337" s="533"/>
      <c r="AJ337" s="146"/>
    </row>
    <row r="338" spans="1:36" ht="15.95" customHeight="1" outlineLevel="1" x14ac:dyDescent="0.35">
      <c r="A338" s="526"/>
      <c r="B338" s="802" t="s">
        <v>1109</v>
      </c>
      <c r="C338" s="802"/>
      <c r="D338" s="802"/>
      <c r="E338" s="802"/>
      <c r="F338" s="860">
        <f>G338-COUNTIF(G341:G362,"&gt;0")</f>
        <v>0</v>
      </c>
      <c r="G338" s="861">
        <f>BardSpellsKnown</f>
        <v>0</v>
      </c>
      <c r="H338" s="527"/>
      <c r="I338" s="802" t="s">
        <v>3164</v>
      </c>
      <c r="J338" s="802"/>
      <c r="K338" s="802"/>
      <c r="L338" s="802"/>
      <c r="M338" s="860">
        <f>N338-COUNTIF(N341:N349,"&gt;0")</f>
        <v>0</v>
      </c>
      <c r="N338" s="861">
        <f>EldritchKnightSpellsKnown-EldritchKnightAnySpellKnown</f>
        <v>5</v>
      </c>
      <c r="O338" s="527"/>
      <c r="P338" s="802" t="s">
        <v>6353</v>
      </c>
      <c r="Q338" s="802"/>
      <c r="R338" s="802"/>
      <c r="S338" s="802"/>
      <c r="T338" s="860">
        <f>U338-COUNTIF(U341:U349,"&gt;0")</f>
        <v>0</v>
      </c>
      <c r="U338" s="861">
        <f>ArcaneTricksterSpellsKnown-ArcaneTricksterAnySpellKnown</f>
        <v>0</v>
      </c>
      <c r="V338" s="534"/>
      <c r="W338" s="802" t="s">
        <v>625</v>
      </c>
      <c r="X338" s="802"/>
      <c r="Y338" s="802"/>
      <c r="Z338" s="802"/>
      <c r="AA338" s="860"/>
      <c r="AB338" s="861">
        <f>2*WizardLevel+IF(WizardLevel&gt;0,4,0)</f>
        <v>20</v>
      </c>
      <c r="AC338" s="933">
        <v>3</v>
      </c>
      <c r="AD338" s="534"/>
      <c r="AE338" s="534"/>
      <c r="AF338" s="534"/>
      <c r="AG338" s="533"/>
      <c r="AH338" s="533"/>
      <c r="AI338" s="533"/>
      <c r="AJ338" s="146"/>
    </row>
    <row r="339" spans="1:36" ht="15.95" customHeight="1" outlineLevel="1" x14ac:dyDescent="0.35">
      <c r="A339" s="526"/>
      <c r="B339" s="802"/>
      <c r="C339" s="802"/>
      <c r="D339" s="802"/>
      <c r="E339" s="802"/>
      <c r="F339" s="860"/>
      <c r="G339" s="861"/>
      <c r="H339" s="527"/>
      <c r="I339" s="802"/>
      <c r="J339" s="802"/>
      <c r="K339" s="802"/>
      <c r="L339" s="802"/>
      <c r="M339" s="860"/>
      <c r="N339" s="861"/>
      <c r="O339" s="527"/>
      <c r="P339" s="802"/>
      <c r="Q339" s="802"/>
      <c r="R339" s="802"/>
      <c r="S339" s="802"/>
      <c r="T339" s="860"/>
      <c r="U339" s="861"/>
      <c r="V339" s="534"/>
      <c r="W339" s="802"/>
      <c r="X339" s="802"/>
      <c r="Y339" s="802"/>
      <c r="Z339" s="802"/>
      <c r="AA339" s="860"/>
      <c r="AB339" s="861"/>
      <c r="AC339" s="933"/>
      <c r="AD339" s="534"/>
      <c r="AE339" s="534"/>
      <c r="AF339" s="534"/>
      <c r="AG339" s="533"/>
      <c r="AH339" s="533"/>
      <c r="AI339" s="533"/>
      <c r="AJ339" s="146"/>
    </row>
    <row r="340" spans="1:36" ht="15.95" customHeight="1" outlineLevel="1" x14ac:dyDescent="0.35">
      <c r="A340" s="526"/>
      <c r="B340" s="531"/>
      <c r="C340" s="858" t="s">
        <v>6256</v>
      </c>
      <c r="D340" s="858"/>
      <c r="E340" s="858"/>
      <c r="F340" s="858"/>
      <c r="G340" s="541" t="s">
        <v>62</v>
      </c>
      <c r="H340" s="527"/>
      <c r="I340" s="531"/>
      <c r="J340" s="858" t="s">
        <v>6256</v>
      </c>
      <c r="K340" s="858"/>
      <c r="L340" s="858"/>
      <c r="M340" s="858"/>
      <c r="N340" s="541" t="s">
        <v>62</v>
      </c>
      <c r="O340" s="527"/>
      <c r="P340" s="531"/>
      <c r="Q340" s="858" t="s">
        <v>6256</v>
      </c>
      <c r="R340" s="858"/>
      <c r="S340" s="858"/>
      <c r="T340" s="858"/>
      <c r="U340" s="541" t="s">
        <v>62</v>
      </c>
      <c r="V340" s="534"/>
      <c r="W340" s="531"/>
      <c r="X340" s="858" t="s">
        <v>6256</v>
      </c>
      <c r="Y340" s="858"/>
      <c r="Z340" s="858"/>
      <c r="AA340" s="858"/>
      <c r="AB340" s="541" t="s">
        <v>62</v>
      </c>
      <c r="AC340" s="534"/>
      <c r="AD340" s="534"/>
      <c r="AE340" s="534"/>
      <c r="AF340" s="534"/>
      <c r="AG340" s="533"/>
      <c r="AH340" s="533"/>
      <c r="AI340" s="533"/>
      <c r="AJ340" s="146"/>
    </row>
    <row r="341" spans="1:36" ht="15.95" customHeight="1" outlineLevel="1" x14ac:dyDescent="0.35">
      <c r="A341" s="526"/>
      <c r="B341" s="624">
        <v>1</v>
      </c>
      <c r="C341" s="859"/>
      <c r="D341" s="859"/>
      <c r="E341" s="859"/>
      <c r="F341" s="859"/>
      <c r="G341" s="595" t="str">
        <f>IFERROR(INDEX(T08_Spells!$C$3:$C$407,MATCH(Character_Creation!C341,T08_Spells!$B$3:$B$407,0),1),"")</f>
        <v/>
      </c>
      <c r="H341" s="527"/>
      <c r="I341" s="624">
        <v>1</v>
      </c>
      <c r="J341" s="859" t="s">
        <v>2654</v>
      </c>
      <c r="K341" s="859"/>
      <c r="L341" s="859"/>
      <c r="M341" s="859"/>
      <c r="N341" s="595">
        <f>IFERROR(INDEX(T08_Spells!$C$3:$C$407,MATCH(Character_Creation!J341,T08_Spells!$B$3:$B$407,0),1),"")</f>
        <v>1</v>
      </c>
      <c r="O341" s="527"/>
      <c r="P341" s="624">
        <v>1</v>
      </c>
      <c r="Q341" s="859"/>
      <c r="R341" s="859"/>
      <c r="S341" s="859"/>
      <c r="T341" s="859"/>
      <c r="U341" s="595" t="str">
        <f>IFERROR(INDEX(T08_Spells!$C$3:$C$407,MATCH(Character_Creation!Q341,T08_Spells!$B$3:$B$407,0),1),"")</f>
        <v/>
      </c>
      <c r="V341" s="534"/>
      <c r="W341" s="624">
        <v>1</v>
      </c>
      <c r="X341" s="936" t="s">
        <v>2503</v>
      </c>
      <c r="Y341" s="936"/>
      <c r="Z341" s="936"/>
      <c r="AA341" s="936"/>
      <c r="AB341" s="595">
        <f>IFERROR(INDEX(T08_Spells!$C$3:$C$407,MATCH(Character_Creation!X341,T08_Spells!$B$3:$B$407,0),1),"")</f>
        <v>1</v>
      </c>
      <c r="AC341" s="534"/>
      <c r="AD341" s="534"/>
      <c r="AE341" s="534"/>
      <c r="AF341" s="534"/>
      <c r="AG341" s="533"/>
      <c r="AH341" s="533"/>
      <c r="AI341" s="533"/>
      <c r="AJ341" s="146"/>
    </row>
    <row r="342" spans="1:36" ht="15.95" customHeight="1" outlineLevel="1" x14ac:dyDescent="0.35">
      <c r="A342" s="526"/>
      <c r="B342" s="624">
        <v>2</v>
      </c>
      <c r="C342" s="859"/>
      <c r="D342" s="859"/>
      <c r="E342" s="859"/>
      <c r="F342" s="859"/>
      <c r="G342" s="595" t="str">
        <f>IFERROR(INDEX(T08_Spells!$C$3:$C$407,MATCH(Character_Creation!C342,T08_Spells!$B$3:$B$407,0),1),"")</f>
        <v/>
      </c>
      <c r="H342" s="527"/>
      <c r="I342" s="624">
        <v>2</v>
      </c>
      <c r="J342" s="859" t="s">
        <v>110</v>
      </c>
      <c r="K342" s="859"/>
      <c r="L342" s="859"/>
      <c r="M342" s="859"/>
      <c r="N342" s="595">
        <f>IFERROR(INDEX(T08_Spells!$C$3:$C$407,MATCH(Character_Creation!J342,T08_Spells!$B$3:$B$407,0),1),"")</f>
        <v>1</v>
      </c>
      <c r="O342" s="527"/>
      <c r="P342" s="624">
        <v>2</v>
      </c>
      <c r="Q342" s="859"/>
      <c r="R342" s="859"/>
      <c r="S342" s="859"/>
      <c r="T342" s="859"/>
      <c r="U342" s="595" t="str">
        <f>IFERROR(INDEX(T08_Spells!$C$3:$C$407,MATCH(Character_Creation!Q342,T08_Spells!$B$3:$B$407,0),1),"")</f>
        <v/>
      </c>
      <c r="V342" s="534"/>
      <c r="W342" s="624">
        <v>2</v>
      </c>
      <c r="X342" s="936" t="s">
        <v>2516</v>
      </c>
      <c r="Y342" s="936"/>
      <c r="Z342" s="936"/>
      <c r="AA342" s="936"/>
      <c r="AB342" s="595">
        <f>IFERROR(INDEX(T08_Spells!$C$3:$C$407,MATCH(Character_Creation!X342,T08_Spells!$B$3:$B$407,0),1),"")</f>
        <v>3</v>
      </c>
      <c r="AC342" s="534"/>
      <c r="AD342" s="534"/>
      <c r="AE342" s="534"/>
      <c r="AF342" s="534"/>
      <c r="AG342" s="533"/>
      <c r="AH342" s="533"/>
      <c r="AI342" s="533"/>
      <c r="AJ342" s="146"/>
    </row>
    <row r="343" spans="1:36" ht="15.95" customHeight="1" outlineLevel="1" x14ac:dyDescent="0.35">
      <c r="A343" s="526"/>
      <c r="B343" s="624">
        <v>3</v>
      </c>
      <c r="C343" s="859"/>
      <c r="D343" s="859"/>
      <c r="E343" s="859"/>
      <c r="F343" s="859"/>
      <c r="G343" s="595" t="str">
        <f>IFERROR(INDEX(T08_Spells!$C$3:$C$407,MATCH(Character_Creation!C343,T08_Spells!$B$3:$B$407,0),1),"")</f>
        <v/>
      </c>
      <c r="H343" s="527"/>
      <c r="I343" s="624">
        <v>3</v>
      </c>
      <c r="J343" s="859" t="s">
        <v>5524</v>
      </c>
      <c r="K343" s="859"/>
      <c r="L343" s="859"/>
      <c r="M343" s="859"/>
      <c r="N343" s="595">
        <f>IFERROR(INDEX(T08_Spells!$C$3:$C$407,MATCH(Character_Creation!J343,T08_Spells!$B$3:$B$407,0),1),"")</f>
        <v>1</v>
      </c>
      <c r="O343" s="527"/>
      <c r="P343" s="624">
        <v>3</v>
      </c>
      <c r="Q343" s="859"/>
      <c r="R343" s="859"/>
      <c r="S343" s="859"/>
      <c r="T343" s="859"/>
      <c r="U343" s="595" t="str">
        <f>IFERROR(INDEX(T08_Spells!$C$3:$C$407,MATCH(Character_Creation!Q343,T08_Spells!$B$3:$B$407,0),1),"")</f>
        <v/>
      </c>
      <c r="V343" s="534"/>
      <c r="W343" s="624">
        <v>3</v>
      </c>
      <c r="X343" s="936" t="s">
        <v>2552</v>
      </c>
      <c r="Y343" s="936"/>
      <c r="Z343" s="936"/>
      <c r="AA343" s="936"/>
      <c r="AB343" s="595">
        <f>IFERROR(INDEX(T08_Spells!$C$3:$C$407,MATCH(Character_Creation!X343,T08_Spells!$B$3:$B$407,0),1),"")</f>
        <v>3</v>
      </c>
      <c r="AC343" s="534"/>
      <c r="AD343" s="534"/>
      <c r="AE343" s="534"/>
      <c r="AF343" s="534"/>
      <c r="AG343" s="533"/>
      <c r="AH343" s="533"/>
      <c r="AI343" s="533"/>
      <c r="AJ343" s="146"/>
    </row>
    <row r="344" spans="1:36" ht="15.95" customHeight="1" outlineLevel="1" x14ac:dyDescent="0.35">
      <c r="A344" s="526"/>
      <c r="B344" s="624">
        <v>4</v>
      </c>
      <c r="C344" s="859"/>
      <c r="D344" s="859"/>
      <c r="E344" s="859"/>
      <c r="F344" s="859"/>
      <c r="G344" s="595" t="str">
        <f>IFERROR(INDEX(T08_Spells!$C$3:$C$407,MATCH(Character_Creation!C344,T08_Spells!$B$3:$B$407,0),1),"")</f>
        <v/>
      </c>
      <c r="H344" s="527"/>
      <c r="I344" s="624">
        <v>4</v>
      </c>
      <c r="J344" s="859" t="s">
        <v>2732</v>
      </c>
      <c r="K344" s="859"/>
      <c r="L344" s="859"/>
      <c r="M344" s="859"/>
      <c r="N344" s="595">
        <f>IFERROR(INDEX(T08_Spells!$C$3:$C$407,MATCH(Character_Creation!J344,T08_Spells!$B$3:$B$407,0),1),"")</f>
        <v>1</v>
      </c>
      <c r="O344" s="527"/>
      <c r="P344" s="624">
        <v>4</v>
      </c>
      <c r="Q344" s="859"/>
      <c r="R344" s="859"/>
      <c r="S344" s="859"/>
      <c r="T344" s="859"/>
      <c r="U344" s="595" t="str">
        <f>IFERROR(INDEX(T08_Spells!$C$3:$C$407,MATCH(Character_Creation!Q344,T08_Spells!$B$3:$B$407,0),1),"")</f>
        <v/>
      </c>
      <c r="V344" s="534"/>
      <c r="W344" s="624">
        <v>4</v>
      </c>
      <c r="X344" s="936"/>
      <c r="Y344" s="936"/>
      <c r="Z344" s="936"/>
      <c r="AA344" s="936"/>
      <c r="AB344" s="595" t="str">
        <f>IFERROR(INDEX(T08_Spells!$C$3:$C$407,MATCH(Character_Creation!X344,T08_Spells!$B$3:$B$407,0),1),"")</f>
        <v/>
      </c>
      <c r="AC344" s="534"/>
      <c r="AD344" s="534"/>
      <c r="AE344" s="534"/>
      <c r="AF344" s="534"/>
      <c r="AG344" s="533"/>
      <c r="AH344" s="533"/>
      <c r="AI344" s="533"/>
      <c r="AJ344" s="146"/>
    </row>
    <row r="345" spans="1:36" ht="15.95" customHeight="1" outlineLevel="1" x14ac:dyDescent="0.35">
      <c r="A345" s="526"/>
      <c r="B345" s="624">
        <v>5</v>
      </c>
      <c r="C345" s="859"/>
      <c r="D345" s="859"/>
      <c r="E345" s="859"/>
      <c r="F345" s="859"/>
      <c r="G345" s="595" t="str">
        <f>IFERROR(INDEX(T08_Spells!$C$3:$C$407,MATCH(Character_Creation!C345,T08_Spells!$B$3:$B$407,0),1),"")</f>
        <v/>
      </c>
      <c r="H345" s="527"/>
      <c r="I345" s="624">
        <v>5</v>
      </c>
      <c r="J345" s="859" t="s">
        <v>2352</v>
      </c>
      <c r="K345" s="859"/>
      <c r="L345" s="859"/>
      <c r="M345" s="859"/>
      <c r="N345" s="595">
        <f>IFERROR(INDEX(T08_Spells!$C$3:$C$407,MATCH(Character_Creation!J345,T08_Spells!$B$3:$B$407,0),1),"")</f>
        <v>2</v>
      </c>
      <c r="O345" s="527"/>
      <c r="P345" s="624">
        <v>5</v>
      </c>
      <c r="Q345" s="859"/>
      <c r="R345" s="859"/>
      <c r="S345" s="859"/>
      <c r="T345" s="859"/>
      <c r="U345" s="595" t="str">
        <f>IFERROR(INDEX(T08_Spells!$C$3:$C$407,MATCH(Character_Creation!Q345,T08_Spells!$B$3:$B$407,0),1),"")</f>
        <v/>
      </c>
      <c r="V345" s="534"/>
      <c r="W345" s="624">
        <v>5</v>
      </c>
      <c r="X345" s="936"/>
      <c r="Y345" s="936"/>
      <c r="Z345" s="936"/>
      <c r="AA345" s="936"/>
      <c r="AB345" s="595" t="str">
        <f>IFERROR(INDEX(T08_Spells!$C$3:$C$407,MATCH(Character_Creation!X345,T08_Spells!$B$3:$B$407,0),1),"")</f>
        <v/>
      </c>
      <c r="AC345" s="534"/>
      <c r="AD345" s="534"/>
      <c r="AE345" s="534"/>
      <c r="AF345" s="534"/>
      <c r="AG345" s="533"/>
      <c r="AH345" s="533"/>
      <c r="AI345" s="533"/>
      <c r="AJ345" s="146"/>
    </row>
    <row r="346" spans="1:36" ht="15.95" customHeight="1" outlineLevel="1" x14ac:dyDescent="0.35">
      <c r="A346" s="526"/>
      <c r="B346" s="624">
        <v>6</v>
      </c>
      <c r="C346" s="859"/>
      <c r="D346" s="859"/>
      <c r="E346" s="859"/>
      <c r="F346" s="859"/>
      <c r="G346" s="595" t="str">
        <f>IFERROR(INDEX(T08_Spells!$C$3:$C$407,MATCH(Character_Creation!C346,T08_Spells!$B$3:$B$407,0),1),"")</f>
        <v/>
      </c>
      <c r="H346" s="527"/>
      <c r="I346" s="624">
        <v>6</v>
      </c>
      <c r="J346" s="859"/>
      <c r="K346" s="859"/>
      <c r="L346" s="859"/>
      <c r="M346" s="859"/>
      <c r="N346" s="595" t="str">
        <f>IFERROR(INDEX(T08_Spells!$C$3:$C$407,MATCH(Character_Creation!J346,T08_Spells!$B$3:$B$407,0),1),"")</f>
        <v/>
      </c>
      <c r="O346" s="527"/>
      <c r="P346" s="624">
        <v>6</v>
      </c>
      <c r="Q346" s="859"/>
      <c r="R346" s="859"/>
      <c r="S346" s="859"/>
      <c r="T346" s="859"/>
      <c r="U346" s="595" t="str">
        <f>IFERROR(INDEX(T08_Spells!$C$3:$C$407,MATCH(Character_Creation!Q346,T08_Spells!$B$3:$B$407,0),1),"")</f>
        <v/>
      </c>
      <c r="V346" s="534"/>
      <c r="W346" s="624">
        <v>6</v>
      </c>
      <c r="X346" s="936"/>
      <c r="Y346" s="936"/>
      <c r="Z346" s="936"/>
      <c r="AA346" s="936"/>
      <c r="AB346" s="595" t="str">
        <f>IFERROR(INDEX(T08_Spells!$C$3:$C$407,MATCH(Character_Creation!X346,T08_Spells!$B$3:$B$407,0),1),"")</f>
        <v/>
      </c>
      <c r="AC346" s="534"/>
      <c r="AD346" s="534"/>
      <c r="AE346" s="534"/>
      <c r="AF346" s="534"/>
      <c r="AG346" s="533"/>
      <c r="AH346" s="533"/>
      <c r="AI346" s="533"/>
      <c r="AJ346" s="146"/>
    </row>
    <row r="347" spans="1:36" ht="15.95" customHeight="1" outlineLevel="1" x14ac:dyDescent="0.35">
      <c r="A347" s="526"/>
      <c r="B347" s="624">
        <v>7</v>
      </c>
      <c r="C347" s="859"/>
      <c r="D347" s="859"/>
      <c r="E347" s="859"/>
      <c r="F347" s="859"/>
      <c r="G347" s="595" t="str">
        <f>IFERROR(INDEX(T08_Spells!$C$3:$C$407,MATCH(Character_Creation!C347,T08_Spells!$B$3:$B$407,0),1),"")</f>
        <v/>
      </c>
      <c r="H347" s="527"/>
      <c r="I347" s="624">
        <v>7</v>
      </c>
      <c r="J347" s="859"/>
      <c r="K347" s="859"/>
      <c r="L347" s="859"/>
      <c r="M347" s="859"/>
      <c r="N347" s="595" t="str">
        <f>IFERROR(INDEX(T08_Spells!$C$3:$C$407,MATCH(Character_Creation!J347,T08_Spells!$B$3:$B$407,0),1),"")</f>
        <v/>
      </c>
      <c r="O347" s="527"/>
      <c r="P347" s="624">
        <v>7</v>
      </c>
      <c r="Q347" s="859"/>
      <c r="R347" s="859"/>
      <c r="S347" s="859"/>
      <c r="T347" s="859"/>
      <c r="U347" s="595" t="str">
        <f>IFERROR(INDEX(T08_Spells!$C$3:$C$407,MATCH(Character_Creation!Q347,T08_Spells!$B$3:$B$407,0),1),"")</f>
        <v/>
      </c>
      <c r="V347" s="534"/>
      <c r="W347" s="624">
        <v>7</v>
      </c>
      <c r="X347" s="936"/>
      <c r="Y347" s="936"/>
      <c r="Z347" s="936"/>
      <c r="AA347" s="936"/>
      <c r="AB347" s="595" t="str">
        <f>IFERROR(INDEX(T08_Spells!$C$3:$C$407,MATCH(Character_Creation!X347,T08_Spells!$B$3:$B$407,0),1),"")</f>
        <v/>
      </c>
      <c r="AC347" s="534"/>
      <c r="AD347" s="534"/>
      <c r="AE347" s="534"/>
      <c r="AF347" s="534"/>
      <c r="AG347" s="533"/>
      <c r="AH347" s="533"/>
      <c r="AI347" s="533"/>
      <c r="AJ347" s="146"/>
    </row>
    <row r="348" spans="1:36" ht="15.95" customHeight="1" outlineLevel="1" x14ac:dyDescent="0.35">
      <c r="A348" s="526"/>
      <c r="B348" s="624">
        <v>8</v>
      </c>
      <c r="C348" s="859"/>
      <c r="D348" s="859"/>
      <c r="E348" s="859"/>
      <c r="F348" s="859"/>
      <c r="G348" s="595" t="str">
        <f>IFERROR(INDEX(T08_Spells!$C$3:$C$407,MATCH(Character_Creation!C348,T08_Spells!$B$3:$B$407,0),1),"")</f>
        <v/>
      </c>
      <c r="H348" s="527"/>
      <c r="I348" s="624">
        <v>8</v>
      </c>
      <c r="J348" s="859"/>
      <c r="K348" s="859"/>
      <c r="L348" s="859"/>
      <c r="M348" s="859"/>
      <c r="N348" s="595" t="str">
        <f>IFERROR(INDEX(T08_Spells!$C$3:$C$407,MATCH(Character_Creation!J348,T08_Spells!$B$3:$B$407,0),1),"")</f>
        <v/>
      </c>
      <c r="O348" s="527"/>
      <c r="P348" s="624">
        <v>8</v>
      </c>
      <c r="Q348" s="859"/>
      <c r="R348" s="859"/>
      <c r="S348" s="859"/>
      <c r="T348" s="859"/>
      <c r="U348" s="595" t="str">
        <f>IFERROR(INDEX(T08_Spells!$C$3:$C$407,MATCH(Character_Creation!Q348,T08_Spells!$B$3:$B$407,0),1),"")</f>
        <v/>
      </c>
      <c r="V348" s="534"/>
      <c r="W348" s="624">
        <v>8</v>
      </c>
      <c r="X348" s="936"/>
      <c r="Y348" s="936"/>
      <c r="Z348" s="936"/>
      <c r="AA348" s="936"/>
      <c r="AB348" s="595" t="str">
        <f>IFERROR(INDEX(T08_Spells!$C$3:$C$407,MATCH(Character_Creation!X348,T08_Spells!$B$3:$B$407,0),1),"")</f>
        <v/>
      </c>
      <c r="AC348" s="534"/>
      <c r="AD348" s="534"/>
      <c r="AE348" s="534"/>
      <c r="AF348" s="534"/>
      <c r="AG348" s="533"/>
      <c r="AH348" s="533"/>
      <c r="AI348" s="533"/>
      <c r="AJ348" s="146"/>
    </row>
    <row r="349" spans="1:36" ht="15.95" customHeight="1" outlineLevel="1" x14ac:dyDescent="0.35">
      <c r="A349" s="526"/>
      <c r="B349" s="624">
        <v>9</v>
      </c>
      <c r="C349" s="859"/>
      <c r="D349" s="859"/>
      <c r="E349" s="859"/>
      <c r="F349" s="859"/>
      <c r="G349" s="595" t="str">
        <f>IFERROR(INDEX(T08_Spells!$C$3:$C$407,MATCH(Character_Creation!C349,T08_Spells!$B$3:$B$407,0),1),"")</f>
        <v/>
      </c>
      <c r="H349" s="527"/>
      <c r="I349" s="624">
        <v>9</v>
      </c>
      <c r="J349" s="859"/>
      <c r="K349" s="859"/>
      <c r="L349" s="859"/>
      <c r="M349" s="859"/>
      <c r="N349" s="595" t="str">
        <f>IFERROR(INDEX(T08_Spells!$C$3:$C$407,MATCH(Character_Creation!J349,T08_Spells!$B$3:$B$407,0),1),"")</f>
        <v/>
      </c>
      <c r="O349" s="527"/>
      <c r="P349" s="624">
        <v>9</v>
      </c>
      <c r="Q349" s="859"/>
      <c r="R349" s="859"/>
      <c r="S349" s="859"/>
      <c r="T349" s="859"/>
      <c r="U349" s="595" t="str">
        <f>IFERROR(INDEX(T08_Spells!$C$3:$C$407,MATCH(Character_Creation!Q349,T08_Spells!$B$3:$B$407,0),1),"")</f>
        <v/>
      </c>
      <c r="V349" s="534"/>
      <c r="W349" s="624">
        <v>9</v>
      </c>
      <c r="X349" s="936"/>
      <c r="Y349" s="936"/>
      <c r="Z349" s="936"/>
      <c r="AA349" s="936"/>
      <c r="AB349" s="595" t="str">
        <f>IFERROR(INDEX(T08_Spells!$C$3:$C$407,MATCH(Character_Creation!X349,T08_Spells!$B$3:$B$407,0),1),"")</f>
        <v/>
      </c>
      <c r="AC349" s="534"/>
      <c r="AD349" s="534"/>
      <c r="AE349" s="534"/>
      <c r="AF349" s="534"/>
      <c r="AG349" s="533"/>
      <c r="AH349" s="533"/>
      <c r="AI349" s="533"/>
      <c r="AJ349" s="146"/>
    </row>
    <row r="350" spans="1:36" ht="15.95" customHeight="1" outlineLevel="1" x14ac:dyDescent="0.35">
      <c r="A350" s="526"/>
      <c r="B350" s="624">
        <v>10</v>
      </c>
      <c r="C350" s="859"/>
      <c r="D350" s="859"/>
      <c r="E350" s="859"/>
      <c r="F350" s="859"/>
      <c r="G350" s="595" t="str">
        <f>IFERROR(INDEX(T08_Spells!$C$3:$C$407,MATCH(Character_Creation!C350,T08_Spells!$B$3:$B$407,0),1),"")</f>
        <v/>
      </c>
      <c r="H350" s="527"/>
      <c r="I350" s="802" t="s">
        <v>6356</v>
      </c>
      <c r="J350" s="802"/>
      <c r="K350" s="802"/>
      <c r="L350" s="802"/>
      <c r="M350" s="860">
        <f>N350-COUNTIF(N353:N356,"&gt;0")</f>
        <v>1</v>
      </c>
      <c r="N350" s="861">
        <f>EldritchKnightAnySpellKnown</f>
        <v>3</v>
      </c>
      <c r="O350" s="527"/>
      <c r="P350" s="802" t="s">
        <v>6353</v>
      </c>
      <c r="Q350" s="802"/>
      <c r="R350" s="802"/>
      <c r="S350" s="802"/>
      <c r="T350" s="860">
        <f>U350-COUNTIF(U353:U356,"&gt;0")</f>
        <v>0</v>
      </c>
      <c r="U350" s="861">
        <f>ArcaneTricksterAnySpellKnown</f>
        <v>0</v>
      </c>
      <c r="V350" s="534"/>
      <c r="W350" s="624">
        <v>10</v>
      </c>
      <c r="X350" s="936"/>
      <c r="Y350" s="936"/>
      <c r="Z350" s="936"/>
      <c r="AA350" s="936"/>
      <c r="AB350" s="595" t="str">
        <f>IFERROR(INDEX(T08_Spells!$C$3:$C$407,MATCH(Character_Creation!X350,T08_Spells!$B$3:$B$407,0),1),"")</f>
        <v/>
      </c>
      <c r="AC350" s="534"/>
      <c r="AD350" s="534"/>
      <c r="AE350" s="534"/>
      <c r="AF350" s="534"/>
      <c r="AG350" s="533"/>
      <c r="AH350" s="533"/>
      <c r="AI350" s="533"/>
      <c r="AJ350" s="146"/>
    </row>
    <row r="351" spans="1:36" ht="15.95" customHeight="1" outlineLevel="1" x14ac:dyDescent="0.35">
      <c r="A351" s="526"/>
      <c r="B351" s="624">
        <v>11</v>
      </c>
      <c r="C351" s="859"/>
      <c r="D351" s="859"/>
      <c r="E351" s="859"/>
      <c r="F351" s="859"/>
      <c r="G351" s="595" t="str">
        <f>IFERROR(INDEX(T08_Spells!$C$3:$C$407,MATCH(Character_Creation!C351,T08_Spells!$B$3:$B$407,0),1),"")</f>
        <v/>
      </c>
      <c r="H351" s="527"/>
      <c r="I351" s="802"/>
      <c r="J351" s="802"/>
      <c r="K351" s="802"/>
      <c r="L351" s="802"/>
      <c r="M351" s="860"/>
      <c r="N351" s="861"/>
      <c r="O351" s="527"/>
      <c r="P351" s="802"/>
      <c r="Q351" s="802"/>
      <c r="R351" s="802"/>
      <c r="S351" s="802"/>
      <c r="T351" s="860"/>
      <c r="U351" s="861"/>
      <c r="V351" s="534"/>
      <c r="W351" s="624">
        <v>11</v>
      </c>
      <c r="X351" s="936"/>
      <c r="Y351" s="936"/>
      <c r="Z351" s="936"/>
      <c r="AA351" s="936"/>
      <c r="AB351" s="595" t="str">
        <f>IFERROR(INDEX(T08_Spells!$C$3:$C$407,MATCH(Character_Creation!X351,T08_Spells!$B$3:$B$407,0),1),"")</f>
        <v/>
      </c>
      <c r="AC351" s="534"/>
      <c r="AD351" s="534"/>
      <c r="AE351" s="534"/>
      <c r="AF351" s="534"/>
      <c r="AG351" s="533"/>
      <c r="AH351" s="533"/>
      <c r="AI351" s="533"/>
      <c r="AJ351" s="146"/>
    </row>
    <row r="352" spans="1:36" ht="15.95" customHeight="1" outlineLevel="1" x14ac:dyDescent="0.35">
      <c r="A352" s="526"/>
      <c r="B352" s="624">
        <v>12</v>
      </c>
      <c r="C352" s="859"/>
      <c r="D352" s="859"/>
      <c r="E352" s="859"/>
      <c r="F352" s="859"/>
      <c r="G352" s="595" t="str">
        <f>IFERROR(INDEX(T08_Spells!$C$3:$C$407,MATCH(Character_Creation!C352,T08_Spells!$B$3:$B$407,0),1),"")</f>
        <v/>
      </c>
      <c r="H352" s="527"/>
      <c r="I352" s="531"/>
      <c r="J352" s="858" t="s">
        <v>6256</v>
      </c>
      <c r="K352" s="858"/>
      <c r="L352" s="858"/>
      <c r="M352" s="858"/>
      <c r="N352" s="541" t="s">
        <v>62</v>
      </c>
      <c r="O352" s="527"/>
      <c r="P352" s="531"/>
      <c r="Q352" s="858" t="s">
        <v>6256</v>
      </c>
      <c r="R352" s="858"/>
      <c r="S352" s="858"/>
      <c r="T352" s="858"/>
      <c r="U352" s="541" t="s">
        <v>62</v>
      </c>
      <c r="V352" s="534"/>
      <c r="W352" s="624">
        <v>12</v>
      </c>
      <c r="X352" s="936"/>
      <c r="Y352" s="936"/>
      <c r="Z352" s="936"/>
      <c r="AA352" s="936"/>
      <c r="AB352" s="595" t="str">
        <f>IFERROR(INDEX(T08_Spells!$C$3:$C$407,MATCH(Character_Creation!X352,T08_Spells!$B$3:$B$407,0),1),"")</f>
        <v/>
      </c>
      <c r="AC352" s="534"/>
      <c r="AD352" s="534"/>
      <c r="AE352" s="534"/>
      <c r="AF352" s="534"/>
      <c r="AG352" s="533"/>
      <c r="AH352" s="533"/>
      <c r="AI352" s="533"/>
      <c r="AJ352" s="146"/>
    </row>
    <row r="353" spans="1:36" ht="15.95" customHeight="1" outlineLevel="1" x14ac:dyDescent="0.35">
      <c r="A353" s="526"/>
      <c r="B353" s="624">
        <v>13</v>
      </c>
      <c r="C353" s="859"/>
      <c r="D353" s="859"/>
      <c r="E353" s="859"/>
      <c r="F353" s="859"/>
      <c r="G353" s="595" t="str">
        <f>IFERROR(INDEX(T08_Spells!$C$3:$C$407,MATCH(Character_Creation!C353,T08_Spells!$B$3:$B$407,0),1),"")</f>
        <v/>
      </c>
      <c r="H353" s="527"/>
      <c r="I353" s="624">
        <v>1</v>
      </c>
      <c r="J353" s="859" t="s">
        <v>2617</v>
      </c>
      <c r="K353" s="859"/>
      <c r="L353" s="859"/>
      <c r="M353" s="859"/>
      <c r="N353" s="595">
        <f>IFERROR(INDEX(T08_Spells!$C$3:$C$407,MATCH(Character_Creation!J353,T08_Spells!$B$3:$B$407,0),1),"")</f>
        <v>2</v>
      </c>
      <c r="O353" s="527"/>
      <c r="P353" s="624">
        <v>1</v>
      </c>
      <c r="Q353" s="859"/>
      <c r="R353" s="859"/>
      <c r="S353" s="859"/>
      <c r="T353" s="859"/>
      <c r="U353" s="597" t="str">
        <f>IFERROR(INDEX(T08_Spells!$C$3:$C$407,MATCH(Character_Creation!Q353,T08_Spells!$B$3:$B$407,0),1),"")</f>
        <v/>
      </c>
      <c r="V353" s="534"/>
      <c r="W353" s="624">
        <v>13</v>
      </c>
      <c r="X353" s="936"/>
      <c r="Y353" s="936"/>
      <c r="Z353" s="936"/>
      <c r="AA353" s="936"/>
      <c r="AB353" s="595" t="str">
        <f>IFERROR(INDEX(T08_Spells!$C$3:$C$407,MATCH(Character_Creation!X353,T08_Spells!$B$3:$B$407,0),1),"")</f>
        <v/>
      </c>
      <c r="AC353" s="534"/>
      <c r="AD353" s="534"/>
      <c r="AE353" s="534"/>
      <c r="AF353" s="534"/>
      <c r="AG353" s="533"/>
      <c r="AH353" s="533"/>
      <c r="AI353" s="533"/>
      <c r="AJ353" s="146"/>
    </row>
    <row r="354" spans="1:36" ht="15.95" customHeight="1" outlineLevel="1" x14ac:dyDescent="0.35">
      <c r="A354" s="526"/>
      <c r="B354" s="624">
        <v>14</v>
      </c>
      <c r="C354" s="859"/>
      <c r="D354" s="859"/>
      <c r="E354" s="859"/>
      <c r="F354" s="859"/>
      <c r="G354" s="595" t="str">
        <f>IFERROR(INDEX(T08_Spells!$C$3:$C$407,MATCH(Character_Creation!C354,T08_Spells!$B$3:$B$407,0),1),"")</f>
        <v/>
      </c>
      <c r="H354" s="527"/>
      <c r="I354" s="624">
        <v>2</v>
      </c>
      <c r="J354" s="859" t="s">
        <v>2727</v>
      </c>
      <c r="K354" s="859"/>
      <c r="L354" s="859"/>
      <c r="M354" s="859"/>
      <c r="N354" s="595">
        <f>IFERROR(INDEX(T08_Spells!$C$3:$C$407,MATCH(Character_Creation!J354,T08_Spells!$B$3:$B$407,0),1),"")</f>
        <v>1</v>
      </c>
      <c r="O354" s="527"/>
      <c r="P354" s="624">
        <v>2</v>
      </c>
      <c r="Q354" s="859"/>
      <c r="R354" s="859"/>
      <c r="S354" s="859"/>
      <c r="T354" s="859"/>
      <c r="U354" s="597" t="str">
        <f>IFERROR(INDEX(T08_Spells!$C$3:$C$407,MATCH(Character_Creation!Q354,T08_Spells!$B$3:$B$407,0),1),"")</f>
        <v/>
      </c>
      <c r="V354" s="534"/>
      <c r="W354" s="624">
        <v>14</v>
      </c>
      <c r="X354" s="936"/>
      <c r="Y354" s="936"/>
      <c r="Z354" s="936"/>
      <c r="AA354" s="936"/>
      <c r="AB354" s="595" t="str">
        <f>IFERROR(INDEX(T08_Spells!$C$3:$C$407,MATCH(Character_Creation!X354,T08_Spells!$B$3:$B$407,0),1),"")</f>
        <v/>
      </c>
      <c r="AC354" s="534"/>
      <c r="AD354" s="534"/>
      <c r="AE354" s="534"/>
      <c r="AF354" s="534"/>
      <c r="AG354" s="533"/>
      <c r="AH354" s="533"/>
      <c r="AI354" s="533"/>
      <c r="AJ354" s="146"/>
    </row>
    <row r="355" spans="1:36" ht="15.95" customHeight="1" outlineLevel="1" x14ac:dyDescent="0.35">
      <c r="A355" s="526"/>
      <c r="B355" s="624">
        <v>15</v>
      </c>
      <c r="C355" s="859"/>
      <c r="D355" s="859"/>
      <c r="E355" s="859"/>
      <c r="F355" s="859"/>
      <c r="G355" s="595" t="str">
        <f>IFERROR(INDEX(T08_Spells!$C$3:$C$407,MATCH(Character_Creation!C355,T08_Spells!$B$3:$B$407,0),1),"")</f>
        <v/>
      </c>
      <c r="H355" s="527"/>
      <c r="I355" s="624">
        <v>3</v>
      </c>
      <c r="J355" s="859"/>
      <c r="K355" s="859"/>
      <c r="L355" s="859"/>
      <c r="M355" s="859"/>
      <c r="N355" s="595" t="str">
        <f>IFERROR(INDEX(T08_Spells!$C$3:$C$407,MATCH(Character_Creation!J355,T08_Spells!$B$3:$B$407,0),1),"")</f>
        <v/>
      </c>
      <c r="O355" s="527"/>
      <c r="P355" s="624">
        <v>3</v>
      </c>
      <c r="Q355" s="859"/>
      <c r="R355" s="859"/>
      <c r="S355" s="859"/>
      <c r="T355" s="859"/>
      <c r="U355" s="597" t="str">
        <f>IFERROR(INDEX(T08_Spells!$C$3:$C$407,MATCH(Character_Creation!Q355,T08_Spells!$B$3:$B$407,0),1),"")</f>
        <v/>
      </c>
      <c r="V355" s="534"/>
      <c r="W355" s="624">
        <v>15</v>
      </c>
      <c r="X355" s="936"/>
      <c r="Y355" s="936"/>
      <c r="Z355" s="936"/>
      <c r="AA355" s="936"/>
      <c r="AB355" s="595" t="str">
        <f>IFERROR(INDEX(T08_Spells!$C$3:$C$407,MATCH(Character_Creation!X355,T08_Spells!$B$3:$B$407,0),1),"")</f>
        <v/>
      </c>
      <c r="AC355" s="534"/>
      <c r="AD355" s="534"/>
      <c r="AE355" s="534"/>
      <c r="AF355" s="534"/>
      <c r="AG355" s="533"/>
      <c r="AH355" s="533"/>
      <c r="AI355" s="533"/>
      <c r="AJ355" s="146"/>
    </row>
    <row r="356" spans="1:36" ht="15.95" customHeight="1" outlineLevel="1" thickBot="1" x14ac:dyDescent="0.4">
      <c r="A356" s="526"/>
      <c r="B356" s="624">
        <v>16</v>
      </c>
      <c r="C356" s="859"/>
      <c r="D356" s="859"/>
      <c r="E356" s="859"/>
      <c r="F356" s="859"/>
      <c r="G356" s="595" t="str">
        <f>IFERROR(INDEX(T08_Spells!$C$3:$C$407,MATCH(Character_Creation!C356,T08_Spells!$B$3:$B$407,0),1),"")</f>
        <v/>
      </c>
      <c r="H356" s="527"/>
      <c r="I356" s="624">
        <v>4</v>
      </c>
      <c r="J356" s="859"/>
      <c r="K356" s="859"/>
      <c r="L356" s="859"/>
      <c r="M356" s="859"/>
      <c r="N356" s="595" t="str">
        <f>IFERROR(INDEX(T08_Spells!$C$3:$C$407,MATCH(Character_Creation!J356,T08_Spells!$B$3:$B$407,0),1),"")</f>
        <v/>
      </c>
      <c r="O356" s="527"/>
      <c r="P356" s="624">
        <v>4</v>
      </c>
      <c r="Q356" s="859"/>
      <c r="R356" s="859"/>
      <c r="S356" s="859"/>
      <c r="T356" s="859"/>
      <c r="U356" s="597" t="str">
        <f>IFERROR(INDEX(T08_Spells!$C$3:$C$407,MATCH(Character_Creation!Q356,T08_Spells!$B$3:$B$407,0),1),"")</f>
        <v/>
      </c>
      <c r="V356" s="534"/>
      <c r="W356" s="624">
        <v>16</v>
      </c>
      <c r="X356" s="936"/>
      <c r="Y356" s="936"/>
      <c r="Z356" s="936"/>
      <c r="AA356" s="936"/>
      <c r="AB356" s="595" t="str">
        <f>IFERROR(INDEX(T08_Spells!$C$3:$C$407,MATCH(Character_Creation!X356,T08_Spells!$B$3:$B$407,0),1),"")</f>
        <v/>
      </c>
      <c r="AC356" s="534"/>
      <c r="AD356" s="534"/>
      <c r="AE356" s="534"/>
      <c r="AF356" s="534"/>
      <c r="AG356" s="533"/>
      <c r="AH356" s="533"/>
      <c r="AI356" s="533"/>
      <c r="AJ356" s="146"/>
    </row>
    <row r="357" spans="1:36" ht="15.95" customHeight="1" outlineLevel="1" thickTop="1" thickBot="1" x14ac:dyDescent="0.4">
      <c r="A357" s="526"/>
      <c r="B357" s="624">
        <v>17</v>
      </c>
      <c r="C357" s="859"/>
      <c r="D357" s="859"/>
      <c r="E357" s="859"/>
      <c r="F357" s="859"/>
      <c r="G357" s="595" t="str">
        <f>IFERROR(INDEX(T08_Spells!$C$3:$C$407,MATCH(Character_Creation!C357,T08_Spells!$B$3:$B$407,0),1),"")</f>
        <v/>
      </c>
      <c r="H357" s="527"/>
      <c r="I357" s="771" t="s">
        <v>6641</v>
      </c>
      <c r="J357" s="772"/>
      <c r="K357" s="772"/>
      <c r="L357" s="772"/>
      <c r="M357" s="772"/>
      <c r="N357" s="773"/>
      <c r="O357" s="527"/>
      <c r="P357" s="771" t="s">
        <v>6644</v>
      </c>
      <c r="Q357" s="772"/>
      <c r="R357" s="772"/>
      <c r="S357" s="772"/>
      <c r="T357" s="772"/>
      <c r="U357" s="773"/>
      <c r="V357" s="534"/>
      <c r="W357" s="624">
        <v>17</v>
      </c>
      <c r="X357" s="936"/>
      <c r="Y357" s="936"/>
      <c r="Z357" s="936"/>
      <c r="AA357" s="936"/>
      <c r="AB357" s="595" t="str">
        <f>IFERROR(INDEX(T08_Spells!$C$3:$C$407,MATCH(Character_Creation!X357,T08_Spells!$B$3:$B$407,0),1),"")</f>
        <v/>
      </c>
      <c r="AC357" s="534"/>
      <c r="AD357" s="534"/>
      <c r="AE357" s="534"/>
      <c r="AF357" s="534"/>
      <c r="AG357" s="533"/>
      <c r="AH357" s="533"/>
      <c r="AI357" s="533"/>
      <c r="AJ357" s="146"/>
    </row>
    <row r="358" spans="1:36" ht="15.95" customHeight="1" outlineLevel="1" thickTop="1" x14ac:dyDescent="0.35">
      <c r="A358" s="526"/>
      <c r="B358" s="624">
        <v>18</v>
      </c>
      <c r="C358" s="859"/>
      <c r="D358" s="859"/>
      <c r="E358" s="859"/>
      <c r="F358" s="859"/>
      <c r="G358" s="595" t="str">
        <f>IFERROR(INDEX(T08_Spells!$C$3:$C$407,MATCH(Character_Creation!C358,T08_Spells!$B$3:$B$407,0),1),"")</f>
        <v/>
      </c>
      <c r="H358" s="527"/>
      <c r="I358" s="802" t="s">
        <v>624</v>
      </c>
      <c r="J358" s="802"/>
      <c r="K358" s="802"/>
      <c r="L358" s="802"/>
      <c r="M358" s="860">
        <f>N358-COUNTIF(N361:N375,"&gt;0")</f>
        <v>0</v>
      </c>
      <c r="N358" s="861">
        <f>WarlockSpellsKnown</f>
        <v>0</v>
      </c>
      <c r="O358" s="534"/>
      <c r="P358" s="534"/>
      <c r="Q358" s="534"/>
      <c r="R358" s="534"/>
      <c r="S358" s="534"/>
      <c r="T358" s="534"/>
      <c r="U358" s="534"/>
      <c r="V358" s="534"/>
      <c r="W358" s="624">
        <v>18</v>
      </c>
      <c r="X358" s="936"/>
      <c r="Y358" s="936"/>
      <c r="Z358" s="936"/>
      <c r="AA358" s="936"/>
      <c r="AB358" s="595" t="str">
        <f>IFERROR(INDEX(T08_Spells!$C$3:$C$407,MATCH(Character_Creation!X358,T08_Spells!$B$3:$B$407,0),1),"")</f>
        <v/>
      </c>
      <c r="AC358" s="534"/>
      <c r="AD358" s="534"/>
      <c r="AE358" s="534"/>
      <c r="AF358" s="534"/>
      <c r="AG358" s="533"/>
      <c r="AH358" s="533"/>
      <c r="AI358" s="533"/>
      <c r="AJ358" s="146"/>
    </row>
    <row r="359" spans="1:36" ht="15.95" customHeight="1" outlineLevel="1" x14ac:dyDescent="0.35">
      <c r="A359" s="526"/>
      <c r="B359" s="624">
        <v>19</v>
      </c>
      <c r="C359" s="859"/>
      <c r="D359" s="859"/>
      <c r="E359" s="859"/>
      <c r="F359" s="859"/>
      <c r="G359" s="595" t="str">
        <f>IFERROR(INDEX(T08_Spells!$C$3:$C$407,MATCH(Character_Creation!C359,T08_Spells!$B$3:$B$407,0),1),"")</f>
        <v/>
      </c>
      <c r="H359" s="527"/>
      <c r="I359" s="802"/>
      <c r="J359" s="802"/>
      <c r="K359" s="802"/>
      <c r="L359" s="802"/>
      <c r="M359" s="860"/>
      <c r="N359" s="861"/>
      <c r="O359" s="527"/>
      <c r="P359" s="802" t="s">
        <v>3092</v>
      </c>
      <c r="Q359" s="802"/>
      <c r="R359" s="802"/>
      <c r="S359" s="802"/>
      <c r="T359" s="803"/>
      <c r="U359" s="804"/>
      <c r="V359" s="534"/>
      <c r="W359" s="624">
        <v>19</v>
      </c>
      <c r="X359" s="936"/>
      <c r="Y359" s="936"/>
      <c r="Z359" s="936"/>
      <c r="AA359" s="936"/>
      <c r="AB359" s="595" t="str">
        <f>IFERROR(INDEX(T08_Spells!$C$3:$C$407,MATCH(Character_Creation!X359,T08_Spells!$B$3:$B$407,0),1),"")</f>
        <v/>
      </c>
      <c r="AC359" s="534"/>
      <c r="AD359" s="534"/>
      <c r="AE359" s="534"/>
      <c r="AF359" s="534"/>
      <c r="AG359" s="533"/>
      <c r="AH359" s="533"/>
      <c r="AI359" s="533"/>
      <c r="AJ359" s="146"/>
    </row>
    <row r="360" spans="1:36" ht="15.95" customHeight="1" outlineLevel="1" x14ac:dyDescent="0.35">
      <c r="A360" s="526"/>
      <c r="B360" s="624">
        <v>20</v>
      </c>
      <c r="C360" s="859"/>
      <c r="D360" s="859"/>
      <c r="E360" s="859"/>
      <c r="F360" s="859"/>
      <c r="G360" s="595" t="str">
        <f>IFERROR(INDEX(T08_Spells!$C$3:$C$407,MATCH(Character_Creation!C360,T08_Spells!$B$3:$B$407,0),1),"")</f>
        <v/>
      </c>
      <c r="H360" s="527"/>
      <c r="I360" s="531"/>
      <c r="J360" s="858" t="s">
        <v>6256</v>
      </c>
      <c r="K360" s="858"/>
      <c r="L360" s="858"/>
      <c r="M360" s="858"/>
      <c r="N360" s="541" t="s">
        <v>62</v>
      </c>
      <c r="O360" s="527"/>
      <c r="P360" s="802"/>
      <c r="Q360" s="802"/>
      <c r="R360" s="802"/>
      <c r="S360" s="802"/>
      <c r="T360" s="803"/>
      <c r="U360" s="804"/>
      <c r="V360" s="534"/>
      <c r="W360" s="624">
        <v>20</v>
      </c>
      <c r="X360" s="936"/>
      <c r="Y360" s="936"/>
      <c r="Z360" s="936"/>
      <c r="AA360" s="936"/>
      <c r="AB360" s="595" t="str">
        <f>IFERROR(INDEX(T08_Spells!$C$3:$C$407,MATCH(Character_Creation!X360,T08_Spells!$B$3:$B$407,0),1),"")</f>
        <v/>
      </c>
      <c r="AC360" s="534"/>
      <c r="AD360" s="534"/>
      <c r="AE360" s="534"/>
      <c r="AF360" s="534"/>
      <c r="AG360" s="533"/>
      <c r="AH360" s="533"/>
      <c r="AI360" s="533"/>
      <c r="AJ360" s="146"/>
    </row>
    <row r="361" spans="1:36" ht="15.95" customHeight="1" outlineLevel="1" x14ac:dyDescent="0.35">
      <c r="A361" s="526"/>
      <c r="B361" s="624">
        <v>21</v>
      </c>
      <c r="C361" s="859"/>
      <c r="D361" s="859"/>
      <c r="E361" s="859"/>
      <c r="F361" s="859"/>
      <c r="G361" s="595" t="str">
        <f>IFERROR(INDEX(T08_Spells!$C$3:$C$407,MATCH(Character_Creation!C361,T08_Spells!$B$3:$B$407,0),1),"")</f>
        <v/>
      </c>
      <c r="H361" s="527"/>
      <c r="I361" s="624">
        <v>1</v>
      </c>
      <c r="J361" s="859"/>
      <c r="K361" s="859"/>
      <c r="L361" s="859"/>
      <c r="M361" s="859"/>
      <c r="N361" s="595" t="str">
        <f>IFERROR(INDEX(T08_Spells!$C$3:$C$407,MATCH(Character_Creation!J361,T08_Spells!$B$3:$B$407,0),1),"")</f>
        <v/>
      </c>
      <c r="O361" s="527"/>
      <c r="P361" s="624">
        <v>1</v>
      </c>
      <c r="Q361" s="857"/>
      <c r="R361" s="857"/>
      <c r="S361" s="857"/>
      <c r="T361" s="857"/>
      <c r="U361" s="606"/>
      <c r="V361" s="534"/>
      <c r="W361" s="624">
        <v>21</v>
      </c>
      <c r="X361" s="936"/>
      <c r="Y361" s="936"/>
      <c r="Z361" s="936"/>
      <c r="AA361" s="936"/>
      <c r="AB361" s="595" t="str">
        <f>IFERROR(INDEX(T08_Spells!$C$3:$C$407,MATCH(Character_Creation!X361,T08_Spells!$B$3:$B$407,0),1),"")</f>
        <v/>
      </c>
      <c r="AC361" s="534"/>
      <c r="AD361" s="534"/>
      <c r="AE361" s="534"/>
      <c r="AF361" s="534"/>
      <c r="AG361" s="533"/>
      <c r="AH361" s="533"/>
      <c r="AI361" s="533"/>
      <c r="AJ361" s="146"/>
    </row>
    <row r="362" spans="1:36" ht="15.95" customHeight="1" outlineLevel="1" x14ac:dyDescent="0.35">
      <c r="A362" s="526"/>
      <c r="B362" s="624">
        <v>22</v>
      </c>
      <c r="C362" s="859"/>
      <c r="D362" s="859"/>
      <c r="E362" s="859"/>
      <c r="F362" s="859"/>
      <c r="G362" s="595" t="str">
        <f>IFERROR(INDEX(T08_Spells!$C$3:$C$407,MATCH(Character_Creation!C362,T08_Spells!$B$3:$B$407,0),1),"")</f>
        <v/>
      </c>
      <c r="H362" s="527"/>
      <c r="I362" s="624">
        <v>2</v>
      </c>
      <c r="J362" s="859"/>
      <c r="K362" s="859"/>
      <c r="L362" s="859"/>
      <c r="M362" s="859"/>
      <c r="N362" s="595" t="str">
        <f>IFERROR(INDEX(T08_Spells!$C$3:$C$407,MATCH(Character_Creation!J362,T08_Spells!$B$3:$B$407,0),1),"")</f>
        <v/>
      </c>
      <c r="O362" s="527"/>
      <c r="P362" s="624">
        <v>2</v>
      </c>
      <c r="Q362" s="857"/>
      <c r="R362" s="857"/>
      <c r="S362" s="857"/>
      <c r="T362" s="857"/>
      <c r="U362" s="606"/>
      <c r="V362" s="534"/>
      <c r="W362" s="624">
        <v>22</v>
      </c>
      <c r="X362" s="936"/>
      <c r="Y362" s="936"/>
      <c r="Z362" s="936"/>
      <c r="AA362" s="936"/>
      <c r="AB362" s="595" t="str">
        <f>IFERROR(INDEX(T08_Spells!$C$3:$C$407,MATCH(Character_Creation!X362,T08_Spells!$B$3:$B$407,0),1),"")</f>
        <v/>
      </c>
      <c r="AC362" s="534"/>
      <c r="AD362" s="534"/>
      <c r="AE362" s="534"/>
      <c r="AF362" s="534"/>
      <c r="AG362" s="533"/>
      <c r="AH362" s="533"/>
      <c r="AI362" s="533"/>
      <c r="AJ362" s="146"/>
    </row>
    <row r="363" spans="1:36" ht="15.95" customHeight="1" outlineLevel="1" x14ac:dyDescent="0.35">
      <c r="A363" s="526"/>
      <c r="B363" s="527"/>
      <c r="C363" s="527"/>
      <c r="D363" s="527"/>
      <c r="E363" s="527"/>
      <c r="F363" s="527"/>
      <c r="G363" s="596"/>
      <c r="H363" s="527"/>
      <c r="I363" s="624">
        <v>3</v>
      </c>
      <c r="J363" s="859"/>
      <c r="K363" s="859"/>
      <c r="L363" s="859"/>
      <c r="M363" s="859"/>
      <c r="N363" s="595" t="str">
        <f>IFERROR(INDEX(T08_Spells!$C$3:$C$407,MATCH(Character_Creation!J363,T08_Spells!$B$3:$B$407,0),1),"")</f>
        <v/>
      </c>
      <c r="O363" s="534"/>
      <c r="P363" s="534"/>
      <c r="Q363" s="534"/>
      <c r="R363" s="534"/>
      <c r="S363" s="534"/>
      <c r="T363" s="534"/>
      <c r="U363" s="534"/>
      <c r="V363" s="534"/>
      <c r="W363" s="624">
        <v>23</v>
      </c>
      <c r="X363" s="936"/>
      <c r="Y363" s="936"/>
      <c r="Z363" s="936"/>
      <c r="AA363" s="936"/>
      <c r="AB363" s="595" t="str">
        <f>IFERROR(INDEX(T08_Spells!$C$3:$C$407,MATCH(Character_Creation!X363,T08_Spells!$B$3:$B$407,0),1),"")</f>
        <v/>
      </c>
      <c r="AC363" s="534"/>
      <c r="AD363" s="534"/>
      <c r="AE363" s="534"/>
      <c r="AF363" s="534"/>
      <c r="AG363" s="533"/>
      <c r="AH363" s="533"/>
      <c r="AI363" s="533"/>
      <c r="AJ363" s="146"/>
    </row>
    <row r="364" spans="1:36" ht="15.95" customHeight="1" outlineLevel="1" x14ac:dyDescent="0.35">
      <c r="A364" s="526"/>
      <c r="B364" s="802" t="s">
        <v>3104</v>
      </c>
      <c r="C364" s="802"/>
      <c r="D364" s="802"/>
      <c r="E364" s="802"/>
      <c r="F364" s="860">
        <f>G364-8+COUNTIF(G367:G374,"")</f>
        <v>0</v>
      </c>
      <c r="G364" s="804">
        <f>BardMagicalSecrets</f>
        <v>0</v>
      </c>
      <c r="H364" s="527"/>
      <c r="I364" s="624">
        <v>4</v>
      </c>
      <c r="J364" s="859"/>
      <c r="K364" s="859"/>
      <c r="L364" s="859"/>
      <c r="M364" s="859"/>
      <c r="N364" s="595" t="str">
        <f>IFERROR(INDEX(T08_Spells!$C$3:$C$407,MATCH(Character_Creation!J364,T08_Spells!$B$3:$B$407,0),1),"")</f>
        <v/>
      </c>
      <c r="O364" s="534"/>
      <c r="P364" s="534"/>
      <c r="Q364" s="534"/>
      <c r="R364" s="534"/>
      <c r="S364" s="534"/>
      <c r="T364" s="534"/>
      <c r="U364" s="534"/>
      <c r="V364" s="534"/>
      <c r="W364" s="624">
        <v>24</v>
      </c>
      <c r="X364" s="936"/>
      <c r="Y364" s="936"/>
      <c r="Z364" s="936"/>
      <c r="AA364" s="936"/>
      <c r="AB364" s="595" t="str">
        <f>IFERROR(INDEX(T08_Spells!$C$3:$C$407,MATCH(Character_Creation!X364,T08_Spells!$B$3:$B$407,0),1),"")</f>
        <v/>
      </c>
      <c r="AC364" s="534"/>
      <c r="AD364" s="534"/>
      <c r="AE364" s="534"/>
      <c r="AF364" s="534"/>
      <c r="AG364" s="533"/>
      <c r="AH364" s="533"/>
      <c r="AI364" s="533"/>
      <c r="AJ364" s="146"/>
    </row>
    <row r="365" spans="1:36" ht="15.95" customHeight="1" outlineLevel="1" x14ac:dyDescent="0.35">
      <c r="A365" s="526"/>
      <c r="B365" s="802"/>
      <c r="C365" s="802"/>
      <c r="D365" s="802"/>
      <c r="E365" s="802"/>
      <c r="F365" s="860"/>
      <c r="G365" s="804"/>
      <c r="H365" s="527"/>
      <c r="I365" s="624">
        <v>5</v>
      </c>
      <c r="J365" s="859"/>
      <c r="K365" s="859"/>
      <c r="L365" s="859"/>
      <c r="M365" s="859"/>
      <c r="N365" s="595" t="str">
        <f>IFERROR(INDEX(T08_Spells!$C$3:$C$407,MATCH(Character_Creation!J365,T08_Spells!$B$3:$B$407,0),1),"")</f>
        <v/>
      </c>
      <c r="O365" s="527"/>
      <c r="P365" s="802" t="s">
        <v>5111</v>
      </c>
      <c r="Q365" s="802"/>
      <c r="R365" s="802"/>
      <c r="S365" s="934"/>
      <c r="T365" s="934"/>
      <c r="U365" s="934"/>
      <c r="V365" s="534"/>
      <c r="W365" s="624">
        <v>25</v>
      </c>
      <c r="X365" s="936"/>
      <c r="Y365" s="936"/>
      <c r="Z365" s="936"/>
      <c r="AA365" s="936"/>
      <c r="AB365" s="595" t="str">
        <f>IFERROR(INDEX(T08_Spells!$C$3:$C$407,MATCH(Character_Creation!X365,T08_Spells!$B$3:$B$407,0),1),"")</f>
        <v/>
      </c>
      <c r="AC365" s="534"/>
      <c r="AD365" s="534"/>
      <c r="AE365" s="534"/>
      <c r="AF365" s="534"/>
      <c r="AG365" s="533"/>
      <c r="AH365" s="533"/>
      <c r="AI365" s="533"/>
      <c r="AJ365" s="146"/>
    </row>
    <row r="366" spans="1:36" ht="15.95" customHeight="1" outlineLevel="1" x14ac:dyDescent="0.35">
      <c r="A366" s="526"/>
      <c r="B366" s="531"/>
      <c r="C366" s="858" t="s">
        <v>6256</v>
      </c>
      <c r="D366" s="858"/>
      <c r="E366" s="858"/>
      <c r="F366" s="858"/>
      <c r="G366" s="541" t="s">
        <v>62</v>
      </c>
      <c r="H366" s="534"/>
      <c r="I366" s="624">
        <v>6</v>
      </c>
      <c r="J366" s="859"/>
      <c r="K366" s="859"/>
      <c r="L366" s="859"/>
      <c r="M366" s="859"/>
      <c r="N366" s="595" t="str">
        <f>IFERROR(INDEX(T08_Spells!$C$3:$C$407,MATCH(Character_Creation!J366,T08_Spells!$B$3:$B$407,0),1),"")</f>
        <v/>
      </c>
      <c r="O366" s="534"/>
      <c r="P366" s="802"/>
      <c r="Q366" s="802"/>
      <c r="R366" s="802"/>
      <c r="S366" s="934"/>
      <c r="T366" s="934"/>
      <c r="U366" s="934"/>
      <c r="V366" s="534"/>
      <c r="W366" s="624">
        <v>26</v>
      </c>
      <c r="X366" s="936"/>
      <c r="Y366" s="936"/>
      <c r="Z366" s="936"/>
      <c r="AA366" s="936"/>
      <c r="AB366" s="595" t="str">
        <f>IFERROR(INDEX(T08_Spells!$C$3:$C$407,MATCH(Character_Creation!X366,T08_Spells!$B$3:$B$407,0),1),"")</f>
        <v/>
      </c>
      <c r="AC366" s="534"/>
      <c r="AD366" s="534"/>
      <c r="AE366" s="534"/>
      <c r="AF366" s="534"/>
      <c r="AG366" s="533"/>
      <c r="AH366" s="533"/>
      <c r="AI366" s="533"/>
      <c r="AJ366" s="146"/>
    </row>
    <row r="367" spans="1:36" ht="15.95" customHeight="1" outlineLevel="1" x14ac:dyDescent="0.35">
      <c r="A367" s="526"/>
      <c r="B367" s="624">
        <v>1</v>
      </c>
      <c r="C367" s="859"/>
      <c r="D367" s="859"/>
      <c r="E367" s="859"/>
      <c r="F367" s="859"/>
      <c r="G367" s="543" t="str">
        <f>IFERROR(INDEX(T08_Spells!$C$3:$C$407,MATCH(Character_Creation!C367,T08_Spells!$B$3:$B$407,0),1),"")</f>
        <v/>
      </c>
      <c r="H367" s="534"/>
      <c r="I367" s="624">
        <v>7</v>
      </c>
      <c r="J367" s="859"/>
      <c r="K367" s="859"/>
      <c r="L367" s="859"/>
      <c r="M367" s="859"/>
      <c r="N367" s="595" t="str">
        <f>IFERROR(INDEX(T08_Spells!$C$3:$C$407,MATCH(Character_Creation!J367,T08_Spells!$B$3:$B$407,0),1),"")</f>
        <v/>
      </c>
      <c r="O367" s="534"/>
      <c r="P367" s="531"/>
      <c r="Q367" s="858" t="s">
        <v>6256</v>
      </c>
      <c r="R367" s="858"/>
      <c r="S367" s="858"/>
      <c r="T367" s="858"/>
      <c r="U367" s="541" t="s">
        <v>62</v>
      </c>
      <c r="V367" s="534"/>
      <c r="W367" s="624">
        <v>27</v>
      </c>
      <c r="X367" s="936"/>
      <c r="Y367" s="936"/>
      <c r="Z367" s="936"/>
      <c r="AA367" s="936"/>
      <c r="AB367" s="595" t="str">
        <f>IFERROR(INDEX(T08_Spells!$C$3:$C$407,MATCH(Character_Creation!X367,T08_Spells!$B$3:$B$407,0),1),"")</f>
        <v/>
      </c>
      <c r="AC367" s="534"/>
      <c r="AD367" s="534"/>
      <c r="AE367" s="534"/>
      <c r="AF367" s="534"/>
      <c r="AG367" s="533"/>
      <c r="AH367" s="533"/>
      <c r="AI367" s="533"/>
      <c r="AJ367" s="146"/>
    </row>
    <row r="368" spans="1:36" ht="15.95" customHeight="1" outlineLevel="1" x14ac:dyDescent="0.35">
      <c r="A368" s="526"/>
      <c r="B368" s="624">
        <v>2</v>
      </c>
      <c r="C368" s="859"/>
      <c r="D368" s="859"/>
      <c r="E368" s="859"/>
      <c r="F368" s="859"/>
      <c r="G368" s="543" t="str">
        <f>IFERROR(INDEX(T08_Spells!$C$3:$C$407,MATCH(Character_Creation!C368,T08_Spells!$B$3:$B$407,0),1),"")</f>
        <v/>
      </c>
      <c r="H368" s="534"/>
      <c r="I368" s="624">
        <v>8</v>
      </c>
      <c r="J368" s="859"/>
      <c r="K368" s="859"/>
      <c r="L368" s="859"/>
      <c r="M368" s="859"/>
      <c r="N368" s="595" t="str">
        <f>IFERROR(INDEX(T08_Spells!$C$3:$C$407,MATCH(Character_Creation!J368,T08_Spells!$B$3:$B$407,0),1),"")</f>
        <v/>
      </c>
      <c r="O368" s="534"/>
      <c r="P368" s="624">
        <v>1</v>
      </c>
      <c r="Q368" s="935"/>
      <c r="R368" s="935"/>
      <c r="S368" s="935"/>
      <c r="T368" s="935"/>
      <c r="U368" s="595" t="str">
        <f>IFERROR(INDEX(T08_Spells!$C$3:$C$407,MATCH(Character_Creation!Q368,T08_Spells!$B$3:$B$407,0),1),"")</f>
        <v/>
      </c>
      <c r="V368" s="534"/>
      <c r="W368" s="624">
        <v>28</v>
      </c>
      <c r="X368" s="936"/>
      <c r="Y368" s="936"/>
      <c r="Z368" s="936"/>
      <c r="AA368" s="936"/>
      <c r="AB368" s="595" t="str">
        <f>IFERROR(INDEX(T08_Spells!$C$3:$C$407,MATCH(Character_Creation!X368,T08_Spells!$B$3:$B$407,0),1),"")</f>
        <v/>
      </c>
      <c r="AC368" s="534"/>
      <c r="AD368" s="534"/>
      <c r="AE368" s="534"/>
      <c r="AF368" s="534"/>
      <c r="AG368" s="533"/>
      <c r="AH368" s="533"/>
      <c r="AI368" s="533"/>
      <c r="AJ368" s="146"/>
    </row>
    <row r="369" spans="1:36" ht="15.95" customHeight="1" outlineLevel="1" x14ac:dyDescent="0.35">
      <c r="A369" s="526"/>
      <c r="B369" s="624">
        <v>3</v>
      </c>
      <c r="C369" s="859"/>
      <c r="D369" s="859"/>
      <c r="E369" s="859"/>
      <c r="F369" s="859"/>
      <c r="G369" s="547" t="str">
        <f>IFERROR(INDEX(T08_Spells!$C$3:$C$407,MATCH(Character_Creation!C369,T08_Spells!$B$3:$B$407,0),1),"")</f>
        <v/>
      </c>
      <c r="H369" s="534"/>
      <c r="I369" s="624">
        <v>9</v>
      </c>
      <c r="J369" s="859"/>
      <c r="K369" s="859"/>
      <c r="L369" s="859"/>
      <c r="M369" s="859"/>
      <c r="N369" s="595" t="str">
        <f>IFERROR(INDEX(T08_Spells!$C$3:$C$407,MATCH(Character_Creation!J369,T08_Spells!$B$3:$B$407,0),1),"")</f>
        <v/>
      </c>
      <c r="O369" s="534"/>
      <c r="P369" s="624">
        <v>2</v>
      </c>
      <c r="Q369" s="935"/>
      <c r="R369" s="935"/>
      <c r="S369" s="935"/>
      <c r="T369" s="935"/>
      <c r="U369" s="595" t="str">
        <f>IFERROR(INDEX(T08_Spells!$C$3:$C$407,MATCH(Character_Creation!Q369,T08_Spells!$B$3:$B$407,0),1),"")</f>
        <v/>
      </c>
      <c r="V369" s="534"/>
      <c r="W369" s="624">
        <v>29</v>
      </c>
      <c r="X369" s="936"/>
      <c r="Y369" s="936"/>
      <c r="Z369" s="936"/>
      <c r="AA369" s="936"/>
      <c r="AB369" s="595" t="str">
        <f>IFERROR(INDEX(T08_Spells!$C$3:$C$407,MATCH(Character_Creation!X369,T08_Spells!$B$3:$B$407,0),1),"")</f>
        <v/>
      </c>
      <c r="AC369" s="534"/>
      <c r="AD369" s="534"/>
      <c r="AE369" s="534"/>
      <c r="AF369" s="534"/>
      <c r="AG369" s="533"/>
      <c r="AH369" s="533"/>
      <c r="AI369" s="533"/>
      <c r="AJ369" s="146"/>
    </row>
    <row r="370" spans="1:36" ht="15.95" customHeight="1" outlineLevel="1" x14ac:dyDescent="0.35">
      <c r="A370" s="526"/>
      <c r="B370" s="624">
        <v>4</v>
      </c>
      <c r="C370" s="859"/>
      <c r="D370" s="859"/>
      <c r="E370" s="859"/>
      <c r="F370" s="859"/>
      <c r="G370" s="543" t="str">
        <f>IFERROR(INDEX(T08_Spells!$C$3:$C$407,MATCH(Character_Creation!C370,T08_Spells!$B$3:$B$407,0),1),"")</f>
        <v/>
      </c>
      <c r="H370" s="534"/>
      <c r="I370" s="624">
        <v>10</v>
      </c>
      <c r="J370" s="859"/>
      <c r="K370" s="859"/>
      <c r="L370" s="859"/>
      <c r="M370" s="859"/>
      <c r="N370" s="595" t="str">
        <f>IFERROR(INDEX(T08_Spells!$C$3:$C$407,MATCH(Character_Creation!J370,T08_Spells!$B$3:$B$407,0),1),"")</f>
        <v/>
      </c>
      <c r="O370" s="534"/>
      <c r="P370" s="624">
        <v>3</v>
      </c>
      <c r="Q370" s="935"/>
      <c r="R370" s="935"/>
      <c r="S370" s="935"/>
      <c r="T370" s="935"/>
      <c r="U370" s="595" t="str">
        <f>IFERROR(INDEX(T08_Spells!$C$3:$C$407,MATCH(Character_Creation!Q370,T08_Spells!$B$3:$B$407,0),1),"")</f>
        <v/>
      </c>
      <c r="V370" s="534"/>
      <c r="W370" s="624">
        <v>30</v>
      </c>
      <c r="X370" s="936"/>
      <c r="Y370" s="936"/>
      <c r="Z370" s="936"/>
      <c r="AA370" s="936"/>
      <c r="AB370" s="595" t="str">
        <f>IFERROR(INDEX(T08_Spells!$C$3:$C$407,MATCH(Character_Creation!X370,T08_Spells!$B$3:$B$407,0),1),"")</f>
        <v/>
      </c>
      <c r="AC370" s="534"/>
      <c r="AD370" s="534"/>
      <c r="AE370" s="534"/>
      <c r="AF370" s="534"/>
      <c r="AG370" s="533"/>
      <c r="AH370" s="533"/>
      <c r="AI370" s="533"/>
      <c r="AJ370" s="146"/>
    </row>
    <row r="371" spans="1:36" ht="15.95" customHeight="1" outlineLevel="1" x14ac:dyDescent="0.35">
      <c r="A371" s="526"/>
      <c r="B371" s="624">
        <v>5</v>
      </c>
      <c r="C371" s="859"/>
      <c r="D371" s="859"/>
      <c r="E371" s="859"/>
      <c r="F371" s="859"/>
      <c r="G371" s="543" t="str">
        <f>IFERROR(INDEX(T08_Spells!$C$3:$C$407,MATCH(Character_Creation!C371,T08_Spells!$B$3:$B$407,0),1),"")</f>
        <v/>
      </c>
      <c r="H371" s="534"/>
      <c r="I371" s="624">
        <v>11</v>
      </c>
      <c r="J371" s="859"/>
      <c r="K371" s="859"/>
      <c r="L371" s="859"/>
      <c r="M371" s="859"/>
      <c r="N371" s="595" t="str">
        <f>IFERROR(INDEX(T08_Spells!$C$3:$C$407,MATCH(Character_Creation!J371,T08_Spells!$B$3:$B$407,0),1),"")</f>
        <v/>
      </c>
      <c r="O371" s="534"/>
      <c r="P371" s="624">
        <v>4</v>
      </c>
      <c r="Q371" s="935"/>
      <c r="R371" s="935"/>
      <c r="S371" s="935"/>
      <c r="T371" s="935"/>
      <c r="U371" s="595" t="str">
        <f>IFERROR(INDEX(T08_Spells!$C$3:$C$407,MATCH(Character_Creation!Q371,T08_Spells!$B$3:$B$407,0),1),"")</f>
        <v/>
      </c>
      <c r="V371" s="534"/>
      <c r="W371" s="624">
        <v>31</v>
      </c>
      <c r="X371" s="936"/>
      <c r="Y371" s="936"/>
      <c r="Z371" s="936"/>
      <c r="AA371" s="936"/>
      <c r="AB371" s="595" t="str">
        <f>IFERROR(INDEX(T08_Spells!$C$3:$C$407,MATCH(Character_Creation!X371,T08_Spells!$B$3:$B$407,0),1),"")</f>
        <v/>
      </c>
      <c r="AC371" s="534"/>
      <c r="AD371" s="534"/>
      <c r="AE371" s="534"/>
      <c r="AF371" s="534"/>
      <c r="AG371" s="533"/>
      <c r="AH371" s="533"/>
      <c r="AI371" s="533"/>
      <c r="AJ371" s="146"/>
    </row>
    <row r="372" spans="1:36" ht="15.95" customHeight="1" outlineLevel="1" x14ac:dyDescent="0.35">
      <c r="A372" s="526"/>
      <c r="B372" s="624">
        <v>6</v>
      </c>
      <c r="C372" s="859"/>
      <c r="D372" s="859"/>
      <c r="E372" s="859"/>
      <c r="F372" s="859"/>
      <c r="G372" s="543" t="str">
        <f>IFERROR(INDEX(T08_Spells!$C$3:$C$407,MATCH(Character_Creation!C372,T08_Spells!$B$3:$B$407,0),1),"")</f>
        <v/>
      </c>
      <c r="H372" s="534"/>
      <c r="I372" s="624">
        <v>12</v>
      </c>
      <c r="J372" s="859"/>
      <c r="K372" s="859"/>
      <c r="L372" s="859"/>
      <c r="M372" s="859"/>
      <c r="N372" s="595" t="str">
        <f>IFERROR(INDEX(T08_Spells!$C$3:$C$407,MATCH(Character_Creation!J372,T08_Spells!$B$3:$B$407,0),1),"")</f>
        <v/>
      </c>
      <c r="O372" s="534"/>
      <c r="P372" s="624">
        <v>5</v>
      </c>
      <c r="Q372" s="935"/>
      <c r="R372" s="935"/>
      <c r="S372" s="935"/>
      <c r="T372" s="935"/>
      <c r="U372" s="595" t="str">
        <f>IFERROR(INDEX(T08_Spells!$C$3:$C$407,MATCH(Character_Creation!Q372,T08_Spells!$B$3:$B$407,0),1),"")</f>
        <v/>
      </c>
      <c r="V372" s="534"/>
      <c r="W372" s="624">
        <v>32</v>
      </c>
      <c r="X372" s="936"/>
      <c r="Y372" s="936"/>
      <c r="Z372" s="936"/>
      <c r="AA372" s="936"/>
      <c r="AB372" s="595" t="str">
        <f>IFERROR(INDEX(T08_Spells!$C$3:$C$407,MATCH(Character_Creation!X372,T08_Spells!$B$3:$B$407,0),1),"")</f>
        <v/>
      </c>
      <c r="AC372" s="534"/>
      <c r="AD372" s="534"/>
      <c r="AE372" s="534"/>
      <c r="AF372" s="534"/>
      <c r="AG372" s="533"/>
      <c r="AH372" s="533"/>
      <c r="AI372" s="533"/>
      <c r="AJ372" s="146"/>
    </row>
    <row r="373" spans="1:36" ht="15.95" customHeight="1" outlineLevel="1" x14ac:dyDescent="0.35">
      <c r="A373" s="526"/>
      <c r="B373" s="624">
        <v>7</v>
      </c>
      <c r="C373" s="859"/>
      <c r="D373" s="859"/>
      <c r="E373" s="859"/>
      <c r="F373" s="859"/>
      <c r="G373" s="543" t="str">
        <f>IFERROR(INDEX(T08_Spells!$C$3:$C$407,MATCH(Character_Creation!C373,T08_Spells!$B$3:$B$407,0),1),"")</f>
        <v/>
      </c>
      <c r="H373" s="534"/>
      <c r="I373" s="624">
        <v>13</v>
      </c>
      <c r="J373" s="859"/>
      <c r="K373" s="859"/>
      <c r="L373" s="859"/>
      <c r="M373" s="859"/>
      <c r="N373" s="595" t="str">
        <f>IFERROR(INDEX(T08_Spells!$C$3:$C$407,MATCH(Character_Creation!J373,T08_Spells!$B$3:$B$407,0),1),"")</f>
        <v/>
      </c>
      <c r="O373" s="534"/>
      <c r="P373" s="624">
        <v>6</v>
      </c>
      <c r="Q373" s="935"/>
      <c r="R373" s="935"/>
      <c r="S373" s="935"/>
      <c r="T373" s="935"/>
      <c r="U373" s="595" t="str">
        <f>IFERROR(INDEX(T08_Spells!$C$3:$C$407,MATCH(Character_Creation!Q373,T08_Spells!$B$3:$B$407,0),1),"")</f>
        <v/>
      </c>
      <c r="V373" s="534"/>
      <c r="W373" s="624">
        <v>33</v>
      </c>
      <c r="X373" s="936"/>
      <c r="Y373" s="936"/>
      <c r="Z373" s="936"/>
      <c r="AA373" s="936"/>
      <c r="AB373" s="595" t="str">
        <f>IFERROR(INDEX(T08_Spells!$C$3:$C$407,MATCH(Character_Creation!X373,T08_Spells!$B$3:$B$407,0),1),"")</f>
        <v/>
      </c>
      <c r="AC373" s="534"/>
      <c r="AD373" s="534"/>
      <c r="AE373" s="534"/>
      <c r="AF373" s="534"/>
      <c r="AG373" s="533"/>
      <c r="AH373" s="533"/>
      <c r="AI373" s="533"/>
      <c r="AJ373" s="146"/>
    </row>
    <row r="374" spans="1:36" ht="15.95" customHeight="1" outlineLevel="1" thickBot="1" x14ac:dyDescent="0.4">
      <c r="A374" s="526"/>
      <c r="B374" s="624">
        <v>8</v>
      </c>
      <c r="C374" s="859"/>
      <c r="D374" s="859"/>
      <c r="E374" s="859"/>
      <c r="F374" s="859"/>
      <c r="G374" s="543" t="str">
        <f>IFERROR(INDEX(T08_Spells!$C$3:$C$407,MATCH(Character_Creation!C374,T08_Spells!$B$3:$B$407,0),1),"")</f>
        <v/>
      </c>
      <c r="H374" s="534"/>
      <c r="I374" s="624">
        <v>14</v>
      </c>
      <c r="J374" s="859"/>
      <c r="K374" s="859"/>
      <c r="L374" s="859"/>
      <c r="M374" s="859"/>
      <c r="N374" s="595" t="str">
        <f>IFERROR(INDEX(T08_Spells!$C$3:$C$407,MATCH(Character_Creation!J374,T08_Spells!$B$3:$B$407,0),1),"")</f>
        <v/>
      </c>
      <c r="O374" s="534"/>
      <c r="P374" s="624">
        <v>7</v>
      </c>
      <c r="Q374" s="935"/>
      <c r="R374" s="935"/>
      <c r="S374" s="935"/>
      <c r="T374" s="935"/>
      <c r="U374" s="595" t="str">
        <f>IFERROR(INDEX(T08_Spells!$C$3:$C$407,MATCH(Character_Creation!Q374,T08_Spells!$B$3:$B$407,0),1),"")</f>
        <v/>
      </c>
      <c r="V374" s="534"/>
      <c r="W374" s="624">
        <v>34</v>
      </c>
      <c r="X374" s="936"/>
      <c r="Y374" s="936"/>
      <c r="Z374" s="936"/>
      <c r="AA374" s="936"/>
      <c r="AB374" s="595" t="str">
        <f>IFERROR(INDEX(T08_Spells!$C$3:$C$407,MATCH(Character_Creation!X374,T08_Spells!$B$3:$B$407,0),1),"")</f>
        <v/>
      </c>
      <c r="AC374" s="534"/>
      <c r="AD374" s="534"/>
      <c r="AE374" s="534"/>
      <c r="AF374" s="534"/>
      <c r="AG374" s="533"/>
      <c r="AH374" s="533"/>
      <c r="AI374" s="533"/>
      <c r="AJ374" s="146"/>
    </row>
    <row r="375" spans="1:36" ht="15.95" customHeight="1" outlineLevel="1" thickTop="1" thickBot="1" x14ac:dyDescent="0.4">
      <c r="A375" s="526"/>
      <c r="B375" s="771" t="s">
        <v>6640</v>
      </c>
      <c r="C375" s="772"/>
      <c r="D375" s="772"/>
      <c r="E375" s="772"/>
      <c r="F375" s="772"/>
      <c r="G375" s="773"/>
      <c r="H375" s="534"/>
      <c r="I375" s="624">
        <v>15</v>
      </c>
      <c r="J375" s="859"/>
      <c r="K375" s="859"/>
      <c r="L375" s="859"/>
      <c r="M375" s="859"/>
      <c r="N375" s="595" t="str">
        <f>IFERROR(INDEX(T08_Spells!$C$3:$C$407,MATCH(Character_Creation!J375,T08_Spells!$B$3:$B$407,0),1),"")</f>
        <v/>
      </c>
      <c r="O375" s="534"/>
      <c r="P375" s="624">
        <v>8</v>
      </c>
      <c r="Q375" s="935"/>
      <c r="R375" s="935"/>
      <c r="S375" s="935"/>
      <c r="T375" s="935"/>
      <c r="U375" s="595" t="str">
        <f>IFERROR(INDEX(T08_Spells!$C$3:$C$407,MATCH(Character_Creation!Q375,T08_Spells!$B$3:$B$407,0),1),"")</f>
        <v/>
      </c>
      <c r="V375" s="534"/>
      <c r="W375" s="624">
        <v>35</v>
      </c>
      <c r="X375" s="936"/>
      <c r="Y375" s="936"/>
      <c r="Z375" s="936"/>
      <c r="AA375" s="936"/>
      <c r="AB375" s="595" t="str">
        <f>IFERROR(INDEX(T08_Spells!$C$3:$C$407,MATCH(Character_Creation!X375,T08_Spells!$B$3:$B$407,0),1),"")</f>
        <v/>
      </c>
      <c r="AC375" s="534"/>
      <c r="AD375" s="534"/>
      <c r="AE375" s="534"/>
      <c r="AF375" s="534"/>
      <c r="AG375" s="533"/>
      <c r="AH375" s="533"/>
      <c r="AI375" s="533"/>
      <c r="AJ375" s="146"/>
    </row>
    <row r="376" spans="1:36" ht="15.95" customHeight="1" outlineLevel="1" thickTop="1" thickBot="1" x14ac:dyDescent="0.4">
      <c r="A376" s="526"/>
      <c r="B376" s="802" t="s">
        <v>621</v>
      </c>
      <c r="C376" s="802"/>
      <c r="D376" s="802"/>
      <c r="E376" s="802"/>
      <c r="F376" s="860">
        <f>G376-COUNTIF(G379:G389,"&gt;0")</f>
        <v>0</v>
      </c>
      <c r="G376" s="804">
        <f>RangerSpellsKNown</f>
        <v>0</v>
      </c>
      <c r="H376" s="534"/>
      <c r="I376" s="771" t="s">
        <v>6642</v>
      </c>
      <c r="J376" s="772"/>
      <c r="K376" s="772"/>
      <c r="L376" s="772"/>
      <c r="M376" s="772"/>
      <c r="N376" s="773"/>
      <c r="O376" s="534"/>
      <c r="P376" s="624">
        <v>9</v>
      </c>
      <c r="Q376" s="935"/>
      <c r="R376" s="935"/>
      <c r="S376" s="935"/>
      <c r="T376" s="935"/>
      <c r="U376" s="595" t="str">
        <f>IFERROR(INDEX(T08_Spells!$C$3:$C$407,MATCH(Character_Creation!Q376,T08_Spells!$B$3:$B$407,0),1),"")</f>
        <v/>
      </c>
      <c r="V376" s="534"/>
      <c r="W376" s="624">
        <v>36</v>
      </c>
      <c r="X376" s="936"/>
      <c r="Y376" s="936"/>
      <c r="Z376" s="936"/>
      <c r="AA376" s="936"/>
      <c r="AB376" s="595" t="str">
        <f>IFERROR(INDEX(T08_Spells!$C$3:$C$407,MATCH(Character_Creation!X376,T08_Spells!$B$3:$B$407,0),1),"")</f>
        <v/>
      </c>
      <c r="AC376" s="534"/>
      <c r="AD376" s="534"/>
      <c r="AE376" s="534"/>
      <c r="AF376" s="534"/>
      <c r="AG376" s="533"/>
      <c r="AH376" s="533"/>
      <c r="AI376" s="533"/>
      <c r="AJ376" s="146"/>
    </row>
    <row r="377" spans="1:36" ht="15.95" customHeight="1" outlineLevel="1" thickTop="1" x14ac:dyDescent="0.35">
      <c r="A377" s="526"/>
      <c r="B377" s="802"/>
      <c r="C377" s="802"/>
      <c r="D377" s="802"/>
      <c r="E377" s="802"/>
      <c r="F377" s="860"/>
      <c r="G377" s="804"/>
      <c r="H377" s="534"/>
      <c r="I377" s="802" t="s">
        <v>623</v>
      </c>
      <c r="J377" s="802"/>
      <c r="K377" s="802"/>
      <c r="L377" s="802"/>
      <c r="M377" s="860">
        <f>N377-COUNTIF(N380:N394,"&gt;0")</f>
        <v>0</v>
      </c>
      <c r="N377" s="804">
        <f>SorcererSpellsKnown</f>
        <v>0</v>
      </c>
      <c r="O377" s="534"/>
      <c r="P377" s="624">
        <v>10</v>
      </c>
      <c r="Q377" s="935"/>
      <c r="R377" s="935"/>
      <c r="S377" s="935"/>
      <c r="T377" s="935"/>
      <c r="U377" s="595" t="str">
        <f>IFERROR(INDEX(T08_Spells!$C$3:$C$407,MATCH(Character_Creation!Q377,T08_Spells!$B$3:$B$407,0),1),"")</f>
        <v/>
      </c>
      <c r="V377" s="534"/>
      <c r="W377" s="624">
        <v>37</v>
      </c>
      <c r="X377" s="936"/>
      <c r="Y377" s="936"/>
      <c r="Z377" s="936"/>
      <c r="AA377" s="936"/>
      <c r="AB377" s="595" t="str">
        <f>IFERROR(INDEX(T08_Spells!$C$3:$C$407,MATCH(Character_Creation!X377,T08_Spells!$B$3:$B$407,0),1),"")</f>
        <v/>
      </c>
      <c r="AC377" s="534"/>
      <c r="AD377" s="534"/>
      <c r="AE377" s="534"/>
      <c r="AF377" s="534"/>
      <c r="AG377" s="533"/>
      <c r="AH377" s="533"/>
      <c r="AI377" s="533"/>
      <c r="AJ377" s="146"/>
    </row>
    <row r="378" spans="1:36" ht="15.95" customHeight="1" outlineLevel="1" x14ac:dyDescent="0.35">
      <c r="A378" s="526"/>
      <c r="B378" s="531"/>
      <c r="C378" s="858" t="s">
        <v>6256</v>
      </c>
      <c r="D378" s="858"/>
      <c r="E378" s="858"/>
      <c r="F378" s="858"/>
      <c r="G378" s="541" t="s">
        <v>62</v>
      </c>
      <c r="H378" s="527"/>
      <c r="I378" s="802"/>
      <c r="J378" s="802"/>
      <c r="K378" s="802"/>
      <c r="L378" s="802"/>
      <c r="M378" s="860"/>
      <c r="N378" s="804"/>
      <c r="O378" s="534"/>
      <c r="P378" s="624">
        <v>11</v>
      </c>
      <c r="Q378" s="935"/>
      <c r="R378" s="935"/>
      <c r="S378" s="935"/>
      <c r="T378" s="935"/>
      <c r="U378" s="595" t="str">
        <f>IFERROR(INDEX(T08_Spells!$C$3:$C$407,MATCH(Character_Creation!Q378,T08_Spells!$B$3:$B$407,0),1),"")</f>
        <v/>
      </c>
      <c r="V378" s="534"/>
      <c r="W378" s="624">
        <v>38</v>
      </c>
      <c r="X378" s="936"/>
      <c r="Y378" s="936"/>
      <c r="Z378" s="936"/>
      <c r="AA378" s="936"/>
      <c r="AB378" s="595" t="str">
        <f>IFERROR(INDEX(T08_Spells!$C$3:$C$407,MATCH(Character_Creation!X378,T08_Spells!$B$3:$B$407,0),1),"")</f>
        <v/>
      </c>
      <c r="AC378" s="534"/>
      <c r="AD378" s="534"/>
      <c r="AE378" s="534"/>
      <c r="AF378" s="534"/>
      <c r="AG378" s="533"/>
      <c r="AH378" s="533"/>
      <c r="AI378" s="533"/>
      <c r="AJ378" s="146"/>
    </row>
    <row r="379" spans="1:36" ht="15.95" customHeight="1" outlineLevel="1" x14ac:dyDescent="0.35">
      <c r="A379" s="526"/>
      <c r="B379" s="624">
        <v>1</v>
      </c>
      <c r="C379" s="859"/>
      <c r="D379" s="859"/>
      <c r="E379" s="859"/>
      <c r="F379" s="859"/>
      <c r="G379" s="595" t="str">
        <f>IFERROR(INDEX(T08_Spells!$C$3:$C$407,MATCH(Character_Creation!C379,T08_Spells!$B$3:$B$407,0),1),"")</f>
        <v/>
      </c>
      <c r="H379" s="527"/>
      <c r="I379" s="531"/>
      <c r="J379" s="858" t="s">
        <v>6256</v>
      </c>
      <c r="K379" s="858"/>
      <c r="L379" s="858"/>
      <c r="M379" s="858"/>
      <c r="N379" s="541" t="s">
        <v>62</v>
      </c>
      <c r="O379" s="534"/>
      <c r="P379" s="624">
        <v>12</v>
      </c>
      <c r="Q379" s="935"/>
      <c r="R379" s="935"/>
      <c r="S379" s="935"/>
      <c r="T379" s="935"/>
      <c r="U379" s="595" t="str">
        <f>IFERROR(INDEX(T08_Spells!$C$3:$C$407,MATCH(Character_Creation!Q379,T08_Spells!$B$3:$B$407,0),1),"")</f>
        <v/>
      </c>
      <c r="V379" s="534"/>
      <c r="W379" s="624">
        <v>39</v>
      </c>
      <c r="X379" s="936"/>
      <c r="Y379" s="936"/>
      <c r="Z379" s="936"/>
      <c r="AA379" s="936"/>
      <c r="AB379" s="595" t="str">
        <f>IFERROR(INDEX(T08_Spells!$C$3:$C$407,MATCH(Character_Creation!X379,T08_Spells!$B$3:$B$407,0),1),"")</f>
        <v/>
      </c>
      <c r="AC379" s="534"/>
      <c r="AD379" s="534"/>
      <c r="AE379" s="534"/>
      <c r="AF379" s="534"/>
      <c r="AG379" s="533"/>
      <c r="AH379" s="533"/>
      <c r="AI379" s="533"/>
      <c r="AJ379" s="146"/>
    </row>
    <row r="380" spans="1:36" ht="15.95" customHeight="1" outlineLevel="1" x14ac:dyDescent="0.35">
      <c r="A380" s="526"/>
      <c r="B380" s="624">
        <v>2</v>
      </c>
      <c r="C380" s="859"/>
      <c r="D380" s="859"/>
      <c r="E380" s="859"/>
      <c r="F380" s="859"/>
      <c r="G380" s="595" t="str">
        <f>IFERROR(INDEX(T08_Spells!$C$3:$C$407,MATCH(Character_Creation!C380,T08_Spells!$B$3:$B$407,0),1),"")</f>
        <v/>
      </c>
      <c r="H380" s="527"/>
      <c r="I380" s="624">
        <v>1</v>
      </c>
      <c r="J380" s="859"/>
      <c r="K380" s="859"/>
      <c r="L380" s="859"/>
      <c r="M380" s="859"/>
      <c r="N380" s="548" t="str">
        <f>IFERROR(INDEX(T08_Spells!$C$3:$C$407,MATCH(Character_Creation!J380,T08_Spells!$B$3:$B$407,0),1),"")</f>
        <v/>
      </c>
      <c r="O380" s="527"/>
      <c r="P380" s="624">
        <v>13</v>
      </c>
      <c r="Q380" s="935"/>
      <c r="R380" s="935"/>
      <c r="S380" s="935"/>
      <c r="T380" s="935"/>
      <c r="U380" s="595" t="str">
        <f>IFERROR(INDEX(T08_Spells!$C$3:$C$407,MATCH(Character_Creation!Q380,T08_Spells!$B$3:$B$407,0),1),"")</f>
        <v/>
      </c>
      <c r="V380" s="534"/>
      <c r="W380" s="624">
        <v>40</v>
      </c>
      <c r="X380" s="936"/>
      <c r="Y380" s="936"/>
      <c r="Z380" s="936"/>
      <c r="AA380" s="936"/>
      <c r="AB380" s="595" t="str">
        <f>IFERROR(INDEX(T08_Spells!$C$3:$C$407,MATCH(Character_Creation!X380,T08_Spells!$B$3:$B$407,0),1),"")</f>
        <v/>
      </c>
      <c r="AC380" s="534"/>
      <c r="AD380" s="534"/>
      <c r="AE380" s="534"/>
      <c r="AF380" s="534"/>
      <c r="AG380" s="533"/>
      <c r="AH380" s="533"/>
      <c r="AI380" s="533"/>
      <c r="AJ380" s="146"/>
    </row>
    <row r="381" spans="1:36" ht="15.95" customHeight="1" outlineLevel="1" x14ac:dyDescent="0.35">
      <c r="A381" s="526"/>
      <c r="B381" s="624">
        <v>3</v>
      </c>
      <c r="C381" s="859"/>
      <c r="D381" s="859"/>
      <c r="E381" s="859"/>
      <c r="F381" s="859"/>
      <c r="G381" s="595" t="str">
        <f>IFERROR(INDEX(T08_Spells!$C$3:$C$407,MATCH(Character_Creation!C381,T08_Spells!$B$3:$B$407,0),1),"")</f>
        <v/>
      </c>
      <c r="H381" s="527"/>
      <c r="I381" s="624">
        <v>2</v>
      </c>
      <c r="J381" s="859"/>
      <c r="K381" s="859"/>
      <c r="L381" s="859"/>
      <c r="M381" s="859"/>
      <c r="N381" s="548" t="str">
        <f>IFERROR(INDEX(T08_Spells!$C$3:$C$407,MATCH(Character_Creation!J381,T08_Spells!$B$3:$B$407,0),1),"")</f>
        <v/>
      </c>
      <c r="O381" s="527"/>
      <c r="P381" s="624">
        <v>14</v>
      </c>
      <c r="Q381" s="935"/>
      <c r="R381" s="935"/>
      <c r="S381" s="935"/>
      <c r="T381" s="935"/>
      <c r="U381" s="595" t="str">
        <f>IFERROR(INDEX(T08_Spells!$C$3:$C$407,MATCH(Character_Creation!Q381,T08_Spells!$B$3:$B$407,0),1),"")</f>
        <v/>
      </c>
      <c r="V381" s="534"/>
      <c r="W381" s="624">
        <v>41</v>
      </c>
      <c r="X381" s="936"/>
      <c r="Y381" s="936"/>
      <c r="Z381" s="936"/>
      <c r="AA381" s="936"/>
      <c r="AB381" s="595" t="str">
        <f>IFERROR(INDEX(T08_Spells!$C$3:$C$407,MATCH(Character_Creation!X381,T08_Spells!$B$3:$B$407,0),1),"")</f>
        <v/>
      </c>
      <c r="AC381" s="534"/>
      <c r="AD381" s="534"/>
      <c r="AE381" s="534"/>
      <c r="AF381" s="534"/>
      <c r="AG381" s="533"/>
      <c r="AH381" s="533"/>
      <c r="AI381" s="533"/>
      <c r="AJ381" s="146"/>
    </row>
    <row r="382" spans="1:36" ht="15.95" customHeight="1" outlineLevel="1" x14ac:dyDescent="0.35">
      <c r="A382" s="526"/>
      <c r="B382" s="624">
        <v>4</v>
      </c>
      <c r="C382" s="859"/>
      <c r="D382" s="859"/>
      <c r="E382" s="859"/>
      <c r="F382" s="859"/>
      <c r="G382" s="595" t="str">
        <f>IFERROR(INDEX(T08_Spells!$C$3:$C$407,MATCH(Character_Creation!C382,T08_Spells!$B$3:$B$407,0),1),"")</f>
        <v/>
      </c>
      <c r="H382" s="527"/>
      <c r="I382" s="624">
        <v>3</v>
      </c>
      <c r="J382" s="859"/>
      <c r="K382" s="859"/>
      <c r="L382" s="859"/>
      <c r="M382" s="859"/>
      <c r="N382" s="548" t="str">
        <f>IFERROR(INDEX(T08_Spells!$C$3:$C$407,MATCH(Character_Creation!J382,T08_Spells!$B$3:$B$407,0),1),"")</f>
        <v/>
      </c>
      <c r="O382" s="527"/>
      <c r="P382" s="624">
        <v>15</v>
      </c>
      <c r="Q382" s="935"/>
      <c r="R382" s="935"/>
      <c r="S382" s="935"/>
      <c r="T382" s="935"/>
      <c r="U382" s="595" t="str">
        <f>IFERROR(INDEX(T08_Spells!$C$3:$C$407,MATCH(Character_Creation!Q382,T08_Spells!$B$3:$B$407,0),1),"")</f>
        <v/>
      </c>
      <c r="V382" s="534"/>
      <c r="W382" s="624">
        <v>42</v>
      </c>
      <c r="X382" s="936"/>
      <c r="Y382" s="936"/>
      <c r="Z382" s="936"/>
      <c r="AA382" s="936"/>
      <c r="AB382" s="595" t="str">
        <f>IFERROR(INDEX(T08_Spells!$C$3:$C$407,MATCH(Character_Creation!X382,T08_Spells!$B$3:$B$407,0),1),"")</f>
        <v/>
      </c>
      <c r="AC382" s="534"/>
      <c r="AD382" s="534"/>
      <c r="AE382" s="534"/>
      <c r="AF382" s="534"/>
      <c r="AG382" s="533"/>
      <c r="AH382" s="533"/>
      <c r="AI382" s="533"/>
      <c r="AJ382" s="146"/>
    </row>
    <row r="383" spans="1:36" ht="15.95" customHeight="1" outlineLevel="1" x14ac:dyDescent="0.35">
      <c r="A383" s="526"/>
      <c r="B383" s="624">
        <v>5</v>
      </c>
      <c r="C383" s="859"/>
      <c r="D383" s="859"/>
      <c r="E383" s="859"/>
      <c r="F383" s="859"/>
      <c r="G383" s="595" t="str">
        <f>IFERROR(INDEX(T08_Spells!$C$3:$C$407,MATCH(Character_Creation!C383,T08_Spells!$B$3:$B$407,0),1),"")</f>
        <v/>
      </c>
      <c r="H383" s="527"/>
      <c r="I383" s="624">
        <v>4</v>
      </c>
      <c r="J383" s="859"/>
      <c r="K383" s="859"/>
      <c r="L383" s="859"/>
      <c r="M383" s="859"/>
      <c r="N383" s="548" t="str">
        <f>IFERROR(INDEX(T08_Spells!$C$3:$C$407,MATCH(Character_Creation!J383,T08_Spells!$B$3:$B$407,0),1),"")</f>
        <v/>
      </c>
      <c r="O383" s="527"/>
      <c r="P383" s="624">
        <v>16</v>
      </c>
      <c r="Q383" s="935"/>
      <c r="R383" s="935"/>
      <c r="S383" s="935"/>
      <c r="T383" s="935"/>
      <c r="U383" s="595" t="str">
        <f>IFERROR(INDEX(T08_Spells!$C$3:$C$407,MATCH(Character_Creation!Q383,T08_Spells!$B$3:$B$407,0),1),"")</f>
        <v/>
      </c>
      <c r="V383" s="534"/>
      <c r="W383" s="624">
        <v>43</v>
      </c>
      <c r="X383" s="936"/>
      <c r="Y383" s="936"/>
      <c r="Z383" s="936"/>
      <c r="AA383" s="936"/>
      <c r="AB383" s="595" t="str">
        <f>IFERROR(INDEX(T08_Spells!$C$3:$C$407,MATCH(Character_Creation!X383,T08_Spells!$B$3:$B$407,0),1),"")</f>
        <v/>
      </c>
      <c r="AC383" s="534"/>
      <c r="AD383" s="534"/>
      <c r="AE383" s="534"/>
      <c r="AF383" s="534"/>
      <c r="AG383" s="533"/>
      <c r="AH383" s="533"/>
      <c r="AI383" s="533"/>
      <c r="AJ383" s="146"/>
    </row>
    <row r="384" spans="1:36" ht="15.95" customHeight="1" outlineLevel="1" x14ac:dyDescent="0.35">
      <c r="A384" s="526"/>
      <c r="B384" s="624">
        <v>6</v>
      </c>
      <c r="C384" s="859"/>
      <c r="D384" s="859"/>
      <c r="E384" s="859"/>
      <c r="F384" s="859"/>
      <c r="G384" s="595" t="str">
        <f>IFERROR(INDEX(T08_Spells!$C$3:$C$407,MATCH(Character_Creation!C384,T08_Spells!$B$3:$B$407,0),1),"")</f>
        <v/>
      </c>
      <c r="H384" s="527"/>
      <c r="I384" s="624">
        <v>5</v>
      </c>
      <c r="J384" s="859"/>
      <c r="K384" s="859"/>
      <c r="L384" s="859"/>
      <c r="M384" s="859"/>
      <c r="N384" s="548" t="str">
        <f>IFERROR(INDEX(T08_Spells!$C$3:$C$407,MATCH(Character_Creation!J384,T08_Spells!$B$3:$B$407,0),1),"")</f>
        <v/>
      </c>
      <c r="O384" s="527"/>
      <c r="P384" s="624">
        <v>17</v>
      </c>
      <c r="Q384" s="935"/>
      <c r="R384" s="935"/>
      <c r="S384" s="935"/>
      <c r="T384" s="935"/>
      <c r="U384" s="595" t="str">
        <f>IFERROR(INDEX(T08_Spells!$C$3:$C$407,MATCH(Character_Creation!Q384,T08_Spells!$B$3:$B$407,0),1),"")</f>
        <v/>
      </c>
      <c r="V384" s="534"/>
      <c r="W384" s="624">
        <v>44</v>
      </c>
      <c r="X384" s="936"/>
      <c r="Y384" s="936"/>
      <c r="Z384" s="936"/>
      <c r="AA384" s="936"/>
      <c r="AB384" s="595" t="str">
        <f>IFERROR(INDEX(T08_Spells!$C$3:$C$407,MATCH(Character_Creation!X384,T08_Spells!$B$3:$B$407,0),1),"")</f>
        <v/>
      </c>
      <c r="AC384" s="534"/>
      <c r="AD384" s="534"/>
      <c r="AE384" s="534"/>
      <c r="AF384" s="534"/>
      <c r="AG384" s="533"/>
      <c r="AH384" s="533"/>
      <c r="AI384" s="533"/>
      <c r="AJ384" s="146"/>
    </row>
    <row r="385" spans="1:36" ht="15.95" customHeight="1" outlineLevel="1" x14ac:dyDescent="0.35">
      <c r="A385" s="526"/>
      <c r="B385" s="624">
        <v>7</v>
      </c>
      <c r="C385" s="859"/>
      <c r="D385" s="859"/>
      <c r="E385" s="859"/>
      <c r="F385" s="859"/>
      <c r="G385" s="595" t="str">
        <f>IFERROR(INDEX(T08_Spells!$C$3:$C$407,MATCH(Character_Creation!C385,T08_Spells!$B$3:$B$407,0),1),"")</f>
        <v/>
      </c>
      <c r="H385" s="527"/>
      <c r="I385" s="624">
        <v>6</v>
      </c>
      <c r="J385" s="859"/>
      <c r="K385" s="859"/>
      <c r="L385" s="859"/>
      <c r="M385" s="859"/>
      <c r="N385" s="548" t="str">
        <f>IFERROR(INDEX(T08_Spells!$C$3:$C$407,MATCH(Character_Creation!J385,T08_Spells!$B$3:$B$407,0),1),"")</f>
        <v/>
      </c>
      <c r="O385" s="527"/>
      <c r="P385" s="624">
        <v>18</v>
      </c>
      <c r="Q385" s="935"/>
      <c r="R385" s="935"/>
      <c r="S385" s="935"/>
      <c r="T385" s="935"/>
      <c r="U385" s="595" t="str">
        <f>IFERROR(INDEX(T08_Spells!$C$3:$C$407,MATCH(Character_Creation!Q385,T08_Spells!$B$3:$B$407,0),1),"")</f>
        <v/>
      </c>
      <c r="V385" s="534"/>
      <c r="W385" s="624">
        <v>45</v>
      </c>
      <c r="X385" s="936"/>
      <c r="Y385" s="936"/>
      <c r="Z385" s="936"/>
      <c r="AA385" s="936"/>
      <c r="AB385" s="595" t="str">
        <f>IFERROR(INDEX(T08_Spells!$C$3:$C$407,MATCH(Character_Creation!X385,T08_Spells!$B$3:$B$407,0),1),"")</f>
        <v/>
      </c>
      <c r="AC385" s="534"/>
      <c r="AD385" s="534"/>
      <c r="AE385" s="534"/>
      <c r="AF385" s="534"/>
      <c r="AG385" s="533"/>
      <c r="AH385" s="533"/>
      <c r="AI385" s="533"/>
      <c r="AJ385" s="146"/>
    </row>
    <row r="386" spans="1:36" ht="15.95" customHeight="1" outlineLevel="1" x14ac:dyDescent="0.35">
      <c r="A386" s="526"/>
      <c r="B386" s="624">
        <v>8</v>
      </c>
      <c r="C386" s="859"/>
      <c r="D386" s="859"/>
      <c r="E386" s="859"/>
      <c r="F386" s="859"/>
      <c r="G386" s="595" t="str">
        <f>IFERROR(INDEX(T08_Spells!$C$3:$C$407,MATCH(Character_Creation!C386,T08_Spells!$B$3:$B$407,0),1),"")</f>
        <v/>
      </c>
      <c r="H386" s="527"/>
      <c r="I386" s="624">
        <v>7</v>
      </c>
      <c r="J386" s="859"/>
      <c r="K386" s="859"/>
      <c r="L386" s="859"/>
      <c r="M386" s="859"/>
      <c r="N386" s="548" t="str">
        <f>IFERROR(INDEX(T08_Spells!$C$3:$C$407,MATCH(Character_Creation!J386,T08_Spells!$B$3:$B$407,0),1),"")</f>
        <v/>
      </c>
      <c r="O386" s="527"/>
      <c r="P386" s="624">
        <v>19</v>
      </c>
      <c r="Q386" s="935"/>
      <c r="R386" s="935"/>
      <c r="S386" s="935"/>
      <c r="T386" s="935"/>
      <c r="U386" s="595" t="str">
        <f>IFERROR(INDEX(T08_Spells!$C$3:$C$407,MATCH(Character_Creation!Q386,T08_Spells!$B$3:$B$407,0),1),"")</f>
        <v/>
      </c>
      <c r="V386" s="534"/>
      <c r="W386" s="624">
        <v>46</v>
      </c>
      <c r="X386" s="936"/>
      <c r="Y386" s="936"/>
      <c r="Z386" s="936"/>
      <c r="AA386" s="936"/>
      <c r="AB386" s="595" t="str">
        <f>IFERROR(INDEX(T08_Spells!$C$3:$C$407,MATCH(Character_Creation!X386,T08_Spells!$B$3:$B$407,0),1),"")</f>
        <v/>
      </c>
      <c r="AC386" s="534"/>
      <c r="AD386" s="534"/>
      <c r="AE386" s="534"/>
      <c r="AF386" s="534"/>
      <c r="AG386" s="533"/>
      <c r="AH386" s="533"/>
      <c r="AI386" s="533"/>
      <c r="AJ386" s="146"/>
    </row>
    <row r="387" spans="1:36" ht="15.95" customHeight="1" outlineLevel="1" x14ac:dyDescent="0.35">
      <c r="A387" s="526"/>
      <c r="B387" s="624">
        <v>9</v>
      </c>
      <c r="C387" s="859"/>
      <c r="D387" s="859"/>
      <c r="E387" s="859"/>
      <c r="F387" s="859"/>
      <c r="G387" s="595" t="str">
        <f>IFERROR(INDEX(T08_Spells!$C$3:$C$407,MATCH(Character_Creation!C387,T08_Spells!$B$3:$B$407,0),1),"")</f>
        <v/>
      </c>
      <c r="H387" s="527"/>
      <c r="I387" s="624">
        <v>8</v>
      </c>
      <c r="J387" s="859"/>
      <c r="K387" s="859"/>
      <c r="L387" s="859"/>
      <c r="M387" s="859"/>
      <c r="N387" s="548" t="str">
        <f>IFERROR(INDEX(T08_Spells!$C$3:$C$407,MATCH(Character_Creation!J387,T08_Spells!$B$3:$B$407,0),1),"")</f>
        <v/>
      </c>
      <c r="O387" s="527"/>
      <c r="P387" s="624">
        <v>20</v>
      </c>
      <c r="Q387" s="935"/>
      <c r="R387" s="935"/>
      <c r="S387" s="935"/>
      <c r="T387" s="935"/>
      <c r="U387" s="595" t="str">
        <f>IFERROR(INDEX(T08_Spells!$C$3:$C$407,MATCH(Character_Creation!Q387,T08_Spells!$B$3:$B$407,0),1),"")</f>
        <v/>
      </c>
      <c r="V387" s="534"/>
      <c r="W387" s="624">
        <v>47</v>
      </c>
      <c r="X387" s="936"/>
      <c r="Y387" s="936"/>
      <c r="Z387" s="936"/>
      <c r="AA387" s="936"/>
      <c r="AB387" s="595" t="str">
        <f>IFERROR(INDEX(T08_Spells!$C$3:$C$407,MATCH(Character_Creation!X387,T08_Spells!$B$3:$B$407,0),1),"")</f>
        <v/>
      </c>
      <c r="AC387" s="534"/>
      <c r="AD387" s="534"/>
      <c r="AE387" s="534"/>
      <c r="AF387" s="534"/>
      <c r="AG387" s="533"/>
      <c r="AH387" s="533"/>
      <c r="AI387" s="533"/>
      <c r="AJ387" s="146"/>
    </row>
    <row r="388" spans="1:36" ht="15.95" customHeight="1" outlineLevel="1" x14ac:dyDescent="0.35">
      <c r="A388" s="526"/>
      <c r="B388" s="624">
        <v>10</v>
      </c>
      <c r="C388" s="859"/>
      <c r="D388" s="859"/>
      <c r="E388" s="859"/>
      <c r="F388" s="859"/>
      <c r="G388" s="595" t="str">
        <f>IFERROR(INDEX(T08_Spells!$C$3:$C$407,MATCH(Character_Creation!C388,T08_Spells!$B$3:$B$407,0),1),"")</f>
        <v/>
      </c>
      <c r="H388" s="527"/>
      <c r="I388" s="624">
        <v>9</v>
      </c>
      <c r="J388" s="859"/>
      <c r="K388" s="859"/>
      <c r="L388" s="859"/>
      <c r="M388" s="859"/>
      <c r="N388" s="548" t="str">
        <f>IFERROR(INDEX(T08_Spells!$C$3:$C$407,MATCH(Character_Creation!J388,T08_Spells!$B$3:$B$407,0),1),"")</f>
        <v/>
      </c>
      <c r="O388" s="527"/>
      <c r="P388" s="624">
        <v>21</v>
      </c>
      <c r="Q388" s="935"/>
      <c r="R388" s="935"/>
      <c r="S388" s="935"/>
      <c r="T388" s="935"/>
      <c r="U388" s="595" t="str">
        <f>IFERROR(INDEX(T08_Spells!$C$3:$C$407,MATCH(Character_Creation!Q388,T08_Spells!$B$3:$B$407,0),1),"")</f>
        <v/>
      </c>
      <c r="V388" s="534"/>
      <c r="W388" s="624">
        <v>48</v>
      </c>
      <c r="X388" s="936"/>
      <c r="Y388" s="936"/>
      <c r="Z388" s="936"/>
      <c r="AA388" s="936"/>
      <c r="AB388" s="595" t="str">
        <f>IFERROR(INDEX(T08_Spells!$C$3:$C$407,MATCH(Character_Creation!X388,T08_Spells!$B$3:$B$407,0),1),"")</f>
        <v/>
      </c>
      <c r="AC388" s="534"/>
      <c r="AD388" s="534"/>
      <c r="AE388" s="534"/>
      <c r="AF388" s="534"/>
      <c r="AG388" s="533"/>
      <c r="AH388" s="533"/>
      <c r="AI388" s="533"/>
      <c r="AJ388" s="146"/>
    </row>
    <row r="389" spans="1:36" ht="15.95" customHeight="1" outlineLevel="1" thickBot="1" x14ac:dyDescent="0.4">
      <c r="A389" s="526"/>
      <c r="B389" s="624">
        <v>11</v>
      </c>
      <c r="C389" s="859"/>
      <c r="D389" s="859"/>
      <c r="E389" s="859"/>
      <c r="F389" s="859"/>
      <c r="G389" s="595" t="str">
        <f>IFERROR(INDEX(T08_Spells!$C$3:$C$407,MATCH(Character_Creation!C389,T08_Spells!$B$3:$B$407,0),1),"")</f>
        <v/>
      </c>
      <c r="H389" s="534"/>
      <c r="I389" s="624">
        <v>10</v>
      </c>
      <c r="J389" s="859"/>
      <c r="K389" s="859"/>
      <c r="L389" s="859"/>
      <c r="M389" s="859"/>
      <c r="N389" s="548" t="str">
        <f>IFERROR(INDEX(T08_Spells!$C$3:$C$407,MATCH(Character_Creation!J389,T08_Spells!$B$3:$B$407,0),1),"")</f>
        <v/>
      </c>
      <c r="O389" s="527"/>
      <c r="P389" s="624">
        <v>22</v>
      </c>
      <c r="Q389" s="935"/>
      <c r="R389" s="935"/>
      <c r="S389" s="935"/>
      <c r="T389" s="935"/>
      <c r="U389" s="595" t="str">
        <f>IFERROR(INDEX(T08_Spells!$C$3:$C$407,MATCH(Character_Creation!Q389,T08_Spells!$B$3:$B$407,0),1),"")</f>
        <v/>
      </c>
      <c r="V389" s="534"/>
      <c r="W389" s="624">
        <v>49</v>
      </c>
      <c r="X389" s="936"/>
      <c r="Y389" s="936"/>
      <c r="Z389" s="936"/>
      <c r="AA389" s="936"/>
      <c r="AB389" s="595" t="str">
        <f>IFERROR(INDEX(T08_Spells!$C$3:$C$407,MATCH(Character_Creation!X389,T08_Spells!$B$3:$B$407,0),1),"")</f>
        <v/>
      </c>
      <c r="AC389" s="534"/>
      <c r="AD389" s="534"/>
      <c r="AE389" s="534"/>
      <c r="AF389" s="534"/>
      <c r="AG389" s="533"/>
      <c r="AH389" s="533"/>
      <c r="AI389" s="533"/>
      <c r="AJ389" s="146"/>
    </row>
    <row r="390" spans="1:36" ht="15.95" customHeight="1" outlineLevel="1" thickTop="1" thickBot="1" x14ac:dyDescent="0.4">
      <c r="A390" s="526"/>
      <c r="B390" s="771" t="s">
        <v>6639</v>
      </c>
      <c r="C390" s="772"/>
      <c r="D390" s="772"/>
      <c r="E390" s="772"/>
      <c r="F390" s="772"/>
      <c r="G390" s="773"/>
      <c r="H390" s="534"/>
      <c r="I390" s="624">
        <v>11</v>
      </c>
      <c r="J390" s="859"/>
      <c r="K390" s="859"/>
      <c r="L390" s="859"/>
      <c r="M390" s="859"/>
      <c r="N390" s="548" t="str">
        <f>IFERROR(INDEX(T08_Spells!$C$3:$C$407,MATCH(Character_Creation!J390,T08_Spells!$B$3:$B$407,0),1),"")</f>
        <v/>
      </c>
      <c r="O390" s="527"/>
      <c r="P390" s="624">
        <v>23</v>
      </c>
      <c r="Q390" s="935"/>
      <c r="R390" s="935"/>
      <c r="S390" s="935"/>
      <c r="T390" s="935"/>
      <c r="U390" s="595" t="str">
        <f>IFERROR(INDEX(T08_Spells!$C$3:$C$407,MATCH(Character_Creation!Q390,T08_Spells!$B$3:$B$407,0),1),"")</f>
        <v/>
      </c>
      <c r="V390" s="534"/>
      <c r="W390" s="624">
        <v>50</v>
      </c>
      <c r="X390" s="936"/>
      <c r="Y390" s="936"/>
      <c r="Z390" s="936"/>
      <c r="AA390" s="936"/>
      <c r="AB390" s="595" t="str">
        <f>IFERROR(INDEX(T08_Spells!$C$3:$C$407,MATCH(Character_Creation!X390,T08_Spells!$B$3:$B$407,0),1),"")</f>
        <v/>
      </c>
      <c r="AC390" s="534"/>
      <c r="AD390" s="534"/>
      <c r="AE390" s="534"/>
      <c r="AF390" s="534"/>
      <c r="AG390" s="533"/>
      <c r="AH390" s="533"/>
      <c r="AI390" s="533"/>
      <c r="AJ390" s="146"/>
    </row>
    <row r="391" spans="1:36" ht="15.95" customHeight="1" outlineLevel="1" thickTop="1" x14ac:dyDescent="0.35">
      <c r="A391" s="526"/>
      <c r="B391" s="802" t="s">
        <v>2172</v>
      </c>
      <c r="C391" s="802"/>
      <c r="D391" s="802"/>
      <c r="E391" s="934" t="s">
        <v>3034</v>
      </c>
      <c r="F391" s="934"/>
      <c r="G391" s="934"/>
      <c r="H391" s="534"/>
      <c r="I391" s="624">
        <v>12</v>
      </c>
      <c r="J391" s="859"/>
      <c r="K391" s="859"/>
      <c r="L391" s="859"/>
      <c r="M391" s="859"/>
      <c r="N391" s="548" t="str">
        <f>IFERROR(INDEX(T08_Spells!$C$3:$C$407,MATCH(Character_Creation!J391,T08_Spells!$B$3:$B$407,0),1),"")</f>
        <v/>
      </c>
      <c r="O391" s="527"/>
      <c r="P391" s="624">
        <v>24</v>
      </c>
      <c r="Q391" s="935"/>
      <c r="R391" s="935"/>
      <c r="S391" s="935"/>
      <c r="T391" s="935"/>
      <c r="U391" s="595" t="str">
        <f>IFERROR(INDEX(T08_Spells!$C$3:$C$407,MATCH(Character_Creation!Q391,T08_Spells!$B$3:$B$407,0),1),"")</f>
        <v/>
      </c>
      <c r="V391" s="534"/>
      <c r="W391" s="624">
        <v>51</v>
      </c>
      <c r="X391" s="936"/>
      <c r="Y391" s="936"/>
      <c r="Z391" s="936"/>
      <c r="AA391" s="936"/>
      <c r="AB391" s="595" t="str">
        <f>IFERROR(INDEX(T08_Spells!$C$3:$C$407,MATCH(Character_Creation!X391,T08_Spells!$B$3:$B$407,0),1),"")</f>
        <v/>
      </c>
      <c r="AC391" s="534"/>
      <c r="AD391" s="534"/>
      <c r="AE391" s="534"/>
      <c r="AF391" s="534"/>
      <c r="AG391" s="533"/>
      <c r="AH391" s="533"/>
      <c r="AI391" s="533"/>
      <c r="AJ391" s="146"/>
    </row>
    <row r="392" spans="1:36" ht="15.95" customHeight="1" outlineLevel="1" x14ac:dyDescent="0.35">
      <c r="A392" s="526"/>
      <c r="B392" s="802"/>
      <c r="C392" s="802"/>
      <c r="D392" s="802"/>
      <c r="E392" s="934"/>
      <c r="F392" s="934"/>
      <c r="G392" s="934"/>
      <c r="H392" s="534"/>
      <c r="I392" s="624">
        <v>13</v>
      </c>
      <c r="J392" s="859"/>
      <c r="K392" s="859"/>
      <c r="L392" s="859"/>
      <c r="M392" s="859"/>
      <c r="N392" s="548" t="str">
        <f>IFERROR(INDEX(T08_Spells!$C$3:$C$407,MATCH(Character_Creation!J392,T08_Spells!$B$3:$B$407,0),1),"")</f>
        <v/>
      </c>
      <c r="O392" s="534"/>
      <c r="P392" s="624">
        <v>25</v>
      </c>
      <c r="Q392" s="935"/>
      <c r="R392" s="935"/>
      <c r="S392" s="935"/>
      <c r="T392" s="935"/>
      <c r="U392" s="595" t="str">
        <f>IFERROR(INDEX(T08_Spells!$C$3:$C$407,MATCH(Character_Creation!Q392,T08_Spells!$B$3:$B$407,0),1),"")</f>
        <v/>
      </c>
      <c r="V392" s="534"/>
      <c r="W392" s="624">
        <v>52</v>
      </c>
      <c r="X392" s="936"/>
      <c r="Y392" s="936"/>
      <c r="Z392" s="936"/>
      <c r="AA392" s="936"/>
      <c r="AB392" s="595" t="str">
        <f>IFERROR(INDEX(T08_Spells!$C$3:$C$407,MATCH(Character_Creation!X392,T08_Spells!$B$3:$B$407,0),1),"")</f>
        <v/>
      </c>
      <c r="AC392" s="534"/>
      <c r="AD392" s="534"/>
      <c r="AE392" s="534"/>
      <c r="AF392" s="534"/>
      <c r="AG392" s="533"/>
      <c r="AH392" s="533"/>
      <c r="AI392" s="533"/>
      <c r="AJ392" s="146"/>
    </row>
    <row r="393" spans="1:36" ht="15.95" customHeight="1" outlineLevel="1" x14ac:dyDescent="0.35">
      <c r="A393" s="526"/>
      <c r="B393" s="531"/>
      <c r="C393" s="858" t="s">
        <v>6256</v>
      </c>
      <c r="D393" s="858"/>
      <c r="E393" s="858"/>
      <c r="F393" s="858"/>
      <c r="G393" s="541" t="s">
        <v>62</v>
      </c>
      <c r="H393" s="534"/>
      <c r="I393" s="624">
        <v>14</v>
      </c>
      <c r="J393" s="859"/>
      <c r="K393" s="859"/>
      <c r="L393" s="859"/>
      <c r="M393" s="859"/>
      <c r="N393" s="548" t="str">
        <f>IFERROR(INDEX(T08_Spells!$C$3:$C$407,MATCH(Character_Creation!J393,T08_Spells!$B$3:$B$407,0),1),"")</f>
        <v/>
      </c>
      <c r="O393" s="534"/>
      <c r="P393" s="624">
        <v>26</v>
      </c>
      <c r="Q393" s="935"/>
      <c r="R393" s="935"/>
      <c r="S393" s="935"/>
      <c r="T393" s="935"/>
      <c r="U393" s="595" t="str">
        <f>IFERROR(INDEX(T08_Spells!$C$3:$C$407,MATCH(Character_Creation!Q393,T08_Spells!$B$3:$B$407,0),1),"")</f>
        <v/>
      </c>
      <c r="V393" s="534"/>
      <c r="W393" s="624">
        <v>53</v>
      </c>
      <c r="X393" s="936"/>
      <c r="Y393" s="936"/>
      <c r="Z393" s="936"/>
      <c r="AA393" s="936"/>
      <c r="AB393" s="595" t="str">
        <f>IFERROR(INDEX(T08_Spells!$C$3:$C$407,MATCH(Character_Creation!X393,T08_Spells!$B$3:$B$407,0),1),"")</f>
        <v/>
      </c>
      <c r="AC393" s="534"/>
      <c r="AD393" s="534"/>
      <c r="AE393" s="534"/>
      <c r="AF393" s="534"/>
      <c r="AG393" s="533"/>
      <c r="AH393" s="533"/>
      <c r="AI393" s="533"/>
      <c r="AJ393" s="146"/>
    </row>
    <row r="394" spans="1:36" ht="15.95" customHeight="1" outlineLevel="1" thickBot="1" x14ac:dyDescent="0.4">
      <c r="A394" s="526"/>
      <c r="B394" s="625" t="s">
        <v>6347</v>
      </c>
      <c r="C394" s="935"/>
      <c r="D394" s="935"/>
      <c r="E394" s="935"/>
      <c r="F394" s="935"/>
      <c r="G394" s="595" t="str">
        <f>IFERROR(INDEX(T08_Spells!$C$3:$C$407,MATCH(Character_Creation!C394,T08_Spells!$B$3:$B$407,0),1),"")</f>
        <v/>
      </c>
      <c r="H394" s="534"/>
      <c r="I394" s="624">
        <v>15</v>
      </c>
      <c r="J394" s="859"/>
      <c r="K394" s="859"/>
      <c r="L394" s="859"/>
      <c r="M394" s="859"/>
      <c r="N394" s="548" t="str">
        <f>IFERROR(INDEX(T08_Spells!$C$3:$C$407,MATCH(Character_Creation!J394,T08_Spells!$B$3:$B$407,0),1),"")</f>
        <v/>
      </c>
      <c r="O394" s="534"/>
      <c r="P394" s="624">
        <v>27</v>
      </c>
      <c r="Q394" s="935"/>
      <c r="R394" s="935"/>
      <c r="S394" s="935"/>
      <c r="T394" s="935"/>
      <c r="U394" s="595" t="str">
        <f>IFERROR(INDEX(T08_Spells!$C$3:$C$407,MATCH(Character_Creation!Q394,T08_Spells!$B$3:$B$407,0),1),"")</f>
        <v/>
      </c>
      <c r="V394" s="534"/>
      <c r="W394" s="624">
        <v>54</v>
      </c>
      <c r="X394" s="936"/>
      <c r="Y394" s="936"/>
      <c r="Z394" s="936"/>
      <c r="AA394" s="936"/>
      <c r="AB394" s="595" t="str">
        <f>IFERROR(INDEX(T08_Spells!$C$3:$C$407,MATCH(Character_Creation!X394,T08_Spells!$B$3:$B$407,0),1),"")</f>
        <v/>
      </c>
      <c r="AC394" s="534"/>
      <c r="AD394" s="534"/>
      <c r="AE394" s="534"/>
      <c r="AF394" s="534"/>
      <c r="AG394" s="533"/>
      <c r="AH394" s="533"/>
      <c r="AI394" s="533"/>
      <c r="AJ394" s="146"/>
    </row>
    <row r="395" spans="1:36" ht="15.95" customHeight="1" outlineLevel="1" thickTop="1" thickBot="1" x14ac:dyDescent="0.4">
      <c r="A395" s="526"/>
      <c r="B395" s="625" t="s">
        <v>6347</v>
      </c>
      <c r="C395" s="935"/>
      <c r="D395" s="935"/>
      <c r="E395" s="935"/>
      <c r="F395" s="935"/>
      <c r="G395" s="595" t="str">
        <f>IFERROR(INDEX(T08_Spells!$C$3:$C$407,MATCH(Character_Creation!C395,T08_Spells!$B$3:$B$407,0),1),"")</f>
        <v/>
      </c>
      <c r="H395" s="534"/>
      <c r="I395" s="771" t="s">
        <v>6643</v>
      </c>
      <c r="J395" s="772"/>
      <c r="K395" s="772"/>
      <c r="L395" s="772"/>
      <c r="M395" s="772"/>
      <c r="N395" s="773"/>
      <c r="O395" s="534"/>
      <c r="P395" s="624">
        <v>28</v>
      </c>
      <c r="Q395" s="935"/>
      <c r="R395" s="935"/>
      <c r="S395" s="935"/>
      <c r="T395" s="935"/>
      <c r="U395" s="595" t="str">
        <f>IFERROR(INDEX(T08_Spells!$C$3:$C$407,MATCH(Character_Creation!Q395,T08_Spells!$B$3:$B$407,0),1),"")</f>
        <v/>
      </c>
      <c r="V395" s="534"/>
      <c r="W395" s="624">
        <v>55</v>
      </c>
      <c r="X395" s="936"/>
      <c r="Y395" s="936"/>
      <c r="Z395" s="936"/>
      <c r="AA395" s="936"/>
      <c r="AB395" s="595" t="str">
        <f>IFERROR(INDEX(T08_Spells!$C$3:$C$407,MATCH(Character_Creation!X395,T08_Spells!$B$3:$B$407,0),1),"")</f>
        <v/>
      </c>
      <c r="AC395" s="534"/>
      <c r="AD395" s="534"/>
      <c r="AE395" s="534"/>
      <c r="AF395" s="534"/>
      <c r="AG395" s="533"/>
      <c r="AH395" s="533"/>
      <c r="AI395" s="533"/>
      <c r="AJ395" s="146"/>
    </row>
    <row r="396" spans="1:36" ht="15.95" customHeight="1" outlineLevel="1" thickTop="1" x14ac:dyDescent="0.35">
      <c r="A396" s="526"/>
      <c r="B396" s="625">
        <v>1</v>
      </c>
      <c r="C396" s="935"/>
      <c r="D396" s="935"/>
      <c r="E396" s="935"/>
      <c r="F396" s="935"/>
      <c r="G396" s="595" t="str">
        <f>IFERROR(INDEX(T08_Spells!$C$3:$C$407,MATCH(Character_Creation!C396,T08_Spells!$B$3:$B$407,0),1),"")</f>
        <v/>
      </c>
      <c r="H396" s="534"/>
      <c r="I396" s="534"/>
      <c r="J396" s="534"/>
      <c r="K396" s="534"/>
      <c r="L396" s="534"/>
      <c r="M396" s="534"/>
      <c r="N396" s="534"/>
      <c r="O396" s="534"/>
      <c r="P396" s="624">
        <v>29</v>
      </c>
      <c r="Q396" s="935"/>
      <c r="R396" s="935"/>
      <c r="S396" s="935"/>
      <c r="T396" s="935"/>
      <c r="U396" s="595" t="str">
        <f>IFERROR(INDEX(T08_Spells!$C$3:$C$407,MATCH(Character_Creation!Q396,T08_Spells!$B$3:$B$407,0),1),"")</f>
        <v/>
      </c>
      <c r="V396" s="534"/>
      <c r="W396" s="624">
        <v>56</v>
      </c>
      <c r="X396" s="936"/>
      <c r="Y396" s="936"/>
      <c r="Z396" s="936"/>
      <c r="AA396" s="936"/>
      <c r="AB396" s="595" t="str">
        <f>IFERROR(INDEX(T08_Spells!$C$3:$C$407,MATCH(Character_Creation!X396,T08_Spells!$B$3:$B$407,0),1),"")</f>
        <v/>
      </c>
      <c r="AC396" s="534"/>
      <c r="AD396" s="534"/>
      <c r="AE396" s="534"/>
      <c r="AF396" s="534"/>
      <c r="AG396" s="533"/>
      <c r="AH396" s="533"/>
      <c r="AI396" s="533"/>
      <c r="AJ396" s="146"/>
    </row>
    <row r="397" spans="1:36" ht="15.95" customHeight="1" outlineLevel="1" thickBot="1" x14ac:dyDescent="0.4">
      <c r="A397" s="526"/>
      <c r="B397" s="534"/>
      <c r="C397" s="534"/>
      <c r="D397" s="534"/>
      <c r="E397" s="534"/>
      <c r="F397" s="534"/>
      <c r="G397" s="534"/>
      <c r="H397" s="534"/>
      <c r="I397" s="534"/>
      <c r="J397" s="534"/>
      <c r="K397" s="534"/>
      <c r="L397" s="534"/>
      <c r="M397" s="534"/>
      <c r="N397" s="534"/>
      <c r="O397" s="534"/>
      <c r="P397" s="624">
        <v>30</v>
      </c>
      <c r="Q397" s="935"/>
      <c r="R397" s="935"/>
      <c r="S397" s="935"/>
      <c r="T397" s="935"/>
      <c r="U397" s="595" t="str">
        <f>IFERROR(INDEX(T08_Spells!$C$3:$C$407,MATCH(Character_Creation!Q397,T08_Spells!$B$3:$B$407,0),1),"")</f>
        <v/>
      </c>
      <c r="V397" s="534"/>
      <c r="W397" s="624">
        <v>57</v>
      </c>
      <c r="X397" s="936"/>
      <c r="Y397" s="936"/>
      <c r="Z397" s="936"/>
      <c r="AA397" s="936"/>
      <c r="AB397" s="595" t="str">
        <f>IFERROR(INDEX(T08_Spells!$C$3:$C$407,MATCH(Character_Creation!X397,T08_Spells!$B$3:$B$407,0),1),"")</f>
        <v/>
      </c>
      <c r="AC397" s="534"/>
      <c r="AD397" s="534"/>
      <c r="AE397" s="534"/>
      <c r="AF397" s="534"/>
      <c r="AG397" s="533"/>
      <c r="AH397" s="533"/>
      <c r="AI397" s="533"/>
      <c r="AJ397" s="146"/>
    </row>
    <row r="398" spans="1:36" ht="15.95" customHeight="1" outlineLevel="1" thickTop="1" thickBot="1" x14ac:dyDescent="0.4">
      <c r="A398" s="526"/>
      <c r="B398" s="534"/>
      <c r="C398" s="534"/>
      <c r="D398" s="534"/>
      <c r="E398" s="534"/>
      <c r="F398" s="534"/>
      <c r="G398" s="534"/>
      <c r="H398" s="534"/>
      <c r="I398" s="534"/>
      <c r="J398" s="534"/>
      <c r="K398" s="534"/>
      <c r="L398" s="534"/>
      <c r="M398" s="534"/>
      <c r="N398" s="534"/>
      <c r="O398" s="534"/>
      <c r="P398" s="771" t="s">
        <v>6645</v>
      </c>
      <c r="Q398" s="772"/>
      <c r="R398" s="772"/>
      <c r="S398" s="772"/>
      <c r="T398" s="772"/>
      <c r="U398" s="773"/>
      <c r="V398" s="534"/>
      <c r="W398" s="624">
        <v>58</v>
      </c>
      <c r="X398" s="936"/>
      <c r="Y398" s="936"/>
      <c r="Z398" s="936"/>
      <c r="AA398" s="936"/>
      <c r="AB398" s="595" t="str">
        <f>IFERROR(INDEX(T08_Spells!$C$3:$C$407,MATCH(Character_Creation!X398,T08_Spells!$B$3:$B$407,0),1),"")</f>
        <v/>
      </c>
      <c r="AC398" s="534"/>
      <c r="AD398" s="534"/>
      <c r="AE398" s="534"/>
      <c r="AF398" s="534"/>
      <c r="AG398" s="533"/>
      <c r="AH398" s="533"/>
      <c r="AI398" s="533"/>
      <c r="AJ398" s="146"/>
    </row>
    <row r="399" spans="1:36" ht="15.95" customHeight="1" outlineLevel="1" thickTop="1" x14ac:dyDescent="0.35">
      <c r="A399" s="526"/>
      <c r="B399" s="534"/>
      <c r="C399" s="534"/>
      <c r="D399" s="534"/>
      <c r="E399" s="534"/>
      <c r="F399" s="534"/>
      <c r="G399" s="534"/>
      <c r="H399" s="534"/>
      <c r="I399" s="534"/>
      <c r="J399" s="534"/>
      <c r="K399" s="534"/>
      <c r="L399" s="534"/>
      <c r="M399" s="534"/>
      <c r="N399" s="534"/>
      <c r="O399" s="534"/>
      <c r="P399" s="534"/>
      <c r="Q399" s="534"/>
      <c r="R399" s="534"/>
      <c r="S399" s="534"/>
      <c r="T399" s="534"/>
      <c r="U399" s="534"/>
      <c r="V399" s="534"/>
      <c r="W399" s="624">
        <v>59</v>
      </c>
      <c r="X399" s="936"/>
      <c r="Y399" s="936"/>
      <c r="Z399" s="936"/>
      <c r="AA399" s="936"/>
      <c r="AB399" s="595" t="str">
        <f>IFERROR(INDEX(T08_Spells!$C$3:$C$407,MATCH(Character_Creation!X399,T08_Spells!$B$3:$B$407,0),1),"")</f>
        <v/>
      </c>
      <c r="AC399" s="534"/>
      <c r="AD399" s="534"/>
      <c r="AE399" s="534"/>
      <c r="AF399" s="534"/>
      <c r="AG399" s="533"/>
      <c r="AH399" s="533"/>
      <c r="AI399" s="533"/>
      <c r="AJ399" s="146"/>
    </row>
    <row r="400" spans="1:36" ht="15.95" customHeight="1" outlineLevel="1" thickBot="1" x14ac:dyDescent="0.4">
      <c r="A400" s="526"/>
      <c r="B400" s="534"/>
      <c r="C400" s="534"/>
      <c r="D400" s="534"/>
      <c r="E400" s="534"/>
      <c r="F400" s="534"/>
      <c r="G400" s="534"/>
      <c r="H400" s="534"/>
      <c r="I400" s="534"/>
      <c r="J400" s="534"/>
      <c r="K400" s="534"/>
      <c r="L400" s="534"/>
      <c r="M400" s="534"/>
      <c r="N400" s="534"/>
      <c r="O400" s="534"/>
      <c r="P400" s="534"/>
      <c r="Q400" s="534"/>
      <c r="R400" s="534"/>
      <c r="S400" s="534"/>
      <c r="T400" s="534"/>
      <c r="U400" s="534"/>
      <c r="V400" s="534"/>
      <c r="W400" s="624">
        <v>60</v>
      </c>
      <c r="X400" s="936"/>
      <c r="Y400" s="936"/>
      <c r="Z400" s="936"/>
      <c r="AA400" s="936"/>
      <c r="AB400" s="595" t="str">
        <f>IFERROR(INDEX(T08_Spells!$C$3:$C$407,MATCH(Character_Creation!X400,T08_Spells!$B$3:$B$407,0),1),"")</f>
        <v/>
      </c>
      <c r="AC400" s="534"/>
      <c r="AD400" s="534"/>
      <c r="AE400" s="534"/>
      <c r="AF400" s="534"/>
      <c r="AG400" s="533"/>
      <c r="AH400" s="533"/>
      <c r="AI400" s="533"/>
      <c r="AJ400" s="146"/>
    </row>
    <row r="401" spans="1:36" ht="15.95" customHeight="1" outlineLevel="1" thickTop="1" thickBot="1" x14ac:dyDescent="0.4">
      <c r="A401" s="534"/>
      <c r="B401" s="534"/>
      <c r="C401" s="534"/>
      <c r="D401" s="534"/>
      <c r="E401" s="534"/>
      <c r="F401" s="534"/>
      <c r="G401" s="534"/>
      <c r="H401" s="534"/>
      <c r="I401" s="534"/>
      <c r="J401" s="534"/>
      <c r="K401" s="534"/>
      <c r="L401" s="534"/>
      <c r="M401" s="534"/>
      <c r="N401" s="534"/>
      <c r="O401" s="534"/>
      <c r="P401" s="534"/>
      <c r="Q401" s="534"/>
      <c r="R401" s="534"/>
      <c r="S401" s="534"/>
      <c r="T401" s="534"/>
      <c r="U401" s="534"/>
      <c r="V401" s="534"/>
      <c r="W401" s="771" t="s">
        <v>6646</v>
      </c>
      <c r="X401" s="772"/>
      <c r="Y401" s="772"/>
      <c r="Z401" s="772"/>
      <c r="AA401" s="772"/>
      <c r="AB401" s="773"/>
      <c r="AC401" s="534"/>
      <c r="AD401" s="534"/>
      <c r="AE401" s="534"/>
      <c r="AF401" s="534"/>
      <c r="AG401" s="533"/>
      <c r="AH401" s="533"/>
      <c r="AI401" s="533"/>
      <c r="AJ401" s="146"/>
    </row>
    <row r="402" spans="1:36" ht="15.95" customHeight="1" outlineLevel="1" thickTop="1" thickBot="1" x14ac:dyDescent="0.4">
      <c r="A402" s="534"/>
      <c r="B402" s="771" t="s">
        <v>6658</v>
      </c>
      <c r="C402" s="772"/>
      <c r="D402" s="772"/>
      <c r="E402" s="773"/>
      <c r="F402" s="534"/>
      <c r="G402" s="534"/>
      <c r="H402" s="534"/>
      <c r="I402" s="534"/>
      <c r="J402" s="534"/>
      <c r="K402" s="534"/>
      <c r="L402" s="534"/>
      <c r="M402" s="534"/>
      <c r="N402" s="534"/>
      <c r="O402" s="534"/>
      <c r="P402" s="534"/>
      <c r="Q402" s="534"/>
      <c r="R402" s="534"/>
      <c r="S402" s="534"/>
      <c r="T402" s="534"/>
      <c r="U402" s="534"/>
      <c r="V402" s="534"/>
      <c r="W402" s="534"/>
      <c r="X402" s="534"/>
      <c r="Y402" s="534"/>
      <c r="Z402" s="534"/>
      <c r="AA402" s="534"/>
      <c r="AB402" s="534"/>
      <c r="AC402" s="534"/>
      <c r="AD402" s="534"/>
      <c r="AE402" s="534"/>
      <c r="AF402" s="534"/>
      <c r="AG402" s="533"/>
      <c r="AH402" s="533"/>
      <c r="AI402" s="533"/>
      <c r="AJ402" s="146"/>
    </row>
    <row r="403" spans="1:36" ht="15.95" customHeight="1" outlineLevel="1" thickTop="1" x14ac:dyDescent="0.35">
      <c r="A403" s="534"/>
      <c r="B403" s="534"/>
      <c r="C403" s="534"/>
      <c r="D403" s="534"/>
      <c r="E403" s="534"/>
      <c r="F403" s="534"/>
      <c r="G403" s="534"/>
      <c r="H403" s="534"/>
      <c r="I403" s="534"/>
      <c r="J403" s="534"/>
      <c r="K403" s="534"/>
      <c r="L403" s="534"/>
      <c r="M403" s="534"/>
      <c r="N403" s="534"/>
      <c r="O403" s="534"/>
      <c r="P403" s="534"/>
      <c r="Q403" s="534"/>
      <c r="R403" s="534"/>
      <c r="S403" s="534"/>
      <c r="T403" s="534"/>
      <c r="U403" s="534"/>
      <c r="V403" s="534"/>
      <c r="W403" s="534"/>
      <c r="X403" s="534"/>
      <c r="Y403" s="534"/>
      <c r="Z403" s="534"/>
      <c r="AA403" s="534"/>
      <c r="AB403" s="534"/>
      <c r="AC403" s="534"/>
      <c r="AD403" s="534"/>
      <c r="AE403" s="534"/>
      <c r="AF403" s="534"/>
      <c r="AG403" s="533"/>
      <c r="AH403" s="533"/>
      <c r="AI403" s="533"/>
      <c r="AJ403" s="146"/>
    </row>
    <row r="404" spans="1:36" ht="15.95" customHeight="1" x14ac:dyDescent="0.35">
      <c r="A404" s="526"/>
      <c r="B404" s="778" t="s">
        <v>7495</v>
      </c>
      <c r="C404" s="778"/>
      <c r="D404" s="778"/>
      <c r="E404" s="778"/>
      <c r="F404" s="778"/>
      <c r="G404" s="778"/>
      <c r="H404" s="778"/>
      <c r="I404" s="778"/>
      <c r="J404" s="778"/>
      <c r="K404" s="778"/>
      <c r="L404" s="778"/>
      <c r="M404" s="778"/>
      <c r="N404" s="778"/>
      <c r="O404" s="778"/>
      <c r="P404" s="778"/>
      <c r="Q404" s="778"/>
      <c r="R404" s="778"/>
      <c r="S404" s="778"/>
      <c r="T404" s="778"/>
      <c r="U404" s="778"/>
      <c r="V404" s="778"/>
      <c r="W404" s="778"/>
      <c r="X404" s="778"/>
      <c r="Y404" s="778"/>
      <c r="Z404" s="778"/>
      <c r="AA404" s="778"/>
      <c r="AB404" s="778"/>
      <c r="AC404" s="778"/>
      <c r="AD404" s="778"/>
      <c r="AE404" s="778"/>
      <c r="AF404" s="534"/>
      <c r="AG404" s="533"/>
      <c r="AH404" s="533"/>
      <c r="AI404" s="533"/>
      <c r="AJ404" s="146"/>
    </row>
    <row r="405" spans="1:36" ht="15.95" customHeight="1" x14ac:dyDescent="0.35">
      <c r="A405" s="526"/>
      <c r="B405" s="778"/>
      <c r="C405" s="778"/>
      <c r="D405" s="778"/>
      <c r="E405" s="778"/>
      <c r="F405" s="778"/>
      <c r="G405" s="778"/>
      <c r="H405" s="778"/>
      <c r="I405" s="778"/>
      <c r="J405" s="778"/>
      <c r="K405" s="778"/>
      <c r="L405" s="778"/>
      <c r="M405" s="778"/>
      <c r="N405" s="778"/>
      <c r="O405" s="778"/>
      <c r="P405" s="778"/>
      <c r="Q405" s="778"/>
      <c r="R405" s="778"/>
      <c r="S405" s="778"/>
      <c r="T405" s="778"/>
      <c r="U405" s="778"/>
      <c r="V405" s="778"/>
      <c r="W405" s="778"/>
      <c r="X405" s="778"/>
      <c r="Y405" s="778"/>
      <c r="Z405" s="778"/>
      <c r="AA405" s="778"/>
      <c r="AB405" s="778"/>
      <c r="AC405" s="778"/>
      <c r="AD405" s="778"/>
      <c r="AE405" s="778"/>
      <c r="AF405" s="534"/>
      <c r="AG405" s="533"/>
      <c r="AH405" s="533"/>
      <c r="AI405" s="533"/>
      <c r="AJ405" s="146"/>
    </row>
    <row r="406" spans="1:36" ht="15.95" customHeight="1" outlineLevel="1" thickBot="1" x14ac:dyDescent="0.4">
      <c r="A406" s="526"/>
      <c r="B406" s="534"/>
      <c r="C406" s="534"/>
      <c r="D406" s="534"/>
      <c r="E406" s="534"/>
      <c r="F406" s="534"/>
      <c r="G406" s="534"/>
      <c r="H406" s="534"/>
      <c r="I406" s="534"/>
      <c r="J406" s="534"/>
      <c r="K406" s="534"/>
      <c r="L406" s="534"/>
      <c r="M406" s="534"/>
      <c r="N406" s="534"/>
      <c r="O406" s="534"/>
      <c r="P406" s="534"/>
      <c r="Q406" s="534"/>
      <c r="R406" s="534"/>
      <c r="S406" s="534"/>
      <c r="T406" s="534"/>
      <c r="U406" s="534"/>
      <c r="V406" s="534"/>
      <c r="W406" s="534"/>
      <c r="X406" s="534"/>
      <c r="Y406" s="534"/>
      <c r="Z406" s="534"/>
      <c r="AA406" s="534"/>
      <c r="AB406" s="534"/>
      <c r="AC406" s="534"/>
      <c r="AD406" s="534"/>
      <c r="AE406" s="534"/>
      <c r="AF406" s="534"/>
      <c r="AG406" s="533"/>
      <c r="AH406" s="533"/>
      <c r="AI406" s="533"/>
      <c r="AJ406" s="146"/>
    </row>
    <row r="407" spans="1:36" ht="15.95" customHeight="1" outlineLevel="1" thickTop="1" x14ac:dyDescent="0.35">
      <c r="A407" s="526"/>
      <c r="B407" s="802" t="s">
        <v>1109</v>
      </c>
      <c r="C407" s="802"/>
      <c r="D407" s="802"/>
      <c r="E407" s="802"/>
      <c r="F407" s="803"/>
      <c r="G407" s="861">
        <f>CantripsBard</f>
        <v>0</v>
      </c>
      <c r="H407" s="802" t="s">
        <v>617</v>
      </c>
      <c r="I407" s="802"/>
      <c r="J407" s="802"/>
      <c r="K407" s="802"/>
      <c r="L407" s="803"/>
      <c r="M407" s="861">
        <f>CantripsCleric</f>
        <v>0</v>
      </c>
      <c r="N407" s="802" t="s">
        <v>618</v>
      </c>
      <c r="O407" s="802"/>
      <c r="P407" s="802"/>
      <c r="Q407" s="802"/>
      <c r="R407" s="803"/>
      <c r="S407" s="861">
        <f>CantripsDruid</f>
        <v>0</v>
      </c>
      <c r="T407" s="802" t="s">
        <v>625</v>
      </c>
      <c r="U407" s="802"/>
      <c r="V407" s="802"/>
      <c r="W407" s="802"/>
      <c r="X407" s="803"/>
      <c r="Y407" s="861">
        <f>CantripsWizard</f>
        <v>3</v>
      </c>
      <c r="Z407" s="534"/>
      <c r="AA407" s="937" t="s">
        <v>6648</v>
      </c>
      <c r="AB407" s="938"/>
      <c r="AC407" s="938"/>
      <c r="AD407" s="938"/>
      <c r="AE407" s="939"/>
      <c r="AF407" s="534"/>
      <c r="AG407" s="533"/>
      <c r="AH407" s="533"/>
      <c r="AI407" s="533"/>
      <c r="AJ407" s="146"/>
    </row>
    <row r="408" spans="1:36" ht="15.95" customHeight="1" outlineLevel="1" thickBot="1" x14ac:dyDescent="0.4">
      <c r="A408" s="526"/>
      <c r="B408" s="802"/>
      <c r="C408" s="802"/>
      <c r="D408" s="802"/>
      <c r="E408" s="802"/>
      <c r="F408" s="803"/>
      <c r="G408" s="861"/>
      <c r="H408" s="802"/>
      <c r="I408" s="802"/>
      <c r="J408" s="802"/>
      <c r="K408" s="802"/>
      <c r="L408" s="803"/>
      <c r="M408" s="861"/>
      <c r="N408" s="802"/>
      <c r="O408" s="802"/>
      <c r="P408" s="802"/>
      <c r="Q408" s="802"/>
      <c r="R408" s="803"/>
      <c r="S408" s="861"/>
      <c r="T408" s="802"/>
      <c r="U408" s="802"/>
      <c r="V408" s="802"/>
      <c r="W408" s="802"/>
      <c r="X408" s="803"/>
      <c r="Y408" s="861"/>
      <c r="Z408" s="534"/>
      <c r="AA408" s="940"/>
      <c r="AB408" s="941"/>
      <c r="AC408" s="941"/>
      <c r="AD408" s="941"/>
      <c r="AE408" s="942"/>
      <c r="AF408" s="534"/>
      <c r="AG408" s="533"/>
      <c r="AH408" s="533"/>
      <c r="AI408" s="533"/>
      <c r="AJ408" s="146"/>
    </row>
    <row r="409" spans="1:36" ht="15.95" customHeight="1" outlineLevel="1" thickTop="1" x14ac:dyDescent="0.35">
      <c r="A409" s="526"/>
      <c r="B409" s="577">
        <v>1</v>
      </c>
      <c r="C409" s="936"/>
      <c r="D409" s="936"/>
      <c r="E409" s="936"/>
      <c r="F409" s="936"/>
      <c r="G409" s="936"/>
      <c r="H409" s="577">
        <v>1</v>
      </c>
      <c r="I409" s="936"/>
      <c r="J409" s="936"/>
      <c r="K409" s="936"/>
      <c r="L409" s="936"/>
      <c r="M409" s="936"/>
      <c r="N409" s="577">
        <v>1</v>
      </c>
      <c r="O409" s="936"/>
      <c r="P409" s="936"/>
      <c r="Q409" s="936"/>
      <c r="R409" s="936"/>
      <c r="S409" s="936"/>
      <c r="T409" s="577">
        <v>1</v>
      </c>
      <c r="U409" s="936"/>
      <c r="V409" s="936"/>
      <c r="W409" s="936"/>
      <c r="X409" s="936"/>
      <c r="Y409" s="936"/>
      <c r="Z409" s="534"/>
      <c r="AA409" s="937" t="s">
        <v>6657</v>
      </c>
      <c r="AB409" s="938"/>
      <c r="AC409" s="938"/>
      <c r="AD409" s="938"/>
      <c r="AE409" s="939"/>
      <c r="AJ409" s="146"/>
    </row>
    <row r="410" spans="1:36" ht="15.95" customHeight="1" outlineLevel="1" thickBot="1" x14ac:dyDescent="0.4">
      <c r="A410" s="526"/>
      <c r="B410" s="577">
        <v>2</v>
      </c>
      <c r="C410" s="936"/>
      <c r="D410" s="936"/>
      <c r="E410" s="936"/>
      <c r="F410" s="936"/>
      <c r="G410" s="936"/>
      <c r="H410" s="577">
        <v>2</v>
      </c>
      <c r="I410" s="936"/>
      <c r="J410" s="936"/>
      <c r="K410" s="936"/>
      <c r="L410" s="936"/>
      <c r="M410" s="936"/>
      <c r="N410" s="577">
        <v>2</v>
      </c>
      <c r="O410" s="936"/>
      <c r="P410" s="936"/>
      <c r="Q410" s="936"/>
      <c r="R410" s="936"/>
      <c r="S410" s="936"/>
      <c r="T410" s="577">
        <v>2</v>
      </c>
      <c r="U410" s="936"/>
      <c r="V410" s="936"/>
      <c r="W410" s="936"/>
      <c r="X410" s="936"/>
      <c r="Y410" s="936"/>
      <c r="Z410" s="534"/>
      <c r="AA410" s="940"/>
      <c r="AB410" s="941"/>
      <c r="AC410" s="941"/>
      <c r="AD410" s="941"/>
      <c r="AE410" s="942"/>
      <c r="AF410" s="534"/>
      <c r="AG410" s="533"/>
      <c r="AH410" s="533"/>
      <c r="AI410" s="533"/>
      <c r="AJ410" s="146"/>
    </row>
    <row r="411" spans="1:36" ht="15.95" customHeight="1" outlineLevel="1" thickTop="1" x14ac:dyDescent="0.35">
      <c r="A411" s="526"/>
      <c r="B411" s="577">
        <v>3</v>
      </c>
      <c r="C411" s="936"/>
      <c r="D411" s="936"/>
      <c r="E411" s="936"/>
      <c r="F411" s="936"/>
      <c r="G411" s="936"/>
      <c r="H411" s="577">
        <v>3</v>
      </c>
      <c r="I411" s="936"/>
      <c r="J411" s="936"/>
      <c r="K411" s="936"/>
      <c r="L411" s="936"/>
      <c r="M411" s="936"/>
      <c r="N411" s="577">
        <v>3</v>
      </c>
      <c r="O411" s="936"/>
      <c r="P411" s="936"/>
      <c r="Q411" s="936"/>
      <c r="R411" s="936"/>
      <c r="S411" s="936"/>
      <c r="T411" s="577">
        <v>3</v>
      </c>
      <c r="U411" s="936"/>
      <c r="V411" s="936"/>
      <c r="W411" s="936"/>
      <c r="X411" s="936"/>
      <c r="Y411" s="936"/>
      <c r="Z411" s="534"/>
      <c r="AA411" s="534"/>
      <c r="AB411" s="534"/>
      <c r="AC411" s="534"/>
      <c r="AD411" s="534"/>
      <c r="AE411" s="534"/>
      <c r="AF411" s="534"/>
      <c r="AG411" s="533"/>
      <c r="AH411" s="533"/>
      <c r="AI411" s="533"/>
      <c r="AJ411" s="146"/>
    </row>
    <row r="412" spans="1:36" ht="15.95" customHeight="1" outlineLevel="1" x14ac:dyDescent="0.35">
      <c r="A412" s="526"/>
      <c r="B412" s="577">
        <v>4</v>
      </c>
      <c r="C412" s="936"/>
      <c r="D412" s="936"/>
      <c r="E412" s="936"/>
      <c r="F412" s="936"/>
      <c r="G412" s="936"/>
      <c r="H412" s="577">
        <v>4</v>
      </c>
      <c r="I412" s="936"/>
      <c r="J412" s="936"/>
      <c r="K412" s="936"/>
      <c r="L412" s="936"/>
      <c r="M412" s="936"/>
      <c r="N412" s="577">
        <v>4</v>
      </c>
      <c r="O412" s="936"/>
      <c r="P412" s="936"/>
      <c r="Q412" s="936"/>
      <c r="R412" s="936"/>
      <c r="S412" s="936"/>
      <c r="T412" s="577">
        <v>4</v>
      </c>
      <c r="U412" s="936"/>
      <c r="V412" s="936"/>
      <c r="W412" s="936"/>
      <c r="X412" s="936"/>
      <c r="Y412" s="936"/>
      <c r="Z412" s="534"/>
      <c r="AA412" s="534"/>
      <c r="AB412" s="534"/>
      <c r="AC412" s="534"/>
      <c r="AD412" s="534"/>
      <c r="AE412" s="534"/>
      <c r="AF412" s="534"/>
      <c r="AG412" s="533"/>
      <c r="AH412" s="533"/>
      <c r="AI412" s="533"/>
      <c r="AJ412" s="146"/>
    </row>
    <row r="413" spans="1:36" ht="15.95" customHeight="1" outlineLevel="1" x14ac:dyDescent="0.35">
      <c r="A413" s="526"/>
      <c r="B413" s="577">
        <v>5</v>
      </c>
      <c r="C413" s="936"/>
      <c r="D413" s="936"/>
      <c r="E413" s="936"/>
      <c r="F413" s="936"/>
      <c r="G413" s="936"/>
      <c r="H413" s="577">
        <v>5</v>
      </c>
      <c r="I413" s="936"/>
      <c r="J413" s="936"/>
      <c r="K413" s="936"/>
      <c r="L413" s="936"/>
      <c r="M413" s="936"/>
      <c r="N413" s="577">
        <v>5</v>
      </c>
      <c r="O413" s="936"/>
      <c r="P413" s="936"/>
      <c r="Q413" s="936"/>
      <c r="R413" s="936"/>
      <c r="S413" s="936"/>
      <c r="T413" s="577">
        <v>5</v>
      </c>
      <c r="U413" s="936"/>
      <c r="V413" s="936"/>
      <c r="W413" s="936"/>
      <c r="X413" s="936"/>
      <c r="Y413" s="936"/>
      <c r="Z413" s="534"/>
      <c r="AA413" s="534"/>
      <c r="AB413" s="534"/>
      <c r="AC413" s="534"/>
      <c r="AD413" s="534"/>
      <c r="AE413" s="534"/>
      <c r="AF413" s="534"/>
      <c r="AG413" s="533"/>
      <c r="AH413" s="533"/>
      <c r="AI413" s="533"/>
      <c r="AJ413" s="146"/>
    </row>
    <row r="414" spans="1:36" ht="15.95" customHeight="1" outlineLevel="1" x14ac:dyDescent="0.35">
      <c r="A414" s="526"/>
      <c r="B414" s="577">
        <v>6</v>
      </c>
      <c r="C414" s="936"/>
      <c r="D414" s="936"/>
      <c r="E414" s="936"/>
      <c r="F414" s="936"/>
      <c r="G414" s="936"/>
      <c r="H414" s="577">
        <v>6</v>
      </c>
      <c r="I414" s="936"/>
      <c r="J414" s="936"/>
      <c r="K414" s="936"/>
      <c r="L414" s="936"/>
      <c r="M414" s="936"/>
      <c r="N414" s="577">
        <v>6</v>
      </c>
      <c r="O414" s="936"/>
      <c r="P414" s="936"/>
      <c r="Q414" s="936"/>
      <c r="R414" s="936"/>
      <c r="S414" s="936"/>
      <c r="T414" s="577">
        <v>6</v>
      </c>
      <c r="U414" s="936"/>
      <c r="V414" s="936"/>
      <c r="W414" s="936"/>
      <c r="X414" s="936"/>
      <c r="Y414" s="936"/>
      <c r="Z414" s="534"/>
      <c r="AA414" s="534"/>
      <c r="AB414" s="534"/>
      <c r="AC414" s="534"/>
      <c r="AD414" s="534"/>
      <c r="AE414" s="534"/>
      <c r="AF414" s="534"/>
      <c r="AG414" s="533"/>
      <c r="AH414" s="533"/>
      <c r="AI414" s="533"/>
      <c r="AJ414" s="146"/>
    </row>
    <row r="415" spans="1:36" ht="15.95" customHeight="1" outlineLevel="1" x14ac:dyDescent="0.35">
      <c r="A415" s="526"/>
      <c r="B415" s="802" t="s">
        <v>3188</v>
      </c>
      <c r="C415" s="802"/>
      <c r="D415" s="802"/>
      <c r="E415" s="802"/>
      <c r="F415" s="803"/>
      <c r="G415" s="861">
        <f>CantripsArcaneTrickster</f>
        <v>0</v>
      </c>
      <c r="H415" s="802" t="s">
        <v>3164</v>
      </c>
      <c r="I415" s="802"/>
      <c r="J415" s="802"/>
      <c r="K415" s="802"/>
      <c r="L415" s="803"/>
      <c r="M415" s="861">
        <f>CantripsEldritchKnight</f>
        <v>3</v>
      </c>
      <c r="N415" s="802" t="s">
        <v>623</v>
      </c>
      <c r="O415" s="802"/>
      <c r="P415" s="802"/>
      <c r="Q415" s="802"/>
      <c r="R415" s="803"/>
      <c r="S415" s="861">
        <f>CantripsSorcerer</f>
        <v>0</v>
      </c>
      <c r="T415" s="802" t="s">
        <v>624</v>
      </c>
      <c r="U415" s="802"/>
      <c r="V415" s="802"/>
      <c r="W415" s="802"/>
      <c r="X415" s="803"/>
      <c r="Y415" s="861">
        <f>CantripsWarlock</f>
        <v>0</v>
      </c>
      <c r="Z415" s="534"/>
      <c r="AA415" s="534"/>
      <c r="AB415" s="534"/>
      <c r="AC415" s="534"/>
      <c r="AD415" s="534"/>
      <c r="AE415" s="534"/>
      <c r="AF415" s="534"/>
      <c r="AG415" s="533"/>
      <c r="AH415" s="533"/>
      <c r="AI415" s="533"/>
      <c r="AJ415" s="146"/>
    </row>
    <row r="416" spans="1:36" ht="15.95" customHeight="1" outlineLevel="1" x14ac:dyDescent="0.35">
      <c r="A416" s="526"/>
      <c r="B416" s="802"/>
      <c r="C416" s="802"/>
      <c r="D416" s="802"/>
      <c r="E416" s="802"/>
      <c r="F416" s="803"/>
      <c r="G416" s="861"/>
      <c r="H416" s="802"/>
      <c r="I416" s="802"/>
      <c r="J416" s="802"/>
      <c r="K416" s="802"/>
      <c r="L416" s="803"/>
      <c r="M416" s="861"/>
      <c r="N416" s="802"/>
      <c r="O416" s="802"/>
      <c r="P416" s="802"/>
      <c r="Q416" s="802"/>
      <c r="R416" s="803"/>
      <c r="S416" s="861"/>
      <c r="T416" s="802"/>
      <c r="U416" s="802"/>
      <c r="V416" s="802"/>
      <c r="W416" s="802"/>
      <c r="X416" s="803"/>
      <c r="Y416" s="861"/>
      <c r="Z416" s="534"/>
      <c r="AA416" s="534"/>
      <c r="AB416" s="534"/>
      <c r="AC416" s="534"/>
      <c r="AD416" s="534"/>
      <c r="AE416" s="534"/>
      <c r="AF416" s="534"/>
      <c r="AG416" s="533"/>
      <c r="AH416" s="533"/>
      <c r="AI416" s="533"/>
      <c r="AJ416" s="146"/>
    </row>
    <row r="417" spans="1:36" ht="15.95" customHeight="1" outlineLevel="1" x14ac:dyDescent="0.35">
      <c r="A417" s="526"/>
      <c r="B417" s="577">
        <v>1</v>
      </c>
      <c r="C417" s="936"/>
      <c r="D417" s="936"/>
      <c r="E417" s="936"/>
      <c r="F417" s="936"/>
      <c r="G417" s="936"/>
      <c r="H417" s="577">
        <v>1</v>
      </c>
      <c r="I417" s="936"/>
      <c r="J417" s="936"/>
      <c r="K417" s="936"/>
      <c r="L417" s="936"/>
      <c r="M417" s="936"/>
      <c r="N417" s="577">
        <v>1</v>
      </c>
      <c r="O417" s="936"/>
      <c r="P417" s="936"/>
      <c r="Q417" s="936"/>
      <c r="R417" s="936"/>
      <c r="S417" s="936"/>
      <c r="T417" s="577">
        <v>1</v>
      </c>
      <c r="U417" s="936"/>
      <c r="V417" s="936"/>
      <c r="W417" s="936"/>
      <c r="X417" s="936"/>
      <c r="Y417" s="936"/>
      <c r="Z417" s="534"/>
      <c r="AA417" s="534"/>
      <c r="AB417" s="534"/>
      <c r="AC417" s="534"/>
      <c r="AD417" s="534"/>
      <c r="AE417" s="534"/>
      <c r="AF417" s="534"/>
      <c r="AG417" s="533"/>
      <c r="AH417" s="533"/>
      <c r="AI417" s="533"/>
      <c r="AJ417" s="146"/>
    </row>
    <row r="418" spans="1:36" ht="15.95" customHeight="1" outlineLevel="1" x14ac:dyDescent="0.35">
      <c r="A418" s="526"/>
      <c r="B418" s="577">
        <v>2</v>
      </c>
      <c r="C418" s="936"/>
      <c r="D418" s="936"/>
      <c r="E418" s="936"/>
      <c r="F418" s="936"/>
      <c r="G418" s="936"/>
      <c r="H418" s="577">
        <v>2</v>
      </c>
      <c r="I418" s="936"/>
      <c r="J418" s="936"/>
      <c r="K418" s="936"/>
      <c r="L418" s="936"/>
      <c r="M418" s="936"/>
      <c r="N418" s="577">
        <v>2</v>
      </c>
      <c r="O418" s="936"/>
      <c r="P418" s="936"/>
      <c r="Q418" s="936"/>
      <c r="R418" s="936"/>
      <c r="S418" s="936"/>
      <c r="T418" s="577">
        <v>2</v>
      </c>
      <c r="U418" s="936"/>
      <c r="V418" s="936"/>
      <c r="W418" s="936"/>
      <c r="X418" s="936"/>
      <c r="Y418" s="936"/>
      <c r="Z418" s="534"/>
      <c r="AA418" s="534"/>
      <c r="AB418" s="534"/>
      <c r="AC418" s="534"/>
      <c r="AD418" s="534"/>
      <c r="AE418" s="534"/>
      <c r="AF418" s="534"/>
      <c r="AG418" s="533"/>
      <c r="AH418" s="533"/>
      <c r="AI418" s="533"/>
      <c r="AJ418" s="146"/>
    </row>
    <row r="419" spans="1:36" ht="15.95" customHeight="1" outlineLevel="1" x14ac:dyDescent="0.35">
      <c r="A419" s="526"/>
      <c r="B419" s="577">
        <v>3</v>
      </c>
      <c r="C419" s="936"/>
      <c r="D419" s="936"/>
      <c r="E419" s="936"/>
      <c r="F419" s="936"/>
      <c r="G419" s="936"/>
      <c r="H419" s="577">
        <v>3</v>
      </c>
      <c r="I419" s="936"/>
      <c r="J419" s="936"/>
      <c r="K419" s="936"/>
      <c r="L419" s="936"/>
      <c r="M419" s="936"/>
      <c r="N419" s="577">
        <v>3</v>
      </c>
      <c r="O419" s="936"/>
      <c r="P419" s="936"/>
      <c r="Q419" s="936"/>
      <c r="R419" s="936"/>
      <c r="S419" s="936"/>
      <c r="T419" s="577">
        <v>3</v>
      </c>
      <c r="U419" s="936"/>
      <c r="V419" s="936"/>
      <c r="W419" s="936"/>
      <c r="X419" s="936"/>
      <c r="Y419" s="936"/>
      <c r="Z419" s="534"/>
      <c r="AA419" s="534"/>
      <c r="AB419" s="534"/>
      <c r="AC419" s="534"/>
      <c r="AD419" s="534"/>
      <c r="AE419" s="534"/>
      <c r="AF419" s="534"/>
      <c r="AG419" s="533"/>
      <c r="AH419" s="533"/>
      <c r="AI419" s="533"/>
      <c r="AJ419" s="146"/>
    </row>
    <row r="420" spans="1:36" ht="15.95" customHeight="1" outlineLevel="1" x14ac:dyDescent="0.35">
      <c r="A420" s="526"/>
      <c r="B420" s="577">
        <v>4</v>
      </c>
      <c r="C420" s="936"/>
      <c r="D420" s="936"/>
      <c r="E420" s="936"/>
      <c r="F420" s="936"/>
      <c r="G420" s="936"/>
      <c r="H420" s="577">
        <v>4</v>
      </c>
      <c r="I420" s="936"/>
      <c r="J420" s="936"/>
      <c r="K420" s="936"/>
      <c r="L420" s="936"/>
      <c r="M420" s="936"/>
      <c r="N420" s="577">
        <v>4</v>
      </c>
      <c r="O420" s="936"/>
      <c r="P420" s="936"/>
      <c r="Q420" s="936"/>
      <c r="R420" s="936"/>
      <c r="S420" s="936"/>
      <c r="T420" s="577">
        <v>4</v>
      </c>
      <c r="U420" s="936"/>
      <c r="V420" s="936"/>
      <c r="W420" s="936"/>
      <c r="X420" s="936"/>
      <c r="Y420" s="936"/>
      <c r="Z420" s="534"/>
      <c r="AA420" s="534"/>
      <c r="AB420" s="534"/>
      <c r="AC420" s="534"/>
      <c r="AD420" s="534"/>
      <c r="AE420" s="534"/>
      <c r="AF420" s="534"/>
      <c r="AG420" s="533"/>
      <c r="AH420" s="533"/>
      <c r="AI420" s="533"/>
      <c r="AJ420" s="146"/>
    </row>
    <row r="421" spans="1:36" ht="15.95" customHeight="1" outlineLevel="1" x14ac:dyDescent="0.35">
      <c r="A421" s="526"/>
      <c r="B421" s="577">
        <v>5</v>
      </c>
      <c r="C421" s="936"/>
      <c r="D421" s="936"/>
      <c r="E421" s="936"/>
      <c r="F421" s="936"/>
      <c r="G421" s="936"/>
      <c r="H421" s="577">
        <v>5</v>
      </c>
      <c r="I421" s="936"/>
      <c r="J421" s="936"/>
      <c r="K421" s="936"/>
      <c r="L421" s="936"/>
      <c r="M421" s="936"/>
      <c r="N421" s="577">
        <v>5</v>
      </c>
      <c r="O421" s="936"/>
      <c r="P421" s="936"/>
      <c r="Q421" s="936"/>
      <c r="R421" s="936"/>
      <c r="S421" s="936"/>
      <c r="T421" s="577">
        <v>5</v>
      </c>
      <c r="U421" s="936"/>
      <c r="V421" s="936"/>
      <c r="W421" s="936"/>
      <c r="X421" s="936"/>
      <c r="Y421" s="936"/>
      <c r="Z421" s="534"/>
      <c r="AA421" s="534"/>
      <c r="AB421" s="534"/>
      <c r="AC421" s="534"/>
      <c r="AD421" s="534"/>
      <c r="AE421" s="534"/>
      <c r="AF421" s="534"/>
      <c r="AG421" s="533"/>
      <c r="AH421" s="533"/>
      <c r="AI421" s="533"/>
      <c r="AJ421" s="146"/>
    </row>
    <row r="422" spans="1:36" ht="15.95" customHeight="1" outlineLevel="1" x14ac:dyDescent="0.35">
      <c r="A422" s="526"/>
      <c r="B422" s="577">
        <v>6</v>
      </c>
      <c r="C422" s="936"/>
      <c r="D422" s="936"/>
      <c r="E422" s="936"/>
      <c r="F422" s="936"/>
      <c r="G422" s="936"/>
      <c r="H422" s="577">
        <v>6</v>
      </c>
      <c r="I422" s="936"/>
      <c r="J422" s="936"/>
      <c r="K422" s="936"/>
      <c r="L422" s="936"/>
      <c r="M422" s="936"/>
      <c r="N422" s="577">
        <v>6</v>
      </c>
      <c r="O422" s="936"/>
      <c r="P422" s="936"/>
      <c r="Q422" s="936"/>
      <c r="R422" s="936"/>
      <c r="S422" s="936"/>
      <c r="T422" s="577">
        <v>6</v>
      </c>
      <c r="U422" s="936"/>
      <c r="V422" s="936"/>
      <c r="W422" s="936"/>
      <c r="X422" s="936"/>
      <c r="Y422" s="936"/>
      <c r="Z422" s="534"/>
      <c r="AA422" s="534"/>
      <c r="AB422" s="534"/>
      <c r="AC422" s="534"/>
      <c r="AD422" s="534"/>
      <c r="AE422" s="534"/>
      <c r="AF422" s="534"/>
      <c r="AG422" s="533"/>
      <c r="AH422" s="533"/>
      <c r="AI422" s="533"/>
      <c r="AJ422" s="146"/>
    </row>
    <row r="423" spans="1:36" ht="15.95" customHeight="1" outlineLevel="1" thickBot="1" x14ac:dyDescent="0.4">
      <c r="A423" s="526"/>
      <c r="B423" s="534"/>
      <c r="C423" s="534"/>
      <c r="D423" s="534"/>
      <c r="E423" s="534"/>
      <c r="F423" s="534"/>
      <c r="G423" s="534"/>
      <c r="H423" s="534"/>
      <c r="I423" s="534"/>
      <c r="J423" s="534"/>
      <c r="K423" s="534"/>
      <c r="L423" s="534"/>
      <c r="M423" s="534"/>
      <c r="N423" s="534"/>
      <c r="O423" s="534"/>
      <c r="P423" s="534"/>
      <c r="Q423" s="534"/>
      <c r="R423" s="534"/>
      <c r="S423" s="534"/>
      <c r="T423" s="534"/>
      <c r="U423" s="534"/>
      <c r="V423" s="534"/>
      <c r="W423" s="534"/>
      <c r="X423" s="534"/>
      <c r="Y423" s="534"/>
      <c r="Z423" s="534"/>
      <c r="AA423" s="534"/>
      <c r="AB423" s="534"/>
      <c r="AC423" s="534"/>
      <c r="AD423" s="534"/>
      <c r="AE423" s="534"/>
      <c r="AF423" s="534"/>
      <c r="AG423" s="533"/>
      <c r="AH423" s="533"/>
      <c r="AI423" s="533"/>
      <c r="AJ423" s="146"/>
    </row>
    <row r="424" spans="1:36" ht="15.95" customHeight="1" outlineLevel="1" thickTop="1" thickBot="1" x14ac:dyDescent="0.4">
      <c r="A424" s="526"/>
      <c r="B424" s="771" t="s">
        <v>6658</v>
      </c>
      <c r="C424" s="772"/>
      <c r="D424" s="772"/>
      <c r="E424" s="773"/>
      <c r="F424" s="534"/>
      <c r="G424" s="534"/>
      <c r="H424" s="534"/>
      <c r="I424" s="534"/>
      <c r="J424" s="534"/>
      <c r="K424" s="534"/>
      <c r="L424" s="534"/>
      <c r="M424" s="534"/>
      <c r="N424" s="534"/>
      <c r="O424" s="534"/>
      <c r="P424" s="534"/>
      <c r="Q424" s="534"/>
      <c r="R424" s="534"/>
      <c r="S424" s="534"/>
      <c r="T424" s="534"/>
      <c r="U424" s="534"/>
      <c r="V424" s="534"/>
      <c r="W424" s="534"/>
      <c r="X424" s="534"/>
      <c r="Y424" s="534"/>
      <c r="Z424" s="534"/>
      <c r="AA424" s="534"/>
      <c r="AB424" s="534"/>
      <c r="AC424" s="534"/>
      <c r="AD424" s="534"/>
      <c r="AE424" s="534"/>
      <c r="AF424" s="534"/>
      <c r="AG424" s="533"/>
      <c r="AH424" s="533"/>
      <c r="AI424" s="533"/>
      <c r="AJ424" s="146"/>
    </row>
    <row r="425" spans="1:36" ht="15.95" customHeight="1" outlineLevel="1" thickTop="1" x14ac:dyDescent="0.35">
      <c r="A425" s="526"/>
      <c r="B425" s="534"/>
      <c r="C425" s="534"/>
      <c r="D425" s="534"/>
      <c r="E425" s="534"/>
      <c r="F425" s="534"/>
      <c r="G425" s="534"/>
      <c r="H425" s="534"/>
      <c r="I425" s="534"/>
      <c r="J425" s="534"/>
      <c r="K425" s="534"/>
      <c r="L425" s="534"/>
      <c r="M425" s="534"/>
      <c r="N425" s="534"/>
      <c r="O425" s="534"/>
      <c r="P425" s="534"/>
      <c r="Q425" s="534"/>
      <c r="R425" s="534"/>
      <c r="S425" s="534"/>
      <c r="T425" s="534"/>
      <c r="U425" s="534"/>
      <c r="V425" s="534"/>
      <c r="W425" s="534"/>
      <c r="X425" s="534"/>
      <c r="Y425" s="534"/>
      <c r="Z425" s="534"/>
      <c r="AA425" s="534"/>
      <c r="AB425" s="534"/>
      <c r="AC425" s="534"/>
      <c r="AD425" s="534"/>
      <c r="AE425" s="534"/>
      <c r="AF425" s="534"/>
      <c r="AG425" s="533"/>
      <c r="AH425" s="533"/>
      <c r="AI425" s="533"/>
      <c r="AJ425" s="146"/>
    </row>
    <row r="426" spans="1:36" ht="15.95" customHeight="1" x14ac:dyDescent="0.35">
      <c r="A426" s="526"/>
      <c r="B426" s="778" t="s">
        <v>7496</v>
      </c>
      <c r="C426" s="778"/>
      <c r="D426" s="778"/>
      <c r="E426" s="778"/>
      <c r="F426" s="778"/>
      <c r="G426" s="778"/>
      <c r="H426" s="778"/>
      <c r="I426" s="778"/>
      <c r="J426" s="778"/>
      <c r="K426" s="778"/>
      <c r="L426" s="778"/>
      <c r="M426" s="778"/>
      <c r="N426" s="778"/>
      <c r="O426" s="778"/>
      <c r="P426" s="778"/>
      <c r="Q426" s="778"/>
      <c r="R426" s="778"/>
      <c r="S426" s="778"/>
      <c r="T426" s="778"/>
      <c r="U426" s="778"/>
      <c r="V426" s="778"/>
      <c r="W426" s="778"/>
      <c r="X426" s="778"/>
      <c r="Y426" s="778"/>
      <c r="Z426" s="778"/>
      <c r="AA426" s="778"/>
      <c r="AB426" s="778"/>
      <c r="AC426" s="778"/>
      <c r="AD426" s="778"/>
      <c r="AE426" s="778"/>
      <c r="AF426" s="534"/>
      <c r="AG426" s="533"/>
      <c r="AH426" s="533"/>
      <c r="AI426" s="533"/>
      <c r="AJ426" s="146"/>
    </row>
    <row r="427" spans="1:36" ht="15.95" customHeight="1" x14ac:dyDescent="0.35">
      <c r="A427" s="526"/>
      <c r="B427" s="778"/>
      <c r="C427" s="778"/>
      <c r="D427" s="778"/>
      <c r="E427" s="778"/>
      <c r="F427" s="778"/>
      <c r="G427" s="778"/>
      <c r="H427" s="778"/>
      <c r="I427" s="778"/>
      <c r="J427" s="778"/>
      <c r="K427" s="778"/>
      <c r="L427" s="778"/>
      <c r="M427" s="778"/>
      <c r="N427" s="778"/>
      <c r="O427" s="778"/>
      <c r="P427" s="778"/>
      <c r="Q427" s="778"/>
      <c r="R427" s="778"/>
      <c r="S427" s="778"/>
      <c r="T427" s="778"/>
      <c r="U427" s="778"/>
      <c r="V427" s="778"/>
      <c r="W427" s="778"/>
      <c r="X427" s="778"/>
      <c r="Y427" s="778"/>
      <c r="Z427" s="778"/>
      <c r="AA427" s="778"/>
      <c r="AB427" s="778"/>
      <c r="AC427" s="778"/>
      <c r="AD427" s="778"/>
      <c r="AE427" s="778"/>
      <c r="AF427" s="534"/>
      <c r="AG427" s="533"/>
      <c r="AH427" s="533"/>
      <c r="AI427" s="533"/>
      <c r="AJ427" s="146"/>
    </row>
    <row r="428" spans="1:36" ht="15.95" customHeight="1" outlineLevel="1" x14ac:dyDescent="0.35">
      <c r="A428" s="526"/>
      <c r="B428" s="534"/>
      <c r="C428" s="534"/>
      <c r="D428" s="534"/>
      <c r="E428" s="534"/>
      <c r="F428" s="534"/>
      <c r="G428" s="534"/>
      <c r="H428" s="534"/>
      <c r="I428" s="534"/>
      <c r="J428" s="534"/>
      <c r="K428" s="534"/>
      <c r="L428" s="534"/>
      <c r="M428" s="534"/>
      <c r="N428" s="534"/>
      <c r="O428" s="534"/>
      <c r="P428" s="534"/>
      <c r="Q428" s="534"/>
      <c r="R428" s="534"/>
      <c r="S428" s="526"/>
      <c r="T428" s="534"/>
      <c r="U428" s="534"/>
      <c r="V428" s="534"/>
      <c r="W428" s="534"/>
      <c r="X428" s="534"/>
      <c r="Y428" s="534"/>
      <c r="Z428" s="534"/>
      <c r="AA428" s="534"/>
      <c r="AB428" s="534"/>
      <c r="AC428" s="534"/>
      <c r="AD428" s="534"/>
      <c r="AE428" s="534"/>
      <c r="AF428" s="534"/>
      <c r="AG428" s="533"/>
      <c r="AH428" s="533"/>
      <c r="AI428" s="533"/>
      <c r="AJ428" s="146"/>
    </row>
    <row r="429" spans="1:36" ht="15.95" customHeight="1" outlineLevel="1" x14ac:dyDescent="0.35">
      <c r="A429" s="526"/>
      <c r="B429" s="835" t="s">
        <v>392</v>
      </c>
      <c r="C429" s="836"/>
      <c r="D429" s="832" t="s">
        <v>2842</v>
      </c>
      <c r="E429" s="833"/>
      <c r="F429" s="834"/>
      <c r="G429" s="120"/>
      <c r="H429" s="835" t="s">
        <v>89</v>
      </c>
      <c r="I429" s="836"/>
      <c r="J429" s="832" t="s">
        <v>1068</v>
      </c>
      <c r="K429" s="833"/>
      <c r="L429" s="834"/>
      <c r="M429" s="534"/>
      <c r="N429" s="835" t="s">
        <v>2841</v>
      </c>
      <c r="O429" s="836"/>
      <c r="P429" s="978" t="str">
        <f>IF(INDEX(T02_Backgrounds!CM2:CM103,SelectedBackgroundId,1)=0,"",INDEX(T02_Backgrounds!CM2:CM103,SelectedBackgroundId,1))</f>
        <v>common clothes</v>
      </c>
      <c r="Q429" s="979"/>
      <c r="R429" s="980"/>
      <c r="S429" s="526"/>
      <c r="T429" s="835" t="s">
        <v>2825</v>
      </c>
      <c r="U429" s="836"/>
      <c r="V429" s="976" t="str">
        <f>IF(INDEX(T04_Classes!Z3:Z102,SelectedClassID,1)=0,"",INDEX(T04_Classes!Z3:Z102,SelectedClassID,1))</f>
        <v/>
      </c>
      <c r="W429" s="977"/>
      <c r="X429" s="832" t="s">
        <v>316</v>
      </c>
      <c r="Y429" s="833"/>
      <c r="Z429" s="834"/>
      <c r="AA429" s="526"/>
      <c r="AB429" s="526"/>
      <c r="AC429" s="526"/>
      <c r="AD429" s="526"/>
      <c r="AE429" s="526"/>
      <c r="AF429" s="526"/>
      <c r="AG429" s="533"/>
      <c r="AH429" s="533"/>
      <c r="AI429" s="533"/>
      <c r="AJ429" s="146"/>
    </row>
    <row r="430" spans="1:36" ht="15.95" customHeight="1" outlineLevel="1" x14ac:dyDescent="0.35">
      <c r="A430" s="526"/>
      <c r="B430" s="835"/>
      <c r="C430" s="836"/>
      <c r="D430" s="832"/>
      <c r="E430" s="833"/>
      <c r="F430" s="834"/>
      <c r="G430" s="120"/>
      <c r="H430" s="835"/>
      <c r="I430" s="836"/>
      <c r="J430" s="832"/>
      <c r="K430" s="833"/>
      <c r="L430" s="834"/>
      <c r="M430" s="534"/>
      <c r="N430" s="835"/>
      <c r="O430" s="836"/>
      <c r="P430" s="981"/>
      <c r="Q430" s="982"/>
      <c r="R430" s="983"/>
      <c r="S430" s="526"/>
      <c r="T430" s="835"/>
      <c r="U430" s="836"/>
      <c r="V430" s="976"/>
      <c r="W430" s="977"/>
      <c r="X430" s="832"/>
      <c r="Y430" s="833"/>
      <c r="Z430" s="834"/>
      <c r="AA430" s="526"/>
      <c r="AB430" s="526"/>
      <c r="AC430" s="526"/>
      <c r="AD430" s="526"/>
      <c r="AE430" s="526"/>
      <c r="AF430" s="526"/>
      <c r="AG430" s="533"/>
      <c r="AH430" s="533"/>
      <c r="AI430" s="533"/>
      <c r="AJ430" s="146"/>
    </row>
    <row r="431" spans="1:36" ht="15.95" customHeight="1" outlineLevel="1" x14ac:dyDescent="0.35">
      <c r="A431" s="526"/>
      <c r="B431" s="120"/>
      <c r="C431" s="120"/>
      <c r="D431" s="120"/>
      <c r="E431" s="120"/>
      <c r="F431" s="120"/>
      <c r="G431" s="120"/>
      <c r="H431" s="120"/>
      <c r="I431" s="120"/>
      <c r="J431" s="120"/>
      <c r="K431" s="120"/>
      <c r="L431" s="120"/>
      <c r="M431" s="534"/>
      <c r="N431" s="120"/>
      <c r="O431" s="120"/>
      <c r="P431" s="120"/>
      <c r="Q431" s="120"/>
      <c r="R431" s="120"/>
      <c r="S431" s="526"/>
      <c r="T431" s="120"/>
      <c r="U431" s="120"/>
      <c r="V431" s="835" t="s">
        <v>6493</v>
      </c>
      <c r="W431" s="836"/>
      <c r="X431" s="850" t="s">
        <v>2848</v>
      </c>
      <c r="Y431" s="851"/>
      <c r="Z431" s="852"/>
      <c r="AA431" s="526"/>
      <c r="AB431" s="526"/>
      <c r="AC431" s="526"/>
      <c r="AD431" s="526"/>
      <c r="AE431" s="526"/>
      <c r="AF431" s="526"/>
      <c r="AG431" s="533"/>
      <c r="AH431" s="533"/>
      <c r="AI431" s="533"/>
      <c r="AJ431" s="146"/>
    </row>
    <row r="432" spans="1:36" ht="15.95" customHeight="1" outlineLevel="1" x14ac:dyDescent="0.35">
      <c r="A432" s="526"/>
      <c r="B432" s="848" t="str">
        <f>IF(INDEX('C04_Inventory'!$B$2:$U$100,MATCH(Character_Creation!$D$429,'C04_Inventory'!$A$2:$A$100,0),1)=0,"",INDEX('C04_Inventory'!$B$2:$U$100,MATCH(Character_Creation!$D$429,'C04_Inventory'!$A$2:$A$100,0),1))</f>
        <v>backpack</v>
      </c>
      <c r="C432" s="848"/>
      <c r="D432" s="848"/>
      <c r="E432" s="848"/>
      <c r="F432" s="599">
        <f>IF(INDEX('C04_Inventory'!$V$2:$AO$100,MATCH(Character_Creation!$D$429,'C04_Inventory'!$A$2:$A$100,0),1)=0,"",INDEX('C04_Inventory'!$V$2:$AO$100,MATCH(Character_Creation!$D$429,'C04_Inventory'!$A$2:$A$100,0),1))</f>
        <v>1</v>
      </c>
      <c r="G432" s="120"/>
      <c r="H432" s="835" t="s">
        <v>2942</v>
      </c>
      <c r="I432" s="836"/>
      <c r="J432" s="832" t="s">
        <v>119</v>
      </c>
      <c r="K432" s="833"/>
      <c r="L432" s="834"/>
      <c r="M432" s="534"/>
      <c r="N432" s="843" t="s">
        <v>2793</v>
      </c>
      <c r="O432" s="844"/>
      <c r="P432" s="854" t="str">
        <f>IF(INDEX(T02_Backgrounds!$CG$2:$CL$103,SelectedBackgroundId,1)=0,"",INDEX(T02_Backgrounds!$CG$2:$CL$103,SelectedBackgroundId,1))</f>
        <v>bottle of black ink</v>
      </c>
      <c r="Q432" s="855"/>
      <c r="R432" s="856"/>
      <c r="S432" s="526"/>
      <c r="T432" s="120"/>
      <c r="U432" s="120"/>
      <c r="V432" s="835"/>
      <c r="W432" s="836"/>
      <c r="X432" s="850"/>
      <c r="Y432" s="851"/>
      <c r="Z432" s="852"/>
      <c r="AA432" s="526"/>
      <c r="AB432" s="526"/>
      <c r="AC432" s="526"/>
      <c r="AD432" s="526"/>
      <c r="AE432" s="526"/>
      <c r="AF432" s="526"/>
      <c r="AG432" s="533"/>
      <c r="AH432" s="533"/>
      <c r="AI432" s="533"/>
      <c r="AJ432" s="146"/>
    </row>
    <row r="433" spans="1:141" ht="15.95" customHeight="1" outlineLevel="1" x14ac:dyDescent="0.35">
      <c r="A433" s="526"/>
      <c r="B433" s="848" t="str">
        <f>IF(INDEX('C04_Inventory'!$B$2:$U$100,MATCH(Character_Creation!$D$429,'C04_Inventory'!$A$2:$A$100,0),2)=0,"",INDEX('C04_Inventory'!$B$2:$U$100,MATCH(Character_Creation!$D$429,'C04_Inventory'!$A$2:$A$100,0),2))</f>
        <v>bedroll</v>
      </c>
      <c r="C433" s="848"/>
      <c r="D433" s="848"/>
      <c r="E433" s="848"/>
      <c r="F433" s="599">
        <f>IF(INDEX('C04_Inventory'!$V$2:$AO$100,MATCH(Character_Creation!$D$429,'C04_Inventory'!$A$2:$A$100,0),2)=0,"",INDEX('C04_Inventory'!$V$2:$AO$100,MATCH(Character_Creation!$D$429,'C04_Inventory'!$A$2:$A$100,0),2))</f>
        <v>1</v>
      </c>
      <c r="G433" s="120"/>
      <c r="H433" s="835"/>
      <c r="I433" s="836"/>
      <c r="J433" s="832"/>
      <c r="K433" s="833"/>
      <c r="L433" s="834"/>
      <c r="M433" s="534"/>
      <c r="N433" s="843" t="s">
        <v>2794</v>
      </c>
      <c r="O433" s="844"/>
      <c r="P433" s="854" t="str">
        <f>IF(INDEX(T02_Backgrounds!$CG$2:$CL$103,SelectedBackgroundId,2)=0,"",INDEX(T02_Backgrounds!$CG$2:$CL$103,SelectedBackgroundId,2))</f>
        <v>quill</v>
      </c>
      <c r="Q433" s="855"/>
      <c r="R433" s="856"/>
      <c r="S433" s="526"/>
      <c r="T433" s="120"/>
      <c r="U433" s="120"/>
      <c r="V433" s="120"/>
      <c r="W433" s="120"/>
      <c r="X433" s="840"/>
      <c r="Y433" s="841"/>
      <c r="Z433" s="842"/>
      <c r="AA433" s="526"/>
      <c r="AB433" s="526"/>
      <c r="AC433" s="526"/>
      <c r="AD433" s="526"/>
      <c r="AE433" s="526"/>
      <c r="AF433" s="526"/>
      <c r="AG433" s="533"/>
      <c r="AH433" s="533"/>
      <c r="AI433" s="533"/>
      <c r="AJ433" s="146"/>
    </row>
    <row r="434" spans="1:141" ht="15.95" customHeight="1" outlineLevel="1" x14ac:dyDescent="0.35">
      <c r="A434" s="526"/>
      <c r="B434" s="848" t="str">
        <f>IF(INDEX('C04_Inventory'!$B$2:$U$100,MATCH(Character_Creation!$D$429,'C04_Inventory'!$A$2:$A$100,0),3)=0,"",INDEX('C04_Inventory'!$B$2:$U$100,MATCH(Character_Creation!$D$429,'C04_Inventory'!$A$2:$A$100,0),3))</f>
        <v>mess kit</v>
      </c>
      <c r="C434" s="848"/>
      <c r="D434" s="848"/>
      <c r="E434" s="848"/>
      <c r="F434" s="599">
        <f>IF(INDEX('C04_Inventory'!$V$2:$AO$100,MATCH(Character_Creation!$D$429,'C04_Inventory'!$A$2:$A$100,0),3)=0,"",INDEX('C04_Inventory'!$V$2:$AO$100,MATCH(Character_Creation!$D$429,'C04_Inventory'!$A$2:$A$100,0),3))</f>
        <v>1</v>
      </c>
      <c r="G434" s="120"/>
      <c r="H434" s="835" t="s">
        <v>2943</v>
      </c>
      <c r="I434" s="836"/>
      <c r="J434" s="832" t="s">
        <v>52</v>
      </c>
      <c r="K434" s="833"/>
      <c r="L434" s="834"/>
      <c r="M434" s="534"/>
      <c r="N434" s="843" t="s">
        <v>2795</v>
      </c>
      <c r="O434" s="844"/>
      <c r="P434" s="854" t="str">
        <f>IF(INDEX(T02_Backgrounds!$CG$2:$CL$103,SelectedBackgroundId,3)=0,"",INDEX(T02_Backgrounds!$CG$2:$CL$103,SelectedBackgroundId,3))</f>
        <v>small knife</v>
      </c>
      <c r="Q434" s="855"/>
      <c r="R434" s="856"/>
      <c r="S434" s="526"/>
      <c r="T434" s="120"/>
      <c r="U434" s="120"/>
      <c r="V434" s="120"/>
      <c r="W434" s="120"/>
      <c r="X434" s="840"/>
      <c r="Y434" s="841"/>
      <c r="Z434" s="842"/>
      <c r="AA434" s="526"/>
      <c r="AB434" s="526"/>
      <c r="AC434" s="526"/>
      <c r="AD434" s="526"/>
      <c r="AE434" s="526"/>
      <c r="AF434" s="526"/>
      <c r="AG434" s="533"/>
      <c r="AH434" s="533"/>
      <c r="AI434" s="533"/>
      <c r="AJ434" s="146"/>
    </row>
    <row r="435" spans="1:141" ht="15.95" customHeight="1" outlineLevel="1" x14ac:dyDescent="0.35">
      <c r="A435" s="526"/>
      <c r="B435" s="848" t="str">
        <f>IF(INDEX('C04_Inventory'!$B$2:$U$100,MATCH(Character_Creation!$D$429,'C04_Inventory'!$A$2:$A$100,0),4)=0,"",INDEX('C04_Inventory'!$B$2:$U$100,MATCH(Character_Creation!$D$429,'C04_Inventory'!$A$2:$A$100,0),4))</f>
        <v>linderbox</v>
      </c>
      <c r="C435" s="848"/>
      <c r="D435" s="848"/>
      <c r="E435" s="848"/>
      <c r="F435" s="599">
        <f>IF(INDEX('C04_Inventory'!$V$2:$AO$100,MATCH(Character_Creation!$D$429,'C04_Inventory'!$A$2:$A$100,0),4)=0,"",INDEX('C04_Inventory'!$V$2:$AO$100,MATCH(Character_Creation!$D$429,'C04_Inventory'!$A$2:$A$100,0),4))</f>
        <v>1</v>
      </c>
      <c r="G435" s="120"/>
      <c r="H435" s="835"/>
      <c r="I435" s="836"/>
      <c r="J435" s="832"/>
      <c r="K435" s="833"/>
      <c r="L435" s="834"/>
      <c r="M435" s="534"/>
      <c r="N435" s="843" t="s">
        <v>2796</v>
      </c>
      <c r="O435" s="844"/>
      <c r="P435" s="854" t="str">
        <f>IF(INDEX(T02_Backgrounds!$CG$2:$CL$103,SelectedBackgroundId,4)=0,"",INDEX(T02_Backgrounds!$CG$2:$CL$103,SelectedBackgroundId,4))</f>
        <v>a letter from a dead colleague posing a question you have not yet been able to answe</v>
      </c>
      <c r="Q435" s="855"/>
      <c r="R435" s="856"/>
      <c r="S435" s="526"/>
      <c r="T435" s="835" t="s">
        <v>2826</v>
      </c>
      <c r="U435" s="836"/>
      <c r="V435" s="976"/>
      <c r="W435" s="977"/>
      <c r="X435" s="832"/>
      <c r="Y435" s="833"/>
      <c r="Z435" s="834"/>
      <c r="AA435" s="526"/>
      <c r="AB435" s="526"/>
      <c r="AC435" s="526"/>
      <c r="AD435" s="526"/>
      <c r="AE435" s="526"/>
      <c r="AF435" s="526"/>
      <c r="AG435" s="533"/>
      <c r="AH435" s="533"/>
      <c r="AI435" s="533"/>
      <c r="AJ435" s="146"/>
    </row>
    <row r="436" spans="1:141" ht="15.95" customHeight="1" outlineLevel="1" x14ac:dyDescent="0.3">
      <c r="A436" s="526"/>
      <c r="B436" s="848" t="str">
        <f>IF(INDEX('C04_Inventory'!$B$2:$U$100,MATCH(Character_Creation!$D$429,'C04_Inventory'!$A$2:$A$100,0),5)=0,"",INDEX('C04_Inventory'!$B$2:$U$100,MATCH(Character_Creation!$D$429,'C04_Inventory'!$A$2:$A$100,0),5))</f>
        <v>torch</v>
      </c>
      <c r="C436" s="848"/>
      <c r="D436" s="848"/>
      <c r="E436" s="848"/>
      <c r="F436" s="599">
        <f>IF(INDEX('C04_Inventory'!$V$2:$AO$100,MATCH(Character_Creation!$D$429,'C04_Inventory'!$A$2:$A$100,0),5)=0,"",INDEX('C04_Inventory'!$V$2:$AO$100,MATCH(Character_Creation!$D$429,'C04_Inventory'!$A$2:$A$100,0),5))</f>
        <v>10</v>
      </c>
      <c r="G436" s="120"/>
      <c r="H436" s="835" t="s">
        <v>2944</v>
      </c>
      <c r="I436" s="836"/>
      <c r="J436" s="832"/>
      <c r="K436" s="833"/>
      <c r="L436" s="834"/>
      <c r="M436" s="120"/>
      <c r="N436" s="843" t="s">
        <v>2797</v>
      </c>
      <c r="O436" s="844"/>
      <c r="P436" s="854" t="str">
        <f>IF(INDEX(T02_Backgrounds!$CG$2:$CL$103,SelectedBackgroundId,5)=0,"",INDEX(T02_Backgrounds!$CG$2:$CL$103,SelectedBackgroundId,5))</f>
        <v>belt pouch</v>
      </c>
      <c r="Q436" s="855"/>
      <c r="R436" s="856"/>
      <c r="S436" s="526"/>
      <c r="T436" s="835"/>
      <c r="U436" s="836"/>
      <c r="V436" s="976"/>
      <c r="W436" s="977"/>
      <c r="X436" s="832"/>
      <c r="Y436" s="833"/>
      <c r="Z436" s="834"/>
      <c r="AA436" s="526"/>
      <c r="AB436" s="526"/>
      <c r="AC436" s="526"/>
      <c r="AD436" s="526"/>
      <c r="AE436" s="526"/>
      <c r="AF436" s="526"/>
      <c r="AG436" s="533"/>
      <c r="AH436" s="533"/>
      <c r="AI436" s="533"/>
      <c r="AJ436" s="146"/>
    </row>
    <row r="437" spans="1:141" ht="15.95" customHeight="1" outlineLevel="1" x14ac:dyDescent="0.3">
      <c r="A437" s="526"/>
      <c r="B437" s="848" t="str">
        <f>IF(INDEX('C04_Inventory'!$B$2:$U$100,MATCH(Character_Creation!$D$429,'C04_Inventory'!$A$2:$A$100,0),6)=0,"",INDEX('C04_Inventory'!$B$2:$U$100,MATCH(Character_Creation!$D$429,'C04_Inventory'!$A$2:$A$100,0),6))</f>
        <v>day ration</v>
      </c>
      <c r="C437" s="848"/>
      <c r="D437" s="848"/>
      <c r="E437" s="848"/>
      <c r="F437" s="599">
        <f>IF(INDEX('C04_Inventory'!$V$2:$AO$100,MATCH(Character_Creation!$D$429,'C04_Inventory'!$A$2:$A$100,0),6)=0,"",INDEX('C04_Inventory'!$V$2:$AO$100,MATCH(Character_Creation!$D$429,'C04_Inventory'!$A$2:$A$100,0),6))</f>
        <v>10</v>
      </c>
      <c r="G437" s="120"/>
      <c r="H437" s="835"/>
      <c r="I437" s="836"/>
      <c r="J437" s="832"/>
      <c r="K437" s="833"/>
      <c r="L437" s="834"/>
      <c r="M437" s="120"/>
      <c r="N437" s="843" t="s">
        <v>2798</v>
      </c>
      <c r="O437" s="844"/>
      <c r="P437" s="854" t="str">
        <f>IF(INDEX(T02_Backgrounds!$CG$2:$CL$103,SelectedBackgroundId,6)=0,"",INDEX(T02_Backgrounds!$CG$2:$CL$103,SelectedBackgroundId,6))</f>
        <v/>
      </c>
      <c r="Q437" s="855"/>
      <c r="R437" s="856"/>
      <c r="S437" s="526"/>
      <c r="T437" s="120"/>
      <c r="U437" s="120"/>
      <c r="V437" s="835" t="s">
        <v>6493</v>
      </c>
      <c r="W437" s="836"/>
      <c r="X437" s="850"/>
      <c r="Y437" s="851"/>
      <c r="Z437" s="852"/>
      <c r="AA437" s="526"/>
      <c r="AB437" s="526"/>
      <c r="AC437" s="526"/>
      <c r="AD437" s="526"/>
      <c r="AE437" s="526"/>
      <c r="AF437" s="526"/>
      <c r="AG437" s="533"/>
      <c r="AH437" s="533"/>
      <c r="AI437" s="533"/>
      <c r="AJ437" s="146"/>
    </row>
    <row r="438" spans="1:141" ht="15.95" customHeight="1" outlineLevel="1" x14ac:dyDescent="0.3">
      <c r="A438" s="526"/>
      <c r="B438" s="848" t="str">
        <f>IF(INDEX('C04_Inventory'!$B$2:$U$100,MATCH(Character_Creation!$D$429,'C04_Inventory'!$A$2:$A$100,0),7)=0,"",INDEX('C04_Inventory'!$B$2:$U$100,MATCH(Character_Creation!$D$429,'C04_Inventory'!$A$2:$A$100,0),7))</f>
        <v>waterskin</v>
      </c>
      <c r="C438" s="848"/>
      <c r="D438" s="848"/>
      <c r="E438" s="848"/>
      <c r="F438" s="599">
        <f>IF(INDEX('C04_Inventory'!$V$2:$AO$100,MATCH(Character_Creation!$D$429,'C04_Inventory'!$A$2:$A$100,0),7)=0,"",INDEX('C04_Inventory'!$V$2:$AO$100,MATCH(Character_Creation!$D$429,'C04_Inventory'!$A$2:$A$100,0),7))</f>
        <v>1</v>
      </c>
      <c r="G438" s="120"/>
      <c r="H438" s="835" t="s">
        <v>2945</v>
      </c>
      <c r="I438" s="836"/>
      <c r="J438" s="832"/>
      <c r="K438" s="833"/>
      <c r="L438" s="834"/>
      <c r="M438" s="120"/>
      <c r="N438" s="120"/>
      <c r="O438" s="120"/>
      <c r="P438" s="120"/>
      <c r="Q438" s="120"/>
      <c r="R438" s="120"/>
      <c r="S438" s="526"/>
      <c r="T438" s="120"/>
      <c r="U438" s="120"/>
      <c r="V438" s="835"/>
      <c r="W438" s="836"/>
      <c r="X438" s="850"/>
      <c r="Y438" s="851"/>
      <c r="Z438" s="852"/>
      <c r="AA438" s="526"/>
      <c r="AB438" s="526"/>
      <c r="AC438" s="526"/>
      <c r="AD438" s="526"/>
      <c r="AE438" s="526"/>
      <c r="AF438" s="526"/>
      <c r="AG438" s="533"/>
      <c r="AH438" s="533"/>
      <c r="AI438" s="533"/>
      <c r="AJ438" s="146"/>
    </row>
    <row r="439" spans="1:141" ht="15.95" customHeight="1" outlineLevel="1" x14ac:dyDescent="0.3">
      <c r="A439" s="526"/>
      <c r="B439" s="848" t="str">
        <f>IF(INDEX('C04_Inventory'!$B$2:$U$100,MATCH(Character_Creation!$D$429,'C04_Inventory'!$A$2:$A$100,0),8)=0,"",INDEX('C04_Inventory'!$B$2:$U$100,MATCH(Character_Creation!$D$429,'C04_Inventory'!$A$2:$A$100,0),8))</f>
        <v>hempen rope 50 ft</v>
      </c>
      <c r="C439" s="848"/>
      <c r="D439" s="848"/>
      <c r="E439" s="848"/>
      <c r="F439" s="599">
        <f>IF(INDEX('C04_Inventory'!$V$2:$AO$100,MATCH(Character_Creation!$D$429,'C04_Inventory'!$A$2:$A$100,0),8)=0,"",INDEX('C04_Inventory'!$V$2:$AO$100,MATCH(Character_Creation!$D$429,'C04_Inventory'!$A$2:$A$100,0),8))</f>
        <v>1</v>
      </c>
      <c r="G439" s="120"/>
      <c r="H439" s="835"/>
      <c r="I439" s="836"/>
      <c r="J439" s="832"/>
      <c r="K439" s="833"/>
      <c r="L439" s="834"/>
      <c r="M439" s="120"/>
      <c r="N439" s="835" t="s">
        <v>2809</v>
      </c>
      <c r="O439" s="836"/>
      <c r="P439" s="837">
        <f>IF(INDEX(T02_Backgrounds!CN2:CN103,SelectedBackgroundId,1)=0,"",INDEX(T02_Backgrounds!CN2:CN103,SelectedBackgroundId,1))</f>
        <v>10</v>
      </c>
      <c r="Q439" s="838"/>
      <c r="R439" s="839"/>
      <c r="S439" s="526"/>
      <c r="T439" s="120"/>
      <c r="U439" s="120"/>
      <c r="V439" s="120"/>
      <c r="W439" s="120"/>
      <c r="X439" s="840" t="str">
        <f>IF(IF(X437="",X435,X437)=0,"",IF(X437="",X435,X437))</f>
        <v/>
      </c>
      <c r="Y439" s="841"/>
      <c r="Z439" s="842"/>
      <c r="AA439" s="526"/>
      <c r="AB439" s="526"/>
      <c r="AC439" s="526"/>
      <c r="AD439" s="526"/>
      <c r="AE439" s="526"/>
      <c r="AF439" s="526"/>
      <c r="AG439" s="533"/>
      <c r="AH439" s="533"/>
      <c r="AI439" s="533"/>
      <c r="AJ439" s="146"/>
      <c r="EC439" s="140"/>
      <c r="ED439" s="140"/>
      <c r="EE439" s="140"/>
      <c r="EF439" s="140"/>
      <c r="EG439" s="140"/>
      <c r="EH439" s="140"/>
      <c r="EI439" s="140"/>
      <c r="EJ439" s="140"/>
    </row>
    <row r="440" spans="1:141" ht="15.95" customHeight="1" outlineLevel="1" x14ac:dyDescent="0.3">
      <c r="A440" s="526"/>
      <c r="B440" s="848" t="str">
        <f>IF(INDEX('C04_Inventory'!$B$2:$U$100,MATCH(Character_Creation!$D$429,'C04_Inventory'!$A$2:$A$100,0),9)=0,"",INDEX('C04_Inventory'!$B$2:$U$100,MATCH(Character_Creation!$D$429,'C04_Inventory'!$A$2:$A$100,0),9))</f>
        <v/>
      </c>
      <c r="C440" s="848"/>
      <c r="D440" s="848"/>
      <c r="E440" s="848"/>
      <c r="F440" s="599" t="str">
        <f>IF(INDEX('C04_Inventory'!$V$2:$AO$100,MATCH(Character_Creation!$D$429,'C04_Inventory'!$A$2:$A$100,0),9)=0,"",INDEX('C04_Inventory'!$V$2:$AO$100,MATCH(Character_Creation!$D$429,'C04_Inventory'!$A$2:$A$100,0),9))</f>
        <v/>
      </c>
      <c r="G440" s="120"/>
      <c r="H440" s="835" t="s">
        <v>2953</v>
      </c>
      <c r="I440" s="836"/>
      <c r="J440" s="837" t="str">
        <f>IF(J429=INDEX(T04_Classes!BU3:BU102,SelectedClassID,1),INDEX(T04_Classes!BV3:BV102,SelectedClassID,1),"")</f>
        <v/>
      </c>
      <c r="K440" s="838"/>
      <c r="L440" s="839"/>
      <c r="M440" s="120"/>
      <c r="N440" s="835"/>
      <c r="O440" s="836"/>
      <c r="P440" s="837"/>
      <c r="Q440" s="838"/>
      <c r="R440" s="839"/>
      <c r="S440" s="526"/>
      <c r="T440" s="120"/>
      <c r="U440" s="120"/>
      <c r="V440" s="120"/>
      <c r="W440" s="120"/>
      <c r="X440" s="840"/>
      <c r="Y440" s="841"/>
      <c r="Z440" s="842"/>
      <c r="AA440" s="526"/>
      <c r="AB440" s="526"/>
      <c r="AC440" s="526"/>
      <c r="AD440" s="526"/>
      <c r="AE440" s="526"/>
      <c r="AF440" s="526"/>
      <c r="AG440" s="533"/>
      <c r="AH440" s="533"/>
      <c r="AI440" s="533"/>
      <c r="AJ440" s="146"/>
      <c r="EA440" s="809" t="s">
        <v>6506</v>
      </c>
      <c r="EB440" s="809"/>
      <c r="EC440" s="809"/>
      <c r="ED440" s="809"/>
      <c r="EE440" s="809"/>
      <c r="EF440" s="809"/>
      <c r="EG440" s="809"/>
      <c r="EH440" s="809"/>
      <c r="EI440" s="809"/>
      <c r="EJ440" s="809"/>
    </row>
    <row r="441" spans="1:141" ht="15.95" customHeight="1" outlineLevel="1" x14ac:dyDescent="0.35">
      <c r="A441" s="526"/>
      <c r="B441" s="848" t="str">
        <f>IF(INDEX('C04_Inventory'!$B$2:$U$100,MATCH(Character_Creation!$D$429,'C04_Inventory'!$A$2:$A$100,0),10)=0,"",INDEX('C04_Inventory'!$B$2:$U$100,MATCH(Character_Creation!$D$429,'C04_Inventory'!$A$2:$A$100,0),10))</f>
        <v/>
      </c>
      <c r="C441" s="848"/>
      <c r="D441" s="848"/>
      <c r="E441" s="848"/>
      <c r="F441" s="599" t="str">
        <f>IF(INDEX('C04_Inventory'!$V$2:$AO$100,MATCH(Character_Creation!$D$429,'C04_Inventory'!$A$2:$A$100,0),10)=0,"",INDEX('C04_Inventory'!$V$2:$AO$100,MATCH(Character_Creation!$D$429,'C04_Inventory'!$A$2:$A$100,0),10))</f>
        <v/>
      </c>
      <c r="G441" s="120"/>
      <c r="H441" s="835"/>
      <c r="I441" s="836"/>
      <c r="J441" s="837"/>
      <c r="K441" s="838"/>
      <c r="L441" s="839"/>
      <c r="M441" s="120"/>
      <c r="N441" s="120"/>
      <c r="O441" s="120"/>
      <c r="P441" s="120"/>
      <c r="Q441" s="120"/>
      <c r="R441" s="120"/>
      <c r="S441" s="526"/>
      <c r="T441" s="120"/>
      <c r="U441" s="534"/>
      <c r="V441" s="526"/>
      <c r="W441" s="526"/>
      <c r="X441" s="526"/>
      <c r="Y441" s="526"/>
      <c r="Z441" s="526"/>
      <c r="AA441" s="526"/>
      <c r="AB441" s="526"/>
      <c r="AC441" s="526"/>
      <c r="AD441" s="526"/>
      <c r="AE441" s="526"/>
      <c r="AF441" s="526"/>
      <c r="AG441" s="533"/>
      <c r="AH441" s="533"/>
      <c r="AI441" s="533"/>
      <c r="AJ441" s="146"/>
      <c r="EA441" s="952"/>
      <c r="EB441" s="952"/>
      <c r="EC441" s="952"/>
      <c r="ED441" s="952"/>
      <c r="EE441" s="952"/>
      <c r="EF441" s="952"/>
      <c r="EG441" s="952"/>
      <c r="EH441" s="952"/>
      <c r="EI441" s="952"/>
      <c r="EJ441" s="952"/>
    </row>
    <row r="442" spans="1:141" ht="15.95" customHeight="1" outlineLevel="1" thickBot="1" x14ac:dyDescent="0.4">
      <c r="A442" s="526"/>
      <c r="B442" s="848" t="str">
        <f>IF(INDEX('C04_Inventory'!$B$2:$U$100,MATCH(Character_Creation!$D$429,'C04_Inventory'!$A$2:$A$100,0),11)=0,"",INDEX('C04_Inventory'!$B$2:$U$100,MATCH(Character_Creation!$D$429,'C04_Inventory'!$A$2:$A$100,0),11))</f>
        <v/>
      </c>
      <c r="C442" s="848"/>
      <c r="D442" s="848"/>
      <c r="E442" s="848"/>
      <c r="F442" s="599" t="str">
        <f>IF(INDEX('C04_Inventory'!$V$2:$AO$100,MATCH(Character_Creation!$D$429,'C04_Inventory'!$A$2:$A$100,0),11)=0,"",INDEX('C04_Inventory'!$V$2:$AO$100,MATCH(Character_Creation!$D$429,'C04_Inventory'!$A$2:$A$100,0),11))</f>
        <v/>
      </c>
      <c r="G442" s="120"/>
      <c r="H442" s="534"/>
      <c r="I442" s="534"/>
      <c r="J442" s="534"/>
      <c r="K442" s="534"/>
      <c r="L442" s="534"/>
      <c r="M442" s="534"/>
      <c r="N442" s="120"/>
      <c r="O442" s="120"/>
      <c r="P442" s="120"/>
      <c r="Q442" s="120"/>
      <c r="R442" s="120"/>
      <c r="S442" s="526"/>
      <c r="T442" s="120"/>
      <c r="U442" s="534"/>
      <c r="V442" s="526"/>
      <c r="W442" s="526"/>
      <c r="X442" s="526"/>
      <c r="Y442" s="526"/>
      <c r="Z442" s="526"/>
      <c r="AA442" s="526"/>
      <c r="AB442" s="526"/>
      <c r="AC442" s="526"/>
      <c r="AD442" s="526"/>
      <c r="AE442" s="526"/>
      <c r="AF442" s="526"/>
      <c r="AG442" s="533"/>
      <c r="AH442" s="533"/>
      <c r="AI442" s="533"/>
      <c r="AJ442" s="146"/>
      <c r="EA442" s="835" t="s">
        <v>6504</v>
      </c>
      <c r="EB442" s="836"/>
      <c r="EC442" s="832" t="s">
        <v>211</v>
      </c>
      <c r="ED442" s="833"/>
      <c r="EE442" s="834"/>
      <c r="EF442" s="953" t="str">
        <f>IFERROR(INDEX(T11_MiscItems!$E$2:$E$2350,MATCH(ItemLookupSelected,T11_MiscItems!$A$2:$A$2350,0),1),"")</f>
        <v>You can use the poison in this vial to coat one slashing or piercing weapon or up to three pieces of ammunition. Applying the poison takes an action. A creature hit by the poisoned weapon or ammunition must make a DC 10 Constitution saving throw or take 1d4 poison damage. Once applied, the poison retains potency for 1 minute before drying.</v>
      </c>
      <c r="EG442" s="953"/>
      <c r="EH442" s="953"/>
      <c r="EI442" s="953"/>
      <c r="EJ442" s="953"/>
      <c r="EK442" s="953"/>
    </row>
    <row r="443" spans="1:141" ht="15.95" customHeight="1" outlineLevel="1" thickBot="1" x14ac:dyDescent="0.4">
      <c r="A443" s="526"/>
      <c r="B443" s="848" t="str">
        <f>IF(INDEX('C04_Inventory'!$B$2:$U$100,MATCH(Character_Creation!$D$429,'C04_Inventory'!$A$2:$A$100,0),12)=0,"",INDEX('C04_Inventory'!$B$2:$U$100,MATCH(Character_Creation!$D$429,'C04_Inventory'!$A$2:$A$100,0),12))</f>
        <v/>
      </c>
      <c r="C443" s="848"/>
      <c r="D443" s="848"/>
      <c r="E443" s="848"/>
      <c r="F443" s="599" t="str">
        <f>IF(INDEX('C04_Inventory'!$V$2:$AO$100,MATCH(Character_Creation!$D$429,'C04_Inventory'!$A$2:$A$100,0),12)=0,"",INDEX('C04_Inventory'!$V$2:$AO$100,MATCH(Character_Creation!$D$429,'C04_Inventory'!$A$2:$A$100,0),12))</f>
        <v/>
      </c>
      <c r="G443" s="120"/>
      <c r="H443" s="584">
        <v>1</v>
      </c>
      <c r="I443" s="829" t="str">
        <f>IF(INDEX(T04_Classes!$AA$3:$AF$102,SelectedClassID,1)=0,"",INDEX(T04_Classes!$AA$3:$AF$102,SelectedClassID,1))</f>
        <v/>
      </c>
      <c r="J443" s="830"/>
      <c r="K443" s="831"/>
      <c r="L443" s="599" t="str">
        <f>IF(INDEX(T04_Classes!$AA$3:$AF$102,SelectedClassID,2)=0,"",INDEX(T04_Classes!$AA$3:$AF$102,SelectedClassID,2))</f>
        <v/>
      </c>
      <c r="M443" s="534"/>
      <c r="N443" s="526"/>
      <c r="O443" s="526"/>
      <c r="P443" s="526"/>
      <c r="Q443" s="526"/>
      <c r="R443" s="526"/>
      <c r="S443" s="526"/>
      <c r="T443" s="526"/>
      <c r="U443" s="526"/>
      <c r="V443" s="526"/>
      <c r="W443" s="526"/>
      <c r="X443" s="526"/>
      <c r="Y443" s="526"/>
      <c r="Z443" s="526"/>
      <c r="AA443" s="526"/>
      <c r="AB443" s="526"/>
      <c r="AC443" s="526"/>
      <c r="AD443" s="526"/>
      <c r="AE443" s="526"/>
      <c r="AF443" s="526"/>
      <c r="AG443" s="533"/>
      <c r="AH443" s="533"/>
      <c r="AI443" s="533"/>
      <c r="AJ443" s="146"/>
      <c r="EA443" s="835"/>
      <c r="EB443" s="836"/>
      <c r="EC443" s="968"/>
      <c r="ED443" s="969"/>
      <c r="EE443" s="834"/>
      <c r="EF443" s="954"/>
      <c r="EG443" s="954"/>
      <c r="EH443" s="954"/>
      <c r="EI443" s="954"/>
      <c r="EJ443" s="954"/>
      <c r="EK443" s="954"/>
    </row>
    <row r="444" spans="1:141" ht="15.95" customHeight="1" outlineLevel="1" thickBot="1" x14ac:dyDescent="0.4">
      <c r="A444" s="526"/>
      <c r="B444" s="848" t="str">
        <f>IF(INDEX('C04_Inventory'!$B$2:$U$100,MATCH(Character_Creation!$D$429,'C04_Inventory'!$A$2:$A$100,0),13)=0,"",INDEX('C04_Inventory'!$B$2:$U$100,MATCH(Character_Creation!$D$429,'C04_Inventory'!$A$2:$A$100,0),13))</f>
        <v/>
      </c>
      <c r="C444" s="848"/>
      <c r="D444" s="848"/>
      <c r="E444" s="848"/>
      <c r="F444" s="599" t="str">
        <f>IF(INDEX('C04_Inventory'!$V$2:$AO$100,MATCH(Character_Creation!$D$429,'C04_Inventory'!$A$2:$A$100,0),13)=0,"",INDEX('C04_Inventory'!$V$2:$AO$100,MATCH(Character_Creation!$D$429,'C04_Inventory'!$A$2:$A$100,0),13))</f>
        <v/>
      </c>
      <c r="G444" s="120"/>
      <c r="H444" s="584">
        <v>2</v>
      </c>
      <c r="I444" s="829" t="str">
        <f>IF(INDEX(T04_Classes!$AA$3:$AF$102,SelectedClassID,3)=0,"",INDEX(T04_Classes!$AA$3:$AF$102,SelectedClassID,3))</f>
        <v/>
      </c>
      <c r="J444" s="830"/>
      <c r="K444" s="831"/>
      <c r="L444" s="599" t="str">
        <f>IF(INDEX(T04_Classes!$AA$3:$AF$102,SelectedClassID,4)=0,"",INDEX(T04_Classes!$AA$3:$AF$102,SelectedClassID,4))</f>
        <v/>
      </c>
      <c r="M444" s="534"/>
      <c r="N444" s="526"/>
      <c r="O444" s="526"/>
      <c r="P444" s="526"/>
      <c r="Q444" s="526"/>
      <c r="R444" s="526"/>
      <c r="S444" s="526"/>
      <c r="T444" s="526"/>
      <c r="U444" s="526"/>
      <c r="V444" s="526"/>
      <c r="W444" s="526"/>
      <c r="X444" s="526"/>
      <c r="Y444" s="526"/>
      <c r="Z444" s="526"/>
      <c r="AA444" s="526"/>
      <c r="AB444" s="526"/>
      <c r="AC444" s="526"/>
      <c r="AD444" s="526"/>
      <c r="AE444" s="526"/>
      <c r="AF444" s="526"/>
      <c r="AG444" s="533"/>
      <c r="AH444" s="533"/>
      <c r="AI444" s="533"/>
      <c r="AJ444" s="146"/>
      <c r="EA444" s="835" t="s">
        <v>175</v>
      </c>
      <c r="EB444" s="836"/>
      <c r="EC444" s="970" t="s">
        <v>212</v>
      </c>
      <c r="ED444" s="971"/>
      <c r="EE444" s="972"/>
      <c r="EF444" s="954"/>
      <c r="EG444" s="954"/>
      <c r="EH444" s="954"/>
      <c r="EI444" s="954"/>
      <c r="EJ444" s="954"/>
      <c r="EK444" s="954"/>
    </row>
    <row r="445" spans="1:141" ht="15.95" customHeight="1" outlineLevel="1" thickBot="1" x14ac:dyDescent="0.4">
      <c r="A445" s="526"/>
      <c r="B445" s="848" t="str">
        <f>IF(INDEX('C04_Inventory'!$B$2:$U$100,MATCH(Character_Creation!$D$429,'C04_Inventory'!$A$2:$A$100,0),14)=0,"",INDEX('C04_Inventory'!$B$2:$U$100,MATCH(Character_Creation!$D$429,'C04_Inventory'!$A$2:$A$100,0),14))</f>
        <v/>
      </c>
      <c r="C445" s="848"/>
      <c r="D445" s="848"/>
      <c r="E445" s="848"/>
      <c r="F445" s="599" t="str">
        <f>IF(INDEX('C04_Inventory'!$V$2:$AO$100,MATCH(Character_Creation!$D$429,'C04_Inventory'!$A$2:$A$100,0),14)=0,"",INDEX('C04_Inventory'!$V$2:$AO$100,MATCH(Character_Creation!$D$429,'C04_Inventory'!$A$2:$A$100,0),14))</f>
        <v/>
      </c>
      <c r="G445" s="120"/>
      <c r="H445" s="584">
        <v>3</v>
      </c>
      <c r="I445" s="829" t="str">
        <f>IF(INDEX(T04_Classes!$AA$3:$AF$102,SelectedClassID,5)=0,"",INDEX(T04_Classes!$AA$3:$AF$102,SelectedClassID,5))</f>
        <v/>
      </c>
      <c r="J445" s="830"/>
      <c r="K445" s="831"/>
      <c r="L445" s="599" t="str">
        <f>IF(INDEX(T04_Classes!$AA$3:$AF$102,SelectedClassID,6)=0,"",INDEX(T04_Classes!$AA$3:$AF$102,SelectedClassID,6))</f>
        <v/>
      </c>
      <c r="M445" s="534"/>
      <c r="N445" s="526"/>
      <c r="O445" s="526"/>
      <c r="P445" s="526"/>
      <c r="Q445" s="526"/>
      <c r="R445" s="526"/>
      <c r="S445" s="526"/>
      <c r="T445" s="526"/>
      <c r="U445" s="526"/>
      <c r="V445" s="526"/>
      <c r="W445" s="526"/>
      <c r="X445" s="526"/>
      <c r="Y445" s="526"/>
      <c r="Z445" s="526"/>
      <c r="AA445" s="526"/>
      <c r="AB445" s="526"/>
      <c r="AC445" s="526"/>
      <c r="AD445" s="526"/>
      <c r="AE445" s="526"/>
      <c r="AF445" s="526"/>
      <c r="AG445" s="533"/>
      <c r="AH445" s="533"/>
      <c r="AI445" s="533"/>
      <c r="AJ445" s="146"/>
      <c r="EA445" s="835"/>
      <c r="EB445" s="836"/>
      <c r="EC445" s="973"/>
      <c r="ED445" s="974"/>
      <c r="EE445" s="975"/>
      <c r="EF445" s="954"/>
      <c r="EG445" s="954"/>
      <c r="EH445" s="954"/>
      <c r="EI445" s="954"/>
      <c r="EJ445" s="954"/>
      <c r="EK445" s="954"/>
    </row>
    <row r="446" spans="1:141" ht="15.95" customHeight="1" outlineLevel="1" thickBot="1" x14ac:dyDescent="0.35">
      <c r="A446" s="526"/>
      <c r="B446" s="848" t="str">
        <f>IF(INDEX('C04_Inventory'!$B$2:$U$100,MATCH(Character_Creation!$D$429,'C04_Inventory'!$A$2:$A$100,0),15)=0,"",INDEX('C04_Inventory'!$B$2:$U$100,MATCH(Character_Creation!$D$429,'C04_Inventory'!$A$2:$A$100,0),15))</f>
        <v/>
      </c>
      <c r="C446" s="848"/>
      <c r="D446" s="848"/>
      <c r="E446" s="848"/>
      <c r="F446" s="599" t="str">
        <f>IF(INDEX('C04_Inventory'!$V$2:$AO$100,MATCH(Character_Creation!$D$429,'C04_Inventory'!$A$2:$A$100,0),15)=0,"",INDEX('C04_Inventory'!$V$2:$AO$100,MATCH(Character_Creation!$D$429,'C04_Inventory'!$A$2:$A$100,0),15))</f>
        <v/>
      </c>
      <c r="G446" s="120"/>
      <c r="H446" s="120"/>
      <c r="I446" s="120"/>
      <c r="J446" s="120"/>
      <c r="K446" s="120"/>
      <c r="L446" s="120"/>
      <c r="M446" s="120"/>
      <c r="N446" s="526"/>
      <c r="O446" s="526"/>
      <c r="P446" s="526"/>
      <c r="Q446" s="526"/>
      <c r="R446" s="526"/>
      <c r="S446" s="526"/>
      <c r="T446" s="526"/>
      <c r="U446" s="526"/>
      <c r="V446" s="526"/>
      <c r="W446" s="526"/>
      <c r="X446" s="526"/>
      <c r="Y446" s="526"/>
      <c r="Z446" s="526"/>
      <c r="AA446" s="526"/>
      <c r="AB446" s="526"/>
      <c r="AC446" s="526"/>
      <c r="AD446" s="526"/>
      <c r="AE446" s="526"/>
      <c r="AF446" s="526"/>
      <c r="AG446" s="533"/>
      <c r="AH446" s="533"/>
      <c r="AI446" s="533"/>
      <c r="AJ446" s="146"/>
      <c r="EA446" s="526"/>
      <c r="EB446" s="526"/>
      <c r="EC446" s="526"/>
      <c r="ED446" s="526"/>
      <c r="EE446" s="526"/>
      <c r="EF446" s="954"/>
      <c r="EG446" s="954"/>
      <c r="EH446" s="954"/>
      <c r="EI446" s="954"/>
      <c r="EJ446" s="954"/>
      <c r="EK446" s="954"/>
    </row>
    <row r="447" spans="1:141" ht="15.95" customHeight="1" outlineLevel="1" x14ac:dyDescent="0.3">
      <c r="A447" s="526"/>
      <c r="B447" s="848"/>
      <c r="C447" s="848"/>
      <c r="D447" s="848"/>
      <c r="E447" s="848"/>
      <c r="F447" s="599"/>
      <c r="G447" s="120"/>
      <c r="H447" s="835" t="s">
        <v>2949</v>
      </c>
      <c r="I447" s="836"/>
      <c r="J447" s="840"/>
      <c r="K447" s="841"/>
      <c r="L447" s="842"/>
      <c r="M447" s="120"/>
      <c r="N447" s="526"/>
      <c r="O447" s="526"/>
      <c r="P447" s="526"/>
      <c r="Q447" s="526"/>
      <c r="R447" s="526"/>
      <c r="S447" s="526"/>
      <c r="T447" s="526"/>
      <c r="U447" s="526"/>
      <c r="V447" s="526"/>
      <c r="W447" s="526"/>
      <c r="X447" s="526"/>
      <c r="Y447" s="526"/>
      <c r="Z447" s="526"/>
      <c r="AA447" s="526"/>
      <c r="AB447" s="526"/>
      <c r="AC447" s="526"/>
      <c r="AD447" s="526"/>
      <c r="AE447" s="526"/>
      <c r="AF447" s="526"/>
      <c r="AG447" s="533"/>
      <c r="AH447" s="533"/>
      <c r="AI447" s="533"/>
      <c r="AJ447" s="146"/>
      <c r="EA447" s="835" t="s">
        <v>94</v>
      </c>
      <c r="EB447" s="836"/>
      <c r="EC447" s="948">
        <f>IFERROR(INDEX(T11_MiscItems!$C$2:$C$2350,MATCH(ItemLookupSelected,T11_MiscItems!$A$2:$A$2350,0),1),"")</f>
        <v>0</v>
      </c>
      <c r="ED447" s="949"/>
      <c r="EE447" s="526"/>
      <c r="EF447" s="954"/>
      <c r="EG447" s="954"/>
      <c r="EH447" s="954"/>
      <c r="EI447" s="954"/>
      <c r="EJ447" s="954"/>
      <c r="EK447" s="954"/>
    </row>
    <row r="448" spans="1:141" ht="15.95" customHeight="1" outlineLevel="1" thickBot="1" x14ac:dyDescent="0.35">
      <c r="A448" s="526"/>
      <c r="B448" s="848"/>
      <c r="C448" s="848"/>
      <c r="D448" s="848"/>
      <c r="E448" s="848"/>
      <c r="F448" s="599"/>
      <c r="G448" s="120"/>
      <c r="H448" s="835"/>
      <c r="I448" s="836"/>
      <c r="J448" s="840"/>
      <c r="K448" s="841"/>
      <c r="L448" s="842"/>
      <c r="M448" s="120"/>
      <c r="N448" s="526"/>
      <c r="O448" s="526"/>
      <c r="P448" s="526"/>
      <c r="Q448" s="526"/>
      <c r="R448" s="526"/>
      <c r="S448" s="526"/>
      <c r="T448" s="526"/>
      <c r="U448" s="526"/>
      <c r="V448" s="526"/>
      <c r="W448" s="526"/>
      <c r="X448" s="526"/>
      <c r="Y448" s="526"/>
      <c r="Z448" s="526"/>
      <c r="AA448" s="526"/>
      <c r="AB448" s="526"/>
      <c r="AC448" s="526"/>
      <c r="AD448" s="526"/>
      <c r="AE448" s="526"/>
      <c r="AF448" s="526"/>
      <c r="AG448" s="533"/>
      <c r="AH448" s="533"/>
      <c r="AI448" s="533"/>
      <c r="AJ448" s="146"/>
      <c r="EA448" s="835"/>
      <c r="EB448" s="836"/>
      <c r="EC448" s="950"/>
      <c r="ED448" s="951"/>
      <c r="EE448" s="526"/>
      <c r="EF448" s="954"/>
      <c r="EG448" s="954"/>
      <c r="EH448" s="954"/>
      <c r="EI448" s="954"/>
      <c r="EJ448" s="954"/>
      <c r="EK448" s="954"/>
    </row>
    <row r="449" spans="1:141" ht="15.95" customHeight="1" outlineLevel="1" x14ac:dyDescent="0.3">
      <c r="A449" s="526"/>
      <c r="B449" s="848"/>
      <c r="C449" s="848"/>
      <c r="D449" s="848"/>
      <c r="E449" s="848"/>
      <c r="F449" s="599"/>
      <c r="G449" s="120"/>
      <c r="H449" s="835" t="s">
        <v>2950</v>
      </c>
      <c r="I449" s="836"/>
      <c r="J449" s="840"/>
      <c r="K449" s="841"/>
      <c r="L449" s="842"/>
      <c r="M449" s="120"/>
      <c r="N449" s="526"/>
      <c r="O449" s="526"/>
      <c r="P449" s="526"/>
      <c r="Q449" s="526"/>
      <c r="R449" s="526"/>
      <c r="S449" s="526"/>
      <c r="T449" s="526"/>
      <c r="U449" s="526"/>
      <c r="V449" s="526"/>
      <c r="W449" s="526"/>
      <c r="X449" s="526"/>
      <c r="Y449" s="526"/>
      <c r="Z449" s="526"/>
      <c r="AA449" s="526"/>
      <c r="AB449" s="526"/>
      <c r="AC449" s="526"/>
      <c r="AD449" s="526"/>
      <c r="AE449" s="526"/>
      <c r="AF449" s="526"/>
      <c r="AG449" s="533"/>
      <c r="AH449" s="533"/>
      <c r="AI449" s="533"/>
      <c r="AJ449" s="146"/>
      <c r="EA449" s="835" t="s">
        <v>90</v>
      </c>
      <c r="EB449" s="836"/>
      <c r="EC449" s="948">
        <f>IFERROR(INDEX(T11_MiscItems!$B$2:$B$2350,MATCH(ItemLookupSelected,T11_MiscItems!$A$2:$A$2350,0),1),"")</f>
        <v>100</v>
      </c>
      <c r="ED449" s="949"/>
      <c r="EE449" s="526"/>
      <c r="EF449" s="954"/>
      <c r="EG449" s="954"/>
      <c r="EH449" s="954"/>
      <c r="EI449" s="954"/>
      <c r="EJ449" s="954"/>
      <c r="EK449" s="954"/>
    </row>
    <row r="450" spans="1:141" ht="15.95" customHeight="1" outlineLevel="1" thickBot="1" x14ac:dyDescent="0.35">
      <c r="A450" s="526"/>
      <c r="B450" s="848"/>
      <c r="C450" s="848"/>
      <c r="D450" s="848"/>
      <c r="E450" s="848"/>
      <c r="F450" s="599"/>
      <c r="G450" s="120"/>
      <c r="H450" s="835"/>
      <c r="I450" s="836"/>
      <c r="J450" s="840"/>
      <c r="K450" s="841"/>
      <c r="L450" s="842"/>
      <c r="M450" s="120"/>
      <c r="N450" s="526"/>
      <c r="O450" s="526"/>
      <c r="P450" s="526"/>
      <c r="Q450" s="526"/>
      <c r="R450" s="526"/>
      <c r="S450" s="526"/>
      <c r="T450" s="526"/>
      <c r="U450" s="526"/>
      <c r="V450" s="526"/>
      <c r="W450" s="526"/>
      <c r="X450" s="526"/>
      <c r="Y450" s="526"/>
      <c r="Z450" s="526"/>
      <c r="AA450" s="526"/>
      <c r="AB450" s="526"/>
      <c r="AC450" s="526"/>
      <c r="AD450" s="526"/>
      <c r="AE450" s="526"/>
      <c r="AF450" s="526"/>
      <c r="AH450" s="533"/>
      <c r="AI450" s="533"/>
      <c r="AJ450" s="146"/>
      <c r="EA450" s="835"/>
      <c r="EB450" s="836"/>
      <c r="EC450" s="950"/>
      <c r="ED450" s="951"/>
      <c r="EE450" s="526"/>
      <c r="EF450" s="954"/>
      <c r="EG450" s="954"/>
      <c r="EH450" s="954"/>
      <c r="EI450" s="954"/>
      <c r="EJ450" s="954"/>
      <c r="EK450" s="954"/>
    </row>
    <row r="451" spans="1:141" ht="15.95" customHeight="1" outlineLevel="1" x14ac:dyDescent="0.3">
      <c r="A451" s="526"/>
      <c r="B451" s="848"/>
      <c r="C451" s="848"/>
      <c r="D451" s="848"/>
      <c r="E451" s="848"/>
      <c r="F451" s="599"/>
      <c r="G451" s="120"/>
      <c r="H451" s="835" t="s">
        <v>2951</v>
      </c>
      <c r="I451" s="836"/>
      <c r="J451" s="840"/>
      <c r="K451" s="841"/>
      <c r="L451" s="842"/>
      <c r="M451" s="120"/>
      <c r="N451" s="526"/>
      <c r="O451" s="526"/>
      <c r="P451" s="526"/>
      <c r="Q451" s="526"/>
      <c r="R451" s="526"/>
      <c r="S451" s="526"/>
      <c r="T451" s="526"/>
      <c r="U451" s="526"/>
      <c r="V451" s="526"/>
      <c r="W451" s="526"/>
      <c r="X451" s="526"/>
      <c r="Y451" s="526"/>
      <c r="Z451" s="526"/>
      <c r="AA451" s="526"/>
      <c r="AB451" s="526"/>
      <c r="AC451" s="526"/>
      <c r="AD451" s="526"/>
      <c r="AE451" s="526"/>
      <c r="AF451" s="526"/>
      <c r="AH451" s="533"/>
      <c r="AI451" s="533"/>
      <c r="AJ451" s="146"/>
      <c r="EA451" s="526"/>
      <c r="EB451" s="526"/>
      <c r="EC451" s="526"/>
      <c r="ED451" s="526"/>
      <c r="EE451" s="526"/>
      <c r="EF451" s="954"/>
      <c r="EG451" s="954"/>
      <c r="EH451" s="954"/>
      <c r="EI451" s="954"/>
      <c r="EJ451" s="954"/>
      <c r="EK451" s="954"/>
    </row>
    <row r="452" spans="1:141" ht="15.95" customHeight="1" outlineLevel="1" x14ac:dyDescent="0.3">
      <c r="A452" s="526"/>
      <c r="B452" s="526"/>
      <c r="C452" s="526"/>
      <c r="D452" s="526"/>
      <c r="E452" s="526"/>
      <c r="F452" s="526"/>
      <c r="G452" s="526"/>
      <c r="H452" s="835"/>
      <c r="I452" s="836"/>
      <c r="J452" s="840"/>
      <c r="K452" s="841"/>
      <c r="L452" s="842"/>
      <c r="M452" s="120"/>
      <c r="N452" s="526"/>
      <c r="O452" s="526"/>
      <c r="P452" s="526"/>
      <c r="Q452" s="526"/>
      <c r="R452" s="526"/>
      <c r="S452" s="526"/>
      <c r="T452" s="526"/>
      <c r="U452" s="526"/>
      <c r="V452" s="526"/>
      <c r="W452" s="526"/>
      <c r="X452" s="526"/>
      <c r="Y452" s="526"/>
      <c r="Z452" s="526"/>
      <c r="AA452" s="526"/>
      <c r="AB452" s="526"/>
      <c r="AC452" s="526"/>
      <c r="AD452" s="526"/>
      <c r="AE452" s="526"/>
      <c r="AF452" s="526"/>
      <c r="AG452" s="533"/>
      <c r="AH452" s="533"/>
      <c r="AI452" s="533"/>
      <c r="AJ452" s="146"/>
      <c r="EA452" s="526"/>
      <c r="EB452" s="526"/>
      <c r="EC452" s="526"/>
      <c r="ED452" s="526"/>
      <c r="EE452" s="526"/>
      <c r="EF452" s="954"/>
      <c r="EG452" s="954"/>
      <c r="EH452" s="954"/>
      <c r="EI452" s="954"/>
      <c r="EJ452" s="954"/>
      <c r="EK452" s="954"/>
    </row>
    <row r="453" spans="1:141" ht="15.95" customHeight="1" outlineLevel="1" x14ac:dyDescent="0.3">
      <c r="A453" s="526"/>
      <c r="B453" s="526"/>
      <c r="C453" s="526"/>
      <c r="D453" s="526"/>
      <c r="E453" s="526"/>
      <c r="F453" s="526"/>
      <c r="G453" s="526"/>
      <c r="H453" s="526"/>
      <c r="I453" s="526"/>
      <c r="J453" s="526"/>
      <c r="K453" s="526"/>
      <c r="L453" s="526"/>
      <c r="M453" s="526"/>
      <c r="N453" s="526"/>
      <c r="O453" s="526"/>
      <c r="P453" s="526"/>
      <c r="Q453" s="526"/>
      <c r="R453" s="526"/>
      <c r="S453" s="526"/>
      <c r="T453" s="526"/>
      <c r="U453" s="526"/>
      <c r="V453" s="526"/>
      <c r="W453" s="526"/>
      <c r="X453" s="526"/>
      <c r="Y453" s="526"/>
      <c r="Z453" s="526"/>
      <c r="AA453" s="526"/>
      <c r="AB453" s="526"/>
      <c r="AC453" s="526"/>
      <c r="AD453" s="526"/>
      <c r="AE453" s="526"/>
      <c r="AF453" s="526"/>
      <c r="AG453" s="533"/>
      <c r="AH453" s="533"/>
      <c r="AI453" s="533"/>
      <c r="AJ453" s="146"/>
      <c r="EA453" s="526"/>
      <c r="EB453" s="526"/>
      <c r="EC453" s="526"/>
      <c r="ED453" s="526"/>
      <c r="EE453" s="526"/>
      <c r="EF453" s="954"/>
      <c r="EG453" s="954"/>
      <c r="EH453" s="954"/>
      <c r="EI453" s="954"/>
      <c r="EJ453" s="954"/>
      <c r="EK453" s="954"/>
    </row>
    <row r="454" spans="1:141" ht="15.95" customHeight="1" outlineLevel="1" x14ac:dyDescent="0.35">
      <c r="A454" s="526"/>
      <c r="B454" s="849" t="s">
        <v>6437</v>
      </c>
      <c r="C454" s="849"/>
      <c r="D454" s="849"/>
      <c r="E454" s="849"/>
      <c r="F454" s="849"/>
      <c r="G454" s="534"/>
      <c r="H454" s="849" t="s">
        <v>6481</v>
      </c>
      <c r="I454" s="849"/>
      <c r="J454" s="849"/>
      <c r="K454" s="849"/>
      <c r="L454" s="120"/>
      <c r="M454" s="120"/>
      <c r="N454" s="526"/>
      <c r="O454" s="526"/>
      <c r="P454" s="526"/>
      <c r="Q454" s="526"/>
      <c r="R454" s="526"/>
      <c r="S454" s="526"/>
      <c r="T454" s="526"/>
      <c r="U454" s="526"/>
      <c r="V454" s="526"/>
      <c r="W454" s="526"/>
      <c r="X454" s="526"/>
      <c r="Y454" s="526"/>
      <c r="Z454" s="526"/>
      <c r="AA454" s="526"/>
      <c r="AB454" s="526"/>
      <c r="AC454" s="526"/>
      <c r="AD454" s="526"/>
      <c r="AE454" s="526"/>
      <c r="AF454" s="526"/>
      <c r="AG454" s="533"/>
      <c r="AH454" s="533"/>
      <c r="AI454" s="533"/>
      <c r="AJ454" s="146"/>
      <c r="EA454" s="526"/>
      <c r="EB454" s="526"/>
      <c r="EC454" s="526"/>
      <c r="ED454" s="526"/>
      <c r="EE454" s="526"/>
      <c r="EF454" s="954"/>
      <c r="EG454" s="954"/>
      <c r="EH454" s="954"/>
      <c r="EI454" s="954"/>
      <c r="EJ454" s="954"/>
      <c r="EK454" s="954"/>
    </row>
    <row r="455" spans="1:141" ht="15.95" customHeight="1" outlineLevel="1" thickBot="1" x14ac:dyDescent="0.4">
      <c r="A455" s="526"/>
      <c r="B455" s="849"/>
      <c r="C455" s="849"/>
      <c r="D455" s="849"/>
      <c r="E455" s="849"/>
      <c r="F455" s="849"/>
      <c r="G455" s="120"/>
      <c r="H455" s="943"/>
      <c r="I455" s="943"/>
      <c r="J455" s="943"/>
      <c r="K455" s="943"/>
      <c r="L455" s="534"/>
      <c r="M455" s="534"/>
      <c r="N455" s="534"/>
      <c r="O455" s="534"/>
      <c r="P455" s="534"/>
      <c r="Q455" s="534"/>
      <c r="R455" s="120"/>
      <c r="S455" s="120"/>
      <c r="T455" s="120"/>
      <c r="U455" s="120"/>
      <c r="V455" s="526"/>
      <c r="W455" s="526"/>
      <c r="X455" s="526"/>
      <c r="Y455" s="526"/>
      <c r="Z455" s="526"/>
      <c r="AA455" s="526"/>
      <c r="AB455" s="526"/>
      <c r="AC455" s="526"/>
      <c r="AD455" s="526"/>
      <c r="AE455" s="526"/>
      <c r="AF455" s="526"/>
      <c r="AG455" s="533"/>
      <c r="AH455" s="533"/>
      <c r="AI455" s="533"/>
      <c r="AJ455" s="146"/>
    </row>
    <row r="456" spans="1:141" ht="15.95" customHeight="1" outlineLevel="1" thickBot="1" x14ac:dyDescent="0.4">
      <c r="A456" s="526"/>
      <c r="B456" s="584">
        <v>1</v>
      </c>
      <c r="C456" s="829" t="str">
        <f>IF(INDEX('C03_ClassVariables'!$FJ$26:$FJ$55,Character_Creation!B456,1)=0,"",INDEX('C03_ClassVariables'!$FJ$26:$FJ$55,Character_Creation!B456,1))</f>
        <v>backpack</v>
      </c>
      <c r="D456" s="830"/>
      <c r="E456" s="831"/>
      <c r="F456" s="599" t="str">
        <f>IF(INDEX('C03_ClassVariables'!$FK$26:$FK$55,Character_Creation!B456,1)=0,"",INDEX('C03_ClassVariables'!$FK$26:$FK$55,Character_Creation!B456,1))</f>
        <v>1</v>
      </c>
      <c r="G456" s="120"/>
      <c r="H456" s="845"/>
      <c r="I456" s="846"/>
      <c r="J456" s="847"/>
      <c r="K456" s="626"/>
      <c r="L456" s="534"/>
      <c r="M456" s="585">
        <v>1</v>
      </c>
      <c r="N456" s="841" t="str">
        <f t="shared" ref="N456:N485" si="3">IF(H456="",C456,H456)</f>
        <v>backpack</v>
      </c>
      <c r="O456" s="841"/>
      <c r="P456" s="841"/>
      <c r="Q456" s="841"/>
      <c r="R456" s="841"/>
      <c r="S456" s="841"/>
      <c r="T456" s="583" t="str">
        <f t="shared" ref="T456:T485" si="4">IF(K456="",F456,K456)</f>
        <v>1</v>
      </c>
      <c r="U456" s="120"/>
      <c r="V456" s="526"/>
      <c r="W456" s="526"/>
      <c r="X456" s="526"/>
      <c r="Y456" s="526"/>
      <c r="Z456" s="526"/>
      <c r="AA456" s="526"/>
      <c r="AB456" s="526"/>
      <c r="AC456" s="526"/>
      <c r="AD456" s="526"/>
      <c r="AE456" s="526"/>
      <c r="AF456" s="526"/>
      <c r="AG456" s="533"/>
      <c r="AH456" s="533"/>
      <c r="AI456" s="533"/>
      <c r="AJ456" s="146"/>
    </row>
    <row r="457" spans="1:141" ht="15.95" customHeight="1" outlineLevel="1" thickBot="1" x14ac:dyDescent="0.4">
      <c r="A457" s="526"/>
      <c r="B457" s="584">
        <v>2</v>
      </c>
      <c r="C457" s="829" t="str">
        <f>IF(INDEX('C03_ClassVariables'!$FJ$26:$FJ$55,Character_Creation!B457,1)=0,"",INDEX('C03_ClassVariables'!$FJ$26:$FJ$55,Character_Creation!B457,1))</f>
        <v>bedroll</v>
      </c>
      <c r="D457" s="830"/>
      <c r="E457" s="831"/>
      <c r="F457" s="599" t="str">
        <f>IF(INDEX('C03_ClassVariables'!$FK$26:$FK$55,Character_Creation!B457,1)=0,"",INDEX('C03_ClassVariables'!$FK$26:$FK$55,Character_Creation!B457,1))</f>
        <v>1</v>
      </c>
      <c r="G457" s="120"/>
      <c r="H457" s="845"/>
      <c r="I457" s="846"/>
      <c r="J457" s="847"/>
      <c r="K457" s="626"/>
      <c r="L457" s="534"/>
      <c r="M457" s="585">
        <v>2</v>
      </c>
      <c r="N457" s="841" t="str">
        <f t="shared" si="3"/>
        <v>bedroll</v>
      </c>
      <c r="O457" s="841"/>
      <c r="P457" s="841"/>
      <c r="Q457" s="841"/>
      <c r="R457" s="841"/>
      <c r="S457" s="841"/>
      <c r="T457" s="583" t="str">
        <f t="shared" si="4"/>
        <v>1</v>
      </c>
      <c r="U457" s="120"/>
      <c r="V457" s="120"/>
      <c r="W457" s="120"/>
      <c r="X457" s="120"/>
      <c r="Y457" s="120"/>
      <c r="Z457" s="120"/>
      <c r="AA457" s="120"/>
      <c r="AB457" s="120"/>
      <c r="AC457" s="120"/>
      <c r="AD457" s="120"/>
      <c r="AE457" s="120"/>
      <c r="AF457" s="534"/>
      <c r="AG457" s="533"/>
      <c r="AH457" s="533"/>
      <c r="AI457" s="533"/>
      <c r="AJ457" s="146"/>
    </row>
    <row r="458" spans="1:141" ht="15.95" customHeight="1" outlineLevel="1" thickBot="1" x14ac:dyDescent="0.4">
      <c r="A458" s="526"/>
      <c r="B458" s="584">
        <v>3</v>
      </c>
      <c r="C458" s="829" t="str">
        <f>IF(INDEX('C03_ClassVariables'!$FJ$26:$FJ$55,Character_Creation!B458,1)=0,"",INDEX('C03_ClassVariables'!$FJ$26:$FJ$55,Character_Creation!B458,1))</f>
        <v>mess kit</v>
      </c>
      <c r="D458" s="830"/>
      <c r="E458" s="831"/>
      <c r="F458" s="599" t="str">
        <f>IF(INDEX('C03_ClassVariables'!$FK$26:$FK$55,Character_Creation!B458,1)=0,"",INDEX('C03_ClassVariables'!$FK$26:$FK$55,Character_Creation!B458,1))</f>
        <v>1</v>
      </c>
      <c r="G458" s="120"/>
      <c r="H458" s="845"/>
      <c r="I458" s="846"/>
      <c r="J458" s="847"/>
      <c r="K458" s="626"/>
      <c r="L458" s="534"/>
      <c r="M458" s="585">
        <v>3</v>
      </c>
      <c r="N458" s="841" t="str">
        <f t="shared" si="3"/>
        <v>mess kit</v>
      </c>
      <c r="O458" s="841"/>
      <c r="P458" s="841"/>
      <c r="Q458" s="841"/>
      <c r="R458" s="841"/>
      <c r="S458" s="841"/>
      <c r="T458" s="583" t="str">
        <f t="shared" si="4"/>
        <v>1</v>
      </c>
      <c r="U458" s="120"/>
      <c r="V458" s="120"/>
      <c r="W458" s="120"/>
      <c r="X458" s="120"/>
      <c r="Y458" s="120"/>
      <c r="Z458" s="120"/>
      <c r="AA458" s="120"/>
      <c r="AB458" s="120"/>
      <c r="AC458" s="120"/>
      <c r="AD458" s="120"/>
      <c r="AE458" s="120"/>
      <c r="AF458" s="534"/>
      <c r="AG458" s="533"/>
      <c r="AH458" s="533"/>
      <c r="AI458" s="533"/>
      <c r="AJ458" s="146"/>
    </row>
    <row r="459" spans="1:141" ht="15.95" customHeight="1" outlineLevel="1" thickBot="1" x14ac:dyDescent="0.4">
      <c r="A459" s="526"/>
      <c r="B459" s="584">
        <v>4</v>
      </c>
      <c r="C459" s="829" t="str">
        <f>IF(INDEX('C03_ClassVariables'!$FJ$26:$FJ$55,Character_Creation!B459,1)=0,"",INDEX('C03_ClassVariables'!$FJ$26:$FJ$55,Character_Creation!B459,1))</f>
        <v>linderbox</v>
      </c>
      <c r="D459" s="830"/>
      <c r="E459" s="831"/>
      <c r="F459" s="599" t="str">
        <f>IF(INDEX('C03_ClassVariables'!$FK$26:$FK$55,Character_Creation!B459,1)=0,"",INDEX('C03_ClassVariables'!$FK$26:$FK$55,Character_Creation!B459,1))</f>
        <v>1</v>
      </c>
      <c r="G459" s="120"/>
      <c r="H459" s="845"/>
      <c r="I459" s="846"/>
      <c r="J459" s="847"/>
      <c r="K459" s="626"/>
      <c r="L459" s="534"/>
      <c r="M459" s="585">
        <v>4</v>
      </c>
      <c r="N459" s="841" t="str">
        <f t="shared" si="3"/>
        <v>linderbox</v>
      </c>
      <c r="O459" s="841"/>
      <c r="P459" s="841"/>
      <c r="Q459" s="841"/>
      <c r="R459" s="841"/>
      <c r="S459" s="841"/>
      <c r="T459" s="583" t="str">
        <f t="shared" si="4"/>
        <v>1</v>
      </c>
      <c r="U459" s="120"/>
      <c r="V459" s="120"/>
      <c r="W459" s="120"/>
      <c r="X459" s="120"/>
      <c r="Y459" s="120"/>
      <c r="Z459" s="120"/>
      <c r="AA459" s="120"/>
      <c r="AB459" s="120"/>
      <c r="AC459" s="120"/>
      <c r="AD459" s="120"/>
      <c r="AE459" s="120"/>
      <c r="AF459" s="534"/>
      <c r="AG459" s="533"/>
      <c r="AH459" s="533"/>
      <c r="AI459" s="533"/>
      <c r="AJ459" s="146"/>
    </row>
    <row r="460" spans="1:141" ht="15.95" customHeight="1" outlineLevel="1" thickBot="1" x14ac:dyDescent="0.4">
      <c r="A460" s="526"/>
      <c r="B460" s="584">
        <v>5</v>
      </c>
      <c r="C460" s="829" t="str">
        <f>IF(INDEX('C03_ClassVariables'!$FJ$26:$FJ$55,Character_Creation!B460,1)=0,"",INDEX('C03_ClassVariables'!$FJ$26:$FJ$55,Character_Creation!B460,1))</f>
        <v>torch</v>
      </c>
      <c r="D460" s="830"/>
      <c r="E460" s="831"/>
      <c r="F460" s="599" t="str">
        <f>IF(INDEX('C03_ClassVariables'!$FK$26:$FK$55,Character_Creation!B460,1)=0,"",INDEX('C03_ClassVariables'!$FK$26:$FK$55,Character_Creation!B460,1))</f>
        <v>10</v>
      </c>
      <c r="G460" s="120"/>
      <c r="H460" s="845"/>
      <c r="I460" s="846"/>
      <c r="J460" s="847"/>
      <c r="K460" s="626"/>
      <c r="L460" s="534"/>
      <c r="M460" s="585">
        <v>5</v>
      </c>
      <c r="N460" s="841" t="str">
        <f t="shared" si="3"/>
        <v>torch</v>
      </c>
      <c r="O460" s="841"/>
      <c r="P460" s="841"/>
      <c r="Q460" s="841"/>
      <c r="R460" s="841"/>
      <c r="S460" s="841"/>
      <c r="T460" s="583" t="str">
        <f t="shared" si="4"/>
        <v>10</v>
      </c>
      <c r="U460" s="120"/>
      <c r="V460" s="120"/>
      <c r="W460" s="120"/>
      <c r="X460" s="120"/>
      <c r="Y460" s="120"/>
      <c r="Z460" s="120"/>
      <c r="AA460" s="120"/>
      <c r="AB460" s="120"/>
      <c r="AC460" s="120"/>
      <c r="AD460" s="120"/>
      <c r="AE460" s="120"/>
      <c r="AF460" s="534"/>
      <c r="AG460" s="533"/>
      <c r="AH460" s="533"/>
      <c r="AI460" s="533"/>
      <c r="AJ460" s="146"/>
    </row>
    <row r="461" spans="1:141" ht="15.95" customHeight="1" outlineLevel="1" thickBot="1" x14ac:dyDescent="0.4">
      <c r="A461" s="526"/>
      <c r="B461" s="584">
        <v>6</v>
      </c>
      <c r="C461" s="829" t="str">
        <f>IF(INDEX('C03_ClassVariables'!$FJ$26:$FJ$55,Character_Creation!B461,1)=0,"",INDEX('C03_ClassVariables'!$FJ$26:$FJ$55,Character_Creation!B461,1))</f>
        <v>day ration</v>
      </c>
      <c r="D461" s="830"/>
      <c r="E461" s="831"/>
      <c r="F461" s="599" t="str">
        <f>IF(INDEX('C03_ClassVariables'!$FK$26:$FK$55,Character_Creation!B461,1)=0,"",INDEX('C03_ClassVariables'!$FK$26:$FK$55,Character_Creation!B461,1))</f>
        <v>10</v>
      </c>
      <c r="G461" s="120"/>
      <c r="H461" s="845"/>
      <c r="I461" s="846"/>
      <c r="J461" s="847"/>
      <c r="K461" s="626"/>
      <c r="L461" s="534"/>
      <c r="M461" s="585">
        <v>6</v>
      </c>
      <c r="N461" s="841" t="str">
        <f t="shared" si="3"/>
        <v>day ration</v>
      </c>
      <c r="O461" s="841"/>
      <c r="P461" s="841"/>
      <c r="Q461" s="841"/>
      <c r="R461" s="841"/>
      <c r="S461" s="841"/>
      <c r="T461" s="583" t="str">
        <f t="shared" si="4"/>
        <v>10</v>
      </c>
      <c r="U461" s="120"/>
      <c r="V461" s="120"/>
      <c r="W461" s="120"/>
      <c r="X461" s="120"/>
      <c r="Y461" s="120"/>
      <c r="Z461" s="120"/>
      <c r="AA461" s="120"/>
      <c r="AB461" s="120"/>
      <c r="AC461" s="120"/>
      <c r="AD461" s="120"/>
      <c r="AE461" s="120"/>
      <c r="AF461" s="534"/>
      <c r="AG461" s="533"/>
      <c r="AH461" s="533"/>
      <c r="AI461" s="533"/>
      <c r="AJ461" s="146"/>
    </row>
    <row r="462" spans="1:141" ht="15.95" customHeight="1" outlineLevel="1" thickBot="1" x14ac:dyDescent="0.4">
      <c r="A462" s="526"/>
      <c r="B462" s="584">
        <v>7</v>
      </c>
      <c r="C462" s="829" t="str">
        <f>IF(INDEX('C03_ClassVariables'!$FJ$26:$FJ$55,Character_Creation!B462,1)=0,"",INDEX('C03_ClassVariables'!$FJ$26:$FJ$55,Character_Creation!B462,1))</f>
        <v>waterskin</v>
      </c>
      <c r="D462" s="830"/>
      <c r="E462" s="831"/>
      <c r="F462" s="599" t="str">
        <f>IF(INDEX('C03_ClassVariables'!$FK$26:$FK$55,Character_Creation!B462,1)=0,"",INDEX('C03_ClassVariables'!$FK$26:$FK$55,Character_Creation!B462,1))</f>
        <v>1</v>
      </c>
      <c r="G462" s="120"/>
      <c r="H462" s="845"/>
      <c r="I462" s="846"/>
      <c r="J462" s="847"/>
      <c r="K462" s="626"/>
      <c r="L462" s="534"/>
      <c r="M462" s="585">
        <v>7</v>
      </c>
      <c r="N462" s="841" t="str">
        <f t="shared" si="3"/>
        <v>waterskin</v>
      </c>
      <c r="O462" s="841"/>
      <c r="P462" s="841"/>
      <c r="Q462" s="841"/>
      <c r="R462" s="841"/>
      <c r="S462" s="841"/>
      <c r="T462" s="583" t="str">
        <f t="shared" si="4"/>
        <v>1</v>
      </c>
      <c r="U462" s="120"/>
      <c r="V462" s="120"/>
      <c r="W462" s="120"/>
      <c r="X462" s="120"/>
      <c r="Y462" s="120"/>
      <c r="Z462" s="120"/>
      <c r="AA462" s="120"/>
      <c r="AB462" s="120"/>
      <c r="AC462" s="120"/>
      <c r="AD462" s="120"/>
      <c r="AE462" s="120"/>
      <c r="AF462" s="120"/>
      <c r="AG462" s="533"/>
      <c r="AH462" s="533"/>
      <c r="AI462" s="533"/>
      <c r="AJ462" s="146"/>
    </row>
    <row r="463" spans="1:141" ht="15.95" customHeight="1" outlineLevel="1" thickBot="1" x14ac:dyDescent="0.4">
      <c r="A463" s="526"/>
      <c r="B463" s="584">
        <v>8</v>
      </c>
      <c r="C463" s="829" t="str">
        <f>IF(INDEX('C03_ClassVariables'!$FJ$26:$FJ$55,Character_Creation!B463,1)=0,"",INDEX('C03_ClassVariables'!$FJ$26:$FJ$55,Character_Creation!B463,1))</f>
        <v>hempen rope 50 ft</v>
      </c>
      <c r="D463" s="830"/>
      <c r="E463" s="831"/>
      <c r="F463" s="599" t="str">
        <f>IF(INDEX('C03_ClassVariables'!$FK$26:$FK$55,Character_Creation!B463,1)=0,"",INDEX('C03_ClassVariables'!$FK$26:$FK$55,Character_Creation!B463,1))</f>
        <v>1</v>
      </c>
      <c r="G463" s="120"/>
      <c r="H463" s="845"/>
      <c r="I463" s="846"/>
      <c r="J463" s="847"/>
      <c r="K463" s="626"/>
      <c r="L463" s="534"/>
      <c r="M463" s="585">
        <v>8</v>
      </c>
      <c r="N463" s="841" t="str">
        <f t="shared" si="3"/>
        <v>hempen rope 50 ft</v>
      </c>
      <c r="O463" s="841"/>
      <c r="P463" s="841"/>
      <c r="Q463" s="841"/>
      <c r="R463" s="841"/>
      <c r="S463" s="841"/>
      <c r="T463" s="583" t="str">
        <f t="shared" si="4"/>
        <v>1</v>
      </c>
      <c r="U463" s="120"/>
      <c r="V463" s="120"/>
      <c r="W463" s="120"/>
      <c r="X463" s="120"/>
      <c r="Y463" s="120"/>
      <c r="Z463" s="120"/>
      <c r="AA463" s="120"/>
      <c r="AB463" s="120"/>
      <c r="AC463" s="120"/>
      <c r="AD463" s="120"/>
      <c r="AE463" s="120"/>
      <c r="AF463" s="534"/>
      <c r="AG463" s="533"/>
      <c r="AH463" s="533"/>
      <c r="AI463" s="533"/>
      <c r="AJ463" s="146"/>
    </row>
    <row r="464" spans="1:141" ht="15.95" customHeight="1" outlineLevel="1" thickBot="1" x14ac:dyDescent="0.4">
      <c r="A464" s="526"/>
      <c r="B464" s="584">
        <v>9</v>
      </c>
      <c r="C464" s="829" t="str">
        <f>IF(INDEX('C03_ClassVariables'!$FJ$26:$FJ$55,Character_Creation!B464,1)=0,"",INDEX('C03_ClassVariables'!$FJ$26:$FJ$55,Character_Creation!B464,1))</f>
        <v>common clothes</v>
      </c>
      <c r="D464" s="830"/>
      <c r="E464" s="831"/>
      <c r="F464" s="599" t="str">
        <f>IF(INDEX('C03_ClassVariables'!$FK$26:$FK$55,Character_Creation!B464,1)=0,"",INDEX('C03_ClassVariables'!$FK$26:$FK$55,Character_Creation!B464,1))</f>
        <v>1</v>
      </c>
      <c r="G464" s="120"/>
      <c r="H464" s="845"/>
      <c r="I464" s="846"/>
      <c r="J464" s="847"/>
      <c r="K464" s="626"/>
      <c r="L464" s="534"/>
      <c r="M464" s="585">
        <v>9</v>
      </c>
      <c r="N464" s="841" t="str">
        <f t="shared" si="3"/>
        <v>common clothes</v>
      </c>
      <c r="O464" s="841"/>
      <c r="P464" s="841"/>
      <c r="Q464" s="841"/>
      <c r="R464" s="841"/>
      <c r="S464" s="841"/>
      <c r="T464" s="583" t="str">
        <f t="shared" si="4"/>
        <v>1</v>
      </c>
      <c r="U464" s="120"/>
      <c r="V464" s="120"/>
      <c r="W464" s="120"/>
      <c r="X464" s="120"/>
      <c r="Y464" s="120"/>
      <c r="Z464" s="120"/>
      <c r="AA464" s="120"/>
      <c r="AB464" s="120"/>
      <c r="AC464" s="120"/>
      <c r="AD464" s="120"/>
      <c r="AE464" s="120"/>
      <c r="AF464" s="534"/>
      <c r="AG464" s="533"/>
      <c r="AH464" s="533"/>
      <c r="AI464" s="533"/>
      <c r="AJ464" s="146"/>
    </row>
    <row r="465" spans="1:36" ht="15.95" customHeight="1" outlineLevel="1" thickBot="1" x14ac:dyDescent="0.4">
      <c r="A465" s="526"/>
      <c r="B465" s="584">
        <v>10</v>
      </c>
      <c r="C465" s="829" t="str">
        <f>IF(INDEX('C03_ClassVariables'!$FJ$26:$FJ$55,Character_Creation!B465,1)=0,"",INDEX('C03_ClassVariables'!$FJ$26:$FJ$55,Character_Creation!B465,1))</f>
        <v>bottle of black ink</v>
      </c>
      <c r="D465" s="830"/>
      <c r="E465" s="831"/>
      <c r="F465" s="599" t="str">
        <f>IF(INDEX('C03_ClassVariables'!$FK$26:$FK$55,Character_Creation!B465,1)=0,"",INDEX('C03_ClassVariables'!$FK$26:$FK$55,Character_Creation!B465,1))</f>
        <v>1</v>
      </c>
      <c r="G465" s="120"/>
      <c r="H465" s="845"/>
      <c r="I465" s="846"/>
      <c r="J465" s="847"/>
      <c r="K465" s="626"/>
      <c r="L465" s="534"/>
      <c r="M465" s="585">
        <v>10</v>
      </c>
      <c r="N465" s="841" t="str">
        <f t="shared" si="3"/>
        <v>bottle of black ink</v>
      </c>
      <c r="O465" s="841"/>
      <c r="P465" s="841"/>
      <c r="Q465" s="841"/>
      <c r="R465" s="841"/>
      <c r="S465" s="841"/>
      <c r="T465" s="583" t="str">
        <f t="shared" si="4"/>
        <v>1</v>
      </c>
      <c r="U465" s="120"/>
      <c r="V465" s="120"/>
      <c r="W465" s="120"/>
      <c r="X465" s="120"/>
      <c r="Y465" s="120"/>
      <c r="Z465" s="120"/>
      <c r="AA465" s="120"/>
      <c r="AB465" s="120"/>
      <c r="AC465" s="120"/>
      <c r="AD465" s="120"/>
      <c r="AE465" s="120"/>
      <c r="AF465" s="534"/>
      <c r="AG465" s="533"/>
      <c r="AH465" s="533"/>
      <c r="AI465" s="533"/>
      <c r="AJ465" s="146"/>
    </row>
    <row r="466" spans="1:36" ht="15.95" customHeight="1" outlineLevel="1" thickBot="1" x14ac:dyDescent="0.4">
      <c r="A466" s="526"/>
      <c r="B466" s="584">
        <v>11</v>
      </c>
      <c r="C466" s="829" t="str">
        <f>IF(INDEX('C03_ClassVariables'!$FJ$26:$FJ$55,Character_Creation!B466,1)=0,"",INDEX('C03_ClassVariables'!$FJ$26:$FJ$55,Character_Creation!B466,1))</f>
        <v>quill</v>
      </c>
      <c r="D466" s="830"/>
      <c r="E466" s="831"/>
      <c r="F466" s="599" t="str">
        <f>IF(INDEX('C03_ClassVariables'!$FK$26:$FK$55,Character_Creation!B466,1)=0,"",INDEX('C03_ClassVariables'!$FK$26:$FK$55,Character_Creation!B466,1))</f>
        <v>1</v>
      </c>
      <c r="G466" s="120"/>
      <c r="H466" s="845"/>
      <c r="I466" s="846"/>
      <c r="J466" s="847"/>
      <c r="K466" s="626"/>
      <c r="L466" s="534"/>
      <c r="M466" s="585">
        <v>11</v>
      </c>
      <c r="N466" s="841" t="str">
        <f t="shared" si="3"/>
        <v>quill</v>
      </c>
      <c r="O466" s="841"/>
      <c r="P466" s="841"/>
      <c r="Q466" s="841"/>
      <c r="R466" s="841"/>
      <c r="S466" s="841"/>
      <c r="T466" s="583" t="str">
        <f t="shared" si="4"/>
        <v>1</v>
      </c>
      <c r="U466" s="120"/>
      <c r="V466" s="120"/>
      <c r="W466" s="120"/>
      <c r="X466" s="120"/>
      <c r="Y466" s="120"/>
      <c r="Z466" s="120"/>
      <c r="AA466" s="120"/>
      <c r="AB466" s="120"/>
      <c r="AC466" s="120"/>
      <c r="AD466" s="120"/>
      <c r="AE466" s="120"/>
      <c r="AF466" s="534"/>
      <c r="AG466" s="533"/>
      <c r="AH466" s="533"/>
      <c r="AI466" s="533"/>
      <c r="AJ466" s="146"/>
    </row>
    <row r="467" spans="1:36" ht="15.95" customHeight="1" outlineLevel="1" thickBot="1" x14ac:dyDescent="0.4">
      <c r="A467" s="526"/>
      <c r="B467" s="584">
        <v>12</v>
      </c>
      <c r="C467" s="829" t="str">
        <f>IF(INDEX('C03_ClassVariables'!$FJ$26:$FJ$55,Character_Creation!B467,1)=0,"",INDEX('C03_ClassVariables'!$FJ$26:$FJ$55,Character_Creation!B467,1))</f>
        <v>small knife</v>
      </c>
      <c r="D467" s="830"/>
      <c r="E467" s="831"/>
      <c r="F467" s="599" t="str">
        <f>IF(INDEX('C03_ClassVariables'!$FK$26:$FK$55,Character_Creation!B467,1)=0,"",INDEX('C03_ClassVariables'!$FK$26:$FK$55,Character_Creation!B467,1))</f>
        <v/>
      </c>
      <c r="G467" s="120"/>
      <c r="H467" s="845"/>
      <c r="I467" s="846"/>
      <c r="J467" s="847"/>
      <c r="K467" s="626"/>
      <c r="L467" s="534"/>
      <c r="M467" s="585">
        <v>12</v>
      </c>
      <c r="N467" s="841" t="str">
        <f t="shared" si="3"/>
        <v>small knife</v>
      </c>
      <c r="O467" s="841"/>
      <c r="P467" s="841"/>
      <c r="Q467" s="841"/>
      <c r="R467" s="841"/>
      <c r="S467" s="841"/>
      <c r="T467" s="583" t="str">
        <f t="shared" si="4"/>
        <v/>
      </c>
      <c r="U467" s="120"/>
      <c r="V467" s="120"/>
      <c r="W467" s="120"/>
      <c r="X467" s="120"/>
      <c r="Y467" s="120"/>
      <c r="Z467" s="120"/>
      <c r="AA467" s="120"/>
      <c r="AB467" s="120"/>
      <c r="AC467" s="120"/>
      <c r="AD467" s="120"/>
      <c r="AE467" s="120"/>
      <c r="AF467" s="534"/>
      <c r="AG467" s="533"/>
      <c r="AH467" s="533"/>
      <c r="AI467" s="533"/>
      <c r="AJ467" s="146"/>
    </row>
    <row r="468" spans="1:36" ht="15.95" customHeight="1" outlineLevel="1" thickBot="1" x14ac:dyDescent="0.4">
      <c r="A468" s="526"/>
      <c r="B468" s="584">
        <v>13</v>
      </c>
      <c r="C468" s="829" t="str">
        <f>IF(INDEX('C03_ClassVariables'!$FJ$26:$FJ$55,Character_Creation!B468,1)=0,"",INDEX('C03_ClassVariables'!$FJ$26:$FJ$55,Character_Creation!B468,1))</f>
        <v>a letter from a dead colleague posing a question you have not yet been able to answe</v>
      </c>
      <c r="D468" s="830"/>
      <c r="E468" s="831"/>
      <c r="F468" s="599" t="str">
        <f>IF(INDEX('C03_ClassVariables'!$FK$26:$FK$55,Character_Creation!B468,1)=0,"",INDEX('C03_ClassVariables'!$FK$26:$FK$55,Character_Creation!B468,1))</f>
        <v/>
      </c>
      <c r="G468" s="120"/>
      <c r="H468" s="845"/>
      <c r="I468" s="846"/>
      <c r="J468" s="847"/>
      <c r="K468" s="626"/>
      <c r="L468" s="534"/>
      <c r="M468" s="585">
        <v>13</v>
      </c>
      <c r="N468" s="841" t="str">
        <f t="shared" si="3"/>
        <v>a letter from a dead colleague posing a question you have not yet been able to answe</v>
      </c>
      <c r="O468" s="841"/>
      <c r="P468" s="841"/>
      <c r="Q468" s="841"/>
      <c r="R468" s="841"/>
      <c r="S468" s="841"/>
      <c r="T468" s="583" t="str">
        <f t="shared" si="4"/>
        <v/>
      </c>
      <c r="U468" s="120"/>
      <c r="V468" s="120"/>
      <c r="W468" s="120"/>
      <c r="X468" s="120"/>
      <c r="Y468" s="120"/>
      <c r="Z468" s="120"/>
      <c r="AA468" s="120"/>
      <c r="AB468" s="120"/>
      <c r="AC468" s="120"/>
      <c r="AD468" s="120"/>
      <c r="AE468" s="120"/>
      <c r="AF468" s="534"/>
      <c r="AG468" s="533"/>
      <c r="AH468" s="533"/>
      <c r="AI468" s="533"/>
      <c r="AJ468" s="146"/>
    </row>
    <row r="469" spans="1:36" ht="15.95" customHeight="1" outlineLevel="1" thickBot="1" x14ac:dyDescent="0.4">
      <c r="A469" s="526"/>
      <c r="B469" s="584">
        <v>14</v>
      </c>
      <c r="C469" s="829" t="str">
        <f>IF(INDEX('C03_ClassVariables'!$FJ$26:$FJ$55,Character_Creation!B469,1)=0,"",INDEX('C03_ClassVariables'!$FJ$26:$FJ$55,Character_Creation!B469,1))</f>
        <v>belt pouch</v>
      </c>
      <c r="D469" s="830"/>
      <c r="E469" s="831"/>
      <c r="F469" s="599" t="str">
        <f>IF(INDEX('C03_ClassVariables'!$FK$26:$FK$55,Character_Creation!B469,1)=0,"",INDEX('C03_ClassVariables'!$FK$26:$FK$55,Character_Creation!B469,1))</f>
        <v/>
      </c>
      <c r="G469" s="120"/>
      <c r="H469" s="845" t="s">
        <v>1121</v>
      </c>
      <c r="I469" s="846"/>
      <c r="J469" s="847"/>
      <c r="K469" s="626" t="s">
        <v>1121</v>
      </c>
      <c r="L469" s="534"/>
      <c r="M469" s="585">
        <v>14</v>
      </c>
      <c r="N469" s="841" t="str">
        <f t="shared" si="3"/>
        <v xml:space="preserve"> </v>
      </c>
      <c r="O469" s="841"/>
      <c r="P469" s="841"/>
      <c r="Q469" s="841"/>
      <c r="R469" s="841"/>
      <c r="S469" s="841"/>
      <c r="T469" s="583" t="str">
        <f t="shared" si="4"/>
        <v xml:space="preserve"> </v>
      </c>
      <c r="U469" s="120"/>
      <c r="V469" s="120"/>
      <c r="W469" s="120"/>
      <c r="X469" s="120"/>
      <c r="Y469" s="120"/>
      <c r="Z469" s="120"/>
      <c r="AA469" s="120"/>
      <c r="AB469" s="120"/>
      <c r="AC469" s="120"/>
      <c r="AD469" s="120"/>
      <c r="AE469" s="120"/>
      <c r="AF469" s="534"/>
      <c r="AG469" s="533"/>
      <c r="AH469" s="533"/>
      <c r="AI469" s="533"/>
      <c r="AJ469" s="146"/>
    </row>
    <row r="470" spans="1:36" ht="15.95" customHeight="1" outlineLevel="1" thickBot="1" x14ac:dyDescent="0.4">
      <c r="A470" s="526"/>
      <c r="B470" s="584">
        <v>15</v>
      </c>
      <c r="C470" s="829" t="str">
        <f>IF(INDEX('C03_ClassVariables'!$FJ$26:$FJ$55,Character_Creation!B470,1)=0,"",INDEX('C03_ClassVariables'!$FJ$26:$FJ$55,Character_Creation!B470,1))</f>
        <v>Club</v>
      </c>
      <c r="D470" s="830"/>
      <c r="E470" s="831"/>
      <c r="F470" s="599" t="str">
        <f>IF(INDEX('C03_ClassVariables'!$FK$26:$FK$55,Character_Creation!B470,1)=0,"",INDEX('C03_ClassVariables'!$FK$26:$FK$55,Character_Creation!B470,1))</f>
        <v>1</v>
      </c>
      <c r="G470" s="120"/>
      <c r="H470" s="845" t="s">
        <v>6625</v>
      </c>
      <c r="I470" s="846"/>
      <c r="J470" s="847"/>
      <c r="K470" s="626">
        <v>10</v>
      </c>
      <c r="L470" s="534"/>
      <c r="M470" s="585">
        <v>15</v>
      </c>
      <c r="N470" s="841" t="str">
        <f t="shared" si="3"/>
        <v>shurikens</v>
      </c>
      <c r="O470" s="841"/>
      <c r="P470" s="841"/>
      <c r="Q470" s="841"/>
      <c r="R470" s="841"/>
      <c r="S470" s="841"/>
      <c r="T470" s="583">
        <f t="shared" si="4"/>
        <v>10</v>
      </c>
      <c r="U470" s="120"/>
      <c r="V470" s="120"/>
      <c r="W470" s="120"/>
      <c r="X470" s="120"/>
      <c r="Y470" s="120"/>
      <c r="Z470" s="120"/>
      <c r="AA470" s="120"/>
      <c r="AB470" s="120"/>
      <c r="AC470" s="120"/>
      <c r="AD470" s="120"/>
      <c r="AE470" s="120"/>
      <c r="AF470" s="534"/>
      <c r="AG470" s="533"/>
      <c r="AH470" s="533"/>
      <c r="AI470" s="533"/>
      <c r="AJ470" s="146"/>
    </row>
    <row r="471" spans="1:36" ht="15.95" customHeight="1" outlineLevel="1" thickBot="1" x14ac:dyDescent="0.4">
      <c r="A471" s="526"/>
      <c r="B471" s="584">
        <v>16</v>
      </c>
      <c r="C471" s="829" t="str">
        <f>IF(INDEX('C03_ClassVariables'!$FJ$26:$FJ$55,Character_Creation!B471,1)=0,"",INDEX('C03_ClassVariables'!$FJ$26:$FJ$55,Character_Creation!B471,1))</f>
        <v>Shortbow</v>
      </c>
      <c r="D471" s="830"/>
      <c r="E471" s="831"/>
      <c r="F471" s="599" t="str">
        <f>IF(INDEX('C03_ClassVariables'!$FK$26:$FK$55,Character_Creation!B471,1)=0,"",INDEX('C03_ClassVariables'!$FK$26:$FK$55,Character_Creation!B471,1))</f>
        <v>1</v>
      </c>
      <c r="G471" s="120"/>
      <c r="H471" s="845"/>
      <c r="I471" s="846"/>
      <c r="J471" s="847"/>
      <c r="K471" s="626"/>
      <c r="L471" s="534"/>
      <c r="M471" s="585">
        <v>16</v>
      </c>
      <c r="N471" s="841" t="str">
        <f t="shared" si="3"/>
        <v>Shortbow</v>
      </c>
      <c r="O471" s="841"/>
      <c r="P471" s="841"/>
      <c r="Q471" s="841"/>
      <c r="R471" s="841"/>
      <c r="S471" s="841"/>
      <c r="T471" s="583" t="str">
        <f t="shared" si="4"/>
        <v>1</v>
      </c>
      <c r="U471" s="120"/>
      <c r="V471" s="120"/>
      <c r="W471" s="120"/>
      <c r="X471" s="120"/>
      <c r="Y471" s="120"/>
      <c r="Z471" s="120"/>
      <c r="AA471" s="120"/>
      <c r="AB471" s="120"/>
      <c r="AC471" s="120"/>
      <c r="AD471" s="120"/>
      <c r="AE471" s="120"/>
      <c r="AF471" s="534"/>
      <c r="AG471" s="533"/>
      <c r="AH471" s="533"/>
      <c r="AI471" s="533"/>
      <c r="AJ471" s="146"/>
    </row>
    <row r="472" spans="1:36" ht="15.95" customHeight="1" outlineLevel="1" thickBot="1" x14ac:dyDescent="0.4">
      <c r="A472" s="526"/>
      <c r="B472" s="584">
        <v>17</v>
      </c>
      <c r="C472" s="829" t="str">
        <f>IF(INDEX('C03_ClassVariables'!$FJ$26:$FJ$55,Character_Creation!B472,1)=0,"",INDEX('C03_ClassVariables'!$FJ$26:$FJ$55,Character_Creation!B472,1))</f>
        <v>n/a</v>
      </c>
      <c r="D472" s="830"/>
      <c r="E472" s="831"/>
      <c r="F472" s="599" t="str">
        <f>IF(INDEX('C03_ClassVariables'!$FK$26:$FK$55,Character_Creation!B472,1)=0,"",INDEX('C03_ClassVariables'!$FK$26:$FK$55,Character_Creation!B472,1))</f>
        <v>1</v>
      </c>
      <c r="G472" s="120"/>
      <c r="H472" s="845"/>
      <c r="I472" s="846"/>
      <c r="J472" s="847"/>
      <c r="K472" s="626"/>
      <c r="L472" s="534"/>
      <c r="M472" s="585">
        <v>17</v>
      </c>
      <c r="N472" s="841" t="str">
        <f t="shared" si="3"/>
        <v>n/a</v>
      </c>
      <c r="O472" s="841"/>
      <c r="P472" s="841"/>
      <c r="Q472" s="841"/>
      <c r="R472" s="841"/>
      <c r="S472" s="841"/>
      <c r="T472" s="583" t="str">
        <f t="shared" si="4"/>
        <v>1</v>
      </c>
      <c r="U472" s="120"/>
      <c r="V472" s="120"/>
      <c r="W472" s="120"/>
      <c r="X472" s="120"/>
      <c r="Y472" s="120"/>
      <c r="Z472" s="120"/>
      <c r="AA472" s="120"/>
      <c r="AB472" s="120"/>
      <c r="AC472" s="120"/>
      <c r="AD472" s="120"/>
      <c r="AE472" s="120"/>
      <c r="AF472" s="534"/>
      <c r="AG472" s="533"/>
      <c r="AH472" s="533"/>
      <c r="AI472" s="533"/>
      <c r="AJ472" s="146"/>
    </row>
    <row r="473" spans="1:36" ht="15.95" customHeight="1" outlineLevel="1" thickBot="1" x14ac:dyDescent="0.4">
      <c r="A473" s="526"/>
      <c r="B473" s="584">
        <v>18</v>
      </c>
      <c r="C473" s="829" t="str">
        <f>IF(INDEX('C03_ClassVariables'!$FJ$26:$FJ$55,Character_Creation!B473,1)=0,"",INDEX('C03_ClassVariables'!$FJ$26:$FJ$55,Character_Creation!B473,1))</f>
        <v/>
      </c>
      <c r="D473" s="830"/>
      <c r="E473" s="831"/>
      <c r="F473" s="599" t="str">
        <f>IF(INDEX('C03_ClassVariables'!$FK$26:$FK$55,Character_Creation!B473,1)=0,"",INDEX('C03_ClassVariables'!$FK$26:$FK$55,Character_Creation!B473,1))</f>
        <v/>
      </c>
      <c r="G473" s="120"/>
      <c r="H473" s="845"/>
      <c r="I473" s="846"/>
      <c r="J473" s="847"/>
      <c r="K473" s="626"/>
      <c r="L473" s="534"/>
      <c r="M473" s="585">
        <v>18</v>
      </c>
      <c r="N473" s="841" t="str">
        <f t="shared" si="3"/>
        <v/>
      </c>
      <c r="O473" s="841"/>
      <c r="P473" s="841"/>
      <c r="Q473" s="841"/>
      <c r="R473" s="841"/>
      <c r="S473" s="841"/>
      <c r="T473" s="583" t="str">
        <f t="shared" si="4"/>
        <v/>
      </c>
      <c r="U473" s="120"/>
      <c r="V473" s="120"/>
      <c r="W473" s="120"/>
      <c r="X473" s="120"/>
      <c r="Y473" s="120"/>
      <c r="Z473" s="120"/>
      <c r="AA473" s="120"/>
      <c r="AB473" s="120"/>
      <c r="AC473" s="120"/>
      <c r="AD473" s="120"/>
      <c r="AE473" s="120"/>
      <c r="AF473" s="534"/>
      <c r="AG473" s="533"/>
      <c r="AH473" s="533"/>
      <c r="AI473" s="533"/>
      <c r="AJ473" s="146"/>
    </row>
    <row r="474" spans="1:36" ht="15.95" customHeight="1" outlineLevel="1" thickBot="1" x14ac:dyDescent="0.4">
      <c r="A474" s="526"/>
      <c r="B474" s="584">
        <v>19</v>
      </c>
      <c r="C474" s="829" t="str">
        <f>IF(INDEX('C03_ClassVariables'!$FJ$26:$FJ$55,Character_Creation!B474,1)=0,"",INDEX('C03_ClassVariables'!$FJ$26:$FJ$55,Character_Creation!B474,1))</f>
        <v/>
      </c>
      <c r="D474" s="830"/>
      <c r="E474" s="831"/>
      <c r="F474" s="599" t="str">
        <f>IF(INDEX('C03_ClassVariables'!$FK$26:$FK$55,Character_Creation!B474,1)=0,"",INDEX('C03_ClassVariables'!$FK$26:$FK$55,Character_Creation!B474,1))</f>
        <v/>
      </c>
      <c r="G474" s="120"/>
      <c r="H474" s="845"/>
      <c r="I474" s="846"/>
      <c r="J474" s="847"/>
      <c r="K474" s="626"/>
      <c r="L474" s="534"/>
      <c r="M474" s="585">
        <v>19</v>
      </c>
      <c r="N474" s="841" t="str">
        <f t="shared" si="3"/>
        <v/>
      </c>
      <c r="O474" s="841"/>
      <c r="P474" s="841"/>
      <c r="Q474" s="841"/>
      <c r="R474" s="841"/>
      <c r="S474" s="841"/>
      <c r="T474" s="583" t="str">
        <f t="shared" si="4"/>
        <v/>
      </c>
      <c r="U474" s="120"/>
      <c r="V474" s="120"/>
      <c r="W474" s="120"/>
      <c r="X474" s="120"/>
      <c r="Y474" s="120"/>
      <c r="Z474" s="120"/>
      <c r="AA474" s="120"/>
      <c r="AB474" s="120"/>
      <c r="AC474" s="120"/>
      <c r="AD474" s="120"/>
      <c r="AE474" s="120"/>
      <c r="AF474" s="534"/>
      <c r="AG474" s="533"/>
      <c r="AH474" s="533"/>
      <c r="AI474" s="533"/>
      <c r="AJ474" s="146"/>
    </row>
    <row r="475" spans="1:36" ht="15.95" customHeight="1" outlineLevel="1" thickBot="1" x14ac:dyDescent="0.4">
      <c r="A475" s="526"/>
      <c r="B475" s="584">
        <v>20</v>
      </c>
      <c r="C475" s="829" t="str">
        <f>IF(INDEX('C03_ClassVariables'!$FJ$26:$FJ$55,Character_Creation!B475,1)=0,"",INDEX('C03_ClassVariables'!$FJ$26:$FJ$55,Character_Creation!B475,1))</f>
        <v/>
      </c>
      <c r="D475" s="830"/>
      <c r="E475" s="831"/>
      <c r="F475" s="599" t="str">
        <f>IF(INDEX('C03_ClassVariables'!$FK$26:$FK$55,Character_Creation!B475,1)=0,"",INDEX('C03_ClassVariables'!$FK$26:$FK$55,Character_Creation!B475,1))</f>
        <v/>
      </c>
      <c r="G475" s="120"/>
      <c r="H475" s="845"/>
      <c r="I475" s="846"/>
      <c r="J475" s="847"/>
      <c r="K475" s="626"/>
      <c r="L475" s="534"/>
      <c r="M475" s="585">
        <v>20</v>
      </c>
      <c r="N475" s="841" t="str">
        <f t="shared" si="3"/>
        <v/>
      </c>
      <c r="O475" s="841"/>
      <c r="P475" s="841"/>
      <c r="Q475" s="841"/>
      <c r="R475" s="841"/>
      <c r="S475" s="841"/>
      <c r="T475" s="583" t="str">
        <f t="shared" si="4"/>
        <v/>
      </c>
      <c r="U475" s="120"/>
      <c r="V475" s="120"/>
      <c r="W475" s="120"/>
      <c r="X475" s="120"/>
      <c r="Y475" s="120"/>
      <c r="Z475" s="120"/>
      <c r="AA475" s="120"/>
      <c r="AB475" s="120"/>
      <c r="AC475" s="120"/>
      <c r="AD475" s="120"/>
      <c r="AE475" s="120"/>
      <c r="AF475" s="534"/>
      <c r="AG475" s="533"/>
      <c r="AH475" s="533"/>
      <c r="AI475" s="533"/>
      <c r="AJ475" s="146"/>
    </row>
    <row r="476" spans="1:36" ht="15.95" customHeight="1" outlineLevel="1" thickBot="1" x14ac:dyDescent="0.4">
      <c r="A476" s="526"/>
      <c r="B476" s="584">
        <v>21</v>
      </c>
      <c r="C476" s="829" t="str">
        <f>IF(INDEX('C03_ClassVariables'!$FJ$26:$FJ$55,Character_Creation!B476,1)=0,"",INDEX('C03_ClassVariables'!$FJ$26:$FJ$55,Character_Creation!B476,1))</f>
        <v/>
      </c>
      <c r="D476" s="830"/>
      <c r="E476" s="831"/>
      <c r="F476" s="599" t="str">
        <f>IF(INDEX('C03_ClassVariables'!$FK$26:$FK$55,Character_Creation!B476,1)=0,"",INDEX('C03_ClassVariables'!$FK$26:$FK$55,Character_Creation!B476,1))</f>
        <v/>
      </c>
      <c r="G476" s="120"/>
      <c r="H476" s="845"/>
      <c r="I476" s="846"/>
      <c r="J476" s="847"/>
      <c r="K476" s="626"/>
      <c r="L476" s="534"/>
      <c r="M476" s="585">
        <v>21</v>
      </c>
      <c r="N476" s="841" t="str">
        <f t="shared" si="3"/>
        <v/>
      </c>
      <c r="O476" s="841"/>
      <c r="P476" s="841"/>
      <c r="Q476" s="841"/>
      <c r="R476" s="841"/>
      <c r="S476" s="841"/>
      <c r="T476" s="583" t="str">
        <f t="shared" si="4"/>
        <v/>
      </c>
      <c r="U476" s="120"/>
      <c r="V476" s="120"/>
      <c r="W476" s="120"/>
      <c r="X476" s="120"/>
      <c r="Y476" s="120"/>
      <c r="Z476" s="120"/>
      <c r="AA476" s="120"/>
      <c r="AB476" s="120"/>
      <c r="AC476" s="120"/>
      <c r="AD476" s="120"/>
      <c r="AE476" s="120"/>
      <c r="AF476" s="534"/>
      <c r="AG476" s="533"/>
      <c r="AH476" s="533"/>
      <c r="AI476" s="533"/>
      <c r="AJ476" s="146"/>
    </row>
    <row r="477" spans="1:36" ht="15.95" customHeight="1" outlineLevel="1" thickBot="1" x14ac:dyDescent="0.4">
      <c r="A477" s="526"/>
      <c r="B477" s="584">
        <v>22</v>
      </c>
      <c r="C477" s="829" t="str">
        <f>IF(INDEX('C03_ClassVariables'!$FJ$26:$FJ$55,Character_Creation!B477,1)=0,"",INDEX('C03_ClassVariables'!$FJ$26:$FJ$55,Character_Creation!B477,1))</f>
        <v/>
      </c>
      <c r="D477" s="830"/>
      <c r="E477" s="831"/>
      <c r="F477" s="599" t="str">
        <f>IF(INDEX('C03_ClassVariables'!$FK$26:$FK$55,Character_Creation!B477,1)=0,"",INDEX('C03_ClassVariables'!$FK$26:$FK$55,Character_Creation!B477,1))</f>
        <v/>
      </c>
      <c r="G477" s="120"/>
      <c r="H477" s="845"/>
      <c r="I477" s="846"/>
      <c r="J477" s="847"/>
      <c r="K477" s="626"/>
      <c r="L477" s="534"/>
      <c r="M477" s="585">
        <v>22</v>
      </c>
      <c r="N477" s="841" t="str">
        <f t="shared" si="3"/>
        <v/>
      </c>
      <c r="O477" s="841"/>
      <c r="P477" s="841"/>
      <c r="Q477" s="841"/>
      <c r="R477" s="841"/>
      <c r="S477" s="841"/>
      <c r="T477" s="583" t="str">
        <f t="shared" si="4"/>
        <v/>
      </c>
      <c r="U477" s="120"/>
      <c r="V477" s="120"/>
      <c r="W477" s="120"/>
      <c r="X477" s="120"/>
      <c r="Y477" s="120"/>
      <c r="Z477" s="120"/>
      <c r="AA477" s="120"/>
      <c r="AB477" s="120"/>
      <c r="AC477" s="120"/>
      <c r="AD477" s="120"/>
      <c r="AE477" s="120"/>
      <c r="AF477" s="534"/>
      <c r="AG477" s="533"/>
      <c r="AH477" s="533"/>
      <c r="AI477" s="533"/>
      <c r="AJ477" s="146"/>
    </row>
    <row r="478" spans="1:36" ht="15.95" customHeight="1" outlineLevel="1" thickBot="1" x14ac:dyDescent="0.4">
      <c r="A478" s="526"/>
      <c r="B478" s="584">
        <v>23</v>
      </c>
      <c r="C478" s="829" t="str">
        <f>IF(INDEX('C03_ClassVariables'!$FJ$26:$FJ$55,Character_Creation!B478,1)=0,"",INDEX('C03_ClassVariables'!$FJ$26:$FJ$55,Character_Creation!B478,1))</f>
        <v/>
      </c>
      <c r="D478" s="830"/>
      <c r="E478" s="831"/>
      <c r="F478" s="599" t="str">
        <f>IF(INDEX('C03_ClassVariables'!$FK$26:$FK$55,Character_Creation!B478,1)=0,"",INDEX('C03_ClassVariables'!$FK$26:$FK$55,Character_Creation!B478,1))</f>
        <v/>
      </c>
      <c r="G478" s="120"/>
      <c r="H478" s="845"/>
      <c r="I478" s="846"/>
      <c r="J478" s="847"/>
      <c r="K478" s="626"/>
      <c r="L478" s="534"/>
      <c r="M478" s="585">
        <v>23</v>
      </c>
      <c r="N478" s="841" t="str">
        <f t="shared" si="3"/>
        <v/>
      </c>
      <c r="O478" s="841"/>
      <c r="P478" s="841"/>
      <c r="Q478" s="841"/>
      <c r="R478" s="841"/>
      <c r="S478" s="841"/>
      <c r="T478" s="583" t="str">
        <f t="shared" si="4"/>
        <v/>
      </c>
      <c r="U478" s="120"/>
      <c r="V478" s="120"/>
      <c r="W478" s="120"/>
      <c r="X478" s="120"/>
      <c r="Y478" s="120"/>
      <c r="Z478" s="120"/>
      <c r="AA478" s="120"/>
      <c r="AB478" s="120"/>
      <c r="AC478" s="120"/>
      <c r="AD478" s="120"/>
      <c r="AE478" s="120"/>
      <c r="AF478" s="534"/>
      <c r="AG478" s="533"/>
      <c r="AH478" s="533"/>
      <c r="AI478" s="533"/>
      <c r="AJ478" s="146"/>
    </row>
    <row r="479" spans="1:36" ht="15.95" customHeight="1" outlineLevel="1" thickBot="1" x14ac:dyDescent="0.4">
      <c r="A479" s="526"/>
      <c r="B479" s="584">
        <v>24</v>
      </c>
      <c r="C479" s="829" t="str">
        <f>IF(INDEX('C03_ClassVariables'!$FJ$26:$FJ$55,Character_Creation!B479,1)=0,"",INDEX('C03_ClassVariables'!$FJ$26:$FJ$55,Character_Creation!B479,1))</f>
        <v/>
      </c>
      <c r="D479" s="830"/>
      <c r="E479" s="831"/>
      <c r="F479" s="599" t="str">
        <f>IF(INDEX('C03_ClassVariables'!$FK$26:$FK$55,Character_Creation!B479,1)=0,"",INDEX('C03_ClassVariables'!$FK$26:$FK$55,Character_Creation!B479,1))</f>
        <v/>
      </c>
      <c r="G479" s="120"/>
      <c r="H479" s="845"/>
      <c r="I479" s="846"/>
      <c r="J479" s="847"/>
      <c r="K479" s="626"/>
      <c r="L479" s="534"/>
      <c r="M479" s="585">
        <v>24</v>
      </c>
      <c r="N479" s="841" t="str">
        <f t="shared" si="3"/>
        <v/>
      </c>
      <c r="O479" s="841"/>
      <c r="P479" s="841"/>
      <c r="Q479" s="841"/>
      <c r="R479" s="841"/>
      <c r="S479" s="841"/>
      <c r="T479" s="583" t="str">
        <f t="shared" si="4"/>
        <v/>
      </c>
      <c r="U479" s="120"/>
      <c r="V479" s="120"/>
      <c r="W479" s="120"/>
      <c r="X479" s="120"/>
      <c r="Y479" s="120"/>
      <c r="Z479" s="120"/>
      <c r="AA479" s="120"/>
      <c r="AB479" s="120"/>
      <c r="AC479" s="120"/>
      <c r="AD479" s="120"/>
      <c r="AE479" s="120"/>
      <c r="AF479" s="534"/>
      <c r="AG479" s="533"/>
      <c r="AH479" s="533"/>
      <c r="AI479" s="533"/>
      <c r="AJ479" s="146"/>
    </row>
    <row r="480" spans="1:36" ht="15.95" customHeight="1" outlineLevel="1" thickBot="1" x14ac:dyDescent="0.4">
      <c r="A480" s="526"/>
      <c r="B480" s="584">
        <v>25</v>
      </c>
      <c r="C480" s="829" t="str">
        <f>IF(INDEX('C03_ClassVariables'!$FJ$26:$FJ$55,Character_Creation!B480,1)=0,"",INDEX('C03_ClassVariables'!$FJ$26:$FJ$55,Character_Creation!B480,1))</f>
        <v/>
      </c>
      <c r="D480" s="830"/>
      <c r="E480" s="831"/>
      <c r="F480" s="599" t="str">
        <f>IF(INDEX('C03_ClassVariables'!$FK$26:$FK$55,Character_Creation!B480,1)=0,"",INDEX('C03_ClassVariables'!$FK$26:$FK$55,Character_Creation!B480,1))</f>
        <v/>
      </c>
      <c r="G480" s="120"/>
      <c r="H480" s="845"/>
      <c r="I480" s="846"/>
      <c r="J480" s="847"/>
      <c r="K480" s="626"/>
      <c r="L480" s="534"/>
      <c r="M480" s="585">
        <v>25</v>
      </c>
      <c r="N480" s="841" t="str">
        <f t="shared" si="3"/>
        <v/>
      </c>
      <c r="O480" s="841"/>
      <c r="P480" s="841"/>
      <c r="Q480" s="841"/>
      <c r="R480" s="841"/>
      <c r="S480" s="841"/>
      <c r="T480" s="583" t="str">
        <f t="shared" si="4"/>
        <v/>
      </c>
      <c r="U480" s="120"/>
      <c r="V480" s="120"/>
      <c r="W480" s="120"/>
      <c r="X480" s="120"/>
      <c r="Y480" s="120"/>
      <c r="Z480" s="120"/>
      <c r="AA480" s="120"/>
      <c r="AB480" s="120"/>
      <c r="AC480" s="120"/>
      <c r="AD480" s="120"/>
      <c r="AE480" s="120"/>
      <c r="AF480" s="534"/>
      <c r="AG480" s="533"/>
      <c r="AH480" s="533"/>
      <c r="AI480" s="533"/>
      <c r="AJ480" s="146"/>
    </row>
    <row r="481" spans="1:36" ht="15.95" customHeight="1" outlineLevel="1" thickBot="1" x14ac:dyDescent="0.4">
      <c r="A481" s="526"/>
      <c r="B481" s="584">
        <v>26</v>
      </c>
      <c r="C481" s="829" t="str">
        <f>IF(INDEX('C03_ClassVariables'!$FJ$26:$FJ$55,Character_Creation!B481,1)=0,"",INDEX('C03_ClassVariables'!$FJ$26:$FJ$55,Character_Creation!B481,1))</f>
        <v/>
      </c>
      <c r="D481" s="830"/>
      <c r="E481" s="831"/>
      <c r="F481" s="599" t="str">
        <f>IF(INDEX('C03_ClassVariables'!$FK$26:$FK$55,Character_Creation!B481,1)=0,"",INDEX('C03_ClassVariables'!$FK$26:$FK$55,Character_Creation!B481,1))</f>
        <v/>
      </c>
      <c r="G481" s="120"/>
      <c r="H481" s="845"/>
      <c r="I481" s="846"/>
      <c r="J481" s="847"/>
      <c r="K481" s="626"/>
      <c r="L481" s="534"/>
      <c r="M481" s="585">
        <v>26</v>
      </c>
      <c r="N481" s="841" t="str">
        <f t="shared" si="3"/>
        <v/>
      </c>
      <c r="O481" s="841"/>
      <c r="P481" s="841"/>
      <c r="Q481" s="841"/>
      <c r="R481" s="841"/>
      <c r="S481" s="841"/>
      <c r="T481" s="583" t="str">
        <f t="shared" si="4"/>
        <v/>
      </c>
      <c r="U481" s="120"/>
      <c r="V481" s="120"/>
      <c r="W481" s="120"/>
      <c r="X481" s="120"/>
      <c r="Y481" s="120"/>
      <c r="Z481" s="120"/>
      <c r="AA481" s="120"/>
      <c r="AB481" s="120"/>
      <c r="AC481" s="120"/>
      <c r="AD481" s="120"/>
      <c r="AE481" s="120"/>
      <c r="AF481" s="534"/>
      <c r="AG481" s="533"/>
      <c r="AH481" s="533"/>
      <c r="AI481" s="533"/>
      <c r="AJ481" s="146"/>
    </row>
    <row r="482" spans="1:36" ht="15.95" customHeight="1" outlineLevel="1" thickBot="1" x14ac:dyDescent="0.4">
      <c r="A482" s="526"/>
      <c r="B482" s="584">
        <v>27</v>
      </c>
      <c r="C482" s="829" t="str">
        <f>IF(INDEX('C03_ClassVariables'!$FJ$26:$FJ$55,Character_Creation!B482,1)=0,"",INDEX('C03_ClassVariables'!$FJ$26:$FJ$55,Character_Creation!B482,1))</f>
        <v/>
      </c>
      <c r="D482" s="830"/>
      <c r="E482" s="831"/>
      <c r="F482" s="599" t="str">
        <f>IF(INDEX('C03_ClassVariables'!$FK$26:$FK$55,Character_Creation!B482,1)=0,"",INDEX('C03_ClassVariables'!$FK$26:$FK$55,Character_Creation!B482,1))</f>
        <v/>
      </c>
      <c r="G482" s="120"/>
      <c r="H482" s="845"/>
      <c r="I482" s="846"/>
      <c r="J482" s="847"/>
      <c r="K482" s="626"/>
      <c r="L482" s="534"/>
      <c r="M482" s="585">
        <v>27</v>
      </c>
      <c r="N482" s="841" t="str">
        <f t="shared" si="3"/>
        <v/>
      </c>
      <c r="O482" s="841"/>
      <c r="P482" s="841"/>
      <c r="Q482" s="841"/>
      <c r="R482" s="841"/>
      <c r="S482" s="841"/>
      <c r="T482" s="583" t="str">
        <f t="shared" si="4"/>
        <v/>
      </c>
      <c r="U482" s="120"/>
      <c r="V482" s="120"/>
      <c r="W482" s="120"/>
      <c r="X482" s="120"/>
      <c r="Y482" s="120"/>
      <c r="Z482" s="120"/>
      <c r="AA482" s="120"/>
      <c r="AB482" s="120"/>
      <c r="AC482" s="120"/>
      <c r="AD482" s="120"/>
      <c r="AE482" s="120"/>
      <c r="AF482" s="534"/>
      <c r="AG482" s="533"/>
      <c r="AH482" s="533"/>
      <c r="AI482" s="533"/>
      <c r="AJ482" s="146"/>
    </row>
    <row r="483" spans="1:36" ht="15.95" customHeight="1" outlineLevel="1" thickBot="1" x14ac:dyDescent="0.4">
      <c r="A483" s="526"/>
      <c r="B483" s="584">
        <v>28</v>
      </c>
      <c r="C483" s="829" t="str">
        <f>IF(INDEX('C03_ClassVariables'!$FJ$26:$FJ$55,Character_Creation!B483,1)=0,"",INDEX('C03_ClassVariables'!$FJ$26:$FJ$55,Character_Creation!B483,1))</f>
        <v/>
      </c>
      <c r="D483" s="830"/>
      <c r="E483" s="831"/>
      <c r="F483" s="599" t="str">
        <f>IF(INDEX('C03_ClassVariables'!$FK$26:$FK$55,Character_Creation!B483,1)=0,"",INDEX('C03_ClassVariables'!$FK$26:$FK$55,Character_Creation!B483,1))</f>
        <v/>
      </c>
      <c r="G483" s="120"/>
      <c r="H483" s="845"/>
      <c r="I483" s="846"/>
      <c r="J483" s="847"/>
      <c r="K483" s="626"/>
      <c r="L483" s="534"/>
      <c r="M483" s="585">
        <v>28</v>
      </c>
      <c r="N483" s="841" t="str">
        <f t="shared" si="3"/>
        <v/>
      </c>
      <c r="O483" s="841"/>
      <c r="P483" s="841"/>
      <c r="Q483" s="841"/>
      <c r="R483" s="841"/>
      <c r="S483" s="841"/>
      <c r="T483" s="583" t="str">
        <f t="shared" si="4"/>
        <v/>
      </c>
      <c r="U483" s="120"/>
      <c r="V483" s="120"/>
      <c r="W483" s="120"/>
      <c r="X483" s="120"/>
      <c r="Y483" s="120"/>
      <c r="Z483" s="120"/>
      <c r="AA483" s="120"/>
      <c r="AB483" s="120"/>
      <c r="AC483" s="120"/>
      <c r="AD483" s="120"/>
      <c r="AE483" s="120"/>
      <c r="AF483" s="534"/>
      <c r="AG483" s="533"/>
      <c r="AH483" s="533"/>
      <c r="AI483" s="533"/>
      <c r="AJ483" s="146"/>
    </row>
    <row r="484" spans="1:36" ht="15.95" customHeight="1" outlineLevel="1" thickBot="1" x14ac:dyDescent="0.4">
      <c r="A484" s="526"/>
      <c r="B484" s="584">
        <v>29</v>
      </c>
      <c r="C484" s="829" t="str">
        <f>IF(INDEX('C03_ClassVariables'!$FJ$26:$FJ$55,Character_Creation!B484,1)=0,"",INDEX('C03_ClassVariables'!$FJ$26:$FJ$55,Character_Creation!B484,1))</f>
        <v/>
      </c>
      <c r="D484" s="830"/>
      <c r="E484" s="831"/>
      <c r="F484" s="599" t="str">
        <f>IF(INDEX('C03_ClassVariables'!$FK$26:$FK$55,Character_Creation!B484,1)=0,"",INDEX('C03_ClassVariables'!$FK$26:$FK$55,Character_Creation!B484,1))</f>
        <v/>
      </c>
      <c r="G484" s="120"/>
      <c r="H484" s="845"/>
      <c r="I484" s="846"/>
      <c r="J484" s="847"/>
      <c r="K484" s="626"/>
      <c r="L484" s="534"/>
      <c r="M484" s="585">
        <v>29</v>
      </c>
      <c r="N484" s="841" t="str">
        <f t="shared" si="3"/>
        <v/>
      </c>
      <c r="O484" s="841"/>
      <c r="P484" s="841"/>
      <c r="Q484" s="841"/>
      <c r="R484" s="841"/>
      <c r="S484" s="841"/>
      <c r="T484" s="583" t="str">
        <f t="shared" si="4"/>
        <v/>
      </c>
      <c r="U484" s="120"/>
      <c r="V484" s="120"/>
      <c r="W484" s="120"/>
      <c r="X484" s="120"/>
      <c r="Y484" s="120"/>
      <c r="Z484" s="120"/>
      <c r="AA484" s="120"/>
      <c r="AB484" s="120"/>
      <c r="AC484" s="120"/>
      <c r="AD484" s="120"/>
      <c r="AE484" s="120"/>
      <c r="AF484" s="534"/>
      <c r="AG484" s="533"/>
      <c r="AH484" s="533"/>
      <c r="AI484" s="533"/>
      <c r="AJ484" s="146"/>
    </row>
    <row r="485" spans="1:36" ht="15.95" customHeight="1" outlineLevel="1" thickBot="1" x14ac:dyDescent="0.4">
      <c r="A485" s="526"/>
      <c r="B485" s="584">
        <v>30</v>
      </c>
      <c r="C485" s="829" t="str">
        <f>IF(INDEX('C03_ClassVariables'!$FJ$26:$FJ$55,Character_Creation!B485,1)=0,"",INDEX('C03_ClassVariables'!$FJ$26:$FJ$55,Character_Creation!B485,1))</f>
        <v/>
      </c>
      <c r="D485" s="830"/>
      <c r="E485" s="831"/>
      <c r="F485" s="599" t="str">
        <f>IF(INDEX('C03_ClassVariables'!$FK$26:$FK$55,Character_Creation!B485,1)=0,"",INDEX('C03_ClassVariables'!$FK$26:$FK$55,Character_Creation!B485,1))</f>
        <v/>
      </c>
      <c r="G485" s="120"/>
      <c r="H485" s="845"/>
      <c r="I485" s="846"/>
      <c r="J485" s="847"/>
      <c r="K485" s="626"/>
      <c r="L485" s="534"/>
      <c r="M485" s="585">
        <v>30</v>
      </c>
      <c r="N485" s="841" t="str">
        <f t="shared" si="3"/>
        <v/>
      </c>
      <c r="O485" s="841"/>
      <c r="P485" s="841"/>
      <c r="Q485" s="841"/>
      <c r="R485" s="841"/>
      <c r="S485" s="841"/>
      <c r="T485" s="583" t="str">
        <f t="shared" si="4"/>
        <v/>
      </c>
      <c r="U485" s="120"/>
      <c r="V485" s="120"/>
      <c r="W485" s="120"/>
      <c r="X485" s="120"/>
      <c r="Y485" s="120"/>
      <c r="Z485" s="120"/>
      <c r="AA485" s="120"/>
      <c r="AB485" s="120"/>
      <c r="AC485" s="120"/>
      <c r="AD485" s="120"/>
      <c r="AE485" s="120"/>
      <c r="AF485" s="534"/>
      <c r="AG485" s="533"/>
      <c r="AH485" s="533"/>
      <c r="AI485" s="533"/>
      <c r="AJ485" s="146"/>
    </row>
    <row r="486" spans="1:36" ht="15.95" customHeight="1" outlineLevel="1" thickBot="1" x14ac:dyDescent="0.4">
      <c r="A486" s="526"/>
      <c r="B486" s="534"/>
      <c r="C486" s="534"/>
      <c r="D486" s="534"/>
      <c r="E486" s="534"/>
      <c r="F486" s="534"/>
      <c r="G486" s="534"/>
      <c r="H486" s="534"/>
      <c r="I486" s="534"/>
      <c r="J486" s="534"/>
      <c r="K486" s="534"/>
      <c r="L486" s="534"/>
      <c r="M486" s="534"/>
      <c r="N486" s="534"/>
      <c r="O486" s="534"/>
      <c r="P486" s="534"/>
      <c r="Q486" s="534"/>
      <c r="R486" s="534"/>
      <c r="S486" s="534"/>
      <c r="T486" s="534"/>
      <c r="U486" s="534"/>
      <c r="V486" s="534"/>
      <c r="W486" s="534"/>
      <c r="X486" s="534"/>
      <c r="Y486" s="534"/>
      <c r="Z486" s="534"/>
      <c r="AA486" s="534"/>
      <c r="AB486" s="534"/>
      <c r="AC486" s="534"/>
      <c r="AD486" s="534"/>
      <c r="AE486" s="534"/>
      <c r="AF486" s="534"/>
      <c r="AG486" s="533"/>
      <c r="AH486" s="533"/>
      <c r="AI486" s="533"/>
      <c r="AJ486" s="146"/>
    </row>
    <row r="487" spans="1:36" ht="15.95" customHeight="1" outlineLevel="1" thickTop="1" thickBot="1" x14ac:dyDescent="0.4">
      <c r="A487" s="526"/>
      <c r="B487" s="771" t="s">
        <v>6658</v>
      </c>
      <c r="C487" s="772"/>
      <c r="D487" s="772"/>
      <c r="E487" s="773"/>
      <c r="F487" s="534"/>
      <c r="G487" s="534"/>
      <c r="H487" s="534"/>
      <c r="I487" s="534"/>
      <c r="J487" s="534"/>
      <c r="K487" s="534"/>
      <c r="L487" s="534"/>
      <c r="M487" s="534"/>
      <c r="N487" s="534"/>
      <c r="O487" s="534"/>
      <c r="P487" s="534"/>
      <c r="Q487" s="534"/>
      <c r="R487" s="534"/>
      <c r="S487" s="534"/>
      <c r="T487" s="534"/>
      <c r="U487" s="534"/>
      <c r="V487" s="534"/>
      <c r="W487" s="534"/>
      <c r="X487" s="534"/>
      <c r="Y487" s="534"/>
      <c r="Z487" s="534"/>
      <c r="AA487" s="534"/>
      <c r="AB487" s="534"/>
      <c r="AC487" s="534"/>
      <c r="AD487" s="534"/>
      <c r="AE487" s="534"/>
      <c r="AF487" s="534"/>
      <c r="AG487" s="533"/>
      <c r="AH487" s="533"/>
      <c r="AI487" s="533"/>
      <c r="AJ487" s="146"/>
    </row>
    <row r="488" spans="1:36" ht="15.95" customHeight="1" outlineLevel="1" thickTop="1" x14ac:dyDescent="0.35">
      <c r="A488" s="526"/>
      <c r="B488" s="534"/>
      <c r="C488" s="534"/>
      <c r="D488" s="534"/>
      <c r="E488" s="534"/>
      <c r="F488" s="534"/>
      <c r="G488" s="534"/>
      <c r="H488" s="534"/>
      <c r="I488" s="534"/>
      <c r="J488" s="534"/>
      <c r="K488" s="534"/>
      <c r="L488" s="534"/>
      <c r="M488" s="534"/>
      <c r="N488" s="534"/>
      <c r="O488" s="534"/>
      <c r="P488" s="534"/>
      <c r="Q488" s="534"/>
      <c r="R488" s="534"/>
      <c r="S488" s="534"/>
      <c r="T488" s="534"/>
      <c r="U488" s="534"/>
      <c r="V488" s="534"/>
      <c r="W488" s="534"/>
      <c r="X488" s="534"/>
      <c r="Y488" s="534"/>
      <c r="Z488" s="534"/>
      <c r="AA488" s="534"/>
      <c r="AB488" s="534"/>
      <c r="AC488" s="534"/>
      <c r="AD488" s="534"/>
      <c r="AE488" s="534"/>
      <c r="AF488" s="534"/>
      <c r="AG488" s="533"/>
      <c r="AH488" s="533"/>
      <c r="AI488" s="533"/>
      <c r="AJ488" s="146"/>
    </row>
    <row r="489" spans="1:36" ht="15.95" customHeight="1" x14ac:dyDescent="0.35">
      <c r="A489" s="526"/>
      <c r="B489" s="946" t="s">
        <v>7497</v>
      </c>
      <c r="C489" s="946"/>
      <c r="D489" s="946"/>
      <c r="E489" s="946"/>
      <c r="F489" s="946"/>
      <c r="G489" s="946"/>
      <c r="H489" s="946"/>
      <c r="I489" s="946"/>
      <c r="J489" s="946"/>
      <c r="K489" s="946"/>
      <c r="L489" s="946"/>
      <c r="M489" s="946"/>
      <c r="N489" s="946"/>
      <c r="O489" s="946"/>
      <c r="P489" s="946"/>
      <c r="Q489" s="946"/>
      <c r="R489" s="946"/>
      <c r="S489" s="946"/>
      <c r="T489" s="946"/>
      <c r="U489" s="946"/>
      <c r="V489" s="946"/>
      <c r="W489" s="946"/>
      <c r="X489" s="946"/>
      <c r="Y489" s="946"/>
      <c r="Z489" s="946"/>
      <c r="AA489" s="946"/>
      <c r="AB489" s="946"/>
      <c r="AC489" s="946"/>
      <c r="AD489" s="946"/>
      <c r="AE489" s="946"/>
      <c r="AF489" s="534"/>
      <c r="AG489" s="533"/>
      <c r="AH489" s="533"/>
      <c r="AI489" s="533"/>
      <c r="AJ489" s="146"/>
    </row>
    <row r="490" spans="1:36" ht="15.95" customHeight="1" x14ac:dyDescent="0.35">
      <c r="A490" s="526"/>
      <c r="B490" s="946"/>
      <c r="C490" s="946"/>
      <c r="D490" s="946"/>
      <c r="E490" s="946"/>
      <c r="F490" s="946"/>
      <c r="G490" s="946"/>
      <c r="H490" s="946"/>
      <c r="I490" s="946"/>
      <c r="J490" s="946"/>
      <c r="K490" s="946"/>
      <c r="L490" s="946"/>
      <c r="M490" s="946"/>
      <c r="N490" s="946"/>
      <c r="O490" s="946"/>
      <c r="P490" s="946"/>
      <c r="Q490" s="946"/>
      <c r="R490" s="946"/>
      <c r="S490" s="946"/>
      <c r="T490" s="946"/>
      <c r="U490" s="946"/>
      <c r="V490" s="946"/>
      <c r="W490" s="946"/>
      <c r="X490" s="946"/>
      <c r="Y490" s="946"/>
      <c r="Z490" s="946"/>
      <c r="AA490" s="946"/>
      <c r="AB490" s="946"/>
      <c r="AC490" s="946"/>
      <c r="AD490" s="946"/>
      <c r="AE490" s="946"/>
      <c r="AF490" s="534"/>
      <c r="AG490" s="533"/>
      <c r="AH490" s="533"/>
      <c r="AI490" s="533"/>
      <c r="AJ490" s="146"/>
    </row>
    <row r="491" spans="1:36" ht="15.95" customHeight="1" outlineLevel="1" x14ac:dyDescent="0.35">
      <c r="A491" s="526"/>
      <c r="B491" s="534"/>
      <c r="C491" s="534"/>
      <c r="D491" s="534"/>
      <c r="E491" s="534"/>
      <c r="F491" s="534"/>
      <c r="G491" s="534"/>
      <c r="H491" s="534"/>
      <c r="I491" s="534"/>
      <c r="J491" s="534"/>
      <c r="K491" s="534"/>
      <c r="L491" s="534"/>
      <c r="M491" s="534"/>
      <c r="N491" s="534"/>
      <c r="O491" s="534"/>
      <c r="P491" s="534"/>
      <c r="Q491" s="534"/>
      <c r="R491" s="534"/>
      <c r="S491" s="534"/>
      <c r="T491" s="534"/>
      <c r="U491" s="534"/>
      <c r="V491" s="534"/>
      <c r="W491" s="534"/>
      <c r="X491" s="534"/>
      <c r="Y491" s="534"/>
      <c r="Z491" s="534"/>
      <c r="AA491" s="534"/>
      <c r="AB491" s="534"/>
      <c r="AC491" s="534"/>
      <c r="AD491" s="534"/>
      <c r="AE491" s="534"/>
      <c r="AF491" s="534"/>
      <c r="AG491" s="533"/>
      <c r="AH491" s="533"/>
      <c r="AI491" s="533"/>
      <c r="AJ491" s="146"/>
    </row>
    <row r="492" spans="1:36" ht="15.95" customHeight="1" outlineLevel="1" x14ac:dyDescent="0.35">
      <c r="A492" s="526"/>
      <c r="B492" s="120"/>
      <c r="C492" s="120"/>
      <c r="D492" s="120"/>
      <c r="E492" s="120"/>
      <c r="F492" s="120"/>
      <c r="G492" s="120"/>
      <c r="H492" s="120"/>
      <c r="I492" s="120"/>
      <c r="J492" s="120"/>
      <c r="K492" s="120"/>
      <c r="L492" s="534"/>
      <c r="M492" s="945" t="s">
        <v>6226</v>
      </c>
      <c r="N492" s="945"/>
      <c r="O492" s="944"/>
      <c r="P492" s="944"/>
      <c r="Q492" s="944"/>
      <c r="R492" s="616"/>
      <c r="S492" s="945" t="s">
        <v>6227</v>
      </c>
      <c r="T492" s="945"/>
      <c r="U492" s="944"/>
      <c r="V492" s="944"/>
      <c r="W492" s="944"/>
      <c r="X492" s="534"/>
      <c r="Y492" s="534"/>
      <c r="Z492" s="534"/>
      <c r="AA492" s="534"/>
      <c r="AB492" s="534"/>
      <c r="AC492" s="534"/>
      <c r="AD492" s="534"/>
      <c r="AE492" s="534"/>
      <c r="AF492" s="534"/>
      <c r="AG492" s="533"/>
      <c r="AH492" s="533"/>
      <c r="AI492" s="533"/>
      <c r="AJ492" s="146"/>
    </row>
    <row r="493" spans="1:36" ht="15.95" customHeight="1" outlineLevel="1" thickBot="1" x14ac:dyDescent="0.4">
      <c r="A493" s="526"/>
      <c r="B493" s="120"/>
      <c r="C493" s="120"/>
      <c r="D493" s="120"/>
      <c r="E493" s="120"/>
      <c r="F493" s="615" t="s">
        <v>6605</v>
      </c>
      <c r="G493" s="615" t="s">
        <v>6440</v>
      </c>
      <c r="H493" s="615" t="s">
        <v>2956</v>
      </c>
      <c r="I493" s="615" t="s">
        <v>6440</v>
      </c>
      <c r="J493" s="947" t="s">
        <v>2979</v>
      </c>
      <c r="K493" s="947"/>
      <c r="L493" s="534"/>
      <c r="M493" s="945"/>
      <c r="N493" s="945"/>
      <c r="O493" s="944"/>
      <c r="P493" s="944"/>
      <c r="Q493" s="944"/>
      <c r="R493" s="616"/>
      <c r="S493" s="945"/>
      <c r="T493" s="945"/>
      <c r="U493" s="944"/>
      <c r="V493" s="944"/>
      <c r="W493" s="944"/>
      <c r="X493" s="534"/>
      <c r="Y493" s="835" t="s">
        <v>6491</v>
      </c>
      <c r="Z493" s="836"/>
      <c r="AA493" s="832" t="s">
        <v>2962</v>
      </c>
      <c r="AB493" s="833"/>
      <c r="AC493" s="834"/>
      <c r="AD493" s="534"/>
      <c r="AE493" s="534"/>
      <c r="AF493" s="534"/>
      <c r="AG493" s="533"/>
      <c r="AH493" s="533"/>
      <c r="AI493" s="533"/>
      <c r="AJ493" s="146"/>
    </row>
    <row r="494" spans="1:36" ht="15.95" customHeight="1" outlineLevel="1" thickBot="1" x14ac:dyDescent="0.4">
      <c r="A494" s="526"/>
      <c r="B494" s="585">
        <v>1</v>
      </c>
      <c r="C494" s="774" t="str">
        <f t="shared" ref="C494:C523" si="5">N456</f>
        <v>backpack</v>
      </c>
      <c r="D494" s="775"/>
      <c r="E494" s="776"/>
      <c r="F494" s="583" t="str">
        <f t="shared" ref="F494:F523" si="6">T456</f>
        <v>1</v>
      </c>
      <c r="G494" s="579">
        <f>IFERROR(INDEX(T11_MiscItems!$C$2:$C$2000,MATCH(Character_Creation!C494,T11_MiscItems!$A$2:$A$2000,0),1),0)</f>
        <v>5</v>
      </c>
      <c r="H494" s="579">
        <f>IFERROR(INDEX(T11_MiscItems!$B$2:$B$2000,MATCH(Character_Creation!C494,T11_MiscItems!$A$2:$A$2000,0),1),0)</f>
        <v>2</v>
      </c>
      <c r="I494" s="586">
        <f t="shared" ref="I494:I523" si="7">IFERROR(G494*F494,0)</f>
        <v>5</v>
      </c>
      <c r="J494" s="777" t="s">
        <v>2871</v>
      </c>
      <c r="K494" s="777"/>
      <c r="L494" s="534"/>
      <c r="M494" s="616"/>
      <c r="N494" s="616"/>
      <c r="O494" s="616"/>
      <c r="P494" s="616"/>
      <c r="Q494" s="616"/>
      <c r="R494" s="616"/>
      <c r="S494" s="616"/>
      <c r="T494" s="616"/>
      <c r="U494" s="616"/>
      <c r="V494" s="616"/>
      <c r="W494" s="616"/>
      <c r="X494" s="534"/>
      <c r="Y494" s="835"/>
      <c r="Z494" s="836"/>
      <c r="AA494" s="832"/>
      <c r="AB494" s="833"/>
      <c r="AC494" s="834"/>
      <c r="AD494" s="534"/>
      <c r="AE494" s="534"/>
      <c r="AF494" s="534"/>
      <c r="AG494" s="533"/>
      <c r="AH494" s="533"/>
      <c r="AI494" s="533"/>
      <c r="AJ494" s="146"/>
    </row>
    <row r="495" spans="1:36" ht="15.95" customHeight="1" outlineLevel="1" thickBot="1" x14ac:dyDescent="0.4">
      <c r="A495" s="526"/>
      <c r="B495" s="585">
        <v>2</v>
      </c>
      <c r="C495" s="774" t="str">
        <f t="shared" si="5"/>
        <v>bedroll</v>
      </c>
      <c r="D495" s="775"/>
      <c r="E495" s="776"/>
      <c r="F495" s="583" t="str">
        <f t="shared" si="6"/>
        <v>1</v>
      </c>
      <c r="G495" s="579">
        <f>IFERROR(INDEX(T11_MiscItems!$C$2:$C$2000,MATCH(Character_Creation!C495,T11_MiscItems!$A$2:$A$2000,0),1),0)</f>
        <v>7</v>
      </c>
      <c r="H495" s="579">
        <f>IFERROR(INDEX(T11_MiscItems!$B$2:$B$2000,MATCH(Character_Creation!C495,T11_MiscItems!$A$2:$A$2000,0),1),0)</f>
        <v>1</v>
      </c>
      <c r="I495" s="586">
        <f t="shared" si="7"/>
        <v>7</v>
      </c>
      <c r="J495" s="777"/>
      <c r="K495" s="777"/>
      <c r="L495" s="534"/>
      <c r="M495" s="945" t="s">
        <v>6224</v>
      </c>
      <c r="N495" s="945"/>
      <c r="O495" s="944"/>
      <c r="P495" s="944"/>
      <c r="Q495" s="944"/>
      <c r="R495" s="616"/>
      <c r="S495" s="945" t="s">
        <v>6228</v>
      </c>
      <c r="T495" s="945"/>
      <c r="U495" s="944"/>
      <c r="V495" s="944"/>
      <c r="W495" s="944"/>
      <c r="X495" s="534"/>
      <c r="Y495" s="534"/>
      <c r="Z495" s="534"/>
      <c r="AA495" s="120"/>
      <c r="AB495" s="120"/>
      <c r="AC495" s="120"/>
      <c r="AD495" s="534"/>
      <c r="AE495" s="534"/>
      <c r="AF495" s="534"/>
      <c r="AG495" s="533"/>
      <c r="AH495" s="533"/>
      <c r="AI495" s="533"/>
      <c r="AJ495" s="146"/>
    </row>
    <row r="496" spans="1:36" ht="15.95" customHeight="1" outlineLevel="1" thickBot="1" x14ac:dyDescent="0.4">
      <c r="A496" s="526"/>
      <c r="B496" s="585">
        <v>3</v>
      </c>
      <c r="C496" s="774" t="str">
        <f t="shared" si="5"/>
        <v>mess kit</v>
      </c>
      <c r="D496" s="775"/>
      <c r="E496" s="776"/>
      <c r="F496" s="583" t="str">
        <f t="shared" si="6"/>
        <v>1</v>
      </c>
      <c r="G496" s="579">
        <f>IFERROR(INDEX(T11_MiscItems!$C$2:$C$2000,MATCH(Character_Creation!C496,T11_MiscItems!$A$2:$A$2000,0),1),0)</f>
        <v>0</v>
      </c>
      <c r="H496" s="579">
        <f>IFERROR(INDEX(T11_MiscItems!$B$2:$B$2000,MATCH(Character_Creation!C496,T11_MiscItems!$A$2:$A$2000,0),1),0)</f>
        <v>0</v>
      </c>
      <c r="I496" s="586">
        <f t="shared" si="7"/>
        <v>0</v>
      </c>
      <c r="J496" s="777"/>
      <c r="K496" s="777"/>
      <c r="L496" s="534"/>
      <c r="M496" s="945"/>
      <c r="N496" s="945"/>
      <c r="O496" s="944"/>
      <c r="P496" s="944"/>
      <c r="Q496" s="944"/>
      <c r="R496" s="616"/>
      <c r="S496" s="945"/>
      <c r="T496" s="945"/>
      <c r="U496" s="944"/>
      <c r="V496" s="944"/>
      <c r="W496" s="944"/>
      <c r="X496" s="534"/>
      <c r="Y496" s="835" t="s">
        <v>122</v>
      </c>
      <c r="Z496" s="836"/>
      <c r="AA496" s="840">
        <f>5*Strength</f>
        <v>100</v>
      </c>
      <c r="AB496" s="841"/>
      <c r="AC496" s="842"/>
      <c r="AD496" s="534"/>
      <c r="AE496" s="534"/>
      <c r="AF496" s="534"/>
      <c r="AG496" s="533"/>
      <c r="AH496" s="533"/>
      <c r="AI496" s="533"/>
      <c r="AJ496" s="146"/>
    </row>
    <row r="497" spans="1:36" ht="15.95" customHeight="1" outlineLevel="1" thickBot="1" x14ac:dyDescent="0.4">
      <c r="A497" s="526"/>
      <c r="B497" s="585">
        <v>4</v>
      </c>
      <c r="C497" s="774" t="str">
        <f t="shared" si="5"/>
        <v>linderbox</v>
      </c>
      <c r="D497" s="775"/>
      <c r="E497" s="776"/>
      <c r="F497" s="583" t="str">
        <f t="shared" si="6"/>
        <v>1</v>
      </c>
      <c r="G497" s="579">
        <f>IFERROR(INDEX(T11_MiscItems!$C$2:$C$2000,MATCH(Character_Creation!C497,T11_MiscItems!$A$2:$A$2000,0),1),0)</f>
        <v>0</v>
      </c>
      <c r="H497" s="579">
        <f>IFERROR(INDEX(T11_MiscItems!$B$2:$B$2000,MATCH(Character_Creation!C497,T11_MiscItems!$A$2:$A$2000,0),1),0)</f>
        <v>0</v>
      </c>
      <c r="I497" s="586">
        <f t="shared" si="7"/>
        <v>0</v>
      </c>
      <c r="J497" s="777"/>
      <c r="K497" s="777"/>
      <c r="L497" s="534"/>
      <c r="M497" s="616"/>
      <c r="N497" s="616"/>
      <c r="O497" s="616"/>
      <c r="P497" s="616"/>
      <c r="Q497" s="616"/>
      <c r="R497" s="616"/>
      <c r="S497" s="616"/>
      <c r="T497" s="616"/>
      <c r="U497" s="616"/>
      <c r="V497" s="616"/>
      <c r="W497" s="616"/>
      <c r="X497" s="534"/>
      <c r="Y497" s="835"/>
      <c r="Z497" s="836"/>
      <c r="AA497" s="840"/>
      <c r="AB497" s="841"/>
      <c r="AC497" s="842"/>
      <c r="AD497" s="534"/>
      <c r="AE497" s="534"/>
      <c r="AF497" s="534"/>
      <c r="AG497" s="533"/>
      <c r="AH497" s="533"/>
      <c r="AI497" s="533"/>
      <c r="AJ497" s="146"/>
    </row>
    <row r="498" spans="1:36" ht="15.95" customHeight="1" outlineLevel="1" thickBot="1" x14ac:dyDescent="0.4">
      <c r="A498" s="526"/>
      <c r="B498" s="585">
        <v>5</v>
      </c>
      <c r="C498" s="774" t="str">
        <f t="shared" si="5"/>
        <v>torch</v>
      </c>
      <c r="D498" s="775"/>
      <c r="E498" s="776"/>
      <c r="F498" s="583" t="str">
        <f t="shared" si="6"/>
        <v>10</v>
      </c>
      <c r="G498" s="579">
        <f>IFERROR(INDEX(T11_MiscItems!$C$2:$C$2000,MATCH(Character_Creation!C498,T11_MiscItems!$A$2:$A$2000,0),1),0)</f>
        <v>1</v>
      </c>
      <c r="H498" s="579">
        <f>IFERROR(INDEX(T11_MiscItems!$B$2:$B$2000,MATCH(Character_Creation!C498,T11_MiscItems!$A$2:$A$2000,0),1),0)</f>
        <v>0.01</v>
      </c>
      <c r="I498" s="586">
        <f t="shared" si="7"/>
        <v>10</v>
      </c>
      <c r="J498" s="777"/>
      <c r="K498" s="777"/>
      <c r="L498" s="534"/>
      <c r="M498" s="945" t="s">
        <v>6229</v>
      </c>
      <c r="N498" s="945"/>
      <c r="O498" s="944"/>
      <c r="P498" s="944"/>
      <c r="Q498" s="944"/>
      <c r="R498" s="616"/>
      <c r="S498" s="945" t="s">
        <v>6230</v>
      </c>
      <c r="T498" s="945"/>
      <c r="U498" s="944"/>
      <c r="V498" s="944"/>
      <c r="W498" s="944"/>
      <c r="X498" s="534"/>
      <c r="Y498" s="835" t="s">
        <v>599</v>
      </c>
      <c r="Z498" s="836"/>
      <c r="AA498" s="840">
        <f>10*Strength</f>
        <v>200</v>
      </c>
      <c r="AB498" s="841"/>
      <c r="AC498" s="842"/>
      <c r="AD498" s="534"/>
      <c r="AE498" s="534"/>
      <c r="AF498" s="534"/>
      <c r="AG498" s="533"/>
      <c r="AH498" s="533"/>
      <c r="AI498" s="533"/>
      <c r="AJ498" s="146"/>
    </row>
    <row r="499" spans="1:36" ht="15.95" customHeight="1" outlineLevel="1" thickBot="1" x14ac:dyDescent="0.4">
      <c r="A499" s="526"/>
      <c r="B499" s="585">
        <v>6</v>
      </c>
      <c r="C499" s="774" t="str">
        <f t="shared" si="5"/>
        <v>day ration</v>
      </c>
      <c r="D499" s="775"/>
      <c r="E499" s="776"/>
      <c r="F499" s="583" t="str">
        <f t="shared" si="6"/>
        <v>10</v>
      </c>
      <c r="G499" s="579">
        <f>IFERROR(INDEX(T11_MiscItems!$C$2:$C$2000,MATCH(Character_Creation!C499,T11_MiscItems!$A$2:$A$2000,0),1),0)</f>
        <v>0</v>
      </c>
      <c r="H499" s="579">
        <f>IFERROR(INDEX(T11_MiscItems!$B$2:$B$2000,MATCH(Character_Creation!C499,T11_MiscItems!$A$2:$A$2000,0),1),0)</f>
        <v>0</v>
      </c>
      <c r="I499" s="586">
        <f t="shared" si="7"/>
        <v>0</v>
      </c>
      <c r="J499" s="777"/>
      <c r="K499" s="777"/>
      <c r="L499" s="534"/>
      <c r="M499" s="945"/>
      <c r="N499" s="945"/>
      <c r="O499" s="944"/>
      <c r="P499" s="944"/>
      <c r="Q499" s="944"/>
      <c r="R499" s="616"/>
      <c r="S499" s="945"/>
      <c r="T499" s="945"/>
      <c r="U499" s="944"/>
      <c r="V499" s="944"/>
      <c r="W499" s="944"/>
      <c r="X499" s="534"/>
      <c r="Y499" s="835"/>
      <c r="Z499" s="836"/>
      <c r="AA499" s="840"/>
      <c r="AB499" s="841"/>
      <c r="AC499" s="842"/>
      <c r="AD499" s="534"/>
      <c r="AE499" s="534"/>
      <c r="AF499" s="534"/>
      <c r="AG499" s="533"/>
      <c r="AH499" s="533"/>
      <c r="AI499" s="533"/>
      <c r="AJ499" s="146"/>
    </row>
    <row r="500" spans="1:36" ht="15.95" customHeight="1" outlineLevel="1" thickBot="1" x14ac:dyDescent="0.4">
      <c r="A500" s="526"/>
      <c r="B500" s="585">
        <v>7</v>
      </c>
      <c r="C500" s="774" t="str">
        <f t="shared" si="5"/>
        <v>waterskin</v>
      </c>
      <c r="D500" s="775"/>
      <c r="E500" s="776"/>
      <c r="F500" s="583" t="str">
        <f t="shared" si="6"/>
        <v>1</v>
      </c>
      <c r="G500" s="579">
        <f>IFERROR(INDEX(T11_MiscItems!$C$2:$C$2000,MATCH(Character_Creation!C500,T11_MiscItems!$A$2:$A$2000,0),1),0)</f>
        <v>5</v>
      </c>
      <c r="H500" s="579">
        <f>IFERROR(INDEX(T11_MiscItems!$B$2:$B$2000,MATCH(Character_Creation!C500,T11_MiscItems!$A$2:$A$2000,0),1),0)</f>
        <v>0.2</v>
      </c>
      <c r="I500" s="586">
        <f t="shared" si="7"/>
        <v>5</v>
      </c>
      <c r="J500" s="777"/>
      <c r="K500" s="777"/>
      <c r="L500" s="534"/>
      <c r="M500" s="616"/>
      <c r="N500" s="616"/>
      <c r="O500" s="616"/>
      <c r="P500" s="616"/>
      <c r="Q500" s="616"/>
      <c r="R500" s="616"/>
      <c r="S500" s="616"/>
      <c r="T500" s="616"/>
      <c r="U500" s="616"/>
      <c r="V500" s="616"/>
      <c r="W500" s="616"/>
      <c r="X500" s="534"/>
      <c r="Y500" s="835" t="s">
        <v>164</v>
      </c>
      <c r="Z500" s="836"/>
      <c r="AA500" s="840">
        <f>AA503</f>
        <v>300</v>
      </c>
      <c r="AB500" s="841"/>
      <c r="AC500" s="842"/>
      <c r="AD500" s="534"/>
      <c r="AE500" s="534"/>
      <c r="AF500" s="534"/>
      <c r="AG500" s="533"/>
      <c r="AH500" s="533"/>
      <c r="AI500" s="533"/>
      <c r="AJ500" s="146"/>
    </row>
    <row r="501" spans="1:36" ht="15.95" customHeight="1" outlineLevel="1" thickBot="1" x14ac:dyDescent="0.4">
      <c r="A501" s="526"/>
      <c r="B501" s="585">
        <v>8</v>
      </c>
      <c r="C501" s="774" t="str">
        <f t="shared" si="5"/>
        <v>hempen rope 50 ft</v>
      </c>
      <c r="D501" s="775"/>
      <c r="E501" s="776"/>
      <c r="F501" s="583" t="str">
        <f t="shared" si="6"/>
        <v>1</v>
      </c>
      <c r="G501" s="579">
        <f>IFERROR(INDEX(T11_MiscItems!$C$2:$C$2000,MATCH(Character_Creation!C501,T11_MiscItems!$A$2:$A$2000,0),1),0)</f>
        <v>0</v>
      </c>
      <c r="H501" s="579">
        <f>IFERROR(INDEX(T11_MiscItems!$B$2:$B$2000,MATCH(Character_Creation!C501,T11_MiscItems!$A$2:$A$2000,0),1),0)</f>
        <v>0</v>
      </c>
      <c r="I501" s="586">
        <f t="shared" si="7"/>
        <v>0</v>
      </c>
      <c r="J501" s="777"/>
      <c r="K501" s="777"/>
      <c r="L501" s="534"/>
      <c r="M501" s="945" t="s">
        <v>6606</v>
      </c>
      <c r="N501" s="945"/>
      <c r="O501" s="944"/>
      <c r="P501" s="944"/>
      <c r="Q501" s="944"/>
      <c r="R501" s="616"/>
      <c r="S501" s="945" t="s">
        <v>6231</v>
      </c>
      <c r="T501" s="945"/>
      <c r="U501" s="944"/>
      <c r="V501" s="944"/>
      <c r="W501" s="944"/>
      <c r="X501" s="534"/>
      <c r="Y501" s="835"/>
      <c r="Z501" s="836"/>
      <c r="AA501" s="840"/>
      <c r="AB501" s="841"/>
      <c r="AC501" s="842"/>
      <c r="AD501" s="534"/>
      <c r="AE501" s="534"/>
      <c r="AF501" s="534"/>
      <c r="AG501" s="533"/>
      <c r="AH501" s="533"/>
      <c r="AI501" s="533"/>
      <c r="AJ501" s="146"/>
    </row>
    <row r="502" spans="1:36" ht="15.95" customHeight="1" outlineLevel="1" thickBot="1" x14ac:dyDescent="0.4">
      <c r="A502" s="526"/>
      <c r="B502" s="585">
        <v>9</v>
      </c>
      <c r="C502" s="774" t="str">
        <f t="shared" si="5"/>
        <v>common clothes</v>
      </c>
      <c r="D502" s="775"/>
      <c r="E502" s="776"/>
      <c r="F502" s="583" t="str">
        <f t="shared" si="6"/>
        <v>1</v>
      </c>
      <c r="G502" s="579">
        <f>IFERROR(INDEX(T11_MiscItems!$C$2:$C$2000,MATCH(Character_Creation!C502,T11_MiscItems!$A$2:$A$2000,0),1),0)</f>
        <v>0</v>
      </c>
      <c r="H502" s="579">
        <f>IFERROR(INDEX(T11_MiscItems!$B$2:$B$2000,MATCH(Character_Creation!C502,T11_MiscItems!$A$2:$A$2000,0),1),0)</f>
        <v>0</v>
      </c>
      <c r="I502" s="586">
        <f t="shared" si="7"/>
        <v>0</v>
      </c>
      <c r="J502" s="777"/>
      <c r="K502" s="777"/>
      <c r="L502" s="534"/>
      <c r="M502" s="945"/>
      <c r="N502" s="945"/>
      <c r="O502" s="944"/>
      <c r="P502" s="944"/>
      <c r="Q502" s="944"/>
      <c r="R502" s="616"/>
      <c r="S502" s="945"/>
      <c r="T502" s="945"/>
      <c r="U502" s="944"/>
      <c r="V502" s="944"/>
      <c r="W502" s="944"/>
      <c r="X502" s="534"/>
      <c r="Y502" s="534"/>
      <c r="Z502" s="534"/>
      <c r="AA502" s="534"/>
      <c r="AB502" s="534"/>
      <c r="AC502" s="534"/>
      <c r="AD502" s="534"/>
      <c r="AE502" s="534"/>
      <c r="AF502" s="534"/>
      <c r="AG502" s="533"/>
      <c r="AH502" s="533"/>
      <c r="AI502" s="533"/>
      <c r="AJ502" s="146"/>
    </row>
    <row r="503" spans="1:36" ht="15.95" customHeight="1" outlineLevel="1" thickBot="1" x14ac:dyDescent="0.4">
      <c r="A503" s="526"/>
      <c r="B503" s="585">
        <v>10</v>
      </c>
      <c r="C503" s="774" t="str">
        <f t="shared" si="5"/>
        <v>bottle of black ink</v>
      </c>
      <c r="D503" s="775"/>
      <c r="E503" s="776"/>
      <c r="F503" s="583" t="str">
        <f t="shared" si="6"/>
        <v>1</v>
      </c>
      <c r="G503" s="579">
        <f>IFERROR(INDEX(T11_MiscItems!$C$2:$C$2000,MATCH(Character_Creation!C503,T11_MiscItems!$A$2:$A$2000,0),1),0)</f>
        <v>0</v>
      </c>
      <c r="H503" s="579">
        <f>IFERROR(INDEX(T11_MiscItems!$B$2:$B$2000,MATCH(Character_Creation!C503,T11_MiscItems!$A$2:$A$2000,0),1),0)</f>
        <v>0</v>
      </c>
      <c r="I503" s="586">
        <f t="shared" si="7"/>
        <v>0</v>
      </c>
      <c r="J503" s="777"/>
      <c r="K503" s="777"/>
      <c r="L503" s="534"/>
      <c r="M503" s="616"/>
      <c r="N503" s="616"/>
      <c r="O503" s="616"/>
      <c r="P503" s="616"/>
      <c r="Q503" s="616"/>
      <c r="R503" s="616"/>
      <c r="S503" s="616"/>
      <c r="T503" s="616"/>
      <c r="U503" s="616"/>
      <c r="V503" s="616"/>
      <c r="W503" s="616"/>
      <c r="X503" s="534"/>
      <c r="Y503" s="835" t="s">
        <v>2791</v>
      </c>
      <c r="Z503" s="836"/>
      <c r="AA503" s="840">
        <f>INT(Strength)*15</f>
        <v>300</v>
      </c>
      <c r="AB503" s="841"/>
      <c r="AC503" s="842"/>
      <c r="AD503" s="534"/>
      <c r="AE503" s="534"/>
      <c r="AF503" s="534"/>
      <c r="AG503" s="533"/>
      <c r="AH503" s="533"/>
      <c r="AI503" s="533"/>
      <c r="AJ503" s="146"/>
    </row>
    <row r="504" spans="1:36" ht="15.95" customHeight="1" outlineLevel="1" thickBot="1" x14ac:dyDescent="0.4">
      <c r="A504" s="526"/>
      <c r="B504" s="585">
        <v>11</v>
      </c>
      <c r="C504" s="774" t="str">
        <f t="shared" si="5"/>
        <v>quill</v>
      </c>
      <c r="D504" s="775"/>
      <c r="E504" s="776"/>
      <c r="F504" s="583" t="str">
        <f t="shared" si="6"/>
        <v>1</v>
      </c>
      <c r="G504" s="579">
        <f>IFERROR(INDEX(T11_MiscItems!$C$2:$C$2000,MATCH(Character_Creation!C504,T11_MiscItems!$A$2:$A$2000,0),1),0)</f>
        <v>0</v>
      </c>
      <c r="H504" s="579">
        <f>IFERROR(INDEX(T11_MiscItems!$B$2:$B$2000,MATCH(Character_Creation!C504,T11_MiscItems!$A$2:$A$2000,0),1),0)</f>
        <v>0</v>
      </c>
      <c r="I504" s="586">
        <f t="shared" si="7"/>
        <v>0</v>
      </c>
      <c r="J504" s="777"/>
      <c r="K504" s="777"/>
      <c r="L504" s="534"/>
      <c r="M504" s="945" t="s">
        <v>6232</v>
      </c>
      <c r="N504" s="945"/>
      <c r="O504" s="944"/>
      <c r="P504" s="944"/>
      <c r="Q504" s="944"/>
      <c r="R504" s="616"/>
      <c r="S504" s="945" t="s">
        <v>6233</v>
      </c>
      <c r="T504" s="945"/>
      <c r="U504" s="944"/>
      <c r="V504" s="944"/>
      <c r="W504" s="944"/>
      <c r="X504" s="534"/>
      <c r="Y504" s="835"/>
      <c r="Z504" s="836"/>
      <c r="AA504" s="840"/>
      <c r="AB504" s="841"/>
      <c r="AC504" s="842"/>
      <c r="AD504" s="534"/>
      <c r="AE504" s="534"/>
      <c r="AF504" s="534"/>
      <c r="AG504" s="533"/>
      <c r="AH504" s="533"/>
      <c r="AI504" s="533"/>
      <c r="AJ504" s="146"/>
    </row>
    <row r="505" spans="1:36" ht="15.95" customHeight="1" outlineLevel="1" thickBot="1" x14ac:dyDescent="0.4">
      <c r="A505" s="526"/>
      <c r="B505" s="585">
        <v>12</v>
      </c>
      <c r="C505" s="774" t="str">
        <f t="shared" si="5"/>
        <v>small knife</v>
      </c>
      <c r="D505" s="775"/>
      <c r="E505" s="776"/>
      <c r="F505" s="583" t="str">
        <f t="shared" si="6"/>
        <v/>
      </c>
      <c r="G505" s="579">
        <f>IFERROR(INDEX(T11_MiscItems!$C$2:$C$2000,MATCH(Character_Creation!C505,T11_MiscItems!$A$2:$A$2000,0),1),0)</f>
        <v>0</v>
      </c>
      <c r="H505" s="579">
        <f>IFERROR(INDEX(T11_MiscItems!$B$2:$B$2000,MATCH(Character_Creation!C505,T11_MiscItems!$A$2:$A$2000,0),1),0)</f>
        <v>0</v>
      </c>
      <c r="I505" s="586">
        <f t="shared" si="7"/>
        <v>0</v>
      </c>
      <c r="J505" s="777"/>
      <c r="K505" s="777"/>
      <c r="L505" s="534"/>
      <c r="M505" s="945"/>
      <c r="N505" s="945"/>
      <c r="O505" s="944"/>
      <c r="P505" s="944"/>
      <c r="Q505" s="944"/>
      <c r="R505" s="616"/>
      <c r="S505" s="945"/>
      <c r="T505" s="945"/>
      <c r="U505" s="944"/>
      <c r="V505" s="944"/>
      <c r="W505" s="944"/>
      <c r="X505" s="534"/>
      <c r="Y505" s="534"/>
      <c r="Z505" s="534"/>
      <c r="AA505" s="534"/>
      <c r="AB505" s="534"/>
      <c r="AC505" s="534"/>
      <c r="AD505" s="534"/>
      <c r="AE505" s="534"/>
      <c r="AF505" s="534"/>
      <c r="AG505" s="533"/>
      <c r="AH505" s="533"/>
      <c r="AI505" s="533"/>
      <c r="AJ505" s="146"/>
    </row>
    <row r="506" spans="1:36" ht="15.95" customHeight="1" outlineLevel="1" thickBot="1" x14ac:dyDescent="0.4">
      <c r="A506" s="526"/>
      <c r="B506" s="585">
        <v>13</v>
      </c>
      <c r="C506" s="774" t="str">
        <f t="shared" si="5"/>
        <v>a letter from a dead colleague posing a question you have not yet been able to answe</v>
      </c>
      <c r="D506" s="775"/>
      <c r="E506" s="776"/>
      <c r="F506" s="583" t="str">
        <f t="shared" si="6"/>
        <v/>
      </c>
      <c r="G506" s="579">
        <f>IFERROR(INDEX(T11_MiscItems!$C$2:$C$2000,MATCH(Character_Creation!C506,T11_MiscItems!$A$2:$A$2000,0),1),0)</f>
        <v>0</v>
      </c>
      <c r="H506" s="579">
        <f>IFERROR(INDEX(T11_MiscItems!$B$2:$B$2000,MATCH(Character_Creation!C506,T11_MiscItems!$A$2:$A$2000,0),1),0)</f>
        <v>0</v>
      </c>
      <c r="I506" s="586">
        <f t="shared" si="7"/>
        <v>0</v>
      </c>
      <c r="J506" s="777"/>
      <c r="K506" s="777"/>
      <c r="L506" s="534"/>
      <c r="M506" s="616"/>
      <c r="N506" s="616"/>
      <c r="O506" s="616"/>
      <c r="P506" s="616"/>
      <c r="Q506" s="616"/>
      <c r="R506" s="616"/>
      <c r="S506" s="616"/>
      <c r="T506" s="616"/>
      <c r="U506" s="616"/>
      <c r="V506" s="616"/>
      <c r="W506" s="616"/>
      <c r="X506" s="534"/>
      <c r="Y506" s="835" t="s">
        <v>200</v>
      </c>
      <c r="Z506" s="836"/>
      <c r="AA506" s="840">
        <f>SUMIFS(I494:I513,J494:J513,"backpack")</f>
        <v>5</v>
      </c>
      <c r="AB506" s="841"/>
      <c r="AC506" s="842"/>
      <c r="AD506" s="534"/>
      <c r="AE506" s="534"/>
      <c r="AF506" s="534"/>
      <c r="AG506" s="533"/>
      <c r="AH506" s="533"/>
      <c r="AI506" s="533"/>
      <c r="AJ506" s="146"/>
    </row>
    <row r="507" spans="1:36" ht="15.95" customHeight="1" outlineLevel="1" thickBot="1" x14ac:dyDescent="0.4">
      <c r="A507" s="526"/>
      <c r="B507" s="585">
        <v>14</v>
      </c>
      <c r="C507" s="774" t="str">
        <f t="shared" si="5"/>
        <v xml:space="preserve"> </v>
      </c>
      <c r="D507" s="775"/>
      <c r="E507" s="776"/>
      <c r="F507" s="583" t="str">
        <f t="shared" si="6"/>
        <v xml:space="preserve"> </v>
      </c>
      <c r="G507" s="579">
        <f>IFERROR(INDEX(T11_MiscItems!$C$2:$C$2000,MATCH(Character_Creation!C507,T11_MiscItems!$A$2:$A$2000,0),1),0)</f>
        <v>0</v>
      </c>
      <c r="H507" s="579">
        <f>IFERROR(INDEX(T11_MiscItems!$B$2:$B$2000,MATCH(Character_Creation!C507,T11_MiscItems!$A$2:$A$2000,0),1),0)</f>
        <v>0</v>
      </c>
      <c r="I507" s="586">
        <f t="shared" si="7"/>
        <v>0</v>
      </c>
      <c r="J507" s="777"/>
      <c r="K507" s="777"/>
      <c r="L507" s="534"/>
      <c r="M507" s="945" t="s">
        <v>6232</v>
      </c>
      <c r="N507" s="945"/>
      <c r="O507" s="944"/>
      <c r="P507" s="944"/>
      <c r="Q507" s="944"/>
      <c r="R507" s="616"/>
      <c r="S507" s="945" t="s">
        <v>6234</v>
      </c>
      <c r="T507" s="945"/>
      <c r="U507" s="944"/>
      <c r="V507" s="944"/>
      <c r="W507" s="944"/>
      <c r="X507" s="534"/>
      <c r="Y507" s="835"/>
      <c r="Z507" s="836"/>
      <c r="AA507" s="840"/>
      <c r="AB507" s="841"/>
      <c r="AC507" s="842"/>
      <c r="AD507" s="534"/>
      <c r="AE507" s="534"/>
      <c r="AF507" s="534"/>
      <c r="AG507" s="533"/>
      <c r="AH507" s="533"/>
      <c r="AI507" s="533"/>
      <c r="AJ507" s="146"/>
    </row>
    <row r="508" spans="1:36" ht="15.95" customHeight="1" outlineLevel="1" thickBot="1" x14ac:dyDescent="0.4">
      <c r="A508" s="526"/>
      <c r="B508" s="585">
        <v>15</v>
      </c>
      <c r="C508" s="774" t="str">
        <f t="shared" si="5"/>
        <v>shurikens</v>
      </c>
      <c r="D508" s="775"/>
      <c r="E508" s="776"/>
      <c r="F508" s="583">
        <f t="shared" si="6"/>
        <v>10</v>
      </c>
      <c r="G508" s="579">
        <f>IFERROR(INDEX(T11_MiscItems!$C$2:$C$2000,MATCH(Character_Creation!C508,T11_MiscItems!$A$2:$A$2000,0),1),0)</f>
        <v>0</v>
      </c>
      <c r="H508" s="579">
        <f>IFERROR(INDEX(T11_MiscItems!$B$2:$B$2000,MATCH(Character_Creation!C508,T11_MiscItems!$A$2:$A$2000,0),1),0)</f>
        <v>0</v>
      </c>
      <c r="I508" s="586">
        <f t="shared" si="7"/>
        <v>0</v>
      </c>
      <c r="J508" s="777"/>
      <c r="K508" s="777"/>
      <c r="L508" s="534"/>
      <c r="M508" s="945"/>
      <c r="N508" s="945"/>
      <c r="O508" s="944"/>
      <c r="P508" s="944"/>
      <c r="Q508" s="944"/>
      <c r="R508" s="616"/>
      <c r="S508" s="945"/>
      <c r="T508" s="945"/>
      <c r="U508" s="944"/>
      <c r="V508" s="944"/>
      <c r="W508" s="944"/>
      <c r="X508" s="534"/>
      <c r="Y508" s="534"/>
      <c r="Z508" s="534"/>
      <c r="AA508" s="534"/>
      <c r="AB508" s="534"/>
      <c r="AC508" s="534"/>
      <c r="AD508" s="534"/>
      <c r="AE508" s="534"/>
      <c r="AF508" s="534"/>
      <c r="AG508" s="533"/>
      <c r="AH508" s="533"/>
      <c r="AI508" s="533"/>
      <c r="AJ508" s="146"/>
    </row>
    <row r="509" spans="1:36" ht="15.95" customHeight="1" outlineLevel="1" thickBot="1" x14ac:dyDescent="0.4">
      <c r="A509" s="526"/>
      <c r="B509" s="585">
        <v>16</v>
      </c>
      <c r="C509" s="774" t="str">
        <f t="shared" si="5"/>
        <v>Shortbow</v>
      </c>
      <c r="D509" s="775"/>
      <c r="E509" s="776"/>
      <c r="F509" s="583" t="str">
        <f t="shared" si="6"/>
        <v>1</v>
      </c>
      <c r="G509" s="579">
        <f>IFERROR(INDEX(T11_MiscItems!$C$2:$C$2000,MATCH(Character_Creation!C509,T11_MiscItems!$A$2:$A$2000,0),1),0)</f>
        <v>2</v>
      </c>
      <c r="H509" s="579">
        <f>IFERROR(INDEX(T11_MiscItems!$B$2:$B$2000,MATCH(Character_Creation!C509,T11_MiscItems!$A$2:$A$2000,0),1),0)</f>
        <v>1</v>
      </c>
      <c r="I509" s="586">
        <f t="shared" si="7"/>
        <v>2</v>
      </c>
      <c r="J509" s="777"/>
      <c r="K509" s="777"/>
      <c r="L509" s="534"/>
      <c r="M509" s="534"/>
      <c r="N509" s="534"/>
      <c r="O509" s="534"/>
      <c r="P509" s="534"/>
      <c r="Q509" s="534"/>
      <c r="R509" s="534"/>
      <c r="S509" s="534"/>
      <c r="T509" s="534"/>
      <c r="U509" s="534"/>
      <c r="V509" s="534"/>
      <c r="W509" s="534"/>
      <c r="X509" s="534"/>
      <c r="Y509" s="835" t="s">
        <v>3073</v>
      </c>
      <c r="Z509" s="836"/>
      <c r="AA509" s="840">
        <f>SUMIFS(I494:I513,J494:J513,"backpack")+SUMIFS(I494:I513,J494:J513,"character")</f>
        <v>5</v>
      </c>
      <c r="AB509" s="841"/>
      <c r="AC509" s="842"/>
      <c r="AD509" s="534"/>
      <c r="AE509" s="534"/>
      <c r="AF509" s="534"/>
      <c r="AG509" s="533"/>
      <c r="AH509" s="533"/>
      <c r="AI509" s="533"/>
      <c r="AJ509" s="146"/>
    </row>
    <row r="510" spans="1:36" ht="15.95" customHeight="1" outlineLevel="1" thickBot="1" x14ac:dyDescent="0.4">
      <c r="A510" s="526"/>
      <c r="B510" s="585">
        <v>17</v>
      </c>
      <c r="C510" s="774" t="str">
        <f t="shared" si="5"/>
        <v>n/a</v>
      </c>
      <c r="D510" s="775"/>
      <c r="E510" s="776"/>
      <c r="F510" s="583" t="str">
        <f t="shared" si="6"/>
        <v>1</v>
      </c>
      <c r="G510" s="579">
        <f>IFERROR(INDEX(T11_MiscItems!$C$2:$C$2000,MATCH(Character_Creation!C510,T11_MiscItems!$A$2:$A$2000,0),1),0)</f>
        <v>0</v>
      </c>
      <c r="H510" s="579">
        <f>IFERROR(INDEX(T11_MiscItems!$B$2:$B$2000,MATCH(Character_Creation!C510,T11_MiscItems!$A$2:$A$2000,0),1),0)</f>
        <v>0</v>
      </c>
      <c r="I510" s="586">
        <f t="shared" si="7"/>
        <v>0</v>
      </c>
      <c r="J510" s="777"/>
      <c r="K510" s="777"/>
      <c r="L510" s="534"/>
      <c r="M510" s="534"/>
      <c r="N510" s="534"/>
      <c r="O510" s="534"/>
      <c r="P510" s="534"/>
      <c r="Q510" s="534"/>
      <c r="R510" s="534"/>
      <c r="S510" s="534"/>
      <c r="T510" s="534"/>
      <c r="U510" s="534"/>
      <c r="V510" s="534"/>
      <c r="W510" s="534"/>
      <c r="X510" s="534"/>
      <c r="Y510" s="835"/>
      <c r="Z510" s="836"/>
      <c r="AA510" s="840"/>
      <c r="AB510" s="841"/>
      <c r="AC510" s="842"/>
      <c r="AD510" s="534"/>
      <c r="AE510" s="534"/>
      <c r="AF510" s="534"/>
      <c r="AG510" s="533"/>
      <c r="AH510" s="533"/>
      <c r="AI510" s="533"/>
      <c r="AJ510" s="146"/>
    </row>
    <row r="511" spans="1:36" ht="15.95" customHeight="1" outlineLevel="1" thickBot="1" x14ac:dyDescent="0.4">
      <c r="A511" s="526"/>
      <c r="B511" s="585">
        <v>18</v>
      </c>
      <c r="C511" s="774" t="str">
        <f t="shared" si="5"/>
        <v/>
      </c>
      <c r="D511" s="775"/>
      <c r="E511" s="776"/>
      <c r="F511" s="583" t="str">
        <f t="shared" si="6"/>
        <v/>
      </c>
      <c r="G511" s="579">
        <f>IFERROR(INDEX(T11_MiscItems!$C$2:$C$2000,MATCH(Character_Creation!C511,T11_MiscItems!$A$2:$A$2000,0),1),0)</f>
        <v>0</v>
      </c>
      <c r="H511" s="579">
        <f>IFERROR(INDEX(T11_MiscItems!$B$2:$B$2000,MATCH(Character_Creation!C511,T11_MiscItems!$A$2:$A$2000,0),1),0)</f>
        <v>0</v>
      </c>
      <c r="I511" s="586">
        <f t="shared" si="7"/>
        <v>0</v>
      </c>
      <c r="J511" s="777"/>
      <c r="K511" s="777"/>
      <c r="L511" s="534"/>
      <c r="M511" s="769" t="s">
        <v>6601</v>
      </c>
      <c r="N511" s="769"/>
      <c r="O511" s="770"/>
      <c r="P511" s="770"/>
      <c r="Q511" s="770"/>
      <c r="R511" s="534"/>
      <c r="S511" s="534"/>
      <c r="T511" s="534"/>
      <c r="U511" s="534"/>
      <c r="V511" s="534"/>
      <c r="W511" s="534"/>
      <c r="X511" s="534"/>
      <c r="Y511" s="120"/>
      <c r="Z511" s="120"/>
      <c r="AA511" s="120"/>
      <c r="AB511" s="120"/>
      <c r="AC511" s="120"/>
      <c r="AD511" s="534"/>
      <c r="AE511" s="534"/>
      <c r="AF511" s="534"/>
      <c r="AG511" s="533"/>
      <c r="AH511" s="533"/>
      <c r="AI511" s="533"/>
      <c r="AJ511" s="146"/>
    </row>
    <row r="512" spans="1:36" ht="15.95" customHeight="1" outlineLevel="1" thickBot="1" x14ac:dyDescent="0.4">
      <c r="A512" s="526"/>
      <c r="B512" s="585">
        <v>19</v>
      </c>
      <c r="C512" s="774" t="str">
        <f t="shared" si="5"/>
        <v/>
      </c>
      <c r="D512" s="775"/>
      <c r="E512" s="776"/>
      <c r="F512" s="583" t="str">
        <f t="shared" si="6"/>
        <v/>
      </c>
      <c r="G512" s="579">
        <f>IFERROR(INDEX(T11_MiscItems!$C$2:$C$2000,MATCH(Character_Creation!C512,T11_MiscItems!$A$2:$A$2000,0),1),0)</f>
        <v>0</v>
      </c>
      <c r="H512" s="579">
        <f>IFERROR(INDEX(T11_MiscItems!$B$2:$B$2000,MATCH(Character_Creation!C512,T11_MiscItems!$A$2:$A$2000,0),1),0)</f>
        <v>0</v>
      </c>
      <c r="I512" s="586">
        <f t="shared" si="7"/>
        <v>0</v>
      </c>
      <c r="J512" s="777"/>
      <c r="K512" s="777"/>
      <c r="L512" s="534"/>
      <c r="M512" s="769"/>
      <c r="N512" s="769"/>
      <c r="O512" s="770"/>
      <c r="P512" s="770"/>
      <c r="Q512" s="770"/>
      <c r="R512" s="534"/>
      <c r="S512" s="534"/>
      <c r="T512" s="534"/>
      <c r="U512" s="534"/>
      <c r="V512" s="534"/>
      <c r="W512" s="534"/>
      <c r="X512" s="534"/>
      <c r="Y512" s="835" t="s">
        <v>3074</v>
      </c>
      <c r="Z512" s="836"/>
      <c r="AA512" s="840">
        <f>SUMIFS(I494:I513,J494:J513,"character")</f>
        <v>0</v>
      </c>
      <c r="AB512" s="841"/>
      <c r="AC512" s="842"/>
      <c r="AD512" s="534"/>
      <c r="AE512" s="534"/>
      <c r="AF512" s="534"/>
      <c r="AG512" s="533"/>
      <c r="AH512" s="533"/>
      <c r="AI512" s="533"/>
      <c r="AJ512" s="146"/>
    </row>
    <row r="513" spans="1:36" ht="15.95" customHeight="1" outlineLevel="1" thickBot="1" x14ac:dyDescent="0.4">
      <c r="A513" s="526"/>
      <c r="B513" s="585">
        <v>20</v>
      </c>
      <c r="C513" s="774" t="str">
        <f t="shared" si="5"/>
        <v/>
      </c>
      <c r="D513" s="775"/>
      <c r="E513" s="776"/>
      <c r="F513" s="583" t="str">
        <f t="shared" si="6"/>
        <v/>
      </c>
      <c r="G513" s="579">
        <f>IFERROR(INDEX(T11_MiscItems!$C$2:$C$2000,MATCH(Character_Creation!C513,T11_MiscItems!$A$2:$A$2000,0),1),0)</f>
        <v>0</v>
      </c>
      <c r="H513" s="579">
        <f>IFERROR(INDEX(T11_MiscItems!$B$2:$B$2000,MATCH(Character_Creation!C513,T11_MiscItems!$A$2:$A$2000,0),1),0)</f>
        <v>0</v>
      </c>
      <c r="I513" s="586">
        <f t="shared" si="7"/>
        <v>0</v>
      </c>
      <c r="J513" s="777"/>
      <c r="K513" s="777"/>
      <c r="L513" s="534"/>
      <c r="M513" s="769" t="s">
        <v>6602</v>
      </c>
      <c r="N513" s="769"/>
      <c r="O513" s="770"/>
      <c r="P513" s="770"/>
      <c r="Q513" s="770"/>
      <c r="R513" s="534"/>
      <c r="S513" s="534"/>
      <c r="T513" s="534"/>
      <c r="U513" s="534"/>
      <c r="V513" s="534"/>
      <c r="W513" s="534"/>
      <c r="X513" s="534"/>
      <c r="Y513" s="835"/>
      <c r="Z513" s="836"/>
      <c r="AA513" s="840"/>
      <c r="AB513" s="841"/>
      <c r="AC513" s="842"/>
      <c r="AD513" s="534"/>
      <c r="AE513" s="534"/>
      <c r="AF513" s="534"/>
      <c r="AG513" s="533"/>
      <c r="AH513" s="533"/>
      <c r="AI513" s="533"/>
      <c r="AJ513" s="146"/>
    </row>
    <row r="514" spans="1:36" ht="15.95" customHeight="1" outlineLevel="1" thickBot="1" x14ac:dyDescent="0.4">
      <c r="A514" s="526"/>
      <c r="B514" s="585">
        <v>21</v>
      </c>
      <c r="C514" s="774" t="str">
        <f t="shared" si="5"/>
        <v/>
      </c>
      <c r="D514" s="775"/>
      <c r="E514" s="776"/>
      <c r="F514" s="583" t="str">
        <f t="shared" si="6"/>
        <v/>
      </c>
      <c r="G514" s="579">
        <f>IFERROR(INDEX(T11_MiscItems!$C$2:$C$2000,MATCH(Character_Creation!C514,T11_MiscItems!$A$2:$A$2000,0),1),0)</f>
        <v>0</v>
      </c>
      <c r="H514" s="579">
        <f>IFERROR(INDEX(T11_MiscItems!$B$2:$B$2000,MATCH(Character_Creation!C514,T11_MiscItems!$A$2:$A$2000,0),1),0)</f>
        <v>0</v>
      </c>
      <c r="I514" s="586">
        <f t="shared" si="7"/>
        <v>0</v>
      </c>
      <c r="J514" s="777"/>
      <c r="K514" s="777"/>
      <c r="L514" s="534"/>
      <c r="M514" s="769"/>
      <c r="N514" s="769"/>
      <c r="O514" s="770"/>
      <c r="P514" s="770"/>
      <c r="Q514" s="770"/>
      <c r="R514" s="534"/>
      <c r="S514" s="534"/>
      <c r="T514" s="534"/>
      <c r="U514" s="534"/>
      <c r="V514" s="534"/>
      <c r="W514" s="534"/>
      <c r="X514" s="534"/>
      <c r="Y514" s="534"/>
      <c r="Z514" s="534"/>
      <c r="AA514" s="534"/>
      <c r="AB514" s="534"/>
      <c r="AC514" s="534"/>
      <c r="AD514" s="534"/>
      <c r="AE514" s="534"/>
      <c r="AF514" s="534"/>
      <c r="AG514" s="533"/>
      <c r="AH514" s="533"/>
      <c r="AI514" s="533"/>
      <c r="AJ514" s="146"/>
    </row>
    <row r="515" spans="1:36" ht="15.95" customHeight="1" outlineLevel="1" thickBot="1" x14ac:dyDescent="0.4">
      <c r="A515" s="526"/>
      <c r="B515" s="585">
        <v>22</v>
      </c>
      <c r="C515" s="774" t="str">
        <f t="shared" si="5"/>
        <v/>
      </c>
      <c r="D515" s="775"/>
      <c r="E515" s="776"/>
      <c r="F515" s="583" t="str">
        <f t="shared" si="6"/>
        <v/>
      </c>
      <c r="G515" s="579">
        <f>IFERROR(INDEX(T11_MiscItems!$C$2:$C$2000,MATCH(Character_Creation!C515,T11_MiscItems!$A$2:$A$2000,0),1),0)</f>
        <v>0</v>
      </c>
      <c r="H515" s="579">
        <f>IFERROR(INDEX(T11_MiscItems!$B$2:$B$2000,MATCH(Character_Creation!C515,T11_MiscItems!$A$2:$A$2000,0),1),0)</f>
        <v>0</v>
      </c>
      <c r="I515" s="586">
        <f t="shared" si="7"/>
        <v>0</v>
      </c>
      <c r="J515" s="777"/>
      <c r="K515" s="777"/>
      <c r="L515" s="534"/>
      <c r="M515" s="769" t="s">
        <v>6603</v>
      </c>
      <c r="N515" s="769"/>
      <c r="O515" s="770"/>
      <c r="P515" s="770"/>
      <c r="Q515" s="770"/>
      <c r="R515" s="534"/>
      <c r="S515" s="534"/>
      <c r="T515" s="534"/>
      <c r="U515" s="534"/>
      <c r="V515" s="534"/>
      <c r="W515" s="534"/>
      <c r="X515" s="534"/>
      <c r="Y515" s="534"/>
      <c r="Z515" s="534"/>
      <c r="AA515" s="534"/>
      <c r="AB515" s="534"/>
      <c r="AC515" s="534"/>
      <c r="AD515" s="534"/>
      <c r="AE515" s="534"/>
      <c r="AF515" s="534"/>
      <c r="AG515" s="533"/>
      <c r="AH515" s="533"/>
      <c r="AI515" s="533"/>
      <c r="AJ515" s="146"/>
    </row>
    <row r="516" spans="1:36" ht="15.95" customHeight="1" outlineLevel="1" thickBot="1" x14ac:dyDescent="0.4">
      <c r="A516" s="526"/>
      <c r="B516" s="585">
        <v>23</v>
      </c>
      <c r="C516" s="774" t="str">
        <f t="shared" si="5"/>
        <v/>
      </c>
      <c r="D516" s="775"/>
      <c r="E516" s="776"/>
      <c r="F516" s="583" t="str">
        <f t="shared" si="6"/>
        <v/>
      </c>
      <c r="G516" s="579">
        <f>IFERROR(INDEX(T11_MiscItems!$C$2:$C$2000,MATCH(Character_Creation!C516,T11_MiscItems!$A$2:$A$2000,0),1),0)</f>
        <v>0</v>
      </c>
      <c r="H516" s="579">
        <f>IFERROR(INDEX(T11_MiscItems!$B$2:$B$2000,MATCH(Character_Creation!C516,T11_MiscItems!$A$2:$A$2000,0),1),0)</f>
        <v>0</v>
      </c>
      <c r="I516" s="586">
        <f t="shared" si="7"/>
        <v>0</v>
      </c>
      <c r="J516" s="777"/>
      <c r="K516" s="777"/>
      <c r="L516" s="534"/>
      <c r="M516" s="769"/>
      <c r="N516" s="769"/>
      <c r="O516" s="770"/>
      <c r="P516" s="770"/>
      <c r="Q516" s="770"/>
      <c r="R516" s="534"/>
      <c r="S516" s="534"/>
      <c r="T516" s="534"/>
      <c r="U516" s="534"/>
      <c r="V516" s="534"/>
      <c r="W516" s="534"/>
      <c r="X516" s="534"/>
      <c r="Y516" s="534"/>
      <c r="Z516" s="534"/>
      <c r="AA516" s="534"/>
      <c r="AB516" s="534"/>
      <c r="AC516" s="534"/>
      <c r="AD516" s="534"/>
      <c r="AE516" s="534"/>
      <c r="AF516" s="534"/>
      <c r="AG516" s="533"/>
      <c r="AH516" s="533"/>
      <c r="AI516" s="533"/>
      <c r="AJ516" s="146"/>
    </row>
    <row r="517" spans="1:36" ht="15.95" customHeight="1" outlineLevel="1" thickBot="1" x14ac:dyDescent="0.4">
      <c r="A517" s="526"/>
      <c r="B517" s="585">
        <v>24</v>
      </c>
      <c r="C517" s="774" t="str">
        <f t="shared" si="5"/>
        <v/>
      </c>
      <c r="D517" s="775"/>
      <c r="E517" s="776"/>
      <c r="F517" s="583" t="str">
        <f t="shared" si="6"/>
        <v/>
      </c>
      <c r="G517" s="579">
        <f>IFERROR(INDEX(T11_MiscItems!$C$2:$C$2000,MATCH(Character_Creation!C517,T11_MiscItems!$A$2:$A$2000,0),1),0)</f>
        <v>0</v>
      </c>
      <c r="H517" s="579">
        <f>IFERROR(INDEX(T11_MiscItems!$B$2:$B$2000,MATCH(Character_Creation!C517,T11_MiscItems!$A$2:$A$2000,0),1),0)</f>
        <v>0</v>
      </c>
      <c r="I517" s="586">
        <f t="shared" si="7"/>
        <v>0</v>
      </c>
      <c r="J517" s="777"/>
      <c r="K517" s="777"/>
      <c r="L517" s="534"/>
      <c r="M517" s="769" t="s">
        <v>6604</v>
      </c>
      <c r="N517" s="769"/>
      <c r="O517" s="770"/>
      <c r="P517" s="770"/>
      <c r="Q517" s="770"/>
      <c r="R517" s="534"/>
      <c r="S517" s="534"/>
      <c r="T517" s="534"/>
      <c r="U517" s="534"/>
      <c r="V517" s="534"/>
      <c r="W517" s="534"/>
      <c r="X517" s="534"/>
      <c r="Y517" s="534"/>
      <c r="Z517" s="534"/>
      <c r="AA517" s="534"/>
      <c r="AB517" s="534"/>
      <c r="AC517" s="534"/>
      <c r="AD517" s="534"/>
      <c r="AE517" s="534"/>
      <c r="AF517" s="534"/>
      <c r="AG517" s="533"/>
      <c r="AH517" s="533"/>
      <c r="AI517" s="533"/>
      <c r="AJ517" s="146"/>
    </row>
    <row r="518" spans="1:36" ht="15.95" customHeight="1" outlineLevel="1" thickBot="1" x14ac:dyDescent="0.4">
      <c r="A518" s="526"/>
      <c r="B518" s="585">
        <v>25</v>
      </c>
      <c r="C518" s="774" t="str">
        <f t="shared" si="5"/>
        <v/>
      </c>
      <c r="D518" s="775"/>
      <c r="E518" s="776"/>
      <c r="F518" s="583" t="str">
        <f t="shared" si="6"/>
        <v/>
      </c>
      <c r="G518" s="579">
        <f>IFERROR(INDEX(T11_MiscItems!$C$2:$C$2000,MATCH(Character_Creation!C518,T11_MiscItems!$A$2:$A$2000,0),1),0)</f>
        <v>0</v>
      </c>
      <c r="H518" s="579">
        <f>IFERROR(INDEX(T11_MiscItems!$B$2:$B$2000,MATCH(Character_Creation!C518,T11_MiscItems!$A$2:$A$2000,0),1),0)</f>
        <v>0</v>
      </c>
      <c r="I518" s="586">
        <f t="shared" si="7"/>
        <v>0</v>
      </c>
      <c r="J518" s="777"/>
      <c r="K518" s="777"/>
      <c r="L518" s="534"/>
      <c r="M518" s="769"/>
      <c r="N518" s="769"/>
      <c r="O518" s="770"/>
      <c r="P518" s="770"/>
      <c r="Q518" s="770"/>
      <c r="R518" s="534"/>
      <c r="S518" s="534"/>
      <c r="T518" s="534"/>
      <c r="U518" s="534"/>
      <c r="V518" s="534"/>
      <c r="W518" s="534"/>
      <c r="X518" s="534"/>
      <c r="Y518" s="534"/>
      <c r="Z518" s="534"/>
      <c r="AA518" s="534"/>
      <c r="AB518" s="534"/>
      <c r="AC518" s="534"/>
      <c r="AD518" s="534"/>
      <c r="AE518" s="534"/>
      <c r="AF518" s="534"/>
      <c r="AG518" s="533"/>
      <c r="AH518" s="533"/>
      <c r="AI518" s="533"/>
      <c r="AJ518" s="146"/>
    </row>
    <row r="519" spans="1:36" ht="15.95" customHeight="1" outlineLevel="1" thickBot="1" x14ac:dyDescent="0.4">
      <c r="A519" s="526"/>
      <c r="B519" s="585">
        <v>26</v>
      </c>
      <c r="C519" s="774" t="str">
        <f t="shared" si="5"/>
        <v/>
      </c>
      <c r="D519" s="775"/>
      <c r="E519" s="776"/>
      <c r="F519" s="583" t="str">
        <f t="shared" si="6"/>
        <v/>
      </c>
      <c r="G519" s="579">
        <f>IFERROR(INDEX(T11_MiscItems!$C$2:$C$2000,MATCH(Character_Creation!C519,T11_MiscItems!$A$2:$A$2000,0),1),0)</f>
        <v>0</v>
      </c>
      <c r="H519" s="579">
        <f>IFERROR(INDEX(T11_MiscItems!$B$2:$B$2000,MATCH(Character_Creation!C519,T11_MiscItems!$A$2:$A$2000,0),1),0)</f>
        <v>0</v>
      </c>
      <c r="I519" s="586">
        <f t="shared" si="7"/>
        <v>0</v>
      </c>
      <c r="J519" s="777"/>
      <c r="K519" s="777"/>
      <c r="L519" s="534"/>
      <c r="M519" s="534"/>
      <c r="N519" s="534"/>
      <c r="O519" s="534"/>
      <c r="P519" s="534"/>
      <c r="Q519" s="534"/>
      <c r="R519" s="534"/>
      <c r="S519" s="534"/>
      <c r="T519" s="534"/>
      <c r="U519" s="534"/>
      <c r="V519" s="534"/>
      <c r="W519" s="534"/>
      <c r="X519" s="534"/>
      <c r="Y519" s="534"/>
      <c r="Z519" s="534"/>
      <c r="AA519" s="534"/>
      <c r="AB519" s="534"/>
      <c r="AC519" s="534"/>
      <c r="AD519" s="534"/>
      <c r="AE519" s="534"/>
      <c r="AF519" s="534"/>
      <c r="AG519" s="533"/>
      <c r="AH519" s="533"/>
      <c r="AI519" s="533"/>
      <c r="AJ519" s="146"/>
    </row>
    <row r="520" spans="1:36" ht="15.95" customHeight="1" outlineLevel="1" thickBot="1" x14ac:dyDescent="0.4">
      <c r="A520" s="526"/>
      <c r="B520" s="585">
        <v>27</v>
      </c>
      <c r="C520" s="774" t="str">
        <f t="shared" si="5"/>
        <v/>
      </c>
      <c r="D520" s="775"/>
      <c r="E520" s="776"/>
      <c r="F520" s="583" t="str">
        <f t="shared" si="6"/>
        <v/>
      </c>
      <c r="G520" s="579">
        <f>IFERROR(INDEX(T11_MiscItems!$C$2:$C$2000,MATCH(Character_Creation!C520,T11_MiscItems!$A$2:$A$2000,0),1),0)</f>
        <v>0</v>
      </c>
      <c r="H520" s="579">
        <f>IFERROR(INDEX(T11_MiscItems!$B$2:$B$2000,MATCH(Character_Creation!C520,T11_MiscItems!$A$2:$A$2000,0),1),0)</f>
        <v>0</v>
      </c>
      <c r="I520" s="586">
        <f t="shared" si="7"/>
        <v>0</v>
      </c>
      <c r="J520" s="777"/>
      <c r="K520" s="777"/>
      <c r="L520" s="534"/>
      <c r="M520" s="534"/>
      <c r="N520" s="534"/>
      <c r="O520" s="534"/>
      <c r="P520" s="534"/>
      <c r="Q520" s="534"/>
      <c r="R520" s="534"/>
      <c r="S520" s="534"/>
      <c r="T520" s="534"/>
      <c r="U520" s="534"/>
      <c r="V520" s="534"/>
      <c r="W520" s="534"/>
      <c r="X520" s="534"/>
      <c r="Y520" s="534"/>
      <c r="Z520" s="534"/>
      <c r="AA520" s="534"/>
      <c r="AB520" s="534"/>
      <c r="AC520" s="534"/>
      <c r="AD520" s="534"/>
      <c r="AE520" s="534"/>
      <c r="AF520" s="534"/>
      <c r="AG520" s="533"/>
      <c r="AH520" s="533"/>
      <c r="AI520" s="533"/>
      <c r="AJ520" s="146"/>
    </row>
    <row r="521" spans="1:36" ht="15.95" customHeight="1" outlineLevel="1" thickBot="1" x14ac:dyDescent="0.4">
      <c r="A521" s="526"/>
      <c r="B521" s="585">
        <v>28</v>
      </c>
      <c r="C521" s="774" t="str">
        <f t="shared" si="5"/>
        <v/>
      </c>
      <c r="D521" s="775"/>
      <c r="E521" s="776"/>
      <c r="F521" s="583" t="str">
        <f t="shared" si="6"/>
        <v/>
      </c>
      <c r="G521" s="579">
        <f>IFERROR(INDEX(T11_MiscItems!$C$2:$C$2000,MATCH(Character_Creation!C521,T11_MiscItems!$A$2:$A$2000,0),1),0)</f>
        <v>0</v>
      </c>
      <c r="H521" s="579">
        <f>IFERROR(INDEX(T11_MiscItems!$B$2:$B$2000,MATCH(Character_Creation!C521,T11_MiscItems!$A$2:$A$2000,0),1),0)</f>
        <v>0</v>
      </c>
      <c r="I521" s="586">
        <f t="shared" si="7"/>
        <v>0</v>
      </c>
      <c r="J521" s="777"/>
      <c r="K521" s="777"/>
      <c r="L521" s="534"/>
      <c r="M521" s="534"/>
      <c r="N521" s="534"/>
      <c r="O521" s="534"/>
      <c r="P521" s="534"/>
      <c r="Q521" s="534"/>
      <c r="R521" s="534"/>
      <c r="S521" s="534"/>
      <c r="T521" s="534"/>
      <c r="U521" s="534"/>
      <c r="V521" s="534"/>
      <c r="W521" s="534"/>
      <c r="X521" s="534"/>
      <c r="Y521" s="534"/>
      <c r="Z521" s="534"/>
      <c r="AA521" s="534"/>
      <c r="AB521" s="534"/>
      <c r="AC521" s="534"/>
      <c r="AD521" s="534"/>
      <c r="AE521" s="534"/>
      <c r="AF521" s="534"/>
      <c r="AG521" s="533"/>
      <c r="AH521" s="533"/>
      <c r="AI521" s="533"/>
      <c r="AJ521" s="146"/>
    </row>
    <row r="522" spans="1:36" ht="15.95" customHeight="1" outlineLevel="1" thickBot="1" x14ac:dyDescent="0.4">
      <c r="A522" s="526"/>
      <c r="B522" s="585">
        <v>29</v>
      </c>
      <c r="C522" s="774" t="str">
        <f t="shared" si="5"/>
        <v/>
      </c>
      <c r="D522" s="775"/>
      <c r="E522" s="776"/>
      <c r="F522" s="583" t="str">
        <f t="shared" si="6"/>
        <v/>
      </c>
      <c r="G522" s="579">
        <f>IFERROR(INDEX(T11_MiscItems!$C$2:$C$2000,MATCH(Character_Creation!C522,T11_MiscItems!$A$2:$A$2000,0),1),0)</f>
        <v>0</v>
      </c>
      <c r="H522" s="579">
        <f>IFERROR(INDEX(T11_MiscItems!$B$2:$B$2000,MATCH(Character_Creation!C522,T11_MiscItems!$A$2:$A$2000,0),1),0)</f>
        <v>0</v>
      </c>
      <c r="I522" s="586">
        <f t="shared" si="7"/>
        <v>0</v>
      </c>
      <c r="J522" s="777"/>
      <c r="K522" s="777"/>
      <c r="L522" s="534"/>
      <c r="M522" s="534"/>
      <c r="N522" s="534"/>
      <c r="O522" s="534"/>
      <c r="P522" s="534"/>
      <c r="Q522" s="534"/>
      <c r="R522" s="534"/>
      <c r="S522" s="534"/>
      <c r="T522" s="534"/>
      <c r="U522" s="534"/>
      <c r="V522" s="534"/>
      <c r="W522" s="534"/>
      <c r="X522" s="534"/>
      <c r="Y522" s="534"/>
      <c r="Z522" s="534"/>
      <c r="AA522" s="534"/>
      <c r="AB522" s="534"/>
      <c r="AC522" s="534"/>
      <c r="AD522" s="534"/>
      <c r="AE522" s="534"/>
      <c r="AF522" s="534"/>
      <c r="AG522" s="533"/>
      <c r="AH522" s="533"/>
      <c r="AI522" s="533"/>
      <c r="AJ522" s="146"/>
    </row>
    <row r="523" spans="1:36" ht="15.95" customHeight="1" outlineLevel="1" thickBot="1" x14ac:dyDescent="0.4">
      <c r="A523" s="526"/>
      <c r="B523" s="585">
        <v>30</v>
      </c>
      <c r="C523" s="774" t="str">
        <f t="shared" si="5"/>
        <v/>
      </c>
      <c r="D523" s="775"/>
      <c r="E523" s="776"/>
      <c r="F523" s="583" t="str">
        <f t="shared" si="6"/>
        <v/>
      </c>
      <c r="G523" s="579">
        <f>IFERROR(INDEX(T11_MiscItems!$C$2:$C$2000,MATCH(Character_Creation!C523,T11_MiscItems!$A$2:$A$2000,0),1),0)</f>
        <v>0</v>
      </c>
      <c r="H523" s="579">
        <f>IFERROR(INDEX(T11_MiscItems!$B$2:$B$2000,MATCH(Character_Creation!C523,T11_MiscItems!$A$2:$A$2000,0),1),0)</f>
        <v>0</v>
      </c>
      <c r="I523" s="586">
        <f t="shared" si="7"/>
        <v>0</v>
      </c>
      <c r="J523" s="777"/>
      <c r="K523" s="777"/>
      <c r="L523" s="534"/>
      <c r="M523" s="534"/>
      <c r="N523" s="534"/>
      <c r="O523" s="534"/>
      <c r="P523" s="534"/>
      <c r="Q523" s="534"/>
      <c r="R523" s="534"/>
      <c r="S523" s="534"/>
      <c r="T523" s="534"/>
      <c r="U523" s="534"/>
      <c r="V523" s="534"/>
      <c r="W523" s="534"/>
      <c r="X523" s="534"/>
      <c r="Y523" s="534"/>
      <c r="Z523" s="534"/>
      <c r="AA523" s="534"/>
      <c r="AB523" s="534"/>
      <c r="AC523" s="534"/>
      <c r="AD523" s="534"/>
      <c r="AE523" s="534"/>
      <c r="AF523" s="534"/>
      <c r="AG523" s="533"/>
      <c r="AH523" s="533"/>
      <c r="AI523" s="533"/>
      <c r="AJ523" s="146"/>
    </row>
    <row r="524" spans="1:36" ht="15.95" customHeight="1" outlineLevel="1" thickBot="1" x14ac:dyDescent="0.4">
      <c r="A524" s="534"/>
      <c r="B524" s="534"/>
      <c r="C524" s="534"/>
      <c r="D524" s="534"/>
      <c r="E524" s="534"/>
      <c r="F524" s="534"/>
      <c r="G524" s="534"/>
      <c r="H524" s="534"/>
      <c r="I524" s="534"/>
      <c r="J524" s="534"/>
      <c r="K524" s="534"/>
      <c r="L524" s="534"/>
      <c r="M524" s="534"/>
      <c r="N524" s="534"/>
      <c r="O524" s="534"/>
      <c r="P524" s="534"/>
      <c r="Q524" s="534"/>
      <c r="R524" s="534"/>
      <c r="S524" s="534"/>
      <c r="T524" s="534"/>
      <c r="U524" s="534"/>
      <c r="V524" s="534"/>
      <c r="W524" s="534"/>
      <c r="X524" s="534"/>
      <c r="Y524" s="534"/>
      <c r="Z524" s="534"/>
      <c r="AA524" s="534"/>
      <c r="AB524" s="534"/>
      <c r="AC524" s="534"/>
      <c r="AD524" s="534"/>
      <c r="AE524" s="534"/>
      <c r="AF524" s="534"/>
      <c r="AG524" s="533"/>
      <c r="AH524" s="533"/>
      <c r="AI524" s="533"/>
      <c r="AJ524" s="146"/>
    </row>
    <row r="525" spans="1:36" ht="15.95" customHeight="1" outlineLevel="1" thickTop="1" thickBot="1" x14ac:dyDescent="0.4">
      <c r="A525" s="526"/>
      <c r="B525" s="771" t="s">
        <v>6658</v>
      </c>
      <c r="C525" s="772"/>
      <c r="D525" s="772"/>
      <c r="E525" s="773"/>
      <c r="F525" s="534"/>
      <c r="G525" s="534"/>
      <c r="H525" s="534"/>
      <c r="I525" s="534"/>
      <c r="J525" s="534"/>
      <c r="K525" s="534"/>
      <c r="L525" s="534"/>
      <c r="M525" s="534"/>
      <c r="N525" s="534"/>
      <c r="O525" s="534"/>
      <c r="P525" s="534"/>
      <c r="Q525" s="534"/>
      <c r="R525" s="534"/>
      <c r="S525" s="534"/>
      <c r="T525" s="534"/>
      <c r="U525" s="534"/>
      <c r="V525" s="534"/>
      <c r="W525" s="534"/>
      <c r="X525" s="534"/>
      <c r="Y525" s="534"/>
      <c r="Z525" s="534"/>
      <c r="AA525" s="534"/>
      <c r="AB525" s="534"/>
      <c r="AC525" s="534"/>
      <c r="AD525" s="534"/>
      <c r="AE525" s="534"/>
      <c r="AF525" s="534"/>
      <c r="AG525" s="533"/>
      <c r="AH525" s="533"/>
      <c r="AI525" s="533"/>
      <c r="AJ525" s="146"/>
    </row>
    <row r="526" spans="1:36" ht="15.95" customHeight="1" outlineLevel="1" thickTop="1" x14ac:dyDescent="0.35">
      <c r="A526" s="534"/>
      <c r="B526" s="534"/>
      <c r="C526" s="534"/>
      <c r="D526" s="534"/>
      <c r="E526" s="534"/>
      <c r="F526" s="534"/>
      <c r="G526" s="534"/>
      <c r="H526" s="534"/>
      <c r="I526" s="534"/>
      <c r="J526" s="534"/>
      <c r="K526" s="534"/>
      <c r="L526" s="534"/>
      <c r="M526" s="534"/>
      <c r="N526" s="534"/>
      <c r="O526" s="534"/>
      <c r="P526" s="534"/>
      <c r="Q526" s="534"/>
      <c r="R526" s="534"/>
      <c r="S526" s="534"/>
      <c r="T526" s="534"/>
      <c r="U526" s="534"/>
      <c r="V526" s="534"/>
      <c r="W526" s="534"/>
      <c r="X526" s="534"/>
      <c r="Y526" s="534"/>
      <c r="Z526" s="534"/>
      <c r="AA526" s="534"/>
      <c r="AB526" s="534"/>
      <c r="AC526" s="534"/>
      <c r="AD526" s="534"/>
      <c r="AE526" s="534"/>
      <c r="AF526" s="534"/>
      <c r="AG526" s="533"/>
      <c r="AH526" s="533"/>
      <c r="AI526" s="533"/>
      <c r="AJ526" s="146"/>
    </row>
    <row r="527" spans="1:36" ht="15.95" customHeight="1" x14ac:dyDescent="0.35">
      <c r="A527" s="526"/>
      <c r="B527" s="778" t="s">
        <v>7498</v>
      </c>
      <c r="C527" s="778"/>
      <c r="D527" s="778"/>
      <c r="E527" s="778"/>
      <c r="F527" s="778"/>
      <c r="G527" s="778"/>
      <c r="H527" s="778"/>
      <c r="I527" s="778"/>
      <c r="J527" s="778"/>
      <c r="K527" s="778"/>
      <c r="L527" s="778"/>
      <c r="M527" s="778"/>
      <c r="N527" s="778"/>
      <c r="O527" s="778"/>
      <c r="P527" s="778"/>
      <c r="Q527" s="778"/>
      <c r="R527" s="778"/>
      <c r="S527" s="778"/>
      <c r="T527" s="778"/>
      <c r="U527" s="778"/>
      <c r="V527" s="778"/>
      <c r="W527" s="778"/>
      <c r="X527" s="778"/>
      <c r="Y527" s="778"/>
      <c r="Z527" s="778"/>
      <c r="AA527" s="778"/>
      <c r="AB527" s="778"/>
      <c r="AC527" s="778"/>
      <c r="AD527" s="778"/>
      <c r="AE527" s="778"/>
      <c r="AF527" s="534"/>
      <c r="AG527" s="533"/>
      <c r="AH527" s="533"/>
      <c r="AI527" s="533"/>
      <c r="AJ527" s="146"/>
    </row>
    <row r="528" spans="1:36" ht="15.95" customHeight="1" x14ac:dyDescent="0.3">
      <c r="A528" s="526"/>
      <c r="B528" s="778"/>
      <c r="C528" s="778"/>
      <c r="D528" s="778"/>
      <c r="E528" s="778"/>
      <c r="F528" s="778"/>
      <c r="G528" s="778"/>
      <c r="H528" s="778"/>
      <c r="I528" s="778"/>
      <c r="J528" s="778"/>
      <c r="K528" s="778"/>
      <c r="L528" s="778"/>
      <c r="M528" s="778"/>
      <c r="N528" s="778"/>
      <c r="O528" s="778"/>
      <c r="P528" s="778"/>
      <c r="Q528" s="778"/>
      <c r="R528" s="778"/>
      <c r="S528" s="778"/>
      <c r="T528" s="778"/>
      <c r="U528" s="778"/>
      <c r="V528" s="778"/>
      <c r="W528" s="778"/>
      <c r="X528" s="778"/>
      <c r="Y528" s="778"/>
      <c r="Z528" s="778"/>
      <c r="AA528" s="778"/>
      <c r="AB528" s="778"/>
      <c r="AC528" s="778"/>
      <c r="AD528" s="778"/>
      <c r="AE528" s="778"/>
      <c r="AF528" s="527"/>
      <c r="AG528" s="533"/>
      <c r="AH528" s="533"/>
      <c r="AI528" s="533"/>
      <c r="AJ528" s="146"/>
    </row>
    <row r="529" spans="1:36" ht="15.95" customHeight="1" outlineLevel="1" thickBot="1" x14ac:dyDescent="0.4">
      <c r="A529" s="526"/>
      <c r="B529" s="534"/>
      <c r="C529" s="534"/>
      <c r="D529" s="534"/>
      <c r="E529" s="534"/>
      <c r="F529" s="534"/>
      <c r="G529" s="534"/>
      <c r="H529" s="534"/>
      <c r="I529" s="534"/>
      <c r="J529" s="534"/>
      <c r="K529" s="534"/>
      <c r="L529" s="534"/>
      <c r="M529" s="534"/>
      <c r="N529" s="534"/>
      <c r="O529" s="534"/>
      <c r="P529" s="534"/>
      <c r="Q529" s="534"/>
      <c r="R529" s="534"/>
      <c r="S529" s="534"/>
      <c r="T529" s="534"/>
      <c r="U529" s="534"/>
      <c r="V529" s="534"/>
      <c r="W529" s="534"/>
      <c r="X529" s="534"/>
      <c r="Y529" s="534"/>
      <c r="Z529" s="534"/>
      <c r="AA529" s="534"/>
      <c r="AB529" s="534"/>
      <c r="AC529" s="534"/>
      <c r="AD529" s="534"/>
      <c r="AE529" s="534"/>
      <c r="AF529" s="527"/>
      <c r="AG529" s="533"/>
      <c r="AH529" s="533"/>
      <c r="AI529" s="533"/>
      <c r="AJ529" s="146"/>
    </row>
    <row r="530" spans="1:36" ht="15.95" customHeight="1" outlineLevel="1" x14ac:dyDescent="0.35">
      <c r="A530" s="526"/>
      <c r="B530" s="780" t="s">
        <v>6225</v>
      </c>
      <c r="C530" s="780"/>
      <c r="D530" s="779">
        <f>SUM(ClassHitpoints)</f>
        <v>112</v>
      </c>
      <c r="E530" s="781"/>
      <c r="F530" s="779">
        <f>ConMOD*Total_Character_Level</f>
        <v>20</v>
      </c>
      <c r="G530" s="534"/>
      <c r="H530" s="779">
        <f>(DwarvenToughness+FeatTough*2)*Total_Character_Level</f>
        <v>0</v>
      </c>
      <c r="I530" s="534"/>
      <c r="J530" s="752"/>
      <c r="K530" s="534"/>
      <c r="L530" s="782">
        <f>D530+F530+H530+J530</f>
        <v>132</v>
      </c>
      <c r="M530" s="534"/>
      <c r="N530" s="769" t="s">
        <v>89</v>
      </c>
      <c r="O530" s="769"/>
      <c r="P530" s="784"/>
      <c r="Q530" s="784"/>
      <c r="R530" s="784"/>
      <c r="S530" s="534"/>
      <c r="T530" s="534"/>
      <c r="U530" s="534"/>
      <c r="V530" s="534"/>
      <c r="W530" s="534"/>
      <c r="X530" s="534"/>
      <c r="Y530" s="534"/>
      <c r="Z530" s="534"/>
      <c r="AA530" s="534"/>
      <c r="AB530" s="534"/>
      <c r="AC530" s="534"/>
      <c r="AD530" s="534"/>
      <c r="AE530" s="534"/>
      <c r="AF530" s="527"/>
      <c r="AG530" s="533"/>
      <c r="AH530" s="533"/>
      <c r="AI530" s="533"/>
      <c r="AJ530" s="146"/>
    </row>
    <row r="531" spans="1:36" ht="15.95" customHeight="1" outlineLevel="1" thickBot="1" x14ac:dyDescent="0.4">
      <c r="A531" s="526"/>
      <c r="B531" s="780"/>
      <c r="C531" s="780"/>
      <c r="D531" s="779"/>
      <c r="E531" s="781"/>
      <c r="F531" s="779"/>
      <c r="G531" s="534"/>
      <c r="H531" s="779"/>
      <c r="I531" s="534"/>
      <c r="J531" s="752"/>
      <c r="K531" s="534"/>
      <c r="L531" s="783"/>
      <c r="M531" s="534"/>
      <c r="N531" s="769"/>
      <c r="O531" s="769"/>
      <c r="P531" s="784"/>
      <c r="Q531" s="784"/>
      <c r="R531" s="784"/>
      <c r="S531" s="534"/>
      <c r="T531" s="534"/>
      <c r="U531" s="534"/>
      <c r="V531" s="534"/>
      <c r="W531" s="534"/>
      <c r="X531" s="534"/>
      <c r="Y531" s="534"/>
      <c r="Z531" s="534"/>
      <c r="AA531" s="534"/>
      <c r="AB531" s="534"/>
      <c r="AC531" s="534"/>
      <c r="AD531" s="534"/>
      <c r="AE531" s="534"/>
      <c r="AF531" s="527"/>
      <c r="AG531" s="533"/>
      <c r="AH531" s="533"/>
      <c r="AI531" s="533"/>
      <c r="AJ531" s="146"/>
    </row>
    <row r="532" spans="1:36" ht="15.95" customHeight="1" outlineLevel="1" collapsed="1" x14ac:dyDescent="0.35">
      <c r="A532" s="526"/>
      <c r="B532" s="534"/>
      <c r="C532" s="534"/>
      <c r="D532" s="534"/>
      <c r="E532" s="534"/>
      <c r="F532" s="534"/>
      <c r="G532" s="534"/>
      <c r="H532" s="534"/>
      <c r="I532" s="534"/>
      <c r="J532" s="534"/>
      <c r="K532" s="534"/>
      <c r="L532" s="534"/>
      <c r="M532" s="534"/>
      <c r="N532" s="534"/>
      <c r="O532" s="534"/>
      <c r="P532" s="534"/>
      <c r="Q532" s="534"/>
      <c r="R532" s="534"/>
      <c r="S532" s="534"/>
      <c r="T532" s="534"/>
      <c r="U532" s="534"/>
      <c r="V532" s="534"/>
      <c r="W532" s="534"/>
      <c r="X532" s="534"/>
      <c r="Y532" s="534"/>
      <c r="Z532" s="534"/>
      <c r="AA532" s="534"/>
      <c r="AB532" s="534"/>
      <c r="AC532" s="534"/>
      <c r="AD532" s="534"/>
      <c r="AE532" s="534"/>
      <c r="AF532" s="527"/>
      <c r="AG532" s="533"/>
      <c r="AH532" s="533"/>
      <c r="AI532" s="533"/>
      <c r="AJ532" s="146"/>
    </row>
    <row r="533" spans="1:36" ht="15.95" customHeight="1" outlineLevel="1" x14ac:dyDescent="0.35">
      <c r="A533" s="526"/>
      <c r="B533" s="769" t="s">
        <v>89</v>
      </c>
      <c r="C533" s="769"/>
      <c r="D533" s="784"/>
      <c r="E533" s="784"/>
      <c r="F533" s="784"/>
      <c r="G533" s="527"/>
      <c r="H533" s="527"/>
      <c r="I533" s="534"/>
      <c r="J533" s="534"/>
      <c r="K533" s="534"/>
      <c r="L533" s="534"/>
      <c r="M533" s="534"/>
      <c r="N533" s="534"/>
      <c r="O533" s="534"/>
      <c r="P533" s="534"/>
      <c r="Q533" s="534"/>
      <c r="R533" s="534"/>
      <c r="S533" s="534"/>
      <c r="T533" s="534"/>
      <c r="U533" s="534"/>
      <c r="V533" s="534"/>
      <c r="W533" s="534"/>
      <c r="X533" s="534"/>
      <c r="Y533" s="534"/>
      <c r="Z533" s="534"/>
      <c r="AA533" s="534"/>
      <c r="AB533" s="534"/>
      <c r="AC533" s="534"/>
      <c r="AD533" s="534"/>
      <c r="AE533" s="534"/>
      <c r="AF533" s="527"/>
      <c r="AG533" s="533"/>
      <c r="AH533" s="533"/>
      <c r="AI533" s="533"/>
      <c r="AJ533" s="146"/>
    </row>
    <row r="534" spans="1:36" ht="15.95" customHeight="1" outlineLevel="1" x14ac:dyDescent="0.35">
      <c r="A534" s="526"/>
      <c r="B534" s="769"/>
      <c r="C534" s="769"/>
      <c r="D534" s="784"/>
      <c r="E534" s="784"/>
      <c r="F534" s="784"/>
      <c r="G534" s="527"/>
      <c r="H534" s="527"/>
      <c r="I534" s="527"/>
      <c r="J534" s="527"/>
      <c r="K534" s="527"/>
      <c r="L534" s="527"/>
      <c r="M534" s="527"/>
      <c r="N534" s="527"/>
      <c r="O534" s="527"/>
      <c r="P534" s="527"/>
      <c r="Q534" s="527"/>
      <c r="R534" s="527"/>
      <c r="S534" s="527"/>
      <c r="T534" s="527"/>
      <c r="U534" s="527"/>
      <c r="V534" s="534"/>
      <c r="W534" s="534"/>
      <c r="X534" s="534"/>
      <c r="Y534" s="534"/>
      <c r="Z534" s="534"/>
      <c r="AA534" s="534"/>
      <c r="AB534" s="534"/>
      <c r="AC534" s="534"/>
      <c r="AD534" s="534"/>
      <c r="AE534" s="534"/>
      <c r="AF534" s="527"/>
      <c r="AG534" s="533"/>
      <c r="AH534" s="533"/>
      <c r="AI534" s="533"/>
      <c r="AJ534" s="146"/>
    </row>
    <row r="535" spans="1:36" ht="15.95" customHeight="1" outlineLevel="1" x14ac:dyDescent="0.35">
      <c r="A535" s="526"/>
      <c r="B535" s="527"/>
      <c r="C535" s="527"/>
      <c r="D535" s="527"/>
      <c r="E535" s="527"/>
      <c r="F535" s="527"/>
      <c r="G535" s="527"/>
      <c r="H535" s="527"/>
      <c r="I535" s="527"/>
      <c r="J535" s="527"/>
      <c r="K535" s="527"/>
      <c r="L535" s="527"/>
      <c r="M535" s="527"/>
      <c r="N535" s="527"/>
      <c r="O535" s="527"/>
      <c r="P535" s="527"/>
      <c r="Q535" s="527"/>
      <c r="R535" s="527"/>
      <c r="S535" s="527"/>
      <c r="T535" s="527"/>
      <c r="U535" s="527"/>
      <c r="V535" s="534"/>
      <c r="W535" s="534"/>
      <c r="X535" s="534"/>
      <c r="Y535" s="534"/>
      <c r="Z535" s="534"/>
      <c r="AA535" s="534"/>
      <c r="AB535" s="534"/>
      <c r="AC535" s="534"/>
      <c r="AD535" s="534"/>
      <c r="AE535" s="534"/>
      <c r="AF535" s="527"/>
      <c r="AG535" s="533"/>
      <c r="AH535" s="533"/>
      <c r="AI535" s="533"/>
      <c r="AJ535" s="146"/>
    </row>
    <row r="536" spans="1:36" ht="15.95" customHeight="1" outlineLevel="1" x14ac:dyDescent="0.35">
      <c r="A536" s="526"/>
      <c r="B536" s="527"/>
      <c r="C536" s="527"/>
      <c r="D536" s="527"/>
      <c r="E536" s="527"/>
      <c r="F536" s="527"/>
      <c r="G536" s="527"/>
      <c r="H536" s="527"/>
      <c r="I536" s="527"/>
      <c r="J536" s="527"/>
      <c r="K536" s="527"/>
      <c r="L536" s="527"/>
      <c r="M536" s="527"/>
      <c r="N536" s="527"/>
      <c r="O536" s="527"/>
      <c r="P536" s="527"/>
      <c r="Q536" s="527"/>
      <c r="R536" s="527"/>
      <c r="S536" s="527"/>
      <c r="T536" s="527"/>
      <c r="U536" s="527"/>
      <c r="V536" s="534"/>
      <c r="W536" s="534"/>
      <c r="X536" s="534"/>
      <c r="Y536" s="534"/>
      <c r="Z536" s="534"/>
      <c r="AA536" s="534"/>
      <c r="AB536" s="534"/>
      <c r="AC536" s="534"/>
      <c r="AD536" s="534"/>
      <c r="AE536" s="534"/>
      <c r="AF536" s="527"/>
      <c r="AG536" s="533"/>
      <c r="AH536" s="533"/>
      <c r="AI536" s="533"/>
      <c r="AJ536" s="146"/>
    </row>
    <row r="537" spans="1:36" ht="15.95" customHeight="1" outlineLevel="1" x14ac:dyDescent="0.35">
      <c r="A537" s="526"/>
      <c r="B537" s="769" t="s">
        <v>6598</v>
      </c>
      <c r="C537" s="769"/>
      <c r="D537" s="784" t="s">
        <v>127</v>
      </c>
      <c r="E537" s="784"/>
      <c r="F537" s="784"/>
      <c r="G537" s="527"/>
      <c r="H537" s="527"/>
      <c r="I537" s="527"/>
      <c r="J537" s="527"/>
      <c r="K537" s="527"/>
      <c r="L537" s="527"/>
      <c r="M537" s="527"/>
      <c r="N537" s="527"/>
      <c r="O537" s="527"/>
      <c r="P537" s="527"/>
      <c r="Q537" s="527"/>
      <c r="R537" s="527"/>
      <c r="S537" s="527"/>
      <c r="T537" s="527"/>
      <c r="U537" s="527"/>
      <c r="V537" s="534"/>
      <c r="W537" s="534"/>
      <c r="X537" s="534"/>
      <c r="Y537" s="534"/>
      <c r="Z537" s="534"/>
      <c r="AA537" s="534"/>
      <c r="AB537" s="534"/>
      <c r="AC537" s="534"/>
      <c r="AD537" s="534"/>
      <c r="AE537" s="534"/>
      <c r="AF537" s="527"/>
      <c r="AG537" s="533"/>
      <c r="AH537" s="533"/>
      <c r="AI537" s="533"/>
      <c r="AJ537" s="146"/>
    </row>
    <row r="538" spans="1:36" ht="15.95" customHeight="1" outlineLevel="1" x14ac:dyDescent="0.35">
      <c r="A538" s="526"/>
      <c r="B538" s="769" t="s">
        <v>6599</v>
      </c>
      <c r="C538" s="769"/>
      <c r="D538" s="784" t="s">
        <v>3034</v>
      </c>
      <c r="E538" s="784"/>
      <c r="F538" s="784"/>
      <c r="G538" s="527"/>
      <c r="H538" s="527"/>
      <c r="I538" s="527"/>
      <c r="J538" s="527"/>
      <c r="K538" s="527"/>
      <c r="L538" s="527"/>
      <c r="M538" s="527"/>
      <c r="N538" s="527"/>
      <c r="O538" s="527"/>
      <c r="P538" s="527"/>
      <c r="Q538" s="527"/>
      <c r="R538" s="527"/>
      <c r="S538" s="527"/>
      <c r="T538" s="527"/>
      <c r="U538" s="527"/>
      <c r="V538" s="534"/>
      <c r="W538" s="534"/>
      <c r="X538" s="534"/>
      <c r="Y538" s="534"/>
      <c r="Z538" s="534"/>
      <c r="AA538" s="534"/>
      <c r="AB538" s="534"/>
      <c r="AC538" s="534"/>
      <c r="AD538" s="534"/>
      <c r="AE538" s="534"/>
      <c r="AF538" s="527"/>
      <c r="AG538" s="533"/>
      <c r="AH538" s="533"/>
      <c r="AI538" s="533"/>
      <c r="AJ538" s="146"/>
    </row>
    <row r="539" spans="1:36" ht="15.95" customHeight="1" outlineLevel="1" x14ac:dyDescent="0.35">
      <c r="A539" s="526"/>
      <c r="B539" s="527"/>
      <c r="C539" s="527"/>
      <c r="D539" s="527"/>
      <c r="E539" s="527"/>
      <c r="F539" s="527"/>
      <c r="G539" s="527"/>
      <c r="H539" s="527"/>
      <c r="I539" s="527"/>
      <c r="J539" s="527"/>
      <c r="K539" s="527"/>
      <c r="L539" s="527"/>
      <c r="M539" s="527"/>
      <c r="N539" s="527"/>
      <c r="O539" s="527"/>
      <c r="P539" s="527"/>
      <c r="Q539" s="527"/>
      <c r="R539" s="527"/>
      <c r="S539" s="527"/>
      <c r="T539" s="527"/>
      <c r="U539" s="527"/>
      <c r="V539" s="534"/>
      <c r="W539" s="534"/>
      <c r="X539" s="534"/>
      <c r="Y539" s="534"/>
      <c r="Z539" s="534"/>
      <c r="AA539" s="534"/>
      <c r="AB539" s="534"/>
      <c r="AC539" s="534"/>
      <c r="AD539" s="534"/>
      <c r="AE539" s="534"/>
      <c r="AF539" s="527"/>
      <c r="AG539" s="533"/>
      <c r="AH539" s="533"/>
      <c r="AI539" s="533"/>
      <c r="AJ539" s="146"/>
    </row>
    <row r="540" spans="1:36" ht="15.95" customHeight="1" outlineLevel="1" x14ac:dyDescent="0.35">
      <c r="A540" s="526"/>
      <c r="B540" s="769" t="s">
        <v>6598</v>
      </c>
      <c r="C540" s="769"/>
      <c r="D540" s="784" t="s">
        <v>156</v>
      </c>
      <c r="E540" s="784"/>
      <c r="F540" s="784"/>
      <c r="G540" s="527"/>
      <c r="H540" s="527"/>
      <c r="I540" s="527"/>
      <c r="J540" s="527"/>
      <c r="K540" s="527"/>
      <c r="L540" s="527"/>
      <c r="M540" s="527"/>
      <c r="N540" s="527"/>
      <c r="O540" s="527"/>
      <c r="P540" s="527"/>
      <c r="Q540" s="527"/>
      <c r="R540" s="527"/>
      <c r="S540" s="527"/>
      <c r="T540" s="527"/>
      <c r="U540" s="527"/>
      <c r="V540" s="534"/>
      <c r="W540" s="534"/>
      <c r="X540" s="534"/>
      <c r="Y540" s="534"/>
      <c r="Z540" s="534"/>
      <c r="AA540" s="534"/>
      <c r="AB540" s="534"/>
      <c r="AC540" s="534"/>
      <c r="AD540" s="534"/>
      <c r="AE540" s="534"/>
      <c r="AF540" s="527"/>
      <c r="AG540" s="533"/>
      <c r="AH540" s="533"/>
      <c r="AI540" s="533"/>
      <c r="AJ540" s="146"/>
    </row>
    <row r="541" spans="1:36" ht="15.95" customHeight="1" outlineLevel="1" x14ac:dyDescent="0.35">
      <c r="A541" s="526"/>
      <c r="B541" s="769" t="s">
        <v>6599</v>
      </c>
      <c r="C541" s="769"/>
      <c r="D541" s="768" t="s">
        <v>116</v>
      </c>
      <c r="E541" s="768"/>
      <c r="F541" s="768"/>
      <c r="G541" s="527"/>
      <c r="H541" s="527"/>
      <c r="I541" s="527"/>
      <c r="J541" s="527"/>
      <c r="K541" s="527"/>
      <c r="L541" s="527"/>
      <c r="M541" s="527"/>
      <c r="N541" s="527"/>
      <c r="O541" s="527"/>
      <c r="P541" s="527"/>
      <c r="Q541" s="527"/>
      <c r="R541" s="527"/>
      <c r="S541" s="527"/>
      <c r="T541" s="527"/>
      <c r="U541" s="527"/>
      <c r="V541" s="534"/>
      <c r="W541" s="534"/>
      <c r="X541" s="534"/>
      <c r="Y541" s="534"/>
      <c r="Z541" s="534"/>
      <c r="AA541" s="534"/>
      <c r="AB541" s="534"/>
      <c r="AC541" s="534"/>
      <c r="AD541" s="534"/>
      <c r="AE541" s="534"/>
      <c r="AF541" s="527"/>
      <c r="AG541" s="533"/>
      <c r="AH541" s="533"/>
      <c r="AI541" s="533"/>
      <c r="AJ541" s="146"/>
    </row>
    <row r="542" spans="1:36" ht="15.95" customHeight="1" outlineLevel="1" x14ac:dyDescent="0.35">
      <c r="A542" s="526"/>
      <c r="B542" s="527"/>
      <c r="C542" s="527"/>
      <c r="D542" s="527"/>
      <c r="E542" s="527"/>
      <c r="F542" s="527"/>
      <c r="G542" s="527"/>
      <c r="H542" s="527"/>
      <c r="I542" s="527"/>
      <c r="J542" s="527"/>
      <c r="K542" s="527"/>
      <c r="L542" s="527"/>
      <c r="M542" s="527"/>
      <c r="N542" s="527"/>
      <c r="O542" s="527"/>
      <c r="P542" s="527"/>
      <c r="Q542" s="527"/>
      <c r="R542" s="527"/>
      <c r="S542" s="527"/>
      <c r="T542" s="527"/>
      <c r="U542" s="527"/>
      <c r="V542" s="534"/>
      <c r="W542" s="534"/>
      <c r="X542" s="534"/>
      <c r="Y542" s="534"/>
      <c r="Z542" s="534"/>
      <c r="AA542" s="534"/>
      <c r="AB542" s="534"/>
      <c r="AC542" s="534"/>
      <c r="AD542" s="534"/>
      <c r="AE542" s="534"/>
      <c r="AF542" s="527"/>
      <c r="AG542" s="533"/>
      <c r="AH542" s="533"/>
      <c r="AI542" s="533"/>
      <c r="AJ542" s="146"/>
    </row>
    <row r="543" spans="1:36" ht="15.95" customHeight="1" outlineLevel="1" x14ac:dyDescent="0.35">
      <c r="A543" s="526"/>
      <c r="B543" s="769" t="s">
        <v>6598</v>
      </c>
      <c r="C543" s="769"/>
      <c r="D543" s="768"/>
      <c r="E543" s="768"/>
      <c r="F543" s="768"/>
      <c r="G543" s="527"/>
      <c r="H543" s="527"/>
      <c r="I543" s="527"/>
      <c r="J543" s="527"/>
      <c r="K543" s="527"/>
      <c r="L543" s="527"/>
      <c r="M543" s="527"/>
      <c r="N543" s="527"/>
      <c r="O543" s="527"/>
      <c r="P543" s="527"/>
      <c r="Q543" s="527"/>
      <c r="R543" s="527"/>
      <c r="S543" s="527"/>
      <c r="T543" s="527"/>
      <c r="U543" s="527"/>
      <c r="V543" s="534"/>
      <c r="W543" s="534"/>
      <c r="X543" s="534"/>
      <c r="Y543" s="534"/>
      <c r="Z543" s="534"/>
      <c r="AA543" s="534"/>
      <c r="AB543" s="534"/>
      <c r="AC543" s="534"/>
      <c r="AD543" s="534"/>
      <c r="AE543" s="534"/>
      <c r="AF543" s="527"/>
      <c r="AG543" s="533"/>
      <c r="AH543" s="533"/>
      <c r="AI543" s="533"/>
      <c r="AJ543" s="146"/>
    </row>
    <row r="544" spans="1:36" ht="15.95" customHeight="1" outlineLevel="1" x14ac:dyDescent="0.35">
      <c r="A544" s="526"/>
      <c r="B544" s="769" t="s">
        <v>6599</v>
      </c>
      <c r="C544" s="769"/>
      <c r="D544" s="768"/>
      <c r="E544" s="768"/>
      <c r="F544" s="768"/>
      <c r="G544" s="527"/>
      <c r="H544" s="527"/>
      <c r="I544" s="527"/>
      <c r="J544" s="527"/>
      <c r="K544" s="527"/>
      <c r="L544" s="527"/>
      <c r="M544" s="527"/>
      <c r="N544" s="527"/>
      <c r="O544" s="527"/>
      <c r="P544" s="527"/>
      <c r="Q544" s="527"/>
      <c r="R544" s="527"/>
      <c r="S544" s="527"/>
      <c r="T544" s="527"/>
      <c r="U544" s="527"/>
      <c r="V544" s="534"/>
      <c r="W544" s="534"/>
      <c r="X544" s="534"/>
      <c r="Y544" s="534"/>
      <c r="Z544" s="534"/>
      <c r="AA544" s="534"/>
      <c r="AB544" s="534"/>
      <c r="AC544" s="534"/>
      <c r="AD544" s="534"/>
      <c r="AE544" s="534"/>
      <c r="AF544" s="527"/>
      <c r="AG544" s="533"/>
      <c r="AH544" s="533"/>
      <c r="AI544" s="533"/>
      <c r="AJ544" s="146"/>
    </row>
    <row r="545" spans="1:36" ht="15.95" customHeight="1" outlineLevel="1" x14ac:dyDescent="0.35">
      <c r="A545" s="526"/>
      <c r="B545" s="527"/>
      <c r="C545" s="527"/>
      <c r="D545" s="527"/>
      <c r="E545" s="527"/>
      <c r="F545" s="527"/>
      <c r="G545" s="527"/>
      <c r="H545" s="527"/>
      <c r="I545" s="527"/>
      <c r="J545" s="527"/>
      <c r="K545" s="527"/>
      <c r="L545" s="527"/>
      <c r="M545" s="527"/>
      <c r="N545" s="527"/>
      <c r="O545" s="527"/>
      <c r="P545" s="527"/>
      <c r="Q545" s="527"/>
      <c r="R545" s="527"/>
      <c r="S545" s="527"/>
      <c r="T545" s="527"/>
      <c r="U545" s="527"/>
      <c r="V545" s="534"/>
      <c r="W545" s="534"/>
      <c r="X545" s="534"/>
      <c r="Y545" s="534"/>
      <c r="Z545" s="534"/>
      <c r="AA545" s="534"/>
      <c r="AB545" s="534"/>
      <c r="AC545" s="534"/>
      <c r="AD545" s="534"/>
      <c r="AE545" s="534"/>
      <c r="AF545" s="527"/>
      <c r="AG545" s="533"/>
      <c r="AH545" s="533"/>
      <c r="AI545" s="533"/>
      <c r="AJ545" s="146"/>
    </row>
    <row r="546" spans="1:36" ht="15.95" customHeight="1" outlineLevel="1" x14ac:dyDescent="0.35">
      <c r="A546" s="526"/>
      <c r="B546" s="769" t="s">
        <v>6598</v>
      </c>
      <c r="C546" s="769"/>
      <c r="D546" s="768"/>
      <c r="E546" s="768"/>
      <c r="F546" s="768"/>
      <c r="G546" s="527"/>
      <c r="H546" s="527"/>
      <c r="I546" s="527"/>
      <c r="J546" s="527"/>
      <c r="K546" s="527"/>
      <c r="L546" s="527"/>
      <c r="M546" s="527"/>
      <c r="N546" s="527"/>
      <c r="O546" s="527"/>
      <c r="P546" s="527"/>
      <c r="Q546" s="527"/>
      <c r="R546" s="527"/>
      <c r="S546" s="527"/>
      <c r="T546" s="527"/>
      <c r="U546" s="527"/>
      <c r="V546" s="534"/>
      <c r="W546" s="534"/>
      <c r="X546" s="534"/>
      <c r="Y546" s="534"/>
      <c r="Z546" s="534"/>
      <c r="AA546" s="534"/>
      <c r="AB546" s="534"/>
      <c r="AC546" s="534"/>
      <c r="AD546" s="534"/>
      <c r="AE546" s="534"/>
      <c r="AF546" s="527"/>
      <c r="AG546" s="533"/>
      <c r="AH546" s="533"/>
      <c r="AI546" s="533"/>
      <c r="AJ546" s="146"/>
    </row>
    <row r="547" spans="1:36" ht="15.95" customHeight="1" outlineLevel="1" x14ac:dyDescent="0.35">
      <c r="A547" s="526"/>
      <c r="B547" s="769" t="s">
        <v>6599</v>
      </c>
      <c r="C547" s="769"/>
      <c r="D547" s="768"/>
      <c r="E547" s="768"/>
      <c r="F547" s="768"/>
      <c r="G547" s="527"/>
      <c r="H547" s="527"/>
      <c r="I547" s="527"/>
      <c r="J547" s="527"/>
      <c r="K547" s="527"/>
      <c r="L547" s="527"/>
      <c r="M547" s="527"/>
      <c r="N547" s="527"/>
      <c r="O547" s="527"/>
      <c r="P547" s="527"/>
      <c r="Q547" s="527"/>
      <c r="R547" s="527"/>
      <c r="S547" s="527"/>
      <c r="T547" s="527"/>
      <c r="U547" s="527"/>
      <c r="V547" s="534"/>
      <c r="W547" s="534"/>
      <c r="X547" s="534"/>
      <c r="Y547" s="534"/>
      <c r="Z547" s="534"/>
      <c r="AA547" s="534"/>
      <c r="AB547" s="534"/>
      <c r="AC547" s="534"/>
      <c r="AD547" s="534"/>
      <c r="AE547" s="534"/>
      <c r="AF547" s="527"/>
      <c r="AG547" s="533"/>
      <c r="AH547" s="533"/>
      <c r="AI547" s="533"/>
      <c r="AJ547" s="146"/>
    </row>
    <row r="548" spans="1:36" ht="15.95" customHeight="1" outlineLevel="1" x14ac:dyDescent="0.35">
      <c r="A548" s="526"/>
      <c r="B548" s="527"/>
      <c r="C548" s="527"/>
      <c r="D548" s="527"/>
      <c r="E548" s="527"/>
      <c r="F548" s="527"/>
      <c r="G548" s="527"/>
      <c r="H548" s="527"/>
      <c r="I548" s="527"/>
      <c r="J548" s="527"/>
      <c r="K548" s="527"/>
      <c r="L548" s="527"/>
      <c r="M548" s="527"/>
      <c r="N548" s="527"/>
      <c r="O548" s="527"/>
      <c r="P548" s="527"/>
      <c r="Q548" s="527"/>
      <c r="R548" s="527"/>
      <c r="S548" s="527"/>
      <c r="T548" s="527"/>
      <c r="U548" s="527"/>
      <c r="V548" s="534"/>
      <c r="W548" s="534"/>
      <c r="X548" s="534"/>
      <c r="Y548" s="534"/>
      <c r="Z548" s="534"/>
      <c r="AA548" s="534"/>
      <c r="AB548" s="534"/>
      <c r="AC548" s="534"/>
      <c r="AD548" s="534"/>
      <c r="AE548" s="534"/>
      <c r="AF548" s="527"/>
      <c r="AG548" s="533"/>
      <c r="AH548" s="533"/>
      <c r="AI548" s="533"/>
      <c r="AJ548" s="146"/>
    </row>
    <row r="549" spans="1:36" ht="15.95" customHeight="1" outlineLevel="1" x14ac:dyDescent="0.35">
      <c r="A549" s="526"/>
      <c r="B549" s="769" t="s">
        <v>6598</v>
      </c>
      <c r="C549" s="769"/>
      <c r="D549" s="768"/>
      <c r="E549" s="768"/>
      <c r="F549" s="768"/>
      <c r="G549" s="527"/>
      <c r="H549" s="527"/>
      <c r="I549" s="527"/>
      <c r="J549" s="527"/>
      <c r="K549" s="527"/>
      <c r="L549" s="527"/>
      <c r="M549" s="527"/>
      <c r="N549" s="527"/>
      <c r="O549" s="527"/>
      <c r="P549" s="527"/>
      <c r="Q549" s="527"/>
      <c r="R549" s="527"/>
      <c r="S549" s="527"/>
      <c r="T549" s="527"/>
      <c r="U549" s="527"/>
      <c r="V549" s="534"/>
      <c r="W549" s="534"/>
      <c r="X549" s="534"/>
      <c r="Y549" s="534"/>
      <c r="Z549" s="534"/>
      <c r="AA549" s="534"/>
      <c r="AB549" s="534"/>
      <c r="AC549" s="534"/>
      <c r="AD549" s="534"/>
      <c r="AE549" s="534"/>
      <c r="AF549" s="527"/>
      <c r="AG549" s="533"/>
      <c r="AH549" s="533"/>
      <c r="AI549" s="533"/>
      <c r="AJ549" s="146"/>
    </row>
    <row r="550" spans="1:36" ht="15.95" customHeight="1" outlineLevel="1" x14ac:dyDescent="0.35">
      <c r="A550" s="526"/>
      <c r="B550" s="769" t="s">
        <v>6599</v>
      </c>
      <c r="C550" s="769"/>
      <c r="D550" s="768"/>
      <c r="E550" s="768"/>
      <c r="F550" s="768"/>
      <c r="G550" s="527"/>
      <c r="H550" s="527"/>
      <c r="I550" s="527"/>
      <c r="J550" s="527"/>
      <c r="K550" s="527"/>
      <c r="L550" s="527"/>
      <c r="M550" s="527"/>
      <c r="N550" s="527"/>
      <c r="O550" s="527"/>
      <c r="P550" s="527"/>
      <c r="Q550" s="527"/>
      <c r="R550" s="527"/>
      <c r="S550" s="527"/>
      <c r="T550" s="527"/>
      <c r="U550" s="527"/>
      <c r="V550" s="534"/>
      <c r="W550" s="534"/>
      <c r="X550" s="534"/>
      <c r="Y550" s="534"/>
      <c r="Z550" s="534"/>
      <c r="AA550" s="534"/>
      <c r="AB550" s="534"/>
      <c r="AC550" s="534"/>
      <c r="AD550" s="534"/>
      <c r="AE550" s="534"/>
      <c r="AF550" s="527"/>
      <c r="AG550" s="533"/>
      <c r="AH550" s="533"/>
      <c r="AI550" s="533"/>
      <c r="AJ550" s="146"/>
    </row>
    <row r="551" spans="1:36" ht="15.95" customHeight="1" outlineLevel="1" x14ac:dyDescent="0.35">
      <c r="A551" s="526"/>
      <c r="B551" s="527"/>
      <c r="C551" s="527"/>
      <c r="D551" s="527"/>
      <c r="E551" s="527"/>
      <c r="F551" s="527"/>
      <c r="G551" s="527"/>
      <c r="H551" s="527"/>
      <c r="I551" s="527"/>
      <c r="J551" s="527"/>
      <c r="K551" s="527"/>
      <c r="L551" s="527"/>
      <c r="M551" s="527"/>
      <c r="N551" s="527"/>
      <c r="O551" s="527"/>
      <c r="P551" s="527"/>
      <c r="Q551" s="527"/>
      <c r="R551" s="527"/>
      <c r="S551" s="527"/>
      <c r="T551" s="527"/>
      <c r="U551" s="527"/>
      <c r="V551" s="534"/>
      <c r="W551" s="534"/>
      <c r="X551" s="534"/>
      <c r="Y551" s="534"/>
      <c r="Z551" s="534"/>
      <c r="AA551" s="534"/>
      <c r="AB551" s="534"/>
      <c r="AC551" s="534"/>
      <c r="AD551" s="534"/>
      <c r="AE551" s="534"/>
      <c r="AF551" s="527"/>
      <c r="AG551" s="533"/>
      <c r="AH551" s="533"/>
      <c r="AI551" s="533"/>
      <c r="AJ551" s="146"/>
    </row>
    <row r="552" spans="1:36" ht="15.95" customHeight="1" outlineLevel="1" x14ac:dyDescent="0.35">
      <c r="A552" s="526"/>
      <c r="B552" s="769" t="s">
        <v>6598</v>
      </c>
      <c r="C552" s="769"/>
      <c r="D552" s="770"/>
      <c r="E552" s="770"/>
      <c r="F552" s="770"/>
      <c r="G552" s="527"/>
      <c r="H552" s="527"/>
      <c r="I552" s="527"/>
      <c r="J552" s="527"/>
      <c r="K552" s="527"/>
      <c r="L552" s="527"/>
      <c r="M552" s="527"/>
      <c r="N552" s="527"/>
      <c r="O552" s="527"/>
      <c r="P552" s="527"/>
      <c r="Q552" s="527"/>
      <c r="R552" s="527"/>
      <c r="S552" s="527"/>
      <c r="T552" s="527"/>
      <c r="U552" s="527"/>
      <c r="V552" s="534"/>
      <c r="W552" s="534"/>
      <c r="X552" s="534"/>
      <c r="Y552" s="534"/>
      <c r="Z552" s="534"/>
      <c r="AA552" s="534"/>
      <c r="AB552" s="534"/>
      <c r="AC552" s="534"/>
      <c r="AD552" s="534"/>
      <c r="AE552" s="534"/>
      <c r="AF552" s="527"/>
      <c r="AG552" s="533"/>
      <c r="AH552" s="533"/>
      <c r="AI552" s="533"/>
      <c r="AJ552" s="146"/>
    </row>
    <row r="553" spans="1:36" ht="15.95" customHeight="1" outlineLevel="1" x14ac:dyDescent="0.35">
      <c r="A553" s="526"/>
      <c r="B553" s="769" t="s">
        <v>6599</v>
      </c>
      <c r="C553" s="769"/>
      <c r="D553" s="770"/>
      <c r="E553" s="770"/>
      <c r="F553" s="770"/>
      <c r="G553" s="527"/>
      <c r="H553" s="527"/>
      <c r="I553" s="527"/>
      <c r="J553" s="527"/>
      <c r="K553" s="527"/>
      <c r="L553" s="527"/>
      <c r="M553" s="527"/>
      <c r="N553" s="527"/>
      <c r="O553" s="527"/>
      <c r="P553" s="527"/>
      <c r="Q553" s="527"/>
      <c r="R553" s="527"/>
      <c r="S553" s="527"/>
      <c r="T553" s="527"/>
      <c r="U553" s="527"/>
      <c r="V553" s="534"/>
      <c r="W553" s="534"/>
      <c r="X553" s="534"/>
      <c r="Y553" s="534"/>
      <c r="Z553" s="534"/>
      <c r="AA553" s="534"/>
      <c r="AB553" s="534"/>
      <c r="AC553" s="534"/>
      <c r="AD553" s="534"/>
      <c r="AE553" s="534"/>
      <c r="AF553" s="527"/>
      <c r="AG553" s="533"/>
      <c r="AH553" s="533"/>
      <c r="AI553" s="533"/>
      <c r="AJ553" s="146"/>
    </row>
    <row r="554" spans="1:36" ht="15.95" customHeight="1" outlineLevel="1" x14ac:dyDescent="0.35">
      <c r="A554" s="526"/>
      <c r="B554" s="527"/>
      <c r="C554" s="527"/>
      <c r="D554" s="527"/>
      <c r="E554" s="527"/>
      <c r="F554" s="527"/>
      <c r="G554" s="527"/>
      <c r="H554" s="527"/>
      <c r="I554" s="527"/>
      <c r="J554" s="527"/>
      <c r="K554" s="527"/>
      <c r="L554" s="527"/>
      <c r="M554" s="527"/>
      <c r="N554" s="527"/>
      <c r="O554" s="527"/>
      <c r="P554" s="527"/>
      <c r="Q554" s="527"/>
      <c r="R554" s="527"/>
      <c r="S554" s="527"/>
      <c r="T554" s="527"/>
      <c r="U554" s="527"/>
      <c r="V554" s="534"/>
      <c r="W554" s="534"/>
      <c r="X554" s="534"/>
      <c r="Y554" s="534"/>
      <c r="Z554" s="534"/>
      <c r="AA554" s="534"/>
      <c r="AB554" s="534"/>
      <c r="AC554" s="534"/>
      <c r="AD554" s="534"/>
      <c r="AE554" s="534"/>
      <c r="AF554" s="527"/>
      <c r="AG554" s="533"/>
      <c r="AH554" s="533"/>
      <c r="AI554" s="533"/>
      <c r="AJ554" s="146"/>
    </row>
    <row r="555" spans="1:36" ht="15.95" customHeight="1" outlineLevel="1" x14ac:dyDescent="0.35">
      <c r="A555" s="526"/>
      <c r="B555" s="769" t="s">
        <v>6598</v>
      </c>
      <c r="C555" s="769"/>
      <c r="D555" s="770"/>
      <c r="E555" s="770"/>
      <c r="F555" s="770"/>
      <c r="G555" s="527"/>
      <c r="H555" s="527"/>
      <c r="I555" s="527"/>
      <c r="J555" s="527"/>
      <c r="K555" s="527"/>
      <c r="L555" s="527"/>
      <c r="M555" s="527"/>
      <c r="N555" s="527"/>
      <c r="O555" s="527"/>
      <c r="P555" s="527"/>
      <c r="Q555" s="527"/>
      <c r="R555" s="527"/>
      <c r="S555" s="527"/>
      <c r="T555" s="527"/>
      <c r="U555" s="527"/>
      <c r="V555" s="534"/>
      <c r="W555" s="534"/>
      <c r="X555" s="534"/>
      <c r="Y555" s="534"/>
      <c r="Z555" s="534"/>
      <c r="AA555" s="534"/>
      <c r="AB555" s="534"/>
      <c r="AC555" s="534"/>
      <c r="AD555" s="534"/>
      <c r="AE555" s="534"/>
      <c r="AF555" s="527"/>
      <c r="AG555" s="533"/>
      <c r="AH555" s="533"/>
      <c r="AI555" s="533"/>
      <c r="AJ555" s="146"/>
    </row>
    <row r="556" spans="1:36" ht="15.95" customHeight="1" outlineLevel="1" collapsed="1" x14ac:dyDescent="0.35">
      <c r="A556" s="526"/>
      <c r="B556" s="769" t="s">
        <v>6599</v>
      </c>
      <c r="C556" s="769"/>
      <c r="D556" s="770"/>
      <c r="E556" s="770"/>
      <c r="F556" s="770"/>
      <c r="G556" s="527"/>
      <c r="H556" s="527"/>
      <c r="I556" s="527"/>
      <c r="J556" s="527"/>
      <c r="K556" s="527"/>
      <c r="L556" s="527"/>
      <c r="M556" s="527"/>
      <c r="N556" s="527"/>
      <c r="O556" s="527"/>
      <c r="P556" s="527"/>
      <c r="Q556" s="527"/>
      <c r="R556" s="527"/>
      <c r="S556" s="527"/>
      <c r="T556" s="527"/>
      <c r="U556" s="527"/>
      <c r="V556" s="534"/>
      <c r="W556" s="534"/>
      <c r="X556" s="534"/>
      <c r="Y556" s="534"/>
      <c r="Z556" s="534"/>
      <c r="AA556" s="534"/>
      <c r="AB556" s="534"/>
      <c r="AC556" s="534"/>
      <c r="AD556" s="534"/>
      <c r="AE556" s="534"/>
      <c r="AF556" s="527"/>
      <c r="AG556" s="533"/>
      <c r="AH556" s="533"/>
      <c r="AI556" s="533"/>
      <c r="AJ556" s="146"/>
    </row>
    <row r="557" spans="1:36" ht="15.95" customHeight="1" outlineLevel="1" thickBot="1" x14ac:dyDescent="0.4">
      <c r="A557" s="534"/>
      <c r="B557" s="534"/>
      <c r="C557" s="534"/>
      <c r="D557" s="534"/>
      <c r="E557" s="534"/>
      <c r="F557" s="534"/>
      <c r="G557" s="534"/>
      <c r="H557" s="534"/>
      <c r="I557" s="534"/>
      <c r="J557" s="534"/>
      <c r="K557" s="534"/>
      <c r="L557" s="534"/>
      <c r="M557" s="534"/>
      <c r="N557" s="534"/>
      <c r="O557" s="534"/>
      <c r="P557" s="534"/>
      <c r="Q557" s="534"/>
      <c r="R557" s="534"/>
      <c r="S557" s="534"/>
      <c r="T557" s="534"/>
      <c r="U557" s="534"/>
      <c r="V557" s="534"/>
      <c r="W557" s="534"/>
      <c r="X557" s="534"/>
      <c r="Y557" s="534"/>
      <c r="Z557" s="534"/>
      <c r="AA557" s="534"/>
      <c r="AB557" s="534"/>
      <c r="AC557" s="534"/>
      <c r="AD557" s="534"/>
      <c r="AE557" s="534"/>
      <c r="AF557" s="527"/>
      <c r="AG557" s="533"/>
      <c r="AH557" s="533"/>
      <c r="AI557" s="533"/>
      <c r="AJ557" s="146"/>
    </row>
    <row r="558" spans="1:36" ht="15.95" customHeight="1" outlineLevel="1" thickTop="1" thickBot="1" x14ac:dyDescent="0.4">
      <c r="A558" s="534"/>
      <c r="B558" s="771" t="s">
        <v>6658</v>
      </c>
      <c r="C558" s="772"/>
      <c r="D558" s="772"/>
      <c r="E558" s="773"/>
      <c r="F558" s="534"/>
      <c r="G558" s="534"/>
      <c r="H558" s="534"/>
      <c r="I558" s="534"/>
      <c r="J558" s="534"/>
      <c r="K558" s="534"/>
      <c r="L558" s="534"/>
      <c r="M558" s="534"/>
      <c r="N558" s="534"/>
      <c r="O558" s="534"/>
      <c r="P558" s="534"/>
      <c r="Q558" s="534"/>
      <c r="R558" s="534"/>
      <c r="S558" s="534"/>
      <c r="T558" s="534"/>
      <c r="U558" s="534"/>
      <c r="V558" s="534"/>
      <c r="W558" s="534"/>
      <c r="X558" s="534"/>
      <c r="Y558" s="534"/>
      <c r="Z558" s="534"/>
      <c r="AA558" s="534"/>
      <c r="AB558" s="534"/>
      <c r="AC558" s="534"/>
      <c r="AD558" s="534"/>
      <c r="AE558" s="534"/>
      <c r="AF558" s="527"/>
      <c r="AG558" s="533"/>
      <c r="AH558" s="533"/>
      <c r="AI558" s="533"/>
      <c r="AJ558" s="146"/>
    </row>
    <row r="559" spans="1:36" ht="15.95" customHeight="1" outlineLevel="1" thickTop="1" x14ac:dyDescent="0.35">
      <c r="A559" s="534"/>
      <c r="B559" s="534"/>
      <c r="C559" s="534"/>
      <c r="D559" s="534"/>
      <c r="E559" s="534"/>
      <c r="F559" s="534"/>
      <c r="G559" s="534"/>
      <c r="H559" s="534"/>
      <c r="I559" s="534"/>
      <c r="J559" s="534"/>
      <c r="K559" s="534"/>
      <c r="L559" s="534"/>
      <c r="M559" s="534"/>
      <c r="N559" s="534"/>
      <c r="O559" s="534"/>
      <c r="P559" s="534"/>
      <c r="Q559" s="534"/>
      <c r="R559" s="534"/>
      <c r="S559" s="534"/>
      <c r="T559" s="534"/>
      <c r="U559" s="534"/>
      <c r="V559" s="534"/>
      <c r="W559" s="534"/>
      <c r="X559" s="534"/>
      <c r="Y559" s="534"/>
      <c r="Z559" s="534"/>
      <c r="AA559" s="534"/>
      <c r="AB559" s="534"/>
      <c r="AC559" s="534"/>
      <c r="AD559" s="534"/>
      <c r="AE559" s="534"/>
      <c r="AF559" s="527"/>
      <c r="AG559" s="533"/>
      <c r="AH559" s="533"/>
      <c r="AI559" s="533"/>
      <c r="AJ559" s="146"/>
    </row>
    <row r="560" spans="1:36" ht="15.95" customHeight="1" x14ac:dyDescent="0.3">
      <c r="A560" s="527"/>
      <c r="B560" s="778" t="s">
        <v>7499</v>
      </c>
      <c r="C560" s="778"/>
      <c r="D560" s="778"/>
      <c r="E560" s="778"/>
      <c r="F560" s="778"/>
      <c r="G560" s="778"/>
      <c r="H560" s="778"/>
      <c r="I560" s="778"/>
      <c r="J560" s="778"/>
      <c r="K560" s="778"/>
      <c r="L560" s="778"/>
      <c r="M560" s="778"/>
      <c r="N560" s="778"/>
      <c r="O560" s="778"/>
      <c r="P560" s="778"/>
      <c r="Q560" s="778"/>
      <c r="R560" s="778"/>
      <c r="S560" s="778"/>
      <c r="T560" s="778"/>
      <c r="U560" s="778"/>
      <c r="V560" s="778"/>
      <c r="W560" s="778"/>
      <c r="X560" s="778"/>
      <c r="Y560" s="778"/>
      <c r="Z560" s="778"/>
      <c r="AA560" s="778"/>
      <c r="AB560" s="778"/>
      <c r="AC560" s="778"/>
      <c r="AD560" s="778"/>
      <c r="AE560" s="778"/>
      <c r="AF560" s="527"/>
      <c r="AG560" s="533"/>
      <c r="AH560" s="533"/>
      <c r="AI560" s="533"/>
      <c r="AJ560" s="146"/>
    </row>
    <row r="561" spans="1:36" ht="15.95" customHeight="1" x14ac:dyDescent="0.3">
      <c r="A561" s="527"/>
      <c r="B561" s="778"/>
      <c r="C561" s="778"/>
      <c r="D561" s="778"/>
      <c r="E561" s="778"/>
      <c r="F561" s="778"/>
      <c r="G561" s="778"/>
      <c r="H561" s="778"/>
      <c r="I561" s="778"/>
      <c r="J561" s="778"/>
      <c r="K561" s="778"/>
      <c r="L561" s="778"/>
      <c r="M561" s="778"/>
      <c r="N561" s="778"/>
      <c r="O561" s="778"/>
      <c r="P561" s="778"/>
      <c r="Q561" s="778"/>
      <c r="R561" s="778"/>
      <c r="S561" s="778"/>
      <c r="T561" s="778"/>
      <c r="U561" s="778"/>
      <c r="V561" s="778"/>
      <c r="W561" s="778"/>
      <c r="X561" s="778"/>
      <c r="Y561" s="778"/>
      <c r="Z561" s="778"/>
      <c r="AA561" s="778"/>
      <c r="AB561" s="778"/>
      <c r="AC561" s="778"/>
      <c r="AD561" s="778"/>
      <c r="AE561" s="778"/>
      <c r="AF561" s="527"/>
      <c r="AG561" s="533"/>
      <c r="AH561" s="533"/>
      <c r="AI561" s="533"/>
      <c r="AJ561" s="146"/>
    </row>
    <row r="562" spans="1:36" ht="15.95" customHeight="1" outlineLevel="1" thickBot="1" x14ac:dyDescent="0.35">
      <c r="A562" s="527"/>
      <c r="B562" s="527"/>
      <c r="C562" s="527"/>
      <c r="D562" s="527"/>
      <c r="E562" s="527"/>
      <c r="F562" s="527"/>
      <c r="G562" s="527"/>
      <c r="H562" s="527"/>
      <c r="I562" s="527"/>
      <c r="J562" s="527"/>
      <c r="K562" s="527"/>
      <c r="L562" s="527"/>
      <c r="M562" s="527"/>
      <c r="N562" s="527"/>
      <c r="O562" s="527"/>
      <c r="P562" s="527"/>
      <c r="Q562" s="527"/>
      <c r="R562" s="527"/>
      <c r="S562" s="527"/>
      <c r="T562" s="527"/>
      <c r="U562" s="527"/>
      <c r="V562" s="527"/>
      <c r="AF562" s="140"/>
      <c r="AG562" s="533"/>
      <c r="AH562" s="533"/>
      <c r="AI562" s="533"/>
      <c r="AJ562" s="146"/>
    </row>
    <row r="563" spans="1:36" ht="15.95" customHeight="1" outlineLevel="1" thickTop="1" thickBot="1" x14ac:dyDescent="0.35">
      <c r="A563" s="527"/>
      <c r="B563" s="771" t="s">
        <v>6661</v>
      </c>
      <c r="C563" s="772"/>
      <c r="D563" s="772"/>
      <c r="E563" s="773"/>
      <c r="F563" s="771" t="s">
        <v>6662</v>
      </c>
      <c r="G563" s="772"/>
      <c r="H563" s="772"/>
      <c r="I563" s="773"/>
      <c r="J563" s="771" t="s">
        <v>6663</v>
      </c>
      <c r="K563" s="772"/>
      <c r="L563" s="772"/>
      <c r="M563" s="773"/>
      <c r="N563" s="527"/>
      <c r="O563" s="527"/>
      <c r="P563" s="527"/>
      <c r="Q563" s="527"/>
      <c r="R563" s="527"/>
      <c r="S563" s="527"/>
      <c r="T563" s="527"/>
      <c r="U563" s="527"/>
      <c r="V563" s="527"/>
      <c r="AF563" s="140"/>
      <c r="AG563" s="533"/>
      <c r="AH563" s="533"/>
      <c r="AI563" s="533"/>
      <c r="AJ563" s="146"/>
    </row>
    <row r="564" spans="1:36" ht="15.95" customHeight="1" outlineLevel="1" thickTop="1" x14ac:dyDescent="0.3">
      <c r="A564" s="527"/>
      <c r="B564" s="527"/>
      <c r="C564" s="527"/>
      <c r="D564" s="527"/>
      <c r="E564" s="527"/>
      <c r="F564" s="527"/>
      <c r="G564" s="527"/>
      <c r="H564" s="527"/>
      <c r="I564" s="527"/>
      <c r="J564" s="527"/>
      <c r="K564" s="527"/>
      <c r="L564" s="527"/>
      <c r="M564" s="527"/>
      <c r="N564" s="527"/>
      <c r="O564" s="527"/>
      <c r="P564" s="527"/>
      <c r="Q564" s="527"/>
      <c r="R564" s="527"/>
      <c r="S564" s="527"/>
      <c r="T564" s="527"/>
      <c r="U564" s="527"/>
      <c r="V564" s="527"/>
      <c r="AF564" s="140"/>
      <c r="AG564" s="533"/>
      <c r="AH564" s="533"/>
      <c r="AI564" s="533"/>
      <c r="AJ564" s="146"/>
    </row>
    <row r="565" spans="1:36" ht="15.95" customHeight="1" outlineLevel="1" x14ac:dyDescent="0.3">
      <c r="A565" s="527"/>
      <c r="B565" s="769" t="s">
        <v>6659</v>
      </c>
      <c r="C565" s="769"/>
      <c r="D565" s="768"/>
      <c r="E565" s="768"/>
      <c r="F565" s="768"/>
      <c r="G565" s="527"/>
      <c r="H565" s="769" t="s">
        <v>0</v>
      </c>
      <c r="I565" s="769"/>
      <c r="J565" s="770"/>
      <c r="K565" s="770"/>
      <c r="L565" s="770"/>
      <c r="M565" s="769" t="s">
        <v>11</v>
      </c>
      <c r="N565" s="769"/>
      <c r="O565" s="768"/>
      <c r="P565" s="768"/>
      <c r="Q565" s="769" t="s">
        <v>3311</v>
      </c>
      <c r="R565" s="769"/>
      <c r="S565" s="768"/>
      <c r="T565" s="768"/>
      <c r="U565" s="527"/>
      <c r="V565" s="527"/>
      <c r="AF565" s="140"/>
      <c r="AG565" s="533"/>
      <c r="AH565" s="533"/>
      <c r="AI565" s="533"/>
      <c r="AJ565" s="146"/>
    </row>
    <row r="566" spans="1:36" ht="15.95" customHeight="1" outlineLevel="1" x14ac:dyDescent="0.3">
      <c r="A566" s="527"/>
      <c r="B566" s="769"/>
      <c r="C566" s="769"/>
      <c r="D566" s="768"/>
      <c r="E566" s="768"/>
      <c r="F566" s="768"/>
      <c r="G566" s="527"/>
      <c r="H566" s="769"/>
      <c r="I566" s="769"/>
      <c r="J566" s="770"/>
      <c r="K566" s="770"/>
      <c r="L566" s="770"/>
      <c r="M566" s="769"/>
      <c r="N566" s="769"/>
      <c r="O566" s="768"/>
      <c r="P566" s="768"/>
      <c r="Q566" s="769"/>
      <c r="R566" s="769"/>
      <c r="S566" s="768"/>
      <c r="T566" s="768"/>
      <c r="U566" s="527"/>
      <c r="V566" s="527"/>
      <c r="AF566" s="140"/>
      <c r="AG566" s="533"/>
      <c r="AH566" s="533"/>
      <c r="AI566" s="533"/>
      <c r="AJ566" s="146"/>
    </row>
    <row r="567" spans="1:36" ht="15.95" customHeight="1" outlineLevel="1" x14ac:dyDescent="0.3">
      <c r="A567" s="527"/>
      <c r="B567" s="527"/>
      <c r="C567" s="527"/>
      <c r="D567" s="527"/>
      <c r="E567" s="527"/>
      <c r="F567" s="527"/>
      <c r="G567" s="527"/>
      <c r="H567" s="527"/>
      <c r="I567" s="769" t="s">
        <v>161</v>
      </c>
      <c r="J567" s="769"/>
      <c r="K567" s="768"/>
      <c r="L567" s="768"/>
      <c r="M567" s="768"/>
      <c r="N567" s="769" t="s">
        <v>13</v>
      </c>
      <c r="O567" s="769"/>
      <c r="P567" s="768"/>
      <c r="Q567" s="768"/>
      <c r="R567" s="768"/>
      <c r="S567" s="768"/>
      <c r="T567" s="768"/>
      <c r="U567" s="527"/>
      <c r="V567" s="527"/>
      <c r="AF567" s="140"/>
      <c r="AG567" s="533"/>
      <c r="AH567" s="533"/>
      <c r="AI567" s="533"/>
      <c r="AJ567" s="146"/>
    </row>
    <row r="568" spans="1:36" ht="15.95" customHeight="1" outlineLevel="1" x14ac:dyDescent="0.3">
      <c r="A568" s="527"/>
      <c r="B568" s="769" t="s">
        <v>113</v>
      </c>
      <c r="C568" s="768"/>
      <c r="D568" s="768"/>
      <c r="E568" s="527"/>
      <c r="F568" s="527"/>
      <c r="G568" s="527"/>
      <c r="H568" s="527"/>
      <c r="I568" s="769"/>
      <c r="J568" s="769"/>
      <c r="K568" s="768"/>
      <c r="L568" s="768"/>
      <c r="M568" s="768"/>
      <c r="N568" s="769"/>
      <c r="O568" s="769"/>
      <c r="P568" s="768"/>
      <c r="Q568" s="768"/>
      <c r="R568" s="768"/>
      <c r="S568" s="768"/>
      <c r="T568" s="768"/>
      <c r="U568" s="527"/>
      <c r="V568" s="527"/>
      <c r="AF568" s="140"/>
      <c r="AG568" s="533"/>
      <c r="AH568" s="533"/>
      <c r="AI568" s="533"/>
      <c r="AJ568" s="146"/>
    </row>
    <row r="569" spans="1:36" ht="15.95" customHeight="1" outlineLevel="1" x14ac:dyDescent="0.3">
      <c r="A569" s="527"/>
      <c r="B569" s="769"/>
      <c r="C569" s="768"/>
      <c r="D569" s="768"/>
      <c r="E569" s="527"/>
      <c r="F569" s="527"/>
      <c r="G569" s="527"/>
      <c r="H569" s="769" t="s">
        <v>6294</v>
      </c>
      <c r="I569" s="769"/>
      <c r="J569" s="768"/>
      <c r="K569" s="768"/>
      <c r="L569" s="769" t="s">
        <v>12</v>
      </c>
      <c r="M569" s="769"/>
      <c r="N569" s="768"/>
      <c r="O569" s="768"/>
      <c r="P569" s="769" t="s">
        <v>5163</v>
      </c>
      <c r="Q569" s="769"/>
      <c r="R569" s="768"/>
      <c r="S569" s="768"/>
      <c r="T569" s="768"/>
      <c r="U569" s="527"/>
      <c r="V569" s="527"/>
      <c r="AF569" s="140"/>
      <c r="AG569" s="533"/>
      <c r="AH569" s="533"/>
      <c r="AI569" s="533"/>
      <c r="AJ569" s="146"/>
    </row>
    <row r="570" spans="1:36" ht="15.95" customHeight="1" outlineLevel="1" x14ac:dyDescent="0.3">
      <c r="A570" s="527"/>
      <c r="B570" s="769" t="s">
        <v>117</v>
      </c>
      <c r="C570" s="768"/>
      <c r="D570" s="768"/>
      <c r="E570" s="527"/>
      <c r="F570" s="527"/>
      <c r="G570" s="527"/>
      <c r="H570" s="769"/>
      <c r="I570" s="769"/>
      <c r="J570" s="768"/>
      <c r="K570" s="768"/>
      <c r="L570" s="769"/>
      <c r="M570" s="769"/>
      <c r="N570" s="768"/>
      <c r="O570" s="768"/>
      <c r="P570" s="769"/>
      <c r="Q570" s="769"/>
      <c r="R570" s="768"/>
      <c r="S570" s="768"/>
      <c r="T570" s="768"/>
      <c r="U570" s="527"/>
      <c r="V570" s="527"/>
      <c r="AF570" s="140"/>
      <c r="AG570" s="533"/>
      <c r="AH570" s="533"/>
      <c r="AI570" s="533"/>
      <c r="AJ570" s="146"/>
    </row>
    <row r="571" spans="1:36" ht="15.95" customHeight="1" outlineLevel="1" x14ac:dyDescent="0.3">
      <c r="A571" s="527"/>
      <c r="B571" s="769"/>
      <c r="C571" s="768"/>
      <c r="D571" s="768"/>
      <c r="E571" s="527"/>
      <c r="F571" s="527"/>
      <c r="G571" s="527"/>
      <c r="H571" s="769" t="s">
        <v>2233</v>
      </c>
      <c r="I571" s="769"/>
      <c r="J571" s="768"/>
      <c r="K571" s="768"/>
      <c r="L571" s="768"/>
      <c r="M571" s="768"/>
      <c r="N571" s="768"/>
      <c r="O571" s="768"/>
      <c r="P571" s="768"/>
      <c r="Q571" s="768"/>
      <c r="R571" s="768"/>
      <c r="S571" s="768"/>
      <c r="T571" s="768"/>
      <c r="U571" s="527"/>
      <c r="V571" s="527"/>
      <c r="AF571" s="140"/>
      <c r="AG571" s="533"/>
      <c r="AH571" s="533"/>
      <c r="AI571" s="533"/>
      <c r="AJ571" s="146"/>
    </row>
    <row r="572" spans="1:36" ht="15.95" customHeight="1" outlineLevel="1" x14ac:dyDescent="0.3">
      <c r="A572" s="527"/>
      <c r="B572" s="769" t="s">
        <v>508</v>
      </c>
      <c r="C572" s="768"/>
      <c r="D572" s="768"/>
      <c r="E572" s="527"/>
      <c r="F572" s="527"/>
      <c r="G572" s="527"/>
      <c r="H572" s="769"/>
      <c r="I572" s="769"/>
      <c r="J572" s="768"/>
      <c r="K572" s="768"/>
      <c r="L572" s="768"/>
      <c r="M572" s="768"/>
      <c r="N572" s="768"/>
      <c r="O572" s="768"/>
      <c r="P572" s="768"/>
      <c r="Q572" s="768"/>
      <c r="R572" s="768"/>
      <c r="S572" s="768"/>
      <c r="T572" s="768"/>
      <c r="U572" s="527"/>
      <c r="V572" s="527"/>
      <c r="AF572" s="140"/>
      <c r="AG572" s="533"/>
      <c r="AH572" s="533"/>
      <c r="AI572" s="533"/>
      <c r="AJ572" s="146"/>
    </row>
    <row r="573" spans="1:36" ht="15.95" customHeight="1" outlineLevel="1" x14ac:dyDescent="0.3">
      <c r="A573" s="527"/>
      <c r="B573" s="769"/>
      <c r="C573" s="768"/>
      <c r="D573" s="768"/>
      <c r="E573" s="527"/>
      <c r="F573" s="527"/>
      <c r="G573" s="527"/>
      <c r="H573" s="527"/>
      <c r="I573" s="527"/>
      <c r="J573" s="768"/>
      <c r="K573" s="768"/>
      <c r="L573" s="768"/>
      <c r="M573" s="768"/>
      <c r="N573" s="768"/>
      <c r="O573" s="768"/>
      <c r="P573" s="768"/>
      <c r="Q573" s="768"/>
      <c r="R573" s="768"/>
      <c r="S573" s="768"/>
      <c r="T573" s="768"/>
      <c r="U573" s="527"/>
      <c r="V573" s="527"/>
      <c r="AF573" s="140"/>
      <c r="AG573" s="533"/>
      <c r="AH573" s="533"/>
      <c r="AI573" s="533"/>
      <c r="AJ573" s="146"/>
    </row>
    <row r="574" spans="1:36" ht="15.95" customHeight="1" outlineLevel="1" x14ac:dyDescent="0.3">
      <c r="A574" s="527"/>
      <c r="B574" s="769" t="s">
        <v>509</v>
      </c>
      <c r="C574" s="768"/>
      <c r="D574" s="768"/>
      <c r="E574" s="527"/>
      <c r="F574" s="527"/>
      <c r="G574" s="527"/>
      <c r="H574" s="527"/>
      <c r="I574" s="527"/>
      <c r="J574" s="768"/>
      <c r="K574" s="768"/>
      <c r="L574" s="768"/>
      <c r="M574" s="768"/>
      <c r="N574" s="768"/>
      <c r="O574" s="768"/>
      <c r="P574" s="768"/>
      <c r="Q574" s="768"/>
      <c r="R574" s="768"/>
      <c r="S574" s="768"/>
      <c r="T574" s="768"/>
      <c r="U574" s="527"/>
      <c r="V574" s="527"/>
      <c r="AF574" s="140"/>
      <c r="AG574" s="533"/>
      <c r="AH574" s="533"/>
      <c r="AI574" s="533"/>
      <c r="AJ574" s="146"/>
    </row>
    <row r="575" spans="1:36" ht="15.95" customHeight="1" outlineLevel="1" x14ac:dyDescent="0.3">
      <c r="A575" s="527"/>
      <c r="B575" s="769"/>
      <c r="C575" s="768"/>
      <c r="D575" s="768"/>
      <c r="E575" s="527"/>
      <c r="F575" s="527"/>
      <c r="G575" s="527"/>
      <c r="H575" s="769" t="s">
        <v>4119</v>
      </c>
      <c r="I575" s="769"/>
      <c r="J575" s="768"/>
      <c r="K575" s="768"/>
      <c r="L575" s="768"/>
      <c r="M575" s="768"/>
      <c r="N575" s="768"/>
      <c r="O575" s="768"/>
      <c r="P575" s="768"/>
      <c r="Q575" s="768"/>
      <c r="R575" s="768"/>
      <c r="S575" s="768"/>
      <c r="T575" s="768"/>
      <c r="U575" s="527"/>
      <c r="V575" s="527"/>
      <c r="AF575" s="140"/>
      <c r="AG575" s="533"/>
      <c r="AH575" s="533"/>
      <c r="AI575" s="533"/>
      <c r="AJ575" s="146"/>
    </row>
    <row r="576" spans="1:36" ht="15.95" customHeight="1" outlineLevel="1" x14ac:dyDescent="0.3">
      <c r="A576" s="527"/>
      <c r="B576" s="769" t="s">
        <v>510</v>
      </c>
      <c r="C576" s="768"/>
      <c r="D576" s="768"/>
      <c r="E576" s="527"/>
      <c r="F576" s="527"/>
      <c r="G576" s="527"/>
      <c r="H576" s="769"/>
      <c r="I576" s="769"/>
      <c r="J576" s="768"/>
      <c r="K576" s="768"/>
      <c r="L576" s="768"/>
      <c r="M576" s="768"/>
      <c r="N576" s="768"/>
      <c r="O576" s="768"/>
      <c r="P576" s="768"/>
      <c r="Q576" s="768"/>
      <c r="R576" s="768"/>
      <c r="S576" s="768"/>
      <c r="T576" s="768"/>
      <c r="U576" s="527"/>
      <c r="V576" s="527"/>
      <c r="AF576" s="140"/>
      <c r="AG576" s="533"/>
      <c r="AH576" s="533"/>
      <c r="AI576" s="533"/>
      <c r="AJ576" s="146"/>
    </row>
    <row r="577" spans="1:36" ht="15.95" customHeight="1" outlineLevel="1" x14ac:dyDescent="0.3">
      <c r="A577" s="527"/>
      <c r="B577" s="769"/>
      <c r="C577" s="768"/>
      <c r="D577" s="768"/>
      <c r="E577" s="527"/>
      <c r="F577" s="527"/>
      <c r="G577" s="527"/>
      <c r="H577" s="769" t="s">
        <v>5164</v>
      </c>
      <c r="I577" s="769"/>
      <c r="J577" s="768"/>
      <c r="K577" s="768"/>
      <c r="L577" s="768"/>
      <c r="M577" s="768"/>
      <c r="N577" s="768"/>
      <c r="O577" s="768"/>
      <c r="P577" s="768"/>
      <c r="Q577" s="768"/>
      <c r="R577" s="768"/>
      <c r="S577" s="768"/>
      <c r="T577" s="768"/>
      <c r="U577" s="527"/>
      <c r="V577" s="527"/>
      <c r="AF577" s="140"/>
      <c r="AG577" s="533"/>
      <c r="AH577" s="533"/>
      <c r="AI577" s="533"/>
      <c r="AJ577" s="146"/>
    </row>
    <row r="578" spans="1:36" ht="15.95" customHeight="1" outlineLevel="1" x14ac:dyDescent="0.3">
      <c r="A578" s="527"/>
      <c r="B578" s="769" t="s">
        <v>511</v>
      </c>
      <c r="C578" s="768"/>
      <c r="D578" s="768"/>
      <c r="E578" s="527"/>
      <c r="F578" s="527"/>
      <c r="G578" s="527"/>
      <c r="H578" s="769"/>
      <c r="I578" s="769"/>
      <c r="J578" s="768"/>
      <c r="K578" s="768"/>
      <c r="L578" s="768"/>
      <c r="M578" s="768"/>
      <c r="N578" s="768"/>
      <c r="O578" s="768"/>
      <c r="P578" s="768"/>
      <c r="Q578" s="768"/>
      <c r="R578" s="768"/>
      <c r="S578" s="768"/>
      <c r="T578" s="768"/>
      <c r="U578" s="527"/>
      <c r="V578" s="527"/>
      <c r="AF578" s="140"/>
      <c r="AG578" s="533"/>
      <c r="AH578" s="533"/>
      <c r="AI578" s="533"/>
      <c r="AJ578" s="146"/>
    </row>
    <row r="579" spans="1:36" ht="15.95" customHeight="1" outlineLevel="1" x14ac:dyDescent="0.3">
      <c r="A579" s="527"/>
      <c r="B579" s="769"/>
      <c r="C579" s="768"/>
      <c r="D579" s="768"/>
      <c r="E579" s="527"/>
      <c r="F579" s="527"/>
      <c r="G579" s="527"/>
      <c r="H579" s="769" t="s">
        <v>5165</v>
      </c>
      <c r="I579" s="769"/>
      <c r="J579" s="768"/>
      <c r="K579" s="768"/>
      <c r="L579" s="768"/>
      <c r="M579" s="768"/>
      <c r="N579" s="768"/>
      <c r="O579" s="768"/>
      <c r="P579" s="768"/>
      <c r="Q579" s="768"/>
      <c r="R579" s="768"/>
      <c r="S579" s="768"/>
      <c r="T579" s="768"/>
      <c r="U579" s="527"/>
      <c r="V579" s="527"/>
      <c r="AF579" s="140"/>
      <c r="AG579" s="533"/>
      <c r="AH579" s="533"/>
      <c r="AI579" s="533"/>
      <c r="AJ579" s="146"/>
    </row>
    <row r="580" spans="1:36" ht="15.95" customHeight="1" outlineLevel="1" x14ac:dyDescent="0.3">
      <c r="A580" s="527"/>
      <c r="B580" s="527"/>
      <c r="C580" s="527"/>
      <c r="D580" s="527"/>
      <c r="E580" s="527"/>
      <c r="F580" s="527"/>
      <c r="G580" s="527"/>
      <c r="H580" s="769"/>
      <c r="I580" s="769"/>
      <c r="J580" s="768"/>
      <c r="K580" s="768"/>
      <c r="L580" s="768"/>
      <c r="M580" s="768"/>
      <c r="N580" s="768"/>
      <c r="O580" s="768"/>
      <c r="P580" s="768"/>
      <c r="Q580" s="768"/>
      <c r="R580" s="768"/>
      <c r="S580" s="768"/>
      <c r="T580" s="768"/>
      <c r="U580" s="527"/>
      <c r="V580" s="527"/>
      <c r="AF580" s="140"/>
      <c r="AG580" s="533"/>
      <c r="AH580" s="533"/>
      <c r="AI580" s="533"/>
      <c r="AJ580" s="146"/>
    </row>
    <row r="581" spans="1:36" ht="15.95" customHeight="1" outlineLevel="1" x14ac:dyDescent="0.3">
      <c r="A581" s="527"/>
      <c r="B581" s="527"/>
      <c r="C581" s="527"/>
      <c r="D581" s="527"/>
      <c r="E581" s="527"/>
      <c r="F581" s="527"/>
      <c r="G581" s="527"/>
      <c r="H581" s="527"/>
      <c r="I581" s="527"/>
      <c r="J581" s="768"/>
      <c r="K581" s="768"/>
      <c r="L581" s="768"/>
      <c r="M581" s="768"/>
      <c r="N581" s="768"/>
      <c r="O581" s="768"/>
      <c r="P581" s="768"/>
      <c r="Q581" s="768"/>
      <c r="R581" s="768"/>
      <c r="S581" s="768"/>
      <c r="T581" s="768"/>
      <c r="U581" s="527"/>
      <c r="V581" s="527"/>
      <c r="AF581" s="140"/>
      <c r="AG581" s="533"/>
      <c r="AH581" s="533"/>
      <c r="AI581" s="533"/>
      <c r="AJ581" s="146"/>
    </row>
    <row r="582" spans="1:36" ht="15.95" customHeight="1" outlineLevel="1" x14ac:dyDescent="0.3">
      <c r="A582" s="527"/>
      <c r="B582" s="527"/>
      <c r="C582" s="527"/>
      <c r="D582" s="527"/>
      <c r="E582" s="527"/>
      <c r="F582" s="527"/>
      <c r="G582" s="527"/>
      <c r="H582" s="527"/>
      <c r="I582" s="527"/>
      <c r="J582" s="768"/>
      <c r="K582" s="768"/>
      <c r="L582" s="768"/>
      <c r="M582" s="768"/>
      <c r="N582" s="768"/>
      <c r="O582" s="768"/>
      <c r="P582" s="768"/>
      <c r="Q582" s="768"/>
      <c r="R582" s="768"/>
      <c r="S582" s="768"/>
      <c r="T582" s="768"/>
      <c r="U582" s="527"/>
      <c r="V582" s="527"/>
      <c r="AF582" s="140"/>
      <c r="AG582" s="533"/>
      <c r="AH582" s="533"/>
      <c r="AI582" s="533"/>
      <c r="AJ582" s="146"/>
    </row>
    <row r="583" spans="1:36" ht="15.95" customHeight="1" outlineLevel="1" x14ac:dyDescent="0.3">
      <c r="A583" s="527"/>
      <c r="B583" s="527"/>
      <c r="C583" s="527"/>
      <c r="D583" s="527"/>
      <c r="E583" s="527"/>
      <c r="F583" s="527"/>
      <c r="G583" s="527"/>
      <c r="H583" s="769" t="s">
        <v>5166</v>
      </c>
      <c r="I583" s="769"/>
      <c r="J583" s="768"/>
      <c r="K583" s="768"/>
      <c r="L583" s="768"/>
      <c r="M583" s="768"/>
      <c r="N583" s="768"/>
      <c r="O583" s="768"/>
      <c r="P583" s="768"/>
      <c r="Q583" s="768"/>
      <c r="R583" s="768"/>
      <c r="S583" s="768"/>
      <c r="T583" s="768"/>
      <c r="U583" s="527"/>
      <c r="V583" s="527"/>
      <c r="AF583" s="140"/>
      <c r="AG583" s="533"/>
      <c r="AH583" s="533"/>
      <c r="AI583" s="533"/>
      <c r="AJ583" s="146"/>
    </row>
    <row r="584" spans="1:36" ht="15.95" customHeight="1" outlineLevel="1" x14ac:dyDescent="0.3">
      <c r="A584" s="527"/>
      <c r="B584" s="527"/>
      <c r="C584" s="527"/>
      <c r="D584" s="527"/>
      <c r="E584" s="527"/>
      <c r="F584" s="527"/>
      <c r="G584" s="527"/>
      <c r="H584" s="769"/>
      <c r="I584" s="769"/>
      <c r="J584" s="768"/>
      <c r="K584" s="768"/>
      <c r="L584" s="768"/>
      <c r="M584" s="768"/>
      <c r="N584" s="768"/>
      <c r="O584" s="768"/>
      <c r="P584" s="768"/>
      <c r="Q584" s="768"/>
      <c r="R584" s="768"/>
      <c r="S584" s="768"/>
      <c r="T584" s="768"/>
      <c r="U584" s="527"/>
      <c r="V584" s="527"/>
      <c r="AF584" s="140"/>
      <c r="AG584" s="533"/>
      <c r="AH584" s="533"/>
      <c r="AI584" s="533"/>
      <c r="AJ584" s="146"/>
    </row>
    <row r="585" spans="1:36" ht="15.95" customHeight="1" outlineLevel="1" x14ac:dyDescent="0.3">
      <c r="A585" s="527"/>
      <c r="B585" s="527"/>
      <c r="C585" s="527"/>
      <c r="D585" s="527"/>
      <c r="E585" s="527"/>
      <c r="F585" s="527"/>
      <c r="G585" s="527"/>
      <c r="H585" s="527"/>
      <c r="I585" s="527"/>
      <c r="J585" s="768"/>
      <c r="K585" s="768"/>
      <c r="L585" s="768"/>
      <c r="M585" s="768"/>
      <c r="N585" s="768"/>
      <c r="O585" s="768"/>
      <c r="P585" s="768"/>
      <c r="Q585" s="768"/>
      <c r="R585" s="768"/>
      <c r="S585" s="768"/>
      <c r="T585" s="768"/>
      <c r="U585" s="527"/>
      <c r="V585" s="527"/>
      <c r="AF585" s="140"/>
      <c r="AG585" s="533"/>
      <c r="AH585" s="533"/>
      <c r="AI585" s="533"/>
      <c r="AJ585" s="146"/>
    </row>
    <row r="586" spans="1:36" ht="15.95" customHeight="1" outlineLevel="1" x14ac:dyDescent="0.3">
      <c r="A586" s="527"/>
      <c r="B586" s="527"/>
      <c r="C586" s="527"/>
      <c r="D586" s="527"/>
      <c r="E586" s="527"/>
      <c r="F586" s="527"/>
      <c r="G586" s="527"/>
      <c r="H586" s="527"/>
      <c r="I586" s="527"/>
      <c r="J586" s="768"/>
      <c r="K586" s="768"/>
      <c r="L586" s="768"/>
      <c r="M586" s="768"/>
      <c r="N586" s="768"/>
      <c r="O586" s="768"/>
      <c r="P586" s="768"/>
      <c r="Q586" s="768"/>
      <c r="R586" s="768"/>
      <c r="S586" s="768"/>
      <c r="T586" s="768"/>
      <c r="U586" s="527"/>
      <c r="V586" s="527"/>
      <c r="AF586" s="140"/>
      <c r="AG586" s="533"/>
      <c r="AH586" s="533"/>
      <c r="AI586" s="533"/>
      <c r="AJ586" s="146"/>
    </row>
    <row r="587" spans="1:36" ht="15.95" customHeight="1" outlineLevel="1" x14ac:dyDescent="0.3">
      <c r="A587" s="527"/>
      <c r="B587" s="527"/>
      <c r="C587" s="527"/>
      <c r="D587" s="527"/>
      <c r="E587" s="527"/>
      <c r="F587" s="527"/>
      <c r="G587" s="527"/>
      <c r="H587" s="527"/>
      <c r="I587" s="527"/>
      <c r="J587" s="527"/>
      <c r="K587" s="527"/>
      <c r="L587" s="527"/>
      <c r="M587" s="527"/>
      <c r="N587" s="527"/>
      <c r="O587" s="527"/>
      <c r="P587" s="527"/>
      <c r="Q587" s="527"/>
      <c r="R587" s="527"/>
      <c r="S587" s="527"/>
      <c r="T587" s="527"/>
      <c r="U587" s="527"/>
      <c r="V587" s="527"/>
      <c r="AF587" s="140"/>
      <c r="AG587" s="533"/>
      <c r="AH587" s="533"/>
      <c r="AI587" s="533"/>
      <c r="AJ587" s="146"/>
    </row>
    <row r="588" spans="1:36" ht="15.95" customHeight="1" outlineLevel="1" x14ac:dyDescent="0.3">
      <c r="A588" s="527"/>
      <c r="B588" s="769" t="s">
        <v>6660</v>
      </c>
      <c r="C588" s="769"/>
      <c r="D588" s="768"/>
      <c r="E588" s="768"/>
      <c r="F588" s="768"/>
      <c r="G588" s="527"/>
      <c r="H588" s="769" t="s">
        <v>0</v>
      </c>
      <c r="I588" s="769"/>
      <c r="J588" s="770"/>
      <c r="K588" s="770"/>
      <c r="L588" s="770"/>
      <c r="M588" s="769" t="s">
        <v>11</v>
      </c>
      <c r="N588" s="769"/>
      <c r="O588" s="768"/>
      <c r="P588" s="768"/>
      <c r="Q588" s="769" t="s">
        <v>3311</v>
      </c>
      <c r="R588" s="769"/>
      <c r="S588" s="768"/>
      <c r="T588" s="768"/>
      <c r="U588" s="527"/>
      <c r="V588" s="527"/>
      <c r="AF588" s="140"/>
      <c r="AG588" s="533"/>
      <c r="AH588" s="533"/>
      <c r="AI588" s="533"/>
      <c r="AJ588" s="146"/>
    </row>
    <row r="589" spans="1:36" ht="15.95" customHeight="1" outlineLevel="1" x14ac:dyDescent="0.3">
      <c r="A589" s="527"/>
      <c r="B589" s="769"/>
      <c r="C589" s="769"/>
      <c r="D589" s="768"/>
      <c r="E589" s="768"/>
      <c r="F589" s="768"/>
      <c r="G589" s="527"/>
      <c r="H589" s="769"/>
      <c r="I589" s="769"/>
      <c r="J589" s="770"/>
      <c r="K589" s="770"/>
      <c r="L589" s="770"/>
      <c r="M589" s="769"/>
      <c r="N589" s="769"/>
      <c r="O589" s="768"/>
      <c r="P589" s="768"/>
      <c r="Q589" s="769"/>
      <c r="R589" s="769"/>
      <c r="S589" s="768"/>
      <c r="T589" s="768"/>
      <c r="U589" s="527"/>
      <c r="V589" s="527"/>
      <c r="AF589" s="140"/>
      <c r="AG589" s="533"/>
      <c r="AH589" s="533"/>
      <c r="AI589" s="533"/>
      <c r="AJ589" s="146"/>
    </row>
    <row r="590" spans="1:36" ht="15.95" customHeight="1" outlineLevel="1" x14ac:dyDescent="0.3">
      <c r="A590" s="527"/>
      <c r="B590" s="527"/>
      <c r="C590" s="527"/>
      <c r="D590" s="527"/>
      <c r="E590" s="527"/>
      <c r="F590" s="527"/>
      <c r="G590" s="527"/>
      <c r="H590" s="527"/>
      <c r="I590" s="769" t="s">
        <v>161</v>
      </c>
      <c r="J590" s="769"/>
      <c r="K590" s="768"/>
      <c r="L590" s="768"/>
      <c r="M590" s="768"/>
      <c r="N590" s="769" t="s">
        <v>13</v>
      </c>
      <c r="O590" s="769"/>
      <c r="P590" s="768"/>
      <c r="Q590" s="768"/>
      <c r="R590" s="768"/>
      <c r="S590" s="768"/>
      <c r="T590" s="768"/>
      <c r="U590" s="527"/>
      <c r="V590" s="527"/>
      <c r="AF590" s="140"/>
      <c r="AG590" s="533"/>
      <c r="AH590" s="533"/>
      <c r="AI590" s="533"/>
      <c r="AJ590" s="146"/>
    </row>
    <row r="591" spans="1:36" ht="15.95" customHeight="1" outlineLevel="1" x14ac:dyDescent="0.3">
      <c r="A591" s="527"/>
      <c r="B591" s="769" t="s">
        <v>113</v>
      </c>
      <c r="C591" s="768"/>
      <c r="D591" s="768"/>
      <c r="E591" s="527"/>
      <c r="F591" s="527"/>
      <c r="G591" s="527"/>
      <c r="H591" s="527"/>
      <c r="I591" s="769"/>
      <c r="J591" s="769"/>
      <c r="K591" s="768"/>
      <c r="L591" s="768"/>
      <c r="M591" s="768"/>
      <c r="N591" s="769"/>
      <c r="O591" s="769"/>
      <c r="P591" s="768"/>
      <c r="Q591" s="768"/>
      <c r="R591" s="768"/>
      <c r="S591" s="768"/>
      <c r="T591" s="768"/>
      <c r="U591" s="527"/>
      <c r="V591" s="527"/>
      <c r="AF591" s="140"/>
      <c r="AG591" s="533"/>
      <c r="AH591" s="533"/>
      <c r="AI591" s="533"/>
      <c r="AJ591" s="146"/>
    </row>
    <row r="592" spans="1:36" ht="15.95" customHeight="1" outlineLevel="1" x14ac:dyDescent="0.3">
      <c r="A592" s="527"/>
      <c r="B592" s="769"/>
      <c r="C592" s="768"/>
      <c r="D592" s="768"/>
      <c r="E592" s="527"/>
      <c r="F592" s="527"/>
      <c r="G592" s="527"/>
      <c r="H592" s="769" t="s">
        <v>6294</v>
      </c>
      <c r="I592" s="769"/>
      <c r="J592" s="768"/>
      <c r="K592" s="768"/>
      <c r="L592" s="769" t="s">
        <v>12</v>
      </c>
      <c r="M592" s="769"/>
      <c r="N592" s="768"/>
      <c r="O592" s="768"/>
      <c r="P592" s="769" t="s">
        <v>5163</v>
      </c>
      <c r="Q592" s="769"/>
      <c r="R592" s="768"/>
      <c r="S592" s="768"/>
      <c r="T592" s="768"/>
      <c r="U592" s="527"/>
      <c r="V592" s="527"/>
      <c r="AF592" s="140"/>
      <c r="AG592" s="533"/>
      <c r="AH592" s="533"/>
      <c r="AI592" s="533"/>
      <c r="AJ592" s="146"/>
    </row>
    <row r="593" spans="1:36" ht="15.95" customHeight="1" outlineLevel="1" x14ac:dyDescent="0.3">
      <c r="A593" s="527"/>
      <c r="B593" s="769" t="s">
        <v>117</v>
      </c>
      <c r="C593" s="768"/>
      <c r="D593" s="768"/>
      <c r="E593" s="527"/>
      <c r="F593" s="527"/>
      <c r="G593" s="527"/>
      <c r="H593" s="769"/>
      <c r="I593" s="769"/>
      <c r="J593" s="768"/>
      <c r="K593" s="768"/>
      <c r="L593" s="769"/>
      <c r="M593" s="769"/>
      <c r="N593" s="768"/>
      <c r="O593" s="768"/>
      <c r="P593" s="769"/>
      <c r="Q593" s="769"/>
      <c r="R593" s="768"/>
      <c r="S593" s="768"/>
      <c r="T593" s="768"/>
      <c r="U593" s="527"/>
      <c r="V593" s="527"/>
      <c r="AF593" s="140"/>
      <c r="AG593" s="533"/>
      <c r="AH593" s="533"/>
      <c r="AI593" s="533"/>
      <c r="AJ593" s="146"/>
    </row>
    <row r="594" spans="1:36" ht="15.95" customHeight="1" outlineLevel="1" x14ac:dyDescent="0.3">
      <c r="A594" s="527"/>
      <c r="B594" s="769"/>
      <c r="C594" s="768"/>
      <c r="D594" s="768"/>
      <c r="E594" s="527"/>
      <c r="F594" s="527"/>
      <c r="G594" s="527"/>
      <c r="H594" s="769" t="s">
        <v>2233</v>
      </c>
      <c r="I594" s="769"/>
      <c r="J594" s="768"/>
      <c r="K594" s="768"/>
      <c r="L594" s="768"/>
      <c r="M594" s="768"/>
      <c r="N594" s="768"/>
      <c r="O594" s="768"/>
      <c r="P594" s="768"/>
      <c r="Q594" s="768"/>
      <c r="R594" s="768"/>
      <c r="S594" s="768"/>
      <c r="T594" s="768"/>
      <c r="U594" s="527"/>
      <c r="V594" s="527"/>
      <c r="AF594" s="140"/>
      <c r="AG594" s="533"/>
      <c r="AH594" s="533"/>
      <c r="AI594" s="533"/>
      <c r="AJ594" s="146"/>
    </row>
    <row r="595" spans="1:36" ht="15.95" customHeight="1" outlineLevel="1" x14ac:dyDescent="0.3">
      <c r="A595" s="527"/>
      <c r="B595" s="769" t="s">
        <v>508</v>
      </c>
      <c r="C595" s="768"/>
      <c r="D595" s="768"/>
      <c r="E595" s="527"/>
      <c r="F595" s="527"/>
      <c r="G595" s="527"/>
      <c r="H595" s="769"/>
      <c r="I595" s="769"/>
      <c r="J595" s="768"/>
      <c r="K595" s="768"/>
      <c r="L595" s="768"/>
      <c r="M595" s="768"/>
      <c r="N595" s="768"/>
      <c r="O595" s="768"/>
      <c r="P595" s="768"/>
      <c r="Q595" s="768"/>
      <c r="R595" s="768"/>
      <c r="S595" s="768"/>
      <c r="T595" s="768"/>
      <c r="U595" s="527"/>
      <c r="V595" s="527"/>
      <c r="AF595" s="140"/>
      <c r="AG595" s="533"/>
      <c r="AH595" s="533"/>
      <c r="AI595" s="533"/>
      <c r="AJ595" s="146"/>
    </row>
    <row r="596" spans="1:36" ht="15.95" customHeight="1" outlineLevel="1" x14ac:dyDescent="0.3">
      <c r="A596" s="527"/>
      <c r="B596" s="769"/>
      <c r="C596" s="768"/>
      <c r="D596" s="768"/>
      <c r="E596" s="527"/>
      <c r="F596" s="527"/>
      <c r="G596" s="527"/>
      <c r="H596" s="527"/>
      <c r="I596" s="527"/>
      <c r="J596" s="768"/>
      <c r="K596" s="768"/>
      <c r="L596" s="768"/>
      <c r="M596" s="768"/>
      <c r="N596" s="768"/>
      <c r="O596" s="768"/>
      <c r="P596" s="768"/>
      <c r="Q596" s="768"/>
      <c r="R596" s="768"/>
      <c r="S596" s="768"/>
      <c r="T596" s="768"/>
      <c r="U596" s="527"/>
      <c r="V596" s="527"/>
      <c r="AF596" s="140"/>
      <c r="AG596" s="533"/>
      <c r="AH596" s="533"/>
      <c r="AI596" s="533"/>
      <c r="AJ596" s="146"/>
    </row>
    <row r="597" spans="1:36" ht="15.95" customHeight="1" outlineLevel="1" x14ac:dyDescent="0.3">
      <c r="A597" s="527"/>
      <c r="B597" s="769" t="s">
        <v>509</v>
      </c>
      <c r="C597" s="768"/>
      <c r="D597" s="768"/>
      <c r="E597" s="527"/>
      <c r="F597" s="527"/>
      <c r="G597" s="527"/>
      <c r="H597" s="527"/>
      <c r="I597" s="527"/>
      <c r="J597" s="768"/>
      <c r="K597" s="768"/>
      <c r="L597" s="768"/>
      <c r="M597" s="768"/>
      <c r="N597" s="768"/>
      <c r="O597" s="768"/>
      <c r="P597" s="768"/>
      <c r="Q597" s="768"/>
      <c r="R597" s="768"/>
      <c r="S597" s="768"/>
      <c r="T597" s="768"/>
      <c r="U597" s="527"/>
      <c r="V597" s="527"/>
      <c r="AF597" s="140"/>
      <c r="AG597" s="533"/>
      <c r="AH597" s="533"/>
      <c r="AI597" s="533"/>
      <c r="AJ597" s="146"/>
    </row>
    <row r="598" spans="1:36" ht="15.95" customHeight="1" outlineLevel="1" x14ac:dyDescent="0.3">
      <c r="A598" s="527"/>
      <c r="B598" s="769"/>
      <c r="C598" s="768"/>
      <c r="D598" s="768"/>
      <c r="E598" s="527"/>
      <c r="F598" s="527"/>
      <c r="G598" s="527"/>
      <c r="H598" s="769" t="s">
        <v>4119</v>
      </c>
      <c r="I598" s="769"/>
      <c r="J598" s="768"/>
      <c r="K598" s="768"/>
      <c r="L598" s="768"/>
      <c r="M598" s="768"/>
      <c r="N598" s="768"/>
      <c r="O598" s="768"/>
      <c r="P598" s="768"/>
      <c r="Q598" s="768"/>
      <c r="R598" s="768"/>
      <c r="S598" s="768"/>
      <c r="T598" s="768"/>
      <c r="U598" s="527"/>
      <c r="V598" s="527"/>
      <c r="AF598" s="140"/>
      <c r="AG598" s="533"/>
      <c r="AH598" s="533"/>
      <c r="AI598" s="533"/>
      <c r="AJ598" s="146"/>
    </row>
    <row r="599" spans="1:36" ht="15.95" customHeight="1" outlineLevel="1" x14ac:dyDescent="0.3">
      <c r="A599" s="527"/>
      <c r="B599" s="769" t="s">
        <v>510</v>
      </c>
      <c r="C599" s="768"/>
      <c r="D599" s="768"/>
      <c r="E599" s="527"/>
      <c r="F599" s="527"/>
      <c r="G599" s="527"/>
      <c r="H599" s="769"/>
      <c r="I599" s="769"/>
      <c r="J599" s="768"/>
      <c r="K599" s="768"/>
      <c r="L599" s="768"/>
      <c r="M599" s="768"/>
      <c r="N599" s="768"/>
      <c r="O599" s="768"/>
      <c r="P599" s="768"/>
      <c r="Q599" s="768"/>
      <c r="R599" s="768"/>
      <c r="S599" s="768"/>
      <c r="T599" s="768"/>
      <c r="U599" s="527"/>
      <c r="V599" s="527"/>
      <c r="AF599" s="140"/>
      <c r="AG599" s="533"/>
      <c r="AH599" s="533"/>
      <c r="AI599" s="533"/>
      <c r="AJ599" s="146"/>
    </row>
    <row r="600" spans="1:36" ht="15.95" customHeight="1" outlineLevel="1" x14ac:dyDescent="0.3">
      <c r="A600" s="527"/>
      <c r="B600" s="769"/>
      <c r="C600" s="768"/>
      <c r="D600" s="768"/>
      <c r="E600" s="527"/>
      <c r="F600" s="527"/>
      <c r="G600" s="527"/>
      <c r="H600" s="769" t="s">
        <v>5164</v>
      </c>
      <c r="I600" s="769"/>
      <c r="J600" s="768"/>
      <c r="K600" s="768"/>
      <c r="L600" s="768"/>
      <c r="M600" s="768"/>
      <c r="N600" s="768"/>
      <c r="O600" s="768"/>
      <c r="P600" s="768"/>
      <c r="Q600" s="768"/>
      <c r="R600" s="768"/>
      <c r="S600" s="768"/>
      <c r="T600" s="768"/>
      <c r="U600" s="527"/>
      <c r="V600" s="527"/>
      <c r="AF600" s="140"/>
      <c r="AG600" s="533"/>
      <c r="AH600" s="533"/>
      <c r="AI600" s="533"/>
      <c r="AJ600" s="146"/>
    </row>
    <row r="601" spans="1:36" ht="15.95" customHeight="1" outlineLevel="1" x14ac:dyDescent="0.3">
      <c r="A601" s="527"/>
      <c r="B601" s="769" t="s">
        <v>511</v>
      </c>
      <c r="C601" s="768"/>
      <c r="D601" s="768"/>
      <c r="E601" s="527"/>
      <c r="F601" s="527"/>
      <c r="G601" s="527"/>
      <c r="H601" s="769"/>
      <c r="I601" s="769"/>
      <c r="J601" s="768"/>
      <c r="K601" s="768"/>
      <c r="L601" s="768"/>
      <c r="M601" s="768"/>
      <c r="N601" s="768"/>
      <c r="O601" s="768"/>
      <c r="P601" s="768"/>
      <c r="Q601" s="768"/>
      <c r="R601" s="768"/>
      <c r="S601" s="768"/>
      <c r="T601" s="768"/>
      <c r="U601" s="527"/>
      <c r="V601" s="527"/>
      <c r="AF601" s="140"/>
      <c r="AG601" s="533"/>
      <c r="AH601" s="533"/>
      <c r="AI601" s="533"/>
      <c r="AJ601" s="146"/>
    </row>
    <row r="602" spans="1:36" ht="15.95" customHeight="1" outlineLevel="1" x14ac:dyDescent="0.3">
      <c r="A602" s="527"/>
      <c r="B602" s="769"/>
      <c r="C602" s="768"/>
      <c r="D602" s="768"/>
      <c r="E602" s="527"/>
      <c r="F602" s="527"/>
      <c r="G602" s="527"/>
      <c r="H602" s="769" t="s">
        <v>5165</v>
      </c>
      <c r="I602" s="769"/>
      <c r="J602" s="768"/>
      <c r="K602" s="768"/>
      <c r="L602" s="768"/>
      <c r="M602" s="768"/>
      <c r="N602" s="768"/>
      <c r="O602" s="768"/>
      <c r="P602" s="768"/>
      <c r="Q602" s="768"/>
      <c r="R602" s="768"/>
      <c r="S602" s="768"/>
      <c r="T602" s="768"/>
      <c r="U602" s="527"/>
      <c r="V602" s="527"/>
      <c r="AF602" s="140"/>
      <c r="AG602" s="533"/>
      <c r="AH602" s="533"/>
      <c r="AI602" s="533"/>
      <c r="AJ602" s="146"/>
    </row>
    <row r="603" spans="1:36" ht="15.95" customHeight="1" outlineLevel="1" x14ac:dyDescent="0.3">
      <c r="A603" s="527"/>
      <c r="B603" s="527"/>
      <c r="C603" s="527"/>
      <c r="D603" s="527"/>
      <c r="E603" s="527"/>
      <c r="F603" s="527"/>
      <c r="G603" s="527"/>
      <c r="H603" s="769"/>
      <c r="I603" s="769"/>
      <c r="J603" s="768"/>
      <c r="K603" s="768"/>
      <c r="L603" s="768"/>
      <c r="M603" s="768"/>
      <c r="N603" s="768"/>
      <c r="O603" s="768"/>
      <c r="P603" s="768"/>
      <c r="Q603" s="768"/>
      <c r="R603" s="768"/>
      <c r="S603" s="768"/>
      <c r="T603" s="768"/>
      <c r="U603" s="527"/>
      <c r="V603" s="527"/>
      <c r="AF603" s="140"/>
      <c r="AG603" s="533"/>
      <c r="AH603" s="533"/>
      <c r="AI603" s="533"/>
      <c r="AJ603" s="146"/>
    </row>
    <row r="604" spans="1:36" ht="15.95" customHeight="1" outlineLevel="1" x14ac:dyDescent="0.3">
      <c r="A604" s="527"/>
      <c r="B604" s="527"/>
      <c r="C604" s="527"/>
      <c r="D604" s="527"/>
      <c r="E604" s="527"/>
      <c r="F604" s="527"/>
      <c r="G604" s="527"/>
      <c r="H604" s="527"/>
      <c r="I604" s="527"/>
      <c r="J604" s="768"/>
      <c r="K604" s="768"/>
      <c r="L604" s="768"/>
      <c r="M604" s="768"/>
      <c r="N604" s="768"/>
      <c r="O604" s="768"/>
      <c r="P604" s="768"/>
      <c r="Q604" s="768"/>
      <c r="R604" s="768"/>
      <c r="S604" s="768"/>
      <c r="T604" s="768"/>
      <c r="U604" s="527"/>
      <c r="V604" s="527"/>
      <c r="AF604" s="140"/>
      <c r="AG604" s="533"/>
      <c r="AH604" s="533"/>
      <c r="AI604" s="533"/>
      <c r="AJ604" s="146"/>
    </row>
    <row r="605" spans="1:36" ht="15.95" customHeight="1" outlineLevel="1" x14ac:dyDescent="0.3">
      <c r="A605" s="527"/>
      <c r="B605" s="527"/>
      <c r="C605" s="527"/>
      <c r="D605" s="527"/>
      <c r="E605" s="527"/>
      <c r="F605" s="527"/>
      <c r="G605" s="527"/>
      <c r="H605" s="527"/>
      <c r="I605" s="527"/>
      <c r="J605" s="768"/>
      <c r="K605" s="768"/>
      <c r="L605" s="768"/>
      <c r="M605" s="768"/>
      <c r="N605" s="768"/>
      <c r="O605" s="768"/>
      <c r="P605" s="768"/>
      <c r="Q605" s="768"/>
      <c r="R605" s="768"/>
      <c r="S605" s="768"/>
      <c r="T605" s="768"/>
      <c r="U605" s="527"/>
      <c r="V605" s="527"/>
      <c r="AF605" s="140"/>
      <c r="AG605" s="533"/>
      <c r="AH605" s="533"/>
      <c r="AI605" s="533"/>
      <c r="AJ605" s="146"/>
    </row>
    <row r="606" spans="1:36" ht="15.95" customHeight="1" outlineLevel="1" x14ac:dyDescent="0.3">
      <c r="A606" s="527"/>
      <c r="B606" s="527"/>
      <c r="C606" s="527"/>
      <c r="D606" s="527"/>
      <c r="E606" s="527"/>
      <c r="F606" s="527"/>
      <c r="G606" s="527"/>
      <c r="H606" s="769" t="s">
        <v>5166</v>
      </c>
      <c r="I606" s="769"/>
      <c r="J606" s="768"/>
      <c r="K606" s="768"/>
      <c r="L606" s="768"/>
      <c r="M606" s="768"/>
      <c r="N606" s="768"/>
      <c r="O606" s="768"/>
      <c r="P606" s="768"/>
      <c r="Q606" s="768"/>
      <c r="R606" s="768"/>
      <c r="S606" s="768"/>
      <c r="T606" s="768"/>
      <c r="U606" s="527"/>
      <c r="V606" s="527"/>
      <c r="AF606" s="140"/>
      <c r="AG606" s="533"/>
      <c r="AH606" s="533"/>
      <c r="AI606" s="533"/>
      <c r="AJ606" s="146"/>
    </row>
    <row r="607" spans="1:36" ht="15.95" customHeight="1" outlineLevel="1" x14ac:dyDescent="0.3">
      <c r="A607" s="527"/>
      <c r="B607" s="527"/>
      <c r="C607" s="527"/>
      <c r="D607" s="527"/>
      <c r="E607" s="527"/>
      <c r="F607" s="527"/>
      <c r="G607" s="527"/>
      <c r="H607" s="769"/>
      <c r="I607" s="769"/>
      <c r="J607" s="768"/>
      <c r="K607" s="768"/>
      <c r="L607" s="768"/>
      <c r="M607" s="768"/>
      <c r="N607" s="768"/>
      <c r="O607" s="768"/>
      <c r="P607" s="768"/>
      <c r="Q607" s="768"/>
      <c r="R607" s="768"/>
      <c r="S607" s="768"/>
      <c r="T607" s="768"/>
      <c r="U607" s="527"/>
      <c r="V607" s="527"/>
      <c r="AF607" s="140"/>
      <c r="AG607" s="533"/>
      <c r="AH607" s="533"/>
      <c r="AI607" s="533"/>
      <c r="AJ607" s="146"/>
    </row>
    <row r="608" spans="1:36" ht="15.95" customHeight="1" outlineLevel="1" x14ac:dyDescent="0.3">
      <c r="A608" s="527"/>
      <c r="B608" s="527"/>
      <c r="C608" s="527"/>
      <c r="D608" s="527"/>
      <c r="E608" s="527"/>
      <c r="F608" s="527"/>
      <c r="G608" s="527"/>
      <c r="H608" s="527"/>
      <c r="I608" s="527"/>
      <c r="J608" s="768"/>
      <c r="K608" s="768"/>
      <c r="L608" s="768"/>
      <c r="M608" s="768"/>
      <c r="N608" s="768"/>
      <c r="O608" s="768"/>
      <c r="P608" s="768"/>
      <c r="Q608" s="768"/>
      <c r="R608" s="768"/>
      <c r="S608" s="768"/>
      <c r="T608" s="768"/>
      <c r="U608" s="527"/>
      <c r="V608" s="527"/>
      <c r="AF608" s="140"/>
      <c r="AG608" s="533"/>
      <c r="AH608" s="533"/>
      <c r="AI608" s="533"/>
      <c r="AJ608" s="146"/>
    </row>
    <row r="609" spans="1:36" ht="15.95" customHeight="1" outlineLevel="1" x14ac:dyDescent="0.3">
      <c r="A609" s="527"/>
      <c r="B609" s="527"/>
      <c r="C609" s="527"/>
      <c r="D609" s="527"/>
      <c r="E609" s="527"/>
      <c r="F609" s="527"/>
      <c r="G609" s="527"/>
      <c r="H609" s="527"/>
      <c r="I609" s="527"/>
      <c r="J609" s="768"/>
      <c r="K609" s="768"/>
      <c r="L609" s="768"/>
      <c r="M609" s="768"/>
      <c r="N609" s="768"/>
      <c r="O609" s="768"/>
      <c r="P609" s="768"/>
      <c r="Q609" s="768"/>
      <c r="R609" s="768"/>
      <c r="S609" s="768"/>
      <c r="T609" s="768"/>
      <c r="U609" s="527"/>
      <c r="V609" s="527"/>
      <c r="AF609" s="140"/>
      <c r="AG609" s="533"/>
      <c r="AH609" s="533"/>
      <c r="AI609" s="533"/>
      <c r="AJ609" s="146"/>
    </row>
    <row r="610" spans="1:36" ht="15.95" customHeight="1" outlineLevel="1" x14ac:dyDescent="0.3">
      <c r="A610" s="527"/>
      <c r="B610" s="527"/>
      <c r="C610" s="527"/>
      <c r="D610" s="527"/>
      <c r="E610" s="527"/>
      <c r="F610" s="527"/>
      <c r="G610" s="527"/>
      <c r="H610" s="527"/>
      <c r="I610" s="527"/>
      <c r="J610" s="527"/>
      <c r="K610" s="527"/>
      <c r="L610" s="527"/>
      <c r="M610" s="527"/>
      <c r="N610" s="527"/>
      <c r="O610" s="527"/>
      <c r="P610" s="527"/>
      <c r="Q610" s="527"/>
      <c r="R610" s="527"/>
      <c r="S610" s="527"/>
      <c r="T610" s="527"/>
      <c r="U610" s="527"/>
      <c r="V610" s="527"/>
      <c r="AF610" s="140"/>
      <c r="AG610" s="533"/>
      <c r="AH610" s="533"/>
      <c r="AI610" s="533"/>
      <c r="AJ610" s="146"/>
    </row>
    <row r="611" spans="1:36" ht="15.95" customHeight="1" outlineLevel="1" x14ac:dyDescent="0.3">
      <c r="A611" s="527"/>
      <c r="B611" s="769" t="s">
        <v>237</v>
      </c>
      <c r="C611" s="769"/>
      <c r="D611" s="768"/>
      <c r="E611" s="768"/>
      <c r="F611" s="768"/>
      <c r="G611" s="527"/>
      <c r="H611" s="769" t="s">
        <v>0</v>
      </c>
      <c r="I611" s="769"/>
      <c r="J611" s="770"/>
      <c r="K611" s="770"/>
      <c r="L611" s="770"/>
      <c r="M611" s="769" t="s">
        <v>11</v>
      </c>
      <c r="N611" s="769"/>
      <c r="O611" s="768"/>
      <c r="P611" s="768"/>
      <c r="Q611" s="769" t="s">
        <v>3311</v>
      </c>
      <c r="R611" s="769"/>
      <c r="S611" s="768"/>
      <c r="T611" s="768"/>
      <c r="U611" s="527"/>
      <c r="V611" s="527"/>
      <c r="AF611" s="140"/>
      <c r="AG611" s="533"/>
      <c r="AH611" s="533"/>
      <c r="AI611" s="533"/>
      <c r="AJ611" s="146"/>
    </row>
    <row r="612" spans="1:36" ht="15.95" customHeight="1" outlineLevel="1" x14ac:dyDescent="0.3">
      <c r="A612" s="527"/>
      <c r="B612" s="769"/>
      <c r="C612" s="769"/>
      <c r="D612" s="768"/>
      <c r="E612" s="768"/>
      <c r="F612" s="768"/>
      <c r="G612" s="527"/>
      <c r="H612" s="769"/>
      <c r="I612" s="769"/>
      <c r="J612" s="770"/>
      <c r="K612" s="770"/>
      <c r="L612" s="770"/>
      <c r="M612" s="769"/>
      <c r="N612" s="769"/>
      <c r="O612" s="768"/>
      <c r="P612" s="768"/>
      <c r="Q612" s="769"/>
      <c r="R612" s="769"/>
      <c r="S612" s="768"/>
      <c r="T612" s="768"/>
      <c r="U612" s="527"/>
      <c r="V612" s="527"/>
      <c r="AF612" s="140"/>
      <c r="AG612" s="533"/>
      <c r="AH612" s="533"/>
      <c r="AI612" s="533"/>
      <c r="AJ612" s="146"/>
    </row>
    <row r="613" spans="1:36" ht="15.95" customHeight="1" outlineLevel="1" x14ac:dyDescent="0.3">
      <c r="A613" s="527"/>
      <c r="B613" s="527"/>
      <c r="C613" s="527"/>
      <c r="D613" s="527"/>
      <c r="E613" s="527"/>
      <c r="F613" s="527"/>
      <c r="G613" s="527"/>
      <c r="H613" s="527"/>
      <c r="I613" s="769" t="s">
        <v>161</v>
      </c>
      <c r="J613" s="769"/>
      <c r="K613" s="768"/>
      <c r="L613" s="768"/>
      <c r="M613" s="768"/>
      <c r="N613" s="769" t="s">
        <v>13</v>
      </c>
      <c r="O613" s="769"/>
      <c r="P613" s="768"/>
      <c r="Q613" s="768"/>
      <c r="R613" s="768"/>
      <c r="S613" s="768"/>
      <c r="T613" s="768"/>
      <c r="U613" s="527"/>
      <c r="V613" s="527"/>
      <c r="AF613" s="140"/>
      <c r="AG613" s="533"/>
      <c r="AH613" s="533"/>
      <c r="AI613" s="533"/>
      <c r="AJ613" s="146"/>
    </row>
    <row r="614" spans="1:36" ht="15.95" customHeight="1" outlineLevel="1" x14ac:dyDescent="0.3">
      <c r="A614" s="527"/>
      <c r="B614" s="769" t="s">
        <v>113</v>
      </c>
      <c r="C614" s="768"/>
      <c r="D614" s="768"/>
      <c r="E614" s="527"/>
      <c r="F614" s="527"/>
      <c r="G614" s="527"/>
      <c r="H614" s="527"/>
      <c r="I614" s="769"/>
      <c r="J614" s="769"/>
      <c r="K614" s="768"/>
      <c r="L614" s="768"/>
      <c r="M614" s="768"/>
      <c r="N614" s="769"/>
      <c r="O614" s="769"/>
      <c r="P614" s="768"/>
      <c r="Q614" s="768"/>
      <c r="R614" s="768"/>
      <c r="S614" s="768"/>
      <c r="T614" s="768"/>
      <c r="U614" s="527"/>
      <c r="V614" s="527"/>
      <c r="AF614" s="140"/>
      <c r="AG614" s="533"/>
      <c r="AH614" s="533"/>
      <c r="AI614" s="533"/>
      <c r="AJ614" s="146"/>
    </row>
    <row r="615" spans="1:36" ht="15.95" customHeight="1" outlineLevel="1" x14ac:dyDescent="0.3">
      <c r="A615" s="527"/>
      <c r="B615" s="769"/>
      <c r="C615" s="768"/>
      <c r="D615" s="768"/>
      <c r="E615" s="527"/>
      <c r="F615" s="527"/>
      <c r="G615" s="527"/>
      <c r="H615" s="769" t="s">
        <v>6294</v>
      </c>
      <c r="I615" s="769"/>
      <c r="J615" s="768"/>
      <c r="K615" s="768"/>
      <c r="L615" s="769" t="s">
        <v>12</v>
      </c>
      <c r="M615" s="769"/>
      <c r="N615" s="768"/>
      <c r="O615" s="768"/>
      <c r="P615" s="769" t="s">
        <v>5163</v>
      </c>
      <c r="Q615" s="769"/>
      <c r="R615" s="768"/>
      <c r="S615" s="768"/>
      <c r="T615" s="768"/>
      <c r="U615" s="527"/>
      <c r="V615" s="527"/>
      <c r="AF615" s="140"/>
      <c r="AG615" s="533"/>
      <c r="AH615" s="533"/>
      <c r="AI615" s="533"/>
      <c r="AJ615" s="146"/>
    </row>
    <row r="616" spans="1:36" ht="15.95" customHeight="1" outlineLevel="1" x14ac:dyDescent="0.3">
      <c r="A616" s="527"/>
      <c r="B616" s="769" t="s">
        <v>117</v>
      </c>
      <c r="C616" s="768"/>
      <c r="D616" s="768"/>
      <c r="E616" s="527"/>
      <c r="F616" s="527"/>
      <c r="G616" s="527"/>
      <c r="H616" s="769"/>
      <c r="I616" s="769"/>
      <c r="J616" s="768"/>
      <c r="K616" s="768"/>
      <c r="L616" s="769"/>
      <c r="M616" s="769"/>
      <c r="N616" s="768"/>
      <c r="O616" s="768"/>
      <c r="P616" s="769"/>
      <c r="Q616" s="769"/>
      <c r="R616" s="768"/>
      <c r="S616" s="768"/>
      <c r="T616" s="768"/>
      <c r="U616" s="527"/>
      <c r="V616" s="527"/>
      <c r="AF616" s="140"/>
      <c r="AG616" s="533"/>
      <c r="AH616" s="533"/>
      <c r="AI616" s="533"/>
      <c r="AJ616" s="146"/>
    </row>
    <row r="617" spans="1:36" ht="15.95" customHeight="1" outlineLevel="1" x14ac:dyDescent="0.3">
      <c r="A617" s="527"/>
      <c r="B617" s="769"/>
      <c r="C617" s="768"/>
      <c r="D617" s="768"/>
      <c r="E617" s="527"/>
      <c r="F617" s="527"/>
      <c r="G617" s="527"/>
      <c r="H617" s="769" t="s">
        <v>2233</v>
      </c>
      <c r="I617" s="769"/>
      <c r="J617" s="768"/>
      <c r="K617" s="768"/>
      <c r="L617" s="768"/>
      <c r="M617" s="768"/>
      <c r="N617" s="768"/>
      <c r="O617" s="768"/>
      <c r="P617" s="768"/>
      <c r="Q617" s="768"/>
      <c r="R617" s="768"/>
      <c r="S617" s="768"/>
      <c r="T617" s="768"/>
      <c r="U617" s="527"/>
      <c r="V617" s="527"/>
      <c r="AF617" s="140"/>
      <c r="AG617" s="533"/>
      <c r="AH617" s="533"/>
      <c r="AI617" s="533"/>
      <c r="AJ617" s="146"/>
    </row>
    <row r="618" spans="1:36" ht="15.95" customHeight="1" outlineLevel="1" x14ac:dyDescent="0.3">
      <c r="A618" s="527"/>
      <c r="B618" s="769" t="s">
        <v>508</v>
      </c>
      <c r="C618" s="768"/>
      <c r="D618" s="768"/>
      <c r="E618" s="527"/>
      <c r="F618" s="527"/>
      <c r="G618" s="527"/>
      <c r="H618" s="769"/>
      <c r="I618" s="769"/>
      <c r="J618" s="768"/>
      <c r="K618" s="768"/>
      <c r="L618" s="768"/>
      <c r="M618" s="768"/>
      <c r="N618" s="768"/>
      <c r="O618" s="768"/>
      <c r="P618" s="768"/>
      <c r="Q618" s="768"/>
      <c r="R618" s="768"/>
      <c r="S618" s="768"/>
      <c r="T618" s="768"/>
      <c r="U618" s="527"/>
      <c r="V618" s="527"/>
      <c r="AF618" s="140"/>
      <c r="AG618" s="533"/>
      <c r="AH618" s="533"/>
      <c r="AI618" s="533"/>
      <c r="AJ618" s="146"/>
    </row>
    <row r="619" spans="1:36" ht="15.95" customHeight="1" outlineLevel="1" x14ac:dyDescent="0.3">
      <c r="A619" s="527"/>
      <c r="B619" s="769"/>
      <c r="C619" s="768"/>
      <c r="D619" s="768"/>
      <c r="E619" s="527"/>
      <c r="F619" s="527"/>
      <c r="G619" s="527"/>
      <c r="H619" s="527"/>
      <c r="I619" s="527"/>
      <c r="J619" s="768"/>
      <c r="K619" s="768"/>
      <c r="L619" s="768"/>
      <c r="M619" s="768"/>
      <c r="N619" s="768"/>
      <c r="O619" s="768"/>
      <c r="P619" s="768"/>
      <c r="Q619" s="768"/>
      <c r="R619" s="768"/>
      <c r="S619" s="768"/>
      <c r="T619" s="768"/>
      <c r="U619" s="527"/>
      <c r="V619" s="527"/>
      <c r="AF619" s="140"/>
      <c r="AG619" s="533"/>
      <c r="AH619" s="533"/>
      <c r="AI619" s="533"/>
      <c r="AJ619" s="146"/>
    </row>
    <row r="620" spans="1:36" ht="15.95" customHeight="1" outlineLevel="1" x14ac:dyDescent="0.3">
      <c r="A620" s="527"/>
      <c r="B620" s="769" t="s">
        <v>509</v>
      </c>
      <c r="C620" s="768"/>
      <c r="D620" s="768"/>
      <c r="E620" s="527"/>
      <c r="F620" s="527"/>
      <c r="G620" s="527"/>
      <c r="H620" s="527"/>
      <c r="I620" s="527"/>
      <c r="J620" s="768"/>
      <c r="K620" s="768"/>
      <c r="L620" s="768"/>
      <c r="M620" s="768"/>
      <c r="N620" s="768"/>
      <c r="O620" s="768"/>
      <c r="P620" s="768"/>
      <c r="Q620" s="768"/>
      <c r="R620" s="768"/>
      <c r="S620" s="768"/>
      <c r="T620" s="768"/>
      <c r="U620" s="527"/>
      <c r="V620" s="527"/>
      <c r="AF620" s="140"/>
      <c r="AG620" s="533"/>
      <c r="AH620" s="533"/>
      <c r="AI620" s="533"/>
      <c r="AJ620" s="146"/>
    </row>
    <row r="621" spans="1:36" ht="15.95" customHeight="1" outlineLevel="1" x14ac:dyDescent="0.3">
      <c r="A621" s="527"/>
      <c r="B621" s="769"/>
      <c r="C621" s="768"/>
      <c r="D621" s="768"/>
      <c r="E621" s="527"/>
      <c r="F621" s="527"/>
      <c r="G621" s="527"/>
      <c r="H621" s="769" t="s">
        <v>4119</v>
      </c>
      <c r="I621" s="769"/>
      <c r="J621" s="768"/>
      <c r="K621" s="768"/>
      <c r="L621" s="768"/>
      <c r="M621" s="768"/>
      <c r="N621" s="768"/>
      <c r="O621" s="768"/>
      <c r="P621" s="768"/>
      <c r="Q621" s="768"/>
      <c r="R621" s="768"/>
      <c r="S621" s="768"/>
      <c r="T621" s="768"/>
      <c r="U621" s="527"/>
      <c r="V621" s="527"/>
      <c r="AF621" s="140"/>
      <c r="AG621" s="533"/>
      <c r="AH621" s="533"/>
      <c r="AI621" s="533"/>
      <c r="AJ621" s="146"/>
    </row>
    <row r="622" spans="1:36" ht="15.95" customHeight="1" outlineLevel="1" x14ac:dyDescent="0.3">
      <c r="A622" s="527"/>
      <c r="B622" s="769" t="s">
        <v>510</v>
      </c>
      <c r="C622" s="768"/>
      <c r="D622" s="768"/>
      <c r="E622" s="527"/>
      <c r="F622" s="527"/>
      <c r="G622" s="527"/>
      <c r="H622" s="769"/>
      <c r="I622" s="769"/>
      <c r="J622" s="768"/>
      <c r="K622" s="768"/>
      <c r="L622" s="768"/>
      <c r="M622" s="768"/>
      <c r="N622" s="768"/>
      <c r="O622" s="768"/>
      <c r="P622" s="768"/>
      <c r="Q622" s="768"/>
      <c r="R622" s="768"/>
      <c r="S622" s="768"/>
      <c r="T622" s="768"/>
      <c r="U622" s="527"/>
      <c r="V622" s="527"/>
      <c r="AF622" s="140"/>
      <c r="AG622" s="533"/>
      <c r="AH622" s="533"/>
      <c r="AI622" s="533"/>
      <c r="AJ622" s="146"/>
    </row>
    <row r="623" spans="1:36" ht="15.95" customHeight="1" outlineLevel="1" x14ac:dyDescent="0.3">
      <c r="A623" s="527"/>
      <c r="B623" s="769"/>
      <c r="C623" s="768"/>
      <c r="D623" s="768"/>
      <c r="E623" s="527"/>
      <c r="F623" s="527"/>
      <c r="G623" s="527"/>
      <c r="H623" s="769" t="s">
        <v>5164</v>
      </c>
      <c r="I623" s="769"/>
      <c r="J623" s="768"/>
      <c r="K623" s="768"/>
      <c r="L623" s="768"/>
      <c r="M623" s="768"/>
      <c r="N623" s="768"/>
      <c r="O623" s="768"/>
      <c r="P623" s="768"/>
      <c r="Q623" s="768"/>
      <c r="R623" s="768"/>
      <c r="S623" s="768"/>
      <c r="T623" s="768"/>
      <c r="U623" s="527"/>
      <c r="V623" s="527"/>
      <c r="AG623" s="533"/>
      <c r="AH623" s="533"/>
      <c r="AI623" s="533"/>
      <c r="AJ623" s="146"/>
    </row>
    <row r="624" spans="1:36" ht="15.95" customHeight="1" outlineLevel="1" x14ac:dyDescent="0.3">
      <c r="A624" s="527"/>
      <c r="B624" s="769" t="s">
        <v>511</v>
      </c>
      <c r="C624" s="768"/>
      <c r="D624" s="768"/>
      <c r="E624" s="527"/>
      <c r="F624" s="527"/>
      <c r="G624" s="527"/>
      <c r="H624" s="769"/>
      <c r="I624" s="769"/>
      <c r="J624" s="768"/>
      <c r="K624" s="768"/>
      <c r="L624" s="768"/>
      <c r="M624" s="768"/>
      <c r="N624" s="768"/>
      <c r="O624" s="768"/>
      <c r="P624" s="768"/>
      <c r="Q624" s="768"/>
      <c r="R624" s="768"/>
      <c r="S624" s="768"/>
      <c r="T624" s="768"/>
      <c r="U624" s="527"/>
      <c r="V624" s="527"/>
      <c r="AG624" s="533"/>
      <c r="AH624" s="533"/>
      <c r="AI624" s="533"/>
      <c r="AJ624" s="146"/>
    </row>
    <row r="625" spans="1:36" ht="15.95" customHeight="1" outlineLevel="1" x14ac:dyDescent="0.3">
      <c r="A625" s="527"/>
      <c r="B625" s="769"/>
      <c r="C625" s="768"/>
      <c r="D625" s="768"/>
      <c r="E625" s="527"/>
      <c r="F625" s="527"/>
      <c r="G625" s="527"/>
      <c r="H625" s="769" t="s">
        <v>5165</v>
      </c>
      <c r="I625" s="769"/>
      <c r="J625" s="768"/>
      <c r="K625" s="768"/>
      <c r="L625" s="768"/>
      <c r="M625" s="768"/>
      <c r="N625" s="768"/>
      <c r="O625" s="768"/>
      <c r="P625" s="768"/>
      <c r="Q625" s="768"/>
      <c r="R625" s="768"/>
      <c r="S625" s="768"/>
      <c r="T625" s="768"/>
      <c r="U625" s="527"/>
      <c r="V625" s="527"/>
      <c r="AG625" s="533"/>
      <c r="AH625" s="533"/>
      <c r="AI625" s="533"/>
      <c r="AJ625" s="146"/>
    </row>
    <row r="626" spans="1:36" ht="15.95" customHeight="1" outlineLevel="1" x14ac:dyDescent="0.3">
      <c r="A626" s="527"/>
      <c r="B626" s="527"/>
      <c r="C626" s="527"/>
      <c r="D626" s="527"/>
      <c r="E626" s="527"/>
      <c r="F626" s="527"/>
      <c r="G626" s="527"/>
      <c r="H626" s="769"/>
      <c r="I626" s="769"/>
      <c r="J626" s="768"/>
      <c r="K626" s="768"/>
      <c r="L626" s="768"/>
      <c r="M626" s="768"/>
      <c r="N626" s="768"/>
      <c r="O626" s="768"/>
      <c r="P626" s="768"/>
      <c r="Q626" s="768"/>
      <c r="R626" s="768"/>
      <c r="S626" s="768"/>
      <c r="T626" s="768"/>
      <c r="U626" s="527"/>
      <c r="V626" s="527"/>
      <c r="AG626" s="533"/>
      <c r="AH626" s="533"/>
      <c r="AI626" s="533"/>
      <c r="AJ626" s="146"/>
    </row>
    <row r="627" spans="1:36" ht="15.95" customHeight="1" outlineLevel="1" x14ac:dyDescent="0.3">
      <c r="A627" s="527"/>
      <c r="B627" s="527"/>
      <c r="C627" s="527"/>
      <c r="D627" s="527"/>
      <c r="E627" s="527"/>
      <c r="F627" s="527"/>
      <c r="G627" s="527"/>
      <c r="H627" s="527"/>
      <c r="I627" s="527"/>
      <c r="J627" s="768"/>
      <c r="K627" s="768"/>
      <c r="L627" s="768"/>
      <c r="M627" s="768"/>
      <c r="N627" s="768"/>
      <c r="O627" s="768"/>
      <c r="P627" s="768"/>
      <c r="Q627" s="768"/>
      <c r="R627" s="768"/>
      <c r="S627" s="768"/>
      <c r="T627" s="768"/>
      <c r="U627" s="527"/>
      <c r="V627" s="527"/>
      <c r="AG627" s="533"/>
      <c r="AH627" s="533"/>
      <c r="AI627" s="533"/>
      <c r="AJ627" s="146"/>
    </row>
    <row r="628" spans="1:36" ht="15.95" customHeight="1" outlineLevel="1" x14ac:dyDescent="0.3">
      <c r="A628" s="527"/>
      <c r="B628" s="527"/>
      <c r="C628" s="527"/>
      <c r="D628" s="527"/>
      <c r="E628" s="527"/>
      <c r="F628" s="527"/>
      <c r="G628" s="527"/>
      <c r="H628" s="527"/>
      <c r="I628" s="527"/>
      <c r="J628" s="768"/>
      <c r="K628" s="768"/>
      <c r="L628" s="768"/>
      <c r="M628" s="768"/>
      <c r="N628" s="768"/>
      <c r="O628" s="768"/>
      <c r="P628" s="768"/>
      <c r="Q628" s="768"/>
      <c r="R628" s="768"/>
      <c r="S628" s="768"/>
      <c r="T628" s="768"/>
      <c r="U628" s="527"/>
      <c r="V628" s="527"/>
      <c r="AG628" s="533"/>
      <c r="AH628" s="533"/>
      <c r="AI628" s="533"/>
      <c r="AJ628" s="146"/>
    </row>
    <row r="629" spans="1:36" ht="15.95" customHeight="1" outlineLevel="1" x14ac:dyDescent="0.3">
      <c r="A629" s="527"/>
      <c r="B629" s="527"/>
      <c r="C629" s="527"/>
      <c r="D629" s="527"/>
      <c r="E629" s="527"/>
      <c r="F629" s="527"/>
      <c r="G629" s="527"/>
      <c r="H629" s="769" t="s">
        <v>5166</v>
      </c>
      <c r="I629" s="769"/>
      <c r="J629" s="768"/>
      <c r="K629" s="768"/>
      <c r="L629" s="768"/>
      <c r="M629" s="768"/>
      <c r="N629" s="768"/>
      <c r="O629" s="768"/>
      <c r="P629" s="768"/>
      <c r="Q629" s="768"/>
      <c r="R629" s="768"/>
      <c r="S629" s="768"/>
      <c r="T629" s="768"/>
      <c r="U629" s="527"/>
      <c r="V629" s="527"/>
      <c r="AG629" s="533"/>
      <c r="AH629" s="533"/>
      <c r="AI629" s="533"/>
      <c r="AJ629" s="146"/>
    </row>
    <row r="630" spans="1:36" ht="15.95" customHeight="1" outlineLevel="1" x14ac:dyDescent="0.3">
      <c r="A630" s="527"/>
      <c r="B630" s="527"/>
      <c r="C630" s="527"/>
      <c r="D630" s="527"/>
      <c r="E630" s="527"/>
      <c r="F630" s="527"/>
      <c r="G630" s="527"/>
      <c r="H630" s="769"/>
      <c r="I630" s="769"/>
      <c r="J630" s="768"/>
      <c r="K630" s="768"/>
      <c r="L630" s="768"/>
      <c r="M630" s="768"/>
      <c r="N630" s="768"/>
      <c r="O630" s="768"/>
      <c r="P630" s="768"/>
      <c r="Q630" s="768"/>
      <c r="R630" s="768"/>
      <c r="S630" s="768"/>
      <c r="T630" s="768"/>
      <c r="U630" s="527"/>
      <c r="V630" s="527"/>
      <c r="AG630" s="533"/>
      <c r="AH630" s="533"/>
      <c r="AI630" s="533"/>
      <c r="AJ630" s="146"/>
    </row>
    <row r="631" spans="1:36" ht="15.95" customHeight="1" outlineLevel="1" x14ac:dyDescent="0.3">
      <c r="A631" s="527"/>
      <c r="B631" s="527"/>
      <c r="C631" s="527"/>
      <c r="D631" s="527"/>
      <c r="E631" s="527"/>
      <c r="F631" s="527"/>
      <c r="G631" s="527"/>
      <c r="H631" s="527"/>
      <c r="I631" s="527"/>
      <c r="J631" s="768"/>
      <c r="K631" s="768"/>
      <c r="L631" s="768"/>
      <c r="M631" s="768"/>
      <c r="N631" s="768"/>
      <c r="O631" s="768"/>
      <c r="P631" s="768"/>
      <c r="Q631" s="768"/>
      <c r="R631" s="768"/>
      <c r="S631" s="768"/>
      <c r="T631" s="768"/>
      <c r="U631" s="527"/>
      <c r="V631" s="527"/>
      <c r="AG631" s="533"/>
      <c r="AH631" s="533"/>
      <c r="AI631" s="533"/>
      <c r="AJ631" s="146"/>
    </row>
    <row r="632" spans="1:36" ht="15.95" customHeight="1" outlineLevel="1" x14ac:dyDescent="0.3">
      <c r="A632" s="527"/>
      <c r="B632" s="527"/>
      <c r="C632" s="527"/>
      <c r="D632" s="527"/>
      <c r="E632" s="527"/>
      <c r="F632" s="527"/>
      <c r="G632" s="527"/>
      <c r="H632" s="527"/>
      <c r="I632" s="527"/>
      <c r="J632" s="768"/>
      <c r="K632" s="768"/>
      <c r="L632" s="768"/>
      <c r="M632" s="768"/>
      <c r="N632" s="768"/>
      <c r="O632" s="768"/>
      <c r="P632" s="768"/>
      <c r="Q632" s="768"/>
      <c r="R632" s="768"/>
      <c r="S632" s="768"/>
      <c r="T632" s="768"/>
      <c r="U632" s="527"/>
      <c r="V632" s="527"/>
      <c r="AG632" s="533"/>
      <c r="AH632" s="533"/>
      <c r="AI632" s="533"/>
      <c r="AJ632" s="146"/>
    </row>
    <row r="633" spans="1:36" ht="15.95" customHeight="1" outlineLevel="1" x14ac:dyDescent="0.3">
      <c r="A633" s="527"/>
      <c r="B633" s="527"/>
      <c r="C633" s="527"/>
      <c r="D633" s="527"/>
      <c r="E633" s="527"/>
      <c r="F633" s="527"/>
      <c r="G633" s="527"/>
      <c r="H633" s="527"/>
      <c r="I633" s="527"/>
      <c r="J633" s="527"/>
      <c r="K633" s="527"/>
      <c r="L633" s="527"/>
      <c r="M633" s="527"/>
      <c r="N633" s="527"/>
      <c r="O633" s="527"/>
      <c r="P633" s="527"/>
      <c r="Q633" s="527"/>
      <c r="R633" s="527"/>
      <c r="S633" s="527"/>
      <c r="T633" s="527"/>
      <c r="U633" s="527"/>
      <c r="V633" s="527"/>
      <c r="AG633" s="533"/>
      <c r="AH633" s="533"/>
      <c r="AI633" s="533"/>
      <c r="AJ633" s="146"/>
    </row>
    <row r="634" spans="1:36" ht="15.95" customHeight="1" x14ac:dyDescent="0.3">
      <c r="A634" s="527"/>
      <c r="B634" s="527"/>
      <c r="C634" s="527"/>
      <c r="D634" s="527"/>
      <c r="E634" s="527"/>
      <c r="F634" s="527"/>
      <c r="G634" s="527"/>
      <c r="H634" s="527"/>
      <c r="I634" s="527"/>
      <c r="J634" s="527"/>
      <c r="K634" s="527"/>
      <c r="L634" s="527"/>
      <c r="M634" s="527"/>
      <c r="N634" s="527"/>
      <c r="O634" s="527"/>
      <c r="P634" s="527"/>
      <c r="Q634" s="527"/>
      <c r="R634" s="527"/>
      <c r="S634" s="527"/>
      <c r="T634" s="527"/>
      <c r="U634" s="527"/>
      <c r="V634" s="527"/>
      <c r="W634" s="527"/>
      <c r="X634" s="527"/>
      <c r="Y634" s="527"/>
      <c r="Z634" s="527"/>
      <c r="AA634" s="527"/>
      <c r="AB634" s="527"/>
      <c r="AC634" s="527"/>
      <c r="AD634" s="527"/>
      <c r="AE634" s="527"/>
      <c r="AF634" s="527"/>
      <c r="AG634" s="533"/>
      <c r="AH634" s="533"/>
      <c r="AI634" s="533"/>
      <c r="AJ634" s="146"/>
    </row>
  </sheetData>
  <mergeCells count="1664">
    <mergeCell ref="X415:X416"/>
    <mergeCell ref="U410:Y410"/>
    <mergeCell ref="U411:Y411"/>
    <mergeCell ref="B537:C537"/>
    <mergeCell ref="D537:F537"/>
    <mergeCell ref="B553:C553"/>
    <mergeCell ref="D553:F553"/>
    <mergeCell ref="B555:C555"/>
    <mergeCell ref="D555:F555"/>
    <mergeCell ref="B556:C556"/>
    <mergeCell ref="D556:F556"/>
    <mergeCell ref="B540:C540"/>
    <mergeCell ref="D540:F540"/>
    <mergeCell ref="B541:C541"/>
    <mergeCell ref="D541:F541"/>
    <mergeCell ref="B543:C543"/>
    <mergeCell ref="D543:F543"/>
    <mergeCell ref="B544:C544"/>
    <mergeCell ref="D544:F544"/>
    <mergeCell ref="B546:C546"/>
    <mergeCell ref="D546:F546"/>
    <mergeCell ref="B547:C547"/>
    <mergeCell ref="D547:F547"/>
    <mergeCell ref="B549:C549"/>
    <mergeCell ref="D549:F549"/>
    <mergeCell ref="B550:C550"/>
    <mergeCell ref="D550:F550"/>
    <mergeCell ref="B552:C552"/>
    <mergeCell ref="D552:F552"/>
    <mergeCell ref="B538:C538"/>
    <mergeCell ref="D538:F538"/>
    <mergeCell ref="B429:C430"/>
    <mergeCell ref="D429:F430"/>
    <mergeCell ref="V435:W436"/>
    <mergeCell ref="N429:O430"/>
    <mergeCell ref="P429:R430"/>
    <mergeCell ref="N432:O432"/>
    <mergeCell ref="P432:R432"/>
    <mergeCell ref="V429:W430"/>
    <mergeCell ref="N436:O436"/>
    <mergeCell ref="P436:R436"/>
    <mergeCell ref="N437:O437"/>
    <mergeCell ref="I444:K444"/>
    <mergeCell ref="P434:R434"/>
    <mergeCell ref="N435:O435"/>
    <mergeCell ref="B432:E432"/>
    <mergeCell ref="B433:E433"/>
    <mergeCell ref="M511:N512"/>
    <mergeCell ref="O511:Q512"/>
    <mergeCell ref="M513:N514"/>
    <mergeCell ref="O513:Q514"/>
    <mergeCell ref="M515:N516"/>
    <mergeCell ref="O515:Q516"/>
    <mergeCell ref="M517:N518"/>
    <mergeCell ref="O517:Q518"/>
    <mergeCell ref="M498:N499"/>
    <mergeCell ref="J429:L430"/>
    <mergeCell ref="N479:S479"/>
    <mergeCell ref="N480:S480"/>
    <mergeCell ref="V437:W438"/>
    <mergeCell ref="N457:S457"/>
    <mergeCell ref="EC449:ED450"/>
    <mergeCell ref="EC447:ED448"/>
    <mergeCell ref="EA440:EJ441"/>
    <mergeCell ref="EF442:EK454"/>
    <mergeCell ref="Z208:AD211"/>
    <mergeCell ref="B245:C248"/>
    <mergeCell ref="D245:F248"/>
    <mergeCell ref="G245:T248"/>
    <mergeCell ref="B249:C252"/>
    <mergeCell ref="D249:F252"/>
    <mergeCell ref="G249:T252"/>
    <mergeCell ref="B253:C256"/>
    <mergeCell ref="D253:F256"/>
    <mergeCell ref="G253:T256"/>
    <mergeCell ref="EA442:EB443"/>
    <mergeCell ref="EC442:EE443"/>
    <mergeCell ref="EA444:EB445"/>
    <mergeCell ref="EC444:EE445"/>
    <mergeCell ref="EA449:EB450"/>
    <mergeCell ref="EA447:EB448"/>
    <mergeCell ref="X439:Z440"/>
    <mergeCell ref="B426:AE427"/>
    <mergeCell ref="H415:K416"/>
    <mergeCell ref="L415:L416"/>
    <mergeCell ref="M415:M416"/>
    <mergeCell ref="H429:I430"/>
    <mergeCell ref="B445:E445"/>
    <mergeCell ref="B446:E446"/>
    <mergeCell ref="N415:Q416"/>
    <mergeCell ref="R415:R416"/>
    <mergeCell ref="S415:S416"/>
    <mergeCell ref="O418:S418"/>
    <mergeCell ref="H432:I433"/>
    <mergeCell ref="J432:L433"/>
    <mergeCell ref="H434:I435"/>
    <mergeCell ref="J434:L435"/>
    <mergeCell ref="H436:I437"/>
    <mergeCell ref="J436:L437"/>
    <mergeCell ref="T429:U430"/>
    <mergeCell ref="S498:T499"/>
    <mergeCell ref="U498:W499"/>
    <mergeCell ref="M492:N493"/>
    <mergeCell ref="O492:Q493"/>
    <mergeCell ref="S492:T493"/>
    <mergeCell ref="U492:W493"/>
    <mergeCell ref="M495:N496"/>
    <mergeCell ref="N462:S462"/>
    <mergeCell ref="N456:S456"/>
    <mergeCell ref="H469:J469"/>
    <mergeCell ref="P435:R435"/>
    <mergeCell ref="T435:U436"/>
    <mergeCell ref="P437:R437"/>
    <mergeCell ref="N474:S474"/>
    <mergeCell ref="N475:S475"/>
    <mergeCell ref="N476:S476"/>
    <mergeCell ref="N477:S477"/>
    <mergeCell ref="H458:J458"/>
    <mergeCell ref="N478:S478"/>
    <mergeCell ref="X435:Z436"/>
    <mergeCell ref="I445:K445"/>
    <mergeCell ref="I443:K443"/>
    <mergeCell ref="M501:N502"/>
    <mergeCell ref="H470:J470"/>
    <mergeCell ref="H471:J471"/>
    <mergeCell ref="H472:J472"/>
    <mergeCell ref="J493:K493"/>
    <mergeCell ref="J494:K494"/>
    <mergeCell ref="H465:J465"/>
    <mergeCell ref="H466:J466"/>
    <mergeCell ref="H467:J467"/>
    <mergeCell ref="H468:J468"/>
    <mergeCell ref="J502:K502"/>
    <mergeCell ref="X437:Z438"/>
    <mergeCell ref="Y493:Z494"/>
    <mergeCell ref="O498:Q499"/>
    <mergeCell ref="H456:J456"/>
    <mergeCell ref="H457:J457"/>
    <mergeCell ref="H438:I439"/>
    <mergeCell ref="J438:L439"/>
    <mergeCell ref="N439:O440"/>
    <mergeCell ref="P439:R440"/>
    <mergeCell ref="C459:E459"/>
    <mergeCell ref="C460:E460"/>
    <mergeCell ref="C464:E464"/>
    <mergeCell ref="C465:E465"/>
    <mergeCell ref="C471:E471"/>
    <mergeCell ref="C469:E469"/>
    <mergeCell ref="H473:J473"/>
    <mergeCell ref="H474:J474"/>
    <mergeCell ref="H475:J475"/>
    <mergeCell ref="C468:E468"/>
    <mergeCell ref="H459:J459"/>
    <mergeCell ref="H460:J460"/>
    <mergeCell ref="H461:J461"/>
    <mergeCell ref="H462:J462"/>
    <mergeCell ref="H463:J463"/>
    <mergeCell ref="H464:J464"/>
    <mergeCell ref="C500:E500"/>
    <mergeCell ref="C501:E501"/>
    <mergeCell ref="C502:E502"/>
    <mergeCell ref="C508:E508"/>
    <mergeCell ref="C503:E503"/>
    <mergeCell ref="C504:E504"/>
    <mergeCell ref="C505:E505"/>
    <mergeCell ref="B438:E438"/>
    <mergeCell ref="B439:E439"/>
    <mergeCell ref="B440:E440"/>
    <mergeCell ref="B441:E441"/>
    <mergeCell ref="B442:E442"/>
    <mergeCell ref="B443:E443"/>
    <mergeCell ref="B444:E444"/>
    <mergeCell ref="C466:E466"/>
    <mergeCell ref="C472:E472"/>
    <mergeCell ref="C473:E473"/>
    <mergeCell ref="C475:E475"/>
    <mergeCell ref="C474:E474"/>
    <mergeCell ref="C507:E507"/>
    <mergeCell ref="C456:E456"/>
    <mergeCell ref="C457:E457"/>
    <mergeCell ref="C495:E495"/>
    <mergeCell ref="C496:E496"/>
    <mergeCell ref="C458:E458"/>
    <mergeCell ref="C461:E461"/>
    <mergeCell ref="C467:E467"/>
    <mergeCell ref="C462:E462"/>
    <mergeCell ref="C463:E463"/>
    <mergeCell ref="B449:E449"/>
    <mergeCell ref="B450:E450"/>
    <mergeCell ref="B451:E451"/>
    <mergeCell ref="C499:E499"/>
    <mergeCell ref="J509:K509"/>
    <mergeCell ref="C497:E497"/>
    <mergeCell ref="C498:E498"/>
    <mergeCell ref="Y512:Z513"/>
    <mergeCell ref="AA512:AC513"/>
    <mergeCell ref="N481:S481"/>
    <mergeCell ref="N482:S482"/>
    <mergeCell ref="N483:S483"/>
    <mergeCell ref="N484:S484"/>
    <mergeCell ref="J495:K495"/>
    <mergeCell ref="J496:K496"/>
    <mergeCell ref="J497:K497"/>
    <mergeCell ref="N485:S485"/>
    <mergeCell ref="N463:S463"/>
    <mergeCell ref="N464:S464"/>
    <mergeCell ref="N465:S465"/>
    <mergeCell ref="N466:S466"/>
    <mergeCell ref="N467:S467"/>
    <mergeCell ref="N468:S468"/>
    <mergeCell ref="N469:S469"/>
    <mergeCell ref="N470:S470"/>
    <mergeCell ref="N471:S471"/>
    <mergeCell ref="B489:AE490"/>
    <mergeCell ref="AA493:AC494"/>
    <mergeCell ref="H485:J485"/>
    <mergeCell ref="C476:E476"/>
    <mergeCell ref="C470:E470"/>
    <mergeCell ref="C511:E511"/>
    <mergeCell ref="O495:Q496"/>
    <mergeCell ref="S495:T496"/>
    <mergeCell ref="N472:S472"/>
    <mergeCell ref="N473:S473"/>
    <mergeCell ref="AA496:AC497"/>
    <mergeCell ref="Y509:Z510"/>
    <mergeCell ref="AA509:AC510"/>
    <mergeCell ref="U495:W496"/>
    <mergeCell ref="M504:N505"/>
    <mergeCell ref="O504:Q505"/>
    <mergeCell ref="S504:T505"/>
    <mergeCell ref="U504:W505"/>
    <mergeCell ref="M507:N508"/>
    <mergeCell ref="O507:Q508"/>
    <mergeCell ref="S507:T508"/>
    <mergeCell ref="U507:W508"/>
    <mergeCell ref="Y503:Z504"/>
    <mergeCell ref="AA503:AC504"/>
    <mergeCell ref="Y498:Z499"/>
    <mergeCell ref="AA498:AC499"/>
    <mergeCell ref="Y500:Z501"/>
    <mergeCell ref="AA500:AC501"/>
    <mergeCell ref="O501:Q502"/>
    <mergeCell ref="S501:T502"/>
    <mergeCell ref="U501:W502"/>
    <mergeCell ref="Y506:Z507"/>
    <mergeCell ref="AA506:AC507"/>
    <mergeCell ref="J503:K503"/>
    <mergeCell ref="J504:K504"/>
    <mergeCell ref="J505:K505"/>
    <mergeCell ref="J506:K506"/>
    <mergeCell ref="Y496:Z497"/>
    <mergeCell ref="C417:G417"/>
    <mergeCell ref="C418:G418"/>
    <mergeCell ref="C419:G419"/>
    <mergeCell ref="C420:G420"/>
    <mergeCell ref="C421:G421"/>
    <mergeCell ref="C422:G422"/>
    <mergeCell ref="I417:M417"/>
    <mergeCell ref="I418:M418"/>
    <mergeCell ref="I419:M419"/>
    <mergeCell ref="I420:M420"/>
    <mergeCell ref="I421:M421"/>
    <mergeCell ref="I422:M422"/>
    <mergeCell ref="U417:Y417"/>
    <mergeCell ref="U418:Y418"/>
    <mergeCell ref="U419:Y419"/>
    <mergeCell ref="U420:Y420"/>
    <mergeCell ref="U421:Y421"/>
    <mergeCell ref="U422:Y422"/>
    <mergeCell ref="B447:E447"/>
    <mergeCell ref="B448:E448"/>
    <mergeCell ref="N459:S459"/>
    <mergeCell ref="N460:S460"/>
    <mergeCell ref="N461:S461"/>
    <mergeCell ref="H454:K455"/>
    <mergeCell ref="J449:L450"/>
    <mergeCell ref="H451:I452"/>
    <mergeCell ref="O417:S417"/>
    <mergeCell ref="O419:S419"/>
    <mergeCell ref="O420:S420"/>
    <mergeCell ref="O421:S421"/>
    <mergeCell ref="O422:S422"/>
    <mergeCell ref="Y415:Y416"/>
    <mergeCell ref="B404:AE405"/>
    <mergeCell ref="B407:E408"/>
    <mergeCell ref="F407:F408"/>
    <mergeCell ref="G407:G408"/>
    <mergeCell ref="C409:G409"/>
    <mergeCell ref="C410:G410"/>
    <mergeCell ref="C411:G411"/>
    <mergeCell ref="C412:G412"/>
    <mergeCell ref="C413:G413"/>
    <mergeCell ref="C414:G414"/>
    <mergeCell ref="H407:K408"/>
    <mergeCell ref="L407:L408"/>
    <mergeCell ref="M407:M408"/>
    <mergeCell ref="I409:M409"/>
    <mergeCell ref="I410:M410"/>
    <mergeCell ref="I411:M411"/>
    <mergeCell ref="I412:M412"/>
    <mergeCell ref="I413:M413"/>
    <mergeCell ref="I414:M414"/>
    <mergeCell ref="N407:Q408"/>
    <mergeCell ref="R407:R408"/>
    <mergeCell ref="S407:S408"/>
    <mergeCell ref="O413:S413"/>
    <mergeCell ref="B415:E416"/>
    <mergeCell ref="F415:F416"/>
    <mergeCell ref="G415:G416"/>
    <mergeCell ref="T415:W416"/>
    <mergeCell ref="J393:M393"/>
    <mergeCell ref="J394:M394"/>
    <mergeCell ref="O414:S414"/>
    <mergeCell ref="T407:W408"/>
    <mergeCell ref="X407:X408"/>
    <mergeCell ref="Y407:Y408"/>
    <mergeCell ref="U409:Y409"/>
    <mergeCell ref="Q393:T393"/>
    <mergeCell ref="Q376:T376"/>
    <mergeCell ref="Q394:T394"/>
    <mergeCell ref="Q395:T395"/>
    <mergeCell ref="Q396:T396"/>
    <mergeCell ref="Q397:T397"/>
    <mergeCell ref="Q390:T390"/>
    <mergeCell ref="Q391:T391"/>
    <mergeCell ref="X379:AA379"/>
    <mergeCell ref="AA407:AE408"/>
    <mergeCell ref="AA409:AE410"/>
    <mergeCell ref="U412:Y412"/>
    <mergeCell ref="U413:Y413"/>
    <mergeCell ref="U414:Y414"/>
    <mergeCell ref="X399:AA399"/>
    <mergeCell ref="X400:AA400"/>
    <mergeCell ref="X386:AA386"/>
    <mergeCell ref="X387:AA387"/>
    <mergeCell ref="X388:AA388"/>
    <mergeCell ref="X389:AA389"/>
    <mergeCell ref="X390:AA390"/>
    <mergeCell ref="X391:AA391"/>
    <mergeCell ref="X392:AA392"/>
    <mergeCell ref="O409:S409"/>
    <mergeCell ref="Q377:T377"/>
    <mergeCell ref="C393:F393"/>
    <mergeCell ref="C394:F394"/>
    <mergeCell ref="C395:F395"/>
    <mergeCell ref="C396:F396"/>
    <mergeCell ref="Q367:T367"/>
    <mergeCell ref="Q368:T368"/>
    <mergeCell ref="Q369:T369"/>
    <mergeCell ref="Q370:T370"/>
    <mergeCell ref="Q371:T371"/>
    <mergeCell ref="Q372:T372"/>
    <mergeCell ref="Q373:T373"/>
    <mergeCell ref="O410:S410"/>
    <mergeCell ref="O411:S411"/>
    <mergeCell ref="O412:S412"/>
    <mergeCell ref="C366:F366"/>
    <mergeCell ref="C367:F367"/>
    <mergeCell ref="C368:F368"/>
    <mergeCell ref="C369:F369"/>
    <mergeCell ref="C370:F370"/>
    <mergeCell ref="C371:F371"/>
    <mergeCell ref="C372:F372"/>
    <mergeCell ref="C373:F373"/>
    <mergeCell ref="C374:F374"/>
    <mergeCell ref="Q385:T385"/>
    <mergeCell ref="Q386:T386"/>
    <mergeCell ref="Q387:T387"/>
    <mergeCell ref="Q388:T388"/>
    <mergeCell ref="Q389:T389"/>
    <mergeCell ref="J388:M388"/>
    <mergeCell ref="J389:M389"/>
    <mergeCell ref="N377:N378"/>
    <mergeCell ref="Q392:T392"/>
    <mergeCell ref="X361:AA361"/>
    <mergeCell ref="X362:AA362"/>
    <mergeCell ref="X363:AA363"/>
    <mergeCell ref="X364:AA364"/>
    <mergeCell ref="X365:AA365"/>
    <mergeCell ref="X366:AA366"/>
    <mergeCell ref="X367:AA367"/>
    <mergeCell ref="X398:AA398"/>
    <mergeCell ref="X380:AA380"/>
    <mergeCell ref="X381:AA381"/>
    <mergeCell ref="X382:AA382"/>
    <mergeCell ref="X383:AA383"/>
    <mergeCell ref="X384:AA384"/>
    <mergeCell ref="X385:AA385"/>
    <mergeCell ref="X368:AA368"/>
    <mergeCell ref="X369:AA369"/>
    <mergeCell ref="X370:AA370"/>
    <mergeCell ref="X371:AA371"/>
    <mergeCell ref="X372:AA372"/>
    <mergeCell ref="X373:AA373"/>
    <mergeCell ref="X374:AA374"/>
    <mergeCell ref="X378:AA378"/>
    <mergeCell ref="W338:Z339"/>
    <mergeCell ref="AA338:AA339"/>
    <mergeCell ref="X393:AA393"/>
    <mergeCell ref="X394:AA394"/>
    <mergeCell ref="X377:AA377"/>
    <mergeCell ref="X395:AA395"/>
    <mergeCell ref="X396:AA396"/>
    <mergeCell ref="X397:AA397"/>
    <mergeCell ref="AB338:AB339"/>
    <mergeCell ref="X340:AA340"/>
    <mergeCell ref="X341:AA341"/>
    <mergeCell ref="X342:AA342"/>
    <mergeCell ref="X343:AA343"/>
    <mergeCell ref="X344:AA344"/>
    <mergeCell ref="X345:AA345"/>
    <mergeCell ref="X346:AA346"/>
    <mergeCell ref="X347:AA347"/>
    <mergeCell ref="X348:AA348"/>
    <mergeCell ref="X349:AA349"/>
    <mergeCell ref="X350:AA350"/>
    <mergeCell ref="X351:AA351"/>
    <mergeCell ref="X352:AA352"/>
    <mergeCell ref="X353:AA353"/>
    <mergeCell ref="X354:AA354"/>
    <mergeCell ref="X355:AA355"/>
    <mergeCell ref="X356:AA356"/>
    <mergeCell ref="X359:AA359"/>
    <mergeCell ref="X360:AA360"/>
    <mergeCell ref="X375:AA375"/>
    <mergeCell ref="X376:AA376"/>
    <mergeCell ref="X357:AA357"/>
    <mergeCell ref="X358:AA358"/>
    <mergeCell ref="Q341:T341"/>
    <mergeCell ref="J342:M342"/>
    <mergeCell ref="J343:M343"/>
    <mergeCell ref="J344:M344"/>
    <mergeCell ref="J345:M345"/>
    <mergeCell ref="Q340:T340"/>
    <mergeCell ref="B391:D392"/>
    <mergeCell ref="E391:G392"/>
    <mergeCell ref="J356:M356"/>
    <mergeCell ref="Q356:T356"/>
    <mergeCell ref="Q344:T344"/>
    <mergeCell ref="Q345:T345"/>
    <mergeCell ref="Q346:T346"/>
    <mergeCell ref="Q355:T355"/>
    <mergeCell ref="J387:M387"/>
    <mergeCell ref="C355:F355"/>
    <mergeCell ref="I350:L351"/>
    <mergeCell ref="M350:M351"/>
    <mergeCell ref="C358:F358"/>
    <mergeCell ref="J365:M365"/>
    <mergeCell ref="J366:M366"/>
    <mergeCell ref="J367:M367"/>
    <mergeCell ref="J368:M368"/>
    <mergeCell ref="J369:M369"/>
    <mergeCell ref="C356:F356"/>
    <mergeCell ref="J370:M370"/>
    <mergeCell ref="J371:M371"/>
    <mergeCell ref="C341:F341"/>
    <mergeCell ref="Q348:T348"/>
    <mergeCell ref="J374:M374"/>
    <mergeCell ref="J372:M372"/>
    <mergeCell ref="J373:M373"/>
    <mergeCell ref="Q378:T378"/>
    <mergeCell ref="Q379:T379"/>
    <mergeCell ref="Q380:T380"/>
    <mergeCell ref="Q381:T381"/>
    <mergeCell ref="Q382:T382"/>
    <mergeCell ref="Q383:T383"/>
    <mergeCell ref="Q384:T384"/>
    <mergeCell ref="C357:F357"/>
    <mergeCell ref="J390:M390"/>
    <mergeCell ref="J392:M392"/>
    <mergeCell ref="J348:M348"/>
    <mergeCell ref="C344:F344"/>
    <mergeCell ref="C345:F345"/>
    <mergeCell ref="Q374:T374"/>
    <mergeCell ref="Q375:T375"/>
    <mergeCell ref="J379:M379"/>
    <mergeCell ref="J380:M380"/>
    <mergeCell ref="J381:M381"/>
    <mergeCell ref="J382:M382"/>
    <mergeCell ref="J383:M383"/>
    <mergeCell ref="J384:M384"/>
    <mergeCell ref="C353:F353"/>
    <mergeCell ref="C354:F354"/>
    <mergeCell ref="Q352:T352"/>
    <mergeCell ref="J385:M385"/>
    <mergeCell ref="J386:M386"/>
    <mergeCell ref="M377:M378"/>
    <mergeCell ref="J391:M391"/>
    <mergeCell ref="Q347:T347"/>
    <mergeCell ref="C359:F359"/>
    <mergeCell ref="C360:F360"/>
    <mergeCell ref="P350:S351"/>
    <mergeCell ref="T350:T351"/>
    <mergeCell ref="J362:M362"/>
    <mergeCell ref="J363:M363"/>
    <mergeCell ref="J364:M364"/>
    <mergeCell ref="Q353:T353"/>
    <mergeCell ref="Q354:T354"/>
    <mergeCell ref="C342:F342"/>
    <mergeCell ref="Q343:T343"/>
    <mergeCell ref="Q342:T342"/>
    <mergeCell ref="N350:N351"/>
    <mergeCell ref="B364:E365"/>
    <mergeCell ref="F364:F365"/>
    <mergeCell ref="G364:G365"/>
    <mergeCell ref="J353:M353"/>
    <mergeCell ref="C346:F346"/>
    <mergeCell ref="C347:F347"/>
    <mergeCell ref="C348:F348"/>
    <mergeCell ref="C349:F349"/>
    <mergeCell ref="C350:F350"/>
    <mergeCell ref="C351:F351"/>
    <mergeCell ref="C352:F352"/>
    <mergeCell ref="J346:M346"/>
    <mergeCell ref="J355:M355"/>
    <mergeCell ref="J361:M361"/>
    <mergeCell ref="C361:F361"/>
    <mergeCell ref="C362:F362"/>
    <mergeCell ref="P365:R366"/>
    <mergeCell ref="S365:U366"/>
    <mergeCell ref="AC338:AC339"/>
    <mergeCell ref="K292:O292"/>
    <mergeCell ref="K293:O293"/>
    <mergeCell ref="K294:O294"/>
    <mergeCell ref="K295:O295"/>
    <mergeCell ref="K296:O296"/>
    <mergeCell ref="K297:O297"/>
    <mergeCell ref="K298:O298"/>
    <mergeCell ref="K299:O299"/>
    <mergeCell ref="K300:O300"/>
    <mergeCell ref="K301:O301"/>
    <mergeCell ref="K302:O302"/>
    <mergeCell ref="K303:O303"/>
    <mergeCell ref="K304:O304"/>
    <mergeCell ref="B308:AE309"/>
    <mergeCell ref="I293:J293"/>
    <mergeCell ref="P338:S339"/>
    <mergeCell ref="G328:H329"/>
    <mergeCell ref="I328:J329"/>
    <mergeCell ref="G312:H313"/>
    <mergeCell ref="K320:L321"/>
    <mergeCell ref="M320:N321"/>
    <mergeCell ref="D303:H303"/>
    <mergeCell ref="M314:N315"/>
    <mergeCell ref="G316:H317"/>
    <mergeCell ref="D300:H300"/>
    <mergeCell ref="D301:H301"/>
    <mergeCell ref="D302:H302"/>
    <mergeCell ref="I292:J292"/>
    <mergeCell ref="I302:J302"/>
    <mergeCell ref="O326:P327"/>
    <mergeCell ref="O324:P325"/>
    <mergeCell ref="U338:U339"/>
    <mergeCell ref="D295:H295"/>
    <mergeCell ref="K266:O266"/>
    <mergeCell ref="K267:O267"/>
    <mergeCell ref="K268:O268"/>
    <mergeCell ref="K269:O269"/>
    <mergeCell ref="I265:J265"/>
    <mergeCell ref="I266:J266"/>
    <mergeCell ref="I267:J267"/>
    <mergeCell ref="I268:J268"/>
    <mergeCell ref="I269:J269"/>
    <mergeCell ref="B301:C301"/>
    <mergeCell ref="B302:C302"/>
    <mergeCell ref="B303:C303"/>
    <mergeCell ref="B304:C304"/>
    <mergeCell ref="D287:H287"/>
    <mergeCell ref="D288:H288"/>
    <mergeCell ref="D289:H289"/>
    <mergeCell ref="D290:H290"/>
    <mergeCell ref="D291:H291"/>
    <mergeCell ref="D296:H296"/>
    <mergeCell ref="D297:H297"/>
    <mergeCell ref="D298:H298"/>
    <mergeCell ref="D299:H299"/>
    <mergeCell ref="O320:P321"/>
    <mergeCell ref="O322:P323"/>
    <mergeCell ref="K275:O275"/>
    <mergeCell ref="D284:H284"/>
    <mergeCell ref="I284:J284"/>
    <mergeCell ref="K284:O284"/>
    <mergeCell ref="I270:J270"/>
    <mergeCell ref="B279:C279"/>
    <mergeCell ref="B118:C119"/>
    <mergeCell ref="R62:T62"/>
    <mergeCell ref="R72:T72"/>
    <mergeCell ref="R73:T73"/>
    <mergeCell ref="X44:Y45"/>
    <mergeCell ref="X53:Y54"/>
    <mergeCell ref="B59:AE60"/>
    <mergeCell ref="B62:C63"/>
    <mergeCell ref="D62:G63"/>
    <mergeCell ref="R63:T63"/>
    <mergeCell ref="P62:P63"/>
    <mergeCell ref="U44:U45"/>
    <mergeCell ref="H46:H47"/>
    <mergeCell ref="B52:B53"/>
    <mergeCell ref="B54:B55"/>
    <mergeCell ref="J65:M66"/>
    <mergeCell ref="C54:C55"/>
    <mergeCell ref="F54:F55"/>
    <mergeCell ref="Z53:AA54"/>
    <mergeCell ref="J52:J53"/>
    <mergeCell ref="B57:E57"/>
    <mergeCell ref="L46:L47"/>
    <mergeCell ref="M46:M47"/>
    <mergeCell ref="L48:L49"/>
    <mergeCell ref="M48:M49"/>
    <mergeCell ref="L50:L51"/>
    <mergeCell ref="M50:M51"/>
    <mergeCell ref="L52:L53"/>
    <mergeCell ref="M52:M53"/>
    <mergeCell ref="X50:Y51"/>
    <mergeCell ref="L54:L55"/>
    <mergeCell ref="M54:M55"/>
    <mergeCell ref="I294:J294"/>
    <mergeCell ref="I295:J295"/>
    <mergeCell ref="I296:J296"/>
    <mergeCell ref="I276:J276"/>
    <mergeCell ref="I277:J277"/>
    <mergeCell ref="I278:J278"/>
    <mergeCell ref="K271:O271"/>
    <mergeCell ref="D293:H293"/>
    <mergeCell ref="D294:H294"/>
    <mergeCell ref="AG1:AI2"/>
    <mergeCell ref="L182:P183"/>
    <mergeCell ref="L14:M15"/>
    <mergeCell ref="N133:O134"/>
    <mergeCell ref="B132:C133"/>
    <mergeCell ref="T127:U128"/>
    <mergeCell ref="V127:W128"/>
    <mergeCell ref="D134:F135"/>
    <mergeCell ref="M106:N107"/>
    <mergeCell ref="M108:N109"/>
    <mergeCell ref="O104:Q105"/>
    <mergeCell ref="K80:K81"/>
    <mergeCell ref="S104:T105"/>
    <mergeCell ref="J134:L135"/>
    <mergeCell ref="B128:C129"/>
    <mergeCell ref="H138:I139"/>
    <mergeCell ref="S194:U195"/>
    <mergeCell ref="H104:I105"/>
    <mergeCell ref="M104:N105"/>
    <mergeCell ref="D46:D47"/>
    <mergeCell ref="D48:D49"/>
    <mergeCell ref="V121:W122"/>
    <mergeCell ref="B115:T116"/>
    <mergeCell ref="J354:M354"/>
    <mergeCell ref="G320:H321"/>
    <mergeCell ref="I320:J321"/>
    <mergeCell ref="J347:M347"/>
    <mergeCell ref="B338:E339"/>
    <mergeCell ref="F338:F339"/>
    <mergeCell ref="G338:G339"/>
    <mergeCell ref="J375:M375"/>
    <mergeCell ref="I377:L378"/>
    <mergeCell ref="J340:M340"/>
    <mergeCell ref="J341:M341"/>
    <mergeCell ref="G330:H331"/>
    <mergeCell ref="I330:J331"/>
    <mergeCell ref="B1:AE2"/>
    <mergeCell ref="D326:E327"/>
    <mergeCell ref="D328:E329"/>
    <mergeCell ref="D330:E331"/>
    <mergeCell ref="B314:C315"/>
    <mergeCell ref="D314:E315"/>
    <mergeCell ref="B316:C317"/>
    <mergeCell ref="B318:C319"/>
    <mergeCell ref="B320:C321"/>
    <mergeCell ref="B322:C323"/>
    <mergeCell ref="B324:C325"/>
    <mergeCell ref="B326:C327"/>
    <mergeCell ref="B328:C329"/>
    <mergeCell ref="Z44:AA45"/>
    <mergeCell ref="B265:C265"/>
    <mergeCell ref="D265:H265"/>
    <mergeCell ref="B272:C272"/>
    <mergeCell ref="B273:C273"/>
    <mergeCell ref="B274:C274"/>
    <mergeCell ref="M208:N209"/>
    <mergeCell ref="G238:T241"/>
    <mergeCell ref="D269:H269"/>
    <mergeCell ref="D270:H270"/>
    <mergeCell ref="D271:H271"/>
    <mergeCell ref="D272:H272"/>
    <mergeCell ref="D273:H273"/>
    <mergeCell ref="I279:J279"/>
    <mergeCell ref="I280:J280"/>
    <mergeCell ref="I281:J281"/>
    <mergeCell ref="I282:J282"/>
    <mergeCell ref="U260:AE261"/>
    <mergeCell ref="L190:P191"/>
    <mergeCell ref="C381:F381"/>
    <mergeCell ref="C382:F382"/>
    <mergeCell ref="C383:F383"/>
    <mergeCell ref="O328:P329"/>
    <mergeCell ref="O330:P331"/>
    <mergeCell ref="B311:C312"/>
    <mergeCell ref="D311:E312"/>
    <mergeCell ref="G311:H311"/>
    <mergeCell ref="I311:J311"/>
    <mergeCell ref="K311:L311"/>
    <mergeCell ref="M311:N311"/>
    <mergeCell ref="O311:P311"/>
    <mergeCell ref="O312:P313"/>
    <mergeCell ref="O314:P315"/>
    <mergeCell ref="I312:J313"/>
    <mergeCell ref="G322:H323"/>
    <mergeCell ref="I322:J323"/>
    <mergeCell ref="K322:L323"/>
    <mergeCell ref="M322:N323"/>
    <mergeCell ref="O316:P317"/>
    <mergeCell ref="O318:P319"/>
    <mergeCell ref="D304:H304"/>
    <mergeCell ref="B296:C296"/>
    <mergeCell ref="B297:C297"/>
    <mergeCell ref="D324:E325"/>
    <mergeCell ref="B330:C331"/>
    <mergeCell ref="D316:E317"/>
    <mergeCell ref="D318:E319"/>
    <mergeCell ref="D320:E321"/>
    <mergeCell ref="D322:E323"/>
    <mergeCell ref="I297:J297"/>
    <mergeCell ref="P120:R121"/>
    <mergeCell ref="H134:I135"/>
    <mergeCell ref="V130:W131"/>
    <mergeCell ref="T133:U134"/>
    <mergeCell ref="I298:J298"/>
    <mergeCell ref="I299:J299"/>
    <mergeCell ref="I300:J300"/>
    <mergeCell ref="I301:J301"/>
    <mergeCell ref="N122:O123"/>
    <mergeCell ref="B154:C155"/>
    <mergeCell ref="B289:C289"/>
    <mergeCell ref="B160:C161"/>
    <mergeCell ref="G198:H199"/>
    <mergeCell ref="K276:O276"/>
    <mergeCell ref="K277:O277"/>
    <mergeCell ref="K278:O278"/>
    <mergeCell ref="K279:O279"/>
    <mergeCell ref="K280:O280"/>
    <mergeCell ref="K281:O281"/>
    <mergeCell ref="K282:O282"/>
    <mergeCell ref="D152:T153"/>
    <mergeCell ref="N120:O121"/>
    <mergeCell ref="Q168:S169"/>
    <mergeCell ref="D122:F123"/>
    <mergeCell ref="T124:U125"/>
    <mergeCell ref="H140:I141"/>
    <mergeCell ref="M110:N111"/>
    <mergeCell ref="B136:C137"/>
    <mergeCell ref="H122:I123"/>
    <mergeCell ref="N124:O125"/>
    <mergeCell ref="P124:R125"/>
    <mergeCell ref="B124:C125"/>
    <mergeCell ref="T168:T169"/>
    <mergeCell ref="U115:AE116"/>
    <mergeCell ref="B165:AE166"/>
    <mergeCell ref="B298:C298"/>
    <mergeCell ref="B291:C291"/>
    <mergeCell ref="Q198:R199"/>
    <mergeCell ref="S198:U199"/>
    <mergeCell ref="K265:O265"/>
    <mergeCell ref="S196:U197"/>
    <mergeCell ref="I198:K199"/>
    <mergeCell ref="G200:H201"/>
    <mergeCell ref="K270:O270"/>
    <mergeCell ref="K272:O272"/>
    <mergeCell ref="K273:O273"/>
    <mergeCell ref="K274:O274"/>
    <mergeCell ref="Q180:R181"/>
    <mergeCell ref="S180:U181"/>
    <mergeCell ref="Q188:U189"/>
    <mergeCell ref="G190:K191"/>
    <mergeCell ref="L178:P179"/>
    <mergeCell ref="B104:C105"/>
    <mergeCell ref="D104:F105"/>
    <mergeCell ref="B140:C141"/>
    <mergeCell ref="D140:F141"/>
    <mergeCell ref="B142:C143"/>
    <mergeCell ref="D280:H280"/>
    <mergeCell ref="B126:C127"/>
    <mergeCell ref="J138:L139"/>
    <mergeCell ref="O108:Q109"/>
    <mergeCell ref="H118:I119"/>
    <mergeCell ref="D130:F131"/>
    <mergeCell ref="N118:O119"/>
    <mergeCell ref="P118:R119"/>
    <mergeCell ref="L176:N177"/>
    <mergeCell ref="O176:O177"/>
    <mergeCell ref="Q184:R185"/>
    <mergeCell ref="Q186:S187"/>
    <mergeCell ref="B138:C139"/>
    <mergeCell ref="D138:F139"/>
    <mergeCell ref="J104:K105"/>
    <mergeCell ref="B130:C131"/>
    <mergeCell ref="B134:C135"/>
    <mergeCell ref="H128:I129"/>
    <mergeCell ref="B120:C121"/>
    <mergeCell ref="B122:C123"/>
    <mergeCell ref="J118:L119"/>
    <mergeCell ref="J120:L121"/>
    <mergeCell ref="J122:L123"/>
    <mergeCell ref="J124:L125"/>
    <mergeCell ref="B186:F187"/>
    <mergeCell ref="B172:F173"/>
    <mergeCell ref="B174:F175"/>
    <mergeCell ref="R6:U7"/>
    <mergeCell ref="H34:T36"/>
    <mergeCell ref="J50:J51"/>
    <mergeCell ref="B98:C99"/>
    <mergeCell ref="B100:C101"/>
    <mergeCell ref="O98:Q99"/>
    <mergeCell ref="M100:N101"/>
    <mergeCell ref="J101:K102"/>
    <mergeCell ref="D100:F101"/>
    <mergeCell ref="H101:I102"/>
    <mergeCell ref="D98:F99"/>
    <mergeCell ref="D102:F103"/>
    <mergeCell ref="M98:N99"/>
    <mergeCell ref="O100:Q101"/>
    <mergeCell ref="M102:N103"/>
    <mergeCell ref="O102:Q103"/>
    <mergeCell ref="B102:C103"/>
    <mergeCell ref="R54:R55"/>
    <mergeCell ref="S54:S55"/>
    <mergeCell ref="O52:O53"/>
    <mergeCell ref="O54:O55"/>
    <mergeCell ref="P44:P45"/>
    <mergeCell ref="P46:P47"/>
    <mergeCell ref="P48:P49"/>
    <mergeCell ref="P50:P51"/>
    <mergeCell ref="P52:P53"/>
    <mergeCell ref="R43:S43"/>
    <mergeCell ref="AC44:AC45"/>
    <mergeCell ref="F18:G19"/>
    <mergeCell ref="AC48:AC49"/>
    <mergeCell ref="AC50:AC51"/>
    <mergeCell ref="U54:U55"/>
    <mergeCell ref="J54:J55"/>
    <mergeCell ref="K54:K55"/>
    <mergeCell ref="H93:I94"/>
    <mergeCell ref="J93:K94"/>
    <mergeCell ref="D124:F125"/>
    <mergeCell ref="P68:P69"/>
    <mergeCell ref="R71:T71"/>
    <mergeCell ref="R76:T76"/>
    <mergeCell ref="T121:U122"/>
    <mergeCell ref="S96:T97"/>
    <mergeCell ref="V124:W125"/>
    <mergeCell ref="H62:I63"/>
    <mergeCell ref="J62:M63"/>
    <mergeCell ref="N62:O63"/>
    <mergeCell ref="R65:T65"/>
    <mergeCell ref="G54:G55"/>
    <mergeCell ref="U48:U49"/>
    <mergeCell ref="J48:J49"/>
    <mergeCell ref="J68:M69"/>
    <mergeCell ref="R69:T69"/>
    <mergeCell ref="R66:T66"/>
    <mergeCell ref="J71:M72"/>
    <mergeCell ref="V24:W26"/>
    <mergeCell ref="X24:AD26"/>
    <mergeCell ref="K50:K51"/>
    <mergeCell ref="V46:V47"/>
    <mergeCell ref="K46:K47"/>
    <mergeCell ref="N50:N51"/>
    <mergeCell ref="D6:H7"/>
    <mergeCell ref="E44:E45"/>
    <mergeCell ref="E46:E47"/>
    <mergeCell ref="I44:I45"/>
    <mergeCell ref="V48:V49"/>
    <mergeCell ref="K44:K45"/>
    <mergeCell ref="J46:J47"/>
    <mergeCell ref="V44:V45"/>
    <mergeCell ref="U46:U47"/>
    <mergeCell ref="G52:G53"/>
    <mergeCell ref="E48:E49"/>
    <mergeCell ref="E50:E51"/>
    <mergeCell ref="N27:T29"/>
    <mergeCell ref="L24:M29"/>
    <mergeCell ref="R46:R47"/>
    <mergeCell ref="S46:S47"/>
    <mergeCell ref="R48:R49"/>
    <mergeCell ref="S48:S49"/>
    <mergeCell ref="R50:R51"/>
    <mergeCell ref="S50:S51"/>
    <mergeCell ref="R52:R53"/>
    <mergeCell ref="S52:S53"/>
    <mergeCell ref="O44:O45"/>
    <mergeCell ref="O46:O47"/>
    <mergeCell ref="O48:O49"/>
    <mergeCell ref="O50:O51"/>
    <mergeCell ref="P6:Q7"/>
    <mergeCell ref="N44:N45"/>
    <mergeCell ref="D4:H5"/>
    <mergeCell ref="B24:C25"/>
    <mergeCell ref="F46:F47"/>
    <mergeCell ref="D34:G36"/>
    <mergeCell ref="Z50:AA51"/>
    <mergeCell ref="D18:E19"/>
    <mergeCell ref="B16:C17"/>
    <mergeCell ref="D50:D51"/>
    <mergeCell ref="F50:F51"/>
    <mergeCell ref="I48:I49"/>
    <mergeCell ref="H50:H51"/>
    <mergeCell ref="I50:I51"/>
    <mergeCell ref="H16:K17"/>
    <mergeCell ref="C50:C51"/>
    <mergeCell ref="V52:V53"/>
    <mergeCell ref="E52:E53"/>
    <mergeCell ref="E54:E55"/>
    <mergeCell ref="H52:H53"/>
    <mergeCell ref="D44:D45"/>
    <mergeCell ref="N46:N47"/>
    <mergeCell ref="B44:B45"/>
    <mergeCell ref="B46:B47"/>
    <mergeCell ref="C46:C47"/>
    <mergeCell ref="J44:J45"/>
    <mergeCell ref="L4:O5"/>
    <mergeCell ref="J6:K7"/>
    <mergeCell ref="J4:K5"/>
    <mergeCell ref="U50:U51"/>
    <mergeCell ref="P4:Q5"/>
    <mergeCell ref="G46:G47"/>
    <mergeCell ref="V54:V55"/>
    <mergeCell ref="I54:I55"/>
    <mergeCell ref="B27:C29"/>
    <mergeCell ref="D27:J29"/>
    <mergeCell ref="B30:C32"/>
    <mergeCell ref="D30:J32"/>
    <mergeCell ref="L30:M32"/>
    <mergeCell ref="N30:T32"/>
    <mergeCell ref="D24:J25"/>
    <mergeCell ref="AC42:AF43"/>
    <mergeCell ref="B11:C12"/>
    <mergeCell ref="D11:G12"/>
    <mergeCell ref="L8:M9"/>
    <mergeCell ref="F44:F45"/>
    <mergeCell ref="C44:C45"/>
    <mergeCell ref="B14:C15"/>
    <mergeCell ref="D14:E15"/>
    <mergeCell ref="B34:C36"/>
    <mergeCell ref="B40:AE41"/>
    <mergeCell ref="B21:AE22"/>
    <mergeCell ref="B20:E20"/>
    <mergeCell ref="B38:E38"/>
    <mergeCell ref="B9:C10"/>
    <mergeCell ref="D9:G10"/>
    <mergeCell ref="J11:K12"/>
    <mergeCell ref="L11:O12"/>
    <mergeCell ref="P11:Q12"/>
    <mergeCell ref="R11:U12"/>
    <mergeCell ref="P9:Q10"/>
    <mergeCell ref="R9:U10"/>
    <mergeCell ref="L44:L45"/>
    <mergeCell ref="M44:M45"/>
    <mergeCell ref="R44:R45"/>
    <mergeCell ref="S44:S45"/>
    <mergeCell ref="R4:U5"/>
    <mergeCell ref="B18:C19"/>
    <mergeCell ref="I46:I47"/>
    <mergeCell ref="H48:H49"/>
    <mergeCell ref="G48:G49"/>
    <mergeCell ref="N48:N49"/>
    <mergeCell ref="F48:F49"/>
    <mergeCell ref="H44:H45"/>
    <mergeCell ref="N14:T19"/>
    <mergeCell ref="L6:O7"/>
    <mergeCell ref="K48:K49"/>
    <mergeCell ref="G50:G51"/>
    <mergeCell ref="B48:B49"/>
    <mergeCell ref="C48:C49"/>
    <mergeCell ref="B6:C7"/>
    <mergeCell ref="J8:K9"/>
    <mergeCell ref="V4:AE9"/>
    <mergeCell ref="AC46:AC47"/>
    <mergeCell ref="B50:B51"/>
    <mergeCell ref="AD44:AD45"/>
    <mergeCell ref="AD46:AD47"/>
    <mergeCell ref="V14:AE19"/>
    <mergeCell ref="V34:AE36"/>
    <mergeCell ref="G44:G45"/>
    <mergeCell ref="V10:AE13"/>
    <mergeCell ref="H18:K19"/>
    <mergeCell ref="D16:E17"/>
    <mergeCell ref="AA42:AB43"/>
    <mergeCell ref="F14:G15"/>
    <mergeCell ref="F16:G17"/>
    <mergeCell ref="H14:K15"/>
    <mergeCell ref="N24:T26"/>
    <mergeCell ref="M94:N95"/>
    <mergeCell ref="O94:Q95"/>
    <mergeCell ref="J90:K91"/>
    <mergeCell ref="S90:T91"/>
    <mergeCell ref="X47:Y48"/>
    <mergeCell ref="Z47:AA48"/>
    <mergeCell ref="F52:F53"/>
    <mergeCell ref="U102:W103"/>
    <mergeCell ref="U104:W105"/>
    <mergeCell ref="AC52:AC53"/>
    <mergeCell ref="H77:I78"/>
    <mergeCell ref="D90:F91"/>
    <mergeCell ref="D92:F93"/>
    <mergeCell ref="H90:I91"/>
    <mergeCell ref="D54:D55"/>
    <mergeCell ref="N54:N55"/>
    <mergeCell ref="I52:I53"/>
    <mergeCell ref="H54:H55"/>
    <mergeCell ref="V50:V51"/>
    <mergeCell ref="U52:U53"/>
    <mergeCell ref="D52:D53"/>
    <mergeCell ref="N52:N53"/>
    <mergeCell ref="X77:AE81"/>
    <mergeCell ref="AE44:AF55"/>
    <mergeCell ref="AD48:AD49"/>
    <mergeCell ref="X61:AE61"/>
    <mergeCell ref="X62:AE75"/>
    <mergeCell ref="R67:T67"/>
    <mergeCell ref="H68:I69"/>
    <mergeCell ref="D71:G72"/>
    <mergeCell ref="H71:I72"/>
    <mergeCell ref="N80:O81"/>
    <mergeCell ref="B88:C89"/>
    <mergeCell ref="D88:F89"/>
    <mergeCell ref="H65:I66"/>
    <mergeCell ref="B74:C75"/>
    <mergeCell ref="N71:O72"/>
    <mergeCell ref="B68:C69"/>
    <mergeCell ref="D68:G69"/>
    <mergeCell ref="B71:C72"/>
    <mergeCell ref="O90:Q91"/>
    <mergeCell ref="U90:W91"/>
    <mergeCell ref="B65:C66"/>
    <mergeCell ref="R78:T78"/>
    <mergeCell ref="R79:T79"/>
    <mergeCell ref="R80:T80"/>
    <mergeCell ref="R70:T70"/>
    <mergeCell ref="P65:P66"/>
    <mergeCell ref="P71:P72"/>
    <mergeCell ref="D65:G66"/>
    <mergeCell ref="N65:O66"/>
    <mergeCell ref="N77:O78"/>
    <mergeCell ref="P77:P78"/>
    <mergeCell ref="D74:G75"/>
    <mergeCell ref="H74:I75"/>
    <mergeCell ref="P74:P75"/>
    <mergeCell ref="B85:AE86"/>
    <mergeCell ref="R75:T75"/>
    <mergeCell ref="N74:O75"/>
    <mergeCell ref="I80:J81"/>
    <mergeCell ref="B83:E83"/>
    <mergeCell ref="N68:O69"/>
    <mergeCell ref="AD50:AD51"/>
    <mergeCell ref="AD52:AD53"/>
    <mergeCell ref="AD54:AD55"/>
    <mergeCell ref="D118:F119"/>
    <mergeCell ref="D120:F121"/>
    <mergeCell ref="O110:Q111"/>
    <mergeCell ref="V118:W119"/>
    <mergeCell ref="U98:W99"/>
    <mergeCell ref="S100:T101"/>
    <mergeCell ref="U100:W101"/>
    <mergeCell ref="S102:T103"/>
    <mergeCell ref="R64:T64"/>
    <mergeCell ref="S94:T95"/>
    <mergeCell ref="U94:W95"/>
    <mergeCell ref="S88:W89"/>
    <mergeCell ref="U96:W97"/>
    <mergeCell ref="S98:T99"/>
    <mergeCell ref="K52:K53"/>
    <mergeCell ref="R74:T74"/>
    <mergeCell ref="R68:T68"/>
    <mergeCell ref="R81:T81"/>
    <mergeCell ref="J74:M75"/>
    <mergeCell ref="M88:N89"/>
    <mergeCell ref="S92:T93"/>
    <mergeCell ref="J77:M78"/>
    <mergeCell ref="R77:T77"/>
    <mergeCell ref="L80:M81"/>
    <mergeCell ref="AC54:AC55"/>
    <mergeCell ref="M90:N91"/>
    <mergeCell ref="M92:N93"/>
    <mergeCell ref="O96:Q97"/>
    <mergeCell ref="O92:Q93"/>
    <mergeCell ref="B4:C5"/>
    <mergeCell ref="C52:C53"/>
    <mergeCell ref="G184:K185"/>
    <mergeCell ref="G182:K183"/>
    <mergeCell ref="G180:K181"/>
    <mergeCell ref="Q182:R183"/>
    <mergeCell ref="B180:F181"/>
    <mergeCell ref="L174:M175"/>
    <mergeCell ref="N174:P175"/>
    <mergeCell ref="L170:M171"/>
    <mergeCell ref="Q178:R179"/>
    <mergeCell ref="Q176:S177"/>
    <mergeCell ref="P127:R128"/>
    <mergeCell ref="G176:K177"/>
    <mergeCell ref="N129:O130"/>
    <mergeCell ref="D154:T155"/>
    <mergeCell ref="D156:T157"/>
    <mergeCell ref="D158:T159"/>
    <mergeCell ref="D160:T161"/>
    <mergeCell ref="N131:O132"/>
    <mergeCell ref="P131:R132"/>
    <mergeCell ref="P122:R123"/>
    <mergeCell ref="H132:I133"/>
    <mergeCell ref="J126:L127"/>
    <mergeCell ref="J132:L133"/>
    <mergeCell ref="D126:F127"/>
    <mergeCell ref="B182:F183"/>
    <mergeCell ref="P176:P177"/>
    <mergeCell ref="K168:K169"/>
    <mergeCell ref="S184:U185"/>
    <mergeCell ref="B184:F185"/>
    <mergeCell ref="M96:N97"/>
    <mergeCell ref="B94:C95"/>
    <mergeCell ref="B90:C91"/>
    <mergeCell ref="D94:F95"/>
    <mergeCell ref="D77:G78"/>
    <mergeCell ref="O88:Q89"/>
    <mergeCell ref="O106:Q107"/>
    <mergeCell ref="H142:I143"/>
    <mergeCell ref="J142:L143"/>
    <mergeCell ref="N127:O128"/>
    <mergeCell ref="H124:I125"/>
    <mergeCell ref="U168:U169"/>
    <mergeCell ref="H136:I137"/>
    <mergeCell ref="J136:L137"/>
    <mergeCell ref="J140:L141"/>
    <mergeCell ref="D142:F143"/>
    <mergeCell ref="D136:F137"/>
    <mergeCell ref="H126:I127"/>
    <mergeCell ref="H120:I121"/>
    <mergeCell ref="T118:U119"/>
    <mergeCell ref="J128:L129"/>
    <mergeCell ref="T130:U131"/>
    <mergeCell ref="H130:I131"/>
    <mergeCell ref="J130:L131"/>
    <mergeCell ref="U92:W93"/>
    <mergeCell ref="D128:F129"/>
    <mergeCell ref="D132:F133"/>
    <mergeCell ref="B96:C97"/>
    <mergeCell ref="D96:F97"/>
    <mergeCell ref="B92:C93"/>
    <mergeCell ref="B77:C78"/>
    <mergeCell ref="J168:J169"/>
    <mergeCell ref="D150:T151"/>
    <mergeCell ref="Y118:AB125"/>
    <mergeCell ref="S178:U179"/>
    <mergeCell ref="W170:AA171"/>
    <mergeCell ref="W172:AA173"/>
    <mergeCell ref="W168:AA169"/>
    <mergeCell ref="W174:AA175"/>
    <mergeCell ref="W176:AA177"/>
    <mergeCell ref="W178:AA179"/>
    <mergeCell ref="V133:W134"/>
    <mergeCell ref="P129:R130"/>
    <mergeCell ref="D274:H274"/>
    <mergeCell ref="D281:H281"/>
    <mergeCell ref="S267:AE282"/>
    <mergeCell ref="B208:F209"/>
    <mergeCell ref="B210:C213"/>
    <mergeCell ref="G194:H195"/>
    <mergeCell ref="J192:J193"/>
    <mergeCell ref="K192:K193"/>
    <mergeCell ref="P133:R134"/>
    <mergeCell ref="B156:C157"/>
    <mergeCell ref="B158:C159"/>
    <mergeCell ref="Q194:R195"/>
    <mergeCell ref="B218:C221"/>
    <mergeCell ref="G218:T221"/>
    <mergeCell ref="O208:O209"/>
    <mergeCell ref="K208:K209"/>
    <mergeCell ref="B147:AE148"/>
    <mergeCell ref="D276:H276"/>
    <mergeCell ref="D277:H277"/>
    <mergeCell ref="D278:H278"/>
    <mergeCell ref="D279:H279"/>
    <mergeCell ref="B150:C151"/>
    <mergeCell ref="B152:C153"/>
    <mergeCell ref="T176:T177"/>
    <mergeCell ref="B270:C270"/>
    <mergeCell ref="B271:C271"/>
    <mergeCell ref="I196:K197"/>
    <mergeCell ref="B168:C169"/>
    <mergeCell ref="G178:K179"/>
    <mergeCell ref="I194:K195"/>
    <mergeCell ref="E170:E171"/>
    <mergeCell ref="F170:F171"/>
    <mergeCell ref="I200:K201"/>
    <mergeCell ref="Q196:R197"/>
    <mergeCell ref="L192:P193"/>
    <mergeCell ref="L194:P195"/>
    <mergeCell ref="L196:P197"/>
    <mergeCell ref="B205:AE206"/>
    <mergeCell ref="U176:U177"/>
    <mergeCell ref="Q192:U193"/>
    <mergeCell ref="AB168:AE174"/>
    <mergeCell ref="B188:D189"/>
    <mergeCell ref="E188:E189"/>
    <mergeCell ref="F188:F189"/>
    <mergeCell ref="B190:F191"/>
    <mergeCell ref="I208:J209"/>
    <mergeCell ref="G208:G209"/>
    <mergeCell ref="H208:H209"/>
    <mergeCell ref="B196:F197"/>
    <mergeCell ref="T186:T187"/>
    <mergeCell ref="U186:U187"/>
    <mergeCell ref="G174:K175"/>
    <mergeCell ref="G170:K171"/>
    <mergeCell ref="Q170:U171"/>
    <mergeCell ref="B290:C290"/>
    <mergeCell ref="B287:C287"/>
    <mergeCell ref="D292:H292"/>
    <mergeCell ref="D234:F237"/>
    <mergeCell ref="B222:C225"/>
    <mergeCell ref="B226:C229"/>
    <mergeCell ref="I271:J271"/>
    <mergeCell ref="I272:J272"/>
    <mergeCell ref="I273:J273"/>
    <mergeCell ref="B288:C288"/>
    <mergeCell ref="D286:H286"/>
    <mergeCell ref="I285:J285"/>
    <mergeCell ref="I286:J286"/>
    <mergeCell ref="D218:F221"/>
    <mergeCell ref="D222:F225"/>
    <mergeCell ref="B214:C217"/>
    <mergeCell ref="D266:H266"/>
    <mergeCell ref="D267:H267"/>
    <mergeCell ref="D268:H268"/>
    <mergeCell ref="I287:J287"/>
    <mergeCell ref="I288:J288"/>
    <mergeCell ref="I289:J289"/>
    <mergeCell ref="I290:J290"/>
    <mergeCell ref="I291:J291"/>
    <mergeCell ref="I283:J283"/>
    <mergeCell ref="D283:H283"/>
    <mergeCell ref="D285:H285"/>
    <mergeCell ref="B280:C280"/>
    <mergeCell ref="B275:C275"/>
    <mergeCell ref="D275:H275"/>
    <mergeCell ref="I274:J274"/>
    <mergeCell ref="I275:J275"/>
    <mergeCell ref="I303:J303"/>
    <mergeCell ref="I304:J304"/>
    <mergeCell ref="B230:C233"/>
    <mergeCell ref="B234:C237"/>
    <mergeCell ref="D226:F229"/>
    <mergeCell ref="D210:F213"/>
    <mergeCell ref="G210:T213"/>
    <mergeCell ref="D214:F217"/>
    <mergeCell ref="G214:T217"/>
    <mergeCell ref="G234:T237"/>
    <mergeCell ref="G226:T229"/>
    <mergeCell ref="D230:F233"/>
    <mergeCell ref="G230:T233"/>
    <mergeCell ref="G222:T225"/>
    <mergeCell ref="B266:C266"/>
    <mergeCell ref="B267:C267"/>
    <mergeCell ref="B268:C268"/>
    <mergeCell ref="B269:C269"/>
    <mergeCell ref="B260:T261"/>
    <mergeCell ref="B292:C292"/>
    <mergeCell ref="B293:C293"/>
    <mergeCell ref="B294:C294"/>
    <mergeCell ref="B295:C295"/>
    <mergeCell ref="K285:O285"/>
    <mergeCell ref="K286:O286"/>
    <mergeCell ref="K287:O287"/>
    <mergeCell ref="K288:O288"/>
    <mergeCell ref="K289:O289"/>
    <mergeCell ref="K290:O290"/>
    <mergeCell ref="K291:O291"/>
    <mergeCell ref="K283:O283"/>
    <mergeCell ref="D282:H282"/>
    <mergeCell ref="X433:Z434"/>
    <mergeCell ref="P433:R433"/>
    <mergeCell ref="N434:O434"/>
    <mergeCell ref="Q361:T361"/>
    <mergeCell ref="Q362:T362"/>
    <mergeCell ref="B335:AE336"/>
    <mergeCell ref="C378:F378"/>
    <mergeCell ref="C384:F384"/>
    <mergeCell ref="C385:F385"/>
    <mergeCell ref="C386:F386"/>
    <mergeCell ref="C387:F387"/>
    <mergeCell ref="C388:F388"/>
    <mergeCell ref="C389:F389"/>
    <mergeCell ref="F376:F377"/>
    <mergeCell ref="G376:G377"/>
    <mergeCell ref="B376:E377"/>
    <mergeCell ref="I358:L359"/>
    <mergeCell ref="M358:M359"/>
    <mergeCell ref="N358:N359"/>
    <mergeCell ref="J360:M360"/>
    <mergeCell ref="J352:M352"/>
    <mergeCell ref="I338:L339"/>
    <mergeCell ref="N338:N339"/>
    <mergeCell ref="M338:M339"/>
    <mergeCell ref="J349:M349"/>
    <mergeCell ref="Q349:T349"/>
    <mergeCell ref="U350:U351"/>
    <mergeCell ref="C340:F340"/>
    <mergeCell ref="C343:F343"/>
    <mergeCell ref="T338:T339"/>
    <mergeCell ref="C379:F379"/>
    <mergeCell ref="C380:F380"/>
    <mergeCell ref="K330:L331"/>
    <mergeCell ref="K312:L313"/>
    <mergeCell ref="M312:N313"/>
    <mergeCell ref="I316:J317"/>
    <mergeCell ref="K316:L317"/>
    <mergeCell ref="K318:L319"/>
    <mergeCell ref="K328:L329"/>
    <mergeCell ref="M328:N329"/>
    <mergeCell ref="G314:H315"/>
    <mergeCell ref="M316:N317"/>
    <mergeCell ref="G318:H319"/>
    <mergeCell ref="I318:J319"/>
    <mergeCell ref="M330:N331"/>
    <mergeCell ref="G326:H327"/>
    <mergeCell ref="I326:J327"/>
    <mergeCell ref="K326:L327"/>
    <mergeCell ref="M326:N327"/>
    <mergeCell ref="I314:J315"/>
    <mergeCell ref="K314:L315"/>
    <mergeCell ref="G324:H325"/>
    <mergeCell ref="M324:N325"/>
    <mergeCell ref="M318:N319"/>
    <mergeCell ref="I324:J325"/>
    <mergeCell ref="K324:L325"/>
    <mergeCell ref="C513:E513"/>
    <mergeCell ref="C509:E509"/>
    <mergeCell ref="C510:E510"/>
    <mergeCell ref="C512:E512"/>
    <mergeCell ref="C506:E506"/>
    <mergeCell ref="X429:Z430"/>
    <mergeCell ref="H440:I441"/>
    <mergeCell ref="J440:L441"/>
    <mergeCell ref="H447:I448"/>
    <mergeCell ref="J447:L448"/>
    <mergeCell ref="H449:I450"/>
    <mergeCell ref="J508:K508"/>
    <mergeCell ref="N433:O433"/>
    <mergeCell ref="H476:J476"/>
    <mergeCell ref="H477:J477"/>
    <mergeCell ref="H478:J478"/>
    <mergeCell ref="H479:J479"/>
    <mergeCell ref="H480:J480"/>
    <mergeCell ref="H481:J481"/>
    <mergeCell ref="H482:J482"/>
    <mergeCell ref="H483:J483"/>
    <mergeCell ref="H484:J484"/>
    <mergeCell ref="N458:S458"/>
    <mergeCell ref="B434:E434"/>
    <mergeCell ref="B435:E435"/>
    <mergeCell ref="B436:E436"/>
    <mergeCell ref="B437:E437"/>
    <mergeCell ref="J513:K513"/>
    <mergeCell ref="B454:F455"/>
    <mergeCell ref="J451:L452"/>
    <mergeCell ref="X431:Z432"/>
    <mergeCell ref="V431:W432"/>
    <mergeCell ref="C518:E518"/>
    <mergeCell ref="J518:K518"/>
    <mergeCell ref="C523:E523"/>
    <mergeCell ref="J523:K523"/>
    <mergeCell ref="C477:E477"/>
    <mergeCell ref="C478:E478"/>
    <mergeCell ref="C479:E479"/>
    <mergeCell ref="C480:E480"/>
    <mergeCell ref="C481:E481"/>
    <mergeCell ref="C482:E482"/>
    <mergeCell ref="C483:E483"/>
    <mergeCell ref="C484:E484"/>
    <mergeCell ref="C485:E485"/>
    <mergeCell ref="J498:K498"/>
    <mergeCell ref="J499:K499"/>
    <mergeCell ref="J501:K501"/>
    <mergeCell ref="J500:K500"/>
    <mergeCell ref="J507:K507"/>
    <mergeCell ref="C494:E494"/>
    <mergeCell ref="C514:E514"/>
    <mergeCell ref="J514:K514"/>
    <mergeCell ref="C515:E515"/>
    <mergeCell ref="J515:K515"/>
    <mergeCell ref="C516:E516"/>
    <mergeCell ref="J516:K516"/>
    <mergeCell ref="C517:E517"/>
    <mergeCell ref="J517:K517"/>
    <mergeCell ref="C519:E519"/>
    <mergeCell ref="J519:K519"/>
    <mergeCell ref="J510:K510"/>
    <mergeCell ref="J511:K511"/>
    <mergeCell ref="J512:K512"/>
    <mergeCell ref="Q172:U173"/>
    <mergeCell ref="Q174:U175"/>
    <mergeCell ref="G196:H197"/>
    <mergeCell ref="B170:D171"/>
    <mergeCell ref="L168:N169"/>
    <mergeCell ref="O168:O169"/>
    <mergeCell ref="D168:F169"/>
    <mergeCell ref="G186:K187"/>
    <mergeCell ref="L186:N187"/>
    <mergeCell ref="O186:O187"/>
    <mergeCell ref="P186:P187"/>
    <mergeCell ref="L188:P189"/>
    <mergeCell ref="S182:U183"/>
    <mergeCell ref="N170:P171"/>
    <mergeCell ref="L172:M173"/>
    <mergeCell ref="N172:P173"/>
    <mergeCell ref="G172:K173"/>
    <mergeCell ref="Q190:U191"/>
    <mergeCell ref="L180:P181"/>
    <mergeCell ref="B192:F193"/>
    <mergeCell ref="B194:F195"/>
    <mergeCell ref="L184:P185"/>
    <mergeCell ref="G188:K189"/>
    <mergeCell ref="G192:I193"/>
    <mergeCell ref="B178:F179"/>
    <mergeCell ref="P168:P169"/>
    <mergeCell ref="B176:F177"/>
    <mergeCell ref="G168:I169"/>
    <mergeCell ref="B113:E113"/>
    <mergeCell ref="B145:E145"/>
    <mergeCell ref="B163:E163"/>
    <mergeCell ref="B203:E203"/>
    <mergeCell ref="B258:E258"/>
    <mergeCell ref="B306:E306"/>
    <mergeCell ref="W180:AA181"/>
    <mergeCell ref="W182:AA183"/>
    <mergeCell ref="W184:AA185"/>
    <mergeCell ref="W186:AA187"/>
    <mergeCell ref="W188:AA189"/>
    <mergeCell ref="W190:AA191"/>
    <mergeCell ref="W192:AA193"/>
    <mergeCell ref="W194:AA195"/>
    <mergeCell ref="W196:AA197"/>
    <mergeCell ref="W198:AA199"/>
    <mergeCell ref="W200:AA201"/>
    <mergeCell ref="B238:C241"/>
    <mergeCell ref="D238:F241"/>
    <mergeCell ref="B281:C281"/>
    <mergeCell ref="B282:C282"/>
    <mergeCell ref="B283:C283"/>
    <mergeCell ref="B284:C284"/>
    <mergeCell ref="B285:C285"/>
    <mergeCell ref="B286:C286"/>
    <mergeCell ref="B276:C276"/>
    <mergeCell ref="B299:C299"/>
    <mergeCell ref="B300:C300"/>
    <mergeCell ref="B277:C277"/>
    <mergeCell ref="B278:C278"/>
    <mergeCell ref="Z265:AD266"/>
    <mergeCell ref="S265:Y266"/>
    <mergeCell ref="B333:E333"/>
    <mergeCell ref="B402:E402"/>
    <mergeCell ref="B424:E424"/>
    <mergeCell ref="B487:E487"/>
    <mergeCell ref="B525:E525"/>
    <mergeCell ref="B263:E263"/>
    <mergeCell ref="B243:E243"/>
    <mergeCell ref="B390:G390"/>
    <mergeCell ref="B375:G375"/>
    <mergeCell ref="I357:N357"/>
    <mergeCell ref="I376:N376"/>
    <mergeCell ref="I395:N395"/>
    <mergeCell ref="P357:U357"/>
    <mergeCell ref="P398:U398"/>
    <mergeCell ref="W401:AB401"/>
    <mergeCell ref="R312:AD314"/>
    <mergeCell ref="R315:AA316"/>
    <mergeCell ref="R317:V318"/>
    <mergeCell ref="R319:V320"/>
    <mergeCell ref="R321:V322"/>
    <mergeCell ref="R323:V324"/>
    <mergeCell ref="R325:V326"/>
    <mergeCell ref="W317:AA318"/>
    <mergeCell ref="W319:AA320"/>
    <mergeCell ref="W321:AA322"/>
    <mergeCell ref="W323:AA324"/>
    <mergeCell ref="W325:AA326"/>
    <mergeCell ref="U327:Y328"/>
    <mergeCell ref="S330:Z332"/>
    <mergeCell ref="P359:S360"/>
    <mergeCell ref="T359:T360"/>
    <mergeCell ref="U359:U360"/>
    <mergeCell ref="M565:N566"/>
    <mergeCell ref="O565:P566"/>
    <mergeCell ref="Q565:R566"/>
    <mergeCell ref="S565:T566"/>
    <mergeCell ref="N567:O568"/>
    <mergeCell ref="C568:C569"/>
    <mergeCell ref="D568:D569"/>
    <mergeCell ref="B568:B569"/>
    <mergeCell ref="B570:B571"/>
    <mergeCell ref="C570:C571"/>
    <mergeCell ref="D570:D571"/>
    <mergeCell ref="C520:E520"/>
    <mergeCell ref="J520:K520"/>
    <mergeCell ref="C521:E521"/>
    <mergeCell ref="J521:K521"/>
    <mergeCell ref="C522:E522"/>
    <mergeCell ref="J522:K522"/>
    <mergeCell ref="B560:AE561"/>
    <mergeCell ref="B527:AE528"/>
    <mergeCell ref="D530:D531"/>
    <mergeCell ref="B530:C531"/>
    <mergeCell ref="E530:E531"/>
    <mergeCell ref="F530:F531"/>
    <mergeCell ref="H530:H531"/>
    <mergeCell ref="J530:J531"/>
    <mergeCell ref="L530:L531"/>
    <mergeCell ref="N530:O531"/>
    <mergeCell ref="P530:R531"/>
    <mergeCell ref="B533:C534"/>
    <mergeCell ref="D533:F534"/>
    <mergeCell ref="H565:I566"/>
    <mergeCell ref="J565:L566"/>
    <mergeCell ref="H569:I570"/>
    <mergeCell ref="J569:K570"/>
    <mergeCell ref="H571:I572"/>
    <mergeCell ref="J571:T574"/>
    <mergeCell ref="J575:T576"/>
    <mergeCell ref="J577:T578"/>
    <mergeCell ref="J579:T582"/>
    <mergeCell ref="J583:T586"/>
    <mergeCell ref="C576:C577"/>
    <mergeCell ref="D576:D577"/>
    <mergeCell ref="B578:B579"/>
    <mergeCell ref="C578:C579"/>
    <mergeCell ref="D578:D579"/>
    <mergeCell ref="P567:T568"/>
    <mergeCell ref="P569:Q570"/>
    <mergeCell ref="R569:T570"/>
    <mergeCell ref="L569:M570"/>
    <mergeCell ref="N569:O570"/>
    <mergeCell ref="H575:I576"/>
    <mergeCell ref="H577:I578"/>
    <mergeCell ref="B572:B573"/>
    <mergeCell ref="C572:C573"/>
    <mergeCell ref="D572:D573"/>
    <mergeCell ref="B576:B577"/>
    <mergeCell ref="H579:I580"/>
    <mergeCell ref="H583:I584"/>
    <mergeCell ref="B565:C566"/>
    <mergeCell ref="D565:F566"/>
    <mergeCell ref="B574:B575"/>
    <mergeCell ref="C574:C575"/>
    <mergeCell ref="I567:J568"/>
    <mergeCell ref="K567:M568"/>
    <mergeCell ref="D574:D575"/>
    <mergeCell ref="B588:C589"/>
    <mergeCell ref="D588:F589"/>
    <mergeCell ref="H588:I589"/>
    <mergeCell ref="J588:L589"/>
    <mergeCell ref="M588:N589"/>
    <mergeCell ref="O588:P589"/>
    <mergeCell ref="Q588:R589"/>
    <mergeCell ref="S588:T589"/>
    <mergeCell ref="I590:J591"/>
    <mergeCell ref="K590:M591"/>
    <mergeCell ref="N590:O591"/>
    <mergeCell ref="P590:T591"/>
    <mergeCell ref="B591:B592"/>
    <mergeCell ref="C591:C592"/>
    <mergeCell ref="D591:D592"/>
    <mergeCell ref="H592:I593"/>
    <mergeCell ref="J592:K593"/>
    <mergeCell ref="L592:M593"/>
    <mergeCell ref="N592:O593"/>
    <mergeCell ref="P592:Q593"/>
    <mergeCell ref="R592:T593"/>
    <mergeCell ref="B593:B594"/>
    <mergeCell ref="C593:C594"/>
    <mergeCell ref="D593:D594"/>
    <mergeCell ref="H594:I595"/>
    <mergeCell ref="C620:C621"/>
    <mergeCell ref="D620:D621"/>
    <mergeCell ref="H621:I622"/>
    <mergeCell ref="J621:T622"/>
    <mergeCell ref="H598:I599"/>
    <mergeCell ref="J598:T599"/>
    <mergeCell ref="B599:B600"/>
    <mergeCell ref="C599:C600"/>
    <mergeCell ref="D599:D600"/>
    <mergeCell ref="H600:I601"/>
    <mergeCell ref="J600:T601"/>
    <mergeCell ref="B601:B602"/>
    <mergeCell ref="C601:C602"/>
    <mergeCell ref="D601:D602"/>
    <mergeCell ref="H602:I603"/>
    <mergeCell ref="J602:T605"/>
    <mergeCell ref="H606:I607"/>
    <mergeCell ref="J606:T609"/>
    <mergeCell ref="B611:C612"/>
    <mergeCell ref="D597:D598"/>
    <mergeCell ref="C624:C625"/>
    <mergeCell ref="D624:D625"/>
    <mergeCell ref="H625:I626"/>
    <mergeCell ref="J625:T628"/>
    <mergeCell ref="B622:B623"/>
    <mergeCell ref="C622:C623"/>
    <mergeCell ref="D622:D623"/>
    <mergeCell ref="H623:I624"/>
    <mergeCell ref="J623:T624"/>
    <mergeCell ref="B624:B625"/>
    <mergeCell ref="H629:I630"/>
    <mergeCell ref="J629:T632"/>
    <mergeCell ref="B558:E558"/>
    <mergeCell ref="B563:E563"/>
    <mergeCell ref="F563:I563"/>
    <mergeCell ref="J563:M563"/>
    <mergeCell ref="I613:J614"/>
    <mergeCell ref="K613:M614"/>
    <mergeCell ref="N613:O614"/>
    <mergeCell ref="P613:T614"/>
    <mergeCell ref="B614:B615"/>
    <mergeCell ref="C614:C615"/>
    <mergeCell ref="D614:D615"/>
    <mergeCell ref="H615:I616"/>
    <mergeCell ref="J615:K616"/>
    <mergeCell ref="L615:M616"/>
    <mergeCell ref="N615:O616"/>
    <mergeCell ref="P615:Q616"/>
    <mergeCell ref="R615:T616"/>
    <mergeCell ref="B616:B617"/>
    <mergeCell ref="C616:C617"/>
    <mergeCell ref="J594:T597"/>
    <mergeCell ref="P54:P55"/>
    <mergeCell ref="B106:C107"/>
    <mergeCell ref="D106:F107"/>
    <mergeCell ref="B108:C109"/>
    <mergeCell ref="D108:F109"/>
    <mergeCell ref="N136:O137"/>
    <mergeCell ref="P136:R137"/>
    <mergeCell ref="N138:O139"/>
    <mergeCell ref="P138:R139"/>
    <mergeCell ref="N140:O141"/>
    <mergeCell ref="P140:R141"/>
    <mergeCell ref="N142:O143"/>
    <mergeCell ref="P142:R143"/>
    <mergeCell ref="D616:D617"/>
    <mergeCell ref="H617:I618"/>
    <mergeCell ref="J617:T620"/>
    <mergeCell ref="B618:B619"/>
    <mergeCell ref="C618:C619"/>
    <mergeCell ref="D618:D619"/>
    <mergeCell ref="B620:B621"/>
    <mergeCell ref="D611:F612"/>
    <mergeCell ref="H611:I612"/>
    <mergeCell ref="J611:L612"/>
    <mergeCell ref="M611:N612"/>
    <mergeCell ref="O611:P612"/>
    <mergeCell ref="Q611:R612"/>
    <mergeCell ref="S611:T612"/>
    <mergeCell ref="B595:B596"/>
    <mergeCell ref="C595:C596"/>
    <mergeCell ref="D595:D596"/>
    <mergeCell ref="B597:B598"/>
    <mergeCell ref="C597:C598"/>
  </mergeCells>
  <dataValidations xWindow="703" yWindow="503" count="26">
    <dataValidation type="list" allowBlank="1" showErrorMessage="1" promptTitle="Gender" prompt="Select Gender" sqref="L8:M9" xr:uid="{00000000-0002-0000-0300-000000000000}">
      <formula1>"male,female"</formula1>
    </dataValidation>
    <dataValidation showDropDown="1" showInputMessage="1" showErrorMessage="1" sqref="D88:F93 V10 D118:F127" xr:uid="{00000000-0002-0000-0300-000001000000}"/>
    <dataValidation operator="equal" allowBlank="1" showInputMessage="1" showErrorMessage="1" sqref="K80:K81" xr:uid="{00000000-0002-0000-0300-000002000000}"/>
    <dataValidation type="whole" allowBlank="1" showInputMessage="1" showErrorMessage="1" errorTitle="Error" error="You can't distribute more then all your additional points of abilities" promptTitle="Input Needed" prompt="Please input" sqref="K44:K55" xr:uid="{00000000-0002-0000-0300-000003000000}">
      <formula1>0</formula1>
      <formula2>ASINumber*2</formula2>
    </dataValidation>
    <dataValidation allowBlank="1" showInputMessage="1" showErrorMessage="1" promptTitle="Player Name" prompt="Input your Name" sqref="D6:H7" xr:uid="{00000000-0002-0000-0300-000004000000}"/>
    <dataValidation allowBlank="1" showInputMessage="1" showErrorMessage="1" promptTitle="Character Name" prompt="Input your's Character's Name" sqref="D4:H5" xr:uid="{00000000-0002-0000-0300-000005000000}"/>
    <dataValidation type="list" allowBlank="1" showInputMessage="1" showErrorMessage="1" sqref="D136:F137" xr:uid="{00000000-0002-0000-0300-000006000000}">
      <formula1>OFFSET($FA$129,0,0,MAX($FC$129:$FC$144),1)</formula1>
    </dataValidation>
    <dataValidation type="list" allowBlank="1" showInputMessage="1" showErrorMessage="1" sqref="D138:F139" xr:uid="{00000000-0002-0000-0300-000007000000}">
      <formula1>OFFSET($FD$129,0,0,MAX($FC$129:$FC$144),1)</formula1>
    </dataValidation>
    <dataValidation type="list" allowBlank="1" showInputMessage="1" showErrorMessage="1" sqref="D140:F141" xr:uid="{00000000-0002-0000-0300-000008000000}">
      <formula1>OFFSET($FG$129,0,0,MAX($FF$129:$FF$144),1)</formula1>
    </dataValidation>
    <dataValidation type="list" allowBlank="1" showInputMessage="1" showErrorMessage="1" sqref="D142:F143" xr:uid="{00000000-0002-0000-0300-000009000000}">
      <formula1>OFFSET($FJ$129,0,0,MAX($FI$129:$FI$144),1)</formula1>
    </dataValidation>
    <dataValidation type="list" allowBlank="1" showInputMessage="1" showErrorMessage="1" sqref="R62:T62" xr:uid="{00000000-0002-0000-0300-00000A000000}">
      <formula1>MainClass</formula1>
    </dataValidation>
    <dataValidation allowBlank="1" showInputMessage="1" showErrorMessage="1" promptTitle="Age of Character" prompt="Input age of Character" sqref="D14:E15" xr:uid="{00000000-0002-0000-0300-00000B000000}"/>
    <dataValidation allowBlank="1" showInputMessage="1" showErrorMessage="1" promptTitle="Input Height" prompt="Input heght of Character" sqref="D16:E17" xr:uid="{00000000-0002-0000-0300-00000C000000}"/>
    <dataValidation type="list" allowBlank="1" showInputMessage="1" showErrorMessage="1" sqref="AC42:AF43" xr:uid="{00000000-0002-0000-0300-00000D000000}">
      <formula1>"Ability Roll,Standard Array"</formula1>
    </dataValidation>
    <dataValidation type="whole" allowBlank="1" showErrorMessage="1" promptTitle="Input Ability score" prompt="Input your abilities roll or PBS_x000a_Min: 3_x000a_Max: 18" sqref="AC44:AC55" xr:uid="{00000000-0002-0000-0300-00000E000000}">
      <formula1>3</formula1>
      <formula2>18</formula2>
    </dataValidation>
    <dataValidation showDropDown="1" showInputMessage="1" showErrorMessage="1" prompt="Message_x000a_" sqref="P118:R125 P127:R134" xr:uid="{00000000-0002-0000-0300-00000F000000}"/>
    <dataValidation allowBlank="1" showInputMessage="1" showErrorMessage="1" prompt="Message_Appearance_x000a_" sqref="N14" xr:uid="{00000000-0002-0000-0300-000010000000}"/>
    <dataValidation type="list" allowBlank="1" showInputMessage="1" showErrorMessage="1" sqref="AA493:AC494" xr:uid="{00000000-0002-0000-0300-000011000000}">
      <formula1>"Variant 1,Variant 2"</formula1>
    </dataValidation>
    <dataValidation type="list" allowBlank="1" showInputMessage="1" showErrorMessage="1" sqref="J494:K523" xr:uid="{00000000-0002-0000-0300-000012000000}">
      <formula1>"backpack,carried,storage,mount"</formula1>
    </dataValidation>
    <dataValidation type="list" allowBlank="1" showInputMessage="1" showErrorMessage="1" sqref="C417:G422 U417:Y422 U409:Y414 I417:M422 O417:S422 O409:S414 I409:M414" xr:uid="{00000000-0002-0000-0300-000013000000}">
      <formula1>OFFSET($EC$3,0,0,MAX($EB$3:$EB$324),1)</formula1>
    </dataValidation>
    <dataValidation type="list" allowBlank="1" showInputMessage="1" showErrorMessage="1" sqref="Z265:AD266" xr:uid="{00000000-0002-0000-0300-000014000000}">
      <formula1>$D$265:$D$306</formula1>
    </dataValidation>
    <dataValidation allowBlank="1" showInputMessage="1" promptTitle="Select Setting" prompt="Message_Setting" sqref="D9:G10" xr:uid="{00000000-0002-0000-0300-000015000000}"/>
    <dataValidation type="list" allowBlank="1" showInputMessage="1" promptTitle="Select Deity" prompt="Message_Deity" sqref="L11:O12 R11:U12" xr:uid="{00000000-0002-0000-0300-000016000000}">
      <formula1>"Custom Campaign,Tyranny of Dragons,Elemental Evil"</formula1>
    </dataValidation>
    <dataValidation type="list" allowBlank="1" showInputMessage="1" promptTitle="Select Faction" prompt="Message_Faction" sqref="R9:U10" xr:uid="{00000000-0002-0000-0300-000017000000}">
      <formula1>"none,Harpers,Zhentarim,Emerald Enclave,Lord's Alliance,Order of the Gauntlet"</formula1>
    </dataValidation>
    <dataValidation showDropDown="1" showInputMessage="1" showErrorMessage="1" prompt="Houserule" sqref="P136:R143" xr:uid="{00000000-0002-0000-0300-000018000000}"/>
    <dataValidation type="whole" operator="greaterThan" showInputMessage="1" showErrorMessage="1" errorTitle="Error" error="You can't distribute more then all your additional points of abilities" promptTitle="Input Needed" prompt="Please input" sqref="M44:M55" xr:uid="{00000000-0002-0000-0300-000019000000}">
      <formula1>0</formula1>
    </dataValidation>
  </dataValidations>
  <hyperlinks>
    <hyperlink ref="B20:E20" location="Link2" display="next" xr:uid="{00000000-0004-0000-0300-000000000000}"/>
    <hyperlink ref="B38:E38" location="LinkAbilities" display="next" xr:uid="{00000000-0004-0000-0300-000001000000}"/>
    <hyperlink ref="R317:V318" location="SheetBardSpells" display="Go to Bard Spells" xr:uid="{00000000-0004-0000-0300-000002000000}"/>
    <hyperlink ref="R319:V320" location="SheetClericSpells" display="Go to Cleric Spells" xr:uid="{00000000-0004-0000-0300-000003000000}"/>
    <hyperlink ref="R321:V322" location="SheetDruidSpells" display="Go to Druid Spells" xr:uid="{00000000-0004-0000-0300-000004000000}"/>
    <hyperlink ref="R323:V324" location="SheetEKSpells" display="Go to Eldritch Knight Spells" xr:uid="{00000000-0004-0000-0300-000005000000}"/>
    <hyperlink ref="R325:V326" location="SheetPaladinSpells" display="Go to Paladin Spells" xr:uid="{00000000-0004-0000-0300-000006000000}"/>
    <hyperlink ref="W317:AA318" location="SheetRangerSpells" display="Go to Ranger Spells" xr:uid="{00000000-0004-0000-0300-000007000000}"/>
    <hyperlink ref="W319:AA320" location="SheetATSpells" display="Go to Arcane Trickster Spells" xr:uid="{00000000-0004-0000-0300-000008000000}"/>
    <hyperlink ref="W321:AA322" location="SheetSorcererSpells" display="Go to Sorcerer Spells" xr:uid="{00000000-0004-0000-0300-000009000000}"/>
    <hyperlink ref="W323:AA324" location="SheetWarlockSpells" display="Go to Warlock Spells" xr:uid="{00000000-0004-0000-0300-00000A000000}"/>
    <hyperlink ref="W325:AA326" location="SheetWizardSpells" display="Go to Wizard Spells" xr:uid="{00000000-0004-0000-0300-00000B000000}"/>
    <hyperlink ref="U327:Y328" location="SheetRitualCasterSpells" display="Go to Rituals" xr:uid="{00000000-0004-0000-0300-00000C000000}"/>
    <hyperlink ref="S330:Z332" location="SheetSpellBook" display="OPEN SPELLBOOK" xr:uid="{00000000-0004-0000-0300-00000D000000}"/>
    <hyperlink ref="B57:E57" location="LinkClassAndLevel" display="next" xr:uid="{00000000-0004-0000-0300-00000E000000}"/>
    <hyperlink ref="B83:E83" location="LinkSkills" display="next" xr:uid="{00000000-0004-0000-0300-00000F000000}"/>
    <hyperlink ref="B113:E113" location="LinkToolsAndLanguages" display="next" xr:uid="{00000000-0004-0000-0300-000010000000}"/>
    <hyperlink ref="B145:E145" location="LinkRacialTraits" display="next" xr:uid="{00000000-0004-0000-0300-000011000000}"/>
    <hyperlink ref="B163:E163" location="LinkSelectableClassFeatures" display="next" xr:uid="{00000000-0004-0000-0300-000012000000}"/>
    <hyperlink ref="B203:E203" location="LinkFeats" display="next" xr:uid="{00000000-0004-0000-0300-000013000000}"/>
    <hyperlink ref="B258:E258" location="LinkClassFeaturesDescription" display="next" xr:uid="{00000000-0004-0000-0300-000014000000}"/>
    <hyperlink ref="B306:E306" location="LinkSpellcasting" display="next" xr:uid="{00000000-0004-0000-0300-000015000000}"/>
    <hyperlink ref="B333:E333" location="LinkSpellsKnown" display="next" xr:uid="{00000000-0004-0000-0300-000016000000}"/>
    <hyperlink ref="B402:E402" location="LinkCantrips" display="next" xr:uid="{00000000-0004-0000-0300-000017000000}"/>
    <hyperlink ref="B424:E424" location="LinkStartingGear" display="next" xr:uid="{00000000-0004-0000-0300-000018000000}"/>
    <hyperlink ref="B487:E487" location="LinkInventory" display="next" xr:uid="{00000000-0004-0000-0300-000019000000}"/>
    <hyperlink ref="B525:E525" location="LinkCombat" display="next" xr:uid="{00000000-0004-0000-0300-00001A000000}"/>
    <hyperlink ref="B263:E263" location="LinkSpellcasting" display="next" xr:uid="{00000000-0004-0000-0300-00001B000000}"/>
    <hyperlink ref="B243:E243" location="LinkClassFeaturesDescription" display="next" xr:uid="{00000000-0004-0000-0300-00001C000000}"/>
    <hyperlink ref="B390:E390" location="LinkCantrips" display="next" xr:uid="{00000000-0004-0000-0300-00001D000000}"/>
    <hyperlink ref="B390:G390" location="SheetRangerSpells" display="go to Ranger Spellbook" xr:uid="{00000000-0004-0000-0300-00001E000000}"/>
    <hyperlink ref="B375:E375" location="LinkCantrips" display="next" xr:uid="{00000000-0004-0000-0300-00001F000000}"/>
    <hyperlink ref="B375:G375" location="SheetBardSpells" display="go to Ranger Spellbook" xr:uid="{00000000-0004-0000-0300-000020000000}"/>
    <hyperlink ref="I357:L357" location="LinkCantrips" display="next" xr:uid="{00000000-0004-0000-0300-000021000000}"/>
    <hyperlink ref="I357:N357" location="SheetEKSpells" display="go to Bard Spellbook" xr:uid="{00000000-0004-0000-0300-000022000000}"/>
    <hyperlink ref="I376:L376" location="LinkCantrips" display="next" xr:uid="{00000000-0004-0000-0300-000023000000}"/>
    <hyperlink ref="I376:N376" location="SheetWarlockSpells" display="go to Warlock Spellbook" xr:uid="{00000000-0004-0000-0300-000024000000}"/>
    <hyperlink ref="I395:L395" location="LinkCantrips" display="next" xr:uid="{00000000-0004-0000-0300-000025000000}"/>
    <hyperlink ref="I395:N395" location="SheetSorcererSpells" display="go to Sorcerer Spellbook" xr:uid="{00000000-0004-0000-0300-000026000000}"/>
    <hyperlink ref="P357:S357" location="LinkCantrips" display="next" xr:uid="{00000000-0004-0000-0300-000027000000}"/>
    <hyperlink ref="P357:U357" location="SheetATSpells" display="go to Eldritch Knight Spellbook" xr:uid="{00000000-0004-0000-0300-000028000000}"/>
    <hyperlink ref="P398:S398" location="LinkCantrips" display="next" xr:uid="{00000000-0004-0000-0300-000029000000}"/>
    <hyperlink ref="P398:U398" location="SheetRitualCasterSpells" display="go to Arcane Trickster Spellbook" xr:uid="{00000000-0004-0000-0300-00002A000000}"/>
    <hyperlink ref="W401:Z401" location="LinkCantrips" display="next" xr:uid="{00000000-0004-0000-0300-00002B000000}"/>
    <hyperlink ref="W401:AB401" location="SheetWizardSpells" display="go to Wizard SpellBook" xr:uid="{00000000-0004-0000-0300-00002C000000}"/>
    <hyperlink ref="AA409:AC409" location="LinkSpellsKnown" display="Back to Spellcasting" xr:uid="{00000000-0004-0000-0300-00002D000000}"/>
    <hyperlink ref="B558:E558" location="LinkCombat" display="next" xr:uid="{00000000-0004-0000-0300-00002E000000}"/>
    <hyperlink ref="B563:E563" location="LinkFamiliar" display="FAMILIAR" xr:uid="{00000000-0004-0000-0300-00002F000000}"/>
    <hyperlink ref="F563:I563" location="LinkCompanion" display="FAMILIAR" xr:uid="{00000000-0004-0000-0300-000030000000}"/>
    <hyperlink ref="J563:M563" location="LinkMount" display="FAMILIAR" xr:uid="{00000000-0004-0000-0300-000031000000}"/>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79" r:id="rId4" name="Button 11">
              <controlPr defaultSize="0" print="0" autoFill="0" autoPict="0" macro="[0]!AbilityRoll4d6">
                <anchor moveWithCells="1" sizeWithCells="1">
                  <from>
                    <xdr:col>30</xdr:col>
                    <xdr:colOff>28575</xdr:colOff>
                    <xdr:row>43</xdr:row>
                    <xdr:rowOff>76200</xdr:rowOff>
                  </from>
                  <to>
                    <xdr:col>31</xdr:col>
                    <xdr:colOff>438150</xdr:colOff>
                    <xdr:row>46</xdr:row>
                    <xdr:rowOff>142875</xdr:rowOff>
                  </to>
                </anchor>
              </controlPr>
            </control>
          </mc:Choice>
        </mc:AlternateContent>
        <mc:AlternateContent xmlns:mc="http://schemas.openxmlformats.org/markup-compatibility/2006">
          <mc:Choice Requires="x14">
            <control shapeId="32793" r:id="rId5" name="Button 25">
              <controlPr defaultSize="0" print="0" autoFill="0" autoPict="0" macro="[0]!HPROll">
                <anchor moveWithCells="1" sizeWithCells="1">
                  <from>
                    <xdr:col>21</xdr:col>
                    <xdr:colOff>19050</xdr:colOff>
                    <xdr:row>60</xdr:row>
                    <xdr:rowOff>171450</xdr:rowOff>
                  </from>
                  <to>
                    <xdr:col>22</xdr:col>
                    <xdr:colOff>428625</xdr:colOff>
                    <xdr:row>63</xdr:row>
                    <xdr:rowOff>152400</xdr:rowOff>
                  </to>
                </anchor>
              </controlPr>
            </control>
          </mc:Choice>
        </mc:AlternateContent>
        <mc:AlternateContent xmlns:mc="http://schemas.openxmlformats.org/markup-compatibility/2006">
          <mc:Choice Requires="x14">
            <control shapeId="32797" r:id="rId6" name="Button 29">
              <controlPr defaultSize="0" print="0" autoFill="0" autoPict="0" macro="[0]!ResetData">
                <anchor moveWithCells="1" sizeWithCells="1">
                  <from>
                    <xdr:col>21</xdr:col>
                    <xdr:colOff>390525</xdr:colOff>
                    <xdr:row>3</xdr:row>
                    <xdr:rowOff>133350</xdr:rowOff>
                  </from>
                  <to>
                    <xdr:col>24</xdr:col>
                    <xdr:colOff>152400</xdr:colOff>
                    <xdr:row>6</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703" yWindow="503" count="118">
        <x14:dataValidation type="list" allowBlank="1" showInputMessage="1" showErrorMessage="1" xr:uid="{00000000-0002-0000-0300-00001A000000}">
          <x14:formula1>
            <xm:f>'C03_ClassVariables'!$O$397:$O$402</xm:f>
          </x14:formula1>
          <xm:sqref>S365:U366</xm:sqref>
        </x14:dataValidation>
        <x14:dataValidation type="list" allowBlank="1" showInputMessage="1" showErrorMessage="1" xr:uid="{00000000-0002-0000-0300-00001B000000}">
          <x14:formula1>
            <xm:f>'C03_ClassVariables'!$N$397:$N$402</xm:f>
          </x14:formula1>
          <xm:sqref>E391:G392</xm:sqref>
        </x14:dataValidation>
        <x14:dataValidation type="list" allowBlank="1" showInputMessage="1" showErrorMessage="1" promptTitle="Alignment" prompt="Message_Alignment" xr:uid="{00000000-0002-0000-0300-00001C000000}">
          <x14:formula1>
            <xm:f>T042_Leveling!$C$26:$C$34</xm:f>
          </x14:formula1>
          <xm:sqref>R6:U7</xm:sqref>
        </x14:dataValidation>
        <x14:dataValidation type="list" allowBlank="1" showInputMessage="1" showErrorMessage="1" promptTitle="First Class" prompt="Please Select first class of character" xr:uid="{00000000-0002-0000-0300-00001D000000}">
          <x14:formula1>
            <xm:f>T04_Classes!$B$3:$B$14</xm:f>
          </x14:formula1>
          <xm:sqref>D62:G63</xm:sqref>
        </x14:dataValidation>
        <x14:dataValidation type="list" allowBlank="1" showInputMessage="1" showErrorMessage="1" xr:uid="{00000000-0002-0000-0300-00001E000000}">
          <x14:formula1>
            <xm:f>OFFSET(T05_Feats!$A$3,0,0,COUNTA(T05_Feats!$A$3:$A$450),1)</xm:f>
          </x14:formula1>
          <xm:sqref>D210 D214 D218 D222 D226 D230 D234 D238 D245 D249 D253</xm:sqref>
        </x14:dataValidation>
        <x14:dataValidation type="list" allowBlank="1" showInputMessage="1" showErrorMessage="1" xr:uid="{00000000-0002-0000-0300-00001F000000}">
          <x14:formula1>
            <xm:f>OFFSET(T08_Spells!$BF$3,0,0,MAX(T08_Spells!$BE$3:$BE$407),1)</xm:f>
          </x14:formula1>
          <xm:sqref>C394:F396</xm:sqref>
        </x14:dataValidation>
        <x14:dataValidation type="list" allowBlank="1" showInputMessage="1" showErrorMessage="1" xr:uid="{00000000-0002-0000-0300-000020000000}">
          <x14:formula1>
            <xm:f>OFFSET(T08_Spells!$BK$3,0,0,MAX(T08_Spells!$BJ$3:$BJ$407),1)</xm:f>
          </x14:formula1>
          <xm:sqref>J380:M394</xm:sqref>
        </x14:dataValidation>
        <x14:dataValidation type="list" allowBlank="1" showInputMessage="1" showErrorMessage="1" xr:uid="{00000000-0002-0000-0300-000021000000}">
          <x14:formula1>
            <xm:f>OFFSET('C03_ClassVariables'!$CQ$193,0,0,MAX('C03_ClassVariables'!$CP$193:$CP$210),1)</xm:f>
          </x14:formula1>
          <xm:sqref>O104:Q105</xm:sqref>
        </x14:dataValidation>
        <x14:dataValidation type="list" allowBlank="1" showInputMessage="1" showErrorMessage="1" xr:uid="{00000000-0002-0000-0300-000022000000}">
          <x14:formula1>
            <xm:f>OFFSET('C03_ClassVariables'!$AE$286,0,0,MAX('C03_ClassVariables'!$AD$286:$AD$311),1)</xm:f>
          </x14:formula1>
          <xm:sqref>D132:F133</xm:sqref>
        </x14:dataValidation>
        <x14:dataValidation type="list" allowBlank="1" showInputMessage="1" showErrorMessage="1" xr:uid="{00000000-0002-0000-0300-000023000000}">
          <x14:formula1>
            <xm:f>OFFSET('C03_ClassVariables'!$AJ$286,0,0,MAX('C03_ClassVariables'!$AI$286:$AI$311),1)</xm:f>
          </x14:formula1>
          <xm:sqref>D134:F135</xm:sqref>
        </x14:dataValidation>
        <x14:dataValidation type="list" allowBlank="1" showInputMessage="1" showErrorMessage="1" prompt="Select skill from class list" xr:uid="{00000000-0002-0000-0300-000024000000}">
          <x14:formula1>
            <xm:f>OFFSET('C03_ClassVariables'!$U$193,0,0,MAX('C03_ClassVariables'!$T$193:$T$210),1)</xm:f>
          </x14:formula1>
          <xm:sqref>D96:F97</xm:sqref>
        </x14:dataValidation>
        <x14:dataValidation type="list" allowBlank="1" showInputMessage="1" showErrorMessage="1" xr:uid="{00000000-0002-0000-0300-000025000000}">
          <x14:formula1>
            <xm:f>OFFSET('C03_ClassVariables'!$CK$193,0,0,MAX('C03_ClassVariables'!$CJ$193:$CJ$210),1)</xm:f>
          </x14:formula1>
          <xm:sqref>O102:Q103</xm:sqref>
        </x14:dataValidation>
        <x14:dataValidation type="list" allowBlank="1" showInputMessage="1" showErrorMessage="1" xr:uid="{00000000-0002-0000-0300-000026000000}">
          <x14:formula1>
            <xm:f>OFFSET('C03_ClassVariables'!$CE$193,0,0,MAX('C03_ClassVariables'!$CD$193:$CD$210),1)</xm:f>
          </x14:formula1>
          <xm:sqref>O100:Q101</xm:sqref>
        </x14:dataValidation>
        <x14:dataValidation type="list" allowBlank="1" showInputMessage="1" showErrorMessage="1" xr:uid="{00000000-0002-0000-0300-000027000000}">
          <x14:formula1>
            <xm:f>OFFSET('C03_ClassVariables'!$BY$193,0,0,MAX('C03_ClassVariables'!$BX$193:$BX$210),1)</xm:f>
          </x14:formula1>
          <xm:sqref>O98:Q99</xm:sqref>
        </x14:dataValidation>
        <x14:dataValidation type="list" allowBlank="1" showInputMessage="1" showErrorMessage="1" xr:uid="{00000000-0002-0000-0300-000028000000}">
          <x14:formula1>
            <xm:f>OFFSET('C03_ClassVariables'!$BM$193,0,0,MAX('C03_ClassVariables'!$BL$193:$BL$210),1)</xm:f>
          </x14:formula1>
          <xm:sqref>O94:Q95</xm:sqref>
        </x14:dataValidation>
        <x14:dataValidation type="list" allowBlank="1" showInputMessage="1" showErrorMessage="1" xr:uid="{00000000-0002-0000-0300-000029000000}">
          <x14:formula1>
            <xm:f>OFFSET('C03_ClassVariables'!$BS$193,0,0,MAX('C03_ClassVariables'!$BR$193:$BR$210),1)</xm:f>
          </x14:formula1>
          <xm:sqref>O96:Q97</xm:sqref>
        </x14:dataValidation>
        <x14:dataValidation type="list" allowBlank="1" showInputMessage="1" showErrorMessage="1" xr:uid="{00000000-0002-0000-0300-00002A000000}">
          <x14:formula1>
            <xm:f>OFFSET('C03_ClassVariables'!$AU$193,0,0,MAX('C03_ClassVariables'!$AT$193:$AT$210),1)</xm:f>
          </x14:formula1>
          <xm:sqref>O88:Q89</xm:sqref>
        </x14:dataValidation>
        <x14:dataValidation type="list" allowBlank="1" showInputMessage="1" showErrorMessage="1" xr:uid="{00000000-0002-0000-0300-00002B000000}">
          <x14:formula1>
            <xm:f>OFFSET('C03_ClassVariables'!$BA$193,0,0,MAX('C03_ClassVariables'!$AZ$193:$AZ$210),1)</xm:f>
          </x14:formula1>
          <xm:sqref>O90:Q91</xm:sqref>
        </x14:dataValidation>
        <x14:dataValidation type="list" allowBlank="1" showInputMessage="1" showErrorMessage="1" xr:uid="{00000000-0002-0000-0300-00002C000000}">
          <x14:formula1>
            <xm:f>OFFSET('C03_ClassVariables'!$BG$193,0,0,MAX('C03_ClassVariables'!$BF$193:$BF$210),1)</xm:f>
          </x14:formula1>
          <xm:sqref>O92:Q93</xm:sqref>
        </x14:dataValidation>
        <x14:dataValidation type="list" allowBlank="1" showInputMessage="1" showErrorMessage="1" prompt="select Archetype" xr:uid="{00000000-0002-0000-0300-00002D000000}">
          <x14:formula1>
            <xm:f>OFFSET('C03_ClassVariables'!$L$16,0,0,'C03_ClassVariables'!$L$15,1)</xm:f>
          </x14:formula1>
          <xm:sqref>J62:M63</xm:sqref>
        </x14:dataValidation>
        <x14:dataValidation type="list" showInputMessage="1" showErrorMessage="1" prompt="Select Archetype" xr:uid="{00000000-0002-0000-0300-00002E000000}">
          <x14:formula1>
            <xm:f>OFFSET('C03_ClassVariables'!$M$16,0,0,'C03_ClassVariables'!$M$15,1)</xm:f>
          </x14:formula1>
          <xm:sqref>J65:M66</xm:sqref>
        </x14:dataValidation>
        <x14:dataValidation type="list" showInputMessage="1" showErrorMessage="1" prompt="Select Archetype" xr:uid="{00000000-0002-0000-0300-00002F000000}">
          <x14:formula1>
            <xm:f>OFFSET('C03_ClassVariables'!$O$16,0,0,'C03_ClassVariables'!$O$15,1)</xm:f>
          </x14:formula1>
          <xm:sqref>J71:M72</xm:sqref>
        </x14:dataValidation>
        <x14:dataValidation type="list" showInputMessage="1" showErrorMessage="1" prompt="Select Archetype" xr:uid="{00000000-0002-0000-0300-000030000000}">
          <x14:formula1>
            <xm:f>OFFSET('C03_ClassVariables'!$N$16,0,0,'C03_ClassVariables'!$N$15,1)</xm:f>
          </x14:formula1>
          <xm:sqref>J68:M69</xm:sqref>
        </x14:dataValidation>
        <x14:dataValidation type="list" showInputMessage="1" showErrorMessage="1" prompt="Select Archetype" xr:uid="{00000000-0002-0000-0300-000031000000}">
          <x14:formula1>
            <xm:f>OFFSET('C03_ClassVariables'!$P$16,0,0,'C03_ClassVariables'!$P$15,1)</xm:f>
          </x14:formula1>
          <xm:sqref>J74:M75</xm:sqref>
        </x14:dataValidation>
        <x14:dataValidation type="list" allowBlank="1" showInputMessage="1" showErrorMessage="1" prompt="Select Archetype" xr:uid="{00000000-0002-0000-0300-000032000000}">
          <x14:formula1>
            <xm:f>OFFSET('C03_ClassVariables'!$Q$16,0,0,'C03_ClassVariables'!$Q$15,1)</xm:f>
          </x14:formula1>
          <xm:sqref>J77:M78</xm:sqref>
        </x14:dataValidation>
        <x14:dataValidation type="list" allowBlank="1" showInputMessage="1" showErrorMessage="1" xr:uid="{00000000-0002-0000-0300-000033000000}">
          <x14:formula1>
            <xm:f>'C03_ClassVariables'!$L$30:$L$32</xm:f>
          </x14:formula1>
          <xm:sqref>S178:U179</xm:sqref>
        </x14:dataValidation>
        <x14:dataValidation type="list" allowBlank="1" showInputMessage="1" showErrorMessage="1" xr:uid="{00000000-0002-0000-0300-000034000000}">
          <x14:formula1>
            <xm:f>'C03_ClassVariables'!$M$30:$M$32</xm:f>
          </x14:formula1>
          <xm:sqref>S180:U181</xm:sqref>
        </x14:dataValidation>
        <x14:dataValidation type="list" allowBlank="1" showInputMessage="1" showErrorMessage="1" xr:uid="{00000000-0002-0000-0300-000035000000}">
          <x14:formula1>
            <xm:f>'C03_ClassVariables'!$N$30:$N$31</xm:f>
          </x14:formula1>
          <xm:sqref>S182:U183</xm:sqref>
        </x14:dataValidation>
        <x14:dataValidation type="list" allowBlank="1" showInputMessage="1" showErrorMessage="1" xr:uid="{00000000-0002-0000-0300-000036000000}">
          <x14:formula1>
            <xm:f>'C03_ClassVariables'!$O$30:$O$32</xm:f>
          </x14:formula1>
          <xm:sqref>S184:U185</xm:sqref>
        </x14:dataValidation>
        <x14:dataValidation type="list" allowBlank="1" showInputMessage="1" showErrorMessage="1" xr:uid="{00000000-0002-0000-0300-000037000000}">
          <x14:formula1>
            <xm:f>OFFSET('C03_ClassVariables'!$Q$144,0,0,MAX('C03_ClassVariables'!$P$144:$P$151),1)</xm:f>
          </x14:formula1>
          <xm:sqref>L178:P185</xm:sqref>
        </x14:dataValidation>
        <x14:dataValidation type="list" allowBlank="1" showInputMessage="1" showErrorMessage="1" xr:uid="{00000000-0002-0000-0300-000038000000}">
          <x14:formula1>
            <xm:f>OFFSET('C03_ClassVariables'!$L$156,0,0,MAX('C03_ClassVariables'!$K$156:$K$168),1)</xm:f>
          </x14:formula1>
          <xm:sqref>Q188:U193</xm:sqref>
        </x14:dataValidation>
        <x14:dataValidation type="list" allowBlank="1" showInputMessage="1" showErrorMessage="1" xr:uid="{00000000-0002-0000-0300-000039000000}">
          <x14:formula1>
            <xm:f>'C03_ClassVariables'!$F$31:$F$33</xm:f>
          </x14:formula1>
          <xm:sqref>N170:P171</xm:sqref>
        </x14:dataValidation>
        <x14:dataValidation type="list" allowBlank="1" showInputMessage="1" showErrorMessage="1" xr:uid="{00000000-0002-0000-0300-00003A000000}">
          <x14:formula1>
            <xm:f>'C03_ClassVariables'!$G$31:$G$33</xm:f>
          </x14:formula1>
          <xm:sqref>N172:P173</xm:sqref>
        </x14:dataValidation>
        <x14:dataValidation type="list" allowBlank="1" showInputMessage="1" showErrorMessage="1" xr:uid="{00000000-0002-0000-0300-00003B000000}">
          <x14:formula1>
            <xm:f>'C03_ClassVariables'!$H$31:$H$33</xm:f>
          </x14:formula1>
          <xm:sqref>N174:P175</xm:sqref>
        </x14:dataValidation>
        <x14:dataValidation type="list" allowBlank="1" showInputMessage="1" showErrorMessage="1" prompt="Select skill from class list" xr:uid="{00000000-0002-0000-0300-00003C000000}">
          <x14:formula1>
            <xm:f>OFFSET('C03_ClassVariables'!$Z$193,0,0,MAX('C03_ClassVariables'!$Y$193:$Y$210),1)</xm:f>
          </x14:formula1>
          <xm:sqref>D98:F99</xm:sqref>
        </x14:dataValidation>
        <x14:dataValidation type="list" allowBlank="1" showInputMessage="1" showErrorMessage="1" prompt="Select skill from class list" xr:uid="{00000000-0002-0000-0300-00003D000000}">
          <x14:formula1>
            <xm:f>OFFSET('C03_ClassVariables'!$AE$193,0,0,MAX('C03_ClassVariables'!$AD$193:$AD$210),1)</xm:f>
          </x14:formula1>
          <xm:sqref>D100:F101</xm:sqref>
        </x14:dataValidation>
        <x14:dataValidation type="list" allowBlank="1" showInputMessage="1" showErrorMessage="1" prompt="Select skill from all skills" xr:uid="{00000000-0002-0000-0300-00003E000000}">
          <x14:formula1>
            <xm:f>OFFSET('C03_ClassVariables'!$AJ$193,0,0,MAX('C03_ClassVariables'!$AI$193:$AI$210),1)</xm:f>
          </x14:formula1>
          <xm:sqref>D102:F103</xm:sqref>
        </x14:dataValidation>
        <x14:dataValidation type="list" allowBlank="1" showInputMessage="1" showErrorMessage="1" prompt="Select skill from all skills" xr:uid="{00000000-0002-0000-0300-00003F000000}">
          <x14:formula1>
            <xm:f>OFFSET('C03_ClassVariables'!$AO$193,0,0,MAX('C03_ClassVariables'!$AN$193:$AN$210),1)</xm:f>
          </x14:formula1>
          <xm:sqref>D104:F105</xm:sqref>
        </x14:dataValidation>
        <x14:dataValidation type="list" allowBlank="1" showInputMessage="1" showErrorMessage="1" xr:uid="{00000000-0002-0000-0300-000040000000}">
          <x14:formula1>
            <xm:f>OFFSET('C03_ClassVariables'!$M$263,0,0,MAX('C03_ClassVariables'!$L$263:$L$281),1)</xm:f>
          </x14:formula1>
          <xm:sqref>U90:W91</xm:sqref>
        </x14:dataValidation>
        <x14:dataValidation type="list" allowBlank="1" showInputMessage="1" showErrorMessage="1" xr:uid="{00000000-0002-0000-0300-000041000000}">
          <x14:formula1>
            <xm:f>OFFSET('C03_ClassVariables'!$V$263,0,0,MAX('C03_ClassVariables'!$U$263:$U$281),1)</xm:f>
          </x14:formula1>
          <xm:sqref>U96:W97</xm:sqref>
        </x14:dataValidation>
        <x14:dataValidation type="list" allowBlank="1" showInputMessage="1" showErrorMessage="1" xr:uid="{00000000-0002-0000-0300-000042000000}">
          <x14:formula1>
            <xm:f>OFFSET('C03_ClassVariables'!$Y$263,0,0,MAX('C03_ClassVariables'!$X$263:$X$281),1)</xm:f>
          </x14:formula1>
          <xm:sqref>U98:W99</xm:sqref>
        </x14:dataValidation>
        <x14:dataValidation type="list" allowBlank="1" showInputMessage="1" showErrorMessage="1" xr:uid="{00000000-0002-0000-0300-000043000000}">
          <x14:formula1>
            <xm:f>OFFSET('C03_ClassVariables'!$AB$263,0,0,MAX('C03_ClassVariables'!$AA$263:$AA$281),1)</xm:f>
          </x14:formula1>
          <xm:sqref>U100:W101</xm:sqref>
        </x14:dataValidation>
        <x14:dataValidation type="list" allowBlank="1" showInputMessage="1" showErrorMessage="1" xr:uid="{00000000-0002-0000-0300-000044000000}">
          <x14:formula1>
            <xm:f>OFFSET('C03_ClassVariables'!$AE$263,0,0,MAX('C03_ClassVariables'!$AD$263:$AD$281),1)</xm:f>
          </x14:formula1>
          <xm:sqref>U102:W103</xm:sqref>
        </x14:dataValidation>
        <x14:dataValidation type="list" allowBlank="1" showInputMessage="1" showErrorMessage="1" xr:uid="{00000000-0002-0000-0300-000045000000}">
          <x14:formula1>
            <xm:f>OFFSET('C03_ClassVariables'!$AH$263,0,0,MAX('C03_ClassVariables'!$AG$263:$AG$281),1)</xm:f>
          </x14:formula1>
          <xm:sqref>U104:W105</xm:sqref>
        </x14:dataValidation>
        <x14:dataValidation type="list" allowBlank="1" showInputMessage="1" showErrorMessage="1" prompt="Select skill from class list" xr:uid="{00000000-0002-0000-0300-000046000000}">
          <x14:formula1>
            <xm:f>OFFSET('C03_ClassVariables'!$P$193,0,0,MAX('C03_ClassVariables'!$O$193:$O$210),1)</xm:f>
          </x14:formula1>
          <xm:sqref>D94:F95</xm:sqref>
        </x14:dataValidation>
        <x14:dataValidation type="list" allowBlank="1" showInputMessage="1" showErrorMessage="1" xr:uid="{00000000-0002-0000-0300-000047000000}">
          <x14:formula1>
            <xm:f>OFFSET('C03_ClassVariables'!$L$71,0,0,MAX('C03_ClassVariables'!$P$60:$P$69),1)</xm:f>
          </x14:formula1>
          <xm:sqref>I194:K195</xm:sqref>
        </x14:dataValidation>
        <x14:dataValidation type="list" allowBlank="1" showInputMessage="1" showErrorMessage="1" xr:uid="{00000000-0002-0000-0300-000048000000}">
          <x14:formula1>
            <xm:f>OFFSET('C03_ClassVariables'!$M$71,0,0,MAX('C03_ClassVariables'!$Q$60:$Q$69),1)</xm:f>
          </x14:formula1>
          <xm:sqref>I196:K197</xm:sqref>
        </x14:dataValidation>
        <x14:dataValidation type="list" allowBlank="1" showInputMessage="1" showErrorMessage="1" xr:uid="{00000000-0002-0000-0300-000049000000}">
          <x14:formula1>
            <xm:f>OFFSET('C03_ClassVariables'!$N$71,0,0,MAX('C03_ClassVariables'!$R$60:$R$69),1)</xm:f>
          </x14:formula1>
          <xm:sqref>I198:K199</xm:sqref>
        </x14:dataValidation>
        <x14:dataValidation type="list" allowBlank="1" showInputMessage="1" showErrorMessage="1" xr:uid="{00000000-0002-0000-0300-00004A000000}">
          <x14:formula1>
            <xm:f>OFFSET('C03_ClassVariables'!$O$71,0,0,MAX('C03_ClassVariables'!$S$60:$S$69),1)</xm:f>
          </x14:formula1>
          <xm:sqref>I200:K201</xm:sqref>
        </x14:dataValidation>
        <x14:dataValidation type="list" allowBlank="1" showInputMessage="1" showErrorMessage="1" xr:uid="{00000000-0002-0000-0300-00004B000000}">
          <x14:formula1>
            <xm:f>OFFSET('C03_ClassVariables'!$P$263,0,0,MAX('C03_ClassVariables'!$O$263:$O$281),1)</xm:f>
          </x14:formula1>
          <xm:sqref>U92:W93</xm:sqref>
        </x14:dataValidation>
        <x14:dataValidation type="list" allowBlank="1" showInputMessage="1" showErrorMessage="1" xr:uid="{00000000-0002-0000-0300-00004C000000}">
          <x14:formula1>
            <xm:f>OFFSET('C03_ClassVariables'!$S$263,0,0,MAX('C03_ClassVariables'!$R$263:$R$281),1)</xm:f>
          </x14:formula1>
          <xm:sqref>U94:W95</xm:sqref>
        </x14:dataValidation>
        <x14:dataValidation type="list" allowBlank="1" showInputMessage="1" showErrorMessage="1" xr:uid="{00000000-0002-0000-0300-00004D000000}">
          <x14:formula1>
            <xm:f>OFFSET('C03_ClassVariables'!$U$286,0,0,MAX('C03_ClassVariables'!$T$286:$T$311),1)</xm:f>
          </x14:formula1>
          <xm:sqref>D128:F129</xm:sqref>
        </x14:dataValidation>
        <x14:dataValidation type="list" allowBlank="1" showInputMessage="1" showErrorMessage="1" xr:uid="{00000000-0002-0000-0300-00004E000000}">
          <x14:formula1>
            <xm:f>OFFSET('C03_ClassVariables'!$Z$286,0,0,MAX('C03_ClassVariables'!$Y$286:$Y$311),1)</xm:f>
          </x14:formula1>
          <xm:sqref>D130:F131</xm:sqref>
        </x14:dataValidation>
        <x14:dataValidation type="list" allowBlank="1" showInputMessage="1" xr:uid="{00000000-0002-0000-0300-00004F000000}">
          <x14:formula1>
            <xm:f>OFFSET('C03_ClassVariables'!$M$314,0,0,MAX('C03_ClassVariables'!$L$314:$L$352),1)</xm:f>
          </x14:formula1>
          <xm:sqref>J118:L119</xm:sqref>
        </x14:dataValidation>
        <x14:dataValidation type="list" allowBlank="1" showInputMessage="1" xr:uid="{00000000-0002-0000-0300-000050000000}">
          <x14:formula1>
            <xm:f>OFFSET('C03_ClassVariables'!$S$314,0,0,MAX('C03_ClassVariables'!$R$314:$R$352),1)</xm:f>
          </x14:formula1>
          <xm:sqref>J120:L121</xm:sqref>
        </x14:dataValidation>
        <x14:dataValidation type="list" allowBlank="1" showInputMessage="1" xr:uid="{00000000-0002-0000-0300-000051000000}">
          <x14:formula1>
            <xm:f>OFFSET('C03_ClassVariables'!$Y$314,0,0,MAX('C03_ClassVariables'!$X$314:$X$352),1)</xm:f>
          </x14:formula1>
          <xm:sqref>J122:L123</xm:sqref>
        </x14:dataValidation>
        <x14:dataValidation type="list" allowBlank="1" showInputMessage="1" xr:uid="{00000000-0002-0000-0300-000052000000}">
          <x14:formula1>
            <xm:f>OFFSET('C03_ClassVariables'!$AE$314,0,0,MAX('C03_ClassVariables'!$AD$314:$AD$352),1)</xm:f>
          </x14:formula1>
          <xm:sqref>J124:L125</xm:sqref>
        </x14:dataValidation>
        <x14:dataValidation type="list" errorStyle="warning" allowBlank="1" showInputMessage="1" showErrorMessage="1" xr:uid="{00000000-0002-0000-0300-000053000000}">
          <x14:formula1>
            <xm:f>OFFSET('C03_ClassVariables'!$AK$314,0,0,MAX('C03_ClassVariables'!$AJ$314:$AJ$352),1)</xm:f>
          </x14:formula1>
          <xm:sqref>J126:L127</xm:sqref>
        </x14:dataValidation>
        <x14:dataValidation type="list" allowBlank="1" showInputMessage="1" showErrorMessage="1" xr:uid="{00000000-0002-0000-0300-000054000000}">
          <x14:formula1>
            <xm:f>OFFSET('C03_ClassVariables'!$CW$193,0,0,MAX('C03_ClassVariables'!$CV$193:$CV$210),1)</xm:f>
          </x14:formula1>
          <xm:sqref>O106:Q107</xm:sqref>
        </x14:dataValidation>
        <x14:dataValidation type="list" allowBlank="1" showInputMessage="1" showErrorMessage="1" xr:uid="{00000000-0002-0000-0300-000055000000}">
          <x14:formula1>
            <xm:f>OFFSET('C03_ClassVariables'!$DC$193,0,0,MAX('C03_ClassVariables'!$DB$193:$DB$210),1)</xm:f>
          </x14:formula1>
          <xm:sqref>O108:Q109</xm:sqref>
        </x14:dataValidation>
        <x14:dataValidation type="list" allowBlank="1" showInputMessage="1" showErrorMessage="1" xr:uid="{00000000-0002-0000-0300-000056000000}">
          <x14:formula1>
            <xm:f>OFFSET('C03_ClassVariables'!$DI$193,0,0,MAX('C03_ClassVariables'!$DH$193:$DH$210),1)</xm:f>
          </x14:formula1>
          <xm:sqref>O110:Q111</xm:sqref>
        </x14:dataValidation>
        <x14:dataValidation type="list" allowBlank="1" showInputMessage="1" showErrorMessage="1" xr:uid="{00000000-0002-0000-0300-000057000000}">
          <x14:formula1>
            <xm:f>OFFSET('C03_ClassVariables'!$G$12,0,0,COUNTIF('C03_ClassVariables'!$F$12:$F$17,"&gt;0"),1)</xm:f>
          </x14:formula1>
          <xm:sqref>C44:C55</xm:sqref>
        </x14:dataValidation>
        <x14:dataValidation type="list" allowBlank="1" showInputMessage="1" showErrorMessage="1" xr:uid="{00000000-0002-0000-0300-000058000000}">
          <x14:formula1>
            <xm:f>OFFSET('C03_ClassVariables'!$AQ$314,0,0,MAX('C03_ClassVariables'!$AP$314:$AP$352),1)</xm:f>
          </x14:formula1>
          <xm:sqref>J128:L129</xm:sqref>
        </x14:dataValidation>
        <x14:dataValidation type="list" allowBlank="1" showInputMessage="1" showErrorMessage="1" xr:uid="{00000000-0002-0000-0300-000059000000}">
          <x14:formula1>
            <xm:f>OFFSET('C03_ClassVariables'!$AW$314,0,0,MAX('C03_ClassVariables'!$AV$314:$AV$352),1)</xm:f>
          </x14:formula1>
          <xm:sqref>J130:L131</xm:sqref>
        </x14:dataValidation>
        <x14:dataValidation type="list" allowBlank="1" showInputMessage="1" showErrorMessage="1" xr:uid="{00000000-0002-0000-0300-00005A000000}">
          <x14:formula1>
            <xm:f>OFFSET('C03_ClassVariables'!$BC$314,0,0,MAX('C03_ClassVariables'!$BB$314:$BB$352),1)</xm:f>
          </x14:formula1>
          <xm:sqref>J132:L133</xm:sqref>
        </x14:dataValidation>
        <x14:dataValidation type="list" allowBlank="1" showInputMessage="1" showErrorMessage="1" xr:uid="{00000000-0002-0000-0300-00005B000000}">
          <x14:formula1>
            <xm:f>OFFSET('C03_ClassVariables'!$BI$314,0,0,MAX('C03_ClassVariables'!$BH$314:$BH$352),1)</xm:f>
          </x14:formula1>
          <xm:sqref>J134:L135</xm:sqref>
        </x14:dataValidation>
        <x14:dataValidation type="list" allowBlank="1" showInputMessage="1" showErrorMessage="1" xr:uid="{00000000-0002-0000-0300-00005C000000}">
          <x14:formula1>
            <xm:f>OFFSET('C03_ClassVariables'!$BO$314,0,0,MAX('C03_ClassVariables'!$BN$314:$BN$352),1)</xm:f>
          </x14:formula1>
          <xm:sqref>J136:L137</xm:sqref>
        </x14:dataValidation>
        <x14:dataValidation type="list" allowBlank="1" showInputMessage="1" showErrorMessage="1" xr:uid="{00000000-0002-0000-0300-00005D000000}">
          <x14:formula1>
            <xm:f>OFFSET('C03_ClassVariables'!$BU$314,0,0,MAX('C03_ClassVariables'!$BT$314:$BT$352),1)</xm:f>
          </x14:formula1>
          <xm:sqref>J138:L139</xm:sqref>
        </x14:dataValidation>
        <x14:dataValidation type="list" allowBlank="1" showInputMessage="1" showErrorMessage="1" xr:uid="{00000000-0002-0000-0300-00005E000000}">
          <x14:formula1>
            <xm:f>OFFSET('C03_ClassVariables'!$CA$314,0,0,MAX('C03_ClassVariables'!$BZ$314:$BZ$352),1)</xm:f>
          </x14:formula1>
          <xm:sqref>J140:L141</xm:sqref>
        </x14:dataValidation>
        <x14:dataValidation type="list" allowBlank="1" showInputMessage="1" showErrorMessage="1" xr:uid="{00000000-0002-0000-0300-00005F000000}">
          <x14:formula1>
            <xm:f>OFFSET('C03_ClassVariables'!$CG$314,0,0,MAX('C03_ClassVariables'!$CF$314:$CF$352),1)</xm:f>
          </x14:formula1>
          <xm:sqref>J142:L143</xm:sqref>
        </x14:dataValidation>
        <x14:dataValidation type="list" allowBlank="1" showInputMessage="1" showErrorMessage="1" prompt="Select ANY spell from WIZARD list" xr:uid="{00000000-0002-0000-0300-000060000000}">
          <x14:formula1>
            <xm:f>OFFSET(T08_Spells!$CE$3,0,0,MAX(T08_Spells!$CD$3:$CD$407),1)</xm:f>
          </x14:formula1>
          <xm:sqref>Q353:T353</xm:sqref>
        </x14:dataValidation>
        <x14:dataValidation type="list" allowBlank="1" showInputMessage="1" showErrorMessage="1" prompt="Select spells from ENCANTMENT and ILLUSION schools of WIZARD spell list" xr:uid="{00000000-0002-0000-0300-000061000000}">
          <x14:formula1>
            <xm:f>OFFSET(T08_Spells!$BZ$3,0,0,MAX(T08_Spells!$BY$3:$BY$407),1)</xm:f>
          </x14:formula1>
          <xm:sqref>Q341:T349</xm:sqref>
        </x14:dataValidation>
        <x14:dataValidation type="list" allowBlank="1" showInputMessage="1" showErrorMessage="1" xr:uid="{00000000-0002-0000-0300-000062000000}">
          <x14:formula1>
            <xm:f>OFFSET(T08_Spells!$CE$3,0,0,MAX(T08_Spells!$CD$3:$CD$407),1)</xm:f>
          </x14:formula1>
          <xm:sqref>Q354:T356</xm:sqref>
        </x14:dataValidation>
        <x14:dataValidation type="list" allowBlank="1" showInputMessage="1" showErrorMessage="1" prompt="Select spells from ABJURATION and EVOCATION schools from WIZARD spell list (Eldritch Knight)" xr:uid="{00000000-0002-0000-0300-000063000000}">
          <x14:formula1>
            <xm:f>OFFSET(T08_Spells!$BU$3,0,0,MAX(T08_Spells!$BT$3:$BT$407),1)</xm:f>
          </x14:formula1>
          <xm:sqref>J341:M349</xm:sqref>
        </x14:dataValidation>
        <x14:dataValidation type="list" allowBlank="1" showInputMessage="1" showErrorMessage="1" prompt="Select ANY spell from WIZARD spell list (Eldritch Knight)" xr:uid="{00000000-0002-0000-0300-000064000000}">
          <x14:formula1>
            <xm:f>OFFSET(T08_Spells!$CJ$3,0,0,MAX(T08_Spells!$CI$3:$CI$407),1)</xm:f>
          </x14:formula1>
          <xm:sqref>J353:M356</xm:sqref>
        </x14:dataValidation>
        <x14:dataValidation type="list" allowBlank="1" showInputMessage="1" showErrorMessage="1" xr:uid="{00000000-0002-0000-0300-000065000000}">
          <x14:formula1>
            <xm:f>OFFSET(T08_Spells!$CO$3,0,0,MAX(T08_Spells!$CN$3:$CN$407),1)</xm:f>
          </x14:formula1>
          <xm:sqref>C341:F362</xm:sqref>
        </x14:dataValidation>
        <x14:dataValidation type="list" allowBlank="1" showInputMessage="1" showErrorMessage="1" xr:uid="{00000000-0002-0000-0300-000066000000}">
          <x14:formula1>
            <xm:f>OFFSET(T08_Spells!$CY$3,0,0,MAX(T08_Spells!$CX$3:$CX$407),1)</xm:f>
          </x14:formula1>
          <xm:sqref>C367:F374</xm:sqref>
        </x14:dataValidation>
        <x14:dataValidation type="list" allowBlank="1" showInputMessage="1" showErrorMessage="1" xr:uid="{00000000-0002-0000-0300-000067000000}">
          <x14:formula1>
            <xm:f>OFFSET('C03_ClassVariables'!$K$397,0,0,MAX('C03_ClassVariables'!$K$397:$K$406),1)</xm:f>
          </x14:formula1>
          <xm:sqref>AC338</xm:sqref>
        </x14:dataValidation>
        <x14:dataValidation type="list" allowBlank="1" showInputMessage="1" showErrorMessage="1" prompt="Before selecting spells - select spell level" xr:uid="{00000000-0002-0000-0300-000068000000}">
          <x14:formula1>
            <xm:f>OFFSET(T08_Spells!$CT$3,0,0,MAX(T08_Spells!$CS$3:$CS$407),1)</xm:f>
          </x14:formula1>
          <xm:sqref>X341:AA400</xm:sqref>
        </x14:dataValidation>
        <x14:dataValidation type="list" allowBlank="1" showInputMessage="1" showErrorMessage="1" xr:uid="{00000000-0002-0000-0300-000069000000}">
          <x14:formula1>
            <xm:f>OFFSET(T08_Spells!$BP$3,0,0,MAX(T08_Spells!$BO$3:$BO$407),1)</xm:f>
          </x14:formula1>
          <xm:sqref>J361:M375</xm:sqref>
        </x14:dataValidation>
        <x14:dataValidation type="list" allowBlank="1" showInputMessage="1" showErrorMessage="1" xr:uid="{00000000-0002-0000-0300-00006A000000}">
          <x14:formula1>
            <xm:f>OFFSET('C03_ClassVariables'!$M$123,0,0,MAX('C03_ClassVariables'!$L$123:$L$138),1)</xm:f>
          </x14:formula1>
          <xm:sqref>G170:K191</xm:sqref>
        </x14:dataValidation>
        <x14:dataValidation type="list" allowBlank="1" showInputMessage="1" showErrorMessage="1" xr:uid="{00000000-0002-0000-0300-00006B000000}">
          <x14:formula1>
            <xm:f>OFFSET('C03_ClassVariables'!$L$144,0,0,MAX('C03_ClassVariables'!$K$144:$K$151),1)</xm:f>
          </x14:formula1>
          <xm:sqref>Q170:U175</xm:sqref>
        </x14:dataValidation>
        <x14:dataValidation type="list" allowBlank="1" showInputMessage="1" showErrorMessage="1" xr:uid="{00000000-0002-0000-0300-00006C000000}">
          <x14:formula1>
            <xm:f>OFFSET('C03_ClassVariables'!$AM$142,0,0,MAX('C03_ClassVariables'!$AL$142:$AL$157),1)</xm:f>
          </x14:formula1>
          <xm:sqref>L188:P197</xm:sqref>
        </x14:dataValidation>
        <x14:dataValidation type="list" allowBlank="1" showInputMessage="1" showErrorMessage="1" xr:uid="{00000000-0002-0000-0300-00006D000000}">
          <x14:formula1>
            <xm:f>OFFSET('C03_ClassVariables'!$R$86,0,0,MAX('C03_ClassVariables'!$Q$86:$Q$117),1)</xm:f>
          </x14:formula1>
          <xm:sqref>B172:F187</xm:sqref>
        </x14:dataValidation>
        <x14:dataValidation type="list" allowBlank="1" showInputMessage="1" showErrorMessage="1" xr:uid="{00000000-0002-0000-0300-00006E000000}">
          <x14:formula1>
            <xm:f>'C03_ClassVariables'!$V$86:$V$88</xm:f>
          </x14:formula1>
          <xm:sqref>D168:F169</xm:sqref>
        </x14:dataValidation>
        <x14:dataValidation type="list" allowBlank="1" showInputMessage="1" showErrorMessage="1" xr:uid="{00000000-0002-0000-0300-00006F000000}">
          <x14:formula1>
            <xm:f>OFFSET('C03_ClassVariables'!$X$87,0,0,MAX('C03_ClassVariables'!$Y$87:$Y$106),1)</xm:f>
          </x14:formula1>
          <xm:sqref>S194:U195</xm:sqref>
        </x14:dataValidation>
        <x14:dataValidation type="list" allowBlank="1" showInputMessage="1" showErrorMessage="1" xr:uid="{00000000-0002-0000-0300-000070000000}">
          <x14:formula1>
            <xm:f>OFFSET('C03_ClassVariables'!$ED$4,0,0,1,'C03_ClassVariables'!$EC$4)</xm:f>
          </x14:formula1>
          <xm:sqref>D429:F430</xm:sqref>
        </x14:dataValidation>
        <x14:dataValidation type="list" allowBlank="1" showInputMessage="1" showErrorMessage="1" xr:uid="{00000000-0002-0000-0300-000071000000}">
          <x14:formula1>
            <xm:f>OFFSET('C03_ClassVariables'!$ED$6,0,0,1,'C03_ClassVariables'!$EC$6)</xm:f>
          </x14:formula1>
          <xm:sqref>J429:L430</xm:sqref>
        </x14:dataValidation>
        <x14:dataValidation type="list" allowBlank="1" showInputMessage="1" showErrorMessage="1" xr:uid="{00000000-0002-0000-0300-000072000000}">
          <x14:formula1>
            <xm:f>OFFSET('C03_ClassVariables'!$ED$8,0,0,1,'C03_ClassVariables'!$EC$8)</xm:f>
          </x14:formula1>
          <xm:sqref>J432:L433</xm:sqref>
        </x14:dataValidation>
        <x14:dataValidation type="list" allowBlank="1" showInputMessage="1" showErrorMessage="1" xr:uid="{00000000-0002-0000-0300-000073000000}">
          <x14:formula1>
            <xm:f>OFFSET('C03_ClassVariables'!$ED$9,0,0,1,'C03_ClassVariables'!$EC$9)</xm:f>
          </x14:formula1>
          <xm:sqref>J434:L435</xm:sqref>
        </x14:dataValidation>
        <x14:dataValidation type="list" allowBlank="1" showInputMessage="1" showErrorMessage="1" xr:uid="{00000000-0002-0000-0300-000074000000}">
          <x14:formula1>
            <xm:f>OFFSET(T08_Spells!$EE$3,0,0,MAX(T08_Spells!$ED$3:$ED$407),1)</xm:f>
          </x14:formula1>
          <xm:sqref>C409:G414</xm:sqref>
        </x14:dataValidation>
        <x14:dataValidation type="list" allowBlank="1" showInputMessage="1" showErrorMessage="1" xr:uid="{00000000-0002-0000-0300-000075000000}">
          <x14:formula1>
            <xm:f>'C03_ClassVariables'!$FY$3:$FY$40</xm:f>
          </x14:formula1>
          <xm:sqref>EC442:EE443</xm:sqref>
        </x14:dataValidation>
        <x14:dataValidation type="list" allowBlank="1" showInputMessage="1" showErrorMessage="1" xr:uid="{00000000-0002-0000-0300-000076000000}">
          <x14:formula1>
            <xm:f>OFFSET(T11_MiscItems!$K$2,0,0,MAX(T11_MiscItems!$J$2:$J$235),1)</xm:f>
          </x14:formula1>
          <xm:sqref>EC444:EE445</xm:sqref>
        </x14:dataValidation>
        <x14:dataValidation type="list" allowBlank="1" showInputMessage="1" showErrorMessage="1" xr:uid="{00000000-0002-0000-0300-000077000000}">
          <x14:formula1>
            <xm:f>'C03_ClassVariables'!$E$424:$E$461</xm:f>
          </x14:formula1>
          <xm:sqref>D537:F537 D549:F549</xm:sqref>
        </x14:dataValidation>
        <x14:dataValidation type="list" allowBlank="1" showInputMessage="1" showErrorMessage="1" xr:uid="{00000000-0002-0000-0300-000078000000}">
          <x14:formula1>
            <xm:f>'C03_ClassVariables'!$H$424:$H$462</xm:f>
          </x14:formula1>
          <xm:sqref>D538:F538</xm:sqref>
        </x14:dataValidation>
        <x14:dataValidation type="list" allowBlank="1" showInputMessage="1" showErrorMessage="1" xr:uid="{00000000-0002-0000-0300-000079000000}">
          <x14:formula1>
            <xm:f>'C03_ClassVariables'!$J$424:$J$462</xm:f>
          </x14:formula1>
          <xm:sqref>D540:F540</xm:sqref>
        </x14:dataValidation>
        <x14:dataValidation type="list" allowBlank="1" showInputMessage="1" showErrorMessage="1" xr:uid="{00000000-0002-0000-0300-00007A000000}">
          <x14:formula1>
            <xm:f>'C03_ClassVariables'!$O$424:$O$462</xm:f>
          </x14:formula1>
          <xm:sqref>D543:F543</xm:sqref>
        </x14:dataValidation>
        <x14:dataValidation type="list" allowBlank="1" showInputMessage="1" showErrorMessage="1" xr:uid="{00000000-0002-0000-0300-00007B000000}">
          <x14:formula1>
            <xm:f>'C03_ClassVariables'!$T$424:$T$462</xm:f>
          </x14:formula1>
          <xm:sqref>D546:F546</xm:sqref>
        </x14:dataValidation>
        <x14:dataValidation type="list" allowBlank="1" showInputMessage="1" showErrorMessage="1" xr:uid="{00000000-0002-0000-0300-00007C000000}">
          <x14:formula1>
            <xm:f>'C03_ClassVariables'!$M$424:$M$462</xm:f>
          </x14:formula1>
          <xm:sqref>D541:F541</xm:sqref>
        </x14:dataValidation>
        <x14:dataValidation type="list" allowBlank="1" showInputMessage="1" showErrorMessage="1" promptTitle="Select Race" prompt="Message_Race_x000a_" xr:uid="{00000000-0002-0000-0300-00007D000000}">
          <x14:formula1>
            <xm:f>OFFSET('C01_BaseCalculation'!$Y$15,0,0,MAX('C01_BaseCalculation'!$X$15:$X$166),1)</xm:f>
          </x14:formula1>
          <xm:sqref>L4:O5</xm:sqref>
        </x14:dataValidation>
        <x14:dataValidation type="list" allowBlank="1" showInputMessage="1" showErrorMessage="1" promptTitle="Select Subrace" prompt="Message_Subrace" xr:uid="{00000000-0002-0000-0300-00007E000000}">
          <x14:formula1>
            <xm:f>OFFSET('C01_BaseCalculation'!$AA$15,0,0,MAX('C01_BaseCalculation'!$Z$15:$Z$166),1)</xm:f>
          </x14:formula1>
          <xm:sqref>L6:O7</xm:sqref>
        </x14:dataValidation>
        <x14:dataValidation type="list" allowBlank="1" showInputMessage="1" showErrorMessage="1" promptTitle="Select class" prompt="Select class for this level of character" xr:uid="{00000000-0002-0000-0300-00007F000000}">
          <x14:formula1>
            <xm:f>OFFSET('C01_BaseCalculation'!$S$15,0,0,MAX('C01_BaseCalculation'!$R$15:$R$114),1)</xm:f>
          </x14:formula1>
          <xm:sqref>R63:R81</xm:sqref>
        </x14:dataValidation>
        <x14:dataValidation type="list" allowBlank="1" showInputMessage="1" showErrorMessage="1" xr:uid="{00000000-0002-0000-0300-000080000000}">
          <x14:formula1>
            <xm:f>OFFSET('C01_BaseCalculation'!$T$3,0,0,MAX('C01_BaseCalculation'!$S$3:$S$407),1)</xm:f>
          </x14:formula1>
          <xm:sqref>C379:F389 Q368:T397 Q361:T362</xm:sqref>
        </x14:dataValidation>
        <x14:dataValidation type="list" allowBlank="1" showInputMessage="1" showErrorMessage="1" xr:uid="{00000000-0002-0000-0300-000081000000}">
          <x14:formula1>
            <xm:f>OFFSET('C04_Inventory'!$C$105,0,0,MATCH($V$429,'C04_Inventory'!$A$105:$A$118,0),INDEX('C04_Inventory'!$B$105:$B$118,MATCH($V$429,'C04_Inventory'!$A$105:$A$118,0),1))</xm:f>
          </x14:formula1>
          <xm:sqref>X429:Z430</xm:sqref>
        </x14:dataValidation>
        <x14:dataValidation type="list" allowBlank="1" showInputMessage="1" promptTitle="Select Deity" prompt="Message_Deity" xr:uid="{00000000-0002-0000-0300-000082000000}">
          <x14:formula1>
            <xm:f>T06_Deities!$C$2:$C$130</xm:f>
          </x14:formula1>
          <xm:sqref>D11:G12</xm:sqref>
        </x14:dataValidation>
        <x14:dataValidation type="list" allowBlank="1" showInputMessage="1" showErrorMessage="1" promptTitle="Select Background" prompt="Message_BackgroundSelect" xr:uid="{00000000-0002-0000-0300-000083000000}">
          <x14:formula1>
            <xm:f>OFFSET(T02_Backgrounds!$B$2,0,0,MAX(T02_Backgrounds!$A$2:$A$101),1)</xm:f>
          </x14:formula1>
          <xm:sqref>R4:U5</xm:sqref>
        </x14:dataValidation>
        <x14:dataValidation type="list" allowBlank="1" showInputMessage="1" showErrorMessage="1" xr:uid="{00000000-0002-0000-0300-000084000000}">
          <x14:formula1>
            <xm:f>OFFSET(T02_Backgrounds!$T$2,SelectedBackgroundId-1,0,1,OFFSET(T02_Backgrounds!$S$2,SelectedBackgroundId-1,0))</xm:f>
          </x14:formula1>
          <xm:sqref>D24:J25</xm:sqref>
        </x14:dataValidation>
        <x14:dataValidation type="list" allowBlank="1" showInputMessage="1" promptTitle="Select Ideal" prompt="Select Ideal for Your Character. You can enter your own ideal" xr:uid="{00000000-0002-0000-0300-000085000000}">
          <x14:formula1>
            <xm:f>OFFSET(T02_Backgrounds!$AZ$2,SelectedBackgroundId-1,0,1,OFFSET(T02_Backgrounds!$AY$2,SelectedBackgroundId-1,0))</xm:f>
          </x14:formula1>
          <xm:sqref>D27:J29</xm:sqref>
        </x14:dataValidation>
        <x14:dataValidation type="list" allowBlank="1" showInputMessage="1" showErrorMessage="1" promptTitle="Select Bond" prompt="Select Bond for Your Character. You can enter your own bond" xr:uid="{00000000-0002-0000-0300-000086000000}">
          <x14:formula1>
            <xm:f>OFFSET(T02_Backgrounds!$BK$2,SelectedBackgroundId-1,0,1,OFFSET(T02_Backgrounds!$BJ$2,SelectedBackgroundId-1,0))</xm:f>
          </x14:formula1>
          <xm:sqref>D30:J32</xm:sqref>
        </x14:dataValidation>
        <x14:dataValidation type="list" allowBlank="1" showInputMessage="1" promptTitle="Select Traits" prompt="You can input your own traits" xr:uid="{00000000-0002-0000-0300-000087000000}">
          <x14:formula1>
            <xm:f>OFFSET(T02_Backgrounds!$AO$2,SelectedBackgroundId-1,0,1,OFFSET(T02_Backgrounds!$AN$2,SelectedBackgroundId-1,0))</xm:f>
          </x14:formula1>
          <xm:sqref>N24:T29</xm:sqref>
        </x14:dataValidation>
        <x14:dataValidation type="list" allowBlank="1" showInputMessage="1" showErrorMessage="1" promptTitle="Select Flaw" prompt="You can input your own Flaw" xr:uid="{00000000-0002-0000-0300-000088000000}">
          <x14:formula1>
            <xm:f>OFFSET(T02_Backgrounds!$BV$2,SelectedBackgroundId-1,0,1,OFFSET(T02_Backgrounds!$BU$2,SelectedBackgroundId-1,0))</xm:f>
          </x14:formula1>
          <xm:sqref>N30:T32</xm:sqref>
        </x14:dataValidation>
        <x14:dataValidation type="list" allowBlank="1" showInputMessage="1" showErrorMessage="1" xr:uid="{00000000-0002-0000-0300-000089000000}">
          <x14:formula1>
            <xm:f>OFFSET('C01_BaseCalculation'!AE21,0,0,1,MAX('C01_BaseCalculation'!AE21:AF21)+1)</xm:f>
          </x14:formula1>
          <xm:sqref>G44:G45</xm:sqref>
        </x14:dataValidation>
        <x14:dataValidation type="list" allowBlank="1" showInputMessage="1" showErrorMessage="1" xr:uid="{00000000-0002-0000-0300-00008A000000}">
          <x14:formula1>
            <xm:f>OFFSET('C01_BaseCalculation'!AE22,0,0,1,MAX('C01_BaseCalculation'!AE22:AF22)+1)</xm:f>
          </x14:formula1>
          <xm:sqref>G46:G47</xm:sqref>
        </x14:dataValidation>
        <x14:dataValidation type="list" allowBlank="1" showInputMessage="1" showErrorMessage="1" xr:uid="{00000000-0002-0000-0300-00008B000000}">
          <x14:formula1>
            <xm:f>OFFSET('C01_BaseCalculation'!AE23,0,0,1,MAX('C01_BaseCalculation'!AE23:AF23)+1)</xm:f>
          </x14:formula1>
          <xm:sqref>G48:G49</xm:sqref>
        </x14:dataValidation>
        <x14:dataValidation type="list" allowBlank="1" showInputMessage="1" showErrorMessage="1" xr:uid="{00000000-0002-0000-0300-00008C000000}">
          <x14:formula1>
            <xm:f>OFFSET('C01_BaseCalculation'!AE24,0,0,1,MAX('C01_BaseCalculation'!AE24:AF24)+1)</xm:f>
          </x14:formula1>
          <xm:sqref>G50:G51</xm:sqref>
        </x14:dataValidation>
        <x14:dataValidation type="list" allowBlank="1" showInputMessage="1" showErrorMessage="1" xr:uid="{00000000-0002-0000-0300-00008D000000}">
          <x14:formula1>
            <xm:f>OFFSET('C01_BaseCalculation'!AE25,0,0,1,MAX('C01_BaseCalculation'!AE25:AF25)+1)</xm:f>
          </x14:formula1>
          <xm:sqref>G52:G53</xm:sqref>
        </x14:dataValidation>
        <x14:dataValidation type="list" allowBlank="1" showInputMessage="1" showErrorMessage="1" xr:uid="{00000000-0002-0000-0300-00008E000000}">
          <x14:formula1>
            <xm:f>OFFSET('C01_BaseCalculation'!AE26,0,0,1,MAX('C01_BaseCalculation'!AE26:AF26)+1)</xm:f>
          </x14:formula1>
          <xm:sqref>G54:G55</xm:sqref>
        </x14:dataValidation>
        <x14:dataValidation type="list" allowBlank="1" showInputMessage="1" showErrorMessage="1" promptTitle="Select Bond" prompt="Select Bond for Your Character. You can enter your own bond" xr:uid="{00000000-0002-0000-0300-00008F000000}">
          <x14:formula1>
            <xm:f>OFFSET(T13_AdvLeagData!$C$2,0,0,MAX(T13_AdvLeagData!$A$2:$A$102),1)</xm:f>
          </x14:formula1>
          <xm:sqref>X24:AD26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16">
    <tabColor rgb="FFFFFF00"/>
  </sheetPr>
  <dimension ref="A9:BN239"/>
  <sheetViews>
    <sheetView topLeftCell="A6" zoomScale="85" zoomScaleNormal="85" workbookViewId="0">
      <selection activeCell="AN21" sqref="AN21"/>
    </sheetView>
  </sheetViews>
  <sheetFormatPr defaultRowHeight="16.5" outlineLevelCol="1" x14ac:dyDescent="0.3"/>
  <cols>
    <col min="1" max="2" width="6.7109375" style="140" customWidth="1" outlineLevel="1"/>
    <col min="3" max="3" width="9.28515625" style="140" customWidth="1" outlineLevel="1"/>
    <col min="4" max="4" width="8.7109375" style="140" customWidth="1" outlineLevel="1"/>
    <col min="5" max="5" width="6.7109375" style="140" customWidth="1" outlineLevel="1"/>
    <col min="6" max="6" width="32.42578125" style="140" customWidth="1" outlineLevel="1"/>
    <col min="7" max="7" width="17.85546875" style="140" customWidth="1" outlineLevel="1"/>
    <col min="8" max="8" width="29.42578125" style="140" customWidth="1" outlineLevel="1"/>
    <col min="9" max="16" width="6.7109375" style="140" customWidth="1" outlineLevel="1"/>
    <col min="17" max="17" width="32" style="140" customWidth="1" outlineLevel="1"/>
    <col min="18" max="18" width="27.42578125" style="140" customWidth="1" outlineLevel="1"/>
    <col min="19" max="19" width="17.28515625" style="140" customWidth="1" outlineLevel="1"/>
    <col min="20" max="21" width="6.7109375" style="140" customWidth="1" outlineLevel="1"/>
    <col min="22" max="22" width="20.140625" style="140" customWidth="1" outlineLevel="1"/>
    <col min="23" max="23" width="25.5703125" style="140" customWidth="1" outlineLevel="1"/>
    <col min="24" max="24" width="21.85546875" style="140" customWidth="1" outlineLevel="1"/>
    <col min="25" max="25" width="22.42578125" style="140" customWidth="1" outlineLevel="1"/>
    <col min="26" max="28" width="6.7109375" style="140" customWidth="1" outlineLevel="1"/>
    <col min="29" max="29" width="10.28515625" style="140" customWidth="1" outlineLevel="1"/>
    <col min="30" max="30" width="7.42578125" style="140" customWidth="1" outlineLevel="1"/>
    <col min="31" max="32" width="6.7109375" style="140" customWidth="1" outlineLevel="1"/>
    <col min="33" max="33" width="7.28515625" style="140" customWidth="1" outlineLevel="1"/>
    <col min="34" max="35" width="6.7109375" style="140" customWidth="1" outlineLevel="1"/>
    <col min="36" max="36" width="8.85546875" style="140" customWidth="1" outlineLevel="1"/>
    <col min="37" max="38" width="6.7109375" style="140" customWidth="1" outlineLevel="1"/>
    <col min="39" max="39" width="7.28515625" style="140" customWidth="1" outlineLevel="1"/>
    <col min="40" max="41" width="6.7109375" style="140" customWidth="1" outlineLevel="1"/>
    <col min="42" max="42" width="6.7109375" style="140" customWidth="1" outlineLevel="1" collapsed="1"/>
    <col min="43" max="66" width="6.7109375" style="140" customWidth="1" outlineLevel="1"/>
  </cols>
  <sheetData>
    <row r="9" spans="1:40" ht="29.25" x14ac:dyDescent="0.3">
      <c r="A9" s="141"/>
      <c r="B9" s="141"/>
      <c r="C9" s="141"/>
      <c r="D9" s="141"/>
      <c r="E9" s="141"/>
      <c r="F9" s="141"/>
      <c r="G9" s="141"/>
      <c r="H9" s="141"/>
      <c r="I9" s="141"/>
      <c r="J9" s="141"/>
      <c r="K9" s="141"/>
      <c r="L9" s="141"/>
      <c r="M9" s="141"/>
      <c r="N9" s="141"/>
      <c r="O9" s="141"/>
      <c r="P9" s="141"/>
      <c r="Q9" s="141"/>
      <c r="R9" s="141"/>
      <c r="S9" s="141"/>
      <c r="T9" s="141"/>
      <c r="U9" s="141"/>
      <c r="V9" s="141"/>
      <c r="W9" s="141"/>
    </row>
    <row r="10" spans="1:40" ht="29.25" x14ac:dyDescent="0.3">
      <c r="A10" s="141"/>
      <c r="B10" s="991" t="s">
        <v>2993</v>
      </c>
      <c r="C10" s="991"/>
      <c r="D10" s="991"/>
      <c r="E10" s="991"/>
      <c r="F10" s="991"/>
      <c r="G10" s="141"/>
      <c r="H10" s="141"/>
      <c r="I10" s="141"/>
      <c r="J10" s="141"/>
      <c r="K10" s="141"/>
      <c r="L10" s="141"/>
      <c r="M10" s="141"/>
      <c r="N10" s="141"/>
      <c r="O10" s="141"/>
      <c r="P10" s="141"/>
      <c r="Q10" s="141"/>
      <c r="R10" s="141"/>
      <c r="S10" s="141"/>
      <c r="T10" s="141"/>
      <c r="U10" s="141"/>
      <c r="V10" s="141"/>
      <c r="W10" s="141"/>
      <c r="Y10" s="142" t="s">
        <v>568</v>
      </c>
      <c r="Z10" s="142">
        <f>RaceNumber</f>
        <v>63</v>
      </c>
      <c r="AA10" s="142" t="s">
        <v>589</v>
      </c>
      <c r="AB10" s="142">
        <f>UniqueSubraces</f>
        <v>10</v>
      </c>
      <c r="AD10" s="140" t="s">
        <v>591</v>
      </c>
      <c r="AF10" s="140">
        <f>SelectedBackgroundId</f>
        <v>5</v>
      </c>
    </row>
    <row r="11" spans="1:40" x14ac:dyDescent="0.3">
      <c r="B11" s="991"/>
      <c r="C11" s="991"/>
      <c r="D11" s="991"/>
      <c r="E11" s="991"/>
      <c r="F11" s="991"/>
      <c r="G11" s="140" t="s">
        <v>3306</v>
      </c>
      <c r="X11" s="142">
        <f>IFERROR(IF(X10+1&lt;=UniqueRaceNumer,X10+1,""),"")</f>
        <v>1</v>
      </c>
      <c r="Y11" s="142" t="str">
        <f>IFERROR(INDEX(T01_Races!$B$2:$B$101,MATCH('C01_BaseCalculation'!X11,T01_Races!$C$2:$C$101,0),1),"")</f>
        <v>Dwarf</v>
      </c>
      <c r="Z11" s="142" t="str">
        <f>IFERROR(IF(Z10+1&lt;=UniqueSubraces,Z10+1,""),"")</f>
        <v/>
      </c>
      <c r="AA11" s="142" t="str">
        <f>IFERROR(IF(Z11="","",INDEX(T01_Races!$E$2:$E$101,MATCH('C01_BaseCalculation'!Z11,T01_Races!$D$2:$D$101,0),1)),"")</f>
        <v/>
      </c>
      <c r="AB11" s="140" t="str">
        <f>IFERROR(IF(Z11="","",INDEX(T01_Races!$A$2:$A$101,MATCH('C01_BaseCalculation'!Z11,T01_Races!$D$2:$D$101,0),1)),"")</f>
        <v/>
      </c>
    </row>
    <row r="12" spans="1:40" x14ac:dyDescent="0.3">
      <c r="B12" s="140" t="s">
        <v>3306</v>
      </c>
      <c r="Y12" s="142" t="s">
        <v>587</v>
      </c>
      <c r="Z12" s="142">
        <f>UniqueRaceNumer</f>
        <v>29</v>
      </c>
      <c r="AD12" s="140" t="s">
        <v>598</v>
      </c>
      <c r="AF12" s="140">
        <f>INDEX($AB$15:$AB$149,MATCH(SubRace,$AA$15:$AA$149,0),1)</f>
        <v>16</v>
      </c>
    </row>
    <row r="13" spans="1:40" x14ac:dyDescent="0.3">
      <c r="G13" s="140" t="s">
        <v>2223</v>
      </c>
      <c r="H13" s="140" t="str">
        <f>MainClassSelected</f>
        <v>Fighter</v>
      </c>
      <c r="I13" s="140" t="str">
        <f>INDEX(T04_Classes!BX3:BX101,SelectedClassID,1)</f>
        <v>Strength or Dexterity</v>
      </c>
      <c r="R13" s="985" t="s">
        <v>3308</v>
      </c>
      <c r="S13" s="985"/>
      <c r="T13" s="985" t="s">
        <v>3552</v>
      </c>
      <c r="U13" s="985"/>
      <c r="V13" s="985"/>
      <c r="W13" s="985"/>
      <c r="Y13" s="140" t="s">
        <v>597</v>
      </c>
      <c r="AD13" s="140" t="s">
        <v>2224</v>
      </c>
      <c r="AF13" s="140">
        <f>SelectedClassID</f>
        <v>5</v>
      </c>
    </row>
    <row r="14" spans="1:40" x14ac:dyDescent="0.3">
      <c r="I14" s="140" t="s">
        <v>113</v>
      </c>
      <c r="J14" s="140" t="s">
        <v>117</v>
      </c>
      <c r="K14" s="140" t="s">
        <v>508</v>
      </c>
      <c r="L14" s="140" t="s">
        <v>509</v>
      </c>
      <c r="M14" s="140" t="s">
        <v>510</v>
      </c>
      <c r="N14" s="140" t="s">
        <v>511</v>
      </c>
      <c r="X14" s="986" t="s">
        <v>586</v>
      </c>
      <c r="Y14" s="987"/>
      <c r="Z14" s="988" t="s">
        <v>588</v>
      </c>
      <c r="AA14" s="989"/>
      <c r="AB14" s="990"/>
    </row>
    <row r="15" spans="1:40" x14ac:dyDescent="0.3">
      <c r="B15" s="218">
        <v>1</v>
      </c>
      <c r="C15" s="218" t="str">
        <f>IFERROR(INDEX(T04_Classes!$B$3:$B$102,B15,1),"")</f>
        <v>Barbarian</v>
      </c>
      <c r="D15" s="218">
        <f>IF(C15="","",COUNTIF(Character_Creation!$R$62:$T$71,C15)+COUNTIF(Character_Creation!$R$72:$T$81,C15))</f>
        <v>0</v>
      </c>
      <c r="E15" s="218">
        <f t="shared" ref="E15:E46" si="0">IF(OR(D15=0,D15=""),0,1)</f>
        <v>0</v>
      </c>
      <c r="F15" s="218">
        <f>IF(E15=0,0,1)</f>
        <v>0</v>
      </c>
      <c r="G15" s="218">
        <f>IF(IFERROR(SEARCH("and",INDEX(T04_Classes!$BX$3:$BX$102,MATCH('C01_BaseCalculation'!C15,T04_Classes!$B$3:$B$102,0),1)),0)&gt;1,1,0)</f>
        <v>0</v>
      </c>
      <c r="H15" s="218">
        <f>IF(IFERROR(SEARCH("or",INDEX(T04_Classes!$BX$3:$BX$102,MATCH('C01_BaseCalculation'!C15,T04_Classes!$B$3:$B$102,0),1)),0)&gt;1,1,0)</f>
        <v>0</v>
      </c>
      <c r="I15" s="218" t="str">
        <f>IF(OR(IFERROR(SEARCH("Strength",INDEX(T04_Classes!$BX$3:$BX$102,MATCH('C01_BaseCalculation'!C15,T04_Classes!$B$3:$B$102,0),1)),0)=0,AND(IFERROR(SEARCH("Strength",INDEX(T04_Classes!$BX$3:$BX$102,MATCH('C01_BaseCalculation'!C15,T04_Classes!$B$3:$B$102,0),1)),0)&gt;0,Strength&gt;12)),"yes","no")</f>
        <v>yes</v>
      </c>
      <c r="J15" s="218" t="str">
        <f>IF(OR(IFERROR(SEARCH("Dexterity",INDEX(T04_Classes!$BX$3:$BX$102,MATCH('C01_BaseCalculation'!C15,T04_Classes!$B$3:$B$102,0),1)),0)=0,AND(IFERROR(SEARCH("Dexterity",INDEX(T04_Classes!$BX$3:$BX$102,MATCH('C01_BaseCalculation'!C15,T04_Classes!$B$3:$B$102,0),1)),0)&gt;0,Dexterity&gt;12)),"yes","no")</f>
        <v>yes</v>
      </c>
      <c r="K15" s="218" t="str">
        <f>IF(OR(IFERROR(SEARCH("Constitution",INDEX(T04_Classes!$BX$3:$BX$102,MATCH('C01_BaseCalculation'!C15,T04_Classes!$B$3:$B$102,0),1)),0)=0,AND(IFERROR(SEARCH("Constitution",INDEX(T04_Classes!$BX$3:$BX$102,MATCH('C01_BaseCalculation'!C15,T04_Classes!$B$3:$B$102,0),1)),0)&gt;0,Constitution&gt;12)),"yes","no")</f>
        <v>yes</v>
      </c>
      <c r="L15" s="218" t="str">
        <f>IF(OR(IFERROR(SEARCH("Intelligence",INDEX(T04_Classes!$BX$3:$BX$102,MATCH('C01_BaseCalculation'!C15,T04_Classes!$B$3:$B$102,0),1)),0)=0,AND(IFERROR(SEARCH("Intelligence",INDEX(T04_Classes!$BX$3:$BX$102,MATCH('C01_BaseCalculation'!C15,T04_Classes!$B$3:$B$102,0),1)),0)&gt;0,Intelligence&gt;12)),"yes","no")</f>
        <v>yes</v>
      </c>
      <c r="M15" s="218" t="str">
        <f>IF(OR(IFERROR(SEARCH("Wisdom",INDEX(T04_Classes!$BX$3:$BX$102,MATCH('C01_BaseCalculation'!C15,T04_Classes!$B$3:$B$102,0),1)),0)=0,AND(IFERROR(SEARCH("Wisdom",INDEX(T04_Classes!$BX$3:$BX$102,MATCH('C01_BaseCalculation'!C15,T04_Classes!$B$3:$B$102,0),1)),0)&gt;0,Wisdom&gt;12)),"yes","no")</f>
        <v>yes</v>
      </c>
      <c r="N15" s="218" t="str">
        <f>IF(OR(IFERROR(SEARCH("Charisma",INDEX(T04_Classes!$BX$3:$BX$102,MATCH('C01_BaseCalculation'!C15,T04_Classes!$B$3:$B$102,0),1)),0)=0,AND(IFERROR(SEARCH("Charisma",INDEX(T04_Classes!$BX$3:$BX$102,MATCH('C01_BaseCalculation'!C15,T04_Classes!$B$3:$B$102,0),1)),0)&gt;0,Charisma&gt;12)),"yes","no")</f>
        <v>yes</v>
      </c>
      <c r="O15" s="218">
        <f t="shared" ref="O15:O46" si="1">IF(C15="",0,IF(H15=1,IF(COUNTIF(I15:N15,"no")&lt;2,1,0),IF(COUNTIF(I15:N15,"no")&gt;0,0,1)))</f>
        <v>1</v>
      </c>
      <c r="P15" s="218">
        <f>IF(O15=0,0,1)</f>
        <v>1</v>
      </c>
      <c r="R15" s="220">
        <v>1</v>
      </c>
      <c r="S15" s="220" t="str">
        <f t="shared" ref="S15:S46" si="2">IFERROR(INDEX($C$15:$C$114,MATCH(R15,$P$15:$P$114,0),1),"")</f>
        <v>Barbarian</v>
      </c>
      <c r="T15" s="221">
        <f t="shared" ref="T15:T26" si="3">IF(E15=0,0,IF(C15=MainClassSelected,0,1))</f>
        <v>0</v>
      </c>
      <c r="U15" s="222">
        <f>IF(T15=0,0,1)</f>
        <v>0</v>
      </c>
      <c r="V15" s="221">
        <v>1</v>
      </c>
      <c r="W15" s="221" t="str">
        <f t="shared" ref="W15:W26" si="4">IFERROR(INDEX($C$15:$C$114,MATCH(V15,$U$15:$U$114,0),1),"")</f>
        <v>Wizard</v>
      </c>
      <c r="X15" s="219">
        <v>1</v>
      </c>
      <c r="Y15" s="219" t="str">
        <f>IFERROR(INDEX(T01_Races!$B$2:$B$101,MATCH('C01_BaseCalculation'!X15,T01_Races!$C$2:$C$101,0),1),"")</f>
        <v>Dwarf</v>
      </c>
      <c r="Z15" s="217">
        <v>1</v>
      </c>
      <c r="AA15" s="217" t="str">
        <f>IFERROR(IF(Z15="","",INDEX(T01_Races!$E$2:$E$101,MATCH('C01_BaseCalculation'!Z15,T01_Races!$D$2:$D$101,0),1)),"")</f>
        <v>Human (Calishite)</v>
      </c>
      <c r="AB15" s="217">
        <f>IFERROR(IF(Z15="","",INDEX(T01_Races!$A$2:$A$101,MATCH('C01_BaseCalculation'!Z15,T01_Races!$D$2:$D$101,0),1)),"")</f>
        <v>7</v>
      </c>
      <c r="AN15" s="140" t="s">
        <v>7455</v>
      </c>
    </row>
    <row r="16" spans="1:40" x14ac:dyDescent="0.3">
      <c r="B16" s="218">
        <f t="shared" ref="B16:B47" si="5">IFERROR(IF(B15+1&lt;UniqueClassesNumber+1,B15+1,""),"")</f>
        <v>2</v>
      </c>
      <c r="C16" s="218" t="str">
        <f>IFERROR(INDEX(T04_Classes!$B$3:$B$102,B16,1),"")</f>
        <v>Bard</v>
      </c>
      <c r="D16" s="218">
        <f>IF(C16="","",COUNTIF(Character_Creation!$R$62:$T$71,C16)+COUNTIF(Character_Creation!$R$72:$T$81,C16))</f>
        <v>0</v>
      </c>
      <c r="E16" s="218">
        <f t="shared" si="0"/>
        <v>0</v>
      </c>
      <c r="F16" s="218">
        <f>IF(E16=0,0,COUNTIF($F$15:F15,"&gt;0")+1)</f>
        <v>0</v>
      </c>
      <c r="G16" s="218">
        <f>IF(IFERROR(SEARCH("and",INDEX(T04_Classes!$BX$3:$BX$102,MATCH('C01_BaseCalculation'!C16,T04_Classes!$B$3:$B$102,0),1)),0)&gt;1,1,0)</f>
        <v>0</v>
      </c>
      <c r="H16" s="218">
        <f>IF(IFERROR(SEARCH("or",INDEX(T04_Classes!$BX$3:$BX$102,MATCH('C01_BaseCalculation'!C16,T04_Classes!$B$3:$B$102,0),1)),0)&gt;1,1,0)</f>
        <v>0</v>
      </c>
      <c r="I16" s="218" t="str">
        <f>IF(OR(IFERROR(SEARCH("Strength",INDEX(T04_Classes!$BX$3:$BX$102,MATCH('C01_BaseCalculation'!C16,T04_Classes!$B$3:$B$102,0),1)),0)=0,AND(IFERROR(SEARCH("Strength",INDEX(T04_Classes!$BX$3:$BX$102,MATCH('C01_BaseCalculation'!C16,T04_Classes!$B$3:$B$102,0),1)),0)&gt;0,Strength&gt;12)),"yes","no")</f>
        <v>yes</v>
      </c>
      <c r="J16" s="218" t="str">
        <f>IF(OR(IFERROR(SEARCH("Dexterity",INDEX(T04_Classes!$BX$3:$BX$102,MATCH('C01_BaseCalculation'!C16,T04_Classes!$B$3:$B$102,0),1)),0)=0,AND(IFERROR(SEARCH("Dexterity",INDEX(T04_Classes!$BX$3:$BX$102,MATCH('C01_BaseCalculation'!C16,T04_Classes!$B$3:$B$102,0),1)),0)&gt;0,Dexterity&gt;12)),"yes","no")</f>
        <v>yes</v>
      </c>
      <c r="K16" s="218" t="str">
        <f>IF(OR(IFERROR(SEARCH("Constitution",INDEX(T04_Classes!$BX$3:$BX$102,MATCH('C01_BaseCalculation'!C16,T04_Classes!$B$3:$B$102,0),1)),0)=0,AND(IFERROR(SEARCH("Constitution",INDEX(T04_Classes!$BX$3:$BX$102,MATCH('C01_BaseCalculation'!C16,T04_Classes!$B$3:$B$102,0),1)),0)&gt;0,Constitution&gt;12)),"yes","no")</f>
        <v>yes</v>
      </c>
      <c r="L16" s="218" t="str">
        <f>IF(OR(IFERROR(SEARCH("Intelligence",INDEX(T04_Classes!$BX$3:$BX$102,MATCH('C01_BaseCalculation'!C16,T04_Classes!$B$3:$B$102,0),1)),0)=0,AND(IFERROR(SEARCH("Intelligence",INDEX(T04_Classes!$BX$3:$BX$102,MATCH('C01_BaseCalculation'!C16,T04_Classes!$B$3:$B$102,0),1)),0)&gt;0,Intelligence&gt;12)),"yes","no")</f>
        <v>yes</v>
      </c>
      <c r="M16" s="218" t="str">
        <f>IF(OR(IFERROR(SEARCH("Wisdom",INDEX(T04_Classes!$BX$3:$BX$102,MATCH('C01_BaseCalculation'!C16,T04_Classes!$B$3:$B$102,0),1)),0)=0,AND(IFERROR(SEARCH("Wisdom",INDEX(T04_Classes!$BX$3:$BX$102,MATCH('C01_BaseCalculation'!C16,T04_Classes!$B$3:$B$102,0),1)),0)&gt;0,Wisdom&gt;12)),"yes","no")</f>
        <v>yes</v>
      </c>
      <c r="N16" s="218" t="str">
        <f>IF(OR(IFERROR(SEARCH("Charisma",INDEX(T04_Classes!$BX$3:$BX$102,MATCH('C01_BaseCalculation'!C16,T04_Classes!$B$3:$B$102,0),1)),0)=0,AND(IFERROR(SEARCH("Charisma",INDEX(T04_Classes!$BX$3:$BX$102,MATCH('C01_BaseCalculation'!C16,T04_Classes!$B$3:$B$102,0),1)),0)&gt;0,Charisma&gt;12)),"yes","no")</f>
        <v>no</v>
      </c>
      <c r="O16" s="218">
        <f t="shared" si="1"/>
        <v>0</v>
      </c>
      <c r="P16" s="218">
        <f>IF(O16=0,0,COUNTIF($P$15:P15,"&gt;0")+1)</f>
        <v>0</v>
      </c>
      <c r="R16" s="220">
        <f t="shared" ref="R16:R47" si="6">IFERROR(IF(R15+1&lt;=MAX($P$15:$P$114),R15+1,""),"")</f>
        <v>2</v>
      </c>
      <c r="S16" s="220" t="str">
        <f t="shared" si="2"/>
        <v>Fighter</v>
      </c>
      <c r="T16" s="221">
        <f t="shared" si="3"/>
        <v>0</v>
      </c>
      <c r="U16" s="222">
        <f>IF(T16=0,0,COUNTIF($U$15:U15,"&gt;0")+1)</f>
        <v>0</v>
      </c>
      <c r="V16" s="221" t="str">
        <f t="shared" ref="V16:V26" si="7">IFERROR(IF(V15+1&lt;=MAX($U$15:$U$114),V15+1,""),"")</f>
        <v/>
      </c>
      <c r="W16" s="221" t="str">
        <f t="shared" si="4"/>
        <v/>
      </c>
      <c r="X16" s="219">
        <f t="shared" ref="X16:X47" si="8">IFERROR(IF(X15+1&lt;=UniqueRaceNumer,X15+1,""),"")</f>
        <v>2</v>
      </c>
      <c r="Y16" s="219" t="str">
        <f>IFERROR(INDEX(T01_Races!$B$2:$B$101,MATCH('C01_BaseCalculation'!X16,T01_Races!$C$2:$C$101,0),1),"")</f>
        <v>Elf</v>
      </c>
      <c r="Z16" s="217">
        <f t="shared" ref="Z16:Z47" si="9">IFERROR(IF(Z15+1&lt;=UniqueSubraces,Z15+1,""),"")</f>
        <v>2</v>
      </c>
      <c r="AA16" s="217" t="str">
        <f>IFERROR(IF(Z16="","",INDEX(T01_Races!$E$2:$E$101,MATCH('C01_BaseCalculation'!Z16,T01_Races!$D$2:$D$101,0),1)),"")</f>
        <v>Human (Chondathan)</v>
      </c>
      <c r="AB16" s="217">
        <f>IFERROR(IF(Z16="","",INDEX(T01_Races!$A$2:$A$101,MATCH('C01_BaseCalculation'!Z16,T01_Races!$D$2:$D$101,0),1)),"")</f>
        <v>8</v>
      </c>
      <c r="AN16" s="140" t="s">
        <v>7456</v>
      </c>
    </row>
    <row r="17" spans="2:40" x14ac:dyDescent="0.3">
      <c r="B17" s="218">
        <f t="shared" si="5"/>
        <v>3</v>
      </c>
      <c r="C17" s="218" t="str">
        <f>IFERROR(INDEX(T04_Classes!$B$3:$B$102,B17,1),"")</f>
        <v>Cleric</v>
      </c>
      <c r="D17" s="218">
        <f>IF(C17="","",COUNTIF(Character_Creation!$R$62:$T$71,C17)+COUNTIF(Character_Creation!$R$72:$T$81,C17))</f>
        <v>0</v>
      </c>
      <c r="E17" s="218">
        <f t="shared" si="0"/>
        <v>0</v>
      </c>
      <c r="F17" s="218">
        <f>IF(E17=0,0,COUNTIF($F$15:F16,"&gt;0")+1)</f>
        <v>0</v>
      </c>
      <c r="G17" s="218">
        <f>IF(IFERROR(SEARCH("and",INDEX(T04_Classes!$BX$3:$BX$102,MATCH('C01_BaseCalculation'!C17,T04_Classes!$B$3:$B$102,0),1)),0)&gt;1,1,0)</f>
        <v>0</v>
      </c>
      <c r="H17" s="218">
        <f>IF(IFERROR(SEARCH("or",INDEX(T04_Classes!$BX$3:$BX$102,MATCH('C01_BaseCalculation'!C17,T04_Classes!$B$3:$B$102,0),1)),0)&gt;1,1,0)</f>
        <v>0</v>
      </c>
      <c r="I17" s="218" t="str">
        <f>IF(OR(IFERROR(SEARCH("Strength",INDEX(T04_Classes!$BX$3:$BX$102,MATCH('C01_BaseCalculation'!C17,T04_Classes!$B$3:$B$102,0),1)),0)=0,AND(IFERROR(SEARCH("Strength",INDEX(T04_Classes!$BX$3:$BX$102,MATCH('C01_BaseCalculation'!C17,T04_Classes!$B$3:$B$102,0),1)),0)&gt;0,Strength&gt;12)),"yes","no")</f>
        <v>yes</v>
      </c>
      <c r="J17" s="218" t="str">
        <f>IF(OR(IFERROR(SEARCH("Dexterity",INDEX(T04_Classes!$BX$3:$BX$102,MATCH('C01_BaseCalculation'!C17,T04_Classes!$B$3:$B$102,0),1)),0)=0,AND(IFERROR(SEARCH("Dexterity",INDEX(T04_Classes!$BX$3:$BX$102,MATCH('C01_BaseCalculation'!C17,T04_Classes!$B$3:$B$102,0),1)),0)&gt;0,Dexterity&gt;12)),"yes","no")</f>
        <v>yes</v>
      </c>
      <c r="K17" s="218" t="str">
        <f>IF(OR(IFERROR(SEARCH("Constitution",INDEX(T04_Classes!$BX$3:$BX$102,MATCH('C01_BaseCalculation'!C17,T04_Classes!$B$3:$B$102,0),1)),0)=0,AND(IFERROR(SEARCH("Constitution",INDEX(T04_Classes!$BX$3:$BX$102,MATCH('C01_BaseCalculation'!C17,T04_Classes!$B$3:$B$102,0),1)),0)&gt;0,Constitution&gt;12)),"yes","no")</f>
        <v>yes</v>
      </c>
      <c r="L17" s="218" t="str">
        <f>IF(OR(IFERROR(SEARCH("Intelligence",INDEX(T04_Classes!$BX$3:$BX$102,MATCH('C01_BaseCalculation'!C17,T04_Classes!$B$3:$B$102,0),1)),0)=0,AND(IFERROR(SEARCH("Intelligence",INDEX(T04_Classes!$BX$3:$BX$102,MATCH('C01_BaseCalculation'!C17,T04_Classes!$B$3:$B$102,0),1)),0)&gt;0,Intelligence&gt;12)),"yes","no")</f>
        <v>yes</v>
      </c>
      <c r="M17" s="218" t="str">
        <f>IF(OR(IFERROR(SEARCH("Wisdom",INDEX(T04_Classes!$BX$3:$BX$102,MATCH('C01_BaseCalculation'!C17,T04_Classes!$B$3:$B$102,0),1)),0)=0,AND(IFERROR(SEARCH("Wisdom",INDEX(T04_Classes!$BX$3:$BX$102,MATCH('C01_BaseCalculation'!C17,T04_Classes!$B$3:$B$102,0),1)),0)&gt;0,Wisdom&gt;12)),"yes","no")</f>
        <v>no</v>
      </c>
      <c r="N17" s="218" t="str">
        <f>IF(OR(IFERROR(SEARCH("Charisma",INDEX(T04_Classes!$BX$3:$BX$102,MATCH('C01_BaseCalculation'!C17,T04_Classes!$B$3:$B$102,0),1)),0)=0,AND(IFERROR(SEARCH("Charisma",INDEX(T04_Classes!$BX$3:$BX$102,MATCH('C01_BaseCalculation'!C17,T04_Classes!$B$3:$B$102,0),1)),0)&gt;0,Charisma&gt;12)),"yes","no")</f>
        <v>yes</v>
      </c>
      <c r="O17" s="218">
        <f t="shared" si="1"/>
        <v>0</v>
      </c>
      <c r="P17" s="218">
        <f>IF(O17=0,0,COUNTIF($P$15:P16,"&gt;0")+1)</f>
        <v>0</v>
      </c>
      <c r="R17" s="220">
        <f t="shared" si="6"/>
        <v>3</v>
      </c>
      <c r="S17" s="220" t="str">
        <f t="shared" si="2"/>
        <v>Wizard</v>
      </c>
      <c r="T17" s="221">
        <f t="shared" si="3"/>
        <v>0</v>
      </c>
      <c r="U17" s="222">
        <f>IF(T17=0,0,COUNTIF($U$15:U16,"&gt;0")+1)</f>
        <v>0</v>
      </c>
      <c r="V17" s="221" t="str">
        <f t="shared" si="7"/>
        <v/>
      </c>
      <c r="W17" s="221" t="str">
        <f t="shared" si="4"/>
        <v/>
      </c>
      <c r="X17" s="219">
        <f t="shared" si="8"/>
        <v>3</v>
      </c>
      <c r="Y17" s="219" t="str">
        <f>IFERROR(INDEX(T01_Races!$B$2:$B$101,MATCH('C01_BaseCalculation'!X17,T01_Races!$C$2:$C$101,0),1),"")</f>
        <v>Halfling</v>
      </c>
      <c r="Z17" s="217">
        <f t="shared" si="9"/>
        <v>3</v>
      </c>
      <c r="AA17" s="217" t="str">
        <f>IFERROR(IF(Z17="","",INDEX(T01_Races!$E$2:$E$101,MATCH('C01_BaseCalculation'!Z17,T01_Races!$D$2:$D$101,0),1)),"")</f>
        <v>Human (Damaran)</v>
      </c>
      <c r="AB17" s="217">
        <f>IFERROR(IF(Z17="","",INDEX(T01_Races!$A$2:$A$101,MATCH('C01_BaseCalculation'!Z17,T01_Races!$D$2:$D$101,0),1)),"")</f>
        <v>9</v>
      </c>
      <c r="AN17" s="140" t="s">
        <v>7457</v>
      </c>
    </row>
    <row r="18" spans="2:40" x14ac:dyDescent="0.3">
      <c r="B18" s="218">
        <f t="shared" si="5"/>
        <v>4</v>
      </c>
      <c r="C18" s="218" t="str">
        <f>IFERROR(INDEX(T04_Classes!$B$3:$B$102,B18,1),"")</f>
        <v>Druid</v>
      </c>
      <c r="D18" s="218">
        <f>IF(C18="","",COUNTIF(Character_Creation!$R$62:$T$71,C18)+COUNTIF(Character_Creation!$R$72:$T$81,C18))</f>
        <v>0</v>
      </c>
      <c r="E18" s="218">
        <f t="shared" si="0"/>
        <v>0</v>
      </c>
      <c r="F18" s="218">
        <f>IF(E18=0,0,COUNTIF($F$15:F17,"&gt;0")+1)</f>
        <v>0</v>
      </c>
      <c r="G18" s="218">
        <f>IF(IFERROR(SEARCH("and",INDEX(T04_Classes!$BX$3:$BX$102,MATCH('C01_BaseCalculation'!C18,T04_Classes!$B$3:$B$102,0),1)),0)&gt;1,1,0)</f>
        <v>0</v>
      </c>
      <c r="H18" s="218">
        <f>IF(IFERROR(SEARCH("or",INDEX(T04_Classes!$BX$3:$BX$102,MATCH('C01_BaseCalculation'!C18,T04_Classes!$B$3:$B$102,0),1)),0)&gt;1,1,0)</f>
        <v>0</v>
      </c>
      <c r="I18" s="218" t="str">
        <f>IF(OR(IFERROR(SEARCH("Strength",INDEX(T04_Classes!$BX$3:$BX$102,MATCH('C01_BaseCalculation'!C18,T04_Classes!$B$3:$B$102,0),1)),0)=0,AND(IFERROR(SEARCH("Strength",INDEX(T04_Classes!$BX$3:$BX$102,MATCH('C01_BaseCalculation'!C18,T04_Classes!$B$3:$B$102,0),1)),0)&gt;0,Strength&gt;12)),"yes","no")</f>
        <v>yes</v>
      </c>
      <c r="J18" s="218" t="str">
        <f>IF(OR(IFERROR(SEARCH("Dexterity",INDEX(T04_Classes!$BX$3:$BX$102,MATCH('C01_BaseCalculation'!C18,T04_Classes!$B$3:$B$102,0),1)),0)=0,AND(IFERROR(SEARCH("Dexterity",INDEX(T04_Classes!$BX$3:$BX$102,MATCH('C01_BaseCalculation'!C18,T04_Classes!$B$3:$B$102,0),1)),0)&gt;0,Dexterity&gt;12)),"yes","no")</f>
        <v>yes</v>
      </c>
      <c r="K18" s="218" t="str">
        <f>IF(OR(IFERROR(SEARCH("Constitution",INDEX(T04_Classes!$BX$3:$BX$102,MATCH('C01_BaseCalculation'!C18,T04_Classes!$B$3:$B$102,0),1)),0)=0,AND(IFERROR(SEARCH("Constitution",INDEX(T04_Classes!$BX$3:$BX$102,MATCH('C01_BaseCalculation'!C18,T04_Classes!$B$3:$B$102,0),1)),0)&gt;0,Constitution&gt;12)),"yes","no")</f>
        <v>yes</v>
      </c>
      <c r="L18" s="218" t="str">
        <f>IF(OR(IFERROR(SEARCH("Intelligence",INDEX(T04_Classes!$BX$3:$BX$102,MATCH('C01_BaseCalculation'!C18,T04_Classes!$B$3:$B$102,0),1)),0)=0,AND(IFERROR(SEARCH("Intelligence",INDEX(T04_Classes!$BX$3:$BX$102,MATCH('C01_BaseCalculation'!C18,T04_Classes!$B$3:$B$102,0),1)),0)&gt;0,Intelligence&gt;12)),"yes","no")</f>
        <v>yes</v>
      </c>
      <c r="M18" s="218" t="str">
        <f>IF(OR(IFERROR(SEARCH("Wisdom",INDEX(T04_Classes!$BX$3:$BX$102,MATCH('C01_BaseCalculation'!C18,T04_Classes!$B$3:$B$102,0),1)),0)=0,AND(IFERROR(SEARCH("Wisdom",INDEX(T04_Classes!$BX$3:$BX$102,MATCH('C01_BaseCalculation'!C18,T04_Classes!$B$3:$B$102,0),1)),0)&gt;0,Wisdom&gt;12)),"yes","no")</f>
        <v>no</v>
      </c>
      <c r="N18" s="218" t="str">
        <f>IF(OR(IFERROR(SEARCH("Charisma",INDEX(T04_Classes!$BX$3:$BX$102,MATCH('C01_BaseCalculation'!C18,T04_Classes!$B$3:$B$102,0),1)),0)=0,AND(IFERROR(SEARCH("Charisma",INDEX(T04_Classes!$BX$3:$BX$102,MATCH('C01_BaseCalculation'!C18,T04_Classes!$B$3:$B$102,0),1)),0)&gt;0,Charisma&gt;12)),"yes","no")</f>
        <v>yes</v>
      </c>
      <c r="O18" s="218">
        <f t="shared" si="1"/>
        <v>0</v>
      </c>
      <c r="P18" s="218">
        <f>IF(O18=0,0,COUNTIF($P$15:P17,"&gt;0")+1)</f>
        <v>0</v>
      </c>
      <c r="R18" s="220" t="str">
        <f t="shared" si="6"/>
        <v/>
      </c>
      <c r="S18" s="220" t="str">
        <f t="shared" si="2"/>
        <v/>
      </c>
      <c r="T18" s="221">
        <f t="shared" si="3"/>
        <v>0</v>
      </c>
      <c r="U18" s="222">
        <f>IF(T18=0,0,COUNTIF($U$15:U17,"&gt;0")+1)</f>
        <v>0</v>
      </c>
      <c r="V18" s="221" t="str">
        <f t="shared" si="7"/>
        <v/>
      </c>
      <c r="W18" s="221" t="str">
        <f t="shared" si="4"/>
        <v/>
      </c>
      <c r="X18" s="219">
        <f t="shared" si="8"/>
        <v>4</v>
      </c>
      <c r="Y18" s="219" t="str">
        <f>IFERROR(INDEX(T01_Races!$B$2:$B$101,MATCH('C01_BaseCalculation'!X18,T01_Races!$C$2:$C$101,0),1),"")</f>
        <v>Human</v>
      </c>
      <c r="Z18" s="217">
        <f t="shared" si="9"/>
        <v>4</v>
      </c>
      <c r="AA18" s="217" t="str">
        <f>IFERROR(IF(Z18="","",INDEX(T01_Races!$E$2:$E$101,MATCH('C01_BaseCalculation'!Z18,T01_Races!$D$2:$D$101,0),1)),"")</f>
        <v>Human (Illuskan)</v>
      </c>
      <c r="AB18" s="217">
        <f>IFERROR(IF(Z18="","",INDEX(T01_Races!$A$2:$A$101,MATCH('C01_BaseCalculation'!Z18,T01_Races!$D$2:$D$101,0),1)),"")</f>
        <v>10</v>
      </c>
      <c r="AN18" s="140" t="s">
        <v>7458</v>
      </c>
    </row>
    <row r="19" spans="2:40" x14ac:dyDescent="0.3">
      <c r="B19" s="218">
        <f t="shared" si="5"/>
        <v>5</v>
      </c>
      <c r="C19" s="218" t="str">
        <f>IFERROR(INDEX(T04_Classes!$B$3:$B$102,B19,1),"")</f>
        <v>Fighter</v>
      </c>
      <c r="D19" s="218">
        <f>IF(C19="","",COUNTIF(Character_Creation!$R$62:$T$71,C19)+COUNTIF(Character_Creation!$R$72:$T$81,C19))</f>
        <v>12</v>
      </c>
      <c r="E19" s="218">
        <f t="shared" si="0"/>
        <v>1</v>
      </c>
      <c r="F19" s="218">
        <f>IF(E19=0,0,COUNTIF($F$15:F18,"&gt;0")+1)</f>
        <v>1</v>
      </c>
      <c r="G19" s="218">
        <f>IF(IFERROR(SEARCH("and",INDEX(T04_Classes!$BX$3:$BX$102,MATCH('C01_BaseCalculation'!C19,T04_Classes!$B$3:$B$102,0),1)),0)&gt;1,1,0)</f>
        <v>0</v>
      </c>
      <c r="H19" s="218">
        <f>IF(IFERROR(SEARCH("or",INDEX(T04_Classes!$BX$3:$BX$102,MATCH('C01_BaseCalculation'!C19,T04_Classes!$B$3:$B$102,0),1)),0)&gt;1,1,0)</f>
        <v>1</v>
      </c>
      <c r="I19" s="218" t="str">
        <f>IF(OR(IFERROR(SEARCH("Strength",INDEX(T04_Classes!$BX$3:$BX$102,MATCH('C01_BaseCalculation'!C19,T04_Classes!$B$3:$B$102,0),1)),0)=0,AND(IFERROR(SEARCH("Strength",INDEX(T04_Classes!$BX$3:$BX$102,MATCH('C01_BaseCalculation'!C19,T04_Classes!$B$3:$B$102,0),1)),0)&gt;0,Strength&gt;12)),"yes","no")</f>
        <v>yes</v>
      </c>
      <c r="J19" s="218" t="str">
        <f>IF(OR(IFERROR(SEARCH("Dexterity",INDEX(T04_Classes!$BX$3:$BX$102,MATCH('C01_BaseCalculation'!C19,T04_Classes!$B$3:$B$102,0),1)),0)=0,AND(IFERROR(SEARCH("Dexterity",INDEX(T04_Classes!$BX$3:$BX$102,MATCH('C01_BaseCalculation'!C19,T04_Classes!$B$3:$B$102,0),1)),0)&gt;0,Dexterity&gt;12)),"yes","no")</f>
        <v>no</v>
      </c>
      <c r="K19" s="218" t="str">
        <f>IF(OR(IFERROR(SEARCH("Constitution",INDEX(T04_Classes!$BX$3:$BX$102,MATCH('C01_BaseCalculation'!C19,T04_Classes!$B$3:$B$102,0),1)),0)=0,AND(IFERROR(SEARCH("Constitution",INDEX(T04_Classes!$BX$3:$BX$102,MATCH('C01_BaseCalculation'!C19,T04_Classes!$B$3:$B$102,0),1)),0)&gt;0,Constitution&gt;12)),"yes","no")</f>
        <v>yes</v>
      </c>
      <c r="L19" s="218" t="str">
        <f>IF(OR(IFERROR(SEARCH("Intelligence",INDEX(T04_Classes!$BX$3:$BX$102,MATCH('C01_BaseCalculation'!C19,T04_Classes!$B$3:$B$102,0),1)),0)=0,AND(IFERROR(SEARCH("Intelligence",INDEX(T04_Classes!$BX$3:$BX$102,MATCH('C01_BaseCalculation'!C19,T04_Classes!$B$3:$B$102,0),1)),0)&gt;0,Intelligence&gt;12)),"yes","no")</f>
        <v>yes</v>
      </c>
      <c r="M19" s="218" t="str">
        <f>IF(OR(IFERROR(SEARCH("Wisdom",INDEX(T04_Classes!$BX$3:$BX$102,MATCH('C01_BaseCalculation'!C19,T04_Classes!$B$3:$B$102,0),1)),0)=0,AND(IFERROR(SEARCH("Wisdom",INDEX(T04_Classes!$BX$3:$BX$102,MATCH('C01_BaseCalculation'!C19,T04_Classes!$B$3:$B$102,0),1)),0)&gt;0,Wisdom&gt;12)),"yes","no")</f>
        <v>yes</v>
      </c>
      <c r="N19" s="218" t="str">
        <f>IF(OR(IFERROR(SEARCH("Charisma",INDEX(T04_Classes!$BX$3:$BX$102,MATCH('C01_BaseCalculation'!C19,T04_Classes!$B$3:$B$102,0),1)),0)=0,AND(IFERROR(SEARCH("Charisma",INDEX(T04_Classes!$BX$3:$BX$102,MATCH('C01_BaseCalculation'!C19,T04_Classes!$B$3:$B$102,0),1)),0)&gt;0,Charisma&gt;12)),"yes","no")</f>
        <v>yes</v>
      </c>
      <c r="O19" s="218">
        <f t="shared" si="1"/>
        <v>1</v>
      </c>
      <c r="P19" s="218">
        <f>IF(O19=0,0,COUNTIF($P$15:P18,"&gt;0")+1)</f>
        <v>2</v>
      </c>
      <c r="R19" s="220" t="str">
        <f t="shared" si="6"/>
        <v/>
      </c>
      <c r="S19" s="220" t="str">
        <f t="shared" si="2"/>
        <v/>
      </c>
      <c r="T19" s="221">
        <f t="shared" si="3"/>
        <v>0</v>
      </c>
      <c r="U19" s="222">
        <f>IF(T19=0,0,COUNTIF($U$15:U18,"&gt;0")+1)</f>
        <v>0</v>
      </c>
      <c r="V19" s="221" t="str">
        <f t="shared" si="7"/>
        <v/>
      </c>
      <c r="W19" s="221" t="str">
        <f t="shared" si="4"/>
        <v/>
      </c>
      <c r="X19" s="219">
        <f t="shared" si="8"/>
        <v>5</v>
      </c>
      <c r="Y19" s="219" t="str">
        <f>IFERROR(INDEX(T01_Races!$B$2:$B$101,MATCH('C01_BaseCalculation'!X19,T01_Races!$C$2:$C$101,0),1),"")</f>
        <v>Gnome</v>
      </c>
      <c r="Z19" s="217">
        <f t="shared" si="9"/>
        <v>5</v>
      </c>
      <c r="AA19" s="217" t="str">
        <f>IFERROR(IF(Z19="","",INDEX(T01_Races!$E$2:$E$101,MATCH('C01_BaseCalculation'!Z19,T01_Races!$D$2:$D$101,0),1)),"")</f>
        <v>Human (Mulan)</v>
      </c>
      <c r="AB19" s="217">
        <f>IFERROR(IF(Z19="","",INDEX(T01_Races!$A$2:$A$101,MATCH('C01_BaseCalculation'!Z19,T01_Races!$D$2:$D$101,0),1)),"")</f>
        <v>11</v>
      </c>
      <c r="AN19" s="140" t="s">
        <v>7459</v>
      </c>
    </row>
    <row r="20" spans="2:40" x14ac:dyDescent="0.3">
      <c r="B20" s="218">
        <f t="shared" si="5"/>
        <v>6</v>
      </c>
      <c r="C20" s="218" t="str">
        <f>IFERROR(INDEX(T04_Classes!$B$3:$B$102,B20,1),"")</f>
        <v>Monk</v>
      </c>
      <c r="D20" s="218">
        <f>IF(C20="","",COUNTIF(Character_Creation!$R$62:$T$71,C20)+COUNTIF(Character_Creation!$R$72:$T$81,C20))</f>
        <v>0</v>
      </c>
      <c r="E20" s="218">
        <f t="shared" si="0"/>
        <v>0</v>
      </c>
      <c r="F20" s="218">
        <f>IF(E20=0,0,COUNTIF($F$15:F19,"&gt;0")+1)</f>
        <v>0</v>
      </c>
      <c r="G20" s="218">
        <f>IF(IFERROR(SEARCH("and",INDEX(T04_Classes!$BX$3:$BX$102,MATCH('C01_BaseCalculation'!C20,T04_Classes!$B$3:$B$102,0),1)),0)&gt;1,1,0)</f>
        <v>1</v>
      </c>
      <c r="H20" s="218">
        <f>IF(IFERROR(SEARCH("or",INDEX(T04_Classes!$BX$3:$BX$102,MATCH('C01_BaseCalculation'!C20,T04_Classes!$B$3:$B$102,0),1)),0)&gt;1,1,0)</f>
        <v>0</v>
      </c>
      <c r="I20" s="218" t="str">
        <f>IF(OR(IFERROR(SEARCH("Strength",INDEX(T04_Classes!$BX$3:$BX$102,MATCH('C01_BaseCalculation'!C20,T04_Classes!$B$3:$B$102,0),1)),0)=0,AND(IFERROR(SEARCH("Strength",INDEX(T04_Classes!$BX$3:$BX$102,MATCH('C01_BaseCalculation'!C20,T04_Classes!$B$3:$B$102,0),1)),0)&gt;0,Strength&gt;12)),"yes","no")</f>
        <v>yes</v>
      </c>
      <c r="J20" s="218" t="str">
        <f>IF(OR(IFERROR(SEARCH("Dexterity",INDEX(T04_Classes!$BX$3:$BX$102,MATCH('C01_BaseCalculation'!C20,T04_Classes!$B$3:$B$102,0),1)),0)=0,AND(IFERROR(SEARCH("Dexterity",INDEX(T04_Classes!$BX$3:$BX$102,MATCH('C01_BaseCalculation'!C20,T04_Classes!$B$3:$B$102,0),1)),0)&gt;0,Dexterity&gt;12)),"yes","no")</f>
        <v>no</v>
      </c>
      <c r="K20" s="218" t="str">
        <f>IF(OR(IFERROR(SEARCH("Constitution",INDEX(T04_Classes!$BX$3:$BX$102,MATCH('C01_BaseCalculation'!C20,T04_Classes!$B$3:$B$102,0),1)),0)=0,AND(IFERROR(SEARCH("Constitution",INDEX(T04_Classes!$BX$3:$BX$102,MATCH('C01_BaseCalculation'!C20,T04_Classes!$B$3:$B$102,0),1)),0)&gt;0,Constitution&gt;12)),"yes","no")</f>
        <v>yes</v>
      </c>
      <c r="L20" s="218" t="str">
        <f>IF(OR(IFERROR(SEARCH("Intelligence",INDEX(T04_Classes!$BX$3:$BX$102,MATCH('C01_BaseCalculation'!C20,T04_Classes!$B$3:$B$102,0),1)),0)=0,AND(IFERROR(SEARCH("Intelligence",INDEX(T04_Classes!$BX$3:$BX$102,MATCH('C01_BaseCalculation'!C20,T04_Classes!$B$3:$B$102,0),1)),0)&gt;0,Intelligence&gt;12)),"yes","no")</f>
        <v>yes</v>
      </c>
      <c r="M20" s="218" t="str">
        <f>IF(OR(IFERROR(SEARCH("Wisdom",INDEX(T04_Classes!$BX$3:$BX$102,MATCH('C01_BaseCalculation'!C20,T04_Classes!$B$3:$B$102,0),1)),0)=0,AND(IFERROR(SEARCH("Wisdom",INDEX(T04_Classes!$BX$3:$BX$102,MATCH('C01_BaseCalculation'!C20,T04_Classes!$B$3:$B$102,0),1)),0)&gt;0,Wisdom&gt;12)),"yes","no")</f>
        <v>no</v>
      </c>
      <c r="N20" s="218" t="str">
        <f>IF(OR(IFERROR(SEARCH("Charisma",INDEX(T04_Classes!$BX$3:$BX$102,MATCH('C01_BaseCalculation'!C20,T04_Classes!$B$3:$B$102,0),1)),0)=0,AND(IFERROR(SEARCH("Charisma",INDEX(T04_Classes!$BX$3:$BX$102,MATCH('C01_BaseCalculation'!C20,T04_Classes!$B$3:$B$102,0),1)),0)&gt;0,Charisma&gt;12)),"yes","no")</f>
        <v>yes</v>
      </c>
      <c r="O20" s="218">
        <f t="shared" si="1"/>
        <v>0</v>
      </c>
      <c r="P20" s="218">
        <f>IF(O20=0,0,COUNTIF($P$15:P19,"&gt;0")+1)</f>
        <v>0</v>
      </c>
      <c r="R20" s="220" t="str">
        <f t="shared" si="6"/>
        <v/>
      </c>
      <c r="S20" s="220" t="str">
        <f t="shared" si="2"/>
        <v/>
      </c>
      <c r="T20" s="221">
        <f t="shared" si="3"/>
        <v>0</v>
      </c>
      <c r="U20" s="222">
        <f>IF(T20=0,0,COUNTIF($U$15:U19,"&gt;0")+1)</f>
        <v>0</v>
      </c>
      <c r="V20" s="221" t="str">
        <f t="shared" si="7"/>
        <v/>
      </c>
      <c r="W20" s="221" t="str">
        <f t="shared" si="4"/>
        <v/>
      </c>
      <c r="X20" s="219">
        <f t="shared" si="8"/>
        <v>6</v>
      </c>
      <c r="Y20" s="219" t="str">
        <f>IFERROR(INDEX(T01_Races!$B$2:$B$101,MATCH('C01_BaseCalculation'!X20,T01_Races!$C$2:$C$101,0),1),"")</f>
        <v>Half-elf</v>
      </c>
      <c r="Z20" s="217">
        <f t="shared" si="9"/>
        <v>6</v>
      </c>
      <c r="AA20" s="217" t="str">
        <f>IFERROR(IF(Z20="","",INDEX(T01_Races!$E$2:$E$101,MATCH('C01_BaseCalculation'!Z20,T01_Races!$D$2:$D$101,0),1)),"")</f>
        <v>Human (Rashemi)</v>
      </c>
      <c r="AB20" s="217">
        <f>IFERROR(IF(Z20="","",INDEX(T01_Races!$A$2:$A$101,MATCH('C01_BaseCalculation'!Z20,T01_Races!$D$2:$D$101,0),1)),"")</f>
        <v>12</v>
      </c>
      <c r="AN20" s="140" t="s">
        <v>7460</v>
      </c>
    </row>
    <row r="21" spans="2:40" x14ac:dyDescent="0.3">
      <c r="B21" s="218">
        <f t="shared" si="5"/>
        <v>7</v>
      </c>
      <c r="C21" s="218" t="str">
        <f>IFERROR(INDEX(T04_Classes!$B$3:$B$102,B21,1),"")</f>
        <v>Paladin</v>
      </c>
      <c r="D21" s="218">
        <f>IF(C21="","",COUNTIF(Character_Creation!$R$62:$T$71,C21)+COUNTIF(Character_Creation!$R$72:$T$81,C21))</f>
        <v>0</v>
      </c>
      <c r="E21" s="218">
        <f t="shared" si="0"/>
        <v>0</v>
      </c>
      <c r="F21" s="218">
        <f>IF(E21=0,0,COUNTIF($F$15:F20,"&gt;0")+1)</f>
        <v>0</v>
      </c>
      <c r="G21" s="218">
        <f>IF(IFERROR(SEARCH("and",INDEX(T04_Classes!$BX$3:$BX$102,MATCH('C01_BaseCalculation'!C21,T04_Classes!$B$3:$B$102,0),1)),0)&gt;1,1,0)</f>
        <v>1</v>
      </c>
      <c r="H21" s="218">
        <f>IF(IFERROR(SEARCH("or",INDEX(T04_Classes!$BX$3:$BX$102,MATCH('C01_BaseCalculation'!C21,T04_Classes!$B$3:$B$102,0),1)),0)&gt;1,1,0)</f>
        <v>0</v>
      </c>
      <c r="I21" s="218" t="str">
        <f>IF(OR(IFERROR(SEARCH("Strength",INDEX(T04_Classes!$BX$3:$BX$102,MATCH('C01_BaseCalculation'!C21,T04_Classes!$B$3:$B$102,0),1)),0)=0,AND(IFERROR(SEARCH("Strength",INDEX(T04_Classes!$BX$3:$BX$102,MATCH('C01_BaseCalculation'!C21,T04_Classes!$B$3:$B$102,0),1)),0)&gt;0,Strength&gt;12)),"yes","no")</f>
        <v>yes</v>
      </c>
      <c r="J21" s="218" t="str">
        <f>IF(OR(IFERROR(SEARCH("Dexterity",INDEX(T04_Classes!$BX$3:$BX$102,MATCH('C01_BaseCalculation'!C21,T04_Classes!$B$3:$B$102,0),1)),0)=0,AND(IFERROR(SEARCH("Dexterity",INDEX(T04_Classes!$BX$3:$BX$102,MATCH('C01_BaseCalculation'!C21,T04_Classes!$B$3:$B$102,0),1)),0)&gt;0,Dexterity&gt;12)),"yes","no")</f>
        <v>yes</v>
      </c>
      <c r="K21" s="218" t="str">
        <f>IF(OR(IFERROR(SEARCH("Constitution",INDEX(T04_Classes!$BX$3:$BX$102,MATCH('C01_BaseCalculation'!C21,T04_Classes!$B$3:$B$102,0),1)),0)=0,AND(IFERROR(SEARCH("Constitution",INDEX(T04_Classes!$BX$3:$BX$102,MATCH('C01_BaseCalculation'!C21,T04_Classes!$B$3:$B$102,0),1)),0)&gt;0,Constitution&gt;12)),"yes","no")</f>
        <v>yes</v>
      </c>
      <c r="L21" s="218" t="str">
        <f>IF(OR(IFERROR(SEARCH("Intelligence",INDEX(T04_Classes!$BX$3:$BX$102,MATCH('C01_BaseCalculation'!C21,T04_Classes!$B$3:$B$102,0),1)),0)=0,AND(IFERROR(SEARCH("Intelligence",INDEX(T04_Classes!$BX$3:$BX$102,MATCH('C01_BaseCalculation'!C21,T04_Classes!$B$3:$B$102,0),1)),0)&gt;0,Intelligence&gt;12)),"yes","no")</f>
        <v>yes</v>
      </c>
      <c r="M21" s="218" t="str">
        <f>IF(OR(IFERROR(SEARCH("Wisdom",INDEX(T04_Classes!$BX$3:$BX$102,MATCH('C01_BaseCalculation'!C21,T04_Classes!$B$3:$B$102,0),1)),0)=0,AND(IFERROR(SEARCH("Wisdom",INDEX(T04_Classes!$BX$3:$BX$102,MATCH('C01_BaseCalculation'!C21,T04_Classes!$B$3:$B$102,0),1)),0)&gt;0,Wisdom&gt;12)),"yes","no")</f>
        <v>yes</v>
      </c>
      <c r="N21" s="218" t="str">
        <f>IF(OR(IFERROR(SEARCH("Charisma",INDEX(T04_Classes!$BX$3:$BX$102,MATCH('C01_BaseCalculation'!C21,T04_Classes!$B$3:$B$102,0),1)),0)=0,AND(IFERROR(SEARCH("Charisma",INDEX(T04_Classes!$BX$3:$BX$102,MATCH('C01_BaseCalculation'!C21,T04_Classes!$B$3:$B$102,0),1)),0)&gt;0,Charisma&gt;12)),"yes","no")</f>
        <v>no</v>
      </c>
      <c r="O21" s="218">
        <f t="shared" si="1"/>
        <v>0</v>
      </c>
      <c r="P21" s="218">
        <f>IF(O21=0,0,COUNTIF($P$15:P20,"&gt;0")+1)</f>
        <v>0</v>
      </c>
      <c r="R21" s="220" t="str">
        <f t="shared" si="6"/>
        <v/>
      </c>
      <c r="S21" s="220" t="str">
        <f t="shared" si="2"/>
        <v/>
      </c>
      <c r="T21" s="221">
        <f t="shared" si="3"/>
        <v>0</v>
      </c>
      <c r="U21" s="222">
        <f>IF(T21=0,0,COUNTIF($U$15:U20,"&gt;0")+1)</f>
        <v>0</v>
      </c>
      <c r="V21" s="221" t="str">
        <f t="shared" si="7"/>
        <v/>
      </c>
      <c r="W21" s="221" t="str">
        <f t="shared" si="4"/>
        <v/>
      </c>
      <c r="X21" s="219">
        <f t="shared" si="8"/>
        <v>7</v>
      </c>
      <c r="Y21" s="219" t="str">
        <f>IFERROR(INDEX(T01_Races!$B$2:$B$101,MATCH('C01_BaseCalculation'!X21,T01_Races!$C$2:$C$101,0),1),"")</f>
        <v>Half-orc</v>
      </c>
      <c r="Z21" s="217">
        <f t="shared" si="9"/>
        <v>7</v>
      </c>
      <c r="AA21" s="217" t="str">
        <f>IFERROR(IF(Z21="","",INDEX(T01_Races!$E$2:$E$101,MATCH('C01_BaseCalculation'!Z21,T01_Races!$D$2:$D$101,0),1)),"")</f>
        <v>Human (Shou)</v>
      </c>
      <c r="AB21" s="217">
        <f>IFERROR(IF(Z21="","",INDEX(T01_Races!$A$2:$A$101,MATCH('C01_BaseCalculation'!Z21,T01_Races!$D$2:$D$101,0),1)),"")</f>
        <v>13</v>
      </c>
      <c r="AD21" s="140" t="s">
        <v>3</v>
      </c>
      <c r="AE21" s="140">
        <v>0</v>
      </c>
      <c r="AF21" s="140">
        <f>IF(INDEX(T01_Races!$S$2:$S$101,MATCH(SelectedRaceID,T01_Races!$A$2:$A$101,0),1)="yes",1,0)</f>
        <v>1</v>
      </c>
    </row>
    <row r="22" spans="2:40" x14ac:dyDescent="0.3">
      <c r="B22" s="218">
        <f t="shared" si="5"/>
        <v>8</v>
      </c>
      <c r="C22" s="218" t="str">
        <f>IFERROR(INDEX(T04_Classes!$B$3:$B$102,B22,1),"")</f>
        <v>Ranger</v>
      </c>
      <c r="D22" s="218">
        <f>IF(C22="","",COUNTIF(Character_Creation!$R$62:$T$71,C22)+COUNTIF(Character_Creation!$R$72:$T$81,C22))</f>
        <v>0</v>
      </c>
      <c r="E22" s="218">
        <f t="shared" si="0"/>
        <v>0</v>
      </c>
      <c r="F22" s="218">
        <f>IF(E22=0,0,COUNTIF($F$15:F21,"&gt;0")+1)</f>
        <v>0</v>
      </c>
      <c r="G22" s="218">
        <f>IF(IFERROR(SEARCH("and",INDEX(T04_Classes!$BX$3:$BX$102,MATCH('C01_BaseCalculation'!C22,T04_Classes!$B$3:$B$102,0),1)),0)&gt;1,1,0)</f>
        <v>1</v>
      </c>
      <c r="H22" s="218">
        <f>IF(IFERROR(SEARCH("or",INDEX(T04_Classes!$BX$3:$BX$102,MATCH('C01_BaseCalculation'!C22,T04_Classes!$B$3:$B$102,0),1)),0)&gt;1,1,0)</f>
        <v>0</v>
      </c>
      <c r="I22" s="218" t="str">
        <f>IF(OR(IFERROR(SEARCH("Strength",INDEX(T04_Classes!$BX$3:$BX$102,MATCH('C01_BaseCalculation'!C22,T04_Classes!$B$3:$B$102,0),1)),0)=0,AND(IFERROR(SEARCH("Strength",INDEX(T04_Classes!$BX$3:$BX$102,MATCH('C01_BaseCalculation'!C22,T04_Classes!$B$3:$B$102,0),1)),0)&gt;0,Strength&gt;12)),"yes","no")</f>
        <v>yes</v>
      </c>
      <c r="J22" s="218" t="str">
        <f>IF(OR(IFERROR(SEARCH("Dexterity",INDEX(T04_Classes!$BX$3:$BX$102,MATCH('C01_BaseCalculation'!C22,T04_Classes!$B$3:$B$102,0),1)),0)=0,AND(IFERROR(SEARCH("Dexterity",INDEX(T04_Classes!$BX$3:$BX$102,MATCH('C01_BaseCalculation'!C22,T04_Classes!$B$3:$B$102,0),1)),0)&gt;0,Dexterity&gt;12)),"yes","no")</f>
        <v>no</v>
      </c>
      <c r="K22" s="218" t="str">
        <f>IF(OR(IFERROR(SEARCH("Constitution",INDEX(T04_Classes!$BX$3:$BX$102,MATCH('C01_BaseCalculation'!C22,T04_Classes!$B$3:$B$102,0),1)),0)=0,AND(IFERROR(SEARCH("Constitution",INDEX(T04_Classes!$BX$3:$BX$102,MATCH('C01_BaseCalculation'!C22,T04_Classes!$B$3:$B$102,0),1)),0)&gt;0,Constitution&gt;12)),"yes","no")</f>
        <v>yes</v>
      </c>
      <c r="L22" s="218" t="str">
        <f>IF(OR(IFERROR(SEARCH("Intelligence",INDEX(T04_Classes!$BX$3:$BX$102,MATCH('C01_BaseCalculation'!C22,T04_Classes!$B$3:$B$102,0),1)),0)=0,AND(IFERROR(SEARCH("Intelligence",INDEX(T04_Classes!$BX$3:$BX$102,MATCH('C01_BaseCalculation'!C22,T04_Classes!$B$3:$B$102,0),1)),0)&gt;0,Intelligence&gt;12)),"yes","no")</f>
        <v>yes</v>
      </c>
      <c r="M22" s="218" t="str">
        <f>IF(OR(IFERROR(SEARCH("Wisdom",INDEX(T04_Classes!$BX$3:$BX$102,MATCH('C01_BaseCalculation'!C22,T04_Classes!$B$3:$B$102,0),1)),0)=0,AND(IFERROR(SEARCH("Wisdom",INDEX(T04_Classes!$BX$3:$BX$102,MATCH('C01_BaseCalculation'!C22,T04_Classes!$B$3:$B$102,0),1)),0)&gt;0,Wisdom&gt;12)),"yes","no")</f>
        <v>no</v>
      </c>
      <c r="N22" s="218" t="str">
        <f>IF(OR(IFERROR(SEARCH("Charisma",INDEX(T04_Classes!$BX$3:$BX$102,MATCH('C01_BaseCalculation'!C22,T04_Classes!$B$3:$B$102,0),1)),0)=0,AND(IFERROR(SEARCH("Charisma",INDEX(T04_Classes!$BX$3:$BX$102,MATCH('C01_BaseCalculation'!C22,T04_Classes!$B$3:$B$102,0),1)),0)&gt;0,Charisma&gt;12)),"yes","no")</f>
        <v>yes</v>
      </c>
      <c r="O22" s="218">
        <f t="shared" si="1"/>
        <v>0</v>
      </c>
      <c r="P22" s="218">
        <f>IF(O22=0,0,COUNTIF($P$15:P21,"&gt;0")+1)</f>
        <v>0</v>
      </c>
      <c r="R22" s="220" t="str">
        <f t="shared" si="6"/>
        <v/>
      </c>
      <c r="S22" s="220" t="str">
        <f t="shared" si="2"/>
        <v/>
      </c>
      <c r="T22" s="221">
        <f t="shared" si="3"/>
        <v>0</v>
      </c>
      <c r="U22" s="222">
        <f>IF(T22=0,0,COUNTIF($U$15:U21,"&gt;0")+1)</f>
        <v>0</v>
      </c>
      <c r="V22" s="221" t="str">
        <f t="shared" si="7"/>
        <v/>
      </c>
      <c r="W22" s="221" t="str">
        <f t="shared" si="4"/>
        <v/>
      </c>
      <c r="X22" s="219">
        <f t="shared" si="8"/>
        <v>8</v>
      </c>
      <c r="Y22" s="219" t="str">
        <f>IFERROR(INDEX(T01_Races!$B$2:$B$101,MATCH('C01_BaseCalculation'!X22,T01_Races!$C$2:$C$101,0),1),"")</f>
        <v>Tiefling</v>
      </c>
      <c r="Z22" s="217">
        <f t="shared" si="9"/>
        <v>8</v>
      </c>
      <c r="AA22" s="217" t="str">
        <f>IFERROR(IF(Z22="","",INDEX(T01_Races!$E$2:$E$101,MATCH('C01_BaseCalculation'!Z22,T01_Races!$D$2:$D$101,0),1)),"")</f>
        <v>Human (Tethyrian-Chondathan)</v>
      </c>
      <c r="AB22" s="217">
        <f>IFERROR(IF(Z22="","",INDEX(T01_Races!$A$2:$A$101,MATCH('C01_BaseCalculation'!Z22,T01_Races!$D$2:$D$101,0),1)),"")</f>
        <v>14</v>
      </c>
      <c r="AD22" s="140" t="s">
        <v>4</v>
      </c>
      <c r="AE22" s="140">
        <v>0</v>
      </c>
      <c r="AF22" s="140">
        <f>IF(INDEX(T01_Races!$T$2:$T$101,MATCH(SelectedRaceID,T01_Races!$A$2:$A$101,0),1)="yes",1,0)</f>
        <v>1</v>
      </c>
    </row>
    <row r="23" spans="2:40" x14ac:dyDescent="0.3">
      <c r="B23" s="218">
        <f t="shared" si="5"/>
        <v>9</v>
      </c>
      <c r="C23" s="218" t="str">
        <f>IFERROR(INDEX(T04_Classes!$B$3:$B$102,B23,1),"")</f>
        <v>Rogue</v>
      </c>
      <c r="D23" s="218">
        <f>IF(C23="","",COUNTIF(Character_Creation!$R$62:$T$71,C23)+COUNTIF(Character_Creation!$R$72:$T$81,C23))</f>
        <v>0</v>
      </c>
      <c r="E23" s="218">
        <f t="shared" si="0"/>
        <v>0</v>
      </c>
      <c r="F23" s="218">
        <f>IF(E23=0,0,COUNTIF($F$15:F22,"&gt;0")+1)</f>
        <v>0</v>
      </c>
      <c r="G23" s="218">
        <f>IF(IFERROR(SEARCH("and",INDEX(T04_Classes!$BX$3:$BX$102,MATCH('C01_BaseCalculation'!C23,T04_Classes!$B$3:$B$102,0),1)),0)&gt;1,1,0)</f>
        <v>0</v>
      </c>
      <c r="H23" s="218">
        <f>IF(IFERROR(SEARCH("or",INDEX(T04_Classes!$BX$3:$BX$102,MATCH('C01_BaseCalculation'!C23,T04_Classes!$B$3:$B$102,0),1)),0)&gt;1,1,0)</f>
        <v>0</v>
      </c>
      <c r="I23" s="218" t="str">
        <f>IF(OR(IFERROR(SEARCH("Strength",INDEX(T04_Classes!$BX$3:$BX$102,MATCH('C01_BaseCalculation'!C23,T04_Classes!$B$3:$B$102,0),1)),0)=0,AND(IFERROR(SEARCH("Strength",INDEX(T04_Classes!$BX$3:$BX$102,MATCH('C01_BaseCalculation'!C23,T04_Classes!$B$3:$B$102,0),1)),0)&gt;0,Strength&gt;12)),"yes","no")</f>
        <v>yes</v>
      </c>
      <c r="J23" s="218" t="str">
        <f>IF(OR(IFERROR(SEARCH("Dexterity",INDEX(T04_Classes!$BX$3:$BX$102,MATCH('C01_BaseCalculation'!C23,T04_Classes!$B$3:$B$102,0),1)),0)=0,AND(IFERROR(SEARCH("Dexterity",INDEX(T04_Classes!$BX$3:$BX$102,MATCH('C01_BaseCalculation'!C23,T04_Classes!$B$3:$B$102,0),1)),0)&gt;0,Dexterity&gt;12)),"yes","no")</f>
        <v>no</v>
      </c>
      <c r="K23" s="218" t="str">
        <f>IF(OR(IFERROR(SEARCH("Constitution",INDEX(T04_Classes!$BX$3:$BX$102,MATCH('C01_BaseCalculation'!C23,T04_Classes!$B$3:$B$102,0),1)),0)=0,AND(IFERROR(SEARCH("Constitution",INDEX(T04_Classes!$BX$3:$BX$102,MATCH('C01_BaseCalculation'!C23,T04_Classes!$B$3:$B$102,0),1)),0)&gt;0,Constitution&gt;12)),"yes","no")</f>
        <v>yes</v>
      </c>
      <c r="L23" s="218" t="str">
        <f>IF(OR(IFERROR(SEARCH("Intelligence",INDEX(T04_Classes!$BX$3:$BX$102,MATCH('C01_BaseCalculation'!C23,T04_Classes!$B$3:$B$102,0),1)),0)=0,AND(IFERROR(SEARCH("Intelligence",INDEX(T04_Classes!$BX$3:$BX$102,MATCH('C01_BaseCalculation'!C23,T04_Classes!$B$3:$B$102,0),1)),0)&gt;0,Intelligence&gt;12)),"yes","no")</f>
        <v>yes</v>
      </c>
      <c r="M23" s="218" t="str">
        <f>IF(OR(IFERROR(SEARCH("Wisdom",INDEX(T04_Classes!$BX$3:$BX$102,MATCH('C01_BaseCalculation'!C23,T04_Classes!$B$3:$B$102,0),1)),0)=0,AND(IFERROR(SEARCH("Wisdom",INDEX(T04_Classes!$BX$3:$BX$102,MATCH('C01_BaseCalculation'!C23,T04_Classes!$B$3:$B$102,0),1)),0)&gt;0,Wisdom&gt;12)),"yes","no")</f>
        <v>yes</v>
      </c>
      <c r="N23" s="218" t="str">
        <f>IF(OR(IFERROR(SEARCH("Charisma",INDEX(T04_Classes!$BX$3:$BX$102,MATCH('C01_BaseCalculation'!C23,T04_Classes!$B$3:$B$102,0),1)),0)=0,AND(IFERROR(SEARCH("Charisma",INDEX(T04_Classes!$BX$3:$BX$102,MATCH('C01_BaseCalculation'!C23,T04_Classes!$B$3:$B$102,0),1)),0)&gt;0,Charisma&gt;12)),"yes","no")</f>
        <v>yes</v>
      </c>
      <c r="O23" s="218">
        <f t="shared" si="1"/>
        <v>0</v>
      </c>
      <c r="P23" s="218">
        <f>IF(O23=0,0,COUNTIF($P$15:P22,"&gt;0")+1)</f>
        <v>0</v>
      </c>
      <c r="R23" s="220" t="str">
        <f t="shared" si="6"/>
        <v/>
      </c>
      <c r="S23" s="220" t="str">
        <f t="shared" si="2"/>
        <v/>
      </c>
      <c r="T23" s="221">
        <f t="shared" si="3"/>
        <v>0</v>
      </c>
      <c r="U23" s="222">
        <f>IF(T23=0,0,COUNTIF($U$15:U22,"&gt;0")+1)</f>
        <v>0</v>
      </c>
      <c r="V23" s="221" t="str">
        <f t="shared" si="7"/>
        <v/>
      </c>
      <c r="W23" s="221" t="str">
        <f t="shared" si="4"/>
        <v/>
      </c>
      <c r="X23" s="219">
        <f t="shared" si="8"/>
        <v>9</v>
      </c>
      <c r="Y23" s="219" t="str">
        <f>IFERROR(INDEX(T01_Races!$B$2:$B$101,MATCH('C01_BaseCalculation'!X23,T01_Races!$C$2:$C$101,0),1),"")</f>
        <v>Dragonborn</v>
      </c>
      <c r="Z23" s="217">
        <f t="shared" si="9"/>
        <v>9</v>
      </c>
      <c r="AA23" s="217" t="str">
        <f>IFERROR(IF(Z23="","",INDEX(T01_Races!$E$2:$E$101,MATCH('C01_BaseCalculation'!Z23,T01_Races!$D$2:$D$101,0),1)),"")</f>
        <v>Human (Turami)</v>
      </c>
      <c r="AB23" s="217">
        <f>IFERROR(IF(Z23="","",INDEX(T01_Races!$A$2:$A$101,MATCH('C01_BaseCalculation'!Z23,T01_Races!$D$2:$D$101,0),1)),"")</f>
        <v>15</v>
      </c>
      <c r="AD23" s="140" t="s">
        <v>5</v>
      </c>
      <c r="AE23" s="140">
        <v>0</v>
      </c>
      <c r="AF23" s="140">
        <f>IF(INDEX(T01_Races!$U$2:$U$101,MATCH(SelectedRaceID,T01_Races!$A$2:$A$101,0),1)="yes",1,0)</f>
        <v>1</v>
      </c>
    </row>
    <row r="24" spans="2:40" x14ac:dyDescent="0.3">
      <c r="B24" s="218">
        <f t="shared" si="5"/>
        <v>10</v>
      </c>
      <c r="C24" s="218" t="str">
        <f>IFERROR(INDEX(T04_Classes!$B$3:$B$102,B24,1),"")</f>
        <v>Sorcerer</v>
      </c>
      <c r="D24" s="218">
        <f>IF(C24="","",COUNTIF(Character_Creation!$R$62:$T$71,C24)+COUNTIF(Character_Creation!$R$72:$T$81,C24))</f>
        <v>0</v>
      </c>
      <c r="E24" s="218">
        <f t="shared" si="0"/>
        <v>0</v>
      </c>
      <c r="F24" s="218">
        <f>IF(E24=0,0,COUNTIF($F$15:F23,"&gt;0")+1)</f>
        <v>0</v>
      </c>
      <c r="G24" s="218">
        <f>IF(IFERROR(SEARCH("and",INDEX(T04_Classes!$BX$3:$BX$102,MATCH('C01_BaseCalculation'!C24,T04_Classes!$B$3:$B$102,0),1)),0)&gt;1,1,0)</f>
        <v>0</v>
      </c>
      <c r="H24" s="218">
        <f>IF(IFERROR(SEARCH("or",INDEX(T04_Classes!$BX$3:$BX$102,MATCH('C01_BaseCalculation'!C24,T04_Classes!$B$3:$B$102,0),1)),0)&gt;1,1,0)</f>
        <v>0</v>
      </c>
      <c r="I24" s="218" t="str">
        <f>IF(OR(IFERROR(SEARCH("Strength",INDEX(T04_Classes!$BX$3:$BX$102,MATCH('C01_BaseCalculation'!C24,T04_Classes!$B$3:$B$102,0),1)),0)=0,AND(IFERROR(SEARCH("Strength",INDEX(T04_Classes!$BX$3:$BX$102,MATCH('C01_BaseCalculation'!C24,T04_Classes!$B$3:$B$102,0),1)),0)&gt;0,Strength&gt;12)),"yes","no")</f>
        <v>yes</v>
      </c>
      <c r="J24" s="218" t="str">
        <f>IF(OR(IFERROR(SEARCH("Dexterity",INDEX(T04_Classes!$BX$3:$BX$102,MATCH('C01_BaseCalculation'!C24,T04_Classes!$B$3:$B$102,0),1)),0)=0,AND(IFERROR(SEARCH("Dexterity",INDEX(T04_Classes!$BX$3:$BX$102,MATCH('C01_BaseCalculation'!C24,T04_Classes!$B$3:$B$102,0),1)),0)&gt;0,Dexterity&gt;12)),"yes","no")</f>
        <v>yes</v>
      </c>
      <c r="K24" s="218" t="str">
        <f>IF(OR(IFERROR(SEARCH("Constitution",INDEX(T04_Classes!$BX$3:$BX$102,MATCH('C01_BaseCalculation'!C24,T04_Classes!$B$3:$B$102,0),1)),0)=0,AND(IFERROR(SEARCH("Constitution",INDEX(T04_Classes!$BX$3:$BX$102,MATCH('C01_BaseCalculation'!C24,T04_Classes!$B$3:$B$102,0),1)),0)&gt;0,Constitution&gt;12)),"yes","no")</f>
        <v>yes</v>
      </c>
      <c r="L24" s="218" t="str">
        <f>IF(OR(IFERROR(SEARCH("Intelligence",INDEX(T04_Classes!$BX$3:$BX$102,MATCH('C01_BaseCalculation'!C24,T04_Classes!$B$3:$B$102,0),1)),0)=0,AND(IFERROR(SEARCH("Intelligence",INDEX(T04_Classes!$BX$3:$BX$102,MATCH('C01_BaseCalculation'!C24,T04_Classes!$B$3:$B$102,0),1)),0)&gt;0,Intelligence&gt;12)),"yes","no")</f>
        <v>yes</v>
      </c>
      <c r="M24" s="218" t="str">
        <f>IF(OR(IFERROR(SEARCH("Wisdom",INDEX(T04_Classes!$BX$3:$BX$102,MATCH('C01_BaseCalculation'!C24,T04_Classes!$B$3:$B$102,0),1)),0)=0,AND(IFERROR(SEARCH("Wisdom",INDEX(T04_Classes!$BX$3:$BX$102,MATCH('C01_BaseCalculation'!C24,T04_Classes!$B$3:$B$102,0),1)),0)&gt;0,Wisdom&gt;12)),"yes","no")</f>
        <v>yes</v>
      </c>
      <c r="N24" s="218" t="str">
        <f>IF(OR(IFERROR(SEARCH("Charisma",INDEX(T04_Classes!$BX$3:$BX$102,MATCH('C01_BaseCalculation'!C24,T04_Classes!$B$3:$B$102,0),1)),0)=0,AND(IFERROR(SEARCH("Charisma",INDEX(T04_Classes!$BX$3:$BX$102,MATCH('C01_BaseCalculation'!C24,T04_Classes!$B$3:$B$102,0),1)),0)&gt;0,Charisma&gt;12)),"yes","no")</f>
        <v>no</v>
      </c>
      <c r="O24" s="218">
        <f t="shared" si="1"/>
        <v>0</v>
      </c>
      <c r="P24" s="218">
        <f>IF(O24=0,0,COUNTIF($P$15:P23,"&gt;0")+1)</f>
        <v>0</v>
      </c>
      <c r="R24" s="220" t="str">
        <f t="shared" si="6"/>
        <v/>
      </c>
      <c r="S24" s="220" t="str">
        <f t="shared" si="2"/>
        <v/>
      </c>
      <c r="T24" s="221">
        <f t="shared" si="3"/>
        <v>0</v>
      </c>
      <c r="U24" s="222">
        <f>IF(T24=0,0,COUNTIF($U$15:U23,"&gt;0")+1)</f>
        <v>0</v>
      </c>
      <c r="V24" s="221" t="str">
        <f t="shared" si="7"/>
        <v/>
      </c>
      <c r="W24" s="221" t="str">
        <f t="shared" si="4"/>
        <v/>
      </c>
      <c r="X24" s="219">
        <f t="shared" si="8"/>
        <v>10</v>
      </c>
      <c r="Y24" s="219" t="str">
        <f>IFERROR(INDEX(T01_Races!$B$2:$B$101,MATCH('C01_BaseCalculation'!X24,T01_Races!$C$2:$C$101,0),1),"")</f>
        <v>Warforged</v>
      </c>
      <c r="Z24" s="217">
        <f t="shared" si="9"/>
        <v>10</v>
      </c>
      <c r="AA24" s="217" t="str">
        <f>IFERROR(IF(Z24="","",INDEX(T01_Races!$E$2:$E$101,MATCH('C01_BaseCalculation'!Z24,T01_Races!$D$2:$D$101,0),1)),"")</f>
        <v>Human (Variant)</v>
      </c>
      <c r="AB24" s="217">
        <f>IFERROR(IF(Z24="","",INDEX(T01_Races!$A$2:$A$101,MATCH('C01_BaseCalculation'!Z24,T01_Races!$D$2:$D$101,0),1)),"")</f>
        <v>16</v>
      </c>
      <c r="AD24" s="140" t="s">
        <v>6</v>
      </c>
      <c r="AE24" s="140">
        <v>0</v>
      </c>
      <c r="AF24" s="140">
        <f>IF(INDEX(T01_Races!$V$2:$V$101,MATCH(SelectedRaceID,T01_Races!$A$2:$A$101,0),1)="yes",1,0)</f>
        <v>1</v>
      </c>
    </row>
    <row r="25" spans="2:40" x14ac:dyDescent="0.3">
      <c r="B25" s="218">
        <f t="shared" si="5"/>
        <v>11</v>
      </c>
      <c r="C25" s="218" t="str">
        <f>IFERROR(INDEX(T04_Classes!$B$3:$B$102,B25,1),"")</f>
        <v>Warlock</v>
      </c>
      <c r="D25" s="218">
        <f>IF(C25="","",COUNTIF(Character_Creation!$R$62:$T$71,C25)+COUNTIF(Character_Creation!$R$72:$T$81,C25))</f>
        <v>0</v>
      </c>
      <c r="E25" s="218">
        <f t="shared" si="0"/>
        <v>0</v>
      </c>
      <c r="F25" s="218">
        <f>IF(E25=0,0,COUNTIF($F$15:F24,"&gt;0")+1)</f>
        <v>0</v>
      </c>
      <c r="G25" s="218">
        <f>IF(IFERROR(SEARCH("and",INDEX(T04_Classes!$BX$3:$BX$102,MATCH('C01_BaseCalculation'!C25,T04_Classes!$B$3:$B$102,0),1)),0)&gt;1,1,0)</f>
        <v>0</v>
      </c>
      <c r="H25" s="218">
        <f>IF(IFERROR(SEARCH("or",INDEX(T04_Classes!$BX$3:$BX$102,MATCH('C01_BaseCalculation'!C25,T04_Classes!$B$3:$B$102,0),1)),0)&gt;1,1,0)</f>
        <v>0</v>
      </c>
      <c r="I25" s="218" t="str">
        <f>IF(OR(IFERROR(SEARCH("Strength",INDEX(T04_Classes!$BX$3:$BX$102,MATCH('C01_BaseCalculation'!C25,T04_Classes!$B$3:$B$102,0),1)),0)=0,AND(IFERROR(SEARCH("Strength",INDEX(T04_Classes!$BX$3:$BX$102,MATCH('C01_BaseCalculation'!C25,T04_Classes!$B$3:$B$102,0),1)),0)&gt;0,Strength&gt;12)),"yes","no")</f>
        <v>yes</v>
      </c>
      <c r="J25" s="218" t="str">
        <f>IF(OR(IFERROR(SEARCH("Dexterity",INDEX(T04_Classes!$BX$3:$BX$102,MATCH('C01_BaseCalculation'!C25,T04_Classes!$B$3:$B$102,0),1)),0)=0,AND(IFERROR(SEARCH("Dexterity",INDEX(T04_Classes!$BX$3:$BX$102,MATCH('C01_BaseCalculation'!C25,T04_Classes!$B$3:$B$102,0),1)),0)&gt;0,Dexterity&gt;12)),"yes","no")</f>
        <v>yes</v>
      </c>
      <c r="K25" s="218" t="str">
        <f>IF(OR(IFERROR(SEARCH("Constitution",INDEX(T04_Classes!$BX$3:$BX$102,MATCH('C01_BaseCalculation'!C25,T04_Classes!$B$3:$B$102,0),1)),0)=0,AND(IFERROR(SEARCH("Constitution",INDEX(T04_Classes!$BX$3:$BX$102,MATCH('C01_BaseCalculation'!C25,T04_Classes!$B$3:$B$102,0),1)),0)&gt;0,Constitution&gt;12)),"yes","no")</f>
        <v>yes</v>
      </c>
      <c r="L25" s="218" t="str">
        <f>IF(OR(IFERROR(SEARCH("Intelligence",INDEX(T04_Classes!$BX$3:$BX$102,MATCH('C01_BaseCalculation'!C25,T04_Classes!$B$3:$B$102,0),1)),0)=0,AND(IFERROR(SEARCH("Intelligence",INDEX(T04_Classes!$BX$3:$BX$102,MATCH('C01_BaseCalculation'!C25,T04_Classes!$B$3:$B$102,0),1)),0)&gt;0,Intelligence&gt;12)),"yes","no")</f>
        <v>yes</v>
      </c>
      <c r="M25" s="218" t="str">
        <f>IF(OR(IFERROR(SEARCH("Wisdom",INDEX(T04_Classes!$BX$3:$BX$102,MATCH('C01_BaseCalculation'!C25,T04_Classes!$B$3:$B$102,0),1)),0)=0,AND(IFERROR(SEARCH("Wisdom",INDEX(T04_Classes!$BX$3:$BX$102,MATCH('C01_BaseCalculation'!C25,T04_Classes!$B$3:$B$102,0),1)),0)&gt;0,Wisdom&gt;12)),"yes","no")</f>
        <v>yes</v>
      </c>
      <c r="N25" s="218" t="str">
        <f>IF(OR(IFERROR(SEARCH("Charisma",INDEX(T04_Classes!$BX$3:$BX$102,MATCH('C01_BaseCalculation'!C25,T04_Classes!$B$3:$B$102,0),1)),0)=0,AND(IFERROR(SEARCH("Charisma",INDEX(T04_Classes!$BX$3:$BX$102,MATCH('C01_BaseCalculation'!C25,T04_Classes!$B$3:$B$102,0),1)),0)&gt;0,Charisma&gt;12)),"yes","no")</f>
        <v>no</v>
      </c>
      <c r="O25" s="218">
        <f t="shared" si="1"/>
        <v>0</v>
      </c>
      <c r="P25" s="218">
        <f>IF(O25=0,0,COUNTIF($P$15:P24,"&gt;0")+1)</f>
        <v>0</v>
      </c>
      <c r="R25" s="220" t="str">
        <f t="shared" si="6"/>
        <v/>
      </c>
      <c r="S25" s="220" t="str">
        <f t="shared" si="2"/>
        <v/>
      </c>
      <c r="T25" s="221">
        <f t="shared" si="3"/>
        <v>0</v>
      </c>
      <c r="U25" s="222">
        <f>IF(T25=0,0,COUNTIF($U$15:U24,"&gt;0")+1)</f>
        <v>0</v>
      </c>
      <c r="V25" s="221" t="str">
        <f t="shared" si="7"/>
        <v/>
      </c>
      <c r="W25" s="221" t="str">
        <f t="shared" si="4"/>
        <v/>
      </c>
      <c r="X25" s="219">
        <f t="shared" si="8"/>
        <v>11</v>
      </c>
      <c r="Y25" s="219" t="str">
        <f>IFERROR(INDEX(T01_Races!$B$2:$B$101,MATCH('C01_BaseCalculation'!X25,T01_Races!$C$2:$C$101,0),1),"")</f>
        <v>Changeling</v>
      </c>
      <c r="Z25" s="217" t="str">
        <f t="shared" si="9"/>
        <v/>
      </c>
      <c r="AA25" s="217" t="str">
        <f>IFERROR(IF(Z25="","",INDEX(T01_Races!$E$2:$E$101,MATCH('C01_BaseCalculation'!Z25,T01_Races!$D$2:$D$101,0),1)),"")</f>
        <v/>
      </c>
      <c r="AB25" s="217" t="str">
        <f>IFERROR(IF(Z25="","",INDEX(T01_Races!$A$2:$A$101,MATCH('C01_BaseCalculation'!Z25,T01_Races!$D$2:$D$101,0),1)),"")</f>
        <v/>
      </c>
      <c r="AD25" s="140" t="s">
        <v>7</v>
      </c>
      <c r="AE25" s="140">
        <v>0</v>
      </c>
      <c r="AF25" s="140">
        <f>IF(INDEX(T01_Races!$W$2:$W$101,MATCH(SelectedRaceID,T01_Races!$A$2:$A$101,0),1)="yes",1,0)</f>
        <v>1</v>
      </c>
    </row>
    <row r="26" spans="2:40" x14ac:dyDescent="0.3">
      <c r="B26" s="218">
        <f t="shared" si="5"/>
        <v>12</v>
      </c>
      <c r="C26" s="218" t="str">
        <f>IFERROR(INDEX(T04_Classes!$B$3:$B$102,B26,1),"")</f>
        <v>Wizard</v>
      </c>
      <c r="D26" s="218">
        <f>IF(C26="","",COUNTIF(Character_Creation!$R$62:$T$71,C26)+COUNTIF(Character_Creation!$R$72:$T$81,C26))</f>
        <v>8</v>
      </c>
      <c r="E26" s="218">
        <f t="shared" si="0"/>
        <v>1</v>
      </c>
      <c r="F26" s="218">
        <f>IF(E26=0,0,COUNTIF($F$15:F25,"&gt;0")+1)</f>
        <v>2</v>
      </c>
      <c r="G26" s="218">
        <f>IF(IFERROR(SEARCH("and",INDEX(T04_Classes!$BX$3:$BX$102,MATCH('C01_BaseCalculation'!C26,T04_Classes!$B$3:$B$102,0),1)),0)&gt;1,1,0)</f>
        <v>0</v>
      </c>
      <c r="H26" s="218">
        <f>IF(IFERROR(SEARCH("or",INDEX(T04_Classes!$BX$3:$BX$102,MATCH('C01_BaseCalculation'!C26,T04_Classes!$B$3:$B$102,0),1)),0)&gt;1,1,0)</f>
        <v>0</v>
      </c>
      <c r="I26" s="218" t="str">
        <f>IF(OR(IFERROR(SEARCH("Strength",INDEX(T04_Classes!$BX$3:$BX$102,MATCH('C01_BaseCalculation'!C26,T04_Classes!$B$3:$B$102,0),1)),0)=0,AND(IFERROR(SEARCH("Strength",INDEX(T04_Classes!$BX$3:$BX$102,MATCH('C01_BaseCalculation'!C26,T04_Classes!$B$3:$B$102,0),1)),0)&gt;0,Strength&gt;12)),"yes","no")</f>
        <v>yes</v>
      </c>
      <c r="J26" s="218" t="str">
        <f>IF(OR(IFERROR(SEARCH("Dexterity",INDEX(T04_Classes!$BX$3:$BX$102,MATCH('C01_BaseCalculation'!C26,T04_Classes!$B$3:$B$102,0),1)),0)=0,AND(IFERROR(SEARCH("Dexterity",INDEX(T04_Classes!$BX$3:$BX$102,MATCH('C01_BaseCalculation'!C26,T04_Classes!$B$3:$B$102,0),1)),0)&gt;0,Dexterity&gt;12)),"yes","no")</f>
        <v>yes</v>
      </c>
      <c r="K26" s="218" t="str">
        <f>IF(OR(IFERROR(SEARCH("Constitution",INDEX(T04_Classes!$BX$3:$BX$102,MATCH('C01_BaseCalculation'!C26,T04_Classes!$B$3:$B$102,0),1)),0)=0,AND(IFERROR(SEARCH("Constitution",INDEX(T04_Classes!$BX$3:$BX$102,MATCH('C01_BaseCalculation'!C26,T04_Classes!$B$3:$B$102,0),1)),0)&gt;0,Constitution&gt;12)),"yes","no")</f>
        <v>yes</v>
      </c>
      <c r="L26" s="218" t="str">
        <f>IF(OR(IFERROR(SEARCH("Intelligence",INDEX(T04_Classes!$BX$3:$BX$102,MATCH('C01_BaseCalculation'!C26,T04_Classes!$B$3:$B$102,0),1)),0)=0,AND(IFERROR(SEARCH("Intelligence",INDEX(T04_Classes!$BX$3:$BX$102,MATCH('C01_BaseCalculation'!C26,T04_Classes!$B$3:$B$102,0),1)),0)&gt;0,Intelligence&gt;12)),"yes","no")</f>
        <v>yes</v>
      </c>
      <c r="M26" s="218" t="str">
        <f>IF(OR(IFERROR(SEARCH("Wisdom",INDEX(T04_Classes!$BX$3:$BX$102,MATCH('C01_BaseCalculation'!C26,T04_Classes!$B$3:$B$102,0),1)),0)=0,AND(IFERROR(SEARCH("Wisdom",INDEX(T04_Classes!$BX$3:$BX$102,MATCH('C01_BaseCalculation'!C26,T04_Classes!$B$3:$B$102,0),1)),0)&gt;0,Wisdom&gt;12)),"yes","no")</f>
        <v>yes</v>
      </c>
      <c r="N26" s="218" t="str">
        <f>IF(OR(IFERROR(SEARCH("Charisma",INDEX(T04_Classes!$BX$3:$BX$102,MATCH('C01_BaseCalculation'!C26,T04_Classes!$B$3:$B$102,0),1)),0)=0,AND(IFERROR(SEARCH("Charisma",INDEX(T04_Classes!$BX$3:$BX$102,MATCH('C01_BaseCalculation'!C26,T04_Classes!$B$3:$B$102,0),1)),0)&gt;0,Charisma&gt;12)),"yes","no")</f>
        <v>yes</v>
      </c>
      <c r="O26" s="218">
        <f t="shared" si="1"/>
        <v>1</v>
      </c>
      <c r="P26" s="218">
        <f>IF(O26=0,0,COUNTIF($P$15:P25,"&gt;0")+1)</f>
        <v>3</v>
      </c>
      <c r="R26" s="220" t="str">
        <f t="shared" si="6"/>
        <v/>
      </c>
      <c r="S26" s="220" t="str">
        <f t="shared" si="2"/>
        <v/>
      </c>
      <c r="T26" s="221">
        <f t="shared" si="3"/>
        <v>1</v>
      </c>
      <c r="U26" s="222">
        <f>IF(T26=0,0,COUNTIF($U$15:U25,"&gt;0")+1)</f>
        <v>1</v>
      </c>
      <c r="V26" s="221" t="str">
        <f t="shared" si="7"/>
        <v/>
      </c>
      <c r="W26" s="221" t="str">
        <f t="shared" si="4"/>
        <v/>
      </c>
      <c r="X26" s="219">
        <f t="shared" si="8"/>
        <v>12</v>
      </c>
      <c r="Y26" s="219" t="str">
        <f>IFERROR(INDEX(T01_Races!$B$2:$B$101,MATCH('C01_BaseCalculation'!X26,T01_Races!$C$2:$C$101,0),1),"")</f>
        <v>Shifter</v>
      </c>
      <c r="Z26" s="217" t="str">
        <f t="shared" si="9"/>
        <v/>
      </c>
      <c r="AA26" s="217" t="str">
        <f>IFERROR(IF(Z26="","",INDEX(T01_Races!$E$2:$E$101,MATCH('C01_BaseCalculation'!Z26,T01_Races!$D$2:$D$101,0),1)),"")</f>
        <v/>
      </c>
      <c r="AB26" s="217" t="str">
        <f>IFERROR(IF(Z26="","",INDEX(T01_Races!$A$2:$A$101,MATCH('C01_BaseCalculation'!Z26,T01_Races!$D$2:$D$101,0),1)),"")</f>
        <v/>
      </c>
      <c r="AD26" s="140" t="s">
        <v>8</v>
      </c>
      <c r="AE26" s="140">
        <v>0</v>
      </c>
      <c r="AF26" s="140">
        <f>IF(INDEX(T01_Races!$X$2:$X$101,MATCH(SelectedRaceID,T01_Races!$A$2:$A$101,0),1)="yes",1,0)</f>
        <v>1</v>
      </c>
    </row>
    <row r="27" spans="2:40" x14ac:dyDescent="0.3">
      <c r="B27" s="218" t="str">
        <f t="shared" si="5"/>
        <v/>
      </c>
      <c r="C27" s="218" t="str">
        <f>IFERROR(INDEX(T04_Classes!$B$3:$B$102,B27,1),"")</f>
        <v/>
      </c>
      <c r="D27" s="218" t="str">
        <f>IF(C27="","",COUNTIF(Character_Creation!$R$62:$T$71,C27)+COUNTIF(Character_Creation!$R$72:$T$81,C27))</f>
        <v/>
      </c>
      <c r="E27" s="218">
        <f t="shared" si="0"/>
        <v>0</v>
      </c>
      <c r="F27" s="218">
        <f>IF(E27=0,0,COUNTIF($F$15:F26,"&gt;0")+1)</f>
        <v>0</v>
      </c>
      <c r="G27" s="218">
        <f>IF(IFERROR(SEARCH("and",INDEX(T04_Classes!$BX$3:$BX$102,MATCH('C01_BaseCalculation'!C27,T04_Classes!$B$3:$B$102,0),1)),0)&gt;1,1,0)</f>
        <v>0</v>
      </c>
      <c r="H27" s="218">
        <f>IF(IFERROR(SEARCH("or",INDEX(T04_Classes!$BX$3:$BX$102,MATCH('C01_BaseCalculation'!C27,T04_Classes!$B$3:$B$102,0),1)),0)&gt;1,1,0)</f>
        <v>0</v>
      </c>
      <c r="I27" s="218" t="str">
        <f>IF(OR(IFERROR(SEARCH("Strength",INDEX(T04_Classes!$BX$3:$BX$102,MATCH('C01_BaseCalculation'!C27,T04_Classes!$B$3:$B$102,0),1)),0)=0,AND(IFERROR(SEARCH("Strength",INDEX(T04_Classes!$BX$3:$BX$102,MATCH('C01_BaseCalculation'!C27,T04_Classes!$B$3:$B$102,0),1)),0)&gt;0,Strength&gt;12)),"yes","no")</f>
        <v>yes</v>
      </c>
      <c r="J27" s="218" t="str">
        <f>IF(OR(IFERROR(SEARCH("Dexterity",INDEX(T04_Classes!$BX$3:$BX$102,MATCH('C01_BaseCalculation'!C27,T04_Classes!$B$3:$B$102,0),1)),0)=0,AND(IFERROR(SEARCH("Dexterity",INDEX(T04_Classes!$BX$3:$BX$102,MATCH('C01_BaseCalculation'!C27,T04_Classes!$B$3:$B$102,0),1)),0)&gt;0,Dexterity&gt;12)),"yes","no")</f>
        <v>yes</v>
      </c>
      <c r="K27" s="218" t="str">
        <f>IF(OR(IFERROR(SEARCH("Constitution",INDEX(T04_Classes!$BX$3:$BX$102,MATCH('C01_BaseCalculation'!C27,T04_Classes!$B$3:$B$102,0),1)),0)=0,AND(IFERROR(SEARCH("Constitution",INDEX(T04_Classes!$BX$3:$BX$102,MATCH('C01_BaseCalculation'!C27,T04_Classes!$B$3:$B$102,0),1)),0)&gt;0,Constitution&gt;12)),"yes","no")</f>
        <v>yes</v>
      </c>
      <c r="L27" s="218" t="str">
        <f>IF(OR(IFERROR(SEARCH("Intelligence",INDEX(T04_Classes!$BX$3:$BX$102,MATCH('C01_BaseCalculation'!C27,T04_Classes!$B$3:$B$102,0),1)),0)=0,AND(IFERROR(SEARCH("Intelligence",INDEX(T04_Classes!$BX$3:$BX$102,MATCH('C01_BaseCalculation'!C27,T04_Classes!$B$3:$B$102,0),1)),0)&gt;0,Intelligence&gt;12)),"yes","no")</f>
        <v>yes</v>
      </c>
      <c r="M27" s="218" t="str">
        <f>IF(OR(IFERROR(SEARCH("Wisdom",INDEX(T04_Classes!$BX$3:$BX$102,MATCH('C01_BaseCalculation'!C27,T04_Classes!$B$3:$B$102,0),1)),0)=0,AND(IFERROR(SEARCH("Wisdom",INDEX(T04_Classes!$BX$3:$BX$102,MATCH('C01_BaseCalculation'!C27,T04_Classes!$B$3:$B$102,0),1)),0)&gt;0,Wisdom&gt;12)),"yes","no")</f>
        <v>yes</v>
      </c>
      <c r="N27" s="218" t="str">
        <f>IF(OR(IFERROR(SEARCH("Charisma",INDEX(T04_Classes!$BX$3:$BX$102,MATCH('C01_BaseCalculation'!C27,T04_Classes!$B$3:$B$102,0),1)),0)=0,AND(IFERROR(SEARCH("Charisma",INDEX(T04_Classes!$BX$3:$BX$102,MATCH('C01_BaseCalculation'!C27,T04_Classes!$B$3:$B$102,0),1)),0)&gt;0,Charisma&gt;12)),"yes","no")</f>
        <v>yes</v>
      </c>
      <c r="O27" s="218">
        <f t="shared" si="1"/>
        <v>0</v>
      </c>
      <c r="P27" s="218">
        <f>IF(O27=0,0,COUNTIF($P$15:P26,"&gt;0")+1)</f>
        <v>0</v>
      </c>
      <c r="R27" s="220" t="str">
        <f t="shared" si="6"/>
        <v/>
      </c>
      <c r="S27" s="220" t="str">
        <f t="shared" si="2"/>
        <v/>
      </c>
      <c r="X27" s="219">
        <f t="shared" si="8"/>
        <v>13</v>
      </c>
      <c r="Y27" s="219" t="str">
        <f>IFERROR(INDEX(T01_Races!$B$2:$B$101,MATCH('C01_BaseCalculation'!X27,T01_Races!$C$2:$C$101,0),1),"")</f>
        <v>Aasimar</v>
      </c>
      <c r="Z27" s="217" t="str">
        <f t="shared" si="9"/>
        <v/>
      </c>
      <c r="AA27" s="217" t="str">
        <f>IFERROR(IF(Z27="","",INDEX(T01_Races!$E$2:$E$101,MATCH('C01_BaseCalculation'!Z27,T01_Races!$D$2:$D$101,0),1)),"")</f>
        <v/>
      </c>
      <c r="AB27" s="217" t="str">
        <f>IFERROR(IF(Z27="","",INDEX(T01_Races!$A$2:$A$101,MATCH('C01_BaseCalculation'!Z27,T01_Races!$D$2:$D$101,0),1)),"")</f>
        <v/>
      </c>
    </row>
    <row r="28" spans="2:40" x14ac:dyDescent="0.3">
      <c r="B28" s="218" t="str">
        <f t="shared" si="5"/>
        <v/>
      </c>
      <c r="C28" s="218" t="str">
        <f>IFERROR(INDEX(T04_Classes!$B$3:$B$102,B28,1),"")</f>
        <v/>
      </c>
      <c r="D28" s="218" t="str">
        <f>IF(C28="","",COUNTIF(Character_Creation!$R$62:$T$71,C28)+COUNTIF(Character_Creation!$R$72:$T$81,C28))</f>
        <v/>
      </c>
      <c r="E28" s="218">
        <f t="shared" si="0"/>
        <v>0</v>
      </c>
      <c r="F28" s="218">
        <f>IF(E28=0,0,COUNTIF($F$15:F27,"&gt;0")+1)</f>
        <v>0</v>
      </c>
      <c r="G28" s="218">
        <f>IF(IFERROR(SEARCH("and",INDEX(T04_Classes!$BX$3:$BX$102,MATCH('C01_BaseCalculation'!C28,T04_Classes!$B$3:$B$102,0),1)),0)&gt;1,1,0)</f>
        <v>0</v>
      </c>
      <c r="H28" s="218">
        <f>IF(IFERROR(SEARCH("or",INDEX(T04_Classes!$BX$3:$BX$102,MATCH('C01_BaseCalculation'!C28,T04_Classes!$B$3:$B$102,0),1)),0)&gt;1,1,0)</f>
        <v>0</v>
      </c>
      <c r="I28" s="218" t="str">
        <f>IF(OR(IFERROR(SEARCH("Strength",INDEX(T04_Classes!$BX$3:$BX$102,MATCH('C01_BaseCalculation'!C28,T04_Classes!$B$3:$B$102,0),1)),0)=0,AND(IFERROR(SEARCH("Strength",INDEX(T04_Classes!$BX$3:$BX$102,MATCH('C01_BaseCalculation'!C28,T04_Classes!$B$3:$B$102,0),1)),0)&gt;0,Strength&gt;12)),"yes","no")</f>
        <v>yes</v>
      </c>
      <c r="J28" s="218" t="str">
        <f>IF(OR(IFERROR(SEARCH("Dexterity",INDEX(T04_Classes!$BX$3:$BX$102,MATCH('C01_BaseCalculation'!C28,T04_Classes!$B$3:$B$102,0),1)),0)=0,AND(IFERROR(SEARCH("Dexterity",INDEX(T04_Classes!$BX$3:$BX$102,MATCH('C01_BaseCalculation'!C28,T04_Classes!$B$3:$B$102,0),1)),0)&gt;0,Dexterity&gt;12)),"yes","no")</f>
        <v>yes</v>
      </c>
      <c r="K28" s="218" t="str">
        <f>IF(OR(IFERROR(SEARCH("Constitution",INDEX(T04_Classes!$BX$3:$BX$102,MATCH('C01_BaseCalculation'!C28,T04_Classes!$B$3:$B$102,0),1)),0)=0,AND(IFERROR(SEARCH("Constitution",INDEX(T04_Classes!$BX$3:$BX$102,MATCH('C01_BaseCalculation'!C28,T04_Classes!$B$3:$B$102,0),1)),0)&gt;0,Constitution&gt;12)),"yes","no")</f>
        <v>yes</v>
      </c>
      <c r="L28" s="218" t="str">
        <f>IF(OR(IFERROR(SEARCH("Intelligence",INDEX(T04_Classes!$BX$3:$BX$102,MATCH('C01_BaseCalculation'!C28,T04_Classes!$B$3:$B$102,0),1)),0)=0,AND(IFERROR(SEARCH("Intelligence",INDEX(T04_Classes!$BX$3:$BX$102,MATCH('C01_BaseCalculation'!C28,T04_Classes!$B$3:$B$102,0),1)),0)&gt;0,Intelligence&gt;12)),"yes","no")</f>
        <v>yes</v>
      </c>
      <c r="M28" s="218" t="str">
        <f>IF(OR(IFERROR(SEARCH("Wisdom",INDEX(T04_Classes!$BX$3:$BX$102,MATCH('C01_BaseCalculation'!C28,T04_Classes!$B$3:$B$102,0),1)),0)=0,AND(IFERROR(SEARCH("Wisdom",INDEX(T04_Classes!$BX$3:$BX$102,MATCH('C01_BaseCalculation'!C28,T04_Classes!$B$3:$B$102,0),1)),0)&gt;0,Wisdom&gt;12)),"yes","no")</f>
        <v>yes</v>
      </c>
      <c r="N28" s="218" t="str">
        <f>IF(OR(IFERROR(SEARCH("Charisma",INDEX(T04_Classes!$BX$3:$BX$102,MATCH('C01_BaseCalculation'!C28,T04_Classes!$B$3:$B$102,0),1)),0)=0,AND(IFERROR(SEARCH("Charisma",INDEX(T04_Classes!$BX$3:$BX$102,MATCH('C01_BaseCalculation'!C28,T04_Classes!$B$3:$B$102,0),1)),0)&gt;0,Charisma&gt;12)),"yes","no")</f>
        <v>yes</v>
      </c>
      <c r="O28" s="218">
        <f t="shared" si="1"/>
        <v>0</v>
      </c>
      <c r="P28" s="218">
        <f>IF(O28=0,0,COUNTIF($P$15:P27,"&gt;0")+1)</f>
        <v>0</v>
      </c>
      <c r="R28" s="220" t="str">
        <f t="shared" si="6"/>
        <v/>
      </c>
      <c r="S28" s="220" t="str">
        <f t="shared" si="2"/>
        <v/>
      </c>
      <c r="X28" s="219">
        <f t="shared" si="8"/>
        <v>14</v>
      </c>
      <c r="Y28" s="219" t="str">
        <f>IFERROR(INDEX(T01_Races!$B$2:$B$101,MATCH('C01_BaseCalculation'!X28,T01_Races!$C$2:$C$101,0),1),"")</f>
        <v>Aarakocra</v>
      </c>
      <c r="Z28" s="217" t="str">
        <f t="shared" si="9"/>
        <v/>
      </c>
      <c r="AA28" s="217" t="str">
        <f>IFERROR(IF(Z28="","",INDEX(T01_Races!$E$2:$E$101,MATCH('C01_BaseCalculation'!Z28,T01_Races!$D$2:$D$101,0),1)),"")</f>
        <v/>
      </c>
      <c r="AB28" s="217" t="str">
        <f>IFERROR(IF(Z28="","",INDEX(T01_Races!$A$2:$A$101,MATCH('C01_BaseCalculation'!Z28,T01_Races!$D$2:$D$101,0),1)),"")</f>
        <v/>
      </c>
    </row>
    <row r="29" spans="2:40" x14ac:dyDescent="0.3">
      <c r="B29" s="218" t="str">
        <f t="shared" si="5"/>
        <v/>
      </c>
      <c r="C29" s="218" t="str">
        <f>IFERROR(INDEX(T04_Classes!$B$3:$B$102,B29,1),"")</f>
        <v/>
      </c>
      <c r="D29" s="218" t="str">
        <f>IF(C29="","",COUNTIF(Character_Creation!$R$62:$T$71,C29)+COUNTIF(Character_Creation!$R$72:$T$81,C29))</f>
        <v/>
      </c>
      <c r="E29" s="218">
        <f t="shared" si="0"/>
        <v>0</v>
      </c>
      <c r="F29" s="218">
        <f>IF(E29=0,0,COUNTIF($F$15:F28,"&gt;0")+1)</f>
        <v>0</v>
      </c>
      <c r="G29" s="218">
        <f>IF(IFERROR(SEARCH("and",INDEX(T04_Classes!$BX$3:$BX$102,MATCH('C01_BaseCalculation'!C29,T04_Classes!$B$3:$B$102,0),1)),0)&gt;1,1,0)</f>
        <v>0</v>
      </c>
      <c r="H29" s="218">
        <f>IF(IFERROR(SEARCH("or",INDEX(T04_Classes!$BX$3:$BX$102,MATCH('C01_BaseCalculation'!C29,T04_Classes!$B$3:$B$102,0),1)),0)&gt;1,1,0)</f>
        <v>0</v>
      </c>
      <c r="I29" s="218" t="str">
        <f>IF(OR(IFERROR(SEARCH("Strength",INDEX(T04_Classes!$BX$3:$BX$102,MATCH('C01_BaseCalculation'!C29,T04_Classes!$B$3:$B$102,0),1)),0)=0,AND(IFERROR(SEARCH("Strength",INDEX(T04_Classes!$BX$3:$BX$102,MATCH('C01_BaseCalculation'!C29,T04_Classes!$B$3:$B$102,0),1)),0)&gt;0,Strength&gt;12)),"yes","no")</f>
        <v>yes</v>
      </c>
      <c r="J29" s="218" t="str">
        <f>IF(OR(IFERROR(SEARCH("Dexterity",INDEX(T04_Classes!$BX$3:$BX$102,MATCH('C01_BaseCalculation'!C29,T04_Classes!$B$3:$B$102,0),1)),0)=0,AND(IFERROR(SEARCH("Dexterity",INDEX(T04_Classes!$BX$3:$BX$102,MATCH('C01_BaseCalculation'!C29,T04_Classes!$B$3:$B$102,0),1)),0)&gt;0,Dexterity&gt;12)),"yes","no")</f>
        <v>yes</v>
      </c>
      <c r="K29" s="218" t="str">
        <f>IF(OR(IFERROR(SEARCH("Constitution",INDEX(T04_Classes!$BX$3:$BX$102,MATCH('C01_BaseCalculation'!C29,T04_Classes!$B$3:$B$102,0),1)),0)=0,AND(IFERROR(SEARCH("Constitution",INDEX(T04_Classes!$BX$3:$BX$102,MATCH('C01_BaseCalculation'!C29,T04_Classes!$B$3:$B$102,0),1)),0)&gt;0,Constitution&gt;12)),"yes","no")</f>
        <v>yes</v>
      </c>
      <c r="L29" s="218" t="str">
        <f>IF(OR(IFERROR(SEARCH("Intelligence",INDEX(T04_Classes!$BX$3:$BX$102,MATCH('C01_BaseCalculation'!C29,T04_Classes!$B$3:$B$102,0),1)),0)=0,AND(IFERROR(SEARCH("Intelligence",INDEX(T04_Classes!$BX$3:$BX$102,MATCH('C01_BaseCalculation'!C29,T04_Classes!$B$3:$B$102,0),1)),0)&gt;0,Intelligence&gt;12)),"yes","no")</f>
        <v>yes</v>
      </c>
      <c r="M29" s="218" t="str">
        <f>IF(OR(IFERROR(SEARCH("Wisdom",INDEX(T04_Classes!$BX$3:$BX$102,MATCH('C01_BaseCalculation'!C29,T04_Classes!$B$3:$B$102,0),1)),0)=0,AND(IFERROR(SEARCH("Wisdom",INDEX(T04_Classes!$BX$3:$BX$102,MATCH('C01_BaseCalculation'!C29,T04_Classes!$B$3:$B$102,0),1)),0)&gt;0,Wisdom&gt;12)),"yes","no")</f>
        <v>yes</v>
      </c>
      <c r="N29" s="218" t="str">
        <f>IF(OR(IFERROR(SEARCH("Charisma",INDEX(T04_Classes!$BX$3:$BX$102,MATCH('C01_BaseCalculation'!C29,T04_Classes!$B$3:$B$102,0),1)),0)=0,AND(IFERROR(SEARCH("Charisma",INDEX(T04_Classes!$BX$3:$BX$102,MATCH('C01_BaseCalculation'!C29,T04_Classes!$B$3:$B$102,0),1)),0)&gt;0,Charisma&gt;12)),"yes","no")</f>
        <v>yes</v>
      </c>
      <c r="O29" s="218">
        <f t="shared" si="1"/>
        <v>0</v>
      </c>
      <c r="P29" s="218">
        <f>IF(O29=0,0,COUNTIF($P$15:P28,"&gt;0")+1)</f>
        <v>0</v>
      </c>
      <c r="R29" s="220" t="str">
        <f t="shared" si="6"/>
        <v/>
      </c>
      <c r="S29" s="220" t="str">
        <f t="shared" si="2"/>
        <v/>
      </c>
      <c r="X29" s="219">
        <f t="shared" si="8"/>
        <v>15</v>
      </c>
      <c r="Y29" s="219" t="str">
        <f>IFERROR(INDEX(T01_Races!$B$2:$B$101,MATCH('C01_BaseCalculation'!X29,T01_Races!$C$2:$C$101,0),1),"")</f>
        <v>Bullywug</v>
      </c>
      <c r="Z29" s="217" t="str">
        <f t="shared" si="9"/>
        <v/>
      </c>
      <c r="AA29" s="217" t="str">
        <f>IFERROR(IF(Z29="","",INDEX(T01_Races!$E$2:$E$101,MATCH('C01_BaseCalculation'!Z29,T01_Races!$D$2:$D$101,0),1)),"")</f>
        <v/>
      </c>
      <c r="AB29" s="217" t="str">
        <f>IFERROR(IF(Z29="","",INDEX(T01_Races!$A$2:$A$101,MATCH('C01_BaseCalculation'!Z29,T01_Races!$D$2:$D$101,0),1)),"")</f>
        <v/>
      </c>
    </row>
    <row r="30" spans="2:40" x14ac:dyDescent="0.3">
      <c r="B30" s="218" t="str">
        <f t="shared" si="5"/>
        <v/>
      </c>
      <c r="C30" s="218" t="str">
        <f>IFERROR(INDEX(T04_Classes!$B$3:$B$102,B30,1),"")</f>
        <v/>
      </c>
      <c r="D30" s="218" t="str">
        <f>IF(C30="","",COUNTIF(Character_Creation!$R$62:$T$71,C30)+COUNTIF(Character_Creation!$R$72:$T$81,C30))</f>
        <v/>
      </c>
      <c r="E30" s="218">
        <f t="shared" si="0"/>
        <v>0</v>
      </c>
      <c r="F30" s="218">
        <f>IF(E30=0,0,COUNTIF($F$15:F29,"&gt;0")+1)</f>
        <v>0</v>
      </c>
      <c r="G30" s="218">
        <f>IF(IFERROR(SEARCH("and",INDEX(T04_Classes!$BX$3:$BX$102,MATCH('C01_BaseCalculation'!C30,T04_Classes!$B$3:$B$102,0),1)),0)&gt;1,1,0)</f>
        <v>0</v>
      </c>
      <c r="H30" s="218">
        <f>IF(IFERROR(SEARCH("or",INDEX(T04_Classes!$BX$3:$BX$102,MATCH('C01_BaseCalculation'!C30,T04_Classes!$B$3:$B$102,0),1)),0)&gt;1,1,0)</f>
        <v>0</v>
      </c>
      <c r="I30" s="218" t="str">
        <f>IF(OR(IFERROR(SEARCH("Strength",INDEX(T04_Classes!$BX$3:$BX$102,MATCH('C01_BaseCalculation'!C30,T04_Classes!$B$3:$B$102,0),1)),0)=0,AND(IFERROR(SEARCH("Strength",INDEX(T04_Classes!$BX$3:$BX$102,MATCH('C01_BaseCalculation'!C30,T04_Classes!$B$3:$B$102,0),1)),0)&gt;0,Strength&gt;12)),"yes","no")</f>
        <v>yes</v>
      </c>
      <c r="J30" s="218" t="str">
        <f>IF(OR(IFERROR(SEARCH("Dexterity",INDEX(T04_Classes!$BX$3:$BX$102,MATCH('C01_BaseCalculation'!C30,T04_Classes!$B$3:$B$102,0),1)),0)=0,AND(IFERROR(SEARCH("Dexterity",INDEX(T04_Classes!$BX$3:$BX$102,MATCH('C01_BaseCalculation'!C30,T04_Classes!$B$3:$B$102,0),1)),0)&gt;0,Dexterity&gt;12)),"yes","no")</f>
        <v>yes</v>
      </c>
      <c r="K30" s="218" t="str">
        <f>IF(OR(IFERROR(SEARCH("Constitution",INDEX(T04_Classes!$BX$3:$BX$102,MATCH('C01_BaseCalculation'!C30,T04_Classes!$B$3:$B$102,0),1)),0)=0,AND(IFERROR(SEARCH("Constitution",INDEX(T04_Classes!$BX$3:$BX$102,MATCH('C01_BaseCalculation'!C30,T04_Classes!$B$3:$B$102,0),1)),0)&gt;0,Constitution&gt;12)),"yes","no")</f>
        <v>yes</v>
      </c>
      <c r="L30" s="218" t="str">
        <f>IF(OR(IFERROR(SEARCH("Intelligence",INDEX(T04_Classes!$BX$3:$BX$102,MATCH('C01_BaseCalculation'!C30,T04_Classes!$B$3:$B$102,0),1)),0)=0,AND(IFERROR(SEARCH("Intelligence",INDEX(T04_Classes!$BX$3:$BX$102,MATCH('C01_BaseCalculation'!C30,T04_Classes!$B$3:$B$102,0),1)),0)&gt;0,Intelligence&gt;12)),"yes","no")</f>
        <v>yes</v>
      </c>
      <c r="M30" s="218" t="str">
        <f>IF(OR(IFERROR(SEARCH("Wisdom",INDEX(T04_Classes!$BX$3:$BX$102,MATCH('C01_BaseCalculation'!C30,T04_Classes!$B$3:$B$102,0),1)),0)=0,AND(IFERROR(SEARCH("Wisdom",INDEX(T04_Classes!$BX$3:$BX$102,MATCH('C01_BaseCalculation'!C30,T04_Classes!$B$3:$B$102,0),1)),0)&gt;0,Wisdom&gt;12)),"yes","no")</f>
        <v>yes</v>
      </c>
      <c r="N30" s="218" t="str">
        <f>IF(OR(IFERROR(SEARCH("Charisma",INDEX(T04_Classes!$BX$3:$BX$102,MATCH('C01_BaseCalculation'!C30,T04_Classes!$B$3:$B$102,0),1)),0)=0,AND(IFERROR(SEARCH("Charisma",INDEX(T04_Classes!$BX$3:$BX$102,MATCH('C01_BaseCalculation'!C30,T04_Classes!$B$3:$B$102,0),1)),0)&gt;0,Charisma&gt;12)),"yes","no")</f>
        <v>yes</v>
      </c>
      <c r="O30" s="218">
        <f t="shared" si="1"/>
        <v>0</v>
      </c>
      <c r="P30" s="218">
        <f>IF(O30=0,0,COUNTIF($P$15:P29,"&gt;0")+1)</f>
        <v>0</v>
      </c>
      <c r="R30" s="220" t="str">
        <f t="shared" si="6"/>
        <v/>
      </c>
      <c r="S30" s="220" t="str">
        <f t="shared" si="2"/>
        <v/>
      </c>
      <c r="X30" s="219">
        <f t="shared" si="8"/>
        <v>16</v>
      </c>
      <c r="Y30" s="219" t="str">
        <f>IFERROR(INDEX(T01_Races!$B$2:$B$101,MATCH('C01_BaseCalculation'!X30,T01_Races!$C$2:$C$101,0),1),"")</f>
        <v>Gnol</v>
      </c>
      <c r="Z30" s="217" t="str">
        <f t="shared" si="9"/>
        <v/>
      </c>
      <c r="AA30" s="217" t="str">
        <f>IFERROR(IF(Z30="","",INDEX(T01_Races!$E$2:$E$101,MATCH('C01_BaseCalculation'!Z30,T01_Races!$D$2:$D$101,0),1)),"")</f>
        <v/>
      </c>
      <c r="AB30" s="217" t="str">
        <f>IFERROR(IF(Z30="","",INDEX(T01_Races!$A$2:$A$101,MATCH('C01_BaseCalculation'!Z30,T01_Races!$D$2:$D$101,0),1)),"")</f>
        <v/>
      </c>
    </row>
    <row r="31" spans="2:40" x14ac:dyDescent="0.3">
      <c r="B31" s="218" t="str">
        <f t="shared" si="5"/>
        <v/>
      </c>
      <c r="C31" s="218" t="str">
        <f>IFERROR(INDEX(T04_Classes!$B$3:$B$102,B31,1),"")</f>
        <v/>
      </c>
      <c r="D31" s="218" t="str">
        <f>IF(C31="","",COUNTIF(Character_Creation!$R$62:$T$71,C31)+COUNTIF(Character_Creation!$R$72:$T$81,C31))</f>
        <v/>
      </c>
      <c r="E31" s="218">
        <f t="shared" si="0"/>
        <v>0</v>
      </c>
      <c r="F31" s="218">
        <f>IF(E31=0,0,COUNTIF($F$15:F30,"&gt;0")+1)</f>
        <v>0</v>
      </c>
      <c r="G31" s="218">
        <f>IF(IFERROR(SEARCH("and",INDEX(T04_Classes!$BX$3:$BX$102,MATCH('C01_BaseCalculation'!C31,T04_Classes!$B$3:$B$102,0),1)),0)&gt;1,1,0)</f>
        <v>0</v>
      </c>
      <c r="H31" s="218">
        <f>IF(IFERROR(SEARCH("or",INDEX(T04_Classes!$BX$3:$BX$102,MATCH('C01_BaseCalculation'!C31,T04_Classes!$B$3:$B$102,0),1)),0)&gt;1,1,0)</f>
        <v>0</v>
      </c>
      <c r="I31" s="218" t="str">
        <f>IF(OR(IFERROR(SEARCH("Strength",INDEX(T04_Classes!$BX$3:$BX$102,MATCH('C01_BaseCalculation'!C31,T04_Classes!$B$3:$B$102,0),1)),0)=0,AND(IFERROR(SEARCH("Strength",INDEX(T04_Classes!$BX$3:$BX$102,MATCH('C01_BaseCalculation'!C31,T04_Classes!$B$3:$B$102,0),1)),0)&gt;0,Strength&gt;12)),"yes","no")</f>
        <v>yes</v>
      </c>
      <c r="J31" s="218" t="str">
        <f>IF(OR(IFERROR(SEARCH("Dexterity",INDEX(T04_Classes!$BX$3:$BX$102,MATCH('C01_BaseCalculation'!C31,T04_Classes!$B$3:$B$102,0),1)),0)=0,AND(IFERROR(SEARCH("Dexterity",INDEX(T04_Classes!$BX$3:$BX$102,MATCH('C01_BaseCalculation'!C31,T04_Classes!$B$3:$B$102,0),1)),0)&gt;0,Dexterity&gt;12)),"yes","no")</f>
        <v>yes</v>
      </c>
      <c r="K31" s="218" t="str">
        <f>IF(OR(IFERROR(SEARCH("Constitution",INDEX(T04_Classes!$BX$3:$BX$102,MATCH('C01_BaseCalculation'!C31,T04_Classes!$B$3:$B$102,0),1)),0)=0,AND(IFERROR(SEARCH("Constitution",INDEX(T04_Classes!$BX$3:$BX$102,MATCH('C01_BaseCalculation'!C31,T04_Classes!$B$3:$B$102,0),1)),0)&gt;0,Constitution&gt;12)),"yes","no")</f>
        <v>yes</v>
      </c>
      <c r="L31" s="218" t="str">
        <f>IF(OR(IFERROR(SEARCH("Intelligence",INDEX(T04_Classes!$BX$3:$BX$102,MATCH('C01_BaseCalculation'!C31,T04_Classes!$B$3:$B$102,0),1)),0)=0,AND(IFERROR(SEARCH("Intelligence",INDEX(T04_Classes!$BX$3:$BX$102,MATCH('C01_BaseCalculation'!C31,T04_Classes!$B$3:$B$102,0),1)),0)&gt;0,Intelligence&gt;12)),"yes","no")</f>
        <v>yes</v>
      </c>
      <c r="M31" s="218" t="str">
        <f>IF(OR(IFERROR(SEARCH("Wisdom",INDEX(T04_Classes!$BX$3:$BX$102,MATCH('C01_BaseCalculation'!C31,T04_Classes!$B$3:$B$102,0),1)),0)=0,AND(IFERROR(SEARCH("Wisdom",INDEX(T04_Classes!$BX$3:$BX$102,MATCH('C01_BaseCalculation'!C31,T04_Classes!$B$3:$B$102,0),1)),0)&gt;0,Wisdom&gt;12)),"yes","no")</f>
        <v>yes</v>
      </c>
      <c r="N31" s="218" t="str">
        <f>IF(OR(IFERROR(SEARCH("Charisma",INDEX(T04_Classes!$BX$3:$BX$102,MATCH('C01_BaseCalculation'!C31,T04_Classes!$B$3:$B$102,0),1)),0)=0,AND(IFERROR(SEARCH("Charisma",INDEX(T04_Classes!$BX$3:$BX$102,MATCH('C01_BaseCalculation'!C31,T04_Classes!$B$3:$B$102,0),1)),0)&gt;0,Charisma&gt;12)),"yes","no")</f>
        <v>yes</v>
      </c>
      <c r="O31" s="218">
        <f t="shared" si="1"/>
        <v>0</v>
      </c>
      <c r="P31" s="218">
        <f>IF(O31=0,0,COUNTIF($P$15:P30,"&gt;0")+1)</f>
        <v>0</v>
      </c>
      <c r="R31" s="220" t="str">
        <f t="shared" si="6"/>
        <v/>
      </c>
      <c r="S31" s="220" t="str">
        <f t="shared" si="2"/>
        <v/>
      </c>
      <c r="X31" s="219">
        <f t="shared" si="8"/>
        <v>17</v>
      </c>
      <c r="Y31" s="219" t="str">
        <f>IFERROR(INDEX(T01_Races!$B$2:$B$101,MATCH('C01_BaseCalculation'!X31,T01_Races!$C$2:$C$101,0),1),"")</f>
        <v>Grimlock</v>
      </c>
      <c r="Z31" s="217" t="str">
        <f t="shared" si="9"/>
        <v/>
      </c>
      <c r="AA31" s="217" t="str">
        <f>IFERROR(IF(Z31="","",INDEX(T01_Races!$E$2:$E$101,MATCH('C01_BaseCalculation'!Z31,T01_Races!$D$2:$D$101,0),1)),"")</f>
        <v/>
      </c>
      <c r="AB31" s="217" t="str">
        <f>IFERROR(IF(Z31="","",INDEX(T01_Races!$A$2:$A$101,MATCH('C01_BaseCalculation'!Z31,T01_Races!$D$2:$D$101,0),1)),"")</f>
        <v/>
      </c>
    </row>
    <row r="32" spans="2:40" x14ac:dyDescent="0.3">
      <c r="B32" s="218" t="str">
        <f t="shared" si="5"/>
        <v/>
      </c>
      <c r="C32" s="218" t="str">
        <f>IFERROR(INDEX(T04_Classes!$B$3:$B$102,B32,1),"")</f>
        <v/>
      </c>
      <c r="D32" s="218" t="str">
        <f>IF(C32="","",COUNTIF(Character_Creation!$R$62:$T$71,C32)+COUNTIF(Character_Creation!$R$72:$T$81,C32))</f>
        <v/>
      </c>
      <c r="E32" s="218">
        <f t="shared" si="0"/>
        <v>0</v>
      </c>
      <c r="F32" s="218">
        <f>IF(E32=0,0,COUNTIF($F$15:F31,"&gt;0")+1)</f>
        <v>0</v>
      </c>
      <c r="G32" s="218">
        <f>IF(IFERROR(SEARCH("and",INDEX(T04_Classes!$BX$3:$BX$102,MATCH('C01_BaseCalculation'!C32,T04_Classes!$B$3:$B$102,0),1)),0)&gt;1,1,0)</f>
        <v>0</v>
      </c>
      <c r="H32" s="218">
        <f>IF(IFERROR(SEARCH("or",INDEX(T04_Classes!$BX$3:$BX$102,MATCH('C01_BaseCalculation'!C32,T04_Classes!$B$3:$B$102,0),1)),0)&gt;1,1,0)</f>
        <v>0</v>
      </c>
      <c r="I32" s="218" t="str">
        <f>IF(OR(IFERROR(SEARCH("Strength",INDEX(T04_Classes!$BX$3:$BX$102,MATCH('C01_BaseCalculation'!C32,T04_Classes!$B$3:$B$102,0),1)),0)=0,AND(IFERROR(SEARCH("Strength",INDEX(T04_Classes!$BX$3:$BX$102,MATCH('C01_BaseCalculation'!C32,T04_Classes!$B$3:$B$102,0),1)),0)&gt;0,Strength&gt;12)),"yes","no")</f>
        <v>yes</v>
      </c>
      <c r="J32" s="218" t="str">
        <f>IF(OR(IFERROR(SEARCH("Dexterity",INDEX(T04_Classes!$BX$3:$BX$102,MATCH('C01_BaseCalculation'!C32,T04_Classes!$B$3:$B$102,0),1)),0)=0,AND(IFERROR(SEARCH("Dexterity",INDEX(T04_Classes!$BX$3:$BX$102,MATCH('C01_BaseCalculation'!C32,T04_Classes!$B$3:$B$102,0),1)),0)&gt;0,Dexterity&gt;12)),"yes","no")</f>
        <v>yes</v>
      </c>
      <c r="K32" s="218" t="str">
        <f>IF(OR(IFERROR(SEARCH("Constitution",INDEX(T04_Classes!$BX$3:$BX$102,MATCH('C01_BaseCalculation'!C32,T04_Classes!$B$3:$B$102,0),1)),0)=0,AND(IFERROR(SEARCH("Constitution",INDEX(T04_Classes!$BX$3:$BX$102,MATCH('C01_BaseCalculation'!C32,T04_Classes!$B$3:$B$102,0),1)),0)&gt;0,Constitution&gt;12)),"yes","no")</f>
        <v>yes</v>
      </c>
      <c r="L32" s="218" t="str">
        <f>IF(OR(IFERROR(SEARCH("Intelligence",INDEX(T04_Classes!$BX$3:$BX$102,MATCH('C01_BaseCalculation'!C32,T04_Classes!$B$3:$B$102,0),1)),0)=0,AND(IFERROR(SEARCH("Intelligence",INDEX(T04_Classes!$BX$3:$BX$102,MATCH('C01_BaseCalculation'!C32,T04_Classes!$B$3:$B$102,0),1)),0)&gt;0,Intelligence&gt;12)),"yes","no")</f>
        <v>yes</v>
      </c>
      <c r="M32" s="218" t="str">
        <f>IF(OR(IFERROR(SEARCH("Wisdom",INDEX(T04_Classes!$BX$3:$BX$102,MATCH('C01_BaseCalculation'!C32,T04_Classes!$B$3:$B$102,0),1)),0)=0,AND(IFERROR(SEARCH("Wisdom",INDEX(T04_Classes!$BX$3:$BX$102,MATCH('C01_BaseCalculation'!C32,T04_Classes!$B$3:$B$102,0),1)),0)&gt;0,Wisdom&gt;12)),"yes","no")</f>
        <v>yes</v>
      </c>
      <c r="N32" s="218" t="str">
        <f>IF(OR(IFERROR(SEARCH("Charisma",INDEX(T04_Classes!$BX$3:$BX$102,MATCH('C01_BaseCalculation'!C32,T04_Classes!$B$3:$B$102,0),1)),0)=0,AND(IFERROR(SEARCH("Charisma",INDEX(T04_Classes!$BX$3:$BX$102,MATCH('C01_BaseCalculation'!C32,T04_Classes!$B$3:$B$102,0),1)),0)&gt;0,Charisma&gt;12)),"yes","no")</f>
        <v>yes</v>
      </c>
      <c r="O32" s="218">
        <f t="shared" si="1"/>
        <v>0</v>
      </c>
      <c r="P32" s="218">
        <f>IF(O32=0,0,COUNTIF($P$15:P31,"&gt;0")+1)</f>
        <v>0</v>
      </c>
      <c r="R32" s="220" t="str">
        <f t="shared" si="6"/>
        <v/>
      </c>
      <c r="S32" s="220" t="str">
        <f t="shared" si="2"/>
        <v/>
      </c>
      <c r="X32" s="219">
        <f t="shared" si="8"/>
        <v>18</v>
      </c>
      <c r="Y32" s="219" t="str">
        <f>IFERROR(INDEX(T01_Races!$B$2:$B$101,MATCH('C01_BaseCalculation'!X32,T01_Races!$C$2:$C$101,0),1),"")</f>
        <v>Hobgoblin</v>
      </c>
      <c r="Z32" s="217" t="str">
        <f t="shared" si="9"/>
        <v/>
      </c>
      <c r="AA32" s="217" t="str">
        <f>IFERROR(IF(Z32="","",INDEX(T01_Races!$E$2:$E$101,MATCH('C01_BaseCalculation'!Z32,T01_Races!$D$2:$D$101,0),1)),"")</f>
        <v/>
      </c>
      <c r="AB32" s="217" t="str">
        <f>IFERROR(IF(Z32="","",INDEX(T01_Races!$A$2:$A$101,MATCH('C01_BaseCalculation'!Z32,T01_Races!$D$2:$D$101,0),1)),"")</f>
        <v/>
      </c>
    </row>
    <row r="33" spans="2:66" x14ac:dyDescent="0.3">
      <c r="B33" s="218" t="str">
        <f t="shared" si="5"/>
        <v/>
      </c>
      <c r="C33" s="218" t="str">
        <f>IFERROR(INDEX(T04_Classes!$B$3:$B$102,B33,1),"")</f>
        <v/>
      </c>
      <c r="D33" s="218" t="str">
        <f>IF(C33="","",COUNTIF(Character_Creation!$R$62:$T$71,C33)+COUNTIF(Character_Creation!$R$72:$T$81,C33))</f>
        <v/>
      </c>
      <c r="E33" s="218">
        <f t="shared" si="0"/>
        <v>0</v>
      </c>
      <c r="F33" s="218">
        <f>IF(E33=0,0,COUNTIF($F$15:F32,"&gt;0")+1)</f>
        <v>0</v>
      </c>
      <c r="G33" s="218">
        <f>IF(IFERROR(SEARCH("and",INDEX(T04_Classes!$BX$3:$BX$102,MATCH('C01_BaseCalculation'!C33,T04_Classes!$B$3:$B$102,0),1)),0)&gt;1,1,0)</f>
        <v>0</v>
      </c>
      <c r="H33" s="218">
        <f>IF(IFERROR(SEARCH("or",INDEX(T04_Classes!$BX$3:$BX$102,MATCH('C01_BaseCalculation'!C33,T04_Classes!$B$3:$B$102,0),1)),0)&gt;1,1,0)</f>
        <v>0</v>
      </c>
      <c r="I33" s="218" t="str">
        <f>IF(OR(IFERROR(SEARCH("Strength",INDEX(T04_Classes!$BX$3:$BX$102,MATCH('C01_BaseCalculation'!C33,T04_Classes!$B$3:$B$102,0),1)),0)=0,AND(IFERROR(SEARCH("Strength",INDEX(T04_Classes!$BX$3:$BX$102,MATCH('C01_BaseCalculation'!C33,T04_Classes!$B$3:$B$102,0),1)),0)&gt;0,Strength&gt;12)),"yes","no")</f>
        <v>yes</v>
      </c>
      <c r="J33" s="218" t="str">
        <f>IF(OR(IFERROR(SEARCH("Dexterity",INDEX(T04_Classes!$BX$3:$BX$102,MATCH('C01_BaseCalculation'!C33,T04_Classes!$B$3:$B$102,0),1)),0)=0,AND(IFERROR(SEARCH("Dexterity",INDEX(T04_Classes!$BX$3:$BX$102,MATCH('C01_BaseCalculation'!C33,T04_Classes!$B$3:$B$102,0),1)),0)&gt;0,Dexterity&gt;12)),"yes","no")</f>
        <v>yes</v>
      </c>
      <c r="K33" s="218" t="str">
        <f>IF(OR(IFERROR(SEARCH("Constitution",INDEX(T04_Classes!$BX$3:$BX$102,MATCH('C01_BaseCalculation'!C33,T04_Classes!$B$3:$B$102,0),1)),0)=0,AND(IFERROR(SEARCH("Constitution",INDEX(T04_Classes!$BX$3:$BX$102,MATCH('C01_BaseCalculation'!C33,T04_Classes!$B$3:$B$102,0),1)),0)&gt;0,Constitution&gt;12)),"yes","no")</f>
        <v>yes</v>
      </c>
      <c r="L33" s="218" t="str">
        <f>IF(OR(IFERROR(SEARCH("Intelligence",INDEX(T04_Classes!$BX$3:$BX$102,MATCH('C01_BaseCalculation'!C33,T04_Classes!$B$3:$B$102,0),1)),0)=0,AND(IFERROR(SEARCH("Intelligence",INDEX(T04_Classes!$BX$3:$BX$102,MATCH('C01_BaseCalculation'!C33,T04_Classes!$B$3:$B$102,0),1)),0)&gt;0,Intelligence&gt;12)),"yes","no")</f>
        <v>yes</v>
      </c>
      <c r="M33" s="218" t="str">
        <f>IF(OR(IFERROR(SEARCH("Wisdom",INDEX(T04_Classes!$BX$3:$BX$102,MATCH('C01_BaseCalculation'!C33,T04_Classes!$B$3:$B$102,0),1)),0)=0,AND(IFERROR(SEARCH("Wisdom",INDEX(T04_Classes!$BX$3:$BX$102,MATCH('C01_BaseCalculation'!C33,T04_Classes!$B$3:$B$102,0),1)),0)&gt;0,Wisdom&gt;12)),"yes","no")</f>
        <v>yes</v>
      </c>
      <c r="N33" s="218" t="str">
        <f>IF(OR(IFERROR(SEARCH("Charisma",INDEX(T04_Classes!$BX$3:$BX$102,MATCH('C01_BaseCalculation'!C33,T04_Classes!$B$3:$B$102,0),1)),0)=0,AND(IFERROR(SEARCH("Charisma",INDEX(T04_Classes!$BX$3:$BX$102,MATCH('C01_BaseCalculation'!C33,T04_Classes!$B$3:$B$102,0),1)),0)&gt;0,Charisma&gt;12)),"yes","no")</f>
        <v>yes</v>
      </c>
      <c r="O33" s="218">
        <f t="shared" si="1"/>
        <v>0</v>
      </c>
      <c r="P33" s="218">
        <f>IF(O33=0,0,COUNTIF($P$15:P32,"&gt;0")+1)</f>
        <v>0</v>
      </c>
      <c r="R33" s="220" t="str">
        <f t="shared" si="6"/>
        <v/>
      </c>
      <c r="S33" s="220" t="str">
        <f t="shared" si="2"/>
        <v/>
      </c>
      <c r="X33" s="219">
        <f t="shared" si="8"/>
        <v>19</v>
      </c>
      <c r="Y33" s="219" t="str">
        <f>IFERROR(INDEX(T01_Races!$B$2:$B$101,MATCH('C01_BaseCalculation'!X33,T01_Races!$C$2:$C$101,0),1),"")</f>
        <v>Kenku</v>
      </c>
      <c r="Z33" s="217" t="str">
        <f t="shared" si="9"/>
        <v/>
      </c>
      <c r="AA33" s="217" t="str">
        <f>IFERROR(IF(Z33="","",INDEX(T01_Races!$E$2:$E$101,MATCH('C01_BaseCalculation'!Z33,T01_Races!$D$2:$D$101,0),1)),"")</f>
        <v/>
      </c>
      <c r="AB33" s="217" t="str">
        <f>IFERROR(IF(Z33="","",INDEX(T01_Races!$A$2:$A$101,MATCH('C01_BaseCalculation'!Z33,T01_Races!$D$2:$D$101,0),1)),"")</f>
        <v/>
      </c>
    </row>
    <row r="34" spans="2:66" x14ac:dyDescent="0.3">
      <c r="B34" s="218" t="str">
        <f t="shared" si="5"/>
        <v/>
      </c>
      <c r="C34" s="218" t="str">
        <f>IFERROR(INDEX(T04_Classes!$B$3:$B$102,B34,1),"")</f>
        <v/>
      </c>
      <c r="D34" s="218" t="str">
        <f>IF(C34="","",COUNTIF(Character_Creation!$R$62:$T$71,C34)+COUNTIF(Character_Creation!$R$72:$T$81,C34))</f>
        <v/>
      </c>
      <c r="E34" s="218">
        <f t="shared" si="0"/>
        <v>0</v>
      </c>
      <c r="F34" s="218">
        <f>IF(E34=0,0,COUNTIF($F$15:F33,"&gt;0")+1)</f>
        <v>0</v>
      </c>
      <c r="G34" s="218">
        <f>IF(IFERROR(SEARCH("and",INDEX(T04_Classes!$BX$3:$BX$102,MATCH('C01_BaseCalculation'!C34,T04_Classes!$B$3:$B$102,0),1)),0)&gt;1,1,0)</f>
        <v>0</v>
      </c>
      <c r="H34" s="218">
        <f>IF(IFERROR(SEARCH("or",INDEX(T04_Classes!$BX$3:$BX$102,MATCH('C01_BaseCalculation'!C34,T04_Classes!$B$3:$B$102,0),1)),0)&gt;1,1,0)</f>
        <v>0</v>
      </c>
      <c r="I34" s="218" t="str">
        <f>IF(OR(IFERROR(SEARCH("Strength",INDEX(T04_Classes!$BX$3:$BX$102,MATCH('C01_BaseCalculation'!C34,T04_Classes!$B$3:$B$102,0),1)),0)=0,AND(IFERROR(SEARCH("Strength",INDEX(T04_Classes!$BX$3:$BX$102,MATCH('C01_BaseCalculation'!C34,T04_Classes!$B$3:$B$102,0),1)),0)&gt;0,Strength&gt;12)),"yes","no")</f>
        <v>yes</v>
      </c>
      <c r="J34" s="218" t="str">
        <f>IF(OR(IFERROR(SEARCH("Dexterity",INDEX(T04_Classes!$BX$3:$BX$102,MATCH('C01_BaseCalculation'!C34,T04_Classes!$B$3:$B$102,0),1)),0)=0,AND(IFERROR(SEARCH("Dexterity",INDEX(T04_Classes!$BX$3:$BX$102,MATCH('C01_BaseCalculation'!C34,T04_Classes!$B$3:$B$102,0),1)),0)&gt;0,Dexterity&gt;12)),"yes","no")</f>
        <v>yes</v>
      </c>
      <c r="K34" s="218" t="str">
        <f>IF(OR(IFERROR(SEARCH("Constitution",INDEX(T04_Classes!$BX$3:$BX$102,MATCH('C01_BaseCalculation'!C34,T04_Classes!$B$3:$B$102,0),1)),0)=0,AND(IFERROR(SEARCH("Constitution",INDEX(T04_Classes!$BX$3:$BX$102,MATCH('C01_BaseCalculation'!C34,T04_Classes!$B$3:$B$102,0),1)),0)&gt;0,Constitution&gt;12)),"yes","no")</f>
        <v>yes</v>
      </c>
      <c r="L34" s="218" t="str">
        <f>IF(OR(IFERROR(SEARCH("Intelligence",INDEX(T04_Classes!$BX$3:$BX$102,MATCH('C01_BaseCalculation'!C34,T04_Classes!$B$3:$B$102,0),1)),0)=0,AND(IFERROR(SEARCH("Intelligence",INDEX(T04_Classes!$BX$3:$BX$102,MATCH('C01_BaseCalculation'!C34,T04_Classes!$B$3:$B$102,0),1)),0)&gt;0,Intelligence&gt;12)),"yes","no")</f>
        <v>yes</v>
      </c>
      <c r="M34" s="218" t="str">
        <f>IF(OR(IFERROR(SEARCH("Wisdom",INDEX(T04_Classes!$BX$3:$BX$102,MATCH('C01_BaseCalculation'!C34,T04_Classes!$B$3:$B$102,0),1)),0)=0,AND(IFERROR(SEARCH("Wisdom",INDEX(T04_Classes!$BX$3:$BX$102,MATCH('C01_BaseCalculation'!C34,T04_Classes!$B$3:$B$102,0),1)),0)&gt;0,Wisdom&gt;12)),"yes","no")</f>
        <v>yes</v>
      </c>
      <c r="N34" s="218" t="str">
        <f>IF(OR(IFERROR(SEARCH("Charisma",INDEX(T04_Classes!$BX$3:$BX$102,MATCH('C01_BaseCalculation'!C34,T04_Classes!$B$3:$B$102,0),1)),0)=0,AND(IFERROR(SEARCH("Charisma",INDEX(T04_Classes!$BX$3:$BX$102,MATCH('C01_BaseCalculation'!C34,T04_Classes!$B$3:$B$102,0),1)),0)&gt;0,Charisma&gt;12)),"yes","no")</f>
        <v>yes</v>
      </c>
      <c r="O34" s="218">
        <f t="shared" si="1"/>
        <v>0</v>
      </c>
      <c r="P34" s="218">
        <f>IF(O34=0,0,COUNTIF($P$15:P33,"&gt;0")+1)</f>
        <v>0</v>
      </c>
      <c r="R34" s="220" t="str">
        <f t="shared" si="6"/>
        <v/>
      </c>
      <c r="S34" s="220" t="str">
        <f t="shared" si="2"/>
        <v/>
      </c>
      <c r="X34" s="219">
        <f t="shared" si="8"/>
        <v>20</v>
      </c>
      <c r="Y34" s="219" t="str">
        <f>IFERROR(INDEX(T01_Races!$B$2:$B$101,MATCH('C01_BaseCalculation'!X34,T01_Races!$C$2:$C$101,0),1),"")</f>
        <v>Kobold</v>
      </c>
      <c r="Z34" s="217" t="str">
        <f t="shared" si="9"/>
        <v/>
      </c>
      <c r="AA34" s="217" t="str">
        <f>IFERROR(IF(Z34="","",INDEX(T01_Races!$E$2:$E$101,MATCH('C01_BaseCalculation'!Z34,T01_Races!$D$2:$D$101,0),1)),"")</f>
        <v/>
      </c>
      <c r="AB34" s="217" t="str">
        <f>IFERROR(IF(Z34="","",INDEX(T01_Races!$A$2:$A$101,MATCH('C01_BaseCalculation'!Z34,T01_Races!$D$2:$D$101,0),1)),"")</f>
        <v/>
      </c>
    </row>
    <row r="35" spans="2:66" x14ac:dyDescent="0.3">
      <c r="B35" s="218" t="str">
        <f t="shared" si="5"/>
        <v/>
      </c>
      <c r="C35" s="218" t="str">
        <f>IFERROR(INDEX(T04_Classes!$B$3:$B$102,B35,1),"")</f>
        <v/>
      </c>
      <c r="D35" s="218" t="str">
        <f>IF(C35="","",COUNTIF(Character_Creation!$R$62:$T$71,C35)+COUNTIF(Character_Creation!$R$72:$T$81,C35))</f>
        <v/>
      </c>
      <c r="E35" s="218">
        <f t="shared" si="0"/>
        <v>0</v>
      </c>
      <c r="F35" s="218">
        <f>IF(E35=0,0,COUNTIF($F$15:F34,"&gt;0")+1)</f>
        <v>0</v>
      </c>
      <c r="G35" s="218">
        <f>IF(IFERROR(SEARCH("and",INDEX(T04_Classes!$BX$3:$BX$102,MATCH('C01_BaseCalculation'!C35,T04_Classes!$B$3:$B$102,0),1)),0)&gt;1,1,0)</f>
        <v>0</v>
      </c>
      <c r="H35" s="218">
        <f>IF(IFERROR(SEARCH("or",INDEX(T04_Classes!$BX$3:$BX$102,MATCH('C01_BaseCalculation'!C35,T04_Classes!$B$3:$B$102,0),1)),0)&gt;1,1,0)</f>
        <v>0</v>
      </c>
      <c r="I35" s="218" t="str">
        <f>IF(OR(IFERROR(SEARCH("Strength",INDEX(T04_Classes!$BX$3:$BX$102,MATCH('C01_BaseCalculation'!C35,T04_Classes!$B$3:$B$102,0),1)),0)=0,AND(IFERROR(SEARCH("Strength",INDEX(T04_Classes!$BX$3:$BX$102,MATCH('C01_BaseCalculation'!C35,T04_Classes!$B$3:$B$102,0),1)),0)&gt;0,Strength&gt;12)),"yes","no")</f>
        <v>yes</v>
      </c>
      <c r="J35" s="218" t="str">
        <f>IF(OR(IFERROR(SEARCH("Dexterity",INDEX(T04_Classes!$BX$3:$BX$102,MATCH('C01_BaseCalculation'!C35,T04_Classes!$B$3:$B$102,0),1)),0)=0,AND(IFERROR(SEARCH("Dexterity",INDEX(T04_Classes!$BX$3:$BX$102,MATCH('C01_BaseCalculation'!C35,T04_Classes!$B$3:$B$102,0),1)),0)&gt;0,Dexterity&gt;12)),"yes","no")</f>
        <v>yes</v>
      </c>
      <c r="K35" s="218" t="str">
        <f>IF(OR(IFERROR(SEARCH("Constitution",INDEX(T04_Classes!$BX$3:$BX$102,MATCH('C01_BaseCalculation'!C35,T04_Classes!$B$3:$B$102,0),1)),0)=0,AND(IFERROR(SEARCH("Constitution",INDEX(T04_Classes!$BX$3:$BX$102,MATCH('C01_BaseCalculation'!C35,T04_Classes!$B$3:$B$102,0),1)),0)&gt;0,Constitution&gt;12)),"yes","no")</f>
        <v>yes</v>
      </c>
      <c r="L35" s="218" t="str">
        <f>IF(OR(IFERROR(SEARCH("Intelligence",INDEX(T04_Classes!$BX$3:$BX$102,MATCH('C01_BaseCalculation'!C35,T04_Classes!$B$3:$B$102,0),1)),0)=0,AND(IFERROR(SEARCH("Intelligence",INDEX(T04_Classes!$BX$3:$BX$102,MATCH('C01_BaseCalculation'!C35,T04_Classes!$B$3:$B$102,0),1)),0)&gt;0,Intelligence&gt;12)),"yes","no")</f>
        <v>yes</v>
      </c>
      <c r="M35" s="218" t="str">
        <f>IF(OR(IFERROR(SEARCH("Wisdom",INDEX(T04_Classes!$BX$3:$BX$102,MATCH('C01_BaseCalculation'!C35,T04_Classes!$B$3:$B$102,0),1)),0)=0,AND(IFERROR(SEARCH("Wisdom",INDEX(T04_Classes!$BX$3:$BX$102,MATCH('C01_BaseCalculation'!C35,T04_Classes!$B$3:$B$102,0),1)),0)&gt;0,Wisdom&gt;12)),"yes","no")</f>
        <v>yes</v>
      </c>
      <c r="N35" s="218" t="str">
        <f>IF(OR(IFERROR(SEARCH("Charisma",INDEX(T04_Classes!$BX$3:$BX$102,MATCH('C01_BaseCalculation'!C35,T04_Classes!$B$3:$B$102,0),1)),0)=0,AND(IFERROR(SEARCH("Charisma",INDEX(T04_Classes!$BX$3:$BX$102,MATCH('C01_BaseCalculation'!C35,T04_Classes!$B$3:$B$102,0),1)),0)&gt;0,Charisma&gt;12)),"yes","no")</f>
        <v>yes</v>
      </c>
      <c r="O35" s="218">
        <f t="shared" si="1"/>
        <v>0</v>
      </c>
      <c r="P35" s="218">
        <f>IF(O35=0,0,COUNTIF($P$15:P34,"&gt;0")+1)</f>
        <v>0</v>
      </c>
      <c r="R35" s="220" t="str">
        <f t="shared" si="6"/>
        <v/>
      </c>
      <c r="S35" s="220" t="str">
        <f t="shared" si="2"/>
        <v/>
      </c>
      <c r="X35" s="219">
        <f t="shared" si="8"/>
        <v>21</v>
      </c>
      <c r="Y35" s="219" t="str">
        <f>IFERROR(INDEX(T01_Races!$B$2:$B$101,MATCH('C01_BaseCalculation'!X35,T01_Races!$C$2:$C$101,0),1),"")</f>
        <v>Kuo-toa</v>
      </c>
      <c r="Z35" s="217" t="str">
        <f t="shared" si="9"/>
        <v/>
      </c>
      <c r="AA35" s="217" t="str">
        <f>IFERROR(IF(Z35="","",INDEX(T01_Races!$E$2:$E$101,MATCH('C01_BaseCalculation'!Z35,T01_Races!$D$2:$D$101,0),1)),"")</f>
        <v/>
      </c>
      <c r="AB35" s="217" t="str">
        <f>IFERROR(IF(Z35="","",INDEX(T01_Races!$A$2:$A$101,MATCH('C01_BaseCalculation'!Z35,T01_Races!$D$2:$D$101,0),1)),"")</f>
        <v/>
      </c>
    </row>
    <row r="36" spans="2:66" x14ac:dyDescent="0.3">
      <c r="B36" s="218" t="str">
        <f t="shared" si="5"/>
        <v/>
      </c>
      <c r="C36" s="218" t="str">
        <f>IFERROR(INDEX(T04_Classes!$B$3:$B$102,B36,1),"")</f>
        <v/>
      </c>
      <c r="D36" s="218" t="str">
        <f>IF(C36="","",COUNTIF(Character_Creation!$R$62:$T$71,C36)+COUNTIF(Character_Creation!$R$72:$T$81,C36))</f>
        <v/>
      </c>
      <c r="E36" s="218">
        <f t="shared" si="0"/>
        <v>0</v>
      </c>
      <c r="F36" s="218">
        <f>IF(E36=0,0,COUNTIF($F$15:F35,"&gt;0")+1)</f>
        <v>0</v>
      </c>
      <c r="G36" s="218">
        <f>IF(IFERROR(SEARCH("and",INDEX(T04_Classes!$BX$3:$BX$102,MATCH('C01_BaseCalculation'!C36,T04_Classes!$B$3:$B$102,0),1)),0)&gt;1,1,0)</f>
        <v>0</v>
      </c>
      <c r="H36" s="218">
        <f>IF(IFERROR(SEARCH("or",INDEX(T04_Classes!$BX$3:$BX$102,MATCH('C01_BaseCalculation'!C36,T04_Classes!$B$3:$B$102,0),1)),0)&gt;1,1,0)</f>
        <v>0</v>
      </c>
      <c r="I36" s="218" t="str">
        <f>IF(OR(IFERROR(SEARCH("Strength",INDEX(T04_Classes!$BX$3:$BX$102,MATCH('C01_BaseCalculation'!C36,T04_Classes!$B$3:$B$102,0),1)),0)=0,AND(IFERROR(SEARCH("Strength",INDEX(T04_Classes!$BX$3:$BX$102,MATCH('C01_BaseCalculation'!C36,T04_Classes!$B$3:$B$102,0),1)),0)&gt;0,Strength&gt;12)),"yes","no")</f>
        <v>yes</v>
      </c>
      <c r="J36" s="218" t="str">
        <f>IF(OR(IFERROR(SEARCH("Dexterity",INDEX(T04_Classes!$BX$3:$BX$102,MATCH('C01_BaseCalculation'!C36,T04_Classes!$B$3:$B$102,0),1)),0)=0,AND(IFERROR(SEARCH("Dexterity",INDEX(T04_Classes!$BX$3:$BX$102,MATCH('C01_BaseCalculation'!C36,T04_Classes!$B$3:$B$102,0),1)),0)&gt;0,Dexterity&gt;12)),"yes","no")</f>
        <v>yes</v>
      </c>
      <c r="K36" s="218" t="str">
        <f>IF(OR(IFERROR(SEARCH("Constitution",INDEX(T04_Classes!$BX$3:$BX$102,MATCH('C01_BaseCalculation'!C36,T04_Classes!$B$3:$B$102,0),1)),0)=0,AND(IFERROR(SEARCH("Constitution",INDEX(T04_Classes!$BX$3:$BX$102,MATCH('C01_BaseCalculation'!C36,T04_Classes!$B$3:$B$102,0),1)),0)&gt;0,Constitution&gt;12)),"yes","no")</f>
        <v>yes</v>
      </c>
      <c r="L36" s="218" t="str">
        <f>IF(OR(IFERROR(SEARCH("Intelligence",INDEX(T04_Classes!$BX$3:$BX$102,MATCH('C01_BaseCalculation'!C36,T04_Classes!$B$3:$B$102,0),1)),0)=0,AND(IFERROR(SEARCH("Intelligence",INDEX(T04_Classes!$BX$3:$BX$102,MATCH('C01_BaseCalculation'!C36,T04_Classes!$B$3:$B$102,0),1)),0)&gt;0,Intelligence&gt;12)),"yes","no")</f>
        <v>yes</v>
      </c>
      <c r="M36" s="218" t="str">
        <f>IF(OR(IFERROR(SEARCH("Wisdom",INDEX(T04_Classes!$BX$3:$BX$102,MATCH('C01_BaseCalculation'!C36,T04_Classes!$B$3:$B$102,0),1)),0)=0,AND(IFERROR(SEARCH("Wisdom",INDEX(T04_Classes!$BX$3:$BX$102,MATCH('C01_BaseCalculation'!C36,T04_Classes!$B$3:$B$102,0),1)),0)&gt;0,Wisdom&gt;12)),"yes","no")</f>
        <v>yes</v>
      </c>
      <c r="N36" s="218" t="str">
        <f>IF(OR(IFERROR(SEARCH("Charisma",INDEX(T04_Classes!$BX$3:$BX$102,MATCH('C01_BaseCalculation'!C36,T04_Classes!$B$3:$B$102,0),1)),0)=0,AND(IFERROR(SEARCH("Charisma",INDEX(T04_Classes!$BX$3:$BX$102,MATCH('C01_BaseCalculation'!C36,T04_Classes!$B$3:$B$102,0),1)),0)&gt;0,Charisma&gt;12)),"yes","no")</f>
        <v>yes</v>
      </c>
      <c r="O36" s="218">
        <f t="shared" si="1"/>
        <v>0</v>
      </c>
      <c r="P36" s="218">
        <f>IF(O36=0,0,COUNTIF($P$15:P35,"&gt;0")+1)</f>
        <v>0</v>
      </c>
      <c r="R36" s="220" t="str">
        <f t="shared" si="6"/>
        <v/>
      </c>
      <c r="S36" s="220" t="str">
        <f t="shared" si="2"/>
        <v/>
      </c>
      <c r="X36" s="219">
        <f t="shared" si="8"/>
        <v>22</v>
      </c>
      <c r="Y36" s="219" t="str">
        <f>IFERROR(INDEX(T01_Races!$B$2:$B$101,MATCH('C01_BaseCalculation'!X36,T01_Races!$C$2:$C$101,0),1),"")</f>
        <v>Lizardfolk</v>
      </c>
      <c r="Z36" s="217" t="str">
        <f t="shared" si="9"/>
        <v/>
      </c>
      <c r="AA36" s="217" t="str">
        <f>IFERROR(IF(Z36="","",INDEX(T01_Races!$E$2:$E$101,MATCH('C01_BaseCalculation'!Z36,T01_Races!$D$2:$D$101,0),1)),"")</f>
        <v/>
      </c>
      <c r="AB36" s="217" t="str">
        <f>IFERROR(IF(Z36="","",INDEX(T01_Races!$A$2:$A$101,MATCH('C01_BaseCalculation'!Z36,T01_Races!$D$2:$D$101,0),1)),"")</f>
        <v/>
      </c>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row>
    <row r="37" spans="2:66" ht="29.25" x14ac:dyDescent="0.3">
      <c r="B37" s="218" t="str">
        <f t="shared" si="5"/>
        <v/>
      </c>
      <c r="C37" s="218" t="str">
        <f>IFERROR(INDEX(T04_Classes!$B$3:$B$102,B37,1),"")</f>
        <v/>
      </c>
      <c r="D37" s="218" t="str">
        <f>IF(C37="","",COUNTIF(Character_Creation!$R$62:$T$71,C37)+COUNTIF(Character_Creation!$R$72:$T$81,C37))</f>
        <v/>
      </c>
      <c r="E37" s="218">
        <f t="shared" si="0"/>
        <v>0</v>
      </c>
      <c r="F37" s="218">
        <f>IF(E37=0,0,COUNTIF($F$15:F36,"&gt;0")+1)</f>
        <v>0</v>
      </c>
      <c r="G37" s="218">
        <f>IF(IFERROR(SEARCH("and",INDEX(T04_Classes!$BX$3:$BX$102,MATCH('C01_BaseCalculation'!C37,T04_Classes!$B$3:$B$102,0),1)),0)&gt;1,1,0)</f>
        <v>0</v>
      </c>
      <c r="H37" s="218">
        <f>IF(IFERROR(SEARCH("or",INDEX(T04_Classes!$BX$3:$BX$102,MATCH('C01_BaseCalculation'!C37,T04_Classes!$B$3:$B$102,0),1)),0)&gt;1,1,0)</f>
        <v>0</v>
      </c>
      <c r="I37" s="218" t="str">
        <f>IF(OR(IFERROR(SEARCH("Strength",INDEX(T04_Classes!$BX$3:$BX$102,MATCH('C01_BaseCalculation'!C37,T04_Classes!$B$3:$B$102,0),1)),0)=0,AND(IFERROR(SEARCH("Strength",INDEX(T04_Classes!$BX$3:$BX$102,MATCH('C01_BaseCalculation'!C37,T04_Classes!$B$3:$B$102,0),1)),0)&gt;0,Strength&gt;12)),"yes","no")</f>
        <v>yes</v>
      </c>
      <c r="J37" s="218" t="str">
        <f>IF(OR(IFERROR(SEARCH("Dexterity",INDEX(T04_Classes!$BX$3:$BX$102,MATCH('C01_BaseCalculation'!C37,T04_Classes!$B$3:$B$102,0),1)),0)=0,AND(IFERROR(SEARCH("Dexterity",INDEX(T04_Classes!$BX$3:$BX$102,MATCH('C01_BaseCalculation'!C37,T04_Classes!$B$3:$B$102,0),1)),0)&gt;0,Dexterity&gt;12)),"yes","no")</f>
        <v>yes</v>
      </c>
      <c r="K37" s="218" t="str">
        <f>IF(OR(IFERROR(SEARCH("Constitution",INDEX(T04_Classes!$BX$3:$BX$102,MATCH('C01_BaseCalculation'!C37,T04_Classes!$B$3:$B$102,0),1)),0)=0,AND(IFERROR(SEARCH("Constitution",INDEX(T04_Classes!$BX$3:$BX$102,MATCH('C01_BaseCalculation'!C37,T04_Classes!$B$3:$B$102,0),1)),0)&gt;0,Constitution&gt;12)),"yes","no")</f>
        <v>yes</v>
      </c>
      <c r="L37" s="218" t="str">
        <f>IF(OR(IFERROR(SEARCH("Intelligence",INDEX(T04_Classes!$BX$3:$BX$102,MATCH('C01_BaseCalculation'!C37,T04_Classes!$B$3:$B$102,0),1)),0)=0,AND(IFERROR(SEARCH("Intelligence",INDEX(T04_Classes!$BX$3:$BX$102,MATCH('C01_BaseCalculation'!C37,T04_Classes!$B$3:$B$102,0),1)),0)&gt;0,Intelligence&gt;12)),"yes","no")</f>
        <v>yes</v>
      </c>
      <c r="M37" s="218" t="str">
        <f>IF(OR(IFERROR(SEARCH("Wisdom",INDEX(T04_Classes!$BX$3:$BX$102,MATCH('C01_BaseCalculation'!C37,T04_Classes!$B$3:$B$102,0),1)),0)=0,AND(IFERROR(SEARCH("Wisdom",INDEX(T04_Classes!$BX$3:$BX$102,MATCH('C01_BaseCalculation'!C37,T04_Classes!$B$3:$B$102,0),1)),0)&gt;0,Wisdom&gt;12)),"yes","no")</f>
        <v>yes</v>
      </c>
      <c r="N37" s="218" t="str">
        <f>IF(OR(IFERROR(SEARCH("Charisma",INDEX(T04_Classes!$BX$3:$BX$102,MATCH('C01_BaseCalculation'!C37,T04_Classes!$B$3:$B$102,0),1)),0)=0,AND(IFERROR(SEARCH("Charisma",INDEX(T04_Classes!$BX$3:$BX$102,MATCH('C01_BaseCalculation'!C37,T04_Classes!$B$3:$B$102,0),1)),0)&gt;0,Charisma&gt;12)),"yes","no")</f>
        <v>yes</v>
      </c>
      <c r="O37" s="218">
        <f t="shared" si="1"/>
        <v>0</v>
      </c>
      <c r="P37" s="218">
        <f>IF(O37=0,0,COUNTIF($P$15:P36,"&gt;0")+1)</f>
        <v>0</v>
      </c>
      <c r="Q37" s="141"/>
      <c r="R37" s="220" t="str">
        <f t="shared" si="6"/>
        <v/>
      </c>
      <c r="S37" s="220" t="str">
        <f t="shared" si="2"/>
        <v/>
      </c>
      <c r="T37" s="141"/>
      <c r="U37" s="141"/>
      <c r="V37" s="141"/>
      <c r="W37" s="141"/>
      <c r="X37" s="219">
        <f t="shared" si="8"/>
        <v>23</v>
      </c>
      <c r="Y37" s="219" t="str">
        <f>IFERROR(INDEX(T01_Races!$B$2:$B$101,MATCH('C01_BaseCalculation'!X37,T01_Races!$C$2:$C$101,0),1),"")</f>
        <v>Merfolk</v>
      </c>
      <c r="Z37" s="217" t="str">
        <f t="shared" si="9"/>
        <v/>
      </c>
      <c r="AA37" s="217" t="str">
        <f>IFERROR(IF(Z37="","",INDEX(T01_Races!$E$2:$E$101,MATCH('C01_BaseCalculation'!Z37,T01_Races!$D$2:$D$101,0),1)),"")</f>
        <v/>
      </c>
      <c r="AB37" s="217" t="str">
        <f>IFERROR(IF(Z37="","",INDEX(T01_Races!$A$2:$A$101,MATCH('C01_BaseCalculation'!Z37,T01_Races!$D$2:$D$101,0),1)),"")</f>
        <v/>
      </c>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row>
    <row r="38" spans="2:66" ht="29.25" x14ac:dyDescent="0.3">
      <c r="B38" s="218" t="str">
        <f t="shared" si="5"/>
        <v/>
      </c>
      <c r="C38" s="218" t="str">
        <f>IFERROR(INDEX(T04_Classes!$B$3:$B$102,B38,1),"")</f>
        <v/>
      </c>
      <c r="D38" s="218" t="str">
        <f>IF(C38="","",COUNTIF(Character_Creation!$R$62:$T$71,C38)+COUNTIF(Character_Creation!$R$72:$T$81,C38))</f>
        <v/>
      </c>
      <c r="E38" s="218">
        <f t="shared" si="0"/>
        <v>0</v>
      </c>
      <c r="F38" s="218">
        <f>IF(E38=0,0,COUNTIF($F$15:F37,"&gt;0")+1)</f>
        <v>0</v>
      </c>
      <c r="G38" s="218">
        <f>IF(IFERROR(SEARCH("and",INDEX(T04_Classes!$BX$3:$BX$102,MATCH('C01_BaseCalculation'!C38,T04_Classes!$B$3:$B$102,0),1)),0)&gt;1,1,0)</f>
        <v>0</v>
      </c>
      <c r="H38" s="218">
        <f>IF(IFERROR(SEARCH("or",INDEX(T04_Classes!$BX$3:$BX$102,MATCH('C01_BaseCalculation'!C38,T04_Classes!$B$3:$B$102,0),1)),0)&gt;1,1,0)</f>
        <v>0</v>
      </c>
      <c r="I38" s="218" t="str">
        <f>IF(OR(IFERROR(SEARCH("Strength",INDEX(T04_Classes!$BX$3:$BX$102,MATCH('C01_BaseCalculation'!C38,T04_Classes!$B$3:$B$102,0),1)),0)=0,AND(IFERROR(SEARCH("Strength",INDEX(T04_Classes!$BX$3:$BX$102,MATCH('C01_BaseCalculation'!C38,T04_Classes!$B$3:$B$102,0),1)),0)&gt;0,Strength&gt;12)),"yes","no")</f>
        <v>yes</v>
      </c>
      <c r="J38" s="218" t="str">
        <f>IF(OR(IFERROR(SEARCH("Dexterity",INDEX(T04_Classes!$BX$3:$BX$102,MATCH('C01_BaseCalculation'!C38,T04_Classes!$B$3:$B$102,0),1)),0)=0,AND(IFERROR(SEARCH("Dexterity",INDEX(T04_Classes!$BX$3:$BX$102,MATCH('C01_BaseCalculation'!C38,T04_Classes!$B$3:$B$102,0),1)),0)&gt;0,Dexterity&gt;12)),"yes","no")</f>
        <v>yes</v>
      </c>
      <c r="K38" s="218" t="str">
        <f>IF(OR(IFERROR(SEARCH("Constitution",INDEX(T04_Classes!$BX$3:$BX$102,MATCH('C01_BaseCalculation'!C38,T04_Classes!$B$3:$B$102,0),1)),0)=0,AND(IFERROR(SEARCH("Constitution",INDEX(T04_Classes!$BX$3:$BX$102,MATCH('C01_BaseCalculation'!C38,T04_Classes!$B$3:$B$102,0),1)),0)&gt;0,Constitution&gt;12)),"yes","no")</f>
        <v>yes</v>
      </c>
      <c r="L38" s="218" t="str">
        <f>IF(OR(IFERROR(SEARCH("Intelligence",INDEX(T04_Classes!$BX$3:$BX$102,MATCH('C01_BaseCalculation'!C38,T04_Classes!$B$3:$B$102,0),1)),0)=0,AND(IFERROR(SEARCH("Intelligence",INDEX(T04_Classes!$BX$3:$BX$102,MATCH('C01_BaseCalculation'!C38,T04_Classes!$B$3:$B$102,0),1)),0)&gt;0,Intelligence&gt;12)),"yes","no")</f>
        <v>yes</v>
      </c>
      <c r="M38" s="218" t="str">
        <f>IF(OR(IFERROR(SEARCH("Wisdom",INDEX(T04_Classes!$BX$3:$BX$102,MATCH('C01_BaseCalculation'!C38,T04_Classes!$B$3:$B$102,0),1)),0)=0,AND(IFERROR(SEARCH("Wisdom",INDEX(T04_Classes!$BX$3:$BX$102,MATCH('C01_BaseCalculation'!C38,T04_Classes!$B$3:$B$102,0),1)),0)&gt;0,Wisdom&gt;12)),"yes","no")</f>
        <v>yes</v>
      </c>
      <c r="N38" s="218" t="str">
        <f>IF(OR(IFERROR(SEARCH("Charisma",INDEX(T04_Classes!$BX$3:$BX$102,MATCH('C01_BaseCalculation'!C38,T04_Classes!$B$3:$B$102,0),1)),0)=0,AND(IFERROR(SEARCH("Charisma",INDEX(T04_Classes!$BX$3:$BX$102,MATCH('C01_BaseCalculation'!C38,T04_Classes!$B$3:$B$102,0),1)),0)&gt;0,Charisma&gt;12)),"yes","no")</f>
        <v>yes</v>
      </c>
      <c r="O38" s="218">
        <f t="shared" si="1"/>
        <v>0</v>
      </c>
      <c r="P38" s="218">
        <f>IF(O38=0,0,COUNTIF($P$15:P37,"&gt;0")+1)</f>
        <v>0</v>
      </c>
      <c r="Q38" s="141"/>
      <c r="R38" s="220" t="str">
        <f t="shared" si="6"/>
        <v/>
      </c>
      <c r="S38" s="220" t="str">
        <f t="shared" si="2"/>
        <v/>
      </c>
      <c r="T38" s="141"/>
      <c r="U38" s="141"/>
      <c r="V38" s="141"/>
      <c r="W38" s="141"/>
      <c r="X38" s="219">
        <f t="shared" si="8"/>
        <v>24</v>
      </c>
      <c r="Y38" s="219" t="str">
        <f>IFERROR(INDEX(T01_Races!$B$2:$B$101,MATCH('C01_BaseCalculation'!X38,T01_Races!$C$2:$C$101,0),1),"")</f>
        <v>Orc</v>
      </c>
      <c r="Z38" s="217" t="str">
        <f t="shared" si="9"/>
        <v/>
      </c>
      <c r="AA38" s="217" t="str">
        <f>IFERROR(IF(Z38="","",INDEX(T01_Races!$E$2:$E$101,MATCH('C01_BaseCalculation'!Z38,T01_Races!$D$2:$D$101,0),1)),"")</f>
        <v/>
      </c>
      <c r="AB38" s="217" t="str">
        <f>IFERROR(IF(Z38="","",INDEX(T01_Races!$A$2:$A$101,MATCH('C01_BaseCalculation'!Z38,T01_Races!$D$2:$D$101,0),1)),"")</f>
        <v/>
      </c>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row>
    <row r="39" spans="2:66" x14ac:dyDescent="0.3">
      <c r="B39" s="218" t="str">
        <f t="shared" si="5"/>
        <v/>
      </c>
      <c r="C39" s="218" t="str">
        <f>IFERROR(INDEX(T04_Classes!$B$3:$B$102,B39,1),"")</f>
        <v/>
      </c>
      <c r="D39" s="218" t="str">
        <f>IF(C39="","",COUNTIF(Character_Creation!$R$62:$T$71,C39)+COUNTIF(Character_Creation!$R$72:$T$81,C39))</f>
        <v/>
      </c>
      <c r="E39" s="218">
        <f t="shared" si="0"/>
        <v>0</v>
      </c>
      <c r="F39" s="218">
        <f>IF(E39=0,0,COUNTIF($F$15:F38,"&gt;0")+1)</f>
        <v>0</v>
      </c>
      <c r="G39" s="218">
        <f>IF(IFERROR(SEARCH("and",INDEX(T04_Classes!$BX$3:$BX$102,MATCH('C01_BaseCalculation'!C39,T04_Classes!$B$3:$B$102,0),1)),0)&gt;1,1,0)</f>
        <v>0</v>
      </c>
      <c r="H39" s="218">
        <f>IF(IFERROR(SEARCH("or",INDEX(T04_Classes!$BX$3:$BX$102,MATCH('C01_BaseCalculation'!C39,T04_Classes!$B$3:$B$102,0),1)),0)&gt;1,1,0)</f>
        <v>0</v>
      </c>
      <c r="I39" s="218" t="str">
        <f>IF(OR(IFERROR(SEARCH("Strength",INDEX(T04_Classes!$BX$3:$BX$102,MATCH('C01_BaseCalculation'!C39,T04_Classes!$B$3:$B$102,0),1)),0)=0,AND(IFERROR(SEARCH("Strength",INDEX(T04_Classes!$BX$3:$BX$102,MATCH('C01_BaseCalculation'!C39,T04_Classes!$B$3:$B$102,0),1)),0)&gt;0,Strength&gt;12)),"yes","no")</f>
        <v>yes</v>
      </c>
      <c r="J39" s="218" t="str">
        <f>IF(OR(IFERROR(SEARCH("Dexterity",INDEX(T04_Classes!$BX$3:$BX$102,MATCH('C01_BaseCalculation'!C39,T04_Classes!$B$3:$B$102,0),1)),0)=0,AND(IFERROR(SEARCH("Dexterity",INDEX(T04_Classes!$BX$3:$BX$102,MATCH('C01_BaseCalculation'!C39,T04_Classes!$B$3:$B$102,0),1)),0)&gt;0,Dexterity&gt;12)),"yes","no")</f>
        <v>yes</v>
      </c>
      <c r="K39" s="218" t="str">
        <f>IF(OR(IFERROR(SEARCH("Constitution",INDEX(T04_Classes!$BX$3:$BX$102,MATCH('C01_BaseCalculation'!C39,T04_Classes!$B$3:$B$102,0),1)),0)=0,AND(IFERROR(SEARCH("Constitution",INDEX(T04_Classes!$BX$3:$BX$102,MATCH('C01_BaseCalculation'!C39,T04_Classes!$B$3:$B$102,0),1)),0)&gt;0,Constitution&gt;12)),"yes","no")</f>
        <v>yes</v>
      </c>
      <c r="L39" s="218" t="str">
        <f>IF(OR(IFERROR(SEARCH("Intelligence",INDEX(T04_Classes!$BX$3:$BX$102,MATCH('C01_BaseCalculation'!C39,T04_Classes!$B$3:$B$102,0),1)),0)=0,AND(IFERROR(SEARCH("Intelligence",INDEX(T04_Classes!$BX$3:$BX$102,MATCH('C01_BaseCalculation'!C39,T04_Classes!$B$3:$B$102,0),1)),0)&gt;0,Intelligence&gt;12)),"yes","no")</f>
        <v>yes</v>
      </c>
      <c r="M39" s="218" t="str">
        <f>IF(OR(IFERROR(SEARCH("Wisdom",INDEX(T04_Classes!$BX$3:$BX$102,MATCH('C01_BaseCalculation'!C39,T04_Classes!$B$3:$B$102,0),1)),0)=0,AND(IFERROR(SEARCH("Wisdom",INDEX(T04_Classes!$BX$3:$BX$102,MATCH('C01_BaseCalculation'!C39,T04_Classes!$B$3:$B$102,0),1)),0)&gt;0,Wisdom&gt;12)),"yes","no")</f>
        <v>yes</v>
      </c>
      <c r="N39" s="218" t="str">
        <f>IF(OR(IFERROR(SEARCH("Charisma",INDEX(T04_Classes!$BX$3:$BX$102,MATCH('C01_BaseCalculation'!C39,T04_Classes!$B$3:$B$102,0),1)),0)=0,AND(IFERROR(SEARCH("Charisma",INDEX(T04_Classes!$BX$3:$BX$102,MATCH('C01_BaseCalculation'!C39,T04_Classes!$B$3:$B$102,0),1)),0)&gt;0,Charisma&gt;12)),"yes","no")</f>
        <v>yes</v>
      </c>
      <c r="O39" s="218">
        <f t="shared" si="1"/>
        <v>0</v>
      </c>
      <c r="P39" s="218">
        <f>IF(O39=0,0,COUNTIF($P$15:P38,"&gt;0")+1)</f>
        <v>0</v>
      </c>
      <c r="R39" s="220" t="str">
        <f t="shared" si="6"/>
        <v/>
      </c>
      <c r="S39" s="220" t="str">
        <f t="shared" si="2"/>
        <v/>
      </c>
      <c r="X39" s="219">
        <f t="shared" si="8"/>
        <v>25</v>
      </c>
      <c r="Y39" s="219" t="str">
        <f>IFERROR(INDEX(T01_Races!$B$2:$B$101,MATCH('C01_BaseCalculation'!X39,T01_Races!$C$2:$C$101,0),1),"")</f>
        <v>Goblin</v>
      </c>
      <c r="Z39" s="217" t="str">
        <f t="shared" si="9"/>
        <v/>
      </c>
      <c r="AA39" s="217" t="str">
        <f>IFERROR(IF(Z39="","",INDEX(T01_Races!$E$2:$E$101,MATCH('C01_BaseCalculation'!Z39,T01_Races!$D$2:$D$101,0),1)),"")</f>
        <v/>
      </c>
      <c r="AB39" s="217" t="str">
        <f>IFERROR(IF(Z39="","",INDEX(T01_Races!$A$2:$A$101,MATCH('C01_BaseCalculation'!Z39,T01_Races!$D$2:$D$101,0),1)),"")</f>
        <v/>
      </c>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row>
    <row r="40" spans="2:66" ht="18" x14ac:dyDescent="0.3">
      <c r="B40" s="218" t="str">
        <f t="shared" si="5"/>
        <v/>
      </c>
      <c r="C40" s="218" t="str">
        <f>IFERROR(INDEX(T04_Classes!$B$3:$B$102,B40,1),"")</f>
        <v/>
      </c>
      <c r="D40" s="218" t="str">
        <f>IF(C40="","",COUNTIF(Character_Creation!$R$62:$T$71,C40)+COUNTIF(Character_Creation!$R$72:$T$81,C40))</f>
        <v/>
      </c>
      <c r="E40" s="218">
        <f t="shared" si="0"/>
        <v>0</v>
      </c>
      <c r="F40" s="218">
        <f>IF(E40=0,0,COUNTIF($F$15:F39,"&gt;0")+1)</f>
        <v>0</v>
      </c>
      <c r="G40" s="218">
        <f>IF(IFERROR(SEARCH("and",INDEX(T04_Classes!$BX$3:$BX$102,MATCH('C01_BaseCalculation'!C40,T04_Classes!$B$3:$B$102,0),1)),0)&gt;1,1,0)</f>
        <v>0</v>
      </c>
      <c r="H40" s="218">
        <f>IF(IFERROR(SEARCH("or",INDEX(T04_Classes!$BX$3:$BX$102,MATCH('C01_BaseCalculation'!C40,T04_Classes!$B$3:$B$102,0),1)),0)&gt;1,1,0)</f>
        <v>0</v>
      </c>
      <c r="I40" s="218" t="str">
        <f>IF(OR(IFERROR(SEARCH("Strength",INDEX(T04_Classes!$BX$3:$BX$102,MATCH('C01_BaseCalculation'!C40,T04_Classes!$B$3:$B$102,0),1)),0)=0,AND(IFERROR(SEARCH("Strength",INDEX(T04_Classes!$BX$3:$BX$102,MATCH('C01_BaseCalculation'!C40,T04_Classes!$B$3:$B$102,0),1)),0)&gt;0,Strength&gt;12)),"yes","no")</f>
        <v>yes</v>
      </c>
      <c r="J40" s="218" t="str">
        <f>IF(OR(IFERROR(SEARCH("Dexterity",INDEX(T04_Classes!$BX$3:$BX$102,MATCH('C01_BaseCalculation'!C40,T04_Classes!$B$3:$B$102,0),1)),0)=0,AND(IFERROR(SEARCH("Dexterity",INDEX(T04_Classes!$BX$3:$BX$102,MATCH('C01_BaseCalculation'!C40,T04_Classes!$B$3:$B$102,0),1)),0)&gt;0,Dexterity&gt;12)),"yes","no")</f>
        <v>yes</v>
      </c>
      <c r="K40" s="218" t="str">
        <f>IF(OR(IFERROR(SEARCH("Constitution",INDEX(T04_Classes!$BX$3:$BX$102,MATCH('C01_BaseCalculation'!C40,T04_Classes!$B$3:$B$102,0),1)),0)=0,AND(IFERROR(SEARCH("Constitution",INDEX(T04_Classes!$BX$3:$BX$102,MATCH('C01_BaseCalculation'!C40,T04_Classes!$B$3:$B$102,0),1)),0)&gt;0,Constitution&gt;12)),"yes","no")</f>
        <v>yes</v>
      </c>
      <c r="L40" s="218" t="str">
        <f>IF(OR(IFERROR(SEARCH("Intelligence",INDEX(T04_Classes!$BX$3:$BX$102,MATCH('C01_BaseCalculation'!C40,T04_Classes!$B$3:$B$102,0),1)),0)=0,AND(IFERROR(SEARCH("Intelligence",INDEX(T04_Classes!$BX$3:$BX$102,MATCH('C01_BaseCalculation'!C40,T04_Classes!$B$3:$B$102,0),1)),0)&gt;0,Intelligence&gt;12)),"yes","no")</f>
        <v>yes</v>
      </c>
      <c r="M40" s="218" t="str">
        <f>IF(OR(IFERROR(SEARCH("Wisdom",INDEX(T04_Classes!$BX$3:$BX$102,MATCH('C01_BaseCalculation'!C40,T04_Classes!$B$3:$B$102,0),1)),0)=0,AND(IFERROR(SEARCH("Wisdom",INDEX(T04_Classes!$BX$3:$BX$102,MATCH('C01_BaseCalculation'!C40,T04_Classes!$B$3:$B$102,0),1)),0)&gt;0,Wisdom&gt;12)),"yes","no")</f>
        <v>yes</v>
      </c>
      <c r="N40" s="218" t="str">
        <f>IF(OR(IFERROR(SEARCH("Charisma",INDEX(T04_Classes!$BX$3:$BX$102,MATCH('C01_BaseCalculation'!C40,T04_Classes!$B$3:$B$102,0),1)),0)=0,AND(IFERROR(SEARCH("Charisma",INDEX(T04_Classes!$BX$3:$BX$102,MATCH('C01_BaseCalculation'!C40,T04_Classes!$B$3:$B$102,0),1)),0)&gt;0,Charisma&gt;12)),"yes","no")</f>
        <v>yes</v>
      </c>
      <c r="O40" s="218">
        <f t="shared" si="1"/>
        <v>0</v>
      </c>
      <c r="P40" s="218">
        <f>IF(O40=0,0,COUNTIF($P$15:P39,"&gt;0")+1)</f>
        <v>0</v>
      </c>
      <c r="Q40" s="143"/>
      <c r="R40" s="220" t="str">
        <f t="shared" si="6"/>
        <v/>
      </c>
      <c r="S40" s="220" t="str">
        <f t="shared" si="2"/>
        <v/>
      </c>
      <c r="T40" s="143"/>
      <c r="U40" s="143"/>
      <c r="V40" s="143"/>
      <c r="W40" s="143"/>
      <c r="X40" s="219">
        <f t="shared" si="8"/>
        <v>26</v>
      </c>
      <c r="Y40" s="219" t="str">
        <f>IFERROR(INDEX(T01_Races!$B$2:$B$101,MATCH('C01_BaseCalculation'!X40,T01_Races!$C$2:$C$101,0),1),"")</f>
        <v>Troglodyte</v>
      </c>
      <c r="Z40" s="217" t="str">
        <f t="shared" si="9"/>
        <v/>
      </c>
      <c r="AA40" s="217" t="str">
        <f>IFERROR(IF(Z40="","",INDEX(T01_Races!$E$2:$E$101,MATCH('C01_BaseCalculation'!Z40,T01_Races!$D$2:$D$101,0),1)),"")</f>
        <v/>
      </c>
      <c r="AB40" s="217" t="str">
        <f>IFERROR(IF(Z40="","",INDEX(T01_Races!$A$2:$A$101,MATCH('C01_BaseCalculation'!Z40,T01_Races!$D$2:$D$101,0),1)),"")</f>
        <v/>
      </c>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row>
    <row r="41" spans="2:66" ht="18" x14ac:dyDescent="0.3">
      <c r="B41" s="218" t="str">
        <f t="shared" si="5"/>
        <v/>
      </c>
      <c r="C41" s="218" t="str">
        <f>IFERROR(INDEX(T04_Classes!$B$3:$B$102,B41,1),"")</f>
        <v/>
      </c>
      <c r="D41" s="218" t="str">
        <f>IF(C41="","",COUNTIF(Character_Creation!$R$62:$T$71,C41)+COUNTIF(Character_Creation!$R$72:$T$81,C41))</f>
        <v/>
      </c>
      <c r="E41" s="218">
        <f t="shared" si="0"/>
        <v>0</v>
      </c>
      <c r="F41" s="218">
        <f>IF(E41=0,0,COUNTIF($F$15:F40,"&gt;0")+1)</f>
        <v>0</v>
      </c>
      <c r="G41" s="218">
        <f>IF(IFERROR(SEARCH("and",INDEX(T04_Classes!$BX$3:$BX$102,MATCH('C01_BaseCalculation'!C41,T04_Classes!$B$3:$B$102,0),1)),0)&gt;1,1,0)</f>
        <v>0</v>
      </c>
      <c r="H41" s="218">
        <f>IF(IFERROR(SEARCH("or",INDEX(T04_Classes!$BX$3:$BX$102,MATCH('C01_BaseCalculation'!C41,T04_Classes!$B$3:$B$102,0),1)),0)&gt;1,1,0)</f>
        <v>0</v>
      </c>
      <c r="I41" s="218" t="str">
        <f>IF(OR(IFERROR(SEARCH("Strength",INDEX(T04_Classes!$BX$3:$BX$102,MATCH('C01_BaseCalculation'!C41,T04_Classes!$B$3:$B$102,0),1)),0)=0,AND(IFERROR(SEARCH("Strength",INDEX(T04_Classes!$BX$3:$BX$102,MATCH('C01_BaseCalculation'!C41,T04_Classes!$B$3:$B$102,0),1)),0)&gt;0,Strength&gt;12)),"yes","no")</f>
        <v>yes</v>
      </c>
      <c r="J41" s="218" t="str">
        <f>IF(OR(IFERROR(SEARCH("Dexterity",INDEX(T04_Classes!$BX$3:$BX$102,MATCH('C01_BaseCalculation'!C41,T04_Classes!$B$3:$B$102,0),1)),0)=0,AND(IFERROR(SEARCH("Dexterity",INDEX(T04_Classes!$BX$3:$BX$102,MATCH('C01_BaseCalculation'!C41,T04_Classes!$B$3:$B$102,0),1)),0)&gt;0,Dexterity&gt;12)),"yes","no")</f>
        <v>yes</v>
      </c>
      <c r="K41" s="218" t="str">
        <f>IF(OR(IFERROR(SEARCH("Constitution",INDEX(T04_Classes!$BX$3:$BX$102,MATCH('C01_BaseCalculation'!C41,T04_Classes!$B$3:$B$102,0),1)),0)=0,AND(IFERROR(SEARCH("Constitution",INDEX(T04_Classes!$BX$3:$BX$102,MATCH('C01_BaseCalculation'!C41,T04_Classes!$B$3:$B$102,0),1)),0)&gt;0,Constitution&gt;12)),"yes","no")</f>
        <v>yes</v>
      </c>
      <c r="L41" s="218" t="str">
        <f>IF(OR(IFERROR(SEARCH("Intelligence",INDEX(T04_Classes!$BX$3:$BX$102,MATCH('C01_BaseCalculation'!C41,T04_Classes!$B$3:$B$102,0),1)),0)=0,AND(IFERROR(SEARCH("Intelligence",INDEX(T04_Classes!$BX$3:$BX$102,MATCH('C01_BaseCalculation'!C41,T04_Classes!$B$3:$B$102,0),1)),0)&gt;0,Intelligence&gt;12)),"yes","no")</f>
        <v>yes</v>
      </c>
      <c r="M41" s="218" t="str">
        <f>IF(OR(IFERROR(SEARCH("Wisdom",INDEX(T04_Classes!$BX$3:$BX$102,MATCH('C01_BaseCalculation'!C41,T04_Classes!$B$3:$B$102,0),1)),0)=0,AND(IFERROR(SEARCH("Wisdom",INDEX(T04_Classes!$BX$3:$BX$102,MATCH('C01_BaseCalculation'!C41,T04_Classes!$B$3:$B$102,0),1)),0)&gt;0,Wisdom&gt;12)),"yes","no")</f>
        <v>yes</v>
      </c>
      <c r="N41" s="218" t="str">
        <f>IF(OR(IFERROR(SEARCH("Charisma",INDEX(T04_Classes!$BX$3:$BX$102,MATCH('C01_BaseCalculation'!C41,T04_Classes!$B$3:$B$102,0),1)),0)=0,AND(IFERROR(SEARCH("Charisma",INDEX(T04_Classes!$BX$3:$BX$102,MATCH('C01_BaseCalculation'!C41,T04_Classes!$B$3:$B$102,0),1)),0)&gt;0,Charisma&gt;12)),"yes","no")</f>
        <v>yes</v>
      </c>
      <c r="O41" s="218">
        <f t="shared" si="1"/>
        <v>0</v>
      </c>
      <c r="P41" s="218">
        <f>IF(O41=0,0,COUNTIF($P$15:P40,"&gt;0")+1)</f>
        <v>0</v>
      </c>
      <c r="Q41" s="144"/>
      <c r="R41" s="220" t="str">
        <f t="shared" si="6"/>
        <v/>
      </c>
      <c r="S41" s="220" t="str">
        <f t="shared" si="2"/>
        <v/>
      </c>
      <c r="T41" s="144"/>
      <c r="U41" s="144"/>
      <c r="V41" s="144"/>
      <c r="W41" s="144"/>
      <c r="X41" s="219">
        <f t="shared" si="8"/>
        <v>27</v>
      </c>
      <c r="Y41" s="219" t="str">
        <f>IFERROR(INDEX(T01_Races!$B$2:$B$101,MATCH('C01_BaseCalculation'!X41,T01_Races!$C$2:$C$101,0),1),"")</f>
        <v>Genasi</v>
      </c>
      <c r="Z41" s="217" t="str">
        <f t="shared" si="9"/>
        <v/>
      </c>
      <c r="AA41" s="217" t="str">
        <f>IFERROR(IF(Z41="","",INDEX(T01_Races!$E$2:$E$101,MATCH('C01_BaseCalculation'!Z41,T01_Races!$D$2:$D$101,0),1)),"")</f>
        <v/>
      </c>
      <c r="AB41" s="217" t="str">
        <f>IFERROR(IF(Z41="","",INDEX(T01_Races!$A$2:$A$101,MATCH('C01_BaseCalculation'!Z41,T01_Races!$D$2:$D$101,0),1)),"")</f>
        <v/>
      </c>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row>
    <row r="42" spans="2:66" ht="18" x14ac:dyDescent="0.3">
      <c r="B42" s="218" t="str">
        <f t="shared" si="5"/>
        <v/>
      </c>
      <c r="C42" s="218" t="str">
        <f>IFERROR(INDEX(T04_Classes!$B$3:$B$102,B42,1),"")</f>
        <v/>
      </c>
      <c r="D42" s="218" t="str">
        <f>IF(C42="","",COUNTIF(Character_Creation!$R$62:$T$71,C42)+COUNTIF(Character_Creation!$R$72:$T$81,C42))</f>
        <v/>
      </c>
      <c r="E42" s="218">
        <f t="shared" si="0"/>
        <v>0</v>
      </c>
      <c r="F42" s="218">
        <f>IF(E42=0,0,COUNTIF($F$15:F41,"&gt;0")+1)</f>
        <v>0</v>
      </c>
      <c r="G42" s="218">
        <f>IF(IFERROR(SEARCH("and",INDEX(T04_Classes!$BX$3:$BX$102,MATCH('C01_BaseCalculation'!C42,T04_Classes!$B$3:$B$102,0),1)),0)&gt;1,1,0)</f>
        <v>0</v>
      </c>
      <c r="H42" s="218">
        <f>IF(IFERROR(SEARCH("or",INDEX(T04_Classes!$BX$3:$BX$102,MATCH('C01_BaseCalculation'!C42,T04_Classes!$B$3:$B$102,0),1)),0)&gt;1,1,0)</f>
        <v>0</v>
      </c>
      <c r="I42" s="218" t="str">
        <f>IF(OR(IFERROR(SEARCH("Strength",INDEX(T04_Classes!$BX$3:$BX$102,MATCH('C01_BaseCalculation'!C42,T04_Classes!$B$3:$B$102,0),1)),0)=0,AND(IFERROR(SEARCH("Strength",INDEX(T04_Classes!$BX$3:$BX$102,MATCH('C01_BaseCalculation'!C42,T04_Classes!$B$3:$B$102,0),1)),0)&gt;0,Strength&gt;12)),"yes","no")</f>
        <v>yes</v>
      </c>
      <c r="J42" s="218" t="str">
        <f>IF(OR(IFERROR(SEARCH("Dexterity",INDEX(T04_Classes!$BX$3:$BX$102,MATCH('C01_BaseCalculation'!C42,T04_Classes!$B$3:$B$102,0),1)),0)=0,AND(IFERROR(SEARCH("Dexterity",INDEX(T04_Classes!$BX$3:$BX$102,MATCH('C01_BaseCalculation'!C42,T04_Classes!$B$3:$B$102,0),1)),0)&gt;0,Dexterity&gt;12)),"yes","no")</f>
        <v>yes</v>
      </c>
      <c r="K42" s="218" t="str">
        <f>IF(OR(IFERROR(SEARCH("Constitution",INDEX(T04_Classes!$BX$3:$BX$102,MATCH('C01_BaseCalculation'!C42,T04_Classes!$B$3:$B$102,0),1)),0)=0,AND(IFERROR(SEARCH("Constitution",INDEX(T04_Classes!$BX$3:$BX$102,MATCH('C01_BaseCalculation'!C42,T04_Classes!$B$3:$B$102,0),1)),0)&gt;0,Constitution&gt;12)),"yes","no")</f>
        <v>yes</v>
      </c>
      <c r="L42" s="218" t="str">
        <f>IF(OR(IFERROR(SEARCH("Intelligence",INDEX(T04_Classes!$BX$3:$BX$102,MATCH('C01_BaseCalculation'!C42,T04_Classes!$B$3:$B$102,0),1)),0)=0,AND(IFERROR(SEARCH("Intelligence",INDEX(T04_Classes!$BX$3:$BX$102,MATCH('C01_BaseCalculation'!C42,T04_Classes!$B$3:$B$102,0),1)),0)&gt;0,Intelligence&gt;12)),"yes","no")</f>
        <v>yes</v>
      </c>
      <c r="M42" s="218" t="str">
        <f>IF(OR(IFERROR(SEARCH("Wisdom",INDEX(T04_Classes!$BX$3:$BX$102,MATCH('C01_BaseCalculation'!C42,T04_Classes!$B$3:$B$102,0),1)),0)=0,AND(IFERROR(SEARCH("Wisdom",INDEX(T04_Classes!$BX$3:$BX$102,MATCH('C01_BaseCalculation'!C42,T04_Classes!$B$3:$B$102,0),1)),0)&gt;0,Wisdom&gt;12)),"yes","no")</f>
        <v>yes</v>
      </c>
      <c r="N42" s="218" t="str">
        <f>IF(OR(IFERROR(SEARCH("Charisma",INDEX(T04_Classes!$BX$3:$BX$102,MATCH('C01_BaseCalculation'!C42,T04_Classes!$B$3:$B$102,0),1)),0)=0,AND(IFERROR(SEARCH("Charisma",INDEX(T04_Classes!$BX$3:$BX$102,MATCH('C01_BaseCalculation'!C42,T04_Classes!$B$3:$B$102,0),1)),0)&gt;0,Charisma&gt;12)),"yes","no")</f>
        <v>yes</v>
      </c>
      <c r="O42" s="218">
        <f t="shared" si="1"/>
        <v>0</v>
      </c>
      <c r="P42" s="218">
        <f>IF(O42=0,0,COUNTIF($P$15:P41,"&gt;0")+1)</f>
        <v>0</v>
      </c>
      <c r="Q42" s="144"/>
      <c r="R42" s="220" t="str">
        <f t="shared" si="6"/>
        <v/>
      </c>
      <c r="S42" s="220" t="str">
        <f t="shared" si="2"/>
        <v/>
      </c>
      <c r="T42" s="144"/>
      <c r="U42" s="144"/>
      <c r="V42" s="144"/>
      <c r="W42" s="144"/>
      <c r="X42" s="219">
        <f t="shared" si="8"/>
        <v>28</v>
      </c>
      <c r="Y42" s="219" t="str">
        <f>IFERROR(INDEX(T01_Races!$B$2:$B$101,MATCH('C01_BaseCalculation'!X42,T01_Races!$C$2:$C$101,0),1),"")</f>
        <v>Goliath</v>
      </c>
      <c r="Z42" s="217" t="str">
        <f t="shared" si="9"/>
        <v/>
      </c>
      <c r="AA42" s="217" t="str">
        <f>IFERROR(IF(Z42="","",INDEX(T01_Races!$E$2:$E$101,MATCH('C01_BaseCalculation'!Z42,T01_Races!$D$2:$D$101,0),1)),"")</f>
        <v/>
      </c>
      <c r="AB42" s="217" t="str">
        <f>IFERROR(IF(Z42="","",INDEX(T01_Races!$A$2:$A$101,MATCH('C01_BaseCalculation'!Z42,T01_Races!$D$2:$D$101,0),1)),"")</f>
        <v/>
      </c>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row>
    <row r="43" spans="2:66" ht="18" x14ac:dyDescent="0.3">
      <c r="B43" s="218" t="str">
        <f t="shared" si="5"/>
        <v/>
      </c>
      <c r="C43" s="218" t="str">
        <f>IFERROR(INDEX(T04_Classes!$B$3:$B$102,B43,1),"")</f>
        <v/>
      </c>
      <c r="D43" s="218" t="str">
        <f>IF(C43="","",COUNTIF(Character_Creation!$R$62:$T$71,C43)+COUNTIF(Character_Creation!$R$72:$T$81,C43))</f>
        <v/>
      </c>
      <c r="E43" s="218">
        <f t="shared" si="0"/>
        <v>0</v>
      </c>
      <c r="F43" s="218">
        <f>IF(E43=0,0,COUNTIF($F$15:F42,"&gt;0")+1)</f>
        <v>0</v>
      </c>
      <c r="G43" s="218">
        <f>IF(IFERROR(SEARCH("and",INDEX(T04_Classes!$BX$3:$BX$102,MATCH('C01_BaseCalculation'!C43,T04_Classes!$B$3:$B$102,0),1)),0)&gt;1,1,0)</f>
        <v>0</v>
      </c>
      <c r="H43" s="218">
        <f>IF(IFERROR(SEARCH("or",INDEX(T04_Classes!$BX$3:$BX$102,MATCH('C01_BaseCalculation'!C43,T04_Classes!$B$3:$B$102,0),1)),0)&gt;1,1,0)</f>
        <v>0</v>
      </c>
      <c r="I43" s="218" t="str">
        <f>IF(OR(IFERROR(SEARCH("Strength",INDEX(T04_Classes!$BX$3:$BX$102,MATCH('C01_BaseCalculation'!C43,T04_Classes!$B$3:$B$102,0),1)),0)=0,AND(IFERROR(SEARCH("Strength",INDEX(T04_Classes!$BX$3:$BX$102,MATCH('C01_BaseCalculation'!C43,T04_Classes!$B$3:$B$102,0),1)),0)&gt;0,Strength&gt;12)),"yes","no")</f>
        <v>yes</v>
      </c>
      <c r="J43" s="218" t="str">
        <f>IF(OR(IFERROR(SEARCH("Dexterity",INDEX(T04_Classes!$BX$3:$BX$102,MATCH('C01_BaseCalculation'!C43,T04_Classes!$B$3:$B$102,0),1)),0)=0,AND(IFERROR(SEARCH("Dexterity",INDEX(T04_Classes!$BX$3:$BX$102,MATCH('C01_BaseCalculation'!C43,T04_Classes!$B$3:$B$102,0),1)),0)&gt;0,Dexterity&gt;12)),"yes","no")</f>
        <v>yes</v>
      </c>
      <c r="K43" s="218" t="str">
        <f>IF(OR(IFERROR(SEARCH("Constitution",INDEX(T04_Classes!$BX$3:$BX$102,MATCH('C01_BaseCalculation'!C43,T04_Classes!$B$3:$B$102,0),1)),0)=0,AND(IFERROR(SEARCH("Constitution",INDEX(T04_Classes!$BX$3:$BX$102,MATCH('C01_BaseCalculation'!C43,T04_Classes!$B$3:$B$102,0),1)),0)&gt;0,Constitution&gt;12)),"yes","no")</f>
        <v>yes</v>
      </c>
      <c r="L43" s="218" t="str">
        <f>IF(OR(IFERROR(SEARCH("Intelligence",INDEX(T04_Classes!$BX$3:$BX$102,MATCH('C01_BaseCalculation'!C43,T04_Classes!$B$3:$B$102,0),1)),0)=0,AND(IFERROR(SEARCH("Intelligence",INDEX(T04_Classes!$BX$3:$BX$102,MATCH('C01_BaseCalculation'!C43,T04_Classes!$B$3:$B$102,0),1)),0)&gt;0,Intelligence&gt;12)),"yes","no")</f>
        <v>yes</v>
      </c>
      <c r="M43" s="218" t="str">
        <f>IF(OR(IFERROR(SEARCH("Wisdom",INDEX(T04_Classes!$BX$3:$BX$102,MATCH('C01_BaseCalculation'!C43,T04_Classes!$B$3:$B$102,0),1)),0)=0,AND(IFERROR(SEARCH("Wisdom",INDEX(T04_Classes!$BX$3:$BX$102,MATCH('C01_BaseCalculation'!C43,T04_Classes!$B$3:$B$102,0),1)),0)&gt;0,Wisdom&gt;12)),"yes","no")</f>
        <v>yes</v>
      </c>
      <c r="N43" s="218" t="str">
        <f>IF(OR(IFERROR(SEARCH("Charisma",INDEX(T04_Classes!$BX$3:$BX$102,MATCH('C01_BaseCalculation'!C43,T04_Classes!$B$3:$B$102,0),1)),0)=0,AND(IFERROR(SEARCH("Charisma",INDEX(T04_Classes!$BX$3:$BX$102,MATCH('C01_BaseCalculation'!C43,T04_Classes!$B$3:$B$102,0),1)),0)&gt;0,Charisma&gt;12)),"yes","no")</f>
        <v>yes</v>
      </c>
      <c r="O43" s="218">
        <f t="shared" si="1"/>
        <v>0</v>
      </c>
      <c r="P43" s="218">
        <f>IF(O43=0,0,COUNTIF($P$15:P42,"&gt;0")+1)</f>
        <v>0</v>
      </c>
      <c r="Q43" s="144"/>
      <c r="R43" s="220" t="str">
        <f t="shared" si="6"/>
        <v/>
      </c>
      <c r="S43" s="220" t="str">
        <f t="shared" si="2"/>
        <v/>
      </c>
      <c r="T43" s="144"/>
      <c r="U43" s="144"/>
      <c r="V43" s="144"/>
      <c r="W43" s="144"/>
      <c r="X43" s="219">
        <f t="shared" si="8"/>
        <v>29</v>
      </c>
      <c r="Y43" s="219" t="str">
        <f>IFERROR(INDEX(T01_Races!$B$2:$B$101,MATCH('C01_BaseCalculation'!X43,T01_Races!$C$2:$C$101,0),1),"")</f>
        <v>Minotaur</v>
      </c>
      <c r="Z43" s="217" t="str">
        <f t="shared" si="9"/>
        <v/>
      </c>
      <c r="AA43" s="217" t="str">
        <f>IFERROR(IF(Z43="","",INDEX(T01_Races!$E$2:$E$101,MATCH('C01_BaseCalculation'!Z43,T01_Races!$D$2:$D$101,0),1)),"")</f>
        <v/>
      </c>
      <c r="AB43" s="217" t="str">
        <f>IFERROR(IF(Z43="","",INDEX(T01_Races!$A$2:$A$101,MATCH('C01_BaseCalculation'!Z43,T01_Races!$D$2:$D$101,0),1)),"")</f>
        <v/>
      </c>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row>
    <row r="44" spans="2:66" ht="18" x14ac:dyDescent="0.3">
      <c r="B44" s="218" t="str">
        <f t="shared" si="5"/>
        <v/>
      </c>
      <c r="C44" s="218" t="str">
        <f>IFERROR(INDEX(T04_Classes!$B$3:$B$102,B44,1),"")</f>
        <v/>
      </c>
      <c r="D44" s="218" t="str">
        <f>IF(C44="","",COUNTIF(Character_Creation!$R$62:$T$71,C44)+COUNTIF(Character_Creation!$R$72:$T$81,C44))</f>
        <v/>
      </c>
      <c r="E44" s="218">
        <f t="shared" si="0"/>
        <v>0</v>
      </c>
      <c r="F44" s="218">
        <f>IF(E44=0,0,COUNTIF($F$15:F43,"&gt;0")+1)</f>
        <v>0</v>
      </c>
      <c r="G44" s="218">
        <f>IF(IFERROR(SEARCH("and",INDEX(T04_Classes!$BX$3:$BX$102,MATCH('C01_BaseCalculation'!C44,T04_Classes!$B$3:$B$102,0),1)),0)&gt;1,1,0)</f>
        <v>0</v>
      </c>
      <c r="H44" s="218">
        <f>IF(IFERROR(SEARCH("or",INDEX(T04_Classes!$BX$3:$BX$102,MATCH('C01_BaseCalculation'!C44,T04_Classes!$B$3:$B$102,0),1)),0)&gt;1,1,0)</f>
        <v>0</v>
      </c>
      <c r="I44" s="218" t="str">
        <f>IF(OR(IFERROR(SEARCH("Strength",INDEX(T04_Classes!$BX$3:$BX$102,MATCH('C01_BaseCalculation'!C44,T04_Classes!$B$3:$B$102,0),1)),0)=0,AND(IFERROR(SEARCH("Strength",INDEX(T04_Classes!$BX$3:$BX$102,MATCH('C01_BaseCalculation'!C44,T04_Classes!$B$3:$B$102,0),1)),0)&gt;0,Strength&gt;12)),"yes","no")</f>
        <v>yes</v>
      </c>
      <c r="J44" s="218" t="str">
        <f>IF(OR(IFERROR(SEARCH("Dexterity",INDEX(T04_Classes!$BX$3:$BX$102,MATCH('C01_BaseCalculation'!C44,T04_Classes!$B$3:$B$102,0),1)),0)=0,AND(IFERROR(SEARCH("Dexterity",INDEX(T04_Classes!$BX$3:$BX$102,MATCH('C01_BaseCalculation'!C44,T04_Classes!$B$3:$B$102,0),1)),0)&gt;0,Dexterity&gt;12)),"yes","no")</f>
        <v>yes</v>
      </c>
      <c r="K44" s="218" t="str">
        <f>IF(OR(IFERROR(SEARCH("Constitution",INDEX(T04_Classes!$BX$3:$BX$102,MATCH('C01_BaseCalculation'!C44,T04_Classes!$B$3:$B$102,0),1)),0)=0,AND(IFERROR(SEARCH("Constitution",INDEX(T04_Classes!$BX$3:$BX$102,MATCH('C01_BaseCalculation'!C44,T04_Classes!$B$3:$B$102,0),1)),0)&gt;0,Constitution&gt;12)),"yes","no")</f>
        <v>yes</v>
      </c>
      <c r="L44" s="218" t="str">
        <f>IF(OR(IFERROR(SEARCH("Intelligence",INDEX(T04_Classes!$BX$3:$BX$102,MATCH('C01_BaseCalculation'!C44,T04_Classes!$B$3:$B$102,0),1)),0)=0,AND(IFERROR(SEARCH("Intelligence",INDEX(T04_Classes!$BX$3:$BX$102,MATCH('C01_BaseCalculation'!C44,T04_Classes!$B$3:$B$102,0),1)),0)&gt;0,Intelligence&gt;12)),"yes","no")</f>
        <v>yes</v>
      </c>
      <c r="M44" s="218" t="str">
        <f>IF(OR(IFERROR(SEARCH("Wisdom",INDEX(T04_Classes!$BX$3:$BX$102,MATCH('C01_BaseCalculation'!C44,T04_Classes!$B$3:$B$102,0),1)),0)=0,AND(IFERROR(SEARCH("Wisdom",INDEX(T04_Classes!$BX$3:$BX$102,MATCH('C01_BaseCalculation'!C44,T04_Classes!$B$3:$B$102,0),1)),0)&gt;0,Wisdom&gt;12)),"yes","no")</f>
        <v>yes</v>
      </c>
      <c r="N44" s="218" t="str">
        <f>IF(OR(IFERROR(SEARCH("Charisma",INDEX(T04_Classes!$BX$3:$BX$102,MATCH('C01_BaseCalculation'!C44,T04_Classes!$B$3:$B$102,0),1)),0)=0,AND(IFERROR(SEARCH("Charisma",INDEX(T04_Classes!$BX$3:$BX$102,MATCH('C01_BaseCalculation'!C44,T04_Classes!$B$3:$B$102,0),1)),0)&gt;0,Charisma&gt;12)),"yes","no")</f>
        <v>yes</v>
      </c>
      <c r="O44" s="218">
        <f t="shared" si="1"/>
        <v>0</v>
      </c>
      <c r="P44" s="218">
        <f>IF(O44=0,0,COUNTIF($P$15:P43,"&gt;0")+1)</f>
        <v>0</v>
      </c>
      <c r="Q44" s="144"/>
      <c r="R44" s="220" t="str">
        <f t="shared" si="6"/>
        <v/>
      </c>
      <c r="S44" s="220" t="str">
        <f t="shared" si="2"/>
        <v/>
      </c>
      <c r="T44" s="144"/>
      <c r="U44" s="144"/>
      <c r="V44" s="144"/>
      <c r="W44" s="144"/>
      <c r="X44" s="219" t="str">
        <f t="shared" si="8"/>
        <v/>
      </c>
      <c r="Y44" s="219" t="str">
        <f>IFERROR(INDEX(T01_Races!$B$2:$B$101,MATCH('C01_BaseCalculation'!X44,T01_Races!$C$2:$C$101,0),1),"")</f>
        <v/>
      </c>
      <c r="Z44" s="217" t="str">
        <f t="shared" si="9"/>
        <v/>
      </c>
      <c r="AA44" s="217" t="str">
        <f>IFERROR(IF(Z44="","",INDEX(T01_Races!$E$2:$E$101,MATCH('C01_BaseCalculation'!Z44,T01_Races!$D$2:$D$101,0),1)),"")</f>
        <v/>
      </c>
      <c r="AB44" s="217" t="str">
        <f>IFERROR(IF(Z44="","",INDEX(T01_Races!$A$2:$A$101,MATCH('C01_BaseCalculation'!Z44,T01_Races!$D$2:$D$101,0),1)),"")</f>
        <v/>
      </c>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row>
    <row r="45" spans="2:66" ht="18" x14ac:dyDescent="0.3">
      <c r="B45" s="218" t="str">
        <f t="shared" si="5"/>
        <v/>
      </c>
      <c r="C45" s="218" t="str">
        <f>IFERROR(INDEX(T04_Classes!$B$3:$B$102,B45,1),"")</f>
        <v/>
      </c>
      <c r="D45" s="218" t="str">
        <f>IF(C45="","",COUNTIF(Character_Creation!$R$62:$T$71,C45)+COUNTIF(Character_Creation!$R$72:$T$81,C45))</f>
        <v/>
      </c>
      <c r="E45" s="218">
        <f t="shared" si="0"/>
        <v>0</v>
      </c>
      <c r="F45" s="218">
        <f>IF(E45=0,0,COUNTIF($F$15:F44,"&gt;0")+1)</f>
        <v>0</v>
      </c>
      <c r="G45" s="218">
        <f>IF(IFERROR(SEARCH("and",INDEX(T04_Classes!$BX$3:$BX$102,MATCH('C01_BaseCalculation'!C45,T04_Classes!$B$3:$B$102,0),1)),0)&gt;1,1,0)</f>
        <v>0</v>
      </c>
      <c r="H45" s="218">
        <f>IF(IFERROR(SEARCH("or",INDEX(T04_Classes!$BX$3:$BX$102,MATCH('C01_BaseCalculation'!C45,T04_Classes!$B$3:$B$102,0),1)),0)&gt;1,1,0)</f>
        <v>0</v>
      </c>
      <c r="I45" s="218" t="str">
        <f>IF(OR(IFERROR(SEARCH("Strength",INDEX(T04_Classes!$BX$3:$BX$102,MATCH('C01_BaseCalculation'!C45,T04_Classes!$B$3:$B$102,0),1)),0)=0,AND(IFERROR(SEARCH("Strength",INDEX(T04_Classes!$BX$3:$BX$102,MATCH('C01_BaseCalculation'!C45,T04_Classes!$B$3:$B$102,0),1)),0)&gt;0,Strength&gt;12)),"yes","no")</f>
        <v>yes</v>
      </c>
      <c r="J45" s="218" t="str">
        <f>IF(OR(IFERROR(SEARCH("Dexterity",INDEX(T04_Classes!$BX$3:$BX$102,MATCH('C01_BaseCalculation'!C45,T04_Classes!$B$3:$B$102,0),1)),0)=0,AND(IFERROR(SEARCH("Dexterity",INDEX(T04_Classes!$BX$3:$BX$102,MATCH('C01_BaseCalculation'!C45,T04_Classes!$B$3:$B$102,0),1)),0)&gt;0,Dexterity&gt;12)),"yes","no")</f>
        <v>yes</v>
      </c>
      <c r="K45" s="218" t="str">
        <f>IF(OR(IFERROR(SEARCH("Constitution",INDEX(T04_Classes!$BX$3:$BX$102,MATCH('C01_BaseCalculation'!C45,T04_Classes!$B$3:$B$102,0),1)),0)=0,AND(IFERROR(SEARCH("Constitution",INDEX(T04_Classes!$BX$3:$BX$102,MATCH('C01_BaseCalculation'!C45,T04_Classes!$B$3:$B$102,0),1)),0)&gt;0,Constitution&gt;12)),"yes","no")</f>
        <v>yes</v>
      </c>
      <c r="L45" s="218" t="str">
        <f>IF(OR(IFERROR(SEARCH("Intelligence",INDEX(T04_Classes!$BX$3:$BX$102,MATCH('C01_BaseCalculation'!C45,T04_Classes!$B$3:$B$102,0),1)),0)=0,AND(IFERROR(SEARCH("Intelligence",INDEX(T04_Classes!$BX$3:$BX$102,MATCH('C01_BaseCalculation'!C45,T04_Classes!$B$3:$B$102,0),1)),0)&gt;0,Intelligence&gt;12)),"yes","no")</f>
        <v>yes</v>
      </c>
      <c r="M45" s="218" t="str">
        <f>IF(OR(IFERROR(SEARCH("Wisdom",INDEX(T04_Classes!$BX$3:$BX$102,MATCH('C01_BaseCalculation'!C45,T04_Classes!$B$3:$B$102,0),1)),0)=0,AND(IFERROR(SEARCH("Wisdom",INDEX(T04_Classes!$BX$3:$BX$102,MATCH('C01_BaseCalculation'!C45,T04_Classes!$B$3:$B$102,0),1)),0)&gt;0,Wisdom&gt;12)),"yes","no")</f>
        <v>yes</v>
      </c>
      <c r="N45" s="218" t="str">
        <f>IF(OR(IFERROR(SEARCH("Charisma",INDEX(T04_Classes!$BX$3:$BX$102,MATCH('C01_BaseCalculation'!C45,T04_Classes!$B$3:$B$102,0),1)),0)=0,AND(IFERROR(SEARCH("Charisma",INDEX(T04_Classes!$BX$3:$BX$102,MATCH('C01_BaseCalculation'!C45,T04_Classes!$B$3:$B$102,0),1)),0)&gt;0,Charisma&gt;12)),"yes","no")</f>
        <v>yes</v>
      </c>
      <c r="O45" s="218">
        <f t="shared" si="1"/>
        <v>0</v>
      </c>
      <c r="P45" s="218">
        <f>IF(O45=0,0,COUNTIF($P$15:P44,"&gt;0")+1)</f>
        <v>0</v>
      </c>
      <c r="Q45" s="145"/>
      <c r="R45" s="220" t="str">
        <f t="shared" si="6"/>
        <v/>
      </c>
      <c r="S45" s="220" t="str">
        <f t="shared" si="2"/>
        <v/>
      </c>
      <c r="T45" s="145"/>
      <c r="U45" s="145"/>
      <c r="V45" s="145"/>
      <c r="W45" s="145"/>
      <c r="X45" s="219" t="str">
        <f t="shared" si="8"/>
        <v/>
      </c>
      <c r="Y45" s="219" t="str">
        <f>IFERROR(INDEX(T01_Races!$B$2:$B$101,MATCH('C01_BaseCalculation'!X45,T01_Races!$C$2:$C$101,0),1),"")</f>
        <v/>
      </c>
      <c r="Z45" s="217" t="str">
        <f t="shared" si="9"/>
        <v/>
      </c>
      <c r="AA45" s="217" t="str">
        <f>IFERROR(IF(Z45="","",INDEX(T01_Races!$E$2:$E$101,MATCH('C01_BaseCalculation'!Z45,T01_Races!$D$2:$D$101,0),1)),"")</f>
        <v/>
      </c>
      <c r="AB45" s="217" t="str">
        <f>IFERROR(IF(Z45="","",INDEX(T01_Races!$A$2:$A$101,MATCH('C01_BaseCalculation'!Z45,T01_Races!$D$2:$D$101,0),1)),"")</f>
        <v/>
      </c>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row>
    <row r="46" spans="2:66" ht="18" x14ac:dyDescent="0.3">
      <c r="B46" s="218" t="str">
        <f t="shared" si="5"/>
        <v/>
      </c>
      <c r="C46" s="218" t="str">
        <f>IFERROR(INDEX(T04_Classes!$B$3:$B$102,B46,1),"")</f>
        <v/>
      </c>
      <c r="D46" s="218" t="str">
        <f>IF(C46="","",COUNTIF(Character_Creation!$R$62:$T$71,C46)+COUNTIF(Character_Creation!$R$72:$T$81,C46))</f>
        <v/>
      </c>
      <c r="E46" s="218">
        <f t="shared" si="0"/>
        <v>0</v>
      </c>
      <c r="F46" s="218">
        <f>IF(E46=0,0,COUNTIF($F$15:F45,"&gt;0")+1)</f>
        <v>0</v>
      </c>
      <c r="G46" s="218">
        <f>IF(IFERROR(SEARCH("and",INDEX(T04_Classes!$BX$3:$BX$102,MATCH('C01_BaseCalculation'!C46,T04_Classes!$B$3:$B$102,0),1)),0)&gt;1,1,0)</f>
        <v>0</v>
      </c>
      <c r="H46" s="218">
        <f>IF(IFERROR(SEARCH("or",INDEX(T04_Classes!$BX$3:$BX$102,MATCH('C01_BaseCalculation'!C46,T04_Classes!$B$3:$B$102,0),1)),0)&gt;1,1,0)</f>
        <v>0</v>
      </c>
      <c r="I46" s="218" t="str">
        <f>IF(OR(IFERROR(SEARCH("Strength",INDEX(T04_Classes!$BX$3:$BX$102,MATCH('C01_BaseCalculation'!C46,T04_Classes!$B$3:$B$102,0),1)),0)=0,AND(IFERROR(SEARCH("Strength",INDEX(T04_Classes!$BX$3:$BX$102,MATCH('C01_BaseCalculation'!C46,T04_Classes!$B$3:$B$102,0),1)),0)&gt;0,Strength&gt;12)),"yes","no")</f>
        <v>yes</v>
      </c>
      <c r="J46" s="218" t="str">
        <f>IF(OR(IFERROR(SEARCH("Dexterity",INDEX(T04_Classes!$BX$3:$BX$102,MATCH('C01_BaseCalculation'!C46,T04_Classes!$B$3:$B$102,0),1)),0)=0,AND(IFERROR(SEARCH("Dexterity",INDEX(T04_Classes!$BX$3:$BX$102,MATCH('C01_BaseCalculation'!C46,T04_Classes!$B$3:$B$102,0),1)),0)&gt;0,Dexterity&gt;12)),"yes","no")</f>
        <v>yes</v>
      </c>
      <c r="K46" s="218" t="str">
        <f>IF(OR(IFERROR(SEARCH("Constitution",INDEX(T04_Classes!$BX$3:$BX$102,MATCH('C01_BaseCalculation'!C46,T04_Classes!$B$3:$B$102,0),1)),0)=0,AND(IFERROR(SEARCH("Constitution",INDEX(T04_Classes!$BX$3:$BX$102,MATCH('C01_BaseCalculation'!C46,T04_Classes!$B$3:$B$102,0),1)),0)&gt;0,Constitution&gt;12)),"yes","no")</f>
        <v>yes</v>
      </c>
      <c r="L46" s="218" t="str">
        <f>IF(OR(IFERROR(SEARCH("Intelligence",INDEX(T04_Classes!$BX$3:$BX$102,MATCH('C01_BaseCalculation'!C46,T04_Classes!$B$3:$B$102,0),1)),0)=0,AND(IFERROR(SEARCH("Intelligence",INDEX(T04_Classes!$BX$3:$BX$102,MATCH('C01_BaseCalculation'!C46,T04_Classes!$B$3:$B$102,0),1)),0)&gt;0,Intelligence&gt;12)),"yes","no")</f>
        <v>yes</v>
      </c>
      <c r="M46" s="218" t="str">
        <f>IF(OR(IFERROR(SEARCH("Wisdom",INDEX(T04_Classes!$BX$3:$BX$102,MATCH('C01_BaseCalculation'!C46,T04_Classes!$B$3:$B$102,0),1)),0)=0,AND(IFERROR(SEARCH("Wisdom",INDEX(T04_Classes!$BX$3:$BX$102,MATCH('C01_BaseCalculation'!C46,T04_Classes!$B$3:$B$102,0),1)),0)&gt;0,Wisdom&gt;12)),"yes","no")</f>
        <v>yes</v>
      </c>
      <c r="N46" s="218" t="str">
        <f>IF(OR(IFERROR(SEARCH("Charisma",INDEX(T04_Classes!$BX$3:$BX$102,MATCH('C01_BaseCalculation'!C46,T04_Classes!$B$3:$B$102,0),1)),0)=0,AND(IFERROR(SEARCH("Charisma",INDEX(T04_Classes!$BX$3:$BX$102,MATCH('C01_BaseCalculation'!C46,T04_Classes!$B$3:$B$102,0),1)),0)&gt;0,Charisma&gt;12)),"yes","no")</f>
        <v>yes</v>
      </c>
      <c r="O46" s="218">
        <f t="shared" si="1"/>
        <v>0</v>
      </c>
      <c r="P46" s="218">
        <f>IF(O46=0,0,COUNTIF($P$15:P45,"&gt;0")+1)</f>
        <v>0</v>
      </c>
      <c r="Q46" s="143"/>
      <c r="R46" s="220" t="str">
        <f t="shared" si="6"/>
        <v/>
      </c>
      <c r="S46" s="220" t="str">
        <f t="shared" si="2"/>
        <v/>
      </c>
      <c r="T46" s="143"/>
      <c r="U46" s="143"/>
      <c r="V46" s="143"/>
      <c r="W46" s="143"/>
      <c r="X46" s="219" t="str">
        <f t="shared" si="8"/>
        <v/>
      </c>
      <c r="Y46" s="219" t="str">
        <f>IFERROR(INDEX(T01_Races!$B$2:$B$101,MATCH('C01_BaseCalculation'!X46,T01_Races!$C$2:$C$101,0),1),"")</f>
        <v/>
      </c>
      <c r="Z46" s="217" t="str">
        <f t="shared" si="9"/>
        <v/>
      </c>
      <c r="AA46" s="217" t="str">
        <f>IFERROR(IF(Z46="","",INDEX(T01_Races!$E$2:$E$101,MATCH('C01_BaseCalculation'!Z46,T01_Races!$D$2:$D$101,0),1)),"")</f>
        <v/>
      </c>
      <c r="AB46" s="217" t="str">
        <f>IFERROR(IF(Z46="","",INDEX(T01_Races!$A$2:$A$101,MATCH('C01_BaseCalculation'!Z46,T01_Races!$D$2:$D$101,0),1)),"")</f>
        <v/>
      </c>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row>
    <row r="47" spans="2:66" ht="18" x14ac:dyDescent="0.3">
      <c r="B47" s="218" t="str">
        <f t="shared" si="5"/>
        <v/>
      </c>
      <c r="C47" s="218" t="str">
        <f>IFERROR(INDEX(T04_Classes!$B$3:$B$102,B47,1),"")</f>
        <v/>
      </c>
      <c r="D47" s="218" t="str">
        <f>IF(C47="","",COUNTIF(Character_Creation!$R$62:$T$71,C47)+COUNTIF(Character_Creation!$R$72:$T$81,C47))</f>
        <v/>
      </c>
      <c r="E47" s="218">
        <f t="shared" ref="E47:E78" si="10">IF(OR(D47=0,D47=""),0,1)</f>
        <v>0</v>
      </c>
      <c r="F47" s="218">
        <f>IF(E47=0,0,COUNTIF($F$15:F46,"&gt;0")+1)</f>
        <v>0</v>
      </c>
      <c r="G47" s="218">
        <f>IF(IFERROR(SEARCH("and",INDEX(T04_Classes!$BX$3:$BX$102,MATCH('C01_BaseCalculation'!C47,T04_Classes!$B$3:$B$102,0),1)),0)&gt;1,1,0)</f>
        <v>0</v>
      </c>
      <c r="H47" s="218">
        <f>IF(IFERROR(SEARCH("or",INDEX(T04_Classes!$BX$3:$BX$102,MATCH('C01_BaseCalculation'!C47,T04_Classes!$B$3:$B$102,0),1)),0)&gt;1,1,0)</f>
        <v>0</v>
      </c>
      <c r="I47" s="218" t="str">
        <f>IF(OR(IFERROR(SEARCH("Strength",INDEX(T04_Classes!$BX$3:$BX$102,MATCH('C01_BaseCalculation'!C47,T04_Classes!$B$3:$B$102,0),1)),0)=0,AND(IFERROR(SEARCH("Strength",INDEX(T04_Classes!$BX$3:$BX$102,MATCH('C01_BaseCalculation'!C47,T04_Classes!$B$3:$B$102,0),1)),0)&gt;0,Strength&gt;12)),"yes","no")</f>
        <v>yes</v>
      </c>
      <c r="J47" s="218" t="str">
        <f>IF(OR(IFERROR(SEARCH("Dexterity",INDEX(T04_Classes!$BX$3:$BX$102,MATCH('C01_BaseCalculation'!C47,T04_Classes!$B$3:$B$102,0),1)),0)=0,AND(IFERROR(SEARCH("Dexterity",INDEX(T04_Classes!$BX$3:$BX$102,MATCH('C01_BaseCalculation'!C47,T04_Classes!$B$3:$B$102,0),1)),0)&gt;0,Dexterity&gt;12)),"yes","no")</f>
        <v>yes</v>
      </c>
      <c r="K47" s="218" t="str">
        <f>IF(OR(IFERROR(SEARCH("Constitution",INDEX(T04_Classes!$BX$3:$BX$102,MATCH('C01_BaseCalculation'!C47,T04_Classes!$B$3:$B$102,0),1)),0)=0,AND(IFERROR(SEARCH("Constitution",INDEX(T04_Classes!$BX$3:$BX$102,MATCH('C01_BaseCalculation'!C47,T04_Classes!$B$3:$B$102,0),1)),0)&gt;0,Constitution&gt;12)),"yes","no")</f>
        <v>yes</v>
      </c>
      <c r="L47" s="218" t="str">
        <f>IF(OR(IFERROR(SEARCH("Intelligence",INDEX(T04_Classes!$BX$3:$BX$102,MATCH('C01_BaseCalculation'!C47,T04_Classes!$B$3:$B$102,0),1)),0)=0,AND(IFERROR(SEARCH("Intelligence",INDEX(T04_Classes!$BX$3:$BX$102,MATCH('C01_BaseCalculation'!C47,T04_Classes!$B$3:$B$102,0),1)),0)&gt;0,Intelligence&gt;12)),"yes","no")</f>
        <v>yes</v>
      </c>
      <c r="M47" s="218" t="str">
        <f>IF(OR(IFERROR(SEARCH("Wisdom",INDEX(T04_Classes!$BX$3:$BX$102,MATCH('C01_BaseCalculation'!C47,T04_Classes!$B$3:$B$102,0),1)),0)=0,AND(IFERROR(SEARCH("Wisdom",INDEX(T04_Classes!$BX$3:$BX$102,MATCH('C01_BaseCalculation'!C47,T04_Classes!$B$3:$B$102,0),1)),0)&gt;0,Wisdom&gt;12)),"yes","no")</f>
        <v>yes</v>
      </c>
      <c r="N47" s="218" t="str">
        <f>IF(OR(IFERROR(SEARCH("Charisma",INDEX(T04_Classes!$BX$3:$BX$102,MATCH('C01_BaseCalculation'!C47,T04_Classes!$B$3:$B$102,0),1)),0)=0,AND(IFERROR(SEARCH("Charisma",INDEX(T04_Classes!$BX$3:$BX$102,MATCH('C01_BaseCalculation'!C47,T04_Classes!$B$3:$B$102,0),1)),0)&gt;0,Charisma&gt;12)),"yes","no")</f>
        <v>yes</v>
      </c>
      <c r="O47" s="218">
        <f t="shared" ref="O47:O78" si="11">IF(C47="",0,IF(H47=1,IF(COUNTIF(I47:N47,"no")&lt;2,1,0),IF(COUNTIF(I47:N47,"no")&gt;0,0,1)))</f>
        <v>0</v>
      </c>
      <c r="P47" s="218">
        <f>IF(O47=0,0,COUNTIF($P$15:P46,"&gt;0")+1)</f>
        <v>0</v>
      </c>
      <c r="Q47" s="144"/>
      <c r="R47" s="220" t="str">
        <f t="shared" si="6"/>
        <v/>
      </c>
      <c r="S47" s="220" t="str">
        <f t="shared" ref="S47:S78" si="12">IFERROR(INDEX($C$15:$C$114,MATCH(R47,$P$15:$P$114,0),1),"")</f>
        <v/>
      </c>
      <c r="T47" s="144"/>
      <c r="U47" s="144"/>
      <c r="V47" s="144"/>
      <c r="W47" s="144"/>
      <c r="X47" s="219" t="str">
        <f t="shared" si="8"/>
        <v/>
      </c>
      <c r="Y47" s="219" t="str">
        <f>IFERROR(INDEX(T01_Races!$B$2:$B$101,MATCH('C01_BaseCalculation'!X47,T01_Races!$C$2:$C$101,0),1),"")</f>
        <v/>
      </c>
      <c r="Z47" s="217" t="str">
        <f t="shared" si="9"/>
        <v/>
      </c>
      <c r="AA47" s="217" t="str">
        <f>IFERROR(IF(Z47="","",INDEX(T01_Races!$E$2:$E$101,MATCH('C01_BaseCalculation'!Z47,T01_Races!$D$2:$D$101,0),1)),"")</f>
        <v/>
      </c>
      <c r="AB47" s="217" t="str">
        <f>IFERROR(IF(Z47="","",INDEX(T01_Races!$A$2:$A$101,MATCH('C01_BaseCalculation'!Z47,T01_Races!$D$2:$D$101,0),1)),"")</f>
        <v/>
      </c>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row>
    <row r="48" spans="2:66" ht="18" x14ac:dyDescent="0.3">
      <c r="B48" s="218" t="str">
        <f t="shared" ref="B48:B79" si="13">IFERROR(IF(B47+1&lt;UniqueClassesNumber+1,B47+1,""),"")</f>
        <v/>
      </c>
      <c r="C48" s="218" t="str">
        <f>IFERROR(INDEX(T04_Classes!$B$3:$B$102,B48,1),"")</f>
        <v/>
      </c>
      <c r="D48" s="218" t="str">
        <f>IF(C48="","",COUNTIF(Character_Creation!$R$62:$T$71,C48)+COUNTIF(Character_Creation!$R$72:$T$81,C48))</f>
        <v/>
      </c>
      <c r="E48" s="218">
        <f t="shared" si="10"/>
        <v>0</v>
      </c>
      <c r="F48" s="218">
        <f>IF(E48=0,0,COUNTIF($F$15:F47,"&gt;0")+1)</f>
        <v>0</v>
      </c>
      <c r="G48" s="218">
        <f>IF(IFERROR(SEARCH("and",INDEX(T04_Classes!$BX$3:$BX$102,MATCH('C01_BaseCalculation'!C48,T04_Classes!$B$3:$B$102,0),1)),0)&gt;1,1,0)</f>
        <v>0</v>
      </c>
      <c r="H48" s="218">
        <f>IF(IFERROR(SEARCH("or",INDEX(T04_Classes!$BX$3:$BX$102,MATCH('C01_BaseCalculation'!C48,T04_Classes!$B$3:$B$102,0),1)),0)&gt;1,1,0)</f>
        <v>0</v>
      </c>
      <c r="I48" s="218" t="str">
        <f>IF(OR(IFERROR(SEARCH("Strength",INDEX(T04_Classes!$BX$3:$BX$102,MATCH('C01_BaseCalculation'!C48,T04_Classes!$B$3:$B$102,0),1)),0)=0,AND(IFERROR(SEARCH("Strength",INDEX(T04_Classes!$BX$3:$BX$102,MATCH('C01_BaseCalculation'!C48,T04_Classes!$B$3:$B$102,0),1)),0)&gt;0,Strength&gt;12)),"yes","no")</f>
        <v>yes</v>
      </c>
      <c r="J48" s="218" t="str">
        <f>IF(OR(IFERROR(SEARCH("Dexterity",INDEX(T04_Classes!$BX$3:$BX$102,MATCH('C01_BaseCalculation'!C48,T04_Classes!$B$3:$B$102,0),1)),0)=0,AND(IFERROR(SEARCH("Dexterity",INDEX(T04_Classes!$BX$3:$BX$102,MATCH('C01_BaseCalculation'!C48,T04_Classes!$B$3:$B$102,0),1)),0)&gt;0,Dexterity&gt;12)),"yes","no")</f>
        <v>yes</v>
      </c>
      <c r="K48" s="218" t="str">
        <f>IF(OR(IFERROR(SEARCH("Constitution",INDEX(T04_Classes!$BX$3:$BX$102,MATCH('C01_BaseCalculation'!C48,T04_Classes!$B$3:$B$102,0),1)),0)=0,AND(IFERROR(SEARCH("Constitution",INDEX(T04_Classes!$BX$3:$BX$102,MATCH('C01_BaseCalculation'!C48,T04_Classes!$B$3:$B$102,0),1)),0)&gt;0,Constitution&gt;12)),"yes","no")</f>
        <v>yes</v>
      </c>
      <c r="L48" s="218" t="str">
        <f>IF(OR(IFERROR(SEARCH("Intelligence",INDEX(T04_Classes!$BX$3:$BX$102,MATCH('C01_BaseCalculation'!C48,T04_Classes!$B$3:$B$102,0),1)),0)=0,AND(IFERROR(SEARCH("Intelligence",INDEX(T04_Classes!$BX$3:$BX$102,MATCH('C01_BaseCalculation'!C48,T04_Classes!$B$3:$B$102,0),1)),0)&gt;0,Intelligence&gt;12)),"yes","no")</f>
        <v>yes</v>
      </c>
      <c r="M48" s="218" t="str">
        <f>IF(OR(IFERROR(SEARCH("Wisdom",INDEX(T04_Classes!$BX$3:$BX$102,MATCH('C01_BaseCalculation'!C48,T04_Classes!$B$3:$B$102,0),1)),0)=0,AND(IFERROR(SEARCH("Wisdom",INDEX(T04_Classes!$BX$3:$BX$102,MATCH('C01_BaseCalculation'!C48,T04_Classes!$B$3:$B$102,0),1)),0)&gt;0,Wisdom&gt;12)),"yes","no")</f>
        <v>yes</v>
      </c>
      <c r="N48" s="218" t="str">
        <f>IF(OR(IFERROR(SEARCH("Charisma",INDEX(T04_Classes!$BX$3:$BX$102,MATCH('C01_BaseCalculation'!C48,T04_Classes!$B$3:$B$102,0),1)),0)=0,AND(IFERROR(SEARCH("Charisma",INDEX(T04_Classes!$BX$3:$BX$102,MATCH('C01_BaseCalculation'!C48,T04_Classes!$B$3:$B$102,0),1)),0)&gt;0,Charisma&gt;12)),"yes","no")</f>
        <v>yes</v>
      </c>
      <c r="O48" s="218">
        <f t="shared" si="11"/>
        <v>0</v>
      </c>
      <c r="P48" s="218">
        <f>IF(O48=0,0,COUNTIF($P$15:P47,"&gt;0")+1)</f>
        <v>0</v>
      </c>
      <c r="Q48" s="145"/>
      <c r="R48" s="220" t="str">
        <f t="shared" ref="R48:R79" si="14">IFERROR(IF(R47+1&lt;=MAX($P$15:$P$114),R47+1,""),"")</f>
        <v/>
      </c>
      <c r="S48" s="220" t="str">
        <f t="shared" si="12"/>
        <v/>
      </c>
      <c r="T48" s="145"/>
      <c r="U48" s="145"/>
      <c r="V48" s="145"/>
      <c r="W48" s="145"/>
      <c r="X48" s="219" t="str">
        <f t="shared" ref="X48:X79" si="15">IFERROR(IF(X47+1&lt;=UniqueRaceNumer,X47+1,""),"")</f>
        <v/>
      </c>
      <c r="Y48" s="219" t="str">
        <f>IFERROR(INDEX(T01_Races!$B$2:$B$101,MATCH('C01_BaseCalculation'!X48,T01_Races!$C$2:$C$101,0),1),"")</f>
        <v/>
      </c>
      <c r="Z48" s="217" t="str">
        <f t="shared" ref="Z48:Z79" si="16">IFERROR(IF(Z47+1&lt;=UniqueSubraces,Z47+1,""),"")</f>
        <v/>
      </c>
      <c r="AA48" s="217" t="str">
        <f>IFERROR(IF(Z48="","",INDEX(T01_Races!$E$2:$E$101,MATCH('C01_BaseCalculation'!Z48,T01_Races!$D$2:$D$101,0),1)),"")</f>
        <v/>
      </c>
      <c r="AB48" s="217" t="str">
        <f>IFERROR(IF(Z48="","",INDEX(T01_Races!$A$2:$A$101,MATCH('C01_BaseCalculation'!Z48,T01_Races!$D$2:$D$101,0),1)),"")</f>
        <v/>
      </c>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row>
    <row r="49" spans="2:66" x14ac:dyDescent="0.3">
      <c r="B49" s="218" t="str">
        <f t="shared" si="13"/>
        <v/>
      </c>
      <c r="C49" s="218" t="str">
        <f>IFERROR(INDEX(T04_Classes!$B$3:$B$102,B49,1),"")</f>
        <v/>
      </c>
      <c r="D49" s="218" t="str">
        <f>IF(C49="","",COUNTIF(Character_Creation!$R$62:$T$71,C49)+COUNTIF(Character_Creation!$R$72:$T$81,C49))</f>
        <v/>
      </c>
      <c r="E49" s="218">
        <f t="shared" si="10"/>
        <v>0</v>
      </c>
      <c r="F49" s="218">
        <f>IF(E49=0,0,COUNTIF($F$15:F48,"&gt;0")+1)</f>
        <v>0</v>
      </c>
      <c r="G49" s="218">
        <f>IF(IFERROR(SEARCH("and",INDEX(T04_Classes!$BX$3:$BX$102,MATCH('C01_BaseCalculation'!C49,T04_Classes!$B$3:$B$102,0),1)),0)&gt;1,1,0)</f>
        <v>0</v>
      </c>
      <c r="H49" s="218">
        <f>IF(IFERROR(SEARCH("or",INDEX(T04_Classes!$BX$3:$BX$102,MATCH('C01_BaseCalculation'!C49,T04_Classes!$B$3:$B$102,0),1)),0)&gt;1,1,0)</f>
        <v>0</v>
      </c>
      <c r="I49" s="218" t="str">
        <f>IF(OR(IFERROR(SEARCH("Strength",INDEX(T04_Classes!$BX$3:$BX$102,MATCH('C01_BaseCalculation'!C49,T04_Classes!$B$3:$B$102,0),1)),0)=0,AND(IFERROR(SEARCH("Strength",INDEX(T04_Classes!$BX$3:$BX$102,MATCH('C01_BaseCalculation'!C49,T04_Classes!$B$3:$B$102,0),1)),0)&gt;0,Strength&gt;12)),"yes","no")</f>
        <v>yes</v>
      </c>
      <c r="J49" s="218" t="str">
        <f>IF(OR(IFERROR(SEARCH("Dexterity",INDEX(T04_Classes!$BX$3:$BX$102,MATCH('C01_BaseCalculation'!C49,T04_Classes!$B$3:$B$102,0),1)),0)=0,AND(IFERROR(SEARCH("Dexterity",INDEX(T04_Classes!$BX$3:$BX$102,MATCH('C01_BaseCalculation'!C49,T04_Classes!$B$3:$B$102,0),1)),0)&gt;0,Dexterity&gt;12)),"yes","no")</f>
        <v>yes</v>
      </c>
      <c r="K49" s="218" t="str">
        <f>IF(OR(IFERROR(SEARCH("Constitution",INDEX(T04_Classes!$BX$3:$BX$102,MATCH('C01_BaseCalculation'!C49,T04_Classes!$B$3:$B$102,0),1)),0)=0,AND(IFERROR(SEARCH("Constitution",INDEX(T04_Classes!$BX$3:$BX$102,MATCH('C01_BaseCalculation'!C49,T04_Classes!$B$3:$B$102,0),1)),0)&gt;0,Constitution&gt;12)),"yes","no")</f>
        <v>yes</v>
      </c>
      <c r="L49" s="218" t="str">
        <f>IF(OR(IFERROR(SEARCH("Intelligence",INDEX(T04_Classes!$BX$3:$BX$102,MATCH('C01_BaseCalculation'!C49,T04_Classes!$B$3:$B$102,0),1)),0)=0,AND(IFERROR(SEARCH("Intelligence",INDEX(T04_Classes!$BX$3:$BX$102,MATCH('C01_BaseCalculation'!C49,T04_Classes!$B$3:$B$102,0),1)),0)&gt;0,Intelligence&gt;12)),"yes","no")</f>
        <v>yes</v>
      </c>
      <c r="M49" s="218" t="str">
        <f>IF(OR(IFERROR(SEARCH("Wisdom",INDEX(T04_Classes!$BX$3:$BX$102,MATCH('C01_BaseCalculation'!C49,T04_Classes!$B$3:$B$102,0),1)),0)=0,AND(IFERROR(SEARCH("Wisdom",INDEX(T04_Classes!$BX$3:$BX$102,MATCH('C01_BaseCalculation'!C49,T04_Classes!$B$3:$B$102,0),1)),0)&gt;0,Wisdom&gt;12)),"yes","no")</f>
        <v>yes</v>
      </c>
      <c r="N49" s="218" t="str">
        <f>IF(OR(IFERROR(SEARCH("Charisma",INDEX(T04_Classes!$BX$3:$BX$102,MATCH('C01_BaseCalculation'!C49,T04_Classes!$B$3:$B$102,0),1)),0)=0,AND(IFERROR(SEARCH("Charisma",INDEX(T04_Classes!$BX$3:$BX$102,MATCH('C01_BaseCalculation'!C49,T04_Classes!$B$3:$B$102,0),1)),0)&gt;0,Charisma&gt;12)),"yes","no")</f>
        <v>yes</v>
      </c>
      <c r="O49" s="218">
        <f t="shared" si="11"/>
        <v>0</v>
      </c>
      <c r="P49" s="218">
        <f>IF(O49=0,0,COUNTIF($P$15:P48,"&gt;0")+1)</f>
        <v>0</v>
      </c>
      <c r="R49" s="220" t="str">
        <f t="shared" si="14"/>
        <v/>
      </c>
      <c r="S49" s="220" t="str">
        <f t="shared" si="12"/>
        <v/>
      </c>
      <c r="X49" s="219" t="str">
        <f t="shared" si="15"/>
        <v/>
      </c>
      <c r="Y49" s="219" t="str">
        <f>IFERROR(INDEX(T01_Races!$B$2:$B$101,MATCH('C01_BaseCalculation'!X49,T01_Races!$C$2:$C$101,0),1),"")</f>
        <v/>
      </c>
      <c r="Z49" s="217" t="str">
        <f t="shared" si="16"/>
        <v/>
      </c>
      <c r="AA49" s="217" t="str">
        <f>IFERROR(IF(Z49="","",INDEX(T01_Races!$E$2:$E$101,MATCH('C01_BaseCalculation'!Z49,T01_Races!$D$2:$D$101,0),1)),"")</f>
        <v/>
      </c>
      <c r="AB49" s="217" t="str">
        <f>IFERROR(IF(Z49="","",INDEX(T01_Races!$A$2:$A$101,MATCH('C01_BaseCalculation'!Z49,T01_Races!$D$2:$D$101,0),1)),"")</f>
        <v/>
      </c>
      <c r="AC49" s="140">
        <f>MATCH(MainClassSelected,T03_Skills!D1:O1,0)</f>
        <v>5</v>
      </c>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row>
    <row r="50" spans="2:66" ht="29.25" x14ac:dyDescent="0.3">
      <c r="B50" s="218" t="str">
        <f t="shared" si="13"/>
        <v/>
      </c>
      <c r="C50" s="218" t="str">
        <f>IFERROR(INDEX(T04_Classes!$B$3:$B$102,B50,1),"")</f>
        <v/>
      </c>
      <c r="D50" s="218" t="str">
        <f>IF(C50="","",COUNTIF(Character_Creation!$R$62:$T$71,C50)+COUNTIF(Character_Creation!$R$72:$T$81,C50))</f>
        <v/>
      </c>
      <c r="E50" s="218">
        <f t="shared" si="10"/>
        <v>0</v>
      </c>
      <c r="F50" s="218">
        <f>IF(E50=0,0,COUNTIF($F$15:F49,"&gt;0")+1)</f>
        <v>0</v>
      </c>
      <c r="G50" s="218">
        <f>IF(IFERROR(SEARCH("and",INDEX(T04_Classes!$BX$3:$BX$102,MATCH('C01_BaseCalculation'!C50,T04_Classes!$B$3:$B$102,0),1)),0)&gt;1,1,0)</f>
        <v>0</v>
      </c>
      <c r="H50" s="218">
        <f>IF(IFERROR(SEARCH("or",INDEX(T04_Classes!$BX$3:$BX$102,MATCH('C01_BaseCalculation'!C50,T04_Classes!$B$3:$B$102,0),1)),0)&gt;1,1,0)</f>
        <v>0</v>
      </c>
      <c r="I50" s="218" t="str">
        <f>IF(OR(IFERROR(SEARCH("Strength",INDEX(T04_Classes!$BX$3:$BX$102,MATCH('C01_BaseCalculation'!C50,T04_Classes!$B$3:$B$102,0),1)),0)=0,AND(IFERROR(SEARCH("Strength",INDEX(T04_Classes!$BX$3:$BX$102,MATCH('C01_BaseCalculation'!C50,T04_Classes!$B$3:$B$102,0),1)),0)&gt;0,Strength&gt;12)),"yes","no")</f>
        <v>yes</v>
      </c>
      <c r="J50" s="218" t="str">
        <f>IF(OR(IFERROR(SEARCH("Dexterity",INDEX(T04_Classes!$BX$3:$BX$102,MATCH('C01_BaseCalculation'!C50,T04_Classes!$B$3:$B$102,0),1)),0)=0,AND(IFERROR(SEARCH("Dexterity",INDEX(T04_Classes!$BX$3:$BX$102,MATCH('C01_BaseCalculation'!C50,T04_Classes!$B$3:$B$102,0),1)),0)&gt;0,Dexterity&gt;12)),"yes","no")</f>
        <v>yes</v>
      </c>
      <c r="K50" s="218" t="str">
        <f>IF(OR(IFERROR(SEARCH("Constitution",INDEX(T04_Classes!$BX$3:$BX$102,MATCH('C01_BaseCalculation'!C50,T04_Classes!$B$3:$B$102,0),1)),0)=0,AND(IFERROR(SEARCH("Constitution",INDEX(T04_Classes!$BX$3:$BX$102,MATCH('C01_BaseCalculation'!C50,T04_Classes!$B$3:$B$102,0),1)),0)&gt;0,Constitution&gt;12)),"yes","no")</f>
        <v>yes</v>
      </c>
      <c r="L50" s="218" t="str">
        <f>IF(OR(IFERROR(SEARCH("Intelligence",INDEX(T04_Classes!$BX$3:$BX$102,MATCH('C01_BaseCalculation'!C50,T04_Classes!$B$3:$B$102,0),1)),0)=0,AND(IFERROR(SEARCH("Intelligence",INDEX(T04_Classes!$BX$3:$BX$102,MATCH('C01_BaseCalculation'!C50,T04_Classes!$B$3:$B$102,0),1)),0)&gt;0,Intelligence&gt;12)),"yes","no")</f>
        <v>yes</v>
      </c>
      <c r="M50" s="218" t="str">
        <f>IF(OR(IFERROR(SEARCH("Wisdom",INDEX(T04_Classes!$BX$3:$BX$102,MATCH('C01_BaseCalculation'!C50,T04_Classes!$B$3:$B$102,0),1)),0)=0,AND(IFERROR(SEARCH("Wisdom",INDEX(T04_Classes!$BX$3:$BX$102,MATCH('C01_BaseCalculation'!C50,T04_Classes!$B$3:$B$102,0),1)),0)&gt;0,Wisdom&gt;12)),"yes","no")</f>
        <v>yes</v>
      </c>
      <c r="N50" s="218" t="str">
        <f>IF(OR(IFERROR(SEARCH("Charisma",INDEX(T04_Classes!$BX$3:$BX$102,MATCH('C01_BaseCalculation'!C50,T04_Classes!$B$3:$B$102,0),1)),0)=0,AND(IFERROR(SEARCH("Charisma",INDEX(T04_Classes!$BX$3:$BX$102,MATCH('C01_BaseCalculation'!C50,T04_Classes!$B$3:$B$102,0),1)),0)&gt;0,Charisma&gt;12)),"yes","no")</f>
        <v>yes</v>
      </c>
      <c r="O50" s="218">
        <f t="shared" si="11"/>
        <v>0</v>
      </c>
      <c r="P50" s="218">
        <f>IF(O50=0,0,COUNTIF($P$15:P49,"&gt;0")+1)</f>
        <v>0</v>
      </c>
      <c r="Q50" s="141"/>
      <c r="R50" s="220" t="str">
        <f t="shared" si="14"/>
        <v/>
      </c>
      <c r="S50" s="220" t="str">
        <f t="shared" si="12"/>
        <v/>
      </c>
      <c r="T50" s="141"/>
      <c r="U50" s="141"/>
      <c r="V50" s="141"/>
      <c r="W50" s="141"/>
      <c r="X50" s="219" t="str">
        <f t="shared" si="15"/>
        <v/>
      </c>
      <c r="Y50" s="219" t="str">
        <f>IFERROR(INDEX(T01_Races!$B$2:$B$101,MATCH('C01_BaseCalculation'!X50,T01_Races!$C$2:$C$101,0),1),"")</f>
        <v/>
      </c>
      <c r="Z50" s="217" t="str">
        <f t="shared" si="16"/>
        <v/>
      </c>
      <c r="AA50" s="217" t="str">
        <f>IFERROR(IF(Z50="","",INDEX(T01_Races!$E$2:$E$101,MATCH('C01_BaseCalculation'!Z50,T01_Races!$D$2:$D$101,0),1)),"")</f>
        <v/>
      </c>
      <c r="AB50" s="217" t="str">
        <f>IFERROR(IF(Z50="","",INDEX(T01_Races!$A$2:$A$101,MATCH('C01_BaseCalculation'!Z50,T01_Races!$D$2:$D$101,0),1)),"")</f>
        <v/>
      </c>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row>
    <row r="51" spans="2:66" ht="29.25" x14ac:dyDescent="0.3">
      <c r="B51" s="218" t="str">
        <f t="shared" si="13"/>
        <v/>
      </c>
      <c r="C51" s="218" t="str">
        <f>IFERROR(INDEX(T04_Classes!$B$3:$B$102,B51,1),"")</f>
        <v/>
      </c>
      <c r="D51" s="218" t="str">
        <f>IF(C51="","",COUNTIF(Character_Creation!$R$62:$T$71,C51)+COUNTIF(Character_Creation!$R$72:$T$81,C51))</f>
        <v/>
      </c>
      <c r="E51" s="218">
        <f t="shared" si="10"/>
        <v>0</v>
      </c>
      <c r="F51" s="218">
        <f>IF(E51=0,0,COUNTIF($F$15:F50,"&gt;0")+1)</f>
        <v>0</v>
      </c>
      <c r="G51" s="218">
        <f>IF(IFERROR(SEARCH("and",INDEX(T04_Classes!$BX$3:$BX$102,MATCH('C01_BaseCalculation'!C51,T04_Classes!$B$3:$B$102,0),1)),0)&gt;1,1,0)</f>
        <v>0</v>
      </c>
      <c r="H51" s="218">
        <f>IF(IFERROR(SEARCH("or",INDEX(T04_Classes!$BX$3:$BX$102,MATCH('C01_BaseCalculation'!C51,T04_Classes!$B$3:$B$102,0),1)),0)&gt;1,1,0)</f>
        <v>0</v>
      </c>
      <c r="I51" s="218" t="str">
        <f>IF(OR(IFERROR(SEARCH("Strength",INDEX(T04_Classes!$BX$3:$BX$102,MATCH('C01_BaseCalculation'!C51,T04_Classes!$B$3:$B$102,0),1)),0)=0,AND(IFERROR(SEARCH("Strength",INDEX(T04_Classes!$BX$3:$BX$102,MATCH('C01_BaseCalculation'!C51,T04_Classes!$B$3:$B$102,0),1)),0)&gt;0,Strength&gt;12)),"yes","no")</f>
        <v>yes</v>
      </c>
      <c r="J51" s="218" t="str">
        <f>IF(OR(IFERROR(SEARCH("Dexterity",INDEX(T04_Classes!$BX$3:$BX$102,MATCH('C01_BaseCalculation'!C51,T04_Classes!$B$3:$B$102,0),1)),0)=0,AND(IFERROR(SEARCH("Dexterity",INDEX(T04_Classes!$BX$3:$BX$102,MATCH('C01_BaseCalculation'!C51,T04_Classes!$B$3:$B$102,0),1)),0)&gt;0,Dexterity&gt;12)),"yes","no")</f>
        <v>yes</v>
      </c>
      <c r="K51" s="218" t="str">
        <f>IF(OR(IFERROR(SEARCH("Constitution",INDEX(T04_Classes!$BX$3:$BX$102,MATCH('C01_BaseCalculation'!C51,T04_Classes!$B$3:$B$102,0),1)),0)=0,AND(IFERROR(SEARCH("Constitution",INDEX(T04_Classes!$BX$3:$BX$102,MATCH('C01_BaseCalculation'!C51,T04_Classes!$B$3:$B$102,0),1)),0)&gt;0,Constitution&gt;12)),"yes","no")</f>
        <v>yes</v>
      </c>
      <c r="L51" s="218" t="str">
        <f>IF(OR(IFERROR(SEARCH("Intelligence",INDEX(T04_Classes!$BX$3:$BX$102,MATCH('C01_BaseCalculation'!C51,T04_Classes!$B$3:$B$102,0),1)),0)=0,AND(IFERROR(SEARCH("Intelligence",INDEX(T04_Classes!$BX$3:$BX$102,MATCH('C01_BaseCalculation'!C51,T04_Classes!$B$3:$B$102,0),1)),0)&gt;0,Intelligence&gt;12)),"yes","no")</f>
        <v>yes</v>
      </c>
      <c r="M51" s="218" t="str">
        <f>IF(OR(IFERROR(SEARCH("Wisdom",INDEX(T04_Classes!$BX$3:$BX$102,MATCH('C01_BaseCalculation'!C51,T04_Classes!$B$3:$B$102,0),1)),0)=0,AND(IFERROR(SEARCH("Wisdom",INDEX(T04_Classes!$BX$3:$BX$102,MATCH('C01_BaseCalculation'!C51,T04_Classes!$B$3:$B$102,0),1)),0)&gt;0,Wisdom&gt;12)),"yes","no")</f>
        <v>yes</v>
      </c>
      <c r="N51" s="218" t="str">
        <f>IF(OR(IFERROR(SEARCH("Charisma",INDEX(T04_Classes!$BX$3:$BX$102,MATCH('C01_BaseCalculation'!C51,T04_Classes!$B$3:$B$102,0),1)),0)=0,AND(IFERROR(SEARCH("Charisma",INDEX(T04_Classes!$BX$3:$BX$102,MATCH('C01_BaseCalculation'!C51,T04_Classes!$B$3:$B$102,0),1)),0)&gt;0,Charisma&gt;12)),"yes","no")</f>
        <v>yes</v>
      </c>
      <c r="O51" s="218">
        <f t="shared" si="11"/>
        <v>0</v>
      </c>
      <c r="P51" s="218">
        <f>IF(O51=0,0,COUNTIF($P$15:P50,"&gt;0")+1)</f>
        <v>0</v>
      </c>
      <c r="Q51" s="141"/>
      <c r="R51" s="220" t="str">
        <f t="shared" si="14"/>
        <v/>
      </c>
      <c r="S51" s="220" t="str">
        <f t="shared" si="12"/>
        <v/>
      </c>
      <c r="T51" s="141"/>
      <c r="U51" s="141"/>
      <c r="V51" s="141"/>
      <c r="W51" s="141"/>
      <c r="X51" s="219" t="str">
        <f t="shared" si="15"/>
        <v/>
      </c>
      <c r="Y51" s="219" t="str">
        <f>IFERROR(INDEX(T01_Races!$B$2:$B$101,MATCH('C01_BaseCalculation'!X51,T01_Races!$C$2:$C$101,0),1),"")</f>
        <v/>
      </c>
      <c r="Z51" s="217" t="str">
        <f t="shared" si="16"/>
        <v/>
      </c>
      <c r="AA51" s="217" t="str">
        <f>IFERROR(IF(Z51="","",INDEX(T01_Races!$E$2:$E$101,MATCH('C01_BaseCalculation'!Z51,T01_Races!$D$2:$D$101,0),1)),"")</f>
        <v/>
      </c>
      <c r="AB51" s="217" t="str">
        <f>IFERROR(IF(Z51="","",INDEX(T01_Races!$A$2:$A$101,MATCH('C01_BaseCalculation'!Z51,T01_Races!$D$2:$D$101,0),1)),"")</f>
        <v/>
      </c>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row>
    <row r="52" spans="2:66" x14ac:dyDescent="0.3">
      <c r="B52" s="218" t="str">
        <f t="shared" si="13"/>
        <v/>
      </c>
      <c r="C52" s="218" t="str">
        <f>IFERROR(INDEX(T04_Classes!$B$3:$B$102,B52,1),"")</f>
        <v/>
      </c>
      <c r="D52" s="218" t="str">
        <f>IF(C52="","",COUNTIF(Character_Creation!$R$62:$T$71,C52)+COUNTIF(Character_Creation!$R$72:$T$81,C52))</f>
        <v/>
      </c>
      <c r="E52" s="218">
        <f t="shared" si="10"/>
        <v>0</v>
      </c>
      <c r="F52" s="218">
        <f>IF(E52=0,0,COUNTIF($F$15:F51,"&gt;0")+1)</f>
        <v>0</v>
      </c>
      <c r="G52" s="218">
        <f>IF(IFERROR(SEARCH("and",INDEX(T04_Classes!$BX$3:$BX$102,MATCH('C01_BaseCalculation'!C52,T04_Classes!$B$3:$B$102,0),1)),0)&gt;1,1,0)</f>
        <v>0</v>
      </c>
      <c r="H52" s="218">
        <f>IF(IFERROR(SEARCH("or",INDEX(T04_Classes!$BX$3:$BX$102,MATCH('C01_BaseCalculation'!C52,T04_Classes!$B$3:$B$102,0),1)),0)&gt;1,1,0)</f>
        <v>0</v>
      </c>
      <c r="I52" s="218" t="str">
        <f>IF(OR(IFERROR(SEARCH("Strength",INDEX(T04_Classes!$BX$3:$BX$102,MATCH('C01_BaseCalculation'!C52,T04_Classes!$B$3:$B$102,0),1)),0)=0,AND(IFERROR(SEARCH("Strength",INDEX(T04_Classes!$BX$3:$BX$102,MATCH('C01_BaseCalculation'!C52,T04_Classes!$B$3:$B$102,0),1)),0)&gt;0,Strength&gt;12)),"yes","no")</f>
        <v>yes</v>
      </c>
      <c r="J52" s="218" t="str">
        <f>IF(OR(IFERROR(SEARCH("Dexterity",INDEX(T04_Classes!$BX$3:$BX$102,MATCH('C01_BaseCalculation'!C52,T04_Classes!$B$3:$B$102,0),1)),0)=0,AND(IFERROR(SEARCH("Dexterity",INDEX(T04_Classes!$BX$3:$BX$102,MATCH('C01_BaseCalculation'!C52,T04_Classes!$B$3:$B$102,0),1)),0)&gt;0,Dexterity&gt;12)),"yes","no")</f>
        <v>yes</v>
      </c>
      <c r="K52" s="218" t="str">
        <f>IF(OR(IFERROR(SEARCH("Constitution",INDEX(T04_Classes!$BX$3:$BX$102,MATCH('C01_BaseCalculation'!C52,T04_Classes!$B$3:$B$102,0),1)),0)=0,AND(IFERROR(SEARCH("Constitution",INDEX(T04_Classes!$BX$3:$BX$102,MATCH('C01_BaseCalculation'!C52,T04_Classes!$B$3:$B$102,0),1)),0)&gt;0,Constitution&gt;12)),"yes","no")</f>
        <v>yes</v>
      </c>
      <c r="L52" s="218" t="str">
        <f>IF(OR(IFERROR(SEARCH("Intelligence",INDEX(T04_Classes!$BX$3:$BX$102,MATCH('C01_BaseCalculation'!C52,T04_Classes!$B$3:$B$102,0),1)),0)=0,AND(IFERROR(SEARCH("Intelligence",INDEX(T04_Classes!$BX$3:$BX$102,MATCH('C01_BaseCalculation'!C52,T04_Classes!$B$3:$B$102,0),1)),0)&gt;0,Intelligence&gt;12)),"yes","no")</f>
        <v>yes</v>
      </c>
      <c r="M52" s="218" t="str">
        <f>IF(OR(IFERROR(SEARCH("Wisdom",INDEX(T04_Classes!$BX$3:$BX$102,MATCH('C01_BaseCalculation'!C52,T04_Classes!$B$3:$B$102,0),1)),0)=0,AND(IFERROR(SEARCH("Wisdom",INDEX(T04_Classes!$BX$3:$BX$102,MATCH('C01_BaseCalculation'!C52,T04_Classes!$B$3:$B$102,0),1)),0)&gt;0,Wisdom&gt;12)),"yes","no")</f>
        <v>yes</v>
      </c>
      <c r="N52" s="218" t="str">
        <f>IF(OR(IFERROR(SEARCH("Charisma",INDEX(T04_Classes!$BX$3:$BX$102,MATCH('C01_BaseCalculation'!C52,T04_Classes!$B$3:$B$102,0),1)),0)=0,AND(IFERROR(SEARCH("Charisma",INDEX(T04_Classes!$BX$3:$BX$102,MATCH('C01_BaseCalculation'!C52,T04_Classes!$B$3:$B$102,0),1)),0)&gt;0,Charisma&gt;12)),"yes","no")</f>
        <v>yes</v>
      </c>
      <c r="O52" s="218">
        <f t="shared" si="11"/>
        <v>0</v>
      </c>
      <c r="P52" s="218">
        <f>IF(O52=0,0,COUNTIF($P$15:P51,"&gt;0")+1)</f>
        <v>0</v>
      </c>
      <c r="R52" s="220" t="str">
        <f t="shared" si="14"/>
        <v/>
      </c>
      <c r="S52" s="220" t="str">
        <f t="shared" si="12"/>
        <v/>
      </c>
      <c r="X52" s="219" t="str">
        <f t="shared" si="15"/>
        <v/>
      </c>
      <c r="Y52" s="219" t="str">
        <f>IFERROR(INDEX(T01_Races!$B$2:$B$101,MATCH('C01_BaseCalculation'!X52,T01_Races!$C$2:$C$101,0),1),"")</f>
        <v/>
      </c>
      <c r="Z52" s="217" t="str">
        <f t="shared" si="16"/>
        <v/>
      </c>
      <c r="AA52" s="217" t="str">
        <f>IFERROR(IF(Z52="","",INDEX(T01_Races!$E$2:$E$101,MATCH('C01_BaseCalculation'!Z52,T01_Races!$D$2:$D$101,0),1)),"")</f>
        <v/>
      </c>
      <c r="AB52" s="217" t="str">
        <f>IFERROR(IF(Z52="","",INDEX(T01_Races!$A$2:$A$101,MATCH('C01_BaseCalculation'!Z52,T01_Races!$D$2:$D$101,0),1)),"")</f>
        <v/>
      </c>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row>
    <row r="53" spans="2:66" x14ac:dyDescent="0.3">
      <c r="B53" s="218" t="str">
        <f t="shared" si="13"/>
        <v/>
      </c>
      <c r="C53" s="218" t="str">
        <f>IFERROR(INDEX(T04_Classes!$B$3:$B$102,B53,1),"")</f>
        <v/>
      </c>
      <c r="D53" s="218" t="str">
        <f>IF(C53="","",COUNTIF(Character_Creation!$R$62:$T$71,C53)+COUNTIF(Character_Creation!$R$72:$T$81,C53))</f>
        <v/>
      </c>
      <c r="E53" s="218">
        <f t="shared" si="10"/>
        <v>0</v>
      </c>
      <c r="F53" s="218">
        <f>IF(E53=0,0,COUNTIF($F$15:F52,"&gt;0")+1)</f>
        <v>0</v>
      </c>
      <c r="G53" s="218">
        <f>IF(IFERROR(SEARCH("and",INDEX(T04_Classes!$BX$3:$BX$102,MATCH('C01_BaseCalculation'!C53,T04_Classes!$B$3:$B$102,0),1)),0)&gt;1,1,0)</f>
        <v>0</v>
      </c>
      <c r="H53" s="218">
        <f>IF(IFERROR(SEARCH("or",INDEX(T04_Classes!$BX$3:$BX$102,MATCH('C01_BaseCalculation'!C53,T04_Classes!$B$3:$B$102,0),1)),0)&gt;1,1,0)</f>
        <v>0</v>
      </c>
      <c r="I53" s="218" t="str">
        <f>IF(OR(IFERROR(SEARCH("Strength",INDEX(T04_Classes!$BX$3:$BX$102,MATCH('C01_BaseCalculation'!C53,T04_Classes!$B$3:$B$102,0),1)),0)=0,AND(IFERROR(SEARCH("Strength",INDEX(T04_Classes!$BX$3:$BX$102,MATCH('C01_BaseCalculation'!C53,T04_Classes!$B$3:$B$102,0),1)),0)&gt;0,Strength&gt;12)),"yes","no")</f>
        <v>yes</v>
      </c>
      <c r="J53" s="218" t="str">
        <f>IF(OR(IFERROR(SEARCH("Dexterity",INDEX(T04_Classes!$BX$3:$BX$102,MATCH('C01_BaseCalculation'!C53,T04_Classes!$B$3:$B$102,0),1)),0)=0,AND(IFERROR(SEARCH("Dexterity",INDEX(T04_Classes!$BX$3:$BX$102,MATCH('C01_BaseCalculation'!C53,T04_Classes!$B$3:$B$102,0),1)),0)&gt;0,Dexterity&gt;12)),"yes","no")</f>
        <v>yes</v>
      </c>
      <c r="K53" s="218" t="str">
        <f>IF(OR(IFERROR(SEARCH("Constitution",INDEX(T04_Classes!$BX$3:$BX$102,MATCH('C01_BaseCalculation'!C53,T04_Classes!$B$3:$B$102,0),1)),0)=0,AND(IFERROR(SEARCH("Constitution",INDEX(T04_Classes!$BX$3:$BX$102,MATCH('C01_BaseCalculation'!C53,T04_Classes!$B$3:$B$102,0),1)),0)&gt;0,Constitution&gt;12)),"yes","no")</f>
        <v>yes</v>
      </c>
      <c r="L53" s="218" t="str">
        <f>IF(OR(IFERROR(SEARCH("Intelligence",INDEX(T04_Classes!$BX$3:$BX$102,MATCH('C01_BaseCalculation'!C53,T04_Classes!$B$3:$B$102,0),1)),0)=0,AND(IFERROR(SEARCH("Intelligence",INDEX(T04_Classes!$BX$3:$BX$102,MATCH('C01_BaseCalculation'!C53,T04_Classes!$B$3:$B$102,0),1)),0)&gt;0,Intelligence&gt;12)),"yes","no")</f>
        <v>yes</v>
      </c>
      <c r="M53" s="218" t="str">
        <f>IF(OR(IFERROR(SEARCH("Wisdom",INDEX(T04_Classes!$BX$3:$BX$102,MATCH('C01_BaseCalculation'!C53,T04_Classes!$B$3:$B$102,0),1)),0)=0,AND(IFERROR(SEARCH("Wisdom",INDEX(T04_Classes!$BX$3:$BX$102,MATCH('C01_BaseCalculation'!C53,T04_Classes!$B$3:$B$102,0),1)),0)&gt;0,Wisdom&gt;12)),"yes","no")</f>
        <v>yes</v>
      </c>
      <c r="N53" s="218" t="str">
        <f>IF(OR(IFERROR(SEARCH("Charisma",INDEX(T04_Classes!$BX$3:$BX$102,MATCH('C01_BaseCalculation'!C53,T04_Classes!$B$3:$B$102,0),1)),0)=0,AND(IFERROR(SEARCH("Charisma",INDEX(T04_Classes!$BX$3:$BX$102,MATCH('C01_BaseCalculation'!C53,T04_Classes!$B$3:$B$102,0),1)),0)&gt;0,Charisma&gt;12)),"yes","no")</f>
        <v>yes</v>
      </c>
      <c r="O53" s="218">
        <f t="shared" si="11"/>
        <v>0</v>
      </c>
      <c r="P53" s="218">
        <f>IF(O53=0,0,COUNTIF($P$15:P52,"&gt;0")+1)</f>
        <v>0</v>
      </c>
      <c r="R53" s="220" t="str">
        <f t="shared" si="14"/>
        <v/>
      </c>
      <c r="S53" s="220" t="str">
        <f t="shared" si="12"/>
        <v/>
      </c>
      <c r="X53" s="219" t="str">
        <f t="shared" si="15"/>
        <v/>
      </c>
      <c r="Y53" s="219" t="str">
        <f>IFERROR(INDEX(T01_Races!$B$2:$B$101,MATCH('C01_BaseCalculation'!X53,T01_Races!$C$2:$C$101,0),1),"")</f>
        <v/>
      </c>
      <c r="Z53" s="217" t="str">
        <f t="shared" si="16"/>
        <v/>
      </c>
      <c r="AA53" s="217" t="str">
        <f>IFERROR(IF(Z53="","",INDEX(T01_Races!$E$2:$E$101,MATCH('C01_BaseCalculation'!Z53,T01_Races!$D$2:$D$101,0),1)),"")</f>
        <v/>
      </c>
      <c r="AB53" s="217" t="str">
        <f>IFERROR(IF(Z53="","",INDEX(T01_Races!$A$2:$A$101,MATCH('C01_BaseCalculation'!Z53,T01_Races!$D$2:$D$101,0),1)),"")</f>
        <v/>
      </c>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row>
    <row r="54" spans="2:66" x14ac:dyDescent="0.3">
      <c r="B54" s="218" t="str">
        <f t="shared" si="13"/>
        <v/>
      </c>
      <c r="C54" s="218" t="str">
        <f>IFERROR(INDEX(T04_Classes!$B$3:$B$102,B54,1),"")</f>
        <v/>
      </c>
      <c r="D54" s="218" t="str">
        <f>IF(C54="","",COUNTIF(Character_Creation!$R$62:$T$71,C54)+COUNTIF(Character_Creation!$R$72:$T$81,C54))</f>
        <v/>
      </c>
      <c r="E54" s="218">
        <f t="shared" si="10"/>
        <v>0</v>
      </c>
      <c r="F54" s="218">
        <f>IF(E54=0,0,COUNTIF($F$15:F53,"&gt;0")+1)</f>
        <v>0</v>
      </c>
      <c r="G54" s="218">
        <f>IF(IFERROR(SEARCH("and",INDEX(T04_Classes!$BX$3:$BX$102,MATCH('C01_BaseCalculation'!C54,T04_Classes!$B$3:$B$102,0),1)),0)&gt;1,1,0)</f>
        <v>0</v>
      </c>
      <c r="H54" s="218">
        <f>IF(IFERROR(SEARCH("or",INDEX(T04_Classes!$BX$3:$BX$102,MATCH('C01_BaseCalculation'!C54,T04_Classes!$B$3:$B$102,0),1)),0)&gt;1,1,0)</f>
        <v>0</v>
      </c>
      <c r="I54" s="218" t="str">
        <f>IF(OR(IFERROR(SEARCH("Strength",INDEX(T04_Classes!$BX$3:$BX$102,MATCH('C01_BaseCalculation'!C54,T04_Classes!$B$3:$B$102,0),1)),0)=0,AND(IFERROR(SEARCH("Strength",INDEX(T04_Classes!$BX$3:$BX$102,MATCH('C01_BaseCalculation'!C54,T04_Classes!$B$3:$B$102,0),1)),0)&gt;0,Strength&gt;12)),"yes","no")</f>
        <v>yes</v>
      </c>
      <c r="J54" s="218" t="str">
        <f>IF(OR(IFERROR(SEARCH("Dexterity",INDEX(T04_Classes!$BX$3:$BX$102,MATCH('C01_BaseCalculation'!C54,T04_Classes!$B$3:$B$102,0),1)),0)=0,AND(IFERROR(SEARCH("Dexterity",INDEX(T04_Classes!$BX$3:$BX$102,MATCH('C01_BaseCalculation'!C54,T04_Classes!$B$3:$B$102,0),1)),0)&gt;0,Dexterity&gt;12)),"yes","no")</f>
        <v>yes</v>
      </c>
      <c r="K54" s="218" t="str">
        <f>IF(OR(IFERROR(SEARCH("Constitution",INDEX(T04_Classes!$BX$3:$BX$102,MATCH('C01_BaseCalculation'!C54,T04_Classes!$B$3:$B$102,0),1)),0)=0,AND(IFERROR(SEARCH("Constitution",INDEX(T04_Classes!$BX$3:$BX$102,MATCH('C01_BaseCalculation'!C54,T04_Classes!$B$3:$B$102,0),1)),0)&gt;0,Constitution&gt;12)),"yes","no")</f>
        <v>yes</v>
      </c>
      <c r="L54" s="218" t="str">
        <f>IF(OR(IFERROR(SEARCH("Intelligence",INDEX(T04_Classes!$BX$3:$BX$102,MATCH('C01_BaseCalculation'!C54,T04_Classes!$B$3:$B$102,0),1)),0)=0,AND(IFERROR(SEARCH("Intelligence",INDEX(T04_Classes!$BX$3:$BX$102,MATCH('C01_BaseCalculation'!C54,T04_Classes!$B$3:$B$102,0),1)),0)&gt;0,Intelligence&gt;12)),"yes","no")</f>
        <v>yes</v>
      </c>
      <c r="M54" s="218" t="str">
        <f>IF(OR(IFERROR(SEARCH("Wisdom",INDEX(T04_Classes!$BX$3:$BX$102,MATCH('C01_BaseCalculation'!C54,T04_Classes!$B$3:$B$102,0),1)),0)=0,AND(IFERROR(SEARCH("Wisdom",INDEX(T04_Classes!$BX$3:$BX$102,MATCH('C01_BaseCalculation'!C54,T04_Classes!$B$3:$B$102,0),1)),0)&gt;0,Wisdom&gt;12)),"yes","no")</f>
        <v>yes</v>
      </c>
      <c r="N54" s="218" t="str">
        <f>IF(OR(IFERROR(SEARCH("Charisma",INDEX(T04_Classes!$BX$3:$BX$102,MATCH('C01_BaseCalculation'!C54,T04_Classes!$B$3:$B$102,0),1)),0)=0,AND(IFERROR(SEARCH("Charisma",INDEX(T04_Classes!$BX$3:$BX$102,MATCH('C01_BaseCalculation'!C54,T04_Classes!$B$3:$B$102,0),1)),0)&gt;0,Charisma&gt;12)),"yes","no")</f>
        <v>yes</v>
      </c>
      <c r="O54" s="218">
        <f t="shared" si="11"/>
        <v>0</v>
      </c>
      <c r="P54" s="218">
        <f>IF(O54=0,0,COUNTIF($P$15:P53,"&gt;0")+1)</f>
        <v>0</v>
      </c>
      <c r="R54" s="220" t="str">
        <f t="shared" si="14"/>
        <v/>
      </c>
      <c r="S54" s="220" t="str">
        <f t="shared" si="12"/>
        <v/>
      </c>
      <c r="X54" s="219" t="str">
        <f t="shared" si="15"/>
        <v/>
      </c>
      <c r="Y54" s="219" t="str">
        <f>IFERROR(INDEX(T01_Races!$B$2:$B$101,MATCH('C01_BaseCalculation'!X54,T01_Races!$C$2:$C$101,0),1),"")</f>
        <v/>
      </c>
      <c r="Z54" s="217" t="str">
        <f t="shared" si="16"/>
        <v/>
      </c>
      <c r="AA54" s="217" t="str">
        <f>IFERROR(IF(Z54="","",INDEX(T01_Races!$E$2:$E$101,MATCH('C01_BaseCalculation'!Z54,T01_Races!$D$2:$D$101,0),1)),"")</f>
        <v/>
      </c>
      <c r="AB54" s="217" t="str">
        <f>IFERROR(IF(Z54="","",INDEX(T01_Races!$A$2:$A$101,MATCH('C01_BaseCalculation'!Z54,T01_Races!$D$2:$D$101,0),1)),"")</f>
        <v/>
      </c>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row>
    <row r="55" spans="2:66" x14ac:dyDescent="0.3">
      <c r="B55" s="218" t="str">
        <f t="shared" si="13"/>
        <v/>
      </c>
      <c r="C55" s="218" t="str">
        <f>IFERROR(INDEX(T04_Classes!$B$3:$B$102,B55,1),"")</f>
        <v/>
      </c>
      <c r="D55" s="218" t="str">
        <f>IF(C55="","",COUNTIF(Character_Creation!$R$62:$T$71,C55)+COUNTIF(Character_Creation!$R$72:$T$81,C55))</f>
        <v/>
      </c>
      <c r="E55" s="218">
        <f t="shared" si="10"/>
        <v>0</v>
      </c>
      <c r="F55" s="218">
        <f>IF(E55=0,0,COUNTIF($F$15:F54,"&gt;0")+1)</f>
        <v>0</v>
      </c>
      <c r="G55" s="218">
        <f>IF(IFERROR(SEARCH("and",INDEX(T04_Classes!$BX$3:$BX$102,MATCH('C01_BaseCalculation'!C55,T04_Classes!$B$3:$B$102,0),1)),0)&gt;1,1,0)</f>
        <v>0</v>
      </c>
      <c r="H55" s="218">
        <f>IF(IFERROR(SEARCH("or",INDEX(T04_Classes!$BX$3:$BX$102,MATCH('C01_BaseCalculation'!C55,T04_Classes!$B$3:$B$102,0),1)),0)&gt;1,1,0)</f>
        <v>0</v>
      </c>
      <c r="I55" s="218" t="str">
        <f>IF(OR(IFERROR(SEARCH("Strength",INDEX(T04_Classes!$BX$3:$BX$102,MATCH('C01_BaseCalculation'!C55,T04_Classes!$B$3:$B$102,0),1)),0)=0,AND(IFERROR(SEARCH("Strength",INDEX(T04_Classes!$BX$3:$BX$102,MATCH('C01_BaseCalculation'!C55,T04_Classes!$B$3:$B$102,0),1)),0)&gt;0,Strength&gt;12)),"yes","no")</f>
        <v>yes</v>
      </c>
      <c r="J55" s="218" t="str">
        <f>IF(OR(IFERROR(SEARCH("Dexterity",INDEX(T04_Classes!$BX$3:$BX$102,MATCH('C01_BaseCalculation'!C55,T04_Classes!$B$3:$B$102,0),1)),0)=0,AND(IFERROR(SEARCH("Dexterity",INDEX(T04_Classes!$BX$3:$BX$102,MATCH('C01_BaseCalculation'!C55,T04_Classes!$B$3:$B$102,0),1)),0)&gt;0,Dexterity&gt;12)),"yes","no")</f>
        <v>yes</v>
      </c>
      <c r="K55" s="218" t="str">
        <f>IF(OR(IFERROR(SEARCH("Constitution",INDEX(T04_Classes!$BX$3:$BX$102,MATCH('C01_BaseCalculation'!C55,T04_Classes!$B$3:$B$102,0),1)),0)=0,AND(IFERROR(SEARCH("Constitution",INDEX(T04_Classes!$BX$3:$BX$102,MATCH('C01_BaseCalculation'!C55,T04_Classes!$B$3:$B$102,0),1)),0)&gt;0,Constitution&gt;12)),"yes","no")</f>
        <v>yes</v>
      </c>
      <c r="L55" s="218" t="str">
        <f>IF(OR(IFERROR(SEARCH("Intelligence",INDEX(T04_Classes!$BX$3:$BX$102,MATCH('C01_BaseCalculation'!C55,T04_Classes!$B$3:$B$102,0),1)),0)=0,AND(IFERROR(SEARCH("Intelligence",INDEX(T04_Classes!$BX$3:$BX$102,MATCH('C01_BaseCalculation'!C55,T04_Classes!$B$3:$B$102,0),1)),0)&gt;0,Intelligence&gt;12)),"yes","no")</f>
        <v>yes</v>
      </c>
      <c r="M55" s="218" t="str">
        <f>IF(OR(IFERROR(SEARCH("Wisdom",INDEX(T04_Classes!$BX$3:$BX$102,MATCH('C01_BaseCalculation'!C55,T04_Classes!$B$3:$B$102,0),1)),0)=0,AND(IFERROR(SEARCH("Wisdom",INDEX(T04_Classes!$BX$3:$BX$102,MATCH('C01_BaseCalculation'!C55,T04_Classes!$B$3:$B$102,0),1)),0)&gt;0,Wisdom&gt;12)),"yes","no")</f>
        <v>yes</v>
      </c>
      <c r="N55" s="218" t="str">
        <f>IF(OR(IFERROR(SEARCH("Charisma",INDEX(T04_Classes!$BX$3:$BX$102,MATCH('C01_BaseCalculation'!C55,T04_Classes!$B$3:$B$102,0),1)),0)=0,AND(IFERROR(SEARCH("Charisma",INDEX(T04_Classes!$BX$3:$BX$102,MATCH('C01_BaseCalculation'!C55,T04_Classes!$B$3:$B$102,0),1)),0)&gt;0,Charisma&gt;12)),"yes","no")</f>
        <v>yes</v>
      </c>
      <c r="O55" s="218">
        <f t="shared" si="11"/>
        <v>0</v>
      </c>
      <c r="P55" s="218">
        <f>IF(O55=0,0,COUNTIF($P$15:P54,"&gt;0")+1)</f>
        <v>0</v>
      </c>
      <c r="R55" s="220" t="str">
        <f t="shared" si="14"/>
        <v/>
      </c>
      <c r="S55" s="220" t="str">
        <f t="shared" si="12"/>
        <v/>
      </c>
      <c r="X55" s="219" t="str">
        <f t="shared" si="15"/>
        <v/>
      </c>
      <c r="Y55" s="219" t="str">
        <f>IFERROR(INDEX(T01_Races!$B$2:$B$101,MATCH('C01_BaseCalculation'!X55,T01_Races!$C$2:$C$101,0),1),"")</f>
        <v/>
      </c>
      <c r="Z55" s="217" t="str">
        <f t="shared" si="16"/>
        <v/>
      </c>
      <c r="AA55" s="217" t="str">
        <f>IFERROR(IF(Z55="","",INDEX(T01_Races!$E$2:$E$101,MATCH('C01_BaseCalculation'!Z55,T01_Races!$D$2:$D$101,0),1)),"")</f>
        <v/>
      </c>
      <c r="AB55" s="217" t="str">
        <f>IFERROR(IF(Z55="","",INDEX(T01_Races!$A$2:$A$101,MATCH('C01_BaseCalculation'!Z55,T01_Races!$D$2:$D$101,0),1)),"")</f>
        <v/>
      </c>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row>
    <row r="56" spans="2:66" x14ac:dyDescent="0.3">
      <c r="B56" s="218" t="str">
        <f t="shared" si="13"/>
        <v/>
      </c>
      <c r="C56" s="218" t="str">
        <f>IFERROR(INDEX(T04_Classes!$B$3:$B$102,B56,1),"")</f>
        <v/>
      </c>
      <c r="D56" s="218" t="str">
        <f>IF(C56="","",COUNTIF(Character_Creation!$R$62:$T$71,C56)+COUNTIF(Character_Creation!$R$72:$T$81,C56))</f>
        <v/>
      </c>
      <c r="E56" s="218">
        <f t="shared" si="10"/>
        <v>0</v>
      </c>
      <c r="F56" s="218">
        <f>IF(E56=0,0,COUNTIF($F$15:F55,"&gt;0")+1)</f>
        <v>0</v>
      </c>
      <c r="G56" s="218">
        <f>IF(IFERROR(SEARCH("and",INDEX(T04_Classes!$BX$3:$BX$102,MATCH('C01_BaseCalculation'!C56,T04_Classes!$B$3:$B$102,0),1)),0)&gt;1,1,0)</f>
        <v>0</v>
      </c>
      <c r="H56" s="218">
        <f>IF(IFERROR(SEARCH("or",INDEX(T04_Classes!$BX$3:$BX$102,MATCH('C01_BaseCalculation'!C56,T04_Classes!$B$3:$B$102,0),1)),0)&gt;1,1,0)</f>
        <v>0</v>
      </c>
      <c r="I56" s="218" t="str">
        <f>IF(OR(IFERROR(SEARCH("Strength",INDEX(T04_Classes!$BX$3:$BX$102,MATCH('C01_BaseCalculation'!C56,T04_Classes!$B$3:$B$102,0),1)),0)=0,AND(IFERROR(SEARCH("Strength",INDEX(T04_Classes!$BX$3:$BX$102,MATCH('C01_BaseCalculation'!C56,T04_Classes!$B$3:$B$102,0),1)),0)&gt;0,Strength&gt;12)),"yes","no")</f>
        <v>yes</v>
      </c>
      <c r="J56" s="218" t="str">
        <f>IF(OR(IFERROR(SEARCH("Dexterity",INDEX(T04_Classes!$BX$3:$BX$102,MATCH('C01_BaseCalculation'!C56,T04_Classes!$B$3:$B$102,0),1)),0)=0,AND(IFERROR(SEARCH("Dexterity",INDEX(T04_Classes!$BX$3:$BX$102,MATCH('C01_BaseCalculation'!C56,T04_Classes!$B$3:$B$102,0),1)),0)&gt;0,Dexterity&gt;12)),"yes","no")</f>
        <v>yes</v>
      </c>
      <c r="K56" s="218" t="str">
        <f>IF(OR(IFERROR(SEARCH("Constitution",INDEX(T04_Classes!$BX$3:$BX$102,MATCH('C01_BaseCalculation'!C56,T04_Classes!$B$3:$B$102,0),1)),0)=0,AND(IFERROR(SEARCH("Constitution",INDEX(T04_Classes!$BX$3:$BX$102,MATCH('C01_BaseCalculation'!C56,T04_Classes!$B$3:$B$102,0),1)),0)&gt;0,Constitution&gt;12)),"yes","no")</f>
        <v>yes</v>
      </c>
      <c r="L56" s="218" t="str">
        <f>IF(OR(IFERROR(SEARCH("Intelligence",INDEX(T04_Classes!$BX$3:$BX$102,MATCH('C01_BaseCalculation'!C56,T04_Classes!$B$3:$B$102,0),1)),0)=0,AND(IFERROR(SEARCH("Intelligence",INDEX(T04_Classes!$BX$3:$BX$102,MATCH('C01_BaseCalculation'!C56,T04_Classes!$B$3:$B$102,0),1)),0)&gt;0,Intelligence&gt;12)),"yes","no")</f>
        <v>yes</v>
      </c>
      <c r="M56" s="218" t="str">
        <f>IF(OR(IFERROR(SEARCH("Wisdom",INDEX(T04_Classes!$BX$3:$BX$102,MATCH('C01_BaseCalculation'!C56,T04_Classes!$B$3:$B$102,0),1)),0)=0,AND(IFERROR(SEARCH("Wisdom",INDEX(T04_Classes!$BX$3:$BX$102,MATCH('C01_BaseCalculation'!C56,T04_Classes!$B$3:$B$102,0),1)),0)&gt;0,Wisdom&gt;12)),"yes","no")</f>
        <v>yes</v>
      </c>
      <c r="N56" s="218" t="str">
        <f>IF(OR(IFERROR(SEARCH("Charisma",INDEX(T04_Classes!$BX$3:$BX$102,MATCH('C01_BaseCalculation'!C56,T04_Classes!$B$3:$B$102,0),1)),0)=0,AND(IFERROR(SEARCH("Charisma",INDEX(T04_Classes!$BX$3:$BX$102,MATCH('C01_BaseCalculation'!C56,T04_Classes!$B$3:$B$102,0),1)),0)&gt;0,Charisma&gt;12)),"yes","no")</f>
        <v>yes</v>
      </c>
      <c r="O56" s="218">
        <f t="shared" si="11"/>
        <v>0</v>
      </c>
      <c r="P56" s="218">
        <f>IF(O56=0,0,COUNTIF($P$15:P55,"&gt;0")+1)</f>
        <v>0</v>
      </c>
      <c r="R56" s="220" t="str">
        <f t="shared" si="14"/>
        <v/>
      </c>
      <c r="S56" s="220" t="str">
        <f t="shared" si="12"/>
        <v/>
      </c>
      <c r="X56" s="219" t="str">
        <f t="shared" si="15"/>
        <v/>
      </c>
      <c r="Y56" s="219" t="str">
        <f>IFERROR(INDEX(T01_Races!$B$2:$B$101,MATCH('C01_BaseCalculation'!X56,T01_Races!$C$2:$C$101,0),1),"")</f>
        <v/>
      </c>
      <c r="Z56" s="217" t="str">
        <f t="shared" si="16"/>
        <v/>
      </c>
      <c r="AA56" s="217" t="str">
        <f>IFERROR(IF(Z56="","",INDEX(T01_Races!$E$2:$E$101,MATCH('C01_BaseCalculation'!Z56,T01_Races!$D$2:$D$101,0),1)),"")</f>
        <v/>
      </c>
      <c r="AB56" s="217" t="str">
        <f>IFERROR(IF(Z56="","",INDEX(T01_Races!$A$2:$A$101,MATCH('C01_BaseCalculation'!Z56,T01_Races!$D$2:$D$101,0),1)),"")</f>
        <v/>
      </c>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row>
    <row r="57" spans="2:66" x14ac:dyDescent="0.3">
      <c r="B57" s="218" t="str">
        <f t="shared" si="13"/>
        <v/>
      </c>
      <c r="C57" s="218" t="str">
        <f>IFERROR(INDEX(T04_Classes!$B$3:$B$102,B57,1),"")</f>
        <v/>
      </c>
      <c r="D57" s="218" t="str">
        <f>IF(C57="","",COUNTIF(Character_Creation!$R$62:$T$71,C57)+COUNTIF(Character_Creation!$R$72:$T$81,C57))</f>
        <v/>
      </c>
      <c r="E57" s="218">
        <f t="shared" si="10"/>
        <v>0</v>
      </c>
      <c r="F57" s="218">
        <f>IF(E57=0,0,COUNTIF($F$15:F56,"&gt;0")+1)</f>
        <v>0</v>
      </c>
      <c r="G57" s="218">
        <f>IF(IFERROR(SEARCH("and",INDEX(T04_Classes!$BX$3:$BX$102,MATCH('C01_BaseCalculation'!C57,T04_Classes!$B$3:$B$102,0),1)),0)&gt;1,1,0)</f>
        <v>0</v>
      </c>
      <c r="H57" s="218">
        <f>IF(IFERROR(SEARCH("or",INDEX(T04_Classes!$BX$3:$BX$102,MATCH('C01_BaseCalculation'!C57,T04_Classes!$B$3:$B$102,0),1)),0)&gt;1,1,0)</f>
        <v>0</v>
      </c>
      <c r="I57" s="218" t="str">
        <f>IF(OR(IFERROR(SEARCH("Strength",INDEX(T04_Classes!$BX$3:$BX$102,MATCH('C01_BaseCalculation'!C57,T04_Classes!$B$3:$B$102,0),1)),0)=0,AND(IFERROR(SEARCH("Strength",INDEX(T04_Classes!$BX$3:$BX$102,MATCH('C01_BaseCalculation'!C57,T04_Classes!$B$3:$B$102,0),1)),0)&gt;0,Strength&gt;12)),"yes","no")</f>
        <v>yes</v>
      </c>
      <c r="J57" s="218" t="str">
        <f>IF(OR(IFERROR(SEARCH("Dexterity",INDEX(T04_Classes!$BX$3:$BX$102,MATCH('C01_BaseCalculation'!C57,T04_Classes!$B$3:$B$102,0),1)),0)=0,AND(IFERROR(SEARCH("Dexterity",INDEX(T04_Classes!$BX$3:$BX$102,MATCH('C01_BaseCalculation'!C57,T04_Classes!$B$3:$B$102,0),1)),0)&gt;0,Dexterity&gt;12)),"yes","no")</f>
        <v>yes</v>
      </c>
      <c r="K57" s="218" t="str">
        <f>IF(OR(IFERROR(SEARCH("Constitution",INDEX(T04_Classes!$BX$3:$BX$102,MATCH('C01_BaseCalculation'!C57,T04_Classes!$B$3:$B$102,0),1)),0)=0,AND(IFERROR(SEARCH("Constitution",INDEX(T04_Classes!$BX$3:$BX$102,MATCH('C01_BaseCalculation'!C57,T04_Classes!$B$3:$B$102,0),1)),0)&gt;0,Constitution&gt;12)),"yes","no")</f>
        <v>yes</v>
      </c>
      <c r="L57" s="218" t="str">
        <f>IF(OR(IFERROR(SEARCH("Intelligence",INDEX(T04_Classes!$BX$3:$BX$102,MATCH('C01_BaseCalculation'!C57,T04_Classes!$B$3:$B$102,0),1)),0)=0,AND(IFERROR(SEARCH("Intelligence",INDEX(T04_Classes!$BX$3:$BX$102,MATCH('C01_BaseCalculation'!C57,T04_Classes!$B$3:$B$102,0),1)),0)&gt;0,Intelligence&gt;12)),"yes","no")</f>
        <v>yes</v>
      </c>
      <c r="M57" s="218" t="str">
        <f>IF(OR(IFERROR(SEARCH("Wisdom",INDEX(T04_Classes!$BX$3:$BX$102,MATCH('C01_BaseCalculation'!C57,T04_Classes!$B$3:$B$102,0),1)),0)=0,AND(IFERROR(SEARCH("Wisdom",INDEX(T04_Classes!$BX$3:$BX$102,MATCH('C01_BaseCalculation'!C57,T04_Classes!$B$3:$B$102,0),1)),0)&gt;0,Wisdom&gt;12)),"yes","no")</f>
        <v>yes</v>
      </c>
      <c r="N57" s="218" t="str">
        <f>IF(OR(IFERROR(SEARCH("Charisma",INDEX(T04_Classes!$BX$3:$BX$102,MATCH('C01_BaseCalculation'!C57,T04_Classes!$B$3:$B$102,0),1)),0)=0,AND(IFERROR(SEARCH("Charisma",INDEX(T04_Classes!$BX$3:$BX$102,MATCH('C01_BaseCalculation'!C57,T04_Classes!$B$3:$B$102,0),1)),0)&gt;0,Charisma&gt;12)),"yes","no")</f>
        <v>yes</v>
      </c>
      <c r="O57" s="218">
        <f t="shared" si="11"/>
        <v>0</v>
      </c>
      <c r="P57" s="218">
        <f>IF(O57=0,0,COUNTIF($P$15:P56,"&gt;0")+1)</f>
        <v>0</v>
      </c>
      <c r="R57" s="220" t="str">
        <f t="shared" si="14"/>
        <v/>
      </c>
      <c r="S57" s="220" t="str">
        <f t="shared" si="12"/>
        <v/>
      </c>
      <c r="X57" s="219" t="str">
        <f t="shared" si="15"/>
        <v/>
      </c>
      <c r="Y57" s="219" t="str">
        <f>IFERROR(INDEX(T01_Races!$B$2:$B$101,MATCH('C01_BaseCalculation'!X57,T01_Races!$C$2:$C$101,0),1),"")</f>
        <v/>
      </c>
      <c r="Z57" s="217" t="str">
        <f t="shared" si="16"/>
        <v/>
      </c>
      <c r="AA57" s="217" t="str">
        <f>IFERROR(IF(Z57="","",INDEX(T01_Races!$E$2:$E$101,MATCH('C01_BaseCalculation'!Z57,T01_Races!$D$2:$D$101,0),1)),"")</f>
        <v/>
      </c>
      <c r="AB57" s="217" t="str">
        <f>IFERROR(IF(Z57="","",INDEX(T01_Races!$A$2:$A$101,MATCH('C01_BaseCalculation'!Z57,T01_Races!$D$2:$D$101,0),1)),"")</f>
        <v/>
      </c>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row>
    <row r="58" spans="2:66" x14ac:dyDescent="0.3">
      <c r="B58" s="218" t="str">
        <f t="shared" si="13"/>
        <v/>
      </c>
      <c r="C58" s="218" t="str">
        <f>IFERROR(INDEX(T04_Classes!$B$3:$B$102,B58,1),"")</f>
        <v/>
      </c>
      <c r="D58" s="218" t="str">
        <f>IF(C58="","",COUNTIF(Character_Creation!$R$62:$T$71,C58)+COUNTIF(Character_Creation!$R$72:$T$81,C58))</f>
        <v/>
      </c>
      <c r="E58" s="218">
        <f t="shared" si="10"/>
        <v>0</v>
      </c>
      <c r="F58" s="218">
        <f>IF(E58=0,0,COUNTIF($F$15:F57,"&gt;0")+1)</f>
        <v>0</v>
      </c>
      <c r="G58" s="218">
        <f>IF(IFERROR(SEARCH("and",INDEX(T04_Classes!$BX$3:$BX$102,MATCH('C01_BaseCalculation'!C58,T04_Classes!$B$3:$B$102,0),1)),0)&gt;1,1,0)</f>
        <v>0</v>
      </c>
      <c r="H58" s="218">
        <f>IF(IFERROR(SEARCH("or",INDEX(T04_Classes!$BX$3:$BX$102,MATCH('C01_BaseCalculation'!C58,T04_Classes!$B$3:$B$102,0),1)),0)&gt;1,1,0)</f>
        <v>0</v>
      </c>
      <c r="I58" s="218" t="str">
        <f>IF(OR(IFERROR(SEARCH("Strength",INDEX(T04_Classes!$BX$3:$BX$102,MATCH('C01_BaseCalculation'!C58,T04_Classes!$B$3:$B$102,0),1)),0)=0,AND(IFERROR(SEARCH("Strength",INDEX(T04_Classes!$BX$3:$BX$102,MATCH('C01_BaseCalculation'!C58,T04_Classes!$B$3:$B$102,0),1)),0)&gt;0,Strength&gt;12)),"yes","no")</f>
        <v>yes</v>
      </c>
      <c r="J58" s="218" t="str">
        <f>IF(OR(IFERROR(SEARCH("Dexterity",INDEX(T04_Classes!$BX$3:$BX$102,MATCH('C01_BaseCalculation'!C58,T04_Classes!$B$3:$B$102,0),1)),0)=0,AND(IFERROR(SEARCH("Dexterity",INDEX(T04_Classes!$BX$3:$BX$102,MATCH('C01_BaseCalculation'!C58,T04_Classes!$B$3:$B$102,0),1)),0)&gt;0,Dexterity&gt;12)),"yes","no")</f>
        <v>yes</v>
      </c>
      <c r="K58" s="218" t="str">
        <f>IF(OR(IFERROR(SEARCH("Constitution",INDEX(T04_Classes!$BX$3:$BX$102,MATCH('C01_BaseCalculation'!C58,T04_Classes!$B$3:$B$102,0),1)),0)=0,AND(IFERROR(SEARCH("Constitution",INDEX(T04_Classes!$BX$3:$BX$102,MATCH('C01_BaseCalculation'!C58,T04_Classes!$B$3:$B$102,0),1)),0)&gt;0,Constitution&gt;12)),"yes","no")</f>
        <v>yes</v>
      </c>
      <c r="L58" s="218" t="str">
        <f>IF(OR(IFERROR(SEARCH("Intelligence",INDEX(T04_Classes!$BX$3:$BX$102,MATCH('C01_BaseCalculation'!C58,T04_Classes!$B$3:$B$102,0),1)),0)=0,AND(IFERROR(SEARCH("Intelligence",INDEX(T04_Classes!$BX$3:$BX$102,MATCH('C01_BaseCalculation'!C58,T04_Classes!$B$3:$B$102,0),1)),0)&gt;0,Intelligence&gt;12)),"yes","no")</f>
        <v>yes</v>
      </c>
      <c r="M58" s="218" t="str">
        <f>IF(OR(IFERROR(SEARCH("Wisdom",INDEX(T04_Classes!$BX$3:$BX$102,MATCH('C01_BaseCalculation'!C58,T04_Classes!$B$3:$B$102,0),1)),0)=0,AND(IFERROR(SEARCH("Wisdom",INDEX(T04_Classes!$BX$3:$BX$102,MATCH('C01_BaseCalculation'!C58,T04_Classes!$B$3:$B$102,0),1)),0)&gt;0,Wisdom&gt;12)),"yes","no")</f>
        <v>yes</v>
      </c>
      <c r="N58" s="218" t="str">
        <f>IF(OR(IFERROR(SEARCH("Charisma",INDEX(T04_Classes!$BX$3:$BX$102,MATCH('C01_BaseCalculation'!C58,T04_Classes!$B$3:$B$102,0),1)),0)=0,AND(IFERROR(SEARCH("Charisma",INDEX(T04_Classes!$BX$3:$BX$102,MATCH('C01_BaseCalculation'!C58,T04_Classes!$B$3:$B$102,0),1)),0)&gt;0,Charisma&gt;12)),"yes","no")</f>
        <v>yes</v>
      </c>
      <c r="O58" s="218">
        <f t="shared" si="11"/>
        <v>0</v>
      </c>
      <c r="P58" s="218">
        <f>IF(O58=0,0,COUNTIF($P$15:P57,"&gt;0")+1)</f>
        <v>0</v>
      </c>
      <c r="R58" s="220" t="str">
        <f t="shared" si="14"/>
        <v/>
      </c>
      <c r="S58" s="220" t="str">
        <f t="shared" si="12"/>
        <v/>
      </c>
      <c r="X58" s="219" t="str">
        <f t="shared" si="15"/>
        <v/>
      </c>
      <c r="Y58" s="219" t="str">
        <f>IFERROR(INDEX(T01_Races!$B$2:$B$101,MATCH('C01_BaseCalculation'!X58,T01_Races!$C$2:$C$101,0),1),"")</f>
        <v/>
      </c>
      <c r="Z58" s="217" t="str">
        <f t="shared" si="16"/>
        <v/>
      </c>
      <c r="AA58" s="217" t="str">
        <f>IFERROR(IF(Z58="","",INDEX(T01_Races!$E$2:$E$101,MATCH('C01_BaseCalculation'!Z58,T01_Races!$D$2:$D$101,0),1)),"")</f>
        <v/>
      </c>
      <c r="AB58" s="217" t="str">
        <f>IFERROR(IF(Z58="","",INDEX(T01_Races!$A$2:$A$101,MATCH('C01_BaseCalculation'!Z58,T01_Races!$D$2:$D$101,0),1)),"")</f>
        <v/>
      </c>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row>
    <row r="59" spans="2:66" x14ac:dyDescent="0.3">
      <c r="B59" s="218" t="str">
        <f t="shared" si="13"/>
        <v/>
      </c>
      <c r="C59" s="218" t="str">
        <f>IFERROR(INDEX(T04_Classes!$B$3:$B$102,B59,1),"")</f>
        <v/>
      </c>
      <c r="D59" s="218" t="str">
        <f>IF(C59="","",COUNTIF(Character_Creation!$R$62:$T$71,C59)+COUNTIF(Character_Creation!$R$72:$T$81,C59))</f>
        <v/>
      </c>
      <c r="E59" s="218">
        <f t="shared" si="10"/>
        <v>0</v>
      </c>
      <c r="F59" s="218">
        <f>IF(E59=0,0,COUNTIF($F$15:F58,"&gt;0")+1)</f>
        <v>0</v>
      </c>
      <c r="G59" s="218">
        <f>IF(IFERROR(SEARCH("and",INDEX(T04_Classes!$BX$3:$BX$102,MATCH('C01_BaseCalculation'!C59,T04_Classes!$B$3:$B$102,0),1)),0)&gt;1,1,0)</f>
        <v>0</v>
      </c>
      <c r="H59" s="218">
        <f>IF(IFERROR(SEARCH("or",INDEX(T04_Classes!$BX$3:$BX$102,MATCH('C01_BaseCalculation'!C59,T04_Classes!$B$3:$B$102,0),1)),0)&gt;1,1,0)</f>
        <v>0</v>
      </c>
      <c r="I59" s="218" t="str">
        <f>IF(OR(IFERROR(SEARCH("Strength",INDEX(T04_Classes!$BX$3:$BX$102,MATCH('C01_BaseCalculation'!C59,T04_Classes!$B$3:$B$102,0),1)),0)=0,AND(IFERROR(SEARCH("Strength",INDEX(T04_Classes!$BX$3:$BX$102,MATCH('C01_BaseCalculation'!C59,T04_Classes!$B$3:$B$102,0),1)),0)&gt;0,Strength&gt;12)),"yes","no")</f>
        <v>yes</v>
      </c>
      <c r="J59" s="218" t="str">
        <f>IF(OR(IFERROR(SEARCH("Dexterity",INDEX(T04_Classes!$BX$3:$BX$102,MATCH('C01_BaseCalculation'!C59,T04_Classes!$B$3:$B$102,0),1)),0)=0,AND(IFERROR(SEARCH("Dexterity",INDEX(T04_Classes!$BX$3:$BX$102,MATCH('C01_BaseCalculation'!C59,T04_Classes!$B$3:$B$102,0),1)),0)&gt;0,Dexterity&gt;12)),"yes","no")</f>
        <v>yes</v>
      </c>
      <c r="K59" s="218" t="str">
        <f>IF(OR(IFERROR(SEARCH("Constitution",INDEX(T04_Classes!$BX$3:$BX$102,MATCH('C01_BaseCalculation'!C59,T04_Classes!$B$3:$B$102,0),1)),0)=0,AND(IFERROR(SEARCH("Constitution",INDEX(T04_Classes!$BX$3:$BX$102,MATCH('C01_BaseCalculation'!C59,T04_Classes!$B$3:$B$102,0),1)),0)&gt;0,Constitution&gt;12)),"yes","no")</f>
        <v>yes</v>
      </c>
      <c r="L59" s="218" t="str">
        <f>IF(OR(IFERROR(SEARCH("Intelligence",INDEX(T04_Classes!$BX$3:$BX$102,MATCH('C01_BaseCalculation'!C59,T04_Classes!$B$3:$B$102,0),1)),0)=0,AND(IFERROR(SEARCH("Intelligence",INDEX(T04_Classes!$BX$3:$BX$102,MATCH('C01_BaseCalculation'!C59,T04_Classes!$B$3:$B$102,0),1)),0)&gt;0,Intelligence&gt;12)),"yes","no")</f>
        <v>yes</v>
      </c>
      <c r="M59" s="218" t="str">
        <f>IF(OR(IFERROR(SEARCH("Wisdom",INDEX(T04_Classes!$BX$3:$BX$102,MATCH('C01_BaseCalculation'!C59,T04_Classes!$B$3:$B$102,0),1)),0)=0,AND(IFERROR(SEARCH("Wisdom",INDEX(T04_Classes!$BX$3:$BX$102,MATCH('C01_BaseCalculation'!C59,T04_Classes!$B$3:$B$102,0),1)),0)&gt;0,Wisdom&gt;12)),"yes","no")</f>
        <v>yes</v>
      </c>
      <c r="N59" s="218" t="str">
        <f>IF(OR(IFERROR(SEARCH("Charisma",INDEX(T04_Classes!$BX$3:$BX$102,MATCH('C01_BaseCalculation'!C59,T04_Classes!$B$3:$B$102,0),1)),0)=0,AND(IFERROR(SEARCH("Charisma",INDEX(T04_Classes!$BX$3:$BX$102,MATCH('C01_BaseCalculation'!C59,T04_Classes!$B$3:$B$102,0),1)),0)&gt;0,Charisma&gt;12)),"yes","no")</f>
        <v>yes</v>
      </c>
      <c r="O59" s="218">
        <f t="shared" si="11"/>
        <v>0</v>
      </c>
      <c r="P59" s="218">
        <f>IF(O59=0,0,COUNTIF($P$15:P58,"&gt;0")+1)</f>
        <v>0</v>
      </c>
      <c r="R59" s="220" t="str">
        <f t="shared" si="14"/>
        <v/>
      </c>
      <c r="S59" s="220" t="str">
        <f t="shared" si="12"/>
        <v/>
      </c>
      <c r="X59" s="219" t="str">
        <f t="shared" si="15"/>
        <v/>
      </c>
      <c r="Y59" s="219" t="str">
        <f>IFERROR(INDEX(T01_Races!$B$2:$B$101,MATCH('C01_BaseCalculation'!X59,T01_Races!$C$2:$C$101,0),1),"")</f>
        <v/>
      </c>
      <c r="Z59" s="217" t="str">
        <f t="shared" si="16"/>
        <v/>
      </c>
      <c r="AA59" s="217" t="str">
        <f>IFERROR(IF(Z59="","",INDEX(T01_Races!$E$2:$E$101,MATCH('C01_BaseCalculation'!Z59,T01_Races!$D$2:$D$101,0),1)),"")</f>
        <v/>
      </c>
      <c r="AB59" s="217" t="str">
        <f>IFERROR(IF(Z59="","",INDEX(T01_Races!$A$2:$A$101,MATCH('C01_BaseCalculation'!Z59,T01_Races!$D$2:$D$101,0),1)),"")</f>
        <v/>
      </c>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row>
    <row r="60" spans="2:66" x14ac:dyDescent="0.3">
      <c r="B60" s="218" t="str">
        <f t="shared" si="13"/>
        <v/>
      </c>
      <c r="C60" s="218" t="str">
        <f>IFERROR(INDEX(T04_Classes!$B$3:$B$102,B60,1),"")</f>
        <v/>
      </c>
      <c r="D60" s="218" t="str">
        <f>IF(C60="","",COUNTIF(Character_Creation!$R$62:$T$71,C60)+COUNTIF(Character_Creation!$R$72:$T$81,C60))</f>
        <v/>
      </c>
      <c r="E60" s="218">
        <f t="shared" si="10"/>
        <v>0</v>
      </c>
      <c r="F60" s="218">
        <f>IF(E60=0,0,COUNTIF($F$15:F59,"&gt;0")+1)</f>
        <v>0</v>
      </c>
      <c r="G60" s="218">
        <f>IF(IFERROR(SEARCH("and",INDEX(T04_Classes!$BX$3:$BX$102,MATCH('C01_BaseCalculation'!C60,T04_Classes!$B$3:$B$102,0),1)),0)&gt;1,1,0)</f>
        <v>0</v>
      </c>
      <c r="H60" s="218">
        <f>IF(IFERROR(SEARCH("or",INDEX(T04_Classes!$BX$3:$BX$102,MATCH('C01_BaseCalculation'!C60,T04_Classes!$B$3:$B$102,0),1)),0)&gt;1,1,0)</f>
        <v>0</v>
      </c>
      <c r="I60" s="218" t="str">
        <f>IF(OR(IFERROR(SEARCH("Strength",INDEX(T04_Classes!$BX$3:$BX$102,MATCH('C01_BaseCalculation'!C60,T04_Classes!$B$3:$B$102,0),1)),0)=0,AND(IFERROR(SEARCH("Strength",INDEX(T04_Classes!$BX$3:$BX$102,MATCH('C01_BaseCalculation'!C60,T04_Classes!$B$3:$B$102,0),1)),0)&gt;0,Strength&gt;12)),"yes","no")</f>
        <v>yes</v>
      </c>
      <c r="J60" s="218" t="str">
        <f>IF(OR(IFERROR(SEARCH("Dexterity",INDEX(T04_Classes!$BX$3:$BX$102,MATCH('C01_BaseCalculation'!C60,T04_Classes!$B$3:$B$102,0),1)),0)=0,AND(IFERROR(SEARCH("Dexterity",INDEX(T04_Classes!$BX$3:$BX$102,MATCH('C01_BaseCalculation'!C60,T04_Classes!$B$3:$B$102,0),1)),0)&gt;0,Dexterity&gt;12)),"yes","no")</f>
        <v>yes</v>
      </c>
      <c r="K60" s="218" t="str">
        <f>IF(OR(IFERROR(SEARCH("Constitution",INDEX(T04_Classes!$BX$3:$BX$102,MATCH('C01_BaseCalculation'!C60,T04_Classes!$B$3:$B$102,0),1)),0)=0,AND(IFERROR(SEARCH("Constitution",INDEX(T04_Classes!$BX$3:$BX$102,MATCH('C01_BaseCalculation'!C60,T04_Classes!$B$3:$B$102,0),1)),0)&gt;0,Constitution&gt;12)),"yes","no")</f>
        <v>yes</v>
      </c>
      <c r="L60" s="218" t="str">
        <f>IF(OR(IFERROR(SEARCH("Intelligence",INDEX(T04_Classes!$BX$3:$BX$102,MATCH('C01_BaseCalculation'!C60,T04_Classes!$B$3:$B$102,0),1)),0)=0,AND(IFERROR(SEARCH("Intelligence",INDEX(T04_Classes!$BX$3:$BX$102,MATCH('C01_BaseCalculation'!C60,T04_Classes!$B$3:$B$102,0),1)),0)&gt;0,Intelligence&gt;12)),"yes","no")</f>
        <v>yes</v>
      </c>
      <c r="M60" s="218" t="str">
        <f>IF(OR(IFERROR(SEARCH("Wisdom",INDEX(T04_Classes!$BX$3:$BX$102,MATCH('C01_BaseCalculation'!C60,T04_Classes!$B$3:$B$102,0),1)),0)=0,AND(IFERROR(SEARCH("Wisdom",INDEX(T04_Classes!$BX$3:$BX$102,MATCH('C01_BaseCalculation'!C60,T04_Classes!$B$3:$B$102,0),1)),0)&gt;0,Wisdom&gt;12)),"yes","no")</f>
        <v>yes</v>
      </c>
      <c r="N60" s="218" t="str">
        <f>IF(OR(IFERROR(SEARCH("Charisma",INDEX(T04_Classes!$BX$3:$BX$102,MATCH('C01_BaseCalculation'!C60,T04_Classes!$B$3:$B$102,0),1)),0)=0,AND(IFERROR(SEARCH("Charisma",INDEX(T04_Classes!$BX$3:$BX$102,MATCH('C01_BaseCalculation'!C60,T04_Classes!$B$3:$B$102,0),1)),0)&gt;0,Charisma&gt;12)),"yes","no")</f>
        <v>yes</v>
      </c>
      <c r="O60" s="218">
        <f t="shared" si="11"/>
        <v>0</v>
      </c>
      <c r="P60" s="218">
        <f>IF(O60=0,0,COUNTIF($P$15:P59,"&gt;0")+1)</f>
        <v>0</v>
      </c>
      <c r="R60" s="220" t="str">
        <f t="shared" si="14"/>
        <v/>
      </c>
      <c r="S60" s="220" t="str">
        <f t="shared" si="12"/>
        <v/>
      </c>
      <c r="X60" s="219" t="str">
        <f t="shared" si="15"/>
        <v/>
      </c>
      <c r="Y60" s="219" t="str">
        <f>IFERROR(INDEX(T01_Races!$B$2:$B$101,MATCH('C01_BaseCalculation'!X60,T01_Races!$C$2:$C$101,0),1),"")</f>
        <v/>
      </c>
      <c r="Z60" s="217" t="str">
        <f t="shared" si="16"/>
        <v/>
      </c>
      <c r="AA60" s="217" t="str">
        <f>IFERROR(IF(Z60="","",INDEX(T01_Races!$E$2:$E$101,MATCH('C01_BaseCalculation'!Z60,T01_Races!$D$2:$D$101,0),1)),"")</f>
        <v/>
      </c>
      <c r="AB60" s="217" t="str">
        <f>IFERROR(IF(Z60="","",INDEX(T01_Races!$A$2:$A$101,MATCH('C01_BaseCalculation'!Z60,T01_Races!$D$2:$D$101,0),1)),"")</f>
        <v/>
      </c>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row>
    <row r="61" spans="2:66" x14ac:dyDescent="0.3">
      <c r="B61" s="218" t="str">
        <f t="shared" si="13"/>
        <v/>
      </c>
      <c r="C61" s="218" t="str">
        <f>IFERROR(INDEX(T04_Classes!$B$3:$B$102,B61,1),"")</f>
        <v/>
      </c>
      <c r="D61" s="218" t="str">
        <f>IF(C61="","",COUNTIF(Character_Creation!$R$62:$T$71,C61)+COUNTIF(Character_Creation!$R$72:$T$81,C61))</f>
        <v/>
      </c>
      <c r="E61" s="218">
        <f t="shared" si="10"/>
        <v>0</v>
      </c>
      <c r="F61" s="218">
        <f>IF(E61=0,0,COUNTIF($F$15:F60,"&gt;0")+1)</f>
        <v>0</v>
      </c>
      <c r="G61" s="218">
        <f>IF(IFERROR(SEARCH("and",INDEX(T04_Classes!$BX$3:$BX$102,MATCH('C01_BaseCalculation'!C61,T04_Classes!$B$3:$B$102,0),1)),0)&gt;1,1,0)</f>
        <v>0</v>
      </c>
      <c r="H61" s="218">
        <f>IF(IFERROR(SEARCH("or",INDEX(T04_Classes!$BX$3:$BX$102,MATCH('C01_BaseCalculation'!C61,T04_Classes!$B$3:$B$102,0),1)),0)&gt;1,1,0)</f>
        <v>0</v>
      </c>
      <c r="I61" s="218" t="str">
        <f>IF(OR(IFERROR(SEARCH("Strength",INDEX(T04_Classes!$BX$3:$BX$102,MATCH('C01_BaseCalculation'!C61,T04_Classes!$B$3:$B$102,0),1)),0)=0,AND(IFERROR(SEARCH("Strength",INDEX(T04_Classes!$BX$3:$BX$102,MATCH('C01_BaseCalculation'!C61,T04_Classes!$B$3:$B$102,0),1)),0)&gt;0,Strength&gt;12)),"yes","no")</f>
        <v>yes</v>
      </c>
      <c r="J61" s="218" t="str">
        <f>IF(OR(IFERROR(SEARCH("Dexterity",INDEX(T04_Classes!$BX$3:$BX$102,MATCH('C01_BaseCalculation'!C61,T04_Classes!$B$3:$B$102,0),1)),0)=0,AND(IFERROR(SEARCH("Dexterity",INDEX(T04_Classes!$BX$3:$BX$102,MATCH('C01_BaseCalculation'!C61,T04_Classes!$B$3:$B$102,0),1)),0)&gt;0,Dexterity&gt;12)),"yes","no")</f>
        <v>yes</v>
      </c>
      <c r="K61" s="218" t="str">
        <f>IF(OR(IFERROR(SEARCH("Constitution",INDEX(T04_Classes!$BX$3:$BX$102,MATCH('C01_BaseCalculation'!C61,T04_Classes!$B$3:$B$102,0),1)),0)=0,AND(IFERROR(SEARCH("Constitution",INDEX(T04_Classes!$BX$3:$BX$102,MATCH('C01_BaseCalculation'!C61,T04_Classes!$B$3:$B$102,0),1)),0)&gt;0,Constitution&gt;12)),"yes","no")</f>
        <v>yes</v>
      </c>
      <c r="L61" s="218" t="str">
        <f>IF(OR(IFERROR(SEARCH("Intelligence",INDEX(T04_Classes!$BX$3:$BX$102,MATCH('C01_BaseCalculation'!C61,T04_Classes!$B$3:$B$102,0),1)),0)=0,AND(IFERROR(SEARCH("Intelligence",INDEX(T04_Classes!$BX$3:$BX$102,MATCH('C01_BaseCalculation'!C61,T04_Classes!$B$3:$B$102,0),1)),0)&gt;0,Intelligence&gt;12)),"yes","no")</f>
        <v>yes</v>
      </c>
      <c r="M61" s="218" t="str">
        <f>IF(OR(IFERROR(SEARCH("Wisdom",INDEX(T04_Classes!$BX$3:$BX$102,MATCH('C01_BaseCalculation'!C61,T04_Classes!$B$3:$B$102,0),1)),0)=0,AND(IFERROR(SEARCH("Wisdom",INDEX(T04_Classes!$BX$3:$BX$102,MATCH('C01_BaseCalculation'!C61,T04_Classes!$B$3:$B$102,0),1)),0)&gt;0,Wisdom&gt;12)),"yes","no")</f>
        <v>yes</v>
      </c>
      <c r="N61" s="218" t="str">
        <f>IF(OR(IFERROR(SEARCH("Charisma",INDEX(T04_Classes!$BX$3:$BX$102,MATCH('C01_BaseCalculation'!C61,T04_Classes!$B$3:$B$102,0),1)),0)=0,AND(IFERROR(SEARCH("Charisma",INDEX(T04_Classes!$BX$3:$BX$102,MATCH('C01_BaseCalculation'!C61,T04_Classes!$B$3:$B$102,0),1)),0)&gt;0,Charisma&gt;12)),"yes","no")</f>
        <v>yes</v>
      </c>
      <c r="O61" s="218">
        <f t="shared" si="11"/>
        <v>0</v>
      </c>
      <c r="P61" s="218">
        <f>IF(O61=0,0,COUNTIF($P$15:P60,"&gt;0")+1)</f>
        <v>0</v>
      </c>
      <c r="R61" s="220" t="str">
        <f t="shared" si="14"/>
        <v/>
      </c>
      <c r="S61" s="220" t="str">
        <f t="shared" si="12"/>
        <v/>
      </c>
      <c r="X61" s="219" t="str">
        <f t="shared" si="15"/>
        <v/>
      </c>
      <c r="Y61" s="219" t="str">
        <f>IFERROR(INDEX(T01_Races!$B$2:$B$101,MATCH('C01_BaseCalculation'!X61,T01_Races!$C$2:$C$101,0),1),"")</f>
        <v/>
      </c>
      <c r="Z61" s="217" t="str">
        <f t="shared" si="16"/>
        <v/>
      </c>
      <c r="AA61" s="217" t="str">
        <f>IFERROR(IF(Z61="","",INDEX(T01_Races!$E$2:$E$101,MATCH('C01_BaseCalculation'!Z61,T01_Races!$D$2:$D$101,0),1)),"")</f>
        <v/>
      </c>
      <c r="AB61" s="217" t="str">
        <f>IFERROR(IF(Z61="","",INDEX(T01_Races!$A$2:$A$101,MATCH('C01_BaseCalculation'!Z61,T01_Races!$D$2:$D$101,0),1)),"")</f>
        <v/>
      </c>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row>
    <row r="62" spans="2:66" x14ac:dyDescent="0.3">
      <c r="B62" s="218" t="str">
        <f t="shared" si="13"/>
        <v/>
      </c>
      <c r="C62" s="218" t="str">
        <f>IFERROR(INDEX(T04_Classes!$B$3:$B$102,B62,1),"")</f>
        <v/>
      </c>
      <c r="D62" s="218" t="str">
        <f>IF(C62="","",COUNTIF(Character_Creation!$R$62:$T$71,C62)+COUNTIF(Character_Creation!$R$72:$T$81,C62))</f>
        <v/>
      </c>
      <c r="E62" s="218">
        <f t="shared" si="10"/>
        <v>0</v>
      </c>
      <c r="F62" s="218">
        <f>IF(E62=0,0,COUNTIF($F$15:F61,"&gt;0")+1)</f>
        <v>0</v>
      </c>
      <c r="G62" s="218">
        <f>IF(IFERROR(SEARCH("and",INDEX(T04_Classes!$BX$3:$BX$102,MATCH('C01_BaseCalculation'!C62,T04_Classes!$B$3:$B$102,0),1)),0)&gt;1,1,0)</f>
        <v>0</v>
      </c>
      <c r="H62" s="218">
        <f>IF(IFERROR(SEARCH("or",INDEX(T04_Classes!$BX$3:$BX$102,MATCH('C01_BaseCalculation'!C62,T04_Classes!$B$3:$B$102,0),1)),0)&gt;1,1,0)</f>
        <v>0</v>
      </c>
      <c r="I62" s="218" t="str">
        <f>IF(OR(IFERROR(SEARCH("Strength",INDEX(T04_Classes!$BX$3:$BX$102,MATCH('C01_BaseCalculation'!C62,T04_Classes!$B$3:$B$102,0),1)),0)=0,AND(IFERROR(SEARCH("Strength",INDEX(T04_Classes!$BX$3:$BX$102,MATCH('C01_BaseCalculation'!C62,T04_Classes!$B$3:$B$102,0),1)),0)&gt;0,Strength&gt;12)),"yes","no")</f>
        <v>yes</v>
      </c>
      <c r="J62" s="218" t="str">
        <f>IF(OR(IFERROR(SEARCH("Dexterity",INDEX(T04_Classes!$BX$3:$BX$102,MATCH('C01_BaseCalculation'!C62,T04_Classes!$B$3:$B$102,0),1)),0)=0,AND(IFERROR(SEARCH("Dexterity",INDEX(T04_Classes!$BX$3:$BX$102,MATCH('C01_BaseCalculation'!C62,T04_Classes!$B$3:$B$102,0),1)),0)&gt;0,Dexterity&gt;12)),"yes","no")</f>
        <v>yes</v>
      </c>
      <c r="K62" s="218" t="str">
        <f>IF(OR(IFERROR(SEARCH("Constitution",INDEX(T04_Classes!$BX$3:$BX$102,MATCH('C01_BaseCalculation'!C62,T04_Classes!$B$3:$B$102,0),1)),0)=0,AND(IFERROR(SEARCH("Constitution",INDEX(T04_Classes!$BX$3:$BX$102,MATCH('C01_BaseCalculation'!C62,T04_Classes!$B$3:$B$102,0),1)),0)&gt;0,Constitution&gt;12)),"yes","no")</f>
        <v>yes</v>
      </c>
      <c r="L62" s="218" t="str">
        <f>IF(OR(IFERROR(SEARCH("Intelligence",INDEX(T04_Classes!$BX$3:$BX$102,MATCH('C01_BaseCalculation'!C62,T04_Classes!$B$3:$B$102,0),1)),0)=0,AND(IFERROR(SEARCH("Intelligence",INDEX(T04_Classes!$BX$3:$BX$102,MATCH('C01_BaseCalculation'!C62,T04_Classes!$B$3:$B$102,0),1)),0)&gt;0,Intelligence&gt;12)),"yes","no")</f>
        <v>yes</v>
      </c>
      <c r="M62" s="218" t="str">
        <f>IF(OR(IFERROR(SEARCH("Wisdom",INDEX(T04_Classes!$BX$3:$BX$102,MATCH('C01_BaseCalculation'!C62,T04_Classes!$B$3:$B$102,0),1)),0)=0,AND(IFERROR(SEARCH("Wisdom",INDEX(T04_Classes!$BX$3:$BX$102,MATCH('C01_BaseCalculation'!C62,T04_Classes!$B$3:$B$102,0),1)),0)&gt;0,Wisdom&gt;12)),"yes","no")</f>
        <v>yes</v>
      </c>
      <c r="N62" s="218" t="str">
        <f>IF(OR(IFERROR(SEARCH("Charisma",INDEX(T04_Classes!$BX$3:$BX$102,MATCH('C01_BaseCalculation'!C62,T04_Classes!$B$3:$B$102,0),1)),0)=0,AND(IFERROR(SEARCH("Charisma",INDEX(T04_Classes!$BX$3:$BX$102,MATCH('C01_BaseCalculation'!C62,T04_Classes!$B$3:$B$102,0),1)),0)&gt;0,Charisma&gt;12)),"yes","no")</f>
        <v>yes</v>
      </c>
      <c r="O62" s="218">
        <f t="shared" si="11"/>
        <v>0</v>
      </c>
      <c r="P62" s="218">
        <f>IF(O62=0,0,COUNTIF($P$15:P61,"&gt;0")+1)</f>
        <v>0</v>
      </c>
      <c r="R62" s="220" t="str">
        <f t="shared" si="14"/>
        <v/>
      </c>
      <c r="S62" s="220" t="str">
        <f t="shared" si="12"/>
        <v/>
      </c>
      <c r="X62" s="219" t="str">
        <f t="shared" si="15"/>
        <v/>
      </c>
      <c r="Y62" s="219" t="str">
        <f>IFERROR(INDEX(T01_Races!$B$2:$B$101,MATCH('C01_BaseCalculation'!X62,T01_Races!$C$2:$C$101,0),1),"")</f>
        <v/>
      </c>
      <c r="Z62" s="217" t="str">
        <f t="shared" si="16"/>
        <v/>
      </c>
      <c r="AA62" s="217" t="str">
        <f>IFERROR(IF(Z62="","",INDEX(T01_Races!$E$2:$E$101,MATCH('C01_BaseCalculation'!Z62,T01_Races!$D$2:$D$101,0),1)),"")</f>
        <v/>
      </c>
      <c r="AB62" s="217" t="str">
        <f>IFERROR(IF(Z62="","",INDEX(T01_Races!$A$2:$A$101,MATCH('C01_BaseCalculation'!Z62,T01_Races!$D$2:$D$101,0),1)),"")</f>
        <v/>
      </c>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row>
    <row r="63" spans="2:66" x14ac:dyDescent="0.3">
      <c r="B63" s="218" t="str">
        <f t="shared" si="13"/>
        <v/>
      </c>
      <c r="C63" s="218" t="str">
        <f>IFERROR(INDEX(T04_Classes!$B$3:$B$102,B63,1),"")</f>
        <v/>
      </c>
      <c r="D63" s="218" t="str">
        <f>IF(C63="","",COUNTIF(Character_Creation!$R$62:$T$71,C63)+COUNTIF(Character_Creation!$R$72:$T$81,C63))</f>
        <v/>
      </c>
      <c r="E63" s="218">
        <f t="shared" si="10"/>
        <v>0</v>
      </c>
      <c r="F63" s="218">
        <f>IF(E63=0,0,COUNTIF($F$15:F62,"&gt;0")+1)</f>
        <v>0</v>
      </c>
      <c r="G63" s="218">
        <f>IF(IFERROR(SEARCH("and",INDEX(T04_Classes!$BX$3:$BX$102,MATCH('C01_BaseCalculation'!C63,T04_Classes!$B$3:$B$102,0),1)),0)&gt;1,1,0)</f>
        <v>0</v>
      </c>
      <c r="H63" s="218">
        <f>IF(IFERROR(SEARCH("or",INDEX(T04_Classes!$BX$3:$BX$102,MATCH('C01_BaseCalculation'!C63,T04_Classes!$B$3:$B$102,0),1)),0)&gt;1,1,0)</f>
        <v>0</v>
      </c>
      <c r="I63" s="218" t="str">
        <f>IF(OR(IFERROR(SEARCH("Strength",INDEX(T04_Classes!$BX$3:$BX$102,MATCH('C01_BaseCalculation'!C63,T04_Classes!$B$3:$B$102,0),1)),0)=0,AND(IFERROR(SEARCH("Strength",INDEX(T04_Classes!$BX$3:$BX$102,MATCH('C01_BaseCalculation'!C63,T04_Classes!$B$3:$B$102,0),1)),0)&gt;0,Strength&gt;12)),"yes","no")</f>
        <v>yes</v>
      </c>
      <c r="J63" s="218" t="str">
        <f>IF(OR(IFERROR(SEARCH("Dexterity",INDEX(T04_Classes!$BX$3:$BX$102,MATCH('C01_BaseCalculation'!C63,T04_Classes!$B$3:$B$102,0),1)),0)=0,AND(IFERROR(SEARCH("Dexterity",INDEX(T04_Classes!$BX$3:$BX$102,MATCH('C01_BaseCalculation'!C63,T04_Classes!$B$3:$B$102,0),1)),0)&gt;0,Dexterity&gt;12)),"yes","no")</f>
        <v>yes</v>
      </c>
      <c r="K63" s="218" t="str">
        <f>IF(OR(IFERROR(SEARCH("Constitution",INDEX(T04_Classes!$BX$3:$BX$102,MATCH('C01_BaseCalculation'!C63,T04_Classes!$B$3:$B$102,0),1)),0)=0,AND(IFERROR(SEARCH("Constitution",INDEX(T04_Classes!$BX$3:$BX$102,MATCH('C01_BaseCalculation'!C63,T04_Classes!$B$3:$B$102,0),1)),0)&gt;0,Constitution&gt;12)),"yes","no")</f>
        <v>yes</v>
      </c>
      <c r="L63" s="218" t="str">
        <f>IF(OR(IFERROR(SEARCH("Intelligence",INDEX(T04_Classes!$BX$3:$BX$102,MATCH('C01_BaseCalculation'!C63,T04_Classes!$B$3:$B$102,0),1)),0)=0,AND(IFERROR(SEARCH("Intelligence",INDEX(T04_Classes!$BX$3:$BX$102,MATCH('C01_BaseCalculation'!C63,T04_Classes!$B$3:$B$102,0),1)),0)&gt;0,Intelligence&gt;12)),"yes","no")</f>
        <v>yes</v>
      </c>
      <c r="M63" s="218" t="str">
        <f>IF(OR(IFERROR(SEARCH("Wisdom",INDEX(T04_Classes!$BX$3:$BX$102,MATCH('C01_BaseCalculation'!C63,T04_Classes!$B$3:$B$102,0),1)),0)=0,AND(IFERROR(SEARCH("Wisdom",INDEX(T04_Classes!$BX$3:$BX$102,MATCH('C01_BaseCalculation'!C63,T04_Classes!$B$3:$B$102,0),1)),0)&gt;0,Wisdom&gt;12)),"yes","no")</f>
        <v>yes</v>
      </c>
      <c r="N63" s="218" t="str">
        <f>IF(OR(IFERROR(SEARCH("Charisma",INDEX(T04_Classes!$BX$3:$BX$102,MATCH('C01_BaseCalculation'!C63,T04_Classes!$B$3:$B$102,0),1)),0)=0,AND(IFERROR(SEARCH("Charisma",INDEX(T04_Classes!$BX$3:$BX$102,MATCH('C01_BaseCalculation'!C63,T04_Classes!$B$3:$B$102,0),1)),0)&gt;0,Charisma&gt;12)),"yes","no")</f>
        <v>yes</v>
      </c>
      <c r="O63" s="218">
        <f t="shared" si="11"/>
        <v>0</v>
      </c>
      <c r="P63" s="218">
        <f>IF(O63=0,0,COUNTIF($P$15:P62,"&gt;0")+1)</f>
        <v>0</v>
      </c>
      <c r="R63" s="220" t="str">
        <f t="shared" si="14"/>
        <v/>
      </c>
      <c r="S63" s="220" t="str">
        <f t="shared" si="12"/>
        <v/>
      </c>
      <c r="X63" s="219" t="str">
        <f t="shared" si="15"/>
        <v/>
      </c>
      <c r="Y63" s="219" t="str">
        <f>IFERROR(INDEX(T01_Races!$B$2:$B$101,MATCH('C01_BaseCalculation'!X63,T01_Races!$C$2:$C$101,0),1),"")</f>
        <v/>
      </c>
      <c r="Z63" s="217" t="str">
        <f t="shared" si="16"/>
        <v/>
      </c>
      <c r="AA63" s="217" t="str">
        <f>IFERROR(IF(Z63="","",INDEX(T01_Races!$E$2:$E$101,MATCH('C01_BaseCalculation'!Z63,T01_Races!$D$2:$D$101,0),1)),"")</f>
        <v/>
      </c>
      <c r="AB63" s="217" t="str">
        <f>IFERROR(IF(Z63="","",INDEX(T01_Races!$A$2:$A$101,MATCH('C01_BaseCalculation'!Z63,T01_Races!$D$2:$D$101,0),1)),"")</f>
        <v/>
      </c>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row>
    <row r="64" spans="2:66" x14ac:dyDescent="0.3">
      <c r="B64" s="218" t="str">
        <f t="shared" si="13"/>
        <v/>
      </c>
      <c r="C64" s="218" t="str">
        <f>IFERROR(INDEX(T04_Classes!$B$3:$B$102,B64,1),"")</f>
        <v/>
      </c>
      <c r="D64" s="218" t="str">
        <f>IF(C64="","",COUNTIF(Character_Creation!$R$62:$T$71,C64)+COUNTIF(Character_Creation!$R$72:$T$81,C64))</f>
        <v/>
      </c>
      <c r="E64" s="218">
        <f t="shared" si="10"/>
        <v>0</v>
      </c>
      <c r="F64" s="218">
        <f>IF(E64=0,0,COUNTIF($F$15:F63,"&gt;0")+1)</f>
        <v>0</v>
      </c>
      <c r="G64" s="218">
        <f>IF(IFERROR(SEARCH("and",INDEX(T04_Classes!$BX$3:$BX$102,MATCH('C01_BaseCalculation'!C64,T04_Classes!$B$3:$B$102,0),1)),0)&gt;1,1,0)</f>
        <v>0</v>
      </c>
      <c r="H64" s="218">
        <f>IF(IFERROR(SEARCH("or",INDEX(T04_Classes!$BX$3:$BX$102,MATCH('C01_BaseCalculation'!C64,T04_Classes!$B$3:$B$102,0),1)),0)&gt;1,1,0)</f>
        <v>0</v>
      </c>
      <c r="I64" s="218" t="str">
        <f>IF(OR(IFERROR(SEARCH("Strength",INDEX(T04_Classes!$BX$3:$BX$102,MATCH('C01_BaseCalculation'!C64,T04_Classes!$B$3:$B$102,0),1)),0)=0,AND(IFERROR(SEARCH("Strength",INDEX(T04_Classes!$BX$3:$BX$102,MATCH('C01_BaseCalculation'!C64,T04_Classes!$B$3:$B$102,0),1)),0)&gt;0,Strength&gt;12)),"yes","no")</f>
        <v>yes</v>
      </c>
      <c r="J64" s="218" t="str">
        <f>IF(OR(IFERROR(SEARCH("Dexterity",INDEX(T04_Classes!$BX$3:$BX$102,MATCH('C01_BaseCalculation'!C64,T04_Classes!$B$3:$B$102,0),1)),0)=0,AND(IFERROR(SEARCH("Dexterity",INDEX(T04_Classes!$BX$3:$BX$102,MATCH('C01_BaseCalculation'!C64,T04_Classes!$B$3:$B$102,0),1)),0)&gt;0,Dexterity&gt;12)),"yes","no")</f>
        <v>yes</v>
      </c>
      <c r="K64" s="218" t="str">
        <f>IF(OR(IFERROR(SEARCH("Constitution",INDEX(T04_Classes!$BX$3:$BX$102,MATCH('C01_BaseCalculation'!C64,T04_Classes!$B$3:$B$102,0),1)),0)=0,AND(IFERROR(SEARCH("Constitution",INDEX(T04_Classes!$BX$3:$BX$102,MATCH('C01_BaseCalculation'!C64,T04_Classes!$B$3:$B$102,0),1)),0)&gt;0,Constitution&gt;12)),"yes","no")</f>
        <v>yes</v>
      </c>
      <c r="L64" s="218" t="str">
        <f>IF(OR(IFERROR(SEARCH("Intelligence",INDEX(T04_Classes!$BX$3:$BX$102,MATCH('C01_BaseCalculation'!C64,T04_Classes!$B$3:$B$102,0),1)),0)=0,AND(IFERROR(SEARCH("Intelligence",INDEX(T04_Classes!$BX$3:$BX$102,MATCH('C01_BaseCalculation'!C64,T04_Classes!$B$3:$B$102,0),1)),0)&gt;0,Intelligence&gt;12)),"yes","no")</f>
        <v>yes</v>
      </c>
      <c r="M64" s="218" t="str">
        <f>IF(OR(IFERROR(SEARCH("Wisdom",INDEX(T04_Classes!$BX$3:$BX$102,MATCH('C01_BaseCalculation'!C64,T04_Classes!$B$3:$B$102,0),1)),0)=0,AND(IFERROR(SEARCH("Wisdom",INDEX(T04_Classes!$BX$3:$BX$102,MATCH('C01_BaseCalculation'!C64,T04_Classes!$B$3:$B$102,0),1)),0)&gt;0,Wisdom&gt;12)),"yes","no")</f>
        <v>yes</v>
      </c>
      <c r="N64" s="218" t="str">
        <f>IF(OR(IFERROR(SEARCH("Charisma",INDEX(T04_Classes!$BX$3:$BX$102,MATCH('C01_BaseCalculation'!C64,T04_Classes!$B$3:$B$102,0),1)),0)=0,AND(IFERROR(SEARCH("Charisma",INDEX(T04_Classes!$BX$3:$BX$102,MATCH('C01_BaseCalculation'!C64,T04_Classes!$B$3:$B$102,0),1)),0)&gt;0,Charisma&gt;12)),"yes","no")</f>
        <v>yes</v>
      </c>
      <c r="O64" s="218">
        <f t="shared" si="11"/>
        <v>0</v>
      </c>
      <c r="P64" s="218">
        <f>IF(O64=0,0,COUNTIF($P$15:P63,"&gt;0")+1)</f>
        <v>0</v>
      </c>
      <c r="R64" s="220" t="str">
        <f t="shared" si="14"/>
        <v/>
      </c>
      <c r="S64" s="220" t="str">
        <f t="shared" si="12"/>
        <v/>
      </c>
      <c r="X64" s="219" t="str">
        <f t="shared" si="15"/>
        <v/>
      </c>
      <c r="Y64" s="219" t="str">
        <f>IFERROR(INDEX(T01_Races!$B$2:$B$101,MATCH('C01_BaseCalculation'!X64,T01_Races!$C$2:$C$101,0),1),"")</f>
        <v/>
      </c>
      <c r="Z64" s="217" t="str">
        <f t="shared" si="16"/>
        <v/>
      </c>
      <c r="AA64" s="217" t="str">
        <f>IFERROR(IF(Z64="","",INDEX(T01_Races!$E$2:$E$101,MATCH('C01_BaseCalculation'!Z64,T01_Races!$D$2:$D$101,0),1)),"")</f>
        <v/>
      </c>
      <c r="AB64" s="217" t="str">
        <f>IFERROR(IF(Z64="","",INDEX(T01_Races!$A$2:$A$101,MATCH('C01_BaseCalculation'!Z64,T01_Races!$D$2:$D$101,0),1)),"")</f>
        <v/>
      </c>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row>
    <row r="65" spans="2:66" x14ac:dyDescent="0.3">
      <c r="B65" s="218" t="str">
        <f t="shared" si="13"/>
        <v/>
      </c>
      <c r="C65" s="218" t="str">
        <f>IFERROR(INDEX(T04_Classes!$B$3:$B$102,B65,1),"")</f>
        <v/>
      </c>
      <c r="D65" s="218" t="str">
        <f>IF(C65="","",COUNTIF(Character_Creation!$R$62:$T$71,C65)+COUNTIF(Character_Creation!$R$72:$T$81,C65))</f>
        <v/>
      </c>
      <c r="E65" s="218">
        <f t="shared" si="10"/>
        <v>0</v>
      </c>
      <c r="F65" s="218">
        <f>IF(E65=0,0,COUNTIF($F$15:F64,"&gt;0")+1)</f>
        <v>0</v>
      </c>
      <c r="G65" s="218">
        <f>IF(IFERROR(SEARCH("and",INDEX(T04_Classes!$BX$3:$BX$102,MATCH('C01_BaseCalculation'!C65,T04_Classes!$B$3:$B$102,0),1)),0)&gt;1,1,0)</f>
        <v>0</v>
      </c>
      <c r="H65" s="218">
        <f>IF(IFERROR(SEARCH("or",INDEX(T04_Classes!$BX$3:$BX$102,MATCH('C01_BaseCalculation'!C65,T04_Classes!$B$3:$B$102,0),1)),0)&gt;1,1,0)</f>
        <v>0</v>
      </c>
      <c r="I65" s="218" t="str">
        <f>IF(OR(IFERROR(SEARCH("Strength",INDEX(T04_Classes!$BX$3:$BX$102,MATCH('C01_BaseCalculation'!C65,T04_Classes!$B$3:$B$102,0),1)),0)=0,AND(IFERROR(SEARCH("Strength",INDEX(T04_Classes!$BX$3:$BX$102,MATCH('C01_BaseCalculation'!C65,T04_Classes!$B$3:$B$102,0),1)),0)&gt;0,Strength&gt;12)),"yes","no")</f>
        <v>yes</v>
      </c>
      <c r="J65" s="218" t="str">
        <f>IF(OR(IFERROR(SEARCH("Dexterity",INDEX(T04_Classes!$BX$3:$BX$102,MATCH('C01_BaseCalculation'!C65,T04_Classes!$B$3:$B$102,0),1)),0)=0,AND(IFERROR(SEARCH("Dexterity",INDEX(T04_Classes!$BX$3:$BX$102,MATCH('C01_BaseCalculation'!C65,T04_Classes!$B$3:$B$102,0),1)),0)&gt;0,Dexterity&gt;12)),"yes","no")</f>
        <v>yes</v>
      </c>
      <c r="K65" s="218" t="str">
        <f>IF(OR(IFERROR(SEARCH("Constitution",INDEX(T04_Classes!$BX$3:$BX$102,MATCH('C01_BaseCalculation'!C65,T04_Classes!$B$3:$B$102,0),1)),0)=0,AND(IFERROR(SEARCH("Constitution",INDEX(T04_Classes!$BX$3:$BX$102,MATCH('C01_BaseCalculation'!C65,T04_Classes!$B$3:$B$102,0),1)),0)&gt;0,Constitution&gt;12)),"yes","no")</f>
        <v>yes</v>
      </c>
      <c r="L65" s="218" t="str">
        <f>IF(OR(IFERROR(SEARCH("Intelligence",INDEX(T04_Classes!$BX$3:$BX$102,MATCH('C01_BaseCalculation'!C65,T04_Classes!$B$3:$B$102,0),1)),0)=0,AND(IFERROR(SEARCH("Intelligence",INDEX(T04_Classes!$BX$3:$BX$102,MATCH('C01_BaseCalculation'!C65,T04_Classes!$B$3:$B$102,0),1)),0)&gt;0,Intelligence&gt;12)),"yes","no")</f>
        <v>yes</v>
      </c>
      <c r="M65" s="218" t="str">
        <f>IF(OR(IFERROR(SEARCH("Wisdom",INDEX(T04_Classes!$BX$3:$BX$102,MATCH('C01_BaseCalculation'!C65,T04_Classes!$B$3:$B$102,0),1)),0)=0,AND(IFERROR(SEARCH("Wisdom",INDEX(T04_Classes!$BX$3:$BX$102,MATCH('C01_BaseCalculation'!C65,T04_Classes!$B$3:$B$102,0),1)),0)&gt;0,Wisdom&gt;12)),"yes","no")</f>
        <v>yes</v>
      </c>
      <c r="N65" s="218" t="str">
        <f>IF(OR(IFERROR(SEARCH("Charisma",INDEX(T04_Classes!$BX$3:$BX$102,MATCH('C01_BaseCalculation'!C65,T04_Classes!$B$3:$B$102,0),1)),0)=0,AND(IFERROR(SEARCH("Charisma",INDEX(T04_Classes!$BX$3:$BX$102,MATCH('C01_BaseCalculation'!C65,T04_Classes!$B$3:$B$102,0),1)),0)&gt;0,Charisma&gt;12)),"yes","no")</f>
        <v>yes</v>
      </c>
      <c r="O65" s="218">
        <f t="shared" si="11"/>
        <v>0</v>
      </c>
      <c r="P65" s="218">
        <f>IF(O65=0,0,COUNTIF($P$15:P64,"&gt;0")+1)</f>
        <v>0</v>
      </c>
      <c r="R65" s="220" t="str">
        <f t="shared" si="14"/>
        <v/>
      </c>
      <c r="S65" s="220" t="str">
        <f t="shared" si="12"/>
        <v/>
      </c>
      <c r="X65" s="219" t="str">
        <f t="shared" si="15"/>
        <v/>
      </c>
      <c r="Y65" s="219" t="str">
        <f>IFERROR(INDEX(T01_Races!$B$2:$B$101,MATCH('C01_BaseCalculation'!X65,T01_Races!$C$2:$C$101,0),1),"")</f>
        <v/>
      </c>
      <c r="Z65" s="217" t="str">
        <f t="shared" si="16"/>
        <v/>
      </c>
      <c r="AA65" s="217" t="str">
        <f>IFERROR(IF(Z65="","",INDEX(T01_Races!$E$2:$E$101,MATCH('C01_BaseCalculation'!Z65,T01_Races!$D$2:$D$101,0),1)),"")</f>
        <v/>
      </c>
      <c r="AB65" s="217" t="str">
        <f>IFERROR(IF(Z65="","",INDEX(T01_Races!$A$2:$A$101,MATCH('C01_BaseCalculation'!Z65,T01_Races!$D$2:$D$101,0),1)),"")</f>
        <v/>
      </c>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row>
    <row r="66" spans="2:66" x14ac:dyDescent="0.3">
      <c r="B66" s="218" t="str">
        <f t="shared" si="13"/>
        <v/>
      </c>
      <c r="C66" s="218" t="str">
        <f>IFERROR(INDEX(T04_Classes!$B$3:$B$102,B66,1),"")</f>
        <v/>
      </c>
      <c r="D66" s="218" t="str">
        <f>IF(C66="","",COUNTIF(Character_Creation!$R$62:$T$71,C66)+COUNTIF(Character_Creation!$R$72:$T$81,C66))</f>
        <v/>
      </c>
      <c r="E66" s="218">
        <f t="shared" si="10"/>
        <v>0</v>
      </c>
      <c r="F66" s="218">
        <f>IF(E66=0,0,COUNTIF($F$15:F65,"&gt;0")+1)</f>
        <v>0</v>
      </c>
      <c r="G66" s="218">
        <f>IF(IFERROR(SEARCH("and",INDEX(T04_Classes!$BX$3:$BX$102,MATCH('C01_BaseCalculation'!C66,T04_Classes!$B$3:$B$102,0),1)),0)&gt;1,1,0)</f>
        <v>0</v>
      </c>
      <c r="H66" s="218">
        <f>IF(IFERROR(SEARCH("or",INDEX(T04_Classes!$BX$3:$BX$102,MATCH('C01_BaseCalculation'!C66,T04_Classes!$B$3:$B$102,0),1)),0)&gt;1,1,0)</f>
        <v>0</v>
      </c>
      <c r="I66" s="218" t="str">
        <f>IF(OR(IFERROR(SEARCH("Strength",INDEX(T04_Classes!$BX$3:$BX$102,MATCH('C01_BaseCalculation'!C66,T04_Classes!$B$3:$B$102,0),1)),0)=0,AND(IFERROR(SEARCH("Strength",INDEX(T04_Classes!$BX$3:$BX$102,MATCH('C01_BaseCalculation'!C66,T04_Classes!$B$3:$B$102,0),1)),0)&gt;0,Strength&gt;12)),"yes","no")</f>
        <v>yes</v>
      </c>
      <c r="J66" s="218" t="str">
        <f>IF(OR(IFERROR(SEARCH("Dexterity",INDEX(T04_Classes!$BX$3:$BX$102,MATCH('C01_BaseCalculation'!C66,T04_Classes!$B$3:$B$102,0),1)),0)=0,AND(IFERROR(SEARCH("Dexterity",INDEX(T04_Classes!$BX$3:$BX$102,MATCH('C01_BaseCalculation'!C66,T04_Classes!$B$3:$B$102,0),1)),0)&gt;0,Dexterity&gt;12)),"yes","no")</f>
        <v>yes</v>
      </c>
      <c r="K66" s="218" t="str">
        <f>IF(OR(IFERROR(SEARCH("Constitution",INDEX(T04_Classes!$BX$3:$BX$102,MATCH('C01_BaseCalculation'!C66,T04_Classes!$B$3:$B$102,0),1)),0)=0,AND(IFERROR(SEARCH("Constitution",INDEX(T04_Classes!$BX$3:$BX$102,MATCH('C01_BaseCalculation'!C66,T04_Classes!$B$3:$B$102,0),1)),0)&gt;0,Constitution&gt;12)),"yes","no")</f>
        <v>yes</v>
      </c>
      <c r="L66" s="218" t="str">
        <f>IF(OR(IFERROR(SEARCH("Intelligence",INDEX(T04_Classes!$BX$3:$BX$102,MATCH('C01_BaseCalculation'!C66,T04_Classes!$B$3:$B$102,0),1)),0)=0,AND(IFERROR(SEARCH("Intelligence",INDEX(T04_Classes!$BX$3:$BX$102,MATCH('C01_BaseCalculation'!C66,T04_Classes!$B$3:$B$102,0),1)),0)&gt;0,Intelligence&gt;12)),"yes","no")</f>
        <v>yes</v>
      </c>
      <c r="M66" s="218" t="str">
        <f>IF(OR(IFERROR(SEARCH("Wisdom",INDEX(T04_Classes!$BX$3:$BX$102,MATCH('C01_BaseCalculation'!C66,T04_Classes!$B$3:$B$102,0),1)),0)=0,AND(IFERROR(SEARCH("Wisdom",INDEX(T04_Classes!$BX$3:$BX$102,MATCH('C01_BaseCalculation'!C66,T04_Classes!$B$3:$B$102,0),1)),0)&gt;0,Wisdom&gt;12)),"yes","no")</f>
        <v>yes</v>
      </c>
      <c r="N66" s="218" t="str">
        <f>IF(OR(IFERROR(SEARCH("Charisma",INDEX(T04_Classes!$BX$3:$BX$102,MATCH('C01_BaseCalculation'!C66,T04_Classes!$B$3:$B$102,0),1)),0)=0,AND(IFERROR(SEARCH("Charisma",INDEX(T04_Classes!$BX$3:$BX$102,MATCH('C01_BaseCalculation'!C66,T04_Classes!$B$3:$B$102,0),1)),0)&gt;0,Charisma&gt;12)),"yes","no")</f>
        <v>yes</v>
      </c>
      <c r="O66" s="218">
        <f t="shared" si="11"/>
        <v>0</v>
      </c>
      <c r="P66" s="218">
        <f>IF(O66=0,0,COUNTIF($P$15:P65,"&gt;0")+1)</f>
        <v>0</v>
      </c>
      <c r="R66" s="220" t="str">
        <f t="shared" si="14"/>
        <v/>
      </c>
      <c r="S66" s="220" t="str">
        <f t="shared" si="12"/>
        <v/>
      </c>
      <c r="X66" s="219" t="str">
        <f t="shared" si="15"/>
        <v/>
      </c>
      <c r="Y66" s="219" t="str">
        <f>IFERROR(INDEX(T01_Races!$B$2:$B$101,MATCH('C01_BaseCalculation'!X66,T01_Races!$C$2:$C$101,0),1),"")</f>
        <v/>
      </c>
      <c r="Z66" s="217" t="str">
        <f t="shared" si="16"/>
        <v/>
      </c>
      <c r="AA66" s="217" t="str">
        <f>IFERROR(IF(Z66="","",INDEX(T01_Races!$E$2:$E$101,MATCH('C01_BaseCalculation'!Z66,T01_Races!$D$2:$D$101,0),1)),"")</f>
        <v/>
      </c>
      <c r="AB66" s="217" t="str">
        <f>IFERROR(IF(Z66="","",INDEX(T01_Races!$A$2:$A$101,MATCH('C01_BaseCalculation'!Z66,T01_Races!$D$2:$D$101,0),1)),"")</f>
        <v/>
      </c>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row>
    <row r="67" spans="2:66" x14ac:dyDescent="0.3">
      <c r="B67" s="218" t="str">
        <f t="shared" si="13"/>
        <v/>
      </c>
      <c r="C67" s="218" t="str">
        <f>IFERROR(INDEX(T04_Classes!$B$3:$B$102,B67,1),"")</f>
        <v/>
      </c>
      <c r="D67" s="218" t="str">
        <f>IF(C67="","",COUNTIF(Character_Creation!$R$62:$T$71,C67)+COUNTIF(Character_Creation!$R$72:$T$81,C67))</f>
        <v/>
      </c>
      <c r="E67" s="218">
        <f t="shared" si="10"/>
        <v>0</v>
      </c>
      <c r="F67" s="218">
        <f>IF(E67=0,0,COUNTIF($F$15:F66,"&gt;0")+1)</f>
        <v>0</v>
      </c>
      <c r="G67" s="218">
        <f>IF(IFERROR(SEARCH("and",INDEX(T04_Classes!$BX$3:$BX$102,MATCH('C01_BaseCalculation'!C67,T04_Classes!$B$3:$B$102,0),1)),0)&gt;1,1,0)</f>
        <v>0</v>
      </c>
      <c r="H67" s="218">
        <f>IF(IFERROR(SEARCH("or",INDEX(T04_Classes!$BX$3:$BX$102,MATCH('C01_BaseCalculation'!C67,T04_Classes!$B$3:$B$102,0),1)),0)&gt;1,1,0)</f>
        <v>0</v>
      </c>
      <c r="I67" s="218" t="str">
        <f>IF(OR(IFERROR(SEARCH("Strength",INDEX(T04_Classes!$BX$3:$BX$102,MATCH('C01_BaseCalculation'!C67,T04_Classes!$B$3:$B$102,0),1)),0)=0,AND(IFERROR(SEARCH("Strength",INDEX(T04_Classes!$BX$3:$BX$102,MATCH('C01_BaseCalculation'!C67,T04_Classes!$B$3:$B$102,0),1)),0)&gt;0,Strength&gt;12)),"yes","no")</f>
        <v>yes</v>
      </c>
      <c r="J67" s="218" t="str">
        <f>IF(OR(IFERROR(SEARCH("Dexterity",INDEX(T04_Classes!$BX$3:$BX$102,MATCH('C01_BaseCalculation'!C67,T04_Classes!$B$3:$B$102,0),1)),0)=0,AND(IFERROR(SEARCH("Dexterity",INDEX(T04_Classes!$BX$3:$BX$102,MATCH('C01_BaseCalculation'!C67,T04_Classes!$B$3:$B$102,0),1)),0)&gt;0,Dexterity&gt;12)),"yes","no")</f>
        <v>yes</v>
      </c>
      <c r="K67" s="218" t="str">
        <f>IF(OR(IFERROR(SEARCH("Constitution",INDEX(T04_Classes!$BX$3:$BX$102,MATCH('C01_BaseCalculation'!C67,T04_Classes!$B$3:$B$102,0),1)),0)=0,AND(IFERROR(SEARCH("Constitution",INDEX(T04_Classes!$BX$3:$BX$102,MATCH('C01_BaseCalculation'!C67,T04_Classes!$B$3:$B$102,0),1)),0)&gt;0,Constitution&gt;12)),"yes","no")</f>
        <v>yes</v>
      </c>
      <c r="L67" s="218" t="str">
        <f>IF(OR(IFERROR(SEARCH("Intelligence",INDEX(T04_Classes!$BX$3:$BX$102,MATCH('C01_BaseCalculation'!C67,T04_Classes!$B$3:$B$102,0),1)),0)=0,AND(IFERROR(SEARCH("Intelligence",INDEX(T04_Classes!$BX$3:$BX$102,MATCH('C01_BaseCalculation'!C67,T04_Classes!$B$3:$B$102,0),1)),0)&gt;0,Intelligence&gt;12)),"yes","no")</f>
        <v>yes</v>
      </c>
      <c r="M67" s="218" t="str">
        <f>IF(OR(IFERROR(SEARCH("Wisdom",INDEX(T04_Classes!$BX$3:$BX$102,MATCH('C01_BaseCalculation'!C67,T04_Classes!$B$3:$B$102,0),1)),0)=0,AND(IFERROR(SEARCH("Wisdom",INDEX(T04_Classes!$BX$3:$BX$102,MATCH('C01_BaseCalculation'!C67,T04_Classes!$B$3:$B$102,0),1)),0)&gt;0,Wisdom&gt;12)),"yes","no")</f>
        <v>yes</v>
      </c>
      <c r="N67" s="218" t="str">
        <f>IF(OR(IFERROR(SEARCH("Charisma",INDEX(T04_Classes!$BX$3:$BX$102,MATCH('C01_BaseCalculation'!C67,T04_Classes!$B$3:$B$102,0),1)),0)=0,AND(IFERROR(SEARCH("Charisma",INDEX(T04_Classes!$BX$3:$BX$102,MATCH('C01_BaseCalculation'!C67,T04_Classes!$B$3:$B$102,0),1)),0)&gt;0,Charisma&gt;12)),"yes","no")</f>
        <v>yes</v>
      </c>
      <c r="O67" s="218">
        <f t="shared" si="11"/>
        <v>0</v>
      </c>
      <c r="P67" s="218">
        <f>IF(O67=0,0,COUNTIF($P$15:P66,"&gt;0")+1)</f>
        <v>0</v>
      </c>
      <c r="R67" s="220" t="str">
        <f t="shared" si="14"/>
        <v/>
      </c>
      <c r="S67" s="220" t="str">
        <f t="shared" si="12"/>
        <v/>
      </c>
      <c r="X67" s="219" t="str">
        <f t="shared" si="15"/>
        <v/>
      </c>
      <c r="Y67" s="219" t="str">
        <f>IFERROR(INDEX(T01_Races!$B$2:$B$101,MATCH('C01_BaseCalculation'!X67,T01_Races!$C$2:$C$101,0),1),"")</f>
        <v/>
      </c>
      <c r="Z67" s="217" t="str">
        <f t="shared" si="16"/>
        <v/>
      </c>
      <c r="AA67" s="217" t="str">
        <f>IFERROR(IF(Z67="","",INDEX(T01_Races!$E$2:$E$101,MATCH('C01_BaseCalculation'!Z67,T01_Races!$D$2:$D$101,0),1)),"")</f>
        <v/>
      </c>
      <c r="AB67" s="217" t="str">
        <f>IFERROR(IF(Z67="","",INDEX(T01_Races!$A$2:$A$101,MATCH('C01_BaseCalculation'!Z67,T01_Races!$D$2:$D$101,0),1)),"")</f>
        <v/>
      </c>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row>
    <row r="68" spans="2:66" x14ac:dyDescent="0.3">
      <c r="B68" s="218" t="str">
        <f t="shared" si="13"/>
        <v/>
      </c>
      <c r="C68" s="218" t="str">
        <f>IFERROR(INDEX(T04_Classes!$B$3:$B$102,B68,1),"")</f>
        <v/>
      </c>
      <c r="D68" s="218" t="str">
        <f>IF(C68="","",COUNTIF(Character_Creation!$R$62:$T$71,C68)+COUNTIF(Character_Creation!$R$72:$T$81,C68))</f>
        <v/>
      </c>
      <c r="E68" s="218">
        <f t="shared" si="10"/>
        <v>0</v>
      </c>
      <c r="F68" s="218">
        <f>IF(E68=0,0,COUNTIF($F$15:F67,"&gt;0")+1)</f>
        <v>0</v>
      </c>
      <c r="G68" s="218">
        <f>IF(IFERROR(SEARCH("and",INDEX(T04_Classes!$BX$3:$BX$102,MATCH('C01_BaseCalculation'!C68,T04_Classes!$B$3:$B$102,0),1)),0)&gt;1,1,0)</f>
        <v>0</v>
      </c>
      <c r="H68" s="218">
        <f>IF(IFERROR(SEARCH("or",INDEX(T04_Classes!$BX$3:$BX$102,MATCH('C01_BaseCalculation'!C68,T04_Classes!$B$3:$B$102,0),1)),0)&gt;1,1,0)</f>
        <v>0</v>
      </c>
      <c r="I68" s="218" t="str">
        <f>IF(OR(IFERROR(SEARCH("Strength",INDEX(T04_Classes!$BX$3:$BX$102,MATCH('C01_BaseCalculation'!C68,T04_Classes!$B$3:$B$102,0),1)),0)=0,AND(IFERROR(SEARCH("Strength",INDEX(T04_Classes!$BX$3:$BX$102,MATCH('C01_BaseCalculation'!C68,T04_Classes!$B$3:$B$102,0),1)),0)&gt;0,Strength&gt;12)),"yes","no")</f>
        <v>yes</v>
      </c>
      <c r="J68" s="218" t="str">
        <f>IF(OR(IFERROR(SEARCH("Dexterity",INDEX(T04_Classes!$BX$3:$BX$102,MATCH('C01_BaseCalculation'!C68,T04_Classes!$B$3:$B$102,0),1)),0)=0,AND(IFERROR(SEARCH("Dexterity",INDEX(T04_Classes!$BX$3:$BX$102,MATCH('C01_BaseCalculation'!C68,T04_Classes!$B$3:$B$102,0),1)),0)&gt;0,Dexterity&gt;12)),"yes","no")</f>
        <v>yes</v>
      </c>
      <c r="K68" s="218" t="str">
        <f>IF(OR(IFERROR(SEARCH("Constitution",INDEX(T04_Classes!$BX$3:$BX$102,MATCH('C01_BaseCalculation'!C68,T04_Classes!$B$3:$B$102,0),1)),0)=0,AND(IFERROR(SEARCH("Constitution",INDEX(T04_Classes!$BX$3:$BX$102,MATCH('C01_BaseCalculation'!C68,T04_Classes!$B$3:$B$102,0),1)),0)&gt;0,Constitution&gt;12)),"yes","no")</f>
        <v>yes</v>
      </c>
      <c r="L68" s="218" t="str">
        <f>IF(OR(IFERROR(SEARCH("Intelligence",INDEX(T04_Classes!$BX$3:$BX$102,MATCH('C01_BaseCalculation'!C68,T04_Classes!$B$3:$B$102,0),1)),0)=0,AND(IFERROR(SEARCH("Intelligence",INDEX(T04_Classes!$BX$3:$BX$102,MATCH('C01_BaseCalculation'!C68,T04_Classes!$B$3:$B$102,0),1)),0)&gt;0,Intelligence&gt;12)),"yes","no")</f>
        <v>yes</v>
      </c>
      <c r="M68" s="218" t="str">
        <f>IF(OR(IFERROR(SEARCH("Wisdom",INDEX(T04_Classes!$BX$3:$BX$102,MATCH('C01_BaseCalculation'!C68,T04_Classes!$B$3:$B$102,0),1)),0)=0,AND(IFERROR(SEARCH("Wisdom",INDEX(T04_Classes!$BX$3:$BX$102,MATCH('C01_BaseCalculation'!C68,T04_Classes!$B$3:$B$102,0),1)),0)&gt;0,Wisdom&gt;12)),"yes","no")</f>
        <v>yes</v>
      </c>
      <c r="N68" s="218" t="str">
        <f>IF(OR(IFERROR(SEARCH("Charisma",INDEX(T04_Classes!$BX$3:$BX$102,MATCH('C01_BaseCalculation'!C68,T04_Classes!$B$3:$B$102,0),1)),0)=0,AND(IFERROR(SEARCH("Charisma",INDEX(T04_Classes!$BX$3:$BX$102,MATCH('C01_BaseCalculation'!C68,T04_Classes!$B$3:$B$102,0),1)),0)&gt;0,Charisma&gt;12)),"yes","no")</f>
        <v>yes</v>
      </c>
      <c r="O68" s="218">
        <f t="shared" si="11"/>
        <v>0</v>
      </c>
      <c r="P68" s="218">
        <f>IF(O68=0,0,COUNTIF($P$15:P67,"&gt;0")+1)</f>
        <v>0</v>
      </c>
      <c r="R68" s="220" t="str">
        <f t="shared" si="14"/>
        <v/>
      </c>
      <c r="S68" s="220" t="str">
        <f t="shared" si="12"/>
        <v/>
      </c>
      <c r="X68" s="219" t="str">
        <f t="shared" si="15"/>
        <v/>
      </c>
      <c r="Y68" s="219" t="str">
        <f>IFERROR(INDEX(T01_Races!$B$2:$B$101,MATCH('C01_BaseCalculation'!X68,T01_Races!$C$2:$C$101,0),1),"")</f>
        <v/>
      </c>
      <c r="Z68" s="217" t="str">
        <f t="shared" si="16"/>
        <v/>
      </c>
      <c r="AA68" s="217" t="str">
        <f>IFERROR(IF(Z68="","",INDEX(T01_Races!$E$2:$E$101,MATCH('C01_BaseCalculation'!Z68,T01_Races!$D$2:$D$101,0),1)),"")</f>
        <v/>
      </c>
      <c r="AB68" s="217" t="str">
        <f>IFERROR(IF(Z68="","",INDEX(T01_Races!$A$2:$A$101,MATCH('C01_BaseCalculation'!Z68,T01_Races!$D$2:$D$101,0),1)),"")</f>
        <v/>
      </c>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row>
    <row r="69" spans="2:66" x14ac:dyDescent="0.3">
      <c r="B69" s="218" t="str">
        <f t="shared" si="13"/>
        <v/>
      </c>
      <c r="C69" s="218" t="str">
        <f>IFERROR(INDEX(T04_Classes!$B$3:$B$102,B69,1),"")</f>
        <v/>
      </c>
      <c r="D69" s="218" t="str">
        <f>IF(C69="","",COUNTIF(Character_Creation!$R$62:$T$71,C69)+COUNTIF(Character_Creation!$R$72:$T$81,C69))</f>
        <v/>
      </c>
      <c r="E69" s="218">
        <f t="shared" si="10"/>
        <v>0</v>
      </c>
      <c r="F69" s="218">
        <f>IF(E69=0,0,COUNTIF($F$15:F68,"&gt;0")+1)</f>
        <v>0</v>
      </c>
      <c r="G69" s="218">
        <f>IF(IFERROR(SEARCH("and",INDEX(T04_Classes!$BX$3:$BX$102,MATCH('C01_BaseCalculation'!C69,T04_Classes!$B$3:$B$102,0),1)),0)&gt;1,1,0)</f>
        <v>0</v>
      </c>
      <c r="H69" s="218">
        <f>IF(IFERROR(SEARCH("or",INDEX(T04_Classes!$BX$3:$BX$102,MATCH('C01_BaseCalculation'!C69,T04_Classes!$B$3:$B$102,0),1)),0)&gt;1,1,0)</f>
        <v>0</v>
      </c>
      <c r="I69" s="218" t="str">
        <f>IF(OR(IFERROR(SEARCH("Strength",INDEX(T04_Classes!$BX$3:$BX$102,MATCH('C01_BaseCalculation'!C69,T04_Classes!$B$3:$B$102,0),1)),0)=0,AND(IFERROR(SEARCH("Strength",INDEX(T04_Classes!$BX$3:$BX$102,MATCH('C01_BaseCalculation'!C69,T04_Classes!$B$3:$B$102,0),1)),0)&gt;0,Strength&gt;12)),"yes","no")</f>
        <v>yes</v>
      </c>
      <c r="J69" s="218" t="str">
        <f>IF(OR(IFERROR(SEARCH("Dexterity",INDEX(T04_Classes!$BX$3:$BX$102,MATCH('C01_BaseCalculation'!C69,T04_Classes!$B$3:$B$102,0),1)),0)=0,AND(IFERROR(SEARCH("Dexterity",INDEX(T04_Classes!$BX$3:$BX$102,MATCH('C01_BaseCalculation'!C69,T04_Classes!$B$3:$B$102,0),1)),0)&gt;0,Dexterity&gt;12)),"yes","no")</f>
        <v>yes</v>
      </c>
      <c r="K69" s="218" t="str">
        <f>IF(OR(IFERROR(SEARCH("Constitution",INDEX(T04_Classes!$BX$3:$BX$102,MATCH('C01_BaseCalculation'!C69,T04_Classes!$B$3:$B$102,0),1)),0)=0,AND(IFERROR(SEARCH("Constitution",INDEX(T04_Classes!$BX$3:$BX$102,MATCH('C01_BaseCalculation'!C69,T04_Classes!$B$3:$B$102,0),1)),0)&gt;0,Constitution&gt;12)),"yes","no")</f>
        <v>yes</v>
      </c>
      <c r="L69" s="218" t="str">
        <f>IF(OR(IFERROR(SEARCH("Intelligence",INDEX(T04_Classes!$BX$3:$BX$102,MATCH('C01_BaseCalculation'!C69,T04_Classes!$B$3:$B$102,0),1)),0)=0,AND(IFERROR(SEARCH("Intelligence",INDEX(T04_Classes!$BX$3:$BX$102,MATCH('C01_BaseCalculation'!C69,T04_Classes!$B$3:$B$102,0),1)),0)&gt;0,Intelligence&gt;12)),"yes","no")</f>
        <v>yes</v>
      </c>
      <c r="M69" s="218" t="str">
        <f>IF(OR(IFERROR(SEARCH("Wisdom",INDEX(T04_Classes!$BX$3:$BX$102,MATCH('C01_BaseCalculation'!C69,T04_Classes!$B$3:$B$102,0),1)),0)=0,AND(IFERROR(SEARCH("Wisdom",INDEX(T04_Classes!$BX$3:$BX$102,MATCH('C01_BaseCalculation'!C69,T04_Classes!$B$3:$B$102,0),1)),0)&gt;0,Wisdom&gt;12)),"yes","no")</f>
        <v>yes</v>
      </c>
      <c r="N69" s="218" t="str">
        <f>IF(OR(IFERROR(SEARCH("Charisma",INDEX(T04_Classes!$BX$3:$BX$102,MATCH('C01_BaseCalculation'!C69,T04_Classes!$B$3:$B$102,0),1)),0)=0,AND(IFERROR(SEARCH("Charisma",INDEX(T04_Classes!$BX$3:$BX$102,MATCH('C01_BaseCalculation'!C69,T04_Classes!$B$3:$B$102,0),1)),0)&gt;0,Charisma&gt;12)),"yes","no")</f>
        <v>yes</v>
      </c>
      <c r="O69" s="218">
        <f t="shared" si="11"/>
        <v>0</v>
      </c>
      <c r="P69" s="218">
        <f>IF(O69=0,0,COUNTIF($P$15:P68,"&gt;0")+1)</f>
        <v>0</v>
      </c>
      <c r="R69" s="220" t="str">
        <f t="shared" si="14"/>
        <v/>
      </c>
      <c r="S69" s="220" t="str">
        <f t="shared" si="12"/>
        <v/>
      </c>
      <c r="X69" s="219" t="str">
        <f t="shared" si="15"/>
        <v/>
      </c>
      <c r="Y69" s="219" t="str">
        <f>IFERROR(INDEX(T01_Races!$B$2:$B$101,MATCH('C01_BaseCalculation'!X69,T01_Races!$C$2:$C$101,0),1),"")</f>
        <v/>
      </c>
      <c r="Z69" s="217" t="str">
        <f t="shared" si="16"/>
        <v/>
      </c>
      <c r="AA69" s="217" t="str">
        <f>IFERROR(IF(Z69="","",INDEX(T01_Races!$E$2:$E$101,MATCH('C01_BaseCalculation'!Z69,T01_Races!$D$2:$D$101,0),1)),"")</f>
        <v/>
      </c>
      <c r="AB69" s="217" t="str">
        <f>IFERROR(IF(Z69="","",INDEX(T01_Races!$A$2:$A$101,MATCH('C01_BaseCalculation'!Z69,T01_Races!$D$2:$D$101,0),1)),"")</f>
        <v/>
      </c>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row>
    <row r="70" spans="2:66" x14ac:dyDescent="0.3">
      <c r="B70" s="218" t="str">
        <f t="shared" si="13"/>
        <v/>
      </c>
      <c r="C70" s="218" t="str">
        <f>IFERROR(INDEX(T04_Classes!$B$3:$B$102,B70,1),"")</f>
        <v/>
      </c>
      <c r="D70" s="218" t="str">
        <f>IF(C70="","",COUNTIF(Character_Creation!$R$62:$T$71,C70)+COUNTIF(Character_Creation!$R$72:$T$81,C70))</f>
        <v/>
      </c>
      <c r="E70" s="218">
        <f t="shared" si="10"/>
        <v>0</v>
      </c>
      <c r="F70" s="218">
        <f>IF(E70=0,0,COUNTIF($F$15:F69,"&gt;0")+1)</f>
        <v>0</v>
      </c>
      <c r="G70" s="218">
        <f>IF(IFERROR(SEARCH("and",INDEX(T04_Classes!$BX$3:$BX$102,MATCH('C01_BaseCalculation'!C70,T04_Classes!$B$3:$B$102,0),1)),0)&gt;1,1,0)</f>
        <v>0</v>
      </c>
      <c r="H70" s="218">
        <f>IF(IFERROR(SEARCH("or",INDEX(T04_Classes!$BX$3:$BX$102,MATCH('C01_BaseCalculation'!C70,T04_Classes!$B$3:$B$102,0),1)),0)&gt;1,1,0)</f>
        <v>0</v>
      </c>
      <c r="I70" s="218" t="str">
        <f>IF(OR(IFERROR(SEARCH("Strength",INDEX(T04_Classes!$BX$3:$BX$102,MATCH('C01_BaseCalculation'!C70,T04_Classes!$B$3:$B$102,0),1)),0)=0,AND(IFERROR(SEARCH("Strength",INDEX(T04_Classes!$BX$3:$BX$102,MATCH('C01_BaseCalculation'!C70,T04_Classes!$B$3:$B$102,0),1)),0)&gt;0,Strength&gt;12)),"yes","no")</f>
        <v>yes</v>
      </c>
      <c r="J70" s="218" t="str">
        <f>IF(OR(IFERROR(SEARCH("Dexterity",INDEX(T04_Classes!$BX$3:$BX$102,MATCH('C01_BaseCalculation'!C70,T04_Classes!$B$3:$B$102,0),1)),0)=0,AND(IFERROR(SEARCH("Dexterity",INDEX(T04_Classes!$BX$3:$BX$102,MATCH('C01_BaseCalculation'!C70,T04_Classes!$B$3:$B$102,0),1)),0)&gt;0,Dexterity&gt;12)),"yes","no")</f>
        <v>yes</v>
      </c>
      <c r="K70" s="218" t="str">
        <f>IF(OR(IFERROR(SEARCH("Constitution",INDEX(T04_Classes!$BX$3:$BX$102,MATCH('C01_BaseCalculation'!C70,T04_Classes!$B$3:$B$102,0),1)),0)=0,AND(IFERROR(SEARCH("Constitution",INDEX(T04_Classes!$BX$3:$BX$102,MATCH('C01_BaseCalculation'!C70,T04_Classes!$B$3:$B$102,0),1)),0)&gt;0,Constitution&gt;12)),"yes","no")</f>
        <v>yes</v>
      </c>
      <c r="L70" s="218" t="str">
        <f>IF(OR(IFERROR(SEARCH("Intelligence",INDEX(T04_Classes!$BX$3:$BX$102,MATCH('C01_BaseCalculation'!C70,T04_Classes!$B$3:$B$102,0),1)),0)=0,AND(IFERROR(SEARCH("Intelligence",INDEX(T04_Classes!$BX$3:$BX$102,MATCH('C01_BaseCalculation'!C70,T04_Classes!$B$3:$B$102,0),1)),0)&gt;0,Intelligence&gt;12)),"yes","no")</f>
        <v>yes</v>
      </c>
      <c r="M70" s="218" t="str">
        <f>IF(OR(IFERROR(SEARCH("Wisdom",INDEX(T04_Classes!$BX$3:$BX$102,MATCH('C01_BaseCalculation'!C70,T04_Classes!$B$3:$B$102,0),1)),0)=0,AND(IFERROR(SEARCH("Wisdom",INDEX(T04_Classes!$BX$3:$BX$102,MATCH('C01_BaseCalculation'!C70,T04_Classes!$B$3:$B$102,0),1)),0)&gt;0,Wisdom&gt;12)),"yes","no")</f>
        <v>yes</v>
      </c>
      <c r="N70" s="218" t="str">
        <f>IF(OR(IFERROR(SEARCH("Charisma",INDEX(T04_Classes!$BX$3:$BX$102,MATCH('C01_BaseCalculation'!C70,T04_Classes!$B$3:$B$102,0),1)),0)=0,AND(IFERROR(SEARCH("Charisma",INDEX(T04_Classes!$BX$3:$BX$102,MATCH('C01_BaseCalculation'!C70,T04_Classes!$B$3:$B$102,0),1)),0)&gt;0,Charisma&gt;12)),"yes","no")</f>
        <v>yes</v>
      </c>
      <c r="O70" s="218">
        <f t="shared" si="11"/>
        <v>0</v>
      </c>
      <c r="P70" s="218">
        <f>IF(O70=0,0,COUNTIF($P$15:P69,"&gt;0")+1)</f>
        <v>0</v>
      </c>
      <c r="R70" s="220" t="str">
        <f t="shared" si="14"/>
        <v/>
      </c>
      <c r="S70" s="220" t="str">
        <f t="shared" si="12"/>
        <v/>
      </c>
      <c r="X70" s="219" t="str">
        <f t="shared" si="15"/>
        <v/>
      </c>
      <c r="Y70" s="219" t="str">
        <f>IFERROR(INDEX(T01_Races!$B$2:$B$101,MATCH('C01_BaseCalculation'!X70,T01_Races!$C$2:$C$101,0),1),"")</f>
        <v/>
      </c>
      <c r="Z70" s="217" t="str">
        <f t="shared" si="16"/>
        <v/>
      </c>
      <c r="AA70" s="217" t="str">
        <f>IFERROR(IF(Z70="","",INDEX(T01_Races!$E$2:$E$101,MATCH('C01_BaseCalculation'!Z70,T01_Races!$D$2:$D$101,0),1)),"")</f>
        <v/>
      </c>
      <c r="AB70" s="217" t="str">
        <f>IFERROR(IF(Z70="","",INDEX(T01_Races!$A$2:$A$101,MATCH('C01_BaseCalculation'!Z70,T01_Races!$D$2:$D$101,0),1)),"")</f>
        <v/>
      </c>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row>
    <row r="71" spans="2:66" x14ac:dyDescent="0.3">
      <c r="B71" s="218" t="str">
        <f t="shared" si="13"/>
        <v/>
      </c>
      <c r="C71" s="218" t="str">
        <f>IFERROR(INDEX(T04_Classes!$B$3:$B$102,B71,1),"")</f>
        <v/>
      </c>
      <c r="D71" s="218" t="str">
        <f>IF(C71="","",COUNTIF(Character_Creation!$R$62:$T$71,C71)+COUNTIF(Character_Creation!$R$72:$T$81,C71))</f>
        <v/>
      </c>
      <c r="E71" s="218">
        <f t="shared" si="10"/>
        <v>0</v>
      </c>
      <c r="F71" s="218">
        <f>IF(E71=0,0,COUNTIF($F$15:F70,"&gt;0")+1)</f>
        <v>0</v>
      </c>
      <c r="G71" s="218">
        <f>IF(IFERROR(SEARCH("and",INDEX(T04_Classes!$BX$3:$BX$102,MATCH('C01_BaseCalculation'!C71,T04_Classes!$B$3:$B$102,0),1)),0)&gt;1,1,0)</f>
        <v>0</v>
      </c>
      <c r="H71" s="218">
        <f>IF(IFERROR(SEARCH("or",INDEX(T04_Classes!$BX$3:$BX$102,MATCH('C01_BaseCalculation'!C71,T04_Classes!$B$3:$B$102,0),1)),0)&gt;1,1,0)</f>
        <v>0</v>
      </c>
      <c r="I71" s="218" t="str">
        <f>IF(OR(IFERROR(SEARCH("Strength",INDEX(T04_Classes!$BX$3:$BX$102,MATCH('C01_BaseCalculation'!C71,T04_Classes!$B$3:$B$102,0),1)),0)=0,AND(IFERROR(SEARCH("Strength",INDEX(T04_Classes!$BX$3:$BX$102,MATCH('C01_BaseCalculation'!C71,T04_Classes!$B$3:$B$102,0),1)),0)&gt;0,Strength&gt;12)),"yes","no")</f>
        <v>yes</v>
      </c>
      <c r="J71" s="218" t="str">
        <f>IF(OR(IFERROR(SEARCH("Dexterity",INDEX(T04_Classes!$BX$3:$BX$102,MATCH('C01_BaseCalculation'!C71,T04_Classes!$B$3:$B$102,0),1)),0)=0,AND(IFERROR(SEARCH("Dexterity",INDEX(T04_Classes!$BX$3:$BX$102,MATCH('C01_BaseCalculation'!C71,T04_Classes!$B$3:$B$102,0),1)),0)&gt;0,Dexterity&gt;12)),"yes","no")</f>
        <v>yes</v>
      </c>
      <c r="K71" s="218" t="str">
        <f>IF(OR(IFERROR(SEARCH("Constitution",INDEX(T04_Classes!$BX$3:$BX$102,MATCH('C01_BaseCalculation'!C71,T04_Classes!$B$3:$B$102,0),1)),0)=0,AND(IFERROR(SEARCH("Constitution",INDEX(T04_Classes!$BX$3:$BX$102,MATCH('C01_BaseCalculation'!C71,T04_Classes!$B$3:$B$102,0),1)),0)&gt;0,Constitution&gt;12)),"yes","no")</f>
        <v>yes</v>
      </c>
      <c r="L71" s="218" t="str">
        <f>IF(OR(IFERROR(SEARCH("Intelligence",INDEX(T04_Classes!$BX$3:$BX$102,MATCH('C01_BaseCalculation'!C71,T04_Classes!$B$3:$B$102,0),1)),0)=0,AND(IFERROR(SEARCH("Intelligence",INDEX(T04_Classes!$BX$3:$BX$102,MATCH('C01_BaseCalculation'!C71,T04_Classes!$B$3:$B$102,0),1)),0)&gt;0,Intelligence&gt;12)),"yes","no")</f>
        <v>yes</v>
      </c>
      <c r="M71" s="218" t="str">
        <f>IF(OR(IFERROR(SEARCH("Wisdom",INDEX(T04_Classes!$BX$3:$BX$102,MATCH('C01_BaseCalculation'!C71,T04_Classes!$B$3:$B$102,0),1)),0)=0,AND(IFERROR(SEARCH("Wisdom",INDEX(T04_Classes!$BX$3:$BX$102,MATCH('C01_BaseCalculation'!C71,T04_Classes!$B$3:$B$102,0),1)),0)&gt;0,Wisdom&gt;12)),"yes","no")</f>
        <v>yes</v>
      </c>
      <c r="N71" s="218" t="str">
        <f>IF(OR(IFERROR(SEARCH("Charisma",INDEX(T04_Classes!$BX$3:$BX$102,MATCH('C01_BaseCalculation'!C71,T04_Classes!$B$3:$B$102,0),1)),0)=0,AND(IFERROR(SEARCH("Charisma",INDEX(T04_Classes!$BX$3:$BX$102,MATCH('C01_BaseCalculation'!C71,T04_Classes!$B$3:$B$102,0),1)),0)&gt;0,Charisma&gt;12)),"yes","no")</f>
        <v>yes</v>
      </c>
      <c r="O71" s="218">
        <f t="shared" si="11"/>
        <v>0</v>
      </c>
      <c r="P71" s="218">
        <f>IF(O71=0,0,COUNTIF($P$15:P70,"&gt;0")+1)</f>
        <v>0</v>
      </c>
      <c r="R71" s="220" t="str">
        <f t="shared" si="14"/>
        <v/>
      </c>
      <c r="S71" s="220" t="str">
        <f t="shared" si="12"/>
        <v/>
      </c>
      <c r="X71" s="219" t="str">
        <f t="shared" si="15"/>
        <v/>
      </c>
      <c r="Y71" s="219" t="str">
        <f>IFERROR(INDEX(T01_Races!$B$2:$B$101,MATCH('C01_BaseCalculation'!X71,T01_Races!$C$2:$C$101,0),1),"")</f>
        <v/>
      </c>
      <c r="Z71" s="217" t="str">
        <f t="shared" si="16"/>
        <v/>
      </c>
      <c r="AA71" s="217" t="str">
        <f>IFERROR(IF(Z71="","",INDEX(T01_Races!$E$2:$E$101,MATCH('C01_BaseCalculation'!Z71,T01_Races!$D$2:$D$101,0),1)),"")</f>
        <v/>
      </c>
      <c r="AB71" s="217" t="str">
        <f>IFERROR(IF(Z71="","",INDEX(T01_Races!$A$2:$A$101,MATCH('C01_BaseCalculation'!Z71,T01_Races!$D$2:$D$101,0),1)),"")</f>
        <v/>
      </c>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row>
    <row r="72" spans="2:66" x14ac:dyDescent="0.3">
      <c r="B72" s="218" t="str">
        <f t="shared" si="13"/>
        <v/>
      </c>
      <c r="C72" s="218" t="str">
        <f>IFERROR(INDEX(T04_Classes!$B$3:$B$102,B72,1),"")</f>
        <v/>
      </c>
      <c r="D72" s="218" t="str">
        <f>IF(C72="","",COUNTIF(Character_Creation!$R$62:$T$71,C72)+COUNTIF(Character_Creation!$R$72:$T$81,C72))</f>
        <v/>
      </c>
      <c r="E72" s="218">
        <f t="shared" si="10"/>
        <v>0</v>
      </c>
      <c r="F72" s="218">
        <f>IF(E72=0,0,COUNTIF($F$15:F71,"&gt;0")+1)</f>
        <v>0</v>
      </c>
      <c r="G72" s="218">
        <f>IF(IFERROR(SEARCH("and",INDEX(T04_Classes!$BX$3:$BX$102,MATCH('C01_BaseCalculation'!C72,T04_Classes!$B$3:$B$102,0),1)),0)&gt;1,1,0)</f>
        <v>0</v>
      </c>
      <c r="H72" s="218">
        <f>IF(IFERROR(SEARCH("or",INDEX(T04_Classes!$BX$3:$BX$102,MATCH('C01_BaseCalculation'!C72,T04_Classes!$B$3:$B$102,0),1)),0)&gt;1,1,0)</f>
        <v>0</v>
      </c>
      <c r="I72" s="218" t="str">
        <f>IF(OR(IFERROR(SEARCH("Strength",INDEX(T04_Classes!$BX$3:$BX$102,MATCH('C01_BaseCalculation'!C72,T04_Classes!$B$3:$B$102,0),1)),0)=0,AND(IFERROR(SEARCH("Strength",INDEX(T04_Classes!$BX$3:$BX$102,MATCH('C01_BaseCalculation'!C72,T04_Classes!$B$3:$B$102,0),1)),0)&gt;0,Strength&gt;12)),"yes","no")</f>
        <v>yes</v>
      </c>
      <c r="J72" s="218" t="str">
        <f>IF(OR(IFERROR(SEARCH("Dexterity",INDEX(T04_Classes!$BX$3:$BX$102,MATCH('C01_BaseCalculation'!C72,T04_Classes!$B$3:$B$102,0),1)),0)=0,AND(IFERROR(SEARCH("Dexterity",INDEX(T04_Classes!$BX$3:$BX$102,MATCH('C01_BaseCalculation'!C72,T04_Classes!$B$3:$B$102,0),1)),0)&gt;0,Dexterity&gt;12)),"yes","no")</f>
        <v>yes</v>
      </c>
      <c r="K72" s="218" t="str">
        <f>IF(OR(IFERROR(SEARCH("Constitution",INDEX(T04_Classes!$BX$3:$BX$102,MATCH('C01_BaseCalculation'!C72,T04_Classes!$B$3:$B$102,0),1)),0)=0,AND(IFERROR(SEARCH("Constitution",INDEX(T04_Classes!$BX$3:$BX$102,MATCH('C01_BaseCalculation'!C72,T04_Classes!$B$3:$B$102,0),1)),0)&gt;0,Constitution&gt;12)),"yes","no")</f>
        <v>yes</v>
      </c>
      <c r="L72" s="218" t="str">
        <f>IF(OR(IFERROR(SEARCH("Intelligence",INDEX(T04_Classes!$BX$3:$BX$102,MATCH('C01_BaseCalculation'!C72,T04_Classes!$B$3:$B$102,0),1)),0)=0,AND(IFERROR(SEARCH("Intelligence",INDEX(T04_Classes!$BX$3:$BX$102,MATCH('C01_BaseCalculation'!C72,T04_Classes!$B$3:$B$102,0),1)),0)&gt;0,Intelligence&gt;12)),"yes","no")</f>
        <v>yes</v>
      </c>
      <c r="M72" s="218" t="str">
        <f>IF(OR(IFERROR(SEARCH("Wisdom",INDEX(T04_Classes!$BX$3:$BX$102,MATCH('C01_BaseCalculation'!C72,T04_Classes!$B$3:$B$102,0),1)),0)=0,AND(IFERROR(SEARCH("Wisdom",INDEX(T04_Classes!$BX$3:$BX$102,MATCH('C01_BaseCalculation'!C72,T04_Classes!$B$3:$B$102,0),1)),0)&gt;0,Wisdom&gt;12)),"yes","no")</f>
        <v>yes</v>
      </c>
      <c r="N72" s="218" t="str">
        <f>IF(OR(IFERROR(SEARCH("Charisma",INDEX(T04_Classes!$BX$3:$BX$102,MATCH('C01_BaseCalculation'!C72,T04_Classes!$B$3:$B$102,0),1)),0)=0,AND(IFERROR(SEARCH("Charisma",INDEX(T04_Classes!$BX$3:$BX$102,MATCH('C01_BaseCalculation'!C72,T04_Classes!$B$3:$B$102,0),1)),0)&gt;0,Charisma&gt;12)),"yes","no")</f>
        <v>yes</v>
      </c>
      <c r="O72" s="218">
        <f t="shared" si="11"/>
        <v>0</v>
      </c>
      <c r="P72" s="218">
        <f>IF(O72=0,0,COUNTIF($P$15:P71,"&gt;0")+1)</f>
        <v>0</v>
      </c>
      <c r="R72" s="220" t="str">
        <f t="shared" si="14"/>
        <v/>
      </c>
      <c r="S72" s="220" t="str">
        <f t="shared" si="12"/>
        <v/>
      </c>
      <c r="X72" s="219" t="str">
        <f t="shared" si="15"/>
        <v/>
      </c>
      <c r="Y72" s="219" t="str">
        <f>IFERROR(INDEX(T01_Races!$B$2:$B$101,MATCH('C01_BaseCalculation'!X72,T01_Races!$C$2:$C$101,0),1),"")</f>
        <v/>
      </c>
      <c r="Z72" s="217" t="str">
        <f t="shared" si="16"/>
        <v/>
      </c>
      <c r="AA72" s="217" t="str">
        <f>IFERROR(IF(Z72="","",INDEX(T01_Races!$E$2:$E$101,MATCH('C01_BaseCalculation'!Z72,T01_Races!$D$2:$D$101,0),1)),"")</f>
        <v/>
      </c>
      <c r="AB72" s="217" t="str">
        <f>IFERROR(IF(Z72="","",INDEX(T01_Races!$A$2:$A$101,MATCH('C01_BaseCalculation'!Z72,T01_Races!$D$2:$D$101,0),1)),"")</f>
        <v/>
      </c>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row>
    <row r="73" spans="2:66" x14ac:dyDescent="0.3">
      <c r="B73" s="218" t="str">
        <f t="shared" si="13"/>
        <v/>
      </c>
      <c r="C73" s="218" t="str">
        <f>IFERROR(INDEX(T04_Classes!$B$3:$B$102,B73,1),"")</f>
        <v/>
      </c>
      <c r="D73" s="218" t="str">
        <f>IF(C73="","",COUNTIF(Character_Creation!$R$62:$T$71,C73)+COUNTIF(Character_Creation!$R$72:$T$81,C73))</f>
        <v/>
      </c>
      <c r="E73" s="218">
        <f t="shared" si="10"/>
        <v>0</v>
      </c>
      <c r="F73" s="218">
        <f>IF(E73=0,0,COUNTIF($F$15:F72,"&gt;0")+1)</f>
        <v>0</v>
      </c>
      <c r="G73" s="218">
        <f>IF(IFERROR(SEARCH("and",INDEX(T04_Classes!$BX$3:$BX$102,MATCH('C01_BaseCalculation'!C73,T04_Classes!$B$3:$B$102,0),1)),0)&gt;1,1,0)</f>
        <v>0</v>
      </c>
      <c r="H73" s="218">
        <f>IF(IFERROR(SEARCH("or",INDEX(T04_Classes!$BX$3:$BX$102,MATCH('C01_BaseCalculation'!C73,T04_Classes!$B$3:$B$102,0),1)),0)&gt;1,1,0)</f>
        <v>0</v>
      </c>
      <c r="I73" s="218" t="str">
        <f>IF(OR(IFERROR(SEARCH("Strength",INDEX(T04_Classes!$BX$3:$BX$102,MATCH('C01_BaseCalculation'!C73,T04_Classes!$B$3:$B$102,0),1)),0)=0,AND(IFERROR(SEARCH("Strength",INDEX(T04_Classes!$BX$3:$BX$102,MATCH('C01_BaseCalculation'!C73,T04_Classes!$B$3:$B$102,0),1)),0)&gt;0,Strength&gt;12)),"yes","no")</f>
        <v>yes</v>
      </c>
      <c r="J73" s="218" t="str">
        <f>IF(OR(IFERROR(SEARCH("Dexterity",INDEX(T04_Classes!$BX$3:$BX$102,MATCH('C01_BaseCalculation'!C73,T04_Classes!$B$3:$B$102,0),1)),0)=0,AND(IFERROR(SEARCH("Dexterity",INDEX(T04_Classes!$BX$3:$BX$102,MATCH('C01_BaseCalculation'!C73,T04_Classes!$B$3:$B$102,0),1)),0)&gt;0,Dexterity&gt;12)),"yes","no")</f>
        <v>yes</v>
      </c>
      <c r="K73" s="218" t="str">
        <f>IF(OR(IFERROR(SEARCH("Constitution",INDEX(T04_Classes!$BX$3:$BX$102,MATCH('C01_BaseCalculation'!C73,T04_Classes!$B$3:$B$102,0),1)),0)=0,AND(IFERROR(SEARCH("Constitution",INDEX(T04_Classes!$BX$3:$BX$102,MATCH('C01_BaseCalculation'!C73,T04_Classes!$B$3:$B$102,0),1)),0)&gt;0,Constitution&gt;12)),"yes","no")</f>
        <v>yes</v>
      </c>
      <c r="L73" s="218" t="str">
        <f>IF(OR(IFERROR(SEARCH("Intelligence",INDEX(T04_Classes!$BX$3:$BX$102,MATCH('C01_BaseCalculation'!C73,T04_Classes!$B$3:$B$102,0),1)),0)=0,AND(IFERROR(SEARCH("Intelligence",INDEX(T04_Classes!$BX$3:$BX$102,MATCH('C01_BaseCalculation'!C73,T04_Classes!$B$3:$B$102,0),1)),0)&gt;0,Intelligence&gt;12)),"yes","no")</f>
        <v>yes</v>
      </c>
      <c r="M73" s="218" t="str">
        <f>IF(OR(IFERROR(SEARCH("Wisdom",INDEX(T04_Classes!$BX$3:$BX$102,MATCH('C01_BaseCalculation'!C73,T04_Classes!$B$3:$B$102,0),1)),0)=0,AND(IFERROR(SEARCH("Wisdom",INDEX(T04_Classes!$BX$3:$BX$102,MATCH('C01_BaseCalculation'!C73,T04_Classes!$B$3:$B$102,0),1)),0)&gt;0,Wisdom&gt;12)),"yes","no")</f>
        <v>yes</v>
      </c>
      <c r="N73" s="218" t="str">
        <f>IF(OR(IFERROR(SEARCH("Charisma",INDEX(T04_Classes!$BX$3:$BX$102,MATCH('C01_BaseCalculation'!C73,T04_Classes!$B$3:$B$102,0),1)),0)=0,AND(IFERROR(SEARCH("Charisma",INDEX(T04_Classes!$BX$3:$BX$102,MATCH('C01_BaseCalculation'!C73,T04_Classes!$B$3:$B$102,0),1)),0)&gt;0,Charisma&gt;12)),"yes","no")</f>
        <v>yes</v>
      </c>
      <c r="O73" s="218">
        <f t="shared" si="11"/>
        <v>0</v>
      </c>
      <c r="P73" s="218">
        <f>IF(O73=0,0,COUNTIF($P$15:P72,"&gt;0")+1)</f>
        <v>0</v>
      </c>
      <c r="R73" s="220" t="str">
        <f t="shared" si="14"/>
        <v/>
      </c>
      <c r="S73" s="220" t="str">
        <f t="shared" si="12"/>
        <v/>
      </c>
      <c r="X73" s="219" t="str">
        <f t="shared" si="15"/>
        <v/>
      </c>
      <c r="Y73" s="219" t="str">
        <f>IFERROR(INDEX(T01_Races!$B$2:$B$101,MATCH('C01_BaseCalculation'!X73,T01_Races!$C$2:$C$101,0),1),"")</f>
        <v/>
      </c>
      <c r="Z73" s="217" t="str">
        <f t="shared" si="16"/>
        <v/>
      </c>
      <c r="AA73" s="217" t="str">
        <f>IFERROR(IF(Z73="","",INDEX(T01_Races!$E$2:$E$101,MATCH('C01_BaseCalculation'!Z73,T01_Races!$D$2:$D$101,0),1)),"")</f>
        <v/>
      </c>
      <c r="AB73" s="217" t="str">
        <f>IFERROR(IF(Z73="","",INDEX(T01_Races!$A$2:$A$101,MATCH('C01_BaseCalculation'!Z73,T01_Races!$D$2:$D$101,0),1)),"")</f>
        <v/>
      </c>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row>
    <row r="74" spans="2:66" x14ac:dyDescent="0.3">
      <c r="B74" s="218" t="str">
        <f t="shared" si="13"/>
        <v/>
      </c>
      <c r="C74" s="218" t="str">
        <f>IFERROR(INDEX(T04_Classes!$B$3:$B$102,B74,1),"")</f>
        <v/>
      </c>
      <c r="D74" s="218" t="str">
        <f>IF(C74="","",COUNTIF(Character_Creation!$R$62:$T$71,C74)+COUNTIF(Character_Creation!$R$72:$T$81,C74))</f>
        <v/>
      </c>
      <c r="E74" s="218">
        <f t="shared" si="10"/>
        <v>0</v>
      </c>
      <c r="F74" s="218">
        <f>IF(E74=0,0,COUNTIF($F$15:F73,"&gt;0")+1)</f>
        <v>0</v>
      </c>
      <c r="G74" s="218">
        <f>IF(IFERROR(SEARCH("and",INDEX(T04_Classes!$BX$3:$BX$102,MATCH('C01_BaseCalculation'!C74,T04_Classes!$B$3:$B$102,0),1)),0)&gt;1,1,0)</f>
        <v>0</v>
      </c>
      <c r="H74" s="218">
        <f>IF(IFERROR(SEARCH("or",INDEX(T04_Classes!$BX$3:$BX$102,MATCH('C01_BaseCalculation'!C74,T04_Classes!$B$3:$B$102,0),1)),0)&gt;1,1,0)</f>
        <v>0</v>
      </c>
      <c r="I74" s="218" t="str">
        <f>IF(OR(IFERROR(SEARCH("Strength",INDEX(T04_Classes!$BX$3:$BX$102,MATCH('C01_BaseCalculation'!C74,T04_Classes!$B$3:$B$102,0),1)),0)=0,AND(IFERROR(SEARCH("Strength",INDEX(T04_Classes!$BX$3:$BX$102,MATCH('C01_BaseCalculation'!C74,T04_Classes!$B$3:$B$102,0),1)),0)&gt;0,Strength&gt;12)),"yes","no")</f>
        <v>yes</v>
      </c>
      <c r="J74" s="218" t="str">
        <f>IF(OR(IFERROR(SEARCH("Dexterity",INDEX(T04_Classes!$BX$3:$BX$102,MATCH('C01_BaseCalculation'!C74,T04_Classes!$B$3:$B$102,0),1)),0)=0,AND(IFERROR(SEARCH("Dexterity",INDEX(T04_Classes!$BX$3:$BX$102,MATCH('C01_BaseCalculation'!C74,T04_Classes!$B$3:$B$102,0),1)),0)&gt;0,Dexterity&gt;12)),"yes","no")</f>
        <v>yes</v>
      </c>
      <c r="K74" s="218" t="str">
        <f>IF(OR(IFERROR(SEARCH("Constitution",INDEX(T04_Classes!$BX$3:$BX$102,MATCH('C01_BaseCalculation'!C74,T04_Classes!$B$3:$B$102,0),1)),0)=0,AND(IFERROR(SEARCH("Constitution",INDEX(T04_Classes!$BX$3:$BX$102,MATCH('C01_BaseCalculation'!C74,T04_Classes!$B$3:$B$102,0),1)),0)&gt;0,Constitution&gt;12)),"yes","no")</f>
        <v>yes</v>
      </c>
      <c r="L74" s="218" t="str">
        <f>IF(OR(IFERROR(SEARCH("Intelligence",INDEX(T04_Classes!$BX$3:$BX$102,MATCH('C01_BaseCalculation'!C74,T04_Classes!$B$3:$B$102,0),1)),0)=0,AND(IFERROR(SEARCH("Intelligence",INDEX(T04_Classes!$BX$3:$BX$102,MATCH('C01_BaseCalculation'!C74,T04_Classes!$B$3:$B$102,0),1)),0)&gt;0,Intelligence&gt;12)),"yes","no")</f>
        <v>yes</v>
      </c>
      <c r="M74" s="218" t="str">
        <f>IF(OR(IFERROR(SEARCH("Wisdom",INDEX(T04_Classes!$BX$3:$BX$102,MATCH('C01_BaseCalculation'!C74,T04_Classes!$B$3:$B$102,0),1)),0)=0,AND(IFERROR(SEARCH("Wisdom",INDEX(T04_Classes!$BX$3:$BX$102,MATCH('C01_BaseCalculation'!C74,T04_Classes!$B$3:$B$102,0),1)),0)&gt;0,Wisdom&gt;12)),"yes","no")</f>
        <v>yes</v>
      </c>
      <c r="N74" s="218" t="str">
        <f>IF(OR(IFERROR(SEARCH("Charisma",INDEX(T04_Classes!$BX$3:$BX$102,MATCH('C01_BaseCalculation'!C74,T04_Classes!$B$3:$B$102,0),1)),0)=0,AND(IFERROR(SEARCH("Charisma",INDEX(T04_Classes!$BX$3:$BX$102,MATCH('C01_BaseCalculation'!C74,T04_Classes!$B$3:$B$102,0),1)),0)&gt;0,Charisma&gt;12)),"yes","no")</f>
        <v>yes</v>
      </c>
      <c r="O74" s="218">
        <f t="shared" si="11"/>
        <v>0</v>
      </c>
      <c r="P74" s="218">
        <f>IF(O74=0,0,COUNTIF($P$15:P73,"&gt;0")+1)</f>
        <v>0</v>
      </c>
      <c r="R74" s="220" t="str">
        <f t="shared" si="14"/>
        <v/>
      </c>
      <c r="S74" s="220" t="str">
        <f t="shared" si="12"/>
        <v/>
      </c>
      <c r="X74" s="219" t="str">
        <f t="shared" si="15"/>
        <v/>
      </c>
      <c r="Y74" s="219" t="str">
        <f>IFERROR(INDEX(T01_Races!$B$2:$B$101,MATCH('C01_BaseCalculation'!X74,T01_Races!$C$2:$C$101,0),1),"")</f>
        <v/>
      </c>
      <c r="Z74" s="217" t="str">
        <f t="shared" si="16"/>
        <v/>
      </c>
      <c r="AA74" s="217" t="str">
        <f>IFERROR(IF(Z74="","",INDEX(T01_Races!$E$2:$E$101,MATCH('C01_BaseCalculation'!Z74,T01_Races!$D$2:$D$101,0),1)),"")</f>
        <v/>
      </c>
      <c r="AB74" s="217" t="str">
        <f>IFERROR(IF(Z74="","",INDEX(T01_Races!$A$2:$A$101,MATCH('C01_BaseCalculation'!Z74,T01_Races!$D$2:$D$101,0),1)),"")</f>
        <v/>
      </c>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row>
    <row r="75" spans="2:66" x14ac:dyDescent="0.3">
      <c r="B75" s="218" t="str">
        <f t="shared" si="13"/>
        <v/>
      </c>
      <c r="C75" s="218" t="str">
        <f>IFERROR(INDEX(T04_Classes!$B$3:$B$102,B75,1),"")</f>
        <v/>
      </c>
      <c r="D75" s="218" t="str">
        <f>IF(C75="","",COUNTIF(Character_Creation!$R$62:$T$71,C75)+COUNTIF(Character_Creation!$R$72:$T$81,C75))</f>
        <v/>
      </c>
      <c r="E75" s="218">
        <f t="shared" si="10"/>
        <v>0</v>
      </c>
      <c r="F75" s="218">
        <f>IF(E75=0,0,COUNTIF($F$15:F74,"&gt;0")+1)</f>
        <v>0</v>
      </c>
      <c r="G75" s="218">
        <f>IF(IFERROR(SEARCH("and",INDEX(T04_Classes!$BX$3:$BX$102,MATCH('C01_BaseCalculation'!C75,T04_Classes!$B$3:$B$102,0),1)),0)&gt;1,1,0)</f>
        <v>0</v>
      </c>
      <c r="H75" s="218">
        <f>IF(IFERROR(SEARCH("or",INDEX(T04_Classes!$BX$3:$BX$102,MATCH('C01_BaseCalculation'!C75,T04_Classes!$B$3:$B$102,0),1)),0)&gt;1,1,0)</f>
        <v>0</v>
      </c>
      <c r="I75" s="218" t="str">
        <f>IF(OR(IFERROR(SEARCH("Strength",INDEX(T04_Classes!$BX$3:$BX$102,MATCH('C01_BaseCalculation'!C75,T04_Classes!$B$3:$B$102,0),1)),0)=0,AND(IFERROR(SEARCH("Strength",INDEX(T04_Classes!$BX$3:$BX$102,MATCH('C01_BaseCalculation'!C75,T04_Classes!$B$3:$B$102,0),1)),0)&gt;0,Strength&gt;12)),"yes","no")</f>
        <v>yes</v>
      </c>
      <c r="J75" s="218" t="str">
        <f>IF(OR(IFERROR(SEARCH("Dexterity",INDEX(T04_Classes!$BX$3:$BX$102,MATCH('C01_BaseCalculation'!C75,T04_Classes!$B$3:$B$102,0),1)),0)=0,AND(IFERROR(SEARCH("Dexterity",INDEX(T04_Classes!$BX$3:$BX$102,MATCH('C01_BaseCalculation'!C75,T04_Classes!$B$3:$B$102,0),1)),0)&gt;0,Dexterity&gt;12)),"yes","no")</f>
        <v>yes</v>
      </c>
      <c r="K75" s="218" t="str">
        <f>IF(OR(IFERROR(SEARCH("Constitution",INDEX(T04_Classes!$BX$3:$BX$102,MATCH('C01_BaseCalculation'!C75,T04_Classes!$B$3:$B$102,0),1)),0)=0,AND(IFERROR(SEARCH("Constitution",INDEX(T04_Classes!$BX$3:$BX$102,MATCH('C01_BaseCalculation'!C75,T04_Classes!$B$3:$B$102,0),1)),0)&gt;0,Constitution&gt;12)),"yes","no")</f>
        <v>yes</v>
      </c>
      <c r="L75" s="218" t="str">
        <f>IF(OR(IFERROR(SEARCH("Intelligence",INDEX(T04_Classes!$BX$3:$BX$102,MATCH('C01_BaseCalculation'!C75,T04_Classes!$B$3:$B$102,0),1)),0)=0,AND(IFERROR(SEARCH("Intelligence",INDEX(T04_Classes!$BX$3:$BX$102,MATCH('C01_BaseCalculation'!C75,T04_Classes!$B$3:$B$102,0),1)),0)&gt;0,Intelligence&gt;12)),"yes","no")</f>
        <v>yes</v>
      </c>
      <c r="M75" s="218" t="str">
        <f>IF(OR(IFERROR(SEARCH("Wisdom",INDEX(T04_Classes!$BX$3:$BX$102,MATCH('C01_BaseCalculation'!C75,T04_Classes!$B$3:$B$102,0),1)),0)=0,AND(IFERROR(SEARCH("Wisdom",INDEX(T04_Classes!$BX$3:$BX$102,MATCH('C01_BaseCalculation'!C75,T04_Classes!$B$3:$B$102,0),1)),0)&gt;0,Wisdom&gt;12)),"yes","no")</f>
        <v>yes</v>
      </c>
      <c r="N75" s="218" t="str">
        <f>IF(OR(IFERROR(SEARCH("Charisma",INDEX(T04_Classes!$BX$3:$BX$102,MATCH('C01_BaseCalculation'!C75,T04_Classes!$B$3:$B$102,0),1)),0)=0,AND(IFERROR(SEARCH("Charisma",INDEX(T04_Classes!$BX$3:$BX$102,MATCH('C01_BaseCalculation'!C75,T04_Classes!$B$3:$B$102,0),1)),0)&gt;0,Charisma&gt;12)),"yes","no")</f>
        <v>yes</v>
      </c>
      <c r="O75" s="218">
        <f t="shared" si="11"/>
        <v>0</v>
      </c>
      <c r="P75" s="218">
        <f>IF(O75=0,0,COUNTIF($P$15:P74,"&gt;0")+1)</f>
        <v>0</v>
      </c>
      <c r="R75" s="220" t="str">
        <f t="shared" si="14"/>
        <v/>
      </c>
      <c r="S75" s="220" t="str">
        <f t="shared" si="12"/>
        <v/>
      </c>
      <c r="X75" s="219" t="str">
        <f t="shared" si="15"/>
        <v/>
      </c>
      <c r="Y75" s="219" t="str">
        <f>IFERROR(INDEX(T01_Races!$B$2:$B$101,MATCH('C01_BaseCalculation'!X75,T01_Races!$C$2:$C$101,0),1),"")</f>
        <v/>
      </c>
      <c r="Z75" s="217" t="str">
        <f t="shared" si="16"/>
        <v/>
      </c>
      <c r="AA75" s="217" t="str">
        <f>IFERROR(IF(Z75="","",INDEX(T01_Races!$E$2:$E$101,MATCH('C01_BaseCalculation'!Z75,T01_Races!$D$2:$D$101,0),1)),"")</f>
        <v/>
      </c>
      <c r="AB75" s="217" t="str">
        <f>IFERROR(IF(Z75="","",INDEX(T01_Races!$A$2:$A$101,MATCH('C01_BaseCalculation'!Z75,T01_Races!$D$2:$D$101,0),1)),"")</f>
        <v/>
      </c>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row>
    <row r="76" spans="2:66" x14ac:dyDescent="0.3">
      <c r="B76" s="218" t="str">
        <f t="shared" si="13"/>
        <v/>
      </c>
      <c r="C76" s="218" t="str">
        <f>IFERROR(INDEX(T04_Classes!$B$3:$B$102,B76,1),"")</f>
        <v/>
      </c>
      <c r="D76" s="218" t="str">
        <f>IF(C76="","",COUNTIF(Character_Creation!$R$62:$T$71,C76)+COUNTIF(Character_Creation!$R$72:$T$81,C76))</f>
        <v/>
      </c>
      <c r="E76" s="218">
        <f t="shared" si="10"/>
        <v>0</v>
      </c>
      <c r="F76" s="218">
        <f>IF(E76=0,0,COUNTIF($F$15:F75,"&gt;0")+1)</f>
        <v>0</v>
      </c>
      <c r="G76" s="218">
        <f>IF(IFERROR(SEARCH("and",INDEX(T04_Classes!$BX$3:$BX$102,MATCH('C01_BaseCalculation'!C76,T04_Classes!$B$3:$B$102,0),1)),0)&gt;1,1,0)</f>
        <v>0</v>
      </c>
      <c r="H76" s="218">
        <f>IF(IFERROR(SEARCH("or",INDEX(T04_Classes!$BX$3:$BX$102,MATCH('C01_BaseCalculation'!C76,T04_Classes!$B$3:$B$102,0),1)),0)&gt;1,1,0)</f>
        <v>0</v>
      </c>
      <c r="I76" s="218" t="str">
        <f>IF(OR(IFERROR(SEARCH("Strength",INDEX(T04_Classes!$BX$3:$BX$102,MATCH('C01_BaseCalculation'!C76,T04_Classes!$B$3:$B$102,0),1)),0)=0,AND(IFERROR(SEARCH("Strength",INDEX(T04_Classes!$BX$3:$BX$102,MATCH('C01_BaseCalculation'!C76,T04_Classes!$B$3:$B$102,0),1)),0)&gt;0,Strength&gt;12)),"yes","no")</f>
        <v>yes</v>
      </c>
      <c r="J76" s="218" t="str">
        <f>IF(OR(IFERROR(SEARCH("Dexterity",INDEX(T04_Classes!$BX$3:$BX$102,MATCH('C01_BaseCalculation'!C76,T04_Classes!$B$3:$B$102,0),1)),0)=0,AND(IFERROR(SEARCH("Dexterity",INDEX(T04_Classes!$BX$3:$BX$102,MATCH('C01_BaseCalculation'!C76,T04_Classes!$B$3:$B$102,0),1)),0)&gt;0,Dexterity&gt;12)),"yes","no")</f>
        <v>yes</v>
      </c>
      <c r="K76" s="218" t="str">
        <f>IF(OR(IFERROR(SEARCH("Constitution",INDEX(T04_Classes!$BX$3:$BX$102,MATCH('C01_BaseCalculation'!C76,T04_Classes!$B$3:$B$102,0),1)),0)=0,AND(IFERROR(SEARCH("Constitution",INDEX(T04_Classes!$BX$3:$BX$102,MATCH('C01_BaseCalculation'!C76,T04_Classes!$B$3:$B$102,0),1)),0)&gt;0,Constitution&gt;12)),"yes","no")</f>
        <v>yes</v>
      </c>
      <c r="L76" s="218" t="str">
        <f>IF(OR(IFERROR(SEARCH("Intelligence",INDEX(T04_Classes!$BX$3:$BX$102,MATCH('C01_BaseCalculation'!C76,T04_Classes!$B$3:$B$102,0),1)),0)=0,AND(IFERROR(SEARCH("Intelligence",INDEX(T04_Classes!$BX$3:$BX$102,MATCH('C01_BaseCalculation'!C76,T04_Classes!$B$3:$B$102,0),1)),0)&gt;0,Intelligence&gt;12)),"yes","no")</f>
        <v>yes</v>
      </c>
      <c r="M76" s="218" t="str">
        <f>IF(OR(IFERROR(SEARCH("Wisdom",INDEX(T04_Classes!$BX$3:$BX$102,MATCH('C01_BaseCalculation'!C76,T04_Classes!$B$3:$B$102,0),1)),0)=0,AND(IFERROR(SEARCH("Wisdom",INDEX(T04_Classes!$BX$3:$BX$102,MATCH('C01_BaseCalculation'!C76,T04_Classes!$B$3:$B$102,0),1)),0)&gt;0,Wisdom&gt;12)),"yes","no")</f>
        <v>yes</v>
      </c>
      <c r="N76" s="218" t="str">
        <f>IF(OR(IFERROR(SEARCH("Charisma",INDEX(T04_Classes!$BX$3:$BX$102,MATCH('C01_BaseCalculation'!C76,T04_Classes!$B$3:$B$102,0),1)),0)=0,AND(IFERROR(SEARCH("Charisma",INDEX(T04_Classes!$BX$3:$BX$102,MATCH('C01_BaseCalculation'!C76,T04_Classes!$B$3:$B$102,0),1)),0)&gt;0,Charisma&gt;12)),"yes","no")</f>
        <v>yes</v>
      </c>
      <c r="O76" s="218">
        <f t="shared" si="11"/>
        <v>0</v>
      </c>
      <c r="P76" s="218">
        <f>IF(O76=0,0,COUNTIF($P$15:P75,"&gt;0")+1)</f>
        <v>0</v>
      </c>
      <c r="R76" s="220" t="str">
        <f t="shared" si="14"/>
        <v/>
      </c>
      <c r="S76" s="220" t="str">
        <f t="shared" si="12"/>
        <v/>
      </c>
      <c r="X76" s="219" t="str">
        <f t="shared" si="15"/>
        <v/>
      </c>
      <c r="Y76" s="219" t="str">
        <f>IFERROR(INDEX(T01_Races!$B$2:$B$101,MATCH('C01_BaseCalculation'!X76,T01_Races!$C$2:$C$101,0),1),"")</f>
        <v/>
      </c>
      <c r="Z76" s="217" t="str">
        <f t="shared" si="16"/>
        <v/>
      </c>
      <c r="AA76" s="217" t="str">
        <f>IFERROR(IF(Z76="","",INDEX(T01_Races!$E$2:$E$101,MATCH('C01_BaseCalculation'!Z76,T01_Races!$D$2:$D$101,0),1)),"")</f>
        <v/>
      </c>
      <c r="AB76" s="217" t="str">
        <f>IFERROR(IF(Z76="","",INDEX(T01_Races!$A$2:$A$101,MATCH('C01_BaseCalculation'!Z76,T01_Races!$D$2:$D$101,0),1)),"")</f>
        <v/>
      </c>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row>
    <row r="77" spans="2:66" x14ac:dyDescent="0.3">
      <c r="B77" s="218" t="str">
        <f t="shared" si="13"/>
        <v/>
      </c>
      <c r="C77" s="218" t="str">
        <f>IFERROR(INDEX(T04_Classes!$B$3:$B$102,B77,1),"")</f>
        <v/>
      </c>
      <c r="D77" s="218" t="str">
        <f>IF(C77="","",COUNTIF(Character_Creation!$R$62:$T$71,C77)+COUNTIF(Character_Creation!$R$72:$T$81,C77))</f>
        <v/>
      </c>
      <c r="E77" s="218">
        <f t="shared" si="10"/>
        <v>0</v>
      </c>
      <c r="F77" s="218">
        <f>IF(E77=0,0,COUNTIF($F$15:F76,"&gt;0")+1)</f>
        <v>0</v>
      </c>
      <c r="G77" s="218">
        <f>IF(IFERROR(SEARCH("and",INDEX(T04_Classes!$BX$3:$BX$102,MATCH('C01_BaseCalculation'!C77,T04_Classes!$B$3:$B$102,0),1)),0)&gt;1,1,0)</f>
        <v>0</v>
      </c>
      <c r="H77" s="218">
        <f>IF(IFERROR(SEARCH("or",INDEX(T04_Classes!$BX$3:$BX$102,MATCH('C01_BaseCalculation'!C77,T04_Classes!$B$3:$B$102,0),1)),0)&gt;1,1,0)</f>
        <v>0</v>
      </c>
      <c r="I77" s="218" t="str">
        <f>IF(OR(IFERROR(SEARCH("Strength",INDEX(T04_Classes!$BX$3:$BX$102,MATCH('C01_BaseCalculation'!C77,T04_Classes!$B$3:$B$102,0),1)),0)=0,AND(IFERROR(SEARCH("Strength",INDEX(T04_Classes!$BX$3:$BX$102,MATCH('C01_BaseCalculation'!C77,T04_Classes!$B$3:$B$102,0),1)),0)&gt;0,Strength&gt;12)),"yes","no")</f>
        <v>yes</v>
      </c>
      <c r="J77" s="218" t="str">
        <f>IF(OR(IFERROR(SEARCH("Dexterity",INDEX(T04_Classes!$BX$3:$BX$102,MATCH('C01_BaseCalculation'!C77,T04_Classes!$B$3:$B$102,0),1)),0)=0,AND(IFERROR(SEARCH("Dexterity",INDEX(T04_Classes!$BX$3:$BX$102,MATCH('C01_BaseCalculation'!C77,T04_Classes!$B$3:$B$102,0),1)),0)&gt;0,Dexterity&gt;12)),"yes","no")</f>
        <v>yes</v>
      </c>
      <c r="K77" s="218" t="str">
        <f>IF(OR(IFERROR(SEARCH("Constitution",INDEX(T04_Classes!$BX$3:$BX$102,MATCH('C01_BaseCalculation'!C77,T04_Classes!$B$3:$B$102,0),1)),0)=0,AND(IFERROR(SEARCH("Constitution",INDEX(T04_Classes!$BX$3:$BX$102,MATCH('C01_BaseCalculation'!C77,T04_Classes!$B$3:$B$102,0),1)),0)&gt;0,Constitution&gt;12)),"yes","no")</f>
        <v>yes</v>
      </c>
      <c r="L77" s="218" t="str">
        <f>IF(OR(IFERROR(SEARCH("Intelligence",INDEX(T04_Classes!$BX$3:$BX$102,MATCH('C01_BaseCalculation'!C77,T04_Classes!$B$3:$B$102,0),1)),0)=0,AND(IFERROR(SEARCH("Intelligence",INDEX(T04_Classes!$BX$3:$BX$102,MATCH('C01_BaseCalculation'!C77,T04_Classes!$B$3:$B$102,0),1)),0)&gt;0,Intelligence&gt;12)),"yes","no")</f>
        <v>yes</v>
      </c>
      <c r="M77" s="218" t="str">
        <f>IF(OR(IFERROR(SEARCH("Wisdom",INDEX(T04_Classes!$BX$3:$BX$102,MATCH('C01_BaseCalculation'!C77,T04_Classes!$B$3:$B$102,0),1)),0)=0,AND(IFERROR(SEARCH("Wisdom",INDEX(T04_Classes!$BX$3:$BX$102,MATCH('C01_BaseCalculation'!C77,T04_Classes!$B$3:$B$102,0),1)),0)&gt;0,Wisdom&gt;12)),"yes","no")</f>
        <v>yes</v>
      </c>
      <c r="N77" s="218" t="str">
        <f>IF(OR(IFERROR(SEARCH("Charisma",INDEX(T04_Classes!$BX$3:$BX$102,MATCH('C01_BaseCalculation'!C77,T04_Classes!$B$3:$B$102,0),1)),0)=0,AND(IFERROR(SEARCH("Charisma",INDEX(T04_Classes!$BX$3:$BX$102,MATCH('C01_BaseCalculation'!C77,T04_Classes!$B$3:$B$102,0),1)),0)&gt;0,Charisma&gt;12)),"yes","no")</f>
        <v>yes</v>
      </c>
      <c r="O77" s="218">
        <f t="shared" si="11"/>
        <v>0</v>
      </c>
      <c r="P77" s="218">
        <f>IF(O77=0,0,COUNTIF($P$15:P76,"&gt;0")+1)</f>
        <v>0</v>
      </c>
      <c r="R77" s="220" t="str">
        <f t="shared" si="14"/>
        <v/>
      </c>
      <c r="S77" s="220" t="str">
        <f t="shared" si="12"/>
        <v/>
      </c>
      <c r="X77" s="219" t="str">
        <f t="shared" si="15"/>
        <v/>
      </c>
      <c r="Y77" s="219" t="str">
        <f>IFERROR(INDEX(T01_Races!$B$2:$B$101,MATCH('C01_BaseCalculation'!X77,T01_Races!$C$2:$C$101,0),1),"")</f>
        <v/>
      </c>
      <c r="Z77" s="217" t="str">
        <f t="shared" si="16"/>
        <v/>
      </c>
      <c r="AA77" s="217" t="str">
        <f>IFERROR(IF(Z77="","",INDEX(T01_Races!$E$2:$E$101,MATCH('C01_BaseCalculation'!Z77,T01_Races!$D$2:$D$101,0),1)),"")</f>
        <v/>
      </c>
      <c r="AB77" s="217" t="str">
        <f>IFERROR(IF(Z77="","",INDEX(T01_Races!$A$2:$A$101,MATCH('C01_BaseCalculation'!Z77,T01_Races!$D$2:$D$101,0),1)),"")</f>
        <v/>
      </c>
    </row>
    <row r="78" spans="2:66" x14ac:dyDescent="0.3">
      <c r="B78" s="218" t="str">
        <f t="shared" si="13"/>
        <v/>
      </c>
      <c r="C78" s="218" t="str">
        <f>IFERROR(INDEX(T04_Classes!$B$3:$B$102,B78,1),"")</f>
        <v/>
      </c>
      <c r="D78" s="218" t="str">
        <f>IF(C78="","",COUNTIF(Character_Creation!$R$62:$T$71,C78)+COUNTIF(Character_Creation!$R$72:$T$81,C78))</f>
        <v/>
      </c>
      <c r="E78" s="218">
        <f t="shared" si="10"/>
        <v>0</v>
      </c>
      <c r="F78" s="218">
        <f>IF(E78=0,0,COUNTIF($F$15:F77,"&gt;0")+1)</f>
        <v>0</v>
      </c>
      <c r="G78" s="218">
        <f>IF(IFERROR(SEARCH("and",INDEX(T04_Classes!$BX$3:$BX$102,MATCH('C01_BaseCalculation'!C78,T04_Classes!$B$3:$B$102,0),1)),0)&gt;1,1,0)</f>
        <v>0</v>
      </c>
      <c r="H78" s="218">
        <f>IF(IFERROR(SEARCH("or",INDEX(T04_Classes!$BX$3:$BX$102,MATCH('C01_BaseCalculation'!C78,T04_Classes!$B$3:$B$102,0),1)),0)&gt;1,1,0)</f>
        <v>0</v>
      </c>
      <c r="I78" s="218" t="str">
        <f>IF(OR(IFERROR(SEARCH("Strength",INDEX(T04_Classes!$BX$3:$BX$102,MATCH('C01_BaseCalculation'!C78,T04_Classes!$B$3:$B$102,0),1)),0)=0,AND(IFERROR(SEARCH("Strength",INDEX(T04_Classes!$BX$3:$BX$102,MATCH('C01_BaseCalculation'!C78,T04_Classes!$B$3:$B$102,0),1)),0)&gt;0,Strength&gt;12)),"yes","no")</f>
        <v>yes</v>
      </c>
      <c r="J78" s="218" t="str">
        <f>IF(OR(IFERROR(SEARCH("Dexterity",INDEX(T04_Classes!$BX$3:$BX$102,MATCH('C01_BaseCalculation'!C78,T04_Classes!$B$3:$B$102,0),1)),0)=0,AND(IFERROR(SEARCH("Dexterity",INDEX(T04_Classes!$BX$3:$BX$102,MATCH('C01_BaseCalculation'!C78,T04_Classes!$B$3:$B$102,0),1)),0)&gt;0,Dexterity&gt;12)),"yes","no")</f>
        <v>yes</v>
      </c>
      <c r="K78" s="218" t="str">
        <f>IF(OR(IFERROR(SEARCH("Constitution",INDEX(T04_Classes!$BX$3:$BX$102,MATCH('C01_BaseCalculation'!C78,T04_Classes!$B$3:$B$102,0),1)),0)=0,AND(IFERROR(SEARCH("Constitution",INDEX(T04_Classes!$BX$3:$BX$102,MATCH('C01_BaseCalculation'!C78,T04_Classes!$B$3:$B$102,0),1)),0)&gt;0,Constitution&gt;12)),"yes","no")</f>
        <v>yes</v>
      </c>
      <c r="L78" s="218" t="str">
        <f>IF(OR(IFERROR(SEARCH("Intelligence",INDEX(T04_Classes!$BX$3:$BX$102,MATCH('C01_BaseCalculation'!C78,T04_Classes!$B$3:$B$102,0),1)),0)=0,AND(IFERROR(SEARCH("Intelligence",INDEX(T04_Classes!$BX$3:$BX$102,MATCH('C01_BaseCalculation'!C78,T04_Classes!$B$3:$B$102,0),1)),0)&gt;0,Intelligence&gt;12)),"yes","no")</f>
        <v>yes</v>
      </c>
      <c r="M78" s="218" t="str">
        <f>IF(OR(IFERROR(SEARCH("Wisdom",INDEX(T04_Classes!$BX$3:$BX$102,MATCH('C01_BaseCalculation'!C78,T04_Classes!$B$3:$B$102,0),1)),0)=0,AND(IFERROR(SEARCH("Wisdom",INDEX(T04_Classes!$BX$3:$BX$102,MATCH('C01_BaseCalculation'!C78,T04_Classes!$B$3:$B$102,0),1)),0)&gt;0,Wisdom&gt;12)),"yes","no")</f>
        <v>yes</v>
      </c>
      <c r="N78" s="218" t="str">
        <f>IF(OR(IFERROR(SEARCH("Charisma",INDEX(T04_Classes!$BX$3:$BX$102,MATCH('C01_BaseCalculation'!C78,T04_Classes!$B$3:$B$102,0),1)),0)=0,AND(IFERROR(SEARCH("Charisma",INDEX(T04_Classes!$BX$3:$BX$102,MATCH('C01_BaseCalculation'!C78,T04_Classes!$B$3:$B$102,0),1)),0)&gt;0,Charisma&gt;12)),"yes","no")</f>
        <v>yes</v>
      </c>
      <c r="O78" s="218">
        <f t="shared" si="11"/>
        <v>0</v>
      </c>
      <c r="P78" s="218">
        <f>IF(O78=0,0,COUNTIF($P$15:P77,"&gt;0")+1)</f>
        <v>0</v>
      </c>
      <c r="R78" s="220" t="str">
        <f t="shared" si="14"/>
        <v/>
      </c>
      <c r="S78" s="220" t="str">
        <f t="shared" si="12"/>
        <v/>
      </c>
      <c r="X78" s="219" t="str">
        <f t="shared" si="15"/>
        <v/>
      </c>
      <c r="Y78" s="219" t="str">
        <f>IFERROR(INDEX(T01_Races!$B$2:$B$101,MATCH('C01_BaseCalculation'!X78,T01_Races!$C$2:$C$101,0),1),"")</f>
        <v/>
      </c>
      <c r="Z78" s="217" t="str">
        <f t="shared" si="16"/>
        <v/>
      </c>
      <c r="AA78" s="217" t="str">
        <f>IFERROR(IF(Z78="","",INDEX(T01_Races!$E$2:$E$101,MATCH('C01_BaseCalculation'!Z78,T01_Races!$D$2:$D$101,0),1)),"")</f>
        <v/>
      </c>
      <c r="AB78" s="217" t="str">
        <f>IFERROR(IF(Z78="","",INDEX(T01_Races!$A$2:$A$101,MATCH('C01_BaseCalculation'!Z78,T01_Races!$D$2:$D$101,0),1)),"")</f>
        <v/>
      </c>
    </row>
    <row r="79" spans="2:66" x14ac:dyDescent="0.3">
      <c r="B79" s="218" t="str">
        <f t="shared" si="13"/>
        <v/>
      </c>
      <c r="C79" s="218" t="str">
        <f>IFERROR(INDEX(T04_Classes!$B$3:$B$102,B79,1),"")</f>
        <v/>
      </c>
      <c r="D79" s="218" t="str">
        <f>IF(C79="","",COUNTIF(Character_Creation!$R$62:$T$71,C79)+COUNTIF(Character_Creation!$R$72:$T$81,C79))</f>
        <v/>
      </c>
      <c r="E79" s="218">
        <f t="shared" ref="E79:E110" si="17">IF(OR(D79=0,D79=""),0,1)</f>
        <v>0</v>
      </c>
      <c r="F79" s="218">
        <f>IF(E79=0,0,COUNTIF($F$15:F78,"&gt;0")+1)</f>
        <v>0</v>
      </c>
      <c r="G79" s="218">
        <f>IF(IFERROR(SEARCH("and",INDEX(T04_Classes!$BX$3:$BX$102,MATCH('C01_BaseCalculation'!C79,T04_Classes!$B$3:$B$102,0),1)),0)&gt;1,1,0)</f>
        <v>0</v>
      </c>
      <c r="H79" s="218">
        <f>IF(IFERROR(SEARCH("or",INDEX(T04_Classes!$BX$3:$BX$102,MATCH('C01_BaseCalculation'!C79,T04_Classes!$B$3:$B$102,0),1)),0)&gt;1,1,0)</f>
        <v>0</v>
      </c>
      <c r="I79" s="218" t="str">
        <f>IF(OR(IFERROR(SEARCH("Strength",INDEX(T04_Classes!$BX$3:$BX$102,MATCH('C01_BaseCalculation'!C79,T04_Classes!$B$3:$B$102,0),1)),0)=0,AND(IFERROR(SEARCH("Strength",INDEX(T04_Classes!$BX$3:$BX$102,MATCH('C01_BaseCalculation'!C79,T04_Classes!$B$3:$B$102,0),1)),0)&gt;0,Strength&gt;12)),"yes","no")</f>
        <v>yes</v>
      </c>
      <c r="J79" s="218" t="str">
        <f>IF(OR(IFERROR(SEARCH("Dexterity",INDEX(T04_Classes!$BX$3:$BX$102,MATCH('C01_BaseCalculation'!C79,T04_Classes!$B$3:$B$102,0),1)),0)=0,AND(IFERROR(SEARCH("Dexterity",INDEX(T04_Classes!$BX$3:$BX$102,MATCH('C01_BaseCalculation'!C79,T04_Classes!$B$3:$B$102,0),1)),0)&gt;0,Dexterity&gt;12)),"yes","no")</f>
        <v>yes</v>
      </c>
      <c r="K79" s="218" t="str">
        <f>IF(OR(IFERROR(SEARCH("Constitution",INDEX(T04_Classes!$BX$3:$BX$102,MATCH('C01_BaseCalculation'!C79,T04_Classes!$B$3:$B$102,0),1)),0)=0,AND(IFERROR(SEARCH("Constitution",INDEX(T04_Classes!$BX$3:$BX$102,MATCH('C01_BaseCalculation'!C79,T04_Classes!$B$3:$B$102,0),1)),0)&gt;0,Constitution&gt;12)),"yes","no")</f>
        <v>yes</v>
      </c>
      <c r="L79" s="218" t="str">
        <f>IF(OR(IFERROR(SEARCH("Intelligence",INDEX(T04_Classes!$BX$3:$BX$102,MATCH('C01_BaseCalculation'!C79,T04_Classes!$B$3:$B$102,0),1)),0)=0,AND(IFERROR(SEARCH("Intelligence",INDEX(T04_Classes!$BX$3:$BX$102,MATCH('C01_BaseCalculation'!C79,T04_Classes!$B$3:$B$102,0),1)),0)&gt;0,Intelligence&gt;12)),"yes","no")</f>
        <v>yes</v>
      </c>
      <c r="M79" s="218" t="str">
        <f>IF(OR(IFERROR(SEARCH("Wisdom",INDEX(T04_Classes!$BX$3:$BX$102,MATCH('C01_BaseCalculation'!C79,T04_Classes!$B$3:$B$102,0),1)),0)=0,AND(IFERROR(SEARCH("Wisdom",INDEX(T04_Classes!$BX$3:$BX$102,MATCH('C01_BaseCalculation'!C79,T04_Classes!$B$3:$B$102,0),1)),0)&gt;0,Wisdom&gt;12)),"yes","no")</f>
        <v>yes</v>
      </c>
      <c r="N79" s="218" t="str">
        <f>IF(OR(IFERROR(SEARCH("Charisma",INDEX(T04_Classes!$BX$3:$BX$102,MATCH('C01_BaseCalculation'!C79,T04_Classes!$B$3:$B$102,0),1)),0)=0,AND(IFERROR(SEARCH("Charisma",INDEX(T04_Classes!$BX$3:$BX$102,MATCH('C01_BaseCalculation'!C79,T04_Classes!$B$3:$B$102,0),1)),0)&gt;0,Charisma&gt;12)),"yes","no")</f>
        <v>yes</v>
      </c>
      <c r="O79" s="218">
        <f t="shared" ref="O79:O110" si="18">IF(C79="",0,IF(H79=1,IF(COUNTIF(I79:N79,"no")&lt;2,1,0),IF(COUNTIF(I79:N79,"no")&gt;0,0,1)))</f>
        <v>0</v>
      </c>
      <c r="P79" s="218">
        <f>IF(O79=0,0,COUNTIF($P$15:P78,"&gt;0")+1)</f>
        <v>0</v>
      </c>
      <c r="R79" s="220" t="str">
        <f t="shared" si="14"/>
        <v/>
      </c>
      <c r="S79" s="220" t="str">
        <f t="shared" ref="S79:S110" si="19">IFERROR(INDEX($C$15:$C$114,MATCH(R79,$P$15:$P$114,0),1),"")</f>
        <v/>
      </c>
      <c r="X79" s="219" t="str">
        <f t="shared" si="15"/>
        <v/>
      </c>
      <c r="Y79" s="219" t="str">
        <f>IFERROR(INDEX(T01_Races!$B$2:$B$101,MATCH('C01_BaseCalculation'!X79,T01_Races!$C$2:$C$101,0),1),"")</f>
        <v/>
      </c>
      <c r="Z79" s="217" t="str">
        <f t="shared" si="16"/>
        <v/>
      </c>
      <c r="AA79" s="217" t="str">
        <f>IFERROR(IF(Z79="","",INDEX(T01_Races!$E$2:$E$101,MATCH('C01_BaseCalculation'!Z79,T01_Races!$D$2:$D$101,0),1)),"")</f>
        <v/>
      </c>
      <c r="AB79" s="217" t="str">
        <f>IFERROR(IF(Z79="","",INDEX(T01_Races!$A$2:$A$101,MATCH('C01_BaseCalculation'!Z79,T01_Races!$D$2:$D$101,0),1)),"")</f>
        <v/>
      </c>
    </row>
    <row r="80" spans="2:66" x14ac:dyDescent="0.3">
      <c r="B80" s="218" t="str">
        <f t="shared" ref="B80:B114" si="20">IFERROR(IF(B79+1&lt;UniqueClassesNumber+1,B79+1,""),"")</f>
        <v/>
      </c>
      <c r="C80" s="218" t="str">
        <f>IFERROR(INDEX(T04_Classes!$B$3:$B$102,B80,1),"")</f>
        <v/>
      </c>
      <c r="D80" s="218" t="str">
        <f>IF(C80="","",COUNTIF(Character_Creation!$R$62:$T$71,C80)+COUNTIF(Character_Creation!$R$72:$T$81,C80))</f>
        <v/>
      </c>
      <c r="E80" s="218">
        <f t="shared" si="17"/>
        <v>0</v>
      </c>
      <c r="F80" s="218">
        <f>IF(E80=0,0,COUNTIF($F$15:F79,"&gt;0")+1)</f>
        <v>0</v>
      </c>
      <c r="G80" s="218">
        <f>IF(IFERROR(SEARCH("and",INDEX(T04_Classes!$BX$3:$BX$102,MATCH('C01_BaseCalculation'!C80,T04_Classes!$B$3:$B$102,0),1)),0)&gt;1,1,0)</f>
        <v>0</v>
      </c>
      <c r="H80" s="218">
        <f>IF(IFERROR(SEARCH("or",INDEX(T04_Classes!$BX$3:$BX$102,MATCH('C01_BaseCalculation'!C80,T04_Classes!$B$3:$B$102,0),1)),0)&gt;1,1,0)</f>
        <v>0</v>
      </c>
      <c r="I80" s="218" t="str">
        <f>IF(OR(IFERROR(SEARCH("Strength",INDEX(T04_Classes!$BX$3:$BX$102,MATCH('C01_BaseCalculation'!C80,T04_Classes!$B$3:$B$102,0),1)),0)=0,AND(IFERROR(SEARCH("Strength",INDEX(T04_Classes!$BX$3:$BX$102,MATCH('C01_BaseCalculation'!C80,T04_Classes!$B$3:$B$102,0),1)),0)&gt;0,Strength&gt;12)),"yes","no")</f>
        <v>yes</v>
      </c>
      <c r="J80" s="218" t="str">
        <f>IF(OR(IFERROR(SEARCH("Dexterity",INDEX(T04_Classes!$BX$3:$BX$102,MATCH('C01_BaseCalculation'!C80,T04_Classes!$B$3:$B$102,0),1)),0)=0,AND(IFERROR(SEARCH("Dexterity",INDEX(T04_Classes!$BX$3:$BX$102,MATCH('C01_BaseCalculation'!C80,T04_Classes!$B$3:$B$102,0),1)),0)&gt;0,Dexterity&gt;12)),"yes","no")</f>
        <v>yes</v>
      </c>
      <c r="K80" s="218" t="str">
        <f>IF(OR(IFERROR(SEARCH("Constitution",INDEX(T04_Classes!$BX$3:$BX$102,MATCH('C01_BaseCalculation'!C80,T04_Classes!$B$3:$B$102,0),1)),0)=0,AND(IFERROR(SEARCH("Constitution",INDEX(T04_Classes!$BX$3:$BX$102,MATCH('C01_BaseCalculation'!C80,T04_Classes!$B$3:$B$102,0),1)),0)&gt;0,Constitution&gt;12)),"yes","no")</f>
        <v>yes</v>
      </c>
      <c r="L80" s="218" t="str">
        <f>IF(OR(IFERROR(SEARCH("Intelligence",INDEX(T04_Classes!$BX$3:$BX$102,MATCH('C01_BaseCalculation'!C80,T04_Classes!$B$3:$B$102,0),1)),0)=0,AND(IFERROR(SEARCH("Intelligence",INDEX(T04_Classes!$BX$3:$BX$102,MATCH('C01_BaseCalculation'!C80,T04_Classes!$B$3:$B$102,0),1)),0)&gt;0,Intelligence&gt;12)),"yes","no")</f>
        <v>yes</v>
      </c>
      <c r="M80" s="218" t="str">
        <f>IF(OR(IFERROR(SEARCH("Wisdom",INDEX(T04_Classes!$BX$3:$BX$102,MATCH('C01_BaseCalculation'!C80,T04_Classes!$B$3:$B$102,0),1)),0)=0,AND(IFERROR(SEARCH("Wisdom",INDEX(T04_Classes!$BX$3:$BX$102,MATCH('C01_BaseCalculation'!C80,T04_Classes!$B$3:$B$102,0),1)),0)&gt;0,Wisdom&gt;12)),"yes","no")</f>
        <v>yes</v>
      </c>
      <c r="N80" s="218" t="str">
        <f>IF(OR(IFERROR(SEARCH("Charisma",INDEX(T04_Classes!$BX$3:$BX$102,MATCH('C01_BaseCalculation'!C80,T04_Classes!$B$3:$B$102,0),1)),0)=0,AND(IFERROR(SEARCH("Charisma",INDEX(T04_Classes!$BX$3:$BX$102,MATCH('C01_BaseCalculation'!C80,T04_Classes!$B$3:$B$102,0),1)),0)&gt;0,Charisma&gt;12)),"yes","no")</f>
        <v>yes</v>
      </c>
      <c r="O80" s="218">
        <f t="shared" si="18"/>
        <v>0</v>
      </c>
      <c r="P80" s="218">
        <f>IF(O80=0,0,COUNTIF($P$15:P79,"&gt;0")+1)</f>
        <v>0</v>
      </c>
      <c r="R80" s="220" t="str">
        <f t="shared" ref="R80:R114" si="21">IFERROR(IF(R79+1&lt;=MAX($P$15:$P$114),R79+1,""),"")</f>
        <v/>
      </c>
      <c r="S80" s="220" t="str">
        <f t="shared" si="19"/>
        <v/>
      </c>
      <c r="X80" s="219" t="str">
        <f t="shared" ref="X80:X114" si="22">IFERROR(IF(X79+1&lt;=UniqueRaceNumer,X79+1,""),"")</f>
        <v/>
      </c>
      <c r="Y80" s="219" t="str">
        <f>IFERROR(INDEX(T01_Races!$B$2:$B$101,MATCH('C01_BaseCalculation'!X80,T01_Races!$C$2:$C$101,0),1),"")</f>
        <v/>
      </c>
      <c r="Z80" s="217" t="str">
        <f t="shared" ref="Z80:Z114" si="23">IFERROR(IF(Z79+1&lt;=UniqueSubraces,Z79+1,""),"")</f>
        <v/>
      </c>
      <c r="AA80" s="217" t="str">
        <f>IFERROR(IF(Z80="","",INDEX(T01_Races!$E$2:$E$101,MATCH('C01_BaseCalculation'!Z80,T01_Races!$D$2:$D$101,0),1)),"")</f>
        <v/>
      </c>
      <c r="AB80" s="217" t="str">
        <f>IFERROR(IF(Z80="","",INDEX(T01_Races!$A$2:$A$101,MATCH('C01_BaseCalculation'!Z80,T01_Races!$D$2:$D$101,0),1)),"")</f>
        <v/>
      </c>
    </row>
    <row r="81" spans="2:28" x14ac:dyDescent="0.3">
      <c r="B81" s="218" t="str">
        <f t="shared" si="20"/>
        <v/>
      </c>
      <c r="C81" s="218" t="str">
        <f>IFERROR(INDEX(T04_Classes!$B$3:$B$102,B81,1),"")</f>
        <v/>
      </c>
      <c r="D81" s="218" t="str">
        <f>IF(C81="","",COUNTIF(Character_Creation!$R$62:$T$71,C81)+COUNTIF(Character_Creation!$R$72:$T$81,C81))</f>
        <v/>
      </c>
      <c r="E81" s="218">
        <f t="shared" si="17"/>
        <v>0</v>
      </c>
      <c r="F81" s="218">
        <f>IF(E81=0,0,COUNTIF($F$15:F80,"&gt;0")+1)</f>
        <v>0</v>
      </c>
      <c r="G81" s="218">
        <f>IF(IFERROR(SEARCH("and",INDEX(T04_Classes!$BX$3:$BX$102,MATCH('C01_BaseCalculation'!C81,T04_Classes!$B$3:$B$102,0),1)),0)&gt;1,1,0)</f>
        <v>0</v>
      </c>
      <c r="H81" s="218">
        <f>IF(IFERROR(SEARCH("or",INDEX(T04_Classes!$BX$3:$BX$102,MATCH('C01_BaseCalculation'!C81,T04_Classes!$B$3:$B$102,0),1)),0)&gt;1,1,0)</f>
        <v>0</v>
      </c>
      <c r="I81" s="218" t="str">
        <f>IF(OR(IFERROR(SEARCH("Strength",INDEX(T04_Classes!$BX$3:$BX$102,MATCH('C01_BaseCalculation'!C81,T04_Classes!$B$3:$B$102,0),1)),0)=0,AND(IFERROR(SEARCH("Strength",INDEX(T04_Classes!$BX$3:$BX$102,MATCH('C01_BaseCalculation'!C81,T04_Classes!$B$3:$B$102,0),1)),0)&gt;0,Strength&gt;12)),"yes","no")</f>
        <v>yes</v>
      </c>
      <c r="J81" s="218" t="str">
        <f>IF(OR(IFERROR(SEARCH("Dexterity",INDEX(T04_Classes!$BX$3:$BX$102,MATCH('C01_BaseCalculation'!C81,T04_Classes!$B$3:$B$102,0),1)),0)=0,AND(IFERROR(SEARCH("Dexterity",INDEX(T04_Classes!$BX$3:$BX$102,MATCH('C01_BaseCalculation'!C81,T04_Classes!$B$3:$B$102,0),1)),0)&gt;0,Dexterity&gt;12)),"yes","no")</f>
        <v>yes</v>
      </c>
      <c r="K81" s="218" t="str">
        <f>IF(OR(IFERROR(SEARCH("Constitution",INDEX(T04_Classes!$BX$3:$BX$102,MATCH('C01_BaseCalculation'!C81,T04_Classes!$B$3:$B$102,0),1)),0)=0,AND(IFERROR(SEARCH("Constitution",INDEX(T04_Classes!$BX$3:$BX$102,MATCH('C01_BaseCalculation'!C81,T04_Classes!$B$3:$B$102,0),1)),0)&gt;0,Constitution&gt;12)),"yes","no")</f>
        <v>yes</v>
      </c>
      <c r="L81" s="218" t="str">
        <f>IF(OR(IFERROR(SEARCH("Intelligence",INDEX(T04_Classes!$BX$3:$BX$102,MATCH('C01_BaseCalculation'!C81,T04_Classes!$B$3:$B$102,0),1)),0)=0,AND(IFERROR(SEARCH("Intelligence",INDEX(T04_Classes!$BX$3:$BX$102,MATCH('C01_BaseCalculation'!C81,T04_Classes!$B$3:$B$102,0),1)),0)&gt;0,Intelligence&gt;12)),"yes","no")</f>
        <v>yes</v>
      </c>
      <c r="M81" s="218" t="str">
        <f>IF(OR(IFERROR(SEARCH("Wisdom",INDEX(T04_Classes!$BX$3:$BX$102,MATCH('C01_BaseCalculation'!C81,T04_Classes!$B$3:$B$102,0),1)),0)=0,AND(IFERROR(SEARCH("Wisdom",INDEX(T04_Classes!$BX$3:$BX$102,MATCH('C01_BaseCalculation'!C81,T04_Classes!$B$3:$B$102,0),1)),0)&gt;0,Wisdom&gt;12)),"yes","no")</f>
        <v>yes</v>
      </c>
      <c r="N81" s="218" t="str">
        <f>IF(OR(IFERROR(SEARCH("Charisma",INDEX(T04_Classes!$BX$3:$BX$102,MATCH('C01_BaseCalculation'!C81,T04_Classes!$B$3:$B$102,0),1)),0)=0,AND(IFERROR(SEARCH("Charisma",INDEX(T04_Classes!$BX$3:$BX$102,MATCH('C01_BaseCalculation'!C81,T04_Classes!$B$3:$B$102,0),1)),0)&gt;0,Charisma&gt;12)),"yes","no")</f>
        <v>yes</v>
      </c>
      <c r="O81" s="218">
        <f t="shared" si="18"/>
        <v>0</v>
      </c>
      <c r="P81" s="218">
        <f>IF(O81=0,0,COUNTIF($P$15:P80,"&gt;0")+1)</f>
        <v>0</v>
      </c>
      <c r="R81" s="220" t="str">
        <f t="shared" si="21"/>
        <v/>
      </c>
      <c r="S81" s="220" t="str">
        <f t="shared" si="19"/>
        <v/>
      </c>
      <c r="X81" s="219" t="str">
        <f t="shared" si="22"/>
        <v/>
      </c>
      <c r="Y81" s="219" t="str">
        <f>IFERROR(INDEX(T01_Races!$B$2:$B$101,MATCH('C01_BaseCalculation'!X81,T01_Races!$C$2:$C$101,0),1),"")</f>
        <v/>
      </c>
      <c r="Z81" s="217" t="str">
        <f t="shared" si="23"/>
        <v/>
      </c>
      <c r="AA81" s="217" t="str">
        <f>IFERROR(IF(Z81="","",INDEX(T01_Races!$E$2:$E$101,MATCH('C01_BaseCalculation'!Z81,T01_Races!$D$2:$D$101,0),1)),"")</f>
        <v/>
      </c>
      <c r="AB81" s="217" t="str">
        <f>IFERROR(IF(Z81="","",INDEX(T01_Races!$A$2:$A$101,MATCH('C01_BaseCalculation'!Z81,T01_Races!$D$2:$D$101,0),1)),"")</f>
        <v/>
      </c>
    </row>
    <row r="82" spans="2:28" x14ac:dyDescent="0.3">
      <c r="B82" s="218" t="str">
        <f t="shared" si="20"/>
        <v/>
      </c>
      <c r="C82" s="218" t="str">
        <f>IFERROR(INDEX(T04_Classes!$B$3:$B$102,B82,1),"")</f>
        <v/>
      </c>
      <c r="D82" s="218" t="str">
        <f>IF(C82="","",COUNTIF(Character_Creation!$R$62:$T$71,C82)+COUNTIF(Character_Creation!$R$72:$T$81,C82))</f>
        <v/>
      </c>
      <c r="E82" s="218">
        <f t="shared" si="17"/>
        <v>0</v>
      </c>
      <c r="F82" s="218">
        <f>IF(E82=0,0,COUNTIF($F$15:F81,"&gt;0")+1)</f>
        <v>0</v>
      </c>
      <c r="G82" s="218">
        <f>IF(IFERROR(SEARCH("and",INDEX(T04_Classes!$BX$3:$BX$102,MATCH('C01_BaseCalculation'!C82,T04_Classes!$B$3:$B$102,0),1)),0)&gt;1,1,0)</f>
        <v>0</v>
      </c>
      <c r="H82" s="218">
        <f>IF(IFERROR(SEARCH("or",INDEX(T04_Classes!$BX$3:$BX$102,MATCH('C01_BaseCalculation'!C82,T04_Classes!$B$3:$B$102,0),1)),0)&gt;1,1,0)</f>
        <v>0</v>
      </c>
      <c r="I82" s="218" t="str">
        <f>IF(OR(IFERROR(SEARCH("Strength",INDEX(T04_Classes!$BX$3:$BX$102,MATCH('C01_BaseCalculation'!C82,T04_Classes!$B$3:$B$102,0),1)),0)=0,AND(IFERROR(SEARCH("Strength",INDEX(T04_Classes!$BX$3:$BX$102,MATCH('C01_BaseCalculation'!C82,T04_Classes!$B$3:$B$102,0),1)),0)&gt;0,Strength&gt;12)),"yes","no")</f>
        <v>yes</v>
      </c>
      <c r="J82" s="218" t="str">
        <f>IF(OR(IFERROR(SEARCH("Dexterity",INDEX(T04_Classes!$BX$3:$BX$102,MATCH('C01_BaseCalculation'!C82,T04_Classes!$B$3:$B$102,0),1)),0)=0,AND(IFERROR(SEARCH("Dexterity",INDEX(T04_Classes!$BX$3:$BX$102,MATCH('C01_BaseCalculation'!C82,T04_Classes!$B$3:$B$102,0),1)),0)&gt;0,Dexterity&gt;12)),"yes","no")</f>
        <v>yes</v>
      </c>
      <c r="K82" s="218" t="str">
        <f>IF(OR(IFERROR(SEARCH("Constitution",INDEX(T04_Classes!$BX$3:$BX$102,MATCH('C01_BaseCalculation'!C82,T04_Classes!$B$3:$B$102,0),1)),0)=0,AND(IFERROR(SEARCH("Constitution",INDEX(T04_Classes!$BX$3:$BX$102,MATCH('C01_BaseCalculation'!C82,T04_Classes!$B$3:$B$102,0),1)),0)&gt;0,Constitution&gt;12)),"yes","no")</f>
        <v>yes</v>
      </c>
      <c r="L82" s="218" t="str">
        <f>IF(OR(IFERROR(SEARCH("Intelligence",INDEX(T04_Classes!$BX$3:$BX$102,MATCH('C01_BaseCalculation'!C82,T04_Classes!$B$3:$B$102,0),1)),0)=0,AND(IFERROR(SEARCH("Intelligence",INDEX(T04_Classes!$BX$3:$BX$102,MATCH('C01_BaseCalculation'!C82,T04_Classes!$B$3:$B$102,0),1)),0)&gt;0,Intelligence&gt;12)),"yes","no")</f>
        <v>yes</v>
      </c>
      <c r="M82" s="218" t="str">
        <f>IF(OR(IFERROR(SEARCH("Wisdom",INDEX(T04_Classes!$BX$3:$BX$102,MATCH('C01_BaseCalculation'!C82,T04_Classes!$B$3:$B$102,0),1)),0)=0,AND(IFERROR(SEARCH("Wisdom",INDEX(T04_Classes!$BX$3:$BX$102,MATCH('C01_BaseCalculation'!C82,T04_Classes!$B$3:$B$102,0),1)),0)&gt;0,Wisdom&gt;12)),"yes","no")</f>
        <v>yes</v>
      </c>
      <c r="N82" s="218" t="str">
        <f>IF(OR(IFERROR(SEARCH("Charisma",INDEX(T04_Classes!$BX$3:$BX$102,MATCH('C01_BaseCalculation'!C82,T04_Classes!$B$3:$B$102,0),1)),0)=0,AND(IFERROR(SEARCH("Charisma",INDEX(T04_Classes!$BX$3:$BX$102,MATCH('C01_BaseCalculation'!C82,T04_Classes!$B$3:$B$102,0),1)),0)&gt;0,Charisma&gt;12)),"yes","no")</f>
        <v>yes</v>
      </c>
      <c r="O82" s="218">
        <f t="shared" si="18"/>
        <v>0</v>
      </c>
      <c r="P82" s="218">
        <f>IF(O82=0,0,COUNTIF($P$15:P81,"&gt;0")+1)</f>
        <v>0</v>
      </c>
      <c r="R82" s="220" t="str">
        <f t="shared" si="21"/>
        <v/>
      </c>
      <c r="S82" s="220" t="str">
        <f t="shared" si="19"/>
        <v/>
      </c>
      <c r="X82" s="219" t="str">
        <f t="shared" si="22"/>
        <v/>
      </c>
      <c r="Y82" s="219" t="str">
        <f>IFERROR(INDEX(T01_Races!$B$2:$B$101,MATCH('C01_BaseCalculation'!X82,T01_Races!$C$2:$C$101,0),1),"")</f>
        <v/>
      </c>
      <c r="Z82" s="217" t="str">
        <f t="shared" si="23"/>
        <v/>
      </c>
      <c r="AA82" s="217" t="str">
        <f>IFERROR(IF(Z82="","",INDEX(T01_Races!$E$2:$E$101,MATCH('C01_BaseCalculation'!Z82,T01_Races!$D$2:$D$101,0),1)),"")</f>
        <v/>
      </c>
      <c r="AB82" s="217" t="str">
        <f>IFERROR(IF(Z82="","",INDEX(T01_Races!$A$2:$A$101,MATCH('C01_BaseCalculation'!Z82,T01_Races!$D$2:$D$101,0),1)),"")</f>
        <v/>
      </c>
    </row>
    <row r="83" spans="2:28" x14ac:dyDescent="0.3">
      <c r="B83" s="218" t="str">
        <f t="shared" si="20"/>
        <v/>
      </c>
      <c r="C83" s="218" t="str">
        <f>IFERROR(INDEX(T04_Classes!$B$3:$B$102,B83,1),"")</f>
        <v/>
      </c>
      <c r="D83" s="218" t="str">
        <f>IF(C83="","",COUNTIF(Character_Creation!$R$62:$T$71,C83)+COUNTIF(Character_Creation!$R$72:$T$81,C83))</f>
        <v/>
      </c>
      <c r="E83" s="218">
        <f t="shared" si="17"/>
        <v>0</v>
      </c>
      <c r="F83" s="218">
        <f>IF(E83=0,0,COUNTIF($F$15:F82,"&gt;0")+1)</f>
        <v>0</v>
      </c>
      <c r="G83" s="218">
        <f>IF(IFERROR(SEARCH("and",INDEX(T04_Classes!$BX$3:$BX$102,MATCH('C01_BaseCalculation'!C83,T04_Classes!$B$3:$B$102,0),1)),0)&gt;1,1,0)</f>
        <v>0</v>
      </c>
      <c r="H83" s="218">
        <f>IF(IFERROR(SEARCH("or",INDEX(T04_Classes!$BX$3:$BX$102,MATCH('C01_BaseCalculation'!C83,T04_Classes!$B$3:$B$102,0),1)),0)&gt;1,1,0)</f>
        <v>0</v>
      </c>
      <c r="I83" s="218" t="str">
        <f>IF(OR(IFERROR(SEARCH("Strength",INDEX(T04_Classes!$BX$3:$BX$102,MATCH('C01_BaseCalculation'!C83,T04_Classes!$B$3:$B$102,0),1)),0)=0,AND(IFERROR(SEARCH("Strength",INDEX(T04_Classes!$BX$3:$BX$102,MATCH('C01_BaseCalculation'!C83,T04_Classes!$B$3:$B$102,0),1)),0)&gt;0,Strength&gt;12)),"yes","no")</f>
        <v>yes</v>
      </c>
      <c r="J83" s="218" t="str">
        <f>IF(OR(IFERROR(SEARCH("Dexterity",INDEX(T04_Classes!$BX$3:$BX$102,MATCH('C01_BaseCalculation'!C83,T04_Classes!$B$3:$B$102,0),1)),0)=0,AND(IFERROR(SEARCH("Dexterity",INDEX(T04_Classes!$BX$3:$BX$102,MATCH('C01_BaseCalculation'!C83,T04_Classes!$B$3:$B$102,0),1)),0)&gt;0,Dexterity&gt;12)),"yes","no")</f>
        <v>yes</v>
      </c>
      <c r="K83" s="218" t="str">
        <f>IF(OR(IFERROR(SEARCH("Constitution",INDEX(T04_Classes!$BX$3:$BX$102,MATCH('C01_BaseCalculation'!C83,T04_Classes!$B$3:$B$102,0),1)),0)=0,AND(IFERROR(SEARCH("Constitution",INDEX(T04_Classes!$BX$3:$BX$102,MATCH('C01_BaseCalculation'!C83,T04_Classes!$B$3:$B$102,0),1)),0)&gt;0,Constitution&gt;12)),"yes","no")</f>
        <v>yes</v>
      </c>
      <c r="L83" s="218" t="str">
        <f>IF(OR(IFERROR(SEARCH("Intelligence",INDEX(T04_Classes!$BX$3:$BX$102,MATCH('C01_BaseCalculation'!C83,T04_Classes!$B$3:$B$102,0),1)),0)=0,AND(IFERROR(SEARCH("Intelligence",INDEX(T04_Classes!$BX$3:$BX$102,MATCH('C01_BaseCalculation'!C83,T04_Classes!$B$3:$B$102,0),1)),0)&gt;0,Intelligence&gt;12)),"yes","no")</f>
        <v>yes</v>
      </c>
      <c r="M83" s="218" t="str">
        <f>IF(OR(IFERROR(SEARCH("Wisdom",INDEX(T04_Classes!$BX$3:$BX$102,MATCH('C01_BaseCalculation'!C83,T04_Classes!$B$3:$B$102,0),1)),0)=0,AND(IFERROR(SEARCH("Wisdom",INDEX(T04_Classes!$BX$3:$BX$102,MATCH('C01_BaseCalculation'!C83,T04_Classes!$B$3:$B$102,0),1)),0)&gt;0,Wisdom&gt;12)),"yes","no")</f>
        <v>yes</v>
      </c>
      <c r="N83" s="218" t="str">
        <f>IF(OR(IFERROR(SEARCH("Charisma",INDEX(T04_Classes!$BX$3:$BX$102,MATCH('C01_BaseCalculation'!C83,T04_Classes!$B$3:$B$102,0),1)),0)=0,AND(IFERROR(SEARCH("Charisma",INDEX(T04_Classes!$BX$3:$BX$102,MATCH('C01_BaseCalculation'!C83,T04_Classes!$B$3:$B$102,0),1)),0)&gt;0,Charisma&gt;12)),"yes","no")</f>
        <v>yes</v>
      </c>
      <c r="O83" s="218">
        <f t="shared" si="18"/>
        <v>0</v>
      </c>
      <c r="P83" s="218">
        <f>IF(O83=0,0,COUNTIF($P$15:P82,"&gt;0")+1)</f>
        <v>0</v>
      </c>
      <c r="R83" s="220" t="str">
        <f t="shared" si="21"/>
        <v/>
      </c>
      <c r="S83" s="220" t="str">
        <f t="shared" si="19"/>
        <v/>
      </c>
      <c r="X83" s="219" t="str">
        <f t="shared" si="22"/>
        <v/>
      </c>
      <c r="Y83" s="219" t="str">
        <f>IFERROR(INDEX(T01_Races!$B$2:$B$101,MATCH('C01_BaseCalculation'!X83,T01_Races!$C$2:$C$101,0),1),"")</f>
        <v/>
      </c>
      <c r="Z83" s="217" t="str">
        <f t="shared" si="23"/>
        <v/>
      </c>
      <c r="AA83" s="217" t="str">
        <f>IFERROR(IF(Z83="","",INDEX(T01_Races!$E$2:$E$101,MATCH('C01_BaseCalculation'!Z83,T01_Races!$D$2:$D$101,0),1)),"")</f>
        <v/>
      </c>
      <c r="AB83" s="217" t="str">
        <f>IFERROR(IF(Z83="","",INDEX(T01_Races!$A$2:$A$101,MATCH('C01_BaseCalculation'!Z83,T01_Races!$D$2:$D$101,0),1)),"")</f>
        <v/>
      </c>
    </row>
    <row r="84" spans="2:28" x14ac:dyDescent="0.3">
      <c r="B84" s="218" t="str">
        <f t="shared" si="20"/>
        <v/>
      </c>
      <c r="C84" s="218" t="str">
        <f>IFERROR(INDEX(T04_Classes!$B$3:$B$102,B84,1),"")</f>
        <v/>
      </c>
      <c r="D84" s="218" t="str">
        <f>IF(C84="","",COUNTIF(Character_Creation!$R$62:$T$71,C84)+COUNTIF(Character_Creation!$R$72:$T$81,C84))</f>
        <v/>
      </c>
      <c r="E84" s="218">
        <f t="shared" si="17"/>
        <v>0</v>
      </c>
      <c r="F84" s="218">
        <f>IF(E84=0,0,COUNTIF($F$15:F83,"&gt;0")+1)</f>
        <v>0</v>
      </c>
      <c r="G84" s="218">
        <f>IF(IFERROR(SEARCH("and",INDEX(T04_Classes!$BX$3:$BX$102,MATCH('C01_BaseCalculation'!C84,T04_Classes!$B$3:$B$102,0),1)),0)&gt;1,1,0)</f>
        <v>0</v>
      </c>
      <c r="H84" s="218">
        <f>IF(IFERROR(SEARCH("or",INDEX(T04_Classes!$BX$3:$BX$102,MATCH('C01_BaseCalculation'!C84,T04_Classes!$B$3:$B$102,0),1)),0)&gt;1,1,0)</f>
        <v>0</v>
      </c>
      <c r="I84" s="218" t="str">
        <f>IF(OR(IFERROR(SEARCH("Strength",INDEX(T04_Classes!$BX$3:$BX$102,MATCH('C01_BaseCalculation'!C84,T04_Classes!$B$3:$B$102,0),1)),0)=0,AND(IFERROR(SEARCH("Strength",INDEX(T04_Classes!$BX$3:$BX$102,MATCH('C01_BaseCalculation'!C84,T04_Classes!$B$3:$B$102,0),1)),0)&gt;0,Strength&gt;12)),"yes","no")</f>
        <v>yes</v>
      </c>
      <c r="J84" s="218" t="str">
        <f>IF(OR(IFERROR(SEARCH("Dexterity",INDEX(T04_Classes!$BX$3:$BX$102,MATCH('C01_BaseCalculation'!C84,T04_Classes!$B$3:$B$102,0),1)),0)=0,AND(IFERROR(SEARCH("Dexterity",INDEX(T04_Classes!$BX$3:$BX$102,MATCH('C01_BaseCalculation'!C84,T04_Classes!$B$3:$B$102,0),1)),0)&gt;0,Dexterity&gt;12)),"yes","no")</f>
        <v>yes</v>
      </c>
      <c r="K84" s="218" t="str">
        <f>IF(OR(IFERROR(SEARCH("Constitution",INDEX(T04_Classes!$BX$3:$BX$102,MATCH('C01_BaseCalculation'!C84,T04_Classes!$B$3:$B$102,0),1)),0)=0,AND(IFERROR(SEARCH("Constitution",INDEX(T04_Classes!$BX$3:$BX$102,MATCH('C01_BaseCalculation'!C84,T04_Classes!$B$3:$B$102,0),1)),0)&gt;0,Constitution&gt;12)),"yes","no")</f>
        <v>yes</v>
      </c>
      <c r="L84" s="218" t="str">
        <f>IF(OR(IFERROR(SEARCH("Intelligence",INDEX(T04_Classes!$BX$3:$BX$102,MATCH('C01_BaseCalculation'!C84,T04_Classes!$B$3:$B$102,0),1)),0)=0,AND(IFERROR(SEARCH("Intelligence",INDEX(T04_Classes!$BX$3:$BX$102,MATCH('C01_BaseCalculation'!C84,T04_Classes!$B$3:$B$102,0),1)),0)&gt;0,Intelligence&gt;12)),"yes","no")</f>
        <v>yes</v>
      </c>
      <c r="M84" s="218" t="str">
        <f>IF(OR(IFERROR(SEARCH("Wisdom",INDEX(T04_Classes!$BX$3:$BX$102,MATCH('C01_BaseCalculation'!C84,T04_Classes!$B$3:$B$102,0),1)),0)=0,AND(IFERROR(SEARCH("Wisdom",INDEX(T04_Classes!$BX$3:$BX$102,MATCH('C01_BaseCalculation'!C84,T04_Classes!$B$3:$B$102,0),1)),0)&gt;0,Wisdom&gt;12)),"yes","no")</f>
        <v>yes</v>
      </c>
      <c r="N84" s="218" t="str">
        <f>IF(OR(IFERROR(SEARCH("Charisma",INDEX(T04_Classes!$BX$3:$BX$102,MATCH('C01_BaseCalculation'!C84,T04_Classes!$B$3:$B$102,0),1)),0)=0,AND(IFERROR(SEARCH("Charisma",INDEX(T04_Classes!$BX$3:$BX$102,MATCH('C01_BaseCalculation'!C84,T04_Classes!$B$3:$B$102,0),1)),0)&gt;0,Charisma&gt;12)),"yes","no")</f>
        <v>yes</v>
      </c>
      <c r="O84" s="218">
        <f t="shared" si="18"/>
        <v>0</v>
      </c>
      <c r="P84" s="218">
        <f>IF(O84=0,0,COUNTIF($P$15:P83,"&gt;0")+1)</f>
        <v>0</v>
      </c>
      <c r="R84" s="220" t="str">
        <f t="shared" si="21"/>
        <v/>
      </c>
      <c r="S84" s="220" t="str">
        <f t="shared" si="19"/>
        <v/>
      </c>
      <c r="X84" s="219" t="str">
        <f t="shared" si="22"/>
        <v/>
      </c>
      <c r="Y84" s="219" t="str">
        <f>IFERROR(INDEX(T01_Races!$B$2:$B$101,MATCH('C01_BaseCalculation'!X84,T01_Races!$C$2:$C$101,0),1),"")</f>
        <v/>
      </c>
      <c r="Z84" s="217" t="str">
        <f t="shared" si="23"/>
        <v/>
      </c>
      <c r="AA84" s="217" t="str">
        <f>IFERROR(IF(Z84="","",INDEX(T01_Races!$E$2:$E$101,MATCH('C01_BaseCalculation'!Z84,T01_Races!$D$2:$D$101,0),1)),"")</f>
        <v/>
      </c>
      <c r="AB84" s="217" t="str">
        <f>IFERROR(IF(Z84="","",INDEX(T01_Races!$A$2:$A$101,MATCH('C01_BaseCalculation'!Z84,T01_Races!$D$2:$D$101,0),1)),"")</f>
        <v/>
      </c>
    </row>
    <row r="85" spans="2:28" x14ac:dyDescent="0.3">
      <c r="B85" s="218" t="str">
        <f t="shared" si="20"/>
        <v/>
      </c>
      <c r="C85" s="218" t="str">
        <f>IFERROR(INDEX(T04_Classes!$B$3:$B$102,B85,1),"")</f>
        <v/>
      </c>
      <c r="D85" s="218" t="str">
        <f>IF(C85="","",COUNTIF(Character_Creation!$R$62:$T$71,C85)+COUNTIF(Character_Creation!$R$72:$T$81,C85))</f>
        <v/>
      </c>
      <c r="E85" s="218">
        <f t="shared" si="17"/>
        <v>0</v>
      </c>
      <c r="F85" s="218">
        <f>IF(E85=0,0,COUNTIF($F$15:F84,"&gt;0")+1)</f>
        <v>0</v>
      </c>
      <c r="G85" s="218">
        <f>IF(IFERROR(SEARCH("and",INDEX(T04_Classes!$BX$3:$BX$102,MATCH('C01_BaseCalculation'!C85,T04_Classes!$B$3:$B$102,0),1)),0)&gt;1,1,0)</f>
        <v>0</v>
      </c>
      <c r="H85" s="218">
        <f>IF(IFERROR(SEARCH("or",INDEX(T04_Classes!$BX$3:$BX$102,MATCH('C01_BaseCalculation'!C85,T04_Classes!$B$3:$B$102,0),1)),0)&gt;1,1,0)</f>
        <v>0</v>
      </c>
      <c r="I85" s="218" t="str">
        <f>IF(OR(IFERROR(SEARCH("Strength",INDEX(T04_Classes!$BX$3:$BX$102,MATCH('C01_BaseCalculation'!C85,T04_Classes!$B$3:$B$102,0),1)),0)=0,AND(IFERROR(SEARCH("Strength",INDEX(T04_Classes!$BX$3:$BX$102,MATCH('C01_BaseCalculation'!C85,T04_Classes!$B$3:$B$102,0),1)),0)&gt;0,Strength&gt;12)),"yes","no")</f>
        <v>yes</v>
      </c>
      <c r="J85" s="218" t="str">
        <f>IF(OR(IFERROR(SEARCH("Dexterity",INDEX(T04_Classes!$BX$3:$BX$102,MATCH('C01_BaseCalculation'!C85,T04_Classes!$B$3:$B$102,0),1)),0)=0,AND(IFERROR(SEARCH("Dexterity",INDEX(T04_Classes!$BX$3:$BX$102,MATCH('C01_BaseCalculation'!C85,T04_Classes!$B$3:$B$102,0),1)),0)&gt;0,Dexterity&gt;12)),"yes","no")</f>
        <v>yes</v>
      </c>
      <c r="K85" s="218" t="str">
        <f>IF(OR(IFERROR(SEARCH("Constitution",INDEX(T04_Classes!$BX$3:$BX$102,MATCH('C01_BaseCalculation'!C85,T04_Classes!$B$3:$B$102,0),1)),0)=0,AND(IFERROR(SEARCH("Constitution",INDEX(T04_Classes!$BX$3:$BX$102,MATCH('C01_BaseCalculation'!C85,T04_Classes!$B$3:$B$102,0),1)),0)&gt;0,Constitution&gt;12)),"yes","no")</f>
        <v>yes</v>
      </c>
      <c r="L85" s="218" t="str">
        <f>IF(OR(IFERROR(SEARCH("Intelligence",INDEX(T04_Classes!$BX$3:$BX$102,MATCH('C01_BaseCalculation'!C85,T04_Classes!$B$3:$B$102,0),1)),0)=0,AND(IFERROR(SEARCH("Intelligence",INDEX(T04_Classes!$BX$3:$BX$102,MATCH('C01_BaseCalculation'!C85,T04_Classes!$B$3:$B$102,0),1)),0)&gt;0,Intelligence&gt;12)),"yes","no")</f>
        <v>yes</v>
      </c>
      <c r="M85" s="218" t="str">
        <f>IF(OR(IFERROR(SEARCH("Wisdom",INDEX(T04_Classes!$BX$3:$BX$102,MATCH('C01_BaseCalculation'!C85,T04_Classes!$B$3:$B$102,0),1)),0)=0,AND(IFERROR(SEARCH("Wisdom",INDEX(T04_Classes!$BX$3:$BX$102,MATCH('C01_BaseCalculation'!C85,T04_Classes!$B$3:$B$102,0),1)),0)&gt;0,Wisdom&gt;12)),"yes","no")</f>
        <v>yes</v>
      </c>
      <c r="N85" s="218" t="str">
        <f>IF(OR(IFERROR(SEARCH("Charisma",INDEX(T04_Classes!$BX$3:$BX$102,MATCH('C01_BaseCalculation'!C85,T04_Classes!$B$3:$B$102,0),1)),0)=0,AND(IFERROR(SEARCH("Charisma",INDEX(T04_Classes!$BX$3:$BX$102,MATCH('C01_BaseCalculation'!C85,T04_Classes!$B$3:$B$102,0),1)),0)&gt;0,Charisma&gt;12)),"yes","no")</f>
        <v>yes</v>
      </c>
      <c r="O85" s="218">
        <f t="shared" si="18"/>
        <v>0</v>
      </c>
      <c r="P85" s="218">
        <f>IF(O85=0,0,COUNTIF($P$15:P84,"&gt;0")+1)</f>
        <v>0</v>
      </c>
      <c r="R85" s="220" t="str">
        <f t="shared" si="21"/>
        <v/>
      </c>
      <c r="S85" s="220" t="str">
        <f t="shared" si="19"/>
        <v/>
      </c>
      <c r="X85" s="219" t="str">
        <f t="shared" si="22"/>
        <v/>
      </c>
      <c r="Y85" s="219" t="str">
        <f>IFERROR(INDEX(T01_Races!$B$2:$B$101,MATCH('C01_BaseCalculation'!X85,T01_Races!$C$2:$C$101,0),1),"")</f>
        <v/>
      </c>
      <c r="Z85" s="217" t="str">
        <f t="shared" si="23"/>
        <v/>
      </c>
      <c r="AA85" s="217" t="str">
        <f>IFERROR(IF(Z85="","",INDEX(T01_Races!$E$2:$E$101,MATCH('C01_BaseCalculation'!Z85,T01_Races!$D$2:$D$101,0),1)),"")</f>
        <v/>
      </c>
      <c r="AB85" s="217" t="str">
        <f>IFERROR(IF(Z85="","",INDEX(T01_Races!$A$2:$A$101,MATCH('C01_BaseCalculation'!Z85,T01_Races!$D$2:$D$101,0),1)),"")</f>
        <v/>
      </c>
    </row>
    <row r="86" spans="2:28" x14ac:dyDescent="0.3">
      <c r="B86" s="218" t="str">
        <f t="shared" si="20"/>
        <v/>
      </c>
      <c r="C86" s="218" t="str">
        <f>IFERROR(INDEX(T04_Classes!$B$3:$B$102,B86,1),"")</f>
        <v/>
      </c>
      <c r="D86" s="218" t="str">
        <f>IF(C86="","",COUNTIF(Character_Creation!$R$62:$T$71,C86)+COUNTIF(Character_Creation!$R$72:$T$81,C86))</f>
        <v/>
      </c>
      <c r="E86" s="218">
        <f t="shared" si="17"/>
        <v>0</v>
      </c>
      <c r="F86" s="218">
        <f>IF(E86=0,0,COUNTIF($F$15:F85,"&gt;0")+1)</f>
        <v>0</v>
      </c>
      <c r="G86" s="218">
        <f>IF(IFERROR(SEARCH("and",INDEX(T04_Classes!$BX$3:$BX$102,MATCH('C01_BaseCalculation'!C86,T04_Classes!$B$3:$B$102,0),1)),0)&gt;1,1,0)</f>
        <v>0</v>
      </c>
      <c r="H86" s="218">
        <f>IF(IFERROR(SEARCH("or",INDEX(T04_Classes!$BX$3:$BX$102,MATCH('C01_BaseCalculation'!C86,T04_Classes!$B$3:$B$102,0),1)),0)&gt;1,1,0)</f>
        <v>0</v>
      </c>
      <c r="I86" s="218" t="str">
        <f>IF(OR(IFERROR(SEARCH("Strength",INDEX(T04_Classes!$BX$3:$BX$102,MATCH('C01_BaseCalculation'!C86,T04_Classes!$B$3:$B$102,0),1)),0)=0,AND(IFERROR(SEARCH("Strength",INDEX(T04_Classes!$BX$3:$BX$102,MATCH('C01_BaseCalculation'!C86,T04_Classes!$B$3:$B$102,0),1)),0)&gt;0,Strength&gt;12)),"yes","no")</f>
        <v>yes</v>
      </c>
      <c r="J86" s="218" t="str">
        <f>IF(OR(IFERROR(SEARCH("Dexterity",INDEX(T04_Classes!$BX$3:$BX$102,MATCH('C01_BaseCalculation'!C86,T04_Classes!$B$3:$B$102,0),1)),0)=0,AND(IFERROR(SEARCH("Dexterity",INDEX(T04_Classes!$BX$3:$BX$102,MATCH('C01_BaseCalculation'!C86,T04_Classes!$B$3:$B$102,0),1)),0)&gt;0,Dexterity&gt;12)),"yes","no")</f>
        <v>yes</v>
      </c>
      <c r="K86" s="218" t="str">
        <f>IF(OR(IFERROR(SEARCH("Constitution",INDEX(T04_Classes!$BX$3:$BX$102,MATCH('C01_BaseCalculation'!C86,T04_Classes!$B$3:$B$102,0),1)),0)=0,AND(IFERROR(SEARCH("Constitution",INDEX(T04_Classes!$BX$3:$BX$102,MATCH('C01_BaseCalculation'!C86,T04_Classes!$B$3:$B$102,0),1)),0)&gt;0,Constitution&gt;12)),"yes","no")</f>
        <v>yes</v>
      </c>
      <c r="L86" s="218" t="str">
        <f>IF(OR(IFERROR(SEARCH("Intelligence",INDEX(T04_Classes!$BX$3:$BX$102,MATCH('C01_BaseCalculation'!C86,T04_Classes!$B$3:$B$102,0),1)),0)=0,AND(IFERROR(SEARCH("Intelligence",INDEX(T04_Classes!$BX$3:$BX$102,MATCH('C01_BaseCalculation'!C86,T04_Classes!$B$3:$B$102,0),1)),0)&gt;0,Intelligence&gt;12)),"yes","no")</f>
        <v>yes</v>
      </c>
      <c r="M86" s="218" t="str">
        <f>IF(OR(IFERROR(SEARCH("Wisdom",INDEX(T04_Classes!$BX$3:$BX$102,MATCH('C01_BaseCalculation'!C86,T04_Classes!$B$3:$B$102,0),1)),0)=0,AND(IFERROR(SEARCH("Wisdom",INDEX(T04_Classes!$BX$3:$BX$102,MATCH('C01_BaseCalculation'!C86,T04_Classes!$B$3:$B$102,0),1)),0)&gt;0,Wisdom&gt;12)),"yes","no")</f>
        <v>yes</v>
      </c>
      <c r="N86" s="218" t="str">
        <f>IF(OR(IFERROR(SEARCH("Charisma",INDEX(T04_Classes!$BX$3:$BX$102,MATCH('C01_BaseCalculation'!C86,T04_Classes!$B$3:$B$102,0),1)),0)=0,AND(IFERROR(SEARCH("Charisma",INDEX(T04_Classes!$BX$3:$BX$102,MATCH('C01_BaseCalculation'!C86,T04_Classes!$B$3:$B$102,0),1)),0)&gt;0,Charisma&gt;12)),"yes","no")</f>
        <v>yes</v>
      </c>
      <c r="O86" s="218">
        <f t="shared" si="18"/>
        <v>0</v>
      </c>
      <c r="P86" s="218">
        <f>IF(O86=0,0,COUNTIF($P$15:P85,"&gt;0")+1)</f>
        <v>0</v>
      </c>
      <c r="R86" s="220" t="str">
        <f t="shared" si="21"/>
        <v/>
      </c>
      <c r="S86" s="220" t="str">
        <f t="shared" si="19"/>
        <v/>
      </c>
      <c r="X86" s="219" t="str">
        <f t="shared" si="22"/>
        <v/>
      </c>
      <c r="Y86" s="219" t="str">
        <f>IFERROR(INDEX(T01_Races!$B$2:$B$101,MATCH('C01_BaseCalculation'!X86,T01_Races!$C$2:$C$101,0),1),"")</f>
        <v/>
      </c>
      <c r="Z86" s="217" t="str">
        <f t="shared" si="23"/>
        <v/>
      </c>
      <c r="AA86" s="217" t="str">
        <f>IFERROR(IF(Z86="","",INDEX(T01_Races!$E$2:$E$101,MATCH('C01_BaseCalculation'!Z86,T01_Races!$D$2:$D$101,0),1)),"")</f>
        <v/>
      </c>
      <c r="AB86" s="217" t="str">
        <f>IFERROR(IF(Z86="","",INDEX(T01_Races!$A$2:$A$101,MATCH('C01_BaseCalculation'!Z86,T01_Races!$D$2:$D$101,0),1)),"")</f>
        <v/>
      </c>
    </row>
    <row r="87" spans="2:28" x14ac:dyDescent="0.3">
      <c r="B87" s="218" t="str">
        <f t="shared" si="20"/>
        <v/>
      </c>
      <c r="C87" s="218" t="str">
        <f>IFERROR(INDEX(T04_Classes!$B$3:$B$102,B87,1),"")</f>
        <v/>
      </c>
      <c r="D87" s="218" t="str">
        <f>IF(C87="","",COUNTIF(Character_Creation!$R$62:$T$71,C87)+COUNTIF(Character_Creation!$R$72:$T$81,C87))</f>
        <v/>
      </c>
      <c r="E87" s="218">
        <f t="shared" si="17"/>
        <v>0</v>
      </c>
      <c r="F87" s="218">
        <f>IF(E87=0,0,COUNTIF($F$15:F86,"&gt;0")+1)</f>
        <v>0</v>
      </c>
      <c r="G87" s="218">
        <f>IF(IFERROR(SEARCH("and",INDEX(T04_Classes!$BX$3:$BX$102,MATCH('C01_BaseCalculation'!C87,T04_Classes!$B$3:$B$102,0),1)),0)&gt;1,1,0)</f>
        <v>0</v>
      </c>
      <c r="H87" s="218">
        <f>IF(IFERROR(SEARCH("or",INDEX(T04_Classes!$BX$3:$BX$102,MATCH('C01_BaseCalculation'!C87,T04_Classes!$B$3:$B$102,0),1)),0)&gt;1,1,0)</f>
        <v>0</v>
      </c>
      <c r="I87" s="218" t="str">
        <f>IF(OR(IFERROR(SEARCH("Strength",INDEX(T04_Classes!$BX$3:$BX$102,MATCH('C01_BaseCalculation'!C87,T04_Classes!$B$3:$B$102,0),1)),0)=0,AND(IFERROR(SEARCH("Strength",INDEX(T04_Classes!$BX$3:$BX$102,MATCH('C01_BaseCalculation'!C87,T04_Classes!$B$3:$B$102,0),1)),0)&gt;0,Strength&gt;12)),"yes","no")</f>
        <v>yes</v>
      </c>
      <c r="J87" s="218" t="str">
        <f>IF(OR(IFERROR(SEARCH("Dexterity",INDEX(T04_Classes!$BX$3:$BX$102,MATCH('C01_BaseCalculation'!C87,T04_Classes!$B$3:$B$102,0),1)),0)=0,AND(IFERROR(SEARCH("Dexterity",INDEX(T04_Classes!$BX$3:$BX$102,MATCH('C01_BaseCalculation'!C87,T04_Classes!$B$3:$B$102,0),1)),0)&gt;0,Dexterity&gt;12)),"yes","no")</f>
        <v>yes</v>
      </c>
      <c r="K87" s="218" t="str">
        <f>IF(OR(IFERROR(SEARCH("Constitution",INDEX(T04_Classes!$BX$3:$BX$102,MATCH('C01_BaseCalculation'!C87,T04_Classes!$B$3:$B$102,0),1)),0)=0,AND(IFERROR(SEARCH("Constitution",INDEX(T04_Classes!$BX$3:$BX$102,MATCH('C01_BaseCalculation'!C87,T04_Classes!$B$3:$B$102,0),1)),0)&gt;0,Constitution&gt;12)),"yes","no")</f>
        <v>yes</v>
      </c>
      <c r="L87" s="218" t="str">
        <f>IF(OR(IFERROR(SEARCH("Intelligence",INDEX(T04_Classes!$BX$3:$BX$102,MATCH('C01_BaseCalculation'!C87,T04_Classes!$B$3:$B$102,0),1)),0)=0,AND(IFERROR(SEARCH("Intelligence",INDEX(T04_Classes!$BX$3:$BX$102,MATCH('C01_BaseCalculation'!C87,T04_Classes!$B$3:$B$102,0),1)),0)&gt;0,Intelligence&gt;12)),"yes","no")</f>
        <v>yes</v>
      </c>
      <c r="M87" s="218" t="str">
        <f>IF(OR(IFERROR(SEARCH("Wisdom",INDEX(T04_Classes!$BX$3:$BX$102,MATCH('C01_BaseCalculation'!C87,T04_Classes!$B$3:$B$102,0),1)),0)=0,AND(IFERROR(SEARCH("Wisdom",INDEX(T04_Classes!$BX$3:$BX$102,MATCH('C01_BaseCalculation'!C87,T04_Classes!$B$3:$B$102,0),1)),0)&gt;0,Wisdom&gt;12)),"yes","no")</f>
        <v>yes</v>
      </c>
      <c r="N87" s="218" t="str">
        <f>IF(OR(IFERROR(SEARCH("Charisma",INDEX(T04_Classes!$BX$3:$BX$102,MATCH('C01_BaseCalculation'!C87,T04_Classes!$B$3:$B$102,0),1)),0)=0,AND(IFERROR(SEARCH("Charisma",INDEX(T04_Classes!$BX$3:$BX$102,MATCH('C01_BaseCalculation'!C87,T04_Classes!$B$3:$B$102,0),1)),0)&gt;0,Charisma&gt;12)),"yes","no")</f>
        <v>yes</v>
      </c>
      <c r="O87" s="218">
        <f t="shared" si="18"/>
        <v>0</v>
      </c>
      <c r="P87" s="218">
        <f>IF(O87=0,0,COUNTIF($P$15:P86,"&gt;0")+1)</f>
        <v>0</v>
      </c>
      <c r="R87" s="220" t="str">
        <f t="shared" si="21"/>
        <v/>
      </c>
      <c r="S87" s="220" t="str">
        <f t="shared" si="19"/>
        <v/>
      </c>
      <c r="X87" s="219" t="str">
        <f t="shared" si="22"/>
        <v/>
      </c>
      <c r="Y87" s="219" t="str">
        <f>IFERROR(INDEX(T01_Races!$B$2:$B$101,MATCH('C01_BaseCalculation'!X87,T01_Races!$C$2:$C$101,0),1),"")</f>
        <v/>
      </c>
      <c r="Z87" s="217" t="str">
        <f t="shared" si="23"/>
        <v/>
      </c>
      <c r="AA87" s="217" t="str">
        <f>IFERROR(IF(Z87="","",INDEX(T01_Races!$E$2:$E$101,MATCH('C01_BaseCalculation'!Z87,T01_Races!$D$2:$D$101,0),1)),"")</f>
        <v/>
      </c>
      <c r="AB87" s="217" t="str">
        <f>IFERROR(IF(Z87="","",INDEX(T01_Races!$A$2:$A$101,MATCH('C01_BaseCalculation'!Z87,T01_Races!$D$2:$D$101,0),1)),"")</f>
        <v/>
      </c>
    </row>
    <row r="88" spans="2:28" x14ac:dyDescent="0.3">
      <c r="B88" s="218" t="str">
        <f t="shared" si="20"/>
        <v/>
      </c>
      <c r="C88" s="218" t="str">
        <f>IFERROR(INDEX(T04_Classes!$B$3:$B$102,B88,1),"")</f>
        <v/>
      </c>
      <c r="D88" s="218" t="str">
        <f>IF(C88="","",COUNTIF(Character_Creation!$R$62:$T$71,C88)+COUNTIF(Character_Creation!$R$72:$T$81,C88))</f>
        <v/>
      </c>
      <c r="E88" s="218">
        <f t="shared" si="17"/>
        <v>0</v>
      </c>
      <c r="F88" s="218">
        <f>IF(E88=0,0,COUNTIF($F$15:F87,"&gt;0")+1)</f>
        <v>0</v>
      </c>
      <c r="G88" s="218">
        <f>IF(IFERROR(SEARCH("and",INDEX(T04_Classes!$BX$3:$BX$102,MATCH('C01_BaseCalculation'!C88,T04_Classes!$B$3:$B$102,0),1)),0)&gt;1,1,0)</f>
        <v>0</v>
      </c>
      <c r="H88" s="218">
        <f>IF(IFERROR(SEARCH("or",INDEX(T04_Classes!$BX$3:$BX$102,MATCH('C01_BaseCalculation'!C88,T04_Classes!$B$3:$B$102,0),1)),0)&gt;1,1,0)</f>
        <v>0</v>
      </c>
      <c r="I88" s="218" t="str">
        <f>IF(OR(IFERROR(SEARCH("Strength",INDEX(T04_Classes!$BX$3:$BX$102,MATCH('C01_BaseCalculation'!C88,T04_Classes!$B$3:$B$102,0),1)),0)=0,AND(IFERROR(SEARCH("Strength",INDEX(T04_Classes!$BX$3:$BX$102,MATCH('C01_BaseCalculation'!C88,T04_Classes!$B$3:$B$102,0),1)),0)&gt;0,Strength&gt;12)),"yes","no")</f>
        <v>yes</v>
      </c>
      <c r="J88" s="218" t="str">
        <f>IF(OR(IFERROR(SEARCH("Dexterity",INDEX(T04_Classes!$BX$3:$BX$102,MATCH('C01_BaseCalculation'!C88,T04_Classes!$B$3:$B$102,0),1)),0)=0,AND(IFERROR(SEARCH("Dexterity",INDEX(T04_Classes!$BX$3:$BX$102,MATCH('C01_BaseCalculation'!C88,T04_Classes!$B$3:$B$102,0),1)),0)&gt;0,Dexterity&gt;12)),"yes","no")</f>
        <v>yes</v>
      </c>
      <c r="K88" s="218" t="str">
        <f>IF(OR(IFERROR(SEARCH("Constitution",INDEX(T04_Classes!$BX$3:$BX$102,MATCH('C01_BaseCalculation'!C88,T04_Classes!$B$3:$B$102,0),1)),0)=0,AND(IFERROR(SEARCH("Constitution",INDEX(T04_Classes!$BX$3:$BX$102,MATCH('C01_BaseCalculation'!C88,T04_Classes!$B$3:$B$102,0),1)),0)&gt;0,Constitution&gt;12)),"yes","no")</f>
        <v>yes</v>
      </c>
      <c r="L88" s="218" t="str">
        <f>IF(OR(IFERROR(SEARCH("Intelligence",INDEX(T04_Classes!$BX$3:$BX$102,MATCH('C01_BaseCalculation'!C88,T04_Classes!$B$3:$B$102,0),1)),0)=0,AND(IFERROR(SEARCH("Intelligence",INDEX(T04_Classes!$BX$3:$BX$102,MATCH('C01_BaseCalculation'!C88,T04_Classes!$B$3:$B$102,0),1)),0)&gt;0,Intelligence&gt;12)),"yes","no")</f>
        <v>yes</v>
      </c>
      <c r="M88" s="218" t="str">
        <f>IF(OR(IFERROR(SEARCH("Wisdom",INDEX(T04_Classes!$BX$3:$BX$102,MATCH('C01_BaseCalculation'!C88,T04_Classes!$B$3:$B$102,0),1)),0)=0,AND(IFERROR(SEARCH("Wisdom",INDEX(T04_Classes!$BX$3:$BX$102,MATCH('C01_BaseCalculation'!C88,T04_Classes!$B$3:$B$102,0),1)),0)&gt;0,Wisdom&gt;12)),"yes","no")</f>
        <v>yes</v>
      </c>
      <c r="N88" s="218" t="str">
        <f>IF(OR(IFERROR(SEARCH("Charisma",INDEX(T04_Classes!$BX$3:$BX$102,MATCH('C01_BaseCalculation'!C88,T04_Classes!$B$3:$B$102,0),1)),0)=0,AND(IFERROR(SEARCH("Charisma",INDEX(T04_Classes!$BX$3:$BX$102,MATCH('C01_BaseCalculation'!C88,T04_Classes!$B$3:$B$102,0),1)),0)&gt;0,Charisma&gt;12)),"yes","no")</f>
        <v>yes</v>
      </c>
      <c r="O88" s="218">
        <f t="shared" si="18"/>
        <v>0</v>
      </c>
      <c r="P88" s="218">
        <f>IF(O88=0,0,COUNTIF($P$15:P87,"&gt;0")+1)</f>
        <v>0</v>
      </c>
      <c r="R88" s="220" t="str">
        <f t="shared" si="21"/>
        <v/>
      </c>
      <c r="S88" s="220" t="str">
        <f t="shared" si="19"/>
        <v/>
      </c>
      <c r="X88" s="219" t="str">
        <f t="shared" si="22"/>
        <v/>
      </c>
      <c r="Y88" s="219" t="str">
        <f>IFERROR(INDEX(T01_Races!$B$2:$B$101,MATCH('C01_BaseCalculation'!X88,T01_Races!$C$2:$C$101,0),1),"")</f>
        <v/>
      </c>
      <c r="Z88" s="217" t="str">
        <f t="shared" si="23"/>
        <v/>
      </c>
      <c r="AA88" s="217" t="str">
        <f>IFERROR(IF(Z88="","",INDEX(T01_Races!$E$2:$E$101,MATCH('C01_BaseCalculation'!Z88,T01_Races!$D$2:$D$101,0),1)),"")</f>
        <v/>
      </c>
      <c r="AB88" s="217" t="str">
        <f>IFERROR(IF(Z88="","",INDEX(T01_Races!$A$2:$A$101,MATCH('C01_BaseCalculation'!Z88,T01_Races!$D$2:$D$101,0),1)),"")</f>
        <v/>
      </c>
    </row>
    <row r="89" spans="2:28" x14ac:dyDescent="0.3">
      <c r="B89" s="218" t="str">
        <f t="shared" si="20"/>
        <v/>
      </c>
      <c r="C89" s="218" t="str">
        <f>IFERROR(INDEX(T04_Classes!$B$3:$B$102,B89,1),"")</f>
        <v/>
      </c>
      <c r="D89" s="218" t="str">
        <f>IF(C89="","",COUNTIF(Character_Creation!$R$62:$T$71,C89)+COUNTIF(Character_Creation!$R$72:$T$81,C89))</f>
        <v/>
      </c>
      <c r="E89" s="218">
        <f t="shared" si="17"/>
        <v>0</v>
      </c>
      <c r="F89" s="218">
        <f>IF(E89=0,0,COUNTIF($F$15:F88,"&gt;0")+1)</f>
        <v>0</v>
      </c>
      <c r="G89" s="218">
        <f>IF(IFERROR(SEARCH("and",INDEX(T04_Classes!$BX$3:$BX$102,MATCH('C01_BaseCalculation'!C89,T04_Classes!$B$3:$B$102,0),1)),0)&gt;1,1,0)</f>
        <v>0</v>
      </c>
      <c r="H89" s="218">
        <f>IF(IFERROR(SEARCH("or",INDEX(T04_Classes!$BX$3:$BX$102,MATCH('C01_BaseCalculation'!C89,T04_Classes!$B$3:$B$102,0),1)),0)&gt;1,1,0)</f>
        <v>0</v>
      </c>
      <c r="I89" s="218" t="str">
        <f>IF(OR(IFERROR(SEARCH("Strength",INDEX(T04_Classes!$BX$3:$BX$102,MATCH('C01_BaseCalculation'!C89,T04_Classes!$B$3:$B$102,0),1)),0)=0,AND(IFERROR(SEARCH("Strength",INDEX(T04_Classes!$BX$3:$BX$102,MATCH('C01_BaseCalculation'!C89,T04_Classes!$B$3:$B$102,0),1)),0)&gt;0,Strength&gt;12)),"yes","no")</f>
        <v>yes</v>
      </c>
      <c r="J89" s="218" t="str">
        <f>IF(OR(IFERROR(SEARCH("Dexterity",INDEX(T04_Classes!$BX$3:$BX$102,MATCH('C01_BaseCalculation'!C89,T04_Classes!$B$3:$B$102,0),1)),0)=0,AND(IFERROR(SEARCH("Dexterity",INDEX(T04_Classes!$BX$3:$BX$102,MATCH('C01_BaseCalculation'!C89,T04_Classes!$B$3:$B$102,0),1)),0)&gt;0,Dexterity&gt;12)),"yes","no")</f>
        <v>yes</v>
      </c>
      <c r="K89" s="218" t="str">
        <f>IF(OR(IFERROR(SEARCH("Constitution",INDEX(T04_Classes!$BX$3:$BX$102,MATCH('C01_BaseCalculation'!C89,T04_Classes!$B$3:$B$102,0),1)),0)=0,AND(IFERROR(SEARCH("Constitution",INDEX(T04_Classes!$BX$3:$BX$102,MATCH('C01_BaseCalculation'!C89,T04_Classes!$B$3:$B$102,0),1)),0)&gt;0,Constitution&gt;12)),"yes","no")</f>
        <v>yes</v>
      </c>
      <c r="L89" s="218" t="str">
        <f>IF(OR(IFERROR(SEARCH("Intelligence",INDEX(T04_Classes!$BX$3:$BX$102,MATCH('C01_BaseCalculation'!C89,T04_Classes!$B$3:$B$102,0),1)),0)=0,AND(IFERROR(SEARCH("Intelligence",INDEX(T04_Classes!$BX$3:$BX$102,MATCH('C01_BaseCalculation'!C89,T04_Classes!$B$3:$B$102,0),1)),0)&gt;0,Intelligence&gt;12)),"yes","no")</f>
        <v>yes</v>
      </c>
      <c r="M89" s="218" t="str">
        <f>IF(OR(IFERROR(SEARCH("Wisdom",INDEX(T04_Classes!$BX$3:$BX$102,MATCH('C01_BaseCalculation'!C89,T04_Classes!$B$3:$B$102,0),1)),0)=0,AND(IFERROR(SEARCH("Wisdom",INDEX(T04_Classes!$BX$3:$BX$102,MATCH('C01_BaseCalculation'!C89,T04_Classes!$B$3:$B$102,0),1)),0)&gt;0,Wisdom&gt;12)),"yes","no")</f>
        <v>yes</v>
      </c>
      <c r="N89" s="218" t="str">
        <f>IF(OR(IFERROR(SEARCH("Charisma",INDEX(T04_Classes!$BX$3:$BX$102,MATCH('C01_BaseCalculation'!C89,T04_Classes!$B$3:$B$102,0),1)),0)=0,AND(IFERROR(SEARCH("Charisma",INDEX(T04_Classes!$BX$3:$BX$102,MATCH('C01_BaseCalculation'!C89,T04_Classes!$B$3:$B$102,0),1)),0)&gt;0,Charisma&gt;12)),"yes","no")</f>
        <v>yes</v>
      </c>
      <c r="O89" s="218">
        <f t="shared" si="18"/>
        <v>0</v>
      </c>
      <c r="P89" s="218">
        <f>IF(O89=0,0,COUNTIF($P$15:P88,"&gt;0")+1)</f>
        <v>0</v>
      </c>
      <c r="R89" s="220" t="str">
        <f t="shared" si="21"/>
        <v/>
      </c>
      <c r="S89" s="220" t="str">
        <f t="shared" si="19"/>
        <v/>
      </c>
      <c r="X89" s="219" t="str">
        <f t="shared" si="22"/>
        <v/>
      </c>
      <c r="Y89" s="219" t="str">
        <f>IFERROR(INDEX(T01_Races!$B$2:$B$101,MATCH('C01_BaseCalculation'!X89,T01_Races!$C$2:$C$101,0),1),"")</f>
        <v/>
      </c>
      <c r="Z89" s="217" t="str">
        <f t="shared" si="23"/>
        <v/>
      </c>
      <c r="AA89" s="217" t="str">
        <f>IFERROR(IF(Z89="","",INDEX(T01_Races!$E$2:$E$101,MATCH('C01_BaseCalculation'!Z89,T01_Races!$D$2:$D$101,0),1)),"")</f>
        <v/>
      </c>
      <c r="AB89" s="217" t="str">
        <f>IFERROR(IF(Z89="","",INDEX(T01_Races!$A$2:$A$101,MATCH('C01_BaseCalculation'!Z89,T01_Races!$D$2:$D$101,0),1)),"")</f>
        <v/>
      </c>
    </row>
    <row r="90" spans="2:28" x14ac:dyDescent="0.3">
      <c r="B90" s="218" t="str">
        <f t="shared" si="20"/>
        <v/>
      </c>
      <c r="C90" s="218" t="str">
        <f>IFERROR(INDEX(T04_Classes!$B$3:$B$102,B90,1),"")</f>
        <v/>
      </c>
      <c r="D90" s="218" t="str">
        <f>IF(C90="","",COUNTIF(Character_Creation!$R$62:$T$71,C90)+COUNTIF(Character_Creation!$R$72:$T$81,C90))</f>
        <v/>
      </c>
      <c r="E90" s="218">
        <f t="shared" si="17"/>
        <v>0</v>
      </c>
      <c r="F90" s="218">
        <f>IF(E90=0,0,COUNTIF($F$15:F89,"&gt;0")+1)</f>
        <v>0</v>
      </c>
      <c r="G90" s="218">
        <f>IF(IFERROR(SEARCH("and",INDEX(T04_Classes!$BX$3:$BX$102,MATCH('C01_BaseCalculation'!C90,T04_Classes!$B$3:$B$102,0),1)),0)&gt;1,1,0)</f>
        <v>0</v>
      </c>
      <c r="H90" s="218">
        <f>IF(IFERROR(SEARCH("or",INDEX(T04_Classes!$BX$3:$BX$102,MATCH('C01_BaseCalculation'!C90,T04_Classes!$B$3:$B$102,0),1)),0)&gt;1,1,0)</f>
        <v>0</v>
      </c>
      <c r="I90" s="218" t="str">
        <f>IF(OR(IFERROR(SEARCH("Strength",INDEX(T04_Classes!$BX$3:$BX$102,MATCH('C01_BaseCalculation'!C90,T04_Classes!$B$3:$B$102,0),1)),0)=0,AND(IFERROR(SEARCH("Strength",INDEX(T04_Classes!$BX$3:$BX$102,MATCH('C01_BaseCalculation'!C90,T04_Classes!$B$3:$B$102,0),1)),0)&gt;0,Strength&gt;12)),"yes","no")</f>
        <v>yes</v>
      </c>
      <c r="J90" s="218" t="str">
        <f>IF(OR(IFERROR(SEARCH("Dexterity",INDEX(T04_Classes!$BX$3:$BX$102,MATCH('C01_BaseCalculation'!C90,T04_Classes!$B$3:$B$102,0),1)),0)=0,AND(IFERROR(SEARCH("Dexterity",INDEX(T04_Classes!$BX$3:$BX$102,MATCH('C01_BaseCalculation'!C90,T04_Classes!$B$3:$B$102,0),1)),0)&gt;0,Dexterity&gt;12)),"yes","no")</f>
        <v>yes</v>
      </c>
      <c r="K90" s="218" t="str">
        <f>IF(OR(IFERROR(SEARCH("Constitution",INDEX(T04_Classes!$BX$3:$BX$102,MATCH('C01_BaseCalculation'!C90,T04_Classes!$B$3:$B$102,0),1)),0)=0,AND(IFERROR(SEARCH("Constitution",INDEX(T04_Classes!$BX$3:$BX$102,MATCH('C01_BaseCalculation'!C90,T04_Classes!$B$3:$B$102,0),1)),0)&gt;0,Constitution&gt;12)),"yes","no")</f>
        <v>yes</v>
      </c>
      <c r="L90" s="218" t="str">
        <f>IF(OR(IFERROR(SEARCH("Intelligence",INDEX(T04_Classes!$BX$3:$BX$102,MATCH('C01_BaseCalculation'!C90,T04_Classes!$B$3:$B$102,0),1)),0)=0,AND(IFERROR(SEARCH("Intelligence",INDEX(T04_Classes!$BX$3:$BX$102,MATCH('C01_BaseCalculation'!C90,T04_Classes!$B$3:$B$102,0),1)),0)&gt;0,Intelligence&gt;12)),"yes","no")</f>
        <v>yes</v>
      </c>
      <c r="M90" s="218" t="str">
        <f>IF(OR(IFERROR(SEARCH("Wisdom",INDEX(T04_Classes!$BX$3:$BX$102,MATCH('C01_BaseCalculation'!C90,T04_Classes!$B$3:$B$102,0),1)),0)=0,AND(IFERROR(SEARCH("Wisdom",INDEX(T04_Classes!$BX$3:$BX$102,MATCH('C01_BaseCalculation'!C90,T04_Classes!$B$3:$B$102,0),1)),0)&gt;0,Wisdom&gt;12)),"yes","no")</f>
        <v>yes</v>
      </c>
      <c r="N90" s="218" t="str">
        <f>IF(OR(IFERROR(SEARCH("Charisma",INDEX(T04_Classes!$BX$3:$BX$102,MATCH('C01_BaseCalculation'!C90,T04_Classes!$B$3:$B$102,0),1)),0)=0,AND(IFERROR(SEARCH("Charisma",INDEX(T04_Classes!$BX$3:$BX$102,MATCH('C01_BaseCalculation'!C90,T04_Classes!$B$3:$B$102,0),1)),0)&gt;0,Charisma&gt;12)),"yes","no")</f>
        <v>yes</v>
      </c>
      <c r="O90" s="218">
        <f t="shared" si="18"/>
        <v>0</v>
      </c>
      <c r="P90" s="218">
        <f>IF(O90=0,0,COUNTIF($P$15:P89,"&gt;0")+1)</f>
        <v>0</v>
      </c>
      <c r="R90" s="220" t="str">
        <f t="shared" si="21"/>
        <v/>
      </c>
      <c r="S90" s="220" t="str">
        <f t="shared" si="19"/>
        <v/>
      </c>
      <c r="X90" s="219" t="str">
        <f t="shared" si="22"/>
        <v/>
      </c>
      <c r="Y90" s="219" t="str">
        <f>IFERROR(INDEX(T01_Races!$B$2:$B$101,MATCH('C01_BaseCalculation'!X90,T01_Races!$C$2:$C$101,0),1),"")</f>
        <v/>
      </c>
      <c r="Z90" s="217" t="str">
        <f t="shared" si="23"/>
        <v/>
      </c>
      <c r="AA90" s="217" t="str">
        <f>IFERROR(IF(Z90="","",INDEX(T01_Races!$E$2:$E$101,MATCH('C01_BaseCalculation'!Z90,T01_Races!$D$2:$D$101,0),1)),"")</f>
        <v/>
      </c>
      <c r="AB90" s="217" t="str">
        <f>IFERROR(IF(Z90="","",INDEX(T01_Races!$A$2:$A$101,MATCH('C01_BaseCalculation'!Z90,T01_Races!$D$2:$D$101,0),1)),"")</f>
        <v/>
      </c>
    </row>
    <row r="91" spans="2:28" x14ac:dyDescent="0.3">
      <c r="B91" s="218" t="str">
        <f t="shared" si="20"/>
        <v/>
      </c>
      <c r="C91" s="218" t="str">
        <f>IFERROR(INDEX(T04_Classes!$B$3:$B$102,B91,1),"")</f>
        <v/>
      </c>
      <c r="D91" s="218" t="str">
        <f>IF(C91="","",COUNTIF(Character_Creation!$R$62:$T$71,C91)+COUNTIF(Character_Creation!$R$72:$T$81,C91))</f>
        <v/>
      </c>
      <c r="E91" s="218">
        <f t="shared" si="17"/>
        <v>0</v>
      </c>
      <c r="F91" s="218">
        <f>IF(E91=0,0,COUNTIF($F$15:F90,"&gt;0")+1)</f>
        <v>0</v>
      </c>
      <c r="G91" s="218">
        <f>IF(IFERROR(SEARCH("and",INDEX(T04_Classes!$BX$3:$BX$102,MATCH('C01_BaseCalculation'!C91,T04_Classes!$B$3:$B$102,0),1)),0)&gt;1,1,0)</f>
        <v>0</v>
      </c>
      <c r="H91" s="218">
        <f>IF(IFERROR(SEARCH("or",INDEX(T04_Classes!$BX$3:$BX$102,MATCH('C01_BaseCalculation'!C91,T04_Classes!$B$3:$B$102,0),1)),0)&gt;1,1,0)</f>
        <v>0</v>
      </c>
      <c r="I91" s="218" t="str">
        <f>IF(OR(IFERROR(SEARCH("Strength",INDEX(T04_Classes!$BX$3:$BX$102,MATCH('C01_BaseCalculation'!C91,T04_Classes!$B$3:$B$102,0),1)),0)=0,AND(IFERROR(SEARCH("Strength",INDEX(T04_Classes!$BX$3:$BX$102,MATCH('C01_BaseCalculation'!C91,T04_Classes!$B$3:$B$102,0),1)),0)&gt;0,Strength&gt;12)),"yes","no")</f>
        <v>yes</v>
      </c>
      <c r="J91" s="218" t="str">
        <f>IF(OR(IFERROR(SEARCH("Dexterity",INDEX(T04_Classes!$BX$3:$BX$102,MATCH('C01_BaseCalculation'!C91,T04_Classes!$B$3:$B$102,0),1)),0)=0,AND(IFERROR(SEARCH("Dexterity",INDEX(T04_Classes!$BX$3:$BX$102,MATCH('C01_BaseCalculation'!C91,T04_Classes!$B$3:$B$102,0),1)),0)&gt;0,Dexterity&gt;12)),"yes","no")</f>
        <v>yes</v>
      </c>
      <c r="K91" s="218" t="str">
        <f>IF(OR(IFERROR(SEARCH("Constitution",INDEX(T04_Classes!$BX$3:$BX$102,MATCH('C01_BaseCalculation'!C91,T04_Classes!$B$3:$B$102,0),1)),0)=0,AND(IFERROR(SEARCH("Constitution",INDEX(T04_Classes!$BX$3:$BX$102,MATCH('C01_BaseCalculation'!C91,T04_Classes!$B$3:$B$102,0),1)),0)&gt;0,Constitution&gt;12)),"yes","no")</f>
        <v>yes</v>
      </c>
      <c r="L91" s="218" t="str">
        <f>IF(OR(IFERROR(SEARCH("Intelligence",INDEX(T04_Classes!$BX$3:$BX$102,MATCH('C01_BaseCalculation'!C91,T04_Classes!$B$3:$B$102,0),1)),0)=0,AND(IFERROR(SEARCH("Intelligence",INDEX(T04_Classes!$BX$3:$BX$102,MATCH('C01_BaseCalculation'!C91,T04_Classes!$B$3:$B$102,0),1)),0)&gt;0,Intelligence&gt;12)),"yes","no")</f>
        <v>yes</v>
      </c>
      <c r="M91" s="218" t="str">
        <f>IF(OR(IFERROR(SEARCH("Wisdom",INDEX(T04_Classes!$BX$3:$BX$102,MATCH('C01_BaseCalculation'!C91,T04_Classes!$B$3:$B$102,0),1)),0)=0,AND(IFERROR(SEARCH("Wisdom",INDEX(T04_Classes!$BX$3:$BX$102,MATCH('C01_BaseCalculation'!C91,T04_Classes!$B$3:$B$102,0),1)),0)&gt;0,Wisdom&gt;12)),"yes","no")</f>
        <v>yes</v>
      </c>
      <c r="N91" s="218" t="str">
        <f>IF(OR(IFERROR(SEARCH("Charisma",INDEX(T04_Classes!$BX$3:$BX$102,MATCH('C01_BaseCalculation'!C91,T04_Classes!$B$3:$B$102,0),1)),0)=0,AND(IFERROR(SEARCH("Charisma",INDEX(T04_Classes!$BX$3:$BX$102,MATCH('C01_BaseCalculation'!C91,T04_Classes!$B$3:$B$102,0),1)),0)&gt;0,Charisma&gt;12)),"yes","no")</f>
        <v>yes</v>
      </c>
      <c r="O91" s="218">
        <f t="shared" si="18"/>
        <v>0</v>
      </c>
      <c r="P91" s="218">
        <f>IF(O91=0,0,COUNTIF($P$15:P90,"&gt;0")+1)</f>
        <v>0</v>
      </c>
      <c r="R91" s="220" t="str">
        <f t="shared" si="21"/>
        <v/>
      </c>
      <c r="S91" s="220" t="str">
        <f t="shared" si="19"/>
        <v/>
      </c>
      <c r="X91" s="219" t="str">
        <f t="shared" si="22"/>
        <v/>
      </c>
      <c r="Y91" s="219" t="str">
        <f>IFERROR(INDEX(T01_Races!$B$2:$B$101,MATCH('C01_BaseCalculation'!X91,T01_Races!$C$2:$C$101,0),1),"")</f>
        <v/>
      </c>
      <c r="Z91" s="217" t="str">
        <f t="shared" si="23"/>
        <v/>
      </c>
      <c r="AA91" s="217" t="str">
        <f>IFERROR(IF(Z91="","",INDEX(T01_Races!$E$2:$E$101,MATCH('C01_BaseCalculation'!Z91,T01_Races!$D$2:$D$101,0),1)),"")</f>
        <v/>
      </c>
      <c r="AB91" s="217" t="str">
        <f>IFERROR(IF(Z91="","",INDEX(T01_Races!$A$2:$A$101,MATCH('C01_BaseCalculation'!Z91,T01_Races!$D$2:$D$101,0),1)),"")</f>
        <v/>
      </c>
    </row>
    <row r="92" spans="2:28" x14ac:dyDescent="0.3">
      <c r="B92" s="218" t="str">
        <f t="shared" si="20"/>
        <v/>
      </c>
      <c r="C92" s="218" t="str">
        <f>IFERROR(INDEX(T04_Classes!$B$3:$B$102,B92,1),"")</f>
        <v/>
      </c>
      <c r="D92" s="218" t="str">
        <f>IF(C92="","",COUNTIF(Character_Creation!$R$62:$T$71,C92)+COUNTIF(Character_Creation!$R$72:$T$81,C92))</f>
        <v/>
      </c>
      <c r="E92" s="218">
        <f t="shared" si="17"/>
        <v>0</v>
      </c>
      <c r="F92" s="218">
        <f>IF(E92=0,0,COUNTIF($F$15:F91,"&gt;0")+1)</f>
        <v>0</v>
      </c>
      <c r="G92" s="218">
        <f>IF(IFERROR(SEARCH("and",INDEX(T04_Classes!$BX$3:$BX$102,MATCH('C01_BaseCalculation'!C92,T04_Classes!$B$3:$B$102,0),1)),0)&gt;1,1,0)</f>
        <v>0</v>
      </c>
      <c r="H92" s="218">
        <f>IF(IFERROR(SEARCH("or",INDEX(T04_Classes!$BX$3:$BX$102,MATCH('C01_BaseCalculation'!C92,T04_Classes!$B$3:$B$102,0),1)),0)&gt;1,1,0)</f>
        <v>0</v>
      </c>
      <c r="I92" s="218" t="str">
        <f>IF(OR(IFERROR(SEARCH("Strength",INDEX(T04_Classes!$BX$3:$BX$102,MATCH('C01_BaseCalculation'!C92,T04_Classes!$B$3:$B$102,0),1)),0)=0,AND(IFERROR(SEARCH("Strength",INDEX(T04_Classes!$BX$3:$BX$102,MATCH('C01_BaseCalculation'!C92,T04_Classes!$B$3:$B$102,0),1)),0)&gt;0,Strength&gt;12)),"yes","no")</f>
        <v>yes</v>
      </c>
      <c r="J92" s="218" t="str">
        <f>IF(OR(IFERROR(SEARCH("Dexterity",INDEX(T04_Classes!$BX$3:$BX$102,MATCH('C01_BaseCalculation'!C92,T04_Classes!$B$3:$B$102,0),1)),0)=0,AND(IFERROR(SEARCH("Dexterity",INDEX(T04_Classes!$BX$3:$BX$102,MATCH('C01_BaseCalculation'!C92,T04_Classes!$B$3:$B$102,0),1)),0)&gt;0,Dexterity&gt;12)),"yes","no")</f>
        <v>yes</v>
      </c>
      <c r="K92" s="218" t="str">
        <f>IF(OR(IFERROR(SEARCH("Constitution",INDEX(T04_Classes!$BX$3:$BX$102,MATCH('C01_BaseCalculation'!C92,T04_Classes!$B$3:$B$102,0),1)),0)=0,AND(IFERROR(SEARCH("Constitution",INDEX(T04_Classes!$BX$3:$BX$102,MATCH('C01_BaseCalculation'!C92,T04_Classes!$B$3:$B$102,0),1)),0)&gt;0,Constitution&gt;12)),"yes","no")</f>
        <v>yes</v>
      </c>
      <c r="L92" s="218" t="str">
        <f>IF(OR(IFERROR(SEARCH("Intelligence",INDEX(T04_Classes!$BX$3:$BX$102,MATCH('C01_BaseCalculation'!C92,T04_Classes!$B$3:$B$102,0),1)),0)=0,AND(IFERROR(SEARCH("Intelligence",INDEX(T04_Classes!$BX$3:$BX$102,MATCH('C01_BaseCalculation'!C92,T04_Classes!$B$3:$B$102,0),1)),0)&gt;0,Intelligence&gt;12)),"yes","no")</f>
        <v>yes</v>
      </c>
      <c r="M92" s="218" t="str">
        <f>IF(OR(IFERROR(SEARCH("Wisdom",INDEX(T04_Classes!$BX$3:$BX$102,MATCH('C01_BaseCalculation'!C92,T04_Classes!$B$3:$B$102,0),1)),0)=0,AND(IFERROR(SEARCH("Wisdom",INDEX(T04_Classes!$BX$3:$BX$102,MATCH('C01_BaseCalculation'!C92,T04_Classes!$B$3:$B$102,0),1)),0)&gt;0,Wisdom&gt;12)),"yes","no")</f>
        <v>yes</v>
      </c>
      <c r="N92" s="218" t="str">
        <f>IF(OR(IFERROR(SEARCH("Charisma",INDEX(T04_Classes!$BX$3:$BX$102,MATCH('C01_BaseCalculation'!C92,T04_Classes!$B$3:$B$102,0),1)),0)=0,AND(IFERROR(SEARCH("Charisma",INDEX(T04_Classes!$BX$3:$BX$102,MATCH('C01_BaseCalculation'!C92,T04_Classes!$B$3:$B$102,0),1)),0)&gt;0,Charisma&gt;12)),"yes","no")</f>
        <v>yes</v>
      </c>
      <c r="O92" s="218">
        <f t="shared" si="18"/>
        <v>0</v>
      </c>
      <c r="P92" s="218">
        <f>IF(O92=0,0,COUNTIF($P$15:P91,"&gt;0")+1)</f>
        <v>0</v>
      </c>
      <c r="R92" s="220" t="str">
        <f t="shared" si="21"/>
        <v/>
      </c>
      <c r="S92" s="220" t="str">
        <f t="shared" si="19"/>
        <v/>
      </c>
      <c r="X92" s="219" t="str">
        <f t="shared" si="22"/>
        <v/>
      </c>
      <c r="Y92" s="219" t="str">
        <f>IFERROR(INDEX(T01_Races!$B$2:$B$101,MATCH('C01_BaseCalculation'!X92,T01_Races!$C$2:$C$101,0),1),"")</f>
        <v/>
      </c>
      <c r="Z92" s="217" t="str">
        <f t="shared" si="23"/>
        <v/>
      </c>
      <c r="AA92" s="217" t="str">
        <f>IFERROR(IF(Z92="","",INDEX(T01_Races!$E$2:$E$101,MATCH('C01_BaseCalculation'!Z92,T01_Races!$D$2:$D$101,0),1)),"")</f>
        <v/>
      </c>
      <c r="AB92" s="217" t="str">
        <f>IFERROR(IF(Z92="","",INDEX(T01_Races!$A$2:$A$101,MATCH('C01_BaseCalculation'!Z92,T01_Races!$D$2:$D$101,0),1)),"")</f>
        <v/>
      </c>
    </row>
    <row r="93" spans="2:28" x14ac:dyDescent="0.3">
      <c r="B93" s="218" t="str">
        <f t="shared" si="20"/>
        <v/>
      </c>
      <c r="C93" s="218" t="str">
        <f>IFERROR(INDEX(T04_Classes!$B$3:$B$102,B93,1),"")</f>
        <v/>
      </c>
      <c r="D93" s="218" t="str">
        <f>IF(C93="","",COUNTIF(Character_Creation!$R$62:$T$71,C93)+COUNTIF(Character_Creation!$R$72:$T$81,C93))</f>
        <v/>
      </c>
      <c r="E93" s="218">
        <f t="shared" si="17"/>
        <v>0</v>
      </c>
      <c r="F93" s="218">
        <f>IF(E93=0,0,COUNTIF($F$15:F92,"&gt;0")+1)</f>
        <v>0</v>
      </c>
      <c r="G93" s="218">
        <f>IF(IFERROR(SEARCH("and",INDEX(T04_Classes!$BX$3:$BX$102,MATCH('C01_BaseCalculation'!C93,T04_Classes!$B$3:$B$102,0),1)),0)&gt;1,1,0)</f>
        <v>0</v>
      </c>
      <c r="H93" s="218">
        <f>IF(IFERROR(SEARCH("or",INDEX(T04_Classes!$BX$3:$BX$102,MATCH('C01_BaseCalculation'!C93,T04_Classes!$B$3:$B$102,0),1)),0)&gt;1,1,0)</f>
        <v>0</v>
      </c>
      <c r="I93" s="218" t="str">
        <f>IF(OR(IFERROR(SEARCH("Strength",INDEX(T04_Classes!$BX$3:$BX$102,MATCH('C01_BaseCalculation'!C93,T04_Classes!$B$3:$B$102,0),1)),0)=0,AND(IFERROR(SEARCH("Strength",INDEX(T04_Classes!$BX$3:$BX$102,MATCH('C01_BaseCalculation'!C93,T04_Classes!$B$3:$B$102,0),1)),0)&gt;0,Strength&gt;12)),"yes","no")</f>
        <v>yes</v>
      </c>
      <c r="J93" s="218" t="str">
        <f>IF(OR(IFERROR(SEARCH("Dexterity",INDEX(T04_Classes!$BX$3:$BX$102,MATCH('C01_BaseCalculation'!C93,T04_Classes!$B$3:$B$102,0),1)),0)=0,AND(IFERROR(SEARCH("Dexterity",INDEX(T04_Classes!$BX$3:$BX$102,MATCH('C01_BaseCalculation'!C93,T04_Classes!$B$3:$B$102,0),1)),0)&gt;0,Dexterity&gt;12)),"yes","no")</f>
        <v>yes</v>
      </c>
      <c r="K93" s="218" t="str">
        <f>IF(OR(IFERROR(SEARCH("Constitution",INDEX(T04_Classes!$BX$3:$BX$102,MATCH('C01_BaseCalculation'!C93,T04_Classes!$B$3:$B$102,0),1)),0)=0,AND(IFERROR(SEARCH("Constitution",INDEX(T04_Classes!$BX$3:$BX$102,MATCH('C01_BaseCalculation'!C93,T04_Classes!$B$3:$B$102,0),1)),0)&gt;0,Constitution&gt;12)),"yes","no")</f>
        <v>yes</v>
      </c>
      <c r="L93" s="218" t="str">
        <f>IF(OR(IFERROR(SEARCH("Intelligence",INDEX(T04_Classes!$BX$3:$BX$102,MATCH('C01_BaseCalculation'!C93,T04_Classes!$B$3:$B$102,0),1)),0)=0,AND(IFERROR(SEARCH("Intelligence",INDEX(T04_Classes!$BX$3:$BX$102,MATCH('C01_BaseCalculation'!C93,T04_Classes!$B$3:$B$102,0),1)),0)&gt;0,Intelligence&gt;12)),"yes","no")</f>
        <v>yes</v>
      </c>
      <c r="M93" s="218" t="str">
        <f>IF(OR(IFERROR(SEARCH("Wisdom",INDEX(T04_Classes!$BX$3:$BX$102,MATCH('C01_BaseCalculation'!C93,T04_Classes!$B$3:$B$102,0),1)),0)=0,AND(IFERROR(SEARCH("Wisdom",INDEX(T04_Classes!$BX$3:$BX$102,MATCH('C01_BaseCalculation'!C93,T04_Classes!$B$3:$B$102,0),1)),0)&gt;0,Wisdom&gt;12)),"yes","no")</f>
        <v>yes</v>
      </c>
      <c r="N93" s="218" t="str">
        <f>IF(OR(IFERROR(SEARCH("Charisma",INDEX(T04_Classes!$BX$3:$BX$102,MATCH('C01_BaseCalculation'!C93,T04_Classes!$B$3:$B$102,0),1)),0)=0,AND(IFERROR(SEARCH("Charisma",INDEX(T04_Classes!$BX$3:$BX$102,MATCH('C01_BaseCalculation'!C93,T04_Classes!$B$3:$B$102,0),1)),0)&gt;0,Charisma&gt;12)),"yes","no")</f>
        <v>yes</v>
      </c>
      <c r="O93" s="218">
        <f t="shared" si="18"/>
        <v>0</v>
      </c>
      <c r="P93" s="218">
        <f>IF(O93=0,0,COUNTIF($P$15:P92,"&gt;0")+1)</f>
        <v>0</v>
      </c>
      <c r="R93" s="220" t="str">
        <f t="shared" si="21"/>
        <v/>
      </c>
      <c r="S93" s="220" t="str">
        <f t="shared" si="19"/>
        <v/>
      </c>
      <c r="X93" s="219" t="str">
        <f t="shared" si="22"/>
        <v/>
      </c>
      <c r="Y93" s="219" t="str">
        <f>IFERROR(INDEX(T01_Races!$B$2:$B$101,MATCH('C01_BaseCalculation'!X93,T01_Races!$C$2:$C$101,0),1),"")</f>
        <v/>
      </c>
      <c r="Z93" s="217" t="str">
        <f t="shared" si="23"/>
        <v/>
      </c>
      <c r="AA93" s="217" t="str">
        <f>IFERROR(IF(Z93="","",INDEX(T01_Races!$E$2:$E$101,MATCH('C01_BaseCalculation'!Z93,T01_Races!$D$2:$D$101,0),1)),"")</f>
        <v/>
      </c>
      <c r="AB93" s="217" t="str">
        <f>IFERROR(IF(Z93="","",INDEX(T01_Races!$A$2:$A$101,MATCH('C01_BaseCalculation'!Z93,T01_Races!$D$2:$D$101,0),1)),"")</f>
        <v/>
      </c>
    </row>
    <row r="94" spans="2:28" x14ac:dyDescent="0.3">
      <c r="B94" s="218" t="str">
        <f t="shared" si="20"/>
        <v/>
      </c>
      <c r="C94" s="218" t="str">
        <f>IFERROR(INDEX(T04_Classes!$B$3:$B$102,B94,1),"")</f>
        <v/>
      </c>
      <c r="D94" s="218" t="str">
        <f>IF(C94="","",COUNTIF(Character_Creation!$R$62:$T$71,C94)+COUNTIF(Character_Creation!$R$72:$T$81,C94))</f>
        <v/>
      </c>
      <c r="E94" s="218">
        <f t="shared" si="17"/>
        <v>0</v>
      </c>
      <c r="F94" s="218">
        <f>IF(E94=0,0,COUNTIF($F$15:F93,"&gt;0")+1)</f>
        <v>0</v>
      </c>
      <c r="G94" s="218">
        <f>IF(IFERROR(SEARCH("and",INDEX(T04_Classes!$BX$3:$BX$102,MATCH('C01_BaseCalculation'!C94,T04_Classes!$B$3:$B$102,0),1)),0)&gt;1,1,0)</f>
        <v>0</v>
      </c>
      <c r="H94" s="218">
        <f>IF(IFERROR(SEARCH("or",INDEX(T04_Classes!$BX$3:$BX$102,MATCH('C01_BaseCalculation'!C94,T04_Classes!$B$3:$B$102,0),1)),0)&gt;1,1,0)</f>
        <v>0</v>
      </c>
      <c r="I94" s="218" t="str">
        <f>IF(OR(IFERROR(SEARCH("Strength",INDEX(T04_Classes!$BX$3:$BX$102,MATCH('C01_BaseCalculation'!C94,T04_Classes!$B$3:$B$102,0),1)),0)=0,AND(IFERROR(SEARCH("Strength",INDEX(T04_Classes!$BX$3:$BX$102,MATCH('C01_BaseCalculation'!C94,T04_Classes!$B$3:$B$102,0),1)),0)&gt;0,Strength&gt;12)),"yes","no")</f>
        <v>yes</v>
      </c>
      <c r="J94" s="218" t="str">
        <f>IF(OR(IFERROR(SEARCH("Dexterity",INDEX(T04_Classes!$BX$3:$BX$102,MATCH('C01_BaseCalculation'!C94,T04_Classes!$B$3:$B$102,0),1)),0)=0,AND(IFERROR(SEARCH("Dexterity",INDEX(T04_Classes!$BX$3:$BX$102,MATCH('C01_BaseCalculation'!C94,T04_Classes!$B$3:$B$102,0),1)),0)&gt;0,Dexterity&gt;12)),"yes","no")</f>
        <v>yes</v>
      </c>
      <c r="K94" s="218" t="str">
        <f>IF(OR(IFERROR(SEARCH("Constitution",INDEX(T04_Classes!$BX$3:$BX$102,MATCH('C01_BaseCalculation'!C94,T04_Classes!$B$3:$B$102,0),1)),0)=0,AND(IFERROR(SEARCH("Constitution",INDEX(T04_Classes!$BX$3:$BX$102,MATCH('C01_BaseCalculation'!C94,T04_Classes!$B$3:$B$102,0),1)),0)&gt;0,Constitution&gt;12)),"yes","no")</f>
        <v>yes</v>
      </c>
      <c r="L94" s="218" t="str">
        <f>IF(OR(IFERROR(SEARCH("Intelligence",INDEX(T04_Classes!$BX$3:$BX$102,MATCH('C01_BaseCalculation'!C94,T04_Classes!$B$3:$B$102,0),1)),0)=0,AND(IFERROR(SEARCH("Intelligence",INDEX(T04_Classes!$BX$3:$BX$102,MATCH('C01_BaseCalculation'!C94,T04_Classes!$B$3:$B$102,0),1)),0)&gt;0,Intelligence&gt;12)),"yes","no")</f>
        <v>yes</v>
      </c>
      <c r="M94" s="218" t="str">
        <f>IF(OR(IFERROR(SEARCH("Wisdom",INDEX(T04_Classes!$BX$3:$BX$102,MATCH('C01_BaseCalculation'!C94,T04_Classes!$B$3:$B$102,0),1)),0)=0,AND(IFERROR(SEARCH("Wisdom",INDEX(T04_Classes!$BX$3:$BX$102,MATCH('C01_BaseCalculation'!C94,T04_Classes!$B$3:$B$102,0),1)),0)&gt;0,Wisdom&gt;12)),"yes","no")</f>
        <v>yes</v>
      </c>
      <c r="N94" s="218" t="str">
        <f>IF(OR(IFERROR(SEARCH("Charisma",INDEX(T04_Classes!$BX$3:$BX$102,MATCH('C01_BaseCalculation'!C94,T04_Classes!$B$3:$B$102,0),1)),0)=0,AND(IFERROR(SEARCH("Charisma",INDEX(T04_Classes!$BX$3:$BX$102,MATCH('C01_BaseCalculation'!C94,T04_Classes!$B$3:$B$102,0),1)),0)&gt;0,Charisma&gt;12)),"yes","no")</f>
        <v>yes</v>
      </c>
      <c r="O94" s="218">
        <f t="shared" si="18"/>
        <v>0</v>
      </c>
      <c r="P94" s="218">
        <f>IF(O94=0,0,COUNTIF($P$15:P93,"&gt;0")+1)</f>
        <v>0</v>
      </c>
      <c r="R94" s="220" t="str">
        <f t="shared" si="21"/>
        <v/>
      </c>
      <c r="S94" s="220" t="str">
        <f t="shared" si="19"/>
        <v/>
      </c>
      <c r="X94" s="219" t="str">
        <f t="shared" si="22"/>
        <v/>
      </c>
      <c r="Y94" s="219" t="str">
        <f>IFERROR(INDEX(T01_Races!$B$2:$B$101,MATCH('C01_BaseCalculation'!X94,T01_Races!$C$2:$C$101,0),1),"")</f>
        <v/>
      </c>
      <c r="Z94" s="217" t="str">
        <f t="shared" si="23"/>
        <v/>
      </c>
      <c r="AA94" s="217" t="str">
        <f>IFERROR(IF(Z94="","",INDEX(T01_Races!$E$2:$E$101,MATCH('C01_BaseCalculation'!Z94,T01_Races!$D$2:$D$101,0),1)),"")</f>
        <v/>
      </c>
      <c r="AB94" s="217" t="str">
        <f>IFERROR(IF(Z94="","",INDEX(T01_Races!$A$2:$A$101,MATCH('C01_BaseCalculation'!Z94,T01_Races!$D$2:$D$101,0),1)),"")</f>
        <v/>
      </c>
    </row>
    <row r="95" spans="2:28" x14ac:dyDescent="0.3">
      <c r="B95" s="218" t="str">
        <f t="shared" si="20"/>
        <v/>
      </c>
      <c r="C95" s="218" t="str">
        <f>IFERROR(INDEX(T04_Classes!$B$3:$B$102,B95,1),"")</f>
        <v/>
      </c>
      <c r="D95" s="218" t="str">
        <f>IF(C95="","",COUNTIF(Character_Creation!$R$62:$T$71,C95)+COUNTIF(Character_Creation!$R$72:$T$81,C95))</f>
        <v/>
      </c>
      <c r="E95" s="218">
        <f t="shared" si="17"/>
        <v>0</v>
      </c>
      <c r="F95" s="218">
        <f>IF(E95=0,0,COUNTIF($F$15:F94,"&gt;0")+1)</f>
        <v>0</v>
      </c>
      <c r="G95" s="218">
        <f>IF(IFERROR(SEARCH("and",INDEX(T04_Classes!$BX$3:$BX$102,MATCH('C01_BaseCalculation'!C95,T04_Classes!$B$3:$B$102,0),1)),0)&gt;1,1,0)</f>
        <v>0</v>
      </c>
      <c r="H95" s="218">
        <f>IF(IFERROR(SEARCH("or",INDEX(T04_Classes!$BX$3:$BX$102,MATCH('C01_BaseCalculation'!C95,T04_Classes!$B$3:$B$102,0),1)),0)&gt;1,1,0)</f>
        <v>0</v>
      </c>
      <c r="I95" s="218" t="str">
        <f>IF(OR(IFERROR(SEARCH("Strength",INDEX(T04_Classes!$BX$3:$BX$102,MATCH('C01_BaseCalculation'!C95,T04_Classes!$B$3:$B$102,0),1)),0)=0,AND(IFERROR(SEARCH("Strength",INDEX(T04_Classes!$BX$3:$BX$102,MATCH('C01_BaseCalculation'!C95,T04_Classes!$B$3:$B$102,0),1)),0)&gt;0,Strength&gt;12)),"yes","no")</f>
        <v>yes</v>
      </c>
      <c r="J95" s="218" t="str">
        <f>IF(OR(IFERROR(SEARCH("Dexterity",INDEX(T04_Classes!$BX$3:$BX$102,MATCH('C01_BaseCalculation'!C95,T04_Classes!$B$3:$B$102,0),1)),0)=0,AND(IFERROR(SEARCH("Dexterity",INDEX(T04_Classes!$BX$3:$BX$102,MATCH('C01_BaseCalculation'!C95,T04_Classes!$B$3:$B$102,0),1)),0)&gt;0,Dexterity&gt;12)),"yes","no")</f>
        <v>yes</v>
      </c>
      <c r="K95" s="218" t="str">
        <f>IF(OR(IFERROR(SEARCH("Constitution",INDEX(T04_Classes!$BX$3:$BX$102,MATCH('C01_BaseCalculation'!C95,T04_Classes!$B$3:$B$102,0),1)),0)=0,AND(IFERROR(SEARCH("Constitution",INDEX(T04_Classes!$BX$3:$BX$102,MATCH('C01_BaseCalculation'!C95,T04_Classes!$B$3:$B$102,0),1)),0)&gt;0,Constitution&gt;12)),"yes","no")</f>
        <v>yes</v>
      </c>
      <c r="L95" s="218" t="str">
        <f>IF(OR(IFERROR(SEARCH("Intelligence",INDEX(T04_Classes!$BX$3:$BX$102,MATCH('C01_BaseCalculation'!C95,T04_Classes!$B$3:$B$102,0),1)),0)=0,AND(IFERROR(SEARCH("Intelligence",INDEX(T04_Classes!$BX$3:$BX$102,MATCH('C01_BaseCalculation'!C95,T04_Classes!$B$3:$B$102,0),1)),0)&gt;0,Intelligence&gt;12)),"yes","no")</f>
        <v>yes</v>
      </c>
      <c r="M95" s="218" t="str">
        <f>IF(OR(IFERROR(SEARCH("Wisdom",INDEX(T04_Classes!$BX$3:$BX$102,MATCH('C01_BaseCalculation'!C95,T04_Classes!$B$3:$B$102,0),1)),0)=0,AND(IFERROR(SEARCH("Wisdom",INDEX(T04_Classes!$BX$3:$BX$102,MATCH('C01_BaseCalculation'!C95,T04_Classes!$B$3:$B$102,0),1)),0)&gt;0,Wisdom&gt;12)),"yes","no")</f>
        <v>yes</v>
      </c>
      <c r="N95" s="218" t="str">
        <f>IF(OR(IFERROR(SEARCH("Charisma",INDEX(T04_Classes!$BX$3:$BX$102,MATCH('C01_BaseCalculation'!C95,T04_Classes!$B$3:$B$102,0),1)),0)=0,AND(IFERROR(SEARCH("Charisma",INDEX(T04_Classes!$BX$3:$BX$102,MATCH('C01_BaseCalculation'!C95,T04_Classes!$B$3:$B$102,0),1)),0)&gt;0,Charisma&gt;12)),"yes","no")</f>
        <v>yes</v>
      </c>
      <c r="O95" s="218">
        <f t="shared" si="18"/>
        <v>0</v>
      </c>
      <c r="P95" s="218">
        <f>IF(O95=0,0,COUNTIF($P$15:P94,"&gt;0")+1)</f>
        <v>0</v>
      </c>
      <c r="R95" s="220" t="str">
        <f t="shared" si="21"/>
        <v/>
      </c>
      <c r="S95" s="220" t="str">
        <f t="shared" si="19"/>
        <v/>
      </c>
      <c r="X95" s="219" t="str">
        <f t="shared" si="22"/>
        <v/>
      </c>
      <c r="Y95" s="219" t="str">
        <f>IFERROR(INDEX(T01_Races!$B$2:$B$101,MATCH('C01_BaseCalculation'!X95,T01_Races!$C$2:$C$101,0),1),"")</f>
        <v/>
      </c>
      <c r="Z95" s="217" t="str">
        <f t="shared" si="23"/>
        <v/>
      </c>
      <c r="AA95" s="217" t="str">
        <f>IFERROR(IF(Z95="","",INDEX(T01_Races!$E$2:$E$101,MATCH('C01_BaseCalculation'!Z95,T01_Races!$D$2:$D$101,0),1)),"")</f>
        <v/>
      </c>
      <c r="AB95" s="217" t="str">
        <f>IFERROR(IF(Z95="","",INDEX(T01_Races!$A$2:$A$101,MATCH('C01_BaseCalculation'!Z95,T01_Races!$D$2:$D$101,0),1)),"")</f>
        <v/>
      </c>
    </row>
    <row r="96" spans="2:28" x14ac:dyDescent="0.3">
      <c r="B96" s="218" t="str">
        <f t="shared" si="20"/>
        <v/>
      </c>
      <c r="C96" s="218" t="str">
        <f>IFERROR(INDEX(T04_Classes!$B$3:$B$102,B96,1),"")</f>
        <v/>
      </c>
      <c r="D96" s="218" t="str">
        <f>IF(C96="","",COUNTIF(Character_Creation!$R$62:$T$71,C96)+COUNTIF(Character_Creation!$R$72:$T$81,C96))</f>
        <v/>
      </c>
      <c r="E96" s="218">
        <f t="shared" si="17"/>
        <v>0</v>
      </c>
      <c r="F96" s="218">
        <f>IF(E96=0,0,COUNTIF($F$15:F95,"&gt;0")+1)</f>
        <v>0</v>
      </c>
      <c r="G96" s="218">
        <f>IF(IFERROR(SEARCH("and",INDEX(T04_Classes!$BX$3:$BX$102,MATCH('C01_BaseCalculation'!C96,T04_Classes!$B$3:$B$102,0),1)),0)&gt;1,1,0)</f>
        <v>0</v>
      </c>
      <c r="H96" s="218">
        <f>IF(IFERROR(SEARCH("or",INDEX(T04_Classes!$BX$3:$BX$102,MATCH('C01_BaseCalculation'!C96,T04_Classes!$B$3:$B$102,0),1)),0)&gt;1,1,0)</f>
        <v>0</v>
      </c>
      <c r="I96" s="218" t="str">
        <f>IF(OR(IFERROR(SEARCH("Strength",INDEX(T04_Classes!$BX$3:$BX$102,MATCH('C01_BaseCalculation'!C96,T04_Classes!$B$3:$B$102,0),1)),0)=0,AND(IFERROR(SEARCH("Strength",INDEX(T04_Classes!$BX$3:$BX$102,MATCH('C01_BaseCalculation'!C96,T04_Classes!$B$3:$B$102,0),1)),0)&gt;0,Strength&gt;12)),"yes","no")</f>
        <v>yes</v>
      </c>
      <c r="J96" s="218" t="str">
        <f>IF(OR(IFERROR(SEARCH("Dexterity",INDEX(T04_Classes!$BX$3:$BX$102,MATCH('C01_BaseCalculation'!C96,T04_Classes!$B$3:$B$102,0),1)),0)=0,AND(IFERROR(SEARCH("Dexterity",INDEX(T04_Classes!$BX$3:$BX$102,MATCH('C01_BaseCalculation'!C96,T04_Classes!$B$3:$B$102,0),1)),0)&gt;0,Dexterity&gt;12)),"yes","no")</f>
        <v>yes</v>
      </c>
      <c r="K96" s="218" t="str">
        <f>IF(OR(IFERROR(SEARCH("Constitution",INDEX(T04_Classes!$BX$3:$BX$102,MATCH('C01_BaseCalculation'!C96,T04_Classes!$B$3:$B$102,0),1)),0)=0,AND(IFERROR(SEARCH("Constitution",INDEX(T04_Classes!$BX$3:$BX$102,MATCH('C01_BaseCalculation'!C96,T04_Classes!$B$3:$B$102,0),1)),0)&gt;0,Constitution&gt;12)),"yes","no")</f>
        <v>yes</v>
      </c>
      <c r="L96" s="218" t="str">
        <f>IF(OR(IFERROR(SEARCH("Intelligence",INDEX(T04_Classes!$BX$3:$BX$102,MATCH('C01_BaseCalculation'!C96,T04_Classes!$B$3:$B$102,0),1)),0)=0,AND(IFERROR(SEARCH("Intelligence",INDEX(T04_Classes!$BX$3:$BX$102,MATCH('C01_BaseCalculation'!C96,T04_Classes!$B$3:$B$102,0),1)),0)&gt;0,Intelligence&gt;12)),"yes","no")</f>
        <v>yes</v>
      </c>
      <c r="M96" s="218" t="str">
        <f>IF(OR(IFERROR(SEARCH("Wisdom",INDEX(T04_Classes!$BX$3:$BX$102,MATCH('C01_BaseCalculation'!C96,T04_Classes!$B$3:$B$102,0),1)),0)=0,AND(IFERROR(SEARCH("Wisdom",INDEX(T04_Classes!$BX$3:$BX$102,MATCH('C01_BaseCalculation'!C96,T04_Classes!$B$3:$B$102,0),1)),0)&gt;0,Wisdom&gt;12)),"yes","no")</f>
        <v>yes</v>
      </c>
      <c r="N96" s="218" t="str">
        <f>IF(OR(IFERROR(SEARCH("Charisma",INDEX(T04_Classes!$BX$3:$BX$102,MATCH('C01_BaseCalculation'!C96,T04_Classes!$B$3:$B$102,0),1)),0)=0,AND(IFERROR(SEARCH("Charisma",INDEX(T04_Classes!$BX$3:$BX$102,MATCH('C01_BaseCalculation'!C96,T04_Classes!$B$3:$B$102,0),1)),0)&gt;0,Charisma&gt;12)),"yes","no")</f>
        <v>yes</v>
      </c>
      <c r="O96" s="218">
        <f t="shared" si="18"/>
        <v>0</v>
      </c>
      <c r="P96" s="218">
        <f>IF(O96=0,0,COUNTIF($P$15:P95,"&gt;0")+1)</f>
        <v>0</v>
      </c>
      <c r="R96" s="220" t="str">
        <f t="shared" si="21"/>
        <v/>
      </c>
      <c r="S96" s="220" t="str">
        <f t="shared" si="19"/>
        <v/>
      </c>
      <c r="X96" s="219" t="str">
        <f t="shared" si="22"/>
        <v/>
      </c>
      <c r="Y96" s="219" t="str">
        <f>IFERROR(INDEX(T01_Races!$B$2:$B$101,MATCH('C01_BaseCalculation'!X96,T01_Races!$C$2:$C$101,0),1),"")</f>
        <v/>
      </c>
      <c r="Z96" s="217" t="str">
        <f t="shared" si="23"/>
        <v/>
      </c>
      <c r="AA96" s="217" t="str">
        <f>IFERROR(IF(Z96="","",INDEX(T01_Races!$E$2:$E$101,MATCH('C01_BaseCalculation'!Z96,T01_Races!$D$2:$D$101,0),1)),"")</f>
        <v/>
      </c>
      <c r="AB96" s="217" t="str">
        <f>IFERROR(IF(Z96="","",INDEX(T01_Races!$A$2:$A$101,MATCH('C01_BaseCalculation'!Z96,T01_Races!$D$2:$D$101,0),1)),"")</f>
        <v/>
      </c>
    </row>
    <row r="97" spans="1:28" x14ac:dyDescent="0.3">
      <c r="B97" s="218" t="str">
        <f t="shared" si="20"/>
        <v/>
      </c>
      <c r="C97" s="218" t="str">
        <f>IFERROR(INDEX(T04_Classes!$B$3:$B$102,B97,1),"")</f>
        <v/>
      </c>
      <c r="D97" s="218" t="str">
        <f>IF(C97="","",COUNTIF(Character_Creation!$R$62:$T$71,C97)+COUNTIF(Character_Creation!$R$72:$T$81,C97))</f>
        <v/>
      </c>
      <c r="E97" s="218">
        <f t="shared" si="17"/>
        <v>0</v>
      </c>
      <c r="F97" s="218">
        <f>IF(E97=0,0,COUNTIF($F$15:F96,"&gt;0")+1)</f>
        <v>0</v>
      </c>
      <c r="G97" s="218">
        <f>IF(IFERROR(SEARCH("and",INDEX(T04_Classes!$BX$3:$BX$102,MATCH('C01_BaseCalculation'!C97,T04_Classes!$B$3:$B$102,0),1)),0)&gt;1,1,0)</f>
        <v>0</v>
      </c>
      <c r="H97" s="218">
        <f>IF(IFERROR(SEARCH("or",INDEX(T04_Classes!$BX$3:$BX$102,MATCH('C01_BaseCalculation'!C97,T04_Classes!$B$3:$B$102,0),1)),0)&gt;1,1,0)</f>
        <v>0</v>
      </c>
      <c r="I97" s="218" t="str">
        <f>IF(OR(IFERROR(SEARCH("Strength",INDEX(T04_Classes!$BX$3:$BX$102,MATCH('C01_BaseCalculation'!C97,T04_Classes!$B$3:$B$102,0),1)),0)=0,AND(IFERROR(SEARCH("Strength",INDEX(T04_Classes!$BX$3:$BX$102,MATCH('C01_BaseCalculation'!C97,T04_Classes!$B$3:$B$102,0),1)),0)&gt;0,Strength&gt;12)),"yes","no")</f>
        <v>yes</v>
      </c>
      <c r="J97" s="218" t="str">
        <f>IF(OR(IFERROR(SEARCH("Dexterity",INDEX(T04_Classes!$BX$3:$BX$102,MATCH('C01_BaseCalculation'!C97,T04_Classes!$B$3:$B$102,0),1)),0)=0,AND(IFERROR(SEARCH("Dexterity",INDEX(T04_Classes!$BX$3:$BX$102,MATCH('C01_BaseCalculation'!C97,T04_Classes!$B$3:$B$102,0),1)),0)&gt;0,Dexterity&gt;12)),"yes","no")</f>
        <v>yes</v>
      </c>
      <c r="K97" s="218" t="str">
        <f>IF(OR(IFERROR(SEARCH("Constitution",INDEX(T04_Classes!$BX$3:$BX$102,MATCH('C01_BaseCalculation'!C97,T04_Classes!$B$3:$B$102,0),1)),0)=0,AND(IFERROR(SEARCH("Constitution",INDEX(T04_Classes!$BX$3:$BX$102,MATCH('C01_BaseCalculation'!C97,T04_Classes!$B$3:$B$102,0),1)),0)&gt;0,Constitution&gt;12)),"yes","no")</f>
        <v>yes</v>
      </c>
      <c r="L97" s="218" t="str">
        <f>IF(OR(IFERROR(SEARCH("Intelligence",INDEX(T04_Classes!$BX$3:$BX$102,MATCH('C01_BaseCalculation'!C97,T04_Classes!$B$3:$B$102,0),1)),0)=0,AND(IFERROR(SEARCH("Intelligence",INDEX(T04_Classes!$BX$3:$BX$102,MATCH('C01_BaseCalculation'!C97,T04_Classes!$B$3:$B$102,0),1)),0)&gt;0,Intelligence&gt;12)),"yes","no")</f>
        <v>yes</v>
      </c>
      <c r="M97" s="218" t="str">
        <f>IF(OR(IFERROR(SEARCH("Wisdom",INDEX(T04_Classes!$BX$3:$BX$102,MATCH('C01_BaseCalculation'!C97,T04_Classes!$B$3:$B$102,0),1)),0)=0,AND(IFERROR(SEARCH("Wisdom",INDEX(T04_Classes!$BX$3:$BX$102,MATCH('C01_BaseCalculation'!C97,T04_Classes!$B$3:$B$102,0),1)),0)&gt;0,Wisdom&gt;12)),"yes","no")</f>
        <v>yes</v>
      </c>
      <c r="N97" s="218" t="str">
        <f>IF(OR(IFERROR(SEARCH("Charisma",INDEX(T04_Classes!$BX$3:$BX$102,MATCH('C01_BaseCalculation'!C97,T04_Classes!$B$3:$B$102,0),1)),0)=0,AND(IFERROR(SEARCH("Charisma",INDEX(T04_Classes!$BX$3:$BX$102,MATCH('C01_BaseCalculation'!C97,T04_Classes!$B$3:$B$102,0),1)),0)&gt;0,Charisma&gt;12)),"yes","no")</f>
        <v>yes</v>
      </c>
      <c r="O97" s="218">
        <f t="shared" si="18"/>
        <v>0</v>
      </c>
      <c r="P97" s="218">
        <f>IF(O97=0,0,COUNTIF($P$15:P96,"&gt;0")+1)</f>
        <v>0</v>
      </c>
      <c r="R97" s="220" t="str">
        <f t="shared" si="21"/>
        <v/>
      </c>
      <c r="S97" s="220" t="str">
        <f t="shared" si="19"/>
        <v/>
      </c>
      <c r="X97" s="219" t="str">
        <f t="shared" si="22"/>
        <v/>
      </c>
      <c r="Y97" s="219" t="str">
        <f>IFERROR(INDEX(T01_Races!$B$2:$B$101,MATCH('C01_BaseCalculation'!X97,T01_Races!$C$2:$C$101,0),1),"")</f>
        <v/>
      </c>
      <c r="Z97" s="217" t="str">
        <f t="shared" si="23"/>
        <v/>
      </c>
      <c r="AA97" s="217" t="str">
        <f>IFERROR(IF(Z97="","",INDEX(T01_Races!$E$2:$E$101,MATCH('C01_BaseCalculation'!Z97,T01_Races!$D$2:$D$101,0),1)),"")</f>
        <v/>
      </c>
      <c r="AB97" s="217" t="str">
        <f>IFERROR(IF(Z97="","",INDEX(T01_Races!$A$2:$A$101,MATCH('C01_BaseCalculation'!Z97,T01_Races!$D$2:$D$101,0),1)),"")</f>
        <v/>
      </c>
    </row>
    <row r="98" spans="1:28" x14ac:dyDescent="0.3">
      <c r="B98" s="218" t="str">
        <f t="shared" si="20"/>
        <v/>
      </c>
      <c r="C98" s="218" t="str">
        <f>IFERROR(INDEX(T04_Classes!$B$3:$B$102,B98,1),"")</f>
        <v/>
      </c>
      <c r="D98" s="218" t="str">
        <f>IF(C98="","",COUNTIF(Character_Creation!$R$62:$T$71,C98)+COUNTIF(Character_Creation!$R$72:$T$81,C98))</f>
        <v/>
      </c>
      <c r="E98" s="218">
        <f t="shared" si="17"/>
        <v>0</v>
      </c>
      <c r="F98" s="218">
        <f>IF(E98=0,0,COUNTIF($F$15:F97,"&gt;0")+1)</f>
        <v>0</v>
      </c>
      <c r="G98" s="218">
        <f>IF(IFERROR(SEARCH("and",INDEX(T04_Classes!$BX$3:$BX$102,MATCH('C01_BaseCalculation'!C98,T04_Classes!$B$3:$B$102,0),1)),0)&gt;1,1,0)</f>
        <v>0</v>
      </c>
      <c r="H98" s="218">
        <f>IF(IFERROR(SEARCH("or",INDEX(T04_Classes!$BX$3:$BX$102,MATCH('C01_BaseCalculation'!C98,T04_Classes!$B$3:$B$102,0),1)),0)&gt;1,1,0)</f>
        <v>0</v>
      </c>
      <c r="I98" s="218" t="str">
        <f>IF(OR(IFERROR(SEARCH("Strength",INDEX(T04_Classes!$BX$3:$BX$102,MATCH('C01_BaseCalculation'!C98,T04_Classes!$B$3:$B$102,0),1)),0)=0,AND(IFERROR(SEARCH("Strength",INDEX(T04_Classes!$BX$3:$BX$102,MATCH('C01_BaseCalculation'!C98,T04_Classes!$B$3:$B$102,0),1)),0)&gt;0,Strength&gt;12)),"yes","no")</f>
        <v>yes</v>
      </c>
      <c r="J98" s="218" t="str">
        <f>IF(OR(IFERROR(SEARCH("Dexterity",INDEX(T04_Classes!$BX$3:$BX$102,MATCH('C01_BaseCalculation'!C98,T04_Classes!$B$3:$B$102,0),1)),0)=0,AND(IFERROR(SEARCH("Dexterity",INDEX(T04_Classes!$BX$3:$BX$102,MATCH('C01_BaseCalculation'!C98,T04_Classes!$B$3:$B$102,0),1)),0)&gt;0,Dexterity&gt;12)),"yes","no")</f>
        <v>yes</v>
      </c>
      <c r="K98" s="218" t="str">
        <f>IF(OR(IFERROR(SEARCH("Constitution",INDEX(T04_Classes!$BX$3:$BX$102,MATCH('C01_BaseCalculation'!C98,T04_Classes!$B$3:$B$102,0),1)),0)=0,AND(IFERROR(SEARCH("Constitution",INDEX(T04_Classes!$BX$3:$BX$102,MATCH('C01_BaseCalculation'!C98,T04_Classes!$B$3:$B$102,0),1)),0)&gt;0,Constitution&gt;12)),"yes","no")</f>
        <v>yes</v>
      </c>
      <c r="L98" s="218" t="str">
        <f>IF(OR(IFERROR(SEARCH("Intelligence",INDEX(T04_Classes!$BX$3:$BX$102,MATCH('C01_BaseCalculation'!C98,T04_Classes!$B$3:$B$102,0),1)),0)=0,AND(IFERROR(SEARCH("Intelligence",INDEX(T04_Classes!$BX$3:$BX$102,MATCH('C01_BaseCalculation'!C98,T04_Classes!$B$3:$B$102,0),1)),0)&gt;0,Intelligence&gt;12)),"yes","no")</f>
        <v>yes</v>
      </c>
      <c r="M98" s="218" t="str">
        <f>IF(OR(IFERROR(SEARCH("Wisdom",INDEX(T04_Classes!$BX$3:$BX$102,MATCH('C01_BaseCalculation'!C98,T04_Classes!$B$3:$B$102,0),1)),0)=0,AND(IFERROR(SEARCH("Wisdom",INDEX(T04_Classes!$BX$3:$BX$102,MATCH('C01_BaseCalculation'!C98,T04_Classes!$B$3:$B$102,0),1)),0)&gt;0,Wisdom&gt;12)),"yes","no")</f>
        <v>yes</v>
      </c>
      <c r="N98" s="218" t="str">
        <f>IF(OR(IFERROR(SEARCH("Charisma",INDEX(T04_Classes!$BX$3:$BX$102,MATCH('C01_BaseCalculation'!C98,T04_Classes!$B$3:$B$102,0),1)),0)=0,AND(IFERROR(SEARCH("Charisma",INDEX(T04_Classes!$BX$3:$BX$102,MATCH('C01_BaseCalculation'!C98,T04_Classes!$B$3:$B$102,0),1)),0)&gt;0,Charisma&gt;12)),"yes","no")</f>
        <v>yes</v>
      </c>
      <c r="O98" s="218">
        <f t="shared" si="18"/>
        <v>0</v>
      </c>
      <c r="P98" s="218">
        <f>IF(O98=0,0,COUNTIF($P$15:P97,"&gt;0")+1)</f>
        <v>0</v>
      </c>
      <c r="R98" s="220" t="str">
        <f t="shared" si="21"/>
        <v/>
      </c>
      <c r="S98" s="220" t="str">
        <f t="shared" si="19"/>
        <v/>
      </c>
      <c r="X98" s="219" t="str">
        <f t="shared" si="22"/>
        <v/>
      </c>
      <c r="Y98" s="219" t="str">
        <f>IFERROR(INDEX(T01_Races!$B$2:$B$101,MATCH('C01_BaseCalculation'!X98,T01_Races!$C$2:$C$101,0),1),"")</f>
        <v/>
      </c>
      <c r="Z98" s="217" t="str">
        <f t="shared" si="23"/>
        <v/>
      </c>
      <c r="AA98" s="217" t="str">
        <f>IFERROR(IF(Z98="","",INDEX(T01_Races!$E$2:$E$101,MATCH('C01_BaseCalculation'!Z98,T01_Races!$D$2:$D$101,0),1)),"")</f>
        <v/>
      </c>
      <c r="AB98" s="217" t="str">
        <f>IFERROR(IF(Z98="","",INDEX(T01_Races!$A$2:$A$101,MATCH('C01_BaseCalculation'!Z98,T01_Races!$D$2:$D$101,0),1)),"")</f>
        <v/>
      </c>
    </row>
    <row r="99" spans="1:28" x14ac:dyDescent="0.3">
      <c r="B99" s="218" t="str">
        <f t="shared" si="20"/>
        <v/>
      </c>
      <c r="C99" s="218" t="str">
        <f>IFERROR(INDEX(T04_Classes!$B$3:$B$102,B99,1),"")</f>
        <v/>
      </c>
      <c r="D99" s="218" t="str">
        <f>IF(C99="","",COUNTIF(Character_Creation!$R$62:$T$71,C99)+COUNTIF(Character_Creation!$R$72:$T$81,C99))</f>
        <v/>
      </c>
      <c r="E99" s="218">
        <f t="shared" si="17"/>
        <v>0</v>
      </c>
      <c r="F99" s="218">
        <f>IF(E99=0,0,COUNTIF($F$15:F98,"&gt;0")+1)</f>
        <v>0</v>
      </c>
      <c r="G99" s="218">
        <f>IF(IFERROR(SEARCH("and",INDEX(T04_Classes!$BX$3:$BX$102,MATCH('C01_BaseCalculation'!C99,T04_Classes!$B$3:$B$102,0),1)),0)&gt;1,1,0)</f>
        <v>0</v>
      </c>
      <c r="H99" s="218">
        <f>IF(IFERROR(SEARCH("or",INDEX(T04_Classes!$BX$3:$BX$102,MATCH('C01_BaseCalculation'!C99,T04_Classes!$B$3:$B$102,0),1)),0)&gt;1,1,0)</f>
        <v>0</v>
      </c>
      <c r="I99" s="218" t="str">
        <f>IF(OR(IFERROR(SEARCH("Strength",INDEX(T04_Classes!$BX$3:$BX$102,MATCH('C01_BaseCalculation'!C99,T04_Classes!$B$3:$B$102,0),1)),0)=0,AND(IFERROR(SEARCH("Strength",INDEX(T04_Classes!$BX$3:$BX$102,MATCH('C01_BaseCalculation'!C99,T04_Classes!$B$3:$B$102,0),1)),0)&gt;0,Strength&gt;12)),"yes","no")</f>
        <v>yes</v>
      </c>
      <c r="J99" s="218" t="str">
        <f>IF(OR(IFERROR(SEARCH("Dexterity",INDEX(T04_Classes!$BX$3:$BX$102,MATCH('C01_BaseCalculation'!C99,T04_Classes!$B$3:$B$102,0),1)),0)=0,AND(IFERROR(SEARCH("Dexterity",INDEX(T04_Classes!$BX$3:$BX$102,MATCH('C01_BaseCalculation'!C99,T04_Classes!$B$3:$B$102,0),1)),0)&gt;0,Dexterity&gt;12)),"yes","no")</f>
        <v>yes</v>
      </c>
      <c r="K99" s="218" t="str">
        <f>IF(OR(IFERROR(SEARCH("Constitution",INDEX(T04_Classes!$BX$3:$BX$102,MATCH('C01_BaseCalculation'!C99,T04_Classes!$B$3:$B$102,0),1)),0)=0,AND(IFERROR(SEARCH("Constitution",INDEX(T04_Classes!$BX$3:$BX$102,MATCH('C01_BaseCalculation'!C99,T04_Classes!$B$3:$B$102,0),1)),0)&gt;0,Constitution&gt;12)),"yes","no")</f>
        <v>yes</v>
      </c>
      <c r="L99" s="218" t="str">
        <f>IF(OR(IFERROR(SEARCH("Intelligence",INDEX(T04_Classes!$BX$3:$BX$102,MATCH('C01_BaseCalculation'!C99,T04_Classes!$B$3:$B$102,0),1)),0)=0,AND(IFERROR(SEARCH("Intelligence",INDEX(T04_Classes!$BX$3:$BX$102,MATCH('C01_BaseCalculation'!C99,T04_Classes!$B$3:$B$102,0),1)),0)&gt;0,Intelligence&gt;12)),"yes","no")</f>
        <v>yes</v>
      </c>
      <c r="M99" s="218" t="str">
        <f>IF(OR(IFERROR(SEARCH("Wisdom",INDEX(T04_Classes!$BX$3:$BX$102,MATCH('C01_BaseCalculation'!C99,T04_Classes!$B$3:$B$102,0),1)),0)=0,AND(IFERROR(SEARCH("Wisdom",INDEX(T04_Classes!$BX$3:$BX$102,MATCH('C01_BaseCalculation'!C99,T04_Classes!$B$3:$B$102,0),1)),0)&gt;0,Wisdom&gt;12)),"yes","no")</f>
        <v>yes</v>
      </c>
      <c r="N99" s="218" t="str">
        <f>IF(OR(IFERROR(SEARCH("Charisma",INDEX(T04_Classes!$BX$3:$BX$102,MATCH('C01_BaseCalculation'!C99,T04_Classes!$B$3:$B$102,0),1)),0)=0,AND(IFERROR(SEARCH("Charisma",INDEX(T04_Classes!$BX$3:$BX$102,MATCH('C01_BaseCalculation'!C99,T04_Classes!$B$3:$B$102,0),1)),0)&gt;0,Charisma&gt;12)),"yes","no")</f>
        <v>yes</v>
      </c>
      <c r="O99" s="218">
        <f t="shared" si="18"/>
        <v>0</v>
      </c>
      <c r="P99" s="218">
        <f>IF(O99=0,0,COUNTIF($P$15:P98,"&gt;0")+1)</f>
        <v>0</v>
      </c>
      <c r="R99" s="220" t="str">
        <f t="shared" si="21"/>
        <v/>
      </c>
      <c r="S99" s="220" t="str">
        <f t="shared" si="19"/>
        <v/>
      </c>
      <c r="X99" s="219" t="str">
        <f t="shared" si="22"/>
        <v/>
      </c>
      <c r="Y99" s="219" t="str">
        <f>IFERROR(INDEX(T01_Races!$B$2:$B$101,MATCH('C01_BaseCalculation'!X99,T01_Races!$C$2:$C$101,0),1),"")</f>
        <v/>
      </c>
      <c r="Z99" s="217" t="str">
        <f t="shared" si="23"/>
        <v/>
      </c>
      <c r="AA99" s="217" t="str">
        <f>IFERROR(IF(Z99="","",INDEX(T01_Races!$E$2:$E$101,MATCH('C01_BaseCalculation'!Z99,T01_Races!$D$2:$D$101,0),1)),"")</f>
        <v/>
      </c>
      <c r="AB99" s="217" t="str">
        <f>IFERROR(IF(Z99="","",INDEX(T01_Races!$A$2:$A$101,MATCH('C01_BaseCalculation'!Z99,T01_Races!$D$2:$D$101,0),1)),"")</f>
        <v/>
      </c>
    </row>
    <row r="100" spans="1:28" x14ac:dyDescent="0.3">
      <c r="B100" s="218" t="str">
        <f t="shared" si="20"/>
        <v/>
      </c>
      <c r="C100" s="218" t="str">
        <f>IFERROR(INDEX(T04_Classes!$B$3:$B$102,B100,1),"")</f>
        <v/>
      </c>
      <c r="D100" s="218" t="str">
        <f>IF(C100="","",COUNTIF(Character_Creation!$R$62:$T$71,C100)+COUNTIF(Character_Creation!$R$72:$T$81,C100))</f>
        <v/>
      </c>
      <c r="E100" s="218">
        <f t="shared" si="17"/>
        <v>0</v>
      </c>
      <c r="F100" s="218">
        <f>IF(E100=0,0,COUNTIF($F$15:F99,"&gt;0")+1)</f>
        <v>0</v>
      </c>
      <c r="G100" s="218">
        <f>IF(IFERROR(SEARCH("and",INDEX(T04_Classes!$BX$3:$BX$102,MATCH('C01_BaseCalculation'!C100,T04_Classes!$B$3:$B$102,0),1)),0)&gt;1,1,0)</f>
        <v>0</v>
      </c>
      <c r="H100" s="218">
        <f>IF(IFERROR(SEARCH("or",INDEX(T04_Classes!$BX$3:$BX$102,MATCH('C01_BaseCalculation'!C100,T04_Classes!$B$3:$B$102,0),1)),0)&gt;1,1,0)</f>
        <v>0</v>
      </c>
      <c r="I100" s="218" t="str">
        <f>IF(OR(IFERROR(SEARCH("Strength",INDEX(T04_Classes!$BX$3:$BX$102,MATCH('C01_BaseCalculation'!C100,T04_Classes!$B$3:$B$102,0),1)),0)=0,AND(IFERROR(SEARCH("Strength",INDEX(T04_Classes!$BX$3:$BX$102,MATCH('C01_BaseCalculation'!C100,T04_Classes!$B$3:$B$102,0),1)),0)&gt;0,Strength&gt;12)),"yes","no")</f>
        <v>yes</v>
      </c>
      <c r="J100" s="218" t="str">
        <f>IF(OR(IFERROR(SEARCH("Dexterity",INDEX(T04_Classes!$BX$3:$BX$102,MATCH('C01_BaseCalculation'!C100,T04_Classes!$B$3:$B$102,0),1)),0)=0,AND(IFERROR(SEARCH("Dexterity",INDEX(T04_Classes!$BX$3:$BX$102,MATCH('C01_BaseCalculation'!C100,T04_Classes!$B$3:$B$102,0),1)),0)&gt;0,Dexterity&gt;12)),"yes","no")</f>
        <v>yes</v>
      </c>
      <c r="K100" s="218" t="str">
        <f>IF(OR(IFERROR(SEARCH("Constitution",INDEX(T04_Classes!$BX$3:$BX$102,MATCH('C01_BaseCalculation'!C100,T04_Classes!$B$3:$B$102,0),1)),0)=0,AND(IFERROR(SEARCH("Constitution",INDEX(T04_Classes!$BX$3:$BX$102,MATCH('C01_BaseCalculation'!C100,T04_Classes!$B$3:$B$102,0),1)),0)&gt;0,Constitution&gt;12)),"yes","no")</f>
        <v>yes</v>
      </c>
      <c r="L100" s="218" t="str">
        <f>IF(OR(IFERROR(SEARCH("Intelligence",INDEX(T04_Classes!$BX$3:$BX$102,MATCH('C01_BaseCalculation'!C100,T04_Classes!$B$3:$B$102,0),1)),0)=0,AND(IFERROR(SEARCH("Intelligence",INDEX(T04_Classes!$BX$3:$BX$102,MATCH('C01_BaseCalculation'!C100,T04_Classes!$B$3:$B$102,0),1)),0)&gt;0,Intelligence&gt;12)),"yes","no")</f>
        <v>yes</v>
      </c>
      <c r="M100" s="218" t="str">
        <f>IF(OR(IFERROR(SEARCH("Wisdom",INDEX(T04_Classes!$BX$3:$BX$102,MATCH('C01_BaseCalculation'!C100,T04_Classes!$B$3:$B$102,0),1)),0)=0,AND(IFERROR(SEARCH("Wisdom",INDEX(T04_Classes!$BX$3:$BX$102,MATCH('C01_BaseCalculation'!C100,T04_Classes!$B$3:$B$102,0),1)),0)&gt;0,Wisdom&gt;12)),"yes","no")</f>
        <v>yes</v>
      </c>
      <c r="N100" s="218" t="str">
        <f>IF(OR(IFERROR(SEARCH("Charisma",INDEX(T04_Classes!$BX$3:$BX$102,MATCH('C01_BaseCalculation'!C100,T04_Classes!$B$3:$B$102,0),1)),0)=0,AND(IFERROR(SEARCH("Charisma",INDEX(T04_Classes!$BX$3:$BX$102,MATCH('C01_BaseCalculation'!C100,T04_Classes!$B$3:$B$102,0),1)),0)&gt;0,Charisma&gt;12)),"yes","no")</f>
        <v>yes</v>
      </c>
      <c r="O100" s="218">
        <f t="shared" si="18"/>
        <v>0</v>
      </c>
      <c r="P100" s="218">
        <f>IF(O100=0,0,COUNTIF($P$15:P99,"&gt;0")+1)</f>
        <v>0</v>
      </c>
      <c r="R100" s="220" t="str">
        <f t="shared" si="21"/>
        <v/>
      </c>
      <c r="S100" s="220" t="str">
        <f t="shared" si="19"/>
        <v/>
      </c>
      <c r="X100" s="219" t="str">
        <f t="shared" si="22"/>
        <v/>
      </c>
      <c r="Y100" s="219" t="str">
        <f>IFERROR(INDEX(T01_Races!$B$2:$B$101,MATCH('C01_BaseCalculation'!X100,T01_Races!$C$2:$C$101,0),1),"")</f>
        <v/>
      </c>
      <c r="Z100" s="217" t="str">
        <f t="shared" si="23"/>
        <v/>
      </c>
      <c r="AA100" s="217" t="str">
        <f>IFERROR(IF(Z100="","",INDEX(T01_Races!$E$2:$E$101,MATCH('C01_BaseCalculation'!Z100,T01_Races!$D$2:$D$101,0),1)),"")</f>
        <v/>
      </c>
      <c r="AB100" s="217" t="str">
        <f>IFERROR(IF(Z100="","",INDEX(T01_Races!$A$2:$A$101,MATCH('C01_BaseCalculation'!Z100,T01_Races!$D$2:$D$101,0),1)),"")</f>
        <v/>
      </c>
    </row>
    <row r="101" spans="1:28" x14ac:dyDescent="0.3">
      <c r="A101" s="167"/>
      <c r="B101" s="218" t="str">
        <f t="shared" si="20"/>
        <v/>
      </c>
      <c r="C101" s="218" t="str">
        <f>IFERROR(INDEX(T04_Classes!$B$3:$B$102,B101,1),"")</f>
        <v/>
      </c>
      <c r="D101" s="218" t="str">
        <f>IF(C101="","",COUNTIF(Character_Creation!$R$62:$T$71,C101)+COUNTIF(Character_Creation!$R$72:$T$81,C101))</f>
        <v/>
      </c>
      <c r="E101" s="218">
        <f t="shared" si="17"/>
        <v>0</v>
      </c>
      <c r="F101" s="218">
        <f>IF(E101=0,0,COUNTIF($F$15:F100,"&gt;0")+1)</f>
        <v>0</v>
      </c>
      <c r="G101" s="218">
        <f>IF(IFERROR(SEARCH("and",INDEX(T04_Classes!$BX$3:$BX$102,MATCH('C01_BaseCalculation'!C101,T04_Classes!$B$3:$B$102,0),1)),0)&gt;1,1,0)</f>
        <v>0</v>
      </c>
      <c r="H101" s="218">
        <f>IF(IFERROR(SEARCH("or",INDEX(T04_Classes!$BX$3:$BX$102,MATCH('C01_BaseCalculation'!C101,T04_Classes!$B$3:$B$102,0),1)),0)&gt;1,1,0)</f>
        <v>0</v>
      </c>
      <c r="I101" s="218" t="str">
        <f>IF(OR(IFERROR(SEARCH("Strength",INDEX(T04_Classes!$BX$3:$BX$102,MATCH('C01_BaseCalculation'!C101,T04_Classes!$B$3:$B$102,0),1)),0)=0,AND(IFERROR(SEARCH("Strength",INDEX(T04_Classes!$BX$3:$BX$102,MATCH('C01_BaseCalculation'!C101,T04_Classes!$B$3:$B$102,0),1)),0)&gt;0,Strength&gt;12)),"yes","no")</f>
        <v>yes</v>
      </c>
      <c r="J101" s="218" t="str">
        <f>IF(OR(IFERROR(SEARCH("Dexterity",INDEX(T04_Classes!$BX$3:$BX$102,MATCH('C01_BaseCalculation'!C101,T04_Classes!$B$3:$B$102,0),1)),0)=0,AND(IFERROR(SEARCH("Dexterity",INDEX(T04_Classes!$BX$3:$BX$102,MATCH('C01_BaseCalculation'!C101,T04_Classes!$B$3:$B$102,0),1)),0)&gt;0,Dexterity&gt;12)),"yes","no")</f>
        <v>yes</v>
      </c>
      <c r="K101" s="218" t="str">
        <f>IF(OR(IFERROR(SEARCH("Constitution",INDEX(T04_Classes!$BX$3:$BX$102,MATCH('C01_BaseCalculation'!C101,T04_Classes!$B$3:$B$102,0),1)),0)=0,AND(IFERROR(SEARCH("Constitution",INDEX(T04_Classes!$BX$3:$BX$102,MATCH('C01_BaseCalculation'!C101,T04_Classes!$B$3:$B$102,0),1)),0)&gt;0,Constitution&gt;12)),"yes","no")</f>
        <v>yes</v>
      </c>
      <c r="L101" s="218" t="str">
        <f>IF(OR(IFERROR(SEARCH("Intelligence",INDEX(T04_Classes!$BX$3:$BX$102,MATCH('C01_BaseCalculation'!C101,T04_Classes!$B$3:$B$102,0),1)),0)=0,AND(IFERROR(SEARCH("Intelligence",INDEX(T04_Classes!$BX$3:$BX$102,MATCH('C01_BaseCalculation'!C101,T04_Classes!$B$3:$B$102,0),1)),0)&gt;0,Intelligence&gt;12)),"yes","no")</f>
        <v>yes</v>
      </c>
      <c r="M101" s="218" t="str">
        <f>IF(OR(IFERROR(SEARCH("Wisdom",INDEX(T04_Classes!$BX$3:$BX$102,MATCH('C01_BaseCalculation'!C101,T04_Classes!$B$3:$B$102,0),1)),0)=0,AND(IFERROR(SEARCH("Wisdom",INDEX(T04_Classes!$BX$3:$BX$102,MATCH('C01_BaseCalculation'!C101,T04_Classes!$B$3:$B$102,0),1)),0)&gt;0,Wisdom&gt;12)),"yes","no")</f>
        <v>yes</v>
      </c>
      <c r="N101" s="218" t="str">
        <f>IF(OR(IFERROR(SEARCH("Charisma",INDEX(T04_Classes!$BX$3:$BX$102,MATCH('C01_BaseCalculation'!C101,T04_Classes!$B$3:$B$102,0),1)),0)=0,AND(IFERROR(SEARCH("Charisma",INDEX(T04_Classes!$BX$3:$BX$102,MATCH('C01_BaseCalculation'!C101,T04_Classes!$B$3:$B$102,0),1)),0)&gt;0,Charisma&gt;12)),"yes","no")</f>
        <v>yes</v>
      </c>
      <c r="O101" s="218">
        <f t="shared" si="18"/>
        <v>0</v>
      </c>
      <c r="P101" s="218">
        <f>IF(O101=0,0,COUNTIF($P$15:P100,"&gt;0")+1)</f>
        <v>0</v>
      </c>
      <c r="R101" s="220" t="str">
        <f t="shared" si="21"/>
        <v/>
      </c>
      <c r="S101" s="220" t="str">
        <f t="shared" si="19"/>
        <v/>
      </c>
      <c r="X101" s="219" t="str">
        <f t="shared" si="22"/>
        <v/>
      </c>
      <c r="Y101" s="219" t="str">
        <f>IFERROR(INDEX(T01_Races!$B$2:$B$101,MATCH('C01_BaseCalculation'!X101,T01_Races!$C$2:$C$101,0),1),"")</f>
        <v/>
      </c>
      <c r="Z101" s="217" t="str">
        <f t="shared" si="23"/>
        <v/>
      </c>
      <c r="AA101" s="217" t="str">
        <f>IFERROR(IF(Z101="","",INDEX(T01_Races!$E$2:$E$101,MATCH('C01_BaseCalculation'!Z101,T01_Races!$D$2:$D$101,0),1)),"")</f>
        <v/>
      </c>
      <c r="AB101" s="217" t="str">
        <f>IFERROR(IF(Z101="","",INDEX(T01_Races!$A$2:$A$101,MATCH('C01_BaseCalculation'!Z101,T01_Races!$D$2:$D$101,0),1)),"")</f>
        <v/>
      </c>
    </row>
    <row r="102" spans="1:28" x14ac:dyDescent="0.3">
      <c r="A102" s="167"/>
      <c r="B102" s="218" t="str">
        <f t="shared" si="20"/>
        <v/>
      </c>
      <c r="C102" s="218" t="str">
        <f>IFERROR(INDEX(T04_Classes!$B$3:$B$102,B102,1),"")</f>
        <v/>
      </c>
      <c r="D102" s="218" t="str">
        <f>IF(C102="","",COUNTIF(Character_Creation!$R$62:$T$71,C102)+COUNTIF(Character_Creation!$R$72:$T$81,C102))</f>
        <v/>
      </c>
      <c r="E102" s="218">
        <f t="shared" si="17"/>
        <v>0</v>
      </c>
      <c r="F102" s="218">
        <f>IF(E102=0,0,COUNTIF($F$15:F101,"&gt;0")+1)</f>
        <v>0</v>
      </c>
      <c r="G102" s="218">
        <f>IF(IFERROR(SEARCH("and",INDEX(T04_Classes!$BX$3:$BX$102,MATCH('C01_BaseCalculation'!C102,T04_Classes!$B$3:$B$102,0),1)),0)&gt;1,1,0)</f>
        <v>0</v>
      </c>
      <c r="H102" s="218">
        <f>IF(IFERROR(SEARCH("or",INDEX(T04_Classes!$BX$3:$BX$102,MATCH('C01_BaseCalculation'!C102,T04_Classes!$B$3:$B$102,0),1)),0)&gt;1,1,0)</f>
        <v>0</v>
      </c>
      <c r="I102" s="218" t="str">
        <f>IF(OR(IFERROR(SEARCH("Strength",INDEX(T04_Classes!$BX$3:$BX$102,MATCH('C01_BaseCalculation'!C102,T04_Classes!$B$3:$B$102,0),1)),0)=0,AND(IFERROR(SEARCH("Strength",INDEX(T04_Classes!$BX$3:$BX$102,MATCH('C01_BaseCalculation'!C102,T04_Classes!$B$3:$B$102,0),1)),0)&gt;0,Strength&gt;12)),"yes","no")</f>
        <v>yes</v>
      </c>
      <c r="J102" s="218" t="str">
        <f>IF(OR(IFERROR(SEARCH("Dexterity",INDEX(T04_Classes!$BX$3:$BX$102,MATCH('C01_BaseCalculation'!C102,T04_Classes!$B$3:$B$102,0),1)),0)=0,AND(IFERROR(SEARCH("Dexterity",INDEX(T04_Classes!$BX$3:$BX$102,MATCH('C01_BaseCalculation'!C102,T04_Classes!$B$3:$B$102,0),1)),0)&gt;0,Dexterity&gt;12)),"yes","no")</f>
        <v>yes</v>
      </c>
      <c r="K102" s="218" t="str">
        <f>IF(OR(IFERROR(SEARCH("Constitution",INDEX(T04_Classes!$BX$3:$BX$102,MATCH('C01_BaseCalculation'!C102,T04_Classes!$B$3:$B$102,0),1)),0)=0,AND(IFERROR(SEARCH("Constitution",INDEX(T04_Classes!$BX$3:$BX$102,MATCH('C01_BaseCalculation'!C102,T04_Classes!$B$3:$B$102,0),1)),0)&gt;0,Constitution&gt;12)),"yes","no")</f>
        <v>yes</v>
      </c>
      <c r="L102" s="218" t="str">
        <f>IF(OR(IFERROR(SEARCH("Intelligence",INDEX(T04_Classes!$BX$3:$BX$102,MATCH('C01_BaseCalculation'!C102,T04_Classes!$B$3:$B$102,0),1)),0)=0,AND(IFERROR(SEARCH("Intelligence",INDEX(T04_Classes!$BX$3:$BX$102,MATCH('C01_BaseCalculation'!C102,T04_Classes!$B$3:$B$102,0),1)),0)&gt;0,Intelligence&gt;12)),"yes","no")</f>
        <v>yes</v>
      </c>
      <c r="M102" s="218" t="str">
        <f>IF(OR(IFERROR(SEARCH("Wisdom",INDEX(T04_Classes!$BX$3:$BX$102,MATCH('C01_BaseCalculation'!C102,T04_Classes!$B$3:$B$102,0),1)),0)=0,AND(IFERROR(SEARCH("Wisdom",INDEX(T04_Classes!$BX$3:$BX$102,MATCH('C01_BaseCalculation'!C102,T04_Classes!$B$3:$B$102,0),1)),0)&gt;0,Wisdom&gt;12)),"yes","no")</f>
        <v>yes</v>
      </c>
      <c r="N102" s="218" t="str">
        <f>IF(OR(IFERROR(SEARCH("Charisma",INDEX(T04_Classes!$BX$3:$BX$102,MATCH('C01_BaseCalculation'!C102,T04_Classes!$B$3:$B$102,0),1)),0)=0,AND(IFERROR(SEARCH("Charisma",INDEX(T04_Classes!$BX$3:$BX$102,MATCH('C01_BaseCalculation'!C102,T04_Classes!$B$3:$B$102,0),1)),0)&gt;0,Charisma&gt;12)),"yes","no")</f>
        <v>yes</v>
      </c>
      <c r="O102" s="218">
        <f t="shared" si="18"/>
        <v>0</v>
      </c>
      <c r="P102" s="218">
        <f>IF(O102=0,0,COUNTIF($P$15:P101,"&gt;0")+1)</f>
        <v>0</v>
      </c>
      <c r="R102" s="220" t="str">
        <f t="shared" si="21"/>
        <v/>
      </c>
      <c r="S102" s="220" t="str">
        <f t="shared" si="19"/>
        <v/>
      </c>
      <c r="X102" s="219" t="str">
        <f t="shared" si="22"/>
        <v/>
      </c>
      <c r="Y102" s="219" t="str">
        <f>IFERROR(INDEX(T01_Races!$B$2:$B$101,MATCH('C01_BaseCalculation'!X102,T01_Races!$C$2:$C$101,0),1),"")</f>
        <v/>
      </c>
      <c r="Z102" s="217" t="str">
        <f t="shared" si="23"/>
        <v/>
      </c>
      <c r="AA102" s="217" t="str">
        <f>IFERROR(IF(Z102="","",INDEX(T01_Races!$E$2:$E$101,MATCH('C01_BaseCalculation'!Z102,T01_Races!$D$2:$D$101,0),1)),"")</f>
        <v/>
      </c>
      <c r="AB102" s="217" t="str">
        <f>IFERROR(IF(Z102="","",INDEX(T01_Races!$A$2:$A$101,MATCH('C01_BaseCalculation'!Z102,T01_Races!$D$2:$D$101,0),1)),"")</f>
        <v/>
      </c>
    </row>
    <row r="103" spans="1:28" x14ac:dyDescent="0.3">
      <c r="A103" s="167"/>
      <c r="B103" s="218" t="str">
        <f t="shared" si="20"/>
        <v/>
      </c>
      <c r="C103" s="218" t="str">
        <f>IFERROR(INDEX(T04_Classes!$B$3:$B$102,B103,1),"")</f>
        <v/>
      </c>
      <c r="D103" s="218" t="str">
        <f>IF(C103="","",COUNTIF(Character_Creation!$R$62:$T$71,C103)+COUNTIF(Character_Creation!$R$72:$T$81,C103))</f>
        <v/>
      </c>
      <c r="E103" s="218">
        <f t="shared" si="17"/>
        <v>0</v>
      </c>
      <c r="F103" s="218">
        <f>IF(E103=0,0,COUNTIF($F$15:F102,"&gt;0")+1)</f>
        <v>0</v>
      </c>
      <c r="G103" s="218">
        <f>IF(IFERROR(SEARCH("and",INDEX(T04_Classes!$BX$3:$BX$102,MATCH('C01_BaseCalculation'!C103,T04_Classes!$B$3:$B$102,0),1)),0)&gt;1,1,0)</f>
        <v>0</v>
      </c>
      <c r="H103" s="218">
        <f>IF(IFERROR(SEARCH("or",INDEX(T04_Classes!$BX$3:$BX$102,MATCH('C01_BaseCalculation'!C103,T04_Classes!$B$3:$B$102,0),1)),0)&gt;1,1,0)</f>
        <v>0</v>
      </c>
      <c r="I103" s="218" t="str">
        <f>IF(OR(IFERROR(SEARCH("Strength",INDEX(T04_Classes!$BX$3:$BX$102,MATCH('C01_BaseCalculation'!C103,T04_Classes!$B$3:$B$102,0),1)),0)=0,AND(IFERROR(SEARCH("Strength",INDEX(T04_Classes!$BX$3:$BX$102,MATCH('C01_BaseCalculation'!C103,T04_Classes!$B$3:$B$102,0),1)),0)&gt;0,Strength&gt;12)),"yes","no")</f>
        <v>yes</v>
      </c>
      <c r="J103" s="218" t="str">
        <f>IF(OR(IFERROR(SEARCH("Dexterity",INDEX(T04_Classes!$BX$3:$BX$102,MATCH('C01_BaseCalculation'!C103,T04_Classes!$B$3:$B$102,0),1)),0)=0,AND(IFERROR(SEARCH("Dexterity",INDEX(T04_Classes!$BX$3:$BX$102,MATCH('C01_BaseCalculation'!C103,T04_Classes!$B$3:$B$102,0),1)),0)&gt;0,Dexterity&gt;12)),"yes","no")</f>
        <v>yes</v>
      </c>
      <c r="K103" s="218" t="str">
        <f>IF(OR(IFERROR(SEARCH("Constitution",INDEX(T04_Classes!$BX$3:$BX$102,MATCH('C01_BaseCalculation'!C103,T04_Classes!$B$3:$B$102,0),1)),0)=0,AND(IFERROR(SEARCH("Constitution",INDEX(T04_Classes!$BX$3:$BX$102,MATCH('C01_BaseCalculation'!C103,T04_Classes!$B$3:$B$102,0),1)),0)&gt;0,Constitution&gt;12)),"yes","no")</f>
        <v>yes</v>
      </c>
      <c r="L103" s="218" t="str">
        <f>IF(OR(IFERROR(SEARCH("Intelligence",INDEX(T04_Classes!$BX$3:$BX$102,MATCH('C01_BaseCalculation'!C103,T04_Classes!$B$3:$B$102,0),1)),0)=0,AND(IFERROR(SEARCH("Intelligence",INDEX(T04_Classes!$BX$3:$BX$102,MATCH('C01_BaseCalculation'!C103,T04_Classes!$B$3:$B$102,0),1)),0)&gt;0,Intelligence&gt;12)),"yes","no")</f>
        <v>yes</v>
      </c>
      <c r="M103" s="218" t="str">
        <f>IF(OR(IFERROR(SEARCH("Wisdom",INDEX(T04_Classes!$BX$3:$BX$102,MATCH('C01_BaseCalculation'!C103,T04_Classes!$B$3:$B$102,0),1)),0)=0,AND(IFERROR(SEARCH("Wisdom",INDEX(T04_Classes!$BX$3:$BX$102,MATCH('C01_BaseCalculation'!C103,T04_Classes!$B$3:$B$102,0),1)),0)&gt;0,Wisdom&gt;12)),"yes","no")</f>
        <v>yes</v>
      </c>
      <c r="N103" s="218" t="str">
        <f>IF(OR(IFERROR(SEARCH("Charisma",INDEX(T04_Classes!$BX$3:$BX$102,MATCH('C01_BaseCalculation'!C103,T04_Classes!$B$3:$B$102,0),1)),0)=0,AND(IFERROR(SEARCH("Charisma",INDEX(T04_Classes!$BX$3:$BX$102,MATCH('C01_BaseCalculation'!C103,T04_Classes!$B$3:$B$102,0),1)),0)&gt;0,Charisma&gt;12)),"yes","no")</f>
        <v>yes</v>
      </c>
      <c r="O103" s="218">
        <f t="shared" si="18"/>
        <v>0</v>
      </c>
      <c r="P103" s="218">
        <f>IF(O103=0,0,COUNTIF($P$15:P102,"&gt;0")+1)</f>
        <v>0</v>
      </c>
      <c r="R103" s="220" t="str">
        <f t="shared" si="21"/>
        <v/>
      </c>
      <c r="S103" s="220" t="str">
        <f t="shared" si="19"/>
        <v/>
      </c>
      <c r="X103" s="219" t="str">
        <f t="shared" si="22"/>
        <v/>
      </c>
      <c r="Y103" s="219" t="str">
        <f>IFERROR(INDEX(T01_Races!$B$2:$B$101,MATCH('C01_BaseCalculation'!X103,T01_Races!$C$2:$C$101,0),1),"")</f>
        <v/>
      </c>
      <c r="Z103" s="217" t="str">
        <f t="shared" si="23"/>
        <v/>
      </c>
      <c r="AA103" s="217" t="str">
        <f>IFERROR(IF(Z103="","",INDEX(T01_Races!$E$2:$E$101,MATCH('C01_BaseCalculation'!Z103,T01_Races!$D$2:$D$101,0),1)),"")</f>
        <v/>
      </c>
      <c r="AB103" s="217" t="str">
        <f>IFERROR(IF(Z103="","",INDEX(T01_Races!$A$2:$A$101,MATCH('C01_BaseCalculation'!Z103,T01_Races!$D$2:$D$101,0),1)),"")</f>
        <v/>
      </c>
    </row>
    <row r="104" spans="1:28" x14ac:dyDescent="0.3">
      <c r="A104" s="167"/>
      <c r="B104" s="218" t="str">
        <f t="shared" si="20"/>
        <v/>
      </c>
      <c r="C104" s="218" t="str">
        <f>IFERROR(INDEX(T04_Classes!$B$3:$B$102,B104,1),"")</f>
        <v/>
      </c>
      <c r="D104" s="218" t="str">
        <f>IF(C104="","",COUNTIF(Character_Creation!$R$62:$T$71,C104)+COUNTIF(Character_Creation!$R$72:$T$81,C104))</f>
        <v/>
      </c>
      <c r="E104" s="218">
        <f t="shared" si="17"/>
        <v>0</v>
      </c>
      <c r="F104" s="218">
        <f>IF(E104=0,0,COUNTIF($F$15:F103,"&gt;0")+1)</f>
        <v>0</v>
      </c>
      <c r="G104" s="218">
        <f>IF(IFERROR(SEARCH("and",INDEX(T04_Classes!$BX$3:$BX$102,MATCH('C01_BaseCalculation'!C104,T04_Classes!$B$3:$B$102,0),1)),0)&gt;1,1,0)</f>
        <v>0</v>
      </c>
      <c r="H104" s="218">
        <f>IF(IFERROR(SEARCH("or",INDEX(T04_Classes!$BX$3:$BX$102,MATCH('C01_BaseCalculation'!C104,T04_Classes!$B$3:$B$102,0),1)),0)&gt;1,1,0)</f>
        <v>0</v>
      </c>
      <c r="I104" s="218" t="str">
        <f>IF(OR(IFERROR(SEARCH("Strength",INDEX(T04_Classes!$BX$3:$BX$102,MATCH('C01_BaseCalculation'!C104,T04_Classes!$B$3:$B$102,0),1)),0)=0,AND(IFERROR(SEARCH("Strength",INDEX(T04_Classes!$BX$3:$BX$102,MATCH('C01_BaseCalculation'!C104,T04_Classes!$B$3:$B$102,0),1)),0)&gt;0,Strength&gt;12)),"yes","no")</f>
        <v>yes</v>
      </c>
      <c r="J104" s="218" t="str">
        <f>IF(OR(IFERROR(SEARCH("Dexterity",INDEX(T04_Classes!$BX$3:$BX$102,MATCH('C01_BaseCalculation'!C104,T04_Classes!$B$3:$B$102,0),1)),0)=0,AND(IFERROR(SEARCH("Dexterity",INDEX(T04_Classes!$BX$3:$BX$102,MATCH('C01_BaseCalculation'!C104,T04_Classes!$B$3:$B$102,0),1)),0)&gt;0,Dexterity&gt;12)),"yes","no")</f>
        <v>yes</v>
      </c>
      <c r="K104" s="218" t="str">
        <f>IF(OR(IFERROR(SEARCH("Constitution",INDEX(T04_Classes!$BX$3:$BX$102,MATCH('C01_BaseCalculation'!C104,T04_Classes!$B$3:$B$102,0),1)),0)=0,AND(IFERROR(SEARCH("Constitution",INDEX(T04_Classes!$BX$3:$BX$102,MATCH('C01_BaseCalculation'!C104,T04_Classes!$B$3:$B$102,0),1)),0)&gt;0,Constitution&gt;12)),"yes","no")</f>
        <v>yes</v>
      </c>
      <c r="L104" s="218" t="str">
        <f>IF(OR(IFERROR(SEARCH("Intelligence",INDEX(T04_Classes!$BX$3:$BX$102,MATCH('C01_BaseCalculation'!C104,T04_Classes!$B$3:$B$102,0),1)),0)=0,AND(IFERROR(SEARCH("Intelligence",INDEX(T04_Classes!$BX$3:$BX$102,MATCH('C01_BaseCalculation'!C104,T04_Classes!$B$3:$B$102,0),1)),0)&gt;0,Intelligence&gt;12)),"yes","no")</f>
        <v>yes</v>
      </c>
      <c r="M104" s="218" t="str">
        <f>IF(OR(IFERROR(SEARCH("Wisdom",INDEX(T04_Classes!$BX$3:$BX$102,MATCH('C01_BaseCalculation'!C104,T04_Classes!$B$3:$B$102,0),1)),0)=0,AND(IFERROR(SEARCH("Wisdom",INDEX(T04_Classes!$BX$3:$BX$102,MATCH('C01_BaseCalculation'!C104,T04_Classes!$B$3:$B$102,0),1)),0)&gt;0,Wisdom&gt;12)),"yes","no")</f>
        <v>yes</v>
      </c>
      <c r="N104" s="218" t="str">
        <f>IF(OR(IFERROR(SEARCH("Charisma",INDEX(T04_Classes!$BX$3:$BX$102,MATCH('C01_BaseCalculation'!C104,T04_Classes!$B$3:$B$102,0),1)),0)=0,AND(IFERROR(SEARCH("Charisma",INDEX(T04_Classes!$BX$3:$BX$102,MATCH('C01_BaseCalculation'!C104,T04_Classes!$B$3:$B$102,0),1)),0)&gt;0,Charisma&gt;12)),"yes","no")</f>
        <v>yes</v>
      </c>
      <c r="O104" s="218">
        <f t="shared" si="18"/>
        <v>0</v>
      </c>
      <c r="P104" s="218">
        <f>IF(O104=0,0,COUNTIF($P$15:P103,"&gt;0")+1)</f>
        <v>0</v>
      </c>
      <c r="R104" s="220" t="str">
        <f t="shared" si="21"/>
        <v/>
      </c>
      <c r="S104" s="220" t="str">
        <f t="shared" si="19"/>
        <v/>
      </c>
      <c r="X104" s="219" t="str">
        <f t="shared" si="22"/>
        <v/>
      </c>
      <c r="Y104" s="219" t="str">
        <f>IFERROR(INDEX(T01_Races!$B$2:$B$101,MATCH('C01_BaseCalculation'!X104,T01_Races!$C$2:$C$101,0),1),"")</f>
        <v/>
      </c>
      <c r="Z104" s="217" t="str">
        <f t="shared" si="23"/>
        <v/>
      </c>
      <c r="AA104" s="217" t="str">
        <f>IFERROR(IF(Z104="","",INDEX(T01_Races!$E$2:$E$101,MATCH('C01_BaseCalculation'!Z104,T01_Races!$D$2:$D$101,0),1)),"")</f>
        <v/>
      </c>
      <c r="AB104" s="217" t="str">
        <f>IFERROR(IF(Z104="","",INDEX(T01_Races!$A$2:$A$101,MATCH('C01_BaseCalculation'!Z104,T01_Races!$D$2:$D$101,0),1)),"")</f>
        <v/>
      </c>
    </row>
    <row r="105" spans="1:28" x14ac:dyDescent="0.3">
      <c r="A105" s="167"/>
      <c r="B105" s="218" t="str">
        <f t="shared" si="20"/>
        <v/>
      </c>
      <c r="C105" s="218" t="str">
        <f>IFERROR(INDEX(T04_Classes!$B$3:$B$102,B105,1),"")</f>
        <v/>
      </c>
      <c r="D105" s="218" t="str">
        <f>IF(C105="","",COUNTIF(Character_Creation!$R$62:$T$71,C105)+COUNTIF(Character_Creation!$R$72:$T$81,C105))</f>
        <v/>
      </c>
      <c r="E105" s="218">
        <f t="shared" si="17"/>
        <v>0</v>
      </c>
      <c r="F105" s="218">
        <f>IF(E105=0,0,COUNTIF($F$15:F104,"&gt;0")+1)</f>
        <v>0</v>
      </c>
      <c r="G105" s="218">
        <f>IF(IFERROR(SEARCH("and",INDEX(T04_Classes!$BX$3:$BX$102,MATCH('C01_BaseCalculation'!C105,T04_Classes!$B$3:$B$102,0),1)),0)&gt;1,1,0)</f>
        <v>0</v>
      </c>
      <c r="H105" s="218">
        <f>IF(IFERROR(SEARCH("or",INDEX(T04_Classes!$BX$3:$BX$102,MATCH('C01_BaseCalculation'!C105,T04_Classes!$B$3:$B$102,0),1)),0)&gt;1,1,0)</f>
        <v>0</v>
      </c>
      <c r="I105" s="218" t="str">
        <f>IF(OR(IFERROR(SEARCH("Strength",INDEX(T04_Classes!$BX$3:$BX$102,MATCH('C01_BaseCalculation'!C105,T04_Classes!$B$3:$B$102,0),1)),0)=0,AND(IFERROR(SEARCH("Strength",INDEX(T04_Classes!$BX$3:$BX$102,MATCH('C01_BaseCalculation'!C105,T04_Classes!$B$3:$B$102,0),1)),0)&gt;0,Strength&gt;12)),"yes","no")</f>
        <v>yes</v>
      </c>
      <c r="J105" s="218" t="str">
        <f>IF(OR(IFERROR(SEARCH("Dexterity",INDEX(T04_Classes!$BX$3:$BX$102,MATCH('C01_BaseCalculation'!C105,T04_Classes!$B$3:$B$102,0),1)),0)=0,AND(IFERROR(SEARCH("Dexterity",INDEX(T04_Classes!$BX$3:$BX$102,MATCH('C01_BaseCalculation'!C105,T04_Classes!$B$3:$B$102,0),1)),0)&gt;0,Dexterity&gt;12)),"yes","no")</f>
        <v>yes</v>
      </c>
      <c r="K105" s="218" t="str">
        <f>IF(OR(IFERROR(SEARCH("Constitution",INDEX(T04_Classes!$BX$3:$BX$102,MATCH('C01_BaseCalculation'!C105,T04_Classes!$B$3:$B$102,0),1)),0)=0,AND(IFERROR(SEARCH("Constitution",INDEX(T04_Classes!$BX$3:$BX$102,MATCH('C01_BaseCalculation'!C105,T04_Classes!$B$3:$B$102,0),1)),0)&gt;0,Constitution&gt;12)),"yes","no")</f>
        <v>yes</v>
      </c>
      <c r="L105" s="218" t="str">
        <f>IF(OR(IFERROR(SEARCH("Intelligence",INDEX(T04_Classes!$BX$3:$BX$102,MATCH('C01_BaseCalculation'!C105,T04_Classes!$B$3:$B$102,0),1)),0)=0,AND(IFERROR(SEARCH("Intelligence",INDEX(T04_Classes!$BX$3:$BX$102,MATCH('C01_BaseCalculation'!C105,T04_Classes!$B$3:$B$102,0),1)),0)&gt;0,Intelligence&gt;12)),"yes","no")</f>
        <v>yes</v>
      </c>
      <c r="M105" s="218" t="str">
        <f>IF(OR(IFERROR(SEARCH("Wisdom",INDEX(T04_Classes!$BX$3:$BX$102,MATCH('C01_BaseCalculation'!C105,T04_Classes!$B$3:$B$102,0),1)),0)=0,AND(IFERROR(SEARCH("Wisdom",INDEX(T04_Classes!$BX$3:$BX$102,MATCH('C01_BaseCalculation'!C105,T04_Classes!$B$3:$B$102,0),1)),0)&gt;0,Wisdom&gt;12)),"yes","no")</f>
        <v>yes</v>
      </c>
      <c r="N105" s="218" t="str">
        <f>IF(OR(IFERROR(SEARCH("Charisma",INDEX(T04_Classes!$BX$3:$BX$102,MATCH('C01_BaseCalculation'!C105,T04_Classes!$B$3:$B$102,0),1)),0)=0,AND(IFERROR(SEARCH("Charisma",INDEX(T04_Classes!$BX$3:$BX$102,MATCH('C01_BaseCalculation'!C105,T04_Classes!$B$3:$B$102,0),1)),0)&gt;0,Charisma&gt;12)),"yes","no")</f>
        <v>yes</v>
      </c>
      <c r="O105" s="218">
        <f t="shared" si="18"/>
        <v>0</v>
      </c>
      <c r="P105" s="218">
        <f>IF(O105=0,0,COUNTIF($P$15:P104,"&gt;0")+1)</f>
        <v>0</v>
      </c>
      <c r="R105" s="220" t="str">
        <f t="shared" si="21"/>
        <v/>
      </c>
      <c r="S105" s="220" t="str">
        <f t="shared" si="19"/>
        <v/>
      </c>
      <c r="X105" s="219" t="str">
        <f t="shared" si="22"/>
        <v/>
      </c>
      <c r="Y105" s="219" t="str">
        <f>IFERROR(INDEX(T01_Races!$B$2:$B$101,MATCH('C01_BaseCalculation'!X105,T01_Races!$C$2:$C$101,0),1),"")</f>
        <v/>
      </c>
      <c r="Z105" s="217" t="str">
        <f t="shared" si="23"/>
        <v/>
      </c>
      <c r="AA105" s="217" t="str">
        <f>IFERROR(IF(Z105="","",INDEX(T01_Races!$E$2:$E$101,MATCH('C01_BaseCalculation'!Z105,T01_Races!$D$2:$D$101,0),1)),"")</f>
        <v/>
      </c>
      <c r="AB105" s="217" t="str">
        <f>IFERROR(IF(Z105="","",INDEX(T01_Races!$A$2:$A$101,MATCH('C01_BaseCalculation'!Z105,T01_Races!$D$2:$D$101,0),1)),"")</f>
        <v/>
      </c>
    </row>
    <row r="106" spans="1:28" x14ac:dyDescent="0.3">
      <c r="A106" s="167"/>
      <c r="B106" s="218" t="str">
        <f t="shared" si="20"/>
        <v/>
      </c>
      <c r="C106" s="218" t="str">
        <f>IFERROR(INDEX(T04_Classes!$B$3:$B$102,B106,1),"")</f>
        <v/>
      </c>
      <c r="D106" s="218" t="str">
        <f>IF(C106="","",COUNTIF(Character_Creation!$R$62:$T$71,C106)+COUNTIF(Character_Creation!$R$72:$T$81,C106))</f>
        <v/>
      </c>
      <c r="E106" s="218">
        <f t="shared" si="17"/>
        <v>0</v>
      </c>
      <c r="F106" s="218">
        <f>IF(E106=0,0,COUNTIF($F$15:F105,"&gt;0")+1)</f>
        <v>0</v>
      </c>
      <c r="G106" s="218">
        <f>IF(IFERROR(SEARCH("and",INDEX(T04_Classes!$BX$3:$BX$102,MATCH('C01_BaseCalculation'!C106,T04_Classes!$B$3:$B$102,0),1)),0)&gt;1,1,0)</f>
        <v>0</v>
      </c>
      <c r="H106" s="218">
        <f>IF(IFERROR(SEARCH("or",INDEX(T04_Classes!$BX$3:$BX$102,MATCH('C01_BaseCalculation'!C106,T04_Classes!$B$3:$B$102,0),1)),0)&gt;1,1,0)</f>
        <v>0</v>
      </c>
      <c r="I106" s="218" t="str">
        <f>IF(OR(IFERROR(SEARCH("Strength",INDEX(T04_Classes!$BX$3:$BX$102,MATCH('C01_BaseCalculation'!C106,T04_Classes!$B$3:$B$102,0),1)),0)=0,AND(IFERROR(SEARCH("Strength",INDEX(T04_Classes!$BX$3:$BX$102,MATCH('C01_BaseCalculation'!C106,T04_Classes!$B$3:$B$102,0),1)),0)&gt;0,Strength&gt;12)),"yes","no")</f>
        <v>yes</v>
      </c>
      <c r="J106" s="218" t="str">
        <f>IF(OR(IFERROR(SEARCH("Dexterity",INDEX(T04_Classes!$BX$3:$BX$102,MATCH('C01_BaseCalculation'!C106,T04_Classes!$B$3:$B$102,0),1)),0)=0,AND(IFERROR(SEARCH("Dexterity",INDEX(T04_Classes!$BX$3:$BX$102,MATCH('C01_BaseCalculation'!C106,T04_Classes!$B$3:$B$102,0),1)),0)&gt;0,Dexterity&gt;12)),"yes","no")</f>
        <v>yes</v>
      </c>
      <c r="K106" s="218" t="str">
        <f>IF(OR(IFERROR(SEARCH("Constitution",INDEX(T04_Classes!$BX$3:$BX$102,MATCH('C01_BaseCalculation'!C106,T04_Classes!$B$3:$B$102,0),1)),0)=0,AND(IFERROR(SEARCH("Constitution",INDEX(T04_Classes!$BX$3:$BX$102,MATCH('C01_BaseCalculation'!C106,T04_Classes!$B$3:$B$102,0),1)),0)&gt;0,Constitution&gt;12)),"yes","no")</f>
        <v>yes</v>
      </c>
      <c r="L106" s="218" t="str">
        <f>IF(OR(IFERROR(SEARCH("Intelligence",INDEX(T04_Classes!$BX$3:$BX$102,MATCH('C01_BaseCalculation'!C106,T04_Classes!$B$3:$B$102,0),1)),0)=0,AND(IFERROR(SEARCH("Intelligence",INDEX(T04_Classes!$BX$3:$BX$102,MATCH('C01_BaseCalculation'!C106,T04_Classes!$B$3:$B$102,0),1)),0)&gt;0,Intelligence&gt;12)),"yes","no")</f>
        <v>yes</v>
      </c>
      <c r="M106" s="218" t="str">
        <f>IF(OR(IFERROR(SEARCH("Wisdom",INDEX(T04_Classes!$BX$3:$BX$102,MATCH('C01_BaseCalculation'!C106,T04_Classes!$B$3:$B$102,0),1)),0)=0,AND(IFERROR(SEARCH("Wisdom",INDEX(T04_Classes!$BX$3:$BX$102,MATCH('C01_BaseCalculation'!C106,T04_Classes!$B$3:$B$102,0),1)),0)&gt;0,Wisdom&gt;12)),"yes","no")</f>
        <v>yes</v>
      </c>
      <c r="N106" s="218" t="str">
        <f>IF(OR(IFERROR(SEARCH("Charisma",INDEX(T04_Classes!$BX$3:$BX$102,MATCH('C01_BaseCalculation'!C106,T04_Classes!$B$3:$B$102,0),1)),0)=0,AND(IFERROR(SEARCH("Charisma",INDEX(T04_Classes!$BX$3:$BX$102,MATCH('C01_BaseCalculation'!C106,T04_Classes!$B$3:$B$102,0),1)),0)&gt;0,Charisma&gt;12)),"yes","no")</f>
        <v>yes</v>
      </c>
      <c r="O106" s="218">
        <f t="shared" si="18"/>
        <v>0</v>
      </c>
      <c r="P106" s="218">
        <f>IF(O106=0,0,COUNTIF($P$15:P105,"&gt;0")+1)</f>
        <v>0</v>
      </c>
      <c r="R106" s="220" t="str">
        <f t="shared" si="21"/>
        <v/>
      </c>
      <c r="S106" s="220" t="str">
        <f t="shared" si="19"/>
        <v/>
      </c>
      <c r="X106" s="219" t="str">
        <f t="shared" si="22"/>
        <v/>
      </c>
      <c r="Y106" s="219" t="str">
        <f>IFERROR(INDEX(T01_Races!$B$2:$B$101,MATCH('C01_BaseCalculation'!X106,T01_Races!$C$2:$C$101,0),1),"")</f>
        <v/>
      </c>
      <c r="Z106" s="217" t="str">
        <f t="shared" si="23"/>
        <v/>
      </c>
      <c r="AA106" s="217" t="str">
        <f>IFERROR(IF(Z106="","",INDEX(T01_Races!$E$2:$E$101,MATCH('C01_BaseCalculation'!Z106,T01_Races!$D$2:$D$101,0),1)),"")</f>
        <v/>
      </c>
      <c r="AB106" s="217" t="str">
        <f>IFERROR(IF(Z106="","",INDEX(T01_Races!$A$2:$A$101,MATCH('C01_BaseCalculation'!Z106,T01_Races!$D$2:$D$101,0),1)),"")</f>
        <v/>
      </c>
    </row>
    <row r="107" spans="1:28" x14ac:dyDescent="0.3">
      <c r="B107" s="218" t="str">
        <f t="shared" si="20"/>
        <v/>
      </c>
      <c r="C107" s="218" t="str">
        <f>IFERROR(INDEX(T04_Classes!$B$3:$B$102,#REF!,1),"")</f>
        <v/>
      </c>
      <c r="D107" s="218" t="str">
        <f>IF(C107="","",COUNTIF(Character_Creation!$R$62:$T$71,C107)+COUNTIF(Character_Creation!$R$72:$T$81,C107))</f>
        <v/>
      </c>
      <c r="E107" s="218">
        <f t="shared" si="17"/>
        <v>0</v>
      </c>
      <c r="F107" s="218">
        <f>IF(E107=0,0,COUNTIF($F$15:F106,"&gt;0")+1)</f>
        <v>0</v>
      </c>
      <c r="G107" s="218">
        <f>IF(IFERROR(SEARCH("and",INDEX(T04_Classes!$BX$3:$BX$102,MATCH('C01_BaseCalculation'!C107,T04_Classes!$B$3:$B$102,0),1)),0)&gt;1,1,0)</f>
        <v>0</v>
      </c>
      <c r="H107" s="218">
        <f>IF(IFERROR(SEARCH("or",INDEX(T04_Classes!$BX$3:$BX$102,MATCH('C01_BaseCalculation'!C107,T04_Classes!$B$3:$B$102,0),1)),0)&gt;1,1,0)</f>
        <v>0</v>
      </c>
      <c r="I107" s="218" t="str">
        <f>IF(OR(IFERROR(SEARCH("Strength",INDEX(T04_Classes!$BX$3:$BX$102,MATCH('C01_BaseCalculation'!C107,T04_Classes!$B$3:$B$102,0),1)),0)=0,AND(IFERROR(SEARCH("Strength",INDEX(T04_Classes!$BX$3:$BX$102,MATCH('C01_BaseCalculation'!C107,T04_Classes!$B$3:$B$102,0),1)),0)&gt;0,Strength&gt;12)),"yes","no")</f>
        <v>yes</v>
      </c>
      <c r="J107" s="218" t="str">
        <f>IF(OR(IFERROR(SEARCH("Dexterity",INDEX(T04_Classes!$BX$3:$BX$102,MATCH('C01_BaseCalculation'!C107,T04_Classes!$B$3:$B$102,0),1)),0)=0,AND(IFERROR(SEARCH("Dexterity",INDEX(T04_Classes!$BX$3:$BX$102,MATCH('C01_BaseCalculation'!C107,T04_Classes!$B$3:$B$102,0),1)),0)&gt;0,Dexterity&gt;12)),"yes","no")</f>
        <v>yes</v>
      </c>
      <c r="K107" s="218" t="str">
        <f>IF(OR(IFERROR(SEARCH("Constitution",INDEX(T04_Classes!$BX$3:$BX$102,MATCH('C01_BaseCalculation'!C107,T04_Classes!$B$3:$B$102,0),1)),0)=0,AND(IFERROR(SEARCH("Constitution",INDEX(T04_Classes!$BX$3:$BX$102,MATCH('C01_BaseCalculation'!C107,T04_Classes!$B$3:$B$102,0),1)),0)&gt;0,Constitution&gt;12)),"yes","no")</f>
        <v>yes</v>
      </c>
      <c r="L107" s="218" t="str">
        <f>IF(OR(IFERROR(SEARCH("Intelligence",INDEX(T04_Classes!$BX$3:$BX$102,MATCH('C01_BaseCalculation'!C107,T04_Classes!$B$3:$B$102,0),1)),0)=0,AND(IFERROR(SEARCH("Intelligence",INDEX(T04_Classes!$BX$3:$BX$102,MATCH('C01_BaseCalculation'!C107,T04_Classes!$B$3:$B$102,0),1)),0)&gt;0,Intelligence&gt;12)),"yes","no")</f>
        <v>yes</v>
      </c>
      <c r="M107" s="218" t="str">
        <f>IF(OR(IFERROR(SEARCH("Wisdom",INDEX(T04_Classes!$BX$3:$BX$102,MATCH('C01_BaseCalculation'!C107,T04_Classes!$B$3:$B$102,0),1)),0)=0,AND(IFERROR(SEARCH("Wisdom",INDEX(T04_Classes!$BX$3:$BX$102,MATCH('C01_BaseCalculation'!C107,T04_Classes!$B$3:$B$102,0),1)),0)&gt;0,Wisdom&gt;12)),"yes","no")</f>
        <v>yes</v>
      </c>
      <c r="N107" s="218" t="str">
        <f>IF(OR(IFERROR(SEARCH("Charisma",INDEX(T04_Classes!$BX$3:$BX$102,MATCH('C01_BaseCalculation'!C107,T04_Classes!$B$3:$B$102,0),1)),0)=0,AND(IFERROR(SEARCH("Charisma",INDEX(T04_Classes!$BX$3:$BX$102,MATCH('C01_BaseCalculation'!C107,T04_Classes!$B$3:$B$102,0),1)),0)&gt;0,Charisma&gt;12)),"yes","no")</f>
        <v>yes</v>
      </c>
      <c r="O107" s="218">
        <f t="shared" si="18"/>
        <v>0</v>
      </c>
      <c r="P107" s="218">
        <f>IF(O107=0,0,COUNTIF($P$15:P106,"&gt;0")+1)</f>
        <v>0</v>
      </c>
      <c r="R107" s="220" t="str">
        <f t="shared" si="21"/>
        <v/>
      </c>
      <c r="S107" s="220" t="str">
        <f t="shared" si="19"/>
        <v/>
      </c>
      <c r="X107" s="219" t="str">
        <f t="shared" si="22"/>
        <v/>
      </c>
      <c r="Y107" s="219" t="str">
        <f>IFERROR(INDEX(T01_Races!$B$2:$B$101,MATCH('C01_BaseCalculation'!X107,T01_Races!$C$2:$C$101,0),1),"")</f>
        <v/>
      </c>
      <c r="Z107" s="217" t="str">
        <f t="shared" si="23"/>
        <v/>
      </c>
      <c r="AA107" s="217" t="str">
        <f>IFERROR(IF(Z107="","",INDEX(T01_Races!$E$2:$E$101,MATCH('C01_BaseCalculation'!Z107,T01_Races!$D$2:$D$101,0),1)),"")</f>
        <v/>
      </c>
      <c r="AB107" s="217" t="str">
        <f>IFERROR(IF(Z107="","",INDEX(T01_Races!$A$2:$A$101,MATCH('C01_BaseCalculation'!Z107,T01_Races!$D$2:$D$101,0),1)),"")</f>
        <v/>
      </c>
    </row>
    <row r="108" spans="1:28" x14ac:dyDescent="0.3">
      <c r="B108" s="218" t="str">
        <f t="shared" si="20"/>
        <v/>
      </c>
      <c r="C108" s="218" t="str">
        <f>IFERROR(INDEX(T04_Classes!$B$3:$B$102,#REF!,1),"")</f>
        <v/>
      </c>
      <c r="D108" s="218" t="str">
        <f>IF(C108="","",COUNTIF(Character_Creation!$R$62:$T$71,C108)+COUNTIF(Character_Creation!$R$72:$T$81,C108))</f>
        <v/>
      </c>
      <c r="E108" s="218">
        <f t="shared" si="17"/>
        <v>0</v>
      </c>
      <c r="F108" s="218">
        <f>IF(E108=0,0,COUNTIF($F$15:F107,"&gt;0")+1)</f>
        <v>0</v>
      </c>
      <c r="G108" s="218">
        <f>IF(IFERROR(SEARCH("and",INDEX(T04_Classes!$BX$3:$BX$102,MATCH('C01_BaseCalculation'!C108,T04_Classes!$B$3:$B$102,0),1)),0)&gt;1,1,0)</f>
        <v>0</v>
      </c>
      <c r="H108" s="218">
        <f>IF(IFERROR(SEARCH("or",INDEX(T04_Classes!$BX$3:$BX$102,MATCH('C01_BaseCalculation'!C108,T04_Classes!$B$3:$B$102,0),1)),0)&gt;1,1,0)</f>
        <v>0</v>
      </c>
      <c r="I108" s="218" t="str">
        <f>IF(OR(IFERROR(SEARCH("Strength",INDEX(T04_Classes!$BX$3:$BX$102,MATCH('C01_BaseCalculation'!C108,T04_Classes!$B$3:$B$102,0),1)),0)=0,AND(IFERROR(SEARCH("Strength",INDEX(T04_Classes!$BX$3:$BX$102,MATCH('C01_BaseCalculation'!C108,T04_Classes!$B$3:$B$102,0),1)),0)&gt;0,Strength&gt;12)),"yes","no")</f>
        <v>yes</v>
      </c>
      <c r="J108" s="218" t="str">
        <f>IF(OR(IFERROR(SEARCH("Dexterity",INDEX(T04_Classes!$BX$3:$BX$102,MATCH('C01_BaseCalculation'!C108,T04_Classes!$B$3:$B$102,0),1)),0)=0,AND(IFERROR(SEARCH("Dexterity",INDEX(T04_Classes!$BX$3:$BX$102,MATCH('C01_BaseCalculation'!C108,T04_Classes!$B$3:$B$102,0),1)),0)&gt;0,Dexterity&gt;12)),"yes","no")</f>
        <v>yes</v>
      </c>
      <c r="K108" s="218" t="str">
        <f>IF(OR(IFERROR(SEARCH("Constitution",INDEX(T04_Classes!$BX$3:$BX$102,MATCH('C01_BaseCalculation'!C108,T04_Classes!$B$3:$B$102,0),1)),0)=0,AND(IFERROR(SEARCH("Constitution",INDEX(T04_Classes!$BX$3:$BX$102,MATCH('C01_BaseCalculation'!C108,T04_Classes!$B$3:$B$102,0),1)),0)&gt;0,Constitution&gt;12)),"yes","no")</f>
        <v>yes</v>
      </c>
      <c r="L108" s="218" t="str">
        <f>IF(OR(IFERROR(SEARCH("Intelligence",INDEX(T04_Classes!$BX$3:$BX$102,MATCH('C01_BaseCalculation'!C108,T04_Classes!$B$3:$B$102,0),1)),0)=0,AND(IFERROR(SEARCH("Intelligence",INDEX(T04_Classes!$BX$3:$BX$102,MATCH('C01_BaseCalculation'!C108,T04_Classes!$B$3:$B$102,0),1)),0)&gt;0,Intelligence&gt;12)),"yes","no")</f>
        <v>yes</v>
      </c>
      <c r="M108" s="218" t="str">
        <f>IF(OR(IFERROR(SEARCH("Wisdom",INDEX(T04_Classes!$BX$3:$BX$102,MATCH('C01_BaseCalculation'!C108,T04_Classes!$B$3:$B$102,0),1)),0)=0,AND(IFERROR(SEARCH("Wisdom",INDEX(T04_Classes!$BX$3:$BX$102,MATCH('C01_BaseCalculation'!C108,T04_Classes!$B$3:$B$102,0),1)),0)&gt;0,Wisdom&gt;12)),"yes","no")</f>
        <v>yes</v>
      </c>
      <c r="N108" s="218" t="str">
        <f>IF(OR(IFERROR(SEARCH("Charisma",INDEX(T04_Classes!$BX$3:$BX$102,MATCH('C01_BaseCalculation'!C108,T04_Classes!$B$3:$B$102,0),1)),0)=0,AND(IFERROR(SEARCH("Charisma",INDEX(T04_Classes!$BX$3:$BX$102,MATCH('C01_BaseCalculation'!C108,T04_Classes!$B$3:$B$102,0),1)),0)&gt;0,Charisma&gt;12)),"yes","no")</f>
        <v>yes</v>
      </c>
      <c r="O108" s="218">
        <f t="shared" si="18"/>
        <v>0</v>
      </c>
      <c r="P108" s="218">
        <f>IF(O108=0,0,COUNTIF($P$15:P107,"&gt;0")+1)</f>
        <v>0</v>
      </c>
      <c r="R108" s="220" t="str">
        <f t="shared" si="21"/>
        <v/>
      </c>
      <c r="S108" s="220" t="str">
        <f t="shared" si="19"/>
        <v/>
      </c>
      <c r="X108" s="219" t="str">
        <f t="shared" si="22"/>
        <v/>
      </c>
      <c r="Y108" s="219" t="str">
        <f>IFERROR(INDEX(T01_Races!$B$2:$B$101,MATCH('C01_BaseCalculation'!X108,T01_Races!$C$2:$C$101,0),1),"")</f>
        <v/>
      </c>
      <c r="Z108" s="217" t="str">
        <f t="shared" si="23"/>
        <v/>
      </c>
      <c r="AA108" s="217" t="str">
        <f>IFERROR(IF(Z108="","",INDEX(T01_Races!$E$2:$E$101,MATCH('C01_BaseCalculation'!Z108,T01_Races!$D$2:$D$101,0),1)),"")</f>
        <v/>
      </c>
      <c r="AB108" s="217" t="str">
        <f>IFERROR(IF(Z108="","",INDEX(T01_Races!$A$2:$A$101,MATCH('C01_BaseCalculation'!Z108,T01_Races!$D$2:$D$101,0),1)),"")</f>
        <v/>
      </c>
    </row>
    <row r="109" spans="1:28" x14ac:dyDescent="0.3">
      <c r="A109" s="167"/>
      <c r="B109" s="218" t="str">
        <f t="shared" si="20"/>
        <v/>
      </c>
      <c r="C109" s="218" t="str">
        <f>IFERROR(INDEX(T04_Classes!$B$3:$B$102,B109,1),"")</f>
        <v/>
      </c>
      <c r="D109" s="218" t="str">
        <f>IF(C109="","",COUNTIF(Character_Creation!$R$62:$T$71,C109)+COUNTIF(Character_Creation!$R$72:$T$81,C109))</f>
        <v/>
      </c>
      <c r="E109" s="218">
        <f t="shared" si="17"/>
        <v>0</v>
      </c>
      <c r="F109" s="218">
        <f>IF(E109=0,0,COUNTIF($F$15:F108,"&gt;0")+1)</f>
        <v>0</v>
      </c>
      <c r="G109" s="218">
        <f>IF(IFERROR(SEARCH("and",INDEX(T04_Classes!$BX$3:$BX$102,MATCH('C01_BaseCalculation'!C109,T04_Classes!$B$3:$B$102,0),1)),0)&gt;1,1,0)</f>
        <v>0</v>
      </c>
      <c r="H109" s="218">
        <f>IF(IFERROR(SEARCH("or",INDEX(T04_Classes!$BX$3:$BX$102,MATCH('C01_BaseCalculation'!C109,T04_Classes!$B$3:$B$102,0),1)),0)&gt;1,1,0)</f>
        <v>0</v>
      </c>
      <c r="I109" s="218" t="str">
        <f>IF(OR(IFERROR(SEARCH("Strength",INDEX(T04_Classes!$BX$3:$BX$102,MATCH('C01_BaseCalculation'!C109,T04_Classes!$B$3:$B$102,0),1)),0)=0,AND(IFERROR(SEARCH("Strength",INDEX(T04_Classes!$BX$3:$BX$102,MATCH('C01_BaseCalculation'!C109,T04_Classes!$B$3:$B$102,0),1)),0)&gt;0,Strength&gt;12)),"yes","no")</f>
        <v>yes</v>
      </c>
      <c r="J109" s="218" t="str">
        <f>IF(OR(IFERROR(SEARCH("Dexterity",INDEX(T04_Classes!$BX$3:$BX$102,MATCH('C01_BaseCalculation'!C109,T04_Classes!$B$3:$B$102,0),1)),0)=0,AND(IFERROR(SEARCH("Dexterity",INDEX(T04_Classes!$BX$3:$BX$102,MATCH('C01_BaseCalculation'!C109,T04_Classes!$B$3:$B$102,0),1)),0)&gt;0,Dexterity&gt;12)),"yes","no")</f>
        <v>yes</v>
      </c>
      <c r="K109" s="218" t="str">
        <f>IF(OR(IFERROR(SEARCH("Constitution",INDEX(T04_Classes!$BX$3:$BX$102,MATCH('C01_BaseCalculation'!C109,T04_Classes!$B$3:$B$102,0),1)),0)=0,AND(IFERROR(SEARCH("Constitution",INDEX(T04_Classes!$BX$3:$BX$102,MATCH('C01_BaseCalculation'!C109,T04_Classes!$B$3:$B$102,0),1)),0)&gt;0,Constitution&gt;12)),"yes","no")</f>
        <v>yes</v>
      </c>
      <c r="L109" s="218" t="str">
        <f>IF(OR(IFERROR(SEARCH("Intelligence",INDEX(T04_Classes!$BX$3:$BX$102,MATCH('C01_BaseCalculation'!C109,T04_Classes!$B$3:$B$102,0),1)),0)=0,AND(IFERROR(SEARCH("Intelligence",INDEX(T04_Classes!$BX$3:$BX$102,MATCH('C01_BaseCalculation'!C109,T04_Classes!$B$3:$B$102,0),1)),0)&gt;0,Intelligence&gt;12)),"yes","no")</f>
        <v>yes</v>
      </c>
      <c r="M109" s="218" t="str">
        <f>IF(OR(IFERROR(SEARCH("Wisdom",INDEX(T04_Classes!$BX$3:$BX$102,MATCH('C01_BaseCalculation'!C109,T04_Classes!$B$3:$B$102,0),1)),0)=0,AND(IFERROR(SEARCH("Wisdom",INDEX(T04_Classes!$BX$3:$BX$102,MATCH('C01_BaseCalculation'!C109,T04_Classes!$B$3:$B$102,0),1)),0)&gt;0,Wisdom&gt;12)),"yes","no")</f>
        <v>yes</v>
      </c>
      <c r="N109" s="218" t="str">
        <f>IF(OR(IFERROR(SEARCH("Charisma",INDEX(T04_Classes!$BX$3:$BX$102,MATCH('C01_BaseCalculation'!C109,T04_Classes!$B$3:$B$102,0),1)),0)=0,AND(IFERROR(SEARCH("Charisma",INDEX(T04_Classes!$BX$3:$BX$102,MATCH('C01_BaseCalculation'!C109,T04_Classes!$B$3:$B$102,0),1)),0)&gt;0,Charisma&gt;12)),"yes","no")</f>
        <v>yes</v>
      </c>
      <c r="O109" s="218">
        <f t="shared" si="18"/>
        <v>0</v>
      </c>
      <c r="P109" s="218">
        <f>IF(O109=0,0,COUNTIF($P$15:P108,"&gt;0")+1)</f>
        <v>0</v>
      </c>
      <c r="R109" s="220" t="str">
        <f t="shared" si="21"/>
        <v/>
      </c>
      <c r="S109" s="220" t="str">
        <f t="shared" si="19"/>
        <v/>
      </c>
      <c r="X109" s="219" t="str">
        <f t="shared" si="22"/>
        <v/>
      </c>
      <c r="Y109" s="219" t="str">
        <f>IFERROR(INDEX(T01_Races!$B$2:$B$101,MATCH('C01_BaseCalculation'!X109,T01_Races!$C$2:$C$101,0),1),"")</f>
        <v/>
      </c>
      <c r="Z109" s="217" t="str">
        <f t="shared" si="23"/>
        <v/>
      </c>
      <c r="AA109" s="217" t="str">
        <f>IFERROR(IF(Z109="","",INDEX(T01_Races!$E$2:$E$101,MATCH('C01_BaseCalculation'!Z109,T01_Races!$D$2:$D$101,0),1)),"")</f>
        <v/>
      </c>
      <c r="AB109" s="217" t="str">
        <f>IFERROR(IF(Z109="","",INDEX(T01_Races!$A$2:$A$101,MATCH('C01_BaseCalculation'!Z109,T01_Races!$D$2:$D$101,0),1)),"")</f>
        <v/>
      </c>
    </row>
    <row r="110" spans="1:28" x14ac:dyDescent="0.3">
      <c r="B110" s="218" t="str">
        <f t="shared" si="20"/>
        <v/>
      </c>
      <c r="C110" s="218" t="str">
        <f>IFERROR(INDEX(T04_Classes!$B$3:$B$102,#REF!,1),"")</f>
        <v/>
      </c>
      <c r="D110" s="218" t="str">
        <f>IF(C110="","",COUNTIF(Character_Creation!$R$62:$T$71,C110)+COUNTIF(Character_Creation!$R$72:$T$81,C110))</f>
        <v/>
      </c>
      <c r="E110" s="218">
        <f t="shared" si="17"/>
        <v>0</v>
      </c>
      <c r="F110" s="218">
        <f>IF(E110=0,0,COUNTIF($F$15:F109,"&gt;0")+1)</f>
        <v>0</v>
      </c>
      <c r="G110" s="218">
        <f>IF(IFERROR(SEARCH("and",INDEX(T04_Classes!$BX$3:$BX$102,MATCH('C01_BaseCalculation'!C110,T04_Classes!$B$3:$B$102,0),1)),0)&gt;1,1,0)</f>
        <v>0</v>
      </c>
      <c r="H110" s="218">
        <f>IF(IFERROR(SEARCH("or",INDEX(T04_Classes!$BX$3:$BX$102,MATCH('C01_BaseCalculation'!C110,T04_Classes!$B$3:$B$102,0),1)),0)&gt;1,1,0)</f>
        <v>0</v>
      </c>
      <c r="I110" s="218" t="str">
        <f>IF(OR(IFERROR(SEARCH("Strength",INDEX(T04_Classes!$BX$3:$BX$102,MATCH('C01_BaseCalculation'!C110,T04_Classes!$B$3:$B$102,0),1)),0)=0,AND(IFERROR(SEARCH("Strength",INDEX(T04_Classes!$BX$3:$BX$102,MATCH('C01_BaseCalculation'!C110,T04_Classes!$B$3:$B$102,0),1)),0)&gt;0,Strength&gt;12)),"yes","no")</f>
        <v>yes</v>
      </c>
      <c r="J110" s="218" t="str">
        <f>IF(OR(IFERROR(SEARCH("Dexterity",INDEX(T04_Classes!$BX$3:$BX$102,MATCH('C01_BaseCalculation'!C110,T04_Classes!$B$3:$B$102,0),1)),0)=0,AND(IFERROR(SEARCH("Dexterity",INDEX(T04_Classes!$BX$3:$BX$102,MATCH('C01_BaseCalculation'!C110,T04_Classes!$B$3:$B$102,0),1)),0)&gt;0,Dexterity&gt;12)),"yes","no")</f>
        <v>yes</v>
      </c>
      <c r="K110" s="218" t="str">
        <f>IF(OR(IFERROR(SEARCH("Constitution",INDEX(T04_Classes!$BX$3:$BX$102,MATCH('C01_BaseCalculation'!C110,T04_Classes!$B$3:$B$102,0),1)),0)=0,AND(IFERROR(SEARCH("Constitution",INDEX(T04_Classes!$BX$3:$BX$102,MATCH('C01_BaseCalculation'!C110,T04_Classes!$B$3:$B$102,0),1)),0)&gt;0,Constitution&gt;12)),"yes","no")</f>
        <v>yes</v>
      </c>
      <c r="L110" s="218" t="str">
        <f>IF(OR(IFERROR(SEARCH("Intelligence",INDEX(T04_Classes!$BX$3:$BX$102,MATCH('C01_BaseCalculation'!C110,T04_Classes!$B$3:$B$102,0),1)),0)=0,AND(IFERROR(SEARCH("Intelligence",INDEX(T04_Classes!$BX$3:$BX$102,MATCH('C01_BaseCalculation'!C110,T04_Classes!$B$3:$B$102,0),1)),0)&gt;0,Intelligence&gt;12)),"yes","no")</f>
        <v>yes</v>
      </c>
      <c r="M110" s="218" t="str">
        <f>IF(OR(IFERROR(SEARCH("Wisdom",INDEX(T04_Classes!$BX$3:$BX$102,MATCH('C01_BaseCalculation'!C110,T04_Classes!$B$3:$B$102,0),1)),0)=0,AND(IFERROR(SEARCH("Wisdom",INDEX(T04_Classes!$BX$3:$BX$102,MATCH('C01_BaseCalculation'!C110,T04_Classes!$B$3:$B$102,0),1)),0)&gt;0,Wisdom&gt;12)),"yes","no")</f>
        <v>yes</v>
      </c>
      <c r="N110" s="218" t="str">
        <f>IF(OR(IFERROR(SEARCH("Charisma",INDEX(T04_Classes!$BX$3:$BX$102,MATCH('C01_BaseCalculation'!C110,T04_Classes!$B$3:$B$102,0),1)),0)=0,AND(IFERROR(SEARCH("Charisma",INDEX(T04_Classes!$BX$3:$BX$102,MATCH('C01_BaseCalculation'!C110,T04_Classes!$B$3:$B$102,0),1)),0)&gt;0,Charisma&gt;12)),"yes","no")</f>
        <v>yes</v>
      </c>
      <c r="O110" s="218">
        <f t="shared" si="18"/>
        <v>0</v>
      </c>
      <c r="P110" s="218">
        <f>IF(O110=0,0,COUNTIF($P$15:P109,"&gt;0")+1)</f>
        <v>0</v>
      </c>
      <c r="R110" s="220" t="str">
        <f t="shared" si="21"/>
        <v/>
      </c>
      <c r="S110" s="220" t="str">
        <f t="shared" si="19"/>
        <v/>
      </c>
      <c r="X110" s="219" t="str">
        <f t="shared" si="22"/>
        <v/>
      </c>
      <c r="Y110" s="219" t="str">
        <f>IFERROR(INDEX(T01_Races!$B$2:$B$101,MATCH('C01_BaseCalculation'!X110,T01_Races!$C$2:$C$101,0),1),"")</f>
        <v/>
      </c>
      <c r="Z110" s="217" t="str">
        <f t="shared" si="23"/>
        <v/>
      </c>
      <c r="AA110" s="217" t="str">
        <f>IFERROR(IF(Z110="","",INDEX(T01_Races!$E$2:$E$101,MATCH('C01_BaseCalculation'!Z110,T01_Races!$D$2:$D$101,0),1)),"")</f>
        <v/>
      </c>
      <c r="AB110" s="217" t="str">
        <f>IFERROR(IF(Z110="","",INDEX(T01_Races!$A$2:$A$101,MATCH('C01_BaseCalculation'!Z110,T01_Races!$D$2:$D$101,0),1)),"")</f>
        <v/>
      </c>
    </row>
    <row r="111" spans="1:28" x14ac:dyDescent="0.3">
      <c r="B111" s="218" t="str">
        <f t="shared" si="20"/>
        <v/>
      </c>
      <c r="C111" s="218" t="str">
        <f>IFERROR(INDEX(T04_Classes!$B$3:$B$102,#REF!,1),"")</f>
        <v/>
      </c>
      <c r="D111" s="218" t="str">
        <f>IF(C111="","",COUNTIF(Character_Creation!$R$62:$T$71,C111)+COUNTIF(Character_Creation!$R$72:$T$81,C111))</f>
        <v/>
      </c>
      <c r="E111" s="218">
        <f>IF(OR(D111=0,D111=""),0,1)</f>
        <v>0</v>
      </c>
      <c r="F111" s="218">
        <f>IF(E111=0,0,COUNTIF($F$15:F110,"&gt;0")+1)</f>
        <v>0</v>
      </c>
      <c r="G111" s="218">
        <f>IF(IFERROR(SEARCH("and",INDEX(T04_Classes!$BX$3:$BX$102,MATCH('C01_BaseCalculation'!C111,T04_Classes!$B$3:$B$102,0),1)),0)&gt;1,1,0)</f>
        <v>0</v>
      </c>
      <c r="H111" s="218">
        <f>IF(IFERROR(SEARCH("or",INDEX(T04_Classes!$BX$3:$BX$102,MATCH('C01_BaseCalculation'!C111,T04_Classes!$B$3:$B$102,0),1)),0)&gt;1,1,0)</f>
        <v>0</v>
      </c>
      <c r="I111" s="218" t="str">
        <f>IF(OR(IFERROR(SEARCH("Strength",INDEX(T04_Classes!$BX$3:$BX$102,MATCH('C01_BaseCalculation'!C111,T04_Classes!$B$3:$B$102,0),1)),0)=0,AND(IFERROR(SEARCH("Strength",INDEX(T04_Classes!$BX$3:$BX$102,MATCH('C01_BaseCalculation'!C111,T04_Classes!$B$3:$B$102,0),1)),0)&gt;0,Strength&gt;12)),"yes","no")</f>
        <v>yes</v>
      </c>
      <c r="J111" s="218" t="str">
        <f>IF(OR(IFERROR(SEARCH("Dexterity",INDEX(T04_Classes!$BX$3:$BX$102,MATCH('C01_BaseCalculation'!C111,T04_Classes!$B$3:$B$102,0),1)),0)=0,AND(IFERROR(SEARCH("Dexterity",INDEX(T04_Classes!$BX$3:$BX$102,MATCH('C01_BaseCalculation'!C111,T04_Classes!$B$3:$B$102,0),1)),0)&gt;0,Dexterity&gt;12)),"yes","no")</f>
        <v>yes</v>
      </c>
      <c r="K111" s="218" t="str">
        <f>IF(OR(IFERROR(SEARCH("Constitution",INDEX(T04_Classes!$BX$3:$BX$102,MATCH('C01_BaseCalculation'!C111,T04_Classes!$B$3:$B$102,0),1)),0)=0,AND(IFERROR(SEARCH("Constitution",INDEX(T04_Classes!$BX$3:$BX$102,MATCH('C01_BaseCalculation'!C111,T04_Classes!$B$3:$B$102,0),1)),0)&gt;0,Constitution&gt;12)),"yes","no")</f>
        <v>yes</v>
      </c>
      <c r="L111" s="218" t="str">
        <f>IF(OR(IFERROR(SEARCH("Intelligence",INDEX(T04_Classes!$BX$3:$BX$102,MATCH('C01_BaseCalculation'!C111,T04_Classes!$B$3:$B$102,0),1)),0)=0,AND(IFERROR(SEARCH("Intelligence",INDEX(T04_Classes!$BX$3:$BX$102,MATCH('C01_BaseCalculation'!C111,T04_Classes!$B$3:$B$102,0),1)),0)&gt;0,Intelligence&gt;12)),"yes","no")</f>
        <v>yes</v>
      </c>
      <c r="M111" s="218" t="str">
        <f>IF(OR(IFERROR(SEARCH("Wisdom",INDEX(T04_Classes!$BX$3:$BX$102,MATCH('C01_BaseCalculation'!C111,T04_Classes!$B$3:$B$102,0),1)),0)=0,AND(IFERROR(SEARCH("Wisdom",INDEX(T04_Classes!$BX$3:$BX$102,MATCH('C01_BaseCalculation'!C111,T04_Classes!$B$3:$B$102,0),1)),0)&gt;0,Wisdom&gt;12)),"yes","no")</f>
        <v>yes</v>
      </c>
      <c r="N111" s="218" t="str">
        <f>IF(OR(IFERROR(SEARCH("Charisma",INDEX(T04_Classes!$BX$3:$BX$102,MATCH('C01_BaseCalculation'!C111,T04_Classes!$B$3:$B$102,0),1)),0)=0,AND(IFERROR(SEARCH("Charisma",INDEX(T04_Classes!$BX$3:$BX$102,MATCH('C01_BaseCalculation'!C111,T04_Classes!$B$3:$B$102,0),1)),0)&gt;0,Charisma&gt;12)),"yes","no")</f>
        <v>yes</v>
      </c>
      <c r="O111" s="218">
        <f>IF(C111="",0,IF(H111=1,IF(COUNTIF(I111:N111,"no")&lt;2,1,0),IF(COUNTIF(I111:N111,"no")&gt;0,0,1)))</f>
        <v>0</v>
      </c>
      <c r="P111" s="218">
        <f>IF(O111=0,0,COUNTIF($P$15:P110,"&gt;0")+1)</f>
        <v>0</v>
      </c>
      <c r="R111" s="220" t="str">
        <f t="shared" si="21"/>
        <v/>
      </c>
      <c r="S111" s="220" t="str">
        <f>IFERROR(INDEX($C$15:$C$114,MATCH(R111,$P$15:$P$114,0),1),"")</f>
        <v/>
      </c>
      <c r="X111" s="219" t="str">
        <f t="shared" si="22"/>
        <v/>
      </c>
      <c r="Y111" s="219" t="str">
        <f>IFERROR(INDEX(T01_Races!$B$2:$B$101,MATCH('C01_BaseCalculation'!X111,T01_Races!$C$2:$C$101,0),1),"")</f>
        <v/>
      </c>
      <c r="Z111" s="217" t="str">
        <f t="shared" si="23"/>
        <v/>
      </c>
      <c r="AA111" s="217" t="str">
        <f>IFERROR(IF(Z111="","",INDEX(T01_Races!$E$2:$E$101,MATCH('C01_BaseCalculation'!Z111,T01_Races!$D$2:$D$101,0),1)),"")</f>
        <v/>
      </c>
      <c r="AB111" s="217" t="str">
        <f>IFERROR(IF(Z111="","",INDEX(T01_Races!$A$2:$A$101,MATCH('C01_BaseCalculation'!Z111,T01_Races!$D$2:$D$101,0),1)),"")</f>
        <v/>
      </c>
    </row>
    <row r="112" spans="1:28" x14ac:dyDescent="0.3">
      <c r="A112" s="167"/>
      <c r="B112" s="218" t="str">
        <f t="shared" si="20"/>
        <v/>
      </c>
      <c r="C112" s="218" t="str">
        <f>IFERROR(INDEX(T04_Classes!$B$3:$B$102,B112,1),"")</f>
        <v/>
      </c>
      <c r="D112" s="218" t="str">
        <f>IF(C112="","",COUNTIF(Character_Creation!$R$62:$T$71,C112)+COUNTIF(Character_Creation!$R$72:$T$81,C112))</f>
        <v/>
      </c>
      <c r="E112" s="218">
        <f>IF(OR(D112=0,D112=""),0,1)</f>
        <v>0</v>
      </c>
      <c r="F112" s="218">
        <f>IF(E112=0,0,COUNTIF($F$15:F111,"&gt;0")+1)</f>
        <v>0</v>
      </c>
      <c r="G112" s="218">
        <f>IF(IFERROR(SEARCH("and",INDEX(T04_Classes!$BX$3:$BX$102,MATCH('C01_BaseCalculation'!C112,T04_Classes!$B$3:$B$102,0),1)),0)&gt;1,1,0)</f>
        <v>0</v>
      </c>
      <c r="H112" s="218">
        <f>IF(IFERROR(SEARCH("or",INDEX(T04_Classes!$BX$3:$BX$102,MATCH('C01_BaseCalculation'!C112,T04_Classes!$B$3:$B$102,0),1)),0)&gt;1,1,0)</f>
        <v>0</v>
      </c>
      <c r="I112" s="218" t="str">
        <f>IF(OR(IFERROR(SEARCH("Strength",INDEX(T04_Classes!$BX$3:$BX$102,MATCH('C01_BaseCalculation'!C112,T04_Classes!$B$3:$B$102,0),1)),0)=0,AND(IFERROR(SEARCH("Strength",INDEX(T04_Classes!$BX$3:$BX$102,MATCH('C01_BaseCalculation'!C112,T04_Classes!$B$3:$B$102,0),1)),0)&gt;0,Strength&gt;12)),"yes","no")</f>
        <v>yes</v>
      </c>
      <c r="J112" s="218" t="str">
        <f>IF(OR(IFERROR(SEARCH("Dexterity",INDEX(T04_Classes!$BX$3:$BX$102,MATCH('C01_BaseCalculation'!C112,T04_Classes!$B$3:$B$102,0),1)),0)=0,AND(IFERROR(SEARCH("Dexterity",INDEX(T04_Classes!$BX$3:$BX$102,MATCH('C01_BaseCalculation'!C112,T04_Classes!$B$3:$B$102,0),1)),0)&gt;0,Dexterity&gt;12)),"yes","no")</f>
        <v>yes</v>
      </c>
      <c r="K112" s="218" t="str">
        <f>IF(OR(IFERROR(SEARCH("Constitution",INDEX(T04_Classes!$BX$3:$BX$102,MATCH('C01_BaseCalculation'!C112,T04_Classes!$B$3:$B$102,0),1)),0)=0,AND(IFERROR(SEARCH("Constitution",INDEX(T04_Classes!$BX$3:$BX$102,MATCH('C01_BaseCalculation'!C112,T04_Classes!$B$3:$B$102,0),1)),0)&gt;0,Constitution&gt;12)),"yes","no")</f>
        <v>yes</v>
      </c>
      <c r="L112" s="218" t="str">
        <f>IF(OR(IFERROR(SEARCH("Intelligence",INDEX(T04_Classes!$BX$3:$BX$102,MATCH('C01_BaseCalculation'!C112,T04_Classes!$B$3:$B$102,0),1)),0)=0,AND(IFERROR(SEARCH("Intelligence",INDEX(T04_Classes!$BX$3:$BX$102,MATCH('C01_BaseCalculation'!C112,T04_Classes!$B$3:$B$102,0),1)),0)&gt;0,Intelligence&gt;12)),"yes","no")</f>
        <v>yes</v>
      </c>
      <c r="M112" s="218" t="str">
        <f>IF(OR(IFERROR(SEARCH("Wisdom",INDEX(T04_Classes!$BX$3:$BX$102,MATCH('C01_BaseCalculation'!C112,T04_Classes!$B$3:$B$102,0),1)),0)=0,AND(IFERROR(SEARCH("Wisdom",INDEX(T04_Classes!$BX$3:$BX$102,MATCH('C01_BaseCalculation'!C112,T04_Classes!$B$3:$B$102,0),1)),0)&gt;0,Wisdom&gt;12)),"yes","no")</f>
        <v>yes</v>
      </c>
      <c r="N112" s="218" t="str">
        <f>IF(OR(IFERROR(SEARCH("Charisma",INDEX(T04_Classes!$BX$3:$BX$102,MATCH('C01_BaseCalculation'!C112,T04_Classes!$B$3:$B$102,0),1)),0)=0,AND(IFERROR(SEARCH("Charisma",INDEX(T04_Classes!$BX$3:$BX$102,MATCH('C01_BaseCalculation'!C112,T04_Classes!$B$3:$B$102,0),1)),0)&gt;0,Charisma&gt;12)),"yes","no")</f>
        <v>yes</v>
      </c>
      <c r="O112" s="218">
        <f>IF(C112="",0,IF(H112=1,IF(COUNTIF(I112:N112,"no")&lt;2,1,0),IF(COUNTIF(I112:N112,"no")&gt;0,0,1)))</f>
        <v>0</v>
      </c>
      <c r="P112" s="218">
        <f>IF(O112=0,0,COUNTIF($P$15:P111,"&gt;0")+1)</f>
        <v>0</v>
      </c>
      <c r="R112" s="220" t="str">
        <f t="shared" si="21"/>
        <v/>
      </c>
      <c r="S112" s="220" t="str">
        <f>IFERROR(INDEX($C$15:$C$114,MATCH(R112,$P$15:$P$114,0),1),"")</f>
        <v/>
      </c>
      <c r="X112" s="219" t="str">
        <f t="shared" si="22"/>
        <v/>
      </c>
      <c r="Y112" s="219" t="str">
        <f>IFERROR(INDEX(T01_Races!$B$2:$B$101,MATCH('C01_BaseCalculation'!X112,T01_Races!$C$2:$C$101,0),1),"")</f>
        <v/>
      </c>
      <c r="Z112" s="217" t="str">
        <f t="shared" si="23"/>
        <v/>
      </c>
      <c r="AA112" s="217" t="str">
        <f>IFERROR(IF(Z112="","",INDEX(T01_Races!$E$2:$E$101,MATCH('C01_BaseCalculation'!Z112,T01_Races!$D$2:$D$101,0),1)),"")</f>
        <v/>
      </c>
      <c r="AB112" s="217" t="str">
        <f>IFERROR(IF(Z112="","",INDEX(T01_Races!$A$2:$A$101,MATCH('C01_BaseCalculation'!Z112,T01_Races!$D$2:$D$101,0),1)),"")</f>
        <v/>
      </c>
    </row>
    <row r="113" spans="1:31" x14ac:dyDescent="0.3">
      <c r="A113" s="167"/>
      <c r="B113" s="218" t="str">
        <f t="shared" si="20"/>
        <v/>
      </c>
      <c r="C113" s="218" t="str">
        <f>IFERROR(INDEX(T04_Classes!$B$3:$B$102,B113,1),"")</f>
        <v/>
      </c>
      <c r="D113" s="218" t="str">
        <f>IF(C113="","",COUNTIF(Character_Creation!$R$62:$T$71,C113)+COUNTIF(Character_Creation!$R$72:$T$81,C113))</f>
        <v/>
      </c>
      <c r="E113" s="218">
        <f>IF(OR(D113=0,D113=""),0,1)</f>
        <v>0</v>
      </c>
      <c r="F113" s="218">
        <f>IF(E113=0,0,COUNTIF($F$15:F112,"&gt;0")+1)</f>
        <v>0</v>
      </c>
      <c r="G113" s="218">
        <f>IF(IFERROR(SEARCH("and",INDEX(T04_Classes!$BX$3:$BX$102,MATCH('C01_BaseCalculation'!C113,T04_Classes!$B$3:$B$102,0),1)),0)&gt;1,1,0)</f>
        <v>0</v>
      </c>
      <c r="H113" s="218">
        <f>IF(IFERROR(SEARCH("or",INDEX(T04_Classes!$BX$3:$BX$102,MATCH('C01_BaseCalculation'!C113,T04_Classes!$B$3:$B$102,0),1)),0)&gt;1,1,0)</f>
        <v>0</v>
      </c>
      <c r="I113" s="218" t="str">
        <f>IF(OR(IFERROR(SEARCH("Strength",INDEX(T04_Classes!$BX$3:$BX$102,MATCH('C01_BaseCalculation'!C113,T04_Classes!$B$3:$B$102,0),1)),0)=0,AND(IFERROR(SEARCH("Strength",INDEX(T04_Classes!$BX$3:$BX$102,MATCH('C01_BaseCalculation'!C113,T04_Classes!$B$3:$B$102,0),1)),0)&gt;0,Strength&gt;12)),"yes","no")</f>
        <v>yes</v>
      </c>
      <c r="J113" s="218" t="str">
        <f>IF(OR(IFERROR(SEARCH("Dexterity",INDEX(T04_Classes!$BX$3:$BX$102,MATCH('C01_BaseCalculation'!C113,T04_Classes!$B$3:$B$102,0),1)),0)=0,AND(IFERROR(SEARCH("Dexterity",INDEX(T04_Classes!$BX$3:$BX$102,MATCH('C01_BaseCalculation'!C113,T04_Classes!$B$3:$B$102,0),1)),0)&gt;0,Dexterity&gt;12)),"yes","no")</f>
        <v>yes</v>
      </c>
      <c r="K113" s="218" t="str">
        <f>IF(OR(IFERROR(SEARCH("Constitution",INDEX(T04_Classes!$BX$3:$BX$102,MATCH('C01_BaseCalculation'!C113,T04_Classes!$B$3:$B$102,0),1)),0)=0,AND(IFERROR(SEARCH("Constitution",INDEX(T04_Classes!$BX$3:$BX$102,MATCH('C01_BaseCalculation'!C113,T04_Classes!$B$3:$B$102,0),1)),0)&gt;0,Constitution&gt;12)),"yes","no")</f>
        <v>yes</v>
      </c>
      <c r="L113" s="218" t="str">
        <f>IF(OR(IFERROR(SEARCH("Intelligence",INDEX(T04_Classes!$BX$3:$BX$102,MATCH('C01_BaseCalculation'!C113,T04_Classes!$B$3:$B$102,0),1)),0)=0,AND(IFERROR(SEARCH("Intelligence",INDEX(T04_Classes!$BX$3:$BX$102,MATCH('C01_BaseCalculation'!C113,T04_Classes!$B$3:$B$102,0),1)),0)&gt;0,Intelligence&gt;12)),"yes","no")</f>
        <v>yes</v>
      </c>
      <c r="M113" s="218" t="str">
        <f>IF(OR(IFERROR(SEARCH("Wisdom",INDEX(T04_Classes!$BX$3:$BX$102,MATCH('C01_BaseCalculation'!C113,T04_Classes!$B$3:$B$102,0),1)),0)=0,AND(IFERROR(SEARCH("Wisdom",INDEX(T04_Classes!$BX$3:$BX$102,MATCH('C01_BaseCalculation'!C113,T04_Classes!$B$3:$B$102,0),1)),0)&gt;0,Wisdom&gt;12)),"yes","no")</f>
        <v>yes</v>
      </c>
      <c r="N113" s="218" t="str">
        <f>IF(OR(IFERROR(SEARCH("Charisma",INDEX(T04_Classes!$BX$3:$BX$102,MATCH('C01_BaseCalculation'!C113,T04_Classes!$B$3:$B$102,0),1)),0)=0,AND(IFERROR(SEARCH("Charisma",INDEX(T04_Classes!$BX$3:$BX$102,MATCH('C01_BaseCalculation'!C113,T04_Classes!$B$3:$B$102,0),1)),0)&gt;0,Charisma&gt;12)),"yes","no")</f>
        <v>yes</v>
      </c>
      <c r="O113" s="218">
        <f>IF(C113="",0,IF(H113=1,IF(COUNTIF(I113:N113,"no")&lt;2,1,0),IF(COUNTIF(I113:N113,"no")&gt;0,0,1)))</f>
        <v>0</v>
      </c>
      <c r="P113" s="218">
        <f>IF(O113=0,0,COUNTIF($P$15:P112,"&gt;0")+1)</f>
        <v>0</v>
      </c>
      <c r="R113" s="220" t="str">
        <f t="shared" si="21"/>
        <v/>
      </c>
      <c r="S113" s="220" t="str">
        <f>IFERROR(INDEX($C$15:$C$114,MATCH(R113,$P$15:$P$114,0),1),"")</f>
        <v/>
      </c>
      <c r="X113" s="219" t="str">
        <f t="shared" si="22"/>
        <v/>
      </c>
      <c r="Y113" s="219" t="str">
        <f>IFERROR(INDEX(T01_Races!$B$2:$B$101,MATCH('C01_BaseCalculation'!X113,T01_Races!$C$2:$C$101,0),1),"")</f>
        <v/>
      </c>
      <c r="Z113" s="217" t="str">
        <f t="shared" si="23"/>
        <v/>
      </c>
      <c r="AA113" s="217" t="str">
        <f>IFERROR(IF(Z113="","",INDEX(T01_Races!$E$2:$E$101,MATCH('C01_BaseCalculation'!Z113,T01_Races!$D$2:$D$101,0),1)),"")</f>
        <v/>
      </c>
      <c r="AB113" s="217" t="str">
        <f>IFERROR(IF(Z113="","",INDEX(T01_Races!$A$2:$A$101,MATCH('C01_BaseCalculation'!Z113,T01_Races!$D$2:$D$101,0),1)),"")</f>
        <v/>
      </c>
    </row>
    <row r="114" spans="1:31" x14ac:dyDescent="0.3">
      <c r="A114" s="167"/>
      <c r="B114" s="218" t="str">
        <f t="shared" si="20"/>
        <v/>
      </c>
      <c r="C114" s="218" t="str">
        <f>IFERROR(INDEX(T04_Classes!$B$3:$B$102,B114,1),"")</f>
        <v/>
      </c>
      <c r="D114" s="218" t="str">
        <f>IF(C114="","",COUNTIF(Character_Creation!$R$62:$T$71,C114)+COUNTIF(Character_Creation!$R$72:$T$81,C114))</f>
        <v/>
      </c>
      <c r="E114" s="218">
        <f>IF(OR(D114=0,D114=""),0,1)</f>
        <v>0</v>
      </c>
      <c r="F114" s="218">
        <f>IF(E114=0,0,COUNTIF($F$15:F113,"&gt;0")+1)</f>
        <v>0</v>
      </c>
      <c r="G114" s="218">
        <f>IF(IFERROR(SEARCH("and",INDEX(T04_Classes!$BX$3:$BX$102,MATCH('C01_BaseCalculation'!C114,T04_Classes!$B$3:$B$102,0),1)),0)&gt;1,1,0)</f>
        <v>0</v>
      </c>
      <c r="H114" s="218">
        <f>IF(IFERROR(SEARCH("or",INDEX(T04_Classes!$BX$3:$BX$102,MATCH('C01_BaseCalculation'!C114,T04_Classes!$B$3:$B$102,0),1)),0)&gt;1,1,0)</f>
        <v>0</v>
      </c>
      <c r="I114" s="218" t="str">
        <f>IF(OR(IFERROR(SEARCH("Strength",INDEX(T04_Classes!$BX$3:$BX$102,MATCH('C01_BaseCalculation'!C114,T04_Classes!$B$3:$B$102,0),1)),0)=0,AND(IFERROR(SEARCH("Strength",INDEX(T04_Classes!$BX$3:$BX$102,MATCH('C01_BaseCalculation'!C114,T04_Classes!$B$3:$B$102,0),1)),0)&gt;0,Strength&gt;12)),"yes","no")</f>
        <v>yes</v>
      </c>
      <c r="J114" s="218" t="str">
        <f>IF(OR(IFERROR(SEARCH("Dexterity",INDEX(T04_Classes!$BX$3:$BX$102,MATCH('C01_BaseCalculation'!C114,T04_Classes!$B$3:$B$102,0),1)),0)=0,AND(IFERROR(SEARCH("Dexterity",INDEX(T04_Classes!$BX$3:$BX$102,MATCH('C01_BaseCalculation'!C114,T04_Classes!$B$3:$B$102,0),1)),0)&gt;0,Dexterity&gt;12)),"yes","no")</f>
        <v>yes</v>
      </c>
      <c r="K114" s="218" t="str">
        <f>IF(OR(IFERROR(SEARCH("Constitution",INDEX(T04_Classes!$BX$3:$BX$102,MATCH('C01_BaseCalculation'!C114,T04_Classes!$B$3:$B$102,0),1)),0)=0,AND(IFERROR(SEARCH("Constitution",INDEX(T04_Classes!$BX$3:$BX$102,MATCH('C01_BaseCalculation'!C114,T04_Classes!$B$3:$B$102,0),1)),0)&gt;0,Constitution&gt;12)),"yes","no")</f>
        <v>yes</v>
      </c>
      <c r="L114" s="218" t="str">
        <f>IF(OR(IFERROR(SEARCH("Intelligence",INDEX(T04_Classes!$BX$3:$BX$102,MATCH('C01_BaseCalculation'!C114,T04_Classes!$B$3:$B$102,0),1)),0)=0,AND(IFERROR(SEARCH("Intelligence",INDEX(T04_Classes!$BX$3:$BX$102,MATCH('C01_BaseCalculation'!C114,T04_Classes!$B$3:$B$102,0),1)),0)&gt;0,Intelligence&gt;12)),"yes","no")</f>
        <v>yes</v>
      </c>
      <c r="M114" s="218" t="str">
        <f>IF(OR(IFERROR(SEARCH("Wisdom",INDEX(T04_Classes!$BX$3:$BX$102,MATCH('C01_BaseCalculation'!C114,T04_Classes!$B$3:$B$102,0),1)),0)=0,AND(IFERROR(SEARCH("Wisdom",INDEX(T04_Classes!$BX$3:$BX$102,MATCH('C01_BaseCalculation'!C114,T04_Classes!$B$3:$B$102,0),1)),0)&gt;0,Wisdom&gt;12)),"yes","no")</f>
        <v>yes</v>
      </c>
      <c r="N114" s="218" t="str">
        <f>IF(OR(IFERROR(SEARCH("Charisma",INDEX(T04_Classes!$BX$3:$BX$102,MATCH('C01_BaseCalculation'!C114,T04_Classes!$B$3:$B$102,0),1)),0)=0,AND(IFERROR(SEARCH("Charisma",INDEX(T04_Classes!$BX$3:$BX$102,MATCH('C01_BaseCalculation'!C114,T04_Classes!$B$3:$B$102,0),1)),0)&gt;0,Charisma&gt;12)),"yes","no")</f>
        <v>yes</v>
      </c>
      <c r="O114" s="218">
        <f>IF(C114="",0,IF(H114=1,IF(COUNTIF(I114:N114,"no")&lt;2,1,0),IF(COUNTIF(I114:N114,"no")&gt;0,0,1)))</f>
        <v>0</v>
      </c>
      <c r="P114" s="218">
        <f>IF(O114=0,0,COUNTIF($P$15:P113,"&gt;0")+1)</f>
        <v>0</v>
      </c>
      <c r="R114" s="220" t="str">
        <f t="shared" si="21"/>
        <v/>
      </c>
      <c r="S114" s="220" t="str">
        <f>IFERROR(INDEX($C$15:$C$114,MATCH(R114,$P$15:$P$114,0),1),"")</f>
        <v/>
      </c>
      <c r="X114" s="219" t="str">
        <f t="shared" si="22"/>
        <v/>
      </c>
      <c r="Y114" s="219" t="str">
        <f>IFERROR(INDEX(T01_Races!$B$2:$B$101,MATCH('C01_BaseCalculation'!X114,T01_Races!$C$2:$C$101,0),1),"")</f>
        <v/>
      </c>
      <c r="Z114" s="217" t="str">
        <f t="shared" si="23"/>
        <v/>
      </c>
      <c r="AA114" s="217" t="str">
        <f>IFERROR(IF(Z114="","",INDEX(T01_Races!$E$2:$E$101,MATCH('C01_BaseCalculation'!Z114,T01_Races!$D$2:$D$101,0),1)),"")</f>
        <v/>
      </c>
      <c r="AB114" s="217" t="str">
        <f>IFERROR(IF(Z114="","",INDEX(T01_Races!$A$2:$A$101,MATCH('C01_BaseCalculation'!Z114,T01_Races!$D$2:$D$101,0),1)),"")</f>
        <v/>
      </c>
    </row>
    <row r="115" spans="1:31" x14ac:dyDescent="0.3">
      <c r="A115" s="167"/>
    </row>
    <row r="116" spans="1:31" x14ac:dyDescent="0.3">
      <c r="A116" s="167"/>
    </row>
    <row r="117" spans="1:31" x14ac:dyDescent="0.3">
      <c r="A117" s="167"/>
    </row>
    <row r="118" spans="1:31" x14ac:dyDescent="0.3">
      <c r="A118" s="167"/>
      <c r="AE118" s="164"/>
    </row>
    <row r="119" spans="1:31" x14ac:dyDescent="0.3">
      <c r="A119" s="167"/>
      <c r="AE119" s="164"/>
    </row>
    <row r="120" spans="1:31" x14ac:dyDescent="0.3">
      <c r="AE120" s="164"/>
    </row>
    <row r="121" spans="1:31" x14ac:dyDescent="0.3">
      <c r="AE121" s="164"/>
    </row>
    <row r="122" spans="1:31" x14ac:dyDescent="0.3">
      <c r="AE122" s="164"/>
    </row>
    <row r="123" spans="1:31" x14ac:dyDescent="0.3">
      <c r="AE123" s="164"/>
    </row>
    <row r="124" spans="1:31" x14ac:dyDescent="0.3">
      <c r="AE124" s="164"/>
    </row>
    <row r="125" spans="1:31" x14ac:dyDescent="0.3">
      <c r="AE125" s="164"/>
    </row>
    <row r="126" spans="1:31" x14ac:dyDescent="0.3">
      <c r="AE126" s="164"/>
    </row>
    <row r="127" spans="1:31" x14ac:dyDescent="0.3">
      <c r="AE127" s="164"/>
    </row>
    <row r="128" spans="1:31" x14ac:dyDescent="0.3">
      <c r="AE128" s="164"/>
    </row>
    <row r="129" spans="31:55" x14ac:dyDescent="0.3">
      <c r="AE129" s="164"/>
      <c r="AF129"/>
      <c r="AG129"/>
      <c r="AH129"/>
      <c r="AI129"/>
      <c r="AJ129"/>
      <c r="AK129"/>
      <c r="AL129"/>
      <c r="AM129"/>
      <c r="AN129"/>
      <c r="AO129"/>
      <c r="AP129"/>
      <c r="AQ129"/>
      <c r="AR129"/>
      <c r="AS129"/>
      <c r="AT129"/>
      <c r="AU129"/>
      <c r="AV129"/>
      <c r="AW129"/>
      <c r="AX129"/>
      <c r="AY129"/>
      <c r="AZ129"/>
      <c r="BA129"/>
      <c r="BB129"/>
      <c r="BC129"/>
    </row>
    <row r="130" spans="31:55" x14ac:dyDescent="0.3">
      <c r="AE130" s="164"/>
      <c r="AF130"/>
      <c r="AG130"/>
      <c r="AH130"/>
      <c r="AI130"/>
      <c r="AJ130"/>
      <c r="AK130"/>
      <c r="AL130"/>
      <c r="AM130"/>
      <c r="AN130"/>
      <c r="AO130"/>
      <c r="AP130"/>
      <c r="AQ130"/>
      <c r="AR130"/>
      <c r="AS130"/>
      <c r="AT130"/>
      <c r="AU130"/>
      <c r="AV130"/>
      <c r="AW130"/>
      <c r="AX130"/>
      <c r="AY130"/>
      <c r="AZ130"/>
      <c r="BA130"/>
      <c r="BB130"/>
      <c r="BC130"/>
    </row>
    <row r="131" spans="31:55" x14ac:dyDescent="0.3">
      <c r="AE131" s="164"/>
      <c r="AF131"/>
      <c r="AG131"/>
      <c r="AH131"/>
      <c r="AI131"/>
      <c r="AJ131"/>
      <c r="AK131"/>
      <c r="AL131"/>
      <c r="AM131"/>
      <c r="AN131"/>
      <c r="AO131"/>
      <c r="AP131"/>
      <c r="AQ131"/>
      <c r="AR131"/>
      <c r="AS131"/>
      <c r="AT131"/>
      <c r="AU131"/>
      <c r="AV131"/>
      <c r="AW131"/>
      <c r="AX131"/>
      <c r="AY131"/>
      <c r="AZ131"/>
      <c r="BA131"/>
      <c r="BB131"/>
      <c r="BC131"/>
    </row>
    <row r="132" spans="31:55" x14ac:dyDescent="0.3">
      <c r="AE132" s="164"/>
      <c r="AF132"/>
      <c r="AG132"/>
      <c r="AH132"/>
      <c r="AI132"/>
      <c r="AJ132"/>
      <c r="AK132"/>
      <c r="AL132"/>
      <c r="AM132"/>
      <c r="AN132"/>
      <c r="AO132"/>
      <c r="AP132"/>
      <c r="AQ132"/>
      <c r="AR132"/>
      <c r="AS132"/>
      <c r="AT132"/>
      <c r="AU132"/>
      <c r="AV132"/>
      <c r="AW132"/>
      <c r="AX132"/>
      <c r="AY132"/>
      <c r="AZ132"/>
      <c r="BA132"/>
      <c r="BB132"/>
      <c r="BC132"/>
    </row>
    <row r="133" spans="31:55" x14ac:dyDescent="0.3">
      <c r="AE133" s="164"/>
      <c r="AF133"/>
      <c r="AG133"/>
      <c r="AH133"/>
      <c r="AI133"/>
      <c r="AJ133"/>
      <c r="AK133"/>
      <c r="AL133"/>
      <c r="AM133"/>
      <c r="AN133"/>
      <c r="AO133"/>
      <c r="AP133"/>
      <c r="AQ133"/>
      <c r="AR133"/>
      <c r="AS133"/>
      <c r="AT133"/>
      <c r="AU133"/>
      <c r="AV133"/>
      <c r="AW133"/>
      <c r="AX133"/>
      <c r="AY133"/>
      <c r="AZ133"/>
      <c r="BA133"/>
      <c r="BB133"/>
      <c r="BC133"/>
    </row>
    <row r="134" spans="31:55" x14ac:dyDescent="0.3">
      <c r="AE134" s="164"/>
      <c r="AF134"/>
      <c r="AG134"/>
      <c r="AH134"/>
      <c r="AI134"/>
      <c r="AJ134"/>
      <c r="AK134"/>
      <c r="AL134"/>
      <c r="AM134"/>
      <c r="AN134"/>
      <c r="AO134"/>
      <c r="AP134"/>
      <c r="AQ134"/>
      <c r="AR134"/>
      <c r="AS134"/>
      <c r="AT134"/>
      <c r="AU134"/>
      <c r="AV134"/>
      <c r="AW134"/>
      <c r="AX134"/>
      <c r="AY134"/>
      <c r="AZ134"/>
      <c r="BA134"/>
      <c r="BB134"/>
      <c r="BC134"/>
    </row>
    <row r="135" spans="31:55" x14ac:dyDescent="0.3">
      <c r="AE135" s="164"/>
      <c r="AF135"/>
      <c r="AG135"/>
      <c r="AH135"/>
      <c r="AI135"/>
      <c r="AJ135"/>
      <c r="AK135"/>
      <c r="AL135"/>
      <c r="AM135"/>
      <c r="AN135"/>
      <c r="AO135"/>
      <c r="AP135"/>
      <c r="AQ135"/>
      <c r="AR135"/>
      <c r="AS135"/>
      <c r="AT135"/>
      <c r="AU135"/>
      <c r="AV135"/>
      <c r="AW135"/>
      <c r="AX135"/>
      <c r="AY135"/>
      <c r="AZ135"/>
      <c r="BA135"/>
      <c r="BB135"/>
      <c r="BC135"/>
    </row>
    <row r="136" spans="31:55" x14ac:dyDescent="0.3">
      <c r="AE136" s="164"/>
      <c r="AF136"/>
      <c r="AG136"/>
      <c r="AH136"/>
      <c r="AI136"/>
      <c r="AJ136"/>
      <c r="AK136"/>
      <c r="AL136"/>
      <c r="AM136"/>
      <c r="AN136"/>
      <c r="AO136"/>
      <c r="AP136"/>
      <c r="AQ136"/>
      <c r="AR136"/>
      <c r="AS136"/>
      <c r="AT136"/>
      <c r="AU136"/>
      <c r="AV136"/>
      <c r="AW136"/>
      <c r="AX136"/>
      <c r="AY136"/>
      <c r="AZ136"/>
      <c r="BA136"/>
      <c r="BB136"/>
      <c r="BC136"/>
    </row>
    <row r="137" spans="31:55" x14ac:dyDescent="0.3">
      <c r="AE137" s="164"/>
      <c r="AF137"/>
      <c r="AG137"/>
      <c r="AH137"/>
      <c r="AI137"/>
      <c r="AJ137"/>
      <c r="AK137"/>
      <c r="AL137"/>
      <c r="AM137"/>
      <c r="AN137"/>
      <c r="AO137"/>
      <c r="AP137"/>
      <c r="AQ137"/>
      <c r="AR137"/>
      <c r="AS137"/>
      <c r="AT137"/>
      <c r="AU137"/>
      <c r="AV137"/>
      <c r="AW137"/>
      <c r="AX137"/>
      <c r="AY137"/>
      <c r="AZ137"/>
      <c r="BA137"/>
      <c r="BB137"/>
      <c r="BC137"/>
    </row>
    <row r="138" spans="31:55" x14ac:dyDescent="0.3">
      <c r="AE138" s="164"/>
      <c r="AF138"/>
      <c r="AG138"/>
      <c r="AH138"/>
      <c r="AI138"/>
      <c r="AJ138"/>
      <c r="AK138"/>
      <c r="AL138"/>
      <c r="AM138"/>
      <c r="AN138"/>
      <c r="AO138"/>
      <c r="AP138"/>
      <c r="AQ138"/>
      <c r="AR138"/>
      <c r="AS138"/>
      <c r="AT138"/>
      <c r="AU138"/>
      <c r="AV138"/>
      <c r="AW138"/>
      <c r="AX138"/>
      <c r="AY138"/>
      <c r="AZ138"/>
      <c r="BA138"/>
      <c r="BB138"/>
      <c r="BC138"/>
    </row>
    <row r="139" spans="31:55" x14ac:dyDescent="0.3">
      <c r="AE139" s="164"/>
      <c r="AF139"/>
      <c r="AG139"/>
      <c r="AH139"/>
      <c r="AI139"/>
      <c r="AJ139"/>
      <c r="AK139"/>
      <c r="AL139"/>
      <c r="AM139"/>
      <c r="AN139"/>
      <c r="AO139"/>
      <c r="AP139"/>
      <c r="AQ139"/>
      <c r="AR139"/>
      <c r="AS139"/>
      <c r="AT139"/>
      <c r="AU139"/>
      <c r="AV139"/>
      <c r="AW139"/>
      <c r="AX139"/>
      <c r="AY139"/>
      <c r="AZ139"/>
      <c r="BA139"/>
      <c r="BB139"/>
      <c r="BC139"/>
    </row>
    <row r="140" spans="31:55" x14ac:dyDescent="0.3">
      <c r="AF140"/>
      <c r="AG140"/>
      <c r="AH140"/>
      <c r="AI140"/>
      <c r="AJ140"/>
      <c r="AK140"/>
      <c r="AL140"/>
      <c r="AM140"/>
      <c r="AN140"/>
      <c r="AO140"/>
      <c r="AP140"/>
      <c r="AQ140"/>
      <c r="AR140"/>
      <c r="AS140"/>
      <c r="AT140"/>
      <c r="AU140"/>
      <c r="AV140"/>
      <c r="AW140"/>
      <c r="AX140"/>
      <c r="AY140"/>
      <c r="AZ140"/>
      <c r="BA140"/>
      <c r="BB140"/>
      <c r="BC140"/>
    </row>
    <row r="141" spans="31:55" x14ac:dyDescent="0.3">
      <c r="AF141"/>
      <c r="AG141"/>
      <c r="AH141"/>
      <c r="AI141"/>
      <c r="AJ141"/>
      <c r="AK141"/>
      <c r="AL141"/>
      <c r="AM141"/>
      <c r="AN141"/>
      <c r="AO141"/>
      <c r="AP141"/>
      <c r="AQ141"/>
      <c r="AR141"/>
      <c r="AS141"/>
      <c r="AT141"/>
      <c r="AU141"/>
      <c r="AV141"/>
      <c r="AW141"/>
      <c r="AX141"/>
      <c r="AY141"/>
      <c r="AZ141"/>
      <c r="BA141"/>
      <c r="BB141"/>
      <c r="BC141"/>
    </row>
    <row r="142" spans="31:55" x14ac:dyDescent="0.3">
      <c r="AF142"/>
      <c r="AG142"/>
      <c r="AH142"/>
      <c r="AI142"/>
      <c r="AJ142"/>
      <c r="AK142"/>
      <c r="AL142"/>
      <c r="AM142"/>
      <c r="AN142"/>
      <c r="AO142"/>
      <c r="AP142"/>
      <c r="AQ142"/>
      <c r="AR142"/>
      <c r="AS142"/>
      <c r="AT142"/>
      <c r="AU142"/>
      <c r="AV142"/>
      <c r="AW142"/>
      <c r="AX142"/>
      <c r="AY142"/>
      <c r="AZ142"/>
      <c r="BA142"/>
      <c r="BB142"/>
      <c r="BC142"/>
    </row>
    <row r="143" spans="31:55" x14ac:dyDescent="0.3">
      <c r="AF143"/>
      <c r="AG143"/>
      <c r="AH143"/>
      <c r="AI143"/>
      <c r="AJ143"/>
      <c r="AK143"/>
      <c r="AL143"/>
      <c r="AM143"/>
      <c r="AN143"/>
      <c r="AO143"/>
      <c r="AP143"/>
      <c r="AQ143"/>
      <c r="AR143"/>
      <c r="AS143"/>
      <c r="AT143"/>
      <c r="AU143"/>
      <c r="AV143"/>
      <c r="AW143"/>
      <c r="AX143"/>
      <c r="AY143"/>
      <c r="AZ143"/>
      <c r="BA143"/>
      <c r="BB143"/>
      <c r="BC143"/>
    </row>
    <row r="144" spans="31:55" x14ac:dyDescent="0.3">
      <c r="AF144"/>
      <c r="AG144"/>
      <c r="AH144"/>
      <c r="AI144"/>
      <c r="AJ144"/>
      <c r="AK144"/>
      <c r="AL144"/>
      <c r="AM144"/>
      <c r="AN144"/>
      <c r="AO144"/>
      <c r="AP144"/>
      <c r="AQ144"/>
      <c r="AR144"/>
      <c r="AS144"/>
      <c r="AT144"/>
      <c r="AU144"/>
      <c r="AV144"/>
      <c r="AW144"/>
      <c r="AX144"/>
      <c r="AY144"/>
      <c r="AZ144"/>
      <c r="BA144"/>
      <c r="BB144"/>
      <c r="BC144"/>
    </row>
    <row r="145" spans="2:55" x14ac:dyDescent="0.3">
      <c r="AF145"/>
      <c r="AG145"/>
      <c r="AH145"/>
      <c r="AI145"/>
      <c r="AJ145"/>
      <c r="AK145"/>
      <c r="AL145"/>
      <c r="AM145"/>
      <c r="AN145"/>
      <c r="AO145"/>
      <c r="AP145"/>
      <c r="AQ145"/>
      <c r="AR145"/>
      <c r="AS145"/>
      <c r="AT145"/>
      <c r="AU145"/>
      <c r="AV145"/>
      <c r="AW145"/>
      <c r="AX145"/>
      <c r="AY145"/>
      <c r="AZ145"/>
      <c r="BA145"/>
      <c r="BB145"/>
      <c r="BC145"/>
    </row>
    <row r="146" spans="2:55" x14ac:dyDescent="0.3">
      <c r="AF146"/>
      <c r="AG146"/>
      <c r="AH146"/>
      <c r="AI146"/>
      <c r="AJ146"/>
      <c r="AK146"/>
      <c r="AL146"/>
      <c r="AM146"/>
      <c r="AN146"/>
      <c r="AO146"/>
      <c r="AP146"/>
      <c r="AQ146"/>
      <c r="AR146"/>
      <c r="AS146"/>
      <c r="AT146"/>
      <c r="AU146"/>
      <c r="AV146"/>
      <c r="AW146"/>
      <c r="AX146"/>
      <c r="AY146"/>
      <c r="AZ146"/>
      <c r="BA146"/>
      <c r="BB146"/>
      <c r="BC146"/>
    </row>
    <row r="147" spans="2:55" x14ac:dyDescent="0.3">
      <c r="AF147"/>
      <c r="AG147"/>
      <c r="AH147"/>
      <c r="AI147"/>
      <c r="AJ147"/>
      <c r="AK147"/>
      <c r="AL147"/>
      <c r="AM147"/>
      <c r="AN147"/>
      <c r="AO147"/>
      <c r="AP147"/>
      <c r="AQ147"/>
      <c r="AR147"/>
      <c r="AS147"/>
      <c r="AT147"/>
      <c r="AU147"/>
      <c r="AV147"/>
      <c r="AW147"/>
      <c r="AX147"/>
      <c r="AY147"/>
      <c r="AZ147"/>
      <c r="BA147"/>
      <c r="BB147"/>
      <c r="BC147"/>
    </row>
    <row r="155" spans="2:55" x14ac:dyDescent="0.3">
      <c r="V155" s="140" t="str">
        <f>INDEX($L$160:$L$239,MATCH(Q160,$N$160:$N$239,0),1)</f>
        <v>Fighter</v>
      </c>
    </row>
    <row r="157" spans="2:55" x14ac:dyDescent="0.3">
      <c r="D157" s="535"/>
      <c r="E157" s="535"/>
      <c r="F157" s="535"/>
      <c r="G157" s="535"/>
      <c r="H157" s="535"/>
      <c r="I157" s="535"/>
      <c r="J157" s="535"/>
      <c r="K157" s="535"/>
      <c r="L157" s="535"/>
      <c r="M157" s="535"/>
      <c r="N157" s="535"/>
      <c r="O157" s="535"/>
      <c r="P157" s="535"/>
      <c r="Q157" s="535"/>
      <c r="R157" s="535"/>
      <c r="S157" s="535"/>
      <c r="T157" s="535"/>
      <c r="U157" s="535"/>
      <c r="V157" s="535"/>
      <c r="W157" s="535"/>
      <c r="X157" s="535"/>
      <c r="Y157" s="535"/>
      <c r="Z157" s="535"/>
    </row>
    <row r="158" spans="2:55" x14ac:dyDescent="0.3">
      <c r="D158" s="535"/>
      <c r="E158" s="535"/>
      <c r="F158" s="535"/>
      <c r="G158" s="535"/>
      <c r="H158" s="535"/>
      <c r="I158" s="535"/>
      <c r="J158" s="535"/>
      <c r="K158" s="535"/>
      <c r="L158" s="535"/>
      <c r="M158" s="535"/>
      <c r="N158" s="535"/>
      <c r="O158" s="535"/>
      <c r="P158" s="535"/>
      <c r="Q158" s="535"/>
      <c r="R158" s="535"/>
      <c r="S158" s="535"/>
      <c r="T158" s="535"/>
      <c r="U158" s="535"/>
      <c r="V158" s="535"/>
      <c r="W158" s="535"/>
      <c r="X158" s="535"/>
      <c r="Y158" s="535"/>
      <c r="Z158" s="535"/>
      <c r="AJ158" s="140" t="s">
        <v>6546</v>
      </c>
    </row>
    <row r="159" spans="2:55" x14ac:dyDescent="0.3">
      <c r="G159" s="140">
        <v>1</v>
      </c>
      <c r="H159" s="140">
        <v>2</v>
      </c>
      <c r="I159" s="140">
        <v>3</v>
      </c>
      <c r="J159" s="140">
        <v>4</v>
      </c>
      <c r="R159" s="140" t="s">
        <v>4283</v>
      </c>
      <c r="S159" s="140" t="s">
        <v>3036</v>
      </c>
      <c r="T159" s="140" t="s">
        <v>4282</v>
      </c>
      <c r="U159" s="140" t="s">
        <v>4284</v>
      </c>
      <c r="W159" s="140" t="s">
        <v>4322</v>
      </c>
      <c r="X159" s="140" t="s">
        <v>4323</v>
      </c>
      <c r="Y159" s="140" t="s">
        <v>177</v>
      </c>
      <c r="Z159" s="140" t="s">
        <v>60</v>
      </c>
      <c r="AE159" s="140" t="s">
        <v>6451</v>
      </c>
    </row>
    <row r="160" spans="2:55" x14ac:dyDescent="0.3">
      <c r="B160" s="131">
        <v>1</v>
      </c>
      <c r="C160" s="246" t="str">
        <f>Character_Creation!R62</f>
        <v>Fighter</v>
      </c>
      <c r="D160" s="246">
        <f>COUNTIF(C160:$C$160,C160)</f>
        <v>1</v>
      </c>
      <c r="E160" s="131">
        <f>IFERROR(MATCH(C160,T04_Classes!$B$3:$B$102,0),"")</f>
        <v>5</v>
      </c>
      <c r="F160" s="131" t="str">
        <f>TRIM(IFERROR(INDEX(T04_Classes!$CH$3:$DA$102,'C01_BaseCalculation'!E160,'C01_BaseCalculation'!D160),""))</f>
        <v>Fighting Style (fighter), Second Wind,</v>
      </c>
      <c r="G160" s="131" t="str">
        <f t="shared" ref="G160:G179" si="24">IFERROR(TRIM(MID(TRIM(TRIM(TRIM(TRIM($F160)))),1,SEARCH(",",TRIM(TRIM(TRIM(TRIM($F160)))),1)-1)),"")</f>
        <v>Fighting Style (fighter)</v>
      </c>
      <c r="H160" s="131" t="str">
        <f t="shared" ref="H160:H179" si="25">IFERROR(TRIM(MID(F160,SEARCH(",",TRIM($F160),1)+1,SEARCH(",",TRIM($F160),1+SEARCH(",",TRIM($F160),1))-SEARCH(",",TRIM($F160),1)-1)),)</f>
        <v>Second Wind</v>
      </c>
      <c r="I160" s="140" t="str">
        <f t="shared" ref="I160:I179" si="26">IFERROR(TRIM(MID(F160,SEARCH(",",TRIM($F160),1+SEARCH(",",TRIM($F160),1))+1,SEARCH(",",TRIM($F160),1+SEARCH(",",TRIM($F160),1+SEARCH(",",TRIM($F160),1)))-SEARCH(",",TRIM($F160),1+SEARCH(",",TRIM($F160),1))-1)),"")</f>
        <v/>
      </c>
      <c r="J160" s="140" t="str">
        <f t="shared" ref="J160:J179" si="27">IFERROR(TRIM(MID(F160,SEARCH(",",TRIM($F160),1+SEARCH(",",TRIM($F160),1+SEARCH(",",TRIM($F160),1)))+1,LEN(F160)-SEARCH(",",TRIM($F160),1+SEARCH(",",TRIM($F160),1+SEARCH(",",TRIM($F160),1)))-1)),"")</f>
        <v/>
      </c>
      <c r="K160" s="140">
        <v>1</v>
      </c>
      <c r="L160" s="140" t="str">
        <f t="shared" ref="L160:L191" si="28">INDEX($C$160:$C$179,MATCH(ROUNDDOWN(M160/4-0.25,0)+1,$B$160:$B$179,0),1)</f>
        <v>Fighter</v>
      </c>
      <c r="M160" s="140">
        <v>1</v>
      </c>
      <c r="N160" s="140" t="str">
        <f t="shared" ref="N160:N191" si="29">INDEX($G$160:$J$179,CEILING((ROW(N160)-ROW($N$159))/4,1),CEILING(MOD((ROW(N160)-ROW($N$159)),4.00001),1))</f>
        <v>Fighting Style (fighter)</v>
      </c>
      <c r="O160" s="231">
        <f t="shared" ref="O160:O191" si="30">IF(OR(N160="",N160=0),0,1)</f>
        <v>1</v>
      </c>
      <c r="P160" s="231">
        <f>IF(O160=1,1,0)</f>
        <v>1</v>
      </c>
      <c r="Q160" s="140" t="str">
        <f t="shared" ref="Q160:Q191" si="31">IFERROR(INDEX($N$160:$N$239,MATCH(M160,$P$160:$P$239,0),1),"")</f>
        <v>Fighting Style (fighter)</v>
      </c>
      <c r="R160" s="140">
        <f t="shared" ref="R160:R191" si="32">IFERROR(INDEX($K$160:$K$239,MATCH(M160,$P$160:$P$239,0),1),"")</f>
        <v>1</v>
      </c>
      <c r="S160" s="140">
        <f>IFERROR(INDEX(T041_ClassFeatures!$T$2:$T$343,MATCH('C01_BaseCalculation'!$Q160,T041_ClassFeatures!$B$2:$B$343,0),1),"")</f>
        <v>0</v>
      </c>
      <c r="T160" s="140">
        <f>IFERROR(INDEX(T041_ClassFeatures!$U$2:$U$343,MATCH('C01_BaseCalculation'!$Q160,T041_ClassFeatures!$B$2:$B$343,0),1),"")</f>
        <v>0</v>
      </c>
      <c r="U160" s="140">
        <f t="shared" ref="U160:U191" si="33">IF(OR(T160=0,T160=""),0,1)</f>
        <v>0</v>
      </c>
      <c r="V160" s="140" t="str">
        <f>IFERROR(INDEX(T041_ClassFeatures!$B$2:$B$556,MATCH('C01_BaseCalculation'!Q160&amp;INDEX('C03_ClassVariables'!$O$4:$O$9,MATCH(INDEX($L$160:$L$239,MATCH(Q160,$N$160:$N$239,0),1),'C03_ClassVariables'!$M$4:$M$9,0),1),T041_ClassFeatures!$S$2:$S$556&amp;T041_ClassFeatures!$R$2:$R$556,0),1),"")</f>
        <v/>
      </c>
      <c r="W160" s="140" t="str">
        <f t="shared" ref="W160:W191" si="34">IF(U160=0,Q160,V160)</f>
        <v>Fighting Style (fighter)</v>
      </c>
      <c r="X160" s="140" t="str">
        <f>IFERROR(INDEX(T041_ClassFeatures!$C$2:$C$546,MATCH('C01_BaseCalculation'!W160,T041_ClassFeatures!$B$2:$B$546,0),1),"")</f>
        <v>Fighting style</v>
      </c>
      <c r="Y160" s="140" t="str">
        <f>IFERROR(INDEX(T041_ClassFeatures!$F$2:$F$546,MATCH('C01_BaseCalculation'!W160,T041_ClassFeatures!$B$2:$B$546,0),1),"")</f>
        <v/>
      </c>
      <c r="Z160" s="140" t="str">
        <f t="shared" ref="Z160:Z191" si="35">IFERROR(IF(W160="","",INDEX($L$160:$L$239,MATCH(Q160,$N$160:$N$239,0),1)),"")</f>
        <v>Fighter</v>
      </c>
      <c r="AA160" s="140">
        <f t="shared" ref="AA160:AA184" si="36">IF(ROW()-ROW($X$159)=IFERROR(MATCH(W160,$W$160:$W$239,0),""),1,0)</f>
        <v>1</v>
      </c>
      <c r="AB160" s="140" t="str">
        <f t="shared" ref="AB160:AB191" si="37">IF(AA160=1,IF(X160&lt;&gt;"",X160,""),"")</f>
        <v>Fighting style</v>
      </c>
      <c r="AC160" s="140" t="str">
        <f t="shared" ref="AC160:AC191" si="38">IF(AB160="","",Y160)</f>
        <v/>
      </c>
      <c r="AD160" s="140">
        <f>IF(AA160=1,1,0)</f>
        <v>1</v>
      </c>
      <c r="AH160" s="608" t="s">
        <v>6471</v>
      </c>
      <c r="AI160" s="608"/>
      <c r="AJ160" s="607">
        <f>Invocation1</f>
        <v>0</v>
      </c>
      <c r="AK160" s="140" t="str">
        <f t="shared" ref="AK160:AK204" si="39">IF(AJ160=0,"",AI160&amp;" "&amp;AJ160)</f>
        <v/>
      </c>
    </row>
    <row r="161" spans="2:37" x14ac:dyDescent="0.3">
      <c r="B161" s="140">
        <v>2</v>
      </c>
      <c r="C161" s="246" t="str">
        <f>Character_Creation!R63</f>
        <v>Fighter</v>
      </c>
      <c r="D161" s="246">
        <f>COUNTIF(C$160:$C161,C161)</f>
        <v>2</v>
      </c>
      <c r="E161" s="131">
        <f>IFERROR(MATCH(C161,T04_Classes!$B$3:$B$102,0),"")</f>
        <v>5</v>
      </c>
      <c r="F161" s="131" t="str">
        <f>TRIM(IFERROR(INDEX(T04_Classes!$CH$3:$DA$102,'C01_BaseCalculation'!E161,'C01_BaseCalculation'!D161),""))</f>
        <v>Action Surge,</v>
      </c>
      <c r="G161" s="131" t="str">
        <f t="shared" si="24"/>
        <v>Action Surge</v>
      </c>
      <c r="H161" s="131">
        <f t="shared" si="25"/>
        <v>0</v>
      </c>
      <c r="I161" s="140" t="str">
        <f t="shared" si="26"/>
        <v/>
      </c>
      <c r="J161" s="140" t="str">
        <f t="shared" si="27"/>
        <v/>
      </c>
      <c r="K161" s="140">
        <f>K160</f>
        <v>1</v>
      </c>
      <c r="L161" s="140" t="str">
        <f t="shared" si="28"/>
        <v>Fighter</v>
      </c>
      <c r="M161" s="140">
        <v>2</v>
      </c>
      <c r="N161" s="140" t="str">
        <f t="shared" si="29"/>
        <v>Second Wind</v>
      </c>
      <c r="O161" s="231">
        <f t="shared" si="30"/>
        <v>1</v>
      </c>
      <c r="P161" s="231">
        <f>IF(O161=0,0,COUNTIF(P160:$P$160,"&gt;0")+1)</f>
        <v>2</v>
      </c>
      <c r="Q161" s="140" t="str">
        <f t="shared" si="31"/>
        <v>Second Wind</v>
      </c>
      <c r="R161" s="140">
        <f t="shared" si="32"/>
        <v>1</v>
      </c>
      <c r="S161" s="140">
        <f>IFERROR(INDEX(T041_ClassFeatures!$T$2:$T$343,MATCH('C01_BaseCalculation'!$Q161,T041_ClassFeatures!$B$2:$B$343,0),1),"")</f>
        <v>0</v>
      </c>
      <c r="T161" s="140">
        <f>IFERROR(INDEX(T041_ClassFeatures!$U$2:$U$343,MATCH('C01_BaseCalculation'!$Q161,T041_ClassFeatures!$B$2:$B$343,0),1),"")</f>
        <v>0</v>
      </c>
      <c r="U161" s="140">
        <f t="shared" si="33"/>
        <v>0</v>
      </c>
      <c r="V161" s="140" t="str">
        <f t="array" ref="V161">IFERROR(INDEX(T041_ClassFeatures!$B$2:$B$556,MATCH('C01_BaseCalculation'!Q161&amp;INDEX('C03_ClassVariables'!$O$4:$O$9,MATCH(INDEX($L$160:$L$239,MATCH(Q161,$N$160:$N$239,0),1),'C03_ClassVariables'!$M$4:$M$9,0),1),T041_ClassFeatures!$S$2:$S$556&amp;T041_ClassFeatures!$R$2:$R$556,0),1),"")</f>
        <v/>
      </c>
      <c r="W161" s="140" t="str">
        <f t="shared" si="34"/>
        <v>Second Wind</v>
      </c>
      <c r="X161" s="140" t="str">
        <f>IFERROR(INDEX(T041_ClassFeatures!$C$2:$C$546,MATCH('C01_BaseCalculation'!W161,T041_ClassFeatures!$B$2:$B$546,0),1),"")</f>
        <v>Second Wind</v>
      </c>
      <c r="Y161" s="140" t="str">
        <f>IFERROR(INDEX(T041_ClassFeatures!$F$2:$F$546,MATCH('C01_BaseCalculation'!W161,T041_ClassFeatures!$B$2:$B$546,0),1),"")</f>
        <v>You have a limited well of stamina that you can draw on to protect yourself from harm. On your turn, you can use a bonus action to regain hit points equal to ldlO + your fighter level. Once you use this feature, you must finish a short or long rest before you can use it again.</v>
      </c>
      <c r="Z161" s="140" t="str">
        <f t="shared" si="35"/>
        <v>Fighter</v>
      </c>
      <c r="AA161" s="140">
        <f t="shared" si="36"/>
        <v>1</v>
      </c>
      <c r="AB161" s="140" t="str">
        <f t="shared" si="37"/>
        <v>Second Wind</v>
      </c>
      <c r="AC161" s="140" t="str">
        <f t="shared" si="38"/>
        <v>You have a limited well of stamina that you can draw on to protect yourself from harm. On your turn, you can use a bonus action to regain hit points equal to ldlO + your fighter level. Once you use this feature, you must finish a short or long rest before you can use it again.</v>
      </c>
      <c r="AD161" s="140">
        <f>IF(AA161=0,0,COUNTIF(AD160:$AD$160,"&gt;0")+1)</f>
        <v>2</v>
      </c>
      <c r="AH161" s="608" t="s">
        <v>6471</v>
      </c>
      <c r="AI161" s="608"/>
      <c r="AJ161" s="607">
        <f>Invocation2</f>
        <v>0</v>
      </c>
      <c r="AK161" s="140" t="str">
        <f t="shared" si="39"/>
        <v/>
      </c>
    </row>
    <row r="162" spans="2:37" x14ac:dyDescent="0.3">
      <c r="B162" s="140">
        <v>3</v>
      </c>
      <c r="C162" s="246" t="str">
        <f>Character_Creation!R64</f>
        <v>Fighter</v>
      </c>
      <c r="D162" s="246">
        <f>COUNTIF(C$160:$C162,C162)</f>
        <v>3</v>
      </c>
      <c r="E162" s="131">
        <f>IFERROR(MATCH(C162,T04_Classes!$B$3:$B$102,0),"")</f>
        <v>5</v>
      </c>
      <c r="F162" s="131" t="str">
        <f>TRIM(IFERROR(INDEX(T04_Classes!$CH$3:$DA$102,'C01_BaseCalculation'!E162,'C01_BaseCalculation'!D162),""))</f>
        <v>Martial Archetype, Martial Archetype Feature3-1, Martial Archetype Feature3-2,</v>
      </c>
      <c r="G162" s="131" t="str">
        <f t="shared" si="24"/>
        <v>Martial Archetype</v>
      </c>
      <c r="H162" s="131" t="str">
        <f t="shared" si="25"/>
        <v>Martial Archetype Feature3-1</v>
      </c>
      <c r="I162" s="140" t="str">
        <f t="shared" si="26"/>
        <v>Martial Archetype Feature3-2</v>
      </c>
      <c r="J162" s="140" t="str">
        <f t="shared" si="27"/>
        <v/>
      </c>
      <c r="K162" s="140">
        <f>K161</f>
        <v>1</v>
      </c>
      <c r="L162" s="140" t="str">
        <f t="shared" si="28"/>
        <v>Fighter</v>
      </c>
      <c r="M162" s="140">
        <v>3</v>
      </c>
      <c r="N162" s="140" t="str">
        <f t="shared" si="29"/>
        <v/>
      </c>
      <c r="O162" s="231">
        <f t="shared" si="30"/>
        <v>0</v>
      </c>
      <c r="P162" s="231">
        <f>IF(O162=0,0,COUNTIF(P$160:$P161,"&gt;0")+1)</f>
        <v>0</v>
      </c>
      <c r="Q162" s="140" t="str">
        <f t="shared" si="31"/>
        <v>Action Surge</v>
      </c>
      <c r="R162" s="140">
        <f t="shared" si="32"/>
        <v>2</v>
      </c>
      <c r="S162" s="140">
        <f>IFERROR(INDEX(T041_ClassFeatures!$T$2:$T$343,MATCH('C01_BaseCalculation'!$Q162,T041_ClassFeatures!$B$2:$B$343,0),1),"")</f>
        <v>0</v>
      </c>
      <c r="T162" s="140">
        <f>IFERROR(INDEX(T041_ClassFeatures!$U$2:$U$343,MATCH('C01_BaseCalculation'!$Q162,T041_ClassFeatures!$B$2:$B$343,0),1),"")</f>
        <v>0</v>
      </c>
      <c r="U162" s="140">
        <f t="shared" si="33"/>
        <v>0</v>
      </c>
      <c r="V162" s="140" t="str">
        <f t="array" ref="V162">IFERROR(INDEX(T041_ClassFeatures!$B$2:$B$556,MATCH('C01_BaseCalculation'!Q162&amp;INDEX('C03_ClassVariables'!$O$4:$O$9,MATCH(INDEX($L$160:$L$239,MATCH(Q162,$N$160:$N$239,0),1),'C03_ClassVariables'!$M$4:$M$9,0),1),T041_ClassFeatures!$S$2:$S$556&amp;T041_ClassFeatures!$R$2:$R$556,0),1),"")</f>
        <v/>
      </c>
      <c r="W162" s="140" t="str">
        <f t="shared" si="34"/>
        <v>Action Surge</v>
      </c>
      <c r="X162" s="140" t="str">
        <f>IFERROR(INDEX(T041_ClassFeatures!$C$2:$C$546,MATCH('C01_BaseCalculation'!W162,T041_ClassFeatures!$B$2:$B$546,0),1),"")</f>
        <v>Action Surge</v>
      </c>
      <c r="Y162" s="140" t="str">
        <f>IFERROR(INDEX(T041_ClassFeatures!$F$2:$F$546,MATCH('C01_BaseCalculation'!W162,T041_ClassFeatures!$B$2:$B$546,0),1),"")</f>
        <v>Starting at 2nd level, you can push yourself beyond your normal limits for a moment. On your turn, you can take one additional action on top of your regular action and a possible bonus action. Once you use this feature, you must finish a short or long rest before you can use it again. Starting at 17th level, you can use it twice before a rest, but only once on the same turn.</v>
      </c>
      <c r="Z162" s="140" t="str">
        <f t="shared" si="35"/>
        <v>Fighter</v>
      </c>
      <c r="AA162" s="140">
        <f t="shared" si="36"/>
        <v>1</v>
      </c>
      <c r="AB162" s="140" t="str">
        <f t="shared" si="37"/>
        <v>Action Surge</v>
      </c>
      <c r="AC162" s="140" t="str">
        <f t="shared" si="38"/>
        <v>Starting at 2nd level, you can push yourself beyond your normal limits for a moment. On your turn, you can take one additional action on top of your regular action and a possible bonus action. Once you use this feature, you must finish a short or long rest before you can use it again. Starting at 17th level, you can use it twice before a rest, but only once on the same turn.</v>
      </c>
      <c r="AD162" s="140">
        <f>IF(AA162=0,0,COUNTIF(AD$160:$AD161,"&gt;0")+1)</f>
        <v>3</v>
      </c>
      <c r="AH162" s="608" t="s">
        <v>6471</v>
      </c>
      <c r="AI162" s="608"/>
      <c r="AJ162" s="607">
        <f>Invocation3</f>
        <v>0</v>
      </c>
      <c r="AK162" s="140" t="str">
        <f t="shared" si="39"/>
        <v/>
      </c>
    </row>
    <row r="163" spans="2:37" x14ac:dyDescent="0.3">
      <c r="B163" s="131">
        <v>4</v>
      </c>
      <c r="C163" s="246" t="str">
        <f>Character_Creation!R65</f>
        <v>Fighter</v>
      </c>
      <c r="D163" s="246">
        <f>COUNTIF(C$160:$C163,C163)</f>
        <v>4</v>
      </c>
      <c r="E163" s="131">
        <f>IFERROR(MATCH(C163,T04_Classes!$B$3:$B$102,0),"")</f>
        <v>5</v>
      </c>
      <c r="F163" s="131" t="str">
        <f>IFERROR(INDEX(T04_Classes!$CH$3:$DA$102,'C01_BaseCalculation'!E163,'C01_BaseCalculation'!D163),"")</f>
        <v xml:space="preserve">Ability Score Improvement, </v>
      </c>
      <c r="G163" s="131" t="str">
        <f t="shared" si="24"/>
        <v>Ability Score Improvement</v>
      </c>
      <c r="H163" s="131">
        <f t="shared" si="25"/>
        <v>0</v>
      </c>
      <c r="I163" s="140" t="str">
        <f t="shared" si="26"/>
        <v/>
      </c>
      <c r="J163" s="140" t="str">
        <f t="shared" si="27"/>
        <v/>
      </c>
      <c r="K163" s="140">
        <f>K162</f>
        <v>1</v>
      </c>
      <c r="L163" s="140" t="str">
        <f t="shared" si="28"/>
        <v>Fighter</v>
      </c>
      <c r="M163" s="140">
        <v>4</v>
      </c>
      <c r="N163" s="140" t="str">
        <f t="shared" si="29"/>
        <v/>
      </c>
      <c r="O163" s="231">
        <f t="shared" si="30"/>
        <v>0</v>
      </c>
      <c r="P163" s="231">
        <f>IF(O163=0,0,COUNTIF(P$160:$P162,"&gt;0")+1)</f>
        <v>0</v>
      </c>
      <c r="Q163" s="140" t="str">
        <f t="shared" si="31"/>
        <v>Martial Archetype</v>
      </c>
      <c r="R163" s="140">
        <f t="shared" si="32"/>
        <v>3</v>
      </c>
      <c r="S163" s="140" t="str">
        <f>IFERROR(INDEX(T041_ClassFeatures!$T$2:$T$343,MATCH('C01_BaseCalculation'!$Q163,T041_ClassFeatures!$B$2:$B$343,0),1),"")</f>
        <v>YES</v>
      </c>
      <c r="T163" s="140">
        <f>IFERROR(INDEX(T041_ClassFeatures!$U$2:$U$343,MATCH('C01_BaseCalculation'!$Q163,T041_ClassFeatures!$B$2:$B$343,0),1),"")</f>
        <v>0</v>
      </c>
      <c r="U163" s="140">
        <f t="shared" si="33"/>
        <v>0</v>
      </c>
      <c r="V163" s="140" t="str">
        <f t="array" ref="V163">IFERROR(INDEX(T041_ClassFeatures!$B$2:$B$556,MATCH('C01_BaseCalculation'!Q163&amp;INDEX('C03_ClassVariables'!$O$4:$O$9,MATCH(INDEX($L$160:$L$239,MATCH(Q163,$N$160:$N$239,0),1),'C03_ClassVariables'!$M$4:$M$9,0),1),T041_ClassFeatures!$S$2:$S$556&amp;T041_ClassFeatures!$R$2:$R$556,0),1),"")</f>
        <v/>
      </c>
      <c r="W163" s="140" t="str">
        <f t="shared" si="34"/>
        <v>Martial Archetype</v>
      </c>
      <c r="X163" s="140" t="str">
        <f>IFERROR(INDEX(T041_ClassFeatures!$C$2:$C$546,MATCH('C01_BaseCalculation'!W163,T041_ClassFeatures!$B$2:$B$546,0),1),"")</f>
        <v>Martial Archetype</v>
      </c>
      <c r="Y163" s="140" t="str">
        <f>IFERROR(INDEX(T041_ClassFeatures!$F$2:$F$546,MATCH('C01_BaseCalculation'!W163,T041_ClassFeatures!$B$2:$B$546,0),1),"")</f>
        <v/>
      </c>
      <c r="Z163" s="140" t="str">
        <f t="shared" si="35"/>
        <v>Fighter</v>
      </c>
      <c r="AA163" s="140">
        <f t="shared" si="36"/>
        <v>1</v>
      </c>
      <c r="AB163" s="140" t="str">
        <f t="shared" si="37"/>
        <v>Martial Archetype</v>
      </c>
      <c r="AC163" s="140" t="str">
        <f t="shared" si="38"/>
        <v/>
      </c>
      <c r="AD163" s="140">
        <f>IF(AA163=0,0,COUNTIF(AD$160:$AD162,"&gt;0")+1)</f>
        <v>4</v>
      </c>
      <c r="AH163" s="608" t="s">
        <v>6471</v>
      </c>
      <c r="AI163" s="608"/>
      <c r="AJ163" s="607">
        <f>Invocation4</f>
        <v>0</v>
      </c>
      <c r="AK163" s="140" t="str">
        <f t="shared" si="39"/>
        <v/>
      </c>
    </row>
    <row r="164" spans="2:37" x14ac:dyDescent="0.3">
      <c r="B164" s="131">
        <v>5</v>
      </c>
      <c r="C164" s="246" t="str">
        <f>Character_Creation!R66</f>
        <v>Wizard</v>
      </c>
      <c r="D164" s="246">
        <f>COUNTIF(C$160:$C164,C164)</f>
        <v>1</v>
      </c>
      <c r="E164" s="131">
        <f>IFERROR(MATCH(C164,T04_Classes!$B$3:$B$102,0),"")</f>
        <v>12</v>
      </c>
      <c r="F164" s="131" t="str">
        <f>IFERROR(INDEX(T04_Classes!$CH$3:$DA$102,'C01_BaseCalculation'!E164,'C01_BaseCalculation'!D164),"")</f>
        <v xml:space="preserve">Spellcasting (wizard), Arcane Recovery, </v>
      </c>
      <c r="G164" s="131" t="str">
        <f t="shared" si="24"/>
        <v>Spellcasting (wizard)</v>
      </c>
      <c r="H164" s="131" t="str">
        <f t="shared" si="25"/>
        <v>Arcane Recovery</v>
      </c>
      <c r="I164" s="140" t="str">
        <f t="shared" si="26"/>
        <v/>
      </c>
      <c r="J164" s="140" t="str">
        <f t="shared" si="27"/>
        <v/>
      </c>
      <c r="K164" s="140">
        <f>K163+1</f>
        <v>2</v>
      </c>
      <c r="L164" s="140" t="str">
        <f t="shared" si="28"/>
        <v>Fighter</v>
      </c>
      <c r="M164" s="140">
        <v>5</v>
      </c>
      <c r="N164" s="140" t="str">
        <f t="shared" si="29"/>
        <v>Action Surge</v>
      </c>
      <c r="O164" s="231">
        <f t="shared" si="30"/>
        <v>1</v>
      </c>
      <c r="P164" s="231">
        <f>IF(O164=0,0,COUNTIF(P$160:$P163,"&gt;0")+1)</f>
        <v>3</v>
      </c>
      <c r="Q164" s="140" t="str">
        <f t="shared" si="31"/>
        <v>Martial Archetype Feature3-1</v>
      </c>
      <c r="R164" s="140">
        <f t="shared" si="32"/>
        <v>3</v>
      </c>
      <c r="S164" s="140">
        <f>IFERROR(INDEX(T041_ClassFeatures!$T$2:$T$343,MATCH('C01_BaseCalculation'!$Q164,T041_ClassFeatures!$B$2:$B$343,0),1),"")</f>
        <v>0</v>
      </c>
      <c r="T164" s="140" t="str">
        <f>IFERROR(INDEX(T041_ClassFeatures!$U$2:$U$343,MATCH('C01_BaseCalculation'!$Q164,T041_ClassFeatures!$B$2:$B$343,0),1),"")</f>
        <v>YES</v>
      </c>
      <c r="U164" s="140">
        <f t="shared" si="33"/>
        <v>1</v>
      </c>
      <c r="V164" s="140" t="str">
        <f t="array" ref="V164">IFERROR(INDEX(T041_ClassFeatures!$B$2:$B$556,MATCH('C01_BaseCalculation'!Q164&amp;INDEX('C03_ClassVariables'!$O$4:$O$9,MATCH(INDEX($L$160:$L$239,MATCH(Q164,$N$160:$N$239,0),1),'C03_ClassVariables'!$M$4:$M$9,0),1),T041_ClassFeatures!$S$2:$S$556&amp;T041_ClassFeatures!$R$2:$R$556,0),1),"")</f>
        <v>Spellcasting (EK)</v>
      </c>
      <c r="W164" s="140" t="str">
        <f t="shared" si="34"/>
        <v>Spellcasting (EK)</v>
      </c>
      <c r="X164" s="140" t="str">
        <f>IFERROR(INDEX(T041_ClassFeatures!$C$2:$C$546,MATCH('C01_BaseCalculation'!W164,T041_ClassFeatures!$B$2:$B$546,0),1),"")</f>
        <v>Spellcasting</v>
      </c>
      <c r="Y164" s="140" t="str">
        <f>IFERROR(INDEX(T041_ClassFeatures!$F$2:$F$546,MATCH('C01_BaseCalculation'!W164,T041_ClassFeatures!$B$2:$B$546,0),1),"")</f>
        <v>Int, known, spont</v>
      </c>
      <c r="Z164" s="140" t="str">
        <f t="shared" si="35"/>
        <v>Fighter</v>
      </c>
      <c r="AA164" s="140">
        <f t="shared" si="36"/>
        <v>1</v>
      </c>
      <c r="AB164" s="140" t="str">
        <f t="shared" si="37"/>
        <v>Spellcasting</v>
      </c>
      <c r="AC164" s="140" t="str">
        <f t="shared" si="38"/>
        <v>Int, known, spont</v>
      </c>
      <c r="AD164" s="140">
        <f>IF(AA164=0,0,COUNTIF(AD$160:$AD163,"&gt;0")+1)</f>
        <v>5</v>
      </c>
      <c r="AH164" s="608" t="s">
        <v>6471</v>
      </c>
      <c r="AI164" s="608"/>
      <c r="AJ164" s="607">
        <f>Invocation5</f>
        <v>0</v>
      </c>
      <c r="AK164" s="140" t="str">
        <f t="shared" si="39"/>
        <v/>
      </c>
    </row>
    <row r="165" spans="2:37" x14ac:dyDescent="0.3">
      <c r="B165" s="131">
        <v>6</v>
      </c>
      <c r="C165" s="246" t="str">
        <f>Character_Creation!R67</f>
        <v>Wizard</v>
      </c>
      <c r="D165" s="246">
        <f>COUNTIF(C$160:$C165,C165)</f>
        <v>2</v>
      </c>
      <c r="E165" s="131">
        <f>IFERROR(MATCH(C165,T04_Classes!$B$3:$B$102,0),"")</f>
        <v>12</v>
      </c>
      <c r="F165" s="131" t="str">
        <f>IFERROR(INDEX(T04_Classes!$CH$3:$DA$102,'C01_BaseCalculation'!E165,'C01_BaseCalculation'!D165),"")</f>
        <v xml:space="preserve">Arcane Tradition, </v>
      </c>
      <c r="G165" s="131" t="str">
        <f t="shared" si="24"/>
        <v>Arcane Tradition</v>
      </c>
      <c r="H165" s="131">
        <f t="shared" si="25"/>
        <v>0</v>
      </c>
      <c r="I165" s="140" t="str">
        <f t="shared" si="26"/>
        <v/>
      </c>
      <c r="J165" s="140" t="str">
        <f t="shared" si="27"/>
        <v/>
      </c>
      <c r="K165" s="140">
        <f>K164</f>
        <v>2</v>
      </c>
      <c r="L165" s="140" t="str">
        <f t="shared" si="28"/>
        <v>Fighter</v>
      </c>
      <c r="M165" s="140">
        <v>6</v>
      </c>
      <c r="N165" s="140">
        <f t="shared" si="29"/>
        <v>0</v>
      </c>
      <c r="O165" s="231">
        <f t="shared" si="30"/>
        <v>0</v>
      </c>
      <c r="P165" s="231">
        <f>IF(O165=0,0,COUNTIF(P$160:$P164,"&gt;0")+1)</f>
        <v>0</v>
      </c>
      <c r="Q165" s="140" t="str">
        <f t="shared" si="31"/>
        <v>Martial Archetype Feature3-2</v>
      </c>
      <c r="R165" s="140">
        <f t="shared" si="32"/>
        <v>3</v>
      </c>
      <c r="S165" s="140">
        <f>IFERROR(INDEX(T041_ClassFeatures!$T$2:$T$343,MATCH('C01_BaseCalculation'!$Q165,T041_ClassFeatures!$B$2:$B$343,0),1),"")</f>
        <v>0</v>
      </c>
      <c r="T165" s="140" t="str">
        <f>IFERROR(INDEX(T041_ClassFeatures!$U$2:$U$343,MATCH('C01_BaseCalculation'!$Q165,T041_ClassFeatures!$B$2:$B$343,0),1),"")</f>
        <v>YES</v>
      </c>
      <c r="U165" s="140">
        <f t="shared" si="33"/>
        <v>1</v>
      </c>
      <c r="V165" s="140" t="str">
        <f t="array" ref="V165">IFERROR(INDEX(T041_ClassFeatures!$B$2:$B$556,MATCH('C01_BaseCalculation'!Q165&amp;INDEX('C03_ClassVariables'!$O$4:$O$9,MATCH(INDEX($L$160:$L$239,MATCH(Q165,$N$160:$N$239,0),1),'C03_ClassVariables'!$M$4:$M$9,0),1),T041_ClassFeatures!$S$2:$S$556&amp;T041_ClassFeatures!$R$2:$R$556,0),1),"")</f>
        <v>Weapon Bond</v>
      </c>
      <c r="W165" s="140" t="str">
        <f t="shared" si="34"/>
        <v>Weapon Bond</v>
      </c>
      <c r="X165" s="140" t="str">
        <f>IFERROR(INDEX(T041_ClassFeatures!$C$2:$C$546,MATCH('C01_BaseCalculation'!W165,T041_ClassFeatures!$B$2:$B$546,0),1),"")</f>
        <v>Weapon Bond</v>
      </c>
      <c r="Y165" s="140" t="str">
        <f>IFERROR(INDEX(T041_ClassFeatures!$F$2:$F$546,MATCH('C01_BaseCalculation'!W165,T041_ClassFeatures!$B$2:$B$546,0),1),"")</f>
        <v>At 3rd level, you learn a ritual that creates a magical bond between yourself and one weapon. You perform the ritual over the course of 1 hour, which can be done during a short rest. The weapon must be within your reach throughout the ritual, at the conclusion of which you touch the weapon and forge the bond. Once you have bonded a weapon to yourself, you can't be disarmed of that weapon unless you are incapacitated. If it is on the same plane of existence, you can summon that weapon as a bonus action on your turn, causing it to teleport instantly to your hand. You can have up to two bonded weapons, but can summon only one at a time with your bonus action. If you attempt to bond with a third weapon, you must break the bond with one of the other two.</v>
      </c>
      <c r="Z165" s="140" t="str">
        <f t="shared" si="35"/>
        <v>Fighter</v>
      </c>
      <c r="AA165" s="140">
        <f t="shared" si="36"/>
        <v>1</v>
      </c>
      <c r="AB165" s="140" t="str">
        <f t="shared" si="37"/>
        <v>Weapon Bond</v>
      </c>
      <c r="AC165" s="140" t="str">
        <f t="shared" si="38"/>
        <v>At 3rd level, you learn a ritual that creates a magical bond between yourself and one weapon. You perform the ritual over the course of 1 hour, which can be done during a short rest. The weapon must be within your reach throughout the ritual, at the conclusion of which you touch the weapon and forge the bond. Once you have bonded a weapon to yourself, you can't be disarmed of that weapon unless you are incapacitated. If it is on the same plane of existence, you can summon that weapon as a bonus action on your turn, causing it to teleport instantly to your hand. You can have up to two bonded weapons, but can summon only one at a time with your bonus action. If you attempt to bond with a third weapon, you must break the bond with one of the other two.</v>
      </c>
      <c r="AD165" s="140">
        <f>IF(AA165=0,0,COUNTIF(AD$160:$AD164,"&gt;0")+1)</f>
        <v>6</v>
      </c>
      <c r="AH165" s="608" t="s">
        <v>6471</v>
      </c>
      <c r="AI165" s="608"/>
      <c r="AJ165" s="607">
        <f>Invocation6</f>
        <v>0</v>
      </c>
      <c r="AK165" s="140" t="str">
        <f t="shared" si="39"/>
        <v/>
      </c>
    </row>
    <row r="166" spans="2:37" x14ac:dyDescent="0.3">
      <c r="B166" s="131">
        <v>7</v>
      </c>
      <c r="C166" s="246" t="str">
        <f>Character_Creation!R68</f>
        <v>Wizard</v>
      </c>
      <c r="D166" s="246">
        <f>COUNTIF(C$160:$C166,C166)</f>
        <v>3</v>
      </c>
      <c r="E166" s="131">
        <f>IFERROR(MATCH(C166,T04_Classes!$B$3:$B$102,0),"")</f>
        <v>12</v>
      </c>
      <c r="F166" s="131" t="str">
        <f>IFERROR(INDEX(T04_Classes!$CH$3:$DA$102,'C01_BaseCalculation'!E166,'C01_BaseCalculation'!D166),"")</f>
        <v/>
      </c>
      <c r="G166" s="131" t="str">
        <f t="shared" si="24"/>
        <v/>
      </c>
      <c r="H166" s="131">
        <f t="shared" si="25"/>
        <v>0</v>
      </c>
      <c r="I166" s="140" t="str">
        <f t="shared" si="26"/>
        <v/>
      </c>
      <c r="J166" s="140" t="str">
        <f t="shared" si="27"/>
        <v/>
      </c>
      <c r="K166" s="140">
        <f>K165</f>
        <v>2</v>
      </c>
      <c r="L166" s="140" t="str">
        <f t="shared" si="28"/>
        <v>Fighter</v>
      </c>
      <c r="M166" s="140">
        <v>7</v>
      </c>
      <c r="N166" s="140" t="str">
        <f t="shared" si="29"/>
        <v/>
      </c>
      <c r="O166" s="231">
        <f t="shared" si="30"/>
        <v>0</v>
      </c>
      <c r="P166" s="231">
        <f>IF(O166=0,0,COUNTIF(P$160:$P165,"&gt;0")+1)</f>
        <v>0</v>
      </c>
      <c r="Q166" s="140" t="str">
        <f t="shared" si="31"/>
        <v>Ability Score Improvement</v>
      </c>
      <c r="R166" s="140">
        <f t="shared" si="32"/>
        <v>4</v>
      </c>
      <c r="S166" s="140">
        <f>IFERROR(INDEX(T041_ClassFeatures!$T$2:$T$343,MATCH('C01_BaseCalculation'!$Q166,T041_ClassFeatures!$B$2:$B$343,0),1),"")</f>
        <v>0</v>
      </c>
      <c r="T166" s="140">
        <f>IFERROR(INDEX(T041_ClassFeatures!$U$2:$U$343,MATCH('C01_BaseCalculation'!$Q166,T041_ClassFeatures!$B$2:$B$343,0),1),"")</f>
        <v>0</v>
      </c>
      <c r="U166" s="140">
        <f t="shared" si="33"/>
        <v>0</v>
      </c>
      <c r="V166" s="140" t="str">
        <f t="array" ref="V166">IFERROR(INDEX(T041_ClassFeatures!$B$2:$B$556,MATCH('C01_BaseCalculation'!Q166&amp;INDEX('C03_ClassVariables'!$O$4:$O$9,MATCH(INDEX($L$160:$L$239,MATCH(Q166,$N$160:$N$239,0),1),'C03_ClassVariables'!$M$4:$M$9,0),1),T041_ClassFeatures!$S$2:$S$556&amp;T041_ClassFeatures!$R$2:$R$556,0),1),"")</f>
        <v/>
      </c>
      <c r="W166" s="140" t="str">
        <f t="shared" si="34"/>
        <v>Ability Score Improvement</v>
      </c>
      <c r="X166" s="140" t="str">
        <f>IFERROR(INDEX(T041_ClassFeatures!$C$2:$C$546,MATCH('C01_BaseCalculation'!W166,T041_ClassFeatures!$B$2:$B$546,0),1),"")</f>
        <v>Ability Score Improvement</v>
      </c>
      <c r="Y166" s="140" t="str">
        <f>IFERROR(INDEX(T041_ClassFeatures!$F$2:$F$546,MATCH('C01_BaseCalculation'!W166,T041_ClassFeatures!$B$2:$B$546,0),1),"")</f>
        <v/>
      </c>
      <c r="Z166" s="140" t="str">
        <f t="shared" si="35"/>
        <v>Fighter</v>
      </c>
      <c r="AA166" s="140">
        <f t="shared" si="36"/>
        <v>1</v>
      </c>
      <c r="AB166" s="140" t="str">
        <f t="shared" si="37"/>
        <v>Ability Score Improvement</v>
      </c>
      <c r="AC166" s="140" t="str">
        <f t="shared" si="38"/>
        <v/>
      </c>
      <c r="AD166" s="140">
        <f>IF(AA166=0,0,COUNTIF(AD$160:$AD165,"&gt;0")+1)</f>
        <v>7</v>
      </c>
      <c r="AH166" s="608" t="s">
        <v>6471</v>
      </c>
      <c r="AI166" s="608"/>
      <c r="AJ166" s="607">
        <f>Invocation7</f>
        <v>0</v>
      </c>
      <c r="AK166" s="140" t="str">
        <f t="shared" si="39"/>
        <v/>
      </c>
    </row>
    <row r="167" spans="2:37" x14ac:dyDescent="0.3">
      <c r="B167" s="131">
        <v>8</v>
      </c>
      <c r="C167" s="246" t="str">
        <f>Character_Creation!R69</f>
        <v>Wizard</v>
      </c>
      <c r="D167" s="246">
        <f>COUNTIF(C$160:$C167,C167)</f>
        <v>4</v>
      </c>
      <c r="E167" s="131">
        <f>IFERROR(MATCH(C167,T04_Classes!$B$3:$B$102,0),"")</f>
        <v>12</v>
      </c>
      <c r="F167" s="131" t="str">
        <f>IFERROR(INDEX(T04_Classes!$CH$3:$DA$102,'C01_BaseCalculation'!E167,'C01_BaseCalculation'!D167),"")</f>
        <v xml:space="preserve">Ability Score Improvement, </v>
      </c>
      <c r="G167" s="131" t="str">
        <f t="shared" si="24"/>
        <v>Ability Score Improvement</v>
      </c>
      <c r="H167" s="131">
        <f t="shared" si="25"/>
        <v>0</v>
      </c>
      <c r="I167" s="140" t="str">
        <f t="shared" si="26"/>
        <v/>
      </c>
      <c r="J167" s="140" t="str">
        <f t="shared" si="27"/>
        <v/>
      </c>
      <c r="K167" s="140">
        <f>K166</f>
        <v>2</v>
      </c>
      <c r="L167" s="140" t="str">
        <f t="shared" si="28"/>
        <v>Fighter</v>
      </c>
      <c r="M167" s="140">
        <v>8</v>
      </c>
      <c r="N167" s="140" t="str">
        <f t="shared" si="29"/>
        <v/>
      </c>
      <c r="O167" s="231">
        <f t="shared" si="30"/>
        <v>0</v>
      </c>
      <c r="P167" s="231">
        <f>IF(O167=0,0,COUNTIF(P$160:$P166,"&gt;0")+1)</f>
        <v>0</v>
      </c>
      <c r="Q167" s="140" t="str">
        <f t="shared" si="31"/>
        <v>Spellcasting (wizard)</v>
      </c>
      <c r="R167" s="140">
        <f t="shared" si="32"/>
        <v>5</v>
      </c>
      <c r="S167" s="140" t="str">
        <f>IFERROR(INDEX(T041_ClassFeatures!$T$2:$T$343,MATCH('C01_BaseCalculation'!$Q167,T041_ClassFeatures!$B$2:$B$343,0),1),"")</f>
        <v/>
      </c>
      <c r="T167" s="140" t="str">
        <f>IFERROR(INDEX(T041_ClassFeatures!$U$2:$U$343,MATCH('C01_BaseCalculation'!$Q167,T041_ClassFeatures!$B$2:$B$343,0),1),"")</f>
        <v/>
      </c>
      <c r="U167" s="140">
        <f t="shared" si="33"/>
        <v>0</v>
      </c>
      <c r="V167" s="140" t="str">
        <f t="array" ref="V167">IFERROR(INDEX(T041_ClassFeatures!$B$2:$B$556,MATCH('C01_BaseCalculation'!Q167&amp;INDEX('C03_ClassVariables'!$O$4:$O$9,MATCH(INDEX($L$160:$L$239,MATCH(Q167,$N$160:$N$239,0),1),'C03_ClassVariables'!$M$4:$M$9,0),1),T041_ClassFeatures!$S$2:$S$556&amp;T041_ClassFeatures!$R$2:$R$556,0),1),"")</f>
        <v/>
      </c>
      <c r="W167" s="140" t="str">
        <f t="shared" si="34"/>
        <v>Spellcasting (wizard)</v>
      </c>
      <c r="X167" s="140" t="str">
        <f>IFERROR(INDEX(T041_ClassFeatures!$C$2:$C$546,MATCH('C01_BaseCalculation'!W167,T041_ClassFeatures!$B$2:$B$546,0),1),"")</f>
        <v>Spellcasting</v>
      </c>
      <c r="Y167" s="140" t="str">
        <f>IFERROR(INDEX(T041_ClassFeatures!$F$2:$F$546,MATCH('C01_BaseCalculation'!W167,T041_ClassFeatures!$B$2:$B$546,0),1),"")</f>
        <v/>
      </c>
      <c r="Z167" s="140" t="str">
        <f t="shared" si="35"/>
        <v>Wizard</v>
      </c>
      <c r="AA167" s="140">
        <f t="shared" si="36"/>
        <v>1</v>
      </c>
      <c r="AB167" s="140" t="str">
        <f t="shared" si="37"/>
        <v>Spellcasting</v>
      </c>
      <c r="AC167" s="140" t="str">
        <f t="shared" si="38"/>
        <v/>
      </c>
      <c r="AD167" s="140">
        <f>IF(AA167=0,0,COUNTIF(AD$160:$AD166,"&gt;0")+1)</f>
        <v>8</v>
      </c>
      <c r="AH167" s="608" t="s">
        <v>6471</v>
      </c>
      <c r="AI167" s="608"/>
      <c r="AJ167" s="607">
        <f>Invocation8</f>
        <v>0</v>
      </c>
      <c r="AK167" s="140" t="str">
        <f t="shared" si="39"/>
        <v/>
      </c>
    </row>
    <row r="168" spans="2:37" x14ac:dyDescent="0.3">
      <c r="B168" s="131">
        <v>9</v>
      </c>
      <c r="C168" s="246" t="str">
        <f>Character_Creation!R70</f>
        <v>Wizard</v>
      </c>
      <c r="D168" s="246">
        <f>COUNTIF(C$160:$C168,C168)</f>
        <v>5</v>
      </c>
      <c r="E168" s="131">
        <f>IFERROR(MATCH(C168,T04_Classes!$B$3:$B$102,0),"")</f>
        <v>12</v>
      </c>
      <c r="F168" s="131" t="str">
        <f>IFERROR(INDEX(T04_Classes!$CH$3:$DA$102,'C01_BaseCalculation'!E168,'C01_BaseCalculation'!D168),"")</f>
        <v/>
      </c>
      <c r="G168" s="131" t="str">
        <f t="shared" si="24"/>
        <v/>
      </c>
      <c r="H168" s="131">
        <f t="shared" si="25"/>
        <v>0</v>
      </c>
      <c r="I168" s="140" t="str">
        <f t="shared" si="26"/>
        <v/>
      </c>
      <c r="J168" s="140" t="str">
        <f t="shared" si="27"/>
        <v/>
      </c>
      <c r="K168" s="140">
        <f>K167+1</f>
        <v>3</v>
      </c>
      <c r="L168" s="140" t="str">
        <f t="shared" si="28"/>
        <v>Fighter</v>
      </c>
      <c r="M168" s="140">
        <v>9</v>
      </c>
      <c r="N168" s="140" t="str">
        <f t="shared" si="29"/>
        <v>Martial Archetype</v>
      </c>
      <c r="O168" s="231">
        <f t="shared" si="30"/>
        <v>1</v>
      </c>
      <c r="P168" s="231">
        <f>IF(O168=0,0,COUNTIF(P$160:$P167,"&gt;0")+1)</f>
        <v>4</v>
      </c>
      <c r="Q168" s="140" t="str">
        <f t="shared" si="31"/>
        <v>Arcane Recovery</v>
      </c>
      <c r="R168" s="140">
        <f t="shared" si="32"/>
        <v>5</v>
      </c>
      <c r="S168" s="140">
        <f>IFERROR(INDEX(T041_ClassFeatures!$T$2:$T$343,MATCH('C01_BaseCalculation'!$Q168,T041_ClassFeatures!$B$2:$B$343,0),1),"")</f>
        <v>0</v>
      </c>
      <c r="T168" s="140">
        <f>IFERROR(INDEX(T041_ClassFeatures!$U$2:$U$343,MATCH('C01_BaseCalculation'!$Q168,T041_ClassFeatures!$B$2:$B$343,0),1),"")</f>
        <v>0</v>
      </c>
      <c r="U168" s="140">
        <f t="shared" si="33"/>
        <v>0</v>
      </c>
      <c r="V168" s="140" t="str">
        <f t="array" ref="V168">IFERROR(INDEX(T041_ClassFeatures!$B$2:$B$556,MATCH('C01_BaseCalculation'!Q168&amp;INDEX('C03_ClassVariables'!$O$4:$O$9,MATCH(INDEX($L$160:$L$239,MATCH(Q168,$N$160:$N$239,0),1),'C03_ClassVariables'!$M$4:$M$9,0),1),T041_ClassFeatures!$S$2:$S$556&amp;T041_ClassFeatures!$R$2:$R$556,0),1),"")</f>
        <v/>
      </c>
      <c r="W168" s="140" t="str">
        <f t="shared" si="34"/>
        <v>Arcane Recovery</v>
      </c>
      <c r="X168" s="140" t="str">
        <f>IFERROR(INDEX(T041_ClassFeatures!$C$2:$C$546,MATCH('C01_BaseCalculation'!W168,T041_ClassFeatures!$B$2:$B$546,0),1),"")</f>
        <v>Arcane Recovery</v>
      </c>
      <c r="Y168" s="140" t="str">
        <f>IFERROR(INDEX(T041_ClassFeatures!$F$2:$F$546,MATCH('C01_BaseCalculation'!W168,T041_ClassFeatures!$B$2:$B$546,0),1),"")</f>
        <v>You have learned to regain some of your magical energy by studying your spellbook. Once per day when you finish a short rest, you can choose expended spell slots to recover. The spell slots can have a combined level that is equal to or less than half your wizard level (rounded up), and none of the slots can be 6th level or higher. For example, if you’re a 4th-level wizard, you can recover up to two levels worth of spell slots. You can recover either a 2nd-level spell slot or two lst-level spell slots.</v>
      </c>
      <c r="Z168" s="140" t="str">
        <f t="shared" si="35"/>
        <v>Wizard</v>
      </c>
      <c r="AA168" s="140">
        <f t="shared" si="36"/>
        <v>1</v>
      </c>
      <c r="AB168" s="140" t="str">
        <f t="shared" si="37"/>
        <v>Arcane Recovery</v>
      </c>
      <c r="AC168" s="140" t="str">
        <f t="shared" si="38"/>
        <v>You have learned to regain some of your magical energy by studying your spellbook. Once per day when you finish a short rest, you can choose expended spell slots to recover. The spell slots can have a combined level that is equal to or less than half your wizard level (rounded up), and none of the slots can be 6th level or higher. For example, if you’re a 4th-level wizard, you can recover up to two levels worth of spell slots. You can recover either a 2nd-level spell slot or two lst-level spell slots.</v>
      </c>
      <c r="AD168" s="140">
        <f>IF(AA168=0,0,COUNTIF(AD$160:$AD167,"&gt;0")+1)</f>
        <v>9</v>
      </c>
      <c r="AH168" s="608" t="s">
        <v>4378</v>
      </c>
      <c r="AI168" s="608"/>
      <c r="AJ168" s="607">
        <f>CombatManeuver1</f>
        <v>0</v>
      </c>
      <c r="AK168" s="140" t="str">
        <f t="shared" si="39"/>
        <v/>
      </c>
    </row>
    <row r="169" spans="2:37" x14ac:dyDescent="0.3">
      <c r="B169" s="131">
        <v>10</v>
      </c>
      <c r="C169" s="246" t="str">
        <f>Character_Creation!R71</f>
        <v>Wizard</v>
      </c>
      <c r="D169" s="246">
        <f>COUNTIF(C$160:$C169,C169)</f>
        <v>6</v>
      </c>
      <c r="E169" s="131">
        <f>IFERROR(MATCH(C169,T04_Classes!$B$3:$B$102,0),"")</f>
        <v>12</v>
      </c>
      <c r="F169" s="131" t="str">
        <f>IFERROR(INDEX(T04_Classes!$CH$3:$DA$102,'C01_BaseCalculation'!E169,'C01_BaseCalculation'!D169),"")</f>
        <v xml:space="preserve">Arcane Tradition Feature6, </v>
      </c>
      <c r="G169" s="131" t="str">
        <f t="shared" si="24"/>
        <v>Arcane Tradition Feature6</v>
      </c>
      <c r="H169" s="131">
        <f t="shared" si="25"/>
        <v>0</v>
      </c>
      <c r="I169" s="140" t="str">
        <f t="shared" si="26"/>
        <v/>
      </c>
      <c r="J169" s="140" t="str">
        <f t="shared" si="27"/>
        <v/>
      </c>
      <c r="K169" s="140">
        <f>K168</f>
        <v>3</v>
      </c>
      <c r="L169" s="140" t="str">
        <f t="shared" si="28"/>
        <v>Fighter</v>
      </c>
      <c r="M169" s="140">
        <v>10</v>
      </c>
      <c r="N169" s="140" t="str">
        <f t="shared" si="29"/>
        <v>Martial Archetype Feature3-1</v>
      </c>
      <c r="O169" s="231">
        <f t="shared" si="30"/>
        <v>1</v>
      </c>
      <c r="P169" s="231">
        <f>IF(O169=0,0,COUNTIF(P$160:$P168,"&gt;0")+1)</f>
        <v>5</v>
      </c>
      <c r="Q169" s="140" t="str">
        <f t="shared" si="31"/>
        <v>Arcane Tradition</v>
      </c>
      <c r="R169" s="140">
        <f t="shared" si="32"/>
        <v>6</v>
      </c>
      <c r="S169" s="140" t="str">
        <f>IFERROR(INDEX(T041_ClassFeatures!$T$2:$T$343,MATCH('C01_BaseCalculation'!$Q169,T041_ClassFeatures!$B$2:$B$343,0),1),"")</f>
        <v>YES</v>
      </c>
      <c r="T169" s="140">
        <f>IFERROR(INDEX(T041_ClassFeatures!$U$2:$U$343,MATCH('C01_BaseCalculation'!$Q169,T041_ClassFeatures!$B$2:$B$343,0),1),"")</f>
        <v>0</v>
      </c>
      <c r="U169" s="140">
        <f t="shared" si="33"/>
        <v>0</v>
      </c>
      <c r="V169" s="140" t="str">
        <f t="array" ref="V169">IFERROR(INDEX(T041_ClassFeatures!$B$2:$B$556,MATCH('C01_BaseCalculation'!Q169&amp;INDEX('C03_ClassVariables'!$O$4:$O$9,MATCH(INDEX($L$160:$L$239,MATCH(Q169,$N$160:$N$239,0),1),'C03_ClassVariables'!$M$4:$M$9,0),1),T041_ClassFeatures!$S$2:$S$556&amp;T041_ClassFeatures!$R$2:$R$556,0),1),"")</f>
        <v/>
      </c>
      <c r="W169" s="140" t="str">
        <f t="shared" si="34"/>
        <v>Arcane Tradition</v>
      </c>
      <c r="X169" s="140" t="str">
        <f>IFERROR(INDEX(T041_ClassFeatures!$C$2:$C$546,MATCH('C01_BaseCalculation'!W169,T041_ClassFeatures!$B$2:$B$546,0),1),"")</f>
        <v>Arcane Tradition</v>
      </c>
      <c r="Y169" s="140" t="str">
        <f>IFERROR(INDEX(T041_ClassFeatures!$F$2:$F$546,MATCH('C01_BaseCalculation'!W169,T041_ClassFeatures!$B$2:$B$546,0),1),"")</f>
        <v>When you reach 2nd level, you choose an arcane tradition, shaping your practice of magic through one of eight schools: Abjuration, Conjuration, Divination, Enchantment, Evocation, Illusion, Necromancy, or Transmutation,</v>
      </c>
      <c r="Z169" s="140" t="str">
        <f t="shared" si="35"/>
        <v>Wizard</v>
      </c>
      <c r="AA169" s="140">
        <f t="shared" si="36"/>
        <v>1</v>
      </c>
      <c r="AB169" s="140" t="str">
        <f t="shared" si="37"/>
        <v>Arcane Tradition</v>
      </c>
      <c r="AC169" s="140" t="str">
        <f t="shared" si="38"/>
        <v>When you reach 2nd level, you choose an arcane tradition, shaping your practice of magic through one of eight schools: Abjuration, Conjuration, Divination, Enchantment, Evocation, Illusion, Necromancy, or Transmutation,</v>
      </c>
      <c r="AD169" s="140">
        <f>IF(AA169=0,0,COUNTIF(AD$160:$AD168,"&gt;0")+1)</f>
        <v>10</v>
      </c>
      <c r="AH169" s="608" t="s">
        <v>4378</v>
      </c>
      <c r="AI169" s="608"/>
      <c r="AJ169" s="607">
        <f>CombatManeuver2</f>
        <v>0</v>
      </c>
      <c r="AK169" s="140" t="str">
        <f t="shared" si="39"/>
        <v/>
      </c>
    </row>
    <row r="170" spans="2:37" x14ac:dyDescent="0.3">
      <c r="B170" s="131">
        <v>11</v>
      </c>
      <c r="C170" s="246" t="str">
        <f>Character_Creation!R72</f>
        <v>Wizard</v>
      </c>
      <c r="D170" s="246">
        <f>COUNTIF(C$160:$C170,C170)</f>
        <v>7</v>
      </c>
      <c r="E170" s="131">
        <f>IFERROR(MATCH(C170,T04_Classes!$B$3:$B$102,0),"")</f>
        <v>12</v>
      </c>
      <c r="F170" s="131" t="str">
        <f>IFERROR(INDEX(T04_Classes!$CH$3:$DA$102,'C01_BaseCalculation'!E170,'C01_BaseCalculation'!D170),"")</f>
        <v/>
      </c>
      <c r="G170" s="131" t="str">
        <f t="shared" si="24"/>
        <v/>
      </c>
      <c r="H170" s="131">
        <f t="shared" si="25"/>
        <v>0</v>
      </c>
      <c r="I170" s="140" t="str">
        <f t="shared" si="26"/>
        <v/>
      </c>
      <c r="J170" s="140" t="str">
        <f t="shared" si="27"/>
        <v/>
      </c>
      <c r="K170" s="140">
        <f>K169</f>
        <v>3</v>
      </c>
      <c r="L170" s="140" t="str">
        <f t="shared" si="28"/>
        <v>Fighter</v>
      </c>
      <c r="M170" s="140">
        <v>11</v>
      </c>
      <c r="N170" s="140" t="str">
        <f t="shared" si="29"/>
        <v>Martial Archetype Feature3-2</v>
      </c>
      <c r="O170" s="231">
        <f t="shared" si="30"/>
        <v>1</v>
      </c>
      <c r="P170" s="231">
        <f>IF(O170=0,0,COUNTIF(P$160:$P169,"&gt;0")+1)</f>
        <v>6</v>
      </c>
      <c r="Q170" s="140" t="str">
        <f t="shared" si="31"/>
        <v>Ability Score Improvement</v>
      </c>
      <c r="R170" s="140">
        <f t="shared" si="32"/>
        <v>8</v>
      </c>
      <c r="S170" s="140">
        <f>IFERROR(INDEX(T041_ClassFeatures!$T$2:$T$343,MATCH('C01_BaseCalculation'!$Q170,T041_ClassFeatures!$B$2:$B$343,0),1),"")</f>
        <v>0</v>
      </c>
      <c r="T170" s="140">
        <f>IFERROR(INDEX(T041_ClassFeatures!$U$2:$U$343,MATCH('C01_BaseCalculation'!$Q170,T041_ClassFeatures!$B$2:$B$343,0),1),"")</f>
        <v>0</v>
      </c>
      <c r="U170" s="140">
        <f t="shared" si="33"/>
        <v>0</v>
      </c>
      <c r="V170" s="140" t="str">
        <f t="array" ref="V170">IFERROR(INDEX(T041_ClassFeatures!$B$2:$B$556,MATCH('C01_BaseCalculation'!Q170&amp;INDEX('C03_ClassVariables'!$O$4:$O$9,MATCH(INDEX($L$160:$L$239,MATCH(Q170,$N$160:$N$239,0),1),'C03_ClassVariables'!$M$4:$M$9,0),1),T041_ClassFeatures!$S$2:$S$556&amp;T041_ClassFeatures!$R$2:$R$556,0),1),"")</f>
        <v/>
      </c>
      <c r="W170" s="140" t="str">
        <f t="shared" si="34"/>
        <v>Ability Score Improvement</v>
      </c>
      <c r="X170" s="140" t="str">
        <f>IFERROR(INDEX(T041_ClassFeatures!$C$2:$C$546,MATCH('C01_BaseCalculation'!W170,T041_ClassFeatures!$B$2:$B$546,0),1),"")</f>
        <v>Ability Score Improvement</v>
      </c>
      <c r="Y170" s="140" t="str">
        <f>IFERROR(INDEX(T041_ClassFeatures!$F$2:$F$546,MATCH('C01_BaseCalculation'!W170,T041_ClassFeatures!$B$2:$B$546,0),1),"")</f>
        <v/>
      </c>
      <c r="Z170" s="140" t="str">
        <f t="shared" si="35"/>
        <v>Fighter</v>
      </c>
      <c r="AA170" s="140">
        <f t="shared" si="36"/>
        <v>0</v>
      </c>
      <c r="AB170" s="140" t="str">
        <f t="shared" si="37"/>
        <v/>
      </c>
      <c r="AC170" s="140" t="str">
        <f t="shared" si="38"/>
        <v/>
      </c>
      <c r="AD170" s="140">
        <f>IF(AA170=0,0,COUNTIF(AD$160:$AD169,"&gt;0")+1)</f>
        <v>0</v>
      </c>
      <c r="AH170" s="608" t="s">
        <v>4378</v>
      </c>
      <c r="AI170" s="608"/>
      <c r="AJ170" s="607">
        <f>CombatManeuver3</f>
        <v>0</v>
      </c>
      <c r="AK170" s="140" t="str">
        <f t="shared" si="39"/>
        <v/>
      </c>
    </row>
    <row r="171" spans="2:37" x14ac:dyDescent="0.3">
      <c r="B171" s="131">
        <v>12</v>
      </c>
      <c r="C171" s="246" t="str">
        <f>Character_Creation!R73</f>
        <v>Wizard</v>
      </c>
      <c r="D171" s="246">
        <f>COUNTIF(C$160:$C171,C171)</f>
        <v>8</v>
      </c>
      <c r="E171" s="131">
        <f>IFERROR(MATCH(C171,T04_Classes!$B$3:$B$102,0),"")</f>
        <v>12</v>
      </c>
      <c r="F171" s="131" t="str">
        <f>IFERROR(INDEX(T04_Classes!$CH$3:$DA$102,'C01_BaseCalculation'!E171,'C01_BaseCalculation'!D171),"")</f>
        <v xml:space="preserve">Ability Score Improvement, </v>
      </c>
      <c r="G171" s="131" t="str">
        <f t="shared" si="24"/>
        <v>Ability Score Improvement</v>
      </c>
      <c r="H171" s="131">
        <f t="shared" si="25"/>
        <v>0</v>
      </c>
      <c r="I171" s="140" t="str">
        <f t="shared" si="26"/>
        <v/>
      </c>
      <c r="J171" s="140" t="str">
        <f t="shared" si="27"/>
        <v/>
      </c>
      <c r="K171" s="140">
        <f>K170</f>
        <v>3</v>
      </c>
      <c r="L171" s="140" t="str">
        <f t="shared" si="28"/>
        <v>Fighter</v>
      </c>
      <c r="M171" s="140">
        <v>12</v>
      </c>
      <c r="N171" s="140" t="str">
        <f t="shared" si="29"/>
        <v/>
      </c>
      <c r="O171" s="231">
        <f t="shared" si="30"/>
        <v>0</v>
      </c>
      <c r="P171" s="231">
        <f>IF(O171=0,0,COUNTIF(P$160:$P170,"&gt;0")+1)</f>
        <v>0</v>
      </c>
      <c r="Q171" s="140" t="str">
        <f t="shared" si="31"/>
        <v>Arcane Tradition Feature6</v>
      </c>
      <c r="R171" s="140">
        <f t="shared" si="32"/>
        <v>10</v>
      </c>
      <c r="S171" s="140">
        <f>IFERROR(INDEX(T041_ClassFeatures!$T$2:$T$343,MATCH('C01_BaseCalculation'!$Q171,T041_ClassFeatures!$B$2:$B$343,0),1),"")</f>
        <v>0</v>
      </c>
      <c r="T171" s="140" t="str">
        <f>IFERROR(INDEX(T041_ClassFeatures!$U$2:$U$343,MATCH('C01_BaseCalculation'!$Q171,T041_ClassFeatures!$B$2:$B$343,0),1),"")</f>
        <v>YES</v>
      </c>
      <c r="U171" s="140">
        <f t="shared" si="33"/>
        <v>1</v>
      </c>
      <c r="V171" s="140" t="str">
        <f t="array" ref="V171">IFERROR(INDEX(T041_ClassFeatures!$B$2:$B$556,MATCH('C01_BaseCalculation'!Q171&amp;INDEX('C03_ClassVariables'!$O$4:$O$9,MATCH(INDEX($L$160:$L$239,MATCH(Q171,$N$160:$N$239,0),1),'C03_ClassVariables'!$M$4:$M$9,0),1),T041_ClassFeatures!$S$2:$S$556&amp;T041_ClassFeatures!$R$2:$R$556,0),1),"")</f>
        <v>Benign Transposition</v>
      </c>
      <c r="W171" s="140" t="str">
        <f t="shared" si="34"/>
        <v>Benign Transposition</v>
      </c>
      <c r="X171" s="140" t="str">
        <f>IFERROR(INDEX(T041_ClassFeatures!$C$2:$C$546,MATCH('C01_BaseCalculation'!W171,T041_ClassFeatures!$B$2:$B$546,0),1),"")</f>
        <v>Benign Transposition</v>
      </c>
      <c r="Y171" s="140" t="str">
        <f>IFERROR(INDEX(T041_ClassFeatures!$F$2:$F$546,MATCH('C01_BaseCalculation'!W171,T041_ClassFeatures!$B$2:$B$546,0),1),"")</f>
        <v>Starting at 6th level, you can use your action to teleport up to 30 feet to an unoccupied space that you can see. Alternatively, you can choose a space within range that is occupied by a Small or Medium creature. If that creature is willing, you both teleport, swapping places. Once you use this feature, you can't use it again until you finish a long rest or you cast a conjuration spell of 1st level or higher.</v>
      </c>
      <c r="Z171" s="140" t="str">
        <f t="shared" si="35"/>
        <v>Wizard</v>
      </c>
      <c r="AA171" s="140">
        <f t="shared" si="36"/>
        <v>1</v>
      </c>
      <c r="AB171" s="140" t="str">
        <f t="shared" si="37"/>
        <v>Benign Transposition</v>
      </c>
      <c r="AC171" s="140" t="str">
        <f t="shared" si="38"/>
        <v>Starting at 6th level, you can use your action to teleport up to 30 feet to an unoccupied space that you can see. Alternatively, you can choose a space within range that is occupied by a Small or Medium creature. If that creature is willing, you both teleport, swapping places. Once you use this feature, you can't use it again until you finish a long rest or you cast a conjuration spell of 1st level or higher.</v>
      </c>
      <c r="AD171" s="140">
        <f>IF(AA171=0,0,COUNTIF(AD$160:$AD170,"&gt;0")+1)</f>
        <v>11</v>
      </c>
      <c r="AH171" s="608" t="s">
        <v>4378</v>
      </c>
      <c r="AI171" s="608"/>
      <c r="AJ171" s="607">
        <f>CombatManeuver4</f>
        <v>0</v>
      </c>
      <c r="AK171" s="140" t="str">
        <f t="shared" si="39"/>
        <v/>
      </c>
    </row>
    <row r="172" spans="2:37" x14ac:dyDescent="0.3">
      <c r="B172" s="131">
        <v>13</v>
      </c>
      <c r="C172" s="246" t="str">
        <f>Character_Creation!R74</f>
        <v>Fighter</v>
      </c>
      <c r="D172" s="246">
        <f>COUNTIF(C$160:$C172,C172)</f>
        <v>5</v>
      </c>
      <c r="E172" s="131">
        <f>IFERROR(MATCH(C172,T04_Classes!$B$3:$B$102,0),"")</f>
        <v>5</v>
      </c>
      <c r="F172" s="131" t="str">
        <f>IFERROR(INDEX(T04_Classes!$CH$3:$DA$102,'C01_BaseCalculation'!E172,'C01_BaseCalculation'!D172),"")</f>
        <v xml:space="preserve">Extra Attack, </v>
      </c>
      <c r="G172" s="131" t="str">
        <f t="shared" si="24"/>
        <v>Extra Attack</v>
      </c>
      <c r="H172" s="131">
        <f t="shared" si="25"/>
        <v>0</v>
      </c>
      <c r="I172" s="140" t="str">
        <f t="shared" si="26"/>
        <v/>
      </c>
      <c r="J172" s="140" t="str">
        <f t="shared" si="27"/>
        <v/>
      </c>
      <c r="K172" s="140">
        <f>K171+1</f>
        <v>4</v>
      </c>
      <c r="L172" s="140" t="str">
        <f t="shared" si="28"/>
        <v>Fighter</v>
      </c>
      <c r="M172" s="140">
        <v>13</v>
      </c>
      <c r="N172" s="140" t="str">
        <f t="shared" si="29"/>
        <v>Ability Score Improvement</v>
      </c>
      <c r="O172" s="231">
        <f t="shared" si="30"/>
        <v>1</v>
      </c>
      <c r="P172" s="231">
        <f>IF(O172=0,0,COUNTIF(P$160:$P171,"&gt;0")+1)</f>
        <v>7</v>
      </c>
      <c r="Q172" s="140" t="str">
        <f t="shared" si="31"/>
        <v>Ability Score Improvement</v>
      </c>
      <c r="R172" s="140">
        <f t="shared" si="32"/>
        <v>12</v>
      </c>
      <c r="S172" s="140">
        <f>IFERROR(INDEX(T041_ClassFeatures!$T$2:$T$343,MATCH('C01_BaseCalculation'!$Q172,T041_ClassFeatures!$B$2:$B$343,0),1),"")</f>
        <v>0</v>
      </c>
      <c r="T172" s="140">
        <f>IFERROR(INDEX(T041_ClassFeatures!$U$2:$U$343,MATCH('C01_BaseCalculation'!$Q172,T041_ClassFeatures!$B$2:$B$343,0),1),"")</f>
        <v>0</v>
      </c>
      <c r="U172" s="140">
        <f t="shared" si="33"/>
        <v>0</v>
      </c>
      <c r="V172" s="140" t="str">
        <f t="array" ref="V172">IFERROR(INDEX(T041_ClassFeatures!$B$2:$B$556,MATCH('C01_BaseCalculation'!Q172&amp;INDEX('C03_ClassVariables'!$O$4:$O$9,MATCH(INDEX($L$160:$L$239,MATCH(Q172,$N$160:$N$239,0),1),'C03_ClassVariables'!$M$4:$M$9,0),1),T041_ClassFeatures!$S$2:$S$556&amp;T041_ClassFeatures!$R$2:$R$556,0),1),"")</f>
        <v/>
      </c>
      <c r="W172" s="140" t="str">
        <f t="shared" si="34"/>
        <v>Ability Score Improvement</v>
      </c>
      <c r="X172" s="140" t="str">
        <f>IFERROR(INDEX(T041_ClassFeatures!$C$2:$C$546,MATCH('C01_BaseCalculation'!W172,T041_ClassFeatures!$B$2:$B$546,0),1),"")</f>
        <v>Ability Score Improvement</v>
      </c>
      <c r="Y172" s="140" t="str">
        <f>IFERROR(INDEX(T041_ClassFeatures!$F$2:$F$546,MATCH('C01_BaseCalculation'!W172,T041_ClassFeatures!$B$2:$B$546,0),1),"")</f>
        <v/>
      </c>
      <c r="Z172" s="140" t="str">
        <f t="shared" si="35"/>
        <v>Fighter</v>
      </c>
      <c r="AA172" s="140">
        <f t="shared" si="36"/>
        <v>0</v>
      </c>
      <c r="AB172" s="140" t="str">
        <f t="shared" si="37"/>
        <v/>
      </c>
      <c r="AC172" s="140" t="str">
        <f t="shared" si="38"/>
        <v/>
      </c>
      <c r="AD172" s="140">
        <f>IF(AA172=0,0,COUNTIF(AD$160:$AD171,"&gt;0")+1)</f>
        <v>0</v>
      </c>
      <c r="AH172" s="608" t="s">
        <v>4378</v>
      </c>
      <c r="AI172" s="608"/>
      <c r="AJ172" s="607">
        <f>CombatManeuver5</f>
        <v>0</v>
      </c>
      <c r="AK172" s="140" t="str">
        <f t="shared" si="39"/>
        <v/>
      </c>
    </row>
    <row r="173" spans="2:37" x14ac:dyDescent="0.3">
      <c r="B173" s="131">
        <v>14</v>
      </c>
      <c r="C173" s="246" t="str">
        <f>Character_Creation!R75</f>
        <v>Fighter</v>
      </c>
      <c r="D173" s="246">
        <f>COUNTIF(C$160:$C173,C173)</f>
        <v>6</v>
      </c>
      <c r="E173" s="131">
        <f>IFERROR(MATCH(C173,T04_Classes!$B$3:$B$102,0),"")</f>
        <v>5</v>
      </c>
      <c r="F173" s="131" t="str">
        <f>IFERROR(INDEX(T04_Classes!$CH$3:$DA$102,'C01_BaseCalculation'!E173,'C01_BaseCalculation'!D173),"")</f>
        <v xml:space="preserve">Ability Score Improvement, </v>
      </c>
      <c r="G173" s="131" t="str">
        <f t="shared" si="24"/>
        <v>Ability Score Improvement</v>
      </c>
      <c r="H173" s="131">
        <f t="shared" si="25"/>
        <v>0</v>
      </c>
      <c r="I173" s="140" t="str">
        <f t="shared" si="26"/>
        <v/>
      </c>
      <c r="J173" s="140" t="str">
        <f t="shared" si="27"/>
        <v/>
      </c>
      <c r="K173" s="140">
        <f>K172</f>
        <v>4</v>
      </c>
      <c r="L173" s="140" t="str">
        <f t="shared" si="28"/>
        <v>Fighter</v>
      </c>
      <c r="M173" s="140">
        <v>14</v>
      </c>
      <c r="N173" s="140">
        <f t="shared" si="29"/>
        <v>0</v>
      </c>
      <c r="O173" s="231">
        <f t="shared" si="30"/>
        <v>0</v>
      </c>
      <c r="P173" s="231">
        <f>IF(O173=0,0,COUNTIF(P$160:$P172,"&gt;0")+1)</f>
        <v>0</v>
      </c>
      <c r="Q173" s="140" t="str">
        <f t="shared" si="31"/>
        <v>Extra Attack</v>
      </c>
      <c r="R173" s="140">
        <f t="shared" si="32"/>
        <v>13</v>
      </c>
      <c r="S173" s="140">
        <f>IFERROR(INDEX(T041_ClassFeatures!$T$2:$T$343,MATCH('C01_BaseCalculation'!$Q173,T041_ClassFeatures!$B$2:$B$343,0),1),"")</f>
        <v>0</v>
      </c>
      <c r="T173" s="140">
        <f>IFERROR(INDEX(T041_ClassFeatures!$U$2:$U$343,MATCH('C01_BaseCalculation'!$Q173,T041_ClassFeatures!$B$2:$B$343,0),1),"")</f>
        <v>0</v>
      </c>
      <c r="U173" s="140">
        <f t="shared" si="33"/>
        <v>0</v>
      </c>
      <c r="V173" s="140" t="str">
        <f t="array" ref="V173">IFERROR(INDEX(T041_ClassFeatures!$B$2:$B$556,MATCH('C01_BaseCalculation'!Q173&amp;INDEX('C03_ClassVariables'!$O$4:$O$9,MATCH(INDEX($L$160:$L$239,MATCH(Q173,$N$160:$N$239,0),1),'C03_ClassVariables'!$M$4:$M$9,0),1),T041_ClassFeatures!$S$2:$S$556&amp;T041_ClassFeatures!$R$2:$R$556,0),1),"")</f>
        <v/>
      </c>
      <c r="W173" s="140" t="str">
        <f t="shared" si="34"/>
        <v>Extra Attack</v>
      </c>
      <c r="X173" s="140" t="str">
        <f>IFERROR(INDEX(T041_ClassFeatures!$C$2:$C$546,MATCH('C01_BaseCalculation'!W173,T041_ClassFeatures!$B$2:$B$546,0),1),"")</f>
        <v>Extra Attack</v>
      </c>
      <c r="Y173" s="140" t="str">
        <f>IFERROR(INDEX(T041_ClassFeatures!$F$2:$F$546,MATCH('C01_BaseCalculation'!W173,T041_ClassFeatures!$B$2:$B$546,0),1),"")</f>
        <v>Beginning at 5th level, you can attack twice, instead of once, whenever you take the Attack action on your turn.</v>
      </c>
      <c r="Z173" s="140" t="str">
        <f t="shared" si="35"/>
        <v>Fighter</v>
      </c>
      <c r="AA173" s="140">
        <f t="shared" si="36"/>
        <v>1</v>
      </c>
      <c r="AB173" s="140" t="str">
        <f t="shared" si="37"/>
        <v>Extra Attack</v>
      </c>
      <c r="AC173" s="140" t="str">
        <f t="shared" si="38"/>
        <v>Beginning at 5th level, you can attack twice, instead of once, whenever you take the Attack action on your turn.</v>
      </c>
      <c r="AD173" s="140">
        <f>IF(AA173=0,0,COUNTIF(AD$160:$AD172,"&gt;0")+1)</f>
        <v>12</v>
      </c>
      <c r="AH173" s="608" t="s">
        <v>4378</v>
      </c>
      <c r="AI173" s="608"/>
      <c r="AJ173" s="607">
        <f>CombatManeuver6</f>
        <v>0</v>
      </c>
      <c r="AK173" s="140" t="str">
        <f t="shared" si="39"/>
        <v/>
      </c>
    </row>
    <row r="174" spans="2:37" x14ac:dyDescent="0.3">
      <c r="B174" s="131">
        <v>15</v>
      </c>
      <c r="C174" s="246" t="str">
        <f>Character_Creation!R76</f>
        <v>Fighter</v>
      </c>
      <c r="D174" s="246">
        <f>COUNTIF(C$160:$C174,C174)</f>
        <v>7</v>
      </c>
      <c r="E174" s="131">
        <f>IFERROR(MATCH(C174,T04_Classes!$B$3:$B$102,0),"")</f>
        <v>5</v>
      </c>
      <c r="F174" s="131" t="str">
        <f>IFERROR(INDEX(T04_Classes!$CH$3:$DA$102,'C01_BaseCalculation'!E174,'C01_BaseCalculation'!D174),"")</f>
        <v xml:space="preserve">Martial Archetype Feature7, </v>
      </c>
      <c r="G174" s="131" t="str">
        <f t="shared" si="24"/>
        <v>Martial Archetype Feature7</v>
      </c>
      <c r="H174" s="131">
        <f t="shared" si="25"/>
        <v>0</v>
      </c>
      <c r="I174" s="140" t="str">
        <f t="shared" si="26"/>
        <v/>
      </c>
      <c r="J174" s="140" t="str">
        <f t="shared" si="27"/>
        <v/>
      </c>
      <c r="K174" s="140">
        <f>K173</f>
        <v>4</v>
      </c>
      <c r="L174" s="140" t="str">
        <f t="shared" si="28"/>
        <v>Fighter</v>
      </c>
      <c r="M174" s="140">
        <v>15</v>
      </c>
      <c r="N174" s="140" t="str">
        <f t="shared" si="29"/>
        <v/>
      </c>
      <c r="O174" s="231">
        <f t="shared" si="30"/>
        <v>0</v>
      </c>
      <c r="P174" s="231">
        <f>IF(O174=0,0,COUNTIF(P$160:$P173,"&gt;0")+1)</f>
        <v>0</v>
      </c>
      <c r="Q174" s="140" t="str">
        <f t="shared" si="31"/>
        <v>Ability Score Improvement</v>
      </c>
      <c r="R174" s="140">
        <f t="shared" si="32"/>
        <v>14</v>
      </c>
      <c r="S174" s="140">
        <f>IFERROR(INDEX(T041_ClassFeatures!$T$2:$T$343,MATCH('C01_BaseCalculation'!$Q174,T041_ClassFeatures!$B$2:$B$343,0),1),"")</f>
        <v>0</v>
      </c>
      <c r="T174" s="140">
        <f>IFERROR(INDEX(T041_ClassFeatures!$U$2:$U$343,MATCH('C01_BaseCalculation'!$Q174,T041_ClassFeatures!$B$2:$B$343,0),1),"")</f>
        <v>0</v>
      </c>
      <c r="U174" s="140">
        <f t="shared" si="33"/>
        <v>0</v>
      </c>
      <c r="V174" s="140" t="str">
        <f t="array" ref="V174">IFERROR(INDEX(T041_ClassFeatures!$B$2:$B$556,MATCH('C01_BaseCalculation'!Q174&amp;INDEX('C03_ClassVariables'!$O$4:$O$9,MATCH(INDEX($L$160:$L$239,MATCH(Q174,$N$160:$N$239,0),1),'C03_ClassVariables'!$M$4:$M$9,0),1),T041_ClassFeatures!$S$2:$S$556&amp;T041_ClassFeatures!$R$2:$R$556,0),1),"")</f>
        <v/>
      </c>
      <c r="W174" s="140" t="str">
        <f t="shared" si="34"/>
        <v>Ability Score Improvement</v>
      </c>
      <c r="X174" s="140" t="str">
        <f>IFERROR(INDEX(T041_ClassFeatures!$C$2:$C$546,MATCH('C01_BaseCalculation'!W174,T041_ClassFeatures!$B$2:$B$546,0),1),"")</f>
        <v>Ability Score Improvement</v>
      </c>
      <c r="Y174" s="140" t="str">
        <f>IFERROR(INDEX(T041_ClassFeatures!$F$2:$F$546,MATCH('C01_BaseCalculation'!W174,T041_ClassFeatures!$B$2:$B$546,0),1),"")</f>
        <v/>
      </c>
      <c r="Z174" s="140" t="str">
        <f t="shared" si="35"/>
        <v>Fighter</v>
      </c>
      <c r="AA174" s="140">
        <f t="shared" si="36"/>
        <v>0</v>
      </c>
      <c r="AB174" s="140" t="str">
        <f t="shared" si="37"/>
        <v/>
      </c>
      <c r="AC174" s="140" t="str">
        <f t="shared" si="38"/>
        <v/>
      </c>
      <c r="AD174" s="140">
        <f>IF(AA174=0,0,COUNTIF(AD$160:$AD173,"&gt;0")+1)</f>
        <v>0</v>
      </c>
      <c r="AH174" s="608" t="s">
        <v>4378</v>
      </c>
      <c r="AI174" s="608"/>
      <c r="AJ174" s="607">
        <f>CombatManeuver7</f>
        <v>0</v>
      </c>
      <c r="AK174" s="140" t="str">
        <f t="shared" si="39"/>
        <v/>
      </c>
    </row>
    <row r="175" spans="2:37" x14ac:dyDescent="0.3">
      <c r="B175" s="131">
        <v>16</v>
      </c>
      <c r="C175" s="246" t="str">
        <f>Character_Creation!R77</f>
        <v>Fighter</v>
      </c>
      <c r="D175" s="246">
        <f>COUNTIF(C$160:$C175,C175)</f>
        <v>8</v>
      </c>
      <c r="E175" s="131">
        <f>IFERROR(MATCH(C175,T04_Classes!$B$3:$B$102,0),"")</f>
        <v>5</v>
      </c>
      <c r="F175" s="131" t="str">
        <f>IFERROR(INDEX(T04_Classes!$CH$3:$DA$102,'C01_BaseCalculation'!E175,'C01_BaseCalculation'!D175),"")</f>
        <v xml:space="preserve">Ability Score Improvement, </v>
      </c>
      <c r="G175" s="131" t="str">
        <f t="shared" si="24"/>
        <v>Ability Score Improvement</v>
      </c>
      <c r="H175" s="131">
        <f t="shared" si="25"/>
        <v>0</v>
      </c>
      <c r="I175" s="140" t="str">
        <f t="shared" si="26"/>
        <v/>
      </c>
      <c r="J175" s="140" t="str">
        <f t="shared" si="27"/>
        <v/>
      </c>
      <c r="K175" s="140">
        <f>K174</f>
        <v>4</v>
      </c>
      <c r="L175" s="140" t="str">
        <f t="shared" si="28"/>
        <v>Fighter</v>
      </c>
      <c r="M175" s="140">
        <v>16</v>
      </c>
      <c r="N175" s="140" t="str">
        <f t="shared" si="29"/>
        <v/>
      </c>
      <c r="O175" s="231">
        <f t="shared" si="30"/>
        <v>0</v>
      </c>
      <c r="P175" s="231">
        <f>IF(O175=0,0,COUNTIF(P$160:$P174,"&gt;0")+1)</f>
        <v>0</v>
      </c>
      <c r="Q175" s="140" t="str">
        <f t="shared" si="31"/>
        <v>Martial Archetype Feature7</v>
      </c>
      <c r="R175" s="140">
        <f t="shared" si="32"/>
        <v>15</v>
      </c>
      <c r="S175" s="140">
        <f>IFERROR(INDEX(T041_ClassFeatures!$T$2:$T$343,MATCH('C01_BaseCalculation'!$Q175,T041_ClassFeatures!$B$2:$B$343,0),1),"")</f>
        <v>0</v>
      </c>
      <c r="T175" s="140" t="str">
        <f>IFERROR(INDEX(T041_ClassFeatures!$U$2:$U$343,MATCH('C01_BaseCalculation'!$Q175,T041_ClassFeatures!$B$2:$B$343,0),1),"")</f>
        <v>YES</v>
      </c>
      <c r="U175" s="140">
        <f t="shared" si="33"/>
        <v>1</v>
      </c>
      <c r="V175" s="140" t="str">
        <f t="array" ref="V175">IFERROR(INDEX(T041_ClassFeatures!$B$2:$B$556,MATCH('C01_BaseCalculation'!Q175&amp;INDEX('C03_ClassVariables'!$O$4:$O$9,MATCH(INDEX($L$160:$L$239,MATCH(Q175,$N$160:$N$239,0),1),'C03_ClassVariables'!$M$4:$M$9,0),1),T041_ClassFeatures!$S$2:$S$556&amp;T041_ClassFeatures!$R$2:$R$556,0),1),"")</f>
        <v>War Magic</v>
      </c>
      <c r="W175" s="140" t="str">
        <f t="shared" si="34"/>
        <v>War Magic</v>
      </c>
      <c r="X175" s="140" t="str">
        <f>IFERROR(INDEX(T041_ClassFeatures!$C$2:$C$546,MATCH('C01_BaseCalculation'!W175,T041_ClassFeatures!$B$2:$B$546,0),1),"")</f>
        <v>War Magic</v>
      </c>
      <c r="Y175" s="140" t="str">
        <f>IFERROR(INDEX(T041_ClassFeatures!$F$2:$F$546,MATCH('C01_BaseCalculation'!W175,T041_ClassFeatures!$B$2:$B$546,0),1),"")</f>
        <v>Beginning at 7th level, when you use your action to cast a cantrip, you can make one weapon attack as a bonus action.</v>
      </c>
      <c r="Z175" s="140" t="str">
        <f t="shared" si="35"/>
        <v>Fighter</v>
      </c>
      <c r="AA175" s="140">
        <f t="shared" si="36"/>
        <v>1</v>
      </c>
      <c r="AB175" s="140" t="str">
        <f t="shared" si="37"/>
        <v>War Magic</v>
      </c>
      <c r="AC175" s="140" t="str">
        <f t="shared" si="38"/>
        <v>Beginning at 7th level, when you use your action to cast a cantrip, you can make one weapon attack as a bonus action.</v>
      </c>
      <c r="AD175" s="140">
        <f>IF(AA175=0,0,COUNTIF(AD$160:$AD174,"&gt;0")+1)</f>
        <v>13</v>
      </c>
      <c r="AH175" s="608" t="s">
        <v>4378</v>
      </c>
      <c r="AI175" s="608"/>
      <c r="AJ175" s="607">
        <f>CombatManeuver8</f>
        <v>0</v>
      </c>
      <c r="AK175" s="140" t="str">
        <f t="shared" si="39"/>
        <v/>
      </c>
    </row>
    <row r="176" spans="2:37" x14ac:dyDescent="0.3">
      <c r="B176" s="131">
        <v>17</v>
      </c>
      <c r="C176" s="246" t="str">
        <f>Character_Creation!R78</f>
        <v>Fighter</v>
      </c>
      <c r="D176" s="246">
        <f>COUNTIF(C$160:$C176,C176)</f>
        <v>9</v>
      </c>
      <c r="E176" s="131">
        <f>IFERROR(MATCH(C176,T04_Classes!$B$3:$B$102,0),"")</f>
        <v>5</v>
      </c>
      <c r="F176" s="131" t="str">
        <f>IFERROR(INDEX(T04_Classes!$CH$3:$DA$102,'C01_BaseCalculation'!E176,'C01_BaseCalculation'!D176),"")</f>
        <v xml:space="preserve">Indomitable, </v>
      </c>
      <c r="G176" s="131" t="str">
        <f t="shared" si="24"/>
        <v>Indomitable</v>
      </c>
      <c r="H176" s="131">
        <f t="shared" si="25"/>
        <v>0</v>
      </c>
      <c r="I176" s="140" t="str">
        <f t="shared" si="26"/>
        <v/>
      </c>
      <c r="J176" s="140" t="str">
        <f t="shared" si="27"/>
        <v/>
      </c>
      <c r="K176" s="140">
        <f>K175+1</f>
        <v>5</v>
      </c>
      <c r="L176" s="140" t="str">
        <f t="shared" si="28"/>
        <v>Wizard</v>
      </c>
      <c r="M176" s="140">
        <v>17</v>
      </c>
      <c r="N176" s="140" t="str">
        <f t="shared" si="29"/>
        <v>Spellcasting (wizard)</v>
      </c>
      <c r="O176" s="231">
        <f t="shared" si="30"/>
        <v>1</v>
      </c>
      <c r="P176" s="231">
        <f>IF(O176=0,0,COUNTIF(P$160:$P175,"&gt;0")+1)</f>
        <v>8</v>
      </c>
      <c r="Q176" s="140" t="str">
        <f t="shared" si="31"/>
        <v>Ability Score Improvement</v>
      </c>
      <c r="R176" s="140">
        <f t="shared" si="32"/>
        <v>16</v>
      </c>
      <c r="S176" s="140">
        <f>IFERROR(INDEX(T041_ClassFeatures!$T$2:$T$343,MATCH('C01_BaseCalculation'!$Q176,T041_ClassFeatures!$B$2:$B$343,0),1),"")</f>
        <v>0</v>
      </c>
      <c r="T176" s="140">
        <f>IFERROR(INDEX(T041_ClassFeatures!$U$2:$U$343,MATCH('C01_BaseCalculation'!$Q176,T041_ClassFeatures!$B$2:$B$343,0),1),"")</f>
        <v>0</v>
      </c>
      <c r="U176" s="140">
        <f t="shared" si="33"/>
        <v>0</v>
      </c>
      <c r="V176" s="140" t="str">
        <f t="array" ref="V176">IFERROR(INDEX(T041_ClassFeatures!$B$2:$B$556,MATCH('C01_BaseCalculation'!Q176&amp;INDEX('C03_ClassVariables'!$O$4:$O$9,MATCH(INDEX($L$160:$L$239,MATCH(Q176,$N$160:$N$239,0),1),'C03_ClassVariables'!$M$4:$M$9,0),1),T041_ClassFeatures!$S$2:$S$556&amp;T041_ClassFeatures!$R$2:$R$556,0),1),"")</f>
        <v/>
      </c>
      <c r="W176" s="140" t="str">
        <f t="shared" si="34"/>
        <v>Ability Score Improvement</v>
      </c>
      <c r="X176" s="140" t="str">
        <f>IFERROR(INDEX(T041_ClassFeatures!$C$2:$C$546,MATCH('C01_BaseCalculation'!W176,T041_ClassFeatures!$B$2:$B$546,0),1),"")</f>
        <v>Ability Score Improvement</v>
      </c>
      <c r="Y176" s="140" t="str">
        <f>IFERROR(INDEX(T041_ClassFeatures!$F$2:$F$546,MATCH('C01_BaseCalculation'!W176,T041_ClassFeatures!$B$2:$B$546,0),1),"")</f>
        <v/>
      </c>
      <c r="Z176" s="140" t="str">
        <f t="shared" si="35"/>
        <v>Fighter</v>
      </c>
      <c r="AA176" s="140">
        <f t="shared" si="36"/>
        <v>0</v>
      </c>
      <c r="AB176" s="140" t="str">
        <f t="shared" si="37"/>
        <v/>
      </c>
      <c r="AC176" s="140" t="str">
        <f t="shared" si="38"/>
        <v/>
      </c>
      <c r="AD176" s="140">
        <f>IF(AA176=0,0,COUNTIF(AD$160:$AD175,"&gt;0")+1)</f>
        <v>0</v>
      </c>
      <c r="AH176" s="608" t="s">
        <v>4378</v>
      </c>
      <c r="AI176" s="608"/>
      <c r="AJ176" s="607">
        <f>CombatManeuver9</f>
        <v>0</v>
      </c>
      <c r="AK176" s="140" t="str">
        <f t="shared" si="39"/>
        <v/>
      </c>
    </row>
    <row r="177" spans="2:37" x14ac:dyDescent="0.3">
      <c r="B177" s="131">
        <v>18</v>
      </c>
      <c r="C177" s="246" t="str">
        <f>Character_Creation!R79</f>
        <v>Fighter</v>
      </c>
      <c r="D177" s="246">
        <f>COUNTIF(C$160:$C177,C177)</f>
        <v>10</v>
      </c>
      <c r="E177" s="131">
        <f>IFERROR(MATCH(C177,T04_Classes!$B$3:$B$102,0),"")</f>
        <v>5</v>
      </c>
      <c r="F177" s="131" t="str">
        <f>IFERROR(INDEX(T04_Classes!$CH$3:$DA$102,'C01_BaseCalculation'!E177,'C01_BaseCalculation'!D177),"")</f>
        <v xml:space="preserve">Martial Archetype Feature10, </v>
      </c>
      <c r="G177" s="131" t="str">
        <f t="shared" si="24"/>
        <v>Martial Archetype Feature10</v>
      </c>
      <c r="H177" s="131">
        <f t="shared" si="25"/>
        <v>0</v>
      </c>
      <c r="I177" s="140" t="str">
        <f t="shared" si="26"/>
        <v/>
      </c>
      <c r="J177" s="140" t="str">
        <f t="shared" si="27"/>
        <v/>
      </c>
      <c r="K177" s="140">
        <f>K176</f>
        <v>5</v>
      </c>
      <c r="L177" s="140" t="str">
        <f t="shared" si="28"/>
        <v>Wizard</v>
      </c>
      <c r="M177" s="140">
        <v>18</v>
      </c>
      <c r="N177" s="140" t="str">
        <f t="shared" si="29"/>
        <v>Arcane Recovery</v>
      </c>
      <c r="O177" s="231">
        <f t="shared" si="30"/>
        <v>1</v>
      </c>
      <c r="P177" s="231">
        <f>IF(O177=0,0,COUNTIF(P$160:$P176,"&gt;0")+1)</f>
        <v>9</v>
      </c>
      <c r="Q177" s="140" t="str">
        <f t="shared" si="31"/>
        <v>Indomitable</v>
      </c>
      <c r="R177" s="140">
        <f t="shared" si="32"/>
        <v>17</v>
      </c>
      <c r="S177" s="140">
        <f>IFERROR(INDEX(T041_ClassFeatures!$T$2:$T$343,MATCH('C01_BaseCalculation'!$Q177,T041_ClassFeatures!$B$2:$B$343,0),1),"")</f>
        <v>0</v>
      </c>
      <c r="T177" s="140">
        <f>IFERROR(INDEX(T041_ClassFeatures!$U$2:$U$343,MATCH('C01_BaseCalculation'!$Q177,T041_ClassFeatures!$B$2:$B$343,0),1),"")</f>
        <v>0</v>
      </c>
      <c r="U177" s="140">
        <f t="shared" si="33"/>
        <v>0</v>
      </c>
      <c r="V177" s="140" t="str">
        <f t="array" ref="V177">IFERROR(INDEX(T041_ClassFeatures!$B$2:$B$556,MATCH('C01_BaseCalculation'!Q177&amp;INDEX('C03_ClassVariables'!$O$4:$O$9,MATCH(INDEX($L$160:$L$239,MATCH(Q177,$N$160:$N$239,0),1),'C03_ClassVariables'!$M$4:$M$9,0),1),T041_ClassFeatures!$S$2:$S$556&amp;T041_ClassFeatures!$R$2:$R$556,0),1),"")</f>
        <v/>
      </c>
      <c r="W177" s="140" t="str">
        <f t="shared" si="34"/>
        <v>Indomitable</v>
      </c>
      <c r="X177" s="140" t="str">
        <f>IFERROR(INDEX(T041_ClassFeatures!$C$2:$C$546,MATCH('C01_BaseCalculation'!W177,T041_ClassFeatures!$B$2:$B$546,0),1),"")</f>
        <v>Indomitable</v>
      </c>
      <c r="Y177" s="140" t="str">
        <f>IFERROR(INDEX(T041_ClassFeatures!$F$2:$F$546,MATCH('C01_BaseCalculation'!W177,T041_ClassFeatures!$B$2:$B$546,0),1),"")</f>
        <v>Beginning at 9th level, you can reroll a saving throw that you fail. If you do so, you must use the new roll, and you can't use this feature again until you finish a long rest. You can use this feature twice between long rests starting at 13th level and three times between long rests starting at 17th level.</v>
      </c>
      <c r="Z177" s="140" t="str">
        <f t="shared" si="35"/>
        <v>Fighter</v>
      </c>
      <c r="AA177" s="140">
        <f t="shared" si="36"/>
        <v>1</v>
      </c>
      <c r="AB177" s="140" t="str">
        <f t="shared" si="37"/>
        <v>Indomitable</v>
      </c>
      <c r="AC177" s="140" t="str">
        <f t="shared" si="38"/>
        <v>Beginning at 9th level, you can reroll a saving throw that you fail. If you do so, you must use the new roll, and you can't use this feature again until you finish a long rest. You can use this feature twice between long rests starting at 13th level and three times between long rests starting at 17th level.</v>
      </c>
      <c r="AD177" s="140">
        <f>IF(AA177=0,0,COUNTIF(AD$160:$AD176,"&gt;0")+1)</f>
        <v>14</v>
      </c>
      <c r="AH177" s="608" t="s">
        <v>4378</v>
      </c>
      <c r="AI177" s="608"/>
      <c r="AJ177" s="607">
        <f>CombatManeuver10</f>
        <v>0</v>
      </c>
      <c r="AK177" s="140" t="str">
        <f t="shared" si="39"/>
        <v/>
      </c>
    </row>
    <row r="178" spans="2:37" x14ac:dyDescent="0.3">
      <c r="B178" s="131">
        <v>19</v>
      </c>
      <c r="C178" s="246" t="str">
        <f>Character_Creation!R80</f>
        <v>Fighter</v>
      </c>
      <c r="D178" s="246">
        <f>COUNTIF(C$160:$C178,C178)</f>
        <v>11</v>
      </c>
      <c r="E178" s="131">
        <f>IFERROR(MATCH(C178,T04_Classes!$B$3:$B$102,0),"")</f>
        <v>5</v>
      </c>
      <c r="F178" s="131" t="str">
        <f>IFERROR(INDEX(T04_Classes!$CH$3:$DA$102,'C01_BaseCalculation'!E178,'C01_BaseCalculation'!D178),"")</f>
        <v xml:space="preserve">Extra Attack (2), </v>
      </c>
      <c r="G178" s="131" t="str">
        <f t="shared" si="24"/>
        <v>Extra Attack (2)</v>
      </c>
      <c r="H178" s="131">
        <f t="shared" si="25"/>
        <v>0</v>
      </c>
      <c r="I178" s="140" t="str">
        <f t="shared" si="26"/>
        <v/>
      </c>
      <c r="J178" s="140" t="str">
        <f t="shared" si="27"/>
        <v/>
      </c>
      <c r="K178" s="140">
        <f>K177</f>
        <v>5</v>
      </c>
      <c r="L178" s="140" t="str">
        <f t="shared" si="28"/>
        <v>Wizard</v>
      </c>
      <c r="M178" s="140">
        <v>19</v>
      </c>
      <c r="N178" s="140" t="str">
        <f t="shared" si="29"/>
        <v/>
      </c>
      <c r="O178" s="231">
        <f t="shared" si="30"/>
        <v>0</v>
      </c>
      <c r="P178" s="231">
        <f>IF(O178=0,0,COUNTIF(P$160:$P177,"&gt;0")+1)</f>
        <v>0</v>
      </c>
      <c r="Q178" s="140" t="str">
        <f t="shared" si="31"/>
        <v>Martial Archetype Feature10</v>
      </c>
      <c r="R178" s="140">
        <f t="shared" si="32"/>
        <v>18</v>
      </c>
      <c r="S178" s="140">
        <f>IFERROR(INDEX(T041_ClassFeatures!$T$2:$T$343,MATCH('C01_BaseCalculation'!$Q178,T041_ClassFeatures!$B$2:$B$343,0),1),"")</f>
        <v>0</v>
      </c>
      <c r="T178" s="140" t="str">
        <f>IFERROR(INDEX(T041_ClassFeatures!$U$2:$U$343,MATCH('C01_BaseCalculation'!$Q178,T041_ClassFeatures!$B$2:$B$343,0),1),"")</f>
        <v>YES</v>
      </c>
      <c r="U178" s="140">
        <f t="shared" si="33"/>
        <v>1</v>
      </c>
      <c r="V178" s="140" t="str">
        <f t="array" ref="V178">IFERROR(INDEX(T041_ClassFeatures!$B$2:$B$556,MATCH('C01_BaseCalculation'!Q178&amp;INDEX('C03_ClassVariables'!$O$4:$O$9,MATCH(INDEX($L$160:$L$239,MATCH(Q178,$N$160:$N$239,0),1),'C03_ClassVariables'!$M$4:$M$9,0),1),T041_ClassFeatures!$S$2:$S$556&amp;T041_ClassFeatures!$R$2:$R$556,0),1),"")</f>
        <v>Eldritch Strike</v>
      </c>
      <c r="W178" s="140" t="str">
        <f t="shared" si="34"/>
        <v>Eldritch Strike</v>
      </c>
      <c r="X178" s="140" t="str">
        <f>IFERROR(INDEX(T041_ClassFeatures!$C$2:$C$546,MATCH('C01_BaseCalculation'!W178,T041_ClassFeatures!$B$2:$B$546,0),1),"")</f>
        <v>Eldritch Strike</v>
      </c>
      <c r="Y178" s="140" t="str">
        <f>IFERROR(INDEX(T041_ClassFeatures!$F$2:$F$546,MATCH('C01_BaseCalculation'!W178,T041_ClassFeatures!$B$2:$B$546,0),1),"")</f>
        <v>At 10th level, you learn how to make your weapon strikes undercut a creature’s resistance to your spells. When you hit a creature with a weapon attack, that creature has disadvantage on the next saving throw it makes against a spell you cast before the end of your next turn.</v>
      </c>
      <c r="Z178" s="140" t="str">
        <f t="shared" si="35"/>
        <v>Fighter</v>
      </c>
      <c r="AA178" s="140">
        <f t="shared" si="36"/>
        <v>1</v>
      </c>
      <c r="AB178" s="140" t="str">
        <f t="shared" si="37"/>
        <v>Eldritch Strike</v>
      </c>
      <c r="AC178" s="140" t="str">
        <f t="shared" si="38"/>
        <v>At 10th level, you learn how to make your weapon strikes undercut a creature’s resistance to your spells. When you hit a creature with a weapon attack, that creature has disadvantage on the next saving throw it makes against a spell you cast before the end of your next turn.</v>
      </c>
      <c r="AD178" s="140">
        <f>IF(AA178=0,0,COUNTIF(AD$160:$AD177,"&gt;0")+1)</f>
        <v>15</v>
      </c>
      <c r="AH178" s="608" t="s">
        <v>4378</v>
      </c>
      <c r="AI178" s="608"/>
      <c r="AJ178" s="607">
        <f>CombatManeuver11</f>
        <v>0</v>
      </c>
      <c r="AK178" s="140" t="str">
        <f t="shared" si="39"/>
        <v/>
      </c>
    </row>
    <row r="179" spans="2:37" x14ac:dyDescent="0.3">
      <c r="B179" s="131">
        <v>20</v>
      </c>
      <c r="C179" s="246" t="str">
        <f>Character_Creation!R81</f>
        <v>Fighter</v>
      </c>
      <c r="D179" s="246">
        <f>COUNTIF(C$160:$C179,C179)</f>
        <v>12</v>
      </c>
      <c r="E179" s="131">
        <f>IFERROR(MATCH(C179,T04_Classes!$B$3:$B$102,0),"")</f>
        <v>5</v>
      </c>
      <c r="F179" s="131" t="str">
        <f>IFERROR(INDEX(T04_Classes!$CH$3:$DA$102,'C01_BaseCalculation'!E179,'C01_BaseCalculation'!D179),"")</f>
        <v xml:space="preserve">Ability Score Improvement, </v>
      </c>
      <c r="G179" s="131" t="str">
        <f t="shared" si="24"/>
        <v>Ability Score Improvement</v>
      </c>
      <c r="H179" s="131">
        <f t="shared" si="25"/>
        <v>0</v>
      </c>
      <c r="I179" s="140" t="str">
        <f t="shared" si="26"/>
        <v/>
      </c>
      <c r="J179" s="140" t="str">
        <f t="shared" si="27"/>
        <v/>
      </c>
      <c r="K179" s="140">
        <f>K178</f>
        <v>5</v>
      </c>
      <c r="L179" s="140" t="str">
        <f t="shared" si="28"/>
        <v>Wizard</v>
      </c>
      <c r="M179" s="140">
        <v>20</v>
      </c>
      <c r="N179" s="140" t="str">
        <f t="shared" si="29"/>
        <v/>
      </c>
      <c r="O179" s="231">
        <f t="shared" si="30"/>
        <v>0</v>
      </c>
      <c r="P179" s="231">
        <f>IF(O179=0,0,COUNTIF(P$160:$P178,"&gt;0")+1)</f>
        <v>0</v>
      </c>
      <c r="Q179" s="140" t="str">
        <f t="shared" si="31"/>
        <v>Extra Attack (2)</v>
      </c>
      <c r="R179" s="140">
        <f t="shared" si="32"/>
        <v>19</v>
      </c>
      <c r="S179" s="140">
        <f>IFERROR(INDEX(T041_ClassFeatures!$T$2:$T$343,MATCH('C01_BaseCalculation'!$Q179,T041_ClassFeatures!$B$2:$B$343,0),1),"")</f>
        <v>0</v>
      </c>
      <c r="T179" s="140">
        <f>IFERROR(INDEX(T041_ClassFeatures!$U$2:$U$343,MATCH('C01_BaseCalculation'!$Q179,T041_ClassFeatures!$B$2:$B$343,0),1),"")</f>
        <v>0</v>
      </c>
      <c r="U179" s="140">
        <f t="shared" si="33"/>
        <v>0</v>
      </c>
      <c r="V179" s="140" t="str">
        <f t="array" ref="V179">IFERROR(INDEX(T041_ClassFeatures!$B$2:$B$556,MATCH('C01_BaseCalculation'!Q179&amp;INDEX('C03_ClassVariables'!$O$4:$O$9,MATCH(INDEX($L$160:$L$239,MATCH(Q179,$N$160:$N$239,0),1),'C03_ClassVariables'!$M$4:$M$9,0),1),T041_ClassFeatures!$S$2:$S$556&amp;T041_ClassFeatures!$R$2:$R$556,0),1),"")</f>
        <v/>
      </c>
      <c r="W179" s="140" t="str">
        <f t="shared" si="34"/>
        <v>Extra Attack (2)</v>
      </c>
      <c r="X179" s="140" t="str">
        <f>IFERROR(INDEX(T041_ClassFeatures!$C$2:$C$546,MATCH('C01_BaseCalculation'!W179,T041_ClassFeatures!$B$2:$B$546,0),1),"")</f>
        <v>Extra Attack (2)</v>
      </c>
      <c r="Y179" s="140" t="str">
        <f>IFERROR(INDEX(T041_ClassFeatures!$F$2:$F$546,MATCH('C01_BaseCalculation'!W179,T041_ClassFeatures!$B$2:$B$546,0),1),"")</f>
        <v>Beginning at 11th level, you can attack three times instead of twice whenever you take the Attack action on your turn.</v>
      </c>
      <c r="Z179" s="140" t="str">
        <f t="shared" si="35"/>
        <v>Fighter</v>
      </c>
      <c r="AA179" s="140">
        <f t="shared" si="36"/>
        <v>1</v>
      </c>
      <c r="AB179" s="140" t="str">
        <f t="shared" si="37"/>
        <v>Extra Attack (2)</v>
      </c>
      <c r="AC179" s="140" t="str">
        <f t="shared" si="38"/>
        <v>Beginning at 11th level, you can attack three times instead of twice whenever you take the Attack action on your turn.</v>
      </c>
      <c r="AD179" s="140">
        <f>IF(AA179=0,0,COUNTIF(AD$160:$AD178,"&gt;0")+1)</f>
        <v>16</v>
      </c>
      <c r="AH179" s="608" t="s">
        <v>3385</v>
      </c>
      <c r="AI179" s="608"/>
      <c r="AJ179" s="607">
        <f>TotemSpirit</f>
        <v>0</v>
      </c>
      <c r="AK179" s="140" t="str">
        <f t="shared" si="39"/>
        <v/>
      </c>
    </row>
    <row r="180" spans="2:37" x14ac:dyDescent="0.3">
      <c r="K180" s="140">
        <f>K179+1</f>
        <v>6</v>
      </c>
      <c r="L180" s="140" t="str">
        <f t="shared" si="28"/>
        <v>Wizard</v>
      </c>
      <c r="M180" s="140">
        <v>21</v>
      </c>
      <c r="N180" s="140" t="str">
        <f t="shared" si="29"/>
        <v>Arcane Tradition</v>
      </c>
      <c r="O180" s="231">
        <f t="shared" si="30"/>
        <v>1</v>
      </c>
      <c r="P180" s="231">
        <f>IF(O180=0,0,COUNTIF(P$160:$P179,"&gt;0")+1)</f>
        <v>10</v>
      </c>
      <c r="Q180" s="140" t="str">
        <f t="shared" si="31"/>
        <v>Ability Score Improvement</v>
      </c>
      <c r="R180" s="140">
        <f t="shared" si="32"/>
        <v>20</v>
      </c>
      <c r="S180" s="140">
        <f>IFERROR(INDEX(T041_ClassFeatures!$T$2:$T$343,MATCH('C01_BaseCalculation'!$Q180,T041_ClassFeatures!$B$2:$B$343,0),1),"")</f>
        <v>0</v>
      </c>
      <c r="T180" s="140">
        <f>IFERROR(INDEX(T041_ClassFeatures!$U$2:$U$343,MATCH('C01_BaseCalculation'!$Q180,T041_ClassFeatures!$B$2:$B$343,0),1),"")</f>
        <v>0</v>
      </c>
      <c r="U180" s="140">
        <f t="shared" si="33"/>
        <v>0</v>
      </c>
      <c r="V180" s="140" t="str">
        <f t="array" ref="V180">IFERROR(INDEX(T041_ClassFeatures!$B$2:$B$556,MATCH('C01_BaseCalculation'!Q180&amp;INDEX('C03_ClassVariables'!$O$4:$O$9,MATCH(INDEX($L$160:$L$239,MATCH(Q180,$N$160:$N$239,0),1),'C03_ClassVariables'!$M$4:$M$9,0),1),T041_ClassFeatures!$S$2:$S$556&amp;T041_ClassFeatures!$R$2:$R$556,0),1),"")</f>
        <v/>
      </c>
      <c r="W180" s="140" t="str">
        <f t="shared" si="34"/>
        <v>Ability Score Improvement</v>
      </c>
      <c r="X180" s="140" t="str">
        <f>IFERROR(INDEX(T041_ClassFeatures!$C$2:$C$546,MATCH('C01_BaseCalculation'!W180,T041_ClassFeatures!$B$2:$B$546,0),1),"")</f>
        <v>Ability Score Improvement</v>
      </c>
      <c r="Y180" s="140" t="str">
        <f>IFERROR(INDEX(T041_ClassFeatures!$F$2:$F$546,MATCH('C01_BaseCalculation'!W180,T041_ClassFeatures!$B$2:$B$546,0),1),"")</f>
        <v/>
      </c>
      <c r="Z180" s="140" t="str">
        <f t="shared" si="35"/>
        <v>Fighter</v>
      </c>
      <c r="AA180" s="140">
        <f t="shared" si="36"/>
        <v>0</v>
      </c>
      <c r="AB180" s="140" t="str">
        <f t="shared" si="37"/>
        <v/>
      </c>
      <c r="AC180" s="140" t="str">
        <f t="shared" si="38"/>
        <v/>
      </c>
      <c r="AD180" s="140">
        <f>IF(AA180=0,0,COUNTIF(AD$160:$AD179,"&gt;0")+1)</f>
        <v>0</v>
      </c>
      <c r="AH180" s="608" t="s">
        <v>6547</v>
      </c>
      <c r="AI180" s="608"/>
      <c r="AJ180" s="607">
        <f>AspectofBeast</f>
        <v>0</v>
      </c>
      <c r="AK180" s="140" t="str">
        <f t="shared" si="39"/>
        <v/>
      </c>
    </row>
    <row r="181" spans="2:37" x14ac:dyDescent="0.3">
      <c r="B181" s="140" t="str">
        <f>IF(AND(FightingStyle1&lt;&gt;"",FightingStyle1&lt;&gt;"n/a"),FightingStyle1,"")</f>
        <v>Two-Weapon Fighting</v>
      </c>
      <c r="K181" s="140">
        <f>K180</f>
        <v>6</v>
      </c>
      <c r="L181" s="140" t="str">
        <f t="shared" si="28"/>
        <v>Wizard</v>
      </c>
      <c r="M181" s="140">
        <v>22</v>
      </c>
      <c r="N181" s="140">
        <f t="shared" si="29"/>
        <v>0</v>
      </c>
      <c r="O181" s="231">
        <f t="shared" si="30"/>
        <v>0</v>
      </c>
      <c r="P181" s="231">
        <f>IF(O181=0,0,COUNTIF(P$160:$P180,"&gt;0")+1)</f>
        <v>0</v>
      </c>
      <c r="Q181" s="140" t="str">
        <f t="shared" si="31"/>
        <v/>
      </c>
      <c r="R181" s="140" t="str">
        <f t="shared" si="32"/>
        <v/>
      </c>
      <c r="S181" s="140" t="str">
        <f>IFERROR(INDEX(T041_ClassFeatures!$T$2:$T$343,MATCH('C01_BaseCalculation'!$Q181,T041_ClassFeatures!$B$2:$B$343,0),1),"")</f>
        <v/>
      </c>
      <c r="T181" s="140" t="str">
        <f>IFERROR(INDEX(T041_ClassFeatures!$U$2:$U$343,MATCH('C01_BaseCalculation'!$Q181,T041_ClassFeatures!$B$2:$B$343,0),1),"")</f>
        <v/>
      </c>
      <c r="U181" s="140">
        <f t="shared" si="33"/>
        <v>0</v>
      </c>
      <c r="V181" s="140" t="str">
        <f t="array" ref="V181">IFERROR(INDEX(T041_ClassFeatures!$B$2:$B$556,MATCH('C01_BaseCalculation'!Q181&amp;INDEX('C03_ClassVariables'!$O$4:$O$9,MATCH(INDEX($L$160:$L$239,MATCH(Q181,$N$160:$N$239,0),1),'C03_ClassVariables'!$M$4:$M$9,0),1),T041_ClassFeatures!$S$2:$S$556&amp;T041_ClassFeatures!$R$2:$R$556,0),1),"")</f>
        <v/>
      </c>
      <c r="W181" s="140" t="str">
        <f t="shared" si="34"/>
        <v/>
      </c>
      <c r="X181" s="140" t="str">
        <f>IFERROR(INDEX(T041_ClassFeatures!$C$2:$C$546,MATCH('C01_BaseCalculation'!W181,T041_ClassFeatures!$B$2:$B$546,0),1),"")</f>
        <v/>
      </c>
      <c r="Y181" s="140" t="str">
        <f>IFERROR(INDEX(T041_ClassFeatures!$F$2:$F$546,MATCH('C01_BaseCalculation'!W181,T041_ClassFeatures!$B$2:$B$546,0),1),"")</f>
        <v/>
      </c>
      <c r="Z181" s="140" t="str">
        <f t="shared" si="35"/>
        <v/>
      </c>
      <c r="AA181" s="140">
        <f t="shared" si="36"/>
        <v>1</v>
      </c>
      <c r="AB181" s="140" t="str">
        <f t="shared" si="37"/>
        <v/>
      </c>
      <c r="AC181" s="140" t="str">
        <f t="shared" si="38"/>
        <v/>
      </c>
      <c r="AD181" s="140">
        <f>IF(AA181=0,0,COUNTIF(AD$160:$AD180,"&gt;0")+1)</f>
        <v>17</v>
      </c>
      <c r="AH181" s="608" t="s">
        <v>3388</v>
      </c>
      <c r="AI181" s="608"/>
      <c r="AJ181" s="607">
        <f>TotemicAttunement</f>
        <v>0</v>
      </c>
      <c r="AK181" s="140" t="str">
        <f t="shared" si="39"/>
        <v/>
      </c>
    </row>
    <row r="182" spans="2:37" x14ac:dyDescent="0.3">
      <c r="B182" s="140" t="str">
        <f>IF(AND(FightingStyle1&lt;&gt;"",FightingStyle1&lt;&gt;"n/a"),FightingStyle1,"")</f>
        <v>Two-Weapon Fighting</v>
      </c>
      <c r="K182" s="140">
        <f>K181</f>
        <v>6</v>
      </c>
      <c r="L182" s="140" t="str">
        <f t="shared" si="28"/>
        <v>Wizard</v>
      </c>
      <c r="M182" s="140">
        <v>23</v>
      </c>
      <c r="N182" s="140" t="str">
        <f t="shared" si="29"/>
        <v/>
      </c>
      <c r="O182" s="231">
        <f t="shared" si="30"/>
        <v>0</v>
      </c>
      <c r="P182" s="231">
        <f>IF(O182=0,0,COUNTIF(P$160:$P181,"&gt;0")+1)</f>
        <v>0</v>
      </c>
      <c r="Q182" s="140" t="str">
        <f t="shared" si="31"/>
        <v/>
      </c>
      <c r="R182" s="140" t="str">
        <f t="shared" si="32"/>
        <v/>
      </c>
      <c r="S182" s="140" t="str">
        <f>IFERROR(INDEX(T041_ClassFeatures!$U$2:$U$343,MATCH('C01_BaseCalculation'!$Q182,T041_ClassFeatures!$B$2:$B$343,0),1),"")</f>
        <v/>
      </c>
      <c r="T182" s="140" t="str">
        <f>IFERROR(INDEX(T041_ClassFeatures!$U$2:$U$343,MATCH('C01_BaseCalculation'!$Q182,T041_ClassFeatures!$B$2:$B$343,0),1),"")</f>
        <v/>
      </c>
      <c r="U182" s="140">
        <f t="shared" si="33"/>
        <v>0</v>
      </c>
      <c r="V182" s="140" t="str">
        <f t="array" ref="V182">IFERROR(INDEX(T041_ClassFeatures!$B$2:$B$556,MATCH('C01_BaseCalculation'!Q182&amp;INDEX('C03_ClassVariables'!$O$4:$O$9,MATCH(INDEX($L$160:$L$239,MATCH(Q182,$N$160:$N$239,0),1),'C03_ClassVariables'!$M$4:$M$9,0),1),T041_ClassFeatures!$S$2:$S$556&amp;T041_ClassFeatures!$R$2:$R$556,0),1),"")</f>
        <v/>
      </c>
      <c r="W182" s="140" t="str">
        <f t="shared" si="34"/>
        <v/>
      </c>
      <c r="X182" s="140" t="str">
        <f>IFERROR(INDEX(T041_ClassFeatures!$C$2:$C$546,MATCH('C01_BaseCalculation'!W182,T041_ClassFeatures!$B$2:$B$546,0),1),"")</f>
        <v/>
      </c>
      <c r="Y182" s="140" t="str">
        <f>IFERROR(INDEX(T041_ClassFeatures!$F$2:$F$546,MATCH('C01_BaseCalculation'!W182,T041_ClassFeatures!$B$2:$B$546,0),1),"")</f>
        <v/>
      </c>
      <c r="Z182" s="140" t="str">
        <f t="shared" si="35"/>
        <v/>
      </c>
      <c r="AA182" s="140">
        <f t="shared" si="36"/>
        <v>0</v>
      </c>
      <c r="AB182" s="140" t="str">
        <f t="shared" si="37"/>
        <v/>
      </c>
      <c r="AC182" s="140" t="str">
        <f t="shared" si="38"/>
        <v/>
      </c>
      <c r="AD182" s="140">
        <f>IF(AA182=0,0,COUNTIF(AD$160:$AD181,"&gt;0")+1)</f>
        <v>0</v>
      </c>
      <c r="AH182" s="608" t="s">
        <v>6548</v>
      </c>
      <c r="AI182" s="608"/>
      <c r="AJ182" s="607">
        <f>DruidLandx1</f>
        <v>0</v>
      </c>
      <c r="AK182" s="140" t="str">
        <f t="shared" si="39"/>
        <v/>
      </c>
    </row>
    <row r="183" spans="2:37" x14ac:dyDescent="0.3">
      <c r="B183" s="140" t="str">
        <f>IF(AND(FightingStyle1&lt;&gt;"",FightingStyle1&lt;&gt;"n/a"),FightingStyle1,"")</f>
        <v>Two-Weapon Fighting</v>
      </c>
      <c r="K183" s="140">
        <f>K182</f>
        <v>6</v>
      </c>
      <c r="L183" s="140" t="str">
        <f t="shared" si="28"/>
        <v>Wizard</v>
      </c>
      <c r="M183" s="140">
        <v>24</v>
      </c>
      <c r="N183" s="140" t="str">
        <f t="shared" si="29"/>
        <v/>
      </c>
      <c r="O183" s="231">
        <f t="shared" si="30"/>
        <v>0</v>
      </c>
      <c r="P183" s="231">
        <f>IF(O183=0,0,COUNTIF(P$160:$P182,"&gt;0")+1)</f>
        <v>0</v>
      </c>
      <c r="Q183" s="140" t="str">
        <f t="shared" si="31"/>
        <v/>
      </c>
      <c r="R183" s="140" t="str">
        <f t="shared" si="32"/>
        <v/>
      </c>
      <c r="S183" s="140" t="str">
        <f>IFERROR(INDEX(T041_ClassFeatures!$U$2:$U$343,MATCH('C01_BaseCalculation'!$Q183,T041_ClassFeatures!$B$2:$B$343,0),1),"")</f>
        <v/>
      </c>
      <c r="T183" s="140" t="str">
        <f>IFERROR(INDEX(T041_ClassFeatures!$U$2:$U$343,MATCH('C01_BaseCalculation'!$Q183,T041_ClassFeatures!$B$2:$B$343,0),1),"")</f>
        <v/>
      </c>
      <c r="U183" s="140">
        <f t="shared" si="33"/>
        <v>0</v>
      </c>
      <c r="V183" s="140" t="str">
        <f t="array" ref="V183">IFERROR(INDEX(T041_ClassFeatures!$B$2:$B$556,MATCH('C01_BaseCalculation'!Q183&amp;INDEX('C03_ClassVariables'!$O$4:$O$9,MATCH(INDEX($L$160:$L$239,MATCH(Q183,$N$160:$N$239,0),1),'C03_ClassVariables'!$M$4:$M$9,0),1),T041_ClassFeatures!$S$2:$S$556&amp;T041_ClassFeatures!$R$2:$R$556,0),1),"")</f>
        <v/>
      </c>
      <c r="W183" s="140" t="str">
        <f t="shared" si="34"/>
        <v/>
      </c>
      <c r="X183" s="140" t="str">
        <f>IFERROR(INDEX(T041_ClassFeatures!$C$2:$C$546,MATCH('C01_BaseCalculation'!W183,T041_ClassFeatures!$B$2:$B$546,0),1),"")</f>
        <v/>
      </c>
      <c r="Y183" s="140" t="str">
        <f>IFERROR(INDEX(T041_ClassFeatures!$F$2:$F$546,MATCH('C01_BaseCalculation'!W183,T041_ClassFeatures!$B$2:$B$546,0),1),"")</f>
        <v/>
      </c>
      <c r="Z183" s="140" t="str">
        <f t="shared" si="35"/>
        <v/>
      </c>
      <c r="AA183" s="140">
        <f t="shared" si="36"/>
        <v>0</v>
      </c>
      <c r="AB183" s="140" t="str">
        <f t="shared" si="37"/>
        <v/>
      </c>
      <c r="AC183" s="140" t="str">
        <f t="shared" si="38"/>
        <v/>
      </c>
      <c r="AD183" s="140">
        <f>IF(AA183=0,0,COUNTIF(AD$160:$AD182,"&gt;0")+1)</f>
        <v>0</v>
      </c>
      <c r="AH183" s="608" t="s">
        <v>6548</v>
      </c>
      <c r="AI183" s="608"/>
      <c r="AJ183" s="607">
        <f>DruidLandx2</f>
        <v>0</v>
      </c>
      <c r="AK183" s="140" t="str">
        <f t="shared" si="39"/>
        <v/>
      </c>
    </row>
    <row r="184" spans="2:37" x14ac:dyDescent="0.3">
      <c r="B184" s="140" t="str">
        <f>IF(AND(FightingStyle1&lt;&gt;"",FightingStyle1&lt;&gt;"n/a"),FightingStyle1,"")</f>
        <v>Two-Weapon Fighting</v>
      </c>
      <c r="K184" s="140">
        <f>K183+1</f>
        <v>7</v>
      </c>
      <c r="L184" s="140" t="str">
        <f t="shared" si="28"/>
        <v>Wizard</v>
      </c>
      <c r="M184" s="140">
        <v>25</v>
      </c>
      <c r="N184" s="140" t="str">
        <f t="shared" si="29"/>
        <v/>
      </c>
      <c r="O184" s="231">
        <f t="shared" si="30"/>
        <v>0</v>
      </c>
      <c r="P184" s="231">
        <f>IF(O184=0,0,COUNTIF(P$160:$P183,"&gt;0")+1)</f>
        <v>0</v>
      </c>
      <c r="Q184" s="140" t="str">
        <f t="shared" si="31"/>
        <v/>
      </c>
      <c r="R184" s="140" t="str">
        <f t="shared" si="32"/>
        <v/>
      </c>
      <c r="S184" s="140" t="str">
        <f>IFERROR(INDEX(T041_ClassFeatures!$U$2:$U$343,MATCH('C01_BaseCalculation'!$Q184,T041_ClassFeatures!$B$2:$B$343,0),1),"")</f>
        <v/>
      </c>
      <c r="T184" s="140" t="str">
        <f>IFERROR(INDEX(T041_ClassFeatures!$U$2:$U$343,MATCH('C01_BaseCalculation'!$Q184,T041_ClassFeatures!$B$2:$B$343,0),1),"")</f>
        <v/>
      </c>
      <c r="U184" s="140">
        <f t="shared" si="33"/>
        <v>0</v>
      </c>
      <c r="V184" s="140" t="str">
        <f t="array" ref="V184">IFERROR(INDEX(T041_ClassFeatures!$B$2:$B$556,MATCH('C01_BaseCalculation'!Q184&amp;INDEX('C03_ClassVariables'!$O$4:$O$9,MATCH(INDEX($L$160:$L$239,MATCH(Q184,$N$160:$N$239,0),1),'C03_ClassVariables'!$M$4:$M$9,0),1),T041_ClassFeatures!$S$2:$S$556&amp;T041_ClassFeatures!$R$2:$R$556,0),1),"")</f>
        <v/>
      </c>
      <c r="W184" s="140" t="str">
        <f t="shared" si="34"/>
        <v/>
      </c>
      <c r="X184" s="140" t="str">
        <f>IFERROR(INDEX(T041_ClassFeatures!$C$2:$C$546,MATCH('C01_BaseCalculation'!W184,T041_ClassFeatures!$B$2:$B$546,0),1),"")</f>
        <v/>
      </c>
      <c r="Y184" s="140" t="str">
        <f>IFERROR(INDEX(T041_ClassFeatures!$F$2:$F$546,MATCH('C01_BaseCalculation'!W184,T041_ClassFeatures!$B$2:$B$546,0),1),"")</f>
        <v/>
      </c>
      <c r="Z184" s="140" t="str">
        <f t="shared" si="35"/>
        <v/>
      </c>
      <c r="AA184" s="140">
        <f t="shared" si="36"/>
        <v>0</v>
      </c>
      <c r="AB184" s="140" t="str">
        <f t="shared" si="37"/>
        <v/>
      </c>
      <c r="AC184" s="140" t="str">
        <f t="shared" si="38"/>
        <v/>
      </c>
      <c r="AD184" s="140">
        <f>IF(AA184=0,0,COUNTIF(AD$160:$AD183,"&gt;0")+1)</f>
        <v>0</v>
      </c>
      <c r="AH184" s="608" t="s">
        <v>6548</v>
      </c>
      <c r="AI184" s="608"/>
      <c r="AJ184" s="607">
        <f>DruidLandx3</f>
        <v>0</v>
      </c>
      <c r="AK184" s="140" t="str">
        <f t="shared" si="39"/>
        <v/>
      </c>
    </row>
    <row r="185" spans="2:37" x14ac:dyDescent="0.3">
      <c r="K185" s="140">
        <f>K184</f>
        <v>7</v>
      </c>
      <c r="L185" s="140" t="str">
        <f t="shared" si="28"/>
        <v>Wizard</v>
      </c>
      <c r="M185" s="140">
        <v>26</v>
      </c>
      <c r="N185" s="140">
        <f t="shared" si="29"/>
        <v>0</v>
      </c>
      <c r="O185" s="231">
        <f t="shared" si="30"/>
        <v>0</v>
      </c>
      <c r="P185" s="231">
        <f>IF(O185=0,0,COUNTIF(P$160:$P184,"&gt;0")+1)</f>
        <v>0</v>
      </c>
      <c r="Q185" s="140" t="str">
        <f t="shared" si="31"/>
        <v/>
      </c>
      <c r="R185" s="140" t="str">
        <f t="shared" si="32"/>
        <v/>
      </c>
      <c r="S185" s="140" t="str">
        <f>IFERROR(INDEX(T041_ClassFeatures!$U$2:$U$343,MATCH('C01_BaseCalculation'!$Q185,T041_ClassFeatures!$B$2:$B$343,0),1),"")</f>
        <v/>
      </c>
      <c r="T185" s="140" t="str">
        <f>IFERROR(INDEX(T041_ClassFeatures!$U$2:$U$343,MATCH('C01_BaseCalculation'!$Q185,T041_ClassFeatures!$B$2:$B$343,0),1),"")</f>
        <v/>
      </c>
      <c r="U185" s="140">
        <f t="shared" si="33"/>
        <v>0</v>
      </c>
      <c r="V185" s="140" t="str">
        <f t="array" ref="V185">IFERROR(INDEX(T041_ClassFeatures!$B$2:$B$556,MATCH('C01_BaseCalculation'!Q185&amp;INDEX('C03_ClassVariables'!$O$4:$O$9,MATCH(INDEX($L$160:$L$239,MATCH(Q185,$N$160:$N$239,0),1),'C03_ClassVariables'!$M$4:$M$9,0),1),T041_ClassFeatures!$S$2:$S$556&amp;T041_ClassFeatures!$R$2:$R$556,0),1),"")</f>
        <v/>
      </c>
      <c r="W185" s="140" t="str">
        <f t="shared" si="34"/>
        <v/>
      </c>
      <c r="X185" s="140" t="str">
        <f>IFERROR(INDEX(T041_ClassFeatures!$C$2:$C$546,MATCH('C01_BaseCalculation'!W185,T041_ClassFeatures!$B$2:$B$546,0),1),"")</f>
        <v/>
      </c>
      <c r="Y185" s="140" t="str">
        <f>IFERROR(INDEX(T041_ClassFeatures!$F$2:$F$546,MATCH('C01_BaseCalculation'!W185,T041_ClassFeatures!$B$2:$B$546,0),1),"")</f>
        <v/>
      </c>
      <c r="Z185" s="140" t="str">
        <f t="shared" si="35"/>
        <v/>
      </c>
      <c r="AA185" s="167">
        <v>1</v>
      </c>
      <c r="AB185" s="140" t="str">
        <f t="shared" si="37"/>
        <v/>
      </c>
      <c r="AC185" s="140" t="str">
        <f t="shared" si="38"/>
        <v/>
      </c>
      <c r="AD185" s="140">
        <f>IF(AA185=0,0,COUNTIF(AD$160:$AD184,"&gt;0")+1)</f>
        <v>18</v>
      </c>
      <c r="AH185" s="608" t="s">
        <v>6548</v>
      </c>
      <c r="AI185" s="608"/>
      <c r="AJ185" s="607">
        <f>DruidLandx4</f>
        <v>0</v>
      </c>
      <c r="AK185" s="140" t="str">
        <f t="shared" si="39"/>
        <v/>
      </c>
    </row>
    <row r="186" spans="2:37" x14ac:dyDescent="0.3">
      <c r="K186" s="140">
        <f>K185</f>
        <v>7</v>
      </c>
      <c r="L186" s="140" t="str">
        <f t="shared" si="28"/>
        <v>Wizard</v>
      </c>
      <c r="M186" s="140">
        <v>27</v>
      </c>
      <c r="N186" s="140" t="str">
        <f t="shared" si="29"/>
        <v/>
      </c>
      <c r="O186" s="231">
        <f t="shared" si="30"/>
        <v>0</v>
      </c>
      <c r="P186" s="231">
        <f>IF(O186=0,0,COUNTIF(P$160:$P185,"&gt;0")+1)</f>
        <v>0</v>
      </c>
      <c r="Q186" s="140" t="str">
        <f t="shared" si="31"/>
        <v/>
      </c>
      <c r="R186" s="140" t="str">
        <f t="shared" si="32"/>
        <v/>
      </c>
      <c r="S186" s="140" t="str">
        <f>IFERROR(INDEX(T041_ClassFeatures!$U$2:$U$343,MATCH('C01_BaseCalculation'!$Q186,T041_ClassFeatures!$B$2:$B$343,0),1),"")</f>
        <v/>
      </c>
      <c r="T186" s="140" t="str">
        <f>IFERROR(INDEX(T041_ClassFeatures!$U$2:$U$343,MATCH('C01_BaseCalculation'!$Q186,T041_ClassFeatures!$B$2:$B$343,0),1),"")</f>
        <v/>
      </c>
      <c r="U186" s="140">
        <f t="shared" si="33"/>
        <v>0</v>
      </c>
      <c r="V186" s="140" t="str">
        <f t="array" ref="V186">IFERROR(INDEX(T041_ClassFeatures!$B$2:$B$556,MATCH('C01_BaseCalculation'!Q186&amp;INDEX('C03_ClassVariables'!$O$4:$O$9,MATCH(INDEX($L$160:$L$239,MATCH(Q186,$N$160:$N$239,0),1),'C03_ClassVariables'!$M$4:$M$9,0),1),T041_ClassFeatures!$S$2:$S$556&amp;T041_ClassFeatures!$R$2:$R$556,0),1),"")</f>
        <v/>
      </c>
      <c r="W186" s="140" t="str">
        <f t="shared" si="34"/>
        <v/>
      </c>
      <c r="X186" s="140" t="str">
        <f>IFERROR(INDEX(T041_ClassFeatures!$C$2:$C$546,MATCH('C01_BaseCalculation'!W186,T041_ClassFeatures!$B$2:$B$546,0),1),"")</f>
        <v/>
      </c>
      <c r="Y186" s="140" t="str">
        <f>IFERROR(INDEX(T041_ClassFeatures!$F$2:$F$546,MATCH('C01_BaseCalculation'!W186,T041_ClassFeatures!$B$2:$B$546,0),1),"")</f>
        <v/>
      </c>
      <c r="Z186" s="140" t="str">
        <f t="shared" si="35"/>
        <v/>
      </c>
      <c r="AA186" s="167">
        <v>1</v>
      </c>
      <c r="AB186" s="140" t="str">
        <f t="shared" si="37"/>
        <v/>
      </c>
      <c r="AC186" s="140" t="str">
        <f t="shared" si="38"/>
        <v/>
      </c>
      <c r="AD186" s="140">
        <f>IF(AA186=0,0,COUNTIF(AD$160:$AD185,"&gt;0")+1)</f>
        <v>19</v>
      </c>
      <c r="AH186" s="608" t="s">
        <v>2272</v>
      </c>
      <c r="AI186" s="608"/>
      <c r="AJ186" s="607">
        <f>NaturalExplorer1</f>
        <v>0</v>
      </c>
      <c r="AK186" s="140" t="str">
        <f t="shared" si="39"/>
        <v/>
      </c>
    </row>
    <row r="187" spans="2:37" x14ac:dyDescent="0.3">
      <c r="K187" s="140">
        <f>K186</f>
        <v>7</v>
      </c>
      <c r="L187" s="140" t="str">
        <f t="shared" si="28"/>
        <v>Wizard</v>
      </c>
      <c r="M187" s="140">
        <v>28</v>
      </c>
      <c r="N187" s="140" t="str">
        <f t="shared" si="29"/>
        <v/>
      </c>
      <c r="O187" s="231">
        <f t="shared" si="30"/>
        <v>0</v>
      </c>
      <c r="P187" s="231">
        <f>IF(O187=0,0,COUNTIF(P$160:$P186,"&gt;0")+1)</f>
        <v>0</v>
      </c>
      <c r="Q187" s="140" t="str">
        <f t="shared" si="31"/>
        <v/>
      </c>
      <c r="R187" s="140" t="str">
        <f t="shared" si="32"/>
        <v/>
      </c>
      <c r="S187" s="140" t="str">
        <f>IFERROR(INDEX(T041_ClassFeatures!$U$2:$U$343,MATCH('C01_BaseCalculation'!$Q187,T041_ClassFeatures!$B$2:$B$343,0),1),"")</f>
        <v/>
      </c>
      <c r="T187" s="140" t="str">
        <f>IFERROR(INDEX(T041_ClassFeatures!$U$2:$U$343,MATCH('C01_BaseCalculation'!$Q187,T041_ClassFeatures!$B$2:$B$343,0),1),"")</f>
        <v/>
      </c>
      <c r="U187" s="140">
        <f t="shared" si="33"/>
        <v>0</v>
      </c>
      <c r="V187" s="140" t="str">
        <f t="array" ref="V187">IFERROR(INDEX(T041_ClassFeatures!$B$2:$B$556,MATCH('C01_BaseCalculation'!Q187&amp;INDEX('C03_ClassVariables'!$O$4:$O$9,MATCH(INDEX($L$160:$L$239,MATCH(Q187,$N$160:$N$239,0),1),'C03_ClassVariables'!$M$4:$M$9,0),1),T041_ClassFeatures!$S$2:$S$556&amp;T041_ClassFeatures!$R$2:$R$556,0),1),"")</f>
        <v/>
      </c>
      <c r="W187" s="140" t="str">
        <f t="shared" si="34"/>
        <v/>
      </c>
      <c r="X187" s="140" t="str">
        <f>IFERROR(INDEX(T041_ClassFeatures!$C$2:$C$546,MATCH('C01_BaseCalculation'!W187,T041_ClassFeatures!$B$2:$B$546,0),1),"")</f>
        <v/>
      </c>
      <c r="Y187" s="140" t="str">
        <f>IFERROR(INDEX(T041_ClassFeatures!$F$2:$F$546,MATCH('C01_BaseCalculation'!W187,T041_ClassFeatures!$B$2:$B$546,0),1),"")</f>
        <v/>
      </c>
      <c r="Z187" s="140" t="str">
        <f t="shared" si="35"/>
        <v/>
      </c>
      <c r="AA187" s="167">
        <v>1</v>
      </c>
      <c r="AB187" s="140" t="str">
        <f t="shared" si="37"/>
        <v/>
      </c>
      <c r="AC187" s="140" t="str">
        <f t="shared" si="38"/>
        <v/>
      </c>
      <c r="AD187" s="140">
        <f>IF(AA187=0,0,COUNTIF(AD$160:$AD186,"&gt;0")+1)</f>
        <v>20</v>
      </c>
      <c r="AH187" s="608" t="s">
        <v>2272</v>
      </c>
      <c r="AI187" s="608"/>
      <c r="AJ187" s="607">
        <f>NaturalExplorer2</f>
        <v>0</v>
      </c>
      <c r="AK187" s="140" t="str">
        <f t="shared" si="39"/>
        <v/>
      </c>
    </row>
    <row r="188" spans="2:37" x14ac:dyDescent="0.3">
      <c r="K188" s="140">
        <f>K187+1</f>
        <v>8</v>
      </c>
      <c r="L188" s="140" t="str">
        <f t="shared" si="28"/>
        <v>Wizard</v>
      </c>
      <c r="M188" s="140">
        <v>29</v>
      </c>
      <c r="N188" s="140" t="str">
        <f t="shared" si="29"/>
        <v>Ability Score Improvement</v>
      </c>
      <c r="O188" s="231">
        <f t="shared" si="30"/>
        <v>1</v>
      </c>
      <c r="P188" s="231">
        <f>IF(O188=0,0,COUNTIF(P$160:$P187,"&gt;0")+1)</f>
        <v>11</v>
      </c>
      <c r="Q188" s="140" t="str">
        <f t="shared" si="31"/>
        <v/>
      </c>
      <c r="R188" s="140" t="str">
        <f t="shared" si="32"/>
        <v/>
      </c>
      <c r="S188" s="140" t="str">
        <f>IFERROR(INDEX(T041_ClassFeatures!$U$2:$U$343,MATCH('C01_BaseCalculation'!$Q188,T041_ClassFeatures!$B$2:$B$343,0),1),"")</f>
        <v/>
      </c>
      <c r="T188" s="140" t="str">
        <f>IFERROR(INDEX(T041_ClassFeatures!$U$2:$U$343,MATCH('C01_BaseCalculation'!$Q188,T041_ClassFeatures!$B$2:$B$343,0),1),"")</f>
        <v/>
      </c>
      <c r="U188" s="140">
        <f t="shared" si="33"/>
        <v>0</v>
      </c>
      <c r="V188" s="140" t="str">
        <f t="array" ref="V188">IFERROR(INDEX(T041_ClassFeatures!$B$2:$B$556,MATCH('C01_BaseCalculation'!Q188&amp;INDEX('C03_ClassVariables'!$O$4:$O$9,MATCH(INDEX($L$160:$L$239,MATCH(Q188,$N$160:$N$239,0),1),'C03_ClassVariables'!$M$4:$M$9,0),1),T041_ClassFeatures!$S$2:$S$556&amp;T041_ClassFeatures!$R$2:$R$556,0),1),"")</f>
        <v/>
      </c>
      <c r="W188" s="140" t="str">
        <f t="shared" si="34"/>
        <v/>
      </c>
      <c r="X188" s="140" t="str">
        <f>IFERROR(INDEX(T041_ClassFeatures!$C$2:$C$546,MATCH('C01_BaseCalculation'!W188,T041_ClassFeatures!$B$2:$B$546,0),1),"")</f>
        <v/>
      </c>
      <c r="Y188" s="140" t="str">
        <f>IFERROR(INDEX(T041_ClassFeatures!$F$2:$F$546,MATCH('C01_BaseCalculation'!W188,T041_ClassFeatures!$B$2:$B$546,0),1),"")</f>
        <v/>
      </c>
      <c r="Z188" s="140" t="str">
        <f t="shared" si="35"/>
        <v/>
      </c>
      <c r="AA188" s="167">
        <v>1</v>
      </c>
      <c r="AB188" s="140" t="str">
        <f t="shared" si="37"/>
        <v/>
      </c>
      <c r="AC188" s="140" t="str">
        <f t="shared" si="38"/>
        <v/>
      </c>
      <c r="AD188" s="140">
        <f>IF(AA188=0,0,COUNTIF(AD$160:$AD187,"&gt;0")+1)</f>
        <v>21</v>
      </c>
      <c r="AH188" s="608" t="s">
        <v>2272</v>
      </c>
      <c r="AI188" s="608"/>
      <c r="AJ188" s="607">
        <f>NaturalExplorer3</f>
        <v>0</v>
      </c>
      <c r="AK188" s="140" t="str">
        <f t="shared" si="39"/>
        <v/>
      </c>
    </row>
    <row r="189" spans="2:37" x14ac:dyDescent="0.3">
      <c r="K189" s="140">
        <f>K188</f>
        <v>8</v>
      </c>
      <c r="L189" s="140" t="str">
        <f t="shared" si="28"/>
        <v>Wizard</v>
      </c>
      <c r="M189" s="140">
        <v>30</v>
      </c>
      <c r="N189" s="140">
        <f t="shared" si="29"/>
        <v>0</v>
      </c>
      <c r="O189" s="231">
        <f t="shared" si="30"/>
        <v>0</v>
      </c>
      <c r="P189" s="231">
        <f>IF(O189=0,0,COUNTIF(P$160:$P188,"&gt;0")+1)</f>
        <v>0</v>
      </c>
      <c r="Q189" s="140" t="str">
        <f t="shared" si="31"/>
        <v/>
      </c>
      <c r="R189" s="140" t="str">
        <f t="shared" si="32"/>
        <v/>
      </c>
      <c r="S189" s="140" t="str">
        <f>IFERROR(INDEX(T041_ClassFeatures!$U$2:$U$343,MATCH('C01_BaseCalculation'!$Q189,T041_ClassFeatures!$B$2:$B$343,0),1),"")</f>
        <v/>
      </c>
      <c r="T189" s="140" t="str">
        <f>IFERROR(INDEX(T041_ClassFeatures!$U$2:$U$343,MATCH('C01_BaseCalculation'!$Q189,T041_ClassFeatures!$B$2:$B$343,0),1),"")</f>
        <v/>
      </c>
      <c r="U189" s="140">
        <f t="shared" si="33"/>
        <v>0</v>
      </c>
      <c r="V189" s="140" t="str">
        <f t="array" ref="V189">IFERROR(INDEX(T041_ClassFeatures!$B$2:$B$556,MATCH('C01_BaseCalculation'!Q189&amp;INDEX('C03_ClassVariables'!$O$4:$O$9,MATCH(INDEX($L$160:$L$239,MATCH(Q189,$N$160:$N$239,0),1),'C03_ClassVariables'!$M$4:$M$9,0),1),T041_ClassFeatures!$S$2:$S$556&amp;T041_ClassFeatures!$R$2:$R$556,0),1),"")</f>
        <v/>
      </c>
      <c r="W189" s="140" t="str">
        <f t="shared" si="34"/>
        <v/>
      </c>
      <c r="X189" s="140" t="str">
        <f>IFERROR(INDEX(T041_ClassFeatures!$C$2:$C$546,MATCH('C01_BaseCalculation'!W189,T041_ClassFeatures!$B$2:$B$546,0),1),"")</f>
        <v/>
      </c>
      <c r="Y189" s="140" t="str">
        <f>IFERROR(INDEX(T041_ClassFeatures!$F$2:$F$546,MATCH('C01_BaseCalculation'!W189,T041_ClassFeatures!$B$2:$B$546,0),1),"")</f>
        <v/>
      </c>
      <c r="Z189" s="140" t="str">
        <f t="shared" si="35"/>
        <v/>
      </c>
      <c r="AA189" s="167">
        <v>1</v>
      </c>
      <c r="AB189" s="140" t="str">
        <f t="shared" si="37"/>
        <v/>
      </c>
      <c r="AC189" s="140" t="str">
        <f t="shared" si="38"/>
        <v/>
      </c>
      <c r="AD189" s="140">
        <f>IF(AA189=0,0,COUNTIF(AD$160:$AD188,"&gt;0")+1)</f>
        <v>22</v>
      </c>
      <c r="AH189" s="608"/>
      <c r="AI189" s="608"/>
      <c r="AJ189" s="607">
        <f>HuntersPrey</f>
        <v>0</v>
      </c>
      <c r="AK189" s="140" t="str">
        <f t="shared" si="39"/>
        <v/>
      </c>
    </row>
    <row r="190" spans="2:37" x14ac:dyDescent="0.3">
      <c r="K190" s="140">
        <f>K189</f>
        <v>8</v>
      </c>
      <c r="L190" s="140" t="str">
        <f t="shared" si="28"/>
        <v>Wizard</v>
      </c>
      <c r="M190" s="140">
        <v>31</v>
      </c>
      <c r="N190" s="140" t="str">
        <f t="shared" si="29"/>
        <v/>
      </c>
      <c r="O190" s="231">
        <f t="shared" si="30"/>
        <v>0</v>
      </c>
      <c r="P190" s="231">
        <f>IF(O190=0,0,COUNTIF(P$160:$P189,"&gt;0")+1)</f>
        <v>0</v>
      </c>
      <c r="Q190" s="140" t="str">
        <f t="shared" si="31"/>
        <v/>
      </c>
      <c r="R190" s="140" t="str">
        <f t="shared" si="32"/>
        <v/>
      </c>
      <c r="S190" s="140" t="str">
        <f>IFERROR(INDEX(T041_ClassFeatures!$U$2:$U$343,MATCH('C01_BaseCalculation'!$Q190,T041_ClassFeatures!$B$2:$B$343,0),1),"")</f>
        <v/>
      </c>
      <c r="T190" s="140" t="str">
        <f>IFERROR(INDEX(T041_ClassFeatures!$U$2:$U$343,MATCH('C01_BaseCalculation'!$Q190,T041_ClassFeatures!$B$2:$B$343,0),1),"")</f>
        <v/>
      </c>
      <c r="U190" s="140">
        <f t="shared" si="33"/>
        <v>0</v>
      </c>
      <c r="V190" s="140" t="str">
        <f t="array" ref="V190">IFERROR(INDEX(T041_ClassFeatures!$B$2:$B$556,MATCH('C01_BaseCalculation'!Q190&amp;INDEX('C03_ClassVariables'!$O$4:$O$9,MATCH(INDEX($L$160:$L$239,MATCH(Q190,$N$160:$N$239,0),1),'C03_ClassVariables'!$M$4:$M$9,0),1),T041_ClassFeatures!$S$2:$S$556&amp;T041_ClassFeatures!$R$2:$R$556,0),1),"")</f>
        <v/>
      </c>
      <c r="W190" s="140" t="str">
        <f t="shared" si="34"/>
        <v/>
      </c>
      <c r="X190" s="140" t="str">
        <f>IFERROR(INDEX(T041_ClassFeatures!$C$2:$C$546,MATCH('C01_BaseCalculation'!W190,T041_ClassFeatures!$B$2:$B$546,0),1),"")</f>
        <v/>
      </c>
      <c r="Y190" s="140" t="str">
        <f>IFERROR(INDEX(T041_ClassFeatures!$F$2:$F$546,MATCH('C01_BaseCalculation'!W190,T041_ClassFeatures!$B$2:$B$546,0),1),"")</f>
        <v/>
      </c>
      <c r="Z190" s="140" t="str">
        <f t="shared" si="35"/>
        <v/>
      </c>
      <c r="AA190" s="167">
        <v>1</v>
      </c>
      <c r="AB190" s="140" t="str">
        <f t="shared" si="37"/>
        <v/>
      </c>
      <c r="AC190" s="140" t="str">
        <f t="shared" si="38"/>
        <v/>
      </c>
      <c r="AD190" s="140">
        <f>IF(AA190=0,0,COUNTIF(AD$160:$AD189,"&gt;0")+1)</f>
        <v>23</v>
      </c>
      <c r="AH190" s="608"/>
      <c r="AI190" s="608"/>
      <c r="AJ190" s="607">
        <f>DefensiveTactics</f>
        <v>0</v>
      </c>
      <c r="AK190" s="140" t="str">
        <f t="shared" si="39"/>
        <v/>
      </c>
    </row>
    <row r="191" spans="2:37" x14ac:dyDescent="0.3">
      <c r="K191" s="140">
        <f>K190</f>
        <v>8</v>
      </c>
      <c r="L191" s="140" t="str">
        <f t="shared" si="28"/>
        <v>Wizard</v>
      </c>
      <c r="M191" s="140">
        <v>32</v>
      </c>
      <c r="N191" s="140" t="str">
        <f t="shared" si="29"/>
        <v/>
      </c>
      <c r="O191" s="231">
        <f t="shared" si="30"/>
        <v>0</v>
      </c>
      <c r="P191" s="231">
        <f>IF(O191=0,0,COUNTIF(P$160:$P190,"&gt;0")+1)</f>
        <v>0</v>
      </c>
      <c r="Q191" s="140" t="str">
        <f t="shared" si="31"/>
        <v/>
      </c>
      <c r="R191" s="140" t="str">
        <f t="shared" si="32"/>
        <v/>
      </c>
      <c r="S191" s="140" t="str">
        <f>IFERROR(INDEX(T041_ClassFeatures!$U$2:$U$343,MATCH('C01_BaseCalculation'!$Q191,T041_ClassFeatures!$B$2:$B$343,0),1),"")</f>
        <v/>
      </c>
      <c r="T191" s="140" t="str">
        <f>IFERROR(INDEX(T041_ClassFeatures!$U$2:$U$343,MATCH('C01_BaseCalculation'!$Q191,T041_ClassFeatures!$B$2:$B$343,0),1),"")</f>
        <v/>
      </c>
      <c r="U191" s="140">
        <f t="shared" si="33"/>
        <v>0</v>
      </c>
      <c r="V191" s="140" t="str">
        <f t="array" ref="V191">IFERROR(INDEX(T041_ClassFeatures!$B$2:$B$556,MATCH('C01_BaseCalculation'!Q191&amp;INDEX('C03_ClassVariables'!$O$4:$O$9,MATCH(INDEX($L$160:$L$239,MATCH(Q191,$N$160:$N$239,0),1),'C03_ClassVariables'!$M$4:$M$9,0),1),T041_ClassFeatures!$S$2:$S$556&amp;T041_ClassFeatures!$R$2:$R$556,0),1),"")</f>
        <v/>
      </c>
      <c r="W191" s="140" t="str">
        <f t="shared" si="34"/>
        <v/>
      </c>
      <c r="X191" s="140" t="str">
        <f>IFERROR(INDEX(T041_ClassFeatures!$C$2:$C$546,MATCH('C01_BaseCalculation'!W191,T041_ClassFeatures!$B$2:$B$546,0),1),"")</f>
        <v/>
      </c>
      <c r="Y191" s="140" t="str">
        <f>IFERROR(INDEX(T041_ClassFeatures!$F$2:$F$546,MATCH('C01_BaseCalculation'!W191,T041_ClassFeatures!$B$2:$B$546,0),1),"")</f>
        <v/>
      </c>
      <c r="Z191" s="140" t="str">
        <f t="shared" si="35"/>
        <v/>
      </c>
      <c r="AA191" s="167">
        <v>1</v>
      </c>
      <c r="AB191" s="140" t="str">
        <f t="shared" si="37"/>
        <v/>
      </c>
      <c r="AC191" s="140" t="str">
        <f t="shared" si="38"/>
        <v/>
      </c>
      <c r="AD191" s="140">
        <f>IF(AA191=0,0,COUNTIF(AD$160:$AD190,"&gt;0")+1)</f>
        <v>24</v>
      </c>
      <c r="AH191" s="608"/>
      <c r="AI191" s="608"/>
      <c r="AJ191" s="607">
        <f>Multiattack</f>
        <v>0</v>
      </c>
      <c r="AK191" s="140" t="str">
        <f t="shared" si="39"/>
        <v/>
      </c>
    </row>
    <row r="192" spans="2:37" x14ac:dyDescent="0.3">
      <c r="K192" s="140">
        <f>K191+1</f>
        <v>9</v>
      </c>
      <c r="L192" s="140" t="str">
        <f t="shared" ref="L192:L223" si="40">INDEX($C$160:$C$179,MATCH(ROUNDDOWN(M192/4-0.25,0)+1,$B$160:$B$179,0),1)</f>
        <v>Wizard</v>
      </c>
      <c r="M192" s="140">
        <v>33</v>
      </c>
      <c r="N192" s="140" t="str">
        <f t="shared" ref="N192:N223" si="41">INDEX($G$160:$J$179,CEILING((ROW(N192)-ROW($N$159))/4,1),CEILING(MOD((ROW(N192)-ROW($N$159)),4.00001),1))</f>
        <v/>
      </c>
      <c r="O192" s="231">
        <f t="shared" ref="O192:O223" si="42">IF(OR(N192="",N192=0),0,1)</f>
        <v>0</v>
      </c>
      <c r="P192" s="231">
        <f>IF(O192=0,0,COUNTIF(P$160:$P191,"&gt;0")+1)</f>
        <v>0</v>
      </c>
      <c r="Q192" s="140" t="str">
        <f t="shared" ref="Q192:Q223" si="43">IFERROR(INDEX($N$160:$N$239,MATCH(M192,$P$160:$P$239,0),1),"")</f>
        <v/>
      </c>
      <c r="R192" s="140" t="str">
        <f t="shared" ref="R192:R223" si="44">IFERROR(INDEX($K$160:$K$239,MATCH(M192,$P$160:$P$239,0),1),"")</f>
        <v/>
      </c>
      <c r="S192" s="140" t="str">
        <f>IFERROR(INDEX(T041_ClassFeatures!$U$2:$U$343,MATCH('C01_BaseCalculation'!$Q192,T041_ClassFeatures!$B$2:$B$343,0),1),"")</f>
        <v/>
      </c>
      <c r="T192" s="140" t="str">
        <f>IFERROR(INDEX(T041_ClassFeatures!$U$2:$U$343,MATCH('C01_BaseCalculation'!$Q192,T041_ClassFeatures!$B$2:$B$343,0),1),"")</f>
        <v/>
      </c>
      <c r="U192" s="140">
        <f t="shared" ref="U192:U223" si="45">IF(OR(T192=0,T192=""),0,1)</f>
        <v>0</v>
      </c>
      <c r="V192" s="140" t="str">
        <f t="array" ref="V192">IFERROR(INDEX(T041_ClassFeatures!$B$2:$B$556,MATCH('C01_BaseCalculation'!Q192&amp;INDEX('C03_ClassVariables'!$O$4:$O$9,MATCH(INDEX($L$160:$L$239,MATCH(Q192,$N$160:$N$239,0),1),'C03_ClassVariables'!$M$4:$M$9,0),1),T041_ClassFeatures!$S$2:$S$556&amp;T041_ClassFeatures!$R$2:$R$556,0),1),"")</f>
        <v/>
      </c>
      <c r="W192" s="140" t="str">
        <f t="shared" ref="W192:W223" si="46">IF(U192=0,Q192,V192)</f>
        <v/>
      </c>
      <c r="X192" s="140" t="str">
        <f>IFERROR(INDEX(T041_ClassFeatures!$C$2:$C$546,MATCH('C01_BaseCalculation'!W192,T041_ClassFeatures!$B$2:$B$546,0),1),"")</f>
        <v/>
      </c>
      <c r="Y192" s="140" t="str">
        <f>IFERROR(INDEX(T041_ClassFeatures!$F$2:$F$546,MATCH('C01_BaseCalculation'!W192,T041_ClassFeatures!$B$2:$B$546,0),1),"")</f>
        <v/>
      </c>
      <c r="Z192" s="140" t="str">
        <f t="shared" ref="Z192:Z223" si="47">IFERROR(IF(W192="","",INDEX($L$160:$L$239,MATCH(Q192,$N$160:$N$239,0),1)),"")</f>
        <v/>
      </c>
      <c r="AA192" s="167">
        <v>1</v>
      </c>
      <c r="AB192" s="140" t="str">
        <f t="shared" ref="AB192:AB223" si="48">IF(AA192=1,IF(X192&lt;&gt;"",X192,""),"")</f>
        <v/>
      </c>
      <c r="AC192" s="140" t="str">
        <f t="shared" ref="AC192:AC223" si="49">IF(AB192="","",Y192)</f>
        <v/>
      </c>
      <c r="AD192" s="140">
        <f>IF(AA192=0,0,COUNTIF(AD$160:$AD191,"&gt;0")+1)</f>
        <v>25</v>
      </c>
      <c r="AH192" s="608"/>
      <c r="AI192" s="608"/>
      <c r="AJ192" s="607">
        <f>SuperiorHuntersDefense</f>
        <v>0</v>
      </c>
      <c r="AK192" s="140" t="str">
        <f t="shared" si="39"/>
        <v/>
      </c>
    </row>
    <row r="193" spans="11:37" x14ac:dyDescent="0.3">
      <c r="K193" s="140">
        <f>K192</f>
        <v>9</v>
      </c>
      <c r="L193" s="140" t="str">
        <f t="shared" si="40"/>
        <v>Wizard</v>
      </c>
      <c r="M193" s="140">
        <v>34</v>
      </c>
      <c r="N193" s="140">
        <f t="shared" si="41"/>
        <v>0</v>
      </c>
      <c r="O193" s="231">
        <f t="shared" si="42"/>
        <v>0</v>
      </c>
      <c r="P193" s="231">
        <f>IF(O193=0,0,COUNTIF(P$160:$P192,"&gt;0")+1)</f>
        <v>0</v>
      </c>
      <c r="Q193" s="140" t="str">
        <f t="shared" si="43"/>
        <v/>
      </c>
      <c r="R193" s="140" t="str">
        <f t="shared" si="44"/>
        <v/>
      </c>
      <c r="S193" s="140" t="str">
        <f>IFERROR(INDEX(T041_ClassFeatures!$U$2:$U$343,MATCH('C01_BaseCalculation'!$Q193,T041_ClassFeatures!$B$2:$B$343,0),1),"")</f>
        <v/>
      </c>
      <c r="T193" s="140" t="str">
        <f>IFERROR(INDEX(T041_ClassFeatures!$U$2:$U$343,MATCH('C01_BaseCalculation'!$Q193,T041_ClassFeatures!$B$2:$B$343,0),1),"")</f>
        <v/>
      </c>
      <c r="U193" s="140">
        <f t="shared" si="45"/>
        <v>0</v>
      </c>
      <c r="V193" s="140" t="str">
        <f t="array" ref="V193">IFERROR(INDEX(T041_ClassFeatures!$B$2:$B$556,MATCH('C01_BaseCalculation'!Q193&amp;INDEX('C03_ClassVariables'!$O$4:$O$9,MATCH(INDEX($L$160:$L$239,MATCH(Q193,$N$160:$N$239,0),1),'C03_ClassVariables'!$M$4:$M$9,0),1),T041_ClassFeatures!$S$2:$S$556&amp;T041_ClassFeatures!$R$2:$R$556,0),1),"")</f>
        <v/>
      </c>
      <c r="W193" s="140" t="str">
        <f t="shared" si="46"/>
        <v/>
      </c>
      <c r="X193" s="140" t="str">
        <f>IFERROR(INDEX(T041_ClassFeatures!$C$2:$C$546,MATCH('C01_BaseCalculation'!W193,T041_ClassFeatures!$B$2:$B$546,0),1),"")</f>
        <v/>
      </c>
      <c r="Y193" s="140" t="str">
        <f>IFERROR(INDEX(T041_ClassFeatures!$F$2:$F$546,MATCH('C01_BaseCalculation'!W193,T041_ClassFeatures!$B$2:$B$546,0),1),"")</f>
        <v/>
      </c>
      <c r="Z193" s="140" t="str">
        <f t="shared" si="47"/>
        <v/>
      </c>
      <c r="AA193" s="167">
        <v>1</v>
      </c>
      <c r="AB193" s="140" t="str">
        <f t="shared" si="48"/>
        <v/>
      </c>
      <c r="AC193" s="140" t="str">
        <f t="shared" si="49"/>
        <v/>
      </c>
      <c r="AD193" s="140">
        <f>IF(AA193=0,0,COUNTIF(AD$160:$AD192,"&gt;0")+1)</f>
        <v>26</v>
      </c>
      <c r="AH193" s="608"/>
      <c r="AI193" s="608"/>
      <c r="AJ193" s="607">
        <f>FavoredEnemy1</f>
        <v>0</v>
      </c>
      <c r="AK193" s="140" t="str">
        <f t="shared" si="39"/>
        <v/>
      </c>
    </row>
    <row r="194" spans="11:37" x14ac:dyDescent="0.3">
      <c r="K194" s="140">
        <f>K193</f>
        <v>9</v>
      </c>
      <c r="L194" s="140" t="str">
        <f t="shared" si="40"/>
        <v>Wizard</v>
      </c>
      <c r="M194" s="140">
        <v>35</v>
      </c>
      <c r="N194" s="140" t="str">
        <f t="shared" si="41"/>
        <v/>
      </c>
      <c r="O194" s="231">
        <f t="shared" si="42"/>
        <v>0</v>
      </c>
      <c r="P194" s="231">
        <f>IF(O194=0,0,COUNTIF(P$160:$P193,"&gt;0")+1)</f>
        <v>0</v>
      </c>
      <c r="Q194" s="140" t="str">
        <f t="shared" si="43"/>
        <v/>
      </c>
      <c r="R194" s="140" t="str">
        <f t="shared" si="44"/>
        <v/>
      </c>
      <c r="S194" s="140" t="str">
        <f>IFERROR(INDEX(T041_ClassFeatures!$U$2:$U$343,MATCH('C01_BaseCalculation'!$Q194,T041_ClassFeatures!$B$2:$B$343,0),1),"")</f>
        <v/>
      </c>
      <c r="T194" s="140" t="str">
        <f>IFERROR(INDEX(T041_ClassFeatures!$U$2:$U$343,MATCH('C01_BaseCalculation'!$Q194,T041_ClassFeatures!$B$2:$B$343,0),1),"")</f>
        <v/>
      </c>
      <c r="U194" s="140">
        <f t="shared" si="45"/>
        <v>0</v>
      </c>
      <c r="V194" s="140" t="str">
        <f t="array" ref="V194">IFERROR(INDEX(T041_ClassFeatures!$B$2:$B$556,MATCH('C01_BaseCalculation'!Q194&amp;INDEX('C03_ClassVariables'!$O$4:$O$9,MATCH(INDEX($L$160:$L$239,MATCH(Q194,$N$160:$N$239,0),1),'C03_ClassVariables'!$M$4:$M$9,0),1),T041_ClassFeatures!$S$2:$S$556&amp;T041_ClassFeatures!$R$2:$R$556,0),1),"")</f>
        <v/>
      </c>
      <c r="W194" s="140" t="str">
        <f t="shared" si="46"/>
        <v/>
      </c>
      <c r="X194" s="140" t="str">
        <f>IFERROR(INDEX(T041_ClassFeatures!$C$2:$C$546,MATCH('C01_BaseCalculation'!W194,T041_ClassFeatures!$B$2:$B$546,0),1),"")</f>
        <v/>
      </c>
      <c r="Y194" s="140" t="str">
        <f>IFERROR(INDEX(T041_ClassFeatures!$F$2:$F$546,MATCH('C01_BaseCalculation'!W194,T041_ClassFeatures!$B$2:$B$546,0),1),"")</f>
        <v/>
      </c>
      <c r="Z194" s="140" t="str">
        <f t="shared" si="47"/>
        <v/>
      </c>
      <c r="AA194" s="167">
        <v>1</v>
      </c>
      <c r="AB194" s="140" t="str">
        <f t="shared" si="48"/>
        <v/>
      </c>
      <c r="AC194" s="140" t="str">
        <f t="shared" si="49"/>
        <v/>
      </c>
      <c r="AD194" s="140">
        <f>IF(AA194=0,0,COUNTIF(AD$160:$AD193,"&gt;0")+1)</f>
        <v>27</v>
      </c>
      <c r="AH194" s="608"/>
      <c r="AI194" s="608"/>
      <c r="AJ194" s="607">
        <f>FavoredEnemy2</f>
        <v>0</v>
      </c>
      <c r="AK194" s="140" t="str">
        <f t="shared" si="39"/>
        <v/>
      </c>
    </row>
    <row r="195" spans="11:37" x14ac:dyDescent="0.3">
      <c r="K195" s="140">
        <f>K194</f>
        <v>9</v>
      </c>
      <c r="L195" s="140" t="str">
        <f t="shared" si="40"/>
        <v>Wizard</v>
      </c>
      <c r="M195" s="140">
        <v>36</v>
      </c>
      <c r="N195" s="140" t="str">
        <f t="shared" si="41"/>
        <v/>
      </c>
      <c r="O195" s="231">
        <f t="shared" si="42"/>
        <v>0</v>
      </c>
      <c r="P195" s="231">
        <f>IF(O195=0,0,COUNTIF(P$160:$P194,"&gt;0")+1)</f>
        <v>0</v>
      </c>
      <c r="Q195" s="140" t="str">
        <f t="shared" si="43"/>
        <v/>
      </c>
      <c r="R195" s="140" t="str">
        <f t="shared" si="44"/>
        <v/>
      </c>
      <c r="S195" s="140" t="str">
        <f>IFERROR(INDEX(T041_ClassFeatures!$U$2:$U$343,MATCH('C01_BaseCalculation'!$Q195,T041_ClassFeatures!$B$2:$B$343,0),1),"")</f>
        <v/>
      </c>
      <c r="T195" s="140" t="str">
        <f>IFERROR(INDEX(T041_ClassFeatures!$U$2:$U$343,MATCH('C01_BaseCalculation'!$Q195,T041_ClassFeatures!$B$2:$B$343,0),1),"")</f>
        <v/>
      </c>
      <c r="U195" s="140">
        <f t="shared" si="45"/>
        <v>0</v>
      </c>
      <c r="V195" s="140" t="str">
        <f t="array" ref="V195">IFERROR(INDEX(T041_ClassFeatures!$B$2:$B$556,MATCH('C01_BaseCalculation'!Q195&amp;INDEX('C03_ClassVariables'!$O$4:$O$9,MATCH(INDEX($L$160:$L$239,MATCH(Q195,$N$160:$N$239,0),1),'C03_ClassVariables'!$M$4:$M$9,0),1),T041_ClassFeatures!$S$2:$S$556&amp;T041_ClassFeatures!$R$2:$R$556,0),1),"")</f>
        <v/>
      </c>
      <c r="W195" s="140" t="str">
        <f t="shared" si="46"/>
        <v/>
      </c>
      <c r="X195" s="140" t="str">
        <f>IFERROR(INDEX(T041_ClassFeatures!$C$2:$C$546,MATCH('C01_BaseCalculation'!W195,T041_ClassFeatures!$B$2:$B$546,0),1),"")</f>
        <v/>
      </c>
      <c r="Y195" s="140" t="str">
        <f>IFERROR(INDEX(T041_ClassFeatures!$F$2:$F$546,MATCH('C01_BaseCalculation'!W195,T041_ClassFeatures!$B$2:$B$546,0),1),"")</f>
        <v/>
      </c>
      <c r="Z195" s="140" t="str">
        <f t="shared" si="47"/>
        <v/>
      </c>
      <c r="AA195" s="167">
        <v>1</v>
      </c>
      <c r="AB195" s="140" t="str">
        <f t="shared" si="48"/>
        <v/>
      </c>
      <c r="AC195" s="140" t="str">
        <f t="shared" si="49"/>
        <v/>
      </c>
      <c r="AD195" s="140">
        <f>IF(AA195=0,0,COUNTIF(AD$160:$AD194,"&gt;0")+1)</f>
        <v>28</v>
      </c>
      <c r="AH195" s="608"/>
      <c r="AI195" s="608"/>
      <c r="AJ195" s="607">
        <f>FavoredEnemy3</f>
        <v>0</v>
      </c>
      <c r="AK195" s="140" t="str">
        <f t="shared" si="39"/>
        <v/>
      </c>
    </row>
    <row r="196" spans="11:37" x14ac:dyDescent="0.3">
      <c r="K196" s="140">
        <f>K195+1</f>
        <v>10</v>
      </c>
      <c r="L196" s="140" t="str">
        <f t="shared" si="40"/>
        <v>Wizard</v>
      </c>
      <c r="M196" s="140">
        <v>37</v>
      </c>
      <c r="N196" s="140" t="str">
        <f t="shared" si="41"/>
        <v>Arcane Tradition Feature6</v>
      </c>
      <c r="O196" s="231">
        <f t="shared" si="42"/>
        <v>1</v>
      </c>
      <c r="P196" s="231">
        <f>IF(O196=0,0,COUNTIF(P$160:$P195,"&gt;0")+1)</f>
        <v>12</v>
      </c>
      <c r="Q196" s="140" t="str">
        <f t="shared" si="43"/>
        <v/>
      </c>
      <c r="R196" s="140" t="str">
        <f t="shared" si="44"/>
        <v/>
      </c>
      <c r="S196" s="140" t="str">
        <f>IFERROR(INDEX(T041_ClassFeatures!$U$2:$U$343,MATCH('C01_BaseCalculation'!$Q196,T041_ClassFeatures!$B$2:$B$343,0),1),"")</f>
        <v/>
      </c>
      <c r="T196" s="140" t="str">
        <f>IFERROR(INDEX(T041_ClassFeatures!$U$2:$U$343,MATCH('C01_BaseCalculation'!$Q196,T041_ClassFeatures!$B$2:$B$343,0),1),"")</f>
        <v/>
      </c>
      <c r="U196" s="140">
        <f t="shared" si="45"/>
        <v>0</v>
      </c>
      <c r="V196" s="140" t="str">
        <f t="array" ref="V196">IFERROR(INDEX(T041_ClassFeatures!$B$2:$B$556,MATCH('C01_BaseCalculation'!Q196&amp;INDEX('C03_ClassVariables'!$O$4:$O$9,MATCH(INDEX($L$160:$L$239,MATCH(Q196,$N$160:$N$239,0),1),'C03_ClassVariables'!$M$4:$M$9,0),1),T041_ClassFeatures!$S$2:$S$556&amp;T041_ClassFeatures!$R$2:$R$556,0),1),"")</f>
        <v/>
      </c>
      <c r="W196" s="140" t="str">
        <f t="shared" si="46"/>
        <v/>
      </c>
      <c r="X196" s="140" t="str">
        <f>IFERROR(INDEX(T041_ClassFeatures!$C$2:$C$546,MATCH('C01_BaseCalculation'!W196,T041_ClassFeatures!$B$2:$B$546,0),1),"")</f>
        <v/>
      </c>
      <c r="Y196" s="140" t="str">
        <f>IFERROR(INDEX(T041_ClassFeatures!$F$2:$F$546,MATCH('C01_BaseCalculation'!W196,T041_ClassFeatures!$B$2:$B$546,0),1),"")</f>
        <v/>
      </c>
      <c r="Z196" s="140" t="str">
        <f t="shared" si="47"/>
        <v/>
      </c>
      <c r="AA196" s="167">
        <v>1</v>
      </c>
      <c r="AB196" s="140" t="str">
        <f t="shared" si="48"/>
        <v/>
      </c>
      <c r="AC196" s="140" t="str">
        <f t="shared" si="49"/>
        <v/>
      </c>
      <c r="AD196" s="140">
        <f>IF(AA196=0,0,COUNTIF(AD$160:$AD195,"&gt;0")+1)</f>
        <v>29</v>
      </c>
      <c r="AH196" s="608"/>
      <c r="AI196" s="608"/>
      <c r="AJ196" s="607" t="str">
        <f>FightingStyle1</f>
        <v>Two-Weapon Fighting</v>
      </c>
      <c r="AK196" s="140" t="str">
        <f t="shared" si="39"/>
        <v xml:space="preserve"> Two-Weapon Fighting</v>
      </c>
    </row>
    <row r="197" spans="11:37" x14ac:dyDescent="0.3">
      <c r="K197" s="140">
        <f>K196</f>
        <v>10</v>
      </c>
      <c r="L197" s="140" t="str">
        <f t="shared" si="40"/>
        <v>Wizard</v>
      </c>
      <c r="M197" s="140">
        <v>38</v>
      </c>
      <c r="N197" s="140">
        <f t="shared" si="41"/>
        <v>0</v>
      </c>
      <c r="O197" s="231">
        <f t="shared" si="42"/>
        <v>0</v>
      </c>
      <c r="P197" s="231">
        <f>IF(O197=0,0,COUNTIF(P$160:$P196,"&gt;0")+1)</f>
        <v>0</v>
      </c>
      <c r="Q197" s="140" t="str">
        <f t="shared" si="43"/>
        <v/>
      </c>
      <c r="R197" s="140" t="str">
        <f t="shared" si="44"/>
        <v/>
      </c>
      <c r="S197" s="140" t="str">
        <f>IFERROR(INDEX(T041_ClassFeatures!$U$2:$U$343,MATCH('C01_BaseCalculation'!$Q197,T041_ClassFeatures!$B$2:$B$343,0),1),"")</f>
        <v/>
      </c>
      <c r="T197" s="140" t="str">
        <f>IFERROR(INDEX(T041_ClassFeatures!$U$2:$U$343,MATCH('C01_BaseCalculation'!$Q197,T041_ClassFeatures!$B$2:$B$343,0),1),"")</f>
        <v/>
      </c>
      <c r="U197" s="140">
        <f t="shared" si="45"/>
        <v>0</v>
      </c>
      <c r="V197" s="140" t="str">
        <f t="array" ref="V197">IFERROR(INDEX(T041_ClassFeatures!$B$2:$B$556,MATCH('C01_BaseCalculation'!Q197&amp;INDEX('C03_ClassVariables'!$O$4:$O$9,MATCH(INDEX($L$160:$L$239,MATCH(Q197,$N$160:$N$239,0),1),'C03_ClassVariables'!$M$4:$M$9,0),1),T041_ClassFeatures!$S$2:$S$556&amp;T041_ClassFeatures!$R$2:$R$556,0),1),"")</f>
        <v/>
      </c>
      <c r="W197" s="140" t="str">
        <f t="shared" si="46"/>
        <v/>
      </c>
      <c r="X197" s="140" t="str">
        <f>IFERROR(INDEX(T041_ClassFeatures!$C$2:$C$546,MATCH('C01_BaseCalculation'!W197,T041_ClassFeatures!$B$2:$B$546,0),1),"")</f>
        <v/>
      </c>
      <c r="Y197" s="140" t="str">
        <f>IFERROR(INDEX(T041_ClassFeatures!$F$2:$F$546,MATCH('C01_BaseCalculation'!W197,T041_ClassFeatures!$B$2:$B$546,0),1),"")</f>
        <v/>
      </c>
      <c r="Z197" s="140" t="str">
        <f t="shared" si="47"/>
        <v/>
      </c>
      <c r="AA197" s="167">
        <v>1</v>
      </c>
      <c r="AB197" s="140" t="str">
        <f t="shared" si="48"/>
        <v/>
      </c>
      <c r="AC197" s="140" t="str">
        <f t="shared" si="49"/>
        <v/>
      </c>
      <c r="AD197" s="140">
        <f>IF(AA197=0,0,COUNTIF(AD$160:$AD196,"&gt;0")+1)</f>
        <v>30</v>
      </c>
      <c r="AH197" s="608"/>
      <c r="AI197" s="608"/>
      <c r="AJ197" s="607">
        <f>FightingStyle2</f>
        <v>0</v>
      </c>
      <c r="AK197" s="140" t="str">
        <f t="shared" si="39"/>
        <v/>
      </c>
    </row>
    <row r="198" spans="11:37" x14ac:dyDescent="0.3">
      <c r="K198" s="140">
        <f>K197</f>
        <v>10</v>
      </c>
      <c r="L198" s="140" t="str">
        <f t="shared" si="40"/>
        <v>Wizard</v>
      </c>
      <c r="M198" s="140">
        <v>39</v>
      </c>
      <c r="N198" s="140" t="str">
        <f t="shared" si="41"/>
        <v/>
      </c>
      <c r="O198" s="231">
        <f t="shared" si="42"/>
        <v>0</v>
      </c>
      <c r="P198" s="231">
        <f>IF(O198=0,0,COUNTIF(P$160:$P197,"&gt;0")+1)</f>
        <v>0</v>
      </c>
      <c r="Q198" s="140" t="str">
        <f t="shared" si="43"/>
        <v/>
      </c>
      <c r="R198" s="140" t="str">
        <f t="shared" si="44"/>
        <v/>
      </c>
      <c r="S198" s="140" t="str">
        <f>IFERROR(INDEX(T041_ClassFeatures!$U$2:$U$343,MATCH('C01_BaseCalculation'!$Q198,T041_ClassFeatures!$B$2:$B$343,0),1),"")</f>
        <v/>
      </c>
      <c r="T198" s="140" t="str">
        <f>IFERROR(INDEX(T041_ClassFeatures!$U$2:$U$343,MATCH('C01_BaseCalculation'!$Q198,T041_ClassFeatures!$B$2:$B$343,0),1),"")</f>
        <v/>
      </c>
      <c r="U198" s="140">
        <f t="shared" si="45"/>
        <v>0</v>
      </c>
      <c r="V198" s="140" t="str">
        <f t="array" ref="V198">IFERROR(INDEX(T041_ClassFeatures!$B$2:$B$556,MATCH('C01_BaseCalculation'!Q198&amp;INDEX('C03_ClassVariables'!$O$4:$O$9,MATCH(INDEX($L$160:$L$239,MATCH(Q198,$N$160:$N$239,0),1),'C03_ClassVariables'!$M$4:$M$9,0),1),T041_ClassFeatures!$S$2:$S$556&amp;T041_ClassFeatures!$R$2:$R$556,0),1),"")</f>
        <v/>
      </c>
      <c r="W198" s="140" t="str">
        <f t="shared" si="46"/>
        <v/>
      </c>
      <c r="X198" s="140" t="str">
        <f>IFERROR(INDEX(T041_ClassFeatures!$C$2:$C$546,MATCH('C01_BaseCalculation'!W198,T041_ClassFeatures!$B$2:$B$546,0),1),"")</f>
        <v/>
      </c>
      <c r="Y198" s="140" t="str">
        <f>IFERROR(INDEX(T041_ClassFeatures!$F$2:$F$546,MATCH('C01_BaseCalculation'!W198,T041_ClassFeatures!$B$2:$B$546,0),1),"")</f>
        <v/>
      </c>
      <c r="Z198" s="140" t="str">
        <f t="shared" si="47"/>
        <v/>
      </c>
      <c r="AA198" s="167">
        <v>1</v>
      </c>
      <c r="AB198" s="140" t="str">
        <f t="shared" si="48"/>
        <v/>
      </c>
      <c r="AC198" s="140" t="str">
        <f t="shared" si="49"/>
        <v/>
      </c>
      <c r="AD198" s="140">
        <f>IF(AA198=0,0,COUNTIF(AD$160:$AD197,"&gt;0")+1)</f>
        <v>31</v>
      </c>
      <c r="AH198" s="608"/>
      <c r="AI198" s="608"/>
      <c r="AJ198" s="607">
        <f>FightingStyle3</f>
        <v>0</v>
      </c>
      <c r="AK198" s="140" t="str">
        <f t="shared" si="39"/>
        <v/>
      </c>
    </row>
    <row r="199" spans="11:37" x14ac:dyDescent="0.3">
      <c r="K199" s="140">
        <f>K198</f>
        <v>10</v>
      </c>
      <c r="L199" s="140" t="str">
        <f t="shared" si="40"/>
        <v>Wizard</v>
      </c>
      <c r="M199" s="140">
        <v>40</v>
      </c>
      <c r="N199" s="140" t="str">
        <f t="shared" si="41"/>
        <v/>
      </c>
      <c r="O199" s="231">
        <f t="shared" si="42"/>
        <v>0</v>
      </c>
      <c r="P199" s="231">
        <f>IF(O199=0,0,COUNTIF(P$160:$P198,"&gt;0")+1)</f>
        <v>0</v>
      </c>
      <c r="Q199" s="140" t="str">
        <f t="shared" si="43"/>
        <v/>
      </c>
      <c r="R199" s="140" t="str">
        <f t="shared" si="44"/>
        <v/>
      </c>
      <c r="S199" s="140" t="str">
        <f>IFERROR(INDEX(T041_ClassFeatures!$U$2:$U$343,MATCH('C01_BaseCalculation'!$Q199,T041_ClassFeatures!$B$2:$B$343,0),1),"")</f>
        <v/>
      </c>
      <c r="T199" s="140" t="str">
        <f>IFERROR(INDEX(T041_ClassFeatures!$U$2:$U$343,MATCH('C01_BaseCalculation'!$Q199,T041_ClassFeatures!$B$2:$B$343,0),1),"")</f>
        <v/>
      </c>
      <c r="U199" s="140">
        <f t="shared" si="45"/>
        <v>0</v>
      </c>
      <c r="V199" s="140" t="str">
        <f t="array" ref="V199">IFERROR(INDEX(T041_ClassFeatures!$B$2:$B$556,MATCH('C01_BaseCalculation'!Q199&amp;INDEX('C03_ClassVariables'!$O$4:$O$9,MATCH(INDEX($L$160:$L$239,MATCH(Q199,$N$160:$N$239,0),1),'C03_ClassVariables'!$M$4:$M$9,0),1),T041_ClassFeatures!$S$2:$S$556&amp;T041_ClassFeatures!$R$2:$R$556,0),1),"")</f>
        <v/>
      </c>
      <c r="W199" s="140" t="str">
        <f t="shared" si="46"/>
        <v/>
      </c>
      <c r="X199" s="140" t="str">
        <f>IFERROR(INDEX(T041_ClassFeatures!$C$2:$C$546,MATCH('C01_BaseCalculation'!W199,T041_ClassFeatures!$B$2:$B$546,0),1),"")</f>
        <v/>
      </c>
      <c r="Y199" s="140" t="str">
        <f>IFERROR(INDEX(T041_ClassFeatures!$F$2:$F$546,MATCH('C01_BaseCalculation'!W199,T041_ClassFeatures!$B$2:$B$546,0),1),"")</f>
        <v/>
      </c>
      <c r="Z199" s="140" t="str">
        <f t="shared" si="47"/>
        <v/>
      </c>
      <c r="AA199" s="167">
        <v>1</v>
      </c>
      <c r="AB199" s="140" t="str">
        <f t="shared" si="48"/>
        <v/>
      </c>
      <c r="AC199" s="140" t="str">
        <f t="shared" si="49"/>
        <v/>
      </c>
      <c r="AD199" s="140">
        <f>IF(AA199=0,0,COUNTIF(AD$160:$AD198,"&gt;0")+1)</f>
        <v>32</v>
      </c>
      <c r="AH199" s="608"/>
      <c r="AI199" s="608"/>
      <c r="AJ199" s="607">
        <f>FightingStyle4</f>
        <v>0</v>
      </c>
      <c r="AK199" s="140" t="str">
        <f t="shared" si="39"/>
        <v/>
      </c>
    </row>
    <row r="200" spans="11:37" x14ac:dyDescent="0.3">
      <c r="K200" s="140">
        <f>K199+1</f>
        <v>11</v>
      </c>
      <c r="L200" s="140" t="str">
        <f t="shared" si="40"/>
        <v>Wizard</v>
      </c>
      <c r="M200" s="140">
        <v>41</v>
      </c>
      <c r="N200" s="140" t="str">
        <f t="shared" si="41"/>
        <v/>
      </c>
      <c r="O200" s="231">
        <f t="shared" si="42"/>
        <v>0</v>
      </c>
      <c r="P200" s="231">
        <f>IF(O200=0,0,COUNTIF(P$160:$P199,"&gt;0")+1)</f>
        <v>0</v>
      </c>
      <c r="Q200" s="140" t="str">
        <f t="shared" si="43"/>
        <v/>
      </c>
      <c r="R200" s="140" t="str">
        <f t="shared" si="44"/>
        <v/>
      </c>
      <c r="S200" s="140" t="str">
        <f>IFERROR(INDEX(T041_ClassFeatures!$U$2:$U$343,MATCH('C01_BaseCalculation'!$Q200,T041_ClassFeatures!$B$2:$B$343,0),1),"")</f>
        <v/>
      </c>
      <c r="T200" s="140" t="str">
        <f>IFERROR(INDEX(T041_ClassFeatures!$U$2:$U$343,MATCH('C01_BaseCalculation'!$Q200,T041_ClassFeatures!$B$2:$B$343,0),1),"")</f>
        <v/>
      </c>
      <c r="U200" s="140">
        <f t="shared" si="45"/>
        <v>0</v>
      </c>
      <c r="V200" s="140" t="str">
        <f t="array" ref="V200">IFERROR(INDEX(T041_ClassFeatures!$B$2:$B$556,MATCH('C01_BaseCalculation'!Q200&amp;INDEX('C03_ClassVariables'!$O$4:$O$9,MATCH(INDEX($L$160:$L$239,MATCH(Q200,$N$160:$N$239,0),1),'C03_ClassVariables'!$M$4:$M$9,0),1),T041_ClassFeatures!$S$2:$S$556&amp;T041_ClassFeatures!$R$2:$R$556,0),1),"")</f>
        <v/>
      </c>
      <c r="W200" s="140" t="str">
        <f t="shared" si="46"/>
        <v/>
      </c>
      <c r="X200" s="140" t="str">
        <f>IFERROR(INDEX(T041_ClassFeatures!$C$2:$C$546,MATCH('C01_BaseCalculation'!W200,T041_ClassFeatures!$B$2:$B$546,0),1),"")</f>
        <v/>
      </c>
      <c r="Y200" s="140" t="str">
        <f>IFERROR(INDEX(T041_ClassFeatures!$F$2:$F$546,MATCH('C01_BaseCalculation'!W200,T041_ClassFeatures!$B$2:$B$546,0),1),"")</f>
        <v/>
      </c>
      <c r="Z200" s="140" t="str">
        <f t="shared" si="47"/>
        <v/>
      </c>
      <c r="AA200" s="167">
        <v>1</v>
      </c>
      <c r="AB200" s="140" t="str">
        <f t="shared" si="48"/>
        <v/>
      </c>
      <c r="AC200" s="140" t="str">
        <f t="shared" si="49"/>
        <v/>
      </c>
      <c r="AD200" s="140">
        <f>IF(AA200=0,0,COUNTIF(AD$160:$AD199,"&gt;0")+1)</f>
        <v>33</v>
      </c>
      <c r="AH200" s="608"/>
      <c r="AI200" s="608"/>
      <c r="AJ200" s="607">
        <f>MonkElementalDiscipline1</f>
        <v>0</v>
      </c>
      <c r="AK200" s="140" t="str">
        <f t="shared" si="39"/>
        <v/>
      </c>
    </row>
    <row r="201" spans="11:37" x14ac:dyDescent="0.3">
      <c r="K201" s="140">
        <f>K200</f>
        <v>11</v>
      </c>
      <c r="L201" s="140" t="str">
        <f t="shared" si="40"/>
        <v>Wizard</v>
      </c>
      <c r="M201" s="140">
        <v>42</v>
      </c>
      <c r="N201" s="140">
        <f t="shared" si="41"/>
        <v>0</v>
      </c>
      <c r="O201" s="231">
        <f t="shared" si="42"/>
        <v>0</v>
      </c>
      <c r="P201" s="231">
        <f>IF(O201=0,0,COUNTIF(P$160:$P200,"&gt;0")+1)</f>
        <v>0</v>
      </c>
      <c r="Q201" s="140" t="str">
        <f t="shared" si="43"/>
        <v/>
      </c>
      <c r="R201" s="140" t="str">
        <f t="shared" si="44"/>
        <v/>
      </c>
      <c r="S201" s="140" t="str">
        <f>IFERROR(INDEX(T041_ClassFeatures!$U$2:$U$343,MATCH('C01_BaseCalculation'!$Q201,T041_ClassFeatures!$B$2:$B$343,0),1),"")</f>
        <v/>
      </c>
      <c r="T201" s="140" t="str">
        <f>IFERROR(INDEX(T041_ClassFeatures!$U$2:$U$343,MATCH('C01_BaseCalculation'!$Q201,T041_ClassFeatures!$B$2:$B$343,0),1),"")</f>
        <v/>
      </c>
      <c r="U201" s="140">
        <f t="shared" si="45"/>
        <v>0</v>
      </c>
      <c r="V201" s="140" t="str">
        <f t="array" ref="V201">IFERROR(INDEX(T041_ClassFeatures!$B$2:$B$556,MATCH('C01_BaseCalculation'!Q201&amp;INDEX('C03_ClassVariables'!$O$4:$O$9,MATCH(INDEX($L$160:$L$239,MATCH(Q201,$N$160:$N$239,0),1),'C03_ClassVariables'!$M$4:$M$9,0),1),T041_ClassFeatures!$S$2:$S$556&amp;T041_ClassFeatures!$R$2:$R$556,0),1),"")</f>
        <v/>
      </c>
      <c r="W201" s="140" t="str">
        <f t="shared" si="46"/>
        <v/>
      </c>
      <c r="X201" s="140" t="str">
        <f>IFERROR(INDEX(T041_ClassFeatures!$C$2:$C$546,MATCH('C01_BaseCalculation'!W201,T041_ClassFeatures!$B$2:$B$546,0),1),"")</f>
        <v/>
      </c>
      <c r="Y201" s="140" t="str">
        <f>IFERROR(INDEX(T041_ClassFeatures!$F$2:$F$546,MATCH('C01_BaseCalculation'!W201,T041_ClassFeatures!$B$2:$B$546,0),1),"")</f>
        <v/>
      </c>
      <c r="Z201" s="140" t="str">
        <f t="shared" si="47"/>
        <v/>
      </c>
      <c r="AA201" s="167">
        <v>1</v>
      </c>
      <c r="AB201" s="140" t="str">
        <f t="shared" si="48"/>
        <v/>
      </c>
      <c r="AC201" s="140" t="str">
        <f t="shared" si="49"/>
        <v/>
      </c>
      <c r="AD201" s="140">
        <f>IF(AA201=0,0,COUNTIF(AD$160:$AD200,"&gt;0")+1)</f>
        <v>34</v>
      </c>
      <c r="AH201" s="608"/>
      <c r="AI201" s="608"/>
      <c r="AJ201" s="607">
        <f>MonkElementalDiscipline2</f>
        <v>0</v>
      </c>
      <c r="AK201" s="140" t="str">
        <f t="shared" si="39"/>
        <v/>
      </c>
    </row>
    <row r="202" spans="11:37" x14ac:dyDescent="0.3">
      <c r="K202" s="140">
        <f>K201</f>
        <v>11</v>
      </c>
      <c r="L202" s="140" t="str">
        <f t="shared" si="40"/>
        <v>Wizard</v>
      </c>
      <c r="M202" s="140">
        <v>43</v>
      </c>
      <c r="N202" s="140" t="str">
        <f t="shared" si="41"/>
        <v/>
      </c>
      <c r="O202" s="231">
        <f t="shared" si="42"/>
        <v>0</v>
      </c>
      <c r="P202" s="231">
        <f>IF(O202=0,0,COUNTIF(P$160:$P201,"&gt;0")+1)</f>
        <v>0</v>
      </c>
      <c r="Q202" s="140" t="str">
        <f t="shared" si="43"/>
        <v/>
      </c>
      <c r="R202" s="140" t="str">
        <f t="shared" si="44"/>
        <v/>
      </c>
      <c r="S202" s="140" t="str">
        <f>IFERROR(INDEX(T041_ClassFeatures!$U$2:$U$343,MATCH('C01_BaseCalculation'!$Q202,T041_ClassFeatures!$B$2:$B$343,0),1),"")</f>
        <v/>
      </c>
      <c r="T202" s="140" t="str">
        <f>IFERROR(INDEX(T041_ClassFeatures!$U$2:$U$343,MATCH('C01_BaseCalculation'!$Q202,T041_ClassFeatures!$B$2:$B$343,0),1),"")</f>
        <v/>
      </c>
      <c r="U202" s="140">
        <f t="shared" si="45"/>
        <v>0</v>
      </c>
      <c r="V202" s="140" t="str">
        <f t="array" ref="V202">IFERROR(INDEX(T041_ClassFeatures!$B$2:$B$556,MATCH('C01_BaseCalculation'!Q202&amp;INDEX('C03_ClassVariables'!$O$4:$O$9,MATCH(INDEX($L$160:$L$239,MATCH(Q202,$N$160:$N$239,0),1),'C03_ClassVariables'!$M$4:$M$9,0),1),T041_ClassFeatures!$S$2:$S$556&amp;T041_ClassFeatures!$R$2:$R$556,0),1),"")</f>
        <v/>
      </c>
      <c r="W202" s="140" t="str">
        <f t="shared" si="46"/>
        <v/>
      </c>
      <c r="X202" s="140" t="str">
        <f>IFERROR(INDEX(T041_ClassFeatures!$C$2:$C$546,MATCH('C01_BaseCalculation'!W202,T041_ClassFeatures!$B$2:$B$546,0),1),"")</f>
        <v/>
      </c>
      <c r="Y202" s="140" t="str">
        <f>IFERROR(INDEX(T041_ClassFeatures!$F$2:$F$546,MATCH('C01_BaseCalculation'!W202,T041_ClassFeatures!$B$2:$B$546,0),1),"")</f>
        <v/>
      </c>
      <c r="Z202" s="140" t="str">
        <f t="shared" si="47"/>
        <v/>
      </c>
      <c r="AA202" s="167">
        <v>1</v>
      </c>
      <c r="AB202" s="140" t="str">
        <f t="shared" si="48"/>
        <v/>
      </c>
      <c r="AC202" s="140" t="str">
        <f t="shared" si="49"/>
        <v/>
      </c>
      <c r="AD202" s="140">
        <f>IF(AA202=0,0,COUNTIF(AD$160:$AD201,"&gt;0")+1)</f>
        <v>35</v>
      </c>
      <c r="AH202" s="608"/>
      <c r="AI202" s="608"/>
      <c r="AJ202" s="607">
        <f>MonkElementalDiscipline3</f>
        <v>0</v>
      </c>
      <c r="AK202" s="140" t="str">
        <f t="shared" si="39"/>
        <v/>
      </c>
    </row>
    <row r="203" spans="11:37" x14ac:dyDescent="0.3">
      <c r="K203" s="140">
        <f>K202</f>
        <v>11</v>
      </c>
      <c r="L203" s="140" t="str">
        <f t="shared" si="40"/>
        <v>Wizard</v>
      </c>
      <c r="M203" s="140">
        <v>44</v>
      </c>
      <c r="N203" s="140" t="str">
        <f t="shared" si="41"/>
        <v/>
      </c>
      <c r="O203" s="231">
        <f t="shared" si="42"/>
        <v>0</v>
      </c>
      <c r="P203" s="231">
        <f>IF(O203=0,0,COUNTIF(P$160:$P202,"&gt;0")+1)</f>
        <v>0</v>
      </c>
      <c r="Q203" s="140" t="str">
        <f t="shared" si="43"/>
        <v/>
      </c>
      <c r="R203" s="140" t="str">
        <f t="shared" si="44"/>
        <v/>
      </c>
      <c r="S203" s="140" t="str">
        <f>IFERROR(INDEX(T041_ClassFeatures!$U$2:$U$343,MATCH('C01_BaseCalculation'!$Q203,T041_ClassFeatures!$B$2:$B$343,0),1),"")</f>
        <v/>
      </c>
      <c r="T203" s="140" t="str">
        <f>IFERROR(INDEX(T041_ClassFeatures!$U$2:$U$343,MATCH('C01_BaseCalculation'!$Q203,T041_ClassFeatures!$B$2:$B$343,0),1),"")</f>
        <v/>
      </c>
      <c r="U203" s="140">
        <f t="shared" si="45"/>
        <v>0</v>
      </c>
      <c r="V203" s="140" t="str">
        <f t="array" ref="V203">IFERROR(INDEX(T041_ClassFeatures!$B$2:$B$556,MATCH('C01_BaseCalculation'!Q203&amp;INDEX('C03_ClassVariables'!$O$4:$O$9,MATCH(INDEX($L$160:$L$239,MATCH(Q203,$N$160:$N$239,0),1),'C03_ClassVariables'!$M$4:$M$9,0),1),T041_ClassFeatures!$S$2:$S$556&amp;T041_ClassFeatures!$R$2:$R$556,0),1),"")</f>
        <v/>
      </c>
      <c r="W203" s="140" t="str">
        <f t="shared" si="46"/>
        <v/>
      </c>
      <c r="X203" s="140" t="str">
        <f>IFERROR(INDEX(T041_ClassFeatures!$C$2:$C$546,MATCH('C01_BaseCalculation'!W203,T041_ClassFeatures!$B$2:$B$546,0),1),"")</f>
        <v/>
      </c>
      <c r="Y203" s="140" t="str">
        <f>IFERROR(INDEX(T041_ClassFeatures!$F$2:$F$546,MATCH('C01_BaseCalculation'!W203,T041_ClassFeatures!$B$2:$B$546,0),1),"")</f>
        <v/>
      </c>
      <c r="Z203" s="140" t="str">
        <f t="shared" si="47"/>
        <v/>
      </c>
      <c r="AA203" s="167">
        <v>1</v>
      </c>
      <c r="AB203" s="140" t="str">
        <f t="shared" si="48"/>
        <v/>
      </c>
      <c r="AC203" s="140" t="str">
        <f t="shared" si="49"/>
        <v/>
      </c>
      <c r="AD203" s="140">
        <f>IF(AA203=0,0,COUNTIF(AD$160:$AD202,"&gt;0")+1)</f>
        <v>36</v>
      </c>
      <c r="AH203" s="608"/>
      <c r="AI203" s="608"/>
      <c r="AJ203" s="607">
        <f>MonkElementalDiscipline4</f>
        <v>0</v>
      </c>
      <c r="AK203" s="140" t="str">
        <f t="shared" si="39"/>
        <v/>
      </c>
    </row>
    <row r="204" spans="11:37" x14ac:dyDescent="0.3">
      <c r="K204" s="140">
        <f>K203+1</f>
        <v>12</v>
      </c>
      <c r="L204" s="140" t="str">
        <f t="shared" si="40"/>
        <v>Wizard</v>
      </c>
      <c r="M204" s="140">
        <v>45</v>
      </c>
      <c r="N204" s="140" t="str">
        <f t="shared" si="41"/>
        <v>Ability Score Improvement</v>
      </c>
      <c r="O204" s="231">
        <f t="shared" si="42"/>
        <v>1</v>
      </c>
      <c r="P204" s="231">
        <f>IF(O204=0,0,COUNTIF(P$160:$P203,"&gt;0")+1)</f>
        <v>13</v>
      </c>
      <c r="Q204" s="140" t="str">
        <f t="shared" si="43"/>
        <v/>
      </c>
      <c r="R204" s="140" t="str">
        <f t="shared" si="44"/>
        <v/>
      </c>
      <c r="S204" s="140" t="str">
        <f>IFERROR(INDEX(T041_ClassFeatures!$U$2:$U$343,MATCH('C01_BaseCalculation'!$Q204,T041_ClassFeatures!$B$2:$B$343,0),1),"")</f>
        <v/>
      </c>
      <c r="T204" s="140" t="str">
        <f>IFERROR(INDEX(T041_ClassFeatures!$U$2:$U$343,MATCH('C01_BaseCalculation'!$Q204,T041_ClassFeatures!$B$2:$B$343,0),1),"")</f>
        <v/>
      </c>
      <c r="U204" s="140">
        <f t="shared" si="45"/>
        <v>0</v>
      </c>
      <c r="V204" s="140" t="str">
        <f t="array" ref="V204">IFERROR(INDEX(T041_ClassFeatures!$B$2:$B$556,MATCH('C01_BaseCalculation'!Q204&amp;INDEX('C03_ClassVariables'!$O$4:$O$9,MATCH(INDEX($L$160:$L$239,MATCH(Q204,$N$160:$N$239,0),1),'C03_ClassVariables'!$M$4:$M$9,0),1),T041_ClassFeatures!$S$2:$S$556&amp;T041_ClassFeatures!$R$2:$R$556,0),1),"")</f>
        <v/>
      </c>
      <c r="W204" s="140" t="str">
        <f t="shared" si="46"/>
        <v/>
      </c>
      <c r="X204" s="140" t="str">
        <f>IFERROR(INDEX(T041_ClassFeatures!$C$2:$C$546,MATCH('C01_BaseCalculation'!W204,T041_ClassFeatures!$B$2:$B$546,0),1),"")</f>
        <v/>
      </c>
      <c r="Y204" s="140" t="str">
        <f>IFERROR(INDEX(T041_ClassFeatures!$F$2:$F$546,MATCH('C01_BaseCalculation'!W204,T041_ClassFeatures!$B$2:$B$546,0),1),"")</f>
        <v/>
      </c>
      <c r="Z204" s="140" t="str">
        <f t="shared" si="47"/>
        <v/>
      </c>
      <c r="AA204" s="167">
        <v>1</v>
      </c>
      <c r="AB204" s="140" t="str">
        <f t="shared" si="48"/>
        <v/>
      </c>
      <c r="AC204" s="140" t="str">
        <f t="shared" si="49"/>
        <v/>
      </c>
      <c r="AD204" s="140">
        <f>IF(AA204=0,0,COUNTIF(AD$160:$AD203,"&gt;0")+1)</f>
        <v>37</v>
      </c>
      <c r="AH204" s="608"/>
      <c r="AI204" s="608"/>
      <c r="AJ204" s="607">
        <f>MonkElementalDiscipline5</f>
        <v>0</v>
      </c>
      <c r="AK204" s="140" t="str">
        <f t="shared" si="39"/>
        <v/>
      </c>
    </row>
    <row r="205" spans="11:37" x14ac:dyDescent="0.3">
      <c r="K205" s="140">
        <f>K204</f>
        <v>12</v>
      </c>
      <c r="L205" s="140" t="str">
        <f t="shared" si="40"/>
        <v>Wizard</v>
      </c>
      <c r="M205" s="140">
        <v>46</v>
      </c>
      <c r="N205" s="140">
        <f t="shared" si="41"/>
        <v>0</v>
      </c>
      <c r="O205" s="231">
        <f t="shared" si="42"/>
        <v>0</v>
      </c>
      <c r="P205" s="231">
        <f>IF(O205=0,0,COUNTIF(P$160:$P204,"&gt;0")+1)</f>
        <v>0</v>
      </c>
      <c r="Q205" s="140" t="str">
        <f t="shared" si="43"/>
        <v/>
      </c>
      <c r="R205" s="140" t="str">
        <f t="shared" si="44"/>
        <v/>
      </c>
      <c r="S205" s="140" t="str">
        <f>IFERROR(INDEX(T041_ClassFeatures!$U$2:$U$343,MATCH('C01_BaseCalculation'!$Q205,T041_ClassFeatures!$B$2:$B$343,0),1),"")</f>
        <v/>
      </c>
      <c r="T205" s="140" t="str">
        <f>IFERROR(INDEX(T041_ClassFeatures!$U$2:$U$343,MATCH('C01_BaseCalculation'!$Q205,T041_ClassFeatures!$B$2:$B$343,0),1),"")</f>
        <v/>
      </c>
      <c r="U205" s="140">
        <f t="shared" si="45"/>
        <v>0</v>
      </c>
      <c r="V205" s="140" t="str">
        <f t="array" ref="V205">IFERROR(INDEX(T041_ClassFeatures!$B$2:$B$556,MATCH('C01_BaseCalculation'!Q205&amp;INDEX('C03_ClassVariables'!$O$4:$O$9,MATCH(INDEX($L$160:$L$239,MATCH(Q205,$N$160:$N$239,0),1),'C03_ClassVariables'!$M$4:$M$9,0),1),T041_ClassFeatures!$S$2:$S$556&amp;T041_ClassFeatures!$R$2:$R$556,0),1),"")</f>
        <v/>
      </c>
      <c r="W205" s="140" t="str">
        <f t="shared" si="46"/>
        <v/>
      </c>
      <c r="X205" s="140" t="str">
        <f>IFERROR(INDEX(T041_ClassFeatures!$C$2:$C$546,MATCH('C01_BaseCalculation'!W205,T041_ClassFeatures!$B$2:$B$546,0),1),"")</f>
        <v/>
      </c>
      <c r="Y205" s="140" t="str">
        <f>IFERROR(INDEX(T041_ClassFeatures!$F$2:$F$546,MATCH('C01_BaseCalculation'!W205,T041_ClassFeatures!$B$2:$B$546,0),1),"")</f>
        <v/>
      </c>
      <c r="Z205" s="140" t="str">
        <f t="shared" si="47"/>
        <v/>
      </c>
      <c r="AA205" s="167">
        <v>1</v>
      </c>
      <c r="AB205" s="140" t="str">
        <f t="shared" si="48"/>
        <v/>
      </c>
      <c r="AC205" s="140" t="str">
        <f t="shared" si="49"/>
        <v/>
      </c>
      <c r="AD205" s="140">
        <f>IF(AA205=0,0,COUNTIF(AD$160:$AD204,"&gt;0")+1)</f>
        <v>38</v>
      </c>
    </row>
    <row r="206" spans="11:37" x14ac:dyDescent="0.3">
      <c r="K206" s="140">
        <f>K205</f>
        <v>12</v>
      </c>
      <c r="L206" s="140" t="str">
        <f t="shared" si="40"/>
        <v>Wizard</v>
      </c>
      <c r="M206" s="140">
        <v>47</v>
      </c>
      <c r="N206" s="140" t="str">
        <f t="shared" si="41"/>
        <v/>
      </c>
      <c r="O206" s="231">
        <f t="shared" si="42"/>
        <v>0</v>
      </c>
      <c r="P206" s="231">
        <f>IF(O206=0,0,COUNTIF(P$160:$P205,"&gt;0")+1)</f>
        <v>0</v>
      </c>
      <c r="Q206" s="140" t="str">
        <f t="shared" si="43"/>
        <v/>
      </c>
      <c r="R206" s="140" t="str">
        <f t="shared" si="44"/>
        <v/>
      </c>
      <c r="S206" s="140" t="str">
        <f>IFERROR(INDEX(T041_ClassFeatures!$U$2:$U$343,MATCH('C01_BaseCalculation'!$Q206,T041_ClassFeatures!$B$2:$B$343,0),1),"")</f>
        <v/>
      </c>
      <c r="T206" s="140" t="str">
        <f>IFERROR(INDEX(T041_ClassFeatures!$U$2:$U$343,MATCH('C01_BaseCalculation'!$Q206,T041_ClassFeatures!$B$2:$B$343,0),1),"")</f>
        <v/>
      </c>
      <c r="U206" s="140">
        <f t="shared" si="45"/>
        <v>0</v>
      </c>
      <c r="V206" s="140" t="str">
        <f t="array" ref="V206">IFERROR(INDEX(T041_ClassFeatures!$B$2:$B$556,MATCH('C01_BaseCalculation'!Q206&amp;INDEX('C03_ClassVariables'!$O$4:$O$9,MATCH(INDEX($L$160:$L$239,MATCH(Q206,$N$160:$N$239,0),1),'C03_ClassVariables'!$M$4:$M$9,0),1),T041_ClassFeatures!$S$2:$S$556&amp;T041_ClassFeatures!$R$2:$R$556,0),1),"")</f>
        <v/>
      </c>
      <c r="W206" s="140" t="str">
        <f t="shared" si="46"/>
        <v/>
      </c>
      <c r="X206" s="140" t="str">
        <f>IFERROR(INDEX(T041_ClassFeatures!$C$2:$C$546,MATCH('C01_BaseCalculation'!W206,T041_ClassFeatures!$B$2:$B$546,0),1),"")</f>
        <v/>
      </c>
      <c r="Y206" s="140" t="str">
        <f>IFERROR(INDEX(T041_ClassFeatures!$F$2:$F$546,MATCH('C01_BaseCalculation'!W206,T041_ClassFeatures!$B$2:$B$546,0),1),"")</f>
        <v/>
      </c>
      <c r="Z206" s="140" t="str">
        <f t="shared" si="47"/>
        <v/>
      </c>
      <c r="AA206" s="167">
        <v>1</v>
      </c>
      <c r="AB206" s="140" t="str">
        <f t="shared" si="48"/>
        <v/>
      </c>
      <c r="AC206" s="140" t="str">
        <f t="shared" si="49"/>
        <v/>
      </c>
      <c r="AD206" s="140">
        <f>IF(AA206=0,0,COUNTIF(AD$160:$AD205,"&gt;0")+1)</f>
        <v>39</v>
      </c>
    </row>
    <row r="207" spans="11:37" x14ac:dyDescent="0.3">
      <c r="K207" s="140">
        <f>K206</f>
        <v>12</v>
      </c>
      <c r="L207" s="140" t="str">
        <f t="shared" si="40"/>
        <v>Wizard</v>
      </c>
      <c r="M207" s="140">
        <v>48</v>
      </c>
      <c r="N207" s="140" t="str">
        <f t="shared" si="41"/>
        <v/>
      </c>
      <c r="O207" s="231">
        <f t="shared" si="42"/>
        <v>0</v>
      </c>
      <c r="P207" s="231">
        <f>IF(O207=0,0,COUNTIF(P$160:$P206,"&gt;0")+1)</f>
        <v>0</v>
      </c>
      <c r="Q207" s="140" t="str">
        <f t="shared" si="43"/>
        <v/>
      </c>
      <c r="R207" s="140" t="str">
        <f t="shared" si="44"/>
        <v/>
      </c>
      <c r="S207" s="140" t="str">
        <f>IFERROR(INDEX(T041_ClassFeatures!$U$2:$U$343,MATCH('C01_BaseCalculation'!$Q207,T041_ClassFeatures!$B$2:$B$343,0),1),"")</f>
        <v/>
      </c>
      <c r="T207" s="140" t="str">
        <f>IFERROR(INDEX(T041_ClassFeatures!$U$2:$U$343,MATCH('C01_BaseCalculation'!$Q207,T041_ClassFeatures!$B$2:$B$343,0),1),"")</f>
        <v/>
      </c>
      <c r="U207" s="140">
        <f t="shared" si="45"/>
        <v>0</v>
      </c>
      <c r="V207" s="140" t="str">
        <f t="array" ref="V207">IFERROR(INDEX(T041_ClassFeatures!$B$2:$B$556,MATCH('C01_BaseCalculation'!Q207&amp;INDEX('C03_ClassVariables'!$O$4:$O$9,MATCH(INDEX($L$160:$L$239,MATCH(Q207,$N$160:$N$239,0),1),'C03_ClassVariables'!$M$4:$M$9,0),1),T041_ClassFeatures!$S$2:$S$556&amp;T041_ClassFeatures!$R$2:$R$556,0),1),"")</f>
        <v/>
      </c>
      <c r="W207" s="140" t="str">
        <f t="shared" si="46"/>
        <v/>
      </c>
      <c r="X207" s="140" t="str">
        <f>IFERROR(INDEX(T041_ClassFeatures!$C$2:$C$546,MATCH('C01_BaseCalculation'!W207,T041_ClassFeatures!$B$2:$B$546,0),1),"")</f>
        <v/>
      </c>
      <c r="Y207" s="140" t="str">
        <f>IFERROR(INDEX(T041_ClassFeatures!$F$2:$F$546,MATCH('C01_BaseCalculation'!W207,T041_ClassFeatures!$B$2:$B$546,0),1),"")</f>
        <v/>
      </c>
      <c r="Z207" s="140" t="str">
        <f t="shared" si="47"/>
        <v/>
      </c>
      <c r="AA207" s="167">
        <v>1</v>
      </c>
      <c r="AB207" s="140" t="str">
        <f t="shared" si="48"/>
        <v/>
      </c>
      <c r="AC207" s="140" t="str">
        <f t="shared" si="49"/>
        <v/>
      </c>
      <c r="AD207" s="140">
        <f>IF(AA207=0,0,COUNTIF(AD$160:$AD206,"&gt;0")+1)</f>
        <v>40</v>
      </c>
    </row>
    <row r="208" spans="11:37" x14ac:dyDescent="0.3">
      <c r="K208" s="140">
        <f>K207+1</f>
        <v>13</v>
      </c>
      <c r="L208" s="140" t="str">
        <f t="shared" si="40"/>
        <v>Fighter</v>
      </c>
      <c r="M208" s="140">
        <v>49</v>
      </c>
      <c r="N208" s="140" t="str">
        <f t="shared" si="41"/>
        <v>Extra Attack</v>
      </c>
      <c r="O208" s="231">
        <f t="shared" si="42"/>
        <v>1</v>
      </c>
      <c r="P208" s="231">
        <f>IF(O208=0,0,COUNTIF(P$160:$P207,"&gt;0")+1)</f>
        <v>14</v>
      </c>
      <c r="Q208" s="140" t="str">
        <f t="shared" si="43"/>
        <v/>
      </c>
      <c r="R208" s="140" t="str">
        <f t="shared" si="44"/>
        <v/>
      </c>
      <c r="S208" s="140" t="str">
        <f>IFERROR(INDEX(T041_ClassFeatures!$U$2:$U$343,MATCH('C01_BaseCalculation'!$Q208,T041_ClassFeatures!$B$2:$B$343,0),1),"")</f>
        <v/>
      </c>
      <c r="T208" s="140" t="str">
        <f>IFERROR(INDEX(T041_ClassFeatures!$U$2:$U$343,MATCH('C01_BaseCalculation'!$Q208,T041_ClassFeatures!$B$2:$B$343,0),1),"")</f>
        <v/>
      </c>
      <c r="U208" s="140">
        <f t="shared" si="45"/>
        <v>0</v>
      </c>
      <c r="V208" s="140" t="str">
        <f t="array" ref="V208">IFERROR(INDEX(T041_ClassFeatures!$B$2:$B$556,MATCH('C01_BaseCalculation'!Q208&amp;INDEX('C03_ClassVariables'!$O$4:$O$9,MATCH(INDEX($L$160:$L$239,MATCH(Q208,$N$160:$N$239,0),1),'C03_ClassVariables'!$M$4:$M$9,0),1),T041_ClassFeatures!$S$2:$S$556&amp;T041_ClassFeatures!$R$2:$R$556,0),1),"")</f>
        <v/>
      </c>
      <c r="W208" s="140" t="str">
        <f t="shared" si="46"/>
        <v/>
      </c>
      <c r="X208" s="140" t="str">
        <f>IFERROR(INDEX(T041_ClassFeatures!$C$2:$C$546,MATCH('C01_BaseCalculation'!W208,T041_ClassFeatures!$B$2:$B$546,0),1),"")</f>
        <v/>
      </c>
      <c r="Y208" s="140" t="str">
        <f>IFERROR(INDEX(T041_ClassFeatures!$F$2:$F$546,MATCH('C01_BaseCalculation'!W208,T041_ClassFeatures!$B$2:$B$546,0),1),"")</f>
        <v/>
      </c>
      <c r="Z208" s="140" t="str">
        <f t="shared" si="47"/>
        <v/>
      </c>
      <c r="AA208" s="167">
        <v>1</v>
      </c>
      <c r="AB208" s="140" t="str">
        <f t="shared" si="48"/>
        <v/>
      </c>
      <c r="AC208" s="140" t="str">
        <f t="shared" si="49"/>
        <v/>
      </c>
      <c r="AD208" s="140">
        <f>IF(AA208=0,0,COUNTIF(AD$160:$AD207,"&gt;0")+1)</f>
        <v>41</v>
      </c>
    </row>
    <row r="209" spans="11:30" x14ac:dyDescent="0.3">
      <c r="K209" s="140">
        <f>K208</f>
        <v>13</v>
      </c>
      <c r="L209" s="140" t="str">
        <f t="shared" si="40"/>
        <v>Fighter</v>
      </c>
      <c r="M209" s="140">
        <v>50</v>
      </c>
      <c r="N209" s="140">
        <f t="shared" si="41"/>
        <v>0</v>
      </c>
      <c r="O209" s="231">
        <f t="shared" si="42"/>
        <v>0</v>
      </c>
      <c r="P209" s="231">
        <f>IF(O209=0,0,COUNTIF(P$160:$P208,"&gt;0")+1)</f>
        <v>0</v>
      </c>
      <c r="Q209" s="140" t="str">
        <f t="shared" si="43"/>
        <v/>
      </c>
      <c r="R209" s="140" t="str">
        <f t="shared" si="44"/>
        <v/>
      </c>
      <c r="S209" s="140" t="str">
        <f>IFERROR(INDEX(T041_ClassFeatures!$U$2:$U$343,MATCH('C01_BaseCalculation'!$Q209,T041_ClassFeatures!$B$2:$B$343,0),1),"")</f>
        <v/>
      </c>
      <c r="T209" s="140" t="str">
        <f>IFERROR(INDEX(T041_ClassFeatures!$U$2:$U$343,MATCH('C01_BaseCalculation'!$Q209,T041_ClassFeatures!$B$2:$B$343,0),1),"")</f>
        <v/>
      </c>
      <c r="U209" s="140">
        <f t="shared" si="45"/>
        <v>0</v>
      </c>
      <c r="V209" s="140" t="str">
        <f t="array" ref="V209">IFERROR(INDEX(T041_ClassFeatures!$B$2:$B$556,MATCH('C01_BaseCalculation'!Q209&amp;INDEX('C03_ClassVariables'!$O$4:$O$9,MATCH(INDEX($L$160:$L$239,MATCH(Q209,$N$160:$N$239,0),1),'C03_ClassVariables'!$M$4:$M$9,0),1),T041_ClassFeatures!$S$2:$S$556&amp;T041_ClassFeatures!$R$2:$R$556,0),1),"")</f>
        <v/>
      </c>
      <c r="W209" s="140" t="str">
        <f t="shared" si="46"/>
        <v/>
      </c>
      <c r="X209" s="140" t="str">
        <f>IFERROR(INDEX(T041_ClassFeatures!$C$2:$C$546,MATCH('C01_BaseCalculation'!W209,T041_ClassFeatures!$B$2:$B$546,0),1),"")</f>
        <v/>
      </c>
      <c r="Y209" s="140" t="str">
        <f>IFERROR(INDEX(T041_ClassFeatures!$F$2:$F$546,MATCH('C01_BaseCalculation'!W209,T041_ClassFeatures!$B$2:$B$546,0),1),"")</f>
        <v/>
      </c>
      <c r="Z209" s="140" t="str">
        <f t="shared" si="47"/>
        <v/>
      </c>
      <c r="AA209" s="167">
        <v>1</v>
      </c>
      <c r="AB209" s="140" t="str">
        <f t="shared" si="48"/>
        <v/>
      </c>
      <c r="AC209" s="140" t="str">
        <f t="shared" si="49"/>
        <v/>
      </c>
      <c r="AD209" s="140">
        <f>IF(AA209=0,0,COUNTIF(AD$160:$AD208,"&gt;0")+1)</f>
        <v>42</v>
      </c>
    </row>
    <row r="210" spans="11:30" x14ac:dyDescent="0.3">
      <c r="K210" s="140">
        <f>K209</f>
        <v>13</v>
      </c>
      <c r="L210" s="140" t="str">
        <f t="shared" si="40"/>
        <v>Fighter</v>
      </c>
      <c r="M210" s="140">
        <v>51</v>
      </c>
      <c r="N210" s="140" t="str">
        <f t="shared" si="41"/>
        <v/>
      </c>
      <c r="O210" s="231">
        <f t="shared" si="42"/>
        <v>0</v>
      </c>
      <c r="P210" s="231">
        <f>IF(O210=0,0,COUNTIF(P$160:$P209,"&gt;0")+1)</f>
        <v>0</v>
      </c>
      <c r="Q210" s="140" t="str">
        <f t="shared" si="43"/>
        <v/>
      </c>
      <c r="R210" s="140" t="str">
        <f t="shared" si="44"/>
        <v/>
      </c>
      <c r="S210" s="140" t="str">
        <f>IFERROR(INDEX(T041_ClassFeatures!$U$2:$U$343,MATCH('C01_BaseCalculation'!$Q210,T041_ClassFeatures!$B$2:$B$343,0),1),"")</f>
        <v/>
      </c>
      <c r="T210" s="140" t="str">
        <f>IFERROR(INDEX(T041_ClassFeatures!$U$2:$U$343,MATCH('C01_BaseCalculation'!$Q210,T041_ClassFeatures!$B$2:$B$343,0),1),"")</f>
        <v/>
      </c>
      <c r="U210" s="140">
        <f t="shared" si="45"/>
        <v>0</v>
      </c>
      <c r="V210" s="140" t="str">
        <f t="array" ref="V210">IFERROR(INDEX(T041_ClassFeatures!$B$2:$B$556,MATCH('C01_BaseCalculation'!Q210&amp;INDEX('C03_ClassVariables'!$O$4:$O$9,MATCH(INDEX($L$160:$L$239,MATCH(Q210,$N$160:$N$239,0),1),'C03_ClassVariables'!$M$4:$M$9,0),1),T041_ClassFeatures!$S$2:$S$556&amp;T041_ClassFeatures!$R$2:$R$556,0),1),"")</f>
        <v/>
      </c>
      <c r="W210" s="140" t="str">
        <f t="shared" si="46"/>
        <v/>
      </c>
      <c r="X210" s="140" t="str">
        <f>IFERROR(INDEX(T041_ClassFeatures!$C$2:$C$546,MATCH('C01_BaseCalculation'!W210,T041_ClassFeatures!$B$2:$B$546,0),1),"")</f>
        <v/>
      </c>
      <c r="Y210" s="140" t="str">
        <f>IFERROR(INDEX(T041_ClassFeatures!$F$2:$F$546,MATCH('C01_BaseCalculation'!W210,T041_ClassFeatures!$B$2:$B$546,0),1),"")</f>
        <v/>
      </c>
      <c r="Z210" s="140" t="str">
        <f t="shared" si="47"/>
        <v/>
      </c>
      <c r="AA210" s="167">
        <v>1</v>
      </c>
      <c r="AB210" s="140" t="str">
        <f t="shared" si="48"/>
        <v/>
      </c>
      <c r="AC210" s="140" t="str">
        <f t="shared" si="49"/>
        <v/>
      </c>
      <c r="AD210" s="140">
        <f>IF(AA210=0,0,COUNTIF(AD$160:$AD209,"&gt;0")+1)</f>
        <v>43</v>
      </c>
    </row>
    <row r="211" spans="11:30" x14ac:dyDescent="0.3">
      <c r="K211" s="140">
        <f>K210</f>
        <v>13</v>
      </c>
      <c r="L211" s="140" t="str">
        <f t="shared" si="40"/>
        <v>Fighter</v>
      </c>
      <c r="M211" s="140">
        <v>52</v>
      </c>
      <c r="N211" s="140" t="str">
        <f t="shared" si="41"/>
        <v/>
      </c>
      <c r="O211" s="231">
        <f t="shared" si="42"/>
        <v>0</v>
      </c>
      <c r="P211" s="231">
        <f>IF(O211=0,0,COUNTIF(P$160:$P210,"&gt;0")+1)</f>
        <v>0</v>
      </c>
      <c r="Q211" s="140" t="str">
        <f t="shared" si="43"/>
        <v/>
      </c>
      <c r="R211" s="140" t="str">
        <f t="shared" si="44"/>
        <v/>
      </c>
      <c r="S211" s="140" t="str">
        <f>IFERROR(INDEX(T041_ClassFeatures!$U$2:$U$343,MATCH('C01_BaseCalculation'!$Q211,T041_ClassFeatures!$B$2:$B$343,0),1),"")</f>
        <v/>
      </c>
      <c r="T211" s="140" t="str">
        <f>IFERROR(INDEX(T041_ClassFeatures!$U$2:$U$343,MATCH('C01_BaseCalculation'!$Q211,T041_ClassFeatures!$B$2:$B$343,0),1),"")</f>
        <v/>
      </c>
      <c r="U211" s="140">
        <f t="shared" si="45"/>
        <v>0</v>
      </c>
      <c r="V211" s="140" t="str">
        <f t="array" ref="V211">IFERROR(INDEX(T041_ClassFeatures!$B$2:$B$556,MATCH('C01_BaseCalculation'!Q211&amp;INDEX('C03_ClassVariables'!$O$4:$O$9,MATCH(INDEX($L$160:$L$239,MATCH(Q211,$N$160:$N$239,0),1),'C03_ClassVariables'!$M$4:$M$9,0),1),T041_ClassFeatures!$S$2:$S$556&amp;T041_ClassFeatures!$R$2:$R$556,0),1),"")</f>
        <v/>
      </c>
      <c r="W211" s="140" t="str">
        <f t="shared" si="46"/>
        <v/>
      </c>
      <c r="X211" s="140" t="str">
        <f>IFERROR(INDEX(T041_ClassFeatures!$C$2:$C$546,MATCH('C01_BaseCalculation'!W211,T041_ClassFeatures!$B$2:$B$546,0),1),"")</f>
        <v/>
      </c>
      <c r="Y211" s="140" t="str">
        <f>IFERROR(INDEX(T041_ClassFeatures!$F$2:$F$546,MATCH('C01_BaseCalculation'!W211,T041_ClassFeatures!$B$2:$B$546,0),1),"")</f>
        <v/>
      </c>
      <c r="Z211" s="140" t="str">
        <f t="shared" si="47"/>
        <v/>
      </c>
      <c r="AA211" s="167">
        <v>1</v>
      </c>
      <c r="AB211" s="140" t="str">
        <f t="shared" si="48"/>
        <v/>
      </c>
      <c r="AC211" s="140" t="str">
        <f t="shared" si="49"/>
        <v/>
      </c>
      <c r="AD211" s="140">
        <f>IF(AA211=0,0,COUNTIF(AD$160:$AD210,"&gt;0")+1)</f>
        <v>44</v>
      </c>
    </row>
    <row r="212" spans="11:30" x14ac:dyDescent="0.3">
      <c r="K212" s="140">
        <f>K211+1</f>
        <v>14</v>
      </c>
      <c r="L212" s="140" t="str">
        <f t="shared" si="40"/>
        <v>Fighter</v>
      </c>
      <c r="M212" s="140">
        <v>53</v>
      </c>
      <c r="N212" s="140" t="str">
        <f t="shared" si="41"/>
        <v>Ability Score Improvement</v>
      </c>
      <c r="O212" s="231">
        <f t="shared" si="42"/>
        <v>1</v>
      </c>
      <c r="P212" s="231">
        <f>IF(O212=0,0,COUNTIF(P$160:$P211,"&gt;0")+1)</f>
        <v>15</v>
      </c>
      <c r="Q212" s="140" t="str">
        <f t="shared" si="43"/>
        <v/>
      </c>
      <c r="R212" s="140" t="str">
        <f t="shared" si="44"/>
        <v/>
      </c>
      <c r="S212" s="140" t="str">
        <f>IFERROR(INDEX(T041_ClassFeatures!$U$2:$U$343,MATCH('C01_BaseCalculation'!$Q212,T041_ClassFeatures!$B$2:$B$343,0),1),"")</f>
        <v/>
      </c>
      <c r="T212" s="140" t="str">
        <f>IFERROR(INDEX(T041_ClassFeatures!$U$2:$U$343,MATCH('C01_BaseCalculation'!$Q212,T041_ClassFeatures!$B$2:$B$343,0),1),"")</f>
        <v/>
      </c>
      <c r="U212" s="140">
        <f t="shared" si="45"/>
        <v>0</v>
      </c>
      <c r="V212" s="140" t="str">
        <f t="array" ref="V212">IFERROR(INDEX(T041_ClassFeatures!$B$2:$B$556,MATCH('C01_BaseCalculation'!Q212&amp;INDEX('C03_ClassVariables'!$O$4:$O$9,MATCH(INDEX($L$160:$L$239,MATCH(Q212,$N$160:$N$239,0),1),'C03_ClassVariables'!$M$4:$M$9,0),1),T041_ClassFeatures!$S$2:$S$556&amp;T041_ClassFeatures!$R$2:$R$556,0),1),"")</f>
        <v/>
      </c>
      <c r="W212" s="140" t="str">
        <f t="shared" si="46"/>
        <v/>
      </c>
      <c r="X212" s="140" t="str">
        <f>IFERROR(INDEX(T041_ClassFeatures!$C$2:$C$546,MATCH('C01_BaseCalculation'!W212,T041_ClassFeatures!$B$2:$B$546,0),1),"")</f>
        <v/>
      </c>
      <c r="Y212" s="140" t="str">
        <f>IFERROR(INDEX(T041_ClassFeatures!$F$2:$F$546,MATCH('C01_BaseCalculation'!W212,T041_ClassFeatures!$B$2:$B$546,0),1),"")</f>
        <v/>
      </c>
      <c r="Z212" s="140" t="str">
        <f t="shared" si="47"/>
        <v/>
      </c>
      <c r="AA212" s="167">
        <v>1</v>
      </c>
      <c r="AB212" s="140" t="str">
        <f t="shared" si="48"/>
        <v/>
      </c>
      <c r="AC212" s="140" t="str">
        <f t="shared" si="49"/>
        <v/>
      </c>
      <c r="AD212" s="140">
        <f>IF(AA212=0,0,COUNTIF(AD$160:$AD211,"&gt;0")+1)</f>
        <v>45</v>
      </c>
    </row>
    <row r="213" spans="11:30" x14ac:dyDescent="0.3">
      <c r="K213" s="140">
        <f>K212</f>
        <v>14</v>
      </c>
      <c r="L213" s="140" t="str">
        <f t="shared" si="40"/>
        <v>Fighter</v>
      </c>
      <c r="M213" s="140">
        <v>54</v>
      </c>
      <c r="N213" s="140">
        <f t="shared" si="41"/>
        <v>0</v>
      </c>
      <c r="O213" s="231">
        <f t="shared" si="42"/>
        <v>0</v>
      </c>
      <c r="P213" s="231">
        <f>IF(O213=0,0,COUNTIF(P$160:$P212,"&gt;0")+1)</f>
        <v>0</v>
      </c>
      <c r="Q213" s="140" t="str">
        <f t="shared" si="43"/>
        <v/>
      </c>
      <c r="R213" s="140" t="str">
        <f t="shared" si="44"/>
        <v/>
      </c>
      <c r="S213" s="140" t="str">
        <f>IFERROR(INDEX(T041_ClassFeatures!$U$2:$U$343,MATCH('C01_BaseCalculation'!$Q213,T041_ClassFeatures!$B$2:$B$343,0),1),"")</f>
        <v/>
      </c>
      <c r="T213" s="140" t="str">
        <f>IFERROR(INDEX(T041_ClassFeatures!$U$2:$U$343,MATCH('C01_BaseCalculation'!$Q213,T041_ClassFeatures!$B$2:$B$343,0),1),"")</f>
        <v/>
      </c>
      <c r="U213" s="140">
        <f t="shared" si="45"/>
        <v>0</v>
      </c>
      <c r="V213" s="140" t="str">
        <f t="array" ref="V213">IFERROR(INDEX(T041_ClassFeatures!$B$2:$B$556,MATCH('C01_BaseCalculation'!Q213&amp;INDEX('C03_ClassVariables'!$O$4:$O$9,MATCH(INDEX($L$160:$L$239,MATCH(Q213,$N$160:$N$239,0),1),'C03_ClassVariables'!$M$4:$M$9,0),1),T041_ClassFeatures!$S$2:$S$556&amp;T041_ClassFeatures!$R$2:$R$556,0),1),"")</f>
        <v/>
      </c>
      <c r="W213" s="140" t="str">
        <f t="shared" si="46"/>
        <v/>
      </c>
      <c r="X213" s="140" t="str">
        <f>IFERROR(INDEX(T041_ClassFeatures!$C$2:$C$546,MATCH('C01_BaseCalculation'!W213,T041_ClassFeatures!$B$2:$B$546,0),1),"")</f>
        <v/>
      </c>
      <c r="Y213" s="140" t="str">
        <f>IFERROR(INDEX(T041_ClassFeatures!$F$2:$F$546,MATCH('C01_BaseCalculation'!W213,T041_ClassFeatures!$B$2:$B$546,0),1),"")</f>
        <v/>
      </c>
      <c r="Z213" s="140" t="str">
        <f t="shared" si="47"/>
        <v/>
      </c>
      <c r="AA213" s="167">
        <v>1</v>
      </c>
      <c r="AB213" s="140" t="str">
        <f t="shared" si="48"/>
        <v/>
      </c>
      <c r="AC213" s="140" t="str">
        <f t="shared" si="49"/>
        <v/>
      </c>
      <c r="AD213" s="140">
        <f>IF(AA213=0,0,COUNTIF(AD$160:$AD212,"&gt;0")+1)</f>
        <v>46</v>
      </c>
    </row>
    <row r="214" spans="11:30" x14ac:dyDescent="0.3">
      <c r="K214" s="140">
        <f>K213</f>
        <v>14</v>
      </c>
      <c r="L214" s="140" t="str">
        <f t="shared" si="40"/>
        <v>Fighter</v>
      </c>
      <c r="M214" s="140">
        <v>55</v>
      </c>
      <c r="N214" s="140" t="str">
        <f t="shared" si="41"/>
        <v/>
      </c>
      <c r="O214" s="231">
        <f t="shared" si="42"/>
        <v>0</v>
      </c>
      <c r="P214" s="231">
        <f>IF(O214=0,0,COUNTIF(P$160:$P213,"&gt;0")+1)</f>
        <v>0</v>
      </c>
      <c r="Q214" s="140" t="str">
        <f t="shared" si="43"/>
        <v/>
      </c>
      <c r="R214" s="140" t="str">
        <f t="shared" si="44"/>
        <v/>
      </c>
      <c r="S214" s="140" t="str">
        <f>IFERROR(INDEX(T041_ClassFeatures!$U$2:$U$343,MATCH('C01_BaseCalculation'!$Q214,T041_ClassFeatures!$B$2:$B$343,0),1),"")</f>
        <v/>
      </c>
      <c r="T214" s="140" t="str">
        <f>IFERROR(INDEX(T041_ClassFeatures!$U$2:$U$343,MATCH('C01_BaseCalculation'!$Q214,T041_ClassFeatures!$B$2:$B$343,0),1),"")</f>
        <v/>
      </c>
      <c r="U214" s="140">
        <f t="shared" si="45"/>
        <v>0</v>
      </c>
      <c r="V214" s="140" t="str">
        <f t="array" ref="V214">IFERROR(INDEX(T041_ClassFeatures!$B$2:$B$556,MATCH('C01_BaseCalculation'!Q214&amp;INDEX('C03_ClassVariables'!$O$4:$O$9,MATCH(INDEX($L$160:$L$239,MATCH(Q214,$N$160:$N$239,0),1),'C03_ClassVariables'!$M$4:$M$9,0),1),T041_ClassFeatures!$S$2:$S$556&amp;T041_ClassFeatures!$R$2:$R$556,0),1),"")</f>
        <v/>
      </c>
      <c r="W214" s="140" t="str">
        <f t="shared" si="46"/>
        <v/>
      </c>
      <c r="X214" s="140" t="str">
        <f>IFERROR(INDEX(T041_ClassFeatures!$C$2:$C$546,MATCH('C01_BaseCalculation'!W214,T041_ClassFeatures!$B$2:$B$546,0),1),"")</f>
        <v/>
      </c>
      <c r="Y214" s="140" t="str">
        <f>IFERROR(INDEX(T041_ClassFeatures!$F$2:$F$546,MATCH('C01_BaseCalculation'!W214,T041_ClassFeatures!$B$2:$B$546,0),1),"")</f>
        <v/>
      </c>
      <c r="Z214" s="140" t="str">
        <f t="shared" si="47"/>
        <v/>
      </c>
      <c r="AA214" s="167">
        <v>1</v>
      </c>
      <c r="AB214" s="140" t="str">
        <f t="shared" si="48"/>
        <v/>
      </c>
      <c r="AC214" s="140" t="str">
        <f t="shared" si="49"/>
        <v/>
      </c>
      <c r="AD214" s="140">
        <f>IF(AA214=0,0,COUNTIF(AD$160:$AD213,"&gt;0")+1)</f>
        <v>47</v>
      </c>
    </row>
    <row r="215" spans="11:30" x14ac:dyDescent="0.3">
      <c r="K215" s="140">
        <f>K214</f>
        <v>14</v>
      </c>
      <c r="L215" s="140" t="str">
        <f t="shared" si="40"/>
        <v>Fighter</v>
      </c>
      <c r="M215" s="140">
        <v>56</v>
      </c>
      <c r="N215" s="140" t="str">
        <f t="shared" si="41"/>
        <v/>
      </c>
      <c r="O215" s="231">
        <f t="shared" si="42"/>
        <v>0</v>
      </c>
      <c r="P215" s="231">
        <f>IF(O215=0,0,COUNTIF(P$160:$P214,"&gt;0")+1)</f>
        <v>0</v>
      </c>
      <c r="Q215" s="140" t="str">
        <f t="shared" si="43"/>
        <v/>
      </c>
      <c r="R215" s="140" t="str">
        <f t="shared" si="44"/>
        <v/>
      </c>
      <c r="S215" s="140" t="str">
        <f>IFERROR(INDEX(T041_ClassFeatures!$U$2:$U$343,MATCH('C01_BaseCalculation'!$Q215,T041_ClassFeatures!$B$2:$B$343,0),1),"")</f>
        <v/>
      </c>
      <c r="T215" s="140" t="str">
        <f>IFERROR(INDEX(T041_ClassFeatures!$U$2:$U$343,MATCH('C01_BaseCalculation'!$Q215,T041_ClassFeatures!$B$2:$B$343,0),1),"")</f>
        <v/>
      </c>
      <c r="U215" s="140">
        <f t="shared" si="45"/>
        <v>0</v>
      </c>
      <c r="V215" s="140" t="str">
        <f t="array" ref="V215">IFERROR(INDEX(T041_ClassFeatures!$B$2:$B$556,MATCH('C01_BaseCalculation'!Q215&amp;INDEX('C03_ClassVariables'!$O$4:$O$9,MATCH(INDEX($L$160:$L$239,MATCH(Q215,$N$160:$N$239,0),1),'C03_ClassVariables'!$M$4:$M$9,0),1),T041_ClassFeatures!$S$2:$S$556&amp;T041_ClassFeatures!$R$2:$R$556,0),1),"")</f>
        <v/>
      </c>
      <c r="W215" s="140" t="str">
        <f t="shared" si="46"/>
        <v/>
      </c>
      <c r="X215" s="140" t="str">
        <f>IFERROR(INDEX(T041_ClassFeatures!$C$2:$C$546,MATCH('C01_BaseCalculation'!W215,T041_ClassFeatures!$B$2:$B$546,0),1),"")</f>
        <v/>
      </c>
      <c r="Y215" s="140" t="str">
        <f>IFERROR(INDEX(T041_ClassFeatures!$F$2:$F$546,MATCH('C01_BaseCalculation'!W215,T041_ClassFeatures!$B$2:$B$546,0),1),"")</f>
        <v/>
      </c>
      <c r="Z215" s="140" t="str">
        <f t="shared" si="47"/>
        <v/>
      </c>
      <c r="AA215" s="167">
        <v>1</v>
      </c>
      <c r="AB215" s="140" t="str">
        <f t="shared" si="48"/>
        <v/>
      </c>
      <c r="AC215" s="140" t="str">
        <f t="shared" si="49"/>
        <v/>
      </c>
      <c r="AD215" s="140">
        <f>IF(AA215=0,0,COUNTIF(AD$160:$AD214,"&gt;0")+1)</f>
        <v>48</v>
      </c>
    </row>
    <row r="216" spans="11:30" x14ac:dyDescent="0.3">
      <c r="K216" s="140">
        <f>K215+1</f>
        <v>15</v>
      </c>
      <c r="L216" s="140" t="str">
        <f t="shared" si="40"/>
        <v>Fighter</v>
      </c>
      <c r="M216" s="140">
        <v>57</v>
      </c>
      <c r="N216" s="140" t="str">
        <f t="shared" si="41"/>
        <v>Martial Archetype Feature7</v>
      </c>
      <c r="O216" s="231">
        <f t="shared" si="42"/>
        <v>1</v>
      </c>
      <c r="P216" s="231">
        <f>IF(O216=0,0,COUNTIF(P$160:$P215,"&gt;0")+1)</f>
        <v>16</v>
      </c>
      <c r="Q216" s="140" t="str">
        <f t="shared" si="43"/>
        <v/>
      </c>
      <c r="R216" s="140" t="str">
        <f t="shared" si="44"/>
        <v/>
      </c>
      <c r="S216" s="140" t="str">
        <f>IFERROR(INDEX(T041_ClassFeatures!$U$2:$U$343,MATCH('C01_BaseCalculation'!$Q216,T041_ClassFeatures!$B$2:$B$343,0),1),"")</f>
        <v/>
      </c>
      <c r="T216" s="140" t="str">
        <f>IFERROR(INDEX(T041_ClassFeatures!$U$2:$U$343,MATCH('C01_BaseCalculation'!$Q216,T041_ClassFeatures!$B$2:$B$343,0),1),"")</f>
        <v/>
      </c>
      <c r="U216" s="140">
        <f t="shared" si="45"/>
        <v>0</v>
      </c>
      <c r="V216" s="140" t="str">
        <f t="array" ref="V216">IFERROR(INDEX(T041_ClassFeatures!$B$2:$B$556,MATCH('C01_BaseCalculation'!Q216&amp;INDEX('C03_ClassVariables'!$O$4:$O$9,MATCH(INDEX($L$160:$L$239,MATCH(Q216,$N$160:$N$239,0),1),'C03_ClassVariables'!$M$4:$M$9,0),1),T041_ClassFeatures!$S$2:$S$556&amp;T041_ClassFeatures!$R$2:$R$556,0),1),"")</f>
        <v/>
      </c>
      <c r="W216" s="140" t="str">
        <f t="shared" si="46"/>
        <v/>
      </c>
      <c r="X216" s="140" t="str">
        <f>IFERROR(INDEX(T041_ClassFeatures!$C$2:$C$546,MATCH('C01_BaseCalculation'!W216,T041_ClassFeatures!$B$2:$B$546,0),1),"")</f>
        <v/>
      </c>
      <c r="Y216" s="140" t="str">
        <f>IFERROR(INDEX(T041_ClassFeatures!$F$2:$F$546,MATCH('C01_BaseCalculation'!W216,T041_ClassFeatures!$B$2:$B$546,0),1),"")</f>
        <v/>
      </c>
      <c r="Z216" s="140" t="str">
        <f t="shared" si="47"/>
        <v/>
      </c>
      <c r="AA216" s="167">
        <v>1</v>
      </c>
      <c r="AB216" s="140" t="str">
        <f t="shared" si="48"/>
        <v/>
      </c>
      <c r="AC216" s="140" t="str">
        <f t="shared" si="49"/>
        <v/>
      </c>
      <c r="AD216" s="140">
        <f>IF(AA216=0,0,COUNTIF(AD$160:$AD215,"&gt;0")+1)</f>
        <v>49</v>
      </c>
    </row>
    <row r="217" spans="11:30" x14ac:dyDescent="0.3">
      <c r="K217" s="140">
        <f>K216</f>
        <v>15</v>
      </c>
      <c r="L217" s="140" t="str">
        <f t="shared" si="40"/>
        <v>Fighter</v>
      </c>
      <c r="M217" s="140">
        <v>58</v>
      </c>
      <c r="N217" s="140">
        <f t="shared" si="41"/>
        <v>0</v>
      </c>
      <c r="O217" s="231">
        <f t="shared" si="42"/>
        <v>0</v>
      </c>
      <c r="P217" s="231">
        <f>IF(O217=0,0,COUNTIF(P$160:$P216,"&gt;0")+1)</f>
        <v>0</v>
      </c>
      <c r="Q217" s="140" t="str">
        <f t="shared" si="43"/>
        <v/>
      </c>
      <c r="R217" s="140" t="str">
        <f t="shared" si="44"/>
        <v/>
      </c>
      <c r="S217" s="140" t="str">
        <f>IFERROR(INDEX(T041_ClassFeatures!$U$2:$U$343,MATCH('C01_BaseCalculation'!$Q217,T041_ClassFeatures!$B$2:$B$343,0),1),"")</f>
        <v/>
      </c>
      <c r="T217" s="140" t="str">
        <f>IFERROR(INDEX(T041_ClassFeatures!$U$2:$U$343,MATCH('C01_BaseCalculation'!$Q217,T041_ClassFeatures!$B$2:$B$343,0),1),"")</f>
        <v/>
      </c>
      <c r="U217" s="140">
        <f t="shared" si="45"/>
        <v>0</v>
      </c>
      <c r="V217" s="140" t="str">
        <f t="array" ref="V217">IFERROR(INDEX(T041_ClassFeatures!$B$2:$B$556,MATCH('C01_BaseCalculation'!Q217&amp;INDEX('C03_ClassVariables'!$O$4:$O$9,MATCH(INDEX($L$160:$L$239,MATCH(Q217,$N$160:$N$239,0),1),'C03_ClassVariables'!$M$4:$M$9,0),1),T041_ClassFeatures!$S$2:$S$556&amp;T041_ClassFeatures!$R$2:$R$556,0),1),"")</f>
        <v/>
      </c>
      <c r="W217" s="140" t="str">
        <f t="shared" si="46"/>
        <v/>
      </c>
      <c r="X217" s="140" t="str">
        <f>IFERROR(INDEX(T041_ClassFeatures!$C$2:$C$546,MATCH('C01_BaseCalculation'!W217,T041_ClassFeatures!$B$2:$B$546,0),1),"")</f>
        <v/>
      </c>
      <c r="Y217" s="140" t="str">
        <f>IFERROR(INDEX(T041_ClassFeatures!$F$2:$F$546,MATCH('C01_BaseCalculation'!W217,T041_ClassFeatures!$B$2:$B$546,0),1),"")</f>
        <v/>
      </c>
      <c r="Z217" s="140" t="str">
        <f t="shared" si="47"/>
        <v/>
      </c>
      <c r="AA217" s="167">
        <v>1</v>
      </c>
      <c r="AB217" s="140" t="str">
        <f t="shared" si="48"/>
        <v/>
      </c>
      <c r="AC217" s="140" t="str">
        <f t="shared" si="49"/>
        <v/>
      </c>
      <c r="AD217" s="140">
        <f>IF(AA217=0,0,COUNTIF(AD$160:$AD216,"&gt;0")+1)</f>
        <v>50</v>
      </c>
    </row>
    <row r="218" spans="11:30" x14ac:dyDescent="0.3">
      <c r="K218" s="140">
        <f>K217</f>
        <v>15</v>
      </c>
      <c r="L218" s="140" t="str">
        <f t="shared" si="40"/>
        <v>Fighter</v>
      </c>
      <c r="M218" s="140">
        <v>59</v>
      </c>
      <c r="N218" s="140" t="str">
        <f t="shared" si="41"/>
        <v/>
      </c>
      <c r="O218" s="231">
        <f t="shared" si="42"/>
        <v>0</v>
      </c>
      <c r="P218" s="231">
        <f>IF(O218=0,0,COUNTIF(P$160:$P217,"&gt;0")+1)</f>
        <v>0</v>
      </c>
      <c r="Q218" s="140" t="str">
        <f t="shared" si="43"/>
        <v/>
      </c>
      <c r="R218" s="140" t="str">
        <f t="shared" si="44"/>
        <v/>
      </c>
      <c r="S218" s="140" t="str">
        <f>IFERROR(INDEX(T041_ClassFeatures!$U$2:$U$343,MATCH('C01_BaseCalculation'!$Q218,T041_ClassFeatures!$B$2:$B$343,0),1),"")</f>
        <v/>
      </c>
      <c r="T218" s="140" t="str">
        <f>IFERROR(INDEX(T041_ClassFeatures!$U$2:$U$343,MATCH('C01_BaseCalculation'!$Q218,T041_ClassFeatures!$B$2:$B$343,0),1),"")</f>
        <v/>
      </c>
      <c r="U218" s="140">
        <f t="shared" si="45"/>
        <v>0</v>
      </c>
      <c r="V218" s="140" t="str">
        <f t="array" ref="V218">IFERROR(INDEX(T041_ClassFeatures!$B$2:$B$556,MATCH('C01_BaseCalculation'!Q218&amp;INDEX('C03_ClassVariables'!$O$4:$O$9,MATCH(INDEX($L$160:$L$239,MATCH(Q218,$N$160:$N$239,0),1),'C03_ClassVariables'!$M$4:$M$9,0),1),T041_ClassFeatures!$S$2:$S$556&amp;T041_ClassFeatures!$R$2:$R$556,0),1),"")</f>
        <v/>
      </c>
      <c r="W218" s="140" t="str">
        <f t="shared" si="46"/>
        <v/>
      </c>
      <c r="X218" s="140" t="str">
        <f>IFERROR(INDEX(T041_ClassFeatures!$C$2:$C$546,MATCH('C01_BaseCalculation'!W218,T041_ClassFeatures!$B$2:$B$546,0),1),"")</f>
        <v/>
      </c>
      <c r="Y218" s="140" t="str">
        <f>IFERROR(INDEX(T041_ClassFeatures!$F$2:$F$546,MATCH('C01_BaseCalculation'!W218,T041_ClassFeatures!$B$2:$B$546,0),1),"")</f>
        <v/>
      </c>
      <c r="Z218" s="140" t="str">
        <f t="shared" si="47"/>
        <v/>
      </c>
      <c r="AA218" s="167">
        <v>1</v>
      </c>
      <c r="AB218" s="140" t="str">
        <f t="shared" si="48"/>
        <v/>
      </c>
      <c r="AC218" s="140" t="str">
        <f t="shared" si="49"/>
        <v/>
      </c>
      <c r="AD218" s="140">
        <f>IF(AA218=0,0,COUNTIF(AD$160:$AD217,"&gt;0")+1)</f>
        <v>51</v>
      </c>
    </row>
    <row r="219" spans="11:30" x14ac:dyDescent="0.3">
      <c r="K219" s="140">
        <f>K218</f>
        <v>15</v>
      </c>
      <c r="L219" s="140" t="str">
        <f t="shared" si="40"/>
        <v>Fighter</v>
      </c>
      <c r="M219" s="140">
        <v>60</v>
      </c>
      <c r="N219" s="140" t="str">
        <f t="shared" si="41"/>
        <v/>
      </c>
      <c r="O219" s="231">
        <f t="shared" si="42"/>
        <v>0</v>
      </c>
      <c r="P219" s="231">
        <f>IF(O219=0,0,COUNTIF(P$160:$P218,"&gt;0")+1)</f>
        <v>0</v>
      </c>
      <c r="Q219" s="140" t="str">
        <f t="shared" si="43"/>
        <v/>
      </c>
      <c r="R219" s="140" t="str">
        <f t="shared" si="44"/>
        <v/>
      </c>
      <c r="S219" s="140" t="str">
        <f>IFERROR(INDEX(T041_ClassFeatures!$U$2:$U$343,MATCH('C01_BaseCalculation'!$Q219,T041_ClassFeatures!$B$2:$B$343,0),1),"")</f>
        <v/>
      </c>
      <c r="T219" s="140" t="str">
        <f>IFERROR(INDEX(T041_ClassFeatures!$U$2:$U$343,MATCH('C01_BaseCalculation'!$Q219,T041_ClassFeatures!$B$2:$B$343,0),1),"")</f>
        <v/>
      </c>
      <c r="U219" s="140">
        <f t="shared" si="45"/>
        <v>0</v>
      </c>
      <c r="V219" s="140" t="str">
        <f t="array" ref="V219">IFERROR(INDEX(T041_ClassFeatures!$B$2:$B$556,MATCH('C01_BaseCalculation'!Q219&amp;INDEX('C03_ClassVariables'!$O$4:$O$9,MATCH(INDEX($L$160:$L$239,MATCH(Q219,$N$160:$N$239,0),1),'C03_ClassVariables'!$M$4:$M$9,0),1),T041_ClassFeatures!$S$2:$S$556&amp;T041_ClassFeatures!$R$2:$R$556,0),1),"")</f>
        <v/>
      </c>
      <c r="W219" s="140" t="str">
        <f t="shared" si="46"/>
        <v/>
      </c>
      <c r="X219" s="140" t="str">
        <f>IFERROR(INDEX(T041_ClassFeatures!$C$2:$C$546,MATCH('C01_BaseCalculation'!W219,T041_ClassFeatures!$B$2:$B$546,0),1),"")</f>
        <v/>
      </c>
      <c r="Y219" s="140" t="str">
        <f>IFERROR(INDEX(T041_ClassFeatures!$F$2:$F$546,MATCH('C01_BaseCalculation'!W219,T041_ClassFeatures!$B$2:$B$546,0),1),"")</f>
        <v/>
      </c>
      <c r="Z219" s="140" t="str">
        <f t="shared" si="47"/>
        <v/>
      </c>
      <c r="AA219" s="167">
        <v>1</v>
      </c>
      <c r="AB219" s="140" t="str">
        <f t="shared" si="48"/>
        <v/>
      </c>
      <c r="AC219" s="140" t="str">
        <f t="shared" si="49"/>
        <v/>
      </c>
      <c r="AD219" s="140">
        <f>IF(AA219=0,0,COUNTIF(AD$160:$AD218,"&gt;0")+1)</f>
        <v>52</v>
      </c>
    </row>
    <row r="220" spans="11:30" x14ac:dyDescent="0.3">
      <c r="K220" s="140">
        <f>K219+1</f>
        <v>16</v>
      </c>
      <c r="L220" s="140" t="str">
        <f t="shared" si="40"/>
        <v>Fighter</v>
      </c>
      <c r="M220" s="140">
        <v>61</v>
      </c>
      <c r="N220" s="140" t="str">
        <f t="shared" si="41"/>
        <v>Ability Score Improvement</v>
      </c>
      <c r="O220" s="231">
        <f t="shared" si="42"/>
        <v>1</v>
      </c>
      <c r="P220" s="231">
        <f>IF(O220=0,0,COUNTIF(P$160:$P219,"&gt;0")+1)</f>
        <v>17</v>
      </c>
      <c r="Q220" s="140" t="str">
        <f t="shared" si="43"/>
        <v/>
      </c>
      <c r="R220" s="140" t="str">
        <f t="shared" si="44"/>
        <v/>
      </c>
      <c r="S220" s="140" t="str">
        <f>IFERROR(INDEX(T041_ClassFeatures!$U$2:$U$343,MATCH('C01_BaseCalculation'!$Q220,T041_ClassFeatures!$B$2:$B$343,0),1),"")</f>
        <v/>
      </c>
      <c r="T220" s="140" t="str">
        <f>IFERROR(INDEX(T041_ClassFeatures!$U$2:$U$343,MATCH('C01_BaseCalculation'!$Q220,T041_ClassFeatures!$B$2:$B$343,0),1),"")</f>
        <v/>
      </c>
      <c r="U220" s="140">
        <f t="shared" si="45"/>
        <v>0</v>
      </c>
      <c r="V220" s="140" t="str">
        <f t="array" ref="V220">IFERROR(INDEX(T041_ClassFeatures!$B$2:$B$556,MATCH('C01_BaseCalculation'!Q220&amp;INDEX('C03_ClassVariables'!$O$4:$O$9,MATCH(INDEX($L$160:$L$239,MATCH(Q220,$N$160:$N$239,0),1),'C03_ClassVariables'!$M$4:$M$9,0),1),T041_ClassFeatures!$S$2:$S$556&amp;T041_ClassFeatures!$R$2:$R$556,0),1),"")</f>
        <v/>
      </c>
      <c r="W220" s="140" t="str">
        <f t="shared" si="46"/>
        <v/>
      </c>
      <c r="X220" s="140" t="str">
        <f>IFERROR(INDEX(T041_ClassFeatures!$C$2:$C$546,MATCH('C01_BaseCalculation'!W220,T041_ClassFeatures!$B$2:$B$546,0),1),"")</f>
        <v/>
      </c>
      <c r="Y220" s="140" t="str">
        <f>IFERROR(INDEX(T041_ClassFeatures!$F$2:$F$546,MATCH('C01_BaseCalculation'!W220,T041_ClassFeatures!$B$2:$B$546,0),1),"")</f>
        <v/>
      </c>
      <c r="Z220" s="140" t="str">
        <f t="shared" si="47"/>
        <v/>
      </c>
      <c r="AA220" s="167">
        <v>1</v>
      </c>
      <c r="AB220" s="140" t="str">
        <f t="shared" si="48"/>
        <v/>
      </c>
      <c r="AC220" s="140" t="str">
        <f t="shared" si="49"/>
        <v/>
      </c>
      <c r="AD220" s="140">
        <f>IF(AA220=0,0,COUNTIF(AD$160:$AD219,"&gt;0")+1)</f>
        <v>53</v>
      </c>
    </row>
    <row r="221" spans="11:30" x14ac:dyDescent="0.3">
      <c r="K221" s="140">
        <f>K220</f>
        <v>16</v>
      </c>
      <c r="L221" s="140" t="str">
        <f t="shared" si="40"/>
        <v>Fighter</v>
      </c>
      <c r="M221" s="140">
        <v>62</v>
      </c>
      <c r="N221" s="140">
        <f t="shared" si="41"/>
        <v>0</v>
      </c>
      <c r="O221" s="231">
        <f t="shared" si="42"/>
        <v>0</v>
      </c>
      <c r="P221" s="231">
        <f>IF(O221=0,0,COUNTIF(P$160:$P220,"&gt;0")+1)</f>
        <v>0</v>
      </c>
      <c r="Q221" s="140" t="str">
        <f t="shared" si="43"/>
        <v/>
      </c>
      <c r="R221" s="140" t="str">
        <f t="shared" si="44"/>
        <v/>
      </c>
      <c r="S221" s="140" t="str">
        <f>IFERROR(INDEX(T041_ClassFeatures!$U$2:$U$343,MATCH('C01_BaseCalculation'!$Q221,T041_ClassFeatures!$B$2:$B$343,0),1),"")</f>
        <v/>
      </c>
      <c r="T221" s="140" t="str">
        <f>IFERROR(INDEX(T041_ClassFeatures!$U$2:$U$343,MATCH('C01_BaseCalculation'!$Q221,T041_ClassFeatures!$B$2:$B$343,0),1),"")</f>
        <v/>
      </c>
      <c r="U221" s="140">
        <f t="shared" si="45"/>
        <v>0</v>
      </c>
      <c r="V221" s="140" t="str">
        <f t="array" ref="V221">IFERROR(INDEX(T041_ClassFeatures!$B$2:$B$556,MATCH('C01_BaseCalculation'!Q221&amp;INDEX('C03_ClassVariables'!$O$4:$O$9,MATCH(INDEX($L$160:$L$239,MATCH(Q221,$N$160:$N$239,0),1),'C03_ClassVariables'!$M$4:$M$9,0),1),T041_ClassFeatures!$S$2:$S$556&amp;T041_ClassFeatures!$R$2:$R$556,0),1),"")</f>
        <v/>
      </c>
      <c r="W221" s="140" t="str">
        <f t="shared" si="46"/>
        <v/>
      </c>
      <c r="X221" s="140" t="str">
        <f>IFERROR(INDEX(T041_ClassFeatures!$C$2:$C$546,MATCH('C01_BaseCalculation'!W221,T041_ClassFeatures!$B$2:$B$546,0),1),"")</f>
        <v/>
      </c>
      <c r="Y221" s="140" t="str">
        <f>IFERROR(INDEX(T041_ClassFeatures!$F$2:$F$546,MATCH('C01_BaseCalculation'!W221,T041_ClassFeatures!$B$2:$B$546,0),1),"")</f>
        <v/>
      </c>
      <c r="Z221" s="140" t="str">
        <f t="shared" si="47"/>
        <v/>
      </c>
      <c r="AA221" s="167">
        <v>1</v>
      </c>
      <c r="AB221" s="140" t="str">
        <f t="shared" si="48"/>
        <v/>
      </c>
      <c r="AC221" s="140" t="str">
        <f t="shared" si="49"/>
        <v/>
      </c>
      <c r="AD221" s="140">
        <f>IF(AA221=0,0,COUNTIF(AD$160:$AD220,"&gt;0")+1)</f>
        <v>54</v>
      </c>
    </row>
    <row r="222" spans="11:30" x14ac:dyDescent="0.3">
      <c r="K222" s="140">
        <f>K221</f>
        <v>16</v>
      </c>
      <c r="L222" s="140" t="str">
        <f t="shared" si="40"/>
        <v>Fighter</v>
      </c>
      <c r="M222" s="140">
        <v>63</v>
      </c>
      <c r="N222" s="140" t="str">
        <f t="shared" si="41"/>
        <v/>
      </c>
      <c r="O222" s="231">
        <f t="shared" si="42"/>
        <v>0</v>
      </c>
      <c r="P222" s="231">
        <f>IF(O222=0,0,COUNTIF(P$160:$P221,"&gt;0")+1)</f>
        <v>0</v>
      </c>
      <c r="Q222" s="140" t="str">
        <f t="shared" si="43"/>
        <v/>
      </c>
      <c r="R222" s="140" t="str">
        <f t="shared" si="44"/>
        <v/>
      </c>
      <c r="S222" s="140" t="str">
        <f>IFERROR(INDEX(T041_ClassFeatures!$U$2:$U$343,MATCH('C01_BaseCalculation'!$Q222,T041_ClassFeatures!$B$2:$B$343,0),1),"")</f>
        <v/>
      </c>
      <c r="T222" s="140" t="str">
        <f>IFERROR(INDEX(T041_ClassFeatures!$U$2:$U$343,MATCH('C01_BaseCalculation'!$Q222,T041_ClassFeatures!$B$2:$B$343,0),1),"")</f>
        <v/>
      </c>
      <c r="U222" s="140">
        <f t="shared" si="45"/>
        <v>0</v>
      </c>
      <c r="V222" s="140" t="str">
        <f t="array" ref="V222">IFERROR(INDEX(T041_ClassFeatures!$B$2:$B$556,MATCH('C01_BaseCalculation'!Q222&amp;INDEX('C03_ClassVariables'!$O$4:$O$9,MATCH(INDEX($L$160:$L$239,MATCH(Q222,$N$160:$N$239,0),1),'C03_ClassVariables'!$M$4:$M$9,0),1),T041_ClassFeatures!$S$2:$S$556&amp;T041_ClassFeatures!$R$2:$R$556,0),1),"")</f>
        <v/>
      </c>
      <c r="W222" s="140" t="str">
        <f t="shared" si="46"/>
        <v/>
      </c>
      <c r="X222" s="140" t="str">
        <f>IFERROR(INDEX(T041_ClassFeatures!$C$2:$C$546,MATCH('C01_BaseCalculation'!W222,T041_ClassFeatures!$B$2:$B$546,0),1),"")</f>
        <v/>
      </c>
      <c r="Y222" s="140" t="str">
        <f>IFERROR(INDEX(T041_ClassFeatures!$F$2:$F$546,MATCH('C01_BaseCalculation'!W222,T041_ClassFeatures!$B$2:$B$546,0),1),"")</f>
        <v/>
      </c>
      <c r="Z222" s="140" t="str">
        <f t="shared" si="47"/>
        <v/>
      </c>
      <c r="AA222" s="167">
        <v>1</v>
      </c>
      <c r="AB222" s="140" t="str">
        <f t="shared" si="48"/>
        <v/>
      </c>
      <c r="AC222" s="140" t="str">
        <f t="shared" si="49"/>
        <v/>
      </c>
      <c r="AD222" s="140">
        <f>IF(AA222=0,0,COUNTIF(AD$160:$AD221,"&gt;0")+1)</f>
        <v>55</v>
      </c>
    </row>
    <row r="223" spans="11:30" x14ac:dyDescent="0.3">
      <c r="K223" s="140">
        <f>K222</f>
        <v>16</v>
      </c>
      <c r="L223" s="140" t="str">
        <f t="shared" si="40"/>
        <v>Fighter</v>
      </c>
      <c r="M223" s="140">
        <v>64</v>
      </c>
      <c r="N223" s="140" t="str">
        <f t="shared" si="41"/>
        <v/>
      </c>
      <c r="O223" s="231">
        <f t="shared" si="42"/>
        <v>0</v>
      </c>
      <c r="P223" s="231">
        <f>IF(O223=0,0,COUNTIF(P$160:$P222,"&gt;0")+1)</f>
        <v>0</v>
      </c>
      <c r="Q223" s="140" t="str">
        <f t="shared" si="43"/>
        <v/>
      </c>
      <c r="R223" s="140" t="str">
        <f t="shared" si="44"/>
        <v/>
      </c>
      <c r="S223" s="140" t="str">
        <f>IFERROR(INDEX(T041_ClassFeatures!$U$2:$U$343,MATCH('C01_BaseCalculation'!$Q223,T041_ClassFeatures!$B$2:$B$343,0),1),"")</f>
        <v/>
      </c>
      <c r="T223" s="140" t="str">
        <f>IFERROR(INDEX(T041_ClassFeatures!$U$2:$U$343,MATCH('C01_BaseCalculation'!$Q223,T041_ClassFeatures!$B$2:$B$343,0),1),"")</f>
        <v/>
      </c>
      <c r="U223" s="140">
        <f t="shared" si="45"/>
        <v>0</v>
      </c>
      <c r="V223" s="140" t="str">
        <f t="array" ref="V223">IFERROR(INDEX(T041_ClassFeatures!$B$2:$B$556,MATCH('C01_BaseCalculation'!Q223&amp;INDEX('C03_ClassVariables'!$O$4:$O$9,MATCH(INDEX($L$160:$L$239,MATCH(Q223,$N$160:$N$239,0),1),'C03_ClassVariables'!$M$4:$M$9,0),1),T041_ClassFeatures!$S$2:$S$556&amp;T041_ClassFeatures!$R$2:$R$556,0),1),"")</f>
        <v/>
      </c>
      <c r="W223" s="140" t="str">
        <f t="shared" si="46"/>
        <v/>
      </c>
      <c r="X223" s="140" t="str">
        <f>IFERROR(INDEX(T041_ClassFeatures!$C$2:$C$546,MATCH('C01_BaseCalculation'!W223,T041_ClassFeatures!$B$2:$B$546,0),1),"")</f>
        <v/>
      </c>
      <c r="Y223" s="140" t="str">
        <f>IFERROR(INDEX(T041_ClassFeatures!$F$2:$F$546,MATCH('C01_BaseCalculation'!W223,T041_ClassFeatures!$B$2:$B$546,0),1),"")</f>
        <v/>
      </c>
      <c r="Z223" s="140" t="str">
        <f t="shared" si="47"/>
        <v/>
      </c>
      <c r="AA223" s="167">
        <v>1</v>
      </c>
      <c r="AB223" s="140" t="str">
        <f t="shared" si="48"/>
        <v/>
      </c>
      <c r="AC223" s="140" t="str">
        <f t="shared" si="49"/>
        <v/>
      </c>
      <c r="AD223" s="140">
        <f>IF(AA223=0,0,COUNTIF(AD$160:$AD222,"&gt;0")+1)</f>
        <v>56</v>
      </c>
    </row>
    <row r="224" spans="11:30" x14ac:dyDescent="0.3">
      <c r="K224" s="140">
        <f>K223+1</f>
        <v>17</v>
      </c>
      <c r="L224" s="140" t="str">
        <f t="shared" ref="L224:L239" si="50">INDEX($C$160:$C$179,MATCH(ROUNDDOWN(M224/4-0.25,0)+1,$B$160:$B$179,0),1)</f>
        <v>Fighter</v>
      </c>
      <c r="M224" s="140">
        <v>65</v>
      </c>
      <c r="N224" s="140" t="str">
        <f t="shared" ref="N224:N239" si="51">INDEX($G$160:$J$179,CEILING((ROW(N224)-ROW($N$159))/4,1),CEILING(MOD((ROW(N224)-ROW($N$159)),4.00001),1))</f>
        <v>Indomitable</v>
      </c>
      <c r="O224" s="231">
        <f t="shared" ref="O224:O239" si="52">IF(OR(N224="",N224=0),0,1)</f>
        <v>1</v>
      </c>
      <c r="P224" s="231">
        <f>IF(O224=0,0,COUNTIF(P$160:$P223,"&gt;0")+1)</f>
        <v>18</v>
      </c>
      <c r="Q224" s="140" t="str">
        <f t="shared" ref="Q224:Q239" si="53">IFERROR(INDEX($N$160:$N$239,MATCH(M224,$P$160:$P$239,0),1),"")</f>
        <v/>
      </c>
      <c r="R224" s="140" t="str">
        <f t="shared" ref="R224:R239" si="54">IFERROR(INDEX($K$160:$K$239,MATCH(M224,$P$160:$P$239,0),1),"")</f>
        <v/>
      </c>
      <c r="S224" s="140" t="str">
        <f>IFERROR(INDEX(T041_ClassFeatures!$U$2:$U$343,MATCH('C01_BaseCalculation'!$Q224,T041_ClassFeatures!$B$2:$B$343,0),1),"")</f>
        <v/>
      </c>
      <c r="T224" s="140" t="str">
        <f>IFERROR(INDEX(T041_ClassFeatures!$U$2:$U$343,MATCH('C01_BaseCalculation'!$Q224,T041_ClassFeatures!$B$2:$B$343,0),1),"")</f>
        <v/>
      </c>
      <c r="U224" s="140">
        <f t="shared" ref="U224:U239" si="55">IF(OR(T224=0,T224=""),0,1)</f>
        <v>0</v>
      </c>
      <c r="V224" s="140" t="str">
        <f t="array" ref="V224">IFERROR(INDEX(T041_ClassFeatures!$B$2:$B$556,MATCH('C01_BaseCalculation'!Q224&amp;INDEX('C03_ClassVariables'!$O$4:$O$9,MATCH(INDEX($L$160:$L$239,MATCH(Q224,$N$160:$N$239,0),1),'C03_ClassVariables'!$M$4:$M$9,0),1),T041_ClassFeatures!$S$2:$S$556&amp;T041_ClassFeatures!$R$2:$R$556,0),1),"")</f>
        <v/>
      </c>
      <c r="W224" s="140" t="str">
        <f t="shared" ref="W224:W239" si="56">IF(U224=0,Q224,V224)</f>
        <v/>
      </c>
      <c r="X224" s="140" t="str">
        <f>IFERROR(INDEX(T041_ClassFeatures!$C$2:$C$546,MATCH('C01_BaseCalculation'!W224,T041_ClassFeatures!$B$2:$B$546,0),1),"")</f>
        <v/>
      </c>
      <c r="Y224" s="140" t="str">
        <f>IFERROR(INDEX(T041_ClassFeatures!$F$2:$F$546,MATCH('C01_BaseCalculation'!W224,T041_ClassFeatures!$B$2:$B$546,0),1),"")</f>
        <v/>
      </c>
      <c r="Z224" s="140" t="str">
        <f t="shared" ref="Z224:Z239" si="57">IFERROR(IF(W224="","",INDEX($L$160:$L$239,MATCH(Q224,$N$160:$N$239,0),1)),"")</f>
        <v/>
      </c>
      <c r="AA224" s="167">
        <v>1</v>
      </c>
      <c r="AB224" s="140" t="str">
        <f t="shared" ref="AB224:AB239" si="58">IF(AA224=1,IF(X224&lt;&gt;"",X224,""),"")</f>
        <v/>
      </c>
      <c r="AC224" s="140" t="str">
        <f t="shared" ref="AC224:AC239" si="59">IF(AB224="","",Y224)</f>
        <v/>
      </c>
      <c r="AD224" s="140">
        <f>IF(AA224=0,0,COUNTIF(AD$160:$AD223,"&gt;0")+1)</f>
        <v>57</v>
      </c>
    </row>
    <row r="225" spans="11:30" x14ac:dyDescent="0.3">
      <c r="K225" s="140">
        <f>K224</f>
        <v>17</v>
      </c>
      <c r="L225" s="140" t="str">
        <f t="shared" si="50"/>
        <v>Fighter</v>
      </c>
      <c r="M225" s="140">
        <v>66</v>
      </c>
      <c r="N225" s="140">
        <f t="shared" si="51"/>
        <v>0</v>
      </c>
      <c r="O225" s="231">
        <f t="shared" si="52"/>
        <v>0</v>
      </c>
      <c r="P225" s="231">
        <f>IF(O225=0,0,COUNTIF(P$160:$P224,"&gt;0")+1)</f>
        <v>0</v>
      </c>
      <c r="Q225" s="140" t="str">
        <f t="shared" si="53"/>
        <v/>
      </c>
      <c r="R225" s="140" t="str">
        <f t="shared" si="54"/>
        <v/>
      </c>
      <c r="S225" s="140" t="str">
        <f>IFERROR(INDEX(T041_ClassFeatures!$U$2:$U$343,MATCH('C01_BaseCalculation'!$Q225,T041_ClassFeatures!$B$2:$B$343,0),1),"")</f>
        <v/>
      </c>
      <c r="T225" s="140" t="str">
        <f>IFERROR(INDEX(T041_ClassFeatures!$U$2:$U$343,MATCH('C01_BaseCalculation'!$Q225,T041_ClassFeatures!$B$2:$B$343,0),1),"")</f>
        <v/>
      </c>
      <c r="U225" s="140">
        <f t="shared" si="55"/>
        <v>0</v>
      </c>
      <c r="V225" s="140" t="str">
        <f t="array" ref="V225">IFERROR(INDEX(T041_ClassFeatures!$B$2:$B$556,MATCH('C01_BaseCalculation'!Q225&amp;INDEX('C03_ClassVariables'!$O$4:$O$9,MATCH(INDEX($L$160:$L$239,MATCH(Q225,$N$160:$N$239,0),1),'C03_ClassVariables'!$M$4:$M$9,0),1),T041_ClassFeatures!$S$2:$S$556&amp;T041_ClassFeatures!$R$2:$R$556,0),1),"")</f>
        <v/>
      </c>
      <c r="W225" s="140" t="str">
        <f t="shared" si="56"/>
        <v/>
      </c>
      <c r="X225" s="140" t="str">
        <f>IFERROR(INDEX(T041_ClassFeatures!$C$2:$C$546,MATCH('C01_BaseCalculation'!W225,T041_ClassFeatures!$B$2:$B$546,0),1),"")</f>
        <v/>
      </c>
      <c r="Y225" s="140" t="str">
        <f>IFERROR(INDEX(T041_ClassFeatures!$F$2:$F$546,MATCH('C01_BaseCalculation'!W225,T041_ClassFeatures!$B$2:$B$546,0),1),"")</f>
        <v/>
      </c>
      <c r="Z225" s="140" t="str">
        <f t="shared" si="57"/>
        <v/>
      </c>
      <c r="AA225" s="167">
        <v>1</v>
      </c>
      <c r="AB225" s="140" t="str">
        <f t="shared" si="58"/>
        <v/>
      </c>
      <c r="AC225" s="140" t="str">
        <f t="shared" si="59"/>
        <v/>
      </c>
      <c r="AD225" s="140">
        <f>IF(AA225=0,0,COUNTIF(AD$160:$AD224,"&gt;0")+1)</f>
        <v>58</v>
      </c>
    </row>
    <row r="226" spans="11:30" x14ac:dyDescent="0.3">
      <c r="K226" s="140">
        <f>K225</f>
        <v>17</v>
      </c>
      <c r="L226" s="140" t="str">
        <f t="shared" si="50"/>
        <v>Fighter</v>
      </c>
      <c r="M226" s="140">
        <v>67</v>
      </c>
      <c r="N226" s="140" t="str">
        <f t="shared" si="51"/>
        <v/>
      </c>
      <c r="O226" s="231">
        <f t="shared" si="52"/>
        <v>0</v>
      </c>
      <c r="P226" s="231">
        <f>IF(O226=0,0,COUNTIF(P$160:$P225,"&gt;0")+1)</f>
        <v>0</v>
      </c>
      <c r="Q226" s="140" t="str">
        <f t="shared" si="53"/>
        <v/>
      </c>
      <c r="R226" s="140" t="str">
        <f t="shared" si="54"/>
        <v/>
      </c>
      <c r="S226" s="140" t="str">
        <f>IFERROR(INDEX(T041_ClassFeatures!$U$2:$U$343,MATCH('C01_BaseCalculation'!$Q226,T041_ClassFeatures!$B$2:$B$343,0),1),"")</f>
        <v/>
      </c>
      <c r="T226" s="140" t="str">
        <f>IFERROR(INDEX(T041_ClassFeatures!$U$2:$U$343,MATCH('C01_BaseCalculation'!$Q226,T041_ClassFeatures!$B$2:$B$343,0),1),"")</f>
        <v/>
      </c>
      <c r="U226" s="140">
        <f t="shared" si="55"/>
        <v>0</v>
      </c>
      <c r="V226" s="140" t="str">
        <f t="array" ref="V226">IFERROR(INDEX(T041_ClassFeatures!$B$2:$B$556,MATCH('C01_BaseCalculation'!Q226&amp;INDEX('C03_ClassVariables'!$O$4:$O$9,MATCH(INDEX($L$160:$L$239,MATCH(Q226,$N$160:$N$239,0),1),'C03_ClassVariables'!$M$4:$M$9,0),1),T041_ClassFeatures!$S$2:$S$556&amp;T041_ClassFeatures!$R$2:$R$556,0),1),"")</f>
        <v/>
      </c>
      <c r="W226" s="140" t="str">
        <f t="shared" si="56"/>
        <v/>
      </c>
      <c r="X226" s="140" t="str">
        <f>IFERROR(INDEX(T041_ClassFeatures!$C$2:$C$546,MATCH('C01_BaseCalculation'!W226,T041_ClassFeatures!$B$2:$B$546,0),1),"")</f>
        <v/>
      </c>
      <c r="Y226" s="140" t="str">
        <f>IFERROR(INDEX(T041_ClassFeatures!$F$2:$F$546,MATCH('C01_BaseCalculation'!W226,T041_ClassFeatures!$B$2:$B$546,0),1),"")</f>
        <v/>
      </c>
      <c r="Z226" s="140" t="str">
        <f t="shared" si="57"/>
        <v/>
      </c>
      <c r="AA226" s="167">
        <v>1</v>
      </c>
      <c r="AB226" s="140" t="str">
        <f t="shared" si="58"/>
        <v/>
      </c>
      <c r="AC226" s="140" t="str">
        <f t="shared" si="59"/>
        <v/>
      </c>
      <c r="AD226" s="140">
        <f>IF(AA226=0,0,COUNTIF(AD$160:$AD225,"&gt;0")+1)</f>
        <v>59</v>
      </c>
    </row>
    <row r="227" spans="11:30" x14ac:dyDescent="0.3">
      <c r="K227" s="140">
        <f>K226</f>
        <v>17</v>
      </c>
      <c r="L227" s="140" t="str">
        <f t="shared" si="50"/>
        <v>Fighter</v>
      </c>
      <c r="M227" s="140">
        <v>68</v>
      </c>
      <c r="N227" s="140" t="str">
        <f t="shared" si="51"/>
        <v/>
      </c>
      <c r="O227" s="231">
        <f t="shared" si="52"/>
        <v>0</v>
      </c>
      <c r="P227" s="231">
        <f>IF(O227=0,0,COUNTIF(P$160:$P226,"&gt;0")+1)</f>
        <v>0</v>
      </c>
      <c r="Q227" s="140" t="str">
        <f t="shared" si="53"/>
        <v/>
      </c>
      <c r="R227" s="140" t="str">
        <f t="shared" si="54"/>
        <v/>
      </c>
      <c r="S227" s="140" t="str">
        <f>IFERROR(INDEX(T041_ClassFeatures!$U$2:$U$343,MATCH('C01_BaseCalculation'!$Q227,T041_ClassFeatures!$B$2:$B$343,0),1),"")</f>
        <v/>
      </c>
      <c r="T227" s="140" t="str">
        <f>IFERROR(INDEX(T041_ClassFeatures!$U$2:$U$343,MATCH('C01_BaseCalculation'!$Q227,T041_ClassFeatures!$B$2:$B$343,0),1),"")</f>
        <v/>
      </c>
      <c r="U227" s="140">
        <f t="shared" si="55"/>
        <v>0</v>
      </c>
      <c r="V227" s="140" t="str">
        <f t="array" ref="V227">IFERROR(INDEX(T041_ClassFeatures!$B$2:$B$556,MATCH('C01_BaseCalculation'!Q227&amp;INDEX('C03_ClassVariables'!$O$4:$O$9,MATCH(INDEX($L$160:$L$239,MATCH(Q227,$N$160:$N$239,0),1),'C03_ClassVariables'!$M$4:$M$9,0),1),T041_ClassFeatures!$S$2:$S$556&amp;T041_ClassFeatures!$R$2:$R$556,0),1),"")</f>
        <v/>
      </c>
      <c r="W227" s="140" t="str">
        <f t="shared" si="56"/>
        <v/>
      </c>
      <c r="X227" s="140" t="str">
        <f>IFERROR(INDEX(T041_ClassFeatures!$C$2:$C$546,MATCH('C01_BaseCalculation'!W227,T041_ClassFeatures!$B$2:$B$546,0),1),"")</f>
        <v/>
      </c>
      <c r="Y227" s="140" t="str">
        <f>IFERROR(INDEX(T041_ClassFeatures!$F$2:$F$546,MATCH('C01_BaseCalculation'!W227,T041_ClassFeatures!$B$2:$B$546,0),1),"")</f>
        <v/>
      </c>
      <c r="Z227" s="140" t="str">
        <f t="shared" si="57"/>
        <v/>
      </c>
      <c r="AA227" s="167">
        <v>1</v>
      </c>
      <c r="AB227" s="140" t="str">
        <f t="shared" si="58"/>
        <v/>
      </c>
      <c r="AC227" s="140" t="str">
        <f t="shared" si="59"/>
        <v/>
      </c>
      <c r="AD227" s="140">
        <f>IF(AA227=0,0,COUNTIF(AD$160:$AD226,"&gt;0")+1)</f>
        <v>60</v>
      </c>
    </row>
    <row r="228" spans="11:30" x14ac:dyDescent="0.3">
      <c r="K228" s="140">
        <f>K227+1</f>
        <v>18</v>
      </c>
      <c r="L228" s="140" t="str">
        <f t="shared" si="50"/>
        <v>Fighter</v>
      </c>
      <c r="M228" s="140">
        <v>69</v>
      </c>
      <c r="N228" s="140" t="str">
        <f t="shared" si="51"/>
        <v>Martial Archetype Feature10</v>
      </c>
      <c r="O228" s="231">
        <f t="shared" si="52"/>
        <v>1</v>
      </c>
      <c r="P228" s="231">
        <f>IF(O228=0,0,COUNTIF(P$160:$P227,"&gt;0")+1)</f>
        <v>19</v>
      </c>
      <c r="Q228" s="140" t="str">
        <f t="shared" si="53"/>
        <v/>
      </c>
      <c r="R228" s="140" t="str">
        <f t="shared" si="54"/>
        <v/>
      </c>
      <c r="S228" s="140" t="str">
        <f>IFERROR(INDEX(T041_ClassFeatures!$U$2:$U$343,MATCH('C01_BaseCalculation'!$Q228,T041_ClassFeatures!$B$2:$B$343,0),1),"")</f>
        <v/>
      </c>
      <c r="T228" s="140" t="str">
        <f>IFERROR(INDEX(T041_ClassFeatures!$U$2:$U$343,MATCH('C01_BaseCalculation'!$Q228,T041_ClassFeatures!$B$2:$B$343,0),1),"")</f>
        <v/>
      </c>
      <c r="U228" s="140">
        <f t="shared" si="55"/>
        <v>0</v>
      </c>
      <c r="V228" s="140" t="str">
        <f t="array" ref="V228">IFERROR(INDEX(T041_ClassFeatures!$B$2:$B$556,MATCH('C01_BaseCalculation'!Q228&amp;INDEX('C03_ClassVariables'!$O$4:$O$9,MATCH(INDEX($L$160:$L$239,MATCH(Q228,$N$160:$N$239,0),1),'C03_ClassVariables'!$M$4:$M$9,0),1),T041_ClassFeatures!$S$2:$S$556&amp;T041_ClassFeatures!$R$2:$R$556,0),1),"")</f>
        <v/>
      </c>
      <c r="W228" s="140" t="str">
        <f t="shared" si="56"/>
        <v/>
      </c>
      <c r="X228" s="140" t="str">
        <f>IFERROR(INDEX(T041_ClassFeatures!$C$2:$C$546,MATCH('C01_BaseCalculation'!W228,T041_ClassFeatures!$B$2:$B$546,0),1),"")</f>
        <v/>
      </c>
      <c r="Y228" s="140" t="str">
        <f>IFERROR(INDEX(T041_ClassFeatures!$F$2:$F$546,MATCH('C01_BaseCalculation'!W228,T041_ClassFeatures!$B$2:$B$546,0),1),"")</f>
        <v/>
      </c>
      <c r="Z228" s="140" t="str">
        <f t="shared" si="57"/>
        <v/>
      </c>
      <c r="AA228" s="167">
        <v>1</v>
      </c>
      <c r="AB228" s="140" t="str">
        <f t="shared" si="58"/>
        <v/>
      </c>
      <c r="AC228" s="140" t="str">
        <f t="shared" si="59"/>
        <v/>
      </c>
      <c r="AD228" s="140">
        <f>IF(AA228=0,0,COUNTIF(AD$160:$AD227,"&gt;0")+1)</f>
        <v>61</v>
      </c>
    </row>
    <row r="229" spans="11:30" x14ac:dyDescent="0.3">
      <c r="K229" s="140">
        <f>K228</f>
        <v>18</v>
      </c>
      <c r="L229" s="140" t="str">
        <f t="shared" si="50"/>
        <v>Fighter</v>
      </c>
      <c r="M229" s="140">
        <v>70</v>
      </c>
      <c r="N229" s="140">
        <f t="shared" si="51"/>
        <v>0</v>
      </c>
      <c r="O229" s="231">
        <f t="shared" si="52"/>
        <v>0</v>
      </c>
      <c r="P229" s="231">
        <f>IF(O229=0,0,COUNTIF(P$160:$P228,"&gt;0")+1)</f>
        <v>0</v>
      </c>
      <c r="Q229" s="140" t="str">
        <f t="shared" si="53"/>
        <v/>
      </c>
      <c r="R229" s="140" t="str">
        <f t="shared" si="54"/>
        <v/>
      </c>
      <c r="S229" s="140" t="str">
        <f>IFERROR(INDEX(T041_ClassFeatures!$U$2:$U$343,MATCH('C01_BaseCalculation'!$Q229,T041_ClassFeatures!$B$2:$B$343,0),1),"")</f>
        <v/>
      </c>
      <c r="T229" s="140" t="str">
        <f>IFERROR(INDEX(T041_ClassFeatures!$U$2:$U$343,MATCH('C01_BaseCalculation'!$Q229,T041_ClassFeatures!$B$2:$B$343,0),1),"")</f>
        <v/>
      </c>
      <c r="U229" s="140">
        <f t="shared" si="55"/>
        <v>0</v>
      </c>
      <c r="V229" s="140" t="str">
        <f t="array" ref="V229">IFERROR(INDEX(T041_ClassFeatures!$B$2:$B$556,MATCH('C01_BaseCalculation'!Q229&amp;INDEX('C03_ClassVariables'!$O$4:$O$9,MATCH(INDEX($L$160:$L$239,MATCH(Q229,$N$160:$N$239,0),1),'C03_ClassVariables'!$M$4:$M$9,0),1),T041_ClassFeatures!$S$2:$S$556&amp;T041_ClassFeatures!$R$2:$R$556,0),1),"")</f>
        <v/>
      </c>
      <c r="W229" s="140" t="str">
        <f t="shared" si="56"/>
        <v/>
      </c>
      <c r="X229" s="140" t="str">
        <f>IFERROR(INDEX(T041_ClassFeatures!$C$2:$C$546,MATCH('C01_BaseCalculation'!W229,T041_ClassFeatures!$B$2:$B$546,0),1),"")</f>
        <v/>
      </c>
      <c r="Y229" s="140" t="str">
        <f>IFERROR(INDEX(T041_ClassFeatures!$F$2:$F$546,MATCH('C01_BaseCalculation'!W229,T041_ClassFeatures!$B$2:$B$546,0),1),"")</f>
        <v/>
      </c>
      <c r="Z229" s="140" t="str">
        <f t="shared" si="57"/>
        <v/>
      </c>
      <c r="AA229" s="167">
        <v>1</v>
      </c>
      <c r="AB229" s="140" t="str">
        <f t="shared" si="58"/>
        <v/>
      </c>
      <c r="AC229" s="140" t="str">
        <f t="shared" si="59"/>
        <v/>
      </c>
      <c r="AD229" s="140">
        <f>IF(AA229=0,0,COUNTIF(AD$160:$AD228,"&gt;0")+1)</f>
        <v>62</v>
      </c>
    </row>
    <row r="230" spans="11:30" x14ac:dyDescent="0.3">
      <c r="K230" s="140">
        <f>K229</f>
        <v>18</v>
      </c>
      <c r="L230" s="140" t="str">
        <f t="shared" si="50"/>
        <v>Fighter</v>
      </c>
      <c r="M230" s="140">
        <v>71</v>
      </c>
      <c r="N230" s="140" t="str">
        <f t="shared" si="51"/>
        <v/>
      </c>
      <c r="O230" s="231">
        <f t="shared" si="52"/>
        <v>0</v>
      </c>
      <c r="P230" s="231">
        <f>IF(O230=0,0,COUNTIF(P$160:$P229,"&gt;0")+1)</f>
        <v>0</v>
      </c>
      <c r="Q230" s="140" t="str">
        <f t="shared" si="53"/>
        <v/>
      </c>
      <c r="R230" s="140" t="str">
        <f t="shared" si="54"/>
        <v/>
      </c>
      <c r="S230" s="140" t="str">
        <f>IFERROR(INDEX(T041_ClassFeatures!$U$2:$U$343,MATCH('C01_BaseCalculation'!$Q230,T041_ClassFeatures!$B$2:$B$343,0),1),"")</f>
        <v/>
      </c>
      <c r="T230" s="140" t="str">
        <f>IFERROR(INDEX(T041_ClassFeatures!$U$2:$U$343,MATCH('C01_BaseCalculation'!$Q230,T041_ClassFeatures!$B$2:$B$343,0),1),"")</f>
        <v/>
      </c>
      <c r="U230" s="140">
        <f t="shared" si="55"/>
        <v>0</v>
      </c>
      <c r="V230" s="140" t="str">
        <f t="array" ref="V230">IFERROR(INDEX(T041_ClassFeatures!$B$2:$B$556,MATCH('C01_BaseCalculation'!Q230&amp;INDEX('C03_ClassVariables'!$O$4:$O$9,MATCH(INDEX($L$160:$L$239,MATCH(Q230,$N$160:$N$239,0),1),'C03_ClassVariables'!$M$4:$M$9,0),1),T041_ClassFeatures!$S$2:$S$556&amp;T041_ClassFeatures!$R$2:$R$556,0),1),"")</f>
        <v/>
      </c>
      <c r="W230" s="140" t="str">
        <f t="shared" si="56"/>
        <v/>
      </c>
      <c r="X230" s="140" t="str">
        <f>IFERROR(INDEX(T041_ClassFeatures!$C$2:$C$546,MATCH('C01_BaseCalculation'!W230,T041_ClassFeatures!$B$2:$B$546,0),1),"")</f>
        <v/>
      </c>
      <c r="Y230" s="140" t="str">
        <f>IFERROR(INDEX(T041_ClassFeatures!$F$2:$F$546,MATCH('C01_BaseCalculation'!W230,T041_ClassFeatures!$B$2:$B$546,0),1),"")</f>
        <v/>
      </c>
      <c r="Z230" s="140" t="str">
        <f t="shared" si="57"/>
        <v/>
      </c>
      <c r="AA230" s="167">
        <v>1</v>
      </c>
      <c r="AB230" s="140" t="str">
        <f t="shared" si="58"/>
        <v/>
      </c>
      <c r="AC230" s="140" t="str">
        <f t="shared" si="59"/>
        <v/>
      </c>
      <c r="AD230" s="140">
        <f>IF(AA230=0,0,COUNTIF(AD$160:$AD229,"&gt;0")+1)</f>
        <v>63</v>
      </c>
    </row>
    <row r="231" spans="11:30" x14ac:dyDescent="0.3">
      <c r="K231" s="140">
        <f>K230</f>
        <v>18</v>
      </c>
      <c r="L231" s="140" t="str">
        <f t="shared" si="50"/>
        <v>Fighter</v>
      </c>
      <c r="M231" s="140">
        <v>72</v>
      </c>
      <c r="N231" s="140" t="str">
        <f t="shared" si="51"/>
        <v/>
      </c>
      <c r="O231" s="231">
        <f t="shared" si="52"/>
        <v>0</v>
      </c>
      <c r="P231" s="231">
        <f>IF(O231=0,0,COUNTIF(P$160:$P230,"&gt;0")+1)</f>
        <v>0</v>
      </c>
      <c r="Q231" s="140" t="str">
        <f t="shared" si="53"/>
        <v/>
      </c>
      <c r="R231" s="140" t="str">
        <f t="shared" si="54"/>
        <v/>
      </c>
      <c r="S231" s="140" t="str">
        <f>IFERROR(INDEX(T041_ClassFeatures!$U$2:$U$343,MATCH('C01_BaseCalculation'!$Q231,T041_ClassFeatures!$B$2:$B$343,0),1),"")</f>
        <v/>
      </c>
      <c r="T231" s="140" t="str">
        <f>IFERROR(INDEX(T041_ClassFeatures!$U$2:$U$343,MATCH('C01_BaseCalculation'!$Q231,T041_ClassFeatures!$B$2:$B$343,0),1),"")</f>
        <v/>
      </c>
      <c r="U231" s="140">
        <f t="shared" si="55"/>
        <v>0</v>
      </c>
      <c r="V231" s="140" t="str">
        <f t="array" ref="V231">IFERROR(INDEX(T041_ClassFeatures!$B$2:$B$556,MATCH('C01_BaseCalculation'!Q231&amp;INDEX('C03_ClassVariables'!$O$4:$O$9,MATCH(INDEX($L$160:$L$239,MATCH(Q231,$N$160:$N$239,0),1),'C03_ClassVariables'!$M$4:$M$9,0),1),T041_ClassFeatures!$S$2:$S$556&amp;T041_ClassFeatures!$R$2:$R$556,0),1),"")</f>
        <v/>
      </c>
      <c r="W231" s="140" t="str">
        <f t="shared" si="56"/>
        <v/>
      </c>
      <c r="X231" s="140" t="str">
        <f>IFERROR(INDEX(T041_ClassFeatures!$C$2:$C$546,MATCH('C01_BaseCalculation'!W231,T041_ClassFeatures!$B$2:$B$546,0),1),"")</f>
        <v/>
      </c>
      <c r="Y231" s="140" t="str">
        <f>IFERROR(INDEX(T041_ClassFeatures!$F$2:$F$546,MATCH('C01_BaseCalculation'!W231,T041_ClassFeatures!$B$2:$B$546,0),1),"")</f>
        <v/>
      </c>
      <c r="Z231" s="140" t="str">
        <f t="shared" si="57"/>
        <v/>
      </c>
      <c r="AA231" s="167">
        <v>1</v>
      </c>
      <c r="AB231" s="140" t="str">
        <f t="shared" si="58"/>
        <v/>
      </c>
      <c r="AC231" s="140" t="str">
        <f t="shared" si="59"/>
        <v/>
      </c>
      <c r="AD231" s="140">
        <f>IF(AA231=0,0,COUNTIF(AD$160:$AD230,"&gt;0")+1)</f>
        <v>64</v>
      </c>
    </row>
    <row r="232" spans="11:30" x14ac:dyDescent="0.3">
      <c r="K232" s="140">
        <f>K231+1</f>
        <v>19</v>
      </c>
      <c r="L232" s="140" t="str">
        <f t="shared" si="50"/>
        <v>Fighter</v>
      </c>
      <c r="M232" s="140">
        <v>73</v>
      </c>
      <c r="N232" s="140" t="str">
        <f t="shared" si="51"/>
        <v>Extra Attack (2)</v>
      </c>
      <c r="O232" s="231">
        <f t="shared" si="52"/>
        <v>1</v>
      </c>
      <c r="P232" s="231">
        <f>IF(O232=0,0,COUNTIF(P$160:$P231,"&gt;0")+1)</f>
        <v>20</v>
      </c>
      <c r="Q232" s="140" t="str">
        <f t="shared" si="53"/>
        <v/>
      </c>
      <c r="R232" s="140" t="str">
        <f t="shared" si="54"/>
        <v/>
      </c>
      <c r="S232" s="140" t="str">
        <f>IFERROR(INDEX(T041_ClassFeatures!$U$2:$U$343,MATCH('C01_BaseCalculation'!$Q232,T041_ClassFeatures!$B$2:$B$343,0),1),"")</f>
        <v/>
      </c>
      <c r="T232" s="140" t="str">
        <f>IFERROR(INDEX(T041_ClassFeatures!$U$2:$U$343,MATCH('C01_BaseCalculation'!$Q232,T041_ClassFeatures!$B$2:$B$343,0),1),"")</f>
        <v/>
      </c>
      <c r="U232" s="140">
        <f t="shared" si="55"/>
        <v>0</v>
      </c>
      <c r="V232" s="140" t="str">
        <f t="array" ref="V232">IFERROR(INDEX(T041_ClassFeatures!$B$2:$B$556,MATCH('C01_BaseCalculation'!Q232&amp;INDEX('C03_ClassVariables'!$O$4:$O$9,MATCH(INDEX($L$160:$L$239,MATCH(Q232,$N$160:$N$239,0),1),'C03_ClassVariables'!$M$4:$M$9,0),1),T041_ClassFeatures!$S$2:$S$556&amp;T041_ClassFeatures!$R$2:$R$556,0),1),"")</f>
        <v/>
      </c>
      <c r="W232" s="140" t="str">
        <f t="shared" si="56"/>
        <v/>
      </c>
      <c r="X232" s="140" t="str">
        <f>IFERROR(INDEX(T041_ClassFeatures!$C$2:$C$546,MATCH('C01_BaseCalculation'!W232,T041_ClassFeatures!$B$2:$B$546,0),1),"")</f>
        <v/>
      </c>
      <c r="Y232" s="140" t="str">
        <f>IFERROR(INDEX(T041_ClassFeatures!$F$2:$F$546,MATCH('C01_BaseCalculation'!W232,T041_ClassFeatures!$B$2:$B$546,0),1),"")</f>
        <v/>
      </c>
      <c r="Z232" s="140" t="str">
        <f t="shared" si="57"/>
        <v/>
      </c>
      <c r="AA232" s="167">
        <v>1</v>
      </c>
      <c r="AB232" s="140" t="str">
        <f t="shared" si="58"/>
        <v/>
      </c>
      <c r="AC232" s="140" t="str">
        <f t="shared" si="59"/>
        <v/>
      </c>
      <c r="AD232" s="140">
        <f>IF(AA232=0,0,COUNTIF(AD$160:$AD231,"&gt;0")+1)</f>
        <v>65</v>
      </c>
    </row>
    <row r="233" spans="11:30" x14ac:dyDescent="0.3">
      <c r="K233" s="140">
        <f>K232</f>
        <v>19</v>
      </c>
      <c r="L233" s="140" t="str">
        <f t="shared" si="50"/>
        <v>Fighter</v>
      </c>
      <c r="M233" s="140">
        <v>74</v>
      </c>
      <c r="N233" s="140">
        <f t="shared" si="51"/>
        <v>0</v>
      </c>
      <c r="O233" s="231">
        <f t="shared" si="52"/>
        <v>0</v>
      </c>
      <c r="P233" s="231">
        <f>IF(O233=0,0,COUNTIF(P$160:$P232,"&gt;0")+1)</f>
        <v>0</v>
      </c>
      <c r="Q233" s="140" t="str">
        <f t="shared" si="53"/>
        <v/>
      </c>
      <c r="R233" s="140" t="str">
        <f t="shared" si="54"/>
        <v/>
      </c>
      <c r="S233" s="140" t="str">
        <f>IFERROR(INDEX(T041_ClassFeatures!$U$2:$U$343,MATCH('C01_BaseCalculation'!$Q233,T041_ClassFeatures!$B$2:$B$343,0),1),"")</f>
        <v/>
      </c>
      <c r="T233" s="140" t="str">
        <f>IFERROR(INDEX(T041_ClassFeatures!$U$2:$U$343,MATCH('C01_BaseCalculation'!$Q233,T041_ClassFeatures!$B$2:$B$343,0),1),"")</f>
        <v/>
      </c>
      <c r="U233" s="140">
        <f t="shared" si="55"/>
        <v>0</v>
      </c>
      <c r="V233" s="140" t="str">
        <f t="array" ref="V233">IFERROR(INDEX(T041_ClassFeatures!$B$2:$B$556,MATCH('C01_BaseCalculation'!Q233&amp;INDEX('C03_ClassVariables'!$O$4:$O$9,MATCH(INDEX($L$160:$L$239,MATCH(Q233,$N$160:$N$239,0),1),'C03_ClassVariables'!$M$4:$M$9,0),1),T041_ClassFeatures!$S$2:$S$556&amp;T041_ClassFeatures!$R$2:$R$556,0),1),"")</f>
        <v/>
      </c>
      <c r="W233" s="140" t="str">
        <f t="shared" si="56"/>
        <v/>
      </c>
      <c r="X233" s="140" t="str">
        <f>IFERROR(INDEX(T041_ClassFeatures!$C$2:$C$546,MATCH('C01_BaseCalculation'!W233,T041_ClassFeatures!$B$2:$B$546,0),1),"")</f>
        <v/>
      </c>
      <c r="Y233" s="140" t="str">
        <f>IFERROR(INDEX(T041_ClassFeatures!$F$2:$F$546,MATCH('C01_BaseCalculation'!W233,T041_ClassFeatures!$B$2:$B$546,0),1),"")</f>
        <v/>
      </c>
      <c r="Z233" s="140" t="str">
        <f t="shared" si="57"/>
        <v/>
      </c>
      <c r="AA233" s="167">
        <v>1</v>
      </c>
      <c r="AB233" s="140" t="str">
        <f t="shared" si="58"/>
        <v/>
      </c>
      <c r="AC233" s="140" t="str">
        <f t="shared" si="59"/>
        <v/>
      </c>
      <c r="AD233" s="140">
        <f>IF(AA233=0,0,COUNTIF(AD$160:$AD232,"&gt;0")+1)</f>
        <v>66</v>
      </c>
    </row>
    <row r="234" spans="11:30" x14ac:dyDescent="0.3">
      <c r="K234" s="140">
        <f>K233</f>
        <v>19</v>
      </c>
      <c r="L234" s="140" t="str">
        <f t="shared" si="50"/>
        <v>Fighter</v>
      </c>
      <c r="M234" s="140">
        <v>75</v>
      </c>
      <c r="N234" s="140" t="str">
        <f t="shared" si="51"/>
        <v/>
      </c>
      <c r="O234" s="231">
        <f t="shared" si="52"/>
        <v>0</v>
      </c>
      <c r="P234" s="231">
        <f>IF(O234=0,0,COUNTIF(P$160:$P233,"&gt;0")+1)</f>
        <v>0</v>
      </c>
      <c r="Q234" s="140" t="str">
        <f t="shared" si="53"/>
        <v/>
      </c>
      <c r="R234" s="140" t="str">
        <f t="shared" si="54"/>
        <v/>
      </c>
      <c r="S234" s="140" t="str">
        <f>IFERROR(INDEX(T041_ClassFeatures!$U$2:$U$343,MATCH('C01_BaseCalculation'!$Q234,T041_ClassFeatures!$B$2:$B$343,0),1),"")</f>
        <v/>
      </c>
      <c r="T234" s="140" t="str">
        <f>IFERROR(INDEX(T041_ClassFeatures!$U$2:$U$343,MATCH('C01_BaseCalculation'!$Q234,T041_ClassFeatures!$B$2:$B$343,0),1),"")</f>
        <v/>
      </c>
      <c r="U234" s="140">
        <f t="shared" si="55"/>
        <v>0</v>
      </c>
      <c r="V234" s="140" t="str">
        <f t="array" ref="V234">IFERROR(INDEX(T041_ClassFeatures!$B$2:$B$556,MATCH('C01_BaseCalculation'!Q234&amp;INDEX('C03_ClassVariables'!$O$4:$O$9,MATCH(INDEX($L$160:$L$239,MATCH(Q234,$N$160:$N$239,0),1),'C03_ClassVariables'!$M$4:$M$9,0),1),T041_ClassFeatures!$S$2:$S$556&amp;T041_ClassFeatures!$R$2:$R$556,0),1),"")</f>
        <v/>
      </c>
      <c r="W234" s="140" t="str">
        <f t="shared" si="56"/>
        <v/>
      </c>
      <c r="X234" s="140" t="str">
        <f>IFERROR(INDEX(T041_ClassFeatures!$C$2:$C$546,MATCH('C01_BaseCalculation'!W234,T041_ClassFeatures!$B$2:$B$546,0),1),"")</f>
        <v/>
      </c>
      <c r="Y234" s="140" t="str">
        <f>IFERROR(INDEX(T041_ClassFeatures!$F$2:$F$546,MATCH('C01_BaseCalculation'!W234,T041_ClassFeatures!$B$2:$B$546,0),1),"")</f>
        <v/>
      </c>
      <c r="Z234" s="140" t="str">
        <f t="shared" si="57"/>
        <v/>
      </c>
      <c r="AA234" s="167">
        <v>1</v>
      </c>
      <c r="AB234" s="140" t="str">
        <f t="shared" si="58"/>
        <v/>
      </c>
      <c r="AC234" s="140" t="str">
        <f t="shared" si="59"/>
        <v/>
      </c>
      <c r="AD234" s="140">
        <f>IF(AA234=0,0,COUNTIF(AD$160:$AD233,"&gt;0")+1)</f>
        <v>67</v>
      </c>
    </row>
    <row r="235" spans="11:30" x14ac:dyDescent="0.3">
      <c r="K235" s="140">
        <f>K234</f>
        <v>19</v>
      </c>
      <c r="L235" s="140" t="str">
        <f t="shared" si="50"/>
        <v>Fighter</v>
      </c>
      <c r="M235" s="140">
        <v>76</v>
      </c>
      <c r="N235" s="140" t="str">
        <f t="shared" si="51"/>
        <v/>
      </c>
      <c r="O235" s="231">
        <f t="shared" si="52"/>
        <v>0</v>
      </c>
      <c r="P235" s="231">
        <f>IF(O235=0,0,COUNTIF(P$160:$P234,"&gt;0")+1)</f>
        <v>0</v>
      </c>
      <c r="Q235" s="140" t="str">
        <f t="shared" si="53"/>
        <v/>
      </c>
      <c r="R235" s="140" t="str">
        <f t="shared" si="54"/>
        <v/>
      </c>
      <c r="S235" s="140" t="str">
        <f>IFERROR(INDEX(T041_ClassFeatures!$U$2:$U$343,MATCH('C01_BaseCalculation'!$Q235,T041_ClassFeatures!$B$2:$B$343,0),1),"")</f>
        <v/>
      </c>
      <c r="T235" s="140" t="str">
        <f>IFERROR(INDEX(T041_ClassFeatures!$U$2:$U$343,MATCH('C01_BaseCalculation'!$Q235,T041_ClassFeatures!$B$2:$B$343,0),1),"")</f>
        <v/>
      </c>
      <c r="U235" s="140">
        <f t="shared" si="55"/>
        <v>0</v>
      </c>
      <c r="V235" s="140" t="str">
        <f t="array" ref="V235">IFERROR(INDEX(T041_ClassFeatures!$B$2:$B$556,MATCH('C01_BaseCalculation'!Q235&amp;INDEX('C03_ClassVariables'!$O$4:$O$9,MATCH(INDEX($L$160:$L$239,MATCH(Q235,$N$160:$N$239,0),1),'C03_ClassVariables'!$M$4:$M$9,0),1),T041_ClassFeatures!$S$2:$S$556&amp;T041_ClassFeatures!$R$2:$R$556,0),1),"")</f>
        <v/>
      </c>
      <c r="W235" s="140" t="str">
        <f t="shared" si="56"/>
        <v/>
      </c>
      <c r="X235" s="140" t="str">
        <f>IFERROR(INDEX(T041_ClassFeatures!$C$2:$C$546,MATCH('C01_BaseCalculation'!W235,T041_ClassFeatures!$B$2:$B$546,0),1),"")</f>
        <v/>
      </c>
      <c r="Y235" s="140" t="str">
        <f>IFERROR(INDEX(T041_ClassFeatures!$F$2:$F$546,MATCH('C01_BaseCalculation'!W235,T041_ClassFeatures!$B$2:$B$546,0),1),"")</f>
        <v/>
      </c>
      <c r="Z235" s="140" t="str">
        <f t="shared" si="57"/>
        <v/>
      </c>
      <c r="AA235" s="167">
        <v>1</v>
      </c>
      <c r="AB235" s="140" t="str">
        <f t="shared" si="58"/>
        <v/>
      </c>
      <c r="AC235" s="140" t="str">
        <f t="shared" si="59"/>
        <v/>
      </c>
      <c r="AD235" s="140">
        <f>IF(AA235=0,0,COUNTIF(AD$160:$AD234,"&gt;0")+1)</f>
        <v>68</v>
      </c>
    </row>
    <row r="236" spans="11:30" x14ac:dyDescent="0.3">
      <c r="K236" s="140">
        <f>K235+1</f>
        <v>20</v>
      </c>
      <c r="L236" s="140" t="str">
        <f t="shared" si="50"/>
        <v>Fighter</v>
      </c>
      <c r="M236" s="140">
        <v>77</v>
      </c>
      <c r="N236" s="140" t="str">
        <f t="shared" si="51"/>
        <v>Ability Score Improvement</v>
      </c>
      <c r="O236" s="231">
        <f t="shared" si="52"/>
        <v>1</v>
      </c>
      <c r="P236" s="231">
        <f>IF(O236=0,0,COUNTIF(P$160:$P235,"&gt;0")+1)</f>
        <v>21</v>
      </c>
      <c r="Q236" s="140" t="str">
        <f t="shared" si="53"/>
        <v/>
      </c>
      <c r="R236" s="140" t="str">
        <f t="shared" si="54"/>
        <v/>
      </c>
      <c r="S236" s="140" t="str">
        <f>IFERROR(INDEX(T041_ClassFeatures!$U$2:$U$343,MATCH('C01_BaseCalculation'!$Q236,T041_ClassFeatures!$B$2:$B$343,0),1),"")</f>
        <v/>
      </c>
      <c r="T236" s="140" t="str">
        <f>IFERROR(INDEX(T041_ClassFeatures!$U$2:$U$343,MATCH('C01_BaseCalculation'!$Q236,T041_ClassFeatures!$B$2:$B$343,0),1),"")</f>
        <v/>
      </c>
      <c r="U236" s="140">
        <f t="shared" si="55"/>
        <v>0</v>
      </c>
      <c r="V236" s="140" t="str">
        <f t="array" ref="V236">IFERROR(INDEX(T041_ClassFeatures!$B$2:$B$556,MATCH('C01_BaseCalculation'!Q236&amp;INDEX('C03_ClassVariables'!$O$4:$O$9,MATCH(INDEX($L$160:$L$239,MATCH(Q236,$N$160:$N$239,0),1),'C03_ClassVariables'!$M$4:$M$9,0),1),T041_ClassFeatures!$S$2:$S$556&amp;T041_ClassFeatures!$R$2:$R$556,0),1),"")</f>
        <v/>
      </c>
      <c r="W236" s="140" t="str">
        <f t="shared" si="56"/>
        <v/>
      </c>
      <c r="X236" s="140" t="str">
        <f>IFERROR(INDEX(T041_ClassFeatures!$C$2:$C$546,MATCH('C01_BaseCalculation'!W236,T041_ClassFeatures!$B$2:$B$546,0),1),"")</f>
        <v/>
      </c>
      <c r="Y236" s="140" t="str">
        <f>IFERROR(INDEX(T041_ClassFeatures!$F$2:$F$546,MATCH('C01_BaseCalculation'!W236,T041_ClassFeatures!$B$2:$B$546,0),1),"")</f>
        <v/>
      </c>
      <c r="Z236" s="140" t="str">
        <f t="shared" si="57"/>
        <v/>
      </c>
      <c r="AA236" s="167">
        <v>1</v>
      </c>
      <c r="AB236" s="140" t="str">
        <f t="shared" si="58"/>
        <v/>
      </c>
      <c r="AC236" s="140" t="str">
        <f t="shared" si="59"/>
        <v/>
      </c>
      <c r="AD236" s="140">
        <f>IF(AA236=0,0,COUNTIF(AD$160:$AD235,"&gt;0")+1)</f>
        <v>69</v>
      </c>
    </row>
    <row r="237" spans="11:30" x14ac:dyDescent="0.3">
      <c r="K237" s="140">
        <f>K236</f>
        <v>20</v>
      </c>
      <c r="L237" s="140" t="str">
        <f t="shared" si="50"/>
        <v>Fighter</v>
      </c>
      <c r="M237" s="140">
        <v>78</v>
      </c>
      <c r="N237" s="140">
        <f t="shared" si="51"/>
        <v>0</v>
      </c>
      <c r="O237" s="231">
        <f t="shared" si="52"/>
        <v>0</v>
      </c>
      <c r="P237" s="231">
        <f>IF(O237=0,0,COUNTIF(P$160:$P236,"&gt;0")+1)</f>
        <v>0</v>
      </c>
      <c r="Q237" s="140" t="str">
        <f t="shared" si="53"/>
        <v/>
      </c>
      <c r="R237" s="140" t="str">
        <f t="shared" si="54"/>
        <v/>
      </c>
      <c r="S237" s="140" t="str">
        <f>IFERROR(INDEX(T041_ClassFeatures!$U$2:$U$343,MATCH('C01_BaseCalculation'!$Q237,T041_ClassFeatures!$B$2:$B$343,0),1),"")</f>
        <v/>
      </c>
      <c r="T237" s="140" t="str">
        <f>IFERROR(INDEX(T041_ClassFeatures!$U$2:$U$343,MATCH('C01_BaseCalculation'!$Q237,T041_ClassFeatures!$B$2:$B$343,0),1),"")</f>
        <v/>
      </c>
      <c r="U237" s="140">
        <f t="shared" si="55"/>
        <v>0</v>
      </c>
      <c r="V237" s="140" t="str">
        <f t="array" ref="V237">IFERROR(INDEX(T041_ClassFeatures!$B$2:$B$556,MATCH('C01_BaseCalculation'!Q237&amp;INDEX('C03_ClassVariables'!$O$4:$O$9,MATCH(INDEX($L$160:$L$239,MATCH(Q237,$N$160:$N$239,0),1),'C03_ClassVariables'!$M$4:$M$9,0),1),T041_ClassFeatures!$S$2:$S$556&amp;T041_ClassFeatures!$R$2:$R$556,0),1),"")</f>
        <v/>
      </c>
      <c r="W237" s="140" t="str">
        <f t="shared" si="56"/>
        <v/>
      </c>
      <c r="X237" s="140" t="str">
        <f>IFERROR(INDEX(T041_ClassFeatures!$C$2:$C$546,MATCH('C01_BaseCalculation'!W237,T041_ClassFeatures!$B$2:$B$546,0),1),"")</f>
        <v/>
      </c>
      <c r="Y237" s="140" t="str">
        <f>IFERROR(INDEX(T041_ClassFeatures!$F$2:$F$546,MATCH('C01_BaseCalculation'!W237,T041_ClassFeatures!$B$2:$B$546,0),1),"")</f>
        <v/>
      </c>
      <c r="Z237" s="140" t="str">
        <f t="shared" si="57"/>
        <v/>
      </c>
      <c r="AA237" s="167">
        <v>1</v>
      </c>
      <c r="AB237" s="140" t="str">
        <f t="shared" si="58"/>
        <v/>
      </c>
      <c r="AC237" s="140" t="str">
        <f t="shared" si="59"/>
        <v/>
      </c>
      <c r="AD237" s="140">
        <f>IF(AA237=0,0,COUNTIF(AD$160:$AD236,"&gt;0")+1)</f>
        <v>70</v>
      </c>
    </row>
    <row r="238" spans="11:30" x14ac:dyDescent="0.3">
      <c r="K238" s="140">
        <f>K237</f>
        <v>20</v>
      </c>
      <c r="L238" s="140" t="str">
        <f t="shared" si="50"/>
        <v>Fighter</v>
      </c>
      <c r="M238" s="140">
        <v>79</v>
      </c>
      <c r="N238" s="140" t="str">
        <f t="shared" si="51"/>
        <v/>
      </c>
      <c r="O238" s="231">
        <f t="shared" si="52"/>
        <v>0</v>
      </c>
      <c r="P238" s="231">
        <f>IF(O238=0,0,COUNTIF(P$160:$P237,"&gt;0")+1)</f>
        <v>0</v>
      </c>
      <c r="Q238" s="140" t="str">
        <f t="shared" si="53"/>
        <v/>
      </c>
      <c r="R238" s="140" t="str">
        <f t="shared" si="54"/>
        <v/>
      </c>
      <c r="S238" s="140" t="str">
        <f>IFERROR(INDEX(T041_ClassFeatures!$U$2:$U$343,MATCH('C01_BaseCalculation'!$Q238,T041_ClassFeatures!$B$2:$B$343,0),1),"")</f>
        <v/>
      </c>
      <c r="T238" s="140" t="str">
        <f>IFERROR(INDEX(T041_ClassFeatures!$U$2:$U$343,MATCH('C01_BaseCalculation'!$Q238,T041_ClassFeatures!$B$2:$B$343,0),1),"")</f>
        <v/>
      </c>
      <c r="U238" s="140">
        <f t="shared" si="55"/>
        <v>0</v>
      </c>
      <c r="V238" s="140" t="str">
        <f t="array" ref="V238">IFERROR(INDEX(T041_ClassFeatures!$B$2:$B$556,MATCH('C01_BaseCalculation'!Q238&amp;INDEX('C03_ClassVariables'!$O$4:$O$9,MATCH(INDEX($L$160:$L$239,MATCH(Q238,$N$160:$N$239,0),1),'C03_ClassVariables'!$M$4:$M$9,0),1),T041_ClassFeatures!$S$2:$S$556&amp;T041_ClassFeatures!$R$2:$R$556,0),1),"")</f>
        <v/>
      </c>
      <c r="W238" s="140" t="str">
        <f t="shared" si="56"/>
        <v/>
      </c>
      <c r="X238" s="140" t="str">
        <f>IFERROR(INDEX(T041_ClassFeatures!$C$2:$C$546,MATCH('C01_BaseCalculation'!W238,T041_ClassFeatures!$B$2:$B$546,0),1),"")</f>
        <v/>
      </c>
      <c r="Y238" s="140" t="str">
        <f>IFERROR(INDEX(T041_ClassFeatures!$F$2:$F$546,MATCH('C01_BaseCalculation'!W238,T041_ClassFeatures!$B$2:$B$546,0),1),"")</f>
        <v/>
      </c>
      <c r="Z238" s="140" t="str">
        <f t="shared" si="57"/>
        <v/>
      </c>
      <c r="AA238" s="167">
        <v>1</v>
      </c>
      <c r="AB238" s="140" t="str">
        <f t="shared" si="58"/>
        <v/>
      </c>
      <c r="AC238" s="140" t="str">
        <f t="shared" si="59"/>
        <v/>
      </c>
      <c r="AD238" s="140">
        <f>IF(AA238=0,0,COUNTIF(AD$160:$AD237,"&gt;0")+1)</f>
        <v>71</v>
      </c>
    </row>
    <row r="239" spans="11:30" x14ac:dyDescent="0.3">
      <c r="K239" s="140">
        <f>K238</f>
        <v>20</v>
      </c>
      <c r="L239" s="140" t="str">
        <f t="shared" si="50"/>
        <v>Fighter</v>
      </c>
      <c r="M239" s="140">
        <v>80</v>
      </c>
      <c r="N239" s="140" t="str">
        <f t="shared" si="51"/>
        <v/>
      </c>
      <c r="O239" s="231">
        <f t="shared" si="52"/>
        <v>0</v>
      </c>
      <c r="P239" s="231">
        <f>IF(O239=0,0,COUNTIF(P$160:$P238,"&gt;0")+1)</f>
        <v>0</v>
      </c>
      <c r="Q239" s="140" t="str">
        <f t="shared" si="53"/>
        <v/>
      </c>
      <c r="R239" s="140" t="str">
        <f t="shared" si="54"/>
        <v/>
      </c>
      <c r="S239" s="140" t="str">
        <f>IFERROR(INDEX(T041_ClassFeatures!$U$2:$U$343,MATCH('C01_BaseCalculation'!$Q239,T041_ClassFeatures!$B$2:$B$343,0),1),"")</f>
        <v/>
      </c>
      <c r="T239" s="140" t="str">
        <f>IFERROR(INDEX(T041_ClassFeatures!$U$2:$U$343,MATCH('C01_BaseCalculation'!$Q239,T041_ClassFeatures!$B$2:$B$343,0),1),"")</f>
        <v/>
      </c>
      <c r="U239" s="140">
        <f t="shared" si="55"/>
        <v>0</v>
      </c>
      <c r="V239" s="140" t="str">
        <f t="array" ref="V239">IFERROR(INDEX(T041_ClassFeatures!$B$2:$B$556,MATCH('C01_BaseCalculation'!Q239&amp;INDEX('C03_ClassVariables'!$O$4:$O$9,MATCH(INDEX($L$160:$L$239,MATCH(Q239,$N$160:$N$239,0),1),'C03_ClassVariables'!$M$4:$M$9,0),1),T041_ClassFeatures!$S$2:$S$556&amp;T041_ClassFeatures!$R$2:$R$556,0),1),"")</f>
        <v/>
      </c>
      <c r="W239" s="140" t="str">
        <f t="shared" si="56"/>
        <v/>
      </c>
      <c r="X239" s="140" t="str">
        <f>IFERROR(INDEX(T041_ClassFeatures!$C$2:$C$546,MATCH('C01_BaseCalculation'!W239,T041_ClassFeatures!$B$2:$B$546,0),1),"")</f>
        <v/>
      </c>
      <c r="Y239" s="140" t="str">
        <f>IFERROR(INDEX(T041_ClassFeatures!$F$2:$F$546,MATCH('C01_BaseCalculation'!W239,T041_ClassFeatures!$B$2:$B$546,0),1),"")</f>
        <v/>
      </c>
      <c r="Z239" s="140" t="str">
        <f t="shared" si="57"/>
        <v/>
      </c>
      <c r="AA239" s="167">
        <v>1</v>
      </c>
      <c r="AB239" s="140" t="str">
        <f t="shared" si="58"/>
        <v/>
      </c>
      <c r="AC239" s="140" t="str">
        <f t="shared" si="59"/>
        <v/>
      </c>
      <c r="AD239" s="140">
        <f>IF(AA239=0,0,COUNTIF(AD$160:$AD238,"&gt;0")+1)</f>
        <v>72</v>
      </c>
    </row>
  </sheetData>
  <mergeCells count="5">
    <mergeCell ref="T13:W13"/>
    <mergeCell ref="X14:Y14"/>
    <mergeCell ref="Z14:AB14"/>
    <mergeCell ref="R13:S13"/>
    <mergeCell ref="B10:F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17">
    <tabColor rgb="FFFFFF00"/>
  </sheetPr>
  <dimension ref="A1:BE300"/>
  <sheetViews>
    <sheetView topLeftCell="AC1" zoomScale="85" zoomScaleNormal="85" workbookViewId="0">
      <selection activeCell="AE25" sqref="AE25"/>
    </sheetView>
  </sheetViews>
  <sheetFormatPr defaultRowHeight="15" x14ac:dyDescent="0.25"/>
  <cols>
    <col min="1" max="1" width="3.7109375" customWidth="1"/>
    <col min="2" max="7" width="6.7109375" customWidth="1"/>
    <col min="8" max="8" width="7.5703125" customWidth="1"/>
    <col min="9" max="20" width="6.7109375" customWidth="1"/>
    <col min="24" max="24" width="14.28515625" bestFit="1" customWidth="1"/>
    <col min="25" max="25" width="22.7109375" customWidth="1"/>
    <col min="29" max="29" width="63.5703125" customWidth="1"/>
    <col min="31" max="31" width="31" customWidth="1"/>
  </cols>
  <sheetData>
    <row r="1" spans="1:57" ht="15.75" thickBot="1" x14ac:dyDescent="0.3">
      <c r="A1" s="119"/>
      <c r="B1" s="1002" t="s">
        <v>4253</v>
      </c>
      <c r="C1" s="1003"/>
      <c r="D1" s="1003"/>
      <c r="E1" s="1003"/>
      <c r="F1" s="1003"/>
      <c r="G1" s="1003"/>
      <c r="H1" s="1003"/>
      <c r="I1" s="1003"/>
      <c r="J1" s="1003"/>
      <c r="K1" s="1003"/>
      <c r="L1" s="1003"/>
      <c r="M1" s="1003"/>
      <c r="N1" s="1003"/>
      <c r="O1" s="1003"/>
      <c r="P1" s="1003"/>
      <c r="Q1" s="1003"/>
      <c r="R1" s="1003"/>
      <c r="S1" s="1003"/>
      <c r="T1" s="1004"/>
      <c r="U1" s="138"/>
      <c r="V1" s="118"/>
      <c r="X1" t="s">
        <v>2253</v>
      </c>
      <c r="Y1" t="str">
        <f>INDEX(T04_Classes!$P$3:$P$102,SelectedClassID,1)</f>
        <v>Str</v>
      </c>
      <c r="AC1" s="127" t="s">
        <v>2236</v>
      </c>
      <c r="AE1" s="127" t="s">
        <v>2768</v>
      </c>
      <c r="AH1" s="249" t="s">
        <v>3592</v>
      </c>
      <c r="AI1" s="248" t="s">
        <v>3566</v>
      </c>
      <c r="AJ1" s="248" t="s">
        <v>2274</v>
      </c>
      <c r="AK1" s="248" t="s">
        <v>3325</v>
      </c>
      <c r="AN1" s="232" t="s">
        <v>3593</v>
      </c>
      <c r="AO1" s="127" t="s">
        <v>3566</v>
      </c>
      <c r="AP1" s="127" t="s">
        <v>2274</v>
      </c>
      <c r="AR1" s="232" t="s">
        <v>4119</v>
      </c>
      <c r="AS1" s="248" t="s">
        <v>4297</v>
      </c>
      <c r="AU1" s="232" t="s">
        <v>1111</v>
      </c>
      <c r="AV1" s="248" t="s">
        <v>3566</v>
      </c>
      <c r="AX1" s="249" t="s">
        <v>89</v>
      </c>
      <c r="AY1" s="248" t="s">
        <v>3566</v>
      </c>
      <c r="BA1" s="232" t="s">
        <v>173</v>
      </c>
      <c r="BB1" s="258" t="s">
        <v>3566</v>
      </c>
    </row>
    <row r="2" spans="1:57" ht="15.75" customHeight="1" thickBot="1" x14ac:dyDescent="0.3">
      <c r="A2" s="119"/>
      <c r="B2" s="1005"/>
      <c r="C2" s="1006"/>
      <c r="D2" s="1006"/>
      <c r="E2" s="1006"/>
      <c r="F2" s="1006"/>
      <c r="G2" s="1006"/>
      <c r="H2" s="1006"/>
      <c r="I2" s="1006"/>
      <c r="J2" s="1006"/>
      <c r="K2" s="1006"/>
      <c r="L2" s="1006"/>
      <c r="M2" s="1006"/>
      <c r="N2" s="1006"/>
      <c r="O2" s="1006"/>
      <c r="P2" s="1006"/>
      <c r="Q2" s="1006"/>
      <c r="R2" s="1006"/>
      <c r="S2" s="1006"/>
      <c r="T2" s="1007"/>
      <c r="U2" s="138"/>
      <c r="V2" s="118"/>
      <c r="X2" t="s">
        <v>2254</v>
      </c>
      <c r="Y2" t="str">
        <f>INDEX(T04_Classes!$Q$3:$Q$102,SelectedClassID,1)</f>
        <v>Con</v>
      </c>
      <c r="AC2" s="128" t="str">
        <f>IFERROR(Character_Creation!#REF!,"")</f>
        <v/>
      </c>
      <c r="AE2" s="4" t="s">
        <v>2261</v>
      </c>
      <c r="AF2" s="4">
        <f>IF(IFERROR(MATCH(AE2,$AC$2:$AC$201,0),0)&gt;0,1,0)</f>
        <v>0</v>
      </c>
      <c r="AH2" s="237" t="s">
        <v>607</v>
      </c>
      <c r="AI2" s="237"/>
      <c r="AJ2" s="237"/>
      <c r="AK2" s="4">
        <f t="shared" ref="AK2:AK19" si="0">IF(OR(SelectedSkill13=AH2,SelectedSkill14=AH2),1,0)</f>
        <v>0</v>
      </c>
      <c r="AN2" s="4" t="s">
        <v>186</v>
      </c>
      <c r="AO2" s="4"/>
      <c r="AP2" s="4"/>
      <c r="AR2" s="4" t="s">
        <v>43</v>
      </c>
      <c r="AS2" s="4"/>
      <c r="AU2" s="4" t="s">
        <v>35</v>
      </c>
      <c r="AV2" s="4">
        <f t="shared" ref="AV2:AV39" ca="1" si="1">OFFSET(AB126,0,-1)</f>
        <v>1</v>
      </c>
      <c r="AX2" s="4" t="s">
        <v>3084</v>
      </c>
      <c r="AY2" s="4">
        <f>IF(IFERROR(SEARCH("Light Armor",$Y$68),-1)&gt;-1,1,0)</f>
        <v>1</v>
      </c>
      <c r="BA2" s="4" t="s">
        <v>35</v>
      </c>
      <c r="BB2" s="4">
        <f t="shared" ref="BB2:BB24" si="2">INDEX($AA$126:$AA$163,MATCH(BA2,$W$126:$W$163,0),1)</f>
        <v>1</v>
      </c>
      <c r="BC2" s="4">
        <f>IF(MartialWeaponsProficiency=0,IF(BB2=0,0,1),0)</f>
        <v>0</v>
      </c>
      <c r="BD2" s="4">
        <v>1</v>
      </c>
      <c r="BE2" s="4" t="str">
        <f>IFERROR(INDEX($BA$2:$BA$24,MATCH(BD2,$BC$2:$BC$24,0),1),"")</f>
        <v/>
      </c>
    </row>
    <row r="3" spans="1:57" x14ac:dyDescent="0.25">
      <c r="A3" s="119"/>
      <c r="B3" s="120"/>
      <c r="C3" s="120"/>
      <c r="D3" s="120"/>
      <c r="E3" s="120"/>
      <c r="F3" s="120"/>
      <c r="G3" s="120"/>
      <c r="H3" s="120"/>
      <c r="I3" s="120"/>
      <c r="J3" s="120"/>
      <c r="K3" s="120"/>
      <c r="L3" s="120"/>
      <c r="M3" s="120"/>
      <c r="N3" s="120"/>
      <c r="O3" s="120"/>
      <c r="P3" s="120"/>
      <c r="Q3" s="120"/>
      <c r="R3" s="120"/>
      <c r="S3" s="120"/>
      <c r="T3" s="120"/>
      <c r="U3" s="138"/>
      <c r="V3" s="118"/>
      <c r="AC3" s="129" t="str">
        <f>IFERROR(Character_Creation!#REF!,"")</f>
        <v/>
      </c>
      <c r="AE3" s="4" t="s">
        <v>2262</v>
      </c>
      <c r="AF3" s="4">
        <f t="shared" ref="AF3:AF66" si="3">IF(IFERROR(MATCH(AE3,$AC$2:$AC$201,0),0)&gt;0,1,0)</f>
        <v>0</v>
      </c>
      <c r="AH3" s="237" t="s">
        <v>79</v>
      </c>
      <c r="AI3" s="237"/>
      <c r="AJ3" s="237"/>
      <c r="AK3" s="4">
        <f t="shared" si="0"/>
        <v>0</v>
      </c>
      <c r="AN3" s="4" t="s">
        <v>229</v>
      </c>
      <c r="AO3" s="4"/>
      <c r="AP3" s="4"/>
      <c r="AR3" s="4" t="s">
        <v>42</v>
      </c>
      <c r="AS3" s="4"/>
      <c r="AU3" s="4" t="s">
        <v>116</v>
      </c>
      <c r="AV3" s="4">
        <f t="shared" ca="1" si="1"/>
        <v>1</v>
      </c>
      <c r="AX3" s="4" t="s">
        <v>3087</v>
      </c>
      <c r="AY3" s="4">
        <f>IF(IFERROR(SEARCH("Medium Armor",$Y$68),-1)&gt;-1,1,0)</f>
        <v>1</v>
      </c>
      <c r="BA3" s="4" t="s">
        <v>116</v>
      </c>
      <c r="BB3" s="4">
        <f t="shared" si="2"/>
        <v>1</v>
      </c>
      <c r="BC3" s="4">
        <f>IF(MartialWeaponsProficiency=0,IF(BB3=0,0,COUNTIF($BC$2:BC2,"&gt;0")+1),0)</f>
        <v>0</v>
      </c>
      <c r="BD3" s="4" t="str">
        <f>IFERROR(IF(BD2+1&lt;MAX(BC2:BC24)+1,BD2+1,""),"")</f>
        <v/>
      </c>
      <c r="BE3" s="4" t="str">
        <f t="shared" ref="BE3:BE24" si="4">IFERROR(INDEX($BA$2:$BA$24,MATCH(BD3,$BC$2:$BC$24,0),1),"")</f>
        <v/>
      </c>
    </row>
    <row r="4" spans="1:57" ht="16.5" thickBot="1" x14ac:dyDescent="0.3">
      <c r="A4" s="119"/>
      <c r="B4" s="119"/>
      <c r="C4" s="119"/>
      <c r="D4" s="119"/>
      <c r="E4" s="119"/>
      <c r="F4" s="10" t="s">
        <v>2232</v>
      </c>
      <c r="G4" s="10" t="s">
        <v>2255</v>
      </c>
      <c r="H4" s="10" t="s">
        <v>2256</v>
      </c>
      <c r="I4" s="10" t="s">
        <v>3562</v>
      </c>
      <c r="J4" s="10" t="s">
        <v>2231</v>
      </c>
      <c r="K4" s="10" t="s">
        <v>2237</v>
      </c>
      <c r="L4" s="120"/>
      <c r="M4" s="120"/>
      <c r="N4" s="10" t="s">
        <v>2260</v>
      </c>
      <c r="O4" s="119"/>
      <c r="P4" s="10" t="s">
        <v>2259</v>
      </c>
      <c r="Q4" s="119"/>
      <c r="R4" s="10" t="s">
        <v>2258</v>
      </c>
      <c r="S4" s="119"/>
      <c r="T4" s="10" t="s">
        <v>2257</v>
      </c>
      <c r="U4" s="138"/>
      <c r="V4" s="118"/>
      <c r="AC4" s="129" t="str">
        <f>IFERROR(Character_Creation!#REF!,"")</f>
        <v/>
      </c>
      <c r="AE4" s="4" t="s">
        <v>2263</v>
      </c>
      <c r="AF4" s="4">
        <f t="shared" si="3"/>
        <v>0</v>
      </c>
      <c r="AH4" s="237" t="s">
        <v>83</v>
      </c>
      <c r="AI4" s="237"/>
      <c r="AJ4" s="237"/>
      <c r="AK4" s="4">
        <f t="shared" si="0"/>
        <v>0</v>
      </c>
      <c r="AN4" s="4" t="s">
        <v>234</v>
      </c>
      <c r="AO4" s="4"/>
      <c r="AP4" s="4"/>
      <c r="AR4" s="4" t="s">
        <v>54</v>
      </c>
      <c r="AS4" s="4"/>
      <c r="AU4" s="4" t="s">
        <v>119</v>
      </c>
      <c r="AV4" s="4">
        <f t="shared" ca="1" si="1"/>
        <v>1</v>
      </c>
      <c r="AX4" s="4" t="s">
        <v>4144</v>
      </c>
      <c r="AY4" s="4">
        <f>OR(IF(IFERROR(SEARCH("Heavy Armor",$Y$68),-1)&gt;-1,1,0),IF(IFERROR(SEARCH("all",$Y$68),-1)&gt;-1,1,0))*1</f>
        <v>1</v>
      </c>
      <c r="BA4" s="4" t="s">
        <v>125</v>
      </c>
      <c r="BB4" s="4">
        <f t="shared" si="2"/>
        <v>1</v>
      </c>
      <c r="BC4" s="4">
        <f>IF(MartialWeaponsProficiency=0,IF(BB4=0,0,COUNTIF($BC$2:BC3,"&gt;0")+1),0)</f>
        <v>0</v>
      </c>
      <c r="BD4" s="4" t="str">
        <f t="shared" ref="BD4:BD24" si="5">IFERROR(IF(BD3+1&lt;MAX(BC3:BC25)+1,BD3+1,""),"")</f>
        <v/>
      </c>
      <c r="BE4" s="4" t="str">
        <f t="shared" si="4"/>
        <v/>
      </c>
    </row>
    <row r="5" spans="1:57" x14ac:dyDescent="0.25">
      <c r="A5" s="119"/>
      <c r="B5" s="1008" t="s">
        <v>607</v>
      </c>
      <c r="C5" s="1009"/>
      <c r="D5" s="1010"/>
      <c r="E5" s="124" t="s">
        <v>4</v>
      </c>
      <c r="F5" s="121">
        <f>IF('C03_ClassVariables'!AK214&gt;0,Proficiency_Bonus,0)</f>
        <v>6</v>
      </c>
      <c r="G5" s="122">
        <f t="shared" ref="G5:G22" si="6">IFERROR(IF(Var_JoT=1,ROUNDDOWN(Proficiency_Bonus/2,0),0),0)</f>
        <v>0</v>
      </c>
      <c r="H5" s="122">
        <f t="shared" ref="H5:H22" si="7">F5*AI2</f>
        <v>0</v>
      </c>
      <c r="I5" s="122">
        <f t="shared" ref="I5:I22" si="8">Proficiency_Bonus*2*AK2</f>
        <v>0</v>
      </c>
      <c r="J5" s="399">
        <f>DexMOD</f>
        <v>1</v>
      </c>
      <c r="K5" s="404">
        <f>F5+G5+H5+J5+I5</f>
        <v>7</v>
      </c>
      <c r="L5" s="120"/>
      <c r="M5" s="1017" t="s">
        <v>2225</v>
      </c>
      <c r="N5" s="1014">
        <f>Character_Creation!V44</f>
        <v>5</v>
      </c>
      <c r="O5" s="1016" t="s">
        <v>603</v>
      </c>
      <c r="P5" s="1014">
        <f>IF(OR(Saving_Throw1="Str",Saving_Throw2="Str"),Proficiency_Bonus,0)</f>
        <v>6</v>
      </c>
      <c r="Q5" s="1016" t="s">
        <v>603</v>
      </c>
      <c r="R5" s="1014"/>
      <c r="S5" s="1011" t="s">
        <v>605</v>
      </c>
      <c r="T5" s="1012">
        <f>N5+P5+R5</f>
        <v>11</v>
      </c>
      <c r="U5" s="138"/>
      <c r="V5" s="118"/>
      <c r="AC5" s="129" t="str">
        <f>IFERROR(Character_Creation!#REF!,"")</f>
        <v/>
      </c>
      <c r="AE5" s="4" t="s">
        <v>2264</v>
      </c>
      <c r="AF5" s="4">
        <f t="shared" si="3"/>
        <v>0</v>
      </c>
      <c r="AH5" s="237" t="s">
        <v>86</v>
      </c>
      <c r="AI5" s="237"/>
      <c r="AJ5" s="237"/>
      <c r="AK5" s="4">
        <f t="shared" si="0"/>
        <v>0</v>
      </c>
      <c r="AN5" s="4" t="s">
        <v>244</v>
      </c>
      <c r="AO5" s="4"/>
      <c r="AP5" s="4"/>
      <c r="AR5" s="4" t="s">
        <v>1097</v>
      </c>
      <c r="AS5" s="4"/>
      <c r="AU5" s="4" t="s">
        <v>123</v>
      </c>
      <c r="AV5" s="4">
        <f t="shared" ca="1" si="1"/>
        <v>1</v>
      </c>
      <c r="AX5" s="4" t="s">
        <v>3088</v>
      </c>
      <c r="AY5" s="4">
        <f>IF(IFERROR(SEARCH("Shields",$Y$68),-1)&gt;-1,1,0)</f>
        <v>1</v>
      </c>
      <c r="BA5" s="4" t="s">
        <v>127</v>
      </c>
      <c r="BB5" s="4">
        <f t="shared" si="2"/>
        <v>1</v>
      </c>
      <c r="BC5" s="4">
        <f>IF(MartialWeaponsProficiency=0,IF(BB5=0,0,COUNTIF($BC$2:BC4,"&gt;0")+1),0)</f>
        <v>0</v>
      </c>
      <c r="BD5" s="4" t="str">
        <f t="shared" si="5"/>
        <v/>
      </c>
      <c r="BE5" s="4" t="str">
        <f t="shared" si="4"/>
        <v/>
      </c>
    </row>
    <row r="6" spans="1:57" ht="15.75" thickBot="1" x14ac:dyDescent="0.3">
      <c r="A6" s="119"/>
      <c r="B6" s="996" t="s">
        <v>79</v>
      </c>
      <c r="C6" s="997"/>
      <c r="D6" s="998"/>
      <c r="E6" s="125" t="s">
        <v>7</v>
      </c>
      <c r="F6" s="400">
        <f>IF('C03_ClassVariables'!AK215&gt;0,Proficiency_Bonus,0)</f>
        <v>0</v>
      </c>
      <c r="G6" s="7">
        <f t="shared" si="6"/>
        <v>0</v>
      </c>
      <c r="H6" s="7">
        <f t="shared" si="7"/>
        <v>0</v>
      </c>
      <c r="I6" s="7">
        <f t="shared" si="8"/>
        <v>0</v>
      </c>
      <c r="J6" s="401">
        <f>WisMOD</f>
        <v>0</v>
      </c>
      <c r="K6" s="405">
        <f t="shared" ref="K6:K22" si="9">F6+G6+H6+J6+I6</f>
        <v>0</v>
      </c>
      <c r="L6" s="120"/>
      <c r="M6" s="1017"/>
      <c r="N6" s="1015"/>
      <c r="O6" s="1016"/>
      <c r="P6" s="1015"/>
      <c r="Q6" s="1016"/>
      <c r="R6" s="1015"/>
      <c r="S6" s="1011"/>
      <c r="T6" s="1013"/>
      <c r="U6" s="138"/>
      <c r="V6" s="118"/>
      <c r="X6" t="s">
        <v>93</v>
      </c>
      <c r="Y6">
        <f>IF(IFERROR(SEARCH(X6,INDEX(T04_Classes!$O$3:$O$102,SelectedClassID,1),1),-1)&gt;-1,1,0)</f>
        <v>1</v>
      </c>
      <c r="AC6" s="130" t="str">
        <f>IFERROR(Character_Creation!#REF!,"")</f>
        <v/>
      </c>
      <c r="AE6" s="4" t="s">
        <v>2293</v>
      </c>
      <c r="AF6" s="4">
        <f t="shared" si="3"/>
        <v>0</v>
      </c>
      <c r="AH6" s="237" t="s">
        <v>74</v>
      </c>
      <c r="AI6" s="237"/>
      <c r="AJ6" s="237"/>
      <c r="AK6" s="4">
        <f t="shared" si="0"/>
        <v>0</v>
      </c>
      <c r="AN6" s="4" t="s">
        <v>248</v>
      </c>
      <c r="AO6" s="4"/>
      <c r="AP6" s="4"/>
      <c r="AR6" s="4" t="s">
        <v>1098</v>
      </c>
      <c r="AS6" s="4"/>
      <c r="AU6" s="4" t="s">
        <v>124</v>
      </c>
      <c r="AV6" s="4">
        <f t="shared" ca="1" si="1"/>
        <v>1</v>
      </c>
      <c r="AX6" s="4" t="s">
        <v>4146</v>
      </c>
      <c r="AY6" s="4">
        <f>IF(IFERROR(SEARCH("Simple Weapons",$Y$68),-1)&gt;-1,1,0)</f>
        <v>1</v>
      </c>
      <c r="BA6" s="4" t="s">
        <v>130</v>
      </c>
      <c r="BB6" s="4">
        <f t="shared" si="2"/>
        <v>1</v>
      </c>
      <c r="BC6" s="4">
        <f>IF(MartialWeaponsProficiency=0,IF(BB6=0,0,COUNTIF($BC$2:BC5,"&gt;0")+1),0)</f>
        <v>0</v>
      </c>
      <c r="BD6" s="4" t="str">
        <f t="shared" si="5"/>
        <v/>
      </c>
      <c r="BE6" s="4" t="str">
        <f t="shared" si="4"/>
        <v/>
      </c>
    </row>
    <row r="7" spans="1:57" x14ac:dyDescent="0.25">
      <c r="A7" s="119"/>
      <c r="B7" s="996" t="s">
        <v>83</v>
      </c>
      <c r="C7" s="997"/>
      <c r="D7" s="998"/>
      <c r="E7" s="125" t="s">
        <v>6</v>
      </c>
      <c r="F7" s="400">
        <f>IF('C03_ClassVariables'!AK216&gt;0,Proficiency_Bonus,0)</f>
        <v>6</v>
      </c>
      <c r="G7" s="7">
        <f t="shared" si="6"/>
        <v>0</v>
      </c>
      <c r="H7" s="7">
        <f t="shared" si="7"/>
        <v>0</v>
      </c>
      <c r="I7" s="7">
        <f t="shared" si="8"/>
        <v>0</v>
      </c>
      <c r="J7" s="401">
        <f>IntMOD</f>
        <v>5</v>
      </c>
      <c r="K7" s="405">
        <f t="shared" si="9"/>
        <v>11</v>
      </c>
      <c r="L7" s="120"/>
      <c r="M7" s="1017" t="s">
        <v>2226</v>
      </c>
      <c r="N7" s="1014">
        <f>Character_Creation!V46</f>
        <v>1</v>
      </c>
      <c r="O7" s="1016" t="s">
        <v>603</v>
      </c>
      <c r="P7" s="1014">
        <f>IF(OR(Saving_Throw1="Dex",Saving_Throw2="Dex"),Proficiency_Bonus,0)</f>
        <v>0</v>
      </c>
      <c r="Q7" s="1016" t="s">
        <v>603</v>
      </c>
      <c r="R7" s="1014"/>
      <c r="S7" s="1011" t="s">
        <v>605</v>
      </c>
      <c r="T7" s="1012">
        <f>N7+P7+R7</f>
        <v>1</v>
      </c>
      <c r="U7" s="138"/>
      <c r="V7" s="118"/>
      <c r="X7" t="s">
        <v>2970</v>
      </c>
      <c r="Y7">
        <f>IF(IFERROR(SEARCH(X7,INDEX(T04_Classes!$O$3:$O$102,SelectedClassID,1),1),-1)&gt;-1,1,0)</f>
        <v>0</v>
      </c>
      <c r="AC7" s="129"/>
      <c r="AE7" s="4" t="s">
        <v>2265</v>
      </c>
      <c r="AF7" s="4">
        <f t="shared" si="3"/>
        <v>0</v>
      </c>
      <c r="AH7" s="237" t="s">
        <v>84</v>
      </c>
      <c r="AI7" s="237"/>
      <c r="AJ7" s="237"/>
      <c r="AK7" s="4">
        <f t="shared" si="0"/>
        <v>0</v>
      </c>
      <c r="AN7" s="4" t="s">
        <v>264</v>
      </c>
      <c r="AO7" s="4"/>
      <c r="AP7" s="4"/>
      <c r="AR7" s="4" t="s">
        <v>1099</v>
      </c>
      <c r="AS7" s="4"/>
      <c r="AU7" s="4" t="s">
        <v>125</v>
      </c>
      <c r="AV7" s="4">
        <f t="shared" ca="1" si="1"/>
        <v>1</v>
      </c>
      <c r="AX7" s="4" t="s">
        <v>4145</v>
      </c>
      <c r="AY7" s="4">
        <f>IF(IFERROR(SEARCH("Martial Weapons",$Y$68),-1)&gt;-1,1,0)</f>
        <v>1</v>
      </c>
      <c r="BA7" s="4" t="s">
        <v>132</v>
      </c>
      <c r="BB7" s="4">
        <f t="shared" si="2"/>
        <v>1</v>
      </c>
      <c r="BC7" s="4">
        <f>IF(MartialWeaponsProficiency=0,IF(BB7=0,0,COUNTIF($BC$2:BC6,"&gt;0")+1),0)</f>
        <v>0</v>
      </c>
      <c r="BD7" s="4" t="str">
        <f t="shared" si="5"/>
        <v/>
      </c>
      <c r="BE7" s="4" t="str">
        <f t="shared" si="4"/>
        <v/>
      </c>
    </row>
    <row r="8" spans="1:57" ht="15.75" thickBot="1" x14ac:dyDescent="0.3">
      <c r="A8" s="119"/>
      <c r="B8" s="996" t="s">
        <v>86</v>
      </c>
      <c r="C8" s="997"/>
      <c r="D8" s="998"/>
      <c r="E8" s="125" t="s">
        <v>3</v>
      </c>
      <c r="F8" s="400">
        <f>IF('C03_ClassVariables'!AK217&gt;0,Proficiency_Bonus,0)</f>
        <v>6</v>
      </c>
      <c r="G8" s="7">
        <f t="shared" si="6"/>
        <v>0</v>
      </c>
      <c r="H8" s="7">
        <f t="shared" si="7"/>
        <v>0</v>
      </c>
      <c r="I8" s="7">
        <f t="shared" si="8"/>
        <v>0</v>
      </c>
      <c r="J8" s="401">
        <f>StrMod</f>
        <v>5</v>
      </c>
      <c r="K8" s="405">
        <f t="shared" si="9"/>
        <v>11</v>
      </c>
      <c r="L8" s="120"/>
      <c r="M8" s="1017"/>
      <c r="N8" s="1015"/>
      <c r="O8" s="1016"/>
      <c r="P8" s="1015"/>
      <c r="Q8" s="1016"/>
      <c r="R8" s="1015"/>
      <c r="S8" s="1011"/>
      <c r="T8" s="1013"/>
      <c r="U8" s="138"/>
      <c r="V8" s="118"/>
      <c r="X8" t="s">
        <v>4251</v>
      </c>
      <c r="Y8">
        <f>IF(IFERROR(SEARCH(X8,INDEX(T04_Classes!$O$3:$O$102,SelectedClassID,1),1),-1)&gt;-1,1,0)</f>
        <v>1</v>
      </c>
      <c r="AC8" s="129"/>
      <c r="AE8" s="4" t="s">
        <v>2266</v>
      </c>
      <c r="AF8" s="4">
        <f t="shared" si="3"/>
        <v>0</v>
      </c>
      <c r="AH8" s="237" t="s">
        <v>71</v>
      </c>
      <c r="AI8" s="237"/>
      <c r="AJ8" s="237"/>
      <c r="AK8" s="4">
        <f t="shared" si="0"/>
        <v>0</v>
      </c>
      <c r="AN8" s="4" t="s">
        <v>273</v>
      </c>
      <c r="AO8" s="4"/>
      <c r="AP8" s="4"/>
      <c r="AR8" s="4" t="s">
        <v>56</v>
      </c>
      <c r="AS8" s="4"/>
      <c r="AU8" s="4" t="s">
        <v>127</v>
      </c>
      <c r="AV8" s="4">
        <f t="shared" ca="1" si="1"/>
        <v>1</v>
      </c>
      <c r="BA8" s="4" t="s">
        <v>134</v>
      </c>
      <c r="BB8" s="4">
        <f t="shared" si="2"/>
        <v>1</v>
      </c>
      <c r="BC8" s="4">
        <f>IF(MartialWeaponsProficiency=0,IF(BB8=0,0,COUNTIF($BC$2:BC7,"&gt;0")+1),0)</f>
        <v>0</v>
      </c>
      <c r="BD8" s="4" t="str">
        <f t="shared" si="5"/>
        <v/>
      </c>
      <c r="BE8" s="4" t="str">
        <f t="shared" si="4"/>
        <v/>
      </c>
    </row>
    <row r="9" spans="1:57" x14ac:dyDescent="0.25">
      <c r="A9" s="119"/>
      <c r="B9" s="996" t="s">
        <v>74</v>
      </c>
      <c r="C9" s="997"/>
      <c r="D9" s="998"/>
      <c r="E9" s="125" t="s">
        <v>8</v>
      </c>
      <c r="F9" s="400">
        <f>IF('C03_ClassVariables'!AK218&gt;0,Proficiency_Bonus,0)</f>
        <v>0</v>
      </c>
      <c r="G9" s="7">
        <f t="shared" si="6"/>
        <v>0</v>
      </c>
      <c r="H9" s="7">
        <f t="shared" si="7"/>
        <v>0</v>
      </c>
      <c r="I9" s="7">
        <f t="shared" si="8"/>
        <v>0</v>
      </c>
      <c r="J9" s="401">
        <f>ChaMOD</f>
        <v>0</v>
      </c>
      <c r="K9" s="405">
        <f t="shared" si="9"/>
        <v>0</v>
      </c>
      <c r="L9" s="120"/>
      <c r="M9" s="1017" t="s">
        <v>2227</v>
      </c>
      <c r="N9" s="1014">
        <f>Character_Creation!V48</f>
        <v>1</v>
      </c>
      <c r="O9" s="1016" t="s">
        <v>603</v>
      </c>
      <c r="P9" s="1014">
        <f>IF(OR(Saving_Throw1="Con",Saving_Throw2="Con"),Proficiency_Bonus,0)</f>
        <v>6</v>
      </c>
      <c r="Q9" s="1016" t="s">
        <v>603</v>
      </c>
      <c r="R9" s="1014"/>
      <c r="S9" s="1011" t="s">
        <v>605</v>
      </c>
      <c r="T9" s="1012">
        <f>N9+P9+R9</f>
        <v>7</v>
      </c>
      <c r="U9" s="138"/>
      <c r="V9" s="118"/>
      <c r="X9" t="s">
        <v>2971</v>
      </c>
      <c r="Y9">
        <f>IF(IFERROR(SEARCH(X9,INDEX(T04_Classes!$O$3:$O$102,SelectedClassID,1),1),-1)&gt;-1,1,0)</f>
        <v>0</v>
      </c>
      <c r="AC9" s="129"/>
      <c r="AE9" s="4" t="s">
        <v>2267</v>
      </c>
      <c r="AF9" s="4">
        <f t="shared" si="3"/>
        <v>0</v>
      </c>
      <c r="AH9" s="237" t="s">
        <v>608</v>
      </c>
      <c r="AI9" s="237"/>
      <c r="AJ9" s="237"/>
      <c r="AK9" s="4">
        <f t="shared" si="0"/>
        <v>0</v>
      </c>
      <c r="AN9" s="4" t="s">
        <v>325</v>
      </c>
      <c r="AO9" s="4"/>
      <c r="AP9" s="4"/>
      <c r="AR9" s="4" t="s">
        <v>1100</v>
      </c>
      <c r="AS9" s="4"/>
      <c r="AU9" s="4" t="s">
        <v>129</v>
      </c>
      <c r="AV9" s="4">
        <f t="shared" ca="1" si="1"/>
        <v>1</v>
      </c>
      <c r="BA9" s="4" t="s">
        <v>135</v>
      </c>
      <c r="BB9" s="4">
        <f t="shared" si="2"/>
        <v>1</v>
      </c>
      <c r="BC9" s="4">
        <f>IF(MartialWeaponsProficiency=0,IF(BB9=0,0,COUNTIF($BC$2:BC8,"&gt;0")+1),0)</f>
        <v>0</v>
      </c>
      <c r="BD9" s="4" t="str">
        <f t="shared" si="5"/>
        <v/>
      </c>
      <c r="BE9" s="4" t="str">
        <f t="shared" si="4"/>
        <v/>
      </c>
    </row>
    <row r="10" spans="1:57" ht="15.75" thickBot="1" x14ac:dyDescent="0.3">
      <c r="A10" s="119"/>
      <c r="B10" s="996" t="s">
        <v>84</v>
      </c>
      <c r="C10" s="997"/>
      <c r="D10" s="998"/>
      <c r="E10" s="125" t="s">
        <v>6</v>
      </c>
      <c r="F10" s="400">
        <f>IF('C03_ClassVariables'!AK219&gt;0,Proficiency_Bonus,0)</f>
        <v>6</v>
      </c>
      <c r="G10" s="7">
        <f t="shared" si="6"/>
        <v>0</v>
      </c>
      <c r="H10" s="7">
        <f t="shared" si="7"/>
        <v>0</v>
      </c>
      <c r="I10" s="7">
        <f t="shared" si="8"/>
        <v>0</v>
      </c>
      <c r="J10" s="401">
        <f>IntMOD</f>
        <v>5</v>
      </c>
      <c r="K10" s="405">
        <f t="shared" si="9"/>
        <v>11</v>
      </c>
      <c r="L10" s="120"/>
      <c r="M10" s="1017"/>
      <c r="N10" s="1015"/>
      <c r="O10" s="1016"/>
      <c r="P10" s="1015"/>
      <c r="Q10" s="1016"/>
      <c r="R10" s="1015"/>
      <c r="S10" s="1011"/>
      <c r="T10" s="1013"/>
      <c r="U10" s="138"/>
      <c r="V10" s="118"/>
      <c r="X10" t="s">
        <v>2969</v>
      </c>
      <c r="Y10">
        <f>IF(IFERROR(SEARCH(X10,INDEX(T04_Classes!$O$3:$O$102,SelectedClassID,1),1),-1)&gt;-1,1,0)</f>
        <v>0</v>
      </c>
      <c r="AC10" s="129"/>
      <c r="AE10" s="4" t="s">
        <v>2268</v>
      </c>
      <c r="AF10" s="4">
        <f t="shared" si="3"/>
        <v>0</v>
      </c>
      <c r="AH10" s="237" t="s">
        <v>609</v>
      </c>
      <c r="AI10" s="237"/>
      <c r="AJ10" s="237"/>
      <c r="AK10" s="4">
        <f t="shared" si="0"/>
        <v>0</v>
      </c>
      <c r="AN10" s="4" t="s">
        <v>349</v>
      </c>
      <c r="AO10" s="4"/>
      <c r="AP10" s="4"/>
      <c r="AR10" s="4" t="s">
        <v>1101</v>
      </c>
      <c r="AS10" s="4"/>
      <c r="AU10" s="4" t="s">
        <v>130</v>
      </c>
      <c r="AV10" s="4">
        <f t="shared" ca="1" si="1"/>
        <v>1</v>
      </c>
      <c r="BA10" s="4" t="s">
        <v>137</v>
      </c>
      <c r="BB10" s="4">
        <f t="shared" si="2"/>
        <v>1</v>
      </c>
      <c r="BC10" s="4">
        <f>IF(MartialWeaponsProficiency=0,IF(BB10=0,0,COUNTIF($BC$2:BC9,"&gt;0")+1),0)</f>
        <v>0</v>
      </c>
      <c r="BD10" s="4" t="str">
        <f t="shared" si="5"/>
        <v/>
      </c>
      <c r="BE10" s="4" t="str">
        <f t="shared" si="4"/>
        <v/>
      </c>
    </row>
    <row r="11" spans="1:57" x14ac:dyDescent="0.25">
      <c r="A11" s="119"/>
      <c r="B11" s="996" t="s">
        <v>71</v>
      </c>
      <c r="C11" s="997"/>
      <c r="D11" s="998"/>
      <c r="E11" s="125" t="s">
        <v>7</v>
      </c>
      <c r="F11" s="400">
        <f>IF('C03_ClassVariables'!AK220&gt;0,Proficiency_Bonus,0)</f>
        <v>0</v>
      </c>
      <c r="G11" s="7">
        <f t="shared" si="6"/>
        <v>0</v>
      </c>
      <c r="H11" s="7">
        <f t="shared" si="7"/>
        <v>0</v>
      </c>
      <c r="I11" s="7">
        <f t="shared" si="8"/>
        <v>0</v>
      </c>
      <c r="J11" s="401">
        <f>WisMOD</f>
        <v>0</v>
      </c>
      <c r="K11" s="405">
        <f t="shared" si="9"/>
        <v>0</v>
      </c>
      <c r="L11" s="120"/>
      <c r="M11" s="1017" t="s">
        <v>2228</v>
      </c>
      <c r="N11" s="1014">
        <f>Character_Creation!V50</f>
        <v>5</v>
      </c>
      <c r="O11" s="1016" t="s">
        <v>603</v>
      </c>
      <c r="P11" s="1014">
        <f>IF(OR(Saving_Throw1="Int",Saving_Throw2="Int"),Proficiency_Bonus,0)</f>
        <v>0</v>
      </c>
      <c r="Q11" s="1016" t="s">
        <v>603</v>
      </c>
      <c r="R11" s="1014"/>
      <c r="S11" s="1011" t="s">
        <v>605</v>
      </c>
      <c r="T11" s="1012">
        <f>N11+P11+R11</f>
        <v>5</v>
      </c>
      <c r="U11" s="138"/>
      <c r="V11" s="118"/>
      <c r="X11" t="s">
        <v>2968</v>
      </c>
      <c r="Y11">
        <f>IF(IFERROR(SEARCH(X11,INDEX(T04_Classes!$O$3:$O$102,SelectedClassID,1),1),-1)&gt;-1,1,0)</f>
        <v>0</v>
      </c>
      <c r="AC11" s="129"/>
      <c r="AE11" s="4" t="s">
        <v>2301</v>
      </c>
      <c r="AF11" s="4">
        <f t="shared" si="3"/>
        <v>0</v>
      </c>
      <c r="AH11" s="237" t="s">
        <v>610</v>
      </c>
      <c r="AI11" s="237"/>
      <c r="AJ11" s="237"/>
      <c r="AK11" s="4">
        <f t="shared" si="0"/>
        <v>0</v>
      </c>
      <c r="AN11" s="4" t="s">
        <v>359</v>
      </c>
      <c r="AO11" s="4"/>
      <c r="AP11" s="4"/>
      <c r="AR11" s="4" t="s">
        <v>1102</v>
      </c>
      <c r="AS11" s="4"/>
      <c r="AU11" s="4" t="s">
        <v>132</v>
      </c>
      <c r="AV11" s="4">
        <f t="shared" ca="1" si="1"/>
        <v>1</v>
      </c>
      <c r="BA11" s="4" t="s">
        <v>140</v>
      </c>
      <c r="BB11" s="4">
        <f t="shared" si="2"/>
        <v>1</v>
      </c>
      <c r="BC11" s="4">
        <f>IF(MartialWeaponsProficiency=0,IF(BB11=0,0,COUNTIF($BC$2:BC10,"&gt;0")+1),0)</f>
        <v>0</v>
      </c>
      <c r="BD11" s="4" t="str">
        <f t="shared" si="5"/>
        <v/>
      </c>
      <c r="BE11" s="4" t="str">
        <f t="shared" si="4"/>
        <v/>
      </c>
    </row>
    <row r="12" spans="1:57" ht="15.75" thickBot="1" x14ac:dyDescent="0.3">
      <c r="A12" s="119"/>
      <c r="B12" s="996" t="s">
        <v>87</v>
      </c>
      <c r="C12" s="997"/>
      <c r="D12" s="998"/>
      <c r="E12" s="125" t="s">
        <v>8</v>
      </c>
      <c r="F12" s="400">
        <f>IF('C03_ClassVariables'!AK221&gt;0,Proficiency_Bonus,0)</f>
        <v>0</v>
      </c>
      <c r="G12" s="7">
        <f t="shared" si="6"/>
        <v>0</v>
      </c>
      <c r="H12" s="7">
        <f t="shared" si="7"/>
        <v>0</v>
      </c>
      <c r="I12" s="7">
        <f t="shared" si="8"/>
        <v>0</v>
      </c>
      <c r="J12" s="401">
        <f>ChaMOD</f>
        <v>0</v>
      </c>
      <c r="K12" s="405">
        <f t="shared" si="9"/>
        <v>0</v>
      </c>
      <c r="L12" s="120"/>
      <c r="M12" s="1017"/>
      <c r="N12" s="1015"/>
      <c r="O12" s="1016"/>
      <c r="P12" s="1015"/>
      <c r="Q12" s="1016"/>
      <c r="R12" s="1015"/>
      <c r="S12" s="1011"/>
      <c r="T12" s="1013"/>
      <c r="U12" s="138"/>
      <c r="V12" s="118"/>
      <c r="AC12" s="129"/>
      <c r="AE12" s="4" t="s">
        <v>2269</v>
      </c>
      <c r="AF12" s="4">
        <f t="shared" si="3"/>
        <v>0</v>
      </c>
      <c r="AH12" s="237" t="s">
        <v>611</v>
      </c>
      <c r="AI12" s="237"/>
      <c r="AJ12" s="237"/>
      <c r="AK12" s="4">
        <f t="shared" si="0"/>
        <v>0</v>
      </c>
      <c r="AN12" s="4" t="s">
        <v>373</v>
      </c>
      <c r="AO12" s="4"/>
      <c r="AP12" s="4"/>
      <c r="AR12" s="4" t="s">
        <v>1104</v>
      </c>
      <c r="AS12" s="4"/>
      <c r="AU12" s="4" t="s">
        <v>134</v>
      </c>
      <c r="AV12" s="4">
        <f t="shared" ca="1" si="1"/>
        <v>1</v>
      </c>
      <c r="BA12" s="4" t="s">
        <v>53</v>
      </c>
      <c r="BB12" s="4">
        <f t="shared" si="2"/>
        <v>1</v>
      </c>
      <c r="BC12" s="4">
        <f>IF(MartialWeaponsProficiency=0,IF(BB12=0,0,COUNTIF($BC$2:BC11,"&gt;0")+1),0)</f>
        <v>0</v>
      </c>
      <c r="BD12" s="4" t="str">
        <f t="shared" si="5"/>
        <v/>
      </c>
      <c r="BE12" s="4" t="str">
        <f t="shared" si="4"/>
        <v/>
      </c>
    </row>
    <row r="13" spans="1:57" x14ac:dyDescent="0.25">
      <c r="A13" s="119"/>
      <c r="B13" s="996" t="s">
        <v>609</v>
      </c>
      <c r="C13" s="997"/>
      <c r="D13" s="998"/>
      <c r="E13" s="125" t="s">
        <v>6</v>
      </c>
      <c r="F13" s="400">
        <f>IF('C03_ClassVariables'!AK222&gt;0,Proficiency_Bonus,0)</f>
        <v>6</v>
      </c>
      <c r="G13" s="7">
        <f t="shared" si="6"/>
        <v>0</v>
      </c>
      <c r="H13" s="7">
        <f t="shared" si="7"/>
        <v>0</v>
      </c>
      <c r="I13" s="7">
        <f t="shared" si="8"/>
        <v>0</v>
      </c>
      <c r="J13" s="401">
        <f>IntMOD</f>
        <v>5</v>
      </c>
      <c r="K13" s="405">
        <f t="shared" si="9"/>
        <v>11</v>
      </c>
      <c r="L13" s="120"/>
      <c r="M13" s="1017" t="s">
        <v>2229</v>
      </c>
      <c r="N13" s="1014">
        <f>Character_Creation!V52</f>
        <v>0</v>
      </c>
      <c r="O13" s="1016" t="s">
        <v>603</v>
      </c>
      <c r="P13" s="1014">
        <f>IF(OR(Saving_Throw1="Wis",Saving_Throw2="Wis"),Proficiency_Bonus,0)</f>
        <v>0</v>
      </c>
      <c r="Q13" s="1016" t="s">
        <v>603</v>
      </c>
      <c r="R13" s="1014"/>
      <c r="S13" s="1011" t="s">
        <v>605</v>
      </c>
      <c r="T13" s="1012">
        <f>N13+P13+R13</f>
        <v>0</v>
      </c>
      <c r="U13" s="138"/>
      <c r="V13" s="118"/>
      <c r="AC13" s="129"/>
      <c r="AE13" s="4" t="s">
        <v>2270</v>
      </c>
      <c r="AF13" s="4">
        <f t="shared" si="3"/>
        <v>0</v>
      </c>
      <c r="AH13" s="237" t="s">
        <v>49</v>
      </c>
      <c r="AI13" s="237"/>
      <c r="AJ13" s="237"/>
      <c r="AK13" s="4">
        <f t="shared" si="0"/>
        <v>0</v>
      </c>
      <c r="AN13" s="4" t="s">
        <v>394</v>
      </c>
      <c r="AO13" s="4"/>
      <c r="AP13" s="4"/>
      <c r="AR13" s="4" t="s">
        <v>1103</v>
      </c>
      <c r="AS13" s="4"/>
      <c r="AU13" s="4" t="s">
        <v>135</v>
      </c>
      <c r="AV13" s="4">
        <f t="shared" ca="1" si="1"/>
        <v>1</v>
      </c>
      <c r="BA13" s="4" t="s">
        <v>50</v>
      </c>
      <c r="BB13" s="4">
        <f t="shared" si="2"/>
        <v>1</v>
      </c>
      <c r="BC13" s="4">
        <f>IF(MartialWeaponsProficiency=0,IF(BB13=0,0,COUNTIF($BC$2:BC12,"&gt;0")+1),0)</f>
        <v>0</v>
      </c>
      <c r="BD13" s="4" t="str">
        <f t="shared" si="5"/>
        <v/>
      </c>
      <c r="BE13" s="4" t="str">
        <f t="shared" si="4"/>
        <v/>
      </c>
    </row>
    <row r="14" spans="1:57" ht="15.75" thickBot="1" x14ac:dyDescent="0.3">
      <c r="A14" s="119"/>
      <c r="B14" s="996" t="s">
        <v>610</v>
      </c>
      <c r="C14" s="997"/>
      <c r="D14" s="998"/>
      <c r="E14" s="125" t="s">
        <v>7</v>
      </c>
      <c r="F14" s="400">
        <f>IF('C03_ClassVariables'!AK223&gt;0,Proficiency_Bonus,0)</f>
        <v>0</v>
      </c>
      <c r="G14" s="7">
        <f t="shared" si="6"/>
        <v>0</v>
      </c>
      <c r="H14" s="7">
        <f t="shared" si="7"/>
        <v>0</v>
      </c>
      <c r="I14" s="7">
        <f t="shared" si="8"/>
        <v>0</v>
      </c>
      <c r="J14" s="401">
        <f>WisMOD</f>
        <v>0</v>
      </c>
      <c r="K14" s="405">
        <f t="shared" si="9"/>
        <v>0</v>
      </c>
      <c r="L14" s="120"/>
      <c r="M14" s="1017"/>
      <c r="N14" s="1015"/>
      <c r="O14" s="1016"/>
      <c r="P14" s="1015"/>
      <c r="Q14" s="1016"/>
      <c r="R14" s="1015"/>
      <c r="S14" s="1011"/>
      <c r="T14" s="1013"/>
      <c r="U14" s="138"/>
      <c r="V14" s="118"/>
      <c r="AC14" s="129"/>
      <c r="AE14" s="4" t="s">
        <v>2271</v>
      </c>
      <c r="AF14" s="4">
        <f t="shared" si="3"/>
        <v>0</v>
      </c>
      <c r="AH14" s="237" t="s">
        <v>612</v>
      </c>
      <c r="AI14" s="237"/>
      <c r="AJ14" s="237"/>
      <c r="AK14" s="4">
        <f t="shared" si="0"/>
        <v>0</v>
      </c>
      <c r="AN14" s="4" t="s">
        <v>413</v>
      </c>
      <c r="AO14" s="4"/>
      <c r="AP14" s="4"/>
      <c r="AR14" s="4" t="s">
        <v>1105</v>
      </c>
      <c r="AS14" s="4"/>
      <c r="AU14" s="4" t="s">
        <v>36</v>
      </c>
      <c r="AV14" s="4">
        <f t="shared" ca="1" si="1"/>
        <v>1</v>
      </c>
      <c r="BA14" s="4" t="s">
        <v>144</v>
      </c>
      <c r="BB14" s="4">
        <f t="shared" si="2"/>
        <v>1</v>
      </c>
      <c r="BC14" s="4">
        <f>IF(MartialWeaponsProficiency=0,IF(BB14=0,0,COUNTIF($BC$2:BC13,"&gt;0")+1),0)</f>
        <v>0</v>
      </c>
      <c r="BD14" s="4" t="str">
        <f t="shared" si="5"/>
        <v/>
      </c>
      <c r="BE14" s="4" t="str">
        <f t="shared" si="4"/>
        <v/>
      </c>
    </row>
    <row r="15" spans="1:57" x14ac:dyDescent="0.25">
      <c r="A15" s="119"/>
      <c r="B15" s="996" t="s">
        <v>611</v>
      </c>
      <c r="C15" s="997"/>
      <c r="D15" s="998"/>
      <c r="E15" s="125" t="s">
        <v>6</v>
      </c>
      <c r="F15" s="400">
        <f>IF('C03_ClassVariables'!AK224&gt;0,Proficiency_Bonus,0)</f>
        <v>0</v>
      </c>
      <c r="G15" s="7">
        <f t="shared" si="6"/>
        <v>0</v>
      </c>
      <c r="H15" s="7">
        <f t="shared" si="7"/>
        <v>0</v>
      </c>
      <c r="I15" s="7">
        <f t="shared" si="8"/>
        <v>0</v>
      </c>
      <c r="J15" s="401">
        <f>IntMOD</f>
        <v>5</v>
      </c>
      <c r="K15" s="405">
        <f t="shared" si="9"/>
        <v>5</v>
      </c>
      <c r="L15" s="120"/>
      <c r="M15" s="1017" t="s">
        <v>2230</v>
      </c>
      <c r="N15" s="1014">
        <f>Character_Creation!V54</f>
        <v>0</v>
      </c>
      <c r="O15" s="1016" t="s">
        <v>603</v>
      </c>
      <c r="P15" s="1014">
        <f>IF(OR(Saving_Throw1="Cha",Saving_Throw2="Cha"),Proficiency_Bonus,0)</f>
        <v>0</v>
      </c>
      <c r="Q15" s="1016" t="s">
        <v>603</v>
      </c>
      <c r="R15" s="1014"/>
      <c r="S15" s="1011" t="s">
        <v>605</v>
      </c>
      <c r="T15" s="1012">
        <f>N15+P15+R15</f>
        <v>0</v>
      </c>
      <c r="U15" s="138"/>
      <c r="V15" s="118"/>
      <c r="AC15" s="129"/>
      <c r="AE15" s="4" t="s">
        <v>2272</v>
      </c>
      <c r="AF15" s="4">
        <f t="shared" si="3"/>
        <v>0</v>
      </c>
      <c r="AH15" s="237" t="s">
        <v>613</v>
      </c>
      <c r="AI15" s="237"/>
      <c r="AJ15" s="237"/>
      <c r="AK15" s="4">
        <f t="shared" si="0"/>
        <v>0</v>
      </c>
      <c r="AN15" s="4" t="s">
        <v>454</v>
      </c>
      <c r="AO15" s="4"/>
      <c r="AP15" s="4"/>
      <c r="AR15" s="4" t="s">
        <v>1106</v>
      </c>
      <c r="AS15" s="4"/>
      <c r="AU15" s="4" t="s">
        <v>137</v>
      </c>
      <c r="AV15" s="4">
        <f t="shared" ca="1" si="1"/>
        <v>1</v>
      </c>
      <c r="BA15" s="4" t="s">
        <v>145</v>
      </c>
      <c r="BB15" s="4">
        <f t="shared" si="2"/>
        <v>1</v>
      </c>
      <c r="BC15" s="4">
        <f>IF(MartialWeaponsProficiency=0,IF(BB15=0,0,COUNTIF($BC$2:BC14,"&gt;0")+1),0)</f>
        <v>0</v>
      </c>
      <c r="BD15" s="4" t="str">
        <f t="shared" si="5"/>
        <v/>
      </c>
      <c r="BE15" s="4" t="str">
        <f t="shared" si="4"/>
        <v/>
      </c>
    </row>
    <row r="16" spans="1:57" ht="15.75" thickBot="1" x14ac:dyDescent="0.3">
      <c r="A16" s="119"/>
      <c r="B16" s="996" t="s">
        <v>49</v>
      </c>
      <c r="C16" s="997"/>
      <c r="D16" s="998"/>
      <c r="E16" s="125" t="s">
        <v>7</v>
      </c>
      <c r="F16" s="400">
        <f>IF('C03_ClassVariables'!AK225&gt;0,Proficiency_Bonus,0)</f>
        <v>0</v>
      </c>
      <c r="G16" s="7">
        <f t="shared" si="6"/>
        <v>0</v>
      </c>
      <c r="H16" s="7">
        <f t="shared" si="7"/>
        <v>0</v>
      </c>
      <c r="I16" s="7">
        <f t="shared" si="8"/>
        <v>0</v>
      </c>
      <c r="J16" s="401">
        <f>WisMOD</f>
        <v>0</v>
      </c>
      <c r="K16" s="405">
        <f t="shared" si="9"/>
        <v>0</v>
      </c>
      <c r="L16" s="120"/>
      <c r="M16" s="1017"/>
      <c r="N16" s="1015"/>
      <c r="O16" s="1016"/>
      <c r="P16" s="1015"/>
      <c r="Q16" s="1016"/>
      <c r="R16" s="1015"/>
      <c r="S16" s="1011"/>
      <c r="T16" s="1013"/>
      <c r="U16" s="138"/>
      <c r="V16" s="118"/>
      <c r="AC16" s="129"/>
      <c r="AE16" s="4" t="s">
        <v>2273</v>
      </c>
      <c r="AF16" s="4">
        <f t="shared" si="3"/>
        <v>0</v>
      </c>
      <c r="AH16" s="237" t="s">
        <v>72</v>
      </c>
      <c r="AI16" s="237"/>
      <c r="AJ16" s="237"/>
      <c r="AK16" s="4">
        <f t="shared" si="0"/>
        <v>0</v>
      </c>
      <c r="AN16" s="4" t="s">
        <v>475</v>
      </c>
      <c r="AO16" s="4"/>
      <c r="AP16" s="4"/>
      <c r="AR16" s="4" t="s">
        <v>1107</v>
      </c>
      <c r="AS16" s="4"/>
      <c r="AU16" s="4" t="s">
        <v>138</v>
      </c>
      <c r="AV16" s="4">
        <f t="shared" ca="1" si="1"/>
        <v>1</v>
      </c>
      <c r="BA16" s="4" t="s">
        <v>146</v>
      </c>
      <c r="BB16" s="4">
        <f t="shared" si="2"/>
        <v>1</v>
      </c>
      <c r="BC16" s="4">
        <f>IF(MartialWeaponsProficiency=0,IF(BB16=0,0,COUNTIF($BC$2:BC15,"&gt;0")+1),0)</f>
        <v>0</v>
      </c>
      <c r="BD16" s="4" t="str">
        <f t="shared" si="5"/>
        <v/>
      </c>
      <c r="BE16" s="4" t="str">
        <f t="shared" si="4"/>
        <v/>
      </c>
    </row>
    <row r="17" spans="1:57" x14ac:dyDescent="0.25">
      <c r="A17" s="119"/>
      <c r="B17" s="996" t="s">
        <v>612</v>
      </c>
      <c r="C17" s="997"/>
      <c r="D17" s="998"/>
      <c r="E17" s="125" t="s">
        <v>8</v>
      </c>
      <c r="F17" s="400">
        <f>IF('C03_ClassVariables'!AK226&gt;0,Proficiency_Bonus,0)</f>
        <v>0</v>
      </c>
      <c r="G17" s="7">
        <f t="shared" si="6"/>
        <v>0</v>
      </c>
      <c r="H17" s="7">
        <f t="shared" si="7"/>
        <v>0</v>
      </c>
      <c r="I17" s="7">
        <f t="shared" si="8"/>
        <v>0</v>
      </c>
      <c r="J17" s="401">
        <f>ChaMOD</f>
        <v>0</v>
      </c>
      <c r="K17" s="405">
        <f t="shared" si="9"/>
        <v>0</v>
      </c>
      <c r="L17" s="120"/>
      <c r="M17" s="120"/>
      <c r="N17" s="120"/>
      <c r="O17" s="120"/>
      <c r="P17" s="120"/>
      <c r="Q17" s="120"/>
      <c r="R17" s="120"/>
      <c r="S17" s="120"/>
      <c r="T17" s="120"/>
      <c r="U17" s="138"/>
      <c r="V17" s="118"/>
      <c r="AC17" s="129"/>
      <c r="AE17" s="4" t="s">
        <v>2274</v>
      </c>
      <c r="AF17" s="4">
        <f t="shared" si="3"/>
        <v>0</v>
      </c>
      <c r="AH17" s="237" t="s">
        <v>614</v>
      </c>
      <c r="AI17" s="237"/>
      <c r="AJ17" s="237"/>
      <c r="AK17" s="4">
        <f t="shared" si="0"/>
        <v>0</v>
      </c>
      <c r="AN17" s="4" t="s">
        <v>495</v>
      </c>
      <c r="AO17" s="4"/>
      <c r="AP17" s="4"/>
      <c r="AR17" s="4" t="s">
        <v>1108</v>
      </c>
      <c r="AS17" s="4"/>
      <c r="AU17" s="4" t="s">
        <v>140</v>
      </c>
      <c r="AV17" s="4">
        <f t="shared" ca="1" si="1"/>
        <v>1</v>
      </c>
      <c r="BA17" s="4" t="s">
        <v>147</v>
      </c>
      <c r="BB17" s="4">
        <f t="shared" si="2"/>
        <v>1</v>
      </c>
      <c r="BC17" s="4">
        <f>IF(MartialWeaponsProficiency=0,IF(BB17=0,0,COUNTIF($BC$2:BC16,"&gt;0")+1),0)</f>
        <v>0</v>
      </c>
      <c r="BD17" s="4" t="str">
        <f t="shared" si="5"/>
        <v/>
      </c>
      <c r="BE17" s="4" t="str">
        <f t="shared" si="4"/>
        <v/>
      </c>
    </row>
    <row r="18" spans="1:57" x14ac:dyDescent="0.25">
      <c r="A18" s="119"/>
      <c r="B18" s="996" t="s">
        <v>613</v>
      </c>
      <c r="C18" s="997"/>
      <c r="D18" s="998"/>
      <c r="E18" s="125" t="s">
        <v>8</v>
      </c>
      <c r="F18" s="400">
        <f>IF('C03_ClassVariables'!AK227&gt;0,Proficiency_Bonus,0)</f>
        <v>0</v>
      </c>
      <c r="G18" s="7">
        <f t="shared" si="6"/>
        <v>0</v>
      </c>
      <c r="H18" s="7">
        <f t="shared" si="7"/>
        <v>0</v>
      </c>
      <c r="I18" s="7">
        <f t="shared" si="8"/>
        <v>0</v>
      </c>
      <c r="J18" s="401">
        <f>ChaMOD</f>
        <v>0</v>
      </c>
      <c r="K18" s="405">
        <f t="shared" si="9"/>
        <v>0</v>
      </c>
      <c r="L18" s="120"/>
      <c r="M18" s="120"/>
      <c r="N18" s="120"/>
      <c r="O18" s="120"/>
      <c r="P18" s="120"/>
      <c r="Q18" s="120"/>
      <c r="R18" s="120"/>
      <c r="S18" s="120"/>
      <c r="T18" s="120"/>
      <c r="U18" s="138"/>
      <c r="V18" s="118"/>
      <c r="AC18" s="129"/>
      <c r="AE18" s="4" t="s">
        <v>2275</v>
      </c>
      <c r="AF18" s="4">
        <f t="shared" si="3"/>
        <v>0</v>
      </c>
      <c r="AH18" s="237" t="s">
        <v>75</v>
      </c>
      <c r="AI18" s="237"/>
      <c r="AJ18" s="237"/>
      <c r="AK18" s="4">
        <f t="shared" si="0"/>
        <v>0</v>
      </c>
      <c r="AN18" s="4" t="s">
        <v>497</v>
      </c>
      <c r="AO18" s="4"/>
      <c r="AP18" s="4"/>
      <c r="AU18" s="4" t="s">
        <v>141</v>
      </c>
      <c r="AV18" s="4">
        <f t="shared" ca="1" si="1"/>
        <v>1</v>
      </c>
      <c r="BA18" s="4" t="s">
        <v>149</v>
      </c>
      <c r="BB18" s="4">
        <f t="shared" si="2"/>
        <v>1</v>
      </c>
      <c r="BC18" s="4">
        <f>IF(MartialWeaponsProficiency=0,IF(BB18=0,0,COUNTIF($BC$2:BC17,"&gt;0")+1),0)</f>
        <v>0</v>
      </c>
      <c r="BD18" s="4" t="str">
        <f t="shared" si="5"/>
        <v/>
      </c>
      <c r="BE18" s="4" t="str">
        <f t="shared" si="4"/>
        <v/>
      </c>
    </row>
    <row r="19" spans="1:57" x14ac:dyDescent="0.25">
      <c r="A19" s="119"/>
      <c r="B19" s="996" t="s">
        <v>72</v>
      </c>
      <c r="C19" s="997"/>
      <c r="D19" s="998"/>
      <c r="E19" s="125" t="s">
        <v>6</v>
      </c>
      <c r="F19" s="400">
        <f>IF('C03_ClassVariables'!AK228&gt;0,Proficiency_Bonus,0)</f>
        <v>0</v>
      </c>
      <c r="G19" s="7">
        <f t="shared" si="6"/>
        <v>0</v>
      </c>
      <c r="H19" s="7">
        <f t="shared" si="7"/>
        <v>0</v>
      </c>
      <c r="I19" s="7">
        <f t="shared" si="8"/>
        <v>0</v>
      </c>
      <c r="J19" s="401">
        <f>IntMOD</f>
        <v>5</v>
      </c>
      <c r="K19" s="405">
        <f t="shared" si="9"/>
        <v>5</v>
      </c>
      <c r="L19" s="120"/>
      <c r="M19" s="120"/>
      <c r="N19" s="120"/>
      <c r="O19" s="120"/>
      <c r="P19" s="120"/>
      <c r="Q19" s="120"/>
      <c r="R19" s="120"/>
      <c r="S19" s="120"/>
      <c r="T19" s="120"/>
      <c r="U19" s="138"/>
      <c r="V19" s="118"/>
      <c r="X19">
        <f>StrST</f>
        <v>1</v>
      </c>
      <c r="AC19" s="129"/>
      <c r="AE19" s="4" t="s">
        <v>2276</v>
      </c>
      <c r="AF19" s="4">
        <f t="shared" si="3"/>
        <v>0</v>
      </c>
      <c r="AH19" s="237" t="s">
        <v>80</v>
      </c>
      <c r="AI19" s="237"/>
      <c r="AJ19" s="237"/>
      <c r="AK19" s="4">
        <f t="shared" si="0"/>
        <v>0</v>
      </c>
      <c r="AN19" s="4" t="s">
        <v>287</v>
      </c>
      <c r="AO19" s="4"/>
      <c r="AP19" s="4"/>
      <c r="AU19" s="4" t="s">
        <v>142</v>
      </c>
      <c r="AV19" s="4">
        <f t="shared" ca="1" si="1"/>
        <v>1</v>
      </c>
      <c r="BA19" s="4" t="s">
        <v>151</v>
      </c>
      <c r="BB19" s="4">
        <f t="shared" si="2"/>
        <v>1</v>
      </c>
      <c r="BC19" s="4">
        <f>IF(MartialWeaponsProficiency=0,IF(BB19=0,0,COUNTIF($BC$2:BC18,"&gt;0")+1),0)</f>
        <v>0</v>
      </c>
      <c r="BD19" s="4" t="str">
        <f t="shared" si="5"/>
        <v/>
      </c>
      <c r="BE19" s="4" t="str">
        <f t="shared" si="4"/>
        <v/>
      </c>
    </row>
    <row r="20" spans="1:57" x14ac:dyDescent="0.25">
      <c r="A20" s="119"/>
      <c r="B20" s="996" t="s">
        <v>614</v>
      </c>
      <c r="C20" s="997"/>
      <c r="D20" s="998"/>
      <c r="E20" s="125" t="s">
        <v>4</v>
      </c>
      <c r="F20" s="400">
        <f>IF('C03_ClassVariables'!AK229&gt;0,Proficiency_Bonus,0)</f>
        <v>0</v>
      </c>
      <c r="G20" s="7">
        <f t="shared" si="6"/>
        <v>0</v>
      </c>
      <c r="H20" s="7">
        <f t="shared" si="7"/>
        <v>0</v>
      </c>
      <c r="I20" s="7">
        <f t="shared" si="8"/>
        <v>0</v>
      </c>
      <c r="J20" s="401">
        <f>DexMOD</f>
        <v>1</v>
      </c>
      <c r="K20" s="405">
        <f t="shared" si="9"/>
        <v>1</v>
      </c>
      <c r="L20" s="120"/>
      <c r="M20" s="120"/>
      <c r="N20" s="120"/>
      <c r="O20" s="120"/>
      <c r="P20" s="120"/>
      <c r="Q20" s="120"/>
      <c r="R20" s="120"/>
      <c r="S20" s="120"/>
      <c r="T20" s="120"/>
      <c r="U20" s="138"/>
      <c r="V20" s="118"/>
      <c r="AC20" s="129"/>
      <c r="AE20" s="4" t="s">
        <v>2277</v>
      </c>
      <c r="AF20" s="4">
        <f t="shared" si="3"/>
        <v>0</v>
      </c>
      <c r="AN20" s="4" t="s">
        <v>317</v>
      </c>
      <c r="AO20" s="4"/>
      <c r="AP20" s="4"/>
      <c r="AU20" s="4" t="s">
        <v>53</v>
      </c>
      <c r="AV20" s="4">
        <f t="shared" ca="1" si="1"/>
        <v>1</v>
      </c>
      <c r="BA20" s="4" t="s">
        <v>51</v>
      </c>
      <c r="BB20" s="4">
        <f t="shared" si="2"/>
        <v>1</v>
      </c>
      <c r="BC20" s="4">
        <f>IF(MartialWeaponsProficiency=0,IF(BB20=0,0,COUNTIF($BC$2:BC19,"&gt;0")+1),0)</f>
        <v>0</v>
      </c>
      <c r="BD20" s="4" t="str">
        <f t="shared" si="5"/>
        <v/>
      </c>
      <c r="BE20" s="4" t="str">
        <f t="shared" si="4"/>
        <v/>
      </c>
    </row>
    <row r="21" spans="1:57" x14ac:dyDescent="0.25">
      <c r="A21" s="119"/>
      <c r="B21" s="996" t="s">
        <v>75</v>
      </c>
      <c r="C21" s="997"/>
      <c r="D21" s="998"/>
      <c r="E21" s="125" t="s">
        <v>4</v>
      </c>
      <c r="F21" s="400">
        <f>IF('C03_ClassVariables'!AK230&gt;0,Proficiency_Bonus,0)</f>
        <v>0</v>
      </c>
      <c r="G21" s="7">
        <f t="shared" si="6"/>
        <v>0</v>
      </c>
      <c r="H21" s="7">
        <f t="shared" si="7"/>
        <v>0</v>
      </c>
      <c r="I21" s="7">
        <f t="shared" si="8"/>
        <v>0</v>
      </c>
      <c r="J21" s="401">
        <f>DexMOD</f>
        <v>1</v>
      </c>
      <c r="K21" s="405">
        <f t="shared" si="9"/>
        <v>1</v>
      </c>
      <c r="L21" s="120"/>
      <c r="M21" s="120"/>
      <c r="N21" s="120"/>
      <c r="O21" s="120"/>
      <c r="P21" s="120"/>
      <c r="Q21" s="120"/>
      <c r="R21" s="120"/>
      <c r="S21" s="120"/>
      <c r="T21" s="120"/>
      <c r="U21" s="138"/>
      <c r="V21" s="118"/>
      <c r="AC21" s="129"/>
      <c r="AE21" s="4" t="s">
        <v>2278</v>
      </c>
      <c r="AF21" s="4">
        <f t="shared" si="3"/>
        <v>0</v>
      </c>
      <c r="AN21" s="4" t="s">
        <v>284</v>
      </c>
      <c r="AO21" s="4"/>
      <c r="AP21" s="4"/>
      <c r="AU21" s="4" t="s">
        <v>50</v>
      </c>
      <c r="AV21" s="4">
        <f t="shared" ca="1" si="1"/>
        <v>1</v>
      </c>
      <c r="BA21" s="4" t="s">
        <v>156</v>
      </c>
      <c r="BB21" s="4">
        <f t="shared" si="2"/>
        <v>1</v>
      </c>
      <c r="BC21" s="4">
        <f>IF(MartialWeaponsProficiency=0,IF(BB21=0,0,COUNTIF($BC$2:BC20,"&gt;0")+1),0)</f>
        <v>0</v>
      </c>
      <c r="BD21" s="4" t="str">
        <f t="shared" si="5"/>
        <v/>
      </c>
      <c r="BE21" s="4" t="str">
        <f t="shared" si="4"/>
        <v/>
      </c>
    </row>
    <row r="22" spans="1:57" ht="15.75" thickBot="1" x14ac:dyDescent="0.3">
      <c r="A22" s="119"/>
      <c r="B22" s="999" t="s">
        <v>80</v>
      </c>
      <c r="C22" s="1000"/>
      <c r="D22" s="1001"/>
      <c r="E22" s="126" t="s">
        <v>7</v>
      </c>
      <c r="F22" s="402">
        <f>IF('C03_ClassVariables'!AK231&gt;0,Proficiency_Bonus,0)</f>
        <v>0</v>
      </c>
      <c r="G22" s="123">
        <f t="shared" si="6"/>
        <v>0</v>
      </c>
      <c r="H22" s="123">
        <f t="shared" si="7"/>
        <v>0</v>
      </c>
      <c r="I22" s="123">
        <f t="shared" si="8"/>
        <v>0</v>
      </c>
      <c r="J22" s="403">
        <f>WisMOD</f>
        <v>0</v>
      </c>
      <c r="K22" s="406">
        <f t="shared" si="9"/>
        <v>0</v>
      </c>
      <c r="L22" s="120"/>
      <c r="M22" s="120"/>
      <c r="N22" s="120"/>
      <c r="O22" s="120"/>
      <c r="P22" s="120"/>
      <c r="Q22" s="120"/>
      <c r="R22" s="120"/>
      <c r="S22" s="120"/>
      <c r="T22" s="120"/>
      <c r="U22" s="138"/>
      <c r="V22" s="118"/>
      <c r="AC22" s="129"/>
      <c r="AE22" s="4" t="s">
        <v>2279</v>
      </c>
      <c r="AF22" s="4">
        <f t="shared" si="3"/>
        <v>0</v>
      </c>
      <c r="AN22" s="4" t="s">
        <v>294</v>
      </c>
      <c r="AO22" s="4"/>
      <c r="AP22" s="4"/>
      <c r="AU22" s="4" t="s">
        <v>143</v>
      </c>
      <c r="AV22" s="4">
        <f t="shared" ca="1" si="1"/>
        <v>1</v>
      </c>
      <c r="BA22" s="4" t="s">
        <v>158</v>
      </c>
      <c r="BB22" s="4">
        <f t="shared" si="2"/>
        <v>1</v>
      </c>
      <c r="BC22" s="4">
        <f>IF(MartialWeaponsProficiency=0,IF(BB22=0,0,COUNTIF($BC$2:BC21,"&gt;0")+1),0)</f>
        <v>0</v>
      </c>
      <c r="BD22" s="4" t="str">
        <f t="shared" si="5"/>
        <v/>
      </c>
      <c r="BE22" s="4" t="str">
        <f t="shared" si="4"/>
        <v/>
      </c>
    </row>
    <row r="23" spans="1:57" x14ac:dyDescent="0.25">
      <c r="A23" s="119"/>
      <c r="B23" s="120"/>
      <c r="C23" s="120"/>
      <c r="D23" s="120"/>
      <c r="E23" s="120"/>
      <c r="F23" s="120"/>
      <c r="G23" s="120"/>
      <c r="H23" s="120"/>
      <c r="I23" s="120"/>
      <c r="J23" s="120"/>
      <c r="K23" s="120"/>
      <c r="L23" s="120"/>
      <c r="M23" s="120"/>
      <c r="N23" s="120"/>
      <c r="O23" s="120"/>
      <c r="P23" s="120"/>
      <c r="Q23" s="120"/>
      <c r="R23" s="120"/>
      <c r="S23" s="120"/>
      <c r="T23" s="120"/>
      <c r="U23" s="138"/>
      <c r="V23" s="118"/>
      <c r="AC23" s="129"/>
      <c r="AE23" s="4" t="s">
        <v>2280</v>
      </c>
      <c r="AF23" s="4">
        <f t="shared" si="3"/>
        <v>0</v>
      </c>
      <c r="AN23" s="4" t="s">
        <v>400</v>
      </c>
      <c r="AO23" s="4"/>
      <c r="AP23" s="4"/>
      <c r="AU23" s="4" t="s">
        <v>144</v>
      </c>
      <c r="AV23" s="4">
        <f t="shared" ca="1" si="1"/>
        <v>1</v>
      </c>
      <c r="BA23" s="4" t="s">
        <v>38</v>
      </c>
      <c r="BB23" s="4">
        <f t="shared" si="2"/>
        <v>1</v>
      </c>
      <c r="BC23" s="4">
        <f>IF(MartialWeaponsProficiency=0,IF(BB23=0,0,COUNTIF($BC$2:BC22,"&gt;0")+1),0)</f>
        <v>0</v>
      </c>
      <c r="BD23" s="4" t="str">
        <f t="shared" si="5"/>
        <v/>
      </c>
      <c r="BE23" s="4" t="str">
        <f t="shared" si="4"/>
        <v/>
      </c>
    </row>
    <row r="24" spans="1:57" ht="15.75" thickBot="1" x14ac:dyDescent="0.3">
      <c r="A24" s="119"/>
      <c r="B24" s="120"/>
      <c r="C24" s="120"/>
      <c r="D24" s="120"/>
      <c r="E24" s="120"/>
      <c r="F24" s="120"/>
      <c r="G24" s="120"/>
      <c r="H24" s="120"/>
      <c r="I24" s="120"/>
      <c r="J24" s="120"/>
      <c r="K24" s="120"/>
      <c r="L24" s="120"/>
      <c r="M24" s="120"/>
      <c r="N24" s="120"/>
      <c r="O24" s="120"/>
      <c r="P24" s="120"/>
      <c r="Q24" s="120"/>
      <c r="R24" s="120"/>
      <c r="S24" s="120"/>
      <c r="T24" s="120"/>
      <c r="U24" s="138"/>
      <c r="V24" s="118"/>
      <c r="AC24" s="129"/>
      <c r="AE24" s="4" t="s">
        <v>2281</v>
      </c>
      <c r="AF24" s="4">
        <f t="shared" si="3"/>
        <v>0</v>
      </c>
      <c r="AN24" s="4" t="s">
        <v>472</v>
      </c>
      <c r="AO24" s="4"/>
      <c r="AP24" s="4"/>
      <c r="AU24" s="4" t="s">
        <v>145</v>
      </c>
      <c r="AV24" s="4">
        <f t="shared" ca="1" si="1"/>
        <v>1</v>
      </c>
      <c r="BA24" s="4" t="s">
        <v>159</v>
      </c>
      <c r="BB24" s="4">
        <f t="shared" si="2"/>
        <v>1</v>
      </c>
      <c r="BC24" s="4">
        <f>IF(MartialWeaponsProficiency=0,IF(BB24=0,0,COUNTIF($BC$2:BC23,"&gt;0")+1),0)</f>
        <v>0</v>
      </c>
      <c r="BD24" s="4" t="str">
        <f t="shared" si="5"/>
        <v/>
      </c>
      <c r="BE24" s="4" t="str">
        <f t="shared" si="4"/>
        <v/>
      </c>
    </row>
    <row r="25" spans="1:57" x14ac:dyDescent="0.25">
      <c r="A25" s="119"/>
      <c r="B25" s="1002" t="s">
        <v>4357</v>
      </c>
      <c r="C25" s="1003"/>
      <c r="D25" s="1003"/>
      <c r="E25" s="1003"/>
      <c r="F25" s="1003"/>
      <c r="G25" s="1003"/>
      <c r="H25" s="1003"/>
      <c r="I25" s="1003"/>
      <c r="J25" s="1003"/>
      <c r="K25" s="1003"/>
      <c r="L25" s="1003"/>
      <c r="M25" s="1003"/>
      <c r="N25" s="1003"/>
      <c r="O25" s="1003"/>
      <c r="P25" s="1003"/>
      <c r="Q25" s="1003"/>
      <c r="R25" s="1003"/>
      <c r="S25" s="1003"/>
      <c r="T25" s="1004"/>
      <c r="U25" s="138"/>
      <c r="V25" s="118"/>
      <c r="AC25" s="129"/>
      <c r="AE25" s="4" t="s">
        <v>2282</v>
      </c>
      <c r="AF25" s="4">
        <f t="shared" si="3"/>
        <v>0</v>
      </c>
      <c r="AN25" s="4" t="s">
        <v>333</v>
      </c>
      <c r="AO25" s="4"/>
      <c r="AP25" s="4"/>
      <c r="AU25" s="4" t="s">
        <v>146</v>
      </c>
      <c r="AV25" s="4">
        <f t="shared" ca="1" si="1"/>
        <v>1</v>
      </c>
    </row>
    <row r="26" spans="1:57" ht="15.75" thickBot="1" x14ac:dyDescent="0.3">
      <c r="A26" s="119"/>
      <c r="B26" s="1005"/>
      <c r="C26" s="1006"/>
      <c r="D26" s="1006"/>
      <c r="E26" s="1006"/>
      <c r="F26" s="1006"/>
      <c r="G26" s="1006"/>
      <c r="H26" s="1006"/>
      <c r="I26" s="1006"/>
      <c r="J26" s="1006"/>
      <c r="K26" s="1006"/>
      <c r="L26" s="1006"/>
      <c r="M26" s="1006"/>
      <c r="N26" s="1006"/>
      <c r="O26" s="1006"/>
      <c r="P26" s="1006"/>
      <c r="Q26" s="1006"/>
      <c r="R26" s="1006"/>
      <c r="S26" s="1006"/>
      <c r="T26" s="1007"/>
      <c r="U26" s="138"/>
      <c r="V26" s="118"/>
      <c r="AC26" s="129"/>
      <c r="AE26" s="4" t="s">
        <v>2283</v>
      </c>
      <c r="AF26" s="4">
        <f t="shared" si="3"/>
        <v>0</v>
      </c>
      <c r="AN26" s="4" t="s">
        <v>203</v>
      </c>
      <c r="AO26" s="4"/>
      <c r="AP26" s="4"/>
      <c r="AU26" s="4" t="s">
        <v>147</v>
      </c>
      <c r="AV26" s="4">
        <f t="shared" ca="1" si="1"/>
        <v>1</v>
      </c>
    </row>
    <row r="27" spans="1:57" x14ac:dyDescent="0.25">
      <c r="A27" s="119"/>
      <c r="B27" s="120"/>
      <c r="C27" s="120"/>
      <c r="D27" s="120"/>
      <c r="E27" s="120"/>
      <c r="F27" s="120"/>
      <c r="G27" s="120"/>
      <c r="H27" s="120"/>
      <c r="I27" s="120"/>
      <c r="J27" s="120"/>
      <c r="K27" s="120"/>
      <c r="L27" s="120"/>
      <c r="M27" s="120"/>
      <c r="N27" s="120"/>
      <c r="O27" s="120"/>
      <c r="P27" s="120"/>
      <c r="Q27" s="120"/>
      <c r="R27" s="120"/>
      <c r="S27" s="120"/>
      <c r="T27" s="120"/>
      <c r="U27" s="138"/>
      <c r="V27" s="118"/>
      <c r="AC27" s="129"/>
      <c r="AE27" s="4" t="s">
        <v>2284</v>
      </c>
      <c r="AF27" s="4">
        <f t="shared" si="3"/>
        <v>0</v>
      </c>
      <c r="AN27" s="4" t="s">
        <v>295</v>
      </c>
      <c r="AO27" s="4"/>
      <c r="AP27" s="4"/>
      <c r="AU27" s="4" t="s">
        <v>148</v>
      </c>
      <c r="AV27" s="4">
        <f t="shared" ca="1" si="1"/>
        <v>1</v>
      </c>
    </row>
    <row r="28" spans="1:57" ht="15" customHeight="1" x14ac:dyDescent="0.25">
      <c r="A28" s="119"/>
      <c r="B28" s="120"/>
      <c r="C28" s="120"/>
      <c r="D28" s="120"/>
      <c r="E28" s="120"/>
      <c r="F28" s="120"/>
      <c r="G28" s="120"/>
      <c r="H28" s="120"/>
      <c r="I28" s="120"/>
      <c r="J28" s="120"/>
      <c r="K28" s="120"/>
      <c r="L28" s="120"/>
      <c r="M28" s="120"/>
      <c r="N28" s="120"/>
      <c r="O28" s="120"/>
      <c r="P28" s="120"/>
      <c r="Q28" s="120"/>
      <c r="R28" s="120"/>
      <c r="S28" s="120"/>
      <c r="T28" s="120"/>
      <c r="U28" s="138"/>
      <c r="V28" s="118"/>
      <c r="X28" t="s">
        <v>4158</v>
      </c>
      <c r="AC28" s="129"/>
      <c r="AE28" s="4" t="s">
        <v>2285</v>
      </c>
      <c r="AF28" s="4">
        <f t="shared" si="3"/>
        <v>0</v>
      </c>
      <c r="AN28" s="4" t="s">
        <v>296</v>
      </c>
      <c r="AO28" s="4"/>
      <c r="AP28" s="4"/>
      <c r="AU28" s="4" t="s">
        <v>149</v>
      </c>
      <c r="AV28" s="4">
        <f t="shared" ca="1" si="1"/>
        <v>1</v>
      </c>
    </row>
    <row r="29" spans="1:57" x14ac:dyDescent="0.25">
      <c r="A29" s="119"/>
      <c r="B29" s="992" t="s">
        <v>45</v>
      </c>
      <c r="C29" s="992"/>
      <c r="D29" s="995" t="str">
        <f>IF(LightArmorProficiency=1,"proficient","non proficient")</f>
        <v>proficient</v>
      </c>
      <c r="E29" s="995"/>
      <c r="F29" s="995"/>
      <c r="G29" s="120"/>
      <c r="H29" s="992" t="s">
        <v>1113</v>
      </c>
      <c r="I29" s="992"/>
      <c r="J29" s="995" t="str">
        <f>IF(SimpleWeaponsProficiency=1,"proficient","non proficient")</f>
        <v>proficient</v>
      </c>
      <c r="K29" s="995"/>
      <c r="L29" s="995"/>
      <c r="M29" s="120"/>
      <c r="N29" s="992" t="s">
        <v>4141</v>
      </c>
      <c r="O29" s="992"/>
      <c r="P29" s="995" t="str">
        <f>INDEX($BE$2:$BE$24,1,1)</f>
        <v/>
      </c>
      <c r="Q29" s="995"/>
      <c r="R29" s="995"/>
      <c r="S29" s="120"/>
      <c r="T29" s="120"/>
      <c r="U29" s="138"/>
      <c r="V29" s="118"/>
      <c r="AC29" s="129"/>
      <c r="AE29" s="4" t="s">
        <v>2286</v>
      </c>
      <c r="AF29" s="4">
        <f t="shared" si="3"/>
        <v>0</v>
      </c>
      <c r="AN29" s="4" t="s">
        <v>316</v>
      </c>
      <c r="AO29" s="4"/>
      <c r="AP29" s="4"/>
      <c r="AU29" s="4" t="s">
        <v>151</v>
      </c>
      <c r="AV29" s="4">
        <f t="shared" ca="1" si="1"/>
        <v>1</v>
      </c>
    </row>
    <row r="30" spans="1:57" x14ac:dyDescent="0.25">
      <c r="A30" s="119"/>
      <c r="B30" s="992"/>
      <c r="C30" s="992"/>
      <c r="D30" s="995"/>
      <c r="E30" s="995"/>
      <c r="F30" s="995"/>
      <c r="G30" s="120"/>
      <c r="H30" s="992"/>
      <c r="I30" s="992"/>
      <c r="J30" s="995"/>
      <c r="K30" s="995"/>
      <c r="L30" s="995"/>
      <c r="M30" s="120"/>
      <c r="N30" s="992"/>
      <c r="O30" s="992"/>
      <c r="P30" s="995"/>
      <c r="Q30" s="995"/>
      <c r="R30" s="995"/>
      <c r="S30" s="120"/>
      <c r="T30" s="120"/>
      <c r="U30" s="138"/>
      <c r="V30" s="118"/>
      <c r="AC30" s="129"/>
      <c r="AE30" s="4" t="s">
        <v>1116</v>
      </c>
      <c r="AF30" s="4">
        <f t="shared" si="3"/>
        <v>0</v>
      </c>
      <c r="AN30" s="4" t="s">
        <v>339</v>
      </c>
      <c r="AO30" s="4"/>
      <c r="AP30" s="4"/>
      <c r="AU30" s="4" t="s">
        <v>52</v>
      </c>
      <c r="AV30" s="4">
        <f t="shared" ca="1" si="1"/>
        <v>1</v>
      </c>
    </row>
    <row r="31" spans="1:57" x14ac:dyDescent="0.25">
      <c r="A31" s="119"/>
      <c r="B31" s="992" t="s">
        <v>46</v>
      </c>
      <c r="C31" s="992"/>
      <c r="D31" s="995" t="str">
        <f>IF(MediumArmorProficiency=1,"proficient","non proficient")</f>
        <v>proficient</v>
      </c>
      <c r="E31" s="995"/>
      <c r="F31" s="995"/>
      <c r="G31" s="120"/>
      <c r="H31" s="992" t="s">
        <v>4141</v>
      </c>
      <c r="I31" s="992"/>
      <c r="J31" s="995" t="str">
        <f>IF(MartialWeaponsProficiency=1,"proficient","non proficient")</f>
        <v>proficient</v>
      </c>
      <c r="K31" s="995"/>
      <c r="L31" s="995"/>
      <c r="M31" s="120"/>
      <c r="N31" s="992" t="s">
        <v>4141</v>
      </c>
      <c r="O31" s="992"/>
      <c r="P31" s="995" t="str">
        <f>INDEX($BE$2:$BE$24,2,1)</f>
        <v/>
      </c>
      <c r="Q31" s="995"/>
      <c r="R31" s="995"/>
      <c r="S31" s="120"/>
      <c r="T31" s="120"/>
      <c r="U31" s="138"/>
      <c r="V31" s="118"/>
      <c r="AC31" s="129"/>
      <c r="AE31" s="4" t="s">
        <v>2287</v>
      </c>
      <c r="AF31" s="4">
        <f t="shared" si="3"/>
        <v>0</v>
      </c>
      <c r="AN31" s="4" t="s">
        <v>365</v>
      </c>
      <c r="AO31" s="4"/>
      <c r="AP31" s="4"/>
      <c r="AU31" s="4" t="s">
        <v>51</v>
      </c>
      <c r="AV31" s="4">
        <f t="shared" ca="1" si="1"/>
        <v>1</v>
      </c>
    </row>
    <row r="32" spans="1:57" x14ac:dyDescent="0.25">
      <c r="A32" s="119"/>
      <c r="B32" s="992"/>
      <c r="C32" s="992"/>
      <c r="D32" s="995"/>
      <c r="E32" s="995"/>
      <c r="F32" s="995"/>
      <c r="G32" s="120"/>
      <c r="H32" s="992"/>
      <c r="I32" s="992"/>
      <c r="J32" s="995"/>
      <c r="K32" s="995"/>
      <c r="L32" s="995"/>
      <c r="M32" s="120"/>
      <c r="N32" s="992"/>
      <c r="O32" s="992"/>
      <c r="P32" s="995"/>
      <c r="Q32" s="995"/>
      <c r="R32" s="995"/>
      <c r="S32" s="120"/>
      <c r="T32" s="120"/>
      <c r="U32" s="138"/>
      <c r="V32" s="118"/>
      <c r="AC32" s="129"/>
      <c r="AE32" s="4" t="s">
        <v>2288</v>
      </c>
      <c r="AF32" s="4">
        <f t="shared" si="3"/>
        <v>0</v>
      </c>
      <c r="AN32" s="4" t="s">
        <v>366</v>
      </c>
      <c r="AO32" s="4"/>
      <c r="AP32" s="4"/>
      <c r="AU32" s="4" t="s">
        <v>152</v>
      </c>
      <c r="AV32" s="4">
        <f t="shared" ca="1" si="1"/>
        <v>1</v>
      </c>
    </row>
    <row r="33" spans="1:48" x14ac:dyDescent="0.25">
      <c r="A33" s="119"/>
      <c r="B33" s="992" t="s">
        <v>4140</v>
      </c>
      <c r="C33" s="992"/>
      <c r="D33" s="995" t="str">
        <f>IF(HeavyArmorProficiency=1,"proficient","non proficient")</f>
        <v>proficient</v>
      </c>
      <c r="E33" s="995"/>
      <c r="F33" s="995"/>
      <c r="G33" s="120"/>
      <c r="H33" s="120"/>
      <c r="I33" s="120"/>
      <c r="J33" s="120"/>
      <c r="K33" s="120"/>
      <c r="L33" s="120"/>
      <c r="M33" s="120"/>
      <c r="N33" s="992" t="s">
        <v>4141</v>
      </c>
      <c r="O33" s="992"/>
      <c r="P33" s="995" t="str">
        <f>INDEX($BE$2:$BE$24,3,1)</f>
        <v/>
      </c>
      <c r="Q33" s="995"/>
      <c r="R33" s="995"/>
      <c r="S33" s="120"/>
      <c r="T33" s="120"/>
      <c r="U33" s="138"/>
      <c r="V33" s="118"/>
      <c r="AC33" s="129"/>
      <c r="AE33" s="4" t="s">
        <v>1117</v>
      </c>
      <c r="AF33" s="4">
        <f t="shared" si="3"/>
        <v>0</v>
      </c>
      <c r="AN33" s="4" t="s">
        <v>395</v>
      </c>
      <c r="AO33" s="4"/>
      <c r="AP33" s="4"/>
      <c r="AU33" s="4" t="s">
        <v>153</v>
      </c>
      <c r="AV33" s="4">
        <f t="shared" ca="1" si="1"/>
        <v>1</v>
      </c>
    </row>
    <row r="34" spans="1:48" x14ac:dyDescent="0.25">
      <c r="A34" s="119"/>
      <c r="B34" s="992"/>
      <c r="C34" s="992"/>
      <c r="D34" s="995"/>
      <c r="E34" s="995"/>
      <c r="F34" s="995"/>
      <c r="G34" s="120"/>
      <c r="H34" s="120"/>
      <c r="I34" s="120"/>
      <c r="J34" s="120"/>
      <c r="K34" s="120"/>
      <c r="L34" s="120"/>
      <c r="M34" s="120"/>
      <c r="N34" s="992"/>
      <c r="O34" s="992"/>
      <c r="P34" s="995"/>
      <c r="Q34" s="995"/>
      <c r="R34" s="995"/>
      <c r="S34" s="120"/>
      <c r="T34" s="120"/>
      <c r="U34" s="138"/>
      <c r="V34" s="118"/>
      <c r="AC34" s="129"/>
      <c r="AE34" s="4" t="s">
        <v>1119</v>
      </c>
      <c r="AF34" s="4">
        <f t="shared" si="3"/>
        <v>0</v>
      </c>
      <c r="AN34" s="4" t="s">
        <v>441</v>
      </c>
      <c r="AO34" s="4"/>
      <c r="AP34" s="4"/>
      <c r="AU34" s="4" t="s">
        <v>155</v>
      </c>
      <c r="AV34" s="4">
        <f t="shared" ca="1" si="1"/>
        <v>1</v>
      </c>
    </row>
    <row r="35" spans="1:48" x14ac:dyDescent="0.25">
      <c r="A35" s="119"/>
      <c r="B35" s="992" t="s">
        <v>109</v>
      </c>
      <c r="C35" s="992"/>
      <c r="D35" s="995" t="str">
        <f>IF(ShieldsProficiency=1,"proficient","non proficient")</f>
        <v>proficient</v>
      </c>
      <c r="E35" s="995"/>
      <c r="F35" s="995"/>
      <c r="G35" s="120"/>
      <c r="H35" s="992" t="s">
        <v>4141</v>
      </c>
      <c r="I35" s="992"/>
      <c r="J35" s="995"/>
      <c r="K35" s="995"/>
      <c r="L35" s="995"/>
      <c r="M35" s="120"/>
      <c r="N35" s="992" t="s">
        <v>4141</v>
      </c>
      <c r="O35" s="992"/>
      <c r="P35" s="995" t="str">
        <f>INDEX($BE$2:$BE$24,4,1)</f>
        <v/>
      </c>
      <c r="Q35" s="995"/>
      <c r="R35" s="995"/>
      <c r="S35" s="120"/>
      <c r="T35" s="120"/>
      <c r="U35" s="138"/>
      <c r="V35" s="118"/>
      <c r="AC35" s="129"/>
      <c r="AE35" s="4" t="s">
        <v>1120</v>
      </c>
      <c r="AF35" s="4">
        <f t="shared" si="3"/>
        <v>0</v>
      </c>
      <c r="AN35" s="4" t="s">
        <v>485</v>
      </c>
      <c r="AO35" s="4"/>
      <c r="AP35" s="4"/>
      <c r="AU35" s="4" t="s">
        <v>156</v>
      </c>
      <c r="AV35" s="4">
        <f t="shared" ca="1" si="1"/>
        <v>1</v>
      </c>
    </row>
    <row r="36" spans="1:48" x14ac:dyDescent="0.25">
      <c r="A36" s="119"/>
      <c r="B36" s="992"/>
      <c r="C36" s="992"/>
      <c r="D36" s="995"/>
      <c r="E36" s="995"/>
      <c r="F36" s="995"/>
      <c r="G36" s="120"/>
      <c r="H36" s="992"/>
      <c r="I36" s="992"/>
      <c r="J36" s="995"/>
      <c r="K36" s="995"/>
      <c r="L36" s="995"/>
      <c r="M36" s="120"/>
      <c r="N36" s="992"/>
      <c r="O36" s="992"/>
      <c r="P36" s="995"/>
      <c r="Q36" s="995"/>
      <c r="R36" s="995"/>
      <c r="S36" s="120"/>
      <c r="T36" s="120"/>
      <c r="U36" s="138"/>
      <c r="V36" s="118"/>
      <c r="AC36" s="129"/>
      <c r="AE36" s="4" t="s">
        <v>1118</v>
      </c>
      <c r="AF36" s="4">
        <f t="shared" si="3"/>
        <v>0</v>
      </c>
      <c r="AN36" s="4" t="s">
        <v>387</v>
      </c>
      <c r="AO36" s="4"/>
      <c r="AP36" s="4"/>
      <c r="AU36" s="4" t="s">
        <v>157</v>
      </c>
      <c r="AV36" s="4">
        <f t="shared" ca="1" si="1"/>
        <v>0</v>
      </c>
    </row>
    <row r="37" spans="1:48" x14ac:dyDescent="0.25">
      <c r="A37" s="119"/>
      <c r="B37" s="120"/>
      <c r="C37" s="120"/>
      <c r="D37" s="120"/>
      <c r="E37" s="120"/>
      <c r="F37" s="120"/>
      <c r="G37" s="120"/>
      <c r="H37" s="992" t="s">
        <v>4141</v>
      </c>
      <c r="I37" s="992"/>
      <c r="J37" s="995"/>
      <c r="K37" s="995"/>
      <c r="L37" s="995"/>
      <c r="M37" s="120"/>
      <c r="N37" s="992" t="s">
        <v>4141</v>
      </c>
      <c r="O37" s="992"/>
      <c r="P37" s="995" t="str">
        <f>INDEX($BE$2:$BE$24,5,1)</f>
        <v/>
      </c>
      <c r="Q37" s="995"/>
      <c r="R37" s="995"/>
      <c r="S37" s="120"/>
      <c r="T37" s="120"/>
      <c r="U37" s="138"/>
      <c r="V37" s="118"/>
      <c r="AC37" s="129"/>
      <c r="AE37" s="4" t="s">
        <v>2294</v>
      </c>
      <c r="AF37" s="4">
        <f t="shared" si="3"/>
        <v>0</v>
      </c>
      <c r="AN37" s="4" t="s">
        <v>401</v>
      </c>
      <c r="AO37" s="4"/>
      <c r="AP37" s="4"/>
      <c r="AU37" s="4" t="s">
        <v>158</v>
      </c>
      <c r="AV37" s="4">
        <f t="shared" ca="1" si="1"/>
        <v>1</v>
      </c>
    </row>
    <row r="38" spans="1:48" x14ac:dyDescent="0.25">
      <c r="A38" s="119"/>
      <c r="B38" s="120"/>
      <c r="C38" s="120"/>
      <c r="D38" s="120"/>
      <c r="E38" s="120"/>
      <c r="F38" s="120"/>
      <c r="G38" s="120"/>
      <c r="H38" s="992"/>
      <c r="I38" s="992"/>
      <c r="J38" s="995"/>
      <c r="K38" s="995"/>
      <c r="L38" s="995"/>
      <c r="M38" s="120"/>
      <c r="N38" s="992"/>
      <c r="O38" s="992"/>
      <c r="P38" s="995"/>
      <c r="Q38" s="995"/>
      <c r="R38" s="995"/>
      <c r="S38" s="120"/>
      <c r="T38" s="120"/>
      <c r="U38" s="138"/>
      <c r="V38" s="118"/>
      <c r="AC38" s="129"/>
      <c r="AE38" s="4" t="s">
        <v>2295</v>
      </c>
      <c r="AF38" s="4">
        <f t="shared" si="3"/>
        <v>0</v>
      </c>
      <c r="AN38" s="4" t="s">
        <v>470</v>
      </c>
      <c r="AO38" s="4">
        <v>1</v>
      </c>
      <c r="AP38" s="4"/>
      <c r="AU38" s="4" t="s">
        <v>38</v>
      </c>
      <c r="AV38" s="4">
        <f t="shared" ca="1" si="1"/>
        <v>1</v>
      </c>
    </row>
    <row r="39" spans="1:48" ht="16.5" x14ac:dyDescent="0.3">
      <c r="A39" s="119"/>
      <c r="B39" s="992" t="s">
        <v>4141</v>
      </c>
      <c r="C39" s="992"/>
      <c r="D39" s="995"/>
      <c r="E39" s="995"/>
      <c r="F39" s="995"/>
      <c r="G39" s="120"/>
      <c r="H39" s="992" t="s">
        <v>4141</v>
      </c>
      <c r="I39" s="992"/>
      <c r="J39" s="995"/>
      <c r="K39" s="995"/>
      <c r="L39" s="995"/>
      <c r="M39" s="120"/>
      <c r="N39" s="992" t="s">
        <v>4141</v>
      </c>
      <c r="O39" s="992"/>
      <c r="P39" s="995" t="str">
        <f>INDEX($BE$2:$BE$24,6,1)</f>
        <v/>
      </c>
      <c r="Q39" s="995"/>
      <c r="R39" s="995"/>
      <c r="S39" s="120"/>
      <c r="T39" s="120"/>
      <c r="U39" s="138"/>
      <c r="V39" s="118"/>
      <c r="AC39" s="129"/>
      <c r="AE39" s="4" t="s">
        <v>2296</v>
      </c>
      <c r="AF39" s="4">
        <f t="shared" si="3"/>
        <v>0</v>
      </c>
      <c r="AH39" s="140" t="s">
        <v>4128</v>
      </c>
      <c r="AI39" s="140"/>
      <c r="AN39" s="4" t="s">
        <v>81</v>
      </c>
      <c r="AO39" s="4"/>
      <c r="AP39" s="4"/>
      <c r="AU39" s="4" t="s">
        <v>159</v>
      </c>
      <c r="AV39" s="4">
        <f t="shared" ca="1" si="1"/>
        <v>1</v>
      </c>
    </row>
    <row r="40" spans="1:48" ht="16.5" x14ac:dyDescent="0.3">
      <c r="A40" s="119"/>
      <c r="B40" s="992"/>
      <c r="C40" s="992"/>
      <c r="D40" s="995"/>
      <c r="E40" s="995"/>
      <c r="F40" s="995"/>
      <c r="G40" s="120"/>
      <c r="H40" s="992"/>
      <c r="I40" s="992"/>
      <c r="J40" s="995"/>
      <c r="K40" s="995"/>
      <c r="L40" s="995"/>
      <c r="M40" s="120"/>
      <c r="N40" s="992"/>
      <c r="O40" s="992"/>
      <c r="P40" s="995"/>
      <c r="Q40" s="995"/>
      <c r="R40" s="995"/>
      <c r="S40" s="120"/>
      <c r="T40" s="120"/>
      <c r="U40" s="138"/>
      <c r="V40" s="118"/>
      <c r="AC40" s="129"/>
      <c r="AE40" s="4" t="s">
        <v>2297</v>
      </c>
      <c r="AF40" s="4">
        <f t="shared" si="3"/>
        <v>0</v>
      </c>
      <c r="AH40" s="140" t="s">
        <v>602</v>
      </c>
      <c r="AI40" s="221" t="str">
        <f>INDEX(T01_Races!$BB$2:$BB$101,MATCH(SubRace,T01_Races!$E$2:$E$101,0),1)</f>
        <v/>
      </c>
      <c r="AJ40" s="221">
        <f>INDEX(T01_Races!$BA$2:$BA$101,MATCH(SubRace,T01_Races!$E$2:$E$101,0),1)</f>
        <v>0</v>
      </c>
      <c r="AN40" s="4" t="s">
        <v>3569</v>
      </c>
      <c r="AO40" s="4"/>
      <c r="AP40" s="4"/>
    </row>
    <row r="41" spans="1:48" ht="16.5" x14ac:dyDescent="0.3">
      <c r="A41" s="119"/>
      <c r="B41" s="992" t="s">
        <v>4141</v>
      </c>
      <c r="C41" s="992"/>
      <c r="D41" s="995"/>
      <c r="E41" s="995"/>
      <c r="F41" s="995"/>
      <c r="G41" s="120"/>
      <c r="H41" s="992" t="s">
        <v>4141</v>
      </c>
      <c r="I41" s="992"/>
      <c r="J41" s="995"/>
      <c r="K41" s="995"/>
      <c r="L41" s="995"/>
      <c r="M41" s="120"/>
      <c r="N41" s="992" t="s">
        <v>4141</v>
      </c>
      <c r="O41" s="992"/>
      <c r="P41" s="995" t="str">
        <f>INDEX($BE$2:$BE$24,7,1)</f>
        <v/>
      </c>
      <c r="Q41" s="995"/>
      <c r="R41" s="995"/>
      <c r="S41" s="120"/>
      <c r="T41" s="120"/>
      <c r="U41" s="138"/>
      <c r="V41" s="118"/>
      <c r="AC41" s="129"/>
      <c r="AE41" s="4" t="s">
        <v>2298</v>
      </c>
      <c r="AF41" s="4">
        <f t="shared" si="3"/>
        <v>0</v>
      </c>
      <c r="AH41" s="140" t="s">
        <v>60</v>
      </c>
      <c r="AI41" s="140" t="str">
        <f>INDEX(T04_Classes!$J$3:$J$102,SelectedClassID,1)</f>
        <v>None</v>
      </c>
      <c r="AJ41" s="140" t="str">
        <f>INDEX(T04_Classes!$L$3:$L$102,SelectedClassID,1)</f>
        <v>None</v>
      </c>
    </row>
    <row r="42" spans="1:48" ht="16.5" x14ac:dyDescent="0.3">
      <c r="A42" s="119"/>
      <c r="B42" s="992"/>
      <c r="C42" s="992"/>
      <c r="D42" s="995"/>
      <c r="E42" s="995"/>
      <c r="F42" s="995"/>
      <c r="G42" s="120"/>
      <c r="H42" s="992"/>
      <c r="I42" s="992"/>
      <c r="J42" s="995"/>
      <c r="K42" s="995"/>
      <c r="L42" s="995"/>
      <c r="M42" s="120"/>
      <c r="N42" s="992"/>
      <c r="O42" s="992"/>
      <c r="P42" s="995"/>
      <c r="Q42" s="995"/>
      <c r="R42" s="995"/>
      <c r="S42" s="120"/>
      <c r="T42" s="120"/>
      <c r="U42" s="138"/>
      <c r="V42" s="118"/>
      <c r="AC42" s="129"/>
      <c r="AE42" s="4" t="s">
        <v>2299</v>
      </c>
      <c r="AF42" s="4">
        <f t="shared" si="3"/>
        <v>0</v>
      </c>
      <c r="AH42" s="140" t="s">
        <v>2</v>
      </c>
      <c r="AI42" s="140" t="str">
        <f>INDEX(T02_Backgrounds!J2:J101,SelectedBackgroundId,1)</f>
        <v>Vehicles (land),</v>
      </c>
    </row>
    <row r="43" spans="1:48" x14ac:dyDescent="0.25">
      <c r="A43" s="119"/>
      <c r="B43" s="992" t="s">
        <v>4141</v>
      </c>
      <c r="C43" s="992"/>
      <c r="D43" s="995"/>
      <c r="E43" s="995"/>
      <c r="F43" s="995"/>
      <c r="G43" s="120"/>
      <c r="H43" s="992" t="s">
        <v>4141</v>
      </c>
      <c r="I43" s="992"/>
      <c r="J43" s="995"/>
      <c r="K43" s="995"/>
      <c r="L43" s="995"/>
      <c r="M43" s="120"/>
      <c r="N43" s="992" t="s">
        <v>4141</v>
      </c>
      <c r="O43" s="992"/>
      <c r="P43" s="995" t="str">
        <f>INDEX($BE$2:$BE$24,8,1)</f>
        <v/>
      </c>
      <c r="Q43" s="995"/>
      <c r="R43" s="995"/>
      <c r="S43" s="120"/>
      <c r="T43" s="120"/>
      <c r="U43" s="138"/>
      <c r="V43" s="118"/>
      <c r="AC43" s="129"/>
      <c r="AE43" s="4" t="s">
        <v>2300</v>
      </c>
      <c r="AF43" s="4">
        <f t="shared" si="3"/>
        <v>0</v>
      </c>
    </row>
    <row r="44" spans="1:48" x14ac:dyDescent="0.25">
      <c r="A44" s="119"/>
      <c r="B44" s="992"/>
      <c r="C44" s="992"/>
      <c r="D44" s="995"/>
      <c r="E44" s="995"/>
      <c r="F44" s="995"/>
      <c r="G44" s="120"/>
      <c r="H44" s="992"/>
      <c r="I44" s="992"/>
      <c r="J44" s="995"/>
      <c r="K44" s="995"/>
      <c r="L44" s="995"/>
      <c r="M44" s="120"/>
      <c r="N44" s="992"/>
      <c r="O44" s="992"/>
      <c r="P44" s="995"/>
      <c r="Q44" s="995"/>
      <c r="R44" s="995"/>
      <c r="S44" s="120"/>
      <c r="T44" s="120"/>
      <c r="U44" s="138"/>
      <c r="V44" s="118"/>
      <c r="AC44" s="129"/>
      <c r="AE44" s="4" t="s">
        <v>2302</v>
      </c>
      <c r="AF44" s="4">
        <f t="shared" si="3"/>
        <v>0</v>
      </c>
    </row>
    <row r="45" spans="1:48" x14ac:dyDescent="0.25">
      <c r="A45" s="119"/>
      <c r="B45" s="992" t="s">
        <v>4141</v>
      </c>
      <c r="C45" s="992"/>
      <c r="D45" s="995"/>
      <c r="E45" s="995"/>
      <c r="F45" s="995"/>
      <c r="G45" s="120"/>
      <c r="H45" s="992" t="s">
        <v>4141</v>
      </c>
      <c r="I45" s="992"/>
      <c r="J45" s="995"/>
      <c r="K45" s="995"/>
      <c r="L45" s="995"/>
      <c r="M45" s="120"/>
      <c r="N45" s="992" t="s">
        <v>4141</v>
      </c>
      <c r="O45" s="992"/>
      <c r="P45" s="995" t="str">
        <f>INDEX($BE$2:$BE$24,9,1)</f>
        <v/>
      </c>
      <c r="Q45" s="995"/>
      <c r="R45" s="995"/>
      <c r="S45" s="120"/>
      <c r="T45" s="120"/>
      <c r="U45" s="138"/>
      <c r="V45" s="118"/>
      <c r="W45" s="1018" t="s">
        <v>4147</v>
      </c>
      <c r="X45" s="1018"/>
      <c r="Y45" s="1018"/>
      <c r="Z45" s="1018"/>
      <c r="AA45" s="1018"/>
      <c r="AB45" s="1019"/>
      <c r="AC45" s="129"/>
      <c r="AE45" s="4" t="s">
        <v>2303</v>
      </c>
      <c r="AF45" s="4">
        <f t="shared" si="3"/>
        <v>0</v>
      </c>
    </row>
    <row r="46" spans="1:48" x14ac:dyDescent="0.25">
      <c r="A46" s="119"/>
      <c r="B46" s="992"/>
      <c r="C46" s="992"/>
      <c r="D46" s="995"/>
      <c r="E46" s="995"/>
      <c r="F46" s="995"/>
      <c r="G46" s="120"/>
      <c r="H46" s="992"/>
      <c r="I46" s="992"/>
      <c r="J46" s="995"/>
      <c r="K46" s="995"/>
      <c r="L46" s="995"/>
      <c r="M46" s="120"/>
      <c r="N46" s="992"/>
      <c r="O46" s="992"/>
      <c r="P46" s="995"/>
      <c r="Q46" s="995"/>
      <c r="R46" s="995"/>
      <c r="S46" s="120"/>
      <c r="T46" s="120"/>
      <c r="U46" s="138"/>
      <c r="V46" s="118"/>
      <c r="W46" s="120"/>
      <c r="X46" s="120"/>
      <c r="Y46" s="120"/>
      <c r="Z46" s="120" t="str">
        <f>IFERROR(TRIM(SUBSTITUTE(SUBSTITUTE(SUBSTITUTE(SUBSTITUTE(SUBSTITUTE(SUBSTITUTE(SUBSTITUTE(SUBSTITUTE(SUBSTITUTE(SUBSTITUTE(SUBSTITUTE(SUBSTITUTE(SUBSTITUTE(LOWER($Y$68),"light",""),"medium",""),"weapons",""),"shields",""),"armor",""),"all",""),"skill",""),"musical instrument",""),"simple",""),"martial",""),"one",""),", ,",","),"yes","")),"")</f>
        <v>, , heavy , ,,,,,,,arcana, history, vehicles (land),,</v>
      </c>
      <c r="AA46" s="120"/>
      <c r="AB46" s="120"/>
      <c r="AC46" s="129"/>
      <c r="AE46" s="4" t="s">
        <v>2304</v>
      </c>
      <c r="AF46" s="4">
        <f>IF(IFERROR(MATCH(AE46,$AC$2:$AC$201,0),0)&gt;0,1,0)</f>
        <v>0</v>
      </c>
    </row>
    <row r="47" spans="1:48" x14ac:dyDescent="0.25">
      <c r="A47" s="119"/>
      <c r="B47" s="992" t="s">
        <v>4141</v>
      </c>
      <c r="C47" s="992"/>
      <c r="D47" s="995"/>
      <c r="E47" s="995"/>
      <c r="F47" s="995"/>
      <c r="G47" s="120"/>
      <c r="H47" s="992" t="s">
        <v>4141</v>
      </c>
      <c r="I47" s="992"/>
      <c r="J47" s="995"/>
      <c r="K47" s="995"/>
      <c r="L47" s="995"/>
      <c r="M47" s="120"/>
      <c r="N47" s="992" t="s">
        <v>4141</v>
      </c>
      <c r="O47" s="992"/>
      <c r="P47" s="995" t="str">
        <f>INDEX($BE$2:$BE$24,10,1)</f>
        <v/>
      </c>
      <c r="Q47" s="995"/>
      <c r="R47" s="995"/>
      <c r="S47" s="120"/>
      <c r="T47" s="120"/>
      <c r="U47" s="138"/>
      <c r="V47" s="118"/>
      <c r="W47" s="238">
        <f t="shared" ref="W47:W60" si="10">IFERROR(SEARCH(",",Z46),"")</f>
        <v>1</v>
      </c>
      <c r="X47" s="238">
        <f t="shared" ref="X47:X60" si="11">IFERROR(SEARCH(",",Z46,W47+1),"")</f>
        <v>3</v>
      </c>
      <c r="Y47" s="238" t="str">
        <f t="shared" ref="Y47:Y60" si="12">IFERROR(TRIM(SUBSTITUTE(LEFT(Z46,W47),",","")),"")</f>
        <v/>
      </c>
      <c r="Z47" s="238" t="str">
        <f t="shared" ref="Z47:Z60" si="13">SUBSTITUTE(IFERROR(RIGHT(Z46,LEN(Z46)-W47),""),", ,",",")</f>
        <v xml:space="preserve"> , heavy ,,,,,,,arcana, history, vehicles (land),,</v>
      </c>
      <c r="AA47" s="239">
        <f t="shared" ref="AA47:AA60" si="14">IF(Y47="",0,IF(IFERROR(MATCH(Y47,$Y$47:$Y$60,0),0)=ROW(Y47)-ROW($Y$47)+1,1,0))</f>
        <v>0</v>
      </c>
      <c r="AB47" s="239">
        <f>IF(AA47=0,0,1)</f>
        <v>0</v>
      </c>
      <c r="AC47" s="151"/>
      <c r="AE47" s="4"/>
      <c r="AF47" s="4">
        <f t="shared" si="3"/>
        <v>0</v>
      </c>
    </row>
    <row r="48" spans="1:48" ht="16.5" x14ac:dyDescent="0.3">
      <c r="A48" s="119"/>
      <c r="B48" s="992"/>
      <c r="C48" s="992"/>
      <c r="D48" s="995"/>
      <c r="E48" s="995"/>
      <c r="F48" s="995"/>
      <c r="G48" s="120"/>
      <c r="H48" s="992"/>
      <c r="I48" s="992"/>
      <c r="J48" s="995"/>
      <c r="K48" s="995"/>
      <c r="L48" s="995"/>
      <c r="M48" s="120"/>
      <c r="N48" s="992"/>
      <c r="O48" s="992"/>
      <c r="P48" s="995"/>
      <c r="Q48" s="995"/>
      <c r="R48" s="995"/>
      <c r="S48" s="120"/>
      <c r="T48" s="120"/>
      <c r="U48" s="138"/>
      <c r="V48" s="118"/>
      <c r="W48" s="238">
        <f t="shared" si="10"/>
        <v>2</v>
      </c>
      <c r="X48" s="238">
        <f t="shared" si="11"/>
        <v>10</v>
      </c>
      <c r="Y48" s="238" t="str">
        <f t="shared" si="12"/>
        <v/>
      </c>
      <c r="Z48" s="238" t="str">
        <f t="shared" si="13"/>
        <v xml:space="preserve"> heavy ,,,,,,,arcana, history, vehicles (land),,</v>
      </c>
      <c r="AA48" s="239">
        <f t="shared" si="14"/>
        <v>0</v>
      </c>
      <c r="AB48" s="239">
        <f>IF(AA48=0,0,COUNTIF($AB$47:AB47,"&gt;0")+1)</f>
        <v>0</v>
      </c>
      <c r="AC48" s="151"/>
      <c r="AE48" s="4"/>
      <c r="AF48" s="4">
        <f t="shared" si="3"/>
        <v>0</v>
      </c>
      <c r="AN48" s="131" t="str">
        <f>IFERROR(TRIM(MID(TRIM(TRIM(TRIM(TRIM($AI40)))),1,SEARCH(",",TRIM(TRIM(TRIM(TRIM($AI40)))),1)-1)),"")</f>
        <v/>
      </c>
      <c r="AO48" s="131">
        <f>IFERROR(TRIM(MID(AI40,SEARCH(",",TRIM($AI40),1)+1,SEARCH(",",TRIM($AI40),1+SEARCH(",",TRIM($AI40),1))-SEARCH(",",TRIM($AI40),1)-1)),)</f>
        <v>0</v>
      </c>
      <c r="AP48" s="140" t="str">
        <f>IFERROR(TRIM(MID(AI40,SEARCH(",",TRIM($AI40),1+SEARCH(",",TRIM($AI40),1))+1,SEARCH(",",TRIM($AI40),1+SEARCH(",",TRIM($AI40),1+SEARCH(",",TRIM($AI40),1)))-SEARCH(",",TRIM($AI40),1+SEARCH(",",TRIM($AI40),1))-1)),"")</f>
        <v/>
      </c>
      <c r="AQ48" s="140" t="str">
        <f>IFERROR(TRIM(MID(AI40,SEARCH(",",TRIM($AI40),1+SEARCH(",",TRIM($AI40),1+SEARCH(",",TRIM($AI40),1)))+1,LEN(AI40)-SEARCH(",",TRIM($AI40),1+SEARCH(",",TRIM($AI40),1+SEARCH(",",TRIM($AI40),1)))-1)),"")</f>
        <v/>
      </c>
    </row>
    <row r="49" spans="1:44" x14ac:dyDescent="0.25">
      <c r="A49" s="119"/>
      <c r="B49" s="120"/>
      <c r="C49" s="120"/>
      <c r="D49" s="120"/>
      <c r="E49" s="120"/>
      <c r="F49" s="120"/>
      <c r="G49" s="120"/>
      <c r="H49" s="120"/>
      <c r="I49" s="120"/>
      <c r="J49" s="120"/>
      <c r="K49" s="120"/>
      <c r="L49" s="120"/>
      <c r="M49" s="120"/>
      <c r="N49" s="120"/>
      <c r="O49" s="120"/>
      <c r="P49" s="120"/>
      <c r="Q49" s="120"/>
      <c r="R49" s="120"/>
      <c r="S49" s="120"/>
      <c r="T49" s="120"/>
      <c r="U49" s="138"/>
      <c r="V49" s="118"/>
      <c r="W49" s="238">
        <f t="shared" si="10"/>
        <v>8</v>
      </c>
      <c r="X49" s="238">
        <f t="shared" si="11"/>
        <v>9</v>
      </c>
      <c r="Y49" s="238" t="str">
        <f t="shared" si="12"/>
        <v>heavy</v>
      </c>
      <c r="Z49" s="238" t="str">
        <f t="shared" si="13"/>
        <v>,,,,,,arcana, history, vehicles (land),,</v>
      </c>
      <c r="AA49" s="239">
        <f t="shared" si="14"/>
        <v>1</v>
      </c>
      <c r="AB49" s="239">
        <f>IF(AA49=0,0,COUNTIF($AB$47:AB48,"&gt;0")+1)</f>
        <v>1</v>
      </c>
      <c r="AC49" s="151"/>
      <c r="AE49" s="4"/>
      <c r="AF49" s="4">
        <f t="shared" si="3"/>
        <v>0</v>
      </c>
    </row>
    <row r="50" spans="1:44" ht="16.5" x14ac:dyDescent="0.3">
      <c r="A50" s="119"/>
      <c r="B50" s="992" t="s">
        <v>4158</v>
      </c>
      <c r="C50" s="992"/>
      <c r="D50" s="993" t="str">
        <f>IF(D35="non proficient","","Shields, ")&amp;IF(D29="non proficient","","light, ")&amp;IF(D31="non proficient","","medium, ")&amp;IF(D33="non proficient","","heavy, ")</f>
        <v xml:space="preserve">Shields, light, medium, heavy, </v>
      </c>
      <c r="E50" s="994"/>
      <c r="F50" s="994"/>
      <c r="G50" s="994"/>
      <c r="H50" s="994"/>
      <c r="I50" s="994"/>
      <c r="J50" s="994"/>
      <c r="K50" s="994"/>
      <c r="L50" s="994"/>
      <c r="M50" s="994"/>
      <c r="N50" s="994"/>
      <c r="O50" s="994"/>
      <c r="P50" s="994"/>
      <c r="Q50" s="994"/>
      <c r="R50" s="994"/>
      <c r="S50" s="994"/>
      <c r="T50" s="120"/>
      <c r="U50" s="138"/>
      <c r="V50" s="118"/>
      <c r="W50" s="238">
        <f t="shared" si="10"/>
        <v>1</v>
      </c>
      <c r="X50" s="238">
        <f t="shared" si="11"/>
        <v>2</v>
      </c>
      <c r="Y50" s="238" t="str">
        <f t="shared" si="12"/>
        <v/>
      </c>
      <c r="Z50" s="238" t="str">
        <f t="shared" si="13"/>
        <v>,,,,,arcana, history, vehicles (land),,</v>
      </c>
      <c r="AA50" s="239">
        <f t="shared" si="14"/>
        <v>0</v>
      </c>
      <c r="AB50" s="239">
        <f>IF(AA50=0,0,COUNTIF($AB$47:AB49,"&gt;0")+1)</f>
        <v>0</v>
      </c>
      <c r="AC50" s="151"/>
      <c r="AE50" s="4"/>
      <c r="AF50" s="4">
        <f t="shared" si="3"/>
        <v>0</v>
      </c>
      <c r="AN50" s="131" t="str">
        <f>IFERROR(TRIM(MID(TRIM(TRIM(TRIM(TRIM($AI42)))),1,SEARCH(",",TRIM(TRIM(TRIM(TRIM($AI42)))),1)-1)),"")</f>
        <v>Vehicles (land)</v>
      </c>
    </row>
    <row r="51" spans="1:44" x14ac:dyDescent="0.25">
      <c r="A51" s="119"/>
      <c r="B51" s="992"/>
      <c r="C51" s="992"/>
      <c r="D51" s="993"/>
      <c r="E51" s="994"/>
      <c r="F51" s="994"/>
      <c r="G51" s="994"/>
      <c r="H51" s="994"/>
      <c r="I51" s="994"/>
      <c r="J51" s="994"/>
      <c r="K51" s="994"/>
      <c r="L51" s="994"/>
      <c r="M51" s="994"/>
      <c r="N51" s="994"/>
      <c r="O51" s="994"/>
      <c r="P51" s="994"/>
      <c r="Q51" s="994"/>
      <c r="R51" s="994"/>
      <c r="S51" s="994"/>
      <c r="T51" s="120"/>
      <c r="U51" s="138"/>
      <c r="V51" s="118"/>
      <c r="W51" s="238">
        <f t="shared" si="10"/>
        <v>1</v>
      </c>
      <c r="X51" s="238">
        <f t="shared" si="11"/>
        <v>2</v>
      </c>
      <c r="Y51" s="238" t="str">
        <f t="shared" si="12"/>
        <v/>
      </c>
      <c r="Z51" s="238" t="str">
        <f t="shared" si="13"/>
        <v>,,,,arcana, history, vehicles (land),,</v>
      </c>
      <c r="AA51" s="239">
        <f t="shared" si="14"/>
        <v>0</v>
      </c>
      <c r="AB51" s="239">
        <f>IF(AA51=0,0,COUNTIF($AB$47:AB50,"&gt;0")+1)</f>
        <v>0</v>
      </c>
      <c r="AC51" s="151"/>
      <c r="AE51" s="4"/>
      <c r="AF51" s="4">
        <f t="shared" si="3"/>
        <v>0</v>
      </c>
    </row>
    <row r="52" spans="1:44" x14ac:dyDescent="0.25">
      <c r="A52" s="119"/>
      <c r="B52" s="120"/>
      <c r="C52" s="120"/>
      <c r="D52" s="120"/>
      <c r="E52" s="120"/>
      <c r="F52" s="120"/>
      <c r="G52" s="120"/>
      <c r="H52" s="120"/>
      <c r="I52" s="120"/>
      <c r="J52" s="120"/>
      <c r="K52" s="120"/>
      <c r="L52" s="120"/>
      <c r="M52" s="120"/>
      <c r="N52" s="120"/>
      <c r="O52" s="120"/>
      <c r="P52" s="120"/>
      <c r="Q52" s="120"/>
      <c r="R52" s="120"/>
      <c r="S52" s="120"/>
      <c r="T52" s="120"/>
      <c r="U52" s="138"/>
      <c r="V52" s="118"/>
      <c r="W52" s="238">
        <f t="shared" si="10"/>
        <v>1</v>
      </c>
      <c r="X52" s="238">
        <f t="shared" si="11"/>
        <v>2</v>
      </c>
      <c r="Y52" s="238" t="str">
        <f t="shared" si="12"/>
        <v/>
      </c>
      <c r="Z52" s="238" t="str">
        <f t="shared" si="13"/>
        <v>,,,arcana, history, vehicles (land),,</v>
      </c>
      <c r="AA52" s="239">
        <f t="shared" si="14"/>
        <v>0</v>
      </c>
      <c r="AB52" s="239">
        <f>IF(AA52=0,0,COUNTIF($AB$47:AB51,"&gt;0")+1)</f>
        <v>0</v>
      </c>
      <c r="AC52" s="151"/>
      <c r="AE52" s="4"/>
      <c r="AF52" s="4">
        <f t="shared" si="3"/>
        <v>0</v>
      </c>
    </row>
    <row r="53" spans="1:44" ht="16.5" x14ac:dyDescent="0.3">
      <c r="A53" s="119"/>
      <c r="B53" s="992" t="s">
        <v>6449</v>
      </c>
      <c r="C53" s="992"/>
      <c r="D53" s="993" t="str">
        <f>IF(J29="proficient","Simple Weapons, ","")&amp;IF(J31="proficient","Martial Weapons, ","")</f>
        <v xml:space="preserve">Simple Weapons, Martial Weapons, </v>
      </c>
      <c r="E53" s="994"/>
      <c r="F53" s="994"/>
      <c r="G53" s="994"/>
      <c r="H53" s="994"/>
      <c r="I53" s="994"/>
      <c r="J53" s="994"/>
      <c r="K53" s="994"/>
      <c r="L53" s="994"/>
      <c r="M53" s="994"/>
      <c r="N53" s="994"/>
      <c r="O53" s="994"/>
      <c r="P53" s="994"/>
      <c r="Q53" s="994"/>
      <c r="R53" s="994"/>
      <c r="S53" s="994"/>
      <c r="T53" s="120"/>
      <c r="U53" s="138"/>
      <c r="V53" s="118"/>
      <c r="W53" s="238">
        <f t="shared" si="10"/>
        <v>1</v>
      </c>
      <c r="X53" s="238">
        <f t="shared" si="11"/>
        <v>2</v>
      </c>
      <c r="Y53" s="238" t="str">
        <f t="shared" si="12"/>
        <v/>
      </c>
      <c r="Z53" s="238" t="str">
        <f t="shared" si="13"/>
        <v>,,arcana, history, vehicles (land),,</v>
      </c>
      <c r="AA53" s="239">
        <f t="shared" si="14"/>
        <v>0</v>
      </c>
      <c r="AB53" s="239">
        <f>IF(AA53=0,0,COUNTIF($AB$47:AB52,"&gt;0")+1)</f>
        <v>0</v>
      </c>
      <c r="AC53" s="151"/>
      <c r="AE53" s="4"/>
      <c r="AF53" s="4">
        <f t="shared" si="3"/>
        <v>0</v>
      </c>
      <c r="AH53" s="140" t="s">
        <v>4286</v>
      </c>
      <c r="AL53" t="s">
        <v>4287</v>
      </c>
      <c r="AO53" t="s">
        <v>4288</v>
      </c>
      <c r="AR53" t="s">
        <v>4289</v>
      </c>
    </row>
    <row r="54" spans="1:44" x14ac:dyDescent="0.25">
      <c r="A54" s="119"/>
      <c r="B54" s="992"/>
      <c r="C54" s="992"/>
      <c r="D54" s="993"/>
      <c r="E54" s="994"/>
      <c r="F54" s="994"/>
      <c r="G54" s="994"/>
      <c r="H54" s="994"/>
      <c r="I54" s="994"/>
      <c r="J54" s="994"/>
      <c r="K54" s="994"/>
      <c r="L54" s="994"/>
      <c r="M54" s="994"/>
      <c r="N54" s="994"/>
      <c r="O54" s="994"/>
      <c r="P54" s="994"/>
      <c r="Q54" s="994"/>
      <c r="R54" s="994"/>
      <c r="S54" s="994"/>
      <c r="T54" s="120"/>
      <c r="U54" s="138"/>
      <c r="V54" s="118"/>
      <c r="W54" s="238">
        <f t="shared" si="10"/>
        <v>1</v>
      </c>
      <c r="X54" s="238">
        <f t="shared" si="11"/>
        <v>2</v>
      </c>
      <c r="Y54" s="238" t="str">
        <f t="shared" si="12"/>
        <v/>
      </c>
      <c r="Z54" s="238" t="str">
        <f t="shared" si="13"/>
        <v>,arcana, history, vehicles (land),,</v>
      </c>
      <c r="AA54" s="239">
        <f t="shared" si="14"/>
        <v>0</v>
      </c>
      <c r="AB54" s="239">
        <f>IF(AA54=0,0,COUNTIF($AB$47:AB53,"&gt;0")+1)</f>
        <v>0</v>
      </c>
      <c r="AC54" s="151"/>
      <c r="AE54" s="4"/>
      <c r="AF54" s="4">
        <f t="shared" si="3"/>
        <v>0</v>
      </c>
    </row>
    <row r="55" spans="1:44" x14ac:dyDescent="0.25">
      <c r="A55" s="119"/>
      <c r="B55" s="120"/>
      <c r="C55" s="120"/>
      <c r="D55" s="120"/>
      <c r="E55" s="120"/>
      <c r="F55" s="120"/>
      <c r="G55" s="120"/>
      <c r="H55" s="120"/>
      <c r="I55" s="120"/>
      <c r="J55" s="120"/>
      <c r="K55" s="120"/>
      <c r="L55" s="120"/>
      <c r="M55" s="120"/>
      <c r="N55" s="120"/>
      <c r="O55" s="120"/>
      <c r="P55" s="120"/>
      <c r="Q55" s="120"/>
      <c r="R55" s="120"/>
      <c r="S55" s="120"/>
      <c r="T55" s="120"/>
      <c r="U55" s="138"/>
      <c r="V55" s="118"/>
      <c r="W55" s="238">
        <f t="shared" si="10"/>
        <v>1</v>
      </c>
      <c r="X55" s="238">
        <f t="shared" si="11"/>
        <v>8</v>
      </c>
      <c r="Y55" s="238" t="str">
        <f t="shared" si="12"/>
        <v/>
      </c>
      <c r="Z55" s="238" t="str">
        <f t="shared" si="13"/>
        <v>arcana, history, vehicles (land),,</v>
      </c>
      <c r="AA55" s="239">
        <f t="shared" si="14"/>
        <v>0</v>
      </c>
      <c r="AB55" s="239">
        <f>IF(AA55=0,0,COUNTIF($AB$47:AB54,"&gt;0")+1)</f>
        <v>0</v>
      </c>
      <c r="AC55" s="151"/>
      <c r="AE55" s="4"/>
      <c r="AF55" s="4">
        <f t="shared" si="3"/>
        <v>0</v>
      </c>
      <c r="AH55" t="str">
        <f>IF(AN48="","n/a",INDEX($AN$48:$AQ$48,1,ROW()-ROW($AH$54)))</f>
        <v>n/a</v>
      </c>
    </row>
    <row r="56" spans="1:44" x14ac:dyDescent="0.25">
      <c r="U56" s="138"/>
      <c r="V56" s="118"/>
      <c r="W56" s="238">
        <f t="shared" si="10"/>
        <v>7</v>
      </c>
      <c r="X56" s="238">
        <f t="shared" si="11"/>
        <v>16</v>
      </c>
      <c r="Y56" s="238" t="str">
        <f t="shared" si="12"/>
        <v>arcana</v>
      </c>
      <c r="Z56" s="238" t="str">
        <f t="shared" si="13"/>
        <v xml:space="preserve"> history, vehicles (land),,</v>
      </c>
      <c r="AA56" s="239">
        <f t="shared" si="14"/>
        <v>1</v>
      </c>
      <c r="AB56" s="239">
        <f>IF(AA56=0,0,COUNTIF($AB$47:AB55,"&gt;0")+1)</f>
        <v>2</v>
      </c>
      <c r="AC56" s="129"/>
      <c r="AE56" s="4"/>
      <c r="AF56" s="4">
        <f t="shared" si="3"/>
        <v>0</v>
      </c>
      <c r="AH56">
        <f>INDEX($AN$48:$AQ$48,1,ROW()-ROW($AH$54))</f>
        <v>0</v>
      </c>
    </row>
    <row r="57" spans="1:44" x14ac:dyDescent="0.25">
      <c r="U57" s="138"/>
      <c r="V57" s="118"/>
      <c r="W57" s="238">
        <f t="shared" si="10"/>
        <v>9</v>
      </c>
      <c r="X57" s="238">
        <f t="shared" si="11"/>
        <v>26</v>
      </c>
      <c r="Y57" s="238" t="str">
        <f t="shared" si="12"/>
        <v>history</v>
      </c>
      <c r="Z57" s="238" t="str">
        <f t="shared" si="13"/>
        <v xml:space="preserve"> vehicles (land),,</v>
      </c>
      <c r="AA57" s="239">
        <f t="shared" si="14"/>
        <v>1</v>
      </c>
      <c r="AB57" s="239">
        <f>IF(AA57=0,0,COUNTIF($AB$47:AB56,"&gt;0")+1)</f>
        <v>3</v>
      </c>
      <c r="AC57" s="129"/>
      <c r="AF57" s="4">
        <f t="shared" si="3"/>
        <v>0</v>
      </c>
      <c r="AH57" t="str">
        <f>INDEX($AN$48:$AQ$48,1,ROW()-ROW($AH$54))</f>
        <v/>
      </c>
    </row>
    <row r="58" spans="1:44" x14ac:dyDescent="0.25">
      <c r="U58" s="138"/>
      <c r="V58" s="118"/>
      <c r="W58" s="238">
        <f t="shared" si="10"/>
        <v>17</v>
      </c>
      <c r="X58" s="238">
        <f t="shared" si="11"/>
        <v>18</v>
      </c>
      <c r="Y58" s="238" t="str">
        <f t="shared" si="12"/>
        <v>vehicles (land)</v>
      </c>
      <c r="Z58" s="238" t="str">
        <f t="shared" si="13"/>
        <v>,</v>
      </c>
      <c r="AA58" s="239">
        <f t="shared" si="14"/>
        <v>1</v>
      </c>
      <c r="AB58" s="239">
        <f>IF(AA58=0,0,COUNTIF($AB$47:AB57,"&gt;0")+1)</f>
        <v>4</v>
      </c>
      <c r="AC58" s="129"/>
      <c r="AF58" s="4">
        <f t="shared" si="3"/>
        <v>0</v>
      </c>
    </row>
    <row r="59" spans="1:44" x14ac:dyDescent="0.25">
      <c r="U59" s="138"/>
      <c r="V59" s="118"/>
      <c r="W59" s="238">
        <f t="shared" si="10"/>
        <v>1</v>
      </c>
      <c r="X59" s="238" t="str">
        <f t="shared" si="11"/>
        <v/>
      </c>
      <c r="Y59" s="238" t="str">
        <f t="shared" si="12"/>
        <v/>
      </c>
      <c r="Z59" s="238" t="str">
        <f t="shared" si="13"/>
        <v/>
      </c>
      <c r="AA59" s="239">
        <f t="shared" si="14"/>
        <v>0</v>
      </c>
      <c r="AB59" s="239">
        <f>IF(AA59=0,0,COUNTIF($AB$47:AB58,"&gt;0")+1)</f>
        <v>0</v>
      </c>
      <c r="AC59" s="129"/>
      <c r="AF59" s="4">
        <f t="shared" si="3"/>
        <v>0</v>
      </c>
    </row>
    <row r="60" spans="1:44" x14ac:dyDescent="0.25">
      <c r="U60" s="138"/>
      <c r="V60" s="118"/>
      <c r="W60" s="238" t="str">
        <f t="shared" si="10"/>
        <v/>
      </c>
      <c r="X60" s="238" t="str">
        <f t="shared" si="11"/>
        <v/>
      </c>
      <c r="Y60" s="238" t="str">
        <f t="shared" si="12"/>
        <v/>
      </c>
      <c r="Z60" s="238" t="str">
        <f t="shared" si="13"/>
        <v/>
      </c>
      <c r="AA60" s="239">
        <f t="shared" si="14"/>
        <v>0</v>
      </c>
      <c r="AB60" s="239">
        <f>IF(AA60=0,0,COUNTIF($AB$47:AB59,"&gt;0")+1)</f>
        <v>0</v>
      </c>
      <c r="AC60" s="129"/>
      <c r="AF60" s="4">
        <f t="shared" si="3"/>
        <v>0</v>
      </c>
    </row>
    <row r="61" spans="1:44" x14ac:dyDescent="0.25">
      <c r="U61" s="138"/>
      <c r="V61" s="118"/>
      <c r="AC61" s="129"/>
      <c r="AF61" s="4">
        <f t="shared" si="3"/>
        <v>0</v>
      </c>
    </row>
    <row r="62" spans="1:44" x14ac:dyDescent="0.25">
      <c r="U62" s="138"/>
      <c r="V62" s="118"/>
      <c r="AC62" s="129"/>
      <c r="AF62" s="4">
        <f t="shared" si="3"/>
        <v>0</v>
      </c>
    </row>
    <row r="63" spans="1:44" x14ac:dyDescent="0.25">
      <c r="U63" s="138"/>
      <c r="V63" s="118"/>
      <c r="W63" t="s">
        <v>4119</v>
      </c>
      <c r="Y63" t="str">
        <f>IF(Language1&lt;&gt;"",Language1&amp;", ","")&amp;IF(Language2&lt;&gt;"",Language2&amp;", ","")&amp;IF(Language3&lt;&gt;"",Language3&amp;", ","")&amp;IF(Language4&lt;&gt;"",Language4&amp;", ","")&amp;IF(Language5&lt;&gt;"",Language5&amp;", ","")&amp;IF(Language6&lt;&gt;"",Language6&amp;", ","")&amp;IF(Language7&lt;&gt;"",Language7&amp;", ","")&amp;IF(Language8&lt;&gt;"",Language8&amp;", ","")&amp;IF(Language9&lt;&gt;"",Language9&amp;", ","")&amp;IF(Language10&lt;&gt;"",Language10&amp;", ","")&amp;IF(Language11&lt;&gt;"",Language11&amp;", ","")&amp;IF(Language12&lt;&gt;"",Language12&amp;", ","")&amp;IF(Language13&lt;&gt;"",Language13&amp;", ","")&amp;IF(Language14&lt;&gt;"",Language14&amp;", ","")&amp;IF(Language15&lt;&gt;"",Language15&amp;", ","")&amp;IF(Language16&lt;&gt;"",Language16&amp;", ","")&amp;IF(Language17&lt;&gt;"",Language17&amp;", ","")</f>
        <v xml:space="preserve">Common, Draconic, Abyssal, Elvish, </v>
      </c>
      <c r="AC63" s="129"/>
      <c r="AF63" s="4">
        <f t="shared" si="3"/>
        <v>0</v>
      </c>
    </row>
    <row r="64" spans="1:44" x14ac:dyDescent="0.25">
      <c r="U64" s="138"/>
      <c r="V64" s="118"/>
      <c r="W64" t="s">
        <v>1112</v>
      </c>
      <c r="Y64" t="str">
        <f>IF(Tools1&lt;&gt;"",Tools1&amp;", ","")&amp;IF(Tools2&lt;&gt;"",Tools2&amp;", ","")&amp;IF(Tools3&lt;&gt;"",Tools3&amp;", ","")&amp;IF(Tools4&lt;&gt;"",Tools4&amp;", ","")&amp;IF(Tools5&lt;&gt;"",Tools5&amp;", ","")&amp;IF(Tools6&lt;&gt;"",Tools6&amp;", ","")&amp;IF(Tools7&lt;&gt;"",Tools7&amp;", ","")&amp;IF(Tools8&lt;&gt;"",Tools8&amp;", ","")&amp;IF(Tools9&lt;&gt;"",Tools9&amp;", ","")&amp;IF(Tools10&lt;&gt;"",Tools10&amp;", ","")&amp;IF(Tools11&lt;&gt;"",Tools11&amp;", ","")&amp;IF(Tools12&lt;&gt;"",Tools12&amp;", ","")&amp;IF(Tools13&lt;&gt;"",Tools13&amp;", ","")&amp;IF(Tools14&lt;&gt;"",Tools14&amp;", ","")&amp;IF(Tools15&lt;&gt;"",Tools15&amp;", ","")&amp;IF(Tools16&lt;&gt;"",Tools16&amp;", ","")&amp;IF(Tools17&lt;&gt;"",Tools17&amp;", ","")</f>
        <v xml:space="preserve">Vehicles (land), Dice set, Alchemist’s supplies, </v>
      </c>
      <c r="AC64" s="129"/>
      <c r="AF64" s="4">
        <f t="shared" si="3"/>
        <v>0</v>
      </c>
    </row>
    <row r="65" spans="21:32" x14ac:dyDescent="0.25">
      <c r="U65" s="138"/>
      <c r="V65" s="118"/>
      <c r="AC65" s="129"/>
      <c r="AF65" s="4">
        <f t="shared" si="3"/>
        <v>0</v>
      </c>
    </row>
    <row r="66" spans="21:32" x14ac:dyDescent="0.25">
      <c r="U66" s="138"/>
      <c r="V66" s="118"/>
      <c r="AC66" s="129"/>
      <c r="AF66" s="4">
        <f t="shared" si="3"/>
        <v>0</v>
      </c>
    </row>
    <row r="67" spans="21:32" x14ac:dyDescent="0.25">
      <c r="U67" s="138"/>
      <c r="AC67" s="129"/>
      <c r="AF67" s="4">
        <f t="shared" ref="AF67:AF130" si="15">IF(IFERROR(MATCH(AE67,$AC$2:$AC$201,0),0)&gt;0,1,0)</f>
        <v>0</v>
      </c>
    </row>
    <row r="68" spans="21:32" x14ac:dyDescent="0.25">
      <c r="U68" s="138"/>
      <c r="W68" t="s">
        <v>4143</v>
      </c>
      <c r="Y68" t="str">
        <f>Y72&amp;","&amp;Z72&amp;","&amp;Y79&amp;","&amp;Y80&amp;","&amp;Y81&amp;","&amp;Y83&amp;","&amp;Y82&amp;","&amp;Y74&amp;","&amp;Y76</f>
        <v xml:space="preserve">Light Armor, Medium Armor, Shields, Heavy Armor,Simple Weapons, Martial Weapons,,,,,,,Arcana, History, Vehicles (land),, </v>
      </c>
      <c r="AC68" s="129"/>
      <c r="AF68" s="4">
        <f t="shared" si="15"/>
        <v>0</v>
      </c>
    </row>
    <row r="69" spans="21:32" x14ac:dyDescent="0.25">
      <c r="U69" s="138"/>
      <c r="AC69" s="129"/>
      <c r="AF69" s="4">
        <f t="shared" si="15"/>
        <v>0</v>
      </c>
    </row>
    <row r="70" spans="21:32" x14ac:dyDescent="0.25">
      <c r="U70" s="138"/>
      <c r="AC70" s="129"/>
      <c r="AF70" s="4">
        <f t="shared" si="15"/>
        <v>0</v>
      </c>
    </row>
    <row r="71" spans="21:32" x14ac:dyDescent="0.25">
      <c r="U71" s="138"/>
      <c r="Y71" t="s">
        <v>89</v>
      </c>
      <c r="Z71" t="s">
        <v>111</v>
      </c>
      <c r="AC71" s="129"/>
      <c r="AF71" s="4">
        <f t="shared" si="15"/>
        <v>0</v>
      </c>
    </row>
    <row r="72" spans="21:32" x14ac:dyDescent="0.25">
      <c r="U72" s="138"/>
      <c r="W72" t="s">
        <v>2223</v>
      </c>
      <c r="X72" t="str">
        <f>MainClassSelected</f>
        <v>Fighter</v>
      </c>
      <c r="Y72" t="str">
        <f>IFERROR(INDEX(T04_Classes!$G$3:$H$102,MATCH('C02_Proficiencies'!$X72,T04_Classes!$B$3:$B$102,0),2),"")</f>
        <v>Light Armor, Medium Armor, Shields, Heavy Armor</v>
      </c>
      <c r="Z72" t="str">
        <f>IFERROR(INDEX(T04_Classes!$G$3:$H$102,MATCH('C02_Proficiencies'!$X72,T04_Classes!$B$3:$B$102,0),1),"")</f>
        <v>Simple Weapons, Martial Weapons</v>
      </c>
      <c r="AC72" s="129"/>
      <c r="AF72" s="4">
        <f t="shared" si="15"/>
        <v>0</v>
      </c>
    </row>
    <row r="73" spans="21:32" x14ac:dyDescent="0.25">
      <c r="U73" s="138"/>
      <c r="AC73" s="129"/>
      <c r="AF73" s="4">
        <f t="shared" si="15"/>
        <v>0</v>
      </c>
    </row>
    <row r="74" spans="21:32" x14ac:dyDescent="0.25">
      <c r="U74" s="138"/>
      <c r="W74" t="s">
        <v>4256</v>
      </c>
      <c r="Y74" s="173" t="str">
        <f>IFERROR(INDEX(T01_Races!AT2:AT101,SelectedRaceID,1),"")</f>
        <v/>
      </c>
      <c r="AC74" s="129"/>
      <c r="AF74" s="4">
        <f t="shared" si="15"/>
        <v>0</v>
      </c>
    </row>
    <row r="75" spans="21:32" x14ac:dyDescent="0.25">
      <c r="U75" s="138"/>
      <c r="AC75" s="129"/>
      <c r="AF75" s="4">
        <f t="shared" si="15"/>
        <v>0</v>
      </c>
    </row>
    <row r="76" spans="21:32" x14ac:dyDescent="0.25">
      <c r="U76" s="138"/>
      <c r="W76" t="s">
        <v>4257</v>
      </c>
      <c r="Y76" t="str">
        <f>IFERROR(INDEX(T02_Backgrounds!E2:E101,SelectedBackgroundId,1)&amp;", "&amp;INDEX(T02_Backgrounds!J2:J101,SelectedBackgroundId,1)&amp;", ","")</f>
        <v xml:space="preserve">Arcana, History, Vehicles (land),, </v>
      </c>
      <c r="AC76" s="129"/>
      <c r="AF76" s="4">
        <f t="shared" si="15"/>
        <v>0</v>
      </c>
    </row>
    <row r="77" spans="21:32" x14ac:dyDescent="0.25">
      <c r="U77" s="138"/>
      <c r="AC77" s="129"/>
      <c r="AF77" s="4">
        <f t="shared" si="15"/>
        <v>0</v>
      </c>
    </row>
    <row r="78" spans="21:32" x14ac:dyDescent="0.25">
      <c r="U78" s="138"/>
      <c r="AC78" s="129"/>
      <c r="AF78" s="4">
        <f t="shared" si="15"/>
        <v>0</v>
      </c>
    </row>
    <row r="79" spans="21:32" x14ac:dyDescent="0.25">
      <c r="U79" s="138"/>
      <c r="W79" t="s">
        <v>4142</v>
      </c>
      <c r="X79" t="str">
        <f>Multiclass1</f>
        <v>Wizard</v>
      </c>
      <c r="Y79" t="str">
        <f>IFERROR(INDEX(T04_Classes!$BY$3:$BY$102,MATCH('C02_Proficiencies'!X79,T04_Classes!$B$3:$B$102,0),1),"")</f>
        <v/>
      </c>
      <c r="AC79" s="129"/>
      <c r="AF79" s="4">
        <f t="shared" si="15"/>
        <v>0</v>
      </c>
    </row>
    <row r="80" spans="21:32" x14ac:dyDescent="0.25">
      <c r="U80" s="138"/>
      <c r="W80" t="s">
        <v>4142</v>
      </c>
      <c r="X80" t="str">
        <f>Multiclass2</f>
        <v/>
      </c>
      <c r="Y80" t="str">
        <f>IFERROR(INDEX(T04_Classes!$BY$3:$BY$102,MATCH('C02_Proficiencies'!X80,T04_Classes!$B$3:$B$102,0),1),"")</f>
        <v/>
      </c>
      <c r="AC80" s="129"/>
      <c r="AF80" s="4">
        <f t="shared" si="15"/>
        <v>0</v>
      </c>
    </row>
    <row r="81" spans="21:32" x14ac:dyDescent="0.25">
      <c r="U81" s="138"/>
      <c r="W81" t="s">
        <v>4142</v>
      </c>
      <c r="X81" t="str">
        <f>Multiclass3</f>
        <v/>
      </c>
      <c r="Y81" t="str">
        <f>IFERROR(INDEX(T04_Classes!$BY$3:$BY$102,MATCH('C02_Proficiencies'!X81,T04_Classes!$B$3:$B$102,0),1),"")</f>
        <v/>
      </c>
      <c r="AC81" s="129"/>
      <c r="AF81" s="4">
        <f t="shared" si="15"/>
        <v>0</v>
      </c>
    </row>
    <row r="82" spans="21:32" x14ac:dyDescent="0.25">
      <c r="U82" s="138"/>
      <c r="W82" t="s">
        <v>4142</v>
      </c>
      <c r="X82" t="str">
        <f>Multiclass4</f>
        <v/>
      </c>
      <c r="Y82" t="str">
        <f>IFERROR(INDEX(T04_Classes!$BY$3:$BY$102,MATCH('C02_Proficiencies'!X82,T04_Classes!$B$3:$B$102,0),1),"")</f>
        <v/>
      </c>
      <c r="AC82" s="129"/>
      <c r="AF82" s="4">
        <f t="shared" si="15"/>
        <v>0</v>
      </c>
    </row>
    <row r="83" spans="21:32" x14ac:dyDescent="0.25">
      <c r="U83" s="138"/>
      <c r="W83" t="s">
        <v>4142</v>
      </c>
      <c r="X83" t="str">
        <f>Multiclass5</f>
        <v/>
      </c>
      <c r="Y83" t="str">
        <f>IFERROR(INDEX(T04_Classes!$BY$3:$BY$102,MATCH('C02_Proficiencies'!X83,T04_Classes!$B$3:$B$102,0),1),"")</f>
        <v/>
      </c>
      <c r="AC83" s="129"/>
      <c r="AF83" s="4">
        <f t="shared" si="15"/>
        <v>0</v>
      </c>
    </row>
    <row r="84" spans="21:32" x14ac:dyDescent="0.25">
      <c r="U84" s="138"/>
      <c r="AC84" s="129"/>
      <c r="AF84" s="4">
        <f t="shared" si="15"/>
        <v>0</v>
      </c>
    </row>
    <row r="85" spans="21:32" x14ac:dyDescent="0.25">
      <c r="U85" s="138"/>
      <c r="W85" t="s">
        <v>3036</v>
      </c>
      <c r="AC85" s="129"/>
      <c r="AF85" s="4">
        <f t="shared" si="15"/>
        <v>0</v>
      </c>
    </row>
    <row r="86" spans="21:32" x14ac:dyDescent="0.25">
      <c r="U86" s="138"/>
      <c r="AC86" s="129"/>
      <c r="AF86" s="4">
        <f t="shared" si="15"/>
        <v>0</v>
      </c>
    </row>
    <row r="87" spans="21:32" x14ac:dyDescent="0.25">
      <c r="U87" s="138"/>
      <c r="AC87" s="129"/>
      <c r="AF87" s="4">
        <f t="shared" si="15"/>
        <v>0</v>
      </c>
    </row>
    <row r="88" spans="21:32" x14ac:dyDescent="0.25">
      <c r="U88" s="138"/>
      <c r="AC88" s="129"/>
      <c r="AF88" s="4">
        <f t="shared" si="15"/>
        <v>0</v>
      </c>
    </row>
    <row r="89" spans="21:32" x14ac:dyDescent="0.25">
      <c r="U89" s="138"/>
      <c r="AC89" s="129"/>
      <c r="AF89" s="4">
        <f t="shared" si="15"/>
        <v>0</v>
      </c>
    </row>
    <row r="90" spans="21:32" x14ac:dyDescent="0.25">
      <c r="U90" s="138"/>
      <c r="AC90" s="129"/>
      <c r="AF90" s="4">
        <f t="shared" si="15"/>
        <v>0</v>
      </c>
    </row>
    <row r="91" spans="21:32" x14ac:dyDescent="0.25">
      <c r="U91" s="138"/>
      <c r="AC91" s="129"/>
      <c r="AF91" s="4">
        <f t="shared" si="15"/>
        <v>0</v>
      </c>
    </row>
    <row r="92" spans="21:32" x14ac:dyDescent="0.25">
      <c r="U92" s="138"/>
      <c r="AC92" s="129"/>
      <c r="AF92" s="4">
        <f t="shared" si="15"/>
        <v>0</v>
      </c>
    </row>
    <row r="93" spans="21:32" x14ac:dyDescent="0.25">
      <c r="U93" s="138"/>
      <c r="AC93" s="129"/>
      <c r="AF93" s="4">
        <f t="shared" si="15"/>
        <v>0</v>
      </c>
    </row>
    <row r="94" spans="21:32" x14ac:dyDescent="0.25">
      <c r="U94" s="138"/>
      <c r="AC94" s="129"/>
      <c r="AF94" s="4">
        <f t="shared" si="15"/>
        <v>0</v>
      </c>
    </row>
    <row r="95" spans="21:32" x14ac:dyDescent="0.25">
      <c r="U95" s="138"/>
      <c r="AC95" s="129"/>
      <c r="AF95" s="4">
        <f t="shared" si="15"/>
        <v>0</v>
      </c>
    </row>
    <row r="96" spans="21:32" x14ac:dyDescent="0.25">
      <c r="U96" s="138"/>
      <c r="AC96" s="129"/>
      <c r="AF96" s="4">
        <f t="shared" si="15"/>
        <v>0</v>
      </c>
    </row>
    <row r="97" spans="21:32" x14ac:dyDescent="0.25">
      <c r="U97" s="138"/>
      <c r="AC97" s="129"/>
      <c r="AF97" s="4">
        <f t="shared" si="15"/>
        <v>0</v>
      </c>
    </row>
    <row r="98" spans="21:32" x14ac:dyDescent="0.25">
      <c r="U98" s="138"/>
      <c r="AC98" s="129"/>
      <c r="AF98" s="4">
        <f t="shared" si="15"/>
        <v>0</v>
      </c>
    </row>
    <row r="99" spans="21:32" x14ac:dyDescent="0.25">
      <c r="U99" s="138"/>
      <c r="AC99" s="129"/>
      <c r="AF99" s="4">
        <f t="shared" si="15"/>
        <v>0</v>
      </c>
    </row>
    <row r="100" spans="21:32" x14ac:dyDescent="0.25">
      <c r="U100" s="138"/>
      <c r="AC100" s="129"/>
      <c r="AF100" s="4">
        <f t="shared" si="15"/>
        <v>0</v>
      </c>
    </row>
    <row r="101" spans="21:32" x14ac:dyDescent="0.25">
      <c r="U101" s="138"/>
      <c r="AC101" s="129"/>
      <c r="AF101" s="4">
        <f t="shared" si="15"/>
        <v>0</v>
      </c>
    </row>
    <row r="102" spans="21:32" x14ac:dyDescent="0.25">
      <c r="U102" s="138"/>
      <c r="AC102" s="129"/>
      <c r="AF102" s="4">
        <f t="shared" si="15"/>
        <v>0</v>
      </c>
    </row>
    <row r="103" spans="21:32" x14ac:dyDescent="0.25">
      <c r="U103" s="138"/>
      <c r="AC103" s="129"/>
      <c r="AF103" s="4">
        <f t="shared" si="15"/>
        <v>0</v>
      </c>
    </row>
    <row r="104" spans="21:32" x14ac:dyDescent="0.25">
      <c r="U104" s="138"/>
      <c r="AC104" s="129"/>
      <c r="AF104" s="4">
        <f t="shared" si="15"/>
        <v>0</v>
      </c>
    </row>
    <row r="105" spans="21:32" x14ac:dyDescent="0.25">
      <c r="U105" s="138"/>
      <c r="AC105" s="129"/>
      <c r="AF105" s="4">
        <f t="shared" si="15"/>
        <v>0</v>
      </c>
    </row>
    <row r="106" spans="21:32" x14ac:dyDescent="0.25">
      <c r="U106" s="138"/>
      <c r="AC106" s="129"/>
      <c r="AF106" s="4">
        <f t="shared" si="15"/>
        <v>0</v>
      </c>
    </row>
    <row r="107" spans="21:32" x14ac:dyDescent="0.25">
      <c r="U107" s="138"/>
      <c r="AC107" s="129"/>
      <c r="AF107" s="4">
        <f t="shared" si="15"/>
        <v>0</v>
      </c>
    </row>
    <row r="108" spans="21:32" x14ac:dyDescent="0.25">
      <c r="U108" s="138"/>
      <c r="AC108" s="129"/>
      <c r="AF108" s="4">
        <f t="shared" si="15"/>
        <v>0</v>
      </c>
    </row>
    <row r="109" spans="21:32" x14ac:dyDescent="0.25">
      <c r="U109" s="138"/>
      <c r="AC109" s="129"/>
      <c r="AF109" s="4">
        <f t="shared" si="15"/>
        <v>0</v>
      </c>
    </row>
    <row r="110" spans="21:32" x14ac:dyDescent="0.25">
      <c r="U110" s="138"/>
      <c r="AC110" s="129"/>
      <c r="AF110" s="4">
        <f t="shared" si="15"/>
        <v>0</v>
      </c>
    </row>
    <row r="111" spans="21:32" x14ac:dyDescent="0.25">
      <c r="U111" s="138"/>
      <c r="AC111" s="129"/>
      <c r="AF111" s="4">
        <f t="shared" si="15"/>
        <v>0</v>
      </c>
    </row>
    <row r="112" spans="21:32" x14ac:dyDescent="0.25">
      <c r="U112" s="138"/>
      <c r="AC112" s="129"/>
      <c r="AF112" s="4">
        <f t="shared" si="15"/>
        <v>0</v>
      </c>
    </row>
    <row r="113" spans="21:32" x14ac:dyDescent="0.25">
      <c r="U113" s="138"/>
      <c r="AC113" s="129"/>
      <c r="AF113" s="4">
        <f t="shared" si="15"/>
        <v>0</v>
      </c>
    </row>
    <row r="114" spans="21:32" x14ac:dyDescent="0.25">
      <c r="U114" s="138"/>
      <c r="AC114" s="129"/>
      <c r="AF114" s="4">
        <f t="shared" si="15"/>
        <v>0</v>
      </c>
    </row>
    <row r="115" spans="21:32" x14ac:dyDescent="0.25">
      <c r="U115" s="138"/>
      <c r="AC115" s="129"/>
      <c r="AF115" s="4">
        <f t="shared" si="15"/>
        <v>0</v>
      </c>
    </row>
    <row r="116" spans="21:32" x14ac:dyDescent="0.25">
      <c r="U116" s="138"/>
      <c r="AC116" s="129"/>
      <c r="AF116" s="4">
        <f t="shared" si="15"/>
        <v>0</v>
      </c>
    </row>
    <row r="117" spans="21:32" x14ac:dyDescent="0.25">
      <c r="U117" s="138"/>
      <c r="AC117" s="129"/>
      <c r="AF117" s="4">
        <f t="shared" si="15"/>
        <v>0</v>
      </c>
    </row>
    <row r="118" spans="21:32" x14ac:dyDescent="0.25">
      <c r="U118" s="138"/>
      <c r="AC118" s="129"/>
      <c r="AF118" s="4">
        <f t="shared" si="15"/>
        <v>0</v>
      </c>
    </row>
    <row r="119" spans="21:32" x14ac:dyDescent="0.25">
      <c r="U119" s="138"/>
      <c r="AC119" s="129"/>
      <c r="AF119" s="4">
        <f t="shared" si="15"/>
        <v>0</v>
      </c>
    </row>
    <row r="120" spans="21:32" x14ac:dyDescent="0.25">
      <c r="U120" s="138"/>
      <c r="AC120" s="129"/>
      <c r="AF120" s="4">
        <f t="shared" si="15"/>
        <v>0</v>
      </c>
    </row>
    <row r="121" spans="21:32" x14ac:dyDescent="0.25">
      <c r="U121" s="138"/>
      <c r="AC121" s="129"/>
      <c r="AF121" s="4">
        <f t="shared" si="15"/>
        <v>0</v>
      </c>
    </row>
    <row r="122" spans="21:32" x14ac:dyDescent="0.25">
      <c r="U122" s="138"/>
      <c r="AC122" s="129"/>
      <c r="AF122" s="4">
        <f t="shared" si="15"/>
        <v>0</v>
      </c>
    </row>
    <row r="123" spans="21:32" x14ac:dyDescent="0.25">
      <c r="U123" s="138"/>
      <c r="AC123" s="129"/>
      <c r="AF123" s="4">
        <f t="shared" si="15"/>
        <v>0</v>
      </c>
    </row>
    <row r="124" spans="21:32" x14ac:dyDescent="0.25">
      <c r="U124" s="138"/>
      <c r="AC124" s="129"/>
      <c r="AF124" s="4">
        <f t="shared" si="15"/>
        <v>0</v>
      </c>
    </row>
    <row r="125" spans="21:32" x14ac:dyDescent="0.25">
      <c r="U125" s="138"/>
      <c r="X125" t="s">
        <v>3082</v>
      </c>
      <c r="Y125" t="s">
        <v>3083</v>
      </c>
      <c r="Z125" t="s">
        <v>4258</v>
      </c>
      <c r="AC125" s="129"/>
      <c r="AF125" s="4">
        <f t="shared" si="15"/>
        <v>0</v>
      </c>
    </row>
    <row r="126" spans="21:32" x14ac:dyDescent="0.25">
      <c r="U126" s="138"/>
      <c r="W126" s="4" t="s">
        <v>35</v>
      </c>
      <c r="X126">
        <f>IF(AND(IF(IFERROR(SEARCH("Simple",INDEX(T10_Weapon!$I$2:$I$39,MATCH('C02_Proficiencies'!$W126,T10_Weapon!$A$2:$A$39,0),1),1),0)&gt;0,1,0)=1,SimpleWeaponsProficiency=1),1,0)</f>
        <v>0</v>
      </c>
      <c r="Y126">
        <f>IF(AND(IF(IFERROR(SEARCH("Martial",INDEX(T10_Weapon!$I$2:$I$39,MATCH('C02_Proficiencies'!$W126,T10_Weapon!$A$2:$A$39,0),1),1),0)&gt;0,1,0)=1,MartialWeaponsProficiency=1),1,0)</f>
        <v>1</v>
      </c>
      <c r="Z126">
        <f t="shared" ref="Z126:Z163" si="16">IF(IFERROR(SEARCH(W126,Proficiency_Parsing,1),-1)&gt;0,1,0)</f>
        <v>0</v>
      </c>
      <c r="AA126">
        <f>IF(X126+Y126+Z126&gt;0,1,0)</f>
        <v>1</v>
      </c>
      <c r="AB126">
        <f>IF(Y126=1,IF(Z126=1,1,0),0)</f>
        <v>0</v>
      </c>
      <c r="AC126" s="129"/>
      <c r="AF126" s="4">
        <f t="shared" si="15"/>
        <v>0</v>
      </c>
    </row>
    <row r="127" spans="21:32" x14ac:dyDescent="0.25">
      <c r="U127" s="138"/>
      <c r="W127" s="4" t="s">
        <v>116</v>
      </c>
      <c r="X127">
        <f>IF(AND(IF(IFERROR(SEARCH("Simple",INDEX(T10_Weapon!$I$2:$I$39,MATCH('C02_Proficiencies'!$W127,T10_Weapon!$A$2:$A$39,0),1),1),0)&gt;0,1,0)=1,SimpleWeaponsProficiency=1),1,0)</f>
        <v>0</v>
      </c>
      <c r="Y127">
        <f>IF(AND(IF(IFERROR(SEARCH("Martial",INDEX(T10_Weapon!$I$2:$I$39,MATCH('C02_Proficiencies'!$W127,T10_Weapon!$A$2:$A$39,0),1),1),0)&gt;0,1,0)=1,MartialWeaponsProficiency=1),1,0)</f>
        <v>1</v>
      </c>
      <c r="Z127">
        <f t="shared" si="16"/>
        <v>0</v>
      </c>
      <c r="AA127">
        <f t="shared" ref="AA127:AA163" si="17">IF(X127+Y127+Z127&gt;0,1,0)</f>
        <v>1</v>
      </c>
      <c r="AB127">
        <f t="shared" ref="AB127:AB163" si="18">IF(Y127=1,IF(Z127=1,1,0),0)</f>
        <v>0</v>
      </c>
      <c r="AC127" s="129"/>
      <c r="AF127" s="4">
        <f t="shared" si="15"/>
        <v>0</v>
      </c>
    </row>
    <row r="128" spans="21:32" x14ac:dyDescent="0.25">
      <c r="U128" s="138"/>
      <c r="W128" s="4" t="s">
        <v>119</v>
      </c>
      <c r="X128">
        <f>IF(AND(IF(IFERROR(SEARCH("Simple",INDEX(T10_Weapon!$I$2:$I$39,MATCH('C02_Proficiencies'!$W128,T10_Weapon!$A$2:$A$39,0),1),1),0)&gt;0,1,0)=1,SimpleWeaponsProficiency=1),1,0)</f>
        <v>1</v>
      </c>
      <c r="Y128">
        <f>IF(AND(IF(IFERROR(SEARCH("Martial",INDEX(T10_Weapon!$I$2:$I$39,MATCH('C02_Proficiencies'!$W128,T10_Weapon!$A$2:$A$39,0),1),1),0)&gt;0,1,0)=1,MartialWeaponsProficiency=1),1,0)</f>
        <v>0</v>
      </c>
      <c r="Z128">
        <f t="shared" si="16"/>
        <v>0</v>
      </c>
      <c r="AA128">
        <f t="shared" si="17"/>
        <v>1</v>
      </c>
      <c r="AB128">
        <f t="shared" si="18"/>
        <v>0</v>
      </c>
      <c r="AC128" s="129"/>
      <c r="AF128" s="4">
        <f t="shared" si="15"/>
        <v>0</v>
      </c>
    </row>
    <row r="129" spans="21:32" x14ac:dyDescent="0.25">
      <c r="U129" s="138"/>
      <c r="W129" s="4" t="s">
        <v>123</v>
      </c>
      <c r="X129">
        <f>IF(AND(IF(IFERROR(SEARCH("Simple",INDEX(T10_Weapon!$I$2:$I$39,MATCH('C02_Proficiencies'!$W129,T10_Weapon!$A$2:$A$39,0),1),1),0)&gt;0,1,0)=1,SimpleWeaponsProficiency=1),1,0)</f>
        <v>1</v>
      </c>
      <c r="Y129">
        <f>IF(AND(IF(IFERROR(SEARCH("Martial",INDEX(T10_Weapon!$I$2:$I$39,MATCH('C02_Proficiencies'!$W129,T10_Weapon!$A$2:$A$39,0),1),1),0)&gt;0,1,0)=1,MartialWeaponsProficiency=1),1,0)</f>
        <v>0</v>
      </c>
      <c r="Z129">
        <f t="shared" si="16"/>
        <v>0</v>
      </c>
      <c r="AA129">
        <f t="shared" si="17"/>
        <v>1</v>
      </c>
      <c r="AB129">
        <f t="shared" si="18"/>
        <v>0</v>
      </c>
      <c r="AC129" s="129"/>
      <c r="AF129" s="4">
        <f t="shared" si="15"/>
        <v>0</v>
      </c>
    </row>
    <row r="130" spans="21:32" x14ac:dyDescent="0.25">
      <c r="U130" s="138"/>
      <c r="W130" s="4" t="s">
        <v>124</v>
      </c>
      <c r="X130">
        <f>IF(AND(IF(IFERROR(SEARCH("Simple",INDEX(T10_Weapon!$I$2:$I$39,MATCH('C02_Proficiencies'!$W130,T10_Weapon!$A$2:$A$39,0),1),1),0)&gt;0,1,0)=1,SimpleWeaponsProficiency=1),1,0)</f>
        <v>1</v>
      </c>
      <c r="Y130">
        <f>IF(AND(IF(IFERROR(SEARCH("Martial",INDEX(T10_Weapon!$I$2:$I$39,MATCH('C02_Proficiencies'!$W130,T10_Weapon!$A$2:$A$39,0),1),1),0)&gt;0,1,0)=1,MartialWeaponsProficiency=1),1,0)</f>
        <v>0</v>
      </c>
      <c r="Z130">
        <f t="shared" si="16"/>
        <v>0</v>
      </c>
      <c r="AA130">
        <f t="shared" si="17"/>
        <v>1</v>
      </c>
      <c r="AB130">
        <f t="shared" si="18"/>
        <v>0</v>
      </c>
      <c r="AC130" s="129"/>
      <c r="AF130" s="4">
        <f t="shared" si="15"/>
        <v>0</v>
      </c>
    </row>
    <row r="131" spans="21:32" x14ac:dyDescent="0.25">
      <c r="U131" s="138"/>
      <c r="W131" s="4" t="s">
        <v>125</v>
      </c>
      <c r="X131">
        <f>IF(AND(IF(IFERROR(SEARCH("Simple",INDEX(T10_Weapon!$I$2:$I$39,MATCH('C02_Proficiencies'!$W131,T10_Weapon!$A$2:$A$39,0),1),1),0)&gt;0,1,0)=1,SimpleWeaponsProficiency=1),1,0)</f>
        <v>0</v>
      </c>
      <c r="Y131">
        <f>IF(AND(IF(IFERROR(SEARCH("Martial",INDEX(T10_Weapon!$I$2:$I$39,MATCH('C02_Proficiencies'!$W131,T10_Weapon!$A$2:$A$39,0),1),1),0)&gt;0,1,0)=1,MartialWeaponsProficiency=1),1,0)</f>
        <v>1</v>
      </c>
      <c r="Z131">
        <f t="shared" si="16"/>
        <v>0</v>
      </c>
      <c r="AA131">
        <f t="shared" si="17"/>
        <v>1</v>
      </c>
      <c r="AB131">
        <f t="shared" si="18"/>
        <v>0</v>
      </c>
      <c r="AC131" s="129"/>
      <c r="AF131" s="4">
        <f t="shared" ref="AF131:AF141" si="19">IF(IFERROR(MATCH(AE131,$AC$2:$AC$201,0),0)&gt;0,1,0)</f>
        <v>0</v>
      </c>
    </row>
    <row r="132" spans="21:32" x14ac:dyDescent="0.25">
      <c r="U132" s="138"/>
      <c r="W132" s="4" t="s">
        <v>127</v>
      </c>
      <c r="X132">
        <f>IF(AND(IF(IFERROR(SEARCH("Simple",INDEX(T10_Weapon!$I$2:$I$39,MATCH('C02_Proficiencies'!$W132,T10_Weapon!$A$2:$A$39,0),1),1),0)&gt;0,1,0)=1,SimpleWeaponsProficiency=1),1,0)</f>
        <v>0</v>
      </c>
      <c r="Y132">
        <f>IF(AND(IF(IFERROR(SEARCH("Martial",INDEX(T10_Weapon!$I$2:$I$39,MATCH('C02_Proficiencies'!$W132,T10_Weapon!$A$2:$A$39,0),1),1),0)&gt;0,1,0)=1,MartialWeaponsProficiency=1),1,0)</f>
        <v>1</v>
      </c>
      <c r="Z132">
        <f t="shared" si="16"/>
        <v>0</v>
      </c>
      <c r="AA132">
        <f t="shared" si="17"/>
        <v>1</v>
      </c>
      <c r="AB132">
        <f t="shared" si="18"/>
        <v>0</v>
      </c>
      <c r="AC132" s="129"/>
      <c r="AF132" s="4">
        <f t="shared" si="19"/>
        <v>0</v>
      </c>
    </row>
    <row r="133" spans="21:32" x14ac:dyDescent="0.25">
      <c r="U133" s="138"/>
      <c r="W133" s="4" t="s">
        <v>129</v>
      </c>
      <c r="X133">
        <f>IF(AND(IF(IFERROR(SEARCH("Simple",INDEX(T10_Weapon!$I$2:$I$39,MATCH('C02_Proficiencies'!$W133,T10_Weapon!$A$2:$A$39,0),1),1),0)&gt;0,1,0)=1,SimpleWeaponsProficiency=1),1,0)</f>
        <v>1</v>
      </c>
      <c r="Y133">
        <f>IF(AND(IF(IFERROR(SEARCH("Martial",INDEX(T10_Weapon!$I$2:$I$39,MATCH('C02_Proficiencies'!$W133,T10_Weapon!$A$2:$A$39,0),1),1),0)&gt;0,1,0)=1,MartialWeaponsProficiency=1),1,0)</f>
        <v>0</v>
      </c>
      <c r="Z133">
        <f t="shared" si="16"/>
        <v>0</v>
      </c>
      <c r="AA133">
        <f t="shared" si="17"/>
        <v>1</v>
      </c>
      <c r="AB133">
        <f t="shared" si="18"/>
        <v>0</v>
      </c>
      <c r="AC133" s="129"/>
      <c r="AF133" s="4">
        <f t="shared" si="19"/>
        <v>0</v>
      </c>
    </row>
    <row r="134" spans="21:32" ht="15.75" thickBot="1" x14ac:dyDescent="0.3">
      <c r="U134" s="138"/>
      <c r="W134" s="4" t="s">
        <v>130</v>
      </c>
      <c r="X134">
        <f>IF(AND(IF(IFERROR(SEARCH("Simple",INDEX(T10_Weapon!$I$2:$I$39,MATCH('C02_Proficiencies'!$W134,T10_Weapon!$A$2:$A$39,0),1),1),0)&gt;0,1,0)=1,SimpleWeaponsProficiency=1),1,0)</f>
        <v>0</v>
      </c>
      <c r="Y134">
        <f>IF(AND(IF(IFERROR(SEARCH("Martial",INDEX(T10_Weapon!$I$2:$I$39,MATCH('C02_Proficiencies'!$W134,T10_Weapon!$A$2:$A$39,0),1),1),0)&gt;0,1,0)=1,MartialWeaponsProficiency=1),1,0)</f>
        <v>1</v>
      </c>
      <c r="Z134">
        <f t="shared" si="16"/>
        <v>0</v>
      </c>
      <c r="AA134">
        <f t="shared" si="17"/>
        <v>1</v>
      </c>
      <c r="AB134">
        <f t="shared" si="18"/>
        <v>0</v>
      </c>
      <c r="AC134" s="130"/>
      <c r="AF134" s="4">
        <f t="shared" si="19"/>
        <v>0</v>
      </c>
    </row>
    <row r="135" spans="21:32" x14ac:dyDescent="0.25">
      <c r="U135" s="138"/>
      <c r="W135" s="4" t="s">
        <v>132</v>
      </c>
      <c r="X135">
        <f>IF(AND(IF(IFERROR(SEARCH("Simple",INDEX(T10_Weapon!$I$2:$I$39,MATCH('C02_Proficiencies'!$W135,T10_Weapon!$A$2:$A$39,0),1),1),0)&gt;0,1,0)=1,SimpleWeaponsProficiency=1),1,0)</f>
        <v>0</v>
      </c>
      <c r="Y135">
        <f>IF(AND(IF(IFERROR(SEARCH("Martial",INDEX(T10_Weapon!$I$2:$I$39,MATCH('C02_Proficiencies'!$W135,T10_Weapon!$A$2:$A$39,0),1),1),0)&gt;0,1,0)=1,MartialWeaponsProficiency=1),1,0)</f>
        <v>1</v>
      </c>
      <c r="Z135">
        <f t="shared" si="16"/>
        <v>0</v>
      </c>
      <c r="AA135">
        <f t="shared" si="17"/>
        <v>1</v>
      </c>
      <c r="AB135">
        <f t="shared" si="18"/>
        <v>0</v>
      </c>
      <c r="AF135" s="4">
        <f t="shared" si="19"/>
        <v>0</v>
      </c>
    </row>
    <row r="136" spans="21:32" x14ac:dyDescent="0.25">
      <c r="U136" s="138"/>
      <c r="W136" s="4" t="s">
        <v>134</v>
      </c>
      <c r="X136">
        <f>IF(AND(IF(IFERROR(SEARCH("Simple",INDEX(T10_Weapon!$I$2:$I$39,MATCH('C02_Proficiencies'!$W136,T10_Weapon!$A$2:$A$39,0),1),1),0)&gt;0,1,0)=1,SimpleWeaponsProficiency=1),1,0)</f>
        <v>0</v>
      </c>
      <c r="Y136">
        <f>IF(AND(IF(IFERROR(SEARCH("Martial",INDEX(T10_Weapon!$I$2:$I$39,MATCH('C02_Proficiencies'!$W136,T10_Weapon!$A$2:$A$39,0),1),1),0)&gt;0,1,0)=1,MartialWeaponsProficiency=1),1,0)</f>
        <v>1</v>
      </c>
      <c r="Z136">
        <f t="shared" si="16"/>
        <v>0</v>
      </c>
      <c r="AA136">
        <f t="shared" si="17"/>
        <v>1</v>
      </c>
      <c r="AB136">
        <f t="shared" si="18"/>
        <v>0</v>
      </c>
      <c r="AF136" s="4">
        <f t="shared" si="19"/>
        <v>0</v>
      </c>
    </row>
    <row r="137" spans="21:32" x14ac:dyDescent="0.25">
      <c r="U137" s="138"/>
      <c r="W137" s="4" t="s">
        <v>135</v>
      </c>
      <c r="X137">
        <f>IF(AND(IF(IFERROR(SEARCH("Simple",INDEX(T10_Weapon!$I$2:$I$39,MATCH('C02_Proficiencies'!$W137,T10_Weapon!$A$2:$A$39,0),1),1),0)&gt;0,1,0)=1,SimpleWeaponsProficiency=1),1,0)</f>
        <v>0</v>
      </c>
      <c r="Y137">
        <f>IF(AND(IF(IFERROR(SEARCH("Martial",INDEX(T10_Weapon!$I$2:$I$39,MATCH('C02_Proficiencies'!$W137,T10_Weapon!$A$2:$A$39,0),1),1),0)&gt;0,1,0)=1,MartialWeaponsProficiency=1),1,0)</f>
        <v>1</v>
      </c>
      <c r="Z137">
        <f t="shared" si="16"/>
        <v>0</v>
      </c>
      <c r="AA137">
        <f t="shared" si="17"/>
        <v>1</v>
      </c>
      <c r="AB137">
        <f t="shared" si="18"/>
        <v>0</v>
      </c>
      <c r="AF137" s="4">
        <f t="shared" si="19"/>
        <v>0</v>
      </c>
    </row>
    <row r="138" spans="21:32" x14ac:dyDescent="0.25">
      <c r="U138" s="138"/>
      <c r="W138" s="4" t="s">
        <v>36</v>
      </c>
      <c r="X138">
        <f>IF(AND(IF(IFERROR(SEARCH("Simple",INDEX(T10_Weapon!$I$2:$I$39,MATCH('C02_Proficiencies'!$W138,T10_Weapon!$A$2:$A$39,0),1),1),0)&gt;0,1,0)=1,SimpleWeaponsProficiency=1),1,0)</f>
        <v>1</v>
      </c>
      <c r="Y138">
        <f>IF(AND(IF(IFERROR(SEARCH("Martial",INDEX(T10_Weapon!$I$2:$I$39,MATCH('C02_Proficiencies'!$W138,T10_Weapon!$A$2:$A$39,0),1),1),0)&gt;0,1,0)=1,MartialWeaponsProficiency=1),1,0)</f>
        <v>0</v>
      </c>
      <c r="Z138">
        <f t="shared" si="16"/>
        <v>0</v>
      </c>
      <c r="AA138">
        <f t="shared" si="17"/>
        <v>1</v>
      </c>
      <c r="AB138">
        <f t="shared" si="18"/>
        <v>0</v>
      </c>
      <c r="AF138" s="4">
        <f t="shared" si="19"/>
        <v>0</v>
      </c>
    </row>
    <row r="139" spans="21:32" x14ac:dyDescent="0.25">
      <c r="U139" s="138"/>
      <c r="W139" s="4" t="s">
        <v>137</v>
      </c>
      <c r="X139">
        <f>IF(AND(IF(IFERROR(SEARCH("Simple",INDEX(T10_Weapon!$I$2:$I$39,MATCH('C02_Proficiencies'!$W139,T10_Weapon!$A$2:$A$39,0),1),1),0)&gt;0,1,0)=1,SimpleWeaponsProficiency=1),1,0)</f>
        <v>0</v>
      </c>
      <c r="Y139">
        <f>IF(AND(IF(IFERROR(SEARCH("Martial",INDEX(T10_Weapon!$I$2:$I$39,MATCH('C02_Proficiencies'!$W139,T10_Weapon!$A$2:$A$39,0),1),1),0)&gt;0,1,0)=1,MartialWeaponsProficiency=1),1,0)</f>
        <v>1</v>
      </c>
      <c r="Z139">
        <f t="shared" si="16"/>
        <v>0</v>
      </c>
      <c r="AA139">
        <f t="shared" si="17"/>
        <v>1</v>
      </c>
      <c r="AB139">
        <f t="shared" si="18"/>
        <v>0</v>
      </c>
      <c r="AF139" s="4">
        <f t="shared" si="19"/>
        <v>0</v>
      </c>
    </row>
    <row r="140" spans="21:32" x14ac:dyDescent="0.25">
      <c r="U140" s="138"/>
      <c r="W140" s="4" t="s">
        <v>138</v>
      </c>
      <c r="X140">
        <f>IF(AND(IF(IFERROR(SEARCH("Simple",INDEX(T10_Weapon!$I$2:$I$39,MATCH('C02_Proficiencies'!$W140,T10_Weapon!$A$2:$A$39,0),1),1),0)&gt;0,1,0)=1,SimpleWeaponsProficiency=1),1,0)</f>
        <v>1</v>
      </c>
      <c r="Y140">
        <f>IF(AND(IF(IFERROR(SEARCH("Martial",INDEX(T10_Weapon!$I$2:$I$39,MATCH('C02_Proficiencies'!$W140,T10_Weapon!$A$2:$A$39,0),1),1),0)&gt;0,1,0)=1,MartialWeaponsProficiency=1),1,0)</f>
        <v>0</v>
      </c>
      <c r="Z140">
        <f t="shared" si="16"/>
        <v>0</v>
      </c>
      <c r="AA140">
        <f t="shared" si="17"/>
        <v>1</v>
      </c>
      <c r="AB140">
        <f t="shared" si="18"/>
        <v>0</v>
      </c>
      <c r="AF140" s="4">
        <f t="shared" si="19"/>
        <v>0</v>
      </c>
    </row>
    <row r="141" spans="21:32" x14ac:dyDescent="0.25">
      <c r="U141" s="138"/>
      <c r="W141" s="4" t="s">
        <v>140</v>
      </c>
      <c r="X141">
        <f>IF(AND(IF(IFERROR(SEARCH("Simple",INDEX(T10_Weapon!$I$2:$I$39,MATCH('C02_Proficiencies'!$W141,T10_Weapon!$A$2:$A$39,0),1),1),0)&gt;0,1,0)=1,SimpleWeaponsProficiency=1),1,0)</f>
        <v>0</v>
      </c>
      <c r="Y141">
        <f>IF(AND(IF(IFERROR(SEARCH("Martial",INDEX(T10_Weapon!$I$2:$I$39,MATCH('C02_Proficiencies'!$W141,T10_Weapon!$A$2:$A$39,0),1),1),0)&gt;0,1,0)=1,MartialWeaponsProficiency=1),1,0)</f>
        <v>1</v>
      </c>
      <c r="Z141">
        <f t="shared" si="16"/>
        <v>0</v>
      </c>
      <c r="AA141">
        <f t="shared" si="17"/>
        <v>1</v>
      </c>
      <c r="AB141">
        <f t="shared" si="18"/>
        <v>0</v>
      </c>
      <c r="AF141" s="4">
        <f t="shared" si="19"/>
        <v>0</v>
      </c>
    </row>
    <row r="142" spans="21:32" x14ac:dyDescent="0.25">
      <c r="U142" s="138"/>
      <c r="W142" s="4" t="s">
        <v>141</v>
      </c>
      <c r="X142">
        <f>IF(AND(IF(IFERROR(SEARCH("Simple",INDEX(T10_Weapon!$I$2:$I$39,MATCH('C02_Proficiencies'!$W142,T10_Weapon!$A$2:$A$39,0),1),1),0)&gt;0,1,0)=1,SimpleWeaponsProficiency=1),1,0)</f>
        <v>1</v>
      </c>
      <c r="Y142">
        <f>IF(AND(IF(IFERROR(SEARCH("Martial",INDEX(T10_Weapon!$I$2:$I$39,MATCH('C02_Proficiencies'!$W142,T10_Weapon!$A$2:$A$39,0),1),1),0)&gt;0,1,0)=1,MartialWeaponsProficiency=1),1,0)</f>
        <v>0</v>
      </c>
      <c r="Z142">
        <f t="shared" si="16"/>
        <v>0</v>
      </c>
      <c r="AA142">
        <f t="shared" si="17"/>
        <v>1</v>
      </c>
      <c r="AB142">
        <f t="shared" si="18"/>
        <v>0</v>
      </c>
    </row>
    <row r="143" spans="21:32" x14ac:dyDescent="0.25">
      <c r="U143" s="138"/>
      <c r="W143" s="4" t="s">
        <v>142</v>
      </c>
      <c r="X143">
        <f>IF(AND(IF(IFERROR(SEARCH("Simple",INDEX(T10_Weapon!$I$2:$I$39,MATCH('C02_Proficiencies'!$W143,T10_Weapon!$A$2:$A$39,0),1),1),0)&gt;0,1,0)=1,SimpleWeaponsProficiency=1),1,0)</f>
        <v>1</v>
      </c>
      <c r="Y143">
        <f>IF(AND(IF(IFERROR(SEARCH("Martial",INDEX(T10_Weapon!$I$2:$I$39,MATCH('C02_Proficiencies'!$W143,T10_Weapon!$A$2:$A$39,0),1),1),0)&gt;0,1,0)=1,MartialWeaponsProficiency=1),1,0)</f>
        <v>0</v>
      </c>
      <c r="Z143">
        <f t="shared" si="16"/>
        <v>0</v>
      </c>
      <c r="AA143">
        <f t="shared" si="17"/>
        <v>1</v>
      </c>
      <c r="AB143">
        <f t="shared" si="18"/>
        <v>0</v>
      </c>
    </row>
    <row r="144" spans="21:32" x14ac:dyDescent="0.25">
      <c r="U144" s="138"/>
      <c r="W144" s="4" t="s">
        <v>53</v>
      </c>
      <c r="X144">
        <f>IF(AND(IF(IFERROR(SEARCH("Simple",INDEX(T10_Weapon!$I$2:$I$39,MATCH('C02_Proficiencies'!$W144,T10_Weapon!$A$2:$A$39,0),1),1),0)&gt;0,1,0)=1,SimpleWeaponsProficiency=1),1,0)</f>
        <v>0</v>
      </c>
      <c r="Y144">
        <f>IF(AND(IF(IFERROR(SEARCH("Martial",INDEX(T10_Weapon!$I$2:$I$39,MATCH('C02_Proficiencies'!$W144,T10_Weapon!$A$2:$A$39,0),1),1),0)&gt;0,1,0)=1,MartialWeaponsProficiency=1),1,0)</f>
        <v>1</v>
      </c>
      <c r="Z144">
        <f t="shared" si="16"/>
        <v>0</v>
      </c>
      <c r="AA144">
        <f t="shared" si="17"/>
        <v>1</v>
      </c>
      <c r="AB144">
        <f t="shared" si="18"/>
        <v>0</v>
      </c>
    </row>
    <row r="145" spans="21:28" x14ac:dyDescent="0.25">
      <c r="U145" s="138"/>
      <c r="W145" s="4" t="s">
        <v>50</v>
      </c>
      <c r="X145">
        <f>IF(AND(IF(IFERROR(SEARCH("Simple",INDEX(T10_Weapon!$I$2:$I$39,MATCH('C02_Proficiencies'!$W145,T10_Weapon!$A$2:$A$39,0),1),1),0)&gt;0,1,0)=1,SimpleWeaponsProficiency=1),1,0)</f>
        <v>0</v>
      </c>
      <c r="Y145">
        <f>IF(AND(IF(IFERROR(SEARCH("Martial",INDEX(T10_Weapon!$I$2:$I$39,MATCH('C02_Proficiencies'!$W145,T10_Weapon!$A$2:$A$39,0),1),1),0)&gt;0,1,0)=1,MartialWeaponsProficiency=1),1,0)</f>
        <v>1</v>
      </c>
      <c r="Z145">
        <f t="shared" si="16"/>
        <v>0</v>
      </c>
      <c r="AA145">
        <f t="shared" si="17"/>
        <v>1</v>
      </c>
      <c r="AB145">
        <f t="shared" si="18"/>
        <v>0</v>
      </c>
    </row>
    <row r="146" spans="21:28" x14ac:dyDescent="0.25">
      <c r="U146" s="138"/>
      <c r="W146" s="4" t="s">
        <v>143</v>
      </c>
      <c r="X146">
        <f>IF(AND(IF(IFERROR(SEARCH("Simple",INDEX(T10_Weapon!$I$2:$I$39,MATCH('C02_Proficiencies'!$W146,T10_Weapon!$A$2:$A$39,0),1),1),0)&gt;0,1,0)=1,SimpleWeaponsProficiency=1),1,0)</f>
        <v>1</v>
      </c>
      <c r="Y146">
        <f>IF(AND(IF(IFERROR(SEARCH("Martial",INDEX(T10_Weapon!$I$2:$I$39,MATCH('C02_Proficiencies'!$W146,T10_Weapon!$A$2:$A$39,0),1),1),0)&gt;0,1,0)=1,MartialWeaponsProficiency=1),1,0)</f>
        <v>0</v>
      </c>
      <c r="Z146">
        <f t="shared" si="16"/>
        <v>0</v>
      </c>
      <c r="AA146">
        <f t="shared" si="17"/>
        <v>1</v>
      </c>
      <c r="AB146">
        <f t="shared" si="18"/>
        <v>0</v>
      </c>
    </row>
    <row r="147" spans="21:28" x14ac:dyDescent="0.25">
      <c r="U147" s="138"/>
      <c r="W147" s="4" t="s">
        <v>144</v>
      </c>
      <c r="X147">
        <f>IF(AND(IF(IFERROR(SEARCH("Simple",INDEX(T10_Weapon!$I$2:$I$39,MATCH('C02_Proficiencies'!$W147,T10_Weapon!$A$2:$A$39,0),1),1),0)&gt;0,1,0)=1,SimpleWeaponsProficiency=1),1,0)</f>
        <v>0</v>
      </c>
      <c r="Y147">
        <f>IF(AND(IF(IFERROR(SEARCH("Martial",INDEX(T10_Weapon!$I$2:$I$39,MATCH('C02_Proficiencies'!$W147,T10_Weapon!$A$2:$A$39,0),1),1),0)&gt;0,1,0)=1,MartialWeaponsProficiency=1),1,0)</f>
        <v>1</v>
      </c>
      <c r="Z147">
        <f t="shared" si="16"/>
        <v>0</v>
      </c>
      <c r="AA147">
        <f t="shared" si="17"/>
        <v>1</v>
      </c>
      <c r="AB147">
        <f t="shared" si="18"/>
        <v>0</v>
      </c>
    </row>
    <row r="148" spans="21:28" x14ac:dyDescent="0.25">
      <c r="U148" s="138"/>
      <c r="W148" s="4" t="s">
        <v>145</v>
      </c>
      <c r="X148">
        <f>IF(AND(IF(IFERROR(SEARCH("Simple",INDEX(T10_Weapon!$I$2:$I$39,MATCH('C02_Proficiencies'!$W148,T10_Weapon!$A$2:$A$39,0),1),1),0)&gt;0,1,0)=1,SimpleWeaponsProficiency=1),1,0)</f>
        <v>0</v>
      </c>
      <c r="Y148">
        <f>IF(AND(IF(IFERROR(SEARCH("Martial",INDEX(T10_Weapon!$I$2:$I$39,MATCH('C02_Proficiencies'!$W148,T10_Weapon!$A$2:$A$39,0),1),1),0)&gt;0,1,0)=1,MartialWeaponsProficiency=1),1,0)</f>
        <v>1</v>
      </c>
      <c r="Z148">
        <f t="shared" si="16"/>
        <v>0</v>
      </c>
      <c r="AA148">
        <f t="shared" si="17"/>
        <v>1</v>
      </c>
      <c r="AB148">
        <f t="shared" si="18"/>
        <v>0</v>
      </c>
    </row>
    <row r="149" spans="21:28" x14ac:dyDescent="0.25">
      <c r="U149" s="138"/>
      <c r="W149" s="4" t="s">
        <v>146</v>
      </c>
      <c r="X149">
        <f>IF(AND(IF(IFERROR(SEARCH("Simple",INDEX(T10_Weapon!$I$2:$I$39,MATCH('C02_Proficiencies'!$W149,T10_Weapon!$A$2:$A$39,0),1),1),0)&gt;0,1,0)=1,SimpleWeaponsProficiency=1),1,0)</f>
        <v>0</v>
      </c>
      <c r="Y149">
        <f>IF(AND(IF(IFERROR(SEARCH("Martial",INDEX(T10_Weapon!$I$2:$I$39,MATCH('C02_Proficiencies'!$W149,T10_Weapon!$A$2:$A$39,0),1),1),0)&gt;0,1,0)=1,MartialWeaponsProficiency=1),1,0)</f>
        <v>1</v>
      </c>
      <c r="Z149">
        <f t="shared" si="16"/>
        <v>0</v>
      </c>
      <c r="AA149">
        <f t="shared" si="17"/>
        <v>1</v>
      </c>
      <c r="AB149">
        <f t="shared" si="18"/>
        <v>0</v>
      </c>
    </row>
    <row r="150" spans="21:28" x14ac:dyDescent="0.25">
      <c r="U150" s="138"/>
      <c r="W150" s="4" t="s">
        <v>147</v>
      </c>
      <c r="X150">
        <f>IF(AND(IF(IFERROR(SEARCH("Simple",INDEX(T10_Weapon!$I$2:$I$39,MATCH('C02_Proficiencies'!$W150,T10_Weapon!$A$2:$A$39,0),1),1),0)&gt;0,1,0)=1,SimpleWeaponsProficiency=1),1,0)</f>
        <v>0</v>
      </c>
      <c r="Y150">
        <f>IF(AND(IF(IFERROR(SEARCH("Martial",INDEX(T10_Weapon!$I$2:$I$39,MATCH('C02_Proficiencies'!$W150,T10_Weapon!$A$2:$A$39,0),1),1),0)&gt;0,1,0)=1,MartialWeaponsProficiency=1),1,0)</f>
        <v>1</v>
      </c>
      <c r="Z150">
        <f t="shared" si="16"/>
        <v>0</v>
      </c>
      <c r="AA150">
        <f t="shared" si="17"/>
        <v>1</v>
      </c>
      <c r="AB150">
        <f t="shared" si="18"/>
        <v>0</v>
      </c>
    </row>
    <row r="151" spans="21:28" x14ac:dyDescent="0.25">
      <c r="U151" s="138"/>
      <c r="W151" s="4" t="s">
        <v>148</v>
      </c>
      <c r="X151">
        <f>IF(AND(IF(IFERROR(SEARCH("Simple",INDEX(T10_Weapon!$I$2:$I$39,MATCH('C02_Proficiencies'!$W151,T10_Weapon!$A$2:$A$39,0),1),1),0)&gt;0,1,0)=1,SimpleWeaponsProficiency=1),1,0)</f>
        <v>1</v>
      </c>
      <c r="Y151">
        <f>IF(AND(IF(IFERROR(SEARCH("Martial",INDEX(T10_Weapon!$I$2:$I$39,MATCH('C02_Proficiencies'!$W151,T10_Weapon!$A$2:$A$39,0),1),1),0)&gt;0,1,0)=1,MartialWeaponsProficiency=1),1,0)</f>
        <v>0</v>
      </c>
      <c r="Z151">
        <f t="shared" si="16"/>
        <v>0</v>
      </c>
      <c r="AA151">
        <f t="shared" si="17"/>
        <v>1</v>
      </c>
      <c r="AB151">
        <f t="shared" si="18"/>
        <v>0</v>
      </c>
    </row>
    <row r="152" spans="21:28" x14ac:dyDescent="0.25">
      <c r="U152" s="138"/>
      <c r="W152" s="4" t="s">
        <v>149</v>
      </c>
      <c r="X152">
        <f>IF(AND(IF(IFERROR(SEARCH("Simple",INDEX(T10_Weapon!$I$2:$I$39,MATCH('C02_Proficiencies'!$W152,T10_Weapon!$A$2:$A$39,0),1),1),0)&gt;0,1,0)=1,SimpleWeaponsProficiency=1),1,0)</f>
        <v>0</v>
      </c>
      <c r="Y152">
        <f>IF(AND(IF(IFERROR(SEARCH("Martial",INDEX(T10_Weapon!$I$2:$I$39,MATCH('C02_Proficiencies'!$W152,T10_Weapon!$A$2:$A$39,0),1),1),0)&gt;0,1,0)=1,MartialWeaponsProficiency=1),1,0)</f>
        <v>1</v>
      </c>
      <c r="Z152">
        <f t="shared" si="16"/>
        <v>0</v>
      </c>
      <c r="AA152">
        <f t="shared" si="17"/>
        <v>1</v>
      </c>
      <c r="AB152">
        <f t="shared" si="18"/>
        <v>0</v>
      </c>
    </row>
    <row r="153" spans="21:28" x14ac:dyDescent="0.25">
      <c r="U153" s="138"/>
      <c r="W153" s="4" t="s">
        <v>151</v>
      </c>
      <c r="X153">
        <f>IF(AND(IF(IFERROR(SEARCH("Simple",INDEX(T10_Weapon!$I$2:$I$39,MATCH('C02_Proficiencies'!$W153,T10_Weapon!$A$2:$A$39,0),1),1),0)&gt;0,1,0)=1,SimpleWeaponsProficiency=1),1,0)</f>
        <v>0</v>
      </c>
      <c r="Y153">
        <f>IF(AND(IF(IFERROR(SEARCH("Martial",INDEX(T10_Weapon!$I$2:$I$39,MATCH('C02_Proficiencies'!$W153,T10_Weapon!$A$2:$A$39,0),1),1),0)&gt;0,1,0)=1,MartialWeaponsProficiency=1),1,0)</f>
        <v>1</v>
      </c>
      <c r="Z153">
        <f t="shared" si="16"/>
        <v>0</v>
      </c>
      <c r="AA153">
        <f t="shared" si="17"/>
        <v>1</v>
      </c>
      <c r="AB153">
        <f t="shared" si="18"/>
        <v>0</v>
      </c>
    </row>
    <row r="154" spans="21:28" x14ac:dyDescent="0.25">
      <c r="U154" s="138"/>
      <c r="W154" s="4" t="s">
        <v>52</v>
      </c>
      <c r="X154">
        <f>IF(AND(IF(IFERROR(SEARCH("Simple",INDEX(T10_Weapon!$I$2:$I$39,MATCH('C02_Proficiencies'!$W154,T10_Weapon!$A$2:$A$39,0),1),1),0)&gt;0,1,0)=1,SimpleWeaponsProficiency=1),1,0)</f>
        <v>1</v>
      </c>
      <c r="Y154">
        <f>IF(AND(IF(IFERROR(SEARCH("Martial",INDEX(T10_Weapon!$I$2:$I$39,MATCH('C02_Proficiencies'!$W154,T10_Weapon!$A$2:$A$39,0),1),1),0)&gt;0,1,0)=1,MartialWeaponsProficiency=1),1,0)</f>
        <v>0</v>
      </c>
      <c r="Z154">
        <f t="shared" si="16"/>
        <v>0</v>
      </c>
      <c r="AA154">
        <f t="shared" si="17"/>
        <v>1</v>
      </c>
      <c r="AB154">
        <f t="shared" si="18"/>
        <v>0</v>
      </c>
    </row>
    <row r="155" spans="21:28" x14ac:dyDescent="0.25">
      <c r="U155" s="138"/>
      <c r="W155" s="4" t="s">
        <v>51</v>
      </c>
      <c r="X155">
        <f>IF(AND(IF(IFERROR(SEARCH("Simple",INDEX(T10_Weapon!$I$2:$I$39,MATCH('C02_Proficiencies'!$W155,T10_Weapon!$A$2:$A$39,0),1),1),0)&gt;0,1,0)=1,SimpleWeaponsProficiency=1),1,0)</f>
        <v>0</v>
      </c>
      <c r="Y155">
        <f>IF(AND(IF(IFERROR(SEARCH("Martial",INDEX(T10_Weapon!$I$2:$I$39,MATCH('C02_Proficiencies'!$W155,T10_Weapon!$A$2:$A$39,0),1),1),0)&gt;0,1,0)=1,MartialWeaponsProficiency=1),1,0)</f>
        <v>1</v>
      </c>
      <c r="Z155">
        <f t="shared" si="16"/>
        <v>0</v>
      </c>
      <c r="AA155">
        <f t="shared" si="17"/>
        <v>1</v>
      </c>
      <c r="AB155">
        <f t="shared" si="18"/>
        <v>0</v>
      </c>
    </row>
    <row r="156" spans="21:28" x14ac:dyDescent="0.25">
      <c r="U156" s="138"/>
      <c r="W156" s="4" t="s">
        <v>152</v>
      </c>
      <c r="X156">
        <f>IF(AND(IF(IFERROR(SEARCH("Simple",INDEX(T10_Weapon!$I$2:$I$39,MATCH('C02_Proficiencies'!$W156,T10_Weapon!$A$2:$A$39,0),1),1),0)&gt;0,1,0)=1,SimpleWeaponsProficiency=1),1,0)</f>
        <v>1</v>
      </c>
      <c r="Y156">
        <f>IF(AND(IF(IFERROR(SEARCH("Martial",INDEX(T10_Weapon!$I$2:$I$39,MATCH('C02_Proficiencies'!$W156,T10_Weapon!$A$2:$A$39,0),1),1),0)&gt;0,1,0)=1,MartialWeaponsProficiency=1),1,0)</f>
        <v>0</v>
      </c>
      <c r="Z156">
        <f t="shared" si="16"/>
        <v>0</v>
      </c>
      <c r="AA156">
        <f t="shared" si="17"/>
        <v>1</v>
      </c>
      <c r="AB156">
        <f t="shared" si="18"/>
        <v>0</v>
      </c>
    </row>
    <row r="157" spans="21:28" x14ac:dyDescent="0.25">
      <c r="U157" s="138"/>
      <c r="W157" s="4" t="s">
        <v>153</v>
      </c>
      <c r="X157">
        <f>IF(AND(IF(IFERROR(SEARCH("Simple",INDEX(T10_Weapon!$I$2:$I$39,MATCH('C02_Proficiencies'!$W157,T10_Weapon!$A$2:$A$39,0),1),1),0)&gt;0,1,0)=1,SimpleWeaponsProficiency=1),1,0)</f>
        <v>1</v>
      </c>
      <c r="Y157">
        <f>IF(AND(IF(IFERROR(SEARCH("Martial",INDEX(T10_Weapon!$I$2:$I$39,MATCH('C02_Proficiencies'!$W157,T10_Weapon!$A$2:$A$39,0),1),1),0)&gt;0,1,0)=1,MartialWeaponsProficiency=1),1,0)</f>
        <v>0</v>
      </c>
      <c r="Z157">
        <f t="shared" si="16"/>
        <v>0</v>
      </c>
      <c r="AA157">
        <f t="shared" si="17"/>
        <v>1</v>
      </c>
      <c r="AB157">
        <f t="shared" si="18"/>
        <v>0</v>
      </c>
    </row>
    <row r="158" spans="21:28" x14ac:dyDescent="0.25">
      <c r="U158" s="138"/>
      <c r="W158" s="4" t="s">
        <v>155</v>
      </c>
      <c r="X158">
        <f>IF(AND(IF(IFERROR(SEARCH("Simple",INDEX(T10_Weapon!$I$2:$I$39,MATCH('C02_Proficiencies'!$W158,T10_Weapon!$A$2:$A$39,0),1),1),0)&gt;0,1,0)=1,SimpleWeaponsProficiency=1),1,0)</f>
        <v>1</v>
      </c>
      <c r="Y158">
        <f>IF(AND(IF(IFERROR(SEARCH("Martial",INDEX(T10_Weapon!$I$2:$I$39,MATCH('C02_Proficiencies'!$W158,T10_Weapon!$A$2:$A$39,0),1),1),0)&gt;0,1,0)=1,MartialWeaponsProficiency=1),1,0)</f>
        <v>0</v>
      </c>
      <c r="Z158">
        <f t="shared" si="16"/>
        <v>0</v>
      </c>
      <c r="AA158">
        <f t="shared" si="17"/>
        <v>1</v>
      </c>
      <c r="AB158">
        <f t="shared" si="18"/>
        <v>0</v>
      </c>
    </row>
    <row r="159" spans="21:28" x14ac:dyDescent="0.25">
      <c r="U159" s="138"/>
      <c r="W159" s="4" t="s">
        <v>156</v>
      </c>
      <c r="X159">
        <f>IF(AND(IF(IFERROR(SEARCH("Simple",INDEX(T10_Weapon!$I$2:$I$39,MATCH('C02_Proficiencies'!$W159,T10_Weapon!$A$2:$A$39,0),1),1),0)&gt;0,1,0)=1,SimpleWeaponsProficiency=1),1,0)</f>
        <v>0</v>
      </c>
      <c r="Y159">
        <f>IF(AND(IF(IFERROR(SEARCH("Martial",INDEX(T10_Weapon!$I$2:$I$39,MATCH('C02_Proficiencies'!$W159,T10_Weapon!$A$2:$A$39,0),1),1),0)&gt;0,1,0)=1,MartialWeaponsProficiency=1),1,0)</f>
        <v>1</v>
      </c>
      <c r="Z159">
        <f t="shared" si="16"/>
        <v>0</v>
      </c>
      <c r="AA159">
        <f t="shared" si="17"/>
        <v>1</v>
      </c>
      <c r="AB159">
        <f t="shared" si="18"/>
        <v>0</v>
      </c>
    </row>
    <row r="160" spans="21:28" x14ac:dyDescent="0.25">
      <c r="U160" s="138"/>
      <c r="W160" s="4" t="s">
        <v>157</v>
      </c>
      <c r="X160">
        <f>IF(AND(IF(IFERROR(SEARCH("Simple",INDEX(T10_Weapon!$I$2:$I$39,MATCH('C02_Proficiencies'!$W160,T10_Weapon!$A$2:$A$39,0),1),1),0)&gt;0,1,0)=1,SimpleWeaponsProficiency=1),1,0)</f>
        <v>0</v>
      </c>
      <c r="Y160">
        <f>IF(AND(IF(IFERROR(SEARCH("Martial",INDEX(T10_Weapon!$I$2:$I$39,MATCH('C02_Proficiencies'!$W160,T10_Weapon!$A$2:$A$39,0),1),1),0)&gt;0,1,0)=1,MartialWeaponsProficiency=1),1,0)</f>
        <v>0</v>
      </c>
      <c r="Z160">
        <f t="shared" si="16"/>
        <v>0</v>
      </c>
      <c r="AA160">
        <f t="shared" si="17"/>
        <v>0</v>
      </c>
      <c r="AB160">
        <f t="shared" si="18"/>
        <v>0</v>
      </c>
    </row>
    <row r="161" spans="21:28" x14ac:dyDescent="0.25">
      <c r="U161" s="138"/>
      <c r="W161" s="4" t="s">
        <v>158</v>
      </c>
      <c r="X161">
        <f>IF(AND(IF(IFERROR(SEARCH("Simple",INDEX(T10_Weapon!$I$2:$I$39,MATCH('C02_Proficiencies'!$W161,T10_Weapon!$A$2:$A$39,0),1),1),0)&gt;0,1,0)=1,SimpleWeaponsProficiency=1),1,0)</f>
        <v>0</v>
      </c>
      <c r="Y161">
        <f>IF(AND(IF(IFERROR(SEARCH("Martial",INDEX(T10_Weapon!$I$2:$I$39,MATCH('C02_Proficiencies'!$W161,T10_Weapon!$A$2:$A$39,0),1),1),0)&gt;0,1,0)=1,MartialWeaponsProficiency=1),1,0)</f>
        <v>1</v>
      </c>
      <c r="Z161">
        <f t="shared" si="16"/>
        <v>0</v>
      </c>
      <c r="AA161">
        <f t="shared" si="17"/>
        <v>1</v>
      </c>
      <c r="AB161">
        <f t="shared" si="18"/>
        <v>0</v>
      </c>
    </row>
    <row r="162" spans="21:28" x14ac:dyDescent="0.25">
      <c r="U162" s="138"/>
      <c r="W162" s="4" t="s">
        <v>38</v>
      </c>
      <c r="X162">
        <f>IF(AND(IF(IFERROR(SEARCH("Simple",INDEX(T10_Weapon!$I$2:$I$39,MATCH('C02_Proficiencies'!$W162,T10_Weapon!$A$2:$A$39,0),1),1),0)&gt;0,1,0)=1,SimpleWeaponsProficiency=1),1,0)</f>
        <v>0</v>
      </c>
      <c r="Y162">
        <f>IF(AND(IF(IFERROR(SEARCH("Martial",INDEX(T10_Weapon!$I$2:$I$39,MATCH('C02_Proficiencies'!$W162,T10_Weapon!$A$2:$A$39,0),1),1),0)&gt;0,1,0)=1,MartialWeaponsProficiency=1),1,0)</f>
        <v>1</v>
      </c>
      <c r="Z162">
        <f t="shared" si="16"/>
        <v>0</v>
      </c>
      <c r="AA162">
        <f t="shared" si="17"/>
        <v>1</v>
      </c>
      <c r="AB162">
        <f t="shared" si="18"/>
        <v>0</v>
      </c>
    </row>
    <row r="163" spans="21:28" x14ac:dyDescent="0.25">
      <c r="U163" s="138"/>
      <c r="W163" s="4" t="s">
        <v>159</v>
      </c>
      <c r="X163">
        <f>IF(AND(IF(IFERROR(SEARCH("Simple",INDEX(T10_Weapon!$I$2:$I$39,MATCH('C02_Proficiencies'!$W163,T10_Weapon!$A$2:$A$39,0),1),1),0)&gt;0,1,0)=1,SimpleWeaponsProficiency=1),1,0)</f>
        <v>0</v>
      </c>
      <c r="Y163">
        <f>IF(AND(IF(IFERROR(SEARCH("Martial",INDEX(T10_Weapon!$I$2:$I$39,MATCH('C02_Proficiencies'!$W163,T10_Weapon!$A$2:$A$39,0),1),1),0)&gt;0,1,0)=1,MartialWeaponsProficiency=1),1,0)</f>
        <v>1</v>
      </c>
      <c r="Z163">
        <f t="shared" si="16"/>
        <v>0</v>
      </c>
      <c r="AA163">
        <f t="shared" si="17"/>
        <v>1</v>
      </c>
      <c r="AB163">
        <f t="shared" si="18"/>
        <v>0</v>
      </c>
    </row>
    <row r="164" spans="21:28" x14ac:dyDescent="0.25">
      <c r="U164" s="138"/>
    </row>
    <row r="165" spans="21:28" x14ac:dyDescent="0.25">
      <c r="U165" s="138"/>
    </row>
    <row r="166" spans="21:28" x14ac:dyDescent="0.25">
      <c r="U166" s="138"/>
    </row>
    <row r="167" spans="21:28" x14ac:dyDescent="0.25">
      <c r="U167" s="138"/>
    </row>
    <row r="168" spans="21:28" x14ac:dyDescent="0.25">
      <c r="U168" s="138"/>
    </row>
    <row r="169" spans="21:28" x14ac:dyDescent="0.25">
      <c r="U169" s="138"/>
    </row>
    <row r="170" spans="21:28" x14ac:dyDescent="0.25">
      <c r="U170" s="138"/>
    </row>
    <row r="171" spans="21:28" x14ac:dyDescent="0.25">
      <c r="U171" s="138"/>
    </row>
    <row r="172" spans="21:28" x14ac:dyDescent="0.25">
      <c r="U172" s="138"/>
    </row>
    <row r="173" spans="21:28" x14ac:dyDescent="0.25">
      <c r="U173" s="138"/>
    </row>
    <row r="174" spans="21:28" x14ac:dyDescent="0.25">
      <c r="U174" s="138"/>
    </row>
    <row r="175" spans="21:28" x14ac:dyDescent="0.25">
      <c r="U175" s="138"/>
    </row>
    <row r="176" spans="21:28" x14ac:dyDescent="0.25">
      <c r="U176" s="138"/>
    </row>
    <row r="177" spans="21:21" x14ac:dyDescent="0.25">
      <c r="U177" s="138"/>
    </row>
    <row r="178" spans="21:21" x14ac:dyDescent="0.25">
      <c r="U178" s="138"/>
    </row>
    <row r="179" spans="21:21" x14ac:dyDescent="0.25">
      <c r="U179" s="138"/>
    </row>
    <row r="180" spans="21:21" x14ac:dyDescent="0.25">
      <c r="U180" s="138"/>
    </row>
    <row r="181" spans="21:21" x14ac:dyDescent="0.25">
      <c r="U181" s="138"/>
    </row>
    <row r="182" spans="21:21" x14ac:dyDescent="0.25">
      <c r="U182" s="138"/>
    </row>
    <row r="183" spans="21:21" x14ac:dyDescent="0.25">
      <c r="U183" s="138"/>
    </row>
    <row r="184" spans="21:21" x14ac:dyDescent="0.25">
      <c r="U184" s="138"/>
    </row>
    <row r="185" spans="21:21" x14ac:dyDescent="0.25">
      <c r="U185" s="138"/>
    </row>
    <row r="186" spans="21:21" x14ac:dyDescent="0.25">
      <c r="U186" s="138"/>
    </row>
    <row r="187" spans="21:21" x14ac:dyDescent="0.25">
      <c r="U187" s="138"/>
    </row>
    <row r="188" spans="21:21" x14ac:dyDescent="0.25">
      <c r="U188" s="138"/>
    </row>
    <row r="189" spans="21:21" x14ac:dyDescent="0.25">
      <c r="U189" s="138"/>
    </row>
    <row r="190" spans="21:21" x14ac:dyDescent="0.25">
      <c r="U190" s="138"/>
    </row>
    <row r="191" spans="21:21" x14ac:dyDescent="0.25">
      <c r="U191" s="138"/>
    </row>
    <row r="192" spans="21:21" x14ac:dyDescent="0.25">
      <c r="U192" s="138"/>
    </row>
    <row r="193" spans="21:21" x14ac:dyDescent="0.25">
      <c r="U193" s="138"/>
    </row>
    <row r="194" spans="21:21" x14ac:dyDescent="0.25">
      <c r="U194" s="138"/>
    </row>
    <row r="195" spans="21:21" x14ac:dyDescent="0.25">
      <c r="U195" s="138"/>
    </row>
    <row r="196" spans="21:21" x14ac:dyDescent="0.25">
      <c r="U196" s="138"/>
    </row>
    <row r="197" spans="21:21" x14ac:dyDescent="0.25">
      <c r="U197" s="138"/>
    </row>
    <row r="198" spans="21:21" x14ac:dyDescent="0.25">
      <c r="U198" s="138"/>
    </row>
    <row r="199" spans="21:21" x14ac:dyDescent="0.25">
      <c r="U199" s="138"/>
    </row>
    <row r="200" spans="21:21" x14ac:dyDescent="0.25">
      <c r="U200" s="138"/>
    </row>
    <row r="201" spans="21:21" x14ac:dyDescent="0.25">
      <c r="U201" s="138"/>
    </row>
    <row r="202" spans="21:21" x14ac:dyDescent="0.25">
      <c r="U202" s="138"/>
    </row>
    <row r="203" spans="21:21" x14ac:dyDescent="0.25">
      <c r="U203" s="138"/>
    </row>
    <row r="204" spans="21:21" x14ac:dyDescent="0.25">
      <c r="U204" s="138"/>
    </row>
    <row r="205" spans="21:21" x14ac:dyDescent="0.25">
      <c r="U205" s="138"/>
    </row>
    <row r="206" spans="21:21" x14ac:dyDescent="0.25">
      <c r="U206" s="138"/>
    </row>
    <row r="207" spans="21:21" x14ac:dyDescent="0.25">
      <c r="U207" s="138"/>
    </row>
    <row r="208" spans="21:21" x14ac:dyDescent="0.25">
      <c r="U208" s="138"/>
    </row>
    <row r="209" spans="21:21" x14ac:dyDescent="0.25">
      <c r="U209" s="138"/>
    </row>
    <row r="210" spans="21:21" x14ac:dyDescent="0.25">
      <c r="U210" s="138"/>
    </row>
    <row r="211" spans="21:21" x14ac:dyDescent="0.25">
      <c r="U211" s="138"/>
    </row>
    <row r="212" spans="21:21" x14ac:dyDescent="0.25">
      <c r="U212" s="138"/>
    </row>
    <row r="213" spans="21:21" x14ac:dyDescent="0.25">
      <c r="U213" s="138"/>
    </row>
    <row r="214" spans="21:21" x14ac:dyDescent="0.25">
      <c r="U214" s="138"/>
    </row>
    <row r="215" spans="21:21" x14ac:dyDescent="0.25">
      <c r="U215" s="138"/>
    </row>
    <row r="216" spans="21:21" x14ac:dyDescent="0.25">
      <c r="U216" s="138"/>
    </row>
    <row r="217" spans="21:21" x14ac:dyDescent="0.25">
      <c r="U217" s="138"/>
    </row>
    <row r="218" spans="21:21" x14ac:dyDescent="0.25">
      <c r="U218" s="138"/>
    </row>
    <row r="219" spans="21:21" x14ac:dyDescent="0.25">
      <c r="U219" s="138"/>
    </row>
    <row r="220" spans="21:21" x14ac:dyDescent="0.25">
      <c r="U220" s="138"/>
    </row>
    <row r="221" spans="21:21" x14ac:dyDescent="0.25">
      <c r="U221" s="138"/>
    </row>
    <row r="222" spans="21:21" x14ac:dyDescent="0.25">
      <c r="U222" s="138"/>
    </row>
    <row r="223" spans="21:21" x14ac:dyDescent="0.25">
      <c r="U223" s="138"/>
    </row>
    <row r="224" spans="21:21" x14ac:dyDescent="0.25">
      <c r="U224" s="138"/>
    </row>
    <row r="225" spans="21:21" x14ac:dyDescent="0.25">
      <c r="U225" s="138"/>
    </row>
    <row r="226" spans="21:21" x14ac:dyDescent="0.25">
      <c r="U226" s="138"/>
    </row>
    <row r="227" spans="21:21" x14ac:dyDescent="0.25">
      <c r="U227" s="138"/>
    </row>
    <row r="228" spans="21:21" x14ac:dyDescent="0.25">
      <c r="U228" s="138"/>
    </row>
    <row r="229" spans="21:21" x14ac:dyDescent="0.25">
      <c r="U229" s="138"/>
    </row>
    <row r="230" spans="21:21" x14ac:dyDescent="0.25">
      <c r="U230" s="138"/>
    </row>
    <row r="231" spans="21:21" x14ac:dyDescent="0.25">
      <c r="U231" s="138"/>
    </row>
    <row r="232" spans="21:21" x14ac:dyDescent="0.25">
      <c r="U232" s="138"/>
    </row>
    <row r="233" spans="21:21" x14ac:dyDescent="0.25">
      <c r="U233" s="138"/>
    </row>
    <row r="234" spans="21:21" x14ac:dyDescent="0.25">
      <c r="U234" s="138"/>
    </row>
    <row r="235" spans="21:21" x14ac:dyDescent="0.25">
      <c r="U235" s="138"/>
    </row>
    <row r="236" spans="21:21" x14ac:dyDescent="0.25">
      <c r="U236" s="138"/>
    </row>
    <row r="237" spans="21:21" x14ac:dyDescent="0.25">
      <c r="U237" s="138"/>
    </row>
    <row r="238" spans="21:21" x14ac:dyDescent="0.25">
      <c r="U238" s="138"/>
    </row>
    <row r="239" spans="21:21" x14ac:dyDescent="0.25">
      <c r="U239" s="138"/>
    </row>
    <row r="240" spans="21:21" x14ac:dyDescent="0.25">
      <c r="U240" s="138"/>
    </row>
    <row r="241" spans="21:21" x14ac:dyDescent="0.25">
      <c r="U241" s="138"/>
    </row>
    <row r="242" spans="21:21" x14ac:dyDescent="0.25">
      <c r="U242" s="138"/>
    </row>
    <row r="243" spans="21:21" x14ac:dyDescent="0.25">
      <c r="U243" s="138"/>
    </row>
    <row r="244" spans="21:21" x14ac:dyDescent="0.25">
      <c r="U244" s="138"/>
    </row>
    <row r="245" spans="21:21" x14ac:dyDescent="0.25">
      <c r="U245" s="138"/>
    </row>
    <row r="246" spans="21:21" x14ac:dyDescent="0.25">
      <c r="U246" s="138"/>
    </row>
    <row r="247" spans="21:21" x14ac:dyDescent="0.25">
      <c r="U247" s="138"/>
    </row>
    <row r="248" spans="21:21" x14ac:dyDescent="0.25">
      <c r="U248" s="138"/>
    </row>
    <row r="249" spans="21:21" x14ac:dyDescent="0.25">
      <c r="U249" s="138"/>
    </row>
    <row r="250" spans="21:21" x14ac:dyDescent="0.25">
      <c r="U250" s="138"/>
    </row>
    <row r="251" spans="21:21" x14ac:dyDescent="0.25">
      <c r="U251" s="138"/>
    </row>
    <row r="252" spans="21:21" x14ac:dyDescent="0.25">
      <c r="U252" s="138"/>
    </row>
    <row r="253" spans="21:21" x14ac:dyDescent="0.25">
      <c r="U253" s="138"/>
    </row>
    <row r="254" spans="21:21" x14ac:dyDescent="0.25">
      <c r="U254" s="138"/>
    </row>
    <row r="255" spans="21:21" x14ac:dyDescent="0.25">
      <c r="U255" s="138"/>
    </row>
    <row r="256" spans="21:21" x14ac:dyDescent="0.25">
      <c r="U256" s="138"/>
    </row>
    <row r="257" spans="21:21" x14ac:dyDescent="0.25">
      <c r="U257" s="138"/>
    </row>
    <row r="258" spans="21:21" x14ac:dyDescent="0.25">
      <c r="U258" s="138"/>
    </row>
    <row r="259" spans="21:21" x14ac:dyDescent="0.25">
      <c r="U259" s="138"/>
    </row>
    <row r="260" spans="21:21" x14ac:dyDescent="0.25">
      <c r="U260" s="138"/>
    </row>
    <row r="261" spans="21:21" x14ac:dyDescent="0.25">
      <c r="U261" s="138"/>
    </row>
    <row r="262" spans="21:21" x14ac:dyDescent="0.25">
      <c r="U262" s="138"/>
    </row>
    <row r="263" spans="21:21" x14ac:dyDescent="0.25">
      <c r="U263" s="138"/>
    </row>
    <row r="264" spans="21:21" x14ac:dyDescent="0.25">
      <c r="U264" s="138"/>
    </row>
    <row r="265" spans="21:21" x14ac:dyDescent="0.25">
      <c r="U265" s="138"/>
    </row>
    <row r="266" spans="21:21" x14ac:dyDescent="0.25">
      <c r="U266" s="138"/>
    </row>
    <row r="267" spans="21:21" x14ac:dyDescent="0.25">
      <c r="U267" s="138"/>
    </row>
    <row r="268" spans="21:21" x14ac:dyDescent="0.25">
      <c r="U268" s="138"/>
    </row>
    <row r="269" spans="21:21" x14ac:dyDescent="0.25">
      <c r="U269" s="138"/>
    </row>
    <row r="270" spans="21:21" x14ac:dyDescent="0.25">
      <c r="U270" s="138"/>
    </row>
    <row r="271" spans="21:21" x14ac:dyDescent="0.25">
      <c r="U271" s="138"/>
    </row>
    <row r="272" spans="21:21" x14ac:dyDescent="0.25">
      <c r="U272" s="138"/>
    </row>
    <row r="273" spans="21:21" x14ac:dyDescent="0.25">
      <c r="U273" s="138"/>
    </row>
    <row r="274" spans="21:21" x14ac:dyDescent="0.25">
      <c r="U274" s="138"/>
    </row>
    <row r="275" spans="21:21" x14ac:dyDescent="0.25">
      <c r="U275" s="138"/>
    </row>
    <row r="276" spans="21:21" x14ac:dyDescent="0.25">
      <c r="U276" s="138"/>
    </row>
    <row r="277" spans="21:21" x14ac:dyDescent="0.25">
      <c r="U277" s="138"/>
    </row>
    <row r="278" spans="21:21" x14ac:dyDescent="0.25">
      <c r="U278" s="138"/>
    </row>
    <row r="279" spans="21:21" x14ac:dyDescent="0.25">
      <c r="U279" s="138"/>
    </row>
    <row r="280" spans="21:21" x14ac:dyDescent="0.25">
      <c r="U280" s="138"/>
    </row>
    <row r="281" spans="21:21" x14ac:dyDescent="0.25">
      <c r="U281" s="138"/>
    </row>
    <row r="282" spans="21:21" x14ac:dyDescent="0.25">
      <c r="U282" s="138"/>
    </row>
    <row r="283" spans="21:21" x14ac:dyDescent="0.25">
      <c r="U283" s="138"/>
    </row>
    <row r="284" spans="21:21" x14ac:dyDescent="0.25">
      <c r="U284" s="138"/>
    </row>
    <row r="285" spans="21:21" x14ac:dyDescent="0.25">
      <c r="U285" s="138"/>
    </row>
    <row r="286" spans="21:21" x14ac:dyDescent="0.25">
      <c r="U286" s="138"/>
    </row>
    <row r="287" spans="21:21" x14ac:dyDescent="0.25">
      <c r="U287" s="138"/>
    </row>
    <row r="288" spans="21:21" x14ac:dyDescent="0.25">
      <c r="U288" s="138"/>
    </row>
    <row r="289" spans="21:21" x14ac:dyDescent="0.25">
      <c r="U289" s="138"/>
    </row>
    <row r="290" spans="21:21" x14ac:dyDescent="0.25">
      <c r="U290" s="138"/>
    </row>
    <row r="291" spans="21:21" x14ac:dyDescent="0.25">
      <c r="U291" s="138"/>
    </row>
    <row r="292" spans="21:21" x14ac:dyDescent="0.25">
      <c r="U292" s="138"/>
    </row>
    <row r="293" spans="21:21" x14ac:dyDescent="0.25">
      <c r="U293" s="138"/>
    </row>
    <row r="294" spans="21:21" x14ac:dyDescent="0.25">
      <c r="U294" s="138"/>
    </row>
    <row r="295" spans="21:21" x14ac:dyDescent="0.25">
      <c r="U295" s="138"/>
    </row>
    <row r="296" spans="21:21" x14ac:dyDescent="0.25">
      <c r="U296" s="138"/>
    </row>
    <row r="297" spans="21:21" x14ac:dyDescent="0.25">
      <c r="U297" s="138"/>
    </row>
    <row r="298" spans="21:21" x14ac:dyDescent="0.25">
      <c r="U298" s="138"/>
    </row>
    <row r="299" spans="21:21" x14ac:dyDescent="0.25">
      <c r="U299" s="138"/>
    </row>
    <row r="300" spans="21:21" x14ac:dyDescent="0.25">
      <c r="U300" s="138"/>
    </row>
  </sheetData>
  <mergeCells count="129">
    <mergeCell ref="N29:O30"/>
    <mergeCell ref="P29:R30"/>
    <mergeCell ref="N31:O32"/>
    <mergeCell ref="P31:R32"/>
    <mergeCell ref="N33:O34"/>
    <mergeCell ref="P33:R34"/>
    <mergeCell ref="W45:AB45"/>
    <mergeCell ref="N35:O36"/>
    <mergeCell ref="P35:R36"/>
    <mergeCell ref="N37:O38"/>
    <mergeCell ref="P37:R38"/>
    <mergeCell ref="N39:O40"/>
    <mergeCell ref="P39:R40"/>
    <mergeCell ref="P41:R42"/>
    <mergeCell ref="P43:R44"/>
    <mergeCell ref="P45:R46"/>
    <mergeCell ref="N41:O42"/>
    <mergeCell ref="N43:O44"/>
    <mergeCell ref="B1:T2"/>
    <mergeCell ref="P13:P14"/>
    <mergeCell ref="P15:P16"/>
    <mergeCell ref="O13:O14"/>
    <mergeCell ref="O15:O16"/>
    <mergeCell ref="M15:M16"/>
    <mergeCell ref="N9:N10"/>
    <mergeCell ref="N11:N12"/>
    <mergeCell ref="N13:N14"/>
    <mergeCell ref="N15:N16"/>
    <mergeCell ref="M5:M6"/>
    <mergeCell ref="M7:M8"/>
    <mergeCell ref="M9:M10"/>
    <mergeCell ref="M11:M12"/>
    <mergeCell ref="M13:M14"/>
    <mergeCell ref="S15:S16"/>
    <mergeCell ref="T15:T16"/>
    <mergeCell ref="S5:S6"/>
    <mergeCell ref="T5:T6"/>
    <mergeCell ref="S7:S8"/>
    <mergeCell ref="T7:T8"/>
    <mergeCell ref="S9:S10"/>
    <mergeCell ref="T9:T10"/>
    <mergeCell ref="Q13:Q14"/>
    <mergeCell ref="Q15:Q16"/>
    <mergeCell ref="R5:R6"/>
    <mergeCell ref="R7:R8"/>
    <mergeCell ref="R9:R10"/>
    <mergeCell ref="R11:R12"/>
    <mergeCell ref="R13:R14"/>
    <mergeCell ref="R15:R16"/>
    <mergeCell ref="Q5:Q6"/>
    <mergeCell ref="Q7:Q8"/>
    <mergeCell ref="Q9:Q10"/>
    <mergeCell ref="Q11:Q12"/>
    <mergeCell ref="B5:D5"/>
    <mergeCell ref="B6:D6"/>
    <mergeCell ref="B7:D7"/>
    <mergeCell ref="B8:D8"/>
    <mergeCell ref="B9:D9"/>
    <mergeCell ref="S11:S12"/>
    <mergeCell ref="T11:T12"/>
    <mergeCell ref="S13:S14"/>
    <mergeCell ref="T13:T14"/>
    <mergeCell ref="N5:N6"/>
    <mergeCell ref="P5:P6"/>
    <mergeCell ref="P7:P8"/>
    <mergeCell ref="P9:P10"/>
    <mergeCell ref="P11:P12"/>
    <mergeCell ref="N7:N8"/>
    <mergeCell ref="O5:O6"/>
    <mergeCell ref="O7:O8"/>
    <mergeCell ref="O9:O10"/>
    <mergeCell ref="O11:O12"/>
    <mergeCell ref="B15:D15"/>
    <mergeCell ref="B16:D16"/>
    <mergeCell ref="B17:D17"/>
    <mergeCell ref="B18:D18"/>
    <mergeCell ref="B19:D19"/>
    <mergeCell ref="B10:D10"/>
    <mergeCell ref="B11:D11"/>
    <mergeCell ref="B12:D12"/>
    <mergeCell ref="B13:D13"/>
    <mergeCell ref="B14:D14"/>
    <mergeCell ref="H35:I36"/>
    <mergeCell ref="J35:L36"/>
    <mergeCell ref="H37:I38"/>
    <mergeCell ref="J37:L38"/>
    <mergeCell ref="H39:I40"/>
    <mergeCell ref="J39:L40"/>
    <mergeCell ref="B20:D20"/>
    <mergeCell ref="B21:D21"/>
    <mergeCell ref="B22:D22"/>
    <mergeCell ref="B25:T26"/>
    <mergeCell ref="B35:C36"/>
    <mergeCell ref="D35:F36"/>
    <mergeCell ref="H29:I30"/>
    <mergeCell ref="J29:L30"/>
    <mergeCell ref="H31:I32"/>
    <mergeCell ref="J31:L32"/>
    <mergeCell ref="B29:C30"/>
    <mergeCell ref="D29:F30"/>
    <mergeCell ref="B31:C32"/>
    <mergeCell ref="D31:F32"/>
    <mergeCell ref="B33:C34"/>
    <mergeCell ref="D33:F34"/>
    <mergeCell ref="B39:C40"/>
    <mergeCell ref="D39:F40"/>
    <mergeCell ref="B50:C51"/>
    <mergeCell ref="B53:C54"/>
    <mergeCell ref="D50:S51"/>
    <mergeCell ref="D53:S54"/>
    <mergeCell ref="B41:C42"/>
    <mergeCell ref="D41:F42"/>
    <mergeCell ref="B43:C44"/>
    <mergeCell ref="D43:F44"/>
    <mergeCell ref="H41:I42"/>
    <mergeCell ref="J41:L42"/>
    <mergeCell ref="H43:I44"/>
    <mergeCell ref="J43:L44"/>
    <mergeCell ref="P47:R48"/>
    <mergeCell ref="B47:C48"/>
    <mergeCell ref="D47:F48"/>
    <mergeCell ref="H47:I48"/>
    <mergeCell ref="J47:L48"/>
    <mergeCell ref="N47:O48"/>
    <mergeCell ref="B45:C46"/>
    <mergeCell ref="D45:F46"/>
    <mergeCell ref="H45:I46"/>
    <mergeCell ref="J45:L46"/>
    <mergeCell ref="N45:O46"/>
  </mergeCells>
  <conditionalFormatting sqref="N47:R48">
    <cfRule type="expression" dxfId="96" priority="2">
      <formula>$P$47=""</formula>
    </cfRule>
  </conditionalFormatting>
  <conditionalFormatting sqref="N45:R46">
    <cfRule type="expression" dxfId="95" priority="1">
      <formula>$P$45=""</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8">
    <tabColor rgb="FFFFFF00"/>
  </sheetPr>
  <dimension ref="A1:FY509"/>
  <sheetViews>
    <sheetView topLeftCell="A151" zoomScale="70" zoomScaleNormal="70" workbookViewId="0">
      <selection activeCell="K397" sqref="K397"/>
    </sheetView>
  </sheetViews>
  <sheetFormatPr defaultRowHeight="15" x14ac:dyDescent="0.25"/>
  <cols>
    <col min="2" max="2" width="26.85546875" customWidth="1"/>
    <col min="3" max="4" width="12.7109375" customWidth="1"/>
    <col min="5" max="5" width="10.28515625" bestFit="1" customWidth="1"/>
    <col min="7" max="7" width="10.7109375" bestFit="1" customWidth="1"/>
    <col min="8" max="8" width="10.5703125" bestFit="1" customWidth="1"/>
    <col min="22" max="22" width="19.28515625" customWidth="1"/>
    <col min="134" max="163" width="3.7109375" customWidth="1"/>
    <col min="164" max="164" width="52.140625" customWidth="1"/>
  </cols>
  <sheetData>
    <row r="1" spans="1:181" ht="15" customHeight="1" x14ac:dyDescent="0.3">
      <c r="A1" s="131"/>
      <c r="B1" s="131"/>
      <c r="C1" s="131"/>
      <c r="D1" s="131"/>
      <c r="E1" s="131"/>
      <c r="F1" s="131"/>
      <c r="G1" s="131"/>
      <c r="H1" s="131"/>
      <c r="I1" s="131"/>
      <c r="J1" s="131"/>
      <c r="DZ1" s="138"/>
      <c r="FI1" s="1020" t="s">
        <v>6490</v>
      </c>
      <c r="FJ1" s="1020"/>
      <c r="FK1" s="1020"/>
      <c r="FL1" s="1020"/>
      <c r="FN1" s="1020" t="s">
        <v>2</v>
      </c>
      <c r="FO1" s="1020"/>
      <c r="FP1" s="1020"/>
      <c r="FQ1" s="1020"/>
    </row>
    <row r="2" spans="1:181" ht="15" customHeight="1" thickBot="1" x14ac:dyDescent="0.35">
      <c r="A2" s="131"/>
      <c r="B2" s="131"/>
      <c r="C2" s="131"/>
      <c r="D2" s="131"/>
      <c r="E2" s="131"/>
      <c r="F2" s="131"/>
      <c r="G2" s="131"/>
      <c r="H2" s="131"/>
      <c r="I2" s="131"/>
      <c r="J2" s="131"/>
      <c r="DZ2" s="138"/>
      <c r="EB2" t="s">
        <v>6480</v>
      </c>
      <c r="FH2" t="s">
        <v>6489</v>
      </c>
      <c r="FI2" s="1021"/>
      <c r="FJ2" s="1021"/>
      <c r="FK2" s="1021"/>
      <c r="FL2" s="1021"/>
      <c r="FN2" s="1022"/>
      <c r="FO2" s="1022"/>
      <c r="FP2" s="1022"/>
      <c r="FQ2" s="1022"/>
    </row>
    <row r="3" spans="1:181" ht="51" customHeight="1" thickBot="1" x14ac:dyDescent="0.35">
      <c r="A3" s="131" t="s">
        <v>590</v>
      </c>
      <c r="B3" s="131" t="s">
        <v>5245</v>
      </c>
      <c r="C3" s="131" t="s">
        <v>5246</v>
      </c>
      <c r="D3" s="131"/>
      <c r="E3" s="1043" t="s">
        <v>6194</v>
      </c>
      <c r="F3" s="1023"/>
      <c r="G3" s="1023" t="s">
        <v>3033</v>
      </c>
      <c r="H3" s="1023"/>
      <c r="I3" s="1023" t="s">
        <v>6209</v>
      </c>
      <c r="J3" s="1024"/>
      <c r="Y3" t="s">
        <v>3563</v>
      </c>
      <c r="Z3" t="s">
        <v>3308</v>
      </c>
      <c r="AC3" t="s">
        <v>2346</v>
      </c>
      <c r="DZ3" s="138"/>
      <c r="ED3">
        <v>1</v>
      </c>
      <c r="EE3">
        <v>2</v>
      </c>
      <c r="EF3">
        <v>3</v>
      </c>
      <c r="EG3">
        <v>4</v>
      </c>
      <c r="EH3">
        <v>5</v>
      </c>
      <c r="EI3">
        <v>6</v>
      </c>
      <c r="EJ3">
        <v>7</v>
      </c>
      <c r="EK3">
        <v>8</v>
      </c>
      <c r="EL3">
        <v>9</v>
      </c>
      <c r="EM3">
        <v>10</v>
      </c>
      <c r="EN3">
        <v>11</v>
      </c>
      <c r="EO3">
        <v>12</v>
      </c>
      <c r="EP3">
        <v>13</v>
      </c>
      <c r="EQ3">
        <v>14</v>
      </c>
      <c r="ER3">
        <v>15</v>
      </c>
      <c r="ES3">
        <v>16</v>
      </c>
      <c r="ET3">
        <v>17</v>
      </c>
      <c r="EU3">
        <v>18</v>
      </c>
      <c r="EV3">
        <v>19</v>
      </c>
      <c r="EW3">
        <v>20</v>
      </c>
      <c r="EX3">
        <v>21</v>
      </c>
      <c r="EY3">
        <v>22</v>
      </c>
      <c r="EZ3">
        <v>23</v>
      </c>
      <c r="FA3">
        <v>24</v>
      </c>
      <c r="FB3">
        <v>25</v>
      </c>
      <c r="FC3">
        <v>26</v>
      </c>
      <c r="FD3">
        <v>27</v>
      </c>
      <c r="FE3">
        <v>28</v>
      </c>
      <c r="FF3">
        <v>29</v>
      </c>
      <c r="FG3">
        <v>30</v>
      </c>
      <c r="FI3" s="147">
        <v>1</v>
      </c>
      <c r="FJ3" s="148" t="str">
        <f>Character_Creation!B432</f>
        <v>backpack</v>
      </c>
      <c r="FK3" s="148">
        <f>Character_Creation!F432</f>
        <v>1</v>
      </c>
      <c r="FL3" s="149">
        <f>IF(OR(FJ3="",FJ3=0),0,1)</f>
        <v>1</v>
      </c>
      <c r="FN3" s="147">
        <v>1</v>
      </c>
      <c r="FO3" s="148" t="str">
        <f>Character_Creation!P429</f>
        <v>common clothes</v>
      </c>
      <c r="FP3" s="149">
        <f>IF(OR(FO3="",FO3=0),0,1+FL24)</f>
        <v>9</v>
      </c>
      <c r="FQ3" s="136">
        <v>1</v>
      </c>
      <c r="FR3" s="4" t="s">
        <v>2942</v>
      </c>
      <c r="FS3" s="4" t="str">
        <f>Character_Creation!J432</f>
        <v>Club</v>
      </c>
      <c r="FT3" s="4">
        <f t="shared" ref="FT3:FT8" si="0">IF(OR(FS3="",FS3=0),0,1)</f>
        <v>1</v>
      </c>
      <c r="FU3" s="4">
        <f>IF(OR(FT3="",FT3=0),0,1+FP11)</f>
        <v>15</v>
      </c>
      <c r="FV3">
        <v>1</v>
      </c>
      <c r="FY3" s="4" t="s">
        <v>111</v>
      </c>
    </row>
    <row r="4" spans="1:181" ht="16.5" x14ac:dyDescent="0.3">
      <c r="A4" s="131">
        <v>1</v>
      </c>
      <c r="B4" s="131" t="str">
        <f>IFERROR(INDEX(T041_ClassFeatures!$B$2:$B$2033,MATCH('C03_ClassVariables'!A4,T041_ClassFeatures!$A$2:$A$2033,0),1),"")</f>
        <v>Ability Score Improvement</v>
      </c>
      <c r="C4" s="131">
        <f>IF(B4="",0,IF(IFERROR(MATCH(B4,'C01_BaseCalculation'!$W$160:$W$239,0),0)&gt;0,1,0))</f>
        <v>1</v>
      </c>
      <c r="D4" s="131"/>
      <c r="E4" s="156">
        <f>Character_Creation!AC44</f>
        <v>12</v>
      </c>
      <c r="F4" s="157">
        <f t="shared" ref="F4:F9" si="1">IFERROR(IF(E4&gt;10,ROUNDDOWN((E4-10)/2,0),ROUND((E4-10)/2,0)),"")</f>
        <v>1</v>
      </c>
      <c r="G4" s="156">
        <v>15</v>
      </c>
      <c r="H4" s="157">
        <f t="shared" ref="H4:H9" si="2">IFERROR(IF(G4&gt;10,ROUNDDOWN((G4-10)/2,0),ROUND((G4-10)/2,0)),"")</f>
        <v>2</v>
      </c>
      <c r="I4" s="492">
        <f t="shared" ref="I4:I9" si="3">IF(Typeofabilityroll="Ability Roll",E4+ROW()/100000,G4+ROW()/100000)</f>
        <v>12.00004</v>
      </c>
      <c r="J4" s="157">
        <f t="shared" ref="J4:J9" si="4">IFERROR(IF(I4&gt;10,ROUNDDOWN((I4-10)/2,0),ROUND((I4-10)/2,0)),"")</f>
        <v>1</v>
      </c>
      <c r="L4" s="305" t="s">
        <v>3553</v>
      </c>
      <c r="M4" s="306" t="str">
        <f>MainClassSelected</f>
        <v>Fighter</v>
      </c>
      <c r="N4" s="306" t="str">
        <f t="shared" ref="N4:N9" si="5">IFERROR(INDEX($U$4:$U$15,MATCH(M4,$W$4:$W$15,0),1),"")</f>
        <v>Martial Archetype</v>
      </c>
      <c r="O4" s="306" t="str">
        <f>Archetype1</f>
        <v>Eldritch Knight</v>
      </c>
      <c r="P4" s="306">
        <f>IFERROR(INDEX(T04_Classes!$DB$3:$DB$102,MATCH('C03_ClassVariables'!$M4,T04_Classes!$B$3:$B$102,0),1),"")</f>
        <v>3</v>
      </c>
      <c r="Q4" s="306">
        <f>MainClassLevel</f>
        <v>12</v>
      </c>
      <c r="R4" s="307">
        <f t="shared" ref="R4:R9" si="6">IF(Q4="",0,IF(Q4&gt;=P4,1,0))</f>
        <v>1</v>
      </c>
      <c r="U4" s="314" t="s">
        <v>3051</v>
      </c>
      <c r="V4" s="315">
        <f t="shared" ref="V4:V14" si="7">IFERROR(INDEX($O$4:$O$9,MATCH(U4,$N$4:$N$9,0),1),0)</f>
        <v>0</v>
      </c>
      <c r="W4" s="315" t="s">
        <v>616</v>
      </c>
      <c r="X4" s="315">
        <f>COUNTIF(Character_Creation!$R$62:$R$81,W4)</f>
        <v>0</v>
      </c>
      <c r="Y4" s="315">
        <f t="shared" ref="Y4:Y15" si="8">IF(MainClassSelected=W4,1,0)</f>
        <v>0</v>
      </c>
      <c r="Z4" s="315">
        <f>IF(AND(X4&gt;0,Y4=0),1,0)</f>
        <v>0</v>
      </c>
      <c r="AA4" s="320" t="s">
        <v>1109</v>
      </c>
      <c r="AB4" s="268" t="s">
        <v>3347</v>
      </c>
      <c r="AC4" s="268">
        <f>INDEX($X$4:$X$15,MATCH($AA4,$W$4:$W$15,0),1)</f>
        <v>0</v>
      </c>
      <c r="AD4" s="269">
        <f>IFERROR(INDEX(T042_Leveling!$Y$4:$BH$23,MATCH('C03_ClassVariables'!$AC4,T042_Leveling!$A$4:$A$23,0),MATCH('C03_ClassVariables'!$AB4,T042_Leveling!$Y$3:$BH$3,0)),0)</f>
        <v>0</v>
      </c>
      <c r="AF4" s="284" t="s">
        <v>3560</v>
      </c>
      <c r="AG4" s="284"/>
      <c r="AH4" s="284">
        <f>COUNTIF('C01_BaseCalculation'!$H$190:$H$269,'C03_ClassVariables'!AF4)</f>
        <v>0</v>
      </c>
      <c r="AK4" t="s">
        <v>4537</v>
      </c>
      <c r="AL4">
        <f>BardLevel+ClericLevel+DruidLevel+ROUNDDOWN(PaladinLevel/2,0)+ROUNDDOWN(RangerLevel/2,0)+SorcererLevel+WizardLevel+IF(V8="Eldritch Knight",ROUNDDOWN(FighterLevel/3,0),0)+IF(V12="Arcane Trickster",ROUNDDOWN(RogueLevel/3,0),0)</f>
        <v>12</v>
      </c>
      <c r="AO4" t="s">
        <v>6851</v>
      </c>
      <c r="DZ4" s="138"/>
      <c r="EB4" s="581" t="s">
        <v>392</v>
      </c>
      <c r="EC4" s="582">
        <f>COUNTIF(ED4:FG4,"&lt;&gt;0")-COUNTIF(ED4:FG4,"")</f>
        <v>2</v>
      </c>
      <c r="ED4" s="582" t="str">
        <f>IFERROR(INDEX(T04_Classes!$T$3:$V$102,SelectedClassID,ED$3),"")</f>
        <v>dungeoneer's pack</v>
      </c>
      <c r="EE4" s="582" t="str">
        <f>IFERROR(INDEX(T04_Classes!$T$3:$V$102,SelectedClassID,EE$3),"")</f>
        <v>explorer's pack</v>
      </c>
      <c r="EF4" s="582">
        <f>IFERROR(INDEX(T04_Classes!$T$3:$V$102,SelectedClassID,EF$3),"")</f>
        <v>0</v>
      </c>
      <c r="EG4" s="582"/>
      <c r="EH4" s="582"/>
      <c r="EI4" s="582"/>
      <c r="EJ4" s="582"/>
      <c r="EK4" s="582"/>
      <c r="EL4" s="582"/>
      <c r="EM4" s="582"/>
      <c r="EN4" s="582"/>
      <c r="EO4" s="582"/>
      <c r="EP4" s="582"/>
      <c r="EQ4" s="582"/>
      <c r="ER4" s="582"/>
      <c r="ES4" s="582"/>
      <c r="ET4" s="582"/>
      <c r="EU4" s="582"/>
      <c r="EV4" s="582"/>
      <c r="EW4" s="582"/>
      <c r="EX4" s="582"/>
      <c r="EY4" s="582"/>
      <c r="EZ4" s="582"/>
      <c r="FA4" s="582"/>
      <c r="FB4" s="582"/>
      <c r="FC4" s="582"/>
      <c r="FD4" s="582"/>
      <c r="FE4" s="582"/>
      <c r="FF4" s="582"/>
      <c r="FG4" s="582"/>
      <c r="FI4" s="150">
        <v>2</v>
      </c>
      <c r="FJ4" s="136" t="str">
        <f>Character_Creation!B433</f>
        <v>bedroll</v>
      </c>
      <c r="FK4" s="136">
        <f>Character_Creation!F433</f>
        <v>1</v>
      </c>
      <c r="FL4" s="151">
        <f>IF(OR(FJ4="",FJ4=0),0,1+MAX(FL3:$FL$3))</f>
        <v>2</v>
      </c>
      <c r="FN4" s="150">
        <v>2</v>
      </c>
      <c r="FO4" s="136" t="str">
        <f>Character_Creation!P432</f>
        <v>bottle of black ink</v>
      </c>
      <c r="FP4" s="151">
        <f>IF(OR(FO4="",FO4=0),0,1+COUNTIF(FP3:$FP$3,"&gt;0")+$FL$24)</f>
        <v>10</v>
      </c>
      <c r="FQ4" s="136">
        <v>1</v>
      </c>
      <c r="FR4" s="4" t="s">
        <v>2943</v>
      </c>
      <c r="FS4" s="4" t="str">
        <f>Character_Creation!J434</f>
        <v>Shortbow</v>
      </c>
      <c r="FT4" s="4">
        <f t="shared" si="0"/>
        <v>1</v>
      </c>
      <c r="FU4" s="4">
        <f>IF(OR(FT4="",FT4=0),0,1+COUNTIF(FU3:$FU$3,"&gt;0")+$FP$11)</f>
        <v>16</v>
      </c>
      <c r="FV4">
        <v>1</v>
      </c>
      <c r="FY4" s="4" t="s">
        <v>89</v>
      </c>
    </row>
    <row r="5" spans="1:181" ht="16.5" x14ac:dyDescent="0.3">
      <c r="A5" s="132">
        <f>IFERROR(IF(A4+1&lt;MAX(T041_ClassFeatures!$A$2:$A$2033),A4+1,""),"")</f>
        <v>2</v>
      </c>
      <c r="B5" s="131" t="str">
        <f>IFERROR(INDEX(T041_ClassFeatures!$B$2:$B$2033,MATCH('C03_ClassVariables'!A5,T041_ClassFeatures!$A$2:$A$2033,0),1),"")</f>
        <v>Action Surge</v>
      </c>
      <c r="C5" s="131">
        <f>IF(B5="",0,IF(IFERROR(MATCH(B5,'C01_BaseCalculation'!$W$160:$W$239,0),0)&gt;0,1,0))</f>
        <v>1</v>
      </c>
      <c r="D5" s="131"/>
      <c r="E5" s="158">
        <f>Character_Creation!AC46</f>
        <v>16</v>
      </c>
      <c r="F5" s="159">
        <f t="shared" si="1"/>
        <v>3</v>
      </c>
      <c r="G5" s="158">
        <v>14</v>
      </c>
      <c r="H5" s="159">
        <f t="shared" si="2"/>
        <v>2</v>
      </c>
      <c r="I5" s="493">
        <f t="shared" si="3"/>
        <v>16.000050000000002</v>
      </c>
      <c r="J5" s="159">
        <f t="shared" si="4"/>
        <v>3</v>
      </c>
      <c r="L5" s="308" t="s">
        <v>3554</v>
      </c>
      <c r="M5" s="309" t="str">
        <f>Multiclass1</f>
        <v>Wizard</v>
      </c>
      <c r="N5" s="309" t="str">
        <f t="shared" si="5"/>
        <v>Arcane Tradition</v>
      </c>
      <c r="O5" s="309" t="str">
        <f>Archetype2</f>
        <v>School of Conjuration</v>
      </c>
      <c r="P5" s="309">
        <f>IFERROR(INDEX(T04_Classes!$DB$3:$DB$102,MATCH('C03_ClassVariables'!$M5,T04_Classes!$B$3:$B$102,0),1),"")</f>
        <v>2</v>
      </c>
      <c r="Q5" s="309">
        <f>Character_Creation!P65</f>
        <v>8</v>
      </c>
      <c r="R5" s="310">
        <f t="shared" si="6"/>
        <v>1</v>
      </c>
      <c r="U5" s="316" t="s">
        <v>3053</v>
      </c>
      <c r="V5" s="317">
        <f t="shared" si="7"/>
        <v>0</v>
      </c>
      <c r="W5" s="317" t="s">
        <v>1109</v>
      </c>
      <c r="X5" s="317">
        <f>COUNTIF(Character_Creation!$R$62:$R$81,W5)</f>
        <v>0</v>
      </c>
      <c r="Y5" s="317">
        <f t="shared" si="8"/>
        <v>0</v>
      </c>
      <c r="Z5" s="317">
        <f t="shared" ref="Z5:Z15" si="9">IF(AND(X5&gt;0,Y5=0),1,0)</f>
        <v>0</v>
      </c>
      <c r="AA5" s="321" t="s">
        <v>1109</v>
      </c>
      <c r="AB5" s="270" t="s">
        <v>3348</v>
      </c>
      <c r="AC5" s="270">
        <f t="shared" ref="AC5:AC47" si="10">INDEX($X$4:$X$15,MATCH($AA5,$W$4:$W$15,0),1)</f>
        <v>0</v>
      </c>
      <c r="AD5" s="271">
        <f>IFERROR(INDEX(T042_Leveling!$Y$4:$BH$23,MATCH('C03_ClassVariables'!$AC5,T042_Leveling!$A$4:$A$23,0),MATCH('C03_ClassVariables'!$AB5,T042_Leveling!$Y$3:$BH$3,0)),0)</f>
        <v>0</v>
      </c>
      <c r="AF5" s="284" t="s">
        <v>3561</v>
      </c>
      <c r="AG5" s="284"/>
      <c r="AH5" s="284">
        <f>ExpertiseNumber-AH4</f>
        <v>0</v>
      </c>
      <c r="DZ5" s="138"/>
      <c r="FI5" s="150">
        <v>3</v>
      </c>
      <c r="FJ5" s="136" t="str">
        <f>Character_Creation!B434</f>
        <v>mess kit</v>
      </c>
      <c r="FK5" s="136">
        <f>Character_Creation!F434</f>
        <v>1</v>
      </c>
      <c r="FL5" s="151">
        <f>IF(OR(FJ5="",FJ5=0),0,1+MAX(FL$3:$FL4))</f>
        <v>3</v>
      </c>
      <c r="FN5" s="150">
        <v>3</v>
      </c>
      <c r="FO5" s="136" t="str">
        <f>Character_Creation!P433</f>
        <v>quill</v>
      </c>
      <c r="FP5" s="151">
        <f>IF(OR(FO5="",FO5=0),0,1+COUNTIF(FP$3:$FP4,"&gt;0")+$FL$24)</f>
        <v>11</v>
      </c>
      <c r="FQ5" s="136">
        <v>1</v>
      </c>
      <c r="FR5" s="4" t="s">
        <v>2944</v>
      </c>
      <c r="FS5" s="4">
        <f>Character_Creation!J436</f>
        <v>0</v>
      </c>
      <c r="FT5" s="4">
        <f t="shared" si="0"/>
        <v>0</v>
      </c>
      <c r="FU5" s="4">
        <f>IF(OR(FT5="",FT5=0),0,1+COUNTIF(FU$3:$FU4,"&gt;0")+$FP$11)</f>
        <v>0</v>
      </c>
      <c r="FV5">
        <v>1</v>
      </c>
      <c r="FY5" s="137" t="s">
        <v>2810</v>
      </c>
    </row>
    <row r="6" spans="1:181" ht="16.5" x14ac:dyDescent="0.3">
      <c r="A6" s="132">
        <f>IFERROR(IF(A5+1&lt;MAX(T041_ClassFeatures!$A$2:$A$2033),A5+1,""),"")</f>
        <v>3</v>
      </c>
      <c r="B6" s="131" t="str">
        <f>IFERROR(INDEX(T041_ClassFeatures!$B$2:$B$2033,MATCH('C03_ClassVariables'!A6,T041_ClassFeatures!$A$2:$A$2033,0),1),"")</f>
        <v>Arcane Recovery</v>
      </c>
      <c r="C6" s="131">
        <f>IF(B6="",0,IF(IFERROR(MATCH(B6,'C01_BaseCalculation'!$W$160:$W$239,0),0)&gt;0,1,0))</f>
        <v>1</v>
      </c>
      <c r="D6" s="131"/>
      <c r="E6" s="158">
        <f>Character_Creation!AC48</f>
        <v>15</v>
      </c>
      <c r="F6" s="159">
        <f t="shared" si="1"/>
        <v>2</v>
      </c>
      <c r="G6" s="158">
        <v>13</v>
      </c>
      <c r="H6" s="159">
        <f t="shared" si="2"/>
        <v>1</v>
      </c>
      <c r="I6" s="493">
        <f t="shared" si="3"/>
        <v>15.00006</v>
      </c>
      <c r="J6" s="159">
        <f t="shared" si="4"/>
        <v>2</v>
      </c>
      <c r="L6" s="308" t="s">
        <v>3555</v>
      </c>
      <c r="M6" s="309" t="str">
        <f>Multiclass2</f>
        <v/>
      </c>
      <c r="N6" s="309" t="str">
        <f t="shared" si="5"/>
        <v/>
      </c>
      <c r="O6" s="309">
        <f>Archetype3</f>
        <v>0</v>
      </c>
      <c r="P6" s="309" t="str">
        <f>IFERROR(INDEX(T04_Classes!$DB$3:$DB$102,MATCH('C03_ClassVariables'!$M6,T04_Classes!$B$3:$B$102,0),1),"")</f>
        <v/>
      </c>
      <c r="Q6" s="309" t="str">
        <f>Character_Creation!P68</f>
        <v/>
      </c>
      <c r="R6" s="310">
        <f t="shared" si="6"/>
        <v>0</v>
      </c>
      <c r="U6" s="316" t="s">
        <v>2266</v>
      </c>
      <c r="V6" s="317">
        <f t="shared" si="7"/>
        <v>0</v>
      </c>
      <c r="W6" s="317" t="s">
        <v>617</v>
      </c>
      <c r="X6" s="317">
        <f>COUNTIF(Character_Creation!$R$62:$R$81,W6)</f>
        <v>0</v>
      </c>
      <c r="Y6" s="317">
        <f t="shared" si="8"/>
        <v>0</v>
      </c>
      <c r="Z6" s="317">
        <f t="shared" si="9"/>
        <v>0</v>
      </c>
      <c r="AA6" s="321" t="s">
        <v>1109</v>
      </c>
      <c r="AB6" s="270" t="s">
        <v>3349</v>
      </c>
      <c r="AC6" s="270">
        <f t="shared" si="10"/>
        <v>0</v>
      </c>
      <c r="AD6" s="271">
        <f>IFERROR(INDEX(T042_Leveling!$Y$4:$BH$23,MATCH('C03_ClassVariables'!$AC6,T042_Leveling!$A$4:$A$23,0),MATCH('C03_ClassVariables'!$AB6,T042_Leveling!$Y$3:$BH$3,0)),0)</f>
        <v>0</v>
      </c>
      <c r="AF6" s="284" t="s">
        <v>3038</v>
      </c>
      <c r="AG6" s="284">
        <f>COUNTIF('C01_BaseCalculation'!$G$190:$G$269,'C03_ClassVariables'!AF6)</f>
        <v>0</v>
      </c>
      <c r="AH6" s="284"/>
      <c r="AK6" t="s">
        <v>4538</v>
      </c>
      <c r="AL6">
        <f>IFERROR(INDEX(T042_Leveling!$E$4:$M$23,MATCH('C03_ClassVariables'!$AL$4,T042_Leveling!$A$4:$A$23,0),1),"")</f>
        <v>4</v>
      </c>
      <c r="AO6" t="s">
        <v>6852</v>
      </c>
      <c r="DZ6" s="138"/>
      <c r="EB6" s="580" t="s">
        <v>89</v>
      </c>
      <c r="EC6" s="582">
        <f>COUNTIF(ED6:FG6,"&lt;&gt;0")-COUNTIF(ED6:FG6,"")</f>
        <v>2</v>
      </c>
      <c r="ED6" s="582" t="str">
        <f>IFERROR(INDEX(T04_Classes!$W$3:$Y$102,SelectedClassID,ED$3),"")</f>
        <v>leather armor</v>
      </c>
      <c r="EE6" s="582" t="str">
        <f>IFERROR(INDEX(T04_Classes!$W$3:$Y$102,SelectedClassID,EE$3),"")</f>
        <v>chainmail</v>
      </c>
      <c r="EF6" s="582">
        <f>IFERROR(INDEX(T04_Classes!$W$3:$Y$102,SelectedClassID,EF$3),"")</f>
        <v>0</v>
      </c>
      <c r="EG6" s="582" t="str">
        <f>IFERROR(INDEX(T04_Classes!$W$3:$Y$102,SelectedClassID,EG$3),"")</f>
        <v/>
      </c>
      <c r="EH6" s="582" t="str">
        <f>IFERROR(INDEX(T04_Classes!$W$3:$Y$102,SelectedClassID,EH$3),"")</f>
        <v/>
      </c>
      <c r="EI6" s="582" t="str">
        <f>IFERROR(INDEX(T04_Classes!$W$3:$Y$102,SelectedClassID,EI$3),"")</f>
        <v/>
      </c>
      <c r="EJ6" s="582" t="str">
        <f>IFERROR(INDEX(T04_Classes!$W$3:$Y$102,SelectedClassID,EJ$3),"")</f>
        <v/>
      </c>
      <c r="EK6" s="582" t="str">
        <f>IFERROR(INDEX(T04_Classes!$W$3:$Y$102,SelectedClassID,EK$3),"")</f>
        <v/>
      </c>
      <c r="EL6" s="582" t="str">
        <f>IFERROR(INDEX(T04_Classes!$W$3:$Y$102,SelectedClassID,EL$3),"")</f>
        <v/>
      </c>
      <c r="EM6" s="582" t="str">
        <f>IFERROR(INDEX(T04_Classes!$W$3:$Y$102,SelectedClassID,EM$3),"")</f>
        <v/>
      </c>
      <c r="EN6" s="582" t="str">
        <f>IFERROR(INDEX(T04_Classes!$W$3:$Y$102,SelectedClassID,EN$3),"")</f>
        <v/>
      </c>
      <c r="EO6" s="582" t="str">
        <f>IFERROR(INDEX(T04_Classes!$W$3:$Y$102,SelectedClassID,EO$3),"")</f>
        <v/>
      </c>
      <c r="EP6" s="582" t="str">
        <f>IFERROR(INDEX(T04_Classes!$W$3:$Y$102,SelectedClassID,EP$3),"")</f>
        <v/>
      </c>
      <c r="EQ6" s="582" t="str">
        <f>IFERROR(INDEX(T04_Classes!$W$3:$Y$102,SelectedClassID,EQ$3),"")</f>
        <v/>
      </c>
      <c r="ER6" s="582" t="str">
        <f>IFERROR(INDEX(T04_Classes!$W$3:$Y$102,SelectedClassID,ER$3),"")</f>
        <v/>
      </c>
      <c r="ES6" s="582" t="str">
        <f>IFERROR(INDEX(T04_Classes!$W$3:$Y$102,SelectedClassID,ES$3),"")</f>
        <v/>
      </c>
      <c r="ET6" s="582" t="str">
        <f>IFERROR(INDEX(T04_Classes!$W$3:$Y$102,SelectedClassID,ET$3),"")</f>
        <v/>
      </c>
      <c r="EU6" s="582" t="str">
        <f>IFERROR(INDEX(T04_Classes!$W$3:$Y$102,SelectedClassID,EU$3),"")</f>
        <v/>
      </c>
      <c r="EV6" s="582" t="str">
        <f>IFERROR(INDEX(T04_Classes!$W$3:$Y$102,SelectedClassID,EV$3),"")</f>
        <v/>
      </c>
      <c r="EW6" s="582" t="str">
        <f>IFERROR(INDEX(T04_Classes!$W$3:$Y$102,SelectedClassID,EW$3),"")</f>
        <v/>
      </c>
      <c r="EX6" s="582" t="str">
        <f>IFERROR(INDEX(T04_Classes!$W$3:$Y$102,SelectedClassID,EX$3),"")</f>
        <v/>
      </c>
      <c r="EY6" s="582" t="str">
        <f>IFERROR(INDEX(T04_Classes!$W$3:$Y$102,SelectedClassID,EY$3),"")</f>
        <v/>
      </c>
      <c r="EZ6" s="582" t="str">
        <f>IFERROR(INDEX(T04_Classes!$W$3:$Y$102,SelectedClassID,EZ$3),"")</f>
        <v/>
      </c>
      <c r="FA6" s="582" t="str">
        <f>IFERROR(INDEX(T04_Classes!$W$3:$Y$102,SelectedClassID,FA$3),"")</f>
        <v/>
      </c>
      <c r="FB6" s="582" t="str">
        <f>IFERROR(INDEX(T04_Classes!$W$3:$Y$102,SelectedClassID,FB$3),"")</f>
        <v/>
      </c>
      <c r="FC6" s="582" t="str">
        <f>IFERROR(INDEX(T04_Classes!$W$3:$Y$102,SelectedClassID,FC$3),"")</f>
        <v/>
      </c>
      <c r="FD6" s="582" t="str">
        <f>IFERROR(INDEX(T04_Classes!$W$3:$Y$102,SelectedClassID,FD$3),"")</f>
        <v/>
      </c>
      <c r="FE6" s="582" t="str">
        <f>IFERROR(INDEX(T04_Classes!$W$3:$Y$102,SelectedClassID,FE$3),"")</f>
        <v/>
      </c>
      <c r="FF6" s="582" t="str">
        <f>IFERROR(INDEX(T04_Classes!$W$3:$Y$102,SelectedClassID,FF$3),"")</f>
        <v/>
      </c>
      <c r="FG6" s="582" t="str">
        <f>IFERROR(INDEX(T04_Classes!$W$3:$Y$102,SelectedClassID,FG$3),"")</f>
        <v/>
      </c>
      <c r="FI6" s="150">
        <v>4</v>
      </c>
      <c r="FJ6" s="136" t="str">
        <f>Character_Creation!B435</f>
        <v>linderbox</v>
      </c>
      <c r="FK6" s="136">
        <f>Character_Creation!F435</f>
        <v>1</v>
      </c>
      <c r="FL6" s="151">
        <f>IF(OR(FJ6="",FJ6=0),0,1+MAX(FL$3:$FL5))</f>
        <v>4</v>
      </c>
      <c r="FN6" s="150">
        <v>4</v>
      </c>
      <c r="FO6" s="136" t="str">
        <f>Character_Creation!P434</f>
        <v>small knife</v>
      </c>
      <c r="FP6" s="151">
        <f>IF(OR(FO6="",FO6=0),0,1+COUNTIF(FP$3:$FP5,"&gt;0")+$FL$24)</f>
        <v>12</v>
      </c>
      <c r="FQ6" s="136"/>
      <c r="FR6" s="4" t="s">
        <v>2945</v>
      </c>
      <c r="FS6" s="4">
        <f>Character_Creation!J438</f>
        <v>0</v>
      </c>
      <c r="FT6" s="4">
        <f t="shared" si="0"/>
        <v>0</v>
      </c>
      <c r="FU6" s="4">
        <f>IF(OR(FT6="",FT6=0),0,1+COUNTIF(FU$3:$FU5,"&gt;0")+$FP$11)</f>
        <v>0</v>
      </c>
      <c r="FV6">
        <v>1</v>
      </c>
      <c r="FY6" s="137" t="s">
        <v>281</v>
      </c>
    </row>
    <row r="7" spans="1:181" ht="16.5" x14ac:dyDescent="0.3">
      <c r="A7" s="132">
        <f>IFERROR(IF(A6+1&lt;MAX(T041_ClassFeatures!$A$2:$A$2033),A6+1,""),"")</f>
        <v>4</v>
      </c>
      <c r="B7" s="131" t="str">
        <f>IFERROR(INDEX(T041_ClassFeatures!$B$2:$B$2033,MATCH('C03_ClassVariables'!A7,T041_ClassFeatures!$A$2:$A$2033,0),1),"")</f>
        <v>Arcane Tradition</v>
      </c>
      <c r="C7" s="131">
        <f>IF(B7="",0,IF(IFERROR(MATCH(B7,'C01_BaseCalculation'!$W$160:$W$239,0),0)&gt;0,1,0))</f>
        <v>1</v>
      </c>
      <c r="D7" s="131"/>
      <c r="E7" s="158">
        <f>Character_Creation!AC50</f>
        <v>12</v>
      </c>
      <c r="F7" s="159">
        <f t="shared" si="1"/>
        <v>1</v>
      </c>
      <c r="G7" s="158">
        <v>12</v>
      </c>
      <c r="H7" s="159">
        <f t="shared" si="2"/>
        <v>1</v>
      </c>
      <c r="I7" s="493">
        <f t="shared" si="3"/>
        <v>12.000069999999999</v>
      </c>
      <c r="J7" s="159">
        <f t="shared" si="4"/>
        <v>1</v>
      </c>
      <c r="L7" s="308" t="s">
        <v>3556</v>
      </c>
      <c r="M7" s="309" t="str">
        <f>Multiclass3</f>
        <v/>
      </c>
      <c r="N7" s="309" t="str">
        <f t="shared" si="5"/>
        <v/>
      </c>
      <c r="O7" s="309">
        <f>Archetype4</f>
        <v>0</v>
      </c>
      <c r="P7" s="309" t="str">
        <f>IFERROR(INDEX(T04_Classes!$DB$3:$DB$102,MATCH('C03_ClassVariables'!$M7,T04_Classes!$B$3:$B$102,0),1),"")</f>
        <v/>
      </c>
      <c r="Q7" s="309" t="str">
        <f>Character_Creation!P71</f>
        <v/>
      </c>
      <c r="R7" s="310">
        <f t="shared" si="6"/>
        <v>0</v>
      </c>
      <c r="U7" s="316" t="s">
        <v>2286</v>
      </c>
      <c r="V7" s="317">
        <f t="shared" si="7"/>
        <v>0</v>
      </c>
      <c r="W7" s="317" t="s">
        <v>618</v>
      </c>
      <c r="X7" s="317">
        <f>COUNTIF(Character_Creation!$R$62:$R$81,W7)</f>
        <v>0</v>
      </c>
      <c r="Y7" s="317">
        <f t="shared" si="8"/>
        <v>0</v>
      </c>
      <c r="Z7" s="317">
        <f t="shared" si="9"/>
        <v>0</v>
      </c>
      <c r="AA7" s="321" t="s">
        <v>1109</v>
      </c>
      <c r="AB7" s="270" t="s">
        <v>3350</v>
      </c>
      <c r="AC7" s="270">
        <f t="shared" si="10"/>
        <v>0</v>
      </c>
      <c r="AD7" s="271">
        <f>IFERROR(INDEX(T042_Leveling!$Y$4:$BH$23,MATCH('C03_ClassVariables'!$AC7,T042_Leveling!$A$4:$A$23,0),MATCH('C03_ClassVariables'!$AB7,T042_Leveling!$Y$3:$BH$3,0)),0)</f>
        <v>0</v>
      </c>
      <c r="AF7" s="284" t="s">
        <v>2274</v>
      </c>
      <c r="AG7" s="284">
        <f>COUNTIF('C01_BaseCalculation'!$X$160:$X$239,'C03_ClassVariables'!AF7)*2</f>
        <v>0</v>
      </c>
      <c r="AH7" s="284"/>
      <c r="AK7" t="s">
        <v>4539</v>
      </c>
      <c r="AL7">
        <f>IFERROR(INDEX(T042_Leveling!$E$4:$M$23,MATCH('C03_ClassVariables'!$AL$4,T042_Leveling!$A$4:$A$23,0),2),"")</f>
        <v>3</v>
      </c>
      <c r="AO7" t="s">
        <v>6853</v>
      </c>
      <c r="DZ7" s="138"/>
      <c r="FI7" s="150">
        <v>5</v>
      </c>
      <c r="FJ7" s="136" t="str">
        <f>Character_Creation!B436</f>
        <v>torch</v>
      </c>
      <c r="FK7" s="136">
        <f>Character_Creation!F436</f>
        <v>10</v>
      </c>
      <c r="FL7" s="151">
        <f>IF(OR(FJ7="",FJ7=0),0,1+MAX(FL$3:$FL6))</f>
        <v>5</v>
      </c>
      <c r="FN7" s="150">
        <v>5</v>
      </c>
      <c r="FO7" s="136" t="str">
        <f>Character_Creation!P435</f>
        <v>a letter from a dead colleague posing a question you have not yet been able to answe</v>
      </c>
      <c r="FP7" s="151">
        <f>IF(OR(FO7="",FO7=0),0,1+COUNTIF(FP$3:$FP6,"&gt;0")+$FL$24)</f>
        <v>13</v>
      </c>
      <c r="FQ7" s="136"/>
      <c r="FR7" s="4" t="s">
        <v>2946</v>
      </c>
      <c r="FS7" s="4" t="str">
        <f>Character_Creation!J440</f>
        <v/>
      </c>
      <c r="FT7" s="4">
        <f t="shared" si="0"/>
        <v>0</v>
      </c>
      <c r="FU7" s="4">
        <f>IF(OR(FT7="",FT7=0),0,1+COUNTIF(FU$3:$FU6,"&gt;0")+$FP$11)</f>
        <v>0</v>
      </c>
      <c r="FV7">
        <v>1</v>
      </c>
      <c r="FY7" s="137" t="s">
        <v>2964</v>
      </c>
    </row>
    <row r="8" spans="1:181" ht="16.5" x14ac:dyDescent="0.3">
      <c r="A8" s="132">
        <f>IFERROR(IF(A7+1&lt;MAX(T041_ClassFeatures!$A$2:$A$2033),A7+1,""),"")</f>
        <v>5</v>
      </c>
      <c r="B8" s="131" t="str">
        <f>IFERROR(INDEX(T041_ClassFeatures!$B$2:$B$2033,MATCH('C03_ClassVariables'!A8,T041_ClassFeatures!$A$2:$A$2033,0),1),"")</f>
        <v>Arcane Tradition Feature2-1</v>
      </c>
      <c r="C8" s="131">
        <f>IF(B8="",0,IF(IFERROR(MATCH(B8,'C01_BaseCalculation'!$W$160:$W$239,0),0)&gt;0,1,0))</f>
        <v>0</v>
      </c>
      <c r="D8" s="131"/>
      <c r="E8" s="158">
        <f>Character_Creation!AC52</f>
        <v>10</v>
      </c>
      <c r="F8" s="159">
        <f t="shared" si="1"/>
        <v>0</v>
      </c>
      <c r="G8" s="158">
        <v>11</v>
      </c>
      <c r="H8" s="159">
        <f t="shared" si="2"/>
        <v>0</v>
      </c>
      <c r="I8" s="493">
        <f t="shared" si="3"/>
        <v>10.000080000000001</v>
      </c>
      <c r="J8" s="159">
        <f t="shared" si="4"/>
        <v>0</v>
      </c>
      <c r="L8" s="308" t="s">
        <v>3557</v>
      </c>
      <c r="M8" s="309" t="str">
        <f>Multiclass4</f>
        <v/>
      </c>
      <c r="N8" s="309" t="str">
        <f t="shared" si="5"/>
        <v/>
      </c>
      <c r="O8" s="309">
        <f>Archetype5</f>
        <v>0</v>
      </c>
      <c r="P8" s="309" t="str">
        <f>IFERROR(INDEX(T04_Classes!$DB$3:$DB$102,MATCH('C03_ClassVariables'!$M8,T04_Classes!$B$3:$B$102,0),1),"")</f>
        <v/>
      </c>
      <c r="Q8" s="309" t="str">
        <f>Character_Creation!P74</f>
        <v/>
      </c>
      <c r="R8" s="310">
        <f t="shared" si="6"/>
        <v>0</v>
      </c>
      <c r="U8" s="316" t="s">
        <v>2243</v>
      </c>
      <c r="V8" s="317" t="str">
        <f t="shared" si="7"/>
        <v>Eldritch Knight</v>
      </c>
      <c r="W8" s="317" t="s">
        <v>619</v>
      </c>
      <c r="X8" s="317">
        <f>COUNTIF(Character_Creation!$R$62:$R$81,W8)</f>
        <v>12</v>
      </c>
      <c r="Y8" s="317">
        <f t="shared" si="8"/>
        <v>1</v>
      </c>
      <c r="Z8" s="317">
        <f t="shared" si="9"/>
        <v>0</v>
      </c>
      <c r="AA8" s="321" t="s">
        <v>1109</v>
      </c>
      <c r="AB8" s="270" t="s">
        <v>3351</v>
      </c>
      <c r="AC8" s="270">
        <f t="shared" si="10"/>
        <v>0</v>
      </c>
      <c r="AD8" s="271">
        <f>IFERROR(INDEX(T042_Leveling!$Y$4:$BH$23,MATCH('C03_ClassVariables'!$AC8,T042_Leveling!$A$4:$A$23,0),MATCH('C03_ClassVariables'!$AB8,T042_Leveling!$Y$3:$BH$3,0)),0)</f>
        <v>0</v>
      </c>
      <c r="AF8" s="284" t="s">
        <v>3564</v>
      </c>
      <c r="AG8" s="284">
        <f>IF(IFERROR(MATCH("Knowledge Domain",$O$4:$O$9,0),0)&gt;0,1,0)</f>
        <v>0</v>
      </c>
      <c r="AH8" s="284"/>
      <c r="AK8" t="s">
        <v>4540</v>
      </c>
      <c r="AL8">
        <f>IFERROR(INDEX(T042_Leveling!$E$4:$M$23,MATCH('C03_ClassVariables'!$AL$4,T042_Leveling!$A$4:$A$23,0),3),"")</f>
        <v>3</v>
      </c>
      <c r="AO8" t="s">
        <v>6854</v>
      </c>
      <c r="DZ8" s="138"/>
      <c r="EB8" t="s">
        <v>2942</v>
      </c>
      <c r="EC8" s="582">
        <f>COUNTIF(ED8:FG8,"&lt;&gt;0")-COUNTIF(ED8:FG8,"")</f>
        <v>19</v>
      </c>
      <c r="ED8" s="582" t="str">
        <f>IFERROR(INDEX(T04_Classes!$AG$3:$AZ$102,SelectedClassID,ED$3),"")</f>
        <v>Battleaxe</v>
      </c>
      <c r="EE8" s="582" t="str">
        <f>IFERROR(INDEX(T04_Classes!$AG$3:$AZ$102,SelectedClassID,EE$3),"")</f>
        <v>Flail</v>
      </c>
      <c r="EF8" s="582" t="str">
        <f>IFERROR(INDEX(T04_Classes!$AG$3:$AZ$102,SelectedClassID,EF$3),"")</f>
        <v>Glaive</v>
      </c>
      <c r="EG8" s="582" t="str">
        <f>IFERROR(INDEX(T04_Classes!$AG$3:$AZ$102,SelectedClassID,EG$3),"")</f>
        <v>Greataxe</v>
      </c>
      <c r="EH8" s="582" t="str">
        <f>IFERROR(INDEX(T04_Classes!$AG$3:$AZ$102,SelectedClassID,EH$3),"")</f>
        <v>Greatsword</v>
      </c>
      <c r="EI8" s="582" t="str">
        <f>IFERROR(INDEX(T04_Classes!$AG$3:$AZ$102,SelectedClassID,EI$3),"")</f>
        <v>Halberd</v>
      </c>
      <c r="EJ8" s="582" t="str">
        <f>IFERROR(INDEX(T04_Classes!$AG$3:$AZ$102,SelectedClassID,EJ$3),"")</f>
        <v>Lance</v>
      </c>
      <c r="EK8" s="582" t="str">
        <f>IFERROR(INDEX(T04_Classes!$AG$3:$AZ$102,SelectedClassID,EK$3),"")</f>
        <v>Longsword</v>
      </c>
      <c r="EL8" s="582" t="str">
        <f>IFERROR(INDEX(T04_Classes!$AG$3:$AZ$102,SelectedClassID,EL$3),"")</f>
        <v>Maul</v>
      </c>
      <c r="EM8" s="582" t="str">
        <f>IFERROR(INDEX(T04_Classes!$AG$3:$AZ$102,SelectedClassID,EM$3),"")</f>
        <v>Morningstar</v>
      </c>
      <c r="EN8" s="582" t="str">
        <f>IFERROR(INDEX(T04_Classes!$AG$3:$AZ$102,SelectedClassID,EN$3),"")</f>
        <v>Net</v>
      </c>
      <c r="EO8" s="582" t="str">
        <f>IFERROR(INDEX(T04_Classes!$AG$3:$AZ$102,SelectedClassID,EO$3),"")</f>
        <v>Pike</v>
      </c>
      <c r="EP8" s="582" t="str">
        <f>IFERROR(INDEX(T04_Classes!$AG$3:$AZ$102,SelectedClassID,EP$3),"")</f>
        <v>Rapier</v>
      </c>
      <c r="EQ8" s="582" t="str">
        <f>IFERROR(INDEX(T04_Classes!$AG$3:$AZ$102,SelectedClassID,EQ$3),"")</f>
        <v>Scimitar</v>
      </c>
      <c r="ER8" s="582" t="str">
        <f>IFERROR(INDEX(T04_Classes!$AG$3:$AZ$102,SelectedClassID,ER$3),"")</f>
        <v>Shortsword</v>
      </c>
      <c r="ES8" s="582" t="str">
        <f>IFERROR(INDEX(T04_Classes!$AG$3:$AZ$102,SelectedClassID,ES$3),"")</f>
        <v>Trident</v>
      </c>
      <c r="ET8" s="582" t="str">
        <f>IFERROR(INDEX(T04_Classes!$AG$3:$AZ$102,SelectedClassID,ET$3),"")</f>
        <v>War Pick</v>
      </c>
      <c r="EU8" s="582" t="str">
        <f>IFERROR(INDEX(T04_Classes!$AG$3:$AZ$102,SelectedClassID,EU$3),"")</f>
        <v>Warhammer</v>
      </c>
      <c r="EV8" s="582" t="str">
        <f>IFERROR(INDEX(T04_Classes!$AG$3:$AZ$102,SelectedClassID,EV$3),"")</f>
        <v>Whip</v>
      </c>
      <c r="EW8" s="582">
        <f>IFERROR(INDEX(T04_Classes!$AG$3:$AZ$102,SelectedClassID,EW$3),"")</f>
        <v>0</v>
      </c>
      <c r="EX8" s="582" t="str">
        <f>IFERROR(INDEX(T04_Classes!$AG$3:$AZ$102,SelectedClassID,EX$3),"")</f>
        <v/>
      </c>
      <c r="EY8" s="582" t="str">
        <f>IFERROR(INDEX(T04_Classes!$AG$3:$AZ$102,SelectedClassID,EY$3),"")</f>
        <v/>
      </c>
      <c r="EZ8" s="582" t="str">
        <f>IFERROR(INDEX(T04_Classes!$AG$3:$AZ$102,SelectedClassID,EZ$3),"")</f>
        <v/>
      </c>
      <c r="FA8" s="582" t="str">
        <f>IFERROR(INDEX(T04_Classes!$AG$3:$AZ$102,SelectedClassID,FA$3),"")</f>
        <v/>
      </c>
      <c r="FB8" s="582" t="str">
        <f>IFERROR(INDEX(T04_Classes!$AG$3:$AZ$102,SelectedClassID,FB$3),"")</f>
        <v/>
      </c>
      <c r="FC8" s="582" t="str">
        <f>IFERROR(INDEX(T04_Classes!$AG$3:$AZ$102,SelectedClassID,FC$3),"")</f>
        <v/>
      </c>
      <c r="FD8" s="582" t="str">
        <f>IFERROR(INDEX(T04_Classes!$AG$3:$AZ$102,SelectedClassID,FD$3),"")</f>
        <v/>
      </c>
      <c r="FE8" s="582" t="str">
        <f>IFERROR(INDEX(T04_Classes!$AG$3:$AZ$102,SelectedClassID,FE$3),"")</f>
        <v/>
      </c>
      <c r="FF8" s="582" t="str">
        <f>IFERROR(INDEX(T04_Classes!$AG$3:$AZ$102,SelectedClassID,FF$3),"")</f>
        <v/>
      </c>
      <c r="FG8" s="582" t="str">
        <f>IFERROR(INDEX(T04_Classes!$AG$3:$AZ$102,SelectedClassID,FG$3),"")</f>
        <v/>
      </c>
      <c r="FI8" s="150">
        <v>6</v>
      </c>
      <c r="FJ8" s="136" t="str">
        <f>Character_Creation!B437</f>
        <v>day ration</v>
      </c>
      <c r="FK8" s="136">
        <f>Character_Creation!F437</f>
        <v>10</v>
      </c>
      <c r="FL8" s="151">
        <f>IF(OR(FJ8="",FJ8=0),0,1+MAX(FL$3:$FL7))</f>
        <v>6</v>
      </c>
      <c r="FN8" s="150">
        <v>6</v>
      </c>
      <c r="FO8" s="136" t="str">
        <f>Character_Creation!P436</f>
        <v>belt pouch</v>
      </c>
      <c r="FP8" s="151">
        <f>IF(OR(FO8="",FO8=0),0,1+COUNTIF(FP$3:$FP7,"&gt;0")+$FL$24)</f>
        <v>14</v>
      </c>
      <c r="FQ8" s="136"/>
      <c r="FR8" s="4" t="s">
        <v>2947</v>
      </c>
      <c r="FS8" s="4"/>
      <c r="FT8" s="4">
        <f t="shared" si="0"/>
        <v>0</v>
      </c>
      <c r="FU8" s="4">
        <f>IF(OR(FT8="",FT8=0),0,1+COUNTIF(FU$3:$FU7,"&gt;0")+$FP$11)</f>
        <v>0</v>
      </c>
      <c r="FV8">
        <v>1</v>
      </c>
      <c r="FY8" s="137" t="s">
        <v>2965</v>
      </c>
    </row>
    <row r="9" spans="1:181" ht="17.25" thickBot="1" x14ac:dyDescent="0.35">
      <c r="A9" s="132">
        <f>IFERROR(IF(A8+1&lt;MAX(T041_ClassFeatures!$A$2:$A$2033),A8+1,""),"")</f>
        <v>6</v>
      </c>
      <c r="B9" s="131" t="str">
        <f>IFERROR(INDEX(T041_ClassFeatures!$B$2:$B$2033,MATCH('C03_ClassVariables'!A9,T041_ClassFeatures!$A$2:$A$2033,0),1),"")</f>
        <v>Arcane Tradition Feature2-2</v>
      </c>
      <c r="C9" s="131">
        <f>IF(B9="",0,IF(IFERROR(MATCH(B9,'C01_BaseCalculation'!$W$160:$W$239,0),0)&gt;0,1,0))</f>
        <v>0</v>
      </c>
      <c r="D9" s="131"/>
      <c r="E9" s="160">
        <f>Character_Creation!AC54</f>
        <v>11</v>
      </c>
      <c r="F9" s="161">
        <f t="shared" si="1"/>
        <v>0</v>
      </c>
      <c r="G9" s="160">
        <v>8</v>
      </c>
      <c r="H9" s="161">
        <f t="shared" si="2"/>
        <v>-1</v>
      </c>
      <c r="I9" s="494">
        <f t="shared" si="3"/>
        <v>11.00009</v>
      </c>
      <c r="J9" s="161">
        <f t="shared" si="4"/>
        <v>0</v>
      </c>
      <c r="L9" s="311" t="s">
        <v>3558</v>
      </c>
      <c r="M9" s="312" t="str">
        <f>Multiclass5</f>
        <v/>
      </c>
      <c r="N9" s="312" t="str">
        <f t="shared" si="5"/>
        <v/>
      </c>
      <c r="O9" s="312">
        <f>Archetype6</f>
        <v>0</v>
      </c>
      <c r="P9" s="312" t="str">
        <f>IFERROR(INDEX(T04_Classes!$DB$3:$DB$102,MATCH('C03_ClassVariables'!$M9,T04_Classes!$B$3:$B$102,0),1),"")</f>
        <v/>
      </c>
      <c r="Q9" s="312" t="str">
        <f>Character_Creation!P77</f>
        <v/>
      </c>
      <c r="R9" s="313">
        <f t="shared" si="6"/>
        <v>0</v>
      </c>
      <c r="U9" s="316" t="s">
        <v>3055</v>
      </c>
      <c r="V9" s="317">
        <f t="shared" si="7"/>
        <v>0</v>
      </c>
      <c r="W9" s="317" t="s">
        <v>620</v>
      </c>
      <c r="X9" s="317">
        <f>COUNTIF(Character_Creation!$R$62:$R$81,W9)</f>
        <v>0</v>
      </c>
      <c r="Y9" s="317">
        <f t="shared" si="8"/>
        <v>0</v>
      </c>
      <c r="Z9" s="317">
        <f t="shared" si="9"/>
        <v>0</v>
      </c>
      <c r="AA9" s="321" t="s">
        <v>617</v>
      </c>
      <c r="AB9" s="270" t="s">
        <v>3352</v>
      </c>
      <c r="AC9" s="270">
        <f t="shared" si="10"/>
        <v>0</v>
      </c>
      <c r="AD9" s="271">
        <f>IFERROR(INDEX(T042_Leveling!$Y$4:$BH$23,MATCH('C03_ClassVariables'!$AC9,T042_Leveling!$A$4:$A$23,0),MATCH('C03_ClassVariables'!$AB9,T042_Leveling!$Y$3:$BH$3,0)),0)</f>
        <v>0</v>
      </c>
      <c r="AF9" s="284" t="s">
        <v>3565</v>
      </c>
      <c r="AG9" s="284">
        <f>IF(IFERROR(MATCH("College of Lore",O4:O9,0),0)&gt;0,1,0)</f>
        <v>0</v>
      </c>
      <c r="AH9" s="284"/>
      <c r="AK9" t="s">
        <v>4541</v>
      </c>
      <c r="AL9">
        <f>IFERROR(INDEX(T042_Leveling!$E$4:$M$23,MATCH('C03_ClassVariables'!$AL$4,T042_Leveling!$A$4:$A$23,0),4),"")</f>
        <v>3</v>
      </c>
      <c r="AO9" t="s">
        <v>6855</v>
      </c>
      <c r="DZ9" s="138"/>
      <c r="EB9" t="s">
        <v>2943</v>
      </c>
      <c r="EC9" s="582">
        <f>COUNTIF(ED9:FG9,"&lt;&gt;0")-COUNTIF(ED9:FG9,"")</f>
        <v>13</v>
      </c>
      <c r="ED9" s="582" t="str">
        <f>IFERROR(INDEX(T04_Classes!$BA$3:$BT$102,SelectedClassID,ED$3),"")</f>
        <v>Dagger</v>
      </c>
      <c r="EE9" s="582" t="str">
        <f>IFERROR(INDEX(T04_Classes!$BA$3:$BT$102,SelectedClassID,EE$3),"")</f>
        <v>Dart</v>
      </c>
      <c r="EF9" s="582" t="str">
        <f>IFERROR(INDEX(T04_Classes!$BA$3:$BT$102,SelectedClassID,EF$3),"")</f>
        <v>Great Club</v>
      </c>
      <c r="EG9" s="582" t="str">
        <f>IFERROR(INDEX(T04_Classes!$BA$3:$BT$102,SelectedClassID,EG$3),"")</f>
        <v>Handaxe</v>
      </c>
      <c r="EH9" s="582" t="str">
        <f>IFERROR(INDEX(T04_Classes!$BA$3:$BT$102,SelectedClassID,EH$3),"")</f>
        <v>Javelin</v>
      </c>
      <c r="EI9" s="582" t="str">
        <f>IFERROR(INDEX(T04_Classes!$BA$3:$BT$102,SelectedClassID,EI$3),"")</f>
        <v>Light Crossbow</v>
      </c>
      <c r="EJ9" s="582" t="str">
        <f>IFERROR(INDEX(T04_Classes!$BA$3:$BT$102,SelectedClassID,EJ$3),"")</f>
        <v>Light Hammer</v>
      </c>
      <c r="EK9" s="582" t="str">
        <f>IFERROR(INDEX(T04_Classes!$BA$3:$BT$102,SelectedClassID,EK$3),"")</f>
        <v>Mace</v>
      </c>
      <c r="EL9" s="582" t="str">
        <f>IFERROR(INDEX(T04_Classes!$BA$3:$BT$102,SelectedClassID,EL$3),"")</f>
        <v>Quarterstaff</v>
      </c>
      <c r="EM9" s="582" t="str">
        <f>IFERROR(INDEX(T04_Classes!$BA$3:$BT$102,SelectedClassID,EM$3),"")</f>
        <v>Shortbow</v>
      </c>
      <c r="EN9" s="582" t="str">
        <f>IFERROR(INDEX(T04_Classes!$BA$3:$BT$102,SelectedClassID,EN$3),"")</f>
        <v>Sickle</v>
      </c>
      <c r="EO9" s="582" t="str">
        <f>IFERROR(INDEX(T04_Classes!$BA$3:$BT$102,SelectedClassID,EO$3),"")</f>
        <v>Sling</v>
      </c>
      <c r="EP9" s="582" t="str">
        <f>IFERROR(INDEX(T04_Classes!$BA$3:$BT$102,SelectedClassID,EP$3),"")</f>
        <v>Spear</v>
      </c>
      <c r="EQ9" s="582">
        <f>IFERROR(INDEX(T04_Classes!$BA$3:$BT$102,SelectedClassID,EQ$3),"")</f>
        <v>0</v>
      </c>
      <c r="ER9" s="582">
        <f>IFERROR(INDEX(T04_Classes!$BA$3:$BT$102,SelectedClassID,ER$3),"")</f>
        <v>0</v>
      </c>
      <c r="ES9" s="582">
        <f>IFERROR(INDEX(T04_Classes!$BA$3:$BT$102,SelectedClassID,ES$3),"")</f>
        <v>0</v>
      </c>
      <c r="ET9" s="582">
        <f>IFERROR(INDEX(T04_Classes!$BA$3:$BT$102,SelectedClassID,ET$3),"")</f>
        <v>0</v>
      </c>
      <c r="EU9" s="582">
        <f>IFERROR(INDEX(T04_Classes!$BA$3:$BT$102,SelectedClassID,EU$3),"")</f>
        <v>0</v>
      </c>
      <c r="EV9" s="582">
        <f>IFERROR(INDEX(T04_Classes!$BA$3:$BT$102,SelectedClassID,EV$3),"")</f>
        <v>0</v>
      </c>
      <c r="EW9" s="582">
        <f>IFERROR(INDEX(T04_Classes!$BA$3:$BT$102,SelectedClassID,EW$3),"")</f>
        <v>0</v>
      </c>
      <c r="EX9" s="582" t="str">
        <f>IFERROR(INDEX(T04_Classes!$BA$3:$BT$102,SelectedClassID,EX$3),"")</f>
        <v/>
      </c>
      <c r="EY9" s="582" t="str">
        <f>IFERROR(INDEX(T04_Classes!$BA$3:$BT$102,SelectedClassID,EY$3),"")</f>
        <v/>
      </c>
      <c r="EZ9" s="582" t="str">
        <f>IFERROR(INDEX(T04_Classes!$BA$3:$BT$102,SelectedClassID,EZ$3),"")</f>
        <v/>
      </c>
      <c r="FA9" s="582" t="str">
        <f>IFERROR(INDEX(T04_Classes!$BA$3:$BT$102,SelectedClassID,FA$3),"")</f>
        <v/>
      </c>
      <c r="FB9" s="582" t="str">
        <f>IFERROR(INDEX(T04_Classes!$BA$3:$BT$102,SelectedClassID,FB$3),"")</f>
        <v/>
      </c>
      <c r="FC9" s="582" t="str">
        <f>IFERROR(INDEX(T04_Classes!$BA$3:$BT$102,SelectedClassID,FC$3),"")</f>
        <v/>
      </c>
      <c r="FD9" s="582" t="str">
        <f>IFERROR(INDEX(T04_Classes!$BA$3:$BT$102,SelectedClassID,FD$3),"")</f>
        <v/>
      </c>
      <c r="FE9" s="582" t="str">
        <f>IFERROR(INDEX(T04_Classes!$BA$3:$BT$102,SelectedClassID,FE$3),"")</f>
        <v/>
      </c>
      <c r="FF9" s="582" t="str">
        <f>IFERROR(INDEX(T04_Classes!$BA$3:$BT$102,SelectedClassID,FF$3),"")</f>
        <v/>
      </c>
      <c r="FG9" s="582" t="str">
        <f>IFERROR(INDEX(T04_Classes!$BA$3:$BT$102,SelectedClassID,FG$3),"")</f>
        <v/>
      </c>
      <c r="FI9" s="150">
        <v>7</v>
      </c>
      <c r="FJ9" s="136" t="str">
        <f>Character_Creation!B438</f>
        <v>waterskin</v>
      </c>
      <c r="FK9" s="136">
        <f>Character_Creation!F438</f>
        <v>1</v>
      </c>
      <c r="FL9" s="151">
        <f>IF(OR(FJ9="",FJ9=0),0,1+MAX(FL$3:$FL8))</f>
        <v>7</v>
      </c>
      <c r="FN9" s="152">
        <v>7</v>
      </c>
      <c r="FO9" s="153" t="str">
        <f>Character_Creation!P437</f>
        <v/>
      </c>
      <c r="FP9" s="154">
        <f>IF(OR(FO9="",FO9=0),0,1+COUNTIF(FP$3:$FP8,"&gt;0")+$FL$24)</f>
        <v>0</v>
      </c>
      <c r="FQ9" s="136"/>
      <c r="FR9" s="4"/>
      <c r="FS9" s="4"/>
      <c r="FT9" s="4"/>
      <c r="FU9" s="4"/>
      <c r="FV9">
        <v>1</v>
      </c>
      <c r="FY9" s="137" t="s">
        <v>2841</v>
      </c>
    </row>
    <row r="10" spans="1:181" ht="17.25" thickBot="1" x14ac:dyDescent="0.35">
      <c r="A10" s="132">
        <f>IFERROR(IF(A9+1&lt;MAX(T041_ClassFeatures!$A$2:$A$2033),A9+1,""),"")</f>
        <v>7</v>
      </c>
      <c r="B10" s="131" t="str">
        <f>IFERROR(INDEX(T041_ClassFeatures!$B$2:$B$2033,MATCH('C03_ClassVariables'!A10,T041_ClassFeatures!$A$2:$A$2033,0),1),"")</f>
        <v>Arcane Tradition Feature6</v>
      </c>
      <c r="C10" s="131">
        <f>IF(B10="",0,IF(IFERROR(MATCH(B10,'C01_BaseCalculation'!$W$160:$W$239,0),0)&gt;0,1,0))</f>
        <v>0</v>
      </c>
      <c r="D10" s="131"/>
      <c r="E10" s="162">
        <f t="shared" ref="E10:J10" si="11">SUM(E4:E9)</f>
        <v>76</v>
      </c>
      <c r="F10" s="163">
        <f t="shared" si="11"/>
        <v>7</v>
      </c>
      <c r="G10" s="162">
        <f t="shared" si="11"/>
        <v>73</v>
      </c>
      <c r="H10" s="163">
        <f t="shared" si="11"/>
        <v>5</v>
      </c>
      <c r="I10" s="495">
        <f t="shared" si="11"/>
        <v>76.000389999999996</v>
      </c>
      <c r="J10" s="163">
        <f t="shared" si="11"/>
        <v>7</v>
      </c>
      <c r="U10" s="316" t="s">
        <v>3049</v>
      </c>
      <c r="V10" s="317">
        <f t="shared" si="7"/>
        <v>0</v>
      </c>
      <c r="W10" s="317" t="s">
        <v>1110</v>
      </c>
      <c r="X10" s="317">
        <f>COUNTIF(Character_Creation!$R$62:$R$81,W10)</f>
        <v>0</v>
      </c>
      <c r="Y10" s="317">
        <f t="shared" si="8"/>
        <v>0</v>
      </c>
      <c r="Z10" s="317">
        <f t="shared" si="9"/>
        <v>0</v>
      </c>
      <c r="AA10" s="321" t="s">
        <v>617</v>
      </c>
      <c r="AB10" s="270" t="s">
        <v>3353</v>
      </c>
      <c r="AC10" s="270">
        <f t="shared" si="10"/>
        <v>0</v>
      </c>
      <c r="AD10" s="271">
        <f>IFERROR(INDEX(T042_Leveling!$Y$4:$BH$23,MATCH('C03_ClassVariables'!$AC10,T042_Leveling!$A$4:$A$23,0),MATCH('C03_ClassVariables'!$AB10,T042_Leveling!$Y$3:$BH$3,0)),0)</f>
        <v>0</v>
      </c>
      <c r="AF10" s="284" t="s">
        <v>3582</v>
      </c>
      <c r="AG10" s="284">
        <f>IF(W38*1&gt;=15,9,IF(W38*1&gt;=10,7,IF(W38*1&gt;=7,5,IF(W38*1&gt;=3,3,0))))+FeatMartialAdept*2</f>
        <v>0</v>
      </c>
      <c r="AH10" s="284"/>
      <c r="AK10" t="s">
        <v>4542</v>
      </c>
      <c r="AL10">
        <f>IFERROR(INDEX(T042_Leveling!$E$4:$M$23,MATCH('C03_ClassVariables'!$AL$4,T042_Leveling!$A$4:$A$23,0),5),"")</f>
        <v>2</v>
      </c>
      <c r="AO10" t="s">
        <v>6856</v>
      </c>
      <c r="DZ10" s="138"/>
      <c r="EB10" t="s">
        <v>2944</v>
      </c>
      <c r="FI10" s="150">
        <v>8</v>
      </c>
      <c r="FJ10" s="136" t="str">
        <f>Character_Creation!B439</f>
        <v>hempen rope 50 ft</v>
      </c>
      <c r="FK10" s="136">
        <f>Character_Creation!F439</f>
        <v>1</v>
      </c>
      <c r="FL10" s="151">
        <f>IF(OR(FJ10="",FJ10=0),0,1+MAX(FL$3:$FL9))</f>
        <v>8</v>
      </c>
      <c r="FR10" s="4" t="s">
        <v>89</v>
      </c>
      <c r="FS10" s="4" t="str">
        <f>Character_Creation!J429</f>
        <v>n/a</v>
      </c>
      <c r="FT10" s="4">
        <f>IF(OR(FS10="",FS10=0),0,1)</f>
        <v>1</v>
      </c>
      <c r="FU10" s="4">
        <f>IF(OR(FT10="",FT10=0),0,1+COUNTIF(FU$3:$FU9,"&gt;0")+$FP$11)</f>
        <v>17</v>
      </c>
      <c r="FV10">
        <v>1</v>
      </c>
      <c r="FY10" s="137" t="s">
        <v>188</v>
      </c>
    </row>
    <row r="11" spans="1:181" ht="17.25" thickBot="1" x14ac:dyDescent="0.35">
      <c r="A11" s="132">
        <f>IFERROR(IF(A10+1&lt;MAX(T041_ClassFeatures!$A$2:$A$2033),A10+1,""),"")</f>
        <v>8</v>
      </c>
      <c r="B11" s="131" t="str">
        <f>IFERROR(INDEX(T041_ClassFeatures!$B$2:$B$2033,MATCH('C03_ClassVariables'!A11,T041_ClassFeatures!$A$2:$A$2033,0),1),"")</f>
        <v>Arcane Tradition Feature10</v>
      </c>
      <c r="C11" s="131">
        <f>IF(B11="",0,IF(IFERROR(MATCH(B11,'C01_BaseCalculation'!$W$160:$W$239,0),0)&gt;0,1,0))</f>
        <v>0</v>
      </c>
      <c r="D11" s="131"/>
      <c r="E11" s="371" t="s">
        <v>6211</v>
      </c>
      <c r="F11" s="372" t="s">
        <v>6212</v>
      </c>
      <c r="G11" s="372" t="s">
        <v>6210</v>
      </c>
      <c r="H11" s="372"/>
      <c r="I11" s="372"/>
      <c r="J11" s="496"/>
      <c r="U11" s="316" t="s">
        <v>2246</v>
      </c>
      <c r="V11" s="317">
        <f t="shared" si="7"/>
        <v>0</v>
      </c>
      <c r="W11" s="317" t="s">
        <v>621</v>
      </c>
      <c r="X11" s="317">
        <f>COUNTIF(Character_Creation!$R$62:$R$81,W11)</f>
        <v>0</v>
      </c>
      <c r="Y11" s="317">
        <f t="shared" si="8"/>
        <v>0</v>
      </c>
      <c r="Z11" s="317">
        <f t="shared" si="9"/>
        <v>0</v>
      </c>
      <c r="AA11" s="321" t="s">
        <v>618</v>
      </c>
      <c r="AB11" s="270" t="s">
        <v>3354</v>
      </c>
      <c r="AC11" s="270">
        <f t="shared" si="10"/>
        <v>0</v>
      </c>
      <c r="AD11" s="271">
        <f>IFERROR(INDEX(T042_Leveling!$Y$4:$BH$23,MATCH('C03_ClassVariables'!$AC11,T042_Leveling!$A$4:$A$23,0),MATCH('C03_ClassVariables'!$AB11,T042_Leveling!$Y$3:$BH$3,0)),0)</f>
        <v>0</v>
      </c>
      <c r="AF11" s="284" t="s">
        <v>3586</v>
      </c>
      <c r="AG11" s="284">
        <f>COUNTIF('C01_BaseCalculation'!X160:X239,"Fighting style")+COUNTIF('C01_BaseCalculation'!X160:X239,"Additional Fighting style")</f>
        <v>1</v>
      </c>
      <c r="AH11" s="284"/>
      <c r="AK11" t="s">
        <v>4543</v>
      </c>
      <c r="AL11">
        <f>IFERROR(INDEX(T042_Leveling!$E$4:$M$23,MATCH('C03_ClassVariables'!$AL$4,T042_Leveling!$A$4:$A$23,0),6),"")</f>
        <v>1</v>
      </c>
      <c r="DZ11" s="138"/>
      <c r="EB11" t="s">
        <v>2945</v>
      </c>
      <c r="FI11" s="150">
        <v>9</v>
      </c>
      <c r="FJ11" s="136" t="str">
        <f>Character_Creation!B440</f>
        <v/>
      </c>
      <c r="FK11" s="136" t="str">
        <f>Character_Creation!F440</f>
        <v/>
      </c>
      <c r="FL11" s="151">
        <f>IF(OR(FJ11="",FJ11=0),0,1+MAX(FL$3:$FL10))</f>
        <v>0</v>
      </c>
      <c r="FP11">
        <f>MAX(FP3:FP9)</f>
        <v>14</v>
      </c>
      <c r="FR11" s="4"/>
      <c r="FS11" s="4"/>
      <c r="FT11" s="4"/>
      <c r="FU11" s="4"/>
      <c r="FV11">
        <v>1</v>
      </c>
      <c r="FY11" s="137" t="s">
        <v>458</v>
      </c>
    </row>
    <row r="12" spans="1:181" ht="16.5" x14ac:dyDescent="0.3">
      <c r="A12" s="132">
        <f>IFERROR(IF(A11+1&lt;MAX(T041_ClassFeatures!$A$2:$A$2033),A11+1,""),"")</f>
        <v>9</v>
      </c>
      <c r="B12" s="131" t="str">
        <f>IFERROR(INDEX(T041_ClassFeatures!$B$2:$B$2033,MATCH('C03_ClassVariables'!A12,T041_ClassFeatures!$A$2:$A$2033,0),1),"")</f>
        <v>Arcane Tradition Feature14</v>
      </c>
      <c r="C12" s="131">
        <f>IF(B12="",0,IF(IFERROR(MATCH(B12,'C01_BaseCalculation'!$W$160:$W$239,0),0)&gt;0,1,0))</f>
        <v>0</v>
      </c>
      <c r="D12" s="131"/>
      <c r="E12" s="371">
        <f>BaseStr</f>
        <v>14.00005</v>
      </c>
      <c r="F12" s="497">
        <f t="shared" ref="F12:F17" si="12">IF(IFERROR(IF(MATCH(I4,E$12:E$17,0)&gt;0,1,0),0)=0,I4,0)</f>
        <v>12.00004</v>
      </c>
      <c r="G12" s="497">
        <f>LARGE($F$12:$F$17,1)</f>
        <v>16.000050000000002</v>
      </c>
      <c r="H12" s="372"/>
      <c r="I12" s="372"/>
      <c r="J12" s="496"/>
      <c r="K12" s="297"/>
      <c r="L12" s="297" t="str">
        <f>L4</f>
        <v>Archetype1</v>
      </c>
      <c r="M12" s="297" t="str">
        <f>L5</f>
        <v>Archetype2</v>
      </c>
      <c r="N12" s="297" t="str">
        <f>L6</f>
        <v>Archetype3</v>
      </c>
      <c r="O12" s="297" t="str">
        <f>L7</f>
        <v>Archetype4</v>
      </c>
      <c r="P12" s="297" t="str">
        <f>L8</f>
        <v>Archetype5</v>
      </c>
      <c r="Q12" s="298" t="str">
        <f>L9</f>
        <v>Archetype6</v>
      </c>
      <c r="U12" s="316" t="s">
        <v>3057</v>
      </c>
      <c r="V12" s="317">
        <f t="shared" si="7"/>
        <v>0</v>
      </c>
      <c r="W12" s="317" t="s">
        <v>622</v>
      </c>
      <c r="X12" s="317">
        <f>COUNTIF(Character_Creation!$R$62:$R$81,W12)</f>
        <v>0</v>
      </c>
      <c r="Y12" s="317">
        <f t="shared" si="8"/>
        <v>0</v>
      </c>
      <c r="Z12" s="317">
        <f t="shared" si="9"/>
        <v>0</v>
      </c>
      <c r="AA12" s="321" t="s">
        <v>618</v>
      </c>
      <c r="AB12" s="270" t="s">
        <v>3355</v>
      </c>
      <c r="AC12" s="270">
        <f t="shared" si="10"/>
        <v>0</v>
      </c>
      <c r="AD12" s="271">
        <f>IFERROR(INDEX(T042_Leveling!$Y$4:$BH$23,MATCH('C03_ClassVariables'!$AC12,T042_Leveling!$A$4:$A$23,0),MATCH('C03_ClassVariables'!$AB12,T042_Leveling!$Y$3:$BH$3,0)),0)</f>
        <v>0</v>
      </c>
      <c r="AF12" s="284" t="s">
        <v>4686</v>
      </c>
      <c r="AG12" s="284">
        <f>IF(IFERROR(MATCH("Nature Domain",$O$4:$O$9,0),0)&gt;0,1,0)</f>
        <v>0</v>
      </c>
      <c r="AK12" t="s">
        <v>4544</v>
      </c>
      <c r="AL12">
        <f>IFERROR(INDEX(T042_Leveling!$E$4:$M$23,MATCH('C03_ClassVariables'!$AL$4,T042_Leveling!$A$4:$A$23,0),7),"")</f>
        <v>0</v>
      </c>
      <c r="DZ12" s="138"/>
      <c r="EB12" t="s">
        <v>2946</v>
      </c>
      <c r="FI12" s="150">
        <v>10</v>
      </c>
      <c r="FJ12" s="136" t="str">
        <f>Character_Creation!B441</f>
        <v/>
      </c>
      <c r="FK12" s="136" t="str">
        <f>Character_Creation!F441</f>
        <v/>
      </c>
      <c r="FL12" s="151">
        <f>IF(OR(FJ12="",FJ12=0),0,1+MAX(FL$3:$FL11))</f>
        <v>0</v>
      </c>
      <c r="FR12" s="4">
        <v>1</v>
      </c>
      <c r="FS12" s="4" t="str">
        <f>Character_Creation!I443</f>
        <v/>
      </c>
      <c r="FT12" s="4">
        <f>IF(OR(FS12="",FS12=0),0,1)</f>
        <v>0</v>
      </c>
      <c r="FU12" s="4">
        <f>IF(OR(FT12="",FT12=0),0,1+COUNTIF(FU$3:$FU11,"&gt;0")+$FP$11)</f>
        <v>0</v>
      </c>
      <c r="FV12">
        <v>1</v>
      </c>
      <c r="FY12" s="137" t="s">
        <v>202</v>
      </c>
    </row>
    <row r="13" spans="1:181" ht="16.5" x14ac:dyDescent="0.3">
      <c r="A13" s="132">
        <f>IFERROR(IF(A12+1&lt;MAX(T041_ClassFeatures!$A$2:$A$2033),A12+1,""),"")</f>
        <v>10</v>
      </c>
      <c r="B13" s="131" t="str">
        <f>IFERROR(INDEX(T041_ClassFeatures!$B$2:$B$2033,MATCH('C03_ClassVariables'!A13,T041_ClassFeatures!$A$2:$A$2033,0),1),"")</f>
        <v>Archdruid</v>
      </c>
      <c r="C13" s="131">
        <f>IF(B13="",0,IF(IFERROR(MATCH(B13,'C01_BaseCalculation'!$W$160:$W$239,0),0)&gt;0,1,0))</f>
        <v>0</v>
      </c>
      <c r="D13" s="131"/>
      <c r="E13" s="371">
        <f>BaseDex</f>
        <v>12.00006</v>
      </c>
      <c r="F13" s="497">
        <f t="shared" si="12"/>
        <v>16.000050000000002</v>
      </c>
      <c r="G13" s="497">
        <f>LARGE($F$12:$F$17,2)</f>
        <v>15.00006</v>
      </c>
      <c r="H13" s="372"/>
      <c r="I13" s="372"/>
      <c r="J13" s="496"/>
      <c r="K13" s="300"/>
      <c r="L13" s="300" t="str">
        <f>M4</f>
        <v>Fighter</v>
      </c>
      <c r="M13" s="300" t="str">
        <f>M5</f>
        <v>Wizard</v>
      </c>
      <c r="N13" s="300" t="str">
        <f>M6</f>
        <v/>
      </c>
      <c r="O13" s="300" t="str">
        <f>M7</f>
        <v/>
      </c>
      <c r="P13" s="300" t="str">
        <f>M8</f>
        <v/>
      </c>
      <c r="Q13" s="301" t="str">
        <f>M9</f>
        <v/>
      </c>
      <c r="U13" s="316" t="s">
        <v>2277</v>
      </c>
      <c r="V13" s="317">
        <f t="shared" si="7"/>
        <v>0</v>
      </c>
      <c r="W13" s="317" t="s">
        <v>623</v>
      </c>
      <c r="X13" s="317">
        <f>COUNTIF(Character_Creation!$R$62:$R$81,W13)</f>
        <v>0</v>
      </c>
      <c r="Y13" s="317">
        <f t="shared" si="8"/>
        <v>0</v>
      </c>
      <c r="Z13" s="317">
        <f t="shared" si="9"/>
        <v>0</v>
      </c>
      <c r="AA13" s="321" t="s">
        <v>618</v>
      </c>
      <c r="AB13" s="270" t="s">
        <v>3356</v>
      </c>
      <c r="AC13" s="270">
        <f t="shared" si="10"/>
        <v>0</v>
      </c>
      <c r="AD13" s="271">
        <f>IFERROR(INDEX(T042_Leveling!$Y$4:$BH$23,MATCH('C03_ClassVariables'!$AC13,T042_Leveling!$A$4:$A$23,0),MATCH('C03_ClassVariables'!$AB13,T042_Leveling!$Y$3:$BH$3,0)),0)</f>
        <v>0</v>
      </c>
      <c r="AF13" s="284" t="s">
        <v>5932</v>
      </c>
      <c r="AG13">
        <f>COUNTIF('C01_BaseCalculation'!$X$160:$X$239,"Thieves' Cant")</f>
        <v>0</v>
      </c>
      <c r="AK13" t="s">
        <v>4545</v>
      </c>
      <c r="AL13">
        <f>IFERROR(INDEX(T042_Leveling!$E$4:$M$23,MATCH('C03_ClassVariables'!$AL$4,T042_Leveling!$A$4:$A$23,0),8),"")</f>
        <v>0</v>
      </c>
      <c r="DZ13" s="138"/>
      <c r="FI13" s="150">
        <v>11</v>
      </c>
      <c r="FJ13" s="136" t="str">
        <f>Character_Creation!B442</f>
        <v/>
      </c>
      <c r="FK13" s="136" t="str">
        <f>Character_Creation!F442</f>
        <v/>
      </c>
      <c r="FL13" s="151">
        <f>IF(OR(FJ13="",FJ13=0),0,1+MAX(FL$3:$FL12))</f>
        <v>0</v>
      </c>
      <c r="FR13" s="4">
        <v>2</v>
      </c>
      <c r="FS13" s="4" t="str">
        <f>Character_Creation!I444</f>
        <v/>
      </c>
      <c r="FT13" s="4">
        <f>IF(OR(FS13="",FS13=0),0,1)</f>
        <v>0</v>
      </c>
      <c r="FU13" s="4">
        <f>IF(OR(FT13="",FT13=0),0,1+COUNTIF(FU$3:$FU12,"&gt;0")+$FP$11)</f>
        <v>0</v>
      </c>
      <c r="FV13">
        <v>1</v>
      </c>
      <c r="FY13" s="4" t="s">
        <v>180</v>
      </c>
    </row>
    <row r="14" spans="1:181" ht="16.5" x14ac:dyDescent="0.3">
      <c r="A14" s="132">
        <f>IFERROR(IF(A13+1&lt;MAX(T041_ClassFeatures!$A$2:$A$2033),A13+1,""),"")</f>
        <v>11</v>
      </c>
      <c r="B14" s="131" t="str">
        <f>IFERROR(INDEX(T041_ClassFeatures!$B$2:$B$2033,MATCH('C03_ClassVariables'!A14,T041_ClassFeatures!$A$2:$A$2033,0),1),"")</f>
        <v>Aura improvements</v>
      </c>
      <c r="C14" s="131">
        <f>IF(B14="",0,IF(IFERROR(MATCH(B14,'C01_BaseCalculation'!$W$160:$W$239,0),0)&gt;0,1,0))</f>
        <v>0</v>
      </c>
      <c r="D14" s="131"/>
      <c r="E14" s="371">
        <f>BaseCon</f>
        <v>12.000069999999999</v>
      </c>
      <c r="F14" s="497">
        <f t="shared" si="12"/>
        <v>15.00006</v>
      </c>
      <c r="G14" s="497">
        <f>LARGE($F$12:$F$17,3)</f>
        <v>12.00004</v>
      </c>
      <c r="H14" s="372"/>
      <c r="I14" s="372"/>
      <c r="J14" s="496"/>
      <c r="K14" s="300"/>
      <c r="L14" s="300" t="str">
        <f>N4</f>
        <v>Martial Archetype</v>
      </c>
      <c r="M14" s="300" t="str">
        <f>N5</f>
        <v>Arcane Tradition</v>
      </c>
      <c r="N14" s="300" t="str">
        <f>N6</f>
        <v/>
      </c>
      <c r="O14" s="300" t="str">
        <f>N7</f>
        <v/>
      </c>
      <c r="P14" s="300" t="str">
        <f>N8</f>
        <v/>
      </c>
      <c r="Q14" s="301" t="str">
        <f>N9</f>
        <v/>
      </c>
      <c r="U14" s="316" t="s">
        <v>2278</v>
      </c>
      <c r="V14" s="317">
        <f t="shared" si="7"/>
        <v>0</v>
      </c>
      <c r="W14" s="317" t="s">
        <v>624</v>
      </c>
      <c r="X14" s="317">
        <f>COUNTIF(Character_Creation!$R$62:$R$81,W14)</f>
        <v>0</v>
      </c>
      <c r="Y14" s="317">
        <f t="shared" si="8"/>
        <v>0</v>
      </c>
      <c r="Z14" s="317">
        <f t="shared" si="9"/>
        <v>0</v>
      </c>
      <c r="AA14" s="321" t="s">
        <v>619</v>
      </c>
      <c r="AB14" s="270" t="s">
        <v>3357</v>
      </c>
      <c r="AC14" s="270">
        <f t="shared" si="10"/>
        <v>12</v>
      </c>
      <c r="AD14" s="271">
        <f>IFERROR(INDEX(T042_Leveling!$Y$4:$BH$23,MATCH('C03_ClassVariables'!$AC14,T042_Leveling!$A$4:$A$23,0),MATCH('C03_ClassVariables'!$AB14,T042_Leveling!$Y$3:$BH$3,0)),0)</f>
        <v>3</v>
      </c>
      <c r="AF14" s="284" t="s">
        <v>5931</v>
      </c>
      <c r="AG14">
        <f>COUNTIF('C01_BaseCalculation'!$X$160:$X$239,"Druidic language")</f>
        <v>0</v>
      </c>
      <c r="AK14" t="s">
        <v>4546</v>
      </c>
      <c r="AL14">
        <f>IFERROR(INDEX(T042_Leveling!$E$4:$M$23,MATCH('C03_ClassVariables'!$AL$4,T042_Leveling!$A$4:$A$23,0),9),"")</f>
        <v>0</v>
      </c>
      <c r="DZ14" s="138"/>
      <c r="FI14" s="150">
        <v>12</v>
      </c>
      <c r="FJ14" s="136" t="str">
        <f>Character_Creation!B443</f>
        <v/>
      </c>
      <c r="FK14" s="136" t="str">
        <f>Character_Creation!F443</f>
        <v/>
      </c>
      <c r="FL14" s="151">
        <f>IF(OR(FJ14="",FJ14=0),0,1+MAX(FL$3:$FL13))</f>
        <v>0</v>
      </c>
      <c r="FR14" s="4">
        <v>3</v>
      </c>
      <c r="FS14" s="4" t="str">
        <f>Character_Creation!I445</f>
        <v/>
      </c>
      <c r="FT14" s="4">
        <f>IF(OR(FS14="",FS14=0),0,1)</f>
        <v>0</v>
      </c>
      <c r="FU14" s="4">
        <f>IF(OR(FT14="",FT14=0),0,1+COUNTIF(FU$3:$FU13,"&gt;0")+$FP$11)</f>
        <v>0</v>
      </c>
      <c r="FV14">
        <v>1</v>
      </c>
      <c r="FY14" s="4" t="s">
        <v>191</v>
      </c>
    </row>
    <row r="15" spans="1:181" ht="17.25" thickBot="1" x14ac:dyDescent="0.35">
      <c r="A15" s="132">
        <f>IFERROR(IF(A14+1&lt;MAX(T041_ClassFeatures!$A$2:$A$2033),A14+1,""),"")</f>
        <v>12</v>
      </c>
      <c r="B15" s="131" t="str">
        <f>IFERROR(INDEX(T041_ClassFeatures!$B$2:$B$2033,MATCH('C03_ClassVariables'!A15,T041_ClassFeatures!$A$2:$A$2033,0),1),"")</f>
        <v>Aura of Courage</v>
      </c>
      <c r="C15" s="131">
        <f>IF(B15="",0,IF(IFERROR(MATCH(B15,'C01_BaseCalculation'!$W$160:$W$239,0),0)&gt;0,1,0))</f>
        <v>0</v>
      </c>
      <c r="D15" s="131"/>
      <c r="E15" s="371">
        <f>BaseInt</f>
        <v>14.00006</v>
      </c>
      <c r="F15" s="497">
        <f t="shared" si="12"/>
        <v>0</v>
      </c>
      <c r="G15" s="497">
        <f>LARGE($F$12:$F$17,4)</f>
        <v>11.00009</v>
      </c>
      <c r="H15" s="372"/>
      <c r="I15" s="372"/>
      <c r="J15" s="496"/>
      <c r="K15" s="300"/>
      <c r="L15" s="300">
        <f t="shared" ref="L15:Q15" si="13">COUNTA(L16:L25)-COUNTBLANK(L16:L25)</f>
        <v>3</v>
      </c>
      <c r="M15" s="300">
        <f t="shared" si="13"/>
        <v>9</v>
      </c>
      <c r="N15" s="300">
        <f t="shared" si="13"/>
        <v>0</v>
      </c>
      <c r="O15" s="300">
        <f t="shared" si="13"/>
        <v>0</v>
      </c>
      <c r="P15" s="300">
        <f t="shared" si="13"/>
        <v>0</v>
      </c>
      <c r="Q15" s="301">
        <f t="shared" si="13"/>
        <v>0</v>
      </c>
      <c r="U15" s="318" t="s">
        <v>1118</v>
      </c>
      <c r="V15" s="319" t="str">
        <f>IFERROR(INDEX($O$4:$O$9,MATCH(U15,$N$4:$N$9,0),1),0)</f>
        <v>School of Conjuration</v>
      </c>
      <c r="W15" s="319" t="s">
        <v>625</v>
      </c>
      <c r="X15" s="319">
        <f>COUNTIF(Character_Creation!$R$62:$R$81,W15)</f>
        <v>8</v>
      </c>
      <c r="Y15" s="319">
        <f t="shared" si="8"/>
        <v>0</v>
      </c>
      <c r="Z15" s="319">
        <f t="shared" si="9"/>
        <v>1</v>
      </c>
      <c r="AA15" s="321" t="s">
        <v>619</v>
      </c>
      <c r="AB15" s="270" t="s">
        <v>3358</v>
      </c>
      <c r="AC15" s="270">
        <f t="shared" si="10"/>
        <v>12</v>
      </c>
      <c r="AD15" s="271">
        <f>IFERROR(INDEX(T042_Leveling!$Y$4:$BH$23,MATCH('C03_ClassVariables'!$AC15,T042_Leveling!$A$4:$A$23,0),MATCH('C03_ClassVariables'!$AB15,T042_Leveling!$Y$3:$BH$3,0)),0)</f>
        <v>8</v>
      </c>
      <c r="AF15" s="284" t="s">
        <v>5992</v>
      </c>
      <c r="AG15">
        <v>1</v>
      </c>
      <c r="DZ15" s="138"/>
      <c r="FI15" s="150">
        <v>13</v>
      </c>
      <c r="FJ15" s="136" t="str">
        <f>Character_Creation!B444</f>
        <v/>
      </c>
      <c r="FK15" s="136" t="str">
        <f>Character_Creation!F444</f>
        <v/>
      </c>
      <c r="FL15" s="151">
        <f>IF(OR(FJ15="",FJ15=0),0,1+MAX(FL$3:$FL14))</f>
        <v>0</v>
      </c>
      <c r="FR15" s="4"/>
      <c r="FS15" s="4"/>
      <c r="FT15" s="4"/>
      <c r="FU15" s="4"/>
      <c r="FV15">
        <v>1</v>
      </c>
      <c r="FY15" s="4" t="s">
        <v>194</v>
      </c>
    </row>
    <row r="16" spans="1:181" ht="17.25" thickBot="1" x14ac:dyDescent="0.35">
      <c r="A16" s="132">
        <f>IFERROR(IF(A15+1&lt;MAX(T041_ClassFeatures!$A$2:$A$2033),A15+1,""),"")</f>
        <v>13</v>
      </c>
      <c r="B16" s="131" t="str">
        <f>IFERROR(INDEX(T041_ClassFeatures!$B$2:$B$2033,MATCH('C03_ClassVariables'!A16,T041_ClassFeatures!$A$2:$A$2033,0),1),"")</f>
        <v>Aura of Protection</v>
      </c>
      <c r="C16" s="131">
        <f>IF(B16="",0,IF(IFERROR(MATCH(B16,'C01_BaseCalculation'!$W$160:$W$239,0),0)&gt;0,1,0))</f>
        <v>0</v>
      </c>
      <c r="D16" s="131"/>
      <c r="E16" s="371">
        <f>BaseWis</f>
        <v>10.00009</v>
      </c>
      <c r="F16" s="497">
        <f t="shared" si="12"/>
        <v>10.000080000000001</v>
      </c>
      <c r="G16" s="497">
        <f>LARGE($F$12:$F$17,5)</f>
        <v>10.000080000000001</v>
      </c>
      <c r="H16" s="372"/>
      <c r="I16" s="372"/>
      <c r="J16" s="496"/>
      <c r="K16" s="300">
        <v>1</v>
      </c>
      <c r="L16" s="300" t="str">
        <f>IF(R4=0,"",IF(IF($R$4=1,INDEX(T041_ClassFeatures!$W$2:$AG$556,MATCH('C03_ClassVariables'!$N$4,T041_ClassFeatures!$B$2:$B$556,0),ROW()-ROW($L$15)),"")=0,"",IF($R$4=1,INDEX(T041_ClassFeatures!$W$2:$AG$556,MATCH('C03_ClassVariables'!$N$4,T041_ClassFeatures!$B$2:$B$556,0),ROW()-ROW($L$15)),"")))</f>
        <v>Battlemaster</v>
      </c>
      <c r="M16" s="300" t="str">
        <f>IF($R$5=0,"",IF(IF($R$5=1,INDEX(T041_ClassFeatures!$W$2:$AG$556,MATCH('C03_ClassVariables'!$N$5,T041_ClassFeatures!$B$2:$B$556,0),ROW()-ROW($L$15)),"")=0,"",IF($R$5=1,INDEX(T041_ClassFeatures!$W$2:$AG$556,MATCH('C03_ClassVariables'!$N$5,T041_ClassFeatures!$B$2:$B$556,0),ROW()-ROW($L$15)),"")))</f>
        <v>School of Abjuration</v>
      </c>
      <c r="N16" s="300" t="str">
        <f>IF($R$6=0,"",IF(IF($R$6=1,INDEX(T041_ClassFeatures!$W$2:$AG$556,MATCH('C03_ClassVariables'!$N$6,T041_ClassFeatures!$B$2:$B$556,0),ROW()-ROW($L$15)),"")=0,"",IF($R$6=1,INDEX(T041_ClassFeatures!$W$2:$AG$556,MATCH('C03_ClassVariables'!$N$6,T041_ClassFeatures!$B$2:$B$556,0),ROW()-ROW($L$15)),"")))</f>
        <v/>
      </c>
      <c r="O16" s="300" t="str">
        <f>IF($R$7=0,"",IF(IF($R$7=1,INDEX(T041_ClassFeatures!$W$2:$AG$556,MATCH('C03_ClassVariables'!$N$7,T041_ClassFeatures!$B$2:$B$556,0),ROW()-ROW($L$15)),"")=0,"",IF($R$7=1,INDEX(T041_ClassFeatures!$W$2:$AG$556,MATCH('C03_ClassVariables'!$N$7,T041_ClassFeatures!$B$2:$B$556,0),ROW()-ROW($L$15)),"")))</f>
        <v/>
      </c>
      <c r="P16" s="300" t="str">
        <f>IF($R$8=0,"",IF(IF($R$8=1,INDEX(T041_ClassFeatures!$W$2:$AG$556,MATCH('C03_ClassVariables'!$N$8,T041_ClassFeatures!$B$2:$B$556,0),ROW()-ROW($L$15)),"")=0,"",IF($R$8=1,INDEX(T041_ClassFeatures!$W$2:$AG$556,MATCH('C03_ClassVariables'!$N$8,T041_ClassFeatures!$B$2:$B$556,0),ROW()-ROW($L$15)),"")))</f>
        <v/>
      </c>
      <c r="Q16" s="301" t="str">
        <f>IF($R$9=0,"",IF(IF($R$9=1,INDEX(T041_ClassFeatures!$W$2:$AG$556,MATCH('C03_ClassVariables'!$N$9,T041_ClassFeatures!$B$2:$B$556,0),ROW()-ROW($L$15)),"")=0,"",IF($R$9=1,INDEX(T041_ClassFeatures!$W$2:$AG$556,MATCH('C03_ClassVariables'!$N$9,T041_ClassFeatures!$B$2:$B$556,0),ROW()-ROW($L$15)),"")))</f>
        <v/>
      </c>
      <c r="AA16" s="321" t="s">
        <v>620</v>
      </c>
      <c r="AB16" s="270" t="s">
        <v>3359</v>
      </c>
      <c r="AC16" s="270">
        <f t="shared" si="10"/>
        <v>0</v>
      </c>
      <c r="AD16" s="271">
        <f>IFERROR(INDEX(T042_Leveling!$Y$4:$BH$23,MATCH('C03_ClassVariables'!$AC16,T042_Leveling!$A$4:$A$23,0),MATCH('C03_ClassVariables'!$AB16,T042_Leveling!$Y$3:$BH$3,0)),0)</f>
        <v>0</v>
      </c>
      <c r="AF16" s="284" t="s">
        <v>6273</v>
      </c>
      <c r="AG16">
        <f>IF(IFERROR(MATCH("Student of War",'C01_BaseCalculation'!$W$160:$W$239,0),0)&gt;0,1,0)</f>
        <v>0</v>
      </c>
      <c r="AK16" t="s">
        <v>4547</v>
      </c>
      <c r="AL16">
        <f>COUNTIF('C01_BaseCalculation'!$W$160:$W$239,"Spellcasting (bard)")</f>
        <v>0</v>
      </c>
      <c r="DZ16" s="138"/>
      <c r="FI16" s="150">
        <v>14</v>
      </c>
      <c r="FJ16" s="136" t="str">
        <f>Character_Creation!B445</f>
        <v/>
      </c>
      <c r="FK16" s="136" t="str">
        <f>Character_Creation!F445</f>
        <v/>
      </c>
      <c r="FL16" s="151">
        <f>IF(OR(FJ16="",FJ16=0),0,1+MAX(FL$3:$FL15))</f>
        <v>0</v>
      </c>
      <c r="FR16" s="4">
        <v>1</v>
      </c>
      <c r="FS16" s="4">
        <f>Character_Creation!X433</f>
        <v>0</v>
      </c>
      <c r="FT16" s="4">
        <f>IF(OR(FS16="",FS16=0),0,1)</f>
        <v>0</v>
      </c>
      <c r="FU16" s="4">
        <f>IF(OR(FT16="",FT16=0),0,1+COUNTIF(FU$3:$FU15,"&gt;0")+$FP$11)</f>
        <v>0</v>
      </c>
      <c r="FV16">
        <v>1</v>
      </c>
      <c r="FY16" s="4" t="s">
        <v>196</v>
      </c>
    </row>
    <row r="17" spans="1:181" ht="16.5" x14ac:dyDescent="0.3">
      <c r="A17" s="132">
        <f>IFERROR(IF(A16+1&lt;MAX(T041_ClassFeatures!$A$2:$A$2033),A16+1,""),"")</f>
        <v>14</v>
      </c>
      <c r="B17" s="131" t="str">
        <f>IFERROR(INDEX(T041_ClassFeatures!$B$2:$B$2033,MATCH('C03_ClassVariables'!A17,T041_ClassFeatures!$A$2:$A$2033,0),1),"")</f>
        <v>Bard College</v>
      </c>
      <c r="C17" s="131">
        <f>IF(B17="",0,IF(IFERROR(MATCH(B17,'C01_BaseCalculation'!$W$160:$W$239,0),0)&gt;0,1,0))</f>
        <v>0</v>
      </c>
      <c r="D17" s="131"/>
      <c r="E17" s="371">
        <f>BaseCha</f>
        <v>10.000069999999999</v>
      </c>
      <c r="F17" s="497">
        <f t="shared" si="12"/>
        <v>11.00009</v>
      </c>
      <c r="G17" s="497">
        <f>LARGE($F$12:$F$17,6)</f>
        <v>0</v>
      </c>
      <c r="H17" s="372"/>
      <c r="I17" s="372"/>
      <c r="J17" s="496"/>
      <c r="K17" s="300">
        <v>2</v>
      </c>
      <c r="L17" s="300" t="str">
        <f>IF(IF($R$4=1,INDEX(T041_ClassFeatures!$W$2:$AG$556,MATCH('C03_ClassVariables'!$N$4,T041_ClassFeatures!$B$2:$B$556,0),ROW()-ROW($L$15)),"")=0,"",IF($R$4=1,INDEX(T041_ClassFeatures!$W$2:$AG$556,MATCH('C03_ClassVariables'!$N$4,T041_ClassFeatures!$B$2:$B$556,0),ROW()-ROW($L$15)),""))</f>
        <v>Champion</v>
      </c>
      <c r="M17" s="300" t="str">
        <f>IF(IF($R$5=1,INDEX(T041_ClassFeatures!$W$2:$AG$556,MATCH('C03_ClassVariables'!$N$5,T041_ClassFeatures!$B$2:$B$556,0),ROW()-ROW($L$15)),"")=0,"",IF($R$5=1,INDEX(T041_ClassFeatures!$W$2:$AG$556,MATCH('C03_ClassVariables'!$N$5,T041_ClassFeatures!$B$2:$B$556,0),ROW()-ROW($L$15)),""))</f>
        <v>School of Conjuration</v>
      </c>
      <c r="N17" s="300" t="str">
        <f>IF(IF($R$6=1,INDEX(T041_ClassFeatures!$W$2:$AG$556,MATCH('C03_ClassVariables'!$N$6,T041_ClassFeatures!$B$2:$B$556,0),ROW()-ROW($L$15)),"")=0,"",IF($R$6=1,INDEX(T041_ClassFeatures!$W$2:$AG$556,MATCH('C03_ClassVariables'!$N$6,T041_ClassFeatures!$B$2:$B$556,0),ROW()-ROW($L$15)),""))</f>
        <v/>
      </c>
      <c r="O17" s="300" t="str">
        <f>IF(IF($R$7=1,INDEX(T041_ClassFeatures!$W$2:$AG$556,MATCH('C03_ClassVariables'!$N$7,T041_ClassFeatures!$B$2:$B$556,0),ROW()-ROW($L$15)),"")=0,"",IF($R$7=1,INDEX(T041_ClassFeatures!$W$2:$AG$556,MATCH('C03_ClassVariables'!$N$7,T041_ClassFeatures!$B$2:$B$556,0),ROW()-ROW($L$15)),""))</f>
        <v/>
      </c>
      <c r="P17" s="300" t="str">
        <f>IF(IF($R$8=1,INDEX(T041_ClassFeatures!$W$2:$AG$556,MATCH('C03_ClassVariables'!$N$8,T041_ClassFeatures!$B$2:$B$556,0),ROW()-ROW($L$15)),"")=0,"",IF($R$8=1,INDEX(T041_ClassFeatures!$W$2:$AG$556,MATCH('C03_ClassVariables'!$N$8,T041_ClassFeatures!$B$2:$B$556,0),ROW()-ROW($L$15)),""))</f>
        <v/>
      </c>
      <c r="Q17" s="301" t="str">
        <f>IF(IF($R$9=1,INDEX(T041_ClassFeatures!$W$2:$AG$556,MATCH('C03_ClassVariables'!$N$9,T041_ClassFeatures!$B$2:$B$556,0),ROW()-ROW($L$15)),"")=0,"",IF($R$9=1,INDEX(T041_ClassFeatures!$W$2:$AG$556,MATCH('C03_ClassVariables'!$N$9,T041_ClassFeatures!$B$2:$B$556,0),ROW()-ROW($L$15)),""))</f>
        <v/>
      </c>
      <c r="U17" s="285" t="s">
        <v>625</v>
      </c>
      <c r="V17" s="286" t="s">
        <v>3141</v>
      </c>
      <c r="W17" s="287">
        <f>IFERROR(INDEX($Q$4:$Q$9,MATCH($V17,$O$4:$O$9,0),1),0)</f>
        <v>0</v>
      </c>
      <c r="AA17" s="321" t="s">
        <v>620</v>
      </c>
      <c r="AB17" s="270" t="s">
        <v>3360</v>
      </c>
      <c r="AC17" s="270">
        <f t="shared" si="10"/>
        <v>0</v>
      </c>
      <c r="AD17" s="271">
        <f>IFERROR(INDEX(T042_Leveling!$Y$4:$BH$23,MATCH('C03_ClassVariables'!$AC17,T042_Leveling!$A$4:$A$23,0),MATCH('C03_ClassVariables'!$AB17,T042_Leveling!$Y$3:$BH$3,0)),0)</f>
        <v>0</v>
      </c>
      <c r="AF17" s="284" t="s">
        <v>6296</v>
      </c>
      <c r="AG17">
        <f>IF(IFERROR(MATCH("Dwarven Toughness",RacialTraits,0),0)&gt;0,1,0)</f>
        <v>0</v>
      </c>
      <c r="AK17" t="s">
        <v>4548</v>
      </c>
      <c r="AL17">
        <f>COUNTIF('C01_BaseCalculation'!$W$160:$W$239,"Spellcasting (cleric)")</f>
        <v>0</v>
      </c>
      <c r="DZ17" s="138"/>
      <c r="FI17" s="150">
        <v>15</v>
      </c>
      <c r="FJ17" s="136" t="str">
        <f>Character_Creation!B446</f>
        <v/>
      </c>
      <c r="FK17" s="136" t="str">
        <f>Character_Creation!F446</f>
        <v/>
      </c>
      <c r="FL17" s="151">
        <f>IF(OR(FJ17="",FJ17=0),0,1+MAX(FL$3:$FL16))</f>
        <v>0</v>
      </c>
      <c r="FR17" s="4">
        <v>2</v>
      </c>
      <c r="FS17" s="4" t="str">
        <f>Character_Creation!X439</f>
        <v/>
      </c>
      <c r="FT17" s="4">
        <f>IF(OR(FS17="",FS17=0),0,1)</f>
        <v>0</v>
      </c>
      <c r="FU17" s="4">
        <f>IF(OR(FT17="",FT17=0),0,1+COUNTIF(FU$3:$FU16,"&gt;0")+$FP$11)</f>
        <v>0</v>
      </c>
      <c r="FV17">
        <v>1</v>
      </c>
      <c r="FY17" s="4" t="s">
        <v>154</v>
      </c>
    </row>
    <row r="18" spans="1:181" ht="17.25" thickBot="1" x14ac:dyDescent="0.35">
      <c r="A18" s="132">
        <f>IFERROR(IF(A17+1&lt;MAX(T041_ClassFeatures!$A$2:$A$2033),A17+1,""),"")</f>
        <v>15</v>
      </c>
      <c r="B18" s="131" t="str">
        <f>IFERROR(INDEX(T041_ClassFeatures!$B$2:$B$2033,MATCH('C03_ClassVariables'!A18,T041_ClassFeatures!$A$2:$A$2033,0),1),"")</f>
        <v>Bard College Feature</v>
      </c>
      <c r="C18" s="131">
        <f>IF(B18="",0,IF(IFERROR(MATCH(B18,'C01_BaseCalculation'!$W$160:$W$239,0),0)&gt;0,1,0))</f>
        <v>0</v>
      </c>
      <c r="D18" s="131"/>
      <c r="E18" s="498"/>
      <c r="F18" s="499"/>
      <c r="G18" s="499"/>
      <c r="H18" s="499"/>
      <c r="I18" s="499"/>
      <c r="J18" s="500"/>
      <c r="K18" s="300">
        <v>3</v>
      </c>
      <c r="L18" s="300" t="str">
        <f>IF(IF($R$4=1,INDEX(T041_ClassFeatures!$W$2:$AG$556,MATCH('C03_ClassVariables'!$N$4,T041_ClassFeatures!$B$2:$B$556,0),ROW()-ROW($L$15)),"")=0,"",IF($R$4=1,INDEX(T041_ClassFeatures!$W$2:$AG$556,MATCH('C03_ClassVariables'!$N$4,T041_ClassFeatures!$B$2:$B$556,0),ROW()-ROW($L$15)),""))</f>
        <v>Eldritch Knight</v>
      </c>
      <c r="M18" s="300" t="str">
        <f>IF(IF($R$5=1,INDEX(T041_ClassFeatures!$W$2:$AG$556,MATCH('C03_ClassVariables'!$N$5,T041_ClassFeatures!$B$2:$B$556,0),ROW()-ROW($L$15)),"")=0,"",IF($R$5=1,INDEX(T041_ClassFeatures!$W$2:$AG$556,MATCH('C03_ClassVariables'!$N$5,T041_ClassFeatures!$B$2:$B$556,0),ROW()-ROW($L$15)),""))</f>
        <v>School of Divination</v>
      </c>
      <c r="N18" s="300" t="str">
        <f>IF(IF($R$6=1,INDEX(T041_ClassFeatures!$W$2:$AG$556,MATCH('C03_ClassVariables'!$N$6,T041_ClassFeatures!$B$2:$B$556,0),ROW()-ROW($L$15)),"")=0,"",IF($R$6=1,INDEX(T041_ClassFeatures!$W$2:$AG$556,MATCH('C03_ClassVariables'!$N$6,T041_ClassFeatures!$B$2:$B$556,0),ROW()-ROW($L$15)),""))</f>
        <v/>
      </c>
      <c r="O18" s="300" t="str">
        <f>IF(IF($R$7=1,INDEX(T041_ClassFeatures!$W$2:$AG$556,MATCH('C03_ClassVariables'!$N$7,T041_ClassFeatures!$B$2:$B$556,0),ROW()-ROW($L$15)),"")=0,"",IF($R$7=1,INDEX(T041_ClassFeatures!$W$2:$AG$556,MATCH('C03_ClassVariables'!$N$7,T041_ClassFeatures!$B$2:$B$556,0),ROW()-ROW($L$15)),""))</f>
        <v/>
      </c>
      <c r="P18" s="300" t="str">
        <f>IF(IF($R$8=1,INDEX(T041_ClassFeatures!$W$2:$AG$556,MATCH('C03_ClassVariables'!$N$8,T041_ClassFeatures!$B$2:$B$556,0),ROW()-ROW($L$15)),"")=0,"",IF($R$8=1,INDEX(T041_ClassFeatures!$W$2:$AG$556,MATCH('C03_ClassVariables'!$N$8,T041_ClassFeatures!$B$2:$B$556,0),ROW()-ROW($L$15)),""))</f>
        <v/>
      </c>
      <c r="Q18" s="301" t="str">
        <f>IF(IF($R$9=1,INDEX(T041_ClassFeatures!$W$2:$AG$556,MATCH('C03_ClassVariables'!$N$9,T041_ClassFeatures!$B$2:$B$556,0),ROW()-ROW($L$15)),"")=0,"",IF($R$9=1,INDEX(T041_ClassFeatures!$W$2:$AG$556,MATCH('C03_ClassVariables'!$N$9,T041_ClassFeatures!$B$2:$B$556,0),ROW()-ROW($L$15)),""))</f>
        <v/>
      </c>
      <c r="U18" s="288" t="s">
        <v>625</v>
      </c>
      <c r="V18" s="289" t="s">
        <v>3142</v>
      </c>
      <c r="W18" s="290">
        <f t="shared" ref="W18:W60" si="14">IFERROR(INDEX($Q$4:$Q$9,MATCH($V18,$O$4:$O$9,0),1),0)</f>
        <v>8</v>
      </c>
      <c r="AA18" s="321" t="s">
        <v>620</v>
      </c>
      <c r="AB18" s="270" t="s">
        <v>3361</v>
      </c>
      <c r="AC18" s="270">
        <f t="shared" si="10"/>
        <v>0</v>
      </c>
      <c r="AD18" s="271">
        <f>IFERROR(INDEX(T042_Leveling!$Y$4:$BH$23,MATCH('C03_ClassVariables'!$AC18,T042_Leveling!$A$4:$A$23,0),MATCH('C03_ClassVariables'!$AB18,T042_Leveling!$Y$3:$BH$3,0)),0)</f>
        <v>0</v>
      </c>
      <c r="AF18" s="284" t="s">
        <v>6297</v>
      </c>
      <c r="AG18">
        <f>IF(IFERROR(MATCH("Tough",Feats,0),0)&gt;0,1,0)</f>
        <v>0</v>
      </c>
      <c r="AK18" t="s">
        <v>4549</v>
      </c>
      <c r="AL18">
        <f>COUNTIF('C01_BaseCalculation'!$W$160:$W$239,"Spellcasting (druid)")</f>
        <v>0</v>
      </c>
      <c r="DZ18" s="138"/>
      <c r="FI18" s="150">
        <v>16</v>
      </c>
      <c r="FJ18" s="136">
        <f>Character_Creation!B447</f>
        <v>0</v>
      </c>
      <c r="FK18" s="136">
        <f>Character_Creation!F447</f>
        <v>0</v>
      </c>
      <c r="FL18" s="151">
        <f>IF(OR(FJ18="",FJ18=0),0,1+MAX(FL$3:$FL17))</f>
        <v>0</v>
      </c>
      <c r="FR18" s="4"/>
      <c r="FS18" s="4"/>
      <c r="FT18" s="4"/>
      <c r="FU18" s="4"/>
      <c r="FV18">
        <v>1</v>
      </c>
      <c r="FY18" s="4" t="s">
        <v>199</v>
      </c>
    </row>
    <row r="19" spans="1:181" ht="16.5" x14ac:dyDescent="0.3">
      <c r="A19" s="132">
        <f>IFERROR(IF(A18+1&lt;MAX(T041_ClassFeatures!$A$2:$A$2033),A18+1,""),"")</f>
        <v>16</v>
      </c>
      <c r="B19" s="131" t="str">
        <f>IFERROR(INDEX(T041_ClassFeatures!$B$2:$B$2033,MATCH('C03_ClassVariables'!A19,T041_ClassFeatures!$A$2:$A$2033,0),1),"")</f>
        <v>Bard College Feature3-1</v>
      </c>
      <c r="C19" s="131">
        <f>IF(B19="",0,IF(IFERROR(MATCH(B19,'C01_BaseCalculation'!$W$160:$W$239,0),0)&gt;0,1,0))</f>
        <v>0</v>
      </c>
      <c r="D19" s="131"/>
      <c r="E19" s="131"/>
      <c r="F19" s="131"/>
      <c r="G19" s="131"/>
      <c r="H19" s="131"/>
      <c r="I19" s="131"/>
      <c r="J19" s="131"/>
      <c r="K19" s="299">
        <v>4</v>
      </c>
      <c r="L19" s="300" t="str">
        <f>IF(IF($R$4=1,INDEX(T041_ClassFeatures!$W$2:$AG$556,MATCH('C03_ClassVariables'!$N$4,T041_ClassFeatures!$B$2:$B$556,0),ROW()-ROW($L$15)),"")=0,"",IF($R$4=1,INDEX(T041_ClassFeatures!$W$2:$AG$556,MATCH('C03_ClassVariables'!$N$4,T041_ClassFeatures!$B$2:$B$556,0),ROW()-ROW($L$15)),""))</f>
        <v/>
      </c>
      <c r="M19" s="300" t="str">
        <f>IF(IF($R$5=1,INDEX(T041_ClassFeatures!$W$2:$AG$556,MATCH('C03_ClassVariables'!$N$5,T041_ClassFeatures!$B$2:$B$556,0),ROW()-ROW($L$15)),"")=0,"",IF($R$5=1,INDEX(T041_ClassFeatures!$W$2:$AG$556,MATCH('C03_ClassVariables'!$N$5,T041_ClassFeatures!$B$2:$B$556,0),ROW()-ROW($L$15)),""))</f>
        <v>School of Enchantment</v>
      </c>
      <c r="N19" s="300" t="str">
        <f>IF(IF($R$6=1,INDEX(T041_ClassFeatures!$W$2:$AG$556,MATCH('C03_ClassVariables'!$N$6,T041_ClassFeatures!$B$2:$B$556,0),ROW()-ROW($L$15)),"")=0,"",IF($R$6=1,INDEX(T041_ClassFeatures!$W$2:$AG$556,MATCH('C03_ClassVariables'!$N$6,T041_ClassFeatures!$B$2:$B$556,0),ROW()-ROW($L$15)),""))</f>
        <v/>
      </c>
      <c r="O19" s="300" t="str">
        <f>IF(IF($R$7=1,INDEX(T041_ClassFeatures!$W$2:$AG$556,MATCH('C03_ClassVariables'!$N$7,T041_ClassFeatures!$B$2:$B$556,0),ROW()-ROW($L$15)),"")=0,"",IF($R$7=1,INDEX(T041_ClassFeatures!$W$2:$AG$556,MATCH('C03_ClassVariables'!$N$7,T041_ClassFeatures!$B$2:$B$556,0),ROW()-ROW($L$15)),""))</f>
        <v/>
      </c>
      <c r="P19" s="300" t="str">
        <f>IF(IF($R$8=1,INDEX(T041_ClassFeatures!$W$2:$AG$556,MATCH('C03_ClassVariables'!$N$8,T041_ClassFeatures!$B$2:$B$556,0),ROW()-ROW($L$15)),"")=0,"",IF($R$8=1,INDEX(T041_ClassFeatures!$W$2:$AG$556,MATCH('C03_ClassVariables'!$N$8,T041_ClassFeatures!$B$2:$B$556,0),ROW()-ROW($L$15)),""))</f>
        <v/>
      </c>
      <c r="Q19" s="301" t="str">
        <f>IF(IF($R$9=1,INDEX(T041_ClassFeatures!$W$2:$AG$556,MATCH('C03_ClassVariables'!$N$9,T041_ClassFeatures!$B$2:$B$556,0),ROW()-ROW($L$15)),"")=0,"",IF($R$9=1,INDEX(T041_ClassFeatures!$W$2:$AG$556,MATCH('C03_ClassVariables'!$N$9,T041_ClassFeatures!$B$2:$B$556,0),ROW()-ROW($L$15)),""))</f>
        <v/>
      </c>
      <c r="U19" s="288" t="s">
        <v>625</v>
      </c>
      <c r="V19" s="289" t="s">
        <v>3143</v>
      </c>
      <c r="W19" s="290">
        <f t="shared" si="14"/>
        <v>0</v>
      </c>
      <c r="AA19" s="321" t="s">
        <v>1110</v>
      </c>
      <c r="AB19" s="270" t="s">
        <v>3362</v>
      </c>
      <c r="AC19" s="270">
        <f t="shared" si="10"/>
        <v>0</v>
      </c>
      <c r="AD19" s="271">
        <f>IFERROR(INDEX(T042_Leveling!$Y$4:$BH$23,MATCH('C03_ClassVariables'!$AC19,T042_Leveling!$A$4:$A$23,0),MATCH('C03_ClassVariables'!$AB19,T042_Leveling!$Y$3:$BH$3,0)),0)</f>
        <v>0</v>
      </c>
      <c r="AK19" t="s">
        <v>4550</v>
      </c>
      <c r="AL19">
        <f>COUNTIF('C01_BaseCalculation'!$W$160:$W$239,"Spellcasting (EK)")</f>
        <v>1</v>
      </c>
      <c r="DZ19" s="138"/>
      <c r="FI19" s="150">
        <v>17</v>
      </c>
      <c r="FJ19" s="136">
        <f>Character_Creation!B448</f>
        <v>0</v>
      </c>
      <c r="FK19" s="136">
        <f>Character_Creation!F448</f>
        <v>0</v>
      </c>
      <c r="FL19" s="151">
        <f>IF(OR(FJ19="",FJ19=0),0,1+MAX(FL$3:$FL18))</f>
        <v>0</v>
      </c>
      <c r="FY19" s="4" t="s">
        <v>205</v>
      </c>
    </row>
    <row r="20" spans="1:181" ht="16.5" x14ac:dyDescent="0.3">
      <c r="A20" s="132">
        <f>IFERROR(IF(A19+1&lt;MAX(T041_ClassFeatures!$A$2:$A$2033),A19+1,""),"")</f>
        <v>17</v>
      </c>
      <c r="B20" s="131" t="str">
        <f>IFERROR(INDEX(T041_ClassFeatures!$B$2:$B$2033,MATCH('C03_ClassVariables'!A20,T041_ClassFeatures!$A$2:$A$2033,0),1),"")</f>
        <v>Bard College Feature3-2</v>
      </c>
      <c r="C20" s="131">
        <f>IF(B20="",0,IF(IFERROR(MATCH(B20,'C01_BaseCalculation'!$W$160:$W$239,0),0)&gt;0,1,0))</f>
        <v>0</v>
      </c>
      <c r="D20" s="131"/>
      <c r="E20" s="131"/>
      <c r="F20" s="131"/>
      <c r="G20" s="131"/>
      <c r="H20" s="131"/>
      <c r="I20" s="131"/>
      <c r="J20" s="131"/>
      <c r="K20" s="299">
        <v>5</v>
      </c>
      <c r="L20" s="300" t="str">
        <f>IF(IF($R$4=1,INDEX(T041_ClassFeatures!$W$2:$AG$556,MATCH('C03_ClassVariables'!$N$4,T041_ClassFeatures!$B$2:$B$556,0),ROW()-ROW($L$15)),"")=0,"",IF($R$4=1,INDEX(T041_ClassFeatures!$W$2:$AG$556,MATCH('C03_ClassVariables'!$N$4,T041_ClassFeatures!$B$2:$B$556,0),ROW()-ROW($L$15)),""))</f>
        <v/>
      </c>
      <c r="M20" s="300" t="str">
        <f>IF(IF($R$5=1,INDEX(T041_ClassFeatures!$W$2:$AG$556,MATCH('C03_ClassVariables'!$N$5,T041_ClassFeatures!$B$2:$B$556,0),ROW()-ROW($L$15)),"")=0,"",IF($R$5=1,INDEX(T041_ClassFeatures!$W$2:$AG$556,MATCH('C03_ClassVariables'!$N$5,T041_ClassFeatures!$B$2:$B$556,0),ROW()-ROW($L$15)),""))</f>
        <v>School of Evocation</v>
      </c>
      <c r="N20" s="300" t="str">
        <f>IF(IF($R$6=1,INDEX(T041_ClassFeatures!$W$2:$AG$556,MATCH('C03_ClassVariables'!$N$6,T041_ClassFeatures!$B$2:$B$556,0),ROW()-ROW($L$15)),"")=0,"",IF($R$6=1,INDEX(T041_ClassFeatures!$W$2:$AG$556,MATCH('C03_ClassVariables'!$N$6,T041_ClassFeatures!$B$2:$B$556,0),ROW()-ROW($L$15)),""))</f>
        <v/>
      </c>
      <c r="O20" s="300" t="str">
        <f>IF(IF($R$7=1,INDEX(T041_ClassFeatures!$W$2:$AG$556,MATCH('C03_ClassVariables'!$N$7,T041_ClassFeatures!$B$2:$B$556,0),ROW()-ROW($L$15)),"")=0,"",IF($R$7=1,INDEX(T041_ClassFeatures!$W$2:$AG$556,MATCH('C03_ClassVariables'!$N$7,T041_ClassFeatures!$B$2:$B$556,0),ROW()-ROW($L$15)),""))</f>
        <v/>
      </c>
      <c r="P20" s="300" t="str">
        <f>IF(IF($R$8=1,INDEX(T041_ClassFeatures!$W$2:$AG$556,MATCH('C03_ClassVariables'!$N$8,T041_ClassFeatures!$B$2:$B$556,0),ROW()-ROW($L$15)),"")=0,"",IF($R$8=1,INDEX(T041_ClassFeatures!$W$2:$AG$556,MATCH('C03_ClassVariables'!$N$8,T041_ClassFeatures!$B$2:$B$556,0),ROW()-ROW($L$15)),""))</f>
        <v/>
      </c>
      <c r="Q20" s="301" t="str">
        <f>IF(IF($R$9=1,INDEX(T041_ClassFeatures!$W$2:$AG$556,MATCH('C03_ClassVariables'!$N$9,T041_ClassFeatures!$B$2:$B$556,0),ROW()-ROW($L$15)),"")=0,"",IF($R$9=1,INDEX(T041_ClassFeatures!$W$2:$AG$556,MATCH('C03_ClassVariables'!$N$9,T041_ClassFeatures!$B$2:$B$556,0),ROW()-ROW($L$15)),""))</f>
        <v/>
      </c>
      <c r="U20" s="288" t="s">
        <v>625</v>
      </c>
      <c r="V20" s="289" t="s">
        <v>3144</v>
      </c>
      <c r="W20" s="290">
        <f t="shared" si="14"/>
        <v>0</v>
      </c>
      <c r="AA20" s="321" t="s">
        <v>1110</v>
      </c>
      <c r="AB20" s="270" t="s">
        <v>3363</v>
      </c>
      <c r="AC20" s="270">
        <f t="shared" si="10"/>
        <v>0</v>
      </c>
      <c r="AD20" s="271">
        <f>IFERROR(INDEX(T042_Leveling!$Y$4:$BH$23,MATCH('C03_ClassVariables'!$AC20,T042_Leveling!$A$4:$A$23,0),MATCH('C03_ClassVariables'!$AB20,T042_Leveling!$Y$3:$BH$3,0)),0)</f>
        <v>0</v>
      </c>
      <c r="AF20" s="1046" t="s">
        <v>6222</v>
      </c>
      <c r="AG20" s="1046"/>
      <c r="AK20" t="s">
        <v>4551</v>
      </c>
      <c r="AL20">
        <f>COUNTIF('C01_BaseCalculation'!$W$160:$W$239,"Spellcasting (Paladin)")</f>
        <v>0</v>
      </c>
      <c r="DZ20" s="138"/>
      <c r="FI20" s="150">
        <v>18</v>
      </c>
      <c r="FJ20" s="136">
        <f>Character_Creation!B449</f>
        <v>0</v>
      </c>
      <c r="FK20" s="136">
        <f>Character_Creation!F449</f>
        <v>0</v>
      </c>
      <c r="FL20" s="151">
        <f>IF(OR(FJ20="",FJ20=0),0,1+MAX(FL$3:$FL19))</f>
        <v>0</v>
      </c>
      <c r="FY20" s="4" t="s">
        <v>211</v>
      </c>
    </row>
    <row r="21" spans="1:181" ht="16.5" x14ac:dyDescent="0.3">
      <c r="A21" s="132">
        <f>IFERROR(IF(A20+1&lt;MAX(T041_ClassFeatures!$A$2:$A$2033),A20+1,""),"")</f>
        <v>18</v>
      </c>
      <c r="B21" s="131" t="str">
        <f>IFERROR(INDEX(T041_ClassFeatures!$B$2:$B$2033,MATCH('C03_ClassVariables'!A21,T041_ClassFeatures!$A$2:$A$2033,0),1),"")</f>
        <v>Bard College Feature6</v>
      </c>
      <c r="C21" s="131">
        <f>IF(B21="",0,IF(IFERROR(MATCH(B21,'C01_BaseCalculation'!$W$160:$W$239,0),0)&gt;0,1,0))</f>
        <v>0</v>
      </c>
      <c r="D21" s="131"/>
      <c r="E21" t="s">
        <v>3638</v>
      </c>
      <c r="F21" t="s">
        <v>3639</v>
      </c>
      <c r="G21" t="s">
        <v>3640</v>
      </c>
      <c r="H21" t="s">
        <v>5247</v>
      </c>
      <c r="I21" s="131"/>
      <c r="J21" s="131"/>
      <c r="K21" s="299">
        <v>6</v>
      </c>
      <c r="L21" s="300" t="str">
        <f>IF(IF($R$4=1,INDEX(T041_ClassFeatures!$W$2:$AG$556,MATCH('C03_ClassVariables'!$N$4,T041_ClassFeatures!$B$2:$B$556,0),ROW()-ROW($L$15)),"")=0,"",IF($R$4=1,INDEX(T041_ClassFeatures!$W$2:$AG$556,MATCH('C03_ClassVariables'!$N$4,T041_ClassFeatures!$B$2:$B$556,0),ROW()-ROW($L$15)),""))</f>
        <v/>
      </c>
      <c r="M21" s="300" t="str">
        <f>IF(IF($R$5=1,INDEX(T041_ClassFeatures!$W$2:$AG$556,MATCH('C03_ClassVariables'!$N$5,T041_ClassFeatures!$B$2:$B$556,0),ROW()-ROW($L$15)),"")=0,"",IF($R$5=1,INDEX(T041_ClassFeatures!$W$2:$AG$556,MATCH('C03_ClassVariables'!$N$5,T041_ClassFeatures!$B$2:$B$556,0),ROW()-ROW($L$15)),""))</f>
        <v>School of Illusion</v>
      </c>
      <c r="N21" s="300" t="str">
        <f>IF(IF($R$6=1,INDEX(T041_ClassFeatures!$W$2:$AG$556,MATCH('C03_ClassVariables'!$N$6,T041_ClassFeatures!$B$2:$B$556,0),ROW()-ROW($L$15)),"")=0,"",IF($R$6=1,INDEX(T041_ClassFeatures!$W$2:$AG$556,MATCH('C03_ClassVariables'!$N$6,T041_ClassFeatures!$B$2:$B$556,0),ROW()-ROW($L$15)),""))</f>
        <v/>
      </c>
      <c r="O21" s="300" t="str">
        <f>IF(IF($R$7=1,INDEX(T041_ClassFeatures!$W$2:$AG$556,MATCH('C03_ClassVariables'!$N$7,T041_ClassFeatures!$B$2:$B$556,0),ROW()-ROW($L$15)),"")=0,"",IF($R$7=1,INDEX(T041_ClassFeatures!$W$2:$AG$556,MATCH('C03_ClassVariables'!$N$7,T041_ClassFeatures!$B$2:$B$556,0),ROW()-ROW($L$15)),""))</f>
        <v/>
      </c>
      <c r="P21" s="300" t="str">
        <f>IF(IF($R$8=1,INDEX(T041_ClassFeatures!$W$2:$AG$556,MATCH('C03_ClassVariables'!$N$8,T041_ClassFeatures!$B$2:$B$556,0),ROW()-ROW($L$15)),"")=0,"",IF($R$8=1,INDEX(T041_ClassFeatures!$W$2:$AG$556,MATCH('C03_ClassVariables'!$N$8,T041_ClassFeatures!$B$2:$B$556,0),ROW()-ROW($L$15)),""))</f>
        <v/>
      </c>
      <c r="Q21" s="301" t="str">
        <f>IF(IF($R$9=1,INDEX(T041_ClassFeatures!$W$2:$AG$556,MATCH('C03_ClassVariables'!$N$9,T041_ClassFeatures!$B$2:$B$556,0),ROW()-ROW($L$15)),"")=0,"",IF($R$9=1,INDEX(T041_ClassFeatures!$W$2:$AG$556,MATCH('C03_ClassVariables'!$N$9,T041_ClassFeatures!$B$2:$B$556,0),ROW()-ROW($L$15)),""))</f>
        <v/>
      </c>
      <c r="U21" s="288" t="s">
        <v>625</v>
      </c>
      <c r="V21" s="289" t="s">
        <v>3145</v>
      </c>
      <c r="W21" s="290">
        <f t="shared" si="14"/>
        <v>0</v>
      </c>
      <c r="AA21" s="321" t="s">
        <v>621</v>
      </c>
      <c r="AB21" s="270" t="s">
        <v>3364</v>
      </c>
      <c r="AC21" s="270">
        <f t="shared" si="10"/>
        <v>0</v>
      </c>
      <c r="AD21" s="271">
        <f>IFERROR(INDEX(T042_Leveling!$Y$4:$BH$23,MATCH('C03_ClassVariables'!$AC21,T042_Leveling!$A$4:$A$23,0),MATCH('C03_ClassVariables'!$AB21,T042_Leveling!$Y$3:$BH$3,0)),0)</f>
        <v>0</v>
      </c>
      <c r="AF21" t="s">
        <v>93</v>
      </c>
      <c r="AG21">
        <f>'C02_Proficiencies'!Y6</f>
        <v>1</v>
      </c>
      <c r="AK21" t="s">
        <v>4552</v>
      </c>
      <c r="AL21">
        <f>COUNTIF('C01_BaseCalculation'!$W$160:$W$239,"Spellcasting (ranger)")</f>
        <v>0</v>
      </c>
      <c r="DZ21" s="138"/>
      <c r="FI21" s="150">
        <v>19</v>
      </c>
      <c r="FJ21" s="136">
        <f>Character_Creation!B450</f>
        <v>0</v>
      </c>
      <c r="FK21" s="136">
        <f>Character_Creation!F450</f>
        <v>0</v>
      </c>
      <c r="FL21" s="151">
        <f>IF(OR(FJ21="",FJ21=0),0,1+MAX(FL$3:$FL20))</f>
        <v>0</v>
      </c>
      <c r="FY21" s="4" t="s">
        <v>216</v>
      </c>
    </row>
    <row r="22" spans="1:181" ht="17.25" thickBot="1" x14ac:dyDescent="0.35">
      <c r="A22" s="132">
        <f>IFERROR(IF(A21+1&lt;MAX(T041_ClassFeatures!$A$2:$A$2033),A21+1,""),"")</f>
        <v>19</v>
      </c>
      <c r="B22" s="131" t="str">
        <f>IFERROR(INDEX(T041_ClassFeatures!$B$2:$B$2033,MATCH('C03_ClassVariables'!A22,T041_ClassFeatures!$A$2:$A$2033,0),1),"")</f>
        <v>Bard College Feature14</v>
      </c>
      <c r="C22" s="131">
        <f>IF(B22="",0,IF(IFERROR(MATCH(B22,'C01_BaseCalculation'!$W$160:$W$239,0),0)&gt;0,1,0))</f>
        <v>0</v>
      </c>
      <c r="D22" s="131"/>
      <c r="E22" t="s">
        <v>3641</v>
      </c>
      <c r="F22" t="s">
        <v>5248</v>
      </c>
      <c r="G22" t="s">
        <v>3642</v>
      </c>
      <c r="H22" t="s">
        <v>3643</v>
      </c>
      <c r="I22" s="131"/>
      <c r="J22" s="131"/>
      <c r="K22" s="299">
        <v>7</v>
      </c>
      <c r="L22" s="300" t="str">
        <f>IF(IF($R$4=1,INDEX(T041_ClassFeatures!$W$2:$AG$556,MATCH('C03_ClassVariables'!$N$4,T041_ClassFeatures!$B$2:$B$556,0),ROW()-ROW($L$15)),"")=0,"",IF($R$4=1,INDEX(T041_ClassFeatures!$W$2:$AG$556,MATCH('C03_ClassVariables'!$N$4,T041_ClassFeatures!$B$2:$B$556,0),ROW()-ROW($L$15)),""))</f>
        <v/>
      </c>
      <c r="M22" s="300" t="str">
        <f>IF(IF($R$5=1,INDEX(T041_ClassFeatures!$W$2:$AG$556,MATCH('C03_ClassVariables'!$N$5,T041_ClassFeatures!$B$2:$B$556,0),ROW()-ROW($L$15)),"")=0,"",IF($R$5=1,INDEX(T041_ClassFeatures!$W$2:$AG$556,MATCH('C03_ClassVariables'!$N$5,T041_ClassFeatures!$B$2:$B$556,0),ROW()-ROW($L$15)),""))</f>
        <v>School of Necromancy</v>
      </c>
      <c r="N22" s="300" t="str">
        <f>IF(IF($R$6=1,INDEX(T041_ClassFeatures!$W$2:$AG$556,MATCH('C03_ClassVariables'!$N$6,T041_ClassFeatures!$B$2:$B$556,0),ROW()-ROW($L$15)),"")=0,"",IF($R$6=1,INDEX(T041_ClassFeatures!$W$2:$AG$556,MATCH('C03_ClassVariables'!$N$6,T041_ClassFeatures!$B$2:$B$556,0),ROW()-ROW($L$15)),""))</f>
        <v/>
      </c>
      <c r="O22" s="300" t="str">
        <f>IF(IF($R$7=1,INDEX(T041_ClassFeatures!$W$2:$AG$556,MATCH('C03_ClassVariables'!$N$7,T041_ClassFeatures!$B$2:$B$556,0),ROW()-ROW($L$15)),"")=0,"",IF($R$7=1,INDEX(T041_ClassFeatures!$W$2:$AG$556,MATCH('C03_ClassVariables'!$N$7,T041_ClassFeatures!$B$2:$B$556,0),ROW()-ROW($L$15)),""))</f>
        <v/>
      </c>
      <c r="P22" s="300" t="str">
        <f>IF(IF($R$8=1,INDEX(T041_ClassFeatures!$W$2:$AG$556,MATCH('C03_ClassVariables'!$N$8,T041_ClassFeatures!$B$2:$B$556,0),ROW()-ROW($L$15)),"")=0,"",IF($R$8=1,INDEX(T041_ClassFeatures!$W$2:$AG$556,MATCH('C03_ClassVariables'!$N$8,T041_ClassFeatures!$B$2:$B$556,0),ROW()-ROW($L$15)),""))</f>
        <v/>
      </c>
      <c r="Q22" s="301" t="str">
        <f>IF(IF($R$9=1,INDEX(T041_ClassFeatures!$W$2:$AG$556,MATCH('C03_ClassVariables'!$N$9,T041_ClassFeatures!$B$2:$B$556,0),ROW()-ROW($L$15)),"")=0,"",IF($R$9=1,INDEX(T041_ClassFeatures!$W$2:$AG$556,MATCH('C03_ClassVariables'!$N$9,T041_ClassFeatures!$B$2:$B$556,0),ROW()-ROW($L$15)),""))</f>
        <v/>
      </c>
      <c r="U22" s="288" t="s">
        <v>625</v>
      </c>
      <c r="V22" s="289" t="s">
        <v>3146</v>
      </c>
      <c r="W22" s="290">
        <f t="shared" si="14"/>
        <v>0</v>
      </c>
      <c r="AA22" s="321" t="s">
        <v>622</v>
      </c>
      <c r="AB22" s="270" t="s">
        <v>3365</v>
      </c>
      <c r="AC22" s="270">
        <f t="shared" si="10"/>
        <v>0</v>
      </c>
      <c r="AD22" s="271">
        <f>IFERROR(INDEX(T042_Leveling!$Y$4:$BH$23,MATCH('C03_ClassVariables'!$AC22,T042_Leveling!$A$4:$A$23,0),MATCH('C03_ClassVariables'!$AB22,T042_Leveling!$Y$3:$BH$3,0)),0)</f>
        <v>0</v>
      </c>
      <c r="AF22" t="s">
        <v>2970</v>
      </c>
      <c r="AG22">
        <f>'C02_Proficiencies'!Y7</f>
        <v>0</v>
      </c>
      <c r="AK22" t="s">
        <v>4553</v>
      </c>
      <c r="AL22">
        <f>COUNTIF('C01_BaseCalculation'!$W$160:$W$239,"Spellcasting (sorcerer)")</f>
        <v>0</v>
      </c>
      <c r="DZ22" s="138"/>
      <c r="FI22" s="152">
        <v>20</v>
      </c>
      <c r="FJ22" s="153">
        <f>Character_Creation!B451</f>
        <v>0</v>
      </c>
      <c r="FK22" s="153">
        <f>Character_Creation!F451</f>
        <v>0</v>
      </c>
      <c r="FL22" s="154">
        <f>IF(OR(FJ22="",FJ22=0),0,1+MAX(FL$3:$FL21))</f>
        <v>0</v>
      </c>
      <c r="FY22" s="4" t="s">
        <v>219</v>
      </c>
    </row>
    <row r="23" spans="1:181" ht="16.5" x14ac:dyDescent="0.3">
      <c r="A23" s="132">
        <f>IFERROR(IF(A22+1&lt;MAX(T041_ClassFeatures!$A$2:$A$2033),A22+1,""),"")</f>
        <v>20</v>
      </c>
      <c r="B23" s="131" t="str">
        <f>IFERROR(INDEX(T041_ClassFeatures!$B$2:$B$2033,MATCH('C03_ClassVariables'!A23,T041_ClassFeatures!$A$2:$A$2033,0),1),"")</f>
        <v>Bardic Inspiration</v>
      </c>
      <c r="C23" s="131">
        <f>IF(B23="",0,IF(IFERROR(MATCH(B23,'C01_BaseCalculation'!$W$160:$W$239,0),0)&gt;0,1,0))</f>
        <v>0</v>
      </c>
      <c r="D23" s="131"/>
      <c r="E23" t="s">
        <v>3644</v>
      </c>
      <c r="F23" t="s">
        <v>3645</v>
      </c>
      <c r="G23" t="s">
        <v>3646</v>
      </c>
      <c r="H23" t="s">
        <v>3647</v>
      </c>
      <c r="I23" s="131"/>
      <c r="J23" s="131"/>
      <c r="K23" s="299">
        <v>8</v>
      </c>
      <c r="L23" s="300" t="str">
        <f>IF(IF($R$4=1,INDEX(T041_ClassFeatures!$W$2:$AG$556,MATCH('C03_ClassVariables'!$N$4,T041_ClassFeatures!$B$2:$B$556,0),ROW()-ROW($L$15)),"")=0,"",IF($R$4=1,INDEX(T041_ClassFeatures!$W$2:$AG$556,MATCH('C03_ClassVariables'!$N$4,T041_ClassFeatures!$B$2:$B$556,0),ROW()-ROW($L$15)),""))</f>
        <v/>
      </c>
      <c r="M23" s="300" t="str">
        <f>IF(IF($R$5=1,INDEX(T041_ClassFeatures!$W$2:$AG$556,MATCH('C03_ClassVariables'!$N$5,T041_ClassFeatures!$B$2:$B$556,0),ROW()-ROW($L$15)),"")=0,"",IF($R$5=1,INDEX(T041_ClassFeatures!$W$2:$AG$556,MATCH('C03_ClassVariables'!$N$5,T041_ClassFeatures!$B$2:$B$556,0),ROW()-ROW($L$15)),""))</f>
        <v>School of Transmutation</v>
      </c>
      <c r="N23" s="300" t="str">
        <f>IF(IF($R$6=1,INDEX(T041_ClassFeatures!$W$2:$AG$556,MATCH('C03_ClassVariables'!$N$6,T041_ClassFeatures!$B$2:$B$556,0),ROW()-ROW($L$15)),"")=0,"",IF($R$6=1,INDEX(T041_ClassFeatures!$W$2:$AG$556,MATCH('C03_ClassVariables'!$N$6,T041_ClassFeatures!$B$2:$B$556,0),ROW()-ROW($L$15)),""))</f>
        <v/>
      </c>
      <c r="O23" s="300" t="str">
        <f>IF(IF($R$7=1,INDEX(T041_ClassFeatures!$W$2:$AG$556,MATCH('C03_ClassVariables'!$N$7,T041_ClassFeatures!$B$2:$B$556,0),ROW()-ROW($L$15)),"")=0,"",IF($R$7=1,INDEX(T041_ClassFeatures!$W$2:$AG$556,MATCH('C03_ClassVariables'!$N$7,T041_ClassFeatures!$B$2:$B$556,0),ROW()-ROW($L$15)),""))</f>
        <v/>
      </c>
      <c r="P23" s="300" t="str">
        <f>IF(IF($R$8=1,INDEX(T041_ClassFeatures!$W$2:$AG$556,MATCH('C03_ClassVariables'!$N$8,T041_ClassFeatures!$B$2:$B$556,0),ROW()-ROW($L$15)),"")=0,"",IF($R$8=1,INDEX(T041_ClassFeatures!$W$2:$AG$556,MATCH('C03_ClassVariables'!$N$8,T041_ClassFeatures!$B$2:$B$556,0),ROW()-ROW($L$15)),""))</f>
        <v/>
      </c>
      <c r="Q23" s="301" t="str">
        <f>IF(IF($R$9=1,INDEX(T041_ClassFeatures!$W$2:$AG$556,MATCH('C03_ClassVariables'!$N$9,T041_ClassFeatures!$B$2:$B$556,0),ROW()-ROW($L$15)),"")=0,"",IF($R$9=1,INDEX(T041_ClassFeatures!$W$2:$AG$556,MATCH('C03_ClassVariables'!$N$9,T041_ClassFeatures!$B$2:$B$556,0),ROW()-ROW($L$15)),""))</f>
        <v/>
      </c>
      <c r="U23" s="288" t="s">
        <v>625</v>
      </c>
      <c r="V23" s="289" t="s">
        <v>3147</v>
      </c>
      <c r="W23" s="290">
        <f t="shared" si="14"/>
        <v>0</v>
      </c>
      <c r="AA23" s="321" t="s">
        <v>622</v>
      </c>
      <c r="AB23" s="270" t="s">
        <v>3366</v>
      </c>
      <c r="AC23" s="270">
        <f t="shared" si="10"/>
        <v>0</v>
      </c>
      <c r="AD23" s="271">
        <f>IFERROR(INDEX(T042_Leveling!$Y$4:$BH$23,MATCH('C03_ClassVariables'!$AC23,T042_Leveling!$A$4:$A$23,0),MATCH('C03_ClassVariables'!$AB23,T042_Leveling!$Y$3:$BH$3,0)),0)</f>
        <v>0</v>
      </c>
      <c r="AF23" t="s">
        <v>4251</v>
      </c>
      <c r="AG23">
        <f>'C02_Proficiencies'!Y8</f>
        <v>1</v>
      </c>
      <c r="AK23" t="s">
        <v>4554</v>
      </c>
      <c r="AL23">
        <f>COUNTIF('C01_BaseCalculation'!$W$160:$W$239,"Spellcasting (wizard)")</f>
        <v>1</v>
      </c>
      <c r="DZ23" s="138"/>
      <c r="FY23" s="4" t="s">
        <v>227</v>
      </c>
    </row>
    <row r="24" spans="1:181" ht="16.5" customHeight="1" x14ac:dyDescent="0.3">
      <c r="A24" s="132">
        <f>IFERROR(IF(A23+1&lt;MAX(T041_ClassFeatures!$A$2:$A$2033),A23+1,""),"")</f>
        <v>21</v>
      </c>
      <c r="B24" s="131" t="str">
        <f>IFERROR(INDEX(T041_ClassFeatures!$B$2:$B$2033,MATCH('C03_ClassVariables'!A24,T041_ClassFeatures!$A$2:$A$2033,0),1),"")</f>
        <v>Beast Spells</v>
      </c>
      <c r="C24" s="131">
        <f>IF(B24="",0,IF(IFERROR(MATCH(B24,'C01_BaseCalculation'!$W$160:$W$239,0),0)&gt;0,1,0))</f>
        <v>0</v>
      </c>
      <c r="D24" s="131"/>
      <c r="E24" s="131"/>
      <c r="F24" s="131"/>
      <c r="G24" s="131"/>
      <c r="H24" s="131"/>
      <c r="I24" s="131"/>
      <c r="J24" s="131"/>
      <c r="K24" s="299">
        <v>9</v>
      </c>
      <c r="L24" s="300" t="str">
        <f>IF(IF($R$4=1,INDEX(T041_ClassFeatures!$W$2:$AG$556,MATCH('C03_ClassVariables'!$N$4,T041_ClassFeatures!$B$2:$B$556,0),ROW()-ROW($L$15)),"")=0,"",IF($R$4=1,INDEX(T041_ClassFeatures!$W$2:$AG$556,MATCH('C03_ClassVariables'!$N$4,T041_ClassFeatures!$B$2:$B$556,0),ROW()-ROW($L$15)),""))</f>
        <v/>
      </c>
      <c r="M24" s="300" t="str">
        <f>IF(IF($R$5=1,INDEX(T041_ClassFeatures!$W$2:$AG$556,MATCH('C03_ClassVariables'!$N$5,T041_ClassFeatures!$B$2:$B$556,0),ROW()-ROW($L$15)),"")=0,"",IF($R$5=1,INDEX(T041_ClassFeatures!$W$2:$AG$556,MATCH('C03_ClassVariables'!$N$5,T041_ClassFeatures!$B$2:$B$556,0),ROW()-ROW($L$15)),""))</f>
        <v>Artificer</v>
      </c>
      <c r="N24" s="300" t="str">
        <f>IF(IF($R$6=1,INDEX(T041_ClassFeatures!$W$2:$AG$556,MATCH('C03_ClassVariables'!$N$6,T041_ClassFeatures!$B$2:$B$556,0),ROW()-ROW($L$15)),"")=0,"",IF($R$6=1,INDEX(T041_ClassFeatures!$W$2:$AG$556,MATCH('C03_ClassVariables'!$N$6,T041_ClassFeatures!$B$2:$B$556,0),ROW()-ROW($L$15)),""))</f>
        <v/>
      </c>
      <c r="O24" s="300" t="str">
        <f>IF(IF($R$7=1,INDEX(T041_ClassFeatures!$W$2:$AG$556,MATCH('C03_ClassVariables'!$N$7,T041_ClassFeatures!$B$2:$B$556,0),ROW()-ROW($L$15)),"")=0,"",IF($R$7=1,INDEX(T041_ClassFeatures!$W$2:$AG$556,MATCH('C03_ClassVariables'!$N$7,T041_ClassFeatures!$B$2:$B$556,0),ROW()-ROW($L$15)),""))</f>
        <v/>
      </c>
      <c r="P24" s="300" t="str">
        <f>IF(IF($R$8=1,INDEX(T041_ClassFeatures!$W$2:$AG$556,MATCH('C03_ClassVariables'!$N$8,T041_ClassFeatures!$B$2:$B$556,0),ROW()-ROW($L$15)),"")=0,"",IF($R$8=1,INDEX(T041_ClassFeatures!$W$2:$AG$556,MATCH('C03_ClassVariables'!$N$8,T041_ClassFeatures!$B$2:$B$556,0),ROW()-ROW($L$15)),""))</f>
        <v/>
      </c>
      <c r="Q24" s="301" t="str">
        <f>IF(IF($R$9=1,INDEX(T041_ClassFeatures!$W$2:$AG$556,MATCH('C03_ClassVariables'!$N$9,T041_ClassFeatures!$B$2:$B$556,0),ROW()-ROW($L$15)),"")=0,"",IF($R$9=1,INDEX(T041_ClassFeatures!$W$2:$AG$556,MATCH('C03_ClassVariables'!$N$9,T041_ClassFeatures!$B$2:$B$556,0),ROW()-ROW($L$15)),""))</f>
        <v/>
      </c>
      <c r="U24" s="288" t="s">
        <v>625</v>
      </c>
      <c r="V24" s="289" t="s">
        <v>3148</v>
      </c>
      <c r="W24" s="290">
        <f t="shared" si="14"/>
        <v>0</v>
      </c>
      <c r="AA24" s="321" t="s">
        <v>622</v>
      </c>
      <c r="AB24" s="270" t="s">
        <v>3367</v>
      </c>
      <c r="AC24" s="270">
        <f t="shared" si="10"/>
        <v>0</v>
      </c>
      <c r="AD24" s="271">
        <f>IFERROR(INDEX(T042_Leveling!$Y$4:$BH$23,MATCH('C03_ClassVariables'!$AC24,T042_Leveling!$A$4:$A$23,0),MATCH('C03_ClassVariables'!$AB24,T042_Leveling!$Y$3:$BH$3,0)),0)</f>
        <v>0</v>
      </c>
      <c r="AF24" t="s">
        <v>2971</v>
      </c>
      <c r="AG24">
        <f>'C02_Proficiencies'!Y9</f>
        <v>0</v>
      </c>
      <c r="AK24" t="s">
        <v>4555</v>
      </c>
      <c r="AL24">
        <f>COUNTIF('C01_BaseCalculation'!$W$160:$W$239,"Spellcasting (AT)")</f>
        <v>0</v>
      </c>
      <c r="DZ24" s="138"/>
      <c r="FL24">
        <f>MAX(FL3:FL22)</f>
        <v>8</v>
      </c>
      <c r="FY24" s="4" t="s">
        <v>237</v>
      </c>
    </row>
    <row r="25" spans="1:181" ht="17.25" thickBot="1" x14ac:dyDescent="0.35">
      <c r="A25" s="132">
        <f>IFERROR(IF(A24+1&lt;MAX(T041_ClassFeatures!$A$2:$A$2033),A24+1,""),"")</f>
        <v>22</v>
      </c>
      <c r="B25" s="131" t="str">
        <f>IFERROR(INDEX(T041_ClassFeatures!$B$2:$B$2033,MATCH('C03_ClassVariables'!A25,T041_ClassFeatures!$A$2:$A$2033,0),1),"")</f>
        <v>Blindsense</v>
      </c>
      <c r="C25" s="131">
        <f>IF(B25="",0,IF(IFERROR(MATCH(B25,'C01_BaseCalculation'!$W$160:$W$239,0),0)&gt;0,1,0))</f>
        <v>0</v>
      </c>
      <c r="D25" s="131"/>
      <c r="E25" s="131"/>
      <c r="F25" s="131" t="str">
        <f t="shared" ref="F25:H27" si="15">$E21&amp;": "&amp;F21</f>
        <v>Bear: While raging, resistance to all damage except psychic damage.</v>
      </c>
      <c r="G25" s="131" t="str">
        <f t="shared" si="15"/>
        <v>Bear: Carrying capacity (incl. max. load &amp; max. lift) is doubled. Advantage on Strength checks to push, pull, lift, or break objects.</v>
      </c>
      <c r="H25" s="131" t="str">
        <f t="shared" si="15"/>
        <v>Bear: While raging, creatures within 5 feet have disadvantage on attack rolls against other targets. Enemy is immune if it can’t see,    hear or be frightened.</v>
      </c>
      <c r="I25" s="131"/>
      <c r="J25" s="131"/>
      <c r="K25" s="302">
        <v>10</v>
      </c>
      <c r="L25" s="303" t="str">
        <f>IF(IF($R$4=1,INDEX(T041_ClassFeatures!$W$2:$AG$556,MATCH('C03_ClassVariables'!$N$4,T041_ClassFeatures!$B$2:$B$556,0),ROW()-ROW($L$15)),"")=0,"",IF($R$4=1,INDEX(T041_ClassFeatures!$W$2:$AG$556,MATCH('C03_ClassVariables'!$N$4,T041_ClassFeatures!$B$2:$B$556,0),ROW()-ROW($L$15)),""))</f>
        <v/>
      </c>
      <c r="M25" s="303" t="str">
        <f>IF(IF($R$5=1,INDEX(T041_ClassFeatures!$W$2:$AG$556,MATCH('C03_ClassVariables'!$N$5,T041_ClassFeatures!$B$2:$B$556,0),ROW()-ROW($L$15)),"")=0,"",IF($R$5=1,INDEX(T041_ClassFeatures!$W$2:$AG$556,MATCH('C03_ClassVariables'!$N$5,T041_ClassFeatures!$B$2:$B$556,0),ROW()-ROW($L$15)),""))</f>
        <v/>
      </c>
      <c r="N25" s="303" t="str">
        <f>IF(IF($R$6=1,INDEX(T041_ClassFeatures!$W$2:$AG$556,MATCH('C03_ClassVariables'!$N$6,T041_ClassFeatures!$B$2:$B$556,0),ROW()-ROW($L$15)),"")=0,"",IF($R$6=1,INDEX(T041_ClassFeatures!$W$2:$AG$556,MATCH('C03_ClassVariables'!$N$6,T041_ClassFeatures!$B$2:$B$556,0),ROW()-ROW($L$15)),""))</f>
        <v/>
      </c>
      <c r="O25" s="303" t="str">
        <f>IF(IF($R$7=1,INDEX(T041_ClassFeatures!$W$2:$AG$556,MATCH('C03_ClassVariables'!$N$7,T041_ClassFeatures!$B$2:$B$556,0),ROW()-ROW($L$15)),"")=0,"",IF($R$7=1,INDEX(T041_ClassFeatures!$W$2:$AG$556,MATCH('C03_ClassVariables'!$N$7,T041_ClassFeatures!$B$2:$B$556,0),ROW()-ROW($L$15)),""))</f>
        <v/>
      </c>
      <c r="P25" s="303" t="str">
        <f>IF(IF($R$8=1,INDEX(T041_ClassFeatures!$W$2:$AG$556,MATCH('C03_ClassVariables'!$N$8,T041_ClassFeatures!$B$2:$B$556,0),ROW()-ROW($L$15)),"")=0,"",IF($R$8=1,INDEX(T041_ClassFeatures!$W$2:$AG$556,MATCH('C03_ClassVariables'!$N$8,T041_ClassFeatures!$B$2:$B$556,0),ROW()-ROW($L$15)),""))</f>
        <v/>
      </c>
      <c r="Q25" s="304" t="str">
        <f>IF(IF($R$9=1,INDEX(T041_ClassFeatures!$W$2:$AG$556,MATCH('C03_ClassVariables'!$N$9,T041_ClassFeatures!$B$2:$B$556,0),ROW()-ROW($L$15)),"")=0,"",IF($R$9=1,INDEX(T041_ClassFeatures!$W$2:$AG$556,MATCH('C03_ClassVariables'!$N$9,T041_ClassFeatures!$B$2:$B$556,0),ROW()-ROW($L$15)),""))</f>
        <v/>
      </c>
      <c r="U25" s="288" t="s">
        <v>625</v>
      </c>
      <c r="V25" s="289" t="s">
        <v>3149</v>
      </c>
      <c r="W25" s="290">
        <f t="shared" si="14"/>
        <v>0</v>
      </c>
      <c r="AA25" s="321" t="s">
        <v>623</v>
      </c>
      <c r="AB25" s="270" t="s">
        <v>3368</v>
      </c>
      <c r="AC25" s="270">
        <f t="shared" si="10"/>
        <v>0</v>
      </c>
      <c r="AD25" s="271">
        <f>IFERROR(INDEX(T042_Leveling!$Y$4:$BH$23,MATCH('C03_ClassVariables'!$AC25,T042_Leveling!$A$4:$A$23,0),MATCH('C03_ClassVariables'!$AB25,T042_Leveling!$Y$3:$BH$3,0)),0)</f>
        <v>0</v>
      </c>
      <c r="AF25" t="s">
        <v>2969</v>
      </c>
      <c r="AG25">
        <f>'C02_Proficiencies'!Y10</f>
        <v>0</v>
      </c>
      <c r="DZ25" s="138"/>
      <c r="FY25" s="4" t="s">
        <v>245</v>
      </c>
    </row>
    <row r="26" spans="1:181" ht="16.5" customHeight="1" x14ac:dyDescent="0.3">
      <c r="A26" s="132">
        <f>IFERROR(IF(A25+1&lt;MAX(T041_ClassFeatures!$A$2:$A$2033),A25+1,""),"")</f>
        <v>23</v>
      </c>
      <c r="B26" s="131" t="str">
        <f>IFERROR(INDEX(T041_ClassFeatures!$B$2:$B$2033,MATCH('C03_ClassVariables'!A26,T041_ClassFeatures!$A$2:$A$2033,0),1),"")</f>
        <v>Brutal Critical</v>
      </c>
      <c r="C26" s="131">
        <f>IF(B26="",0,IF(IFERROR(MATCH(B26,'C01_BaseCalculation'!$W$160:$W$239,0),0)&gt;0,1,0))</f>
        <v>0</v>
      </c>
      <c r="D26" s="131"/>
      <c r="E26" s="131"/>
      <c r="F26" s="131" t="str">
        <f t="shared" si="15"/>
        <v>Eagle: While raging and not wearing heavy armor, other creatures have disadvantage on opportunity attack rolls. Use the Dash action as a bonus action.</v>
      </c>
      <c r="G26" s="131" t="str">
        <f t="shared" si="15"/>
        <v>Eagle: See up to 1 mile away. No disadvantage on Wisdom (Perception) checks in dim light.</v>
      </c>
      <c r="H26" s="131" t="str">
        <f t="shared" si="15"/>
        <v>Eagle: While raging, flying speed equals walking speed. Fall if end turn in the air.</v>
      </c>
      <c r="I26" s="131"/>
      <c r="J26" s="131"/>
      <c r="U26" s="288" t="s">
        <v>1109</v>
      </c>
      <c r="V26" s="289" t="s">
        <v>3150</v>
      </c>
      <c r="W26" s="290">
        <f t="shared" si="14"/>
        <v>0</v>
      </c>
      <c r="AA26" s="321" t="s">
        <v>623</v>
      </c>
      <c r="AB26" s="270" t="s">
        <v>3369</v>
      </c>
      <c r="AC26" s="270">
        <f t="shared" si="10"/>
        <v>0</v>
      </c>
      <c r="AD26" s="271">
        <f>IFERROR(INDEX(T042_Leveling!$Y$4:$BH$23,MATCH('C03_ClassVariables'!$AC26,T042_Leveling!$A$4:$A$23,0),MATCH('C03_ClassVariables'!$AB26,T042_Leveling!$Y$3:$BH$3,0)),0)</f>
        <v>0</v>
      </c>
      <c r="AF26" t="s">
        <v>2968</v>
      </c>
      <c r="AG26">
        <f>'C02_Proficiencies'!Y11</f>
        <v>0</v>
      </c>
      <c r="AJ26">
        <v>1</v>
      </c>
      <c r="AK26" t="s">
        <v>1109</v>
      </c>
      <c r="AL26">
        <f t="shared" ref="AL26:AL31" si="16">AL16</f>
        <v>0</v>
      </c>
      <c r="DZ26" s="138"/>
      <c r="FI26" s="147">
        <v>1</v>
      </c>
      <c r="FJ26" t="str">
        <f t="shared" ref="FJ26:FJ36" si="17">IFERROR(INDEX($FJ$3:$FJ$22,MATCH(FI26,$FL$3:$FL$22,0),1),"")&amp;IFERROR(INDEX($FO$3:$FO$9,MATCH(FI26,$FP$3:$FP$9,0),1),"")&amp;IFERROR(INDEX($FS$3:$FS$17,MATCH(FI26,$FU$3:$FU$17,0),1),"")</f>
        <v>backpack</v>
      </c>
      <c r="FK26" t="str">
        <f>IFERROR(INDEX($FK$3:$FK$22,MATCH(FI26,$FL$3:$FL$22,0),1),"")&amp;IFERROR(INDEX($FQ$3:$FQ$9,MATCH(FI26,$FP$3:$FP$9,0),1),"")&amp;IFERROR(INDEX($FV$3:$FV$17,MATCH(FI26,$FU$3:$FU$17,0),1),"")</f>
        <v>1</v>
      </c>
      <c r="FY26" s="4" t="s">
        <v>251</v>
      </c>
    </row>
    <row r="27" spans="1:181" ht="17.25" thickBot="1" x14ac:dyDescent="0.35">
      <c r="A27" s="132">
        <f>IFERROR(IF(A26+1&lt;MAX(T041_ClassFeatures!$A$2:$A$2033),A26+1,""),"")</f>
        <v>24</v>
      </c>
      <c r="B27" s="131" t="str">
        <f>IFERROR(INDEX(T041_ClassFeatures!$B$2:$B$2033,MATCH('C03_ClassVariables'!A27,T041_ClassFeatures!$A$2:$A$2033,0),1),"")</f>
        <v>Channel Divinity</v>
      </c>
      <c r="C27" s="131">
        <f>IF(B27="",0,IF(IFERROR(MATCH(B27,'C01_BaseCalculation'!$W$160:$W$239,0),0)&gt;0,1,0))</f>
        <v>0</v>
      </c>
      <c r="D27" s="131"/>
      <c r="E27" s="131"/>
      <c r="F27" s="131" t="str">
        <f t="shared" si="15"/>
        <v>Wolf: While raging, friends have advantage on melee attack rolls against any creature within 5 feet of you that is hostile to you.</v>
      </c>
      <c r="G27" s="131" t="str">
        <f t="shared" si="15"/>
        <v>Wolf: Track creatures while traveling at a fast pace, move stealthily while traveling at a normal pace.</v>
      </c>
      <c r="H27" s="131" t="str">
        <f t="shared" si="15"/>
        <v>Wolf: While raging, bonus action to knock a Large or smaller creature prone when hit with melee weapon attack.</v>
      </c>
      <c r="I27" s="131"/>
      <c r="J27" s="131"/>
      <c r="U27" s="288" t="s">
        <v>1109</v>
      </c>
      <c r="V27" s="289" t="s">
        <v>3151</v>
      </c>
      <c r="W27" s="290">
        <f t="shared" si="14"/>
        <v>0</v>
      </c>
      <c r="AA27" s="321" t="s">
        <v>623</v>
      </c>
      <c r="AB27" s="270" t="s">
        <v>3370</v>
      </c>
      <c r="AC27" s="270">
        <f t="shared" si="10"/>
        <v>0</v>
      </c>
      <c r="AD27" s="271">
        <f>IFERROR(INDEX(T042_Leveling!$Y$4:$BH$23,MATCH('C03_ClassVariables'!$AC27,T042_Leveling!$A$4:$A$23,0),MATCH('C03_ClassVariables'!$AB27,T042_Leveling!$Y$3:$BH$3,0)),0)</f>
        <v>0</v>
      </c>
      <c r="AJ27">
        <v>2</v>
      </c>
      <c r="AK27" t="s">
        <v>617</v>
      </c>
      <c r="AL27">
        <f t="shared" si="16"/>
        <v>0</v>
      </c>
      <c r="DZ27" s="138"/>
      <c r="FI27" s="150">
        <v>2</v>
      </c>
      <c r="FJ27" t="str">
        <f t="shared" si="17"/>
        <v>bedroll</v>
      </c>
      <c r="FK27" t="str">
        <f t="shared" ref="FK27:FK55" si="18">IFERROR(INDEX($FK$3:$FK$22,MATCH(FI27,$FL$3:$FL$22,0),1),"")&amp;IFERROR(INDEX($FQ$3:$FQ$9,MATCH(FI27,$FP$3:$FP$9,0),1),"")&amp;IFERROR(INDEX($FV$3:$FV$17,MATCH(FI27,$FU$3:$FU$17,0),1),"")</f>
        <v>1</v>
      </c>
      <c r="FY27" s="4" t="s">
        <v>268</v>
      </c>
    </row>
    <row r="28" spans="1:181" ht="16.5" customHeight="1" thickBot="1" x14ac:dyDescent="0.35">
      <c r="A28" s="132">
        <f>IFERROR(IF(A27+1&lt;MAX(T041_ClassFeatures!$A$2:$A$2033),A27+1,""),"")</f>
        <v>25</v>
      </c>
      <c r="B28" s="131" t="str">
        <f>IFERROR(INDEX(T041_ClassFeatures!$B$2:$B$2033,MATCH('C03_ClassVariables'!A28,T041_ClassFeatures!$A$2:$A$2033,0),1),"")</f>
        <v>Cleansing Touch</v>
      </c>
      <c r="C28" s="131">
        <f>IF(B28="",0,IF(IFERROR(MATCH(B28,'C01_BaseCalculation'!$W$160:$W$239,0),0)&gt;0,1,0))</f>
        <v>0</v>
      </c>
      <c r="D28" s="131"/>
      <c r="E28" s="131"/>
      <c r="F28" s="131"/>
      <c r="G28" s="131"/>
      <c r="H28" s="131"/>
      <c r="I28" s="131"/>
      <c r="J28" s="131"/>
      <c r="K28" s="294"/>
      <c r="L28" s="263" t="s">
        <v>3478</v>
      </c>
      <c r="M28" s="263" t="s">
        <v>3479</v>
      </c>
      <c r="N28" s="263" t="s">
        <v>3480</v>
      </c>
      <c r="O28" s="263" t="s">
        <v>3481</v>
      </c>
      <c r="P28" s="264"/>
      <c r="U28" s="288" t="s">
        <v>617</v>
      </c>
      <c r="V28" s="289" t="s">
        <v>3156</v>
      </c>
      <c r="W28" s="290">
        <f t="shared" si="14"/>
        <v>0</v>
      </c>
      <c r="AA28" s="321" t="s">
        <v>624</v>
      </c>
      <c r="AB28" s="270" t="s">
        <v>3371</v>
      </c>
      <c r="AC28" s="270">
        <f t="shared" si="10"/>
        <v>0</v>
      </c>
      <c r="AD28" s="271">
        <f>IFERROR(INDEX(T042_Leveling!$Y$4:$BH$23,MATCH('C03_ClassVariables'!$AC28,T042_Leveling!$A$4:$A$23,0),MATCH('C03_ClassVariables'!$AB28,T042_Leveling!$Y$3:$BH$3,0)),0)</f>
        <v>0</v>
      </c>
      <c r="AF28" s="1046" t="s">
        <v>3323</v>
      </c>
      <c r="AG28" s="1046"/>
      <c r="AJ28">
        <v>3</v>
      </c>
      <c r="AK28" t="s">
        <v>618</v>
      </c>
      <c r="AL28">
        <f t="shared" si="16"/>
        <v>0</v>
      </c>
      <c r="DZ28" s="138"/>
      <c r="FI28" s="150">
        <v>3</v>
      </c>
      <c r="FJ28" t="str">
        <f t="shared" si="17"/>
        <v>mess kit</v>
      </c>
      <c r="FK28" t="str">
        <f t="shared" si="18"/>
        <v>1</v>
      </c>
      <c r="FY28" s="4" t="s">
        <v>270</v>
      </c>
    </row>
    <row r="29" spans="1:181" ht="16.5" x14ac:dyDescent="0.3">
      <c r="A29" s="132">
        <f>IFERROR(IF(A28+1&lt;MAX(T041_ClassFeatures!$A$2:$A$2033),A28+1,""),"")</f>
        <v>26</v>
      </c>
      <c r="B29" s="131" t="str">
        <f>IFERROR(INDEX(T041_ClassFeatures!$B$2:$B$2033,MATCH('C03_ClassVariables'!A29,T041_ClassFeatures!$A$2:$A$2033,0),1),"")</f>
        <v>Countercharm</v>
      </c>
      <c r="C29" s="131">
        <f>IF(B29="",0,IF(IFERROR(MATCH(B29,'C01_BaseCalculation'!$W$160:$W$239,0),0)&gt;0,1,0))</f>
        <v>0</v>
      </c>
      <c r="D29" s="131"/>
      <c r="E29" s="326"/>
      <c r="F29" s="327" t="s">
        <v>3385</v>
      </c>
      <c r="G29" s="327" t="s">
        <v>3386</v>
      </c>
      <c r="H29" s="328" t="s">
        <v>3388</v>
      </c>
      <c r="I29" s="131"/>
      <c r="J29" s="131"/>
      <c r="K29" s="295"/>
      <c r="L29" s="265">
        <f>IF(RangerHunterFeatures&gt;0,COUNTA(L30:L32),1)</f>
        <v>1</v>
      </c>
      <c r="M29" s="265">
        <f>IF(RangerHunterFeatures&gt;0,COUNTA(M30:M32),1)</f>
        <v>1</v>
      </c>
      <c r="N29" s="265">
        <f>IF(RangerHunterFeatures&gt;0,COUNTA(N30:N32),1)</f>
        <v>1</v>
      </c>
      <c r="O29" s="265">
        <f>IF(RangerHunterFeatures&gt;0,COUNTA(O30:O32),1)</f>
        <v>1</v>
      </c>
      <c r="P29" s="266"/>
      <c r="U29" s="288" t="s">
        <v>617</v>
      </c>
      <c r="V29" s="289" t="s">
        <v>3152</v>
      </c>
      <c r="W29" s="290">
        <f t="shared" si="14"/>
        <v>0</v>
      </c>
      <c r="AA29" s="321" t="s">
        <v>624</v>
      </c>
      <c r="AB29" s="270" t="s">
        <v>3372</v>
      </c>
      <c r="AC29" s="270">
        <f t="shared" si="10"/>
        <v>0</v>
      </c>
      <c r="AD29" s="271">
        <f>IFERROR(INDEX(T042_Leveling!$Y$4:$BH$23,MATCH('C03_ClassVariables'!$AC29,T042_Leveling!$A$4:$A$23,0),MATCH('C03_ClassVariables'!$AB29,T042_Leveling!$Y$3:$BH$3,0)),0)</f>
        <v>0</v>
      </c>
      <c r="AF29" t="s">
        <v>3197</v>
      </c>
      <c r="AG29">
        <f t="shared" ref="AG29:AG34" si="19">L49+M49+N49+O49</f>
        <v>0</v>
      </c>
      <c r="AJ29">
        <v>4</v>
      </c>
      <c r="AK29" t="s">
        <v>3164</v>
      </c>
      <c r="AL29">
        <f t="shared" si="16"/>
        <v>1</v>
      </c>
      <c r="DZ29" s="138"/>
      <c r="FI29" s="150">
        <v>4</v>
      </c>
      <c r="FJ29" t="str">
        <f t="shared" si="17"/>
        <v>linderbox</v>
      </c>
      <c r="FK29" t="str">
        <f t="shared" si="18"/>
        <v>1</v>
      </c>
      <c r="FY29" s="4" t="s">
        <v>275</v>
      </c>
    </row>
    <row r="30" spans="1:181" ht="16.5" x14ac:dyDescent="0.3">
      <c r="A30" s="132">
        <f>IFERROR(IF(A29+1&lt;MAX(T041_ClassFeatures!$A$2:$A$2033),A29+1,""),"")</f>
        <v>27</v>
      </c>
      <c r="B30" s="131" t="str">
        <f>IFERROR(INDEX(T041_ClassFeatures!$B$2:$B$2033,MATCH('C03_ClassVariables'!A30,T041_ClassFeatures!$A$2:$A$2033,0),1),"")</f>
        <v>Cunning Action</v>
      </c>
      <c r="C30" s="131">
        <f>IF(B30="",0,IF(IFERROR(MATCH(B30,'C01_BaseCalculation'!$W$160:$W$239,0),0)&gt;0,1,0))</f>
        <v>0</v>
      </c>
      <c r="D30" s="131"/>
      <c r="E30" s="299"/>
      <c r="F30" s="329">
        <v>3</v>
      </c>
      <c r="G30" s="329">
        <v>3</v>
      </c>
      <c r="H30" s="330">
        <v>3</v>
      </c>
      <c r="I30" s="131"/>
      <c r="J30" s="131"/>
      <c r="K30" s="295">
        <v>1</v>
      </c>
      <c r="L30" s="265" t="str">
        <f>IF(IFERROR(IF(RangerHunterFeatures&gt;0,INDEX(T041_ClassFeatures!$W$2:$AP$601,MATCH('C03_ClassVariables'!L$28,T041_ClassFeatures!$B$2:$B$601,0),'C03_ClassVariables'!$K30),""),"")=0,"",IFERROR(IF(RangerHunterFeatures&gt;0,INDEX(T041_ClassFeatures!$W$2:$AP$601,MATCH('C03_ClassVariables'!L$28,T041_ClassFeatures!$B$2:$B$601,0),'C03_ClassVariables'!$K30),""),""))</f>
        <v/>
      </c>
      <c r="M30" s="265" t="str">
        <f>IF(IFERROR(IF(RangerHunterFeatures&gt;1,INDEX(T041_ClassFeatures!$W$2:$AP$601,MATCH('C03_ClassVariables'!M$28,T041_ClassFeatures!$B$2:$B$601,0),'C03_ClassVariables'!$K30),""),"")=0,"",IFERROR(IF(RangerHunterFeatures&gt;1,INDEX(T041_ClassFeatures!$W$2:$AP$601,MATCH('C03_ClassVariables'!M$28,T041_ClassFeatures!$B$2:$B$601,0),'C03_ClassVariables'!$K30),""),""))</f>
        <v/>
      </c>
      <c r="N30" s="265" t="str">
        <f>IF(IFERROR(IF(RangerHunterFeatures&gt;2,INDEX(T041_ClassFeatures!$W$2:$AP$601,MATCH('C03_ClassVariables'!N$28,T041_ClassFeatures!$B$2:$B$601,0),'C03_ClassVariables'!$K30),""),"")=0,"",IFERROR(IF(RangerHunterFeatures&gt;2,INDEX(T041_ClassFeatures!$W$2:$AP$601,MATCH('C03_ClassVariables'!N$28,T041_ClassFeatures!$B$2:$B$601,0),'C03_ClassVariables'!$K30),""),""))</f>
        <v/>
      </c>
      <c r="O30" s="265" t="str">
        <f>IF(IFERROR(IF(RangerHunterFeatures&gt;3,INDEX(T041_ClassFeatures!$W$2:$AP$601,MATCH('C03_ClassVariables'!O$28,T041_ClassFeatures!$B$2:$B$601,0),'C03_ClassVariables'!$K30),""),"")=0,"",IFERROR(IF(RangerHunterFeatures&gt;3,INDEX(T041_ClassFeatures!$W$2:$AP$601,MATCH('C03_ClassVariables'!O$28,T041_ClassFeatures!$B$2:$B$601,0),'C03_ClassVariables'!$K30),""),""))</f>
        <v/>
      </c>
      <c r="P30" s="266"/>
      <c r="U30" s="288" t="s">
        <v>617</v>
      </c>
      <c r="V30" s="289" t="s">
        <v>3153</v>
      </c>
      <c r="W30" s="290">
        <f t="shared" si="14"/>
        <v>0</v>
      </c>
      <c r="AA30" s="321" t="s">
        <v>624</v>
      </c>
      <c r="AB30" s="270" t="s">
        <v>3373</v>
      </c>
      <c r="AC30" s="270">
        <f t="shared" si="10"/>
        <v>0</v>
      </c>
      <c r="AD30" s="271">
        <f>IFERROR(INDEX(T042_Leveling!$Y$4:$BH$23,MATCH('C03_ClassVariables'!$AC30,T042_Leveling!$A$4:$A$23,0),MATCH('C03_ClassVariables'!$AB30,T042_Leveling!$Y$3:$BH$3,0)),0)</f>
        <v>0</v>
      </c>
      <c r="AF30" t="s">
        <v>3198</v>
      </c>
      <c r="AG30">
        <f t="shared" si="19"/>
        <v>0</v>
      </c>
      <c r="AJ30">
        <v>5</v>
      </c>
      <c r="AK30" t="s">
        <v>1110</v>
      </c>
      <c r="AL30">
        <f t="shared" si="16"/>
        <v>0</v>
      </c>
      <c r="DZ30" s="138"/>
      <c r="FI30" s="150">
        <v>5</v>
      </c>
      <c r="FJ30" t="str">
        <f t="shared" si="17"/>
        <v>torch</v>
      </c>
      <c r="FK30" t="str">
        <f t="shared" si="18"/>
        <v>10</v>
      </c>
      <c r="FY30" s="4" t="s">
        <v>300</v>
      </c>
    </row>
    <row r="31" spans="1:181" ht="16.5" x14ac:dyDescent="0.3">
      <c r="A31" s="132">
        <f>IFERROR(IF(A30+1&lt;MAX(T041_ClassFeatures!$A$2:$A$2033),A30+1,""),"")</f>
        <v>28</v>
      </c>
      <c r="B31" s="131" t="str">
        <f>IFERROR(INDEX(T041_ClassFeatures!$B$2:$B$2033,MATCH('C03_ClassVariables'!A31,T041_ClassFeatures!$A$2:$A$2033,0),1),"")</f>
        <v>Danger Sense</v>
      </c>
      <c r="C31" s="131">
        <f>IF(B31="",0,IF(IFERROR(MATCH(B31,'C01_BaseCalculation'!$W$160:$W$239,0),0)&gt;0,1,0))</f>
        <v>0</v>
      </c>
      <c r="D31" s="131"/>
      <c r="E31" s="331">
        <v>1</v>
      </c>
      <c r="F31" s="300" t="str">
        <f>IF(IFERROR(IF(BarbarianSpiritTotems&gt;0,INDEX(T041_ClassFeatures!$W$2:$AP$601,MATCH('C03_ClassVariables'!F$29,T041_ClassFeatures!$B$2:$B$601,0),$E31),""),"")=0,"",IFERROR(IF(BarbarianSpiritTotems&gt;0,INDEX(T041_ClassFeatures!$W$2:$AP$601,MATCH('C03_ClassVariables'!F$29,T041_ClassFeatures!$B$2:$B$601,0),$E31),""),""))</f>
        <v/>
      </c>
      <c r="G31" s="300" t="str">
        <f>IF(IFERROR(IF(BarbarianSpiritTotems&gt;1,INDEX(T041_ClassFeatures!$W$2:$AP$601,MATCH('C03_ClassVariables'!G$29,T041_ClassFeatures!$B$2:$B$601,0),$E31),""),"")=0,"",IFERROR(IF(BarbarianSpiritTotems&gt;1,INDEX(T041_ClassFeatures!$W$2:$AP$601,MATCH('C03_ClassVariables'!G$29,T041_ClassFeatures!$B$2:$B$601,0),$E31),""),""))</f>
        <v/>
      </c>
      <c r="H31" s="301" t="str">
        <f>IF(IFERROR(IF(BarbarianSpiritTotems&gt;2,INDEX(T041_ClassFeatures!$W$2:$AP$601,MATCH('C03_ClassVariables'!H$29,T041_ClassFeatures!$B$2:$B$601,0),$E31),""),"")=0,"",IFERROR(IF(BarbarianSpiritTotems&gt;2,INDEX(T041_ClassFeatures!$W$2:$AP$601,MATCH('C03_ClassVariables'!H$29,T041_ClassFeatures!$B$2:$B$601,0),$E31),""),""))</f>
        <v/>
      </c>
      <c r="I31" s="131"/>
      <c r="J31" s="131"/>
      <c r="K31" s="295">
        <v>2</v>
      </c>
      <c r="L31" s="265" t="str">
        <f>IF(IFERROR(IF(RangerHunterFeatures&gt;0,INDEX(T041_ClassFeatures!$W$2:$AP$601,MATCH('C03_ClassVariables'!L$28,T041_ClassFeatures!$B$2:$B$601,0),'C03_ClassVariables'!$K31),""),"")=0,"",IFERROR(IF(RangerHunterFeatures&gt;0,INDEX(T041_ClassFeatures!$W$2:$AP$601,MATCH('C03_ClassVariables'!L$28,T041_ClassFeatures!$B$2:$B$601,0),'C03_ClassVariables'!$K31),""),""))</f>
        <v/>
      </c>
      <c r="M31" s="265" t="str">
        <f>IF(IFERROR(IF(RangerHunterFeatures&gt;1,INDEX(T041_ClassFeatures!$W$2:$AP$601,MATCH('C03_ClassVariables'!M$28,T041_ClassFeatures!$B$2:$B$601,0),'C03_ClassVariables'!$K31),""),"")=0,"",IFERROR(IF(RangerHunterFeatures&gt;1,INDEX(T041_ClassFeatures!$W$2:$AP$601,MATCH('C03_ClassVariables'!M$28,T041_ClassFeatures!$B$2:$B$601,0),'C03_ClassVariables'!$K31),""),""))</f>
        <v/>
      </c>
      <c r="N31" s="265" t="str">
        <f>IF(IFERROR(IF(RangerHunterFeatures&gt;2,INDEX(T041_ClassFeatures!$W$2:$AP$601,MATCH('C03_ClassVariables'!N$28,T041_ClassFeatures!$B$2:$B$601,0),'C03_ClassVariables'!$K31),""),"")=0,"",IFERROR(IF(RangerHunterFeatures&gt;2,INDEX(T041_ClassFeatures!$W$2:$AP$601,MATCH('C03_ClassVariables'!N$28,T041_ClassFeatures!$B$2:$B$601,0),'C03_ClassVariables'!$K31),""),""))</f>
        <v/>
      </c>
      <c r="O31" s="265" t="str">
        <f>IF(IFERROR(IF(RangerHunterFeatures&gt;3,INDEX(T041_ClassFeatures!$W$2:$AP$601,MATCH('C03_ClassVariables'!O$28,T041_ClassFeatures!$B$2:$B$601,0),'C03_ClassVariables'!$K31),""),"")=0,"",IFERROR(IF(RangerHunterFeatures&gt;3,INDEX(T041_ClassFeatures!$W$2:$AP$601,MATCH('C03_ClassVariables'!O$28,T041_ClassFeatures!$B$2:$B$601,0),'C03_ClassVariables'!$K31),""),""))</f>
        <v/>
      </c>
      <c r="P31" s="266"/>
      <c r="U31" s="288" t="s">
        <v>617</v>
      </c>
      <c r="V31" s="289" t="s">
        <v>3154</v>
      </c>
      <c r="W31" s="290">
        <f t="shared" si="14"/>
        <v>0</v>
      </c>
      <c r="AA31" s="321" t="s">
        <v>624</v>
      </c>
      <c r="AB31" s="270" t="s">
        <v>3374</v>
      </c>
      <c r="AC31" s="270">
        <f t="shared" si="10"/>
        <v>0</v>
      </c>
      <c r="AD31" s="271">
        <f>IFERROR(INDEX(T042_Leveling!$Y$4:$BH$23,MATCH('C03_ClassVariables'!$AC31,T042_Leveling!$A$4:$A$23,0),MATCH('C03_ClassVariables'!$AB31,T042_Leveling!$Y$3:$BH$3,0)),0)</f>
        <v>0</v>
      </c>
      <c r="AF31" t="s">
        <v>3199</v>
      </c>
      <c r="AG31">
        <f t="shared" si="19"/>
        <v>0</v>
      </c>
      <c r="AJ31">
        <v>6</v>
      </c>
      <c r="AK31" t="s">
        <v>621</v>
      </c>
      <c r="AL31">
        <f t="shared" si="16"/>
        <v>0</v>
      </c>
      <c r="DZ31" s="138"/>
      <c r="FI31" s="150">
        <v>6</v>
      </c>
      <c r="FJ31" t="str">
        <f t="shared" si="17"/>
        <v>day ration</v>
      </c>
      <c r="FK31" t="str">
        <f t="shared" si="18"/>
        <v>10</v>
      </c>
      <c r="FY31" s="4" t="s">
        <v>305</v>
      </c>
    </row>
    <row r="32" spans="1:181" ht="17.25" thickBot="1" x14ac:dyDescent="0.35">
      <c r="A32" s="132">
        <f>IFERROR(IF(A31+1&lt;MAX(T041_ClassFeatures!$A$2:$A$2033),A31+1,""),"")</f>
        <v>29</v>
      </c>
      <c r="B32" s="131" t="str">
        <f>IFERROR(INDEX(T041_ClassFeatures!$B$2:$B$2033,MATCH('C03_ClassVariables'!A32,T041_ClassFeatures!$A$2:$A$2033,0),1),"")</f>
        <v>Deflect Missiles</v>
      </c>
      <c r="C32" s="131">
        <f>IF(B32="",0,IF(IFERROR(MATCH(B32,'C01_BaseCalculation'!$W$160:$W$239,0),0)&gt;0,1,0))</f>
        <v>0</v>
      </c>
      <c r="D32" s="131"/>
      <c r="E32" s="331">
        <v>2</v>
      </c>
      <c r="F32" s="300" t="str">
        <f>IF(IFERROR(IF(BarbarianSpiritTotems&gt;0,INDEX(T041_ClassFeatures!$W$2:$AP$601,MATCH('C03_ClassVariables'!F$29,T041_ClassFeatures!$B$2:$B$601,0),$E32),""),"")=0,"",IFERROR(IF(BarbarianSpiritTotems&gt;0,INDEX(T041_ClassFeatures!$W$2:$AP$601,MATCH('C03_ClassVariables'!F$29,T041_ClassFeatures!$B$2:$B$601,0),$E32),""),""))</f>
        <v/>
      </c>
      <c r="G32" s="300" t="str">
        <f>IF(IFERROR(IF(BarbarianSpiritTotems&gt;1,INDEX(T041_ClassFeatures!$W$2:$AP$601,MATCH('C03_ClassVariables'!G$29,T041_ClassFeatures!$B$2:$B$601,0),$E32),""),"")=0,"",IFERROR(IF(BarbarianSpiritTotems&gt;1,INDEX(T041_ClassFeatures!$W$2:$AP$601,MATCH('C03_ClassVariables'!G$29,T041_ClassFeatures!$B$2:$B$601,0),$E32),""),""))</f>
        <v/>
      </c>
      <c r="H32" s="301" t="str">
        <f>IF(IFERROR(IF(BarbarianSpiritTotems&gt;2,INDEX(T041_ClassFeatures!$W$2:$AP$601,MATCH('C03_ClassVariables'!H$29,T041_ClassFeatures!$B$2:$B$601,0),$E32),""),"")=0,"",IFERROR(IF(BarbarianSpiritTotems&gt;2,INDEX(T041_ClassFeatures!$W$2:$AP$601,MATCH('C03_ClassVariables'!H$29,T041_ClassFeatures!$B$2:$B$601,0),$E32),""),""))</f>
        <v/>
      </c>
      <c r="I32" s="131"/>
      <c r="J32" s="131"/>
      <c r="K32" s="296">
        <v>3</v>
      </c>
      <c r="L32" s="265" t="str">
        <f>IF(IFERROR(IF(RangerHunterFeatures&gt;0,INDEX(T041_ClassFeatures!$W$2:$AP$601,MATCH('C03_ClassVariables'!L$28,T041_ClassFeatures!$B$2:$B$601,0),'C03_ClassVariables'!$K32),""),"")=0,"",IFERROR(IF(RangerHunterFeatures&gt;0,INDEX(T041_ClassFeatures!$W$2:$AP$601,MATCH('C03_ClassVariables'!L$28,T041_ClassFeatures!$B$2:$B$601,0),'C03_ClassVariables'!$K32),""),""))</f>
        <v/>
      </c>
      <c r="M32" s="265" t="str">
        <f>IF(IFERROR(IF(RangerHunterFeatures&gt;1,INDEX(T041_ClassFeatures!$W$2:$AP$601,MATCH('C03_ClassVariables'!M$28,T041_ClassFeatures!$B$2:$B$601,0),'C03_ClassVariables'!$K32),""),"")=0,"",IFERROR(IF(RangerHunterFeatures&gt;1,INDEX(T041_ClassFeatures!$W$2:$AP$601,MATCH('C03_ClassVariables'!M$28,T041_ClassFeatures!$B$2:$B$601,0),'C03_ClassVariables'!$K32),""),""))</f>
        <v/>
      </c>
      <c r="N32" s="265" t="str">
        <f>IF(IFERROR(IF(RangerHunterFeatures&gt;2,INDEX(T041_ClassFeatures!$W$2:$AP$601,MATCH('C03_ClassVariables'!N$28,T041_ClassFeatures!$B$2:$B$601,0),'C03_ClassVariables'!$K32),""),"")=0,"",IFERROR(IF(RangerHunterFeatures&gt;2,INDEX(T041_ClassFeatures!$W$2:$AP$601,MATCH('C03_ClassVariables'!N$28,T041_ClassFeatures!$B$2:$B$601,0),'C03_ClassVariables'!$K32),""),""))</f>
        <v/>
      </c>
      <c r="O32" s="265" t="str">
        <f>IF(IFERROR(IF(RangerHunterFeatures&gt;3,INDEX(T041_ClassFeatures!$W$2:$AP$601,MATCH('C03_ClassVariables'!O$28,T041_ClassFeatures!$B$2:$B$601,0),'C03_ClassVariables'!$K32),""),"")=0,"",IFERROR(IF(RangerHunterFeatures&gt;3,INDEX(T041_ClassFeatures!$W$2:$AP$601,MATCH('C03_ClassVariables'!O$28,T041_ClassFeatures!$B$2:$B$601,0),'C03_ClassVariables'!$K32),""),""))</f>
        <v/>
      </c>
      <c r="P32" s="267"/>
      <c r="U32" s="288" t="s">
        <v>617</v>
      </c>
      <c r="V32" s="289" t="s">
        <v>3155</v>
      </c>
      <c r="W32" s="290">
        <f t="shared" si="14"/>
        <v>0</v>
      </c>
      <c r="AA32" s="321" t="s">
        <v>624</v>
      </c>
      <c r="AB32" s="270" t="s">
        <v>3375</v>
      </c>
      <c r="AC32" s="270">
        <f t="shared" si="10"/>
        <v>0</v>
      </c>
      <c r="AD32" s="271">
        <f>IFERROR(INDEX(T042_Leveling!$Y$4:$BH$23,MATCH('C03_ClassVariables'!$AC32,T042_Leveling!$A$4:$A$23,0),MATCH('C03_ClassVariables'!$AB32,T042_Leveling!$Y$3:$BH$3,0)),0)</f>
        <v>0</v>
      </c>
      <c r="AF32" t="s">
        <v>3200</v>
      </c>
      <c r="AG32">
        <f t="shared" si="19"/>
        <v>0</v>
      </c>
      <c r="AJ32">
        <v>7</v>
      </c>
      <c r="AK32" t="s">
        <v>3188</v>
      </c>
      <c r="AL32">
        <f>AL24</f>
        <v>0</v>
      </c>
      <c r="DZ32" s="138"/>
      <c r="FI32" s="150">
        <v>7</v>
      </c>
      <c r="FJ32" t="str">
        <f t="shared" si="17"/>
        <v>waterskin</v>
      </c>
      <c r="FK32" t="str">
        <f t="shared" si="18"/>
        <v>1</v>
      </c>
      <c r="FY32" s="4" t="s">
        <v>307</v>
      </c>
    </row>
    <row r="33" spans="1:181" ht="17.25" thickBot="1" x14ac:dyDescent="0.35">
      <c r="A33" s="132">
        <f>IFERROR(IF(A32+1&lt;MAX(T041_ClassFeatures!$A$2:$A$2033),A32+1,""),"")</f>
        <v>30</v>
      </c>
      <c r="B33" s="131" t="str">
        <f>IFERROR(INDEX(T041_ClassFeatures!$B$2:$B$2033,MATCH('C03_ClassVariables'!A33,T041_ClassFeatures!$A$2:$A$2033,0),1),"")</f>
        <v>Destroy Undead</v>
      </c>
      <c r="C33" s="131">
        <f>IF(B33="",0,IF(IFERROR(MATCH(B33,'C01_BaseCalculation'!$W$160:$W$239,0),0)&gt;0,1,0))</f>
        <v>0</v>
      </c>
      <c r="D33" s="131"/>
      <c r="E33" s="332">
        <v>3</v>
      </c>
      <c r="F33" s="303" t="str">
        <f>IF(IFERROR(IF(BarbarianSpiritTotems&gt;0,INDEX(T041_ClassFeatures!$W$2:$AP$601,MATCH('C03_ClassVariables'!F$29,T041_ClassFeatures!$B$2:$B$601,0),$E33),""),"")=0,"",IFERROR(IF(BarbarianSpiritTotems&gt;0,INDEX(T041_ClassFeatures!$W$2:$AP$601,MATCH('C03_ClassVariables'!F$29,T041_ClassFeatures!$B$2:$B$601,0),$E33),""),""))</f>
        <v/>
      </c>
      <c r="G33" s="303" t="str">
        <f>IF(IFERROR(IF(BarbarianSpiritTotems&gt;1,INDEX(T041_ClassFeatures!$W$2:$AP$601,MATCH('C03_ClassVariables'!G$29,T041_ClassFeatures!$B$2:$B$601,0),$E33),""),"")=0,"",IFERROR(IF(BarbarianSpiritTotems&gt;1,INDEX(T041_ClassFeatures!$W$2:$AP$601,MATCH('C03_ClassVariables'!G$29,T041_ClassFeatures!$B$2:$B$601,0),$E33),""),""))</f>
        <v/>
      </c>
      <c r="H33" s="304" t="str">
        <f>IF(IFERROR(IF(BarbarianSpiritTotems&gt;2,INDEX(T041_ClassFeatures!$W$2:$AP$601,MATCH('C03_ClassVariables'!H$29,T041_ClassFeatures!$B$2:$B$601,0),$E33),""),"")=0,"",IFERROR(IF(BarbarianSpiritTotems&gt;2,INDEX(T041_ClassFeatures!$W$2:$AP$601,MATCH('C03_ClassVariables'!H$29,T041_ClassFeatures!$B$2:$B$601,0),$E33),""),""))</f>
        <v/>
      </c>
      <c r="I33" s="131"/>
      <c r="J33" s="131"/>
      <c r="U33" s="288" t="s">
        <v>617</v>
      </c>
      <c r="V33" s="289" t="s">
        <v>3157</v>
      </c>
      <c r="W33" s="290">
        <f t="shared" si="14"/>
        <v>0</v>
      </c>
      <c r="AA33" s="321" t="s">
        <v>625</v>
      </c>
      <c r="AB33" s="270" t="s">
        <v>3376</v>
      </c>
      <c r="AC33" s="270">
        <f t="shared" si="10"/>
        <v>8</v>
      </c>
      <c r="AD33" s="271">
        <f>IFERROR(INDEX(T042_Leveling!$Y$4:$BH$23,MATCH('C03_ClassVariables'!$AC33,T042_Leveling!$A$4:$A$23,0),MATCH('C03_ClassVariables'!$AB33,T042_Leveling!$Y$3:$BH$3,0)),0)</f>
        <v>4</v>
      </c>
      <c r="AF33" t="s">
        <v>3201</v>
      </c>
      <c r="AG33">
        <f t="shared" si="19"/>
        <v>0</v>
      </c>
      <c r="AJ33">
        <v>8</v>
      </c>
      <c r="AK33" t="s">
        <v>623</v>
      </c>
      <c r="AL33">
        <f>AL22</f>
        <v>0</v>
      </c>
      <c r="DZ33" s="138"/>
      <c r="FI33" s="150">
        <v>8</v>
      </c>
      <c r="FJ33" t="str">
        <f t="shared" si="17"/>
        <v>hempen rope 50 ft</v>
      </c>
      <c r="FK33" t="str">
        <f t="shared" si="18"/>
        <v>1</v>
      </c>
      <c r="FY33" s="4" t="s">
        <v>309</v>
      </c>
    </row>
    <row r="34" spans="1:181" ht="17.25" thickBot="1" x14ac:dyDescent="0.35">
      <c r="A34" s="132">
        <f>IFERROR(IF(A33+1&lt;MAX(T041_ClassFeatures!$A$2:$A$2033),A33+1,""),"")</f>
        <v>31</v>
      </c>
      <c r="B34" s="131" t="str">
        <f>IFERROR(INDEX(T041_ClassFeatures!$B$2:$B$2033,MATCH('C03_ClassVariables'!A34,T041_ClassFeatures!$A$2:$A$2033,0),1),"")</f>
        <v>Diamond Soul</v>
      </c>
      <c r="C34" s="131">
        <f>IF(B34="",0,IF(IFERROR(MATCH(B34,'C01_BaseCalculation'!$W$160:$W$239,0),0)&gt;0,1,0))</f>
        <v>0</v>
      </c>
      <c r="D34" s="131"/>
      <c r="E34" s="131"/>
      <c r="F34" s="131"/>
      <c r="G34" s="131"/>
      <c r="H34" s="131"/>
      <c r="I34" s="131"/>
      <c r="J34" s="131"/>
      <c r="U34" s="288" t="s">
        <v>617</v>
      </c>
      <c r="V34" s="289" t="s">
        <v>3158</v>
      </c>
      <c r="W34" s="290">
        <f t="shared" si="14"/>
        <v>0</v>
      </c>
      <c r="AA34" s="321" t="s">
        <v>616</v>
      </c>
      <c r="AB34" s="270" t="s">
        <v>3377</v>
      </c>
      <c r="AC34" s="270">
        <f t="shared" si="10"/>
        <v>0</v>
      </c>
      <c r="AD34" s="271">
        <f>IFERROR(INDEX(T042_Leveling!$Y$4:$BH$23,MATCH('C03_ClassVariables'!$AC34,T042_Leveling!$A$4:$A$23,0),MATCH('C03_ClassVariables'!$AB34,T042_Leveling!$Y$3:$BH$3,0)),0)</f>
        <v>0</v>
      </c>
      <c r="AF34" t="s">
        <v>3202</v>
      </c>
      <c r="AG34">
        <f t="shared" si="19"/>
        <v>1</v>
      </c>
      <c r="AJ34">
        <v>9</v>
      </c>
      <c r="AK34" t="s">
        <v>625</v>
      </c>
      <c r="AL34">
        <f>AL23</f>
        <v>1</v>
      </c>
      <c r="DZ34" s="138"/>
      <c r="FI34" s="150">
        <v>9</v>
      </c>
      <c r="FJ34" t="str">
        <f t="shared" si="17"/>
        <v>common clothes</v>
      </c>
      <c r="FK34" t="str">
        <f t="shared" si="18"/>
        <v>1</v>
      </c>
      <c r="FY34" s="4" t="s">
        <v>319</v>
      </c>
    </row>
    <row r="35" spans="1:181" ht="16.5" x14ac:dyDescent="0.3">
      <c r="A35" s="132">
        <f>IFERROR(IF(A34+1&lt;MAX(T041_ClassFeatures!$A$2:$A$2033),A34+1,""),"")</f>
        <v>32</v>
      </c>
      <c r="B35" s="131" t="str">
        <f>IFERROR(INDEX(T041_ClassFeatures!$B$2:$B$2033,MATCH('C03_ClassVariables'!A35,T041_ClassFeatures!$A$2:$A$2033,0),1),"")</f>
        <v>Divine Domain</v>
      </c>
      <c r="C35" s="131">
        <f>IF(B35="",0,IF(IFERROR(MATCH(B35,'C01_BaseCalculation'!$W$160:$W$239,0),0)&gt;0,1,0))</f>
        <v>0</v>
      </c>
      <c r="D35" s="131"/>
      <c r="E35" s="131"/>
      <c r="F35" s="131"/>
      <c r="G35" s="131"/>
      <c r="H35" s="273"/>
      <c r="I35" s="274"/>
      <c r="J35" s="274"/>
      <c r="K35" s="275"/>
      <c r="L35" s="275" t="s">
        <v>4508</v>
      </c>
      <c r="M35" s="275" t="s">
        <v>4509</v>
      </c>
      <c r="N35" s="275" t="s">
        <v>4510</v>
      </c>
      <c r="O35" s="275" t="s">
        <v>4511</v>
      </c>
      <c r="P35" s="275" t="s">
        <v>4516</v>
      </c>
      <c r="Q35" s="275" t="s">
        <v>4517</v>
      </c>
      <c r="R35" s="275" t="s">
        <v>4518</v>
      </c>
      <c r="S35" s="275" t="s">
        <v>4519</v>
      </c>
      <c r="T35" s="275"/>
      <c r="U35" s="288" t="s">
        <v>617</v>
      </c>
      <c r="V35" s="289" t="s">
        <v>3159</v>
      </c>
      <c r="W35" s="290">
        <f t="shared" si="14"/>
        <v>0</v>
      </c>
      <c r="AA35" s="321" t="s">
        <v>616</v>
      </c>
      <c r="AB35" s="270" t="s">
        <v>3378</v>
      </c>
      <c r="AC35" s="270">
        <f t="shared" si="10"/>
        <v>0</v>
      </c>
      <c r="AD35" s="271">
        <f>IFERROR(INDEX(T042_Leveling!$Y$4:$BH$23,MATCH('C03_ClassVariables'!$AC35,T042_Leveling!$A$4:$A$23,0),MATCH('C03_ClassVariables'!$AB35,T042_Leveling!$Y$3:$BH$3,0)),0)</f>
        <v>0</v>
      </c>
      <c r="DZ35" s="138"/>
      <c r="FI35" s="150">
        <v>10</v>
      </c>
      <c r="FJ35" t="str">
        <f t="shared" si="17"/>
        <v>bottle of black ink</v>
      </c>
      <c r="FK35" t="str">
        <f t="shared" si="18"/>
        <v>1</v>
      </c>
      <c r="FY35" s="4" t="s">
        <v>357</v>
      </c>
    </row>
    <row r="36" spans="1:181" ht="16.5" x14ac:dyDescent="0.3">
      <c r="A36" s="132">
        <f>IFERROR(IF(A35+1&lt;MAX(T041_ClassFeatures!$A$2:$A$2033),A35+1,""),"")</f>
        <v>33</v>
      </c>
      <c r="B36" s="131" t="str">
        <f>IFERROR(INDEX(T041_ClassFeatures!$B$2:$B$2033,MATCH('C03_ClassVariables'!A36,T041_ClassFeatures!$A$2:$A$2033,0),1),"")</f>
        <v>Divine Domain Feature1-1</v>
      </c>
      <c r="C36" s="131">
        <f>IF(B36="",0,IF(IFERROR(MATCH(B36,'C01_BaseCalculation'!$W$160:$W$239,0),0)&gt;0,1,0))</f>
        <v>0</v>
      </c>
      <c r="D36" s="131"/>
      <c r="E36" s="131"/>
      <c r="F36" s="131"/>
      <c r="G36" s="131"/>
      <c r="H36" s="276"/>
      <c r="I36" s="277"/>
      <c r="J36" s="277"/>
      <c r="K36" s="278"/>
      <c r="L36" s="278" t="str">
        <f>IFERROR(INDEX($P$37:$S$37,1,L37),"")</f>
        <v>Fighter</v>
      </c>
      <c r="M36" s="278" t="str">
        <f>IFERROR(INDEX($P$37:$S$37,1,M37),"")</f>
        <v/>
      </c>
      <c r="N36" s="278" t="str">
        <f>IFERROR(INDEX($P$37:$S$37,1,N37),"")</f>
        <v/>
      </c>
      <c r="O36" s="278" t="str">
        <f>IFERROR(INDEX($P$37:$S$37,1,O37),"")</f>
        <v/>
      </c>
      <c r="P36" s="278" t="str">
        <f>IFERROR(INDEX('C01_BaseCalculation'!$R$160:$R$239,MATCH("Fighting Style (ranger)",'C01_BaseCalculation'!$W$160:$W$239,0),1),"")</f>
        <v/>
      </c>
      <c r="Q36" s="278" t="str">
        <f>IFERROR(INDEX('C01_BaseCalculation'!$R$160:$R$239,MATCH("Fighting Style (paladin)",'C01_BaseCalculation'!$W$160:$W$239,0),1),"")</f>
        <v/>
      </c>
      <c r="R36" s="278">
        <f>IFERROR(INDEX('C01_BaseCalculation'!$R$160:$R$239,MATCH("Fighting Style (fighter)",'C01_BaseCalculation'!$W$160:$W$239,0),1),"")</f>
        <v>1</v>
      </c>
      <c r="S36" s="278" t="str">
        <f>IFERROR(INDEX('C01_BaseCalculation'!$R$160:$R$239,MATCH("Additional Fighting Style",'C01_BaseCalculation'!$W$160:$W$239,0),1),"")</f>
        <v/>
      </c>
      <c r="T36" s="278"/>
      <c r="U36" s="288" t="s">
        <v>618</v>
      </c>
      <c r="V36" s="289" t="s">
        <v>3161</v>
      </c>
      <c r="W36" s="290">
        <f t="shared" si="14"/>
        <v>0</v>
      </c>
      <c r="AA36" s="321" t="s">
        <v>616</v>
      </c>
      <c r="AB36" s="270" t="s">
        <v>3379</v>
      </c>
      <c r="AC36" s="270">
        <f t="shared" si="10"/>
        <v>0</v>
      </c>
      <c r="AD36" s="271">
        <f>IFERROR(INDEX(T042_Leveling!$Y$4:$BH$23,MATCH('C03_ClassVariables'!$AC36,T042_Leveling!$A$4:$A$23,0),MATCH('C03_ClassVariables'!$AB36,T042_Leveling!$Y$3:$BH$3,0)),0)</f>
        <v>0</v>
      </c>
      <c r="DZ36" s="138"/>
      <c r="FI36" s="150">
        <v>11</v>
      </c>
      <c r="FJ36" t="str">
        <f t="shared" si="17"/>
        <v>quill</v>
      </c>
      <c r="FK36" t="str">
        <f t="shared" si="18"/>
        <v>1</v>
      </c>
      <c r="FY36" s="4" t="s">
        <v>410</v>
      </c>
    </row>
    <row r="37" spans="1:181" ht="16.5" x14ac:dyDescent="0.3">
      <c r="A37" s="132">
        <f>IFERROR(IF(A36+1&lt;MAX(T041_ClassFeatures!$A$2:$A$2033),A36+1,""),"")</f>
        <v>34</v>
      </c>
      <c r="B37" s="131" t="str">
        <f>IFERROR(INDEX(T041_ClassFeatures!$B$2:$B$2033,MATCH('C03_ClassVariables'!A37,T041_ClassFeatures!$A$2:$A$2033,0),1),"")</f>
        <v>Divine Domain Feature1-2</v>
      </c>
      <c r="C37" s="131">
        <f>IF(B37="",0,IF(IFERROR(MATCH(B37,'C01_BaseCalculation'!$W$160:$W$239,0),0)&gt;0,1,0))</f>
        <v>0</v>
      </c>
      <c r="D37" s="131"/>
      <c r="E37" s="131"/>
      <c r="F37" s="131"/>
      <c r="G37" s="131"/>
      <c r="H37" s="276"/>
      <c r="I37" s="277"/>
      <c r="J37" s="277"/>
      <c r="K37" s="278"/>
      <c r="L37" s="278">
        <f>IFERROR(MATCH(SMALL($P$36:$S$36,1),$P$36:$S$36,0),"")</f>
        <v>3</v>
      </c>
      <c r="M37" s="278" t="str">
        <f>IFERROR(MATCH(SMALL($P$36:$S$36,2),$P$36:$S$36,0),"")</f>
        <v/>
      </c>
      <c r="N37" s="278" t="str">
        <f>IFERROR(MATCH(SMALL($P$36:$S$36,3),$P$36:$S$36,0),"")</f>
        <v/>
      </c>
      <c r="O37" s="278" t="str">
        <f>IFERROR(MATCH(SMALL($P$36:$S$36,4),$P$36:$S$36,0),"")</f>
        <v/>
      </c>
      <c r="P37" s="278" t="s">
        <v>621</v>
      </c>
      <c r="Q37" s="278" t="s">
        <v>1110</v>
      </c>
      <c r="R37" s="278" t="s">
        <v>619</v>
      </c>
      <c r="S37" s="278" t="s">
        <v>4522</v>
      </c>
      <c r="T37" s="278"/>
      <c r="U37" s="288" t="s">
        <v>618</v>
      </c>
      <c r="V37" s="289" t="s">
        <v>3160</v>
      </c>
      <c r="W37" s="290">
        <f t="shared" si="14"/>
        <v>0</v>
      </c>
      <c r="AA37" s="321" t="s">
        <v>621</v>
      </c>
      <c r="AB37" s="270" t="s">
        <v>3583</v>
      </c>
      <c r="AC37" s="270">
        <f t="shared" si="10"/>
        <v>0</v>
      </c>
      <c r="AD37" s="322">
        <f>COUNTIF(ClassTraitList1,"Favored Enemy")</f>
        <v>0</v>
      </c>
      <c r="DZ37" s="138"/>
      <c r="FI37" s="150">
        <v>12</v>
      </c>
      <c r="FJ37" t="str">
        <f>IFERROR(INDEX($FJ$3:$FJ$22,MATCH(FI37,$FL$3:$FL$22,0),1),"")&amp;IFERROR(INDEX($FO$3:$FO$9,MATCH(FI37,$FP$3:$FP$9,0),1),"")&amp;IFERROR(INDEX($FS$3:$FS$17,MATCH(FI37,$FU$3:$FU$17,0),1),"")</f>
        <v>small knife</v>
      </c>
      <c r="FK37" t="str">
        <f t="shared" si="18"/>
        <v/>
      </c>
      <c r="FY37" s="4" t="s">
        <v>426</v>
      </c>
    </row>
    <row r="38" spans="1:181" ht="16.5" x14ac:dyDescent="0.3">
      <c r="A38" s="132">
        <f>IFERROR(IF(A37+1&lt;MAX(T041_ClassFeatures!$A$2:$A$2033),A37+1,""),"")</f>
        <v>35</v>
      </c>
      <c r="B38" s="131" t="str">
        <f>IFERROR(INDEX(T041_ClassFeatures!$B$2:$B$2033,MATCH('C03_ClassVariables'!A38,T041_ClassFeatures!$A$2:$A$2033,0),1),"")</f>
        <v>Divine Domain Feature2</v>
      </c>
      <c r="C38" s="131">
        <f>IF(B38="",0,IF(IFERROR(MATCH(B38,'C01_BaseCalculation'!$W$160:$W$239,0),0)&gt;0,1,0))</f>
        <v>0</v>
      </c>
      <c r="D38" s="131"/>
      <c r="E38" s="131"/>
      <c r="F38" s="131"/>
      <c r="G38" s="131"/>
      <c r="H38" s="276"/>
      <c r="I38" s="277"/>
      <c r="J38" s="277" t="s">
        <v>3197</v>
      </c>
      <c r="K38" s="278">
        <v>1</v>
      </c>
      <c r="L38" s="278" t="str">
        <f t="shared" ref="L38:O47" si="20">IFERROR(INDEX($P$38:$S$47,$K38,L$37),"")</f>
        <v>Archery</v>
      </c>
      <c r="M38" s="278" t="str">
        <f t="shared" si="20"/>
        <v/>
      </c>
      <c r="N38" s="278" t="str">
        <f t="shared" si="20"/>
        <v/>
      </c>
      <c r="O38" s="278" t="str">
        <f t="shared" si="20"/>
        <v/>
      </c>
      <c r="P38" s="278" t="str">
        <f>IF($AD$43=1,IFERROR(IF(INDEX(T041_ClassFeatures!$W$2:$AG$1001,MATCH("Fighting Style (ranger)",T041_ClassFeatures!$B$2:$B$1001,0),'C03_ClassVariables'!$K38)="","",INDEX(T041_ClassFeatures!$W$2:$AG$1001,MATCH("Fighting Style (ranger)",T041_ClassFeatures!$B$2:$B$1001,0),'C03_ClassVariables'!$K38)),""),"")</f>
        <v/>
      </c>
      <c r="Q38" s="278" t="str">
        <f>IF($AD$44=1,IFERROR(IF(INDEX(T041_ClassFeatures!$W$2:$AG$1001,MATCH("Fighting Style (paladin)",T041_ClassFeatures!$B$2:$B$1001,0),'C03_ClassVariables'!$K38)="","",INDEX(T041_ClassFeatures!$W$2:$AG$1001,MATCH("Fighting Style (paladin)",T041_ClassFeatures!$B$2:$B$1001,0),'C03_ClassVariables'!$K38)),""),"")</f>
        <v/>
      </c>
      <c r="R38" s="278" t="str">
        <f>IF($AD$45=1,IFERROR(IF(INDEX(T041_ClassFeatures!$W$2:$AG$1001,MATCH("Fighting Style (fighter)",T041_ClassFeatures!$B$2:$B$1001,0),'C03_ClassVariables'!$K38)="","",INDEX(T041_ClassFeatures!$W$2:$AG$1001,MATCH("Fighting Style (fighter)",T041_ClassFeatures!$B$2:$B$1001,0),'C03_ClassVariables'!$K38)),""),"")</f>
        <v>Archery</v>
      </c>
      <c r="S38" s="278" t="str">
        <f>IF($AD$46=1,IFERROR(IF(INDEX(T041_ClassFeatures!$W$2:$AG$1001,MATCH("Additional Fighting Style",T041_ClassFeatures!$B$2:$B$1001,0),'C03_ClassVariables'!$K38)="","",INDEX(T041_ClassFeatures!$W$2:$AG$1001,MATCH("Additional Fighting Style",T041_ClassFeatures!$B$2:$B$1001,0),'C03_ClassVariables'!$K38)),""),"")</f>
        <v/>
      </c>
      <c r="T38" s="278"/>
      <c r="U38" s="288" t="s">
        <v>619</v>
      </c>
      <c r="V38" s="289" t="s">
        <v>3162</v>
      </c>
      <c r="W38" s="290">
        <f>IFERROR(IF(INDEX($Q$4:$Q$9,MATCH($V38,$O$4:$O$9,0),1)="",0,INDEX($Q$4:$Q$9,MATCH($V38,$O$4:$O$9,0),1)),0)</f>
        <v>0</v>
      </c>
      <c r="X38" t="s">
        <v>3162</v>
      </c>
      <c r="AA38" s="321" t="s">
        <v>621</v>
      </c>
      <c r="AB38" s="270" t="s">
        <v>3584</v>
      </c>
      <c r="AC38" s="270">
        <f t="shared" si="10"/>
        <v>0</v>
      </c>
      <c r="AD38" s="322">
        <f>COUNTIF(ClassTraitList1,"Natural Explorer")</f>
        <v>0</v>
      </c>
      <c r="DZ38" s="138"/>
      <c r="FI38" s="150">
        <v>13</v>
      </c>
      <c r="FJ38" t="str">
        <f t="shared" ref="FJ38:FJ55" si="21">IFERROR(INDEX($FJ$3:$FJ$22,MATCH(FI38,$FL$3:$FL$22,0),1),"")&amp;IFERROR(INDEX($FO$3:$FO$9,MATCH(FI38,$FP$3:$FP$9,0),1),"")&amp;IFERROR(INDEX($FS$3:$FS$17,MATCH(FI38,$FU$3:$FU$17,0),1),"")</f>
        <v>a letter from a dead colleague posing a question you have not yet been able to answe</v>
      </c>
      <c r="FK38" t="str">
        <f t="shared" si="18"/>
        <v/>
      </c>
      <c r="FY38" s="4" t="s">
        <v>438</v>
      </c>
    </row>
    <row r="39" spans="1:181" ht="16.5" x14ac:dyDescent="0.3">
      <c r="A39" s="132">
        <f>IFERROR(IF(A38+1&lt;MAX(T041_ClassFeatures!$A$2:$A$2033),A38+1,""),"")</f>
        <v>36</v>
      </c>
      <c r="B39" s="131" t="str">
        <f>IFERROR(INDEX(T041_ClassFeatures!$B$2:$B$2033,MATCH('C03_ClassVariables'!A39,T041_ClassFeatures!$A$2:$A$2033,0),1),"")</f>
        <v>Divine Domain Feature6</v>
      </c>
      <c r="C39" s="131">
        <f>IF(B39="",0,IF(IFERROR(MATCH(B39,'C01_BaseCalculation'!$W$160:$W$239,0),0)&gt;0,1,0))</f>
        <v>0</v>
      </c>
      <c r="D39" s="131"/>
      <c r="E39" s="131"/>
      <c r="F39" s="131"/>
      <c r="G39" s="131"/>
      <c r="H39" s="276"/>
      <c r="I39" s="277"/>
      <c r="J39" s="277" t="s">
        <v>3198</v>
      </c>
      <c r="K39" s="278">
        <v>2</v>
      </c>
      <c r="L39" s="278" t="str">
        <f t="shared" si="20"/>
        <v>Defense</v>
      </c>
      <c r="M39" s="278" t="str">
        <f t="shared" si="20"/>
        <v/>
      </c>
      <c r="N39" s="278" t="str">
        <f t="shared" si="20"/>
        <v/>
      </c>
      <c r="O39" s="278" t="str">
        <f t="shared" si="20"/>
        <v/>
      </c>
      <c r="P39" s="278" t="str">
        <f>IF($AD$43=1,IFERROR(IF(INDEX(T041_ClassFeatures!$W$2:$AG$1001,MATCH("Fighting Style (ranger)",T041_ClassFeatures!$B$2:$B$1001,0),'C03_ClassVariables'!$K39)="","",INDEX(T041_ClassFeatures!$W$2:$AG$1001,MATCH("Fighting Style (ranger)",T041_ClassFeatures!$B$2:$B$1001,0),'C03_ClassVariables'!$K39)),""),"")</f>
        <v/>
      </c>
      <c r="Q39" s="278" t="str">
        <f>IF($AD$44=1,IFERROR(IF(INDEX(T041_ClassFeatures!$W$2:$AG$1001,MATCH("Fighting Style (paladin)",T041_ClassFeatures!$B$2:$B$1001,0),'C03_ClassVariables'!$K39)="","",INDEX(T041_ClassFeatures!$W$2:$AG$1001,MATCH("Fighting Style (paladin)",T041_ClassFeatures!$B$2:$B$1001,0),'C03_ClassVariables'!$K39)),""),"")</f>
        <v/>
      </c>
      <c r="R39" s="278" t="str">
        <f>IF($AD$45=1,IFERROR(IF(INDEX(T041_ClassFeatures!$W$2:$AG$1001,MATCH("Fighting Style (fighter)",T041_ClassFeatures!$B$2:$B$1001,0),'C03_ClassVariables'!$K39)="","",INDEX(T041_ClassFeatures!$W$2:$AG$1001,MATCH("Fighting Style (fighter)",T041_ClassFeatures!$B$2:$B$1001,0),'C03_ClassVariables'!$K39)),""),"")</f>
        <v>Defense</v>
      </c>
      <c r="S39" s="278" t="str">
        <f>IF($AD$46=1,IFERROR(IF(INDEX(T041_ClassFeatures!$W$2:$AG$1001,MATCH("Additional Fighting Style",T041_ClassFeatures!$B$2:$B$1001,0),'C03_ClassVariables'!$K39)="","",INDEX(T041_ClassFeatures!$W$2:$AG$1001,MATCH("Additional Fighting Style",T041_ClassFeatures!$B$2:$B$1001,0),'C03_ClassVariables'!$K39)),""),"")</f>
        <v/>
      </c>
      <c r="T39" s="278"/>
      <c r="U39" s="288" t="s">
        <v>619</v>
      </c>
      <c r="V39" s="289" t="s">
        <v>3163</v>
      </c>
      <c r="W39" s="290">
        <f t="shared" si="14"/>
        <v>0</v>
      </c>
      <c r="AA39" s="321" t="s">
        <v>621</v>
      </c>
      <c r="AB39" s="270" t="s">
        <v>3585</v>
      </c>
      <c r="AC39" s="270">
        <f t="shared" si="10"/>
        <v>0</v>
      </c>
      <c r="AD39" s="322">
        <f>(COUNTIF(ClassTraitList_WorkName,"Ranger Archetype Feature3")+COUNTIF(ClassTraitList_WorkName,"Ranger Archetype Feature7")+COUNTIF(ClassTraitList_WorkName,"Ranger Archetype Feature11")+COUNTIF(ClassTraitList_WorkName,"Ranger Archetype Feature15"))*COUNTIF($O$4:$O$9,"Hunter")</f>
        <v>0</v>
      </c>
      <c r="DZ39" s="138"/>
      <c r="FI39" s="150">
        <v>14</v>
      </c>
      <c r="FJ39" t="str">
        <f t="shared" si="21"/>
        <v>belt pouch</v>
      </c>
      <c r="FK39" t="str">
        <f t="shared" si="18"/>
        <v/>
      </c>
      <c r="FY39" s="4" t="s">
        <v>447</v>
      </c>
    </row>
    <row r="40" spans="1:181" ht="16.5" x14ac:dyDescent="0.3">
      <c r="A40" s="132">
        <f>IFERROR(IF(A39+1&lt;MAX(T041_ClassFeatures!$A$2:$A$2033),A39+1,""),"")</f>
        <v>37</v>
      </c>
      <c r="B40" s="131" t="str">
        <f>IFERROR(INDEX(T041_ClassFeatures!$B$2:$B$2033,MATCH('C03_ClassVariables'!A40,T041_ClassFeatures!$A$2:$A$2033,0),1),"")</f>
        <v>Divine Domain Feature8</v>
      </c>
      <c r="C40" s="131">
        <f>IF(B40="",0,IF(IFERROR(MATCH(B40,'C01_BaseCalculation'!$W$160:$W$239,0),0)&gt;0,1,0))</f>
        <v>0</v>
      </c>
      <c r="D40" s="131"/>
      <c r="E40" s="131"/>
      <c r="F40" s="131"/>
      <c r="G40" s="131"/>
      <c r="H40" s="276"/>
      <c r="I40" s="277"/>
      <c r="J40" s="277" t="s">
        <v>3199</v>
      </c>
      <c r="K40" s="278">
        <v>3</v>
      </c>
      <c r="L40" s="278" t="str">
        <f t="shared" si="20"/>
        <v>Dueling</v>
      </c>
      <c r="M40" s="278" t="str">
        <f t="shared" si="20"/>
        <v/>
      </c>
      <c r="N40" s="278" t="str">
        <f t="shared" si="20"/>
        <v/>
      </c>
      <c r="O40" s="278" t="str">
        <f t="shared" si="20"/>
        <v/>
      </c>
      <c r="P40" s="278" t="str">
        <f>IF($AD$43=1,IFERROR(IF(INDEX(T041_ClassFeatures!$W$2:$AG$1001,MATCH("Fighting Style (ranger)",T041_ClassFeatures!$B$2:$B$1001,0),'C03_ClassVariables'!$K40)="","",INDEX(T041_ClassFeatures!$W$2:$AG$1001,MATCH("Fighting Style (ranger)",T041_ClassFeatures!$B$2:$B$1001,0),'C03_ClassVariables'!$K40)),""),"")</f>
        <v/>
      </c>
      <c r="Q40" s="278" t="str">
        <f>IF($AD$44=1,IFERROR(IF(INDEX(T041_ClassFeatures!$W$2:$AG$1001,MATCH("Fighting Style (paladin)",T041_ClassFeatures!$B$2:$B$1001,0),'C03_ClassVariables'!$K40)="","",INDEX(T041_ClassFeatures!$W$2:$AG$1001,MATCH("Fighting Style (paladin)",T041_ClassFeatures!$B$2:$B$1001,0),'C03_ClassVariables'!$K40)),""),"")</f>
        <v/>
      </c>
      <c r="R40" s="278" t="str">
        <f>IF($AD$45=1,IFERROR(IF(INDEX(T041_ClassFeatures!$W$2:$AG$1001,MATCH("Fighting Style (fighter)",T041_ClassFeatures!$B$2:$B$1001,0),'C03_ClassVariables'!$K40)="","",INDEX(T041_ClassFeatures!$W$2:$AG$1001,MATCH("Fighting Style (fighter)",T041_ClassFeatures!$B$2:$B$1001,0),'C03_ClassVariables'!$K40)),""),"")</f>
        <v>Dueling</v>
      </c>
      <c r="S40" s="278" t="str">
        <f>IF($AD$46=1,IFERROR(IF(INDEX(T041_ClassFeatures!$W$2:$AG$1001,MATCH("Additional Fighting Style",T041_ClassFeatures!$B$2:$B$1001,0),'C03_ClassVariables'!$K40)="","",INDEX(T041_ClassFeatures!$W$2:$AG$1001,MATCH("Additional Fighting Style",T041_ClassFeatures!$B$2:$B$1001,0),'C03_ClassVariables'!$K40)),""),"")</f>
        <v/>
      </c>
      <c r="T40" s="278"/>
      <c r="U40" s="288" t="s">
        <v>619</v>
      </c>
      <c r="V40" s="289" t="s">
        <v>3164</v>
      </c>
      <c r="W40" s="290">
        <f t="shared" si="14"/>
        <v>12</v>
      </c>
      <c r="AA40" s="323" t="s">
        <v>620</v>
      </c>
      <c r="AB40" s="136" t="s">
        <v>3587</v>
      </c>
      <c r="AC40" s="270">
        <f t="shared" si="10"/>
        <v>0</v>
      </c>
      <c r="AD40" s="324">
        <f>IF(V9="Way of the Four Elements",1,0)*IF(AC40&lt;3,0,IF(AC40&lt;6,1,IF(AC40&lt;11,2,IF(AC40&lt;17,3,4))))</f>
        <v>0</v>
      </c>
      <c r="DZ40" s="138"/>
      <c r="FI40" s="150">
        <v>15</v>
      </c>
      <c r="FJ40" t="str">
        <f t="shared" si="21"/>
        <v>Club</v>
      </c>
      <c r="FK40" t="str">
        <f t="shared" si="18"/>
        <v>1</v>
      </c>
      <c r="FY40" s="4" t="s">
        <v>466</v>
      </c>
    </row>
    <row r="41" spans="1:181" ht="16.5" x14ac:dyDescent="0.3">
      <c r="A41" s="132">
        <f>IFERROR(IF(A40+1&lt;MAX(T041_ClassFeatures!$A$2:$A$2033),A40+1,""),"")</f>
        <v>38</v>
      </c>
      <c r="B41" s="131" t="str">
        <f>IFERROR(INDEX(T041_ClassFeatures!$B$2:$B$2033,MATCH('C03_ClassVariables'!A41,T041_ClassFeatures!$A$2:$A$2033,0),1),"")</f>
        <v>Divine Domain Feature17</v>
      </c>
      <c r="C41" s="131">
        <f>IF(B41="",0,IF(IFERROR(MATCH(B41,'C01_BaseCalculation'!$W$160:$W$239,0),0)&gt;0,1,0))</f>
        <v>0</v>
      </c>
      <c r="D41" s="131"/>
      <c r="E41" s="131"/>
      <c r="F41" s="131"/>
      <c r="G41" s="131"/>
      <c r="H41" s="276"/>
      <c r="I41" s="277"/>
      <c r="J41" s="277" t="s">
        <v>3200</v>
      </c>
      <c r="K41" s="278">
        <v>4</v>
      </c>
      <c r="L41" s="278" t="str">
        <f t="shared" si="20"/>
        <v>Great Weapon Fighting</v>
      </c>
      <c r="M41" s="278" t="str">
        <f t="shared" si="20"/>
        <v/>
      </c>
      <c r="N41" s="278" t="str">
        <f t="shared" si="20"/>
        <v/>
      </c>
      <c r="O41" s="278" t="str">
        <f t="shared" si="20"/>
        <v/>
      </c>
      <c r="P41" s="278" t="str">
        <f>IF($AD$43=1,IFERROR(IF(INDEX(T041_ClassFeatures!$W$2:$AG$1001,MATCH("Fighting Style (ranger)",T041_ClassFeatures!$B$2:$B$1001,0),'C03_ClassVariables'!$K41)="","",INDEX(T041_ClassFeatures!$W$2:$AG$1001,MATCH("Fighting Style (ranger)",T041_ClassFeatures!$B$2:$B$1001,0),'C03_ClassVariables'!$K41)),""),"")</f>
        <v/>
      </c>
      <c r="Q41" s="278" t="str">
        <f>IF($AD$44=1,IFERROR(IF(INDEX(T041_ClassFeatures!$W$2:$AG$1001,MATCH("Fighting Style (paladin)",T041_ClassFeatures!$B$2:$B$1001,0),'C03_ClassVariables'!$K41)="","",INDEX(T041_ClassFeatures!$W$2:$AG$1001,MATCH("Fighting Style (paladin)",T041_ClassFeatures!$B$2:$B$1001,0),'C03_ClassVariables'!$K41)),""),"")</f>
        <v/>
      </c>
      <c r="R41" s="278" t="str">
        <f>IF($AD$45=1,IFERROR(IF(INDEX(T041_ClassFeatures!$W$2:$AG$1001,MATCH("Fighting Style (fighter)",T041_ClassFeatures!$B$2:$B$1001,0),'C03_ClassVariables'!$K41)="","",INDEX(T041_ClassFeatures!$W$2:$AG$1001,MATCH("Fighting Style (fighter)",T041_ClassFeatures!$B$2:$B$1001,0),'C03_ClassVariables'!$K41)),""),"")</f>
        <v>Great Weapon Fighting</v>
      </c>
      <c r="S41" s="278" t="str">
        <f>IF($AD$46=1,IFERROR(IF(INDEX(T041_ClassFeatures!$W$2:$AG$1001,MATCH("Additional Fighting Style",T041_ClassFeatures!$B$2:$B$1001,0),'C03_ClassVariables'!$K41)="","",INDEX(T041_ClassFeatures!$W$2:$AG$1001,MATCH("Additional Fighting Style",T041_ClassFeatures!$B$2:$B$1001,0),'C03_ClassVariables'!$K41)),""),"")</f>
        <v/>
      </c>
      <c r="T41" s="278"/>
      <c r="U41" s="288" t="s">
        <v>620</v>
      </c>
      <c r="V41" s="289" t="s">
        <v>3165</v>
      </c>
      <c r="W41" s="290">
        <f t="shared" si="14"/>
        <v>0</v>
      </c>
      <c r="AA41" s="333" t="s">
        <v>616</v>
      </c>
      <c r="AB41" s="334" t="s">
        <v>3594</v>
      </c>
      <c r="AC41" s="334">
        <f t="shared" si="10"/>
        <v>0</v>
      </c>
      <c r="AD41" s="335">
        <f>COUNTIF('C01_BaseCalculation'!$W$160:$W$239,"Totem Spirit")+COUNTIF('C01_BaseCalculation'!$W$160:$W$239,"Aspect of the Beast")+COUNTIF('C01_BaseCalculation'!$W$160:$W$239,"Totemic Attunement")</f>
        <v>0</v>
      </c>
      <c r="DZ41" s="138"/>
      <c r="FI41" s="150">
        <v>16</v>
      </c>
      <c r="FJ41" t="str">
        <f t="shared" si="21"/>
        <v>Shortbow</v>
      </c>
      <c r="FK41" t="str">
        <f t="shared" si="18"/>
        <v>1</v>
      </c>
    </row>
    <row r="42" spans="1:181" ht="16.5" x14ac:dyDescent="0.3">
      <c r="A42" s="132">
        <f>IFERROR(IF(A41+1&lt;MAX(T041_ClassFeatures!$A$2:$A$2033),A41+1,""),"")</f>
        <v>39</v>
      </c>
      <c r="B42" s="131" t="str">
        <f>IFERROR(INDEX(T041_ClassFeatures!$B$2:$B$2033,MATCH('C03_ClassVariables'!A42,T041_ClassFeatures!$A$2:$A$2033,0),1),"")</f>
        <v>Divine Intervention</v>
      </c>
      <c r="C42" s="131">
        <f>IF(B42="",0,IF(IFERROR(MATCH(B42,'C01_BaseCalculation'!$W$160:$W$239,0),0)&gt;0,1,0))</f>
        <v>0</v>
      </c>
      <c r="D42" s="131"/>
      <c r="E42" s="131"/>
      <c r="F42" s="131"/>
      <c r="G42" s="131"/>
      <c r="H42" s="276"/>
      <c r="I42" s="277"/>
      <c r="J42" s="277" t="s">
        <v>3201</v>
      </c>
      <c r="K42" s="278">
        <v>5</v>
      </c>
      <c r="L42" s="278" t="str">
        <f t="shared" si="20"/>
        <v>Protection</v>
      </c>
      <c r="M42" s="278" t="str">
        <f t="shared" si="20"/>
        <v/>
      </c>
      <c r="N42" s="278" t="str">
        <f t="shared" si="20"/>
        <v/>
      </c>
      <c r="O42" s="278" t="str">
        <f t="shared" si="20"/>
        <v/>
      </c>
      <c r="P42" s="278" t="str">
        <f>IF($AD$43=1,IFERROR(IF(INDEX(T041_ClassFeatures!$W$2:$AG$1001,MATCH("Fighting Style (ranger)",T041_ClassFeatures!$B$2:$B$1001,0),'C03_ClassVariables'!$K42)="","",INDEX(T041_ClassFeatures!$W$2:$AG$1001,MATCH("Fighting Style (ranger)",T041_ClassFeatures!$B$2:$B$1001,0),'C03_ClassVariables'!$K42)),""),"")</f>
        <v/>
      </c>
      <c r="Q42" s="278" t="str">
        <f>IF($AD$44=1,IFERROR(IF(INDEX(T041_ClassFeatures!$W$2:$AG$1001,MATCH("Fighting Style (paladin)",T041_ClassFeatures!$B$2:$B$1001,0),'C03_ClassVariables'!$K42)="","",INDEX(T041_ClassFeatures!$W$2:$AG$1001,MATCH("Fighting Style (paladin)",T041_ClassFeatures!$B$2:$B$1001,0),'C03_ClassVariables'!$K42)),""),"")</f>
        <v/>
      </c>
      <c r="R42" s="278" t="str">
        <f>IF($AD$45=1,IFERROR(IF(INDEX(T041_ClassFeatures!$W$2:$AG$1001,MATCH("Fighting Style (fighter)",T041_ClassFeatures!$B$2:$B$1001,0),'C03_ClassVariables'!$K42)="","",INDEX(T041_ClassFeatures!$W$2:$AG$1001,MATCH("Fighting Style (fighter)",T041_ClassFeatures!$B$2:$B$1001,0),'C03_ClassVariables'!$K42)),""),"")</f>
        <v>Protection</v>
      </c>
      <c r="S42" s="278" t="str">
        <f>IF($AD$46=1,IFERROR(IF(INDEX(T041_ClassFeatures!$W$2:$AG$1001,MATCH("Additional Fighting Style",T041_ClassFeatures!$B$2:$B$1001,0),'C03_ClassVariables'!$K42)="","",INDEX(T041_ClassFeatures!$W$2:$AG$1001,MATCH("Additional Fighting Style",T041_ClassFeatures!$B$2:$B$1001,0),'C03_ClassVariables'!$K42)),""),"")</f>
        <v/>
      </c>
      <c r="T42" s="278"/>
      <c r="U42" s="288" t="s">
        <v>620</v>
      </c>
      <c r="V42" s="289" t="s">
        <v>3166</v>
      </c>
      <c r="W42" s="290">
        <f t="shared" si="14"/>
        <v>0</v>
      </c>
      <c r="AA42" s="321" t="s">
        <v>3597</v>
      </c>
      <c r="AB42" s="270" t="s">
        <v>3598</v>
      </c>
      <c r="AC42" s="270"/>
      <c r="AD42" s="324">
        <f>COUNTIF(Character_Creation!D210:F241,"Ability Score Improvement")</f>
        <v>5</v>
      </c>
      <c r="DZ42" s="138"/>
      <c r="FI42" s="150">
        <v>17</v>
      </c>
      <c r="FJ42" t="str">
        <f t="shared" si="21"/>
        <v>n/a</v>
      </c>
      <c r="FK42" t="str">
        <f t="shared" si="18"/>
        <v>1</v>
      </c>
    </row>
    <row r="43" spans="1:181" ht="16.5" x14ac:dyDescent="0.3">
      <c r="A43" s="132">
        <f>IFERROR(IF(A42+1&lt;MAX(T041_ClassFeatures!$A$2:$A$2033),A42+1,""),"")</f>
        <v>40</v>
      </c>
      <c r="B43" s="131" t="str">
        <f>IFERROR(INDEX(T041_ClassFeatures!$B$2:$B$2033,MATCH('C03_ClassVariables'!A43,T041_ClassFeatures!$A$2:$A$2033,0),1),"")</f>
        <v>Divine Intervention Improvement</v>
      </c>
      <c r="C43" s="131">
        <f>IF(B43="",0,IF(IFERROR(MATCH(B43,'C01_BaseCalculation'!$W$160:$W$239,0),0)&gt;0,1,0))</f>
        <v>0</v>
      </c>
      <c r="D43" s="131"/>
      <c r="E43" s="131"/>
      <c r="F43" s="131"/>
      <c r="G43" s="131"/>
      <c r="H43" s="276"/>
      <c r="I43" s="277"/>
      <c r="J43" s="277" t="s">
        <v>3202</v>
      </c>
      <c r="K43" s="278">
        <v>6</v>
      </c>
      <c r="L43" s="278" t="str">
        <f t="shared" si="20"/>
        <v>Two-Weapon Fighting</v>
      </c>
      <c r="M43" s="278" t="str">
        <f t="shared" si="20"/>
        <v/>
      </c>
      <c r="N43" s="278" t="str">
        <f t="shared" si="20"/>
        <v/>
      </c>
      <c r="O43" s="278" t="str">
        <f t="shared" si="20"/>
        <v/>
      </c>
      <c r="P43" s="278" t="str">
        <f>IF($AD$43=1,IFERROR(IF(INDEX(T041_ClassFeatures!$W$2:$AG$1001,MATCH("Fighting Style (ranger)",T041_ClassFeatures!$B$2:$B$1001,0),'C03_ClassVariables'!$K43)="","",INDEX(T041_ClassFeatures!$W$2:$AG$1001,MATCH("Fighting Style (ranger)",T041_ClassFeatures!$B$2:$B$1001,0),'C03_ClassVariables'!$K43)),""),"")</f>
        <v/>
      </c>
      <c r="Q43" s="278" t="str">
        <f>IF($AD$44=1,IFERROR(IF(INDEX(T041_ClassFeatures!$W$2:$AG$1001,MATCH("Fighting Style (paladin)",T041_ClassFeatures!$B$2:$B$1001,0),'C03_ClassVariables'!$K43)="","",INDEX(T041_ClassFeatures!$W$2:$AG$1001,MATCH("Fighting Style (paladin)",T041_ClassFeatures!$B$2:$B$1001,0),'C03_ClassVariables'!$K43)),""),"")</f>
        <v/>
      </c>
      <c r="R43" s="278" t="str">
        <f>IF($AD$45=1,IFERROR(IF(INDEX(T041_ClassFeatures!$W$2:$AG$1001,MATCH("Fighting Style (fighter)",T041_ClassFeatures!$B$2:$B$1001,0),'C03_ClassVariables'!$K43)="","",INDEX(T041_ClassFeatures!$W$2:$AG$1001,MATCH("Fighting Style (fighter)",T041_ClassFeatures!$B$2:$B$1001,0),'C03_ClassVariables'!$K43)),""),"")</f>
        <v>Two-Weapon Fighting</v>
      </c>
      <c r="S43" s="278" t="str">
        <f>IF($AD$46=1,IFERROR(IF(INDEX(T041_ClassFeatures!$W$2:$AG$1001,MATCH("Additional Fighting Style",T041_ClassFeatures!$B$2:$B$1001,0),'C03_ClassVariables'!$K43)="","",INDEX(T041_ClassFeatures!$W$2:$AG$1001,MATCH("Additional Fighting Style",T041_ClassFeatures!$B$2:$B$1001,0),'C03_ClassVariables'!$K43)),""),"")</f>
        <v/>
      </c>
      <c r="T43" s="278"/>
      <c r="U43" s="288" t="s">
        <v>620</v>
      </c>
      <c r="V43" s="289" t="s">
        <v>3167</v>
      </c>
      <c r="W43" s="290">
        <f t="shared" si="14"/>
        <v>0</v>
      </c>
      <c r="AA43" s="321" t="s">
        <v>621</v>
      </c>
      <c r="AB43" s="270" t="s">
        <v>4512</v>
      </c>
      <c r="AC43" s="270">
        <f t="shared" si="10"/>
        <v>0</v>
      </c>
      <c r="AD43" s="271">
        <f>COUNTIF(ClassTraitList_WorkName,"Fighting style (ranger)")</f>
        <v>0</v>
      </c>
      <c r="DZ43" s="138"/>
      <c r="FI43" s="150">
        <v>18</v>
      </c>
      <c r="FJ43" t="str">
        <f t="shared" si="21"/>
        <v/>
      </c>
      <c r="FK43" t="str">
        <f t="shared" si="18"/>
        <v/>
      </c>
    </row>
    <row r="44" spans="1:181" ht="16.5" x14ac:dyDescent="0.3">
      <c r="A44" s="132">
        <f>IFERROR(IF(A43+1&lt;MAX(T041_ClassFeatures!$A$2:$A$2033),A43+1,""),"")</f>
        <v>41</v>
      </c>
      <c r="B44" s="131" t="str">
        <f>IFERROR(INDEX(T041_ClassFeatures!$B$2:$B$2033,MATCH('C03_ClassVariables'!A44,T041_ClassFeatures!$A$2:$A$2033,0),1),"")</f>
        <v>Divine Sense</v>
      </c>
      <c r="C44" s="131">
        <f>IF(B44="",0,IF(IFERROR(MATCH(B44,'C01_BaseCalculation'!$W$160:$W$239,0),0)&gt;0,1,0))</f>
        <v>0</v>
      </c>
      <c r="D44" s="131"/>
      <c r="E44" s="131"/>
      <c r="F44" s="131"/>
      <c r="G44" s="131"/>
      <c r="H44" s="276"/>
      <c r="I44" s="277"/>
      <c r="J44" s="277" t="s">
        <v>6970</v>
      </c>
      <c r="K44" s="278">
        <v>7</v>
      </c>
      <c r="L44" s="278" t="str">
        <f t="shared" si="20"/>
        <v/>
      </c>
      <c r="M44" s="278" t="str">
        <f t="shared" si="20"/>
        <v/>
      </c>
      <c r="N44" s="278" t="str">
        <f t="shared" si="20"/>
        <v/>
      </c>
      <c r="O44" s="278" t="str">
        <f t="shared" si="20"/>
        <v/>
      </c>
      <c r="P44" s="278" t="str">
        <f>IF($AD$43=1,IFERROR(IF(INDEX(T041_ClassFeatures!$W$2:$AG$1001,MATCH("Fighting Style (ranger)",T041_ClassFeatures!$B$2:$B$1001,0),'C03_ClassVariables'!$K44)="","",INDEX(T041_ClassFeatures!$W$2:$AG$1001,MATCH("Fighting Style (ranger)",T041_ClassFeatures!$B$2:$B$1001,0),'C03_ClassVariables'!$K44)),""),"")</f>
        <v/>
      </c>
      <c r="Q44" s="278" t="str">
        <f>IF($AD$44=1,IFERROR(IF(INDEX(T041_ClassFeatures!$W$2:$AG$1001,MATCH("Fighting Style (paladin)",T041_ClassFeatures!$B$2:$B$1001,0),'C03_ClassVariables'!$K44)="","",INDEX(T041_ClassFeatures!$W$2:$AG$1001,MATCH("Fighting Style (paladin)",T041_ClassFeatures!$B$2:$B$1001,0),'C03_ClassVariables'!$K44)),""),"")</f>
        <v/>
      </c>
      <c r="R44" s="278" t="str">
        <f>IF($AD$45=1,IFERROR(IF(INDEX(T041_ClassFeatures!$W$2:$AG$1001,MATCH("Fighting Style (fighter)",T041_ClassFeatures!$B$2:$B$1001,0),'C03_ClassVariables'!$K44)="","",INDEX(T041_ClassFeatures!$W$2:$AG$1001,MATCH("Fighting Style (fighter)",T041_ClassFeatures!$B$2:$B$1001,0),'C03_ClassVariables'!$K44)),""),"")</f>
        <v/>
      </c>
      <c r="S44" s="278" t="str">
        <f>IF($AD$46=1,IFERROR(IF(INDEX(T041_ClassFeatures!$W$2:$AG$1001,MATCH("Additional Fighting Style",T041_ClassFeatures!$B$2:$B$1001,0),'C03_ClassVariables'!$K44)="","",INDEX(T041_ClassFeatures!$W$2:$AG$1001,MATCH("Additional Fighting Style",T041_ClassFeatures!$B$2:$B$1001,0),'C03_ClassVariables'!$K44)),""),"")</f>
        <v/>
      </c>
      <c r="T44" s="278"/>
      <c r="U44" s="288" t="s">
        <v>624</v>
      </c>
      <c r="V44" s="289" t="s">
        <v>3179</v>
      </c>
      <c r="W44" s="290">
        <f t="shared" si="14"/>
        <v>0</v>
      </c>
      <c r="AA44" s="321" t="s">
        <v>1110</v>
      </c>
      <c r="AB44" s="270" t="s">
        <v>4513</v>
      </c>
      <c r="AC44" s="270">
        <f t="shared" si="10"/>
        <v>0</v>
      </c>
      <c r="AD44" s="271">
        <f>COUNTIF(ClassTraitList_WorkName,"Fighting style (paladin)")</f>
        <v>0</v>
      </c>
      <c r="DZ44" s="138"/>
      <c r="FI44" s="150">
        <v>19</v>
      </c>
      <c r="FJ44" t="str">
        <f t="shared" si="21"/>
        <v/>
      </c>
      <c r="FK44" t="str">
        <f t="shared" si="18"/>
        <v/>
      </c>
    </row>
    <row r="45" spans="1:181" ht="17.25" thickBot="1" x14ac:dyDescent="0.35">
      <c r="A45" s="132">
        <f>IFERROR(IF(A44+1&lt;MAX(T041_ClassFeatures!$A$2:$A$2033),A44+1,""),"")</f>
        <v>42</v>
      </c>
      <c r="B45" s="131" t="str">
        <f>IFERROR(INDEX(T041_ClassFeatures!$B$2:$B$2033,MATCH('C03_ClassVariables'!A45,T041_ClassFeatures!$A$2:$A$2033,0),1),"")</f>
        <v>Divine Smite</v>
      </c>
      <c r="C45" s="131">
        <f>IF(B45="",0,IF(IFERROR(MATCH(B45,'C01_BaseCalculation'!$W$160:$W$239,0),0)&gt;0,1,0))</f>
        <v>0</v>
      </c>
      <c r="D45" s="131"/>
      <c r="E45" s="131"/>
      <c r="F45" s="131"/>
      <c r="G45" s="131"/>
      <c r="H45" s="276"/>
      <c r="I45" s="277"/>
      <c r="J45" s="277"/>
      <c r="K45" s="278">
        <v>8</v>
      </c>
      <c r="L45" s="278" t="str">
        <f t="shared" si="20"/>
        <v/>
      </c>
      <c r="M45" s="278" t="str">
        <f t="shared" si="20"/>
        <v/>
      </c>
      <c r="N45" s="278" t="str">
        <f t="shared" si="20"/>
        <v/>
      </c>
      <c r="O45" s="278" t="str">
        <f t="shared" si="20"/>
        <v/>
      </c>
      <c r="P45" s="278" t="str">
        <f>IF($AD$43=1,IFERROR(IF(INDEX(T041_ClassFeatures!$W$2:$AG$1001,MATCH("Fighting Style (ranger)",T041_ClassFeatures!$B$2:$B$1001,0),'C03_ClassVariables'!$K45)="","",INDEX(T041_ClassFeatures!$W$2:$AG$1001,MATCH("Fighting Style (ranger)",T041_ClassFeatures!$B$2:$B$1001,0),'C03_ClassVariables'!$K45)),""),"")</f>
        <v/>
      </c>
      <c r="Q45" s="278" t="str">
        <f>IF($AD$44=1,IFERROR(IF(INDEX(T041_ClassFeatures!$W$2:$AG$1001,MATCH("Fighting Style (paladin)",T041_ClassFeatures!$B$2:$B$1001,0),'C03_ClassVariables'!$K45)="","",INDEX(T041_ClassFeatures!$W$2:$AG$1001,MATCH("Fighting Style (paladin)",T041_ClassFeatures!$B$2:$B$1001,0),'C03_ClassVariables'!$K45)),""),"")</f>
        <v/>
      </c>
      <c r="R45" s="278" t="str">
        <f>IF($AD$45=1,IFERROR(IF(INDEX(T041_ClassFeatures!$W$2:$AG$1001,MATCH("Fighting Style (fighter)",T041_ClassFeatures!$B$2:$B$1001,0),'C03_ClassVariables'!$K45)="","",INDEX(T041_ClassFeatures!$W$2:$AG$1001,MATCH("Fighting Style (fighter)",T041_ClassFeatures!$B$2:$B$1001,0),'C03_ClassVariables'!$K45)),""),"")</f>
        <v/>
      </c>
      <c r="S45" s="278" t="str">
        <f>IF($AD$46=1,IFERROR(IF(INDEX(T041_ClassFeatures!$W$2:$AG$1001,MATCH("Additional Fighting Style",T041_ClassFeatures!$B$2:$B$1001,0),'C03_ClassVariables'!$K45)="","",INDEX(T041_ClassFeatures!$W$2:$AG$1001,MATCH("Additional Fighting Style",T041_ClassFeatures!$B$2:$B$1001,0),'C03_ClassVariables'!$K45)),""),"")</f>
        <v/>
      </c>
      <c r="T45" s="278"/>
      <c r="U45" s="288" t="s">
        <v>624</v>
      </c>
      <c r="V45" s="289" t="s">
        <v>3180</v>
      </c>
      <c r="W45" s="290">
        <f t="shared" si="14"/>
        <v>0</v>
      </c>
      <c r="AA45" s="321" t="s">
        <v>619</v>
      </c>
      <c r="AB45" s="270" t="s">
        <v>4514</v>
      </c>
      <c r="AC45" s="270">
        <f t="shared" si="10"/>
        <v>12</v>
      </c>
      <c r="AD45" s="271">
        <f>COUNTIF(ClassTraitList_WorkName,"Fighting style (fighter)")</f>
        <v>1</v>
      </c>
      <c r="DZ45" s="138"/>
      <c r="FI45" s="152">
        <v>20</v>
      </c>
      <c r="FJ45" t="str">
        <f t="shared" si="21"/>
        <v/>
      </c>
      <c r="FK45" t="str">
        <f t="shared" si="18"/>
        <v/>
      </c>
    </row>
    <row r="46" spans="1:181" ht="17.25" thickBot="1" x14ac:dyDescent="0.35">
      <c r="A46" s="132">
        <f>IFERROR(IF(A45+1&lt;MAX(T041_ClassFeatures!$A$2:$A$2033),A45+1,""),"")</f>
        <v>43</v>
      </c>
      <c r="B46" s="131" t="str">
        <f>IFERROR(INDEX(T041_ClassFeatures!$B$2:$B$2033,MATCH('C03_ClassVariables'!A46,T041_ClassFeatures!$A$2:$A$2033,0),1),"")</f>
        <v>Druid Circle</v>
      </c>
      <c r="C46" s="131">
        <f>IF(B46="",0,IF(IFERROR(MATCH(B46,'C01_BaseCalculation'!$W$160:$W$239,0),0)&gt;0,1,0))</f>
        <v>0</v>
      </c>
      <c r="D46" s="131"/>
      <c r="E46" s="131"/>
      <c r="F46" s="131"/>
      <c r="G46" s="131"/>
      <c r="H46" s="276"/>
      <c r="I46" s="277"/>
      <c r="J46" s="277"/>
      <c r="K46" s="278">
        <v>9</v>
      </c>
      <c r="L46" s="278" t="str">
        <f t="shared" si="20"/>
        <v/>
      </c>
      <c r="M46" s="278" t="str">
        <f t="shared" si="20"/>
        <v/>
      </c>
      <c r="N46" s="278" t="str">
        <f t="shared" si="20"/>
        <v/>
      </c>
      <c r="O46" s="278" t="str">
        <f t="shared" si="20"/>
        <v/>
      </c>
      <c r="P46" s="278" t="str">
        <f>IF($AD$43=1,IFERROR(IF(INDEX(T041_ClassFeatures!$W$2:$AG$1001,MATCH("Fighting Style (ranger)",T041_ClassFeatures!$B$2:$B$1001,0),'C03_ClassVariables'!$K46)="","",INDEX(T041_ClassFeatures!$W$2:$AG$1001,MATCH("Fighting Style (ranger)",T041_ClassFeatures!$B$2:$B$1001,0),'C03_ClassVariables'!$K46)),""),"")</f>
        <v/>
      </c>
      <c r="Q46" s="278" t="str">
        <f>IF($AD$44=1,IFERROR(IF(INDEX(T041_ClassFeatures!$W$2:$AG$1001,MATCH("Fighting Style (paladin)",T041_ClassFeatures!$B$2:$B$1001,0),'C03_ClassVariables'!$K46)="","",INDEX(T041_ClassFeatures!$W$2:$AG$1001,MATCH("Fighting Style (paladin)",T041_ClassFeatures!$B$2:$B$1001,0),'C03_ClassVariables'!$K46)),""),"")</f>
        <v/>
      </c>
      <c r="R46" s="278" t="str">
        <f>IF($AD$45=1,IFERROR(IF(INDEX(T041_ClassFeatures!$W$2:$AG$1001,MATCH("Fighting Style (fighter)",T041_ClassFeatures!$B$2:$B$1001,0),'C03_ClassVariables'!$K46)="","",INDEX(T041_ClassFeatures!$W$2:$AG$1001,MATCH("Fighting Style (fighter)",T041_ClassFeatures!$B$2:$B$1001,0),'C03_ClassVariables'!$K46)),""),"")</f>
        <v/>
      </c>
      <c r="S46" s="278" t="str">
        <f>IF($AD$46=1,IFERROR(IF(INDEX(T041_ClassFeatures!$W$2:$AG$1001,MATCH("Additional Fighting Style",T041_ClassFeatures!$B$2:$B$1001,0),'C03_ClassVariables'!$K46)="","",INDEX(T041_ClassFeatures!$W$2:$AG$1001,MATCH("Additional Fighting Style",T041_ClassFeatures!$B$2:$B$1001,0),'C03_ClassVariables'!$K46)),""),"")</f>
        <v/>
      </c>
      <c r="T46" s="278"/>
      <c r="U46" s="288" t="s">
        <v>624</v>
      </c>
      <c r="V46" s="289" t="s">
        <v>3181</v>
      </c>
      <c r="W46" s="290">
        <f t="shared" si="14"/>
        <v>0</v>
      </c>
      <c r="AA46" s="325" t="s">
        <v>619</v>
      </c>
      <c r="AB46" s="272" t="s">
        <v>4515</v>
      </c>
      <c r="AC46" s="272">
        <f t="shared" si="10"/>
        <v>12</v>
      </c>
      <c r="AD46" s="163">
        <f>COUNTIF('C01_BaseCalculation'!W160:W239,"Additional Fighting Style")</f>
        <v>0</v>
      </c>
      <c r="DZ46" s="138"/>
      <c r="FI46" s="147">
        <v>21</v>
      </c>
      <c r="FJ46" t="str">
        <f t="shared" si="21"/>
        <v/>
      </c>
      <c r="FK46" t="str">
        <f t="shared" si="18"/>
        <v/>
      </c>
    </row>
    <row r="47" spans="1:181" ht="16.5" x14ac:dyDescent="0.3">
      <c r="A47" s="132">
        <f>IFERROR(IF(A46+1&lt;MAX(T041_ClassFeatures!$A$2:$A$2033),A46+1,""),"")</f>
        <v>44</v>
      </c>
      <c r="B47" s="131" t="str">
        <f>IFERROR(INDEX(T041_ClassFeatures!$B$2:$B$2033,MATCH('C03_ClassVariables'!A47,T041_ClassFeatures!$A$2:$A$2033,0),1),"")</f>
        <v>Druid Circle Feature2-1</v>
      </c>
      <c r="C47" s="131">
        <f>IF(B47="",0,IF(IFERROR(MATCH(B47,'C01_BaseCalculation'!$W$160:$W$239,0),0)&gt;0,1,0))</f>
        <v>0</v>
      </c>
      <c r="D47" s="131"/>
      <c r="E47" s="131"/>
      <c r="F47" s="131"/>
      <c r="G47" s="131"/>
      <c r="H47" s="276"/>
      <c r="I47" s="277"/>
      <c r="J47" s="277"/>
      <c r="K47" s="278">
        <v>10</v>
      </c>
      <c r="L47" s="278" t="str">
        <f t="shared" si="20"/>
        <v/>
      </c>
      <c r="M47" s="278" t="str">
        <f t="shared" si="20"/>
        <v/>
      </c>
      <c r="N47" s="278" t="str">
        <f t="shared" si="20"/>
        <v/>
      </c>
      <c r="O47" s="278" t="str">
        <f t="shared" si="20"/>
        <v/>
      </c>
      <c r="P47" s="278" t="str">
        <f>IF($AD$43=1,IFERROR(IF(INDEX(T041_ClassFeatures!$W$2:$AG$1001,MATCH("Fighting Style (ranger)",T041_ClassFeatures!$B$2:$B$1001,0),'C03_ClassVariables'!$K47)="","",INDEX(T041_ClassFeatures!$W$2:$AG$1001,MATCH("Fighting Style (ranger)",T041_ClassFeatures!$B$2:$B$1001,0),'C03_ClassVariables'!$K47)),""),"")</f>
        <v/>
      </c>
      <c r="Q47" s="278" t="str">
        <f>IF($AD$44=1,IFERROR(IF(INDEX(T041_ClassFeatures!$W$2:$AG$1001,MATCH("Fighting Style (paladin)",T041_ClassFeatures!$B$2:$B$1001,0),'C03_ClassVariables'!$K47)="","",INDEX(T041_ClassFeatures!$W$2:$AG$1001,MATCH("Fighting Style (paladin)",T041_ClassFeatures!$B$2:$B$1001,0),'C03_ClassVariables'!$K47)),""),"")</f>
        <v/>
      </c>
      <c r="R47" s="278" t="str">
        <f>IF($AD$45=1,IFERROR(IF(INDEX(T041_ClassFeatures!$W$2:$AG$1001,MATCH("Fighting Style (fighter)",T041_ClassFeatures!$B$2:$B$1001,0),'C03_ClassVariables'!$K47)="","",INDEX(T041_ClassFeatures!$W$2:$AG$1001,MATCH("Fighting Style (fighter)",T041_ClassFeatures!$B$2:$B$1001,0),'C03_ClassVariables'!$K47)),""),"")</f>
        <v/>
      </c>
      <c r="S47" s="278" t="str">
        <f>IF($AD$46=1,IFERROR(IF(INDEX(T041_ClassFeatures!$W$2:$AG$1001,MATCH("Additional Fighting Style",T041_ClassFeatures!$B$2:$B$1001,0),'C03_ClassVariables'!$K47)="","",INDEX(T041_ClassFeatures!$W$2:$AG$1001,MATCH("Additional Fighting Style",T041_ClassFeatures!$B$2:$B$1001,0),'C03_ClassVariables'!$K47)),""),"")</f>
        <v/>
      </c>
      <c r="T47" s="278"/>
      <c r="U47" s="288" t="s">
        <v>616</v>
      </c>
      <c r="V47" s="289" t="s">
        <v>3182</v>
      </c>
      <c r="W47" s="290">
        <f t="shared" si="14"/>
        <v>0</v>
      </c>
      <c r="AA47" s="321" t="s">
        <v>618</v>
      </c>
      <c r="AB47" s="270" t="s">
        <v>4684</v>
      </c>
      <c r="AC47" s="270">
        <f t="shared" si="10"/>
        <v>0</v>
      </c>
      <c r="AD47">
        <f>IF(IFERROR(MATCH("Circle of the Land",$O$4:$O$9,0),0)&gt;0,1,0)*IF(DruidLevel&gt;8,4,IF(DruidLevel&gt;6,3,IF(DruidLevel&gt;4,2,IF(DruidLevel&gt;2,1,0))))</f>
        <v>0</v>
      </c>
      <c r="DZ47" s="138"/>
      <c r="FI47" s="150">
        <v>22</v>
      </c>
      <c r="FJ47" t="str">
        <f t="shared" si="21"/>
        <v/>
      </c>
      <c r="FK47" t="str">
        <f t="shared" si="18"/>
        <v/>
      </c>
    </row>
    <row r="48" spans="1:181" ht="17.25" thickBot="1" x14ac:dyDescent="0.35">
      <c r="A48" s="132">
        <f>IFERROR(IF(A47+1&lt;MAX(T041_ClassFeatures!$A$2:$A$2033),A47+1,""),"")</f>
        <v>45</v>
      </c>
      <c r="B48" s="131" t="s">
        <v>2989</v>
      </c>
      <c r="C48" s="131">
        <f>IF(B48="",0,IF(IFERROR(MATCH(B48,'C01_BaseCalculation'!$W$160:$W$239,0),0)&gt;0,1,0))</f>
        <v>0</v>
      </c>
      <c r="D48" s="131"/>
      <c r="E48" s="131"/>
      <c r="F48" s="131"/>
      <c r="G48" s="131"/>
      <c r="H48" s="276"/>
      <c r="I48" s="277"/>
      <c r="J48" s="277"/>
      <c r="K48" s="278"/>
      <c r="L48" s="1025" t="s">
        <v>4520</v>
      </c>
      <c r="M48" s="1025"/>
      <c r="N48" s="1025"/>
      <c r="O48" s="1025"/>
      <c r="P48" s="278"/>
      <c r="Q48" s="278"/>
      <c r="R48" s="278"/>
      <c r="S48" s="278"/>
      <c r="T48" s="278"/>
      <c r="U48" s="288" t="s">
        <v>616</v>
      </c>
      <c r="V48" s="289" t="s">
        <v>3183</v>
      </c>
      <c r="W48" s="290">
        <f t="shared" si="14"/>
        <v>0</v>
      </c>
      <c r="AA48" s="321" t="s">
        <v>6301</v>
      </c>
      <c r="AC48" s="270">
        <f>IF(IFERROR(MATCH("Unarmored Defense (con)",'C01_BaseCalculation'!$W$160:$W$239,0),0)&gt;0,1,0)</f>
        <v>0</v>
      </c>
      <c r="DZ48" s="138"/>
      <c r="FI48" s="150">
        <v>23</v>
      </c>
      <c r="FJ48" t="str">
        <f t="shared" si="21"/>
        <v/>
      </c>
      <c r="FK48" t="str">
        <f t="shared" si="18"/>
        <v/>
      </c>
    </row>
    <row r="49" spans="1:167" ht="16.5" x14ac:dyDescent="0.3">
      <c r="A49" s="132">
        <f>IFERROR(IF(A48+1&lt;MAX(T041_ClassFeatures!$A$2:$A$2033),A48+1,""),"")</f>
        <v>46</v>
      </c>
      <c r="B49" s="131" t="s">
        <v>2990</v>
      </c>
      <c r="C49" s="131">
        <f>IF(B49="",0,IF(IFERROR(MATCH(B49,'C01_BaseCalculation'!$W$160:$W$239,0),0)&gt;0,1,0))</f>
        <v>0</v>
      </c>
      <c r="D49" s="131"/>
      <c r="E49" s="131"/>
      <c r="F49" s="131"/>
      <c r="G49" s="131"/>
      <c r="H49" s="276" t="str">
        <f>Character_Creation!I194</f>
        <v>Two-Weapon Fighting</v>
      </c>
      <c r="I49" s="278"/>
      <c r="J49" s="277" t="str">
        <f>J38</f>
        <v>Archery</v>
      </c>
      <c r="K49" s="278">
        <v>1</v>
      </c>
      <c r="L49" s="366">
        <f>IF(H$49&lt;&gt;0,IF(H$49=$J49,1,0),0)</f>
        <v>0</v>
      </c>
      <c r="M49" s="275">
        <f>IF(H$50&lt;&gt;0,IF(H$50=$J49,1,0),0)</f>
        <v>0</v>
      </c>
      <c r="N49" s="275">
        <f>IF(H$51&lt;&gt;0,IF(H$51=$J49,1,0),0)</f>
        <v>0</v>
      </c>
      <c r="O49" s="367">
        <f>IF(H$52&lt;&gt;0,IF(H$52=$J49,1,0),0)</f>
        <v>0</v>
      </c>
      <c r="P49" s="366">
        <f>IF(IFERROR(MATCH($J49,L$38:L$47,0),0)&gt;0,1,0)</f>
        <v>1</v>
      </c>
      <c r="Q49" s="275">
        <f t="shared" ref="Q49:Q58" si="22">IF(IFERROR(MATCH($J49,M$38:M$47,0),0)&gt;0,1,0)</f>
        <v>0</v>
      </c>
      <c r="R49" s="275">
        <f t="shared" ref="R49:R58" si="23">IF(IFERROR(MATCH($J49,N$38:N$47,0),0)&gt;0,1,0)</f>
        <v>0</v>
      </c>
      <c r="S49" s="367">
        <f t="shared" ref="S49:S58" si="24">IF(IFERROR(MATCH($J49,O$38:O$47,0),0)&gt;0,1,0)</f>
        <v>0</v>
      </c>
      <c r="T49" s="278"/>
      <c r="U49" s="288" t="s">
        <v>621</v>
      </c>
      <c r="V49" s="289" t="s">
        <v>3184</v>
      </c>
      <c r="W49" s="290">
        <f t="shared" si="14"/>
        <v>0</v>
      </c>
      <c r="AA49" s="321" t="s">
        <v>6300</v>
      </c>
      <c r="AC49" s="270">
        <f>IF(IFERROR(MATCH("Unarmored Defense (wis)",'C01_BaseCalculation'!$W$160:$W$239,0),0)&gt;0,1,0)</f>
        <v>0</v>
      </c>
      <c r="DZ49" s="138"/>
      <c r="FI49" s="150">
        <v>24</v>
      </c>
      <c r="FJ49" t="str">
        <f t="shared" si="21"/>
        <v/>
      </c>
      <c r="FK49" t="str">
        <f t="shared" si="18"/>
        <v/>
      </c>
    </row>
    <row r="50" spans="1:167" ht="16.5" x14ac:dyDescent="0.3">
      <c r="A50" s="132">
        <f>IFERROR(IF(A49+1&lt;MAX(T041_ClassFeatures!$A$2:$A$2033),A49+1,""),"")</f>
        <v>47</v>
      </c>
      <c r="B50" s="131" t="s">
        <v>2991</v>
      </c>
      <c r="C50" s="131">
        <f>IF(B50="",0,IF(IFERROR(MATCH(B50,'C01_BaseCalculation'!$W$160:$W$239,0),0)&gt;0,1,0))</f>
        <v>0</v>
      </c>
      <c r="D50" s="131"/>
      <c r="E50" s="131"/>
      <c r="F50" s="131"/>
      <c r="G50" s="131"/>
      <c r="H50" s="276">
        <f>Character_Creation!I196</f>
        <v>0</v>
      </c>
      <c r="I50" s="277"/>
      <c r="J50" s="277" t="str">
        <f t="shared" ref="J50:J58" si="25">J39</f>
        <v>Defense</v>
      </c>
      <c r="K50" s="278">
        <v>2</v>
      </c>
      <c r="L50" s="368">
        <f t="shared" ref="L50:L58" si="26">IF(H$49&lt;&gt;0,IF(H$49=$J50,1,0),0)</f>
        <v>0</v>
      </c>
      <c r="M50" s="278">
        <f t="shared" ref="M50:M58" si="27">IF(H$50&lt;&gt;0,IF(H$50=$J50,1,0),0)</f>
        <v>0</v>
      </c>
      <c r="N50" s="278">
        <f t="shared" ref="N50:N58" si="28">IF(H$51&lt;&gt;0,IF(H$51=$J50,1,0),0)</f>
        <v>0</v>
      </c>
      <c r="O50" s="279">
        <f t="shared" ref="O50:O58" si="29">IF(H$52&lt;&gt;0,IF(H$52=$J50,1,0),0)</f>
        <v>0</v>
      </c>
      <c r="P50" s="368">
        <f t="shared" ref="P50:P58" si="30">IF(IFERROR(MATCH($J50,L$38:L$47,0),0)&gt;0,1,0)</f>
        <v>1</v>
      </c>
      <c r="Q50" s="278">
        <f t="shared" si="22"/>
        <v>0</v>
      </c>
      <c r="R50" s="278">
        <f t="shared" si="23"/>
        <v>0</v>
      </c>
      <c r="S50" s="279">
        <f t="shared" si="24"/>
        <v>0</v>
      </c>
      <c r="T50" s="278"/>
      <c r="U50" s="288" t="s">
        <v>621</v>
      </c>
      <c r="V50" s="289" t="s">
        <v>3185</v>
      </c>
      <c r="W50" s="290">
        <f t="shared" si="14"/>
        <v>0</v>
      </c>
      <c r="AA50" s="321" t="s">
        <v>6302</v>
      </c>
      <c r="AC50" s="270">
        <f>IF(IFERROR(MATCH("Unarmored Defense (cha)",'C01_BaseCalculation'!$W$160:$W$239,0),0)&gt;0,1,0)</f>
        <v>0</v>
      </c>
      <c r="DZ50" s="138"/>
      <c r="FI50" s="150">
        <v>25</v>
      </c>
      <c r="FJ50" t="str">
        <f t="shared" si="21"/>
        <v/>
      </c>
      <c r="FK50" t="str">
        <f t="shared" si="18"/>
        <v/>
      </c>
    </row>
    <row r="51" spans="1:167" ht="16.5" x14ac:dyDescent="0.3">
      <c r="A51" s="132">
        <f>IFERROR(IF(A50+1&lt;MAX(T041_ClassFeatures!$A$2:$A$2033),A50+1,""),"")</f>
        <v>48</v>
      </c>
      <c r="B51" s="131" t="s">
        <v>2992</v>
      </c>
      <c r="C51" s="131">
        <f>IF(B51="",0,IF(IFERROR(MATCH(B51,'C01_BaseCalculation'!$W$160:$W$239,0),0)&gt;0,1,0))</f>
        <v>0</v>
      </c>
      <c r="D51" s="131"/>
      <c r="E51" s="131"/>
      <c r="F51" s="131"/>
      <c r="G51" s="131"/>
      <c r="H51" s="276">
        <f>Character_Creation!I198</f>
        <v>0</v>
      </c>
      <c r="I51" s="277"/>
      <c r="J51" s="277" t="str">
        <f t="shared" si="25"/>
        <v>Dueling</v>
      </c>
      <c r="K51" s="278">
        <v>3</v>
      </c>
      <c r="L51" s="368">
        <f t="shared" si="26"/>
        <v>0</v>
      </c>
      <c r="M51" s="278">
        <f t="shared" si="27"/>
        <v>0</v>
      </c>
      <c r="N51" s="278">
        <f t="shared" si="28"/>
        <v>0</v>
      </c>
      <c r="O51" s="279">
        <f t="shared" si="29"/>
        <v>0</v>
      </c>
      <c r="P51" s="368">
        <f t="shared" si="30"/>
        <v>1</v>
      </c>
      <c r="Q51" s="278">
        <f t="shared" si="22"/>
        <v>0</v>
      </c>
      <c r="R51" s="278">
        <f t="shared" si="23"/>
        <v>0</v>
      </c>
      <c r="S51" s="279">
        <f t="shared" si="24"/>
        <v>0</v>
      </c>
      <c r="T51" s="278"/>
      <c r="U51" s="288" t="s">
        <v>622</v>
      </c>
      <c r="V51" s="289" t="s">
        <v>3186</v>
      </c>
      <c r="W51" s="290">
        <f t="shared" si="14"/>
        <v>0</v>
      </c>
      <c r="AA51" s="321" t="s">
        <v>6303</v>
      </c>
      <c r="AC51" s="270">
        <f>IF(IFERROR(MATCH("Unarmored Defense (int)",'C01_BaseCalculation'!$W$160:$W$239,0),0)&gt;0,1,0)</f>
        <v>0</v>
      </c>
      <c r="DZ51" s="138"/>
      <c r="FI51" s="150">
        <v>26</v>
      </c>
      <c r="FJ51" t="str">
        <f t="shared" si="21"/>
        <v/>
      </c>
      <c r="FK51" t="str">
        <f t="shared" si="18"/>
        <v/>
      </c>
    </row>
    <row r="52" spans="1:167" ht="16.5" x14ac:dyDescent="0.3">
      <c r="A52" s="132">
        <f>IFERROR(IF(A51+1&lt;MAX(T041_ClassFeatures!$A$2:$A$2033),A51+1,""),"")</f>
        <v>49</v>
      </c>
      <c r="B52" s="131" t="str">
        <f>IFERROR(INDEX(T041_ClassFeatures!$B$2:$B$2033,MATCH('C03_ClassVariables'!A52,T041_ClassFeatures!$A$2:$A$2033,0),1),"")</f>
        <v>Druidic language</v>
      </c>
      <c r="C52" s="131">
        <f>IF(B52="",0,IF(IFERROR(MATCH(B52,'C01_BaseCalculation'!$W$160:$W$239,0),0)&gt;0,1,0))</f>
        <v>0</v>
      </c>
      <c r="D52" s="131"/>
      <c r="E52" s="131"/>
      <c r="F52" s="131"/>
      <c r="G52" s="131"/>
      <c r="H52" s="276">
        <f>Character_Creation!I200</f>
        <v>0</v>
      </c>
      <c r="I52" s="277"/>
      <c r="J52" s="277" t="str">
        <f t="shared" si="25"/>
        <v>Great Weapon Fighting</v>
      </c>
      <c r="K52" s="278">
        <v>4</v>
      </c>
      <c r="L52" s="368">
        <f t="shared" si="26"/>
        <v>0</v>
      </c>
      <c r="M52" s="278">
        <f t="shared" si="27"/>
        <v>0</v>
      </c>
      <c r="N52" s="278">
        <f t="shared" si="28"/>
        <v>0</v>
      </c>
      <c r="O52" s="279">
        <f t="shared" si="29"/>
        <v>0</v>
      </c>
      <c r="P52" s="368">
        <f t="shared" si="30"/>
        <v>1</v>
      </c>
      <c r="Q52" s="278">
        <f t="shared" si="22"/>
        <v>0</v>
      </c>
      <c r="R52" s="278">
        <f t="shared" si="23"/>
        <v>0</v>
      </c>
      <c r="S52" s="279">
        <f t="shared" si="24"/>
        <v>0</v>
      </c>
      <c r="T52" s="278"/>
      <c r="U52" s="288" t="s">
        <v>622</v>
      </c>
      <c r="V52" s="289" t="s">
        <v>3595</v>
      </c>
      <c r="W52" s="290">
        <f t="shared" si="14"/>
        <v>0</v>
      </c>
      <c r="DZ52" s="138"/>
      <c r="FI52" s="150">
        <v>27</v>
      </c>
      <c r="FJ52" t="str">
        <f t="shared" si="21"/>
        <v/>
      </c>
      <c r="FK52" t="str">
        <f t="shared" si="18"/>
        <v/>
      </c>
    </row>
    <row r="53" spans="1:167" ht="16.5" x14ac:dyDescent="0.3">
      <c r="A53" s="132">
        <f>IFERROR(IF(A52+1&lt;MAX(T041_ClassFeatures!$A$2:$A$2033),A52+1,""),"")</f>
        <v>50</v>
      </c>
      <c r="B53" s="131" t="str">
        <f>IFERROR(INDEX(T041_ClassFeatures!$B$2:$B$2033,MATCH('C03_ClassVariables'!A53,T041_ClassFeatures!$A$2:$A$2033,0),1),"")</f>
        <v>Eldritch Invocations</v>
      </c>
      <c r="C53" s="131">
        <f>IF(B53="",0,IF(IFERROR(MATCH(B53,'C01_BaseCalculation'!$W$160:$W$239,0),0)&gt;0,1,0))</f>
        <v>0</v>
      </c>
      <c r="D53" s="131"/>
      <c r="E53" s="131"/>
      <c r="F53" s="131"/>
      <c r="G53" s="131"/>
      <c r="H53" s="276"/>
      <c r="I53" s="277"/>
      <c r="J53" s="277" t="str">
        <f t="shared" si="25"/>
        <v>Protection</v>
      </c>
      <c r="K53" s="278">
        <v>5</v>
      </c>
      <c r="L53" s="368">
        <f t="shared" si="26"/>
        <v>0</v>
      </c>
      <c r="M53" s="278">
        <f t="shared" si="27"/>
        <v>0</v>
      </c>
      <c r="N53" s="278">
        <f t="shared" si="28"/>
        <v>0</v>
      </c>
      <c r="O53" s="279">
        <f t="shared" si="29"/>
        <v>0</v>
      </c>
      <c r="P53" s="368">
        <f t="shared" si="30"/>
        <v>1</v>
      </c>
      <c r="Q53" s="278">
        <f t="shared" si="22"/>
        <v>0</v>
      </c>
      <c r="R53" s="278">
        <f t="shared" si="23"/>
        <v>0</v>
      </c>
      <c r="S53" s="279">
        <f t="shared" si="24"/>
        <v>0</v>
      </c>
      <c r="T53" s="278"/>
      <c r="U53" s="288" t="s">
        <v>622</v>
      </c>
      <c r="V53" s="289" t="s">
        <v>3188</v>
      </c>
      <c r="W53" s="290">
        <f t="shared" si="14"/>
        <v>0</v>
      </c>
      <c r="DZ53" s="138"/>
      <c r="FI53" s="150">
        <v>28</v>
      </c>
      <c r="FJ53" t="str">
        <f t="shared" si="21"/>
        <v/>
      </c>
      <c r="FK53" t="str">
        <f t="shared" si="18"/>
        <v/>
      </c>
    </row>
    <row r="54" spans="1:167" ht="16.5" x14ac:dyDescent="0.3">
      <c r="A54" s="132">
        <f>IFERROR(IF(A53+1&lt;MAX(T041_ClassFeatures!$A$2:$A$2033),A53+1,""),"")</f>
        <v>51</v>
      </c>
      <c r="B54" s="131" t="str">
        <f>IFERROR(INDEX(T041_ClassFeatures!$B$2:$B$2033,MATCH('C03_ClassVariables'!A54,T041_ClassFeatures!$A$2:$A$2033,0),1),"")</f>
        <v>Eldritch Master</v>
      </c>
      <c r="C54" s="131">
        <f>IF(B54="",0,IF(IFERROR(MATCH(B54,'C01_BaseCalculation'!$W$160:$W$239,0),0)&gt;0,1,0))</f>
        <v>0</v>
      </c>
      <c r="D54" s="131"/>
      <c r="E54" s="131"/>
      <c r="F54" s="131"/>
      <c r="G54" s="131"/>
      <c r="H54" s="276"/>
      <c r="I54" s="277"/>
      <c r="J54" s="277" t="str">
        <f t="shared" si="25"/>
        <v>Two-Weapon Fighting</v>
      </c>
      <c r="K54" s="278">
        <v>6</v>
      </c>
      <c r="L54" s="368">
        <f t="shared" si="26"/>
        <v>1</v>
      </c>
      <c r="M54" s="278">
        <f t="shared" si="27"/>
        <v>0</v>
      </c>
      <c r="N54" s="278">
        <f t="shared" si="28"/>
        <v>0</v>
      </c>
      <c r="O54" s="279">
        <f t="shared" si="29"/>
        <v>0</v>
      </c>
      <c r="P54" s="368">
        <f t="shared" si="30"/>
        <v>1</v>
      </c>
      <c r="Q54" s="278">
        <f t="shared" si="22"/>
        <v>0</v>
      </c>
      <c r="R54" s="278">
        <f t="shared" si="23"/>
        <v>0</v>
      </c>
      <c r="S54" s="279">
        <f t="shared" si="24"/>
        <v>0</v>
      </c>
      <c r="T54" s="278"/>
      <c r="U54" s="288" t="s">
        <v>1110</v>
      </c>
      <c r="V54" s="289" t="s">
        <v>3189</v>
      </c>
      <c r="W54" s="290">
        <f t="shared" si="14"/>
        <v>0</v>
      </c>
      <c r="DZ54" s="138"/>
      <c r="FI54" s="150">
        <v>29</v>
      </c>
      <c r="FJ54" t="str">
        <f t="shared" si="21"/>
        <v/>
      </c>
      <c r="FK54" t="str">
        <f t="shared" si="18"/>
        <v/>
      </c>
    </row>
    <row r="55" spans="1:167" ht="16.5" x14ac:dyDescent="0.3">
      <c r="A55" s="132">
        <f>IFERROR(IF(A54+1&lt;MAX(T041_ClassFeatures!$A$2:$A$2033),A54+1,""),"")</f>
        <v>52</v>
      </c>
      <c r="B55" s="131" t="str">
        <f>IFERROR(INDEX(T041_ClassFeatures!$B$2:$B$2033,MATCH('C03_ClassVariables'!A55,T041_ClassFeatures!$A$2:$A$2033,0),1),"")</f>
        <v>Elusive</v>
      </c>
      <c r="C55" s="131">
        <f>IF(B55="",0,IF(IFERROR(MATCH(B55,'C01_BaseCalculation'!$W$160:$W$239,0),0)&gt;0,1,0))</f>
        <v>0</v>
      </c>
      <c r="D55" s="131"/>
      <c r="E55" s="131"/>
      <c r="F55" s="131"/>
      <c r="G55" s="131"/>
      <c r="H55" s="276"/>
      <c r="I55" s="277"/>
      <c r="J55" s="277" t="str">
        <f t="shared" si="25"/>
        <v>Mariner</v>
      </c>
      <c r="K55" s="278">
        <v>7</v>
      </c>
      <c r="L55" s="368">
        <f t="shared" si="26"/>
        <v>0</v>
      </c>
      <c r="M55" s="278">
        <f t="shared" si="27"/>
        <v>0</v>
      </c>
      <c r="N55" s="278">
        <f t="shared" si="28"/>
        <v>0</v>
      </c>
      <c r="O55" s="279">
        <f t="shared" si="29"/>
        <v>0</v>
      </c>
      <c r="P55" s="368">
        <f t="shared" si="30"/>
        <v>0</v>
      </c>
      <c r="Q55" s="278">
        <f t="shared" si="22"/>
        <v>0</v>
      </c>
      <c r="R55" s="278">
        <f t="shared" si="23"/>
        <v>0</v>
      </c>
      <c r="S55" s="279">
        <f t="shared" si="24"/>
        <v>0</v>
      </c>
      <c r="T55" s="278"/>
      <c r="U55" s="288" t="s">
        <v>1110</v>
      </c>
      <c r="V55" s="289" t="s">
        <v>3190</v>
      </c>
      <c r="W55" s="290">
        <f t="shared" si="14"/>
        <v>0</v>
      </c>
      <c r="DZ55" s="138"/>
      <c r="FI55" s="150">
        <v>30</v>
      </c>
      <c r="FJ55" t="str">
        <f t="shared" si="21"/>
        <v/>
      </c>
      <c r="FK55" t="str">
        <f t="shared" si="18"/>
        <v/>
      </c>
    </row>
    <row r="56" spans="1:167" ht="16.5" x14ac:dyDescent="0.3">
      <c r="A56" s="132">
        <f>IFERROR(IF(A55+1&lt;MAX(T041_ClassFeatures!$A$2:$A$2033),A55+1,""),"")</f>
        <v>53</v>
      </c>
      <c r="B56" s="131" t="str">
        <f>IFERROR(INDEX(T041_ClassFeatures!$B$2:$B$2033,MATCH('C03_ClassVariables'!A56,T041_ClassFeatures!$A$2:$A$2033,0),1),"")</f>
        <v>Empty Body</v>
      </c>
      <c r="C56" s="131">
        <f>IF(B56="",0,IF(IFERROR(MATCH(B56,'C01_BaseCalculation'!$W$160:$W$239,0),0)&gt;0,1,0))</f>
        <v>0</v>
      </c>
      <c r="D56" s="131"/>
      <c r="E56" s="131"/>
      <c r="F56" s="131"/>
      <c r="G56" s="131"/>
      <c r="H56" s="276"/>
      <c r="I56" s="277"/>
      <c r="J56" s="277">
        <f t="shared" si="25"/>
        <v>0</v>
      </c>
      <c r="K56" s="278">
        <v>8</v>
      </c>
      <c r="L56" s="368">
        <f t="shared" si="26"/>
        <v>0</v>
      </c>
      <c r="M56" s="278">
        <f t="shared" si="27"/>
        <v>0</v>
      </c>
      <c r="N56" s="278">
        <f t="shared" si="28"/>
        <v>0</v>
      </c>
      <c r="O56" s="279">
        <f t="shared" si="29"/>
        <v>0</v>
      </c>
      <c r="P56" s="368">
        <f t="shared" si="30"/>
        <v>0</v>
      </c>
      <c r="Q56" s="278">
        <f t="shared" si="22"/>
        <v>0</v>
      </c>
      <c r="R56" s="278">
        <f t="shared" si="23"/>
        <v>0</v>
      </c>
      <c r="S56" s="279">
        <f t="shared" si="24"/>
        <v>0</v>
      </c>
      <c r="T56" s="278"/>
      <c r="U56" s="288" t="s">
        <v>1110</v>
      </c>
      <c r="V56" s="289" t="s">
        <v>3191</v>
      </c>
      <c r="W56" s="290">
        <f t="shared" si="14"/>
        <v>0</v>
      </c>
      <c r="DZ56" s="138"/>
    </row>
    <row r="57" spans="1:167" ht="16.5" x14ac:dyDescent="0.3">
      <c r="A57" s="132">
        <f>IFERROR(IF(A56+1&lt;MAX(T041_ClassFeatures!$A$2:$A$2033),A56+1,""),"")</f>
        <v>54</v>
      </c>
      <c r="B57" s="131" t="str">
        <f>IFERROR(INDEX(T041_ClassFeatures!$B$2:$B$2033,MATCH('C03_ClassVariables'!A57,T041_ClassFeatures!$A$2:$A$2033,0),1),"")</f>
        <v>Evasion</v>
      </c>
      <c r="C57" s="131">
        <f>IF(B57="",0,IF(IFERROR(MATCH(B57,'C01_BaseCalculation'!$W$160:$W$239,0),0)&gt;0,1,0))</f>
        <v>0</v>
      </c>
      <c r="D57" s="131"/>
      <c r="E57" s="131"/>
      <c r="F57" s="131"/>
      <c r="G57" s="131"/>
      <c r="H57" s="276"/>
      <c r="I57" s="277"/>
      <c r="J57" s="277">
        <f t="shared" si="25"/>
        <v>0</v>
      </c>
      <c r="K57" s="278">
        <v>9</v>
      </c>
      <c r="L57" s="368">
        <f t="shared" si="26"/>
        <v>0</v>
      </c>
      <c r="M57" s="278">
        <f t="shared" si="27"/>
        <v>0</v>
      </c>
      <c r="N57" s="278">
        <f t="shared" si="28"/>
        <v>0</v>
      </c>
      <c r="O57" s="279">
        <f t="shared" si="29"/>
        <v>0</v>
      </c>
      <c r="P57" s="368">
        <f t="shared" si="30"/>
        <v>0</v>
      </c>
      <c r="Q57" s="278">
        <f t="shared" si="22"/>
        <v>0</v>
      </c>
      <c r="R57" s="278">
        <f t="shared" si="23"/>
        <v>0</v>
      </c>
      <c r="S57" s="279">
        <f t="shared" si="24"/>
        <v>0</v>
      </c>
      <c r="T57" s="278"/>
      <c r="U57" s="288" t="s">
        <v>1110</v>
      </c>
      <c r="V57" s="289" t="s">
        <v>3192</v>
      </c>
      <c r="W57" s="290">
        <f t="shared" si="14"/>
        <v>0</v>
      </c>
      <c r="DZ57" s="138"/>
    </row>
    <row r="58" spans="1:167" ht="17.25" thickBot="1" x14ac:dyDescent="0.35">
      <c r="A58" s="132">
        <f>IFERROR(IF(A57+1&lt;MAX(T041_ClassFeatures!$A$2:$A$2033),A57+1,""),"")</f>
        <v>55</v>
      </c>
      <c r="B58" s="131" t="str">
        <f>IFERROR(INDEX(T041_ClassFeatures!$B$2:$B$2033,MATCH('C03_ClassVariables'!A58,T041_ClassFeatures!$A$2:$A$2033,0),1),"")</f>
        <v>Expertise</v>
      </c>
      <c r="C58" s="131">
        <f>IF(B58="",0,IF(IFERROR(MATCH(B58,'C01_BaseCalculation'!$W$160:$W$239,0),0)&gt;0,1,0))</f>
        <v>0</v>
      </c>
      <c r="D58" s="131"/>
      <c r="E58" s="131"/>
      <c r="F58" s="131"/>
      <c r="G58" s="131"/>
      <c r="H58" s="276"/>
      <c r="I58" s="277"/>
      <c r="J58" s="277">
        <f t="shared" si="25"/>
        <v>0</v>
      </c>
      <c r="K58" s="278">
        <v>10</v>
      </c>
      <c r="L58" s="369">
        <f t="shared" si="26"/>
        <v>0</v>
      </c>
      <c r="M58" s="282">
        <f t="shared" si="27"/>
        <v>0</v>
      </c>
      <c r="N58" s="282">
        <f t="shared" si="28"/>
        <v>0</v>
      </c>
      <c r="O58" s="283">
        <f t="shared" si="29"/>
        <v>0</v>
      </c>
      <c r="P58" s="369">
        <f t="shared" si="30"/>
        <v>0</v>
      </c>
      <c r="Q58" s="282">
        <f t="shared" si="22"/>
        <v>0</v>
      </c>
      <c r="R58" s="282">
        <f t="shared" si="23"/>
        <v>0</v>
      </c>
      <c r="S58" s="283">
        <f t="shared" si="24"/>
        <v>0</v>
      </c>
      <c r="T58" s="278"/>
      <c r="U58" s="288" t="s">
        <v>623</v>
      </c>
      <c r="V58" s="289" t="s">
        <v>3193</v>
      </c>
      <c r="W58" s="290">
        <f t="shared" si="14"/>
        <v>0</v>
      </c>
      <c r="DZ58" s="138"/>
    </row>
    <row r="59" spans="1:167" ht="17.25" thickBot="1" x14ac:dyDescent="0.35">
      <c r="A59" s="132">
        <f>IFERROR(IF(A58+1&lt;MAX(T041_ClassFeatures!$A$2:$A$2033),A58+1,""),"")</f>
        <v>56</v>
      </c>
      <c r="B59" s="131" t="str">
        <f>IFERROR(INDEX(T041_ClassFeatures!$B$2:$B$2033,MATCH('C03_ClassVariables'!A59,T041_ClassFeatures!$A$2:$A$2033,0),1),"")</f>
        <v>Extra Attack</v>
      </c>
      <c r="C59" s="131">
        <f>IF(B59="",0,IF(IFERROR(MATCH(B59,'C01_BaseCalculation'!$W$160:$W$239,0),0)&gt;0,1,0))</f>
        <v>1</v>
      </c>
      <c r="D59" s="131"/>
      <c r="E59" s="131"/>
      <c r="F59" s="131"/>
      <c r="G59" s="131"/>
      <c r="H59" s="276"/>
      <c r="I59" s="277"/>
      <c r="J59" s="277"/>
      <c r="K59" s="278"/>
      <c r="L59" s="1025" t="s">
        <v>4521</v>
      </c>
      <c r="M59" s="1025"/>
      <c r="N59" s="1025"/>
      <c r="O59" s="1025"/>
      <c r="P59" s="278"/>
      <c r="Q59" s="278"/>
      <c r="R59" s="278"/>
      <c r="S59" s="278"/>
      <c r="T59" s="278"/>
      <c r="U59" s="291" t="s">
        <v>623</v>
      </c>
      <c r="V59" s="292" t="s">
        <v>2770</v>
      </c>
      <c r="W59" s="293">
        <f t="shared" si="14"/>
        <v>0</v>
      </c>
      <c r="DZ59" s="138"/>
    </row>
    <row r="60" spans="1:167" ht="16.5" x14ac:dyDescent="0.3">
      <c r="A60" s="132">
        <f>IFERROR(IF(A59+1&lt;MAX(T041_ClassFeatures!$A$2:$A$2033),A59+1,""),"")</f>
        <v>57</v>
      </c>
      <c r="B60" s="131" t="str">
        <f>IFERROR(INDEX(T041_ClassFeatures!$B$2:$B$2033,MATCH('C03_ClassVariables'!A60,T041_ClassFeatures!$A$2:$A$2033,0),1),"")</f>
        <v>Extra Attack (2)</v>
      </c>
      <c r="C60" s="131">
        <f>IF(B60="",0,IF(IFERROR(MATCH(B60,'C01_BaseCalculation'!$W$160:$W$239,0),0)&gt;0,1,0))</f>
        <v>1</v>
      </c>
      <c r="D60" s="131"/>
      <c r="E60" s="131"/>
      <c r="F60" s="131"/>
      <c r="G60" s="131"/>
      <c r="H60" s="276"/>
      <c r="I60" s="277"/>
      <c r="J60" s="277" t="str">
        <f>J49</f>
        <v>Archery</v>
      </c>
      <c r="K60" s="278">
        <v>1</v>
      </c>
      <c r="L60" s="366"/>
      <c r="M60" s="275">
        <f>Q49-L49</f>
        <v>0</v>
      </c>
      <c r="N60" s="275">
        <f>R49-M49-L49</f>
        <v>0</v>
      </c>
      <c r="O60" s="367">
        <f>S49-N49-M49-L49</f>
        <v>0</v>
      </c>
      <c r="P60" s="278">
        <f>IF(L37="",1,IF(P49=0,0,1))</f>
        <v>1</v>
      </c>
      <c r="Q60" s="278">
        <f>IF(M36="",1,IF(M60&lt;1,0,1))</f>
        <v>1</v>
      </c>
      <c r="R60" s="278">
        <f>IF(N36="",1,IF(N60&lt;1,0,1))</f>
        <v>1</v>
      </c>
      <c r="S60" s="278">
        <f>IF(O36="",1,IF(O60&lt;1,0,1))</f>
        <v>1</v>
      </c>
      <c r="T60" s="279"/>
      <c r="U60" s="288" t="s">
        <v>623</v>
      </c>
      <c r="V60" s="289" t="s">
        <v>6453</v>
      </c>
      <c r="W60" s="290">
        <f t="shared" si="14"/>
        <v>0</v>
      </c>
      <c r="DZ60" s="138"/>
    </row>
    <row r="61" spans="1:167" ht="16.5" x14ac:dyDescent="0.3">
      <c r="A61" s="132">
        <f>IFERROR(IF(A60+1&lt;MAX(T041_ClassFeatures!$A$2:$A$2033),A60+1,""),"")</f>
        <v>58</v>
      </c>
      <c r="B61" s="131" t="str">
        <f>IFERROR(INDEX(T041_ClassFeatures!$B$2:$B$2033,MATCH('C03_ClassVariables'!A61,T041_ClassFeatures!$A$2:$A$2033,0),1),"")</f>
        <v>Extra Attack (3)</v>
      </c>
      <c r="C61" s="131">
        <f>IF(B61="",0,IF(IFERROR(MATCH(B61,'C01_BaseCalculation'!$W$160:$W$239,0),0)&gt;0,1,0))</f>
        <v>0</v>
      </c>
      <c r="D61" s="131"/>
      <c r="E61" s="131"/>
      <c r="F61" s="131"/>
      <c r="G61" s="131"/>
      <c r="H61" s="276"/>
      <c r="I61" s="277"/>
      <c r="J61" s="277" t="str">
        <f t="shared" ref="J61:J69" si="31">J50</f>
        <v>Defense</v>
      </c>
      <c r="K61" s="278">
        <v>2</v>
      </c>
      <c r="L61" s="368"/>
      <c r="M61" s="278">
        <f t="shared" ref="M61:M69" si="32">Q50-L50</f>
        <v>0</v>
      </c>
      <c r="N61" s="278">
        <f t="shared" ref="N61:N69" si="33">R50-M50-L50</f>
        <v>0</v>
      </c>
      <c r="O61" s="279">
        <f t="shared" ref="O61:O69" si="34">S50-N50-M50-L50</f>
        <v>0</v>
      </c>
      <c r="P61" s="278">
        <f>IF(P50&gt;0,COUNTIF($P$60:P60,"&gt;0")+1,0)</f>
        <v>2</v>
      </c>
      <c r="Q61" s="278">
        <f>IF(M61&gt;0,COUNTIF(Q$60:Q60,"&gt;0")+1,0)</f>
        <v>0</v>
      </c>
      <c r="R61" s="278">
        <f>IF(N61&gt;0,COUNTIF(R$60:R60,"&gt;0")+1,0)</f>
        <v>0</v>
      </c>
      <c r="S61" s="278">
        <f>IF(O61&lt;=1,0,COUNTIF(S$60:S60,"&gt;0")+1)</f>
        <v>0</v>
      </c>
      <c r="T61" s="279"/>
      <c r="DZ61" s="138"/>
    </row>
    <row r="62" spans="1:167" ht="16.5" x14ac:dyDescent="0.3">
      <c r="A62" s="132">
        <f>IFERROR(IF(A61+1&lt;MAX(T041_ClassFeatures!$A$2:$A$2033),A61+1,""),"")</f>
        <v>59</v>
      </c>
      <c r="B62" s="131" t="str">
        <f>IFERROR(INDEX(T041_ClassFeatures!$B$2:$B$2033,MATCH('C03_ClassVariables'!A62,T041_ClassFeatures!$A$2:$A$2033,0),1),"")</f>
        <v>Fast Movement</v>
      </c>
      <c r="C62" s="131">
        <f>IF(B62="",0,IF(IFERROR(MATCH(B62,'C01_BaseCalculation'!$W$160:$W$239,0),0)&gt;0,1,0))</f>
        <v>0</v>
      </c>
      <c r="D62" s="131"/>
      <c r="E62" s="131"/>
      <c r="F62" s="131"/>
      <c r="G62" s="131"/>
      <c r="H62" s="276"/>
      <c r="I62" s="277"/>
      <c r="J62" s="277" t="str">
        <f t="shared" si="31"/>
        <v>Dueling</v>
      </c>
      <c r="K62" s="278">
        <v>3</v>
      </c>
      <c r="L62" s="368"/>
      <c r="M62" s="278">
        <f t="shared" si="32"/>
        <v>0</v>
      </c>
      <c r="N62" s="278">
        <f t="shared" si="33"/>
        <v>0</v>
      </c>
      <c r="O62" s="279">
        <f t="shared" si="34"/>
        <v>0</v>
      </c>
      <c r="P62" s="278">
        <f>IF(P51&gt;0,COUNTIF($P$60:P61,"&gt;0")+1,0)</f>
        <v>3</v>
      </c>
      <c r="Q62" s="278">
        <f>IF(M62&gt;0,COUNTIF(Q$60:Q61,"&gt;0")+1,0)</f>
        <v>0</v>
      </c>
      <c r="R62" s="278">
        <f>IF(N62&gt;0,COUNTIF(R$60:R61,"&gt;0")+1,0)</f>
        <v>0</v>
      </c>
      <c r="S62" s="278">
        <f>IF(O62&lt;=1,0,COUNTIF(S$60:S61,"&gt;0")+1)</f>
        <v>0</v>
      </c>
      <c r="T62" s="279"/>
      <c r="DZ62" s="138"/>
    </row>
    <row r="63" spans="1:167" ht="16.5" x14ac:dyDescent="0.3">
      <c r="A63" s="132">
        <f>IFERROR(IF(A62+1&lt;MAX(T041_ClassFeatures!$A$2:$A$2033),A62+1,""),"")</f>
        <v>60</v>
      </c>
      <c r="B63" s="131" t="str">
        <f>IFERROR(INDEX(T041_ClassFeatures!$B$2:$B$2033,MATCH('C03_ClassVariables'!A63,T041_ClassFeatures!$A$2:$A$2033,0),1),"")</f>
        <v>Favored Enemy</v>
      </c>
      <c r="C63" s="131">
        <f>IF(B63="",0,IF(IFERROR(MATCH(B63,'C01_BaseCalculation'!$W$160:$W$239,0),0)&gt;0,1,0))</f>
        <v>0</v>
      </c>
      <c r="D63" s="131"/>
      <c r="E63" s="131"/>
      <c r="F63" s="131"/>
      <c r="G63" s="131"/>
      <c r="H63" s="276"/>
      <c r="I63" s="277"/>
      <c r="J63" s="277" t="str">
        <f t="shared" si="31"/>
        <v>Great Weapon Fighting</v>
      </c>
      <c r="K63" s="278">
        <v>4</v>
      </c>
      <c r="L63" s="368"/>
      <c r="M63" s="278">
        <f t="shared" si="32"/>
        <v>0</v>
      </c>
      <c r="N63" s="278">
        <f t="shared" si="33"/>
        <v>0</v>
      </c>
      <c r="O63" s="279">
        <f t="shared" si="34"/>
        <v>0</v>
      </c>
      <c r="P63" s="278">
        <f>IF(P52&gt;0,COUNTIF($P$60:P62,"&gt;0")+1,0)</f>
        <v>4</v>
      </c>
      <c r="Q63" s="278">
        <f>IF(M63&gt;0,COUNTIF(Q$60:Q62,"&gt;0")+1,0)</f>
        <v>0</v>
      </c>
      <c r="R63" s="278">
        <f>IF(N63&gt;0,COUNTIF(R$60:R62,"&gt;0")+1,0)</f>
        <v>0</v>
      </c>
      <c r="S63" s="278">
        <f>IF(O63&lt;=1,0,COUNTIF(S$60:S62,"&gt;0")+1)</f>
        <v>0</v>
      </c>
      <c r="T63" s="279"/>
      <c r="DZ63" s="138"/>
    </row>
    <row r="64" spans="1:167" ht="16.5" x14ac:dyDescent="0.3">
      <c r="A64" s="132">
        <f>IFERROR(IF(A63+1&lt;MAX(T041_ClassFeatures!$A$2:$A$2033),A63+1,""),"")</f>
        <v>61</v>
      </c>
      <c r="B64" s="131" t="str">
        <f>IFERROR(INDEX(T041_ClassFeatures!$B$2:$B$2033,MATCH('C03_ClassVariables'!A64,T041_ClassFeatures!$A$2:$A$2033,0),1),"")</f>
        <v>Feral Instinct</v>
      </c>
      <c r="C64" s="131">
        <f>IF(B64="",0,IF(IFERROR(MATCH(B64,'C01_BaseCalculation'!$W$160:$W$239,0),0)&gt;0,1,0))</f>
        <v>0</v>
      </c>
      <c r="D64" s="131"/>
      <c r="E64" s="131"/>
      <c r="F64" s="131"/>
      <c r="G64" s="131"/>
      <c r="H64" s="276"/>
      <c r="I64" s="277"/>
      <c r="J64" s="277" t="str">
        <f t="shared" si="31"/>
        <v>Protection</v>
      </c>
      <c r="K64" s="278">
        <v>5</v>
      </c>
      <c r="L64" s="368"/>
      <c r="M64" s="278">
        <f t="shared" si="32"/>
        <v>0</v>
      </c>
      <c r="N64" s="278">
        <f t="shared" si="33"/>
        <v>0</v>
      </c>
      <c r="O64" s="279">
        <f t="shared" si="34"/>
        <v>0</v>
      </c>
      <c r="P64" s="278">
        <f>IF(P53&gt;0,COUNTIF($P$60:P63,"&gt;0")+1,0)</f>
        <v>5</v>
      </c>
      <c r="Q64" s="278">
        <f>IF(M64&gt;0,COUNTIF(Q$60:Q63,"&gt;0")+1,0)</f>
        <v>0</v>
      </c>
      <c r="R64" s="278">
        <f>IF(N64&gt;0,COUNTIF(R$60:R63,"&gt;0")+1,0)</f>
        <v>0</v>
      </c>
      <c r="S64" s="278">
        <f>IF(O64&lt;=1,0,COUNTIF(S$60:S63,"&gt;0")+1)</f>
        <v>0</v>
      </c>
      <c r="T64" s="279"/>
      <c r="DZ64" s="138"/>
    </row>
    <row r="65" spans="1:130" ht="16.5" x14ac:dyDescent="0.3">
      <c r="A65" s="132">
        <f>IFERROR(IF(A64+1&lt;MAX(T041_ClassFeatures!$A$2:$A$2033),A64+1,""),"")</f>
        <v>62</v>
      </c>
      <c r="B65" s="131" t="str">
        <f>IFERROR(INDEX(T041_ClassFeatures!$B$2:$B$2033,MATCH('C03_ClassVariables'!A65,T041_ClassFeatures!$A$2:$A$2033,0),1),"")</f>
        <v>Feral Senses</v>
      </c>
      <c r="C65" s="131">
        <f>IF(B65="",0,IF(IFERROR(MATCH(B65,'C01_BaseCalculation'!$W$160:$W$239,0),0)&gt;0,1,0))</f>
        <v>0</v>
      </c>
      <c r="D65" s="131"/>
      <c r="E65" s="131"/>
      <c r="F65" s="131"/>
      <c r="G65" s="131"/>
      <c r="H65" s="276"/>
      <c r="I65" s="277"/>
      <c r="J65" s="277" t="str">
        <f t="shared" si="31"/>
        <v>Two-Weapon Fighting</v>
      </c>
      <c r="K65" s="278">
        <v>6</v>
      </c>
      <c r="L65" s="368"/>
      <c r="M65" s="278">
        <f t="shared" si="32"/>
        <v>-1</v>
      </c>
      <c r="N65" s="278">
        <f t="shared" si="33"/>
        <v>-1</v>
      </c>
      <c r="O65" s="279">
        <f t="shared" si="34"/>
        <v>-1</v>
      </c>
      <c r="P65" s="278">
        <f>IF(P54&gt;0,COUNTIF($P$60:P64,"&gt;0")+1,0)</f>
        <v>6</v>
      </c>
      <c r="Q65" s="278">
        <f>IF(M65&gt;0,COUNTIF(Q$60:Q64,"&gt;0")+1,0)</f>
        <v>0</v>
      </c>
      <c r="R65" s="278">
        <f>IF(N65&gt;0,COUNTIF(R$60:R64,"&gt;0")+1,0)</f>
        <v>0</v>
      </c>
      <c r="S65" s="278">
        <f>IF(O65&lt;=1,0,COUNTIF(S$60:S64,"&gt;0")+1)</f>
        <v>0</v>
      </c>
      <c r="T65" s="279"/>
      <c r="DZ65" s="138"/>
    </row>
    <row r="66" spans="1:130" ht="16.5" x14ac:dyDescent="0.3">
      <c r="A66" s="132">
        <f>IFERROR(IF(A65+1&lt;MAX(T041_ClassFeatures!$A$2:$A$2033),A65+1,""),"")</f>
        <v>63</v>
      </c>
      <c r="B66" s="131" t="str">
        <f>IFERROR(INDEX(T041_ClassFeatures!$B$2:$B$2033,MATCH('C03_ClassVariables'!A66,T041_ClassFeatures!$A$2:$A$2033,0),1),"")</f>
        <v>Fighting style (fighter)</v>
      </c>
      <c r="C66" s="131">
        <f>IF(B66="",0,IF(IFERROR(MATCH(B66,'C01_BaseCalculation'!$W$160:$W$239,0),0)&gt;0,1,0))</f>
        <v>1</v>
      </c>
      <c r="D66" s="131"/>
      <c r="E66" s="131"/>
      <c r="F66" s="131"/>
      <c r="G66" s="131"/>
      <c r="H66" s="276"/>
      <c r="I66" s="277"/>
      <c r="J66" s="277" t="str">
        <f t="shared" si="31"/>
        <v>Mariner</v>
      </c>
      <c r="K66" s="278">
        <v>7</v>
      </c>
      <c r="L66" s="368"/>
      <c r="M66" s="278">
        <f t="shared" si="32"/>
        <v>0</v>
      </c>
      <c r="N66" s="278">
        <f t="shared" si="33"/>
        <v>0</v>
      </c>
      <c r="O66" s="279">
        <f t="shared" si="34"/>
        <v>0</v>
      </c>
      <c r="P66" s="278">
        <f>IF(P55&gt;0,COUNTIF($P$60:P65,"&gt;0")+1,0)</f>
        <v>0</v>
      </c>
      <c r="Q66" s="278">
        <f>IF(M66&gt;0,COUNTIF(Q$60:Q65,"&gt;0")+1,0)</f>
        <v>0</v>
      </c>
      <c r="R66" s="278">
        <f>IF(N66&gt;0,COUNTIF(R$60:R65,"&gt;0")+1,0)</f>
        <v>0</v>
      </c>
      <c r="S66" s="278">
        <f>IF(O66&lt;=1,0,COUNTIF(S$60:S65,"&gt;0")+1)</f>
        <v>0</v>
      </c>
      <c r="T66" s="279"/>
      <c r="DZ66" s="138"/>
    </row>
    <row r="67" spans="1:130" ht="16.5" x14ac:dyDescent="0.3">
      <c r="A67" s="132">
        <f>IFERROR(IF(A66+1&lt;MAX(T041_ClassFeatures!$A$2:$A$2033),A66+1,""),"")</f>
        <v>64</v>
      </c>
      <c r="B67" s="131" t="str">
        <f>IFERROR(INDEX(T041_ClassFeatures!$B$2:$B$2033,MATCH('C03_ClassVariables'!A67,T041_ClassFeatures!$A$2:$A$2033,0),1),"")</f>
        <v>Foe Slayer</v>
      </c>
      <c r="C67" s="131">
        <f>IF(B67="",0,IF(IFERROR(MATCH(B67,'C01_BaseCalculation'!$W$160:$W$239,0),0)&gt;0,1,0))</f>
        <v>0</v>
      </c>
      <c r="D67" s="131"/>
      <c r="E67" s="131"/>
      <c r="F67" s="131"/>
      <c r="G67" s="131"/>
      <c r="H67" s="276"/>
      <c r="I67" s="277"/>
      <c r="J67" s="277">
        <f t="shared" si="31"/>
        <v>0</v>
      </c>
      <c r="K67" s="278">
        <v>8</v>
      </c>
      <c r="L67" s="368"/>
      <c r="M67" s="278">
        <f t="shared" si="32"/>
        <v>0</v>
      </c>
      <c r="N67" s="278">
        <f t="shared" si="33"/>
        <v>0</v>
      </c>
      <c r="O67" s="279">
        <f t="shared" si="34"/>
        <v>0</v>
      </c>
      <c r="P67" s="278">
        <f>IF(P56&gt;0,COUNTIF($P$60:P66,"&gt;0")+1,0)</f>
        <v>0</v>
      </c>
      <c r="Q67" s="278">
        <f>IF(M67&gt;0,COUNTIF(Q$60:Q66,"&gt;0")+1,0)</f>
        <v>0</v>
      </c>
      <c r="R67" s="278">
        <f>IF(N67&gt;0,COUNTIF(R$60:R66,"&gt;0")+1,0)</f>
        <v>0</v>
      </c>
      <c r="S67" s="278">
        <f>IF(O67&lt;=1,0,COUNTIF(S$60:S66,"&gt;0")+1)</f>
        <v>0</v>
      </c>
      <c r="T67" s="279"/>
      <c r="DZ67" s="138"/>
    </row>
    <row r="68" spans="1:130" ht="16.5" x14ac:dyDescent="0.3">
      <c r="A68" s="132">
        <f>IFERROR(IF(A67+1&lt;MAX(T041_ClassFeatures!$A$2:$A$2033),A67+1,""),"")</f>
        <v>65</v>
      </c>
      <c r="B68" s="131" t="str">
        <f>IFERROR(INDEX(T041_ClassFeatures!$B$2:$B$2033,MATCH('C03_ClassVariables'!A68,T041_ClassFeatures!$A$2:$A$2033,0),1),"")</f>
        <v>Font of Inspiration</v>
      </c>
      <c r="C68" s="131">
        <f>IF(B68="",0,IF(IFERROR(MATCH(B68,'C01_BaseCalculation'!$W$160:$W$239,0),0)&gt;0,1,0))</f>
        <v>0</v>
      </c>
      <c r="D68" s="131"/>
      <c r="E68" s="131"/>
      <c r="F68" s="131"/>
      <c r="G68" s="131"/>
      <c r="H68" s="276"/>
      <c r="I68" s="277"/>
      <c r="J68" s="277">
        <f t="shared" si="31"/>
        <v>0</v>
      </c>
      <c r="K68" s="278">
        <v>9</v>
      </c>
      <c r="L68" s="368"/>
      <c r="M68" s="278">
        <f t="shared" si="32"/>
        <v>0</v>
      </c>
      <c r="N68" s="278">
        <f t="shared" si="33"/>
        <v>0</v>
      </c>
      <c r="O68" s="279">
        <f t="shared" si="34"/>
        <v>0</v>
      </c>
      <c r="P68" s="278">
        <f>IF(P57&gt;0,COUNTIF($P$60:P67,"&gt;0")+1,0)</f>
        <v>0</v>
      </c>
      <c r="Q68" s="278">
        <f>IF(M68&gt;0,COUNTIF(Q$60:Q67,"&gt;0")+1,0)</f>
        <v>0</v>
      </c>
      <c r="R68" s="278">
        <f>IF(N68&gt;0,COUNTIF(R$60:R67,"&gt;0")+1,0)</f>
        <v>0</v>
      </c>
      <c r="S68" s="278">
        <f>IF(O68&lt;=1,0,COUNTIF(S$60:S67,"&gt;0")+1)</f>
        <v>0</v>
      </c>
      <c r="T68" s="279"/>
      <c r="DZ68" s="138"/>
    </row>
    <row r="69" spans="1:130" ht="17.25" thickBot="1" x14ac:dyDescent="0.35">
      <c r="A69" s="132">
        <f>IFERROR(IF(A68+1&lt;MAX(T041_ClassFeatures!$A$2:$A$2033),A68+1,""),"")</f>
        <v>66</v>
      </c>
      <c r="B69" s="131" t="str">
        <f>IFERROR(INDEX(T041_ClassFeatures!$B$2:$B$2033,MATCH('C03_ClassVariables'!A69,T041_ClassFeatures!$A$2:$A$2033,0),1),"")</f>
        <v>Font of Magic</v>
      </c>
      <c r="C69" s="131">
        <f>IF(B69="",0,IF(IFERROR(MATCH(B69,'C01_BaseCalculation'!$W$160:$W$239,0),0)&gt;0,1,0))</f>
        <v>0</v>
      </c>
      <c r="D69" s="131"/>
      <c r="E69" s="131"/>
      <c r="F69" s="131"/>
      <c r="G69" s="131"/>
      <c r="H69" s="276"/>
      <c r="I69" s="277"/>
      <c r="J69" s="277">
        <f t="shared" si="31"/>
        <v>0</v>
      </c>
      <c r="K69" s="278">
        <v>10</v>
      </c>
      <c r="L69" s="369"/>
      <c r="M69" s="282">
        <f t="shared" si="32"/>
        <v>0</v>
      </c>
      <c r="N69" s="282">
        <f t="shared" si="33"/>
        <v>0</v>
      </c>
      <c r="O69" s="283">
        <f t="shared" si="34"/>
        <v>0</v>
      </c>
      <c r="P69" s="278">
        <f>IF(P58&gt;0,COUNTIF($P$60:P68,"&gt;0")+1,0)</f>
        <v>0</v>
      </c>
      <c r="Q69" s="278">
        <f>IF(M69&gt;0,COUNTIF(Q$60:Q68,"&gt;0")+1,0)</f>
        <v>0</v>
      </c>
      <c r="R69" s="278">
        <f>IF(N69&gt;0,COUNTIF(R$60:R68,"&gt;0")+1,0)</f>
        <v>0</v>
      </c>
      <c r="S69" s="278">
        <f>IF(O69&lt;=1,0,COUNTIF(S$60:S68,"&gt;0")+1)</f>
        <v>0</v>
      </c>
      <c r="T69" s="279"/>
      <c r="DZ69" s="138"/>
    </row>
    <row r="70" spans="1:130" ht="16.5" x14ac:dyDescent="0.3">
      <c r="A70" s="132">
        <f>IFERROR(IF(A69+1&lt;MAX(T041_ClassFeatures!$A$2:$A$2033),A69+1,""),"")</f>
        <v>67</v>
      </c>
      <c r="B70" s="131" t="str">
        <f>IFERROR(INDEX(T041_ClassFeatures!$B$2:$B$2033,MATCH('C03_ClassVariables'!A70,T041_ClassFeatures!$A$2:$A$2033,0),1),"")</f>
        <v>Hide in Plain Sight</v>
      </c>
      <c r="C70" s="131">
        <f>IF(B70="",0,IF(IFERROR(MATCH(B70,'C01_BaseCalculation'!$W$160:$W$239,0),0)&gt;0,1,0))</f>
        <v>0</v>
      </c>
      <c r="D70" s="131"/>
      <c r="E70" s="131"/>
      <c r="F70" s="131"/>
      <c r="G70" s="131"/>
      <c r="H70" s="276"/>
      <c r="I70" s="277"/>
      <c r="J70" s="277"/>
      <c r="K70" s="278"/>
      <c r="L70" s="278"/>
      <c r="M70" s="278"/>
      <c r="N70" s="278"/>
      <c r="O70" s="278"/>
      <c r="P70" s="278"/>
      <c r="Q70" s="278"/>
      <c r="R70" s="278"/>
      <c r="S70" s="278"/>
      <c r="T70" s="279"/>
      <c r="DZ70" s="138"/>
    </row>
    <row r="71" spans="1:130" ht="16.5" x14ac:dyDescent="0.3">
      <c r="A71" s="132">
        <f>IFERROR(IF(A70+1&lt;MAX(T041_ClassFeatures!$A$2:$A$2033),A70+1,""),"")</f>
        <v>68</v>
      </c>
      <c r="B71" s="131" t="str">
        <f>IFERROR(INDEX(T041_ClassFeatures!$B$2:$B$2033,MATCH('C03_ClassVariables'!A71,T041_ClassFeatures!$A$2:$A$2033,0),1),"")</f>
        <v>Improved Divine Smite</v>
      </c>
      <c r="C71" s="131">
        <f>IF(B71="",0,IF(IFERROR(MATCH(B71,'C01_BaseCalculation'!$W$160:$W$239,0),0)&gt;0,1,0))</f>
        <v>0</v>
      </c>
      <c r="D71" s="131"/>
      <c r="E71" s="131"/>
      <c r="F71" s="131"/>
      <c r="G71" s="131"/>
      <c r="H71" s="276"/>
      <c r="I71" s="277"/>
      <c r="J71" s="277" t="str">
        <f>J60</f>
        <v>Archery</v>
      </c>
      <c r="K71" s="278">
        <v>1</v>
      </c>
      <c r="L71" s="278" t="str">
        <f t="shared" ref="L71:L80" si="35">IF(L36&lt;&gt;"",IFERROR(INDEX($J$60:$J$69,MATCH($K71,P$60:P$69,0),1),""),"")</f>
        <v>Archery</v>
      </c>
      <c r="M71" s="278" t="str">
        <f t="shared" ref="M71:M80" si="36">IF(M36&lt;&gt;"",IFERROR(INDEX($J$60:$J$69,MATCH($K71,Q$60:Q$69,0),1),""),"")</f>
        <v/>
      </c>
      <c r="N71" s="278" t="str">
        <f t="shared" ref="N71:N80" si="37">IF(N36&lt;&gt;"",IFERROR(INDEX($J$60:$J$69,MATCH($K71,R$60:R$69,0),1),""),"")</f>
        <v/>
      </c>
      <c r="O71" s="278" t="str">
        <f t="shared" ref="O71:O80" si="38">IF(O36&lt;&gt;"",IFERROR(INDEX($J$60:$J$69,MATCH($K71,S$60:S$69,0),1),""),"")</f>
        <v/>
      </c>
      <c r="P71" s="278"/>
      <c r="Q71" s="278"/>
      <c r="R71" s="278"/>
      <c r="S71" s="278"/>
      <c r="T71" s="279"/>
      <c r="DZ71" s="138"/>
    </row>
    <row r="72" spans="1:130" ht="16.5" x14ac:dyDescent="0.3">
      <c r="A72" s="132">
        <f>IFERROR(IF(A71+1&lt;MAX(T041_ClassFeatures!$A$2:$A$2033),A71+1,""),"")</f>
        <v>69</v>
      </c>
      <c r="B72" s="131" t="str">
        <f>IFERROR(INDEX(T041_ClassFeatures!$B$2:$B$2033,MATCH('C03_ClassVariables'!A72,T041_ClassFeatures!$A$2:$A$2033,0),1),"")</f>
        <v>Indomitable</v>
      </c>
      <c r="C72" s="131">
        <f>IF(B72="",0,IF(IFERROR(MATCH(B72,'C01_BaseCalculation'!$W$160:$W$239,0),0)&gt;0,1,0))</f>
        <v>1</v>
      </c>
      <c r="D72" s="131"/>
      <c r="E72" s="131"/>
      <c r="F72" s="131"/>
      <c r="G72" s="131"/>
      <c r="H72" s="276"/>
      <c r="I72" s="277"/>
      <c r="J72" s="277" t="str">
        <f t="shared" ref="J72:J80" si="39">J61</f>
        <v>Defense</v>
      </c>
      <c r="K72" s="278">
        <v>2</v>
      </c>
      <c r="L72" s="278" t="str">
        <f t="shared" si="35"/>
        <v>Defense</v>
      </c>
      <c r="M72" s="278" t="str">
        <f t="shared" si="36"/>
        <v/>
      </c>
      <c r="N72" s="278" t="str">
        <f t="shared" si="37"/>
        <v/>
      </c>
      <c r="O72" s="278" t="str">
        <f t="shared" si="38"/>
        <v/>
      </c>
      <c r="P72" s="278"/>
      <c r="Q72" s="278"/>
      <c r="R72" s="278"/>
      <c r="S72" s="278"/>
      <c r="T72" s="279"/>
      <c r="DZ72" s="138"/>
    </row>
    <row r="73" spans="1:130" ht="16.5" x14ac:dyDescent="0.3">
      <c r="A73" s="132">
        <f>IFERROR(IF(A72+1&lt;MAX(T041_ClassFeatures!$A$2:$A$2033),A72+1,""),"")</f>
        <v>70</v>
      </c>
      <c r="B73" s="131" t="str">
        <f>IFERROR(INDEX(T041_ClassFeatures!$B$2:$B$2033,MATCH('C03_ClassVariables'!A73,T041_ClassFeatures!$A$2:$A$2033,0),1),"")</f>
        <v>Indomitable Might</v>
      </c>
      <c r="C73" s="131">
        <f>IF(B73="",0,IF(IFERROR(MATCH(B73,'C01_BaseCalculation'!$W$160:$W$239,0),0)&gt;0,1,0))</f>
        <v>0</v>
      </c>
      <c r="D73" s="131"/>
      <c r="E73" s="131"/>
      <c r="F73" s="131"/>
      <c r="G73" s="131"/>
      <c r="H73" s="276"/>
      <c r="I73" s="277"/>
      <c r="J73" s="277" t="str">
        <f t="shared" si="39"/>
        <v>Dueling</v>
      </c>
      <c r="K73" s="278">
        <v>3</v>
      </c>
      <c r="L73" s="278" t="str">
        <f t="shared" si="35"/>
        <v>Dueling</v>
      </c>
      <c r="M73" s="278" t="str">
        <f t="shared" si="36"/>
        <v/>
      </c>
      <c r="N73" s="278" t="str">
        <f t="shared" si="37"/>
        <v/>
      </c>
      <c r="O73" s="278" t="str">
        <f t="shared" si="38"/>
        <v/>
      </c>
      <c r="P73" s="278"/>
      <c r="Q73" s="278"/>
      <c r="R73" s="278"/>
      <c r="S73" s="278"/>
      <c r="T73" s="279"/>
      <c r="DZ73" s="138"/>
    </row>
    <row r="74" spans="1:130" ht="16.5" x14ac:dyDescent="0.3">
      <c r="A74" s="132">
        <f>IFERROR(IF(A73+1&lt;MAX(T041_ClassFeatures!$A$2:$A$2033),A73+1,""),"")</f>
        <v>71</v>
      </c>
      <c r="B74" s="131" t="str">
        <f>IFERROR(INDEX(T041_ClassFeatures!$B$2:$B$2033,MATCH('C03_ClassVariables'!A74,T041_ClassFeatures!$A$2:$A$2033,0),1),"")</f>
        <v>Jack of All Trades</v>
      </c>
      <c r="C74" s="131">
        <f>IF(B74="",0,IF(IFERROR(MATCH(B74,'C01_BaseCalculation'!$W$160:$W$239,0),0)&gt;0,1,0))</f>
        <v>0</v>
      </c>
      <c r="D74" s="131"/>
      <c r="E74" s="131"/>
      <c r="F74" s="131"/>
      <c r="G74" s="131"/>
      <c r="H74" s="276"/>
      <c r="I74" s="277"/>
      <c r="J74" s="277" t="str">
        <f t="shared" si="39"/>
        <v>Great Weapon Fighting</v>
      </c>
      <c r="K74" s="278">
        <v>4</v>
      </c>
      <c r="L74" s="278" t="str">
        <f t="shared" si="35"/>
        <v>Great Weapon Fighting</v>
      </c>
      <c r="M74" s="278" t="str">
        <f t="shared" si="36"/>
        <v/>
      </c>
      <c r="N74" s="278" t="str">
        <f t="shared" si="37"/>
        <v/>
      </c>
      <c r="O74" s="278" t="str">
        <f t="shared" si="38"/>
        <v/>
      </c>
      <c r="P74" s="278"/>
      <c r="Q74" s="278"/>
      <c r="R74" s="278"/>
      <c r="S74" s="278"/>
      <c r="T74" s="279"/>
      <c r="DZ74" s="138"/>
    </row>
    <row r="75" spans="1:130" ht="16.5" x14ac:dyDescent="0.3">
      <c r="A75" s="132">
        <f>IFERROR(IF(A74+1&lt;MAX(T041_ClassFeatures!$A$2:$A$2033),A74+1,""),"")</f>
        <v>72</v>
      </c>
      <c r="B75" s="131" t="str">
        <f>IFERROR(INDEX(T041_ClassFeatures!$B$2:$B$2033,MATCH('C03_ClassVariables'!A75,T041_ClassFeatures!$A$2:$A$2033,0),1),"")</f>
        <v>Ki</v>
      </c>
      <c r="C75" s="131">
        <f>IF(B75="",0,IF(IFERROR(MATCH(B75,'C01_BaseCalculation'!$W$160:$W$239,0),0)&gt;0,1,0))</f>
        <v>0</v>
      </c>
      <c r="D75" s="131"/>
      <c r="E75" s="131"/>
      <c r="F75" s="131"/>
      <c r="G75" s="131"/>
      <c r="H75" s="276"/>
      <c r="I75" s="277"/>
      <c r="J75" s="277" t="str">
        <f t="shared" si="39"/>
        <v>Protection</v>
      </c>
      <c r="K75" s="278">
        <v>5</v>
      </c>
      <c r="L75" s="278" t="str">
        <f t="shared" si="35"/>
        <v>Protection</v>
      </c>
      <c r="M75" s="278" t="str">
        <f t="shared" si="36"/>
        <v/>
      </c>
      <c r="N75" s="278" t="str">
        <f t="shared" si="37"/>
        <v/>
      </c>
      <c r="O75" s="278" t="str">
        <f t="shared" si="38"/>
        <v/>
      </c>
      <c r="P75" s="278"/>
      <c r="Q75" s="278"/>
      <c r="R75" s="278"/>
      <c r="S75" s="278"/>
      <c r="T75" s="279"/>
      <c r="DZ75" s="138"/>
    </row>
    <row r="76" spans="1:130" ht="16.5" x14ac:dyDescent="0.3">
      <c r="A76" s="132">
        <f>IFERROR(IF(A75+1&lt;MAX(T041_ClassFeatures!$A$2:$A$2033),A75+1,""),"")</f>
        <v>73</v>
      </c>
      <c r="B76" s="131" t="str">
        <f>IFERROR(INDEX(T041_ClassFeatures!$B$2:$B$2033,MATCH('C03_ClassVariables'!A76,T041_ClassFeatures!$A$2:$A$2033,0),1),"")</f>
        <v>Ki-Empowered Strikes</v>
      </c>
      <c r="C76" s="131">
        <f>IF(B76="",0,IF(IFERROR(MATCH(B76,'C01_BaseCalculation'!$W$160:$W$239,0),0)&gt;0,1,0))</f>
        <v>0</v>
      </c>
      <c r="D76" s="131"/>
      <c r="E76" s="131"/>
      <c r="F76" s="131"/>
      <c r="G76" s="131"/>
      <c r="H76" s="276"/>
      <c r="I76" s="277"/>
      <c r="J76" s="277" t="str">
        <f t="shared" si="39"/>
        <v>Two-Weapon Fighting</v>
      </c>
      <c r="K76" s="278">
        <v>6</v>
      </c>
      <c r="L76" s="278" t="str">
        <f t="shared" si="35"/>
        <v>Two-Weapon Fighting</v>
      </c>
      <c r="M76" s="278" t="str">
        <f t="shared" si="36"/>
        <v/>
      </c>
      <c r="N76" s="278" t="str">
        <f t="shared" si="37"/>
        <v/>
      </c>
      <c r="O76" s="278" t="str">
        <f t="shared" si="38"/>
        <v/>
      </c>
      <c r="P76" s="278"/>
      <c r="Q76" s="278"/>
      <c r="R76" s="278"/>
      <c r="S76" s="278"/>
      <c r="T76" s="279"/>
      <c r="DZ76" s="138"/>
    </row>
    <row r="77" spans="1:130" ht="16.5" x14ac:dyDescent="0.3">
      <c r="A77" s="132">
        <f>IFERROR(IF(A76+1&lt;MAX(T041_ClassFeatures!$A$2:$A$2033),A76+1,""),"")</f>
        <v>74</v>
      </c>
      <c r="B77" s="131" t="str">
        <f>IFERROR(INDEX(T041_ClassFeatures!$B$2:$B$2033,MATCH('C03_ClassVariables'!A77,T041_ClassFeatures!$A$2:$A$2033,0),1),"")</f>
        <v>Land's Stride (ranger)</v>
      </c>
      <c r="C77" s="131">
        <f>IF(B77="",0,IF(IFERROR(MATCH(B77,'C01_BaseCalculation'!$W$160:$W$239,0),0)&gt;0,1,0))</f>
        <v>0</v>
      </c>
      <c r="D77" s="131"/>
      <c r="E77" s="131"/>
      <c r="F77" s="131"/>
      <c r="G77" s="131"/>
      <c r="H77" s="276"/>
      <c r="I77" s="277"/>
      <c r="J77" s="277" t="str">
        <f t="shared" si="39"/>
        <v>Mariner</v>
      </c>
      <c r="K77" s="278">
        <v>7</v>
      </c>
      <c r="L77" s="278" t="str">
        <f t="shared" si="35"/>
        <v/>
      </c>
      <c r="M77" s="278" t="str">
        <f t="shared" si="36"/>
        <v/>
      </c>
      <c r="N77" s="278" t="str">
        <f t="shared" si="37"/>
        <v/>
      </c>
      <c r="O77" s="278" t="str">
        <f t="shared" si="38"/>
        <v/>
      </c>
      <c r="P77" s="278"/>
      <c r="Q77" s="278"/>
      <c r="R77" s="278"/>
      <c r="S77" s="278"/>
      <c r="T77" s="279"/>
      <c r="DZ77" s="138"/>
    </row>
    <row r="78" spans="1:130" ht="16.5" x14ac:dyDescent="0.3">
      <c r="A78" s="132">
        <f>IFERROR(IF(A77+1&lt;MAX(T041_ClassFeatures!$A$2:$A$2033),A77+1,""),"")</f>
        <v>75</v>
      </c>
      <c r="B78" s="131" t="str">
        <f>IFERROR(INDEX(T041_ClassFeatures!$B$2:$B$2033,MATCH('C03_ClassVariables'!A78,T041_ClassFeatures!$A$2:$A$2033,0),1),"")</f>
        <v>Lay on Hands</v>
      </c>
      <c r="C78" s="131">
        <f>IF(B78="",0,IF(IFERROR(MATCH(B78,'C01_BaseCalculation'!$W$160:$W$239,0),0)&gt;0,1,0))</f>
        <v>0</v>
      </c>
      <c r="D78" s="131"/>
      <c r="E78" s="131"/>
      <c r="F78" s="131"/>
      <c r="G78" s="131"/>
      <c r="H78" s="276"/>
      <c r="I78" s="277"/>
      <c r="J78" s="277">
        <f t="shared" si="39"/>
        <v>0</v>
      </c>
      <c r="K78" s="278">
        <v>8</v>
      </c>
      <c r="L78" s="278" t="str">
        <f t="shared" si="35"/>
        <v/>
      </c>
      <c r="M78" s="278" t="str">
        <f t="shared" si="36"/>
        <v/>
      </c>
      <c r="N78" s="278" t="str">
        <f t="shared" si="37"/>
        <v/>
      </c>
      <c r="O78" s="278" t="str">
        <f t="shared" si="38"/>
        <v/>
      </c>
      <c r="P78" s="278"/>
      <c r="Q78" s="278"/>
      <c r="R78" s="278"/>
      <c r="S78" s="278"/>
      <c r="T78" s="279"/>
      <c r="DZ78" s="138"/>
    </row>
    <row r="79" spans="1:130" ht="16.5" x14ac:dyDescent="0.3">
      <c r="A79" s="132">
        <f>IFERROR(IF(A78+1&lt;MAX(T041_ClassFeatures!$A$2:$A$2033),A78+1,""),"")</f>
        <v>76</v>
      </c>
      <c r="B79" s="131" t="str">
        <f>IFERROR(INDEX(T041_ClassFeatures!$B$2:$B$2033,MATCH('C03_ClassVariables'!A79,T041_ClassFeatures!$A$2:$A$2033,0),1),"")</f>
        <v>Magical Secrets</v>
      </c>
      <c r="C79" s="131">
        <f>IF(B79="",0,IF(IFERROR(MATCH(B79,'C01_BaseCalculation'!$W$160:$W$239,0),0)&gt;0,1,0))</f>
        <v>0</v>
      </c>
      <c r="D79" s="131"/>
      <c r="E79" s="131"/>
      <c r="F79" s="131"/>
      <c r="G79" s="131"/>
      <c r="H79" s="276"/>
      <c r="I79" s="277"/>
      <c r="J79" s="277">
        <f t="shared" si="39"/>
        <v>0</v>
      </c>
      <c r="K79" s="278">
        <v>9</v>
      </c>
      <c r="L79" s="278" t="str">
        <f t="shared" si="35"/>
        <v/>
      </c>
      <c r="M79" s="278" t="str">
        <f t="shared" si="36"/>
        <v/>
      </c>
      <c r="N79" s="278" t="str">
        <f t="shared" si="37"/>
        <v/>
      </c>
      <c r="O79" s="278" t="str">
        <f t="shared" si="38"/>
        <v/>
      </c>
      <c r="P79" s="278"/>
      <c r="Q79" s="278"/>
      <c r="R79" s="278"/>
      <c r="S79" s="278"/>
      <c r="T79" s="279"/>
      <c r="DZ79" s="138"/>
    </row>
    <row r="80" spans="1:130" ht="16.5" x14ac:dyDescent="0.3">
      <c r="A80" s="132">
        <f>IFERROR(IF(A79+1&lt;MAX(T041_ClassFeatures!$A$2:$A$2033),A79+1,""),"")</f>
        <v>77</v>
      </c>
      <c r="B80" s="131" t="str">
        <f>IFERROR(INDEX(T041_ClassFeatures!$B$2:$B$2033,MATCH('C03_ClassVariables'!A80,T041_ClassFeatures!$A$2:$A$2033,0),1),"")</f>
        <v>Martial Archetype</v>
      </c>
      <c r="C80" s="131">
        <f>IF(B80="",0,IF(IFERROR(MATCH(B80,'C01_BaseCalculation'!$W$160:$W$239,0),0)&gt;0,1,0))</f>
        <v>1</v>
      </c>
      <c r="D80" s="131"/>
      <c r="E80" s="131"/>
      <c r="F80" s="131"/>
      <c r="G80" s="131"/>
      <c r="H80" s="276"/>
      <c r="I80" s="277"/>
      <c r="J80" s="277">
        <f t="shared" si="39"/>
        <v>0</v>
      </c>
      <c r="K80" s="278">
        <v>10</v>
      </c>
      <c r="L80" s="278" t="str">
        <f t="shared" si="35"/>
        <v/>
      </c>
      <c r="M80" s="278" t="str">
        <f t="shared" si="36"/>
        <v/>
      </c>
      <c r="N80" s="278" t="str">
        <f t="shared" si="37"/>
        <v/>
      </c>
      <c r="O80" s="278" t="str">
        <f t="shared" si="38"/>
        <v/>
      </c>
      <c r="P80" s="278"/>
      <c r="Q80" s="278"/>
      <c r="R80" s="278"/>
      <c r="S80" s="278"/>
      <c r="T80" s="279"/>
      <c r="DZ80" s="138"/>
    </row>
    <row r="81" spans="1:130" ht="17.25" thickBot="1" x14ac:dyDescent="0.35">
      <c r="A81" s="132">
        <f>IFERROR(IF(A80+1&lt;MAX(T041_ClassFeatures!$A$2:$A$2033),A80+1,""),"")</f>
        <v>78</v>
      </c>
      <c r="B81" s="131" t="str">
        <f>IFERROR(INDEX(T041_ClassFeatures!$B$2:$B$2033,MATCH('C03_ClassVariables'!A81,T041_ClassFeatures!$A$2:$A$2033,0),1),"")</f>
        <v>Martial Archetype Feature3-1</v>
      </c>
      <c r="C81" s="131">
        <f>IF(B81="",0,IF(IFERROR(MATCH(B81,'C01_BaseCalculation'!$W$160:$W$239,0),0)&gt;0,1,0))</f>
        <v>0</v>
      </c>
      <c r="D81" s="131"/>
      <c r="E81" s="131"/>
      <c r="F81" s="131"/>
      <c r="G81" s="131"/>
      <c r="H81" s="280"/>
      <c r="I81" s="281"/>
      <c r="J81" s="281"/>
      <c r="K81" s="282"/>
      <c r="L81" s="282"/>
      <c r="M81" s="282"/>
      <c r="N81" s="282"/>
      <c r="O81" s="282"/>
      <c r="P81" s="282"/>
      <c r="Q81" s="282"/>
      <c r="R81" s="282"/>
      <c r="S81" s="282"/>
      <c r="T81" s="283"/>
      <c r="DZ81" s="138"/>
    </row>
    <row r="82" spans="1:130" ht="16.5" x14ac:dyDescent="0.3">
      <c r="A82" s="132">
        <f>IFERROR(IF(A81+1&lt;MAX(T041_ClassFeatures!$A$2:$A$2033),A81+1,""),"")</f>
        <v>79</v>
      </c>
      <c r="B82" s="131" t="str">
        <f>IFERROR(INDEX(T041_ClassFeatures!$B$2:$B$2033,MATCH('C03_ClassVariables'!A82,T041_ClassFeatures!$A$2:$A$2033,0),1),"")</f>
        <v>Martial Archetype Feature3-2</v>
      </c>
      <c r="C82" s="131">
        <f>IF(B82="",0,IF(IFERROR(MATCH(B82,'C01_BaseCalculation'!$W$160:$W$239,0),0)&gt;0,1,0))</f>
        <v>0</v>
      </c>
      <c r="D82" s="131"/>
      <c r="E82" s="131"/>
      <c r="F82" s="131"/>
      <c r="G82" s="131"/>
      <c r="H82" s="131"/>
      <c r="I82" s="131"/>
      <c r="J82" s="131"/>
      <c r="DZ82" s="138"/>
    </row>
    <row r="83" spans="1:130" ht="17.25" thickBot="1" x14ac:dyDescent="0.35">
      <c r="A83" s="132">
        <f>IFERROR(IF(A82+1&lt;MAX(T041_ClassFeatures!$A$2:$A$2033),A82+1,""),"")</f>
        <v>80</v>
      </c>
      <c r="B83" s="131" t="str">
        <f>IFERROR(INDEX(T041_ClassFeatures!$B$2:$B$2033,MATCH('C03_ClassVariables'!A83,T041_ClassFeatures!$A$2:$A$2033,0),1),"")</f>
        <v>Martial Archetype Feature7</v>
      </c>
      <c r="C83" s="131">
        <f>IF(B83="",0,IF(IFERROR(MATCH(B83,'C01_BaseCalculation'!$W$160:$W$239,0),0)&gt;0,1,0))</f>
        <v>0</v>
      </c>
      <c r="D83" s="131"/>
      <c r="E83" s="131"/>
      <c r="F83" s="131"/>
      <c r="G83" s="131"/>
      <c r="H83" s="131"/>
      <c r="I83" s="131"/>
      <c r="J83" s="131"/>
      <c r="DZ83" s="138"/>
    </row>
    <row r="84" spans="1:130" ht="17.25" thickBot="1" x14ac:dyDescent="0.35">
      <c r="A84" s="132">
        <f>IFERROR(IF(A83+1&lt;MAX(T041_ClassFeatures!$A$2:$A$2033),A83+1,""),"")</f>
        <v>81</v>
      </c>
      <c r="B84" s="131" t="str">
        <f>IFERROR(INDEX(T041_ClassFeatures!$B$2:$B$2033,MATCH('C03_ClassVariables'!A84,T041_ClassFeatures!$A$2:$A$2033,0),1),"")</f>
        <v>Martial Archetype Feature10</v>
      </c>
      <c r="C84" s="131">
        <f>IF(B84="",0,IF(IFERROR(MATCH(B84,'C01_BaseCalculation'!$W$160:$W$239,0),0)&gt;0,1,0))</f>
        <v>0</v>
      </c>
      <c r="D84" s="131"/>
      <c r="E84" s="131"/>
      <c r="F84" s="131"/>
      <c r="G84" s="378"/>
      <c r="H84" s="379" t="s">
        <v>4523</v>
      </c>
      <c r="I84" s="379"/>
      <c r="J84" s="379"/>
      <c r="K84" s="380"/>
      <c r="L84" s="380"/>
      <c r="M84" s="396" t="s">
        <v>5258</v>
      </c>
      <c r="N84" s="396" t="str">
        <f>PactBoon</f>
        <v/>
      </c>
      <c r="O84" s="380"/>
      <c r="P84" s="380"/>
      <c r="Q84" s="380"/>
      <c r="R84" s="380"/>
      <c r="S84" s="380"/>
      <c r="DZ84" s="138"/>
    </row>
    <row r="85" spans="1:130" ht="17.25" thickBot="1" x14ac:dyDescent="0.35">
      <c r="A85" s="132">
        <f>IFERROR(IF(A84+1&lt;MAX(T041_ClassFeatures!$A$2:$A$2033),A84+1,""),"")</f>
        <v>82</v>
      </c>
      <c r="B85" s="131" t="str">
        <f>IFERROR(INDEX(T041_ClassFeatures!$B$2:$B$2033,MATCH('C03_ClassVariables'!A85,T041_ClassFeatures!$A$2:$A$2033,0),1),"")</f>
        <v>Martial Archetype Feature15</v>
      </c>
      <c r="C85" s="131">
        <f>IF(B85="",0,IF(IFERROR(MATCH(B85,'C01_BaseCalculation'!$W$160:$W$239,0),0)&gt;0,1,0))</f>
        <v>0</v>
      </c>
      <c r="D85" s="131"/>
      <c r="E85" s="131"/>
      <c r="F85" s="131"/>
      <c r="G85" s="381"/>
      <c r="H85" s="376"/>
      <c r="I85" s="393" t="s">
        <v>3179</v>
      </c>
      <c r="J85" s="394" t="s">
        <v>3180</v>
      </c>
      <c r="K85" s="394" t="s">
        <v>3181</v>
      </c>
      <c r="L85" s="395" t="s">
        <v>62</v>
      </c>
      <c r="M85" s="396" t="s">
        <v>62</v>
      </c>
      <c r="N85" s="396">
        <f>WarlockLevel</f>
        <v>0</v>
      </c>
      <c r="O85" s="1033" t="s">
        <v>6471</v>
      </c>
      <c r="P85" s="1033"/>
      <c r="Q85" s="1033"/>
      <c r="R85" s="1033"/>
      <c r="S85" s="1034"/>
      <c r="DZ85" s="138"/>
    </row>
    <row r="86" spans="1:130" ht="17.25" thickBot="1" x14ac:dyDescent="0.35">
      <c r="A86" s="132">
        <f>IFERROR(IF(A85+1&lt;MAX(T041_ClassFeatures!$A$2:$A$2033),A85+1,""),"")</f>
        <v>83</v>
      </c>
      <c r="B86" s="131" t="str">
        <f>IFERROR(INDEX(T041_ClassFeatures!$B$2:$B$2033,MATCH('C03_ClassVariables'!A86,T041_ClassFeatures!$A$2:$A$2033,0),1),"")</f>
        <v>Martial Archetype Feature18</v>
      </c>
      <c r="C86" s="131">
        <f>IF(B86="",0,IF(IFERROR(MATCH(B86,'C01_BaseCalculation'!$W$160:$W$239,0),0)&gt;0,1,0))</f>
        <v>0</v>
      </c>
      <c r="D86" s="131"/>
      <c r="E86" s="131"/>
      <c r="F86" s="131"/>
      <c r="G86" s="381"/>
      <c r="H86" s="390" t="s">
        <v>3678</v>
      </c>
      <c r="I86" s="381"/>
      <c r="J86" s="376"/>
      <c r="K86" s="377"/>
      <c r="L86" s="382"/>
      <c r="M86" s="391">
        <f>IF(IFERROR(AND(INDEX(I$85:K$85,1,MATCH(1,$I86:$K86,0)),0)=$N$84,$N$85&gt;=$L86),1,0)*IF(IFERROR(MATCH(H86,Character_Creation!$B$172:$B$187,0),0)&gt;0,0,1)</f>
        <v>1</v>
      </c>
      <c r="N86" s="377"/>
      <c r="O86" s="388">
        <f>M86</f>
        <v>1</v>
      </c>
      <c r="P86" s="377">
        <f>IF(O$86=0,0,1)</f>
        <v>1</v>
      </c>
      <c r="Q86" s="377">
        <v>1</v>
      </c>
      <c r="R86" s="377" t="str">
        <f>IFERROR(IF(Character_Creation!$E$170&lt;=0,"",INDEX($H$86:$H$117,MATCH(Q86,P$86:P$117,0),1)),"")</f>
        <v/>
      </c>
      <c r="S86" s="382">
        <f t="shared" ref="S86:S117" si="40">IF(Invocation1=$H86,1,0)</f>
        <v>0</v>
      </c>
      <c r="U86" s="393" t="s">
        <v>3179</v>
      </c>
      <c r="V86" t="str">
        <f>IF(WarlockLevel&gt;3,U86,"")</f>
        <v/>
      </c>
      <c r="X86" s="443" t="s">
        <v>2266</v>
      </c>
      <c r="DZ86" s="138"/>
    </row>
    <row r="87" spans="1:130" ht="17.25" thickBot="1" x14ac:dyDescent="0.35">
      <c r="A87" s="132">
        <f>IFERROR(IF(A86+1&lt;MAX(T041_ClassFeatures!$A$2:$A$2033),A86+1,""),"")</f>
        <v>84</v>
      </c>
      <c r="B87" s="131" t="str">
        <f>IFERROR(INDEX(T041_ClassFeatures!$B$2:$B$2033,MATCH('C03_ClassVariables'!A87,T041_ClassFeatures!$A$2:$A$2033,0),1),"")</f>
        <v>Martial Arts</v>
      </c>
      <c r="C87" s="131">
        <f>IF(B87="",0,IF(IFERROR(MATCH(B87,'C01_BaseCalculation'!$W$160:$W$239,0),0)&gt;0,1,0))</f>
        <v>0</v>
      </c>
      <c r="D87" s="131"/>
      <c r="E87" s="131"/>
      <c r="F87" s="131"/>
      <c r="G87" s="383"/>
      <c r="H87" s="391" t="s">
        <v>3679</v>
      </c>
      <c r="I87" s="381"/>
      <c r="J87" s="376"/>
      <c r="K87" s="377"/>
      <c r="L87" s="382"/>
      <c r="M87" s="391">
        <f>IF(IFERROR(AND(INDEX(I$85:K$85,1,MATCH(1,$I87:$K87,0)),0)=$N$84,$N$85&gt;=$L87),1,0)*IF(IFERROR(MATCH(H87,Character_Creation!$B$172:$B$187,0),0)&gt;0,0,1)</f>
        <v>1</v>
      </c>
      <c r="N87" s="377"/>
      <c r="O87" s="388">
        <f t="shared" ref="O87:O117" si="41">M87</f>
        <v>1</v>
      </c>
      <c r="P87" s="377">
        <f>IF(O87&gt;0,1+COUNTIF(O86:O$86,"&gt;0"),0)</f>
        <v>2</v>
      </c>
      <c r="Q87" s="377" t="str">
        <f>IF(Character_Creation!$E$170&lt;=0,"",IFERROR(IF(Q86&lt;SUM(O$86:O$117),Q86+1,""),""))</f>
        <v/>
      </c>
      <c r="R87" s="377" t="str">
        <f>IFERROR(IF(Character_Creation!$E$170&lt;=0,"",INDEX($H$86:$H$117,MATCH(Q87,P$86:P$117,0),1)),"")</f>
        <v/>
      </c>
      <c r="S87" s="382">
        <f t="shared" si="40"/>
        <v>0</v>
      </c>
      <c r="U87" s="394" t="s">
        <v>3180</v>
      </c>
      <c r="V87" t="str">
        <f>IF(WarlockLevel&gt;3,U87,"")</f>
        <v/>
      </c>
      <c r="W87">
        <v>1</v>
      </c>
      <c r="X87" t="str">
        <f>IF(FavoredSoulSubclass&gt;0,INDEX(T041_ClassFeatures!$W$2:$AP$1001,MATCH('C03_ClassVariables'!$X$86,T041_ClassFeatures!$B$2:$B$1001,0),'C03_ClassVariables'!W87),"")</f>
        <v/>
      </c>
      <c r="Y87">
        <v>1</v>
      </c>
      <c r="DZ87" s="138"/>
    </row>
    <row r="88" spans="1:130" ht="17.25" thickBot="1" x14ac:dyDescent="0.35">
      <c r="A88" s="132">
        <f>IFERROR(IF(A87+1&lt;MAX(T041_ClassFeatures!$A$2:$A$2033),A87+1,""),"")</f>
        <v>85</v>
      </c>
      <c r="B88" s="131" t="str">
        <f>IFERROR(INDEX(T041_ClassFeatures!$B$2:$B$2033,MATCH('C03_ClassVariables'!A88,T041_ClassFeatures!$A$2:$A$2033,0),1),"")</f>
        <v>Metamagic</v>
      </c>
      <c r="C88" s="131">
        <f>IF(B88="",0,IF(IFERROR(MATCH(B88,'C01_BaseCalculation'!$W$160:$W$239,0),0)&gt;0,1,0))</f>
        <v>0</v>
      </c>
      <c r="D88" s="131"/>
      <c r="E88" s="131"/>
      <c r="F88" s="131"/>
      <c r="G88" s="383"/>
      <c r="H88" s="391" t="s">
        <v>3680</v>
      </c>
      <c r="I88" s="381"/>
      <c r="J88" s="376"/>
      <c r="K88" s="377"/>
      <c r="L88" s="382">
        <v>9</v>
      </c>
      <c r="M88" s="391">
        <f>IF(IFERROR(AND(INDEX(I$85:K$85,1,MATCH(1,$I88:$K88,0)),0)=$N$84,$N$85&gt;=$L88),1,0)*IF(IFERROR(MATCH(H88,Character_Creation!$B$172:$B$187,0),0)&gt;0,0,1)</f>
        <v>0</v>
      </c>
      <c r="N88" s="377"/>
      <c r="O88" s="388">
        <f t="shared" si="41"/>
        <v>0</v>
      </c>
      <c r="P88" s="377">
        <f>IF(O88&gt;0,1+COUNTIF(O$86:O87,"&gt;0"),0)</f>
        <v>0</v>
      </c>
      <c r="Q88" s="377" t="str">
        <f>IF(Character_Creation!$E$170&lt;=0,"",IFERROR(IF(Q87&lt;SUM(O$86:O$117),Q87+1,""),""))</f>
        <v/>
      </c>
      <c r="R88" s="377" t="str">
        <f>IFERROR(IF(Character_Creation!$E$170&lt;=0,"",INDEX($H$86:$H$117,MATCH(Q88,P$86:P$117,0),1)),"")</f>
        <v/>
      </c>
      <c r="S88" s="382">
        <f t="shared" si="40"/>
        <v>0</v>
      </c>
      <c r="U88" s="394" t="s">
        <v>3181</v>
      </c>
      <c r="V88" t="str">
        <f>IF(WarlockLevel&gt;3,U88,"")</f>
        <v/>
      </c>
      <c r="W88">
        <v>2</v>
      </c>
      <c r="X88" t="str">
        <f>IF(FavoredSoulSubclass&gt;0,INDEX(T041_ClassFeatures!$W$2:$AP$1001,MATCH('C03_ClassVariables'!$X$86,T041_ClassFeatures!$B$2:$B$1001,0),'C03_ClassVariables'!W88),"")</f>
        <v/>
      </c>
      <c r="Y88">
        <f>IF(AND(X88&lt;&gt;0,X88&lt;&gt;""),Y87+1,0)</f>
        <v>0</v>
      </c>
      <c r="DZ88" s="138"/>
    </row>
    <row r="89" spans="1:130" ht="16.5" x14ac:dyDescent="0.3">
      <c r="A89" s="132">
        <f>IFERROR(IF(A88+1&lt;MAX(T041_ClassFeatures!$A$2:$A$2033),A88+1,""),"")</f>
        <v>86</v>
      </c>
      <c r="B89" s="131" t="str">
        <f>IFERROR(INDEX(T041_ClassFeatures!$B$2:$B$2033,MATCH('C03_ClassVariables'!A89,T041_ClassFeatures!$A$2:$A$2033,0),1),"")</f>
        <v>Monastic Tradition</v>
      </c>
      <c r="C89" s="131">
        <f>IF(B89="",0,IF(IFERROR(MATCH(B89,'C01_BaseCalculation'!$W$160:$W$239,0),0)&gt;0,1,0))</f>
        <v>0</v>
      </c>
      <c r="D89" s="131"/>
      <c r="E89" s="131"/>
      <c r="F89" s="131"/>
      <c r="G89" s="383"/>
      <c r="H89" s="391" t="s">
        <v>3681</v>
      </c>
      <c r="I89" s="381"/>
      <c r="J89" s="376"/>
      <c r="K89" s="377"/>
      <c r="L89" s="382"/>
      <c r="M89" s="391">
        <f>IF(IFERROR(AND(INDEX(I$85:K$85,1,MATCH(1,$I89:$K89,0)),0)=$N$84,$N$85&gt;=$L89),1,0)*IF(IFERROR(MATCH(H89,Character_Creation!$B$172:$B$187,0),0)&gt;0,0,1)</f>
        <v>1</v>
      </c>
      <c r="N89" s="377"/>
      <c r="O89" s="388">
        <f t="shared" si="41"/>
        <v>1</v>
      </c>
      <c r="P89" s="377">
        <f>IF(O89&gt;0,1+COUNTIF(O$86:O88,"&gt;0"),0)</f>
        <v>3</v>
      </c>
      <c r="Q89" s="377" t="str">
        <f>IF(Character_Creation!$E$170&lt;=0,"",IFERROR(IF(Q88&lt;SUM(O$86:O$117),Q88+1,""),""))</f>
        <v/>
      </c>
      <c r="R89" s="377" t="str">
        <f>IFERROR(IF(Character_Creation!$E$170&lt;=0,"",INDEX($H$86:$H$117,MATCH(Q89,P$86:P$117,0),1)),"")</f>
        <v/>
      </c>
      <c r="S89" s="382">
        <f t="shared" si="40"/>
        <v>0</v>
      </c>
      <c r="W89">
        <v>3</v>
      </c>
      <c r="X89" t="str">
        <f>IF(FavoredSoulSubclass&gt;0,INDEX(T041_ClassFeatures!$W$2:$AP$1001,MATCH('C03_ClassVariables'!$X$86,T041_ClassFeatures!$B$2:$B$1001,0),'C03_ClassVariables'!W89),"")</f>
        <v/>
      </c>
      <c r="Y89">
        <f t="shared" ref="Y89:Y106" si="42">IF(AND(X89&lt;&gt;0,X89&lt;&gt;""),Y88+1,0)</f>
        <v>0</v>
      </c>
      <c r="DZ89" s="138"/>
    </row>
    <row r="90" spans="1:130" ht="16.5" x14ac:dyDescent="0.3">
      <c r="A90" s="132">
        <f>IFERROR(IF(A89+1&lt;MAX(T041_ClassFeatures!$A$2:$A$2033),A89+1,""),"")</f>
        <v>87</v>
      </c>
      <c r="B90" s="131" t="str">
        <f>IFERROR(INDEX(T041_ClassFeatures!$B$2:$B$2033,MATCH('C03_ClassVariables'!A90,T041_ClassFeatures!$A$2:$A$2033,0),1),"")</f>
        <v>Monastic Tradition Feature3</v>
      </c>
      <c r="C90" s="131">
        <f>IF(B90="",0,IF(IFERROR(MATCH(B90,'C01_BaseCalculation'!$W$160:$W$239,0),0)&gt;0,1,0))</f>
        <v>0</v>
      </c>
      <c r="D90" s="131"/>
      <c r="E90" s="131"/>
      <c r="F90" s="131"/>
      <c r="G90" s="383"/>
      <c r="H90" s="391" t="s">
        <v>3682</v>
      </c>
      <c r="I90" s="381"/>
      <c r="J90" s="376"/>
      <c r="K90" s="377"/>
      <c r="L90" s="382"/>
      <c r="M90" s="391">
        <f>IF(IFERROR(AND(INDEX(I$85:K$85,1,MATCH(1,$I90:$K90,0)),0)=$N$84,$N$85&gt;=$L90),1,0)*IF(IFERROR(MATCH(H90,Character_Creation!$B$172:$B$187,0),0)&gt;0,0,1)</f>
        <v>1</v>
      </c>
      <c r="N90" s="377"/>
      <c r="O90" s="388">
        <f t="shared" si="41"/>
        <v>1</v>
      </c>
      <c r="P90" s="377">
        <f>IF(O90&gt;0,1+COUNTIF(O$86:O89,"&gt;0"),0)</f>
        <v>4</v>
      </c>
      <c r="Q90" s="377" t="str">
        <f>IF(Character_Creation!$E$170&lt;=0,"",IFERROR(IF(Q89&lt;SUM(O$86:O$117),Q89+1,""),""))</f>
        <v/>
      </c>
      <c r="R90" s="377" t="str">
        <f>IFERROR(IF(Character_Creation!$E$170&lt;=0,"",INDEX($H$86:$H$117,MATCH(Q90,P$86:P$117,0),1)),"")</f>
        <v/>
      </c>
      <c r="S90" s="382">
        <f t="shared" si="40"/>
        <v>0</v>
      </c>
      <c r="W90">
        <v>4</v>
      </c>
      <c r="X90" t="str">
        <f>IF(FavoredSoulSubclass&gt;0,INDEX(T041_ClassFeatures!$W$2:$AP$1001,MATCH('C03_ClassVariables'!$X$86,T041_ClassFeatures!$B$2:$B$1001,0),'C03_ClassVariables'!W90),"")</f>
        <v/>
      </c>
      <c r="Y90">
        <f t="shared" si="42"/>
        <v>0</v>
      </c>
      <c r="DZ90" s="138"/>
    </row>
    <row r="91" spans="1:130" ht="16.5" x14ac:dyDescent="0.3">
      <c r="A91" s="132">
        <f>IFERROR(IF(A90+1&lt;MAX(T041_ClassFeatures!$A$2:$A$2033),A90+1,""),"")</f>
        <v>88</v>
      </c>
      <c r="B91" s="131" t="str">
        <f>IFERROR(INDEX(T041_ClassFeatures!$B$2:$B$2033,MATCH('C03_ClassVariables'!A91,T041_ClassFeatures!$A$2:$A$2033,0),1),"")</f>
        <v>Monastic Tradition Feature6</v>
      </c>
      <c r="C91" s="131">
        <f>IF(B91="",0,IF(IFERROR(MATCH(B91,'C01_BaseCalculation'!$W$160:$W$239,0),0)&gt;0,1,0))</f>
        <v>0</v>
      </c>
      <c r="D91" s="131"/>
      <c r="E91" s="131"/>
      <c r="F91" s="131"/>
      <c r="G91" s="383"/>
      <c r="H91" s="391" t="s">
        <v>3683</v>
      </c>
      <c r="I91" s="381"/>
      <c r="J91" s="376"/>
      <c r="K91" s="377"/>
      <c r="L91" s="382">
        <v>7</v>
      </c>
      <c r="M91" s="391">
        <f>IF(IFERROR(AND(INDEX(I$85:K$85,1,MATCH(1,$I91:$K91,0)),0)=$N$84,$N$85&gt;=$L91),1,0)*IF(IFERROR(MATCH(H91,Character_Creation!$B$172:$B$187,0),0)&gt;0,0,1)</f>
        <v>0</v>
      </c>
      <c r="N91" s="377"/>
      <c r="O91" s="388">
        <f t="shared" si="41"/>
        <v>0</v>
      </c>
      <c r="P91" s="377">
        <f>IF(O91&gt;0,1+COUNTIF(O$86:O90,"&gt;0"),0)</f>
        <v>0</v>
      </c>
      <c r="Q91" s="377" t="str">
        <f>IF(Character_Creation!$E$170&lt;=0,"",IFERROR(IF(Q90&lt;SUM(O$86:O$117),Q90+1,""),""))</f>
        <v/>
      </c>
      <c r="R91" s="377" t="str">
        <f>IFERROR(IF(Character_Creation!$E$170&lt;=0,"",INDEX($H$86:$H$117,MATCH(Q91,P$86:P$117,0),1)),"")</f>
        <v/>
      </c>
      <c r="S91" s="382">
        <f t="shared" si="40"/>
        <v>0</v>
      </c>
      <c r="W91">
        <v>5</v>
      </c>
      <c r="X91" t="str">
        <f>IF(FavoredSoulSubclass&gt;0,INDEX(T041_ClassFeatures!$W$2:$AP$1001,MATCH('C03_ClassVariables'!$X$86,T041_ClassFeatures!$B$2:$B$1001,0),'C03_ClassVariables'!W91),"")</f>
        <v/>
      </c>
      <c r="Y91">
        <f t="shared" si="42"/>
        <v>0</v>
      </c>
      <c r="DZ91" s="138"/>
    </row>
    <row r="92" spans="1:130" ht="16.5" x14ac:dyDescent="0.3">
      <c r="A92" s="132">
        <f>IFERROR(IF(A91+1&lt;MAX(T041_ClassFeatures!$A$2:$A$2033),A91+1,""),"")</f>
        <v>89</v>
      </c>
      <c r="B92" s="131" t="str">
        <f>IFERROR(INDEX(T041_ClassFeatures!$B$2:$B$2033,MATCH('C03_ClassVariables'!A92,T041_ClassFeatures!$A$2:$A$2033,0),1),"")</f>
        <v>Monastic Tradition Feature11</v>
      </c>
      <c r="C92" s="131">
        <f>IF(B92="",0,IF(IFERROR(MATCH(B92,'C01_BaseCalculation'!$W$160:$W$239,0),0)&gt;0,1,0))</f>
        <v>0</v>
      </c>
      <c r="D92" s="131"/>
      <c r="E92" s="131"/>
      <c r="F92" s="131"/>
      <c r="G92" s="383"/>
      <c r="H92" s="391" t="s">
        <v>3684</v>
      </c>
      <c r="I92" s="381"/>
      <c r="J92" s="376"/>
      <c r="K92" s="377">
        <v>1</v>
      </c>
      <c r="L92" s="382"/>
      <c r="M92" s="391">
        <f>IF(IFERROR(AND(INDEX(I$85:K$85,1,MATCH(1,$I92:$K92,0)),0)=$N$84,$N$85&gt;=$L92),1,0)*IF(IFERROR(MATCH(H92,Character_Creation!$B$172:$B$187,0),0)&gt;0,0,1)</f>
        <v>0</v>
      </c>
      <c r="N92" s="377"/>
      <c r="O92" s="388">
        <f t="shared" si="41"/>
        <v>0</v>
      </c>
      <c r="P92" s="377">
        <f>IF(O92&gt;0,1+COUNTIF(O$86:O91,"&gt;0"),0)</f>
        <v>0</v>
      </c>
      <c r="Q92" s="377" t="str">
        <f>IF(Character_Creation!$E$170&lt;=0,"",IFERROR(IF(Q91&lt;SUM(O$86:O$117),Q91+1,""),""))</f>
        <v/>
      </c>
      <c r="R92" s="377" t="str">
        <f>IFERROR(IF(Character_Creation!$E$170&lt;=0,"",INDEX($H$86:$H$117,MATCH(Q92,P$86:P$117,0),1)),"")</f>
        <v/>
      </c>
      <c r="S92" s="382">
        <f t="shared" si="40"/>
        <v>0</v>
      </c>
      <c r="W92">
        <v>6</v>
      </c>
      <c r="X92" t="str">
        <f>IF(FavoredSoulSubclass&gt;0,INDEX(T041_ClassFeatures!$W$2:$AP$1001,MATCH('C03_ClassVariables'!$X$86,T041_ClassFeatures!$B$2:$B$1001,0),'C03_ClassVariables'!W92),"")</f>
        <v/>
      </c>
      <c r="Y92">
        <f t="shared" si="42"/>
        <v>0</v>
      </c>
      <c r="DZ92" s="138"/>
    </row>
    <row r="93" spans="1:130" ht="16.5" x14ac:dyDescent="0.3">
      <c r="A93" s="132">
        <f>IFERROR(IF(A92+1&lt;MAX(T041_ClassFeatures!$A$2:$A$2033),A92+1,""),"")</f>
        <v>90</v>
      </c>
      <c r="B93" s="131" t="str">
        <f>IFERROR(INDEX(T041_ClassFeatures!$B$2:$B$2033,MATCH('C03_ClassVariables'!A93,T041_ClassFeatures!$A$2:$A$2033,0),1),"")</f>
        <v>Monastic Tradition Feature17</v>
      </c>
      <c r="C93" s="131">
        <f>IF(B93="",0,IF(IFERROR(MATCH(B93,'C01_BaseCalculation'!$W$160:$W$239,0),0)&gt;0,1,0))</f>
        <v>0</v>
      </c>
      <c r="D93" s="131"/>
      <c r="E93" s="131"/>
      <c r="F93" s="131"/>
      <c r="G93" s="383"/>
      <c r="H93" s="391" t="s">
        <v>3685</v>
      </c>
      <c r="I93" s="381">
        <v>1</v>
      </c>
      <c r="J93" s="376"/>
      <c r="K93" s="377"/>
      <c r="L93" s="382">
        <v>15</v>
      </c>
      <c r="M93" s="391">
        <f>IF(IFERROR(AND(INDEX(I$85:K$85,1,MATCH(1,$I93:$K93,0)),0)=$N$84,$N$85&gt;=$L93),1,0)*IF(IFERROR(MATCH(H93,Character_Creation!$B$172:$B$187,0),0)&gt;0,0,1)</f>
        <v>0</v>
      </c>
      <c r="N93" s="377"/>
      <c r="O93" s="388">
        <f t="shared" si="41"/>
        <v>0</v>
      </c>
      <c r="P93" s="377">
        <f>IF(O93&gt;0,1+COUNTIF(O$86:O92,"&gt;0"),0)</f>
        <v>0</v>
      </c>
      <c r="Q93" s="377" t="str">
        <f>IF(Character_Creation!$E$170&lt;=0,"",IFERROR(IF(Q92&lt;SUM(O$86:O$117),Q92+1,""),""))</f>
        <v/>
      </c>
      <c r="R93" s="377" t="str">
        <f>IFERROR(IF(Character_Creation!$E$170&lt;=0,"",INDEX($H$86:$H$117,MATCH(Q93,P$86:P$117,0),1)),"")</f>
        <v/>
      </c>
      <c r="S93" s="382">
        <f t="shared" si="40"/>
        <v>0</v>
      </c>
      <c r="W93">
        <v>7</v>
      </c>
      <c r="X93" t="str">
        <f>IF(FavoredSoulSubclass&gt;0,INDEX(T041_ClassFeatures!$W$2:$AP$1001,MATCH('C03_ClassVariables'!$X$86,T041_ClassFeatures!$B$2:$B$1001,0),'C03_ClassVariables'!W93),"")</f>
        <v/>
      </c>
      <c r="Y93">
        <f t="shared" si="42"/>
        <v>0</v>
      </c>
      <c r="DZ93" s="138"/>
    </row>
    <row r="94" spans="1:130" ht="16.5" x14ac:dyDescent="0.3">
      <c r="A94" s="132">
        <f>IFERROR(IF(A93+1&lt;MAX(T041_ClassFeatures!$A$2:$A$2033),A93+1,""),"")</f>
        <v>91</v>
      </c>
      <c r="B94" s="131" t="str">
        <f>IFERROR(INDEX(T041_ClassFeatures!$B$2:$B$2033,MATCH('C03_ClassVariables'!A94,T041_ClassFeatures!$A$2:$A$2033,0),1),"")</f>
        <v>Mystic Arcanum</v>
      </c>
      <c r="C94" s="131">
        <f>IF(B94="",0,IF(IFERROR(MATCH(B94,'C01_BaseCalculation'!$W$160:$W$239,0),0)&gt;0,1,0))</f>
        <v>0</v>
      </c>
      <c r="D94" s="131"/>
      <c r="E94" s="131"/>
      <c r="F94" s="131"/>
      <c r="G94" s="383"/>
      <c r="H94" s="391" t="s">
        <v>3686</v>
      </c>
      <c r="I94" s="381"/>
      <c r="J94" s="376"/>
      <c r="K94" s="377"/>
      <c r="L94" s="382"/>
      <c r="M94" s="391">
        <f>IF(IFERROR(AND(INDEX(I$85:K$85,1,MATCH(1,$I94:$K94,0)),0)=$N$84,$N$85&gt;=$L94),1,0)*IF(IFERROR(MATCH(H94,Character_Creation!$B$172:$B$187,0),0)&gt;0,0,1)</f>
        <v>1</v>
      </c>
      <c r="N94" s="377"/>
      <c r="O94" s="388">
        <f t="shared" si="41"/>
        <v>1</v>
      </c>
      <c r="P94" s="377">
        <f>IF(O94&gt;0,1+COUNTIF(O$86:O93,"&gt;0"),0)</f>
        <v>5</v>
      </c>
      <c r="Q94" s="377" t="str">
        <f>IF(Character_Creation!$E$170&lt;=0,"",IFERROR(IF(Q93&lt;SUM(O$86:O$117),Q93+1,""),""))</f>
        <v/>
      </c>
      <c r="R94" s="377" t="str">
        <f>IFERROR(IF(Character_Creation!$E$170&lt;=0,"",INDEX($H$86:$H$117,MATCH(Q94,P$86:P$117,0),1)),"")</f>
        <v/>
      </c>
      <c r="S94" s="382">
        <f t="shared" si="40"/>
        <v>0</v>
      </c>
      <c r="W94">
        <v>8</v>
      </c>
      <c r="X94" t="str">
        <f>IF(FavoredSoulSubclass&gt;0,INDEX(T041_ClassFeatures!$W$2:$AP$1001,MATCH('C03_ClassVariables'!$X$86,T041_ClassFeatures!$B$2:$B$1001,0),'C03_ClassVariables'!W94),"")</f>
        <v/>
      </c>
      <c r="Y94">
        <f t="shared" si="42"/>
        <v>0</v>
      </c>
      <c r="DZ94" s="138"/>
    </row>
    <row r="95" spans="1:130" ht="16.5" x14ac:dyDescent="0.3">
      <c r="A95" s="132">
        <f>IFERROR(IF(A94+1&lt;MAX(T041_ClassFeatures!$A$2:$A$2033),A94+1,""),"")</f>
        <v>92</v>
      </c>
      <c r="B95" s="131" t="str">
        <f>IFERROR(INDEX(T041_ClassFeatures!$B$2:$B$2033,MATCH('C03_ClassVariables'!A95,T041_ClassFeatures!$A$2:$A$2033,0),1),"")</f>
        <v>Natural Explorer</v>
      </c>
      <c r="C95" s="131">
        <f>IF(B95="",0,IF(IFERROR(MATCH(B95,'C01_BaseCalculation'!$W$160:$W$239,0),0)&gt;0,1,0))</f>
        <v>0</v>
      </c>
      <c r="D95" s="131"/>
      <c r="E95" s="131"/>
      <c r="F95" s="131"/>
      <c r="G95" s="381"/>
      <c r="H95" s="391" t="s">
        <v>3687</v>
      </c>
      <c r="I95" s="381"/>
      <c r="J95" s="376"/>
      <c r="K95" s="377"/>
      <c r="L95" s="382">
        <v>7</v>
      </c>
      <c r="M95" s="391">
        <f>IF(IFERROR(AND(INDEX(I$85:K$85,1,MATCH(1,$I95:$K95,0)),0)=$N$84,$N$85&gt;=$L95),1,0)*IF(IFERROR(MATCH(H95,Character_Creation!$B$172:$B$187,0),0)&gt;0,0,1)</f>
        <v>0</v>
      </c>
      <c r="N95" s="377"/>
      <c r="O95" s="388">
        <f t="shared" si="41"/>
        <v>0</v>
      </c>
      <c r="P95" s="377">
        <f>IF(O95&gt;0,1+COUNTIF(O$86:O94,"&gt;0"),0)</f>
        <v>0</v>
      </c>
      <c r="Q95" s="377" t="str">
        <f>IF(Character_Creation!$E$170&lt;=0,"",IFERROR(IF(Q94&lt;SUM(O$86:O$117),Q94+1,""),""))</f>
        <v/>
      </c>
      <c r="R95" s="377" t="str">
        <f>IFERROR(IF(Character_Creation!$E$170&lt;=0,"",INDEX($H$86:$H$117,MATCH(Q95,P$86:P$117,0),1)),"")</f>
        <v/>
      </c>
      <c r="S95" s="382">
        <f t="shared" si="40"/>
        <v>0</v>
      </c>
      <c r="W95">
        <v>9</v>
      </c>
      <c r="X95" t="str">
        <f>IF(FavoredSoulSubclass&gt;0,INDEX(T041_ClassFeatures!$W$2:$AP$1001,MATCH('C03_ClassVariables'!$X$86,T041_ClassFeatures!$B$2:$B$1001,0),'C03_ClassVariables'!W95),"")</f>
        <v/>
      </c>
      <c r="Y95">
        <f t="shared" si="42"/>
        <v>0</v>
      </c>
      <c r="DZ95" s="138"/>
    </row>
    <row r="96" spans="1:130" ht="16.5" x14ac:dyDescent="0.3">
      <c r="A96" s="132">
        <f>IFERROR(IF(A95+1&lt;MAX(T041_ClassFeatures!$A$2:$A$2033),A95+1,""),"")</f>
        <v>93</v>
      </c>
      <c r="B96" s="131" t="str">
        <f>IFERROR(INDEX(T041_ClassFeatures!$B$2:$B$2033,MATCH('C03_ClassVariables'!A96,T041_ClassFeatures!$A$2:$A$2033,0),1),"")</f>
        <v>Otherworldly Patron</v>
      </c>
      <c r="C96" s="131">
        <f>IF(B96="",0,IF(IFERROR(MATCH(B96,'C01_BaseCalculation'!$W$160:$W$239,0),0)&gt;0,1,0))</f>
        <v>0</v>
      </c>
      <c r="D96" s="131"/>
      <c r="E96" s="131"/>
      <c r="F96" s="131"/>
      <c r="G96" s="381"/>
      <c r="H96" s="391" t="s">
        <v>3688</v>
      </c>
      <c r="I96" s="381"/>
      <c r="J96" s="376"/>
      <c r="K96" s="377"/>
      <c r="L96" s="382"/>
      <c r="M96" s="391">
        <f>IF(IFERROR(AND(INDEX(I$85:K$85,1,MATCH(1,$I96:$K96,0)),0)=$N$84,$N$85&gt;=$L96),1,0)*IF(IFERROR(MATCH(H96,Character_Creation!$B$172:$B$187,0),0)&gt;0,0,1)</f>
        <v>1</v>
      </c>
      <c r="N96" s="377"/>
      <c r="O96" s="388">
        <f t="shared" si="41"/>
        <v>1</v>
      </c>
      <c r="P96" s="377">
        <f>IF(O96&gt;0,1+COUNTIF(O$86:O95,"&gt;0"),0)</f>
        <v>6</v>
      </c>
      <c r="Q96" s="377" t="str">
        <f>IF(Character_Creation!$E$170&lt;=0,"",IFERROR(IF(Q95&lt;SUM(O$86:O$117),Q95+1,""),""))</f>
        <v/>
      </c>
      <c r="R96" s="377" t="str">
        <f>IFERROR(IF(Character_Creation!$E$170&lt;=0,"",INDEX($H$86:$H$117,MATCH(Q96,P$86:P$117,0),1)),"")</f>
        <v/>
      </c>
      <c r="S96" s="382">
        <f t="shared" si="40"/>
        <v>0</v>
      </c>
      <c r="W96">
        <v>10</v>
      </c>
      <c r="X96" t="str">
        <f>IF(FavoredSoulSubclass&gt;0,INDEX(T041_ClassFeatures!$W$2:$AP$1001,MATCH('C03_ClassVariables'!$X$86,T041_ClassFeatures!$B$2:$B$1001,0),'C03_ClassVariables'!W96),"")</f>
        <v/>
      </c>
      <c r="Y96">
        <f t="shared" si="42"/>
        <v>0</v>
      </c>
      <c r="DZ96" s="138"/>
    </row>
    <row r="97" spans="1:130" ht="16.5" x14ac:dyDescent="0.3">
      <c r="A97" s="132">
        <f>IFERROR(IF(A96+1&lt;MAX(T041_ClassFeatures!$A$2:$A$2033),A96+1,""),"")</f>
        <v>94</v>
      </c>
      <c r="B97" s="131" t="str">
        <f>IFERROR(INDEX(T041_ClassFeatures!$B$2:$B$2033,MATCH('C03_ClassVariables'!A97,T041_ClassFeatures!$A$2:$A$2033,0),1),"")</f>
        <v>Otherworldly Patron Feature1-1</v>
      </c>
      <c r="C97" s="131">
        <f>IF(B97="",0,IF(IFERROR(MATCH(B97,'C01_BaseCalculation'!$W$160:$W$239,0),0)&gt;0,1,0))</f>
        <v>0</v>
      </c>
      <c r="D97" s="131"/>
      <c r="E97" s="131"/>
      <c r="F97" s="131"/>
      <c r="G97" s="381"/>
      <c r="H97" s="391" t="s">
        <v>3689</v>
      </c>
      <c r="I97" s="381"/>
      <c r="J97" s="376"/>
      <c r="K97" s="377"/>
      <c r="L97" s="382"/>
      <c r="M97" s="391">
        <f>IF(IFERROR(AND(INDEX(I$85:K$85,1,MATCH(1,$I97:$K97,0)),0)=$N$84,$N$85&gt;=$L97),1,0)*IF(IFERROR(MATCH(H97,Character_Creation!$B$172:$B$187,0),0)&gt;0,0,1)</f>
        <v>1</v>
      </c>
      <c r="N97" s="377"/>
      <c r="O97" s="388">
        <f t="shared" si="41"/>
        <v>1</v>
      </c>
      <c r="P97" s="377">
        <f>IF(O97&gt;0,1+COUNTIF(O$86:O96,"&gt;0"),0)</f>
        <v>7</v>
      </c>
      <c r="Q97" s="377" t="str">
        <f>IF(Character_Creation!$E$170&lt;=0,"",IFERROR(IF(Q96&lt;SUM(O$86:O$117),Q96+1,""),""))</f>
        <v/>
      </c>
      <c r="R97" s="377" t="str">
        <f>IFERROR(IF(Character_Creation!$E$170&lt;=0,"",INDEX($H$86:$H$117,MATCH(Q97,P$86:P$117,0),1)),"")</f>
        <v/>
      </c>
      <c r="S97" s="382">
        <f t="shared" si="40"/>
        <v>0</v>
      </c>
      <c r="W97">
        <v>11</v>
      </c>
      <c r="X97" t="str">
        <f>IF(FavoredSoulSubclass&gt;0,INDEX(T041_ClassFeatures!$W$2:$AP$1001,MATCH('C03_ClassVariables'!$X$86,T041_ClassFeatures!$B$2:$B$1001,0),'C03_ClassVariables'!W97),"")</f>
        <v/>
      </c>
      <c r="Y97">
        <f t="shared" si="42"/>
        <v>0</v>
      </c>
      <c r="DZ97" s="138"/>
    </row>
    <row r="98" spans="1:130" ht="16.5" x14ac:dyDescent="0.3">
      <c r="A98" s="132">
        <f>IFERROR(IF(A97+1&lt;MAX(T041_ClassFeatures!$A$2:$A$2033),A97+1,""),"")</f>
        <v>95</v>
      </c>
      <c r="B98" s="131" t="str">
        <f>IFERROR(INDEX(T041_ClassFeatures!$B$2:$B$2033,MATCH('C03_ClassVariables'!A98,T041_ClassFeatures!$A$2:$A$2033,0),1),"")</f>
        <v>Otherworldly Patron Feature1-2</v>
      </c>
      <c r="C98" s="131">
        <f>IF(B98="",0,IF(IFERROR(MATCH(B98,'C01_BaseCalculation'!$W$160:$W$239,0),0)&gt;0,1,0))</f>
        <v>0</v>
      </c>
      <c r="D98" s="131"/>
      <c r="E98" s="131"/>
      <c r="F98" s="131"/>
      <c r="G98" s="381"/>
      <c r="H98" s="391" t="s">
        <v>3690</v>
      </c>
      <c r="I98" s="381"/>
      <c r="J98" s="376"/>
      <c r="K98" s="377"/>
      <c r="L98" s="382"/>
      <c r="M98" s="391">
        <f>IF(IFERROR(AND(INDEX(I$85:K$85,1,MATCH(1,$I98:$K98,0)),0)=$N$84,$N$85&gt;=$L98),1,0)*IF(IFERROR(MATCH(H98,Character_Creation!$B$172:$B$187,0),0)&gt;0,0,1)</f>
        <v>1</v>
      </c>
      <c r="N98" s="377"/>
      <c r="O98" s="388">
        <f t="shared" si="41"/>
        <v>1</v>
      </c>
      <c r="P98" s="377">
        <f>IF(O98&gt;0,1+COUNTIF(O$86:O97,"&gt;0"),0)</f>
        <v>8</v>
      </c>
      <c r="Q98" s="377" t="str">
        <f>IF(Character_Creation!$E$170&lt;=0,"",IFERROR(IF(Q97&lt;SUM(O$86:O$117),Q97+1,""),""))</f>
        <v/>
      </c>
      <c r="R98" s="377" t="str">
        <f>IFERROR(IF(Character_Creation!$E$170&lt;=0,"",INDEX($H$86:$H$117,MATCH(Q98,P$86:P$117,0),1)),"")</f>
        <v/>
      </c>
      <c r="S98" s="382">
        <f t="shared" si="40"/>
        <v>0</v>
      </c>
      <c r="W98">
        <v>12</v>
      </c>
      <c r="X98" t="str">
        <f>IF(FavoredSoulSubclass&gt;0,INDEX(T041_ClassFeatures!$W$2:$AP$1001,MATCH('C03_ClassVariables'!$X$86,T041_ClassFeatures!$B$2:$B$1001,0),'C03_ClassVariables'!W98),"")</f>
        <v/>
      </c>
      <c r="Y98">
        <f t="shared" si="42"/>
        <v>0</v>
      </c>
      <c r="DZ98" s="138"/>
    </row>
    <row r="99" spans="1:130" ht="16.5" x14ac:dyDescent="0.3">
      <c r="A99" s="132">
        <f>IFERROR(IF(A98+1&lt;MAX(T041_ClassFeatures!$A$2:$A$2033),A98+1,""),"")</f>
        <v>96</v>
      </c>
      <c r="B99" s="131" t="str">
        <f>IFERROR(INDEX(T041_ClassFeatures!$B$2:$B$2033,MATCH('C03_ClassVariables'!A99,T041_ClassFeatures!$A$2:$A$2033,0),1),"")</f>
        <v>Otherworldly Patron Feature6</v>
      </c>
      <c r="C99" s="131">
        <f>IF(B99="",0,IF(IFERROR(MATCH(B99,'C01_BaseCalculation'!$W$160:$W$239,0),0)&gt;0,1,0))</f>
        <v>0</v>
      </c>
      <c r="D99" s="131"/>
      <c r="E99" s="131"/>
      <c r="F99" s="131"/>
      <c r="G99" s="381"/>
      <c r="H99" s="391" t="s">
        <v>3691</v>
      </c>
      <c r="I99" s="381"/>
      <c r="J99" s="376"/>
      <c r="K99" s="377"/>
      <c r="L99" s="382"/>
      <c r="M99" s="391">
        <f>IF(IFERROR(AND(INDEX(I$85:K$85,1,MATCH(1,$I99:$K99,0)),0)=$N$84,$N$85&gt;=$L99),1,0)*IF(IFERROR(MATCH(H99,Character_Creation!$B$172:$B$187,0),0)&gt;0,0,1)</f>
        <v>1</v>
      </c>
      <c r="N99" s="377"/>
      <c r="O99" s="388">
        <f t="shared" si="41"/>
        <v>1</v>
      </c>
      <c r="P99" s="377">
        <f>IF(O99&gt;0,1+COUNTIF(O$86:O98,"&gt;0"),0)</f>
        <v>9</v>
      </c>
      <c r="Q99" s="377" t="str">
        <f>IF(Character_Creation!$E$170&lt;=0,"",IFERROR(IF(Q98&lt;SUM(O$86:O$117),Q98+1,""),""))</f>
        <v/>
      </c>
      <c r="R99" s="377" t="str">
        <f>IFERROR(IF(Character_Creation!$E$170&lt;=0,"",INDEX($H$86:$H$117,MATCH(Q99,P$86:P$117,0),1)),"")</f>
        <v/>
      </c>
      <c r="S99" s="382">
        <f t="shared" si="40"/>
        <v>0</v>
      </c>
      <c r="W99">
        <v>13</v>
      </c>
      <c r="X99" t="str">
        <f>IF(FavoredSoulSubclass&gt;0,INDEX(T041_ClassFeatures!$W$2:$AP$1001,MATCH('C03_ClassVariables'!$X$86,T041_ClassFeatures!$B$2:$B$1001,0),'C03_ClassVariables'!W99),"")</f>
        <v/>
      </c>
      <c r="Y99">
        <f t="shared" si="42"/>
        <v>0</v>
      </c>
      <c r="DZ99" s="138"/>
    </row>
    <row r="100" spans="1:130" ht="16.5" x14ac:dyDescent="0.3">
      <c r="A100" s="132">
        <f>IFERROR(IF(A99+1&lt;MAX(T041_ClassFeatures!$A$2:$A$2033),A99+1,""),"")</f>
        <v>97</v>
      </c>
      <c r="B100" s="131" t="str">
        <f>IFERROR(INDEX(T041_ClassFeatures!$B$2:$B$2033,MATCH('C03_ClassVariables'!A100,T041_ClassFeatures!$A$2:$A$2033,0),1),"")</f>
        <v>Otherworldly Patron Feature10</v>
      </c>
      <c r="C100" s="131">
        <f>IF(B100="",0,IF(IFERROR(MATCH(B100,'C01_BaseCalculation'!$W$160:$W$239,0),0)&gt;0,1,0))</f>
        <v>0</v>
      </c>
      <c r="D100" s="131"/>
      <c r="E100" s="131"/>
      <c r="F100" s="131"/>
      <c r="G100" s="381"/>
      <c r="H100" s="391" t="s">
        <v>3692</v>
      </c>
      <c r="I100" s="381"/>
      <c r="J100" s="376"/>
      <c r="K100" s="377"/>
      <c r="L100" s="382"/>
      <c r="M100" s="391">
        <f>IF(IFERROR(AND(INDEX(I$85:K$85,1,MATCH(1,$I100:$K100,0)),0)=$N$84,$N$85&gt;=$L100),1,0)*IF(IFERROR(MATCH(H100,Character_Creation!$B$172:$B$187,0),0)&gt;0,0,1)</f>
        <v>1</v>
      </c>
      <c r="N100" s="377"/>
      <c r="O100" s="388">
        <f t="shared" si="41"/>
        <v>1</v>
      </c>
      <c r="P100" s="377">
        <f>IF(O100&gt;0,1+COUNTIF(O$86:O99,"&gt;0"),0)</f>
        <v>10</v>
      </c>
      <c r="Q100" s="377" t="str">
        <f>IF(Character_Creation!$E$170&lt;=0,"",IFERROR(IF(Q99&lt;SUM(O$86:O$117),Q99+1,""),""))</f>
        <v/>
      </c>
      <c r="R100" s="377" t="str">
        <f>IFERROR(IF(Character_Creation!$E$170&lt;=0,"",INDEX($H$86:$H$117,MATCH(Q100,P$86:P$117,0),1)),"")</f>
        <v/>
      </c>
      <c r="S100" s="382">
        <f t="shared" si="40"/>
        <v>0</v>
      </c>
      <c r="W100">
        <v>14</v>
      </c>
      <c r="X100" t="str">
        <f>IF(FavoredSoulSubclass&gt;0,INDEX(T041_ClassFeatures!$W$2:$AP$1001,MATCH('C03_ClassVariables'!$X$86,T041_ClassFeatures!$B$2:$B$1001,0),'C03_ClassVariables'!W100),"")</f>
        <v/>
      </c>
      <c r="Y100">
        <f t="shared" si="42"/>
        <v>0</v>
      </c>
      <c r="DZ100" s="138"/>
    </row>
    <row r="101" spans="1:130" ht="16.5" x14ac:dyDescent="0.3">
      <c r="A101" s="132">
        <f>IFERROR(IF(A100+1&lt;MAX(T041_ClassFeatures!$A$2:$A$2033),A100+1,""),"")</f>
        <v>98</v>
      </c>
      <c r="B101" s="131" t="str">
        <f>IFERROR(INDEX(T041_ClassFeatures!$B$2:$B$2033,MATCH('C03_ClassVariables'!A101,T041_ClassFeatures!$A$2:$A$2033,0),1),"")</f>
        <v>Otherworldly Patron Feature14</v>
      </c>
      <c r="C101" s="131">
        <f>IF(B101="",0,IF(IFERROR(MATCH(B101,'C01_BaseCalculation'!$W$160:$W$239,0),0)&gt;0,1,0))</f>
        <v>0</v>
      </c>
      <c r="D101" s="131"/>
      <c r="E101" s="131"/>
      <c r="F101" s="131"/>
      <c r="G101" s="381"/>
      <c r="H101" s="391" t="s">
        <v>3693</v>
      </c>
      <c r="I101" s="381"/>
      <c r="J101" s="376">
        <v>1</v>
      </c>
      <c r="K101" s="377"/>
      <c r="L101" s="382">
        <v>12</v>
      </c>
      <c r="M101" s="391">
        <f>IF(IFERROR(AND(INDEX(I$85:K$85,1,MATCH(1,$I101:$K101,0)),0)=$N$84,$N$85&gt;=$L101),1,0)*IF(IFERROR(MATCH(H101,Character_Creation!$B$172:$B$187,0),0)&gt;0,0,1)</f>
        <v>0</v>
      </c>
      <c r="N101" s="377"/>
      <c r="O101" s="388">
        <f t="shared" si="41"/>
        <v>0</v>
      </c>
      <c r="P101" s="377">
        <f>IF(O101&gt;0,1+COUNTIF(O$86:O100,"&gt;0"),0)</f>
        <v>0</v>
      </c>
      <c r="Q101" s="377" t="str">
        <f>IF(Character_Creation!$E$170&lt;=0,"",IFERROR(IF(Q100&lt;SUM(O$86:O$117),Q100+1,""),""))</f>
        <v/>
      </c>
      <c r="R101" s="377" t="str">
        <f>IFERROR(IF(Character_Creation!$E$170&lt;=0,"",INDEX($H$86:$H$117,MATCH(Q101,P$86:P$117,0),1)),"")</f>
        <v/>
      </c>
      <c r="S101" s="382">
        <f t="shared" si="40"/>
        <v>0</v>
      </c>
      <c r="W101">
        <v>15</v>
      </c>
      <c r="X101" t="str">
        <f>IF(FavoredSoulSubclass&gt;0,INDEX(T041_ClassFeatures!$W$2:$AP$1001,MATCH('C03_ClassVariables'!$X$86,T041_ClassFeatures!$B$2:$B$1001,0),'C03_ClassVariables'!W101),"")</f>
        <v/>
      </c>
      <c r="Y101">
        <f t="shared" si="42"/>
        <v>0</v>
      </c>
      <c r="DZ101" s="138"/>
    </row>
    <row r="102" spans="1:130" ht="16.5" x14ac:dyDescent="0.3">
      <c r="A102" s="132">
        <f>IFERROR(IF(A101+1&lt;MAX(T041_ClassFeatures!$A$2:$A$2033),A101+1,""),"")</f>
        <v>99</v>
      </c>
      <c r="B102" s="131" t="str">
        <f>IFERROR(INDEX(T041_ClassFeatures!$B$2:$B$2033,MATCH('C03_ClassVariables'!A102,T041_ClassFeatures!$A$2:$A$2033,0),1),"")</f>
        <v>Pact Boon</v>
      </c>
      <c r="C102" s="131">
        <f>IF(B102="",0,IF(IFERROR(MATCH(B102,'C01_BaseCalculation'!$W$160:$W$239,0),0)&gt;0,1,0))</f>
        <v>0</v>
      </c>
      <c r="D102" s="131"/>
      <c r="E102" s="131"/>
      <c r="F102" s="131"/>
      <c r="G102" s="381"/>
      <c r="H102" s="391" t="s">
        <v>3694</v>
      </c>
      <c r="I102" s="381"/>
      <c r="J102" s="376"/>
      <c r="K102" s="377"/>
      <c r="L102" s="382"/>
      <c r="M102" s="391">
        <f>IF(IFERROR(AND(INDEX(I$85:K$85,1,MATCH(1,$I102:$K102,0)),0)=$N$84,$N$85&gt;=$L102),1,0)*IF(IFERROR(MATCH(H102,Character_Creation!$B$172:$B$187,0),0)&gt;0,0,1)</f>
        <v>1</v>
      </c>
      <c r="N102" s="377"/>
      <c r="O102" s="388">
        <f t="shared" si="41"/>
        <v>1</v>
      </c>
      <c r="P102" s="377">
        <f>IF(O102&gt;0,1+COUNTIF(O$86:O101,"&gt;0"),0)</f>
        <v>11</v>
      </c>
      <c r="Q102" s="377" t="str">
        <f>IF(Character_Creation!$E$170&lt;=0,"",IFERROR(IF(Q101&lt;SUM(O$86:O$117),Q101+1,""),""))</f>
        <v/>
      </c>
      <c r="R102" s="377" t="str">
        <f>IFERROR(IF(Character_Creation!$E$170&lt;=0,"",INDEX($H$86:$H$117,MATCH(Q102,P$86:P$117,0),1)),"")</f>
        <v/>
      </c>
      <c r="S102" s="382">
        <f t="shared" si="40"/>
        <v>0</v>
      </c>
      <c r="W102">
        <v>16</v>
      </c>
      <c r="X102" t="str">
        <f>IF(FavoredSoulSubclass&gt;0,INDEX(T041_ClassFeatures!$W$2:$AP$1001,MATCH('C03_ClassVariables'!$X$86,T041_ClassFeatures!$B$2:$B$1001,0),'C03_ClassVariables'!W102),"")</f>
        <v/>
      </c>
      <c r="Y102">
        <f t="shared" si="42"/>
        <v>0</v>
      </c>
      <c r="DZ102" s="138"/>
    </row>
    <row r="103" spans="1:130" ht="16.5" x14ac:dyDescent="0.3">
      <c r="A103" s="132">
        <f>IFERROR(IF(A102+1&lt;MAX(T041_ClassFeatures!$A$2:$A$2033),A102+1,""),"")</f>
        <v>100</v>
      </c>
      <c r="B103" s="131" t="str">
        <f>IFERROR(INDEX(T041_ClassFeatures!$B$2:$B$2033,MATCH('C03_ClassVariables'!A103,T041_ClassFeatures!$A$2:$A$2033,0),1),"")</f>
        <v>Perfect Self</v>
      </c>
      <c r="C103" s="131">
        <f>IF(B103="",0,IF(IFERROR(MATCH(B103,'C01_BaseCalculation'!$W$160:$W$239,0),0)&gt;0,1,0))</f>
        <v>0</v>
      </c>
      <c r="D103" s="131"/>
      <c r="E103" s="131"/>
      <c r="F103" s="131"/>
      <c r="G103" s="381"/>
      <c r="H103" s="391" t="s">
        <v>3695</v>
      </c>
      <c r="I103" s="381"/>
      <c r="J103" s="376"/>
      <c r="K103" s="377"/>
      <c r="L103" s="382">
        <v>15</v>
      </c>
      <c r="M103" s="391">
        <f>IF(IFERROR(AND(INDEX(I$85:K$85,1,MATCH(1,$I103:$K103,0)),0)=$N$84,$N$85&gt;=$L103),1,0)*IF(IFERROR(MATCH(H103,Character_Creation!$B$172:$B$187,0),0)&gt;0,0,1)</f>
        <v>0</v>
      </c>
      <c r="N103" s="377"/>
      <c r="O103" s="388">
        <f t="shared" si="41"/>
        <v>0</v>
      </c>
      <c r="P103" s="377">
        <f>IF(O103&gt;0,1+COUNTIF(O$86:O102,"&gt;0"),0)</f>
        <v>0</v>
      </c>
      <c r="Q103" s="377" t="str">
        <f>IF(Character_Creation!$E$170&lt;=0,"",IFERROR(IF(Q102&lt;SUM(O$86:O$117),Q102+1,""),""))</f>
        <v/>
      </c>
      <c r="R103" s="377" t="str">
        <f>IFERROR(IF(Character_Creation!$E$170&lt;=0,"",INDEX($H$86:$H$117,MATCH(Q103,P$86:P$117,0),1)),"")</f>
        <v/>
      </c>
      <c r="S103" s="382">
        <f t="shared" si="40"/>
        <v>0</v>
      </c>
      <c r="W103">
        <v>17</v>
      </c>
      <c r="X103" t="str">
        <f>IF(FavoredSoulSubclass&gt;0,INDEX(T041_ClassFeatures!$W$2:$AP$1001,MATCH('C03_ClassVariables'!$X$86,T041_ClassFeatures!$B$2:$B$1001,0),'C03_ClassVariables'!W103),"")</f>
        <v/>
      </c>
      <c r="Y103">
        <f t="shared" si="42"/>
        <v>0</v>
      </c>
      <c r="DZ103" s="138"/>
    </row>
    <row r="104" spans="1:130" ht="16.5" x14ac:dyDescent="0.3">
      <c r="A104" s="132">
        <f>IFERROR(IF(A103+1&lt;MAX(T041_ClassFeatures!$A$2:$A$2033),A103+1,""),"")</f>
        <v>101</v>
      </c>
      <c r="B104" s="131" t="str">
        <f>IFERROR(INDEX(T041_ClassFeatures!$B$2:$B$2033,MATCH('C03_ClassVariables'!A104,T041_ClassFeatures!$A$2:$A$2033,0),1),"")</f>
        <v>Persistent Rage</v>
      </c>
      <c r="C104" s="131">
        <f>IF(B104="",0,IF(IFERROR(MATCH(B104,'C01_BaseCalculation'!$W$160:$W$239,0),0)&gt;0,1,0))</f>
        <v>0</v>
      </c>
      <c r="D104" s="131"/>
      <c r="E104" s="131"/>
      <c r="F104" s="131"/>
      <c r="G104" s="381"/>
      <c r="H104" s="391" t="s">
        <v>3696</v>
      </c>
      <c r="I104" s="381"/>
      <c r="J104" s="376"/>
      <c r="K104" s="377"/>
      <c r="L104" s="382">
        <v>9</v>
      </c>
      <c r="M104" s="391">
        <f>IF(IFERROR(AND(INDEX(I$85:K$85,1,MATCH(1,$I104:$K104,0)),0)=$N$84,$N$85&gt;=$L104),1,0)*IF(IFERROR(MATCH(H104,Character_Creation!$B$172:$B$187,0),0)&gt;0,0,1)</f>
        <v>0</v>
      </c>
      <c r="N104" s="377"/>
      <c r="O104" s="388">
        <f t="shared" si="41"/>
        <v>0</v>
      </c>
      <c r="P104" s="377">
        <f>IF(O104&gt;0,1+COUNTIF(O$86:O103,"&gt;0"),0)</f>
        <v>0</v>
      </c>
      <c r="Q104" s="377" t="str">
        <f>IF(Character_Creation!$E$170&lt;=0,"",IFERROR(IF(Q103&lt;SUM(O$86:O$117),Q103+1,""),""))</f>
        <v/>
      </c>
      <c r="R104" s="377" t="str">
        <f>IFERROR(IF(Character_Creation!$E$170&lt;=0,"",INDEX($H$86:$H$117,MATCH(Q104,P$86:P$117,0),1)),"")</f>
        <v/>
      </c>
      <c r="S104" s="382">
        <f t="shared" si="40"/>
        <v>0</v>
      </c>
      <c r="W104">
        <v>18</v>
      </c>
      <c r="X104" t="str">
        <f>IF(FavoredSoulSubclass&gt;0,INDEX(T041_ClassFeatures!$W$2:$AP$1001,MATCH('C03_ClassVariables'!$X$86,T041_ClassFeatures!$B$2:$B$1001,0),'C03_ClassVariables'!W104),"")</f>
        <v/>
      </c>
      <c r="Y104">
        <f t="shared" si="42"/>
        <v>0</v>
      </c>
      <c r="DZ104" s="138"/>
    </row>
    <row r="105" spans="1:130" ht="16.5" x14ac:dyDescent="0.3">
      <c r="A105" s="132">
        <f>IFERROR(IF(A104+1&lt;MAX(T041_ClassFeatures!$A$2:$A$2033),A104+1,""),"")</f>
        <v>102</v>
      </c>
      <c r="B105" s="131" t="str">
        <f>IFERROR(INDEX(T041_ClassFeatures!$B$2:$B$2033,MATCH('C03_ClassVariables'!A105,T041_ClassFeatures!$A$2:$A$2033,0),1),"")</f>
        <v>Primal Champion</v>
      </c>
      <c r="C105" s="131">
        <f>IF(B105="",0,IF(IFERROR(MATCH(B105,'C01_BaseCalculation'!$W$160:$W$239,0),0)&gt;0,1,0))</f>
        <v>0</v>
      </c>
      <c r="D105" s="131"/>
      <c r="E105" s="131"/>
      <c r="F105" s="131"/>
      <c r="G105" s="381"/>
      <c r="H105" s="391" t="s">
        <v>3697</v>
      </c>
      <c r="I105" s="381"/>
      <c r="J105" s="376"/>
      <c r="K105" s="377"/>
      <c r="L105" s="382">
        <v>5</v>
      </c>
      <c r="M105" s="391">
        <f>IF(IFERROR(AND(INDEX(I$85:K$85,1,MATCH(1,$I105:$K105,0)),0)=$N$84,$N$85&gt;=$L105),1,0)*IF(IFERROR(MATCH(H105,Character_Creation!$B$172:$B$187,0),0)&gt;0,0,1)</f>
        <v>0</v>
      </c>
      <c r="N105" s="377"/>
      <c r="O105" s="388">
        <f t="shared" si="41"/>
        <v>0</v>
      </c>
      <c r="P105" s="377">
        <f>IF(O105&gt;0,1+COUNTIF(O$86:O104,"&gt;0"),0)</f>
        <v>0</v>
      </c>
      <c r="Q105" s="377" t="str">
        <f>IF(Character_Creation!$E$170&lt;=0,"",IFERROR(IF(Q104&lt;SUM(O$86:O$117),Q104+1,""),""))</f>
        <v/>
      </c>
      <c r="R105" s="377" t="str">
        <f>IFERROR(IF(Character_Creation!$E$170&lt;=0,"",INDEX($H$86:$H$117,MATCH(Q105,P$86:P$117,0),1)),"")</f>
        <v/>
      </c>
      <c r="S105" s="382">
        <f t="shared" si="40"/>
        <v>0</v>
      </c>
      <c r="W105">
        <v>19</v>
      </c>
      <c r="X105" t="str">
        <f>IF(FavoredSoulSubclass&gt;0,INDEX(T041_ClassFeatures!$W$2:$AP$1001,MATCH('C03_ClassVariables'!$X$86,T041_ClassFeatures!$B$2:$B$1001,0),'C03_ClassVariables'!W105),"")</f>
        <v/>
      </c>
      <c r="Y105">
        <f t="shared" si="42"/>
        <v>0</v>
      </c>
      <c r="DZ105" s="138"/>
    </row>
    <row r="106" spans="1:130" ht="16.5" x14ac:dyDescent="0.3">
      <c r="A106" s="132">
        <f>IFERROR(IF(A105+1&lt;MAX(T041_ClassFeatures!$A$2:$A$2033),A105+1,""),"")</f>
        <v>103</v>
      </c>
      <c r="B106" s="131" t="str">
        <f>IFERROR(INDEX(T041_ClassFeatures!$B$2:$B$2033,MATCH('C03_ClassVariables'!A106,T041_ClassFeatures!$A$2:$A$2033,0),1),"")</f>
        <v>Primal Path</v>
      </c>
      <c r="C106" s="131">
        <f>IF(B106="",0,IF(IFERROR(MATCH(B106,'C01_BaseCalculation'!$W$160:$W$239,0),0)&gt;0,1,0))</f>
        <v>0</v>
      </c>
      <c r="D106" s="131"/>
      <c r="E106" s="131"/>
      <c r="F106" s="131"/>
      <c r="G106" s="381"/>
      <c r="H106" s="391" t="s">
        <v>3698</v>
      </c>
      <c r="I106" s="381"/>
      <c r="J106" s="376"/>
      <c r="K106" s="377"/>
      <c r="L106" s="382"/>
      <c r="M106" s="391">
        <f>IF(IFERROR(AND(INDEX(I$85:K$85,1,MATCH(1,$I106:$K106,0)),0)=$N$84,$N$85&gt;=$L106),1,0)*IF(IFERROR(MATCH(H106,Character_Creation!$B$172:$B$187,0),0)&gt;0,0,1)</f>
        <v>1</v>
      </c>
      <c r="N106" s="377"/>
      <c r="O106" s="388">
        <f t="shared" si="41"/>
        <v>1</v>
      </c>
      <c r="P106" s="377">
        <f>IF(O106&gt;0,1+COUNTIF(O$86:O105,"&gt;0"),0)</f>
        <v>12</v>
      </c>
      <c r="Q106" s="377" t="str">
        <f>IF(Character_Creation!$E$170&lt;=0,"",IFERROR(IF(Q105&lt;SUM(O$86:O$117),Q105+1,""),""))</f>
        <v/>
      </c>
      <c r="R106" s="377" t="str">
        <f>IFERROR(IF(Character_Creation!$E$170&lt;=0,"",INDEX($H$86:$H$117,MATCH(Q106,P$86:P$117,0),1)),"")</f>
        <v/>
      </c>
      <c r="S106" s="382">
        <f t="shared" si="40"/>
        <v>0</v>
      </c>
      <c r="W106">
        <v>20</v>
      </c>
      <c r="X106" t="str">
        <f>IF(FavoredSoulSubclass&gt;0,INDEX(T041_ClassFeatures!$W$2:$AP$1001,MATCH('C03_ClassVariables'!$X$86,T041_ClassFeatures!$B$2:$B$1001,0),'C03_ClassVariables'!W106),"")</f>
        <v/>
      </c>
      <c r="Y106">
        <f t="shared" si="42"/>
        <v>0</v>
      </c>
      <c r="DZ106" s="138"/>
    </row>
    <row r="107" spans="1:130" ht="16.5" x14ac:dyDescent="0.3">
      <c r="A107" s="132">
        <f>IFERROR(IF(A106+1&lt;MAX(T041_ClassFeatures!$A$2:$A$2033),A106+1,""),"")</f>
        <v>104</v>
      </c>
      <c r="B107" s="131" t="str">
        <f>IFERROR(INDEX(T041_ClassFeatures!$B$2:$B$2033,MATCH('C03_ClassVariables'!A107,T041_ClassFeatures!$A$2:$A$2033,0),1),"")</f>
        <v>Path Feature3-1</v>
      </c>
      <c r="C107" s="131">
        <f>IF(B107="",0,IF(IFERROR(MATCH(B107,'C01_BaseCalculation'!$W$160:$W$239,0),0)&gt;0,1,0))</f>
        <v>0</v>
      </c>
      <c r="D107" s="131"/>
      <c r="E107" s="131"/>
      <c r="F107" s="131"/>
      <c r="G107" s="381"/>
      <c r="H107" s="391" t="s">
        <v>3699</v>
      </c>
      <c r="I107" s="381"/>
      <c r="J107" s="376"/>
      <c r="K107" s="377"/>
      <c r="L107" s="382">
        <v>5</v>
      </c>
      <c r="M107" s="391">
        <f>IF(IFERROR(AND(INDEX(I$85:K$85,1,MATCH(1,$I107:$K107,0)),0)=$N$84,$N$85&gt;=$L107),1,0)*IF(IFERROR(MATCH(H107,Character_Creation!$B$172:$B$187,0),0)&gt;0,0,1)</f>
        <v>0</v>
      </c>
      <c r="N107" s="377"/>
      <c r="O107" s="388">
        <f t="shared" si="41"/>
        <v>0</v>
      </c>
      <c r="P107" s="377">
        <f>IF(O107&gt;0,1+COUNTIF(O$86:O106,"&gt;0"),0)</f>
        <v>0</v>
      </c>
      <c r="Q107" s="377" t="str">
        <f>IF(Character_Creation!$E$170&lt;=0,"",IFERROR(IF(Q106&lt;SUM(O$86:O$117),Q106+1,""),""))</f>
        <v/>
      </c>
      <c r="R107" s="377" t="str">
        <f>IFERROR(IF(Character_Creation!$E$170&lt;=0,"",INDEX($H$86:$H$117,MATCH(Q107,P$86:P$117,0),1)),"")</f>
        <v/>
      </c>
      <c r="S107" s="382">
        <f t="shared" si="40"/>
        <v>0</v>
      </c>
      <c r="DZ107" s="138"/>
    </row>
    <row r="108" spans="1:130" ht="16.5" x14ac:dyDescent="0.3">
      <c r="A108" s="132">
        <f>IFERROR(IF(A107+1&lt;MAX(T041_ClassFeatures!$A$2:$A$2033),A107+1,""),"")</f>
        <v>105</v>
      </c>
      <c r="B108" s="131" t="str">
        <f>IFERROR(INDEX(T041_ClassFeatures!$B$2:$B$2033,MATCH('C03_ClassVariables'!A108,T041_ClassFeatures!$A$2:$A$2033,0),1),"")</f>
        <v>Path Feature3-2</v>
      </c>
      <c r="C108" s="131">
        <f>IF(B108="",0,IF(IFERROR(MATCH(B108,'C01_BaseCalculation'!$W$160:$W$239,0),0)&gt;0,1,0))</f>
        <v>0</v>
      </c>
      <c r="D108" s="131"/>
      <c r="E108" s="131"/>
      <c r="F108" s="131"/>
      <c r="G108" s="381"/>
      <c r="H108" s="391" t="s">
        <v>3700</v>
      </c>
      <c r="I108" s="381"/>
      <c r="J108" s="376"/>
      <c r="K108" s="377"/>
      <c r="L108" s="382">
        <v>9</v>
      </c>
      <c r="M108" s="391">
        <f>IF(IFERROR(AND(INDEX(I$85:K$85,1,MATCH(1,$I108:$K108,0)),0)=$N$84,$N$85&gt;=$L108),1,0)*IF(IFERROR(MATCH(H108,Character_Creation!$B$172:$B$187,0),0)&gt;0,0,1)</f>
        <v>0</v>
      </c>
      <c r="N108" s="377"/>
      <c r="O108" s="388">
        <f t="shared" si="41"/>
        <v>0</v>
      </c>
      <c r="P108" s="377">
        <f>IF(O108&gt;0,1+COUNTIF(O$86:O107,"&gt;0"),0)</f>
        <v>0</v>
      </c>
      <c r="Q108" s="377" t="str">
        <f>IF(Character_Creation!$E$170&lt;=0,"",IFERROR(IF(Q107&lt;SUM(O$86:O$117),Q107+1,""),""))</f>
        <v/>
      </c>
      <c r="R108" s="377" t="str">
        <f>IFERROR(IF(Character_Creation!$E$170&lt;=0,"",INDEX($H$86:$H$117,MATCH(Q108,P$86:P$117,0),1)),"")</f>
        <v/>
      </c>
      <c r="S108" s="382">
        <f t="shared" si="40"/>
        <v>0</v>
      </c>
      <c r="DZ108" s="138"/>
    </row>
    <row r="109" spans="1:130" ht="16.5" x14ac:dyDescent="0.3">
      <c r="A109" s="132">
        <f>IFERROR(IF(A108+1&lt;MAX(T041_ClassFeatures!$A$2:$A$2033),A108+1,""),"")</f>
        <v>106</v>
      </c>
      <c r="B109" s="131" t="str">
        <f>IFERROR(INDEX(T041_ClassFeatures!$B$2:$B$2033,MATCH('C03_ClassVariables'!A109,T041_ClassFeatures!$A$2:$A$2033,0),1),"")</f>
        <v>Path Feature6</v>
      </c>
      <c r="C109" s="131">
        <f>IF(B109="",0,IF(IFERROR(MATCH(B109,'C01_BaseCalculation'!$W$160:$W$239,0),0)&gt;0,1,0))</f>
        <v>0</v>
      </c>
      <c r="D109" s="131"/>
      <c r="E109" s="131"/>
      <c r="F109" s="131"/>
      <c r="G109" s="381"/>
      <c r="H109" s="391" t="s">
        <v>3701</v>
      </c>
      <c r="I109" s="381"/>
      <c r="J109" s="376"/>
      <c r="K109" s="377"/>
      <c r="L109" s="382"/>
      <c r="M109" s="391">
        <f>IF(IFERROR(AND(INDEX(I$85:K$85,1,MATCH(1,$I109:$K109,0)),0)=$N$84,$N$85&gt;=$L109),1,0)*IF(IFERROR(MATCH(H109,Character_Creation!$B$172:$B$187,0),0)&gt;0,0,1)</f>
        <v>1</v>
      </c>
      <c r="N109" s="377"/>
      <c r="O109" s="388">
        <f t="shared" si="41"/>
        <v>1</v>
      </c>
      <c r="P109" s="377">
        <f>IF(O109&gt;0,1+COUNTIF(O$86:O108,"&gt;0"),0)</f>
        <v>13</v>
      </c>
      <c r="Q109" s="377" t="str">
        <f>IF(Character_Creation!$E$170&lt;=0,"",IFERROR(IF(Q108&lt;SUM(O$86:O$117),Q108+1,""),""))</f>
        <v/>
      </c>
      <c r="R109" s="377" t="str">
        <f>IFERROR(IF(Character_Creation!$E$170&lt;=0,"",INDEX($H$86:$H$117,MATCH(Q109,P$86:P$117,0),1)),"")</f>
        <v/>
      </c>
      <c r="S109" s="382">
        <f t="shared" si="40"/>
        <v>0</v>
      </c>
      <c r="DZ109" s="138"/>
    </row>
    <row r="110" spans="1:130" ht="16.5" x14ac:dyDescent="0.3">
      <c r="A110" s="132">
        <f>IFERROR(IF(A109+1&lt;MAX(T041_ClassFeatures!$A$2:$A$2033),A109+1,""),"")</f>
        <v>107</v>
      </c>
      <c r="B110" s="131" t="str">
        <f>IFERROR(INDEX(T041_ClassFeatures!$B$2:$B$2033,MATCH('C03_ClassVariables'!A110,T041_ClassFeatures!$A$2:$A$2033,0),1),"")</f>
        <v>Path Feature10</v>
      </c>
      <c r="C110" s="131">
        <f>IF(B110="",0,IF(IFERROR(MATCH(B110,'C01_BaseCalculation'!$W$160:$W$239,0),0)&gt;0,1,0))</f>
        <v>0</v>
      </c>
      <c r="D110" s="131"/>
      <c r="E110" s="131"/>
      <c r="F110" s="131"/>
      <c r="G110" s="381"/>
      <c r="H110" s="391" t="s">
        <v>3702</v>
      </c>
      <c r="I110" s="381"/>
      <c r="J110" s="376"/>
      <c r="K110" s="377"/>
      <c r="L110" s="382">
        <v>7</v>
      </c>
      <c r="M110" s="391">
        <f>IF(IFERROR(AND(INDEX(I$85:K$85,1,MATCH(1,$I110:$K110,0)),0)=$N$84,$N$85&gt;=$L110),1,0)*IF(IFERROR(MATCH(H110,Character_Creation!$B$172:$B$187,0),0)&gt;0,0,1)</f>
        <v>0</v>
      </c>
      <c r="N110" s="377"/>
      <c r="O110" s="388">
        <f t="shared" si="41"/>
        <v>0</v>
      </c>
      <c r="P110" s="377">
        <f>IF(O110&gt;0,1+COUNTIF(O$86:O109,"&gt;0"),0)</f>
        <v>0</v>
      </c>
      <c r="Q110" s="377" t="str">
        <f>IF(Character_Creation!$E$170&lt;=0,"",IFERROR(IF(Q109&lt;SUM(O$86:O$117),Q109+1,""),""))</f>
        <v/>
      </c>
      <c r="R110" s="377" t="str">
        <f>IFERROR(IF(Character_Creation!$E$170&lt;=0,"",INDEX($H$86:$H$117,MATCH(Q110,P$86:P$117,0),1)),"")</f>
        <v/>
      </c>
      <c r="S110" s="382">
        <f t="shared" si="40"/>
        <v>0</v>
      </c>
      <c r="DZ110" s="138"/>
    </row>
    <row r="111" spans="1:130" ht="16.5" x14ac:dyDescent="0.3">
      <c r="A111" s="132">
        <f>IFERROR(IF(A110+1&lt;MAX(T041_ClassFeatures!$A$2:$A$2033),A110+1,""),"")</f>
        <v>108</v>
      </c>
      <c r="B111" s="131" t="str">
        <f>IFERROR(INDEX(T041_ClassFeatures!$B$2:$B$2033,MATCH('C03_ClassVariables'!A111,T041_ClassFeatures!$A$2:$A$2033,0),1),"")</f>
        <v>Path Feature14</v>
      </c>
      <c r="C111" s="131">
        <f>IF(B111="",0,IF(IFERROR(MATCH(B111,'C01_BaseCalculation'!$W$160:$W$239,0),0)&gt;0,1,0))</f>
        <v>0</v>
      </c>
      <c r="D111" s="131"/>
      <c r="E111" s="131"/>
      <c r="F111" s="131"/>
      <c r="G111" s="381"/>
      <c r="H111" s="391" t="s">
        <v>3703</v>
      </c>
      <c r="I111" s="381"/>
      <c r="J111" s="376"/>
      <c r="K111" s="377"/>
      <c r="L111" s="382">
        <v>5</v>
      </c>
      <c r="M111" s="391">
        <f>IF(IFERROR(AND(INDEX(I$85:K$85,1,MATCH(1,$I111:$K111,0)),0)=$N$84,$N$85&gt;=$L111),1,0)*IF(IFERROR(MATCH(H111,Character_Creation!$B$172:$B$187,0),0)&gt;0,0,1)</f>
        <v>0</v>
      </c>
      <c r="N111" s="377"/>
      <c r="O111" s="388">
        <f t="shared" si="41"/>
        <v>0</v>
      </c>
      <c r="P111" s="377">
        <f>IF(O111&gt;0,1+COUNTIF(O$86:O110,"&gt;0"),0)</f>
        <v>0</v>
      </c>
      <c r="Q111" s="377" t="str">
        <f>IF(Character_Creation!$E$170&lt;=0,"",IFERROR(IF(Q110&lt;SUM(O$86:O$117),Q110+1,""),""))</f>
        <v/>
      </c>
      <c r="R111" s="377" t="str">
        <f>IFERROR(IF(Character_Creation!$E$170&lt;=0,"",INDEX($H$86:$H$117,MATCH(Q111,P$86:P$117,0),1)),"")</f>
        <v/>
      </c>
      <c r="S111" s="382">
        <f t="shared" si="40"/>
        <v>0</v>
      </c>
      <c r="DZ111" s="138"/>
    </row>
    <row r="112" spans="1:130" ht="16.5" x14ac:dyDescent="0.3">
      <c r="A112" s="132">
        <f>IFERROR(IF(A111+1&lt;MAX(T041_ClassFeatures!$A$2:$A$2033),A111+1,""),"")</f>
        <v>109</v>
      </c>
      <c r="B112" s="131" t="str">
        <f>IFERROR(INDEX(T041_ClassFeatures!$B$2:$B$2033,MATCH('C03_ClassVariables'!A112,T041_ClassFeatures!$A$2:$A$2033,0),1),"")</f>
        <v>Primeval Awareness</v>
      </c>
      <c r="C112" s="131">
        <f>IF(B112="",0,IF(IFERROR(MATCH(B112,'C01_BaseCalculation'!$W$160:$W$239,0),0)&gt;0,1,0))</f>
        <v>0</v>
      </c>
      <c r="D112" s="131"/>
      <c r="E112" s="131"/>
      <c r="F112" s="131"/>
      <c r="G112" s="381"/>
      <c r="H112" s="391" t="s">
        <v>3704</v>
      </c>
      <c r="I112" s="381"/>
      <c r="J112" s="376"/>
      <c r="K112" s="377"/>
      <c r="L112" s="382"/>
      <c r="M112" s="391">
        <f>IF(IFERROR(AND(INDEX(I$85:K$85,1,MATCH(1,$I112:$K112,0)),0)=$N$84,$N$85&gt;=$L112),1,0)*IF(IFERROR(MATCH(H112,Character_Creation!$B$172:$B$187,0),0)&gt;0,0,1)</f>
        <v>1</v>
      </c>
      <c r="N112" s="377"/>
      <c r="O112" s="388">
        <f t="shared" si="41"/>
        <v>1</v>
      </c>
      <c r="P112" s="377">
        <f>IF(O112&gt;0,1+COUNTIF(O$86:O111,"&gt;0"),0)</f>
        <v>14</v>
      </c>
      <c r="Q112" s="377" t="str">
        <f>IF(Character_Creation!$E$170&lt;=0,"",IFERROR(IF(Q111&lt;SUM(O$86:O$117),Q111+1,""),""))</f>
        <v/>
      </c>
      <c r="R112" s="377" t="str">
        <f>IFERROR(IF(Character_Creation!$E$170&lt;=0,"",INDEX($H$86:$H$117,MATCH(Q112,P$86:P$117,0),1)),"")</f>
        <v/>
      </c>
      <c r="S112" s="382">
        <f t="shared" si="40"/>
        <v>0</v>
      </c>
      <c r="DZ112" s="138"/>
    </row>
    <row r="113" spans="1:130" ht="16.5" x14ac:dyDescent="0.3">
      <c r="A113" s="132">
        <f>IFERROR(IF(A112+1&lt;MAX(T041_ClassFeatures!$A$2:$A$2033),A112+1,""),"")</f>
        <v>110</v>
      </c>
      <c r="B113" s="131" t="str">
        <f>IFERROR(INDEX(T041_ClassFeatures!$B$2:$B$2033,MATCH('C03_ClassVariables'!A113,T041_ClassFeatures!$A$2:$A$2033,0),1),"")</f>
        <v>Purity of Body</v>
      </c>
      <c r="C113" s="131">
        <f>IF(B113="",0,IF(IFERROR(MATCH(B113,'C01_BaseCalculation'!$W$160:$W$239,0),0)&gt;0,1,0))</f>
        <v>0</v>
      </c>
      <c r="D113" s="131"/>
      <c r="E113" s="131"/>
      <c r="F113" s="131"/>
      <c r="G113" s="381"/>
      <c r="H113" s="391" t="s">
        <v>3705</v>
      </c>
      <c r="I113" s="381"/>
      <c r="J113" s="376">
        <v>1</v>
      </c>
      <c r="K113" s="377"/>
      <c r="L113" s="382">
        <v>5</v>
      </c>
      <c r="M113" s="391">
        <f>IF(IFERROR(AND(INDEX(I$85:K$85,1,MATCH(1,$I113:$K113,0)),0)=$N$84,$N$85&gt;=$L113),1,0)*IF(IFERROR(MATCH(H113,Character_Creation!$B$172:$B$187,0),0)&gt;0,0,1)</f>
        <v>0</v>
      </c>
      <c r="N113" s="377"/>
      <c r="O113" s="388">
        <f t="shared" si="41"/>
        <v>0</v>
      </c>
      <c r="P113" s="377">
        <f>IF(O113&gt;0,1+COUNTIF(O$86:O112,"&gt;0"),0)</f>
        <v>0</v>
      </c>
      <c r="Q113" s="377" t="str">
        <f>IF(Character_Creation!$E$170&lt;=0,"",IFERROR(IF(Q112&lt;SUM(O$86:O$117),Q112+1,""),""))</f>
        <v/>
      </c>
      <c r="R113" s="377" t="str">
        <f>IFERROR(IF(Character_Creation!$E$170&lt;=0,"",INDEX($H$86:$H$117,MATCH(Q113,P$86:P$117,0),1)),"")</f>
        <v/>
      </c>
      <c r="S113" s="382">
        <f t="shared" si="40"/>
        <v>0</v>
      </c>
      <c r="DZ113" s="138"/>
    </row>
    <row r="114" spans="1:130" ht="16.5" x14ac:dyDescent="0.3">
      <c r="A114" s="132">
        <f>IFERROR(IF(A113+1&lt;MAX(T041_ClassFeatures!$A$2:$A$2033),A113+1,""),"")</f>
        <v>111</v>
      </c>
      <c r="B114" s="131" t="str">
        <f>IFERROR(INDEX(T041_ClassFeatures!$B$2:$B$2033,MATCH('C03_ClassVariables'!A114,T041_ClassFeatures!$A$2:$A$2033,0),1),"")</f>
        <v>Rage</v>
      </c>
      <c r="C114" s="131">
        <f>IF(B114="",0,IF(IFERROR(MATCH(B114,'C01_BaseCalculation'!$W$160:$W$239,0),0)&gt;0,1,0))</f>
        <v>0</v>
      </c>
      <c r="D114" s="131"/>
      <c r="E114" s="131"/>
      <c r="F114" s="131"/>
      <c r="G114" s="381"/>
      <c r="H114" s="391" t="s">
        <v>3706</v>
      </c>
      <c r="I114" s="381"/>
      <c r="J114" s="376"/>
      <c r="K114" s="377"/>
      <c r="L114" s="382">
        <v>15</v>
      </c>
      <c r="M114" s="391">
        <f>IF(IFERROR(AND(INDEX(I$85:K$85,1,MATCH(1,$I114:$K114,0)),0)=$N$84,$N$85&gt;=$L114),1,0)*IF(IFERROR(MATCH(H114,Character_Creation!$B$172:$B$187,0),0)&gt;0,0,1)</f>
        <v>0</v>
      </c>
      <c r="N114" s="377"/>
      <c r="O114" s="388">
        <f t="shared" si="41"/>
        <v>0</v>
      </c>
      <c r="P114" s="377">
        <f>IF(O114&gt;0,1+COUNTIF(O$86:O113,"&gt;0"),0)</f>
        <v>0</v>
      </c>
      <c r="Q114" s="377" t="str">
        <f>IF(Character_Creation!$E$170&lt;=0,"",IFERROR(IF(Q113&lt;SUM(O$86:O$117),Q113+1,""),""))</f>
        <v/>
      </c>
      <c r="R114" s="377" t="str">
        <f>IFERROR(IF(Character_Creation!$E$170&lt;=0,"",INDEX($H$86:$H$117,MATCH(Q114,P$86:P$117,0),1)),"")</f>
        <v/>
      </c>
      <c r="S114" s="382">
        <f t="shared" si="40"/>
        <v>0</v>
      </c>
      <c r="DZ114" s="138"/>
    </row>
    <row r="115" spans="1:130" ht="16.5" x14ac:dyDescent="0.3">
      <c r="A115" s="132">
        <f>IFERROR(IF(A114+1&lt;MAX(T041_ClassFeatures!$A$2:$A$2033),A114+1,""),"")</f>
        <v>112</v>
      </c>
      <c r="B115" s="131" t="str">
        <f>IFERROR(INDEX(T041_ClassFeatures!$B$2:$B$2033,MATCH('C03_ClassVariables'!A115,T041_ClassFeatures!$A$2:$A$2033,0),1),"")</f>
        <v>Ranger Archetype</v>
      </c>
      <c r="C115" s="131">
        <f>IF(B115="",0,IF(IFERROR(MATCH(B115,'C01_BaseCalculation'!$W$160:$W$239,0),0)&gt;0,1,0))</f>
        <v>0</v>
      </c>
      <c r="D115" s="131"/>
      <c r="E115" s="131"/>
      <c r="F115" s="131"/>
      <c r="G115" s="381"/>
      <c r="H115" s="391" t="s">
        <v>3707</v>
      </c>
      <c r="I115" s="381">
        <v>1</v>
      </c>
      <c r="J115" s="376"/>
      <c r="K115" s="377"/>
      <c r="L115" s="382"/>
      <c r="M115" s="391">
        <f>IF(IFERROR(AND(INDEX(I$85:K$85,1,MATCH(1,$I115:$K115,0)),0)=$N$84,$N$85&gt;=$L115),1,0)*IF(IFERROR(MATCH(H115,Character_Creation!$B$172:$B$187,0),0)&gt;0,0,1)</f>
        <v>0</v>
      </c>
      <c r="N115" s="377"/>
      <c r="O115" s="388">
        <f t="shared" si="41"/>
        <v>0</v>
      </c>
      <c r="P115" s="377">
        <f>IF(O115&gt;0,1+COUNTIF(O$86:O114,"&gt;0"),0)</f>
        <v>0</v>
      </c>
      <c r="Q115" s="377" t="str">
        <f>IF(Character_Creation!$E$170&lt;=0,"",IFERROR(IF(Q114&lt;SUM(O$86:O$117),Q114+1,""),""))</f>
        <v/>
      </c>
      <c r="R115" s="377" t="str">
        <f>IFERROR(IF(Character_Creation!$E$170&lt;=0,"",INDEX($H$86:$H$117,MATCH(Q115,P$86:P$117,0),1)),"")</f>
        <v/>
      </c>
      <c r="S115" s="382">
        <f t="shared" si="40"/>
        <v>0</v>
      </c>
      <c r="DZ115" s="138"/>
    </row>
    <row r="116" spans="1:130" ht="16.5" x14ac:dyDescent="0.3">
      <c r="A116" s="132">
        <f>IFERROR(IF(A115+1&lt;MAX(T041_ClassFeatures!$A$2:$A$2033),A115+1,""),"")</f>
        <v>113</v>
      </c>
      <c r="B116" s="131" t="str">
        <f>IFERROR(INDEX(T041_ClassFeatures!$B$2:$B$2033,MATCH('C03_ClassVariables'!A116,T041_ClassFeatures!$A$2:$A$2033,0),1),"")</f>
        <v>Ranger Archetype Feature3</v>
      </c>
      <c r="C116" s="131">
        <f>IF(B116="",0,IF(IFERROR(MATCH(B116,'C01_BaseCalculation'!$W$160:$W$239,0),0)&gt;0,1,0))</f>
        <v>0</v>
      </c>
      <c r="D116" s="131"/>
      <c r="E116" s="131"/>
      <c r="F116" s="131"/>
      <c r="G116" s="381"/>
      <c r="H116" s="391" t="s">
        <v>3708</v>
      </c>
      <c r="I116" s="381"/>
      <c r="J116" s="376"/>
      <c r="K116" s="377"/>
      <c r="L116" s="382">
        <v>9</v>
      </c>
      <c r="M116" s="391">
        <f>IF(IFERROR(AND(INDEX(I$85:K$85,1,MATCH(1,$I116:$K116,0)),0)=$N$84,$N$85&gt;=$L116),1,0)*IF(IFERROR(MATCH(H116,Character_Creation!$B$172:$B$187,0),0)&gt;0,0,1)</f>
        <v>0</v>
      </c>
      <c r="N116" s="377"/>
      <c r="O116" s="388">
        <f t="shared" si="41"/>
        <v>0</v>
      </c>
      <c r="P116" s="377">
        <f>IF(O116&gt;0,1+COUNTIF(O$86:O115,"&gt;0"),0)</f>
        <v>0</v>
      </c>
      <c r="Q116" s="377" t="str">
        <f>IF(Character_Creation!$E$170&lt;=0,"",IFERROR(IF(Q115&lt;SUM(O$86:O$117),Q115+1,""),""))</f>
        <v/>
      </c>
      <c r="R116" s="377" t="str">
        <f>IFERROR(IF(Character_Creation!$E$170&lt;=0,"",INDEX($H$86:$H$117,MATCH(Q116,P$86:P$117,0),1)),"")</f>
        <v/>
      </c>
      <c r="S116" s="382">
        <f t="shared" si="40"/>
        <v>0</v>
      </c>
      <c r="DZ116" s="138"/>
    </row>
    <row r="117" spans="1:130" ht="17.25" thickBot="1" x14ac:dyDescent="0.35">
      <c r="A117" s="132">
        <f>IFERROR(IF(A116+1&lt;MAX(T041_ClassFeatures!$A$2:$A$2033),A116+1,""),"")</f>
        <v>114</v>
      </c>
      <c r="B117" s="131" t="str">
        <f>IFERROR(INDEX(T041_ClassFeatures!$B$2:$B$2033,MATCH('C03_ClassVariables'!A117,T041_ClassFeatures!$A$2:$A$2033,0),1),"")</f>
        <v>Ranger Archetype Feature7</v>
      </c>
      <c r="C117" s="131">
        <f>IF(B117="",0,IF(IFERROR(MATCH(B117,'C01_BaseCalculation'!$W$160:$W$239,0),0)&gt;0,1,0))</f>
        <v>0</v>
      </c>
      <c r="D117" s="131"/>
      <c r="E117" s="131"/>
      <c r="F117" s="131"/>
      <c r="G117" s="384"/>
      <c r="H117" s="392" t="s">
        <v>3709</v>
      </c>
      <c r="I117" s="384"/>
      <c r="J117" s="386"/>
      <c r="K117" s="385"/>
      <c r="L117" s="387">
        <v>15</v>
      </c>
      <c r="M117" s="391">
        <f>IF(IFERROR(AND(INDEX(I$85:K$85,1,MATCH(1,$I117:$K117,0)),0)=$N$84,$N$85&gt;=$L117),1,0)*IF(IFERROR(MATCH(H117,Character_Creation!$B$172:$B$187,0),0)&gt;0,0,1)</f>
        <v>0</v>
      </c>
      <c r="N117" s="385"/>
      <c r="O117" s="389">
        <f t="shared" si="41"/>
        <v>0</v>
      </c>
      <c r="P117" s="385">
        <f>IF(O117&gt;0,1+COUNTIF(O$86:O116,"&gt;0"),0)</f>
        <v>0</v>
      </c>
      <c r="Q117" s="377" t="str">
        <f>IF(Character_Creation!$E$170&lt;=0,"",IFERROR(IF(Q116&lt;SUM(O$86:O$117),Q116+1,""),""))</f>
        <v/>
      </c>
      <c r="R117" s="377" t="str">
        <f>IFERROR(IF(Character_Creation!$E$170&lt;=0,"",INDEX($H$86:$H$117,MATCH(Q117,P$86:P$117,0),1)),"")</f>
        <v/>
      </c>
      <c r="S117" s="387">
        <f t="shared" si="40"/>
        <v>0</v>
      </c>
      <c r="DZ117" s="138"/>
    </row>
    <row r="118" spans="1:130" ht="16.5" x14ac:dyDescent="0.3">
      <c r="A118" s="132">
        <f>IFERROR(IF(A117+1&lt;MAX(T041_ClassFeatures!$A$2:$A$2033),A117+1,""),"")</f>
        <v>115</v>
      </c>
      <c r="B118" s="131" t="str">
        <f>IFERROR(INDEX(T041_ClassFeatures!$B$2:$B$2033,MATCH('C03_ClassVariables'!A118,T041_ClassFeatures!$A$2:$A$2033,0),1),"")</f>
        <v>Ranger Archetype Feature11</v>
      </c>
      <c r="C118" s="131">
        <f>IF(B118="",0,IF(IFERROR(MATCH(B118,'C01_BaseCalculation'!$W$160:$W$239,0),0)&gt;0,1,0))</f>
        <v>0</v>
      </c>
      <c r="D118" s="131"/>
      <c r="E118" s="131"/>
      <c r="F118" s="131"/>
      <c r="G118" s="131"/>
      <c r="H118" s="131"/>
      <c r="I118" s="131"/>
      <c r="J118" s="131"/>
      <c r="DZ118" s="138"/>
    </row>
    <row r="119" spans="1:130" ht="16.5" x14ac:dyDescent="0.3">
      <c r="A119" s="132">
        <f>IFERROR(IF(A118+1&lt;MAX(T041_ClassFeatures!$A$2:$A$2033),A118+1,""),"")</f>
        <v>116</v>
      </c>
      <c r="B119" s="131" t="str">
        <f>IFERROR(INDEX(T041_ClassFeatures!$B$2:$B$2033,MATCH('C03_ClassVariables'!A119,T041_ClassFeatures!$A$2:$A$2033,0),1),"")</f>
        <v>Ranger Archetype Feature15</v>
      </c>
      <c r="C119" s="131">
        <f>IF(B119="",0,IF(IFERROR(MATCH(B119,'C01_BaseCalculation'!$W$160:$W$239,0),0)&gt;0,1,0))</f>
        <v>0</v>
      </c>
      <c r="D119" s="131"/>
      <c r="E119" s="131"/>
      <c r="F119" s="131"/>
      <c r="G119" s="131"/>
      <c r="H119" s="131"/>
      <c r="I119" s="131"/>
      <c r="J119" s="131"/>
      <c r="DZ119" s="138"/>
    </row>
    <row r="120" spans="1:130" ht="16.5" x14ac:dyDescent="0.3">
      <c r="A120" s="132">
        <f>IFERROR(IF(A119+1&lt;MAX(T041_ClassFeatures!$A$2:$A$2033),A119+1,""),"")</f>
        <v>117</v>
      </c>
      <c r="B120" s="131" t="str">
        <f>IFERROR(INDEX(T041_ClassFeatures!$B$2:$B$2033,MATCH('C03_ClassVariables'!A120,T041_ClassFeatures!$A$2:$A$2033,0),1),"")</f>
        <v>Reckless Attack</v>
      </c>
      <c r="C120" s="131">
        <f>IF(B120="",0,IF(IFERROR(MATCH(B120,'C01_BaseCalculation'!$W$160:$W$239,0),0)&gt;0,1,0))</f>
        <v>0</v>
      </c>
      <c r="D120" s="131"/>
      <c r="E120" s="131"/>
      <c r="F120" s="131"/>
      <c r="G120" s="235"/>
      <c r="H120" s="235"/>
      <c r="I120" s="235"/>
      <c r="J120" s="235"/>
      <c r="K120" s="551"/>
      <c r="L120" s="551"/>
      <c r="M120" s="551"/>
      <c r="N120" s="551"/>
      <c r="DZ120" s="138"/>
    </row>
    <row r="121" spans="1:130" ht="16.5" x14ac:dyDescent="0.3">
      <c r="A121" s="132">
        <f>IFERROR(IF(A120+1&lt;MAX(T041_ClassFeatures!$A$2:$A$2033),A120+1,""),"")</f>
        <v>118</v>
      </c>
      <c r="B121" s="131" t="str">
        <f>IFERROR(INDEX(T041_ClassFeatures!$B$2:$B$2033,MATCH('C03_ClassVariables'!A121,T041_ClassFeatures!$A$2:$A$2033,0),1),"")</f>
        <v>Relentless Rage</v>
      </c>
      <c r="C121" s="131">
        <f>IF(B121="",0,IF(IFERROR(MATCH(B121,'C01_BaseCalculation'!$W$160:$W$239,0),0)&gt;0,1,0))</f>
        <v>0</v>
      </c>
      <c r="D121" s="131"/>
      <c r="E121" s="131"/>
      <c r="F121" s="131"/>
      <c r="G121" s="235"/>
      <c r="H121" s="131" t="s">
        <v>4524</v>
      </c>
      <c r="I121" s="131"/>
      <c r="J121" s="131"/>
      <c r="N121" s="551"/>
      <c r="DZ121" s="138"/>
    </row>
    <row r="122" spans="1:130" ht="16.5" x14ac:dyDescent="0.3">
      <c r="A122" s="132">
        <f>IFERROR(IF(A121+1&lt;MAX(T041_ClassFeatures!$A$2:$A$2033),A121+1,""),"")</f>
        <v>119</v>
      </c>
      <c r="B122" s="131" t="str">
        <f>IFERROR(INDEX(T041_ClassFeatures!$B$2:$B$2033,MATCH('C03_ClassVariables'!A122,T041_ClassFeatures!$A$2:$A$2033,0),1),"")</f>
        <v>Reliable Talent</v>
      </c>
      <c r="C122" s="131">
        <f>IF(B122="",0,IF(IFERROR(MATCH(B122,'C01_BaseCalculation'!$W$160:$W$239,0),0)&gt;0,1,0))</f>
        <v>0</v>
      </c>
      <c r="D122" s="131"/>
      <c r="E122" s="131"/>
      <c r="F122" s="131"/>
      <c r="G122" s="235"/>
      <c r="H122" s="131"/>
      <c r="I122" s="1032" t="s">
        <v>4700</v>
      </c>
      <c r="J122" s="1032"/>
      <c r="N122" s="551"/>
      <c r="DZ122" s="138"/>
    </row>
    <row r="123" spans="1:130" ht="16.5" x14ac:dyDescent="0.3">
      <c r="A123" s="132">
        <f>IFERROR(IF(A122+1&lt;MAX(T041_ClassFeatures!$A$2:$A$2033),A122+1,""),"")</f>
        <v>120</v>
      </c>
      <c r="B123" s="131" t="str">
        <f>IFERROR(INDEX(T041_ClassFeatures!$B$2:$B$2033,MATCH('C03_ClassVariables'!A123,T041_ClassFeatures!$A$2:$A$2033,0),1),"")</f>
        <v>Roguish Archetype</v>
      </c>
      <c r="C123" s="131">
        <f>IF(B123="",0,IF(IFERROR(MATCH(B123,'C01_BaseCalculation'!$W$160:$W$239,0),0)&gt;0,1,0))</f>
        <v>0</v>
      </c>
      <c r="D123" s="131"/>
      <c r="E123" s="131"/>
      <c r="F123" s="131"/>
      <c r="G123" s="235"/>
      <c r="H123" s="131" t="s">
        <v>3606</v>
      </c>
      <c r="I123" s="131">
        <v>1</v>
      </c>
      <c r="J123" s="337">
        <f t="shared" ref="J123:J138" si="43">IF(CombatManeuver1=H123,1,0)</f>
        <v>0</v>
      </c>
      <c r="K123">
        <f>IF(IFERROR(MATCH(H123,Character_Creation!G$170:G$191,0),0)&gt;0,0,1)*IF(Character_Creation!$J$168&gt;0,1,0)</f>
        <v>0</v>
      </c>
      <c r="L123">
        <f>IF(K123=0,0,1)</f>
        <v>0</v>
      </c>
      <c r="M123" t="str">
        <f>IFERROR(INDEX($H$123:$H$138,MATCH(ROW()-ROW($M$122),$L$123:$L$138,0),1),"")</f>
        <v/>
      </c>
      <c r="N123" s="551"/>
      <c r="DZ123" s="138"/>
    </row>
    <row r="124" spans="1:130" ht="16.5" x14ac:dyDescent="0.3">
      <c r="A124" s="132">
        <f>IFERROR(IF(A123+1&lt;MAX(T041_ClassFeatures!$A$2:$A$2033),A123+1,""),"")</f>
        <v>121</v>
      </c>
      <c r="B124" s="131" t="str">
        <f>IFERROR(INDEX(T041_ClassFeatures!$B$2:$B$2033,MATCH('C03_ClassVariables'!A124,T041_ClassFeatures!$A$2:$A$2033,0),1),"")</f>
        <v>Roguish Archetype Feature3-1</v>
      </c>
      <c r="C124" s="131">
        <f>IF(B124="",0,IF(IFERROR(MATCH(B124,'C01_BaseCalculation'!$W$160:$W$239,0),0)&gt;0,1,0))</f>
        <v>0</v>
      </c>
      <c r="D124" s="131"/>
      <c r="E124" s="131"/>
      <c r="F124" s="131"/>
      <c r="G124" s="235"/>
      <c r="H124" s="131" t="s">
        <v>3607</v>
      </c>
      <c r="I124" s="131">
        <v>1</v>
      </c>
      <c r="J124" s="337">
        <f t="shared" si="43"/>
        <v>0</v>
      </c>
      <c r="K124">
        <f>IF(IFERROR(MATCH(H124,Character_Creation!G$170:G$191,0),0)&gt;0,0,1)*IF(Character_Creation!$J$168&gt;0,1,0)</f>
        <v>0</v>
      </c>
      <c r="L124">
        <f>IF(K124=0,0,1+COUNTIF(L123:$L$123,"&gt;0"))</f>
        <v>0</v>
      </c>
      <c r="M124" t="str">
        <f t="shared" ref="M124:M138" si="44">IFERROR(INDEX($H$123:$H$138,MATCH(ROW()-ROW($M$122),$L$123:$L$138,0),1),"")</f>
        <v/>
      </c>
      <c r="N124" s="551"/>
      <c r="DZ124" s="138"/>
    </row>
    <row r="125" spans="1:130" ht="16.5" x14ac:dyDescent="0.3">
      <c r="A125" s="132">
        <f>IFERROR(IF(A124+1&lt;MAX(T041_ClassFeatures!$A$2:$A$2033),A124+1,""),"")</f>
        <v>122</v>
      </c>
      <c r="B125" s="131" t="str">
        <f>IFERROR(INDEX(T041_ClassFeatures!$B$2:$B$2033,MATCH('C03_ClassVariables'!A125,T041_ClassFeatures!$A$2:$A$2033,0),1),"")</f>
        <v>Roguish Archetype Feature3-2</v>
      </c>
      <c r="C125" s="131">
        <f>IF(B125="",0,IF(IFERROR(MATCH(B125,'C01_BaseCalculation'!$W$160:$W$239,0),0)&gt;0,1,0))</f>
        <v>0</v>
      </c>
      <c r="D125" s="131"/>
      <c r="E125" s="131"/>
      <c r="F125" s="131"/>
      <c r="G125" s="235"/>
      <c r="H125" s="131" t="s">
        <v>3608</v>
      </c>
      <c r="I125" s="131">
        <v>1</v>
      </c>
      <c r="J125" s="337">
        <f t="shared" si="43"/>
        <v>0</v>
      </c>
      <c r="K125">
        <f>IF(IFERROR(MATCH(H125,Character_Creation!G$170:G$191,0),0)&gt;0,0,1)*IF(Character_Creation!$J$168&gt;0,1,0)</f>
        <v>0</v>
      </c>
      <c r="L125">
        <f>IF(K125=0,0,1+COUNTIF(L$123:$L124,"&gt;0"))</f>
        <v>0</v>
      </c>
      <c r="M125" t="str">
        <f t="shared" si="44"/>
        <v/>
      </c>
      <c r="N125" s="551"/>
      <c r="DZ125" s="138"/>
    </row>
    <row r="126" spans="1:130" ht="16.5" x14ac:dyDescent="0.3">
      <c r="A126" s="132">
        <f>IFERROR(IF(A125+1&lt;MAX(T041_ClassFeatures!$A$2:$A$2033),A125+1,""),"")</f>
        <v>123</v>
      </c>
      <c r="B126" s="131" t="str">
        <f>IFERROR(INDEX(T041_ClassFeatures!$B$2:$B$2033,MATCH('C03_ClassVariables'!A126,T041_ClassFeatures!$A$2:$A$2033,0),1),"")</f>
        <v>Roguish Archetype Feature9</v>
      </c>
      <c r="C126" s="131">
        <f>IF(B126="",0,IF(IFERROR(MATCH(B126,'C01_BaseCalculation'!$W$160:$W$239,0),0)&gt;0,1,0))</f>
        <v>0</v>
      </c>
      <c r="D126" s="131"/>
      <c r="E126" s="131"/>
      <c r="F126" s="131"/>
      <c r="G126" s="235"/>
      <c r="H126" s="131" t="s">
        <v>3609</v>
      </c>
      <c r="I126" s="131">
        <v>1</v>
      </c>
      <c r="J126" s="337">
        <f t="shared" si="43"/>
        <v>0</v>
      </c>
      <c r="K126">
        <f>IF(IFERROR(MATCH(H126,Character_Creation!G$170:G$191,0),0)&gt;0,0,1)*IF(Character_Creation!$J$168&gt;0,1,0)</f>
        <v>0</v>
      </c>
      <c r="L126">
        <f>IF(K126=0,0,1+COUNTIF(L$123:$L125,"&gt;0"))</f>
        <v>0</v>
      </c>
      <c r="M126" t="str">
        <f t="shared" si="44"/>
        <v/>
      </c>
      <c r="N126" s="551"/>
      <c r="DZ126" s="138"/>
    </row>
    <row r="127" spans="1:130" ht="16.5" x14ac:dyDescent="0.3">
      <c r="A127" s="132">
        <f>IFERROR(IF(A126+1&lt;MAX(T041_ClassFeatures!$A$2:$A$2033),A126+1,""),"")</f>
        <v>124</v>
      </c>
      <c r="B127" s="131" t="str">
        <f>IFERROR(INDEX(T041_ClassFeatures!$B$2:$B$2033,MATCH('C03_ClassVariables'!A127,T041_ClassFeatures!$A$2:$A$2033,0),1),"")</f>
        <v>Roguish Archetype Feature13</v>
      </c>
      <c r="C127" s="131">
        <f>IF(B127="",0,IF(IFERROR(MATCH(B127,'C01_BaseCalculation'!$W$160:$W$239,0),0)&gt;0,1,0))</f>
        <v>0</v>
      </c>
      <c r="D127" s="131"/>
      <c r="E127" s="131"/>
      <c r="F127" s="131"/>
      <c r="G127" s="235"/>
      <c r="H127" s="131" t="s">
        <v>3610</v>
      </c>
      <c r="I127" s="131">
        <v>1</v>
      </c>
      <c r="J127" s="337">
        <f t="shared" si="43"/>
        <v>0</v>
      </c>
      <c r="K127">
        <f>IF(IFERROR(MATCH(H127,Character_Creation!G$170:G$191,0),0)&gt;0,0,1)*IF(Character_Creation!$J$168&gt;0,1,0)</f>
        <v>0</v>
      </c>
      <c r="L127">
        <f>IF(K127=0,0,1+COUNTIF(L$123:$L126,"&gt;0"))</f>
        <v>0</v>
      </c>
      <c r="M127" t="str">
        <f t="shared" si="44"/>
        <v/>
      </c>
      <c r="N127" s="551"/>
      <c r="DZ127" s="138"/>
    </row>
    <row r="128" spans="1:130" ht="16.5" x14ac:dyDescent="0.3">
      <c r="A128" s="132">
        <f>IFERROR(IF(A127+1&lt;MAX(T041_ClassFeatures!$A$2:$A$2033),A127+1,""),"")</f>
        <v>125</v>
      </c>
      <c r="B128" s="131" t="str">
        <f>IFERROR(INDEX(T041_ClassFeatures!$B$2:$B$2033,MATCH('C03_ClassVariables'!A128,T041_ClassFeatures!$A$2:$A$2033,0),1),"")</f>
        <v>Roguish Archetype Feature17</v>
      </c>
      <c r="C128" s="131">
        <f>IF(B128="",0,IF(IFERROR(MATCH(B128,'C01_BaseCalculation'!$W$160:$W$239,0),0)&gt;0,1,0))</f>
        <v>0</v>
      </c>
      <c r="D128" s="131"/>
      <c r="E128" s="131"/>
      <c r="F128" s="131"/>
      <c r="G128" s="235"/>
      <c r="H128" s="131" t="s">
        <v>3611</v>
      </c>
      <c r="I128" s="131">
        <v>1</v>
      </c>
      <c r="J128" s="337">
        <f t="shared" si="43"/>
        <v>0</v>
      </c>
      <c r="K128">
        <f>IF(IFERROR(MATCH(H128,Character_Creation!G$170:G$191,0),0)&gt;0,0,1)*IF(Character_Creation!$J$168&gt;0,1,0)</f>
        <v>0</v>
      </c>
      <c r="L128">
        <f>IF(K128=0,0,1+COUNTIF(L$123:$L127,"&gt;0"))</f>
        <v>0</v>
      </c>
      <c r="M128" t="str">
        <f t="shared" si="44"/>
        <v/>
      </c>
      <c r="N128" s="551"/>
      <c r="DZ128" s="138"/>
    </row>
    <row r="129" spans="1:130" ht="16.5" x14ac:dyDescent="0.3">
      <c r="A129" s="132">
        <f>IFERROR(IF(A128+1&lt;MAX(T041_ClassFeatures!$A$2:$A$2033),A128+1,""),"")</f>
        <v>126</v>
      </c>
      <c r="B129" s="131" t="str">
        <f>IFERROR(INDEX(T041_ClassFeatures!$B$2:$B$2033,MATCH('C03_ClassVariables'!A129,T041_ClassFeatures!$A$2:$A$2033,0),1),"")</f>
        <v>Sacred Oath</v>
      </c>
      <c r="C129" s="131">
        <f>IF(B129="",0,IF(IFERROR(MATCH(B129,'C01_BaseCalculation'!$W$160:$W$239,0),0)&gt;0,1,0))</f>
        <v>0</v>
      </c>
      <c r="D129" s="131"/>
      <c r="E129" s="131"/>
      <c r="F129" s="131"/>
      <c r="G129" s="235"/>
      <c r="H129" s="131" t="s">
        <v>3612</v>
      </c>
      <c r="I129" s="131">
        <v>1</v>
      </c>
      <c r="J129" s="337">
        <f t="shared" si="43"/>
        <v>0</v>
      </c>
      <c r="K129">
        <f>IF(IFERROR(MATCH(H129,Character_Creation!G$170:G$191,0),0)&gt;0,0,1)*IF(Character_Creation!$J$168&gt;0,1,0)</f>
        <v>0</v>
      </c>
      <c r="L129">
        <f>IF(K129=0,0,1+COUNTIF(L$123:$L128,"&gt;0"))</f>
        <v>0</v>
      </c>
      <c r="M129" t="str">
        <f t="shared" si="44"/>
        <v/>
      </c>
      <c r="N129" s="551"/>
      <c r="DZ129" s="138"/>
    </row>
    <row r="130" spans="1:130" ht="16.5" x14ac:dyDescent="0.3">
      <c r="A130" s="132">
        <f>IFERROR(IF(A129+1&lt;MAX(T041_ClassFeatures!$A$2:$A$2033),A129+1,""),"")</f>
        <v>127</v>
      </c>
      <c r="B130" s="131" t="str">
        <f>IFERROR(INDEX(T041_ClassFeatures!$B$2:$B$2033,MATCH('C03_ClassVariables'!A130,T041_ClassFeatures!$A$2:$A$2033,0),1),"")</f>
        <v>Sacred Oath Feature3-1</v>
      </c>
      <c r="C130" s="131">
        <f>IF(B130="",0,IF(IFERROR(MATCH(B130,'C01_BaseCalculation'!$W$160:$W$239,0),0)&gt;0,1,0))</f>
        <v>0</v>
      </c>
      <c r="D130" s="131"/>
      <c r="E130" s="131"/>
      <c r="F130" s="131"/>
      <c r="G130" s="235"/>
      <c r="H130" s="131" t="s">
        <v>3613</v>
      </c>
      <c r="I130" s="131">
        <v>1</v>
      </c>
      <c r="J130" s="337">
        <f t="shared" si="43"/>
        <v>0</v>
      </c>
      <c r="K130">
        <f>IF(IFERROR(MATCH(H130,Character_Creation!G$170:G$191,0),0)&gt;0,0,1)*IF(Character_Creation!$J$168&gt;0,1,0)</f>
        <v>0</v>
      </c>
      <c r="L130">
        <f>IF(K130=0,0,1+COUNTIF(L$123:$L129,"&gt;0"))</f>
        <v>0</v>
      </c>
      <c r="M130" t="str">
        <f t="shared" si="44"/>
        <v/>
      </c>
      <c r="N130" s="551"/>
      <c r="DZ130" s="138"/>
    </row>
    <row r="131" spans="1:130" ht="16.5" x14ac:dyDescent="0.3">
      <c r="A131" s="132">
        <f>IFERROR(IF(A130+1&lt;MAX(T041_ClassFeatures!$A$2:$A$2033),A130+1,""),"")</f>
        <v>128</v>
      </c>
      <c r="B131" s="131" t="str">
        <f>IFERROR(INDEX(T041_ClassFeatures!$B$2:$B$2033,MATCH('C03_ClassVariables'!A131,T041_ClassFeatures!$A$2:$A$2033,0),1),"")</f>
        <v>Sacred Oath Feature3-2</v>
      </c>
      <c r="C131" s="131">
        <f>IF(B131="",0,IF(IFERROR(MATCH(B131,'C01_BaseCalculation'!$W$160:$W$239,0),0)&gt;0,1,0))</f>
        <v>0</v>
      </c>
      <c r="D131" s="131"/>
      <c r="E131" s="131"/>
      <c r="F131" s="131"/>
      <c r="G131" s="235"/>
      <c r="H131" s="131" t="s">
        <v>3614</v>
      </c>
      <c r="I131" s="131">
        <v>1</v>
      </c>
      <c r="J131" s="337">
        <f t="shared" si="43"/>
        <v>0</v>
      </c>
      <c r="K131">
        <f>IF(IFERROR(MATCH(H131,Character_Creation!G$170:G$191,0),0)&gt;0,0,1)*IF(Character_Creation!$J$168&gt;0,1,0)</f>
        <v>0</v>
      </c>
      <c r="L131">
        <f>IF(K131=0,0,1+COUNTIF(L$123:$L130,"&gt;0"))</f>
        <v>0</v>
      </c>
      <c r="M131" t="str">
        <f t="shared" si="44"/>
        <v/>
      </c>
      <c r="N131" s="551"/>
      <c r="DZ131" s="138"/>
    </row>
    <row r="132" spans="1:130" ht="16.5" x14ac:dyDescent="0.3">
      <c r="A132" s="132">
        <f>IFERROR(IF(A131+1&lt;MAX(T041_ClassFeatures!$A$2:$A$2033),A131+1,""),"")</f>
        <v>129</v>
      </c>
      <c r="B132" s="131" t="str">
        <f>IFERROR(INDEX(T041_ClassFeatures!$B$2:$B$2033,MATCH('C03_ClassVariables'!A132,T041_ClassFeatures!$A$2:$A$2033,0),1),"")</f>
        <v>Sacred Oath Feature7</v>
      </c>
      <c r="C132" s="131">
        <f>IF(B132="",0,IF(IFERROR(MATCH(B132,'C01_BaseCalculation'!$W$160:$W$239,0),0)&gt;0,1,0))</f>
        <v>0</v>
      </c>
      <c r="D132" s="131"/>
      <c r="E132" s="131"/>
      <c r="F132" s="131"/>
      <c r="G132" s="235"/>
      <c r="H132" s="131" t="s">
        <v>3615</v>
      </c>
      <c r="I132" s="131">
        <v>1</v>
      </c>
      <c r="J132" s="337">
        <f t="shared" si="43"/>
        <v>0</v>
      </c>
      <c r="K132">
        <f>IF(IFERROR(MATCH(H132,Character_Creation!G$170:G$191,0),0)&gt;0,0,1)*IF(Character_Creation!$J$168&gt;0,1,0)</f>
        <v>0</v>
      </c>
      <c r="L132">
        <f>IF(K132=0,0,1+COUNTIF(L$123:$L131,"&gt;0"))</f>
        <v>0</v>
      </c>
      <c r="M132" t="str">
        <f t="shared" si="44"/>
        <v/>
      </c>
      <c r="N132" s="551"/>
      <c r="DZ132" s="138"/>
    </row>
    <row r="133" spans="1:130" ht="16.5" x14ac:dyDescent="0.3">
      <c r="A133" s="132">
        <f>IFERROR(IF(A132+1&lt;MAX(T041_ClassFeatures!$A$2:$A$2033),A132+1,""),"")</f>
        <v>130</v>
      </c>
      <c r="B133" s="131" t="str">
        <f>IFERROR(INDEX(T041_ClassFeatures!$B$2:$B$2033,MATCH('C03_ClassVariables'!A133,T041_ClassFeatures!$A$2:$A$2033,0),1),"")</f>
        <v>Sacred Oath Feature15</v>
      </c>
      <c r="C133" s="131">
        <f>IF(B133="",0,IF(IFERROR(MATCH(B133,'C01_BaseCalculation'!$W$160:$W$239,0),0)&gt;0,1,0))</f>
        <v>0</v>
      </c>
      <c r="D133" s="131"/>
      <c r="E133" s="131"/>
      <c r="F133" s="131"/>
      <c r="G133" s="235"/>
      <c r="H133" s="131" t="s">
        <v>3616</v>
      </c>
      <c r="I133" s="131">
        <v>1</v>
      </c>
      <c r="J133" s="337">
        <f t="shared" si="43"/>
        <v>0</v>
      </c>
      <c r="K133">
        <f>IF(IFERROR(MATCH(H133,Character_Creation!G$170:G$191,0),0)&gt;0,0,1)*IF(Character_Creation!$J$168&gt;0,1,0)</f>
        <v>0</v>
      </c>
      <c r="L133">
        <f>IF(K133=0,0,1+COUNTIF(L$123:$L132,"&gt;0"))</f>
        <v>0</v>
      </c>
      <c r="M133" t="str">
        <f t="shared" si="44"/>
        <v/>
      </c>
      <c r="N133" s="551"/>
      <c r="DZ133" s="138"/>
    </row>
    <row r="134" spans="1:130" ht="16.5" x14ac:dyDescent="0.3">
      <c r="A134" s="132">
        <f>IFERROR(IF(A133+1&lt;MAX(T041_ClassFeatures!$A$2:$A$2033),A133+1,""),"")</f>
        <v>131</v>
      </c>
      <c r="B134" s="131" t="str">
        <f>IFERROR(INDEX(T041_ClassFeatures!$B$2:$B$2033,MATCH('C03_ClassVariables'!A134,T041_ClassFeatures!$A$2:$A$2033,0),1),"")</f>
        <v>Sacred Oath Feature20</v>
      </c>
      <c r="C134" s="131">
        <f>IF(B134="",0,IF(IFERROR(MATCH(B134,'C01_BaseCalculation'!$W$160:$W$239,0),0)&gt;0,1,0))</f>
        <v>0</v>
      </c>
      <c r="D134" s="131"/>
      <c r="E134" s="131"/>
      <c r="F134" s="131"/>
      <c r="G134" s="235"/>
      <c r="H134" s="131" t="s">
        <v>3617</v>
      </c>
      <c r="I134" s="131">
        <v>1</v>
      </c>
      <c r="J134" s="337">
        <f t="shared" si="43"/>
        <v>0</v>
      </c>
      <c r="K134">
        <f>IF(IFERROR(MATCH(H134,Character_Creation!G$170:G$191,0),0)&gt;0,0,1)*IF(Character_Creation!$J$168&gt;0,1,0)</f>
        <v>0</v>
      </c>
      <c r="L134">
        <f>IF(K134=0,0,1+COUNTIF(L$123:$L133,"&gt;0"))</f>
        <v>0</v>
      </c>
      <c r="M134" t="str">
        <f t="shared" si="44"/>
        <v/>
      </c>
      <c r="N134" s="551"/>
      <c r="DZ134" s="138"/>
    </row>
    <row r="135" spans="1:130" ht="16.5" x14ac:dyDescent="0.3">
      <c r="A135" s="132">
        <f>IFERROR(IF(A134+1&lt;MAX(T041_ClassFeatures!$A$2:$A$2033),A134+1,""),"")</f>
        <v>132</v>
      </c>
      <c r="B135" s="131" t="str">
        <f>IFERROR(INDEX(T041_ClassFeatures!$B$2:$B$2033,MATCH('C03_ClassVariables'!A135,T041_ClassFeatures!$A$2:$A$2033,0),1),"")</f>
        <v>Second Wind</v>
      </c>
      <c r="C135" s="131">
        <f>IF(B135="",0,IF(IFERROR(MATCH(B135,'C01_BaseCalculation'!$W$160:$W$239,0),0)&gt;0,1,0))</f>
        <v>1</v>
      </c>
      <c r="D135" s="131"/>
      <c r="E135" s="131"/>
      <c r="F135" s="131"/>
      <c r="G135" s="235"/>
      <c r="H135" s="131" t="s">
        <v>3618</v>
      </c>
      <c r="I135" s="131">
        <v>1</v>
      </c>
      <c r="J135" s="337">
        <f t="shared" si="43"/>
        <v>0</v>
      </c>
      <c r="K135">
        <f>IF(IFERROR(MATCH(H135,Character_Creation!G$170:G$191,0),0)&gt;0,0,1)*IF(Character_Creation!$J$168&gt;0,1,0)</f>
        <v>0</v>
      </c>
      <c r="L135">
        <f>IF(K135=0,0,1+COUNTIF(L$123:$L134,"&gt;0"))</f>
        <v>0</v>
      </c>
      <c r="M135" t="str">
        <f t="shared" si="44"/>
        <v/>
      </c>
      <c r="N135" s="551"/>
      <c r="DZ135" s="138"/>
    </row>
    <row r="136" spans="1:130" ht="16.5" x14ac:dyDescent="0.3">
      <c r="A136" s="132">
        <f>IFERROR(IF(A135+1&lt;MAX(T041_ClassFeatures!$A$2:$A$2033),A135+1,""),"")</f>
        <v>133</v>
      </c>
      <c r="B136" s="131" t="str">
        <f>IFERROR(INDEX(T041_ClassFeatures!$B$2:$B$2033,MATCH('C03_ClassVariables'!A136,T041_ClassFeatures!$A$2:$A$2033,0),1),"")</f>
        <v>Signature Spell</v>
      </c>
      <c r="C136" s="131">
        <f>IF(B136="",0,IF(IFERROR(MATCH(B136,'C01_BaseCalculation'!$W$160:$W$239,0),0)&gt;0,1,0))</f>
        <v>0</v>
      </c>
      <c r="D136" s="131"/>
      <c r="E136" s="131"/>
      <c r="F136" s="131"/>
      <c r="G136" s="235"/>
      <c r="H136" s="131" t="s">
        <v>3619</v>
      </c>
      <c r="I136" s="131">
        <v>1</v>
      </c>
      <c r="J136" s="337">
        <f t="shared" si="43"/>
        <v>0</v>
      </c>
      <c r="K136">
        <f>IF(IFERROR(MATCH(H136,Character_Creation!G$170:G$191,0),0)&gt;0,0,1)*IF(Character_Creation!$J$168&gt;0,1,0)</f>
        <v>0</v>
      </c>
      <c r="L136">
        <f>IF(K136=0,0,1+COUNTIF(L$123:$L135,"&gt;0"))</f>
        <v>0</v>
      </c>
      <c r="M136" t="str">
        <f t="shared" si="44"/>
        <v/>
      </c>
      <c r="N136" s="551"/>
      <c r="DZ136" s="138"/>
    </row>
    <row r="137" spans="1:130" ht="16.5" x14ac:dyDescent="0.3">
      <c r="A137" s="132">
        <f>IFERROR(IF(A136+1&lt;MAX(T041_ClassFeatures!$A$2:$A$2033),A136+1,""),"")</f>
        <v>134</v>
      </c>
      <c r="B137" s="131" t="str">
        <f>IFERROR(INDEX(T041_ClassFeatures!$B$2:$B$2033,MATCH('C03_ClassVariables'!A137,T041_ClassFeatures!$A$2:$A$2033,0),1),"")</f>
        <v>Slippery Mind</v>
      </c>
      <c r="C137" s="131">
        <f>IF(B137="",0,IF(IFERROR(MATCH(B137,'C01_BaseCalculation'!$W$160:$W$239,0),0)&gt;0,1,0))</f>
        <v>0</v>
      </c>
      <c r="D137" s="131"/>
      <c r="E137" s="131"/>
      <c r="F137" s="131"/>
      <c r="G137" s="235"/>
      <c r="H137" s="131" t="s">
        <v>3620</v>
      </c>
      <c r="I137" s="131">
        <v>1</v>
      </c>
      <c r="J137" s="337">
        <f t="shared" si="43"/>
        <v>0</v>
      </c>
      <c r="K137">
        <f>IF(IFERROR(MATCH(H137,Character_Creation!G$170:G$191,0),0)&gt;0,0,1)*IF(Character_Creation!$J$168&gt;0,1,0)</f>
        <v>0</v>
      </c>
      <c r="L137">
        <f>IF(K137=0,0,1+COUNTIF(L$123:$L136,"&gt;0"))</f>
        <v>0</v>
      </c>
      <c r="M137" t="str">
        <f t="shared" si="44"/>
        <v/>
      </c>
      <c r="N137" s="551"/>
      <c r="DZ137" s="138"/>
    </row>
    <row r="138" spans="1:130" ht="16.5" x14ac:dyDescent="0.3">
      <c r="A138" s="132">
        <f>IFERROR(IF(A137+1&lt;MAX(T041_ClassFeatures!$A$2:$A$2033),A137+1,""),"")</f>
        <v>135</v>
      </c>
      <c r="B138" s="131" t="str">
        <f>IFERROR(INDEX(T041_ClassFeatures!$B$2:$B$2033,MATCH('C03_ClassVariables'!A138,T041_ClassFeatures!$A$2:$A$2033,0),1),"")</f>
        <v>Sneak Attack</v>
      </c>
      <c r="C138" s="131">
        <f>IF(B138="",0,IF(IFERROR(MATCH(B138,'C01_BaseCalculation'!$W$160:$W$239,0),0)&gt;0,1,0))</f>
        <v>0</v>
      </c>
      <c r="D138" s="131"/>
      <c r="E138" s="131"/>
      <c r="F138" s="131"/>
      <c r="G138" s="235"/>
      <c r="H138" s="131" t="s">
        <v>3621</v>
      </c>
      <c r="I138" s="131">
        <v>1</v>
      </c>
      <c r="J138" s="337">
        <f t="shared" si="43"/>
        <v>0</v>
      </c>
      <c r="K138">
        <f>IF(IFERROR(MATCH(H138,Character_Creation!G$170:G$191,0),0)&gt;0,0,1)*IF(Character_Creation!$J$168&gt;0,1,0)</f>
        <v>0</v>
      </c>
      <c r="L138">
        <f>IF(K138=0,0,1+COUNTIF(L$123:$L137,"&gt;0"))</f>
        <v>0</v>
      </c>
      <c r="M138" t="str">
        <f t="shared" si="44"/>
        <v/>
      </c>
      <c r="N138" s="551"/>
      <c r="DZ138" s="138"/>
    </row>
    <row r="139" spans="1:130" ht="16.5" x14ac:dyDescent="0.3">
      <c r="A139" s="132">
        <f>IFERROR(IF(A138+1&lt;MAX(T041_ClassFeatures!$A$2:$A$2033),A138+1,""),"")</f>
        <v>136</v>
      </c>
      <c r="B139" s="131" t="str">
        <f>IFERROR(INDEX(T041_ClassFeatures!$B$2:$B$2033,MATCH('C03_ClassVariables'!A139,T041_ClassFeatures!$A$2:$A$2033,0),1),"")</f>
        <v>Song of Rest</v>
      </c>
      <c r="C139" s="131">
        <f>IF(B139="",0,IF(IFERROR(MATCH(B139,'C01_BaseCalculation'!$W$160:$W$239,0),0)&gt;0,1,0))</f>
        <v>0</v>
      </c>
      <c r="D139" s="131"/>
      <c r="E139" s="131"/>
      <c r="F139" s="131"/>
      <c r="G139" s="235"/>
      <c r="H139" s="235"/>
      <c r="I139" s="235"/>
      <c r="J139" s="235"/>
      <c r="K139" s="551"/>
      <c r="L139" s="551"/>
      <c r="M139" s="551"/>
      <c r="N139" s="551"/>
      <c r="DZ139" s="138"/>
    </row>
    <row r="140" spans="1:130" ht="16.5" x14ac:dyDescent="0.3">
      <c r="A140" s="132">
        <f>IFERROR(IF(A139+1&lt;MAX(T041_ClassFeatures!$A$2:$A$2033),A139+1,""),"")</f>
        <v>137</v>
      </c>
      <c r="B140" s="131" t="str">
        <f>IFERROR(INDEX(T041_ClassFeatures!$B$2:$B$2033,MATCH('C03_ClassVariables'!A140,T041_ClassFeatures!$A$2:$A$2033,0),1),"")</f>
        <v>Sorcerous Origin</v>
      </c>
      <c r="C140" s="131">
        <f>IF(B140="",0,IF(IFERROR(MATCH(B140,'C01_BaseCalculation'!$W$160:$W$239,0),0)&gt;0,1,0))</f>
        <v>0</v>
      </c>
      <c r="D140" s="131"/>
      <c r="E140" s="131"/>
      <c r="F140" s="131"/>
      <c r="G140" s="131"/>
      <c r="H140" s="131"/>
      <c r="I140" s="131"/>
      <c r="J140" s="131"/>
      <c r="DZ140" s="138"/>
    </row>
    <row r="141" spans="1:130" ht="17.25" thickBot="1" x14ac:dyDescent="0.35">
      <c r="A141" s="132">
        <f>IFERROR(IF(A140+1&lt;MAX(T041_ClassFeatures!$A$2:$A$2033),A140+1,""),"")</f>
        <v>138</v>
      </c>
      <c r="B141" s="131" t="str">
        <f>IFERROR(INDEX(T041_ClassFeatures!$B$2:$B$2033,MATCH('C03_ClassVariables'!A141,T041_ClassFeatures!$A$2:$A$2033,0),1),"")</f>
        <v>Sorcerous Origin Feature1-1</v>
      </c>
      <c r="C141" s="131">
        <f>IF(B141="",0,IF(IFERROR(MATCH(B141,'C01_BaseCalculation'!$W$160:$W$239,0),0)&gt;0,1,0))</f>
        <v>0</v>
      </c>
      <c r="D141" s="131"/>
      <c r="E141" s="131"/>
      <c r="F141" s="131"/>
      <c r="G141" s="524"/>
      <c r="H141" s="525"/>
      <c r="I141" s="524"/>
      <c r="J141" s="524"/>
      <c r="K141" s="525"/>
      <c r="L141" s="525"/>
      <c r="M141" s="525"/>
      <c r="N141" s="525"/>
      <c r="O141" s="525"/>
      <c r="P141" s="525"/>
      <c r="Q141" s="525"/>
      <c r="R141" s="525"/>
      <c r="S141" s="525"/>
      <c r="T141" s="525"/>
      <c r="U141" s="525"/>
      <c r="W141" s="410"/>
      <c r="X141" s="410"/>
      <c r="Y141" s="410"/>
      <c r="Z141" s="410"/>
      <c r="AA141" s="410"/>
      <c r="AB141" s="410"/>
      <c r="AC141" s="410"/>
      <c r="AD141" s="410"/>
      <c r="AE141" s="410"/>
      <c r="AF141" s="410"/>
      <c r="AG141" s="410"/>
      <c r="AH141" s="410"/>
      <c r="AI141" s="410"/>
      <c r="AJ141" s="410"/>
      <c r="AK141" s="410"/>
      <c r="AL141" s="410"/>
      <c r="AM141" s="410"/>
      <c r="AN141" s="410"/>
      <c r="DZ141" s="138"/>
    </row>
    <row r="142" spans="1:130" ht="17.25" thickBot="1" x14ac:dyDescent="0.35">
      <c r="A142" s="132">
        <f>IFERROR(IF(A141+1&lt;MAX(T041_ClassFeatures!$A$2:$A$2033),A141+1,""),"")</f>
        <v>139</v>
      </c>
      <c r="B142" s="131" t="str">
        <f>IFERROR(INDEX(T041_ClassFeatures!$B$2:$B$2033,MATCH('C03_ClassVariables'!A142,T041_ClassFeatures!$A$2:$A$2033,0),1),"")</f>
        <v>Sorcerous Origin Feature1-2</v>
      </c>
      <c r="C142" s="131">
        <f>IF(B142="",0,IF(IFERROR(MATCH(B142,'C01_BaseCalculation'!$W$160:$W$239,0),0)&gt;0,1,0))</f>
        <v>0</v>
      </c>
      <c r="D142" s="131"/>
      <c r="E142" s="131"/>
      <c r="F142" s="131"/>
      <c r="G142" s="524"/>
      <c r="H142" s="336" t="s">
        <v>2272</v>
      </c>
      <c r="I142" s="525"/>
      <c r="J142" s="525"/>
      <c r="K142" s="525"/>
      <c r="L142" s="525"/>
      <c r="M142" s="525"/>
      <c r="N142" s="525" t="s">
        <v>4687</v>
      </c>
      <c r="O142" s="525"/>
      <c r="P142" s="525"/>
      <c r="Q142" s="525"/>
      <c r="R142" s="525"/>
      <c r="S142" s="525"/>
      <c r="T142" s="525"/>
      <c r="U142" s="525"/>
      <c r="W142" s="410"/>
      <c r="X142" s="520" t="s">
        <v>3622</v>
      </c>
      <c r="Y142" s="148">
        <v>17</v>
      </c>
      <c r="Z142" s="148">
        <f>$AC$40*IF($V$9="Way of the Four Elements",1,0)</f>
        <v>0</v>
      </c>
      <c r="AA142" s="148">
        <f>IF(Z142&gt;=Y142,1,0)</f>
        <v>0</v>
      </c>
      <c r="AB142" s="148">
        <f>IF(AA142=1,1,0)</f>
        <v>0</v>
      </c>
      <c r="AC142" s="148">
        <v>1</v>
      </c>
      <c r="AD142" s="148" t="str">
        <f>IFERROR(INDEX($X$142:$X$157,MATCH(AC142,$AB$142:$AB$157,0),1),"")</f>
        <v/>
      </c>
      <c r="AE142" s="148"/>
      <c r="AF142" s="521" t="s">
        <v>6215</v>
      </c>
      <c r="AG142" s="521">
        <f>MonkElementalDiscipline1</f>
        <v>0</v>
      </c>
      <c r="AH142" s="148">
        <f>IF(AD142="",0,IF(IFERROR(MATCH(AD142,$AG$142:$AG$146,0),0)&gt;0,0,1))</f>
        <v>0</v>
      </c>
      <c r="AI142" s="148" t="str">
        <f>IF(AH142=1,AD142,"")</f>
        <v/>
      </c>
      <c r="AJ142" s="148">
        <f>IF(AI142&lt;&gt;"",1,0)</f>
        <v>0</v>
      </c>
      <c r="AK142" s="148">
        <f>IF(AJ142=1,1,0)</f>
        <v>0</v>
      </c>
      <c r="AL142" s="148">
        <v>1</v>
      </c>
      <c r="AM142" s="149" t="str">
        <f>IFERROR(INDEX($AD$142:$AD$157,MATCH(AL142,$AK$142:$AK$157,0),1),"")</f>
        <v/>
      </c>
      <c r="AN142" s="410"/>
      <c r="DZ142" s="138"/>
    </row>
    <row r="143" spans="1:130" ht="17.25" thickBot="1" x14ac:dyDescent="0.35">
      <c r="A143" s="132">
        <f>IFERROR(IF(A142+1&lt;MAX(T041_ClassFeatures!$A$2:$A$2033),A142+1,""),"")</f>
        <v>140</v>
      </c>
      <c r="B143" s="131" t="str">
        <f>IFERROR(INDEX(T041_ClassFeatures!$B$2:$B$2033,MATCH('C03_ClassVariables'!A143,T041_ClassFeatures!$A$2:$A$2033,0),1),"")</f>
        <v>Sorcerous Origin Feature6</v>
      </c>
      <c r="C143" s="131">
        <f>IF(B143="",0,IF(IFERROR(MATCH(B143,'C01_BaseCalculation'!$W$160:$W$239,0),0)&gt;0,1,0))</f>
        <v>0</v>
      </c>
      <c r="D143" s="131"/>
      <c r="E143" s="131"/>
      <c r="F143" s="131"/>
      <c r="G143" s="524"/>
      <c r="H143" s="336"/>
      <c r="I143" s="525"/>
      <c r="J143" s="525"/>
      <c r="K143" s="525"/>
      <c r="L143" s="525"/>
      <c r="M143" s="525"/>
      <c r="N143" s="525"/>
      <c r="O143" s="525"/>
      <c r="P143" s="525"/>
      <c r="Q143" s="525"/>
      <c r="R143" s="525"/>
      <c r="S143" s="525"/>
      <c r="T143" s="525"/>
      <c r="U143" s="525"/>
      <c r="W143" s="410"/>
      <c r="X143" s="522" t="s">
        <v>3623</v>
      </c>
      <c r="Y143" s="136">
        <v>6</v>
      </c>
      <c r="Z143" s="136">
        <f t="shared" ref="Z143:Z157" si="45">$AC$40*IF($V$9="Way of the Four Elements",1,0)</f>
        <v>0</v>
      </c>
      <c r="AA143" s="136">
        <f t="shared" ref="AA143:AA157" si="46">IF(Z143&gt;=Y143,1,0)</f>
        <v>0</v>
      </c>
      <c r="AB143" s="136">
        <f>IF(AA143=0,0,COUNTIF(AB142:$AB$142,"&gt;0")+1)</f>
        <v>0</v>
      </c>
      <c r="AC143" s="136" t="str">
        <f>IFERROR(IF(AC142&lt;MAX($AB$142:$AB$157),AC142+1,""),"")</f>
        <v/>
      </c>
      <c r="AD143" s="136" t="str">
        <f t="shared" ref="AD143:AD157" si="47">IFERROR(INDEX($X$142:$X$157,MATCH(AC143,$AB$142:$AB$157,0),1),"")</f>
        <v/>
      </c>
      <c r="AE143" s="136"/>
      <c r="AF143" s="506" t="s">
        <v>6216</v>
      </c>
      <c r="AG143" s="521">
        <f>MonkElementalDiscipline2</f>
        <v>0</v>
      </c>
      <c r="AH143" s="136">
        <f t="shared" ref="AH143:AH157" si="48">IF(AD143="",0,IF(IFERROR(MATCH(AD143,$AG$142:$AG$146,0),0)&gt;0,0,1))</f>
        <v>0</v>
      </c>
      <c r="AI143" s="136" t="str">
        <f t="shared" ref="AI143:AI157" si="49">IF(AH143=1,AD143,"")</f>
        <v/>
      </c>
      <c r="AJ143" s="136">
        <f t="shared" ref="AJ143:AJ157" si="50">IF(AI143&lt;&gt;"",1,0)</f>
        <v>0</v>
      </c>
      <c r="AK143" s="136">
        <f>IF(AJ143=0,0,COUNTIF($AK142:AK$142,"&gt;0")+1)</f>
        <v>0</v>
      </c>
      <c r="AL143" s="136" t="str">
        <f>IFERROR(IF(AL142&lt;MAX($AK$142:$AK$157),AL142+1,""),"")</f>
        <v/>
      </c>
      <c r="AM143" s="151" t="str">
        <f t="shared" ref="AM143:AM157" si="51">IFERROR(INDEX($AD$142:$AD$157,MATCH(AL143,$AK$142:$AK$157,0),1),"")</f>
        <v/>
      </c>
      <c r="AN143" s="410"/>
      <c r="DZ143" s="138"/>
    </row>
    <row r="144" spans="1:130" ht="17.25" thickBot="1" x14ac:dyDescent="0.35">
      <c r="A144" s="132">
        <f>IFERROR(IF(A143+1&lt;MAX(T041_ClassFeatures!$A$2:$A$2033),A143+1,""),"")</f>
        <v>141</v>
      </c>
      <c r="B144" s="131" t="str">
        <f>IFERROR(INDEX(T041_ClassFeatures!$B$2:$B$2033,MATCH('C03_ClassVariables'!A144,T041_ClassFeatures!$A$2:$A$2033,0),1),"")</f>
        <v>Sorcerous Origin Feature14</v>
      </c>
      <c r="C144" s="131">
        <f>IF(B144="",0,IF(IFERROR(MATCH(B144,'C01_BaseCalculation'!$W$160:$W$239,0),0)&gt;0,1,0))</f>
        <v>0</v>
      </c>
      <c r="D144" s="131"/>
      <c r="E144" s="131"/>
      <c r="F144" s="131"/>
      <c r="G144" s="524"/>
      <c r="H144" s="336" t="s">
        <v>3168</v>
      </c>
      <c r="I144" s="525">
        <v>1</v>
      </c>
      <c r="J144" s="525">
        <f>IF(IFERROR(MATCH(H144,Character_Creation!$Q$170:$Q$175,0),0)&gt;0,0,1)*IF(Character_Creation!$T$168&gt;0,1,0)</f>
        <v>0</v>
      </c>
      <c r="K144">
        <f>IF(J144=0,0,1)</f>
        <v>0</v>
      </c>
      <c r="L144" s="525" t="str">
        <f>IFERROR(INDEX($H$144:$H$151,MATCH(ROW()-ROW($M$143),$K$144:$K$151,0),1),"")</f>
        <v/>
      </c>
      <c r="M144" s="238" t="s">
        <v>3168</v>
      </c>
      <c r="N144" s="525">
        <v>1</v>
      </c>
      <c r="O144" s="525">
        <f>IF(IFERROR(MATCH(M144,Character_Creation!$L$178:$L$185,0),0)&gt;0,0,1)*IF(Character_Creation!$O$176&gt;0,1,0)</f>
        <v>0</v>
      </c>
      <c r="P144">
        <f>IF(O144=0,0,1)</f>
        <v>0</v>
      </c>
      <c r="Q144" s="525" t="str">
        <f>IFERROR(INDEX($M$144:$M$151,MATCH(ROW()-ROW($M$143),$P$144:$P$151,0),1),"")</f>
        <v/>
      </c>
      <c r="R144" s="525"/>
      <c r="S144" s="525"/>
      <c r="T144" s="525"/>
      <c r="U144" s="525"/>
      <c r="W144" s="410"/>
      <c r="X144" s="522" t="s">
        <v>3624</v>
      </c>
      <c r="Y144" s="136">
        <v>11</v>
      </c>
      <c r="Z144" s="136">
        <f t="shared" si="45"/>
        <v>0</v>
      </c>
      <c r="AA144" s="136">
        <f t="shared" si="46"/>
        <v>0</v>
      </c>
      <c r="AB144" s="136">
        <f>IF(AA144=0,0,COUNTIF(AB$142:$AB143,"&gt;0")+1)</f>
        <v>0</v>
      </c>
      <c r="AC144" s="136" t="str">
        <f t="shared" ref="AC144:AC157" si="52">IFERROR(IF(AC143&lt;MAX($AB$142:$AB$157),AC143+1,""),"")</f>
        <v/>
      </c>
      <c r="AD144" s="136" t="str">
        <f t="shared" si="47"/>
        <v/>
      </c>
      <c r="AE144" s="136"/>
      <c r="AF144" s="506" t="s">
        <v>6217</v>
      </c>
      <c r="AG144" s="521">
        <f>MonkElementalDiscipline3</f>
        <v>0</v>
      </c>
      <c r="AH144" s="136">
        <f t="shared" si="48"/>
        <v>0</v>
      </c>
      <c r="AI144" s="136" t="str">
        <f t="shared" si="49"/>
        <v/>
      </c>
      <c r="AJ144" s="136">
        <f t="shared" si="50"/>
        <v>0</v>
      </c>
      <c r="AK144" s="136">
        <f>IF(AJ144=0,0,COUNTIF($AK$142:AK143,"&gt;0")+1)</f>
        <v>0</v>
      </c>
      <c r="AL144" s="136" t="str">
        <f t="shared" ref="AL144:AL157" si="53">IFERROR(IF(AL143&lt;MAX($AK$142:$AK$157),AL143+1,""),"")</f>
        <v/>
      </c>
      <c r="AM144" s="151" t="str">
        <f t="shared" si="51"/>
        <v/>
      </c>
      <c r="AN144" s="410"/>
      <c r="DZ144" s="138"/>
    </row>
    <row r="145" spans="1:130" ht="17.25" thickBot="1" x14ac:dyDescent="0.35">
      <c r="A145" s="132">
        <f>IFERROR(IF(A144+1&lt;MAX(T041_ClassFeatures!$A$2:$A$2033),A144+1,""),"")</f>
        <v>142</v>
      </c>
      <c r="B145" s="131" t="str">
        <f>IFERROR(INDEX(T041_ClassFeatures!$B$2:$B$2033,MATCH('C03_ClassVariables'!A145,T041_ClassFeatures!$A$2:$A$2033,0),1),"")</f>
        <v>Sorcerous Origin Feature18</v>
      </c>
      <c r="C145" s="131">
        <f>IF(B145="",0,IF(IFERROR(MATCH(B145,'C01_BaseCalculation'!$W$160:$W$239,0),0)&gt;0,1,0))</f>
        <v>0</v>
      </c>
      <c r="D145" s="131"/>
      <c r="E145" s="131"/>
      <c r="F145" s="131"/>
      <c r="G145" s="524"/>
      <c r="H145" s="336" t="s">
        <v>3169</v>
      </c>
      <c r="I145" s="525">
        <v>1</v>
      </c>
      <c r="J145" s="525">
        <f>IF(IFERROR(MATCH(H145,Character_Creation!$Q$170:$Q$175,0),0)&gt;0,0,1)*IF(Character_Creation!$T$168&gt;0,1,0)</f>
        <v>0</v>
      </c>
      <c r="K145">
        <f>IF(J145=0,0,1+COUNTIF(K$144:$K144,"&gt;0"))</f>
        <v>0</v>
      </c>
      <c r="L145" s="525" t="str">
        <f t="shared" ref="L145:L151" si="54">IFERROR(INDEX($H$144:$H$151,MATCH(ROW()-ROW($M$143),$K$144:$K$151,0),1),"")</f>
        <v/>
      </c>
      <c r="M145" s="238" t="s">
        <v>3169</v>
      </c>
      <c r="N145" s="525">
        <v>1</v>
      </c>
      <c r="O145" s="525">
        <f>IF(IFERROR(MATCH(M145,Character_Creation!$L$178:$L$185,0),0)&gt;0,0,1)*IF(Character_Creation!$O$176&gt;0,1,0)</f>
        <v>0</v>
      </c>
      <c r="P145">
        <f>IF(O145=0,0,1+COUNTIF($P$144:P144,"&gt;0"))</f>
        <v>0</v>
      </c>
      <c r="Q145" s="525" t="str">
        <f t="shared" ref="Q145:Q151" si="55">IFERROR(INDEX($M$144:$M$151,MATCH(ROW()-ROW($M$143),$P$144:$P$151,0),1),"")</f>
        <v/>
      </c>
      <c r="R145" s="525"/>
      <c r="S145" s="525"/>
      <c r="T145" s="525"/>
      <c r="U145" s="525"/>
      <c r="W145" s="410"/>
      <c r="X145" s="522" t="s">
        <v>3625</v>
      </c>
      <c r="Y145" s="136">
        <v>1</v>
      </c>
      <c r="Z145" s="136">
        <f t="shared" si="45"/>
        <v>0</v>
      </c>
      <c r="AA145" s="136">
        <f t="shared" si="46"/>
        <v>0</v>
      </c>
      <c r="AB145" s="136">
        <f>IF(AA145=0,0,COUNTIF(AB$142:$AB144,"&gt;0")+1)</f>
        <v>0</v>
      </c>
      <c r="AC145" s="136" t="str">
        <f t="shared" si="52"/>
        <v/>
      </c>
      <c r="AD145" s="136" t="str">
        <f t="shared" si="47"/>
        <v/>
      </c>
      <c r="AE145" s="136"/>
      <c r="AF145" s="506" t="s">
        <v>6218</v>
      </c>
      <c r="AG145" s="521">
        <f>MonkElementalDiscipline4</f>
        <v>0</v>
      </c>
      <c r="AH145" s="136">
        <f t="shared" si="48"/>
        <v>0</v>
      </c>
      <c r="AI145" s="136" t="str">
        <f t="shared" si="49"/>
        <v/>
      </c>
      <c r="AJ145" s="136">
        <f t="shared" si="50"/>
        <v>0</v>
      </c>
      <c r="AK145" s="136">
        <f>IF(AJ145=0,0,COUNTIF($AK$142:AK144,"&gt;0")+1)</f>
        <v>0</v>
      </c>
      <c r="AL145" s="136" t="str">
        <f t="shared" si="53"/>
        <v/>
      </c>
      <c r="AM145" s="151" t="str">
        <f t="shared" si="51"/>
        <v/>
      </c>
      <c r="AN145" s="410"/>
      <c r="DZ145" s="138"/>
    </row>
    <row r="146" spans="1:130" ht="16.5" x14ac:dyDescent="0.3">
      <c r="A146" s="132">
        <f>IFERROR(IF(A145+1&lt;MAX(T041_ClassFeatures!$A$2:$A$2033),A145+1,""),"")</f>
        <v>143</v>
      </c>
      <c r="B146" s="131" t="str">
        <f>IFERROR(INDEX(T041_ClassFeatures!$B$2:$B$2033,MATCH('C03_ClassVariables'!A146,T041_ClassFeatures!$A$2:$A$2033,0),1),"")</f>
        <v>Sorcerous Restoration</v>
      </c>
      <c r="C146" s="131">
        <f>IF(B146="",0,IF(IFERROR(MATCH(B146,'C01_BaseCalculation'!$W$160:$W$239,0),0)&gt;0,1,0))</f>
        <v>0</v>
      </c>
      <c r="D146" s="131"/>
      <c r="E146" s="131"/>
      <c r="F146" s="131"/>
      <c r="G146" s="524"/>
      <c r="H146" s="336" t="s">
        <v>3170</v>
      </c>
      <c r="I146" s="525">
        <v>1</v>
      </c>
      <c r="J146" s="525">
        <f>IF(IFERROR(MATCH(H146,Character_Creation!$Q$170:$Q$175,0),0)&gt;0,0,1)*IF(Character_Creation!$T$168&gt;0,1,0)</f>
        <v>0</v>
      </c>
      <c r="K146">
        <f>IF(J146=0,0,1+COUNTIF(K$144:$K145,"&gt;0"))</f>
        <v>0</v>
      </c>
      <c r="L146" s="525" t="str">
        <f t="shared" si="54"/>
        <v/>
      </c>
      <c r="M146" s="238" t="s">
        <v>3170</v>
      </c>
      <c r="N146" s="525">
        <v>1</v>
      </c>
      <c r="O146" s="525">
        <f>IF(IFERROR(MATCH(M146,Character_Creation!$L$178:$L$185,0),0)&gt;0,0,1)*IF(Character_Creation!$O$176&gt;0,1,0)</f>
        <v>0</v>
      </c>
      <c r="P146">
        <f>IF(O146=0,0,1+COUNTIF($P$144:P145,"&gt;0"))</f>
        <v>0</v>
      </c>
      <c r="Q146" s="525" t="str">
        <f t="shared" si="55"/>
        <v/>
      </c>
      <c r="R146" s="525"/>
      <c r="S146" s="525"/>
      <c r="T146" s="525"/>
      <c r="U146" s="525"/>
      <c r="W146" s="410"/>
      <c r="X146" s="522" t="s">
        <v>3626</v>
      </c>
      <c r="Y146" s="136">
        <v>1</v>
      </c>
      <c r="Z146" s="136">
        <f t="shared" si="45"/>
        <v>0</v>
      </c>
      <c r="AA146" s="136">
        <f t="shared" si="46"/>
        <v>0</v>
      </c>
      <c r="AB146" s="136">
        <f>IF(AA146=0,0,COUNTIF(AB$142:$AB145,"&gt;0")+1)</f>
        <v>0</v>
      </c>
      <c r="AC146" s="136" t="str">
        <f t="shared" si="52"/>
        <v/>
      </c>
      <c r="AD146" s="136" t="str">
        <f t="shared" si="47"/>
        <v/>
      </c>
      <c r="AE146" s="136"/>
      <c r="AF146" s="506" t="s">
        <v>6219</v>
      </c>
      <c r="AG146" s="521">
        <f>MonkElementalDiscipline5</f>
        <v>0</v>
      </c>
      <c r="AH146" s="136">
        <f t="shared" si="48"/>
        <v>0</v>
      </c>
      <c r="AI146" s="136" t="str">
        <f t="shared" si="49"/>
        <v/>
      </c>
      <c r="AJ146" s="136">
        <f t="shared" si="50"/>
        <v>0</v>
      </c>
      <c r="AK146" s="136">
        <f>IF(AJ146=0,0,COUNTIF($AK$142:AK145,"&gt;0")+1)</f>
        <v>0</v>
      </c>
      <c r="AL146" s="136" t="str">
        <f t="shared" si="53"/>
        <v/>
      </c>
      <c r="AM146" s="151" t="str">
        <f t="shared" si="51"/>
        <v/>
      </c>
      <c r="AN146" s="410"/>
      <c r="DZ146" s="138"/>
    </row>
    <row r="147" spans="1:130" ht="16.5" x14ac:dyDescent="0.3">
      <c r="A147" s="132">
        <f>IFERROR(IF(A146+1&lt;MAX(T041_ClassFeatures!$A$2:$A$2033),A146+1,""),"")</f>
        <v>144</v>
      </c>
      <c r="B147" s="131" t="str">
        <f>IFERROR(INDEX(T041_ClassFeatures!$B$2:$B$2033,MATCH('C03_ClassVariables'!A147,T041_ClassFeatures!$A$2:$A$2033,0),1),"")</f>
        <v>Spell Mastery</v>
      </c>
      <c r="C147" s="131">
        <f>IF(B147="",0,IF(IFERROR(MATCH(B147,'C01_BaseCalculation'!$W$160:$W$239,0),0)&gt;0,1,0))</f>
        <v>0</v>
      </c>
      <c r="D147" s="131"/>
      <c r="E147" s="131"/>
      <c r="F147" s="131"/>
      <c r="G147" s="524"/>
      <c r="H147" s="336" t="s">
        <v>3171</v>
      </c>
      <c r="I147" s="525">
        <v>1</v>
      </c>
      <c r="J147" s="525">
        <f>IF(IFERROR(MATCH(H147,Character_Creation!$Q$170:$Q$175,0),0)&gt;0,0,1)*IF(Character_Creation!$T$168&gt;0,1,0)</f>
        <v>0</v>
      </c>
      <c r="K147">
        <f>IF(J147=0,0,1+COUNTIF(K$144:$K146,"&gt;0"))</f>
        <v>0</v>
      </c>
      <c r="L147" s="525" t="str">
        <f t="shared" si="54"/>
        <v/>
      </c>
      <c r="M147" s="238" t="s">
        <v>3171</v>
      </c>
      <c r="N147" s="525">
        <v>1</v>
      </c>
      <c r="O147" s="525">
        <f>IF(IFERROR(MATCH(M147,Character_Creation!$L$178:$L$185,0),0)&gt;0,0,1)*IF(Character_Creation!$O$176&gt;0,1,0)</f>
        <v>0</v>
      </c>
      <c r="P147">
        <f>IF(O147=0,0,1+COUNTIF($P$144:P146,"&gt;0"))</f>
        <v>0</v>
      </c>
      <c r="Q147" s="525" t="str">
        <f t="shared" si="55"/>
        <v/>
      </c>
      <c r="R147" s="525"/>
      <c r="S147" s="525"/>
      <c r="T147" s="525"/>
      <c r="U147" s="525"/>
      <c r="W147" s="410"/>
      <c r="X147" s="522" t="s">
        <v>3627</v>
      </c>
      <c r="Y147" s="136">
        <v>1</v>
      </c>
      <c r="Z147" s="136">
        <f t="shared" si="45"/>
        <v>0</v>
      </c>
      <c r="AA147" s="136">
        <f t="shared" si="46"/>
        <v>0</v>
      </c>
      <c r="AB147" s="136">
        <f>IF(AA147=0,0,COUNTIF(AB$142:$AB146,"&gt;0")+1)</f>
        <v>0</v>
      </c>
      <c r="AC147" s="136" t="str">
        <f t="shared" si="52"/>
        <v/>
      </c>
      <c r="AD147" s="136" t="str">
        <f t="shared" si="47"/>
        <v/>
      </c>
      <c r="AE147" s="136"/>
      <c r="AF147" s="136"/>
      <c r="AG147" s="136"/>
      <c r="AH147" s="136">
        <f t="shared" si="48"/>
        <v>0</v>
      </c>
      <c r="AI147" s="136" t="str">
        <f t="shared" si="49"/>
        <v/>
      </c>
      <c r="AJ147" s="136">
        <f t="shared" si="50"/>
        <v>0</v>
      </c>
      <c r="AK147" s="136">
        <f>IF(AJ147=0,0,COUNTIF($AK$142:AK146,"&gt;0")+1)</f>
        <v>0</v>
      </c>
      <c r="AL147" s="136" t="str">
        <f t="shared" si="53"/>
        <v/>
      </c>
      <c r="AM147" s="151" t="str">
        <f t="shared" si="51"/>
        <v/>
      </c>
      <c r="AN147" s="410"/>
      <c r="DZ147" s="138"/>
    </row>
    <row r="148" spans="1:130" ht="16.5" x14ac:dyDescent="0.3">
      <c r="A148" s="132">
        <f>IFERROR(IF(A147+1&lt;MAX(T041_ClassFeatures!$A$2:$A$2033),A147+1,""),"")</f>
        <v>145</v>
      </c>
      <c r="B148" s="131" t="str">
        <f>IFERROR(INDEX(T041_ClassFeatures!$B$2:$B$2033,MATCH('C03_ClassVariables'!A148,T041_ClassFeatures!$A$2:$A$2033,0),1),"")</f>
        <v>Spellcasting</v>
      </c>
      <c r="C148" s="131">
        <f>IF(B148="",0,IF(IFERROR(MATCH(B148,'C01_BaseCalculation'!$W$160:$W$239,0),0)&gt;0,1,0))</f>
        <v>0</v>
      </c>
      <c r="D148" s="131"/>
      <c r="E148" s="131"/>
      <c r="F148" s="131"/>
      <c r="G148" s="524"/>
      <c r="H148" s="336" t="s">
        <v>3172</v>
      </c>
      <c r="I148" s="525">
        <v>1</v>
      </c>
      <c r="J148" s="525">
        <f>IF(IFERROR(MATCH(H148,Character_Creation!$Q$170:$Q$175,0),0)&gt;0,0,1)*IF(Character_Creation!$T$168&gt;0,1,0)</f>
        <v>0</v>
      </c>
      <c r="K148">
        <f>IF(J148=0,0,1+COUNTIF(K$144:$K147,"&gt;0"))</f>
        <v>0</v>
      </c>
      <c r="L148" s="525" t="str">
        <f t="shared" si="54"/>
        <v/>
      </c>
      <c r="M148" s="238" t="s">
        <v>3172</v>
      </c>
      <c r="N148" s="525">
        <v>1</v>
      </c>
      <c r="O148" s="525">
        <f>IF(IFERROR(MATCH(M148,Character_Creation!$L$178:$L$185,0),0)&gt;0,0,1)*IF(Character_Creation!$O$176&gt;0,1,0)</f>
        <v>0</v>
      </c>
      <c r="P148">
        <f>IF(O148=0,0,1+COUNTIF($P$144:P147,"&gt;0"))</f>
        <v>0</v>
      </c>
      <c r="Q148" s="525" t="str">
        <f t="shared" si="55"/>
        <v/>
      </c>
      <c r="R148" s="525"/>
      <c r="S148" s="525"/>
      <c r="T148" s="525"/>
      <c r="U148" s="525"/>
      <c r="W148" s="410"/>
      <c r="X148" s="522" t="s">
        <v>3628</v>
      </c>
      <c r="Y148" s="136">
        <v>11</v>
      </c>
      <c r="Z148" s="136">
        <f t="shared" si="45"/>
        <v>0</v>
      </c>
      <c r="AA148" s="136">
        <f t="shared" si="46"/>
        <v>0</v>
      </c>
      <c r="AB148" s="136">
        <f>IF(AA148=0,0,COUNTIF(AB$142:$AB147,"&gt;0")+1)</f>
        <v>0</v>
      </c>
      <c r="AC148" s="136" t="str">
        <f t="shared" si="52"/>
        <v/>
      </c>
      <c r="AD148" s="136" t="str">
        <f t="shared" si="47"/>
        <v/>
      </c>
      <c r="AE148" s="136"/>
      <c r="AF148" s="136"/>
      <c r="AG148" s="136"/>
      <c r="AH148" s="136">
        <f t="shared" si="48"/>
        <v>0</v>
      </c>
      <c r="AI148" s="136" t="str">
        <f t="shared" si="49"/>
        <v/>
      </c>
      <c r="AJ148" s="136">
        <f t="shared" si="50"/>
        <v>0</v>
      </c>
      <c r="AK148" s="136">
        <f>IF(AJ148=0,0,COUNTIF($AK$142:AK147,"&gt;0")+1)</f>
        <v>0</v>
      </c>
      <c r="AL148" s="136" t="str">
        <f t="shared" si="53"/>
        <v/>
      </c>
      <c r="AM148" s="151" t="str">
        <f t="shared" si="51"/>
        <v/>
      </c>
      <c r="AN148" s="410"/>
      <c r="DZ148" s="138"/>
    </row>
    <row r="149" spans="1:130" ht="16.5" x14ac:dyDescent="0.3">
      <c r="A149" s="132">
        <f>IFERROR(IF(A148+1&lt;MAX(T041_ClassFeatures!$A$2:$A$2033),A148+1,""),"")</f>
        <v>146</v>
      </c>
      <c r="B149" s="131" t="str">
        <f>IFERROR(INDEX(T041_ClassFeatures!$B$2:$B$2033,MATCH('C03_ClassVariables'!A149,T041_ClassFeatures!$A$2:$A$2033,0),1),"")</f>
        <v>Stillness of Mind</v>
      </c>
      <c r="C149" s="131">
        <f>IF(B149="",0,IF(IFERROR(MATCH(B149,'C01_BaseCalculation'!$W$160:$W$239,0),0)&gt;0,1,0))</f>
        <v>0</v>
      </c>
      <c r="D149" s="131"/>
      <c r="E149" s="131"/>
      <c r="F149" s="131"/>
      <c r="G149" s="524"/>
      <c r="H149" s="336" t="s">
        <v>3173</v>
      </c>
      <c r="I149" s="525">
        <v>1</v>
      </c>
      <c r="J149" s="525">
        <f>IF(IFERROR(MATCH(H149,Character_Creation!$Q$170:$Q$175,0),0)&gt;0,0,1)*IF(Character_Creation!$T$168&gt;0,1,0)</f>
        <v>0</v>
      </c>
      <c r="K149">
        <f>IF(J149=0,0,1+COUNTIF(K$144:$K148,"&gt;0"))</f>
        <v>0</v>
      </c>
      <c r="L149" s="525" t="str">
        <f t="shared" si="54"/>
        <v/>
      </c>
      <c r="M149" s="238" t="s">
        <v>3173</v>
      </c>
      <c r="N149" s="525">
        <v>1</v>
      </c>
      <c r="O149" s="525">
        <f>IF(IFERROR(MATCH(M149,Character_Creation!$L$178:$L$185,0),0)&gt;0,0,1)*IF(Character_Creation!$O$176&gt;0,1,0)</f>
        <v>0</v>
      </c>
      <c r="P149">
        <f>IF(O149=0,0,1+COUNTIF($P$144:P148,"&gt;0"))</f>
        <v>0</v>
      </c>
      <c r="Q149" s="525" t="str">
        <f t="shared" si="55"/>
        <v/>
      </c>
      <c r="R149" s="525"/>
      <c r="S149" s="525"/>
      <c r="T149" s="525"/>
      <c r="U149" s="525"/>
      <c r="W149" s="410"/>
      <c r="X149" s="522" t="s">
        <v>3629</v>
      </c>
      <c r="Y149" s="136">
        <v>6</v>
      </c>
      <c r="Z149" s="136">
        <f t="shared" si="45"/>
        <v>0</v>
      </c>
      <c r="AA149" s="136">
        <f t="shared" si="46"/>
        <v>0</v>
      </c>
      <c r="AB149" s="136">
        <f>IF(AA149=0,0,COUNTIF(AB$142:$AB148,"&gt;0")+1)</f>
        <v>0</v>
      </c>
      <c r="AC149" s="136" t="str">
        <f t="shared" si="52"/>
        <v/>
      </c>
      <c r="AD149" s="136" t="str">
        <f t="shared" si="47"/>
        <v/>
      </c>
      <c r="AE149" s="136"/>
      <c r="AF149" s="136"/>
      <c r="AG149" s="136"/>
      <c r="AH149" s="136">
        <f t="shared" si="48"/>
        <v>0</v>
      </c>
      <c r="AI149" s="136" t="str">
        <f t="shared" si="49"/>
        <v/>
      </c>
      <c r="AJ149" s="136">
        <f t="shared" si="50"/>
        <v>0</v>
      </c>
      <c r="AK149" s="136">
        <f>IF(AJ149=0,0,COUNTIF($AK$142:AK148,"&gt;0")+1)</f>
        <v>0</v>
      </c>
      <c r="AL149" s="136" t="str">
        <f t="shared" si="53"/>
        <v/>
      </c>
      <c r="AM149" s="151" t="str">
        <f t="shared" si="51"/>
        <v/>
      </c>
      <c r="AN149" s="410"/>
      <c r="DZ149" s="138"/>
    </row>
    <row r="150" spans="1:130" ht="16.5" x14ac:dyDescent="0.3">
      <c r="A150" s="132">
        <f>IFERROR(IF(A149+1&lt;MAX(T041_ClassFeatures!$A$2:$A$2033),A149+1,""),"")</f>
        <v>147</v>
      </c>
      <c r="B150" s="131" t="str">
        <f>IFERROR(INDEX(T041_ClassFeatures!$B$2:$B$2033,MATCH('C03_ClassVariables'!A150,T041_ClassFeatures!$A$2:$A$2033,0),1),"")</f>
        <v>Stroke of Luck</v>
      </c>
      <c r="C150" s="131">
        <f>IF(B150="",0,IF(IFERROR(MATCH(B150,'C01_BaseCalculation'!$W$160:$W$239,0),0)&gt;0,1,0))</f>
        <v>0</v>
      </c>
      <c r="D150" s="131"/>
      <c r="E150" s="131"/>
      <c r="F150" s="131"/>
      <c r="G150" s="524"/>
      <c r="H150" s="336" t="s">
        <v>3174</v>
      </c>
      <c r="I150" s="525">
        <v>1</v>
      </c>
      <c r="J150" s="525">
        <f>IF(IFERROR(MATCH(H150,Character_Creation!$Q$170:$Q$175,0),0)&gt;0,0,1)*IF(Character_Creation!$T$168&gt;0,1,0)</f>
        <v>0</v>
      </c>
      <c r="K150">
        <f>IF(J150=0,0,1+COUNTIF(K$144:$K149,"&gt;0"))</f>
        <v>0</v>
      </c>
      <c r="L150" s="525" t="str">
        <f t="shared" si="54"/>
        <v/>
      </c>
      <c r="M150" s="238" t="s">
        <v>3174</v>
      </c>
      <c r="N150" s="525">
        <v>1</v>
      </c>
      <c r="O150" s="525">
        <f>IF(IFERROR(MATCH(M150,Character_Creation!$L$178:$L$185,0),0)&gt;0,0,1)*IF(Character_Creation!$O$176&gt;0,1,0)</f>
        <v>0</v>
      </c>
      <c r="P150">
        <f>IF(O150=0,0,1+COUNTIF($P$144:P149,"&gt;0"))</f>
        <v>0</v>
      </c>
      <c r="Q150" s="525" t="str">
        <f t="shared" si="55"/>
        <v/>
      </c>
      <c r="R150" s="525"/>
      <c r="S150" s="525"/>
      <c r="T150" s="525"/>
      <c r="U150" s="525"/>
      <c r="W150" s="410"/>
      <c r="X150" s="522" t="s">
        <v>3630</v>
      </c>
      <c r="Y150" s="136">
        <v>11</v>
      </c>
      <c r="Z150" s="136">
        <f t="shared" si="45"/>
        <v>0</v>
      </c>
      <c r="AA150" s="136">
        <f t="shared" si="46"/>
        <v>0</v>
      </c>
      <c r="AB150" s="136">
        <f>IF(AA150=0,0,COUNTIF(AB$142:$AB149,"&gt;0")+1)</f>
        <v>0</v>
      </c>
      <c r="AC150" s="136" t="str">
        <f t="shared" si="52"/>
        <v/>
      </c>
      <c r="AD150" s="136" t="str">
        <f t="shared" si="47"/>
        <v/>
      </c>
      <c r="AE150" s="136"/>
      <c r="AF150" s="136"/>
      <c r="AG150" s="136"/>
      <c r="AH150" s="136">
        <f t="shared" si="48"/>
        <v>0</v>
      </c>
      <c r="AI150" s="136" t="str">
        <f t="shared" si="49"/>
        <v/>
      </c>
      <c r="AJ150" s="136">
        <f t="shared" si="50"/>
        <v>0</v>
      </c>
      <c r="AK150" s="136">
        <f>IF(AJ150=0,0,COUNTIF($AK$142:AK149,"&gt;0")+1)</f>
        <v>0</v>
      </c>
      <c r="AL150" s="136" t="str">
        <f t="shared" si="53"/>
        <v/>
      </c>
      <c r="AM150" s="151" t="str">
        <f t="shared" si="51"/>
        <v/>
      </c>
      <c r="AN150" s="410"/>
      <c r="DZ150" s="138"/>
    </row>
    <row r="151" spans="1:130" ht="16.5" x14ac:dyDescent="0.3">
      <c r="A151" s="132">
        <f>IFERROR(IF(A150+1&lt;MAX(T041_ClassFeatures!$A$2:$A$2033),A150+1,""),"")</f>
        <v>148</v>
      </c>
      <c r="B151" s="131" t="str">
        <f>IFERROR(INDEX(T041_ClassFeatures!$B$2:$B$2033,MATCH('C03_ClassVariables'!A151,T041_ClassFeatures!$A$2:$A$2033,0),1),"")</f>
        <v>Stunning Strike</v>
      </c>
      <c r="C151" s="131">
        <f>IF(B151="",0,IF(IFERROR(MATCH(B151,'C01_BaseCalculation'!$W$160:$W$239,0),0)&gt;0,1,0))</f>
        <v>0</v>
      </c>
      <c r="D151" s="131"/>
      <c r="E151" s="131"/>
      <c r="F151" s="131"/>
      <c r="G151" s="524"/>
      <c r="H151" s="336" t="s">
        <v>3175</v>
      </c>
      <c r="I151" s="525">
        <v>1</v>
      </c>
      <c r="J151" s="525">
        <f>IF(IFERROR(MATCH(H151,Character_Creation!$Q$170:$Q$175,0),0)&gt;0,0,1)*IF(Character_Creation!$T$168&gt;0,1,0)</f>
        <v>0</v>
      </c>
      <c r="K151">
        <f>IF(J151=0,0,1+COUNTIF(K$144:$K150,"&gt;0"))</f>
        <v>0</v>
      </c>
      <c r="L151" s="525" t="str">
        <f t="shared" si="54"/>
        <v/>
      </c>
      <c r="M151" s="238" t="s">
        <v>3175</v>
      </c>
      <c r="N151" s="525">
        <v>1</v>
      </c>
      <c r="O151" s="525">
        <f>IF(IFERROR(MATCH(M151,Character_Creation!$L$178:$L$185,0),0)&gt;0,0,1)*IF(Character_Creation!$O$176&gt;0,1,0)</f>
        <v>0</v>
      </c>
      <c r="P151">
        <f>IF(O151=0,0,1+COUNTIF($P$144:P150,"&gt;0"))</f>
        <v>0</v>
      </c>
      <c r="Q151" s="525" t="str">
        <f t="shared" si="55"/>
        <v/>
      </c>
      <c r="R151" s="525"/>
      <c r="S151" s="525"/>
      <c r="T151" s="525"/>
      <c r="U151" s="525"/>
      <c r="W151" s="410"/>
      <c r="X151" s="522" t="s">
        <v>3631</v>
      </c>
      <c r="Y151" s="136">
        <v>11</v>
      </c>
      <c r="Z151" s="136">
        <f t="shared" si="45"/>
        <v>0</v>
      </c>
      <c r="AA151" s="136">
        <f t="shared" si="46"/>
        <v>0</v>
      </c>
      <c r="AB151" s="136">
        <f>IF(AA151=0,0,COUNTIF(AB$142:$AB150,"&gt;0")+1)</f>
        <v>0</v>
      </c>
      <c r="AC151" s="136" t="str">
        <f t="shared" si="52"/>
        <v/>
      </c>
      <c r="AD151" s="136" t="str">
        <f t="shared" si="47"/>
        <v/>
      </c>
      <c r="AE151" s="136"/>
      <c r="AF151" s="136"/>
      <c r="AG151" s="136"/>
      <c r="AH151" s="136">
        <f t="shared" si="48"/>
        <v>0</v>
      </c>
      <c r="AI151" s="136" t="str">
        <f t="shared" si="49"/>
        <v/>
      </c>
      <c r="AJ151" s="136">
        <f t="shared" si="50"/>
        <v>0</v>
      </c>
      <c r="AK151" s="136">
        <f>IF(AJ151=0,0,COUNTIF($AK$142:AK150,"&gt;0")+1)</f>
        <v>0</v>
      </c>
      <c r="AL151" s="136" t="str">
        <f t="shared" si="53"/>
        <v/>
      </c>
      <c r="AM151" s="151" t="str">
        <f t="shared" si="51"/>
        <v/>
      </c>
      <c r="AN151" s="410"/>
      <c r="DZ151" s="138"/>
    </row>
    <row r="152" spans="1:130" ht="16.5" x14ac:dyDescent="0.3">
      <c r="A152" s="132">
        <f>IFERROR(IF(A151+1&lt;MAX(T041_ClassFeatures!$A$2:$A$2033),A151+1,""),"")</f>
        <v>149</v>
      </c>
      <c r="B152" s="131" t="str">
        <f>IFERROR(INDEX(T041_ClassFeatures!$B$2:$B$2033,MATCH('C03_ClassVariables'!A152,T041_ClassFeatures!$A$2:$A$2033,0),1),"")</f>
        <v>Superior Inspiration</v>
      </c>
      <c r="C152" s="131">
        <f>IF(B152="",0,IF(IFERROR(MATCH(B152,'C01_BaseCalculation'!$W$160:$W$239,0),0)&gt;0,1,0))</f>
        <v>0</v>
      </c>
      <c r="D152" s="131"/>
      <c r="E152" s="131"/>
      <c r="F152" s="131"/>
      <c r="G152" s="524"/>
      <c r="H152" s="524"/>
      <c r="I152" s="525"/>
      <c r="J152" s="525"/>
      <c r="K152" s="525"/>
      <c r="L152" s="525"/>
      <c r="M152" s="525"/>
      <c r="N152" s="525"/>
      <c r="O152" s="525"/>
      <c r="P152" s="525"/>
      <c r="Q152" s="525"/>
      <c r="R152" s="525"/>
      <c r="S152" s="525"/>
      <c r="T152" s="525"/>
      <c r="U152" s="525"/>
      <c r="W152" s="410"/>
      <c r="X152" s="522" t="s">
        <v>3632</v>
      </c>
      <c r="Y152" s="136">
        <v>17</v>
      </c>
      <c r="Z152" s="136">
        <f t="shared" si="45"/>
        <v>0</v>
      </c>
      <c r="AA152" s="136">
        <f t="shared" si="46"/>
        <v>0</v>
      </c>
      <c r="AB152" s="136">
        <f>IF(AA152=0,0,COUNTIF(AB$142:$AB151,"&gt;0")+1)</f>
        <v>0</v>
      </c>
      <c r="AC152" s="136" t="str">
        <f t="shared" si="52"/>
        <v/>
      </c>
      <c r="AD152" s="136" t="str">
        <f t="shared" si="47"/>
        <v/>
      </c>
      <c r="AE152" s="136"/>
      <c r="AF152" s="136"/>
      <c r="AG152" s="136"/>
      <c r="AH152" s="136">
        <f t="shared" si="48"/>
        <v>0</v>
      </c>
      <c r="AI152" s="136" t="str">
        <f t="shared" si="49"/>
        <v/>
      </c>
      <c r="AJ152" s="136">
        <f t="shared" si="50"/>
        <v>0</v>
      </c>
      <c r="AK152" s="136">
        <f>IF(AJ152=0,0,COUNTIF($AK$142:AK151,"&gt;0")+1)</f>
        <v>0</v>
      </c>
      <c r="AL152" s="136" t="str">
        <f t="shared" si="53"/>
        <v/>
      </c>
      <c r="AM152" s="151" t="str">
        <f t="shared" si="51"/>
        <v/>
      </c>
      <c r="AN152" s="410"/>
      <c r="DZ152" s="138"/>
    </row>
    <row r="153" spans="1:130" ht="16.5" x14ac:dyDescent="0.3">
      <c r="A153" s="132">
        <f>IFERROR(IF(A152+1&lt;MAX(T041_ClassFeatures!$A$2:$A$2033),A152+1,""),"")</f>
        <v>150</v>
      </c>
      <c r="B153" s="131" t="str">
        <f>IFERROR(INDEX(T041_ClassFeatures!$B$2:$B$2033,MATCH('C03_ClassVariables'!A153,T041_ClassFeatures!$A$2:$A$2033,0),1),"")</f>
        <v>Thieves' Cant</v>
      </c>
      <c r="C153" s="131">
        <f>IF(B153="",0,IF(IFERROR(MATCH(B153,'C01_BaseCalculation'!$W$160:$W$239,0),0)&gt;0,1,0))</f>
        <v>0</v>
      </c>
      <c r="D153" s="131"/>
      <c r="E153" s="131"/>
      <c r="F153" s="131"/>
      <c r="G153" s="524"/>
      <c r="H153" s="131"/>
      <c r="I153" s="131"/>
      <c r="J153" s="131"/>
      <c r="W153" s="410"/>
      <c r="X153" s="522" t="s">
        <v>3633</v>
      </c>
      <c r="Y153" s="136">
        <v>1</v>
      </c>
      <c r="Z153" s="136">
        <f t="shared" si="45"/>
        <v>0</v>
      </c>
      <c r="AA153" s="136">
        <f t="shared" si="46"/>
        <v>0</v>
      </c>
      <c r="AB153" s="136">
        <f>IF(AA153=0,0,COUNTIF(AB$142:$AB152,"&gt;0")+1)</f>
        <v>0</v>
      </c>
      <c r="AC153" s="136" t="str">
        <f t="shared" si="52"/>
        <v/>
      </c>
      <c r="AD153" s="136" t="str">
        <f t="shared" si="47"/>
        <v/>
      </c>
      <c r="AE153" s="136"/>
      <c r="AF153" s="136"/>
      <c r="AG153" s="136"/>
      <c r="AH153" s="136">
        <f t="shared" si="48"/>
        <v>0</v>
      </c>
      <c r="AI153" s="136" t="str">
        <f t="shared" si="49"/>
        <v/>
      </c>
      <c r="AJ153" s="136">
        <f t="shared" si="50"/>
        <v>0</v>
      </c>
      <c r="AK153" s="136">
        <f>IF(AJ153=0,0,COUNTIF($AK$142:AK152,"&gt;0")+1)</f>
        <v>0</v>
      </c>
      <c r="AL153" s="136" t="str">
        <f t="shared" si="53"/>
        <v/>
      </c>
      <c r="AM153" s="151" t="str">
        <f t="shared" si="51"/>
        <v/>
      </c>
      <c r="AN153" s="410"/>
      <c r="DZ153" s="138"/>
    </row>
    <row r="154" spans="1:130" ht="16.5" x14ac:dyDescent="0.3">
      <c r="A154" s="132">
        <f>IFERROR(IF(A153+1&lt;MAX(T041_ClassFeatures!$A$2:$A$2033),A153+1,""),"")</f>
        <v>151</v>
      </c>
      <c r="B154" s="131" t="str">
        <f>IFERROR(INDEX(T041_ClassFeatures!$B$2:$B$2033,MATCH('C03_ClassVariables'!A154,T041_ClassFeatures!$A$2:$A$2033,0),1),"")</f>
        <v>Timeless Body (monk)</v>
      </c>
      <c r="C154" s="131">
        <f>IF(B154="",0,IF(IFERROR(MATCH(B154,'C01_BaseCalculation'!$W$160:$W$239,0),0)&gt;0,1,0))</f>
        <v>0</v>
      </c>
      <c r="D154" s="131"/>
      <c r="E154" s="131"/>
      <c r="F154" s="131"/>
      <c r="G154" s="131"/>
      <c r="H154" s="131" t="s">
        <v>2273</v>
      </c>
      <c r="I154" s="131"/>
      <c r="J154" s="131"/>
      <c r="W154" s="410"/>
      <c r="X154" s="522" t="s">
        <v>3634</v>
      </c>
      <c r="Y154" s="136">
        <v>1</v>
      </c>
      <c r="Z154" s="136">
        <f t="shared" si="45"/>
        <v>0</v>
      </c>
      <c r="AA154" s="136">
        <f t="shared" si="46"/>
        <v>0</v>
      </c>
      <c r="AB154" s="136">
        <f>IF(AA154=0,0,COUNTIF(AB$142:$AB153,"&gt;0")+1)</f>
        <v>0</v>
      </c>
      <c r="AC154" s="136" t="str">
        <f t="shared" si="52"/>
        <v/>
      </c>
      <c r="AD154" s="136" t="str">
        <f t="shared" si="47"/>
        <v/>
      </c>
      <c r="AE154" s="136"/>
      <c r="AF154" s="136"/>
      <c r="AG154" s="136"/>
      <c r="AH154" s="136">
        <f t="shared" si="48"/>
        <v>0</v>
      </c>
      <c r="AI154" s="136" t="str">
        <f t="shared" si="49"/>
        <v/>
      </c>
      <c r="AJ154" s="136">
        <f t="shared" si="50"/>
        <v>0</v>
      </c>
      <c r="AK154" s="136">
        <f>IF(AJ154=0,0,COUNTIF($AK$142:AK153,"&gt;0")+1)</f>
        <v>0</v>
      </c>
      <c r="AL154" s="136" t="str">
        <f t="shared" si="53"/>
        <v/>
      </c>
      <c r="AM154" s="151" t="str">
        <f t="shared" si="51"/>
        <v/>
      </c>
      <c r="AN154" s="410"/>
      <c r="DZ154" s="138"/>
    </row>
    <row r="155" spans="1:130" ht="17.25" thickBot="1" x14ac:dyDescent="0.35">
      <c r="A155" s="132">
        <f>IFERROR(IF(A154+1&lt;MAX(T041_ClassFeatures!$A$2:$A$2033),A154+1,""),"")</f>
        <v>152</v>
      </c>
      <c r="B155" s="131" t="str">
        <f>IFERROR(INDEX(T041_ClassFeatures!$B$2:$B$2033,MATCH('C03_ClassVariables'!A155,T041_ClassFeatures!$A$2:$A$2033,0),1),"")</f>
        <v>Timeless Body (druid)</v>
      </c>
      <c r="C155" s="131">
        <f>IF(B155="",0,IF(IFERROR(MATCH(B155,'C01_BaseCalculation'!$W$160:$W$239,0),0)&gt;0,1,0))</f>
        <v>0</v>
      </c>
      <c r="D155" s="131"/>
      <c r="E155" s="131"/>
      <c r="F155" s="131"/>
      <c r="G155" s="131"/>
      <c r="H155" s="131"/>
      <c r="I155" s="131"/>
      <c r="J155" s="131"/>
      <c r="W155" s="410"/>
      <c r="X155" s="522" t="s">
        <v>3635</v>
      </c>
      <c r="Y155" s="136">
        <v>1</v>
      </c>
      <c r="Z155" s="136">
        <f t="shared" si="45"/>
        <v>0</v>
      </c>
      <c r="AA155" s="136">
        <f t="shared" si="46"/>
        <v>0</v>
      </c>
      <c r="AB155" s="136">
        <f>IF(AA155=0,0,COUNTIF(AB$142:$AB154,"&gt;0")+1)</f>
        <v>0</v>
      </c>
      <c r="AC155" s="136" t="str">
        <f t="shared" si="52"/>
        <v/>
      </c>
      <c r="AD155" s="136" t="str">
        <f t="shared" si="47"/>
        <v/>
      </c>
      <c r="AE155" s="136"/>
      <c r="AF155" s="136"/>
      <c r="AG155" s="136"/>
      <c r="AH155" s="136">
        <f t="shared" si="48"/>
        <v>0</v>
      </c>
      <c r="AI155" s="136" t="str">
        <f t="shared" si="49"/>
        <v/>
      </c>
      <c r="AJ155" s="136">
        <f t="shared" si="50"/>
        <v>0</v>
      </c>
      <c r="AK155" s="136">
        <f>IF(AJ155=0,0,COUNTIF($AK$142:AK154,"&gt;0")+1)</f>
        <v>0</v>
      </c>
      <c r="AL155" s="136" t="str">
        <f t="shared" si="53"/>
        <v/>
      </c>
      <c r="AM155" s="151" t="str">
        <f t="shared" si="51"/>
        <v/>
      </c>
      <c r="AN155" s="410"/>
      <c r="DZ155" s="138"/>
    </row>
    <row r="156" spans="1:130" ht="16.5" x14ac:dyDescent="0.3">
      <c r="A156" s="132">
        <f>IFERROR(IF(A155+1&lt;MAX(T041_ClassFeatures!$A$2:$A$2033),A155+1,""),"")</f>
        <v>153</v>
      </c>
      <c r="B156" s="131" t="str">
        <f>IFERROR(INDEX(T041_ClassFeatures!$B$2:$B$2033,MATCH('C03_ClassVariables'!A156,T041_ClassFeatures!$A$2:$A$2033,0),1),"")</f>
        <v>Tongue of the Sun and Moon</v>
      </c>
      <c r="C156" s="131">
        <f>IF(B156="",0,IF(IFERROR(MATCH(B156,'C01_BaseCalculation'!$W$160:$W$239,0),0)&gt;0,1,0))</f>
        <v>0</v>
      </c>
      <c r="D156" s="131"/>
      <c r="E156" s="131"/>
      <c r="F156" s="131"/>
      <c r="G156" s="131"/>
      <c r="H156" s="147" t="s">
        <v>6422</v>
      </c>
      <c r="I156" s="373">
        <v>1</v>
      </c>
      <c r="J156" s="525">
        <f>IF(IFERROR(MATCH(H156,Character_Creation!$Q$188:$Q$193,0),0)&gt;0,0,1)*IF(Character_Creation!$T$186&gt;0,1,0)</f>
        <v>0</v>
      </c>
      <c r="K156">
        <f>IF(J156=0,0,1)</f>
        <v>0</v>
      </c>
      <c r="L156" s="525" t="str">
        <f>IFERROR(INDEX($H$156:$H$168,MATCH(ROW()-ROW($M$155),$K$156:$K$168,0),1),"")</f>
        <v/>
      </c>
      <c r="W156" s="410"/>
      <c r="X156" s="522" t="s">
        <v>3636</v>
      </c>
      <c r="Y156" s="136">
        <v>1</v>
      </c>
      <c r="Z156" s="136">
        <f t="shared" si="45"/>
        <v>0</v>
      </c>
      <c r="AA156" s="136">
        <f t="shared" si="46"/>
        <v>0</v>
      </c>
      <c r="AB156" s="136">
        <f>IF(AA156=0,0,COUNTIF(AB$142:$AB155,"&gt;0")+1)</f>
        <v>0</v>
      </c>
      <c r="AC156" s="136" t="str">
        <f t="shared" si="52"/>
        <v/>
      </c>
      <c r="AD156" s="136" t="str">
        <f t="shared" si="47"/>
        <v/>
      </c>
      <c r="AE156" s="136"/>
      <c r="AF156" s="136"/>
      <c r="AG156" s="136"/>
      <c r="AH156" s="136">
        <f t="shared" si="48"/>
        <v>0</v>
      </c>
      <c r="AI156" s="136" t="str">
        <f t="shared" si="49"/>
        <v/>
      </c>
      <c r="AJ156" s="136">
        <f t="shared" si="50"/>
        <v>0</v>
      </c>
      <c r="AK156" s="136">
        <f>IF(AJ156=0,0,COUNTIF($AK$142:AK155,"&gt;0")+1)</f>
        <v>0</v>
      </c>
      <c r="AL156" s="136" t="str">
        <f t="shared" si="53"/>
        <v/>
      </c>
      <c r="AM156" s="151" t="str">
        <f t="shared" si="51"/>
        <v/>
      </c>
      <c r="AN156" s="410"/>
      <c r="DZ156" s="138"/>
    </row>
    <row r="157" spans="1:130" ht="17.25" thickBot="1" x14ac:dyDescent="0.35">
      <c r="A157" s="132">
        <f>IFERROR(IF(A156+1&lt;MAX(T041_ClassFeatures!$A$2:$A$2033),A156+1,""),"")</f>
        <v>154</v>
      </c>
      <c r="B157" s="131" t="str">
        <f>IFERROR(INDEX(T041_ClassFeatures!$B$2:$B$2033,MATCH('C03_ClassVariables'!A157,T041_ClassFeatures!$A$2:$A$2033,0),1),"")</f>
        <v>Unarmored Defense (con)</v>
      </c>
      <c r="C157" s="131">
        <f>IF(B157="",0,IF(IFERROR(MATCH(B157,'C01_BaseCalculation'!$W$160:$W$239,0),0)&gt;0,1,0))</f>
        <v>0</v>
      </c>
      <c r="D157" s="131"/>
      <c r="E157" s="131"/>
      <c r="F157" s="131"/>
      <c r="G157" s="131"/>
      <c r="H157" s="150" t="s">
        <v>6423</v>
      </c>
      <c r="I157" s="374">
        <v>1</v>
      </c>
      <c r="J157" s="525">
        <f>IF(IFERROR(MATCH(H157,Character_Creation!$Q$188:$Q$193,0),0)&gt;0,0,1)*IF(Character_Creation!$T$186&gt;0,1,0)</f>
        <v>0</v>
      </c>
      <c r="K157">
        <f>IF(J157=0,0,1+COUNTIF(K$156:$K156,"&gt;0"))</f>
        <v>0</v>
      </c>
      <c r="L157" s="525" t="str">
        <f t="shared" ref="L157:L168" si="56">IFERROR(INDEX($H$156:$H$168,MATCH(ROW()-ROW($M$155),$K$156:$K$168,0),1),"")</f>
        <v/>
      </c>
      <c r="W157" s="410"/>
      <c r="X157" s="523" t="s">
        <v>3637</v>
      </c>
      <c r="Y157" s="153">
        <v>17</v>
      </c>
      <c r="Z157" s="153">
        <f t="shared" si="45"/>
        <v>0</v>
      </c>
      <c r="AA157" s="153">
        <f t="shared" si="46"/>
        <v>0</v>
      </c>
      <c r="AB157" s="153">
        <f>IF(AA157=0,0,COUNTIF(AB$142:$AB156,"&gt;0")+1)</f>
        <v>0</v>
      </c>
      <c r="AC157" s="153" t="str">
        <f t="shared" si="52"/>
        <v/>
      </c>
      <c r="AD157" s="153" t="str">
        <f t="shared" si="47"/>
        <v/>
      </c>
      <c r="AE157" s="153"/>
      <c r="AF157" s="153"/>
      <c r="AG157" s="153"/>
      <c r="AH157" s="153">
        <f t="shared" si="48"/>
        <v>0</v>
      </c>
      <c r="AI157" s="153" t="str">
        <f t="shared" si="49"/>
        <v/>
      </c>
      <c r="AJ157" s="153">
        <f t="shared" si="50"/>
        <v>0</v>
      </c>
      <c r="AK157" s="153">
        <f>IF(AJ157=0,0,COUNTIF($AK$142:AK156,"&gt;0")+1)</f>
        <v>0</v>
      </c>
      <c r="AL157" s="153" t="str">
        <f t="shared" si="53"/>
        <v/>
      </c>
      <c r="AM157" s="154" t="str">
        <f t="shared" si="51"/>
        <v/>
      </c>
      <c r="AN157" s="410"/>
      <c r="DZ157" s="138"/>
    </row>
    <row r="158" spans="1:130" ht="16.5" x14ac:dyDescent="0.3">
      <c r="A158" s="132">
        <f>IFERROR(IF(A157+1&lt;MAX(T041_ClassFeatures!$A$2:$A$2033),A157+1,""),"")</f>
        <v>155</v>
      </c>
      <c r="B158" s="131" t="str">
        <f>IFERROR(INDEX(T041_ClassFeatures!$B$2:$B$2033,MATCH('C03_ClassVariables'!A158,T041_ClassFeatures!$A$2:$A$2033,0),1),"")</f>
        <v>Unarmored Movement</v>
      </c>
      <c r="C158" s="131">
        <f>IF(B158="",0,IF(IFERROR(MATCH(B158,'C01_BaseCalculation'!$W$160:$W$239,0),0)&gt;0,1,0))</f>
        <v>0</v>
      </c>
      <c r="D158" s="131"/>
      <c r="E158" s="131"/>
      <c r="F158" s="131"/>
      <c r="G158" s="131"/>
      <c r="H158" s="150" t="s">
        <v>6424</v>
      </c>
      <c r="I158" s="374">
        <v>1</v>
      </c>
      <c r="J158" s="525">
        <f>IF(IFERROR(MATCH(H158,Character_Creation!$Q$188:$Q$193,0),0)&gt;0,0,1)*IF(Character_Creation!$T$186&gt;0,1,0)</f>
        <v>0</v>
      </c>
      <c r="K158">
        <f>IF(J158=0,0,1+COUNTIF(K$156:$K157,"&gt;0"))</f>
        <v>0</v>
      </c>
      <c r="L158" s="525" t="str">
        <f t="shared" si="56"/>
        <v/>
      </c>
      <c r="W158" s="410"/>
      <c r="X158" s="410"/>
      <c r="Y158" s="410"/>
      <c r="Z158" s="410"/>
      <c r="AA158" s="410"/>
      <c r="AB158" s="410"/>
      <c r="AC158" s="410"/>
      <c r="AD158" s="410"/>
      <c r="AE158" s="410"/>
      <c r="AF158" s="410"/>
      <c r="AG158" s="410"/>
      <c r="AH158" s="410"/>
      <c r="AI158" s="410"/>
      <c r="AJ158" s="410"/>
      <c r="AK158" s="410"/>
      <c r="AL158" s="410"/>
      <c r="AM158" s="410"/>
      <c r="AN158" s="410"/>
      <c r="DZ158" s="138"/>
    </row>
    <row r="159" spans="1:130" ht="16.5" x14ac:dyDescent="0.3">
      <c r="A159" s="132">
        <f>IFERROR(IF(A158+1&lt;MAX(T041_ClassFeatures!$A$2:$A$2033),A158+1,""),"")</f>
        <v>156</v>
      </c>
      <c r="B159" s="131" t="str">
        <f>IFERROR(INDEX(T041_ClassFeatures!$B$2:$B$2033,MATCH('C03_ClassVariables'!A159,T041_ClassFeatures!$A$2:$A$2033,0),1),"")</f>
        <v>Unarmored Movement Improvement</v>
      </c>
      <c r="C159" s="131">
        <f>IF(B159="",0,IF(IFERROR(MATCH(B159,'C01_BaseCalculation'!$W$160:$W$239,0),0)&gt;0,1,0))</f>
        <v>0</v>
      </c>
      <c r="D159" s="131"/>
      <c r="E159" s="131"/>
      <c r="F159" s="131"/>
      <c r="G159" s="131"/>
      <c r="H159" s="150" t="s">
        <v>6425</v>
      </c>
      <c r="I159" s="374">
        <v>1</v>
      </c>
      <c r="J159" s="525">
        <f>IF(IFERROR(MATCH(H159,Character_Creation!$Q$188:$Q$193,0),0)&gt;0,0,1)*IF(Character_Creation!$T$186&gt;0,1,0)</f>
        <v>0</v>
      </c>
      <c r="K159">
        <f>IF(J159=0,0,1+COUNTIF(K$156:$K158,"&gt;0"))</f>
        <v>0</v>
      </c>
      <c r="L159" s="525" t="str">
        <f t="shared" si="56"/>
        <v/>
      </c>
      <c r="DZ159" s="138"/>
    </row>
    <row r="160" spans="1:130" ht="16.5" x14ac:dyDescent="0.3">
      <c r="A160" s="132">
        <f>IFERROR(IF(A159+1&lt;MAX(T041_ClassFeatures!$A$2:$A$2033),A159+1,""),"")</f>
        <v>157</v>
      </c>
      <c r="B160" s="131" t="str">
        <f>IFERROR(INDEX(T041_ClassFeatures!$B$2:$B$2033,MATCH('C03_ClassVariables'!A160,T041_ClassFeatures!$A$2:$A$2033,0),1),"")</f>
        <v>Uncanny Dodge</v>
      </c>
      <c r="C160" s="131">
        <f>IF(B160="",0,IF(IFERROR(MATCH(B160,'C01_BaseCalculation'!$W$160:$W$239,0),0)&gt;0,1,0))</f>
        <v>0</v>
      </c>
      <c r="D160" s="131"/>
      <c r="E160" s="131"/>
      <c r="F160" s="131"/>
      <c r="G160" s="131"/>
      <c r="H160" s="150" t="s">
        <v>6426</v>
      </c>
      <c r="I160" s="374">
        <v>1</v>
      </c>
      <c r="J160" s="525">
        <f>IF(IFERROR(MATCH(H160,Character_Creation!$Q$188:$Q$193,0),0)&gt;0,0,1)*IF(Character_Creation!$T$186&gt;0,1,0)</f>
        <v>0</v>
      </c>
      <c r="K160">
        <f>IF(J160=0,0,1+COUNTIF(K$156:$K159,"&gt;0"))</f>
        <v>0</v>
      </c>
      <c r="L160" s="525" t="str">
        <f t="shared" si="56"/>
        <v/>
      </c>
      <c r="DZ160" s="138"/>
    </row>
    <row r="161" spans="1:130" ht="16.5" x14ac:dyDescent="0.3">
      <c r="A161" s="132">
        <f>IFERROR(IF(A160+1&lt;MAX(T041_ClassFeatures!$A$2:$A$2033),A160+1,""),"")</f>
        <v>158</v>
      </c>
      <c r="B161" s="131" t="str">
        <f>IFERROR(INDEX(T041_ClassFeatures!$B$2:$B$2033,MATCH('C03_ClassVariables'!A161,T041_ClassFeatures!$A$2:$A$2033,0),1),"")</f>
        <v>Vanish</v>
      </c>
      <c r="C161" s="131">
        <f>IF(B161="",0,IF(IFERROR(MATCH(B161,'C01_BaseCalculation'!$W$160:$W$239,0),0)&gt;0,1,0))</f>
        <v>0</v>
      </c>
      <c r="D161" s="131"/>
      <c r="E161" s="131"/>
      <c r="F161" s="131"/>
      <c r="G161" s="131"/>
      <c r="H161" s="150" t="s">
        <v>6427</v>
      </c>
      <c r="I161" s="374">
        <v>1</v>
      </c>
      <c r="J161" s="525">
        <f>IF(IFERROR(MATCH(H161,Character_Creation!$Q$188:$Q$193,0),0)&gt;0,0,1)*IF(Character_Creation!$T$186&gt;0,1,0)</f>
        <v>0</v>
      </c>
      <c r="K161">
        <f>IF(J161=0,0,1+COUNTIF(K$156:$K160,"&gt;0"))</f>
        <v>0</v>
      </c>
      <c r="L161" s="525" t="str">
        <f t="shared" si="56"/>
        <v/>
      </c>
      <c r="DZ161" s="138"/>
    </row>
    <row r="162" spans="1:130" ht="16.5" x14ac:dyDescent="0.3">
      <c r="A162" s="132">
        <f>IFERROR(IF(A161+1&lt;MAX(T041_ClassFeatures!$A$2:$A$2033),A161+1,""),"")</f>
        <v>159</v>
      </c>
      <c r="B162" s="131" t="str">
        <f>IFERROR(INDEX(T041_ClassFeatures!$B$2:$B$2033,MATCH('C03_ClassVariables'!A162,T041_ClassFeatures!$A$2:$A$2033,0),1),"")</f>
        <v>Wild Shape</v>
      </c>
      <c r="C162" s="131">
        <f>IF(B162="",0,IF(IFERROR(MATCH(B162,'C01_BaseCalculation'!$W$160:$W$239,0),0)&gt;0,1,0))</f>
        <v>0</v>
      </c>
      <c r="D162" s="131"/>
      <c r="E162" s="131"/>
      <c r="F162" s="131"/>
      <c r="G162" s="131"/>
      <c r="H162" s="150" t="s">
        <v>6428</v>
      </c>
      <c r="I162" s="374">
        <v>1</v>
      </c>
      <c r="J162" s="525">
        <f>IF(IFERROR(MATCH(H162,Character_Creation!$Q$188:$Q$193,0),0)&gt;0,0,1)*IF(Character_Creation!$T$186&gt;0,1,0)</f>
        <v>0</v>
      </c>
      <c r="K162">
        <f>IF(J162=0,0,1+COUNTIF(K$156:$K161,"&gt;0"))</f>
        <v>0</v>
      </c>
      <c r="L162" s="525" t="str">
        <f t="shared" si="56"/>
        <v/>
      </c>
      <c r="DZ162" s="138"/>
    </row>
    <row r="163" spans="1:130" ht="16.5" x14ac:dyDescent="0.3">
      <c r="A163" s="132">
        <f>IFERROR(IF(A162+1&lt;MAX(T041_ClassFeatures!$A$2:$A$2033),A162+1,""),"")</f>
        <v>160</v>
      </c>
      <c r="B163" s="131" t="str">
        <f>IFERROR(INDEX(T041_ClassFeatures!$B$2:$B$2033,MATCH('C03_ClassVariables'!A163,T041_ClassFeatures!$A$2:$A$2033,0),1),"")</f>
        <v>Wild Shape Improvement</v>
      </c>
      <c r="C163" s="131">
        <f>IF(B163="",0,IF(IFERROR(MATCH(B163,'C01_BaseCalculation'!$W$160:$W$239,0),0)&gt;0,1,0))</f>
        <v>0</v>
      </c>
      <c r="D163" s="131"/>
      <c r="E163" s="131"/>
      <c r="F163" s="131"/>
      <c r="G163" s="131"/>
      <c r="H163" s="150" t="s">
        <v>6429</v>
      </c>
      <c r="I163" s="374">
        <v>1</v>
      </c>
      <c r="J163" s="525">
        <f>IF(IFERROR(MATCH(H163,Character_Creation!$Q$188:$Q$193,0),0)&gt;0,0,1)*IF(Character_Creation!$T$186&gt;0,1,0)</f>
        <v>0</v>
      </c>
      <c r="K163">
        <f>IF(J163=0,0,1+COUNTIF(K$156:$K162,"&gt;0"))</f>
        <v>0</v>
      </c>
      <c r="L163" s="525" t="str">
        <f t="shared" si="56"/>
        <v/>
      </c>
      <c r="DZ163" s="138"/>
    </row>
    <row r="164" spans="1:130" ht="16.5" x14ac:dyDescent="0.3">
      <c r="A164" s="132">
        <f>IFERROR(IF(A163+1&lt;MAX(T041_ClassFeatures!$A$2:$A$2033),A163+1,""),"")</f>
        <v>161</v>
      </c>
      <c r="B164" s="131" t="str">
        <f>IFERROR(INDEX(T041_ClassFeatures!$B$2:$B$2033,MATCH('C03_ClassVariables'!A164,T041_ClassFeatures!$A$2:$A$2033,0),1),"")</f>
        <v>Frenzy</v>
      </c>
      <c r="C164" s="131">
        <f>IF(B164="",0,IF(IFERROR(MATCH(B164,'C01_BaseCalculation'!$W$160:$W$239,0),0)&gt;0,1,0))</f>
        <v>0</v>
      </c>
      <c r="D164" s="131"/>
      <c r="E164" s="131"/>
      <c r="F164" s="131"/>
      <c r="G164" s="131"/>
      <c r="H164" s="150" t="s">
        <v>6430</v>
      </c>
      <c r="I164" s="374">
        <v>1</v>
      </c>
      <c r="J164" s="525">
        <f>IF(IFERROR(MATCH(H164,Character_Creation!$Q$188:$Q$193,0),0)&gt;0,0,1)*IF(Character_Creation!$T$186&gt;0,1,0)</f>
        <v>0</v>
      </c>
      <c r="K164">
        <f>IF(J164=0,0,1+COUNTIF(K$156:$K163,"&gt;0"))</f>
        <v>0</v>
      </c>
      <c r="L164" s="525" t="str">
        <f t="shared" si="56"/>
        <v/>
      </c>
      <c r="DZ164" s="138"/>
    </row>
    <row r="165" spans="1:130" ht="16.5" x14ac:dyDescent="0.3">
      <c r="A165" s="132">
        <f>IFERROR(IF(A164+1&lt;MAX(T041_ClassFeatures!$A$2:$A$2033),A164+1,""),"")</f>
        <v>162</v>
      </c>
      <c r="B165" s="131" t="str">
        <f>IFERROR(INDEX(T041_ClassFeatures!$B$2:$B$2033,MATCH('C03_ClassVariables'!A165,T041_ClassFeatures!$A$2:$A$2033,0),1),"")</f>
        <v>Mindless Rage</v>
      </c>
      <c r="C165" s="131">
        <f>IF(B165="",0,IF(IFERROR(MATCH(B165,'C01_BaseCalculation'!$W$160:$W$239,0),0)&gt;0,1,0))</f>
        <v>0</v>
      </c>
      <c r="D165" s="131"/>
      <c r="E165" s="131"/>
      <c r="F165" s="131"/>
      <c r="G165" s="131"/>
      <c r="H165" s="150" t="s">
        <v>6431</v>
      </c>
      <c r="I165" s="374">
        <v>1</v>
      </c>
      <c r="J165" s="525">
        <f>IF(IFERROR(MATCH(H165,Character_Creation!$Q$188:$Q$193,0),0)&gt;0,0,1)*IF(Character_Creation!$T$186&gt;0,1,0)</f>
        <v>0</v>
      </c>
      <c r="K165">
        <f>IF(J165=0,0,1+COUNTIF(K$156:$K164,"&gt;0"))</f>
        <v>0</v>
      </c>
      <c r="L165" s="525" t="str">
        <f t="shared" si="56"/>
        <v/>
      </c>
      <c r="DZ165" s="138"/>
    </row>
    <row r="166" spans="1:130" ht="16.5" x14ac:dyDescent="0.3">
      <c r="A166" s="132">
        <f>IFERROR(IF(A165+1&lt;MAX(T041_ClassFeatures!$A$2:$A$2033),A165+1,""),"")</f>
        <v>163</v>
      </c>
      <c r="B166" s="131" t="str">
        <f>IFERROR(INDEX(T041_ClassFeatures!$B$2:$B$2033,MATCH('C03_ClassVariables'!A166,T041_ClassFeatures!$A$2:$A$2033,0),1),"")</f>
        <v>Intimidating Presence</v>
      </c>
      <c r="C166" s="131">
        <f>IF(B166="",0,IF(IFERROR(MATCH(B166,'C01_BaseCalculation'!$W$160:$W$239,0),0)&gt;0,1,0))</f>
        <v>0</v>
      </c>
      <c r="D166" s="131"/>
      <c r="E166" s="131"/>
      <c r="F166" s="131"/>
      <c r="G166" s="131"/>
      <c r="H166" s="150" t="s">
        <v>6432</v>
      </c>
      <c r="I166" s="374">
        <v>1</v>
      </c>
      <c r="J166" s="525">
        <f>IF(IFERROR(MATCH(H166,Character_Creation!$Q$188:$Q$193,0),0)&gt;0,0,1)*IF(Character_Creation!$T$186&gt;0,1,0)</f>
        <v>0</v>
      </c>
      <c r="K166">
        <f>IF(J166=0,0,1+COUNTIF(K$156:$K165,"&gt;0"))</f>
        <v>0</v>
      </c>
      <c r="L166" s="525" t="str">
        <f t="shared" si="56"/>
        <v/>
      </c>
      <c r="DZ166" s="138"/>
    </row>
    <row r="167" spans="1:130" ht="16.5" x14ac:dyDescent="0.3">
      <c r="A167" s="132">
        <f>IFERROR(IF(A166+1&lt;MAX(T041_ClassFeatures!$A$2:$A$2033),A166+1,""),"")</f>
        <v>164</v>
      </c>
      <c r="B167" s="131" t="str">
        <f>IFERROR(INDEX(T041_ClassFeatures!$B$2:$B$2033,MATCH('C03_ClassVariables'!A167,T041_ClassFeatures!$A$2:$A$2033,0),1),"")</f>
        <v>Retaliation</v>
      </c>
      <c r="C167" s="131">
        <f>IF(B167="",0,IF(IFERROR(MATCH(B167,'C01_BaseCalculation'!$W$160:$W$239,0),0)&gt;0,1,0))</f>
        <v>0</v>
      </c>
      <c r="D167" s="131"/>
      <c r="E167" s="131"/>
      <c r="F167" s="131"/>
      <c r="G167" s="131"/>
      <c r="H167" s="150" t="s">
        <v>6433</v>
      </c>
      <c r="I167" s="374">
        <v>1</v>
      </c>
      <c r="J167" s="525">
        <f>IF(IFERROR(MATCH(H167,Character_Creation!$Q$188:$Q$193,0),0)&gt;0,0,1)*IF(Character_Creation!$T$186&gt;0,1,0)</f>
        <v>0</v>
      </c>
      <c r="K167">
        <f>IF(J167=0,0,1+COUNTIF(K$156:$K166,"&gt;0"))</f>
        <v>0</v>
      </c>
      <c r="L167" s="525" t="str">
        <f t="shared" si="56"/>
        <v/>
      </c>
      <c r="DZ167" s="138"/>
    </row>
    <row r="168" spans="1:130" ht="17.25" thickBot="1" x14ac:dyDescent="0.35">
      <c r="A168" s="132">
        <f>IFERROR(IF(A167+1&lt;MAX(T041_ClassFeatures!$A$2:$A$2033),A167+1,""),"")</f>
        <v>165</v>
      </c>
      <c r="B168" s="131" t="str">
        <f>IFERROR(INDEX(T041_ClassFeatures!$B$2:$B$2033,MATCH('C03_ClassVariables'!A168,T041_ClassFeatures!$A$2:$A$2033,0),1),"")</f>
        <v>Spirit Seeker</v>
      </c>
      <c r="C168" s="131">
        <f>IF(B168="",0,IF(IFERROR(MATCH(B168,'C01_BaseCalculation'!$W$160:$W$239,0),0)&gt;0,1,0))</f>
        <v>0</v>
      </c>
      <c r="D168" s="131"/>
      <c r="E168" s="131"/>
      <c r="F168" s="131"/>
      <c r="G168" s="131"/>
      <c r="H168" s="152" t="s">
        <v>6434</v>
      </c>
      <c r="I168" s="375">
        <v>1</v>
      </c>
      <c r="J168" s="525">
        <f>IF(IFERROR(MATCH(H168,Character_Creation!$Q$188:$Q$193,0),0)&gt;0,0,1)*IF(Character_Creation!$T$186&gt;0,1,0)</f>
        <v>0</v>
      </c>
      <c r="K168">
        <f>IF(J168=0,0,1+COUNTIF(K$156:$K167,"&gt;0"))</f>
        <v>0</v>
      </c>
      <c r="L168" s="525" t="str">
        <f t="shared" si="56"/>
        <v/>
      </c>
      <c r="DZ168" s="138"/>
    </row>
    <row r="169" spans="1:130" ht="16.5" x14ac:dyDescent="0.3">
      <c r="A169" s="132">
        <f>IFERROR(IF(A168+1&lt;MAX(T041_ClassFeatures!$A$2:$A$2033),A168+1,""),"")</f>
        <v>166</v>
      </c>
      <c r="B169" s="131" t="str">
        <f>IFERROR(INDEX(T041_ClassFeatures!$B$2:$B$2033,MATCH('C03_ClassVariables'!A169,T041_ClassFeatures!$A$2:$A$2033,0),1),"")</f>
        <v>Totem Spirit</v>
      </c>
      <c r="C169" s="131">
        <f>IF(B169="",0,IF(IFERROR(MATCH(B169,'C01_BaseCalculation'!$W$160:$W$239,0),0)&gt;0,1,0))</f>
        <v>0</v>
      </c>
      <c r="D169" s="131"/>
      <c r="E169" s="131"/>
      <c r="F169" s="131"/>
      <c r="G169" s="131"/>
      <c r="H169" s="131"/>
      <c r="I169" s="131"/>
      <c r="J169" s="131"/>
      <c r="DZ169" s="138"/>
    </row>
    <row r="170" spans="1:130" ht="16.5" x14ac:dyDescent="0.3">
      <c r="A170" s="132">
        <f>IFERROR(IF(A169+1&lt;MAX(T041_ClassFeatures!$A$2:$A$2033),A169+1,""),"")</f>
        <v>167</v>
      </c>
      <c r="B170" s="131" t="str">
        <f>IFERROR(INDEX(T041_ClassFeatures!$B$2:$B$2033,MATCH('C03_ClassVariables'!A170,T041_ClassFeatures!$A$2:$A$2033,0),1),"")</f>
        <v>Aspect of the Beast</v>
      </c>
      <c r="C170" s="131">
        <f>IF(B170="",0,IF(IFERROR(MATCH(B170,'C01_BaseCalculation'!$W$160:$W$239,0),0)&gt;0,1,0))</f>
        <v>0</v>
      </c>
      <c r="D170" s="131"/>
      <c r="E170" s="131"/>
      <c r="F170" s="131"/>
      <c r="G170" s="131"/>
      <c r="H170" s="238" t="s">
        <v>4687</v>
      </c>
      <c r="I170" s="222"/>
      <c r="J170" s="222"/>
      <c r="K170" s="238"/>
      <c r="L170" s="238"/>
      <c r="M170" s="238"/>
      <c r="N170" s="238"/>
      <c r="O170" s="238"/>
      <c r="P170" s="238"/>
      <c r="Q170" s="238"/>
      <c r="R170" s="238"/>
      <c r="S170" s="238"/>
      <c r="T170" s="238"/>
      <c r="U170" s="238"/>
      <c r="V170" s="238"/>
      <c r="W170" s="238"/>
      <c r="X170" s="238"/>
      <c r="Y170" s="238"/>
      <c r="DZ170" s="138"/>
    </row>
    <row r="171" spans="1:130" ht="16.5" x14ac:dyDescent="0.3">
      <c r="A171" s="132">
        <f>IFERROR(IF(A170+1&lt;MAX(T041_ClassFeatures!$A$2:$A$2033),A170+1,""),"")</f>
        <v>168</v>
      </c>
      <c r="B171" s="131" t="str">
        <f>IFERROR(INDEX(T041_ClassFeatures!$B$2:$B$2033,MATCH('C03_ClassVariables'!A171,T041_ClassFeatures!$A$2:$A$2033,0),1),"")</f>
        <v>Spirit Walker</v>
      </c>
      <c r="C171" s="131">
        <f>IF(B171="",0,IF(IFERROR(MATCH(B171,'C01_BaseCalculation'!$W$160:$W$239,0),0)&gt;0,1,0))</f>
        <v>0</v>
      </c>
      <c r="D171" s="131"/>
      <c r="E171" s="131"/>
      <c r="F171" s="131"/>
      <c r="G171" s="131"/>
      <c r="H171" s="238"/>
      <c r="I171" s="1030" t="s">
        <v>4688</v>
      </c>
      <c r="J171" s="1030"/>
      <c r="K171" s="1031" t="s">
        <v>4689</v>
      </c>
      <c r="L171" s="1031"/>
      <c r="M171" s="1031"/>
      <c r="N171" s="1031"/>
      <c r="O171" s="1031"/>
      <c r="P171" s="1031" t="s">
        <v>4689</v>
      </c>
      <c r="Q171" s="1031"/>
      <c r="R171" s="1031"/>
      <c r="S171" s="1031"/>
      <c r="T171" s="1031"/>
      <c r="U171" s="1031" t="s">
        <v>4689</v>
      </c>
      <c r="V171" s="1031"/>
      <c r="W171" s="1031"/>
      <c r="X171" s="1031"/>
      <c r="Y171" s="1031"/>
      <c r="DZ171" s="138"/>
    </row>
    <row r="172" spans="1:130" ht="16.5" x14ac:dyDescent="0.3">
      <c r="A172" s="132">
        <f>IFERROR(IF(A171+1&lt;MAX(T041_ClassFeatures!$A$2:$A$2033),A171+1,""),"")</f>
        <v>169</v>
      </c>
      <c r="B172" s="131" t="str">
        <f>IFERROR(INDEX(T041_ClassFeatures!$B$2:$B$2033,MATCH('C03_ClassVariables'!A172,T041_ClassFeatures!$A$2:$A$2033,0),1),"")</f>
        <v>Totemic Attunement</v>
      </c>
      <c r="C172" s="131">
        <f>IF(B172="",0,IF(IFERROR(MATCH(B172,'C01_BaseCalculation'!$W$160:$W$239,0),0)&gt;0,1,0))</f>
        <v>0</v>
      </c>
      <c r="D172" s="131"/>
      <c r="E172" s="131"/>
      <c r="F172" s="131"/>
      <c r="G172" s="131"/>
      <c r="H172" s="238" t="s">
        <v>3168</v>
      </c>
      <c r="I172" s="222">
        <v>1</v>
      </c>
      <c r="J172" s="222">
        <f t="shared" ref="J172:J179" si="57">IF(DruidLandx1=H172,1,0)</f>
        <v>0</v>
      </c>
      <c r="K172" s="238">
        <f>$I172-J172</f>
        <v>1</v>
      </c>
      <c r="L172" s="238">
        <f>IF(K$172=0,0,1)</f>
        <v>1</v>
      </c>
      <c r="M172" s="238">
        <v>1</v>
      </c>
      <c r="N172" s="238" t="str">
        <f t="shared" ref="N172:N179" si="58">IF(DruidLands&lt;1,"",IFERROR(INDEX($H$172:$H$179,MATCH(M172,L$172:L$179,0),1),""))</f>
        <v/>
      </c>
      <c r="O172" s="222">
        <f t="shared" ref="O172:O179" si="59">IF(DruidLandx2=$H172,1,0)</f>
        <v>0</v>
      </c>
      <c r="P172" s="238">
        <f>$I172-O172-J172</f>
        <v>1</v>
      </c>
      <c r="Q172" s="238">
        <f>IF(P$172=0,0,1)</f>
        <v>1</v>
      </c>
      <c r="R172" s="238">
        <v>1</v>
      </c>
      <c r="S172" s="238" t="str">
        <f t="shared" ref="S172:S179" si="60">IF(DruidLands&lt;3,"",IFERROR(INDEX($H$172:$H$179,MATCH(R172,Q$172:Q$179,0),1),""))</f>
        <v/>
      </c>
      <c r="T172" s="222">
        <f t="shared" ref="T172:T179" si="61">IF(DruidLandx3=$H172,1,0)</f>
        <v>0</v>
      </c>
      <c r="U172" s="238">
        <f>I172-J172-O172-T172</f>
        <v>1</v>
      </c>
      <c r="V172" s="238">
        <f>IF(U$172=0,0,1)</f>
        <v>1</v>
      </c>
      <c r="W172" s="238">
        <v>1</v>
      </c>
      <c r="X172" s="238" t="str">
        <f t="shared" ref="X172:X179" si="62">IF(DruidLands&lt;3,"",IFERROR(INDEX($H$172:$H$179,MATCH(W172,V$172:V$179,0),1),""))</f>
        <v/>
      </c>
      <c r="Y172" s="222">
        <f t="shared" ref="Y172:Y179" si="63">IF(DruidLandx2=$H172,1,0)</f>
        <v>0</v>
      </c>
      <c r="DZ172" s="138"/>
    </row>
    <row r="173" spans="1:130" ht="16.5" x14ac:dyDescent="0.3">
      <c r="A173" s="132">
        <f>IFERROR(IF(A172+1&lt;MAX(T041_ClassFeatures!$A$2:$A$2033),A172+1,""),"")</f>
        <v>170</v>
      </c>
      <c r="B173" s="131" t="str">
        <f>IFERROR(INDEX(T041_ClassFeatures!$B$2:$B$2033,MATCH('C03_ClassVariables'!A173,T041_ClassFeatures!$A$2:$A$2033,0),1),"")</f>
        <v>College of Lore: Bonus Proficiencies</v>
      </c>
      <c r="C173" s="131">
        <f>IF(B173="",0,IF(IFERROR(MATCH(B173,'C01_BaseCalculation'!$W$160:$W$239,0),0)&gt;0,1,0))</f>
        <v>0</v>
      </c>
      <c r="D173" s="131"/>
      <c r="E173" s="131"/>
      <c r="F173" s="131"/>
      <c r="G173" s="131"/>
      <c r="H173" s="238" t="s">
        <v>3169</v>
      </c>
      <c r="I173" s="222">
        <v>1</v>
      </c>
      <c r="J173" s="222">
        <f t="shared" si="57"/>
        <v>0</v>
      </c>
      <c r="K173" s="238">
        <f t="shared" ref="K173:K179" si="64">$I173-J173</f>
        <v>1</v>
      </c>
      <c r="L173" s="238">
        <f>IF(K173&gt;0,1+COUNTIF(L172:L$172,"&gt;0"),0)</f>
        <v>2</v>
      </c>
      <c r="M173" s="238" t="str">
        <f t="shared" ref="M173:M179" si="65">IF(DruidLands&lt;2,"",IFERROR(IF(M172&lt;MAX(L$172:L$179),M172+1,""),""))</f>
        <v/>
      </c>
      <c r="N173" s="238" t="str">
        <f t="shared" si="58"/>
        <v/>
      </c>
      <c r="O173" s="222">
        <f t="shared" si="59"/>
        <v>0</v>
      </c>
      <c r="P173" s="238">
        <f t="shared" ref="P173:P179" si="66">$I173-O173-J173</f>
        <v>1</v>
      </c>
      <c r="Q173" s="238">
        <f>IF(P173&gt;0,1+COUNTIF(Q172:Q$172,"&gt;0"),0)</f>
        <v>2</v>
      </c>
      <c r="R173" s="238" t="str">
        <f t="shared" ref="R173:R179" si="67">IF(DruidLands&lt;3,"",IFERROR(IF(R172&lt;MAX(Q$172:Q$179),R172+1,""),""))</f>
        <v/>
      </c>
      <c r="S173" s="238" t="str">
        <f t="shared" si="60"/>
        <v/>
      </c>
      <c r="T173" s="222">
        <f t="shared" si="61"/>
        <v>0</v>
      </c>
      <c r="U173" s="238">
        <f t="shared" ref="U173:U179" si="68">I173-J173-O173-T173</f>
        <v>1</v>
      </c>
      <c r="V173" s="238">
        <f>IF(U173&gt;0,1+COUNTIF(V172:V$172,"&gt;0"),0)</f>
        <v>2</v>
      </c>
      <c r="W173" s="238" t="str">
        <f t="shared" ref="W173:W179" si="69">IF(DruidLands&lt;4,"",IFERROR(IF(W172&lt;MAX(V$172:V$179),W172+1,""),""))</f>
        <v/>
      </c>
      <c r="X173" s="238" t="str">
        <f t="shared" si="62"/>
        <v/>
      </c>
      <c r="Y173" s="222">
        <f t="shared" si="63"/>
        <v>0</v>
      </c>
      <c r="DZ173" s="138"/>
    </row>
    <row r="174" spans="1:130" ht="16.5" x14ac:dyDescent="0.3">
      <c r="A174" s="132">
        <f>IFERROR(IF(A173+1&lt;MAX(T041_ClassFeatures!$A$2:$A$2033),A173+1,""),"")</f>
        <v>171</v>
      </c>
      <c r="B174" s="131" t="str">
        <f>IFERROR(INDEX(T041_ClassFeatures!$B$2:$B$2033,MATCH('C03_ClassVariables'!A174,T041_ClassFeatures!$A$2:$A$2033,0),1),"")</f>
        <v>Cutting Words</v>
      </c>
      <c r="C174" s="131">
        <f>IF(B174="",0,IF(IFERROR(MATCH(B174,'C01_BaseCalculation'!$W$160:$W$239,0),0)&gt;0,1,0))</f>
        <v>0</v>
      </c>
      <c r="D174" s="131"/>
      <c r="E174" s="131"/>
      <c r="F174" s="131"/>
      <c r="G174" s="131"/>
      <c r="H174" s="238" t="s">
        <v>3170</v>
      </c>
      <c r="I174" s="222">
        <v>1</v>
      </c>
      <c r="J174" s="222">
        <f t="shared" si="57"/>
        <v>0</v>
      </c>
      <c r="K174" s="238">
        <f t="shared" si="64"/>
        <v>1</v>
      </c>
      <c r="L174" s="238">
        <f>IF(K174&gt;0,1+COUNTIF(L$172:L173,"&gt;0"),0)</f>
        <v>3</v>
      </c>
      <c r="M174" s="238" t="str">
        <f t="shared" si="65"/>
        <v/>
      </c>
      <c r="N174" s="238" t="str">
        <f t="shared" si="58"/>
        <v/>
      </c>
      <c r="O174" s="222">
        <f t="shared" si="59"/>
        <v>0</v>
      </c>
      <c r="P174" s="238">
        <f t="shared" si="66"/>
        <v>1</v>
      </c>
      <c r="Q174" s="238">
        <f>IF(P174&gt;0,1+COUNTIF(Q$172:Q173,"&gt;0"),0)</f>
        <v>3</v>
      </c>
      <c r="R174" s="238" t="str">
        <f t="shared" si="67"/>
        <v/>
      </c>
      <c r="S174" s="238" t="str">
        <f t="shared" si="60"/>
        <v/>
      </c>
      <c r="T174" s="222">
        <f t="shared" si="61"/>
        <v>0</v>
      </c>
      <c r="U174" s="238">
        <f t="shared" si="68"/>
        <v>1</v>
      </c>
      <c r="V174" s="238">
        <f>IF(U174&gt;0,1+COUNTIF(V$172:V173,"&gt;0"),0)</f>
        <v>3</v>
      </c>
      <c r="W174" s="238" t="str">
        <f t="shared" si="69"/>
        <v/>
      </c>
      <c r="X174" s="238" t="str">
        <f t="shared" si="62"/>
        <v/>
      </c>
      <c r="Y174" s="222">
        <f t="shared" si="63"/>
        <v>0</v>
      </c>
      <c r="DZ174" s="138"/>
    </row>
    <row r="175" spans="1:130" ht="16.5" x14ac:dyDescent="0.3">
      <c r="A175" s="132">
        <f>IFERROR(IF(A174+1&lt;MAX(T041_ClassFeatures!$A$2:$A$2033),A174+1,""),"")</f>
        <v>172</v>
      </c>
      <c r="B175" s="131" t="str">
        <f>IFERROR(INDEX(T041_ClassFeatures!$B$2:$B$2033,MATCH('C03_ClassVariables'!A175,T041_ClassFeatures!$A$2:$A$2033,0),1),"")</f>
        <v>Additional Magical Secrets</v>
      </c>
      <c r="C175" s="131">
        <f>IF(B175="",0,IF(IFERROR(MATCH(B175,'C01_BaseCalculation'!$W$160:$W$239,0),0)&gt;0,1,0))</f>
        <v>0</v>
      </c>
      <c r="D175" s="131"/>
      <c r="E175" s="131"/>
      <c r="F175" s="131"/>
      <c r="G175" s="131"/>
      <c r="H175" s="238" t="s">
        <v>3171</v>
      </c>
      <c r="I175" s="222">
        <v>1</v>
      </c>
      <c r="J175" s="222">
        <f t="shared" si="57"/>
        <v>0</v>
      </c>
      <c r="K175" s="238">
        <f t="shared" si="64"/>
        <v>1</v>
      </c>
      <c r="L175" s="238">
        <f>IF(K175&gt;0,1+COUNTIF(L$172:L174,"&gt;0"),0)</f>
        <v>4</v>
      </c>
      <c r="M175" s="238" t="str">
        <f t="shared" si="65"/>
        <v/>
      </c>
      <c r="N175" s="238" t="str">
        <f t="shared" si="58"/>
        <v/>
      </c>
      <c r="O175" s="222">
        <f t="shared" si="59"/>
        <v>0</v>
      </c>
      <c r="P175" s="238">
        <f t="shared" si="66"/>
        <v>1</v>
      </c>
      <c r="Q175" s="238">
        <f>IF(P175&gt;0,1+COUNTIF(Q$172:Q174,"&gt;0"),0)</f>
        <v>4</v>
      </c>
      <c r="R175" s="238" t="str">
        <f t="shared" si="67"/>
        <v/>
      </c>
      <c r="S175" s="238" t="str">
        <f t="shared" si="60"/>
        <v/>
      </c>
      <c r="T175" s="222">
        <f t="shared" si="61"/>
        <v>0</v>
      </c>
      <c r="U175" s="238">
        <f t="shared" si="68"/>
        <v>1</v>
      </c>
      <c r="V175" s="238">
        <f>IF(U175&gt;0,1+COUNTIF(V$172:V174,"&gt;0"),0)</f>
        <v>4</v>
      </c>
      <c r="W175" s="238" t="str">
        <f t="shared" si="69"/>
        <v/>
      </c>
      <c r="X175" s="238" t="str">
        <f t="shared" si="62"/>
        <v/>
      </c>
      <c r="Y175" s="222">
        <f t="shared" si="63"/>
        <v>0</v>
      </c>
      <c r="DZ175" s="138"/>
    </row>
    <row r="176" spans="1:130" ht="16.5" x14ac:dyDescent="0.3">
      <c r="A176" s="132">
        <f>IFERROR(IF(A175+1&lt;MAX(T041_ClassFeatures!$A$2:$A$2033),A175+1,""),"")</f>
        <v>173</v>
      </c>
      <c r="B176" s="131" t="str">
        <f>IFERROR(INDEX(T041_ClassFeatures!$B$2:$B$2033,MATCH('C03_ClassVariables'!A176,T041_ClassFeatures!$A$2:$A$2033,0),1),"")</f>
        <v>Peerless Skill</v>
      </c>
      <c r="C176" s="131">
        <f>IF(B176="",0,IF(IFERROR(MATCH(B176,'C01_BaseCalculation'!$W$160:$W$239,0),0)&gt;0,1,0))</f>
        <v>0</v>
      </c>
      <c r="D176" s="131"/>
      <c r="E176" s="131"/>
      <c r="F176" s="131"/>
      <c r="G176" s="131"/>
      <c r="H176" s="238" t="s">
        <v>3172</v>
      </c>
      <c r="I176" s="222">
        <v>1</v>
      </c>
      <c r="J176" s="222">
        <f t="shared" si="57"/>
        <v>0</v>
      </c>
      <c r="K176" s="238">
        <f t="shared" si="64"/>
        <v>1</v>
      </c>
      <c r="L176" s="238">
        <f>IF(K176&gt;0,1+COUNTIF(L$172:L175,"&gt;0"),0)</f>
        <v>5</v>
      </c>
      <c r="M176" s="238" t="str">
        <f t="shared" si="65"/>
        <v/>
      </c>
      <c r="N176" s="238" t="str">
        <f t="shared" si="58"/>
        <v/>
      </c>
      <c r="O176" s="222">
        <f t="shared" si="59"/>
        <v>0</v>
      </c>
      <c r="P176" s="238">
        <f t="shared" si="66"/>
        <v>1</v>
      </c>
      <c r="Q176" s="238">
        <f>IF(P176&gt;0,1+COUNTIF(Q$172:Q175,"&gt;0"),0)</f>
        <v>5</v>
      </c>
      <c r="R176" s="238" t="str">
        <f t="shared" si="67"/>
        <v/>
      </c>
      <c r="S176" s="238" t="str">
        <f t="shared" si="60"/>
        <v/>
      </c>
      <c r="T176" s="222">
        <f t="shared" si="61"/>
        <v>0</v>
      </c>
      <c r="U176" s="238">
        <f t="shared" si="68"/>
        <v>1</v>
      </c>
      <c r="V176" s="238">
        <f>IF(U176&gt;0,1+COUNTIF(V$172:V175,"&gt;0"),0)</f>
        <v>5</v>
      </c>
      <c r="W176" s="238" t="str">
        <f t="shared" si="69"/>
        <v/>
      </c>
      <c r="X176" s="238" t="str">
        <f t="shared" si="62"/>
        <v/>
      </c>
      <c r="Y176" s="222">
        <f t="shared" si="63"/>
        <v>0</v>
      </c>
      <c r="DZ176" s="138"/>
    </row>
    <row r="177" spans="1:149" ht="16.5" x14ac:dyDescent="0.3">
      <c r="A177" s="132">
        <f>IFERROR(IF(A176+1&lt;MAX(T041_ClassFeatures!$A$2:$A$2033),A176+1,""),"")</f>
        <v>174</v>
      </c>
      <c r="B177" s="131" t="str">
        <f>IFERROR(INDEX(T041_ClassFeatures!$B$2:$B$2033,MATCH('C03_ClassVariables'!A177,T041_ClassFeatures!$A$2:$A$2033,0),1),"")</f>
        <v>College of Valor: Bonus Proficiencies</v>
      </c>
      <c r="C177" s="131">
        <f>IF(B177="",0,IF(IFERROR(MATCH(B177,'C01_BaseCalculation'!$W$160:$W$239,0),0)&gt;0,1,0))</f>
        <v>0</v>
      </c>
      <c r="D177" s="131"/>
      <c r="E177" s="131"/>
      <c r="F177" s="131"/>
      <c r="G177" s="131"/>
      <c r="H177" s="238" t="s">
        <v>3173</v>
      </c>
      <c r="I177" s="222">
        <v>1</v>
      </c>
      <c r="J177" s="222">
        <f t="shared" si="57"/>
        <v>0</v>
      </c>
      <c r="K177" s="238">
        <f t="shared" si="64"/>
        <v>1</v>
      </c>
      <c r="L177" s="238">
        <f>IF(K177&gt;0,1+COUNTIF(L$172:L176,"&gt;0"),0)</f>
        <v>6</v>
      </c>
      <c r="M177" s="238" t="str">
        <f t="shared" si="65"/>
        <v/>
      </c>
      <c r="N177" s="238" t="str">
        <f t="shared" si="58"/>
        <v/>
      </c>
      <c r="O177" s="222">
        <f t="shared" si="59"/>
        <v>0</v>
      </c>
      <c r="P177" s="238">
        <f t="shared" si="66"/>
        <v>1</v>
      </c>
      <c r="Q177" s="238">
        <f>IF(P177&gt;0,1+COUNTIF(Q$172:Q176,"&gt;0"),0)</f>
        <v>6</v>
      </c>
      <c r="R177" s="238" t="str">
        <f t="shared" si="67"/>
        <v/>
      </c>
      <c r="S177" s="238" t="str">
        <f t="shared" si="60"/>
        <v/>
      </c>
      <c r="T177" s="222">
        <f t="shared" si="61"/>
        <v>0</v>
      </c>
      <c r="U177" s="238">
        <f t="shared" si="68"/>
        <v>1</v>
      </c>
      <c r="V177" s="238">
        <f>IF(U177&gt;0,1+COUNTIF(V$172:V176,"&gt;0"),0)</f>
        <v>6</v>
      </c>
      <c r="W177" s="238" t="str">
        <f t="shared" si="69"/>
        <v/>
      </c>
      <c r="X177" s="238" t="str">
        <f t="shared" si="62"/>
        <v/>
      </c>
      <c r="Y177" s="222">
        <f t="shared" si="63"/>
        <v>0</v>
      </c>
      <c r="DZ177" s="138"/>
    </row>
    <row r="178" spans="1:149" ht="16.5" x14ac:dyDescent="0.3">
      <c r="A178" s="132">
        <f>IFERROR(IF(A177+1&lt;MAX(T041_ClassFeatures!$A$2:$A$2033),A177+1,""),"")</f>
        <v>175</v>
      </c>
      <c r="B178" s="131" t="str">
        <f>IFERROR(INDEX(T041_ClassFeatures!$B$2:$B$2033,MATCH('C03_ClassVariables'!A178,T041_ClassFeatures!$A$2:$A$2033,0),1),"")</f>
        <v>Combat Inspiration</v>
      </c>
      <c r="C178" s="131">
        <f>IF(B178="",0,IF(IFERROR(MATCH(B178,'C01_BaseCalculation'!$W$160:$W$239,0),0)&gt;0,1,0))</f>
        <v>0</v>
      </c>
      <c r="D178" s="131"/>
      <c r="E178" s="131"/>
      <c r="F178" s="131"/>
      <c r="G178" s="131"/>
      <c r="H178" s="238" t="s">
        <v>3174</v>
      </c>
      <c r="I178" s="222">
        <v>1</v>
      </c>
      <c r="J178" s="222">
        <f t="shared" si="57"/>
        <v>0</v>
      </c>
      <c r="K178" s="238">
        <f t="shared" si="64"/>
        <v>1</v>
      </c>
      <c r="L178" s="238">
        <f>IF(K178&gt;0,1+COUNTIF(L$172:L177,"&gt;0"),0)</f>
        <v>7</v>
      </c>
      <c r="M178" s="238" t="str">
        <f t="shared" si="65"/>
        <v/>
      </c>
      <c r="N178" s="238" t="str">
        <f t="shared" si="58"/>
        <v/>
      </c>
      <c r="O178" s="222">
        <f t="shared" si="59"/>
        <v>0</v>
      </c>
      <c r="P178" s="238">
        <f t="shared" si="66"/>
        <v>1</v>
      </c>
      <c r="Q178" s="238">
        <f>IF(P178&gt;0,1+COUNTIF(Q$172:Q177,"&gt;0"),0)</f>
        <v>7</v>
      </c>
      <c r="R178" s="238" t="str">
        <f t="shared" si="67"/>
        <v/>
      </c>
      <c r="S178" s="238" t="str">
        <f t="shared" si="60"/>
        <v/>
      </c>
      <c r="T178" s="222">
        <f t="shared" si="61"/>
        <v>0</v>
      </c>
      <c r="U178" s="238">
        <f t="shared" si="68"/>
        <v>1</v>
      </c>
      <c r="V178" s="238">
        <f>IF(U178&gt;0,1+COUNTIF(V$172:V177,"&gt;0"),0)</f>
        <v>7</v>
      </c>
      <c r="W178" s="238" t="str">
        <f t="shared" si="69"/>
        <v/>
      </c>
      <c r="X178" s="238" t="str">
        <f t="shared" si="62"/>
        <v/>
      </c>
      <c r="Y178" s="222">
        <f t="shared" si="63"/>
        <v>0</v>
      </c>
      <c r="DZ178" s="138"/>
    </row>
    <row r="179" spans="1:149" ht="16.5" x14ac:dyDescent="0.3">
      <c r="A179" s="132">
        <f>IFERROR(IF(A178+1&lt;MAX(T041_ClassFeatures!$A$2:$A$2033),A178+1,""),"")</f>
        <v>176</v>
      </c>
      <c r="B179" s="131" t="str">
        <f>IFERROR(INDEX(T041_ClassFeatures!$B$2:$B$2033,MATCH('C03_ClassVariables'!A179,T041_ClassFeatures!$A$2:$A$2033,0),1),"")</f>
        <v>Extra Attack</v>
      </c>
      <c r="C179" s="131">
        <f>IF(B179="",0,IF(IFERROR(MATCH(B179,'C01_BaseCalculation'!$W$160:$W$239,0),0)&gt;0,1,0))</f>
        <v>1</v>
      </c>
      <c r="D179" s="131"/>
      <c r="E179" s="131"/>
      <c r="F179" s="131"/>
      <c r="G179" s="131"/>
      <c r="H179" s="238" t="s">
        <v>3175</v>
      </c>
      <c r="I179" s="222">
        <v>1</v>
      </c>
      <c r="J179" s="222">
        <f t="shared" si="57"/>
        <v>0</v>
      </c>
      <c r="K179" s="238">
        <f t="shared" si="64"/>
        <v>1</v>
      </c>
      <c r="L179" s="238">
        <f>IF(K179&gt;0,1+COUNTIF(L$172:L178,"&gt;0"),0)</f>
        <v>8</v>
      </c>
      <c r="M179" s="238" t="str">
        <f t="shared" si="65"/>
        <v/>
      </c>
      <c r="N179" s="238" t="str">
        <f t="shared" si="58"/>
        <v/>
      </c>
      <c r="O179" s="222">
        <f t="shared" si="59"/>
        <v>0</v>
      </c>
      <c r="P179" s="238">
        <f t="shared" si="66"/>
        <v>1</v>
      </c>
      <c r="Q179" s="238">
        <f>IF(P179&gt;0,1+COUNTIF(Q$172:Q178,"&gt;0"),0)</f>
        <v>8</v>
      </c>
      <c r="R179" s="238" t="str">
        <f t="shared" si="67"/>
        <v/>
      </c>
      <c r="S179" s="238" t="str">
        <f t="shared" si="60"/>
        <v/>
      </c>
      <c r="T179" s="222">
        <f t="shared" si="61"/>
        <v>0</v>
      </c>
      <c r="U179" s="238">
        <f t="shared" si="68"/>
        <v>1</v>
      </c>
      <c r="V179" s="238">
        <f>IF(U179&gt;0,1+COUNTIF(V$172:V178,"&gt;0"),0)</f>
        <v>8</v>
      </c>
      <c r="W179" s="238" t="str">
        <f t="shared" si="69"/>
        <v/>
      </c>
      <c r="X179" s="238" t="str">
        <f t="shared" si="62"/>
        <v/>
      </c>
      <c r="Y179" s="222">
        <f t="shared" si="63"/>
        <v>0</v>
      </c>
      <c r="DZ179" s="138"/>
    </row>
    <row r="180" spans="1:149" ht="16.5" x14ac:dyDescent="0.3">
      <c r="A180" s="132">
        <f>IFERROR(IF(A179+1&lt;MAX(T041_ClassFeatures!$A$2:$A$2033),A179+1,""),"")</f>
        <v>177</v>
      </c>
      <c r="B180" s="131" t="str">
        <f>IFERROR(INDEX(T041_ClassFeatures!$B$2:$B$2033,MATCH('C03_ClassVariables'!A180,T041_ClassFeatures!$A$2:$A$2033,0),1),"")</f>
        <v>Battle Magic</v>
      </c>
      <c r="C180" s="131">
        <f>IF(B180="",0,IF(IFERROR(MATCH(B180,'C01_BaseCalculation'!$W$160:$W$239,0),0)&gt;0,1,0))</f>
        <v>0</v>
      </c>
      <c r="D180" s="131"/>
      <c r="E180" s="131"/>
      <c r="F180" s="131"/>
      <c r="G180" s="131"/>
      <c r="H180" s="131"/>
      <c r="I180" s="131"/>
      <c r="J180" s="131"/>
      <c r="DZ180" s="138"/>
    </row>
    <row r="181" spans="1:149" ht="16.5" x14ac:dyDescent="0.3">
      <c r="A181" s="132">
        <f>IFERROR(IF(A180+1&lt;MAX(T041_ClassFeatures!$A$2:$A$2033),A180+1,""),"")</f>
        <v>178</v>
      </c>
      <c r="B181" s="131" t="str">
        <f>IFERROR(INDEX(T041_ClassFeatures!$B$2:$B$2033,MATCH('C03_ClassVariables'!A181,T041_ClassFeatures!$A$2:$A$2033,0),1),"")</f>
        <v>Blessings of Knowledge</v>
      </c>
      <c r="C181" s="131">
        <f>IF(B181="",0,IF(IFERROR(MATCH(B181,'C01_BaseCalculation'!$W$160:$W$239,0),0)&gt;0,1,0))</f>
        <v>0</v>
      </c>
      <c r="D181" s="131"/>
      <c r="E181" s="131"/>
      <c r="F181" s="131"/>
      <c r="G181" s="131"/>
      <c r="DZ181" s="138"/>
    </row>
    <row r="182" spans="1:149" ht="16.5" x14ac:dyDescent="0.3">
      <c r="A182" s="132">
        <f>IFERROR(IF(A181+1&lt;MAX(T041_ClassFeatures!$A$2:$A$2033),A181+1,""),"")</f>
        <v>179</v>
      </c>
      <c r="B182" s="131" t="str">
        <f>IFERROR(INDEX(T041_ClassFeatures!$B$2:$B$2033,MATCH('C03_ClassVariables'!A182,T041_ClassFeatures!$A$2:$A$2033,0),1),"")</f>
        <v>Channel Divinity: Knowledge of the Ages</v>
      </c>
      <c r="C182" s="131">
        <f>IF(B182="",0,IF(IFERROR(MATCH(B182,'C01_BaseCalculation'!$W$160:$W$239,0),0)&gt;0,1,0))</f>
        <v>0</v>
      </c>
      <c r="D182" s="131"/>
      <c r="E182" s="131"/>
      <c r="F182" s="131"/>
      <c r="G182" s="131"/>
      <c r="DZ182" s="138"/>
    </row>
    <row r="183" spans="1:149" ht="16.5" x14ac:dyDescent="0.3">
      <c r="A183" s="132">
        <f>IFERROR(IF(A182+1&lt;MAX(T041_ClassFeatures!$A$2:$A$2033),A182+1,""),"")</f>
        <v>180</v>
      </c>
      <c r="B183" s="131" t="str">
        <f>IFERROR(INDEX(T041_ClassFeatures!$B$2:$B$2033,MATCH('C03_ClassVariables'!A183,T041_ClassFeatures!$A$2:$A$2033,0),1),"")</f>
        <v>Channel Divinity: Read Thoughts</v>
      </c>
      <c r="C183" s="131">
        <f>IF(B183="",0,IF(IFERROR(MATCH(B183,'C01_BaseCalculation'!$W$160:$W$239,0),0)&gt;0,1,0))</f>
        <v>0</v>
      </c>
      <c r="D183" s="131"/>
      <c r="E183" s="131"/>
      <c r="F183" s="131"/>
      <c r="G183" s="131"/>
      <c r="DZ183" s="138"/>
    </row>
    <row r="184" spans="1:149" ht="16.5" x14ac:dyDescent="0.3">
      <c r="A184" s="132">
        <f>IFERROR(IF(A183+1&lt;MAX(T041_ClassFeatures!$A$2:$A$2033),A183+1,""),"")</f>
        <v>181</v>
      </c>
      <c r="B184" s="131" t="str">
        <f>IFERROR(INDEX(T041_ClassFeatures!$B$2:$B$2033,MATCH('C03_ClassVariables'!A184,T041_ClassFeatures!$A$2:$A$2033,0),1),"")</f>
        <v>Potent Spellcasting (cleric)</v>
      </c>
      <c r="C184" s="131">
        <f>IF(B184="",0,IF(IFERROR(MATCH(B184,'C01_BaseCalculation'!$W$160:$W$239,0),0)&gt;0,1,0))</f>
        <v>0</v>
      </c>
      <c r="D184" s="131"/>
      <c r="E184" s="131"/>
      <c r="F184" s="131"/>
      <c r="G184" s="131"/>
      <c r="DZ184" s="138"/>
    </row>
    <row r="185" spans="1:149" ht="16.5" x14ac:dyDescent="0.3">
      <c r="A185" s="132">
        <f>IFERROR(IF(A184+1&lt;MAX(T041_ClassFeatures!$A$2:$A$2033),A184+1,""),"")</f>
        <v>182</v>
      </c>
      <c r="B185" s="131" t="str">
        <f>IFERROR(INDEX(T041_ClassFeatures!$B$2:$B$2033,MATCH('C03_ClassVariables'!A185,T041_ClassFeatures!$A$2:$A$2033,0),1),"")</f>
        <v>Visions of the Past</v>
      </c>
      <c r="C185" s="131">
        <f>IF(B185="",0,IF(IFERROR(MATCH(B185,'C01_BaseCalculation'!$W$160:$W$239,0),0)&gt;0,1,0))</f>
        <v>0</v>
      </c>
      <c r="D185" s="131"/>
      <c r="E185" s="131"/>
      <c r="F185" s="131"/>
      <c r="G185" s="131"/>
      <c r="DZ185" s="138"/>
    </row>
    <row r="186" spans="1:149" ht="16.5" x14ac:dyDescent="0.3">
      <c r="A186" s="132">
        <f>IFERROR(IF(A185+1&lt;MAX(T041_ClassFeatures!$A$2:$A$2033),A185+1,""),"")</f>
        <v>183</v>
      </c>
      <c r="B186" s="131" t="str">
        <f>IFERROR(INDEX(T041_ClassFeatures!$B$2:$B$2033,MATCH('C03_ClassVariables'!A186,T041_ClassFeatures!$A$2:$A$2033,0),1),"")</f>
        <v>Life Domain: Bonus Proficiency</v>
      </c>
      <c r="C186" s="131">
        <f>IF(B186="",0,IF(IFERROR(MATCH(B186,'C01_BaseCalculation'!$W$160:$W$239,0),0)&gt;0,1,0))</f>
        <v>0</v>
      </c>
      <c r="D186" s="131"/>
      <c r="E186" s="131"/>
      <c r="F186" s="131"/>
      <c r="G186" s="131"/>
      <c r="DZ186" s="138"/>
    </row>
    <row r="187" spans="1:149" ht="16.5" x14ac:dyDescent="0.3">
      <c r="A187" s="132">
        <f>IFERROR(IF(A186+1&lt;MAX(T041_ClassFeatures!$A$2:$A$2033),A186+1,""),"")</f>
        <v>184</v>
      </c>
      <c r="B187" s="131" t="str">
        <f>IFERROR(INDEX(T041_ClassFeatures!$B$2:$B$2033,MATCH('C03_ClassVariables'!A187,T041_ClassFeatures!$A$2:$A$2033,0),1),"")</f>
        <v>Disciple of Life</v>
      </c>
      <c r="C187" s="131">
        <f>IF(B187="",0,IF(IFERROR(MATCH(B187,'C01_BaseCalculation'!$W$160:$W$239,0),0)&gt;0,1,0))</f>
        <v>0</v>
      </c>
      <c r="D187" s="131"/>
      <c r="E187" s="131"/>
      <c r="F187" s="131"/>
      <c r="G187" s="131"/>
      <c r="DZ187" s="138"/>
    </row>
    <row r="188" spans="1:149" ht="16.5" x14ac:dyDescent="0.3">
      <c r="A188" s="132">
        <f>IFERROR(IF(A187+1&lt;MAX(T041_ClassFeatures!$A$2:$A$2033),A187+1,""),"")</f>
        <v>185</v>
      </c>
      <c r="B188" s="131" t="str">
        <f>IFERROR(INDEX(T041_ClassFeatures!$B$2:$B$2033,MATCH('C03_ClassVariables'!A188,T041_ClassFeatures!$A$2:$A$2033,0),1),"")</f>
        <v>Channel Divinity: Preserve Life</v>
      </c>
      <c r="C188" s="131">
        <f>IF(B188="",0,IF(IFERROR(MATCH(B188,'C01_BaseCalculation'!$W$160:$W$239,0),0)&gt;0,1,0))</f>
        <v>0</v>
      </c>
      <c r="D188" s="131"/>
      <c r="E188" s="131"/>
      <c r="F188" s="131"/>
      <c r="G188" s="131"/>
      <c r="DZ188" s="138"/>
    </row>
    <row r="189" spans="1:149" ht="17.25" thickBot="1" x14ac:dyDescent="0.35">
      <c r="A189" s="132">
        <f>IFERROR(IF(A188+1&lt;MAX(T041_ClassFeatures!$A$2:$A$2033),A188+1,""),"")</f>
        <v>186</v>
      </c>
      <c r="B189" s="131" t="str">
        <f>IFERROR(INDEX(T041_ClassFeatures!$B$2:$B$2033,MATCH('C03_ClassVariables'!A189,T041_ClassFeatures!$A$2:$A$2033,0),1),"")</f>
        <v>Blessed Healer</v>
      </c>
      <c r="C189" s="131">
        <f>IF(B189="",0,IF(IFERROR(MATCH(B189,'C01_BaseCalculation'!$W$160:$W$239,0),0)&gt;0,1,0))</f>
        <v>0</v>
      </c>
      <c r="D189" s="131"/>
      <c r="E189" s="131"/>
      <c r="F189" s="131"/>
      <c r="G189" s="131"/>
      <c r="DZ189" s="138"/>
    </row>
    <row r="190" spans="1:149" ht="16.5" x14ac:dyDescent="0.3">
      <c r="A190" s="132">
        <f>IFERROR(IF(A189+1&lt;MAX(T041_ClassFeatures!$A$2:$A$2033),A189+1,""),"")</f>
        <v>187</v>
      </c>
      <c r="B190" s="131" t="str">
        <f>IFERROR(INDEX(T041_ClassFeatures!$B$2:$B$2033,MATCH('C03_ClassVariables'!A190,T041_ClassFeatures!$A$2:$A$2033,0),1),"")</f>
        <v>Divine Strike (radiant)</v>
      </c>
      <c r="C190" s="131">
        <f>IF(B190="",0,IF(IFERROR(MATCH(B190,'C01_BaseCalculation'!$W$160:$W$239,0),0)&gt;0,1,0))</f>
        <v>0</v>
      </c>
      <c r="D190" s="131"/>
      <c r="E190" s="131"/>
      <c r="F190" s="131"/>
      <c r="G190" s="370"/>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c r="BH190" s="148"/>
      <c r="BI190" s="148"/>
      <c r="BJ190" s="148"/>
      <c r="BK190" s="148"/>
      <c r="BL190" s="148"/>
      <c r="BM190" s="148"/>
      <c r="BN190" s="148"/>
      <c r="BO190" s="148"/>
      <c r="BP190" s="148"/>
      <c r="BQ190" s="148"/>
      <c r="BR190" s="148"/>
      <c r="BS190" s="148"/>
      <c r="BT190" s="148"/>
      <c r="BU190" s="148"/>
      <c r="BV190" s="148"/>
      <c r="BW190" s="148"/>
      <c r="BX190" s="148"/>
      <c r="BY190" s="148"/>
      <c r="BZ190" s="148"/>
      <c r="CA190" s="148"/>
      <c r="CB190" s="148"/>
      <c r="CC190" s="148"/>
      <c r="CD190" s="148"/>
      <c r="CE190" s="148"/>
      <c r="CF190" s="148"/>
      <c r="CG190" s="148"/>
      <c r="CH190" s="148"/>
      <c r="CI190" s="148"/>
      <c r="CJ190" s="148"/>
      <c r="CK190" s="148"/>
      <c r="CL190" s="148"/>
      <c r="CM190" s="148"/>
      <c r="CN190" s="148"/>
      <c r="CO190" s="148"/>
      <c r="CP190" s="148"/>
      <c r="CQ190" s="148"/>
      <c r="CR190" s="148"/>
      <c r="CS190" s="148"/>
      <c r="CT190" s="148"/>
      <c r="CU190" s="148"/>
      <c r="CV190" s="148"/>
      <c r="CW190" s="148"/>
      <c r="CX190" s="148"/>
      <c r="CY190" s="148"/>
      <c r="CZ190" s="148"/>
      <c r="DA190" s="148"/>
      <c r="DB190" s="148"/>
      <c r="DC190" s="148"/>
      <c r="DD190" s="148"/>
      <c r="DE190" s="148"/>
      <c r="DF190" s="148"/>
      <c r="DG190" s="148"/>
      <c r="DH190" s="148"/>
      <c r="DI190" s="148"/>
      <c r="DJ190" s="148"/>
      <c r="DK190" s="149"/>
      <c r="DZ190" s="138"/>
    </row>
    <row r="191" spans="1:149" ht="17.25" thickBot="1" x14ac:dyDescent="0.35">
      <c r="A191" s="132">
        <f>IFERROR(IF(A190+1&lt;MAX(T041_ClassFeatures!$A$2:$A$2033),A190+1,""),"")</f>
        <v>188</v>
      </c>
      <c r="B191" s="131" t="str">
        <f>IFERROR(INDEX(T041_ClassFeatures!$B$2:$B$2033,MATCH('C03_ClassVariables'!A191,T041_ClassFeatures!$A$2:$A$2033,0),1),"")</f>
        <v>Supreme Healing</v>
      </c>
      <c r="C191" s="131">
        <f>IF(B191="",0,IF(IFERROR(MATCH(B191,'C01_BaseCalculation'!$W$160:$W$239,0),0)&gt;0,1,0))</f>
        <v>0</v>
      </c>
      <c r="D191" s="131"/>
      <c r="E191" s="131"/>
      <c r="F191" s="131"/>
      <c r="G191" s="371"/>
      <c r="H191" s="372"/>
      <c r="I191" s="372"/>
      <c r="J191" s="372"/>
      <c r="K191" s="136"/>
      <c r="L191" s="136"/>
      <c r="M191" s="136"/>
      <c r="N191" s="136"/>
      <c r="O191" s="136">
        <f>IFERROR(INDEX(T04_Classes!N3:N102,SelectedClassID,1),"")</f>
        <v>2</v>
      </c>
      <c r="P191" s="136"/>
      <c r="Q191" s="136"/>
      <c r="R191" s="136"/>
      <c r="S191" s="136"/>
      <c r="T191" s="136"/>
      <c r="U191" s="136"/>
      <c r="V191" s="136"/>
      <c r="W191" s="136"/>
      <c r="X191" s="136"/>
      <c r="Y191" s="136"/>
      <c r="Z191" s="136"/>
      <c r="AA191" s="136"/>
      <c r="AB191" s="136"/>
      <c r="AC191" s="136"/>
      <c r="AD191" s="136"/>
      <c r="AE191" s="136"/>
      <c r="AF191" s="136"/>
      <c r="AG191" s="136">
        <f>IFERROR(INDEX(T01_Races!$AS$2:$AS$101,SelectedRaceID,1),"")</f>
        <v>1</v>
      </c>
      <c r="AH191" s="136"/>
      <c r="AI191" s="136"/>
      <c r="AJ191" s="136"/>
      <c r="AK191" s="136"/>
      <c r="AL191" s="136"/>
      <c r="AM191" s="136"/>
      <c r="AN191" s="136"/>
      <c r="AO191" s="136"/>
      <c r="AP191" s="136"/>
      <c r="AQ191" s="136"/>
      <c r="AR191" s="136">
        <f>COUNTIF(Q214:Q225,"&gt;0")</f>
        <v>0</v>
      </c>
      <c r="AS191" s="136"/>
      <c r="AT191" s="136"/>
      <c r="AU191" s="136"/>
      <c r="AV191" s="136"/>
      <c r="AW191" s="136"/>
      <c r="AX191" s="136"/>
      <c r="AY191" s="136"/>
      <c r="AZ191" s="136"/>
      <c r="BA191" s="136"/>
      <c r="BB191" s="136"/>
      <c r="BC191" s="136"/>
      <c r="BD191" s="136"/>
      <c r="BE191" s="136"/>
      <c r="BF191" s="136"/>
      <c r="BG191" s="136"/>
      <c r="BH191" s="136"/>
      <c r="BI191" s="136"/>
      <c r="BJ191" s="136"/>
      <c r="BK191" s="136"/>
      <c r="BL191" s="136">
        <v>3</v>
      </c>
      <c r="BM191" s="136"/>
      <c r="BN191" s="136"/>
      <c r="BO191" s="136"/>
      <c r="BP191" s="136"/>
      <c r="BQ191" s="136"/>
      <c r="BR191" s="136">
        <v>4</v>
      </c>
      <c r="BS191" s="136"/>
      <c r="BT191" s="136"/>
      <c r="BU191" s="136"/>
      <c r="BV191" s="136"/>
      <c r="BW191" s="136"/>
      <c r="BX191" s="136">
        <v>5</v>
      </c>
      <c r="BY191" s="136"/>
      <c r="BZ191" s="136"/>
      <c r="CA191" s="136"/>
      <c r="CB191" s="136"/>
      <c r="CC191" s="136"/>
      <c r="CD191" s="136">
        <v>6</v>
      </c>
      <c r="CE191" s="136"/>
      <c r="CF191" s="136"/>
      <c r="CG191" s="136"/>
      <c r="CH191" s="136"/>
      <c r="CI191" s="136"/>
      <c r="CJ191" s="136">
        <v>7</v>
      </c>
      <c r="CK191" s="136"/>
      <c r="CL191" s="136"/>
      <c r="CM191" s="136"/>
      <c r="CN191" s="136"/>
      <c r="CO191" s="136"/>
      <c r="CP191" s="136">
        <v>8</v>
      </c>
      <c r="CQ191" s="136"/>
      <c r="CR191" s="136"/>
      <c r="CS191" s="136"/>
      <c r="CT191" s="136"/>
      <c r="CU191" s="136"/>
      <c r="CV191" s="136">
        <v>9</v>
      </c>
      <c r="CW191" s="136"/>
      <c r="CX191" s="136"/>
      <c r="CY191" s="136"/>
      <c r="CZ191" s="136"/>
      <c r="DA191" s="136"/>
      <c r="DB191" s="136">
        <v>10</v>
      </c>
      <c r="DC191" s="136"/>
      <c r="DD191" s="136"/>
      <c r="DE191" s="136"/>
      <c r="DF191" s="136"/>
      <c r="DG191" s="136"/>
      <c r="DH191" s="136">
        <v>11</v>
      </c>
      <c r="DI191" s="136"/>
      <c r="DJ191" s="136"/>
      <c r="DK191" s="151"/>
      <c r="DZ191" s="138"/>
    </row>
    <row r="192" spans="1:149" ht="18" thickBot="1" x14ac:dyDescent="0.4">
      <c r="A192" s="132">
        <f>IFERROR(IF(A191+1&lt;MAX(T041_ClassFeatures!$A$2:$A$2033),A191+1,""),"")</f>
        <v>189</v>
      </c>
      <c r="B192" s="131" t="str">
        <f>IFERROR(INDEX(T041_ClassFeatures!$B$2:$B$2033,MATCH('C03_ClassVariables'!A192,T041_ClassFeatures!$A$2:$A$2033,0),1),"")</f>
        <v>Light Domain: Bonus Cantrip</v>
      </c>
      <c r="C192" s="131">
        <f>IF(B192="",0,IF(IFERROR(MATCH(B192,'C01_BaseCalculation'!$W$160:$W$239,0),0)&gt;0,1,0))</f>
        <v>0</v>
      </c>
      <c r="D192" s="131"/>
      <c r="E192" s="131"/>
      <c r="F192" s="131"/>
      <c r="G192" s="371"/>
      <c r="H192" s="372"/>
      <c r="I192" s="1035" t="s">
        <v>2</v>
      </c>
      <c r="J192" s="1036"/>
      <c r="K192" s="356" t="s">
        <v>602</v>
      </c>
      <c r="L192" s="372" t="s">
        <v>5147</v>
      </c>
      <c r="M192" s="1028" t="s">
        <v>5148</v>
      </c>
      <c r="N192" s="1029"/>
      <c r="O192" s="1029"/>
      <c r="P192" s="1029"/>
      <c r="Q192" s="1029"/>
      <c r="R192" s="1028" t="s">
        <v>5149</v>
      </c>
      <c r="S192" s="1029"/>
      <c r="T192" s="1029"/>
      <c r="U192" s="1029"/>
      <c r="V192" s="1029"/>
      <c r="W192" s="1028" t="s">
        <v>5150</v>
      </c>
      <c r="X192" s="1029"/>
      <c r="Y192" s="1029"/>
      <c r="Z192" s="1029"/>
      <c r="AA192" s="1029"/>
      <c r="AB192" s="1028" t="s">
        <v>5151</v>
      </c>
      <c r="AC192" s="1029"/>
      <c r="AD192" s="1029"/>
      <c r="AE192" s="1029"/>
      <c r="AF192" s="1045"/>
      <c r="AG192" s="1044" t="s">
        <v>5157</v>
      </c>
      <c r="AH192" s="1041"/>
      <c r="AI192" s="1041"/>
      <c r="AJ192" s="1041"/>
      <c r="AK192" s="1042"/>
      <c r="AL192" s="1041" t="s">
        <v>5158</v>
      </c>
      <c r="AM192" s="1041"/>
      <c r="AN192" s="1041"/>
      <c r="AO192" s="1041"/>
      <c r="AP192" s="1042"/>
      <c r="AQ192" s="1043" t="s">
        <v>3302</v>
      </c>
      <c r="AR192" s="1023"/>
      <c r="AS192" s="1023"/>
      <c r="AT192" s="1023"/>
      <c r="AU192" s="1023"/>
      <c r="AV192" s="1024"/>
      <c r="AW192" s="1023" t="s">
        <v>3303</v>
      </c>
      <c r="AX192" s="1023"/>
      <c r="AY192" s="1023"/>
      <c r="AZ192" s="1023"/>
      <c r="BA192" s="1023"/>
      <c r="BB192" s="1024"/>
      <c r="BC192" s="1023" t="s">
        <v>3304</v>
      </c>
      <c r="BD192" s="1023"/>
      <c r="BE192" s="1023"/>
      <c r="BF192" s="1023"/>
      <c r="BG192" s="1023"/>
      <c r="BH192" s="1024"/>
      <c r="BI192" s="1023" t="s">
        <v>3305</v>
      </c>
      <c r="BJ192" s="1023"/>
      <c r="BK192" s="1023"/>
      <c r="BL192" s="1023"/>
      <c r="BM192" s="1023"/>
      <c r="BN192" s="1024"/>
      <c r="BO192" s="1023" t="s">
        <v>5152</v>
      </c>
      <c r="BP192" s="1023"/>
      <c r="BQ192" s="1023"/>
      <c r="BR192" s="1023"/>
      <c r="BS192" s="1023"/>
      <c r="BT192" s="1024"/>
      <c r="BU192" s="1023" t="s">
        <v>5153</v>
      </c>
      <c r="BV192" s="1023"/>
      <c r="BW192" s="1023"/>
      <c r="BX192" s="1023"/>
      <c r="BY192" s="1023"/>
      <c r="BZ192" s="1024"/>
      <c r="CA192" s="1023" t="s">
        <v>5154</v>
      </c>
      <c r="CB192" s="1023"/>
      <c r="CC192" s="1023"/>
      <c r="CD192" s="1023"/>
      <c r="CE192" s="1023"/>
      <c r="CF192" s="1024"/>
      <c r="CG192" s="1023" t="s">
        <v>5155</v>
      </c>
      <c r="CH192" s="1023"/>
      <c r="CI192" s="1023"/>
      <c r="CJ192" s="1023"/>
      <c r="CK192" s="1023"/>
      <c r="CL192" s="1024"/>
      <c r="CM192" s="1023" t="s">
        <v>5156</v>
      </c>
      <c r="CN192" s="1023"/>
      <c r="CO192" s="1023"/>
      <c r="CP192" s="1023"/>
      <c r="CQ192" s="1023"/>
      <c r="CR192" s="1024"/>
      <c r="CS192" s="1023" t="s">
        <v>5240</v>
      </c>
      <c r="CT192" s="1023"/>
      <c r="CU192" s="1023"/>
      <c r="CV192" s="1023"/>
      <c r="CW192" s="1023"/>
      <c r="CX192" s="1024"/>
      <c r="CY192" s="1023" t="s">
        <v>5241</v>
      </c>
      <c r="CZ192" s="1023"/>
      <c r="DA192" s="1023"/>
      <c r="DB192" s="1023"/>
      <c r="DC192" s="1023"/>
      <c r="DD192" s="1024"/>
      <c r="DE192" s="1023" t="s">
        <v>5242</v>
      </c>
      <c r="DF192" s="1023"/>
      <c r="DG192" s="1023"/>
      <c r="DH192" s="1023"/>
      <c r="DI192" s="1023"/>
      <c r="DJ192" s="1024"/>
      <c r="DK192" s="149"/>
      <c r="DP192" s="365"/>
      <c r="DQ192" s="365"/>
      <c r="DR192" s="365"/>
      <c r="DS192" s="365"/>
      <c r="DT192" s="365"/>
      <c r="DU192" s="365"/>
      <c r="DV192" s="365"/>
      <c r="DW192" s="365"/>
      <c r="DX192" s="365"/>
      <c r="DY192" s="365"/>
      <c r="DZ192" s="578"/>
      <c r="EA192" s="365"/>
      <c r="EB192" s="365"/>
      <c r="EC192" s="365"/>
      <c r="ED192" s="365"/>
      <c r="EE192" s="365"/>
      <c r="EF192" s="365"/>
      <c r="EG192" s="365"/>
      <c r="EH192" s="365"/>
      <c r="EI192" s="365"/>
      <c r="EJ192" s="365"/>
      <c r="EK192" s="365"/>
      <c r="EL192" s="365"/>
      <c r="EM192" s="365"/>
      <c r="EN192" s="365"/>
      <c r="EO192" s="365"/>
      <c r="EP192" s="365"/>
      <c r="EQ192" s="365"/>
      <c r="ER192" s="365"/>
      <c r="ES192" s="365"/>
    </row>
    <row r="193" spans="1:130" ht="16.5" x14ac:dyDescent="0.3">
      <c r="A193" s="132">
        <f>IFERROR(IF(A192+1&lt;MAX(T041_ClassFeatures!$A$2:$A$2033),A192+1,""),"")</f>
        <v>190</v>
      </c>
      <c r="B193" s="131" t="str">
        <f>IFERROR(INDEX(T041_ClassFeatures!$B$2:$B$2033,MATCH('C03_ClassVariables'!A193,T041_ClassFeatures!$A$2:$A$2033,0),1),"")</f>
        <v>Warding Flare</v>
      </c>
      <c r="C193" s="131">
        <f>IF(B193="",0,IF(IFERROR(MATCH(B193,'C01_BaseCalculation'!$W$160:$W$239,0),0)&gt;0,1,0))</f>
        <v>0</v>
      </c>
      <c r="D193" s="131"/>
      <c r="E193" s="131"/>
      <c r="F193" s="131"/>
      <c r="G193" s="371"/>
      <c r="H193" s="372" t="s">
        <v>607</v>
      </c>
      <c r="I193" s="359">
        <f t="shared" ref="I193:I210" si="70">IF(SelectedSkill1=H193,1,0)</f>
        <v>0</v>
      </c>
      <c r="J193" s="360">
        <f t="shared" ref="J193:J210" si="71">IF(SelectedSkill2=H193,1,0)</f>
        <v>0</v>
      </c>
      <c r="K193" s="357">
        <f t="shared" ref="K193:K210" si="72">IF(SelectedSkill3=H193,1,0)</f>
        <v>0</v>
      </c>
      <c r="L193" s="164">
        <f>INDEX(T03_Skills!$D$2:$AP$19,MATCH(H193,T03_Skills!$B$2:$B$19,0),SelectedClassID)</f>
        <v>1</v>
      </c>
      <c r="M193" s="150">
        <f>IF(L193-I193-J193-K193&gt;0,1,0)</f>
        <v>1</v>
      </c>
      <c r="N193" s="136">
        <f>IF(M193=0,0,1)</f>
        <v>1</v>
      </c>
      <c r="O193" s="136">
        <v>1</v>
      </c>
      <c r="P193" s="136" t="str">
        <f t="shared" ref="P193:P210" si="73">IF($O$191&gt;0,IFERROR(INDEX($H$193:$H$210,MATCH(O193,N$193:N$210,0),1),""),"")</f>
        <v>Acrobatics</v>
      </c>
      <c r="Q193" s="136">
        <f t="shared" ref="Q193:Q210" si="74">IF(SelectedSkill6=$H193,1,0)</f>
        <v>1</v>
      </c>
      <c r="R193" s="150">
        <f>IF(L193-I193-J193-K193-Q193&gt;0,1,0)</f>
        <v>0</v>
      </c>
      <c r="S193" s="136">
        <f>IF(R193=0,0,1)</f>
        <v>0</v>
      </c>
      <c r="T193" s="136">
        <v>1</v>
      </c>
      <c r="U193" s="136" t="str">
        <f t="shared" ref="U193:U210" si="75">IF($O$191&gt;1,IFERROR(INDEX($H$193:$H$210,MATCH(T193,S$193:S$210,0),1),""),"")</f>
        <v>Animal Handling</v>
      </c>
      <c r="V193" s="136">
        <f t="shared" ref="V193:V210" si="76">IF(SelectedSkill7=$H193,1,0)</f>
        <v>0</v>
      </c>
      <c r="W193" s="150">
        <f>IF(L193-I193-J193-K193-Q193-V193&gt;0,1,0)</f>
        <v>0</v>
      </c>
      <c r="X193" s="136">
        <f>IF(W193=0,0,1)</f>
        <v>0</v>
      </c>
      <c r="Y193" s="136">
        <v>1</v>
      </c>
      <c r="Z193" s="136" t="str">
        <f t="shared" ref="Z193:Z210" si="77">IF($O$191&gt;2,IFERROR(INDEX($H$193:$H$210,MATCH(Y193,X$193:X$210,0),1),""),"")</f>
        <v/>
      </c>
      <c r="AA193" s="136">
        <f t="shared" ref="AA193:AA210" si="78">IF(SelectedSkill8=$H193,1,0)</f>
        <v>0</v>
      </c>
      <c r="AB193" s="150">
        <f>IF(L193-I193-J193-K193-Q193-V193-AA193&gt;0,1,0)</f>
        <v>0</v>
      </c>
      <c r="AC193" s="136">
        <f>IF(AB193=0,0,1)</f>
        <v>0</v>
      </c>
      <c r="AD193" s="136">
        <v>1</v>
      </c>
      <c r="AE193" s="136" t="str">
        <f t="shared" ref="AE193:AE210" si="79">IF($O$191&gt;3,IFERROR(INDEX($H$193:$H$210,MATCH(AD193,AC$193:AC$210,0),1),""),"")</f>
        <v/>
      </c>
      <c r="AF193" s="151">
        <f t="shared" ref="AF193:AF210" si="80">IF(SelectedSkill9=$H193,1,0)</f>
        <v>0</v>
      </c>
      <c r="AG193" s="147">
        <f t="shared" ref="AG193:AG210" si="81">IF(1-I193-J193-K193-Q193-V193-AA193-AF193&gt;0,1,0)</f>
        <v>0</v>
      </c>
      <c r="AH193" s="148">
        <f>IF(AG193=0,0,1)</f>
        <v>0</v>
      </c>
      <c r="AI193" s="148">
        <v>1</v>
      </c>
      <c r="AJ193" s="148" t="str">
        <f t="shared" ref="AJ193:AJ210" si="82">IF($AG$191&gt;0,IFERROR(INDEX($H$193:$H$210,MATCH(AI193,AH$193:AH$210,0),1),""),"")</f>
        <v>Animal Handling</v>
      </c>
      <c r="AK193" s="149">
        <f t="shared" ref="AK193:AK210" si="83">IF(SelectedSkill4=$H193,1,0)</f>
        <v>0</v>
      </c>
      <c r="AL193" s="148">
        <f t="shared" ref="AL193:AL210" si="84">IF(1-I193-J193-K193-Q193-V193-AA193-AF193-AK193&gt;0,1,0)</f>
        <v>0</v>
      </c>
      <c r="AM193" s="148">
        <f>IF(AL193=0,0,1)</f>
        <v>0</v>
      </c>
      <c r="AN193" s="148">
        <v>1</v>
      </c>
      <c r="AO193" s="148" t="str">
        <f t="shared" ref="AO193:AO210" si="85">IF($AG$191&gt;0,IFERROR(INDEX($H$193:$H$210,MATCH(AN193,AM$193:AM$210,0),1),""),"")</f>
        <v>Animal Handling</v>
      </c>
      <c r="AP193" s="149">
        <f t="shared" ref="AP193:AP210" si="86">IF(SelectedSkill5=$H193,1,0)</f>
        <v>0</v>
      </c>
      <c r="AQ193" s="150">
        <f>Y214</f>
        <v>0</v>
      </c>
      <c r="AR193" s="136">
        <f>IF(AQ193-I193-J193-K193-Q193-V193-AA193-AF193-AK193-AP193&gt;0,1,0)</f>
        <v>0</v>
      </c>
      <c r="AS193" s="136">
        <f>IF(AR193=0,0,1)</f>
        <v>0</v>
      </c>
      <c r="AT193" s="136">
        <v>1</v>
      </c>
      <c r="AU193" s="136" t="str">
        <f t="shared" ref="AU193:AU210" si="87">IF($AR$191&gt;0,IFERROR(INDEX($H$193:$H$210,MATCH(AT193,AS$193:AS$210,0),1),""),"")</f>
        <v/>
      </c>
      <c r="AV193" s="151">
        <f t="shared" ref="AV193:AV210" si="88">IF(SelectedSkill10=$H193,1,0)</f>
        <v>0</v>
      </c>
      <c r="AW193" s="136">
        <f>Z214</f>
        <v>0</v>
      </c>
      <c r="AX193" s="136">
        <f>IF(AW193-I193-J193-K193-Q193-V193-AA193-AF193-AK193-AP193-AV193&gt;0,1,0)</f>
        <v>0</v>
      </c>
      <c r="AY193" s="136">
        <f>IF(AX193=0,0,1)</f>
        <v>0</v>
      </c>
      <c r="AZ193" s="136">
        <v>1</v>
      </c>
      <c r="BA193" s="136" t="str">
        <f t="shared" ref="BA193:BA210" si="89">IF($AR$191&gt;1,IFERROR(INDEX($H$193:$H$210,MATCH(AZ193,AY$193:AY$210,0),1),""),"")</f>
        <v/>
      </c>
      <c r="BB193" s="151">
        <f t="shared" ref="BB193:BB210" si="90">IF(SelectedSkill11=$H193,1,0)</f>
        <v>0</v>
      </c>
      <c r="BC193" s="136">
        <f>AA214</f>
        <v>0</v>
      </c>
      <c r="BD193" s="136">
        <f>IF(BC193-BB193-I193-J193-K193-Q193-V193-AA193-AF193-AK193-AP193-AV193&gt;0,1,0)</f>
        <v>0</v>
      </c>
      <c r="BE193" s="136">
        <f>IF(BD193=0,0,1)</f>
        <v>0</v>
      </c>
      <c r="BF193" s="136">
        <v>1</v>
      </c>
      <c r="BG193" s="136" t="str">
        <f t="shared" ref="BG193:BG210" si="91">IF($AR$191&gt;2,IFERROR(INDEX($H$193:$H$210,MATCH(BF193,BE$193:BE$210,0),1),""),"")</f>
        <v/>
      </c>
      <c r="BH193" s="151">
        <f t="shared" ref="BH193:BH210" si="92">IF(SelectedSkill12=$H193,1,0)</f>
        <v>0</v>
      </c>
      <c r="BI193" s="136">
        <f>AB214</f>
        <v>0</v>
      </c>
      <c r="BJ193" s="136">
        <f>IF(BI193-BB193-I193-J193-K193-Q193-V193-AA193-AF193-AK193-AP193-AV193-BH193&gt;0,1,0)</f>
        <v>0</v>
      </c>
      <c r="BK193" s="136">
        <f>IF(BJ193=0,0,1)</f>
        <v>0</v>
      </c>
      <c r="BL193" s="136">
        <v>1</v>
      </c>
      <c r="BM193" s="136" t="str">
        <f t="shared" ref="BM193:BM210" si="93">IF($AR$191&gt;BL$191,IFERROR(INDEX($H$193:$H$210,MATCH(BL193,BK$193:BK$210,0),1),""),"")</f>
        <v/>
      </c>
      <c r="BN193" s="151">
        <f t="shared" ref="BN193:BN210" si="94">IF(SelectedSkill13=$H193,1,0)</f>
        <v>0</v>
      </c>
      <c r="BO193" s="136">
        <f>AC214</f>
        <v>0</v>
      </c>
      <c r="BP193" s="136">
        <f>IF(BO193-BB193-I193-J193-K193-Q193-V193-AA193-AF193-AK193-AP193-AV193-BH193-BN193&gt;0,1,0)</f>
        <v>0</v>
      </c>
      <c r="BQ193" s="136">
        <f>IF(BP193=0,0,1)</f>
        <v>0</v>
      </c>
      <c r="BR193" s="136">
        <v>1</v>
      </c>
      <c r="BS193" s="136" t="str">
        <f t="shared" ref="BS193:BS210" si="95">IF($AR$191&gt;BR$191,IFERROR(INDEX($H$193:$H$210,MATCH(BR193,BQ$193:BQ$210,0),1),""),"")</f>
        <v/>
      </c>
      <c r="BT193" s="151">
        <f t="shared" ref="BT193:BT210" si="96">IF(SelectedSkill14=$H193,1,0)</f>
        <v>0</v>
      </c>
      <c r="BU193" s="136">
        <f>AD214</f>
        <v>0</v>
      </c>
      <c r="BV193" s="136">
        <f>IF(BU193-BB193-I193-J193-K193-Q193-V193-AA193-AF193-AK193-AP193-AV193-BH193-BN193-BT193&gt;0,1,0)</f>
        <v>0</v>
      </c>
      <c r="BW193" s="136">
        <f>IF(BV193=0,0,1)</f>
        <v>0</v>
      </c>
      <c r="BX193" s="136">
        <v>1</v>
      </c>
      <c r="BY193" s="136" t="str">
        <f t="shared" ref="BY193:BY210" si="97">IF($AR$191&gt;BX$191,IFERROR(INDEX($H$193:$H$210,MATCH(BX193,BW$193:BW$210,0),1),""),"")</f>
        <v/>
      </c>
      <c r="BZ193" s="151">
        <f t="shared" ref="BZ193:BZ210" si="98">IF(SelectedSkill15=$H193,1,0)</f>
        <v>0</v>
      </c>
      <c r="CA193" s="136">
        <f>AE214</f>
        <v>0</v>
      </c>
      <c r="CB193" s="136">
        <f>IF(CA193-BB193-I193-J193-K193-Q193-V193-AA193-AF193-AK193-AP193-AV193-BH193-BN193-BT193-BZ193&gt;0,1,0)</f>
        <v>0</v>
      </c>
      <c r="CC193" s="136">
        <f>IF(CB193=0,0,1)</f>
        <v>0</v>
      </c>
      <c r="CD193" s="136">
        <v>1</v>
      </c>
      <c r="CE193" s="136" t="str">
        <f t="shared" ref="CE193:CE210" si="99">IF($AR$191&gt;CD$191,IFERROR(INDEX($H$193:$H$210,MATCH(CD193,CC$193:CC$210,0),1),""),"")</f>
        <v/>
      </c>
      <c r="CF193" s="151">
        <f t="shared" ref="CF193:CF210" si="100">IF(SelectedSkill16=$H193,1,0)</f>
        <v>0</v>
      </c>
      <c r="CG193" s="136">
        <f>AF214</f>
        <v>0</v>
      </c>
      <c r="CH193" s="136">
        <f>IF(CG193-BB193-I193-J193-K193-Q193-V193-AA193-AF193-AK193-AP193-AV193-BH193-BN193-BT193-BZ193-CF193&gt;0,1,0)</f>
        <v>0</v>
      </c>
      <c r="CI193" s="136">
        <f>IF(CH193=0,0,1)</f>
        <v>0</v>
      </c>
      <c r="CJ193" s="136">
        <v>1</v>
      </c>
      <c r="CK193" s="136" t="str">
        <f t="shared" ref="CK193:CK210" si="101">IF($AR$191&gt;CJ$191,IFERROR(INDEX($H$193:$H$210,MATCH(CJ193,CI$193:CI$210,0),1),""),"")</f>
        <v/>
      </c>
      <c r="CL193" s="151">
        <f t="shared" ref="CL193:CL210" si="102">IF(SelectedSkill16=$H193,1,0)</f>
        <v>0</v>
      </c>
      <c r="CM193" s="136">
        <f>AG214</f>
        <v>0</v>
      </c>
      <c r="CN193" s="136">
        <f>IF(CM193-BB193-I193-J193-K193-Q193-V193-AA193-AF193-AK193-AP193-AV193-BH193-BN193-BT193-BZ193-CF193-CL193&gt;0,1,0)</f>
        <v>0</v>
      </c>
      <c r="CO193" s="136">
        <f>IF(CN193=0,0,1)</f>
        <v>0</v>
      </c>
      <c r="CP193" s="136">
        <v>1</v>
      </c>
      <c r="CQ193" s="136" t="str">
        <f t="shared" ref="CQ193:CQ210" si="103">IF($AR$191&gt;CP$191,IFERROR(INDEX($H$193:$H$210,MATCH(CP193,CO$193:CO$210,0),1),""),"")</f>
        <v/>
      </c>
      <c r="CR193" s="151">
        <f t="shared" ref="CR193:CR210" si="104">IF(SelectedSkill16=$H193,1,0)</f>
        <v>0</v>
      </c>
      <c r="CS193" s="136">
        <f>AH214</f>
        <v>0</v>
      </c>
      <c r="CT193" s="136">
        <f>IF(CS193-BB193-I193-J193-K193-Q193-V193-AA193-AF193-AK193-AP193-AV193-BH193-BN193-BT193-BZ193-CF193-CL193-CR193&gt;0,1,0)</f>
        <v>0</v>
      </c>
      <c r="CU193" s="136">
        <f>AH214</f>
        <v>0</v>
      </c>
      <c r="CV193" s="136">
        <v>1</v>
      </c>
      <c r="CW193" s="136" t="str">
        <f t="shared" ref="CW193:CW210" si="105">IF($AR$191&gt;CV$191,IFERROR(INDEX($H$193:$H$210,MATCH(CV193,CU$193:CU$210,0),1),""),"")</f>
        <v/>
      </c>
      <c r="CX193" s="151">
        <f t="shared" ref="CX193:CX210" si="106">IF(SelectedSkill16=$H193,1,0)</f>
        <v>0</v>
      </c>
      <c r="CY193" s="136">
        <f>AI214</f>
        <v>0</v>
      </c>
      <c r="CZ193" s="136">
        <f>IF(CY193-BB193-I193-J193-K193-Q193-V193-AA193-AF193-AK193-AP193-AV193-BH193-BN193-BT193-BZ193-CF193-CL193-CR193-CX193&gt;0,1,0)</f>
        <v>0</v>
      </c>
      <c r="DA193" s="136">
        <f>IF(CZ193=0,0,1)</f>
        <v>0</v>
      </c>
      <c r="DB193" s="136">
        <v>1</v>
      </c>
      <c r="DC193" s="136" t="str">
        <f t="shared" ref="DC193:DC210" si="107">IF($AR$191&gt;DB$191,IFERROR(INDEX($H$193:$H$210,MATCH(DB193,DA$193:DA$210,0),1),""),"")</f>
        <v/>
      </c>
      <c r="DD193" s="151">
        <f t="shared" ref="DD193:DD210" si="108">IF(SelectedSkill16=$H193,1,0)</f>
        <v>0</v>
      </c>
      <c r="DE193" s="136">
        <f>AJ214</f>
        <v>0</v>
      </c>
      <c r="DF193" s="136">
        <f>IF(DE193-DD193-BB193-I193-J193-K193-Q193-V193-AA193-AF193-AK193-AP193-AV193-BH193-BN193-BT193-BZ193-CF193-CL193-CR193-CX193&gt;0,1,0)</f>
        <v>0</v>
      </c>
      <c r="DG193" s="136">
        <f>IF(DF193=0,0,1)</f>
        <v>0</v>
      </c>
      <c r="DH193" s="136">
        <v>1</v>
      </c>
      <c r="DI193" s="136" t="str">
        <f t="shared" ref="DI193:DI210" si="109">IF($AR$191&gt;DH$191,IFERROR(INDEX($H$193:$H$210,MATCH(DH193,DG$193:DG$210,0),1),""),"")</f>
        <v/>
      </c>
      <c r="DJ193" s="151">
        <f t="shared" ref="DJ193:DJ210" si="110">IF(SelectedSkill16=$H193,1,0)</f>
        <v>0</v>
      </c>
      <c r="DK193" s="151"/>
      <c r="DZ193" s="138"/>
    </row>
    <row r="194" spans="1:130" ht="16.5" x14ac:dyDescent="0.3">
      <c r="A194" s="132">
        <f>IFERROR(IF(A193+1&lt;MAX(T041_ClassFeatures!$A$2:$A$2033),A193+1,""),"")</f>
        <v>191</v>
      </c>
      <c r="B194" s="131" t="str">
        <f>IFERROR(INDEX(T041_ClassFeatures!$B$2:$B$2033,MATCH('C03_ClassVariables'!A194,T041_ClassFeatures!$A$2:$A$2033,0),1),"")</f>
        <v>Channel Divinity: Radiance of the Dawn</v>
      </c>
      <c r="C194" s="131">
        <f>IF(B194="",0,IF(IFERROR(MATCH(B194,'C01_BaseCalculation'!$W$160:$W$239,0),0)&gt;0,1,0))</f>
        <v>0</v>
      </c>
      <c r="D194" s="131"/>
      <c r="E194" s="131"/>
      <c r="F194" s="131"/>
      <c r="G194" s="371"/>
      <c r="H194" s="372" t="s">
        <v>79</v>
      </c>
      <c r="I194" s="361">
        <f t="shared" si="70"/>
        <v>0</v>
      </c>
      <c r="J194" s="362">
        <f t="shared" si="71"/>
        <v>0</v>
      </c>
      <c r="K194" s="358">
        <f t="shared" si="72"/>
        <v>0</v>
      </c>
      <c r="L194" s="164">
        <f>INDEX(T03_Skills!$D$2:$AP$19,MATCH(H194,T03_Skills!$B$2:$B$19,0),SelectedClassID)</f>
        <v>1</v>
      </c>
      <c r="M194" s="150">
        <f t="shared" ref="M194:M210" si="111">IF(L194-I194-J194-K194&gt;0,1,0)</f>
        <v>1</v>
      </c>
      <c r="N194" s="136">
        <f>IF(M194=0,0,COUNTIF(N$193:N193,"&gt;0")+1)</f>
        <v>2</v>
      </c>
      <c r="O194" s="136">
        <f>IFERROR(IF($O$191&gt;0,IF(O193&lt;MAX(N$193:N$210),1+COUNTIF(O$193:O193,"&gt;0"),""),""),"")</f>
        <v>2</v>
      </c>
      <c r="P194" s="136" t="str">
        <f t="shared" si="73"/>
        <v>Animal Handling</v>
      </c>
      <c r="Q194" s="136">
        <f t="shared" si="74"/>
        <v>0</v>
      </c>
      <c r="R194" s="150">
        <f t="shared" ref="R194:R210" si="112">IF(L194-I194-J194-K194-Q194&gt;0,1,0)</f>
        <v>1</v>
      </c>
      <c r="S194" s="136">
        <f>IF(R194=0,0,COUNTIF(S$193:S193,"&gt;0")+1)</f>
        <v>1</v>
      </c>
      <c r="T194" s="136">
        <f>IFERROR(IF($O$191&gt;1,IF(T193&lt;MAX(S$193:S$210),1+COUNTIF(T$193:T193,"&gt;0"),""),""),"")</f>
        <v>2</v>
      </c>
      <c r="U194" s="136" t="str">
        <f t="shared" si="75"/>
        <v>Athletics</v>
      </c>
      <c r="V194" s="136">
        <f t="shared" si="76"/>
        <v>0</v>
      </c>
      <c r="W194" s="150">
        <f t="shared" ref="W194:W210" si="113">IF(L194-I194-J194-K194-Q194-V194&gt;0,1,0)</f>
        <v>1</v>
      </c>
      <c r="X194" s="136">
        <f>IF(W194=0,0,COUNTIF(X$193:X193,"&gt;0")+1)</f>
        <v>1</v>
      </c>
      <c r="Y194" s="136" t="str">
        <f>IFERROR(IF($O$191&gt;2,IF(Y193&lt;MAX(X$193:X$210),1+COUNTIF(Y$193:Y193,"&gt;0"),""),""),"")</f>
        <v/>
      </c>
      <c r="Z194" s="136" t="str">
        <f t="shared" si="77"/>
        <v/>
      </c>
      <c r="AA194" s="136">
        <f t="shared" si="78"/>
        <v>0</v>
      </c>
      <c r="AB194" s="150">
        <f t="shared" ref="AB194:AB210" si="114">IF(L194-I194-J194-K194-Q194-V194-AA194&gt;0,1,0)</f>
        <v>1</v>
      </c>
      <c r="AC194" s="136">
        <f>IF(AB194=0,0,COUNTIF(AC$193:AC193,"&gt;0")+1)</f>
        <v>1</v>
      </c>
      <c r="AD194" s="136" t="str">
        <f>IFERROR(IF($O$191&gt;3,IF(AD193&lt;MAX(AC$193:AC$210),1+COUNTIF(AD$193:AD193,"&gt;0"),""),""),"")</f>
        <v/>
      </c>
      <c r="AE194" s="136" t="str">
        <f t="shared" si="79"/>
        <v/>
      </c>
      <c r="AF194" s="151">
        <f t="shared" si="80"/>
        <v>0</v>
      </c>
      <c r="AG194" s="150">
        <f t="shared" si="81"/>
        <v>1</v>
      </c>
      <c r="AH194" s="136">
        <f>IF(AG194=0,0,COUNTIF(AH$193:AH193,"&gt;0")+1)</f>
        <v>1</v>
      </c>
      <c r="AI194" s="136">
        <f>IFERROR(IF($AG$191&gt;0,IF(AI193&lt;MAX(AH$193:AH$210),1+COUNTIF(AI$193:AI193,"&gt;0"),""),""),"")</f>
        <v>2</v>
      </c>
      <c r="AJ194" s="136" t="str">
        <f t="shared" si="82"/>
        <v>Deception</v>
      </c>
      <c r="AK194" s="151">
        <f t="shared" si="83"/>
        <v>0</v>
      </c>
      <c r="AL194" s="136">
        <f t="shared" si="84"/>
        <v>1</v>
      </c>
      <c r="AM194" s="136">
        <f>IF(AL194=0,0,COUNTIF(AM$193:AM193,"&gt;0")+1)</f>
        <v>1</v>
      </c>
      <c r="AN194" s="136">
        <f>IFERROR(IF($AG$191&gt;0,IF(AN193&lt;MAX(AM$193:AM$210),1+COUNTIF(AN$193:AN193,"&gt;0"),""),""),"")</f>
        <v>2</v>
      </c>
      <c r="AO194" s="136" t="str">
        <f t="shared" si="85"/>
        <v>Deception</v>
      </c>
      <c r="AP194" s="151">
        <f t="shared" si="86"/>
        <v>0</v>
      </c>
      <c r="AQ194" s="150">
        <f t="shared" ref="AQ194:AQ210" si="115">Y215</f>
        <v>1</v>
      </c>
      <c r="AR194" s="136">
        <f t="shared" ref="AR194:AR210" si="116">IF(AQ194-I194-J194-K194-Q194-V194-AA194-AF194-AK194-AP194&gt;0,1,0)</f>
        <v>1</v>
      </c>
      <c r="AS194" s="136">
        <f>IF(AR194=0,0,COUNTIF(AS$193:AS193,"&gt;0")+1)</f>
        <v>1</v>
      </c>
      <c r="AT194" s="136" t="str">
        <f>IFERROR(IF($AR$191&gt;0,IF(AT193&lt;MAX(AS$193:AS$210),1+COUNTIF(AT$193:AT193,"&gt;0"),""),""),"")</f>
        <v/>
      </c>
      <c r="AU194" s="136" t="str">
        <f t="shared" si="87"/>
        <v/>
      </c>
      <c r="AV194" s="151">
        <f t="shared" si="88"/>
        <v>0</v>
      </c>
      <c r="AW194" s="136">
        <f t="shared" ref="AW194:AW210" si="117">Z215</f>
        <v>0</v>
      </c>
      <c r="AX194" s="136">
        <f t="shared" ref="AX194:AX210" si="118">IF(AW194-I194-J194-K194-Q194-V194-AA194-AF194-AK194-AP194-AV194&gt;0,1,0)</f>
        <v>0</v>
      </c>
      <c r="AY194" s="136">
        <f>IF(AX194=0,0,COUNTIF(AY$193:AY193,"&gt;0")+1)</f>
        <v>0</v>
      </c>
      <c r="AZ194" s="136" t="str">
        <f>IFERROR(IF($AR$191&gt;1,IF(AZ193&lt;MAX(AY$193:AY$210),1+COUNTIF(AZ$193:AZ193,"&gt;0"),""),""),"")</f>
        <v/>
      </c>
      <c r="BA194" s="136" t="str">
        <f t="shared" si="89"/>
        <v/>
      </c>
      <c r="BB194" s="151">
        <f t="shared" si="90"/>
        <v>0</v>
      </c>
      <c r="BC194" s="136">
        <f t="shared" ref="BC194:BC210" si="119">AA215</f>
        <v>0</v>
      </c>
      <c r="BD194" s="136">
        <f t="shared" ref="BD194:BD210" si="120">IF(BC194-BB194-I194-J194-K194-Q194-V194-AA194-AF194-AK194-AP194-AV194&gt;0,1,0)</f>
        <v>0</v>
      </c>
      <c r="BE194" s="136">
        <f>IF(BD194=0,0,COUNTIF(BE$193:BE193,"&gt;0")+1)</f>
        <v>0</v>
      </c>
      <c r="BF194" s="136" t="str">
        <f>IFERROR(IF($AR$191&gt;2,IF(BF193&lt;MAX(BE$193:BE$210),1+COUNTIF(BF$193:BF193,"&gt;0"),""),""),"")</f>
        <v/>
      </c>
      <c r="BG194" s="136" t="str">
        <f t="shared" si="91"/>
        <v/>
      </c>
      <c r="BH194" s="151">
        <f t="shared" si="92"/>
        <v>0</v>
      </c>
      <c r="BI194" s="136">
        <f t="shared" ref="BI194:BI210" si="121">AB215</f>
        <v>0</v>
      </c>
      <c r="BJ194" s="136">
        <f t="shared" ref="BJ194:BJ210" si="122">IF(BI194-BB194-I194-J194-K194-Q194-V194-AA194-AF194-AK194-AP194-AV194-BH194&gt;0,1,0)</f>
        <v>0</v>
      </c>
      <c r="BK194" s="136">
        <f>IF(BJ194=0,0,COUNTIF(BK$193:BK193,"&gt;0")+1)</f>
        <v>0</v>
      </c>
      <c r="BL194" s="136" t="str">
        <f>IFERROR(IF($AR$191&gt;BL$191,IF(BL193&lt;MAX(BK$193:BK$210),1+COUNTIF(BL$193:BL193,"&gt;0"),""),""),"")</f>
        <v/>
      </c>
      <c r="BM194" s="136" t="str">
        <f t="shared" si="93"/>
        <v/>
      </c>
      <c r="BN194" s="151">
        <f t="shared" si="94"/>
        <v>0</v>
      </c>
      <c r="BO194" s="136">
        <f t="shared" ref="BO194:BO210" si="123">AC215</f>
        <v>0</v>
      </c>
      <c r="BP194" s="136">
        <f t="shared" ref="BP194:BP210" si="124">IF(BO194-BB194-I194-J194-K194-Q194-V194-AA194-AF194-AK194-AP194-AV194-BH194-BN194&gt;0,1,0)</f>
        <v>0</v>
      </c>
      <c r="BQ194" s="136">
        <f>IF(BP194=0,0,COUNTIF(BQ$193:BQ193,"&gt;0")+1)</f>
        <v>0</v>
      </c>
      <c r="BR194" s="136" t="str">
        <f>IFERROR(IF($AR$191&gt;BR$191,IF(BR193&lt;MAX(BQ$193:BQ$210),1+COUNTIF(BR$193:BR193,"&gt;0"),""),""),"")</f>
        <v/>
      </c>
      <c r="BS194" s="136" t="str">
        <f t="shared" si="95"/>
        <v/>
      </c>
      <c r="BT194" s="151">
        <f t="shared" si="96"/>
        <v>0</v>
      </c>
      <c r="BU194" s="136">
        <f t="shared" ref="BU194:BU210" si="125">AD215</f>
        <v>0</v>
      </c>
      <c r="BV194" s="136">
        <f t="shared" ref="BV194:BV210" si="126">IF(BU194-BB194-I194-J194-K194-Q194-V194-AA194-AF194-AK194-AP194-AV194-BH194-BN194-BT194&gt;0,1,0)</f>
        <v>0</v>
      </c>
      <c r="BW194" s="136">
        <f>IF(BV194=0,0,COUNTIF(BW$193:BW193,"&gt;0")+1)</f>
        <v>0</v>
      </c>
      <c r="BX194" s="136" t="str">
        <f>IFERROR(IF($AR$191&gt;BX$191,IF(BX193&lt;MAX(BW$193:BW$210),1+COUNTIF(BX$193:BX193,"&gt;0"),""),""),"")</f>
        <v/>
      </c>
      <c r="BY194" s="136" t="str">
        <f t="shared" si="97"/>
        <v/>
      </c>
      <c r="BZ194" s="151">
        <f t="shared" si="98"/>
        <v>0</v>
      </c>
      <c r="CA194" s="136">
        <f t="shared" ref="CA194:CA210" si="127">AE215</f>
        <v>0</v>
      </c>
      <c r="CB194" s="136">
        <f t="shared" ref="CB194:CB210" si="128">IF(CA194-BB194-I194-J194-K194-Q194-V194-AA194-AF194-AK194-AP194-AV194-BH194-BN194-BT194-BZ194&gt;0,1,0)</f>
        <v>0</v>
      </c>
      <c r="CC194" s="136">
        <f>IF(CB194=0,0,COUNTIF(CC$193:CC193,"&gt;0")+1)</f>
        <v>0</v>
      </c>
      <c r="CD194" s="136" t="str">
        <f>IFERROR(IF($AR$191&gt;CD$191,IF(CD193&lt;MAX(CC$193:CC$210),1+COUNTIF(CD$193:CD193,"&gt;0"),""),""),"")</f>
        <v/>
      </c>
      <c r="CE194" s="136" t="str">
        <f t="shared" si="99"/>
        <v/>
      </c>
      <c r="CF194" s="151">
        <f t="shared" si="100"/>
        <v>0</v>
      </c>
      <c r="CG194" s="136">
        <f t="shared" ref="CG194:CG210" si="129">AF215</f>
        <v>0</v>
      </c>
      <c r="CH194" s="136">
        <f t="shared" ref="CH194:CH210" si="130">IF(CG194-BB194-I194-J194-K194-Q194-V194-AA194-AF194-AK194-AP194-AV194-BH194-BN194-BT194-BZ194-CF194&gt;0,1,0)</f>
        <v>0</v>
      </c>
      <c r="CI194" s="136">
        <f>IF(CH194=0,0,COUNTIF(CI$193:CI193,"&gt;0")+1)</f>
        <v>0</v>
      </c>
      <c r="CJ194" s="136" t="str">
        <f>IFERROR(IF($AR$191&gt;CJ$191,IF(CJ193&lt;MAX(CI$193:CI$210),1+COUNTIF(CJ$193:CJ193,"&gt;0"),""),""),"")</f>
        <v/>
      </c>
      <c r="CK194" s="136" t="str">
        <f t="shared" si="101"/>
        <v/>
      </c>
      <c r="CL194" s="151">
        <f t="shared" si="102"/>
        <v>0</v>
      </c>
      <c r="CM194" s="136">
        <f t="shared" ref="CM194:CM210" si="131">AG215</f>
        <v>0</v>
      </c>
      <c r="CN194" s="136">
        <f t="shared" ref="CN194:CN210" si="132">IF(CM194-BB194-I194-J194-K194-Q194-V194-AA194-AF194-AK194-AP194-AV194-BH194-BN194-BT194-BZ194-CF194-CL194&gt;0,1,0)</f>
        <v>0</v>
      </c>
      <c r="CO194" s="136">
        <f>IF(CN194=0,0,COUNTIF(CO$193:CO193,"&gt;0")+1)</f>
        <v>0</v>
      </c>
      <c r="CP194" s="136" t="str">
        <f>IFERROR(IF($AR$191&gt;CP$191,IF(CP193&lt;MAX(CO$193:CO$210),1+COUNTIF(CP$193:CP193,"&gt;0"),""),""),"")</f>
        <v/>
      </c>
      <c r="CQ194" s="136" t="str">
        <f t="shared" si="103"/>
        <v/>
      </c>
      <c r="CR194" s="151">
        <f t="shared" si="104"/>
        <v>0</v>
      </c>
      <c r="CS194" s="136">
        <f t="shared" ref="CS194:CS210" si="133">AH215</f>
        <v>0</v>
      </c>
      <c r="CT194" s="136">
        <f t="shared" ref="CT194:CT210" si="134">IF(CS194-BB194-I194-J194-K194-Q194-V194-AA194-AF194-AK194-AP194-AV194-BH194-BN194-BT194-BZ194-CF194-CL194-CR194&gt;0,1,0)</f>
        <v>0</v>
      </c>
      <c r="CU194" s="136">
        <f>IF(CT194=0,0,COUNTIF(CU$193:CU193,"&gt;0")+1)</f>
        <v>0</v>
      </c>
      <c r="CV194" s="136" t="str">
        <f>IFERROR(IF($AR$191&gt;CV$191,IF(CV193&lt;MAX(CU$193:CU$210),1+COUNTIF(CV$193:CV193,"&gt;0"),""),""),"")</f>
        <v/>
      </c>
      <c r="CW194" s="136" t="str">
        <f t="shared" si="105"/>
        <v/>
      </c>
      <c r="CX194" s="151">
        <f t="shared" si="106"/>
        <v>0</v>
      </c>
      <c r="CY194" s="136">
        <f t="shared" ref="CY194:CY210" si="135">AI215</f>
        <v>0</v>
      </c>
      <c r="CZ194" s="136">
        <f t="shared" ref="CZ194:CZ210" si="136">IF(CY194-BB194-I194-J194-K194-Q194-V194-AA194-AF194-AK194-AP194-AV194-BH194-BN194-BT194-BZ194-CF194-CL194-CR194-CX194&gt;0,1,0)</f>
        <v>0</v>
      </c>
      <c r="DA194" s="136">
        <f>IF(CZ194=0,0,COUNTIF(DA$193:DA193,"&gt;0")+1)</f>
        <v>0</v>
      </c>
      <c r="DB194" s="136" t="str">
        <f>IFERROR(IF($AR$191&gt;DB$191,IF(DB193&lt;MAX(DA$193:DA$210),1+COUNTIF(DB$193:DB193,"&gt;0"),""),""),"")</f>
        <v/>
      </c>
      <c r="DC194" s="136" t="str">
        <f t="shared" si="107"/>
        <v/>
      </c>
      <c r="DD194" s="151">
        <f t="shared" si="108"/>
        <v>0</v>
      </c>
      <c r="DE194" s="136">
        <f t="shared" ref="DE194:DE210" si="137">AJ215</f>
        <v>0</v>
      </c>
      <c r="DF194" s="136">
        <f t="shared" ref="DF194:DF210" si="138">IF(DE194-DD194-BB194-I194-J194-K194-Q194-V194-AA194-AF194-AK194-AP194-AV194-BH194-BN194-BT194-BZ194-CF194-CL194-CR194-CX194&gt;0,1,0)</f>
        <v>0</v>
      </c>
      <c r="DG194" s="136">
        <f>IF(DF194=0,0,COUNTIF(DG$193:DG193,"&gt;0")+1)</f>
        <v>0</v>
      </c>
      <c r="DH194" s="136" t="str">
        <f>IFERROR(IF($AR$191&gt;DH$191,IF(DH193&lt;MAX(DG$193:DG$210),1+COUNTIF(DH$193:DH193,"&gt;0"),""),""),"")</f>
        <v/>
      </c>
      <c r="DI194" s="136" t="str">
        <f t="shared" si="109"/>
        <v/>
      </c>
      <c r="DJ194" s="151">
        <f t="shared" si="110"/>
        <v>0</v>
      </c>
      <c r="DK194" s="151"/>
      <c r="DZ194" s="138"/>
    </row>
    <row r="195" spans="1:130" ht="16.5" x14ac:dyDescent="0.3">
      <c r="A195" s="132">
        <f>IFERROR(IF(A194+1&lt;MAX(T041_ClassFeatures!$A$2:$A$2033),A194+1,""),"")</f>
        <v>192</v>
      </c>
      <c r="B195" s="131" t="str">
        <f>IFERROR(INDEX(T041_ClassFeatures!$B$2:$B$2033,MATCH('C03_ClassVariables'!A195,T041_ClassFeatures!$A$2:$A$2033,0),1),"")</f>
        <v>Improved Flare</v>
      </c>
      <c r="C195" s="131">
        <f>IF(B195="",0,IF(IFERROR(MATCH(B195,'C01_BaseCalculation'!$W$160:$W$239,0),0)&gt;0,1,0))</f>
        <v>0</v>
      </c>
      <c r="D195" s="131"/>
      <c r="E195" s="131"/>
      <c r="F195" s="131"/>
      <c r="G195" s="371"/>
      <c r="H195" s="372" t="s">
        <v>83</v>
      </c>
      <c r="I195" s="361">
        <f t="shared" si="70"/>
        <v>1</v>
      </c>
      <c r="J195" s="362">
        <f t="shared" si="71"/>
        <v>0</v>
      </c>
      <c r="K195" s="358">
        <f t="shared" si="72"/>
        <v>0</v>
      </c>
      <c r="L195" s="164">
        <f>INDEX(T03_Skills!$D$2:$AP$19,MATCH(H195,T03_Skills!$B$2:$B$19,0),SelectedClassID)</f>
        <v>0</v>
      </c>
      <c r="M195" s="150">
        <f t="shared" si="111"/>
        <v>0</v>
      </c>
      <c r="N195" s="136">
        <f>IF(M195=0,0,COUNTIF($N$193:N194,"&gt;0")+1)</f>
        <v>0</v>
      </c>
      <c r="O195" s="136">
        <f>IFERROR(IF($O$191&gt;0,IF(O194&lt;MAX(N$193:N$210),1+COUNTIF(O$193:O194,"&gt;0"),""),""),"")</f>
        <v>3</v>
      </c>
      <c r="P195" s="136" t="str">
        <f t="shared" si="73"/>
        <v>Athletics</v>
      </c>
      <c r="Q195" s="136">
        <f t="shared" si="74"/>
        <v>0</v>
      </c>
      <c r="R195" s="150">
        <f t="shared" si="112"/>
        <v>0</v>
      </c>
      <c r="S195" s="136">
        <f>IF(R195=0,0,COUNTIF(S$193:S194,"&gt;0")+1)</f>
        <v>0</v>
      </c>
      <c r="T195" s="136">
        <f>IFERROR(IF($O$191&gt;1,IF(T194&lt;MAX(S$193:S$210),1+COUNTIF(T$193:T194,"&gt;0"),""),""),"")</f>
        <v>3</v>
      </c>
      <c r="U195" s="136" t="str">
        <f t="shared" si="75"/>
        <v>Insight</v>
      </c>
      <c r="V195" s="136">
        <f t="shared" si="76"/>
        <v>0</v>
      </c>
      <c r="W195" s="150">
        <f t="shared" si="113"/>
        <v>0</v>
      </c>
      <c r="X195" s="136">
        <f>IF(W195=0,0,COUNTIF(X$193:X194,"&gt;0")+1)</f>
        <v>0</v>
      </c>
      <c r="Y195" s="136" t="str">
        <f>IFERROR(IF($O$191&gt;2,IF(Y194&lt;MAX(X$193:X$210),1+COUNTIF(Y$193:Y194,"&gt;0"),""),""),"")</f>
        <v/>
      </c>
      <c r="Z195" s="136" t="str">
        <f t="shared" si="77"/>
        <v/>
      </c>
      <c r="AA195" s="136">
        <f t="shared" si="78"/>
        <v>0</v>
      </c>
      <c r="AB195" s="150">
        <f t="shared" si="114"/>
        <v>0</v>
      </c>
      <c r="AC195" s="136">
        <f>IF(AB195=0,0,COUNTIF(AC$193:AC194,"&gt;0")+1)</f>
        <v>0</v>
      </c>
      <c r="AD195" s="136" t="str">
        <f>IFERROR(IF($O$191&gt;3,IF(AD194&lt;MAX(AC$193:AC$210),1+COUNTIF(AD$193:AD194,"&gt;0"),""),""),"")</f>
        <v/>
      </c>
      <c r="AE195" s="136" t="str">
        <f t="shared" si="79"/>
        <v/>
      </c>
      <c r="AF195" s="151">
        <f t="shared" si="80"/>
        <v>0</v>
      </c>
      <c r="AG195" s="150">
        <f t="shared" si="81"/>
        <v>0</v>
      </c>
      <c r="AH195" s="136">
        <f>IF(AG195=0,0,COUNTIF(AH$193:AH194,"&gt;0")+1)</f>
        <v>0</v>
      </c>
      <c r="AI195" s="136">
        <f>IFERROR(IF($AG$191&gt;0,IF(AI194&lt;MAX(AH$193:AH$210),1+COUNTIF(AI$193:AI194,"&gt;0"),""),""),"")</f>
        <v>3</v>
      </c>
      <c r="AJ195" s="136" t="str">
        <f t="shared" si="82"/>
        <v>Insight</v>
      </c>
      <c r="AK195" s="151">
        <f t="shared" si="83"/>
        <v>0</v>
      </c>
      <c r="AL195" s="136">
        <f t="shared" si="84"/>
        <v>0</v>
      </c>
      <c r="AM195" s="136">
        <f>IF(AL195=0,0,COUNTIF(AM$193:AM194,"&gt;0")+1)</f>
        <v>0</v>
      </c>
      <c r="AN195" s="136">
        <f>IFERROR(IF($AG$191&gt;0,IF(AN194&lt;MAX(AM$193:AM$210),1+COUNTIF(AN$193:AN194,"&gt;0"),""),""),"")</f>
        <v>3</v>
      </c>
      <c r="AO195" s="136" t="str">
        <f t="shared" si="85"/>
        <v>Insight</v>
      </c>
      <c r="AP195" s="151">
        <f t="shared" si="86"/>
        <v>0</v>
      </c>
      <c r="AQ195" s="150">
        <f t="shared" si="115"/>
        <v>0</v>
      </c>
      <c r="AR195" s="136">
        <f t="shared" si="116"/>
        <v>0</v>
      </c>
      <c r="AS195" s="136">
        <f>IF(AR195=0,0,COUNTIF(AS$193:AS194,"&gt;0")+1)</f>
        <v>0</v>
      </c>
      <c r="AT195" s="136" t="str">
        <f>IFERROR(IF($AR$191&gt;0,IF(AT194&lt;MAX(AS$193:AS$210),1+COUNTIF(AT$193:AT194,"&gt;0"),""),""),"")</f>
        <v/>
      </c>
      <c r="AU195" s="136" t="str">
        <f t="shared" si="87"/>
        <v/>
      </c>
      <c r="AV195" s="151">
        <f t="shared" si="88"/>
        <v>0</v>
      </c>
      <c r="AW195" s="136">
        <f t="shared" si="117"/>
        <v>0</v>
      </c>
      <c r="AX195" s="136">
        <f t="shared" si="118"/>
        <v>0</v>
      </c>
      <c r="AY195" s="136">
        <f>IF(AX195=0,0,COUNTIF(AY$193:AY194,"&gt;0")+1)</f>
        <v>0</v>
      </c>
      <c r="AZ195" s="136" t="str">
        <f>IFERROR(IF($AR$191&gt;1,IF(AZ194&lt;MAX(AY$193:AY$210),1+COUNTIF(AZ$193:AZ194,"&gt;0"),""),""),"")</f>
        <v/>
      </c>
      <c r="BA195" s="136" t="str">
        <f t="shared" si="89"/>
        <v/>
      </c>
      <c r="BB195" s="151">
        <f t="shared" si="90"/>
        <v>0</v>
      </c>
      <c r="BC195" s="136">
        <f t="shared" si="119"/>
        <v>0</v>
      </c>
      <c r="BD195" s="136">
        <f t="shared" si="120"/>
        <v>0</v>
      </c>
      <c r="BE195" s="136">
        <f>IF(BD195=0,0,COUNTIF(BE$193:BE194,"&gt;0")+1)</f>
        <v>0</v>
      </c>
      <c r="BF195" s="136" t="str">
        <f>IFERROR(IF($AR$191&gt;2,IF(BF194&lt;MAX(BE$193:BE$210),1+COUNTIF(BF$193:BF194,"&gt;0"),""),""),"")</f>
        <v/>
      </c>
      <c r="BG195" s="136" t="str">
        <f t="shared" si="91"/>
        <v/>
      </c>
      <c r="BH195" s="151">
        <f t="shared" si="92"/>
        <v>0</v>
      </c>
      <c r="BI195" s="136">
        <f t="shared" si="121"/>
        <v>0</v>
      </c>
      <c r="BJ195" s="136">
        <f t="shared" si="122"/>
        <v>0</v>
      </c>
      <c r="BK195" s="136">
        <f>IF(BJ195=0,0,COUNTIF(BK$193:BK194,"&gt;0")+1)</f>
        <v>0</v>
      </c>
      <c r="BL195" s="136" t="str">
        <f>IFERROR(IF($AR$191&gt;BL$191,IF(BL194&lt;MAX(BK$193:BK$210),1+COUNTIF(BL$193:BL194,"&gt;0"),""),""),"")</f>
        <v/>
      </c>
      <c r="BM195" s="136" t="str">
        <f t="shared" si="93"/>
        <v/>
      </c>
      <c r="BN195" s="151">
        <f t="shared" si="94"/>
        <v>0</v>
      </c>
      <c r="BO195" s="136">
        <f t="shared" si="123"/>
        <v>0</v>
      </c>
      <c r="BP195" s="136">
        <f t="shared" si="124"/>
        <v>0</v>
      </c>
      <c r="BQ195" s="136">
        <f>IF(BP195=0,0,COUNTIF(BQ$193:BQ194,"&gt;0")+1)</f>
        <v>0</v>
      </c>
      <c r="BR195" s="136" t="str">
        <f>IFERROR(IF($AR$191&gt;BR$191,IF(BR194&lt;MAX(BQ$193:BQ$210),1+COUNTIF(BR$193:BR194,"&gt;0"),""),""),"")</f>
        <v/>
      </c>
      <c r="BS195" s="136" t="str">
        <f t="shared" si="95"/>
        <v/>
      </c>
      <c r="BT195" s="151">
        <f t="shared" si="96"/>
        <v>0</v>
      </c>
      <c r="BU195" s="136">
        <f t="shared" si="125"/>
        <v>0</v>
      </c>
      <c r="BV195" s="136">
        <f>IF(BU195-BB195-I195-J195-K195-Q195-V195-AA195-AF195-AK195-AP195-AV195-BH195-BN195-BT195&gt;0,1,0)</f>
        <v>0</v>
      </c>
      <c r="BW195" s="136">
        <f>IF(BV195=0,0,COUNTIF(BW$193:BW194,"&gt;0")+1)</f>
        <v>0</v>
      </c>
      <c r="BX195" s="136" t="str">
        <f>IFERROR(IF($AR$191&gt;BX$191,IF(BX194&lt;MAX(BW$193:BW$210),1+COUNTIF(BX$193:BX194,"&gt;0"),""),""),"")</f>
        <v/>
      </c>
      <c r="BY195" s="136" t="str">
        <f t="shared" si="97"/>
        <v/>
      </c>
      <c r="BZ195" s="151">
        <f t="shared" si="98"/>
        <v>0</v>
      </c>
      <c r="CA195" s="136">
        <f t="shared" si="127"/>
        <v>0</v>
      </c>
      <c r="CB195" s="136">
        <f t="shared" si="128"/>
        <v>0</v>
      </c>
      <c r="CC195" s="136">
        <f>IF(CB195=0,0,COUNTIF(CC$193:CC194,"&gt;0")+1)</f>
        <v>0</v>
      </c>
      <c r="CD195" s="136" t="str">
        <f>IFERROR(IF($AR$191&gt;CD$191,IF(CD194&lt;MAX(CC$193:CC$210),1+COUNTIF(CD$193:CD194,"&gt;0"),""),""),"")</f>
        <v/>
      </c>
      <c r="CE195" s="136" t="str">
        <f t="shared" si="99"/>
        <v/>
      </c>
      <c r="CF195" s="151">
        <f t="shared" si="100"/>
        <v>0</v>
      </c>
      <c r="CG195" s="136">
        <f t="shared" si="129"/>
        <v>0</v>
      </c>
      <c r="CH195" s="136">
        <f t="shared" si="130"/>
        <v>0</v>
      </c>
      <c r="CI195" s="136">
        <f>IF(CH195=0,0,COUNTIF(CI$193:CI194,"&gt;0")+1)</f>
        <v>0</v>
      </c>
      <c r="CJ195" s="136" t="str">
        <f>IFERROR(IF($AR$191&gt;CJ$191,IF(CJ194&lt;MAX(CI$193:CI$210),1+COUNTIF(CJ$193:CJ194,"&gt;0"),""),""),"")</f>
        <v/>
      </c>
      <c r="CK195" s="136" t="str">
        <f t="shared" si="101"/>
        <v/>
      </c>
      <c r="CL195" s="151">
        <f t="shared" si="102"/>
        <v>0</v>
      </c>
      <c r="CM195" s="136">
        <f t="shared" si="131"/>
        <v>0</v>
      </c>
      <c r="CN195" s="136">
        <f t="shared" si="132"/>
        <v>0</v>
      </c>
      <c r="CO195" s="136">
        <f>IF(CN195=0,0,COUNTIF(CO$193:CO194,"&gt;0")+1)</f>
        <v>0</v>
      </c>
      <c r="CP195" s="136" t="str">
        <f>IFERROR(IF($AR$191&gt;CP$191,IF(CP194&lt;MAX(CO$193:CO$210),1+COUNTIF(CP$193:CP194,"&gt;0"),""),""),"")</f>
        <v/>
      </c>
      <c r="CQ195" s="136" t="str">
        <f t="shared" si="103"/>
        <v/>
      </c>
      <c r="CR195" s="151">
        <f t="shared" si="104"/>
        <v>0</v>
      </c>
      <c r="CS195" s="136">
        <f t="shared" si="133"/>
        <v>0</v>
      </c>
      <c r="CT195" s="136">
        <f t="shared" si="134"/>
        <v>0</v>
      </c>
      <c r="CU195" s="136">
        <f>IF(CT195=0,0,COUNTIF(CU$193:CU194,"&gt;0")+1)</f>
        <v>0</v>
      </c>
      <c r="CV195" s="136" t="str">
        <f>IFERROR(IF($AR$191&gt;CV$191,IF(CV194&lt;MAX(CU$193:CU$210),1+COUNTIF(CV$193:CV194,"&gt;0"),""),""),"")</f>
        <v/>
      </c>
      <c r="CW195" s="136" t="str">
        <f t="shared" si="105"/>
        <v/>
      </c>
      <c r="CX195" s="151">
        <f t="shared" si="106"/>
        <v>0</v>
      </c>
      <c r="CY195" s="136">
        <f t="shared" si="135"/>
        <v>0</v>
      </c>
      <c r="CZ195" s="136">
        <f t="shared" si="136"/>
        <v>0</v>
      </c>
      <c r="DA195" s="136">
        <f>IF(CZ195=0,0,COUNTIF(DA$193:DA194,"&gt;0")+1)</f>
        <v>0</v>
      </c>
      <c r="DB195" s="136" t="str">
        <f>IFERROR(IF($AR$191&gt;DB$191,IF(DB194&lt;MAX(DA$193:DA$210),1+COUNTIF(DB$193:DB194,"&gt;0"),""),""),"")</f>
        <v/>
      </c>
      <c r="DC195" s="136" t="str">
        <f t="shared" si="107"/>
        <v/>
      </c>
      <c r="DD195" s="151">
        <f t="shared" si="108"/>
        <v>0</v>
      </c>
      <c r="DE195" s="136">
        <f t="shared" si="137"/>
        <v>0</v>
      </c>
      <c r="DF195" s="136">
        <f t="shared" si="138"/>
        <v>0</v>
      </c>
      <c r="DG195" s="136">
        <f>IF(DF195=0,0,COUNTIF(DG$193:DG194,"&gt;0")+1)</f>
        <v>0</v>
      </c>
      <c r="DH195" s="136" t="str">
        <f>IFERROR(IF($AR$191&gt;DH$191,IF(DH194&lt;MAX(DG$193:DG$210),1+COUNTIF(DH$193:DH194,"&gt;0"),""),""),"")</f>
        <v/>
      </c>
      <c r="DI195" s="136" t="str">
        <f t="shared" si="109"/>
        <v/>
      </c>
      <c r="DJ195" s="151">
        <f t="shared" si="110"/>
        <v>0</v>
      </c>
      <c r="DK195" s="151"/>
      <c r="DZ195" s="138"/>
    </row>
    <row r="196" spans="1:130" ht="16.5" x14ac:dyDescent="0.3">
      <c r="A196" s="132">
        <f>IFERROR(IF(A195+1&lt;MAX(T041_ClassFeatures!$A$2:$A$2033),A195+1,""),"")</f>
        <v>193</v>
      </c>
      <c r="B196" s="131" t="str">
        <f>IFERROR(INDEX(T041_ClassFeatures!$B$2:$B$2033,MATCH('C03_ClassVariables'!A196,T041_ClassFeatures!$A$2:$A$2033,0),1),"")</f>
        <v>Potent Spellcasting</v>
      </c>
      <c r="C196" s="131">
        <f>IF(B196="",0,IF(IFERROR(MATCH(B196,'C01_BaseCalculation'!$W$160:$W$239,0),0)&gt;0,1,0))</f>
        <v>0</v>
      </c>
      <c r="D196" s="131"/>
      <c r="E196" s="131"/>
      <c r="F196" s="131"/>
      <c r="G196" s="371"/>
      <c r="H196" s="372" t="s">
        <v>86</v>
      </c>
      <c r="I196" s="361">
        <f t="shared" si="70"/>
        <v>0</v>
      </c>
      <c r="J196" s="362">
        <f t="shared" si="71"/>
        <v>0</v>
      </c>
      <c r="K196" s="358">
        <f t="shared" si="72"/>
        <v>0</v>
      </c>
      <c r="L196" s="164">
        <f>INDEX(T03_Skills!$D$2:$AP$19,MATCH(H196,T03_Skills!$B$2:$B$19,0),SelectedClassID)</f>
        <v>1</v>
      </c>
      <c r="M196" s="150">
        <f t="shared" si="111"/>
        <v>1</v>
      </c>
      <c r="N196" s="136">
        <f>IF(M196=0,0,COUNTIF($N$193:N195,"&gt;0")+1)</f>
        <v>3</v>
      </c>
      <c r="O196" s="136">
        <f>IFERROR(IF($O$191&gt;0,IF(O195&lt;MAX(N$193:N$210),1+COUNTIF(O$193:O195,"&gt;0"),""),""),"")</f>
        <v>4</v>
      </c>
      <c r="P196" s="136" t="str">
        <f t="shared" si="73"/>
        <v>Insight</v>
      </c>
      <c r="Q196" s="136">
        <f t="shared" si="74"/>
        <v>0</v>
      </c>
      <c r="R196" s="150">
        <f t="shared" si="112"/>
        <v>1</v>
      </c>
      <c r="S196" s="136">
        <f>IF(R196=0,0,COUNTIF(S$193:S195,"&gt;0")+1)</f>
        <v>2</v>
      </c>
      <c r="T196" s="136">
        <f>IFERROR(IF($O$191&gt;1,IF(T195&lt;MAX(S$193:S$210),1+COUNTIF(T$193:T195,"&gt;0"),""),""),"")</f>
        <v>4</v>
      </c>
      <c r="U196" s="136" t="str">
        <f t="shared" si="75"/>
        <v>Intimidation</v>
      </c>
      <c r="V196" s="136">
        <f t="shared" si="76"/>
        <v>1</v>
      </c>
      <c r="W196" s="150">
        <f t="shared" si="113"/>
        <v>0</v>
      </c>
      <c r="X196" s="136">
        <f>IF(W196=0,0,COUNTIF(X$193:X195,"&gt;0")+1)</f>
        <v>0</v>
      </c>
      <c r="Y196" s="136" t="str">
        <f>IFERROR(IF($O$191&gt;2,IF(Y195&lt;MAX(X$193:X$210),1+COUNTIF(Y$193:Y195,"&gt;0"),""),""),"")</f>
        <v/>
      </c>
      <c r="Z196" s="136" t="str">
        <f t="shared" si="77"/>
        <v/>
      </c>
      <c r="AA196" s="136">
        <f t="shared" si="78"/>
        <v>0</v>
      </c>
      <c r="AB196" s="150">
        <f t="shared" si="114"/>
        <v>0</v>
      </c>
      <c r="AC196" s="136">
        <f>IF(AB196=0,0,COUNTIF(AC$193:AC195,"&gt;0")+1)</f>
        <v>0</v>
      </c>
      <c r="AD196" s="136" t="str">
        <f>IFERROR(IF($O$191&gt;3,IF(AD195&lt;MAX(AC$193:AC$210),1+COUNTIF(AD$193:AD195,"&gt;0"),""),""),"")</f>
        <v/>
      </c>
      <c r="AE196" s="136" t="str">
        <f t="shared" si="79"/>
        <v/>
      </c>
      <c r="AF196" s="151">
        <f t="shared" si="80"/>
        <v>0</v>
      </c>
      <c r="AG196" s="150">
        <f t="shared" si="81"/>
        <v>0</v>
      </c>
      <c r="AH196" s="136">
        <f>IF(AG196=0,0,COUNTIF(AH$193:AH195,"&gt;0")+1)</f>
        <v>0</v>
      </c>
      <c r="AI196" s="136">
        <f>IFERROR(IF($AG$191&gt;0,IF(AI195&lt;MAX(AH$193:AH$210),1+COUNTIF(AI$193:AI195,"&gt;0"),""),""),"")</f>
        <v>4</v>
      </c>
      <c r="AJ196" s="136" t="str">
        <f t="shared" si="82"/>
        <v>Intimidation</v>
      </c>
      <c r="AK196" s="151">
        <f t="shared" si="83"/>
        <v>0</v>
      </c>
      <c r="AL196" s="136">
        <f t="shared" si="84"/>
        <v>0</v>
      </c>
      <c r="AM196" s="136">
        <f>IF(AL196=0,0,COUNTIF(AM$193:AM195,"&gt;0")+1)</f>
        <v>0</v>
      </c>
      <c r="AN196" s="136">
        <f>IFERROR(IF($AG$191&gt;0,IF(AN195&lt;MAX(AM$193:AM$210),1+COUNTIF(AN$193:AN195,"&gt;0"),""),""),"")</f>
        <v>4</v>
      </c>
      <c r="AO196" s="136" t="str">
        <f t="shared" si="85"/>
        <v>Intimidation</v>
      </c>
      <c r="AP196" s="151">
        <f t="shared" si="86"/>
        <v>0</v>
      </c>
      <c r="AQ196" s="150">
        <f t="shared" si="115"/>
        <v>0</v>
      </c>
      <c r="AR196" s="136">
        <f t="shared" si="116"/>
        <v>0</v>
      </c>
      <c r="AS196" s="136">
        <f>IF(AR196=0,0,COUNTIF(AS$193:AS195,"&gt;0")+1)</f>
        <v>0</v>
      </c>
      <c r="AT196" s="136" t="str">
        <f>IFERROR(IF($AR$191&gt;0,IF(AT195&lt;MAX(AS$193:AS$210),1+COUNTIF(AT$193:AT195,"&gt;0"),""),""),"")</f>
        <v/>
      </c>
      <c r="AU196" s="136" t="str">
        <f t="shared" si="87"/>
        <v/>
      </c>
      <c r="AV196" s="151">
        <f t="shared" si="88"/>
        <v>0</v>
      </c>
      <c r="AW196" s="136">
        <f t="shared" si="117"/>
        <v>0</v>
      </c>
      <c r="AX196" s="136">
        <f t="shared" si="118"/>
        <v>0</v>
      </c>
      <c r="AY196" s="136">
        <f>IF(AX196=0,0,COUNTIF(AY$193:AY195,"&gt;0")+1)</f>
        <v>0</v>
      </c>
      <c r="AZ196" s="136" t="str">
        <f>IFERROR(IF($AR$191&gt;1,IF(AZ195&lt;MAX(AY$193:AY$210),1+COUNTIF(AZ$193:AZ195,"&gt;0"),""),""),"")</f>
        <v/>
      </c>
      <c r="BA196" s="136" t="str">
        <f t="shared" si="89"/>
        <v/>
      </c>
      <c r="BB196" s="151">
        <f t="shared" si="90"/>
        <v>0</v>
      </c>
      <c r="BC196" s="136">
        <f t="shared" si="119"/>
        <v>0</v>
      </c>
      <c r="BD196" s="136">
        <f t="shared" si="120"/>
        <v>0</v>
      </c>
      <c r="BE196" s="136">
        <f>IF(BD196=0,0,COUNTIF(BE$193:BE195,"&gt;0")+1)</f>
        <v>0</v>
      </c>
      <c r="BF196" s="136" t="str">
        <f>IFERROR(IF($AR$191&gt;2,IF(BF195&lt;MAX(BE$193:BE$210),1+COUNTIF(BF$193:BF195,"&gt;0"),""),""),"")</f>
        <v/>
      </c>
      <c r="BG196" s="136" t="str">
        <f t="shared" si="91"/>
        <v/>
      </c>
      <c r="BH196" s="151">
        <f t="shared" si="92"/>
        <v>0</v>
      </c>
      <c r="BI196" s="136">
        <f t="shared" si="121"/>
        <v>0</v>
      </c>
      <c r="BJ196" s="136">
        <f t="shared" si="122"/>
        <v>0</v>
      </c>
      <c r="BK196" s="136">
        <f>IF(BJ196=0,0,COUNTIF(BK$193:BK195,"&gt;0")+1)</f>
        <v>0</v>
      </c>
      <c r="BL196" s="136" t="str">
        <f>IFERROR(IF($AR$191&gt;BL$191,IF(BL195&lt;MAX(BK$193:BK$210),1+COUNTIF(BL$193:BL195,"&gt;0"),""),""),"")</f>
        <v/>
      </c>
      <c r="BM196" s="136" t="str">
        <f t="shared" si="93"/>
        <v/>
      </c>
      <c r="BN196" s="151">
        <f t="shared" si="94"/>
        <v>0</v>
      </c>
      <c r="BO196" s="136">
        <f t="shared" si="123"/>
        <v>0</v>
      </c>
      <c r="BP196" s="136">
        <f t="shared" si="124"/>
        <v>0</v>
      </c>
      <c r="BQ196" s="136">
        <f>IF(BP196=0,0,COUNTIF(BQ$193:BQ195,"&gt;0")+1)</f>
        <v>0</v>
      </c>
      <c r="BR196" s="136" t="str">
        <f>IFERROR(IF($AR$191&gt;BR$191,IF(BR195&lt;MAX(BQ$193:BQ$210),1+COUNTIF(BR$193:BR195,"&gt;0"),""),""),"")</f>
        <v/>
      </c>
      <c r="BS196" s="136" t="str">
        <f t="shared" si="95"/>
        <v/>
      </c>
      <c r="BT196" s="151">
        <f t="shared" si="96"/>
        <v>0</v>
      </c>
      <c r="BU196" s="136">
        <f t="shared" si="125"/>
        <v>0</v>
      </c>
      <c r="BV196" s="136">
        <f t="shared" si="126"/>
        <v>0</v>
      </c>
      <c r="BW196" s="136">
        <f>IF(BV196=0,0,COUNTIF(BW$193:BW195,"&gt;0")+1)</f>
        <v>0</v>
      </c>
      <c r="BX196" s="136" t="str">
        <f>IFERROR(IF($AR$191&gt;BX$191,IF(BX195&lt;MAX(BW$193:BW$210),1+COUNTIF(BX$193:BX195,"&gt;0"),""),""),"")</f>
        <v/>
      </c>
      <c r="BY196" s="136" t="str">
        <f t="shared" si="97"/>
        <v/>
      </c>
      <c r="BZ196" s="151">
        <f t="shared" si="98"/>
        <v>0</v>
      </c>
      <c r="CA196" s="136">
        <f t="shared" si="127"/>
        <v>0</v>
      </c>
      <c r="CB196" s="136">
        <f t="shared" si="128"/>
        <v>0</v>
      </c>
      <c r="CC196" s="136">
        <f>IF(CB196=0,0,COUNTIF(CC$193:CC195,"&gt;0")+1)</f>
        <v>0</v>
      </c>
      <c r="CD196" s="136" t="str">
        <f>IFERROR(IF($AR$191&gt;CD$191,IF(CD195&lt;MAX(CC$193:CC$210),1+COUNTIF(CD$193:CD195,"&gt;0"),""),""),"")</f>
        <v/>
      </c>
      <c r="CE196" s="136" t="str">
        <f t="shared" si="99"/>
        <v/>
      </c>
      <c r="CF196" s="151">
        <f t="shared" si="100"/>
        <v>0</v>
      </c>
      <c r="CG196" s="136">
        <f t="shared" si="129"/>
        <v>0</v>
      </c>
      <c r="CH196" s="136">
        <f t="shared" si="130"/>
        <v>0</v>
      </c>
      <c r="CI196" s="136">
        <f>IF(CH196=0,0,COUNTIF(CI$193:CI195,"&gt;0")+1)</f>
        <v>0</v>
      </c>
      <c r="CJ196" s="136" t="str">
        <f>IFERROR(IF($AR$191&gt;CJ$191,IF(CJ195&lt;MAX(CI$193:CI$210),1+COUNTIF(CJ$193:CJ195,"&gt;0"),""),""),"")</f>
        <v/>
      </c>
      <c r="CK196" s="136" t="str">
        <f t="shared" si="101"/>
        <v/>
      </c>
      <c r="CL196" s="151">
        <f t="shared" si="102"/>
        <v>0</v>
      </c>
      <c r="CM196" s="136">
        <f t="shared" si="131"/>
        <v>0</v>
      </c>
      <c r="CN196" s="136">
        <f t="shared" si="132"/>
        <v>0</v>
      </c>
      <c r="CO196" s="136">
        <f>IF(CN196=0,0,COUNTIF(CO$193:CO195,"&gt;0")+1)</f>
        <v>0</v>
      </c>
      <c r="CP196" s="136" t="str">
        <f>IFERROR(IF($AR$191&gt;CP$191,IF(CP195&lt;MAX(CO$193:CO$210),1+COUNTIF(CP$193:CP195,"&gt;0"),""),""),"")</f>
        <v/>
      </c>
      <c r="CQ196" s="136" t="str">
        <f t="shared" si="103"/>
        <v/>
      </c>
      <c r="CR196" s="151">
        <f t="shared" si="104"/>
        <v>0</v>
      </c>
      <c r="CS196" s="136">
        <f t="shared" si="133"/>
        <v>0</v>
      </c>
      <c r="CT196" s="136">
        <f t="shared" si="134"/>
        <v>0</v>
      </c>
      <c r="CU196" s="136">
        <f>IF(CT196=0,0,COUNTIF(CU$193:CU195,"&gt;0")+1)</f>
        <v>0</v>
      </c>
      <c r="CV196" s="136" t="str">
        <f>IFERROR(IF($AR$191&gt;CV$191,IF(CV195&lt;MAX(CU$193:CU$210),1+COUNTIF(CV$193:CV195,"&gt;0"),""),""),"")</f>
        <v/>
      </c>
      <c r="CW196" s="136" t="str">
        <f t="shared" si="105"/>
        <v/>
      </c>
      <c r="CX196" s="151">
        <f t="shared" si="106"/>
        <v>0</v>
      </c>
      <c r="CY196" s="136">
        <f t="shared" si="135"/>
        <v>0</v>
      </c>
      <c r="CZ196" s="136">
        <f t="shared" si="136"/>
        <v>0</v>
      </c>
      <c r="DA196" s="136">
        <f>IF(CZ196=0,0,COUNTIF(DA$193:DA195,"&gt;0")+1)</f>
        <v>0</v>
      </c>
      <c r="DB196" s="136" t="str">
        <f>IFERROR(IF($AR$191&gt;DB$191,IF(DB195&lt;MAX(DA$193:DA$210),1+COUNTIF(DB$193:DB195,"&gt;0"),""),""),"")</f>
        <v/>
      </c>
      <c r="DC196" s="136" t="str">
        <f t="shared" si="107"/>
        <v/>
      </c>
      <c r="DD196" s="151">
        <f t="shared" si="108"/>
        <v>0</v>
      </c>
      <c r="DE196" s="136">
        <f t="shared" si="137"/>
        <v>0</v>
      </c>
      <c r="DF196" s="136">
        <f t="shared" si="138"/>
        <v>0</v>
      </c>
      <c r="DG196" s="136">
        <f>IF(DF196=0,0,COUNTIF(DG$193:DG195,"&gt;0")+1)</f>
        <v>0</v>
      </c>
      <c r="DH196" s="136" t="str">
        <f>IFERROR(IF($AR$191&gt;DH$191,IF(DH195&lt;MAX(DG$193:DG$210),1+COUNTIF(DH$193:DH195,"&gt;0"),""),""),"")</f>
        <v/>
      </c>
      <c r="DI196" s="136" t="str">
        <f t="shared" si="109"/>
        <v/>
      </c>
      <c r="DJ196" s="151">
        <f t="shared" si="110"/>
        <v>0</v>
      </c>
      <c r="DK196" s="151"/>
      <c r="DZ196" s="138"/>
    </row>
    <row r="197" spans="1:130" ht="16.5" x14ac:dyDescent="0.3">
      <c r="A197" s="132">
        <f>IFERROR(IF(A196+1&lt;MAX(T041_ClassFeatures!$A$2:$A$2033),A196+1,""),"")</f>
        <v>194</v>
      </c>
      <c r="B197" s="131" t="str">
        <f>IFERROR(INDEX(T041_ClassFeatures!$B$2:$B$2033,MATCH('C03_ClassVariables'!A197,T041_ClassFeatures!$A$2:$A$2033,0),1),"")</f>
        <v>Corona of Light</v>
      </c>
      <c r="C197" s="131">
        <f>IF(B197="",0,IF(IFERROR(MATCH(B197,'C01_BaseCalculation'!$W$160:$W$239,0),0)&gt;0,1,0))</f>
        <v>0</v>
      </c>
      <c r="D197" s="131"/>
      <c r="E197" s="131"/>
      <c r="F197" s="131"/>
      <c r="G197" s="371"/>
      <c r="H197" s="372" t="s">
        <v>74</v>
      </c>
      <c r="I197" s="361">
        <f t="shared" si="70"/>
        <v>0</v>
      </c>
      <c r="J197" s="362">
        <f t="shared" si="71"/>
        <v>0</v>
      </c>
      <c r="K197" s="358">
        <f t="shared" si="72"/>
        <v>0</v>
      </c>
      <c r="L197" s="164">
        <f>INDEX(T03_Skills!$D$2:$AP$19,MATCH(H197,T03_Skills!$B$2:$B$19,0),SelectedClassID)</f>
        <v>0</v>
      </c>
      <c r="M197" s="150">
        <f t="shared" si="111"/>
        <v>0</v>
      </c>
      <c r="N197" s="136">
        <f>IF(M197=0,0,COUNTIF($N$193:N196,"&gt;0")+1)</f>
        <v>0</v>
      </c>
      <c r="O197" s="136">
        <f>IFERROR(IF($O$191&gt;0,IF(O196&lt;MAX(N$193:N$210),1+COUNTIF(O$193:O196,"&gt;0"),""),""),"")</f>
        <v>5</v>
      </c>
      <c r="P197" s="136" t="str">
        <f t="shared" si="73"/>
        <v>Intimidation</v>
      </c>
      <c r="Q197" s="136">
        <f t="shared" si="74"/>
        <v>0</v>
      </c>
      <c r="R197" s="150">
        <f t="shared" si="112"/>
        <v>0</v>
      </c>
      <c r="S197" s="136">
        <f>IF(R197=0,0,COUNTIF(S$193:S196,"&gt;0")+1)</f>
        <v>0</v>
      </c>
      <c r="T197" s="136">
        <f>IFERROR(IF($O$191&gt;1,IF(T196&lt;MAX(S$193:S$210),1+COUNTIF(T$193:T196,"&gt;0"),""),""),"")</f>
        <v>5</v>
      </c>
      <c r="U197" s="136" t="str">
        <f t="shared" si="75"/>
        <v>Perception</v>
      </c>
      <c r="V197" s="136">
        <f t="shared" si="76"/>
        <v>0</v>
      </c>
      <c r="W197" s="150">
        <f t="shared" si="113"/>
        <v>0</v>
      </c>
      <c r="X197" s="136">
        <f>IF(W197=0,0,COUNTIF(X$193:X196,"&gt;0")+1)</f>
        <v>0</v>
      </c>
      <c r="Y197" s="136" t="str">
        <f>IFERROR(IF($O$191&gt;2,IF(Y196&lt;MAX(X$193:X$210),1+COUNTIF(Y$193:Y196,"&gt;0"),""),""),"")</f>
        <v/>
      </c>
      <c r="Z197" s="136" t="str">
        <f t="shared" si="77"/>
        <v/>
      </c>
      <c r="AA197" s="136">
        <f t="shared" si="78"/>
        <v>0</v>
      </c>
      <c r="AB197" s="150">
        <f t="shared" si="114"/>
        <v>0</v>
      </c>
      <c r="AC197" s="136">
        <f>IF(AB197=0,0,COUNTIF(AC$193:AC196,"&gt;0")+1)</f>
        <v>0</v>
      </c>
      <c r="AD197" s="136" t="str">
        <f>IFERROR(IF($O$191&gt;3,IF(AD196&lt;MAX(AC$193:AC$210),1+COUNTIF(AD$193:AD196,"&gt;0"),""),""),"")</f>
        <v/>
      </c>
      <c r="AE197" s="136" t="str">
        <f t="shared" si="79"/>
        <v/>
      </c>
      <c r="AF197" s="151">
        <f t="shared" si="80"/>
        <v>0</v>
      </c>
      <c r="AG197" s="150">
        <f t="shared" si="81"/>
        <v>1</v>
      </c>
      <c r="AH197" s="136">
        <f>IF(AG197=0,0,COUNTIF(AH$193:AH196,"&gt;0")+1)</f>
        <v>2</v>
      </c>
      <c r="AI197" s="136">
        <f>IFERROR(IF($AG$191&gt;0,IF(AI196&lt;MAX(AH$193:AH$210),1+COUNTIF(AI$193:AI196,"&gt;0"),""),""),"")</f>
        <v>5</v>
      </c>
      <c r="AJ197" s="136" t="str">
        <f t="shared" si="82"/>
        <v>Investigation</v>
      </c>
      <c r="AK197" s="151">
        <f t="shared" si="83"/>
        <v>0</v>
      </c>
      <c r="AL197" s="136">
        <f t="shared" si="84"/>
        <v>1</v>
      </c>
      <c r="AM197" s="136">
        <f>IF(AL197=0,0,COUNTIF(AM$193:AM196,"&gt;0")+1)</f>
        <v>2</v>
      </c>
      <c r="AN197" s="136">
        <f>IFERROR(IF($AG$191&gt;0,IF(AN196&lt;MAX(AM$193:AM$210),1+COUNTIF(AN$193:AN196,"&gt;0"),""),""),"")</f>
        <v>5</v>
      </c>
      <c r="AO197" s="136" t="str">
        <f t="shared" si="85"/>
        <v>Medicine</v>
      </c>
      <c r="AP197" s="151">
        <f t="shared" si="86"/>
        <v>0</v>
      </c>
      <c r="AQ197" s="150">
        <f t="shared" si="115"/>
        <v>0</v>
      </c>
      <c r="AR197" s="136">
        <f t="shared" si="116"/>
        <v>0</v>
      </c>
      <c r="AS197" s="136">
        <f>IF(AR197=0,0,COUNTIF(AS$193:AS196,"&gt;0")+1)</f>
        <v>0</v>
      </c>
      <c r="AT197" s="136" t="str">
        <f>IFERROR(IF($AR$191&gt;0,IF(AT196&lt;MAX(AS$193:AS$210),1+COUNTIF(AT$193:AT196,"&gt;0"),""),""),"")</f>
        <v/>
      </c>
      <c r="AU197" s="136" t="str">
        <f t="shared" si="87"/>
        <v/>
      </c>
      <c r="AV197" s="151">
        <f t="shared" si="88"/>
        <v>0</v>
      </c>
      <c r="AW197" s="136">
        <f t="shared" si="117"/>
        <v>0</v>
      </c>
      <c r="AX197" s="136">
        <f t="shared" si="118"/>
        <v>0</v>
      </c>
      <c r="AY197" s="136">
        <f>IF(AX197=0,0,COUNTIF(AY$193:AY196,"&gt;0")+1)</f>
        <v>0</v>
      </c>
      <c r="AZ197" s="136" t="str">
        <f>IFERROR(IF($AR$191&gt;1,IF(AZ196&lt;MAX(AY$193:AY$210),1+COUNTIF(AZ$193:AZ196,"&gt;0"),""),""),"")</f>
        <v/>
      </c>
      <c r="BA197" s="136" t="str">
        <f t="shared" si="89"/>
        <v/>
      </c>
      <c r="BB197" s="151">
        <f t="shared" si="90"/>
        <v>0</v>
      </c>
      <c r="BC197" s="136">
        <f t="shared" si="119"/>
        <v>0</v>
      </c>
      <c r="BD197" s="136">
        <f t="shared" si="120"/>
        <v>0</v>
      </c>
      <c r="BE197" s="136">
        <f>IF(BD197=0,0,COUNTIF(BE$193:BE196,"&gt;0")+1)</f>
        <v>0</v>
      </c>
      <c r="BF197" s="136" t="str">
        <f>IFERROR(IF($AR$191&gt;2,IF(BF196&lt;MAX(BE$193:BE$210),1+COUNTIF(BF$193:BF196,"&gt;0"),""),""),"")</f>
        <v/>
      </c>
      <c r="BG197" s="136" t="str">
        <f t="shared" si="91"/>
        <v/>
      </c>
      <c r="BH197" s="151">
        <f t="shared" si="92"/>
        <v>0</v>
      </c>
      <c r="BI197" s="136">
        <f t="shared" si="121"/>
        <v>0</v>
      </c>
      <c r="BJ197" s="136">
        <f t="shared" si="122"/>
        <v>0</v>
      </c>
      <c r="BK197" s="136">
        <f>IF(BJ197=0,0,COUNTIF(BK$193:BK196,"&gt;0")+1)</f>
        <v>0</v>
      </c>
      <c r="BL197" s="136" t="str">
        <f>IFERROR(IF($AR$191&gt;BL$191,IF(BL196&lt;MAX(BK$193:BK$210),1+COUNTIF(BL$193:BL196,"&gt;0"),""),""),"")</f>
        <v/>
      </c>
      <c r="BM197" s="136" t="str">
        <f t="shared" si="93"/>
        <v/>
      </c>
      <c r="BN197" s="151">
        <f t="shared" si="94"/>
        <v>0</v>
      </c>
      <c r="BO197" s="136">
        <f t="shared" si="123"/>
        <v>0</v>
      </c>
      <c r="BP197" s="136">
        <f t="shared" si="124"/>
        <v>0</v>
      </c>
      <c r="BQ197" s="136">
        <f>IF(BP197=0,0,COUNTIF(BQ$193:BQ196,"&gt;0")+1)</f>
        <v>0</v>
      </c>
      <c r="BR197" s="136" t="str">
        <f>IFERROR(IF($AR$191&gt;BR$191,IF(BR196&lt;MAX(BQ$193:BQ$210),1+COUNTIF(BR$193:BR196,"&gt;0"),""),""),"")</f>
        <v/>
      </c>
      <c r="BS197" s="136" t="str">
        <f t="shared" si="95"/>
        <v/>
      </c>
      <c r="BT197" s="151">
        <f t="shared" si="96"/>
        <v>0</v>
      </c>
      <c r="BU197" s="136">
        <f t="shared" si="125"/>
        <v>0</v>
      </c>
      <c r="BV197" s="136">
        <f t="shared" si="126"/>
        <v>0</v>
      </c>
      <c r="BW197" s="136">
        <f>IF(BV197=0,0,COUNTIF(BW$193:BW196,"&gt;0")+1)</f>
        <v>0</v>
      </c>
      <c r="BX197" s="136" t="str">
        <f>IFERROR(IF($AR$191&gt;BX$191,IF(BX196&lt;MAX(BW$193:BW$210),1+COUNTIF(BX$193:BX196,"&gt;0"),""),""),"")</f>
        <v/>
      </c>
      <c r="BY197" s="136" t="str">
        <f t="shared" si="97"/>
        <v/>
      </c>
      <c r="BZ197" s="151">
        <f t="shared" si="98"/>
        <v>0</v>
      </c>
      <c r="CA197" s="136">
        <f t="shared" si="127"/>
        <v>0</v>
      </c>
      <c r="CB197" s="136">
        <f t="shared" si="128"/>
        <v>0</v>
      </c>
      <c r="CC197" s="136">
        <f>IF(CB197=0,0,COUNTIF(CC$193:CC196,"&gt;0")+1)</f>
        <v>0</v>
      </c>
      <c r="CD197" s="136" t="str">
        <f>IFERROR(IF($AR$191&gt;CD$191,IF(CD196&lt;MAX(CC$193:CC$210),1+COUNTIF(CD$193:CD196,"&gt;0"),""),""),"")</f>
        <v/>
      </c>
      <c r="CE197" s="136" t="str">
        <f t="shared" si="99"/>
        <v/>
      </c>
      <c r="CF197" s="151">
        <f t="shared" si="100"/>
        <v>0</v>
      </c>
      <c r="CG197" s="136">
        <f t="shared" si="129"/>
        <v>0</v>
      </c>
      <c r="CH197" s="136">
        <f t="shared" si="130"/>
        <v>0</v>
      </c>
      <c r="CI197" s="136">
        <f>IF(CH197=0,0,COUNTIF(CI$193:CI196,"&gt;0")+1)</f>
        <v>0</v>
      </c>
      <c r="CJ197" s="136" t="str">
        <f>IFERROR(IF($AR$191&gt;CJ$191,IF(CJ196&lt;MAX(CI$193:CI$210),1+COUNTIF(CJ$193:CJ196,"&gt;0"),""),""),"")</f>
        <v/>
      </c>
      <c r="CK197" s="136" t="str">
        <f t="shared" si="101"/>
        <v/>
      </c>
      <c r="CL197" s="151">
        <f t="shared" si="102"/>
        <v>0</v>
      </c>
      <c r="CM197" s="136">
        <f t="shared" si="131"/>
        <v>0</v>
      </c>
      <c r="CN197" s="136">
        <f t="shared" si="132"/>
        <v>0</v>
      </c>
      <c r="CO197" s="136">
        <f>IF(CN197=0,0,COUNTIF(CO$193:CO196,"&gt;0")+1)</f>
        <v>0</v>
      </c>
      <c r="CP197" s="136" t="str">
        <f>IFERROR(IF($AR$191&gt;CP$191,IF(CP196&lt;MAX(CO$193:CO$210),1+COUNTIF(CP$193:CP196,"&gt;0"),""),""),"")</f>
        <v/>
      </c>
      <c r="CQ197" s="136" t="str">
        <f t="shared" si="103"/>
        <v/>
      </c>
      <c r="CR197" s="151">
        <f t="shared" si="104"/>
        <v>0</v>
      </c>
      <c r="CS197" s="136">
        <f t="shared" si="133"/>
        <v>0</v>
      </c>
      <c r="CT197" s="136">
        <f t="shared" si="134"/>
        <v>0</v>
      </c>
      <c r="CU197" s="136">
        <f>IF(CT197=0,0,COUNTIF(CU$193:CU196,"&gt;0")+1)</f>
        <v>0</v>
      </c>
      <c r="CV197" s="136" t="str">
        <f>IFERROR(IF($AR$191&gt;CV$191,IF(CV196&lt;MAX(CU$193:CU$210),1+COUNTIF(CV$193:CV196,"&gt;0"),""),""),"")</f>
        <v/>
      </c>
      <c r="CW197" s="136" t="str">
        <f t="shared" si="105"/>
        <v/>
      </c>
      <c r="CX197" s="151">
        <f t="shared" si="106"/>
        <v>0</v>
      </c>
      <c r="CY197" s="136">
        <f t="shared" si="135"/>
        <v>0</v>
      </c>
      <c r="CZ197" s="136">
        <f t="shared" si="136"/>
        <v>0</v>
      </c>
      <c r="DA197" s="136">
        <f>IF(CZ197=0,0,COUNTIF(DA$193:DA196,"&gt;0")+1)</f>
        <v>0</v>
      </c>
      <c r="DB197" s="136" t="str">
        <f>IFERROR(IF($AR$191&gt;DB$191,IF(DB196&lt;MAX(DA$193:DA$210),1+COUNTIF(DB$193:DB196,"&gt;0"),""),""),"")</f>
        <v/>
      </c>
      <c r="DC197" s="136" t="str">
        <f t="shared" si="107"/>
        <v/>
      </c>
      <c r="DD197" s="151">
        <f t="shared" si="108"/>
        <v>0</v>
      </c>
      <c r="DE197" s="136">
        <f t="shared" si="137"/>
        <v>0</v>
      </c>
      <c r="DF197" s="136">
        <f t="shared" si="138"/>
        <v>0</v>
      </c>
      <c r="DG197" s="136">
        <f>IF(DF197=0,0,COUNTIF(DG$193:DG196,"&gt;0")+1)</f>
        <v>0</v>
      </c>
      <c r="DH197" s="136" t="str">
        <f>IFERROR(IF($AR$191&gt;DH$191,IF(DH196&lt;MAX(DG$193:DG$210),1+COUNTIF(DH$193:DH196,"&gt;0"),""),""),"")</f>
        <v/>
      </c>
      <c r="DI197" s="136" t="str">
        <f t="shared" si="109"/>
        <v/>
      </c>
      <c r="DJ197" s="151">
        <f t="shared" si="110"/>
        <v>0</v>
      </c>
      <c r="DK197" s="151"/>
      <c r="DZ197" s="138"/>
    </row>
    <row r="198" spans="1:130" ht="16.5" x14ac:dyDescent="0.3">
      <c r="A198" s="132">
        <f>IFERROR(IF(A197+1&lt;MAX(T041_ClassFeatures!$A$2:$A$2033),A197+1,""),"")</f>
        <v>195</v>
      </c>
      <c r="B198" s="131" t="str">
        <f>IFERROR(INDEX(T041_ClassFeatures!$B$2:$B$2033,MATCH('C03_ClassVariables'!A198,T041_ClassFeatures!$A$2:$A$2033,0),1),"")</f>
        <v>Nature Domain: Bonus Proficiencies</v>
      </c>
      <c r="C198" s="131">
        <f>IF(B198="",0,IF(IFERROR(MATCH(B198,'C01_BaseCalculation'!$W$160:$W$239,0),0)&gt;0,1,0))</f>
        <v>0</v>
      </c>
      <c r="D198" s="131"/>
      <c r="E198" s="131"/>
      <c r="F198" s="131"/>
      <c r="G198" s="371"/>
      <c r="H198" s="372" t="s">
        <v>84</v>
      </c>
      <c r="I198" s="361">
        <f t="shared" si="70"/>
        <v>0</v>
      </c>
      <c r="J198" s="362">
        <f t="shared" si="71"/>
        <v>1</v>
      </c>
      <c r="K198" s="358">
        <f t="shared" si="72"/>
        <v>0</v>
      </c>
      <c r="L198" s="164">
        <f>INDEX(T03_Skills!$D$2:$AP$19,MATCH(H198,T03_Skills!$B$2:$B$19,0),SelectedClassID)</f>
        <v>1</v>
      </c>
      <c r="M198" s="150">
        <f t="shared" si="111"/>
        <v>0</v>
      </c>
      <c r="N198" s="136">
        <f>IF(M198=0,0,COUNTIF($N$193:N197,"&gt;0")+1)</f>
        <v>0</v>
      </c>
      <c r="O198" s="136">
        <f>IFERROR(IF($O$191&gt;0,IF(O197&lt;MAX(N$193:N$210),1+COUNTIF(O$193:O197,"&gt;0"),""),""),"")</f>
        <v>6</v>
      </c>
      <c r="P198" s="136" t="str">
        <f t="shared" si="73"/>
        <v>Perception</v>
      </c>
      <c r="Q198" s="136">
        <f t="shared" si="74"/>
        <v>0</v>
      </c>
      <c r="R198" s="150">
        <f t="shared" si="112"/>
        <v>0</v>
      </c>
      <c r="S198" s="136">
        <f>IF(R198=0,0,COUNTIF(S$193:S197,"&gt;0")+1)</f>
        <v>0</v>
      </c>
      <c r="T198" s="136">
        <f>IFERROR(IF($O$191&gt;1,IF(T197&lt;MAX(S$193:S$210),1+COUNTIF(T$193:T197,"&gt;0"),""),""),"")</f>
        <v>6</v>
      </c>
      <c r="U198" s="136" t="str">
        <f t="shared" si="75"/>
        <v>Survival</v>
      </c>
      <c r="V198" s="136">
        <f t="shared" si="76"/>
        <v>0</v>
      </c>
      <c r="W198" s="150">
        <f t="shared" si="113"/>
        <v>0</v>
      </c>
      <c r="X198" s="136">
        <f>IF(W198=0,0,COUNTIF(X$193:X197,"&gt;0")+1)</f>
        <v>0</v>
      </c>
      <c r="Y198" s="136" t="str">
        <f>IFERROR(IF($O$191&gt;2,IF(Y197&lt;MAX(X$193:X$210),1+COUNTIF(Y$193:Y197,"&gt;0"),""),""),"")</f>
        <v/>
      </c>
      <c r="Z198" s="136" t="str">
        <f t="shared" si="77"/>
        <v/>
      </c>
      <c r="AA198" s="136">
        <f t="shared" si="78"/>
        <v>0</v>
      </c>
      <c r="AB198" s="150">
        <f t="shared" si="114"/>
        <v>0</v>
      </c>
      <c r="AC198" s="136">
        <f>IF(AB198=0,0,COUNTIF(AC$193:AC197,"&gt;0")+1)</f>
        <v>0</v>
      </c>
      <c r="AD198" s="136" t="str">
        <f>IFERROR(IF($O$191&gt;3,IF(AD197&lt;MAX(AC$193:AC$210),1+COUNTIF(AD$193:AD197,"&gt;0"),""),""),"")</f>
        <v/>
      </c>
      <c r="AE198" s="136" t="str">
        <f t="shared" si="79"/>
        <v/>
      </c>
      <c r="AF198" s="151">
        <f t="shared" si="80"/>
        <v>0</v>
      </c>
      <c r="AG198" s="150">
        <f t="shared" si="81"/>
        <v>0</v>
      </c>
      <c r="AH198" s="136">
        <f>IF(AG198=0,0,COUNTIF(AH$193:AH197,"&gt;0")+1)</f>
        <v>0</v>
      </c>
      <c r="AI198" s="136">
        <f>IFERROR(IF($AG$191&gt;0,IF(AI197&lt;MAX(AH$193:AH$210),1+COUNTIF(AI$193:AI197,"&gt;0"),""),""),"")</f>
        <v>6</v>
      </c>
      <c r="AJ198" s="136" t="str">
        <f t="shared" si="82"/>
        <v>Medicine</v>
      </c>
      <c r="AK198" s="151">
        <f t="shared" si="83"/>
        <v>0</v>
      </c>
      <c r="AL198" s="136">
        <f t="shared" si="84"/>
        <v>0</v>
      </c>
      <c r="AM198" s="136">
        <f>IF(AL198=0,0,COUNTIF(AM$193:AM197,"&gt;0")+1)</f>
        <v>0</v>
      </c>
      <c r="AN198" s="136">
        <f>IFERROR(IF($AG$191&gt;0,IF(AN197&lt;MAX(AM$193:AM$210),1+COUNTIF(AN$193:AN197,"&gt;0"),""),""),"")</f>
        <v>6</v>
      </c>
      <c r="AO198" s="136" t="str">
        <f t="shared" si="85"/>
        <v>Nature</v>
      </c>
      <c r="AP198" s="151">
        <f t="shared" si="86"/>
        <v>0</v>
      </c>
      <c r="AQ198" s="150">
        <f t="shared" si="115"/>
        <v>0</v>
      </c>
      <c r="AR198" s="136">
        <f t="shared" si="116"/>
        <v>0</v>
      </c>
      <c r="AS198" s="136">
        <f>IF(AR198=0,0,COUNTIF(AS$193:AS197,"&gt;0")+1)</f>
        <v>0</v>
      </c>
      <c r="AT198" s="136" t="str">
        <f>IFERROR(IF($AR$191&gt;0,IF(AT197&lt;MAX(AS$193:AS$210),1+COUNTIF(AT$193:AT197,"&gt;0"),""),""),"")</f>
        <v/>
      </c>
      <c r="AU198" s="136" t="str">
        <f t="shared" si="87"/>
        <v/>
      </c>
      <c r="AV198" s="151">
        <f t="shared" si="88"/>
        <v>0</v>
      </c>
      <c r="AW198" s="136">
        <f t="shared" si="117"/>
        <v>0</v>
      </c>
      <c r="AX198" s="136">
        <f t="shared" si="118"/>
        <v>0</v>
      </c>
      <c r="AY198" s="136">
        <f>IF(AX198=0,0,COUNTIF(AY$193:AY197,"&gt;0")+1)</f>
        <v>0</v>
      </c>
      <c r="AZ198" s="136" t="str">
        <f>IFERROR(IF($AR$191&gt;1,IF(AZ197&lt;MAX(AY$193:AY$210),1+COUNTIF(AZ$193:AZ197,"&gt;0"),""),""),"")</f>
        <v/>
      </c>
      <c r="BA198" s="136" t="str">
        <f t="shared" si="89"/>
        <v/>
      </c>
      <c r="BB198" s="151">
        <f t="shared" si="90"/>
        <v>0</v>
      </c>
      <c r="BC198" s="136">
        <f t="shared" si="119"/>
        <v>0</v>
      </c>
      <c r="BD198" s="136">
        <f t="shared" si="120"/>
        <v>0</v>
      </c>
      <c r="BE198" s="136">
        <f>IF(BD198=0,0,COUNTIF(BE$193:BE197,"&gt;0")+1)</f>
        <v>0</v>
      </c>
      <c r="BF198" s="136" t="str">
        <f>IFERROR(IF($AR$191&gt;2,IF(BF197&lt;MAX(BE$193:BE$210),1+COUNTIF(BF$193:BF197,"&gt;0"),""),""),"")</f>
        <v/>
      </c>
      <c r="BG198" s="136" t="str">
        <f t="shared" si="91"/>
        <v/>
      </c>
      <c r="BH198" s="151">
        <f t="shared" si="92"/>
        <v>0</v>
      </c>
      <c r="BI198" s="136">
        <f t="shared" si="121"/>
        <v>0</v>
      </c>
      <c r="BJ198" s="136">
        <f t="shared" si="122"/>
        <v>0</v>
      </c>
      <c r="BK198" s="136">
        <f>IF(BJ198=0,0,COUNTIF(BK$193:BK197,"&gt;0")+1)</f>
        <v>0</v>
      </c>
      <c r="BL198" s="136" t="str">
        <f>IFERROR(IF($AR$191&gt;BL$191,IF(BL197&lt;MAX(BK$193:BK$210),1+COUNTIF(BL$193:BL197,"&gt;0"),""),""),"")</f>
        <v/>
      </c>
      <c r="BM198" s="136" t="str">
        <f t="shared" si="93"/>
        <v/>
      </c>
      <c r="BN198" s="151">
        <f t="shared" si="94"/>
        <v>0</v>
      </c>
      <c r="BO198" s="136">
        <f t="shared" si="123"/>
        <v>0</v>
      </c>
      <c r="BP198" s="136">
        <f t="shared" si="124"/>
        <v>0</v>
      </c>
      <c r="BQ198" s="136">
        <f>IF(BP198=0,0,COUNTIF(BQ$193:BQ197,"&gt;0")+1)</f>
        <v>0</v>
      </c>
      <c r="BR198" s="136" t="str">
        <f>IFERROR(IF($AR$191&gt;BR$191,IF(BR197&lt;MAX(BQ$193:BQ$210),1+COUNTIF(BR$193:BR197,"&gt;0"),""),""),"")</f>
        <v/>
      </c>
      <c r="BS198" s="136" t="str">
        <f t="shared" si="95"/>
        <v/>
      </c>
      <c r="BT198" s="151">
        <f t="shared" si="96"/>
        <v>0</v>
      </c>
      <c r="BU198" s="136">
        <f t="shared" si="125"/>
        <v>0</v>
      </c>
      <c r="BV198" s="136">
        <f t="shared" si="126"/>
        <v>0</v>
      </c>
      <c r="BW198" s="136">
        <f>IF(BV198=0,0,COUNTIF(BW$193:BW197,"&gt;0")+1)</f>
        <v>0</v>
      </c>
      <c r="BX198" s="136" t="str">
        <f>IFERROR(IF($AR$191&gt;BX$191,IF(BX197&lt;MAX(BW$193:BW$210),1+COUNTIF(BX$193:BX197,"&gt;0"),""),""),"")</f>
        <v/>
      </c>
      <c r="BY198" s="136" t="str">
        <f t="shared" si="97"/>
        <v/>
      </c>
      <c r="BZ198" s="151">
        <f t="shared" si="98"/>
        <v>0</v>
      </c>
      <c r="CA198" s="136">
        <f t="shared" si="127"/>
        <v>0</v>
      </c>
      <c r="CB198" s="136">
        <f t="shared" si="128"/>
        <v>0</v>
      </c>
      <c r="CC198" s="136">
        <f>IF(CB198=0,0,COUNTIF(CC$193:CC197,"&gt;0")+1)</f>
        <v>0</v>
      </c>
      <c r="CD198" s="136" t="str">
        <f>IFERROR(IF($AR$191&gt;CD$191,IF(CD197&lt;MAX(CC$193:CC$210),1+COUNTIF(CD$193:CD197,"&gt;0"),""),""),"")</f>
        <v/>
      </c>
      <c r="CE198" s="136" t="str">
        <f t="shared" si="99"/>
        <v/>
      </c>
      <c r="CF198" s="151">
        <f t="shared" si="100"/>
        <v>0</v>
      </c>
      <c r="CG198" s="136">
        <f t="shared" si="129"/>
        <v>0</v>
      </c>
      <c r="CH198" s="136">
        <f t="shared" si="130"/>
        <v>0</v>
      </c>
      <c r="CI198" s="136">
        <f>IF(CH198=0,0,COUNTIF(CI$193:CI197,"&gt;0")+1)</f>
        <v>0</v>
      </c>
      <c r="CJ198" s="136" t="str">
        <f>IFERROR(IF($AR$191&gt;CJ$191,IF(CJ197&lt;MAX(CI$193:CI$210),1+COUNTIF(CJ$193:CJ197,"&gt;0"),""),""),"")</f>
        <v/>
      </c>
      <c r="CK198" s="136" t="str">
        <f t="shared" si="101"/>
        <v/>
      </c>
      <c r="CL198" s="151">
        <f t="shared" si="102"/>
        <v>0</v>
      </c>
      <c r="CM198" s="136">
        <f t="shared" si="131"/>
        <v>0</v>
      </c>
      <c r="CN198" s="136">
        <f t="shared" si="132"/>
        <v>0</v>
      </c>
      <c r="CO198" s="136">
        <f>IF(CN198=0,0,COUNTIF(CO$193:CO197,"&gt;0")+1)</f>
        <v>0</v>
      </c>
      <c r="CP198" s="136" t="str">
        <f>IFERROR(IF($AR$191&gt;CP$191,IF(CP197&lt;MAX(CO$193:CO$210),1+COUNTIF(CP$193:CP197,"&gt;0"),""),""),"")</f>
        <v/>
      </c>
      <c r="CQ198" s="136" t="str">
        <f t="shared" si="103"/>
        <v/>
      </c>
      <c r="CR198" s="151">
        <f t="shared" si="104"/>
        <v>0</v>
      </c>
      <c r="CS198" s="136">
        <f t="shared" si="133"/>
        <v>0</v>
      </c>
      <c r="CT198" s="136">
        <f t="shared" si="134"/>
        <v>0</v>
      </c>
      <c r="CU198" s="136">
        <f>IF(CT198=0,0,COUNTIF(CU$193:CU197,"&gt;0")+1)</f>
        <v>0</v>
      </c>
      <c r="CV198" s="136" t="str">
        <f>IFERROR(IF($AR$191&gt;CV$191,IF(CV197&lt;MAX(CU$193:CU$210),1+COUNTIF(CV$193:CV197,"&gt;0"),""),""),"")</f>
        <v/>
      </c>
      <c r="CW198" s="136" t="str">
        <f t="shared" si="105"/>
        <v/>
      </c>
      <c r="CX198" s="151">
        <f t="shared" si="106"/>
        <v>0</v>
      </c>
      <c r="CY198" s="136">
        <f t="shared" si="135"/>
        <v>0</v>
      </c>
      <c r="CZ198" s="136">
        <f t="shared" si="136"/>
        <v>0</v>
      </c>
      <c r="DA198" s="136">
        <f>IF(CZ198=0,0,COUNTIF(DA$193:DA197,"&gt;0")+1)</f>
        <v>0</v>
      </c>
      <c r="DB198" s="136" t="str">
        <f>IFERROR(IF($AR$191&gt;DB$191,IF(DB197&lt;MAX(DA$193:DA$210),1+COUNTIF(DB$193:DB197,"&gt;0"),""),""),"")</f>
        <v/>
      </c>
      <c r="DC198" s="136" t="str">
        <f t="shared" si="107"/>
        <v/>
      </c>
      <c r="DD198" s="151">
        <f t="shared" si="108"/>
        <v>0</v>
      </c>
      <c r="DE198" s="136">
        <f t="shared" si="137"/>
        <v>0</v>
      </c>
      <c r="DF198" s="136">
        <f t="shared" si="138"/>
        <v>0</v>
      </c>
      <c r="DG198" s="136">
        <f>IF(DF198=0,0,COUNTIF(DG$193:DG197,"&gt;0")+1)</f>
        <v>0</v>
      </c>
      <c r="DH198" s="136" t="str">
        <f>IFERROR(IF($AR$191&gt;DH$191,IF(DH197&lt;MAX(DG$193:DG$210),1+COUNTIF(DH$193:DH197,"&gt;0"),""),""),"")</f>
        <v/>
      </c>
      <c r="DI198" s="136" t="str">
        <f t="shared" si="109"/>
        <v/>
      </c>
      <c r="DJ198" s="151">
        <f t="shared" si="110"/>
        <v>0</v>
      </c>
      <c r="DK198" s="151"/>
      <c r="DZ198" s="138"/>
    </row>
    <row r="199" spans="1:130" ht="16.5" x14ac:dyDescent="0.3">
      <c r="A199" s="132">
        <f>IFERROR(IF(A198+1&lt;MAX(T041_ClassFeatures!$A$2:$A$2033),A198+1,""),"")</f>
        <v>196</v>
      </c>
      <c r="B199" s="131" t="str">
        <f>IFERROR(INDEX(T041_ClassFeatures!$B$2:$B$2033,MATCH('C03_ClassVariables'!A199,T041_ClassFeatures!$A$2:$A$2033,0),1),"")</f>
        <v>Channel Divinity: Charm Animals and Plants</v>
      </c>
      <c r="C199" s="131">
        <f>IF(B199="",0,IF(IFERROR(MATCH(B199,'C01_BaseCalculation'!$W$160:$W$239,0),0)&gt;0,1,0))</f>
        <v>0</v>
      </c>
      <c r="D199" s="131"/>
      <c r="E199" s="131"/>
      <c r="F199" s="131"/>
      <c r="G199" s="371"/>
      <c r="H199" s="372" t="s">
        <v>71</v>
      </c>
      <c r="I199" s="361">
        <f t="shared" si="70"/>
        <v>0</v>
      </c>
      <c r="J199" s="362">
        <f t="shared" si="71"/>
        <v>0</v>
      </c>
      <c r="K199" s="358">
        <f t="shared" si="72"/>
        <v>0</v>
      </c>
      <c r="L199" s="164">
        <f>INDEX(T03_Skills!$D$2:$AP$19,MATCH(H199,T03_Skills!$B$2:$B$19,0),SelectedClassID)</f>
        <v>1</v>
      </c>
      <c r="M199" s="150">
        <f t="shared" si="111"/>
        <v>1</v>
      </c>
      <c r="N199" s="136">
        <f>IF(M199=0,0,COUNTIF($N$193:N198,"&gt;0")+1)</f>
        <v>4</v>
      </c>
      <c r="O199" s="136">
        <f>IFERROR(IF($O$191&gt;0,IF(O198&lt;MAX(N$193:N$210),1+COUNTIF(O$193:O198,"&gt;0"),""),""),"")</f>
        <v>7</v>
      </c>
      <c r="P199" s="136" t="str">
        <f t="shared" si="73"/>
        <v>Survival</v>
      </c>
      <c r="Q199" s="136">
        <f t="shared" si="74"/>
        <v>0</v>
      </c>
      <c r="R199" s="150">
        <f t="shared" si="112"/>
        <v>1</v>
      </c>
      <c r="S199" s="136">
        <f>IF(R199=0,0,COUNTIF(S$193:S198,"&gt;0")+1)</f>
        <v>3</v>
      </c>
      <c r="T199" s="136" t="str">
        <f>IFERROR(IF($O$191&gt;1,IF(T198&lt;MAX(S$193:S$210),1+COUNTIF(T$193:T198,"&gt;0"),""),""),"")</f>
        <v/>
      </c>
      <c r="U199" s="136" t="str">
        <f t="shared" si="75"/>
        <v/>
      </c>
      <c r="V199" s="136">
        <f t="shared" si="76"/>
        <v>0</v>
      </c>
      <c r="W199" s="150">
        <f t="shared" si="113"/>
        <v>1</v>
      </c>
      <c r="X199" s="136">
        <f>IF(W199=0,0,COUNTIF(X$193:X198,"&gt;0")+1)</f>
        <v>2</v>
      </c>
      <c r="Y199" s="136" t="str">
        <f>IFERROR(IF($O$191&gt;2,IF(Y198&lt;MAX(X$193:X$210),1+COUNTIF(Y$193:Y198,"&gt;0"),""),""),"")</f>
        <v/>
      </c>
      <c r="Z199" s="136" t="str">
        <f t="shared" si="77"/>
        <v/>
      </c>
      <c r="AA199" s="136">
        <f t="shared" si="78"/>
        <v>0</v>
      </c>
      <c r="AB199" s="150">
        <f t="shared" si="114"/>
        <v>1</v>
      </c>
      <c r="AC199" s="136">
        <f>IF(AB199=0,0,COUNTIF(AC$193:AC198,"&gt;0")+1)</f>
        <v>2</v>
      </c>
      <c r="AD199" s="136" t="str">
        <f>IFERROR(IF($O$191&gt;3,IF(AD198&lt;MAX(AC$193:AC$210),1+COUNTIF(AD$193:AD198,"&gt;0"),""),""),"")</f>
        <v/>
      </c>
      <c r="AE199" s="136" t="str">
        <f t="shared" si="79"/>
        <v/>
      </c>
      <c r="AF199" s="151">
        <f t="shared" si="80"/>
        <v>0</v>
      </c>
      <c r="AG199" s="150">
        <f t="shared" si="81"/>
        <v>1</v>
      </c>
      <c r="AH199" s="136">
        <f>IF(AG199=0,0,COUNTIF(AH$193:AH198,"&gt;0")+1)</f>
        <v>3</v>
      </c>
      <c r="AI199" s="136">
        <f>IFERROR(IF($AG$191&gt;0,IF(AI198&lt;MAX(AH$193:AH$210),1+COUNTIF(AI$193:AI198,"&gt;0"),""),""),"")</f>
        <v>7</v>
      </c>
      <c r="AJ199" s="136" t="str">
        <f t="shared" si="82"/>
        <v>Nature</v>
      </c>
      <c r="AK199" s="151">
        <f t="shared" si="83"/>
        <v>0</v>
      </c>
      <c r="AL199" s="136">
        <f t="shared" si="84"/>
        <v>1</v>
      </c>
      <c r="AM199" s="136">
        <f>IF(AL199=0,0,COUNTIF(AM$193:AM198,"&gt;0")+1)</f>
        <v>3</v>
      </c>
      <c r="AN199" s="136">
        <f>IFERROR(IF($AG$191&gt;0,IF(AN198&lt;MAX(AM$193:AM$210),1+COUNTIF(AN$193:AN198,"&gt;0"),""),""),"")</f>
        <v>7</v>
      </c>
      <c r="AO199" s="136" t="str">
        <f t="shared" si="85"/>
        <v>Perception</v>
      </c>
      <c r="AP199" s="151">
        <f t="shared" si="86"/>
        <v>0</v>
      </c>
      <c r="AQ199" s="150">
        <f t="shared" si="115"/>
        <v>0</v>
      </c>
      <c r="AR199" s="136">
        <f t="shared" si="116"/>
        <v>0</v>
      </c>
      <c r="AS199" s="136">
        <f>IF(AR199=0,0,COUNTIF(AS$193:AS198,"&gt;0")+1)</f>
        <v>0</v>
      </c>
      <c r="AT199" s="136" t="str">
        <f>IFERROR(IF($AR$191&gt;0,IF(AT198&lt;MAX(AS$193:AS$210),1+COUNTIF(AT$193:AT198,"&gt;0"),""),""),"")</f>
        <v/>
      </c>
      <c r="AU199" s="136" t="str">
        <f t="shared" si="87"/>
        <v/>
      </c>
      <c r="AV199" s="151">
        <f t="shared" si="88"/>
        <v>0</v>
      </c>
      <c r="AW199" s="136">
        <f t="shared" si="117"/>
        <v>0</v>
      </c>
      <c r="AX199" s="136">
        <f t="shared" si="118"/>
        <v>0</v>
      </c>
      <c r="AY199" s="136">
        <f>IF(AX199=0,0,COUNTIF(AY$193:AY198,"&gt;0")+1)</f>
        <v>0</v>
      </c>
      <c r="AZ199" s="136" t="str">
        <f>IFERROR(IF($AR$191&gt;1,IF(AZ198&lt;MAX(AY$193:AY$210),1+COUNTIF(AZ$193:AZ198,"&gt;0"),""),""),"")</f>
        <v/>
      </c>
      <c r="BA199" s="136" t="str">
        <f t="shared" si="89"/>
        <v/>
      </c>
      <c r="BB199" s="151">
        <f t="shared" si="90"/>
        <v>0</v>
      </c>
      <c r="BC199" s="136">
        <f t="shared" si="119"/>
        <v>0</v>
      </c>
      <c r="BD199" s="136">
        <f t="shared" si="120"/>
        <v>0</v>
      </c>
      <c r="BE199" s="136">
        <f>IF(BD199=0,0,COUNTIF(BE$193:BE198,"&gt;0")+1)</f>
        <v>0</v>
      </c>
      <c r="BF199" s="136" t="str">
        <f>IFERROR(IF($AR$191&gt;2,IF(BF198&lt;MAX(BE$193:BE$210),1+COUNTIF(BF$193:BF198,"&gt;0"),""),""),"")</f>
        <v/>
      </c>
      <c r="BG199" s="136" t="str">
        <f t="shared" si="91"/>
        <v/>
      </c>
      <c r="BH199" s="151">
        <f t="shared" si="92"/>
        <v>0</v>
      </c>
      <c r="BI199" s="136">
        <f t="shared" si="121"/>
        <v>0</v>
      </c>
      <c r="BJ199" s="136">
        <f t="shared" si="122"/>
        <v>0</v>
      </c>
      <c r="BK199" s="136">
        <f>IF(BJ199=0,0,COUNTIF(BK$193:BK198,"&gt;0")+1)</f>
        <v>0</v>
      </c>
      <c r="BL199" s="136" t="str">
        <f>IFERROR(IF($AR$191&gt;BL$191,IF(BL198&lt;MAX(BK$193:BK$210),1+COUNTIF(BL$193:BL198,"&gt;0"),""),""),"")</f>
        <v/>
      </c>
      <c r="BM199" s="136" t="str">
        <f t="shared" si="93"/>
        <v/>
      </c>
      <c r="BN199" s="151">
        <f t="shared" si="94"/>
        <v>0</v>
      </c>
      <c r="BO199" s="136">
        <f t="shared" si="123"/>
        <v>0</v>
      </c>
      <c r="BP199" s="136">
        <f t="shared" si="124"/>
        <v>0</v>
      </c>
      <c r="BQ199" s="136">
        <f>IF(BP199=0,0,COUNTIF(BQ$193:BQ198,"&gt;0")+1)</f>
        <v>0</v>
      </c>
      <c r="BR199" s="136" t="str">
        <f>IFERROR(IF($AR$191&gt;BR$191,IF(BR198&lt;MAX(BQ$193:BQ$210),1+COUNTIF(BR$193:BR198,"&gt;0"),""),""),"")</f>
        <v/>
      </c>
      <c r="BS199" s="136" t="str">
        <f t="shared" si="95"/>
        <v/>
      </c>
      <c r="BT199" s="151">
        <f t="shared" si="96"/>
        <v>0</v>
      </c>
      <c r="BU199" s="136">
        <f t="shared" si="125"/>
        <v>0</v>
      </c>
      <c r="BV199" s="136">
        <f t="shared" si="126"/>
        <v>0</v>
      </c>
      <c r="BW199" s="136">
        <f>IF(BV199=0,0,COUNTIF(BW$193:BW198,"&gt;0")+1)</f>
        <v>0</v>
      </c>
      <c r="BX199" s="136" t="str">
        <f>IFERROR(IF($AR$191&gt;BX$191,IF(BX198&lt;MAX(BW$193:BW$210),1+COUNTIF(BX$193:BX198,"&gt;0"),""),""),"")</f>
        <v/>
      </c>
      <c r="BY199" s="136" t="str">
        <f t="shared" si="97"/>
        <v/>
      </c>
      <c r="BZ199" s="151">
        <f t="shared" si="98"/>
        <v>0</v>
      </c>
      <c r="CA199" s="136">
        <f t="shared" si="127"/>
        <v>0</v>
      </c>
      <c r="CB199" s="136">
        <f t="shared" si="128"/>
        <v>0</v>
      </c>
      <c r="CC199" s="136">
        <f>IF(CB199=0,0,COUNTIF(CC$193:CC198,"&gt;0")+1)</f>
        <v>0</v>
      </c>
      <c r="CD199" s="136" t="str">
        <f>IFERROR(IF($AR$191&gt;CD$191,IF(CD198&lt;MAX(CC$193:CC$210),1+COUNTIF(CD$193:CD198,"&gt;0"),""),""),"")</f>
        <v/>
      </c>
      <c r="CE199" s="136" t="str">
        <f t="shared" si="99"/>
        <v/>
      </c>
      <c r="CF199" s="151">
        <f t="shared" si="100"/>
        <v>0</v>
      </c>
      <c r="CG199" s="136">
        <f t="shared" si="129"/>
        <v>0</v>
      </c>
      <c r="CH199" s="136">
        <f t="shared" si="130"/>
        <v>0</v>
      </c>
      <c r="CI199" s="136">
        <f>IF(CH199=0,0,COUNTIF(CI$193:CI198,"&gt;0")+1)</f>
        <v>0</v>
      </c>
      <c r="CJ199" s="136" t="str">
        <f>IFERROR(IF($AR$191&gt;CJ$191,IF(CJ198&lt;MAX(CI$193:CI$210),1+COUNTIF(CJ$193:CJ198,"&gt;0"),""),""),"")</f>
        <v/>
      </c>
      <c r="CK199" s="136" t="str">
        <f t="shared" si="101"/>
        <v/>
      </c>
      <c r="CL199" s="151">
        <f t="shared" si="102"/>
        <v>0</v>
      </c>
      <c r="CM199" s="136">
        <f t="shared" si="131"/>
        <v>0</v>
      </c>
      <c r="CN199" s="136">
        <f t="shared" si="132"/>
        <v>0</v>
      </c>
      <c r="CO199" s="136">
        <f>IF(CN199=0,0,COUNTIF(CO$193:CO198,"&gt;0")+1)</f>
        <v>0</v>
      </c>
      <c r="CP199" s="136" t="str">
        <f>IFERROR(IF($AR$191&gt;CP$191,IF(CP198&lt;MAX(CO$193:CO$210),1+COUNTIF(CP$193:CP198,"&gt;0"),""),""),"")</f>
        <v/>
      </c>
      <c r="CQ199" s="136" t="str">
        <f t="shared" si="103"/>
        <v/>
      </c>
      <c r="CR199" s="151">
        <f t="shared" si="104"/>
        <v>0</v>
      </c>
      <c r="CS199" s="136">
        <f t="shared" si="133"/>
        <v>0</v>
      </c>
      <c r="CT199" s="136">
        <f t="shared" si="134"/>
        <v>0</v>
      </c>
      <c r="CU199" s="136">
        <f>IF(CT199=0,0,COUNTIF(CU$193:CU198,"&gt;0")+1)</f>
        <v>0</v>
      </c>
      <c r="CV199" s="136" t="str">
        <f>IFERROR(IF($AR$191&gt;CV$191,IF(CV198&lt;MAX(CU$193:CU$210),1+COUNTIF(CV$193:CV198,"&gt;0"),""),""),"")</f>
        <v/>
      </c>
      <c r="CW199" s="136" t="str">
        <f t="shared" si="105"/>
        <v/>
      </c>
      <c r="CX199" s="151">
        <f t="shared" si="106"/>
        <v>0</v>
      </c>
      <c r="CY199" s="136">
        <f t="shared" si="135"/>
        <v>0</v>
      </c>
      <c r="CZ199" s="136">
        <f t="shared" si="136"/>
        <v>0</v>
      </c>
      <c r="DA199" s="136">
        <f>IF(CZ199=0,0,COUNTIF(DA$193:DA198,"&gt;0")+1)</f>
        <v>0</v>
      </c>
      <c r="DB199" s="136" t="str">
        <f>IFERROR(IF($AR$191&gt;DB$191,IF(DB198&lt;MAX(DA$193:DA$210),1+COUNTIF(DB$193:DB198,"&gt;0"),""),""),"")</f>
        <v/>
      </c>
      <c r="DC199" s="136" t="str">
        <f t="shared" si="107"/>
        <v/>
      </c>
      <c r="DD199" s="151">
        <f t="shared" si="108"/>
        <v>0</v>
      </c>
      <c r="DE199" s="136">
        <f t="shared" si="137"/>
        <v>0</v>
      </c>
      <c r="DF199" s="136">
        <f t="shared" si="138"/>
        <v>0</v>
      </c>
      <c r="DG199" s="136">
        <f>IF(DF199=0,0,COUNTIF(DG$193:DG198,"&gt;0")+1)</f>
        <v>0</v>
      </c>
      <c r="DH199" s="136" t="str">
        <f>IFERROR(IF($AR$191&gt;DH$191,IF(DH198&lt;MAX(DG$193:DG$210),1+COUNTIF(DH$193:DH198,"&gt;0"),""),""),"")</f>
        <v/>
      </c>
      <c r="DI199" s="136" t="str">
        <f t="shared" si="109"/>
        <v/>
      </c>
      <c r="DJ199" s="151">
        <f t="shared" si="110"/>
        <v>0</v>
      </c>
      <c r="DK199" s="151"/>
      <c r="DZ199" s="138"/>
    </row>
    <row r="200" spans="1:130" ht="16.5" x14ac:dyDescent="0.3">
      <c r="A200" s="132">
        <f>IFERROR(IF(A199+1&lt;MAX(T041_ClassFeatures!$A$2:$A$2033),A199+1,""),"")</f>
        <v>197</v>
      </c>
      <c r="B200" s="131" t="str">
        <f>IFERROR(INDEX(T041_ClassFeatures!$B$2:$B$2033,MATCH('C03_ClassVariables'!A200,T041_ClassFeatures!$A$2:$A$2033,0),1),"")</f>
        <v>Dampen Elements</v>
      </c>
      <c r="C200" s="131">
        <f>IF(B200="",0,IF(IFERROR(MATCH(B200,'C01_BaseCalculation'!$W$160:$W$239,0),0)&gt;0,1,0))</f>
        <v>0</v>
      </c>
      <c r="D200" s="131"/>
      <c r="E200" s="131"/>
      <c r="F200" s="131"/>
      <c r="G200" s="371"/>
      <c r="H200" s="372" t="s">
        <v>87</v>
      </c>
      <c r="I200" s="361">
        <f t="shared" si="70"/>
        <v>0</v>
      </c>
      <c r="J200" s="362">
        <f t="shared" si="71"/>
        <v>0</v>
      </c>
      <c r="K200" s="358">
        <f t="shared" si="72"/>
        <v>0</v>
      </c>
      <c r="L200" s="164">
        <f>INDEX(T03_Skills!$D$2:$AP$19,MATCH(H200,T03_Skills!$B$2:$B$19,0),SelectedClassID)</f>
        <v>1</v>
      </c>
      <c r="M200" s="150">
        <f t="shared" si="111"/>
        <v>1</v>
      </c>
      <c r="N200" s="136">
        <f>IF(M200=0,0,COUNTIF($N$193:N199,"&gt;0")+1)</f>
        <v>5</v>
      </c>
      <c r="O200" s="136" t="str">
        <f>IFERROR(IF($O$191&gt;0,IF(O199&lt;MAX(N$193:N$210),1+COUNTIF(O$193:O199,"&gt;0"),""),""),"")</f>
        <v/>
      </c>
      <c r="P200" s="136" t="str">
        <f t="shared" si="73"/>
        <v/>
      </c>
      <c r="Q200" s="136">
        <f t="shared" si="74"/>
        <v>0</v>
      </c>
      <c r="R200" s="150">
        <f t="shared" si="112"/>
        <v>1</v>
      </c>
      <c r="S200" s="136">
        <f>IF(R200=0,0,COUNTIF(S$193:S199,"&gt;0")+1)</f>
        <v>4</v>
      </c>
      <c r="T200" s="136" t="str">
        <f>IFERROR(IF($O$191&gt;1,IF(T199&lt;MAX(S$193:S$210),1+COUNTIF(T$193:T199,"&gt;0"),""),""),"")</f>
        <v/>
      </c>
      <c r="U200" s="136" t="str">
        <f t="shared" si="75"/>
        <v/>
      </c>
      <c r="V200" s="136">
        <f t="shared" si="76"/>
        <v>0</v>
      </c>
      <c r="W200" s="150">
        <f t="shared" si="113"/>
        <v>1</v>
      </c>
      <c r="X200" s="136">
        <f>IF(W200=0,0,COUNTIF(X$193:X199,"&gt;0")+1)</f>
        <v>3</v>
      </c>
      <c r="Y200" s="136" t="str">
        <f>IFERROR(IF($O$191&gt;2,IF(Y199&lt;MAX(X$193:X$210),1+COUNTIF(Y$193:Y199,"&gt;0"),""),""),"")</f>
        <v/>
      </c>
      <c r="Z200" s="136" t="str">
        <f t="shared" si="77"/>
        <v/>
      </c>
      <c r="AA200" s="136">
        <f t="shared" si="78"/>
        <v>0</v>
      </c>
      <c r="AB200" s="150">
        <f t="shared" si="114"/>
        <v>1</v>
      </c>
      <c r="AC200" s="136">
        <f>IF(AB200=0,0,COUNTIF(AC$193:AC199,"&gt;0")+1)</f>
        <v>3</v>
      </c>
      <c r="AD200" s="136" t="str">
        <f>IFERROR(IF($O$191&gt;3,IF(AD199&lt;MAX(AC$193:AC$210),1+COUNTIF(AD$193:AD199,"&gt;0"),""),""),"")</f>
        <v/>
      </c>
      <c r="AE200" s="136" t="str">
        <f t="shared" si="79"/>
        <v/>
      </c>
      <c r="AF200" s="151">
        <f t="shared" si="80"/>
        <v>0</v>
      </c>
      <c r="AG200" s="150">
        <f t="shared" si="81"/>
        <v>1</v>
      </c>
      <c r="AH200" s="136">
        <f>IF(AG200=0,0,COUNTIF(AH$193:AH199,"&gt;0")+1)</f>
        <v>4</v>
      </c>
      <c r="AI200" s="136">
        <f>IFERROR(IF($AG$191&gt;0,IF(AI199&lt;MAX(AH$193:AH$210),1+COUNTIF(AI$193:AI199,"&gt;0"),""),""),"")</f>
        <v>8</v>
      </c>
      <c r="AJ200" s="136" t="str">
        <f t="shared" si="82"/>
        <v>Perception</v>
      </c>
      <c r="AK200" s="151">
        <f t="shared" si="83"/>
        <v>0</v>
      </c>
      <c r="AL200" s="136">
        <f t="shared" si="84"/>
        <v>1</v>
      </c>
      <c r="AM200" s="136">
        <f>IF(AL200=0,0,COUNTIF(AM$193:AM199,"&gt;0")+1)</f>
        <v>4</v>
      </c>
      <c r="AN200" s="136">
        <f>IFERROR(IF($AG$191&gt;0,IF(AN199&lt;MAX(AM$193:AM$210),1+COUNTIF(AN$193:AN199,"&gt;0"),""),""),"")</f>
        <v>8</v>
      </c>
      <c r="AO200" s="136" t="str">
        <f t="shared" si="85"/>
        <v>Performance</v>
      </c>
      <c r="AP200" s="151">
        <f t="shared" si="86"/>
        <v>0</v>
      </c>
      <c r="AQ200" s="150">
        <f t="shared" si="115"/>
        <v>0</v>
      </c>
      <c r="AR200" s="136">
        <f t="shared" si="116"/>
        <v>0</v>
      </c>
      <c r="AS200" s="136">
        <f>IF(AR200=0,0,COUNTIF(AS$193:AS199,"&gt;0")+1)</f>
        <v>0</v>
      </c>
      <c r="AT200" s="136" t="str">
        <f>IFERROR(IF($AR$191&gt;0,IF(AT199&lt;MAX(AS$193:AS$210),1+COUNTIF(AT$193:AT199,"&gt;0"),""),""),"")</f>
        <v/>
      </c>
      <c r="AU200" s="136" t="str">
        <f t="shared" si="87"/>
        <v/>
      </c>
      <c r="AV200" s="151">
        <f t="shared" si="88"/>
        <v>0</v>
      </c>
      <c r="AW200" s="136">
        <f t="shared" si="117"/>
        <v>0</v>
      </c>
      <c r="AX200" s="136">
        <f t="shared" si="118"/>
        <v>0</v>
      </c>
      <c r="AY200" s="136">
        <f>IF(AX200=0,0,COUNTIF(AY$193:AY199,"&gt;0")+1)</f>
        <v>0</v>
      </c>
      <c r="AZ200" s="136" t="str">
        <f>IFERROR(IF($AR$191&gt;1,IF(AZ199&lt;MAX(AY$193:AY$210),1+COUNTIF(AZ$193:AZ199,"&gt;0"),""),""),"")</f>
        <v/>
      </c>
      <c r="BA200" s="136" t="str">
        <f t="shared" si="89"/>
        <v/>
      </c>
      <c r="BB200" s="151">
        <f t="shared" si="90"/>
        <v>0</v>
      </c>
      <c r="BC200" s="136">
        <f t="shared" si="119"/>
        <v>0</v>
      </c>
      <c r="BD200" s="136">
        <f t="shared" si="120"/>
        <v>0</v>
      </c>
      <c r="BE200" s="136">
        <f>IF(BD200=0,0,COUNTIF(BE$193:BE199,"&gt;0")+1)</f>
        <v>0</v>
      </c>
      <c r="BF200" s="136" t="str">
        <f>IFERROR(IF($AR$191&gt;2,IF(BF199&lt;MAX(BE$193:BE$210),1+COUNTIF(BF$193:BF199,"&gt;0"),""),""),"")</f>
        <v/>
      </c>
      <c r="BG200" s="136" t="str">
        <f t="shared" si="91"/>
        <v/>
      </c>
      <c r="BH200" s="151">
        <f t="shared" si="92"/>
        <v>0</v>
      </c>
      <c r="BI200" s="136">
        <f t="shared" si="121"/>
        <v>0</v>
      </c>
      <c r="BJ200" s="136">
        <f t="shared" si="122"/>
        <v>0</v>
      </c>
      <c r="BK200" s="136">
        <f>IF(BJ200=0,0,COUNTIF(BK$193:BK199,"&gt;0")+1)</f>
        <v>0</v>
      </c>
      <c r="BL200" s="136" t="str">
        <f>IFERROR(IF($AR$191&gt;BL$191,IF(BL199&lt;MAX(BK$193:BK$210),1+COUNTIF(BL$193:BL199,"&gt;0"),""),""),"")</f>
        <v/>
      </c>
      <c r="BM200" s="136" t="str">
        <f t="shared" si="93"/>
        <v/>
      </c>
      <c r="BN200" s="151">
        <f t="shared" si="94"/>
        <v>0</v>
      </c>
      <c r="BO200" s="136">
        <f t="shared" si="123"/>
        <v>0</v>
      </c>
      <c r="BP200" s="136">
        <f t="shared" si="124"/>
        <v>0</v>
      </c>
      <c r="BQ200" s="136">
        <f>IF(BP200=0,0,COUNTIF(BQ$193:BQ199,"&gt;0")+1)</f>
        <v>0</v>
      </c>
      <c r="BR200" s="136" t="str">
        <f>IFERROR(IF($AR$191&gt;BR$191,IF(BR199&lt;MAX(BQ$193:BQ$210),1+COUNTIF(BR$193:BR199,"&gt;0"),""),""),"")</f>
        <v/>
      </c>
      <c r="BS200" s="136" t="str">
        <f t="shared" si="95"/>
        <v/>
      </c>
      <c r="BT200" s="151">
        <f t="shared" si="96"/>
        <v>0</v>
      </c>
      <c r="BU200" s="136">
        <f t="shared" si="125"/>
        <v>0</v>
      </c>
      <c r="BV200" s="136">
        <f t="shared" si="126"/>
        <v>0</v>
      </c>
      <c r="BW200" s="136">
        <f>IF(BV200=0,0,COUNTIF(BW$193:BW199,"&gt;0")+1)</f>
        <v>0</v>
      </c>
      <c r="BX200" s="136" t="str">
        <f>IFERROR(IF($AR$191&gt;BX$191,IF(BX199&lt;MAX(BW$193:BW$210),1+COUNTIF(BX$193:BX199,"&gt;0"),""),""),"")</f>
        <v/>
      </c>
      <c r="BY200" s="136" t="str">
        <f t="shared" si="97"/>
        <v/>
      </c>
      <c r="BZ200" s="151">
        <f t="shared" si="98"/>
        <v>0</v>
      </c>
      <c r="CA200" s="136">
        <f t="shared" si="127"/>
        <v>0</v>
      </c>
      <c r="CB200" s="136">
        <f t="shared" si="128"/>
        <v>0</v>
      </c>
      <c r="CC200" s="136">
        <f>IF(CB200=0,0,COUNTIF(CC$193:CC199,"&gt;0")+1)</f>
        <v>0</v>
      </c>
      <c r="CD200" s="136" t="str">
        <f>IFERROR(IF($AR$191&gt;CD$191,IF(CD199&lt;MAX(CC$193:CC$210),1+COUNTIF(CD$193:CD199,"&gt;0"),""),""),"")</f>
        <v/>
      </c>
      <c r="CE200" s="136" t="str">
        <f t="shared" si="99"/>
        <v/>
      </c>
      <c r="CF200" s="151">
        <f t="shared" si="100"/>
        <v>0</v>
      </c>
      <c r="CG200" s="136">
        <f t="shared" si="129"/>
        <v>0</v>
      </c>
      <c r="CH200" s="136">
        <f t="shared" si="130"/>
        <v>0</v>
      </c>
      <c r="CI200" s="136">
        <f>IF(CH200=0,0,COUNTIF(CI$193:CI199,"&gt;0")+1)</f>
        <v>0</v>
      </c>
      <c r="CJ200" s="136" t="str">
        <f>IFERROR(IF($AR$191&gt;CJ$191,IF(CJ199&lt;MAX(CI$193:CI$210),1+COUNTIF(CJ$193:CJ199,"&gt;0"),""),""),"")</f>
        <v/>
      </c>
      <c r="CK200" s="136" t="str">
        <f t="shared" si="101"/>
        <v/>
      </c>
      <c r="CL200" s="151">
        <f t="shared" si="102"/>
        <v>0</v>
      </c>
      <c r="CM200" s="136">
        <f t="shared" si="131"/>
        <v>0</v>
      </c>
      <c r="CN200" s="136">
        <f t="shared" si="132"/>
        <v>0</v>
      </c>
      <c r="CO200" s="136">
        <f>IF(CN200=0,0,COUNTIF(CO$193:CO199,"&gt;0")+1)</f>
        <v>0</v>
      </c>
      <c r="CP200" s="136" t="str">
        <f>IFERROR(IF($AR$191&gt;CP$191,IF(CP199&lt;MAX(CO$193:CO$210),1+COUNTIF(CP$193:CP199,"&gt;0"),""),""),"")</f>
        <v/>
      </c>
      <c r="CQ200" s="136" t="str">
        <f t="shared" si="103"/>
        <v/>
      </c>
      <c r="CR200" s="151">
        <f t="shared" si="104"/>
        <v>0</v>
      </c>
      <c r="CS200" s="136">
        <f t="shared" si="133"/>
        <v>0</v>
      </c>
      <c r="CT200" s="136">
        <f t="shared" si="134"/>
        <v>0</v>
      </c>
      <c r="CU200" s="136">
        <f>IF(CT200=0,0,COUNTIF(CU$193:CU199,"&gt;0")+1)</f>
        <v>0</v>
      </c>
      <c r="CV200" s="136" t="str">
        <f>IFERROR(IF($AR$191&gt;CV$191,IF(CV199&lt;MAX(CU$193:CU$210),1+COUNTIF(CV$193:CV199,"&gt;0"),""),""),"")</f>
        <v/>
      </c>
      <c r="CW200" s="136" t="str">
        <f t="shared" si="105"/>
        <v/>
      </c>
      <c r="CX200" s="151">
        <f t="shared" si="106"/>
        <v>0</v>
      </c>
      <c r="CY200" s="136">
        <f t="shared" si="135"/>
        <v>0</v>
      </c>
      <c r="CZ200" s="136">
        <f t="shared" si="136"/>
        <v>0</v>
      </c>
      <c r="DA200" s="136">
        <f>IF(CZ200=0,0,COUNTIF(DA$193:DA199,"&gt;0")+1)</f>
        <v>0</v>
      </c>
      <c r="DB200" s="136" t="str">
        <f>IFERROR(IF($AR$191&gt;DB$191,IF(DB199&lt;MAX(DA$193:DA$210),1+COUNTIF(DB$193:DB199,"&gt;0"),""),""),"")</f>
        <v/>
      </c>
      <c r="DC200" s="136" t="str">
        <f t="shared" si="107"/>
        <v/>
      </c>
      <c r="DD200" s="151">
        <f t="shared" si="108"/>
        <v>0</v>
      </c>
      <c r="DE200" s="136">
        <f t="shared" si="137"/>
        <v>0</v>
      </c>
      <c r="DF200" s="136">
        <f t="shared" si="138"/>
        <v>0</v>
      </c>
      <c r="DG200" s="136">
        <f>IF(DF200=0,0,COUNTIF(DG$193:DG199,"&gt;0")+1)</f>
        <v>0</v>
      </c>
      <c r="DH200" s="136" t="str">
        <f>IFERROR(IF($AR$191&gt;DH$191,IF(DH199&lt;MAX(DG$193:DG$210),1+COUNTIF(DH$193:DH199,"&gt;0"),""),""),"")</f>
        <v/>
      </c>
      <c r="DI200" s="136" t="str">
        <f t="shared" si="109"/>
        <v/>
      </c>
      <c r="DJ200" s="151">
        <f t="shared" si="110"/>
        <v>0</v>
      </c>
      <c r="DK200" s="151"/>
      <c r="DZ200" s="138"/>
    </row>
    <row r="201" spans="1:130" ht="16.5" x14ac:dyDescent="0.3">
      <c r="A201" s="132">
        <f>IFERROR(IF(A200+1&lt;MAX(T041_ClassFeatures!$A$2:$A$2033),A200+1,""),"")</f>
        <v>198</v>
      </c>
      <c r="B201" s="131" t="str">
        <f>IFERROR(INDEX(T041_ClassFeatures!$B$2:$B$2033,MATCH('C03_ClassVariables'!A201,T041_ClassFeatures!$A$2:$A$2033,0),1),"")</f>
        <v>Master of Nature</v>
      </c>
      <c r="C201" s="131">
        <f>IF(B201="",0,IF(IFERROR(MATCH(B201,'C01_BaseCalculation'!$W$160:$W$239,0),0)&gt;0,1,0))</f>
        <v>0</v>
      </c>
      <c r="D201" s="131"/>
      <c r="E201" s="131"/>
      <c r="F201" s="131"/>
      <c r="G201" s="371"/>
      <c r="H201" s="372" t="s">
        <v>609</v>
      </c>
      <c r="I201" s="361">
        <f t="shared" si="70"/>
        <v>0</v>
      </c>
      <c r="J201" s="362">
        <f t="shared" si="71"/>
        <v>0</v>
      </c>
      <c r="K201" s="358">
        <f t="shared" si="72"/>
        <v>0</v>
      </c>
      <c r="L201" s="164">
        <f>INDEX(T03_Skills!$D$2:$AP$19,MATCH(H201,T03_Skills!$B$2:$B$19,0),SelectedClassID)</f>
        <v>0</v>
      </c>
      <c r="M201" s="150">
        <f t="shared" si="111"/>
        <v>0</v>
      </c>
      <c r="N201" s="136">
        <f>IF(M201=0,0,COUNTIF($N$193:N200,"&gt;0")+1)</f>
        <v>0</v>
      </c>
      <c r="O201" s="136" t="str">
        <f>IFERROR(IF($O$191&gt;0,IF(O200&lt;MAX(N$193:N$210),1+COUNTIF(O$193:O200,"&gt;0"),""),""),"")</f>
        <v/>
      </c>
      <c r="P201" s="136" t="str">
        <f t="shared" si="73"/>
        <v/>
      </c>
      <c r="Q201" s="136">
        <f t="shared" si="74"/>
        <v>0</v>
      </c>
      <c r="R201" s="150">
        <f t="shared" si="112"/>
        <v>0</v>
      </c>
      <c r="S201" s="136">
        <f>IF(R201=0,0,COUNTIF(S$193:S200,"&gt;0")+1)</f>
        <v>0</v>
      </c>
      <c r="T201" s="136" t="str">
        <f>IFERROR(IF($O$191&gt;1,IF(T200&lt;MAX(S$193:S$210),1+COUNTIF(T$193:T200,"&gt;0"),""),""),"")</f>
        <v/>
      </c>
      <c r="U201" s="136" t="str">
        <f t="shared" si="75"/>
        <v/>
      </c>
      <c r="V201" s="136">
        <f t="shared" si="76"/>
        <v>0</v>
      </c>
      <c r="W201" s="150">
        <f t="shared" si="113"/>
        <v>0</v>
      </c>
      <c r="X201" s="136">
        <f>IF(W201=0,0,COUNTIF(X$193:X200,"&gt;0")+1)</f>
        <v>0</v>
      </c>
      <c r="Y201" s="136" t="str">
        <f>IFERROR(IF($O$191&gt;2,IF(Y200&lt;MAX(X$193:X$210),1+COUNTIF(Y$193:Y200,"&gt;0"),""),""),"")</f>
        <v/>
      </c>
      <c r="Z201" s="136" t="str">
        <f t="shared" si="77"/>
        <v/>
      </c>
      <c r="AA201" s="136">
        <f t="shared" si="78"/>
        <v>0</v>
      </c>
      <c r="AB201" s="150">
        <f t="shared" si="114"/>
        <v>0</v>
      </c>
      <c r="AC201" s="136">
        <f>IF(AB201=0,0,COUNTIF(AC$193:AC200,"&gt;0")+1)</f>
        <v>0</v>
      </c>
      <c r="AD201" s="136" t="str">
        <f>IFERROR(IF($O$191&gt;3,IF(AD200&lt;MAX(AC$193:AC$210),1+COUNTIF(AD$193:AD200,"&gt;0"),""),""),"")</f>
        <v/>
      </c>
      <c r="AE201" s="136" t="str">
        <f t="shared" si="79"/>
        <v/>
      </c>
      <c r="AF201" s="151">
        <f t="shared" si="80"/>
        <v>0</v>
      </c>
      <c r="AG201" s="150">
        <f t="shared" si="81"/>
        <v>1</v>
      </c>
      <c r="AH201" s="136">
        <f>IF(AG201=0,0,COUNTIF(AH$193:AH200,"&gt;0")+1)</f>
        <v>5</v>
      </c>
      <c r="AI201" s="136">
        <f>IFERROR(IF($AG$191&gt;0,IF(AI200&lt;MAX(AH$193:AH$210),1+COUNTIF(AI$193:AI200,"&gt;0"),""),""),"")</f>
        <v>9</v>
      </c>
      <c r="AJ201" s="136" t="str">
        <f t="shared" si="82"/>
        <v>Performance</v>
      </c>
      <c r="AK201" s="151">
        <f t="shared" si="83"/>
        <v>1</v>
      </c>
      <c r="AL201" s="136">
        <f t="shared" si="84"/>
        <v>0</v>
      </c>
      <c r="AM201" s="136">
        <f>IF(AL201=0,0,COUNTIF(AM$193:AM200,"&gt;0")+1)</f>
        <v>0</v>
      </c>
      <c r="AN201" s="136">
        <f>IFERROR(IF($AG$191&gt;0,IF(AN200&lt;MAX(AM$193:AM$210),1+COUNTIF(AN$193:AN200,"&gt;0"),""),""),"")</f>
        <v>9</v>
      </c>
      <c r="AO201" s="136" t="str">
        <f t="shared" si="85"/>
        <v>Persuasion</v>
      </c>
      <c r="AP201" s="151">
        <f t="shared" si="86"/>
        <v>0</v>
      </c>
      <c r="AQ201" s="150">
        <f t="shared" si="115"/>
        <v>0</v>
      </c>
      <c r="AR201" s="136">
        <f t="shared" si="116"/>
        <v>0</v>
      </c>
      <c r="AS201" s="136">
        <f>IF(AR201=0,0,COUNTIF(AS$193:AS200,"&gt;0")+1)</f>
        <v>0</v>
      </c>
      <c r="AT201" s="136" t="str">
        <f>IFERROR(IF($AR$191&gt;0,IF(AT200&lt;MAX(AS$193:AS$210),1+COUNTIF(AT$193:AT200,"&gt;0"),""),""),"")</f>
        <v/>
      </c>
      <c r="AU201" s="136" t="str">
        <f t="shared" si="87"/>
        <v/>
      </c>
      <c r="AV201" s="151">
        <f t="shared" si="88"/>
        <v>0</v>
      </c>
      <c r="AW201" s="136">
        <f t="shared" si="117"/>
        <v>0</v>
      </c>
      <c r="AX201" s="136">
        <f t="shared" si="118"/>
        <v>0</v>
      </c>
      <c r="AY201" s="136">
        <f>IF(AX201=0,0,COUNTIF(AY$193:AY200,"&gt;0")+1)</f>
        <v>0</v>
      </c>
      <c r="AZ201" s="136" t="str">
        <f>IFERROR(IF($AR$191&gt;1,IF(AZ200&lt;MAX(AY$193:AY$210),1+COUNTIF(AZ$193:AZ200,"&gt;0"),""),""),"")</f>
        <v/>
      </c>
      <c r="BA201" s="136" t="str">
        <f t="shared" si="89"/>
        <v/>
      </c>
      <c r="BB201" s="151">
        <f t="shared" si="90"/>
        <v>0</v>
      </c>
      <c r="BC201" s="136">
        <f t="shared" si="119"/>
        <v>0</v>
      </c>
      <c r="BD201" s="136">
        <f t="shared" si="120"/>
        <v>0</v>
      </c>
      <c r="BE201" s="136">
        <f>IF(BD201=0,0,COUNTIF(BE$193:BE200,"&gt;0")+1)</f>
        <v>0</v>
      </c>
      <c r="BF201" s="136" t="str">
        <f>IFERROR(IF($AR$191&gt;2,IF(BF200&lt;MAX(BE$193:BE$210),1+COUNTIF(BF$193:BF200,"&gt;0"),""),""),"")</f>
        <v/>
      </c>
      <c r="BG201" s="136" t="str">
        <f t="shared" si="91"/>
        <v/>
      </c>
      <c r="BH201" s="151">
        <f t="shared" si="92"/>
        <v>0</v>
      </c>
      <c r="BI201" s="136">
        <f t="shared" si="121"/>
        <v>0</v>
      </c>
      <c r="BJ201" s="136">
        <f t="shared" si="122"/>
        <v>0</v>
      </c>
      <c r="BK201" s="136">
        <f>IF(BJ201=0,0,COUNTIF(BK$193:BK200,"&gt;0")+1)</f>
        <v>0</v>
      </c>
      <c r="BL201" s="136" t="str">
        <f>IFERROR(IF($AR$191&gt;BL$191,IF(BL200&lt;MAX(BK$193:BK$210),1+COUNTIF(BL$193:BL200,"&gt;0"),""),""),"")</f>
        <v/>
      </c>
      <c r="BM201" s="136" t="str">
        <f t="shared" si="93"/>
        <v/>
      </c>
      <c r="BN201" s="151">
        <f t="shared" si="94"/>
        <v>0</v>
      </c>
      <c r="BO201" s="136">
        <f t="shared" si="123"/>
        <v>0</v>
      </c>
      <c r="BP201" s="136">
        <f t="shared" si="124"/>
        <v>0</v>
      </c>
      <c r="BQ201" s="136">
        <f>IF(BP201=0,0,COUNTIF(BQ$193:BQ200,"&gt;0")+1)</f>
        <v>0</v>
      </c>
      <c r="BR201" s="136" t="str">
        <f>IFERROR(IF($AR$191&gt;BR$191,IF(BR200&lt;MAX(BQ$193:BQ$210),1+COUNTIF(BR$193:BR200,"&gt;0"),""),""),"")</f>
        <v/>
      </c>
      <c r="BS201" s="136" t="str">
        <f t="shared" si="95"/>
        <v/>
      </c>
      <c r="BT201" s="151">
        <f t="shared" si="96"/>
        <v>0</v>
      </c>
      <c r="BU201" s="136">
        <f t="shared" si="125"/>
        <v>0</v>
      </c>
      <c r="BV201" s="136">
        <f t="shared" si="126"/>
        <v>0</v>
      </c>
      <c r="BW201" s="136">
        <f>IF(BV201=0,0,COUNTIF(BW$193:BW200,"&gt;0")+1)</f>
        <v>0</v>
      </c>
      <c r="BX201" s="136" t="str">
        <f>IFERROR(IF($AR$191&gt;BX$191,IF(BX200&lt;MAX(BW$193:BW$210),1+COUNTIF(BX$193:BX200,"&gt;0"),""),""),"")</f>
        <v/>
      </c>
      <c r="BY201" s="136" t="str">
        <f t="shared" si="97"/>
        <v/>
      </c>
      <c r="BZ201" s="151">
        <f t="shared" si="98"/>
        <v>0</v>
      </c>
      <c r="CA201" s="136">
        <f t="shared" si="127"/>
        <v>0</v>
      </c>
      <c r="CB201" s="136">
        <f t="shared" si="128"/>
        <v>0</v>
      </c>
      <c r="CC201" s="136">
        <f>IF(CB201=0,0,COUNTIF(CC$193:CC200,"&gt;0")+1)</f>
        <v>0</v>
      </c>
      <c r="CD201" s="136" t="str">
        <f>IFERROR(IF($AR$191&gt;CD$191,IF(CD200&lt;MAX(CC$193:CC$210),1+COUNTIF(CD$193:CD200,"&gt;0"),""),""),"")</f>
        <v/>
      </c>
      <c r="CE201" s="136" t="str">
        <f t="shared" si="99"/>
        <v/>
      </c>
      <c r="CF201" s="151">
        <f t="shared" si="100"/>
        <v>0</v>
      </c>
      <c r="CG201" s="136">
        <f t="shared" si="129"/>
        <v>0</v>
      </c>
      <c r="CH201" s="136">
        <f t="shared" si="130"/>
        <v>0</v>
      </c>
      <c r="CI201" s="136">
        <f>IF(CH201=0,0,COUNTIF(CI$193:CI200,"&gt;0")+1)</f>
        <v>0</v>
      </c>
      <c r="CJ201" s="136" t="str">
        <f>IFERROR(IF($AR$191&gt;CJ$191,IF(CJ200&lt;MAX(CI$193:CI$210),1+COUNTIF(CJ$193:CJ200,"&gt;0"),""),""),"")</f>
        <v/>
      </c>
      <c r="CK201" s="136" t="str">
        <f t="shared" si="101"/>
        <v/>
      </c>
      <c r="CL201" s="151">
        <f t="shared" si="102"/>
        <v>0</v>
      </c>
      <c r="CM201" s="136">
        <f t="shared" si="131"/>
        <v>0</v>
      </c>
      <c r="CN201" s="136">
        <f t="shared" si="132"/>
        <v>0</v>
      </c>
      <c r="CO201" s="136">
        <f>IF(CN201=0,0,COUNTIF(CO$193:CO200,"&gt;0")+1)</f>
        <v>0</v>
      </c>
      <c r="CP201" s="136" t="str">
        <f>IFERROR(IF($AR$191&gt;CP$191,IF(CP200&lt;MAX(CO$193:CO$210),1+COUNTIF(CP$193:CP200,"&gt;0"),""),""),"")</f>
        <v/>
      </c>
      <c r="CQ201" s="136" t="str">
        <f t="shared" si="103"/>
        <v/>
      </c>
      <c r="CR201" s="151">
        <f t="shared" si="104"/>
        <v>0</v>
      </c>
      <c r="CS201" s="136">
        <f t="shared" si="133"/>
        <v>0</v>
      </c>
      <c r="CT201" s="136">
        <f t="shared" si="134"/>
        <v>0</v>
      </c>
      <c r="CU201" s="136">
        <f>IF(CT201=0,0,COUNTIF(CU$193:CU200,"&gt;0")+1)</f>
        <v>0</v>
      </c>
      <c r="CV201" s="136" t="str">
        <f>IFERROR(IF($AR$191&gt;CV$191,IF(CV200&lt;MAX(CU$193:CU$210),1+COUNTIF(CV$193:CV200,"&gt;0"),""),""),"")</f>
        <v/>
      </c>
      <c r="CW201" s="136" t="str">
        <f t="shared" si="105"/>
        <v/>
      </c>
      <c r="CX201" s="151">
        <f t="shared" si="106"/>
        <v>0</v>
      </c>
      <c r="CY201" s="136">
        <f t="shared" si="135"/>
        <v>0</v>
      </c>
      <c r="CZ201" s="136">
        <f t="shared" si="136"/>
        <v>0</v>
      </c>
      <c r="DA201" s="136">
        <f>IF(CZ201=0,0,COUNTIF(DA$193:DA200,"&gt;0")+1)</f>
        <v>0</v>
      </c>
      <c r="DB201" s="136" t="str">
        <f>IFERROR(IF($AR$191&gt;DB$191,IF(DB200&lt;MAX(DA$193:DA$210),1+COUNTIF(DB$193:DB200,"&gt;0"),""),""),"")</f>
        <v/>
      </c>
      <c r="DC201" s="136" t="str">
        <f t="shared" si="107"/>
        <v/>
      </c>
      <c r="DD201" s="151">
        <f t="shared" si="108"/>
        <v>0</v>
      </c>
      <c r="DE201" s="136">
        <f t="shared" si="137"/>
        <v>0</v>
      </c>
      <c r="DF201" s="136">
        <f t="shared" si="138"/>
        <v>0</v>
      </c>
      <c r="DG201" s="136">
        <f>IF(DF201=0,0,COUNTIF(DG$193:DG200,"&gt;0")+1)</f>
        <v>0</v>
      </c>
      <c r="DH201" s="136" t="str">
        <f>IFERROR(IF($AR$191&gt;DH$191,IF(DH200&lt;MAX(DG$193:DG$210),1+COUNTIF(DH$193:DH200,"&gt;0"),""),""),"")</f>
        <v/>
      </c>
      <c r="DI201" s="136" t="str">
        <f t="shared" si="109"/>
        <v/>
      </c>
      <c r="DJ201" s="151">
        <f t="shared" si="110"/>
        <v>0</v>
      </c>
      <c r="DK201" s="151"/>
      <c r="DZ201" s="138"/>
    </row>
    <row r="202" spans="1:130" ht="16.5" x14ac:dyDescent="0.3">
      <c r="A202" s="132">
        <f>IFERROR(IF(A201+1&lt;MAX(T041_ClassFeatures!$A$2:$A$2033),A201+1,""),"")</f>
        <v>199</v>
      </c>
      <c r="B202" s="131" t="str">
        <f>IFERROR(INDEX(T041_ClassFeatures!$B$2:$B$2033,MATCH('C03_ClassVariables'!A202,T041_ClassFeatures!$A$2:$A$2033,0),1),"")</f>
        <v>Divine Strike (nature)</v>
      </c>
      <c r="C202" s="131">
        <f>IF(B202="",0,IF(IFERROR(MATCH(B202,'C01_BaseCalculation'!$W$160:$W$239,0),0)&gt;0,1,0))</f>
        <v>0</v>
      </c>
      <c r="D202" s="131"/>
      <c r="E202" s="131"/>
      <c r="F202" s="131"/>
      <c r="G202" s="371"/>
      <c r="H202" s="372" t="s">
        <v>610</v>
      </c>
      <c r="I202" s="361">
        <f t="shared" si="70"/>
        <v>0</v>
      </c>
      <c r="J202" s="362">
        <f t="shared" si="71"/>
        <v>0</v>
      </c>
      <c r="K202" s="358">
        <f t="shared" si="72"/>
        <v>0</v>
      </c>
      <c r="L202" s="164">
        <f>INDEX(T03_Skills!$D$2:$AP$19,MATCH(H202,T03_Skills!$B$2:$B$19,0),SelectedClassID)</f>
        <v>0</v>
      </c>
      <c r="M202" s="150">
        <f t="shared" si="111"/>
        <v>0</v>
      </c>
      <c r="N202" s="136">
        <f>IF(M202=0,0,COUNTIF($N$193:N201,"&gt;0")+1)</f>
        <v>0</v>
      </c>
      <c r="O202" s="136" t="str">
        <f>IFERROR(IF($O$191&gt;0,IF(O201&lt;MAX(N$193:N$210),1+COUNTIF(O$193:O201,"&gt;0"),""),""),"")</f>
        <v/>
      </c>
      <c r="P202" s="136" t="str">
        <f t="shared" si="73"/>
        <v/>
      </c>
      <c r="Q202" s="136">
        <f t="shared" si="74"/>
        <v>0</v>
      </c>
      <c r="R202" s="150">
        <f t="shared" si="112"/>
        <v>0</v>
      </c>
      <c r="S202" s="136">
        <f>IF(R202=0,0,COUNTIF(S$193:S201,"&gt;0")+1)</f>
        <v>0</v>
      </c>
      <c r="T202" s="136" t="str">
        <f>IFERROR(IF($O$191&gt;1,IF(T201&lt;MAX(S$193:S$210),1+COUNTIF(T$193:T201,"&gt;0"),""),""),"")</f>
        <v/>
      </c>
      <c r="U202" s="136" t="str">
        <f t="shared" si="75"/>
        <v/>
      </c>
      <c r="V202" s="136">
        <f t="shared" si="76"/>
        <v>0</v>
      </c>
      <c r="W202" s="150">
        <f t="shared" si="113"/>
        <v>0</v>
      </c>
      <c r="X202" s="136">
        <f>IF(W202=0,0,COUNTIF(X$193:X201,"&gt;0")+1)</f>
        <v>0</v>
      </c>
      <c r="Y202" s="136" t="str">
        <f>IFERROR(IF($O$191&gt;2,IF(Y201&lt;MAX(X$193:X$210),1+COUNTIF(Y$193:Y201,"&gt;0"),""),""),"")</f>
        <v/>
      </c>
      <c r="Z202" s="136" t="str">
        <f t="shared" si="77"/>
        <v/>
      </c>
      <c r="AA202" s="136">
        <f t="shared" si="78"/>
        <v>0</v>
      </c>
      <c r="AB202" s="150">
        <f t="shared" si="114"/>
        <v>0</v>
      </c>
      <c r="AC202" s="136">
        <f>IF(AB202=0,0,COUNTIF(AC$193:AC201,"&gt;0")+1)</f>
        <v>0</v>
      </c>
      <c r="AD202" s="136" t="str">
        <f>IFERROR(IF($O$191&gt;3,IF(AD201&lt;MAX(AC$193:AC$210),1+COUNTIF(AD$193:AD201,"&gt;0"),""),""),"")</f>
        <v/>
      </c>
      <c r="AE202" s="136" t="str">
        <f t="shared" si="79"/>
        <v/>
      </c>
      <c r="AF202" s="151">
        <f t="shared" si="80"/>
        <v>0</v>
      </c>
      <c r="AG202" s="150">
        <f t="shared" si="81"/>
        <v>1</v>
      </c>
      <c r="AH202" s="136">
        <f>IF(AG202=0,0,COUNTIF(AH$193:AH201,"&gt;0")+1)</f>
        <v>6</v>
      </c>
      <c r="AI202" s="136">
        <f>IFERROR(IF($AG$191&gt;0,IF(AI201&lt;MAX(AH$193:AH$210),1+COUNTIF(AI$193:AI201,"&gt;0"),""),""),"")</f>
        <v>10</v>
      </c>
      <c r="AJ202" s="136" t="str">
        <f t="shared" si="82"/>
        <v>Persuasion</v>
      </c>
      <c r="AK202" s="151">
        <f t="shared" si="83"/>
        <v>0</v>
      </c>
      <c r="AL202" s="136">
        <f t="shared" si="84"/>
        <v>1</v>
      </c>
      <c r="AM202" s="136">
        <f>IF(AL202=0,0,COUNTIF(AM$193:AM201,"&gt;0")+1)</f>
        <v>5</v>
      </c>
      <c r="AN202" s="136">
        <f>IFERROR(IF($AG$191&gt;0,IF(AN201&lt;MAX(AM$193:AM$210),1+COUNTIF(AN$193:AN201,"&gt;0"),""),""),"")</f>
        <v>10</v>
      </c>
      <c r="AO202" s="136" t="str">
        <f t="shared" si="85"/>
        <v>Religion</v>
      </c>
      <c r="AP202" s="151">
        <f t="shared" si="86"/>
        <v>0</v>
      </c>
      <c r="AQ202" s="150">
        <f t="shared" si="115"/>
        <v>0</v>
      </c>
      <c r="AR202" s="136">
        <f t="shared" si="116"/>
        <v>0</v>
      </c>
      <c r="AS202" s="136">
        <f>IF(AR202=0,0,COUNTIF(AS$193:AS201,"&gt;0")+1)</f>
        <v>0</v>
      </c>
      <c r="AT202" s="136" t="str">
        <f>IFERROR(IF($AR$191&gt;0,IF(AT201&lt;MAX(AS$193:AS$210),1+COUNTIF(AT$193:AT201,"&gt;0"),""),""),"")</f>
        <v/>
      </c>
      <c r="AU202" s="136" t="str">
        <f t="shared" si="87"/>
        <v/>
      </c>
      <c r="AV202" s="151">
        <f t="shared" si="88"/>
        <v>0</v>
      </c>
      <c r="AW202" s="136">
        <f t="shared" si="117"/>
        <v>0</v>
      </c>
      <c r="AX202" s="136">
        <f t="shared" si="118"/>
        <v>0</v>
      </c>
      <c r="AY202" s="136">
        <f>IF(AX202=0,0,COUNTIF(AY$193:AY201,"&gt;0")+1)</f>
        <v>0</v>
      </c>
      <c r="AZ202" s="136" t="str">
        <f>IFERROR(IF($AR$191&gt;1,IF(AZ201&lt;MAX(AY$193:AY$210),1+COUNTIF(AZ$193:AZ201,"&gt;0"),""),""),"")</f>
        <v/>
      </c>
      <c r="BA202" s="136" t="str">
        <f t="shared" si="89"/>
        <v/>
      </c>
      <c r="BB202" s="151">
        <f t="shared" si="90"/>
        <v>0</v>
      </c>
      <c r="BC202" s="136">
        <f t="shared" si="119"/>
        <v>0</v>
      </c>
      <c r="BD202" s="136">
        <f t="shared" si="120"/>
        <v>0</v>
      </c>
      <c r="BE202" s="136">
        <f>IF(BD202=0,0,COUNTIF(BE$193:BE201,"&gt;0")+1)</f>
        <v>0</v>
      </c>
      <c r="BF202" s="136" t="str">
        <f>IFERROR(IF($AR$191&gt;2,IF(BF201&lt;MAX(BE$193:BE$210),1+COUNTIF(BF$193:BF201,"&gt;0"),""),""),"")</f>
        <v/>
      </c>
      <c r="BG202" s="136" t="str">
        <f t="shared" si="91"/>
        <v/>
      </c>
      <c r="BH202" s="151">
        <f t="shared" si="92"/>
        <v>0</v>
      </c>
      <c r="BI202" s="136">
        <f t="shared" si="121"/>
        <v>0</v>
      </c>
      <c r="BJ202" s="136">
        <f t="shared" si="122"/>
        <v>0</v>
      </c>
      <c r="BK202" s="136">
        <f>IF(BJ202=0,0,COUNTIF(BK$193:BK201,"&gt;0")+1)</f>
        <v>0</v>
      </c>
      <c r="BL202" s="136" t="str">
        <f>IFERROR(IF($AR$191&gt;BL$191,IF(BL201&lt;MAX(BK$193:BK$210),1+COUNTIF(BL$193:BL201,"&gt;0"),""),""),"")</f>
        <v/>
      </c>
      <c r="BM202" s="136" t="str">
        <f t="shared" si="93"/>
        <v/>
      </c>
      <c r="BN202" s="151">
        <f t="shared" si="94"/>
        <v>0</v>
      </c>
      <c r="BO202" s="136">
        <f t="shared" si="123"/>
        <v>0</v>
      </c>
      <c r="BP202" s="136">
        <f t="shared" si="124"/>
        <v>0</v>
      </c>
      <c r="BQ202" s="136">
        <f>IF(BP202=0,0,COUNTIF(BQ$193:BQ201,"&gt;0")+1)</f>
        <v>0</v>
      </c>
      <c r="BR202" s="136" t="str">
        <f>IFERROR(IF($AR$191&gt;BR$191,IF(BR201&lt;MAX(BQ$193:BQ$210),1+COUNTIF(BR$193:BR201,"&gt;0"),""),""),"")</f>
        <v/>
      </c>
      <c r="BS202" s="136" t="str">
        <f t="shared" si="95"/>
        <v/>
      </c>
      <c r="BT202" s="151">
        <f t="shared" si="96"/>
        <v>0</v>
      </c>
      <c r="BU202" s="136">
        <f t="shared" si="125"/>
        <v>0</v>
      </c>
      <c r="BV202" s="136">
        <f t="shared" si="126"/>
        <v>0</v>
      </c>
      <c r="BW202" s="136">
        <f>IF(BV202=0,0,COUNTIF(BW$193:BW201,"&gt;0")+1)</f>
        <v>0</v>
      </c>
      <c r="BX202" s="136" t="str">
        <f>IFERROR(IF($AR$191&gt;BX$191,IF(BX201&lt;MAX(BW$193:BW$210),1+COUNTIF(BX$193:BX201,"&gt;0"),""),""),"")</f>
        <v/>
      </c>
      <c r="BY202" s="136" t="str">
        <f t="shared" si="97"/>
        <v/>
      </c>
      <c r="BZ202" s="151">
        <f t="shared" si="98"/>
        <v>0</v>
      </c>
      <c r="CA202" s="136">
        <f t="shared" si="127"/>
        <v>0</v>
      </c>
      <c r="CB202" s="136">
        <f t="shared" si="128"/>
        <v>0</v>
      </c>
      <c r="CC202" s="136">
        <f>IF(CB202=0,0,COUNTIF(CC$193:CC201,"&gt;0")+1)</f>
        <v>0</v>
      </c>
      <c r="CD202" s="136" t="str">
        <f>IFERROR(IF($AR$191&gt;CD$191,IF(CD201&lt;MAX(CC$193:CC$210),1+COUNTIF(CD$193:CD201,"&gt;0"),""),""),"")</f>
        <v/>
      </c>
      <c r="CE202" s="136" t="str">
        <f t="shared" si="99"/>
        <v/>
      </c>
      <c r="CF202" s="151">
        <f t="shared" si="100"/>
        <v>0</v>
      </c>
      <c r="CG202" s="136">
        <f t="shared" si="129"/>
        <v>0</v>
      </c>
      <c r="CH202" s="136">
        <f t="shared" si="130"/>
        <v>0</v>
      </c>
      <c r="CI202" s="136">
        <f>IF(CH202=0,0,COUNTIF(CI$193:CI201,"&gt;0")+1)</f>
        <v>0</v>
      </c>
      <c r="CJ202" s="136" t="str">
        <f>IFERROR(IF($AR$191&gt;CJ$191,IF(CJ201&lt;MAX(CI$193:CI$210),1+COUNTIF(CJ$193:CJ201,"&gt;0"),""),""),"")</f>
        <v/>
      </c>
      <c r="CK202" s="136" t="str">
        <f t="shared" si="101"/>
        <v/>
      </c>
      <c r="CL202" s="151">
        <f t="shared" si="102"/>
        <v>0</v>
      </c>
      <c r="CM202" s="136">
        <f t="shared" si="131"/>
        <v>0</v>
      </c>
      <c r="CN202" s="136">
        <f t="shared" si="132"/>
        <v>0</v>
      </c>
      <c r="CO202" s="136">
        <f>IF(CN202=0,0,COUNTIF(CO$193:CO201,"&gt;0")+1)</f>
        <v>0</v>
      </c>
      <c r="CP202" s="136" t="str">
        <f>IFERROR(IF($AR$191&gt;CP$191,IF(CP201&lt;MAX(CO$193:CO$210),1+COUNTIF(CP$193:CP201,"&gt;0"),""),""),"")</f>
        <v/>
      </c>
      <c r="CQ202" s="136" t="str">
        <f t="shared" si="103"/>
        <v/>
      </c>
      <c r="CR202" s="151">
        <f t="shared" si="104"/>
        <v>0</v>
      </c>
      <c r="CS202" s="136">
        <f t="shared" si="133"/>
        <v>0</v>
      </c>
      <c r="CT202" s="136">
        <f t="shared" si="134"/>
        <v>0</v>
      </c>
      <c r="CU202" s="136">
        <f>IF(CT202=0,0,COUNTIF(CU$193:CU201,"&gt;0")+1)</f>
        <v>0</v>
      </c>
      <c r="CV202" s="136" t="str">
        <f>IFERROR(IF($AR$191&gt;CV$191,IF(CV201&lt;MAX(CU$193:CU$210),1+COUNTIF(CV$193:CV201,"&gt;0"),""),""),"")</f>
        <v/>
      </c>
      <c r="CW202" s="136" t="str">
        <f t="shared" si="105"/>
        <v/>
      </c>
      <c r="CX202" s="151">
        <f t="shared" si="106"/>
        <v>0</v>
      </c>
      <c r="CY202" s="136">
        <f t="shared" si="135"/>
        <v>0</v>
      </c>
      <c r="CZ202" s="136">
        <f t="shared" si="136"/>
        <v>0</v>
      </c>
      <c r="DA202" s="136">
        <f>IF(CZ202=0,0,COUNTIF(DA$193:DA201,"&gt;0")+1)</f>
        <v>0</v>
      </c>
      <c r="DB202" s="136" t="str">
        <f>IFERROR(IF($AR$191&gt;DB$191,IF(DB201&lt;MAX(DA$193:DA$210),1+COUNTIF(DB$193:DB201,"&gt;0"),""),""),"")</f>
        <v/>
      </c>
      <c r="DC202" s="136" t="str">
        <f t="shared" si="107"/>
        <v/>
      </c>
      <c r="DD202" s="151">
        <f t="shared" si="108"/>
        <v>0</v>
      </c>
      <c r="DE202" s="136">
        <f t="shared" si="137"/>
        <v>0</v>
      </c>
      <c r="DF202" s="136">
        <f t="shared" si="138"/>
        <v>0</v>
      </c>
      <c r="DG202" s="136">
        <f>IF(DF202=0,0,COUNTIF(DG$193:DG201,"&gt;0")+1)</f>
        <v>0</v>
      </c>
      <c r="DH202" s="136" t="str">
        <f>IFERROR(IF($AR$191&gt;DH$191,IF(DH201&lt;MAX(DG$193:DG$210),1+COUNTIF(DH$193:DH201,"&gt;0"),""),""),"")</f>
        <v/>
      </c>
      <c r="DI202" s="136" t="str">
        <f t="shared" si="109"/>
        <v/>
      </c>
      <c r="DJ202" s="151">
        <f t="shared" si="110"/>
        <v>0</v>
      </c>
      <c r="DK202" s="151"/>
      <c r="DZ202" s="138"/>
    </row>
    <row r="203" spans="1:130" ht="16.5" x14ac:dyDescent="0.3">
      <c r="A203" s="132">
        <f>IFERROR(IF(A202+1&lt;MAX(T041_ClassFeatures!$A$2:$A$2033),A202+1,""),"")</f>
        <v>200</v>
      </c>
      <c r="B203" s="131" t="str">
        <f>IFERROR(INDEX(T041_ClassFeatures!$B$2:$B$2033,MATCH('C03_ClassVariables'!A203,T041_ClassFeatures!$A$2:$A$2033,0),1),"")</f>
        <v>Acolyte of Nature</v>
      </c>
      <c r="C203" s="131">
        <f>IF(B203="",0,IF(IFERROR(MATCH(B203,'C01_BaseCalculation'!$W$160:$W$239,0),0)&gt;0,1,0))</f>
        <v>0</v>
      </c>
      <c r="D203" s="131"/>
      <c r="E203" s="131"/>
      <c r="F203" s="131"/>
      <c r="G203" s="371"/>
      <c r="H203" s="372" t="s">
        <v>611</v>
      </c>
      <c r="I203" s="361">
        <f t="shared" si="70"/>
        <v>0</v>
      </c>
      <c r="J203" s="362">
        <f t="shared" si="71"/>
        <v>0</v>
      </c>
      <c r="K203" s="358">
        <f t="shared" si="72"/>
        <v>0</v>
      </c>
      <c r="L203" s="164">
        <f>INDEX(T03_Skills!$D$2:$AP$19,MATCH(H203,T03_Skills!$B$2:$B$19,0),SelectedClassID)</f>
        <v>0</v>
      </c>
      <c r="M203" s="150">
        <f t="shared" si="111"/>
        <v>0</v>
      </c>
      <c r="N203" s="136">
        <f>IF(M203=0,0,COUNTIF($N$193:N202,"&gt;0")+1)</f>
        <v>0</v>
      </c>
      <c r="O203" s="136" t="str">
        <f>IFERROR(IF($O$191&gt;0,IF(O202&lt;MAX(N$193:N$210),1+COUNTIF(O$193:O202,"&gt;0"),""),""),"")</f>
        <v/>
      </c>
      <c r="P203" s="136" t="str">
        <f t="shared" si="73"/>
        <v/>
      </c>
      <c r="Q203" s="136">
        <f t="shared" si="74"/>
        <v>0</v>
      </c>
      <c r="R203" s="150">
        <f t="shared" si="112"/>
        <v>0</v>
      </c>
      <c r="S203" s="136">
        <f>IF(R203=0,0,COUNTIF(S$193:S202,"&gt;0")+1)</f>
        <v>0</v>
      </c>
      <c r="T203" s="136" t="str">
        <f>IFERROR(IF($O$191&gt;1,IF(T202&lt;MAX(S$193:S$210),1+COUNTIF(T$193:T202,"&gt;0"),""),""),"")</f>
        <v/>
      </c>
      <c r="U203" s="136" t="str">
        <f t="shared" si="75"/>
        <v/>
      </c>
      <c r="V203" s="136">
        <f t="shared" si="76"/>
        <v>0</v>
      </c>
      <c r="W203" s="150">
        <f t="shared" si="113"/>
        <v>0</v>
      </c>
      <c r="X203" s="136">
        <f>IF(W203=0,0,COUNTIF(X$193:X202,"&gt;0")+1)</f>
        <v>0</v>
      </c>
      <c r="Y203" s="136" t="str">
        <f>IFERROR(IF($O$191&gt;2,IF(Y202&lt;MAX(X$193:X$210),1+COUNTIF(Y$193:Y202,"&gt;0"),""),""),"")</f>
        <v/>
      </c>
      <c r="Z203" s="136" t="str">
        <f t="shared" si="77"/>
        <v/>
      </c>
      <c r="AA203" s="136">
        <f t="shared" si="78"/>
        <v>0</v>
      </c>
      <c r="AB203" s="150">
        <f t="shared" si="114"/>
        <v>0</v>
      </c>
      <c r="AC203" s="136">
        <f>IF(AB203=0,0,COUNTIF(AC$193:AC202,"&gt;0")+1)</f>
        <v>0</v>
      </c>
      <c r="AD203" s="136" t="str">
        <f>IFERROR(IF($O$191&gt;3,IF(AD202&lt;MAX(AC$193:AC$210),1+COUNTIF(AD$193:AD202,"&gt;0"),""),""),"")</f>
        <v/>
      </c>
      <c r="AE203" s="136" t="str">
        <f t="shared" si="79"/>
        <v/>
      </c>
      <c r="AF203" s="151">
        <f t="shared" si="80"/>
        <v>0</v>
      </c>
      <c r="AG203" s="150">
        <f t="shared" si="81"/>
        <v>1</v>
      </c>
      <c r="AH203" s="136">
        <f>IF(AG203=0,0,COUNTIF(AH$193:AH202,"&gt;0")+1)</f>
        <v>7</v>
      </c>
      <c r="AI203" s="136">
        <f>IFERROR(IF($AG$191&gt;0,IF(AI202&lt;MAX(AH$193:AH$210),1+COUNTIF(AI$193:AI202,"&gt;0"),""),""),"")</f>
        <v>11</v>
      </c>
      <c r="AJ203" s="136" t="str">
        <f t="shared" si="82"/>
        <v>Religion</v>
      </c>
      <c r="AK203" s="151">
        <f t="shared" si="83"/>
        <v>0</v>
      </c>
      <c r="AL203" s="136">
        <f t="shared" si="84"/>
        <v>1</v>
      </c>
      <c r="AM203" s="136">
        <f>IF(AL203=0,0,COUNTIF(AM$193:AM202,"&gt;0")+1)</f>
        <v>6</v>
      </c>
      <c r="AN203" s="136">
        <f>IFERROR(IF($AG$191&gt;0,IF(AN202&lt;MAX(AM$193:AM$210),1+COUNTIF(AN$193:AN202,"&gt;0"),""),""),"")</f>
        <v>11</v>
      </c>
      <c r="AO203" s="136" t="str">
        <f t="shared" si="85"/>
        <v>Sleight of Hand</v>
      </c>
      <c r="AP203" s="151">
        <f t="shared" si="86"/>
        <v>0</v>
      </c>
      <c r="AQ203" s="150">
        <f t="shared" si="115"/>
        <v>1</v>
      </c>
      <c r="AR203" s="136">
        <f t="shared" si="116"/>
        <v>1</v>
      </c>
      <c r="AS203" s="136">
        <f>IF(AR203=0,0,COUNTIF(AS$193:AS202,"&gt;0")+1)</f>
        <v>2</v>
      </c>
      <c r="AT203" s="136" t="str">
        <f>IFERROR(IF($AR$191&gt;0,IF(AT202&lt;MAX(AS$193:AS$210),1+COUNTIF(AT$193:AT202,"&gt;0"),""),""),"")</f>
        <v/>
      </c>
      <c r="AU203" s="136" t="str">
        <f t="shared" si="87"/>
        <v/>
      </c>
      <c r="AV203" s="151">
        <f t="shared" si="88"/>
        <v>0</v>
      </c>
      <c r="AW203" s="136">
        <f t="shared" si="117"/>
        <v>0</v>
      </c>
      <c r="AX203" s="136">
        <f t="shared" si="118"/>
        <v>0</v>
      </c>
      <c r="AY203" s="136">
        <f>IF(AX203=0,0,COUNTIF(AY$193:AY202,"&gt;0")+1)</f>
        <v>0</v>
      </c>
      <c r="AZ203" s="136" t="str">
        <f>IFERROR(IF($AR$191&gt;1,IF(AZ202&lt;MAX(AY$193:AY$210),1+COUNTIF(AZ$193:AZ202,"&gt;0"),""),""),"")</f>
        <v/>
      </c>
      <c r="BA203" s="136" t="str">
        <f t="shared" si="89"/>
        <v/>
      </c>
      <c r="BB203" s="151">
        <f t="shared" si="90"/>
        <v>0</v>
      </c>
      <c r="BC203" s="136">
        <f t="shared" si="119"/>
        <v>0</v>
      </c>
      <c r="BD203" s="136">
        <f t="shared" si="120"/>
        <v>0</v>
      </c>
      <c r="BE203" s="136">
        <f>IF(BD203=0,0,COUNTIF(BE$193:BE202,"&gt;0")+1)</f>
        <v>0</v>
      </c>
      <c r="BF203" s="136" t="str">
        <f>IFERROR(IF($AR$191&gt;2,IF(BF202&lt;MAX(BE$193:BE$210),1+COUNTIF(BF$193:BF202,"&gt;0"),""),""),"")</f>
        <v/>
      </c>
      <c r="BG203" s="136" t="str">
        <f t="shared" si="91"/>
        <v/>
      </c>
      <c r="BH203" s="151">
        <f t="shared" si="92"/>
        <v>0</v>
      </c>
      <c r="BI203" s="136">
        <f t="shared" si="121"/>
        <v>0</v>
      </c>
      <c r="BJ203" s="136">
        <f t="shared" si="122"/>
        <v>0</v>
      </c>
      <c r="BK203" s="136">
        <f>IF(BJ203=0,0,COUNTIF(BK$193:BK202,"&gt;0")+1)</f>
        <v>0</v>
      </c>
      <c r="BL203" s="136" t="str">
        <f>IFERROR(IF($AR$191&gt;BL$191,IF(BL202&lt;MAX(BK$193:BK$210),1+COUNTIF(BL$193:BL202,"&gt;0"),""),""),"")</f>
        <v/>
      </c>
      <c r="BM203" s="136" t="str">
        <f t="shared" si="93"/>
        <v/>
      </c>
      <c r="BN203" s="151">
        <f t="shared" si="94"/>
        <v>0</v>
      </c>
      <c r="BO203" s="136">
        <f t="shared" si="123"/>
        <v>0</v>
      </c>
      <c r="BP203" s="136">
        <f t="shared" si="124"/>
        <v>0</v>
      </c>
      <c r="BQ203" s="136">
        <f>IF(BP203=0,0,COUNTIF(BQ$193:BQ202,"&gt;0")+1)</f>
        <v>0</v>
      </c>
      <c r="BR203" s="136" t="str">
        <f>IFERROR(IF($AR$191&gt;BR$191,IF(BR202&lt;MAX(BQ$193:BQ$210),1+COUNTIF(BR$193:BR202,"&gt;0"),""),""),"")</f>
        <v/>
      </c>
      <c r="BS203" s="136" t="str">
        <f t="shared" si="95"/>
        <v/>
      </c>
      <c r="BT203" s="151">
        <f t="shared" si="96"/>
        <v>0</v>
      </c>
      <c r="BU203" s="136">
        <f t="shared" si="125"/>
        <v>0</v>
      </c>
      <c r="BV203" s="136">
        <f t="shared" si="126"/>
        <v>0</v>
      </c>
      <c r="BW203" s="136">
        <f>IF(BV203=0,0,COUNTIF(BW$193:BW202,"&gt;0")+1)</f>
        <v>0</v>
      </c>
      <c r="BX203" s="136" t="str">
        <f>IFERROR(IF($AR$191&gt;BX$191,IF(BX202&lt;MAX(BW$193:BW$210),1+COUNTIF(BX$193:BX202,"&gt;0"),""),""),"")</f>
        <v/>
      </c>
      <c r="BY203" s="136" t="str">
        <f t="shared" si="97"/>
        <v/>
      </c>
      <c r="BZ203" s="151">
        <f t="shared" si="98"/>
        <v>0</v>
      </c>
      <c r="CA203" s="136">
        <f t="shared" si="127"/>
        <v>0</v>
      </c>
      <c r="CB203" s="136">
        <f t="shared" si="128"/>
        <v>0</v>
      </c>
      <c r="CC203" s="136">
        <f>IF(CB203=0,0,COUNTIF(CC$193:CC202,"&gt;0")+1)</f>
        <v>0</v>
      </c>
      <c r="CD203" s="136" t="str">
        <f>IFERROR(IF($AR$191&gt;CD$191,IF(CD202&lt;MAX(CC$193:CC$210),1+COUNTIF(CD$193:CD202,"&gt;0"),""),""),"")</f>
        <v/>
      </c>
      <c r="CE203" s="136" t="str">
        <f t="shared" si="99"/>
        <v/>
      </c>
      <c r="CF203" s="151">
        <f t="shared" si="100"/>
        <v>0</v>
      </c>
      <c r="CG203" s="136">
        <f t="shared" si="129"/>
        <v>0</v>
      </c>
      <c r="CH203" s="136">
        <f t="shared" si="130"/>
        <v>0</v>
      </c>
      <c r="CI203" s="136">
        <f>IF(CH203=0,0,COUNTIF(CI$193:CI202,"&gt;0")+1)</f>
        <v>0</v>
      </c>
      <c r="CJ203" s="136" t="str">
        <f>IFERROR(IF($AR$191&gt;CJ$191,IF(CJ202&lt;MAX(CI$193:CI$210),1+COUNTIF(CJ$193:CJ202,"&gt;0"),""),""),"")</f>
        <v/>
      </c>
      <c r="CK203" s="136" t="str">
        <f t="shared" si="101"/>
        <v/>
      </c>
      <c r="CL203" s="151">
        <f t="shared" si="102"/>
        <v>0</v>
      </c>
      <c r="CM203" s="136">
        <f t="shared" si="131"/>
        <v>0</v>
      </c>
      <c r="CN203" s="136">
        <f t="shared" si="132"/>
        <v>0</v>
      </c>
      <c r="CO203" s="136">
        <f>IF(CN203=0,0,COUNTIF(CO$193:CO202,"&gt;0")+1)</f>
        <v>0</v>
      </c>
      <c r="CP203" s="136" t="str">
        <f>IFERROR(IF($AR$191&gt;CP$191,IF(CP202&lt;MAX(CO$193:CO$210),1+COUNTIF(CP$193:CP202,"&gt;0"),""),""),"")</f>
        <v/>
      </c>
      <c r="CQ203" s="136" t="str">
        <f t="shared" si="103"/>
        <v/>
      </c>
      <c r="CR203" s="151">
        <f t="shared" si="104"/>
        <v>0</v>
      </c>
      <c r="CS203" s="136">
        <f t="shared" si="133"/>
        <v>0</v>
      </c>
      <c r="CT203" s="136">
        <f t="shared" si="134"/>
        <v>0</v>
      </c>
      <c r="CU203" s="136">
        <f>IF(CT203=0,0,COUNTIF(CU$193:CU202,"&gt;0")+1)</f>
        <v>0</v>
      </c>
      <c r="CV203" s="136" t="str">
        <f>IFERROR(IF($AR$191&gt;CV$191,IF(CV202&lt;MAX(CU$193:CU$210),1+COUNTIF(CV$193:CV202,"&gt;0"),""),""),"")</f>
        <v/>
      </c>
      <c r="CW203" s="136" t="str">
        <f t="shared" si="105"/>
        <v/>
      </c>
      <c r="CX203" s="151">
        <f t="shared" si="106"/>
        <v>0</v>
      </c>
      <c r="CY203" s="136">
        <f t="shared" si="135"/>
        <v>0</v>
      </c>
      <c r="CZ203" s="136">
        <f t="shared" si="136"/>
        <v>0</v>
      </c>
      <c r="DA203" s="136">
        <f>IF(CZ203=0,0,COUNTIF(DA$193:DA202,"&gt;0")+1)</f>
        <v>0</v>
      </c>
      <c r="DB203" s="136" t="str">
        <f>IFERROR(IF($AR$191&gt;DB$191,IF(DB202&lt;MAX(DA$193:DA$210),1+COUNTIF(DB$193:DB202,"&gt;0"),""),""),"")</f>
        <v/>
      </c>
      <c r="DC203" s="136" t="str">
        <f t="shared" si="107"/>
        <v/>
      </c>
      <c r="DD203" s="151">
        <f t="shared" si="108"/>
        <v>0</v>
      </c>
      <c r="DE203" s="136">
        <f t="shared" si="137"/>
        <v>0</v>
      </c>
      <c r="DF203" s="136">
        <f t="shared" si="138"/>
        <v>0</v>
      </c>
      <c r="DG203" s="136">
        <f>IF(DF203=0,0,COUNTIF(DG$193:DG202,"&gt;0")+1)</f>
        <v>0</v>
      </c>
      <c r="DH203" s="136" t="str">
        <f>IFERROR(IF($AR$191&gt;DH$191,IF(DH202&lt;MAX(DG$193:DG$210),1+COUNTIF(DH$193:DH202,"&gt;0"),""),""),"")</f>
        <v/>
      </c>
      <c r="DI203" s="136" t="str">
        <f t="shared" si="109"/>
        <v/>
      </c>
      <c r="DJ203" s="151">
        <f t="shared" si="110"/>
        <v>0</v>
      </c>
      <c r="DK203" s="151"/>
      <c r="DZ203" s="138"/>
    </row>
    <row r="204" spans="1:130" ht="16.5" x14ac:dyDescent="0.3">
      <c r="A204" s="132">
        <f>IFERROR(IF(A203+1&lt;MAX(T041_ClassFeatures!$A$2:$A$2033),A203+1,""),"")</f>
        <v>201</v>
      </c>
      <c r="B204" s="131" t="str">
        <f>IFERROR(INDEX(T041_ClassFeatures!$B$2:$B$2033,MATCH('C03_ClassVariables'!A204,T041_ClassFeatures!$A$2:$A$2033,0),1),"")</f>
        <v>Tempest Domain: Bonus Proficiencies</v>
      </c>
      <c r="C204" s="131">
        <f>IF(B204="",0,IF(IFERROR(MATCH(B204,'C01_BaseCalculation'!$W$160:$W$239,0),0)&gt;0,1,0))</f>
        <v>0</v>
      </c>
      <c r="D204" s="131"/>
      <c r="E204" s="131"/>
      <c r="F204" s="131"/>
      <c r="G204" s="371"/>
      <c r="H204" s="372" t="s">
        <v>49</v>
      </c>
      <c r="I204" s="361">
        <f t="shared" si="70"/>
        <v>0</v>
      </c>
      <c r="J204" s="362">
        <f t="shared" si="71"/>
        <v>0</v>
      </c>
      <c r="K204" s="358">
        <f t="shared" si="72"/>
        <v>0</v>
      </c>
      <c r="L204" s="164">
        <f>INDEX(T03_Skills!$D$2:$AP$19,MATCH(H204,T03_Skills!$B$2:$B$19,0),SelectedClassID)</f>
        <v>1</v>
      </c>
      <c r="M204" s="150">
        <f t="shared" si="111"/>
        <v>1</v>
      </c>
      <c r="N204" s="136">
        <f>IF(M204=0,0,COUNTIF($N$193:N203,"&gt;0")+1)</f>
        <v>6</v>
      </c>
      <c r="O204" s="136" t="str">
        <f>IFERROR(IF($O$191&gt;0,IF(O203&lt;MAX(N$193:N$210),1+COUNTIF(O$193:O203,"&gt;0"),""),""),"")</f>
        <v/>
      </c>
      <c r="P204" s="136" t="str">
        <f t="shared" si="73"/>
        <v/>
      </c>
      <c r="Q204" s="136">
        <f t="shared" si="74"/>
        <v>0</v>
      </c>
      <c r="R204" s="150">
        <f t="shared" si="112"/>
        <v>1</v>
      </c>
      <c r="S204" s="136">
        <f>IF(R204=0,0,COUNTIF(S$193:S203,"&gt;0")+1)</f>
        <v>5</v>
      </c>
      <c r="T204" s="136" t="str">
        <f>IFERROR(IF($O$191&gt;1,IF(T203&lt;MAX(S$193:S$210),1+COUNTIF(T$193:T203,"&gt;0"),""),""),"")</f>
        <v/>
      </c>
      <c r="U204" s="136" t="str">
        <f t="shared" si="75"/>
        <v/>
      </c>
      <c r="V204" s="136">
        <f t="shared" si="76"/>
        <v>0</v>
      </c>
      <c r="W204" s="150">
        <f t="shared" si="113"/>
        <v>1</v>
      </c>
      <c r="X204" s="136">
        <f>IF(W204=0,0,COUNTIF(X$193:X203,"&gt;0")+1)</f>
        <v>4</v>
      </c>
      <c r="Y204" s="136" t="str">
        <f>IFERROR(IF($O$191&gt;2,IF(Y203&lt;MAX(X$193:X$210),1+COUNTIF(Y$193:Y203,"&gt;0"),""),""),"")</f>
        <v/>
      </c>
      <c r="Z204" s="136" t="str">
        <f t="shared" si="77"/>
        <v/>
      </c>
      <c r="AA204" s="136">
        <f t="shared" si="78"/>
        <v>0</v>
      </c>
      <c r="AB204" s="150">
        <f t="shared" si="114"/>
        <v>1</v>
      </c>
      <c r="AC204" s="136">
        <f>IF(AB204=0,0,COUNTIF(AC$193:AC203,"&gt;0")+1)</f>
        <v>4</v>
      </c>
      <c r="AD204" s="136" t="str">
        <f>IFERROR(IF($O$191&gt;3,IF(AD203&lt;MAX(AC$193:AC$210),1+COUNTIF(AD$193:AD203,"&gt;0"),""),""),"")</f>
        <v/>
      </c>
      <c r="AE204" s="136" t="str">
        <f t="shared" si="79"/>
        <v/>
      </c>
      <c r="AF204" s="151">
        <f t="shared" si="80"/>
        <v>0</v>
      </c>
      <c r="AG204" s="150">
        <f t="shared" si="81"/>
        <v>1</v>
      </c>
      <c r="AH204" s="136">
        <f>IF(AG204=0,0,COUNTIF(AH$193:AH203,"&gt;0")+1)</f>
        <v>8</v>
      </c>
      <c r="AI204" s="136">
        <f>IFERROR(IF($AG$191&gt;0,IF(AI203&lt;MAX(AH$193:AH$210),1+COUNTIF(AI$193:AI203,"&gt;0"),""),""),"")</f>
        <v>12</v>
      </c>
      <c r="AJ204" s="136" t="str">
        <f t="shared" si="82"/>
        <v>Sleight of Hand</v>
      </c>
      <c r="AK204" s="151">
        <f t="shared" si="83"/>
        <v>0</v>
      </c>
      <c r="AL204" s="136">
        <f t="shared" si="84"/>
        <v>1</v>
      </c>
      <c r="AM204" s="136">
        <f>IF(AL204=0,0,COUNTIF(AM$193:AM203,"&gt;0")+1)</f>
        <v>7</v>
      </c>
      <c r="AN204" s="136">
        <f>IFERROR(IF($AG$191&gt;0,IF(AN203&lt;MAX(AM$193:AM$210),1+COUNTIF(AN$193:AN203,"&gt;0"),""),""),"")</f>
        <v>12</v>
      </c>
      <c r="AO204" s="136" t="str">
        <f t="shared" si="85"/>
        <v>Stealth</v>
      </c>
      <c r="AP204" s="151">
        <f t="shared" si="86"/>
        <v>0</v>
      </c>
      <c r="AQ204" s="150">
        <f t="shared" si="115"/>
        <v>0</v>
      </c>
      <c r="AR204" s="136">
        <f t="shared" si="116"/>
        <v>0</v>
      </c>
      <c r="AS204" s="136">
        <f>IF(AR204=0,0,COUNTIF(AS$193:AS203,"&gt;0")+1)</f>
        <v>0</v>
      </c>
      <c r="AT204" s="136" t="str">
        <f>IFERROR(IF($AR$191&gt;0,IF(AT203&lt;MAX(AS$193:AS$210),1+COUNTIF(AT$193:AT203,"&gt;0"),""),""),"")</f>
        <v/>
      </c>
      <c r="AU204" s="136" t="str">
        <f t="shared" si="87"/>
        <v/>
      </c>
      <c r="AV204" s="151">
        <f t="shared" si="88"/>
        <v>0</v>
      </c>
      <c r="AW204" s="136">
        <f t="shared" si="117"/>
        <v>0</v>
      </c>
      <c r="AX204" s="136">
        <f t="shared" si="118"/>
        <v>0</v>
      </c>
      <c r="AY204" s="136">
        <f>IF(AX204=0,0,COUNTIF(AY$193:AY203,"&gt;0")+1)</f>
        <v>0</v>
      </c>
      <c r="AZ204" s="136" t="str">
        <f>IFERROR(IF($AR$191&gt;1,IF(AZ203&lt;MAX(AY$193:AY$210),1+COUNTIF(AZ$193:AZ203,"&gt;0"),""),""),"")</f>
        <v/>
      </c>
      <c r="BA204" s="136" t="str">
        <f t="shared" si="89"/>
        <v/>
      </c>
      <c r="BB204" s="151">
        <f t="shared" si="90"/>
        <v>0</v>
      </c>
      <c r="BC204" s="136">
        <f t="shared" si="119"/>
        <v>0</v>
      </c>
      <c r="BD204" s="136">
        <f t="shared" si="120"/>
        <v>0</v>
      </c>
      <c r="BE204" s="136">
        <f>IF(BD204=0,0,COUNTIF(BE$193:BE203,"&gt;0")+1)</f>
        <v>0</v>
      </c>
      <c r="BF204" s="136" t="str">
        <f>IFERROR(IF($AR$191&gt;2,IF(BF203&lt;MAX(BE$193:BE$210),1+COUNTIF(BF$193:BF203,"&gt;0"),""),""),"")</f>
        <v/>
      </c>
      <c r="BG204" s="136" t="str">
        <f t="shared" si="91"/>
        <v/>
      </c>
      <c r="BH204" s="151">
        <f t="shared" si="92"/>
        <v>0</v>
      </c>
      <c r="BI204" s="136">
        <f t="shared" si="121"/>
        <v>0</v>
      </c>
      <c r="BJ204" s="136">
        <f t="shared" si="122"/>
        <v>0</v>
      </c>
      <c r="BK204" s="136">
        <f>IF(BJ204=0,0,COUNTIF(BK$193:BK203,"&gt;0")+1)</f>
        <v>0</v>
      </c>
      <c r="BL204" s="136" t="str">
        <f>IFERROR(IF($AR$191&gt;BL$191,IF(BL203&lt;MAX(BK$193:BK$210),1+COUNTIF(BL$193:BL203,"&gt;0"),""),""),"")</f>
        <v/>
      </c>
      <c r="BM204" s="136" t="str">
        <f t="shared" si="93"/>
        <v/>
      </c>
      <c r="BN204" s="151">
        <f t="shared" si="94"/>
        <v>0</v>
      </c>
      <c r="BO204" s="136">
        <f t="shared" si="123"/>
        <v>0</v>
      </c>
      <c r="BP204" s="136">
        <f t="shared" si="124"/>
        <v>0</v>
      </c>
      <c r="BQ204" s="136">
        <f>IF(BP204=0,0,COUNTIF(BQ$193:BQ203,"&gt;0")+1)</f>
        <v>0</v>
      </c>
      <c r="BR204" s="136" t="str">
        <f>IFERROR(IF($AR$191&gt;BR$191,IF(BR203&lt;MAX(BQ$193:BQ$210),1+COUNTIF(BR$193:BR203,"&gt;0"),""),""),"")</f>
        <v/>
      </c>
      <c r="BS204" s="136" t="str">
        <f t="shared" si="95"/>
        <v/>
      </c>
      <c r="BT204" s="151">
        <f t="shared" si="96"/>
        <v>0</v>
      </c>
      <c r="BU204" s="136">
        <f t="shared" si="125"/>
        <v>0</v>
      </c>
      <c r="BV204" s="136">
        <f t="shared" si="126"/>
        <v>0</v>
      </c>
      <c r="BW204" s="136">
        <f>IF(BV204=0,0,COUNTIF(BW$193:BW203,"&gt;0")+1)</f>
        <v>0</v>
      </c>
      <c r="BX204" s="136" t="str">
        <f>IFERROR(IF($AR$191&gt;BX$191,IF(BX203&lt;MAX(BW$193:BW$210),1+COUNTIF(BX$193:BX203,"&gt;0"),""),""),"")</f>
        <v/>
      </c>
      <c r="BY204" s="136" t="str">
        <f t="shared" si="97"/>
        <v/>
      </c>
      <c r="BZ204" s="151">
        <f t="shared" si="98"/>
        <v>0</v>
      </c>
      <c r="CA204" s="136">
        <f t="shared" si="127"/>
        <v>0</v>
      </c>
      <c r="CB204" s="136">
        <f t="shared" si="128"/>
        <v>0</v>
      </c>
      <c r="CC204" s="136">
        <f>IF(CB204=0,0,COUNTIF(CC$193:CC203,"&gt;0")+1)</f>
        <v>0</v>
      </c>
      <c r="CD204" s="136" t="str">
        <f>IFERROR(IF($AR$191&gt;CD$191,IF(CD203&lt;MAX(CC$193:CC$210),1+COUNTIF(CD$193:CD203,"&gt;0"),""),""),"")</f>
        <v/>
      </c>
      <c r="CE204" s="136" t="str">
        <f t="shared" si="99"/>
        <v/>
      </c>
      <c r="CF204" s="151">
        <f t="shared" si="100"/>
        <v>0</v>
      </c>
      <c r="CG204" s="136">
        <f t="shared" si="129"/>
        <v>0</v>
      </c>
      <c r="CH204" s="136">
        <f t="shared" si="130"/>
        <v>0</v>
      </c>
      <c r="CI204" s="136">
        <f>IF(CH204=0,0,COUNTIF(CI$193:CI203,"&gt;0")+1)</f>
        <v>0</v>
      </c>
      <c r="CJ204" s="136" t="str">
        <f>IFERROR(IF($AR$191&gt;CJ$191,IF(CJ203&lt;MAX(CI$193:CI$210),1+COUNTIF(CJ$193:CJ203,"&gt;0"),""),""),"")</f>
        <v/>
      </c>
      <c r="CK204" s="136" t="str">
        <f t="shared" si="101"/>
        <v/>
      </c>
      <c r="CL204" s="151">
        <f t="shared" si="102"/>
        <v>0</v>
      </c>
      <c r="CM204" s="136">
        <f t="shared" si="131"/>
        <v>0</v>
      </c>
      <c r="CN204" s="136">
        <f t="shared" si="132"/>
        <v>0</v>
      </c>
      <c r="CO204" s="136">
        <f>IF(CN204=0,0,COUNTIF(CO$193:CO203,"&gt;0")+1)</f>
        <v>0</v>
      </c>
      <c r="CP204" s="136" t="str">
        <f>IFERROR(IF($AR$191&gt;CP$191,IF(CP203&lt;MAX(CO$193:CO$210),1+COUNTIF(CP$193:CP203,"&gt;0"),""),""),"")</f>
        <v/>
      </c>
      <c r="CQ204" s="136" t="str">
        <f t="shared" si="103"/>
        <v/>
      </c>
      <c r="CR204" s="151">
        <f t="shared" si="104"/>
        <v>0</v>
      </c>
      <c r="CS204" s="136">
        <f t="shared" si="133"/>
        <v>0</v>
      </c>
      <c r="CT204" s="136">
        <f t="shared" si="134"/>
        <v>0</v>
      </c>
      <c r="CU204" s="136">
        <f>IF(CT204=0,0,COUNTIF(CU$193:CU203,"&gt;0")+1)</f>
        <v>0</v>
      </c>
      <c r="CV204" s="136" t="str">
        <f>IFERROR(IF($AR$191&gt;CV$191,IF(CV203&lt;MAX(CU$193:CU$210),1+COUNTIF(CV$193:CV203,"&gt;0"),""),""),"")</f>
        <v/>
      </c>
      <c r="CW204" s="136" t="str">
        <f t="shared" si="105"/>
        <v/>
      </c>
      <c r="CX204" s="151">
        <f t="shared" si="106"/>
        <v>0</v>
      </c>
      <c r="CY204" s="136">
        <f t="shared" si="135"/>
        <v>0</v>
      </c>
      <c r="CZ204" s="136">
        <f t="shared" si="136"/>
        <v>0</v>
      </c>
      <c r="DA204" s="136">
        <f>IF(CZ204=0,0,COUNTIF(DA$193:DA203,"&gt;0")+1)</f>
        <v>0</v>
      </c>
      <c r="DB204" s="136" t="str">
        <f>IFERROR(IF($AR$191&gt;DB$191,IF(DB203&lt;MAX(DA$193:DA$210),1+COUNTIF(DB$193:DB203,"&gt;0"),""),""),"")</f>
        <v/>
      </c>
      <c r="DC204" s="136" t="str">
        <f t="shared" si="107"/>
        <v/>
      </c>
      <c r="DD204" s="151">
        <f t="shared" si="108"/>
        <v>0</v>
      </c>
      <c r="DE204" s="136">
        <f t="shared" si="137"/>
        <v>0</v>
      </c>
      <c r="DF204" s="136">
        <f t="shared" si="138"/>
        <v>0</v>
      </c>
      <c r="DG204" s="136">
        <f>IF(DF204=0,0,COUNTIF(DG$193:DG203,"&gt;0")+1)</f>
        <v>0</v>
      </c>
      <c r="DH204" s="136" t="str">
        <f>IFERROR(IF($AR$191&gt;DH$191,IF(DH203&lt;MAX(DG$193:DG$210),1+COUNTIF(DH$193:DH203,"&gt;0"),""),""),"")</f>
        <v/>
      </c>
      <c r="DI204" s="136" t="str">
        <f t="shared" si="109"/>
        <v/>
      </c>
      <c r="DJ204" s="151">
        <f t="shared" si="110"/>
        <v>0</v>
      </c>
      <c r="DK204" s="151"/>
      <c r="DZ204" s="138"/>
    </row>
    <row r="205" spans="1:130" ht="16.5" x14ac:dyDescent="0.3">
      <c r="A205" s="132">
        <f>IFERROR(IF(A204+1&lt;MAX(T041_ClassFeatures!$A$2:$A$2033),A204+1,""),"")</f>
        <v>202</v>
      </c>
      <c r="B205" s="131" t="str">
        <f>IFERROR(INDEX(T041_ClassFeatures!$B$2:$B$2033,MATCH('C03_ClassVariables'!A205,T041_ClassFeatures!$A$2:$A$2033,0),1),"")</f>
        <v>Wrath of the Storm</v>
      </c>
      <c r="C205" s="131">
        <f>IF(B205="",0,IF(IFERROR(MATCH(B205,'C01_BaseCalculation'!$W$160:$W$239,0),0)&gt;0,1,0))</f>
        <v>0</v>
      </c>
      <c r="D205" s="131"/>
      <c r="E205" s="131"/>
      <c r="F205" s="131"/>
      <c r="G205" s="371"/>
      <c r="H205" s="372" t="s">
        <v>612</v>
      </c>
      <c r="I205" s="361">
        <f t="shared" si="70"/>
        <v>0</v>
      </c>
      <c r="J205" s="362">
        <f t="shared" si="71"/>
        <v>0</v>
      </c>
      <c r="K205" s="358">
        <f t="shared" si="72"/>
        <v>0</v>
      </c>
      <c r="L205" s="164">
        <f>INDEX(T03_Skills!$D$2:$AP$19,MATCH(H205,T03_Skills!$B$2:$B$19,0),SelectedClassID)</f>
        <v>0</v>
      </c>
      <c r="M205" s="150">
        <f t="shared" si="111"/>
        <v>0</v>
      </c>
      <c r="N205" s="136">
        <f>IF(M205=0,0,COUNTIF($N$193:N204,"&gt;0")+1)</f>
        <v>0</v>
      </c>
      <c r="O205" s="136" t="str">
        <f>IFERROR(IF($O$191&gt;0,IF(O204&lt;MAX(N$193:N$210),1+COUNTIF(O$193:O204,"&gt;0"),""),""),"")</f>
        <v/>
      </c>
      <c r="P205" s="136" t="str">
        <f t="shared" si="73"/>
        <v/>
      </c>
      <c r="Q205" s="136">
        <f t="shared" si="74"/>
        <v>0</v>
      </c>
      <c r="R205" s="150">
        <f t="shared" si="112"/>
        <v>0</v>
      </c>
      <c r="S205" s="136">
        <f>IF(R205=0,0,COUNTIF(S$193:S204,"&gt;0")+1)</f>
        <v>0</v>
      </c>
      <c r="T205" s="136" t="str">
        <f>IFERROR(IF($O$191&gt;1,IF(T204&lt;MAX(S$193:S$210),1+COUNTIF(T$193:T204,"&gt;0"),""),""),"")</f>
        <v/>
      </c>
      <c r="U205" s="136" t="str">
        <f t="shared" si="75"/>
        <v/>
      </c>
      <c r="V205" s="136">
        <f t="shared" si="76"/>
        <v>0</v>
      </c>
      <c r="W205" s="150">
        <f t="shared" si="113"/>
        <v>0</v>
      </c>
      <c r="X205" s="136">
        <f>IF(W205=0,0,COUNTIF(X$193:X204,"&gt;0")+1)</f>
        <v>0</v>
      </c>
      <c r="Y205" s="136" t="str">
        <f>IFERROR(IF($O$191&gt;2,IF(Y204&lt;MAX(X$193:X$210),1+COUNTIF(Y$193:Y204,"&gt;0"),""),""),"")</f>
        <v/>
      </c>
      <c r="Z205" s="136" t="str">
        <f t="shared" si="77"/>
        <v/>
      </c>
      <c r="AA205" s="136">
        <f t="shared" si="78"/>
        <v>0</v>
      </c>
      <c r="AB205" s="150">
        <f t="shared" si="114"/>
        <v>0</v>
      </c>
      <c r="AC205" s="136">
        <f>IF(AB205=0,0,COUNTIF(AC$193:AC204,"&gt;0")+1)</f>
        <v>0</v>
      </c>
      <c r="AD205" s="136" t="str">
        <f>IFERROR(IF($O$191&gt;3,IF(AD204&lt;MAX(AC$193:AC$210),1+COUNTIF(AD$193:AD204,"&gt;0"),""),""),"")</f>
        <v/>
      </c>
      <c r="AE205" s="136" t="str">
        <f t="shared" si="79"/>
        <v/>
      </c>
      <c r="AF205" s="151">
        <f t="shared" si="80"/>
        <v>0</v>
      </c>
      <c r="AG205" s="150">
        <f t="shared" si="81"/>
        <v>1</v>
      </c>
      <c r="AH205" s="136">
        <f>IF(AG205=0,0,COUNTIF(AH$193:AH204,"&gt;0")+1)</f>
        <v>9</v>
      </c>
      <c r="AI205" s="136">
        <f>IFERROR(IF($AG$191&gt;0,IF(AI204&lt;MAX(AH$193:AH$210),1+COUNTIF(AI$193:AI204,"&gt;0"),""),""),"")</f>
        <v>13</v>
      </c>
      <c r="AJ205" s="136" t="str">
        <f t="shared" si="82"/>
        <v>Stealth</v>
      </c>
      <c r="AK205" s="151">
        <f t="shared" si="83"/>
        <v>0</v>
      </c>
      <c r="AL205" s="136">
        <f t="shared" si="84"/>
        <v>1</v>
      </c>
      <c r="AM205" s="136">
        <f>IF(AL205=0,0,COUNTIF(AM$193:AM204,"&gt;0")+1)</f>
        <v>8</v>
      </c>
      <c r="AN205" s="136">
        <f>IFERROR(IF($AG$191&gt;0,IF(AN204&lt;MAX(AM$193:AM$210),1+COUNTIF(AN$193:AN204,"&gt;0"),""),""),"")</f>
        <v>13</v>
      </c>
      <c r="AO205" s="136" t="str">
        <f t="shared" si="85"/>
        <v>Survival</v>
      </c>
      <c r="AP205" s="151">
        <f t="shared" si="86"/>
        <v>0</v>
      </c>
      <c r="AQ205" s="150">
        <f t="shared" si="115"/>
        <v>0</v>
      </c>
      <c r="AR205" s="136">
        <f t="shared" si="116"/>
        <v>0</v>
      </c>
      <c r="AS205" s="136">
        <f>IF(AR205=0,0,COUNTIF(AS$193:AS204,"&gt;0")+1)</f>
        <v>0</v>
      </c>
      <c r="AT205" s="136" t="str">
        <f>IFERROR(IF($AR$191&gt;0,IF(AT204&lt;MAX(AS$193:AS$210),1+COUNTIF(AT$193:AT204,"&gt;0"),""),""),"")</f>
        <v/>
      </c>
      <c r="AU205" s="136" t="str">
        <f t="shared" si="87"/>
        <v/>
      </c>
      <c r="AV205" s="151">
        <f t="shared" si="88"/>
        <v>0</v>
      </c>
      <c r="AW205" s="136">
        <f t="shared" si="117"/>
        <v>0</v>
      </c>
      <c r="AX205" s="136">
        <f t="shared" si="118"/>
        <v>0</v>
      </c>
      <c r="AY205" s="136">
        <f>IF(AX205=0,0,COUNTIF(AY$193:AY204,"&gt;0")+1)</f>
        <v>0</v>
      </c>
      <c r="AZ205" s="136" t="str">
        <f>IFERROR(IF($AR$191&gt;1,IF(AZ204&lt;MAX(AY$193:AY$210),1+COUNTIF(AZ$193:AZ204,"&gt;0"),""),""),"")</f>
        <v/>
      </c>
      <c r="BA205" s="136" t="str">
        <f t="shared" si="89"/>
        <v/>
      </c>
      <c r="BB205" s="151">
        <f t="shared" si="90"/>
        <v>0</v>
      </c>
      <c r="BC205" s="136">
        <f t="shared" si="119"/>
        <v>0</v>
      </c>
      <c r="BD205" s="136">
        <f t="shared" si="120"/>
        <v>0</v>
      </c>
      <c r="BE205" s="136">
        <f>IF(BD205=0,0,COUNTIF(BE$193:BE204,"&gt;0")+1)</f>
        <v>0</v>
      </c>
      <c r="BF205" s="136" t="str">
        <f>IFERROR(IF($AR$191&gt;2,IF(BF204&lt;MAX(BE$193:BE$210),1+COUNTIF(BF$193:BF204,"&gt;0"),""),""),"")</f>
        <v/>
      </c>
      <c r="BG205" s="136" t="str">
        <f t="shared" si="91"/>
        <v/>
      </c>
      <c r="BH205" s="151">
        <f t="shared" si="92"/>
        <v>0</v>
      </c>
      <c r="BI205" s="136">
        <f t="shared" si="121"/>
        <v>0</v>
      </c>
      <c r="BJ205" s="136">
        <f t="shared" si="122"/>
        <v>0</v>
      </c>
      <c r="BK205" s="136">
        <f>IF(BJ205=0,0,COUNTIF(BK$193:BK204,"&gt;0")+1)</f>
        <v>0</v>
      </c>
      <c r="BL205" s="136" t="str">
        <f>IFERROR(IF($AR$191&gt;BL$191,IF(BL204&lt;MAX(BK$193:BK$210),1+COUNTIF(BL$193:BL204,"&gt;0"),""),""),"")</f>
        <v/>
      </c>
      <c r="BM205" s="136" t="str">
        <f t="shared" si="93"/>
        <v/>
      </c>
      <c r="BN205" s="151">
        <f t="shared" si="94"/>
        <v>0</v>
      </c>
      <c r="BO205" s="136">
        <f t="shared" si="123"/>
        <v>0</v>
      </c>
      <c r="BP205" s="136">
        <f t="shared" si="124"/>
        <v>0</v>
      </c>
      <c r="BQ205" s="136">
        <f>IF(BP205=0,0,COUNTIF(BQ$193:BQ204,"&gt;0")+1)</f>
        <v>0</v>
      </c>
      <c r="BR205" s="136" t="str">
        <f>IFERROR(IF($AR$191&gt;BR$191,IF(BR204&lt;MAX(BQ$193:BQ$210),1+COUNTIF(BR$193:BR204,"&gt;0"),""),""),"")</f>
        <v/>
      </c>
      <c r="BS205" s="136" t="str">
        <f t="shared" si="95"/>
        <v/>
      </c>
      <c r="BT205" s="151">
        <f t="shared" si="96"/>
        <v>0</v>
      </c>
      <c r="BU205" s="136">
        <f t="shared" si="125"/>
        <v>0</v>
      </c>
      <c r="BV205" s="136">
        <f t="shared" si="126"/>
        <v>0</v>
      </c>
      <c r="BW205" s="136">
        <f>IF(BV205=0,0,COUNTIF(BW$193:BW204,"&gt;0")+1)</f>
        <v>0</v>
      </c>
      <c r="BX205" s="136" t="str">
        <f>IFERROR(IF($AR$191&gt;BX$191,IF(BX204&lt;MAX(BW$193:BW$210),1+COUNTIF(BX$193:BX204,"&gt;0"),""),""),"")</f>
        <v/>
      </c>
      <c r="BY205" s="136" t="str">
        <f t="shared" si="97"/>
        <v/>
      </c>
      <c r="BZ205" s="151">
        <f t="shared" si="98"/>
        <v>0</v>
      </c>
      <c r="CA205" s="136">
        <f t="shared" si="127"/>
        <v>0</v>
      </c>
      <c r="CB205" s="136">
        <f t="shared" si="128"/>
        <v>0</v>
      </c>
      <c r="CC205" s="136">
        <f>IF(CB205=0,0,COUNTIF(CC$193:CC204,"&gt;0")+1)</f>
        <v>0</v>
      </c>
      <c r="CD205" s="136" t="str">
        <f>IFERROR(IF($AR$191&gt;CD$191,IF(CD204&lt;MAX(CC$193:CC$210),1+COUNTIF(CD$193:CD204,"&gt;0"),""),""),"")</f>
        <v/>
      </c>
      <c r="CE205" s="136" t="str">
        <f t="shared" si="99"/>
        <v/>
      </c>
      <c r="CF205" s="151">
        <f t="shared" si="100"/>
        <v>0</v>
      </c>
      <c r="CG205" s="136">
        <f t="shared" si="129"/>
        <v>0</v>
      </c>
      <c r="CH205" s="136">
        <f t="shared" si="130"/>
        <v>0</v>
      </c>
      <c r="CI205" s="136">
        <f>IF(CH205=0,0,COUNTIF(CI$193:CI204,"&gt;0")+1)</f>
        <v>0</v>
      </c>
      <c r="CJ205" s="136" t="str">
        <f>IFERROR(IF($AR$191&gt;CJ$191,IF(CJ204&lt;MAX(CI$193:CI$210),1+COUNTIF(CJ$193:CJ204,"&gt;0"),""),""),"")</f>
        <v/>
      </c>
      <c r="CK205" s="136" t="str">
        <f t="shared" si="101"/>
        <v/>
      </c>
      <c r="CL205" s="151">
        <f t="shared" si="102"/>
        <v>0</v>
      </c>
      <c r="CM205" s="136">
        <f t="shared" si="131"/>
        <v>0</v>
      </c>
      <c r="CN205" s="136">
        <f t="shared" si="132"/>
        <v>0</v>
      </c>
      <c r="CO205" s="136">
        <f>IF(CN205=0,0,COUNTIF(CO$193:CO204,"&gt;0")+1)</f>
        <v>0</v>
      </c>
      <c r="CP205" s="136" t="str">
        <f>IFERROR(IF($AR$191&gt;CP$191,IF(CP204&lt;MAX(CO$193:CO$210),1+COUNTIF(CP$193:CP204,"&gt;0"),""),""),"")</f>
        <v/>
      </c>
      <c r="CQ205" s="136" t="str">
        <f t="shared" si="103"/>
        <v/>
      </c>
      <c r="CR205" s="151">
        <f t="shared" si="104"/>
        <v>0</v>
      </c>
      <c r="CS205" s="136">
        <f t="shared" si="133"/>
        <v>0</v>
      </c>
      <c r="CT205" s="136">
        <f t="shared" si="134"/>
        <v>0</v>
      </c>
      <c r="CU205" s="136">
        <f>IF(CT205=0,0,COUNTIF(CU$193:CU204,"&gt;0")+1)</f>
        <v>0</v>
      </c>
      <c r="CV205" s="136" t="str">
        <f>IFERROR(IF($AR$191&gt;CV$191,IF(CV204&lt;MAX(CU$193:CU$210),1+COUNTIF(CV$193:CV204,"&gt;0"),""),""),"")</f>
        <v/>
      </c>
      <c r="CW205" s="136" t="str">
        <f t="shared" si="105"/>
        <v/>
      </c>
      <c r="CX205" s="151">
        <f t="shared" si="106"/>
        <v>0</v>
      </c>
      <c r="CY205" s="136">
        <f t="shared" si="135"/>
        <v>0</v>
      </c>
      <c r="CZ205" s="136">
        <f t="shared" si="136"/>
        <v>0</v>
      </c>
      <c r="DA205" s="136">
        <f>IF(CZ205=0,0,COUNTIF(DA$193:DA204,"&gt;0")+1)</f>
        <v>0</v>
      </c>
      <c r="DB205" s="136" t="str">
        <f>IFERROR(IF($AR$191&gt;DB$191,IF(DB204&lt;MAX(DA$193:DA$210),1+COUNTIF(DB$193:DB204,"&gt;0"),""),""),"")</f>
        <v/>
      </c>
      <c r="DC205" s="136" t="str">
        <f t="shared" si="107"/>
        <v/>
      </c>
      <c r="DD205" s="151">
        <f t="shared" si="108"/>
        <v>0</v>
      </c>
      <c r="DE205" s="136">
        <f t="shared" si="137"/>
        <v>0</v>
      </c>
      <c r="DF205" s="136">
        <f t="shared" si="138"/>
        <v>0</v>
      </c>
      <c r="DG205" s="136">
        <f>IF(DF205=0,0,COUNTIF(DG$193:DG204,"&gt;0")+1)</f>
        <v>0</v>
      </c>
      <c r="DH205" s="136" t="str">
        <f>IFERROR(IF($AR$191&gt;DH$191,IF(DH204&lt;MAX(DG$193:DG$210),1+COUNTIF(DH$193:DH204,"&gt;0"),""),""),"")</f>
        <v/>
      </c>
      <c r="DI205" s="136" t="str">
        <f t="shared" si="109"/>
        <v/>
      </c>
      <c r="DJ205" s="151">
        <f t="shared" si="110"/>
        <v>0</v>
      </c>
      <c r="DK205" s="151"/>
      <c r="DZ205" s="138"/>
    </row>
    <row r="206" spans="1:130" ht="16.5" x14ac:dyDescent="0.3">
      <c r="A206" s="132">
        <f>IFERROR(IF(A205+1&lt;MAX(T041_ClassFeatures!$A$2:$A$2033),A205+1,""),"")</f>
        <v>203</v>
      </c>
      <c r="B206" s="131" t="str">
        <f>IFERROR(INDEX(T041_ClassFeatures!$B$2:$B$2033,MATCH('C03_ClassVariables'!A206,T041_ClassFeatures!$A$2:$A$2033,0),1),"")</f>
        <v>Channel Divinity: Destructive Wrath</v>
      </c>
      <c r="C206" s="131">
        <f>IF(B206="",0,IF(IFERROR(MATCH(B206,'C01_BaseCalculation'!$W$160:$W$239,0),0)&gt;0,1,0))</f>
        <v>0</v>
      </c>
      <c r="D206" s="131"/>
      <c r="E206" s="131"/>
      <c r="F206" s="131"/>
      <c r="G206" s="371"/>
      <c r="H206" s="372" t="s">
        <v>613</v>
      </c>
      <c r="I206" s="361">
        <f t="shared" si="70"/>
        <v>0</v>
      </c>
      <c r="J206" s="362">
        <f t="shared" si="71"/>
        <v>0</v>
      </c>
      <c r="K206" s="358">
        <f t="shared" si="72"/>
        <v>0</v>
      </c>
      <c r="L206" s="164">
        <f>INDEX(T03_Skills!$D$2:$AP$19,MATCH(H206,T03_Skills!$B$2:$B$19,0),SelectedClassID)</f>
        <v>0</v>
      </c>
      <c r="M206" s="150">
        <f t="shared" si="111"/>
        <v>0</v>
      </c>
      <c r="N206" s="136">
        <f>IF(M206=0,0,COUNTIF($N$193:N205,"&gt;0")+1)</f>
        <v>0</v>
      </c>
      <c r="O206" s="136" t="str">
        <f>IFERROR(IF($O$191&gt;0,IF(O205&lt;MAX(N$193:N$210),1+COUNTIF(O$193:O205,"&gt;0"),""),""),"")</f>
        <v/>
      </c>
      <c r="P206" s="136" t="str">
        <f t="shared" si="73"/>
        <v/>
      </c>
      <c r="Q206" s="136">
        <f t="shared" si="74"/>
        <v>0</v>
      </c>
      <c r="R206" s="150">
        <f t="shared" si="112"/>
        <v>0</v>
      </c>
      <c r="S206" s="136">
        <f>IF(R206=0,0,COUNTIF(S$193:S205,"&gt;0")+1)</f>
        <v>0</v>
      </c>
      <c r="T206" s="136" t="str">
        <f>IFERROR(IF($O$191&gt;1,IF(T205&lt;MAX(S$193:S$210),1+COUNTIF(T$193:T205,"&gt;0"),""),""),"")</f>
        <v/>
      </c>
      <c r="U206" s="136" t="str">
        <f t="shared" si="75"/>
        <v/>
      </c>
      <c r="V206" s="136">
        <f t="shared" si="76"/>
        <v>0</v>
      </c>
      <c r="W206" s="150">
        <f t="shared" si="113"/>
        <v>0</v>
      </c>
      <c r="X206" s="136">
        <f>IF(W206=0,0,COUNTIF(X$193:X205,"&gt;0")+1)</f>
        <v>0</v>
      </c>
      <c r="Y206" s="136" t="str">
        <f>IFERROR(IF($O$191&gt;2,IF(Y205&lt;MAX(X$193:X$210),1+COUNTIF(Y$193:Y205,"&gt;0"),""),""),"")</f>
        <v/>
      </c>
      <c r="Z206" s="136" t="str">
        <f t="shared" si="77"/>
        <v/>
      </c>
      <c r="AA206" s="136">
        <f t="shared" si="78"/>
        <v>0</v>
      </c>
      <c r="AB206" s="150">
        <f t="shared" si="114"/>
        <v>0</v>
      </c>
      <c r="AC206" s="136">
        <f>IF(AB206=0,0,COUNTIF(AC$193:AC205,"&gt;0")+1)</f>
        <v>0</v>
      </c>
      <c r="AD206" s="136" t="str">
        <f>IFERROR(IF($O$191&gt;3,IF(AD205&lt;MAX(AC$193:AC$210),1+COUNTIF(AD$193:AD205,"&gt;0"),""),""),"")</f>
        <v/>
      </c>
      <c r="AE206" s="136" t="str">
        <f t="shared" si="79"/>
        <v/>
      </c>
      <c r="AF206" s="151">
        <f t="shared" si="80"/>
        <v>0</v>
      </c>
      <c r="AG206" s="150">
        <f t="shared" si="81"/>
        <v>1</v>
      </c>
      <c r="AH206" s="136">
        <f>IF(AG206=0,0,COUNTIF(AH$193:AH205,"&gt;0")+1)</f>
        <v>10</v>
      </c>
      <c r="AI206" s="136">
        <f>IFERROR(IF($AG$191&gt;0,IF(AI205&lt;MAX(AH$193:AH$210),1+COUNTIF(AI$193:AI205,"&gt;0"),""),""),"")</f>
        <v>14</v>
      </c>
      <c r="AJ206" s="136" t="str">
        <f t="shared" si="82"/>
        <v>Survival</v>
      </c>
      <c r="AK206" s="151">
        <f t="shared" si="83"/>
        <v>0</v>
      </c>
      <c r="AL206" s="136">
        <f t="shared" si="84"/>
        <v>1</v>
      </c>
      <c r="AM206" s="136">
        <f>IF(AL206=0,0,COUNTIF(AM$193:AM205,"&gt;0")+1)</f>
        <v>9</v>
      </c>
      <c r="AN206" s="136" t="str">
        <f>IFERROR(IF($AG$191&gt;0,IF(AN205&lt;MAX(AM$193:AM$210),1+COUNTIF(AN$193:AN205,"&gt;0"),""),""),"")</f>
        <v/>
      </c>
      <c r="AO206" s="136" t="str">
        <f t="shared" si="85"/>
        <v/>
      </c>
      <c r="AP206" s="151">
        <f t="shared" si="86"/>
        <v>0</v>
      </c>
      <c r="AQ206" s="150">
        <f t="shared" si="115"/>
        <v>0</v>
      </c>
      <c r="AR206" s="136">
        <f t="shared" si="116"/>
        <v>0</v>
      </c>
      <c r="AS206" s="136">
        <f>IF(AR206=0,0,COUNTIF(AS$193:AS205,"&gt;0")+1)</f>
        <v>0</v>
      </c>
      <c r="AT206" s="136" t="str">
        <f>IFERROR(IF($AR$191&gt;0,IF(AT205&lt;MAX(AS$193:AS$210),1+COUNTIF(AT$193:AT205,"&gt;0"),""),""),"")</f>
        <v/>
      </c>
      <c r="AU206" s="136" t="str">
        <f t="shared" si="87"/>
        <v/>
      </c>
      <c r="AV206" s="151">
        <f t="shared" si="88"/>
        <v>0</v>
      </c>
      <c r="AW206" s="136">
        <f t="shared" si="117"/>
        <v>0</v>
      </c>
      <c r="AX206" s="136">
        <f t="shared" si="118"/>
        <v>0</v>
      </c>
      <c r="AY206" s="136">
        <f>IF(AX206=0,0,COUNTIF(AY$193:AY205,"&gt;0")+1)</f>
        <v>0</v>
      </c>
      <c r="AZ206" s="136" t="str">
        <f>IFERROR(IF($AR$191&gt;1,IF(AZ205&lt;MAX(AY$193:AY$210),1+COUNTIF(AZ$193:AZ205,"&gt;0"),""),""),"")</f>
        <v/>
      </c>
      <c r="BA206" s="136" t="str">
        <f t="shared" si="89"/>
        <v/>
      </c>
      <c r="BB206" s="151">
        <f t="shared" si="90"/>
        <v>0</v>
      </c>
      <c r="BC206" s="136">
        <f t="shared" si="119"/>
        <v>0</v>
      </c>
      <c r="BD206" s="136">
        <f t="shared" si="120"/>
        <v>0</v>
      </c>
      <c r="BE206" s="136">
        <f>IF(BD206=0,0,COUNTIF(BE$193:BE205,"&gt;0")+1)</f>
        <v>0</v>
      </c>
      <c r="BF206" s="136" t="str">
        <f>IFERROR(IF($AR$191&gt;2,IF(BF205&lt;MAX(BE$193:BE$210),1+COUNTIF(BF$193:BF205,"&gt;0"),""),""),"")</f>
        <v/>
      </c>
      <c r="BG206" s="136" t="str">
        <f t="shared" si="91"/>
        <v/>
      </c>
      <c r="BH206" s="151">
        <f t="shared" si="92"/>
        <v>0</v>
      </c>
      <c r="BI206" s="136">
        <f t="shared" si="121"/>
        <v>0</v>
      </c>
      <c r="BJ206" s="136">
        <f t="shared" si="122"/>
        <v>0</v>
      </c>
      <c r="BK206" s="136">
        <f>IF(BJ206=0,0,COUNTIF(BK$193:BK205,"&gt;0")+1)</f>
        <v>0</v>
      </c>
      <c r="BL206" s="136" t="str">
        <f>IFERROR(IF($AR$191&gt;BL$191,IF(BL205&lt;MAX(BK$193:BK$210),1+COUNTIF(BL$193:BL205,"&gt;0"),""),""),"")</f>
        <v/>
      </c>
      <c r="BM206" s="136" t="str">
        <f t="shared" si="93"/>
        <v/>
      </c>
      <c r="BN206" s="151">
        <f t="shared" si="94"/>
        <v>0</v>
      </c>
      <c r="BO206" s="136">
        <f t="shared" si="123"/>
        <v>0</v>
      </c>
      <c r="BP206" s="136">
        <f t="shared" si="124"/>
        <v>0</v>
      </c>
      <c r="BQ206" s="136">
        <f>IF(BP206=0,0,COUNTIF(BQ$193:BQ205,"&gt;0")+1)</f>
        <v>0</v>
      </c>
      <c r="BR206" s="136" t="str">
        <f>IFERROR(IF($AR$191&gt;BR$191,IF(BR205&lt;MAX(BQ$193:BQ$210),1+COUNTIF(BR$193:BR205,"&gt;0"),""),""),"")</f>
        <v/>
      </c>
      <c r="BS206" s="136" t="str">
        <f t="shared" si="95"/>
        <v/>
      </c>
      <c r="BT206" s="151">
        <f t="shared" si="96"/>
        <v>0</v>
      </c>
      <c r="BU206" s="136">
        <f t="shared" si="125"/>
        <v>0</v>
      </c>
      <c r="BV206" s="136">
        <f t="shared" si="126"/>
        <v>0</v>
      </c>
      <c r="BW206" s="136">
        <f>IF(BV206=0,0,COUNTIF(BW$193:BW205,"&gt;0")+1)</f>
        <v>0</v>
      </c>
      <c r="BX206" s="136" t="str">
        <f>IFERROR(IF($AR$191&gt;BX$191,IF(BX205&lt;MAX(BW$193:BW$210),1+COUNTIF(BX$193:BX205,"&gt;0"),""),""),"")</f>
        <v/>
      </c>
      <c r="BY206" s="136" t="str">
        <f t="shared" si="97"/>
        <v/>
      </c>
      <c r="BZ206" s="151">
        <f t="shared" si="98"/>
        <v>0</v>
      </c>
      <c r="CA206" s="136">
        <f t="shared" si="127"/>
        <v>0</v>
      </c>
      <c r="CB206" s="136">
        <f t="shared" si="128"/>
        <v>0</v>
      </c>
      <c r="CC206" s="136">
        <f>IF(CB206=0,0,COUNTIF(CC$193:CC205,"&gt;0")+1)</f>
        <v>0</v>
      </c>
      <c r="CD206" s="136" t="str">
        <f>IFERROR(IF($AR$191&gt;CD$191,IF(CD205&lt;MAX(CC$193:CC$210),1+COUNTIF(CD$193:CD205,"&gt;0"),""),""),"")</f>
        <v/>
      </c>
      <c r="CE206" s="136" t="str">
        <f t="shared" si="99"/>
        <v/>
      </c>
      <c r="CF206" s="151">
        <f t="shared" si="100"/>
        <v>0</v>
      </c>
      <c r="CG206" s="136">
        <f t="shared" si="129"/>
        <v>0</v>
      </c>
      <c r="CH206" s="136">
        <f t="shared" si="130"/>
        <v>0</v>
      </c>
      <c r="CI206" s="136">
        <f>IF(CH206=0,0,COUNTIF(CI$193:CI205,"&gt;0")+1)</f>
        <v>0</v>
      </c>
      <c r="CJ206" s="136" t="str">
        <f>IFERROR(IF($AR$191&gt;CJ$191,IF(CJ205&lt;MAX(CI$193:CI$210),1+COUNTIF(CJ$193:CJ205,"&gt;0"),""),""),"")</f>
        <v/>
      </c>
      <c r="CK206" s="136" t="str">
        <f t="shared" si="101"/>
        <v/>
      </c>
      <c r="CL206" s="151">
        <f t="shared" si="102"/>
        <v>0</v>
      </c>
      <c r="CM206" s="136">
        <f t="shared" si="131"/>
        <v>0</v>
      </c>
      <c r="CN206" s="136">
        <f t="shared" si="132"/>
        <v>0</v>
      </c>
      <c r="CO206" s="136">
        <f>IF(CN206=0,0,COUNTIF(CO$193:CO205,"&gt;0")+1)</f>
        <v>0</v>
      </c>
      <c r="CP206" s="136" t="str">
        <f>IFERROR(IF($AR$191&gt;CP$191,IF(CP205&lt;MAX(CO$193:CO$210),1+COUNTIF(CP$193:CP205,"&gt;0"),""),""),"")</f>
        <v/>
      </c>
      <c r="CQ206" s="136" t="str">
        <f t="shared" si="103"/>
        <v/>
      </c>
      <c r="CR206" s="151">
        <f t="shared" si="104"/>
        <v>0</v>
      </c>
      <c r="CS206" s="136">
        <f t="shared" si="133"/>
        <v>0</v>
      </c>
      <c r="CT206" s="136">
        <f t="shared" si="134"/>
        <v>0</v>
      </c>
      <c r="CU206" s="136">
        <f>IF(CT206=0,0,COUNTIF(CU$193:CU205,"&gt;0")+1)</f>
        <v>0</v>
      </c>
      <c r="CV206" s="136" t="str">
        <f>IFERROR(IF($AR$191&gt;CV$191,IF(CV205&lt;MAX(CU$193:CU$210),1+COUNTIF(CV$193:CV205,"&gt;0"),""),""),"")</f>
        <v/>
      </c>
      <c r="CW206" s="136" t="str">
        <f t="shared" si="105"/>
        <v/>
      </c>
      <c r="CX206" s="151">
        <f t="shared" si="106"/>
        <v>0</v>
      </c>
      <c r="CY206" s="136">
        <f t="shared" si="135"/>
        <v>0</v>
      </c>
      <c r="CZ206" s="136">
        <f t="shared" si="136"/>
        <v>0</v>
      </c>
      <c r="DA206" s="136">
        <f>IF(CZ206=0,0,COUNTIF(DA$193:DA205,"&gt;0")+1)</f>
        <v>0</v>
      </c>
      <c r="DB206" s="136" t="str">
        <f>IFERROR(IF($AR$191&gt;DB$191,IF(DB205&lt;MAX(DA$193:DA$210),1+COUNTIF(DB$193:DB205,"&gt;0"),""),""),"")</f>
        <v/>
      </c>
      <c r="DC206" s="136" t="str">
        <f t="shared" si="107"/>
        <v/>
      </c>
      <c r="DD206" s="151">
        <f t="shared" si="108"/>
        <v>0</v>
      </c>
      <c r="DE206" s="136">
        <f t="shared" si="137"/>
        <v>0</v>
      </c>
      <c r="DF206" s="136">
        <f t="shared" si="138"/>
        <v>0</v>
      </c>
      <c r="DG206" s="136">
        <f>IF(DF206=0,0,COUNTIF(DG$193:DG205,"&gt;0")+1)</f>
        <v>0</v>
      </c>
      <c r="DH206" s="136" t="str">
        <f>IFERROR(IF($AR$191&gt;DH$191,IF(DH205&lt;MAX(DG$193:DG$210),1+COUNTIF(DH$193:DH205,"&gt;0"),""),""),"")</f>
        <v/>
      </c>
      <c r="DI206" s="136" t="str">
        <f t="shared" si="109"/>
        <v/>
      </c>
      <c r="DJ206" s="151">
        <f t="shared" si="110"/>
        <v>0</v>
      </c>
      <c r="DK206" s="151"/>
      <c r="DZ206" s="138"/>
    </row>
    <row r="207" spans="1:130" ht="16.5" x14ac:dyDescent="0.3">
      <c r="A207" s="132">
        <f>IFERROR(IF(A206+1&lt;MAX(T041_ClassFeatures!$A$2:$A$2033),A206+1,""),"")</f>
        <v>204</v>
      </c>
      <c r="B207" s="131" t="str">
        <f>IFERROR(INDEX(T041_ClassFeatures!$B$2:$B$2033,MATCH('C03_ClassVariables'!A207,T041_ClassFeatures!$A$2:$A$2033,0),1),"")</f>
        <v>Thunderbolt Strike</v>
      </c>
      <c r="C207" s="131">
        <f>IF(B207="",0,IF(IFERROR(MATCH(B207,'C01_BaseCalculation'!$W$160:$W$239,0),0)&gt;0,1,0))</f>
        <v>0</v>
      </c>
      <c r="G207" s="150"/>
      <c r="H207" s="136" t="s">
        <v>72</v>
      </c>
      <c r="I207" s="361">
        <f t="shared" si="70"/>
        <v>0</v>
      </c>
      <c r="J207" s="362">
        <f t="shared" si="71"/>
        <v>0</v>
      </c>
      <c r="K207" s="358">
        <f t="shared" si="72"/>
        <v>0</v>
      </c>
      <c r="L207" s="164">
        <f>INDEX(T03_Skills!$D$2:$AP$19,MATCH(H207,T03_Skills!$B$2:$B$19,0),SelectedClassID)</f>
        <v>0</v>
      </c>
      <c r="M207" s="150">
        <f t="shared" si="111"/>
        <v>0</v>
      </c>
      <c r="N207" s="136">
        <f>IF(M207=0,0,COUNTIF($N$193:N206,"&gt;0")+1)</f>
        <v>0</v>
      </c>
      <c r="O207" s="136" t="str">
        <f>IFERROR(IF($O$191&gt;0,IF(O206&lt;MAX(N$193:N$210),1+COUNTIF(O$193:O206,"&gt;0"),""),""),"")</f>
        <v/>
      </c>
      <c r="P207" s="136" t="str">
        <f t="shared" si="73"/>
        <v/>
      </c>
      <c r="Q207" s="136">
        <f t="shared" si="74"/>
        <v>0</v>
      </c>
      <c r="R207" s="150">
        <f t="shared" si="112"/>
        <v>0</v>
      </c>
      <c r="S207" s="136">
        <f>IF(R207=0,0,COUNTIF(S$193:S206,"&gt;0")+1)</f>
        <v>0</v>
      </c>
      <c r="T207" s="136" t="str">
        <f>IFERROR(IF($O$191&gt;1,IF(T206&lt;MAX(S$193:S$210),1+COUNTIF(T$193:T206,"&gt;0"),""),""),"")</f>
        <v/>
      </c>
      <c r="U207" s="136" t="str">
        <f t="shared" si="75"/>
        <v/>
      </c>
      <c r="V207" s="136">
        <f t="shared" si="76"/>
        <v>0</v>
      </c>
      <c r="W207" s="150">
        <f t="shared" si="113"/>
        <v>0</v>
      </c>
      <c r="X207" s="136">
        <f>IF(W207=0,0,COUNTIF(X$193:X206,"&gt;0")+1)</f>
        <v>0</v>
      </c>
      <c r="Y207" s="136" t="str">
        <f>IFERROR(IF($O$191&gt;2,IF(Y206&lt;MAX(X$193:X$210),1+COUNTIF(Y$193:Y206,"&gt;0"),""),""),"")</f>
        <v/>
      </c>
      <c r="Z207" s="136" t="str">
        <f t="shared" si="77"/>
        <v/>
      </c>
      <c r="AA207" s="136">
        <f t="shared" si="78"/>
        <v>0</v>
      </c>
      <c r="AB207" s="150">
        <f t="shared" si="114"/>
        <v>0</v>
      </c>
      <c r="AC207" s="136">
        <f>IF(AB207=0,0,COUNTIF(AC$193:AC206,"&gt;0")+1)</f>
        <v>0</v>
      </c>
      <c r="AD207" s="136" t="str">
        <f>IFERROR(IF($O$191&gt;3,IF(AD206&lt;MAX(AC$193:AC$210),1+COUNTIF(AD$193:AD206,"&gt;0"),""),""),"")</f>
        <v/>
      </c>
      <c r="AE207" s="136" t="str">
        <f t="shared" si="79"/>
        <v/>
      </c>
      <c r="AF207" s="151">
        <f t="shared" si="80"/>
        <v>0</v>
      </c>
      <c r="AG207" s="150">
        <f t="shared" si="81"/>
        <v>1</v>
      </c>
      <c r="AH207" s="136">
        <f>IF(AG207=0,0,COUNTIF(AH$193:AH206,"&gt;0")+1)</f>
        <v>11</v>
      </c>
      <c r="AI207" s="136" t="str">
        <f>IFERROR(IF($AG$191&gt;0,IF(AI206&lt;MAX(AH$193:AH$210),1+COUNTIF(AI$193:AI206,"&gt;0"),""),""),"")</f>
        <v/>
      </c>
      <c r="AJ207" s="136" t="str">
        <f t="shared" si="82"/>
        <v/>
      </c>
      <c r="AK207" s="151">
        <f t="shared" si="83"/>
        <v>0</v>
      </c>
      <c r="AL207" s="136">
        <f t="shared" si="84"/>
        <v>1</v>
      </c>
      <c r="AM207" s="136">
        <f>IF(AL207=0,0,COUNTIF(AM$193:AM206,"&gt;0")+1)</f>
        <v>10</v>
      </c>
      <c r="AN207" s="136" t="str">
        <f>IFERROR(IF($AG$191&gt;0,IF(AN206&lt;MAX(AM$193:AM$210),1+COUNTIF(AN$193:AN206,"&gt;0"),""),""),"")</f>
        <v/>
      </c>
      <c r="AO207" s="136" t="str">
        <f t="shared" si="85"/>
        <v/>
      </c>
      <c r="AP207" s="151">
        <f t="shared" si="86"/>
        <v>0</v>
      </c>
      <c r="AQ207" s="150">
        <f t="shared" si="115"/>
        <v>0</v>
      </c>
      <c r="AR207" s="136">
        <f t="shared" si="116"/>
        <v>0</v>
      </c>
      <c r="AS207" s="136">
        <f>IF(AR207=0,0,COUNTIF(AS$193:AS206,"&gt;0")+1)</f>
        <v>0</v>
      </c>
      <c r="AT207" s="136" t="str">
        <f>IFERROR(IF($AR$191&gt;0,IF(AT206&lt;MAX(AS$193:AS$210),1+COUNTIF(AT$193:AT206,"&gt;0"),""),""),"")</f>
        <v/>
      </c>
      <c r="AU207" s="136" t="str">
        <f t="shared" si="87"/>
        <v/>
      </c>
      <c r="AV207" s="151">
        <f t="shared" si="88"/>
        <v>0</v>
      </c>
      <c r="AW207" s="136">
        <f t="shared" si="117"/>
        <v>0</v>
      </c>
      <c r="AX207" s="136">
        <f t="shared" si="118"/>
        <v>0</v>
      </c>
      <c r="AY207" s="136">
        <f>IF(AX207=0,0,COUNTIF(AY$193:AY206,"&gt;0")+1)</f>
        <v>0</v>
      </c>
      <c r="AZ207" s="136" t="str">
        <f>IFERROR(IF($AR$191&gt;1,IF(AZ206&lt;MAX(AY$193:AY$210),1+COUNTIF(AZ$193:AZ206,"&gt;0"),""),""),"")</f>
        <v/>
      </c>
      <c r="BA207" s="136" t="str">
        <f t="shared" si="89"/>
        <v/>
      </c>
      <c r="BB207" s="151">
        <f t="shared" si="90"/>
        <v>0</v>
      </c>
      <c r="BC207" s="136">
        <f t="shared" si="119"/>
        <v>0</v>
      </c>
      <c r="BD207" s="136">
        <f t="shared" si="120"/>
        <v>0</v>
      </c>
      <c r="BE207" s="136">
        <f>IF(BD207=0,0,COUNTIF(BE$193:BE206,"&gt;0")+1)</f>
        <v>0</v>
      </c>
      <c r="BF207" s="136" t="str">
        <f>IFERROR(IF($AR$191&gt;2,IF(BF206&lt;MAX(BE$193:BE$210),1+COUNTIF(BF$193:BF206,"&gt;0"),""),""),"")</f>
        <v/>
      </c>
      <c r="BG207" s="136" t="str">
        <f t="shared" si="91"/>
        <v/>
      </c>
      <c r="BH207" s="151">
        <f t="shared" si="92"/>
        <v>0</v>
      </c>
      <c r="BI207" s="136">
        <f t="shared" si="121"/>
        <v>0</v>
      </c>
      <c r="BJ207" s="136">
        <f t="shared" si="122"/>
        <v>0</v>
      </c>
      <c r="BK207" s="136">
        <f>IF(BJ207=0,0,COUNTIF(BK$193:BK206,"&gt;0")+1)</f>
        <v>0</v>
      </c>
      <c r="BL207" s="136" t="str">
        <f>IFERROR(IF($AR$191&gt;BL$191,IF(BL206&lt;MAX(BK$193:BK$210),1+COUNTIF(BL$193:BL206,"&gt;0"),""),""),"")</f>
        <v/>
      </c>
      <c r="BM207" s="136" t="str">
        <f t="shared" si="93"/>
        <v/>
      </c>
      <c r="BN207" s="151">
        <f t="shared" si="94"/>
        <v>0</v>
      </c>
      <c r="BO207" s="136">
        <f t="shared" si="123"/>
        <v>0</v>
      </c>
      <c r="BP207" s="136">
        <f t="shared" si="124"/>
        <v>0</v>
      </c>
      <c r="BQ207" s="136">
        <f>IF(BP207=0,0,COUNTIF(BQ$193:BQ206,"&gt;0")+1)</f>
        <v>0</v>
      </c>
      <c r="BR207" s="136" t="str">
        <f>IFERROR(IF($AR$191&gt;BR$191,IF(BR206&lt;MAX(BQ$193:BQ$210),1+COUNTIF(BR$193:BR206,"&gt;0"),""),""),"")</f>
        <v/>
      </c>
      <c r="BS207" s="136" t="str">
        <f t="shared" si="95"/>
        <v/>
      </c>
      <c r="BT207" s="151">
        <f t="shared" si="96"/>
        <v>0</v>
      </c>
      <c r="BU207" s="136">
        <f t="shared" si="125"/>
        <v>0</v>
      </c>
      <c r="BV207" s="136">
        <f t="shared" si="126"/>
        <v>0</v>
      </c>
      <c r="BW207" s="136">
        <f>IF(BV207=0,0,COUNTIF(BW$193:BW206,"&gt;0")+1)</f>
        <v>0</v>
      </c>
      <c r="BX207" s="136" t="str">
        <f>IFERROR(IF($AR$191&gt;BX$191,IF(BX206&lt;MAX(BW$193:BW$210),1+COUNTIF(BX$193:BX206,"&gt;0"),""),""),"")</f>
        <v/>
      </c>
      <c r="BY207" s="136" t="str">
        <f t="shared" si="97"/>
        <v/>
      </c>
      <c r="BZ207" s="151">
        <f t="shared" si="98"/>
        <v>0</v>
      </c>
      <c r="CA207" s="136">
        <f t="shared" si="127"/>
        <v>0</v>
      </c>
      <c r="CB207" s="136">
        <f t="shared" si="128"/>
        <v>0</v>
      </c>
      <c r="CC207" s="136">
        <f>IF(CB207=0,0,COUNTIF(CC$193:CC206,"&gt;0")+1)</f>
        <v>0</v>
      </c>
      <c r="CD207" s="136" t="str">
        <f>IFERROR(IF($AR$191&gt;CD$191,IF(CD206&lt;MAX(CC$193:CC$210),1+COUNTIF(CD$193:CD206,"&gt;0"),""),""),"")</f>
        <v/>
      </c>
      <c r="CE207" s="136" t="str">
        <f t="shared" si="99"/>
        <v/>
      </c>
      <c r="CF207" s="151">
        <f t="shared" si="100"/>
        <v>0</v>
      </c>
      <c r="CG207" s="136">
        <f t="shared" si="129"/>
        <v>0</v>
      </c>
      <c r="CH207" s="136">
        <f t="shared" si="130"/>
        <v>0</v>
      </c>
      <c r="CI207" s="136">
        <f>IF(CH207=0,0,COUNTIF(CI$193:CI206,"&gt;0")+1)</f>
        <v>0</v>
      </c>
      <c r="CJ207" s="136" t="str">
        <f>IFERROR(IF($AR$191&gt;CJ$191,IF(CJ206&lt;MAX(CI$193:CI$210),1+COUNTIF(CJ$193:CJ206,"&gt;0"),""),""),"")</f>
        <v/>
      </c>
      <c r="CK207" s="136" t="str">
        <f t="shared" si="101"/>
        <v/>
      </c>
      <c r="CL207" s="151">
        <f t="shared" si="102"/>
        <v>0</v>
      </c>
      <c r="CM207" s="136">
        <f t="shared" si="131"/>
        <v>0</v>
      </c>
      <c r="CN207" s="136">
        <f t="shared" si="132"/>
        <v>0</v>
      </c>
      <c r="CO207" s="136">
        <f>IF(CN207=0,0,COUNTIF(CO$193:CO206,"&gt;0")+1)</f>
        <v>0</v>
      </c>
      <c r="CP207" s="136" t="str">
        <f>IFERROR(IF($AR$191&gt;CP$191,IF(CP206&lt;MAX(CO$193:CO$210),1+COUNTIF(CP$193:CP206,"&gt;0"),""),""),"")</f>
        <v/>
      </c>
      <c r="CQ207" s="136" t="str">
        <f t="shared" si="103"/>
        <v/>
      </c>
      <c r="CR207" s="151">
        <f t="shared" si="104"/>
        <v>0</v>
      </c>
      <c r="CS207" s="136">
        <f t="shared" si="133"/>
        <v>0</v>
      </c>
      <c r="CT207" s="136">
        <f t="shared" si="134"/>
        <v>0</v>
      </c>
      <c r="CU207" s="136">
        <f>IF(CT207=0,0,COUNTIF(CU$193:CU206,"&gt;0")+1)</f>
        <v>0</v>
      </c>
      <c r="CV207" s="136" t="str">
        <f>IFERROR(IF($AR$191&gt;CV$191,IF(CV206&lt;MAX(CU$193:CU$210),1+COUNTIF(CV$193:CV206,"&gt;0"),""),""),"")</f>
        <v/>
      </c>
      <c r="CW207" s="136" t="str">
        <f t="shared" si="105"/>
        <v/>
      </c>
      <c r="CX207" s="151">
        <f t="shared" si="106"/>
        <v>0</v>
      </c>
      <c r="CY207" s="136">
        <f t="shared" si="135"/>
        <v>0</v>
      </c>
      <c r="CZ207" s="136">
        <f t="shared" si="136"/>
        <v>0</v>
      </c>
      <c r="DA207" s="136">
        <f>IF(CZ207=0,0,COUNTIF(DA$193:DA206,"&gt;0")+1)</f>
        <v>0</v>
      </c>
      <c r="DB207" s="136" t="str">
        <f>IFERROR(IF($AR$191&gt;DB$191,IF(DB206&lt;MAX(DA$193:DA$210),1+COUNTIF(DB$193:DB206,"&gt;0"),""),""),"")</f>
        <v/>
      </c>
      <c r="DC207" s="136" t="str">
        <f t="shared" si="107"/>
        <v/>
      </c>
      <c r="DD207" s="151">
        <f t="shared" si="108"/>
        <v>0</v>
      </c>
      <c r="DE207" s="136">
        <f t="shared" si="137"/>
        <v>0</v>
      </c>
      <c r="DF207" s="136">
        <f t="shared" si="138"/>
        <v>0</v>
      </c>
      <c r="DG207" s="136">
        <f>IF(DF207=0,0,COUNTIF(DG$193:DG206,"&gt;0")+1)</f>
        <v>0</v>
      </c>
      <c r="DH207" s="136" t="str">
        <f>IFERROR(IF($AR$191&gt;DH$191,IF(DH206&lt;MAX(DG$193:DG$210),1+COUNTIF(DH$193:DH206,"&gt;0"),""),""),"")</f>
        <v/>
      </c>
      <c r="DI207" s="136" t="str">
        <f t="shared" si="109"/>
        <v/>
      </c>
      <c r="DJ207" s="151">
        <f t="shared" si="110"/>
        <v>0</v>
      </c>
      <c r="DK207" s="151"/>
      <c r="DZ207" s="138"/>
    </row>
    <row r="208" spans="1:130" ht="16.5" x14ac:dyDescent="0.3">
      <c r="A208" s="132">
        <f>IFERROR(IF(A207+1&lt;MAX(T041_ClassFeatures!$A$2:$A$2033),A207+1,""),"")</f>
        <v>205</v>
      </c>
      <c r="B208" s="131" t="str">
        <f>IFERROR(INDEX(T041_ClassFeatures!$B$2:$B$2033,MATCH('C03_ClassVariables'!A208,T041_ClassFeatures!$A$2:$A$2033,0),1),"")</f>
        <v>Divine Strike (thunder)</v>
      </c>
      <c r="C208" s="131">
        <f>IF(B208="",0,IF(IFERROR(MATCH(B208,'C01_BaseCalculation'!$W$160:$W$239,0),0)&gt;0,1,0))</f>
        <v>0</v>
      </c>
      <c r="G208" s="150"/>
      <c r="H208" s="136" t="s">
        <v>614</v>
      </c>
      <c r="I208" s="361">
        <f t="shared" si="70"/>
        <v>0</v>
      </c>
      <c r="J208" s="362">
        <f t="shared" si="71"/>
        <v>0</v>
      </c>
      <c r="K208" s="358">
        <f t="shared" si="72"/>
        <v>0</v>
      </c>
      <c r="L208" s="164">
        <f>INDEX(T03_Skills!$D$2:$AP$19,MATCH(H208,T03_Skills!$B$2:$B$19,0),SelectedClassID)</f>
        <v>0</v>
      </c>
      <c r="M208" s="150">
        <f t="shared" si="111"/>
        <v>0</v>
      </c>
      <c r="N208" s="136">
        <f>IF(M208=0,0,COUNTIF($N$193:N207,"&gt;0")+1)</f>
        <v>0</v>
      </c>
      <c r="O208" s="136" t="str">
        <f>IFERROR(IF($O$191&gt;0,IF(O207&lt;MAX(N$193:N$210),1+COUNTIF(O$193:O207,"&gt;0"),""),""),"")</f>
        <v/>
      </c>
      <c r="P208" s="136" t="str">
        <f t="shared" si="73"/>
        <v/>
      </c>
      <c r="Q208" s="136">
        <f t="shared" si="74"/>
        <v>0</v>
      </c>
      <c r="R208" s="150">
        <f t="shared" si="112"/>
        <v>0</v>
      </c>
      <c r="S208" s="136">
        <f>IF(R208=0,0,COUNTIF(S$193:S207,"&gt;0")+1)</f>
        <v>0</v>
      </c>
      <c r="T208" s="136" t="str">
        <f>IFERROR(IF($O$191&gt;1,IF(T207&lt;MAX(S$193:S$210),1+COUNTIF(T$193:T207,"&gt;0"),""),""),"")</f>
        <v/>
      </c>
      <c r="U208" s="136" t="str">
        <f t="shared" si="75"/>
        <v/>
      </c>
      <c r="V208" s="136">
        <f t="shared" si="76"/>
        <v>0</v>
      </c>
      <c r="W208" s="150">
        <f t="shared" si="113"/>
        <v>0</v>
      </c>
      <c r="X208" s="136">
        <f>IF(W208=0,0,COUNTIF(X$193:X207,"&gt;0")+1)</f>
        <v>0</v>
      </c>
      <c r="Y208" s="136" t="str">
        <f>IFERROR(IF($O$191&gt;2,IF(Y207&lt;MAX(X$193:X$210),1+COUNTIF(Y$193:Y207,"&gt;0"),""),""),"")</f>
        <v/>
      </c>
      <c r="Z208" s="136" t="str">
        <f t="shared" si="77"/>
        <v/>
      </c>
      <c r="AA208" s="136">
        <f t="shared" si="78"/>
        <v>0</v>
      </c>
      <c r="AB208" s="150">
        <f t="shared" si="114"/>
        <v>0</v>
      </c>
      <c r="AC208" s="136">
        <f>IF(AB208=0,0,COUNTIF(AC$193:AC207,"&gt;0")+1)</f>
        <v>0</v>
      </c>
      <c r="AD208" s="136" t="str">
        <f>IFERROR(IF($O$191&gt;3,IF(AD207&lt;MAX(AC$193:AC$210),1+COUNTIF(AD$193:AD207,"&gt;0"),""),""),"")</f>
        <v/>
      </c>
      <c r="AE208" s="136" t="str">
        <f t="shared" si="79"/>
        <v/>
      </c>
      <c r="AF208" s="151">
        <f t="shared" si="80"/>
        <v>0</v>
      </c>
      <c r="AG208" s="150">
        <f t="shared" si="81"/>
        <v>1</v>
      </c>
      <c r="AH208" s="136">
        <f>IF(AG208=0,0,COUNTIF(AH$193:AH207,"&gt;0")+1)</f>
        <v>12</v>
      </c>
      <c r="AI208" s="136" t="str">
        <f>IFERROR(IF($AG$191&gt;0,IF(AI207&lt;MAX(AH$193:AH$210),1+COUNTIF(AI$193:AI207,"&gt;0"),""),""),"")</f>
        <v/>
      </c>
      <c r="AJ208" s="136" t="str">
        <f t="shared" si="82"/>
        <v/>
      </c>
      <c r="AK208" s="151">
        <f t="shared" si="83"/>
        <v>0</v>
      </c>
      <c r="AL208" s="136">
        <f t="shared" si="84"/>
        <v>1</v>
      </c>
      <c r="AM208" s="136">
        <f>IF(AL208=0,0,COUNTIF(AM$193:AM207,"&gt;0")+1)</f>
        <v>11</v>
      </c>
      <c r="AN208" s="136" t="str">
        <f>IFERROR(IF($AG$191&gt;0,IF(AN207&lt;MAX(AM$193:AM$210),1+COUNTIF(AN$193:AN207,"&gt;0"),""),""),"")</f>
        <v/>
      </c>
      <c r="AO208" s="136" t="str">
        <f t="shared" si="85"/>
        <v/>
      </c>
      <c r="AP208" s="151">
        <f t="shared" si="86"/>
        <v>0</v>
      </c>
      <c r="AQ208" s="150">
        <f t="shared" si="115"/>
        <v>0</v>
      </c>
      <c r="AR208" s="136">
        <f t="shared" si="116"/>
        <v>0</v>
      </c>
      <c r="AS208" s="136">
        <f>IF(AR208=0,0,COUNTIF(AS$193:AS207,"&gt;0")+1)</f>
        <v>0</v>
      </c>
      <c r="AT208" s="136" t="str">
        <f>IFERROR(IF($AR$191&gt;0,IF(AT207&lt;MAX(AS$193:AS$210),1+COUNTIF(AT$193:AT207,"&gt;0"),""),""),"")</f>
        <v/>
      </c>
      <c r="AU208" s="136" t="str">
        <f t="shared" si="87"/>
        <v/>
      </c>
      <c r="AV208" s="151">
        <f t="shared" si="88"/>
        <v>0</v>
      </c>
      <c r="AW208" s="136">
        <f t="shared" si="117"/>
        <v>0</v>
      </c>
      <c r="AX208" s="136">
        <f t="shared" si="118"/>
        <v>0</v>
      </c>
      <c r="AY208" s="136">
        <f>IF(AX208=0,0,COUNTIF(AY$193:AY207,"&gt;0")+1)</f>
        <v>0</v>
      </c>
      <c r="AZ208" s="136" t="str">
        <f>IFERROR(IF($AR$191&gt;1,IF(AZ207&lt;MAX(AY$193:AY$210),1+COUNTIF(AZ$193:AZ207,"&gt;0"),""),""),"")</f>
        <v/>
      </c>
      <c r="BA208" s="136" t="str">
        <f t="shared" si="89"/>
        <v/>
      </c>
      <c r="BB208" s="151">
        <f t="shared" si="90"/>
        <v>0</v>
      </c>
      <c r="BC208" s="136">
        <f t="shared" si="119"/>
        <v>0</v>
      </c>
      <c r="BD208" s="136">
        <f t="shared" si="120"/>
        <v>0</v>
      </c>
      <c r="BE208" s="136">
        <f>IF(BD208=0,0,COUNTIF(BE$193:BE207,"&gt;0")+1)</f>
        <v>0</v>
      </c>
      <c r="BF208" s="136" t="str">
        <f>IFERROR(IF($AR$191&gt;2,IF(BF207&lt;MAX(BE$193:BE$210),1+COUNTIF(BF$193:BF207,"&gt;0"),""),""),"")</f>
        <v/>
      </c>
      <c r="BG208" s="136" t="str">
        <f t="shared" si="91"/>
        <v/>
      </c>
      <c r="BH208" s="151">
        <f t="shared" si="92"/>
        <v>0</v>
      </c>
      <c r="BI208" s="136">
        <f t="shared" si="121"/>
        <v>0</v>
      </c>
      <c r="BJ208" s="136">
        <f t="shared" si="122"/>
        <v>0</v>
      </c>
      <c r="BK208" s="136">
        <f>IF(BJ208=0,0,COUNTIF(BK$193:BK207,"&gt;0")+1)</f>
        <v>0</v>
      </c>
      <c r="BL208" s="136" t="str">
        <f>IFERROR(IF($AR$191&gt;BL$191,IF(BL207&lt;MAX(BK$193:BK$210),1+COUNTIF(BL$193:BL207,"&gt;0"),""),""),"")</f>
        <v/>
      </c>
      <c r="BM208" s="136" t="str">
        <f t="shared" si="93"/>
        <v/>
      </c>
      <c r="BN208" s="151">
        <f t="shared" si="94"/>
        <v>0</v>
      </c>
      <c r="BO208" s="136">
        <f t="shared" si="123"/>
        <v>0</v>
      </c>
      <c r="BP208" s="136">
        <f t="shared" si="124"/>
        <v>0</v>
      </c>
      <c r="BQ208" s="136">
        <f>IF(BP208=0,0,COUNTIF(BQ$193:BQ207,"&gt;0")+1)</f>
        <v>0</v>
      </c>
      <c r="BR208" s="136" t="str">
        <f>IFERROR(IF($AR$191&gt;BR$191,IF(BR207&lt;MAX(BQ$193:BQ$210),1+COUNTIF(BR$193:BR207,"&gt;0"),""),""),"")</f>
        <v/>
      </c>
      <c r="BS208" s="136" t="str">
        <f t="shared" si="95"/>
        <v/>
      </c>
      <c r="BT208" s="151">
        <f t="shared" si="96"/>
        <v>0</v>
      </c>
      <c r="BU208" s="136">
        <f t="shared" si="125"/>
        <v>0</v>
      </c>
      <c r="BV208" s="136">
        <f t="shared" si="126"/>
        <v>0</v>
      </c>
      <c r="BW208" s="136">
        <f>IF(BV208=0,0,COUNTIF(BW$193:BW207,"&gt;0")+1)</f>
        <v>0</v>
      </c>
      <c r="BX208" s="136" t="str">
        <f>IFERROR(IF($AR$191&gt;BX$191,IF(BX207&lt;MAX(BW$193:BW$210),1+COUNTIF(BX$193:BX207,"&gt;0"),""),""),"")</f>
        <v/>
      </c>
      <c r="BY208" s="136" t="str">
        <f t="shared" si="97"/>
        <v/>
      </c>
      <c r="BZ208" s="151">
        <f t="shared" si="98"/>
        <v>0</v>
      </c>
      <c r="CA208" s="136">
        <f t="shared" si="127"/>
        <v>0</v>
      </c>
      <c r="CB208" s="136">
        <f t="shared" si="128"/>
        <v>0</v>
      </c>
      <c r="CC208" s="136">
        <f>IF(CB208=0,0,COUNTIF(CC$193:CC207,"&gt;0")+1)</f>
        <v>0</v>
      </c>
      <c r="CD208" s="136" t="str">
        <f>IFERROR(IF($AR$191&gt;CD$191,IF(CD207&lt;MAX(CC$193:CC$210),1+COUNTIF(CD$193:CD207,"&gt;0"),""),""),"")</f>
        <v/>
      </c>
      <c r="CE208" s="136" t="str">
        <f t="shared" si="99"/>
        <v/>
      </c>
      <c r="CF208" s="151">
        <f t="shared" si="100"/>
        <v>0</v>
      </c>
      <c r="CG208" s="136">
        <f t="shared" si="129"/>
        <v>0</v>
      </c>
      <c r="CH208" s="136">
        <f t="shared" si="130"/>
        <v>0</v>
      </c>
      <c r="CI208" s="136">
        <f>IF(CH208=0,0,COUNTIF(CI$193:CI207,"&gt;0")+1)</f>
        <v>0</v>
      </c>
      <c r="CJ208" s="136" t="str">
        <f>IFERROR(IF($AR$191&gt;CJ$191,IF(CJ207&lt;MAX(CI$193:CI$210),1+COUNTIF(CJ$193:CJ207,"&gt;0"),""),""),"")</f>
        <v/>
      </c>
      <c r="CK208" s="136" t="str">
        <f t="shared" si="101"/>
        <v/>
      </c>
      <c r="CL208" s="151">
        <f t="shared" si="102"/>
        <v>0</v>
      </c>
      <c r="CM208" s="136">
        <f t="shared" si="131"/>
        <v>0</v>
      </c>
      <c r="CN208" s="136">
        <f t="shared" si="132"/>
        <v>0</v>
      </c>
      <c r="CO208" s="136">
        <f>IF(CN208=0,0,COUNTIF(CO$193:CO207,"&gt;0")+1)</f>
        <v>0</v>
      </c>
      <c r="CP208" s="136" t="str">
        <f>IFERROR(IF($AR$191&gt;CP$191,IF(CP207&lt;MAX(CO$193:CO$210),1+COUNTIF(CP$193:CP207,"&gt;0"),""),""),"")</f>
        <v/>
      </c>
      <c r="CQ208" s="136" t="str">
        <f t="shared" si="103"/>
        <v/>
      </c>
      <c r="CR208" s="151">
        <f t="shared" si="104"/>
        <v>0</v>
      </c>
      <c r="CS208" s="136">
        <f t="shared" si="133"/>
        <v>0</v>
      </c>
      <c r="CT208" s="136">
        <f t="shared" si="134"/>
        <v>0</v>
      </c>
      <c r="CU208" s="136">
        <f>IF(CT208=0,0,COUNTIF(CU$193:CU207,"&gt;0")+1)</f>
        <v>0</v>
      </c>
      <c r="CV208" s="136" t="str">
        <f>IFERROR(IF($AR$191&gt;CV$191,IF(CV207&lt;MAX(CU$193:CU$210),1+COUNTIF(CV$193:CV207,"&gt;0"),""),""),"")</f>
        <v/>
      </c>
      <c r="CW208" s="136" t="str">
        <f t="shared" si="105"/>
        <v/>
      </c>
      <c r="CX208" s="151">
        <f t="shared" si="106"/>
        <v>0</v>
      </c>
      <c r="CY208" s="136">
        <f t="shared" si="135"/>
        <v>0</v>
      </c>
      <c r="CZ208" s="136">
        <f t="shared" si="136"/>
        <v>0</v>
      </c>
      <c r="DA208" s="136">
        <f>IF(CZ208=0,0,COUNTIF(DA$193:DA207,"&gt;0")+1)</f>
        <v>0</v>
      </c>
      <c r="DB208" s="136" t="str">
        <f>IFERROR(IF($AR$191&gt;DB$191,IF(DB207&lt;MAX(DA$193:DA$210),1+COUNTIF(DB$193:DB207,"&gt;0"),""),""),"")</f>
        <v/>
      </c>
      <c r="DC208" s="136" t="str">
        <f t="shared" si="107"/>
        <v/>
      </c>
      <c r="DD208" s="151">
        <f t="shared" si="108"/>
        <v>0</v>
      </c>
      <c r="DE208" s="136">
        <f t="shared" si="137"/>
        <v>0</v>
      </c>
      <c r="DF208" s="136">
        <f t="shared" si="138"/>
        <v>0</v>
      </c>
      <c r="DG208" s="136">
        <f>IF(DF208=0,0,COUNTIF(DG$193:DG207,"&gt;0")+1)</f>
        <v>0</v>
      </c>
      <c r="DH208" s="136" t="str">
        <f>IFERROR(IF($AR$191&gt;DH$191,IF(DH207&lt;MAX(DG$193:DG$210),1+COUNTIF(DH$193:DH207,"&gt;0"),""),""),"")</f>
        <v/>
      </c>
      <c r="DI208" s="136" t="str">
        <f t="shared" si="109"/>
        <v/>
      </c>
      <c r="DJ208" s="151">
        <f t="shared" si="110"/>
        <v>0</v>
      </c>
      <c r="DK208" s="151"/>
      <c r="DZ208" s="138"/>
    </row>
    <row r="209" spans="1:130" ht="16.5" x14ac:dyDescent="0.3">
      <c r="A209" s="132">
        <f>IFERROR(IF(A208+1&lt;MAX(T041_ClassFeatures!$A$2:$A$2033),A208+1,""),"")</f>
        <v>206</v>
      </c>
      <c r="B209" s="131" t="str">
        <f>IFERROR(INDEX(T041_ClassFeatures!$B$2:$B$2033,MATCH('C03_ClassVariables'!A209,T041_ClassFeatures!$A$2:$A$2033,0),1),"")</f>
        <v>Stormborn</v>
      </c>
      <c r="C209" s="131">
        <f>IF(B209="",0,IF(IFERROR(MATCH(B209,'C01_BaseCalculation'!$W$160:$W$239,0),0)&gt;0,1,0))</f>
        <v>0</v>
      </c>
      <c r="G209" s="150"/>
      <c r="H209" s="136" t="s">
        <v>75</v>
      </c>
      <c r="I209" s="361">
        <f t="shared" si="70"/>
        <v>0</v>
      </c>
      <c r="J209" s="362">
        <f t="shared" si="71"/>
        <v>0</v>
      </c>
      <c r="K209" s="358">
        <f t="shared" si="72"/>
        <v>0</v>
      </c>
      <c r="L209" s="164">
        <f>INDEX(T03_Skills!$D$2:$AP$19,MATCH(H209,T03_Skills!$B$2:$B$19,0),SelectedClassID)</f>
        <v>0</v>
      </c>
      <c r="M209" s="150">
        <f t="shared" si="111"/>
        <v>0</v>
      </c>
      <c r="N209" s="136">
        <f>IF(M209=0,0,COUNTIF($N$193:N208,"&gt;0")+1)</f>
        <v>0</v>
      </c>
      <c r="O209" s="136" t="str">
        <f>IFERROR(IF($O$191&gt;0,IF(O208&lt;MAX(N$193:N$210),1+COUNTIF(O$193:O208,"&gt;0"),""),""),"")</f>
        <v/>
      </c>
      <c r="P209" s="136" t="str">
        <f t="shared" si="73"/>
        <v/>
      </c>
      <c r="Q209" s="136">
        <f t="shared" si="74"/>
        <v>0</v>
      </c>
      <c r="R209" s="150">
        <f t="shared" si="112"/>
        <v>0</v>
      </c>
      <c r="S209" s="136">
        <f>IF(R209=0,0,COUNTIF(S$193:S208,"&gt;0")+1)</f>
        <v>0</v>
      </c>
      <c r="T209" s="136" t="str">
        <f>IFERROR(IF($O$191&gt;1,IF(T208&lt;MAX(S$193:S$210),1+COUNTIF(T$193:T208,"&gt;0"),""),""),"")</f>
        <v/>
      </c>
      <c r="U209" s="136" t="str">
        <f t="shared" si="75"/>
        <v/>
      </c>
      <c r="V209" s="136">
        <f t="shared" si="76"/>
        <v>0</v>
      </c>
      <c r="W209" s="150">
        <f t="shared" si="113"/>
        <v>0</v>
      </c>
      <c r="X209" s="136">
        <f>IF(W209=0,0,COUNTIF(X$193:X208,"&gt;0")+1)</f>
        <v>0</v>
      </c>
      <c r="Y209" s="136" t="str">
        <f>IFERROR(IF($O$191&gt;2,IF(Y208&lt;MAX(X$193:X$210),1+COUNTIF(Y$193:Y208,"&gt;0"),""),""),"")</f>
        <v/>
      </c>
      <c r="Z209" s="136" t="str">
        <f t="shared" si="77"/>
        <v/>
      </c>
      <c r="AA209" s="136">
        <f t="shared" si="78"/>
        <v>0</v>
      </c>
      <c r="AB209" s="150">
        <f t="shared" si="114"/>
        <v>0</v>
      </c>
      <c r="AC209" s="136">
        <f>IF(AB209=0,0,COUNTIF(AC$193:AC208,"&gt;0")+1)</f>
        <v>0</v>
      </c>
      <c r="AD209" s="136" t="str">
        <f>IFERROR(IF($O$191&gt;3,IF(AD208&lt;MAX(AC$193:AC$210),1+COUNTIF(AD$193:AD208,"&gt;0"),""),""),"")</f>
        <v/>
      </c>
      <c r="AE209" s="136" t="str">
        <f t="shared" si="79"/>
        <v/>
      </c>
      <c r="AF209" s="151">
        <f t="shared" si="80"/>
        <v>0</v>
      </c>
      <c r="AG209" s="150">
        <f t="shared" si="81"/>
        <v>1</v>
      </c>
      <c r="AH209" s="136">
        <f>IF(AG209=0,0,COUNTIF(AH$193:AH208,"&gt;0")+1)</f>
        <v>13</v>
      </c>
      <c r="AI209" s="136" t="str">
        <f>IFERROR(IF($AG$191&gt;0,IF(AI208&lt;MAX(AH$193:AH$210),1+COUNTIF(AI$193:AI208,"&gt;0"),""),""),"")</f>
        <v/>
      </c>
      <c r="AJ209" s="136" t="str">
        <f t="shared" si="82"/>
        <v/>
      </c>
      <c r="AK209" s="151">
        <f t="shared" si="83"/>
        <v>0</v>
      </c>
      <c r="AL209" s="136">
        <f t="shared" si="84"/>
        <v>1</v>
      </c>
      <c r="AM209" s="136">
        <f>IF(AL209=0,0,COUNTIF(AM$193:AM208,"&gt;0")+1)</f>
        <v>12</v>
      </c>
      <c r="AN209" s="136" t="str">
        <f>IFERROR(IF($AG$191&gt;0,IF(AN208&lt;MAX(AM$193:AM$210),1+COUNTIF(AN$193:AN208,"&gt;0"),""),""),"")</f>
        <v/>
      </c>
      <c r="AO209" s="136" t="str">
        <f t="shared" si="85"/>
        <v/>
      </c>
      <c r="AP209" s="151">
        <f t="shared" si="86"/>
        <v>0</v>
      </c>
      <c r="AQ209" s="150">
        <f t="shared" si="115"/>
        <v>0</v>
      </c>
      <c r="AR209" s="136">
        <f t="shared" si="116"/>
        <v>0</v>
      </c>
      <c r="AS209" s="136">
        <f>IF(AR209=0,0,COUNTIF(AS$193:AS208,"&gt;0")+1)</f>
        <v>0</v>
      </c>
      <c r="AT209" s="136" t="str">
        <f>IFERROR(IF($AR$191&gt;0,IF(AT208&lt;MAX(AS$193:AS$210),1+COUNTIF(AT$193:AT208,"&gt;0"),""),""),"")</f>
        <v/>
      </c>
      <c r="AU209" s="136" t="str">
        <f t="shared" si="87"/>
        <v/>
      </c>
      <c r="AV209" s="151">
        <f t="shared" si="88"/>
        <v>0</v>
      </c>
      <c r="AW209" s="136">
        <f t="shared" si="117"/>
        <v>0</v>
      </c>
      <c r="AX209" s="136">
        <f t="shared" si="118"/>
        <v>0</v>
      </c>
      <c r="AY209" s="136">
        <f>IF(AX209=0,0,COUNTIF(AY$193:AY208,"&gt;0")+1)</f>
        <v>0</v>
      </c>
      <c r="AZ209" s="136" t="str">
        <f>IFERROR(IF($AR$191&gt;1,IF(AZ208&lt;MAX(AY$193:AY$210),1+COUNTIF(AZ$193:AZ208,"&gt;0"),""),""),"")</f>
        <v/>
      </c>
      <c r="BA209" s="136" t="str">
        <f t="shared" si="89"/>
        <v/>
      </c>
      <c r="BB209" s="151">
        <f t="shared" si="90"/>
        <v>0</v>
      </c>
      <c r="BC209" s="136">
        <f t="shared" si="119"/>
        <v>0</v>
      </c>
      <c r="BD209" s="136">
        <f t="shared" si="120"/>
        <v>0</v>
      </c>
      <c r="BE209" s="136">
        <f>IF(BD209=0,0,COUNTIF(BE$193:BE208,"&gt;0")+1)</f>
        <v>0</v>
      </c>
      <c r="BF209" s="136" t="str">
        <f>IFERROR(IF($AR$191&gt;2,IF(BF208&lt;MAX(BE$193:BE$210),1+COUNTIF(BF$193:BF208,"&gt;0"),""),""),"")</f>
        <v/>
      </c>
      <c r="BG209" s="136" t="str">
        <f t="shared" si="91"/>
        <v/>
      </c>
      <c r="BH209" s="151">
        <f t="shared" si="92"/>
        <v>0</v>
      </c>
      <c r="BI209" s="136">
        <f t="shared" si="121"/>
        <v>0</v>
      </c>
      <c r="BJ209" s="136">
        <f t="shared" si="122"/>
        <v>0</v>
      </c>
      <c r="BK209" s="136">
        <f>IF(BJ209=0,0,COUNTIF(BK$193:BK208,"&gt;0")+1)</f>
        <v>0</v>
      </c>
      <c r="BL209" s="136" t="str">
        <f>IFERROR(IF($AR$191&gt;BL$191,IF(BL208&lt;MAX(BK$193:BK$210),1+COUNTIF(BL$193:BL208,"&gt;0"),""),""),"")</f>
        <v/>
      </c>
      <c r="BM209" s="136" t="str">
        <f t="shared" si="93"/>
        <v/>
      </c>
      <c r="BN209" s="151">
        <f t="shared" si="94"/>
        <v>0</v>
      </c>
      <c r="BO209" s="136">
        <f t="shared" si="123"/>
        <v>0</v>
      </c>
      <c r="BP209" s="136">
        <f t="shared" si="124"/>
        <v>0</v>
      </c>
      <c r="BQ209" s="136">
        <f>IF(BP209=0,0,COUNTIF(BQ$193:BQ208,"&gt;0")+1)</f>
        <v>0</v>
      </c>
      <c r="BR209" s="136" t="str">
        <f>IFERROR(IF($AR$191&gt;BR$191,IF(BR208&lt;MAX(BQ$193:BQ$210),1+COUNTIF(BR$193:BR208,"&gt;0"),""),""),"")</f>
        <v/>
      </c>
      <c r="BS209" s="136" t="str">
        <f t="shared" si="95"/>
        <v/>
      </c>
      <c r="BT209" s="151">
        <f t="shared" si="96"/>
        <v>0</v>
      </c>
      <c r="BU209" s="136">
        <f t="shared" si="125"/>
        <v>0</v>
      </c>
      <c r="BV209" s="136">
        <f t="shared" si="126"/>
        <v>0</v>
      </c>
      <c r="BW209" s="136">
        <f>IF(BV209=0,0,COUNTIF(BW$193:BW208,"&gt;0")+1)</f>
        <v>0</v>
      </c>
      <c r="BX209" s="136" t="str">
        <f>IFERROR(IF($AR$191&gt;BX$191,IF(BX208&lt;MAX(BW$193:BW$210),1+COUNTIF(BX$193:BX208,"&gt;0"),""),""),"")</f>
        <v/>
      </c>
      <c r="BY209" s="136" t="str">
        <f t="shared" si="97"/>
        <v/>
      </c>
      <c r="BZ209" s="151">
        <f t="shared" si="98"/>
        <v>0</v>
      </c>
      <c r="CA209" s="136">
        <f t="shared" si="127"/>
        <v>0</v>
      </c>
      <c r="CB209" s="136">
        <f t="shared" si="128"/>
        <v>0</v>
      </c>
      <c r="CC209" s="136">
        <f>IF(CB209=0,0,COUNTIF(CC$193:CC208,"&gt;0")+1)</f>
        <v>0</v>
      </c>
      <c r="CD209" s="136" t="str">
        <f>IFERROR(IF($AR$191&gt;CD$191,IF(CD208&lt;MAX(CC$193:CC$210),1+COUNTIF(CD$193:CD208,"&gt;0"),""),""),"")</f>
        <v/>
      </c>
      <c r="CE209" s="136" t="str">
        <f t="shared" si="99"/>
        <v/>
      </c>
      <c r="CF209" s="151">
        <f t="shared" si="100"/>
        <v>0</v>
      </c>
      <c r="CG209" s="136">
        <f t="shared" si="129"/>
        <v>0</v>
      </c>
      <c r="CH209" s="136">
        <f t="shared" si="130"/>
        <v>0</v>
      </c>
      <c r="CI209" s="136">
        <f>IF(CH209=0,0,COUNTIF(CI$193:CI208,"&gt;0")+1)</f>
        <v>0</v>
      </c>
      <c r="CJ209" s="136" t="str">
        <f>IFERROR(IF($AR$191&gt;CJ$191,IF(CJ208&lt;MAX(CI$193:CI$210),1+COUNTIF(CJ$193:CJ208,"&gt;0"),""),""),"")</f>
        <v/>
      </c>
      <c r="CK209" s="136" t="str">
        <f t="shared" si="101"/>
        <v/>
      </c>
      <c r="CL209" s="151">
        <f t="shared" si="102"/>
        <v>0</v>
      </c>
      <c r="CM209" s="136">
        <f t="shared" si="131"/>
        <v>0</v>
      </c>
      <c r="CN209" s="136">
        <f t="shared" si="132"/>
        <v>0</v>
      </c>
      <c r="CO209" s="136">
        <f>IF(CN209=0,0,COUNTIF(CO$193:CO208,"&gt;0")+1)</f>
        <v>0</v>
      </c>
      <c r="CP209" s="136" t="str">
        <f>IFERROR(IF($AR$191&gt;CP$191,IF(CP208&lt;MAX(CO$193:CO$210),1+COUNTIF(CP$193:CP208,"&gt;0"),""),""),"")</f>
        <v/>
      </c>
      <c r="CQ209" s="136" t="str">
        <f t="shared" si="103"/>
        <v/>
      </c>
      <c r="CR209" s="151">
        <f t="shared" si="104"/>
        <v>0</v>
      </c>
      <c r="CS209" s="136">
        <f t="shared" si="133"/>
        <v>0</v>
      </c>
      <c r="CT209" s="136">
        <f t="shared" si="134"/>
        <v>0</v>
      </c>
      <c r="CU209" s="136">
        <f>IF(CT209=0,0,COUNTIF(CU$193:CU208,"&gt;0")+1)</f>
        <v>0</v>
      </c>
      <c r="CV209" s="136" t="str">
        <f>IFERROR(IF($AR$191&gt;CV$191,IF(CV208&lt;MAX(CU$193:CU$210),1+COUNTIF(CV$193:CV208,"&gt;0"),""),""),"")</f>
        <v/>
      </c>
      <c r="CW209" s="136" t="str">
        <f t="shared" si="105"/>
        <v/>
      </c>
      <c r="CX209" s="151">
        <f t="shared" si="106"/>
        <v>0</v>
      </c>
      <c r="CY209" s="136">
        <f t="shared" si="135"/>
        <v>0</v>
      </c>
      <c r="CZ209" s="136">
        <f t="shared" si="136"/>
        <v>0</v>
      </c>
      <c r="DA209" s="136">
        <f>IF(CZ209=0,0,COUNTIF(DA$193:DA208,"&gt;0")+1)</f>
        <v>0</v>
      </c>
      <c r="DB209" s="136" t="str">
        <f>IFERROR(IF($AR$191&gt;DB$191,IF(DB208&lt;MAX(DA$193:DA$210),1+COUNTIF(DB$193:DB208,"&gt;0"),""),""),"")</f>
        <v/>
      </c>
      <c r="DC209" s="136" t="str">
        <f t="shared" si="107"/>
        <v/>
      </c>
      <c r="DD209" s="151">
        <f t="shared" si="108"/>
        <v>0</v>
      </c>
      <c r="DE209" s="136">
        <f t="shared" si="137"/>
        <v>0</v>
      </c>
      <c r="DF209" s="136">
        <f t="shared" si="138"/>
        <v>0</v>
      </c>
      <c r="DG209" s="136">
        <f>IF(DF209=0,0,COUNTIF(DG$193:DG208,"&gt;0")+1)</f>
        <v>0</v>
      </c>
      <c r="DH209" s="136" t="str">
        <f>IFERROR(IF($AR$191&gt;DH$191,IF(DH208&lt;MAX(DG$193:DG$210),1+COUNTIF(DH$193:DH208,"&gt;0"),""),""),"")</f>
        <v/>
      </c>
      <c r="DI209" s="136" t="str">
        <f t="shared" si="109"/>
        <v/>
      </c>
      <c r="DJ209" s="151">
        <f t="shared" si="110"/>
        <v>0</v>
      </c>
      <c r="DK209" s="151"/>
      <c r="DZ209" s="138"/>
    </row>
    <row r="210" spans="1:130" ht="17.25" thickBot="1" x14ac:dyDescent="0.35">
      <c r="A210" s="132">
        <f>IFERROR(IF(A209+1&lt;MAX(T041_ClassFeatures!$A$2:$A$2033),A209+1,""),"")</f>
        <v>207</v>
      </c>
      <c r="B210" s="131" t="str">
        <f>IFERROR(INDEX(T041_ClassFeatures!$B$2:$B$2033,MATCH('C03_ClassVariables'!A210,T041_ClassFeatures!$A$2:$A$2033,0),1),"")</f>
        <v>Blessing of Trickster</v>
      </c>
      <c r="C210" s="131">
        <f>IF(B210="",0,IF(IFERROR(MATCH(B210,'C01_BaseCalculation'!$W$160:$W$239,0),0)&gt;0,1,0))</f>
        <v>0</v>
      </c>
      <c r="G210" s="150"/>
      <c r="H210" s="136" t="s">
        <v>80</v>
      </c>
      <c r="I210" s="363">
        <f t="shared" si="70"/>
        <v>0</v>
      </c>
      <c r="J210" s="364">
        <f t="shared" si="71"/>
        <v>0</v>
      </c>
      <c r="K210" s="358">
        <f t="shared" si="72"/>
        <v>0</v>
      </c>
      <c r="L210" s="164">
        <f>INDEX(T03_Skills!$D$2:$AP$19,MATCH(H210,T03_Skills!$B$2:$B$19,0),SelectedClassID)</f>
        <v>1</v>
      </c>
      <c r="M210" s="152">
        <f t="shared" si="111"/>
        <v>1</v>
      </c>
      <c r="N210" s="153">
        <f>IF(M210=0,0,COUNTIF($N$193:N209,"&gt;0")+1)</f>
        <v>7</v>
      </c>
      <c r="O210" s="153" t="str">
        <f>IFERROR(IF($O$191&gt;0,IF(O209&lt;MAX(N$193:N$210),1+COUNTIF(O$193:O209,"&gt;0"),""),""),"")</f>
        <v/>
      </c>
      <c r="P210" s="153" t="str">
        <f t="shared" si="73"/>
        <v/>
      </c>
      <c r="Q210" s="153">
        <f t="shared" si="74"/>
        <v>0</v>
      </c>
      <c r="R210" s="152">
        <f t="shared" si="112"/>
        <v>1</v>
      </c>
      <c r="S210" s="153">
        <f>IF(R210=0,0,COUNTIF(S$193:S209,"&gt;0")+1)</f>
        <v>6</v>
      </c>
      <c r="T210" s="153" t="str">
        <f>IFERROR(IF($O$191&gt;1,IF(T209&lt;MAX(S$193:S$210),1+COUNTIF(T$193:T209,"&gt;0"),""),""),"")</f>
        <v/>
      </c>
      <c r="U210" s="153" t="str">
        <f t="shared" si="75"/>
        <v/>
      </c>
      <c r="V210" s="153">
        <f t="shared" si="76"/>
        <v>0</v>
      </c>
      <c r="W210" s="152">
        <f t="shared" si="113"/>
        <v>1</v>
      </c>
      <c r="X210" s="153">
        <f>IF(W210=0,0,COUNTIF(X$193:X209,"&gt;0")+1)</f>
        <v>5</v>
      </c>
      <c r="Y210" s="153" t="str">
        <f>IFERROR(IF($O$191&gt;2,IF(Y209&lt;MAX(X$193:X$210),1+COUNTIF(Y$193:Y209,"&gt;0"),""),""),"")</f>
        <v/>
      </c>
      <c r="Z210" s="153" t="str">
        <f t="shared" si="77"/>
        <v/>
      </c>
      <c r="AA210" s="153">
        <f t="shared" si="78"/>
        <v>0</v>
      </c>
      <c r="AB210" s="152">
        <f t="shared" si="114"/>
        <v>1</v>
      </c>
      <c r="AC210" s="153">
        <f>IF(AB210=0,0,COUNTIF(AC$193:AC209,"&gt;0")+1)</f>
        <v>5</v>
      </c>
      <c r="AD210" s="153" t="str">
        <f>IFERROR(IF($O$191&gt;3,IF(AD209&lt;MAX(AC$193:AC$210),1+COUNTIF(AD$193:AD209,"&gt;0"),""),""),"")</f>
        <v/>
      </c>
      <c r="AE210" s="153" t="str">
        <f t="shared" si="79"/>
        <v/>
      </c>
      <c r="AF210" s="154">
        <f t="shared" si="80"/>
        <v>0</v>
      </c>
      <c r="AG210" s="152">
        <f t="shared" si="81"/>
        <v>1</v>
      </c>
      <c r="AH210" s="153">
        <f>IF(AG210=0,0,COUNTIF(AH$193:AH209,"&gt;0")+1)</f>
        <v>14</v>
      </c>
      <c r="AI210" s="153" t="str">
        <f>IFERROR(IF($AG$191&gt;0,IF(AI209&lt;MAX(AH$193:AH$210),1+COUNTIF(AI$193:AI209,"&gt;0"),""),""),"")</f>
        <v/>
      </c>
      <c r="AJ210" s="153" t="str">
        <f t="shared" si="82"/>
        <v/>
      </c>
      <c r="AK210" s="154">
        <f t="shared" si="83"/>
        <v>0</v>
      </c>
      <c r="AL210" s="153">
        <f t="shared" si="84"/>
        <v>1</v>
      </c>
      <c r="AM210" s="153">
        <f>IF(AL210=0,0,COUNTIF(AM$193:AM209,"&gt;0")+1)</f>
        <v>13</v>
      </c>
      <c r="AN210" s="153" t="str">
        <f>IFERROR(IF($AG$191&gt;0,IF(AN209&lt;MAX(AM$193:AM$210),1+COUNTIF(AN$193:AN209,"&gt;0"),""),""),"")</f>
        <v/>
      </c>
      <c r="AO210" s="153" t="str">
        <f t="shared" si="85"/>
        <v/>
      </c>
      <c r="AP210" s="154">
        <f t="shared" si="86"/>
        <v>0</v>
      </c>
      <c r="AQ210" s="152">
        <f t="shared" si="115"/>
        <v>1</v>
      </c>
      <c r="AR210" s="153">
        <f t="shared" si="116"/>
        <v>1</v>
      </c>
      <c r="AS210" s="153">
        <f>IF(AR210=0,0,COUNTIF(AS$193:AS209,"&gt;0")+1)</f>
        <v>3</v>
      </c>
      <c r="AT210" s="153" t="str">
        <f>IFERROR(IF($AR$191&gt;0,IF(AT209&lt;MAX(AS$193:AS$210),1+COUNTIF(AT$193:AT209,"&gt;0"),""),""),"")</f>
        <v/>
      </c>
      <c r="AU210" s="153" t="str">
        <f t="shared" si="87"/>
        <v/>
      </c>
      <c r="AV210" s="154">
        <f t="shared" si="88"/>
        <v>0</v>
      </c>
      <c r="AW210" s="153">
        <f t="shared" si="117"/>
        <v>0</v>
      </c>
      <c r="AX210" s="153">
        <f t="shared" si="118"/>
        <v>0</v>
      </c>
      <c r="AY210" s="153">
        <f>IF(AX210=0,0,COUNTIF(AY$193:AY209,"&gt;0")+1)</f>
        <v>0</v>
      </c>
      <c r="AZ210" s="153" t="str">
        <f>IFERROR(IF($AR$191&gt;1,IF(AZ209&lt;MAX(AY$193:AY$210),1+COUNTIF(AZ$193:AZ209,"&gt;0"),""),""),"")</f>
        <v/>
      </c>
      <c r="BA210" s="153" t="str">
        <f t="shared" si="89"/>
        <v/>
      </c>
      <c r="BB210" s="154">
        <f t="shared" si="90"/>
        <v>0</v>
      </c>
      <c r="BC210" s="153">
        <f t="shared" si="119"/>
        <v>0</v>
      </c>
      <c r="BD210" s="153">
        <f t="shared" si="120"/>
        <v>0</v>
      </c>
      <c r="BE210" s="153">
        <f>IF(BD210=0,0,COUNTIF(BE$193:BE209,"&gt;0")+1)</f>
        <v>0</v>
      </c>
      <c r="BF210" s="153" t="str">
        <f>IFERROR(IF($AR$191&gt;2,IF(BF209&lt;MAX(BE$193:BE$210),1+COUNTIF(BF$193:BF209,"&gt;0"),""),""),"")</f>
        <v/>
      </c>
      <c r="BG210" s="153" t="str">
        <f t="shared" si="91"/>
        <v/>
      </c>
      <c r="BH210" s="154">
        <f t="shared" si="92"/>
        <v>0</v>
      </c>
      <c r="BI210" s="153">
        <f t="shared" si="121"/>
        <v>0</v>
      </c>
      <c r="BJ210" s="153">
        <f t="shared" si="122"/>
        <v>0</v>
      </c>
      <c r="BK210" s="153">
        <f>IF(BJ210=0,0,COUNTIF(BK$193:BK209,"&gt;0")+1)</f>
        <v>0</v>
      </c>
      <c r="BL210" s="153" t="str">
        <f>IFERROR(IF($AR$191&gt;BL$191,IF(BL209&lt;MAX(BK$193:BK$210),1+COUNTIF(BL$193:BL209,"&gt;0"),""),""),"")</f>
        <v/>
      </c>
      <c r="BM210" s="153" t="str">
        <f t="shared" si="93"/>
        <v/>
      </c>
      <c r="BN210" s="154">
        <f t="shared" si="94"/>
        <v>0</v>
      </c>
      <c r="BO210" s="153">
        <f t="shared" si="123"/>
        <v>0</v>
      </c>
      <c r="BP210" s="153">
        <f t="shared" si="124"/>
        <v>0</v>
      </c>
      <c r="BQ210" s="153">
        <f>IF(BP210=0,0,COUNTIF(BQ$193:BQ209,"&gt;0")+1)</f>
        <v>0</v>
      </c>
      <c r="BR210" s="153" t="str">
        <f>IFERROR(IF($AR$191&gt;BR$191,IF(BR209&lt;MAX(BQ$193:BQ$210),1+COUNTIF(BR$193:BR209,"&gt;0"),""),""),"")</f>
        <v/>
      </c>
      <c r="BS210" s="153" t="str">
        <f t="shared" si="95"/>
        <v/>
      </c>
      <c r="BT210" s="154">
        <f t="shared" si="96"/>
        <v>0</v>
      </c>
      <c r="BU210" s="153">
        <f t="shared" si="125"/>
        <v>0</v>
      </c>
      <c r="BV210" s="153">
        <f t="shared" si="126"/>
        <v>0</v>
      </c>
      <c r="BW210" s="153">
        <f>IF(BV210=0,0,COUNTIF(BW$193:BW209,"&gt;0")+1)</f>
        <v>0</v>
      </c>
      <c r="BX210" s="153" t="str">
        <f>IFERROR(IF($AR$191&gt;BX$191,IF(BX209&lt;MAX(BW$193:BW$210),1+COUNTIF(BX$193:BX209,"&gt;0"),""),""),"")</f>
        <v/>
      </c>
      <c r="BY210" s="153" t="str">
        <f t="shared" si="97"/>
        <v/>
      </c>
      <c r="BZ210" s="154">
        <f t="shared" si="98"/>
        <v>0</v>
      </c>
      <c r="CA210" s="153">
        <f t="shared" si="127"/>
        <v>0</v>
      </c>
      <c r="CB210" s="153">
        <f t="shared" si="128"/>
        <v>0</v>
      </c>
      <c r="CC210" s="153">
        <f>IF(CB210=0,0,COUNTIF(CC$193:CC209,"&gt;0")+1)</f>
        <v>0</v>
      </c>
      <c r="CD210" s="153" t="str">
        <f>IFERROR(IF($AR$191&gt;CD$191,IF(CD209&lt;MAX(CC$193:CC$210),1+COUNTIF(CD$193:CD209,"&gt;0"),""),""),"")</f>
        <v/>
      </c>
      <c r="CE210" s="153" t="str">
        <f t="shared" si="99"/>
        <v/>
      </c>
      <c r="CF210" s="154">
        <f t="shared" si="100"/>
        <v>0</v>
      </c>
      <c r="CG210" s="153">
        <f t="shared" si="129"/>
        <v>0</v>
      </c>
      <c r="CH210" s="153">
        <f t="shared" si="130"/>
        <v>0</v>
      </c>
      <c r="CI210" s="153">
        <f>IF(CH210=0,0,COUNTIF(CI$193:CI209,"&gt;0")+1)</f>
        <v>0</v>
      </c>
      <c r="CJ210" s="153" t="str">
        <f>IFERROR(IF($AR$191&gt;CJ$191,IF(CJ209&lt;MAX(CI$193:CI$210),1+COUNTIF(CJ$193:CJ209,"&gt;0"),""),""),"")</f>
        <v/>
      </c>
      <c r="CK210" s="153" t="str">
        <f t="shared" si="101"/>
        <v/>
      </c>
      <c r="CL210" s="154">
        <f t="shared" si="102"/>
        <v>0</v>
      </c>
      <c r="CM210" s="153">
        <f t="shared" si="131"/>
        <v>0</v>
      </c>
      <c r="CN210" s="153">
        <f t="shared" si="132"/>
        <v>0</v>
      </c>
      <c r="CO210" s="153">
        <f>IF(CN210=0,0,COUNTIF(CO$193:CO209,"&gt;0")+1)</f>
        <v>0</v>
      </c>
      <c r="CP210" s="153" t="str">
        <f>IFERROR(IF($AR$191&gt;CP$191,IF(CP209&lt;MAX(CO$193:CO$210),1+COUNTIF(CP$193:CP209,"&gt;0"),""),""),"")</f>
        <v/>
      </c>
      <c r="CQ210" s="153" t="str">
        <f t="shared" si="103"/>
        <v/>
      </c>
      <c r="CR210" s="154">
        <f t="shared" si="104"/>
        <v>0</v>
      </c>
      <c r="CS210" s="153">
        <f t="shared" si="133"/>
        <v>0</v>
      </c>
      <c r="CT210" s="153">
        <f t="shared" si="134"/>
        <v>0</v>
      </c>
      <c r="CU210" s="153">
        <f>IF(CT210=0,0,COUNTIF(CU$193:CU209,"&gt;0")+1)</f>
        <v>0</v>
      </c>
      <c r="CV210" s="153" t="str">
        <f>IFERROR(IF($AR$191&gt;CV$191,IF(CV209&lt;MAX(CU$193:CU$210),1+COUNTIF(CV$193:CV209,"&gt;0"),""),""),"")</f>
        <v/>
      </c>
      <c r="CW210" s="153" t="str">
        <f t="shared" si="105"/>
        <v/>
      </c>
      <c r="CX210" s="154">
        <f t="shared" si="106"/>
        <v>0</v>
      </c>
      <c r="CY210" s="153">
        <f t="shared" si="135"/>
        <v>0</v>
      </c>
      <c r="CZ210" s="153">
        <f t="shared" si="136"/>
        <v>0</v>
      </c>
      <c r="DA210" s="153">
        <f>IF(CZ210=0,0,COUNTIF(DA$193:DA209,"&gt;0")+1)</f>
        <v>0</v>
      </c>
      <c r="DB210" s="153" t="str">
        <f>IFERROR(IF($AR$191&gt;DB$191,IF(DB209&lt;MAX(DA$193:DA$210),1+COUNTIF(DB$193:DB209,"&gt;0"),""),""),"")</f>
        <v/>
      </c>
      <c r="DC210" s="153" t="str">
        <f t="shared" si="107"/>
        <v/>
      </c>
      <c r="DD210" s="154">
        <f t="shared" si="108"/>
        <v>0</v>
      </c>
      <c r="DE210" s="153">
        <f t="shared" si="137"/>
        <v>0</v>
      </c>
      <c r="DF210" s="153">
        <f t="shared" si="138"/>
        <v>0</v>
      </c>
      <c r="DG210" s="153">
        <f>IF(DF210=0,0,COUNTIF(DG$193:DG209,"&gt;0")+1)</f>
        <v>0</v>
      </c>
      <c r="DH210" s="136" t="str">
        <f>IFERROR(IF($AR$191&gt;DH$191,IF(DH209&lt;MAX(DG$193:DG$210),1+COUNTIF(DH$193:DH209,"&gt;0"),""),""),"")</f>
        <v/>
      </c>
      <c r="DI210" s="136" t="str">
        <f t="shared" si="109"/>
        <v/>
      </c>
      <c r="DJ210" s="154">
        <f t="shared" si="110"/>
        <v>0</v>
      </c>
      <c r="DK210" s="154"/>
      <c r="DZ210" s="138"/>
    </row>
    <row r="211" spans="1:130" ht="16.5" x14ac:dyDescent="0.3">
      <c r="A211" s="132">
        <f>IFERROR(IF(A210+1&lt;MAX(T041_ClassFeatures!$A$2:$A$2033),A210+1,""),"")</f>
        <v>208</v>
      </c>
      <c r="B211" s="131" t="str">
        <f>IFERROR(INDEX(T041_ClassFeatures!$B$2:$B$2033,MATCH('C03_ClassVariables'!A211,T041_ClassFeatures!$A$2:$A$2033,0),1),"")</f>
        <v>Channel Divinity: Invoke Duplicity</v>
      </c>
      <c r="C211" s="131">
        <f>IF(B211="",0,IF(IFERROR(MATCH(B211,'C01_BaseCalculation'!$W$160:$W$239,0),0)&gt;0,1,0))</f>
        <v>0</v>
      </c>
      <c r="G211" s="150"/>
      <c r="H211" s="136"/>
      <c r="I211" s="136"/>
      <c r="J211" s="136"/>
      <c r="K211" s="136"/>
      <c r="L211" s="136"/>
      <c r="M211" s="136"/>
      <c r="N211" s="136"/>
      <c r="O211" s="136"/>
      <c r="P211" s="136"/>
      <c r="Q211" s="136"/>
      <c r="R211" s="136"/>
      <c r="S211" s="136"/>
      <c r="T211" s="136"/>
      <c r="U211" s="136"/>
      <c r="V211" s="136"/>
      <c r="W211" s="136"/>
      <c r="X211" s="136"/>
      <c r="Y211" s="136"/>
      <c r="Z211" s="136"/>
      <c r="AA211" s="136"/>
      <c r="AB211" s="136"/>
      <c r="AC211" s="136"/>
      <c r="AD211" s="136"/>
      <c r="AE211" s="136"/>
      <c r="AF211" s="136"/>
      <c r="AG211" s="136"/>
      <c r="AH211" s="136"/>
      <c r="AI211" s="136"/>
      <c r="AJ211" s="136"/>
      <c r="AK211" s="136"/>
      <c r="AL211" s="136"/>
      <c r="AM211" s="136"/>
      <c r="AN211" s="136"/>
      <c r="AO211" s="136"/>
      <c r="AP211" s="136"/>
      <c r="AQ211" s="136"/>
      <c r="AR211" s="136"/>
      <c r="AS211" s="136"/>
      <c r="AT211" s="136"/>
      <c r="AU211" s="136"/>
      <c r="AV211" s="136"/>
      <c r="AW211" s="136"/>
      <c r="AX211" s="136"/>
      <c r="AY211" s="136"/>
      <c r="AZ211" s="136"/>
      <c r="BA211" s="136"/>
      <c r="BB211" s="136"/>
      <c r="BC211" s="136"/>
      <c r="BD211" s="136"/>
      <c r="BE211" s="136"/>
      <c r="BF211" s="136"/>
      <c r="BG211" s="136"/>
      <c r="BH211" s="136"/>
      <c r="BI211" s="136"/>
      <c r="BJ211" s="136"/>
      <c r="BK211" s="136"/>
      <c r="BL211" s="136"/>
      <c r="BM211" s="136"/>
      <c r="BN211" s="136"/>
      <c r="BO211" s="136"/>
      <c r="BP211" s="136"/>
      <c r="BQ211" s="136"/>
      <c r="BR211" s="136"/>
      <c r="BS211" s="136"/>
      <c r="BT211" s="136"/>
      <c r="BU211" s="136"/>
      <c r="BV211" s="136"/>
      <c r="BW211" s="136"/>
      <c r="BX211" s="136"/>
      <c r="BY211" s="136"/>
      <c r="BZ211" s="136"/>
      <c r="CA211" s="136"/>
      <c r="CB211" s="136"/>
      <c r="CC211" s="136"/>
      <c r="CD211" s="136"/>
      <c r="CE211" s="136"/>
      <c r="CF211" s="136"/>
      <c r="CG211" s="136"/>
      <c r="CH211" s="136"/>
      <c r="CI211" s="136"/>
      <c r="CJ211" s="136"/>
      <c r="CK211" s="136"/>
      <c r="CL211" s="136"/>
      <c r="CM211" s="136"/>
      <c r="CN211" s="136"/>
      <c r="CO211" s="136"/>
      <c r="CP211" s="136"/>
      <c r="CQ211" s="136"/>
      <c r="CR211" s="136"/>
      <c r="CS211" s="136"/>
      <c r="CT211" s="136"/>
      <c r="CU211" s="136"/>
      <c r="CV211" s="136"/>
      <c r="CW211" s="136"/>
      <c r="CX211" s="136"/>
      <c r="CY211" s="136"/>
      <c r="CZ211" s="136"/>
      <c r="DA211" s="136"/>
      <c r="DB211" s="136"/>
      <c r="DC211" s="136"/>
      <c r="DD211" s="136"/>
      <c r="DE211" s="136"/>
      <c r="DF211" s="136"/>
      <c r="DG211" s="136"/>
      <c r="DH211" s="136"/>
      <c r="DI211" s="136"/>
      <c r="DJ211" s="136"/>
      <c r="DK211" s="151"/>
      <c r="DZ211" s="138"/>
    </row>
    <row r="212" spans="1:130" ht="16.5" x14ac:dyDescent="0.3">
      <c r="A212" s="132">
        <f>IFERROR(IF(A211+1&lt;MAX(T041_ClassFeatures!$A$2:$A$2033),A211+1,""),"")</f>
        <v>209</v>
      </c>
      <c r="B212" s="131" t="str">
        <f>IFERROR(INDEX(T041_ClassFeatures!$B$2:$B$2033,MATCH('C03_ClassVariables'!A212,T041_ClassFeatures!$A$2:$A$2033,0),1),"")</f>
        <v>Channel Divinity: Cloak of Shadows</v>
      </c>
      <c r="C212" s="131">
        <f>IF(B212="",0,IF(IFERROR(MATCH(B212,'C01_BaseCalculation'!$W$160:$W$239,0),0)&gt;0,1,0))</f>
        <v>0</v>
      </c>
      <c r="G212" s="150"/>
      <c r="H212" s="1027" t="s">
        <v>5159</v>
      </c>
      <c r="I212" s="1027"/>
      <c r="J212" s="1027"/>
      <c r="K212" s="1027"/>
      <c r="L212" s="1027"/>
      <c r="M212" s="1027"/>
      <c r="N212" s="1027"/>
      <c r="O212" s="1027"/>
      <c r="P212" s="1027"/>
      <c r="Q212" s="1027"/>
      <c r="R212" s="1027"/>
      <c r="S212" s="1027"/>
      <c r="T212" s="1027"/>
      <c r="U212" s="1027"/>
      <c r="V212" s="136"/>
      <c r="W212" s="136"/>
      <c r="X212" s="136"/>
      <c r="Y212" s="136"/>
      <c r="Z212" s="136"/>
      <c r="AA212" s="136"/>
      <c r="AB212" s="136"/>
      <c r="AC212" s="136"/>
      <c r="AD212" s="136"/>
      <c r="AE212" s="136"/>
      <c r="AF212" s="136"/>
      <c r="AG212" s="136"/>
      <c r="AH212" s="136"/>
      <c r="AI212" s="136"/>
      <c r="AJ212" s="136"/>
      <c r="AK212" s="136"/>
      <c r="AL212" s="136"/>
      <c r="AM212" s="136"/>
      <c r="AN212" s="136"/>
      <c r="AO212" s="136"/>
      <c r="AP212" s="136"/>
      <c r="AQ212" s="136"/>
      <c r="AR212" s="136"/>
      <c r="AS212" s="136"/>
      <c r="AT212" s="136"/>
      <c r="AU212" s="136"/>
      <c r="AV212" s="136"/>
      <c r="AW212" s="136"/>
      <c r="AX212" s="136"/>
      <c r="AY212" s="136"/>
      <c r="AZ212" s="136"/>
      <c r="BA212" s="136"/>
      <c r="BB212" s="136"/>
      <c r="BC212" s="136"/>
      <c r="BD212" s="136"/>
      <c r="BE212" s="136"/>
      <c r="BF212" s="136"/>
      <c r="BG212" s="136"/>
      <c r="BH212" s="136"/>
      <c r="BI212" s="136"/>
      <c r="BJ212" s="136"/>
      <c r="BK212" s="136"/>
      <c r="BL212" s="136"/>
      <c r="BM212" s="136"/>
      <c r="BN212" s="136"/>
      <c r="BO212" s="136"/>
      <c r="BP212" s="136"/>
      <c r="BQ212" s="136"/>
      <c r="BR212" s="136"/>
      <c r="BS212" s="136"/>
      <c r="BT212" s="136"/>
      <c r="BU212" s="136"/>
      <c r="BV212" s="136"/>
      <c r="BW212" s="136"/>
      <c r="BX212" s="136"/>
      <c r="BY212" s="136"/>
      <c r="BZ212" s="136"/>
      <c r="CA212" s="136"/>
      <c r="CB212" s="136"/>
      <c r="CC212" s="136"/>
      <c r="CD212" s="136"/>
      <c r="CE212" s="136"/>
      <c r="CF212" s="136"/>
      <c r="CG212" s="136"/>
      <c r="CH212" s="136"/>
      <c r="CI212" s="136"/>
      <c r="CJ212" s="136"/>
      <c r="CK212" s="136"/>
      <c r="CL212" s="136"/>
      <c r="CM212" s="136"/>
      <c r="CN212" s="136"/>
      <c r="CO212" s="136"/>
      <c r="CP212" s="136"/>
      <c r="CQ212" s="136"/>
      <c r="CR212" s="136"/>
      <c r="CS212" s="136"/>
      <c r="CT212" s="136"/>
      <c r="CU212" s="136"/>
      <c r="CV212" s="136"/>
      <c r="CW212" s="136"/>
      <c r="CX212" s="136"/>
      <c r="CY212" s="136"/>
      <c r="CZ212" s="136"/>
      <c r="DA212" s="136"/>
      <c r="DB212" s="136"/>
      <c r="DC212" s="136"/>
      <c r="DD212" s="136"/>
      <c r="DE212" s="136"/>
      <c r="DF212" s="136"/>
      <c r="DG212" s="136"/>
      <c r="DH212" s="136"/>
      <c r="DI212" s="136"/>
      <c r="DJ212" s="136"/>
      <c r="DK212" s="151"/>
      <c r="DZ212" s="138"/>
    </row>
    <row r="213" spans="1:130" ht="17.25" thickBot="1" x14ac:dyDescent="0.35">
      <c r="A213" s="132">
        <f>IFERROR(IF(A212+1&lt;MAX(T041_ClassFeatures!$A$2:$A$2033),A212+1,""),"")</f>
        <v>210</v>
      </c>
      <c r="B213" s="131" t="str">
        <f>IFERROR(INDEX(T041_ClassFeatures!$B$2:$B$2033,MATCH('C03_ClassVariables'!A213,T041_ClassFeatures!$A$2:$A$2033,0),1),"")</f>
        <v>Divine Strike (poison)</v>
      </c>
      <c r="C213" s="131">
        <f>IF(B213="",0,IF(IFERROR(MATCH(B213,'C01_BaseCalculation'!$W$160:$W$239,0),0)&gt;0,1,0))</f>
        <v>0</v>
      </c>
      <c r="G213" s="150"/>
      <c r="H213" s="1027"/>
      <c r="I213" s="1027"/>
      <c r="J213" s="1027"/>
      <c r="K213" s="1027"/>
      <c r="L213" s="1027"/>
      <c r="M213" s="1027"/>
      <c r="N213" s="1027"/>
      <c r="O213" s="1027"/>
      <c r="P213" s="1027"/>
      <c r="Q213" s="1027"/>
      <c r="R213" s="1027"/>
      <c r="S213" s="1027"/>
      <c r="T213" s="1027"/>
      <c r="U213" s="1027"/>
      <c r="V213" s="136"/>
      <c r="W213" s="136"/>
      <c r="X213" s="136"/>
      <c r="Y213" s="136" t="str">
        <f>V214</f>
        <v>NatureDomain</v>
      </c>
      <c r="Z213" s="136" t="str">
        <f>V215</f>
        <v/>
      </c>
      <c r="AA213" s="136" t="str">
        <f>V216</f>
        <v/>
      </c>
      <c r="AB213" s="136" t="str">
        <f>V217</f>
        <v/>
      </c>
      <c r="AC213" s="136" t="str">
        <f>V218</f>
        <v/>
      </c>
      <c r="AD213" s="136" t="str">
        <f>V219</f>
        <v/>
      </c>
      <c r="AE213" s="136" t="str">
        <f>V220</f>
        <v/>
      </c>
      <c r="AF213" s="136" t="str">
        <f>V221</f>
        <v/>
      </c>
      <c r="AG213" s="136" t="str">
        <f>V222</f>
        <v/>
      </c>
      <c r="AH213" s="136" t="str">
        <f>V223</f>
        <v/>
      </c>
      <c r="AI213" s="136" t="str">
        <f>V224</f>
        <v/>
      </c>
      <c r="AJ213" s="136"/>
      <c r="AL213" s="136"/>
      <c r="AM213" s="136"/>
      <c r="AN213" s="136"/>
      <c r="AO213" s="136"/>
      <c r="AP213" s="136"/>
      <c r="AQ213" s="136"/>
      <c r="AR213" s="136"/>
      <c r="AS213" s="136"/>
      <c r="AT213" s="136"/>
      <c r="AU213" s="136"/>
      <c r="AV213" s="136"/>
      <c r="AW213" s="136"/>
      <c r="AX213" s="136"/>
      <c r="AY213" s="136"/>
      <c r="AZ213" s="136"/>
      <c r="BA213" s="136"/>
      <c r="BB213" s="136"/>
      <c r="BC213" s="136"/>
      <c r="BD213" s="136"/>
      <c r="BE213" s="136"/>
      <c r="BF213" s="136"/>
      <c r="BG213" s="136"/>
      <c r="BH213" s="136"/>
      <c r="BI213" s="136"/>
      <c r="BJ213" s="136"/>
      <c r="BK213" s="136"/>
      <c r="BL213" s="136"/>
      <c r="BM213" s="136"/>
      <c r="BN213" s="136"/>
      <c r="BO213" s="136"/>
      <c r="BP213" s="136"/>
      <c r="BQ213" s="136"/>
      <c r="BR213" s="136"/>
      <c r="BS213" s="136"/>
      <c r="BT213" s="136"/>
      <c r="BU213" s="136"/>
      <c r="BV213" s="136"/>
      <c r="BW213" s="136"/>
      <c r="BX213" s="136"/>
      <c r="BY213" s="136"/>
      <c r="BZ213" s="136"/>
      <c r="CA213" s="136"/>
      <c r="CB213" s="136"/>
      <c r="CC213" s="136"/>
      <c r="CD213" s="136"/>
      <c r="CE213" s="136"/>
      <c r="CF213" s="136"/>
      <c r="CG213" s="136"/>
      <c r="CH213" s="136"/>
      <c r="CI213" s="136"/>
      <c r="CJ213" s="136"/>
      <c r="CK213" s="136"/>
      <c r="CL213" s="136"/>
      <c r="CM213" s="136"/>
      <c r="CN213" s="136"/>
      <c r="CO213" s="136"/>
      <c r="CP213" s="136"/>
      <c r="CQ213" s="136"/>
      <c r="CR213" s="136"/>
      <c r="CS213" s="136"/>
      <c r="CT213" s="136"/>
      <c r="CU213" s="136"/>
      <c r="CV213" s="136"/>
      <c r="CW213" s="136"/>
      <c r="CX213" s="136"/>
      <c r="CY213" s="136"/>
      <c r="CZ213" s="136"/>
      <c r="DA213" s="136"/>
      <c r="DB213" s="136"/>
      <c r="DC213" s="136"/>
      <c r="DD213" s="136"/>
      <c r="DE213" s="136"/>
      <c r="DF213" s="136"/>
      <c r="DG213" s="136"/>
      <c r="DH213" s="136"/>
      <c r="DI213" s="136"/>
      <c r="DJ213" s="136"/>
      <c r="DK213" s="151"/>
      <c r="DZ213" s="138"/>
    </row>
    <row r="214" spans="1:130" ht="16.5" x14ac:dyDescent="0.3">
      <c r="A214" s="132">
        <f>IFERROR(IF(A213+1&lt;MAX(T041_ClassFeatures!$A$2:$A$2033),A213+1,""),"")</f>
        <v>211</v>
      </c>
      <c r="B214" s="131" t="str">
        <f>IFERROR(INDEX(T041_ClassFeatures!$B$2:$B$2033,MATCH('C03_ClassVariables'!A214,T041_ClassFeatures!$A$2:$A$2033,0),1),"")</f>
        <v>Improved Dupilicty</v>
      </c>
      <c r="C214" s="131">
        <f>IF(B214="",0,IF(IFERROR(MATCH(B214,'C01_BaseCalculation'!$W$160:$W$239,0),0)&gt;0,1,0))</f>
        <v>0</v>
      </c>
      <c r="G214" s="150"/>
      <c r="H214" s="350" t="s">
        <v>2233</v>
      </c>
      <c r="I214" s="222">
        <v>1</v>
      </c>
      <c r="J214" s="350" t="s">
        <v>4690</v>
      </c>
      <c r="K214" s="351">
        <f>IFERROR(INDEX('C01_BaseCalculation'!$R$160:$R$239,MATCH("Divine Domain",'C01_BaseCalculation'!$W$160:$W$239,0),1)*DomainNatureSkill,0)</f>
        <v>0</v>
      </c>
      <c r="L214" s="4"/>
      <c r="M214" s="4">
        <v>1</v>
      </c>
      <c r="N214" s="238">
        <f t="shared" ref="N214:N224" si="139">SMALL($K$214:$K$225,M214)</f>
        <v>0</v>
      </c>
      <c r="O214" s="222" t="str">
        <f>INDEX($J$214:$J$224,MATCH(N214,$K$214:$K$224,0),1)</f>
        <v>DomainNature</v>
      </c>
      <c r="P214" s="238">
        <f>N214</f>
        <v>0</v>
      </c>
      <c r="Q214" s="238">
        <f>IF(N214=0,0,1)</f>
        <v>0</v>
      </c>
      <c r="R214" s="238"/>
      <c r="S214" s="4"/>
      <c r="T214" s="222">
        <f>IF(MAX($Q$214:$Q$225)&gt;0,1,0)</f>
        <v>0</v>
      </c>
      <c r="U214" s="238" t="str">
        <f t="shared" ref="U214:U220" si="140">IFERROR(INDEX($O$214:$O$225,MATCH(T214,$Q$214:$Q$225,0),1),"")</f>
        <v>DomainNature</v>
      </c>
      <c r="V214" s="136" t="str">
        <f>IFERROR(INDEX($J$226:$J$236,MATCH(U214,$I$226:$I$236,0),1),"")</f>
        <v>NatureDomain</v>
      </c>
      <c r="W214" s="136"/>
      <c r="X214" s="372" t="s">
        <v>607</v>
      </c>
      <c r="Y214" s="136">
        <f>IFERROR(INDEX(T03_Skills!$D$2:$R$19,MATCH('C03_ClassVariables'!$X214,T03_Skills!$B$2:$B$19,0),MATCH('C03_ClassVariables'!$V$214,T03_Skills!$D$1:$R$1,0)),0)</f>
        <v>0</v>
      </c>
      <c r="Z214" s="136">
        <f>IFERROR(INDEX(T03_Skills!$D$2:$R$19,MATCH('C03_ClassVariables'!$X214,T03_Skills!$B$2:$B$19,0),MATCH('C03_ClassVariables'!$V$215,T03_Skills!$D$1:$R$1,0)),0)</f>
        <v>0</v>
      </c>
      <c r="AA214" s="136">
        <f>IFERROR(INDEX(T03_Skills!$D$2:$R$19,MATCH('C03_ClassVariables'!$X214,T03_Skills!$B$2:$B$19,0),MATCH('C03_ClassVariables'!$V$216,T03_Skills!$D$1:$R$1,0)),0)</f>
        <v>0</v>
      </c>
      <c r="AB214" s="136">
        <f>IFERROR(INDEX(T03_Skills!$D$2:$R$19,MATCH('C03_ClassVariables'!$X214,T03_Skills!$B$2:$B$19,0),MATCH('C03_ClassVariables'!$V$217,T03_Skills!$D$1:$R$1,0)),0)</f>
        <v>0</v>
      </c>
      <c r="AC214" s="136">
        <f>IFERROR(INDEX(T03_Skills!$D$2:$R$19,MATCH('C03_ClassVariables'!$X214,T03_Skills!$B$2:$B$19,0),MATCH('C03_ClassVariables'!$V$218,T03_Skills!$D$1:$R$1,0)),0)</f>
        <v>0</v>
      </c>
      <c r="AD214" s="136">
        <f>IFERROR(INDEX(T03_Skills!$D$2:$R$19,MATCH('C03_ClassVariables'!$X214,T03_Skills!$B$2:$B$19,0),MATCH('C03_ClassVariables'!$V$219,T03_Skills!$D$1:$R$1,0)),0)</f>
        <v>0</v>
      </c>
      <c r="AE214" s="136">
        <f>IFERROR(INDEX(T03_Skills!$D$2:$R$19,MATCH('C03_ClassVariables'!$X214,T03_Skills!$B$2:$B$19,0),MATCH('C03_ClassVariables'!$V$220,T03_Skills!$D$1:$R$1,0)),0)</f>
        <v>0</v>
      </c>
      <c r="AF214" s="136">
        <f>IFERROR(INDEX(T03_Skills!$D$2:$R$19,MATCH('C03_ClassVariables'!$X214,T03_Skills!$B$2:$B$19,0),MATCH('C03_ClassVariables'!$V$221,T03_Skills!$D$1:$R$1,0)),0)</f>
        <v>0</v>
      </c>
      <c r="AG214" s="136">
        <f>IFERROR(INDEX(T03_Skills!$D$2:$R$19,MATCH('C03_ClassVariables'!$X214,T03_Skills!$B$2:$B$19,0),MATCH('C03_ClassVariables'!$V$222,T03_Skills!$D$1:$R$1,0)),0)</f>
        <v>0</v>
      </c>
      <c r="AH214" s="136">
        <f>IFERROR(INDEX(T03_Skills!$D$2:$R$19,MATCH('C03_ClassVariables'!$X214,T03_Skills!$B$2:$B$19,0),MATCH('C03_ClassVariables'!$V$223,T03_Skills!$D$1:$R$1,0)),0)</f>
        <v>0</v>
      </c>
      <c r="AI214" s="136">
        <f>IFERROR(INDEX(T03_Skills!$D$2:$R$19,MATCH('C03_ClassVariables'!$X214,T03_Skills!$B$2:$B$19,0),MATCH('C03_ClassVariables'!$V$224,T03_Skills!$D$1:$R$1,0)),0)</f>
        <v>0</v>
      </c>
      <c r="AJ214" s="136"/>
      <c r="AK214" s="503">
        <f>Q193+AA193++V193+AF193+AK193+AP193+AV193+BB193+BH193+BN193+BT193+BZ193+CF193++CL193+CR193+CX193+DD193+DJ193+I193+J193+K193</f>
        <v>1</v>
      </c>
      <c r="AL214" s="136"/>
      <c r="AM214" s="136"/>
      <c r="AN214" s="136"/>
      <c r="AO214" s="136"/>
      <c r="AP214" s="136"/>
      <c r="AQ214" s="136"/>
      <c r="AR214" s="136"/>
      <c r="AS214" s="136"/>
      <c r="AT214" s="136"/>
      <c r="AU214" s="136"/>
      <c r="AV214" s="136"/>
      <c r="AW214" s="136"/>
      <c r="AX214" s="136"/>
      <c r="AY214" s="136"/>
      <c r="AZ214" s="136"/>
      <c r="BA214" s="136"/>
      <c r="BB214" s="136"/>
      <c r="BC214" s="136"/>
      <c r="BD214" s="136"/>
      <c r="BE214" s="136"/>
      <c r="BF214" s="136"/>
      <c r="BG214" s="136"/>
      <c r="BH214" s="136"/>
      <c r="BI214" s="136"/>
      <c r="BJ214" s="136"/>
      <c r="BK214" s="136"/>
      <c r="BL214" s="136"/>
      <c r="BM214" s="136"/>
      <c r="BN214" s="136"/>
      <c r="BO214" s="136"/>
      <c r="BP214" s="136"/>
      <c r="BQ214" s="136"/>
      <c r="BR214" s="136"/>
      <c r="BS214" s="136"/>
      <c r="BT214" s="136"/>
      <c r="BU214" s="136"/>
      <c r="BV214" s="136"/>
      <c r="BW214" s="136"/>
      <c r="BX214" s="136"/>
      <c r="BY214" s="136"/>
      <c r="BZ214" s="136"/>
      <c r="CA214" s="136"/>
      <c r="CB214" s="136"/>
      <c r="CC214" s="136"/>
      <c r="CD214" s="136"/>
      <c r="CE214" s="136"/>
      <c r="CF214" s="136"/>
      <c r="CG214" s="136"/>
      <c r="CH214" s="136"/>
      <c r="CI214" s="136"/>
      <c r="CJ214" s="136"/>
      <c r="CK214" s="136"/>
      <c r="CL214" s="136"/>
      <c r="CM214" s="136"/>
      <c r="CN214" s="136"/>
      <c r="CO214" s="136"/>
      <c r="CP214" s="136"/>
      <c r="CQ214" s="136"/>
      <c r="CR214" s="136"/>
      <c r="CS214" s="136"/>
      <c r="CT214" s="136"/>
      <c r="CU214" s="136"/>
      <c r="CV214" s="136"/>
      <c r="CW214" s="136"/>
      <c r="CX214" s="136"/>
      <c r="CY214" s="136"/>
      <c r="CZ214" s="136"/>
      <c r="DA214" s="136"/>
      <c r="DB214" s="136"/>
      <c r="DC214" s="136"/>
      <c r="DD214" s="136"/>
      <c r="DE214" s="136"/>
      <c r="DF214" s="136"/>
      <c r="DG214" s="136"/>
      <c r="DH214" s="136"/>
      <c r="DI214" s="136"/>
      <c r="DJ214" s="136"/>
      <c r="DK214" s="151"/>
      <c r="DZ214" s="138"/>
    </row>
    <row r="215" spans="1:130" ht="16.5" x14ac:dyDescent="0.3">
      <c r="A215" s="132">
        <f>IFERROR(IF(A214+1&lt;MAX(T041_ClassFeatures!$A$2:$A$2033),A214+1,""),"")</f>
        <v>212</v>
      </c>
      <c r="B215" s="131" t="str">
        <f>IFERROR(INDEX(T041_ClassFeatures!$B$2:$B$2033,MATCH('C03_ClassVariables'!A215,T041_ClassFeatures!$A$2:$A$2033,0),1),"")</f>
        <v>War Priest</v>
      </c>
      <c r="C215" s="131">
        <f>IF(B215="",0,IF(IFERROR(MATCH(B215,'C01_BaseCalculation'!$W$160:$W$239,0),0)&gt;0,1,0))</f>
        <v>0</v>
      </c>
      <c r="G215" s="150"/>
      <c r="H215" s="350"/>
      <c r="I215" s="222">
        <v>2</v>
      </c>
      <c r="J215" s="350" t="s">
        <v>4694</v>
      </c>
      <c r="K215" s="351">
        <f>IFERROR(INDEX('C01_BaseCalculation'!$R$160:$R$239,MATCH("Divine Domain",'C01_BaseCalculation'!$W$160:$W$239,0),1)*DomainKnowledgeSkills,0)</f>
        <v>0</v>
      </c>
      <c r="L215" s="4"/>
      <c r="M215" s="4">
        <v>2</v>
      </c>
      <c r="N215" s="238">
        <f t="shared" si="139"/>
        <v>0</v>
      </c>
      <c r="O215" s="222" t="str">
        <f t="shared" ref="O215:O224" si="141">INDEX($J$214:$J$224,MATCH(N215,$K$214:$K$224,0),1)</f>
        <v>DomainNature</v>
      </c>
      <c r="P215" s="238">
        <f t="shared" ref="P215:P224" si="142">N215</f>
        <v>0</v>
      </c>
      <c r="Q215" s="4">
        <f>IF(P215=0,0,COUNTIF(Q$214:$Q214,"&gt;0")+1)</f>
        <v>0</v>
      </c>
      <c r="R215" s="4"/>
      <c r="S215" s="4"/>
      <c r="T215" s="4" t="str">
        <f>IFERROR(IF(T214&lt;MAX($Q$214:$Q$225),T214+1,""),"")</f>
        <v/>
      </c>
      <c r="U215" s="238" t="str">
        <f t="shared" si="140"/>
        <v/>
      </c>
      <c r="V215" s="136" t="str">
        <f t="shared" ref="V215:V221" si="143">IFERROR(INDEX($J$226:$J$236,MATCH(U215,$I$226:$I$236,0),1),"")</f>
        <v/>
      </c>
      <c r="W215" s="136"/>
      <c r="X215" s="372" t="s">
        <v>79</v>
      </c>
      <c r="Y215" s="136">
        <f>IFERROR(INDEX(T03_Skills!$D$2:$R$19,MATCH('C03_ClassVariables'!$X215,T03_Skills!$B$2:$B$19,0),MATCH('C03_ClassVariables'!$V$214,T03_Skills!$D$1:$R$1,0)),0)</f>
        <v>1</v>
      </c>
      <c r="Z215" s="136">
        <f>IFERROR(INDEX(T03_Skills!$D$2:$R$19,MATCH('C03_ClassVariables'!$X215,T03_Skills!$B$2:$B$19,0),MATCH('C03_ClassVariables'!$V$215,T03_Skills!$D$1:$R$1,0)),0)</f>
        <v>0</v>
      </c>
      <c r="AA215" s="136">
        <f>IFERROR(INDEX(T03_Skills!$D$2:$R$19,MATCH('C03_ClassVariables'!$X215,T03_Skills!$B$2:$B$19,0),MATCH('C03_ClassVariables'!$V$216,T03_Skills!$D$1:$R$1,0)),0)</f>
        <v>0</v>
      </c>
      <c r="AB215" s="136">
        <f>IFERROR(INDEX(T03_Skills!$D$2:$R$19,MATCH('C03_ClassVariables'!$X215,T03_Skills!$B$2:$B$19,0),MATCH('C03_ClassVariables'!$V$217,T03_Skills!$D$1:$R$1,0)),0)</f>
        <v>0</v>
      </c>
      <c r="AC215" s="136">
        <f>IFERROR(INDEX(T03_Skills!$D$2:$R$19,MATCH('C03_ClassVariables'!$X215,T03_Skills!$B$2:$B$19,0),MATCH('C03_ClassVariables'!$V$218,T03_Skills!$D$1:$R$1,0)),0)</f>
        <v>0</v>
      </c>
      <c r="AD215" s="136">
        <f>IFERROR(INDEX(T03_Skills!$D$2:$R$19,MATCH('C03_ClassVariables'!$X215,T03_Skills!$B$2:$B$19,0),MATCH('C03_ClassVariables'!$V$219,T03_Skills!$D$1:$R$1,0)),0)</f>
        <v>0</v>
      </c>
      <c r="AE215" s="136">
        <f>IFERROR(INDEX(T03_Skills!$D$2:$R$19,MATCH('C03_ClassVariables'!$X215,T03_Skills!$B$2:$B$19,0),MATCH('C03_ClassVariables'!$V$220,T03_Skills!$D$1:$R$1,0)),0)</f>
        <v>0</v>
      </c>
      <c r="AF215" s="136">
        <f>IFERROR(INDEX(T03_Skills!$D$2:$R$19,MATCH('C03_ClassVariables'!$X215,T03_Skills!$B$2:$B$19,0),MATCH('C03_ClassVariables'!$V$221,T03_Skills!$D$1:$R$1,0)),0)</f>
        <v>0</v>
      </c>
      <c r="AG215" s="136">
        <f>IFERROR(INDEX(T03_Skills!$D$2:$R$19,MATCH('C03_ClassVariables'!$X215,T03_Skills!$B$2:$B$19,0),MATCH('C03_ClassVariables'!$V$222,T03_Skills!$D$1:$R$1,0)),0)</f>
        <v>0</v>
      </c>
      <c r="AH215" s="136">
        <f>IFERROR(INDEX(T03_Skills!$D$2:$R$19,MATCH('C03_ClassVariables'!$X215,T03_Skills!$B$2:$B$19,0),MATCH('C03_ClassVariables'!$V$223,T03_Skills!$D$1:$R$1,0)),0)</f>
        <v>0</v>
      </c>
      <c r="AI215" s="136">
        <f>IFERROR(INDEX(T03_Skills!$D$2:$R$19,MATCH('C03_ClassVariables'!$X215,T03_Skills!$B$2:$B$19,0),MATCH('C03_ClassVariables'!$V$224,T03_Skills!$D$1:$R$1,0)),0)</f>
        <v>0</v>
      </c>
      <c r="AJ215" s="136"/>
      <c r="AK215" s="504">
        <f t="shared" ref="AK215:AK231" si="144">Q194+AA194++V194+AF194+AK194+AP194+AV194+BB194+BH194+BN194+BT194+BZ194+CF194++CL194+CR194+CX194+DD194+DJ194+I194+J194+K194</f>
        <v>0</v>
      </c>
      <c r="AL215" s="136"/>
      <c r="AM215" s="136"/>
      <c r="AN215" s="136"/>
      <c r="AO215" s="136"/>
      <c r="AP215" s="136"/>
      <c r="AQ215" s="136"/>
      <c r="AR215" s="136"/>
      <c r="AS215" s="136"/>
      <c r="AT215" s="136"/>
      <c r="AU215" s="136"/>
      <c r="AV215" s="136"/>
      <c r="AW215" s="136"/>
      <c r="AX215" s="136"/>
      <c r="AY215" s="136"/>
      <c r="AZ215" s="136"/>
      <c r="BA215" s="136"/>
      <c r="BB215" s="136"/>
      <c r="BC215" s="136"/>
      <c r="BD215" s="136"/>
      <c r="BE215" s="136"/>
      <c r="BF215" s="136"/>
      <c r="BG215" s="136"/>
      <c r="BH215" s="136"/>
      <c r="BI215" s="136"/>
      <c r="BJ215" s="136"/>
      <c r="BK215" s="136"/>
      <c r="BL215" s="136"/>
      <c r="BM215" s="136"/>
      <c r="BN215" s="136"/>
      <c r="BO215" s="136"/>
      <c r="BP215" s="136"/>
      <c r="BQ215" s="136"/>
      <c r="BR215" s="136"/>
      <c r="BS215" s="136"/>
      <c r="BT215" s="136"/>
      <c r="BU215" s="136"/>
      <c r="BV215" s="136"/>
      <c r="BW215" s="136"/>
      <c r="BX215" s="136"/>
      <c r="BY215" s="136"/>
      <c r="BZ215" s="136"/>
      <c r="CA215" s="136"/>
      <c r="CB215" s="136"/>
      <c r="CC215" s="136"/>
      <c r="CD215" s="136"/>
      <c r="CE215" s="136"/>
      <c r="CF215" s="136"/>
      <c r="CG215" s="136"/>
      <c r="CH215" s="136"/>
      <c r="CI215" s="136"/>
      <c r="CJ215" s="136"/>
      <c r="CK215" s="136"/>
      <c r="CL215" s="136"/>
      <c r="CM215" s="136"/>
      <c r="CN215" s="136"/>
      <c r="CO215" s="136"/>
      <c r="CP215" s="136"/>
      <c r="CQ215" s="136"/>
      <c r="CR215" s="136"/>
      <c r="CS215" s="136"/>
      <c r="CT215" s="136"/>
      <c r="CU215" s="136"/>
      <c r="CV215" s="136"/>
      <c r="CW215" s="136"/>
      <c r="CX215" s="136"/>
      <c r="CY215" s="136"/>
      <c r="CZ215" s="136"/>
      <c r="DA215" s="136"/>
      <c r="DB215" s="136"/>
      <c r="DC215" s="136"/>
      <c r="DD215" s="136"/>
      <c r="DE215" s="136"/>
      <c r="DF215" s="136"/>
      <c r="DG215" s="136"/>
      <c r="DH215" s="136"/>
      <c r="DI215" s="136"/>
      <c r="DJ215" s="136"/>
      <c r="DK215" s="151"/>
      <c r="DZ215" s="138"/>
    </row>
    <row r="216" spans="1:130" ht="16.5" x14ac:dyDescent="0.3">
      <c r="A216" s="132">
        <f>IFERROR(IF(A215+1&lt;MAX(T041_ClassFeatures!$A$2:$A$2033),A215+1,""),"")</f>
        <v>213</v>
      </c>
      <c r="B216" s="131" t="str">
        <f>IFERROR(INDEX(T041_ClassFeatures!$B$2:$B$2033,MATCH('C03_ClassVariables'!A216,T041_ClassFeatures!$A$2:$A$2033,0),1),"")</f>
        <v>War Domain: Bonus Proficiencies</v>
      </c>
      <c r="C216" s="131">
        <f>IF(B216="",0,IF(IFERROR(MATCH(B216,'C01_BaseCalculation'!$W$160:$W$239,0),0)&gt;0,1,0))</f>
        <v>0</v>
      </c>
      <c r="G216" s="150"/>
      <c r="H216" s="350"/>
      <c r="I216" s="222">
        <v>3</v>
      </c>
      <c r="J216" s="350" t="s">
        <v>4695</v>
      </c>
      <c r="K216" s="351">
        <f>IFERROR(INDEX('C01_BaseCalculation'!$R$160:$R$239,MATCH("Divine Domain",'C01_BaseCalculation'!$W$160:$W$239,0),1)*DomainKnowledgeSkills,0)</f>
        <v>0</v>
      </c>
      <c r="L216" s="4"/>
      <c r="M216" s="4">
        <v>3</v>
      </c>
      <c r="N216" s="238">
        <f t="shared" si="139"/>
        <v>0</v>
      </c>
      <c r="O216" s="222" t="str">
        <f t="shared" si="141"/>
        <v>DomainNature</v>
      </c>
      <c r="P216" s="238">
        <f t="shared" si="142"/>
        <v>0</v>
      </c>
      <c r="Q216" s="4">
        <f>IF(P216=0,0,COUNTIF(Q$214:$Q215,"&gt;0")+1)</f>
        <v>0</v>
      </c>
      <c r="R216" s="4"/>
      <c r="S216" s="4"/>
      <c r="T216" s="4" t="str">
        <f t="shared" ref="T216:T224" si="145">IFERROR(IF(T215&lt;MAX($Q$214:$Q$225),T215+1,""),"")</f>
        <v/>
      </c>
      <c r="U216" s="238" t="str">
        <f t="shared" si="140"/>
        <v/>
      </c>
      <c r="V216" s="136" t="str">
        <f t="shared" si="143"/>
        <v/>
      </c>
      <c r="W216" s="136"/>
      <c r="X216" s="372" t="s">
        <v>83</v>
      </c>
      <c r="Y216" s="136">
        <f>IFERROR(INDEX(T03_Skills!$D$2:$R$19,MATCH('C03_ClassVariables'!$X216,T03_Skills!$B$2:$B$19,0),MATCH('C03_ClassVariables'!$V$214,T03_Skills!$D$1:$R$1,0)),0)</f>
        <v>0</v>
      </c>
      <c r="Z216" s="136">
        <f>IFERROR(INDEX(T03_Skills!$D$2:$R$19,MATCH('C03_ClassVariables'!$X216,T03_Skills!$B$2:$B$19,0),MATCH('C03_ClassVariables'!$V$215,T03_Skills!$D$1:$R$1,0)),0)</f>
        <v>0</v>
      </c>
      <c r="AA216" s="136">
        <f>IFERROR(INDEX(T03_Skills!$D$2:$R$19,MATCH('C03_ClassVariables'!$X216,T03_Skills!$B$2:$B$19,0),MATCH('C03_ClassVariables'!$V$216,T03_Skills!$D$1:$R$1,0)),0)</f>
        <v>0</v>
      </c>
      <c r="AB216" s="136">
        <f>IFERROR(INDEX(T03_Skills!$D$2:$R$19,MATCH('C03_ClassVariables'!$X216,T03_Skills!$B$2:$B$19,0),MATCH('C03_ClassVariables'!$V$217,T03_Skills!$D$1:$R$1,0)),0)</f>
        <v>0</v>
      </c>
      <c r="AC216" s="136">
        <f>IFERROR(INDEX(T03_Skills!$D$2:$R$19,MATCH('C03_ClassVariables'!$X216,T03_Skills!$B$2:$B$19,0),MATCH('C03_ClassVariables'!$V$218,T03_Skills!$D$1:$R$1,0)),0)</f>
        <v>0</v>
      </c>
      <c r="AD216" s="136">
        <f>IFERROR(INDEX(T03_Skills!$D$2:$R$19,MATCH('C03_ClassVariables'!$X216,T03_Skills!$B$2:$B$19,0),MATCH('C03_ClassVariables'!$V$219,T03_Skills!$D$1:$R$1,0)),0)</f>
        <v>0</v>
      </c>
      <c r="AE216" s="136">
        <f>IFERROR(INDEX(T03_Skills!$D$2:$R$19,MATCH('C03_ClassVariables'!$X216,T03_Skills!$B$2:$B$19,0),MATCH('C03_ClassVariables'!$V$220,T03_Skills!$D$1:$R$1,0)),0)</f>
        <v>0</v>
      </c>
      <c r="AF216" s="136">
        <f>IFERROR(INDEX(T03_Skills!$D$2:$R$19,MATCH('C03_ClassVariables'!$X216,T03_Skills!$B$2:$B$19,0),MATCH('C03_ClassVariables'!$V$221,T03_Skills!$D$1:$R$1,0)),0)</f>
        <v>0</v>
      </c>
      <c r="AG216" s="136">
        <f>IFERROR(INDEX(T03_Skills!$D$2:$R$19,MATCH('C03_ClassVariables'!$X216,T03_Skills!$B$2:$B$19,0),MATCH('C03_ClassVariables'!$V$222,T03_Skills!$D$1:$R$1,0)),0)</f>
        <v>0</v>
      </c>
      <c r="AH216" s="136">
        <f>IFERROR(INDEX(T03_Skills!$D$2:$R$19,MATCH('C03_ClassVariables'!$X216,T03_Skills!$B$2:$B$19,0),MATCH('C03_ClassVariables'!$V$223,T03_Skills!$D$1:$R$1,0)),0)</f>
        <v>0</v>
      </c>
      <c r="AI216" s="136">
        <f>IFERROR(INDEX(T03_Skills!$D$2:$R$19,MATCH('C03_ClassVariables'!$X216,T03_Skills!$B$2:$B$19,0),MATCH('C03_ClassVariables'!$V$224,T03_Skills!$D$1:$R$1,0)),0)</f>
        <v>0</v>
      </c>
      <c r="AJ216" s="136"/>
      <c r="AK216" s="504">
        <f t="shared" si="144"/>
        <v>1</v>
      </c>
      <c r="AL216" s="136"/>
      <c r="AM216" s="136"/>
      <c r="AN216" s="136"/>
      <c r="AO216" s="136"/>
      <c r="AP216" s="136"/>
      <c r="AQ216" s="136"/>
      <c r="AR216" s="136"/>
      <c r="AS216" s="136"/>
      <c r="AT216" s="136"/>
      <c r="AU216" s="136"/>
      <c r="AV216" s="136"/>
      <c r="AW216" s="136"/>
      <c r="AX216" s="136"/>
      <c r="AY216" s="136"/>
      <c r="AZ216" s="136"/>
      <c r="BA216" s="136"/>
      <c r="BB216" s="136"/>
      <c r="BC216" s="136"/>
      <c r="BD216" s="136"/>
      <c r="BE216" s="136"/>
      <c r="BF216" s="136"/>
      <c r="BG216" s="136"/>
      <c r="BH216" s="136"/>
      <c r="BI216" s="136"/>
      <c r="BJ216" s="136"/>
      <c r="BK216" s="136"/>
      <c r="BL216" s="136"/>
      <c r="BM216" s="136"/>
      <c r="BN216" s="136"/>
      <c r="BO216" s="136"/>
      <c r="BP216" s="136"/>
      <c r="BQ216" s="136"/>
      <c r="BR216" s="136"/>
      <c r="BS216" s="136"/>
      <c r="BT216" s="136"/>
      <c r="BU216" s="136"/>
      <c r="BV216" s="136"/>
      <c r="BW216" s="136"/>
      <c r="BX216" s="136"/>
      <c r="BY216" s="136"/>
      <c r="BZ216" s="136"/>
      <c r="CA216" s="136"/>
      <c r="CB216" s="136"/>
      <c r="CC216" s="136"/>
      <c r="CD216" s="136"/>
      <c r="CE216" s="136"/>
      <c r="CF216" s="136"/>
      <c r="CG216" s="136"/>
      <c r="CH216" s="136"/>
      <c r="CI216" s="136"/>
      <c r="CJ216" s="136"/>
      <c r="CK216" s="136"/>
      <c r="CL216" s="136"/>
      <c r="CM216" s="136"/>
      <c r="CN216" s="136"/>
      <c r="CO216" s="136"/>
      <c r="CP216" s="136"/>
      <c r="CQ216" s="136"/>
      <c r="CR216" s="136"/>
      <c r="CS216" s="136"/>
      <c r="CT216" s="136"/>
      <c r="CU216" s="136"/>
      <c r="CV216" s="136"/>
      <c r="CW216" s="136"/>
      <c r="CX216" s="136"/>
      <c r="CY216" s="136"/>
      <c r="CZ216" s="136"/>
      <c r="DA216" s="136"/>
      <c r="DB216" s="136"/>
      <c r="DC216" s="136"/>
      <c r="DD216" s="136"/>
      <c r="DE216" s="136"/>
      <c r="DF216" s="136"/>
      <c r="DG216" s="136"/>
      <c r="DH216" s="136"/>
      <c r="DI216" s="136"/>
      <c r="DJ216" s="136"/>
      <c r="DK216" s="151"/>
      <c r="DZ216" s="138"/>
    </row>
    <row r="217" spans="1:130" ht="16.5" x14ac:dyDescent="0.3">
      <c r="A217" s="132">
        <f>IFERROR(IF(A216+1&lt;MAX(T041_ClassFeatures!$A$2:$A$2033),A216+1,""),"")</f>
        <v>214</v>
      </c>
      <c r="B217" s="131" t="str">
        <f>IFERROR(INDEX(T041_ClassFeatures!$B$2:$B$2033,MATCH('C03_ClassVariables'!A217,T041_ClassFeatures!$A$2:$A$2033,0),1),"")</f>
        <v>Channel Divinity: Guided Strike</v>
      </c>
      <c r="C217" s="131">
        <f>IF(B217="",0,IF(IFERROR(MATCH(B217,'C01_BaseCalculation'!$W$160:$W$239,0),0)&gt;0,1,0))</f>
        <v>0</v>
      </c>
      <c r="G217" s="150"/>
      <c r="H217" s="350"/>
      <c r="I217" s="222">
        <v>4</v>
      </c>
      <c r="J217" s="4" t="s">
        <v>4691</v>
      </c>
      <c r="K217" s="351">
        <f>IF(IFERROR(INDEX('C01_BaseCalculation'!$R$160:$R$239,MATCH("Bard",'C01_BaseCalculation'!$Z$160:$Z$239,0),1),0)=1,0,IFERROR(INDEX('C01_BaseCalculation'!$R$160:$R$239,MATCH("Bard",'C01_BaseCalculation'!$Z$160:$Z$239,0),1),0))</f>
        <v>0</v>
      </c>
      <c r="L217" s="4"/>
      <c r="M217" s="4">
        <v>4</v>
      </c>
      <c r="N217" s="238">
        <f t="shared" si="139"/>
        <v>0</v>
      </c>
      <c r="O217" s="222" t="str">
        <f t="shared" si="141"/>
        <v>DomainNature</v>
      </c>
      <c r="P217" s="238">
        <f t="shared" si="142"/>
        <v>0</v>
      </c>
      <c r="Q217" s="4">
        <f>IF(P217=0,0,COUNTIF(Q$214:$Q216,"&gt;0")+1)</f>
        <v>0</v>
      </c>
      <c r="R217" s="4"/>
      <c r="S217" s="4"/>
      <c r="T217" s="4" t="str">
        <f t="shared" si="145"/>
        <v/>
      </c>
      <c r="U217" s="238" t="str">
        <f t="shared" si="140"/>
        <v/>
      </c>
      <c r="V217" s="136" t="str">
        <f t="shared" si="143"/>
        <v/>
      </c>
      <c r="W217" s="136"/>
      <c r="X217" s="372" t="s">
        <v>86</v>
      </c>
      <c r="Y217" s="136">
        <f>IFERROR(INDEX(T03_Skills!$D$2:$R$19,MATCH('C03_ClassVariables'!$X217,T03_Skills!$B$2:$B$19,0),MATCH('C03_ClassVariables'!$V$214,T03_Skills!$D$1:$R$1,0)),0)</f>
        <v>0</v>
      </c>
      <c r="Z217" s="136">
        <f>IFERROR(INDEX(T03_Skills!$D$2:$R$19,MATCH('C03_ClassVariables'!$X217,T03_Skills!$B$2:$B$19,0),MATCH('C03_ClassVariables'!$V$215,T03_Skills!$D$1:$R$1,0)),0)</f>
        <v>0</v>
      </c>
      <c r="AA217" s="136">
        <f>IFERROR(INDEX(T03_Skills!$D$2:$R$19,MATCH('C03_ClassVariables'!$X217,T03_Skills!$B$2:$B$19,0),MATCH('C03_ClassVariables'!$V$216,T03_Skills!$D$1:$R$1,0)),0)</f>
        <v>0</v>
      </c>
      <c r="AB217" s="136">
        <f>IFERROR(INDEX(T03_Skills!$D$2:$R$19,MATCH('C03_ClassVariables'!$X217,T03_Skills!$B$2:$B$19,0),MATCH('C03_ClassVariables'!$V$217,T03_Skills!$D$1:$R$1,0)),0)</f>
        <v>0</v>
      </c>
      <c r="AC217" s="136">
        <f>IFERROR(INDEX(T03_Skills!$D$2:$R$19,MATCH('C03_ClassVariables'!$X217,T03_Skills!$B$2:$B$19,0),MATCH('C03_ClassVariables'!$V$218,T03_Skills!$D$1:$R$1,0)),0)</f>
        <v>0</v>
      </c>
      <c r="AD217" s="136">
        <f>IFERROR(INDEX(T03_Skills!$D$2:$R$19,MATCH('C03_ClassVariables'!$X217,T03_Skills!$B$2:$B$19,0),MATCH('C03_ClassVariables'!$V$219,T03_Skills!$D$1:$R$1,0)),0)</f>
        <v>0</v>
      </c>
      <c r="AE217" s="136">
        <f>IFERROR(INDEX(T03_Skills!$D$2:$R$19,MATCH('C03_ClassVariables'!$X217,T03_Skills!$B$2:$B$19,0),MATCH('C03_ClassVariables'!$V$220,T03_Skills!$D$1:$R$1,0)),0)</f>
        <v>0</v>
      </c>
      <c r="AF217" s="136">
        <f>IFERROR(INDEX(T03_Skills!$D$2:$R$19,MATCH('C03_ClassVariables'!$X217,T03_Skills!$B$2:$B$19,0),MATCH('C03_ClassVariables'!$V$221,T03_Skills!$D$1:$R$1,0)),0)</f>
        <v>0</v>
      </c>
      <c r="AG217" s="136">
        <f>IFERROR(INDEX(T03_Skills!$D$2:$R$19,MATCH('C03_ClassVariables'!$X217,T03_Skills!$B$2:$B$19,0),MATCH('C03_ClassVariables'!$V$222,T03_Skills!$D$1:$R$1,0)),0)</f>
        <v>0</v>
      </c>
      <c r="AH217" s="136">
        <f>IFERROR(INDEX(T03_Skills!$D$2:$R$19,MATCH('C03_ClassVariables'!$X217,T03_Skills!$B$2:$B$19,0),MATCH('C03_ClassVariables'!$V$223,T03_Skills!$D$1:$R$1,0)),0)</f>
        <v>0</v>
      </c>
      <c r="AI217" s="136">
        <f>IFERROR(INDEX(T03_Skills!$D$2:$R$19,MATCH('C03_ClassVariables'!$X217,T03_Skills!$B$2:$B$19,0),MATCH('C03_ClassVariables'!$V$224,T03_Skills!$D$1:$R$1,0)),0)</f>
        <v>0</v>
      </c>
      <c r="AJ217" s="136"/>
      <c r="AK217" s="504">
        <f t="shared" si="144"/>
        <v>1</v>
      </c>
      <c r="AL217" s="136"/>
      <c r="AM217" s="136"/>
      <c r="AN217" s="136"/>
      <c r="AO217" s="136"/>
      <c r="AP217" s="136"/>
      <c r="AQ217" s="136"/>
      <c r="AR217" s="136"/>
      <c r="AS217" s="136"/>
      <c r="AT217" s="136"/>
      <c r="AU217" s="136"/>
      <c r="AV217" s="136"/>
      <c r="AW217" s="136"/>
      <c r="AX217" s="136"/>
      <c r="AY217" s="136"/>
      <c r="AZ217" s="136"/>
      <c r="BA217" s="136"/>
      <c r="BB217" s="136"/>
      <c r="BC217" s="136"/>
      <c r="BD217" s="136"/>
      <c r="BE217" s="136"/>
      <c r="BF217" s="136"/>
      <c r="BG217" s="136"/>
      <c r="BH217" s="136"/>
      <c r="BI217" s="136"/>
      <c r="BJ217" s="136"/>
      <c r="BK217" s="136"/>
      <c r="BL217" s="136"/>
      <c r="BM217" s="136"/>
      <c r="BN217" s="136"/>
      <c r="BO217" s="136"/>
      <c r="BP217" s="136"/>
      <c r="BQ217" s="136"/>
      <c r="BR217" s="136"/>
      <c r="BS217" s="136"/>
      <c r="BT217" s="136"/>
      <c r="BU217" s="136"/>
      <c r="BV217" s="136"/>
      <c r="BW217" s="136"/>
      <c r="BX217" s="136"/>
      <c r="BY217" s="136"/>
      <c r="BZ217" s="136"/>
      <c r="CA217" s="136"/>
      <c r="CB217" s="136"/>
      <c r="CC217" s="136"/>
      <c r="CD217" s="136"/>
      <c r="CE217" s="136"/>
      <c r="CF217" s="136"/>
      <c r="CG217" s="136"/>
      <c r="CH217" s="136"/>
      <c r="CI217" s="136"/>
      <c r="CJ217" s="136"/>
      <c r="CK217" s="136"/>
      <c r="CL217" s="136"/>
      <c r="CM217" s="136"/>
      <c r="CN217" s="136"/>
      <c r="CO217" s="136"/>
      <c r="CP217" s="136"/>
      <c r="CQ217" s="136"/>
      <c r="CR217" s="136"/>
      <c r="CS217" s="136"/>
      <c r="CT217" s="136"/>
      <c r="CU217" s="136"/>
      <c r="CV217" s="136"/>
      <c r="CW217" s="136"/>
      <c r="CX217" s="136"/>
      <c r="CY217" s="136"/>
      <c r="CZ217" s="136"/>
      <c r="DA217" s="136"/>
      <c r="DB217" s="136"/>
      <c r="DC217" s="136"/>
      <c r="DD217" s="136"/>
      <c r="DE217" s="136"/>
      <c r="DF217" s="136"/>
      <c r="DG217" s="136"/>
      <c r="DH217" s="136"/>
      <c r="DI217" s="136"/>
      <c r="DJ217" s="136"/>
      <c r="DK217" s="151"/>
      <c r="DZ217" s="138"/>
    </row>
    <row r="218" spans="1:130" ht="16.5" x14ac:dyDescent="0.3">
      <c r="A218" s="132">
        <f>IFERROR(IF(A217+1&lt;MAX(T041_ClassFeatures!$A$2:$A$2033),A217+1,""),"")</f>
        <v>215</v>
      </c>
      <c r="B218" s="131" t="str">
        <f>IFERROR(INDEX(T041_ClassFeatures!$B$2:$B$2033,MATCH('C03_ClassVariables'!A218,T041_ClassFeatures!$A$2:$A$2033,0),1),"")</f>
        <v>Channel Divinity: War God's Blessing</v>
      </c>
      <c r="C218" s="131">
        <f>IF(B218="",0,IF(IFERROR(MATCH(B218,'C01_BaseCalculation'!$W$160:$W$239,0),0)&gt;0,1,0))</f>
        <v>0</v>
      </c>
      <c r="G218" s="150"/>
      <c r="H218" s="350"/>
      <c r="I218" s="222">
        <v>5</v>
      </c>
      <c r="J218" s="350" t="s">
        <v>4692</v>
      </c>
      <c r="K218" s="351">
        <f>IF(IFERROR(INDEX('C01_BaseCalculation'!$R$160:$R$239,MATCH("Rogue",'C01_BaseCalculation'!$Z$160:$Z$239,0),1),0)=1,0,IFERROR(INDEX('C01_BaseCalculation'!$R$160:$R$239,MATCH("Rogue",'C01_BaseCalculation'!$Z$160:$Z$239,0),1),0))</f>
        <v>0</v>
      </c>
      <c r="L218" s="4"/>
      <c r="M218" s="4">
        <v>5</v>
      </c>
      <c r="N218" s="238">
        <f t="shared" si="139"/>
        <v>0</v>
      </c>
      <c r="O218" s="222" t="str">
        <f t="shared" si="141"/>
        <v>DomainNature</v>
      </c>
      <c r="P218" s="238">
        <f t="shared" si="142"/>
        <v>0</v>
      </c>
      <c r="Q218" s="4">
        <f>IF(P218=0,0,COUNTIF(Q$214:$Q217,"&gt;0")+1)</f>
        <v>0</v>
      </c>
      <c r="R218" s="4"/>
      <c r="S218" s="4"/>
      <c r="T218" s="4" t="str">
        <f t="shared" si="145"/>
        <v/>
      </c>
      <c r="U218" s="238" t="str">
        <f t="shared" si="140"/>
        <v/>
      </c>
      <c r="V218" s="136" t="str">
        <f t="shared" si="143"/>
        <v/>
      </c>
      <c r="W218" s="136"/>
      <c r="X218" s="372" t="s">
        <v>74</v>
      </c>
      <c r="Y218" s="136">
        <f>IFERROR(INDEX(T03_Skills!$D$2:$R$19,MATCH('C03_ClassVariables'!$X218,T03_Skills!$B$2:$B$19,0),MATCH('C03_ClassVariables'!$V$214,T03_Skills!$D$1:$R$1,0)),0)</f>
        <v>0</v>
      </c>
      <c r="Z218" s="136">
        <f>IFERROR(INDEX(T03_Skills!$D$2:$R$19,MATCH('C03_ClassVariables'!$X218,T03_Skills!$B$2:$B$19,0),MATCH('C03_ClassVariables'!$V$215,T03_Skills!$D$1:$R$1,0)),0)</f>
        <v>0</v>
      </c>
      <c r="AA218" s="136">
        <f>IFERROR(INDEX(T03_Skills!$D$2:$R$19,MATCH('C03_ClassVariables'!$X218,T03_Skills!$B$2:$B$19,0),MATCH('C03_ClassVariables'!$V$216,T03_Skills!$D$1:$R$1,0)),0)</f>
        <v>0</v>
      </c>
      <c r="AB218" s="136">
        <f>IFERROR(INDEX(T03_Skills!$D$2:$R$19,MATCH('C03_ClassVariables'!$X218,T03_Skills!$B$2:$B$19,0),MATCH('C03_ClassVariables'!$V$217,T03_Skills!$D$1:$R$1,0)),0)</f>
        <v>0</v>
      </c>
      <c r="AC218" s="136">
        <f>IFERROR(INDEX(T03_Skills!$D$2:$R$19,MATCH('C03_ClassVariables'!$X218,T03_Skills!$B$2:$B$19,0),MATCH('C03_ClassVariables'!$V$218,T03_Skills!$D$1:$R$1,0)),0)</f>
        <v>0</v>
      </c>
      <c r="AD218" s="136">
        <f>IFERROR(INDEX(T03_Skills!$D$2:$R$19,MATCH('C03_ClassVariables'!$X218,T03_Skills!$B$2:$B$19,0),MATCH('C03_ClassVariables'!$V$219,T03_Skills!$D$1:$R$1,0)),0)</f>
        <v>0</v>
      </c>
      <c r="AE218" s="136">
        <f>IFERROR(INDEX(T03_Skills!$D$2:$R$19,MATCH('C03_ClassVariables'!$X218,T03_Skills!$B$2:$B$19,0),MATCH('C03_ClassVariables'!$V$220,T03_Skills!$D$1:$R$1,0)),0)</f>
        <v>0</v>
      </c>
      <c r="AF218" s="136">
        <f>IFERROR(INDEX(T03_Skills!$D$2:$R$19,MATCH('C03_ClassVariables'!$X218,T03_Skills!$B$2:$B$19,0),MATCH('C03_ClassVariables'!$V$221,T03_Skills!$D$1:$R$1,0)),0)</f>
        <v>0</v>
      </c>
      <c r="AG218" s="136">
        <f>IFERROR(INDEX(T03_Skills!$D$2:$R$19,MATCH('C03_ClassVariables'!$X218,T03_Skills!$B$2:$B$19,0),MATCH('C03_ClassVariables'!$V$222,T03_Skills!$D$1:$R$1,0)),0)</f>
        <v>0</v>
      </c>
      <c r="AH218" s="136">
        <f>IFERROR(INDEX(T03_Skills!$D$2:$R$19,MATCH('C03_ClassVariables'!$X218,T03_Skills!$B$2:$B$19,0),MATCH('C03_ClassVariables'!$V$223,T03_Skills!$D$1:$R$1,0)),0)</f>
        <v>0</v>
      </c>
      <c r="AI218" s="136">
        <f>IFERROR(INDEX(T03_Skills!$D$2:$R$19,MATCH('C03_ClassVariables'!$X218,T03_Skills!$B$2:$B$19,0),MATCH('C03_ClassVariables'!$V$224,T03_Skills!$D$1:$R$1,0)),0)</f>
        <v>0</v>
      </c>
      <c r="AJ218" s="136"/>
      <c r="AK218" s="504">
        <f t="shared" si="144"/>
        <v>0</v>
      </c>
      <c r="AL218" s="136"/>
      <c r="AM218" s="136"/>
      <c r="AN218" s="136"/>
      <c r="AO218" s="136"/>
      <c r="AP218" s="136"/>
      <c r="AQ218" s="136"/>
      <c r="AR218" s="136"/>
      <c r="AS218" s="136"/>
      <c r="AT218" s="136"/>
      <c r="AU218" s="136"/>
      <c r="AV218" s="136"/>
      <c r="AW218" s="136"/>
      <c r="AX218" s="136"/>
      <c r="AY218" s="136"/>
      <c r="AZ218" s="136"/>
      <c r="BA218" s="136"/>
      <c r="BB218" s="136"/>
      <c r="BC218" s="136"/>
      <c r="BD218" s="136"/>
      <c r="BE218" s="136"/>
      <c r="BF218" s="136"/>
      <c r="BG218" s="136"/>
      <c r="BH218" s="136"/>
      <c r="BI218" s="136"/>
      <c r="BJ218" s="136"/>
      <c r="BK218" s="136"/>
      <c r="BL218" s="136"/>
      <c r="BM218" s="136"/>
      <c r="BN218" s="136"/>
      <c r="BO218" s="136"/>
      <c r="BP218" s="136"/>
      <c r="BQ218" s="136"/>
      <c r="BR218" s="136"/>
      <c r="BS218" s="136"/>
      <c r="BT218" s="136"/>
      <c r="BU218" s="136"/>
      <c r="BV218" s="136"/>
      <c r="BW218" s="136"/>
      <c r="BX218" s="136"/>
      <c r="BY218" s="136"/>
      <c r="BZ218" s="136"/>
      <c r="CA218" s="136"/>
      <c r="CB218" s="136"/>
      <c r="CC218" s="136"/>
      <c r="CD218" s="136"/>
      <c r="CE218" s="136"/>
      <c r="CF218" s="136"/>
      <c r="CG218" s="136"/>
      <c r="CH218" s="136"/>
      <c r="CI218" s="136"/>
      <c r="CJ218" s="136"/>
      <c r="CK218" s="136"/>
      <c r="CL218" s="136"/>
      <c r="CM218" s="136"/>
      <c r="CN218" s="136"/>
      <c r="CO218" s="136"/>
      <c r="CP218" s="136"/>
      <c r="CQ218" s="136"/>
      <c r="CR218" s="136"/>
      <c r="CS218" s="136"/>
      <c r="CT218" s="136"/>
      <c r="CU218" s="136"/>
      <c r="CV218" s="136"/>
      <c r="CW218" s="136"/>
      <c r="CX218" s="136"/>
      <c r="CY218" s="136"/>
      <c r="CZ218" s="136"/>
      <c r="DA218" s="136"/>
      <c r="DB218" s="136"/>
      <c r="DC218" s="136"/>
      <c r="DD218" s="136"/>
      <c r="DE218" s="136"/>
      <c r="DF218" s="136"/>
      <c r="DG218" s="136"/>
      <c r="DH218" s="136"/>
      <c r="DI218" s="136"/>
      <c r="DJ218" s="136"/>
      <c r="DK218" s="151"/>
      <c r="DZ218" s="138"/>
    </row>
    <row r="219" spans="1:130" ht="16.5" x14ac:dyDescent="0.3">
      <c r="A219" s="132">
        <f>IFERROR(IF(A218+1&lt;MAX(T041_ClassFeatures!$A$2:$A$2033),A218+1,""),"")</f>
        <v>216</v>
      </c>
      <c r="B219" s="131" t="str">
        <f>IFERROR(INDEX(T041_ClassFeatures!$B$2:$B$2033,MATCH('C03_ClassVariables'!A219,T041_ClassFeatures!$A$2:$A$2033,0),1),"")</f>
        <v>Divine Strike (weapon)</v>
      </c>
      <c r="C219" s="131">
        <f>IF(B219="",0,IF(IFERROR(MATCH(B219,'C01_BaseCalculation'!$W$160:$W$239,0),0)&gt;0,1,0))</f>
        <v>0</v>
      </c>
      <c r="G219" s="150"/>
      <c r="H219" s="350"/>
      <c r="I219" s="222">
        <v>6</v>
      </c>
      <c r="J219" s="350" t="s">
        <v>4693</v>
      </c>
      <c r="K219" s="351">
        <f>IF(IFERROR(INDEX('C01_BaseCalculation'!$R$160:$R$239,MATCH("Ranger",'C01_BaseCalculation'!$Z$160:$Z$239,0),1),0)=1,0,IFERROR(INDEX('C01_BaseCalculation'!$R$160:$R$239,MATCH("Ranger",'C01_BaseCalculation'!$Z$160:$Z$239,0),1),0))</f>
        <v>0</v>
      </c>
      <c r="L219" s="4"/>
      <c r="M219" s="4">
        <v>6</v>
      </c>
      <c r="N219" s="238">
        <f t="shared" si="139"/>
        <v>0</v>
      </c>
      <c r="O219" s="222" t="str">
        <f t="shared" si="141"/>
        <v>DomainNature</v>
      </c>
      <c r="P219" s="238">
        <f t="shared" si="142"/>
        <v>0</v>
      </c>
      <c r="Q219" s="4">
        <f>IF(P219=0,0,COUNTIF(Q$214:$Q218,"&gt;0")+1)</f>
        <v>0</v>
      </c>
      <c r="R219" s="4"/>
      <c r="S219" s="4"/>
      <c r="T219" s="4" t="str">
        <f t="shared" si="145"/>
        <v/>
      </c>
      <c r="U219" s="238" t="str">
        <f t="shared" si="140"/>
        <v/>
      </c>
      <c r="V219" s="136" t="str">
        <f t="shared" si="143"/>
        <v/>
      </c>
      <c r="W219" s="136"/>
      <c r="X219" s="372" t="s">
        <v>84</v>
      </c>
      <c r="Y219" s="136">
        <f>IFERROR(INDEX(T03_Skills!$D$2:$R$19,MATCH('C03_ClassVariables'!$X219,T03_Skills!$B$2:$B$19,0),MATCH('C03_ClassVariables'!$V$214,T03_Skills!$D$1:$R$1,0)),0)</f>
        <v>0</v>
      </c>
      <c r="Z219" s="136">
        <f>IFERROR(INDEX(T03_Skills!$D$2:$R$19,MATCH('C03_ClassVariables'!$X219,T03_Skills!$B$2:$B$19,0),MATCH('C03_ClassVariables'!$V$215,T03_Skills!$D$1:$R$1,0)),0)</f>
        <v>0</v>
      </c>
      <c r="AA219" s="136">
        <f>IFERROR(INDEX(T03_Skills!$D$2:$R$19,MATCH('C03_ClassVariables'!$X219,T03_Skills!$B$2:$B$19,0),MATCH('C03_ClassVariables'!$V$216,T03_Skills!$D$1:$R$1,0)),0)</f>
        <v>0</v>
      </c>
      <c r="AB219" s="136">
        <f>IFERROR(INDEX(T03_Skills!$D$2:$R$19,MATCH('C03_ClassVariables'!$X219,T03_Skills!$B$2:$B$19,0),MATCH('C03_ClassVariables'!$V$217,T03_Skills!$D$1:$R$1,0)),0)</f>
        <v>0</v>
      </c>
      <c r="AC219" s="136">
        <f>IFERROR(INDEX(T03_Skills!$D$2:$R$19,MATCH('C03_ClassVariables'!$X219,T03_Skills!$B$2:$B$19,0),MATCH('C03_ClassVariables'!$V$218,T03_Skills!$D$1:$R$1,0)),0)</f>
        <v>0</v>
      </c>
      <c r="AD219" s="136">
        <f>IFERROR(INDEX(T03_Skills!$D$2:$R$19,MATCH('C03_ClassVariables'!$X219,T03_Skills!$B$2:$B$19,0),MATCH('C03_ClassVariables'!$V$219,T03_Skills!$D$1:$R$1,0)),0)</f>
        <v>0</v>
      </c>
      <c r="AE219" s="136">
        <f>IFERROR(INDEX(T03_Skills!$D$2:$R$19,MATCH('C03_ClassVariables'!$X219,T03_Skills!$B$2:$B$19,0),MATCH('C03_ClassVariables'!$V$220,T03_Skills!$D$1:$R$1,0)),0)</f>
        <v>0</v>
      </c>
      <c r="AF219" s="136">
        <f>IFERROR(INDEX(T03_Skills!$D$2:$R$19,MATCH('C03_ClassVariables'!$X219,T03_Skills!$B$2:$B$19,0),MATCH('C03_ClassVariables'!$V$221,T03_Skills!$D$1:$R$1,0)),0)</f>
        <v>0</v>
      </c>
      <c r="AG219" s="136">
        <f>IFERROR(INDEX(T03_Skills!$D$2:$R$19,MATCH('C03_ClassVariables'!$X219,T03_Skills!$B$2:$B$19,0),MATCH('C03_ClassVariables'!$V$222,T03_Skills!$D$1:$R$1,0)),0)</f>
        <v>0</v>
      </c>
      <c r="AH219" s="136">
        <f>IFERROR(INDEX(T03_Skills!$D$2:$R$19,MATCH('C03_ClassVariables'!$X219,T03_Skills!$B$2:$B$19,0),MATCH('C03_ClassVariables'!$V$223,T03_Skills!$D$1:$R$1,0)),0)</f>
        <v>0</v>
      </c>
      <c r="AI219" s="136">
        <f>IFERROR(INDEX(T03_Skills!$D$2:$R$19,MATCH('C03_ClassVariables'!$X219,T03_Skills!$B$2:$B$19,0),MATCH('C03_ClassVariables'!$V$224,T03_Skills!$D$1:$R$1,0)),0)</f>
        <v>0</v>
      </c>
      <c r="AJ219" s="136"/>
      <c r="AK219" s="504">
        <f t="shared" si="144"/>
        <v>1</v>
      </c>
      <c r="AL219" s="136"/>
      <c r="AM219" s="136"/>
      <c r="AN219" s="136"/>
      <c r="AO219" s="136"/>
      <c r="AP219" s="136"/>
      <c r="AQ219" s="136"/>
      <c r="AR219" s="136"/>
      <c r="AS219" s="136"/>
      <c r="AT219" s="136"/>
      <c r="AU219" s="136"/>
      <c r="AV219" s="136"/>
      <c r="AW219" s="136"/>
      <c r="AX219" s="136"/>
      <c r="AY219" s="136"/>
      <c r="AZ219" s="136"/>
      <c r="BA219" s="136"/>
      <c r="BB219" s="136"/>
      <c r="BC219" s="136"/>
      <c r="BD219" s="136"/>
      <c r="BE219" s="136"/>
      <c r="BF219" s="136"/>
      <c r="BG219" s="136"/>
      <c r="BH219" s="136"/>
      <c r="BI219" s="136"/>
      <c r="BJ219" s="136"/>
      <c r="BK219" s="136"/>
      <c r="BL219" s="136"/>
      <c r="BM219" s="136"/>
      <c r="BN219" s="136"/>
      <c r="BO219" s="136"/>
      <c r="BP219" s="136"/>
      <c r="BQ219" s="136"/>
      <c r="BR219" s="136"/>
      <c r="BS219" s="136"/>
      <c r="BT219" s="136"/>
      <c r="BU219" s="136"/>
      <c r="BV219" s="136"/>
      <c r="BW219" s="136"/>
      <c r="BX219" s="136"/>
      <c r="BY219" s="136"/>
      <c r="BZ219" s="136"/>
      <c r="CA219" s="136"/>
      <c r="CB219" s="136"/>
      <c r="CC219" s="136"/>
      <c r="CD219" s="136"/>
      <c r="CE219" s="136"/>
      <c r="CF219" s="136"/>
      <c r="CG219" s="136"/>
      <c r="CH219" s="136"/>
      <c r="CI219" s="136"/>
      <c r="CJ219" s="136"/>
      <c r="CK219" s="136"/>
      <c r="CL219" s="136"/>
      <c r="CM219" s="136"/>
      <c r="CN219" s="136"/>
      <c r="CO219" s="136"/>
      <c r="CP219" s="136"/>
      <c r="CQ219" s="136"/>
      <c r="CR219" s="136"/>
      <c r="CS219" s="136"/>
      <c r="CT219" s="136"/>
      <c r="CU219" s="136"/>
      <c r="CV219" s="136"/>
      <c r="CW219" s="136"/>
      <c r="CX219" s="136"/>
      <c r="CY219" s="136"/>
      <c r="CZ219" s="136"/>
      <c r="DA219" s="136"/>
      <c r="DB219" s="136"/>
      <c r="DC219" s="136"/>
      <c r="DD219" s="136"/>
      <c r="DE219" s="136"/>
      <c r="DF219" s="136"/>
      <c r="DG219" s="136"/>
      <c r="DH219" s="136"/>
      <c r="DI219" s="136"/>
      <c r="DJ219" s="136"/>
      <c r="DK219" s="151"/>
      <c r="DZ219" s="138"/>
    </row>
    <row r="220" spans="1:130" ht="16.5" x14ac:dyDescent="0.3">
      <c r="A220" s="132">
        <f>IFERROR(IF(A219+1&lt;MAX(T041_ClassFeatures!$A$2:$A$2033),A219+1,""),"")</f>
        <v>217</v>
      </c>
      <c r="B220" s="131" t="str">
        <f>IFERROR(INDEX(T041_ClassFeatures!$B$2:$B$2033,MATCH('C03_ClassVariables'!A220,T041_ClassFeatures!$A$2:$A$2033,0),1),"")</f>
        <v>Avatar of Battle</v>
      </c>
      <c r="C220" s="131">
        <f>IF(B220="",0,IF(IFERROR(MATCH(B220,'C01_BaseCalculation'!$W$160:$W$239,0),0)&gt;0,1,0))</f>
        <v>0</v>
      </c>
      <c r="G220" s="150"/>
      <c r="H220" s="350"/>
      <c r="I220" s="222">
        <v>7</v>
      </c>
      <c r="J220" s="350" t="s">
        <v>4696</v>
      </c>
      <c r="K220" s="351">
        <f>IFERROR(INDEX('C01_BaseCalculation'!$R$160:$R$239,MATCH("College of Lore: Bonus Proficiencies",'C01_BaseCalculation'!$W$160:$W$239,0),1),0)</f>
        <v>0</v>
      </c>
      <c r="L220" s="4"/>
      <c r="M220" s="4">
        <v>7</v>
      </c>
      <c r="N220" s="238">
        <f t="shared" si="139"/>
        <v>0</v>
      </c>
      <c r="O220" s="222" t="str">
        <f t="shared" si="141"/>
        <v>DomainNature</v>
      </c>
      <c r="P220" s="238">
        <f t="shared" si="142"/>
        <v>0</v>
      </c>
      <c r="Q220" s="4">
        <f>IF(P220=0,0,COUNTIF(Q$214:$Q219,"&gt;0")+1)</f>
        <v>0</v>
      </c>
      <c r="R220" s="4"/>
      <c r="S220" s="4"/>
      <c r="T220" s="4" t="str">
        <f t="shared" si="145"/>
        <v/>
      </c>
      <c r="U220" s="238" t="str">
        <f t="shared" si="140"/>
        <v/>
      </c>
      <c r="V220" s="136" t="str">
        <f t="shared" si="143"/>
        <v/>
      </c>
      <c r="W220" s="136"/>
      <c r="X220" s="372" t="s">
        <v>71</v>
      </c>
      <c r="Y220" s="136">
        <f>IFERROR(INDEX(T03_Skills!$D$2:$R$19,MATCH('C03_ClassVariables'!$X220,T03_Skills!$B$2:$B$19,0),MATCH('C03_ClassVariables'!$V$214,T03_Skills!$D$1:$R$1,0)),0)</f>
        <v>0</v>
      </c>
      <c r="Z220" s="136">
        <f>IFERROR(INDEX(T03_Skills!$D$2:$R$19,MATCH('C03_ClassVariables'!$X220,T03_Skills!$B$2:$B$19,0),MATCH('C03_ClassVariables'!$V$215,T03_Skills!$D$1:$R$1,0)),0)</f>
        <v>0</v>
      </c>
      <c r="AA220" s="136">
        <f>IFERROR(INDEX(T03_Skills!$D$2:$R$19,MATCH('C03_ClassVariables'!$X220,T03_Skills!$B$2:$B$19,0),MATCH('C03_ClassVariables'!$V$216,T03_Skills!$D$1:$R$1,0)),0)</f>
        <v>0</v>
      </c>
      <c r="AB220" s="136">
        <f>IFERROR(INDEX(T03_Skills!$D$2:$R$19,MATCH('C03_ClassVariables'!$X220,T03_Skills!$B$2:$B$19,0),MATCH('C03_ClassVariables'!$V$217,T03_Skills!$D$1:$R$1,0)),0)</f>
        <v>0</v>
      </c>
      <c r="AC220" s="136">
        <f>IFERROR(INDEX(T03_Skills!$D$2:$R$19,MATCH('C03_ClassVariables'!$X220,T03_Skills!$B$2:$B$19,0),MATCH('C03_ClassVariables'!$V$218,T03_Skills!$D$1:$R$1,0)),0)</f>
        <v>0</v>
      </c>
      <c r="AD220" s="136">
        <f>IFERROR(INDEX(T03_Skills!$D$2:$R$19,MATCH('C03_ClassVariables'!$X220,T03_Skills!$B$2:$B$19,0),MATCH('C03_ClassVariables'!$V$219,T03_Skills!$D$1:$R$1,0)),0)</f>
        <v>0</v>
      </c>
      <c r="AE220" s="136">
        <f>IFERROR(INDEX(T03_Skills!$D$2:$R$19,MATCH('C03_ClassVariables'!$X220,T03_Skills!$B$2:$B$19,0),MATCH('C03_ClassVariables'!$V$220,T03_Skills!$D$1:$R$1,0)),0)</f>
        <v>0</v>
      </c>
      <c r="AF220" s="136">
        <f>IFERROR(INDEX(T03_Skills!$D$2:$R$19,MATCH('C03_ClassVariables'!$X220,T03_Skills!$B$2:$B$19,0),MATCH('C03_ClassVariables'!$V$221,T03_Skills!$D$1:$R$1,0)),0)</f>
        <v>0</v>
      </c>
      <c r="AG220" s="136">
        <f>IFERROR(INDEX(T03_Skills!$D$2:$R$19,MATCH('C03_ClassVariables'!$X220,T03_Skills!$B$2:$B$19,0),MATCH('C03_ClassVariables'!$V$222,T03_Skills!$D$1:$R$1,0)),0)</f>
        <v>0</v>
      </c>
      <c r="AH220" s="136">
        <f>IFERROR(INDEX(T03_Skills!$D$2:$R$19,MATCH('C03_ClassVariables'!$X220,T03_Skills!$B$2:$B$19,0),MATCH('C03_ClassVariables'!$V$223,T03_Skills!$D$1:$R$1,0)),0)</f>
        <v>0</v>
      </c>
      <c r="AI220" s="136">
        <f>IFERROR(INDEX(T03_Skills!$D$2:$R$19,MATCH('C03_ClassVariables'!$X220,T03_Skills!$B$2:$B$19,0),MATCH('C03_ClassVariables'!$V$224,T03_Skills!$D$1:$R$1,0)),0)</f>
        <v>0</v>
      </c>
      <c r="AJ220" s="136"/>
      <c r="AK220" s="504">
        <f t="shared" si="144"/>
        <v>0</v>
      </c>
      <c r="AL220" s="136"/>
      <c r="AM220" s="136"/>
      <c r="AN220" s="136"/>
      <c r="AO220" s="136"/>
      <c r="AP220" s="136"/>
      <c r="AQ220" s="136"/>
      <c r="AR220" s="136"/>
      <c r="AS220" s="136"/>
      <c r="AT220" s="136"/>
      <c r="AU220" s="136"/>
      <c r="AV220" s="136"/>
      <c r="AW220" s="136"/>
      <c r="AX220" s="136"/>
      <c r="AY220" s="136"/>
      <c r="AZ220" s="136"/>
      <c r="BA220" s="136"/>
      <c r="BB220" s="136"/>
      <c r="BC220" s="136"/>
      <c r="BD220" s="136"/>
      <c r="BE220" s="136"/>
      <c r="BF220" s="136"/>
      <c r="BG220" s="136"/>
      <c r="BH220" s="136"/>
      <c r="BI220" s="136"/>
      <c r="BJ220" s="136"/>
      <c r="BK220" s="136"/>
      <c r="BL220" s="136"/>
      <c r="BM220" s="136"/>
      <c r="BN220" s="136"/>
      <c r="BO220" s="136"/>
      <c r="BP220" s="136"/>
      <c r="BQ220" s="136"/>
      <c r="BR220" s="136"/>
      <c r="BS220" s="136"/>
      <c r="BT220" s="136"/>
      <c r="BU220" s="136"/>
      <c r="BV220" s="136"/>
      <c r="BW220" s="136"/>
      <c r="BX220" s="136"/>
      <c r="BY220" s="136"/>
      <c r="BZ220" s="136"/>
      <c r="CA220" s="136"/>
      <c r="CB220" s="136"/>
      <c r="CC220" s="136"/>
      <c r="CD220" s="136"/>
      <c r="CE220" s="136"/>
      <c r="CF220" s="136"/>
      <c r="CG220" s="136"/>
      <c r="CH220" s="136"/>
      <c r="CI220" s="136"/>
      <c r="CJ220" s="136"/>
      <c r="CK220" s="136"/>
      <c r="CL220" s="136"/>
      <c r="CM220" s="136"/>
      <c r="CN220" s="136"/>
      <c r="CO220" s="136"/>
      <c r="CP220" s="136"/>
      <c r="CQ220" s="136"/>
      <c r="CR220" s="136"/>
      <c r="CS220" s="136"/>
      <c r="CT220" s="136"/>
      <c r="CU220" s="136"/>
      <c r="CV220" s="136"/>
      <c r="CW220" s="136"/>
      <c r="CX220" s="136"/>
      <c r="CY220" s="136"/>
      <c r="CZ220" s="136"/>
      <c r="DA220" s="136"/>
      <c r="DB220" s="136"/>
      <c r="DC220" s="136"/>
      <c r="DD220" s="136"/>
      <c r="DE220" s="136"/>
      <c r="DF220" s="136"/>
      <c r="DG220" s="136"/>
      <c r="DH220" s="136"/>
      <c r="DI220" s="136"/>
      <c r="DJ220" s="136"/>
      <c r="DK220" s="151"/>
      <c r="DZ220" s="138"/>
    </row>
    <row r="221" spans="1:130" ht="16.5" x14ac:dyDescent="0.3">
      <c r="A221" s="132">
        <f>IFERROR(IF(A220+1&lt;MAX(T041_ClassFeatures!$A$2:$A$2033),A220+1,""),"")</f>
        <v>218</v>
      </c>
      <c r="B221" s="131" t="str">
        <f>IFERROR(INDEX(T041_ClassFeatures!$B$2:$B$2033,MATCH('C03_ClassVariables'!A221,T041_ClassFeatures!$A$2:$A$2033,0),1),"")</f>
        <v>Circle of the Land: Bonus Cantrip</v>
      </c>
      <c r="C221" s="131">
        <f>IF(B221="",0,IF(IFERROR(MATCH(B221,'C01_BaseCalculation'!$W$160:$W$239,0),0)&gt;0,1,0))</f>
        <v>0</v>
      </c>
      <c r="G221" s="150"/>
      <c r="H221" s="350"/>
      <c r="I221" s="222">
        <v>8</v>
      </c>
      <c r="J221" s="350" t="s">
        <v>4697</v>
      </c>
      <c r="K221" s="351">
        <f>K220</f>
        <v>0</v>
      </c>
      <c r="L221" s="4"/>
      <c r="M221" s="4">
        <v>8</v>
      </c>
      <c r="N221" s="238">
        <f t="shared" si="139"/>
        <v>0</v>
      </c>
      <c r="O221" s="222" t="str">
        <f t="shared" si="141"/>
        <v>DomainNature</v>
      </c>
      <c r="P221" s="238">
        <f t="shared" si="142"/>
        <v>0</v>
      </c>
      <c r="Q221" s="4">
        <f>IF(P221=0,0,COUNTIF(Q$214:$Q220,"&gt;0")+1)</f>
        <v>0</v>
      </c>
      <c r="R221" s="4"/>
      <c r="S221" s="4"/>
      <c r="T221" s="4" t="str">
        <f t="shared" si="145"/>
        <v/>
      </c>
      <c r="U221" s="238" t="str">
        <f>IFERROR(INDEX($O$214:$O$225,MATCH(T221,$Q$214:$Q$225,0),1),"")</f>
        <v/>
      </c>
      <c r="V221" s="136" t="str">
        <f t="shared" si="143"/>
        <v/>
      </c>
      <c r="W221" s="136"/>
      <c r="X221" s="372" t="s">
        <v>87</v>
      </c>
      <c r="Y221" s="136">
        <f>IFERROR(INDEX(T03_Skills!$D$2:$R$19,MATCH('C03_ClassVariables'!$X221,T03_Skills!$B$2:$B$19,0),MATCH('C03_ClassVariables'!$V$214,T03_Skills!$D$1:$R$1,0)),0)</f>
        <v>0</v>
      </c>
      <c r="Z221" s="136">
        <f>IFERROR(INDEX(T03_Skills!$D$2:$R$19,MATCH('C03_ClassVariables'!$X221,T03_Skills!$B$2:$B$19,0),MATCH('C03_ClassVariables'!$V$215,T03_Skills!$D$1:$R$1,0)),0)</f>
        <v>0</v>
      </c>
      <c r="AA221" s="136">
        <f>IFERROR(INDEX(T03_Skills!$D$2:$R$19,MATCH('C03_ClassVariables'!$X221,T03_Skills!$B$2:$B$19,0),MATCH('C03_ClassVariables'!$V$216,T03_Skills!$D$1:$R$1,0)),0)</f>
        <v>0</v>
      </c>
      <c r="AB221" s="136">
        <f>IFERROR(INDEX(T03_Skills!$D$2:$R$19,MATCH('C03_ClassVariables'!$X221,T03_Skills!$B$2:$B$19,0),MATCH('C03_ClassVariables'!$V$217,T03_Skills!$D$1:$R$1,0)),0)</f>
        <v>0</v>
      </c>
      <c r="AC221" s="136">
        <f>IFERROR(INDEX(T03_Skills!$D$2:$R$19,MATCH('C03_ClassVariables'!$X221,T03_Skills!$B$2:$B$19,0),MATCH('C03_ClassVariables'!$V$218,T03_Skills!$D$1:$R$1,0)),0)</f>
        <v>0</v>
      </c>
      <c r="AD221" s="136">
        <f>IFERROR(INDEX(T03_Skills!$D$2:$R$19,MATCH('C03_ClassVariables'!$X221,T03_Skills!$B$2:$B$19,0),MATCH('C03_ClassVariables'!$V$219,T03_Skills!$D$1:$R$1,0)),0)</f>
        <v>0</v>
      </c>
      <c r="AE221" s="136">
        <f>IFERROR(INDEX(T03_Skills!$D$2:$R$19,MATCH('C03_ClassVariables'!$X221,T03_Skills!$B$2:$B$19,0),MATCH('C03_ClassVariables'!$V$220,T03_Skills!$D$1:$R$1,0)),0)</f>
        <v>0</v>
      </c>
      <c r="AF221" s="136">
        <f>IFERROR(INDEX(T03_Skills!$D$2:$R$19,MATCH('C03_ClassVariables'!$X221,T03_Skills!$B$2:$B$19,0),MATCH('C03_ClassVariables'!$V$221,T03_Skills!$D$1:$R$1,0)),0)</f>
        <v>0</v>
      </c>
      <c r="AG221" s="136">
        <f>IFERROR(INDEX(T03_Skills!$D$2:$R$19,MATCH('C03_ClassVariables'!$X221,T03_Skills!$B$2:$B$19,0),MATCH('C03_ClassVariables'!$V$222,T03_Skills!$D$1:$R$1,0)),0)</f>
        <v>0</v>
      </c>
      <c r="AH221" s="136">
        <f>IFERROR(INDEX(T03_Skills!$D$2:$R$19,MATCH('C03_ClassVariables'!$X221,T03_Skills!$B$2:$B$19,0),MATCH('C03_ClassVariables'!$V$223,T03_Skills!$D$1:$R$1,0)),0)</f>
        <v>0</v>
      </c>
      <c r="AI221" s="136">
        <f>IFERROR(INDEX(T03_Skills!$D$2:$R$19,MATCH('C03_ClassVariables'!$X221,T03_Skills!$B$2:$B$19,0),MATCH('C03_ClassVariables'!$V$224,T03_Skills!$D$1:$R$1,0)),0)</f>
        <v>0</v>
      </c>
      <c r="AJ221" s="136"/>
      <c r="AK221" s="504">
        <f t="shared" si="144"/>
        <v>0</v>
      </c>
      <c r="AL221" s="136"/>
      <c r="AM221" s="136"/>
      <c r="AN221" s="136"/>
      <c r="AO221" s="136"/>
      <c r="AP221" s="136"/>
      <c r="AQ221" s="136"/>
      <c r="AR221" s="136"/>
      <c r="AS221" s="136"/>
      <c r="AT221" s="136"/>
      <c r="AU221" s="136"/>
      <c r="AV221" s="136"/>
      <c r="AW221" s="136"/>
      <c r="AX221" s="136"/>
      <c r="AY221" s="136"/>
      <c r="AZ221" s="136"/>
      <c r="BA221" s="136"/>
      <c r="BB221" s="136"/>
      <c r="BC221" s="136"/>
      <c r="BD221" s="136"/>
      <c r="BE221" s="136"/>
      <c r="BF221" s="136"/>
      <c r="BG221" s="136"/>
      <c r="BH221" s="136"/>
      <c r="BI221" s="136"/>
      <c r="BJ221" s="136"/>
      <c r="BK221" s="136"/>
      <c r="BL221" s="136"/>
      <c r="BM221" s="136"/>
      <c r="BN221" s="136"/>
      <c r="BO221" s="136"/>
      <c r="BP221" s="136"/>
      <c r="BQ221" s="136"/>
      <c r="BR221" s="136"/>
      <c r="BS221" s="136"/>
      <c r="BT221" s="136"/>
      <c r="BU221" s="136"/>
      <c r="BV221" s="136"/>
      <c r="BW221" s="136"/>
      <c r="BX221" s="136"/>
      <c r="BY221" s="136"/>
      <c r="BZ221" s="136"/>
      <c r="CA221" s="136"/>
      <c r="CB221" s="136"/>
      <c r="CC221" s="136"/>
      <c r="CD221" s="136"/>
      <c r="CE221" s="136"/>
      <c r="CF221" s="136"/>
      <c r="CG221" s="136"/>
      <c r="CH221" s="136"/>
      <c r="CI221" s="136"/>
      <c r="CJ221" s="136"/>
      <c r="CK221" s="136"/>
      <c r="CL221" s="136"/>
      <c r="CM221" s="136"/>
      <c r="CN221" s="136"/>
      <c r="CO221" s="136"/>
      <c r="CP221" s="136"/>
      <c r="CQ221" s="136"/>
      <c r="CR221" s="136"/>
      <c r="CS221" s="136"/>
      <c r="CT221" s="136"/>
      <c r="CU221" s="136"/>
      <c r="CV221" s="136"/>
      <c r="CW221" s="136"/>
      <c r="CX221" s="136"/>
      <c r="CY221" s="136"/>
      <c r="CZ221" s="136"/>
      <c r="DA221" s="136"/>
      <c r="DB221" s="136"/>
      <c r="DC221" s="136"/>
      <c r="DD221" s="136"/>
      <c r="DE221" s="136"/>
      <c r="DF221" s="136"/>
      <c r="DG221" s="136"/>
      <c r="DH221" s="136"/>
      <c r="DI221" s="136"/>
      <c r="DJ221" s="136"/>
      <c r="DK221" s="151"/>
      <c r="DZ221" s="138"/>
    </row>
    <row r="222" spans="1:130" ht="16.5" x14ac:dyDescent="0.3">
      <c r="A222" s="132">
        <f>IFERROR(IF(A221+1&lt;MAX(T041_ClassFeatures!$A$2:$A$2033),A221+1,""),"")</f>
        <v>219</v>
      </c>
      <c r="B222" s="131" t="str">
        <f>IFERROR(INDEX(T041_ClassFeatures!$B$2:$B$2033,MATCH('C03_ClassVariables'!A222,T041_ClassFeatures!$A$2:$A$2033,0),1),"")</f>
        <v>Natural Recovery</v>
      </c>
      <c r="C222" s="131">
        <f>IF(B222="",0,IF(IFERROR(MATCH(B222,'C01_BaseCalculation'!$W$160:$W$239,0),0)&gt;0,1,0))</f>
        <v>0</v>
      </c>
      <c r="G222" s="150"/>
      <c r="H222" s="350"/>
      <c r="I222" s="222">
        <v>9</v>
      </c>
      <c r="J222" s="350" t="s">
        <v>4698</v>
      </c>
      <c r="K222" s="351">
        <f>K221</f>
        <v>0</v>
      </c>
      <c r="L222" s="4"/>
      <c r="M222" s="4">
        <v>9</v>
      </c>
      <c r="N222" s="238">
        <f t="shared" si="139"/>
        <v>0</v>
      </c>
      <c r="O222" s="222" t="str">
        <f t="shared" si="141"/>
        <v>DomainNature</v>
      </c>
      <c r="P222" s="238">
        <f t="shared" si="142"/>
        <v>0</v>
      </c>
      <c r="Q222" s="4">
        <f>IF(P222=0,0,COUNTIF(Q$214:$Q221,"&gt;0")+1)</f>
        <v>0</v>
      </c>
      <c r="R222" s="4"/>
      <c r="S222" s="4"/>
      <c r="T222" s="4" t="str">
        <f t="shared" si="145"/>
        <v/>
      </c>
      <c r="U222" s="238" t="str">
        <f>IFERROR(INDEX($O$214:$O$225,MATCH(T222,$Q$214:$Q$225,0),1),"")</f>
        <v/>
      </c>
      <c r="V222" s="136" t="str">
        <f>IFERROR(INDEX($J$226:$J$237,MATCH(U222,$I$226:$I$237,0),1),"")</f>
        <v/>
      </c>
      <c r="W222" s="136"/>
      <c r="X222" s="372" t="s">
        <v>609</v>
      </c>
      <c r="Y222" s="136">
        <f>IFERROR(INDEX(T03_Skills!$D$2:$R$19,MATCH('C03_ClassVariables'!$X222,T03_Skills!$B$2:$B$19,0),MATCH('C03_ClassVariables'!$V$214,T03_Skills!$D$1:$R$1,0)),0)</f>
        <v>0</v>
      </c>
      <c r="Z222" s="136">
        <f>IFERROR(INDEX(T03_Skills!$D$2:$R$19,MATCH('C03_ClassVariables'!$X222,T03_Skills!$B$2:$B$19,0),MATCH('C03_ClassVariables'!$V$215,T03_Skills!$D$1:$R$1,0)),0)</f>
        <v>0</v>
      </c>
      <c r="AA222" s="136">
        <f>IFERROR(INDEX(T03_Skills!$D$2:$R$19,MATCH('C03_ClassVariables'!$X222,T03_Skills!$B$2:$B$19,0),MATCH('C03_ClassVariables'!$V$216,T03_Skills!$D$1:$R$1,0)),0)</f>
        <v>0</v>
      </c>
      <c r="AB222" s="136">
        <f>IFERROR(INDEX(T03_Skills!$D$2:$R$19,MATCH('C03_ClassVariables'!$X222,T03_Skills!$B$2:$B$19,0),MATCH('C03_ClassVariables'!$V$217,T03_Skills!$D$1:$R$1,0)),0)</f>
        <v>0</v>
      </c>
      <c r="AC222" s="136">
        <f>IFERROR(INDEX(T03_Skills!$D$2:$R$19,MATCH('C03_ClassVariables'!$X222,T03_Skills!$B$2:$B$19,0),MATCH('C03_ClassVariables'!$V$218,T03_Skills!$D$1:$R$1,0)),0)</f>
        <v>0</v>
      </c>
      <c r="AD222" s="136">
        <f>IFERROR(INDEX(T03_Skills!$D$2:$R$19,MATCH('C03_ClassVariables'!$X222,T03_Skills!$B$2:$B$19,0),MATCH('C03_ClassVariables'!$V$219,T03_Skills!$D$1:$R$1,0)),0)</f>
        <v>0</v>
      </c>
      <c r="AE222" s="136">
        <f>IFERROR(INDEX(T03_Skills!$D$2:$R$19,MATCH('C03_ClassVariables'!$X222,T03_Skills!$B$2:$B$19,0),MATCH('C03_ClassVariables'!$V$220,T03_Skills!$D$1:$R$1,0)),0)</f>
        <v>0</v>
      </c>
      <c r="AF222" s="136">
        <f>IFERROR(INDEX(T03_Skills!$D$2:$R$19,MATCH('C03_ClassVariables'!$X222,T03_Skills!$B$2:$B$19,0),MATCH('C03_ClassVariables'!$V$221,T03_Skills!$D$1:$R$1,0)),0)</f>
        <v>0</v>
      </c>
      <c r="AG222" s="136">
        <f>IFERROR(INDEX(T03_Skills!$D$2:$R$19,MATCH('C03_ClassVariables'!$X222,T03_Skills!$B$2:$B$19,0),MATCH('C03_ClassVariables'!$V$222,T03_Skills!$D$1:$R$1,0)),0)</f>
        <v>0</v>
      </c>
      <c r="AH222" s="136">
        <f>IFERROR(INDEX(T03_Skills!$D$2:$R$19,MATCH('C03_ClassVariables'!$X222,T03_Skills!$B$2:$B$19,0),MATCH('C03_ClassVariables'!$V$223,T03_Skills!$D$1:$R$1,0)),0)</f>
        <v>0</v>
      </c>
      <c r="AI222" s="136">
        <f>IFERROR(INDEX(T03_Skills!$D$2:$R$19,MATCH('C03_ClassVariables'!$X222,T03_Skills!$B$2:$B$19,0),MATCH('C03_ClassVariables'!$V$224,T03_Skills!$D$1:$R$1,0)),0)</f>
        <v>0</v>
      </c>
      <c r="AJ222" s="136"/>
      <c r="AK222" s="504">
        <f t="shared" si="144"/>
        <v>1</v>
      </c>
      <c r="AL222" s="136"/>
      <c r="AM222" s="136"/>
      <c r="AN222" s="136"/>
      <c r="AO222" s="136"/>
      <c r="AP222" s="136"/>
      <c r="AQ222" s="136"/>
      <c r="AR222" s="136"/>
      <c r="AS222" s="136"/>
      <c r="AT222" s="136"/>
      <c r="AU222" s="136"/>
      <c r="AV222" s="136"/>
      <c r="AW222" s="136"/>
      <c r="AX222" s="136"/>
      <c r="AY222" s="136"/>
      <c r="AZ222" s="136"/>
      <c r="BA222" s="136"/>
      <c r="BB222" s="136"/>
      <c r="BC222" s="136"/>
      <c r="BD222" s="136"/>
      <c r="BE222" s="136"/>
      <c r="BF222" s="136"/>
      <c r="BG222" s="136"/>
      <c r="BH222" s="136"/>
      <c r="BI222" s="136"/>
      <c r="BJ222" s="136"/>
      <c r="BK222" s="136"/>
      <c r="BL222" s="136"/>
      <c r="BM222" s="136"/>
      <c r="BN222" s="136"/>
      <c r="BO222" s="136"/>
      <c r="BP222" s="136"/>
      <c r="BQ222" s="136"/>
      <c r="BR222" s="136"/>
      <c r="BS222" s="136"/>
      <c r="BT222" s="136"/>
      <c r="BU222" s="136"/>
      <c r="BV222" s="136"/>
      <c r="BW222" s="136"/>
      <c r="BX222" s="136"/>
      <c r="BY222" s="136"/>
      <c r="BZ222" s="136"/>
      <c r="CA222" s="136"/>
      <c r="CB222" s="136"/>
      <c r="CC222" s="136"/>
      <c r="CD222" s="136"/>
      <c r="CE222" s="136"/>
      <c r="CF222" s="136"/>
      <c r="CG222" s="136"/>
      <c r="CH222" s="136"/>
      <c r="CI222" s="136"/>
      <c r="CJ222" s="136"/>
      <c r="CK222" s="136"/>
      <c r="CL222" s="136"/>
      <c r="CM222" s="136"/>
      <c r="CN222" s="136"/>
      <c r="CO222" s="136"/>
      <c r="CP222" s="136"/>
      <c r="CQ222" s="136"/>
      <c r="CR222" s="136"/>
      <c r="CS222" s="136"/>
      <c r="CT222" s="136"/>
      <c r="CU222" s="136"/>
      <c r="CV222" s="136"/>
      <c r="CW222" s="136"/>
      <c r="CX222" s="136"/>
      <c r="CY222" s="136"/>
      <c r="CZ222" s="136"/>
      <c r="DA222" s="136"/>
      <c r="DB222" s="136"/>
      <c r="DC222" s="136"/>
      <c r="DD222" s="136"/>
      <c r="DE222" s="136"/>
      <c r="DF222" s="136"/>
      <c r="DG222" s="136"/>
      <c r="DH222" s="136"/>
      <c r="DI222" s="136"/>
      <c r="DJ222" s="136"/>
      <c r="DK222" s="151"/>
      <c r="DZ222" s="138"/>
    </row>
    <row r="223" spans="1:130" ht="17.25" x14ac:dyDescent="0.35">
      <c r="A223" s="132">
        <f>IFERROR(IF(A222+1&lt;MAX(T041_ClassFeatures!$A$2:$A$2033),A222+1,""),"")</f>
        <v>220</v>
      </c>
      <c r="B223" s="131" t="str">
        <f>IFERROR(INDEX(T041_ClassFeatures!$B$2:$B$2033,MATCH('C03_ClassVariables'!A223,T041_ClassFeatures!$A$2:$A$2033,0),1),"")</f>
        <v>Circle Spells</v>
      </c>
      <c r="C223" s="131">
        <f>IF(B223="",0,IF(IFERROR(MATCH(B223,'C01_BaseCalculation'!$W$160:$W$239,0),0)&gt;0,1,0))</f>
        <v>0</v>
      </c>
      <c r="G223" s="150"/>
      <c r="H223" s="350"/>
      <c r="I223" s="222">
        <v>10</v>
      </c>
      <c r="J223" s="352" t="s">
        <v>5994</v>
      </c>
      <c r="K223" s="4">
        <f>IFERROR(COUNTIF(Character_Creation!$B$172:$F$187,"Beguiling Influence")*18,0)</f>
        <v>0</v>
      </c>
      <c r="L223" s="4"/>
      <c r="M223" s="222">
        <v>10</v>
      </c>
      <c r="N223" s="238">
        <f t="shared" si="139"/>
        <v>0</v>
      </c>
      <c r="O223" s="222" t="str">
        <f t="shared" si="141"/>
        <v>DomainNature</v>
      </c>
      <c r="P223" s="238">
        <f t="shared" si="142"/>
        <v>0</v>
      </c>
      <c r="Q223" s="4">
        <f>IF(P223=0,0,COUNTIF(Q$214:$Q222,"&gt;0")+1)</f>
        <v>0</v>
      </c>
      <c r="R223" s="4"/>
      <c r="S223" s="4"/>
      <c r="T223" s="4" t="str">
        <f t="shared" si="145"/>
        <v/>
      </c>
      <c r="U223" s="238" t="str">
        <f>IFERROR(INDEX($O$214:$O$225,MATCH(T223,$Q$214:$Q$225,0),1),"")</f>
        <v/>
      </c>
      <c r="V223" s="136" t="str">
        <f>IFERROR(INDEX($J$226:$J$237,MATCH(U223,$I$226:$I$237,0),1),"")</f>
        <v/>
      </c>
      <c r="W223" s="136"/>
      <c r="X223" s="372" t="s">
        <v>610</v>
      </c>
      <c r="Y223" s="136">
        <f>IFERROR(INDEX(T03_Skills!$D$2:$R$19,MATCH('C03_ClassVariables'!$X223,T03_Skills!$B$2:$B$19,0),MATCH('C03_ClassVariables'!$V$214,T03_Skills!$D$1:$R$1,0)),0)</f>
        <v>0</v>
      </c>
      <c r="Z223" s="136">
        <f>IFERROR(INDEX(T03_Skills!$D$2:$R$19,MATCH('C03_ClassVariables'!$X223,T03_Skills!$B$2:$B$19,0),MATCH('C03_ClassVariables'!$V$215,T03_Skills!$D$1:$R$1,0)),0)</f>
        <v>0</v>
      </c>
      <c r="AA223" s="136">
        <f>IFERROR(INDEX(T03_Skills!$D$2:$R$19,MATCH('C03_ClassVariables'!$X223,T03_Skills!$B$2:$B$19,0),MATCH('C03_ClassVariables'!$V$216,T03_Skills!$D$1:$R$1,0)),0)</f>
        <v>0</v>
      </c>
      <c r="AB223" s="136">
        <f>IFERROR(INDEX(T03_Skills!$D$2:$R$19,MATCH('C03_ClassVariables'!$X223,T03_Skills!$B$2:$B$19,0),MATCH('C03_ClassVariables'!$V$217,T03_Skills!$D$1:$R$1,0)),0)</f>
        <v>0</v>
      </c>
      <c r="AC223" s="136">
        <f>IFERROR(INDEX(T03_Skills!$D$2:$R$19,MATCH('C03_ClassVariables'!$X223,T03_Skills!$B$2:$B$19,0),MATCH('C03_ClassVariables'!$V$218,T03_Skills!$D$1:$R$1,0)),0)</f>
        <v>0</v>
      </c>
      <c r="AD223" s="136">
        <f>IFERROR(INDEX(T03_Skills!$D$2:$R$19,MATCH('C03_ClassVariables'!$X223,T03_Skills!$B$2:$B$19,0),MATCH('C03_ClassVariables'!$V$219,T03_Skills!$D$1:$R$1,0)),0)</f>
        <v>0</v>
      </c>
      <c r="AE223" s="136">
        <f>IFERROR(INDEX(T03_Skills!$D$2:$R$19,MATCH('C03_ClassVariables'!$X223,T03_Skills!$B$2:$B$19,0),MATCH('C03_ClassVariables'!$V$220,T03_Skills!$D$1:$R$1,0)),0)</f>
        <v>0</v>
      </c>
      <c r="AF223" s="136">
        <f>IFERROR(INDEX(T03_Skills!$D$2:$R$19,MATCH('C03_ClassVariables'!$X223,T03_Skills!$B$2:$B$19,0),MATCH('C03_ClassVariables'!$V$221,T03_Skills!$D$1:$R$1,0)),0)</f>
        <v>0</v>
      </c>
      <c r="AG223" s="136">
        <f>IFERROR(INDEX(T03_Skills!$D$2:$R$19,MATCH('C03_ClassVariables'!$X223,T03_Skills!$B$2:$B$19,0),MATCH('C03_ClassVariables'!$V$222,T03_Skills!$D$1:$R$1,0)),0)</f>
        <v>0</v>
      </c>
      <c r="AH223" s="136">
        <f>IFERROR(INDEX(T03_Skills!$D$2:$R$19,MATCH('C03_ClassVariables'!$X223,T03_Skills!$B$2:$B$19,0),MATCH('C03_ClassVariables'!$V$223,T03_Skills!$D$1:$R$1,0)),0)</f>
        <v>0</v>
      </c>
      <c r="AI223" s="136">
        <f>IFERROR(INDEX(T03_Skills!$D$2:$R$19,MATCH('C03_ClassVariables'!$X223,T03_Skills!$B$2:$B$19,0),MATCH('C03_ClassVariables'!$V$224,T03_Skills!$D$1:$R$1,0)),0)</f>
        <v>0</v>
      </c>
      <c r="AJ223" s="136"/>
      <c r="AK223" s="504">
        <f t="shared" si="144"/>
        <v>0</v>
      </c>
      <c r="AL223" s="136"/>
      <c r="AM223" s="136"/>
      <c r="AN223" s="136"/>
      <c r="AO223" s="136"/>
      <c r="AP223" s="136"/>
      <c r="AQ223" s="136"/>
      <c r="AR223" s="136"/>
      <c r="AS223" s="136"/>
      <c r="AT223" s="136"/>
      <c r="AU223" s="136"/>
      <c r="AV223" s="136"/>
      <c r="AW223" s="136"/>
      <c r="AX223" s="136"/>
      <c r="AY223" s="136"/>
      <c r="AZ223" s="136"/>
      <c r="BA223" s="136"/>
      <c r="BB223" s="136"/>
      <c r="BC223" s="136"/>
      <c r="BD223" s="136"/>
      <c r="BE223" s="136"/>
      <c r="BF223" s="136"/>
      <c r="BG223" s="136"/>
      <c r="BH223" s="136"/>
      <c r="BI223" s="136"/>
      <c r="BJ223" s="136"/>
      <c r="BK223" s="136"/>
      <c r="BL223" s="136"/>
      <c r="BM223" s="136"/>
      <c r="BN223" s="136"/>
      <c r="BO223" s="136"/>
      <c r="BP223" s="136"/>
      <c r="BQ223" s="136"/>
      <c r="BR223" s="136"/>
      <c r="BS223" s="136"/>
      <c r="BT223" s="136"/>
      <c r="BU223" s="136"/>
      <c r="BV223" s="136"/>
      <c r="BW223" s="136"/>
      <c r="BX223" s="136"/>
      <c r="BY223" s="136"/>
      <c r="BZ223" s="136"/>
      <c r="CA223" s="136"/>
      <c r="CB223" s="136"/>
      <c r="CC223" s="136"/>
      <c r="CD223" s="136"/>
      <c r="CE223" s="136"/>
      <c r="CF223" s="136"/>
      <c r="CG223" s="136"/>
      <c r="CH223" s="136"/>
      <c r="CI223" s="136"/>
      <c r="CJ223" s="136"/>
      <c r="CK223" s="136"/>
      <c r="CL223" s="136"/>
      <c r="CM223" s="136"/>
      <c r="CN223" s="136"/>
      <c r="CO223" s="136"/>
      <c r="CP223" s="136"/>
      <c r="CQ223" s="136"/>
      <c r="CR223" s="136"/>
      <c r="CS223" s="136"/>
      <c r="CT223" s="136"/>
      <c r="CU223" s="136"/>
      <c r="CV223" s="136"/>
      <c r="CW223" s="136"/>
      <c r="CX223" s="136"/>
      <c r="CY223" s="136"/>
      <c r="CZ223" s="136"/>
      <c r="DA223" s="136"/>
      <c r="DB223" s="136"/>
      <c r="DC223" s="136"/>
      <c r="DD223" s="136"/>
      <c r="DE223" s="136"/>
      <c r="DF223" s="136"/>
      <c r="DG223" s="136"/>
      <c r="DH223" s="136"/>
      <c r="DI223" s="136"/>
      <c r="DJ223" s="136"/>
      <c r="DK223" s="151"/>
      <c r="DZ223" s="138"/>
    </row>
    <row r="224" spans="1:130" ht="17.25" x14ac:dyDescent="0.35">
      <c r="A224" s="132">
        <f>IFERROR(IF(A223+1&lt;MAX(T041_ClassFeatures!$A$2:$A$2033),A223+1,""),"")</f>
        <v>221</v>
      </c>
      <c r="B224" s="131" t="str">
        <f>IFERROR(INDEX(T041_ClassFeatures!$B$2:$B$2033,MATCH('C03_ClassVariables'!A224,T041_ClassFeatures!$A$2:$A$2033,0),1),"")</f>
        <v>Land's Stride</v>
      </c>
      <c r="C224" s="131">
        <f>IF(B224="",0,IF(IFERROR(MATCH(B224,'C01_BaseCalculation'!$W$160:$W$239,0),0)&gt;0,1,0))</f>
        <v>0</v>
      </c>
      <c r="G224" s="150"/>
      <c r="H224" s="4"/>
      <c r="I224" s="222">
        <v>11</v>
      </c>
      <c r="J224" s="352" t="s">
        <v>5993</v>
      </c>
      <c r="K224" s="4">
        <f>IFERROR(COUNTIF(Character_Creation!$B$172:$F$187,"Beguiling Influence")*18,0)</f>
        <v>0</v>
      </c>
      <c r="L224" s="4"/>
      <c r="M224" s="222">
        <v>11</v>
      </c>
      <c r="N224" s="238">
        <f t="shared" si="139"/>
        <v>0</v>
      </c>
      <c r="O224" s="222" t="str">
        <f t="shared" si="141"/>
        <v>DomainNature</v>
      </c>
      <c r="P224" s="238">
        <f t="shared" si="142"/>
        <v>0</v>
      </c>
      <c r="Q224" s="4">
        <f>IF(P224=0,0,COUNTIF(Q$214:$Q223,"&gt;0")+1)</f>
        <v>0</v>
      </c>
      <c r="R224" s="4"/>
      <c r="S224" s="4"/>
      <c r="T224" s="4" t="str">
        <f t="shared" si="145"/>
        <v/>
      </c>
      <c r="U224" s="238" t="str">
        <f>IFERROR(INDEX($O$214:$O$225,MATCH(T224,$Q$214:$Q$225,0),1),"")</f>
        <v/>
      </c>
      <c r="V224" s="136" t="str">
        <f>IFERROR(INDEX($J$226:$J$237,MATCH(U224,$I$226:$I$237,0),1),"")</f>
        <v/>
      </c>
      <c r="W224" s="136"/>
      <c r="X224" s="372" t="s">
        <v>611</v>
      </c>
      <c r="Y224" s="136">
        <f>IFERROR(INDEX(T03_Skills!$D$2:$R$19,MATCH('C03_ClassVariables'!$X224,T03_Skills!$B$2:$B$19,0),MATCH('C03_ClassVariables'!$V$214,T03_Skills!$D$1:$R$1,0)),0)</f>
        <v>1</v>
      </c>
      <c r="Z224" s="136">
        <f>IFERROR(INDEX(T03_Skills!$D$2:$R$19,MATCH('C03_ClassVariables'!$X224,T03_Skills!$B$2:$B$19,0),MATCH('C03_ClassVariables'!$V$215,T03_Skills!$D$1:$R$1,0)),0)</f>
        <v>0</v>
      </c>
      <c r="AA224" s="136">
        <f>IFERROR(INDEX(T03_Skills!$D$2:$R$19,MATCH('C03_ClassVariables'!$X224,T03_Skills!$B$2:$B$19,0),MATCH('C03_ClassVariables'!$V$216,T03_Skills!$D$1:$R$1,0)),0)</f>
        <v>0</v>
      </c>
      <c r="AB224" s="136">
        <f>IFERROR(INDEX(T03_Skills!$D$2:$R$19,MATCH('C03_ClassVariables'!$X224,T03_Skills!$B$2:$B$19,0),MATCH('C03_ClassVariables'!$V$217,T03_Skills!$D$1:$R$1,0)),0)</f>
        <v>0</v>
      </c>
      <c r="AC224" s="136">
        <f>IFERROR(INDEX(T03_Skills!$D$2:$R$19,MATCH('C03_ClassVariables'!$X224,T03_Skills!$B$2:$B$19,0),MATCH('C03_ClassVariables'!$V$218,T03_Skills!$D$1:$R$1,0)),0)</f>
        <v>0</v>
      </c>
      <c r="AD224" s="136">
        <f>IFERROR(INDEX(T03_Skills!$D$2:$R$19,MATCH('C03_ClassVariables'!$X224,T03_Skills!$B$2:$B$19,0),MATCH('C03_ClassVariables'!$V$219,T03_Skills!$D$1:$R$1,0)),0)</f>
        <v>0</v>
      </c>
      <c r="AE224" s="136">
        <f>IFERROR(INDEX(T03_Skills!$D$2:$R$19,MATCH('C03_ClassVariables'!$X224,T03_Skills!$B$2:$B$19,0),MATCH('C03_ClassVariables'!$V$220,T03_Skills!$D$1:$R$1,0)),0)</f>
        <v>0</v>
      </c>
      <c r="AF224" s="136">
        <f>IFERROR(INDEX(T03_Skills!$D$2:$R$19,MATCH('C03_ClassVariables'!$X224,T03_Skills!$B$2:$B$19,0),MATCH('C03_ClassVariables'!$V$221,T03_Skills!$D$1:$R$1,0)),0)</f>
        <v>0</v>
      </c>
      <c r="AG224" s="136">
        <f>IFERROR(INDEX(T03_Skills!$D$2:$R$19,MATCH('C03_ClassVariables'!$X224,T03_Skills!$B$2:$B$19,0),MATCH('C03_ClassVariables'!$V$222,T03_Skills!$D$1:$R$1,0)),0)</f>
        <v>0</v>
      </c>
      <c r="AH224" s="136">
        <f>IFERROR(INDEX(T03_Skills!$D$2:$R$19,MATCH('C03_ClassVariables'!$X224,T03_Skills!$B$2:$B$19,0),MATCH('C03_ClassVariables'!$V$223,T03_Skills!$D$1:$R$1,0)),0)</f>
        <v>0</v>
      </c>
      <c r="AI224" s="136">
        <f>IFERROR(INDEX(T03_Skills!$D$2:$R$19,MATCH('C03_ClassVariables'!$X224,T03_Skills!$B$2:$B$19,0),MATCH('C03_ClassVariables'!$V$224,T03_Skills!$D$1:$R$1,0)),0)</f>
        <v>0</v>
      </c>
      <c r="AJ224" s="136"/>
      <c r="AK224" s="504">
        <f t="shared" si="144"/>
        <v>0</v>
      </c>
      <c r="AL224" s="136"/>
      <c r="AM224" s="136"/>
      <c r="AN224" s="136"/>
      <c r="AO224" s="136"/>
      <c r="AP224" s="136"/>
      <c r="AQ224" s="136"/>
      <c r="AR224" s="136"/>
      <c r="AS224" s="136"/>
      <c r="AT224" s="136"/>
      <c r="AU224" s="136"/>
      <c r="AV224" s="136"/>
      <c r="AW224" s="136"/>
      <c r="AX224" s="136"/>
      <c r="AY224" s="136"/>
      <c r="AZ224" s="136"/>
      <c r="BA224" s="136"/>
      <c r="BB224" s="136"/>
      <c r="BC224" s="136"/>
      <c r="BD224" s="136"/>
      <c r="BE224" s="136"/>
      <c r="BF224" s="136"/>
      <c r="BG224" s="136"/>
      <c r="BH224" s="136"/>
      <c r="BI224" s="136"/>
      <c r="BJ224" s="136"/>
      <c r="BK224" s="136"/>
      <c r="BL224" s="136"/>
      <c r="BM224" s="136"/>
      <c r="BN224" s="136"/>
      <c r="BO224" s="136"/>
      <c r="BP224" s="136"/>
      <c r="BQ224" s="136"/>
      <c r="BR224" s="136"/>
      <c r="BS224" s="136"/>
      <c r="BT224" s="136"/>
      <c r="BU224" s="136"/>
      <c r="BV224" s="136"/>
      <c r="BW224" s="136"/>
      <c r="BX224" s="136"/>
      <c r="BY224" s="136"/>
      <c r="BZ224" s="136"/>
      <c r="CA224" s="136"/>
      <c r="CB224" s="136"/>
      <c r="CC224" s="136"/>
      <c r="CD224" s="136"/>
      <c r="CE224" s="136"/>
      <c r="CF224" s="136"/>
      <c r="CG224" s="136"/>
      <c r="CH224" s="136"/>
      <c r="CI224" s="136"/>
      <c r="CJ224" s="136"/>
      <c r="CK224" s="136"/>
      <c r="CL224" s="136"/>
      <c r="CM224" s="136"/>
      <c r="CN224" s="136"/>
      <c r="CO224" s="136"/>
      <c r="CP224" s="136"/>
      <c r="CQ224" s="136"/>
      <c r="CR224" s="136"/>
      <c r="CS224" s="136"/>
      <c r="CT224" s="136"/>
      <c r="CU224" s="136"/>
      <c r="CV224" s="136"/>
      <c r="CW224" s="136"/>
      <c r="CX224" s="136"/>
      <c r="CY224" s="136"/>
      <c r="CZ224" s="136"/>
      <c r="DA224" s="136"/>
      <c r="DB224" s="136"/>
      <c r="DC224" s="136"/>
      <c r="DD224" s="136"/>
      <c r="DE224" s="136"/>
      <c r="DF224" s="136"/>
      <c r="DG224" s="136"/>
      <c r="DH224" s="136"/>
      <c r="DI224" s="136"/>
      <c r="DJ224" s="136"/>
      <c r="DK224" s="151"/>
      <c r="DZ224" s="138"/>
    </row>
    <row r="225" spans="1:130" ht="16.5" x14ac:dyDescent="0.3">
      <c r="A225" s="132">
        <f>IFERROR(IF(A224+1&lt;MAX(T041_ClassFeatures!$A$2:$A$2033),A224+1,""),"")</f>
        <v>222</v>
      </c>
      <c r="B225" s="131" t="str">
        <f>IFERROR(INDEX(T041_ClassFeatures!$B$2:$B$2033,MATCH('C03_ClassVariables'!A225,T041_ClassFeatures!$A$2:$A$2033,0),1),"")</f>
        <v>Nature's Ward</v>
      </c>
      <c r="C225" s="131">
        <f>IF(B225="",0,IF(IFERROR(MATCH(B225,'C01_BaseCalculation'!$W$160:$W$239,0),0)&gt;0,1,0))</f>
        <v>0</v>
      </c>
      <c r="G225" s="150"/>
      <c r="H225" s="136"/>
      <c r="I225" s="427">
        <v>12</v>
      </c>
      <c r="J225" s="350" t="s">
        <v>2186</v>
      </c>
      <c r="K225" s="4">
        <f>IFERROR(COUNTIF(Character_Creation!$D$210:$F$241,"Skilled")*20,0)</f>
        <v>0</v>
      </c>
      <c r="L225" s="136"/>
      <c r="M225" s="222">
        <v>12</v>
      </c>
      <c r="N225" s="238">
        <f>SMALL($K$214:$K$225,M225)</f>
        <v>0</v>
      </c>
      <c r="O225" s="222" t="str">
        <f>INDEX($J$214:$J$224,MATCH(N225,$K$214:$K$224,0),1)</f>
        <v>DomainNature</v>
      </c>
      <c r="P225" s="238">
        <f>N225</f>
        <v>0</v>
      </c>
      <c r="Q225" s="4">
        <f>IF(P225=0,0,COUNTIF(Q$214:$Q224,"&gt;0")+1)</f>
        <v>0</v>
      </c>
      <c r="R225" s="136"/>
      <c r="S225" s="136"/>
      <c r="T225" s="4" t="str">
        <f>IFERROR(IF(T224&lt;MAX($Q$214:$Q$225),T224+1,""),"")</f>
        <v/>
      </c>
      <c r="U225" s="238" t="str">
        <f>IFERROR(INDEX($O$214:$O$225,MATCH(T225,$Q$214:$Q$225,0),1),"")</f>
        <v/>
      </c>
      <c r="V225" s="136" t="str">
        <f>IFERROR(INDEX($J$226:$J$237,MATCH(U225,$I$226:$I$237,0),1),"")</f>
        <v/>
      </c>
      <c r="W225" s="136"/>
      <c r="X225" s="372" t="s">
        <v>49</v>
      </c>
      <c r="Y225" s="136">
        <f>IFERROR(INDEX(T03_Skills!$D$2:$R$19,MATCH('C03_ClassVariables'!$X225,T03_Skills!$B$2:$B$19,0),MATCH('C03_ClassVariables'!$V$214,T03_Skills!$D$1:$R$1,0)),0)</f>
        <v>0</v>
      </c>
      <c r="Z225" s="136">
        <f>IFERROR(INDEX(T03_Skills!$D$2:$R$19,MATCH('C03_ClassVariables'!$X225,T03_Skills!$B$2:$B$19,0),MATCH('C03_ClassVariables'!$V$215,T03_Skills!$D$1:$R$1,0)),0)</f>
        <v>0</v>
      </c>
      <c r="AA225" s="136">
        <f>IFERROR(INDEX(T03_Skills!$D$2:$R$19,MATCH('C03_ClassVariables'!$X225,T03_Skills!$B$2:$B$19,0),MATCH('C03_ClassVariables'!$V$216,T03_Skills!$D$1:$R$1,0)),0)</f>
        <v>0</v>
      </c>
      <c r="AB225" s="136">
        <f>IFERROR(INDEX(T03_Skills!$D$2:$R$19,MATCH('C03_ClassVariables'!$X225,T03_Skills!$B$2:$B$19,0),MATCH('C03_ClassVariables'!$V$217,T03_Skills!$D$1:$R$1,0)),0)</f>
        <v>0</v>
      </c>
      <c r="AC225" s="136">
        <f>IFERROR(INDEX(T03_Skills!$D$2:$R$19,MATCH('C03_ClassVariables'!$X225,T03_Skills!$B$2:$B$19,0),MATCH('C03_ClassVariables'!$V$218,T03_Skills!$D$1:$R$1,0)),0)</f>
        <v>0</v>
      </c>
      <c r="AD225" s="136">
        <f>IFERROR(INDEX(T03_Skills!$D$2:$R$19,MATCH('C03_ClassVariables'!$X225,T03_Skills!$B$2:$B$19,0),MATCH('C03_ClassVariables'!$V$219,T03_Skills!$D$1:$R$1,0)),0)</f>
        <v>0</v>
      </c>
      <c r="AE225" s="136">
        <f>IFERROR(INDEX(T03_Skills!$D$2:$R$19,MATCH('C03_ClassVariables'!$X225,T03_Skills!$B$2:$B$19,0),MATCH('C03_ClassVariables'!$V$220,T03_Skills!$D$1:$R$1,0)),0)</f>
        <v>0</v>
      </c>
      <c r="AF225" s="136">
        <f>IFERROR(INDEX(T03_Skills!$D$2:$R$19,MATCH('C03_ClassVariables'!$X225,T03_Skills!$B$2:$B$19,0),MATCH('C03_ClassVariables'!$V$221,T03_Skills!$D$1:$R$1,0)),0)</f>
        <v>0</v>
      </c>
      <c r="AG225" s="136">
        <f>IFERROR(INDEX(T03_Skills!$D$2:$R$19,MATCH('C03_ClassVariables'!$X225,T03_Skills!$B$2:$B$19,0),MATCH('C03_ClassVariables'!$V$222,T03_Skills!$D$1:$R$1,0)),0)</f>
        <v>0</v>
      </c>
      <c r="AH225" s="136">
        <f>IFERROR(INDEX(T03_Skills!$D$2:$R$19,MATCH('C03_ClassVariables'!$X225,T03_Skills!$B$2:$B$19,0),MATCH('C03_ClassVariables'!$V$223,T03_Skills!$D$1:$R$1,0)),0)</f>
        <v>0</v>
      </c>
      <c r="AI225" s="136">
        <f>IFERROR(INDEX(T03_Skills!$D$2:$R$19,MATCH('C03_ClassVariables'!$X225,T03_Skills!$B$2:$B$19,0),MATCH('C03_ClassVariables'!$V$224,T03_Skills!$D$1:$R$1,0)),0)</f>
        <v>0</v>
      </c>
      <c r="AJ225" s="136"/>
      <c r="AK225" s="504">
        <f t="shared" si="144"/>
        <v>0</v>
      </c>
      <c r="AL225" s="136"/>
      <c r="AM225" s="136"/>
      <c r="AN225" s="136"/>
      <c r="AO225" s="136"/>
      <c r="AP225" s="136"/>
      <c r="AQ225" s="136"/>
      <c r="AR225" s="136"/>
      <c r="AS225" s="136"/>
      <c r="AT225" s="136"/>
      <c r="AU225" s="136"/>
      <c r="AV225" s="136"/>
      <c r="AW225" s="136"/>
      <c r="AX225" s="136"/>
      <c r="AY225" s="136"/>
      <c r="AZ225" s="136"/>
      <c r="BA225" s="136"/>
      <c r="BB225" s="136"/>
      <c r="BC225" s="136"/>
      <c r="BD225" s="136"/>
      <c r="BE225" s="136"/>
      <c r="BF225" s="136"/>
      <c r="BG225" s="136"/>
      <c r="BH225" s="136"/>
      <c r="BI225" s="136"/>
      <c r="BJ225" s="136"/>
      <c r="BK225" s="136"/>
      <c r="BL225" s="136"/>
      <c r="BM225" s="136"/>
      <c r="BN225" s="136"/>
      <c r="BO225" s="136"/>
      <c r="BP225" s="136"/>
      <c r="BQ225" s="136"/>
      <c r="BR225" s="136"/>
      <c r="BS225" s="136"/>
      <c r="BT225" s="136"/>
      <c r="BU225" s="136"/>
      <c r="BV225" s="136"/>
      <c r="BW225" s="136"/>
      <c r="BX225" s="136"/>
      <c r="BY225" s="136"/>
      <c r="BZ225" s="136"/>
      <c r="CA225" s="136"/>
      <c r="CB225" s="136"/>
      <c r="CC225" s="136"/>
      <c r="CD225" s="136"/>
      <c r="CE225" s="136"/>
      <c r="CF225" s="136"/>
      <c r="CG225" s="136"/>
      <c r="CH225" s="136"/>
      <c r="CI225" s="136"/>
      <c r="CJ225" s="136"/>
      <c r="CK225" s="136"/>
      <c r="CL225" s="136"/>
      <c r="CM225" s="136"/>
      <c r="CN225" s="136"/>
      <c r="CO225" s="136"/>
      <c r="CP225" s="136"/>
      <c r="CQ225" s="136"/>
      <c r="CR225" s="136"/>
      <c r="CS225" s="136"/>
      <c r="CT225" s="136"/>
      <c r="CU225" s="136"/>
      <c r="CV225" s="136"/>
      <c r="CW225" s="136"/>
      <c r="CX225" s="136"/>
      <c r="CY225" s="136"/>
      <c r="CZ225" s="136"/>
      <c r="DA225" s="136"/>
      <c r="DB225" s="136"/>
      <c r="DC225" s="136"/>
      <c r="DD225" s="136"/>
      <c r="DE225" s="136"/>
      <c r="DF225" s="136"/>
      <c r="DG225" s="136"/>
      <c r="DH225" s="136"/>
      <c r="DI225" s="136"/>
      <c r="DJ225" s="136"/>
      <c r="DK225" s="151"/>
      <c r="DZ225" s="138"/>
    </row>
    <row r="226" spans="1:130" ht="16.5" x14ac:dyDescent="0.3">
      <c r="A226" s="132">
        <f>IFERROR(IF(A225+1&lt;MAX(T041_ClassFeatures!$A$2:$A$2033),A225+1,""),"")</f>
        <v>223</v>
      </c>
      <c r="B226" s="131" t="str">
        <f>IFERROR(INDEX(T041_ClassFeatures!$B$2:$B$2033,MATCH('C03_ClassVariables'!A226,T041_ClassFeatures!$A$2:$A$2033,0),1),"")</f>
        <v>Nature's Sanctuary</v>
      </c>
      <c r="C226" s="131">
        <f>IF(B226="",0,IF(IFERROR(MATCH(B226,'C01_BaseCalculation'!$W$160:$W$239,0),0)&gt;0,1,0))</f>
        <v>0</v>
      </c>
      <c r="G226" s="150"/>
      <c r="H226" s="136"/>
      <c r="I226" s="350" t="s">
        <v>4690</v>
      </c>
      <c r="J226" s="136" t="s">
        <v>4686</v>
      </c>
      <c r="K226" s="136"/>
      <c r="L226" s="136"/>
      <c r="M226" s="136"/>
      <c r="N226" s="136"/>
      <c r="O226" s="136"/>
      <c r="P226" s="136"/>
      <c r="Q226" s="136"/>
      <c r="R226" s="136"/>
      <c r="S226" s="136"/>
      <c r="T226" s="136"/>
      <c r="U226" s="136"/>
      <c r="V226" s="136"/>
      <c r="W226" s="136"/>
      <c r="X226" s="372" t="s">
        <v>612</v>
      </c>
      <c r="Y226" s="136">
        <f>IFERROR(INDEX(T03_Skills!$D$2:$R$19,MATCH('C03_ClassVariables'!$X226,T03_Skills!$B$2:$B$19,0),MATCH('C03_ClassVariables'!$V$214,T03_Skills!$D$1:$R$1,0)),0)</f>
        <v>0</v>
      </c>
      <c r="Z226" s="136">
        <f>IFERROR(INDEX(T03_Skills!$D$2:$R$19,MATCH('C03_ClassVariables'!$X226,T03_Skills!$B$2:$B$19,0),MATCH('C03_ClassVariables'!$V$215,T03_Skills!$D$1:$R$1,0)),0)</f>
        <v>0</v>
      </c>
      <c r="AA226" s="136">
        <f>IFERROR(INDEX(T03_Skills!$D$2:$R$19,MATCH('C03_ClassVariables'!$X226,T03_Skills!$B$2:$B$19,0),MATCH('C03_ClassVariables'!$V$216,T03_Skills!$D$1:$R$1,0)),0)</f>
        <v>0</v>
      </c>
      <c r="AB226" s="136">
        <f>IFERROR(INDEX(T03_Skills!$D$2:$R$19,MATCH('C03_ClassVariables'!$X226,T03_Skills!$B$2:$B$19,0),MATCH('C03_ClassVariables'!$V$217,T03_Skills!$D$1:$R$1,0)),0)</f>
        <v>0</v>
      </c>
      <c r="AC226" s="136">
        <f>IFERROR(INDEX(T03_Skills!$D$2:$R$19,MATCH('C03_ClassVariables'!$X226,T03_Skills!$B$2:$B$19,0),MATCH('C03_ClassVariables'!$V$218,T03_Skills!$D$1:$R$1,0)),0)</f>
        <v>0</v>
      </c>
      <c r="AD226" s="136">
        <f>IFERROR(INDEX(T03_Skills!$D$2:$R$19,MATCH('C03_ClassVariables'!$X226,T03_Skills!$B$2:$B$19,0),MATCH('C03_ClassVariables'!$V$219,T03_Skills!$D$1:$R$1,0)),0)</f>
        <v>0</v>
      </c>
      <c r="AE226" s="136">
        <f>IFERROR(INDEX(T03_Skills!$D$2:$R$19,MATCH('C03_ClassVariables'!$X226,T03_Skills!$B$2:$B$19,0),MATCH('C03_ClassVariables'!$V$220,T03_Skills!$D$1:$R$1,0)),0)</f>
        <v>0</v>
      </c>
      <c r="AF226" s="136">
        <f>IFERROR(INDEX(T03_Skills!$D$2:$R$19,MATCH('C03_ClassVariables'!$X226,T03_Skills!$B$2:$B$19,0),MATCH('C03_ClassVariables'!$V$221,T03_Skills!$D$1:$R$1,0)),0)</f>
        <v>0</v>
      </c>
      <c r="AG226" s="136">
        <f>IFERROR(INDEX(T03_Skills!$D$2:$R$19,MATCH('C03_ClassVariables'!$X226,T03_Skills!$B$2:$B$19,0),MATCH('C03_ClassVariables'!$V$222,T03_Skills!$D$1:$R$1,0)),0)</f>
        <v>0</v>
      </c>
      <c r="AH226" s="136">
        <f>IFERROR(INDEX(T03_Skills!$D$2:$R$19,MATCH('C03_ClassVariables'!$X226,T03_Skills!$B$2:$B$19,0),MATCH('C03_ClassVariables'!$V$223,T03_Skills!$D$1:$R$1,0)),0)</f>
        <v>0</v>
      </c>
      <c r="AI226" s="136">
        <f>IFERROR(INDEX(T03_Skills!$D$2:$R$19,MATCH('C03_ClassVariables'!$X226,T03_Skills!$B$2:$B$19,0),MATCH('C03_ClassVariables'!$V$224,T03_Skills!$D$1:$R$1,0)),0)</f>
        <v>0</v>
      </c>
      <c r="AJ226" s="136"/>
      <c r="AK226" s="504">
        <f t="shared" si="144"/>
        <v>0</v>
      </c>
      <c r="AL226" s="136"/>
      <c r="AM226" s="136"/>
      <c r="AN226" s="136"/>
      <c r="AO226" s="136"/>
      <c r="AP226" s="136"/>
      <c r="AQ226" s="136"/>
      <c r="AR226" s="136"/>
      <c r="AS226" s="136"/>
      <c r="AT226" s="136"/>
      <c r="AU226" s="136"/>
      <c r="AV226" s="136"/>
      <c r="AW226" s="136"/>
      <c r="AX226" s="136"/>
      <c r="AY226" s="136"/>
      <c r="AZ226" s="136"/>
      <c r="BA226" s="136"/>
      <c r="BB226" s="136"/>
      <c r="BC226" s="136"/>
      <c r="BD226" s="136"/>
      <c r="BE226" s="136"/>
      <c r="BF226" s="136"/>
      <c r="BG226" s="136"/>
      <c r="BH226" s="136"/>
      <c r="BI226" s="136"/>
      <c r="BJ226" s="136"/>
      <c r="BK226" s="136"/>
      <c r="BL226" s="136"/>
      <c r="BM226" s="136"/>
      <c r="BN226" s="136"/>
      <c r="BO226" s="136"/>
      <c r="BP226" s="136"/>
      <c r="BQ226" s="136"/>
      <c r="BR226" s="136"/>
      <c r="BS226" s="136"/>
      <c r="BT226" s="136"/>
      <c r="BU226" s="136"/>
      <c r="BV226" s="136"/>
      <c r="BW226" s="136"/>
      <c r="BX226" s="136"/>
      <c r="BY226" s="136"/>
      <c r="BZ226" s="136"/>
      <c r="CA226" s="136"/>
      <c r="CB226" s="136"/>
      <c r="CC226" s="136"/>
      <c r="CD226" s="136"/>
      <c r="CE226" s="136"/>
      <c r="CF226" s="136"/>
      <c r="CG226" s="136"/>
      <c r="CH226" s="136"/>
      <c r="CI226" s="136"/>
      <c r="CJ226" s="136"/>
      <c r="CK226" s="136"/>
      <c r="CL226" s="136"/>
      <c r="CM226" s="136"/>
      <c r="CN226" s="136"/>
      <c r="CO226" s="136"/>
      <c r="CP226" s="136"/>
      <c r="CQ226" s="136"/>
      <c r="CR226" s="136"/>
      <c r="CS226" s="136"/>
      <c r="CT226" s="136"/>
      <c r="CU226" s="136"/>
      <c r="CV226" s="136"/>
      <c r="CW226" s="136"/>
      <c r="CX226" s="136"/>
      <c r="CY226" s="136"/>
      <c r="CZ226" s="136"/>
      <c r="DA226" s="136"/>
      <c r="DB226" s="136"/>
      <c r="DC226" s="136"/>
      <c r="DD226" s="136"/>
      <c r="DE226" s="136"/>
      <c r="DF226" s="136"/>
      <c r="DG226" s="136"/>
      <c r="DH226" s="136"/>
      <c r="DI226" s="136"/>
      <c r="DJ226" s="136"/>
      <c r="DK226" s="151"/>
      <c r="DZ226" s="138"/>
    </row>
    <row r="227" spans="1:130" ht="16.5" x14ac:dyDescent="0.3">
      <c r="A227" s="132">
        <f>IFERROR(IF(A226+1&lt;MAX(T041_ClassFeatures!$A$2:$A$2033),A226+1,""),"")</f>
        <v>224</v>
      </c>
      <c r="B227" s="131" t="str">
        <f>IFERROR(INDEX(T041_ClassFeatures!$B$2:$B$2033,MATCH('C03_ClassVariables'!A227,T041_ClassFeatures!$A$2:$A$2033,0),1),"")</f>
        <v>Combat Wild Shape</v>
      </c>
      <c r="C227" s="131">
        <f>IF(B227="",0,IF(IFERROR(MATCH(B227,'C01_BaseCalculation'!$W$160:$W$239,0),0)&gt;0,1,0))</f>
        <v>0</v>
      </c>
      <c r="G227" s="150"/>
      <c r="H227" s="136"/>
      <c r="I227" s="350" t="s">
        <v>4694</v>
      </c>
      <c r="J227" s="136" t="s">
        <v>4699</v>
      </c>
      <c r="K227" s="136"/>
      <c r="L227" s="136"/>
      <c r="M227" s="136"/>
      <c r="N227" s="136"/>
      <c r="O227" s="136"/>
      <c r="P227" s="136"/>
      <c r="Q227" s="136"/>
      <c r="R227" s="136"/>
      <c r="S227" s="136"/>
      <c r="T227" s="136"/>
      <c r="U227" s="136"/>
      <c r="V227" s="136"/>
      <c r="W227" s="136"/>
      <c r="X227" s="372" t="s">
        <v>613</v>
      </c>
      <c r="Y227" s="136">
        <f>IFERROR(INDEX(T03_Skills!$D$2:$R$19,MATCH('C03_ClassVariables'!$X227,T03_Skills!$B$2:$B$19,0),MATCH('C03_ClassVariables'!$V$214,T03_Skills!$D$1:$R$1,0)),0)</f>
        <v>0</v>
      </c>
      <c r="Z227" s="136">
        <f>IFERROR(INDEX(T03_Skills!$D$2:$R$19,MATCH('C03_ClassVariables'!$X227,T03_Skills!$B$2:$B$19,0),MATCH('C03_ClassVariables'!$V$215,T03_Skills!$D$1:$R$1,0)),0)</f>
        <v>0</v>
      </c>
      <c r="AA227" s="136">
        <f>IFERROR(INDEX(T03_Skills!$D$2:$R$19,MATCH('C03_ClassVariables'!$X227,T03_Skills!$B$2:$B$19,0),MATCH('C03_ClassVariables'!$V$216,T03_Skills!$D$1:$R$1,0)),0)</f>
        <v>0</v>
      </c>
      <c r="AB227" s="136">
        <f>IFERROR(INDEX(T03_Skills!$D$2:$R$19,MATCH('C03_ClassVariables'!$X227,T03_Skills!$B$2:$B$19,0),MATCH('C03_ClassVariables'!$V$217,T03_Skills!$D$1:$R$1,0)),0)</f>
        <v>0</v>
      </c>
      <c r="AC227" s="136">
        <f>IFERROR(INDEX(T03_Skills!$D$2:$R$19,MATCH('C03_ClassVariables'!$X227,T03_Skills!$B$2:$B$19,0),MATCH('C03_ClassVariables'!$V$218,T03_Skills!$D$1:$R$1,0)),0)</f>
        <v>0</v>
      </c>
      <c r="AD227" s="136">
        <f>IFERROR(INDEX(T03_Skills!$D$2:$R$19,MATCH('C03_ClassVariables'!$X227,T03_Skills!$B$2:$B$19,0),MATCH('C03_ClassVariables'!$V$219,T03_Skills!$D$1:$R$1,0)),0)</f>
        <v>0</v>
      </c>
      <c r="AE227" s="136">
        <f>IFERROR(INDEX(T03_Skills!$D$2:$R$19,MATCH('C03_ClassVariables'!$X227,T03_Skills!$B$2:$B$19,0),MATCH('C03_ClassVariables'!$V$220,T03_Skills!$D$1:$R$1,0)),0)</f>
        <v>0</v>
      </c>
      <c r="AF227" s="136">
        <f>IFERROR(INDEX(T03_Skills!$D$2:$R$19,MATCH('C03_ClassVariables'!$X227,T03_Skills!$B$2:$B$19,0),MATCH('C03_ClassVariables'!$V$221,T03_Skills!$D$1:$R$1,0)),0)</f>
        <v>0</v>
      </c>
      <c r="AG227" s="136">
        <f>IFERROR(INDEX(T03_Skills!$D$2:$R$19,MATCH('C03_ClassVariables'!$X227,T03_Skills!$B$2:$B$19,0),MATCH('C03_ClassVariables'!$V$222,T03_Skills!$D$1:$R$1,0)),0)</f>
        <v>0</v>
      </c>
      <c r="AH227" s="136">
        <f>IFERROR(INDEX(T03_Skills!$D$2:$R$19,MATCH('C03_ClassVariables'!$X227,T03_Skills!$B$2:$B$19,0),MATCH('C03_ClassVariables'!$V$223,T03_Skills!$D$1:$R$1,0)),0)</f>
        <v>0</v>
      </c>
      <c r="AI227" s="136">
        <f>IFERROR(INDEX(T03_Skills!$D$2:$R$19,MATCH('C03_ClassVariables'!$X227,T03_Skills!$B$2:$B$19,0),MATCH('C03_ClassVariables'!$V$224,T03_Skills!$D$1:$R$1,0)),0)</f>
        <v>0</v>
      </c>
      <c r="AJ227" s="136"/>
      <c r="AK227" s="504">
        <f t="shared" si="144"/>
        <v>0</v>
      </c>
      <c r="AL227" s="136"/>
      <c r="AM227" s="136"/>
      <c r="AN227" s="136"/>
      <c r="AO227" s="136"/>
      <c r="AP227" s="136"/>
      <c r="AQ227" s="136"/>
      <c r="AR227" s="136"/>
      <c r="AS227" s="136"/>
      <c r="AT227" s="136"/>
      <c r="AU227" s="136"/>
      <c r="AV227" s="136"/>
      <c r="AW227" s="136"/>
      <c r="AX227" s="136"/>
      <c r="AY227" s="136"/>
      <c r="AZ227" s="136"/>
      <c r="BA227" s="136"/>
      <c r="BB227" s="136"/>
      <c r="BC227" s="136"/>
      <c r="BD227" s="136"/>
      <c r="BE227" s="136"/>
      <c r="BF227" s="136"/>
      <c r="BG227" s="136"/>
      <c r="BH227" s="136"/>
      <c r="BI227" s="136"/>
      <c r="BJ227" s="136"/>
      <c r="BK227" s="136"/>
      <c r="BL227" s="136"/>
      <c r="BM227" s="136"/>
      <c r="BN227" s="136"/>
      <c r="BO227" s="136"/>
      <c r="BP227" s="136"/>
      <c r="BQ227" s="136"/>
      <c r="BR227" s="136"/>
      <c r="BS227" s="136"/>
      <c r="BT227" s="136"/>
      <c r="BU227" s="136"/>
      <c r="BV227" s="136"/>
      <c r="BW227" s="136"/>
      <c r="BX227" s="136"/>
      <c r="BY227" s="136"/>
      <c r="BZ227" s="136"/>
      <c r="CA227" s="136"/>
      <c r="CB227" s="136"/>
      <c r="CC227" s="136"/>
      <c r="CD227" s="136"/>
      <c r="CE227" s="136"/>
      <c r="CF227" s="136"/>
      <c r="CG227" s="136"/>
      <c r="CH227" s="136"/>
      <c r="CI227" s="136"/>
      <c r="CJ227" s="136"/>
      <c r="CK227" s="136"/>
      <c r="CL227" s="136"/>
      <c r="CM227" s="136"/>
      <c r="CN227" s="136"/>
      <c r="CO227" s="136"/>
      <c r="CP227" s="136"/>
      <c r="CQ227" s="136"/>
      <c r="CR227" s="136"/>
      <c r="CS227" s="136"/>
      <c r="CT227" s="136"/>
      <c r="CU227" s="136"/>
      <c r="CV227" s="136"/>
      <c r="CW227" s="136"/>
      <c r="CX227" s="136"/>
      <c r="CY227" s="136"/>
      <c r="CZ227" s="136"/>
      <c r="DA227" s="136"/>
      <c r="DB227" s="136"/>
      <c r="DC227" s="136"/>
      <c r="DD227" s="136"/>
      <c r="DE227" s="136"/>
      <c r="DF227" s="136"/>
      <c r="DG227" s="136"/>
      <c r="DH227" s="136"/>
      <c r="DI227" s="136"/>
      <c r="DJ227" s="136"/>
      <c r="DK227" s="151"/>
      <c r="DZ227" s="138"/>
    </row>
    <row r="228" spans="1:130" ht="16.5" x14ac:dyDescent="0.3">
      <c r="A228" s="132">
        <f>IFERROR(IF(A227+1&lt;MAX(T041_ClassFeatures!$A$2:$A$2033),A227+1,""),"")</f>
        <v>225</v>
      </c>
      <c r="B228" s="131" t="str">
        <f>IFERROR(INDEX(T041_ClassFeatures!$B$2:$B$2033,MATCH('C03_ClassVariables'!A228,T041_ClassFeatures!$A$2:$A$2033,0),1),"")</f>
        <v>Circle Forms</v>
      </c>
      <c r="C228" s="131">
        <f>IF(B228="",0,IF(IFERROR(MATCH(B228,'C01_BaseCalculation'!$W$160:$W$239,0),0)&gt;0,1,0))</f>
        <v>0</v>
      </c>
      <c r="G228" s="150"/>
      <c r="H228" s="136"/>
      <c r="I228" s="350" t="s">
        <v>4695</v>
      </c>
      <c r="J228" s="136"/>
      <c r="K228" s="136"/>
      <c r="L228" s="136"/>
      <c r="M228" s="136"/>
      <c r="N228" s="136"/>
      <c r="O228" s="136"/>
      <c r="P228" s="136"/>
      <c r="Q228" s="136"/>
      <c r="R228" s="136"/>
      <c r="S228" s="136"/>
      <c r="T228" s="136"/>
      <c r="U228" s="136"/>
      <c r="V228" s="136"/>
      <c r="W228" s="136"/>
      <c r="X228" s="136" t="s">
        <v>72</v>
      </c>
      <c r="Y228" s="136">
        <f>IFERROR(INDEX(T03_Skills!$D$2:$R$19,MATCH('C03_ClassVariables'!$X228,T03_Skills!$B$2:$B$19,0),MATCH('C03_ClassVariables'!$V$214,T03_Skills!$D$1:$R$1,0)),0)</f>
        <v>0</v>
      </c>
      <c r="Z228" s="136">
        <f>IFERROR(INDEX(T03_Skills!$D$2:$R$19,MATCH('C03_ClassVariables'!$X228,T03_Skills!$B$2:$B$19,0),MATCH('C03_ClassVariables'!$V$215,T03_Skills!$D$1:$R$1,0)),0)</f>
        <v>0</v>
      </c>
      <c r="AA228" s="136">
        <f>IFERROR(INDEX(T03_Skills!$D$2:$R$19,MATCH('C03_ClassVariables'!$X228,T03_Skills!$B$2:$B$19,0),MATCH('C03_ClassVariables'!$V$216,T03_Skills!$D$1:$R$1,0)),0)</f>
        <v>0</v>
      </c>
      <c r="AB228" s="136">
        <f>IFERROR(INDEX(T03_Skills!$D$2:$R$19,MATCH('C03_ClassVariables'!$X228,T03_Skills!$B$2:$B$19,0),MATCH('C03_ClassVariables'!$V$217,T03_Skills!$D$1:$R$1,0)),0)</f>
        <v>0</v>
      </c>
      <c r="AC228" s="136">
        <f>IFERROR(INDEX(T03_Skills!$D$2:$R$19,MATCH('C03_ClassVariables'!$X228,T03_Skills!$B$2:$B$19,0),MATCH('C03_ClassVariables'!$V$218,T03_Skills!$D$1:$R$1,0)),0)</f>
        <v>0</v>
      </c>
      <c r="AD228" s="136">
        <f>IFERROR(INDEX(T03_Skills!$D$2:$R$19,MATCH('C03_ClassVariables'!$X228,T03_Skills!$B$2:$B$19,0),MATCH('C03_ClassVariables'!$V$219,T03_Skills!$D$1:$R$1,0)),0)</f>
        <v>0</v>
      </c>
      <c r="AE228" s="136">
        <f>IFERROR(INDEX(T03_Skills!$D$2:$R$19,MATCH('C03_ClassVariables'!$X228,T03_Skills!$B$2:$B$19,0),MATCH('C03_ClassVariables'!$V$220,T03_Skills!$D$1:$R$1,0)),0)</f>
        <v>0</v>
      </c>
      <c r="AF228" s="136">
        <f>IFERROR(INDEX(T03_Skills!$D$2:$R$19,MATCH('C03_ClassVariables'!$X228,T03_Skills!$B$2:$B$19,0),MATCH('C03_ClassVariables'!$V$221,T03_Skills!$D$1:$R$1,0)),0)</f>
        <v>0</v>
      </c>
      <c r="AG228" s="136">
        <f>IFERROR(INDEX(T03_Skills!$D$2:$R$19,MATCH('C03_ClassVariables'!$X228,T03_Skills!$B$2:$B$19,0),MATCH('C03_ClassVariables'!$V$222,T03_Skills!$D$1:$R$1,0)),0)</f>
        <v>0</v>
      </c>
      <c r="AH228" s="136">
        <f>IFERROR(INDEX(T03_Skills!$D$2:$R$19,MATCH('C03_ClassVariables'!$X228,T03_Skills!$B$2:$B$19,0),MATCH('C03_ClassVariables'!$V$223,T03_Skills!$D$1:$R$1,0)),0)</f>
        <v>0</v>
      </c>
      <c r="AI228" s="136">
        <f>IFERROR(INDEX(T03_Skills!$D$2:$R$19,MATCH('C03_ClassVariables'!$X228,T03_Skills!$B$2:$B$19,0),MATCH('C03_ClassVariables'!$V$224,T03_Skills!$D$1:$R$1,0)),0)</f>
        <v>0</v>
      </c>
      <c r="AJ228" s="136"/>
      <c r="AK228" s="504">
        <f t="shared" si="144"/>
        <v>0</v>
      </c>
      <c r="AL228" s="136"/>
      <c r="AM228" s="136"/>
      <c r="AN228" s="136"/>
      <c r="AO228" s="136"/>
      <c r="AP228" s="136"/>
      <c r="AQ228" s="136"/>
      <c r="AR228" s="136"/>
      <c r="AS228" s="136"/>
      <c r="AT228" s="136"/>
      <c r="AU228" s="136"/>
      <c r="AV228" s="136"/>
      <c r="AW228" s="136"/>
      <c r="AX228" s="136"/>
      <c r="AY228" s="136"/>
      <c r="AZ228" s="136"/>
      <c r="BA228" s="136"/>
      <c r="BB228" s="136"/>
      <c r="BC228" s="136"/>
      <c r="BD228" s="136"/>
      <c r="BE228" s="136"/>
      <c r="BF228" s="136"/>
      <c r="BG228" s="136"/>
      <c r="BH228" s="136"/>
      <c r="BI228" s="136"/>
      <c r="BJ228" s="136"/>
      <c r="BK228" s="136"/>
      <c r="BL228" s="136"/>
      <c r="BM228" s="136"/>
      <c r="BN228" s="136"/>
      <c r="BO228" s="136"/>
      <c r="BP228" s="136"/>
      <c r="BQ228" s="136"/>
      <c r="BR228" s="136"/>
      <c r="BS228" s="136"/>
      <c r="BT228" s="136"/>
      <c r="BU228" s="136"/>
      <c r="BV228" s="136"/>
      <c r="BW228" s="136"/>
      <c r="BX228" s="136"/>
      <c r="BY228" s="136"/>
      <c r="BZ228" s="136"/>
      <c r="CA228" s="136"/>
      <c r="CB228" s="136"/>
      <c r="CC228" s="136"/>
      <c r="CD228" s="136"/>
      <c r="CE228" s="136"/>
      <c r="CF228" s="136"/>
      <c r="CG228" s="136"/>
      <c r="CH228" s="136"/>
      <c r="CI228" s="136"/>
      <c r="CJ228" s="136"/>
      <c r="CK228" s="136"/>
      <c r="CL228" s="136"/>
      <c r="CM228" s="136"/>
      <c r="CN228" s="136"/>
      <c r="CO228" s="136"/>
      <c r="CP228" s="136"/>
      <c r="CQ228" s="136"/>
      <c r="CR228" s="136"/>
      <c r="CS228" s="136"/>
      <c r="CT228" s="136"/>
      <c r="CU228" s="136"/>
      <c r="CV228" s="136"/>
      <c r="CW228" s="136"/>
      <c r="CX228" s="136"/>
      <c r="CY228" s="136"/>
      <c r="CZ228" s="136"/>
      <c r="DA228" s="136"/>
      <c r="DB228" s="136"/>
      <c r="DC228" s="136"/>
      <c r="DD228" s="136"/>
      <c r="DE228" s="136"/>
      <c r="DF228" s="136"/>
      <c r="DG228" s="136"/>
      <c r="DH228" s="136"/>
      <c r="DI228" s="136"/>
      <c r="DJ228" s="136"/>
      <c r="DK228" s="151"/>
      <c r="DZ228" s="138"/>
    </row>
    <row r="229" spans="1:130" ht="16.5" x14ac:dyDescent="0.3">
      <c r="A229" s="132">
        <f>IFERROR(IF(A228+1&lt;MAX(T041_ClassFeatures!$A$2:$A$2033),A228+1,""),"")</f>
        <v>226</v>
      </c>
      <c r="B229" s="131" t="str">
        <f>IFERROR(INDEX(T041_ClassFeatures!$B$2:$B$2033,MATCH('C03_ClassVariables'!A229,T041_ClassFeatures!$A$2:$A$2033,0),1),"")</f>
        <v>Primal Strike</v>
      </c>
      <c r="C229" s="131">
        <f>IF(B229="",0,IF(IFERROR(MATCH(B229,'C01_BaseCalculation'!$W$160:$W$239,0),0)&gt;0,1,0))</f>
        <v>0</v>
      </c>
      <c r="G229" s="150"/>
      <c r="H229" s="136"/>
      <c r="I229" s="4" t="s">
        <v>4691</v>
      </c>
      <c r="J229" s="136" t="s">
        <v>1109</v>
      </c>
      <c r="K229" s="136"/>
      <c r="L229" s="136"/>
      <c r="M229" s="136"/>
      <c r="N229" s="136"/>
      <c r="O229" s="136"/>
      <c r="P229" s="136"/>
      <c r="Q229" s="136"/>
      <c r="R229" s="136"/>
      <c r="S229" s="136"/>
      <c r="T229" s="136"/>
      <c r="U229" s="136"/>
      <c r="V229" s="136"/>
      <c r="W229" s="136"/>
      <c r="X229" s="136" t="s">
        <v>614</v>
      </c>
      <c r="Y229" s="136">
        <f>IFERROR(INDEX(T03_Skills!$D$2:$R$19,MATCH('C03_ClassVariables'!$X229,T03_Skills!$B$2:$B$19,0),MATCH('C03_ClassVariables'!$V$214,T03_Skills!$D$1:$R$1,0)),0)</f>
        <v>0</v>
      </c>
      <c r="Z229" s="136">
        <f>IFERROR(INDEX(T03_Skills!$D$2:$R$19,MATCH('C03_ClassVariables'!$X229,T03_Skills!$B$2:$B$19,0),MATCH('C03_ClassVariables'!$V$215,T03_Skills!$D$1:$R$1,0)),0)</f>
        <v>0</v>
      </c>
      <c r="AA229" s="136">
        <f>IFERROR(INDEX(T03_Skills!$D$2:$R$19,MATCH('C03_ClassVariables'!$X229,T03_Skills!$B$2:$B$19,0),MATCH('C03_ClassVariables'!$V$216,T03_Skills!$D$1:$R$1,0)),0)</f>
        <v>0</v>
      </c>
      <c r="AB229" s="136">
        <f>IFERROR(INDEX(T03_Skills!$D$2:$R$19,MATCH('C03_ClassVariables'!$X229,T03_Skills!$B$2:$B$19,0),MATCH('C03_ClassVariables'!$V$217,T03_Skills!$D$1:$R$1,0)),0)</f>
        <v>0</v>
      </c>
      <c r="AC229" s="136">
        <f>IFERROR(INDEX(T03_Skills!$D$2:$R$19,MATCH('C03_ClassVariables'!$X229,T03_Skills!$B$2:$B$19,0),MATCH('C03_ClassVariables'!$V$218,T03_Skills!$D$1:$R$1,0)),0)</f>
        <v>0</v>
      </c>
      <c r="AD229" s="136">
        <f>IFERROR(INDEX(T03_Skills!$D$2:$R$19,MATCH('C03_ClassVariables'!$X229,T03_Skills!$B$2:$B$19,0),MATCH('C03_ClassVariables'!$V$219,T03_Skills!$D$1:$R$1,0)),0)</f>
        <v>0</v>
      </c>
      <c r="AE229" s="136">
        <f>IFERROR(INDEX(T03_Skills!$D$2:$R$19,MATCH('C03_ClassVariables'!$X229,T03_Skills!$B$2:$B$19,0),MATCH('C03_ClassVariables'!$V$220,T03_Skills!$D$1:$R$1,0)),0)</f>
        <v>0</v>
      </c>
      <c r="AF229" s="136">
        <f>IFERROR(INDEX(T03_Skills!$D$2:$R$19,MATCH('C03_ClassVariables'!$X229,T03_Skills!$B$2:$B$19,0),MATCH('C03_ClassVariables'!$V$221,T03_Skills!$D$1:$R$1,0)),0)</f>
        <v>0</v>
      </c>
      <c r="AG229" s="136">
        <f>IFERROR(INDEX(T03_Skills!$D$2:$R$19,MATCH('C03_ClassVariables'!$X229,T03_Skills!$B$2:$B$19,0),MATCH('C03_ClassVariables'!$V$222,T03_Skills!$D$1:$R$1,0)),0)</f>
        <v>0</v>
      </c>
      <c r="AH229" s="136">
        <f>IFERROR(INDEX(T03_Skills!$D$2:$R$19,MATCH('C03_ClassVariables'!$X229,T03_Skills!$B$2:$B$19,0),MATCH('C03_ClassVariables'!$V$223,T03_Skills!$D$1:$R$1,0)),0)</f>
        <v>0</v>
      </c>
      <c r="AI229" s="136">
        <f>IFERROR(INDEX(T03_Skills!$D$2:$R$19,MATCH('C03_ClassVariables'!$X229,T03_Skills!$B$2:$B$19,0),MATCH('C03_ClassVariables'!$V$224,T03_Skills!$D$1:$R$1,0)),0)</f>
        <v>0</v>
      </c>
      <c r="AJ229" s="136"/>
      <c r="AK229" s="504">
        <f t="shared" si="144"/>
        <v>0</v>
      </c>
      <c r="AL229" s="136"/>
      <c r="AM229" s="136"/>
      <c r="AN229" s="136"/>
      <c r="AO229" s="136"/>
      <c r="AP229" s="136"/>
      <c r="AQ229" s="136"/>
      <c r="AR229" s="136"/>
      <c r="AS229" s="136"/>
      <c r="AT229" s="136"/>
      <c r="AU229" s="136"/>
      <c r="AV229" s="136"/>
      <c r="AW229" s="136"/>
      <c r="AX229" s="136"/>
      <c r="AY229" s="136"/>
      <c r="AZ229" s="136"/>
      <c r="BA229" s="136"/>
      <c r="BB229" s="136"/>
      <c r="BC229" s="136"/>
      <c r="BD229" s="136"/>
      <c r="BE229" s="136"/>
      <c r="BF229" s="136"/>
      <c r="BG229" s="136"/>
      <c r="BH229" s="136"/>
      <c r="BI229" s="136"/>
      <c r="BJ229" s="136"/>
      <c r="BK229" s="136"/>
      <c r="BL229" s="136"/>
      <c r="BM229" s="136"/>
      <c r="BN229" s="136"/>
      <c r="BO229" s="136"/>
      <c r="BP229" s="136"/>
      <c r="BQ229" s="136"/>
      <c r="BR229" s="136"/>
      <c r="BS229" s="136"/>
      <c r="BT229" s="136"/>
      <c r="BU229" s="136"/>
      <c r="BV229" s="136"/>
      <c r="BW229" s="136"/>
      <c r="BX229" s="136"/>
      <c r="BY229" s="136"/>
      <c r="BZ229" s="136"/>
      <c r="CA229" s="136"/>
      <c r="CB229" s="136"/>
      <c r="CC229" s="136"/>
      <c r="CD229" s="136"/>
      <c r="CE229" s="136"/>
      <c r="CF229" s="136"/>
      <c r="CG229" s="136"/>
      <c r="CH229" s="136"/>
      <c r="CI229" s="136"/>
      <c r="CJ229" s="136"/>
      <c r="CK229" s="136"/>
      <c r="CL229" s="136"/>
      <c r="CM229" s="136"/>
      <c r="CN229" s="136"/>
      <c r="CO229" s="136"/>
      <c r="CP229" s="136"/>
      <c r="CQ229" s="136"/>
      <c r="CR229" s="136"/>
      <c r="CS229" s="136"/>
      <c r="CT229" s="136"/>
      <c r="CU229" s="136"/>
      <c r="CV229" s="136"/>
      <c r="CW229" s="136"/>
      <c r="CX229" s="136"/>
      <c r="CY229" s="136"/>
      <c r="CZ229" s="136"/>
      <c r="DA229" s="136"/>
      <c r="DB229" s="136"/>
      <c r="DC229" s="136"/>
      <c r="DD229" s="136"/>
      <c r="DE229" s="136"/>
      <c r="DF229" s="136"/>
      <c r="DG229" s="136"/>
      <c r="DH229" s="136"/>
      <c r="DI229" s="136"/>
      <c r="DJ229" s="136"/>
      <c r="DK229" s="151"/>
      <c r="DZ229" s="138"/>
    </row>
    <row r="230" spans="1:130" ht="16.5" x14ac:dyDescent="0.3">
      <c r="A230" s="132">
        <f>IFERROR(IF(A229+1&lt;MAX(T041_ClassFeatures!$A$2:$A$2033),A229+1,""),"")</f>
        <v>227</v>
      </c>
      <c r="B230" s="131" t="str">
        <f>IFERROR(INDEX(T041_ClassFeatures!$B$2:$B$2033,MATCH('C03_ClassVariables'!A230,T041_ClassFeatures!$A$2:$A$2033,0),1),"")</f>
        <v>Elemental Wild Shape</v>
      </c>
      <c r="C230" s="131">
        <f>IF(B230="",0,IF(IFERROR(MATCH(B230,'C01_BaseCalculation'!$W$160:$W$239,0),0)&gt;0,1,0))</f>
        <v>0</v>
      </c>
      <c r="G230" s="150"/>
      <c r="H230" s="136"/>
      <c r="I230" s="350" t="s">
        <v>4692</v>
      </c>
      <c r="J230" s="136" t="s">
        <v>622</v>
      </c>
      <c r="K230" s="136"/>
      <c r="L230" s="136"/>
      <c r="M230" s="136"/>
      <c r="N230" s="136"/>
      <c r="O230" s="136"/>
      <c r="P230" s="136"/>
      <c r="Q230" s="136"/>
      <c r="R230" s="136"/>
      <c r="S230" s="136"/>
      <c r="T230" s="136"/>
      <c r="U230" s="136"/>
      <c r="V230" s="136"/>
      <c r="W230" s="136"/>
      <c r="X230" s="136" t="s">
        <v>75</v>
      </c>
      <c r="Y230" s="136">
        <f>IFERROR(INDEX(T03_Skills!$D$2:$R$19,MATCH('C03_ClassVariables'!$X230,T03_Skills!$B$2:$B$19,0),MATCH('C03_ClassVariables'!$V$214,T03_Skills!$D$1:$R$1,0)),0)</f>
        <v>0</v>
      </c>
      <c r="Z230" s="136">
        <f>IFERROR(INDEX(T03_Skills!$D$2:$R$19,MATCH('C03_ClassVariables'!$X230,T03_Skills!$B$2:$B$19,0),MATCH('C03_ClassVariables'!$V$215,T03_Skills!$D$1:$R$1,0)),0)</f>
        <v>0</v>
      </c>
      <c r="AA230" s="136">
        <f>IFERROR(INDEX(T03_Skills!$D$2:$R$19,MATCH('C03_ClassVariables'!$X230,T03_Skills!$B$2:$B$19,0),MATCH('C03_ClassVariables'!$V$216,T03_Skills!$D$1:$R$1,0)),0)</f>
        <v>0</v>
      </c>
      <c r="AB230" s="136">
        <f>IFERROR(INDEX(T03_Skills!$D$2:$R$19,MATCH('C03_ClassVariables'!$X230,T03_Skills!$B$2:$B$19,0),MATCH('C03_ClassVariables'!$V$217,T03_Skills!$D$1:$R$1,0)),0)</f>
        <v>0</v>
      </c>
      <c r="AC230" s="136">
        <f>IFERROR(INDEX(T03_Skills!$D$2:$R$19,MATCH('C03_ClassVariables'!$X230,T03_Skills!$B$2:$B$19,0),MATCH('C03_ClassVariables'!$V$218,T03_Skills!$D$1:$R$1,0)),0)</f>
        <v>0</v>
      </c>
      <c r="AD230" s="136">
        <f>IFERROR(INDEX(T03_Skills!$D$2:$R$19,MATCH('C03_ClassVariables'!$X230,T03_Skills!$B$2:$B$19,0),MATCH('C03_ClassVariables'!$V$219,T03_Skills!$D$1:$R$1,0)),0)</f>
        <v>0</v>
      </c>
      <c r="AE230" s="136">
        <f>IFERROR(INDEX(T03_Skills!$D$2:$R$19,MATCH('C03_ClassVariables'!$X230,T03_Skills!$B$2:$B$19,0),MATCH('C03_ClassVariables'!$V$220,T03_Skills!$D$1:$R$1,0)),0)</f>
        <v>0</v>
      </c>
      <c r="AF230" s="136">
        <f>IFERROR(INDEX(T03_Skills!$D$2:$R$19,MATCH('C03_ClassVariables'!$X230,T03_Skills!$B$2:$B$19,0),MATCH('C03_ClassVariables'!$V$221,T03_Skills!$D$1:$R$1,0)),0)</f>
        <v>0</v>
      </c>
      <c r="AG230" s="136">
        <f>IFERROR(INDEX(T03_Skills!$D$2:$R$19,MATCH('C03_ClassVariables'!$X230,T03_Skills!$B$2:$B$19,0),MATCH('C03_ClassVariables'!$V$222,T03_Skills!$D$1:$R$1,0)),0)</f>
        <v>0</v>
      </c>
      <c r="AH230" s="136">
        <f>IFERROR(INDEX(T03_Skills!$D$2:$R$19,MATCH('C03_ClassVariables'!$X230,T03_Skills!$B$2:$B$19,0),MATCH('C03_ClassVariables'!$V$223,T03_Skills!$D$1:$R$1,0)),0)</f>
        <v>0</v>
      </c>
      <c r="AI230" s="136">
        <f>IFERROR(INDEX(T03_Skills!$D$2:$R$19,MATCH('C03_ClassVariables'!$X230,T03_Skills!$B$2:$B$19,0),MATCH('C03_ClassVariables'!$V$224,T03_Skills!$D$1:$R$1,0)),0)</f>
        <v>0</v>
      </c>
      <c r="AJ230" s="136"/>
      <c r="AK230" s="504">
        <f t="shared" si="144"/>
        <v>0</v>
      </c>
      <c r="AL230" s="136"/>
      <c r="AM230" s="136"/>
      <c r="AN230" s="136"/>
      <c r="AO230" s="136"/>
      <c r="AP230" s="136"/>
      <c r="AQ230" s="136"/>
      <c r="AR230" s="136"/>
      <c r="AS230" s="136"/>
      <c r="AT230" s="136"/>
      <c r="AU230" s="136"/>
      <c r="AV230" s="136"/>
      <c r="AW230" s="136"/>
      <c r="AX230" s="136"/>
      <c r="AY230" s="136"/>
      <c r="AZ230" s="136"/>
      <c r="BA230" s="136"/>
      <c r="BB230" s="136"/>
      <c r="BC230" s="136"/>
      <c r="BD230" s="136"/>
      <c r="BE230" s="136"/>
      <c r="BF230" s="136"/>
      <c r="BG230" s="136"/>
      <c r="BH230" s="136"/>
      <c r="BI230" s="136"/>
      <c r="BJ230" s="136"/>
      <c r="BK230" s="136"/>
      <c r="BL230" s="136"/>
      <c r="BM230" s="136"/>
      <c r="BN230" s="136"/>
      <c r="BO230" s="136"/>
      <c r="BP230" s="136"/>
      <c r="BQ230" s="136"/>
      <c r="BR230" s="136"/>
      <c r="BS230" s="136"/>
      <c r="BT230" s="136"/>
      <c r="BU230" s="136"/>
      <c r="BV230" s="136"/>
      <c r="BW230" s="136"/>
      <c r="BX230" s="136"/>
      <c r="BY230" s="136"/>
      <c r="BZ230" s="136"/>
      <c r="CA230" s="136"/>
      <c r="CB230" s="136"/>
      <c r="CC230" s="136"/>
      <c r="CD230" s="136"/>
      <c r="CE230" s="136"/>
      <c r="CF230" s="136"/>
      <c r="CG230" s="136"/>
      <c r="CH230" s="136"/>
      <c r="CI230" s="136"/>
      <c r="CJ230" s="136"/>
      <c r="CK230" s="136"/>
      <c r="CL230" s="136"/>
      <c r="CM230" s="136"/>
      <c r="CN230" s="136"/>
      <c r="CO230" s="136"/>
      <c r="CP230" s="136"/>
      <c r="CQ230" s="136"/>
      <c r="CR230" s="136"/>
      <c r="CS230" s="136"/>
      <c r="CT230" s="136"/>
      <c r="CU230" s="136"/>
      <c r="CV230" s="136"/>
      <c r="CW230" s="136"/>
      <c r="CX230" s="136"/>
      <c r="CY230" s="136"/>
      <c r="CZ230" s="136"/>
      <c r="DA230" s="136"/>
      <c r="DB230" s="136"/>
      <c r="DC230" s="136"/>
      <c r="DD230" s="136"/>
      <c r="DE230" s="136"/>
      <c r="DF230" s="136"/>
      <c r="DG230" s="136"/>
      <c r="DH230" s="136"/>
      <c r="DI230" s="136"/>
      <c r="DJ230" s="136"/>
      <c r="DK230" s="151"/>
      <c r="DZ230" s="138"/>
    </row>
    <row r="231" spans="1:130" ht="17.25" thickBot="1" x14ac:dyDescent="0.35">
      <c r="A231" s="132">
        <f>IFERROR(IF(A230+1&lt;MAX(T041_ClassFeatures!$A$2:$A$2033),A230+1,""),"")</f>
        <v>228</v>
      </c>
      <c r="B231" s="131" t="str">
        <f>IFERROR(INDEX(T041_ClassFeatures!$B$2:$B$2033,MATCH('C03_ClassVariables'!A231,T041_ClassFeatures!$A$2:$A$2033,0),1),"")</f>
        <v>Thousand Forms</v>
      </c>
      <c r="C231" s="131">
        <f>IF(B231="",0,IF(IFERROR(MATCH(B231,'C01_BaseCalculation'!$W$160:$W$239,0),0)&gt;0,1,0))</f>
        <v>0</v>
      </c>
      <c r="G231" s="150"/>
      <c r="H231" s="136"/>
      <c r="I231" s="350" t="s">
        <v>4693</v>
      </c>
      <c r="J231" s="136" t="s">
        <v>621</v>
      </c>
      <c r="K231" s="136"/>
      <c r="L231" s="136"/>
      <c r="M231" s="136"/>
      <c r="N231" s="136"/>
      <c r="O231" s="136"/>
      <c r="P231" s="136"/>
      <c r="Q231" s="136"/>
      <c r="R231" s="136"/>
      <c r="S231" s="136"/>
      <c r="T231" s="136"/>
      <c r="U231" s="136"/>
      <c r="V231" s="136"/>
      <c r="W231" s="136"/>
      <c r="X231" s="136" t="s">
        <v>80</v>
      </c>
      <c r="Y231" s="136">
        <f>IFERROR(INDEX(T03_Skills!$D$2:$R$19,MATCH('C03_ClassVariables'!$X231,T03_Skills!$B$2:$B$19,0),MATCH('C03_ClassVariables'!$V$214,T03_Skills!$D$1:$R$1,0)),0)</f>
        <v>1</v>
      </c>
      <c r="Z231" s="136">
        <f>IFERROR(INDEX(T03_Skills!$D$2:$R$19,MATCH('C03_ClassVariables'!$X231,T03_Skills!$B$2:$B$19,0),MATCH('C03_ClassVariables'!$V$215,T03_Skills!$D$1:$R$1,0)),0)</f>
        <v>0</v>
      </c>
      <c r="AA231" s="136">
        <f>IFERROR(INDEX(T03_Skills!$D$2:$R$19,MATCH('C03_ClassVariables'!$X231,T03_Skills!$B$2:$B$19,0),MATCH('C03_ClassVariables'!$V$216,T03_Skills!$D$1:$R$1,0)),0)</f>
        <v>0</v>
      </c>
      <c r="AB231" s="136">
        <f>IFERROR(INDEX(T03_Skills!$D$2:$R$19,MATCH('C03_ClassVariables'!$X231,T03_Skills!$B$2:$B$19,0),MATCH('C03_ClassVariables'!$V$217,T03_Skills!$D$1:$R$1,0)),0)</f>
        <v>0</v>
      </c>
      <c r="AC231" s="136">
        <f>IFERROR(INDEX(T03_Skills!$D$2:$R$19,MATCH('C03_ClassVariables'!$X231,T03_Skills!$B$2:$B$19,0),MATCH('C03_ClassVariables'!$V$218,T03_Skills!$D$1:$R$1,0)),0)</f>
        <v>0</v>
      </c>
      <c r="AD231" s="136">
        <f>IFERROR(INDEX(T03_Skills!$D$2:$R$19,MATCH('C03_ClassVariables'!$X231,T03_Skills!$B$2:$B$19,0),MATCH('C03_ClassVariables'!$V$219,T03_Skills!$D$1:$R$1,0)),0)</f>
        <v>0</v>
      </c>
      <c r="AE231" s="136">
        <f>IFERROR(INDEX(T03_Skills!$D$2:$R$19,MATCH('C03_ClassVariables'!$X231,T03_Skills!$B$2:$B$19,0),MATCH('C03_ClassVariables'!$V$220,T03_Skills!$D$1:$R$1,0)),0)</f>
        <v>0</v>
      </c>
      <c r="AF231" s="136">
        <f>IFERROR(INDEX(T03_Skills!$D$2:$R$19,MATCH('C03_ClassVariables'!$X231,T03_Skills!$B$2:$B$19,0),MATCH('C03_ClassVariables'!$V$221,T03_Skills!$D$1:$R$1,0)),0)</f>
        <v>0</v>
      </c>
      <c r="AG231" s="136">
        <f>IFERROR(INDEX(T03_Skills!$D$2:$R$19,MATCH('C03_ClassVariables'!$X231,T03_Skills!$B$2:$B$19,0),MATCH('C03_ClassVariables'!$V$222,T03_Skills!$D$1:$R$1,0)),0)</f>
        <v>0</v>
      </c>
      <c r="AH231" s="136">
        <f>IFERROR(INDEX(T03_Skills!$D$2:$R$19,MATCH('C03_ClassVariables'!$X231,T03_Skills!$B$2:$B$19,0),MATCH('C03_ClassVariables'!$V$223,T03_Skills!$D$1:$R$1,0)),0)</f>
        <v>0</v>
      </c>
      <c r="AI231" s="136">
        <f>IFERROR(INDEX(T03_Skills!$D$2:$R$19,MATCH('C03_ClassVariables'!$X231,T03_Skills!$B$2:$B$19,0),MATCH('C03_ClassVariables'!$V$224,T03_Skills!$D$1:$R$1,0)),0)</f>
        <v>0</v>
      </c>
      <c r="AJ231" s="136"/>
      <c r="AK231" s="505">
        <f t="shared" si="144"/>
        <v>0</v>
      </c>
      <c r="AL231" s="136"/>
      <c r="AM231" s="136"/>
      <c r="AN231" s="136"/>
      <c r="AO231" s="136"/>
      <c r="AP231" s="136"/>
      <c r="AQ231" s="136"/>
      <c r="AR231" s="136"/>
      <c r="AS231" s="136"/>
      <c r="AT231" s="136"/>
      <c r="AU231" s="136"/>
      <c r="AV231" s="136"/>
      <c r="AW231" s="136"/>
      <c r="AX231" s="136"/>
      <c r="AY231" s="136"/>
      <c r="AZ231" s="136"/>
      <c r="BA231" s="136"/>
      <c r="BB231" s="136"/>
      <c r="BC231" s="136"/>
      <c r="BD231" s="136"/>
      <c r="BE231" s="136"/>
      <c r="BF231" s="136"/>
      <c r="BG231" s="136"/>
      <c r="BH231" s="136"/>
      <c r="BI231" s="136"/>
      <c r="BJ231" s="136"/>
      <c r="BK231" s="136"/>
      <c r="BL231" s="136"/>
      <c r="BM231" s="136"/>
      <c r="BN231" s="136"/>
      <c r="BO231" s="136"/>
      <c r="BP231" s="136"/>
      <c r="BQ231" s="136"/>
      <c r="BR231" s="136"/>
      <c r="BS231" s="136"/>
      <c r="BT231" s="136"/>
      <c r="BU231" s="136"/>
      <c r="BV231" s="136"/>
      <c r="BW231" s="136"/>
      <c r="BX231" s="136"/>
      <c r="BY231" s="136"/>
      <c r="BZ231" s="136"/>
      <c r="CA231" s="136"/>
      <c r="CB231" s="136"/>
      <c r="CC231" s="136"/>
      <c r="CD231" s="136"/>
      <c r="CE231" s="136"/>
      <c r="CF231" s="136"/>
      <c r="CG231" s="136"/>
      <c r="CH231" s="136"/>
      <c r="CI231" s="136"/>
      <c r="CJ231" s="136"/>
      <c r="CK231" s="136"/>
      <c r="CL231" s="136"/>
      <c r="CM231" s="136"/>
      <c r="CN231" s="136"/>
      <c r="CO231" s="136"/>
      <c r="CP231" s="136"/>
      <c r="CQ231" s="136"/>
      <c r="CR231" s="136"/>
      <c r="CS231" s="136"/>
      <c r="CT231" s="136"/>
      <c r="CU231" s="136"/>
      <c r="CV231" s="136"/>
      <c r="CW231" s="136"/>
      <c r="CX231" s="136"/>
      <c r="CY231" s="136"/>
      <c r="CZ231" s="136"/>
      <c r="DA231" s="136"/>
      <c r="DB231" s="136"/>
      <c r="DC231" s="136"/>
      <c r="DD231" s="136"/>
      <c r="DE231" s="136"/>
      <c r="DF231" s="136"/>
      <c r="DG231" s="136"/>
      <c r="DH231" s="136"/>
      <c r="DI231" s="136"/>
      <c r="DJ231" s="136"/>
      <c r="DK231" s="151"/>
      <c r="DZ231" s="138"/>
    </row>
    <row r="232" spans="1:130" ht="16.5" x14ac:dyDescent="0.3">
      <c r="A232" s="132">
        <f>IFERROR(IF(A231+1&lt;MAX(T041_ClassFeatures!$A$2:$A$2033),A231+1,""),"")</f>
        <v>229</v>
      </c>
      <c r="B232" s="131" t="str">
        <f>IFERROR(INDEX(T041_ClassFeatures!$B$2:$B$2033,MATCH('C03_ClassVariables'!A232,T041_ClassFeatures!$A$2:$A$2033,0),1),"")</f>
        <v>Improved Criticals</v>
      </c>
      <c r="C232" s="131">
        <f>IF(B232="",0,IF(IFERROR(MATCH(B232,'C01_BaseCalculation'!$W$160:$W$239,0),0)&gt;0,1,0))</f>
        <v>0</v>
      </c>
      <c r="G232" s="150"/>
      <c r="H232" s="136"/>
      <c r="I232" s="350" t="s">
        <v>4696</v>
      </c>
      <c r="J232" s="136" t="s">
        <v>1109</v>
      </c>
      <c r="K232" s="136"/>
      <c r="L232" s="136"/>
      <c r="M232" s="136"/>
      <c r="N232" s="136"/>
      <c r="O232" s="136"/>
      <c r="P232" s="136"/>
      <c r="Q232" s="136"/>
      <c r="R232" s="136"/>
      <c r="S232" s="136"/>
      <c r="T232" s="136"/>
      <c r="U232" s="136"/>
      <c r="V232" s="136"/>
      <c r="W232" s="136"/>
      <c r="X232" s="136"/>
      <c r="Y232" s="136"/>
      <c r="Z232" s="136"/>
      <c r="AA232" s="136"/>
      <c r="AB232" s="136"/>
      <c r="AC232" s="136"/>
      <c r="AD232" s="136"/>
      <c r="AE232" s="136"/>
      <c r="AF232" s="136"/>
      <c r="AG232" s="136"/>
      <c r="AH232" s="136"/>
      <c r="AI232" s="136"/>
      <c r="AJ232" s="136"/>
      <c r="AK232" s="136"/>
      <c r="AL232" s="136"/>
      <c r="AM232" s="136"/>
      <c r="AN232" s="136"/>
      <c r="AO232" s="136"/>
      <c r="AP232" s="136"/>
      <c r="AQ232" s="136"/>
      <c r="AR232" s="136"/>
      <c r="AS232" s="136"/>
      <c r="AT232" s="136"/>
      <c r="AU232" s="136"/>
      <c r="AV232" s="136"/>
      <c r="AW232" s="136"/>
      <c r="AX232" s="136"/>
      <c r="AY232" s="136"/>
      <c r="AZ232" s="136"/>
      <c r="BA232" s="136"/>
      <c r="BB232" s="136"/>
      <c r="BC232" s="136"/>
      <c r="BD232" s="136"/>
      <c r="BE232" s="136"/>
      <c r="BF232" s="136"/>
      <c r="BG232" s="136"/>
      <c r="BH232" s="136"/>
      <c r="BI232" s="136"/>
      <c r="BJ232" s="136"/>
      <c r="BK232" s="136"/>
      <c r="BL232" s="136"/>
      <c r="BM232" s="136"/>
      <c r="BN232" s="136"/>
      <c r="BO232" s="136"/>
      <c r="BP232" s="136"/>
      <c r="BQ232" s="136"/>
      <c r="BR232" s="136"/>
      <c r="BS232" s="136"/>
      <c r="BT232" s="136"/>
      <c r="BU232" s="136"/>
      <c r="BV232" s="136"/>
      <c r="BW232" s="136"/>
      <c r="BX232" s="136"/>
      <c r="BY232" s="136"/>
      <c r="BZ232" s="136"/>
      <c r="CA232" s="136"/>
      <c r="CB232" s="136"/>
      <c r="CC232" s="136"/>
      <c r="CD232" s="136"/>
      <c r="CE232" s="136"/>
      <c r="CF232" s="136"/>
      <c r="CG232" s="136"/>
      <c r="CH232" s="136"/>
      <c r="CI232" s="136"/>
      <c r="CJ232" s="136"/>
      <c r="CK232" s="136"/>
      <c r="CL232" s="136"/>
      <c r="CM232" s="136"/>
      <c r="CN232" s="136"/>
      <c r="CO232" s="136"/>
      <c r="CP232" s="136"/>
      <c r="CQ232" s="136"/>
      <c r="CR232" s="136"/>
      <c r="CS232" s="136"/>
      <c r="CT232" s="136"/>
      <c r="CU232" s="136"/>
      <c r="CV232" s="136"/>
      <c r="CW232" s="136"/>
      <c r="CX232" s="136"/>
      <c r="CY232" s="136"/>
      <c r="CZ232" s="136"/>
      <c r="DA232" s="136"/>
      <c r="DB232" s="136"/>
      <c r="DC232" s="136"/>
      <c r="DD232" s="136"/>
      <c r="DE232" s="136"/>
      <c r="DF232" s="136"/>
      <c r="DG232" s="136"/>
      <c r="DH232" s="136"/>
      <c r="DI232" s="136"/>
      <c r="DJ232" s="136"/>
      <c r="DK232" s="151"/>
      <c r="DZ232" s="138"/>
    </row>
    <row r="233" spans="1:130" ht="16.5" x14ac:dyDescent="0.3">
      <c r="A233" s="132">
        <f>IFERROR(IF(A232+1&lt;MAX(T041_ClassFeatures!$A$2:$A$2033),A232+1,""),"")</f>
        <v>230</v>
      </c>
      <c r="B233" s="131" t="str">
        <f>IFERROR(INDEX(T041_ClassFeatures!$B$2:$B$2033,MATCH('C03_ClassVariables'!A233,T041_ClassFeatures!$A$2:$A$2033,0),1),"")</f>
        <v>Remarkable Athlete</v>
      </c>
      <c r="C233" s="131">
        <f>IF(B233="",0,IF(IFERROR(MATCH(B233,'C01_BaseCalculation'!$W$160:$W$239,0),0)&gt;0,1,0))</f>
        <v>0</v>
      </c>
      <c r="G233" s="150"/>
      <c r="H233" s="136"/>
      <c r="I233" s="350" t="s">
        <v>4697</v>
      </c>
      <c r="J233" s="136" t="s">
        <v>1109</v>
      </c>
      <c r="K233" s="136"/>
      <c r="L233" s="136"/>
      <c r="M233" s="136"/>
      <c r="N233" s="136"/>
      <c r="O233" s="136"/>
      <c r="P233" s="136"/>
      <c r="Q233" s="136"/>
      <c r="R233" s="136"/>
      <c r="S233" s="136"/>
      <c r="T233" s="136"/>
      <c r="U233" s="136"/>
      <c r="V233" s="136"/>
      <c r="W233" s="136"/>
      <c r="X233" s="136"/>
      <c r="Y233" s="136"/>
      <c r="Z233" s="136"/>
      <c r="AA233" s="136"/>
      <c r="AB233" s="136"/>
      <c r="AC233" s="136"/>
      <c r="AD233" s="136"/>
      <c r="AE233" s="136"/>
      <c r="AF233" s="136"/>
      <c r="AG233" s="136"/>
      <c r="AH233" s="136"/>
      <c r="AI233" s="136"/>
      <c r="AJ233" s="136"/>
      <c r="AK233" s="136"/>
      <c r="AL233" s="136"/>
      <c r="AM233" s="136"/>
      <c r="AN233" s="136"/>
      <c r="AO233" s="136"/>
      <c r="AP233" s="136"/>
      <c r="AQ233" s="136"/>
      <c r="AR233" s="136"/>
      <c r="AS233" s="136"/>
      <c r="AT233" s="136"/>
      <c r="AU233" s="136"/>
      <c r="AV233" s="136"/>
      <c r="AW233" s="136"/>
      <c r="AX233" s="136"/>
      <c r="AY233" s="136"/>
      <c r="AZ233" s="136"/>
      <c r="BA233" s="136"/>
      <c r="BB233" s="136"/>
      <c r="BC233" s="136"/>
      <c r="BD233" s="136"/>
      <c r="BE233" s="136"/>
      <c r="BF233" s="136"/>
      <c r="BG233" s="136"/>
      <c r="BH233" s="136"/>
      <c r="BI233" s="136"/>
      <c r="BJ233" s="136"/>
      <c r="BK233" s="136"/>
      <c r="BL233" s="136"/>
      <c r="BM233" s="136"/>
      <c r="BN233" s="136"/>
      <c r="BO233" s="136"/>
      <c r="BP233" s="136"/>
      <c r="BQ233" s="136"/>
      <c r="BR233" s="136"/>
      <c r="BS233" s="136"/>
      <c r="BT233" s="136"/>
      <c r="BU233" s="136"/>
      <c r="BV233" s="136"/>
      <c r="BW233" s="136"/>
      <c r="BX233" s="136"/>
      <c r="BY233" s="136"/>
      <c r="BZ233" s="136"/>
      <c r="CA233" s="136"/>
      <c r="CB233" s="136"/>
      <c r="CC233" s="136"/>
      <c r="CD233" s="136"/>
      <c r="CE233" s="136"/>
      <c r="CF233" s="136"/>
      <c r="CG233" s="136"/>
      <c r="CH233" s="136"/>
      <c r="CI233" s="136"/>
      <c r="CJ233" s="136"/>
      <c r="CK233" s="136"/>
      <c r="CL233" s="136"/>
      <c r="CM233" s="136"/>
      <c r="CN233" s="136"/>
      <c r="CO233" s="136"/>
      <c r="CP233" s="136"/>
      <c r="CQ233" s="136"/>
      <c r="CR233" s="136"/>
      <c r="CS233" s="136"/>
      <c r="CT233" s="136"/>
      <c r="CU233" s="136"/>
      <c r="CV233" s="136"/>
      <c r="CW233" s="136"/>
      <c r="CX233" s="136"/>
      <c r="CY233" s="136"/>
      <c r="CZ233" s="136"/>
      <c r="DA233" s="136"/>
      <c r="DB233" s="136"/>
      <c r="DC233" s="136"/>
      <c r="DD233" s="136"/>
      <c r="DE233" s="136"/>
      <c r="DF233" s="136"/>
      <c r="DG233" s="136"/>
      <c r="DH233" s="136"/>
      <c r="DI233" s="136"/>
      <c r="DJ233" s="136"/>
      <c r="DK233" s="151"/>
      <c r="DZ233" s="138"/>
    </row>
    <row r="234" spans="1:130" ht="16.5" x14ac:dyDescent="0.3">
      <c r="A234" s="132">
        <f>IFERROR(IF(A233+1&lt;MAX(T041_ClassFeatures!$A$2:$A$2033),A233+1,""),"")</f>
        <v>231</v>
      </c>
      <c r="B234" s="131" t="str">
        <f>IFERROR(INDEX(T041_ClassFeatures!$B$2:$B$2033,MATCH('C03_ClassVariables'!A234,T041_ClassFeatures!$A$2:$A$2033,0),1),"")</f>
        <v>Additional Fighting Style</v>
      </c>
      <c r="C234" s="131">
        <f>IF(B234="",0,IF(IFERROR(MATCH(B234,'C01_BaseCalculation'!$W$160:$W$239,0),0)&gt;0,1,0))</f>
        <v>0</v>
      </c>
      <c r="G234" s="150"/>
      <c r="H234" s="136"/>
      <c r="I234" s="350" t="s">
        <v>4698</v>
      </c>
      <c r="J234" s="136" t="s">
        <v>1109</v>
      </c>
      <c r="K234" s="136"/>
      <c r="L234" s="136"/>
      <c r="M234" s="136"/>
      <c r="N234" s="136"/>
      <c r="O234" s="136"/>
      <c r="P234" s="136"/>
      <c r="Q234" s="136"/>
      <c r="R234" s="136"/>
      <c r="S234" s="136"/>
      <c r="T234" s="136"/>
      <c r="U234" s="136"/>
      <c r="V234" s="136"/>
      <c r="W234" s="136"/>
      <c r="X234" s="136"/>
      <c r="Y234" s="136"/>
      <c r="Z234" s="136"/>
      <c r="AA234" s="136"/>
      <c r="AB234" s="136"/>
      <c r="AC234" s="136"/>
      <c r="AD234" s="136"/>
      <c r="AE234" s="136"/>
      <c r="AF234" s="136"/>
      <c r="AG234" s="136"/>
      <c r="AH234" s="136"/>
      <c r="AI234" s="136"/>
      <c r="AJ234" s="136"/>
      <c r="AK234" s="136"/>
      <c r="AL234" s="136"/>
      <c r="AM234" s="136"/>
      <c r="AN234" s="136"/>
      <c r="AO234" s="136"/>
      <c r="AP234" s="136"/>
      <c r="AQ234" s="136"/>
      <c r="AR234" s="136"/>
      <c r="AS234" s="136"/>
      <c r="AT234" s="136"/>
      <c r="AU234" s="136"/>
      <c r="AV234" s="136"/>
      <c r="AW234" s="136"/>
      <c r="AX234" s="136"/>
      <c r="AY234" s="136"/>
      <c r="AZ234" s="136"/>
      <c r="BA234" s="136"/>
      <c r="BB234" s="136"/>
      <c r="BC234" s="136"/>
      <c r="BD234" s="136"/>
      <c r="BE234" s="136"/>
      <c r="BF234" s="136"/>
      <c r="BG234" s="136"/>
      <c r="BH234" s="136"/>
      <c r="BI234" s="136"/>
      <c r="BJ234" s="136"/>
      <c r="BK234" s="136"/>
      <c r="BL234" s="136"/>
      <c r="BM234" s="136"/>
      <c r="BN234" s="136"/>
      <c r="BO234" s="136"/>
      <c r="BP234" s="136"/>
      <c r="BQ234" s="136"/>
      <c r="BR234" s="136"/>
      <c r="BS234" s="136"/>
      <c r="BT234" s="136"/>
      <c r="BU234" s="136"/>
      <c r="BV234" s="136"/>
      <c r="BW234" s="136"/>
      <c r="BX234" s="136"/>
      <c r="BY234" s="136"/>
      <c r="BZ234" s="136"/>
      <c r="CA234" s="136"/>
      <c r="CB234" s="136"/>
      <c r="CC234" s="136"/>
      <c r="CD234" s="136"/>
      <c r="CE234" s="136"/>
      <c r="CF234" s="136"/>
      <c r="CG234" s="136"/>
      <c r="CH234" s="136"/>
      <c r="CI234" s="136"/>
      <c r="CJ234" s="136"/>
      <c r="CK234" s="136"/>
      <c r="CL234" s="136"/>
      <c r="CM234" s="136"/>
      <c r="CN234" s="136"/>
      <c r="CO234" s="136"/>
      <c r="CP234" s="136"/>
      <c r="CQ234" s="136"/>
      <c r="CR234" s="136"/>
      <c r="CS234" s="136"/>
      <c r="CT234" s="136"/>
      <c r="CU234" s="136"/>
      <c r="CV234" s="136"/>
      <c r="CW234" s="136"/>
      <c r="CX234" s="136"/>
      <c r="CY234" s="136"/>
      <c r="CZ234" s="136"/>
      <c r="DA234" s="136"/>
      <c r="DB234" s="136"/>
      <c r="DC234" s="136"/>
      <c r="DD234" s="136"/>
      <c r="DE234" s="136"/>
      <c r="DF234" s="136"/>
      <c r="DG234" s="136"/>
      <c r="DH234" s="136"/>
      <c r="DI234" s="136"/>
      <c r="DJ234" s="136"/>
      <c r="DK234" s="151"/>
      <c r="DZ234" s="138"/>
    </row>
    <row r="235" spans="1:130" ht="17.25" x14ac:dyDescent="0.35">
      <c r="A235" s="132">
        <f>IFERROR(IF(A234+1&lt;MAX(T041_ClassFeatures!$A$2:$A$2033),A234+1,""),"")</f>
        <v>232</v>
      </c>
      <c r="B235" s="131" t="str">
        <f>IFERROR(INDEX(T041_ClassFeatures!$B$2:$B$2033,MATCH('C03_ClassVariables'!A235,T041_ClassFeatures!$A$2:$A$2033,0),1),"")</f>
        <v>Superior Critical</v>
      </c>
      <c r="C235" s="131">
        <f>IF(B235="",0,IF(IFERROR(MATCH(B235,'C01_BaseCalculation'!$W$160:$W$239,0),0)&gt;0,1,0))</f>
        <v>0</v>
      </c>
      <c r="G235" s="150"/>
      <c r="H235" s="136"/>
      <c r="I235" s="352" t="s">
        <v>5994</v>
      </c>
      <c r="J235" s="136" t="s">
        <v>5239</v>
      </c>
      <c r="K235" s="136"/>
      <c r="L235" s="136"/>
      <c r="M235" s="136"/>
      <c r="N235" s="136"/>
      <c r="O235" s="136"/>
      <c r="P235" s="136"/>
      <c r="Q235" s="136"/>
      <c r="R235" s="136"/>
      <c r="S235" s="136"/>
      <c r="T235" s="136"/>
      <c r="U235" s="136"/>
      <c r="V235" s="136"/>
      <c r="W235" s="136"/>
      <c r="X235" s="136"/>
      <c r="Y235" s="136"/>
      <c r="Z235" s="136"/>
      <c r="AA235" s="136"/>
      <c r="AB235" s="136"/>
      <c r="AC235" s="136"/>
      <c r="AD235" s="136"/>
      <c r="AE235" s="136"/>
      <c r="AF235" s="136"/>
      <c r="AG235" s="136"/>
      <c r="AH235" s="136"/>
      <c r="AI235" s="136"/>
      <c r="AJ235" s="136"/>
      <c r="AK235" s="136"/>
      <c r="AL235" s="136"/>
      <c r="AM235" s="136"/>
      <c r="AN235" s="136"/>
      <c r="AO235" s="136"/>
      <c r="AP235" s="136"/>
      <c r="AQ235" s="136"/>
      <c r="AR235" s="136"/>
      <c r="AS235" s="136"/>
      <c r="AT235" s="136"/>
      <c r="AU235" s="136"/>
      <c r="AV235" s="136"/>
      <c r="AW235" s="136"/>
      <c r="AX235" s="136"/>
      <c r="AY235" s="136"/>
      <c r="AZ235" s="136"/>
      <c r="BA235" s="136"/>
      <c r="BB235" s="136"/>
      <c r="BC235" s="136"/>
      <c r="BD235" s="136"/>
      <c r="BE235" s="136"/>
      <c r="BF235" s="136"/>
      <c r="BG235" s="136"/>
      <c r="BH235" s="136"/>
      <c r="BI235" s="136"/>
      <c r="BJ235" s="136"/>
      <c r="BK235" s="136"/>
      <c r="BL235" s="136"/>
      <c r="BM235" s="136"/>
      <c r="BN235" s="136"/>
      <c r="BO235" s="136"/>
      <c r="BP235" s="136"/>
      <c r="BQ235" s="136"/>
      <c r="BR235" s="136"/>
      <c r="BS235" s="136"/>
      <c r="BT235" s="136"/>
      <c r="BU235" s="136"/>
      <c r="BV235" s="136"/>
      <c r="BW235" s="136"/>
      <c r="BX235" s="136"/>
      <c r="BY235" s="136"/>
      <c r="BZ235" s="136"/>
      <c r="CA235" s="136"/>
      <c r="CB235" s="136"/>
      <c r="CC235" s="136"/>
      <c r="CD235" s="136"/>
      <c r="CE235" s="136"/>
      <c r="CF235" s="136"/>
      <c r="CG235" s="136"/>
      <c r="CH235" s="136"/>
      <c r="CI235" s="136"/>
      <c r="CJ235" s="136"/>
      <c r="CK235" s="136"/>
      <c r="CL235" s="136"/>
      <c r="CM235" s="136"/>
      <c r="CN235" s="136"/>
      <c r="CO235" s="136"/>
      <c r="CP235" s="136"/>
      <c r="CQ235" s="136"/>
      <c r="CR235" s="136"/>
      <c r="CS235" s="136"/>
      <c r="CT235" s="136"/>
      <c r="CU235" s="136"/>
      <c r="CV235" s="136"/>
      <c r="CW235" s="136"/>
      <c r="CX235" s="136"/>
      <c r="CY235" s="136"/>
      <c r="CZ235" s="136"/>
      <c r="DA235" s="136"/>
      <c r="DB235" s="136"/>
      <c r="DC235" s="136"/>
      <c r="DD235" s="136"/>
      <c r="DE235" s="136"/>
      <c r="DF235" s="136"/>
      <c r="DG235" s="136"/>
      <c r="DH235" s="136"/>
      <c r="DI235" s="136"/>
      <c r="DJ235" s="136"/>
      <c r="DK235" s="151"/>
      <c r="DZ235" s="138"/>
    </row>
    <row r="236" spans="1:130" ht="17.25" x14ac:dyDescent="0.35">
      <c r="A236" s="132">
        <f>IFERROR(IF(A235+1&lt;MAX(T041_ClassFeatures!$A$2:$A$2033),A235+1,""),"")</f>
        <v>233</v>
      </c>
      <c r="B236" s="131" t="str">
        <f>IFERROR(INDEX(T041_ClassFeatures!$B$2:$B$2033,MATCH('C03_ClassVariables'!A236,T041_ClassFeatures!$A$2:$A$2033,0),1),"")</f>
        <v>Survivor</v>
      </c>
      <c r="C236" s="131">
        <f>IF(B236="",0,IF(IFERROR(MATCH(B236,'C01_BaseCalculation'!$W$160:$W$239,0),0)&gt;0,1,0))</f>
        <v>0</v>
      </c>
      <c r="G236" s="150"/>
      <c r="H236" s="136"/>
      <c r="I236" s="352" t="s">
        <v>5993</v>
      </c>
      <c r="J236" s="136" t="s">
        <v>5239</v>
      </c>
      <c r="K236" s="136"/>
      <c r="L236" s="136"/>
      <c r="M236" s="136"/>
      <c r="N236" s="136"/>
      <c r="O236" s="136"/>
      <c r="P236" s="136"/>
      <c r="Q236" s="136"/>
      <c r="R236" s="136"/>
      <c r="S236" s="136"/>
      <c r="T236" s="136"/>
      <c r="U236" s="136"/>
      <c r="V236" s="136"/>
      <c r="W236" s="136"/>
      <c r="X236" s="136"/>
      <c r="Y236" s="136"/>
      <c r="Z236" s="136"/>
      <c r="AA236" s="136"/>
      <c r="AB236" s="136"/>
      <c r="AC236" s="136"/>
      <c r="AD236" s="136"/>
      <c r="AE236" s="136"/>
      <c r="AF236" s="136"/>
      <c r="AG236" s="136"/>
      <c r="AH236" s="136"/>
      <c r="AI236" s="136"/>
      <c r="AJ236" s="136"/>
      <c r="AK236" s="136"/>
      <c r="AL236" s="136"/>
      <c r="AM236" s="136"/>
      <c r="AN236" s="136"/>
      <c r="AO236" s="136"/>
      <c r="AP236" s="136"/>
      <c r="AQ236" s="136"/>
      <c r="AR236" s="136"/>
      <c r="AS236" s="136"/>
      <c r="AT236" s="136"/>
      <c r="AU236" s="136"/>
      <c r="AV236" s="136"/>
      <c r="AW236" s="136"/>
      <c r="AX236" s="136"/>
      <c r="AY236" s="136"/>
      <c r="AZ236" s="136"/>
      <c r="BA236" s="136"/>
      <c r="BB236" s="136"/>
      <c r="BC236" s="136"/>
      <c r="BD236" s="136"/>
      <c r="BE236" s="136"/>
      <c r="BF236" s="136"/>
      <c r="BG236" s="136"/>
      <c r="BH236" s="136"/>
      <c r="BI236" s="136"/>
      <c r="BJ236" s="136"/>
      <c r="BK236" s="136"/>
      <c r="BL236" s="136"/>
      <c r="BM236" s="136"/>
      <c r="BN236" s="136"/>
      <c r="BO236" s="136"/>
      <c r="BP236" s="136"/>
      <c r="BQ236" s="136"/>
      <c r="BR236" s="136"/>
      <c r="BS236" s="136"/>
      <c r="BT236" s="136"/>
      <c r="BU236" s="136"/>
      <c r="BV236" s="136"/>
      <c r="BW236" s="136"/>
      <c r="BX236" s="136"/>
      <c r="BY236" s="136"/>
      <c r="BZ236" s="136"/>
      <c r="CA236" s="136"/>
      <c r="CB236" s="136"/>
      <c r="CC236" s="136"/>
      <c r="CD236" s="136"/>
      <c r="CE236" s="136"/>
      <c r="CF236" s="136"/>
      <c r="CG236" s="136"/>
      <c r="CH236" s="136"/>
      <c r="CI236" s="136"/>
      <c r="CJ236" s="136"/>
      <c r="CK236" s="136"/>
      <c r="CL236" s="136"/>
      <c r="CM236" s="136"/>
      <c r="CN236" s="136"/>
      <c r="CO236" s="136"/>
      <c r="CP236" s="136"/>
      <c r="CQ236" s="136"/>
      <c r="CR236" s="136"/>
      <c r="CS236" s="136"/>
      <c r="CT236" s="136"/>
      <c r="CU236" s="136"/>
      <c r="CV236" s="136"/>
      <c r="CW236" s="136"/>
      <c r="CX236" s="136"/>
      <c r="CY236" s="136"/>
      <c r="CZ236" s="136"/>
      <c r="DA236" s="136"/>
      <c r="DB236" s="136"/>
      <c r="DC236" s="136"/>
      <c r="DD236" s="136"/>
      <c r="DE236" s="136"/>
      <c r="DF236" s="136"/>
      <c r="DG236" s="136"/>
      <c r="DH236" s="136"/>
      <c r="DI236" s="136"/>
      <c r="DJ236" s="136"/>
      <c r="DK236" s="151"/>
      <c r="DZ236" s="138"/>
    </row>
    <row r="237" spans="1:130" ht="16.5" x14ac:dyDescent="0.3">
      <c r="A237" s="132">
        <f>IFERROR(IF(A236+1&lt;MAX(T041_ClassFeatures!$A$2:$A$2033),A236+1,""),"")</f>
        <v>234</v>
      </c>
      <c r="B237" s="131" t="str">
        <f>IFERROR(INDEX(T041_ClassFeatures!$B$2:$B$2033,MATCH('C03_ClassVariables'!A237,T041_ClassFeatures!$A$2:$A$2033,0),1),"")</f>
        <v>Combat Superiority</v>
      </c>
      <c r="C237" s="131">
        <f>IF(B237="",0,IF(IFERROR(MATCH(B237,'C01_BaseCalculation'!$W$160:$W$239,0),0)&gt;0,1,0))</f>
        <v>0</v>
      </c>
      <c r="G237" s="150"/>
      <c r="H237" s="136"/>
      <c r="I237" s="350" t="s">
        <v>2186</v>
      </c>
      <c r="J237" s="136" t="s">
        <v>1109</v>
      </c>
      <c r="K237" s="136"/>
      <c r="L237" s="136"/>
      <c r="M237" s="136"/>
      <c r="N237" s="136"/>
      <c r="O237" s="136"/>
      <c r="P237" s="136"/>
      <c r="Q237" s="136"/>
      <c r="R237" s="136"/>
      <c r="S237" s="136"/>
      <c r="T237" s="136"/>
      <c r="U237" s="136"/>
      <c r="V237" s="136"/>
      <c r="W237" s="136"/>
      <c r="X237" s="136"/>
      <c r="Y237" s="136"/>
      <c r="Z237" s="136"/>
      <c r="AA237" s="136"/>
      <c r="AB237" s="136"/>
      <c r="AC237" s="136"/>
      <c r="AD237" s="136"/>
      <c r="AE237" s="136"/>
      <c r="AF237" s="136"/>
      <c r="AG237" s="136"/>
      <c r="AH237" s="136"/>
      <c r="AI237" s="136"/>
      <c r="AJ237" s="136"/>
      <c r="AK237" s="136"/>
      <c r="AL237" s="136"/>
      <c r="AM237" s="136"/>
      <c r="AN237" s="136"/>
      <c r="AO237" s="136"/>
      <c r="AP237" s="136"/>
      <c r="AQ237" s="136"/>
      <c r="AR237" s="136"/>
      <c r="AS237" s="136"/>
      <c r="AT237" s="136"/>
      <c r="AU237" s="136"/>
      <c r="AV237" s="136"/>
      <c r="AW237" s="136"/>
      <c r="AX237" s="136"/>
      <c r="AY237" s="136"/>
      <c r="AZ237" s="136"/>
      <c r="BA237" s="136"/>
      <c r="BB237" s="136"/>
      <c r="BC237" s="136"/>
      <c r="BD237" s="136"/>
      <c r="BE237" s="136"/>
      <c r="BF237" s="136"/>
      <c r="BG237" s="136"/>
      <c r="BH237" s="136"/>
      <c r="BI237" s="136"/>
      <c r="BJ237" s="136"/>
      <c r="BK237" s="136"/>
      <c r="BL237" s="136"/>
      <c r="BM237" s="136"/>
      <c r="BN237" s="136"/>
      <c r="BO237" s="136"/>
      <c r="BP237" s="136"/>
      <c r="BQ237" s="136"/>
      <c r="BR237" s="136"/>
      <c r="BS237" s="136"/>
      <c r="BT237" s="136"/>
      <c r="BU237" s="136"/>
      <c r="BV237" s="136"/>
      <c r="BW237" s="136"/>
      <c r="BX237" s="136"/>
      <c r="BY237" s="136"/>
      <c r="BZ237" s="136"/>
      <c r="CA237" s="136"/>
      <c r="CB237" s="136"/>
      <c r="CC237" s="136"/>
      <c r="CD237" s="136"/>
      <c r="CE237" s="136"/>
      <c r="CF237" s="136"/>
      <c r="CG237" s="136"/>
      <c r="CH237" s="136"/>
      <c r="CI237" s="136"/>
      <c r="CJ237" s="136"/>
      <c r="CK237" s="136"/>
      <c r="CL237" s="136"/>
      <c r="CM237" s="136"/>
      <c r="CN237" s="136"/>
      <c r="CO237" s="136"/>
      <c r="CP237" s="136"/>
      <c r="CQ237" s="136"/>
      <c r="CR237" s="136"/>
      <c r="CS237" s="136"/>
      <c r="CT237" s="136"/>
      <c r="CU237" s="136"/>
      <c r="CV237" s="136"/>
      <c r="CW237" s="136"/>
      <c r="CX237" s="136"/>
      <c r="CY237" s="136"/>
      <c r="CZ237" s="136"/>
      <c r="DA237" s="136"/>
      <c r="DB237" s="136"/>
      <c r="DC237" s="136"/>
      <c r="DD237" s="136"/>
      <c r="DE237" s="136"/>
      <c r="DF237" s="136"/>
      <c r="DG237" s="136"/>
      <c r="DH237" s="136"/>
      <c r="DI237" s="136"/>
      <c r="DJ237" s="136"/>
      <c r="DK237" s="151"/>
      <c r="DZ237" s="138"/>
    </row>
    <row r="238" spans="1:130" ht="17.25" thickBot="1" x14ac:dyDescent="0.35">
      <c r="A238" s="132">
        <f>IFERROR(IF(A237+1&lt;MAX(T041_ClassFeatures!$A$2:$A$2033),A237+1,""),"")</f>
        <v>235</v>
      </c>
      <c r="B238" s="131" t="str">
        <f>IFERROR(INDEX(T041_ClassFeatures!$B$2:$B$2033,MATCH('C03_ClassVariables'!A238,T041_ClassFeatures!$A$2:$A$2033,0),1),"")</f>
        <v>Student of War</v>
      </c>
      <c r="C238" s="131">
        <f>IF(B238="",0,IF(IFERROR(MATCH(B238,'C01_BaseCalculation'!$W$160:$W$239,0),0)&gt;0,1,0))</f>
        <v>0</v>
      </c>
      <c r="G238" s="152"/>
      <c r="H238" s="153"/>
      <c r="I238" s="153"/>
      <c r="J238" s="153"/>
      <c r="K238" s="153"/>
      <c r="L238" s="136"/>
      <c r="M238" s="136"/>
      <c r="N238" s="136"/>
      <c r="O238" s="153"/>
      <c r="P238" s="153"/>
      <c r="Q238" s="153"/>
      <c r="R238" s="153"/>
      <c r="S238" s="153"/>
      <c r="T238" s="153"/>
      <c r="U238" s="153"/>
      <c r="V238" s="153"/>
      <c r="W238" s="153"/>
      <c r="X238" s="153"/>
      <c r="Y238" s="153"/>
      <c r="Z238" s="153"/>
      <c r="AA238" s="153"/>
      <c r="AB238" s="153"/>
      <c r="AC238" s="153"/>
      <c r="AD238" s="153"/>
      <c r="AE238" s="153"/>
      <c r="AF238" s="153"/>
      <c r="AG238" s="153"/>
      <c r="AH238" s="153"/>
      <c r="AI238" s="153"/>
      <c r="AJ238" s="153"/>
      <c r="AK238" s="153"/>
      <c r="AL238" s="153"/>
      <c r="AM238" s="153"/>
      <c r="AN238" s="153"/>
      <c r="AO238" s="153"/>
      <c r="AP238" s="153"/>
      <c r="AQ238" s="153"/>
      <c r="AR238" s="153"/>
      <c r="AS238" s="153"/>
      <c r="AT238" s="153"/>
      <c r="AU238" s="153"/>
      <c r="AV238" s="153"/>
      <c r="AW238" s="153"/>
      <c r="AX238" s="153"/>
      <c r="AY238" s="153"/>
      <c r="AZ238" s="153"/>
      <c r="BA238" s="153"/>
      <c r="BB238" s="153"/>
      <c r="BC238" s="153"/>
      <c r="BD238" s="153"/>
      <c r="BE238" s="153"/>
      <c r="BF238" s="153"/>
      <c r="BG238" s="153"/>
      <c r="BH238" s="153"/>
      <c r="BI238" s="153"/>
      <c r="BJ238" s="153"/>
      <c r="BK238" s="153"/>
      <c r="BL238" s="153"/>
      <c r="BM238" s="153"/>
      <c r="BN238" s="153"/>
      <c r="BO238" s="153"/>
      <c r="BP238" s="153"/>
      <c r="BQ238" s="153"/>
      <c r="BR238" s="153"/>
      <c r="BS238" s="153"/>
      <c r="BT238" s="153"/>
      <c r="BU238" s="153"/>
      <c r="BV238" s="153"/>
      <c r="BW238" s="153"/>
      <c r="BX238" s="153"/>
      <c r="BY238" s="153"/>
      <c r="BZ238" s="153"/>
      <c r="CA238" s="153"/>
      <c r="CB238" s="153"/>
      <c r="CC238" s="153"/>
      <c r="CD238" s="153"/>
      <c r="CE238" s="153"/>
      <c r="CF238" s="153"/>
      <c r="CG238" s="153"/>
      <c r="CH238" s="153"/>
      <c r="CI238" s="153"/>
      <c r="CJ238" s="153"/>
      <c r="CK238" s="153"/>
      <c r="CL238" s="153"/>
      <c r="CM238" s="153"/>
      <c r="CN238" s="153"/>
      <c r="CO238" s="153"/>
      <c r="CP238" s="153"/>
      <c r="CQ238" s="153"/>
      <c r="CR238" s="153"/>
      <c r="CS238" s="153"/>
      <c r="CT238" s="153"/>
      <c r="CU238" s="153"/>
      <c r="CV238" s="153"/>
      <c r="CW238" s="153"/>
      <c r="CX238" s="153"/>
      <c r="CY238" s="153"/>
      <c r="CZ238" s="153"/>
      <c r="DA238" s="153"/>
      <c r="DB238" s="153"/>
      <c r="DC238" s="153"/>
      <c r="DD238" s="153"/>
      <c r="DE238" s="153"/>
      <c r="DF238" s="153"/>
      <c r="DG238" s="153"/>
      <c r="DH238" s="153"/>
      <c r="DI238" s="153"/>
      <c r="DJ238" s="153"/>
      <c r="DK238" s="154"/>
      <c r="DZ238" s="138"/>
    </row>
    <row r="239" spans="1:130" ht="17.25" thickBot="1" x14ac:dyDescent="0.35">
      <c r="A239" s="132">
        <f>IFERROR(IF(A238+1&lt;MAX(T041_ClassFeatures!$A$2:$A$2033),A238+1,""),"")</f>
        <v>236</v>
      </c>
      <c r="B239" s="131" t="str">
        <f>IFERROR(INDEX(T041_ClassFeatures!$B$2:$B$2033,MATCH('C03_ClassVariables'!A239,T041_ClassFeatures!$A$2:$A$2033,0),1),"")</f>
        <v>Know Your Enemy</v>
      </c>
      <c r="C239" s="131">
        <f>IF(B239="",0,IF(IFERROR(MATCH(B239,'C01_BaseCalculation'!$W$160:$W$239,0),0)&gt;0,1,0))</f>
        <v>0</v>
      </c>
      <c r="F239" s="410"/>
      <c r="G239" s="410"/>
      <c r="H239" s="410"/>
      <c r="I239" s="410"/>
      <c r="J239" s="410"/>
      <c r="K239" s="410"/>
      <c r="L239" s="410"/>
      <c r="M239" s="410"/>
      <c r="N239" s="410"/>
      <c r="O239" s="410"/>
      <c r="P239" s="410"/>
      <c r="Q239" s="410"/>
      <c r="R239" s="410"/>
      <c r="S239" s="410"/>
      <c r="T239" s="410"/>
      <c r="U239" s="410"/>
      <c r="V239" s="410"/>
      <c r="W239" s="410"/>
      <c r="X239" s="410"/>
      <c r="Y239" s="410"/>
      <c r="Z239" s="410"/>
      <c r="AA239" s="410"/>
      <c r="AB239" s="410"/>
      <c r="AC239" s="410"/>
      <c r="AD239" s="410"/>
      <c r="AE239" s="410"/>
      <c r="AF239" s="410"/>
      <c r="AG239" s="410"/>
      <c r="AH239" s="410"/>
      <c r="AI239" s="410"/>
      <c r="AJ239" s="410"/>
      <c r="DZ239" s="138"/>
    </row>
    <row r="240" spans="1:130" ht="16.5" x14ac:dyDescent="0.3">
      <c r="A240" s="132">
        <f>IFERROR(IF(A239+1&lt;MAX(T041_ClassFeatures!$A$2:$A$2033),A239+1,""),"")</f>
        <v>237</v>
      </c>
      <c r="B240" s="131" t="str">
        <f>IFERROR(INDEX(T041_ClassFeatures!$B$2:$B$2033,MATCH('C03_ClassVariables'!A240,T041_ClassFeatures!$A$2:$A$2033,0),1),"")</f>
        <v>Improved Combat Superiority (d10)</v>
      </c>
      <c r="C240" s="131">
        <f>IF(B240="",0,IF(IFERROR(MATCH(B240,'C01_BaseCalculation'!$W$160:$W$239,0),0)&gt;0,1,0))</f>
        <v>0</v>
      </c>
      <c r="F240" s="410"/>
      <c r="G240" s="147"/>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9"/>
      <c r="AJ240" s="410"/>
      <c r="DZ240" s="138"/>
    </row>
    <row r="241" spans="1:130" ht="16.5" x14ac:dyDescent="0.3">
      <c r="A241" s="132">
        <f>IFERROR(IF(A240+1&lt;MAX(T041_ClassFeatures!$A$2:$A$2033),A240+1,""),"")</f>
        <v>238</v>
      </c>
      <c r="B241" s="131" t="str">
        <f>IFERROR(INDEX(T041_ClassFeatures!$B$2:$B$2033,MATCH('C03_ClassVariables'!A241,T041_ClassFeatures!$A$2:$A$2033,0),1),"")</f>
        <v>Improved Combat Superiority (d12)</v>
      </c>
      <c r="C241" s="131">
        <f>IF(B241="",0,IF(IFERROR(MATCH(B241,'C01_BaseCalculation'!$W$160:$W$239,0),0)&gt;0,1,0))</f>
        <v>0</v>
      </c>
      <c r="F241" s="410"/>
      <c r="G241" s="407"/>
      <c r="H241" s="164"/>
      <c r="I241" s="164"/>
      <c r="J241" s="164"/>
      <c r="K241" s="164"/>
      <c r="L241" s="164" t="s">
        <v>3567</v>
      </c>
      <c r="M241" s="164"/>
      <c r="N241" s="164"/>
      <c r="O241" s="164"/>
      <c r="P241" s="164"/>
      <c r="Q241" s="164"/>
      <c r="R241" s="164"/>
      <c r="S241" s="164"/>
      <c r="T241" s="164"/>
      <c r="U241" s="164"/>
      <c r="V241" s="164"/>
      <c r="W241" s="164"/>
      <c r="X241" s="164"/>
      <c r="Y241" s="164"/>
      <c r="Z241" s="164"/>
      <c r="AA241" s="164"/>
      <c r="AB241" s="164"/>
      <c r="AC241" s="164"/>
      <c r="AD241" s="164"/>
      <c r="AE241" s="164"/>
      <c r="AF241" s="164"/>
      <c r="AG241" s="164"/>
      <c r="AH241" s="164"/>
      <c r="AI241" s="151"/>
      <c r="AJ241" s="410"/>
      <c r="DZ241" s="138"/>
    </row>
    <row r="242" spans="1:130" ht="16.5" x14ac:dyDescent="0.3">
      <c r="A242" s="132">
        <f>IFERROR(IF(A241+1&lt;MAX(T041_ClassFeatures!$A$2:$A$2033),A241+1,""),"")</f>
        <v>239</v>
      </c>
      <c r="B242" s="131" t="str">
        <f>IFERROR(INDEX(T041_ClassFeatures!$B$2:$B$2033,MATCH('C03_ClassVariables'!A242,T041_ClassFeatures!$A$2:$A$2033,0),1),"")</f>
        <v>Relentless</v>
      </c>
      <c r="C242" s="131">
        <f>IF(B242="",0,IF(IFERROR(MATCH(B242,'C01_BaseCalculation'!$W$160:$W$239,0),0)&gt;0,1,0))</f>
        <v>0</v>
      </c>
      <c r="F242" s="410"/>
      <c r="G242" s="407"/>
      <c r="H242" s="164"/>
      <c r="I242" s="164"/>
      <c r="J242" s="164"/>
      <c r="K242" s="1026" t="s">
        <v>3577</v>
      </c>
      <c r="L242" s="1026"/>
      <c r="M242" s="1026"/>
      <c r="N242" s="1026" t="s">
        <v>3576</v>
      </c>
      <c r="O242" s="1026"/>
      <c r="P242" s="1026"/>
      <c r="Q242" s="1026" t="s">
        <v>3575</v>
      </c>
      <c r="R242" s="1026"/>
      <c r="S242" s="1026"/>
      <c r="T242" s="1026" t="s">
        <v>3570</v>
      </c>
      <c r="U242" s="1026"/>
      <c r="V242" s="1026"/>
      <c r="W242" s="1026" t="s">
        <v>3571</v>
      </c>
      <c r="X242" s="1026"/>
      <c r="Y242" s="1026"/>
      <c r="Z242" s="1026" t="s">
        <v>3572</v>
      </c>
      <c r="AA242" s="1026"/>
      <c r="AB242" s="1026"/>
      <c r="AC242" s="1026" t="s">
        <v>3573</v>
      </c>
      <c r="AD242" s="1026"/>
      <c r="AE242" s="1026"/>
      <c r="AF242" s="1026" t="s">
        <v>3574</v>
      </c>
      <c r="AG242" s="1026"/>
      <c r="AH242" s="1026"/>
      <c r="AI242" s="151"/>
      <c r="AJ242" s="410"/>
      <c r="DZ242" s="138"/>
    </row>
    <row r="243" spans="1:130" ht="16.5" x14ac:dyDescent="0.3">
      <c r="A243" s="132">
        <f>IFERROR(IF(A242+1&lt;MAX(T041_ClassFeatures!$A$2:$A$2033),A242+1,""),"")</f>
        <v>240</v>
      </c>
      <c r="B243" s="131" t="str">
        <f>IFERROR(INDEX(T041_ClassFeatures!$B$2:$B$2033,MATCH('C03_ClassVariables'!A243,T041_ClassFeatures!$A$2:$A$2033,0),1),"")</f>
        <v>Weapon Bond</v>
      </c>
      <c r="C243" s="131">
        <f>IF(B243="",0,IF(IFERROR(MATCH(B243,'C01_BaseCalculation'!$W$160:$W$239,0),0)&gt;0,1,0))</f>
        <v>1</v>
      </c>
      <c r="F243" s="410"/>
      <c r="G243" s="407" t="str">
        <f>T03_Skills!B2</f>
        <v>Acrobatics</v>
      </c>
      <c r="H243" s="164">
        <f>AK214</f>
        <v>1</v>
      </c>
      <c r="I243" s="164"/>
      <c r="J243" s="164"/>
      <c r="K243" s="164">
        <f t="shared" ref="K243:K261" si="146">IF(H243&gt;0,1,0)</f>
        <v>1</v>
      </c>
      <c r="L243" s="164">
        <f>IF(K243=0,0,1)</f>
        <v>1</v>
      </c>
      <c r="M243" s="408">
        <f t="shared" ref="M243:M261" si="147">IF(Expertise1=$G243,1,0)</f>
        <v>0</v>
      </c>
      <c r="N243" s="164">
        <f t="shared" ref="N243:N261" si="148">K243-M243</f>
        <v>1</v>
      </c>
      <c r="O243" s="164">
        <f>IF(N243=0,0,1)</f>
        <v>1</v>
      </c>
      <c r="P243" s="408">
        <f t="shared" ref="P243:P261" si="149">IF(Expertise2=$G243,1,0)</f>
        <v>0</v>
      </c>
      <c r="Q243" s="164">
        <f t="shared" ref="Q243:Q261" si="150">N243-P243</f>
        <v>1</v>
      </c>
      <c r="R243" s="164">
        <f>IF(Q243=0,0,1)</f>
        <v>1</v>
      </c>
      <c r="S243" s="408">
        <f t="shared" ref="S243:S261" si="151">IF(Expertise3=$G243,1,0)</f>
        <v>0</v>
      </c>
      <c r="T243" s="164">
        <f t="shared" ref="T243:T261" si="152">Q243-S243</f>
        <v>1</v>
      </c>
      <c r="U243" s="164">
        <f>IF(T243=0,0,1)</f>
        <v>1</v>
      </c>
      <c r="V243" s="408">
        <f t="shared" ref="V243:V261" si="153">IF(Expertise4=$G243,1,0)</f>
        <v>0</v>
      </c>
      <c r="W243" s="164">
        <f t="shared" ref="W243:W261" si="154">T243-V243</f>
        <v>1</v>
      </c>
      <c r="X243" s="164">
        <f>IF(W243=0,0,1)</f>
        <v>1</v>
      </c>
      <c r="Y243" s="408">
        <f t="shared" ref="Y243:Y261" si="155">IF(Expertise5=$G243,1,0)</f>
        <v>0</v>
      </c>
      <c r="Z243" s="164">
        <f t="shared" ref="Z243:Z261" si="156">W243-Y243</f>
        <v>1</v>
      </c>
      <c r="AA243" s="164">
        <f>IF(Z243=0,0,1)</f>
        <v>1</v>
      </c>
      <c r="AB243" s="408">
        <f t="shared" ref="AB243:AB261" si="157">IF(Expertise6=$G243,1,0)</f>
        <v>0</v>
      </c>
      <c r="AC243" s="164">
        <f t="shared" ref="AC243:AC261" si="158">Z243-AB243</f>
        <v>1</v>
      </c>
      <c r="AD243" s="164">
        <f>IF(AC243=0,0,1)</f>
        <v>1</v>
      </c>
      <c r="AE243" s="408">
        <f t="shared" ref="AE243:AE261" si="159">IF(Expertise7=$G243,1,0)</f>
        <v>0</v>
      </c>
      <c r="AF243" s="164">
        <f t="shared" ref="AF243:AF261" si="160">AC243-AE243</f>
        <v>1</v>
      </c>
      <c r="AG243" s="164">
        <f>IF(AF243=0,0,1)</f>
        <v>1</v>
      </c>
      <c r="AH243" s="408">
        <f t="shared" ref="AH243:AH261" si="161">IF(Expertise8=$G243,1,0)</f>
        <v>0</v>
      </c>
      <c r="AI243" s="151"/>
      <c r="AJ243" s="410"/>
      <c r="DZ243" s="138"/>
    </row>
    <row r="244" spans="1:130" ht="16.5" x14ac:dyDescent="0.3">
      <c r="A244" s="132">
        <f>IFERROR(IF(A243+1&lt;MAX(T041_ClassFeatures!$A$2:$A$2033),A243+1,""),"")</f>
        <v>241</v>
      </c>
      <c r="B244" s="131" t="str">
        <f>IFERROR(INDEX(T041_ClassFeatures!$B$2:$B$2033,MATCH('C03_ClassVariables'!A244,T041_ClassFeatures!$A$2:$A$2033,0),1),"")</f>
        <v>War Magic</v>
      </c>
      <c r="C244" s="131">
        <f>IF(B244="",0,IF(IFERROR(MATCH(B244,'C01_BaseCalculation'!$W$160:$W$239,0),0)&gt;0,1,0))</f>
        <v>1</v>
      </c>
      <c r="F244" s="410"/>
      <c r="G244" s="407" t="str">
        <f>T03_Skills!B3</f>
        <v>Animal Handling</v>
      </c>
      <c r="H244" s="164">
        <f t="shared" ref="H244:H260" si="162">AK215</f>
        <v>0</v>
      </c>
      <c r="I244" s="164"/>
      <c r="J244" s="164"/>
      <c r="K244" s="164">
        <f t="shared" si="146"/>
        <v>0</v>
      </c>
      <c r="L244" s="142">
        <f>IF(K244=0,0,K244+COUNTIF(L$243:L243,"&gt;0"))</f>
        <v>0</v>
      </c>
      <c r="M244" s="408">
        <f t="shared" si="147"/>
        <v>0</v>
      </c>
      <c r="N244" s="164">
        <f t="shared" si="148"/>
        <v>0</v>
      </c>
      <c r="O244" s="142">
        <f>IF(N244=0,0,N244+COUNTIF(O$243:O243,"&gt;0"))</f>
        <v>0</v>
      </c>
      <c r="P244" s="408">
        <f t="shared" si="149"/>
        <v>0</v>
      </c>
      <c r="Q244" s="164">
        <f t="shared" si="150"/>
        <v>0</v>
      </c>
      <c r="R244" s="142">
        <f>IF(Q244=0,0,Q244+COUNTIF(R$243:R243,"&gt;0"))</f>
        <v>0</v>
      </c>
      <c r="S244" s="408">
        <f t="shared" si="151"/>
        <v>0</v>
      </c>
      <c r="T244" s="164">
        <f t="shared" si="152"/>
        <v>0</v>
      </c>
      <c r="U244" s="142">
        <f>IF(T244=0,0,T244+COUNTIF(U$243:U243,"&gt;0"))</f>
        <v>0</v>
      </c>
      <c r="V244" s="408">
        <f t="shared" si="153"/>
        <v>0</v>
      </c>
      <c r="W244" s="164">
        <f t="shared" si="154"/>
        <v>0</v>
      </c>
      <c r="X244" s="142">
        <f>IF(W244=0,0,W244+COUNTIF(X$243:X243,"&gt;0"))</f>
        <v>0</v>
      </c>
      <c r="Y244" s="408">
        <f t="shared" si="155"/>
        <v>0</v>
      </c>
      <c r="Z244" s="164">
        <f t="shared" si="156"/>
        <v>0</v>
      </c>
      <c r="AA244" s="142">
        <f>IF(Z244=0,0,Z244+COUNTIF(AA$243:AA243,"&gt;0"))</f>
        <v>0</v>
      </c>
      <c r="AB244" s="408">
        <f t="shared" si="157"/>
        <v>0</v>
      </c>
      <c r="AC244" s="164">
        <f t="shared" si="158"/>
        <v>0</v>
      </c>
      <c r="AD244" s="142">
        <f>IF(AC244=0,0,AC244+COUNTIF(AD$243:AD243,"&gt;0"))</f>
        <v>0</v>
      </c>
      <c r="AE244" s="408">
        <f t="shared" si="159"/>
        <v>0</v>
      </c>
      <c r="AF244" s="164">
        <f t="shared" si="160"/>
        <v>0</v>
      </c>
      <c r="AG244" s="142">
        <f>IF(AF244=0,0,AF244+COUNTIF(AG$243:AG243,"&gt;0"))</f>
        <v>0</v>
      </c>
      <c r="AH244" s="408">
        <f t="shared" si="161"/>
        <v>0</v>
      </c>
      <c r="AI244" s="151"/>
      <c r="AJ244" s="410"/>
      <c r="DZ244" s="138"/>
    </row>
    <row r="245" spans="1:130" ht="16.5" x14ac:dyDescent="0.3">
      <c r="A245" s="132">
        <f>IFERROR(IF(A244+1&lt;MAX(T041_ClassFeatures!$A$2:$A$2033),A244+1,""),"")</f>
        <v>242</v>
      </c>
      <c r="B245" s="131" t="str">
        <f>IFERROR(INDEX(T041_ClassFeatures!$B$2:$B$2033,MATCH('C03_ClassVariables'!A245,T041_ClassFeatures!$A$2:$A$2033,0),1),"")</f>
        <v>Eldritch Strike</v>
      </c>
      <c r="C245" s="131">
        <f>IF(B245="",0,IF(IFERROR(MATCH(B245,'C01_BaseCalculation'!$W$160:$W$239,0),0)&gt;0,1,0))</f>
        <v>1</v>
      </c>
      <c r="F245" s="410"/>
      <c r="G245" s="407" t="str">
        <f>T03_Skills!B4</f>
        <v>Arcana</v>
      </c>
      <c r="H245" s="164">
        <f t="shared" si="162"/>
        <v>1</v>
      </c>
      <c r="I245" s="164"/>
      <c r="J245" s="164"/>
      <c r="K245" s="164">
        <f t="shared" si="146"/>
        <v>1</v>
      </c>
      <c r="L245" s="142">
        <f>IF(K245=0,0,K245+COUNTIF(L$243:L244,"&gt;0"))</f>
        <v>2</v>
      </c>
      <c r="M245" s="408">
        <f t="shared" si="147"/>
        <v>0</v>
      </c>
      <c r="N245" s="164">
        <f t="shared" si="148"/>
        <v>1</v>
      </c>
      <c r="O245" s="142">
        <f>IF(N245=0,0,N245+COUNTIF(O$243:O244,"&gt;0"))</f>
        <v>2</v>
      </c>
      <c r="P245" s="408">
        <f t="shared" si="149"/>
        <v>0</v>
      </c>
      <c r="Q245" s="164">
        <f t="shared" si="150"/>
        <v>1</v>
      </c>
      <c r="R245" s="142">
        <f>IF(Q245=0,0,Q245+COUNTIF(R$243:R244,"&gt;0"))</f>
        <v>2</v>
      </c>
      <c r="S245" s="408">
        <f t="shared" si="151"/>
        <v>0</v>
      </c>
      <c r="T245" s="164">
        <f t="shared" si="152"/>
        <v>1</v>
      </c>
      <c r="U245" s="142">
        <f>IF(T245=0,0,T245+COUNTIF(U$243:U244,"&gt;0"))</f>
        <v>2</v>
      </c>
      <c r="V245" s="408">
        <f t="shared" si="153"/>
        <v>0</v>
      </c>
      <c r="W245" s="164">
        <f t="shared" si="154"/>
        <v>1</v>
      </c>
      <c r="X245" s="142">
        <f>IF(W245=0,0,W245+COUNTIF(X$243:X244,"&gt;0"))</f>
        <v>2</v>
      </c>
      <c r="Y245" s="408">
        <f t="shared" si="155"/>
        <v>0</v>
      </c>
      <c r="Z245" s="164">
        <f t="shared" si="156"/>
        <v>1</v>
      </c>
      <c r="AA245" s="142">
        <f>IF(Z245=0,0,Z245+COUNTIF(AA$243:AA244,"&gt;0"))</f>
        <v>2</v>
      </c>
      <c r="AB245" s="408">
        <f t="shared" si="157"/>
        <v>0</v>
      </c>
      <c r="AC245" s="164">
        <f t="shared" si="158"/>
        <v>1</v>
      </c>
      <c r="AD245" s="142">
        <f>IF(AC245=0,0,AC245+COUNTIF(AD$243:AD244,"&gt;0"))</f>
        <v>2</v>
      </c>
      <c r="AE245" s="408">
        <f t="shared" si="159"/>
        <v>0</v>
      </c>
      <c r="AF245" s="164">
        <f t="shared" si="160"/>
        <v>1</v>
      </c>
      <c r="AG245" s="142">
        <f>IF(AF245=0,0,AF245+COUNTIF(AG$243:AG244,"&gt;0"))</f>
        <v>2</v>
      </c>
      <c r="AH245" s="408">
        <f t="shared" si="161"/>
        <v>0</v>
      </c>
      <c r="AI245" s="151"/>
      <c r="AJ245" s="410"/>
      <c r="DZ245" s="138"/>
    </row>
    <row r="246" spans="1:130" ht="16.5" x14ac:dyDescent="0.3">
      <c r="A246" s="132">
        <f>IFERROR(IF(A245+1&lt;MAX(T041_ClassFeatures!$A$2:$A$2033),A245+1,""),"")</f>
        <v>243</v>
      </c>
      <c r="B246" s="131" t="str">
        <f>IFERROR(INDEX(T041_ClassFeatures!$B$2:$B$2033,MATCH('C03_ClassVariables'!A246,T041_ClassFeatures!$A$2:$A$2033,0),1),"")</f>
        <v>Arcane Charge</v>
      </c>
      <c r="C246" s="131">
        <f>IF(B246="",0,IF(IFERROR(MATCH(B246,'C01_BaseCalculation'!$W$160:$W$239,0),0)&gt;0,1,0))</f>
        <v>0</v>
      </c>
      <c r="F246" s="410"/>
      <c r="G246" s="407" t="str">
        <f>T03_Skills!B5</f>
        <v>Athletics</v>
      </c>
      <c r="H246" s="164">
        <f t="shared" si="162"/>
        <v>1</v>
      </c>
      <c r="I246" s="164"/>
      <c r="J246" s="164"/>
      <c r="K246" s="164">
        <f t="shared" si="146"/>
        <v>1</v>
      </c>
      <c r="L246" s="142">
        <f>IF(K246=0,0,K246+COUNTIF(L$243:L245,"&gt;0"))</f>
        <v>3</v>
      </c>
      <c r="M246" s="408">
        <f t="shared" si="147"/>
        <v>0</v>
      </c>
      <c r="N246" s="164">
        <f t="shared" si="148"/>
        <v>1</v>
      </c>
      <c r="O246" s="142">
        <f>IF(N246=0,0,N246+COUNTIF(O$243:O245,"&gt;0"))</f>
        <v>3</v>
      </c>
      <c r="P246" s="408">
        <f t="shared" si="149"/>
        <v>0</v>
      </c>
      <c r="Q246" s="164">
        <f t="shared" si="150"/>
        <v>1</v>
      </c>
      <c r="R246" s="142">
        <f>IF(Q246=0,0,Q246+COUNTIF(R$243:R245,"&gt;0"))</f>
        <v>3</v>
      </c>
      <c r="S246" s="408">
        <f t="shared" si="151"/>
        <v>0</v>
      </c>
      <c r="T246" s="164">
        <f t="shared" si="152"/>
        <v>1</v>
      </c>
      <c r="U246" s="142">
        <f>IF(T246=0,0,T246+COUNTIF(U$243:U245,"&gt;0"))</f>
        <v>3</v>
      </c>
      <c r="V246" s="408">
        <f t="shared" si="153"/>
        <v>0</v>
      </c>
      <c r="W246" s="164">
        <f t="shared" si="154"/>
        <v>1</v>
      </c>
      <c r="X246" s="142">
        <f>IF(W246=0,0,W246+COUNTIF(X$243:X245,"&gt;0"))</f>
        <v>3</v>
      </c>
      <c r="Y246" s="408">
        <f t="shared" si="155"/>
        <v>0</v>
      </c>
      <c r="Z246" s="164">
        <f t="shared" si="156"/>
        <v>1</v>
      </c>
      <c r="AA246" s="142">
        <f>IF(Z246=0,0,Z246+COUNTIF(AA$243:AA245,"&gt;0"))</f>
        <v>3</v>
      </c>
      <c r="AB246" s="408">
        <f t="shared" si="157"/>
        <v>0</v>
      </c>
      <c r="AC246" s="164">
        <f t="shared" si="158"/>
        <v>1</v>
      </c>
      <c r="AD246" s="142">
        <f>IF(AC246=0,0,AC246+COUNTIF(AD$243:AD245,"&gt;0"))</f>
        <v>3</v>
      </c>
      <c r="AE246" s="408">
        <f t="shared" si="159"/>
        <v>0</v>
      </c>
      <c r="AF246" s="164">
        <f t="shared" si="160"/>
        <v>1</v>
      </c>
      <c r="AG246" s="142">
        <f>IF(AF246=0,0,AF246+COUNTIF(AG$243:AG245,"&gt;0"))</f>
        <v>3</v>
      </c>
      <c r="AH246" s="408">
        <f t="shared" si="161"/>
        <v>0</v>
      </c>
      <c r="AI246" s="151"/>
      <c r="AJ246" s="410"/>
      <c r="DZ246" s="138"/>
    </row>
    <row r="247" spans="1:130" ht="16.5" x14ac:dyDescent="0.3">
      <c r="A247" s="132">
        <f>IFERROR(IF(A246+1&lt;MAX(T041_ClassFeatures!$A$2:$A$2033),A246+1,""),"")</f>
        <v>244</v>
      </c>
      <c r="B247" s="131" t="str">
        <f>IFERROR(INDEX(T041_ClassFeatures!$B$2:$B$2033,MATCH('C03_ClassVariables'!A247,T041_ClassFeatures!$A$2:$A$2033,0),1),"")</f>
        <v>Improved War Magic</v>
      </c>
      <c r="C247" s="131">
        <f>IF(B247="",0,IF(IFERROR(MATCH(B247,'C01_BaseCalculation'!$W$160:$W$239,0),0)&gt;0,1,0))</f>
        <v>0</v>
      </c>
      <c r="F247" s="410"/>
      <c r="G247" s="407" t="str">
        <f>T03_Skills!B6</f>
        <v>Deception</v>
      </c>
      <c r="H247" s="164">
        <f t="shared" si="162"/>
        <v>0</v>
      </c>
      <c r="I247" s="164"/>
      <c r="J247" s="164"/>
      <c r="K247" s="164">
        <f t="shared" si="146"/>
        <v>0</v>
      </c>
      <c r="L247" s="142">
        <f>IF(K247=0,0,K247+COUNTIF(L$243:L246,"&gt;0"))</f>
        <v>0</v>
      </c>
      <c r="M247" s="408">
        <f t="shared" si="147"/>
        <v>0</v>
      </c>
      <c r="N247" s="164">
        <f t="shared" si="148"/>
        <v>0</v>
      </c>
      <c r="O247" s="142">
        <f>IF(N247=0,0,N247+COUNTIF(O$243:O246,"&gt;0"))</f>
        <v>0</v>
      </c>
      <c r="P247" s="408">
        <f t="shared" si="149"/>
        <v>0</v>
      </c>
      <c r="Q247" s="164">
        <f t="shared" si="150"/>
        <v>0</v>
      </c>
      <c r="R247" s="142">
        <f>IF(Q247=0,0,Q247+COUNTIF(R$243:R246,"&gt;0"))</f>
        <v>0</v>
      </c>
      <c r="S247" s="408">
        <f t="shared" si="151"/>
        <v>0</v>
      </c>
      <c r="T247" s="164">
        <f t="shared" si="152"/>
        <v>0</v>
      </c>
      <c r="U247" s="142">
        <f>IF(T247=0,0,T247+COUNTIF(U$243:U246,"&gt;0"))</f>
        <v>0</v>
      </c>
      <c r="V247" s="408">
        <f t="shared" si="153"/>
        <v>0</v>
      </c>
      <c r="W247" s="164">
        <f t="shared" si="154"/>
        <v>0</v>
      </c>
      <c r="X247" s="142">
        <f>IF(W247=0,0,W247+COUNTIF(X$243:X246,"&gt;0"))</f>
        <v>0</v>
      </c>
      <c r="Y247" s="408">
        <f t="shared" si="155"/>
        <v>0</v>
      </c>
      <c r="Z247" s="164">
        <f t="shared" si="156"/>
        <v>0</v>
      </c>
      <c r="AA247" s="142">
        <f>IF(Z247=0,0,Z247+COUNTIF(AA$243:AA246,"&gt;0"))</f>
        <v>0</v>
      </c>
      <c r="AB247" s="408">
        <f t="shared" si="157"/>
        <v>0</v>
      </c>
      <c r="AC247" s="164">
        <f t="shared" si="158"/>
        <v>0</v>
      </c>
      <c r="AD247" s="142">
        <f>IF(AC247=0,0,AC247+COUNTIF(AD$243:AD246,"&gt;0"))</f>
        <v>0</v>
      </c>
      <c r="AE247" s="408">
        <f t="shared" si="159"/>
        <v>0</v>
      </c>
      <c r="AF247" s="164">
        <f t="shared" si="160"/>
        <v>0</v>
      </c>
      <c r="AG247" s="142">
        <f>IF(AF247=0,0,AF247+COUNTIF(AG$243:AG246,"&gt;0"))</f>
        <v>0</v>
      </c>
      <c r="AH247" s="408">
        <f t="shared" si="161"/>
        <v>0</v>
      </c>
      <c r="AI247" s="151"/>
      <c r="AJ247" s="410"/>
      <c r="DZ247" s="138"/>
    </row>
    <row r="248" spans="1:130" ht="16.5" x14ac:dyDescent="0.3">
      <c r="A248" s="132">
        <f>IFERROR(IF(A247+1&lt;MAX(T041_ClassFeatures!$A$2:$A$2033),A247+1,""),"")</f>
        <v>245</v>
      </c>
      <c r="B248" s="131" t="str">
        <f>IFERROR(INDEX(T041_ClassFeatures!$B$2:$B$2033,MATCH('C03_ClassVariables'!A248,T041_ClassFeatures!$A$2:$A$2033,0),1),"")</f>
        <v>Spellcasting (EK)</v>
      </c>
      <c r="C248" s="131">
        <f>IF(B248="",0,IF(IFERROR(MATCH(B248,'C01_BaseCalculation'!$W$160:$W$239,0),0)&gt;0,1,0))</f>
        <v>1</v>
      </c>
      <c r="F248" s="410"/>
      <c r="G248" s="407" t="str">
        <f>T03_Skills!B7</f>
        <v>History</v>
      </c>
      <c r="H248" s="164">
        <f t="shared" si="162"/>
        <v>1</v>
      </c>
      <c r="I248" s="164"/>
      <c r="J248" s="164"/>
      <c r="K248" s="164">
        <f t="shared" si="146"/>
        <v>1</v>
      </c>
      <c r="L248" s="142">
        <f>IF(K248=0,0,K248+COUNTIF(L$243:L247,"&gt;0"))</f>
        <v>4</v>
      </c>
      <c r="M248" s="408">
        <f t="shared" si="147"/>
        <v>0</v>
      </c>
      <c r="N248" s="164">
        <f t="shared" si="148"/>
        <v>1</v>
      </c>
      <c r="O248" s="142">
        <f>IF(N248=0,0,N248+COUNTIF(O$243:O247,"&gt;0"))</f>
        <v>4</v>
      </c>
      <c r="P248" s="408">
        <f t="shared" si="149"/>
        <v>0</v>
      </c>
      <c r="Q248" s="164">
        <f t="shared" si="150"/>
        <v>1</v>
      </c>
      <c r="R248" s="142">
        <f>IF(Q248=0,0,Q248+COUNTIF(R$243:R247,"&gt;0"))</f>
        <v>4</v>
      </c>
      <c r="S248" s="408">
        <f t="shared" si="151"/>
        <v>0</v>
      </c>
      <c r="T248" s="164">
        <f t="shared" si="152"/>
        <v>1</v>
      </c>
      <c r="U248" s="142">
        <f>IF(T248=0,0,T248+COUNTIF(U$243:U247,"&gt;0"))</f>
        <v>4</v>
      </c>
      <c r="V248" s="408">
        <f t="shared" si="153"/>
        <v>0</v>
      </c>
      <c r="W248" s="164">
        <f t="shared" si="154"/>
        <v>1</v>
      </c>
      <c r="X248" s="142">
        <f>IF(W248=0,0,W248+COUNTIF(X$243:X247,"&gt;0"))</f>
        <v>4</v>
      </c>
      <c r="Y248" s="408">
        <f t="shared" si="155"/>
        <v>0</v>
      </c>
      <c r="Z248" s="164">
        <f t="shared" si="156"/>
        <v>1</v>
      </c>
      <c r="AA248" s="142">
        <f>IF(Z248=0,0,Z248+COUNTIF(AA$243:AA247,"&gt;0"))</f>
        <v>4</v>
      </c>
      <c r="AB248" s="408">
        <f t="shared" si="157"/>
        <v>0</v>
      </c>
      <c r="AC248" s="164">
        <f t="shared" si="158"/>
        <v>1</v>
      </c>
      <c r="AD248" s="142">
        <f>IF(AC248=0,0,AC248+COUNTIF(AD$243:AD247,"&gt;0"))</f>
        <v>4</v>
      </c>
      <c r="AE248" s="408">
        <f t="shared" si="159"/>
        <v>0</v>
      </c>
      <c r="AF248" s="164">
        <f t="shared" si="160"/>
        <v>1</v>
      </c>
      <c r="AG248" s="142">
        <f>IF(AF248=0,0,AF248+COUNTIF(AG$243:AG247,"&gt;0"))</f>
        <v>4</v>
      </c>
      <c r="AH248" s="408">
        <f t="shared" si="161"/>
        <v>0</v>
      </c>
      <c r="AI248" s="151"/>
      <c r="AJ248" s="410"/>
      <c r="DZ248" s="138"/>
    </row>
    <row r="249" spans="1:130" ht="16.5" x14ac:dyDescent="0.3">
      <c r="A249" s="132">
        <f>IFERROR(IF(A248+1&lt;MAX(T041_ClassFeatures!$A$2:$A$2033),A248+1,""),"")</f>
        <v>246</v>
      </c>
      <c r="B249" s="131" t="str">
        <f>IFERROR(INDEX(T041_ClassFeatures!$B$2:$B$2033,MATCH('C03_ClassVariables'!A249,T041_ClassFeatures!$A$2:$A$2033,0),1),"")</f>
        <v>Open Hand Technique</v>
      </c>
      <c r="C249" s="131">
        <f>IF(B249="",0,IF(IFERROR(MATCH(B249,'C01_BaseCalculation'!$W$160:$W$239,0),0)&gt;0,1,0))</f>
        <v>0</v>
      </c>
      <c r="F249" s="410"/>
      <c r="G249" s="407" t="str">
        <f>T03_Skills!B8</f>
        <v>Insight</v>
      </c>
      <c r="H249" s="164">
        <f t="shared" si="162"/>
        <v>0</v>
      </c>
      <c r="I249" s="164"/>
      <c r="J249" s="164"/>
      <c r="K249" s="164">
        <f t="shared" si="146"/>
        <v>0</v>
      </c>
      <c r="L249" s="142">
        <f>IF(K249=0,0,K249+COUNTIF(L$243:L248,"&gt;0"))</f>
        <v>0</v>
      </c>
      <c r="M249" s="408">
        <f t="shared" si="147"/>
        <v>0</v>
      </c>
      <c r="N249" s="164">
        <f t="shared" si="148"/>
        <v>0</v>
      </c>
      <c r="O249" s="142">
        <f>IF(N249=0,0,N249+COUNTIF(O$243:O248,"&gt;0"))</f>
        <v>0</v>
      </c>
      <c r="P249" s="408">
        <f t="shared" si="149"/>
        <v>0</v>
      </c>
      <c r="Q249" s="164">
        <f t="shared" si="150"/>
        <v>0</v>
      </c>
      <c r="R249" s="142">
        <f>IF(Q249=0,0,Q249+COUNTIF(R$243:R248,"&gt;0"))</f>
        <v>0</v>
      </c>
      <c r="S249" s="408">
        <f t="shared" si="151"/>
        <v>0</v>
      </c>
      <c r="T249" s="164">
        <f t="shared" si="152"/>
        <v>0</v>
      </c>
      <c r="U249" s="142">
        <f>IF(T249=0,0,T249+COUNTIF(U$243:U248,"&gt;0"))</f>
        <v>0</v>
      </c>
      <c r="V249" s="408">
        <f t="shared" si="153"/>
        <v>0</v>
      </c>
      <c r="W249" s="164">
        <f t="shared" si="154"/>
        <v>0</v>
      </c>
      <c r="X249" s="142">
        <f>IF(W249=0,0,W249+COUNTIF(X$243:X248,"&gt;0"))</f>
        <v>0</v>
      </c>
      <c r="Y249" s="408">
        <f t="shared" si="155"/>
        <v>0</v>
      </c>
      <c r="Z249" s="164">
        <f t="shared" si="156"/>
        <v>0</v>
      </c>
      <c r="AA249" s="142">
        <f>IF(Z249=0,0,Z249+COUNTIF(AA$243:AA248,"&gt;0"))</f>
        <v>0</v>
      </c>
      <c r="AB249" s="408">
        <f t="shared" si="157"/>
        <v>0</v>
      </c>
      <c r="AC249" s="164">
        <f t="shared" si="158"/>
        <v>0</v>
      </c>
      <c r="AD249" s="142">
        <f>IF(AC249=0,0,AC249+COUNTIF(AD$243:AD248,"&gt;0"))</f>
        <v>0</v>
      </c>
      <c r="AE249" s="408">
        <f t="shared" si="159"/>
        <v>0</v>
      </c>
      <c r="AF249" s="164">
        <f t="shared" si="160"/>
        <v>0</v>
      </c>
      <c r="AG249" s="142">
        <f>IF(AF249=0,0,AF249+COUNTIF(AG$243:AG248,"&gt;0"))</f>
        <v>0</v>
      </c>
      <c r="AH249" s="408">
        <f t="shared" si="161"/>
        <v>0</v>
      </c>
      <c r="AI249" s="151"/>
      <c r="AJ249" s="410"/>
      <c r="DZ249" s="138"/>
    </row>
    <row r="250" spans="1:130" ht="16.5" x14ac:dyDescent="0.3">
      <c r="A250" s="132">
        <f>IFERROR(IF(A249+1&lt;MAX(T041_ClassFeatures!$A$2:$A$2033),A249+1,""),"")</f>
        <v>247</v>
      </c>
      <c r="B250" s="131" t="str">
        <f>IFERROR(INDEX(T041_ClassFeatures!$B$2:$B$2033,MATCH('C03_ClassVariables'!A250,T041_ClassFeatures!$A$2:$A$2033,0),1),"")</f>
        <v>Wholeness of Body</v>
      </c>
      <c r="C250" s="131">
        <f>IF(B250="",0,IF(IFERROR(MATCH(B250,'C01_BaseCalculation'!$W$160:$W$239,0),0)&gt;0,1,0))</f>
        <v>0</v>
      </c>
      <c r="F250" s="410"/>
      <c r="G250" s="407" t="str">
        <f>T03_Skills!B9</f>
        <v>Intimidation</v>
      </c>
      <c r="H250" s="164">
        <f t="shared" si="162"/>
        <v>0</v>
      </c>
      <c r="I250" s="164"/>
      <c r="J250" s="164"/>
      <c r="K250" s="164">
        <f t="shared" si="146"/>
        <v>0</v>
      </c>
      <c r="L250" s="142">
        <f>IF(K250=0,0,K250+COUNTIF(L$243:L249,"&gt;0"))</f>
        <v>0</v>
      </c>
      <c r="M250" s="408">
        <f t="shared" si="147"/>
        <v>0</v>
      </c>
      <c r="N250" s="164">
        <f t="shared" si="148"/>
        <v>0</v>
      </c>
      <c r="O250" s="142">
        <f>IF(N250=0,0,N250+COUNTIF(O$243:O249,"&gt;0"))</f>
        <v>0</v>
      </c>
      <c r="P250" s="408">
        <f t="shared" si="149"/>
        <v>0</v>
      </c>
      <c r="Q250" s="164">
        <f t="shared" si="150"/>
        <v>0</v>
      </c>
      <c r="R250" s="142">
        <f>IF(Q250=0,0,Q250+COUNTIF(R$243:R249,"&gt;0"))</f>
        <v>0</v>
      </c>
      <c r="S250" s="408">
        <f t="shared" si="151"/>
        <v>0</v>
      </c>
      <c r="T250" s="164">
        <f t="shared" si="152"/>
        <v>0</v>
      </c>
      <c r="U250" s="142">
        <f>IF(T250=0,0,T250+COUNTIF(U$243:U249,"&gt;0"))</f>
        <v>0</v>
      </c>
      <c r="V250" s="408">
        <f t="shared" si="153"/>
        <v>0</v>
      </c>
      <c r="W250" s="164">
        <f t="shared" si="154"/>
        <v>0</v>
      </c>
      <c r="X250" s="142">
        <f>IF(W250=0,0,W250+COUNTIF(X$243:X249,"&gt;0"))</f>
        <v>0</v>
      </c>
      <c r="Y250" s="408">
        <f t="shared" si="155"/>
        <v>0</v>
      </c>
      <c r="Z250" s="164">
        <f t="shared" si="156"/>
        <v>0</v>
      </c>
      <c r="AA250" s="142">
        <f>IF(Z250=0,0,Z250+COUNTIF(AA$243:AA249,"&gt;0"))</f>
        <v>0</v>
      </c>
      <c r="AB250" s="408">
        <f t="shared" si="157"/>
        <v>0</v>
      </c>
      <c r="AC250" s="164">
        <f t="shared" si="158"/>
        <v>0</v>
      </c>
      <c r="AD250" s="142">
        <f>IF(AC250=0,0,AC250+COUNTIF(AD$243:AD249,"&gt;0"))</f>
        <v>0</v>
      </c>
      <c r="AE250" s="408">
        <f t="shared" si="159"/>
        <v>0</v>
      </c>
      <c r="AF250" s="164">
        <f t="shared" si="160"/>
        <v>0</v>
      </c>
      <c r="AG250" s="142">
        <f>IF(AF250=0,0,AF250+COUNTIF(AG$243:AG249,"&gt;0"))</f>
        <v>0</v>
      </c>
      <c r="AH250" s="408">
        <f t="shared" si="161"/>
        <v>0</v>
      </c>
      <c r="AI250" s="151"/>
      <c r="AJ250" s="410"/>
      <c r="DZ250" s="138"/>
    </row>
    <row r="251" spans="1:130" ht="16.5" x14ac:dyDescent="0.3">
      <c r="A251" s="132">
        <f>IFERROR(IF(A250+1&lt;MAX(T041_ClassFeatures!$A$2:$A$2033),A250+1,""),"")</f>
        <v>248</v>
      </c>
      <c r="B251" s="131" t="str">
        <f>IFERROR(INDEX(T041_ClassFeatures!$B$2:$B$2033,MATCH('C03_ClassVariables'!A251,T041_ClassFeatures!$A$2:$A$2033,0),1),"")</f>
        <v>Tranquility</v>
      </c>
      <c r="C251" s="131">
        <f>IF(B251="",0,IF(IFERROR(MATCH(B251,'C01_BaseCalculation'!$W$160:$W$239,0),0)&gt;0,1,0))</f>
        <v>0</v>
      </c>
      <c r="F251" s="410"/>
      <c r="G251" s="407" t="str">
        <f>T03_Skills!B10</f>
        <v>Investigation</v>
      </c>
      <c r="H251" s="164">
        <f t="shared" si="162"/>
        <v>1</v>
      </c>
      <c r="I251" s="164"/>
      <c r="J251" s="164"/>
      <c r="K251" s="164">
        <f t="shared" si="146"/>
        <v>1</v>
      </c>
      <c r="L251" s="142">
        <f>IF(K251=0,0,K251+COUNTIF(L$243:L250,"&gt;0"))</f>
        <v>5</v>
      </c>
      <c r="M251" s="408">
        <f t="shared" si="147"/>
        <v>0</v>
      </c>
      <c r="N251" s="164">
        <f t="shared" si="148"/>
        <v>1</v>
      </c>
      <c r="O251" s="142">
        <f>IF(N251=0,0,N251+COUNTIF(O$243:O250,"&gt;0"))</f>
        <v>5</v>
      </c>
      <c r="P251" s="408">
        <f t="shared" si="149"/>
        <v>0</v>
      </c>
      <c r="Q251" s="164">
        <f t="shared" si="150"/>
        <v>1</v>
      </c>
      <c r="R251" s="142">
        <f>IF(Q251=0,0,Q251+COUNTIF(R$243:R250,"&gt;0"))</f>
        <v>5</v>
      </c>
      <c r="S251" s="408">
        <f t="shared" si="151"/>
        <v>0</v>
      </c>
      <c r="T251" s="164">
        <f t="shared" si="152"/>
        <v>1</v>
      </c>
      <c r="U251" s="142">
        <f>IF(T251=0,0,T251+COUNTIF(U$243:U250,"&gt;0"))</f>
        <v>5</v>
      </c>
      <c r="V251" s="408">
        <f t="shared" si="153"/>
        <v>0</v>
      </c>
      <c r="W251" s="164">
        <f t="shared" si="154"/>
        <v>1</v>
      </c>
      <c r="X251" s="142">
        <f>IF(W251=0,0,W251+COUNTIF(X$243:X250,"&gt;0"))</f>
        <v>5</v>
      </c>
      <c r="Y251" s="408">
        <f t="shared" si="155"/>
        <v>0</v>
      </c>
      <c r="Z251" s="164">
        <f t="shared" si="156"/>
        <v>1</v>
      </c>
      <c r="AA251" s="142">
        <f>IF(Z251=0,0,Z251+COUNTIF(AA$243:AA250,"&gt;0"))</f>
        <v>5</v>
      </c>
      <c r="AB251" s="408">
        <f t="shared" si="157"/>
        <v>0</v>
      </c>
      <c r="AC251" s="164">
        <f t="shared" si="158"/>
        <v>1</v>
      </c>
      <c r="AD251" s="142">
        <f>IF(AC251=0,0,AC251+COUNTIF(AD$243:AD250,"&gt;0"))</f>
        <v>5</v>
      </c>
      <c r="AE251" s="408">
        <f t="shared" si="159"/>
        <v>0</v>
      </c>
      <c r="AF251" s="164">
        <f t="shared" si="160"/>
        <v>1</v>
      </c>
      <c r="AG251" s="142">
        <f>IF(AF251=0,0,AF251+COUNTIF(AG$243:AG250,"&gt;0"))</f>
        <v>5</v>
      </c>
      <c r="AH251" s="408">
        <f t="shared" si="161"/>
        <v>0</v>
      </c>
      <c r="AI251" s="151"/>
      <c r="AJ251" s="410"/>
      <c r="DZ251" s="138"/>
    </row>
    <row r="252" spans="1:130" ht="16.5" x14ac:dyDescent="0.3">
      <c r="A252" s="132">
        <f>IFERROR(IF(A251+1&lt;MAX(T041_ClassFeatures!$A$2:$A$2033),A251+1,""),"")</f>
        <v>249</v>
      </c>
      <c r="B252" s="131" t="str">
        <f>IFERROR(INDEX(T041_ClassFeatures!$B$2:$B$2033,MATCH('C03_ClassVariables'!A252,T041_ClassFeatures!$A$2:$A$2033,0),1),"")</f>
        <v>Quivering Palm</v>
      </c>
      <c r="C252" s="131">
        <f>IF(B252="",0,IF(IFERROR(MATCH(B252,'C01_BaseCalculation'!$W$160:$W$239,0),0)&gt;0,1,0))</f>
        <v>0</v>
      </c>
      <c r="F252" s="410"/>
      <c r="G252" s="407" t="str">
        <f>T03_Skills!B11</f>
        <v>Medicine</v>
      </c>
      <c r="H252" s="164">
        <f t="shared" si="162"/>
        <v>0</v>
      </c>
      <c r="I252" s="164"/>
      <c r="J252" s="136"/>
      <c r="K252" s="164">
        <f t="shared" si="146"/>
        <v>0</v>
      </c>
      <c r="L252" s="142">
        <f>IF(K252=0,0,K252+COUNTIF(L$243:L251,"&gt;0"))</f>
        <v>0</v>
      </c>
      <c r="M252" s="408">
        <f t="shared" si="147"/>
        <v>0</v>
      </c>
      <c r="N252" s="164">
        <f t="shared" si="148"/>
        <v>0</v>
      </c>
      <c r="O252" s="142">
        <f>IF(N252=0,0,N252+COUNTIF(O$243:O251,"&gt;0"))</f>
        <v>0</v>
      </c>
      <c r="P252" s="408">
        <f t="shared" si="149"/>
        <v>0</v>
      </c>
      <c r="Q252" s="164">
        <f t="shared" si="150"/>
        <v>0</v>
      </c>
      <c r="R252" s="142">
        <f>IF(Q252=0,0,Q252+COUNTIF(R$243:R251,"&gt;0"))</f>
        <v>0</v>
      </c>
      <c r="S252" s="408">
        <f t="shared" si="151"/>
        <v>0</v>
      </c>
      <c r="T252" s="164">
        <f t="shared" si="152"/>
        <v>0</v>
      </c>
      <c r="U252" s="142">
        <f>IF(T252=0,0,T252+COUNTIF(U$243:U251,"&gt;0"))</f>
        <v>0</v>
      </c>
      <c r="V252" s="408">
        <f t="shared" si="153"/>
        <v>0</v>
      </c>
      <c r="W252" s="164">
        <f t="shared" si="154"/>
        <v>0</v>
      </c>
      <c r="X252" s="142">
        <f>IF(W252=0,0,W252+COUNTIF(X$243:X251,"&gt;0"))</f>
        <v>0</v>
      </c>
      <c r="Y252" s="408">
        <f t="shared" si="155"/>
        <v>0</v>
      </c>
      <c r="Z252" s="164">
        <f t="shared" si="156"/>
        <v>0</v>
      </c>
      <c r="AA252" s="142">
        <f>IF(Z252=0,0,Z252+COUNTIF(AA$243:AA251,"&gt;0"))</f>
        <v>0</v>
      </c>
      <c r="AB252" s="408">
        <f t="shared" si="157"/>
        <v>0</v>
      </c>
      <c r="AC252" s="164">
        <f t="shared" si="158"/>
        <v>0</v>
      </c>
      <c r="AD252" s="142">
        <f>IF(AC252=0,0,AC252+COUNTIF(AD$243:AD251,"&gt;0"))</f>
        <v>0</v>
      </c>
      <c r="AE252" s="408">
        <f t="shared" si="159"/>
        <v>0</v>
      </c>
      <c r="AF252" s="164">
        <f t="shared" si="160"/>
        <v>0</v>
      </c>
      <c r="AG252" s="142">
        <f>IF(AF252=0,0,AF252+COUNTIF(AG$243:AG251,"&gt;0"))</f>
        <v>0</v>
      </c>
      <c r="AH252" s="408">
        <f t="shared" si="161"/>
        <v>0</v>
      </c>
      <c r="AI252" s="151"/>
      <c r="AJ252" s="410"/>
      <c r="DZ252" s="138"/>
    </row>
    <row r="253" spans="1:130" ht="16.5" x14ac:dyDescent="0.3">
      <c r="A253" s="132">
        <f>IFERROR(IF(A252+1&lt;MAX(T041_ClassFeatures!$A$2:$A$2033),A252+1,""),"")</f>
        <v>250</v>
      </c>
      <c r="B253" s="131" t="str">
        <f>IFERROR(INDEX(T041_ClassFeatures!$B$2:$B$2033,MATCH('C03_ClassVariables'!A253,T041_ClassFeatures!$A$2:$A$2033,0),1),"")</f>
        <v>Shadow Arts</v>
      </c>
      <c r="C253" s="131">
        <f>IF(B253="",0,IF(IFERROR(MATCH(B253,'C01_BaseCalculation'!$W$160:$W$239,0),0)&gt;0,1,0))</f>
        <v>0</v>
      </c>
      <c r="F253" s="410"/>
      <c r="G253" s="407" t="str">
        <f>T03_Skills!B12</f>
        <v>Nature</v>
      </c>
      <c r="H253" s="164">
        <f t="shared" si="162"/>
        <v>0</v>
      </c>
      <c r="I253" s="164"/>
      <c r="J253" s="136"/>
      <c r="K253" s="164">
        <f t="shared" si="146"/>
        <v>0</v>
      </c>
      <c r="L253" s="142">
        <f>IF(K253=0,0,K253+COUNTIF(L$243:L252,"&gt;0"))</f>
        <v>0</v>
      </c>
      <c r="M253" s="408">
        <f t="shared" si="147"/>
        <v>0</v>
      </c>
      <c r="N253" s="164">
        <f t="shared" si="148"/>
        <v>0</v>
      </c>
      <c r="O253" s="142">
        <f>IF(N253=0,0,N253+COUNTIF(O$243:O252,"&gt;0"))</f>
        <v>0</v>
      </c>
      <c r="P253" s="408">
        <f t="shared" si="149"/>
        <v>0</v>
      </c>
      <c r="Q253" s="164">
        <f t="shared" si="150"/>
        <v>0</v>
      </c>
      <c r="R253" s="142">
        <f>IF(Q253=0,0,Q253+COUNTIF(R$243:R252,"&gt;0"))</f>
        <v>0</v>
      </c>
      <c r="S253" s="408">
        <f t="shared" si="151"/>
        <v>0</v>
      </c>
      <c r="T253" s="164">
        <f t="shared" si="152"/>
        <v>0</v>
      </c>
      <c r="U253" s="142">
        <f>IF(T253=0,0,T253+COUNTIF(U$243:U252,"&gt;0"))</f>
        <v>0</v>
      </c>
      <c r="V253" s="408">
        <f t="shared" si="153"/>
        <v>0</v>
      </c>
      <c r="W253" s="164">
        <f t="shared" si="154"/>
        <v>0</v>
      </c>
      <c r="X253" s="142">
        <f>IF(W253=0,0,W253+COUNTIF(X$243:X252,"&gt;0"))</f>
        <v>0</v>
      </c>
      <c r="Y253" s="408">
        <f t="shared" si="155"/>
        <v>0</v>
      </c>
      <c r="Z253" s="164">
        <f t="shared" si="156"/>
        <v>0</v>
      </c>
      <c r="AA253" s="142">
        <f>IF(Z253=0,0,Z253+COUNTIF(AA$243:AA252,"&gt;0"))</f>
        <v>0</v>
      </c>
      <c r="AB253" s="408">
        <f t="shared" si="157"/>
        <v>0</v>
      </c>
      <c r="AC253" s="164">
        <f t="shared" si="158"/>
        <v>0</v>
      </c>
      <c r="AD253" s="142">
        <f>IF(AC253=0,0,AC253+COUNTIF(AD$243:AD252,"&gt;0"))</f>
        <v>0</v>
      </c>
      <c r="AE253" s="408">
        <f t="shared" si="159"/>
        <v>0</v>
      </c>
      <c r="AF253" s="164">
        <f t="shared" si="160"/>
        <v>0</v>
      </c>
      <c r="AG253" s="142">
        <f>IF(AF253=0,0,AF253+COUNTIF(AG$243:AG252,"&gt;0"))</f>
        <v>0</v>
      </c>
      <c r="AH253" s="408">
        <f t="shared" si="161"/>
        <v>0</v>
      </c>
      <c r="AI253" s="151"/>
      <c r="AJ253" s="410"/>
      <c r="DZ253" s="138"/>
    </row>
    <row r="254" spans="1:130" ht="16.5" x14ac:dyDescent="0.3">
      <c r="A254" s="132">
        <f>IFERROR(IF(A253+1&lt;MAX(T041_ClassFeatures!$A$2:$A$2033),A253+1,""),"")</f>
        <v>251</v>
      </c>
      <c r="B254" s="131" t="str">
        <f>IFERROR(INDEX(T041_ClassFeatures!$B$2:$B$2033,MATCH('C03_ClassVariables'!A254,T041_ClassFeatures!$A$2:$A$2033,0),1),"")</f>
        <v>Shadow Step</v>
      </c>
      <c r="C254" s="131">
        <f>IF(B254="",0,IF(IFERROR(MATCH(B254,'C01_BaseCalculation'!$W$160:$W$239,0),0)&gt;0,1,0))</f>
        <v>0</v>
      </c>
      <c r="F254" s="410"/>
      <c r="G254" s="407" t="str">
        <f>T03_Skills!B13</f>
        <v>Perception</v>
      </c>
      <c r="H254" s="164">
        <f t="shared" si="162"/>
        <v>0</v>
      </c>
      <c r="I254" s="164"/>
      <c r="J254" s="136"/>
      <c r="K254" s="164">
        <f t="shared" si="146"/>
        <v>0</v>
      </c>
      <c r="L254" s="142">
        <f>IF(K254=0,0,K254+COUNTIF(L$243:L253,"&gt;0"))</f>
        <v>0</v>
      </c>
      <c r="M254" s="408">
        <f t="shared" si="147"/>
        <v>0</v>
      </c>
      <c r="N254" s="164">
        <f t="shared" si="148"/>
        <v>0</v>
      </c>
      <c r="O254" s="142">
        <f>IF(N254=0,0,N254+COUNTIF(O$243:O253,"&gt;0"))</f>
        <v>0</v>
      </c>
      <c r="P254" s="408">
        <f t="shared" si="149"/>
        <v>0</v>
      </c>
      <c r="Q254" s="164">
        <f t="shared" si="150"/>
        <v>0</v>
      </c>
      <c r="R254" s="142">
        <f>IF(Q254=0,0,Q254+COUNTIF(R$243:R253,"&gt;0"))</f>
        <v>0</v>
      </c>
      <c r="S254" s="408">
        <f t="shared" si="151"/>
        <v>0</v>
      </c>
      <c r="T254" s="164">
        <f t="shared" si="152"/>
        <v>0</v>
      </c>
      <c r="U254" s="142">
        <f>IF(T254=0,0,T254+COUNTIF(U$243:U253,"&gt;0"))</f>
        <v>0</v>
      </c>
      <c r="V254" s="408">
        <f t="shared" si="153"/>
        <v>0</v>
      </c>
      <c r="W254" s="164">
        <f t="shared" si="154"/>
        <v>0</v>
      </c>
      <c r="X254" s="142">
        <f>IF(W254=0,0,W254+COUNTIF(X$243:X253,"&gt;0"))</f>
        <v>0</v>
      </c>
      <c r="Y254" s="408">
        <f t="shared" si="155"/>
        <v>0</v>
      </c>
      <c r="Z254" s="164">
        <f t="shared" si="156"/>
        <v>0</v>
      </c>
      <c r="AA254" s="142">
        <f>IF(Z254=0,0,Z254+COUNTIF(AA$243:AA253,"&gt;0"))</f>
        <v>0</v>
      </c>
      <c r="AB254" s="408">
        <f t="shared" si="157"/>
        <v>0</v>
      </c>
      <c r="AC254" s="164">
        <f t="shared" si="158"/>
        <v>0</v>
      </c>
      <c r="AD254" s="142">
        <f>IF(AC254=0,0,AC254+COUNTIF(AD$243:AD253,"&gt;0"))</f>
        <v>0</v>
      </c>
      <c r="AE254" s="408">
        <f t="shared" si="159"/>
        <v>0</v>
      </c>
      <c r="AF254" s="164">
        <f t="shared" si="160"/>
        <v>0</v>
      </c>
      <c r="AG254" s="142">
        <f>IF(AF254=0,0,AF254+COUNTIF(AG$243:AG253,"&gt;0"))</f>
        <v>0</v>
      </c>
      <c r="AH254" s="408">
        <f t="shared" si="161"/>
        <v>0</v>
      </c>
      <c r="AI254" s="151"/>
      <c r="AJ254" s="410"/>
      <c r="DZ254" s="138"/>
    </row>
    <row r="255" spans="1:130" ht="16.5" x14ac:dyDescent="0.3">
      <c r="A255" s="132">
        <f>IFERROR(IF(A254+1&lt;MAX(T041_ClassFeatures!$A$2:$A$2033),A254+1,""),"")</f>
        <v>252</v>
      </c>
      <c r="B255" s="131" t="str">
        <f>IFERROR(INDEX(T041_ClassFeatures!$B$2:$B$2033,MATCH('C03_ClassVariables'!A255,T041_ClassFeatures!$A$2:$A$2033,0),1),"")</f>
        <v>Cloack of Shadows</v>
      </c>
      <c r="C255" s="131">
        <f>IF(B255="",0,IF(IFERROR(MATCH(B255,'C01_BaseCalculation'!$W$160:$W$239,0),0)&gt;0,1,0))</f>
        <v>0</v>
      </c>
      <c r="F255" s="410"/>
      <c r="G255" s="407" t="str">
        <f>T03_Skills!B14</f>
        <v>Performance</v>
      </c>
      <c r="H255" s="164">
        <f t="shared" si="162"/>
        <v>0</v>
      </c>
      <c r="I255" s="164"/>
      <c r="J255" s="136"/>
      <c r="K255" s="164">
        <f t="shared" si="146"/>
        <v>0</v>
      </c>
      <c r="L255" s="142">
        <f>IF(K255=0,0,K255+COUNTIF(L$243:L254,"&gt;0"))</f>
        <v>0</v>
      </c>
      <c r="M255" s="408">
        <f t="shared" si="147"/>
        <v>0</v>
      </c>
      <c r="N255" s="164">
        <f t="shared" si="148"/>
        <v>0</v>
      </c>
      <c r="O255" s="142">
        <f>IF(N255=0,0,N255+COUNTIF(O$243:O254,"&gt;0"))</f>
        <v>0</v>
      </c>
      <c r="P255" s="408">
        <f t="shared" si="149"/>
        <v>0</v>
      </c>
      <c r="Q255" s="164">
        <f t="shared" si="150"/>
        <v>0</v>
      </c>
      <c r="R255" s="142">
        <f>IF(Q255=0,0,Q255+COUNTIF(R$243:R254,"&gt;0"))</f>
        <v>0</v>
      </c>
      <c r="S255" s="408">
        <f t="shared" si="151"/>
        <v>0</v>
      </c>
      <c r="T255" s="164">
        <f t="shared" si="152"/>
        <v>0</v>
      </c>
      <c r="U255" s="142">
        <f>IF(T255=0,0,T255+COUNTIF(U$243:U254,"&gt;0"))</f>
        <v>0</v>
      </c>
      <c r="V255" s="408">
        <f t="shared" si="153"/>
        <v>0</v>
      </c>
      <c r="W255" s="164">
        <f t="shared" si="154"/>
        <v>0</v>
      </c>
      <c r="X255" s="142">
        <f>IF(W255=0,0,W255+COUNTIF(X$243:X254,"&gt;0"))</f>
        <v>0</v>
      </c>
      <c r="Y255" s="408">
        <f t="shared" si="155"/>
        <v>0</v>
      </c>
      <c r="Z255" s="164">
        <f t="shared" si="156"/>
        <v>0</v>
      </c>
      <c r="AA255" s="142">
        <f>IF(Z255=0,0,Z255+COUNTIF(AA$243:AA254,"&gt;0"))</f>
        <v>0</v>
      </c>
      <c r="AB255" s="408">
        <f t="shared" si="157"/>
        <v>0</v>
      </c>
      <c r="AC255" s="164">
        <f t="shared" si="158"/>
        <v>0</v>
      </c>
      <c r="AD255" s="142">
        <f>IF(AC255=0,0,AC255+COUNTIF(AD$243:AD254,"&gt;0"))</f>
        <v>0</v>
      </c>
      <c r="AE255" s="408">
        <f t="shared" si="159"/>
        <v>0</v>
      </c>
      <c r="AF255" s="164">
        <f t="shared" si="160"/>
        <v>0</v>
      </c>
      <c r="AG255" s="142">
        <f>IF(AF255=0,0,AF255+COUNTIF(AG$243:AG254,"&gt;0"))</f>
        <v>0</v>
      </c>
      <c r="AH255" s="408">
        <f t="shared" si="161"/>
        <v>0</v>
      </c>
      <c r="AI255" s="151"/>
      <c r="AJ255" s="410"/>
      <c r="DZ255" s="138"/>
    </row>
    <row r="256" spans="1:130" ht="16.5" x14ac:dyDescent="0.3">
      <c r="A256" s="132">
        <f>IFERROR(IF(A255+1&lt;MAX(T041_ClassFeatures!$A$2:$A$2033),A255+1,""),"")</f>
        <v>253</v>
      </c>
      <c r="B256" s="131" t="str">
        <f>IFERROR(INDEX(T041_ClassFeatures!$B$2:$B$2033,MATCH('C03_ClassVariables'!A256,T041_ClassFeatures!$A$2:$A$2033,0),1),"")</f>
        <v>Opportunist</v>
      </c>
      <c r="C256" s="131">
        <f>IF(B256="",0,IF(IFERROR(MATCH(B256,'C01_BaseCalculation'!$W$160:$W$239,0),0)&gt;0,1,0))</f>
        <v>0</v>
      </c>
      <c r="F256" s="410"/>
      <c r="G256" s="407" t="str">
        <f>T03_Skills!B15</f>
        <v>Persuasion</v>
      </c>
      <c r="H256" s="164">
        <f t="shared" si="162"/>
        <v>0</v>
      </c>
      <c r="I256" s="164"/>
      <c r="J256" s="136"/>
      <c r="K256" s="164">
        <f t="shared" si="146"/>
        <v>0</v>
      </c>
      <c r="L256" s="142">
        <f>IF(K256=0,0,K256+COUNTIF(L$243:L255,"&gt;0"))</f>
        <v>0</v>
      </c>
      <c r="M256" s="408">
        <f t="shared" si="147"/>
        <v>0</v>
      </c>
      <c r="N256" s="164">
        <f t="shared" si="148"/>
        <v>0</v>
      </c>
      <c r="O256" s="142">
        <f>IF(N256=0,0,N256+COUNTIF(O$243:O255,"&gt;0"))</f>
        <v>0</v>
      </c>
      <c r="P256" s="408">
        <f t="shared" si="149"/>
        <v>0</v>
      </c>
      <c r="Q256" s="164">
        <f t="shared" si="150"/>
        <v>0</v>
      </c>
      <c r="R256" s="142">
        <f>IF(Q256=0,0,Q256+COUNTIF(R$243:R255,"&gt;0"))</f>
        <v>0</v>
      </c>
      <c r="S256" s="408">
        <f t="shared" si="151"/>
        <v>0</v>
      </c>
      <c r="T256" s="164">
        <f t="shared" si="152"/>
        <v>0</v>
      </c>
      <c r="U256" s="142">
        <f>IF(T256=0,0,T256+COUNTIF(U$243:U255,"&gt;0"))</f>
        <v>0</v>
      </c>
      <c r="V256" s="408">
        <f t="shared" si="153"/>
        <v>0</v>
      </c>
      <c r="W256" s="164">
        <f t="shared" si="154"/>
        <v>0</v>
      </c>
      <c r="X256" s="142">
        <f>IF(W256=0,0,W256+COUNTIF(X$243:X255,"&gt;0"))</f>
        <v>0</v>
      </c>
      <c r="Y256" s="408">
        <f t="shared" si="155"/>
        <v>0</v>
      </c>
      <c r="Z256" s="164">
        <f t="shared" si="156"/>
        <v>0</v>
      </c>
      <c r="AA256" s="142">
        <f>IF(Z256=0,0,Z256+COUNTIF(AA$243:AA255,"&gt;0"))</f>
        <v>0</v>
      </c>
      <c r="AB256" s="408">
        <f t="shared" si="157"/>
        <v>0</v>
      </c>
      <c r="AC256" s="164">
        <f t="shared" si="158"/>
        <v>0</v>
      </c>
      <c r="AD256" s="142">
        <f>IF(AC256=0,0,AC256+COUNTIF(AD$243:AD255,"&gt;0"))</f>
        <v>0</v>
      </c>
      <c r="AE256" s="408">
        <f t="shared" si="159"/>
        <v>0</v>
      </c>
      <c r="AF256" s="164">
        <f t="shared" si="160"/>
        <v>0</v>
      </c>
      <c r="AG256" s="142">
        <f>IF(AF256=0,0,AF256+COUNTIF(AG$243:AG255,"&gt;0"))</f>
        <v>0</v>
      </c>
      <c r="AH256" s="408">
        <f t="shared" si="161"/>
        <v>0</v>
      </c>
      <c r="AI256" s="151"/>
      <c r="AJ256" s="410"/>
      <c r="DZ256" s="138"/>
    </row>
    <row r="257" spans="1:130" ht="16.5" x14ac:dyDescent="0.3">
      <c r="A257" s="132">
        <f>IFERROR(IF(A256+1&lt;MAX(T041_ClassFeatures!$A$2:$A$2033),A256+1,""),"")</f>
        <v>254</v>
      </c>
      <c r="B257" s="131" t="str">
        <f>IFERROR(INDEX(T041_ClassFeatures!$B$2:$B$2033,MATCH('C03_ClassVariables'!A257,T041_ClassFeatures!$A$2:$A$2033,0),1),"")</f>
        <v>Disciple of the Elements</v>
      </c>
      <c r="C257" s="131">
        <f>IF(B257="",0,IF(IFERROR(MATCH(B257,'C01_BaseCalculation'!$W$160:$W$239,0),0)&gt;0,1,0))</f>
        <v>0</v>
      </c>
      <c r="F257" s="410"/>
      <c r="G257" s="407" t="str">
        <f>T03_Skills!B16</f>
        <v>Religion</v>
      </c>
      <c r="H257" s="164">
        <f t="shared" si="162"/>
        <v>0</v>
      </c>
      <c r="I257" s="164"/>
      <c r="J257" s="136"/>
      <c r="K257" s="164">
        <f t="shared" si="146"/>
        <v>0</v>
      </c>
      <c r="L257" s="142">
        <f>IF(K257=0,0,K257+COUNTIF(L$243:L256,"&gt;0"))</f>
        <v>0</v>
      </c>
      <c r="M257" s="408">
        <f t="shared" si="147"/>
        <v>0</v>
      </c>
      <c r="N257" s="164">
        <f t="shared" si="148"/>
        <v>0</v>
      </c>
      <c r="O257" s="142">
        <f>IF(N257=0,0,N257+COUNTIF(O$243:O256,"&gt;0"))</f>
        <v>0</v>
      </c>
      <c r="P257" s="408">
        <f t="shared" si="149"/>
        <v>0</v>
      </c>
      <c r="Q257" s="164">
        <f t="shared" si="150"/>
        <v>0</v>
      </c>
      <c r="R257" s="142">
        <f>IF(Q257=0,0,Q257+COUNTIF(R$243:R256,"&gt;0"))</f>
        <v>0</v>
      </c>
      <c r="S257" s="408">
        <f t="shared" si="151"/>
        <v>0</v>
      </c>
      <c r="T257" s="164">
        <f t="shared" si="152"/>
        <v>0</v>
      </c>
      <c r="U257" s="142">
        <f>IF(T257=0,0,T257+COUNTIF(U$243:U256,"&gt;0"))</f>
        <v>0</v>
      </c>
      <c r="V257" s="408">
        <f t="shared" si="153"/>
        <v>0</v>
      </c>
      <c r="W257" s="164">
        <f t="shared" si="154"/>
        <v>0</v>
      </c>
      <c r="X257" s="142">
        <f>IF(W257=0,0,W257+COUNTIF(X$243:X256,"&gt;0"))</f>
        <v>0</v>
      </c>
      <c r="Y257" s="408">
        <f t="shared" si="155"/>
        <v>0</v>
      </c>
      <c r="Z257" s="164">
        <f t="shared" si="156"/>
        <v>0</v>
      </c>
      <c r="AA257" s="142">
        <f>IF(Z257=0,0,Z257+COUNTIF(AA$243:AA256,"&gt;0"))</f>
        <v>0</v>
      </c>
      <c r="AB257" s="408">
        <f t="shared" si="157"/>
        <v>0</v>
      </c>
      <c r="AC257" s="164">
        <f t="shared" si="158"/>
        <v>0</v>
      </c>
      <c r="AD257" s="142">
        <f>IF(AC257=0,0,AC257+COUNTIF(AD$243:AD256,"&gt;0"))</f>
        <v>0</v>
      </c>
      <c r="AE257" s="408">
        <f t="shared" si="159"/>
        <v>0</v>
      </c>
      <c r="AF257" s="164">
        <f t="shared" si="160"/>
        <v>0</v>
      </c>
      <c r="AG257" s="142">
        <f>IF(AF257=0,0,AF257+COUNTIF(AG$243:AG256,"&gt;0"))</f>
        <v>0</v>
      </c>
      <c r="AH257" s="408">
        <f t="shared" si="161"/>
        <v>0</v>
      </c>
      <c r="AI257" s="151"/>
      <c r="AJ257" s="410"/>
      <c r="DZ257" s="138"/>
    </row>
    <row r="258" spans="1:130" ht="16.5" x14ac:dyDescent="0.3">
      <c r="A258" s="132">
        <f>IFERROR(IF(A257+1&lt;MAX(T041_ClassFeatures!$A$2:$A$2033),A257+1,""),"")</f>
        <v>255</v>
      </c>
      <c r="B258" s="131" t="str">
        <f>IFERROR(INDEX(T041_ClassFeatures!$B$2:$B$2033,MATCH('C03_ClassVariables'!A258,T041_ClassFeatures!$A$2:$A$2033,0),1),"")</f>
        <v>Channel Divinity: Sacred Weapon</v>
      </c>
      <c r="C258" s="131">
        <f>IF(B258="",0,IF(IFERROR(MATCH(B258,'C01_BaseCalculation'!$W$160:$W$239,0),0)&gt;0,1,0))</f>
        <v>0</v>
      </c>
      <c r="F258" s="410"/>
      <c r="G258" s="407" t="str">
        <f>T03_Skills!B17</f>
        <v>Sleight of Hand</v>
      </c>
      <c r="H258" s="164">
        <f t="shared" si="162"/>
        <v>0</v>
      </c>
      <c r="I258" s="164"/>
      <c r="J258" s="136"/>
      <c r="K258" s="164">
        <f t="shared" si="146"/>
        <v>0</v>
      </c>
      <c r="L258" s="142">
        <f>IF(K258=0,0,K258+COUNTIF(L$243:L257,"&gt;0"))</f>
        <v>0</v>
      </c>
      <c r="M258" s="408">
        <f t="shared" si="147"/>
        <v>0</v>
      </c>
      <c r="N258" s="164">
        <f t="shared" si="148"/>
        <v>0</v>
      </c>
      <c r="O258" s="142">
        <f>IF(N258=0,0,N258+COUNTIF(O$243:O257,"&gt;0"))</f>
        <v>0</v>
      </c>
      <c r="P258" s="408">
        <f t="shared" si="149"/>
        <v>0</v>
      </c>
      <c r="Q258" s="164">
        <f t="shared" si="150"/>
        <v>0</v>
      </c>
      <c r="R258" s="142">
        <f>IF(Q258=0,0,Q258+COUNTIF(R$243:R257,"&gt;0"))</f>
        <v>0</v>
      </c>
      <c r="S258" s="408">
        <f t="shared" si="151"/>
        <v>0</v>
      </c>
      <c r="T258" s="164">
        <f t="shared" si="152"/>
        <v>0</v>
      </c>
      <c r="U258" s="142">
        <f>IF(T258=0,0,T258+COUNTIF(U$243:U257,"&gt;0"))</f>
        <v>0</v>
      </c>
      <c r="V258" s="408">
        <f t="shared" si="153"/>
        <v>0</v>
      </c>
      <c r="W258" s="164">
        <f t="shared" si="154"/>
        <v>0</v>
      </c>
      <c r="X258" s="142">
        <f>IF(W258=0,0,W258+COUNTIF(X$243:X257,"&gt;0"))</f>
        <v>0</v>
      </c>
      <c r="Y258" s="408">
        <f t="shared" si="155"/>
        <v>0</v>
      </c>
      <c r="Z258" s="164">
        <f t="shared" si="156"/>
        <v>0</v>
      </c>
      <c r="AA258" s="142">
        <f>IF(Z258=0,0,Z258+COUNTIF(AA$243:AA257,"&gt;0"))</f>
        <v>0</v>
      </c>
      <c r="AB258" s="408">
        <f t="shared" si="157"/>
        <v>0</v>
      </c>
      <c r="AC258" s="164">
        <f t="shared" si="158"/>
        <v>0</v>
      </c>
      <c r="AD258" s="142">
        <f>IF(AC258=0,0,AC258+COUNTIF(AD$243:AD257,"&gt;0"))</f>
        <v>0</v>
      </c>
      <c r="AE258" s="408">
        <f t="shared" si="159"/>
        <v>0</v>
      </c>
      <c r="AF258" s="164">
        <f t="shared" si="160"/>
        <v>0</v>
      </c>
      <c r="AG258" s="142">
        <f>IF(AF258=0,0,AF258+COUNTIF(AG$243:AG257,"&gt;0"))</f>
        <v>0</v>
      </c>
      <c r="AH258" s="408">
        <f t="shared" si="161"/>
        <v>0</v>
      </c>
      <c r="AI258" s="151"/>
      <c r="AJ258" s="410"/>
      <c r="DZ258" s="138"/>
    </row>
    <row r="259" spans="1:130" ht="16.5" x14ac:dyDescent="0.3">
      <c r="A259" s="132">
        <f>IFERROR(IF(A258+1&lt;MAX(T041_ClassFeatures!$A$2:$A$2033),A258+1,""),"")</f>
        <v>256</v>
      </c>
      <c r="B259" s="131" t="str">
        <f>IFERROR(INDEX(T041_ClassFeatures!$B$2:$B$2033,MATCH('C03_ClassVariables'!A259,T041_ClassFeatures!$A$2:$A$2033,0),1),"")</f>
        <v>Channel Divinity: Turn the Unholy</v>
      </c>
      <c r="C259" s="131">
        <f>IF(B259="",0,IF(IFERROR(MATCH(B259,'C01_BaseCalculation'!$W$160:$W$239,0),0)&gt;0,1,0))</f>
        <v>0</v>
      </c>
      <c r="F259" s="410"/>
      <c r="G259" s="407" t="str">
        <f>T03_Skills!B18</f>
        <v>Stealth</v>
      </c>
      <c r="H259" s="164">
        <f t="shared" si="162"/>
        <v>0</v>
      </c>
      <c r="I259" s="164"/>
      <c r="J259" s="136"/>
      <c r="K259" s="164">
        <f t="shared" si="146"/>
        <v>0</v>
      </c>
      <c r="L259" s="142">
        <f>IF(K259=0,0,K259+COUNTIF(L$243:L258,"&gt;0"))</f>
        <v>0</v>
      </c>
      <c r="M259" s="408">
        <f t="shared" si="147"/>
        <v>0</v>
      </c>
      <c r="N259" s="164">
        <f t="shared" si="148"/>
        <v>0</v>
      </c>
      <c r="O259" s="142">
        <f>IF(N259=0,0,N259+COUNTIF(O$243:O258,"&gt;0"))</f>
        <v>0</v>
      </c>
      <c r="P259" s="408">
        <f t="shared" si="149"/>
        <v>0</v>
      </c>
      <c r="Q259" s="164">
        <f t="shared" si="150"/>
        <v>0</v>
      </c>
      <c r="R259" s="142">
        <f>IF(Q259=0,0,Q259+COUNTIF(R$243:R258,"&gt;0"))</f>
        <v>0</v>
      </c>
      <c r="S259" s="408">
        <f t="shared" si="151"/>
        <v>0</v>
      </c>
      <c r="T259" s="164">
        <f t="shared" si="152"/>
        <v>0</v>
      </c>
      <c r="U259" s="142">
        <f>IF(T259=0,0,T259+COUNTIF(U$243:U258,"&gt;0"))</f>
        <v>0</v>
      </c>
      <c r="V259" s="408">
        <f t="shared" si="153"/>
        <v>0</v>
      </c>
      <c r="W259" s="164">
        <f t="shared" si="154"/>
        <v>0</v>
      </c>
      <c r="X259" s="142">
        <f>IF(W259=0,0,W259+COUNTIF(X$243:X258,"&gt;0"))</f>
        <v>0</v>
      </c>
      <c r="Y259" s="408">
        <f t="shared" si="155"/>
        <v>0</v>
      </c>
      <c r="Z259" s="164">
        <f t="shared" si="156"/>
        <v>0</v>
      </c>
      <c r="AA259" s="142">
        <f>IF(Z259=0,0,Z259+COUNTIF(AA$243:AA258,"&gt;0"))</f>
        <v>0</v>
      </c>
      <c r="AB259" s="408">
        <f t="shared" si="157"/>
        <v>0</v>
      </c>
      <c r="AC259" s="164">
        <f t="shared" si="158"/>
        <v>0</v>
      </c>
      <c r="AD259" s="142">
        <f>IF(AC259=0,0,AC259+COUNTIF(AD$243:AD258,"&gt;0"))</f>
        <v>0</v>
      </c>
      <c r="AE259" s="408">
        <f t="shared" si="159"/>
        <v>0</v>
      </c>
      <c r="AF259" s="164">
        <f t="shared" si="160"/>
        <v>0</v>
      </c>
      <c r="AG259" s="142">
        <f>IF(AF259=0,0,AF259+COUNTIF(AG$243:AG258,"&gt;0"))</f>
        <v>0</v>
      </c>
      <c r="AH259" s="408">
        <f t="shared" si="161"/>
        <v>0</v>
      </c>
      <c r="AI259" s="151"/>
      <c r="AJ259" s="410"/>
      <c r="DZ259" s="138"/>
    </row>
    <row r="260" spans="1:130" ht="16.5" x14ac:dyDescent="0.3">
      <c r="A260" s="132">
        <f>IFERROR(IF(A259+1&lt;MAX(T041_ClassFeatures!$A$2:$A$2033),A259+1,""),"")</f>
        <v>257</v>
      </c>
      <c r="B260" s="131" t="str">
        <f>IFERROR(INDEX(T041_ClassFeatures!$B$2:$B$2033,MATCH('C03_ClassVariables'!A260,T041_ClassFeatures!$A$2:$A$2033,0),1),"")</f>
        <v>Aura of Devotion</v>
      </c>
      <c r="C260" s="131">
        <f>IF(B260="",0,IF(IFERROR(MATCH(B260,'C01_BaseCalculation'!$W$160:$W$239,0),0)&gt;0,1,0))</f>
        <v>0</v>
      </c>
      <c r="F260" s="410"/>
      <c r="G260" s="407" t="str">
        <f>T03_Skills!B19</f>
        <v>Survival</v>
      </c>
      <c r="H260" s="164">
        <f t="shared" si="162"/>
        <v>0</v>
      </c>
      <c r="I260" s="164"/>
      <c r="J260" s="136"/>
      <c r="K260" s="164">
        <f t="shared" si="146"/>
        <v>0</v>
      </c>
      <c r="L260" s="142">
        <f>IF(K260=0,0,K260+COUNTIF(L$243:L259,"&gt;0"))</f>
        <v>0</v>
      </c>
      <c r="M260" s="408">
        <f t="shared" si="147"/>
        <v>0</v>
      </c>
      <c r="N260" s="164">
        <f t="shared" si="148"/>
        <v>0</v>
      </c>
      <c r="O260" s="142">
        <f>IF(N260=0,0,N260+COUNTIF(O$243:O259,"&gt;0"))</f>
        <v>0</v>
      </c>
      <c r="P260" s="408">
        <f t="shared" si="149"/>
        <v>0</v>
      </c>
      <c r="Q260" s="164">
        <f t="shared" si="150"/>
        <v>0</v>
      </c>
      <c r="R260" s="142">
        <f>IF(Q260=0,0,Q260+COUNTIF(R$243:R259,"&gt;0"))</f>
        <v>0</v>
      </c>
      <c r="S260" s="408">
        <f t="shared" si="151"/>
        <v>0</v>
      </c>
      <c r="T260" s="164">
        <f t="shared" si="152"/>
        <v>0</v>
      </c>
      <c r="U260" s="142">
        <f>IF(T260=0,0,T260+COUNTIF(U$243:U259,"&gt;0"))</f>
        <v>0</v>
      </c>
      <c r="V260" s="408">
        <f t="shared" si="153"/>
        <v>0</v>
      </c>
      <c r="W260" s="164">
        <f t="shared" si="154"/>
        <v>0</v>
      </c>
      <c r="X260" s="142">
        <f>IF(W260=0,0,W260+COUNTIF(X$243:X259,"&gt;0"))</f>
        <v>0</v>
      </c>
      <c r="Y260" s="408">
        <f t="shared" si="155"/>
        <v>0</v>
      </c>
      <c r="Z260" s="164">
        <f t="shared" si="156"/>
        <v>0</v>
      </c>
      <c r="AA260" s="142">
        <f>IF(Z260=0,0,Z260+COUNTIF(AA$243:AA259,"&gt;0"))</f>
        <v>0</v>
      </c>
      <c r="AB260" s="408">
        <f t="shared" si="157"/>
        <v>0</v>
      </c>
      <c r="AC260" s="164">
        <f t="shared" si="158"/>
        <v>0</v>
      </c>
      <c r="AD260" s="142">
        <f>IF(AC260=0,0,AC260+COUNTIF(AD$243:AD259,"&gt;0"))</f>
        <v>0</v>
      </c>
      <c r="AE260" s="408">
        <f t="shared" si="159"/>
        <v>0</v>
      </c>
      <c r="AF260" s="164">
        <f t="shared" si="160"/>
        <v>0</v>
      </c>
      <c r="AG260" s="142">
        <f>IF(AF260=0,0,AF260+COUNTIF(AG$243:AG259,"&gt;0"))</f>
        <v>0</v>
      </c>
      <c r="AH260" s="408">
        <f t="shared" si="161"/>
        <v>0</v>
      </c>
      <c r="AI260" s="151"/>
      <c r="AJ260" s="410"/>
      <c r="DZ260" s="138"/>
    </row>
    <row r="261" spans="1:130" ht="16.5" x14ac:dyDescent="0.3">
      <c r="A261" s="132">
        <f>IFERROR(IF(A260+1&lt;MAX(T041_ClassFeatures!$A$2:$A$2033),A260+1,""),"")</f>
        <v>258</v>
      </c>
      <c r="B261" s="131" t="str">
        <f>IFERROR(INDEX(T041_ClassFeatures!$B$2:$B$2033,MATCH('C03_ClassVariables'!A261,T041_ClassFeatures!$A$2:$A$2033,0),1),"")</f>
        <v>Purity of Spirit</v>
      </c>
      <c r="C261" s="131">
        <f>IF(B261="",0,IF(IFERROR(MATCH(B261,'C01_BaseCalculation'!$W$160:$W$239,0),0)&gt;0,1,0))</f>
        <v>0</v>
      </c>
      <c r="F261" s="410"/>
      <c r="G261" s="150" t="s">
        <v>3568</v>
      </c>
      <c r="H261" s="164">
        <f>ToolsProficiencyThievesTools</f>
        <v>1</v>
      </c>
      <c r="I261" s="164"/>
      <c r="J261" s="136"/>
      <c r="K261" s="164">
        <f t="shared" si="146"/>
        <v>1</v>
      </c>
      <c r="L261" s="142">
        <f>IF(K261=0,0,K261+COUNTIF(L$243:L260,"&gt;0"))</f>
        <v>6</v>
      </c>
      <c r="M261" s="408">
        <f t="shared" si="147"/>
        <v>0</v>
      </c>
      <c r="N261" s="164">
        <f t="shared" si="148"/>
        <v>1</v>
      </c>
      <c r="O261" s="142">
        <f>IF(N261=0,0,N261+COUNTIF(O$243:O260,"&gt;0"))</f>
        <v>6</v>
      </c>
      <c r="P261" s="408">
        <f t="shared" si="149"/>
        <v>0</v>
      </c>
      <c r="Q261" s="164">
        <f t="shared" si="150"/>
        <v>1</v>
      </c>
      <c r="R261" s="142">
        <f>IF(Q261=0,0,Q261+COUNTIF(R$243:R260,"&gt;0"))</f>
        <v>6</v>
      </c>
      <c r="S261" s="408">
        <f t="shared" si="151"/>
        <v>0</v>
      </c>
      <c r="T261" s="164">
        <f t="shared" si="152"/>
        <v>1</v>
      </c>
      <c r="U261" s="142">
        <f>IF(T261=0,0,T261+COUNTIF(U$243:U260,"&gt;0"))</f>
        <v>6</v>
      </c>
      <c r="V261" s="408">
        <f t="shared" si="153"/>
        <v>0</v>
      </c>
      <c r="W261" s="164">
        <f t="shared" si="154"/>
        <v>1</v>
      </c>
      <c r="X261" s="142">
        <f>IF(W261=0,0,W261+COUNTIF(X$243:X260,"&gt;0"))</f>
        <v>6</v>
      </c>
      <c r="Y261" s="408">
        <f t="shared" si="155"/>
        <v>0</v>
      </c>
      <c r="Z261" s="164">
        <f t="shared" si="156"/>
        <v>1</v>
      </c>
      <c r="AA261" s="142">
        <f>IF(Z261=0,0,Z261+COUNTIF(AA$243:AA260,"&gt;0"))</f>
        <v>6</v>
      </c>
      <c r="AB261" s="408">
        <f t="shared" si="157"/>
        <v>0</v>
      </c>
      <c r="AC261" s="164">
        <f t="shared" si="158"/>
        <v>1</v>
      </c>
      <c r="AD261" s="142">
        <f>IF(AC261=0,0,AC261+COUNTIF(AD$243:AD260,"&gt;0"))</f>
        <v>6</v>
      </c>
      <c r="AE261" s="408">
        <f t="shared" si="159"/>
        <v>0</v>
      </c>
      <c r="AF261" s="164">
        <f t="shared" si="160"/>
        <v>1</v>
      </c>
      <c r="AG261" s="142">
        <f>IF(AF261=0,0,AF261+COUNTIF(AG$243:AG260,"&gt;0"))</f>
        <v>6</v>
      </c>
      <c r="AH261" s="408">
        <f t="shared" si="161"/>
        <v>0</v>
      </c>
      <c r="AI261" s="151"/>
      <c r="AJ261" s="410"/>
      <c r="DZ261" s="138"/>
    </row>
    <row r="262" spans="1:130" ht="16.5" x14ac:dyDescent="0.3">
      <c r="A262" s="132">
        <f>IFERROR(IF(A261+1&lt;MAX(T041_ClassFeatures!$A$2:$A$2033),A261+1,""),"")</f>
        <v>259</v>
      </c>
      <c r="B262" s="131" t="str">
        <f>IFERROR(INDEX(T041_ClassFeatures!$B$2:$B$2033,MATCH('C03_ClassVariables'!A262,T041_ClassFeatures!$A$2:$A$2033,0),1),"")</f>
        <v>Holy Nimbus</v>
      </c>
      <c r="C262" s="131">
        <f>IF(B262="",0,IF(IFERROR(MATCH(B262,'C01_BaseCalculation'!$W$160:$W$239,0),0)&gt;0,1,0))</f>
        <v>0</v>
      </c>
      <c r="F262" s="410"/>
      <c r="G262" s="150"/>
      <c r="H262" s="136"/>
      <c r="I262" s="136"/>
      <c r="J262" s="136"/>
      <c r="K262" s="136"/>
      <c r="L262" s="136"/>
      <c r="M262" s="136"/>
      <c r="N262" s="136"/>
      <c r="O262" s="136"/>
      <c r="P262" s="136"/>
      <c r="Q262" s="136"/>
      <c r="R262" s="136"/>
      <c r="S262" s="136"/>
      <c r="T262" s="136"/>
      <c r="U262" s="136"/>
      <c r="V262" s="136"/>
      <c r="W262" s="136"/>
      <c r="X262" s="136"/>
      <c r="Y262" s="136"/>
      <c r="Z262" s="136"/>
      <c r="AA262" s="136"/>
      <c r="AB262" s="136"/>
      <c r="AC262" s="136"/>
      <c r="AD262" s="136"/>
      <c r="AE262" s="136"/>
      <c r="AF262" s="136"/>
      <c r="AG262" s="136"/>
      <c r="AH262" s="136"/>
      <c r="AI262" s="151"/>
      <c r="AJ262" s="410"/>
      <c r="DZ262" s="138"/>
    </row>
    <row r="263" spans="1:130" ht="16.5" x14ac:dyDescent="0.3">
      <c r="A263" s="132">
        <f>IFERROR(IF(A262+1&lt;MAX(T041_ClassFeatures!$A$2:$A$2033),A262+1,""),"")</f>
        <v>260</v>
      </c>
      <c r="B263" s="131" t="str">
        <f>IFERROR(INDEX(T041_ClassFeatures!$B$2:$B$2033,MATCH('C03_ClassVariables'!A263,T041_ClassFeatures!$A$2:$A$2033,0),1),"")</f>
        <v>Channel Divnity: Nature's Wrath</v>
      </c>
      <c r="C263" s="131">
        <f>IF(B263="",0,IF(IFERROR(MATCH(B263,'C01_BaseCalculation'!$W$160:$W$239,0),0)&gt;0,1,0))</f>
        <v>0</v>
      </c>
      <c r="F263" s="410"/>
      <c r="G263" s="150"/>
      <c r="H263" s="136"/>
      <c r="I263" s="136"/>
      <c r="J263" s="136"/>
      <c r="K263" s="136"/>
      <c r="L263" s="409">
        <v>1</v>
      </c>
      <c r="M263" s="409" t="str">
        <f>IF(ExpertiseNumber&gt;1,IFERROR(IF(L263="","",INDEX($G$243:$G$261,MATCH(L263,L$243:L$261,0),1)),""),"")</f>
        <v/>
      </c>
      <c r="N263" s="136"/>
      <c r="O263" s="409">
        <v>1</v>
      </c>
      <c r="P263" s="409" t="str">
        <f>IF(ExpertiseNumber&gt;1,IFERROR(IF(O263="","",INDEX($G$243:$G$261,MATCH(O263,O$243:O$261,0),1)),""),"")</f>
        <v/>
      </c>
      <c r="Q263" s="136"/>
      <c r="R263" s="409">
        <v>1</v>
      </c>
      <c r="S263" s="409" t="str">
        <f t="shared" ref="S263:S281" si="163">IF(ExpertiseNumber&gt;2,IFERROR(IF(R263="","",INDEX($G$243:$G$261,MATCH(R263,R$243:R$261,0),1)),""),"")</f>
        <v/>
      </c>
      <c r="T263" s="136"/>
      <c r="U263" s="409">
        <v>1</v>
      </c>
      <c r="V263" s="409" t="str">
        <f t="shared" ref="V263:V281" si="164">IF(ExpertiseNumber&gt;2,IFERROR(IF(U263="","",INDEX($G$243:$G$261,MATCH(U263,U$243:U$261,0),1)),""),"")</f>
        <v/>
      </c>
      <c r="W263" s="136"/>
      <c r="X263" s="409">
        <v>1</v>
      </c>
      <c r="Y263" s="409" t="str">
        <f t="shared" ref="Y263:Y281" si="165">IF(ExpertiseNumber&gt;4,IFERROR(IF(X263="","",INDEX($G$243:$G$261,MATCH(X263,X$243:X$261,0),1)),""),"")</f>
        <v/>
      </c>
      <c r="Z263" s="136"/>
      <c r="AA263" s="409">
        <v>1</v>
      </c>
      <c r="AB263" s="409" t="str">
        <f t="shared" ref="AB263:AB281" si="166">IF(ExpertiseNumber&gt;4,IFERROR(IF(AA263="","",INDEX($G$243:$G$261,MATCH(AA263,AA$243:AA$261,0),1)),""),"")</f>
        <v/>
      </c>
      <c r="AC263" s="136"/>
      <c r="AD263" s="409">
        <v>1</v>
      </c>
      <c r="AE263" s="409" t="str">
        <f t="shared" ref="AE263:AE281" si="167">IF(ExpertiseNumber&gt;6,IFERROR(IF(AD263="","",INDEX($G$243:$G$261,MATCH(AD263,AD$243:AD$261,0),1)),""),"")</f>
        <v/>
      </c>
      <c r="AF263" s="136"/>
      <c r="AG263" s="409">
        <v>1</v>
      </c>
      <c r="AH263" s="409" t="str">
        <f t="shared" ref="AH263:AH281" si="168">IF(ExpertiseNumber&gt;6,IFERROR(IF(AG263="","",INDEX($G$243:$G$261,MATCH(AG263,AG$243:AG$261,0),1)),""),"")</f>
        <v/>
      </c>
      <c r="AI263" s="151"/>
      <c r="AJ263" s="410"/>
      <c r="DZ263" s="138"/>
    </row>
    <row r="264" spans="1:130" ht="16.5" x14ac:dyDescent="0.3">
      <c r="A264" s="132">
        <f>IFERROR(IF(A263+1&lt;MAX(T041_ClassFeatures!$A$2:$A$2033),A263+1,""),"")</f>
        <v>261</v>
      </c>
      <c r="B264" s="131" t="str">
        <f>IFERROR(INDEX(T041_ClassFeatures!$B$2:$B$2033,MATCH('C03_ClassVariables'!A264,T041_ClassFeatures!$A$2:$A$2033,0),1),"")</f>
        <v>Channel Divnity: Turn the Faithless</v>
      </c>
      <c r="C264" s="131">
        <f>IF(B264="",0,IF(IFERROR(MATCH(B264,'C01_BaseCalculation'!$W$160:$W$239,0),0)&gt;0,1,0))</f>
        <v>0</v>
      </c>
      <c r="F264" s="410"/>
      <c r="G264" s="150"/>
      <c r="H264" s="136"/>
      <c r="I264" s="136"/>
      <c r="J264" s="136"/>
      <c r="K264" s="136"/>
      <c r="L264" s="409" t="str">
        <f>IF(ExpertiseNumber&gt;1,IFERROR(IF(L263+1&lt;=MAX(L$243:L$261),L263+1,""),""),"")</f>
        <v/>
      </c>
      <c r="M264" s="409" t="str">
        <f t="shared" ref="M264:M281" si="169">IFERROR(IF(L264="","",INDEX($G$243:$G$261,MATCH(L264,L$243:L$261,0),1)),"")</f>
        <v/>
      </c>
      <c r="N264" s="136"/>
      <c r="O264" s="409" t="str">
        <f t="shared" ref="O264:O281" si="170">IF(ExpertiseNumber&gt;1,IFERROR(IF(O263+1&lt;=MAX(O243:O261),O263+1,""),""),"")</f>
        <v/>
      </c>
      <c r="P264" s="409" t="str">
        <f t="shared" ref="P264:P281" si="171">IFERROR(IF(O264="","",INDEX($G$243:$G$261,MATCH(O264,O$243:O$261,0),1)),"")</f>
        <v/>
      </c>
      <c r="Q264" s="136"/>
      <c r="R264" s="409" t="str">
        <f t="shared" ref="R264:R281" si="172">IF(ExpertiseNumber&gt;2,IFERROR(IF(R263+1&lt;=MAX(R243:R261),R263+1,""),""),"")</f>
        <v/>
      </c>
      <c r="S264" s="409" t="str">
        <f t="shared" si="163"/>
        <v/>
      </c>
      <c r="T264" s="136"/>
      <c r="U264" s="409" t="str">
        <f t="shared" ref="U264:U281" si="173">IF(ExpertiseNumber&gt;2,IFERROR(IF(U263+1&lt;=MAX(U243:U261),U263+1,""),""),"")</f>
        <v/>
      </c>
      <c r="V264" s="409" t="str">
        <f t="shared" si="164"/>
        <v/>
      </c>
      <c r="W264" s="136"/>
      <c r="X264" s="409" t="str">
        <f t="shared" ref="X264:X281" si="174">IF(ExpertiseNumber&gt;4,IFERROR(IF(X263+1&lt;=MAX(X243:X261),X263+1,""),""),"")</f>
        <v/>
      </c>
      <c r="Y264" s="409" t="str">
        <f t="shared" si="165"/>
        <v/>
      </c>
      <c r="Z264" s="136"/>
      <c r="AA264" s="409" t="str">
        <f t="shared" ref="AA264:AA281" si="175">IF(ExpertiseNumber&gt;4,IFERROR(IF(AA263+1&lt;=MAX(AA243:AA261),AA263+1,""),""),"")</f>
        <v/>
      </c>
      <c r="AB264" s="409" t="str">
        <f t="shared" si="166"/>
        <v/>
      </c>
      <c r="AC264" s="136"/>
      <c r="AD264" s="409" t="str">
        <f t="shared" ref="AD264:AD281" si="176">IF(ExpertiseNumber&gt;6,IFERROR(IF(AD263+1&lt;=MAX(AD243:AD261),AD263+1,""),""),"")</f>
        <v/>
      </c>
      <c r="AE264" s="409" t="str">
        <f t="shared" si="167"/>
        <v/>
      </c>
      <c r="AF264" s="136"/>
      <c r="AG264" s="409" t="str">
        <f t="shared" ref="AG264:AG281" si="177">IF(ExpertiseNumber&gt;6,IFERROR(IF(AG263+1&lt;=MAX(AG243:AG261),AG263+1,""),""),"")</f>
        <v/>
      </c>
      <c r="AH264" s="409" t="str">
        <f t="shared" si="168"/>
        <v/>
      </c>
      <c r="AI264" s="151"/>
      <c r="AJ264" s="410"/>
      <c r="DZ264" s="138"/>
    </row>
    <row r="265" spans="1:130" ht="16.5" x14ac:dyDescent="0.3">
      <c r="A265" s="132">
        <f>IFERROR(IF(A264+1&lt;MAX(T041_ClassFeatures!$A$2:$A$2033),A264+1,""),"")</f>
        <v>262</v>
      </c>
      <c r="B265" s="131" t="str">
        <f>IFERROR(INDEX(T041_ClassFeatures!$B$2:$B$2033,MATCH('C03_ClassVariables'!A265,T041_ClassFeatures!$A$2:$A$2033,0),1),"")</f>
        <v>Aura of Warding</v>
      </c>
      <c r="C265" s="131">
        <f>IF(B265="",0,IF(IFERROR(MATCH(B265,'C01_BaseCalculation'!$W$160:$W$239,0),0)&gt;0,1,0))</f>
        <v>0</v>
      </c>
      <c r="F265" s="410"/>
      <c r="G265" s="150"/>
      <c r="H265" s="136">
        <f>ExpertiseNumber</f>
        <v>0</v>
      </c>
      <c r="I265" s="136"/>
      <c r="J265" s="136"/>
      <c r="K265" s="136"/>
      <c r="L265" s="409" t="str">
        <f t="shared" ref="L265:L281" si="178">IF(ExpertiseNumber&gt;1,IFERROR(IF(L264+1&lt;=MAX(L244:L262),L264+1,""),""),"")</f>
        <v/>
      </c>
      <c r="M265" s="409" t="str">
        <f t="shared" si="169"/>
        <v/>
      </c>
      <c r="N265" s="136"/>
      <c r="O265" s="409" t="str">
        <f t="shared" si="170"/>
        <v/>
      </c>
      <c r="P265" s="409" t="str">
        <f t="shared" si="171"/>
        <v/>
      </c>
      <c r="Q265" s="136"/>
      <c r="R265" s="409" t="str">
        <f t="shared" si="172"/>
        <v/>
      </c>
      <c r="S265" s="409" t="str">
        <f t="shared" si="163"/>
        <v/>
      </c>
      <c r="T265" s="136"/>
      <c r="U265" s="409" t="str">
        <f t="shared" si="173"/>
        <v/>
      </c>
      <c r="V265" s="409" t="str">
        <f t="shared" si="164"/>
        <v/>
      </c>
      <c r="W265" s="136"/>
      <c r="X265" s="409" t="str">
        <f t="shared" si="174"/>
        <v/>
      </c>
      <c r="Y265" s="409" t="str">
        <f t="shared" si="165"/>
        <v/>
      </c>
      <c r="Z265" s="136"/>
      <c r="AA265" s="409" t="str">
        <f t="shared" si="175"/>
        <v/>
      </c>
      <c r="AB265" s="409" t="str">
        <f t="shared" si="166"/>
        <v/>
      </c>
      <c r="AC265" s="136"/>
      <c r="AD265" s="409" t="str">
        <f t="shared" si="176"/>
        <v/>
      </c>
      <c r="AE265" s="409" t="str">
        <f t="shared" si="167"/>
        <v/>
      </c>
      <c r="AF265" s="136"/>
      <c r="AG265" s="409" t="str">
        <f t="shared" si="177"/>
        <v/>
      </c>
      <c r="AH265" s="409" t="str">
        <f t="shared" si="168"/>
        <v/>
      </c>
      <c r="AI265" s="151"/>
      <c r="AJ265" s="410"/>
      <c r="DZ265" s="138"/>
    </row>
    <row r="266" spans="1:130" ht="16.5" x14ac:dyDescent="0.3">
      <c r="A266" s="132">
        <f>IFERROR(IF(A265+1&lt;MAX(T041_ClassFeatures!$A$2:$A$2033),A265+1,""),"")</f>
        <v>263</v>
      </c>
      <c r="B266" s="131" t="str">
        <f>IFERROR(INDEX(T041_ClassFeatures!$B$2:$B$2033,MATCH('C03_ClassVariables'!A266,T041_ClassFeatures!$A$2:$A$2033,0),1),"")</f>
        <v>Undying Sentinel</v>
      </c>
      <c r="C266" s="131">
        <f>IF(B266="",0,IF(IFERROR(MATCH(B266,'C01_BaseCalculation'!$W$160:$W$239,0),0)&gt;0,1,0))</f>
        <v>0</v>
      </c>
      <c r="F266" s="410"/>
      <c r="G266" s="150"/>
      <c r="H266" s="136"/>
      <c r="I266" s="136"/>
      <c r="J266" s="136"/>
      <c r="K266" s="136"/>
      <c r="L266" s="409" t="str">
        <f t="shared" si="178"/>
        <v/>
      </c>
      <c r="M266" s="409" t="str">
        <f t="shared" si="169"/>
        <v/>
      </c>
      <c r="N266" s="136"/>
      <c r="O266" s="409" t="str">
        <f t="shared" si="170"/>
        <v/>
      </c>
      <c r="P266" s="409" t="str">
        <f t="shared" si="171"/>
        <v/>
      </c>
      <c r="Q266" s="136"/>
      <c r="R266" s="409" t="str">
        <f t="shared" si="172"/>
        <v/>
      </c>
      <c r="S266" s="409" t="str">
        <f t="shared" si="163"/>
        <v/>
      </c>
      <c r="T266" s="136"/>
      <c r="U266" s="409" t="str">
        <f t="shared" si="173"/>
        <v/>
      </c>
      <c r="V266" s="409" t="str">
        <f t="shared" si="164"/>
        <v/>
      </c>
      <c r="W266" s="136"/>
      <c r="X266" s="409" t="str">
        <f t="shared" si="174"/>
        <v/>
      </c>
      <c r="Y266" s="409" t="str">
        <f t="shared" si="165"/>
        <v/>
      </c>
      <c r="Z266" s="136"/>
      <c r="AA266" s="409" t="str">
        <f t="shared" si="175"/>
        <v/>
      </c>
      <c r="AB266" s="409" t="str">
        <f t="shared" si="166"/>
        <v/>
      </c>
      <c r="AC266" s="136"/>
      <c r="AD266" s="409" t="str">
        <f t="shared" si="176"/>
        <v/>
      </c>
      <c r="AE266" s="409" t="str">
        <f t="shared" si="167"/>
        <v/>
      </c>
      <c r="AF266" s="136"/>
      <c r="AG266" s="409" t="str">
        <f t="shared" si="177"/>
        <v/>
      </c>
      <c r="AH266" s="409" t="str">
        <f t="shared" si="168"/>
        <v/>
      </c>
      <c r="AI266" s="151"/>
      <c r="AJ266" s="410"/>
      <c r="DZ266" s="138"/>
    </row>
    <row r="267" spans="1:130" ht="16.5" x14ac:dyDescent="0.3">
      <c r="A267" s="132">
        <f>IFERROR(IF(A266+1&lt;MAX(T041_ClassFeatures!$A$2:$A$2033),A266+1,""),"")</f>
        <v>264</v>
      </c>
      <c r="B267" s="131" t="str">
        <f>IFERROR(INDEX(T041_ClassFeatures!$B$2:$B$2033,MATCH('C03_ClassVariables'!A267,T041_ClassFeatures!$A$2:$A$2033,0),1),"")</f>
        <v>Elder Champion</v>
      </c>
      <c r="C267" s="131">
        <f>IF(B267="",0,IF(IFERROR(MATCH(B267,'C01_BaseCalculation'!$W$160:$W$239,0),0)&gt;0,1,0))</f>
        <v>0</v>
      </c>
      <c r="F267" s="410"/>
      <c r="G267" s="150"/>
      <c r="H267" s="136"/>
      <c r="I267" s="136"/>
      <c r="J267" s="136"/>
      <c r="K267" s="136"/>
      <c r="L267" s="409" t="str">
        <f t="shared" si="178"/>
        <v/>
      </c>
      <c r="M267" s="409" t="str">
        <f t="shared" si="169"/>
        <v/>
      </c>
      <c r="N267" s="136"/>
      <c r="O267" s="409" t="str">
        <f t="shared" si="170"/>
        <v/>
      </c>
      <c r="P267" s="409" t="str">
        <f t="shared" si="171"/>
        <v/>
      </c>
      <c r="Q267" s="136"/>
      <c r="R267" s="409" t="str">
        <f t="shared" si="172"/>
        <v/>
      </c>
      <c r="S267" s="409" t="str">
        <f t="shared" si="163"/>
        <v/>
      </c>
      <c r="T267" s="136"/>
      <c r="U267" s="409" t="str">
        <f t="shared" si="173"/>
        <v/>
      </c>
      <c r="V267" s="409" t="str">
        <f t="shared" si="164"/>
        <v/>
      </c>
      <c r="W267" s="136"/>
      <c r="X267" s="409" t="str">
        <f t="shared" si="174"/>
        <v/>
      </c>
      <c r="Y267" s="409" t="str">
        <f t="shared" si="165"/>
        <v/>
      </c>
      <c r="Z267" s="136"/>
      <c r="AA267" s="409" t="str">
        <f t="shared" si="175"/>
        <v/>
      </c>
      <c r="AB267" s="409" t="str">
        <f t="shared" si="166"/>
        <v/>
      </c>
      <c r="AC267" s="136"/>
      <c r="AD267" s="409" t="str">
        <f t="shared" si="176"/>
        <v/>
      </c>
      <c r="AE267" s="409" t="str">
        <f t="shared" si="167"/>
        <v/>
      </c>
      <c r="AF267" s="136"/>
      <c r="AG267" s="409" t="str">
        <f t="shared" si="177"/>
        <v/>
      </c>
      <c r="AH267" s="409" t="str">
        <f t="shared" si="168"/>
        <v/>
      </c>
      <c r="AI267" s="151"/>
      <c r="AJ267" s="410"/>
      <c r="DZ267" s="138"/>
    </row>
    <row r="268" spans="1:130" ht="16.5" x14ac:dyDescent="0.3">
      <c r="A268" s="132">
        <f>IFERROR(IF(A267+1&lt;MAX(T041_ClassFeatures!$A$2:$A$2033),A267+1,""),"")</f>
        <v>265</v>
      </c>
      <c r="B268" s="131" t="str">
        <f>IFERROR(INDEX(T041_ClassFeatures!$B$2:$B$2033,MATCH('C03_ClassVariables'!A268,T041_ClassFeatures!$A$2:$A$2033,0),1),"")</f>
        <v>Channel Divinity: Abjure Elements</v>
      </c>
      <c r="C268" s="131">
        <f>IF(B268="",0,IF(IFERROR(MATCH(B268,'C01_BaseCalculation'!$W$160:$W$239,0),0)&gt;0,1,0))</f>
        <v>0</v>
      </c>
      <c r="F268" s="410"/>
      <c r="G268" s="150"/>
      <c r="H268" s="136"/>
      <c r="I268" s="136"/>
      <c r="J268" s="136"/>
      <c r="K268" s="136"/>
      <c r="L268" s="409" t="str">
        <f t="shared" si="178"/>
        <v/>
      </c>
      <c r="M268" s="409" t="str">
        <f t="shared" si="169"/>
        <v/>
      </c>
      <c r="N268" s="136"/>
      <c r="O268" s="409" t="str">
        <f t="shared" si="170"/>
        <v/>
      </c>
      <c r="P268" s="409" t="str">
        <f t="shared" si="171"/>
        <v/>
      </c>
      <c r="Q268" s="136"/>
      <c r="R268" s="409" t="str">
        <f t="shared" si="172"/>
        <v/>
      </c>
      <c r="S268" s="409" t="str">
        <f t="shared" si="163"/>
        <v/>
      </c>
      <c r="T268" s="136"/>
      <c r="U268" s="409" t="str">
        <f t="shared" si="173"/>
        <v/>
      </c>
      <c r="V268" s="409" t="str">
        <f t="shared" si="164"/>
        <v/>
      </c>
      <c r="W268" s="136"/>
      <c r="X268" s="409" t="str">
        <f t="shared" si="174"/>
        <v/>
      </c>
      <c r="Y268" s="409" t="str">
        <f t="shared" si="165"/>
        <v/>
      </c>
      <c r="Z268" s="136"/>
      <c r="AA268" s="409" t="str">
        <f t="shared" si="175"/>
        <v/>
      </c>
      <c r="AB268" s="409" t="str">
        <f t="shared" si="166"/>
        <v/>
      </c>
      <c r="AC268" s="136"/>
      <c r="AD268" s="409" t="str">
        <f t="shared" si="176"/>
        <v/>
      </c>
      <c r="AE268" s="409" t="str">
        <f t="shared" si="167"/>
        <v/>
      </c>
      <c r="AF268" s="136"/>
      <c r="AG268" s="409" t="str">
        <f t="shared" si="177"/>
        <v/>
      </c>
      <c r="AH268" s="409" t="str">
        <f t="shared" si="168"/>
        <v/>
      </c>
      <c r="AI268" s="151"/>
      <c r="AJ268" s="410"/>
      <c r="DZ268" s="138"/>
    </row>
    <row r="269" spans="1:130" ht="16.5" x14ac:dyDescent="0.3">
      <c r="A269" s="132">
        <f>IFERROR(IF(A268+1&lt;MAX(T041_ClassFeatures!$A$2:$A$2033),A268+1,""),"")</f>
        <v>266</v>
      </c>
      <c r="B269" s="131" t="str">
        <f>IFERROR(INDEX(T041_ClassFeatures!$B$2:$B$2033,MATCH('C03_ClassVariables'!A269,T041_ClassFeatures!$A$2:$A$2033,0),1),"")</f>
        <v>Channel Divinity: Vow of Emnity</v>
      </c>
      <c r="C269" s="131">
        <f>IF(B269="",0,IF(IFERROR(MATCH(B269,'C01_BaseCalculation'!$W$160:$W$239,0),0)&gt;0,1,0))</f>
        <v>0</v>
      </c>
      <c r="F269" s="410"/>
      <c r="G269" s="150"/>
      <c r="H269" s="136"/>
      <c r="I269" s="136"/>
      <c r="J269" s="136"/>
      <c r="K269" s="136"/>
      <c r="L269" s="409" t="str">
        <f t="shared" si="178"/>
        <v/>
      </c>
      <c r="M269" s="409" t="str">
        <f t="shared" si="169"/>
        <v/>
      </c>
      <c r="N269" s="136"/>
      <c r="O269" s="409" t="str">
        <f t="shared" si="170"/>
        <v/>
      </c>
      <c r="P269" s="409" t="str">
        <f t="shared" si="171"/>
        <v/>
      </c>
      <c r="Q269" s="136"/>
      <c r="R269" s="409" t="str">
        <f t="shared" si="172"/>
        <v/>
      </c>
      <c r="S269" s="409" t="str">
        <f t="shared" si="163"/>
        <v/>
      </c>
      <c r="T269" s="136"/>
      <c r="U269" s="409" t="str">
        <f t="shared" si="173"/>
        <v/>
      </c>
      <c r="V269" s="409" t="str">
        <f t="shared" si="164"/>
        <v/>
      </c>
      <c r="W269" s="136"/>
      <c r="X269" s="409" t="str">
        <f t="shared" si="174"/>
        <v/>
      </c>
      <c r="Y269" s="409" t="str">
        <f t="shared" si="165"/>
        <v/>
      </c>
      <c r="Z269" s="136"/>
      <c r="AA269" s="409" t="str">
        <f t="shared" si="175"/>
        <v/>
      </c>
      <c r="AB269" s="409" t="str">
        <f t="shared" si="166"/>
        <v/>
      </c>
      <c r="AC269" s="136"/>
      <c r="AD269" s="409" t="str">
        <f t="shared" si="176"/>
        <v/>
      </c>
      <c r="AE269" s="409" t="str">
        <f t="shared" si="167"/>
        <v/>
      </c>
      <c r="AF269" s="136"/>
      <c r="AG269" s="409" t="str">
        <f t="shared" si="177"/>
        <v/>
      </c>
      <c r="AH269" s="409" t="str">
        <f t="shared" si="168"/>
        <v/>
      </c>
      <c r="AI269" s="151"/>
      <c r="AJ269" s="410"/>
      <c r="DZ269" s="138"/>
    </row>
    <row r="270" spans="1:130" ht="16.5" x14ac:dyDescent="0.3">
      <c r="A270" s="132">
        <f>IFERROR(IF(A269+1&lt;MAX(T041_ClassFeatures!$A$2:$A$2033),A269+1,""),"")</f>
        <v>267</v>
      </c>
      <c r="B270" s="131" t="str">
        <f>IFERROR(INDEX(T041_ClassFeatures!$B$2:$B$2033,MATCH('C03_ClassVariables'!A270,T041_ClassFeatures!$A$2:$A$2033,0),1),"")</f>
        <v>Relentless Avenger</v>
      </c>
      <c r="C270" s="131">
        <f>IF(B270="",0,IF(IFERROR(MATCH(B270,'C01_BaseCalculation'!$W$160:$W$239,0),0)&gt;0,1,0))</f>
        <v>0</v>
      </c>
      <c r="F270" s="410"/>
      <c r="G270" s="150"/>
      <c r="H270" s="136"/>
      <c r="I270" s="136"/>
      <c r="J270" s="136"/>
      <c r="K270" s="136"/>
      <c r="L270" s="409" t="str">
        <f t="shared" si="178"/>
        <v/>
      </c>
      <c r="M270" s="409" t="str">
        <f t="shared" si="169"/>
        <v/>
      </c>
      <c r="N270" s="136"/>
      <c r="O270" s="409" t="str">
        <f t="shared" si="170"/>
        <v/>
      </c>
      <c r="P270" s="409" t="str">
        <f t="shared" si="171"/>
        <v/>
      </c>
      <c r="Q270" s="136"/>
      <c r="R270" s="409" t="str">
        <f t="shared" si="172"/>
        <v/>
      </c>
      <c r="S270" s="409" t="str">
        <f t="shared" si="163"/>
        <v/>
      </c>
      <c r="T270" s="136"/>
      <c r="U270" s="409" t="str">
        <f t="shared" si="173"/>
        <v/>
      </c>
      <c r="V270" s="409" t="str">
        <f t="shared" si="164"/>
        <v/>
      </c>
      <c r="W270" s="136"/>
      <c r="X270" s="409" t="str">
        <f t="shared" si="174"/>
        <v/>
      </c>
      <c r="Y270" s="409" t="str">
        <f t="shared" si="165"/>
        <v/>
      </c>
      <c r="Z270" s="136"/>
      <c r="AA270" s="409" t="str">
        <f t="shared" si="175"/>
        <v/>
      </c>
      <c r="AB270" s="409" t="str">
        <f t="shared" si="166"/>
        <v/>
      </c>
      <c r="AC270" s="136"/>
      <c r="AD270" s="409" t="str">
        <f t="shared" si="176"/>
        <v/>
      </c>
      <c r="AE270" s="409" t="str">
        <f t="shared" si="167"/>
        <v/>
      </c>
      <c r="AF270" s="136"/>
      <c r="AG270" s="409" t="str">
        <f t="shared" si="177"/>
        <v/>
      </c>
      <c r="AH270" s="409" t="str">
        <f t="shared" si="168"/>
        <v/>
      </c>
      <c r="AI270" s="151"/>
      <c r="AJ270" s="410"/>
      <c r="DZ270" s="138"/>
    </row>
    <row r="271" spans="1:130" ht="16.5" x14ac:dyDescent="0.3">
      <c r="A271" s="132">
        <f>IFERROR(IF(A270+1&lt;MAX(T041_ClassFeatures!$A$2:$A$2033),A270+1,""),"")</f>
        <v>268</v>
      </c>
      <c r="B271" s="131" t="str">
        <f>IFERROR(INDEX(T041_ClassFeatures!$B$2:$B$2033,MATCH('C03_ClassVariables'!A271,T041_ClassFeatures!$A$2:$A$2033,0),1),"")</f>
        <v>Soul of Vengeance</v>
      </c>
      <c r="C271" s="131">
        <f>IF(B271="",0,IF(IFERROR(MATCH(B271,'C01_BaseCalculation'!$W$160:$W$239,0),0)&gt;0,1,0))</f>
        <v>0</v>
      </c>
      <c r="F271" s="410"/>
      <c r="G271" s="150"/>
      <c r="H271" s="136"/>
      <c r="I271" s="136"/>
      <c r="J271" s="136"/>
      <c r="K271" s="136"/>
      <c r="L271" s="409" t="str">
        <f t="shared" si="178"/>
        <v/>
      </c>
      <c r="M271" s="409" t="str">
        <f t="shared" si="169"/>
        <v/>
      </c>
      <c r="N271" s="136"/>
      <c r="O271" s="409" t="str">
        <f t="shared" si="170"/>
        <v/>
      </c>
      <c r="P271" s="409" t="str">
        <f t="shared" si="171"/>
        <v/>
      </c>
      <c r="Q271" s="136"/>
      <c r="R271" s="409" t="str">
        <f t="shared" si="172"/>
        <v/>
      </c>
      <c r="S271" s="409" t="str">
        <f t="shared" si="163"/>
        <v/>
      </c>
      <c r="T271" s="136"/>
      <c r="U271" s="409" t="str">
        <f t="shared" si="173"/>
        <v/>
      </c>
      <c r="V271" s="409" t="str">
        <f t="shared" si="164"/>
        <v/>
      </c>
      <c r="W271" s="136"/>
      <c r="X271" s="409" t="str">
        <f t="shared" si="174"/>
        <v/>
      </c>
      <c r="Y271" s="409" t="str">
        <f t="shared" si="165"/>
        <v/>
      </c>
      <c r="Z271" s="136"/>
      <c r="AA271" s="409" t="str">
        <f t="shared" si="175"/>
        <v/>
      </c>
      <c r="AB271" s="409" t="str">
        <f t="shared" si="166"/>
        <v/>
      </c>
      <c r="AC271" s="136"/>
      <c r="AD271" s="409" t="str">
        <f t="shared" si="176"/>
        <v/>
      </c>
      <c r="AE271" s="409" t="str">
        <f t="shared" si="167"/>
        <v/>
      </c>
      <c r="AF271" s="136"/>
      <c r="AG271" s="409" t="str">
        <f t="shared" si="177"/>
        <v/>
      </c>
      <c r="AH271" s="409" t="str">
        <f t="shared" si="168"/>
        <v/>
      </c>
      <c r="AI271" s="151"/>
      <c r="AJ271" s="410"/>
      <c r="DZ271" s="138"/>
    </row>
    <row r="272" spans="1:130" ht="16.5" x14ac:dyDescent="0.3">
      <c r="A272" s="132">
        <f>IFERROR(IF(A271+1&lt;MAX(T041_ClassFeatures!$A$2:$A$2033),A271+1,""),"")</f>
        <v>269</v>
      </c>
      <c r="B272" s="131" t="str">
        <f>IFERROR(INDEX(T041_ClassFeatures!$B$2:$B$2033,MATCH('C03_ClassVariables'!A272,T041_ClassFeatures!$A$2:$A$2033,0),1),"")</f>
        <v>Avenging Angel</v>
      </c>
      <c r="C272" s="131">
        <f>IF(B272="",0,IF(IFERROR(MATCH(B272,'C01_BaseCalculation'!$W$160:$W$239,0),0)&gt;0,1,0))</f>
        <v>0</v>
      </c>
      <c r="F272" s="410"/>
      <c r="G272" s="150"/>
      <c r="H272" s="136"/>
      <c r="I272" s="136"/>
      <c r="J272" s="136"/>
      <c r="K272" s="136"/>
      <c r="L272" s="409" t="str">
        <f t="shared" si="178"/>
        <v/>
      </c>
      <c r="M272" s="409" t="str">
        <f t="shared" si="169"/>
        <v/>
      </c>
      <c r="N272" s="136"/>
      <c r="O272" s="409" t="str">
        <f t="shared" si="170"/>
        <v/>
      </c>
      <c r="P272" s="409" t="str">
        <f t="shared" si="171"/>
        <v/>
      </c>
      <c r="Q272" s="136"/>
      <c r="R272" s="409" t="str">
        <f t="shared" si="172"/>
        <v/>
      </c>
      <c r="S272" s="409" t="str">
        <f t="shared" si="163"/>
        <v/>
      </c>
      <c r="T272" s="136"/>
      <c r="U272" s="409" t="str">
        <f t="shared" si="173"/>
        <v/>
      </c>
      <c r="V272" s="409" t="str">
        <f t="shared" si="164"/>
        <v/>
      </c>
      <c r="W272" s="136"/>
      <c r="X272" s="409" t="str">
        <f t="shared" si="174"/>
        <v/>
      </c>
      <c r="Y272" s="409" t="str">
        <f t="shared" si="165"/>
        <v/>
      </c>
      <c r="Z272" s="136"/>
      <c r="AA272" s="409" t="str">
        <f t="shared" si="175"/>
        <v/>
      </c>
      <c r="AB272" s="409" t="str">
        <f t="shared" si="166"/>
        <v/>
      </c>
      <c r="AC272" s="136"/>
      <c r="AD272" s="409" t="str">
        <f t="shared" si="176"/>
        <v/>
      </c>
      <c r="AE272" s="409" t="str">
        <f t="shared" si="167"/>
        <v/>
      </c>
      <c r="AF272" s="136"/>
      <c r="AG272" s="409" t="str">
        <f t="shared" si="177"/>
        <v/>
      </c>
      <c r="AH272" s="409" t="str">
        <f t="shared" si="168"/>
        <v/>
      </c>
      <c r="AI272" s="151"/>
      <c r="AJ272" s="410"/>
      <c r="DZ272" s="138"/>
    </row>
    <row r="273" spans="1:130" ht="16.5" x14ac:dyDescent="0.3">
      <c r="A273" s="132">
        <f>IFERROR(IF(A272+1&lt;MAX(T041_ClassFeatures!$A$2:$A$2033),A272+1,""),"")</f>
        <v>270</v>
      </c>
      <c r="B273" s="131" t="str">
        <f>IFERROR(INDEX(T041_ClassFeatures!$B$2:$B$2033,MATCH('C03_ClassVariables'!A273,T041_ClassFeatures!$A$2:$A$2033,0),1),"")</f>
        <v>Hunter's Prey</v>
      </c>
      <c r="C273" s="131">
        <f>IF(B273="",0,IF(IFERROR(MATCH(B273,'C01_BaseCalculation'!$W$160:$W$239,0),0)&gt;0,1,0))</f>
        <v>0</v>
      </c>
      <c r="F273" s="410"/>
      <c r="G273" s="150"/>
      <c r="H273" s="136"/>
      <c r="I273" s="136"/>
      <c r="J273" s="136"/>
      <c r="K273" s="136"/>
      <c r="L273" s="409" t="str">
        <f t="shared" si="178"/>
        <v/>
      </c>
      <c r="M273" s="409" t="str">
        <f t="shared" si="169"/>
        <v/>
      </c>
      <c r="N273" s="136"/>
      <c r="O273" s="409" t="str">
        <f t="shared" si="170"/>
        <v/>
      </c>
      <c r="P273" s="409" t="str">
        <f t="shared" si="171"/>
        <v/>
      </c>
      <c r="Q273" s="136"/>
      <c r="R273" s="409" t="str">
        <f t="shared" si="172"/>
        <v/>
      </c>
      <c r="S273" s="409" t="str">
        <f t="shared" si="163"/>
        <v/>
      </c>
      <c r="T273" s="136"/>
      <c r="U273" s="409" t="str">
        <f t="shared" si="173"/>
        <v/>
      </c>
      <c r="V273" s="409" t="str">
        <f t="shared" si="164"/>
        <v/>
      </c>
      <c r="W273" s="136"/>
      <c r="X273" s="409" t="str">
        <f t="shared" si="174"/>
        <v/>
      </c>
      <c r="Y273" s="409" t="str">
        <f t="shared" si="165"/>
        <v/>
      </c>
      <c r="Z273" s="136"/>
      <c r="AA273" s="409" t="str">
        <f t="shared" si="175"/>
        <v/>
      </c>
      <c r="AB273" s="409" t="str">
        <f t="shared" si="166"/>
        <v/>
      </c>
      <c r="AC273" s="136"/>
      <c r="AD273" s="409" t="str">
        <f t="shared" si="176"/>
        <v/>
      </c>
      <c r="AE273" s="409" t="str">
        <f t="shared" si="167"/>
        <v/>
      </c>
      <c r="AF273" s="136"/>
      <c r="AG273" s="409" t="str">
        <f t="shared" si="177"/>
        <v/>
      </c>
      <c r="AH273" s="409" t="str">
        <f t="shared" si="168"/>
        <v/>
      </c>
      <c r="AI273" s="151"/>
      <c r="AJ273" s="410"/>
      <c r="DZ273" s="138"/>
    </row>
    <row r="274" spans="1:130" ht="16.5" x14ac:dyDescent="0.3">
      <c r="A274" s="132">
        <f>IFERROR(IF(A273+1&lt;MAX(T041_ClassFeatures!$A$2:$A$2033),A273+1,""),"")</f>
        <v>271</v>
      </c>
      <c r="B274" s="131" t="str">
        <f>IFERROR(INDEX(T041_ClassFeatures!$B$2:$B$2033,MATCH('C03_ClassVariables'!A274,T041_ClassFeatures!$A$2:$A$2033,0),1),"")</f>
        <v>Defensive Tactics</v>
      </c>
      <c r="C274" s="131">
        <f>IF(B274="",0,IF(IFERROR(MATCH(B274,'C01_BaseCalculation'!$W$160:$W$239,0),0)&gt;0,1,0))</f>
        <v>0</v>
      </c>
      <c r="F274" s="410"/>
      <c r="G274" s="150"/>
      <c r="H274" s="136"/>
      <c r="I274" s="136"/>
      <c r="J274" s="136"/>
      <c r="K274" s="136"/>
      <c r="L274" s="409" t="str">
        <f t="shared" si="178"/>
        <v/>
      </c>
      <c r="M274" s="409" t="str">
        <f t="shared" si="169"/>
        <v/>
      </c>
      <c r="N274" s="136"/>
      <c r="O274" s="409" t="str">
        <f t="shared" si="170"/>
        <v/>
      </c>
      <c r="P274" s="409" t="str">
        <f t="shared" si="171"/>
        <v/>
      </c>
      <c r="Q274" s="136"/>
      <c r="R274" s="409" t="str">
        <f t="shared" si="172"/>
        <v/>
      </c>
      <c r="S274" s="409" t="str">
        <f t="shared" si="163"/>
        <v/>
      </c>
      <c r="T274" s="136"/>
      <c r="U274" s="409" t="str">
        <f t="shared" si="173"/>
        <v/>
      </c>
      <c r="V274" s="409" t="str">
        <f t="shared" si="164"/>
        <v/>
      </c>
      <c r="W274" s="136"/>
      <c r="X274" s="409" t="str">
        <f t="shared" si="174"/>
        <v/>
      </c>
      <c r="Y274" s="409" t="str">
        <f t="shared" si="165"/>
        <v/>
      </c>
      <c r="Z274" s="136"/>
      <c r="AA274" s="409" t="str">
        <f t="shared" si="175"/>
        <v/>
      </c>
      <c r="AB274" s="409" t="str">
        <f t="shared" si="166"/>
        <v/>
      </c>
      <c r="AC274" s="136"/>
      <c r="AD274" s="409" t="str">
        <f t="shared" si="176"/>
        <v/>
      </c>
      <c r="AE274" s="409" t="str">
        <f t="shared" si="167"/>
        <v/>
      </c>
      <c r="AF274" s="136"/>
      <c r="AG274" s="409" t="str">
        <f t="shared" si="177"/>
        <v/>
      </c>
      <c r="AH274" s="409" t="str">
        <f t="shared" si="168"/>
        <v/>
      </c>
      <c r="AI274" s="151"/>
      <c r="AJ274" s="410"/>
      <c r="DZ274" s="138"/>
    </row>
    <row r="275" spans="1:130" ht="16.5" x14ac:dyDescent="0.3">
      <c r="A275" s="132">
        <f>IFERROR(IF(A274+1&lt;MAX(T041_ClassFeatures!$A$2:$A$2033),A274+1,""),"")</f>
        <v>272</v>
      </c>
      <c r="B275" s="131" t="str">
        <f>IFERROR(INDEX(T041_ClassFeatures!$B$2:$B$2033,MATCH('C03_ClassVariables'!A275,T041_ClassFeatures!$A$2:$A$2033,0),1),"")</f>
        <v>Multiattack</v>
      </c>
      <c r="C275" s="131">
        <f>IF(B275="",0,IF(IFERROR(MATCH(B275,'C01_BaseCalculation'!$W$160:$W$239,0),0)&gt;0,1,0))</f>
        <v>0</v>
      </c>
      <c r="F275" s="410"/>
      <c r="G275" s="150"/>
      <c r="H275" s="136"/>
      <c r="I275" s="136"/>
      <c r="J275" s="136"/>
      <c r="K275" s="136"/>
      <c r="L275" s="409" t="str">
        <f t="shared" si="178"/>
        <v/>
      </c>
      <c r="M275" s="409" t="str">
        <f t="shared" si="169"/>
        <v/>
      </c>
      <c r="N275" s="136"/>
      <c r="O275" s="409" t="str">
        <f t="shared" si="170"/>
        <v/>
      </c>
      <c r="P275" s="409" t="str">
        <f t="shared" si="171"/>
        <v/>
      </c>
      <c r="Q275" s="136"/>
      <c r="R275" s="409" t="str">
        <f t="shared" si="172"/>
        <v/>
      </c>
      <c r="S275" s="409" t="str">
        <f t="shared" si="163"/>
        <v/>
      </c>
      <c r="T275" s="136"/>
      <c r="U275" s="409" t="str">
        <f t="shared" si="173"/>
        <v/>
      </c>
      <c r="V275" s="409" t="str">
        <f t="shared" si="164"/>
        <v/>
      </c>
      <c r="W275" s="136"/>
      <c r="X275" s="409" t="str">
        <f t="shared" si="174"/>
        <v/>
      </c>
      <c r="Y275" s="409" t="str">
        <f t="shared" si="165"/>
        <v/>
      </c>
      <c r="Z275" s="136"/>
      <c r="AA275" s="409" t="str">
        <f t="shared" si="175"/>
        <v/>
      </c>
      <c r="AB275" s="409" t="str">
        <f t="shared" si="166"/>
        <v/>
      </c>
      <c r="AC275" s="136"/>
      <c r="AD275" s="409" t="str">
        <f t="shared" si="176"/>
        <v/>
      </c>
      <c r="AE275" s="409" t="str">
        <f t="shared" si="167"/>
        <v/>
      </c>
      <c r="AF275" s="136"/>
      <c r="AG275" s="409" t="str">
        <f t="shared" si="177"/>
        <v/>
      </c>
      <c r="AH275" s="409" t="str">
        <f t="shared" si="168"/>
        <v/>
      </c>
      <c r="AI275" s="151"/>
      <c r="AJ275" s="410"/>
      <c r="DZ275" s="138"/>
    </row>
    <row r="276" spans="1:130" ht="16.5" x14ac:dyDescent="0.3">
      <c r="A276" s="132">
        <f>IFERROR(IF(A275+1&lt;MAX(T041_ClassFeatures!$A$2:$A$2033),A275+1,""),"")</f>
        <v>273</v>
      </c>
      <c r="B276" s="131" t="str">
        <f>IFERROR(INDEX(T041_ClassFeatures!$B$2:$B$2033,MATCH('C03_ClassVariables'!A276,T041_ClassFeatures!$A$2:$A$2033,0),1),"")</f>
        <v>Superior Hunter's Defense</v>
      </c>
      <c r="C276" s="131">
        <f>IF(B276="",0,IF(IFERROR(MATCH(B276,'C01_BaseCalculation'!$W$160:$W$239,0),0)&gt;0,1,0))</f>
        <v>0</v>
      </c>
      <c r="F276" s="410"/>
      <c r="G276" s="150"/>
      <c r="H276" s="136"/>
      <c r="I276" s="136"/>
      <c r="J276" s="136"/>
      <c r="K276" s="136"/>
      <c r="L276" s="409" t="str">
        <f t="shared" si="178"/>
        <v/>
      </c>
      <c r="M276" s="409" t="str">
        <f t="shared" si="169"/>
        <v/>
      </c>
      <c r="N276" s="136"/>
      <c r="O276" s="409" t="str">
        <f t="shared" si="170"/>
        <v/>
      </c>
      <c r="P276" s="409" t="str">
        <f t="shared" si="171"/>
        <v/>
      </c>
      <c r="Q276" s="136"/>
      <c r="R276" s="409" t="str">
        <f t="shared" si="172"/>
        <v/>
      </c>
      <c r="S276" s="409" t="str">
        <f t="shared" si="163"/>
        <v/>
      </c>
      <c r="T276" s="136"/>
      <c r="U276" s="409" t="str">
        <f t="shared" si="173"/>
        <v/>
      </c>
      <c r="V276" s="409" t="str">
        <f t="shared" si="164"/>
        <v/>
      </c>
      <c r="W276" s="136"/>
      <c r="X276" s="409" t="str">
        <f t="shared" si="174"/>
        <v/>
      </c>
      <c r="Y276" s="409" t="str">
        <f t="shared" si="165"/>
        <v/>
      </c>
      <c r="Z276" s="136"/>
      <c r="AA276" s="409" t="str">
        <f t="shared" si="175"/>
        <v/>
      </c>
      <c r="AB276" s="409" t="str">
        <f t="shared" si="166"/>
        <v/>
      </c>
      <c r="AC276" s="136"/>
      <c r="AD276" s="409" t="str">
        <f t="shared" si="176"/>
        <v/>
      </c>
      <c r="AE276" s="409" t="str">
        <f t="shared" si="167"/>
        <v/>
      </c>
      <c r="AF276" s="136"/>
      <c r="AG276" s="409" t="str">
        <f t="shared" si="177"/>
        <v/>
      </c>
      <c r="AH276" s="409" t="str">
        <f t="shared" si="168"/>
        <v/>
      </c>
      <c r="AI276" s="151"/>
      <c r="AJ276" s="410"/>
      <c r="DZ276" s="138"/>
    </row>
    <row r="277" spans="1:130" ht="16.5" x14ac:dyDescent="0.3">
      <c r="A277" s="132">
        <f>IFERROR(IF(A276+1&lt;MAX(T041_ClassFeatures!$A$2:$A$2033),A276+1,""),"")</f>
        <v>274</v>
      </c>
      <c r="B277" s="131" t="str">
        <f>IFERROR(INDEX(T041_ClassFeatures!$B$2:$B$2033,MATCH('C03_ClassVariables'!A277,T041_ClassFeatures!$A$2:$A$2033,0),1),"")</f>
        <v>Ranger's Companion</v>
      </c>
      <c r="C277" s="131">
        <f>IF(B277="",0,IF(IFERROR(MATCH(B277,'C01_BaseCalculation'!$W$160:$W$239,0),0)&gt;0,1,0))</f>
        <v>0</v>
      </c>
      <c r="F277" s="410"/>
      <c r="G277" s="150"/>
      <c r="H277" s="136"/>
      <c r="I277" s="136"/>
      <c r="J277" s="136"/>
      <c r="K277" s="136"/>
      <c r="L277" s="409" t="str">
        <f t="shared" si="178"/>
        <v/>
      </c>
      <c r="M277" s="409" t="str">
        <f t="shared" si="169"/>
        <v/>
      </c>
      <c r="N277" s="136"/>
      <c r="O277" s="409" t="str">
        <f t="shared" si="170"/>
        <v/>
      </c>
      <c r="P277" s="409" t="str">
        <f t="shared" si="171"/>
        <v/>
      </c>
      <c r="Q277" s="136"/>
      <c r="R277" s="409" t="str">
        <f t="shared" si="172"/>
        <v/>
      </c>
      <c r="S277" s="409" t="str">
        <f t="shared" si="163"/>
        <v/>
      </c>
      <c r="T277" s="136"/>
      <c r="U277" s="409" t="str">
        <f t="shared" si="173"/>
        <v/>
      </c>
      <c r="V277" s="409" t="str">
        <f t="shared" si="164"/>
        <v/>
      </c>
      <c r="W277" s="136"/>
      <c r="X277" s="409" t="str">
        <f t="shared" si="174"/>
        <v/>
      </c>
      <c r="Y277" s="409" t="str">
        <f t="shared" si="165"/>
        <v/>
      </c>
      <c r="Z277" s="136"/>
      <c r="AA277" s="409" t="str">
        <f t="shared" si="175"/>
        <v/>
      </c>
      <c r="AB277" s="409" t="str">
        <f t="shared" si="166"/>
        <v/>
      </c>
      <c r="AC277" s="136"/>
      <c r="AD277" s="409" t="str">
        <f t="shared" si="176"/>
        <v/>
      </c>
      <c r="AE277" s="409" t="str">
        <f t="shared" si="167"/>
        <v/>
      </c>
      <c r="AF277" s="136"/>
      <c r="AG277" s="409" t="str">
        <f t="shared" si="177"/>
        <v/>
      </c>
      <c r="AH277" s="409" t="str">
        <f t="shared" si="168"/>
        <v/>
      </c>
      <c r="AI277" s="151"/>
      <c r="AJ277" s="410"/>
      <c r="DZ277" s="138"/>
    </row>
    <row r="278" spans="1:130" ht="16.5" x14ac:dyDescent="0.3">
      <c r="A278" s="132">
        <f>IFERROR(IF(A277+1&lt;MAX(T041_ClassFeatures!$A$2:$A$2033),A277+1,""),"")</f>
        <v>275</v>
      </c>
      <c r="B278" s="131" t="str">
        <f>IFERROR(INDEX(T041_ClassFeatures!$B$2:$B$2033,MATCH('C03_ClassVariables'!A278,T041_ClassFeatures!$A$2:$A$2033,0),1),"")</f>
        <v>Exceptional Training</v>
      </c>
      <c r="C278" s="131">
        <f>IF(B278="",0,IF(IFERROR(MATCH(B278,'C01_BaseCalculation'!$W$160:$W$239,0),0)&gt;0,1,0))</f>
        <v>0</v>
      </c>
      <c r="F278" s="410"/>
      <c r="G278" s="150"/>
      <c r="H278" s="136"/>
      <c r="I278" s="136"/>
      <c r="J278" s="136"/>
      <c r="K278" s="136"/>
      <c r="L278" s="409" t="str">
        <f t="shared" si="178"/>
        <v/>
      </c>
      <c r="M278" s="409" t="str">
        <f t="shared" si="169"/>
        <v/>
      </c>
      <c r="N278" s="136"/>
      <c r="O278" s="409" t="str">
        <f t="shared" si="170"/>
        <v/>
      </c>
      <c r="P278" s="409" t="str">
        <f t="shared" si="171"/>
        <v/>
      </c>
      <c r="Q278" s="136"/>
      <c r="R278" s="409" t="str">
        <f t="shared" si="172"/>
        <v/>
      </c>
      <c r="S278" s="409" t="str">
        <f t="shared" si="163"/>
        <v/>
      </c>
      <c r="T278" s="136"/>
      <c r="U278" s="409" t="str">
        <f t="shared" si="173"/>
        <v/>
      </c>
      <c r="V278" s="409" t="str">
        <f t="shared" si="164"/>
        <v/>
      </c>
      <c r="W278" s="136"/>
      <c r="X278" s="409" t="str">
        <f t="shared" si="174"/>
        <v/>
      </c>
      <c r="Y278" s="409" t="str">
        <f t="shared" si="165"/>
        <v/>
      </c>
      <c r="Z278" s="136"/>
      <c r="AA278" s="409" t="str">
        <f t="shared" si="175"/>
        <v/>
      </c>
      <c r="AB278" s="409" t="str">
        <f t="shared" si="166"/>
        <v/>
      </c>
      <c r="AC278" s="136"/>
      <c r="AD278" s="409" t="str">
        <f t="shared" si="176"/>
        <v/>
      </c>
      <c r="AE278" s="409" t="str">
        <f t="shared" si="167"/>
        <v/>
      </c>
      <c r="AF278" s="136"/>
      <c r="AG278" s="409" t="str">
        <f t="shared" si="177"/>
        <v/>
      </c>
      <c r="AH278" s="409" t="str">
        <f t="shared" si="168"/>
        <v/>
      </c>
      <c r="AI278" s="151"/>
      <c r="AJ278" s="410"/>
      <c r="DZ278" s="138"/>
    </row>
    <row r="279" spans="1:130" ht="16.5" x14ac:dyDescent="0.3">
      <c r="A279" s="132">
        <f>IFERROR(IF(A278+1&lt;MAX(T041_ClassFeatures!$A$2:$A$2033),A278+1,""),"")</f>
        <v>276</v>
      </c>
      <c r="B279" s="131" t="str">
        <f>IFERROR(INDEX(T041_ClassFeatures!$B$2:$B$2033,MATCH('C03_ClassVariables'!A279,T041_ClassFeatures!$A$2:$A$2033,0),1),"")</f>
        <v>Bestial Fury</v>
      </c>
      <c r="C279" s="131">
        <f>IF(B279="",0,IF(IFERROR(MATCH(B279,'C01_BaseCalculation'!$W$160:$W$239,0),0)&gt;0,1,0))</f>
        <v>0</v>
      </c>
      <c r="F279" s="410"/>
      <c r="G279" s="150"/>
      <c r="H279" s="136"/>
      <c r="I279" s="136"/>
      <c r="J279" s="136"/>
      <c r="K279" s="136"/>
      <c r="L279" s="409" t="str">
        <f t="shared" si="178"/>
        <v/>
      </c>
      <c r="M279" s="409" t="str">
        <f t="shared" si="169"/>
        <v/>
      </c>
      <c r="N279" s="136"/>
      <c r="O279" s="409" t="str">
        <f t="shared" si="170"/>
        <v/>
      </c>
      <c r="P279" s="409" t="str">
        <f t="shared" si="171"/>
        <v/>
      </c>
      <c r="Q279" s="136"/>
      <c r="R279" s="409" t="str">
        <f t="shared" si="172"/>
        <v/>
      </c>
      <c r="S279" s="409" t="str">
        <f t="shared" si="163"/>
        <v/>
      </c>
      <c r="T279" s="136"/>
      <c r="U279" s="409" t="str">
        <f t="shared" si="173"/>
        <v/>
      </c>
      <c r="V279" s="409" t="str">
        <f t="shared" si="164"/>
        <v/>
      </c>
      <c r="W279" s="136"/>
      <c r="X279" s="409" t="str">
        <f t="shared" si="174"/>
        <v/>
      </c>
      <c r="Y279" s="409" t="str">
        <f t="shared" si="165"/>
        <v/>
      </c>
      <c r="Z279" s="136"/>
      <c r="AA279" s="409" t="str">
        <f t="shared" si="175"/>
        <v/>
      </c>
      <c r="AB279" s="409" t="str">
        <f t="shared" si="166"/>
        <v/>
      </c>
      <c r="AC279" s="136"/>
      <c r="AD279" s="409" t="str">
        <f t="shared" si="176"/>
        <v/>
      </c>
      <c r="AE279" s="409" t="str">
        <f t="shared" si="167"/>
        <v/>
      </c>
      <c r="AF279" s="136"/>
      <c r="AG279" s="409" t="str">
        <f t="shared" si="177"/>
        <v/>
      </c>
      <c r="AH279" s="409" t="str">
        <f t="shared" si="168"/>
        <v/>
      </c>
      <c r="AI279" s="151"/>
      <c r="AJ279" s="410"/>
      <c r="DZ279" s="138"/>
    </row>
    <row r="280" spans="1:130" ht="16.5" x14ac:dyDescent="0.3">
      <c r="A280" s="132">
        <f>IFERROR(IF(A279+1&lt;MAX(T041_ClassFeatures!$A$2:$A$2033),A279+1,""),"")</f>
        <v>277</v>
      </c>
      <c r="B280" s="131" t="str">
        <f>IFERROR(INDEX(T041_ClassFeatures!$B$2:$B$2033,MATCH('C03_ClassVariables'!A280,T041_ClassFeatures!$A$2:$A$2033,0),1),"")</f>
        <v>Share Spells</v>
      </c>
      <c r="C280" s="131">
        <f>IF(B280="",0,IF(IFERROR(MATCH(B280,'C01_BaseCalculation'!$W$160:$W$239,0),0)&gt;0,1,0))</f>
        <v>0</v>
      </c>
      <c r="F280" s="410"/>
      <c r="G280" s="150"/>
      <c r="H280" s="136"/>
      <c r="I280" s="136"/>
      <c r="J280" s="136"/>
      <c r="K280" s="136"/>
      <c r="L280" s="409" t="str">
        <f t="shared" si="178"/>
        <v/>
      </c>
      <c r="M280" s="409" t="str">
        <f t="shared" si="169"/>
        <v/>
      </c>
      <c r="N280" s="136"/>
      <c r="O280" s="409" t="str">
        <f t="shared" si="170"/>
        <v/>
      </c>
      <c r="P280" s="409" t="str">
        <f t="shared" si="171"/>
        <v/>
      </c>
      <c r="Q280" s="136"/>
      <c r="R280" s="409" t="str">
        <f t="shared" si="172"/>
        <v/>
      </c>
      <c r="S280" s="409" t="str">
        <f t="shared" si="163"/>
        <v/>
      </c>
      <c r="T280" s="136"/>
      <c r="U280" s="409" t="str">
        <f t="shared" si="173"/>
        <v/>
      </c>
      <c r="V280" s="409" t="str">
        <f t="shared" si="164"/>
        <v/>
      </c>
      <c r="W280" s="136"/>
      <c r="X280" s="409" t="str">
        <f t="shared" si="174"/>
        <v/>
      </c>
      <c r="Y280" s="409" t="str">
        <f t="shared" si="165"/>
        <v/>
      </c>
      <c r="Z280" s="136"/>
      <c r="AA280" s="409" t="str">
        <f t="shared" si="175"/>
        <v/>
      </c>
      <c r="AB280" s="409" t="str">
        <f t="shared" si="166"/>
        <v/>
      </c>
      <c r="AC280" s="136"/>
      <c r="AD280" s="409" t="str">
        <f t="shared" si="176"/>
        <v/>
      </c>
      <c r="AE280" s="409" t="str">
        <f t="shared" si="167"/>
        <v/>
      </c>
      <c r="AF280" s="136"/>
      <c r="AG280" s="409" t="str">
        <f t="shared" si="177"/>
        <v/>
      </c>
      <c r="AH280" s="409" t="str">
        <f t="shared" si="168"/>
        <v/>
      </c>
      <c r="AI280" s="151"/>
      <c r="AJ280" s="410"/>
      <c r="DZ280" s="138"/>
    </row>
    <row r="281" spans="1:130" ht="16.5" x14ac:dyDescent="0.3">
      <c r="A281" s="132">
        <f>IFERROR(IF(A280+1&lt;MAX(T041_ClassFeatures!$A$2:$A$2033),A280+1,""),"")</f>
        <v>278</v>
      </c>
      <c r="B281" s="131" t="str">
        <f>IFERROR(INDEX(T041_ClassFeatures!$B$2:$B$2033,MATCH('C03_ClassVariables'!A281,T041_ClassFeatures!$A$2:$A$2033,0),1),"")</f>
        <v>Fast Hands</v>
      </c>
      <c r="C281" s="131">
        <f>IF(B281="",0,IF(IFERROR(MATCH(B281,'C01_BaseCalculation'!$W$160:$W$239,0),0)&gt;0,1,0))</f>
        <v>0</v>
      </c>
      <c r="F281" s="410"/>
      <c r="G281" s="150"/>
      <c r="H281" s="136"/>
      <c r="I281" s="136"/>
      <c r="J281" s="136"/>
      <c r="K281" s="136"/>
      <c r="L281" s="409" t="str">
        <f t="shared" si="178"/>
        <v/>
      </c>
      <c r="M281" s="409" t="str">
        <f t="shared" si="169"/>
        <v/>
      </c>
      <c r="N281" s="136"/>
      <c r="O281" s="409" t="str">
        <f t="shared" si="170"/>
        <v/>
      </c>
      <c r="P281" s="409" t="str">
        <f t="shared" si="171"/>
        <v/>
      </c>
      <c r="Q281" s="136"/>
      <c r="R281" s="409" t="str">
        <f t="shared" si="172"/>
        <v/>
      </c>
      <c r="S281" s="409" t="str">
        <f t="shared" si="163"/>
        <v/>
      </c>
      <c r="T281" s="136"/>
      <c r="U281" s="409" t="str">
        <f t="shared" si="173"/>
        <v/>
      </c>
      <c r="V281" s="409" t="str">
        <f t="shared" si="164"/>
        <v/>
      </c>
      <c r="W281" s="136"/>
      <c r="X281" s="409" t="str">
        <f t="shared" si="174"/>
        <v/>
      </c>
      <c r="Y281" s="409" t="str">
        <f t="shared" si="165"/>
        <v/>
      </c>
      <c r="Z281" s="136"/>
      <c r="AA281" s="409" t="str">
        <f t="shared" si="175"/>
        <v/>
      </c>
      <c r="AB281" s="409" t="str">
        <f t="shared" si="166"/>
        <v/>
      </c>
      <c r="AC281" s="136"/>
      <c r="AD281" s="409" t="str">
        <f t="shared" si="176"/>
        <v/>
      </c>
      <c r="AE281" s="409" t="str">
        <f t="shared" si="167"/>
        <v/>
      </c>
      <c r="AF281" s="136"/>
      <c r="AG281" s="409" t="str">
        <f t="shared" si="177"/>
        <v/>
      </c>
      <c r="AH281" s="409" t="str">
        <f t="shared" si="168"/>
        <v/>
      </c>
      <c r="AI281" s="151"/>
      <c r="AJ281" s="410"/>
      <c r="DZ281" s="138"/>
    </row>
    <row r="282" spans="1:130" ht="16.5" x14ac:dyDescent="0.3">
      <c r="A282" s="132">
        <f>IFERROR(IF(A281+1&lt;MAX(T041_ClassFeatures!$A$2:$A$2033),A281+1,""),"")</f>
        <v>279</v>
      </c>
      <c r="B282" s="131" t="str">
        <f>IFERROR(INDEX(T041_ClassFeatures!$B$2:$B$2033,MATCH('C03_ClassVariables'!A282,T041_ClassFeatures!$A$2:$A$2033,0),1),"")</f>
        <v>Second-Story Work</v>
      </c>
      <c r="C282" s="131">
        <f>IF(B282="",0,IF(IFERROR(MATCH(B282,'C01_BaseCalculation'!$W$160:$W$239,0),0)&gt;0,1,0))</f>
        <v>0</v>
      </c>
      <c r="F282" s="410"/>
      <c r="G282" s="150"/>
      <c r="H282" s="136"/>
      <c r="I282" s="136"/>
      <c r="J282" s="136"/>
      <c r="K282" s="136"/>
      <c r="L282" s="136"/>
      <c r="M282" s="136"/>
      <c r="N282" s="136"/>
      <c r="O282" s="136"/>
      <c r="P282" s="136"/>
      <c r="Q282" s="136"/>
      <c r="R282" s="136"/>
      <c r="S282" s="136"/>
      <c r="T282" s="136"/>
      <c r="U282" s="136"/>
      <c r="V282" s="136"/>
      <c r="W282" s="136"/>
      <c r="X282" s="136"/>
      <c r="Y282" s="136"/>
      <c r="Z282" s="136"/>
      <c r="AA282" s="136"/>
      <c r="AB282" s="136"/>
      <c r="AC282" s="136"/>
      <c r="AD282" s="136"/>
      <c r="AE282" s="136"/>
      <c r="AF282" s="136"/>
      <c r="AG282" s="136"/>
      <c r="AH282" s="136"/>
      <c r="AI282" s="151"/>
      <c r="AJ282" s="410"/>
      <c r="DZ282" s="138"/>
    </row>
    <row r="283" spans="1:130" ht="17.25" thickBot="1" x14ac:dyDescent="0.35">
      <c r="A283" s="132">
        <f>IFERROR(IF(A282+1&lt;MAX(T041_ClassFeatures!$A$2:$A$2033),A282+1,""),"")</f>
        <v>280</v>
      </c>
      <c r="B283" s="131" t="str">
        <f>IFERROR(INDEX(T041_ClassFeatures!$B$2:$B$2033,MATCH('C03_ClassVariables'!A283,T041_ClassFeatures!$A$2:$A$2033,0),1),"")</f>
        <v>Supreme Sneak</v>
      </c>
      <c r="C283" s="131">
        <f>IF(B283="",0,IF(IFERROR(MATCH(B283,'C01_BaseCalculation'!$W$160:$W$239,0),0)&gt;0,1,0))</f>
        <v>0</v>
      </c>
      <c r="F283" s="410"/>
      <c r="G283" s="152"/>
      <c r="H283" s="153"/>
      <c r="I283" s="153"/>
      <c r="J283" s="153"/>
      <c r="K283" s="153"/>
      <c r="L283" s="153"/>
      <c r="M283" s="153"/>
      <c r="N283" s="153"/>
      <c r="O283" s="153"/>
      <c r="P283" s="153"/>
      <c r="Q283" s="153"/>
      <c r="R283" s="153"/>
      <c r="S283" s="153"/>
      <c r="T283" s="153"/>
      <c r="U283" s="153"/>
      <c r="V283" s="153"/>
      <c r="W283" s="153"/>
      <c r="X283" s="153"/>
      <c r="Y283" s="153"/>
      <c r="Z283" s="153"/>
      <c r="AA283" s="153"/>
      <c r="AB283" s="153"/>
      <c r="AC283" s="153"/>
      <c r="AD283" s="153"/>
      <c r="AE283" s="153"/>
      <c r="AF283" s="153"/>
      <c r="AG283" s="153"/>
      <c r="AH283" s="153"/>
      <c r="AI283" s="154"/>
      <c r="AJ283" s="410"/>
      <c r="DZ283" s="138"/>
    </row>
    <row r="284" spans="1:130" ht="17.25" thickBot="1" x14ac:dyDescent="0.35">
      <c r="A284" s="132">
        <f>IFERROR(IF(A283+1&lt;MAX(T041_ClassFeatures!$A$2:$A$2033),A283+1,""),"")</f>
        <v>281</v>
      </c>
      <c r="B284" s="131" t="str">
        <f>IFERROR(INDEX(T041_ClassFeatures!$B$2:$B$2033,MATCH('C03_ClassVariables'!A284,T041_ClassFeatures!$A$2:$A$2033,0),1),"")</f>
        <v>Use Magic Device</v>
      </c>
      <c r="C284" s="131">
        <f>IF(B284="",0,IF(IFERROR(MATCH(B284,'C01_BaseCalculation'!$W$160:$W$239,0),0)&gt;0,1,0))</f>
        <v>0</v>
      </c>
      <c r="F284" s="410"/>
      <c r="G284" s="410"/>
      <c r="H284" s="410"/>
      <c r="I284" s="410"/>
      <c r="J284" s="410"/>
      <c r="K284" s="410"/>
      <c r="L284" s="410"/>
      <c r="M284" s="410"/>
      <c r="N284" s="410"/>
      <c r="O284" s="410"/>
      <c r="P284" s="410"/>
      <c r="Q284" s="410"/>
      <c r="R284" s="410"/>
      <c r="S284" s="410"/>
      <c r="T284" s="410"/>
      <c r="U284" s="410"/>
      <c r="V284" s="410"/>
      <c r="W284" s="410"/>
      <c r="X284" s="410"/>
      <c r="Y284" s="410"/>
      <c r="Z284" s="410"/>
      <c r="AA284" s="410"/>
      <c r="AB284" s="410"/>
      <c r="AC284" s="410"/>
      <c r="AD284" s="410"/>
      <c r="AE284" s="410"/>
      <c r="AF284" s="410"/>
      <c r="AG284" s="410"/>
      <c r="AH284" s="410"/>
      <c r="AI284" s="410"/>
      <c r="AJ284" s="410"/>
      <c r="DZ284" s="138"/>
    </row>
    <row r="285" spans="1:130" ht="17.25" thickBot="1" x14ac:dyDescent="0.35">
      <c r="A285" s="132">
        <f>IFERROR(IF(A284+1&lt;MAX(T041_ClassFeatures!$A$2:$A$2033),A284+1,""),"")</f>
        <v>282</v>
      </c>
      <c r="B285" s="131" t="str">
        <f>IFERROR(INDEX(T041_ClassFeatures!$B$2:$B$2033,MATCH('C03_ClassVariables'!A285,T041_ClassFeatures!$A$2:$A$2033,0),1),"")</f>
        <v>Thief's Reflexes</v>
      </c>
      <c r="C285" s="131">
        <f>IF(B285="",0,IF(IFERROR(MATCH(B285,'C01_BaseCalculation'!$W$160:$W$239,0),0)&gt;0,1,0))</f>
        <v>0</v>
      </c>
      <c r="F285" s="147"/>
      <c r="G285" s="148"/>
      <c r="H285" s="148"/>
      <c r="I285" s="148"/>
      <c r="J285" s="148"/>
      <c r="K285" s="148" t="s">
        <v>602</v>
      </c>
      <c r="L285" s="148" t="s">
        <v>602</v>
      </c>
      <c r="M285" s="148" t="s">
        <v>602</v>
      </c>
      <c r="N285" s="148"/>
      <c r="O285" s="148"/>
      <c r="P285" s="148"/>
      <c r="Q285" s="148"/>
      <c r="R285" s="417">
        <v>1</v>
      </c>
      <c r="S285" s="1038" t="s">
        <v>4120</v>
      </c>
      <c r="T285" s="1038"/>
      <c r="U285" s="1038"/>
      <c r="V285" s="1039"/>
      <c r="W285" s="417">
        <v>2</v>
      </c>
      <c r="X285" s="1038" t="s">
        <v>4121</v>
      </c>
      <c r="Y285" s="1038"/>
      <c r="Z285" s="1038"/>
      <c r="AA285" s="1039"/>
      <c r="AB285" s="417">
        <v>3</v>
      </c>
      <c r="AC285" s="1038" t="s">
        <v>4122</v>
      </c>
      <c r="AD285" s="1038"/>
      <c r="AE285" s="1038"/>
      <c r="AF285" s="1039"/>
      <c r="AG285" s="417">
        <f>AB285+1</f>
        <v>4</v>
      </c>
      <c r="AH285" s="1038" t="s">
        <v>4123</v>
      </c>
      <c r="AI285" s="1038"/>
      <c r="AJ285" s="1038"/>
      <c r="AK285" s="1039"/>
      <c r="AL285" s="417">
        <f>AG285+1</f>
        <v>5</v>
      </c>
      <c r="AM285" s="1038" t="s">
        <v>4124</v>
      </c>
      <c r="AN285" s="1038"/>
      <c r="AO285" s="1038"/>
      <c r="AP285" s="1039"/>
      <c r="AQ285" s="417">
        <f>AL285+1</f>
        <v>6</v>
      </c>
      <c r="AR285" s="1038" t="s">
        <v>4125</v>
      </c>
      <c r="AS285" s="1038"/>
      <c r="AT285" s="1038"/>
      <c r="AU285" s="1039"/>
      <c r="AV285" s="417">
        <f>AQ285+1</f>
        <v>7</v>
      </c>
      <c r="AW285" s="1038" t="s">
        <v>4126</v>
      </c>
      <c r="AX285" s="1038"/>
      <c r="AY285" s="1038"/>
      <c r="AZ285" s="1039"/>
      <c r="BA285" s="417">
        <f>AV285+1</f>
        <v>8</v>
      </c>
      <c r="BB285" s="1038" t="s">
        <v>4127</v>
      </c>
      <c r="BC285" s="1038"/>
      <c r="BD285" s="1038"/>
      <c r="BE285" s="1039"/>
      <c r="DZ285" s="138"/>
    </row>
    <row r="286" spans="1:130" ht="16.5" x14ac:dyDescent="0.3">
      <c r="A286" s="132">
        <f>IFERROR(IF(A285+1&lt;MAX(T041_ClassFeatures!$A$2:$A$2033),A285+1,""),"")</f>
        <v>283</v>
      </c>
      <c r="B286" s="131" t="str">
        <f>IFERROR(INDEX(T041_ClassFeatures!$B$2:$B$2033,MATCH('C03_ClassVariables'!A286,T041_ClassFeatures!$A$2:$A$2033,0),1),"")</f>
        <v>Assassin: Bonus Proficiencies</v>
      </c>
      <c r="C286" s="131">
        <f>IF(B286="",0,IF(IFERROR(MATCH(B286,'C01_BaseCalculation'!$W$160:$W$239,0),0)&gt;0,1,0))</f>
        <v>0</v>
      </c>
      <c r="F286" s="150"/>
      <c r="G286" s="136" t="s">
        <v>5930</v>
      </c>
      <c r="H286" s="136">
        <v>1</v>
      </c>
      <c r="I286" s="136"/>
      <c r="J286" s="136" t="str">
        <f>T03_Skills!V3</f>
        <v>Common</v>
      </c>
      <c r="K286" s="136">
        <f t="shared" ref="K286:K311" si="179">IF(Language1=$J286,1,0)</f>
        <v>1</v>
      </c>
      <c r="L286" s="136">
        <f t="shared" ref="L286:L311" si="180">IF(Language2=$J286,1,0)</f>
        <v>0</v>
      </c>
      <c r="M286" s="136">
        <f t="shared" ref="M286:M311" si="181">IF(Language3=$J286,1,0)</f>
        <v>0</v>
      </c>
      <c r="N286" s="136"/>
      <c r="O286" s="136"/>
      <c r="P286" s="136"/>
      <c r="Q286" s="136"/>
      <c r="R286" s="411">
        <f>IF(1-K286-L286-M286-N286-O286&gt;0,1,0)</f>
        <v>0</v>
      </c>
      <c r="S286" s="412">
        <f>IF(R$286=0,0,1)</f>
        <v>0</v>
      </c>
      <c r="T286" s="412">
        <v>1</v>
      </c>
      <c r="U286" s="412" t="str">
        <f t="shared" ref="U286:U311" si="182">IF(LanguagesKnown&lt;R285,"",IFERROR(INDEX($J$286:$J$311,MATCH(T286,S$286:S$311,0),1),""))</f>
        <v>Elvish</v>
      </c>
      <c r="V286" s="413">
        <f t="shared" ref="V286:V311" si="183">IF(Language6=$J286,1,0)</f>
        <v>0</v>
      </c>
      <c r="W286" s="411">
        <f>IF(R286-V286&gt;0,1,0)</f>
        <v>0</v>
      </c>
      <c r="X286" s="412">
        <f>IF(W$286=0,0,1)</f>
        <v>0</v>
      </c>
      <c r="Y286" s="412">
        <v>1</v>
      </c>
      <c r="Z286" s="412" t="str">
        <f t="shared" ref="Z286:Z311" si="184">IF(LanguagesKnown&lt;W285,"",IFERROR(INDEX($J$286:$J$311,MATCH(Y286,X$286:X$311,0),1),""))</f>
        <v>Elvish</v>
      </c>
      <c r="AA286" s="413">
        <f t="shared" ref="AA286:AA311" si="185">IF(Language7=$J286,1,0)</f>
        <v>0</v>
      </c>
      <c r="AB286" s="411">
        <f>IF(W286-AA286&gt;0,1,0)</f>
        <v>0</v>
      </c>
      <c r="AC286" s="412">
        <f>IF(AB$286=0,0,1)</f>
        <v>0</v>
      </c>
      <c r="AD286" s="412">
        <v>1</v>
      </c>
      <c r="AE286" s="412" t="str">
        <f t="shared" ref="AE286:AE311" si="186">IF(LanguagesKnown&lt;AB285,"",IFERROR(INDEX($J$286:$J$311,MATCH(AD286,AC$286:AC$311,0),1),""))</f>
        <v>Elvish</v>
      </c>
      <c r="AF286" s="413">
        <f t="shared" ref="AF286:AF311" si="187">IF(Language8=$J286,1,0)</f>
        <v>0</v>
      </c>
      <c r="AG286" s="411">
        <f>IF(AB286-AF286&gt;0,1,0)</f>
        <v>0</v>
      </c>
      <c r="AH286" s="412">
        <f>IF(AG$286=0,0,1)</f>
        <v>0</v>
      </c>
      <c r="AI286" s="412">
        <v>1</v>
      </c>
      <c r="AJ286" s="412" t="str">
        <f t="shared" ref="AJ286:AJ311" si="188">IF(LanguagesKnown&lt;AG285,"",IFERROR(INDEX($J$286:$J$311,MATCH(AI286,AH$286:AH$311,0),1),""))</f>
        <v/>
      </c>
      <c r="AK286" s="413">
        <f t="shared" ref="AK286:AK311" si="189">IF(Language9=$J286,1,0)</f>
        <v>0</v>
      </c>
      <c r="AL286" s="411">
        <f>IF(AG286-AK286&gt;0,1,0)</f>
        <v>0</v>
      </c>
      <c r="AM286" s="412">
        <f>IF(AL$286=0,0,1)</f>
        <v>0</v>
      </c>
      <c r="AN286" s="412">
        <v>1</v>
      </c>
      <c r="AO286" s="412" t="str">
        <f t="shared" ref="AO286:AO311" si="190">IF(LanguagesKnown&lt;AL285,"",IFERROR(INDEX($J$286:$J$311,MATCH(AN286,AM$286:AM$311,0),1),""))</f>
        <v/>
      </c>
      <c r="AP286" s="413">
        <f t="shared" ref="AP286:AP311" si="191">IF(Language10=$J286,1,0)</f>
        <v>0</v>
      </c>
      <c r="AQ286" s="411">
        <f>IF(AL286-AP286&gt;0,1,0)</f>
        <v>0</v>
      </c>
      <c r="AR286" s="412">
        <f>IF(AQ$286=0,0,1)</f>
        <v>0</v>
      </c>
      <c r="AS286" s="412">
        <v>1</v>
      </c>
      <c r="AT286" s="412" t="str">
        <f t="shared" ref="AT286:AT311" si="192">IF(LanguagesKnown&lt;AQ285,"",IFERROR(INDEX($J$286:$J$311,MATCH(AS286,AR$286:AR$311,0),1),""))</f>
        <v/>
      </c>
      <c r="AU286" s="413">
        <f t="shared" ref="AU286:AU311" si="193">IF(Language11=$J286,1,0)</f>
        <v>0</v>
      </c>
      <c r="AV286" s="411">
        <f>IF(AQ286-AU286&gt;0,1,0)</f>
        <v>0</v>
      </c>
      <c r="AW286" s="412">
        <f>IF(AV$286=0,0,1)</f>
        <v>0</v>
      </c>
      <c r="AX286" s="412">
        <v>1</v>
      </c>
      <c r="AY286" s="412" t="str">
        <f t="shared" ref="AY286:AY311" si="194">IF(LanguagesKnown&lt;AV285,"",IFERROR(INDEX($J$286:$J$311,MATCH(AX286,AW$286:AW$311,0),1),""))</f>
        <v/>
      </c>
      <c r="AZ286" s="413">
        <f t="shared" ref="AZ286:AZ311" si="195">IF(Language12=$J286,1,0)</f>
        <v>0</v>
      </c>
      <c r="BA286" s="411">
        <f>IF(AV286-AZ286&gt;0,1,0)</f>
        <v>0</v>
      </c>
      <c r="BB286" s="412">
        <f>IF(BA$286=0,0,1)</f>
        <v>0</v>
      </c>
      <c r="BC286" s="412">
        <v>1</v>
      </c>
      <c r="BD286" s="412" t="str">
        <f t="shared" ref="BD286:BD311" si="196">IF(LanguagesKnown&lt;BA285,"",IFERROR(INDEX($J$286:$J$311,MATCH(BC286,BB$286:BB$311,0),1),""))</f>
        <v/>
      </c>
      <c r="BE286" s="413">
        <f t="shared" ref="BE286:BE311" si="197">IF(Language13=$J286,1,0)</f>
        <v>0</v>
      </c>
      <c r="DZ286" s="138"/>
    </row>
    <row r="287" spans="1:130" ht="16.5" x14ac:dyDescent="0.3">
      <c r="A287" s="132">
        <f>IFERROR(IF(A286+1&lt;MAX(T041_ClassFeatures!$A$2:$A$2033),A286+1,""),"")</f>
        <v>284</v>
      </c>
      <c r="B287" s="131" t="str">
        <f>IFERROR(INDEX(T041_ClassFeatures!$B$2:$B$2033,MATCH('C03_ClassVariables'!A287,T041_ClassFeatures!$A$2:$A$2033,0),1),"")</f>
        <v>Assassinate</v>
      </c>
      <c r="C287" s="131">
        <f>IF(B287="",0,IF(IFERROR(MATCH(B287,'C01_BaseCalculation'!$W$160:$W$239,0),0)&gt;0,1,0))</f>
        <v>0</v>
      </c>
      <c r="F287" s="150"/>
      <c r="G287" s="136"/>
      <c r="H287" s="136">
        <v>2</v>
      </c>
      <c r="I287" s="136"/>
      <c r="J287" s="136" t="str">
        <f>T03_Skills!V4</f>
        <v>Elvish</v>
      </c>
      <c r="K287" s="136">
        <f t="shared" si="179"/>
        <v>0</v>
      </c>
      <c r="L287" s="136">
        <f t="shared" si="180"/>
        <v>0</v>
      </c>
      <c r="M287" s="136">
        <f t="shared" si="181"/>
        <v>0</v>
      </c>
      <c r="N287" s="136"/>
      <c r="O287" s="136"/>
      <c r="P287" s="136"/>
      <c r="Q287" s="136"/>
      <c r="R287" s="411">
        <f t="shared" ref="R287:R311" si="198">IF(1-K287-L287-M287-N287-O287&gt;0,1,0)</f>
        <v>1</v>
      </c>
      <c r="S287" s="412">
        <f>IF(R287&gt;0,1+COUNTIF(S$286:S286,"&gt;0"),0)</f>
        <v>1</v>
      </c>
      <c r="T287" s="412">
        <f t="shared" ref="T287:T311" si="199">IF(LanguagesKnown&lt;R285,"",IFERROR(IF(T286&lt;MAX(S$286:S$311),T286+1,""),""))</f>
        <v>2</v>
      </c>
      <c r="U287" s="412" t="str">
        <f t="shared" si="182"/>
        <v>Dwarvish</v>
      </c>
      <c r="V287" s="413">
        <f t="shared" si="183"/>
        <v>0</v>
      </c>
      <c r="W287" s="411">
        <f t="shared" ref="W287:W311" si="200">IF(R287-V287&gt;0,1,0)</f>
        <v>1</v>
      </c>
      <c r="X287" s="412">
        <f>IF(W287&gt;0,1+COUNTIF(X$286:X286,"&gt;0"),0)</f>
        <v>1</v>
      </c>
      <c r="Y287" s="412">
        <f t="shared" ref="Y287:Y311" si="201">IF(LanguagesKnown&lt;W285,"",IFERROR(IF(Y286&lt;MAX(X$286:X$311),Y286+1,""),""))</f>
        <v>2</v>
      </c>
      <c r="Z287" s="412" t="str">
        <f t="shared" si="184"/>
        <v>Dwarvish</v>
      </c>
      <c r="AA287" s="413">
        <f t="shared" si="185"/>
        <v>0</v>
      </c>
      <c r="AB287" s="411">
        <f t="shared" ref="AB287:AB311" si="202">IF(W287-AA287&gt;0,1,0)</f>
        <v>1</v>
      </c>
      <c r="AC287" s="412">
        <f>IF(AB287&gt;0,1+COUNTIF(AC$286:AC286,"&gt;0"),0)</f>
        <v>1</v>
      </c>
      <c r="AD287" s="412">
        <f t="shared" ref="AD287:AD311" si="203">IF(LanguagesKnown&lt;AB285,"",IFERROR(IF(AD286&lt;MAX(AC$286:AC$311),AD286+1,""),""))</f>
        <v>2</v>
      </c>
      <c r="AE287" s="412" t="str">
        <f t="shared" si="186"/>
        <v>Dwarvish</v>
      </c>
      <c r="AF287" s="413">
        <f t="shared" si="187"/>
        <v>1</v>
      </c>
      <c r="AG287" s="411">
        <f t="shared" ref="AG287:AG311" si="204">IF(AB287-AF287&gt;0,1,0)</f>
        <v>0</v>
      </c>
      <c r="AH287" s="412">
        <f>IF(AG287&gt;0,1+COUNTIF(AH$286:AH286,"&gt;0"),0)</f>
        <v>0</v>
      </c>
      <c r="AI287" s="412" t="str">
        <f t="shared" ref="AI287:AI311" si="205">IF(LanguagesKnown&lt;AG285,"",IFERROR(IF(AI286&lt;MAX(AH$286:AH$311),AI286+1,""),""))</f>
        <v/>
      </c>
      <c r="AJ287" s="412" t="str">
        <f t="shared" si="188"/>
        <v/>
      </c>
      <c r="AK287" s="413">
        <f t="shared" si="189"/>
        <v>0</v>
      </c>
      <c r="AL287" s="411">
        <f t="shared" ref="AL287:AL311" si="206">IF(AG287-AK287&gt;0,1,0)</f>
        <v>0</v>
      </c>
      <c r="AM287" s="412">
        <f>IF(AL287&gt;0,1+COUNTIF(AM$286:AM286,"&gt;0"),0)</f>
        <v>0</v>
      </c>
      <c r="AN287" s="412" t="str">
        <f t="shared" ref="AN287:AN311" si="207">IF(LanguagesKnown&lt;AL285,"",IFERROR(IF(AN286&lt;MAX(AM$286:AM$311),AN286+1,""),""))</f>
        <v/>
      </c>
      <c r="AO287" s="412" t="str">
        <f t="shared" si="190"/>
        <v/>
      </c>
      <c r="AP287" s="413">
        <f t="shared" si="191"/>
        <v>0</v>
      </c>
      <c r="AQ287" s="411">
        <f t="shared" ref="AQ287:AQ311" si="208">IF(AL287-AP287&gt;0,1,0)</f>
        <v>0</v>
      </c>
      <c r="AR287" s="412">
        <f>IF(AQ287&gt;0,1+COUNTIF(AR$286:AR286,"&gt;0"),0)</f>
        <v>0</v>
      </c>
      <c r="AS287" s="412" t="str">
        <f t="shared" ref="AS287:AS311" si="209">IF(LanguagesKnown&lt;AQ285,"",IFERROR(IF(AS286&lt;MAX(AR$286:AR$311),AS286+1,""),""))</f>
        <v/>
      </c>
      <c r="AT287" s="412" t="str">
        <f t="shared" si="192"/>
        <v/>
      </c>
      <c r="AU287" s="413">
        <f t="shared" si="193"/>
        <v>0</v>
      </c>
      <c r="AV287" s="411">
        <f t="shared" ref="AV287:AV311" si="210">IF(AQ287-AU287&gt;0,1,0)</f>
        <v>0</v>
      </c>
      <c r="AW287" s="412">
        <f>IF(AV287&gt;0,1+COUNTIF(AW$286:AW286,"&gt;0"),0)</f>
        <v>0</v>
      </c>
      <c r="AX287" s="412" t="str">
        <f t="shared" ref="AX287:AX311" si="211">IF(LanguagesKnown&lt;AV285,"",IFERROR(IF(AX286&lt;MAX(AW$286:AW$311),AX286+1,""),""))</f>
        <v/>
      </c>
      <c r="AY287" s="412" t="str">
        <f t="shared" si="194"/>
        <v/>
      </c>
      <c r="AZ287" s="413">
        <f t="shared" si="195"/>
        <v>0</v>
      </c>
      <c r="BA287" s="411">
        <f t="shared" ref="BA287:BA311" si="212">IF(AV287-AZ287&gt;0,1,0)</f>
        <v>0</v>
      </c>
      <c r="BB287" s="412">
        <f>IF(BA287&gt;0,1+COUNTIF(BB$286:BB286,"&gt;0"),0)</f>
        <v>0</v>
      </c>
      <c r="BC287" s="412" t="str">
        <f t="shared" ref="BC287:BC311" si="213">IF(LanguagesKnown&lt;BA285,"",IFERROR(IF(BC286&lt;MAX(BB$286:BB$311),BC286+1,""),""))</f>
        <v/>
      </c>
      <c r="BD287" s="412" t="str">
        <f t="shared" si="196"/>
        <v/>
      </c>
      <c r="BE287" s="413">
        <f t="shared" si="197"/>
        <v>0</v>
      </c>
      <c r="DZ287" s="138"/>
    </row>
    <row r="288" spans="1:130" ht="16.5" x14ac:dyDescent="0.3">
      <c r="A288" s="132">
        <f>IFERROR(IF(A287+1&lt;MAX(T041_ClassFeatures!$A$2:$A$2033),A287+1,""),"")</f>
        <v>285</v>
      </c>
      <c r="B288" s="131" t="str">
        <f>IFERROR(INDEX(T041_ClassFeatures!$B$2:$B$2033,MATCH('C03_ClassVariables'!A288,T041_ClassFeatures!$A$2:$A$2033,0),1),"")</f>
        <v>Infiltration Expertise</v>
      </c>
      <c r="C288" s="131">
        <f>IF(B288="",0,IF(IFERROR(MATCH(B288,'C01_BaseCalculation'!$W$160:$W$239,0),0)&gt;0,1,0))</f>
        <v>0</v>
      </c>
      <c r="F288" s="150"/>
      <c r="G288" s="136"/>
      <c r="H288" s="136">
        <v>3</v>
      </c>
      <c r="I288" s="136"/>
      <c r="J288" s="136" t="str">
        <f>T03_Skills!V5</f>
        <v>Dwarvish</v>
      </c>
      <c r="K288" s="136">
        <f t="shared" si="179"/>
        <v>0</v>
      </c>
      <c r="L288" s="136">
        <f t="shared" si="180"/>
        <v>0</v>
      </c>
      <c r="M288" s="136">
        <f t="shared" si="181"/>
        <v>0</v>
      </c>
      <c r="N288" s="136"/>
      <c r="O288" s="136"/>
      <c r="P288" s="136"/>
      <c r="Q288" s="136"/>
      <c r="R288" s="411">
        <f t="shared" si="198"/>
        <v>1</v>
      </c>
      <c r="S288" s="412">
        <f>IF(R288&gt;0,1+COUNTIF(S$286:S287,"&gt;0"),0)</f>
        <v>2</v>
      </c>
      <c r="T288" s="412">
        <f t="shared" si="199"/>
        <v>3</v>
      </c>
      <c r="U288" s="412" t="str">
        <f t="shared" si="182"/>
        <v>Giant</v>
      </c>
      <c r="V288" s="413">
        <f t="shared" si="183"/>
        <v>0</v>
      </c>
      <c r="W288" s="411">
        <f t="shared" si="200"/>
        <v>1</v>
      </c>
      <c r="X288" s="412">
        <f>IF(W288&gt;0,1+COUNTIF(X$286:X287,"&gt;0"),0)</f>
        <v>2</v>
      </c>
      <c r="Y288" s="412">
        <f t="shared" si="201"/>
        <v>3</v>
      </c>
      <c r="Z288" s="412" t="str">
        <f t="shared" si="184"/>
        <v>Giant</v>
      </c>
      <c r="AA288" s="413">
        <f t="shared" si="185"/>
        <v>0</v>
      </c>
      <c r="AB288" s="411">
        <f t="shared" si="202"/>
        <v>1</v>
      </c>
      <c r="AC288" s="412">
        <f>IF(AB288&gt;0,1+COUNTIF(AC$286:AC287,"&gt;0"),0)</f>
        <v>2</v>
      </c>
      <c r="AD288" s="412">
        <f t="shared" si="203"/>
        <v>3</v>
      </c>
      <c r="AE288" s="412" t="str">
        <f t="shared" si="186"/>
        <v>Giant</v>
      </c>
      <c r="AF288" s="413">
        <f t="shared" si="187"/>
        <v>0</v>
      </c>
      <c r="AG288" s="411">
        <f t="shared" si="204"/>
        <v>1</v>
      </c>
      <c r="AH288" s="412">
        <f>IF(AG288&gt;0,1+COUNTIF(AH$286:AH287,"&gt;0"),0)</f>
        <v>1</v>
      </c>
      <c r="AI288" s="412" t="str">
        <f t="shared" si="205"/>
        <v/>
      </c>
      <c r="AJ288" s="412" t="str">
        <f t="shared" si="188"/>
        <v/>
      </c>
      <c r="AK288" s="413">
        <f t="shared" si="189"/>
        <v>0</v>
      </c>
      <c r="AL288" s="411">
        <f t="shared" si="206"/>
        <v>1</v>
      </c>
      <c r="AM288" s="412">
        <f>IF(AL288&gt;0,1+COUNTIF(AM$286:AM287,"&gt;0"),0)</f>
        <v>1</v>
      </c>
      <c r="AN288" s="412" t="str">
        <f t="shared" si="207"/>
        <v/>
      </c>
      <c r="AO288" s="412" t="str">
        <f t="shared" si="190"/>
        <v/>
      </c>
      <c r="AP288" s="413">
        <f t="shared" si="191"/>
        <v>0</v>
      </c>
      <c r="AQ288" s="411">
        <f t="shared" si="208"/>
        <v>1</v>
      </c>
      <c r="AR288" s="412">
        <f>IF(AQ288&gt;0,1+COUNTIF(AR$286:AR287,"&gt;0"),0)</f>
        <v>1</v>
      </c>
      <c r="AS288" s="412" t="str">
        <f t="shared" si="209"/>
        <v/>
      </c>
      <c r="AT288" s="412" t="str">
        <f t="shared" si="192"/>
        <v/>
      </c>
      <c r="AU288" s="413">
        <f t="shared" si="193"/>
        <v>0</v>
      </c>
      <c r="AV288" s="411">
        <f t="shared" si="210"/>
        <v>1</v>
      </c>
      <c r="AW288" s="412">
        <f>IF(AV288&gt;0,1+COUNTIF(AW$286:AW287,"&gt;0"),0)</f>
        <v>1</v>
      </c>
      <c r="AX288" s="412" t="str">
        <f t="shared" si="211"/>
        <v/>
      </c>
      <c r="AY288" s="412" t="str">
        <f t="shared" si="194"/>
        <v/>
      </c>
      <c r="AZ288" s="413">
        <f t="shared" si="195"/>
        <v>0</v>
      </c>
      <c r="BA288" s="411">
        <f t="shared" si="212"/>
        <v>1</v>
      </c>
      <c r="BB288" s="412">
        <f>IF(BA288&gt;0,1+COUNTIF(BB$286:BB287,"&gt;0"),0)</f>
        <v>1</v>
      </c>
      <c r="BC288" s="412" t="str">
        <f t="shared" si="213"/>
        <v/>
      </c>
      <c r="BD288" s="412" t="str">
        <f t="shared" si="196"/>
        <v/>
      </c>
      <c r="BE288" s="413">
        <f t="shared" si="197"/>
        <v>0</v>
      </c>
      <c r="DZ288" s="138"/>
    </row>
    <row r="289" spans="1:130" ht="16.5" x14ac:dyDescent="0.3">
      <c r="A289" s="132">
        <f>IFERROR(IF(A288+1&lt;MAX(T041_ClassFeatures!$A$2:$A$2033),A288+1,""),"")</f>
        <v>286</v>
      </c>
      <c r="B289" s="131" t="str">
        <f>IFERROR(INDEX(T041_ClassFeatures!$B$2:$B$2033,MATCH('C03_ClassVariables'!A289,T041_ClassFeatures!$A$2:$A$2033,0),1),"")</f>
        <v>Impostor</v>
      </c>
      <c r="C289" s="131">
        <f>IF(B289="",0,IF(IFERROR(MATCH(B289,'C01_BaseCalculation'!$W$160:$W$239,0),0)&gt;0,1,0))</f>
        <v>0</v>
      </c>
      <c r="F289" s="150"/>
      <c r="G289" s="136" t="s">
        <v>5933</v>
      </c>
      <c r="H289" s="136">
        <v>1</v>
      </c>
      <c r="I289" s="136"/>
      <c r="J289" s="136" t="str">
        <f>T03_Skills!V6</f>
        <v>Giant</v>
      </c>
      <c r="K289" s="136">
        <f t="shared" si="179"/>
        <v>0</v>
      </c>
      <c r="L289" s="136">
        <f t="shared" si="180"/>
        <v>0</v>
      </c>
      <c r="M289" s="136">
        <f t="shared" si="181"/>
        <v>0</v>
      </c>
      <c r="N289" s="136"/>
      <c r="O289" s="136"/>
      <c r="P289" s="136"/>
      <c r="Q289" s="136"/>
      <c r="R289" s="411">
        <f t="shared" si="198"/>
        <v>1</v>
      </c>
      <c r="S289" s="412">
        <f>IF(R289&gt;0,1+COUNTIF(S$286:S288,"&gt;0"),0)</f>
        <v>3</v>
      </c>
      <c r="T289" s="412">
        <f t="shared" si="199"/>
        <v>4</v>
      </c>
      <c r="U289" s="412" t="str">
        <f t="shared" si="182"/>
        <v>Gnomish</v>
      </c>
      <c r="V289" s="413">
        <f t="shared" si="183"/>
        <v>0</v>
      </c>
      <c r="W289" s="411">
        <f t="shared" si="200"/>
        <v>1</v>
      </c>
      <c r="X289" s="412">
        <f>IF(W289&gt;0,1+COUNTIF(X$286:X288,"&gt;0"),0)</f>
        <v>3</v>
      </c>
      <c r="Y289" s="412">
        <f t="shared" si="201"/>
        <v>4</v>
      </c>
      <c r="Z289" s="412" t="str">
        <f t="shared" si="184"/>
        <v>Gnomish</v>
      </c>
      <c r="AA289" s="413">
        <f t="shared" si="185"/>
        <v>0</v>
      </c>
      <c r="AB289" s="411">
        <f t="shared" si="202"/>
        <v>1</v>
      </c>
      <c r="AC289" s="412">
        <f>IF(AB289&gt;0,1+COUNTIF(AC$286:AC288,"&gt;0"),0)</f>
        <v>3</v>
      </c>
      <c r="AD289" s="412">
        <f t="shared" si="203"/>
        <v>4</v>
      </c>
      <c r="AE289" s="412" t="str">
        <f t="shared" si="186"/>
        <v>Gnomish</v>
      </c>
      <c r="AF289" s="413">
        <f t="shared" si="187"/>
        <v>0</v>
      </c>
      <c r="AG289" s="411">
        <f t="shared" si="204"/>
        <v>1</v>
      </c>
      <c r="AH289" s="412">
        <f>IF(AG289&gt;0,1+COUNTIF(AH$286:AH288,"&gt;0"),0)</f>
        <v>2</v>
      </c>
      <c r="AI289" s="412" t="str">
        <f t="shared" si="205"/>
        <v/>
      </c>
      <c r="AJ289" s="412" t="str">
        <f t="shared" si="188"/>
        <v/>
      </c>
      <c r="AK289" s="413">
        <f t="shared" si="189"/>
        <v>0</v>
      </c>
      <c r="AL289" s="411">
        <f t="shared" si="206"/>
        <v>1</v>
      </c>
      <c r="AM289" s="412">
        <f>IF(AL289&gt;0,1+COUNTIF(AM$286:AM288,"&gt;0"),0)</f>
        <v>2</v>
      </c>
      <c r="AN289" s="412" t="str">
        <f t="shared" si="207"/>
        <v/>
      </c>
      <c r="AO289" s="412" t="str">
        <f t="shared" si="190"/>
        <v/>
      </c>
      <c r="AP289" s="413">
        <f t="shared" si="191"/>
        <v>0</v>
      </c>
      <c r="AQ289" s="411">
        <f t="shared" si="208"/>
        <v>1</v>
      </c>
      <c r="AR289" s="412">
        <f>IF(AQ289&gt;0,1+COUNTIF(AR$286:AR288,"&gt;0"),0)</f>
        <v>2</v>
      </c>
      <c r="AS289" s="412" t="str">
        <f t="shared" si="209"/>
        <v/>
      </c>
      <c r="AT289" s="412" t="str">
        <f t="shared" si="192"/>
        <v/>
      </c>
      <c r="AU289" s="413">
        <f t="shared" si="193"/>
        <v>0</v>
      </c>
      <c r="AV289" s="411">
        <f t="shared" si="210"/>
        <v>1</v>
      </c>
      <c r="AW289" s="412">
        <f>IF(AV289&gt;0,1+COUNTIF(AW$286:AW288,"&gt;0"),0)</f>
        <v>2</v>
      </c>
      <c r="AX289" s="412" t="str">
        <f t="shared" si="211"/>
        <v/>
      </c>
      <c r="AY289" s="412" t="str">
        <f t="shared" si="194"/>
        <v/>
      </c>
      <c r="AZ289" s="413">
        <f t="shared" si="195"/>
        <v>0</v>
      </c>
      <c r="BA289" s="411">
        <f t="shared" si="212"/>
        <v>1</v>
      </c>
      <c r="BB289" s="412">
        <f>IF(BA289&gt;0,1+COUNTIF(BB$286:BB288,"&gt;0"),0)</f>
        <v>2</v>
      </c>
      <c r="BC289" s="412" t="str">
        <f t="shared" si="213"/>
        <v/>
      </c>
      <c r="BD289" s="412" t="str">
        <f t="shared" si="196"/>
        <v/>
      </c>
      <c r="BE289" s="413">
        <f t="shared" si="197"/>
        <v>0</v>
      </c>
      <c r="DZ289" s="138"/>
    </row>
    <row r="290" spans="1:130" ht="16.5" x14ac:dyDescent="0.3">
      <c r="A290" s="132">
        <f>IFERROR(IF(A289+1&lt;MAX(T041_ClassFeatures!$A$2:$A$2033),A289+1,""),"")</f>
        <v>287</v>
      </c>
      <c r="B290" s="131" t="str">
        <f>IFERROR(INDEX(T041_ClassFeatures!$B$2:$B$2033,MATCH('C03_ClassVariables'!A290,T041_ClassFeatures!$A$2:$A$2033,0),1),"")</f>
        <v>Death Strike</v>
      </c>
      <c r="C290" s="131">
        <f>IF(B290="",0,IF(IFERROR(MATCH(B290,'C01_BaseCalculation'!$W$160:$W$239,0),0)&gt;0,1,0))</f>
        <v>0</v>
      </c>
      <c r="F290" s="150"/>
      <c r="G290" s="136"/>
      <c r="H290" s="136">
        <v>2</v>
      </c>
      <c r="I290" s="136"/>
      <c r="J290" s="136" t="str">
        <f>T03_Skills!V7</f>
        <v>Gnomish</v>
      </c>
      <c r="K290" s="136">
        <f t="shared" si="179"/>
        <v>0</v>
      </c>
      <c r="L290" s="136">
        <f t="shared" si="180"/>
        <v>0</v>
      </c>
      <c r="M290" s="136">
        <f t="shared" si="181"/>
        <v>0</v>
      </c>
      <c r="N290" s="136"/>
      <c r="O290" s="136"/>
      <c r="P290" s="136"/>
      <c r="Q290" s="136"/>
      <c r="R290" s="411">
        <f t="shared" si="198"/>
        <v>1</v>
      </c>
      <c r="S290" s="412">
        <f>IF(R290&gt;0,1+COUNTIF(S$286:S289,"&gt;0"),0)</f>
        <v>4</v>
      </c>
      <c r="T290" s="412">
        <f t="shared" si="199"/>
        <v>5</v>
      </c>
      <c r="U290" s="412" t="str">
        <f t="shared" si="182"/>
        <v>Goblin</v>
      </c>
      <c r="V290" s="413">
        <f t="shared" si="183"/>
        <v>0</v>
      </c>
      <c r="W290" s="411">
        <f t="shared" si="200"/>
        <v>1</v>
      </c>
      <c r="X290" s="412">
        <f>IF(W290&gt;0,1+COUNTIF(X$286:X289,"&gt;0"),0)</f>
        <v>4</v>
      </c>
      <c r="Y290" s="412">
        <f t="shared" si="201"/>
        <v>5</v>
      </c>
      <c r="Z290" s="412" t="str">
        <f t="shared" si="184"/>
        <v>Goblin</v>
      </c>
      <c r="AA290" s="413">
        <f t="shared" si="185"/>
        <v>0</v>
      </c>
      <c r="AB290" s="411">
        <f t="shared" si="202"/>
        <v>1</v>
      </c>
      <c r="AC290" s="412">
        <f>IF(AB290&gt;0,1+COUNTIF(AC$286:AC289,"&gt;0"),0)</f>
        <v>4</v>
      </c>
      <c r="AD290" s="412">
        <f t="shared" si="203"/>
        <v>5</v>
      </c>
      <c r="AE290" s="412" t="str">
        <f t="shared" si="186"/>
        <v>Goblin</v>
      </c>
      <c r="AF290" s="413">
        <f t="shared" si="187"/>
        <v>0</v>
      </c>
      <c r="AG290" s="411">
        <f t="shared" si="204"/>
        <v>1</v>
      </c>
      <c r="AH290" s="412">
        <f>IF(AG290&gt;0,1+COUNTIF(AH$286:AH289,"&gt;0"),0)</f>
        <v>3</v>
      </c>
      <c r="AI290" s="412" t="str">
        <f t="shared" si="205"/>
        <v/>
      </c>
      <c r="AJ290" s="412" t="str">
        <f t="shared" si="188"/>
        <v/>
      </c>
      <c r="AK290" s="413">
        <f t="shared" si="189"/>
        <v>0</v>
      </c>
      <c r="AL290" s="411">
        <f t="shared" si="206"/>
        <v>1</v>
      </c>
      <c r="AM290" s="412">
        <f>IF(AL290&gt;0,1+COUNTIF(AM$286:AM289,"&gt;0"),0)</f>
        <v>3</v>
      </c>
      <c r="AN290" s="412" t="str">
        <f t="shared" si="207"/>
        <v/>
      </c>
      <c r="AO290" s="412" t="str">
        <f t="shared" si="190"/>
        <v/>
      </c>
      <c r="AP290" s="413">
        <f t="shared" si="191"/>
        <v>0</v>
      </c>
      <c r="AQ290" s="411">
        <f t="shared" si="208"/>
        <v>1</v>
      </c>
      <c r="AR290" s="412">
        <f>IF(AQ290&gt;0,1+COUNTIF(AR$286:AR289,"&gt;0"),0)</f>
        <v>3</v>
      </c>
      <c r="AS290" s="412" t="str">
        <f t="shared" si="209"/>
        <v/>
      </c>
      <c r="AT290" s="412" t="str">
        <f t="shared" si="192"/>
        <v/>
      </c>
      <c r="AU290" s="413">
        <f t="shared" si="193"/>
        <v>0</v>
      </c>
      <c r="AV290" s="411">
        <f t="shared" si="210"/>
        <v>1</v>
      </c>
      <c r="AW290" s="412">
        <f>IF(AV290&gt;0,1+COUNTIF(AW$286:AW289,"&gt;0"),0)</f>
        <v>3</v>
      </c>
      <c r="AX290" s="412" t="str">
        <f t="shared" si="211"/>
        <v/>
      </c>
      <c r="AY290" s="412" t="str">
        <f t="shared" si="194"/>
        <v/>
      </c>
      <c r="AZ290" s="413">
        <f t="shared" si="195"/>
        <v>0</v>
      </c>
      <c r="BA290" s="411">
        <f t="shared" si="212"/>
        <v>1</v>
      </c>
      <c r="BB290" s="412">
        <f>IF(BA290&gt;0,1+COUNTIF(BB$286:BB289,"&gt;0"),0)</f>
        <v>3</v>
      </c>
      <c r="BC290" s="412" t="str">
        <f t="shared" si="213"/>
        <v/>
      </c>
      <c r="BD290" s="412" t="str">
        <f t="shared" si="196"/>
        <v/>
      </c>
      <c r="BE290" s="413">
        <f t="shared" si="197"/>
        <v>0</v>
      </c>
      <c r="DZ290" s="138"/>
    </row>
    <row r="291" spans="1:130" ht="16.5" x14ac:dyDescent="0.3">
      <c r="A291" s="132">
        <f>IFERROR(IF(A290+1&lt;MAX(T041_ClassFeatures!$A$2:$A$2033),A290+1,""),"")</f>
        <v>288</v>
      </c>
      <c r="B291" s="131" t="str">
        <f>IFERROR(INDEX(T041_ClassFeatures!$B$2:$B$2033,MATCH('C03_ClassVariables'!A291,T041_ClassFeatures!$A$2:$A$2033,0),1),"")</f>
        <v>Spellcasting (AT)</v>
      </c>
      <c r="C291" s="131">
        <f>IF(B291="",0,IF(IFERROR(MATCH(B291,'C01_BaseCalculation'!$W$160:$W$239,0),0)&gt;0,1,0))</f>
        <v>0</v>
      </c>
      <c r="F291" s="150"/>
      <c r="G291" s="136" t="s">
        <v>5934</v>
      </c>
      <c r="H291" s="136">
        <v>1</v>
      </c>
      <c r="I291" s="136"/>
      <c r="J291" s="136" t="str">
        <f>T03_Skills!V8</f>
        <v>Goblin</v>
      </c>
      <c r="K291" s="136">
        <f t="shared" si="179"/>
        <v>0</v>
      </c>
      <c r="L291" s="136">
        <f t="shared" si="180"/>
        <v>0</v>
      </c>
      <c r="M291" s="136">
        <f t="shared" si="181"/>
        <v>0</v>
      </c>
      <c r="N291" s="136"/>
      <c r="O291" s="136"/>
      <c r="P291" s="136"/>
      <c r="Q291" s="136"/>
      <c r="R291" s="411">
        <f t="shared" si="198"/>
        <v>1</v>
      </c>
      <c r="S291" s="412">
        <f>IF(R291&gt;0,1+COUNTIF(S$286:S290,"&gt;0"),0)</f>
        <v>5</v>
      </c>
      <c r="T291" s="412">
        <f t="shared" si="199"/>
        <v>6</v>
      </c>
      <c r="U291" s="412" t="str">
        <f t="shared" si="182"/>
        <v>Halfling</v>
      </c>
      <c r="V291" s="413">
        <f t="shared" si="183"/>
        <v>0</v>
      </c>
      <c r="W291" s="411">
        <f t="shared" si="200"/>
        <v>1</v>
      </c>
      <c r="X291" s="412">
        <f>IF(W291&gt;0,1+COUNTIF(X$286:X290,"&gt;0"),0)</f>
        <v>5</v>
      </c>
      <c r="Y291" s="412">
        <f t="shared" si="201"/>
        <v>6</v>
      </c>
      <c r="Z291" s="412" t="str">
        <f t="shared" si="184"/>
        <v>Halfling</v>
      </c>
      <c r="AA291" s="413">
        <f t="shared" si="185"/>
        <v>0</v>
      </c>
      <c r="AB291" s="411">
        <f t="shared" si="202"/>
        <v>1</v>
      </c>
      <c r="AC291" s="412">
        <f>IF(AB291&gt;0,1+COUNTIF(AC$286:AC290,"&gt;0"),0)</f>
        <v>5</v>
      </c>
      <c r="AD291" s="412">
        <f t="shared" si="203"/>
        <v>6</v>
      </c>
      <c r="AE291" s="412" t="str">
        <f t="shared" si="186"/>
        <v>Halfling</v>
      </c>
      <c r="AF291" s="413">
        <f t="shared" si="187"/>
        <v>0</v>
      </c>
      <c r="AG291" s="411">
        <f t="shared" si="204"/>
        <v>1</v>
      </c>
      <c r="AH291" s="412">
        <f>IF(AG291&gt;0,1+COUNTIF(AH$286:AH290,"&gt;0"),0)</f>
        <v>4</v>
      </c>
      <c r="AI291" s="412" t="str">
        <f t="shared" si="205"/>
        <v/>
      </c>
      <c r="AJ291" s="412" t="str">
        <f t="shared" si="188"/>
        <v/>
      </c>
      <c r="AK291" s="413">
        <f t="shared" si="189"/>
        <v>0</v>
      </c>
      <c r="AL291" s="411">
        <f t="shared" si="206"/>
        <v>1</v>
      </c>
      <c r="AM291" s="412">
        <f>IF(AL291&gt;0,1+COUNTIF(AM$286:AM290,"&gt;0"),0)</f>
        <v>4</v>
      </c>
      <c r="AN291" s="412" t="str">
        <f t="shared" si="207"/>
        <v/>
      </c>
      <c r="AO291" s="412" t="str">
        <f t="shared" si="190"/>
        <v/>
      </c>
      <c r="AP291" s="413">
        <f t="shared" si="191"/>
        <v>0</v>
      </c>
      <c r="AQ291" s="411">
        <f t="shared" si="208"/>
        <v>1</v>
      </c>
      <c r="AR291" s="412">
        <f>IF(AQ291&gt;0,1+COUNTIF(AR$286:AR290,"&gt;0"),0)</f>
        <v>4</v>
      </c>
      <c r="AS291" s="412" t="str">
        <f t="shared" si="209"/>
        <v/>
      </c>
      <c r="AT291" s="412" t="str">
        <f t="shared" si="192"/>
        <v/>
      </c>
      <c r="AU291" s="413">
        <f t="shared" si="193"/>
        <v>0</v>
      </c>
      <c r="AV291" s="411">
        <f t="shared" si="210"/>
        <v>1</v>
      </c>
      <c r="AW291" s="412">
        <f>IF(AV291&gt;0,1+COUNTIF(AW$286:AW290,"&gt;0"),0)</f>
        <v>4</v>
      </c>
      <c r="AX291" s="412" t="str">
        <f t="shared" si="211"/>
        <v/>
      </c>
      <c r="AY291" s="412" t="str">
        <f t="shared" si="194"/>
        <v/>
      </c>
      <c r="AZ291" s="413">
        <f t="shared" si="195"/>
        <v>0</v>
      </c>
      <c r="BA291" s="411">
        <f t="shared" si="212"/>
        <v>1</v>
      </c>
      <c r="BB291" s="412">
        <f>IF(BA291&gt;0,1+COUNTIF(BB$286:BB290,"&gt;0"),0)</f>
        <v>4</v>
      </c>
      <c r="BC291" s="412" t="str">
        <f t="shared" si="213"/>
        <v/>
      </c>
      <c r="BD291" s="412" t="str">
        <f t="shared" si="196"/>
        <v/>
      </c>
      <c r="BE291" s="413">
        <f t="shared" si="197"/>
        <v>0</v>
      </c>
      <c r="DZ291" s="138"/>
    </row>
    <row r="292" spans="1:130" ht="16.5" x14ac:dyDescent="0.3">
      <c r="A292" s="132">
        <f>IFERROR(IF(A291+1&lt;MAX(T041_ClassFeatures!$A$2:$A$2033),A291+1,""),"")</f>
        <v>289</v>
      </c>
      <c r="B292" s="131" t="str">
        <f>IFERROR(INDEX(T041_ClassFeatures!$B$2:$B$2033,MATCH('C03_ClassVariables'!A292,T041_ClassFeatures!$A$2:$A$2033,0),1),"")</f>
        <v>Mage Hand Legerdemain</v>
      </c>
      <c r="C292" s="131">
        <f>IF(B292="",0,IF(IFERROR(MATCH(B292,'C01_BaseCalculation'!$W$160:$W$239,0),0)&gt;0,1,0))</f>
        <v>0</v>
      </c>
      <c r="F292" s="150"/>
      <c r="G292" s="136" t="s">
        <v>5935</v>
      </c>
      <c r="H292" s="136">
        <v>1</v>
      </c>
      <c r="I292" s="136"/>
      <c r="J292" s="136" t="str">
        <f>T03_Skills!V9</f>
        <v>Halfling</v>
      </c>
      <c r="K292" s="136">
        <f t="shared" si="179"/>
        <v>0</v>
      </c>
      <c r="L292" s="136">
        <f t="shared" si="180"/>
        <v>0</v>
      </c>
      <c r="M292" s="136">
        <f t="shared" si="181"/>
        <v>0</v>
      </c>
      <c r="N292" s="136"/>
      <c r="O292" s="136"/>
      <c r="P292" s="136"/>
      <c r="Q292" s="136"/>
      <c r="R292" s="411">
        <f t="shared" si="198"/>
        <v>1</v>
      </c>
      <c r="S292" s="412">
        <f>IF(R292&gt;0,1+COUNTIF(S$286:S291,"&gt;0"),0)</f>
        <v>6</v>
      </c>
      <c r="T292" s="412">
        <f t="shared" si="199"/>
        <v>7</v>
      </c>
      <c r="U292" s="412" t="str">
        <f t="shared" si="182"/>
        <v>Orc</v>
      </c>
      <c r="V292" s="413">
        <f t="shared" si="183"/>
        <v>0</v>
      </c>
      <c r="W292" s="411">
        <f t="shared" si="200"/>
        <v>1</v>
      </c>
      <c r="X292" s="412">
        <f>IF(W292&gt;0,1+COUNTIF(X$286:X291,"&gt;0"),0)</f>
        <v>6</v>
      </c>
      <c r="Y292" s="412">
        <f t="shared" si="201"/>
        <v>7</v>
      </c>
      <c r="Z292" s="412" t="str">
        <f t="shared" si="184"/>
        <v>Orc</v>
      </c>
      <c r="AA292" s="413">
        <f t="shared" si="185"/>
        <v>0</v>
      </c>
      <c r="AB292" s="411">
        <f t="shared" si="202"/>
        <v>1</v>
      </c>
      <c r="AC292" s="412">
        <f>IF(AB292&gt;0,1+COUNTIF(AC$286:AC291,"&gt;0"),0)</f>
        <v>6</v>
      </c>
      <c r="AD292" s="412">
        <f t="shared" si="203"/>
        <v>7</v>
      </c>
      <c r="AE292" s="412" t="str">
        <f t="shared" si="186"/>
        <v>Orc</v>
      </c>
      <c r="AF292" s="413">
        <f t="shared" si="187"/>
        <v>0</v>
      </c>
      <c r="AG292" s="411">
        <f t="shared" si="204"/>
        <v>1</v>
      </c>
      <c r="AH292" s="412">
        <f>IF(AG292&gt;0,1+COUNTIF(AH$286:AH291,"&gt;0"),0)</f>
        <v>5</v>
      </c>
      <c r="AI292" s="412" t="str">
        <f t="shared" si="205"/>
        <v/>
      </c>
      <c r="AJ292" s="412" t="str">
        <f t="shared" si="188"/>
        <v/>
      </c>
      <c r="AK292" s="413">
        <f t="shared" si="189"/>
        <v>0</v>
      </c>
      <c r="AL292" s="411">
        <f t="shared" si="206"/>
        <v>1</v>
      </c>
      <c r="AM292" s="412">
        <f>IF(AL292&gt;0,1+COUNTIF(AM$286:AM291,"&gt;0"),0)</f>
        <v>5</v>
      </c>
      <c r="AN292" s="412" t="str">
        <f t="shared" si="207"/>
        <v/>
      </c>
      <c r="AO292" s="412" t="str">
        <f t="shared" si="190"/>
        <v/>
      </c>
      <c r="AP292" s="413">
        <f t="shared" si="191"/>
        <v>0</v>
      </c>
      <c r="AQ292" s="411">
        <f t="shared" si="208"/>
        <v>1</v>
      </c>
      <c r="AR292" s="412">
        <f>IF(AQ292&gt;0,1+COUNTIF(AR$286:AR291,"&gt;0"),0)</f>
        <v>5</v>
      </c>
      <c r="AS292" s="412" t="str">
        <f t="shared" si="209"/>
        <v/>
      </c>
      <c r="AT292" s="412" t="str">
        <f t="shared" si="192"/>
        <v/>
      </c>
      <c r="AU292" s="413">
        <f t="shared" si="193"/>
        <v>0</v>
      </c>
      <c r="AV292" s="411">
        <f t="shared" si="210"/>
        <v>1</v>
      </c>
      <c r="AW292" s="412">
        <f>IF(AV292&gt;0,1+COUNTIF(AW$286:AW291,"&gt;0"),0)</f>
        <v>5</v>
      </c>
      <c r="AX292" s="412" t="str">
        <f t="shared" si="211"/>
        <v/>
      </c>
      <c r="AY292" s="412" t="str">
        <f t="shared" si="194"/>
        <v/>
      </c>
      <c r="AZ292" s="413">
        <f t="shared" si="195"/>
        <v>0</v>
      </c>
      <c r="BA292" s="411">
        <f t="shared" si="212"/>
        <v>1</v>
      </c>
      <c r="BB292" s="412">
        <f>IF(BA292&gt;0,1+COUNTIF(BB$286:BB291,"&gt;0"),0)</f>
        <v>5</v>
      </c>
      <c r="BC292" s="412" t="str">
        <f t="shared" si="213"/>
        <v/>
      </c>
      <c r="BD292" s="412" t="str">
        <f t="shared" si="196"/>
        <v/>
      </c>
      <c r="BE292" s="413">
        <f t="shared" si="197"/>
        <v>0</v>
      </c>
      <c r="DZ292" s="138"/>
    </row>
    <row r="293" spans="1:130" ht="16.5" x14ac:dyDescent="0.3">
      <c r="A293" s="132">
        <f>IFERROR(IF(A292+1&lt;MAX(T041_ClassFeatures!$A$2:$A$2033),A292+1,""),"")</f>
        <v>290</v>
      </c>
      <c r="B293" s="131" t="str">
        <f>IFERROR(INDEX(T041_ClassFeatures!$B$2:$B$2033,MATCH('C03_ClassVariables'!A293,T041_ClassFeatures!$A$2:$A$2033,0),1),"")</f>
        <v>Magical Ambush</v>
      </c>
      <c r="C293" s="131">
        <f>IF(B293="",0,IF(IFERROR(MATCH(B293,'C01_BaseCalculation'!$W$160:$W$239,0),0)&gt;0,1,0))</f>
        <v>0</v>
      </c>
      <c r="F293" s="150"/>
      <c r="G293" s="136" t="s">
        <v>2273</v>
      </c>
      <c r="H293" s="136">
        <v>1</v>
      </c>
      <c r="I293" s="136"/>
      <c r="J293" s="136" t="str">
        <f>T03_Skills!V10</f>
        <v>Orc</v>
      </c>
      <c r="K293" s="136">
        <f t="shared" si="179"/>
        <v>0</v>
      </c>
      <c r="L293" s="136">
        <f t="shared" si="180"/>
        <v>0</v>
      </c>
      <c r="M293" s="136">
        <f t="shared" si="181"/>
        <v>0</v>
      </c>
      <c r="N293" s="136"/>
      <c r="O293" s="136"/>
      <c r="P293" s="136"/>
      <c r="Q293" s="136"/>
      <c r="R293" s="411">
        <f t="shared" si="198"/>
        <v>1</v>
      </c>
      <c r="S293" s="412">
        <f>IF(R293&gt;0,1+COUNTIF(S$286:S292,"&gt;0"),0)</f>
        <v>7</v>
      </c>
      <c r="T293" s="412">
        <f t="shared" si="199"/>
        <v>8</v>
      </c>
      <c r="U293" s="412" t="str">
        <f t="shared" si="182"/>
        <v>Abyssal</v>
      </c>
      <c r="V293" s="413">
        <f t="shared" si="183"/>
        <v>0</v>
      </c>
      <c r="W293" s="411">
        <f t="shared" si="200"/>
        <v>1</v>
      </c>
      <c r="X293" s="412">
        <f>IF(W293&gt;0,1+COUNTIF(X$286:X292,"&gt;0"),0)</f>
        <v>7</v>
      </c>
      <c r="Y293" s="412">
        <f t="shared" si="201"/>
        <v>8</v>
      </c>
      <c r="Z293" s="412" t="str">
        <f t="shared" si="184"/>
        <v>Abyssal</v>
      </c>
      <c r="AA293" s="413">
        <f t="shared" si="185"/>
        <v>0</v>
      </c>
      <c r="AB293" s="411">
        <f t="shared" si="202"/>
        <v>1</v>
      </c>
      <c r="AC293" s="412">
        <f>IF(AB293&gt;0,1+COUNTIF(AC$286:AC292,"&gt;0"),0)</f>
        <v>7</v>
      </c>
      <c r="AD293" s="412">
        <f t="shared" si="203"/>
        <v>8</v>
      </c>
      <c r="AE293" s="412" t="str">
        <f t="shared" si="186"/>
        <v>Celestial</v>
      </c>
      <c r="AF293" s="413">
        <f t="shared" si="187"/>
        <v>0</v>
      </c>
      <c r="AG293" s="411">
        <f t="shared" si="204"/>
        <v>1</v>
      </c>
      <c r="AH293" s="412">
        <f>IF(AG293&gt;0,1+COUNTIF(AH$286:AH292,"&gt;0"),0)</f>
        <v>6</v>
      </c>
      <c r="AI293" s="412" t="str">
        <f t="shared" si="205"/>
        <v/>
      </c>
      <c r="AJ293" s="412" t="str">
        <f t="shared" si="188"/>
        <v/>
      </c>
      <c r="AK293" s="413">
        <f t="shared" si="189"/>
        <v>0</v>
      </c>
      <c r="AL293" s="411">
        <f t="shared" si="206"/>
        <v>1</v>
      </c>
      <c r="AM293" s="412">
        <f>IF(AL293&gt;0,1+COUNTIF(AM$286:AM292,"&gt;0"),0)</f>
        <v>6</v>
      </c>
      <c r="AN293" s="412" t="str">
        <f t="shared" si="207"/>
        <v/>
      </c>
      <c r="AO293" s="412" t="str">
        <f t="shared" si="190"/>
        <v/>
      </c>
      <c r="AP293" s="413">
        <f t="shared" si="191"/>
        <v>0</v>
      </c>
      <c r="AQ293" s="411">
        <f t="shared" si="208"/>
        <v>1</v>
      </c>
      <c r="AR293" s="412">
        <f>IF(AQ293&gt;0,1+COUNTIF(AR$286:AR292,"&gt;0"),0)</f>
        <v>6</v>
      </c>
      <c r="AS293" s="412" t="str">
        <f t="shared" si="209"/>
        <v/>
      </c>
      <c r="AT293" s="412" t="str">
        <f t="shared" si="192"/>
        <v/>
      </c>
      <c r="AU293" s="413">
        <f t="shared" si="193"/>
        <v>0</v>
      </c>
      <c r="AV293" s="411">
        <f t="shared" si="210"/>
        <v>1</v>
      </c>
      <c r="AW293" s="412">
        <f>IF(AV293&gt;0,1+COUNTIF(AW$286:AW292,"&gt;0"),0)</f>
        <v>6</v>
      </c>
      <c r="AX293" s="412" t="str">
        <f t="shared" si="211"/>
        <v/>
      </c>
      <c r="AY293" s="412" t="str">
        <f t="shared" si="194"/>
        <v/>
      </c>
      <c r="AZ293" s="413">
        <f t="shared" si="195"/>
        <v>0</v>
      </c>
      <c r="BA293" s="411">
        <f t="shared" si="212"/>
        <v>1</v>
      </c>
      <c r="BB293" s="412">
        <f>IF(BA293&gt;0,1+COUNTIF(BB$286:BB292,"&gt;0"),0)</f>
        <v>6</v>
      </c>
      <c r="BC293" s="412" t="str">
        <f t="shared" si="213"/>
        <v/>
      </c>
      <c r="BD293" s="412" t="str">
        <f t="shared" si="196"/>
        <v/>
      </c>
      <c r="BE293" s="413">
        <f t="shared" si="197"/>
        <v>0</v>
      </c>
      <c r="DZ293" s="138"/>
    </row>
    <row r="294" spans="1:130" ht="16.5" x14ac:dyDescent="0.3">
      <c r="A294" s="132">
        <f>IFERROR(IF(A293+1&lt;MAX(T041_ClassFeatures!$A$2:$A$2033),A293+1,""),"")</f>
        <v>291</v>
      </c>
      <c r="B294" s="131" t="str">
        <f>IFERROR(INDEX(T041_ClassFeatures!$B$2:$B$2033,MATCH('C03_ClassVariables'!A294,T041_ClassFeatures!$A$2:$A$2033,0),1),"")</f>
        <v>Versatile Trickster</v>
      </c>
      <c r="C294" s="131">
        <f>IF(B294="",0,IF(IFERROR(MATCH(B294,'C01_BaseCalculation'!$W$160:$W$239,0),0)&gt;0,1,0))</f>
        <v>0</v>
      </c>
      <c r="F294" s="150"/>
      <c r="G294" s="136"/>
      <c r="H294" s="136">
        <v>2</v>
      </c>
      <c r="I294" s="136"/>
      <c r="J294" s="136" t="str">
        <f>T03_Skills!V11</f>
        <v>Abyssal</v>
      </c>
      <c r="K294" s="136">
        <f t="shared" si="179"/>
        <v>0</v>
      </c>
      <c r="L294" s="136">
        <f t="shared" si="180"/>
        <v>0</v>
      </c>
      <c r="M294" s="136">
        <f t="shared" si="181"/>
        <v>0</v>
      </c>
      <c r="N294" s="136"/>
      <c r="O294" s="136"/>
      <c r="P294" s="136"/>
      <c r="Q294" s="136"/>
      <c r="R294" s="411">
        <f t="shared" si="198"/>
        <v>1</v>
      </c>
      <c r="S294" s="412">
        <f>IF(R294&gt;0,1+COUNTIF(S$286:S293,"&gt;0"),0)</f>
        <v>8</v>
      </c>
      <c r="T294" s="412">
        <f t="shared" si="199"/>
        <v>9</v>
      </c>
      <c r="U294" s="412" t="str">
        <f t="shared" si="182"/>
        <v>Celestial</v>
      </c>
      <c r="V294" s="413">
        <f t="shared" si="183"/>
        <v>0</v>
      </c>
      <c r="W294" s="411">
        <f t="shared" si="200"/>
        <v>1</v>
      </c>
      <c r="X294" s="412">
        <f>IF(W294&gt;0,1+COUNTIF(X$286:X293,"&gt;0"),0)</f>
        <v>8</v>
      </c>
      <c r="Y294" s="412">
        <f t="shared" si="201"/>
        <v>9</v>
      </c>
      <c r="Z294" s="412" t="str">
        <f t="shared" si="184"/>
        <v>Celestial</v>
      </c>
      <c r="AA294" s="413">
        <f t="shared" si="185"/>
        <v>1</v>
      </c>
      <c r="AB294" s="411">
        <f t="shared" si="202"/>
        <v>0</v>
      </c>
      <c r="AC294" s="412">
        <f>IF(AB294&gt;0,1+COUNTIF(AC$286:AC293,"&gt;0"),0)</f>
        <v>0</v>
      </c>
      <c r="AD294" s="412">
        <f t="shared" si="203"/>
        <v>9</v>
      </c>
      <c r="AE294" s="412" t="str">
        <f t="shared" si="186"/>
        <v>Deep Speech</v>
      </c>
      <c r="AF294" s="413">
        <f t="shared" si="187"/>
        <v>0</v>
      </c>
      <c r="AG294" s="411">
        <f t="shared" si="204"/>
        <v>0</v>
      </c>
      <c r="AH294" s="412">
        <f>IF(AG294&gt;0,1+COUNTIF(AH$286:AH293,"&gt;0"),0)</f>
        <v>0</v>
      </c>
      <c r="AI294" s="412" t="str">
        <f t="shared" si="205"/>
        <v/>
      </c>
      <c r="AJ294" s="412" t="str">
        <f t="shared" si="188"/>
        <v/>
      </c>
      <c r="AK294" s="413">
        <f t="shared" si="189"/>
        <v>0</v>
      </c>
      <c r="AL294" s="411">
        <f t="shared" si="206"/>
        <v>0</v>
      </c>
      <c r="AM294" s="412">
        <f>IF(AL294&gt;0,1+COUNTIF(AM$286:AM293,"&gt;0"),0)</f>
        <v>0</v>
      </c>
      <c r="AN294" s="412" t="str">
        <f t="shared" si="207"/>
        <v/>
      </c>
      <c r="AO294" s="412" t="str">
        <f t="shared" si="190"/>
        <v/>
      </c>
      <c r="AP294" s="413">
        <f t="shared" si="191"/>
        <v>0</v>
      </c>
      <c r="AQ294" s="411">
        <f t="shared" si="208"/>
        <v>0</v>
      </c>
      <c r="AR294" s="412">
        <f>IF(AQ294&gt;0,1+COUNTIF(AR$286:AR293,"&gt;0"),0)</f>
        <v>0</v>
      </c>
      <c r="AS294" s="412" t="str">
        <f t="shared" si="209"/>
        <v/>
      </c>
      <c r="AT294" s="412" t="str">
        <f t="shared" si="192"/>
        <v/>
      </c>
      <c r="AU294" s="413">
        <f t="shared" si="193"/>
        <v>0</v>
      </c>
      <c r="AV294" s="411">
        <f t="shared" si="210"/>
        <v>0</v>
      </c>
      <c r="AW294" s="412">
        <f>IF(AV294&gt;0,1+COUNTIF(AW$286:AW293,"&gt;0"),0)</f>
        <v>0</v>
      </c>
      <c r="AX294" s="412" t="str">
        <f t="shared" si="211"/>
        <v/>
      </c>
      <c r="AY294" s="412" t="str">
        <f t="shared" si="194"/>
        <v/>
      </c>
      <c r="AZ294" s="413">
        <f t="shared" si="195"/>
        <v>0</v>
      </c>
      <c r="BA294" s="411">
        <f t="shared" si="212"/>
        <v>0</v>
      </c>
      <c r="BB294" s="412">
        <f>IF(BA294&gt;0,1+COUNTIF(BB$286:BB293,"&gt;0"),0)</f>
        <v>0</v>
      </c>
      <c r="BC294" s="412" t="str">
        <f t="shared" si="213"/>
        <v/>
      </c>
      <c r="BD294" s="412" t="str">
        <f t="shared" si="196"/>
        <v/>
      </c>
      <c r="BE294" s="413">
        <f t="shared" si="197"/>
        <v>0</v>
      </c>
      <c r="DZ294" s="138"/>
    </row>
    <row r="295" spans="1:130" ht="16.5" x14ac:dyDescent="0.3">
      <c r="A295" s="132">
        <f>IFERROR(IF(A294+1&lt;MAX(T041_ClassFeatures!$A$2:$A$2033),A294+1,""),"")</f>
        <v>292</v>
      </c>
      <c r="B295" s="131" t="str">
        <f>IFERROR(INDEX(T041_ClassFeatures!$B$2:$B$2033,MATCH('C03_ClassVariables'!A295,T041_ClassFeatures!$A$2:$A$2033,0),1),"")</f>
        <v>Spell Thief</v>
      </c>
      <c r="C295" s="131">
        <f>IF(B295="",0,IF(IFERROR(MATCH(B295,'C01_BaseCalculation'!$W$160:$W$239,0),0)&gt;0,1,0))</f>
        <v>0</v>
      </c>
      <c r="F295" s="150"/>
      <c r="G295" s="136"/>
      <c r="H295" s="136">
        <v>3</v>
      </c>
      <c r="I295" s="136"/>
      <c r="J295" s="136" t="str">
        <f>T03_Skills!V12</f>
        <v>Celestial</v>
      </c>
      <c r="K295" s="136">
        <f t="shared" si="179"/>
        <v>0</v>
      </c>
      <c r="L295" s="136">
        <f t="shared" si="180"/>
        <v>0</v>
      </c>
      <c r="M295" s="136">
        <f t="shared" si="181"/>
        <v>0</v>
      </c>
      <c r="N295" s="136"/>
      <c r="O295" s="136"/>
      <c r="P295" s="136"/>
      <c r="Q295" s="136"/>
      <c r="R295" s="411">
        <f t="shared" si="198"/>
        <v>1</v>
      </c>
      <c r="S295" s="412">
        <f>IF(R295&gt;0,1+COUNTIF(S$286:S294,"&gt;0"),0)</f>
        <v>9</v>
      </c>
      <c r="T295" s="412">
        <f t="shared" si="199"/>
        <v>10</v>
      </c>
      <c r="U295" s="412" t="str">
        <f t="shared" si="182"/>
        <v>Draconic</v>
      </c>
      <c r="V295" s="413">
        <f t="shared" si="183"/>
        <v>0</v>
      </c>
      <c r="W295" s="411">
        <f t="shared" si="200"/>
        <v>1</v>
      </c>
      <c r="X295" s="412">
        <f>IF(W295&gt;0,1+COUNTIF(X$286:X294,"&gt;0"),0)</f>
        <v>9</v>
      </c>
      <c r="Y295" s="412">
        <f t="shared" si="201"/>
        <v>10</v>
      </c>
      <c r="Z295" s="412" t="str">
        <f t="shared" si="184"/>
        <v>Deep Speech</v>
      </c>
      <c r="AA295" s="413">
        <f t="shared" si="185"/>
        <v>0</v>
      </c>
      <c r="AB295" s="411">
        <f t="shared" si="202"/>
        <v>1</v>
      </c>
      <c r="AC295" s="412">
        <f>IF(AB295&gt;0,1+COUNTIF(AC$286:AC294,"&gt;0"),0)</f>
        <v>8</v>
      </c>
      <c r="AD295" s="412">
        <f t="shared" si="203"/>
        <v>10</v>
      </c>
      <c r="AE295" s="412" t="str">
        <f t="shared" si="186"/>
        <v>Infernal</v>
      </c>
      <c r="AF295" s="413">
        <f t="shared" si="187"/>
        <v>0</v>
      </c>
      <c r="AG295" s="411">
        <f t="shared" si="204"/>
        <v>1</v>
      </c>
      <c r="AH295" s="412">
        <f>IF(AG295&gt;0,1+COUNTIF(AH$286:AH294,"&gt;0"),0)</f>
        <v>7</v>
      </c>
      <c r="AI295" s="412" t="str">
        <f t="shared" si="205"/>
        <v/>
      </c>
      <c r="AJ295" s="412" t="str">
        <f t="shared" si="188"/>
        <v/>
      </c>
      <c r="AK295" s="413">
        <f t="shared" si="189"/>
        <v>0</v>
      </c>
      <c r="AL295" s="411">
        <f t="shared" si="206"/>
        <v>1</v>
      </c>
      <c r="AM295" s="412">
        <f>IF(AL295&gt;0,1+COUNTIF(AM$286:AM294,"&gt;0"),0)</f>
        <v>7</v>
      </c>
      <c r="AN295" s="412" t="str">
        <f t="shared" si="207"/>
        <v/>
      </c>
      <c r="AO295" s="412" t="str">
        <f t="shared" si="190"/>
        <v/>
      </c>
      <c r="AP295" s="413">
        <f t="shared" si="191"/>
        <v>0</v>
      </c>
      <c r="AQ295" s="411">
        <f t="shared" si="208"/>
        <v>1</v>
      </c>
      <c r="AR295" s="412">
        <f>IF(AQ295&gt;0,1+COUNTIF(AR$286:AR294,"&gt;0"),0)</f>
        <v>7</v>
      </c>
      <c r="AS295" s="412" t="str">
        <f t="shared" si="209"/>
        <v/>
      </c>
      <c r="AT295" s="412" t="str">
        <f t="shared" si="192"/>
        <v/>
      </c>
      <c r="AU295" s="413">
        <f t="shared" si="193"/>
        <v>0</v>
      </c>
      <c r="AV295" s="411">
        <f t="shared" si="210"/>
        <v>1</v>
      </c>
      <c r="AW295" s="412">
        <f>IF(AV295&gt;0,1+COUNTIF(AW$286:AW294,"&gt;0"),0)</f>
        <v>7</v>
      </c>
      <c r="AX295" s="412" t="str">
        <f t="shared" si="211"/>
        <v/>
      </c>
      <c r="AY295" s="412" t="str">
        <f t="shared" si="194"/>
        <v/>
      </c>
      <c r="AZ295" s="413">
        <f t="shared" si="195"/>
        <v>0</v>
      </c>
      <c r="BA295" s="411">
        <f t="shared" si="212"/>
        <v>1</v>
      </c>
      <c r="BB295" s="412">
        <f>IF(BA295&gt;0,1+COUNTIF(BB$286:BB294,"&gt;0"),0)</f>
        <v>7</v>
      </c>
      <c r="BC295" s="412" t="str">
        <f t="shared" si="213"/>
        <v/>
      </c>
      <c r="BD295" s="412" t="str">
        <f t="shared" si="196"/>
        <v/>
      </c>
      <c r="BE295" s="413">
        <f t="shared" si="197"/>
        <v>0</v>
      </c>
      <c r="DZ295" s="138"/>
    </row>
    <row r="296" spans="1:130" ht="16.5" x14ac:dyDescent="0.3">
      <c r="A296" s="132">
        <f>IFERROR(IF(A295+1&lt;MAX(T041_ClassFeatures!$A$2:$A$2033),A295+1,""),"")</f>
        <v>293</v>
      </c>
      <c r="B296" s="131" t="str">
        <f>IFERROR(INDEX(T041_ClassFeatures!$B$2:$B$2033,MATCH('C03_ClassVariables'!A296,T041_ClassFeatures!$A$2:$A$2033,0),1),"")</f>
        <v>Dragon Ancestor</v>
      </c>
      <c r="C296" s="131">
        <f>IF(B296="",0,IF(IFERROR(MATCH(B296,'C01_BaseCalculation'!$W$160:$W$239,0),0)&gt;0,1,0))</f>
        <v>0</v>
      </c>
      <c r="F296" s="150"/>
      <c r="G296" s="136"/>
      <c r="H296" s="136"/>
      <c r="I296" s="136"/>
      <c r="J296" s="136" t="str">
        <f>T03_Skills!V13</f>
        <v>Draconic</v>
      </c>
      <c r="K296" s="136">
        <f t="shared" si="179"/>
        <v>0</v>
      </c>
      <c r="L296" s="136">
        <f t="shared" si="180"/>
        <v>0</v>
      </c>
      <c r="M296" s="136">
        <f t="shared" si="181"/>
        <v>0</v>
      </c>
      <c r="N296" s="136"/>
      <c r="O296" s="136"/>
      <c r="P296" s="136"/>
      <c r="Q296" s="136"/>
      <c r="R296" s="411">
        <f t="shared" si="198"/>
        <v>1</v>
      </c>
      <c r="S296" s="412">
        <f>IF(R296&gt;0,1+COUNTIF(S$286:S295,"&gt;0"),0)</f>
        <v>10</v>
      </c>
      <c r="T296" s="412">
        <f t="shared" si="199"/>
        <v>11</v>
      </c>
      <c r="U296" s="412" t="str">
        <f t="shared" si="182"/>
        <v>Deep Speech</v>
      </c>
      <c r="V296" s="413">
        <f t="shared" si="183"/>
        <v>1</v>
      </c>
      <c r="W296" s="411">
        <f t="shared" si="200"/>
        <v>0</v>
      </c>
      <c r="X296" s="412">
        <f>IF(W296&gt;0,1+COUNTIF(X$286:X295,"&gt;0"),0)</f>
        <v>0</v>
      </c>
      <c r="Y296" s="412">
        <f t="shared" si="201"/>
        <v>11</v>
      </c>
      <c r="Z296" s="412" t="str">
        <f t="shared" si="184"/>
        <v>Infernal</v>
      </c>
      <c r="AA296" s="413">
        <f t="shared" si="185"/>
        <v>0</v>
      </c>
      <c r="AB296" s="411">
        <f t="shared" si="202"/>
        <v>0</v>
      </c>
      <c r="AC296" s="412">
        <f>IF(AB296&gt;0,1+COUNTIF(AC$286:AC295,"&gt;0"),0)</f>
        <v>0</v>
      </c>
      <c r="AD296" s="412">
        <f t="shared" si="203"/>
        <v>11</v>
      </c>
      <c r="AE296" s="412" t="str">
        <f t="shared" si="186"/>
        <v>Primordial</v>
      </c>
      <c r="AF296" s="413">
        <f t="shared" si="187"/>
        <v>0</v>
      </c>
      <c r="AG296" s="411">
        <f t="shared" si="204"/>
        <v>0</v>
      </c>
      <c r="AH296" s="412">
        <f>IF(AG296&gt;0,1+COUNTIF(AH$286:AH295,"&gt;0"),0)</f>
        <v>0</v>
      </c>
      <c r="AI296" s="412" t="str">
        <f t="shared" si="205"/>
        <v/>
      </c>
      <c r="AJ296" s="412" t="str">
        <f t="shared" si="188"/>
        <v/>
      </c>
      <c r="AK296" s="413">
        <f t="shared" si="189"/>
        <v>0</v>
      </c>
      <c r="AL296" s="411">
        <f t="shared" si="206"/>
        <v>0</v>
      </c>
      <c r="AM296" s="412">
        <f>IF(AL296&gt;0,1+COUNTIF(AM$286:AM295,"&gt;0"),0)</f>
        <v>0</v>
      </c>
      <c r="AN296" s="412" t="str">
        <f t="shared" si="207"/>
        <v/>
      </c>
      <c r="AO296" s="412" t="str">
        <f t="shared" si="190"/>
        <v/>
      </c>
      <c r="AP296" s="413">
        <f t="shared" si="191"/>
        <v>0</v>
      </c>
      <c r="AQ296" s="411">
        <f t="shared" si="208"/>
        <v>0</v>
      </c>
      <c r="AR296" s="412">
        <f>IF(AQ296&gt;0,1+COUNTIF(AR$286:AR295,"&gt;0"),0)</f>
        <v>0</v>
      </c>
      <c r="AS296" s="412" t="str">
        <f t="shared" si="209"/>
        <v/>
      </c>
      <c r="AT296" s="412" t="str">
        <f t="shared" si="192"/>
        <v/>
      </c>
      <c r="AU296" s="413">
        <f t="shared" si="193"/>
        <v>0</v>
      </c>
      <c r="AV296" s="411">
        <f t="shared" si="210"/>
        <v>0</v>
      </c>
      <c r="AW296" s="412">
        <f>IF(AV296&gt;0,1+COUNTIF(AW$286:AW295,"&gt;0"),0)</f>
        <v>0</v>
      </c>
      <c r="AX296" s="412" t="str">
        <f t="shared" si="211"/>
        <v/>
      </c>
      <c r="AY296" s="412" t="str">
        <f t="shared" si="194"/>
        <v/>
      </c>
      <c r="AZ296" s="413">
        <f t="shared" si="195"/>
        <v>0</v>
      </c>
      <c r="BA296" s="411">
        <f t="shared" si="212"/>
        <v>0</v>
      </c>
      <c r="BB296" s="412">
        <f>IF(BA296&gt;0,1+COUNTIF(BB$286:BB295,"&gt;0"),0)</f>
        <v>0</v>
      </c>
      <c r="BC296" s="412" t="str">
        <f t="shared" si="213"/>
        <v/>
      </c>
      <c r="BD296" s="412" t="str">
        <f t="shared" si="196"/>
        <v/>
      </c>
      <c r="BE296" s="413">
        <f t="shared" si="197"/>
        <v>0</v>
      </c>
      <c r="DZ296" s="138"/>
    </row>
    <row r="297" spans="1:130" ht="16.5" x14ac:dyDescent="0.3">
      <c r="A297" s="132">
        <f>IFERROR(IF(A296+1&lt;MAX(T041_ClassFeatures!$A$2:$A$2033),A296+1,""),"")</f>
        <v>294</v>
      </c>
      <c r="B297" s="131" t="str">
        <f>IFERROR(INDEX(T041_ClassFeatures!$B$2:$B$2033,MATCH('C03_ClassVariables'!A297,T041_ClassFeatures!$A$2:$A$2033,0),1),"")</f>
        <v>Draconic Resilence</v>
      </c>
      <c r="C297" s="131">
        <f>IF(B297="",0,IF(IFERROR(MATCH(B297,'C01_BaseCalculation'!$W$160:$W$239,0),0)&gt;0,1,0))</f>
        <v>0</v>
      </c>
      <c r="F297" s="150"/>
      <c r="G297" s="136"/>
      <c r="H297" s="136"/>
      <c r="I297" s="136"/>
      <c r="J297" s="136" t="str">
        <f>T03_Skills!V14</f>
        <v>Deep Speech</v>
      </c>
      <c r="K297" s="136">
        <f t="shared" si="179"/>
        <v>0</v>
      </c>
      <c r="L297" s="136">
        <f t="shared" si="180"/>
        <v>0</v>
      </c>
      <c r="M297" s="136">
        <f t="shared" si="181"/>
        <v>0</v>
      </c>
      <c r="N297" s="136"/>
      <c r="O297" s="136"/>
      <c r="P297" s="136"/>
      <c r="Q297" s="136"/>
      <c r="R297" s="411">
        <f t="shared" si="198"/>
        <v>1</v>
      </c>
      <c r="S297" s="412">
        <f>IF(R297&gt;0,1+COUNTIF(S$286:S296,"&gt;0"),0)</f>
        <v>11</v>
      </c>
      <c r="T297" s="412">
        <f t="shared" si="199"/>
        <v>12</v>
      </c>
      <c r="U297" s="412" t="str">
        <f t="shared" si="182"/>
        <v>Infernal</v>
      </c>
      <c r="V297" s="413">
        <f t="shared" si="183"/>
        <v>0</v>
      </c>
      <c r="W297" s="411">
        <f t="shared" si="200"/>
        <v>1</v>
      </c>
      <c r="X297" s="412">
        <f>IF(W297&gt;0,1+COUNTIF(X$286:X296,"&gt;0"),0)</f>
        <v>10</v>
      </c>
      <c r="Y297" s="412">
        <f t="shared" si="201"/>
        <v>12</v>
      </c>
      <c r="Z297" s="412" t="str">
        <f t="shared" si="184"/>
        <v>Primordial</v>
      </c>
      <c r="AA297" s="413">
        <f t="shared" si="185"/>
        <v>0</v>
      </c>
      <c r="AB297" s="411">
        <f t="shared" si="202"/>
        <v>1</v>
      </c>
      <c r="AC297" s="412">
        <f>IF(AB297&gt;0,1+COUNTIF(AC$286:AC296,"&gt;0"),0)</f>
        <v>9</v>
      </c>
      <c r="AD297" s="412">
        <f t="shared" si="203"/>
        <v>12</v>
      </c>
      <c r="AE297" s="412" t="str">
        <f t="shared" si="186"/>
        <v>Sylvan</v>
      </c>
      <c r="AF297" s="413">
        <f t="shared" si="187"/>
        <v>0</v>
      </c>
      <c r="AG297" s="411">
        <f t="shared" si="204"/>
        <v>1</v>
      </c>
      <c r="AH297" s="412">
        <f>IF(AG297&gt;0,1+COUNTIF(AH$286:AH296,"&gt;0"),0)</f>
        <v>8</v>
      </c>
      <c r="AI297" s="412" t="str">
        <f t="shared" si="205"/>
        <v/>
      </c>
      <c r="AJ297" s="412" t="str">
        <f t="shared" si="188"/>
        <v/>
      </c>
      <c r="AK297" s="413">
        <f t="shared" si="189"/>
        <v>0</v>
      </c>
      <c r="AL297" s="411">
        <f t="shared" si="206"/>
        <v>1</v>
      </c>
      <c r="AM297" s="412">
        <f>IF(AL297&gt;0,1+COUNTIF(AM$286:AM296,"&gt;0"),0)</f>
        <v>8</v>
      </c>
      <c r="AN297" s="412" t="str">
        <f t="shared" si="207"/>
        <v/>
      </c>
      <c r="AO297" s="412" t="str">
        <f t="shared" si="190"/>
        <v/>
      </c>
      <c r="AP297" s="413">
        <f t="shared" si="191"/>
        <v>0</v>
      </c>
      <c r="AQ297" s="411">
        <f t="shared" si="208"/>
        <v>1</v>
      </c>
      <c r="AR297" s="412">
        <f>IF(AQ297&gt;0,1+COUNTIF(AR$286:AR296,"&gt;0"),0)</f>
        <v>8</v>
      </c>
      <c r="AS297" s="412" t="str">
        <f t="shared" si="209"/>
        <v/>
      </c>
      <c r="AT297" s="412" t="str">
        <f t="shared" si="192"/>
        <v/>
      </c>
      <c r="AU297" s="413">
        <f t="shared" si="193"/>
        <v>0</v>
      </c>
      <c r="AV297" s="411">
        <f t="shared" si="210"/>
        <v>1</v>
      </c>
      <c r="AW297" s="412">
        <f>IF(AV297&gt;0,1+COUNTIF(AW$286:AW296,"&gt;0"),0)</f>
        <v>8</v>
      </c>
      <c r="AX297" s="412" t="str">
        <f t="shared" si="211"/>
        <v/>
      </c>
      <c r="AY297" s="412" t="str">
        <f t="shared" si="194"/>
        <v/>
      </c>
      <c r="AZ297" s="413">
        <f t="shared" si="195"/>
        <v>0</v>
      </c>
      <c r="BA297" s="411">
        <f t="shared" si="212"/>
        <v>1</v>
      </c>
      <c r="BB297" s="412">
        <f>IF(BA297&gt;0,1+COUNTIF(BB$286:BB296,"&gt;0"),0)</f>
        <v>8</v>
      </c>
      <c r="BC297" s="412" t="str">
        <f t="shared" si="213"/>
        <v/>
      </c>
      <c r="BD297" s="412" t="str">
        <f t="shared" si="196"/>
        <v/>
      </c>
      <c r="BE297" s="413">
        <f t="shared" si="197"/>
        <v>0</v>
      </c>
      <c r="DZ297" s="138"/>
    </row>
    <row r="298" spans="1:130" ht="16.5" x14ac:dyDescent="0.3">
      <c r="A298" s="132">
        <f>IFERROR(IF(A297+1&lt;MAX(T041_ClassFeatures!$A$2:$A$2033),A297+1,""),"")</f>
        <v>295</v>
      </c>
      <c r="B298" s="131" t="str">
        <f>IFERROR(INDEX(T041_ClassFeatures!$B$2:$B$2033,MATCH('C03_ClassVariables'!A298,T041_ClassFeatures!$A$2:$A$2033,0),1),"")</f>
        <v>Elemental Affinity</v>
      </c>
      <c r="C298" s="131">
        <f>IF(B298="",0,IF(IFERROR(MATCH(B298,'C01_BaseCalculation'!$W$160:$W$239,0),0)&gt;0,1,0))</f>
        <v>0</v>
      </c>
      <c r="F298" s="150"/>
      <c r="G298" s="136"/>
      <c r="H298" s="136"/>
      <c r="I298" s="136"/>
      <c r="J298" s="136" t="str">
        <f>T03_Skills!V15</f>
        <v>Infernal</v>
      </c>
      <c r="K298" s="136">
        <f t="shared" si="179"/>
        <v>0</v>
      </c>
      <c r="L298" s="136">
        <f t="shared" si="180"/>
        <v>0</v>
      </c>
      <c r="M298" s="136">
        <f t="shared" si="181"/>
        <v>0</v>
      </c>
      <c r="N298" s="136"/>
      <c r="O298" s="136"/>
      <c r="P298" s="136"/>
      <c r="Q298" s="136"/>
      <c r="R298" s="411">
        <f t="shared" si="198"/>
        <v>1</v>
      </c>
      <c r="S298" s="412">
        <f>IF(R298&gt;0,1+COUNTIF(S$286:S297,"&gt;0"),0)</f>
        <v>12</v>
      </c>
      <c r="T298" s="412">
        <f t="shared" si="199"/>
        <v>13</v>
      </c>
      <c r="U298" s="412" t="str">
        <f t="shared" si="182"/>
        <v>Primordial</v>
      </c>
      <c r="V298" s="413">
        <f t="shared" si="183"/>
        <v>0</v>
      </c>
      <c r="W298" s="411">
        <f t="shared" si="200"/>
        <v>1</v>
      </c>
      <c r="X298" s="412">
        <f>IF(W298&gt;0,1+COUNTIF(X$286:X297,"&gt;0"),0)</f>
        <v>11</v>
      </c>
      <c r="Y298" s="412">
        <f t="shared" si="201"/>
        <v>13</v>
      </c>
      <c r="Z298" s="412" t="str">
        <f t="shared" si="184"/>
        <v>Sylvan</v>
      </c>
      <c r="AA298" s="413">
        <f t="shared" si="185"/>
        <v>0</v>
      </c>
      <c r="AB298" s="411">
        <f t="shared" si="202"/>
        <v>1</v>
      </c>
      <c r="AC298" s="412">
        <f>IF(AB298&gt;0,1+COUNTIF(AC$286:AC297,"&gt;0"),0)</f>
        <v>10</v>
      </c>
      <c r="AD298" s="412">
        <f t="shared" si="203"/>
        <v>13</v>
      </c>
      <c r="AE298" s="412" t="str">
        <f t="shared" si="186"/>
        <v>Undercommon</v>
      </c>
      <c r="AF298" s="413">
        <f t="shared" si="187"/>
        <v>0</v>
      </c>
      <c r="AG298" s="411">
        <f t="shared" si="204"/>
        <v>1</v>
      </c>
      <c r="AH298" s="412">
        <f>IF(AG298&gt;0,1+COUNTIF(AH$286:AH297,"&gt;0"),0)</f>
        <v>9</v>
      </c>
      <c r="AI298" s="412" t="str">
        <f t="shared" si="205"/>
        <v/>
      </c>
      <c r="AJ298" s="412" t="str">
        <f t="shared" si="188"/>
        <v/>
      </c>
      <c r="AK298" s="413">
        <f t="shared" si="189"/>
        <v>0</v>
      </c>
      <c r="AL298" s="411">
        <f t="shared" si="206"/>
        <v>1</v>
      </c>
      <c r="AM298" s="412">
        <f>IF(AL298&gt;0,1+COUNTIF(AM$286:AM297,"&gt;0"),0)</f>
        <v>9</v>
      </c>
      <c r="AN298" s="412" t="str">
        <f t="shared" si="207"/>
        <v/>
      </c>
      <c r="AO298" s="412" t="str">
        <f t="shared" si="190"/>
        <v/>
      </c>
      <c r="AP298" s="413">
        <f t="shared" si="191"/>
        <v>0</v>
      </c>
      <c r="AQ298" s="411">
        <f t="shared" si="208"/>
        <v>1</v>
      </c>
      <c r="AR298" s="412">
        <f>IF(AQ298&gt;0,1+COUNTIF(AR$286:AR297,"&gt;0"),0)</f>
        <v>9</v>
      </c>
      <c r="AS298" s="412" t="str">
        <f t="shared" si="209"/>
        <v/>
      </c>
      <c r="AT298" s="412" t="str">
        <f t="shared" si="192"/>
        <v/>
      </c>
      <c r="AU298" s="413">
        <f t="shared" si="193"/>
        <v>0</v>
      </c>
      <c r="AV298" s="411">
        <f t="shared" si="210"/>
        <v>1</v>
      </c>
      <c r="AW298" s="412">
        <f>IF(AV298&gt;0,1+COUNTIF(AW$286:AW297,"&gt;0"),0)</f>
        <v>9</v>
      </c>
      <c r="AX298" s="412" t="str">
        <f t="shared" si="211"/>
        <v/>
      </c>
      <c r="AY298" s="412" t="str">
        <f t="shared" si="194"/>
        <v/>
      </c>
      <c r="AZ298" s="413">
        <f t="shared" si="195"/>
        <v>0</v>
      </c>
      <c r="BA298" s="411">
        <f t="shared" si="212"/>
        <v>1</v>
      </c>
      <c r="BB298" s="412">
        <f>IF(BA298&gt;0,1+COUNTIF(BB$286:BB297,"&gt;0"),0)</f>
        <v>9</v>
      </c>
      <c r="BC298" s="412" t="str">
        <f t="shared" si="213"/>
        <v/>
      </c>
      <c r="BD298" s="412" t="str">
        <f t="shared" si="196"/>
        <v/>
      </c>
      <c r="BE298" s="413">
        <f t="shared" si="197"/>
        <v>0</v>
      </c>
      <c r="DZ298" s="138"/>
    </row>
    <row r="299" spans="1:130" ht="16.5" x14ac:dyDescent="0.3">
      <c r="A299" s="132">
        <f>IFERROR(IF(A298+1&lt;MAX(T041_ClassFeatures!$A$2:$A$2033),A298+1,""),"")</f>
        <v>296</v>
      </c>
      <c r="B299" s="131" t="str">
        <f>IFERROR(INDEX(T041_ClassFeatures!$B$2:$B$2033,MATCH('C03_ClassVariables'!A299,T041_ClassFeatures!$A$2:$A$2033,0),1),"")</f>
        <v>Dragon Wings</v>
      </c>
      <c r="C299" s="131">
        <f>IF(B299="",0,IF(IFERROR(MATCH(B299,'C01_BaseCalculation'!$W$160:$W$239,0),0)&gt;0,1,0))</f>
        <v>0</v>
      </c>
      <c r="F299" s="150"/>
      <c r="G299" s="136"/>
      <c r="H299" s="136"/>
      <c r="I299" s="136"/>
      <c r="J299" s="136" t="str">
        <f>T03_Skills!V16</f>
        <v>Primordial</v>
      </c>
      <c r="K299" s="136">
        <f t="shared" si="179"/>
        <v>0</v>
      </c>
      <c r="L299" s="136">
        <f t="shared" si="180"/>
        <v>0</v>
      </c>
      <c r="M299" s="136">
        <f t="shared" si="181"/>
        <v>0</v>
      </c>
      <c r="N299" s="136"/>
      <c r="O299" s="136"/>
      <c r="P299" s="136"/>
      <c r="Q299" s="136"/>
      <c r="R299" s="411">
        <f t="shared" si="198"/>
        <v>1</v>
      </c>
      <c r="S299" s="412">
        <f>IF(R299&gt;0,1+COUNTIF(S$286:S298,"&gt;0"),0)</f>
        <v>13</v>
      </c>
      <c r="T299" s="412">
        <f t="shared" si="199"/>
        <v>14</v>
      </c>
      <c r="U299" s="412" t="str">
        <f t="shared" si="182"/>
        <v>Sylvan</v>
      </c>
      <c r="V299" s="413">
        <f t="shared" si="183"/>
        <v>0</v>
      </c>
      <c r="W299" s="411">
        <f t="shared" si="200"/>
        <v>1</v>
      </c>
      <c r="X299" s="412">
        <f>IF(W299&gt;0,1+COUNTIF(X$286:X298,"&gt;0"),0)</f>
        <v>12</v>
      </c>
      <c r="Y299" s="412">
        <f t="shared" si="201"/>
        <v>14</v>
      </c>
      <c r="Z299" s="412" t="str">
        <f t="shared" si="184"/>
        <v>Undercommon</v>
      </c>
      <c r="AA299" s="413">
        <f t="shared" si="185"/>
        <v>0</v>
      </c>
      <c r="AB299" s="411">
        <f t="shared" si="202"/>
        <v>1</v>
      </c>
      <c r="AC299" s="412">
        <f>IF(AB299&gt;0,1+COUNTIF(AC$286:AC298,"&gt;0"),0)</f>
        <v>11</v>
      </c>
      <c r="AD299" s="412">
        <f t="shared" si="203"/>
        <v>14</v>
      </c>
      <c r="AE299" s="412" t="str">
        <f t="shared" si="186"/>
        <v>Giant</v>
      </c>
      <c r="AF299" s="413">
        <f t="shared" si="187"/>
        <v>0</v>
      </c>
      <c r="AG299" s="411">
        <f t="shared" si="204"/>
        <v>1</v>
      </c>
      <c r="AH299" s="412">
        <f>IF(AG299&gt;0,1+COUNTIF(AH$286:AH298,"&gt;0"),0)</f>
        <v>10</v>
      </c>
      <c r="AI299" s="412" t="str">
        <f t="shared" si="205"/>
        <v/>
      </c>
      <c r="AJ299" s="412" t="str">
        <f t="shared" si="188"/>
        <v/>
      </c>
      <c r="AK299" s="413">
        <f t="shared" si="189"/>
        <v>0</v>
      </c>
      <c r="AL299" s="411">
        <f t="shared" si="206"/>
        <v>1</v>
      </c>
      <c r="AM299" s="412">
        <f>IF(AL299&gt;0,1+COUNTIF(AM$286:AM298,"&gt;0"),0)</f>
        <v>10</v>
      </c>
      <c r="AN299" s="412" t="str">
        <f t="shared" si="207"/>
        <v/>
      </c>
      <c r="AO299" s="412" t="str">
        <f t="shared" si="190"/>
        <v/>
      </c>
      <c r="AP299" s="413">
        <f t="shared" si="191"/>
        <v>0</v>
      </c>
      <c r="AQ299" s="411">
        <f t="shared" si="208"/>
        <v>1</v>
      </c>
      <c r="AR299" s="412">
        <f>IF(AQ299&gt;0,1+COUNTIF(AR$286:AR298,"&gt;0"),0)</f>
        <v>10</v>
      </c>
      <c r="AS299" s="412" t="str">
        <f t="shared" si="209"/>
        <v/>
      </c>
      <c r="AT299" s="412" t="str">
        <f t="shared" si="192"/>
        <v/>
      </c>
      <c r="AU299" s="413">
        <f t="shared" si="193"/>
        <v>0</v>
      </c>
      <c r="AV299" s="411">
        <f t="shared" si="210"/>
        <v>1</v>
      </c>
      <c r="AW299" s="412">
        <f>IF(AV299&gt;0,1+COUNTIF(AW$286:AW298,"&gt;0"),0)</f>
        <v>10</v>
      </c>
      <c r="AX299" s="412" t="str">
        <f t="shared" si="211"/>
        <v/>
      </c>
      <c r="AY299" s="412" t="str">
        <f t="shared" si="194"/>
        <v/>
      </c>
      <c r="AZ299" s="413">
        <f t="shared" si="195"/>
        <v>0</v>
      </c>
      <c r="BA299" s="411">
        <f t="shared" si="212"/>
        <v>1</v>
      </c>
      <c r="BB299" s="412">
        <f>IF(BA299&gt;0,1+COUNTIF(BB$286:BB298,"&gt;0"),0)</f>
        <v>10</v>
      </c>
      <c r="BC299" s="412" t="str">
        <f t="shared" si="213"/>
        <v/>
      </c>
      <c r="BD299" s="412" t="str">
        <f t="shared" si="196"/>
        <v/>
      </c>
      <c r="BE299" s="413">
        <f t="shared" si="197"/>
        <v>0</v>
      </c>
      <c r="DZ299" s="138"/>
    </row>
    <row r="300" spans="1:130" ht="16.5" x14ac:dyDescent="0.3">
      <c r="A300" s="132">
        <f>IFERROR(IF(A299+1&lt;MAX(T041_ClassFeatures!$A$2:$A$2033),A299+1,""),"")</f>
        <v>297</v>
      </c>
      <c r="B300" s="131" t="str">
        <f>IFERROR(INDEX(T041_ClassFeatures!$B$2:$B$2033,MATCH('C03_ClassVariables'!A300,T041_ClassFeatures!$A$2:$A$2033,0),1),"")</f>
        <v>Draconic Presence</v>
      </c>
      <c r="C300" s="131">
        <f>IF(B300="",0,IF(IFERROR(MATCH(B300,'C01_BaseCalculation'!$W$160:$W$239,0),0)&gt;0,1,0))</f>
        <v>0</v>
      </c>
      <c r="F300" s="150"/>
      <c r="G300" s="136"/>
      <c r="H300" s="136"/>
      <c r="I300" s="136"/>
      <c r="J300" s="136" t="str">
        <f>T03_Skills!V17</f>
        <v>Sylvan</v>
      </c>
      <c r="K300" s="136">
        <f t="shared" si="179"/>
        <v>0</v>
      </c>
      <c r="L300" s="136">
        <f t="shared" si="180"/>
        <v>0</v>
      </c>
      <c r="M300" s="136">
        <f t="shared" si="181"/>
        <v>0</v>
      </c>
      <c r="N300" s="136"/>
      <c r="O300" s="136"/>
      <c r="P300" s="136"/>
      <c r="Q300" s="136"/>
      <c r="R300" s="411">
        <f t="shared" si="198"/>
        <v>1</v>
      </c>
      <c r="S300" s="412">
        <f>IF(R300&gt;0,1+COUNTIF(S$286:S299,"&gt;0"),0)</f>
        <v>14</v>
      </c>
      <c r="T300" s="412">
        <f t="shared" si="199"/>
        <v>15</v>
      </c>
      <c r="U300" s="412" t="str">
        <f t="shared" si="182"/>
        <v>Undercommon</v>
      </c>
      <c r="V300" s="413">
        <f t="shared" si="183"/>
        <v>0</v>
      </c>
      <c r="W300" s="411">
        <f t="shared" si="200"/>
        <v>1</v>
      </c>
      <c r="X300" s="412">
        <f>IF(W300&gt;0,1+COUNTIF(X$286:X299,"&gt;0"),0)</f>
        <v>13</v>
      </c>
      <c r="Y300" s="412">
        <f t="shared" si="201"/>
        <v>15</v>
      </c>
      <c r="Z300" s="412" t="str">
        <f t="shared" si="184"/>
        <v>Giant</v>
      </c>
      <c r="AA300" s="413">
        <f t="shared" si="185"/>
        <v>0</v>
      </c>
      <c r="AB300" s="411">
        <f t="shared" si="202"/>
        <v>1</v>
      </c>
      <c r="AC300" s="412">
        <f>IF(AB300&gt;0,1+COUNTIF(AC$286:AC299,"&gt;0"),0)</f>
        <v>12</v>
      </c>
      <c r="AD300" s="412">
        <f t="shared" si="203"/>
        <v>15</v>
      </c>
      <c r="AE300" s="412">
        <f t="shared" si="186"/>
        <v>0</v>
      </c>
      <c r="AF300" s="413">
        <f t="shared" si="187"/>
        <v>0</v>
      </c>
      <c r="AG300" s="411">
        <f t="shared" si="204"/>
        <v>1</v>
      </c>
      <c r="AH300" s="412">
        <f>IF(AG300&gt;0,1+COUNTIF(AH$286:AH299,"&gt;0"),0)</f>
        <v>11</v>
      </c>
      <c r="AI300" s="412" t="str">
        <f t="shared" si="205"/>
        <v/>
      </c>
      <c r="AJ300" s="412" t="str">
        <f t="shared" si="188"/>
        <v/>
      </c>
      <c r="AK300" s="413">
        <f t="shared" si="189"/>
        <v>0</v>
      </c>
      <c r="AL300" s="411">
        <f t="shared" si="206"/>
        <v>1</v>
      </c>
      <c r="AM300" s="412">
        <f>IF(AL300&gt;0,1+COUNTIF(AM$286:AM299,"&gt;0"),0)</f>
        <v>11</v>
      </c>
      <c r="AN300" s="412" t="str">
        <f t="shared" si="207"/>
        <v/>
      </c>
      <c r="AO300" s="412" t="str">
        <f t="shared" si="190"/>
        <v/>
      </c>
      <c r="AP300" s="413">
        <f t="shared" si="191"/>
        <v>0</v>
      </c>
      <c r="AQ300" s="411">
        <f t="shared" si="208"/>
        <v>1</v>
      </c>
      <c r="AR300" s="412">
        <f>IF(AQ300&gt;0,1+COUNTIF(AR$286:AR299,"&gt;0"),0)</f>
        <v>11</v>
      </c>
      <c r="AS300" s="412" t="str">
        <f t="shared" si="209"/>
        <v/>
      </c>
      <c r="AT300" s="412" t="str">
        <f t="shared" si="192"/>
        <v/>
      </c>
      <c r="AU300" s="413">
        <f t="shared" si="193"/>
        <v>0</v>
      </c>
      <c r="AV300" s="411">
        <f t="shared" si="210"/>
        <v>1</v>
      </c>
      <c r="AW300" s="412">
        <f>IF(AV300&gt;0,1+COUNTIF(AW$286:AW299,"&gt;0"),0)</f>
        <v>11</v>
      </c>
      <c r="AX300" s="412" t="str">
        <f t="shared" si="211"/>
        <v/>
      </c>
      <c r="AY300" s="412" t="str">
        <f t="shared" si="194"/>
        <v/>
      </c>
      <c r="AZ300" s="413">
        <f t="shared" si="195"/>
        <v>0</v>
      </c>
      <c r="BA300" s="411">
        <f t="shared" si="212"/>
        <v>1</v>
      </c>
      <c r="BB300" s="412">
        <f>IF(BA300&gt;0,1+COUNTIF(BB$286:BB299,"&gt;0"),0)</f>
        <v>11</v>
      </c>
      <c r="BC300" s="412" t="str">
        <f t="shared" si="213"/>
        <v/>
      </c>
      <c r="BD300" s="412" t="str">
        <f t="shared" si="196"/>
        <v/>
      </c>
      <c r="BE300" s="413">
        <f t="shared" si="197"/>
        <v>0</v>
      </c>
      <c r="DZ300" s="138"/>
    </row>
    <row r="301" spans="1:130" ht="16.5" x14ac:dyDescent="0.3">
      <c r="A301" s="132">
        <f>IFERROR(IF(A300+1&lt;MAX(T041_ClassFeatures!$A$2:$A$2033),A300+1,""),"")</f>
        <v>298</v>
      </c>
      <c r="B301" s="131" t="str">
        <f>IFERROR(INDEX(T041_ClassFeatures!$B$2:$B$2033,MATCH('C03_ClassVariables'!A301,T041_ClassFeatures!$A$2:$A$2033,0),1),"")</f>
        <v>Wild Magic Surge</v>
      </c>
      <c r="C301" s="131">
        <f>IF(B301="",0,IF(IFERROR(MATCH(B301,'C01_BaseCalculation'!$W$160:$W$239,0),0)&gt;0,1,0))</f>
        <v>0</v>
      </c>
      <c r="F301" s="150"/>
      <c r="G301" s="136"/>
      <c r="H301" s="136"/>
      <c r="I301" s="136"/>
      <c r="J301" s="136" t="str">
        <f>T03_Skills!V18</f>
        <v>Undercommon</v>
      </c>
      <c r="K301" s="136">
        <f t="shared" si="179"/>
        <v>0</v>
      </c>
      <c r="L301" s="136">
        <f t="shared" si="180"/>
        <v>0</v>
      </c>
      <c r="M301" s="136">
        <f t="shared" si="181"/>
        <v>0</v>
      </c>
      <c r="N301" s="136"/>
      <c r="O301" s="136"/>
      <c r="P301" s="136"/>
      <c r="Q301" s="136"/>
      <c r="R301" s="411">
        <f t="shared" si="198"/>
        <v>1</v>
      </c>
      <c r="S301" s="412">
        <f>IF(R301&gt;0,1+COUNTIF(S$286:S300,"&gt;0"),0)</f>
        <v>15</v>
      </c>
      <c r="T301" s="412">
        <f t="shared" si="199"/>
        <v>16</v>
      </c>
      <c r="U301" s="412" t="str">
        <f t="shared" si="182"/>
        <v>Giant</v>
      </c>
      <c r="V301" s="413">
        <f t="shared" si="183"/>
        <v>0</v>
      </c>
      <c r="W301" s="411">
        <f t="shared" si="200"/>
        <v>1</v>
      </c>
      <c r="X301" s="412">
        <f>IF(W301&gt;0,1+COUNTIF(X$286:X300,"&gt;0"),0)</f>
        <v>14</v>
      </c>
      <c r="Y301" s="412">
        <f t="shared" si="201"/>
        <v>16</v>
      </c>
      <c r="Z301" s="412">
        <f t="shared" si="184"/>
        <v>0</v>
      </c>
      <c r="AA301" s="413">
        <f t="shared" si="185"/>
        <v>0</v>
      </c>
      <c r="AB301" s="411">
        <f t="shared" si="202"/>
        <v>1</v>
      </c>
      <c r="AC301" s="412">
        <f>IF(AB301&gt;0,1+COUNTIF(AC$286:AC300,"&gt;0"),0)</f>
        <v>13</v>
      </c>
      <c r="AD301" s="412">
        <f t="shared" si="203"/>
        <v>16</v>
      </c>
      <c r="AE301" s="412">
        <f t="shared" si="186"/>
        <v>0</v>
      </c>
      <c r="AF301" s="413">
        <f t="shared" si="187"/>
        <v>0</v>
      </c>
      <c r="AG301" s="411">
        <f t="shared" si="204"/>
        <v>1</v>
      </c>
      <c r="AH301" s="412">
        <f>IF(AG301&gt;0,1+COUNTIF(AH$286:AH300,"&gt;0"),0)</f>
        <v>12</v>
      </c>
      <c r="AI301" s="412" t="str">
        <f t="shared" si="205"/>
        <v/>
      </c>
      <c r="AJ301" s="412" t="str">
        <f t="shared" si="188"/>
        <v/>
      </c>
      <c r="AK301" s="413">
        <f t="shared" si="189"/>
        <v>0</v>
      </c>
      <c r="AL301" s="411">
        <f t="shared" si="206"/>
        <v>1</v>
      </c>
      <c r="AM301" s="412">
        <f>IF(AL301&gt;0,1+COUNTIF(AM$286:AM300,"&gt;0"),0)</f>
        <v>12</v>
      </c>
      <c r="AN301" s="412" t="str">
        <f t="shared" si="207"/>
        <v/>
      </c>
      <c r="AO301" s="412" t="str">
        <f t="shared" si="190"/>
        <v/>
      </c>
      <c r="AP301" s="413">
        <f t="shared" si="191"/>
        <v>0</v>
      </c>
      <c r="AQ301" s="411">
        <f t="shared" si="208"/>
        <v>1</v>
      </c>
      <c r="AR301" s="412">
        <f>IF(AQ301&gt;0,1+COUNTIF(AR$286:AR300,"&gt;0"),0)</f>
        <v>12</v>
      </c>
      <c r="AS301" s="412" t="str">
        <f t="shared" si="209"/>
        <v/>
      </c>
      <c r="AT301" s="412" t="str">
        <f t="shared" si="192"/>
        <v/>
      </c>
      <c r="AU301" s="413">
        <f t="shared" si="193"/>
        <v>0</v>
      </c>
      <c r="AV301" s="411">
        <f t="shared" si="210"/>
        <v>1</v>
      </c>
      <c r="AW301" s="412">
        <f>IF(AV301&gt;0,1+COUNTIF(AW$286:AW300,"&gt;0"),0)</f>
        <v>12</v>
      </c>
      <c r="AX301" s="412" t="str">
        <f t="shared" si="211"/>
        <v/>
      </c>
      <c r="AY301" s="412" t="str">
        <f t="shared" si="194"/>
        <v/>
      </c>
      <c r="AZ301" s="413">
        <f t="shared" si="195"/>
        <v>0</v>
      </c>
      <c r="BA301" s="411">
        <f t="shared" si="212"/>
        <v>1</v>
      </c>
      <c r="BB301" s="412">
        <f>IF(BA301&gt;0,1+COUNTIF(BB$286:BB300,"&gt;0"),0)</f>
        <v>12</v>
      </c>
      <c r="BC301" s="412" t="str">
        <f t="shared" si="213"/>
        <v/>
      </c>
      <c r="BD301" s="412" t="str">
        <f t="shared" si="196"/>
        <v/>
      </c>
      <c r="BE301" s="413">
        <f t="shared" si="197"/>
        <v>0</v>
      </c>
      <c r="DZ301" s="138"/>
    </row>
    <row r="302" spans="1:130" ht="16.5" x14ac:dyDescent="0.3">
      <c r="A302" s="132">
        <f>IFERROR(IF(A301+1&lt;MAX(T041_ClassFeatures!$A$2:$A$2033),A301+1,""),"")</f>
        <v>299</v>
      </c>
      <c r="B302" s="131" t="str">
        <f>IFERROR(INDEX(T041_ClassFeatures!$B$2:$B$2033,MATCH('C03_ClassVariables'!A302,T041_ClassFeatures!$A$2:$A$2033,0),1),"")</f>
        <v>Tides of Chaos</v>
      </c>
      <c r="C302" s="131">
        <f>IF(B302="",0,IF(IFERROR(MATCH(B302,'C01_BaseCalculation'!$W$160:$W$239,0),0)&gt;0,1,0))</f>
        <v>0</v>
      </c>
      <c r="F302" s="150"/>
      <c r="G302" s="136"/>
      <c r="H302" s="136"/>
      <c r="I302" s="136"/>
      <c r="J302" s="136" t="str">
        <f>T03_Skills!V19</f>
        <v>Giant</v>
      </c>
      <c r="K302" s="136">
        <f t="shared" si="179"/>
        <v>0</v>
      </c>
      <c r="L302" s="136">
        <f t="shared" si="180"/>
        <v>0</v>
      </c>
      <c r="M302" s="136">
        <f t="shared" si="181"/>
        <v>0</v>
      </c>
      <c r="N302" s="136"/>
      <c r="O302" s="136"/>
      <c r="P302" s="136"/>
      <c r="Q302" s="136"/>
      <c r="R302" s="411">
        <f t="shared" si="198"/>
        <v>1</v>
      </c>
      <c r="S302" s="412">
        <f>IF(R302&gt;0,1+COUNTIF(S$286:S301,"&gt;0"),0)</f>
        <v>16</v>
      </c>
      <c r="T302" s="412">
        <f t="shared" si="199"/>
        <v>17</v>
      </c>
      <c r="U302" s="412">
        <f t="shared" si="182"/>
        <v>0</v>
      </c>
      <c r="V302" s="413">
        <f t="shared" si="183"/>
        <v>0</v>
      </c>
      <c r="W302" s="411">
        <f t="shared" si="200"/>
        <v>1</v>
      </c>
      <c r="X302" s="412">
        <f>IF(W302&gt;0,1+COUNTIF(X$286:X301,"&gt;0"),0)</f>
        <v>15</v>
      </c>
      <c r="Y302" s="412">
        <f t="shared" si="201"/>
        <v>17</v>
      </c>
      <c r="Z302" s="412">
        <f t="shared" si="184"/>
        <v>0</v>
      </c>
      <c r="AA302" s="413">
        <f t="shared" si="185"/>
        <v>0</v>
      </c>
      <c r="AB302" s="411">
        <f t="shared" si="202"/>
        <v>1</v>
      </c>
      <c r="AC302" s="412">
        <f>IF(AB302&gt;0,1+COUNTIF(AC$286:AC301,"&gt;0"),0)</f>
        <v>14</v>
      </c>
      <c r="AD302" s="412">
        <f t="shared" si="203"/>
        <v>17</v>
      </c>
      <c r="AE302" s="412">
        <f t="shared" si="186"/>
        <v>0</v>
      </c>
      <c r="AF302" s="413">
        <f t="shared" si="187"/>
        <v>0</v>
      </c>
      <c r="AG302" s="411">
        <f t="shared" si="204"/>
        <v>1</v>
      </c>
      <c r="AH302" s="412">
        <f>IF(AG302&gt;0,1+COUNTIF(AH$286:AH301,"&gt;0"),0)</f>
        <v>13</v>
      </c>
      <c r="AI302" s="412" t="str">
        <f t="shared" si="205"/>
        <v/>
      </c>
      <c r="AJ302" s="412" t="str">
        <f t="shared" si="188"/>
        <v/>
      </c>
      <c r="AK302" s="413">
        <f t="shared" si="189"/>
        <v>0</v>
      </c>
      <c r="AL302" s="411">
        <f t="shared" si="206"/>
        <v>1</v>
      </c>
      <c r="AM302" s="412">
        <f>IF(AL302&gt;0,1+COUNTIF(AM$286:AM301,"&gt;0"),0)</f>
        <v>13</v>
      </c>
      <c r="AN302" s="412" t="str">
        <f t="shared" si="207"/>
        <v/>
      </c>
      <c r="AO302" s="412" t="str">
        <f t="shared" si="190"/>
        <v/>
      </c>
      <c r="AP302" s="413">
        <f t="shared" si="191"/>
        <v>0</v>
      </c>
      <c r="AQ302" s="411">
        <f t="shared" si="208"/>
        <v>1</v>
      </c>
      <c r="AR302" s="412">
        <f>IF(AQ302&gt;0,1+COUNTIF(AR$286:AR301,"&gt;0"),0)</f>
        <v>13</v>
      </c>
      <c r="AS302" s="412" t="str">
        <f t="shared" si="209"/>
        <v/>
      </c>
      <c r="AT302" s="412" t="str">
        <f t="shared" si="192"/>
        <v/>
      </c>
      <c r="AU302" s="413">
        <f t="shared" si="193"/>
        <v>0</v>
      </c>
      <c r="AV302" s="411">
        <f t="shared" si="210"/>
        <v>1</v>
      </c>
      <c r="AW302" s="412">
        <f>IF(AV302&gt;0,1+COUNTIF(AW$286:AW301,"&gt;0"),0)</f>
        <v>13</v>
      </c>
      <c r="AX302" s="412" t="str">
        <f t="shared" si="211"/>
        <v/>
      </c>
      <c r="AY302" s="412" t="str">
        <f t="shared" si="194"/>
        <v/>
      </c>
      <c r="AZ302" s="413">
        <f t="shared" si="195"/>
        <v>0</v>
      </c>
      <c r="BA302" s="411">
        <f t="shared" si="212"/>
        <v>1</v>
      </c>
      <c r="BB302" s="412">
        <f>IF(BA302&gt;0,1+COUNTIF(BB$286:BB301,"&gt;0"),0)</f>
        <v>13</v>
      </c>
      <c r="BC302" s="412" t="str">
        <f t="shared" si="213"/>
        <v/>
      </c>
      <c r="BD302" s="412" t="str">
        <f t="shared" si="196"/>
        <v/>
      </c>
      <c r="BE302" s="413">
        <f t="shared" si="197"/>
        <v>0</v>
      </c>
      <c r="DZ302" s="138"/>
    </row>
    <row r="303" spans="1:130" ht="16.5" x14ac:dyDescent="0.3">
      <c r="A303" s="132">
        <f>IFERROR(IF(A302+1&lt;MAX(T041_ClassFeatures!$A$2:$A$2033),A302+1,""),"")</f>
        <v>300</v>
      </c>
      <c r="B303" s="131" t="str">
        <f>IFERROR(INDEX(T041_ClassFeatures!$B$2:$B$2033,MATCH('C03_ClassVariables'!A303,T041_ClassFeatures!$A$2:$A$2033,0),1),"")</f>
        <v>Bend Luck</v>
      </c>
      <c r="C303" s="131">
        <f>IF(B303="",0,IF(IFERROR(MATCH(B303,'C01_BaseCalculation'!$W$160:$W$239,0),0)&gt;0,1,0))</f>
        <v>0</v>
      </c>
      <c r="F303" s="150"/>
      <c r="G303" s="136"/>
      <c r="H303" s="136"/>
      <c r="I303" s="136"/>
      <c r="J303" s="136" t="str">
        <f>T03_Skills!V20</f>
        <v>Druidic</v>
      </c>
      <c r="K303" s="136">
        <f t="shared" si="179"/>
        <v>0</v>
      </c>
      <c r="L303" s="136">
        <f t="shared" si="180"/>
        <v>0</v>
      </c>
      <c r="M303" s="136">
        <f t="shared" si="181"/>
        <v>0</v>
      </c>
      <c r="N303" s="136"/>
      <c r="O303" s="136"/>
      <c r="P303" s="136"/>
      <c r="Q303" s="136"/>
      <c r="R303" s="418">
        <v>0</v>
      </c>
      <c r="S303" s="412">
        <f>IF(R303&gt;0,1+COUNTIF(S$286:S302,"&gt;0"),0)</f>
        <v>0</v>
      </c>
      <c r="T303" s="412">
        <f t="shared" si="199"/>
        <v>18</v>
      </c>
      <c r="U303" s="412">
        <f t="shared" si="182"/>
        <v>0</v>
      </c>
      <c r="V303" s="413">
        <f t="shared" si="183"/>
        <v>0</v>
      </c>
      <c r="W303" s="411">
        <f t="shared" si="200"/>
        <v>0</v>
      </c>
      <c r="X303" s="412">
        <f>IF(W303&gt;0,1+COUNTIF(X$286:X302,"&gt;0"),0)</f>
        <v>0</v>
      </c>
      <c r="Y303" s="412">
        <f t="shared" si="201"/>
        <v>18</v>
      </c>
      <c r="Z303" s="412">
        <f t="shared" si="184"/>
        <v>0</v>
      </c>
      <c r="AA303" s="413">
        <f t="shared" si="185"/>
        <v>0</v>
      </c>
      <c r="AB303" s="411">
        <f t="shared" si="202"/>
        <v>0</v>
      </c>
      <c r="AC303" s="412">
        <f>IF(AB303&gt;0,1+COUNTIF(AC$286:AC302,"&gt;0"),0)</f>
        <v>0</v>
      </c>
      <c r="AD303" s="412">
        <f t="shared" si="203"/>
        <v>18</v>
      </c>
      <c r="AE303" s="412">
        <f t="shared" si="186"/>
        <v>0</v>
      </c>
      <c r="AF303" s="413">
        <f t="shared" si="187"/>
        <v>0</v>
      </c>
      <c r="AG303" s="411">
        <f t="shared" si="204"/>
        <v>0</v>
      </c>
      <c r="AH303" s="412">
        <f>IF(AG303&gt;0,1+COUNTIF(AH$286:AH302,"&gt;0"),0)</f>
        <v>0</v>
      </c>
      <c r="AI303" s="412" t="str">
        <f t="shared" si="205"/>
        <v/>
      </c>
      <c r="AJ303" s="412" t="str">
        <f t="shared" si="188"/>
        <v/>
      </c>
      <c r="AK303" s="413">
        <f t="shared" si="189"/>
        <v>0</v>
      </c>
      <c r="AL303" s="411">
        <f t="shared" si="206"/>
        <v>0</v>
      </c>
      <c r="AM303" s="412">
        <f>IF(AL303&gt;0,1+COUNTIF(AM$286:AM302,"&gt;0"),0)</f>
        <v>0</v>
      </c>
      <c r="AN303" s="412" t="str">
        <f t="shared" si="207"/>
        <v/>
      </c>
      <c r="AO303" s="412" t="str">
        <f t="shared" si="190"/>
        <v/>
      </c>
      <c r="AP303" s="413">
        <f t="shared" si="191"/>
        <v>0</v>
      </c>
      <c r="AQ303" s="411">
        <f t="shared" si="208"/>
        <v>0</v>
      </c>
      <c r="AR303" s="412">
        <f>IF(AQ303&gt;0,1+COUNTIF(AR$286:AR302,"&gt;0"),0)</f>
        <v>0</v>
      </c>
      <c r="AS303" s="412" t="str">
        <f t="shared" si="209"/>
        <v/>
      </c>
      <c r="AT303" s="412" t="str">
        <f t="shared" si="192"/>
        <v/>
      </c>
      <c r="AU303" s="413">
        <f t="shared" si="193"/>
        <v>0</v>
      </c>
      <c r="AV303" s="411">
        <f t="shared" si="210"/>
        <v>0</v>
      </c>
      <c r="AW303" s="412">
        <f>IF(AV303&gt;0,1+COUNTIF(AW$286:AW302,"&gt;0"),0)</f>
        <v>0</v>
      </c>
      <c r="AX303" s="412" t="str">
        <f t="shared" si="211"/>
        <v/>
      </c>
      <c r="AY303" s="412" t="str">
        <f t="shared" si="194"/>
        <v/>
      </c>
      <c r="AZ303" s="413">
        <f t="shared" si="195"/>
        <v>0</v>
      </c>
      <c r="BA303" s="411">
        <f t="shared" si="212"/>
        <v>0</v>
      </c>
      <c r="BB303" s="412">
        <f>IF(BA303&gt;0,1+COUNTIF(BB$286:BB302,"&gt;0"),0)</f>
        <v>0</v>
      </c>
      <c r="BC303" s="412" t="str">
        <f t="shared" si="213"/>
        <v/>
      </c>
      <c r="BD303" s="412" t="str">
        <f t="shared" si="196"/>
        <v/>
      </c>
      <c r="BE303" s="413">
        <f t="shared" si="197"/>
        <v>0</v>
      </c>
      <c r="DZ303" s="138"/>
    </row>
    <row r="304" spans="1:130" ht="16.5" x14ac:dyDescent="0.3">
      <c r="A304" s="132">
        <f>IFERROR(IF(A303+1&lt;MAX(T041_ClassFeatures!$A$2:$A$2033),A303+1,""),"")</f>
        <v>301</v>
      </c>
      <c r="B304" s="131" t="str">
        <f>IFERROR(INDEX(T041_ClassFeatures!$B$2:$B$2033,MATCH('C03_ClassVariables'!A304,T041_ClassFeatures!$A$2:$A$2033,0),1),"")</f>
        <v>Controlled Chaos</v>
      </c>
      <c r="C304" s="131">
        <f>IF(B304="",0,IF(IFERROR(MATCH(B304,'C01_BaseCalculation'!$W$160:$W$239,0),0)&gt;0,1,0))</f>
        <v>0</v>
      </c>
      <c r="F304" s="150"/>
      <c r="G304" s="136"/>
      <c r="H304" s="136"/>
      <c r="I304" s="136"/>
      <c r="J304" s="136" t="str">
        <f>T03_Skills!V21</f>
        <v>Thieve's Cant</v>
      </c>
      <c r="K304" s="136">
        <f t="shared" si="179"/>
        <v>0</v>
      </c>
      <c r="L304" s="136">
        <f t="shared" si="180"/>
        <v>0</v>
      </c>
      <c r="M304" s="136">
        <f t="shared" si="181"/>
        <v>0</v>
      </c>
      <c r="N304" s="136"/>
      <c r="O304" s="136"/>
      <c r="P304" s="136"/>
      <c r="Q304" s="136"/>
      <c r="R304" s="418">
        <v>0</v>
      </c>
      <c r="S304" s="412">
        <f>IF(R304&gt;0,1+COUNTIF(S$286:S303,"&gt;0"),0)</f>
        <v>0</v>
      </c>
      <c r="T304" s="412">
        <f t="shared" si="199"/>
        <v>19</v>
      </c>
      <c r="U304" s="412">
        <f t="shared" si="182"/>
        <v>0</v>
      </c>
      <c r="V304" s="413">
        <f t="shared" si="183"/>
        <v>0</v>
      </c>
      <c r="W304" s="411">
        <f t="shared" si="200"/>
        <v>0</v>
      </c>
      <c r="X304" s="412">
        <f>IF(W304&gt;0,1+COUNTIF(X$286:X303,"&gt;0"),0)</f>
        <v>0</v>
      </c>
      <c r="Y304" s="412">
        <f t="shared" si="201"/>
        <v>19</v>
      </c>
      <c r="Z304" s="412">
        <f t="shared" si="184"/>
        <v>0</v>
      </c>
      <c r="AA304" s="413">
        <f t="shared" si="185"/>
        <v>0</v>
      </c>
      <c r="AB304" s="411">
        <f t="shared" si="202"/>
        <v>0</v>
      </c>
      <c r="AC304" s="412">
        <f>IF(AB304&gt;0,1+COUNTIF(AC$286:AC303,"&gt;0"),0)</f>
        <v>0</v>
      </c>
      <c r="AD304" s="412">
        <f t="shared" si="203"/>
        <v>19</v>
      </c>
      <c r="AE304" s="412">
        <f t="shared" si="186"/>
        <v>0</v>
      </c>
      <c r="AF304" s="413">
        <f t="shared" si="187"/>
        <v>0</v>
      </c>
      <c r="AG304" s="411">
        <f t="shared" si="204"/>
        <v>0</v>
      </c>
      <c r="AH304" s="412">
        <f>IF(AG304&gt;0,1+COUNTIF(AH$286:AH303,"&gt;0"),0)</f>
        <v>0</v>
      </c>
      <c r="AI304" s="412" t="str">
        <f t="shared" si="205"/>
        <v/>
      </c>
      <c r="AJ304" s="412" t="str">
        <f t="shared" si="188"/>
        <v/>
      </c>
      <c r="AK304" s="413">
        <f t="shared" si="189"/>
        <v>0</v>
      </c>
      <c r="AL304" s="411">
        <f t="shared" si="206"/>
        <v>0</v>
      </c>
      <c r="AM304" s="412">
        <f>IF(AL304&gt;0,1+COUNTIF(AM$286:AM303,"&gt;0"),0)</f>
        <v>0</v>
      </c>
      <c r="AN304" s="412" t="str">
        <f t="shared" si="207"/>
        <v/>
      </c>
      <c r="AO304" s="412" t="str">
        <f t="shared" si="190"/>
        <v/>
      </c>
      <c r="AP304" s="413">
        <f t="shared" si="191"/>
        <v>0</v>
      </c>
      <c r="AQ304" s="411">
        <f t="shared" si="208"/>
        <v>0</v>
      </c>
      <c r="AR304" s="412">
        <f>IF(AQ304&gt;0,1+COUNTIF(AR$286:AR303,"&gt;0"),0)</f>
        <v>0</v>
      </c>
      <c r="AS304" s="412" t="str">
        <f t="shared" si="209"/>
        <v/>
      </c>
      <c r="AT304" s="412" t="str">
        <f t="shared" si="192"/>
        <v/>
      </c>
      <c r="AU304" s="413">
        <f t="shared" si="193"/>
        <v>0</v>
      </c>
      <c r="AV304" s="411">
        <f t="shared" si="210"/>
        <v>0</v>
      </c>
      <c r="AW304" s="412">
        <f>IF(AV304&gt;0,1+COUNTIF(AW$286:AW303,"&gt;0"),0)</f>
        <v>0</v>
      </c>
      <c r="AX304" s="412" t="str">
        <f t="shared" si="211"/>
        <v/>
      </c>
      <c r="AY304" s="412" t="str">
        <f t="shared" si="194"/>
        <v/>
      </c>
      <c r="AZ304" s="413">
        <f t="shared" si="195"/>
        <v>0</v>
      </c>
      <c r="BA304" s="411">
        <f t="shared" si="212"/>
        <v>0</v>
      </c>
      <c r="BB304" s="412">
        <f>IF(BA304&gt;0,1+COUNTIF(BB$286:BB303,"&gt;0"),0)</f>
        <v>0</v>
      </c>
      <c r="BC304" s="412" t="str">
        <f t="shared" si="213"/>
        <v/>
      </c>
      <c r="BD304" s="412" t="str">
        <f t="shared" si="196"/>
        <v/>
      </c>
      <c r="BE304" s="413">
        <f t="shared" si="197"/>
        <v>0</v>
      </c>
      <c r="DZ304" s="138"/>
    </row>
    <row r="305" spans="1:130" ht="16.5" x14ac:dyDescent="0.3">
      <c r="A305" s="132">
        <f>IFERROR(IF(A304+1&lt;MAX(T041_ClassFeatures!$A$2:$A$2033),A304+1,""),"")</f>
        <v>302</v>
      </c>
      <c r="B305" s="131" t="str">
        <f>IFERROR(INDEX(T041_ClassFeatures!$B$2:$B$2033,MATCH('C03_ClassVariables'!A305,T041_ClassFeatures!$A$2:$A$2033,0),1),"")</f>
        <v>Spell Bombardment</v>
      </c>
      <c r="C305" s="131">
        <f>IF(B305="",0,IF(IFERROR(MATCH(B305,'C01_BaseCalculation'!$W$160:$W$239,0),0)&gt;0,1,0))</f>
        <v>0</v>
      </c>
      <c r="F305" s="150"/>
      <c r="G305" s="136"/>
      <c r="H305" s="136"/>
      <c r="I305" s="136"/>
      <c r="J305" s="136">
        <f>T03_Skills!V22</f>
        <v>0</v>
      </c>
      <c r="K305" s="136">
        <f t="shared" si="179"/>
        <v>0</v>
      </c>
      <c r="L305" s="136">
        <f t="shared" si="180"/>
        <v>0</v>
      </c>
      <c r="M305" s="136">
        <f t="shared" si="181"/>
        <v>0</v>
      </c>
      <c r="N305" s="136"/>
      <c r="O305" s="136"/>
      <c r="P305" s="136"/>
      <c r="Q305" s="136"/>
      <c r="R305" s="411">
        <f t="shared" si="198"/>
        <v>1</v>
      </c>
      <c r="S305" s="412">
        <f>IF(R305&gt;0,1+COUNTIF(S$286:S304,"&gt;0"),0)</f>
        <v>17</v>
      </c>
      <c r="T305" s="412">
        <f t="shared" si="199"/>
        <v>20</v>
      </c>
      <c r="U305" s="412">
        <f t="shared" si="182"/>
        <v>0</v>
      </c>
      <c r="V305" s="413">
        <f t="shared" si="183"/>
        <v>0</v>
      </c>
      <c r="W305" s="411">
        <f t="shared" si="200"/>
        <v>1</v>
      </c>
      <c r="X305" s="412">
        <f>IF(W305&gt;0,1+COUNTIF(X$286:X304,"&gt;0"),0)</f>
        <v>16</v>
      </c>
      <c r="Y305" s="412">
        <f t="shared" si="201"/>
        <v>20</v>
      </c>
      <c r="Z305" s="412">
        <f t="shared" si="184"/>
        <v>0</v>
      </c>
      <c r="AA305" s="413">
        <f t="shared" si="185"/>
        <v>0</v>
      </c>
      <c r="AB305" s="411">
        <f t="shared" si="202"/>
        <v>1</v>
      </c>
      <c r="AC305" s="412">
        <f>IF(AB305&gt;0,1+COUNTIF(AC$286:AC304,"&gt;0"),0)</f>
        <v>15</v>
      </c>
      <c r="AD305" s="412">
        <f t="shared" si="203"/>
        <v>20</v>
      </c>
      <c r="AE305" s="412">
        <f t="shared" si="186"/>
        <v>0</v>
      </c>
      <c r="AF305" s="413">
        <f t="shared" si="187"/>
        <v>0</v>
      </c>
      <c r="AG305" s="411">
        <f t="shared" si="204"/>
        <v>1</v>
      </c>
      <c r="AH305" s="412">
        <f>IF(AG305&gt;0,1+COUNTIF(AH$286:AH304,"&gt;0"),0)</f>
        <v>14</v>
      </c>
      <c r="AI305" s="412" t="str">
        <f t="shared" si="205"/>
        <v/>
      </c>
      <c r="AJ305" s="412" t="str">
        <f t="shared" si="188"/>
        <v/>
      </c>
      <c r="AK305" s="413">
        <f t="shared" si="189"/>
        <v>1</v>
      </c>
      <c r="AL305" s="411">
        <f t="shared" si="206"/>
        <v>0</v>
      </c>
      <c r="AM305" s="412">
        <f>IF(AL305&gt;0,1+COUNTIF(AM$286:AM304,"&gt;0"),0)</f>
        <v>0</v>
      </c>
      <c r="AN305" s="412" t="str">
        <f t="shared" si="207"/>
        <v/>
      </c>
      <c r="AO305" s="412" t="str">
        <f t="shared" si="190"/>
        <v/>
      </c>
      <c r="AP305" s="413">
        <f t="shared" si="191"/>
        <v>1</v>
      </c>
      <c r="AQ305" s="411">
        <f t="shared" si="208"/>
        <v>0</v>
      </c>
      <c r="AR305" s="412">
        <f>IF(AQ305&gt;0,1+COUNTIF(AR$286:AR304,"&gt;0"),0)</f>
        <v>0</v>
      </c>
      <c r="AS305" s="412" t="str">
        <f t="shared" si="209"/>
        <v/>
      </c>
      <c r="AT305" s="412" t="str">
        <f t="shared" si="192"/>
        <v/>
      </c>
      <c r="AU305" s="413">
        <f t="shared" si="193"/>
        <v>1</v>
      </c>
      <c r="AV305" s="411">
        <f t="shared" si="210"/>
        <v>0</v>
      </c>
      <c r="AW305" s="412">
        <f>IF(AV305&gt;0,1+COUNTIF(AW$286:AW304,"&gt;0"),0)</f>
        <v>0</v>
      </c>
      <c r="AX305" s="412" t="str">
        <f t="shared" si="211"/>
        <v/>
      </c>
      <c r="AY305" s="412" t="str">
        <f t="shared" si="194"/>
        <v/>
      </c>
      <c r="AZ305" s="413">
        <f t="shared" si="195"/>
        <v>1</v>
      </c>
      <c r="BA305" s="411">
        <f t="shared" si="212"/>
        <v>0</v>
      </c>
      <c r="BB305" s="412">
        <f>IF(BA305&gt;0,1+COUNTIF(BB$286:BB304,"&gt;0"),0)</f>
        <v>0</v>
      </c>
      <c r="BC305" s="412" t="str">
        <f t="shared" si="213"/>
        <v/>
      </c>
      <c r="BD305" s="412" t="str">
        <f t="shared" si="196"/>
        <v/>
      </c>
      <c r="BE305" s="413">
        <f t="shared" si="197"/>
        <v>1</v>
      </c>
      <c r="DZ305" s="138"/>
    </row>
    <row r="306" spans="1:130" ht="16.5" x14ac:dyDescent="0.3">
      <c r="A306" s="132">
        <f>IFERROR(IF(A305+1&lt;MAX(T041_ClassFeatures!$A$2:$A$2033),A305+1,""),"")</f>
        <v>303</v>
      </c>
      <c r="B306" s="131" t="str">
        <f>IFERROR(INDEX(T041_ClassFeatures!$B$2:$B$2033,MATCH('C03_ClassVariables'!A306,T041_ClassFeatures!$A$2:$A$2033,0),1),"")</f>
        <v>Abjuration Savant</v>
      </c>
      <c r="C306" s="131">
        <f>IF(B306="",0,IF(IFERROR(MATCH(B306,'C01_BaseCalculation'!$W$160:$W$239,0),0)&gt;0,1,0))</f>
        <v>0</v>
      </c>
      <c r="F306" s="150"/>
      <c r="G306" s="136"/>
      <c r="H306" s="136"/>
      <c r="I306" s="136"/>
      <c r="J306" s="136">
        <f>T03_Skills!V23</f>
        <v>0</v>
      </c>
      <c r="K306" s="136">
        <f t="shared" si="179"/>
        <v>0</v>
      </c>
      <c r="L306" s="136">
        <f t="shared" si="180"/>
        <v>0</v>
      </c>
      <c r="M306" s="136">
        <f t="shared" si="181"/>
        <v>0</v>
      </c>
      <c r="N306" s="136"/>
      <c r="O306" s="136"/>
      <c r="P306" s="136"/>
      <c r="Q306" s="136"/>
      <c r="R306" s="411">
        <f t="shared" si="198"/>
        <v>1</v>
      </c>
      <c r="S306" s="412">
        <f>IF(R306&gt;0,1+COUNTIF(S$286:S305,"&gt;0"),0)</f>
        <v>18</v>
      </c>
      <c r="T306" s="412">
        <f t="shared" si="199"/>
        <v>21</v>
      </c>
      <c r="U306" s="412">
        <f t="shared" si="182"/>
        <v>0</v>
      </c>
      <c r="V306" s="413">
        <f t="shared" si="183"/>
        <v>0</v>
      </c>
      <c r="W306" s="411">
        <f t="shared" si="200"/>
        <v>1</v>
      </c>
      <c r="X306" s="412">
        <f>IF(W306&gt;0,1+COUNTIF(X$286:X305,"&gt;0"),0)</f>
        <v>17</v>
      </c>
      <c r="Y306" s="412">
        <f t="shared" si="201"/>
        <v>21</v>
      </c>
      <c r="Z306" s="412">
        <f t="shared" si="184"/>
        <v>0</v>
      </c>
      <c r="AA306" s="413">
        <f t="shared" si="185"/>
        <v>0</v>
      </c>
      <c r="AB306" s="411">
        <f t="shared" si="202"/>
        <v>1</v>
      </c>
      <c r="AC306" s="412">
        <f>IF(AB306&gt;0,1+COUNTIF(AC$286:AC305,"&gt;0"),0)</f>
        <v>16</v>
      </c>
      <c r="AD306" s="412">
        <f t="shared" si="203"/>
        <v>21</v>
      </c>
      <c r="AE306" s="412">
        <f t="shared" si="186"/>
        <v>0</v>
      </c>
      <c r="AF306" s="413">
        <f t="shared" si="187"/>
        <v>0</v>
      </c>
      <c r="AG306" s="411">
        <f t="shared" si="204"/>
        <v>1</v>
      </c>
      <c r="AH306" s="412">
        <f>IF(AG306&gt;0,1+COUNTIF(AH$286:AH305,"&gt;0"),0)</f>
        <v>15</v>
      </c>
      <c r="AI306" s="412" t="str">
        <f t="shared" si="205"/>
        <v/>
      </c>
      <c r="AJ306" s="412" t="str">
        <f t="shared" si="188"/>
        <v/>
      </c>
      <c r="AK306" s="413">
        <f t="shared" si="189"/>
        <v>1</v>
      </c>
      <c r="AL306" s="411">
        <f t="shared" si="206"/>
        <v>0</v>
      </c>
      <c r="AM306" s="412">
        <f>IF(AL306&gt;0,1+COUNTIF(AM$286:AM305,"&gt;0"),0)</f>
        <v>0</v>
      </c>
      <c r="AN306" s="412" t="str">
        <f t="shared" si="207"/>
        <v/>
      </c>
      <c r="AO306" s="412" t="str">
        <f t="shared" si="190"/>
        <v/>
      </c>
      <c r="AP306" s="413">
        <f t="shared" si="191"/>
        <v>1</v>
      </c>
      <c r="AQ306" s="411">
        <f t="shared" si="208"/>
        <v>0</v>
      </c>
      <c r="AR306" s="412">
        <f>IF(AQ306&gt;0,1+COUNTIF(AR$286:AR305,"&gt;0"),0)</f>
        <v>0</v>
      </c>
      <c r="AS306" s="412" t="str">
        <f t="shared" si="209"/>
        <v/>
      </c>
      <c r="AT306" s="412" t="str">
        <f t="shared" si="192"/>
        <v/>
      </c>
      <c r="AU306" s="413">
        <f t="shared" si="193"/>
        <v>1</v>
      </c>
      <c r="AV306" s="411">
        <f t="shared" si="210"/>
        <v>0</v>
      </c>
      <c r="AW306" s="412">
        <f>IF(AV306&gt;0,1+COUNTIF(AW$286:AW305,"&gt;0"),0)</f>
        <v>0</v>
      </c>
      <c r="AX306" s="412" t="str">
        <f t="shared" si="211"/>
        <v/>
      </c>
      <c r="AY306" s="412" t="str">
        <f t="shared" si="194"/>
        <v/>
      </c>
      <c r="AZ306" s="413">
        <f t="shared" si="195"/>
        <v>1</v>
      </c>
      <c r="BA306" s="411">
        <f t="shared" si="212"/>
        <v>0</v>
      </c>
      <c r="BB306" s="412">
        <f>IF(BA306&gt;0,1+COUNTIF(BB$286:BB305,"&gt;0"),0)</f>
        <v>0</v>
      </c>
      <c r="BC306" s="412" t="str">
        <f t="shared" si="213"/>
        <v/>
      </c>
      <c r="BD306" s="412" t="str">
        <f t="shared" si="196"/>
        <v/>
      </c>
      <c r="BE306" s="413">
        <f t="shared" si="197"/>
        <v>1</v>
      </c>
      <c r="DZ306" s="138"/>
    </row>
    <row r="307" spans="1:130" ht="16.5" x14ac:dyDescent="0.3">
      <c r="A307" s="132">
        <f>IFERROR(IF(A306+1&lt;MAX(T041_ClassFeatures!$A$2:$A$2033),A306+1,""),"")</f>
        <v>304</v>
      </c>
      <c r="B307" s="131" t="str">
        <f>IFERROR(INDEX(T041_ClassFeatures!$B$2:$B$2033,MATCH('C03_ClassVariables'!A307,T041_ClassFeatures!$A$2:$A$2033,0),1),"")</f>
        <v>Arcane Ward</v>
      </c>
      <c r="C307" s="131">
        <f>IF(B307="",0,IF(IFERROR(MATCH(B307,'C01_BaseCalculation'!$W$160:$W$239,0),0)&gt;0,1,0))</f>
        <v>0</v>
      </c>
      <c r="F307" s="150"/>
      <c r="G307" s="136"/>
      <c r="H307" s="136"/>
      <c r="I307" s="136"/>
      <c r="J307" s="136">
        <f>T03_Skills!V24</f>
        <v>0</v>
      </c>
      <c r="K307" s="136">
        <f t="shared" si="179"/>
        <v>0</v>
      </c>
      <c r="L307" s="136">
        <f t="shared" si="180"/>
        <v>0</v>
      </c>
      <c r="M307" s="136">
        <f t="shared" si="181"/>
        <v>0</v>
      </c>
      <c r="N307" s="136"/>
      <c r="O307" s="136"/>
      <c r="P307" s="136"/>
      <c r="Q307" s="136"/>
      <c r="R307" s="411">
        <f t="shared" si="198"/>
        <v>1</v>
      </c>
      <c r="S307" s="412">
        <f>IF(R307&gt;0,1+COUNTIF(S$286:S306,"&gt;0"),0)</f>
        <v>19</v>
      </c>
      <c r="T307" s="412">
        <f t="shared" si="199"/>
        <v>22</v>
      </c>
      <c r="U307" s="412">
        <f t="shared" si="182"/>
        <v>0</v>
      </c>
      <c r="V307" s="413">
        <f t="shared" si="183"/>
        <v>0</v>
      </c>
      <c r="W307" s="411">
        <f t="shared" si="200"/>
        <v>1</v>
      </c>
      <c r="X307" s="412">
        <f>IF(W307&gt;0,1+COUNTIF(X$286:X306,"&gt;0"),0)</f>
        <v>18</v>
      </c>
      <c r="Y307" s="412">
        <f t="shared" si="201"/>
        <v>22</v>
      </c>
      <c r="Z307" s="412">
        <f t="shared" si="184"/>
        <v>0</v>
      </c>
      <c r="AA307" s="413">
        <f t="shared" si="185"/>
        <v>0</v>
      </c>
      <c r="AB307" s="411">
        <f t="shared" si="202"/>
        <v>1</v>
      </c>
      <c r="AC307" s="412">
        <f>IF(AB307&gt;0,1+COUNTIF(AC$286:AC306,"&gt;0"),0)</f>
        <v>17</v>
      </c>
      <c r="AD307" s="412" t="str">
        <f t="shared" si="203"/>
        <v/>
      </c>
      <c r="AE307" s="412" t="str">
        <f t="shared" si="186"/>
        <v/>
      </c>
      <c r="AF307" s="413">
        <f t="shared" si="187"/>
        <v>0</v>
      </c>
      <c r="AG307" s="411">
        <f t="shared" si="204"/>
        <v>1</v>
      </c>
      <c r="AH307" s="412">
        <f>IF(AG307&gt;0,1+COUNTIF(AH$286:AH306,"&gt;0"),0)</f>
        <v>16</v>
      </c>
      <c r="AI307" s="412" t="str">
        <f t="shared" si="205"/>
        <v/>
      </c>
      <c r="AJ307" s="412" t="str">
        <f t="shared" si="188"/>
        <v/>
      </c>
      <c r="AK307" s="413">
        <f t="shared" si="189"/>
        <v>1</v>
      </c>
      <c r="AL307" s="411">
        <f t="shared" si="206"/>
        <v>0</v>
      </c>
      <c r="AM307" s="412">
        <f>IF(AL307&gt;0,1+COUNTIF(AM$286:AM306,"&gt;0"),0)</f>
        <v>0</v>
      </c>
      <c r="AN307" s="412" t="str">
        <f t="shared" si="207"/>
        <v/>
      </c>
      <c r="AO307" s="412" t="str">
        <f t="shared" si="190"/>
        <v/>
      </c>
      <c r="AP307" s="413">
        <f t="shared" si="191"/>
        <v>1</v>
      </c>
      <c r="AQ307" s="411">
        <f t="shared" si="208"/>
        <v>0</v>
      </c>
      <c r="AR307" s="412">
        <f>IF(AQ307&gt;0,1+COUNTIF(AR$286:AR306,"&gt;0"),0)</f>
        <v>0</v>
      </c>
      <c r="AS307" s="412" t="str">
        <f t="shared" si="209"/>
        <v/>
      </c>
      <c r="AT307" s="412" t="str">
        <f t="shared" si="192"/>
        <v/>
      </c>
      <c r="AU307" s="413">
        <f t="shared" si="193"/>
        <v>1</v>
      </c>
      <c r="AV307" s="411">
        <f t="shared" si="210"/>
        <v>0</v>
      </c>
      <c r="AW307" s="412">
        <f>IF(AV307&gt;0,1+COUNTIF(AW$286:AW306,"&gt;0"),0)</f>
        <v>0</v>
      </c>
      <c r="AX307" s="412" t="str">
        <f t="shared" si="211"/>
        <v/>
      </c>
      <c r="AY307" s="412" t="str">
        <f t="shared" si="194"/>
        <v/>
      </c>
      <c r="AZ307" s="413">
        <f t="shared" si="195"/>
        <v>1</v>
      </c>
      <c r="BA307" s="411">
        <f t="shared" si="212"/>
        <v>0</v>
      </c>
      <c r="BB307" s="412">
        <f>IF(BA307&gt;0,1+COUNTIF(BB$286:BB306,"&gt;0"),0)</f>
        <v>0</v>
      </c>
      <c r="BC307" s="412" t="str">
        <f t="shared" si="213"/>
        <v/>
      </c>
      <c r="BD307" s="412" t="str">
        <f t="shared" si="196"/>
        <v/>
      </c>
      <c r="BE307" s="413">
        <f t="shared" si="197"/>
        <v>1</v>
      </c>
      <c r="DZ307" s="138"/>
    </row>
    <row r="308" spans="1:130" ht="16.5" x14ac:dyDescent="0.3">
      <c r="A308" s="132">
        <f>IFERROR(IF(A307+1&lt;MAX(T041_ClassFeatures!$A$2:$A$2033),A307+1,""),"")</f>
        <v>305</v>
      </c>
      <c r="B308" s="131" t="str">
        <f>IFERROR(INDEX(T041_ClassFeatures!$B$2:$B$2033,MATCH('C03_ClassVariables'!A308,T041_ClassFeatures!$A$2:$A$2033,0),1),"")</f>
        <v>Projected Ward</v>
      </c>
      <c r="C308" s="131">
        <f>IF(B308="",0,IF(IFERROR(MATCH(B308,'C01_BaseCalculation'!$W$160:$W$239,0),0)&gt;0,1,0))</f>
        <v>0</v>
      </c>
      <c r="F308" s="150"/>
      <c r="G308" s="136"/>
      <c r="H308" s="136"/>
      <c r="I308" s="136"/>
      <c r="J308" s="136">
        <f>T03_Skills!V25</f>
        <v>0</v>
      </c>
      <c r="K308" s="136">
        <f t="shared" si="179"/>
        <v>0</v>
      </c>
      <c r="L308" s="136">
        <f t="shared" si="180"/>
        <v>0</v>
      </c>
      <c r="M308" s="136">
        <f t="shared" si="181"/>
        <v>0</v>
      </c>
      <c r="N308" s="136"/>
      <c r="O308" s="136"/>
      <c r="P308" s="136"/>
      <c r="Q308" s="136"/>
      <c r="R308" s="411">
        <f t="shared" si="198"/>
        <v>1</v>
      </c>
      <c r="S308" s="412">
        <f>IF(R308&gt;0,1+COUNTIF(S$286:S307,"&gt;0"),0)</f>
        <v>20</v>
      </c>
      <c r="T308" s="412">
        <f t="shared" si="199"/>
        <v>23</v>
      </c>
      <c r="U308" s="412">
        <f t="shared" si="182"/>
        <v>0</v>
      </c>
      <c r="V308" s="413">
        <f t="shared" si="183"/>
        <v>0</v>
      </c>
      <c r="W308" s="411">
        <f t="shared" si="200"/>
        <v>1</v>
      </c>
      <c r="X308" s="412">
        <f>IF(W308&gt;0,1+COUNTIF(X$286:X307,"&gt;0"),0)</f>
        <v>19</v>
      </c>
      <c r="Y308" s="412" t="str">
        <f t="shared" si="201"/>
        <v/>
      </c>
      <c r="Z308" s="412" t="str">
        <f t="shared" si="184"/>
        <v/>
      </c>
      <c r="AA308" s="413">
        <f t="shared" si="185"/>
        <v>0</v>
      </c>
      <c r="AB308" s="411">
        <f t="shared" si="202"/>
        <v>1</v>
      </c>
      <c r="AC308" s="412">
        <f>IF(AB308&gt;0,1+COUNTIF(AC$286:AC307,"&gt;0"),0)</f>
        <v>18</v>
      </c>
      <c r="AD308" s="412" t="str">
        <f t="shared" si="203"/>
        <v/>
      </c>
      <c r="AE308" s="412" t="str">
        <f t="shared" si="186"/>
        <v/>
      </c>
      <c r="AF308" s="413">
        <f t="shared" si="187"/>
        <v>0</v>
      </c>
      <c r="AG308" s="411">
        <f t="shared" si="204"/>
        <v>1</v>
      </c>
      <c r="AH308" s="412">
        <f>IF(AG308&gt;0,1+COUNTIF(AH$286:AH307,"&gt;0"),0)</f>
        <v>17</v>
      </c>
      <c r="AI308" s="412" t="str">
        <f t="shared" si="205"/>
        <v/>
      </c>
      <c r="AJ308" s="412" t="str">
        <f t="shared" si="188"/>
        <v/>
      </c>
      <c r="AK308" s="413">
        <f t="shared" si="189"/>
        <v>1</v>
      </c>
      <c r="AL308" s="411">
        <f t="shared" si="206"/>
        <v>0</v>
      </c>
      <c r="AM308" s="412">
        <f>IF(AL308&gt;0,1+COUNTIF(AM$286:AM307,"&gt;0"),0)</f>
        <v>0</v>
      </c>
      <c r="AN308" s="412" t="str">
        <f t="shared" si="207"/>
        <v/>
      </c>
      <c r="AO308" s="412" t="str">
        <f t="shared" si="190"/>
        <v/>
      </c>
      <c r="AP308" s="413">
        <f t="shared" si="191"/>
        <v>1</v>
      </c>
      <c r="AQ308" s="411">
        <f t="shared" si="208"/>
        <v>0</v>
      </c>
      <c r="AR308" s="412">
        <f>IF(AQ308&gt;0,1+COUNTIF(AR$286:AR307,"&gt;0"),0)</f>
        <v>0</v>
      </c>
      <c r="AS308" s="412" t="str">
        <f t="shared" si="209"/>
        <v/>
      </c>
      <c r="AT308" s="412" t="str">
        <f t="shared" si="192"/>
        <v/>
      </c>
      <c r="AU308" s="413">
        <f t="shared" si="193"/>
        <v>1</v>
      </c>
      <c r="AV308" s="411">
        <f t="shared" si="210"/>
        <v>0</v>
      </c>
      <c r="AW308" s="412">
        <f>IF(AV308&gt;0,1+COUNTIF(AW$286:AW307,"&gt;0"),0)</f>
        <v>0</v>
      </c>
      <c r="AX308" s="412" t="str">
        <f t="shared" si="211"/>
        <v/>
      </c>
      <c r="AY308" s="412" t="str">
        <f t="shared" si="194"/>
        <v/>
      </c>
      <c r="AZ308" s="413">
        <f t="shared" si="195"/>
        <v>1</v>
      </c>
      <c r="BA308" s="411">
        <f t="shared" si="212"/>
        <v>0</v>
      </c>
      <c r="BB308" s="412">
        <f>IF(BA308&gt;0,1+COUNTIF(BB$286:BB307,"&gt;0"),0)</f>
        <v>0</v>
      </c>
      <c r="BC308" s="412" t="str">
        <f t="shared" si="213"/>
        <v/>
      </c>
      <c r="BD308" s="412" t="str">
        <f t="shared" si="196"/>
        <v/>
      </c>
      <c r="BE308" s="413">
        <f t="shared" si="197"/>
        <v>1</v>
      </c>
      <c r="DZ308" s="138"/>
    </row>
    <row r="309" spans="1:130" ht="16.5" x14ac:dyDescent="0.3">
      <c r="A309" s="132">
        <f>IFERROR(IF(A308+1&lt;MAX(T041_ClassFeatures!$A$2:$A$2033),A308+1,""),"")</f>
        <v>306</v>
      </c>
      <c r="B309" s="131" t="str">
        <f>IFERROR(INDEX(T041_ClassFeatures!$B$2:$B$2033,MATCH('C03_ClassVariables'!A309,T041_ClassFeatures!$A$2:$A$2033,0),1),"")</f>
        <v>Improved Abjuration</v>
      </c>
      <c r="C309" s="131">
        <f>IF(B309="",0,IF(IFERROR(MATCH(B309,'C01_BaseCalculation'!$W$160:$W$239,0),0)&gt;0,1,0))</f>
        <v>0</v>
      </c>
      <c r="F309" s="150"/>
      <c r="G309" s="136"/>
      <c r="H309" s="136"/>
      <c r="I309" s="136"/>
      <c r="J309" s="136">
        <f>T03_Skills!V26</f>
        <v>0</v>
      </c>
      <c r="K309" s="136">
        <f t="shared" si="179"/>
        <v>0</v>
      </c>
      <c r="L309" s="136">
        <f t="shared" si="180"/>
        <v>0</v>
      </c>
      <c r="M309" s="136">
        <f t="shared" si="181"/>
        <v>0</v>
      </c>
      <c r="N309" s="136"/>
      <c r="O309" s="136"/>
      <c r="P309" s="136"/>
      <c r="Q309" s="136"/>
      <c r="R309" s="411">
        <f t="shared" si="198"/>
        <v>1</v>
      </c>
      <c r="S309" s="412">
        <f>IF(R309&gt;0,1+COUNTIF(S$286:S308,"&gt;0"),0)</f>
        <v>21</v>
      </c>
      <c r="T309" s="412" t="str">
        <f t="shared" si="199"/>
        <v/>
      </c>
      <c r="U309" s="412" t="str">
        <f t="shared" si="182"/>
        <v/>
      </c>
      <c r="V309" s="413">
        <f t="shared" si="183"/>
        <v>0</v>
      </c>
      <c r="W309" s="411">
        <f t="shared" si="200"/>
        <v>1</v>
      </c>
      <c r="X309" s="412">
        <f>IF(W309&gt;0,1+COUNTIF(X$286:X308,"&gt;0"),0)</f>
        <v>20</v>
      </c>
      <c r="Y309" s="412" t="str">
        <f t="shared" si="201"/>
        <v/>
      </c>
      <c r="Z309" s="412" t="str">
        <f t="shared" si="184"/>
        <v/>
      </c>
      <c r="AA309" s="413">
        <f t="shared" si="185"/>
        <v>0</v>
      </c>
      <c r="AB309" s="411">
        <f t="shared" si="202"/>
        <v>1</v>
      </c>
      <c r="AC309" s="412">
        <f>IF(AB309&gt;0,1+COUNTIF(AC$286:AC308,"&gt;0"),0)</f>
        <v>19</v>
      </c>
      <c r="AD309" s="412" t="str">
        <f t="shared" si="203"/>
        <v/>
      </c>
      <c r="AE309" s="412" t="str">
        <f t="shared" si="186"/>
        <v/>
      </c>
      <c r="AF309" s="413">
        <f t="shared" si="187"/>
        <v>0</v>
      </c>
      <c r="AG309" s="411">
        <f t="shared" si="204"/>
        <v>1</v>
      </c>
      <c r="AH309" s="412">
        <f>IF(AG309&gt;0,1+COUNTIF(AH$286:AH308,"&gt;0"),0)</f>
        <v>18</v>
      </c>
      <c r="AI309" s="412" t="str">
        <f t="shared" si="205"/>
        <v/>
      </c>
      <c r="AJ309" s="412" t="str">
        <f t="shared" si="188"/>
        <v/>
      </c>
      <c r="AK309" s="413">
        <f t="shared" si="189"/>
        <v>1</v>
      </c>
      <c r="AL309" s="411">
        <f t="shared" si="206"/>
        <v>0</v>
      </c>
      <c r="AM309" s="412">
        <f>IF(AL309&gt;0,1+COUNTIF(AM$286:AM308,"&gt;0"),0)</f>
        <v>0</v>
      </c>
      <c r="AN309" s="412" t="str">
        <f t="shared" si="207"/>
        <v/>
      </c>
      <c r="AO309" s="412" t="str">
        <f t="shared" si="190"/>
        <v/>
      </c>
      <c r="AP309" s="413">
        <f t="shared" si="191"/>
        <v>1</v>
      </c>
      <c r="AQ309" s="411">
        <f t="shared" si="208"/>
        <v>0</v>
      </c>
      <c r="AR309" s="412">
        <f>IF(AQ309&gt;0,1+COUNTIF(AR$286:AR308,"&gt;0"),0)</f>
        <v>0</v>
      </c>
      <c r="AS309" s="412" t="str">
        <f t="shared" si="209"/>
        <v/>
      </c>
      <c r="AT309" s="412" t="str">
        <f t="shared" si="192"/>
        <v/>
      </c>
      <c r="AU309" s="413">
        <f t="shared" si="193"/>
        <v>1</v>
      </c>
      <c r="AV309" s="411">
        <f t="shared" si="210"/>
        <v>0</v>
      </c>
      <c r="AW309" s="412">
        <f>IF(AV309&gt;0,1+COUNTIF(AW$286:AW308,"&gt;0"),0)</f>
        <v>0</v>
      </c>
      <c r="AX309" s="412" t="str">
        <f t="shared" si="211"/>
        <v/>
      </c>
      <c r="AY309" s="412" t="str">
        <f t="shared" si="194"/>
        <v/>
      </c>
      <c r="AZ309" s="413">
        <f t="shared" si="195"/>
        <v>1</v>
      </c>
      <c r="BA309" s="411">
        <f t="shared" si="212"/>
        <v>0</v>
      </c>
      <c r="BB309" s="412">
        <f>IF(BA309&gt;0,1+COUNTIF(BB$286:BB308,"&gt;0"),0)</f>
        <v>0</v>
      </c>
      <c r="BC309" s="412" t="str">
        <f t="shared" si="213"/>
        <v/>
      </c>
      <c r="BD309" s="412" t="str">
        <f t="shared" si="196"/>
        <v/>
      </c>
      <c r="BE309" s="413">
        <f t="shared" si="197"/>
        <v>1</v>
      </c>
      <c r="DZ309" s="138"/>
    </row>
    <row r="310" spans="1:130" ht="16.5" x14ac:dyDescent="0.3">
      <c r="A310" s="132">
        <f>IFERROR(IF(A309+1&lt;MAX(T041_ClassFeatures!$A$2:$A$2033),A309+1,""),"")</f>
        <v>307</v>
      </c>
      <c r="B310" s="131" t="str">
        <f>IFERROR(INDEX(T041_ClassFeatures!$B$2:$B$2033,MATCH('C03_ClassVariables'!A310,T041_ClassFeatures!$A$2:$A$2033,0),1),"")</f>
        <v>Spell Resistance</v>
      </c>
      <c r="C310" s="131">
        <f>IF(B310="",0,IF(IFERROR(MATCH(B310,'C01_BaseCalculation'!$W$160:$W$239,0),0)&gt;0,1,0))</f>
        <v>0</v>
      </c>
      <c r="F310" s="150"/>
      <c r="G310" s="136"/>
      <c r="H310" s="136"/>
      <c r="I310" s="136"/>
      <c r="J310" s="136">
        <f>T03_Skills!V27</f>
        <v>0</v>
      </c>
      <c r="K310" s="136">
        <f t="shared" si="179"/>
        <v>0</v>
      </c>
      <c r="L310" s="136">
        <f t="shared" si="180"/>
        <v>0</v>
      </c>
      <c r="M310" s="136">
        <f t="shared" si="181"/>
        <v>0</v>
      </c>
      <c r="N310" s="136"/>
      <c r="O310" s="136"/>
      <c r="P310" s="136"/>
      <c r="Q310" s="136"/>
      <c r="R310" s="411">
        <f t="shared" si="198"/>
        <v>1</v>
      </c>
      <c r="S310" s="412">
        <f>IF(R310&gt;0,1+COUNTIF(S$286:S309,"&gt;0"),0)</f>
        <v>22</v>
      </c>
      <c r="T310" s="412" t="str">
        <f t="shared" si="199"/>
        <v/>
      </c>
      <c r="U310" s="412" t="str">
        <f t="shared" si="182"/>
        <v/>
      </c>
      <c r="V310" s="413">
        <f t="shared" si="183"/>
        <v>0</v>
      </c>
      <c r="W310" s="411">
        <f t="shared" si="200"/>
        <v>1</v>
      </c>
      <c r="X310" s="412">
        <f>IF(W310&gt;0,1+COUNTIF(X$286:X309,"&gt;0"),0)</f>
        <v>21</v>
      </c>
      <c r="Y310" s="412" t="str">
        <f t="shared" si="201"/>
        <v/>
      </c>
      <c r="Z310" s="412" t="str">
        <f t="shared" si="184"/>
        <v/>
      </c>
      <c r="AA310" s="413">
        <f t="shared" si="185"/>
        <v>0</v>
      </c>
      <c r="AB310" s="411">
        <f t="shared" si="202"/>
        <v>1</v>
      </c>
      <c r="AC310" s="412">
        <f>IF(AB310&gt;0,1+COUNTIF(AC$286:AC309,"&gt;0"),0)</f>
        <v>20</v>
      </c>
      <c r="AD310" s="412" t="str">
        <f t="shared" si="203"/>
        <v/>
      </c>
      <c r="AE310" s="412" t="str">
        <f t="shared" si="186"/>
        <v/>
      </c>
      <c r="AF310" s="413">
        <f t="shared" si="187"/>
        <v>0</v>
      </c>
      <c r="AG310" s="411">
        <f t="shared" si="204"/>
        <v>1</v>
      </c>
      <c r="AH310" s="412">
        <f>IF(AG310&gt;0,1+COUNTIF(AH$286:AH309,"&gt;0"),0)</f>
        <v>19</v>
      </c>
      <c r="AI310" s="412" t="str">
        <f t="shared" si="205"/>
        <v/>
      </c>
      <c r="AJ310" s="412" t="str">
        <f t="shared" si="188"/>
        <v/>
      </c>
      <c r="AK310" s="413">
        <f t="shared" si="189"/>
        <v>1</v>
      </c>
      <c r="AL310" s="411">
        <f t="shared" si="206"/>
        <v>0</v>
      </c>
      <c r="AM310" s="412">
        <f>IF(AL310&gt;0,1+COUNTIF(AM$286:AM309,"&gt;0"),0)</f>
        <v>0</v>
      </c>
      <c r="AN310" s="412" t="str">
        <f t="shared" si="207"/>
        <v/>
      </c>
      <c r="AO310" s="412" t="str">
        <f t="shared" si="190"/>
        <v/>
      </c>
      <c r="AP310" s="413">
        <f t="shared" si="191"/>
        <v>1</v>
      </c>
      <c r="AQ310" s="411">
        <f t="shared" si="208"/>
        <v>0</v>
      </c>
      <c r="AR310" s="412">
        <f>IF(AQ310&gt;0,1+COUNTIF(AR$286:AR309,"&gt;0"),0)</f>
        <v>0</v>
      </c>
      <c r="AS310" s="412" t="str">
        <f t="shared" si="209"/>
        <v/>
      </c>
      <c r="AT310" s="412" t="str">
        <f t="shared" si="192"/>
        <v/>
      </c>
      <c r="AU310" s="413">
        <f t="shared" si="193"/>
        <v>1</v>
      </c>
      <c r="AV310" s="411">
        <f t="shared" si="210"/>
        <v>0</v>
      </c>
      <c r="AW310" s="412">
        <f>IF(AV310&gt;0,1+COUNTIF(AW$286:AW309,"&gt;0"),0)</f>
        <v>0</v>
      </c>
      <c r="AX310" s="412" t="str">
        <f t="shared" si="211"/>
        <v/>
      </c>
      <c r="AY310" s="412" t="str">
        <f t="shared" si="194"/>
        <v/>
      </c>
      <c r="AZ310" s="413">
        <f t="shared" si="195"/>
        <v>1</v>
      </c>
      <c r="BA310" s="411">
        <f t="shared" si="212"/>
        <v>0</v>
      </c>
      <c r="BB310" s="412">
        <f>IF(BA310&gt;0,1+COUNTIF(BB$286:BB309,"&gt;0"),0)</f>
        <v>0</v>
      </c>
      <c r="BC310" s="412" t="str">
        <f t="shared" si="213"/>
        <v/>
      </c>
      <c r="BD310" s="412" t="str">
        <f t="shared" si="196"/>
        <v/>
      </c>
      <c r="BE310" s="413">
        <f t="shared" si="197"/>
        <v>1</v>
      </c>
      <c r="DZ310" s="138"/>
    </row>
    <row r="311" spans="1:130" ht="17.25" thickBot="1" x14ac:dyDescent="0.35">
      <c r="A311" s="132">
        <f>IFERROR(IF(A310+1&lt;MAX(T041_ClassFeatures!$A$2:$A$2033),A310+1,""),"")</f>
        <v>308</v>
      </c>
      <c r="B311" s="131" t="str">
        <f>IFERROR(INDEX(T041_ClassFeatures!$B$2:$B$2033,MATCH('C03_ClassVariables'!A311,T041_ClassFeatures!$A$2:$A$2033,0),1),"")</f>
        <v xml:space="preserve">Conjuration Savant </v>
      </c>
      <c r="C311" s="131">
        <f>IF(B311="",0,IF(IFERROR(MATCH(B311,'C01_BaseCalculation'!$W$160:$W$239,0),0)&gt;0,1,0))</f>
        <v>0</v>
      </c>
      <c r="F311" s="152"/>
      <c r="G311" s="153"/>
      <c r="H311" s="153"/>
      <c r="I311" s="153"/>
      <c r="J311" s="153">
        <f>T03_Skills!V28</f>
        <v>0</v>
      </c>
      <c r="K311" s="153">
        <f t="shared" si="179"/>
        <v>0</v>
      </c>
      <c r="L311" s="153">
        <f t="shared" si="180"/>
        <v>0</v>
      </c>
      <c r="M311" s="153">
        <f t="shared" si="181"/>
        <v>0</v>
      </c>
      <c r="N311" s="153"/>
      <c r="O311" s="153"/>
      <c r="P311" s="153"/>
      <c r="Q311" s="153"/>
      <c r="R311" s="414">
        <f t="shared" si="198"/>
        <v>1</v>
      </c>
      <c r="S311" s="415">
        <f>IF(R311&gt;0,1+COUNTIF(S$286:S310,"&gt;0"),0)</f>
        <v>23</v>
      </c>
      <c r="T311" s="415" t="str">
        <f t="shared" si="199"/>
        <v/>
      </c>
      <c r="U311" s="415" t="str">
        <f t="shared" si="182"/>
        <v/>
      </c>
      <c r="V311" s="416">
        <f t="shared" si="183"/>
        <v>0</v>
      </c>
      <c r="W311" s="414">
        <f t="shared" si="200"/>
        <v>1</v>
      </c>
      <c r="X311" s="415">
        <f>IF(W311&gt;0,1+COUNTIF(X$286:X310,"&gt;0"),0)</f>
        <v>22</v>
      </c>
      <c r="Y311" s="415" t="str">
        <f t="shared" si="201"/>
        <v/>
      </c>
      <c r="Z311" s="415" t="str">
        <f t="shared" si="184"/>
        <v/>
      </c>
      <c r="AA311" s="416">
        <f t="shared" si="185"/>
        <v>0</v>
      </c>
      <c r="AB311" s="414">
        <f t="shared" si="202"/>
        <v>1</v>
      </c>
      <c r="AC311" s="415">
        <f>IF(AB311&gt;0,1+COUNTIF(AC$286:AC310,"&gt;0"),0)</f>
        <v>21</v>
      </c>
      <c r="AD311" s="415" t="str">
        <f t="shared" si="203"/>
        <v/>
      </c>
      <c r="AE311" s="415" t="str">
        <f t="shared" si="186"/>
        <v/>
      </c>
      <c r="AF311" s="416">
        <f t="shared" si="187"/>
        <v>0</v>
      </c>
      <c r="AG311" s="414">
        <f t="shared" si="204"/>
        <v>1</v>
      </c>
      <c r="AH311" s="415">
        <f>IF(AG311&gt;0,1+COUNTIF(AH$286:AH310,"&gt;0"),0)</f>
        <v>20</v>
      </c>
      <c r="AI311" s="415" t="str">
        <f t="shared" si="205"/>
        <v/>
      </c>
      <c r="AJ311" s="415" t="str">
        <f t="shared" si="188"/>
        <v/>
      </c>
      <c r="AK311" s="416">
        <f t="shared" si="189"/>
        <v>1</v>
      </c>
      <c r="AL311" s="414">
        <f t="shared" si="206"/>
        <v>0</v>
      </c>
      <c r="AM311" s="415">
        <f>IF(AL311&gt;0,1+COUNTIF(AM$286:AM310,"&gt;0"),0)</f>
        <v>0</v>
      </c>
      <c r="AN311" s="415" t="str">
        <f t="shared" si="207"/>
        <v/>
      </c>
      <c r="AO311" s="415" t="str">
        <f t="shared" si="190"/>
        <v/>
      </c>
      <c r="AP311" s="416">
        <f t="shared" si="191"/>
        <v>1</v>
      </c>
      <c r="AQ311" s="414">
        <f t="shared" si="208"/>
        <v>0</v>
      </c>
      <c r="AR311" s="415">
        <f>IF(AQ311&gt;0,1+COUNTIF(AR$286:AR310,"&gt;0"),0)</f>
        <v>0</v>
      </c>
      <c r="AS311" s="415" t="str">
        <f t="shared" si="209"/>
        <v/>
      </c>
      <c r="AT311" s="415" t="str">
        <f t="shared" si="192"/>
        <v/>
      </c>
      <c r="AU311" s="416">
        <f t="shared" si="193"/>
        <v>1</v>
      </c>
      <c r="AV311" s="414">
        <f t="shared" si="210"/>
        <v>0</v>
      </c>
      <c r="AW311" s="415">
        <f>IF(AV311&gt;0,1+COUNTIF(AW$286:AW310,"&gt;0"),0)</f>
        <v>0</v>
      </c>
      <c r="AX311" s="415" t="str">
        <f t="shared" si="211"/>
        <v/>
      </c>
      <c r="AY311" s="415" t="str">
        <f t="shared" si="194"/>
        <v/>
      </c>
      <c r="AZ311" s="416">
        <f t="shared" si="195"/>
        <v>1</v>
      </c>
      <c r="BA311" s="414">
        <f t="shared" si="212"/>
        <v>0</v>
      </c>
      <c r="BB311" s="415">
        <f>IF(BA311&gt;0,1+COUNTIF(BB$286:BB310,"&gt;0"),0)</f>
        <v>0</v>
      </c>
      <c r="BC311" s="415" t="str">
        <f t="shared" si="213"/>
        <v/>
      </c>
      <c r="BD311" s="415" t="str">
        <f t="shared" si="196"/>
        <v/>
      </c>
      <c r="BE311" s="416">
        <f t="shared" si="197"/>
        <v>1</v>
      </c>
      <c r="DZ311" s="138"/>
    </row>
    <row r="312" spans="1:130" ht="17.25" thickBot="1" x14ac:dyDescent="0.35">
      <c r="A312" s="132">
        <f>IFERROR(IF(A311+1&lt;MAX(T041_ClassFeatures!$A$2:$A$2033),A311+1,""),"")</f>
        <v>309</v>
      </c>
      <c r="B312" s="131" t="str">
        <f>IFERROR(INDEX(T041_ClassFeatures!$B$2:$B$2033,MATCH('C03_ClassVariables'!A312,T041_ClassFeatures!$A$2:$A$2033,0),1),"")</f>
        <v>Minor Conjuration</v>
      </c>
      <c r="C312" s="131">
        <f>IF(B312="",0,IF(IFERROR(MATCH(B312,'C01_BaseCalculation'!$W$160:$W$239,0),0)&gt;0,1,0))</f>
        <v>0</v>
      </c>
      <c r="E312" s="428"/>
      <c r="F312" s="428"/>
      <c r="G312" s="428"/>
      <c r="H312" s="428"/>
      <c r="I312" s="428"/>
      <c r="J312" s="428"/>
      <c r="K312" s="428"/>
      <c r="L312" s="428"/>
      <c r="M312" s="428"/>
      <c r="N312" s="428"/>
      <c r="O312" s="428"/>
      <c r="P312" s="428"/>
      <c r="Q312" s="428"/>
      <c r="R312" s="428"/>
      <c r="S312" s="428"/>
      <c r="T312" s="428"/>
      <c r="U312" s="428"/>
      <c r="V312" s="428"/>
      <c r="W312" s="428"/>
      <c r="X312" s="428"/>
      <c r="Y312" s="428"/>
      <c r="Z312" s="428"/>
      <c r="AA312" s="428"/>
      <c r="AB312" s="428"/>
      <c r="AC312" s="428"/>
      <c r="AD312" s="428"/>
      <c r="AE312" s="428"/>
      <c r="AF312" s="428"/>
      <c r="AG312" s="428"/>
      <c r="AH312" s="428"/>
      <c r="AI312" s="428"/>
      <c r="AJ312" s="428"/>
      <c r="AK312" s="428"/>
      <c r="AL312" s="428"/>
      <c r="AM312" s="428"/>
      <c r="AN312" s="428"/>
      <c r="AO312" s="428"/>
      <c r="AP312" s="428"/>
      <c r="AQ312" s="428"/>
      <c r="AR312" s="428"/>
      <c r="AS312" s="428"/>
      <c r="AT312" s="428"/>
      <c r="AU312" s="428"/>
      <c r="AV312" s="428"/>
      <c r="AW312" s="428"/>
      <c r="AX312" s="428"/>
      <c r="AY312" s="428"/>
      <c r="AZ312" s="428"/>
      <c r="BA312" s="428"/>
      <c r="BB312" s="428"/>
      <c r="BC312" s="428"/>
      <c r="BD312" s="428"/>
      <c r="BE312" s="428"/>
      <c r="BF312" s="428"/>
      <c r="BG312" s="428"/>
      <c r="BH312" s="428"/>
      <c r="BI312" s="428"/>
      <c r="BJ312" s="428"/>
      <c r="BK312" s="428"/>
      <c r="BL312" s="428"/>
      <c r="BM312" s="428"/>
      <c r="BN312" s="428"/>
      <c r="BO312" s="428"/>
      <c r="BP312" s="428"/>
      <c r="BQ312" s="428"/>
      <c r="BR312" s="428"/>
      <c r="BS312" s="428"/>
      <c r="BT312" s="428"/>
      <c r="BU312" s="428"/>
      <c r="BV312" s="428"/>
      <c r="BW312" s="428"/>
      <c r="BX312" s="428"/>
      <c r="BY312" s="428"/>
      <c r="BZ312" s="428"/>
      <c r="CA312" s="428"/>
      <c r="CB312" s="428"/>
      <c r="CC312" s="428"/>
      <c r="CD312" s="428"/>
      <c r="CE312" s="428"/>
      <c r="CF312" s="428"/>
      <c r="CG312" s="428"/>
      <c r="CH312" s="428"/>
      <c r="CI312" s="428"/>
      <c r="CJ312" s="428"/>
      <c r="CK312" s="428"/>
      <c r="CL312" s="428"/>
      <c r="CM312" s="428"/>
      <c r="CN312" s="428"/>
      <c r="CO312" s="428"/>
      <c r="CP312" s="428"/>
      <c r="CQ312" s="428"/>
      <c r="CR312" s="428"/>
      <c r="CS312" s="428"/>
      <c r="CT312" s="428"/>
      <c r="CU312" s="428"/>
      <c r="CV312" s="428"/>
      <c r="CW312" s="428"/>
      <c r="CX312" s="428"/>
      <c r="CY312" s="428"/>
      <c r="CZ312" s="428"/>
      <c r="DA312" s="428"/>
      <c r="DB312" s="428"/>
      <c r="DC312" s="428"/>
      <c r="DD312" s="428"/>
      <c r="DE312" s="428"/>
      <c r="DF312" s="428"/>
      <c r="DG312" s="428"/>
      <c r="DH312" s="428"/>
      <c r="DI312" s="428"/>
      <c r="DJ312" s="428"/>
      <c r="DK312" s="428"/>
      <c r="DL312" s="428"/>
      <c r="DM312" s="428"/>
      <c r="DN312" s="428"/>
      <c r="DO312" s="428"/>
      <c r="DP312" s="428"/>
      <c r="DQ312" s="428"/>
      <c r="DR312" s="428"/>
      <c r="DS312" s="428"/>
      <c r="DT312" s="428"/>
      <c r="DU312" s="428"/>
      <c r="DV312" s="428"/>
      <c r="DW312" s="428"/>
      <c r="DX312" s="428"/>
      <c r="DY312" s="428"/>
      <c r="DZ312" s="138"/>
    </row>
    <row r="313" spans="1:130" ht="17.25" thickBot="1" x14ac:dyDescent="0.35">
      <c r="A313" s="132">
        <f>IFERROR(IF(A312+1&lt;MAX(T041_ClassFeatures!$A$2:$A$2033),A312+1,""),"")</f>
        <v>310</v>
      </c>
      <c r="B313" s="131" t="str">
        <f>IFERROR(INDEX(T041_ClassFeatures!$B$2:$B$2033,MATCH('C03_ClassVariables'!A313,T041_ClassFeatures!$A$2:$A$2033,0),1),"")</f>
        <v>Benign Transposition</v>
      </c>
      <c r="C313" s="131">
        <f>IF(B313="",0,IF(IFERROR(MATCH(B313,'C01_BaseCalculation'!$W$160:$W$239,0),0)&gt;0,1,0))</f>
        <v>1</v>
      </c>
      <c r="E313" s="428"/>
      <c r="F313" s="428"/>
      <c r="G313" t="s">
        <v>5986</v>
      </c>
      <c r="H313" t="str">
        <f>INDEX(T01_Races!BB2:BB101,SelectedRaceID,1)</f>
        <v/>
      </c>
      <c r="I313" s="1040">
        <v>1</v>
      </c>
      <c r="J313" s="1037"/>
      <c r="K313" s="1037" t="str">
        <f>"Tools"&amp;I313</f>
        <v>Tools1</v>
      </c>
      <c r="L313" s="1037"/>
      <c r="M313" s="1037"/>
      <c r="N313" s="420" t="str">
        <f>IFERROR(INDEX($AE$360:$AE$379,MATCH(I313,$AD$360:$AD$379,0),1),"")</f>
        <v>Vehicles (land)</v>
      </c>
      <c r="O313" s="1040">
        <f>I313+1</f>
        <v>2</v>
      </c>
      <c r="P313" s="1037"/>
      <c r="Q313" s="1037" t="str">
        <f>"Tools"&amp;O313</f>
        <v>Tools2</v>
      </c>
      <c r="R313" s="1037"/>
      <c r="S313" s="1037"/>
      <c r="T313" s="420" t="str">
        <f>IFERROR(INDEX($AE$360:$AE$379,MATCH(O313,$AD$360:$AD$379,0),1),"")</f>
        <v>Single tools</v>
      </c>
      <c r="U313" s="1040">
        <f>O313+1</f>
        <v>3</v>
      </c>
      <c r="V313" s="1037"/>
      <c r="W313" s="1037" t="str">
        <f>"Tools"&amp;U313</f>
        <v>Tools3</v>
      </c>
      <c r="X313" s="1037"/>
      <c r="Y313" s="1037"/>
      <c r="Z313" s="420" t="str">
        <f>IFERROR(INDEX($AE$360:$AE$379,MATCH(U313,$AD$360:$AD$379,0),1),"")</f>
        <v/>
      </c>
      <c r="AA313" s="1040">
        <f>U313+1</f>
        <v>4</v>
      </c>
      <c r="AB313" s="1037"/>
      <c r="AC313" s="1037" t="str">
        <f>"Tools"&amp;AA313</f>
        <v>Tools4</v>
      </c>
      <c r="AD313" s="1037"/>
      <c r="AE313" s="1037"/>
      <c r="AF313" s="420" t="str">
        <f>IFERROR(INDEX($AE$360:$AE$379,MATCH(AA313,$AD$360:$AD$379,0),1),"")</f>
        <v/>
      </c>
      <c r="AG313" s="1040">
        <f>AA313+1</f>
        <v>5</v>
      </c>
      <c r="AH313" s="1037"/>
      <c r="AI313" s="1037" t="str">
        <f>"Tools"&amp;AG313</f>
        <v>Tools5</v>
      </c>
      <c r="AJ313" s="1037"/>
      <c r="AK313" s="1037"/>
      <c r="AL313" s="420" t="str">
        <f>IFERROR(INDEX($AE$360:$AE$379,MATCH(AG313,$AD$360:$AD$379,0),1),"")</f>
        <v/>
      </c>
      <c r="AM313" s="1040">
        <f>AG313+1</f>
        <v>6</v>
      </c>
      <c r="AN313" s="1037"/>
      <c r="AO313" s="1037" t="str">
        <f>"Tools"&amp;AM313</f>
        <v>Tools6</v>
      </c>
      <c r="AP313" s="1037"/>
      <c r="AQ313" s="1037"/>
      <c r="AR313" s="420" t="str">
        <f>IFERROR(INDEX($AE$360:$AE$379,MATCH(AM313,$AD$360:$AD$379,0),1),"")</f>
        <v/>
      </c>
      <c r="AS313" s="1040">
        <f>AM313+1</f>
        <v>7</v>
      </c>
      <c r="AT313" s="1037"/>
      <c r="AU313" s="1037" t="str">
        <f>"Tools"&amp;AS313</f>
        <v>Tools7</v>
      </c>
      <c r="AV313" s="1037"/>
      <c r="AW313" s="1037"/>
      <c r="AX313" s="420" t="str">
        <f>IFERROR(INDEX($AE$360:$AE$379,MATCH(AS313,$AD$360:$AD$379,0),1),"")</f>
        <v/>
      </c>
      <c r="AY313" s="1040">
        <f>AS313+1</f>
        <v>8</v>
      </c>
      <c r="AZ313" s="1037"/>
      <c r="BA313" s="1037" t="str">
        <f>"Tools"&amp;AY313</f>
        <v>Tools8</v>
      </c>
      <c r="BB313" s="1037"/>
      <c r="BC313" s="1037"/>
      <c r="BD313" s="420" t="str">
        <f>IFERROR(INDEX($AE$360:$AE$379,MATCH(AY313,$AD$360:$AD$379,0),1),"")</f>
        <v/>
      </c>
      <c r="BE313" s="1040">
        <f>AY313+1</f>
        <v>9</v>
      </c>
      <c r="BF313" s="1037"/>
      <c r="BG313" s="1037" t="str">
        <f>"Tools"&amp;BE313</f>
        <v>Tools9</v>
      </c>
      <c r="BH313" s="1037"/>
      <c r="BI313" s="1037"/>
      <c r="BJ313" s="420" t="str">
        <f>IFERROR(INDEX($AE$360:$AE$379,MATCH(BE313,$AD$360:$AD$379,0),1),"")</f>
        <v/>
      </c>
      <c r="BK313" s="1040">
        <f>BE313+1</f>
        <v>10</v>
      </c>
      <c r="BL313" s="1037"/>
      <c r="BM313" s="1037" t="str">
        <f>"Tools"&amp;BK313</f>
        <v>Tools10</v>
      </c>
      <c r="BN313" s="1037"/>
      <c r="BO313" s="1037"/>
      <c r="BP313" s="420" t="str">
        <f>IFERROR(INDEX($AE$360:$AE$379,MATCH(BK313,$AD$360:$AD$379,0),1),"")</f>
        <v/>
      </c>
      <c r="BQ313" s="1040">
        <f>BK313+1</f>
        <v>11</v>
      </c>
      <c r="BR313" s="1037"/>
      <c r="BS313" s="1037" t="str">
        <f>"Tools"&amp;BQ313</f>
        <v>Tools11</v>
      </c>
      <c r="BT313" s="1037"/>
      <c r="BU313" s="1037"/>
      <c r="BV313" s="420" t="str">
        <f>IFERROR(INDEX($AE$360:$AE$379,MATCH(BQ313,$AD$360:$AD$379,0),1),"")</f>
        <v/>
      </c>
      <c r="BW313" s="1040">
        <f>BQ313+1</f>
        <v>12</v>
      </c>
      <c r="BX313" s="1037"/>
      <c r="BY313" s="1037" t="str">
        <f>"Tools"&amp;BW313</f>
        <v>Tools12</v>
      </c>
      <c r="BZ313" s="1037"/>
      <c r="CA313" s="1037"/>
      <c r="CB313" s="420" t="str">
        <f>IFERROR(INDEX($AE$360:$AE$379,MATCH(BW313,$AD$360:$AD$379,0),1),"")</f>
        <v/>
      </c>
      <c r="CC313" s="1040">
        <f>BW313+1</f>
        <v>13</v>
      </c>
      <c r="CD313" s="1037"/>
      <c r="CE313" s="1037" t="str">
        <f>"Tools"&amp;CC313</f>
        <v>Tools13</v>
      </c>
      <c r="CF313" s="1037"/>
      <c r="CG313" s="1037"/>
      <c r="CH313" s="420" t="str">
        <f>IFERROR(INDEX($AE$360:$AE$379,MATCH(CC313,$AD$360:$AD$379,0),1),"")</f>
        <v/>
      </c>
      <c r="CI313" s="428"/>
      <c r="CJ313" s="428"/>
      <c r="CK313" s="1037"/>
      <c r="CL313" s="1037"/>
      <c r="CM313" s="1037"/>
      <c r="CN313" s="420"/>
      <c r="CO313" s="1040"/>
      <c r="CP313" s="1037"/>
      <c r="CQ313" s="1037"/>
      <c r="CR313" s="1037"/>
      <c r="CS313" s="1037"/>
      <c r="CT313" s="420"/>
      <c r="CU313" s="1040"/>
      <c r="CV313" s="1037"/>
      <c r="CW313" s="1037"/>
      <c r="CX313" s="1037"/>
      <c r="CY313" s="1037"/>
      <c r="CZ313" s="420"/>
      <c r="DA313" s="1040"/>
      <c r="DB313" s="1037"/>
      <c r="DC313" s="1037"/>
      <c r="DD313" s="1037"/>
      <c r="DE313" s="1037"/>
      <c r="DF313" s="420"/>
      <c r="DG313" s="1040"/>
      <c r="DH313" s="1037"/>
      <c r="DI313" s="1037"/>
      <c r="DJ313" s="1037"/>
      <c r="DK313" s="1037"/>
      <c r="DL313" s="420"/>
      <c r="DM313" s="1040"/>
      <c r="DN313" s="1037"/>
      <c r="DO313" s="1037"/>
      <c r="DP313" s="1037"/>
      <c r="DQ313" s="1037"/>
      <c r="DR313" s="420"/>
      <c r="DS313" s="1040"/>
      <c r="DT313" s="1037"/>
      <c r="DU313" s="1037"/>
      <c r="DV313" s="1037"/>
      <c r="DW313" s="1037"/>
      <c r="DX313" s="420"/>
      <c r="DY313" s="428"/>
      <c r="DZ313" s="138"/>
    </row>
    <row r="314" spans="1:130" ht="16.5" x14ac:dyDescent="0.3">
      <c r="A314" s="132">
        <f>IFERROR(IF(A313+1&lt;MAX(T041_ClassFeatures!$A$2:$A$2033),A313+1,""),"")</f>
        <v>311</v>
      </c>
      <c r="B314" s="131" t="str">
        <f>IFERROR(INDEX(T041_ClassFeatures!$B$2:$B$2033,MATCH('C03_ClassVariables'!A314,T041_ClassFeatures!$A$2:$A$2033,0),1),"")</f>
        <v>Focused Conjuration</v>
      </c>
      <c r="C314" s="131">
        <f>IF(B314="",0,IF(IFERROR(MATCH(B314,'C01_BaseCalculation'!$W$160:$W$239,0),0)&gt;0,1,0))</f>
        <v>0</v>
      </c>
      <c r="E314" s="428"/>
      <c r="F314" s="428"/>
      <c r="G314" t="s">
        <v>5987</v>
      </c>
      <c r="H314" t="str">
        <f>INDEX(T02_Backgrounds!K2:K101,SelectedBackgroundId,1)</f>
        <v>Vehicles (land)</v>
      </c>
      <c r="I314" s="421">
        <f>INDEX(T03_Skills!$AA$3:$BU$41,MATCH('C03_ClassVariables'!$G320,T03_Skills!$Z$3:$Z$41,0),MATCH('C03_ClassVariables'!N$313,T03_Skills!$AA$2:$BU$2,0))</f>
        <v>0</v>
      </c>
      <c r="J314" s="422">
        <f>I314</f>
        <v>0</v>
      </c>
      <c r="K314" s="422">
        <f>IF(J$314=0,0,1)</f>
        <v>0</v>
      </c>
      <c r="L314" s="422">
        <v>1</v>
      </c>
      <c r="M314" s="422" t="str">
        <f t="shared" ref="M314:M352" si="214">IF(ToolsProficiencyNumber&lt;I313,"",IFERROR(INDEX($G$320:$G$358,MATCH(L314,K$314:K$355,0),1),""))</f>
        <v>Vehicles (land)</v>
      </c>
      <c r="N314" s="423">
        <f t="shared" ref="N314:N352" si="215">IF(Tools1=$G320,1,0)</f>
        <v>0</v>
      </c>
      <c r="O314" s="421">
        <f>INDEX(T03_Skills!$AA$3:$BU$41,MATCH('C03_ClassVariables'!$G320,T03_Skills!$Z$3:$Z$41,0),MATCH('C03_ClassVariables'!T$313,T03_Skills!$AA$2:$BU$2,0))</f>
        <v>1</v>
      </c>
      <c r="P314" s="422">
        <f>IF(O314-N314&gt;0,1,0)</f>
        <v>1</v>
      </c>
      <c r="Q314" s="422">
        <f>IF(P$314=0,0,1)</f>
        <v>1</v>
      </c>
      <c r="R314" s="422">
        <v>1</v>
      </c>
      <c r="S314" s="422" t="str">
        <f t="shared" ref="S314:S352" si="216">IF(ToolsProficiencyNumber&lt;O313,"",IFERROR(INDEX($G$320:$G$358,MATCH(R314,Q$314:Q$355,0),1),""))</f>
        <v>Alchemist’s supplies</v>
      </c>
      <c r="T314" s="423">
        <f t="shared" ref="T314:T352" si="217">IF(Tools2=$G320,1,0)</f>
        <v>0</v>
      </c>
      <c r="U314" s="421" t="e">
        <f>INDEX(T03_Skills!$AA$3:$BU$41,MATCH('C03_ClassVariables'!$G320,T03_Skills!$Z$3:$Z$41,0),MATCH('C03_ClassVariables'!Z$313,T03_Skills!$AA$2:$BU$2,0))</f>
        <v>#N/A</v>
      </c>
      <c r="V314" s="422" t="e">
        <f>IF(U314-T314-N314&gt;0,1,0)</f>
        <v>#N/A</v>
      </c>
      <c r="W314" s="422" t="e">
        <f>IF(V$314=0,0,1)</f>
        <v>#N/A</v>
      </c>
      <c r="X314" s="422">
        <v>1</v>
      </c>
      <c r="Y314" s="422" t="str">
        <f>IF(ToolsProficiencyNumber&lt;U313,"",IFERROR(INDEX($G$320:$G$358,MATCH(X314,W$314:W$355,0),1),""))</f>
        <v/>
      </c>
      <c r="Z314" s="423">
        <f t="shared" ref="Z314:Z352" si="218">IF(Tools3=$G320,1,0)</f>
        <v>0</v>
      </c>
      <c r="AA314" s="421" t="e">
        <f>INDEX(T03_Skills!$AA$3:$BU$41,MATCH('C03_ClassVariables'!$G320,T03_Skills!$Z$3:$Z$41,0),MATCH('C03_ClassVariables'!AF$313,T03_Skills!$AA$2:$BU$2,0))</f>
        <v>#N/A</v>
      </c>
      <c r="AB314" s="422" t="e">
        <f>IF(AA314-Z314-T314-N314&gt;0,1,0)</f>
        <v>#N/A</v>
      </c>
      <c r="AC314" s="422" t="e">
        <f>IF(AB$314=0,0,1)</f>
        <v>#N/A</v>
      </c>
      <c r="AD314" s="422">
        <v>1</v>
      </c>
      <c r="AE314" s="422" t="str">
        <f>IF(ToolsProficiencyNumber&lt;AA313,"",IFERROR(INDEX($G$320:$G$358,MATCH(AD314,AC$314:AC$355,0),1),""))</f>
        <v/>
      </c>
      <c r="AF314" s="423">
        <f t="shared" ref="AF314:AF352" si="219">IF(Tools2=$G320,1,0)</f>
        <v>0</v>
      </c>
      <c r="AG314" s="421" t="e">
        <f>INDEX(T03_Skills!$AA$3:$BU$41,MATCH('C03_ClassVariables'!$G320,T03_Skills!$Z$3:$Z$41,0),MATCH('C03_ClassVariables'!AL$313,T03_Skills!$AA$2:$BU$2,0))</f>
        <v>#N/A</v>
      </c>
      <c r="AH314" s="422" t="e">
        <f>IF(AG314-AF314-Z314-T314-N314&gt;0,1,0)</f>
        <v>#N/A</v>
      </c>
      <c r="AI314" s="422" t="e">
        <f>IF(AH$314=0,0,1)</f>
        <v>#N/A</v>
      </c>
      <c r="AJ314" s="422">
        <v>1</v>
      </c>
      <c r="AK314" s="422" t="str">
        <f>IF(ToolsProficiencyNumber&lt;AG313,"",IFERROR(INDEX($G$320:$G$358,MATCH(AJ314,AI$314:AI$355,0),1),""))</f>
        <v/>
      </c>
      <c r="AL314" s="423">
        <f t="shared" ref="AL314:AL352" si="220">IF(Tools2=$G320,1,0)</f>
        <v>0</v>
      </c>
      <c r="AM314" s="421" t="e">
        <f>INDEX(T03_Skills!$AA$3:$BU$41,MATCH('C03_ClassVariables'!$G320,T03_Skills!$Z$3:$Z$41,0),MATCH('C03_ClassVariables'!AR$313,T03_Skills!$AA$2:$BU$2,0))</f>
        <v>#N/A</v>
      </c>
      <c r="AN314" s="422" t="e">
        <f>IF(AM314-AL314-AF314-Z314-T314-N314&gt;0,1,0)</f>
        <v>#N/A</v>
      </c>
      <c r="AO314" s="422" t="e">
        <f>IF(AN$314=0,0,1)</f>
        <v>#N/A</v>
      </c>
      <c r="AP314" s="422">
        <v>1</v>
      </c>
      <c r="AQ314" s="422" t="str">
        <f>IF(ToolsProficiencyNumber&lt;AM313,"",IFERROR(INDEX($G$320:$G$358,MATCH(AP314,AO$314:AO$355,0),1),""))</f>
        <v/>
      </c>
      <c r="AR314" s="423">
        <f t="shared" ref="AR314:AR352" si="221">IF(Tools2=$G320,1,0)</f>
        <v>0</v>
      </c>
      <c r="AS314" s="421" t="e">
        <f>INDEX(T03_Skills!$AA$3:$BU$41,MATCH('C03_ClassVariables'!$G320,T03_Skills!$Z$3:$Z$41,0),MATCH('C03_ClassVariables'!AX$313,T03_Skills!$AA$2:$BU$2,0))</f>
        <v>#N/A</v>
      </c>
      <c r="AT314" s="422" t="e">
        <f>IF(AS314-AR314-AL314-AF314-Z314-T314&gt;0,1,0)</f>
        <v>#N/A</v>
      </c>
      <c r="AU314" s="422" t="e">
        <f>IF(AT$314=0,0,1)</f>
        <v>#N/A</v>
      </c>
      <c r="AV314" s="422">
        <v>1</v>
      </c>
      <c r="AW314" s="422" t="str">
        <f>IF(ToolsProficiencyNumber&lt;AS313,"",IFERROR(INDEX($G$320:$G$358,MATCH(AV314,AU$314:AU$355,0),1),""))</f>
        <v/>
      </c>
      <c r="AX314" s="423">
        <f t="shared" ref="AX314:AX352" si="222">IF(Tools2=$G320,1,0)</f>
        <v>0</v>
      </c>
      <c r="AY314" s="421" t="e">
        <f>INDEX(T03_Skills!$AA$3:$BU$41,MATCH('C03_ClassVariables'!$G320,T03_Skills!$Z$3:$Z$41,0),MATCH('C03_ClassVariables'!BD$313,T03_Skills!$AA$2:$BU$2,0))</f>
        <v>#N/A</v>
      </c>
      <c r="AZ314" s="422" t="e">
        <f>IF(AY314-AX314-AR314-AL314-AF314-Z314&gt;0,1,0)</f>
        <v>#N/A</v>
      </c>
      <c r="BA314" s="422" t="e">
        <f>IF(AZ$314=0,0,1)</f>
        <v>#N/A</v>
      </c>
      <c r="BB314" s="422">
        <v>1</v>
      </c>
      <c r="BC314" s="422" t="str">
        <f>IF(ToolsProficiencyNumber&lt;AY313,"",IFERROR(INDEX($G$320:$G$358,MATCH(BB314,BA$314:BA$355,0),1),""))</f>
        <v/>
      </c>
      <c r="BD314" s="423">
        <f t="shared" ref="BD314:BD352" si="223">IF(Tools2=$G320,1,0)</f>
        <v>0</v>
      </c>
      <c r="BE314" s="421" t="e">
        <f>INDEX(T03_Skills!$AA$3:$BU$41,MATCH('C03_ClassVariables'!$G320,T03_Skills!$Z$3:$Z$41,0),MATCH('C03_ClassVariables'!BJ$313,T03_Skills!$AA$2:$BU$2,0))</f>
        <v>#N/A</v>
      </c>
      <c r="BF314" s="422" t="e">
        <f>IF(BE314-BD314-AX314-AR314-AL314-AF314&gt;0,1,0)</f>
        <v>#N/A</v>
      </c>
      <c r="BG314" s="422" t="e">
        <f>IF(BF$314=0,0,1)</f>
        <v>#N/A</v>
      </c>
      <c r="BH314" s="422">
        <v>1</v>
      </c>
      <c r="BI314" s="422" t="str">
        <f>IF(ToolsProficiencyNumber&lt;BE313,"",IFERROR(INDEX($G$320:$G$358,MATCH(BH314,BG$314:BG$355,0),1),""))</f>
        <v/>
      </c>
      <c r="BJ314" s="423">
        <f t="shared" ref="BJ314:BJ352" si="224">IF(Tools2=$G320,1,0)</f>
        <v>0</v>
      </c>
      <c r="BK314" s="421" t="e">
        <f>INDEX(T03_Skills!$AA$3:$BU$41,MATCH('C03_ClassVariables'!$G320,T03_Skills!$Z$3:$Z$41,0),MATCH('C03_ClassVariables'!BP$313,T03_Skills!$AA$2:$BU$2,0))</f>
        <v>#N/A</v>
      </c>
      <c r="BL314" s="422" t="e">
        <f>IF(BK314-BJ314-BD314-AX314-AR314-AL314&gt;0,1,0)</f>
        <v>#N/A</v>
      </c>
      <c r="BM314" s="422" t="e">
        <f>IF(BL$314=0,0,1)</f>
        <v>#N/A</v>
      </c>
      <c r="BN314" s="422">
        <v>1</v>
      </c>
      <c r="BO314" s="422" t="str">
        <f>IF(ToolsProficiencyNumber&lt;BK313,"",IFERROR(INDEX($G$320:$G$358,MATCH(BN314,BM$314:BM$355,0),1),""))</f>
        <v/>
      </c>
      <c r="BP314" s="423">
        <f t="shared" ref="BP314:BP352" si="225">IF(Tools2=$G320,1,0)</f>
        <v>0</v>
      </c>
      <c r="BQ314" s="421" t="e">
        <f>INDEX(T03_Skills!$AA$3:$BU$41,MATCH('C03_ClassVariables'!$G320,T03_Skills!$Z$3:$Z$41,0),MATCH('C03_ClassVariables'!BV$313,T03_Skills!$AA$2:$BU$2,0))</f>
        <v>#N/A</v>
      </c>
      <c r="BR314" s="422" t="e">
        <f>IF(BQ314-BP314-BJ314-BD314-AX314-AR314&gt;0,1,0)</f>
        <v>#N/A</v>
      </c>
      <c r="BS314" s="422" t="e">
        <f>IF(BR$314=0,0,1)</f>
        <v>#N/A</v>
      </c>
      <c r="BT314" s="422">
        <v>1</v>
      </c>
      <c r="BU314" s="422" t="str">
        <f>IF(ToolsProficiencyNumber&lt;BQ313,"",IFERROR(INDEX($G$320:$G$358,MATCH(BT314,BS$314:BS$355,0),1),""))</f>
        <v/>
      </c>
      <c r="BV314" s="423">
        <f t="shared" ref="BV314:BV352" si="226">IF(Tools2=$G320,1,0)</f>
        <v>0</v>
      </c>
      <c r="BW314" s="421" t="e">
        <f>INDEX(T03_Skills!$AA$3:$BU$41,MATCH('C03_ClassVariables'!$G320,T03_Skills!$Z$3:$Z$41,0),MATCH('C03_ClassVariables'!CB$313,T03_Skills!$AA$2:$BU$2,0))</f>
        <v>#N/A</v>
      </c>
      <c r="BX314" s="422" t="e">
        <f>IF(BW314-BV314-BP314-BJ314-BD314-AX314&gt;0,1,0)</f>
        <v>#N/A</v>
      </c>
      <c r="BY314" s="422" t="e">
        <f>IF(BX$314=0,0,1)</f>
        <v>#N/A</v>
      </c>
      <c r="BZ314" s="422">
        <v>1</v>
      </c>
      <c r="CA314" s="422" t="str">
        <f>IF(ToolsProficiencyNumber&lt;BW313,"",IFERROR(INDEX($G$320:$G$358,MATCH(BZ314,BY$314:BY$355,0),1),""))</f>
        <v/>
      </c>
      <c r="CB314" s="423">
        <f t="shared" ref="CB314:CB352" si="227">IF(Tools2=$G320,1,0)</f>
        <v>0</v>
      </c>
      <c r="CC314" s="421" t="e">
        <f>INDEX(T03_Skills!$AA$3:$BU$41,MATCH('C03_ClassVariables'!$G320,T03_Skills!$Z$3:$Z$41,0),MATCH('C03_ClassVariables'!CH$313,T03_Skills!$AA$2:$BU$2,0))</f>
        <v>#N/A</v>
      </c>
      <c r="CD314" s="422" t="e">
        <f>IF(CC314-CB314-BV314-BP314-BJ314-BD314&gt;0,1,0)</f>
        <v>#N/A</v>
      </c>
      <c r="CE314" s="422" t="e">
        <f>IF(CD$314=0,0,1)</f>
        <v>#N/A</v>
      </c>
      <c r="CF314" s="422">
        <v>1</v>
      </c>
      <c r="CG314" s="422" t="str">
        <f>IF(ToolsProficiencyNumber&lt;CC313,"",IFERROR(INDEX($G$320:$G$358,MATCH(CF314,CE$314:CE$355,0),1),""))</f>
        <v/>
      </c>
      <c r="CH314" s="423">
        <f t="shared" ref="CH314:CH352" si="228">IF(Tools2=$G320,1,0)</f>
        <v>0</v>
      </c>
      <c r="CI314" s="428"/>
      <c r="CJ314" s="428"/>
      <c r="CK314" s="422"/>
      <c r="CL314" s="422"/>
      <c r="CM314" s="422"/>
      <c r="CN314" s="423"/>
      <c r="CO314" s="421"/>
      <c r="CP314" s="422"/>
      <c r="CQ314" s="422"/>
      <c r="CR314" s="422"/>
      <c r="CS314" s="422"/>
      <c r="CT314" s="423"/>
      <c r="CU314" s="421"/>
      <c r="CV314" s="422"/>
      <c r="CW314" s="422"/>
      <c r="CX314" s="422"/>
      <c r="CY314" s="422"/>
      <c r="CZ314" s="423"/>
      <c r="DA314" s="421"/>
      <c r="DB314" s="422"/>
      <c r="DC314" s="422"/>
      <c r="DD314" s="422"/>
      <c r="DE314" s="422"/>
      <c r="DF314" s="423"/>
      <c r="DG314" s="421"/>
      <c r="DH314" s="422"/>
      <c r="DI314" s="422"/>
      <c r="DJ314" s="422"/>
      <c r="DK314" s="422"/>
      <c r="DL314" s="423"/>
      <c r="DM314" s="421"/>
      <c r="DN314" s="422"/>
      <c r="DO314" s="422"/>
      <c r="DP314" s="422"/>
      <c r="DQ314" s="422"/>
      <c r="DR314" s="423"/>
      <c r="DS314" s="421"/>
      <c r="DT314" s="422"/>
      <c r="DU314" s="422"/>
      <c r="DV314" s="422"/>
      <c r="DW314" s="422"/>
      <c r="DX314" s="423"/>
      <c r="DY314" s="428"/>
      <c r="DZ314" s="138"/>
    </row>
    <row r="315" spans="1:130" ht="16.5" x14ac:dyDescent="0.3">
      <c r="A315" s="132">
        <f>IFERROR(IF(A314+1&lt;MAX(T041_ClassFeatures!$A$2:$A$2033),A314+1,""),"")</f>
        <v>312</v>
      </c>
      <c r="B315" s="131" t="str">
        <f>IFERROR(INDEX(T041_ClassFeatures!$B$2:$B$2033,MATCH('C03_ClassVariables'!A315,T041_ClassFeatures!$A$2:$A$2033,0),1),"")</f>
        <v>Durable Summons</v>
      </c>
      <c r="C315" s="131">
        <f>IF(B315="",0,IF(IFERROR(MATCH(B315,'C01_BaseCalculation'!$W$160:$W$239,0),0)&gt;0,1,0))</f>
        <v>0</v>
      </c>
      <c r="E315" s="428"/>
      <c r="F315" s="428"/>
      <c r="G315" t="s">
        <v>5988</v>
      </c>
      <c r="H315">
        <f>INDEX(T02_Backgrounds!L2:L101,SelectedBackgroundId,1)</f>
        <v>0</v>
      </c>
      <c r="I315" s="421">
        <f>INDEX(T03_Skills!$AA$3:$BU$41,MATCH('C03_ClassVariables'!$G321,T03_Skills!$Z$3:$Z$41,0),MATCH('C03_ClassVariables'!N$313,T03_Skills!$AA$2:$BU$2,0))</f>
        <v>0</v>
      </c>
      <c r="J315" s="422">
        <f t="shared" ref="J315:J352" si="229">I315</f>
        <v>0</v>
      </c>
      <c r="K315" s="422">
        <f>IF(I315&gt;0,1+COUNTIF(K$314:K314,"&gt;0"),0)</f>
        <v>0</v>
      </c>
      <c r="L315" s="422" t="str">
        <f t="shared" ref="L315:L352" si="230">IF(ToolsProficiencyNumber&lt;I313,"",IFERROR(IF(L314&lt;MAX(K$314:K$355),L314+1,""),""))</f>
        <v/>
      </c>
      <c r="M315" s="422" t="str">
        <f t="shared" si="214"/>
        <v/>
      </c>
      <c r="N315" s="423">
        <f t="shared" si="215"/>
        <v>0</v>
      </c>
      <c r="O315" s="421">
        <f>INDEX(T03_Skills!$AA$3:$BU$41,MATCH('C03_ClassVariables'!$G321,T03_Skills!$Z$3:$Z$41,0),MATCH('C03_ClassVariables'!T$313,T03_Skills!$AA$2:$BU$2,0))</f>
        <v>1</v>
      </c>
      <c r="P315" s="422">
        <f t="shared" ref="P315:P352" si="231">IF(O315-N315&gt;0,1,0)</f>
        <v>1</v>
      </c>
      <c r="Q315" s="422">
        <f>IF(P315&gt;0,1+COUNTIF(Q$314:Q314,"&gt;0"),0)</f>
        <v>2</v>
      </c>
      <c r="R315" s="422">
        <f t="shared" ref="R315:R352" si="232">IF(ToolsProficiencyNumber&lt;O313,"",IFERROR(IF(R314&lt;MAX(Q$314:Q$355),R314+1,""),""))</f>
        <v>2</v>
      </c>
      <c r="S315" s="422" t="str">
        <f t="shared" si="216"/>
        <v>Brewer’s supplies</v>
      </c>
      <c r="T315" s="423">
        <f t="shared" si="217"/>
        <v>0</v>
      </c>
      <c r="U315" s="421" t="e">
        <f>INDEX(T03_Skills!$AA$3:$BU$41,MATCH('C03_ClassVariables'!$G321,T03_Skills!$Z$3:$Z$41,0),MATCH('C03_ClassVariables'!Z$313,T03_Skills!$AA$2:$BU$2,0))</f>
        <v>#N/A</v>
      </c>
      <c r="V315" s="422" t="e">
        <f t="shared" ref="V315:V352" si="233">IF(U315-T315-N315&gt;0,1,0)</f>
        <v>#N/A</v>
      </c>
      <c r="W315" s="422" t="e">
        <f>IF(V315&gt;0,1+COUNTIF(W$314:W314,"&gt;0"),0)</f>
        <v>#N/A</v>
      </c>
      <c r="X315" s="422" t="str">
        <f t="shared" ref="X315:X352" si="234">IFERROR(IF(ToolsProficiencyNumber&lt;U313,"",IFERROR(IF(X314&lt;MAX(W$314:W$355),X314+1,""),"")),"")</f>
        <v/>
      </c>
      <c r="Y315" s="422" t="str">
        <f t="shared" ref="Y315:Y352" si="235">IFERROR(IF(ToolsProficiencyNumber&lt;U314,"",IFERROR(INDEX($G$320:$G$358,MATCH(X315,W$314:W$355,0),1),"")),"")</f>
        <v/>
      </c>
      <c r="Z315" s="423">
        <f t="shared" si="218"/>
        <v>0</v>
      </c>
      <c r="AA315" s="421" t="e">
        <f>INDEX(T03_Skills!$AA$3:$BU$41,MATCH('C03_ClassVariables'!$G321,T03_Skills!$Z$3:$Z$41,0),MATCH('C03_ClassVariables'!AF$313,T03_Skills!$AA$2:$BU$2,0))</f>
        <v>#N/A</v>
      </c>
      <c r="AB315" s="422" t="e">
        <f t="shared" ref="AB315:AB352" si="236">IF(AA315-Z315-T315-N315&gt;0,1,0)</f>
        <v>#N/A</v>
      </c>
      <c r="AC315" s="422" t="e">
        <f>IF(AB315&gt;0,1+COUNTIF(AC$314:AC314,"&gt;0"),0)</f>
        <v>#N/A</v>
      </c>
      <c r="AD315" s="422" t="str">
        <f t="shared" ref="AD315:AD352" si="237">IFERROR(IF(ToolsProficiencyNumber&lt;AA313,"",IFERROR(IF(AD314&lt;MAX(AC$314:AC$355),AD314+1,""),"")),"")</f>
        <v/>
      </c>
      <c r="AE315" s="422" t="str">
        <f t="shared" ref="AE315:AE352" si="238">IFERROR(IF(ToolsProficiencyNumber&lt;AA314,"",IFERROR(INDEX($G$320:$G$358,MATCH(AD315,AC$314:AC$355,0),1),"")),"")</f>
        <v/>
      </c>
      <c r="AF315" s="423">
        <f t="shared" si="219"/>
        <v>0</v>
      </c>
      <c r="AG315" s="421" t="e">
        <f>INDEX(T03_Skills!$AA$3:$BU$41,MATCH('C03_ClassVariables'!$G321,T03_Skills!$Z$3:$Z$41,0),MATCH('C03_ClassVariables'!AL$313,T03_Skills!$AA$2:$BU$2,0))</f>
        <v>#N/A</v>
      </c>
      <c r="AH315" s="422" t="e">
        <f t="shared" ref="AH315:AH352" si="239">IF(AG315-AF315-Z315-T315-N315&gt;0,1,0)</f>
        <v>#N/A</v>
      </c>
      <c r="AI315" s="422" t="e">
        <f>IF(AH315&gt;0,1+COUNTIF(AI$314:AI314,"&gt;0"),0)</f>
        <v>#N/A</v>
      </c>
      <c r="AJ315" s="422" t="str">
        <f t="shared" ref="AJ315:AJ352" si="240">IFERROR(IF(ToolsProficiencyNumber&lt;AG313,"",IFERROR(IF(AJ314&lt;MAX(AI$314:AI$355),AJ314+1,""),"")),"")</f>
        <v/>
      </c>
      <c r="AK315" s="422" t="str">
        <f t="shared" ref="AK315:AK352" si="241">IFERROR(IF(ToolsProficiencyNumber&lt;AG314,"",IFERROR(INDEX($G$320:$G$358,MATCH(AJ315,AI$314:AI$355,0),1),"")),"")</f>
        <v/>
      </c>
      <c r="AL315" s="423">
        <f t="shared" si="220"/>
        <v>0</v>
      </c>
      <c r="AM315" s="421" t="e">
        <f>INDEX(T03_Skills!$AA$3:$BU$41,MATCH('C03_ClassVariables'!$G321,T03_Skills!$Z$3:$Z$41,0),MATCH('C03_ClassVariables'!AR$313,T03_Skills!$AA$2:$BU$2,0))</f>
        <v>#N/A</v>
      </c>
      <c r="AN315" s="422" t="e">
        <f t="shared" ref="AN315:AN352" si="242">IF(AM315-AL315-AF315-Z315-T315-N315&gt;0,1,0)</f>
        <v>#N/A</v>
      </c>
      <c r="AO315" s="422" t="e">
        <f>IF(AN315&gt;0,1+COUNTIF(AO$314:AO314,"&gt;0"),0)</f>
        <v>#N/A</v>
      </c>
      <c r="AP315" s="422" t="str">
        <f t="shared" ref="AP315:AP352" si="243">IFERROR(IF(ToolsProficiencyNumber&lt;AM313,"",IFERROR(IF(AP314&lt;MAX(AO$314:AO$355),AP314+1,""),"")),"")</f>
        <v/>
      </c>
      <c r="AQ315" s="422" t="str">
        <f t="shared" ref="AQ315:AQ352" si="244">IFERROR(IF(ToolsProficiencyNumber&lt;AM314,"",IFERROR(INDEX($G$320:$G$358,MATCH(AP315,AO$314:AO$355,0),1),"")),"")</f>
        <v/>
      </c>
      <c r="AR315" s="423">
        <f t="shared" si="221"/>
        <v>0</v>
      </c>
      <c r="AS315" s="421" t="e">
        <f>INDEX(T03_Skills!$AA$3:$BU$41,MATCH('C03_ClassVariables'!$G321,T03_Skills!$Z$3:$Z$41,0),MATCH('C03_ClassVariables'!AX$313,T03_Skills!$AA$2:$BU$2,0))</f>
        <v>#N/A</v>
      </c>
      <c r="AT315" s="422" t="e">
        <f t="shared" ref="AT315:AT352" si="245">IF(AS315-AR315-AL315-AF315-Z315-T315&gt;0,1,0)</f>
        <v>#N/A</v>
      </c>
      <c r="AU315" s="422" t="e">
        <f>IF(AT315&gt;0,1+COUNTIF(AU$314:AU314,"&gt;0"),0)</f>
        <v>#N/A</v>
      </c>
      <c r="AV315" s="422" t="str">
        <f t="shared" ref="AV315:AV352" si="246">IFERROR(IF(ToolsProficiencyNumber&lt;AS313,"",IFERROR(IF(AV314&lt;MAX(AU$314:AU$355),AV314+1,""),"")),"")</f>
        <v/>
      </c>
      <c r="AW315" s="422" t="str">
        <f t="shared" ref="AW315:AW352" si="247">IFERROR(IF(ToolsProficiencyNumber&lt;AS314,"",IFERROR(INDEX($G$320:$G$358,MATCH(AV315,AU$314:AU$355,0),1),"")),"")</f>
        <v/>
      </c>
      <c r="AX315" s="423">
        <f t="shared" si="222"/>
        <v>0</v>
      </c>
      <c r="AY315" s="421" t="e">
        <f>INDEX(T03_Skills!$AA$3:$BU$41,MATCH('C03_ClassVariables'!$G321,T03_Skills!$Z$3:$Z$41,0),MATCH('C03_ClassVariables'!BD$313,T03_Skills!$AA$2:$BU$2,0))</f>
        <v>#N/A</v>
      </c>
      <c r="AZ315" s="422" t="e">
        <f t="shared" ref="AZ315:AZ352" si="248">IF(AY315-AX315-AR315-AL315-AF315-Z315&gt;0,1,0)</f>
        <v>#N/A</v>
      </c>
      <c r="BA315" s="422" t="e">
        <f>IF(AZ315&gt;0,1+COUNTIF(BA$314:BA314,"&gt;0"),0)</f>
        <v>#N/A</v>
      </c>
      <c r="BB315" s="422" t="str">
        <f t="shared" ref="BB315:BB352" si="249">IFERROR(IF(ToolsProficiencyNumber&lt;AY313,"",IFERROR(IF(BB314&lt;MAX(BA$314:BA$355),BB314+1,""),"")),"")</f>
        <v/>
      </c>
      <c r="BC315" s="422" t="str">
        <f t="shared" ref="BC315:BC352" si="250">IFERROR(IF(ToolsProficiencyNumber&lt;AY314,"",IFERROR(INDEX($G$320:$G$358,MATCH(BB315,BA$314:BA$355,0),1),"")),"")</f>
        <v/>
      </c>
      <c r="BD315" s="423">
        <f t="shared" si="223"/>
        <v>0</v>
      </c>
      <c r="BE315" s="421" t="e">
        <f>INDEX(T03_Skills!$AA$3:$BU$41,MATCH('C03_ClassVariables'!$G321,T03_Skills!$Z$3:$Z$41,0),MATCH('C03_ClassVariables'!BJ$313,T03_Skills!$AA$2:$BU$2,0))</f>
        <v>#N/A</v>
      </c>
      <c r="BF315" s="422" t="e">
        <f t="shared" ref="BF315:BF352" si="251">IF(BE315-BD315-AX315-AR315-AL315-AF315&gt;0,1,0)</f>
        <v>#N/A</v>
      </c>
      <c r="BG315" s="422" t="e">
        <f>IF(BF315&gt;0,1+COUNTIF(BG$314:BG314,"&gt;0"),0)</f>
        <v>#N/A</v>
      </c>
      <c r="BH315" s="422" t="str">
        <f t="shared" ref="BH315:BH352" si="252">IFERROR(IF(ToolsProficiencyNumber&lt;BE313,"",IFERROR(IF(BH314&lt;MAX(BG$314:BG$355),BH314+1,""),"")),"")</f>
        <v/>
      </c>
      <c r="BI315" s="422" t="str">
        <f t="shared" ref="BI315:BI352" si="253">IFERROR(IF(ToolsProficiencyNumber&lt;BE314,"",IFERROR(INDEX($G$320:$G$358,MATCH(BH315,BG$314:BG$355,0),1),"")),"")</f>
        <v/>
      </c>
      <c r="BJ315" s="423">
        <f t="shared" si="224"/>
        <v>0</v>
      </c>
      <c r="BK315" s="421" t="e">
        <f>INDEX(T03_Skills!$AA$3:$BU$41,MATCH('C03_ClassVariables'!$G321,T03_Skills!$Z$3:$Z$41,0),MATCH('C03_ClassVariables'!BP$313,T03_Skills!$AA$2:$BU$2,0))</f>
        <v>#N/A</v>
      </c>
      <c r="BL315" s="422" t="e">
        <f t="shared" ref="BL315:BL352" si="254">IF(BK315-BJ315-BD315-AX315-AR315-AL315&gt;0,1,0)</f>
        <v>#N/A</v>
      </c>
      <c r="BM315" s="422" t="e">
        <f>IF(BL315&gt;0,1+COUNTIF(BM$314:BM314,"&gt;0"),0)</f>
        <v>#N/A</v>
      </c>
      <c r="BN315" s="422" t="str">
        <f t="shared" ref="BN315:BN352" si="255">IFERROR(IF(ToolsProficiencyNumber&lt;BK313,"",IFERROR(IF(BN314&lt;MAX(BM$314:BM$355),BN314+1,""),"")),"")</f>
        <v/>
      </c>
      <c r="BO315" s="422" t="str">
        <f t="shared" ref="BO315:BO352" si="256">IFERROR(IF(ToolsProficiencyNumber&lt;BK314,"",IFERROR(INDEX($G$320:$G$358,MATCH(BN315,BM$314:BM$355,0),1),"")),"")</f>
        <v/>
      </c>
      <c r="BP315" s="423">
        <f t="shared" si="225"/>
        <v>0</v>
      </c>
      <c r="BQ315" s="421" t="e">
        <f>INDEX(T03_Skills!$AA$3:$BU$41,MATCH('C03_ClassVariables'!$G321,T03_Skills!$Z$3:$Z$41,0),MATCH('C03_ClassVariables'!BV$313,T03_Skills!$AA$2:$BU$2,0))</f>
        <v>#N/A</v>
      </c>
      <c r="BR315" s="422" t="e">
        <f t="shared" ref="BR315:BR352" si="257">IF(BQ315-BP315-BJ315-BD315-AX315-AR315&gt;0,1,0)</f>
        <v>#N/A</v>
      </c>
      <c r="BS315" s="422" t="e">
        <f>IF(BR315&gt;0,1+COUNTIF(BS$314:BS314,"&gt;0"),0)</f>
        <v>#N/A</v>
      </c>
      <c r="BT315" s="422" t="str">
        <f t="shared" ref="BT315:BT352" si="258">IFERROR(IF(ToolsProficiencyNumber&lt;BQ313,"",IFERROR(IF(BT314&lt;MAX(BS$314:BS$355),BT314+1,""),"")),"")</f>
        <v/>
      </c>
      <c r="BU315" s="422" t="str">
        <f t="shared" ref="BU315:BU352" si="259">IFERROR(IF(ToolsProficiencyNumber&lt;BQ314,"",IFERROR(INDEX($G$320:$G$358,MATCH(BT315,BS$314:BS$355,0),1),"")),"")</f>
        <v/>
      </c>
      <c r="BV315" s="423">
        <f t="shared" si="226"/>
        <v>0</v>
      </c>
      <c r="BW315" s="421" t="e">
        <f>INDEX(T03_Skills!$AA$3:$BU$41,MATCH('C03_ClassVariables'!$G321,T03_Skills!$Z$3:$Z$41,0),MATCH('C03_ClassVariables'!CB$313,T03_Skills!$AA$2:$BU$2,0))</f>
        <v>#N/A</v>
      </c>
      <c r="BX315" s="422" t="e">
        <f t="shared" ref="BX315:BX352" si="260">IF(BW315-BV315-BP315-BJ315-BD315-AX315&gt;0,1,0)</f>
        <v>#N/A</v>
      </c>
      <c r="BY315" s="422" t="e">
        <f>IF(BX315&gt;0,1+COUNTIF(BY$314:BY314,"&gt;0"),0)</f>
        <v>#N/A</v>
      </c>
      <c r="BZ315" s="422" t="str">
        <f t="shared" ref="BZ315:BZ352" si="261">IFERROR(IF(ToolsProficiencyNumber&lt;BW313,"",IFERROR(IF(BZ314&lt;MAX(BY$314:BY$355),BZ314+1,""),"")),"")</f>
        <v/>
      </c>
      <c r="CA315" s="422" t="str">
        <f t="shared" ref="CA315:CA352" si="262">IFERROR(IF(ToolsProficiencyNumber&lt;BW314,"",IFERROR(INDEX($G$320:$G$358,MATCH(BZ315,BY$314:BY$355,0),1),"")),"")</f>
        <v/>
      </c>
      <c r="CB315" s="423">
        <f t="shared" si="227"/>
        <v>0</v>
      </c>
      <c r="CC315" s="421" t="e">
        <f>INDEX(T03_Skills!$AA$3:$BU$41,MATCH('C03_ClassVariables'!$G321,T03_Skills!$Z$3:$Z$41,0),MATCH('C03_ClassVariables'!CH$313,T03_Skills!$AA$2:$BU$2,0))</f>
        <v>#N/A</v>
      </c>
      <c r="CD315" s="422" t="e">
        <f t="shared" ref="CD315:CD352" si="263">IF(CC315-CB315-BV315-BP315-BJ315-BD315&gt;0,1,0)</f>
        <v>#N/A</v>
      </c>
      <c r="CE315" s="422" t="e">
        <f>IF(CD315&gt;0,1+COUNTIF(CE$314:CE314,"&gt;0"),0)</f>
        <v>#N/A</v>
      </c>
      <c r="CF315" s="422" t="str">
        <f t="shared" ref="CF315:CF352" si="264">IFERROR(IF(ToolsProficiencyNumber&lt;CC313,"",IFERROR(IF(CF314&lt;MAX(CE$314:CE$355),CF314+1,""),"")),"")</f>
        <v/>
      </c>
      <c r="CG315" s="422" t="str">
        <f t="shared" ref="CG315:CG352" si="265">IFERROR(IF(ToolsProficiencyNumber&lt;CC314,"",IFERROR(INDEX($G$320:$G$358,MATCH(CF315,CE$314:CE$355,0),1),"")),"")</f>
        <v/>
      </c>
      <c r="CH315" s="423">
        <f t="shared" si="228"/>
        <v>0</v>
      </c>
      <c r="CI315" s="428"/>
      <c r="CJ315" s="428"/>
      <c r="CK315" s="422"/>
      <c r="CL315" s="422"/>
      <c r="CM315" s="422"/>
      <c r="CN315" s="423"/>
      <c r="CO315" s="421"/>
      <c r="CP315" s="422"/>
      <c r="CQ315" s="422"/>
      <c r="CR315" s="422"/>
      <c r="CS315" s="422"/>
      <c r="CT315" s="423"/>
      <c r="CU315" s="421"/>
      <c r="CV315" s="422"/>
      <c r="CW315" s="422"/>
      <c r="CX315" s="422"/>
      <c r="CY315" s="422"/>
      <c r="CZ315" s="423"/>
      <c r="DA315" s="421"/>
      <c r="DB315" s="422"/>
      <c r="DC315" s="422"/>
      <c r="DD315" s="422"/>
      <c r="DE315" s="422"/>
      <c r="DF315" s="423"/>
      <c r="DG315" s="421"/>
      <c r="DH315" s="422"/>
      <c r="DI315" s="422"/>
      <c r="DJ315" s="422"/>
      <c r="DK315" s="422"/>
      <c r="DL315" s="423"/>
      <c r="DM315" s="421"/>
      <c r="DN315" s="422"/>
      <c r="DO315" s="422"/>
      <c r="DP315" s="422"/>
      <c r="DQ315" s="422"/>
      <c r="DR315" s="423"/>
      <c r="DS315" s="421"/>
      <c r="DT315" s="422"/>
      <c r="DU315" s="422"/>
      <c r="DV315" s="422"/>
      <c r="DW315" s="422"/>
      <c r="DX315" s="423"/>
      <c r="DY315" s="428"/>
      <c r="DZ315" s="138"/>
    </row>
    <row r="316" spans="1:130" ht="16.5" x14ac:dyDescent="0.3">
      <c r="A316" s="132">
        <f>IFERROR(IF(A315+1&lt;MAX(T041_ClassFeatures!$A$2:$A$2033),A315+1,""),"")</f>
        <v>313</v>
      </c>
      <c r="B316" s="131" t="str">
        <f>IFERROR(INDEX(T041_ClassFeatures!$B$2:$B$2033,MATCH('C03_ClassVariables'!A316,T041_ClassFeatures!$A$2:$A$2033,0),1),"")</f>
        <v xml:space="preserve">Divination Savant </v>
      </c>
      <c r="C316" s="131">
        <f>IF(B316="",0,IF(IFERROR(MATCH(B316,'C01_BaseCalculation'!$W$160:$W$239,0),0)&gt;0,1,0))</f>
        <v>0</v>
      </c>
      <c r="E316" s="428"/>
      <c r="F316" s="428"/>
      <c r="G316" t="s">
        <v>5989</v>
      </c>
      <c r="H316" t="str">
        <f>IF(IFERROR(INDEX(T04_Classes!J3:K102,SelectedClassID,1),"")="None","",IFERROR(INDEX(T04_Classes!J3:K102,SelectedClassID,1),""))</f>
        <v/>
      </c>
      <c r="I316" s="421">
        <f>INDEX(T03_Skills!$AA$3:$BU$41,MATCH('C03_ClassVariables'!$G322,T03_Skills!$Z$3:$Z$41,0),MATCH('C03_ClassVariables'!N$313,T03_Skills!$AA$2:$BU$2,0))</f>
        <v>0</v>
      </c>
      <c r="J316" s="422">
        <f t="shared" si="229"/>
        <v>0</v>
      </c>
      <c r="K316" s="422">
        <f>IF(I316&gt;0,1+COUNTIF(K$314:K315,"&gt;0"),0)</f>
        <v>0</v>
      </c>
      <c r="L316" s="422" t="str">
        <f t="shared" si="230"/>
        <v/>
      </c>
      <c r="M316" s="422" t="str">
        <f t="shared" si="214"/>
        <v/>
      </c>
      <c r="N316" s="423">
        <f t="shared" si="215"/>
        <v>0</v>
      </c>
      <c r="O316" s="421">
        <f>INDEX(T03_Skills!$AA$3:$BU$41,MATCH('C03_ClassVariables'!$G322,T03_Skills!$Z$3:$Z$41,0),MATCH('C03_ClassVariables'!T$313,T03_Skills!$AA$2:$BU$2,0))</f>
        <v>1</v>
      </c>
      <c r="P316" s="422">
        <f t="shared" si="231"/>
        <v>1</v>
      </c>
      <c r="Q316" s="422">
        <f>IF(P316&gt;0,1+COUNTIF(Q$314:Q315,"&gt;0"),0)</f>
        <v>3</v>
      </c>
      <c r="R316" s="422">
        <f t="shared" si="232"/>
        <v>3</v>
      </c>
      <c r="S316" s="422" t="str">
        <f t="shared" si="216"/>
        <v>Calligrapher's supplies</v>
      </c>
      <c r="T316" s="423">
        <f t="shared" si="217"/>
        <v>0</v>
      </c>
      <c r="U316" s="421" t="e">
        <f>INDEX(T03_Skills!$AA$3:$BU$41,MATCH('C03_ClassVariables'!$G322,T03_Skills!$Z$3:$Z$41,0),MATCH('C03_ClassVariables'!Z$313,T03_Skills!$AA$2:$BU$2,0))</f>
        <v>#N/A</v>
      </c>
      <c r="V316" s="422" t="e">
        <f t="shared" si="233"/>
        <v>#N/A</v>
      </c>
      <c r="W316" s="422" t="e">
        <f>IF(V316&gt;0,1+COUNTIF(W$314:W315,"&gt;0"),0)</f>
        <v>#N/A</v>
      </c>
      <c r="X316" s="422" t="str">
        <f t="shared" si="234"/>
        <v/>
      </c>
      <c r="Y316" s="422" t="str">
        <f t="shared" si="235"/>
        <v/>
      </c>
      <c r="Z316" s="423">
        <f t="shared" si="218"/>
        <v>0</v>
      </c>
      <c r="AA316" s="421" t="e">
        <f>INDEX(T03_Skills!$AA$3:$BU$41,MATCH('C03_ClassVariables'!$G322,T03_Skills!$Z$3:$Z$41,0),MATCH('C03_ClassVariables'!AF$313,T03_Skills!$AA$2:$BU$2,0))</f>
        <v>#N/A</v>
      </c>
      <c r="AB316" s="422" t="e">
        <f t="shared" si="236"/>
        <v>#N/A</v>
      </c>
      <c r="AC316" s="422" t="e">
        <f>IF(AB316&gt;0,1+COUNTIF(AC$314:AC315,"&gt;0"),0)</f>
        <v>#N/A</v>
      </c>
      <c r="AD316" s="422" t="str">
        <f t="shared" si="237"/>
        <v/>
      </c>
      <c r="AE316" s="422" t="str">
        <f t="shared" si="238"/>
        <v/>
      </c>
      <c r="AF316" s="423">
        <f t="shared" si="219"/>
        <v>0</v>
      </c>
      <c r="AG316" s="421" t="e">
        <f>INDEX(T03_Skills!$AA$3:$BU$41,MATCH('C03_ClassVariables'!$G322,T03_Skills!$Z$3:$Z$41,0),MATCH('C03_ClassVariables'!AL$313,T03_Skills!$AA$2:$BU$2,0))</f>
        <v>#N/A</v>
      </c>
      <c r="AH316" s="422" t="e">
        <f t="shared" si="239"/>
        <v>#N/A</v>
      </c>
      <c r="AI316" s="422" t="e">
        <f>IF(AH316&gt;0,1+COUNTIF(AI$314:AI315,"&gt;0"),0)</f>
        <v>#N/A</v>
      </c>
      <c r="AJ316" s="422" t="str">
        <f t="shared" si="240"/>
        <v/>
      </c>
      <c r="AK316" s="422" t="str">
        <f t="shared" si="241"/>
        <v/>
      </c>
      <c r="AL316" s="423">
        <f t="shared" si="220"/>
        <v>0</v>
      </c>
      <c r="AM316" s="421" t="e">
        <f>INDEX(T03_Skills!$AA$3:$BU$41,MATCH('C03_ClassVariables'!$G322,T03_Skills!$Z$3:$Z$41,0),MATCH('C03_ClassVariables'!AR$313,T03_Skills!$AA$2:$BU$2,0))</f>
        <v>#N/A</v>
      </c>
      <c r="AN316" s="422" t="e">
        <f t="shared" si="242"/>
        <v>#N/A</v>
      </c>
      <c r="AO316" s="422" t="e">
        <f>IF(AN316&gt;0,1+COUNTIF(AO$314:AO315,"&gt;0"),0)</f>
        <v>#N/A</v>
      </c>
      <c r="AP316" s="422" t="str">
        <f t="shared" si="243"/>
        <v/>
      </c>
      <c r="AQ316" s="422" t="str">
        <f t="shared" si="244"/>
        <v/>
      </c>
      <c r="AR316" s="423">
        <f t="shared" si="221"/>
        <v>0</v>
      </c>
      <c r="AS316" s="421" t="e">
        <f>INDEX(T03_Skills!$AA$3:$BU$41,MATCH('C03_ClassVariables'!$G322,T03_Skills!$Z$3:$Z$41,0),MATCH('C03_ClassVariables'!AX$313,T03_Skills!$AA$2:$BU$2,0))</f>
        <v>#N/A</v>
      </c>
      <c r="AT316" s="422" t="e">
        <f t="shared" si="245"/>
        <v>#N/A</v>
      </c>
      <c r="AU316" s="422" t="e">
        <f>IF(AT316&gt;0,1+COUNTIF(AU$314:AU315,"&gt;0"),0)</f>
        <v>#N/A</v>
      </c>
      <c r="AV316" s="422" t="str">
        <f t="shared" si="246"/>
        <v/>
      </c>
      <c r="AW316" s="422" t="str">
        <f t="shared" si="247"/>
        <v/>
      </c>
      <c r="AX316" s="423">
        <f t="shared" si="222"/>
        <v>0</v>
      </c>
      <c r="AY316" s="421" t="e">
        <f>INDEX(T03_Skills!$AA$3:$BU$41,MATCH('C03_ClassVariables'!$G322,T03_Skills!$Z$3:$Z$41,0),MATCH('C03_ClassVariables'!BD$313,T03_Skills!$AA$2:$BU$2,0))</f>
        <v>#N/A</v>
      </c>
      <c r="AZ316" s="422" t="e">
        <f t="shared" si="248"/>
        <v>#N/A</v>
      </c>
      <c r="BA316" s="422" t="e">
        <f>IF(AZ316&gt;0,1+COUNTIF(BA$314:BA315,"&gt;0"),0)</f>
        <v>#N/A</v>
      </c>
      <c r="BB316" s="422" t="str">
        <f t="shared" si="249"/>
        <v/>
      </c>
      <c r="BC316" s="422" t="str">
        <f t="shared" si="250"/>
        <v/>
      </c>
      <c r="BD316" s="423">
        <f t="shared" si="223"/>
        <v>0</v>
      </c>
      <c r="BE316" s="421" t="e">
        <f>INDEX(T03_Skills!$AA$3:$BU$41,MATCH('C03_ClassVariables'!$G322,T03_Skills!$Z$3:$Z$41,0),MATCH('C03_ClassVariables'!BJ$313,T03_Skills!$AA$2:$BU$2,0))</f>
        <v>#N/A</v>
      </c>
      <c r="BF316" s="422" t="e">
        <f t="shared" si="251"/>
        <v>#N/A</v>
      </c>
      <c r="BG316" s="422" t="e">
        <f>IF(BF316&gt;0,1+COUNTIF(BG$314:BG315,"&gt;0"),0)</f>
        <v>#N/A</v>
      </c>
      <c r="BH316" s="422" t="str">
        <f t="shared" si="252"/>
        <v/>
      </c>
      <c r="BI316" s="422" t="str">
        <f t="shared" si="253"/>
        <v/>
      </c>
      <c r="BJ316" s="423">
        <f t="shared" si="224"/>
        <v>0</v>
      </c>
      <c r="BK316" s="421" t="e">
        <f>INDEX(T03_Skills!$AA$3:$BU$41,MATCH('C03_ClassVariables'!$G322,T03_Skills!$Z$3:$Z$41,0),MATCH('C03_ClassVariables'!BP$313,T03_Skills!$AA$2:$BU$2,0))</f>
        <v>#N/A</v>
      </c>
      <c r="BL316" s="422" t="e">
        <f t="shared" si="254"/>
        <v>#N/A</v>
      </c>
      <c r="BM316" s="422" t="e">
        <f>IF(BL316&gt;0,1+COUNTIF(BM$314:BM315,"&gt;0"),0)</f>
        <v>#N/A</v>
      </c>
      <c r="BN316" s="422" t="str">
        <f t="shared" si="255"/>
        <v/>
      </c>
      <c r="BO316" s="422" t="str">
        <f t="shared" si="256"/>
        <v/>
      </c>
      <c r="BP316" s="423">
        <f t="shared" si="225"/>
        <v>0</v>
      </c>
      <c r="BQ316" s="421" t="e">
        <f>INDEX(T03_Skills!$AA$3:$BU$41,MATCH('C03_ClassVariables'!$G322,T03_Skills!$Z$3:$Z$41,0),MATCH('C03_ClassVariables'!BV$313,T03_Skills!$AA$2:$BU$2,0))</f>
        <v>#N/A</v>
      </c>
      <c r="BR316" s="422" t="e">
        <f t="shared" si="257"/>
        <v>#N/A</v>
      </c>
      <c r="BS316" s="422" t="e">
        <f>IF(BR316&gt;0,1+COUNTIF(BS$314:BS315,"&gt;0"),0)</f>
        <v>#N/A</v>
      </c>
      <c r="BT316" s="422" t="str">
        <f t="shared" si="258"/>
        <v/>
      </c>
      <c r="BU316" s="422" t="str">
        <f t="shared" si="259"/>
        <v/>
      </c>
      <c r="BV316" s="423">
        <f t="shared" si="226"/>
        <v>0</v>
      </c>
      <c r="BW316" s="421" t="e">
        <f>INDEX(T03_Skills!$AA$3:$BU$41,MATCH('C03_ClassVariables'!$G322,T03_Skills!$Z$3:$Z$41,0),MATCH('C03_ClassVariables'!CB$313,T03_Skills!$AA$2:$BU$2,0))</f>
        <v>#N/A</v>
      </c>
      <c r="BX316" s="422" t="e">
        <f t="shared" si="260"/>
        <v>#N/A</v>
      </c>
      <c r="BY316" s="422" t="e">
        <f>IF(BX316&gt;0,1+COUNTIF(BY$314:BY315,"&gt;0"),0)</f>
        <v>#N/A</v>
      </c>
      <c r="BZ316" s="422" t="str">
        <f t="shared" si="261"/>
        <v/>
      </c>
      <c r="CA316" s="422" t="str">
        <f t="shared" si="262"/>
        <v/>
      </c>
      <c r="CB316" s="423">
        <f t="shared" si="227"/>
        <v>0</v>
      </c>
      <c r="CC316" s="421" t="e">
        <f>INDEX(T03_Skills!$AA$3:$BU$41,MATCH('C03_ClassVariables'!$G322,T03_Skills!$Z$3:$Z$41,0),MATCH('C03_ClassVariables'!CH$313,T03_Skills!$AA$2:$BU$2,0))</f>
        <v>#N/A</v>
      </c>
      <c r="CD316" s="422" t="e">
        <f t="shared" si="263"/>
        <v>#N/A</v>
      </c>
      <c r="CE316" s="422" t="e">
        <f>IF(CD316&gt;0,1+COUNTIF(CE$314:CE315,"&gt;0"),0)</f>
        <v>#N/A</v>
      </c>
      <c r="CF316" s="422" t="str">
        <f t="shared" si="264"/>
        <v/>
      </c>
      <c r="CG316" s="422" t="str">
        <f t="shared" si="265"/>
        <v/>
      </c>
      <c r="CH316" s="423">
        <f t="shared" si="228"/>
        <v>0</v>
      </c>
      <c r="CI316" s="428"/>
      <c r="CJ316" s="428"/>
      <c r="CK316" s="422"/>
      <c r="CL316" s="422"/>
      <c r="CM316" s="422"/>
      <c r="CN316" s="423"/>
      <c r="CO316" s="421"/>
      <c r="CP316" s="422"/>
      <c r="CQ316" s="422"/>
      <c r="CR316" s="422"/>
      <c r="CS316" s="422"/>
      <c r="CT316" s="423"/>
      <c r="CU316" s="421"/>
      <c r="CV316" s="422"/>
      <c r="CW316" s="422"/>
      <c r="CX316" s="422"/>
      <c r="CY316" s="422"/>
      <c r="CZ316" s="423"/>
      <c r="DA316" s="421"/>
      <c r="DB316" s="422"/>
      <c r="DC316" s="422"/>
      <c r="DD316" s="422"/>
      <c r="DE316" s="422"/>
      <c r="DF316" s="423"/>
      <c r="DG316" s="421"/>
      <c r="DH316" s="422"/>
      <c r="DI316" s="422"/>
      <c r="DJ316" s="422"/>
      <c r="DK316" s="422"/>
      <c r="DL316" s="423"/>
      <c r="DM316" s="421"/>
      <c r="DN316" s="422"/>
      <c r="DO316" s="422"/>
      <c r="DP316" s="422"/>
      <c r="DQ316" s="422"/>
      <c r="DR316" s="423"/>
      <c r="DS316" s="421"/>
      <c r="DT316" s="422"/>
      <c r="DU316" s="422"/>
      <c r="DV316" s="422"/>
      <c r="DW316" s="422"/>
      <c r="DX316" s="423"/>
      <c r="DY316" s="428"/>
      <c r="DZ316" s="138"/>
    </row>
    <row r="317" spans="1:130" ht="16.5" x14ac:dyDescent="0.3">
      <c r="A317" s="132">
        <f>IFERROR(IF(A316+1&lt;MAX(T041_ClassFeatures!$A$2:$A$2033),A316+1,""),"")</f>
        <v>314</v>
      </c>
      <c r="B317" s="131" t="str">
        <f>IFERROR(INDEX(T041_ClassFeatures!$B$2:$B$2033,MATCH('C03_ClassVariables'!A317,T041_ClassFeatures!$A$2:$A$2033,0),1),"")</f>
        <v>Portent 2d20</v>
      </c>
      <c r="C317" s="131">
        <f>IF(B317="",0,IF(IFERROR(MATCH(B317,'C01_BaseCalculation'!$W$160:$W$239,0),0)&gt;0,1,0))</f>
        <v>0</v>
      </c>
      <c r="E317" s="428"/>
      <c r="F317" s="428"/>
      <c r="G317" t="s">
        <v>5990</v>
      </c>
      <c r="H317" t="str">
        <f>IF(IFERROR(INDEX(T04_Classes!J3:K102,SelectedClassID,2),"")="None","",IFERROR(INDEX(T04_Classes!J3:K102,SelectedClassID,2),""))</f>
        <v/>
      </c>
      <c r="I317" s="421">
        <f>INDEX(T03_Skills!$AA$3:$BU$41,MATCH('C03_ClassVariables'!$G323,T03_Skills!$Z$3:$Z$41,0),MATCH('C03_ClassVariables'!N$313,T03_Skills!$AA$2:$BU$2,0))</f>
        <v>0</v>
      </c>
      <c r="J317" s="422">
        <f t="shared" si="229"/>
        <v>0</v>
      </c>
      <c r="K317" s="422">
        <f>IF(I317&gt;0,1+COUNTIF(K$314:K316,"&gt;0"),0)</f>
        <v>0</v>
      </c>
      <c r="L317" s="422" t="str">
        <f t="shared" si="230"/>
        <v/>
      </c>
      <c r="M317" s="422" t="str">
        <f t="shared" si="214"/>
        <v/>
      </c>
      <c r="N317" s="423">
        <f t="shared" si="215"/>
        <v>0</v>
      </c>
      <c r="O317" s="421">
        <f>INDEX(T03_Skills!$AA$3:$BU$41,MATCH('C03_ClassVariables'!$G323,T03_Skills!$Z$3:$Z$41,0),MATCH('C03_ClassVariables'!T$313,T03_Skills!$AA$2:$BU$2,0))</f>
        <v>1</v>
      </c>
      <c r="P317" s="422">
        <f t="shared" si="231"/>
        <v>1</v>
      </c>
      <c r="Q317" s="422">
        <f>IF(P317&gt;0,1+COUNTIF(Q$314:Q316,"&gt;0"),0)</f>
        <v>4</v>
      </c>
      <c r="R317" s="422">
        <f t="shared" si="232"/>
        <v>4</v>
      </c>
      <c r="S317" s="422" t="str">
        <f t="shared" si="216"/>
        <v>Carpenter’s tools</v>
      </c>
      <c r="T317" s="423">
        <f t="shared" si="217"/>
        <v>0</v>
      </c>
      <c r="U317" s="421" t="e">
        <f>INDEX(T03_Skills!$AA$3:$BU$41,MATCH('C03_ClassVariables'!$G323,T03_Skills!$Z$3:$Z$41,0),MATCH('C03_ClassVariables'!Z$313,T03_Skills!$AA$2:$BU$2,0))</f>
        <v>#N/A</v>
      </c>
      <c r="V317" s="422" t="e">
        <f t="shared" si="233"/>
        <v>#N/A</v>
      </c>
      <c r="W317" s="422" t="e">
        <f>IF(V317&gt;0,1+COUNTIF(W$314:W316,"&gt;0"),0)</f>
        <v>#N/A</v>
      </c>
      <c r="X317" s="422" t="str">
        <f t="shared" si="234"/>
        <v/>
      </c>
      <c r="Y317" s="422" t="str">
        <f t="shared" si="235"/>
        <v/>
      </c>
      <c r="Z317" s="423">
        <f t="shared" si="218"/>
        <v>0</v>
      </c>
      <c r="AA317" s="421" t="e">
        <f>INDEX(T03_Skills!$AA$3:$BU$41,MATCH('C03_ClassVariables'!$G323,T03_Skills!$Z$3:$Z$41,0),MATCH('C03_ClassVariables'!AF$313,T03_Skills!$AA$2:$BU$2,0))</f>
        <v>#N/A</v>
      </c>
      <c r="AB317" s="422" t="e">
        <f t="shared" si="236"/>
        <v>#N/A</v>
      </c>
      <c r="AC317" s="422" t="e">
        <f>IF(AB317&gt;0,1+COUNTIF(AC$314:AC316,"&gt;0"),0)</f>
        <v>#N/A</v>
      </c>
      <c r="AD317" s="422" t="str">
        <f t="shared" si="237"/>
        <v/>
      </c>
      <c r="AE317" s="422" t="str">
        <f t="shared" si="238"/>
        <v/>
      </c>
      <c r="AF317" s="423">
        <f t="shared" si="219"/>
        <v>0</v>
      </c>
      <c r="AG317" s="421" t="e">
        <f>INDEX(T03_Skills!$AA$3:$BU$41,MATCH('C03_ClassVariables'!$G323,T03_Skills!$Z$3:$Z$41,0),MATCH('C03_ClassVariables'!AL$313,T03_Skills!$AA$2:$BU$2,0))</f>
        <v>#N/A</v>
      </c>
      <c r="AH317" s="422" t="e">
        <f t="shared" si="239"/>
        <v>#N/A</v>
      </c>
      <c r="AI317" s="422" t="e">
        <f>IF(AH317&gt;0,1+COUNTIF(AI$314:AI316,"&gt;0"),0)</f>
        <v>#N/A</v>
      </c>
      <c r="AJ317" s="422" t="str">
        <f t="shared" si="240"/>
        <v/>
      </c>
      <c r="AK317" s="422" t="str">
        <f t="shared" si="241"/>
        <v/>
      </c>
      <c r="AL317" s="423">
        <f t="shared" si="220"/>
        <v>0</v>
      </c>
      <c r="AM317" s="421" t="e">
        <f>INDEX(T03_Skills!$AA$3:$BU$41,MATCH('C03_ClassVariables'!$G323,T03_Skills!$Z$3:$Z$41,0),MATCH('C03_ClassVariables'!AR$313,T03_Skills!$AA$2:$BU$2,0))</f>
        <v>#N/A</v>
      </c>
      <c r="AN317" s="422" t="e">
        <f t="shared" si="242"/>
        <v>#N/A</v>
      </c>
      <c r="AO317" s="422" t="e">
        <f>IF(AN317&gt;0,1+COUNTIF(AO$314:AO316,"&gt;0"),0)</f>
        <v>#N/A</v>
      </c>
      <c r="AP317" s="422" t="str">
        <f t="shared" si="243"/>
        <v/>
      </c>
      <c r="AQ317" s="422" t="str">
        <f t="shared" si="244"/>
        <v/>
      </c>
      <c r="AR317" s="423">
        <f t="shared" si="221"/>
        <v>0</v>
      </c>
      <c r="AS317" s="421" t="e">
        <f>INDEX(T03_Skills!$AA$3:$BU$41,MATCH('C03_ClassVariables'!$G323,T03_Skills!$Z$3:$Z$41,0),MATCH('C03_ClassVariables'!AX$313,T03_Skills!$AA$2:$BU$2,0))</f>
        <v>#N/A</v>
      </c>
      <c r="AT317" s="422" t="e">
        <f t="shared" si="245"/>
        <v>#N/A</v>
      </c>
      <c r="AU317" s="422" t="e">
        <f>IF(AT317&gt;0,1+COUNTIF(AU$314:AU316,"&gt;0"),0)</f>
        <v>#N/A</v>
      </c>
      <c r="AV317" s="422" t="str">
        <f t="shared" si="246"/>
        <v/>
      </c>
      <c r="AW317" s="422" t="str">
        <f t="shared" si="247"/>
        <v/>
      </c>
      <c r="AX317" s="423">
        <f t="shared" si="222"/>
        <v>0</v>
      </c>
      <c r="AY317" s="421" t="e">
        <f>INDEX(T03_Skills!$AA$3:$BU$41,MATCH('C03_ClassVariables'!$G323,T03_Skills!$Z$3:$Z$41,0),MATCH('C03_ClassVariables'!BD$313,T03_Skills!$AA$2:$BU$2,0))</f>
        <v>#N/A</v>
      </c>
      <c r="AZ317" s="422" t="e">
        <f t="shared" si="248"/>
        <v>#N/A</v>
      </c>
      <c r="BA317" s="422" t="e">
        <f>IF(AZ317&gt;0,1+COUNTIF(BA$314:BA316,"&gt;0"),0)</f>
        <v>#N/A</v>
      </c>
      <c r="BB317" s="422" t="str">
        <f t="shared" si="249"/>
        <v/>
      </c>
      <c r="BC317" s="422" t="str">
        <f t="shared" si="250"/>
        <v/>
      </c>
      <c r="BD317" s="423">
        <f t="shared" si="223"/>
        <v>0</v>
      </c>
      <c r="BE317" s="421" t="e">
        <f>INDEX(T03_Skills!$AA$3:$BU$41,MATCH('C03_ClassVariables'!$G323,T03_Skills!$Z$3:$Z$41,0),MATCH('C03_ClassVariables'!BJ$313,T03_Skills!$AA$2:$BU$2,0))</f>
        <v>#N/A</v>
      </c>
      <c r="BF317" s="422" t="e">
        <f t="shared" si="251"/>
        <v>#N/A</v>
      </c>
      <c r="BG317" s="422" t="e">
        <f>IF(BF317&gt;0,1+COUNTIF(BG$314:BG316,"&gt;0"),0)</f>
        <v>#N/A</v>
      </c>
      <c r="BH317" s="422" t="str">
        <f t="shared" si="252"/>
        <v/>
      </c>
      <c r="BI317" s="422" t="str">
        <f t="shared" si="253"/>
        <v/>
      </c>
      <c r="BJ317" s="423">
        <f t="shared" si="224"/>
        <v>0</v>
      </c>
      <c r="BK317" s="421" t="e">
        <f>INDEX(T03_Skills!$AA$3:$BU$41,MATCH('C03_ClassVariables'!$G323,T03_Skills!$Z$3:$Z$41,0),MATCH('C03_ClassVariables'!BP$313,T03_Skills!$AA$2:$BU$2,0))</f>
        <v>#N/A</v>
      </c>
      <c r="BL317" s="422" t="e">
        <f t="shared" si="254"/>
        <v>#N/A</v>
      </c>
      <c r="BM317" s="422" t="e">
        <f>IF(BL317&gt;0,1+COUNTIF(BM$314:BM316,"&gt;0"),0)</f>
        <v>#N/A</v>
      </c>
      <c r="BN317" s="422" t="str">
        <f t="shared" si="255"/>
        <v/>
      </c>
      <c r="BO317" s="422" t="str">
        <f t="shared" si="256"/>
        <v/>
      </c>
      <c r="BP317" s="423">
        <f t="shared" si="225"/>
        <v>0</v>
      </c>
      <c r="BQ317" s="421" t="e">
        <f>INDEX(T03_Skills!$AA$3:$BU$41,MATCH('C03_ClassVariables'!$G323,T03_Skills!$Z$3:$Z$41,0),MATCH('C03_ClassVariables'!BV$313,T03_Skills!$AA$2:$BU$2,0))</f>
        <v>#N/A</v>
      </c>
      <c r="BR317" s="422" t="e">
        <f t="shared" si="257"/>
        <v>#N/A</v>
      </c>
      <c r="BS317" s="422" t="e">
        <f>IF(BR317&gt;0,1+COUNTIF(BS$314:BS316,"&gt;0"),0)</f>
        <v>#N/A</v>
      </c>
      <c r="BT317" s="422" t="str">
        <f t="shared" si="258"/>
        <v/>
      </c>
      <c r="BU317" s="422" t="str">
        <f t="shared" si="259"/>
        <v/>
      </c>
      <c r="BV317" s="423">
        <f t="shared" si="226"/>
        <v>0</v>
      </c>
      <c r="BW317" s="421" t="e">
        <f>INDEX(T03_Skills!$AA$3:$BU$41,MATCH('C03_ClassVariables'!$G323,T03_Skills!$Z$3:$Z$41,0),MATCH('C03_ClassVariables'!CB$313,T03_Skills!$AA$2:$BU$2,0))</f>
        <v>#N/A</v>
      </c>
      <c r="BX317" s="422" t="e">
        <f t="shared" si="260"/>
        <v>#N/A</v>
      </c>
      <c r="BY317" s="422" t="e">
        <f>IF(BX317&gt;0,1+COUNTIF(BY$314:BY316,"&gt;0"),0)</f>
        <v>#N/A</v>
      </c>
      <c r="BZ317" s="422" t="str">
        <f t="shared" si="261"/>
        <v/>
      </c>
      <c r="CA317" s="422" t="str">
        <f t="shared" si="262"/>
        <v/>
      </c>
      <c r="CB317" s="423">
        <f t="shared" si="227"/>
        <v>0</v>
      </c>
      <c r="CC317" s="421" t="e">
        <f>INDEX(T03_Skills!$AA$3:$BU$41,MATCH('C03_ClassVariables'!$G323,T03_Skills!$Z$3:$Z$41,0),MATCH('C03_ClassVariables'!CH$313,T03_Skills!$AA$2:$BU$2,0))</f>
        <v>#N/A</v>
      </c>
      <c r="CD317" s="422" t="e">
        <f t="shared" si="263"/>
        <v>#N/A</v>
      </c>
      <c r="CE317" s="422" t="e">
        <f>IF(CD317&gt;0,1+COUNTIF(CE$314:CE316,"&gt;0"),0)</f>
        <v>#N/A</v>
      </c>
      <c r="CF317" s="422" t="str">
        <f t="shared" si="264"/>
        <v/>
      </c>
      <c r="CG317" s="422" t="str">
        <f t="shared" si="265"/>
        <v/>
      </c>
      <c r="CH317" s="423">
        <f t="shared" si="228"/>
        <v>0</v>
      </c>
      <c r="CI317" s="428"/>
      <c r="CJ317" s="428"/>
      <c r="CK317" s="422"/>
      <c r="CL317" s="422"/>
      <c r="CM317" s="422"/>
      <c r="CN317" s="423"/>
      <c r="CO317" s="421"/>
      <c r="CP317" s="422"/>
      <c r="CQ317" s="422"/>
      <c r="CR317" s="422"/>
      <c r="CS317" s="422"/>
      <c r="CT317" s="423"/>
      <c r="CU317" s="421"/>
      <c r="CV317" s="422"/>
      <c r="CW317" s="422"/>
      <c r="CX317" s="422"/>
      <c r="CY317" s="422"/>
      <c r="CZ317" s="423"/>
      <c r="DA317" s="421"/>
      <c r="DB317" s="422"/>
      <c r="DC317" s="422"/>
      <c r="DD317" s="422"/>
      <c r="DE317" s="422"/>
      <c r="DF317" s="423"/>
      <c r="DG317" s="421"/>
      <c r="DH317" s="422"/>
      <c r="DI317" s="422"/>
      <c r="DJ317" s="422"/>
      <c r="DK317" s="422"/>
      <c r="DL317" s="423"/>
      <c r="DM317" s="421"/>
      <c r="DN317" s="422"/>
      <c r="DO317" s="422"/>
      <c r="DP317" s="422"/>
      <c r="DQ317" s="422"/>
      <c r="DR317" s="423"/>
      <c r="DS317" s="421"/>
      <c r="DT317" s="422"/>
      <c r="DU317" s="422"/>
      <c r="DV317" s="422"/>
      <c r="DW317" s="422"/>
      <c r="DX317" s="423"/>
      <c r="DY317" s="428"/>
      <c r="DZ317" s="138"/>
    </row>
    <row r="318" spans="1:130" ht="16.5" x14ac:dyDescent="0.3">
      <c r="A318" s="132">
        <f>IFERROR(IF(A317+1&lt;MAX(T041_ClassFeatures!$A$2:$A$2033),A317+1,""),"")</f>
        <v>315</v>
      </c>
      <c r="B318" s="131" t="str">
        <f>IFERROR(INDEX(T041_ClassFeatures!$B$2:$B$2033,MATCH('C03_ClassVariables'!A318,T041_ClassFeatures!$A$2:$A$2033,0),1),"")</f>
        <v>Expert Divination</v>
      </c>
      <c r="C318" s="131">
        <f>IF(B318="",0,IF(IFERROR(MATCH(B318,'C01_BaseCalculation'!$W$160:$W$239,0),0)&gt;0,1,0))</f>
        <v>0</v>
      </c>
      <c r="E318" s="428"/>
      <c r="F318" s="428"/>
      <c r="G318" t="s">
        <v>5991</v>
      </c>
      <c r="H318" t="str">
        <f>INDEX(T04_Classes!L3:L102,SelectedClassID,1)</f>
        <v>None</v>
      </c>
      <c r="I318" s="421">
        <f>INDEX(T03_Skills!$AA$3:$BU$41,MATCH('C03_ClassVariables'!$G324,T03_Skills!$Z$3:$Z$41,0),MATCH('C03_ClassVariables'!N$313,T03_Skills!$AA$2:$BU$2,0))</f>
        <v>0</v>
      </c>
      <c r="J318" s="422">
        <f t="shared" si="229"/>
        <v>0</v>
      </c>
      <c r="K318" s="422">
        <f>IF(I318&gt;0,1+COUNTIF(K$314:K317,"&gt;0"),0)</f>
        <v>0</v>
      </c>
      <c r="L318" s="422" t="str">
        <f t="shared" si="230"/>
        <v/>
      </c>
      <c r="M318" s="422" t="str">
        <f t="shared" si="214"/>
        <v/>
      </c>
      <c r="N318" s="423">
        <f t="shared" si="215"/>
        <v>0</v>
      </c>
      <c r="O318" s="421">
        <f>INDEX(T03_Skills!$AA$3:$BU$41,MATCH('C03_ClassVariables'!$G324,T03_Skills!$Z$3:$Z$41,0),MATCH('C03_ClassVariables'!T$313,T03_Skills!$AA$2:$BU$2,0))</f>
        <v>1</v>
      </c>
      <c r="P318" s="422">
        <f t="shared" si="231"/>
        <v>1</v>
      </c>
      <c r="Q318" s="422">
        <f>IF(P318&gt;0,1+COUNTIF(Q$314:Q317,"&gt;0"),0)</f>
        <v>5</v>
      </c>
      <c r="R318" s="422">
        <f t="shared" si="232"/>
        <v>5</v>
      </c>
      <c r="S318" s="422" t="str">
        <f t="shared" si="216"/>
        <v>Cartographer’s tools</v>
      </c>
      <c r="T318" s="423">
        <f t="shared" si="217"/>
        <v>0</v>
      </c>
      <c r="U318" s="421" t="e">
        <f>INDEX(T03_Skills!$AA$3:$BU$41,MATCH('C03_ClassVariables'!$G324,T03_Skills!$Z$3:$Z$41,0),MATCH('C03_ClassVariables'!Z$313,T03_Skills!$AA$2:$BU$2,0))</f>
        <v>#N/A</v>
      </c>
      <c r="V318" s="422" t="e">
        <f t="shared" si="233"/>
        <v>#N/A</v>
      </c>
      <c r="W318" s="422" t="e">
        <f>IF(V318&gt;0,1+COUNTIF(W$314:W317,"&gt;0"),0)</f>
        <v>#N/A</v>
      </c>
      <c r="X318" s="422" t="str">
        <f t="shared" si="234"/>
        <v/>
      </c>
      <c r="Y318" s="422" t="str">
        <f t="shared" si="235"/>
        <v/>
      </c>
      <c r="Z318" s="423">
        <f t="shared" si="218"/>
        <v>0</v>
      </c>
      <c r="AA318" s="421" t="e">
        <f>INDEX(T03_Skills!$AA$3:$BU$41,MATCH('C03_ClassVariables'!$G324,T03_Skills!$Z$3:$Z$41,0),MATCH('C03_ClassVariables'!AF$313,T03_Skills!$AA$2:$BU$2,0))</f>
        <v>#N/A</v>
      </c>
      <c r="AB318" s="422" t="e">
        <f t="shared" si="236"/>
        <v>#N/A</v>
      </c>
      <c r="AC318" s="422" t="e">
        <f>IF(AB318&gt;0,1+COUNTIF(AC$314:AC317,"&gt;0"),0)</f>
        <v>#N/A</v>
      </c>
      <c r="AD318" s="422" t="str">
        <f t="shared" si="237"/>
        <v/>
      </c>
      <c r="AE318" s="422" t="str">
        <f t="shared" si="238"/>
        <v/>
      </c>
      <c r="AF318" s="423">
        <f t="shared" si="219"/>
        <v>0</v>
      </c>
      <c r="AG318" s="421" t="e">
        <f>INDEX(T03_Skills!$AA$3:$BU$41,MATCH('C03_ClassVariables'!$G324,T03_Skills!$Z$3:$Z$41,0),MATCH('C03_ClassVariables'!AL$313,T03_Skills!$AA$2:$BU$2,0))</f>
        <v>#N/A</v>
      </c>
      <c r="AH318" s="422" t="e">
        <f t="shared" si="239"/>
        <v>#N/A</v>
      </c>
      <c r="AI318" s="422" t="e">
        <f>IF(AH318&gt;0,1+COUNTIF(AI$314:AI317,"&gt;0"),0)</f>
        <v>#N/A</v>
      </c>
      <c r="AJ318" s="422" t="str">
        <f t="shared" si="240"/>
        <v/>
      </c>
      <c r="AK318" s="422" t="str">
        <f t="shared" si="241"/>
        <v/>
      </c>
      <c r="AL318" s="423">
        <f t="shared" si="220"/>
        <v>0</v>
      </c>
      <c r="AM318" s="421" t="e">
        <f>INDEX(T03_Skills!$AA$3:$BU$41,MATCH('C03_ClassVariables'!$G324,T03_Skills!$Z$3:$Z$41,0),MATCH('C03_ClassVariables'!AR$313,T03_Skills!$AA$2:$BU$2,0))</f>
        <v>#N/A</v>
      </c>
      <c r="AN318" s="422" t="e">
        <f t="shared" si="242"/>
        <v>#N/A</v>
      </c>
      <c r="AO318" s="422" t="e">
        <f>IF(AN318&gt;0,1+COUNTIF(AO$314:AO317,"&gt;0"),0)</f>
        <v>#N/A</v>
      </c>
      <c r="AP318" s="422" t="str">
        <f t="shared" si="243"/>
        <v/>
      </c>
      <c r="AQ318" s="422" t="str">
        <f t="shared" si="244"/>
        <v/>
      </c>
      <c r="AR318" s="423">
        <f t="shared" si="221"/>
        <v>0</v>
      </c>
      <c r="AS318" s="421" t="e">
        <f>INDEX(T03_Skills!$AA$3:$BU$41,MATCH('C03_ClassVariables'!$G324,T03_Skills!$Z$3:$Z$41,0),MATCH('C03_ClassVariables'!AX$313,T03_Skills!$AA$2:$BU$2,0))</f>
        <v>#N/A</v>
      </c>
      <c r="AT318" s="422" t="e">
        <f t="shared" si="245"/>
        <v>#N/A</v>
      </c>
      <c r="AU318" s="422" t="e">
        <f>IF(AT318&gt;0,1+COUNTIF(AU$314:AU317,"&gt;0"),0)</f>
        <v>#N/A</v>
      </c>
      <c r="AV318" s="422" t="str">
        <f t="shared" si="246"/>
        <v/>
      </c>
      <c r="AW318" s="422" t="str">
        <f t="shared" si="247"/>
        <v/>
      </c>
      <c r="AX318" s="423">
        <f t="shared" si="222"/>
        <v>0</v>
      </c>
      <c r="AY318" s="421" t="e">
        <f>INDEX(T03_Skills!$AA$3:$BU$41,MATCH('C03_ClassVariables'!$G324,T03_Skills!$Z$3:$Z$41,0),MATCH('C03_ClassVariables'!BD$313,T03_Skills!$AA$2:$BU$2,0))</f>
        <v>#N/A</v>
      </c>
      <c r="AZ318" s="422" t="e">
        <f t="shared" si="248"/>
        <v>#N/A</v>
      </c>
      <c r="BA318" s="422" t="e">
        <f>IF(AZ318&gt;0,1+COUNTIF(BA$314:BA317,"&gt;0"),0)</f>
        <v>#N/A</v>
      </c>
      <c r="BB318" s="422" t="str">
        <f t="shared" si="249"/>
        <v/>
      </c>
      <c r="BC318" s="422" t="str">
        <f t="shared" si="250"/>
        <v/>
      </c>
      <c r="BD318" s="423">
        <f t="shared" si="223"/>
        <v>0</v>
      </c>
      <c r="BE318" s="421" t="e">
        <f>INDEX(T03_Skills!$AA$3:$BU$41,MATCH('C03_ClassVariables'!$G324,T03_Skills!$Z$3:$Z$41,0),MATCH('C03_ClassVariables'!BJ$313,T03_Skills!$AA$2:$BU$2,0))</f>
        <v>#N/A</v>
      </c>
      <c r="BF318" s="422" t="e">
        <f t="shared" si="251"/>
        <v>#N/A</v>
      </c>
      <c r="BG318" s="422" t="e">
        <f>IF(BF318&gt;0,1+COUNTIF(BG$314:BG317,"&gt;0"),0)</f>
        <v>#N/A</v>
      </c>
      <c r="BH318" s="422" t="str">
        <f t="shared" si="252"/>
        <v/>
      </c>
      <c r="BI318" s="422" t="str">
        <f t="shared" si="253"/>
        <v/>
      </c>
      <c r="BJ318" s="423">
        <f t="shared" si="224"/>
        <v>0</v>
      </c>
      <c r="BK318" s="421" t="e">
        <f>INDEX(T03_Skills!$AA$3:$BU$41,MATCH('C03_ClassVariables'!$G324,T03_Skills!$Z$3:$Z$41,0),MATCH('C03_ClassVariables'!BP$313,T03_Skills!$AA$2:$BU$2,0))</f>
        <v>#N/A</v>
      </c>
      <c r="BL318" s="422" t="e">
        <f t="shared" si="254"/>
        <v>#N/A</v>
      </c>
      <c r="BM318" s="422" t="e">
        <f>IF(BL318&gt;0,1+COUNTIF(BM$314:BM317,"&gt;0"),0)</f>
        <v>#N/A</v>
      </c>
      <c r="BN318" s="422" t="str">
        <f t="shared" si="255"/>
        <v/>
      </c>
      <c r="BO318" s="422" t="str">
        <f t="shared" si="256"/>
        <v/>
      </c>
      <c r="BP318" s="423">
        <f t="shared" si="225"/>
        <v>0</v>
      </c>
      <c r="BQ318" s="421" t="e">
        <f>INDEX(T03_Skills!$AA$3:$BU$41,MATCH('C03_ClassVariables'!$G324,T03_Skills!$Z$3:$Z$41,0),MATCH('C03_ClassVariables'!BV$313,T03_Skills!$AA$2:$BU$2,0))</f>
        <v>#N/A</v>
      </c>
      <c r="BR318" s="422" t="e">
        <f t="shared" si="257"/>
        <v>#N/A</v>
      </c>
      <c r="BS318" s="422" t="e">
        <f>IF(BR318&gt;0,1+COUNTIF(BS$314:BS317,"&gt;0"),0)</f>
        <v>#N/A</v>
      </c>
      <c r="BT318" s="422" t="str">
        <f t="shared" si="258"/>
        <v/>
      </c>
      <c r="BU318" s="422" t="str">
        <f t="shared" si="259"/>
        <v/>
      </c>
      <c r="BV318" s="423">
        <f t="shared" si="226"/>
        <v>0</v>
      </c>
      <c r="BW318" s="421" t="e">
        <f>INDEX(T03_Skills!$AA$3:$BU$41,MATCH('C03_ClassVariables'!$G324,T03_Skills!$Z$3:$Z$41,0),MATCH('C03_ClassVariables'!CB$313,T03_Skills!$AA$2:$BU$2,0))</f>
        <v>#N/A</v>
      </c>
      <c r="BX318" s="422" t="e">
        <f t="shared" si="260"/>
        <v>#N/A</v>
      </c>
      <c r="BY318" s="422" t="e">
        <f>IF(BX318&gt;0,1+COUNTIF(BY$314:BY317,"&gt;0"),0)</f>
        <v>#N/A</v>
      </c>
      <c r="BZ318" s="422" t="str">
        <f t="shared" si="261"/>
        <v/>
      </c>
      <c r="CA318" s="422" t="str">
        <f t="shared" si="262"/>
        <v/>
      </c>
      <c r="CB318" s="423">
        <f t="shared" si="227"/>
        <v>0</v>
      </c>
      <c r="CC318" s="421" t="e">
        <f>INDEX(T03_Skills!$AA$3:$BU$41,MATCH('C03_ClassVariables'!$G324,T03_Skills!$Z$3:$Z$41,0),MATCH('C03_ClassVariables'!CH$313,T03_Skills!$AA$2:$BU$2,0))</f>
        <v>#N/A</v>
      </c>
      <c r="CD318" s="422" t="e">
        <f t="shared" si="263"/>
        <v>#N/A</v>
      </c>
      <c r="CE318" s="422" t="e">
        <f>IF(CD318&gt;0,1+COUNTIF(CE$314:CE317,"&gt;0"),0)</f>
        <v>#N/A</v>
      </c>
      <c r="CF318" s="422" t="str">
        <f t="shared" si="264"/>
        <v/>
      </c>
      <c r="CG318" s="422" t="str">
        <f t="shared" si="265"/>
        <v/>
      </c>
      <c r="CH318" s="423">
        <f t="shared" si="228"/>
        <v>0</v>
      </c>
      <c r="CI318" s="428"/>
      <c r="CJ318" s="428"/>
      <c r="CK318" s="422"/>
      <c r="CL318" s="422"/>
      <c r="CM318" s="422"/>
      <c r="CN318" s="423"/>
      <c r="CO318" s="421"/>
      <c r="CP318" s="422"/>
      <c r="CQ318" s="422"/>
      <c r="CR318" s="422"/>
      <c r="CS318" s="422"/>
      <c r="CT318" s="423"/>
      <c r="CU318" s="421"/>
      <c r="CV318" s="422"/>
      <c r="CW318" s="422"/>
      <c r="CX318" s="422"/>
      <c r="CY318" s="422"/>
      <c r="CZ318" s="423"/>
      <c r="DA318" s="421"/>
      <c r="DB318" s="422"/>
      <c r="DC318" s="422"/>
      <c r="DD318" s="422"/>
      <c r="DE318" s="422"/>
      <c r="DF318" s="423"/>
      <c r="DG318" s="421"/>
      <c r="DH318" s="422"/>
      <c r="DI318" s="422"/>
      <c r="DJ318" s="422"/>
      <c r="DK318" s="422"/>
      <c r="DL318" s="423"/>
      <c r="DM318" s="421"/>
      <c r="DN318" s="422"/>
      <c r="DO318" s="422"/>
      <c r="DP318" s="422"/>
      <c r="DQ318" s="422"/>
      <c r="DR318" s="423"/>
      <c r="DS318" s="421"/>
      <c r="DT318" s="422"/>
      <c r="DU318" s="422"/>
      <c r="DV318" s="422"/>
      <c r="DW318" s="422"/>
      <c r="DX318" s="423"/>
      <c r="DY318" s="428"/>
      <c r="DZ318" s="138"/>
    </row>
    <row r="319" spans="1:130" ht="16.5" x14ac:dyDescent="0.3">
      <c r="A319" s="132">
        <f>IFERROR(IF(A318+1&lt;MAX(T041_ClassFeatures!$A$2:$A$2033),A318+1,""),"")</f>
        <v>316</v>
      </c>
      <c r="B319" s="131" t="str">
        <f>IFERROR(INDEX(T041_ClassFeatures!$B$2:$B$2033,MATCH('C03_ClassVariables'!A319,T041_ClassFeatures!$A$2:$A$2033,0),1),"")</f>
        <v>The Third Eye</v>
      </c>
      <c r="C319" s="131">
        <f>IF(B319="",0,IF(IFERROR(MATCH(B319,'C01_BaseCalculation'!$W$160:$W$239,0),0)&gt;0,1,0))</f>
        <v>0</v>
      </c>
      <c r="E319" s="428"/>
      <c r="F319" s="428"/>
      <c r="I319" s="421">
        <f>INDEX(T03_Skills!$AA$3:$BU$41,MATCH('C03_ClassVariables'!$G325,T03_Skills!$Z$3:$Z$41,0),MATCH('C03_ClassVariables'!N$313,T03_Skills!$AA$2:$BU$2,0))</f>
        <v>0</v>
      </c>
      <c r="J319" s="422">
        <f t="shared" si="229"/>
        <v>0</v>
      </c>
      <c r="K319" s="422">
        <f>IF(I319&gt;0,1+COUNTIF(K$314:K318,"&gt;0"),0)</f>
        <v>0</v>
      </c>
      <c r="L319" s="422" t="str">
        <f t="shared" si="230"/>
        <v/>
      </c>
      <c r="M319" s="422" t="str">
        <f t="shared" si="214"/>
        <v/>
      </c>
      <c r="N319" s="423">
        <f t="shared" si="215"/>
        <v>0</v>
      </c>
      <c r="O319" s="421">
        <f>INDEX(T03_Skills!$AA$3:$BU$41,MATCH('C03_ClassVariables'!$G325,T03_Skills!$Z$3:$Z$41,0),MATCH('C03_ClassVariables'!T$313,T03_Skills!$AA$2:$BU$2,0))</f>
        <v>1</v>
      </c>
      <c r="P319" s="422">
        <f t="shared" si="231"/>
        <v>1</v>
      </c>
      <c r="Q319" s="422">
        <f>IF(P319&gt;0,1+COUNTIF(Q$314:Q318,"&gt;0"),0)</f>
        <v>6</v>
      </c>
      <c r="R319" s="422">
        <f t="shared" si="232"/>
        <v>6</v>
      </c>
      <c r="S319" s="422" t="str">
        <f t="shared" si="216"/>
        <v>Cobbler’s tools</v>
      </c>
      <c r="T319" s="423">
        <f t="shared" si="217"/>
        <v>0</v>
      </c>
      <c r="U319" s="421" t="e">
        <f>INDEX(T03_Skills!$AA$3:$BU$41,MATCH('C03_ClassVariables'!$G325,T03_Skills!$Z$3:$Z$41,0),MATCH('C03_ClassVariables'!Z$313,T03_Skills!$AA$2:$BU$2,0))</f>
        <v>#N/A</v>
      </c>
      <c r="V319" s="422" t="e">
        <f t="shared" si="233"/>
        <v>#N/A</v>
      </c>
      <c r="W319" s="422" t="e">
        <f>IF(V319&gt;0,1+COUNTIF(W$314:W318,"&gt;0"),0)</f>
        <v>#N/A</v>
      </c>
      <c r="X319" s="422" t="str">
        <f t="shared" si="234"/>
        <v/>
      </c>
      <c r="Y319" s="422" t="str">
        <f t="shared" si="235"/>
        <v/>
      </c>
      <c r="Z319" s="423">
        <f t="shared" si="218"/>
        <v>0</v>
      </c>
      <c r="AA319" s="421" t="e">
        <f>INDEX(T03_Skills!$AA$3:$BU$41,MATCH('C03_ClassVariables'!$G325,T03_Skills!$Z$3:$Z$41,0),MATCH('C03_ClassVariables'!AF$313,T03_Skills!$AA$2:$BU$2,0))</f>
        <v>#N/A</v>
      </c>
      <c r="AB319" s="422" t="e">
        <f t="shared" si="236"/>
        <v>#N/A</v>
      </c>
      <c r="AC319" s="422" t="e">
        <f>IF(AB319&gt;0,1+COUNTIF(AC$314:AC318,"&gt;0"),0)</f>
        <v>#N/A</v>
      </c>
      <c r="AD319" s="422" t="str">
        <f t="shared" si="237"/>
        <v/>
      </c>
      <c r="AE319" s="422" t="str">
        <f t="shared" si="238"/>
        <v/>
      </c>
      <c r="AF319" s="423">
        <f t="shared" si="219"/>
        <v>0</v>
      </c>
      <c r="AG319" s="421" t="e">
        <f>INDEX(T03_Skills!$AA$3:$BU$41,MATCH('C03_ClassVariables'!$G325,T03_Skills!$Z$3:$Z$41,0),MATCH('C03_ClassVariables'!AL$313,T03_Skills!$AA$2:$BU$2,0))</f>
        <v>#N/A</v>
      </c>
      <c r="AH319" s="422" t="e">
        <f t="shared" si="239"/>
        <v>#N/A</v>
      </c>
      <c r="AI319" s="422" t="e">
        <f>IF(AH319&gt;0,1+COUNTIF(AI$314:AI318,"&gt;0"),0)</f>
        <v>#N/A</v>
      </c>
      <c r="AJ319" s="422" t="str">
        <f t="shared" si="240"/>
        <v/>
      </c>
      <c r="AK319" s="422" t="str">
        <f t="shared" si="241"/>
        <v/>
      </c>
      <c r="AL319" s="423">
        <f t="shared" si="220"/>
        <v>0</v>
      </c>
      <c r="AM319" s="421" t="e">
        <f>INDEX(T03_Skills!$AA$3:$BU$41,MATCH('C03_ClassVariables'!$G325,T03_Skills!$Z$3:$Z$41,0),MATCH('C03_ClassVariables'!AR$313,T03_Skills!$AA$2:$BU$2,0))</f>
        <v>#N/A</v>
      </c>
      <c r="AN319" s="422" t="e">
        <f t="shared" si="242"/>
        <v>#N/A</v>
      </c>
      <c r="AO319" s="422" t="e">
        <f>IF(AN319&gt;0,1+COUNTIF(AO$314:AO318,"&gt;0"),0)</f>
        <v>#N/A</v>
      </c>
      <c r="AP319" s="422" t="str">
        <f t="shared" si="243"/>
        <v/>
      </c>
      <c r="AQ319" s="422" t="str">
        <f t="shared" si="244"/>
        <v/>
      </c>
      <c r="AR319" s="423">
        <f t="shared" si="221"/>
        <v>0</v>
      </c>
      <c r="AS319" s="421" t="e">
        <f>INDEX(T03_Skills!$AA$3:$BU$41,MATCH('C03_ClassVariables'!$G325,T03_Skills!$Z$3:$Z$41,0),MATCH('C03_ClassVariables'!AX$313,T03_Skills!$AA$2:$BU$2,0))</f>
        <v>#N/A</v>
      </c>
      <c r="AT319" s="422" t="e">
        <f t="shared" si="245"/>
        <v>#N/A</v>
      </c>
      <c r="AU319" s="422" t="e">
        <f>IF(AT319&gt;0,1+COUNTIF(AU$314:AU318,"&gt;0"),0)</f>
        <v>#N/A</v>
      </c>
      <c r="AV319" s="422" t="str">
        <f t="shared" si="246"/>
        <v/>
      </c>
      <c r="AW319" s="422" t="str">
        <f t="shared" si="247"/>
        <v/>
      </c>
      <c r="AX319" s="423">
        <f t="shared" si="222"/>
        <v>0</v>
      </c>
      <c r="AY319" s="421" t="e">
        <f>INDEX(T03_Skills!$AA$3:$BU$41,MATCH('C03_ClassVariables'!$G325,T03_Skills!$Z$3:$Z$41,0),MATCH('C03_ClassVariables'!BD$313,T03_Skills!$AA$2:$BU$2,0))</f>
        <v>#N/A</v>
      </c>
      <c r="AZ319" s="422" t="e">
        <f t="shared" si="248"/>
        <v>#N/A</v>
      </c>
      <c r="BA319" s="422" t="e">
        <f>IF(AZ319&gt;0,1+COUNTIF(BA$314:BA318,"&gt;0"),0)</f>
        <v>#N/A</v>
      </c>
      <c r="BB319" s="422" t="str">
        <f t="shared" si="249"/>
        <v/>
      </c>
      <c r="BC319" s="422" t="str">
        <f t="shared" si="250"/>
        <v/>
      </c>
      <c r="BD319" s="423">
        <f t="shared" si="223"/>
        <v>0</v>
      </c>
      <c r="BE319" s="421" t="e">
        <f>INDEX(T03_Skills!$AA$3:$BU$41,MATCH('C03_ClassVariables'!$G325,T03_Skills!$Z$3:$Z$41,0),MATCH('C03_ClassVariables'!BJ$313,T03_Skills!$AA$2:$BU$2,0))</f>
        <v>#N/A</v>
      </c>
      <c r="BF319" s="422" t="e">
        <f t="shared" si="251"/>
        <v>#N/A</v>
      </c>
      <c r="BG319" s="422" t="e">
        <f>IF(BF319&gt;0,1+COUNTIF(BG$314:BG318,"&gt;0"),0)</f>
        <v>#N/A</v>
      </c>
      <c r="BH319" s="422" t="str">
        <f t="shared" si="252"/>
        <v/>
      </c>
      <c r="BI319" s="422" t="str">
        <f t="shared" si="253"/>
        <v/>
      </c>
      <c r="BJ319" s="423">
        <f t="shared" si="224"/>
        <v>0</v>
      </c>
      <c r="BK319" s="421" t="e">
        <f>INDEX(T03_Skills!$AA$3:$BU$41,MATCH('C03_ClassVariables'!$G325,T03_Skills!$Z$3:$Z$41,0),MATCH('C03_ClassVariables'!BP$313,T03_Skills!$AA$2:$BU$2,0))</f>
        <v>#N/A</v>
      </c>
      <c r="BL319" s="422" t="e">
        <f t="shared" si="254"/>
        <v>#N/A</v>
      </c>
      <c r="BM319" s="422" t="e">
        <f>IF(BL319&gt;0,1+COUNTIF(BM$314:BM318,"&gt;0"),0)</f>
        <v>#N/A</v>
      </c>
      <c r="BN319" s="422" t="str">
        <f t="shared" si="255"/>
        <v/>
      </c>
      <c r="BO319" s="422" t="str">
        <f t="shared" si="256"/>
        <v/>
      </c>
      <c r="BP319" s="423">
        <f t="shared" si="225"/>
        <v>0</v>
      </c>
      <c r="BQ319" s="421" t="e">
        <f>INDEX(T03_Skills!$AA$3:$BU$41,MATCH('C03_ClassVariables'!$G325,T03_Skills!$Z$3:$Z$41,0),MATCH('C03_ClassVariables'!BV$313,T03_Skills!$AA$2:$BU$2,0))</f>
        <v>#N/A</v>
      </c>
      <c r="BR319" s="422" t="e">
        <f t="shared" si="257"/>
        <v>#N/A</v>
      </c>
      <c r="BS319" s="422" t="e">
        <f>IF(BR319&gt;0,1+COUNTIF(BS$314:BS318,"&gt;0"),0)</f>
        <v>#N/A</v>
      </c>
      <c r="BT319" s="422" t="str">
        <f t="shared" si="258"/>
        <v/>
      </c>
      <c r="BU319" s="422" t="str">
        <f t="shared" si="259"/>
        <v/>
      </c>
      <c r="BV319" s="423">
        <f t="shared" si="226"/>
        <v>0</v>
      </c>
      <c r="BW319" s="421" t="e">
        <f>INDEX(T03_Skills!$AA$3:$BU$41,MATCH('C03_ClassVariables'!$G325,T03_Skills!$Z$3:$Z$41,0),MATCH('C03_ClassVariables'!CB$313,T03_Skills!$AA$2:$BU$2,0))</f>
        <v>#N/A</v>
      </c>
      <c r="BX319" s="422" t="e">
        <f t="shared" si="260"/>
        <v>#N/A</v>
      </c>
      <c r="BY319" s="422" t="e">
        <f>IF(BX319&gt;0,1+COUNTIF(BY$314:BY318,"&gt;0"),0)</f>
        <v>#N/A</v>
      </c>
      <c r="BZ319" s="422" t="str">
        <f t="shared" si="261"/>
        <v/>
      </c>
      <c r="CA319" s="422" t="str">
        <f t="shared" si="262"/>
        <v/>
      </c>
      <c r="CB319" s="423">
        <f t="shared" si="227"/>
        <v>0</v>
      </c>
      <c r="CC319" s="421" t="e">
        <f>INDEX(T03_Skills!$AA$3:$BU$41,MATCH('C03_ClassVariables'!$G325,T03_Skills!$Z$3:$Z$41,0),MATCH('C03_ClassVariables'!CH$313,T03_Skills!$AA$2:$BU$2,0))</f>
        <v>#N/A</v>
      </c>
      <c r="CD319" s="422" t="e">
        <f t="shared" si="263"/>
        <v>#N/A</v>
      </c>
      <c r="CE319" s="422" t="e">
        <f>IF(CD319&gt;0,1+COUNTIF(CE$314:CE318,"&gt;0"),0)</f>
        <v>#N/A</v>
      </c>
      <c r="CF319" s="422" t="str">
        <f t="shared" si="264"/>
        <v/>
      </c>
      <c r="CG319" s="422" t="str">
        <f t="shared" si="265"/>
        <v/>
      </c>
      <c r="CH319" s="423">
        <f t="shared" si="228"/>
        <v>0</v>
      </c>
      <c r="CI319" s="428"/>
      <c r="CJ319" s="428"/>
      <c r="CK319" s="422"/>
      <c r="CL319" s="422"/>
      <c r="CM319" s="422"/>
      <c r="CN319" s="423"/>
      <c r="CO319" s="421"/>
      <c r="CP319" s="422"/>
      <c r="CQ319" s="422"/>
      <c r="CR319" s="422"/>
      <c r="CS319" s="422"/>
      <c r="CT319" s="423"/>
      <c r="CU319" s="421"/>
      <c r="CV319" s="422"/>
      <c r="CW319" s="422"/>
      <c r="CX319" s="422"/>
      <c r="CY319" s="422"/>
      <c r="CZ319" s="423"/>
      <c r="DA319" s="421"/>
      <c r="DB319" s="422"/>
      <c r="DC319" s="422"/>
      <c r="DD319" s="422"/>
      <c r="DE319" s="422"/>
      <c r="DF319" s="423"/>
      <c r="DG319" s="421"/>
      <c r="DH319" s="422"/>
      <c r="DI319" s="422"/>
      <c r="DJ319" s="422"/>
      <c r="DK319" s="422"/>
      <c r="DL319" s="423"/>
      <c r="DM319" s="421"/>
      <c r="DN319" s="422"/>
      <c r="DO319" s="422"/>
      <c r="DP319" s="422"/>
      <c r="DQ319" s="422"/>
      <c r="DR319" s="423"/>
      <c r="DS319" s="421"/>
      <c r="DT319" s="422"/>
      <c r="DU319" s="422"/>
      <c r="DV319" s="422"/>
      <c r="DW319" s="422"/>
      <c r="DX319" s="423"/>
      <c r="DY319" s="428"/>
      <c r="DZ319" s="138"/>
    </row>
    <row r="320" spans="1:130" ht="16.5" x14ac:dyDescent="0.3">
      <c r="A320" s="132">
        <f>IFERROR(IF(A319+1&lt;MAX(T041_ClassFeatures!$A$2:$A$2033),A319+1,""),"")</f>
        <v>317</v>
      </c>
      <c r="B320" s="131" t="str">
        <f>IFERROR(INDEX(T041_ClassFeatures!$B$2:$B$2033,MATCH('C03_ClassVariables'!A320,T041_ClassFeatures!$A$2:$A$2033,0),1),"")</f>
        <v>Greater Portent 3d20</v>
      </c>
      <c r="C320" s="131">
        <f>IF(B320="",0,IF(IFERROR(MATCH(B320,'C01_BaseCalculation'!$W$160:$W$239,0),0)&gt;0,1,0))</f>
        <v>0</v>
      </c>
      <c r="E320" s="428"/>
      <c r="F320" s="428"/>
      <c r="G320" s="4" t="s">
        <v>186</v>
      </c>
      <c r="I320" s="421">
        <f>INDEX(T03_Skills!$AA$3:$BU$41,MATCH('C03_ClassVariables'!$G326,T03_Skills!$Z$3:$Z$41,0),MATCH('C03_ClassVariables'!N$313,T03_Skills!$AA$2:$BU$2,0))</f>
        <v>0</v>
      </c>
      <c r="J320" s="422">
        <f t="shared" si="229"/>
        <v>0</v>
      </c>
      <c r="K320" s="422">
        <f>IF(I320&gt;0,1+COUNTIF(K$314:K319,"&gt;0"),0)</f>
        <v>0</v>
      </c>
      <c r="L320" s="422" t="str">
        <f t="shared" si="230"/>
        <v/>
      </c>
      <c r="M320" s="422" t="str">
        <f t="shared" si="214"/>
        <v/>
      </c>
      <c r="N320" s="423">
        <f t="shared" si="215"/>
        <v>0</v>
      </c>
      <c r="O320" s="421">
        <f>INDEX(T03_Skills!$AA$3:$BU$41,MATCH('C03_ClassVariables'!$G326,T03_Skills!$Z$3:$Z$41,0),MATCH('C03_ClassVariables'!T$313,T03_Skills!$AA$2:$BU$2,0))</f>
        <v>1</v>
      </c>
      <c r="P320" s="422">
        <f t="shared" si="231"/>
        <v>1</v>
      </c>
      <c r="Q320" s="422">
        <f>IF(P320&gt;0,1+COUNTIF(Q$314:Q319,"&gt;0"),0)</f>
        <v>7</v>
      </c>
      <c r="R320" s="422">
        <f t="shared" si="232"/>
        <v>7</v>
      </c>
      <c r="S320" s="422" t="str">
        <f t="shared" si="216"/>
        <v>Cook’s utensils</v>
      </c>
      <c r="T320" s="423">
        <f t="shared" si="217"/>
        <v>0</v>
      </c>
      <c r="U320" s="421" t="e">
        <f>INDEX(T03_Skills!$AA$3:$BU$41,MATCH('C03_ClassVariables'!$G326,T03_Skills!$Z$3:$Z$41,0),MATCH('C03_ClassVariables'!Z$313,T03_Skills!$AA$2:$BU$2,0))</f>
        <v>#N/A</v>
      </c>
      <c r="V320" s="422" t="e">
        <f t="shared" si="233"/>
        <v>#N/A</v>
      </c>
      <c r="W320" s="422" t="e">
        <f>IF(V320&gt;0,1+COUNTIF(W$314:W319,"&gt;0"),0)</f>
        <v>#N/A</v>
      </c>
      <c r="X320" s="422" t="str">
        <f t="shared" si="234"/>
        <v/>
      </c>
      <c r="Y320" s="422" t="str">
        <f t="shared" si="235"/>
        <v/>
      </c>
      <c r="Z320" s="423">
        <f t="shared" si="218"/>
        <v>0</v>
      </c>
      <c r="AA320" s="421" t="e">
        <f>INDEX(T03_Skills!$AA$3:$BU$41,MATCH('C03_ClassVariables'!$G326,T03_Skills!$Z$3:$Z$41,0),MATCH('C03_ClassVariables'!AF$313,T03_Skills!$AA$2:$BU$2,0))</f>
        <v>#N/A</v>
      </c>
      <c r="AB320" s="422" t="e">
        <f t="shared" si="236"/>
        <v>#N/A</v>
      </c>
      <c r="AC320" s="422" t="e">
        <f>IF(AB320&gt;0,1+COUNTIF(AC$314:AC319,"&gt;0"),0)</f>
        <v>#N/A</v>
      </c>
      <c r="AD320" s="422" t="str">
        <f t="shared" si="237"/>
        <v/>
      </c>
      <c r="AE320" s="422" t="str">
        <f t="shared" si="238"/>
        <v/>
      </c>
      <c r="AF320" s="423">
        <f t="shared" si="219"/>
        <v>0</v>
      </c>
      <c r="AG320" s="421" t="e">
        <f>INDEX(T03_Skills!$AA$3:$BU$41,MATCH('C03_ClassVariables'!$G326,T03_Skills!$Z$3:$Z$41,0),MATCH('C03_ClassVariables'!AL$313,T03_Skills!$AA$2:$BU$2,0))</f>
        <v>#N/A</v>
      </c>
      <c r="AH320" s="422" t="e">
        <f t="shared" si="239"/>
        <v>#N/A</v>
      </c>
      <c r="AI320" s="422" t="e">
        <f>IF(AH320&gt;0,1+COUNTIF(AI$314:AI319,"&gt;0"),0)</f>
        <v>#N/A</v>
      </c>
      <c r="AJ320" s="422" t="str">
        <f t="shared" si="240"/>
        <v/>
      </c>
      <c r="AK320" s="422" t="str">
        <f t="shared" si="241"/>
        <v/>
      </c>
      <c r="AL320" s="423">
        <f t="shared" si="220"/>
        <v>0</v>
      </c>
      <c r="AM320" s="421" t="e">
        <f>INDEX(T03_Skills!$AA$3:$BU$41,MATCH('C03_ClassVariables'!$G326,T03_Skills!$Z$3:$Z$41,0),MATCH('C03_ClassVariables'!AR$313,T03_Skills!$AA$2:$BU$2,0))</f>
        <v>#N/A</v>
      </c>
      <c r="AN320" s="422" t="e">
        <f t="shared" si="242"/>
        <v>#N/A</v>
      </c>
      <c r="AO320" s="422" t="e">
        <f>IF(AN320&gt;0,1+COUNTIF(AO$314:AO319,"&gt;0"),0)</f>
        <v>#N/A</v>
      </c>
      <c r="AP320" s="422" t="str">
        <f t="shared" si="243"/>
        <v/>
      </c>
      <c r="AQ320" s="422" t="str">
        <f t="shared" si="244"/>
        <v/>
      </c>
      <c r="AR320" s="423">
        <f t="shared" si="221"/>
        <v>0</v>
      </c>
      <c r="AS320" s="421" t="e">
        <f>INDEX(T03_Skills!$AA$3:$BU$41,MATCH('C03_ClassVariables'!$G326,T03_Skills!$Z$3:$Z$41,0),MATCH('C03_ClassVariables'!AX$313,T03_Skills!$AA$2:$BU$2,0))</f>
        <v>#N/A</v>
      </c>
      <c r="AT320" s="422" t="e">
        <f t="shared" si="245"/>
        <v>#N/A</v>
      </c>
      <c r="AU320" s="422" t="e">
        <f>IF(AT320&gt;0,1+COUNTIF(AU$314:AU319,"&gt;0"),0)</f>
        <v>#N/A</v>
      </c>
      <c r="AV320" s="422" t="str">
        <f t="shared" si="246"/>
        <v/>
      </c>
      <c r="AW320" s="422" t="str">
        <f t="shared" si="247"/>
        <v/>
      </c>
      <c r="AX320" s="423">
        <f t="shared" si="222"/>
        <v>0</v>
      </c>
      <c r="AY320" s="421" t="e">
        <f>INDEX(T03_Skills!$AA$3:$BU$41,MATCH('C03_ClassVariables'!$G326,T03_Skills!$Z$3:$Z$41,0),MATCH('C03_ClassVariables'!BD$313,T03_Skills!$AA$2:$BU$2,0))</f>
        <v>#N/A</v>
      </c>
      <c r="AZ320" s="422" t="e">
        <f t="shared" si="248"/>
        <v>#N/A</v>
      </c>
      <c r="BA320" s="422" t="e">
        <f>IF(AZ320&gt;0,1+COUNTIF(BA$314:BA319,"&gt;0"),0)</f>
        <v>#N/A</v>
      </c>
      <c r="BB320" s="422" t="str">
        <f t="shared" si="249"/>
        <v/>
      </c>
      <c r="BC320" s="422" t="str">
        <f t="shared" si="250"/>
        <v/>
      </c>
      <c r="BD320" s="423">
        <f t="shared" si="223"/>
        <v>0</v>
      </c>
      <c r="BE320" s="421" t="e">
        <f>INDEX(T03_Skills!$AA$3:$BU$41,MATCH('C03_ClassVariables'!$G326,T03_Skills!$Z$3:$Z$41,0),MATCH('C03_ClassVariables'!BJ$313,T03_Skills!$AA$2:$BU$2,0))</f>
        <v>#N/A</v>
      </c>
      <c r="BF320" s="422" t="e">
        <f t="shared" si="251"/>
        <v>#N/A</v>
      </c>
      <c r="BG320" s="422" t="e">
        <f>IF(BF320&gt;0,1+COUNTIF(BG$314:BG319,"&gt;0"),0)</f>
        <v>#N/A</v>
      </c>
      <c r="BH320" s="422" t="str">
        <f t="shared" si="252"/>
        <v/>
      </c>
      <c r="BI320" s="422" t="str">
        <f t="shared" si="253"/>
        <v/>
      </c>
      <c r="BJ320" s="423">
        <f t="shared" si="224"/>
        <v>0</v>
      </c>
      <c r="BK320" s="421" t="e">
        <f>INDEX(T03_Skills!$AA$3:$BU$41,MATCH('C03_ClassVariables'!$G326,T03_Skills!$Z$3:$Z$41,0),MATCH('C03_ClassVariables'!BP$313,T03_Skills!$AA$2:$BU$2,0))</f>
        <v>#N/A</v>
      </c>
      <c r="BL320" s="422" t="e">
        <f t="shared" si="254"/>
        <v>#N/A</v>
      </c>
      <c r="BM320" s="422" t="e">
        <f>IF(BL320&gt;0,1+COUNTIF(BM$314:BM319,"&gt;0"),0)</f>
        <v>#N/A</v>
      </c>
      <c r="BN320" s="422" t="str">
        <f t="shared" si="255"/>
        <v/>
      </c>
      <c r="BO320" s="422" t="str">
        <f t="shared" si="256"/>
        <v/>
      </c>
      <c r="BP320" s="423">
        <f t="shared" si="225"/>
        <v>0</v>
      </c>
      <c r="BQ320" s="421" t="e">
        <f>INDEX(T03_Skills!$AA$3:$BU$41,MATCH('C03_ClassVariables'!$G326,T03_Skills!$Z$3:$Z$41,0),MATCH('C03_ClassVariables'!BV$313,T03_Skills!$AA$2:$BU$2,0))</f>
        <v>#N/A</v>
      </c>
      <c r="BR320" s="422" t="e">
        <f t="shared" si="257"/>
        <v>#N/A</v>
      </c>
      <c r="BS320" s="422" t="e">
        <f>IF(BR320&gt;0,1+COUNTIF(BS$314:BS319,"&gt;0"),0)</f>
        <v>#N/A</v>
      </c>
      <c r="BT320" s="422" t="str">
        <f t="shared" si="258"/>
        <v/>
      </c>
      <c r="BU320" s="422" t="str">
        <f t="shared" si="259"/>
        <v/>
      </c>
      <c r="BV320" s="423">
        <f t="shared" si="226"/>
        <v>0</v>
      </c>
      <c r="BW320" s="421" t="e">
        <f>INDEX(T03_Skills!$AA$3:$BU$41,MATCH('C03_ClassVariables'!$G326,T03_Skills!$Z$3:$Z$41,0),MATCH('C03_ClassVariables'!CB$313,T03_Skills!$AA$2:$BU$2,0))</f>
        <v>#N/A</v>
      </c>
      <c r="BX320" s="422" t="e">
        <f t="shared" si="260"/>
        <v>#N/A</v>
      </c>
      <c r="BY320" s="422" t="e">
        <f>IF(BX320&gt;0,1+COUNTIF(BY$314:BY319,"&gt;0"),0)</f>
        <v>#N/A</v>
      </c>
      <c r="BZ320" s="422" t="str">
        <f t="shared" si="261"/>
        <v/>
      </c>
      <c r="CA320" s="422" t="str">
        <f t="shared" si="262"/>
        <v/>
      </c>
      <c r="CB320" s="423">
        <f t="shared" si="227"/>
        <v>0</v>
      </c>
      <c r="CC320" s="421" t="e">
        <f>INDEX(T03_Skills!$AA$3:$BU$41,MATCH('C03_ClassVariables'!$G326,T03_Skills!$Z$3:$Z$41,0),MATCH('C03_ClassVariables'!CH$313,T03_Skills!$AA$2:$BU$2,0))</f>
        <v>#N/A</v>
      </c>
      <c r="CD320" s="422" t="e">
        <f t="shared" si="263"/>
        <v>#N/A</v>
      </c>
      <c r="CE320" s="422" t="e">
        <f>IF(CD320&gt;0,1+COUNTIF(CE$314:CE319,"&gt;0"),0)</f>
        <v>#N/A</v>
      </c>
      <c r="CF320" s="422" t="str">
        <f t="shared" si="264"/>
        <v/>
      </c>
      <c r="CG320" s="422" t="str">
        <f t="shared" si="265"/>
        <v/>
      </c>
      <c r="CH320" s="423">
        <f t="shared" si="228"/>
        <v>0</v>
      </c>
      <c r="CI320" s="428"/>
      <c r="CJ320" s="428"/>
      <c r="CK320" s="422"/>
      <c r="CL320" s="422"/>
      <c r="CM320" s="422"/>
      <c r="CN320" s="423"/>
      <c r="CO320" s="421"/>
      <c r="CP320" s="422"/>
      <c r="CQ320" s="422"/>
      <c r="CR320" s="422"/>
      <c r="CS320" s="422"/>
      <c r="CT320" s="423"/>
      <c r="CU320" s="421"/>
      <c r="CV320" s="422"/>
      <c r="CW320" s="422"/>
      <c r="CX320" s="422"/>
      <c r="CY320" s="422"/>
      <c r="CZ320" s="423"/>
      <c r="DA320" s="421"/>
      <c r="DB320" s="422"/>
      <c r="DC320" s="422"/>
      <c r="DD320" s="422"/>
      <c r="DE320" s="422"/>
      <c r="DF320" s="423"/>
      <c r="DG320" s="421"/>
      <c r="DH320" s="422"/>
      <c r="DI320" s="422"/>
      <c r="DJ320" s="422"/>
      <c r="DK320" s="422"/>
      <c r="DL320" s="423"/>
      <c r="DM320" s="421"/>
      <c r="DN320" s="422"/>
      <c r="DO320" s="422"/>
      <c r="DP320" s="422"/>
      <c r="DQ320" s="422"/>
      <c r="DR320" s="423"/>
      <c r="DS320" s="421"/>
      <c r="DT320" s="422"/>
      <c r="DU320" s="422"/>
      <c r="DV320" s="422"/>
      <c r="DW320" s="422"/>
      <c r="DX320" s="423"/>
      <c r="DY320" s="428"/>
      <c r="DZ320" s="138"/>
    </row>
    <row r="321" spans="1:130" ht="16.5" x14ac:dyDescent="0.3">
      <c r="A321" s="132">
        <f>IFERROR(IF(A320+1&lt;MAX(T041_ClassFeatures!$A$2:$A$2033),A320+1,""),"")</f>
        <v>318</v>
      </c>
      <c r="B321" s="131" t="str">
        <f>IFERROR(INDEX(T041_ClassFeatures!$B$2:$B$2033,MATCH('C03_ClassVariables'!A321,T041_ClassFeatures!$A$2:$A$2033,0),1),"")</f>
        <v xml:space="preserve">Enchantment Savant </v>
      </c>
      <c r="C321" s="131">
        <f>IF(B321="",0,IF(IFERROR(MATCH(B321,'C01_BaseCalculation'!$W$160:$W$239,0),0)&gt;0,1,0))</f>
        <v>0</v>
      </c>
      <c r="E321" s="428"/>
      <c r="F321" s="428"/>
      <c r="G321" s="4" t="s">
        <v>229</v>
      </c>
      <c r="I321" s="421">
        <f>INDEX(T03_Skills!$AA$3:$BU$41,MATCH('C03_ClassVariables'!$G327,T03_Skills!$Z$3:$Z$41,0),MATCH('C03_ClassVariables'!N$313,T03_Skills!$AA$2:$BU$2,0))</f>
        <v>0</v>
      </c>
      <c r="J321" s="422">
        <f t="shared" si="229"/>
        <v>0</v>
      </c>
      <c r="K321" s="422">
        <f>IF(I321&gt;0,1+COUNTIF(K$314:K320,"&gt;0"),0)</f>
        <v>0</v>
      </c>
      <c r="L321" s="422" t="str">
        <f t="shared" si="230"/>
        <v/>
      </c>
      <c r="M321" s="422" t="str">
        <f t="shared" si="214"/>
        <v/>
      </c>
      <c r="N321" s="423">
        <f t="shared" si="215"/>
        <v>0</v>
      </c>
      <c r="O321" s="421">
        <f>INDEX(T03_Skills!$AA$3:$BU$41,MATCH('C03_ClassVariables'!$G327,T03_Skills!$Z$3:$Z$41,0),MATCH('C03_ClassVariables'!T$313,T03_Skills!$AA$2:$BU$2,0))</f>
        <v>1</v>
      </c>
      <c r="P321" s="422">
        <f t="shared" si="231"/>
        <v>1</v>
      </c>
      <c r="Q321" s="422">
        <f>IF(P321&gt;0,1+COUNTIF(Q$314:Q320,"&gt;0"),0)</f>
        <v>8</v>
      </c>
      <c r="R321" s="422">
        <f t="shared" si="232"/>
        <v>8</v>
      </c>
      <c r="S321" s="422" t="str">
        <f t="shared" si="216"/>
        <v>Glassblower’s tools</v>
      </c>
      <c r="T321" s="423">
        <f t="shared" si="217"/>
        <v>0</v>
      </c>
      <c r="U321" s="421" t="e">
        <f>INDEX(T03_Skills!$AA$3:$BU$41,MATCH('C03_ClassVariables'!$G327,T03_Skills!$Z$3:$Z$41,0),MATCH('C03_ClassVariables'!Z$313,T03_Skills!$AA$2:$BU$2,0))</f>
        <v>#N/A</v>
      </c>
      <c r="V321" s="422" t="e">
        <f t="shared" si="233"/>
        <v>#N/A</v>
      </c>
      <c r="W321" s="422" t="e">
        <f>IF(V321&gt;0,1+COUNTIF(W$314:W320,"&gt;0"),0)</f>
        <v>#N/A</v>
      </c>
      <c r="X321" s="422" t="str">
        <f t="shared" si="234"/>
        <v/>
      </c>
      <c r="Y321" s="422" t="str">
        <f t="shared" si="235"/>
        <v/>
      </c>
      <c r="Z321" s="423">
        <f t="shared" si="218"/>
        <v>0</v>
      </c>
      <c r="AA321" s="421" t="e">
        <f>INDEX(T03_Skills!$AA$3:$BU$41,MATCH('C03_ClassVariables'!$G327,T03_Skills!$Z$3:$Z$41,0),MATCH('C03_ClassVariables'!AF$313,T03_Skills!$AA$2:$BU$2,0))</f>
        <v>#N/A</v>
      </c>
      <c r="AB321" s="422" t="e">
        <f t="shared" si="236"/>
        <v>#N/A</v>
      </c>
      <c r="AC321" s="422" t="e">
        <f>IF(AB321&gt;0,1+COUNTIF(AC$314:AC320,"&gt;0"),0)</f>
        <v>#N/A</v>
      </c>
      <c r="AD321" s="422" t="str">
        <f t="shared" si="237"/>
        <v/>
      </c>
      <c r="AE321" s="422" t="str">
        <f t="shared" si="238"/>
        <v/>
      </c>
      <c r="AF321" s="423">
        <f t="shared" si="219"/>
        <v>0</v>
      </c>
      <c r="AG321" s="421" t="e">
        <f>INDEX(T03_Skills!$AA$3:$BU$41,MATCH('C03_ClassVariables'!$G327,T03_Skills!$Z$3:$Z$41,0),MATCH('C03_ClassVariables'!AL$313,T03_Skills!$AA$2:$BU$2,0))</f>
        <v>#N/A</v>
      </c>
      <c r="AH321" s="422" t="e">
        <f t="shared" si="239"/>
        <v>#N/A</v>
      </c>
      <c r="AI321" s="422" t="e">
        <f>IF(AH321&gt;0,1+COUNTIF(AI$314:AI320,"&gt;0"),0)</f>
        <v>#N/A</v>
      </c>
      <c r="AJ321" s="422" t="str">
        <f t="shared" si="240"/>
        <v/>
      </c>
      <c r="AK321" s="422" t="str">
        <f t="shared" si="241"/>
        <v/>
      </c>
      <c r="AL321" s="423">
        <f t="shared" si="220"/>
        <v>0</v>
      </c>
      <c r="AM321" s="421" t="e">
        <f>INDEX(T03_Skills!$AA$3:$BU$41,MATCH('C03_ClassVariables'!$G327,T03_Skills!$Z$3:$Z$41,0),MATCH('C03_ClassVariables'!AR$313,T03_Skills!$AA$2:$BU$2,0))</f>
        <v>#N/A</v>
      </c>
      <c r="AN321" s="422" t="e">
        <f t="shared" si="242"/>
        <v>#N/A</v>
      </c>
      <c r="AO321" s="422" t="e">
        <f>IF(AN321&gt;0,1+COUNTIF(AO$314:AO320,"&gt;0"),0)</f>
        <v>#N/A</v>
      </c>
      <c r="AP321" s="422" t="str">
        <f t="shared" si="243"/>
        <v/>
      </c>
      <c r="AQ321" s="422" t="str">
        <f t="shared" si="244"/>
        <v/>
      </c>
      <c r="AR321" s="423">
        <f t="shared" si="221"/>
        <v>0</v>
      </c>
      <c r="AS321" s="421" t="e">
        <f>INDEX(T03_Skills!$AA$3:$BU$41,MATCH('C03_ClassVariables'!$G327,T03_Skills!$Z$3:$Z$41,0),MATCH('C03_ClassVariables'!AX$313,T03_Skills!$AA$2:$BU$2,0))</f>
        <v>#N/A</v>
      </c>
      <c r="AT321" s="422" t="e">
        <f t="shared" si="245"/>
        <v>#N/A</v>
      </c>
      <c r="AU321" s="422" t="e">
        <f>IF(AT321&gt;0,1+COUNTIF(AU$314:AU320,"&gt;0"),0)</f>
        <v>#N/A</v>
      </c>
      <c r="AV321" s="422" t="str">
        <f t="shared" si="246"/>
        <v/>
      </c>
      <c r="AW321" s="422" t="str">
        <f t="shared" si="247"/>
        <v/>
      </c>
      <c r="AX321" s="423">
        <f t="shared" si="222"/>
        <v>0</v>
      </c>
      <c r="AY321" s="421" t="e">
        <f>INDEX(T03_Skills!$AA$3:$BU$41,MATCH('C03_ClassVariables'!$G327,T03_Skills!$Z$3:$Z$41,0),MATCH('C03_ClassVariables'!BD$313,T03_Skills!$AA$2:$BU$2,0))</f>
        <v>#N/A</v>
      </c>
      <c r="AZ321" s="422" t="e">
        <f t="shared" si="248"/>
        <v>#N/A</v>
      </c>
      <c r="BA321" s="422" t="e">
        <f>IF(AZ321&gt;0,1+COUNTIF(BA$314:BA320,"&gt;0"),0)</f>
        <v>#N/A</v>
      </c>
      <c r="BB321" s="422" t="str">
        <f t="shared" si="249"/>
        <v/>
      </c>
      <c r="BC321" s="422" t="str">
        <f t="shared" si="250"/>
        <v/>
      </c>
      <c r="BD321" s="423">
        <f t="shared" si="223"/>
        <v>0</v>
      </c>
      <c r="BE321" s="421" t="e">
        <f>INDEX(T03_Skills!$AA$3:$BU$41,MATCH('C03_ClassVariables'!$G327,T03_Skills!$Z$3:$Z$41,0),MATCH('C03_ClassVariables'!BJ$313,T03_Skills!$AA$2:$BU$2,0))</f>
        <v>#N/A</v>
      </c>
      <c r="BF321" s="422" t="e">
        <f t="shared" si="251"/>
        <v>#N/A</v>
      </c>
      <c r="BG321" s="422" t="e">
        <f>IF(BF321&gt;0,1+COUNTIF(BG$314:BG320,"&gt;0"),0)</f>
        <v>#N/A</v>
      </c>
      <c r="BH321" s="422" t="str">
        <f t="shared" si="252"/>
        <v/>
      </c>
      <c r="BI321" s="422" t="str">
        <f t="shared" si="253"/>
        <v/>
      </c>
      <c r="BJ321" s="423">
        <f t="shared" si="224"/>
        <v>0</v>
      </c>
      <c r="BK321" s="421" t="e">
        <f>INDEX(T03_Skills!$AA$3:$BU$41,MATCH('C03_ClassVariables'!$G327,T03_Skills!$Z$3:$Z$41,0),MATCH('C03_ClassVariables'!BP$313,T03_Skills!$AA$2:$BU$2,0))</f>
        <v>#N/A</v>
      </c>
      <c r="BL321" s="422" t="e">
        <f t="shared" si="254"/>
        <v>#N/A</v>
      </c>
      <c r="BM321" s="422" t="e">
        <f>IF(BL321&gt;0,1+COUNTIF(BM$314:BM320,"&gt;0"),0)</f>
        <v>#N/A</v>
      </c>
      <c r="BN321" s="422" t="str">
        <f t="shared" si="255"/>
        <v/>
      </c>
      <c r="BO321" s="422" t="str">
        <f t="shared" si="256"/>
        <v/>
      </c>
      <c r="BP321" s="423">
        <f t="shared" si="225"/>
        <v>0</v>
      </c>
      <c r="BQ321" s="421" t="e">
        <f>INDEX(T03_Skills!$AA$3:$BU$41,MATCH('C03_ClassVariables'!$G327,T03_Skills!$Z$3:$Z$41,0),MATCH('C03_ClassVariables'!BV$313,T03_Skills!$AA$2:$BU$2,0))</f>
        <v>#N/A</v>
      </c>
      <c r="BR321" s="422" t="e">
        <f t="shared" si="257"/>
        <v>#N/A</v>
      </c>
      <c r="BS321" s="422" t="e">
        <f>IF(BR321&gt;0,1+COUNTIF(BS$314:BS320,"&gt;0"),0)</f>
        <v>#N/A</v>
      </c>
      <c r="BT321" s="422" t="str">
        <f t="shared" si="258"/>
        <v/>
      </c>
      <c r="BU321" s="422" t="str">
        <f t="shared" si="259"/>
        <v/>
      </c>
      <c r="BV321" s="423">
        <f t="shared" si="226"/>
        <v>0</v>
      </c>
      <c r="BW321" s="421" t="e">
        <f>INDEX(T03_Skills!$AA$3:$BU$41,MATCH('C03_ClassVariables'!$G327,T03_Skills!$Z$3:$Z$41,0),MATCH('C03_ClassVariables'!CB$313,T03_Skills!$AA$2:$BU$2,0))</f>
        <v>#N/A</v>
      </c>
      <c r="BX321" s="422" t="e">
        <f t="shared" si="260"/>
        <v>#N/A</v>
      </c>
      <c r="BY321" s="422" t="e">
        <f>IF(BX321&gt;0,1+COUNTIF(BY$314:BY320,"&gt;0"),0)</f>
        <v>#N/A</v>
      </c>
      <c r="BZ321" s="422" t="str">
        <f t="shared" si="261"/>
        <v/>
      </c>
      <c r="CA321" s="422" t="str">
        <f t="shared" si="262"/>
        <v/>
      </c>
      <c r="CB321" s="423">
        <f t="shared" si="227"/>
        <v>0</v>
      </c>
      <c r="CC321" s="421" t="e">
        <f>INDEX(T03_Skills!$AA$3:$BU$41,MATCH('C03_ClassVariables'!$G327,T03_Skills!$Z$3:$Z$41,0),MATCH('C03_ClassVariables'!CH$313,T03_Skills!$AA$2:$BU$2,0))</f>
        <v>#N/A</v>
      </c>
      <c r="CD321" s="422" t="e">
        <f t="shared" si="263"/>
        <v>#N/A</v>
      </c>
      <c r="CE321" s="422" t="e">
        <f>IF(CD321&gt;0,1+COUNTIF(CE$314:CE320,"&gt;0"),0)</f>
        <v>#N/A</v>
      </c>
      <c r="CF321" s="422" t="str">
        <f t="shared" si="264"/>
        <v/>
      </c>
      <c r="CG321" s="422" t="str">
        <f t="shared" si="265"/>
        <v/>
      </c>
      <c r="CH321" s="423">
        <f t="shared" si="228"/>
        <v>0</v>
      </c>
      <c r="CI321" s="428"/>
      <c r="CJ321" s="428"/>
      <c r="CK321" s="422"/>
      <c r="CL321" s="422"/>
      <c r="CM321" s="422"/>
      <c r="CN321" s="423"/>
      <c r="CO321" s="421"/>
      <c r="CP321" s="422"/>
      <c r="CQ321" s="422"/>
      <c r="CR321" s="422"/>
      <c r="CS321" s="422"/>
      <c r="CT321" s="423"/>
      <c r="CU321" s="421"/>
      <c r="CV321" s="422"/>
      <c r="CW321" s="422"/>
      <c r="CX321" s="422"/>
      <c r="CY321" s="422"/>
      <c r="CZ321" s="423"/>
      <c r="DA321" s="421"/>
      <c r="DB321" s="422"/>
      <c r="DC321" s="422"/>
      <c r="DD321" s="422"/>
      <c r="DE321" s="422"/>
      <c r="DF321" s="423"/>
      <c r="DG321" s="421"/>
      <c r="DH321" s="422"/>
      <c r="DI321" s="422"/>
      <c r="DJ321" s="422"/>
      <c r="DK321" s="422"/>
      <c r="DL321" s="423"/>
      <c r="DM321" s="421"/>
      <c r="DN321" s="422"/>
      <c r="DO321" s="422"/>
      <c r="DP321" s="422"/>
      <c r="DQ321" s="422"/>
      <c r="DR321" s="423"/>
      <c r="DS321" s="421"/>
      <c r="DT321" s="422"/>
      <c r="DU321" s="422"/>
      <c r="DV321" s="422"/>
      <c r="DW321" s="422"/>
      <c r="DX321" s="423"/>
      <c r="DY321" s="428"/>
      <c r="DZ321" s="138"/>
    </row>
    <row r="322" spans="1:130" ht="16.5" x14ac:dyDescent="0.3">
      <c r="A322" s="132">
        <f>IFERROR(IF(A321+1&lt;MAX(T041_ClassFeatures!$A$2:$A$2033),A321+1,""),"")</f>
        <v>319</v>
      </c>
      <c r="B322" s="131" t="str">
        <f>IFERROR(INDEX(T041_ClassFeatures!$B$2:$B$2033,MATCH('C03_ClassVariables'!A322,T041_ClassFeatures!$A$2:$A$2033,0),1),"")</f>
        <v>Hypnotic Gaze</v>
      </c>
      <c r="C322" s="131">
        <f>IF(B322="",0,IF(IFERROR(MATCH(B322,'C01_BaseCalculation'!$W$160:$W$239,0),0)&gt;0,1,0))</f>
        <v>0</v>
      </c>
      <c r="E322" s="428"/>
      <c r="F322" s="428"/>
      <c r="G322" s="4" t="s">
        <v>234</v>
      </c>
      <c r="I322" s="421">
        <f>INDEX(T03_Skills!$AA$3:$BU$41,MATCH('C03_ClassVariables'!$G328,T03_Skills!$Z$3:$Z$41,0),MATCH('C03_ClassVariables'!N$313,T03_Skills!$AA$2:$BU$2,0))</f>
        <v>0</v>
      </c>
      <c r="J322" s="422">
        <f t="shared" si="229"/>
        <v>0</v>
      </c>
      <c r="K322" s="422">
        <f>IF(I322&gt;0,1+COUNTIF(K$314:K321,"&gt;0"),0)</f>
        <v>0</v>
      </c>
      <c r="L322" s="422" t="str">
        <f t="shared" si="230"/>
        <v/>
      </c>
      <c r="M322" s="422" t="str">
        <f t="shared" si="214"/>
        <v/>
      </c>
      <c r="N322" s="423">
        <f t="shared" si="215"/>
        <v>0</v>
      </c>
      <c r="O322" s="421">
        <f>INDEX(T03_Skills!$AA$3:$BU$41,MATCH('C03_ClassVariables'!$G328,T03_Skills!$Z$3:$Z$41,0),MATCH('C03_ClassVariables'!T$313,T03_Skills!$AA$2:$BU$2,0))</f>
        <v>1</v>
      </c>
      <c r="P322" s="422">
        <f t="shared" si="231"/>
        <v>1</v>
      </c>
      <c r="Q322" s="422">
        <f>IF(P322&gt;0,1+COUNTIF(Q$314:Q321,"&gt;0"),0)</f>
        <v>9</v>
      </c>
      <c r="R322" s="422">
        <f t="shared" si="232"/>
        <v>9</v>
      </c>
      <c r="S322" s="422" t="str">
        <f t="shared" si="216"/>
        <v>Jeweler’s tools</v>
      </c>
      <c r="T322" s="423">
        <f t="shared" si="217"/>
        <v>0</v>
      </c>
      <c r="U322" s="421" t="e">
        <f>INDEX(T03_Skills!$AA$3:$BU$41,MATCH('C03_ClassVariables'!$G328,T03_Skills!$Z$3:$Z$41,0),MATCH('C03_ClassVariables'!Z$313,T03_Skills!$AA$2:$BU$2,0))</f>
        <v>#N/A</v>
      </c>
      <c r="V322" s="422" t="e">
        <f t="shared" si="233"/>
        <v>#N/A</v>
      </c>
      <c r="W322" s="422" t="e">
        <f>IF(V322&gt;0,1+COUNTIF(W$314:W321,"&gt;0"),0)</f>
        <v>#N/A</v>
      </c>
      <c r="X322" s="422" t="str">
        <f t="shared" si="234"/>
        <v/>
      </c>
      <c r="Y322" s="422" t="str">
        <f t="shared" si="235"/>
        <v/>
      </c>
      <c r="Z322" s="423">
        <f t="shared" si="218"/>
        <v>0</v>
      </c>
      <c r="AA322" s="421" t="e">
        <f>INDEX(T03_Skills!$AA$3:$BU$41,MATCH('C03_ClassVariables'!$G328,T03_Skills!$Z$3:$Z$41,0),MATCH('C03_ClassVariables'!AF$313,T03_Skills!$AA$2:$BU$2,0))</f>
        <v>#N/A</v>
      </c>
      <c r="AB322" s="422" t="e">
        <f t="shared" si="236"/>
        <v>#N/A</v>
      </c>
      <c r="AC322" s="422" t="e">
        <f>IF(AB322&gt;0,1+COUNTIF(AC$314:AC321,"&gt;0"),0)</f>
        <v>#N/A</v>
      </c>
      <c r="AD322" s="422" t="str">
        <f t="shared" si="237"/>
        <v/>
      </c>
      <c r="AE322" s="422" t="str">
        <f t="shared" si="238"/>
        <v/>
      </c>
      <c r="AF322" s="423">
        <f t="shared" si="219"/>
        <v>0</v>
      </c>
      <c r="AG322" s="421" t="e">
        <f>INDEX(T03_Skills!$AA$3:$BU$41,MATCH('C03_ClassVariables'!$G328,T03_Skills!$Z$3:$Z$41,0),MATCH('C03_ClassVariables'!AL$313,T03_Skills!$AA$2:$BU$2,0))</f>
        <v>#N/A</v>
      </c>
      <c r="AH322" s="422" t="e">
        <f t="shared" si="239"/>
        <v>#N/A</v>
      </c>
      <c r="AI322" s="422" t="e">
        <f>IF(AH322&gt;0,1+COUNTIF(AI$314:AI321,"&gt;0"),0)</f>
        <v>#N/A</v>
      </c>
      <c r="AJ322" s="422" t="str">
        <f t="shared" si="240"/>
        <v/>
      </c>
      <c r="AK322" s="422" t="str">
        <f t="shared" si="241"/>
        <v/>
      </c>
      <c r="AL322" s="423">
        <f t="shared" si="220"/>
        <v>0</v>
      </c>
      <c r="AM322" s="421" t="e">
        <f>INDEX(T03_Skills!$AA$3:$BU$41,MATCH('C03_ClassVariables'!$G328,T03_Skills!$Z$3:$Z$41,0),MATCH('C03_ClassVariables'!AR$313,T03_Skills!$AA$2:$BU$2,0))</f>
        <v>#N/A</v>
      </c>
      <c r="AN322" s="422" t="e">
        <f t="shared" si="242"/>
        <v>#N/A</v>
      </c>
      <c r="AO322" s="422" t="e">
        <f>IF(AN322&gt;0,1+COUNTIF(AO$314:AO321,"&gt;0"),0)</f>
        <v>#N/A</v>
      </c>
      <c r="AP322" s="422" t="str">
        <f t="shared" si="243"/>
        <v/>
      </c>
      <c r="AQ322" s="422" t="str">
        <f t="shared" si="244"/>
        <v/>
      </c>
      <c r="AR322" s="423">
        <f t="shared" si="221"/>
        <v>0</v>
      </c>
      <c r="AS322" s="421" t="e">
        <f>INDEX(T03_Skills!$AA$3:$BU$41,MATCH('C03_ClassVariables'!$G328,T03_Skills!$Z$3:$Z$41,0),MATCH('C03_ClassVariables'!AX$313,T03_Skills!$AA$2:$BU$2,0))</f>
        <v>#N/A</v>
      </c>
      <c r="AT322" s="422" t="e">
        <f t="shared" si="245"/>
        <v>#N/A</v>
      </c>
      <c r="AU322" s="422" t="e">
        <f>IF(AT322&gt;0,1+COUNTIF(AU$314:AU321,"&gt;0"),0)</f>
        <v>#N/A</v>
      </c>
      <c r="AV322" s="422" t="str">
        <f t="shared" si="246"/>
        <v/>
      </c>
      <c r="AW322" s="422" t="str">
        <f t="shared" si="247"/>
        <v/>
      </c>
      <c r="AX322" s="423">
        <f t="shared" si="222"/>
        <v>0</v>
      </c>
      <c r="AY322" s="421" t="e">
        <f>INDEX(T03_Skills!$AA$3:$BU$41,MATCH('C03_ClassVariables'!$G328,T03_Skills!$Z$3:$Z$41,0),MATCH('C03_ClassVariables'!BD$313,T03_Skills!$AA$2:$BU$2,0))</f>
        <v>#N/A</v>
      </c>
      <c r="AZ322" s="422" t="e">
        <f t="shared" si="248"/>
        <v>#N/A</v>
      </c>
      <c r="BA322" s="422" t="e">
        <f>IF(AZ322&gt;0,1+COUNTIF(BA$314:BA321,"&gt;0"),0)</f>
        <v>#N/A</v>
      </c>
      <c r="BB322" s="422" t="str">
        <f t="shared" si="249"/>
        <v/>
      </c>
      <c r="BC322" s="422" t="str">
        <f t="shared" si="250"/>
        <v/>
      </c>
      <c r="BD322" s="423">
        <f t="shared" si="223"/>
        <v>0</v>
      </c>
      <c r="BE322" s="421" t="e">
        <f>INDEX(T03_Skills!$AA$3:$BU$41,MATCH('C03_ClassVariables'!$G328,T03_Skills!$Z$3:$Z$41,0),MATCH('C03_ClassVariables'!BJ$313,T03_Skills!$AA$2:$BU$2,0))</f>
        <v>#N/A</v>
      </c>
      <c r="BF322" s="422" t="e">
        <f t="shared" si="251"/>
        <v>#N/A</v>
      </c>
      <c r="BG322" s="422" t="e">
        <f>IF(BF322&gt;0,1+COUNTIF(BG$314:BG321,"&gt;0"),0)</f>
        <v>#N/A</v>
      </c>
      <c r="BH322" s="422" t="str">
        <f t="shared" si="252"/>
        <v/>
      </c>
      <c r="BI322" s="422" t="str">
        <f t="shared" si="253"/>
        <v/>
      </c>
      <c r="BJ322" s="423">
        <f t="shared" si="224"/>
        <v>0</v>
      </c>
      <c r="BK322" s="421" t="e">
        <f>INDEX(T03_Skills!$AA$3:$BU$41,MATCH('C03_ClassVariables'!$G328,T03_Skills!$Z$3:$Z$41,0),MATCH('C03_ClassVariables'!BP$313,T03_Skills!$AA$2:$BU$2,0))</f>
        <v>#N/A</v>
      </c>
      <c r="BL322" s="422" t="e">
        <f t="shared" si="254"/>
        <v>#N/A</v>
      </c>
      <c r="BM322" s="422" t="e">
        <f>IF(BL322&gt;0,1+COUNTIF(BM$314:BM321,"&gt;0"),0)</f>
        <v>#N/A</v>
      </c>
      <c r="BN322" s="422" t="str">
        <f t="shared" si="255"/>
        <v/>
      </c>
      <c r="BO322" s="422" t="str">
        <f t="shared" si="256"/>
        <v/>
      </c>
      <c r="BP322" s="423">
        <f t="shared" si="225"/>
        <v>0</v>
      </c>
      <c r="BQ322" s="421" t="e">
        <f>INDEX(T03_Skills!$AA$3:$BU$41,MATCH('C03_ClassVariables'!$G328,T03_Skills!$Z$3:$Z$41,0),MATCH('C03_ClassVariables'!BV$313,T03_Skills!$AA$2:$BU$2,0))</f>
        <v>#N/A</v>
      </c>
      <c r="BR322" s="422" t="e">
        <f t="shared" si="257"/>
        <v>#N/A</v>
      </c>
      <c r="BS322" s="422" t="e">
        <f>IF(BR322&gt;0,1+COUNTIF(BS$314:BS321,"&gt;0"),0)</f>
        <v>#N/A</v>
      </c>
      <c r="BT322" s="422" t="str">
        <f t="shared" si="258"/>
        <v/>
      </c>
      <c r="BU322" s="422" t="str">
        <f t="shared" si="259"/>
        <v/>
      </c>
      <c r="BV322" s="423">
        <f t="shared" si="226"/>
        <v>0</v>
      </c>
      <c r="BW322" s="421" t="e">
        <f>INDEX(T03_Skills!$AA$3:$BU$41,MATCH('C03_ClassVariables'!$G328,T03_Skills!$Z$3:$Z$41,0),MATCH('C03_ClassVariables'!CB$313,T03_Skills!$AA$2:$BU$2,0))</f>
        <v>#N/A</v>
      </c>
      <c r="BX322" s="422" t="e">
        <f t="shared" si="260"/>
        <v>#N/A</v>
      </c>
      <c r="BY322" s="422" t="e">
        <f>IF(BX322&gt;0,1+COUNTIF(BY$314:BY321,"&gt;0"),0)</f>
        <v>#N/A</v>
      </c>
      <c r="BZ322" s="422" t="str">
        <f t="shared" si="261"/>
        <v/>
      </c>
      <c r="CA322" s="422" t="str">
        <f t="shared" si="262"/>
        <v/>
      </c>
      <c r="CB322" s="423">
        <f t="shared" si="227"/>
        <v>0</v>
      </c>
      <c r="CC322" s="421" t="e">
        <f>INDEX(T03_Skills!$AA$3:$BU$41,MATCH('C03_ClassVariables'!$G328,T03_Skills!$Z$3:$Z$41,0),MATCH('C03_ClassVariables'!CH$313,T03_Skills!$AA$2:$BU$2,0))</f>
        <v>#N/A</v>
      </c>
      <c r="CD322" s="422" t="e">
        <f t="shared" si="263"/>
        <v>#N/A</v>
      </c>
      <c r="CE322" s="422" t="e">
        <f>IF(CD322&gt;0,1+COUNTIF(CE$314:CE321,"&gt;0"),0)</f>
        <v>#N/A</v>
      </c>
      <c r="CF322" s="422" t="str">
        <f t="shared" si="264"/>
        <v/>
      </c>
      <c r="CG322" s="422" t="str">
        <f t="shared" si="265"/>
        <v/>
      </c>
      <c r="CH322" s="423">
        <f t="shared" si="228"/>
        <v>0</v>
      </c>
      <c r="CI322" s="428"/>
      <c r="CJ322" s="428"/>
      <c r="CK322" s="422"/>
      <c r="CL322" s="422"/>
      <c r="CM322" s="422"/>
      <c r="CN322" s="423"/>
      <c r="CO322" s="421"/>
      <c r="CP322" s="422"/>
      <c r="CQ322" s="422"/>
      <c r="CR322" s="422"/>
      <c r="CS322" s="422"/>
      <c r="CT322" s="423"/>
      <c r="CU322" s="421"/>
      <c r="CV322" s="422"/>
      <c r="CW322" s="422"/>
      <c r="CX322" s="422"/>
      <c r="CY322" s="422"/>
      <c r="CZ322" s="423"/>
      <c r="DA322" s="421"/>
      <c r="DB322" s="422"/>
      <c r="DC322" s="422"/>
      <c r="DD322" s="422"/>
      <c r="DE322" s="422"/>
      <c r="DF322" s="423"/>
      <c r="DG322" s="421"/>
      <c r="DH322" s="422"/>
      <c r="DI322" s="422"/>
      <c r="DJ322" s="422"/>
      <c r="DK322" s="422"/>
      <c r="DL322" s="423"/>
      <c r="DM322" s="421"/>
      <c r="DN322" s="422"/>
      <c r="DO322" s="422"/>
      <c r="DP322" s="422"/>
      <c r="DQ322" s="422"/>
      <c r="DR322" s="423"/>
      <c r="DS322" s="421"/>
      <c r="DT322" s="422"/>
      <c r="DU322" s="422"/>
      <c r="DV322" s="422"/>
      <c r="DW322" s="422"/>
      <c r="DX322" s="423"/>
      <c r="DY322" s="428"/>
      <c r="DZ322" s="138"/>
    </row>
    <row r="323" spans="1:130" ht="16.5" x14ac:dyDescent="0.3">
      <c r="A323" s="132">
        <f>IFERROR(IF(A322+1&lt;MAX(T041_ClassFeatures!$A$2:$A$2033),A322+1,""),"")</f>
        <v>320</v>
      </c>
      <c r="B323" s="131" t="str">
        <f>IFERROR(INDEX(T041_ClassFeatures!$B$2:$B$2033,MATCH('C03_ClassVariables'!A323,T041_ClassFeatures!$A$2:$A$2033,0),1),"")</f>
        <v>Instinctive Charm</v>
      </c>
      <c r="C323" s="131">
        <f>IF(B323="",0,IF(IFERROR(MATCH(B323,'C01_BaseCalculation'!$W$160:$W$239,0),0)&gt;0,1,0))</f>
        <v>0</v>
      </c>
      <c r="E323" s="428"/>
      <c r="F323" s="428"/>
      <c r="G323" s="4" t="s">
        <v>244</v>
      </c>
      <c r="I323" s="421">
        <f>INDEX(T03_Skills!$AA$3:$BU$41,MATCH('C03_ClassVariables'!$G329,T03_Skills!$Z$3:$Z$41,0),MATCH('C03_ClassVariables'!N$313,T03_Skills!$AA$2:$BU$2,0))</f>
        <v>0</v>
      </c>
      <c r="J323" s="422">
        <f t="shared" si="229"/>
        <v>0</v>
      </c>
      <c r="K323" s="422">
        <f>IF(I323&gt;0,1+COUNTIF(K$314:K322,"&gt;0"),0)</f>
        <v>0</v>
      </c>
      <c r="L323" s="422" t="str">
        <f t="shared" si="230"/>
        <v/>
      </c>
      <c r="M323" s="422" t="str">
        <f t="shared" si="214"/>
        <v/>
      </c>
      <c r="N323" s="423">
        <f t="shared" si="215"/>
        <v>0</v>
      </c>
      <c r="O323" s="421">
        <f>INDEX(T03_Skills!$AA$3:$BU$41,MATCH('C03_ClassVariables'!$G329,T03_Skills!$Z$3:$Z$41,0),MATCH('C03_ClassVariables'!T$313,T03_Skills!$AA$2:$BU$2,0))</f>
        <v>1</v>
      </c>
      <c r="P323" s="422">
        <f t="shared" si="231"/>
        <v>1</v>
      </c>
      <c r="Q323" s="422">
        <f>IF(P323&gt;0,1+COUNTIF(Q$314:Q322,"&gt;0"),0)</f>
        <v>10</v>
      </c>
      <c r="R323" s="422">
        <f t="shared" si="232"/>
        <v>10</v>
      </c>
      <c r="S323" s="422" t="str">
        <f t="shared" si="216"/>
        <v>Leatherworker’s tools</v>
      </c>
      <c r="T323" s="423">
        <f t="shared" si="217"/>
        <v>0</v>
      </c>
      <c r="U323" s="421" t="e">
        <f>INDEX(T03_Skills!$AA$3:$BU$41,MATCH('C03_ClassVariables'!$G329,T03_Skills!$Z$3:$Z$41,0),MATCH('C03_ClassVariables'!Z$313,T03_Skills!$AA$2:$BU$2,0))</f>
        <v>#N/A</v>
      </c>
      <c r="V323" s="422" t="e">
        <f t="shared" si="233"/>
        <v>#N/A</v>
      </c>
      <c r="W323" s="422" t="e">
        <f>IF(V323&gt;0,1+COUNTIF(W$314:W322,"&gt;0"),0)</f>
        <v>#N/A</v>
      </c>
      <c r="X323" s="422" t="str">
        <f t="shared" si="234"/>
        <v/>
      </c>
      <c r="Y323" s="422" t="str">
        <f t="shared" si="235"/>
        <v/>
      </c>
      <c r="Z323" s="423">
        <f t="shared" si="218"/>
        <v>0</v>
      </c>
      <c r="AA323" s="421" t="e">
        <f>INDEX(T03_Skills!$AA$3:$BU$41,MATCH('C03_ClassVariables'!$G329,T03_Skills!$Z$3:$Z$41,0),MATCH('C03_ClassVariables'!AF$313,T03_Skills!$AA$2:$BU$2,0))</f>
        <v>#N/A</v>
      </c>
      <c r="AB323" s="422" t="e">
        <f t="shared" si="236"/>
        <v>#N/A</v>
      </c>
      <c r="AC323" s="422" t="e">
        <f>IF(AB323&gt;0,1+COUNTIF(AC$314:AC322,"&gt;0"),0)</f>
        <v>#N/A</v>
      </c>
      <c r="AD323" s="422" t="str">
        <f t="shared" si="237"/>
        <v/>
      </c>
      <c r="AE323" s="422" t="str">
        <f t="shared" si="238"/>
        <v/>
      </c>
      <c r="AF323" s="423">
        <f t="shared" si="219"/>
        <v>0</v>
      </c>
      <c r="AG323" s="421" t="e">
        <f>INDEX(T03_Skills!$AA$3:$BU$41,MATCH('C03_ClassVariables'!$G329,T03_Skills!$Z$3:$Z$41,0),MATCH('C03_ClassVariables'!AL$313,T03_Skills!$AA$2:$BU$2,0))</f>
        <v>#N/A</v>
      </c>
      <c r="AH323" s="422" t="e">
        <f t="shared" si="239"/>
        <v>#N/A</v>
      </c>
      <c r="AI323" s="422" t="e">
        <f>IF(AH323&gt;0,1+COUNTIF(AI$314:AI322,"&gt;0"),0)</f>
        <v>#N/A</v>
      </c>
      <c r="AJ323" s="422" t="str">
        <f t="shared" si="240"/>
        <v/>
      </c>
      <c r="AK323" s="422" t="str">
        <f t="shared" si="241"/>
        <v/>
      </c>
      <c r="AL323" s="423">
        <f t="shared" si="220"/>
        <v>0</v>
      </c>
      <c r="AM323" s="421" t="e">
        <f>INDEX(T03_Skills!$AA$3:$BU$41,MATCH('C03_ClassVariables'!$G329,T03_Skills!$Z$3:$Z$41,0),MATCH('C03_ClassVariables'!AR$313,T03_Skills!$AA$2:$BU$2,0))</f>
        <v>#N/A</v>
      </c>
      <c r="AN323" s="422" t="e">
        <f t="shared" si="242"/>
        <v>#N/A</v>
      </c>
      <c r="AO323" s="422" t="e">
        <f>IF(AN323&gt;0,1+COUNTIF(AO$314:AO322,"&gt;0"),0)</f>
        <v>#N/A</v>
      </c>
      <c r="AP323" s="422" t="str">
        <f t="shared" si="243"/>
        <v/>
      </c>
      <c r="AQ323" s="422" t="str">
        <f t="shared" si="244"/>
        <v/>
      </c>
      <c r="AR323" s="423">
        <f t="shared" si="221"/>
        <v>0</v>
      </c>
      <c r="AS323" s="421" t="e">
        <f>INDEX(T03_Skills!$AA$3:$BU$41,MATCH('C03_ClassVariables'!$G329,T03_Skills!$Z$3:$Z$41,0),MATCH('C03_ClassVariables'!AX$313,T03_Skills!$AA$2:$BU$2,0))</f>
        <v>#N/A</v>
      </c>
      <c r="AT323" s="422" t="e">
        <f t="shared" si="245"/>
        <v>#N/A</v>
      </c>
      <c r="AU323" s="422" t="e">
        <f>IF(AT323&gt;0,1+COUNTIF(AU$314:AU322,"&gt;0"),0)</f>
        <v>#N/A</v>
      </c>
      <c r="AV323" s="422" t="str">
        <f t="shared" si="246"/>
        <v/>
      </c>
      <c r="AW323" s="422" t="str">
        <f t="shared" si="247"/>
        <v/>
      </c>
      <c r="AX323" s="423">
        <f t="shared" si="222"/>
        <v>0</v>
      </c>
      <c r="AY323" s="421" t="e">
        <f>INDEX(T03_Skills!$AA$3:$BU$41,MATCH('C03_ClassVariables'!$G329,T03_Skills!$Z$3:$Z$41,0),MATCH('C03_ClassVariables'!BD$313,T03_Skills!$AA$2:$BU$2,0))</f>
        <v>#N/A</v>
      </c>
      <c r="AZ323" s="422" t="e">
        <f t="shared" si="248"/>
        <v>#N/A</v>
      </c>
      <c r="BA323" s="422" t="e">
        <f>IF(AZ323&gt;0,1+COUNTIF(BA$314:BA322,"&gt;0"),0)</f>
        <v>#N/A</v>
      </c>
      <c r="BB323" s="422" t="str">
        <f t="shared" si="249"/>
        <v/>
      </c>
      <c r="BC323" s="422" t="str">
        <f t="shared" si="250"/>
        <v/>
      </c>
      <c r="BD323" s="423">
        <f t="shared" si="223"/>
        <v>0</v>
      </c>
      <c r="BE323" s="421" t="e">
        <f>INDEX(T03_Skills!$AA$3:$BU$41,MATCH('C03_ClassVariables'!$G329,T03_Skills!$Z$3:$Z$41,0),MATCH('C03_ClassVariables'!BJ$313,T03_Skills!$AA$2:$BU$2,0))</f>
        <v>#N/A</v>
      </c>
      <c r="BF323" s="422" t="e">
        <f t="shared" si="251"/>
        <v>#N/A</v>
      </c>
      <c r="BG323" s="422" t="e">
        <f>IF(BF323&gt;0,1+COUNTIF(BG$314:BG322,"&gt;0"),0)</f>
        <v>#N/A</v>
      </c>
      <c r="BH323" s="422" t="str">
        <f t="shared" si="252"/>
        <v/>
      </c>
      <c r="BI323" s="422" t="str">
        <f t="shared" si="253"/>
        <v/>
      </c>
      <c r="BJ323" s="423">
        <f t="shared" si="224"/>
        <v>0</v>
      </c>
      <c r="BK323" s="421" t="e">
        <f>INDEX(T03_Skills!$AA$3:$BU$41,MATCH('C03_ClassVariables'!$G329,T03_Skills!$Z$3:$Z$41,0),MATCH('C03_ClassVariables'!BP$313,T03_Skills!$AA$2:$BU$2,0))</f>
        <v>#N/A</v>
      </c>
      <c r="BL323" s="422" t="e">
        <f t="shared" si="254"/>
        <v>#N/A</v>
      </c>
      <c r="BM323" s="422" t="e">
        <f>IF(BL323&gt;0,1+COUNTIF(BM$314:BM322,"&gt;0"),0)</f>
        <v>#N/A</v>
      </c>
      <c r="BN323" s="422" t="str">
        <f t="shared" si="255"/>
        <v/>
      </c>
      <c r="BO323" s="422" t="str">
        <f t="shared" si="256"/>
        <v/>
      </c>
      <c r="BP323" s="423">
        <f t="shared" si="225"/>
        <v>0</v>
      </c>
      <c r="BQ323" s="421" t="e">
        <f>INDEX(T03_Skills!$AA$3:$BU$41,MATCH('C03_ClassVariables'!$G329,T03_Skills!$Z$3:$Z$41,0),MATCH('C03_ClassVariables'!BV$313,T03_Skills!$AA$2:$BU$2,0))</f>
        <v>#N/A</v>
      </c>
      <c r="BR323" s="422" t="e">
        <f t="shared" si="257"/>
        <v>#N/A</v>
      </c>
      <c r="BS323" s="422" t="e">
        <f>IF(BR323&gt;0,1+COUNTIF(BS$314:BS322,"&gt;0"),0)</f>
        <v>#N/A</v>
      </c>
      <c r="BT323" s="422" t="str">
        <f t="shared" si="258"/>
        <v/>
      </c>
      <c r="BU323" s="422" t="str">
        <f t="shared" si="259"/>
        <v/>
      </c>
      <c r="BV323" s="423">
        <f t="shared" si="226"/>
        <v>0</v>
      </c>
      <c r="BW323" s="421" t="e">
        <f>INDEX(T03_Skills!$AA$3:$BU$41,MATCH('C03_ClassVariables'!$G329,T03_Skills!$Z$3:$Z$41,0),MATCH('C03_ClassVariables'!CB$313,T03_Skills!$AA$2:$BU$2,0))</f>
        <v>#N/A</v>
      </c>
      <c r="BX323" s="422" t="e">
        <f t="shared" si="260"/>
        <v>#N/A</v>
      </c>
      <c r="BY323" s="422" t="e">
        <f>IF(BX323&gt;0,1+COUNTIF(BY$314:BY322,"&gt;0"),0)</f>
        <v>#N/A</v>
      </c>
      <c r="BZ323" s="422" t="str">
        <f t="shared" si="261"/>
        <v/>
      </c>
      <c r="CA323" s="422" t="str">
        <f t="shared" si="262"/>
        <v/>
      </c>
      <c r="CB323" s="423">
        <f t="shared" si="227"/>
        <v>0</v>
      </c>
      <c r="CC323" s="421" t="e">
        <f>INDEX(T03_Skills!$AA$3:$BU$41,MATCH('C03_ClassVariables'!$G329,T03_Skills!$Z$3:$Z$41,0),MATCH('C03_ClassVariables'!CH$313,T03_Skills!$AA$2:$BU$2,0))</f>
        <v>#N/A</v>
      </c>
      <c r="CD323" s="422" t="e">
        <f t="shared" si="263"/>
        <v>#N/A</v>
      </c>
      <c r="CE323" s="422" t="e">
        <f>IF(CD323&gt;0,1+COUNTIF(CE$314:CE322,"&gt;0"),0)</f>
        <v>#N/A</v>
      </c>
      <c r="CF323" s="422" t="str">
        <f t="shared" si="264"/>
        <v/>
      </c>
      <c r="CG323" s="422" t="str">
        <f t="shared" si="265"/>
        <v/>
      </c>
      <c r="CH323" s="423">
        <f t="shared" si="228"/>
        <v>0</v>
      </c>
      <c r="CI323" s="428"/>
      <c r="CJ323" s="428"/>
      <c r="CK323" s="422"/>
      <c r="CL323" s="422"/>
      <c r="CM323" s="422"/>
      <c r="CN323" s="423"/>
      <c r="CO323" s="421"/>
      <c r="CP323" s="422"/>
      <c r="CQ323" s="422"/>
      <c r="CR323" s="422"/>
      <c r="CS323" s="422"/>
      <c r="CT323" s="423"/>
      <c r="CU323" s="421"/>
      <c r="CV323" s="422"/>
      <c r="CW323" s="422"/>
      <c r="CX323" s="422"/>
      <c r="CY323" s="422"/>
      <c r="CZ323" s="423"/>
      <c r="DA323" s="421"/>
      <c r="DB323" s="422"/>
      <c r="DC323" s="422"/>
      <c r="DD323" s="422"/>
      <c r="DE323" s="422"/>
      <c r="DF323" s="423"/>
      <c r="DG323" s="421"/>
      <c r="DH323" s="422"/>
      <c r="DI323" s="422"/>
      <c r="DJ323" s="422"/>
      <c r="DK323" s="422"/>
      <c r="DL323" s="423"/>
      <c r="DM323" s="421"/>
      <c r="DN323" s="422"/>
      <c r="DO323" s="422"/>
      <c r="DP323" s="422"/>
      <c r="DQ323" s="422"/>
      <c r="DR323" s="423"/>
      <c r="DS323" s="421"/>
      <c r="DT323" s="422"/>
      <c r="DU323" s="422"/>
      <c r="DV323" s="422"/>
      <c r="DW323" s="422"/>
      <c r="DX323" s="423"/>
      <c r="DY323" s="428"/>
      <c r="DZ323" s="138"/>
    </row>
    <row r="324" spans="1:130" ht="16.5" x14ac:dyDescent="0.3">
      <c r="A324" s="132">
        <f>IFERROR(IF(A323+1&lt;MAX(T041_ClassFeatures!$A$2:$A$2033),A323+1,""),"")</f>
        <v>321</v>
      </c>
      <c r="B324" s="131" t="str">
        <f>IFERROR(INDEX(T041_ClassFeatures!$B$2:$B$2033,MATCH('C03_ClassVariables'!A324,T041_ClassFeatures!$A$2:$A$2033,0),1),"")</f>
        <v>Split Enchantment</v>
      </c>
      <c r="C324" s="131">
        <f>IF(B324="",0,IF(IFERROR(MATCH(B324,'C01_BaseCalculation'!$W$160:$W$239,0),0)&gt;0,1,0))</f>
        <v>0</v>
      </c>
      <c r="E324" s="428"/>
      <c r="F324" s="428"/>
      <c r="G324" s="4" t="s">
        <v>248</v>
      </c>
      <c r="I324" s="421">
        <f>INDEX(T03_Skills!$AA$3:$BU$41,MATCH('C03_ClassVariables'!$G330,T03_Skills!$Z$3:$Z$41,0),MATCH('C03_ClassVariables'!N$313,T03_Skills!$AA$2:$BU$2,0))</f>
        <v>0</v>
      </c>
      <c r="J324" s="422">
        <f t="shared" si="229"/>
        <v>0</v>
      </c>
      <c r="K324" s="422">
        <f>IF(I324&gt;0,1+COUNTIF(K$314:K323,"&gt;0"),0)</f>
        <v>0</v>
      </c>
      <c r="L324" s="422" t="str">
        <f t="shared" si="230"/>
        <v/>
      </c>
      <c r="M324" s="422" t="str">
        <f t="shared" si="214"/>
        <v/>
      </c>
      <c r="N324" s="423">
        <f t="shared" si="215"/>
        <v>0</v>
      </c>
      <c r="O324" s="421">
        <f>INDEX(T03_Skills!$AA$3:$BU$41,MATCH('C03_ClassVariables'!$G330,T03_Skills!$Z$3:$Z$41,0),MATCH('C03_ClassVariables'!T$313,T03_Skills!$AA$2:$BU$2,0))</f>
        <v>1</v>
      </c>
      <c r="P324" s="422">
        <f t="shared" si="231"/>
        <v>1</v>
      </c>
      <c r="Q324" s="422">
        <f>IF(P324&gt;0,1+COUNTIF(Q$314:Q323,"&gt;0"),0)</f>
        <v>11</v>
      </c>
      <c r="R324" s="422">
        <f t="shared" si="232"/>
        <v>11</v>
      </c>
      <c r="S324" s="422" t="str">
        <f t="shared" si="216"/>
        <v>Mason’s tools</v>
      </c>
      <c r="T324" s="423">
        <f t="shared" si="217"/>
        <v>0</v>
      </c>
      <c r="U324" s="421" t="e">
        <f>INDEX(T03_Skills!$AA$3:$BU$41,MATCH('C03_ClassVariables'!$G330,T03_Skills!$Z$3:$Z$41,0),MATCH('C03_ClassVariables'!Z$313,T03_Skills!$AA$2:$BU$2,0))</f>
        <v>#N/A</v>
      </c>
      <c r="V324" s="422" t="e">
        <f t="shared" si="233"/>
        <v>#N/A</v>
      </c>
      <c r="W324" s="422" t="e">
        <f>IF(V324&gt;0,1+COUNTIF(W$314:W323,"&gt;0"),0)</f>
        <v>#N/A</v>
      </c>
      <c r="X324" s="422" t="str">
        <f t="shared" si="234"/>
        <v/>
      </c>
      <c r="Y324" s="422" t="str">
        <f t="shared" si="235"/>
        <v/>
      </c>
      <c r="Z324" s="423">
        <f t="shared" si="218"/>
        <v>0</v>
      </c>
      <c r="AA324" s="421" t="e">
        <f>INDEX(T03_Skills!$AA$3:$BU$41,MATCH('C03_ClassVariables'!$G330,T03_Skills!$Z$3:$Z$41,0),MATCH('C03_ClassVariables'!AF$313,T03_Skills!$AA$2:$BU$2,0))</f>
        <v>#N/A</v>
      </c>
      <c r="AB324" s="422" t="e">
        <f t="shared" si="236"/>
        <v>#N/A</v>
      </c>
      <c r="AC324" s="422" t="e">
        <f>IF(AB324&gt;0,1+COUNTIF(AC$314:AC323,"&gt;0"),0)</f>
        <v>#N/A</v>
      </c>
      <c r="AD324" s="422" t="str">
        <f t="shared" si="237"/>
        <v/>
      </c>
      <c r="AE324" s="422" t="str">
        <f t="shared" si="238"/>
        <v/>
      </c>
      <c r="AF324" s="423">
        <f t="shared" si="219"/>
        <v>0</v>
      </c>
      <c r="AG324" s="421" t="e">
        <f>INDEX(T03_Skills!$AA$3:$BU$41,MATCH('C03_ClassVariables'!$G330,T03_Skills!$Z$3:$Z$41,0),MATCH('C03_ClassVariables'!AL$313,T03_Skills!$AA$2:$BU$2,0))</f>
        <v>#N/A</v>
      </c>
      <c r="AH324" s="422" t="e">
        <f t="shared" si="239"/>
        <v>#N/A</v>
      </c>
      <c r="AI324" s="422" t="e">
        <f>IF(AH324&gt;0,1+COUNTIF(AI$314:AI323,"&gt;0"),0)</f>
        <v>#N/A</v>
      </c>
      <c r="AJ324" s="422" t="str">
        <f t="shared" si="240"/>
        <v/>
      </c>
      <c r="AK324" s="422" t="str">
        <f t="shared" si="241"/>
        <v/>
      </c>
      <c r="AL324" s="423">
        <f t="shared" si="220"/>
        <v>0</v>
      </c>
      <c r="AM324" s="421" t="e">
        <f>INDEX(T03_Skills!$AA$3:$BU$41,MATCH('C03_ClassVariables'!$G330,T03_Skills!$Z$3:$Z$41,0),MATCH('C03_ClassVariables'!AR$313,T03_Skills!$AA$2:$BU$2,0))</f>
        <v>#N/A</v>
      </c>
      <c r="AN324" s="422" t="e">
        <f t="shared" si="242"/>
        <v>#N/A</v>
      </c>
      <c r="AO324" s="422" t="e">
        <f>IF(AN324&gt;0,1+COUNTIF(AO$314:AO323,"&gt;0"),0)</f>
        <v>#N/A</v>
      </c>
      <c r="AP324" s="422" t="str">
        <f t="shared" si="243"/>
        <v/>
      </c>
      <c r="AQ324" s="422" t="str">
        <f t="shared" si="244"/>
        <v/>
      </c>
      <c r="AR324" s="423">
        <f t="shared" si="221"/>
        <v>0</v>
      </c>
      <c r="AS324" s="421" t="e">
        <f>INDEX(T03_Skills!$AA$3:$BU$41,MATCH('C03_ClassVariables'!$G330,T03_Skills!$Z$3:$Z$41,0),MATCH('C03_ClassVariables'!AX$313,T03_Skills!$AA$2:$BU$2,0))</f>
        <v>#N/A</v>
      </c>
      <c r="AT324" s="422" t="e">
        <f t="shared" si="245"/>
        <v>#N/A</v>
      </c>
      <c r="AU324" s="422" t="e">
        <f>IF(AT324&gt;0,1+COUNTIF(AU$314:AU323,"&gt;0"),0)</f>
        <v>#N/A</v>
      </c>
      <c r="AV324" s="422" t="str">
        <f t="shared" si="246"/>
        <v/>
      </c>
      <c r="AW324" s="422" t="str">
        <f t="shared" si="247"/>
        <v/>
      </c>
      <c r="AX324" s="423">
        <f t="shared" si="222"/>
        <v>0</v>
      </c>
      <c r="AY324" s="421" t="e">
        <f>INDEX(T03_Skills!$AA$3:$BU$41,MATCH('C03_ClassVariables'!$G330,T03_Skills!$Z$3:$Z$41,0),MATCH('C03_ClassVariables'!BD$313,T03_Skills!$AA$2:$BU$2,0))</f>
        <v>#N/A</v>
      </c>
      <c r="AZ324" s="422" t="e">
        <f t="shared" si="248"/>
        <v>#N/A</v>
      </c>
      <c r="BA324" s="422" t="e">
        <f>IF(AZ324&gt;0,1+COUNTIF(BA$314:BA323,"&gt;0"),0)</f>
        <v>#N/A</v>
      </c>
      <c r="BB324" s="422" t="str">
        <f t="shared" si="249"/>
        <v/>
      </c>
      <c r="BC324" s="422" t="str">
        <f t="shared" si="250"/>
        <v/>
      </c>
      <c r="BD324" s="423">
        <f t="shared" si="223"/>
        <v>0</v>
      </c>
      <c r="BE324" s="421" t="e">
        <f>INDEX(T03_Skills!$AA$3:$BU$41,MATCH('C03_ClassVariables'!$G330,T03_Skills!$Z$3:$Z$41,0),MATCH('C03_ClassVariables'!BJ$313,T03_Skills!$AA$2:$BU$2,0))</f>
        <v>#N/A</v>
      </c>
      <c r="BF324" s="422" t="e">
        <f t="shared" si="251"/>
        <v>#N/A</v>
      </c>
      <c r="BG324" s="422" t="e">
        <f>IF(BF324&gt;0,1+COUNTIF(BG$314:BG323,"&gt;0"),0)</f>
        <v>#N/A</v>
      </c>
      <c r="BH324" s="422" t="str">
        <f t="shared" si="252"/>
        <v/>
      </c>
      <c r="BI324" s="422" t="str">
        <f t="shared" si="253"/>
        <v/>
      </c>
      <c r="BJ324" s="423">
        <f t="shared" si="224"/>
        <v>0</v>
      </c>
      <c r="BK324" s="421" t="e">
        <f>INDEX(T03_Skills!$AA$3:$BU$41,MATCH('C03_ClassVariables'!$G330,T03_Skills!$Z$3:$Z$41,0),MATCH('C03_ClassVariables'!BP$313,T03_Skills!$AA$2:$BU$2,0))</f>
        <v>#N/A</v>
      </c>
      <c r="BL324" s="422" t="e">
        <f t="shared" si="254"/>
        <v>#N/A</v>
      </c>
      <c r="BM324" s="422" t="e">
        <f>IF(BL324&gt;0,1+COUNTIF(BM$314:BM323,"&gt;0"),0)</f>
        <v>#N/A</v>
      </c>
      <c r="BN324" s="422" t="str">
        <f t="shared" si="255"/>
        <v/>
      </c>
      <c r="BO324" s="422" t="str">
        <f t="shared" si="256"/>
        <v/>
      </c>
      <c r="BP324" s="423">
        <f t="shared" si="225"/>
        <v>0</v>
      </c>
      <c r="BQ324" s="421" t="e">
        <f>INDEX(T03_Skills!$AA$3:$BU$41,MATCH('C03_ClassVariables'!$G330,T03_Skills!$Z$3:$Z$41,0),MATCH('C03_ClassVariables'!BV$313,T03_Skills!$AA$2:$BU$2,0))</f>
        <v>#N/A</v>
      </c>
      <c r="BR324" s="422" t="e">
        <f t="shared" si="257"/>
        <v>#N/A</v>
      </c>
      <c r="BS324" s="422" t="e">
        <f>IF(BR324&gt;0,1+COUNTIF(BS$314:BS323,"&gt;0"),0)</f>
        <v>#N/A</v>
      </c>
      <c r="BT324" s="422" t="str">
        <f t="shared" si="258"/>
        <v/>
      </c>
      <c r="BU324" s="422" t="str">
        <f t="shared" si="259"/>
        <v/>
      </c>
      <c r="BV324" s="423">
        <f t="shared" si="226"/>
        <v>0</v>
      </c>
      <c r="BW324" s="421" t="e">
        <f>INDEX(T03_Skills!$AA$3:$BU$41,MATCH('C03_ClassVariables'!$G330,T03_Skills!$Z$3:$Z$41,0),MATCH('C03_ClassVariables'!CB$313,T03_Skills!$AA$2:$BU$2,0))</f>
        <v>#N/A</v>
      </c>
      <c r="BX324" s="422" t="e">
        <f t="shared" si="260"/>
        <v>#N/A</v>
      </c>
      <c r="BY324" s="422" t="e">
        <f>IF(BX324&gt;0,1+COUNTIF(BY$314:BY323,"&gt;0"),0)</f>
        <v>#N/A</v>
      </c>
      <c r="BZ324" s="422" t="str">
        <f t="shared" si="261"/>
        <v/>
      </c>
      <c r="CA324" s="422" t="str">
        <f t="shared" si="262"/>
        <v/>
      </c>
      <c r="CB324" s="423">
        <f t="shared" si="227"/>
        <v>0</v>
      </c>
      <c r="CC324" s="421" t="e">
        <f>INDEX(T03_Skills!$AA$3:$BU$41,MATCH('C03_ClassVariables'!$G330,T03_Skills!$Z$3:$Z$41,0),MATCH('C03_ClassVariables'!CH$313,T03_Skills!$AA$2:$BU$2,0))</f>
        <v>#N/A</v>
      </c>
      <c r="CD324" s="422" t="e">
        <f t="shared" si="263"/>
        <v>#N/A</v>
      </c>
      <c r="CE324" s="422" t="e">
        <f>IF(CD324&gt;0,1+COUNTIF(CE$314:CE323,"&gt;0"),0)</f>
        <v>#N/A</v>
      </c>
      <c r="CF324" s="422" t="str">
        <f t="shared" si="264"/>
        <v/>
      </c>
      <c r="CG324" s="422" t="str">
        <f t="shared" si="265"/>
        <v/>
      </c>
      <c r="CH324" s="423">
        <f t="shared" si="228"/>
        <v>0</v>
      </c>
      <c r="CI324" s="428"/>
      <c r="CJ324" s="428"/>
      <c r="CK324" s="422"/>
      <c r="CL324" s="422"/>
      <c r="CM324" s="422"/>
      <c r="CN324" s="423"/>
      <c r="CO324" s="421"/>
      <c r="CP324" s="422"/>
      <c r="CQ324" s="422"/>
      <c r="CR324" s="422"/>
      <c r="CS324" s="422"/>
      <c r="CT324" s="423"/>
      <c r="CU324" s="421"/>
      <c r="CV324" s="422"/>
      <c r="CW324" s="422"/>
      <c r="CX324" s="422"/>
      <c r="CY324" s="422"/>
      <c r="CZ324" s="423"/>
      <c r="DA324" s="421"/>
      <c r="DB324" s="422"/>
      <c r="DC324" s="422"/>
      <c r="DD324" s="422"/>
      <c r="DE324" s="422"/>
      <c r="DF324" s="423"/>
      <c r="DG324" s="421"/>
      <c r="DH324" s="422"/>
      <c r="DI324" s="422"/>
      <c r="DJ324" s="422"/>
      <c r="DK324" s="422"/>
      <c r="DL324" s="423"/>
      <c r="DM324" s="421"/>
      <c r="DN324" s="422"/>
      <c r="DO324" s="422"/>
      <c r="DP324" s="422"/>
      <c r="DQ324" s="422"/>
      <c r="DR324" s="423"/>
      <c r="DS324" s="421"/>
      <c r="DT324" s="422"/>
      <c r="DU324" s="422"/>
      <c r="DV324" s="422"/>
      <c r="DW324" s="422"/>
      <c r="DX324" s="423"/>
      <c r="DY324" s="428"/>
      <c r="DZ324" s="138"/>
    </row>
    <row r="325" spans="1:130" ht="16.5" x14ac:dyDescent="0.3">
      <c r="A325" s="132">
        <f>IFERROR(IF(A324+1&lt;MAX(T041_ClassFeatures!$A$2:$A$2033),A324+1,""),"")</f>
        <v>322</v>
      </c>
      <c r="B325" s="131" t="str">
        <f>IFERROR(INDEX(T041_ClassFeatures!$B$2:$B$2033,MATCH('C03_ClassVariables'!A325,T041_ClassFeatures!$A$2:$A$2033,0),1),"")</f>
        <v>Alter Memories</v>
      </c>
      <c r="C325" s="131">
        <f>IF(B325="",0,IF(IFERROR(MATCH(B325,'C01_BaseCalculation'!$W$160:$W$239,0),0)&gt;0,1,0))</f>
        <v>0</v>
      </c>
      <c r="E325" s="428"/>
      <c r="F325" s="428"/>
      <c r="G325" s="4" t="s">
        <v>264</v>
      </c>
      <c r="I325" s="421">
        <f>INDEX(T03_Skills!$AA$3:$BU$41,MATCH('C03_ClassVariables'!$G331,T03_Skills!$Z$3:$Z$41,0),MATCH('C03_ClassVariables'!N$313,T03_Skills!$AA$2:$BU$2,0))</f>
        <v>0</v>
      </c>
      <c r="J325" s="422">
        <f t="shared" si="229"/>
        <v>0</v>
      </c>
      <c r="K325" s="422">
        <f>IF(I325&gt;0,1+COUNTIF(K$314:K324,"&gt;0"),0)</f>
        <v>0</v>
      </c>
      <c r="L325" s="422" t="str">
        <f t="shared" si="230"/>
        <v/>
      </c>
      <c r="M325" s="422" t="str">
        <f t="shared" si="214"/>
        <v/>
      </c>
      <c r="N325" s="423">
        <f t="shared" si="215"/>
        <v>0</v>
      </c>
      <c r="O325" s="421">
        <f>INDEX(T03_Skills!$AA$3:$BU$41,MATCH('C03_ClassVariables'!$G331,T03_Skills!$Z$3:$Z$41,0),MATCH('C03_ClassVariables'!T$313,T03_Skills!$AA$2:$BU$2,0))</f>
        <v>1</v>
      </c>
      <c r="P325" s="422">
        <f t="shared" si="231"/>
        <v>1</v>
      </c>
      <c r="Q325" s="422">
        <f>IF(P325&gt;0,1+COUNTIF(Q$314:Q324,"&gt;0"),0)</f>
        <v>12</v>
      </c>
      <c r="R325" s="422">
        <f t="shared" si="232"/>
        <v>12</v>
      </c>
      <c r="S325" s="422" t="str">
        <f t="shared" si="216"/>
        <v>Painter’s supplies</v>
      </c>
      <c r="T325" s="423">
        <f t="shared" si="217"/>
        <v>0</v>
      </c>
      <c r="U325" s="421" t="e">
        <f>INDEX(T03_Skills!$AA$3:$BU$41,MATCH('C03_ClassVariables'!$G331,T03_Skills!$Z$3:$Z$41,0),MATCH('C03_ClassVariables'!Z$313,T03_Skills!$AA$2:$BU$2,0))</f>
        <v>#N/A</v>
      </c>
      <c r="V325" s="422" t="e">
        <f t="shared" si="233"/>
        <v>#N/A</v>
      </c>
      <c r="W325" s="422" t="e">
        <f>IF(V325&gt;0,1+COUNTIF(W$314:W324,"&gt;0"),0)</f>
        <v>#N/A</v>
      </c>
      <c r="X325" s="422" t="str">
        <f t="shared" si="234"/>
        <v/>
      </c>
      <c r="Y325" s="422" t="str">
        <f t="shared" si="235"/>
        <v/>
      </c>
      <c r="Z325" s="423">
        <f t="shared" si="218"/>
        <v>0</v>
      </c>
      <c r="AA325" s="421" t="e">
        <f>INDEX(T03_Skills!$AA$3:$BU$41,MATCH('C03_ClassVariables'!$G331,T03_Skills!$Z$3:$Z$41,0),MATCH('C03_ClassVariables'!AF$313,T03_Skills!$AA$2:$BU$2,0))</f>
        <v>#N/A</v>
      </c>
      <c r="AB325" s="422" t="e">
        <f t="shared" si="236"/>
        <v>#N/A</v>
      </c>
      <c r="AC325" s="422" t="e">
        <f>IF(AB325&gt;0,1+COUNTIF(AC$314:AC324,"&gt;0"),0)</f>
        <v>#N/A</v>
      </c>
      <c r="AD325" s="422" t="str">
        <f t="shared" si="237"/>
        <v/>
      </c>
      <c r="AE325" s="422" t="str">
        <f t="shared" si="238"/>
        <v/>
      </c>
      <c r="AF325" s="423">
        <f t="shared" si="219"/>
        <v>0</v>
      </c>
      <c r="AG325" s="421" t="e">
        <f>INDEX(T03_Skills!$AA$3:$BU$41,MATCH('C03_ClassVariables'!$G331,T03_Skills!$Z$3:$Z$41,0),MATCH('C03_ClassVariables'!AL$313,T03_Skills!$AA$2:$BU$2,0))</f>
        <v>#N/A</v>
      </c>
      <c r="AH325" s="422" t="e">
        <f t="shared" si="239"/>
        <v>#N/A</v>
      </c>
      <c r="AI325" s="422" t="e">
        <f>IF(AH325&gt;0,1+COUNTIF(AI$314:AI324,"&gt;0"),0)</f>
        <v>#N/A</v>
      </c>
      <c r="AJ325" s="422" t="str">
        <f t="shared" si="240"/>
        <v/>
      </c>
      <c r="AK325" s="422" t="str">
        <f t="shared" si="241"/>
        <v/>
      </c>
      <c r="AL325" s="423">
        <f t="shared" si="220"/>
        <v>0</v>
      </c>
      <c r="AM325" s="421" t="e">
        <f>INDEX(T03_Skills!$AA$3:$BU$41,MATCH('C03_ClassVariables'!$G331,T03_Skills!$Z$3:$Z$41,0),MATCH('C03_ClassVariables'!AR$313,T03_Skills!$AA$2:$BU$2,0))</f>
        <v>#N/A</v>
      </c>
      <c r="AN325" s="422" t="e">
        <f t="shared" si="242"/>
        <v>#N/A</v>
      </c>
      <c r="AO325" s="422" t="e">
        <f>IF(AN325&gt;0,1+COUNTIF(AO$314:AO324,"&gt;0"),0)</f>
        <v>#N/A</v>
      </c>
      <c r="AP325" s="422" t="str">
        <f t="shared" si="243"/>
        <v/>
      </c>
      <c r="AQ325" s="422" t="str">
        <f t="shared" si="244"/>
        <v/>
      </c>
      <c r="AR325" s="423">
        <f t="shared" si="221"/>
        <v>0</v>
      </c>
      <c r="AS325" s="421" t="e">
        <f>INDEX(T03_Skills!$AA$3:$BU$41,MATCH('C03_ClassVariables'!$G331,T03_Skills!$Z$3:$Z$41,0),MATCH('C03_ClassVariables'!AX$313,T03_Skills!$AA$2:$BU$2,0))</f>
        <v>#N/A</v>
      </c>
      <c r="AT325" s="422" t="e">
        <f t="shared" si="245"/>
        <v>#N/A</v>
      </c>
      <c r="AU325" s="422" t="e">
        <f>IF(AT325&gt;0,1+COUNTIF(AU$314:AU324,"&gt;0"),0)</f>
        <v>#N/A</v>
      </c>
      <c r="AV325" s="422" t="str">
        <f t="shared" si="246"/>
        <v/>
      </c>
      <c r="AW325" s="422" t="str">
        <f t="shared" si="247"/>
        <v/>
      </c>
      <c r="AX325" s="423">
        <f t="shared" si="222"/>
        <v>0</v>
      </c>
      <c r="AY325" s="421" t="e">
        <f>INDEX(T03_Skills!$AA$3:$BU$41,MATCH('C03_ClassVariables'!$G331,T03_Skills!$Z$3:$Z$41,0),MATCH('C03_ClassVariables'!BD$313,T03_Skills!$AA$2:$BU$2,0))</f>
        <v>#N/A</v>
      </c>
      <c r="AZ325" s="422" t="e">
        <f t="shared" si="248"/>
        <v>#N/A</v>
      </c>
      <c r="BA325" s="422" t="e">
        <f>IF(AZ325&gt;0,1+COUNTIF(BA$314:BA324,"&gt;0"),0)</f>
        <v>#N/A</v>
      </c>
      <c r="BB325" s="422" t="str">
        <f t="shared" si="249"/>
        <v/>
      </c>
      <c r="BC325" s="422" t="str">
        <f t="shared" si="250"/>
        <v/>
      </c>
      <c r="BD325" s="423">
        <f t="shared" si="223"/>
        <v>0</v>
      </c>
      <c r="BE325" s="421" t="e">
        <f>INDEX(T03_Skills!$AA$3:$BU$41,MATCH('C03_ClassVariables'!$G331,T03_Skills!$Z$3:$Z$41,0),MATCH('C03_ClassVariables'!BJ$313,T03_Skills!$AA$2:$BU$2,0))</f>
        <v>#N/A</v>
      </c>
      <c r="BF325" s="422" t="e">
        <f t="shared" si="251"/>
        <v>#N/A</v>
      </c>
      <c r="BG325" s="422" t="e">
        <f>IF(BF325&gt;0,1+COUNTIF(BG$314:BG324,"&gt;0"),0)</f>
        <v>#N/A</v>
      </c>
      <c r="BH325" s="422" t="str">
        <f t="shared" si="252"/>
        <v/>
      </c>
      <c r="BI325" s="422" t="str">
        <f t="shared" si="253"/>
        <v/>
      </c>
      <c r="BJ325" s="423">
        <f t="shared" si="224"/>
        <v>0</v>
      </c>
      <c r="BK325" s="421" t="e">
        <f>INDEX(T03_Skills!$AA$3:$BU$41,MATCH('C03_ClassVariables'!$G331,T03_Skills!$Z$3:$Z$41,0),MATCH('C03_ClassVariables'!BP$313,T03_Skills!$AA$2:$BU$2,0))</f>
        <v>#N/A</v>
      </c>
      <c r="BL325" s="422" t="e">
        <f t="shared" si="254"/>
        <v>#N/A</v>
      </c>
      <c r="BM325" s="422" t="e">
        <f>IF(BL325&gt;0,1+COUNTIF(BM$314:BM324,"&gt;0"),0)</f>
        <v>#N/A</v>
      </c>
      <c r="BN325" s="422" t="str">
        <f t="shared" si="255"/>
        <v/>
      </c>
      <c r="BO325" s="422" t="str">
        <f t="shared" si="256"/>
        <v/>
      </c>
      <c r="BP325" s="423">
        <f t="shared" si="225"/>
        <v>0</v>
      </c>
      <c r="BQ325" s="421" t="e">
        <f>INDEX(T03_Skills!$AA$3:$BU$41,MATCH('C03_ClassVariables'!$G331,T03_Skills!$Z$3:$Z$41,0),MATCH('C03_ClassVariables'!BV$313,T03_Skills!$AA$2:$BU$2,0))</f>
        <v>#N/A</v>
      </c>
      <c r="BR325" s="422" t="e">
        <f t="shared" si="257"/>
        <v>#N/A</v>
      </c>
      <c r="BS325" s="422" t="e">
        <f>IF(BR325&gt;0,1+COUNTIF(BS$314:BS324,"&gt;0"),0)</f>
        <v>#N/A</v>
      </c>
      <c r="BT325" s="422" t="str">
        <f t="shared" si="258"/>
        <v/>
      </c>
      <c r="BU325" s="422" t="str">
        <f t="shared" si="259"/>
        <v/>
      </c>
      <c r="BV325" s="423">
        <f t="shared" si="226"/>
        <v>0</v>
      </c>
      <c r="BW325" s="421" t="e">
        <f>INDEX(T03_Skills!$AA$3:$BU$41,MATCH('C03_ClassVariables'!$G331,T03_Skills!$Z$3:$Z$41,0),MATCH('C03_ClassVariables'!CB$313,T03_Skills!$AA$2:$BU$2,0))</f>
        <v>#N/A</v>
      </c>
      <c r="BX325" s="422" t="e">
        <f t="shared" si="260"/>
        <v>#N/A</v>
      </c>
      <c r="BY325" s="422" t="e">
        <f>IF(BX325&gt;0,1+COUNTIF(BY$314:BY324,"&gt;0"),0)</f>
        <v>#N/A</v>
      </c>
      <c r="BZ325" s="422" t="str">
        <f t="shared" si="261"/>
        <v/>
      </c>
      <c r="CA325" s="422" t="str">
        <f t="shared" si="262"/>
        <v/>
      </c>
      <c r="CB325" s="423">
        <f t="shared" si="227"/>
        <v>0</v>
      </c>
      <c r="CC325" s="421" t="e">
        <f>INDEX(T03_Skills!$AA$3:$BU$41,MATCH('C03_ClassVariables'!$G331,T03_Skills!$Z$3:$Z$41,0),MATCH('C03_ClassVariables'!CH$313,T03_Skills!$AA$2:$BU$2,0))</f>
        <v>#N/A</v>
      </c>
      <c r="CD325" s="422" t="e">
        <f t="shared" si="263"/>
        <v>#N/A</v>
      </c>
      <c r="CE325" s="422" t="e">
        <f>IF(CD325&gt;0,1+COUNTIF(CE$314:CE324,"&gt;0"),0)</f>
        <v>#N/A</v>
      </c>
      <c r="CF325" s="422" t="str">
        <f t="shared" si="264"/>
        <v/>
      </c>
      <c r="CG325" s="422" t="str">
        <f t="shared" si="265"/>
        <v/>
      </c>
      <c r="CH325" s="423">
        <f t="shared" si="228"/>
        <v>0</v>
      </c>
      <c r="CI325" s="428"/>
      <c r="CJ325" s="428"/>
      <c r="CK325" s="422"/>
      <c r="CL325" s="422"/>
      <c r="CM325" s="422"/>
      <c r="CN325" s="423"/>
      <c r="CO325" s="421"/>
      <c r="CP325" s="422"/>
      <c r="CQ325" s="422"/>
      <c r="CR325" s="422"/>
      <c r="CS325" s="422"/>
      <c r="CT325" s="423"/>
      <c r="CU325" s="421"/>
      <c r="CV325" s="422"/>
      <c r="CW325" s="422"/>
      <c r="CX325" s="422"/>
      <c r="CY325" s="422"/>
      <c r="CZ325" s="423"/>
      <c r="DA325" s="421"/>
      <c r="DB325" s="422"/>
      <c r="DC325" s="422"/>
      <c r="DD325" s="422"/>
      <c r="DE325" s="422"/>
      <c r="DF325" s="423"/>
      <c r="DG325" s="421"/>
      <c r="DH325" s="422"/>
      <c r="DI325" s="422"/>
      <c r="DJ325" s="422"/>
      <c r="DK325" s="422"/>
      <c r="DL325" s="423"/>
      <c r="DM325" s="421"/>
      <c r="DN325" s="422"/>
      <c r="DO325" s="422"/>
      <c r="DP325" s="422"/>
      <c r="DQ325" s="422"/>
      <c r="DR325" s="423"/>
      <c r="DS325" s="421"/>
      <c r="DT325" s="422"/>
      <c r="DU325" s="422"/>
      <c r="DV325" s="422"/>
      <c r="DW325" s="422"/>
      <c r="DX325" s="423"/>
      <c r="DY325" s="428"/>
      <c r="DZ325" s="138"/>
    </row>
    <row r="326" spans="1:130" ht="16.5" x14ac:dyDescent="0.3">
      <c r="A326" s="132">
        <f>IFERROR(IF(A325+1&lt;MAX(T041_ClassFeatures!$A$2:$A$2033),A325+1,""),"")</f>
        <v>323</v>
      </c>
      <c r="B326" s="131" t="str">
        <f>IFERROR(INDEX(T041_ClassFeatures!$B$2:$B$2033,MATCH('C03_ClassVariables'!A326,T041_ClassFeatures!$A$2:$A$2033,0),1),"")</f>
        <v xml:space="preserve">Evocation Savant </v>
      </c>
      <c r="C326" s="131">
        <f>IF(B326="",0,IF(IFERROR(MATCH(B326,'C01_BaseCalculation'!$W$160:$W$239,0),0)&gt;0,1,0))</f>
        <v>0</v>
      </c>
      <c r="E326" s="428"/>
      <c r="F326" s="428"/>
      <c r="G326" s="4" t="s">
        <v>273</v>
      </c>
      <c r="I326" s="421">
        <f>INDEX(T03_Skills!$AA$3:$BU$41,MATCH('C03_ClassVariables'!$G332,T03_Skills!$Z$3:$Z$41,0),MATCH('C03_ClassVariables'!N$313,T03_Skills!$AA$2:$BU$2,0))</f>
        <v>0</v>
      </c>
      <c r="J326" s="422">
        <f t="shared" si="229"/>
        <v>0</v>
      </c>
      <c r="K326" s="422">
        <f>IF(I326&gt;0,1+COUNTIF(K$314:K325,"&gt;0"),0)</f>
        <v>0</v>
      </c>
      <c r="L326" s="422" t="str">
        <f t="shared" si="230"/>
        <v/>
      </c>
      <c r="M326" s="422" t="str">
        <f t="shared" si="214"/>
        <v/>
      </c>
      <c r="N326" s="423">
        <f t="shared" si="215"/>
        <v>0</v>
      </c>
      <c r="O326" s="421">
        <f>INDEX(T03_Skills!$AA$3:$BU$41,MATCH('C03_ClassVariables'!$G332,T03_Skills!$Z$3:$Z$41,0),MATCH('C03_ClassVariables'!T$313,T03_Skills!$AA$2:$BU$2,0))</f>
        <v>1</v>
      </c>
      <c r="P326" s="422">
        <f t="shared" si="231"/>
        <v>1</v>
      </c>
      <c r="Q326" s="422">
        <f>IF(P326&gt;0,1+COUNTIF(Q$314:Q325,"&gt;0"),0)</f>
        <v>13</v>
      </c>
      <c r="R326" s="422">
        <f t="shared" si="232"/>
        <v>13</v>
      </c>
      <c r="S326" s="422" t="str">
        <f t="shared" si="216"/>
        <v>Potter’s tools</v>
      </c>
      <c r="T326" s="423">
        <f t="shared" si="217"/>
        <v>0</v>
      </c>
      <c r="U326" s="421" t="e">
        <f>INDEX(T03_Skills!$AA$3:$BU$41,MATCH('C03_ClassVariables'!$G332,T03_Skills!$Z$3:$Z$41,0),MATCH('C03_ClassVariables'!Z$313,T03_Skills!$AA$2:$BU$2,0))</f>
        <v>#N/A</v>
      </c>
      <c r="V326" s="422" t="e">
        <f t="shared" si="233"/>
        <v>#N/A</v>
      </c>
      <c r="W326" s="422" t="e">
        <f>IF(V326&gt;0,1+COUNTIF(W$314:W325,"&gt;0"),0)</f>
        <v>#N/A</v>
      </c>
      <c r="X326" s="422" t="str">
        <f t="shared" si="234"/>
        <v/>
      </c>
      <c r="Y326" s="422" t="str">
        <f t="shared" si="235"/>
        <v/>
      </c>
      <c r="Z326" s="423">
        <f t="shared" si="218"/>
        <v>0</v>
      </c>
      <c r="AA326" s="421" t="e">
        <f>INDEX(T03_Skills!$AA$3:$BU$41,MATCH('C03_ClassVariables'!$G332,T03_Skills!$Z$3:$Z$41,0),MATCH('C03_ClassVariables'!AF$313,T03_Skills!$AA$2:$BU$2,0))</f>
        <v>#N/A</v>
      </c>
      <c r="AB326" s="422" t="e">
        <f t="shared" si="236"/>
        <v>#N/A</v>
      </c>
      <c r="AC326" s="422" t="e">
        <f>IF(AB326&gt;0,1+COUNTIF(AC$314:AC325,"&gt;0"),0)</f>
        <v>#N/A</v>
      </c>
      <c r="AD326" s="422" t="str">
        <f t="shared" si="237"/>
        <v/>
      </c>
      <c r="AE326" s="422" t="str">
        <f t="shared" si="238"/>
        <v/>
      </c>
      <c r="AF326" s="423">
        <f t="shared" si="219"/>
        <v>0</v>
      </c>
      <c r="AG326" s="421" t="e">
        <f>INDEX(T03_Skills!$AA$3:$BU$41,MATCH('C03_ClassVariables'!$G332,T03_Skills!$Z$3:$Z$41,0),MATCH('C03_ClassVariables'!AL$313,T03_Skills!$AA$2:$BU$2,0))</f>
        <v>#N/A</v>
      </c>
      <c r="AH326" s="422" t="e">
        <f t="shared" si="239"/>
        <v>#N/A</v>
      </c>
      <c r="AI326" s="422" t="e">
        <f>IF(AH326&gt;0,1+COUNTIF(AI$314:AI325,"&gt;0"),0)</f>
        <v>#N/A</v>
      </c>
      <c r="AJ326" s="422" t="str">
        <f t="shared" si="240"/>
        <v/>
      </c>
      <c r="AK326" s="422" t="str">
        <f t="shared" si="241"/>
        <v/>
      </c>
      <c r="AL326" s="423">
        <f t="shared" si="220"/>
        <v>0</v>
      </c>
      <c r="AM326" s="421" t="e">
        <f>INDEX(T03_Skills!$AA$3:$BU$41,MATCH('C03_ClassVariables'!$G332,T03_Skills!$Z$3:$Z$41,0),MATCH('C03_ClassVariables'!AR$313,T03_Skills!$AA$2:$BU$2,0))</f>
        <v>#N/A</v>
      </c>
      <c r="AN326" s="422" t="e">
        <f t="shared" si="242"/>
        <v>#N/A</v>
      </c>
      <c r="AO326" s="422" t="e">
        <f>IF(AN326&gt;0,1+COUNTIF(AO$314:AO325,"&gt;0"),0)</f>
        <v>#N/A</v>
      </c>
      <c r="AP326" s="422" t="str">
        <f t="shared" si="243"/>
        <v/>
      </c>
      <c r="AQ326" s="422" t="str">
        <f t="shared" si="244"/>
        <v/>
      </c>
      <c r="AR326" s="423">
        <f t="shared" si="221"/>
        <v>0</v>
      </c>
      <c r="AS326" s="421" t="e">
        <f>INDEX(T03_Skills!$AA$3:$BU$41,MATCH('C03_ClassVariables'!$G332,T03_Skills!$Z$3:$Z$41,0),MATCH('C03_ClassVariables'!AX$313,T03_Skills!$AA$2:$BU$2,0))</f>
        <v>#N/A</v>
      </c>
      <c r="AT326" s="422" t="e">
        <f t="shared" si="245"/>
        <v>#N/A</v>
      </c>
      <c r="AU326" s="422" t="e">
        <f>IF(AT326&gt;0,1+COUNTIF(AU$314:AU325,"&gt;0"),0)</f>
        <v>#N/A</v>
      </c>
      <c r="AV326" s="422" t="str">
        <f t="shared" si="246"/>
        <v/>
      </c>
      <c r="AW326" s="422" t="str">
        <f t="shared" si="247"/>
        <v/>
      </c>
      <c r="AX326" s="423">
        <f t="shared" si="222"/>
        <v>0</v>
      </c>
      <c r="AY326" s="421" t="e">
        <f>INDEX(T03_Skills!$AA$3:$BU$41,MATCH('C03_ClassVariables'!$G332,T03_Skills!$Z$3:$Z$41,0),MATCH('C03_ClassVariables'!BD$313,T03_Skills!$AA$2:$BU$2,0))</f>
        <v>#N/A</v>
      </c>
      <c r="AZ326" s="422" t="e">
        <f t="shared" si="248"/>
        <v>#N/A</v>
      </c>
      <c r="BA326" s="422" t="e">
        <f>IF(AZ326&gt;0,1+COUNTIF(BA$314:BA325,"&gt;0"),0)</f>
        <v>#N/A</v>
      </c>
      <c r="BB326" s="422" t="str">
        <f t="shared" si="249"/>
        <v/>
      </c>
      <c r="BC326" s="422" t="str">
        <f t="shared" si="250"/>
        <v/>
      </c>
      <c r="BD326" s="423">
        <f t="shared" si="223"/>
        <v>0</v>
      </c>
      <c r="BE326" s="421" t="e">
        <f>INDEX(T03_Skills!$AA$3:$BU$41,MATCH('C03_ClassVariables'!$G332,T03_Skills!$Z$3:$Z$41,0),MATCH('C03_ClassVariables'!BJ$313,T03_Skills!$AA$2:$BU$2,0))</f>
        <v>#N/A</v>
      </c>
      <c r="BF326" s="422" t="e">
        <f t="shared" si="251"/>
        <v>#N/A</v>
      </c>
      <c r="BG326" s="422" t="e">
        <f>IF(BF326&gt;0,1+COUNTIF(BG$314:BG325,"&gt;0"),0)</f>
        <v>#N/A</v>
      </c>
      <c r="BH326" s="422" t="str">
        <f t="shared" si="252"/>
        <v/>
      </c>
      <c r="BI326" s="422" t="str">
        <f t="shared" si="253"/>
        <v/>
      </c>
      <c r="BJ326" s="423">
        <f t="shared" si="224"/>
        <v>0</v>
      </c>
      <c r="BK326" s="421" t="e">
        <f>INDEX(T03_Skills!$AA$3:$BU$41,MATCH('C03_ClassVariables'!$G332,T03_Skills!$Z$3:$Z$41,0),MATCH('C03_ClassVariables'!BP$313,T03_Skills!$AA$2:$BU$2,0))</f>
        <v>#N/A</v>
      </c>
      <c r="BL326" s="422" t="e">
        <f t="shared" si="254"/>
        <v>#N/A</v>
      </c>
      <c r="BM326" s="422" t="e">
        <f>IF(BL326&gt;0,1+COUNTIF(BM$314:BM325,"&gt;0"),0)</f>
        <v>#N/A</v>
      </c>
      <c r="BN326" s="422" t="str">
        <f t="shared" si="255"/>
        <v/>
      </c>
      <c r="BO326" s="422" t="str">
        <f t="shared" si="256"/>
        <v/>
      </c>
      <c r="BP326" s="423">
        <f t="shared" si="225"/>
        <v>0</v>
      </c>
      <c r="BQ326" s="421" t="e">
        <f>INDEX(T03_Skills!$AA$3:$BU$41,MATCH('C03_ClassVariables'!$G332,T03_Skills!$Z$3:$Z$41,0),MATCH('C03_ClassVariables'!BV$313,T03_Skills!$AA$2:$BU$2,0))</f>
        <v>#N/A</v>
      </c>
      <c r="BR326" s="422" t="e">
        <f t="shared" si="257"/>
        <v>#N/A</v>
      </c>
      <c r="BS326" s="422" t="e">
        <f>IF(BR326&gt;0,1+COUNTIF(BS$314:BS325,"&gt;0"),0)</f>
        <v>#N/A</v>
      </c>
      <c r="BT326" s="422" t="str">
        <f t="shared" si="258"/>
        <v/>
      </c>
      <c r="BU326" s="422" t="str">
        <f t="shared" si="259"/>
        <v/>
      </c>
      <c r="BV326" s="423">
        <f t="shared" si="226"/>
        <v>0</v>
      </c>
      <c r="BW326" s="421" t="e">
        <f>INDEX(T03_Skills!$AA$3:$BU$41,MATCH('C03_ClassVariables'!$G332,T03_Skills!$Z$3:$Z$41,0),MATCH('C03_ClassVariables'!CB$313,T03_Skills!$AA$2:$BU$2,0))</f>
        <v>#N/A</v>
      </c>
      <c r="BX326" s="422" t="e">
        <f t="shared" si="260"/>
        <v>#N/A</v>
      </c>
      <c r="BY326" s="422" t="e">
        <f>IF(BX326&gt;0,1+COUNTIF(BY$314:BY325,"&gt;0"),0)</f>
        <v>#N/A</v>
      </c>
      <c r="BZ326" s="422" t="str">
        <f t="shared" si="261"/>
        <v/>
      </c>
      <c r="CA326" s="422" t="str">
        <f t="shared" si="262"/>
        <v/>
      </c>
      <c r="CB326" s="423">
        <f t="shared" si="227"/>
        <v>0</v>
      </c>
      <c r="CC326" s="421" t="e">
        <f>INDEX(T03_Skills!$AA$3:$BU$41,MATCH('C03_ClassVariables'!$G332,T03_Skills!$Z$3:$Z$41,0),MATCH('C03_ClassVariables'!CH$313,T03_Skills!$AA$2:$BU$2,0))</f>
        <v>#N/A</v>
      </c>
      <c r="CD326" s="422" t="e">
        <f t="shared" si="263"/>
        <v>#N/A</v>
      </c>
      <c r="CE326" s="422" t="e">
        <f>IF(CD326&gt;0,1+COUNTIF(CE$314:CE325,"&gt;0"),0)</f>
        <v>#N/A</v>
      </c>
      <c r="CF326" s="422" t="str">
        <f t="shared" si="264"/>
        <v/>
      </c>
      <c r="CG326" s="422" t="str">
        <f t="shared" si="265"/>
        <v/>
      </c>
      <c r="CH326" s="423">
        <f t="shared" si="228"/>
        <v>0</v>
      </c>
      <c r="CI326" s="428"/>
      <c r="CJ326" s="428"/>
      <c r="CK326" s="422"/>
      <c r="CL326" s="422"/>
      <c r="CM326" s="422"/>
      <c r="CN326" s="423"/>
      <c r="CO326" s="421"/>
      <c r="CP326" s="422"/>
      <c r="CQ326" s="422"/>
      <c r="CR326" s="422"/>
      <c r="CS326" s="422"/>
      <c r="CT326" s="423"/>
      <c r="CU326" s="421"/>
      <c r="CV326" s="422"/>
      <c r="CW326" s="422"/>
      <c r="CX326" s="422"/>
      <c r="CY326" s="422"/>
      <c r="CZ326" s="423"/>
      <c r="DA326" s="421"/>
      <c r="DB326" s="422"/>
      <c r="DC326" s="422"/>
      <c r="DD326" s="422"/>
      <c r="DE326" s="422"/>
      <c r="DF326" s="423"/>
      <c r="DG326" s="421"/>
      <c r="DH326" s="422"/>
      <c r="DI326" s="422"/>
      <c r="DJ326" s="422"/>
      <c r="DK326" s="422"/>
      <c r="DL326" s="423"/>
      <c r="DM326" s="421"/>
      <c r="DN326" s="422"/>
      <c r="DO326" s="422"/>
      <c r="DP326" s="422"/>
      <c r="DQ326" s="422"/>
      <c r="DR326" s="423"/>
      <c r="DS326" s="421"/>
      <c r="DT326" s="422"/>
      <c r="DU326" s="422"/>
      <c r="DV326" s="422"/>
      <c r="DW326" s="422"/>
      <c r="DX326" s="423"/>
      <c r="DY326" s="428"/>
      <c r="DZ326" s="138"/>
    </row>
    <row r="327" spans="1:130" ht="16.5" x14ac:dyDescent="0.3">
      <c r="A327" s="132">
        <f>IFERROR(IF(A326+1&lt;MAX(T041_ClassFeatures!$A$2:$A$2033),A326+1,""),"")</f>
        <v>324</v>
      </c>
      <c r="B327" s="131" t="str">
        <f>IFERROR(INDEX(T041_ClassFeatures!$B$2:$B$2033,MATCH('C03_ClassVariables'!A327,T041_ClassFeatures!$A$2:$A$2033,0),1),"")</f>
        <v>Sculpt Spells</v>
      </c>
      <c r="C327" s="131">
        <f>IF(B327="",0,IF(IFERROR(MATCH(B327,'C01_BaseCalculation'!$W$160:$W$239,0),0)&gt;0,1,0))</f>
        <v>0</v>
      </c>
      <c r="E327" s="428"/>
      <c r="F327" s="428"/>
      <c r="G327" s="4" t="s">
        <v>325</v>
      </c>
      <c r="I327" s="421">
        <f>INDEX(T03_Skills!$AA$3:$BU$41,MATCH('C03_ClassVariables'!$G333,T03_Skills!$Z$3:$Z$41,0),MATCH('C03_ClassVariables'!N$313,T03_Skills!$AA$2:$BU$2,0))</f>
        <v>0</v>
      </c>
      <c r="J327" s="422">
        <f t="shared" si="229"/>
        <v>0</v>
      </c>
      <c r="K327" s="422">
        <f>IF(I327&gt;0,1+COUNTIF(K$314:K326,"&gt;0"),0)</f>
        <v>0</v>
      </c>
      <c r="L327" s="422" t="str">
        <f t="shared" si="230"/>
        <v/>
      </c>
      <c r="M327" s="422" t="str">
        <f t="shared" si="214"/>
        <v/>
      </c>
      <c r="N327" s="423">
        <f t="shared" si="215"/>
        <v>0</v>
      </c>
      <c r="O327" s="421">
        <f>INDEX(T03_Skills!$AA$3:$BU$41,MATCH('C03_ClassVariables'!$G333,T03_Skills!$Z$3:$Z$41,0),MATCH('C03_ClassVariables'!T$313,T03_Skills!$AA$2:$BU$2,0))</f>
        <v>1</v>
      </c>
      <c r="P327" s="422">
        <f t="shared" si="231"/>
        <v>1</v>
      </c>
      <c r="Q327" s="422">
        <f>IF(P327&gt;0,1+COUNTIF(Q$314:Q326,"&gt;0"),0)</f>
        <v>14</v>
      </c>
      <c r="R327" s="422">
        <f t="shared" si="232"/>
        <v>14</v>
      </c>
      <c r="S327" s="422" t="str">
        <f t="shared" si="216"/>
        <v>Smith’s tools</v>
      </c>
      <c r="T327" s="423">
        <f t="shared" si="217"/>
        <v>0</v>
      </c>
      <c r="U327" s="421" t="e">
        <f>INDEX(T03_Skills!$AA$3:$BU$41,MATCH('C03_ClassVariables'!$G333,T03_Skills!$Z$3:$Z$41,0),MATCH('C03_ClassVariables'!Z$313,T03_Skills!$AA$2:$BU$2,0))</f>
        <v>#N/A</v>
      </c>
      <c r="V327" s="422" t="e">
        <f t="shared" si="233"/>
        <v>#N/A</v>
      </c>
      <c r="W327" s="422" t="e">
        <f>IF(V327&gt;0,1+COUNTIF(W$314:W326,"&gt;0"),0)</f>
        <v>#N/A</v>
      </c>
      <c r="X327" s="422" t="str">
        <f t="shared" si="234"/>
        <v/>
      </c>
      <c r="Y327" s="422" t="str">
        <f t="shared" si="235"/>
        <v/>
      </c>
      <c r="Z327" s="423">
        <f t="shared" si="218"/>
        <v>0</v>
      </c>
      <c r="AA327" s="421" t="e">
        <f>INDEX(T03_Skills!$AA$3:$BU$41,MATCH('C03_ClassVariables'!$G333,T03_Skills!$Z$3:$Z$41,0),MATCH('C03_ClassVariables'!AF$313,T03_Skills!$AA$2:$BU$2,0))</f>
        <v>#N/A</v>
      </c>
      <c r="AB327" s="422" t="e">
        <f t="shared" si="236"/>
        <v>#N/A</v>
      </c>
      <c r="AC327" s="422" t="e">
        <f>IF(AB327&gt;0,1+COUNTIF(AC$314:AC326,"&gt;0"),0)</f>
        <v>#N/A</v>
      </c>
      <c r="AD327" s="422" t="str">
        <f t="shared" si="237"/>
        <v/>
      </c>
      <c r="AE327" s="422" t="str">
        <f t="shared" si="238"/>
        <v/>
      </c>
      <c r="AF327" s="423">
        <f t="shared" si="219"/>
        <v>0</v>
      </c>
      <c r="AG327" s="421" t="e">
        <f>INDEX(T03_Skills!$AA$3:$BU$41,MATCH('C03_ClassVariables'!$G333,T03_Skills!$Z$3:$Z$41,0),MATCH('C03_ClassVariables'!AL$313,T03_Skills!$AA$2:$BU$2,0))</f>
        <v>#N/A</v>
      </c>
      <c r="AH327" s="422" t="e">
        <f t="shared" si="239"/>
        <v>#N/A</v>
      </c>
      <c r="AI327" s="422" t="e">
        <f>IF(AH327&gt;0,1+COUNTIF(AI$314:AI326,"&gt;0"),0)</f>
        <v>#N/A</v>
      </c>
      <c r="AJ327" s="422" t="str">
        <f t="shared" si="240"/>
        <v/>
      </c>
      <c r="AK327" s="422" t="str">
        <f t="shared" si="241"/>
        <v/>
      </c>
      <c r="AL327" s="423">
        <f t="shared" si="220"/>
        <v>0</v>
      </c>
      <c r="AM327" s="421" t="e">
        <f>INDEX(T03_Skills!$AA$3:$BU$41,MATCH('C03_ClassVariables'!$G333,T03_Skills!$Z$3:$Z$41,0),MATCH('C03_ClassVariables'!AR$313,T03_Skills!$AA$2:$BU$2,0))</f>
        <v>#N/A</v>
      </c>
      <c r="AN327" s="422" t="e">
        <f t="shared" si="242"/>
        <v>#N/A</v>
      </c>
      <c r="AO327" s="422" t="e">
        <f>IF(AN327&gt;0,1+COUNTIF(AO$314:AO326,"&gt;0"),0)</f>
        <v>#N/A</v>
      </c>
      <c r="AP327" s="422" t="str">
        <f t="shared" si="243"/>
        <v/>
      </c>
      <c r="AQ327" s="422" t="str">
        <f t="shared" si="244"/>
        <v/>
      </c>
      <c r="AR327" s="423">
        <f t="shared" si="221"/>
        <v>0</v>
      </c>
      <c r="AS327" s="421" t="e">
        <f>INDEX(T03_Skills!$AA$3:$BU$41,MATCH('C03_ClassVariables'!$G333,T03_Skills!$Z$3:$Z$41,0),MATCH('C03_ClassVariables'!AX$313,T03_Skills!$AA$2:$BU$2,0))</f>
        <v>#N/A</v>
      </c>
      <c r="AT327" s="422" t="e">
        <f t="shared" si="245"/>
        <v>#N/A</v>
      </c>
      <c r="AU327" s="422" t="e">
        <f>IF(AT327&gt;0,1+COUNTIF(AU$314:AU326,"&gt;0"),0)</f>
        <v>#N/A</v>
      </c>
      <c r="AV327" s="422" t="str">
        <f t="shared" si="246"/>
        <v/>
      </c>
      <c r="AW327" s="422" t="str">
        <f t="shared" si="247"/>
        <v/>
      </c>
      <c r="AX327" s="423">
        <f t="shared" si="222"/>
        <v>0</v>
      </c>
      <c r="AY327" s="421" t="e">
        <f>INDEX(T03_Skills!$AA$3:$BU$41,MATCH('C03_ClassVariables'!$G333,T03_Skills!$Z$3:$Z$41,0),MATCH('C03_ClassVariables'!BD$313,T03_Skills!$AA$2:$BU$2,0))</f>
        <v>#N/A</v>
      </c>
      <c r="AZ327" s="422" t="e">
        <f t="shared" si="248"/>
        <v>#N/A</v>
      </c>
      <c r="BA327" s="422" t="e">
        <f>IF(AZ327&gt;0,1+COUNTIF(BA$314:BA326,"&gt;0"),0)</f>
        <v>#N/A</v>
      </c>
      <c r="BB327" s="422" t="str">
        <f t="shared" si="249"/>
        <v/>
      </c>
      <c r="BC327" s="422" t="str">
        <f t="shared" si="250"/>
        <v/>
      </c>
      <c r="BD327" s="423">
        <f t="shared" si="223"/>
        <v>0</v>
      </c>
      <c r="BE327" s="421" t="e">
        <f>INDEX(T03_Skills!$AA$3:$BU$41,MATCH('C03_ClassVariables'!$G333,T03_Skills!$Z$3:$Z$41,0),MATCH('C03_ClassVariables'!BJ$313,T03_Skills!$AA$2:$BU$2,0))</f>
        <v>#N/A</v>
      </c>
      <c r="BF327" s="422" t="e">
        <f t="shared" si="251"/>
        <v>#N/A</v>
      </c>
      <c r="BG327" s="422" t="e">
        <f>IF(BF327&gt;0,1+COUNTIF(BG$314:BG326,"&gt;0"),0)</f>
        <v>#N/A</v>
      </c>
      <c r="BH327" s="422" t="str">
        <f t="shared" si="252"/>
        <v/>
      </c>
      <c r="BI327" s="422" t="str">
        <f t="shared" si="253"/>
        <v/>
      </c>
      <c r="BJ327" s="423">
        <f t="shared" si="224"/>
        <v>0</v>
      </c>
      <c r="BK327" s="421" t="e">
        <f>INDEX(T03_Skills!$AA$3:$BU$41,MATCH('C03_ClassVariables'!$G333,T03_Skills!$Z$3:$Z$41,0),MATCH('C03_ClassVariables'!BP$313,T03_Skills!$AA$2:$BU$2,0))</f>
        <v>#N/A</v>
      </c>
      <c r="BL327" s="422" t="e">
        <f t="shared" si="254"/>
        <v>#N/A</v>
      </c>
      <c r="BM327" s="422" t="e">
        <f>IF(BL327&gt;0,1+COUNTIF(BM$314:BM326,"&gt;0"),0)</f>
        <v>#N/A</v>
      </c>
      <c r="BN327" s="422" t="str">
        <f t="shared" si="255"/>
        <v/>
      </c>
      <c r="BO327" s="422" t="str">
        <f t="shared" si="256"/>
        <v/>
      </c>
      <c r="BP327" s="423">
        <f t="shared" si="225"/>
        <v>0</v>
      </c>
      <c r="BQ327" s="421" t="e">
        <f>INDEX(T03_Skills!$AA$3:$BU$41,MATCH('C03_ClassVariables'!$G333,T03_Skills!$Z$3:$Z$41,0),MATCH('C03_ClassVariables'!BV$313,T03_Skills!$AA$2:$BU$2,0))</f>
        <v>#N/A</v>
      </c>
      <c r="BR327" s="422" t="e">
        <f t="shared" si="257"/>
        <v>#N/A</v>
      </c>
      <c r="BS327" s="422" t="e">
        <f>IF(BR327&gt;0,1+COUNTIF(BS$314:BS326,"&gt;0"),0)</f>
        <v>#N/A</v>
      </c>
      <c r="BT327" s="422" t="str">
        <f t="shared" si="258"/>
        <v/>
      </c>
      <c r="BU327" s="422" t="str">
        <f t="shared" si="259"/>
        <v/>
      </c>
      <c r="BV327" s="423">
        <f t="shared" si="226"/>
        <v>0</v>
      </c>
      <c r="BW327" s="421" t="e">
        <f>INDEX(T03_Skills!$AA$3:$BU$41,MATCH('C03_ClassVariables'!$G333,T03_Skills!$Z$3:$Z$41,0),MATCH('C03_ClassVariables'!CB$313,T03_Skills!$AA$2:$BU$2,0))</f>
        <v>#N/A</v>
      </c>
      <c r="BX327" s="422" t="e">
        <f t="shared" si="260"/>
        <v>#N/A</v>
      </c>
      <c r="BY327" s="422" t="e">
        <f>IF(BX327&gt;0,1+COUNTIF(BY$314:BY326,"&gt;0"),0)</f>
        <v>#N/A</v>
      </c>
      <c r="BZ327" s="422" t="str">
        <f t="shared" si="261"/>
        <v/>
      </c>
      <c r="CA327" s="422" t="str">
        <f t="shared" si="262"/>
        <v/>
      </c>
      <c r="CB327" s="423">
        <f t="shared" si="227"/>
        <v>0</v>
      </c>
      <c r="CC327" s="421" t="e">
        <f>INDEX(T03_Skills!$AA$3:$BU$41,MATCH('C03_ClassVariables'!$G333,T03_Skills!$Z$3:$Z$41,0),MATCH('C03_ClassVariables'!CH$313,T03_Skills!$AA$2:$BU$2,0))</f>
        <v>#N/A</v>
      </c>
      <c r="CD327" s="422" t="e">
        <f t="shared" si="263"/>
        <v>#N/A</v>
      </c>
      <c r="CE327" s="422" t="e">
        <f>IF(CD327&gt;0,1+COUNTIF(CE$314:CE326,"&gt;0"),0)</f>
        <v>#N/A</v>
      </c>
      <c r="CF327" s="422" t="str">
        <f t="shared" si="264"/>
        <v/>
      </c>
      <c r="CG327" s="422" t="str">
        <f t="shared" si="265"/>
        <v/>
      </c>
      <c r="CH327" s="423">
        <f t="shared" si="228"/>
        <v>0</v>
      </c>
      <c r="CI327" s="428"/>
      <c r="CJ327" s="428"/>
      <c r="CK327" s="422"/>
      <c r="CL327" s="422"/>
      <c r="CM327" s="422"/>
      <c r="CN327" s="423"/>
      <c r="CO327" s="421"/>
      <c r="CP327" s="422"/>
      <c r="CQ327" s="422"/>
      <c r="CR327" s="422"/>
      <c r="CS327" s="422"/>
      <c r="CT327" s="423"/>
      <c r="CU327" s="421"/>
      <c r="CV327" s="422"/>
      <c r="CW327" s="422"/>
      <c r="CX327" s="422"/>
      <c r="CY327" s="422"/>
      <c r="CZ327" s="423"/>
      <c r="DA327" s="421"/>
      <c r="DB327" s="422"/>
      <c r="DC327" s="422"/>
      <c r="DD327" s="422"/>
      <c r="DE327" s="422"/>
      <c r="DF327" s="423"/>
      <c r="DG327" s="421"/>
      <c r="DH327" s="422"/>
      <c r="DI327" s="422"/>
      <c r="DJ327" s="422"/>
      <c r="DK327" s="422"/>
      <c r="DL327" s="423"/>
      <c r="DM327" s="421"/>
      <c r="DN327" s="422"/>
      <c r="DO327" s="422"/>
      <c r="DP327" s="422"/>
      <c r="DQ327" s="422"/>
      <c r="DR327" s="423"/>
      <c r="DS327" s="421"/>
      <c r="DT327" s="422"/>
      <c r="DU327" s="422"/>
      <c r="DV327" s="422"/>
      <c r="DW327" s="422"/>
      <c r="DX327" s="423"/>
      <c r="DY327" s="428"/>
      <c r="DZ327" s="138"/>
    </row>
    <row r="328" spans="1:130" ht="16.5" x14ac:dyDescent="0.3">
      <c r="A328" s="132">
        <f>IFERROR(IF(A327+1&lt;MAX(T041_ClassFeatures!$A$2:$A$2033),A327+1,""),"")</f>
        <v>325</v>
      </c>
      <c r="B328" s="131" t="str">
        <f>IFERROR(INDEX(T041_ClassFeatures!$B$2:$B$2033,MATCH('C03_ClassVariables'!A328,T041_ClassFeatures!$A$2:$A$2033,0),1),"")</f>
        <v>Potent Cantrip</v>
      </c>
      <c r="C328" s="131">
        <f>IF(B328="",0,IF(IFERROR(MATCH(B328,'C01_BaseCalculation'!$W$160:$W$239,0),0)&gt;0,1,0))</f>
        <v>0</v>
      </c>
      <c r="E328" s="428"/>
      <c r="F328" s="428"/>
      <c r="G328" s="4" t="s">
        <v>349</v>
      </c>
      <c r="I328" s="421">
        <f>INDEX(T03_Skills!$AA$3:$BU$41,MATCH('C03_ClassVariables'!$G334,T03_Skills!$Z$3:$Z$41,0),MATCH('C03_ClassVariables'!N$313,T03_Skills!$AA$2:$BU$2,0))</f>
        <v>0</v>
      </c>
      <c r="J328" s="422">
        <f t="shared" si="229"/>
        <v>0</v>
      </c>
      <c r="K328" s="422">
        <f>IF(I328&gt;0,1+COUNTIF(K$314:K327,"&gt;0"),0)</f>
        <v>0</v>
      </c>
      <c r="L328" s="422" t="str">
        <f t="shared" si="230"/>
        <v/>
      </c>
      <c r="M328" s="422" t="str">
        <f t="shared" si="214"/>
        <v/>
      </c>
      <c r="N328" s="423">
        <f t="shared" si="215"/>
        <v>0</v>
      </c>
      <c r="O328" s="421">
        <f>INDEX(T03_Skills!$AA$3:$BU$41,MATCH('C03_ClassVariables'!$G334,T03_Skills!$Z$3:$Z$41,0),MATCH('C03_ClassVariables'!T$313,T03_Skills!$AA$2:$BU$2,0))</f>
        <v>1</v>
      </c>
      <c r="P328" s="422">
        <f t="shared" si="231"/>
        <v>1</v>
      </c>
      <c r="Q328" s="422">
        <f>IF(P328&gt;0,1+COUNTIF(Q$314:Q327,"&gt;0"),0)</f>
        <v>15</v>
      </c>
      <c r="R328" s="422">
        <f t="shared" si="232"/>
        <v>15</v>
      </c>
      <c r="S328" s="422" t="str">
        <f t="shared" si="216"/>
        <v>Tinker’s tools</v>
      </c>
      <c r="T328" s="423">
        <f t="shared" si="217"/>
        <v>0</v>
      </c>
      <c r="U328" s="421" t="e">
        <f>INDEX(T03_Skills!$AA$3:$BU$41,MATCH('C03_ClassVariables'!$G334,T03_Skills!$Z$3:$Z$41,0),MATCH('C03_ClassVariables'!Z$313,T03_Skills!$AA$2:$BU$2,0))</f>
        <v>#N/A</v>
      </c>
      <c r="V328" s="422" t="e">
        <f t="shared" si="233"/>
        <v>#N/A</v>
      </c>
      <c r="W328" s="422" t="e">
        <f>IF(V328&gt;0,1+COUNTIF(W$314:W327,"&gt;0"),0)</f>
        <v>#N/A</v>
      </c>
      <c r="X328" s="422" t="str">
        <f t="shared" si="234"/>
        <v/>
      </c>
      <c r="Y328" s="422" t="str">
        <f t="shared" si="235"/>
        <v/>
      </c>
      <c r="Z328" s="423">
        <f t="shared" si="218"/>
        <v>0</v>
      </c>
      <c r="AA328" s="421" t="e">
        <f>INDEX(T03_Skills!$AA$3:$BU$41,MATCH('C03_ClassVariables'!$G334,T03_Skills!$Z$3:$Z$41,0),MATCH('C03_ClassVariables'!AF$313,T03_Skills!$AA$2:$BU$2,0))</f>
        <v>#N/A</v>
      </c>
      <c r="AB328" s="422" t="e">
        <f t="shared" si="236"/>
        <v>#N/A</v>
      </c>
      <c r="AC328" s="422" t="e">
        <f>IF(AB328&gt;0,1+COUNTIF(AC$314:AC327,"&gt;0"),0)</f>
        <v>#N/A</v>
      </c>
      <c r="AD328" s="422" t="str">
        <f t="shared" si="237"/>
        <v/>
      </c>
      <c r="AE328" s="422" t="str">
        <f t="shared" si="238"/>
        <v/>
      </c>
      <c r="AF328" s="423">
        <f t="shared" si="219"/>
        <v>0</v>
      </c>
      <c r="AG328" s="421" t="e">
        <f>INDEX(T03_Skills!$AA$3:$BU$41,MATCH('C03_ClassVariables'!$G334,T03_Skills!$Z$3:$Z$41,0),MATCH('C03_ClassVariables'!AL$313,T03_Skills!$AA$2:$BU$2,0))</f>
        <v>#N/A</v>
      </c>
      <c r="AH328" s="422" t="e">
        <f t="shared" si="239"/>
        <v>#N/A</v>
      </c>
      <c r="AI328" s="422" t="e">
        <f>IF(AH328&gt;0,1+COUNTIF(AI$314:AI327,"&gt;0"),0)</f>
        <v>#N/A</v>
      </c>
      <c r="AJ328" s="422" t="str">
        <f t="shared" si="240"/>
        <v/>
      </c>
      <c r="AK328" s="422" t="str">
        <f t="shared" si="241"/>
        <v/>
      </c>
      <c r="AL328" s="423">
        <f t="shared" si="220"/>
        <v>0</v>
      </c>
      <c r="AM328" s="421" t="e">
        <f>INDEX(T03_Skills!$AA$3:$BU$41,MATCH('C03_ClassVariables'!$G334,T03_Skills!$Z$3:$Z$41,0),MATCH('C03_ClassVariables'!AR$313,T03_Skills!$AA$2:$BU$2,0))</f>
        <v>#N/A</v>
      </c>
      <c r="AN328" s="422" t="e">
        <f t="shared" si="242"/>
        <v>#N/A</v>
      </c>
      <c r="AO328" s="422" t="e">
        <f>IF(AN328&gt;0,1+COUNTIF(AO$314:AO327,"&gt;0"),0)</f>
        <v>#N/A</v>
      </c>
      <c r="AP328" s="422" t="str">
        <f t="shared" si="243"/>
        <v/>
      </c>
      <c r="AQ328" s="422" t="str">
        <f t="shared" si="244"/>
        <v/>
      </c>
      <c r="AR328" s="423">
        <f t="shared" si="221"/>
        <v>0</v>
      </c>
      <c r="AS328" s="421" t="e">
        <f>INDEX(T03_Skills!$AA$3:$BU$41,MATCH('C03_ClassVariables'!$G334,T03_Skills!$Z$3:$Z$41,0),MATCH('C03_ClassVariables'!AX$313,T03_Skills!$AA$2:$BU$2,0))</f>
        <v>#N/A</v>
      </c>
      <c r="AT328" s="422" t="e">
        <f t="shared" si="245"/>
        <v>#N/A</v>
      </c>
      <c r="AU328" s="422" t="e">
        <f>IF(AT328&gt;0,1+COUNTIF(AU$314:AU327,"&gt;0"),0)</f>
        <v>#N/A</v>
      </c>
      <c r="AV328" s="422" t="str">
        <f t="shared" si="246"/>
        <v/>
      </c>
      <c r="AW328" s="422" t="str">
        <f t="shared" si="247"/>
        <v/>
      </c>
      <c r="AX328" s="423">
        <f t="shared" si="222"/>
        <v>0</v>
      </c>
      <c r="AY328" s="421" t="e">
        <f>INDEX(T03_Skills!$AA$3:$BU$41,MATCH('C03_ClassVariables'!$G334,T03_Skills!$Z$3:$Z$41,0),MATCH('C03_ClassVariables'!BD$313,T03_Skills!$AA$2:$BU$2,0))</f>
        <v>#N/A</v>
      </c>
      <c r="AZ328" s="422" t="e">
        <f t="shared" si="248"/>
        <v>#N/A</v>
      </c>
      <c r="BA328" s="422" t="e">
        <f>IF(AZ328&gt;0,1+COUNTIF(BA$314:BA327,"&gt;0"),0)</f>
        <v>#N/A</v>
      </c>
      <c r="BB328" s="422" t="str">
        <f t="shared" si="249"/>
        <v/>
      </c>
      <c r="BC328" s="422" t="str">
        <f t="shared" si="250"/>
        <v/>
      </c>
      <c r="BD328" s="423">
        <f t="shared" si="223"/>
        <v>0</v>
      </c>
      <c r="BE328" s="421" t="e">
        <f>INDEX(T03_Skills!$AA$3:$BU$41,MATCH('C03_ClassVariables'!$G334,T03_Skills!$Z$3:$Z$41,0),MATCH('C03_ClassVariables'!BJ$313,T03_Skills!$AA$2:$BU$2,0))</f>
        <v>#N/A</v>
      </c>
      <c r="BF328" s="422" t="e">
        <f t="shared" si="251"/>
        <v>#N/A</v>
      </c>
      <c r="BG328" s="422" t="e">
        <f>IF(BF328&gt;0,1+COUNTIF(BG$314:BG327,"&gt;0"),0)</f>
        <v>#N/A</v>
      </c>
      <c r="BH328" s="422" t="str">
        <f t="shared" si="252"/>
        <v/>
      </c>
      <c r="BI328" s="422" t="str">
        <f t="shared" si="253"/>
        <v/>
      </c>
      <c r="BJ328" s="423">
        <f t="shared" si="224"/>
        <v>0</v>
      </c>
      <c r="BK328" s="421" t="e">
        <f>INDEX(T03_Skills!$AA$3:$BU$41,MATCH('C03_ClassVariables'!$G334,T03_Skills!$Z$3:$Z$41,0),MATCH('C03_ClassVariables'!BP$313,T03_Skills!$AA$2:$BU$2,0))</f>
        <v>#N/A</v>
      </c>
      <c r="BL328" s="422" t="e">
        <f t="shared" si="254"/>
        <v>#N/A</v>
      </c>
      <c r="BM328" s="422" t="e">
        <f>IF(BL328&gt;0,1+COUNTIF(BM$314:BM327,"&gt;0"),0)</f>
        <v>#N/A</v>
      </c>
      <c r="BN328" s="422" t="str">
        <f t="shared" si="255"/>
        <v/>
      </c>
      <c r="BO328" s="422" t="str">
        <f t="shared" si="256"/>
        <v/>
      </c>
      <c r="BP328" s="423">
        <f t="shared" si="225"/>
        <v>0</v>
      </c>
      <c r="BQ328" s="421" t="e">
        <f>INDEX(T03_Skills!$AA$3:$BU$41,MATCH('C03_ClassVariables'!$G334,T03_Skills!$Z$3:$Z$41,0),MATCH('C03_ClassVariables'!BV$313,T03_Skills!$AA$2:$BU$2,0))</f>
        <v>#N/A</v>
      </c>
      <c r="BR328" s="422" t="e">
        <f t="shared" si="257"/>
        <v>#N/A</v>
      </c>
      <c r="BS328" s="422" t="e">
        <f>IF(BR328&gt;0,1+COUNTIF(BS$314:BS327,"&gt;0"),0)</f>
        <v>#N/A</v>
      </c>
      <c r="BT328" s="422" t="str">
        <f t="shared" si="258"/>
        <v/>
      </c>
      <c r="BU328" s="422" t="str">
        <f t="shared" si="259"/>
        <v/>
      </c>
      <c r="BV328" s="423">
        <f t="shared" si="226"/>
        <v>0</v>
      </c>
      <c r="BW328" s="421" t="e">
        <f>INDEX(T03_Skills!$AA$3:$BU$41,MATCH('C03_ClassVariables'!$G334,T03_Skills!$Z$3:$Z$41,0),MATCH('C03_ClassVariables'!CB$313,T03_Skills!$AA$2:$BU$2,0))</f>
        <v>#N/A</v>
      </c>
      <c r="BX328" s="422" t="e">
        <f t="shared" si="260"/>
        <v>#N/A</v>
      </c>
      <c r="BY328" s="422" t="e">
        <f>IF(BX328&gt;0,1+COUNTIF(BY$314:BY327,"&gt;0"),0)</f>
        <v>#N/A</v>
      </c>
      <c r="BZ328" s="422" t="str">
        <f t="shared" si="261"/>
        <v/>
      </c>
      <c r="CA328" s="422" t="str">
        <f t="shared" si="262"/>
        <v/>
      </c>
      <c r="CB328" s="423">
        <f t="shared" si="227"/>
        <v>0</v>
      </c>
      <c r="CC328" s="421" t="e">
        <f>INDEX(T03_Skills!$AA$3:$BU$41,MATCH('C03_ClassVariables'!$G334,T03_Skills!$Z$3:$Z$41,0),MATCH('C03_ClassVariables'!CH$313,T03_Skills!$AA$2:$BU$2,0))</f>
        <v>#N/A</v>
      </c>
      <c r="CD328" s="422" t="e">
        <f t="shared" si="263"/>
        <v>#N/A</v>
      </c>
      <c r="CE328" s="422" t="e">
        <f>IF(CD328&gt;0,1+COUNTIF(CE$314:CE327,"&gt;0"),0)</f>
        <v>#N/A</v>
      </c>
      <c r="CF328" s="422" t="str">
        <f t="shared" si="264"/>
        <v/>
      </c>
      <c r="CG328" s="422" t="str">
        <f t="shared" si="265"/>
        <v/>
      </c>
      <c r="CH328" s="423">
        <f t="shared" si="228"/>
        <v>0</v>
      </c>
      <c r="CI328" s="428"/>
      <c r="CJ328" s="428"/>
      <c r="CK328" s="422"/>
      <c r="CL328" s="422"/>
      <c r="CM328" s="422"/>
      <c r="CN328" s="423"/>
      <c r="CO328" s="421"/>
      <c r="CP328" s="422"/>
      <c r="CQ328" s="422"/>
      <c r="CR328" s="422"/>
      <c r="CS328" s="422"/>
      <c r="CT328" s="423"/>
      <c r="CU328" s="421"/>
      <c r="CV328" s="422"/>
      <c r="CW328" s="422"/>
      <c r="CX328" s="422"/>
      <c r="CY328" s="422"/>
      <c r="CZ328" s="423"/>
      <c r="DA328" s="421"/>
      <c r="DB328" s="422"/>
      <c r="DC328" s="422"/>
      <c r="DD328" s="422"/>
      <c r="DE328" s="422"/>
      <c r="DF328" s="423"/>
      <c r="DG328" s="421"/>
      <c r="DH328" s="422"/>
      <c r="DI328" s="422"/>
      <c r="DJ328" s="422"/>
      <c r="DK328" s="422"/>
      <c r="DL328" s="423"/>
      <c r="DM328" s="421"/>
      <c r="DN328" s="422"/>
      <c r="DO328" s="422"/>
      <c r="DP328" s="422"/>
      <c r="DQ328" s="422"/>
      <c r="DR328" s="423"/>
      <c r="DS328" s="421"/>
      <c r="DT328" s="422"/>
      <c r="DU328" s="422"/>
      <c r="DV328" s="422"/>
      <c r="DW328" s="422"/>
      <c r="DX328" s="423"/>
      <c r="DY328" s="428"/>
      <c r="DZ328" s="138"/>
    </row>
    <row r="329" spans="1:130" ht="16.5" x14ac:dyDescent="0.3">
      <c r="A329" s="132">
        <f>IFERROR(IF(A328+1&lt;MAX(T041_ClassFeatures!$A$2:$A$2033),A328+1,""),"")</f>
        <v>326</v>
      </c>
      <c r="B329" s="131" t="str">
        <f>IFERROR(INDEX(T041_ClassFeatures!$B$2:$B$2033,MATCH('C03_ClassVariables'!A329,T041_ClassFeatures!$A$2:$A$2033,0),1),"")</f>
        <v>Empowered Evocation</v>
      </c>
      <c r="C329" s="131">
        <f>IF(B329="",0,IF(IFERROR(MATCH(B329,'C01_BaseCalculation'!$W$160:$W$239,0),0)&gt;0,1,0))</f>
        <v>0</v>
      </c>
      <c r="E329" s="428"/>
      <c r="F329" s="428"/>
      <c r="G329" s="4" t="s">
        <v>359</v>
      </c>
      <c r="I329" s="421">
        <f>INDEX(T03_Skills!$AA$3:$BU$41,MATCH('C03_ClassVariables'!$G335,T03_Skills!$Z$3:$Z$41,0),MATCH('C03_ClassVariables'!N$313,T03_Skills!$AA$2:$BU$2,0))</f>
        <v>0</v>
      </c>
      <c r="J329" s="422">
        <f t="shared" si="229"/>
        <v>0</v>
      </c>
      <c r="K329" s="422">
        <f>IF(I329&gt;0,1+COUNTIF(K$314:K328,"&gt;0"),0)</f>
        <v>0</v>
      </c>
      <c r="L329" s="422" t="str">
        <f t="shared" si="230"/>
        <v/>
      </c>
      <c r="M329" s="422" t="str">
        <f t="shared" si="214"/>
        <v/>
      </c>
      <c r="N329" s="423">
        <f t="shared" si="215"/>
        <v>0</v>
      </c>
      <c r="O329" s="421">
        <f>INDEX(T03_Skills!$AA$3:$BU$41,MATCH('C03_ClassVariables'!$G335,T03_Skills!$Z$3:$Z$41,0),MATCH('C03_ClassVariables'!T$313,T03_Skills!$AA$2:$BU$2,0))</f>
        <v>1</v>
      </c>
      <c r="P329" s="422">
        <f t="shared" si="231"/>
        <v>1</v>
      </c>
      <c r="Q329" s="422">
        <f>IF(P329&gt;0,1+COUNTIF(Q$314:Q328,"&gt;0"),0)</f>
        <v>16</v>
      </c>
      <c r="R329" s="422">
        <f t="shared" si="232"/>
        <v>16</v>
      </c>
      <c r="S329" s="422" t="str">
        <f t="shared" si="216"/>
        <v>Weaver’s tools</v>
      </c>
      <c r="T329" s="423">
        <f t="shared" si="217"/>
        <v>0</v>
      </c>
      <c r="U329" s="421" t="e">
        <f>INDEX(T03_Skills!$AA$3:$BU$41,MATCH('C03_ClassVariables'!$G335,T03_Skills!$Z$3:$Z$41,0),MATCH('C03_ClassVariables'!Z$313,T03_Skills!$AA$2:$BU$2,0))</f>
        <v>#N/A</v>
      </c>
      <c r="V329" s="422" t="e">
        <f t="shared" si="233"/>
        <v>#N/A</v>
      </c>
      <c r="W329" s="422" t="e">
        <f>IF(V329&gt;0,1+COUNTIF(W$314:W328,"&gt;0"),0)</f>
        <v>#N/A</v>
      </c>
      <c r="X329" s="422" t="str">
        <f t="shared" si="234"/>
        <v/>
      </c>
      <c r="Y329" s="422" t="str">
        <f t="shared" si="235"/>
        <v/>
      </c>
      <c r="Z329" s="423">
        <f t="shared" si="218"/>
        <v>0</v>
      </c>
      <c r="AA329" s="421" t="e">
        <f>INDEX(T03_Skills!$AA$3:$BU$41,MATCH('C03_ClassVariables'!$G335,T03_Skills!$Z$3:$Z$41,0),MATCH('C03_ClassVariables'!AF$313,T03_Skills!$AA$2:$BU$2,0))</f>
        <v>#N/A</v>
      </c>
      <c r="AB329" s="422" t="e">
        <f t="shared" si="236"/>
        <v>#N/A</v>
      </c>
      <c r="AC329" s="422" t="e">
        <f>IF(AB329&gt;0,1+COUNTIF(AC$314:AC328,"&gt;0"),0)</f>
        <v>#N/A</v>
      </c>
      <c r="AD329" s="422" t="str">
        <f t="shared" si="237"/>
        <v/>
      </c>
      <c r="AE329" s="422" t="str">
        <f t="shared" si="238"/>
        <v/>
      </c>
      <c r="AF329" s="423">
        <f t="shared" si="219"/>
        <v>0</v>
      </c>
      <c r="AG329" s="421" t="e">
        <f>INDEX(T03_Skills!$AA$3:$BU$41,MATCH('C03_ClassVariables'!$G335,T03_Skills!$Z$3:$Z$41,0),MATCH('C03_ClassVariables'!AL$313,T03_Skills!$AA$2:$BU$2,0))</f>
        <v>#N/A</v>
      </c>
      <c r="AH329" s="422" t="e">
        <f t="shared" si="239"/>
        <v>#N/A</v>
      </c>
      <c r="AI329" s="422" t="e">
        <f>IF(AH329&gt;0,1+COUNTIF(AI$314:AI328,"&gt;0"),0)</f>
        <v>#N/A</v>
      </c>
      <c r="AJ329" s="422" t="str">
        <f t="shared" si="240"/>
        <v/>
      </c>
      <c r="AK329" s="422" t="str">
        <f t="shared" si="241"/>
        <v/>
      </c>
      <c r="AL329" s="423">
        <f t="shared" si="220"/>
        <v>0</v>
      </c>
      <c r="AM329" s="421" t="e">
        <f>INDEX(T03_Skills!$AA$3:$BU$41,MATCH('C03_ClassVariables'!$G335,T03_Skills!$Z$3:$Z$41,0),MATCH('C03_ClassVariables'!AR$313,T03_Skills!$AA$2:$BU$2,0))</f>
        <v>#N/A</v>
      </c>
      <c r="AN329" s="422" t="e">
        <f t="shared" si="242"/>
        <v>#N/A</v>
      </c>
      <c r="AO329" s="422" t="e">
        <f>IF(AN329&gt;0,1+COUNTIF(AO$314:AO328,"&gt;0"),0)</f>
        <v>#N/A</v>
      </c>
      <c r="AP329" s="422" t="str">
        <f t="shared" si="243"/>
        <v/>
      </c>
      <c r="AQ329" s="422" t="str">
        <f t="shared" si="244"/>
        <v/>
      </c>
      <c r="AR329" s="423">
        <f t="shared" si="221"/>
        <v>0</v>
      </c>
      <c r="AS329" s="421" t="e">
        <f>INDEX(T03_Skills!$AA$3:$BU$41,MATCH('C03_ClassVariables'!$G335,T03_Skills!$Z$3:$Z$41,0),MATCH('C03_ClassVariables'!AX$313,T03_Skills!$AA$2:$BU$2,0))</f>
        <v>#N/A</v>
      </c>
      <c r="AT329" s="422" t="e">
        <f t="shared" si="245"/>
        <v>#N/A</v>
      </c>
      <c r="AU329" s="422" t="e">
        <f>IF(AT329&gt;0,1+COUNTIF(AU$314:AU328,"&gt;0"),0)</f>
        <v>#N/A</v>
      </c>
      <c r="AV329" s="422" t="str">
        <f t="shared" si="246"/>
        <v/>
      </c>
      <c r="AW329" s="422" t="str">
        <f t="shared" si="247"/>
        <v/>
      </c>
      <c r="AX329" s="423">
        <f t="shared" si="222"/>
        <v>0</v>
      </c>
      <c r="AY329" s="421" t="e">
        <f>INDEX(T03_Skills!$AA$3:$BU$41,MATCH('C03_ClassVariables'!$G335,T03_Skills!$Z$3:$Z$41,0),MATCH('C03_ClassVariables'!BD$313,T03_Skills!$AA$2:$BU$2,0))</f>
        <v>#N/A</v>
      </c>
      <c r="AZ329" s="422" t="e">
        <f t="shared" si="248"/>
        <v>#N/A</v>
      </c>
      <c r="BA329" s="422" t="e">
        <f>IF(AZ329&gt;0,1+COUNTIF(BA$314:BA328,"&gt;0"),0)</f>
        <v>#N/A</v>
      </c>
      <c r="BB329" s="422" t="str">
        <f t="shared" si="249"/>
        <v/>
      </c>
      <c r="BC329" s="422" t="str">
        <f t="shared" si="250"/>
        <v/>
      </c>
      <c r="BD329" s="423">
        <f t="shared" si="223"/>
        <v>0</v>
      </c>
      <c r="BE329" s="421" t="e">
        <f>INDEX(T03_Skills!$AA$3:$BU$41,MATCH('C03_ClassVariables'!$G335,T03_Skills!$Z$3:$Z$41,0),MATCH('C03_ClassVariables'!BJ$313,T03_Skills!$AA$2:$BU$2,0))</f>
        <v>#N/A</v>
      </c>
      <c r="BF329" s="422" t="e">
        <f t="shared" si="251"/>
        <v>#N/A</v>
      </c>
      <c r="BG329" s="422" t="e">
        <f>IF(BF329&gt;0,1+COUNTIF(BG$314:BG328,"&gt;0"),0)</f>
        <v>#N/A</v>
      </c>
      <c r="BH329" s="422" t="str">
        <f t="shared" si="252"/>
        <v/>
      </c>
      <c r="BI329" s="422" t="str">
        <f t="shared" si="253"/>
        <v/>
      </c>
      <c r="BJ329" s="423">
        <f t="shared" si="224"/>
        <v>0</v>
      </c>
      <c r="BK329" s="421" t="e">
        <f>INDEX(T03_Skills!$AA$3:$BU$41,MATCH('C03_ClassVariables'!$G335,T03_Skills!$Z$3:$Z$41,0),MATCH('C03_ClassVariables'!BP$313,T03_Skills!$AA$2:$BU$2,0))</f>
        <v>#N/A</v>
      </c>
      <c r="BL329" s="422" t="e">
        <f t="shared" si="254"/>
        <v>#N/A</v>
      </c>
      <c r="BM329" s="422" t="e">
        <f>IF(BL329&gt;0,1+COUNTIF(BM$314:BM328,"&gt;0"),0)</f>
        <v>#N/A</v>
      </c>
      <c r="BN329" s="422" t="str">
        <f t="shared" si="255"/>
        <v/>
      </c>
      <c r="BO329" s="422" t="str">
        <f t="shared" si="256"/>
        <v/>
      </c>
      <c r="BP329" s="423">
        <f t="shared" si="225"/>
        <v>0</v>
      </c>
      <c r="BQ329" s="421" t="e">
        <f>INDEX(T03_Skills!$AA$3:$BU$41,MATCH('C03_ClassVariables'!$G335,T03_Skills!$Z$3:$Z$41,0),MATCH('C03_ClassVariables'!BV$313,T03_Skills!$AA$2:$BU$2,0))</f>
        <v>#N/A</v>
      </c>
      <c r="BR329" s="422" t="e">
        <f t="shared" si="257"/>
        <v>#N/A</v>
      </c>
      <c r="BS329" s="422" t="e">
        <f>IF(BR329&gt;0,1+COUNTIF(BS$314:BS328,"&gt;0"),0)</f>
        <v>#N/A</v>
      </c>
      <c r="BT329" s="422" t="str">
        <f t="shared" si="258"/>
        <v/>
      </c>
      <c r="BU329" s="422" t="str">
        <f t="shared" si="259"/>
        <v/>
      </c>
      <c r="BV329" s="423">
        <f t="shared" si="226"/>
        <v>0</v>
      </c>
      <c r="BW329" s="421" t="e">
        <f>INDEX(T03_Skills!$AA$3:$BU$41,MATCH('C03_ClassVariables'!$G335,T03_Skills!$Z$3:$Z$41,0),MATCH('C03_ClassVariables'!CB$313,T03_Skills!$AA$2:$BU$2,0))</f>
        <v>#N/A</v>
      </c>
      <c r="BX329" s="422" t="e">
        <f t="shared" si="260"/>
        <v>#N/A</v>
      </c>
      <c r="BY329" s="422" t="e">
        <f>IF(BX329&gt;0,1+COUNTIF(BY$314:BY328,"&gt;0"),0)</f>
        <v>#N/A</v>
      </c>
      <c r="BZ329" s="422" t="str">
        <f t="shared" si="261"/>
        <v/>
      </c>
      <c r="CA329" s="422" t="str">
        <f t="shared" si="262"/>
        <v/>
      </c>
      <c r="CB329" s="423">
        <f t="shared" si="227"/>
        <v>0</v>
      </c>
      <c r="CC329" s="421" t="e">
        <f>INDEX(T03_Skills!$AA$3:$BU$41,MATCH('C03_ClassVariables'!$G335,T03_Skills!$Z$3:$Z$41,0),MATCH('C03_ClassVariables'!CH$313,T03_Skills!$AA$2:$BU$2,0))</f>
        <v>#N/A</v>
      </c>
      <c r="CD329" s="422" t="e">
        <f t="shared" si="263"/>
        <v>#N/A</v>
      </c>
      <c r="CE329" s="422" t="e">
        <f>IF(CD329&gt;0,1+COUNTIF(CE$314:CE328,"&gt;0"),0)</f>
        <v>#N/A</v>
      </c>
      <c r="CF329" s="422" t="str">
        <f t="shared" si="264"/>
        <v/>
      </c>
      <c r="CG329" s="422" t="str">
        <f t="shared" si="265"/>
        <v/>
      </c>
      <c r="CH329" s="423">
        <f t="shared" si="228"/>
        <v>0</v>
      </c>
      <c r="CI329" s="428"/>
      <c r="CJ329" s="428"/>
      <c r="CK329" s="422"/>
      <c r="CL329" s="422"/>
      <c r="CM329" s="422"/>
      <c r="CN329" s="423"/>
      <c r="CO329" s="421"/>
      <c r="CP329" s="422"/>
      <c r="CQ329" s="422"/>
      <c r="CR329" s="422"/>
      <c r="CS329" s="422"/>
      <c r="CT329" s="423"/>
      <c r="CU329" s="421"/>
      <c r="CV329" s="422"/>
      <c r="CW329" s="422"/>
      <c r="CX329" s="422"/>
      <c r="CY329" s="422"/>
      <c r="CZ329" s="423"/>
      <c r="DA329" s="421"/>
      <c r="DB329" s="422"/>
      <c r="DC329" s="422"/>
      <c r="DD329" s="422"/>
      <c r="DE329" s="422"/>
      <c r="DF329" s="423"/>
      <c r="DG329" s="421"/>
      <c r="DH329" s="422"/>
      <c r="DI329" s="422"/>
      <c r="DJ329" s="422"/>
      <c r="DK329" s="422"/>
      <c r="DL329" s="423"/>
      <c r="DM329" s="421"/>
      <c r="DN329" s="422"/>
      <c r="DO329" s="422"/>
      <c r="DP329" s="422"/>
      <c r="DQ329" s="422"/>
      <c r="DR329" s="423"/>
      <c r="DS329" s="421"/>
      <c r="DT329" s="422"/>
      <c r="DU329" s="422"/>
      <c r="DV329" s="422"/>
      <c r="DW329" s="422"/>
      <c r="DX329" s="423"/>
      <c r="DY329" s="428"/>
      <c r="DZ329" s="138"/>
    </row>
    <row r="330" spans="1:130" ht="16.5" x14ac:dyDescent="0.3">
      <c r="A330" s="132">
        <f>IFERROR(IF(A329+1&lt;MAX(T041_ClassFeatures!$A$2:$A$2033),A329+1,""),"")</f>
        <v>327</v>
      </c>
      <c r="B330" s="131" t="str">
        <f>IFERROR(INDEX(T041_ClassFeatures!$B$2:$B$2033,MATCH('C03_ClassVariables'!A330,T041_ClassFeatures!$A$2:$A$2033,0),1),"")</f>
        <v>Overchannel</v>
      </c>
      <c r="C330" s="131">
        <f>IF(B330="",0,IF(IFERROR(MATCH(B330,'C01_BaseCalculation'!$W$160:$W$239,0),0)&gt;0,1,0))</f>
        <v>0</v>
      </c>
      <c r="E330" s="428"/>
      <c r="F330" s="428"/>
      <c r="G330" s="4" t="s">
        <v>373</v>
      </c>
      <c r="I330" s="421">
        <f>INDEX(T03_Skills!$AA$3:$BU$41,MATCH('C03_ClassVariables'!$G336,T03_Skills!$Z$3:$Z$41,0),MATCH('C03_ClassVariables'!N$313,T03_Skills!$AA$2:$BU$2,0))</f>
        <v>0</v>
      </c>
      <c r="J330" s="422">
        <f t="shared" si="229"/>
        <v>0</v>
      </c>
      <c r="K330" s="422">
        <f>IF(I330&gt;0,1+COUNTIF(K$314:K329,"&gt;0"),0)</f>
        <v>0</v>
      </c>
      <c r="L330" s="422" t="str">
        <f t="shared" si="230"/>
        <v/>
      </c>
      <c r="M330" s="422" t="str">
        <f t="shared" si="214"/>
        <v/>
      </c>
      <c r="N330" s="423">
        <f t="shared" si="215"/>
        <v>0</v>
      </c>
      <c r="O330" s="421">
        <f>INDEX(T03_Skills!$AA$3:$BU$41,MATCH('C03_ClassVariables'!$G336,T03_Skills!$Z$3:$Z$41,0),MATCH('C03_ClassVariables'!T$313,T03_Skills!$AA$2:$BU$2,0))</f>
        <v>1</v>
      </c>
      <c r="P330" s="422">
        <f t="shared" si="231"/>
        <v>1</v>
      </c>
      <c r="Q330" s="422">
        <f>IF(P330&gt;0,1+COUNTIF(Q$314:Q329,"&gt;0"),0)</f>
        <v>17</v>
      </c>
      <c r="R330" s="422">
        <f t="shared" si="232"/>
        <v>17</v>
      </c>
      <c r="S330" s="422" t="str">
        <f t="shared" si="216"/>
        <v>Woodcarver’s tools</v>
      </c>
      <c r="T330" s="423">
        <f t="shared" si="217"/>
        <v>0</v>
      </c>
      <c r="U330" s="421" t="e">
        <f>INDEX(T03_Skills!$AA$3:$BU$41,MATCH('C03_ClassVariables'!$G336,T03_Skills!$Z$3:$Z$41,0),MATCH('C03_ClassVariables'!Z$313,T03_Skills!$AA$2:$BU$2,0))</f>
        <v>#N/A</v>
      </c>
      <c r="V330" s="422" t="e">
        <f t="shared" si="233"/>
        <v>#N/A</v>
      </c>
      <c r="W330" s="422" t="e">
        <f>IF(V330&gt;0,1+COUNTIF(W$314:W329,"&gt;0"),0)</f>
        <v>#N/A</v>
      </c>
      <c r="X330" s="422" t="str">
        <f t="shared" si="234"/>
        <v/>
      </c>
      <c r="Y330" s="422" t="str">
        <f t="shared" si="235"/>
        <v/>
      </c>
      <c r="Z330" s="423">
        <f t="shared" si="218"/>
        <v>0</v>
      </c>
      <c r="AA330" s="421" t="e">
        <f>INDEX(T03_Skills!$AA$3:$BU$41,MATCH('C03_ClassVariables'!$G336,T03_Skills!$Z$3:$Z$41,0),MATCH('C03_ClassVariables'!AF$313,T03_Skills!$AA$2:$BU$2,0))</f>
        <v>#N/A</v>
      </c>
      <c r="AB330" s="422" t="e">
        <f t="shared" si="236"/>
        <v>#N/A</v>
      </c>
      <c r="AC330" s="422" t="e">
        <f>IF(AB330&gt;0,1+COUNTIF(AC$314:AC329,"&gt;0"),0)</f>
        <v>#N/A</v>
      </c>
      <c r="AD330" s="422" t="str">
        <f t="shared" si="237"/>
        <v/>
      </c>
      <c r="AE330" s="422" t="str">
        <f t="shared" si="238"/>
        <v/>
      </c>
      <c r="AF330" s="423">
        <f t="shared" si="219"/>
        <v>0</v>
      </c>
      <c r="AG330" s="421" t="e">
        <f>INDEX(T03_Skills!$AA$3:$BU$41,MATCH('C03_ClassVariables'!$G336,T03_Skills!$Z$3:$Z$41,0),MATCH('C03_ClassVariables'!AL$313,T03_Skills!$AA$2:$BU$2,0))</f>
        <v>#N/A</v>
      </c>
      <c r="AH330" s="422" t="e">
        <f t="shared" si="239"/>
        <v>#N/A</v>
      </c>
      <c r="AI330" s="422" t="e">
        <f>IF(AH330&gt;0,1+COUNTIF(AI$314:AI329,"&gt;0"),0)</f>
        <v>#N/A</v>
      </c>
      <c r="AJ330" s="422" t="str">
        <f t="shared" si="240"/>
        <v/>
      </c>
      <c r="AK330" s="422" t="str">
        <f t="shared" si="241"/>
        <v/>
      </c>
      <c r="AL330" s="423">
        <f t="shared" si="220"/>
        <v>0</v>
      </c>
      <c r="AM330" s="421" t="e">
        <f>INDEX(T03_Skills!$AA$3:$BU$41,MATCH('C03_ClassVariables'!$G336,T03_Skills!$Z$3:$Z$41,0),MATCH('C03_ClassVariables'!AR$313,T03_Skills!$AA$2:$BU$2,0))</f>
        <v>#N/A</v>
      </c>
      <c r="AN330" s="422" t="e">
        <f t="shared" si="242"/>
        <v>#N/A</v>
      </c>
      <c r="AO330" s="422" t="e">
        <f>IF(AN330&gt;0,1+COUNTIF(AO$314:AO329,"&gt;0"),0)</f>
        <v>#N/A</v>
      </c>
      <c r="AP330" s="422" t="str">
        <f t="shared" si="243"/>
        <v/>
      </c>
      <c r="AQ330" s="422" t="str">
        <f t="shared" si="244"/>
        <v/>
      </c>
      <c r="AR330" s="423">
        <f t="shared" si="221"/>
        <v>0</v>
      </c>
      <c r="AS330" s="421" t="e">
        <f>INDEX(T03_Skills!$AA$3:$BU$41,MATCH('C03_ClassVariables'!$G336,T03_Skills!$Z$3:$Z$41,0),MATCH('C03_ClassVariables'!AX$313,T03_Skills!$AA$2:$BU$2,0))</f>
        <v>#N/A</v>
      </c>
      <c r="AT330" s="422" t="e">
        <f t="shared" si="245"/>
        <v>#N/A</v>
      </c>
      <c r="AU330" s="422" t="e">
        <f>IF(AT330&gt;0,1+COUNTIF(AU$314:AU329,"&gt;0"),0)</f>
        <v>#N/A</v>
      </c>
      <c r="AV330" s="422" t="str">
        <f t="shared" si="246"/>
        <v/>
      </c>
      <c r="AW330" s="422" t="str">
        <f t="shared" si="247"/>
        <v/>
      </c>
      <c r="AX330" s="423">
        <f t="shared" si="222"/>
        <v>0</v>
      </c>
      <c r="AY330" s="421" t="e">
        <f>INDEX(T03_Skills!$AA$3:$BU$41,MATCH('C03_ClassVariables'!$G336,T03_Skills!$Z$3:$Z$41,0),MATCH('C03_ClassVariables'!BD$313,T03_Skills!$AA$2:$BU$2,0))</f>
        <v>#N/A</v>
      </c>
      <c r="AZ330" s="422" t="e">
        <f t="shared" si="248"/>
        <v>#N/A</v>
      </c>
      <c r="BA330" s="422" t="e">
        <f>IF(AZ330&gt;0,1+COUNTIF(BA$314:BA329,"&gt;0"),0)</f>
        <v>#N/A</v>
      </c>
      <c r="BB330" s="422" t="str">
        <f t="shared" si="249"/>
        <v/>
      </c>
      <c r="BC330" s="422" t="str">
        <f t="shared" si="250"/>
        <v/>
      </c>
      <c r="BD330" s="423">
        <f t="shared" si="223"/>
        <v>0</v>
      </c>
      <c r="BE330" s="421" t="e">
        <f>INDEX(T03_Skills!$AA$3:$BU$41,MATCH('C03_ClassVariables'!$G336,T03_Skills!$Z$3:$Z$41,0),MATCH('C03_ClassVariables'!BJ$313,T03_Skills!$AA$2:$BU$2,0))</f>
        <v>#N/A</v>
      </c>
      <c r="BF330" s="422" t="e">
        <f t="shared" si="251"/>
        <v>#N/A</v>
      </c>
      <c r="BG330" s="422" t="e">
        <f>IF(BF330&gt;0,1+COUNTIF(BG$314:BG329,"&gt;0"),0)</f>
        <v>#N/A</v>
      </c>
      <c r="BH330" s="422" t="str">
        <f t="shared" si="252"/>
        <v/>
      </c>
      <c r="BI330" s="422" t="str">
        <f t="shared" si="253"/>
        <v/>
      </c>
      <c r="BJ330" s="423">
        <f t="shared" si="224"/>
        <v>0</v>
      </c>
      <c r="BK330" s="421" t="e">
        <f>INDEX(T03_Skills!$AA$3:$BU$41,MATCH('C03_ClassVariables'!$G336,T03_Skills!$Z$3:$Z$41,0),MATCH('C03_ClassVariables'!BP$313,T03_Skills!$AA$2:$BU$2,0))</f>
        <v>#N/A</v>
      </c>
      <c r="BL330" s="422" t="e">
        <f t="shared" si="254"/>
        <v>#N/A</v>
      </c>
      <c r="BM330" s="422" t="e">
        <f>IF(BL330&gt;0,1+COUNTIF(BM$314:BM329,"&gt;0"),0)</f>
        <v>#N/A</v>
      </c>
      <c r="BN330" s="422" t="str">
        <f t="shared" si="255"/>
        <v/>
      </c>
      <c r="BO330" s="422" t="str">
        <f t="shared" si="256"/>
        <v/>
      </c>
      <c r="BP330" s="423">
        <f t="shared" si="225"/>
        <v>0</v>
      </c>
      <c r="BQ330" s="421" t="e">
        <f>INDEX(T03_Skills!$AA$3:$BU$41,MATCH('C03_ClassVariables'!$G336,T03_Skills!$Z$3:$Z$41,0),MATCH('C03_ClassVariables'!BV$313,T03_Skills!$AA$2:$BU$2,0))</f>
        <v>#N/A</v>
      </c>
      <c r="BR330" s="422" t="e">
        <f t="shared" si="257"/>
        <v>#N/A</v>
      </c>
      <c r="BS330" s="422" t="e">
        <f>IF(BR330&gt;0,1+COUNTIF(BS$314:BS329,"&gt;0"),0)</f>
        <v>#N/A</v>
      </c>
      <c r="BT330" s="422" t="str">
        <f t="shared" si="258"/>
        <v/>
      </c>
      <c r="BU330" s="422" t="str">
        <f t="shared" si="259"/>
        <v/>
      </c>
      <c r="BV330" s="423">
        <f t="shared" si="226"/>
        <v>0</v>
      </c>
      <c r="BW330" s="421" t="e">
        <f>INDEX(T03_Skills!$AA$3:$BU$41,MATCH('C03_ClassVariables'!$G336,T03_Skills!$Z$3:$Z$41,0),MATCH('C03_ClassVariables'!CB$313,T03_Skills!$AA$2:$BU$2,0))</f>
        <v>#N/A</v>
      </c>
      <c r="BX330" s="422" t="e">
        <f t="shared" si="260"/>
        <v>#N/A</v>
      </c>
      <c r="BY330" s="422" t="e">
        <f>IF(BX330&gt;0,1+COUNTIF(BY$314:BY329,"&gt;0"),0)</f>
        <v>#N/A</v>
      </c>
      <c r="BZ330" s="422" t="str">
        <f t="shared" si="261"/>
        <v/>
      </c>
      <c r="CA330" s="422" t="str">
        <f t="shared" si="262"/>
        <v/>
      </c>
      <c r="CB330" s="423">
        <f t="shared" si="227"/>
        <v>0</v>
      </c>
      <c r="CC330" s="421" t="e">
        <f>INDEX(T03_Skills!$AA$3:$BU$41,MATCH('C03_ClassVariables'!$G336,T03_Skills!$Z$3:$Z$41,0),MATCH('C03_ClassVariables'!CH$313,T03_Skills!$AA$2:$BU$2,0))</f>
        <v>#N/A</v>
      </c>
      <c r="CD330" s="422" t="e">
        <f t="shared" si="263"/>
        <v>#N/A</v>
      </c>
      <c r="CE330" s="422" t="e">
        <f>IF(CD330&gt;0,1+COUNTIF(CE$314:CE329,"&gt;0"),0)</f>
        <v>#N/A</v>
      </c>
      <c r="CF330" s="422" t="str">
        <f t="shared" si="264"/>
        <v/>
      </c>
      <c r="CG330" s="422" t="str">
        <f t="shared" si="265"/>
        <v/>
      </c>
      <c r="CH330" s="423">
        <f t="shared" si="228"/>
        <v>0</v>
      </c>
      <c r="CI330" s="428"/>
      <c r="CJ330" s="428"/>
      <c r="CK330" s="422"/>
      <c r="CL330" s="422"/>
      <c r="CM330" s="422"/>
      <c r="CN330" s="423"/>
      <c r="CO330" s="421"/>
      <c r="CP330" s="422"/>
      <c r="CQ330" s="422"/>
      <c r="CR330" s="422"/>
      <c r="CS330" s="422"/>
      <c r="CT330" s="423"/>
      <c r="CU330" s="421"/>
      <c r="CV330" s="422"/>
      <c r="CW330" s="422"/>
      <c r="CX330" s="422"/>
      <c r="CY330" s="422"/>
      <c r="CZ330" s="423"/>
      <c r="DA330" s="421"/>
      <c r="DB330" s="422"/>
      <c r="DC330" s="422"/>
      <c r="DD330" s="422"/>
      <c r="DE330" s="422"/>
      <c r="DF330" s="423"/>
      <c r="DG330" s="421"/>
      <c r="DH330" s="422"/>
      <c r="DI330" s="422"/>
      <c r="DJ330" s="422"/>
      <c r="DK330" s="422"/>
      <c r="DL330" s="423"/>
      <c r="DM330" s="421"/>
      <c r="DN330" s="422"/>
      <c r="DO330" s="422"/>
      <c r="DP330" s="422"/>
      <c r="DQ330" s="422"/>
      <c r="DR330" s="423"/>
      <c r="DS330" s="421"/>
      <c r="DT330" s="422"/>
      <c r="DU330" s="422"/>
      <c r="DV330" s="422"/>
      <c r="DW330" s="422"/>
      <c r="DX330" s="423"/>
      <c r="DY330" s="428"/>
      <c r="DZ330" s="138"/>
    </row>
    <row r="331" spans="1:130" ht="16.5" x14ac:dyDescent="0.3">
      <c r="A331" s="132">
        <f>IFERROR(IF(A330+1&lt;MAX(T041_ClassFeatures!$A$2:$A$2033),A330+1,""),"")</f>
        <v>328</v>
      </c>
      <c r="B331" s="131" t="str">
        <f>IFERROR(INDEX(T041_ClassFeatures!$B$2:$B$2033,MATCH('C03_ClassVariables'!A331,T041_ClassFeatures!$A$2:$A$2033,0),1),"")</f>
        <v xml:space="preserve">Illusion Savant </v>
      </c>
      <c r="C331" s="131">
        <f>IF(B331="",0,IF(IFERROR(MATCH(B331,'C01_BaseCalculation'!$W$160:$W$239,0),0)&gt;0,1,0))</f>
        <v>0</v>
      </c>
      <c r="E331" s="428"/>
      <c r="F331" s="428"/>
      <c r="G331" s="4" t="s">
        <v>394</v>
      </c>
      <c r="I331" s="421">
        <f>INDEX(T03_Skills!$AA$3:$BU$41,MATCH('C03_ClassVariables'!$G337,T03_Skills!$Z$3:$Z$41,0),MATCH('C03_ClassVariables'!N$313,T03_Skills!$AA$2:$BU$2,0))</f>
        <v>0</v>
      </c>
      <c r="J331" s="422">
        <f t="shared" si="229"/>
        <v>0</v>
      </c>
      <c r="K331" s="422">
        <f>IF(I331&gt;0,1+COUNTIF(K$314:K330,"&gt;0"),0)</f>
        <v>0</v>
      </c>
      <c r="L331" s="422" t="str">
        <f t="shared" si="230"/>
        <v/>
      </c>
      <c r="M331" s="422" t="str">
        <f t="shared" si="214"/>
        <v/>
      </c>
      <c r="N331" s="423">
        <f t="shared" si="215"/>
        <v>0</v>
      </c>
      <c r="O331" s="421">
        <f>INDEX(T03_Skills!$AA$3:$BU$41,MATCH('C03_ClassVariables'!$G337,T03_Skills!$Z$3:$Z$41,0),MATCH('C03_ClassVariables'!T$313,T03_Skills!$AA$2:$BU$2,0))</f>
        <v>1</v>
      </c>
      <c r="P331" s="422">
        <f t="shared" si="231"/>
        <v>1</v>
      </c>
      <c r="Q331" s="422">
        <f>IF(P331&gt;0,1+COUNTIF(Q$314:Q330,"&gt;0"),0)</f>
        <v>18</v>
      </c>
      <c r="R331" s="422">
        <f t="shared" si="232"/>
        <v>18</v>
      </c>
      <c r="S331" s="422" t="str">
        <f t="shared" si="216"/>
        <v>Disguise kit</v>
      </c>
      <c r="T331" s="423">
        <f t="shared" si="217"/>
        <v>0</v>
      </c>
      <c r="U331" s="421" t="e">
        <f>INDEX(T03_Skills!$AA$3:$BU$41,MATCH('C03_ClassVariables'!$G337,T03_Skills!$Z$3:$Z$41,0),MATCH('C03_ClassVariables'!Z$313,T03_Skills!$AA$2:$BU$2,0))</f>
        <v>#N/A</v>
      </c>
      <c r="V331" s="422" t="e">
        <f t="shared" si="233"/>
        <v>#N/A</v>
      </c>
      <c r="W331" s="422" t="e">
        <f>IF(V331&gt;0,1+COUNTIF(W$314:W330,"&gt;0"),0)</f>
        <v>#N/A</v>
      </c>
      <c r="X331" s="422" t="str">
        <f t="shared" si="234"/>
        <v/>
      </c>
      <c r="Y331" s="422" t="str">
        <f t="shared" si="235"/>
        <v/>
      </c>
      <c r="Z331" s="423">
        <f t="shared" si="218"/>
        <v>0</v>
      </c>
      <c r="AA331" s="421" t="e">
        <f>INDEX(T03_Skills!$AA$3:$BU$41,MATCH('C03_ClassVariables'!$G337,T03_Skills!$Z$3:$Z$41,0),MATCH('C03_ClassVariables'!AF$313,T03_Skills!$AA$2:$BU$2,0))</f>
        <v>#N/A</v>
      </c>
      <c r="AB331" s="422" t="e">
        <f t="shared" si="236"/>
        <v>#N/A</v>
      </c>
      <c r="AC331" s="422" t="e">
        <f>IF(AB331&gt;0,1+COUNTIF(AC$314:AC330,"&gt;0"),0)</f>
        <v>#N/A</v>
      </c>
      <c r="AD331" s="422" t="str">
        <f t="shared" si="237"/>
        <v/>
      </c>
      <c r="AE331" s="422" t="str">
        <f t="shared" si="238"/>
        <v/>
      </c>
      <c r="AF331" s="423">
        <f t="shared" si="219"/>
        <v>0</v>
      </c>
      <c r="AG331" s="421" t="e">
        <f>INDEX(T03_Skills!$AA$3:$BU$41,MATCH('C03_ClassVariables'!$G337,T03_Skills!$Z$3:$Z$41,0),MATCH('C03_ClassVariables'!AL$313,T03_Skills!$AA$2:$BU$2,0))</f>
        <v>#N/A</v>
      </c>
      <c r="AH331" s="422" t="e">
        <f t="shared" si="239"/>
        <v>#N/A</v>
      </c>
      <c r="AI331" s="422" t="e">
        <f>IF(AH331&gt;0,1+COUNTIF(AI$314:AI330,"&gt;0"),0)</f>
        <v>#N/A</v>
      </c>
      <c r="AJ331" s="422" t="str">
        <f t="shared" si="240"/>
        <v/>
      </c>
      <c r="AK331" s="422" t="str">
        <f t="shared" si="241"/>
        <v/>
      </c>
      <c r="AL331" s="423">
        <f t="shared" si="220"/>
        <v>0</v>
      </c>
      <c r="AM331" s="421" t="e">
        <f>INDEX(T03_Skills!$AA$3:$BU$41,MATCH('C03_ClassVariables'!$G337,T03_Skills!$Z$3:$Z$41,0),MATCH('C03_ClassVariables'!AR$313,T03_Skills!$AA$2:$BU$2,0))</f>
        <v>#N/A</v>
      </c>
      <c r="AN331" s="422" t="e">
        <f t="shared" si="242"/>
        <v>#N/A</v>
      </c>
      <c r="AO331" s="422" t="e">
        <f>IF(AN331&gt;0,1+COUNTIF(AO$314:AO330,"&gt;0"),0)</f>
        <v>#N/A</v>
      </c>
      <c r="AP331" s="422" t="str">
        <f t="shared" si="243"/>
        <v/>
      </c>
      <c r="AQ331" s="422" t="str">
        <f t="shared" si="244"/>
        <v/>
      </c>
      <c r="AR331" s="423">
        <f t="shared" si="221"/>
        <v>0</v>
      </c>
      <c r="AS331" s="421" t="e">
        <f>INDEX(T03_Skills!$AA$3:$BU$41,MATCH('C03_ClassVariables'!$G337,T03_Skills!$Z$3:$Z$41,0),MATCH('C03_ClassVariables'!AX$313,T03_Skills!$AA$2:$BU$2,0))</f>
        <v>#N/A</v>
      </c>
      <c r="AT331" s="422" t="e">
        <f t="shared" si="245"/>
        <v>#N/A</v>
      </c>
      <c r="AU331" s="422" t="e">
        <f>IF(AT331&gt;0,1+COUNTIF(AU$314:AU330,"&gt;0"),0)</f>
        <v>#N/A</v>
      </c>
      <c r="AV331" s="422" t="str">
        <f t="shared" si="246"/>
        <v/>
      </c>
      <c r="AW331" s="422" t="str">
        <f t="shared" si="247"/>
        <v/>
      </c>
      <c r="AX331" s="423">
        <f t="shared" si="222"/>
        <v>0</v>
      </c>
      <c r="AY331" s="421" t="e">
        <f>INDEX(T03_Skills!$AA$3:$BU$41,MATCH('C03_ClassVariables'!$G337,T03_Skills!$Z$3:$Z$41,0),MATCH('C03_ClassVariables'!BD$313,T03_Skills!$AA$2:$BU$2,0))</f>
        <v>#N/A</v>
      </c>
      <c r="AZ331" s="422" t="e">
        <f t="shared" si="248"/>
        <v>#N/A</v>
      </c>
      <c r="BA331" s="422" t="e">
        <f>IF(AZ331&gt;0,1+COUNTIF(BA$314:BA330,"&gt;0"),0)</f>
        <v>#N/A</v>
      </c>
      <c r="BB331" s="422" t="str">
        <f t="shared" si="249"/>
        <v/>
      </c>
      <c r="BC331" s="422" t="str">
        <f t="shared" si="250"/>
        <v/>
      </c>
      <c r="BD331" s="423">
        <f t="shared" si="223"/>
        <v>0</v>
      </c>
      <c r="BE331" s="421" t="e">
        <f>INDEX(T03_Skills!$AA$3:$BU$41,MATCH('C03_ClassVariables'!$G337,T03_Skills!$Z$3:$Z$41,0),MATCH('C03_ClassVariables'!BJ$313,T03_Skills!$AA$2:$BU$2,0))</f>
        <v>#N/A</v>
      </c>
      <c r="BF331" s="422" t="e">
        <f t="shared" si="251"/>
        <v>#N/A</v>
      </c>
      <c r="BG331" s="422" t="e">
        <f>IF(BF331&gt;0,1+COUNTIF(BG$314:BG330,"&gt;0"),0)</f>
        <v>#N/A</v>
      </c>
      <c r="BH331" s="422" t="str">
        <f t="shared" si="252"/>
        <v/>
      </c>
      <c r="BI331" s="422" t="str">
        <f t="shared" si="253"/>
        <v/>
      </c>
      <c r="BJ331" s="423">
        <f t="shared" si="224"/>
        <v>0</v>
      </c>
      <c r="BK331" s="421" t="e">
        <f>INDEX(T03_Skills!$AA$3:$BU$41,MATCH('C03_ClassVariables'!$G337,T03_Skills!$Z$3:$Z$41,0),MATCH('C03_ClassVariables'!BP$313,T03_Skills!$AA$2:$BU$2,0))</f>
        <v>#N/A</v>
      </c>
      <c r="BL331" s="422" t="e">
        <f t="shared" si="254"/>
        <v>#N/A</v>
      </c>
      <c r="BM331" s="422" t="e">
        <f>IF(BL331&gt;0,1+COUNTIF(BM$314:BM330,"&gt;0"),0)</f>
        <v>#N/A</v>
      </c>
      <c r="BN331" s="422" t="str">
        <f t="shared" si="255"/>
        <v/>
      </c>
      <c r="BO331" s="422" t="str">
        <f t="shared" si="256"/>
        <v/>
      </c>
      <c r="BP331" s="423">
        <f t="shared" si="225"/>
        <v>0</v>
      </c>
      <c r="BQ331" s="421" t="e">
        <f>INDEX(T03_Skills!$AA$3:$BU$41,MATCH('C03_ClassVariables'!$G337,T03_Skills!$Z$3:$Z$41,0),MATCH('C03_ClassVariables'!BV$313,T03_Skills!$AA$2:$BU$2,0))</f>
        <v>#N/A</v>
      </c>
      <c r="BR331" s="422" t="e">
        <f t="shared" si="257"/>
        <v>#N/A</v>
      </c>
      <c r="BS331" s="422" t="e">
        <f>IF(BR331&gt;0,1+COUNTIF(BS$314:BS330,"&gt;0"),0)</f>
        <v>#N/A</v>
      </c>
      <c r="BT331" s="422" t="str">
        <f t="shared" si="258"/>
        <v/>
      </c>
      <c r="BU331" s="422" t="str">
        <f t="shared" si="259"/>
        <v/>
      </c>
      <c r="BV331" s="423">
        <f t="shared" si="226"/>
        <v>0</v>
      </c>
      <c r="BW331" s="421" t="e">
        <f>INDEX(T03_Skills!$AA$3:$BU$41,MATCH('C03_ClassVariables'!$G337,T03_Skills!$Z$3:$Z$41,0),MATCH('C03_ClassVariables'!CB$313,T03_Skills!$AA$2:$BU$2,0))</f>
        <v>#N/A</v>
      </c>
      <c r="BX331" s="422" t="e">
        <f t="shared" si="260"/>
        <v>#N/A</v>
      </c>
      <c r="BY331" s="422" t="e">
        <f>IF(BX331&gt;0,1+COUNTIF(BY$314:BY330,"&gt;0"),0)</f>
        <v>#N/A</v>
      </c>
      <c r="BZ331" s="422" t="str">
        <f t="shared" si="261"/>
        <v/>
      </c>
      <c r="CA331" s="422" t="str">
        <f t="shared" si="262"/>
        <v/>
      </c>
      <c r="CB331" s="423">
        <f t="shared" si="227"/>
        <v>0</v>
      </c>
      <c r="CC331" s="421" t="e">
        <f>INDEX(T03_Skills!$AA$3:$BU$41,MATCH('C03_ClassVariables'!$G337,T03_Skills!$Z$3:$Z$41,0),MATCH('C03_ClassVariables'!CH$313,T03_Skills!$AA$2:$BU$2,0))</f>
        <v>#N/A</v>
      </c>
      <c r="CD331" s="422" t="e">
        <f t="shared" si="263"/>
        <v>#N/A</v>
      </c>
      <c r="CE331" s="422" t="e">
        <f>IF(CD331&gt;0,1+COUNTIF(CE$314:CE330,"&gt;0"),0)</f>
        <v>#N/A</v>
      </c>
      <c r="CF331" s="422" t="str">
        <f t="shared" si="264"/>
        <v/>
      </c>
      <c r="CG331" s="422" t="str">
        <f t="shared" si="265"/>
        <v/>
      </c>
      <c r="CH331" s="423">
        <f t="shared" si="228"/>
        <v>0</v>
      </c>
      <c r="CI331" s="428"/>
      <c r="CJ331" s="428"/>
      <c r="CK331" s="422"/>
      <c r="CL331" s="422"/>
      <c r="CM331" s="422"/>
      <c r="CN331" s="423"/>
      <c r="CO331" s="421"/>
      <c r="CP331" s="422"/>
      <c r="CQ331" s="422"/>
      <c r="CR331" s="422"/>
      <c r="CS331" s="422"/>
      <c r="CT331" s="423"/>
      <c r="CU331" s="421"/>
      <c r="CV331" s="422"/>
      <c r="CW331" s="422"/>
      <c r="CX331" s="422"/>
      <c r="CY331" s="422"/>
      <c r="CZ331" s="423"/>
      <c r="DA331" s="421"/>
      <c r="DB331" s="422"/>
      <c r="DC331" s="422"/>
      <c r="DD331" s="422"/>
      <c r="DE331" s="422"/>
      <c r="DF331" s="423"/>
      <c r="DG331" s="421"/>
      <c r="DH331" s="422"/>
      <c r="DI331" s="422"/>
      <c r="DJ331" s="422"/>
      <c r="DK331" s="422"/>
      <c r="DL331" s="423"/>
      <c r="DM331" s="421"/>
      <c r="DN331" s="422"/>
      <c r="DO331" s="422"/>
      <c r="DP331" s="422"/>
      <c r="DQ331" s="422"/>
      <c r="DR331" s="423"/>
      <c r="DS331" s="421"/>
      <c r="DT331" s="422"/>
      <c r="DU331" s="422"/>
      <c r="DV331" s="422"/>
      <c r="DW331" s="422"/>
      <c r="DX331" s="423"/>
      <c r="DY331" s="428"/>
      <c r="DZ331" s="138"/>
    </row>
    <row r="332" spans="1:130" ht="16.5" x14ac:dyDescent="0.3">
      <c r="A332" s="132">
        <f>IFERROR(IF(A331+1&lt;MAX(T041_ClassFeatures!$A$2:$A$2033),A331+1,""),"")</f>
        <v>329</v>
      </c>
      <c r="B332" s="131" t="str">
        <f>IFERROR(INDEX(T041_ClassFeatures!$B$2:$B$2033,MATCH('C03_ClassVariables'!A332,T041_ClassFeatures!$A$2:$A$2033,0),1),"")</f>
        <v>Improved Minor Illusion</v>
      </c>
      <c r="C332" s="131">
        <f>IF(B332="",0,IF(IFERROR(MATCH(B332,'C01_BaseCalculation'!$W$160:$W$239,0),0)&gt;0,1,0))</f>
        <v>0</v>
      </c>
      <c r="E332" s="428"/>
      <c r="F332" s="428"/>
      <c r="G332" s="4" t="s">
        <v>413</v>
      </c>
      <c r="I332" s="421">
        <f>INDEX(T03_Skills!$AA$3:$BU$41,MATCH('C03_ClassVariables'!$G338,T03_Skills!$Z$3:$Z$41,0),MATCH('C03_ClassVariables'!N$313,T03_Skills!$AA$2:$BU$2,0))</f>
        <v>0</v>
      </c>
      <c r="J332" s="422">
        <f t="shared" si="229"/>
        <v>0</v>
      </c>
      <c r="K332" s="422">
        <f>IF(I332&gt;0,1+COUNTIF(K$314:K331,"&gt;0"),0)</f>
        <v>0</v>
      </c>
      <c r="L332" s="422" t="str">
        <f t="shared" si="230"/>
        <v/>
      </c>
      <c r="M332" s="422" t="str">
        <f t="shared" si="214"/>
        <v/>
      </c>
      <c r="N332" s="423">
        <f t="shared" si="215"/>
        <v>0</v>
      </c>
      <c r="O332" s="421">
        <f>INDEX(T03_Skills!$AA$3:$BU$41,MATCH('C03_ClassVariables'!$G338,T03_Skills!$Z$3:$Z$41,0),MATCH('C03_ClassVariables'!T$313,T03_Skills!$AA$2:$BU$2,0))</f>
        <v>1</v>
      </c>
      <c r="P332" s="422">
        <f t="shared" si="231"/>
        <v>1</v>
      </c>
      <c r="Q332" s="422">
        <f>IF(P332&gt;0,1+COUNTIF(Q$314:Q331,"&gt;0"),0)</f>
        <v>19</v>
      </c>
      <c r="R332" s="422">
        <f t="shared" si="232"/>
        <v>19</v>
      </c>
      <c r="S332" s="422" t="str">
        <f t="shared" si="216"/>
        <v>Forgery kit</v>
      </c>
      <c r="T332" s="423">
        <f t="shared" si="217"/>
        <v>0</v>
      </c>
      <c r="U332" s="421" t="e">
        <f>INDEX(T03_Skills!$AA$3:$BU$41,MATCH('C03_ClassVariables'!$G338,T03_Skills!$Z$3:$Z$41,0),MATCH('C03_ClassVariables'!Z$313,T03_Skills!$AA$2:$BU$2,0))</f>
        <v>#N/A</v>
      </c>
      <c r="V332" s="422" t="e">
        <f t="shared" si="233"/>
        <v>#N/A</v>
      </c>
      <c r="W332" s="422" t="e">
        <f>IF(V332&gt;0,1+COUNTIF(W$314:W331,"&gt;0"),0)</f>
        <v>#N/A</v>
      </c>
      <c r="X332" s="422" t="str">
        <f t="shared" si="234"/>
        <v/>
      </c>
      <c r="Y332" s="422" t="str">
        <f t="shared" si="235"/>
        <v/>
      </c>
      <c r="Z332" s="423">
        <f t="shared" si="218"/>
        <v>0</v>
      </c>
      <c r="AA332" s="421" t="e">
        <f>INDEX(T03_Skills!$AA$3:$BU$41,MATCH('C03_ClassVariables'!$G338,T03_Skills!$Z$3:$Z$41,0),MATCH('C03_ClassVariables'!AF$313,T03_Skills!$AA$2:$BU$2,0))</f>
        <v>#N/A</v>
      </c>
      <c r="AB332" s="422" t="e">
        <f t="shared" si="236"/>
        <v>#N/A</v>
      </c>
      <c r="AC332" s="422" t="e">
        <f>IF(AB332&gt;0,1+COUNTIF(AC$314:AC331,"&gt;0"),0)</f>
        <v>#N/A</v>
      </c>
      <c r="AD332" s="422" t="str">
        <f t="shared" si="237"/>
        <v/>
      </c>
      <c r="AE332" s="422" t="str">
        <f t="shared" si="238"/>
        <v/>
      </c>
      <c r="AF332" s="423">
        <f t="shared" si="219"/>
        <v>0</v>
      </c>
      <c r="AG332" s="421" t="e">
        <f>INDEX(T03_Skills!$AA$3:$BU$41,MATCH('C03_ClassVariables'!$G338,T03_Skills!$Z$3:$Z$41,0),MATCH('C03_ClassVariables'!AL$313,T03_Skills!$AA$2:$BU$2,0))</f>
        <v>#N/A</v>
      </c>
      <c r="AH332" s="422" t="e">
        <f t="shared" si="239"/>
        <v>#N/A</v>
      </c>
      <c r="AI332" s="422" t="e">
        <f>IF(AH332&gt;0,1+COUNTIF(AI$314:AI331,"&gt;0"),0)</f>
        <v>#N/A</v>
      </c>
      <c r="AJ332" s="422" t="str">
        <f t="shared" si="240"/>
        <v/>
      </c>
      <c r="AK332" s="422" t="str">
        <f t="shared" si="241"/>
        <v/>
      </c>
      <c r="AL332" s="423">
        <f t="shared" si="220"/>
        <v>0</v>
      </c>
      <c r="AM332" s="421" t="e">
        <f>INDEX(T03_Skills!$AA$3:$BU$41,MATCH('C03_ClassVariables'!$G338,T03_Skills!$Z$3:$Z$41,0),MATCH('C03_ClassVariables'!AR$313,T03_Skills!$AA$2:$BU$2,0))</f>
        <v>#N/A</v>
      </c>
      <c r="AN332" s="422" t="e">
        <f t="shared" si="242"/>
        <v>#N/A</v>
      </c>
      <c r="AO332" s="422" t="e">
        <f>IF(AN332&gt;0,1+COUNTIF(AO$314:AO331,"&gt;0"),0)</f>
        <v>#N/A</v>
      </c>
      <c r="AP332" s="422" t="str">
        <f t="shared" si="243"/>
        <v/>
      </c>
      <c r="AQ332" s="422" t="str">
        <f t="shared" si="244"/>
        <v/>
      </c>
      <c r="AR332" s="423">
        <f t="shared" si="221"/>
        <v>0</v>
      </c>
      <c r="AS332" s="421" t="e">
        <f>INDEX(T03_Skills!$AA$3:$BU$41,MATCH('C03_ClassVariables'!$G338,T03_Skills!$Z$3:$Z$41,0),MATCH('C03_ClassVariables'!AX$313,T03_Skills!$AA$2:$BU$2,0))</f>
        <v>#N/A</v>
      </c>
      <c r="AT332" s="422" t="e">
        <f t="shared" si="245"/>
        <v>#N/A</v>
      </c>
      <c r="AU332" s="422" t="e">
        <f>IF(AT332&gt;0,1+COUNTIF(AU$314:AU331,"&gt;0"),0)</f>
        <v>#N/A</v>
      </c>
      <c r="AV332" s="422" t="str">
        <f t="shared" si="246"/>
        <v/>
      </c>
      <c r="AW332" s="422" t="str">
        <f t="shared" si="247"/>
        <v/>
      </c>
      <c r="AX332" s="423">
        <f t="shared" si="222"/>
        <v>0</v>
      </c>
      <c r="AY332" s="421" t="e">
        <f>INDEX(T03_Skills!$AA$3:$BU$41,MATCH('C03_ClassVariables'!$G338,T03_Skills!$Z$3:$Z$41,0),MATCH('C03_ClassVariables'!BD$313,T03_Skills!$AA$2:$BU$2,0))</f>
        <v>#N/A</v>
      </c>
      <c r="AZ332" s="422" t="e">
        <f t="shared" si="248"/>
        <v>#N/A</v>
      </c>
      <c r="BA332" s="422" t="e">
        <f>IF(AZ332&gt;0,1+COUNTIF(BA$314:BA331,"&gt;0"),0)</f>
        <v>#N/A</v>
      </c>
      <c r="BB332" s="422" t="str">
        <f t="shared" si="249"/>
        <v/>
      </c>
      <c r="BC332" s="422" t="str">
        <f t="shared" si="250"/>
        <v/>
      </c>
      <c r="BD332" s="423">
        <f t="shared" si="223"/>
        <v>0</v>
      </c>
      <c r="BE332" s="421" t="e">
        <f>INDEX(T03_Skills!$AA$3:$BU$41,MATCH('C03_ClassVariables'!$G338,T03_Skills!$Z$3:$Z$41,0),MATCH('C03_ClassVariables'!BJ$313,T03_Skills!$AA$2:$BU$2,0))</f>
        <v>#N/A</v>
      </c>
      <c r="BF332" s="422" t="e">
        <f t="shared" si="251"/>
        <v>#N/A</v>
      </c>
      <c r="BG332" s="422" t="e">
        <f>IF(BF332&gt;0,1+COUNTIF(BG$314:BG331,"&gt;0"),0)</f>
        <v>#N/A</v>
      </c>
      <c r="BH332" s="422" t="str">
        <f t="shared" si="252"/>
        <v/>
      </c>
      <c r="BI332" s="422" t="str">
        <f t="shared" si="253"/>
        <v/>
      </c>
      <c r="BJ332" s="423">
        <f t="shared" si="224"/>
        <v>0</v>
      </c>
      <c r="BK332" s="421" t="e">
        <f>INDEX(T03_Skills!$AA$3:$BU$41,MATCH('C03_ClassVariables'!$G338,T03_Skills!$Z$3:$Z$41,0),MATCH('C03_ClassVariables'!BP$313,T03_Skills!$AA$2:$BU$2,0))</f>
        <v>#N/A</v>
      </c>
      <c r="BL332" s="422" t="e">
        <f t="shared" si="254"/>
        <v>#N/A</v>
      </c>
      <c r="BM332" s="422" t="e">
        <f>IF(BL332&gt;0,1+COUNTIF(BM$314:BM331,"&gt;0"),0)</f>
        <v>#N/A</v>
      </c>
      <c r="BN332" s="422" t="str">
        <f t="shared" si="255"/>
        <v/>
      </c>
      <c r="BO332" s="422" t="str">
        <f t="shared" si="256"/>
        <v/>
      </c>
      <c r="BP332" s="423">
        <f t="shared" si="225"/>
        <v>0</v>
      </c>
      <c r="BQ332" s="421" t="e">
        <f>INDEX(T03_Skills!$AA$3:$BU$41,MATCH('C03_ClassVariables'!$G338,T03_Skills!$Z$3:$Z$41,0),MATCH('C03_ClassVariables'!BV$313,T03_Skills!$AA$2:$BU$2,0))</f>
        <v>#N/A</v>
      </c>
      <c r="BR332" s="422" t="e">
        <f t="shared" si="257"/>
        <v>#N/A</v>
      </c>
      <c r="BS332" s="422" t="e">
        <f>IF(BR332&gt;0,1+COUNTIF(BS$314:BS331,"&gt;0"),0)</f>
        <v>#N/A</v>
      </c>
      <c r="BT332" s="422" t="str">
        <f t="shared" si="258"/>
        <v/>
      </c>
      <c r="BU332" s="422" t="str">
        <f t="shared" si="259"/>
        <v/>
      </c>
      <c r="BV332" s="423">
        <f t="shared" si="226"/>
        <v>0</v>
      </c>
      <c r="BW332" s="421" t="e">
        <f>INDEX(T03_Skills!$AA$3:$BU$41,MATCH('C03_ClassVariables'!$G338,T03_Skills!$Z$3:$Z$41,0),MATCH('C03_ClassVariables'!CB$313,T03_Skills!$AA$2:$BU$2,0))</f>
        <v>#N/A</v>
      </c>
      <c r="BX332" s="422" t="e">
        <f t="shared" si="260"/>
        <v>#N/A</v>
      </c>
      <c r="BY332" s="422" t="e">
        <f>IF(BX332&gt;0,1+COUNTIF(BY$314:BY331,"&gt;0"),0)</f>
        <v>#N/A</v>
      </c>
      <c r="BZ332" s="422" t="str">
        <f t="shared" si="261"/>
        <v/>
      </c>
      <c r="CA332" s="422" t="str">
        <f t="shared" si="262"/>
        <v/>
      </c>
      <c r="CB332" s="423">
        <f t="shared" si="227"/>
        <v>0</v>
      </c>
      <c r="CC332" s="421" t="e">
        <f>INDEX(T03_Skills!$AA$3:$BU$41,MATCH('C03_ClassVariables'!$G338,T03_Skills!$Z$3:$Z$41,0),MATCH('C03_ClassVariables'!CH$313,T03_Skills!$AA$2:$BU$2,0))</f>
        <v>#N/A</v>
      </c>
      <c r="CD332" s="422" t="e">
        <f t="shared" si="263"/>
        <v>#N/A</v>
      </c>
      <c r="CE332" s="422" t="e">
        <f>IF(CD332&gt;0,1+COUNTIF(CE$314:CE331,"&gt;0"),0)</f>
        <v>#N/A</v>
      </c>
      <c r="CF332" s="422" t="str">
        <f t="shared" si="264"/>
        <v/>
      </c>
      <c r="CG332" s="422" t="str">
        <f t="shared" si="265"/>
        <v/>
      </c>
      <c r="CH332" s="423">
        <f t="shared" si="228"/>
        <v>0</v>
      </c>
      <c r="CI332" s="428"/>
      <c r="CJ332" s="428"/>
      <c r="CK332" s="422"/>
      <c r="CL332" s="422"/>
      <c r="CM332" s="422"/>
      <c r="CN332" s="423"/>
      <c r="CO332" s="421"/>
      <c r="CP332" s="422"/>
      <c r="CQ332" s="422"/>
      <c r="CR332" s="422"/>
      <c r="CS332" s="422"/>
      <c r="CT332" s="423"/>
      <c r="CU332" s="421"/>
      <c r="CV332" s="422"/>
      <c r="CW332" s="422"/>
      <c r="CX332" s="422"/>
      <c r="CY332" s="422"/>
      <c r="CZ332" s="423"/>
      <c r="DA332" s="421"/>
      <c r="DB332" s="422"/>
      <c r="DC332" s="422"/>
      <c r="DD332" s="422"/>
      <c r="DE332" s="422"/>
      <c r="DF332" s="423"/>
      <c r="DG332" s="421"/>
      <c r="DH332" s="422"/>
      <c r="DI332" s="422"/>
      <c r="DJ332" s="422"/>
      <c r="DK332" s="422"/>
      <c r="DL332" s="423"/>
      <c r="DM332" s="421"/>
      <c r="DN332" s="422"/>
      <c r="DO332" s="422"/>
      <c r="DP332" s="422"/>
      <c r="DQ332" s="422"/>
      <c r="DR332" s="423"/>
      <c r="DS332" s="421"/>
      <c r="DT332" s="422"/>
      <c r="DU332" s="422"/>
      <c r="DV332" s="422"/>
      <c r="DW332" s="422"/>
      <c r="DX332" s="423"/>
      <c r="DY332" s="428"/>
      <c r="DZ332" s="138"/>
    </row>
    <row r="333" spans="1:130" ht="16.5" x14ac:dyDescent="0.3">
      <c r="A333" s="132">
        <f>IFERROR(IF(A332+1&lt;MAX(T041_ClassFeatures!$A$2:$A$2033),A332+1,""),"")</f>
        <v>330</v>
      </c>
      <c r="B333" s="131" t="str">
        <f>IFERROR(INDEX(T041_ClassFeatures!$B$2:$B$2033,MATCH('C03_ClassVariables'!A333,T041_ClassFeatures!$A$2:$A$2033,0),1),"")</f>
        <v>Malleable Illusions</v>
      </c>
      <c r="C333" s="131">
        <f>IF(B333="",0,IF(IFERROR(MATCH(B333,'C01_BaseCalculation'!$W$160:$W$239,0),0)&gt;0,1,0))</f>
        <v>0</v>
      </c>
      <c r="E333" s="428"/>
      <c r="F333" s="428"/>
      <c r="G333" s="4" t="s">
        <v>454</v>
      </c>
      <c r="I333" s="421">
        <f>INDEX(T03_Skills!$AA$3:$BU$41,MATCH('C03_ClassVariables'!$G339,T03_Skills!$Z$3:$Z$41,0),MATCH('C03_ClassVariables'!N$313,T03_Skills!$AA$2:$BU$2,0))</f>
        <v>0</v>
      </c>
      <c r="J333" s="422">
        <f t="shared" si="229"/>
        <v>0</v>
      </c>
      <c r="K333" s="422">
        <f>IF(I333&gt;0,1+COUNTIF(K$314:K332,"&gt;0"),0)</f>
        <v>0</v>
      </c>
      <c r="L333" s="422" t="str">
        <f t="shared" si="230"/>
        <v/>
      </c>
      <c r="M333" s="422" t="str">
        <f t="shared" si="214"/>
        <v/>
      </c>
      <c r="N333" s="423">
        <f t="shared" si="215"/>
        <v>0</v>
      </c>
      <c r="O333" s="421">
        <f>INDEX(T03_Skills!$AA$3:$BU$41,MATCH('C03_ClassVariables'!$G339,T03_Skills!$Z$3:$Z$41,0),MATCH('C03_ClassVariables'!T$313,T03_Skills!$AA$2:$BU$2,0))</f>
        <v>1</v>
      </c>
      <c r="P333" s="422">
        <f t="shared" si="231"/>
        <v>1</v>
      </c>
      <c r="Q333" s="422">
        <f>IF(P333&gt;0,1+COUNTIF(Q$314:Q332,"&gt;0"),0)</f>
        <v>20</v>
      </c>
      <c r="R333" s="422">
        <f t="shared" si="232"/>
        <v>20</v>
      </c>
      <c r="S333" s="422" t="str">
        <f t="shared" si="216"/>
        <v>Dice set</v>
      </c>
      <c r="T333" s="423">
        <f t="shared" si="217"/>
        <v>1</v>
      </c>
      <c r="U333" s="421" t="e">
        <f>INDEX(T03_Skills!$AA$3:$BU$41,MATCH('C03_ClassVariables'!$G339,T03_Skills!$Z$3:$Z$41,0),MATCH('C03_ClassVariables'!Z$313,T03_Skills!$AA$2:$BU$2,0))</f>
        <v>#N/A</v>
      </c>
      <c r="V333" s="422" t="e">
        <f t="shared" si="233"/>
        <v>#N/A</v>
      </c>
      <c r="W333" s="422" t="e">
        <f>IF(V333&gt;0,1+COUNTIF(W$314:W332,"&gt;0"),0)</f>
        <v>#N/A</v>
      </c>
      <c r="X333" s="422" t="str">
        <f t="shared" si="234"/>
        <v/>
      </c>
      <c r="Y333" s="422" t="str">
        <f t="shared" si="235"/>
        <v/>
      </c>
      <c r="Z333" s="423">
        <f t="shared" si="218"/>
        <v>0</v>
      </c>
      <c r="AA333" s="421" t="e">
        <f>INDEX(T03_Skills!$AA$3:$BU$41,MATCH('C03_ClassVariables'!$G339,T03_Skills!$Z$3:$Z$41,0),MATCH('C03_ClassVariables'!AF$313,T03_Skills!$AA$2:$BU$2,0))</f>
        <v>#N/A</v>
      </c>
      <c r="AB333" s="422" t="e">
        <f t="shared" si="236"/>
        <v>#N/A</v>
      </c>
      <c r="AC333" s="422" t="e">
        <f>IF(AB333&gt;0,1+COUNTIF(AC$314:AC332,"&gt;0"),0)</f>
        <v>#N/A</v>
      </c>
      <c r="AD333" s="422" t="str">
        <f t="shared" si="237"/>
        <v/>
      </c>
      <c r="AE333" s="422" t="str">
        <f t="shared" si="238"/>
        <v/>
      </c>
      <c r="AF333" s="423">
        <f t="shared" si="219"/>
        <v>1</v>
      </c>
      <c r="AG333" s="421" t="e">
        <f>INDEX(T03_Skills!$AA$3:$BU$41,MATCH('C03_ClassVariables'!$G339,T03_Skills!$Z$3:$Z$41,0),MATCH('C03_ClassVariables'!AL$313,T03_Skills!$AA$2:$BU$2,0))</f>
        <v>#N/A</v>
      </c>
      <c r="AH333" s="422" t="e">
        <f t="shared" si="239"/>
        <v>#N/A</v>
      </c>
      <c r="AI333" s="422" t="e">
        <f>IF(AH333&gt;0,1+COUNTIF(AI$314:AI332,"&gt;0"),0)</f>
        <v>#N/A</v>
      </c>
      <c r="AJ333" s="422" t="str">
        <f t="shared" si="240"/>
        <v/>
      </c>
      <c r="AK333" s="422" t="str">
        <f t="shared" si="241"/>
        <v/>
      </c>
      <c r="AL333" s="423">
        <f t="shared" si="220"/>
        <v>1</v>
      </c>
      <c r="AM333" s="421" t="e">
        <f>INDEX(T03_Skills!$AA$3:$BU$41,MATCH('C03_ClassVariables'!$G339,T03_Skills!$Z$3:$Z$41,0),MATCH('C03_ClassVariables'!AR$313,T03_Skills!$AA$2:$BU$2,0))</f>
        <v>#N/A</v>
      </c>
      <c r="AN333" s="422" t="e">
        <f t="shared" si="242"/>
        <v>#N/A</v>
      </c>
      <c r="AO333" s="422" t="e">
        <f>IF(AN333&gt;0,1+COUNTIF(AO$314:AO332,"&gt;0"),0)</f>
        <v>#N/A</v>
      </c>
      <c r="AP333" s="422" t="str">
        <f t="shared" si="243"/>
        <v/>
      </c>
      <c r="AQ333" s="422" t="str">
        <f t="shared" si="244"/>
        <v/>
      </c>
      <c r="AR333" s="423">
        <f t="shared" si="221"/>
        <v>1</v>
      </c>
      <c r="AS333" s="421" t="e">
        <f>INDEX(T03_Skills!$AA$3:$BU$41,MATCH('C03_ClassVariables'!$G339,T03_Skills!$Z$3:$Z$41,0),MATCH('C03_ClassVariables'!AX$313,T03_Skills!$AA$2:$BU$2,0))</f>
        <v>#N/A</v>
      </c>
      <c r="AT333" s="422" t="e">
        <f t="shared" si="245"/>
        <v>#N/A</v>
      </c>
      <c r="AU333" s="422" t="e">
        <f>IF(AT333&gt;0,1+COUNTIF(AU$314:AU332,"&gt;0"),0)</f>
        <v>#N/A</v>
      </c>
      <c r="AV333" s="422" t="str">
        <f t="shared" si="246"/>
        <v/>
      </c>
      <c r="AW333" s="422" t="str">
        <f t="shared" si="247"/>
        <v/>
      </c>
      <c r="AX333" s="423">
        <f t="shared" si="222"/>
        <v>1</v>
      </c>
      <c r="AY333" s="421" t="e">
        <f>INDEX(T03_Skills!$AA$3:$BU$41,MATCH('C03_ClassVariables'!$G339,T03_Skills!$Z$3:$Z$41,0),MATCH('C03_ClassVariables'!BD$313,T03_Skills!$AA$2:$BU$2,0))</f>
        <v>#N/A</v>
      </c>
      <c r="AZ333" s="422" t="e">
        <f t="shared" si="248"/>
        <v>#N/A</v>
      </c>
      <c r="BA333" s="422" t="e">
        <f>IF(AZ333&gt;0,1+COUNTIF(BA$314:BA332,"&gt;0"),0)</f>
        <v>#N/A</v>
      </c>
      <c r="BB333" s="422" t="str">
        <f t="shared" si="249"/>
        <v/>
      </c>
      <c r="BC333" s="422" t="str">
        <f t="shared" si="250"/>
        <v/>
      </c>
      <c r="BD333" s="423">
        <f t="shared" si="223"/>
        <v>1</v>
      </c>
      <c r="BE333" s="421" t="e">
        <f>INDEX(T03_Skills!$AA$3:$BU$41,MATCH('C03_ClassVariables'!$G339,T03_Skills!$Z$3:$Z$41,0),MATCH('C03_ClassVariables'!BJ$313,T03_Skills!$AA$2:$BU$2,0))</f>
        <v>#N/A</v>
      </c>
      <c r="BF333" s="422" t="e">
        <f t="shared" si="251"/>
        <v>#N/A</v>
      </c>
      <c r="BG333" s="422" t="e">
        <f>IF(BF333&gt;0,1+COUNTIF(BG$314:BG332,"&gt;0"),0)</f>
        <v>#N/A</v>
      </c>
      <c r="BH333" s="422" t="str">
        <f t="shared" si="252"/>
        <v/>
      </c>
      <c r="BI333" s="422" t="str">
        <f t="shared" si="253"/>
        <v/>
      </c>
      <c r="BJ333" s="423">
        <f t="shared" si="224"/>
        <v>1</v>
      </c>
      <c r="BK333" s="421" t="e">
        <f>INDEX(T03_Skills!$AA$3:$BU$41,MATCH('C03_ClassVariables'!$G339,T03_Skills!$Z$3:$Z$41,0),MATCH('C03_ClassVariables'!BP$313,T03_Skills!$AA$2:$BU$2,0))</f>
        <v>#N/A</v>
      </c>
      <c r="BL333" s="422" t="e">
        <f t="shared" si="254"/>
        <v>#N/A</v>
      </c>
      <c r="BM333" s="422" t="e">
        <f>IF(BL333&gt;0,1+COUNTIF(BM$314:BM332,"&gt;0"),0)</f>
        <v>#N/A</v>
      </c>
      <c r="BN333" s="422" t="str">
        <f t="shared" si="255"/>
        <v/>
      </c>
      <c r="BO333" s="422" t="str">
        <f t="shared" si="256"/>
        <v/>
      </c>
      <c r="BP333" s="423">
        <f t="shared" si="225"/>
        <v>1</v>
      </c>
      <c r="BQ333" s="421" t="e">
        <f>INDEX(T03_Skills!$AA$3:$BU$41,MATCH('C03_ClassVariables'!$G339,T03_Skills!$Z$3:$Z$41,0),MATCH('C03_ClassVariables'!BV$313,T03_Skills!$AA$2:$BU$2,0))</f>
        <v>#N/A</v>
      </c>
      <c r="BR333" s="422" t="e">
        <f t="shared" si="257"/>
        <v>#N/A</v>
      </c>
      <c r="BS333" s="422" t="e">
        <f>IF(BR333&gt;0,1+COUNTIF(BS$314:BS332,"&gt;0"),0)</f>
        <v>#N/A</v>
      </c>
      <c r="BT333" s="422" t="str">
        <f t="shared" si="258"/>
        <v/>
      </c>
      <c r="BU333" s="422" t="str">
        <f t="shared" si="259"/>
        <v/>
      </c>
      <c r="BV333" s="423">
        <f t="shared" si="226"/>
        <v>1</v>
      </c>
      <c r="BW333" s="421" t="e">
        <f>INDEX(T03_Skills!$AA$3:$BU$41,MATCH('C03_ClassVariables'!$G339,T03_Skills!$Z$3:$Z$41,0),MATCH('C03_ClassVariables'!CB$313,T03_Skills!$AA$2:$BU$2,0))</f>
        <v>#N/A</v>
      </c>
      <c r="BX333" s="422" t="e">
        <f t="shared" si="260"/>
        <v>#N/A</v>
      </c>
      <c r="BY333" s="422" t="e">
        <f>IF(BX333&gt;0,1+COUNTIF(BY$314:BY332,"&gt;0"),0)</f>
        <v>#N/A</v>
      </c>
      <c r="BZ333" s="422" t="str">
        <f t="shared" si="261"/>
        <v/>
      </c>
      <c r="CA333" s="422" t="str">
        <f t="shared" si="262"/>
        <v/>
      </c>
      <c r="CB333" s="423">
        <f t="shared" si="227"/>
        <v>1</v>
      </c>
      <c r="CC333" s="421" t="e">
        <f>INDEX(T03_Skills!$AA$3:$BU$41,MATCH('C03_ClassVariables'!$G339,T03_Skills!$Z$3:$Z$41,0),MATCH('C03_ClassVariables'!CH$313,T03_Skills!$AA$2:$BU$2,0))</f>
        <v>#N/A</v>
      </c>
      <c r="CD333" s="422" t="e">
        <f t="shared" si="263"/>
        <v>#N/A</v>
      </c>
      <c r="CE333" s="422" t="e">
        <f>IF(CD333&gt;0,1+COUNTIF(CE$314:CE332,"&gt;0"),0)</f>
        <v>#N/A</v>
      </c>
      <c r="CF333" s="422" t="str">
        <f t="shared" si="264"/>
        <v/>
      </c>
      <c r="CG333" s="422" t="str">
        <f t="shared" si="265"/>
        <v/>
      </c>
      <c r="CH333" s="423">
        <f t="shared" si="228"/>
        <v>1</v>
      </c>
      <c r="CI333" s="428"/>
      <c r="CJ333" s="428"/>
      <c r="CK333" s="422"/>
      <c r="CL333" s="422"/>
      <c r="CM333" s="422"/>
      <c r="CN333" s="423"/>
      <c r="CO333" s="421"/>
      <c r="CP333" s="422"/>
      <c r="CQ333" s="422"/>
      <c r="CR333" s="422"/>
      <c r="CS333" s="422"/>
      <c r="CT333" s="423"/>
      <c r="CU333" s="421"/>
      <c r="CV333" s="422"/>
      <c r="CW333" s="422"/>
      <c r="CX333" s="422"/>
      <c r="CY333" s="422"/>
      <c r="CZ333" s="423"/>
      <c r="DA333" s="421"/>
      <c r="DB333" s="422"/>
      <c r="DC333" s="422"/>
      <c r="DD333" s="422"/>
      <c r="DE333" s="422"/>
      <c r="DF333" s="423"/>
      <c r="DG333" s="421"/>
      <c r="DH333" s="422"/>
      <c r="DI333" s="422"/>
      <c r="DJ333" s="422"/>
      <c r="DK333" s="422"/>
      <c r="DL333" s="423"/>
      <c r="DM333" s="421"/>
      <c r="DN333" s="422"/>
      <c r="DO333" s="422"/>
      <c r="DP333" s="422"/>
      <c r="DQ333" s="422"/>
      <c r="DR333" s="423"/>
      <c r="DS333" s="421"/>
      <c r="DT333" s="422"/>
      <c r="DU333" s="422"/>
      <c r="DV333" s="422"/>
      <c r="DW333" s="422"/>
      <c r="DX333" s="423"/>
      <c r="DY333" s="428"/>
      <c r="DZ333" s="138"/>
    </row>
    <row r="334" spans="1:130" ht="16.5" x14ac:dyDescent="0.3">
      <c r="A334" s="132">
        <f>IFERROR(IF(A333+1&lt;MAX(T041_ClassFeatures!$A$2:$A$2033),A333+1,""),"")</f>
        <v>331</v>
      </c>
      <c r="B334" s="131" t="str">
        <f>IFERROR(INDEX(T041_ClassFeatures!$B$2:$B$2033,MATCH('C03_ClassVariables'!A334,T041_ClassFeatures!$A$2:$A$2033,0),1),"")</f>
        <v>Illusory Self</v>
      </c>
      <c r="C334" s="131">
        <f>IF(B334="",0,IF(IFERROR(MATCH(B334,'C01_BaseCalculation'!$W$160:$W$239,0),0)&gt;0,1,0))</f>
        <v>0</v>
      </c>
      <c r="E334" s="428"/>
      <c r="F334" s="428"/>
      <c r="G334" s="4" t="s">
        <v>475</v>
      </c>
      <c r="I334" s="421">
        <f>INDEX(T03_Skills!$AA$3:$BU$41,MATCH('C03_ClassVariables'!$G340,T03_Skills!$Z$3:$Z$41,0),MATCH('C03_ClassVariables'!N$313,T03_Skills!$AA$2:$BU$2,0))</f>
        <v>0</v>
      </c>
      <c r="J334" s="422">
        <f t="shared" si="229"/>
        <v>0</v>
      </c>
      <c r="K334" s="422">
        <f>IF(I334&gt;0,1+COUNTIF(K$314:K333,"&gt;0"),0)</f>
        <v>0</v>
      </c>
      <c r="L334" s="422" t="str">
        <f t="shared" si="230"/>
        <v/>
      </c>
      <c r="M334" s="422" t="str">
        <f t="shared" si="214"/>
        <v/>
      </c>
      <c r="N334" s="423">
        <f t="shared" si="215"/>
        <v>0</v>
      </c>
      <c r="O334" s="421">
        <f>INDEX(T03_Skills!$AA$3:$BU$41,MATCH('C03_ClassVariables'!$G340,T03_Skills!$Z$3:$Z$41,0),MATCH('C03_ClassVariables'!T$313,T03_Skills!$AA$2:$BU$2,0))</f>
        <v>1</v>
      </c>
      <c r="P334" s="422">
        <f t="shared" si="231"/>
        <v>1</v>
      </c>
      <c r="Q334" s="422">
        <f>IF(P334&gt;0,1+COUNTIF(Q$314:Q333,"&gt;0"),0)</f>
        <v>21</v>
      </c>
      <c r="R334" s="422">
        <f t="shared" si="232"/>
        <v>21</v>
      </c>
      <c r="S334" s="422" t="str">
        <f t="shared" si="216"/>
        <v>Dragonchess set</v>
      </c>
      <c r="T334" s="423">
        <f t="shared" si="217"/>
        <v>0</v>
      </c>
      <c r="U334" s="421" t="e">
        <f>INDEX(T03_Skills!$AA$3:$BU$41,MATCH('C03_ClassVariables'!$G340,T03_Skills!$Z$3:$Z$41,0),MATCH('C03_ClassVariables'!Z$313,T03_Skills!$AA$2:$BU$2,0))</f>
        <v>#N/A</v>
      </c>
      <c r="V334" s="422" t="e">
        <f t="shared" si="233"/>
        <v>#N/A</v>
      </c>
      <c r="W334" s="422" t="e">
        <f>IF(V334&gt;0,1+COUNTIF(W$314:W333,"&gt;0"),0)</f>
        <v>#N/A</v>
      </c>
      <c r="X334" s="422" t="str">
        <f t="shared" si="234"/>
        <v/>
      </c>
      <c r="Y334" s="422" t="str">
        <f t="shared" si="235"/>
        <v/>
      </c>
      <c r="Z334" s="423">
        <f t="shared" si="218"/>
        <v>0</v>
      </c>
      <c r="AA334" s="421" t="e">
        <f>INDEX(T03_Skills!$AA$3:$BU$41,MATCH('C03_ClassVariables'!$G340,T03_Skills!$Z$3:$Z$41,0),MATCH('C03_ClassVariables'!AF$313,T03_Skills!$AA$2:$BU$2,0))</f>
        <v>#N/A</v>
      </c>
      <c r="AB334" s="422" t="e">
        <f t="shared" si="236"/>
        <v>#N/A</v>
      </c>
      <c r="AC334" s="422" t="e">
        <f>IF(AB334&gt;0,1+COUNTIF(AC$314:AC333,"&gt;0"),0)</f>
        <v>#N/A</v>
      </c>
      <c r="AD334" s="422" t="str">
        <f t="shared" si="237"/>
        <v/>
      </c>
      <c r="AE334" s="422" t="str">
        <f t="shared" si="238"/>
        <v/>
      </c>
      <c r="AF334" s="423">
        <f t="shared" si="219"/>
        <v>0</v>
      </c>
      <c r="AG334" s="421" t="e">
        <f>INDEX(T03_Skills!$AA$3:$BU$41,MATCH('C03_ClassVariables'!$G340,T03_Skills!$Z$3:$Z$41,0),MATCH('C03_ClassVariables'!AL$313,T03_Skills!$AA$2:$BU$2,0))</f>
        <v>#N/A</v>
      </c>
      <c r="AH334" s="422" t="e">
        <f t="shared" si="239"/>
        <v>#N/A</v>
      </c>
      <c r="AI334" s="422" t="e">
        <f>IF(AH334&gt;0,1+COUNTIF(AI$314:AI333,"&gt;0"),0)</f>
        <v>#N/A</v>
      </c>
      <c r="AJ334" s="422" t="str">
        <f t="shared" si="240"/>
        <v/>
      </c>
      <c r="AK334" s="422" t="str">
        <f t="shared" si="241"/>
        <v/>
      </c>
      <c r="AL334" s="423">
        <f t="shared" si="220"/>
        <v>0</v>
      </c>
      <c r="AM334" s="421" t="e">
        <f>INDEX(T03_Skills!$AA$3:$BU$41,MATCH('C03_ClassVariables'!$G340,T03_Skills!$Z$3:$Z$41,0),MATCH('C03_ClassVariables'!AR$313,T03_Skills!$AA$2:$BU$2,0))</f>
        <v>#N/A</v>
      </c>
      <c r="AN334" s="422" t="e">
        <f t="shared" si="242"/>
        <v>#N/A</v>
      </c>
      <c r="AO334" s="422" t="e">
        <f>IF(AN334&gt;0,1+COUNTIF(AO$314:AO333,"&gt;0"),0)</f>
        <v>#N/A</v>
      </c>
      <c r="AP334" s="422" t="str">
        <f t="shared" si="243"/>
        <v/>
      </c>
      <c r="AQ334" s="422" t="str">
        <f t="shared" si="244"/>
        <v/>
      </c>
      <c r="AR334" s="423">
        <f t="shared" si="221"/>
        <v>0</v>
      </c>
      <c r="AS334" s="421" t="e">
        <f>INDEX(T03_Skills!$AA$3:$BU$41,MATCH('C03_ClassVariables'!$G340,T03_Skills!$Z$3:$Z$41,0),MATCH('C03_ClassVariables'!AX$313,T03_Skills!$AA$2:$BU$2,0))</f>
        <v>#N/A</v>
      </c>
      <c r="AT334" s="422" t="e">
        <f t="shared" si="245"/>
        <v>#N/A</v>
      </c>
      <c r="AU334" s="422" t="e">
        <f>IF(AT334&gt;0,1+COUNTIF(AU$314:AU333,"&gt;0"),0)</f>
        <v>#N/A</v>
      </c>
      <c r="AV334" s="422" t="str">
        <f t="shared" si="246"/>
        <v/>
      </c>
      <c r="AW334" s="422" t="str">
        <f t="shared" si="247"/>
        <v/>
      </c>
      <c r="AX334" s="423">
        <f t="shared" si="222"/>
        <v>0</v>
      </c>
      <c r="AY334" s="421" t="e">
        <f>INDEX(T03_Skills!$AA$3:$BU$41,MATCH('C03_ClassVariables'!$G340,T03_Skills!$Z$3:$Z$41,0),MATCH('C03_ClassVariables'!BD$313,T03_Skills!$AA$2:$BU$2,0))</f>
        <v>#N/A</v>
      </c>
      <c r="AZ334" s="422" t="e">
        <f t="shared" si="248"/>
        <v>#N/A</v>
      </c>
      <c r="BA334" s="422" t="e">
        <f>IF(AZ334&gt;0,1+COUNTIF(BA$314:BA333,"&gt;0"),0)</f>
        <v>#N/A</v>
      </c>
      <c r="BB334" s="422" t="str">
        <f t="shared" si="249"/>
        <v/>
      </c>
      <c r="BC334" s="422" t="str">
        <f t="shared" si="250"/>
        <v/>
      </c>
      <c r="BD334" s="423">
        <f t="shared" si="223"/>
        <v>0</v>
      </c>
      <c r="BE334" s="421" t="e">
        <f>INDEX(T03_Skills!$AA$3:$BU$41,MATCH('C03_ClassVariables'!$G340,T03_Skills!$Z$3:$Z$41,0),MATCH('C03_ClassVariables'!BJ$313,T03_Skills!$AA$2:$BU$2,0))</f>
        <v>#N/A</v>
      </c>
      <c r="BF334" s="422" t="e">
        <f t="shared" si="251"/>
        <v>#N/A</v>
      </c>
      <c r="BG334" s="422" t="e">
        <f>IF(BF334&gt;0,1+COUNTIF(BG$314:BG333,"&gt;0"),0)</f>
        <v>#N/A</v>
      </c>
      <c r="BH334" s="422" t="str">
        <f t="shared" si="252"/>
        <v/>
      </c>
      <c r="BI334" s="422" t="str">
        <f t="shared" si="253"/>
        <v/>
      </c>
      <c r="BJ334" s="423">
        <f t="shared" si="224"/>
        <v>0</v>
      </c>
      <c r="BK334" s="421" t="e">
        <f>INDEX(T03_Skills!$AA$3:$BU$41,MATCH('C03_ClassVariables'!$G340,T03_Skills!$Z$3:$Z$41,0),MATCH('C03_ClassVariables'!BP$313,T03_Skills!$AA$2:$BU$2,0))</f>
        <v>#N/A</v>
      </c>
      <c r="BL334" s="422" t="e">
        <f t="shared" si="254"/>
        <v>#N/A</v>
      </c>
      <c r="BM334" s="422" t="e">
        <f>IF(BL334&gt;0,1+COUNTIF(BM$314:BM333,"&gt;0"),0)</f>
        <v>#N/A</v>
      </c>
      <c r="BN334" s="422" t="str">
        <f t="shared" si="255"/>
        <v/>
      </c>
      <c r="BO334" s="422" t="str">
        <f t="shared" si="256"/>
        <v/>
      </c>
      <c r="BP334" s="423">
        <f t="shared" si="225"/>
        <v>0</v>
      </c>
      <c r="BQ334" s="421" t="e">
        <f>INDEX(T03_Skills!$AA$3:$BU$41,MATCH('C03_ClassVariables'!$G340,T03_Skills!$Z$3:$Z$41,0),MATCH('C03_ClassVariables'!BV$313,T03_Skills!$AA$2:$BU$2,0))</f>
        <v>#N/A</v>
      </c>
      <c r="BR334" s="422" t="e">
        <f t="shared" si="257"/>
        <v>#N/A</v>
      </c>
      <c r="BS334" s="422" t="e">
        <f>IF(BR334&gt;0,1+COUNTIF(BS$314:BS333,"&gt;0"),0)</f>
        <v>#N/A</v>
      </c>
      <c r="BT334" s="422" t="str">
        <f t="shared" si="258"/>
        <v/>
      </c>
      <c r="BU334" s="422" t="str">
        <f t="shared" si="259"/>
        <v/>
      </c>
      <c r="BV334" s="423">
        <f t="shared" si="226"/>
        <v>0</v>
      </c>
      <c r="BW334" s="421" t="e">
        <f>INDEX(T03_Skills!$AA$3:$BU$41,MATCH('C03_ClassVariables'!$G340,T03_Skills!$Z$3:$Z$41,0),MATCH('C03_ClassVariables'!CB$313,T03_Skills!$AA$2:$BU$2,0))</f>
        <v>#N/A</v>
      </c>
      <c r="BX334" s="422" t="e">
        <f t="shared" si="260"/>
        <v>#N/A</v>
      </c>
      <c r="BY334" s="422" t="e">
        <f>IF(BX334&gt;0,1+COUNTIF(BY$314:BY333,"&gt;0"),0)</f>
        <v>#N/A</v>
      </c>
      <c r="BZ334" s="422" t="str">
        <f t="shared" si="261"/>
        <v/>
      </c>
      <c r="CA334" s="422" t="str">
        <f t="shared" si="262"/>
        <v/>
      </c>
      <c r="CB334" s="423">
        <f t="shared" si="227"/>
        <v>0</v>
      </c>
      <c r="CC334" s="421" t="e">
        <f>INDEX(T03_Skills!$AA$3:$BU$41,MATCH('C03_ClassVariables'!$G340,T03_Skills!$Z$3:$Z$41,0),MATCH('C03_ClassVariables'!CH$313,T03_Skills!$AA$2:$BU$2,0))</f>
        <v>#N/A</v>
      </c>
      <c r="CD334" s="422" t="e">
        <f t="shared" si="263"/>
        <v>#N/A</v>
      </c>
      <c r="CE334" s="422" t="e">
        <f>IF(CD334&gt;0,1+COUNTIF(CE$314:CE333,"&gt;0"),0)</f>
        <v>#N/A</v>
      </c>
      <c r="CF334" s="422" t="str">
        <f t="shared" si="264"/>
        <v/>
      </c>
      <c r="CG334" s="422" t="str">
        <f t="shared" si="265"/>
        <v/>
      </c>
      <c r="CH334" s="423">
        <f t="shared" si="228"/>
        <v>0</v>
      </c>
      <c r="CI334" s="428"/>
      <c r="CJ334" s="428"/>
      <c r="CK334" s="422"/>
      <c r="CL334" s="422"/>
      <c r="CM334" s="422"/>
      <c r="CN334" s="423"/>
      <c r="CO334" s="421"/>
      <c r="CP334" s="422"/>
      <c r="CQ334" s="422"/>
      <c r="CR334" s="422"/>
      <c r="CS334" s="422"/>
      <c r="CT334" s="423"/>
      <c r="CU334" s="421"/>
      <c r="CV334" s="422"/>
      <c r="CW334" s="422"/>
      <c r="CX334" s="422"/>
      <c r="CY334" s="422"/>
      <c r="CZ334" s="423"/>
      <c r="DA334" s="421"/>
      <c r="DB334" s="422"/>
      <c r="DC334" s="422"/>
      <c r="DD334" s="422"/>
      <c r="DE334" s="422"/>
      <c r="DF334" s="423"/>
      <c r="DG334" s="421"/>
      <c r="DH334" s="422"/>
      <c r="DI334" s="422"/>
      <c r="DJ334" s="422"/>
      <c r="DK334" s="422"/>
      <c r="DL334" s="423"/>
      <c r="DM334" s="421"/>
      <c r="DN334" s="422"/>
      <c r="DO334" s="422"/>
      <c r="DP334" s="422"/>
      <c r="DQ334" s="422"/>
      <c r="DR334" s="423"/>
      <c r="DS334" s="421"/>
      <c r="DT334" s="422"/>
      <c r="DU334" s="422"/>
      <c r="DV334" s="422"/>
      <c r="DW334" s="422"/>
      <c r="DX334" s="423"/>
      <c r="DY334" s="428"/>
      <c r="DZ334" s="138"/>
    </row>
    <row r="335" spans="1:130" ht="16.5" x14ac:dyDescent="0.3">
      <c r="A335" s="132">
        <f>IFERROR(IF(A334+1&lt;MAX(T041_ClassFeatures!$A$2:$A$2033),A334+1,""),"")</f>
        <v>332</v>
      </c>
      <c r="B335" s="131" t="str">
        <f>IFERROR(INDEX(T041_ClassFeatures!$B$2:$B$2033,MATCH('C03_ClassVariables'!A335,T041_ClassFeatures!$A$2:$A$2033,0),1),"")</f>
        <v>Illusionary Reality</v>
      </c>
      <c r="C335" s="131">
        <f>IF(B335="",0,IF(IFERROR(MATCH(B335,'C01_BaseCalculation'!$W$160:$W$239,0),0)&gt;0,1,0))</f>
        <v>0</v>
      </c>
      <c r="E335" s="428"/>
      <c r="F335" s="428"/>
      <c r="G335" s="4" t="s">
        <v>495</v>
      </c>
      <c r="I335" s="421">
        <f>INDEX(T03_Skills!$AA$3:$BU$41,MATCH('C03_ClassVariables'!$G341,T03_Skills!$Z$3:$Z$41,0),MATCH('C03_ClassVariables'!N$313,T03_Skills!$AA$2:$BU$2,0))</f>
        <v>0</v>
      </c>
      <c r="J335" s="422">
        <f t="shared" si="229"/>
        <v>0</v>
      </c>
      <c r="K335" s="422">
        <f>IF(I335&gt;0,1+COUNTIF(K$314:K334,"&gt;0"),0)</f>
        <v>0</v>
      </c>
      <c r="L335" s="422" t="str">
        <f t="shared" si="230"/>
        <v/>
      </c>
      <c r="M335" s="422" t="str">
        <f t="shared" si="214"/>
        <v/>
      </c>
      <c r="N335" s="423">
        <f t="shared" si="215"/>
        <v>0</v>
      </c>
      <c r="O335" s="421">
        <f>INDEX(T03_Skills!$AA$3:$BU$41,MATCH('C03_ClassVariables'!$G341,T03_Skills!$Z$3:$Z$41,0),MATCH('C03_ClassVariables'!T$313,T03_Skills!$AA$2:$BU$2,0))</f>
        <v>1</v>
      </c>
      <c r="P335" s="422">
        <f t="shared" si="231"/>
        <v>1</v>
      </c>
      <c r="Q335" s="422">
        <f>IF(P335&gt;0,1+COUNTIF(Q$314:Q334,"&gt;0"),0)</f>
        <v>22</v>
      </c>
      <c r="R335" s="422">
        <f t="shared" si="232"/>
        <v>22</v>
      </c>
      <c r="S335" s="422" t="str">
        <f t="shared" si="216"/>
        <v>Playing card set</v>
      </c>
      <c r="T335" s="423">
        <f t="shared" si="217"/>
        <v>0</v>
      </c>
      <c r="U335" s="421" t="e">
        <f>INDEX(T03_Skills!$AA$3:$BU$41,MATCH('C03_ClassVariables'!$G341,T03_Skills!$Z$3:$Z$41,0),MATCH('C03_ClassVariables'!Z$313,T03_Skills!$AA$2:$BU$2,0))</f>
        <v>#N/A</v>
      </c>
      <c r="V335" s="422" t="e">
        <f t="shared" si="233"/>
        <v>#N/A</v>
      </c>
      <c r="W335" s="422" t="e">
        <f>IF(V335&gt;0,1+COUNTIF(W$314:W334,"&gt;0"),0)</f>
        <v>#N/A</v>
      </c>
      <c r="X335" s="422" t="str">
        <f t="shared" si="234"/>
        <v/>
      </c>
      <c r="Y335" s="422" t="str">
        <f t="shared" si="235"/>
        <v/>
      </c>
      <c r="Z335" s="423">
        <f t="shared" si="218"/>
        <v>0</v>
      </c>
      <c r="AA335" s="421" t="e">
        <f>INDEX(T03_Skills!$AA$3:$BU$41,MATCH('C03_ClassVariables'!$G341,T03_Skills!$Z$3:$Z$41,0),MATCH('C03_ClassVariables'!AF$313,T03_Skills!$AA$2:$BU$2,0))</f>
        <v>#N/A</v>
      </c>
      <c r="AB335" s="422" t="e">
        <f t="shared" si="236"/>
        <v>#N/A</v>
      </c>
      <c r="AC335" s="422" t="e">
        <f>IF(AB335&gt;0,1+COUNTIF(AC$314:AC334,"&gt;0"),0)</f>
        <v>#N/A</v>
      </c>
      <c r="AD335" s="422" t="str">
        <f t="shared" si="237"/>
        <v/>
      </c>
      <c r="AE335" s="422" t="str">
        <f t="shared" si="238"/>
        <v/>
      </c>
      <c r="AF335" s="423">
        <f t="shared" si="219"/>
        <v>0</v>
      </c>
      <c r="AG335" s="421" t="e">
        <f>INDEX(T03_Skills!$AA$3:$BU$41,MATCH('C03_ClassVariables'!$G341,T03_Skills!$Z$3:$Z$41,0),MATCH('C03_ClassVariables'!AL$313,T03_Skills!$AA$2:$BU$2,0))</f>
        <v>#N/A</v>
      </c>
      <c r="AH335" s="422" t="e">
        <f t="shared" si="239"/>
        <v>#N/A</v>
      </c>
      <c r="AI335" s="422" t="e">
        <f>IF(AH335&gt;0,1+COUNTIF(AI$314:AI334,"&gt;0"),0)</f>
        <v>#N/A</v>
      </c>
      <c r="AJ335" s="422" t="str">
        <f t="shared" si="240"/>
        <v/>
      </c>
      <c r="AK335" s="422" t="str">
        <f t="shared" si="241"/>
        <v/>
      </c>
      <c r="AL335" s="423">
        <f t="shared" si="220"/>
        <v>0</v>
      </c>
      <c r="AM335" s="421" t="e">
        <f>INDEX(T03_Skills!$AA$3:$BU$41,MATCH('C03_ClassVariables'!$G341,T03_Skills!$Z$3:$Z$41,0),MATCH('C03_ClassVariables'!AR$313,T03_Skills!$AA$2:$BU$2,0))</f>
        <v>#N/A</v>
      </c>
      <c r="AN335" s="422" t="e">
        <f t="shared" si="242"/>
        <v>#N/A</v>
      </c>
      <c r="AO335" s="422" t="e">
        <f>IF(AN335&gt;0,1+COUNTIF(AO$314:AO334,"&gt;0"),0)</f>
        <v>#N/A</v>
      </c>
      <c r="AP335" s="422" t="str">
        <f t="shared" si="243"/>
        <v/>
      </c>
      <c r="AQ335" s="422" t="str">
        <f t="shared" si="244"/>
        <v/>
      </c>
      <c r="AR335" s="423">
        <f t="shared" si="221"/>
        <v>0</v>
      </c>
      <c r="AS335" s="421" t="e">
        <f>INDEX(T03_Skills!$AA$3:$BU$41,MATCH('C03_ClassVariables'!$G341,T03_Skills!$Z$3:$Z$41,0),MATCH('C03_ClassVariables'!AX$313,T03_Skills!$AA$2:$BU$2,0))</f>
        <v>#N/A</v>
      </c>
      <c r="AT335" s="422" t="e">
        <f t="shared" si="245"/>
        <v>#N/A</v>
      </c>
      <c r="AU335" s="422" t="e">
        <f>IF(AT335&gt;0,1+COUNTIF(AU$314:AU334,"&gt;0"),0)</f>
        <v>#N/A</v>
      </c>
      <c r="AV335" s="422" t="str">
        <f t="shared" si="246"/>
        <v/>
      </c>
      <c r="AW335" s="422" t="str">
        <f t="shared" si="247"/>
        <v/>
      </c>
      <c r="AX335" s="423">
        <f t="shared" si="222"/>
        <v>0</v>
      </c>
      <c r="AY335" s="421" t="e">
        <f>INDEX(T03_Skills!$AA$3:$BU$41,MATCH('C03_ClassVariables'!$G341,T03_Skills!$Z$3:$Z$41,0),MATCH('C03_ClassVariables'!BD$313,T03_Skills!$AA$2:$BU$2,0))</f>
        <v>#N/A</v>
      </c>
      <c r="AZ335" s="422" t="e">
        <f t="shared" si="248"/>
        <v>#N/A</v>
      </c>
      <c r="BA335" s="422" t="e">
        <f>IF(AZ335&gt;0,1+COUNTIF(BA$314:BA334,"&gt;0"),0)</f>
        <v>#N/A</v>
      </c>
      <c r="BB335" s="422" t="str">
        <f t="shared" si="249"/>
        <v/>
      </c>
      <c r="BC335" s="422" t="str">
        <f t="shared" si="250"/>
        <v/>
      </c>
      <c r="BD335" s="423">
        <f t="shared" si="223"/>
        <v>0</v>
      </c>
      <c r="BE335" s="421" t="e">
        <f>INDEX(T03_Skills!$AA$3:$BU$41,MATCH('C03_ClassVariables'!$G341,T03_Skills!$Z$3:$Z$41,0),MATCH('C03_ClassVariables'!BJ$313,T03_Skills!$AA$2:$BU$2,0))</f>
        <v>#N/A</v>
      </c>
      <c r="BF335" s="422" t="e">
        <f t="shared" si="251"/>
        <v>#N/A</v>
      </c>
      <c r="BG335" s="422" t="e">
        <f>IF(BF335&gt;0,1+COUNTIF(BG$314:BG334,"&gt;0"),0)</f>
        <v>#N/A</v>
      </c>
      <c r="BH335" s="422" t="str">
        <f t="shared" si="252"/>
        <v/>
      </c>
      <c r="BI335" s="422" t="str">
        <f t="shared" si="253"/>
        <v/>
      </c>
      <c r="BJ335" s="423">
        <f t="shared" si="224"/>
        <v>0</v>
      </c>
      <c r="BK335" s="421" t="e">
        <f>INDEX(T03_Skills!$AA$3:$BU$41,MATCH('C03_ClassVariables'!$G341,T03_Skills!$Z$3:$Z$41,0),MATCH('C03_ClassVariables'!BP$313,T03_Skills!$AA$2:$BU$2,0))</f>
        <v>#N/A</v>
      </c>
      <c r="BL335" s="422" t="e">
        <f t="shared" si="254"/>
        <v>#N/A</v>
      </c>
      <c r="BM335" s="422" t="e">
        <f>IF(BL335&gt;0,1+COUNTIF(BM$314:BM334,"&gt;0"),0)</f>
        <v>#N/A</v>
      </c>
      <c r="BN335" s="422" t="str">
        <f t="shared" si="255"/>
        <v/>
      </c>
      <c r="BO335" s="422" t="str">
        <f t="shared" si="256"/>
        <v/>
      </c>
      <c r="BP335" s="423">
        <f t="shared" si="225"/>
        <v>0</v>
      </c>
      <c r="BQ335" s="421" t="e">
        <f>INDEX(T03_Skills!$AA$3:$BU$41,MATCH('C03_ClassVariables'!$G341,T03_Skills!$Z$3:$Z$41,0),MATCH('C03_ClassVariables'!BV$313,T03_Skills!$AA$2:$BU$2,0))</f>
        <v>#N/A</v>
      </c>
      <c r="BR335" s="422" t="e">
        <f t="shared" si="257"/>
        <v>#N/A</v>
      </c>
      <c r="BS335" s="422" t="e">
        <f>IF(BR335&gt;0,1+COUNTIF(BS$314:BS334,"&gt;0"),0)</f>
        <v>#N/A</v>
      </c>
      <c r="BT335" s="422" t="str">
        <f t="shared" si="258"/>
        <v/>
      </c>
      <c r="BU335" s="422" t="str">
        <f t="shared" si="259"/>
        <v/>
      </c>
      <c r="BV335" s="423">
        <f t="shared" si="226"/>
        <v>0</v>
      </c>
      <c r="BW335" s="421" t="e">
        <f>INDEX(T03_Skills!$AA$3:$BU$41,MATCH('C03_ClassVariables'!$G341,T03_Skills!$Z$3:$Z$41,0),MATCH('C03_ClassVariables'!CB$313,T03_Skills!$AA$2:$BU$2,0))</f>
        <v>#N/A</v>
      </c>
      <c r="BX335" s="422" t="e">
        <f t="shared" si="260"/>
        <v>#N/A</v>
      </c>
      <c r="BY335" s="422" t="e">
        <f>IF(BX335&gt;0,1+COUNTIF(BY$314:BY334,"&gt;0"),0)</f>
        <v>#N/A</v>
      </c>
      <c r="BZ335" s="422" t="str">
        <f t="shared" si="261"/>
        <v/>
      </c>
      <c r="CA335" s="422" t="str">
        <f t="shared" si="262"/>
        <v/>
      </c>
      <c r="CB335" s="423">
        <f t="shared" si="227"/>
        <v>0</v>
      </c>
      <c r="CC335" s="421" t="e">
        <f>INDEX(T03_Skills!$AA$3:$BU$41,MATCH('C03_ClassVariables'!$G341,T03_Skills!$Z$3:$Z$41,0),MATCH('C03_ClassVariables'!CH$313,T03_Skills!$AA$2:$BU$2,0))</f>
        <v>#N/A</v>
      </c>
      <c r="CD335" s="422" t="e">
        <f t="shared" si="263"/>
        <v>#N/A</v>
      </c>
      <c r="CE335" s="422" t="e">
        <f>IF(CD335&gt;0,1+COUNTIF(CE$314:CE334,"&gt;0"),0)</f>
        <v>#N/A</v>
      </c>
      <c r="CF335" s="422" t="str">
        <f t="shared" si="264"/>
        <v/>
      </c>
      <c r="CG335" s="422" t="str">
        <f t="shared" si="265"/>
        <v/>
      </c>
      <c r="CH335" s="423">
        <f t="shared" si="228"/>
        <v>0</v>
      </c>
      <c r="CI335" s="428"/>
      <c r="CJ335" s="428"/>
      <c r="CK335" s="422"/>
      <c r="CL335" s="422"/>
      <c r="CM335" s="422"/>
      <c r="CN335" s="423"/>
      <c r="CO335" s="421"/>
      <c r="CP335" s="422"/>
      <c r="CQ335" s="422"/>
      <c r="CR335" s="422"/>
      <c r="CS335" s="422"/>
      <c r="CT335" s="423"/>
      <c r="CU335" s="421"/>
      <c r="CV335" s="422"/>
      <c r="CW335" s="422"/>
      <c r="CX335" s="422"/>
      <c r="CY335" s="422"/>
      <c r="CZ335" s="423"/>
      <c r="DA335" s="421"/>
      <c r="DB335" s="422"/>
      <c r="DC335" s="422"/>
      <c r="DD335" s="422"/>
      <c r="DE335" s="422"/>
      <c r="DF335" s="423"/>
      <c r="DG335" s="421"/>
      <c r="DH335" s="422"/>
      <c r="DI335" s="422"/>
      <c r="DJ335" s="422"/>
      <c r="DK335" s="422"/>
      <c r="DL335" s="423"/>
      <c r="DM335" s="421"/>
      <c r="DN335" s="422"/>
      <c r="DO335" s="422"/>
      <c r="DP335" s="422"/>
      <c r="DQ335" s="422"/>
      <c r="DR335" s="423"/>
      <c r="DS335" s="421"/>
      <c r="DT335" s="422"/>
      <c r="DU335" s="422"/>
      <c r="DV335" s="422"/>
      <c r="DW335" s="422"/>
      <c r="DX335" s="423"/>
      <c r="DY335" s="428"/>
      <c r="DZ335" s="138"/>
    </row>
    <row r="336" spans="1:130" ht="16.5" x14ac:dyDescent="0.3">
      <c r="A336" s="132">
        <f>IFERROR(IF(A335+1&lt;MAX(T041_ClassFeatures!$A$2:$A$2033),A335+1,""),"")</f>
        <v>333</v>
      </c>
      <c r="B336" s="131" t="str">
        <f>IFERROR(INDEX(T041_ClassFeatures!$B$2:$B$2033,MATCH('C03_ClassVariables'!A336,T041_ClassFeatures!$A$2:$A$2033,0),1),"")</f>
        <v xml:space="preserve">Necromancy Savant </v>
      </c>
      <c r="C336" s="131">
        <f>IF(B336="",0,IF(IFERROR(MATCH(B336,'C01_BaseCalculation'!$W$160:$W$239,0),0)&gt;0,1,0))</f>
        <v>0</v>
      </c>
      <c r="E336" s="428"/>
      <c r="F336" s="428"/>
      <c r="G336" s="4" t="s">
        <v>497</v>
      </c>
      <c r="I336" s="421">
        <f>INDEX(T03_Skills!$AA$3:$BU$41,MATCH('C03_ClassVariables'!$G342,T03_Skills!$Z$3:$Z$41,0),MATCH('C03_ClassVariables'!N$313,T03_Skills!$AA$2:$BU$2,0))</f>
        <v>0</v>
      </c>
      <c r="J336" s="422">
        <f t="shared" si="229"/>
        <v>0</v>
      </c>
      <c r="K336" s="422">
        <f>IF(I336&gt;0,1+COUNTIF(K$314:K335,"&gt;0"),0)</f>
        <v>0</v>
      </c>
      <c r="L336" s="422" t="str">
        <f t="shared" si="230"/>
        <v/>
      </c>
      <c r="M336" s="422" t="str">
        <f t="shared" si="214"/>
        <v/>
      </c>
      <c r="N336" s="423">
        <f t="shared" si="215"/>
        <v>0</v>
      </c>
      <c r="O336" s="421">
        <f>INDEX(T03_Skills!$AA$3:$BU$41,MATCH('C03_ClassVariables'!$G342,T03_Skills!$Z$3:$Z$41,0),MATCH('C03_ClassVariables'!T$313,T03_Skills!$AA$2:$BU$2,0))</f>
        <v>1</v>
      </c>
      <c r="P336" s="422">
        <f t="shared" si="231"/>
        <v>1</v>
      </c>
      <c r="Q336" s="422">
        <f>IF(P336&gt;0,1+COUNTIF(Q$314:Q335,"&gt;0"),0)</f>
        <v>23</v>
      </c>
      <c r="R336" s="422">
        <f t="shared" si="232"/>
        <v>23</v>
      </c>
      <c r="S336" s="422" t="str">
        <f t="shared" si="216"/>
        <v>Three-Dragon Ante set</v>
      </c>
      <c r="T336" s="423">
        <f t="shared" si="217"/>
        <v>0</v>
      </c>
      <c r="U336" s="421" t="e">
        <f>INDEX(T03_Skills!$AA$3:$BU$41,MATCH('C03_ClassVariables'!$G342,T03_Skills!$Z$3:$Z$41,0),MATCH('C03_ClassVariables'!Z$313,T03_Skills!$AA$2:$BU$2,0))</f>
        <v>#N/A</v>
      </c>
      <c r="V336" s="422" t="e">
        <f t="shared" si="233"/>
        <v>#N/A</v>
      </c>
      <c r="W336" s="422" t="e">
        <f>IF(V336&gt;0,1+COUNTIF(W$314:W335,"&gt;0"),0)</f>
        <v>#N/A</v>
      </c>
      <c r="X336" s="422" t="str">
        <f t="shared" si="234"/>
        <v/>
      </c>
      <c r="Y336" s="422" t="str">
        <f t="shared" si="235"/>
        <v/>
      </c>
      <c r="Z336" s="423">
        <f t="shared" si="218"/>
        <v>0</v>
      </c>
      <c r="AA336" s="421" t="e">
        <f>INDEX(T03_Skills!$AA$3:$BU$41,MATCH('C03_ClassVariables'!$G342,T03_Skills!$Z$3:$Z$41,0),MATCH('C03_ClassVariables'!AF$313,T03_Skills!$AA$2:$BU$2,0))</f>
        <v>#N/A</v>
      </c>
      <c r="AB336" s="422" t="e">
        <f t="shared" si="236"/>
        <v>#N/A</v>
      </c>
      <c r="AC336" s="422" t="e">
        <f>IF(AB336&gt;0,1+COUNTIF(AC$314:AC335,"&gt;0"),0)</f>
        <v>#N/A</v>
      </c>
      <c r="AD336" s="422" t="str">
        <f t="shared" si="237"/>
        <v/>
      </c>
      <c r="AE336" s="422" t="str">
        <f t="shared" si="238"/>
        <v/>
      </c>
      <c r="AF336" s="423">
        <f t="shared" si="219"/>
        <v>0</v>
      </c>
      <c r="AG336" s="421" t="e">
        <f>INDEX(T03_Skills!$AA$3:$BU$41,MATCH('C03_ClassVariables'!$G342,T03_Skills!$Z$3:$Z$41,0),MATCH('C03_ClassVariables'!AL$313,T03_Skills!$AA$2:$BU$2,0))</f>
        <v>#N/A</v>
      </c>
      <c r="AH336" s="422" t="e">
        <f t="shared" si="239"/>
        <v>#N/A</v>
      </c>
      <c r="AI336" s="422" t="e">
        <f>IF(AH336&gt;0,1+COUNTIF(AI$314:AI335,"&gt;0"),0)</f>
        <v>#N/A</v>
      </c>
      <c r="AJ336" s="422" t="str">
        <f t="shared" si="240"/>
        <v/>
      </c>
      <c r="AK336" s="422" t="str">
        <f t="shared" si="241"/>
        <v/>
      </c>
      <c r="AL336" s="423">
        <f t="shared" si="220"/>
        <v>0</v>
      </c>
      <c r="AM336" s="421" t="e">
        <f>INDEX(T03_Skills!$AA$3:$BU$41,MATCH('C03_ClassVariables'!$G342,T03_Skills!$Z$3:$Z$41,0),MATCH('C03_ClassVariables'!AR$313,T03_Skills!$AA$2:$BU$2,0))</f>
        <v>#N/A</v>
      </c>
      <c r="AN336" s="422" t="e">
        <f t="shared" si="242"/>
        <v>#N/A</v>
      </c>
      <c r="AO336" s="422" t="e">
        <f>IF(AN336&gt;0,1+COUNTIF(AO$314:AO335,"&gt;0"),0)</f>
        <v>#N/A</v>
      </c>
      <c r="AP336" s="422" t="str">
        <f t="shared" si="243"/>
        <v/>
      </c>
      <c r="AQ336" s="422" t="str">
        <f t="shared" si="244"/>
        <v/>
      </c>
      <c r="AR336" s="423">
        <f t="shared" si="221"/>
        <v>0</v>
      </c>
      <c r="AS336" s="421" t="e">
        <f>INDEX(T03_Skills!$AA$3:$BU$41,MATCH('C03_ClassVariables'!$G342,T03_Skills!$Z$3:$Z$41,0),MATCH('C03_ClassVariables'!AX$313,T03_Skills!$AA$2:$BU$2,0))</f>
        <v>#N/A</v>
      </c>
      <c r="AT336" s="422" t="e">
        <f t="shared" si="245"/>
        <v>#N/A</v>
      </c>
      <c r="AU336" s="422" t="e">
        <f>IF(AT336&gt;0,1+COUNTIF(AU$314:AU335,"&gt;0"),0)</f>
        <v>#N/A</v>
      </c>
      <c r="AV336" s="422" t="str">
        <f t="shared" si="246"/>
        <v/>
      </c>
      <c r="AW336" s="422" t="str">
        <f t="shared" si="247"/>
        <v/>
      </c>
      <c r="AX336" s="423">
        <f t="shared" si="222"/>
        <v>0</v>
      </c>
      <c r="AY336" s="421" t="e">
        <f>INDEX(T03_Skills!$AA$3:$BU$41,MATCH('C03_ClassVariables'!$G342,T03_Skills!$Z$3:$Z$41,0),MATCH('C03_ClassVariables'!BD$313,T03_Skills!$AA$2:$BU$2,0))</f>
        <v>#N/A</v>
      </c>
      <c r="AZ336" s="422" t="e">
        <f t="shared" si="248"/>
        <v>#N/A</v>
      </c>
      <c r="BA336" s="422" t="e">
        <f>IF(AZ336&gt;0,1+COUNTIF(BA$314:BA335,"&gt;0"),0)</f>
        <v>#N/A</v>
      </c>
      <c r="BB336" s="422" t="str">
        <f t="shared" si="249"/>
        <v/>
      </c>
      <c r="BC336" s="422" t="str">
        <f t="shared" si="250"/>
        <v/>
      </c>
      <c r="BD336" s="423">
        <f t="shared" si="223"/>
        <v>0</v>
      </c>
      <c r="BE336" s="421" t="e">
        <f>INDEX(T03_Skills!$AA$3:$BU$41,MATCH('C03_ClassVariables'!$G342,T03_Skills!$Z$3:$Z$41,0),MATCH('C03_ClassVariables'!BJ$313,T03_Skills!$AA$2:$BU$2,0))</f>
        <v>#N/A</v>
      </c>
      <c r="BF336" s="422" t="e">
        <f t="shared" si="251"/>
        <v>#N/A</v>
      </c>
      <c r="BG336" s="422" t="e">
        <f>IF(BF336&gt;0,1+COUNTIF(BG$314:BG335,"&gt;0"),0)</f>
        <v>#N/A</v>
      </c>
      <c r="BH336" s="422" t="str">
        <f t="shared" si="252"/>
        <v/>
      </c>
      <c r="BI336" s="422" t="str">
        <f t="shared" si="253"/>
        <v/>
      </c>
      <c r="BJ336" s="423">
        <f t="shared" si="224"/>
        <v>0</v>
      </c>
      <c r="BK336" s="421" t="e">
        <f>INDEX(T03_Skills!$AA$3:$BU$41,MATCH('C03_ClassVariables'!$G342,T03_Skills!$Z$3:$Z$41,0),MATCH('C03_ClassVariables'!BP$313,T03_Skills!$AA$2:$BU$2,0))</f>
        <v>#N/A</v>
      </c>
      <c r="BL336" s="422" t="e">
        <f t="shared" si="254"/>
        <v>#N/A</v>
      </c>
      <c r="BM336" s="422" t="e">
        <f>IF(BL336&gt;0,1+COUNTIF(BM$314:BM335,"&gt;0"),0)</f>
        <v>#N/A</v>
      </c>
      <c r="BN336" s="422" t="str">
        <f t="shared" si="255"/>
        <v/>
      </c>
      <c r="BO336" s="422" t="str">
        <f t="shared" si="256"/>
        <v/>
      </c>
      <c r="BP336" s="423">
        <f t="shared" si="225"/>
        <v>0</v>
      </c>
      <c r="BQ336" s="421" t="e">
        <f>INDEX(T03_Skills!$AA$3:$BU$41,MATCH('C03_ClassVariables'!$G342,T03_Skills!$Z$3:$Z$41,0),MATCH('C03_ClassVariables'!BV$313,T03_Skills!$AA$2:$BU$2,0))</f>
        <v>#N/A</v>
      </c>
      <c r="BR336" s="422" t="e">
        <f t="shared" si="257"/>
        <v>#N/A</v>
      </c>
      <c r="BS336" s="422" t="e">
        <f>IF(BR336&gt;0,1+COUNTIF(BS$314:BS335,"&gt;0"),0)</f>
        <v>#N/A</v>
      </c>
      <c r="BT336" s="422" t="str">
        <f t="shared" si="258"/>
        <v/>
      </c>
      <c r="BU336" s="422" t="str">
        <f t="shared" si="259"/>
        <v/>
      </c>
      <c r="BV336" s="423">
        <f t="shared" si="226"/>
        <v>0</v>
      </c>
      <c r="BW336" s="421" t="e">
        <f>INDEX(T03_Skills!$AA$3:$BU$41,MATCH('C03_ClassVariables'!$G342,T03_Skills!$Z$3:$Z$41,0),MATCH('C03_ClassVariables'!CB$313,T03_Skills!$AA$2:$BU$2,0))</f>
        <v>#N/A</v>
      </c>
      <c r="BX336" s="422" t="e">
        <f t="shared" si="260"/>
        <v>#N/A</v>
      </c>
      <c r="BY336" s="422" t="e">
        <f>IF(BX336&gt;0,1+COUNTIF(BY$314:BY335,"&gt;0"),0)</f>
        <v>#N/A</v>
      </c>
      <c r="BZ336" s="422" t="str">
        <f t="shared" si="261"/>
        <v/>
      </c>
      <c r="CA336" s="422" t="str">
        <f t="shared" si="262"/>
        <v/>
      </c>
      <c r="CB336" s="423">
        <f t="shared" si="227"/>
        <v>0</v>
      </c>
      <c r="CC336" s="421" t="e">
        <f>INDEX(T03_Skills!$AA$3:$BU$41,MATCH('C03_ClassVariables'!$G342,T03_Skills!$Z$3:$Z$41,0),MATCH('C03_ClassVariables'!CH$313,T03_Skills!$AA$2:$BU$2,0))</f>
        <v>#N/A</v>
      </c>
      <c r="CD336" s="422" t="e">
        <f t="shared" si="263"/>
        <v>#N/A</v>
      </c>
      <c r="CE336" s="422" t="e">
        <f>IF(CD336&gt;0,1+COUNTIF(CE$314:CE335,"&gt;0"),0)</f>
        <v>#N/A</v>
      </c>
      <c r="CF336" s="422" t="str">
        <f t="shared" si="264"/>
        <v/>
      </c>
      <c r="CG336" s="422" t="str">
        <f t="shared" si="265"/>
        <v/>
      </c>
      <c r="CH336" s="423">
        <f t="shared" si="228"/>
        <v>0</v>
      </c>
      <c r="CI336" s="428"/>
      <c r="CJ336" s="428"/>
      <c r="CK336" s="422"/>
      <c r="CL336" s="422"/>
      <c r="CM336" s="422"/>
      <c r="CN336" s="423"/>
      <c r="CO336" s="421"/>
      <c r="CP336" s="422"/>
      <c r="CQ336" s="422"/>
      <c r="CR336" s="422"/>
      <c r="CS336" s="422"/>
      <c r="CT336" s="423"/>
      <c r="CU336" s="421"/>
      <c r="CV336" s="422"/>
      <c r="CW336" s="422"/>
      <c r="CX336" s="422"/>
      <c r="CY336" s="422"/>
      <c r="CZ336" s="423"/>
      <c r="DA336" s="421"/>
      <c r="DB336" s="422"/>
      <c r="DC336" s="422"/>
      <c r="DD336" s="422"/>
      <c r="DE336" s="422"/>
      <c r="DF336" s="423"/>
      <c r="DG336" s="421"/>
      <c r="DH336" s="422"/>
      <c r="DI336" s="422"/>
      <c r="DJ336" s="422"/>
      <c r="DK336" s="422"/>
      <c r="DL336" s="423"/>
      <c r="DM336" s="421"/>
      <c r="DN336" s="422"/>
      <c r="DO336" s="422"/>
      <c r="DP336" s="422"/>
      <c r="DQ336" s="422"/>
      <c r="DR336" s="423"/>
      <c r="DS336" s="421"/>
      <c r="DT336" s="422"/>
      <c r="DU336" s="422"/>
      <c r="DV336" s="422"/>
      <c r="DW336" s="422"/>
      <c r="DX336" s="423"/>
      <c r="DY336" s="428"/>
      <c r="DZ336" s="138"/>
    </row>
    <row r="337" spans="1:130" ht="16.5" x14ac:dyDescent="0.3">
      <c r="A337" s="132">
        <f>IFERROR(IF(A336+1&lt;MAX(T041_ClassFeatures!$A$2:$A$2033),A336+1,""),"")</f>
        <v>334</v>
      </c>
      <c r="B337" s="131" t="str">
        <f>IFERROR(INDEX(T041_ClassFeatures!$B$2:$B$2033,MATCH('C03_ClassVariables'!A337,T041_ClassFeatures!$A$2:$A$2033,0),1),"")</f>
        <v>Grim Harvest</v>
      </c>
      <c r="C337" s="131">
        <f>IF(B337="",0,IF(IFERROR(MATCH(B337,'C01_BaseCalculation'!$W$160:$W$239,0),0)&gt;0,1,0))</f>
        <v>0</v>
      </c>
      <c r="E337" s="428"/>
      <c r="F337" s="428"/>
      <c r="G337" s="4" t="s">
        <v>287</v>
      </c>
      <c r="I337" s="421">
        <f>INDEX(T03_Skills!$AA$3:$BU$41,MATCH('C03_ClassVariables'!$G343,T03_Skills!$Z$3:$Z$41,0),MATCH('C03_ClassVariables'!N$313,T03_Skills!$AA$2:$BU$2,0))</f>
        <v>0</v>
      </c>
      <c r="J337" s="422">
        <f t="shared" si="229"/>
        <v>0</v>
      </c>
      <c r="K337" s="422">
        <f>IF(I337&gt;0,1+COUNTIF(K$314:K336,"&gt;0"),0)</f>
        <v>0</v>
      </c>
      <c r="L337" s="422" t="str">
        <f t="shared" si="230"/>
        <v/>
      </c>
      <c r="M337" s="422" t="str">
        <f t="shared" si="214"/>
        <v/>
      </c>
      <c r="N337" s="423">
        <f t="shared" si="215"/>
        <v>0</v>
      </c>
      <c r="O337" s="421">
        <f>INDEX(T03_Skills!$AA$3:$BU$41,MATCH('C03_ClassVariables'!$G343,T03_Skills!$Z$3:$Z$41,0),MATCH('C03_ClassVariables'!T$313,T03_Skills!$AA$2:$BU$2,0))</f>
        <v>1</v>
      </c>
      <c r="P337" s="422">
        <f t="shared" si="231"/>
        <v>1</v>
      </c>
      <c r="Q337" s="422">
        <f>IF(P337&gt;0,1+COUNTIF(Q$314:Q336,"&gt;0"),0)</f>
        <v>24</v>
      </c>
      <c r="R337" s="422">
        <f t="shared" si="232"/>
        <v>24</v>
      </c>
      <c r="S337" s="422" t="str">
        <f t="shared" si="216"/>
        <v>Herbalism kit</v>
      </c>
      <c r="T337" s="423">
        <f t="shared" si="217"/>
        <v>0</v>
      </c>
      <c r="U337" s="421" t="e">
        <f>INDEX(T03_Skills!$AA$3:$BU$41,MATCH('C03_ClassVariables'!$G343,T03_Skills!$Z$3:$Z$41,0),MATCH('C03_ClassVariables'!Z$313,T03_Skills!$AA$2:$BU$2,0))</f>
        <v>#N/A</v>
      </c>
      <c r="V337" s="422" t="e">
        <f t="shared" si="233"/>
        <v>#N/A</v>
      </c>
      <c r="W337" s="422" t="e">
        <f>IF(V337&gt;0,1+COUNTIF(W$314:W336,"&gt;0"),0)</f>
        <v>#N/A</v>
      </c>
      <c r="X337" s="422" t="str">
        <f t="shared" si="234"/>
        <v/>
      </c>
      <c r="Y337" s="422" t="str">
        <f t="shared" si="235"/>
        <v/>
      </c>
      <c r="Z337" s="423">
        <f t="shared" si="218"/>
        <v>0</v>
      </c>
      <c r="AA337" s="421" t="e">
        <f>INDEX(T03_Skills!$AA$3:$BU$41,MATCH('C03_ClassVariables'!$G343,T03_Skills!$Z$3:$Z$41,0),MATCH('C03_ClassVariables'!AF$313,T03_Skills!$AA$2:$BU$2,0))</f>
        <v>#N/A</v>
      </c>
      <c r="AB337" s="422" t="e">
        <f t="shared" si="236"/>
        <v>#N/A</v>
      </c>
      <c r="AC337" s="422" t="e">
        <f>IF(AB337&gt;0,1+COUNTIF(AC$314:AC336,"&gt;0"),0)</f>
        <v>#N/A</v>
      </c>
      <c r="AD337" s="422" t="str">
        <f t="shared" si="237"/>
        <v/>
      </c>
      <c r="AE337" s="422" t="str">
        <f t="shared" si="238"/>
        <v/>
      </c>
      <c r="AF337" s="423">
        <f t="shared" si="219"/>
        <v>0</v>
      </c>
      <c r="AG337" s="421" t="e">
        <f>INDEX(T03_Skills!$AA$3:$BU$41,MATCH('C03_ClassVariables'!$G343,T03_Skills!$Z$3:$Z$41,0),MATCH('C03_ClassVariables'!AL$313,T03_Skills!$AA$2:$BU$2,0))</f>
        <v>#N/A</v>
      </c>
      <c r="AH337" s="422" t="e">
        <f t="shared" si="239"/>
        <v>#N/A</v>
      </c>
      <c r="AI337" s="422" t="e">
        <f>IF(AH337&gt;0,1+COUNTIF(AI$314:AI336,"&gt;0"),0)</f>
        <v>#N/A</v>
      </c>
      <c r="AJ337" s="422" t="str">
        <f t="shared" si="240"/>
        <v/>
      </c>
      <c r="AK337" s="422" t="str">
        <f t="shared" si="241"/>
        <v/>
      </c>
      <c r="AL337" s="423">
        <f t="shared" si="220"/>
        <v>0</v>
      </c>
      <c r="AM337" s="421" t="e">
        <f>INDEX(T03_Skills!$AA$3:$BU$41,MATCH('C03_ClassVariables'!$G343,T03_Skills!$Z$3:$Z$41,0),MATCH('C03_ClassVariables'!AR$313,T03_Skills!$AA$2:$BU$2,0))</f>
        <v>#N/A</v>
      </c>
      <c r="AN337" s="422" t="e">
        <f t="shared" si="242"/>
        <v>#N/A</v>
      </c>
      <c r="AO337" s="422" t="e">
        <f>IF(AN337&gt;0,1+COUNTIF(AO$314:AO336,"&gt;0"),0)</f>
        <v>#N/A</v>
      </c>
      <c r="AP337" s="422" t="str">
        <f t="shared" si="243"/>
        <v/>
      </c>
      <c r="AQ337" s="422" t="str">
        <f t="shared" si="244"/>
        <v/>
      </c>
      <c r="AR337" s="423">
        <f t="shared" si="221"/>
        <v>0</v>
      </c>
      <c r="AS337" s="421" t="e">
        <f>INDEX(T03_Skills!$AA$3:$BU$41,MATCH('C03_ClassVariables'!$G343,T03_Skills!$Z$3:$Z$41,0),MATCH('C03_ClassVariables'!AX$313,T03_Skills!$AA$2:$BU$2,0))</f>
        <v>#N/A</v>
      </c>
      <c r="AT337" s="422" t="e">
        <f t="shared" si="245"/>
        <v>#N/A</v>
      </c>
      <c r="AU337" s="422" t="e">
        <f>IF(AT337&gt;0,1+COUNTIF(AU$314:AU336,"&gt;0"),0)</f>
        <v>#N/A</v>
      </c>
      <c r="AV337" s="422" t="str">
        <f t="shared" si="246"/>
        <v/>
      </c>
      <c r="AW337" s="422" t="str">
        <f t="shared" si="247"/>
        <v/>
      </c>
      <c r="AX337" s="423">
        <f t="shared" si="222"/>
        <v>0</v>
      </c>
      <c r="AY337" s="421" t="e">
        <f>INDEX(T03_Skills!$AA$3:$BU$41,MATCH('C03_ClassVariables'!$G343,T03_Skills!$Z$3:$Z$41,0),MATCH('C03_ClassVariables'!BD$313,T03_Skills!$AA$2:$BU$2,0))</f>
        <v>#N/A</v>
      </c>
      <c r="AZ337" s="422" t="e">
        <f t="shared" si="248"/>
        <v>#N/A</v>
      </c>
      <c r="BA337" s="422" t="e">
        <f>IF(AZ337&gt;0,1+COUNTIF(BA$314:BA336,"&gt;0"),0)</f>
        <v>#N/A</v>
      </c>
      <c r="BB337" s="422" t="str">
        <f t="shared" si="249"/>
        <v/>
      </c>
      <c r="BC337" s="422" t="str">
        <f t="shared" si="250"/>
        <v/>
      </c>
      <c r="BD337" s="423">
        <f t="shared" si="223"/>
        <v>0</v>
      </c>
      <c r="BE337" s="421" t="e">
        <f>INDEX(T03_Skills!$AA$3:$BU$41,MATCH('C03_ClassVariables'!$G343,T03_Skills!$Z$3:$Z$41,0),MATCH('C03_ClassVariables'!BJ$313,T03_Skills!$AA$2:$BU$2,0))</f>
        <v>#N/A</v>
      </c>
      <c r="BF337" s="422" t="e">
        <f t="shared" si="251"/>
        <v>#N/A</v>
      </c>
      <c r="BG337" s="422" t="e">
        <f>IF(BF337&gt;0,1+COUNTIF(BG$314:BG336,"&gt;0"),0)</f>
        <v>#N/A</v>
      </c>
      <c r="BH337" s="422" t="str">
        <f t="shared" si="252"/>
        <v/>
      </c>
      <c r="BI337" s="422" t="str">
        <f t="shared" si="253"/>
        <v/>
      </c>
      <c r="BJ337" s="423">
        <f t="shared" si="224"/>
        <v>0</v>
      </c>
      <c r="BK337" s="421" t="e">
        <f>INDEX(T03_Skills!$AA$3:$BU$41,MATCH('C03_ClassVariables'!$G343,T03_Skills!$Z$3:$Z$41,0),MATCH('C03_ClassVariables'!BP$313,T03_Skills!$AA$2:$BU$2,0))</f>
        <v>#N/A</v>
      </c>
      <c r="BL337" s="422" t="e">
        <f t="shared" si="254"/>
        <v>#N/A</v>
      </c>
      <c r="BM337" s="422" t="e">
        <f>IF(BL337&gt;0,1+COUNTIF(BM$314:BM336,"&gt;0"),0)</f>
        <v>#N/A</v>
      </c>
      <c r="BN337" s="422" t="str">
        <f t="shared" si="255"/>
        <v/>
      </c>
      <c r="BO337" s="422" t="str">
        <f t="shared" si="256"/>
        <v/>
      </c>
      <c r="BP337" s="423">
        <f t="shared" si="225"/>
        <v>0</v>
      </c>
      <c r="BQ337" s="421" t="e">
        <f>INDEX(T03_Skills!$AA$3:$BU$41,MATCH('C03_ClassVariables'!$G343,T03_Skills!$Z$3:$Z$41,0),MATCH('C03_ClassVariables'!BV$313,T03_Skills!$AA$2:$BU$2,0))</f>
        <v>#N/A</v>
      </c>
      <c r="BR337" s="422" t="e">
        <f t="shared" si="257"/>
        <v>#N/A</v>
      </c>
      <c r="BS337" s="422" t="e">
        <f>IF(BR337&gt;0,1+COUNTIF(BS$314:BS336,"&gt;0"),0)</f>
        <v>#N/A</v>
      </c>
      <c r="BT337" s="422" t="str">
        <f t="shared" si="258"/>
        <v/>
      </c>
      <c r="BU337" s="422" t="str">
        <f t="shared" si="259"/>
        <v/>
      </c>
      <c r="BV337" s="423">
        <f t="shared" si="226"/>
        <v>0</v>
      </c>
      <c r="BW337" s="421" t="e">
        <f>INDEX(T03_Skills!$AA$3:$BU$41,MATCH('C03_ClassVariables'!$G343,T03_Skills!$Z$3:$Z$41,0),MATCH('C03_ClassVariables'!CB$313,T03_Skills!$AA$2:$BU$2,0))</f>
        <v>#N/A</v>
      </c>
      <c r="BX337" s="422" t="e">
        <f t="shared" si="260"/>
        <v>#N/A</v>
      </c>
      <c r="BY337" s="422" t="e">
        <f>IF(BX337&gt;0,1+COUNTIF(BY$314:BY336,"&gt;0"),0)</f>
        <v>#N/A</v>
      </c>
      <c r="BZ337" s="422" t="str">
        <f t="shared" si="261"/>
        <v/>
      </c>
      <c r="CA337" s="422" t="str">
        <f t="shared" si="262"/>
        <v/>
      </c>
      <c r="CB337" s="423">
        <f t="shared" si="227"/>
        <v>0</v>
      </c>
      <c r="CC337" s="421" t="e">
        <f>INDEX(T03_Skills!$AA$3:$BU$41,MATCH('C03_ClassVariables'!$G343,T03_Skills!$Z$3:$Z$41,0),MATCH('C03_ClassVariables'!CH$313,T03_Skills!$AA$2:$BU$2,0))</f>
        <v>#N/A</v>
      </c>
      <c r="CD337" s="422" t="e">
        <f t="shared" si="263"/>
        <v>#N/A</v>
      </c>
      <c r="CE337" s="422" t="e">
        <f>IF(CD337&gt;0,1+COUNTIF(CE$314:CE336,"&gt;0"),0)</f>
        <v>#N/A</v>
      </c>
      <c r="CF337" s="422" t="str">
        <f t="shared" si="264"/>
        <v/>
      </c>
      <c r="CG337" s="422" t="str">
        <f t="shared" si="265"/>
        <v/>
      </c>
      <c r="CH337" s="423">
        <f t="shared" si="228"/>
        <v>0</v>
      </c>
      <c r="CI337" s="428"/>
      <c r="CJ337" s="428"/>
      <c r="CK337" s="422"/>
      <c r="CL337" s="422"/>
      <c r="CM337" s="422"/>
      <c r="CN337" s="423"/>
      <c r="CO337" s="421"/>
      <c r="CP337" s="422"/>
      <c r="CQ337" s="422"/>
      <c r="CR337" s="422"/>
      <c r="CS337" s="422"/>
      <c r="CT337" s="423"/>
      <c r="CU337" s="421"/>
      <c r="CV337" s="422"/>
      <c r="CW337" s="422"/>
      <c r="CX337" s="422"/>
      <c r="CY337" s="422"/>
      <c r="CZ337" s="423"/>
      <c r="DA337" s="421"/>
      <c r="DB337" s="422"/>
      <c r="DC337" s="422"/>
      <c r="DD337" s="422"/>
      <c r="DE337" s="422"/>
      <c r="DF337" s="423"/>
      <c r="DG337" s="421"/>
      <c r="DH337" s="422"/>
      <c r="DI337" s="422"/>
      <c r="DJ337" s="422"/>
      <c r="DK337" s="422"/>
      <c r="DL337" s="423"/>
      <c r="DM337" s="421"/>
      <c r="DN337" s="422"/>
      <c r="DO337" s="422"/>
      <c r="DP337" s="422"/>
      <c r="DQ337" s="422"/>
      <c r="DR337" s="423"/>
      <c r="DS337" s="421"/>
      <c r="DT337" s="422"/>
      <c r="DU337" s="422"/>
      <c r="DV337" s="422"/>
      <c r="DW337" s="422"/>
      <c r="DX337" s="423"/>
      <c r="DY337" s="428"/>
      <c r="DZ337" s="138"/>
    </row>
    <row r="338" spans="1:130" ht="16.5" x14ac:dyDescent="0.3">
      <c r="A338" s="132">
        <f>IFERROR(IF(A337+1&lt;MAX(T041_ClassFeatures!$A$2:$A$2033),A337+1,""),"")</f>
        <v>335</v>
      </c>
      <c r="B338" s="131" t="str">
        <f>IFERROR(INDEX(T041_ClassFeatures!$B$2:$B$2033,MATCH('C03_ClassVariables'!A338,T041_ClassFeatures!$A$2:$A$2033,0),1),"")</f>
        <v>Undead Thralls</v>
      </c>
      <c r="C338" s="131">
        <f>IF(B338="",0,IF(IFERROR(MATCH(B338,'C01_BaseCalculation'!$W$160:$W$239,0),0)&gt;0,1,0))</f>
        <v>0</v>
      </c>
      <c r="E338" s="428"/>
      <c r="F338" s="428"/>
      <c r="G338" s="4" t="s">
        <v>317</v>
      </c>
      <c r="I338" s="421">
        <f>INDEX(T03_Skills!$AA$3:$BU$41,MATCH('C03_ClassVariables'!$G344,T03_Skills!$Z$3:$Z$41,0),MATCH('C03_ClassVariables'!N$313,T03_Skills!$AA$2:$BU$2,0))</f>
        <v>0</v>
      </c>
      <c r="J338" s="422">
        <f t="shared" si="229"/>
        <v>0</v>
      </c>
      <c r="K338" s="422">
        <f>IF(I338&gt;0,1+COUNTIF(K$314:K337,"&gt;0"),0)</f>
        <v>0</v>
      </c>
      <c r="L338" s="422" t="str">
        <f t="shared" si="230"/>
        <v/>
      </c>
      <c r="M338" s="422" t="str">
        <f t="shared" si="214"/>
        <v/>
      </c>
      <c r="N338" s="423">
        <f t="shared" si="215"/>
        <v>0</v>
      </c>
      <c r="O338" s="421">
        <f>INDEX(T03_Skills!$AA$3:$BU$41,MATCH('C03_ClassVariables'!$G344,T03_Skills!$Z$3:$Z$41,0),MATCH('C03_ClassVariables'!T$313,T03_Skills!$AA$2:$BU$2,0))</f>
        <v>1</v>
      </c>
      <c r="P338" s="422">
        <f t="shared" si="231"/>
        <v>1</v>
      </c>
      <c r="Q338" s="422">
        <f>IF(P338&gt;0,1+COUNTIF(Q$314:Q337,"&gt;0"),0)</f>
        <v>25</v>
      </c>
      <c r="R338" s="422">
        <f t="shared" si="232"/>
        <v>25</v>
      </c>
      <c r="S338" s="422" t="str">
        <f t="shared" si="216"/>
        <v>Bagpipes</v>
      </c>
      <c r="T338" s="423">
        <f t="shared" si="217"/>
        <v>0</v>
      </c>
      <c r="U338" s="421" t="e">
        <f>INDEX(T03_Skills!$AA$3:$BU$41,MATCH('C03_ClassVariables'!$G344,T03_Skills!$Z$3:$Z$41,0),MATCH('C03_ClassVariables'!Z$313,T03_Skills!$AA$2:$BU$2,0))</f>
        <v>#N/A</v>
      </c>
      <c r="V338" s="422" t="e">
        <f t="shared" si="233"/>
        <v>#N/A</v>
      </c>
      <c r="W338" s="422" t="e">
        <f>IF(V338&gt;0,1+COUNTIF(W$314:W337,"&gt;0"),0)</f>
        <v>#N/A</v>
      </c>
      <c r="X338" s="422" t="str">
        <f t="shared" si="234"/>
        <v/>
      </c>
      <c r="Y338" s="422" t="str">
        <f t="shared" si="235"/>
        <v/>
      </c>
      <c r="Z338" s="423">
        <f t="shared" si="218"/>
        <v>0</v>
      </c>
      <c r="AA338" s="421" t="e">
        <f>INDEX(T03_Skills!$AA$3:$BU$41,MATCH('C03_ClassVariables'!$G344,T03_Skills!$Z$3:$Z$41,0),MATCH('C03_ClassVariables'!AF$313,T03_Skills!$AA$2:$BU$2,0))</f>
        <v>#N/A</v>
      </c>
      <c r="AB338" s="422" t="e">
        <f t="shared" si="236"/>
        <v>#N/A</v>
      </c>
      <c r="AC338" s="422" t="e">
        <f>IF(AB338&gt;0,1+COUNTIF(AC$314:AC337,"&gt;0"),0)</f>
        <v>#N/A</v>
      </c>
      <c r="AD338" s="422" t="str">
        <f t="shared" si="237"/>
        <v/>
      </c>
      <c r="AE338" s="422" t="str">
        <f t="shared" si="238"/>
        <v/>
      </c>
      <c r="AF338" s="423">
        <f t="shared" si="219"/>
        <v>0</v>
      </c>
      <c r="AG338" s="421" t="e">
        <f>INDEX(T03_Skills!$AA$3:$BU$41,MATCH('C03_ClassVariables'!$G344,T03_Skills!$Z$3:$Z$41,0),MATCH('C03_ClassVariables'!AL$313,T03_Skills!$AA$2:$BU$2,0))</f>
        <v>#N/A</v>
      </c>
      <c r="AH338" s="422" t="e">
        <f t="shared" si="239"/>
        <v>#N/A</v>
      </c>
      <c r="AI338" s="422" t="e">
        <f>IF(AH338&gt;0,1+COUNTIF(AI$314:AI337,"&gt;0"),0)</f>
        <v>#N/A</v>
      </c>
      <c r="AJ338" s="422" t="str">
        <f t="shared" si="240"/>
        <v/>
      </c>
      <c r="AK338" s="422" t="str">
        <f t="shared" si="241"/>
        <v/>
      </c>
      <c r="AL338" s="423">
        <f t="shared" si="220"/>
        <v>0</v>
      </c>
      <c r="AM338" s="421" t="e">
        <f>INDEX(T03_Skills!$AA$3:$BU$41,MATCH('C03_ClassVariables'!$G344,T03_Skills!$Z$3:$Z$41,0),MATCH('C03_ClassVariables'!AR$313,T03_Skills!$AA$2:$BU$2,0))</f>
        <v>#N/A</v>
      </c>
      <c r="AN338" s="422" t="e">
        <f t="shared" si="242"/>
        <v>#N/A</v>
      </c>
      <c r="AO338" s="422" t="e">
        <f>IF(AN338&gt;0,1+COUNTIF(AO$314:AO337,"&gt;0"),0)</f>
        <v>#N/A</v>
      </c>
      <c r="AP338" s="422" t="str">
        <f t="shared" si="243"/>
        <v/>
      </c>
      <c r="AQ338" s="422" t="str">
        <f t="shared" si="244"/>
        <v/>
      </c>
      <c r="AR338" s="423">
        <f t="shared" si="221"/>
        <v>0</v>
      </c>
      <c r="AS338" s="421" t="e">
        <f>INDEX(T03_Skills!$AA$3:$BU$41,MATCH('C03_ClassVariables'!$G344,T03_Skills!$Z$3:$Z$41,0),MATCH('C03_ClassVariables'!AX$313,T03_Skills!$AA$2:$BU$2,0))</f>
        <v>#N/A</v>
      </c>
      <c r="AT338" s="422" t="e">
        <f t="shared" si="245"/>
        <v>#N/A</v>
      </c>
      <c r="AU338" s="422" t="e">
        <f>IF(AT338&gt;0,1+COUNTIF(AU$314:AU337,"&gt;0"),0)</f>
        <v>#N/A</v>
      </c>
      <c r="AV338" s="422" t="str">
        <f t="shared" si="246"/>
        <v/>
      </c>
      <c r="AW338" s="422" t="str">
        <f t="shared" si="247"/>
        <v/>
      </c>
      <c r="AX338" s="423">
        <f t="shared" si="222"/>
        <v>0</v>
      </c>
      <c r="AY338" s="421" t="e">
        <f>INDEX(T03_Skills!$AA$3:$BU$41,MATCH('C03_ClassVariables'!$G344,T03_Skills!$Z$3:$Z$41,0),MATCH('C03_ClassVariables'!BD$313,T03_Skills!$AA$2:$BU$2,0))</f>
        <v>#N/A</v>
      </c>
      <c r="AZ338" s="422" t="e">
        <f t="shared" si="248"/>
        <v>#N/A</v>
      </c>
      <c r="BA338" s="422" t="e">
        <f>IF(AZ338&gt;0,1+COUNTIF(BA$314:BA337,"&gt;0"),0)</f>
        <v>#N/A</v>
      </c>
      <c r="BB338" s="422" t="str">
        <f t="shared" si="249"/>
        <v/>
      </c>
      <c r="BC338" s="422" t="str">
        <f t="shared" si="250"/>
        <v/>
      </c>
      <c r="BD338" s="423">
        <f t="shared" si="223"/>
        <v>0</v>
      </c>
      <c r="BE338" s="421" t="e">
        <f>INDEX(T03_Skills!$AA$3:$BU$41,MATCH('C03_ClassVariables'!$G344,T03_Skills!$Z$3:$Z$41,0),MATCH('C03_ClassVariables'!BJ$313,T03_Skills!$AA$2:$BU$2,0))</f>
        <v>#N/A</v>
      </c>
      <c r="BF338" s="422" t="e">
        <f t="shared" si="251"/>
        <v>#N/A</v>
      </c>
      <c r="BG338" s="422" t="e">
        <f>IF(BF338&gt;0,1+COUNTIF(BG$314:BG337,"&gt;0"),0)</f>
        <v>#N/A</v>
      </c>
      <c r="BH338" s="422" t="str">
        <f t="shared" si="252"/>
        <v/>
      </c>
      <c r="BI338" s="422" t="str">
        <f t="shared" si="253"/>
        <v/>
      </c>
      <c r="BJ338" s="423">
        <f t="shared" si="224"/>
        <v>0</v>
      </c>
      <c r="BK338" s="421" t="e">
        <f>INDEX(T03_Skills!$AA$3:$BU$41,MATCH('C03_ClassVariables'!$G344,T03_Skills!$Z$3:$Z$41,0),MATCH('C03_ClassVariables'!BP$313,T03_Skills!$AA$2:$BU$2,0))</f>
        <v>#N/A</v>
      </c>
      <c r="BL338" s="422" t="e">
        <f t="shared" si="254"/>
        <v>#N/A</v>
      </c>
      <c r="BM338" s="422" t="e">
        <f>IF(BL338&gt;0,1+COUNTIF(BM$314:BM337,"&gt;0"),0)</f>
        <v>#N/A</v>
      </c>
      <c r="BN338" s="422" t="str">
        <f t="shared" si="255"/>
        <v/>
      </c>
      <c r="BO338" s="422" t="str">
        <f t="shared" si="256"/>
        <v/>
      </c>
      <c r="BP338" s="423">
        <f t="shared" si="225"/>
        <v>0</v>
      </c>
      <c r="BQ338" s="421" t="e">
        <f>INDEX(T03_Skills!$AA$3:$BU$41,MATCH('C03_ClassVariables'!$G344,T03_Skills!$Z$3:$Z$41,0),MATCH('C03_ClassVariables'!BV$313,T03_Skills!$AA$2:$BU$2,0))</f>
        <v>#N/A</v>
      </c>
      <c r="BR338" s="422" t="e">
        <f t="shared" si="257"/>
        <v>#N/A</v>
      </c>
      <c r="BS338" s="422" t="e">
        <f>IF(BR338&gt;0,1+COUNTIF(BS$314:BS337,"&gt;0"),0)</f>
        <v>#N/A</v>
      </c>
      <c r="BT338" s="422" t="str">
        <f t="shared" si="258"/>
        <v/>
      </c>
      <c r="BU338" s="422" t="str">
        <f t="shared" si="259"/>
        <v/>
      </c>
      <c r="BV338" s="423">
        <f t="shared" si="226"/>
        <v>0</v>
      </c>
      <c r="BW338" s="421" t="e">
        <f>INDEX(T03_Skills!$AA$3:$BU$41,MATCH('C03_ClassVariables'!$G344,T03_Skills!$Z$3:$Z$41,0),MATCH('C03_ClassVariables'!CB$313,T03_Skills!$AA$2:$BU$2,0))</f>
        <v>#N/A</v>
      </c>
      <c r="BX338" s="422" t="e">
        <f t="shared" si="260"/>
        <v>#N/A</v>
      </c>
      <c r="BY338" s="422" t="e">
        <f>IF(BX338&gt;0,1+COUNTIF(BY$314:BY337,"&gt;0"),0)</f>
        <v>#N/A</v>
      </c>
      <c r="BZ338" s="422" t="str">
        <f t="shared" si="261"/>
        <v/>
      </c>
      <c r="CA338" s="422" t="str">
        <f t="shared" si="262"/>
        <v/>
      </c>
      <c r="CB338" s="423">
        <f t="shared" si="227"/>
        <v>0</v>
      </c>
      <c r="CC338" s="421" t="e">
        <f>INDEX(T03_Skills!$AA$3:$BU$41,MATCH('C03_ClassVariables'!$G344,T03_Skills!$Z$3:$Z$41,0),MATCH('C03_ClassVariables'!CH$313,T03_Skills!$AA$2:$BU$2,0))</f>
        <v>#N/A</v>
      </c>
      <c r="CD338" s="422" t="e">
        <f t="shared" si="263"/>
        <v>#N/A</v>
      </c>
      <c r="CE338" s="422" t="e">
        <f>IF(CD338&gt;0,1+COUNTIF(CE$314:CE337,"&gt;0"),0)</f>
        <v>#N/A</v>
      </c>
      <c r="CF338" s="422" t="str">
        <f t="shared" si="264"/>
        <v/>
      </c>
      <c r="CG338" s="422" t="str">
        <f t="shared" si="265"/>
        <v/>
      </c>
      <c r="CH338" s="423">
        <f t="shared" si="228"/>
        <v>0</v>
      </c>
      <c r="CI338" s="428"/>
      <c r="CJ338" s="428"/>
      <c r="CK338" s="422"/>
      <c r="CL338" s="422"/>
      <c r="CM338" s="422"/>
      <c r="CN338" s="423"/>
      <c r="CO338" s="421"/>
      <c r="CP338" s="422"/>
      <c r="CQ338" s="422"/>
      <c r="CR338" s="422"/>
      <c r="CS338" s="422"/>
      <c r="CT338" s="423"/>
      <c r="CU338" s="421"/>
      <c r="CV338" s="422"/>
      <c r="CW338" s="422"/>
      <c r="CX338" s="422"/>
      <c r="CY338" s="422"/>
      <c r="CZ338" s="423"/>
      <c r="DA338" s="421"/>
      <c r="DB338" s="422"/>
      <c r="DC338" s="422"/>
      <c r="DD338" s="422"/>
      <c r="DE338" s="422"/>
      <c r="DF338" s="423"/>
      <c r="DG338" s="421"/>
      <c r="DH338" s="422"/>
      <c r="DI338" s="422"/>
      <c r="DJ338" s="422"/>
      <c r="DK338" s="422"/>
      <c r="DL338" s="423"/>
      <c r="DM338" s="421"/>
      <c r="DN338" s="422"/>
      <c r="DO338" s="422"/>
      <c r="DP338" s="422"/>
      <c r="DQ338" s="422"/>
      <c r="DR338" s="423"/>
      <c r="DS338" s="421"/>
      <c r="DT338" s="422"/>
      <c r="DU338" s="422"/>
      <c r="DV338" s="422"/>
      <c r="DW338" s="422"/>
      <c r="DX338" s="423"/>
      <c r="DY338" s="428"/>
      <c r="DZ338" s="138"/>
    </row>
    <row r="339" spans="1:130" ht="16.5" x14ac:dyDescent="0.3">
      <c r="A339" s="132">
        <f>IFERROR(IF(A338+1&lt;MAX(T041_ClassFeatures!$A$2:$A$2033),A338+1,""),"")</f>
        <v>336</v>
      </c>
      <c r="B339" s="131" t="str">
        <f>IFERROR(INDEX(T041_ClassFeatures!$B$2:$B$2033,MATCH('C03_ClassVariables'!A339,T041_ClassFeatures!$A$2:$A$2033,0),1),"")</f>
        <v>Inured to Undeath</v>
      </c>
      <c r="C339" s="131">
        <f>IF(B339="",0,IF(IFERROR(MATCH(B339,'C01_BaseCalculation'!$W$160:$W$239,0),0)&gt;0,1,0))</f>
        <v>0</v>
      </c>
      <c r="E339" s="428"/>
      <c r="F339" s="428"/>
      <c r="G339" s="4" t="s">
        <v>284</v>
      </c>
      <c r="I339" s="421">
        <f>INDEX(T03_Skills!$AA$3:$BU$41,MATCH('C03_ClassVariables'!$G345,T03_Skills!$Z$3:$Z$41,0),MATCH('C03_ClassVariables'!N$313,T03_Skills!$AA$2:$BU$2,0))</f>
        <v>0</v>
      </c>
      <c r="J339" s="422">
        <f t="shared" si="229"/>
        <v>0</v>
      </c>
      <c r="K339" s="422">
        <f>IF(I339&gt;0,1+COUNTIF(K$314:K338,"&gt;0"),0)</f>
        <v>0</v>
      </c>
      <c r="L339" s="422" t="str">
        <f t="shared" si="230"/>
        <v/>
      </c>
      <c r="M339" s="422" t="str">
        <f t="shared" si="214"/>
        <v/>
      </c>
      <c r="N339" s="423">
        <f t="shared" si="215"/>
        <v>0</v>
      </c>
      <c r="O339" s="421">
        <f>INDEX(T03_Skills!$AA$3:$BU$41,MATCH('C03_ClassVariables'!$G345,T03_Skills!$Z$3:$Z$41,0),MATCH('C03_ClassVariables'!T$313,T03_Skills!$AA$2:$BU$2,0))</f>
        <v>1</v>
      </c>
      <c r="P339" s="422">
        <f t="shared" si="231"/>
        <v>1</v>
      </c>
      <c r="Q339" s="422">
        <f>IF(P339&gt;0,1+COUNTIF(Q$314:Q338,"&gt;0"),0)</f>
        <v>26</v>
      </c>
      <c r="R339" s="422">
        <f t="shared" si="232"/>
        <v>26</v>
      </c>
      <c r="S339" s="422" t="str">
        <f t="shared" si="216"/>
        <v>Drum</v>
      </c>
      <c r="T339" s="423">
        <f t="shared" si="217"/>
        <v>0</v>
      </c>
      <c r="U339" s="421" t="e">
        <f>INDEX(T03_Skills!$AA$3:$BU$41,MATCH('C03_ClassVariables'!$G345,T03_Skills!$Z$3:$Z$41,0),MATCH('C03_ClassVariables'!Z$313,T03_Skills!$AA$2:$BU$2,0))</f>
        <v>#N/A</v>
      </c>
      <c r="V339" s="422" t="e">
        <f t="shared" si="233"/>
        <v>#N/A</v>
      </c>
      <c r="W339" s="422" t="e">
        <f>IF(V339&gt;0,1+COUNTIF(W$314:W338,"&gt;0"),0)</f>
        <v>#N/A</v>
      </c>
      <c r="X339" s="422" t="str">
        <f t="shared" si="234"/>
        <v/>
      </c>
      <c r="Y339" s="422" t="str">
        <f t="shared" si="235"/>
        <v/>
      </c>
      <c r="Z339" s="423">
        <f t="shared" si="218"/>
        <v>0</v>
      </c>
      <c r="AA339" s="421" t="e">
        <f>INDEX(T03_Skills!$AA$3:$BU$41,MATCH('C03_ClassVariables'!$G345,T03_Skills!$Z$3:$Z$41,0),MATCH('C03_ClassVariables'!AF$313,T03_Skills!$AA$2:$BU$2,0))</f>
        <v>#N/A</v>
      </c>
      <c r="AB339" s="422" t="e">
        <f t="shared" si="236"/>
        <v>#N/A</v>
      </c>
      <c r="AC339" s="422" t="e">
        <f>IF(AB339&gt;0,1+COUNTIF(AC$314:AC338,"&gt;0"),0)</f>
        <v>#N/A</v>
      </c>
      <c r="AD339" s="422" t="str">
        <f t="shared" si="237"/>
        <v/>
      </c>
      <c r="AE339" s="422" t="str">
        <f t="shared" si="238"/>
        <v/>
      </c>
      <c r="AF339" s="423">
        <f t="shared" si="219"/>
        <v>0</v>
      </c>
      <c r="AG339" s="421" t="e">
        <f>INDEX(T03_Skills!$AA$3:$BU$41,MATCH('C03_ClassVariables'!$G345,T03_Skills!$Z$3:$Z$41,0),MATCH('C03_ClassVariables'!AL$313,T03_Skills!$AA$2:$BU$2,0))</f>
        <v>#N/A</v>
      </c>
      <c r="AH339" s="422" t="e">
        <f t="shared" si="239"/>
        <v>#N/A</v>
      </c>
      <c r="AI339" s="422" t="e">
        <f>IF(AH339&gt;0,1+COUNTIF(AI$314:AI338,"&gt;0"),0)</f>
        <v>#N/A</v>
      </c>
      <c r="AJ339" s="422" t="str">
        <f t="shared" si="240"/>
        <v/>
      </c>
      <c r="AK339" s="422" t="str">
        <f t="shared" si="241"/>
        <v/>
      </c>
      <c r="AL339" s="423">
        <f t="shared" si="220"/>
        <v>0</v>
      </c>
      <c r="AM339" s="421" t="e">
        <f>INDEX(T03_Skills!$AA$3:$BU$41,MATCH('C03_ClassVariables'!$G345,T03_Skills!$Z$3:$Z$41,0),MATCH('C03_ClassVariables'!AR$313,T03_Skills!$AA$2:$BU$2,0))</f>
        <v>#N/A</v>
      </c>
      <c r="AN339" s="422" t="e">
        <f t="shared" si="242"/>
        <v>#N/A</v>
      </c>
      <c r="AO339" s="422" t="e">
        <f>IF(AN339&gt;0,1+COUNTIF(AO$314:AO338,"&gt;0"),0)</f>
        <v>#N/A</v>
      </c>
      <c r="AP339" s="422" t="str">
        <f t="shared" si="243"/>
        <v/>
      </c>
      <c r="AQ339" s="422" t="str">
        <f t="shared" si="244"/>
        <v/>
      </c>
      <c r="AR339" s="423">
        <f t="shared" si="221"/>
        <v>0</v>
      </c>
      <c r="AS339" s="421" t="e">
        <f>INDEX(T03_Skills!$AA$3:$BU$41,MATCH('C03_ClassVariables'!$G345,T03_Skills!$Z$3:$Z$41,0),MATCH('C03_ClassVariables'!AX$313,T03_Skills!$AA$2:$BU$2,0))</f>
        <v>#N/A</v>
      </c>
      <c r="AT339" s="422" t="e">
        <f t="shared" si="245"/>
        <v>#N/A</v>
      </c>
      <c r="AU339" s="422" t="e">
        <f>IF(AT339&gt;0,1+COUNTIF(AU$314:AU338,"&gt;0"),0)</f>
        <v>#N/A</v>
      </c>
      <c r="AV339" s="422" t="str">
        <f t="shared" si="246"/>
        <v/>
      </c>
      <c r="AW339" s="422" t="str">
        <f t="shared" si="247"/>
        <v/>
      </c>
      <c r="AX339" s="423">
        <f t="shared" si="222"/>
        <v>0</v>
      </c>
      <c r="AY339" s="421" t="e">
        <f>INDEX(T03_Skills!$AA$3:$BU$41,MATCH('C03_ClassVariables'!$G345,T03_Skills!$Z$3:$Z$41,0),MATCH('C03_ClassVariables'!BD$313,T03_Skills!$AA$2:$BU$2,0))</f>
        <v>#N/A</v>
      </c>
      <c r="AZ339" s="422" t="e">
        <f t="shared" si="248"/>
        <v>#N/A</v>
      </c>
      <c r="BA339" s="422" t="e">
        <f>IF(AZ339&gt;0,1+COUNTIF(BA$314:BA338,"&gt;0"),0)</f>
        <v>#N/A</v>
      </c>
      <c r="BB339" s="422" t="str">
        <f t="shared" si="249"/>
        <v/>
      </c>
      <c r="BC339" s="422" t="str">
        <f t="shared" si="250"/>
        <v/>
      </c>
      <c r="BD339" s="423">
        <f t="shared" si="223"/>
        <v>0</v>
      </c>
      <c r="BE339" s="421" t="e">
        <f>INDEX(T03_Skills!$AA$3:$BU$41,MATCH('C03_ClassVariables'!$G345,T03_Skills!$Z$3:$Z$41,0),MATCH('C03_ClassVariables'!BJ$313,T03_Skills!$AA$2:$BU$2,0))</f>
        <v>#N/A</v>
      </c>
      <c r="BF339" s="422" t="e">
        <f t="shared" si="251"/>
        <v>#N/A</v>
      </c>
      <c r="BG339" s="422" t="e">
        <f>IF(BF339&gt;0,1+COUNTIF(BG$314:BG338,"&gt;0"),0)</f>
        <v>#N/A</v>
      </c>
      <c r="BH339" s="422" t="str">
        <f t="shared" si="252"/>
        <v/>
      </c>
      <c r="BI339" s="422" t="str">
        <f t="shared" si="253"/>
        <v/>
      </c>
      <c r="BJ339" s="423">
        <f t="shared" si="224"/>
        <v>0</v>
      </c>
      <c r="BK339" s="421" t="e">
        <f>INDEX(T03_Skills!$AA$3:$BU$41,MATCH('C03_ClassVariables'!$G345,T03_Skills!$Z$3:$Z$41,0),MATCH('C03_ClassVariables'!BP$313,T03_Skills!$AA$2:$BU$2,0))</f>
        <v>#N/A</v>
      </c>
      <c r="BL339" s="422" t="e">
        <f t="shared" si="254"/>
        <v>#N/A</v>
      </c>
      <c r="BM339" s="422" t="e">
        <f>IF(BL339&gt;0,1+COUNTIF(BM$314:BM338,"&gt;0"),0)</f>
        <v>#N/A</v>
      </c>
      <c r="BN339" s="422" t="str">
        <f t="shared" si="255"/>
        <v/>
      </c>
      <c r="BO339" s="422" t="str">
        <f t="shared" si="256"/>
        <v/>
      </c>
      <c r="BP339" s="423">
        <f t="shared" si="225"/>
        <v>0</v>
      </c>
      <c r="BQ339" s="421" t="e">
        <f>INDEX(T03_Skills!$AA$3:$BU$41,MATCH('C03_ClassVariables'!$G345,T03_Skills!$Z$3:$Z$41,0),MATCH('C03_ClassVariables'!BV$313,T03_Skills!$AA$2:$BU$2,0))</f>
        <v>#N/A</v>
      </c>
      <c r="BR339" s="422" t="e">
        <f t="shared" si="257"/>
        <v>#N/A</v>
      </c>
      <c r="BS339" s="422" t="e">
        <f>IF(BR339&gt;0,1+COUNTIF(BS$314:BS338,"&gt;0"),0)</f>
        <v>#N/A</v>
      </c>
      <c r="BT339" s="422" t="str">
        <f t="shared" si="258"/>
        <v/>
      </c>
      <c r="BU339" s="422" t="str">
        <f t="shared" si="259"/>
        <v/>
      </c>
      <c r="BV339" s="423">
        <f t="shared" si="226"/>
        <v>0</v>
      </c>
      <c r="BW339" s="421" t="e">
        <f>INDEX(T03_Skills!$AA$3:$BU$41,MATCH('C03_ClassVariables'!$G345,T03_Skills!$Z$3:$Z$41,0),MATCH('C03_ClassVariables'!CB$313,T03_Skills!$AA$2:$BU$2,0))</f>
        <v>#N/A</v>
      </c>
      <c r="BX339" s="422" t="e">
        <f t="shared" si="260"/>
        <v>#N/A</v>
      </c>
      <c r="BY339" s="422" t="e">
        <f>IF(BX339&gt;0,1+COUNTIF(BY$314:BY338,"&gt;0"),0)</f>
        <v>#N/A</v>
      </c>
      <c r="BZ339" s="422" t="str">
        <f t="shared" si="261"/>
        <v/>
      </c>
      <c r="CA339" s="422" t="str">
        <f t="shared" si="262"/>
        <v/>
      </c>
      <c r="CB339" s="423">
        <f t="shared" si="227"/>
        <v>0</v>
      </c>
      <c r="CC339" s="421" t="e">
        <f>INDEX(T03_Skills!$AA$3:$BU$41,MATCH('C03_ClassVariables'!$G345,T03_Skills!$Z$3:$Z$41,0),MATCH('C03_ClassVariables'!CH$313,T03_Skills!$AA$2:$BU$2,0))</f>
        <v>#N/A</v>
      </c>
      <c r="CD339" s="422" t="e">
        <f t="shared" si="263"/>
        <v>#N/A</v>
      </c>
      <c r="CE339" s="422" t="e">
        <f>IF(CD339&gt;0,1+COUNTIF(CE$314:CE338,"&gt;0"),0)</f>
        <v>#N/A</v>
      </c>
      <c r="CF339" s="422" t="str">
        <f t="shared" si="264"/>
        <v/>
      </c>
      <c r="CG339" s="422" t="str">
        <f t="shared" si="265"/>
        <v/>
      </c>
      <c r="CH339" s="423">
        <f t="shared" si="228"/>
        <v>0</v>
      </c>
      <c r="CI339" s="428"/>
      <c r="CJ339" s="428"/>
      <c r="CK339" s="422"/>
      <c r="CL339" s="422"/>
      <c r="CM339" s="422"/>
      <c r="CN339" s="423"/>
      <c r="CO339" s="421"/>
      <c r="CP339" s="422"/>
      <c r="CQ339" s="422"/>
      <c r="CR339" s="422"/>
      <c r="CS339" s="422"/>
      <c r="CT339" s="423"/>
      <c r="CU339" s="421"/>
      <c r="CV339" s="422"/>
      <c r="CW339" s="422"/>
      <c r="CX339" s="422"/>
      <c r="CY339" s="422"/>
      <c r="CZ339" s="423"/>
      <c r="DA339" s="421"/>
      <c r="DB339" s="422"/>
      <c r="DC339" s="422"/>
      <c r="DD339" s="422"/>
      <c r="DE339" s="422"/>
      <c r="DF339" s="423"/>
      <c r="DG339" s="421"/>
      <c r="DH339" s="422"/>
      <c r="DI339" s="422"/>
      <c r="DJ339" s="422"/>
      <c r="DK339" s="422"/>
      <c r="DL339" s="423"/>
      <c r="DM339" s="421"/>
      <c r="DN339" s="422"/>
      <c r="DO339" s="422"/>
      <c r="DP339" s="422"/>
      <c r="DQ339" s="422"/>
      <c r="DR339" s="423"/>
      <c r="DS339" s="421"/>
      <c r="DT339" s="422"/>
      <c r="DU339" s="422"/>
      <c r="DV339" s="422"/>
      <c r="DW339" s="422"/>
      <c r="DX339" s="423"/>
      <c r="DY339" s="428"/>
      <c r="DZ339" s="138"/>
    </row>
    <row r="340" spans="1:130" ht="16.5" x14ac:dyDescent="0.3">
      <c r="A340" s="132">
        <f>IFERROR(IF(A339+1&lt;MAX(T041_ClassFeatures!$A$2:$A$2033),A339+1,""),"")</f>
        <v>337</v>
      </c>
      <c r="B340" s="131" t="str">
        <f>IFERROR(INDEX(T041_ClassFeatures!$B$2:$B$2033,MATCH('C03_ClassVariables'!A340,T041_ClassFeatures!$A$2:$A$2033,0),1),"")</f>
        <v>Command Undead</v>
      </c>
      <c r="C340" s="131">
        <f>IF(B340="",0,IF(IFERROR(MATCH(B340,'C01_BaseCalculation'!$W$160:$W$239,0),0)&gt;0,1,0))</f>
        <v>0</v>
      </c>
      <c r="E340" s="428"/>
      <c r="F340" s="428"/>
      <c r="G340" s="4" t="s">
        <v>294</v>
      </c>
      <c r="I340" s="421">
        <f>INDEX(T03_Skills!$AA$3:$BU$41,MATCH('C03_ClassVariables'!$G346,T03_Skills!$Z$3:$Z$41,0),MATCH('C03_ClassVariables'!N$313,T03_Skills!$AA$2:$BU$2,0))</f>
        <v>0</v>
      </c>
      <c r="J340" s="422">
        <f t="shared" si="229"/>
        <v>0</v>
      </c>
      <c r="K340" s="422">
        <f>IF(I340&gt;0,1+COUNTIF(K$314:K339,"&gt;0"),0)</f>
        <v>0</v>
      </c>
      <c r="L340" s="422" t="str">
        <f t="shared" si="230"/>
        <v/>
      </c>
      <c r="M340" s="422" t="str">
        <f t="shared" si="214"/>
        <v/>
      </c>
      <c r="N340" s="423">
        <f t="shared" si="215"/>
        <v>0</v>
      </c>
      <c r="O340" s="421">
        <f>INDEX(T03_Skills!$AA$3:$BU$41,MATCH('C03_ClassVariables'!$G346,T03_Skills!$Z$3:$Z$41,0),MATCH('C03_ClassVariables'!T$313,T03_Skills!$AA$2:$BU$2,0))</f>
        <v>1</v>
      </c>
      <c r="P340" s="422">
        <f t="shared" si="231"/>
        <v>1</v>
      </c>
      <c r="Q340" s="422">
        <f>IF(P340&gt;0,1+COUNTIF(Q$314:Q339,"&gt;0"),0)</f>
        <v>27</v>
      </c>
      <c r="R340" s="422">
        <f t="shared" si="232"/>
        <v>27</v>
      </c>
      <c r="S340" s="422" t="str">
        <f t="shared" si="216"/>
        <v>Dulcimer</v>
      </c>
      <c r="T340" s="423">
        <f t="shared" si="217"/>
        <v>0</v>
      </c>
      <c r="U340" s="421" t="e">
        <f>INDEX(T03_Skills!$AA$3:$BU$41,MATCH('C03_ClassVariables'!$G346,T03_Skills!$Z$3:$Z$41,0),MATCH('C03_ClassVariables'!Z$313,T03_Skills!$AA$2:$BU$2,0))</f>
        <v>#N/A</v>
      </c>
      <c r="V340" s="422" t="e">
        <f t="shared" si="233"/>
        <v>#N/A</v>
      </c>
      <c r="W340" s="422" t="e">
        <f>IF(V340&gt;0,1+COUNTIF(W$314:W339,"&gt;0"),0)</f>
        <v>#N/A</v>
      </c>
      <c r="X340" s="422" t="str">
        <f t="shared" si="234"/>
        <v/>
      </c>
      <c r="Y340" s="422" t="str">
        <f t="shared" si="235"/>
        <v/>
      </c>
      <c r="Z340" s="423">
        <f t="shared" si="218"/>
        <v>0</v>
      </c>
      <c r="AA340" s="421" t="e">
        <f>INDEX(T03_Skills!$AA$3:$BU$41,MATCH('C03_ClassVariables'!$G346,T03_Skills!$Z$3:$Z$41,0),MATCH('C03_ClassVariables'!AF$313,T03_Skills!$AA$2:$BU$2,0))</f>
        <v>#N/A</v>
      </c>
      <c r="AB340" s="422" t="e">
        <f t="shared" si="236"/>
        <v>#N/A</v>
      </c>
      <c r="AC340" s="422" t="e">
        <f>IF(AB340&gt;0,1+COUNTIF(AC$314:AC339,"&gt;0"),0)</f>
        <v>#N/A</v>
      </c>
      <c r="AD340" s="422" t="str">
        <f t="shared" si="237"/>
        <v/>
      </c>
      <c r="AE340" s="422" t="str">
        <f t="shared" si="238"/>
        <v/>
      </c>
      <c r="AF340" s="423">
        <f t="shared" si="219"/>
        <v>0</v>
      </c>
      <c r="AG340" s="421" t="e">
        <f>INDEX(T03_Skills!$AA$3:$BU$41,MATCH('C03_ClassVariables'!$G346,T03_Skills!$Z$3:$Z$41,0),MATCH('C03_ClassVariables'!AL$313,T03_Skills!$AA$2:$BU$2,0))</f>
        <v>#N/A</v>
      </c>
      <c r="AH340" s="422" t="e">
        <f t="shared" si="239"/>
        <v>#N/A</v>
      </c>
      <c r="AI340" s="422" t="e">
        <f>IF(AH340&gt;0,1+COUNTIF(AI$314:AI339,"&gt;0"),0)</f>
        <v>#N/A</v>
      </c>
      <c r="AJ340" s="422" t="str">
        <f t="shared" si="240"/>
        <v/>
      </c>
      <c r="AK340" s="422" t="str">
        <f t="shared" si="241"/>
        <v/>
      </c>
      <c r="AL340" s="423">
        <f t="shared" si="220"/>
        <v>0</v>
      </c>
      <c r="AM340" s="421" t="e">
        <f>INDEX(T03_Skills!$AA$3:$BU$41,MATCH('C03_ClassVariables'!$G346,T03_Skills!$Z$3:$Z$41,0),MATCH('C03_ClassVariables'!AR$313,T03_Skills!$AA$2:$BU$2,0))</f>
        <v>#N/A</v>
      </c>
      <c r="AN340" s="422" t="e">
        <f t="shared" si="242"/>
        <v>#N/A</v>
      </c>
      <c r="AO340" s="422" t="e">
        <f>IF(AN340&gt;0,1+COUNTIF(AO$314:AO339,"&gt;0"),0)</f>
        <v>#N/A</v>
      </c>
      <c r="AP340" s="422" t="str">
        <f t="shared" si="243"/>
        <v/>
      </c>
      <c r="AQ340" s="422" t="str">
        <f t="shared" si="244"/>
        <v/>
      </c>
      <c r="AR340" s="423">
        <f t="shared" si="221"/>
        <v>0</v>
      </c>
      <c r="AS340" s="421" t="e">
        <f>INDEX(T03_Skills!$AA$3:$BU$41,MATCH('C03_ClassVariables'!$G346,T03_Skills!$Z$3:$Z$41,0),MATCH('C03_ClassVariables'!AX$313,T03_Skills!$AA$2:$BU$2,0))</f>
        <v>#N/A</v>
      </c>
      <c r="AT340" s="422" t="e">
        <f t="shared" si="245"/>
        <v>#N/A</v>
      </c>
      <c r="AU340" s="422" t="e">
        <f>IF(AT340&gt;0,1+COUNTIF(AU$314:AU339,"&gt;0"),0)</f>
        <v>#N/A</v>
      </c>
      <c r="AV340" s="422" t="str">
        <f t="shared" si="246"/>
        <v/>
      </c>
      <c r="AW340" s="422" t="str">
        <f t="shared" si="247"/>
        <v/>
      </c>
      <c r="AX340" s="423">
        <f t="shared" si="222"/>
        <v>0</v>
      </c>
      <c r="AY340" s="421" t="e">
        <f>INDEX(T03_Skills!$AA$3:$BU$41,MATCH('C03_ClassVariables'!$G346,T03_Skills!$Z$3:$Z$41,0),MATCH('C03_ClassVariables'!BD$313,T03_Skills!$AA$2:$BU$2,0))</f>
        <v>#N/A</v>
      </c>
      <c r="AZ340" s="422" t="e">
        <f t="shared" si="248"/>
        <v>#N/A</v>
      </c>
      <c r="BA340" s="422" t="e">
        <f>IF(AZ340&gt;0,1+COUNTIF(BA$314:BA339,"&gt;0"),0)</f>
        <v>#N/A</v>
      </c>
      <c r="BB340" s="422" t="str">
        <f t="shared" si="249"/>
        <v/>
      </c>
      <c r="BC340" s="422" t="str">
        <f t="shared" si="250"/>
        <v/>
      </c>
      <c r="BD340" s="423">
        <f t="shared" si="223"/>
        <v>0</v>
      </c>
      <c r="BE340" s="421" t="e">
        <f>INDEX(T03_Skills!$AA$3:$BU$41,MATCH('C03_ClassVariables'!$G346,T03_Skills!$Z$3:$Z$41,0),MATCH('C03_ClassVariables'!BJ$313,T03_Skills!$AA$2:$BU$2,0))</f>
        <v>#N/A</v>
      </c>
      <c r="BF340" s="422" t="e">
        <f t="shared" si="251"/>
        <v>#N/A</v>
      </c>
      <c r="BG340" s="422" t="e">
        <f>IF(BF340&gt;0,1+COUNTIF(BG$314:BG339,"&gt;0"),0)</f>
        <v>#N/A</v>
      </c>
      <c r="BH340" s="422" t="str">
        <f t="shared" si="252"/>
        <v/>
      </c>
      <c r="BI340" s="422" t="str">
        <f t="shared" si="253"/>
        <v/>
      </c>
      <c r="BJ340" s="423">
        <f t="shared" si="224"/>
        <v>0</v>
      </c>
      <c r="BK340" s="421" t="e">
        <f>INDEX(T03_Skills!$AA$3:$BU$41,MATCH('C03_ClassVariables'!$G346,T03_Skills!$Z$3:$Z$41,0),MATCH('C03_ClassVariables'!BP$313,T03_Skills!$AA$2:$BU$2,0))</f>
        <v>#N/A</v>
      </c>
      <c r="BL340" s="422" t="e">
        <f t="shared" si="254"/>
        <v>#N/A</v>
      </c>
      <c r="BM340" s="422" t="e">
        <f>IF(BL340&gt;0,1+COUNTIF(BM$314:BM339,"&gt;0"),0)</f>
        <v>#N/A</v>
      </c>
      <c r="BN340" s="422" t="str">
        <f t="shared" si="255"/>
        <v/>
      </c>
      <c r="BO340" s="422" t="str">
        <f t="shared" si="256"/>
        <v/>
      </c>
      <c r="BP340" s="423">
        <f t="shared" si="225"/>
        <v>0</v>
      </c>
      <c r="BQ340" s="421" t="e">
        <f>INDEX(T03_Skills!$AA$3:$BU$41,MATCH('C03_ClassVariables'!$G346,T03_Skills!$Z$3:$Z$41,0),MATCH('C03_ClassVariables'!BV$313,T03_Skills!$AA$2:$BU$2,0))</f>
        <v>#N/A</v>
      </c>
      <c r="BR340" s="422" t="e">
        <f t="shared" si="257"/>
        <v>#N/A</v>
      </c>
      <c r="BS340" s="422" t="e">
        <f>IF(BR340&gt;0,1+COUNTIF(BS$314:BS339,"&gt;0"),0)</f>
        <v>#N/A</v>
      </c>
      <c r="BT340" s="422" t="str">
        <f t="shared" si="258"/>
        <v/>
      </c>
      <c r="BU340" s="422" t="str">
        <f t="shared" si="259"/>
        <v/>
      </c>
      <c r="BV340" s="423">
        <f t="shared" si="226"/>
        <v>0</v>
      </c>
      <c r="BW340" s="421" t="e">
        <f>INDEX(T03_Skills!$AA$3:$BU$41,MATCH('C03_ClassVariables'!$G346,T03_Skills!$Z$3:$Z$41,0),MATCH('C03_ClassVariables'!CB$313,T03_Skills!$AA$2:$BU$2,0))</f>
        <v>#N/A</v>
      </c>
      <c r="BX340" s="422" t="e">
        <f t="shared" si="260"/>
        <v>#N/A</v>
      </c>
      <c r="BY340" s="422" t="e">
        <f>IF(BX340&gt;0,1+COUNTIF(BY$314:BY339,"&gt;0"),0)</f>
        <v>#N/A</v>
      </c>
      <c r="BZ340" s="422" t="str">
        <f t="shared" si="261"/>
        <v/>
      </c>
      <c r="CA340" s="422" t="str">
        <f t="shared" si="262"/>
        <v/>
      </c>
      <c r="CB340" s="423">
        <f t="shared" si="227"/>
        <v>0</v>
      </c>
      <c r="CC340" s="421" t="e">
        <f>INDEX(T03_Skills!$AA$3:$BU$41,MATCH('C03_ClassVariables'!$G346,T03_Skills!$Z$3:$Z$41,0),MATCH('C03_ClassVariables'!CH$313,T03_Skills!$AA$2:$BU$2,0))</f>
        <v>#N/A</v>
      </c>
      <c r="CD340" s="422" t="e">
        <f t="shared" si="263"/>
        <v>#N/A</v>
      </c>
      <c r="CE340" s="422" t="e">
        <f>IF(CD340&gt;0,1+COUNTIF(CE$314:CE339,"&gt;0"),0)</f>
        <v>#N/A</v>
      </c>
      <c r="CF340" s="422" t="str">
        <f t="shared" si="264"/>
        <v/>
      </c>
      <c r="CG340" s="422" t="str">
        <f t="shared" si="265"/>
        <v/>
      </c>
      <c r="CH340" s="423">
        <f t="shared" si="228"/>
        <v>0</v>
      </c>
      <c r="CI340" s="428"/>
      <c r="CJ340" s="428"/>
      <c r="CK340" s="422"/>
      <c r="CL340" s="422"/>
      <c r="CM340" s="422"/>
      <c r="CN340" s="423"/>
      <c r="CO340" s="421"/>
      <c r="CP340" s="422"/>
      <c r="CQ340" s="422"/>
      <c r="CR340" s="422"/>
      <c r="CS340" s="422"/>
      <c r="CT340" s="423"/>
      <c r="CU340" s="421"/>
      <c r="CV340" s="422"/>
      <c r="CW340" s="422"/>
      <c r="CX340" s="422"/>
      <c r="CY340" s="422"/>
      <c r="CZ340" s="423"/>
      <c r="DA340" s="421"/>
      <c r="DB340" s="422"/>
      <c r="DC340" s="422"/>
      <c r="DD340" s="422"/>
      <c r="DE340" s="422"/>
      <c r="DF340" s="423"/>
      <c r="DG340" s="421"/>
      <c r="DH340" s="422"/>
      <c r="DI340" s="422"/>
      <c r="DJ340" s="422"/>
      <c r="DK340" s="422"/>
      <c r="DL340" s="423"/>
      <c r="DM340" s="421"/>
      <c r="DN340" s="422"/>
      <c r="DO340" s="422"/>
      <c r="DP340" s="422"/>
      <c r="DQ340" s="422"/>
      <c r="DR340" s="423"/>
      <c r="DS340" s="421"/>
      <c r="DT340" s="422"/>
      <c r="DU340" s="422"/>
      <c r="DV340" s="422"/>
      <c r="DW340" s="422"/>
      <c r="DX340" s="423"/>
      <c r="DY340" s="428"/>
      <c r="DZ340" s="138"/>
    </row>
    <row r="341" spans="1:130" ht="16.5" x14ac:dyDescent="0.3">
      <c r="A341" s="132">
        <f>IFERROR(IF(A340+1&lt;MAX(T041_ClassFeatures!$A$2:$A$2033),A340+1,""),"")</f>
        <v>338</v>
      </c>
      <c r="B341" s="131" t="str">
        <f>IFERROR(INDEX(T041_ClassFeatures!$B$2:$B$2033,MATCH('C03_ClassVariables'!A341,T041_ClassFeatures!$A$2:$A$2033,0),1),"")</f>
        <v xml:space="preserve">Transmutation Savant </v>
      </c>
      <c r="C341" s="131">
        <f>IF(B341="",0,IF(IFERROR(MATCH(B341,'C01_BaseCalculation'!$W$160:$W$239,0),0)&gt;0,1,0))</f>
        <v>0</v>
      </c>
      <c r="E341" s="428"/>
      <c r="F341" s="428"/>
      <c r="G341" s="4" t="s">
        <v>400</v>
      </c>
      <c r="I341" s="421">
        <f>INDEX(T03_Skills!$AA$3:$BU$41,MATCH('C03_ClassVariables'!$G347,T03_Skills!$Z$3:$Z$41,0),MATCH('C03_ClassVariables'!N$313,T03_Skills!$AA$2:$BU$2,0))</f>
        <v>0</v>
      </c>
      <c r="J341" s="422">
        <f t="shared" si="229"/>
        <v>0</v>
      </c>
      <c r="K341" s="422">
        <f>IF(I341&gt;0,1+COUNTIF(K$314:K340,"&gt;0"),0)</f>
        <v>0</v>
      </c>
      <c r="L341" s="422" t="str">
        <f t="shared" si="230"/>
        <v/>
      </c>
      <c r="M341" s="422" t="str">
        <f t="shared" si="214"/>
        <v/>
      </c>
      <c r="N341" s="423">
        <f t="shared" si="215"/>
        <v>0</v>
      </c>
      <c r="O341" s="421">
        <f>INDEX(T03_Skills!$AA$3:$BU$41,MATCH('C03_ClassVariables'!$G347,T03_Skills!$Z$3:$Z$41,0),MATCH('C03_ClassVariables'!T$313,T03_Skills!$AA$2:$BU$2,0))</f>
        <v>1</v>
      </c>
      <c r="P341" s="422">
        <f t="shared" si="231"/>
        <v>1</v>
      </c>
      <c r="Q341" s="422">
        <f>IF(P341&gt;0,1+COUNTIF(Q$314:Q340,"&gt;0"),0)</f>
        <v>28</v>
      </c>
      <c r="R341" s="422">
        <f t="shared" si="232"/>
        <v>28</v>
      </c>
      <c r="S341" s="422" t="str">
        <f t="shared" si="216"/>
        <v>Flute</v>
      </c>
      <c r="T341" s="423">
        <f t="shared" si="217"/>
        <v>0</v>
      </c>
      <c r="U341" s="421" t="e">
        <f>INDEX(T03_Skills!$AA$3:$BU$41,MATCH('C03_ClassVariables'!$G347,T03_Skills!$Z$3:$Z$41,0),MATCH('C03_ClassVariables'!Z$313,T03_Skills!$AA$2:$BU$2,0))</f>
        <v>#N/A</v>
      </c>
      <c r="V341" s="422" t="e">
        <f t="shared" si="233"/>
        <v>#N/A</v>
      </c>
      <c r="W341" s="422" t="e">
        <f>IF(V341&gt;0,1+COUNTIF(W$314:W340,"&gt;0"),0)</f>
        <v>#N/A</v>
      </c>
      <c r="X341" s="422" t="str">
        <f t="shared" si="234"/>
        <v/>
      </c>
      <c r="Y341" s="422" t="str">
        <f t="shared" si="235"/>
        <v/>
      </c>
      <c r="Z341" s="423">
        <f t="shared" si="218"/>
        <v>0</v>
      </c>
      <c r="AA341" s="421" t="e">
        <f>INDEX(T03_Skills!$AA$3:$BU$41,MATCH('C03_ClassVariables'!$G347,T03_Skills!$Z$3:$Z$41,0),MATCH('C03_ClassVariables'!AF$313,T03_Skills!$AA$2:$BU$2,0))</f>
        <v>#N/A</v>
      </c>
      <c r="AB341" s="422" t="e">
        <f t="shared" si="236"/>
        <v>#N/A</v>
      </c>
      <c r="AC341" s="422" t="e">
        <f>IF(AB341&gt;0,1+COUNTIF(AC$314:AC340,"&gt;0"),0)</f>
        <v>#N/A</v>
      </c>
      <c r="AD341" s="422" t="str">
        <f t="shared" si="237"/>
        <v/>
      </c>
      <c r="AE341" s="422" t="str">
        <f t="shared" si="238"/>
        <v/>
      </c>
      <c r="AF341" s="423">
        <f t="shared" si="219"/>
        <v>0</v>
      </c>
      <c r="AG341" s="421" t="e">
        <f>INDEX(T03_Skills!$AA$3:$BU$41,MATCH('C03_ClassVariables'!$G347,T03_Skills!$Z$3:$Z$41,0),MATCH('C03_ClassVariables'!AL$313,T03_Skills!$AA$2:$BU$2,0))</f>
        <v>#N/A</v>
      </c>
      <c r="AH341" s="422" t="e">
        <f t="shared" si="239"/>
        <v>#N/A</v>
      </c>
      <c r="AI341" s="422" t="e">
        <f>IF(AH341&gt;0,1+COUNTIF(AI$314:AI340,"&gt;0"),0)</f>
        <v>#N/A</v>
      </c>
      <c r="AJ341" s="422" t="str">
        <f t="shared" si="240"/>
        <v/>
      </c>
      <c r="AK341" s="422" t="str">
        <f t="shared" si="241"/>
        <v/>
      </c>
      <c r="AL341" s="423">
        <f t="shared" si="220"/>
        <v>0</v>
      </c>
      <c r="AM341" s="421" t="e">
        <f>INDEX(T03_Skills!$AA$3:$BU$41,MATCH('C03_ClassVariables'!$G347,T03_Skills!$Z$3:$Z$41,0),MATCH('C03_ClassVariables'!AR$313,T03_Skills!$AA$2:$BU$2,0))</f>
        <v>#N/A</v>
      </c>
      <c r="AN341" s="422" t="e">
        <f t="shared" si="242"/>
        <v>#N/A</v>
      </c>
      <c r="AO341" s="422" t="e">
        <f>IF(AN341&gt;0,1+COUNTIF(AO$314:AO340,"&gt;0"),0)</f>
        <v>#N/A</v>
      </c>
      <c r="AP341" s="422" t="str">
        <f t="shared" si="243"/>
        <v/>
      </c>
      <c r="AQ341" s="422" t="str">
        <f t="shared" si="244"/>
        <v/>
      </c>
      <c r="AR341" s="423">
        <f t="shared" si="221"/>
        <v>0</v>
      </c>
      <c r="AS341" s="421" t="e">
        <f>INDEX(T03_Skills!$AA$3:$BU$41,MATCH('C03_ClassVariables'!$G347,T03_Skills!$Z$3:$Z$41,0),MATCH('C03_ClassVariables'!AX$313,T03_Skills!$AA$2:$BU$2,0))</f>
        <v>#N/A</v>
      </c>
      <c r="AT341" s="422" t="e">
        <f t="shared" si="245"/>
        <v>#N/A</v>
      </c>
      <c r="AU341" s="422" t="e">
        <f>IF(AT341&gt;0,1+COUNTIF(AU$314:AU340,"&gt;0"),0)</f>
        <v>#N/A</v>
      </c>
      <c r="AV341" s="422" t="str">
        <f t="shared" si="246"/>
        <v/>
      </c>
      <c r="AW341" s="422" t="str">
        <f t="shared" si="247"/>
        <v/>
      </c>
      <c r="AX341" s="423">
        <f t="shared" si="222"/>
        <v>0</v>
      </c>
      <c r="AY341" s="421" t="e">
        <f>INDEX(T03_Skills!$AA$3:$BU$41,MATCH('C03_ClassVariables'!$G347,T03_Skills!$Z$3:$Z$41,0),MATCH('C03_ClassVariables'!BD$313,T03_Skills!$AA$2:$BU$2,0))</f>
        <v>#N/A</v>
      </c>
      <c r="AZ341" s="422" t="e">
        <f t="shared" si="248"/>
        <v>#N/A</v>
      </c>
      <c r="BA341" s="422" t="e">
        <f>IF(AZ341&gt;0,1+COUNTIF(BA$314:BA340,"&gt;0"),0)</f>
        <v>#N/A</v>
      </c>
      <c r="BB341" s="422" t="str">
        <f t="shared" si="249"/>
        <v/>
      </c>
      <c r="BC341" s="422" t="str">
        <f t="shared" si="250"/>
        <v/>
      </c>
      <c r="BD341" s="423">
        <f t="shared" si="223"/>
        <v>0</v>
      </c>
      <c r="BE341" s="421" t="e">
        <f>INDEX(T03_Skills!$AA$3:$BU$41,MATCH('C03_ClassVariables'!$G347,T03_Skills!$Z$3:$Z$41,0),MATCH('C03_ClassVariables'!BJ$313,T03_Skills!$AA$2:$BU$2,0))</f>
        <v>#N/A</v>
      </c>
      <c r="BF341" s="422" t="e">
        <f t="shared" si="251"/>
        <v>#N/A</v>
      </c>
      <c r="BG341" s="422" t="e">
        <f>IF(BF341&gt;0,1+COUNTIF(BG$314:BG340,"&gt;0"),0)</f>
        <v>#N/A</v>
      </c>
      <c r="BH341" s="422" t="str">
        <f t="shared" si="252"/>
        <v/>
      </c>
      <c r="BI341" s="422" t="str">
        <f t="shared" si="253"/>
        <v/>
      </c>
      <c r="BJ341" s="423">
        <f t="shared" si="224"/>
        <v>0</v>
      </c>
      <c r="BK341" s="421" t="e">
        <f>INDEX(T03_Skills!$AA$3:$BU$41,MATCH('C03_ClassVariables'!$G347,T03_Skills!$Z$3:$Z$41,0),MATCH('C03_ClassVariables'!BP$313,T03_Skills!$AA$2:$BU$2,0))</f>
        <v>#N/A</v>
      </c>
      <c r="BL341" s="422" t="e">
        <f t="shared" si="254"/>
        <v>#N/A</v>
      </c>
      <c r="BM341" s="422" t="e">
        <f>IF(BL341&gt;0,1+COUNTIF(BM$314:BM340,"&gt;0"),0)</f>
        <v>#N/A</v>
      </c>
      <c r="BN341" s="422" t="str">
        <f t="shared" si="255"/>
        <v/>
      </c>
      <c r="BO341" s="422" t="str">
        <f t="shared" si="256"/>
        <v/>
      </c>
      <c r="BP341" s="423">
        <f t="shared" si="225"/>
        <v>0</v>
      </c>
      <c r="BQ341" s="421" t="e">
        <f>INDEX(T03_Skills!$AA$3:$BU$41,MATCH('C03_ClassVariables'!$G347,T03_Skills!$Z$3:$Z$41,0),MATCH('C03_ClassVariables'!BV$313,T03_Skills!$AA$2:$BU$2,0))</f>
        <v>#N/A</v>
      </c>
      <c r="BR341" s="422" t="e">
        <f t="shared" si="257"/>
        <v>#N/A</v>
      </c>
      <c r="BS341" s="422" t="e">
        <f>IF(BR341&gt;0,1+COUNTIF(BS$314:BS340,"&gt;0"),0)</f>
        <v>#N/A</v>
      </c>
      <c r="BT341" s="422" t="str">
        <f t="shared" si="258"/>
        <v/>
      </c>
      <c r="BU341" s="422" t="str">
        <f t="shared" si="259"/>
        <v/>
      </c>
      <c r="BV341" s="423">
        <f t="shared" si="226"/>
        <v>0</v>
      </c>
      <c r="BW341" s="421" t="e">
        <f>INDEX(T03_Skills!$AA$3:$BU$41,MATCH('C03_ClassVariables'!$G347,T03_Skills!$Z$3:$Z$41,0),MATCH('C03_ClassVariables'!CB$313,T03_Skills!$AA$2:$BU$2,0))</f>
        <v>#N/A</v>
      </c>
      <c r="BX341" s="422" t="e">
        <f t="shared" si="260"/>
        <v>#N/A</v>
      </c>
      <c r="BY341" s="422" t="e">
        <f>IF(BX341&gt;0,1+COUNTIF(BY$314:BY340,"&gt;0"),0)</f>
        <v>#N/A</v>
      </c>
      <c r="BZ341" s="422" t="str">
        <f t="shared" si="261"/>
        <v/>
      </c>
      <c r="CA341" s="422" t="str">
        <f t="shared" si="262"/>
        <v/>
      </c>
      <c r="CB341" s="423">
        <f t="shared" si="227"/>
        <v>0</v>
      </c>
      <c r="CC341" s="421" t="e">
        <f>INDEX(T03_Skills!$AA$3:$BU$41,MATCH('C03_ClassVariables'!$G347,T03_Skills!$Z$3:$Z$41,0),MATCH('C03_ClassVariables'!CH$313,T03_Skills!$AA$2:$BU$2,0))</f>
        <v>#N/A</v>
      </c>
      <c r="CD341" s="422" t="e">
        <f t="shared" si="263"/>
        <v>#N/A</v>
      </c>
      <c r="CE341" s="422" t="e">
        <f>IF(CD341&gt;0,1+COUNTIF(CE$314:CE340,"&gt;0"),0)</f>
        <v>#N/A</v>
      </c>
      <c r="CF341" s="422" t="str">
        <f t="shared" si="264"/>
        <v/>
      </c>
      <c r="CG341" s="422" t="str">
        <f t="shared" si="265"/>
        <v/>
      </c>
      <c r="CH341" s="423">
        <f t="shared" si="228"/>
        <v>0</v>
      </c>
      <c r="CI341" s="428"/>
      <c r="CJ341" s="428"/>
      <c r="CK341" s="422"/>
      <c r="CL341" s="422"/>
      <c r="CM341" s="422"/>
      <c r="CN341" s="423"/>
      <c r="CO341" s="421"/>
      <c r="CP341" s="422"/>
      <c r="CQ341" s="422"/>
      <c r="CR341" s="422"/>
      <c r="CS341" s="422"/>
      <c r="CT341" s="423"/>
      <c r="CU341" s="421"/>
      <c r="CV341" s="422"/>
      <c r="CW341" s="422"/>
      <c r="CX341" s="422"/>
      <c r="CY341" s="422"/>
      <c r="CZ341" s="423"/>
      <c r="DA341" s="421"/>
      <c r="DB341" s="422"/>
      <c r="DC341" s="422"/>
      <c r="DD341" s="422"/>
      <c r="DE341" s="422"/>
      <c r="DF341" s="423"/>
      <c r="DG341" s="421"/>
      <c r="DH341" s="422"/>
      <c r="DI341" s="422"/>
      <c r="DJ341" s="422"/>
      <c r="DK341" s="422"/>
      <c r="DL341" s="423"/>
      <c r="DM341" s="421"/>
      <c r="DN341" s="422"/>
      <c r="DO341" s="422"/>
      <c r="DP341" s="422"/>
      <c r="DQ341" s="422"/>
      <c r="DR341" s="423"/>
      <c r="DS341" s="421"/>
      <c r="DT341" s="422"/>
      <c r="DU341" s="422"/>
      <c r="DV341" s="422"/>
      <c r="DW341" s="422"/>
      <c r="DX341" s="423"/>
      <c r="DY341" s="428"/>
      <c r="DZ341" s="138"/>
    </row>
    <row r="342" spans="1:130" ht="16.5" x14ac:dyDescent="0.3">
      <c r="A342" s="132">
        <f>IFERROR(IF(A341+1&lt;MAX(T041_ClassFeatures!$A$2:$A$2033),A341+1,""),"")</f>
        <v>339</v>
      </c>
      <c r="B342" s="131" t="str">
        <f>IFERROR(INDEX(T041_ClassFeatures!$B$2:$B$2033,MATCH('C03_ClassVariables'!A342,T041_ClassFeatures!$A$2:$A$2033,0),1),"")</f>
        <v>Minor Alchemy</v>
      </c>
      <c r="C342" s="131">
        <f>IF(B342="",0,IF(IFERROR(MATCH(B342,'C01_BaseCalculation'!$W$160:$W$239,0),0)&gt;0,1,0))</f>
        <v>0</v>
      </c>
      <c r="E342" s="428"/>
      <c r="F342" s="428"/>
      <c r="G342" s="4" t="s">
        <v>472</v>
      </c>
      <c r="I342" s="421">
        <f>INDEX(T03_Skills!$AA$3:$BU$41,MATCH('C03_ClassVariables'!$G348,T03_Skills!$Z$3:$Z$41,0),MATCH('C03_ClassVariables'!N$313,T03_Skills!$AA$2:$BU$2,0))</f>
        <v>0</v>
      </c>
      <c r="J342" s="422">
        <f t="shared" si="229"/>
        <v>0</v>
      </c>
      <c r="K342" s="422">
        <f>IF(I342&gt;0,1+COUNTIF(K$314:K341,"&gt;0"),0)</f>
        <v>0</v>
      </c>
      <c r="L342" s="422" t="str">
        <f t="shared" si="230"/>
        <v/>
      </c>
      <c r="M342" s="422" t="str">
        <f t="shared" si="214"/>
        <v/>
      </c>
      <c r="N342" s="423">
        <f t="shared" si="215"/>
        <v>0</v>
      </c>
      <c r="O342" s="421">
        <f>INDEX(T03_Skills!$AA$3:$BU$41,MATCH('C03_ClassVariables'!$G348,T03_Skills!$Z$3:$Z$41,0),MATCH('C03_ClassVariables'!T$313,T03_Skills!$AA$2:$BU$2,0))</f>
        <v>1</v>
      </c>
      <c r="P342" s="422">
        <f t="shared" si="231"/>
        <v>1</v>
      </c>
      <c r="Q342" s="422">
        <f>IF(P342&gt;0,1+COUNTIF(Q$314:Q341,"&gt;0"),0)</f>
        <v>29</v>
      </c>
      <c r="R342" s="422">
        <f t="shared" si="232"/>
        <v>29</v>
      </c>
      <c r="S342" s="422" t="str">
        <f t="shared" si="216"/>
        <v>Horn</v>
      </c>
      <c r="T342" s="423">
        <f t="shared" si="217"/>
        <v>0</v>
      </c>
      <c r="U342" s="421" t="e">
        <f>INDEX(T03_Skills!$AA$3:$BU$41,MATCH('C03_ClassVariables'!$G348,T03_Skills!$Z$3:$Z$41,0),MATCH('C03_ClassVariables'!Z$313,T03_Skills!$AA$2:$BU$2,0))</f>
        <v>#N/A</v>
      </c>
      <c r="V342" s="422" t="e">
        <f t="shared" si="233"/>
        <v>#N/A</v>
      </c>
      <c r="W342" s="422" t="e">
        <f>IF(V342&gt;0,1+COUNTIF(W$314:W341,"&gt;0"),0)</f>
        <v>#N/A</v>
      </c>
      <c r="X342" s="422" t="str">
        <f t="shared" si="234"/>
        <v/>
      </c>
      <c r="Y342" s="422" t="str">
        <f t="shared" si="235"/>
        <v/>
      </c>
      <c r="Z342" s="423">
        <f t="shared" si="218"/>
        <v>0</v>
      </c>
      <c r="AA342" s="421" t="e">
        <f>INDEX(T03_Skills!$AA$3:$BU$41,MATCH('C03_ClassVariables'!$G348,T03_Skills!$Z$3:$Z$41,0),MATCH('C03_ClassVariables'!AF$313,T03_Skills!$AA$2:$BU$2,0))</f>
        <v>#N/A</v>
      </c>
      <c r="AB342" s="422" t="e">
        <f t="shared" si="236"/>
        <v>#N/A</v>
      </c>
      <c r="AC342" s="422" t="e">
        <f>IF(AB342&gt;0,1+COUNTIF(AC$314:AC341,"&gt;0"),0)</f>
        <v>#N/A</v>
      </c>
      <c r="AD342" s="422" t="str">
        <f t="shared" si="237"/>
        <v/>
      </c>
      <c r="AE342" s="422" t="str">
        <f t="shared" si="238"/>
        <v/>
      </c>
      <c r="AF342" s="423">
        <f t="shared" si="219"/>
        <v>0</v>
      </c>
      <c r="AG342" s="421" t="e">
        <f>INDEX(T03_Skills!$AA$3:$BU$41,MATCH('C03_ClassVariables'!$G348,T03_Skills!$Z$3:$Z$41,0),MATCH('C03_ClassVariables'!AL$313,T03_Skills!$AA$2:$BU$2,0))</f>
        <v>#N/A</v>
      </c>
      <c r="AH342" s="422" t="e">
        <f t="shared" si="239"/>
        <v>#N/A</v>
      </c>
      <c r="AI342" s="422" t="e">
        <f>IF(AH342&gt;0,1+COUNTIF(AI$314:AI341,"&gt;0"),0)</f>
        <v>#N/A</v>
      </c>
      <c r="AJ342" s="422" t="str">
        <f t="shared" si="240"/>
        <v/>
      </c>
      <c r="AK342" s="422" t="str">
        <f t="shared" si="241"/>
        <v/>
      </c>
      <c r="AL342" s="423">
        <f t="shared" si="220"/>
        <v>0</v>
      </c>
      <c r="AM342" s="421" t="e">
        <f>INDEX(T03_Skills!$AA$3:$BU$41,MATCH('C03_ClassVariables'!$G348,T03_Skills!$Z$3:$Z$41,0),MATCH('C03_ClassVariables'!AR$313,T03_Skills!$AA$2:$BU$2,0))</f>
        <v>#N/A</v>
      </c>
      <c r="AN342" s="422" t="e">
        <f t="shared" si="242"/>
        <v>#N/A</v>
      </c>
      <c r="AO342" s="422" t="e">
        <f>IF(AN342&gt;0,1+COUNTIF(AO$314:AO341,"&gt;0"),0)</f>
        <v>#N/A</v>
      </c>
      <c r="AP342" s="422" t="str">
        <f t="shared" si="243"/>
        <v/>
      </c>
      <c r="AQ342" s="422" t="str">
        <f t="shared" si="244"/>
        <v/>
      </c>
      <c r="AR342" s="423">
        <f t="shared" si="221"/>
        <v>0</v>
      </c>
      <c r="AS342" s="421" t="e">
        <f>INDEX(T03_Skills!$AA$3:$BU$41,MATCH('C03_ClassVariables'!$G348,T03_Skills!$Z$3:$Z$41,0),MATCH('C03_ClassVariables'!AX$313,T03_Skills!$AA$2:$BU$2,0))</f>
        <v>#N/A</v>
      </c>
      <c r="AT342" s="422" t="e">
        <f t="shared" si="245"/>
        <v>#N/A</v>
      </c>
      <c r="AU342" s="422" t="e">
        <f>IF(AT342&gt;0,1+COUNTIF(AU$314:AU341,"&gt;0"),0)</f>
        <v>#N/A</v>
      </c>
      <c r="AV342" s="422" t="str">
        <f t="shared" si="246"/>
        <v/>
      </c>
      <c r="AW342" s="422" t="str">
        <f t="shared" si="247"/>
        <v/>
      </c>
      <c r="AX342" s="423">
        <f t="shared" si="222"/>
        <v>0</v>
      </c>
      <c r="AY342" s="421" t="e">
        <f>INDEX(T03_Skills!$AA$3:$BU$41,MATCH('C03_ClassVariables'!$G348,T03_Skills!$Z$3:$Z$41,0),MATCH('C03_ClassVariables'!BD$313,T03_Skills!$AA$2:$BU$2,0))</f>
        <v>#N/A</v>
      </c>
      <c r="AZ342" s="422" t="e">
        <f t="shared" si="248"/>
        <v>#N/A</v>
      </c>
      <c r="BA342" s="422" t="e">
        <f>IF(AZ342&gt;0,1+COUNTIF(BA$314:BA341,"&gt;0"),0)</f>
        <v>#N/A</v>
      </c>
      <c r="BB342" s="422" t="str">
        <f t="shared" si="249"/>
        <v/>
      </c>
      <c r="BC342" s="422" t="str">
        <f t="shared" si="250"/>
        <v/>
      </c>
      <c r="BD342" s="423">
        <f t="shared" si="223"/>
        <v>0</v>
      </c>
      <c r="BE342" s="421" t="e">
        <f>INDEX(T03_Skills!$AA$3:$BU$41,MATCH('C03_ClassVariables'!$G348,T03_Skills!$Z$3:$Z$41,0),MATCH('C03_ClassVariables'!BJ$313,T03_Skills!$AA$2:$BU$2,0))</f>
        <v>#N/A</v>
      </c>
      <c r="BF342" s="422" t="e">
        <f t="shared" si="251"/>
        <v>#N/A</v>
      </c>
      <c r="BG342" s="422" t="e">
        <f>IF(BF342&gt;0,1+COUNTIF(BG$314:BG341,"&gt;0"),0)</f>
        <v>#N/A</v>
      </c>
      <c r="BH342" s="422" t="str">
        <f t="shared" si="252"/>
        <v/>
      </c>
      <c r="BI342" s="422" t="str">
        <f t="shared" si="253"/>
        <v/>
      </c>
      <c r="BJ342" s="423">
        <f t="shared" si="224"/>
        <v>0</v>
      </c>
      <c r="BK342" s="421" t="e">
        <f>INDEX(T03_Skills!$AA$3:$BU$41,MATCH('C03_ClassVariables'!$G348,T03_Skills!$Z$3:$Z$41,0),MATCH('C03_ClassVariables'!BP$313,T03_Skills!$AA$2:$BU$2,0))</f>
        <v>#N/A</v>
      </c>
      <c r="BL342" s="422" t="e">
        <f t="shared" si="254"/>
        <v>#N/A</v>
      </c>
      <c r="BM342" s="422" t="e">
        <f>IF(BL342&gt;0,1+COUNTIF(BM$314:BM341,"&gt;0"),0)</f>
        <v>#N/A</v>
      </c>
      <c r="BN342" s="422" t="str">
        <f t="shared" si="255"/>
        <v/>
      </c>
      <c r="BO342" s="422" t="str">
        <f t="shared" si="256"/>
        <v/>
      </c>
      <c r="BP342" s="423">
        <f t="shared" si="225"/>
        <v>0</v>
      </c>
      <c r="BQ342" s="421" t="e">
        <f>INDEX(T03_Skills!$AA$3:$BU$41,MATCH('C03_ClassVariables'!$G348,T03_Skills!$Z$3:$Z$41,0),MATCH('C03_ClassVariables'!BV$313,T03_Skills!$AA$2:$BU$2,0))</f>
        <v>#N/A</v>
      </c>
      <c r="BR342" s="422" t="e">
        <f t="shared" si="257"/>
        <v>#N/A</v>
      </c>
      <c r="BS342" s="422" t="e">
        <f>IF(BR342&gt;0,1+COUNTIF(BS$314:BS341,"&gt;0"),0)</f>
        <v>#N/A</v>
      </c>
      <c r="BT342" s="422" t="str">
        <f t="shared" si="258"/>
        <v/>
      </c>
      <c r="BU342" s="422" t="str">
        <f t="shared" si="259"/>
        <v/>
      </c>
      <c r="BV342" s="423">
        <f t="shared" si="226"/>
        <v>0</v>
      </c>
      <c r="BW342" s="421" t="e">
        <f>INDEX(T03_Skills!$AA$3:$BU$41,MATCH('C03_ClassVariables'!$G348,T03_Skills!$Z$3:$Z$41,0),MATCH('C03_ClassVariables'!CB$313,T03_Skills!$AA$2:$BU$2,0))</f>
        <v>#N/A</v>
      </c>
      <c r="BX342" s="422" t="e">
        <f t="shared" si="260"/>
        <v>#N/A</v>
      </c>
      <c r="BY342" s="422" t="e">
        <f>IF(BX342&gt;0,1+COUNTIF(BY$314:BY341,"&gt;0"),0)</f>
        <v>#N/A</v>
      </c>
      <c r="BZ342" s="422" t="str">
        <f t="shared" si="261"/>
        <v/>
      </c>
      <c r="CA342" s="422" t="str">
        <f t="shared" si="262"/>
        <v/>
      </c>
      <c r="CB342" s="423">
        <f t="shared" si="227"/>
        <v>0</v>
      </c>
      <c r="CC342" s="421" t="e">
        <f>INDEX(T03_Skills!$AA$3:$BU$41,MATCH('C03_ClassVariables'!$G348,T03_Skills!$Z$3:$Z$41,0),MATCH('C03_ClassVariables'!CH$313,T03_Skills!$AA$2:$BU$2,0))</f>
        <v>#N/A</v>
      </c>
      <c r="CD342" s="422" t="e">
        <f t="shared" si="263"/>
        <v>#N/A</v>
      </c>
      <c r="CE342" s="422" t="e">
        <f>IF(CD342&gt;0,1+COUNTIF(CE$314:CE341,"&gt;0"),0)</f>
        <v>#N/A</v>
      </c>
      <c r="CF342" s="422" t="str">
        <f t="shared" si="264"/>
        <v/>
      </c>
      <c r="CG342" s="422" t="str">
        <f t="shared" si="265"/>
        <v/>
      </c>
      <c r="CH342" s="423">
        <f t="shared" si="228"/>
        <v>0</v>
      </c>
      <c r="CI342" s="428"/>
      <c r="CJ342" s="428"/>
      <c r="CK342" s="422"/>
      <c r="CL342" s="422"/>
      <c r="CM342" s="422"/>
      <c r="CN342" s="423"/>
      <c r="CO342" s="421"/>
      <c r="CP342" s="422"/>
      <c r="CQ342" s="422"/>
      <c r="CR342" s="422"/>
      <c r="CS342" s="422"/>
      <c r="CT342" s="423"/>
      <c r="CU342" s="421"/>
      <c r="CV342" s="422"/>
      <c r="CW342" s="422"/>
      <c r="CX342" s="422"/>
      <c r="CY342" s="422"/>
      <c r="CZ342" s="423"/>
      <c r="DA342" s="421"/>
      <c r="DB342" s="422"/>
      <c r="DC342" s="422"/>
      <c r="DD342" s="422"/>
      <c r="DE342" s="422"/>
      <c r="DF342" s="423"/>
      <c r="DG342" s="421"/>
      <c r="DH342" s="422"/>
      <c r="DI342" s="422"/>
      <c r="DJ342" s="422"/>
      <c r="DK342" s="422"/>
      <c r="DL342" s="423"/>
      <c r="DM342" s="421"/>
      <c r="DN342" s="422"/>
      <c r="DO342" s="422"/>
      <c r="DP342" s="422"/>
      <c r="DQ342" s="422"/>
      <c r="DR342" s="423"/>
      <c r="DS342" s="421"/>
      <c r="DT342" s="422"/>
      <c r="DU342" s="422"/>
      <c r="DV342" s="422"/>
      <c r="DW342" s="422"/>
      <c r="DX342" s="423"/>
      <c r="DY342" s="428"/>
      <c r="DZ342" s="138"/>
    </row>
    <row r="343" spans="1:130" ht="16.5" x14ac:dyDescent="0.3">
      <c r="A343" s="132">
        <f>IFERROR(IF(A342+1&lt;MAX(T041_ClassFeatures!$A$2:$A$2033),A342+1,""),"")</f>
        <v>340</v>
      </c>
      <c r="B343" s="131" t="str">
        <f>IFERROR(INDEX(T041_ClassFeatures!$B$2:$B$2033,MATCH('C03_ClassVariables'!A343,T041_ClassFeatures!$A$2:$A$2033,0),1),"")</f>
        <v>Transmuter's Stone</v>
      </c>
      <c r="C343" s="131">
        <f>IF(B343="",0,IF(IFERROR(MATCH(B343,'C01_BaseCalculation'!$W$160:$W$239,0),0)&gt;0,1,0))</f>
        <v>0</v>
      </c>
      <c r="E343" s="428"/>
      <c r="F343" s="428"/>
      <c r="G343" s="4" t="s">
        <v>333</v>
      </c>
      <c r="I343" s="421">
        <f>INDEX(T03_Skills!$AA$3:$BU$41,MATCH('C03_ClassVariables'!$G349,T03_Skills!$Z$3:$Z$41,0),MATCH('C03_ClassVariables'!N$313,T03_Skills!$AA$2:$BU$2,0))</f>
        <v>0</v>
      </c>
      <c r="J343" s="422">
        <f t="shared" si="229"/>
        <v>0</v>
      </c>
      <c r="K343" s="422">
        <f>IF(I343&gt;0,1+COUNTIF(K$314:K342,"&gt;0"),0)</f>
        <v>0</v>
      </c>
      <c r="L343" s="422" t="str">
        <f t="shared" si="230"/>
        <v/>
      </c>
      <c r="M343" s="422" t="str">
        <f t="shared" si="214"/>
        <v/>
      </c>
      <c r="N343" s="423">
        <f t="shared" si="215"/>
        <v>0</v>
      </c>
      <c r="O343" s="421">
        <f>INDEX(T03_Skills!$AA$3:$BU$41,MATCH('C03_ClassVariables'!$G349,T03_Skills!$Z$3:$Z$41,0),MATCH('C03_ClassVariables'!T$313,T03_Skills!$AA$2:$BU$2,0))</f>
        <v>1</v>
      </c>
      <c r="P343" s="422">
        <f t="shared" si="231"/>
        <v>1</v>
      </c>
      <c r="Q343" s="422">
        <f>IF(P343&gt;0,1+COUNTIF(Q$314:Q342,"&gt;0"),0)</f>
        <v>30</v>
      </c>
      <c r="R343" s="422">
        <f t="shared" si="232"/>
        <v>30</v>
      </c>
      <c r="S343" s="422" t="str">
        <f t="shared" si="216"/>
        <v>Lute</v>
      </c>
      <c r="T343" s="423">
        <f t="shared" si="217"/>
        <v>0</v>
      </c>
      <c r="U343" s="421" t="e">
        <f>INDEX(T03_Skills!$AA$3:$BU$41,MATCH('C03_ClassVariables'!$G349,T03_Skills!$Z$3:$Z$41,0),MATCH('C03_ClassVariables'!Z$313,T03_Skills!$AA$2:$BU$2,0))</f>
        <v>#N/A</v>
      </c>
      <c r="V343" s="422" t="e">
        <f t="shared" si="233"/>
        <v>#N/A</v>
      </c>
      <c r="W343" s="422" t="e">
        <f>IF(V343&gt;0,1+COUNTIF(W$314:W342,"&gt;0"),0)</f>
        <v>#N/A</v>
      </c>
      <c r="X343" s="422" t="str">
        <f t="shared" si="234"/>
        <v/>
      </c>
      <c r="Y343" s="422" t="str">
        <f t="shared" si="235"/>
        <v/>
      </c>
      <c r="Z343" s="423">
        <f t="shared" si="218"/>
        <v>0</v>
      </c>
      <c r="AA343" s="421" t="e">
        <f>INDEX(T03_Skills!$AA$3:$BU$41,MATCH('C03_ClassVariables'!$G349,T03_Skills!$Z$3:$Z$41,0),MATCH('C03_ClassVariables'!AF$313,T03_Skills!$AA$2:$BU$2,0))</f>
        <v>#N/A</v>
      </c>
      <c r="AB343" s="422" t="e">
        <f t="shared" si="236"/>
        <v>#N/A</v>
      </c>
      <c r="AC343" s="422" t="e">
        <f>IF(AB343&gt;0,1+COUNTIF(AC$314:AC342,"&gt;0"),0)</f>
        <v>#N/A</v>
      </c>
      <c r="AD343" s="422" t="str">
        <f t="shared" si="237"/>
        <v/>
      </c>
      <c r="AE343" s="422" t="str">
        <f t="shared" si="238"/>
        <v/>
      </c>
      <c r="AF343" s="423">
        <f t="shared" si="219"/>
        <v>0</v>
      </c>
      <c r="AG343" s="421" t="e">
        <f>INDEX(T03_Skills!$AA$3:$BU$41,MATCH('C03_ClassVariables'!$G349,T03_Skills!$Z$3:$Z$41,0),MATCH('C03_ClassVariables'!AL$313,T03_Skills!$AA$2:$BU$2,0))</f>
        <v>#N/A</v>
      </c>
      <c r="AH343" s="422" t="e">
        <f t="shared" si="239"/>
        <v>#N/A</v>
      </c>
      <c r="AI343" s="422" t="e">
        <f>IF(AH343&gt;0,1+COUNTIF(AI$314:AI342,"&gt;0"),0)</f>
        <v>#N/A</v>
      </c>
      <c r="AJ343" s="422" t="str">
        <f t="shared" si="240"/>
        <v/>
      </c>
      <c r="AK343" s="422" t="str">
        <f t="shared" si="241"/>
        <v/>
      </c>
      <c r="AL343" s="423">
        <f t="shared" si="220"/>
        <v>0</v>
      </c>
      <c r="AM343" s="421" t="e">
        <f>INDEX(T03_Skills!$AA$3:$BU$41,MATCH('C03_ClassVariables'!$G349,T03_Skills!$Z$3:$Z$41,0),MATCH('C03_ClassVariables'!AR$313,T03_Skills!$AA$2:$BU$2,0))</f>
        <v>#N/A</v>
      </c>
      <c r="AN343" s="422" t="e">
        <f t="shared" si="242"/>
        <v>#N/A</v>
      </c>
      <c r="AO343" s="422" t="e">
        <f>IF(AN343&gt;0,1+COUNTIF(AO$314:AO342,"&gt;0"),0)</f>
        <v>#N/A</v>
      </c>
      <c r="AP343" s="422" t="str">
        <f t="shared" si="243"/>
        <v/>
      </c>
      <c r="AQ343" s="422" t="str">
        <f t="shared" si="244"/>
        <v/>
      </c>
      <c r="AR343" s="423">
        <f t="shared" si="221"/>
        <v>0</v>
      </c>
      <c r="AS343" s="421" t="e">
        <f>INDEX(T03_Skills!$AA$3:$BU$41,MATCH('C03_ClassVariables'!$G349,T03_Skills!$Z$3:$Z$41,0),MATCH('C03_ClassVariables'!AX$313,T03_Skills!$AA$2:$BU$2,0))</f>
        <v>#N/A</v>
      </c>
      <c r="AT343" s="422" t="e">
        <f t="shared" si="245"/>
        <v>#N/A</v>
      </c>
      <c r="AU343" s="422" t="e">
        <f>IF(AT343&gt;0,1+COUNTIF(AU$314:AU342,"&gt;0"),0)</f>
        <v>#N/A</v>
      </c>
      <c r="AV343" s="422" t="str">
        <f t="shared" si="246"/>
        <v/>
      </c>
      <c r="AW343" s="422" t="str">
        <f t="shared" si="247"/>
        <v/>
      </c>
      <c r="AX343" s="423">
        <f t="shared" si="222"/>
        <v>0</v>
      </c>
      <c r="AY343" s="421" t="e">
        <f>INDEX(T03_Skills!$AA$3:$BU$41,MATCH('C03_ClassVariables'!$G349,T03_Skills!$Z$3:$Z$41,0),MATCH('C03_ClassVariables'!BD$313,T03_Skills!$AA$2:$BU$2,0))</f>
        <v>#N/A</v>
      </c>
      <c r="AZ343" s="422" t="e">
        <f t="shared" si="248"/>
        <v>#N/A</v>
      </c>
      <c r="BA343" s="422" t="e">
        <f>IF(AZ343&gt;0,1+COUNTIF(BA$314:BA342,"&gt;0"),0)</f>
        <v>#N/A</v>
      </c>
      <c r="BB343" s="422" t="str">
        <f t="shared" si="249"/>
        <v/>
      </c>
      <c r="BC343" s="422" t="str">
        <f t="shared" si="250"/>
        <v/>
      </c>
      <c r="BD343" s="423">
        <f t="shared" si="223"/>
        <v>0</v>
      </c>
      <c r="BE343" s="421" t="e">
        <f>INDEX(T03_Skills!$AA$3:$BU$41,MATCH('C03_ClassVariables'!$G349,T03_Skills!$Z$3:$Z$41,0),MATCH('C03_ClassVariables'!BJ$313,T03_Skills!$AA$2:$BU$2,0))</f>
        <v>#N/A</v>
      </c>
      <c r="BF343" s="422" t="e">
        <f t="shared" si="251"/>
        <v>#N/A</v>
      </c>
      <c r="BG343" s="422" t="e">
        <f>IF(BF343&gt;0,1+COUNTIF(BG$314:BG342,"&gt;0"),0)</f>
        <v>#N/A</v>
      </c>
      <c r="BH343" s="422" t="str">
        <f t="shared" si="252"/>
        <v/>
      </c>
      <c r="BI343" s="422" t="str">
        <f t="shared" si="253"/>
        <v/>
      </c>
      <c r="BJ343" s="423">
        <f t="shared" si="224"/>
        <v>0</v>
      </c>
      <c r="BK343" s="421" t="e">
        <f>INDEX(T03_Skills!$AA$3:$BU$41,MATCH('C03_ClassVariables'!$G349,T03_Skills!$Z$3:$Z$41,0),MATCH('C03_ClassVariables'!BP$313,T03_Skills!$AA$2:$BU$2,0))</f>
        <v>#N/A</v>
      </c>
      <c r="BL343" s="422" t="e">
        <f t="shared" si="254"/>
        <v>#N/A</v>
      </c>
      <c r="BM343" s="422" t="e">
        <f>IF(BL343&gt;0,1+COUNTIF(BM$314:BM342,"&gt;0"),0)</f>
        <v>#N/A</v>
      </c>
      <c r="BN343" s="422" t="str">
        <f t="shared" si="255"/>
        <v/>
      </c>
      <c r="BO343" s="422" t="str">
        <f t="shared" si="256"/>
        <v/>
      </c>
      <c r="BP343" s="423">
        <f t="shared" si="225"/>
        <v>0</v>
      </c>
      <c r="BQ343" s="421" t="e">
        <f>INDEX(T03_Skills!$AA$3:$BU$41,MATCH('C03_ClassVariables'!$G349,T03_Skills!$Z$3:$Z$41,0),MATCH('C03_ClassVariables'!BV$313,T03_Skills!$AA$2:$BU$2,0))</f>
        <v>#N/A</v>
      </c>
      <c r="BR343" s="422" t="e">
        <f t="shared" si="257"/>
        <v>#N/A</v>
      </c>
      <c r="BS343" s="422" t="e">
        <f>IF(BR343&gt;0,1+COUNTIF(BS$314:BS342,"&gt;0"),0)</f>
        <v>#N/A</v>
      </c>
      <c r="BT343" s="422" t="str">
        <f t="shared" si="258"/>
        <v/>
      </c>
      <c r="BU343" s="422" t="str">
        <f t="shared" si="259"/>
        <v/>
      </c>
      <c r="BV343" s="423">
        <f t="shared" si="226"/>
        <v>0</v>
      </c>
      <c r="BW343" s="421" t="e">
        <f>INDEX(T03_Skills!$AA$3:$BU$41,MATCH('C03_ClassVariables'!$G349,T03_Skills!$Z$3:$Z$41,0),MATCH('C03_ClassVariables'!CB$313,T03_Skills!$AA$2:$BU$2,0))</f>
        <v>#N/A</v>
      </c>
      <c r="BX343" s="422" t="e">
        <f t="shared" si="260"/>
        <v>#N/A</v>
      </c>
      <c r="BY343" s="422" t="e">
        <f>IF(BX343&gt;0,1+COUNTIF(BY$314:BY342,"&gt;0"),0)</f>
        <v>#N/A</v>
      </c>
      <c r="BZ343" s="422" t="str">
        <f t="shared" si="261"/>
        <v/>
      </c>
      <c r="CA343" s="422" t="str">
        <f t="shared" si="262"/>
        <v/>
      </c>
      <c r="CB343" s="423">
        <f t="shared" si="227"/>
        <v>0</v>
      </c>
      <c r="CC343" s="421" t="e">
        <f>INDEX(T03_Skills!$AA$3:$BU$41,MATCH('C03_ClassVariables'!$G349,T03_Skills!$Z$3:$Z$41,0),MATCH('C03_ClassVariables'!CH$313,T03_Skills!$AA$2:$BU$2,0))</f>
        <v>#N/A</v>
      </c>
      <c r="CD343" s="422" t="e">
        <f t="shared" si="263"/>
        <v>#N/A</v>
      </c>
      <c r="CE343" s="422" t="e">
        <f>IF(CD343&gt;0,1+COUNTIF(CE$314:CE342,"&gt;0"),0)</f>
        <v>#N/A</v>
      </c>
      <c r="CF343" s="422" t="str">
        <f t="shared" si="264"/>
        <v/>
      </c>
      <c r="CG343" s="422" t="str">
        <f t="shared" si="265"/>
        <v/>
      </c>
      <c r="CH343" s="423">
        <f t="shared" si="228"/>
        <v>0</v>
      </c>
      <c r="CI343" s="428"/>
      <c r="CJ343" s="428"/>
      <c r="CK343" s="422"/>
      <c r="CL343" s="422"/>
      <c r="CM343" s="422"/>
      <c r="CN343" s="423"/>
      <c r="CO343" s="421"/>
      <c r="CP343" s="422"/>
      <c r="CQ343" s="422"/>
      <c r="CR343" s="422"/>
      <c r="CS343" s="422"/>
      <c r="CT343" s="423"/>
      <c r="CU343" s="421"/>
      <c r="CV343" s="422"/>
      <c r="CW343" s="422"/>
      <c r="CX343" s="422"/>
      <c r="CY343" s="422"/>
      <c r="CZ343" s="423"/>
      <c r="DA343" s="421"/>
      <c r="DB343" s="422"/>
      <c r="DC343" s="422"/>
      <c r="DD343" s="422"/>
      <c r="DE343" s="422"/>
      <c r="DF343" s="423"/>
      <c r="DG343" s="421"/>
      <c r="DH343" s="422"/>
      <c r="DI343" s="422"/>
      <c r="DJ343" s="422"/>
      <c r="DK343" s="422"/>
      <c r="DL343" s="423"/>
      <c r="DM343" s="421"/>
      <c r="DN343" s="422"/>
      <c r="DO343" s="422"/>
      <c r="DP343" s="422"/>
      <c r="DQ343" s="422"/>
      <c r="DR343" s="423"/>
      <c r="DS343" s="421"/>
      <c r="DT343" s="422"/>
      <c r="DU343" s="422"/>
      <c r="DV343" s="422"/>
      <c r="DW343" s="422"/>
      <c r="DX343" s="423"/>
      <c r="DY343" s="428"/>
      <c r="DZ343" s="138"/>
    </row>
    <row r="344" spans="1:130" ht="16.5" x14ac:dyDescent="0.3">
      <c r="A344" s="132">
        <f>IFERROR(IF(A343+1&lt;MAX(T041_ClassFeatures!$A$2:$A$2033),A343+1,""),"")</f>
        <v>341</v>
      </c>
      <c r="B344" s="131" t="str">
        <f>IFERROR(INDEX(T041_ClassFeatures!$B$2:$B$2033,MATCH('C03_ClassVariables'!A344,T041_ClassFeatures!$A$2:$A$2033,0),1),"")</f>
        <v>Shapechanger</v>
      </c>
      <c r="C344" s="131">
        <f>IF(B344="",0,IF(IFERROR(MATCH(B344,'C01_BaseCalculation'!$W$160:$W$239,0),0)&gt;0,1,0))</f>
        <v>0</v>
      </c>
      <c r="E344" s="428"/>
      <c r="F344" s="428"/>
      <c r="G344" s="4" t="s">
        <v>203</v>
      </c>
      <c r="I344" s="421">
        <f>INDEX(T03_Skills!$AA$3:$BU$41,MATCH('C03_ClassVariables'!$G350,T03_Skills!$Z$3:$Z$41,0),MATCH('C03_ClassVariables'!N$313,T03_Skills!$AA$2:$BU$2,0))</f>
        <v>0</v>
      </c>
      <c r="J344" s="422">
        <f t="shared" si="229"/>
        <v>0</v>
      </c>
      <c r="K344" s="422">
        <f>IF(I344&gt;0,1+COUNTIF(K$314:K343,"&gt;0"),0)</f>
        <v>0</v>
      </c>
      <c r="L344" s="422" t="str">
        <f t="shared" si="230"/>
        <v/>
      </c>
      <c r="M344" s="422" t="str">
        <f t="shared" si="214"/>
        <v/>
      </c>
      <c r="N344" s="423">
        <f t="shared" si="215"/>
        <v>0</v>
      </c>
      <c r="O344" s="421">
        <f>INDEX(T03_Skills!$AA$3:$BU$41,MATCH('C03_ClassVariables'!$G350,T03_Skills!$Z$3:$Z$41,0),MATCH('C03_ClassVariables'!T$313,T03_Skills!$AA$2:$BU$2,0))</f>
        <v>1</v>
      </c>
      <c r="P344" s="422">
        <f t="shared" si="231"/>
        <v>1</v>
      </c>
      <c r="Q344" s="422">
        <f>IF(P344&gt;0,1+COUNTIF(Q$314:Q343,"&gt;0"),0)</f>
        <v>31</v>
      </c>
      <c r="R344" s="422">
        <f t="shared" si="232"/>
        <v>31</v>
      </c>
      <c r="S344" s="422" t="str">
        <f t="shared" si="216"/>
        <v>Lyre</v>
      </c>
      <c r="T344" s="423">
        <f t="shared" si="217"/>
        <v>0</v>
      </c>
      <c r="U344" s="421" t="e">
        <f>INDEX(T03_Skills!$AA$3:$BU$41,MATCH('C03_ClassVariables'!$G350,T03_Skills!$Z$3:$Z$41,0),MATCH('C03_ClassVariables'!Z$313,T03_Skills!$AA$2:$BU$2,0))</f>
        <v>#N/A</v>
      </c>
      <c r="V344" s="422" t="e">
        <f t="shared" si="233"/>
        <v>#N/A</v>
      </c>
      <c r="W344" s="422" t="e">
        <f>IF(V344&gt;0,1+COUNTIF(W$314:W343,"&gt;0"),0)</f>
        <v>#N/A</v>
      </c>
      <c r="X344" s="422" t="str">
        <f t="shared" si="234"/>
        <v/>
      </c>
      <c r="Y344" s="422" t="str">
        <f t="shared" si="235"/>
        <v/>
      </c>
      <c r="Z344" s="423">
        <f t="shared" si="218"/>
        <v>0</v>
      </c>
      <c r="AA344" s="421" t="e">
        <f>INDEX(T03_Skills!$AA$3:$BU$41,MATCH('C03_ClassVariables'!$G350,T03_Skills!$Z$3:$Z$41,0),MATCH('C03_ClassVariables'!AF$313,T03_Skills!$AA$2:$BU$2,0))</f>
        <v>#N/A</v>
      </c>
      <c r="AB344" s="422" t="e">
        <f t="shared" si="236"/>
        <v>#N/A</v>
      </c>
      <c r="AC344" s="422" t="e">
        <f>IF(AB344&gt;0,1+COUNTIF(AC$314:AC343,"&gt;0"),0)</f>
        <v>#N/A</v>
      </c>
      <c r="AD344" s="422" t="str">
        <f t="shared" si="237"/>
        <v/>
      </c>
      <c r="AE344" s="422" t="str">
        <f t="shared" si="238"/>
        <v/>
      </c>
      <c r="AF344" s="423">
        <f t="shared" si="219"/>
        <v>0</v>
      </c>
      <c r="AG344" s="421" t="e">
        <f>INDEX(T03_Skills!$AA$3:$BU$41,MATCH('C03_ClassVariables'!$G350,T03_Skills!$Z$3:$Z$41,0),MATCH('C03_ClassVariables'!AL$313,T03_Skills!$AA$2:$BU$2,0))</f>
        <v>#N/A</v>
      </c>
      <c r="AH344" s="422" t="e">
        <f t="shared" si="239"/>
        <v>#N/A</v>
      </c>
      <c r="AI344" s="422" t="e">
        <f>IF(AH344&gt;0,1+COUNTIF(AI$314:AI343,"&gt;0"),0)</f>
        <v>#N/A</v>
      </c>
      <c r="AJ344" s="422" t="str">
        <f t="shared" si="240"/>
        <v/>
      </c>
      <c r="AK344" s="422" t="str">
        <f t="shared" si="241"/>
        <v/>
      </c>
      <c r="AL344" s="423">
        <f t="shared" si="220"/>
        <v>0</v>
      </c>
      <c r="AM344" s="421" t="e">
        <f>INDEX(T03_Skills!$AA$3:$BU$41,MATCH('C03_ClassVariables'!$G350,T03_Skills!$Z$3:$Z$41,0),MATCH('C03_ClassVariables'!AR$313,T03_Skills!$AA$2:$BU$2,0))</f>
        <v>#N/A</v>
      </c>
      <c r="AN344" s="422" t="e">
        <f t="shared" si="242"/>
        <v>#N/A</v>
      </c>
      <c r="AO344" s="422" t="e">
        <f>IF(AN344&gt;0,1+COUNTIF(AO$314:AO343,"&gt;0"),0)</f>
        <v>#N/A</v>
      </c>
      <c r="AP344" s="422" t="str">
        <f t="shared" si="243"/>
        <v/>
      </c>
      <c r="AQ344" s="422" t="str">
        <f t="shared" si="244"/>
        <v/>
      </c>
      <c r="AR344" s="423">
        <f t="shared" si="221"/>
        <v>0</v>
      </c>
      <c r="AS344" s="421" t="e">
        <f>INDEX(T03_Skills!$AA$3:$BU$41,MATCH('C03_ClassVariables'!$G350,T03_Skills!$Z$3:$Z$41,0),MATCH('C03_ClassVariables'!AX$313,T03_Skills!$AA$2:$BU$2,0))</f>
        <v>#N/A</v>
      </c>
      <c r="AT344" s="422" t="e">
        <f t="shared" si="245"/>
        <v>#N/A</v>
      </c>
      <c r="AU344" s="422" t="e">
        <f>IF(AT344&gt;0,1+COUNTIF(AU$314:AU343,"&gt;0"),0)</f>
        <v>#N/A</v>
      </c>
      <c r="AV344" s="422" t="str">
        <f t="shared" si="246"/>
        <v/>
      </c>
      <c r="AW344" s="422" t="str">
        <f t="shared" si="247"/>
        <v/>
      </c>
      <c r="AX344" s="423">
        <f t="shared" si="222"/>
        <v>0</v>
      </c>
      <c r="AY344" s="421" t="e">
        <f>INDEX(T03_Skills!$AA$3:$BU$41,MATCH('C03_ClassVariables'!$G350,T03_Skills!$Z$3:$Z$41,0),MATCH('C03_ClassVariables'!BD$313,T03_Skills!$AA$2:$BU$2,0))</f>
        <v>#N/A</v>
      </c>
      <c r="AZ344" s="422" t="e">
        <f t="shared" si="248"/>
        <v>#N/A</v>
      </c>
      <c r="BA344" s="422" t="e">
        <f>IF(AZ344&gt;0,1+COUNTIF(BA$314:BA343,"&gt;0"),0)</f>
        <v>#N/A</v>
      </c>
      <c r="BB344" s="422" t="str">
        <f t="shared" si="249"/>
        <v/>
      </c>
      <c r="BC344" s="422" t="str">
        <f t="shared" si="250"/>
        <v/>
      </c>
      <c r="BD344" s="423">
        <f t="shared" si="223"/>
        <v>0</v>
      </c>
      <c r="BE344" s="421" t="e">
        <f>INDEX(T03_Skills!$AA$3:$BU$41,MATCH('C03_ClassVariables'!$G350,T03_Skills!$Z$3:$Z$41,0),MATCH('C03_ClassVariables'!BJ$313,T03_Skills!$AA$2:$BU$2,0))</f>
        <v>#N/A</v>
      </c>
      <c r="BF344" s="422" t="e">
        <f t="shared" si="251"/>
        <v>#N/A</v>
      </c>
      <c r="BG344" s="422" t="e">
        <f>IF(BF344&gt;0,1+COUNTIF(BG$314:BG343,"&gt;0"),0)</f>
        <v>#N/A</v>
      </c>
      <c r="BH344" s="422" t="str">
        <f t="shared" si="252"/>
        <v/>
      </c>
      <c r="BI344" s="422" t="str">
        <f t="shared" si="253"/>
        <v/>
      </c>
      <c r="BJ344" s="423">
        <f t="shared" si="224"/>
        <v>0</v>
      </c>
      <c r="BK344" s="421" t="e">
        <f>INDEX(T03_Skills!$AA$3:$BU$41,MATCH('C03_ClassVariables'!$G350,T03_Skills!$Z$3:$Z$41,0),MATCH('C03_ClassVariables'!BP$313,T03_Skills!$AA$2:$BU$2,0))</f>
        <v>#N/A</v>
      </c>
      <c r="BL344" s="422" t="e">
        <f t="shared" si="254"/>
        <v>#N/A</v>
      </c>
      <c r="BM344" s="422" t="e">
        <f>IF(BL344&gt;0,1+COUNTIF(BM$314:BM343,"&gt;0"),0)</f>
        <v>#N/A</v>
      </c>
      <c r="BN344" s="422" t="str">
        <f t="shared" si="255"/>
        <v/>
      </c>
      <c r="BO344" s="422" t="str">
        <f t="shared" si="256"/>
        <v/>
      </c>
      <c r="BP344" s="423">
        <f t="shared" si="225"/>
        <v>0</v>
      </c>
      <c r="BQ344" s="421" t="e">
        <f>INDEX(T03_Skills!$AA$3:$BU$41,MATCH('C03_ClassVariables'!$G350,T03_Skills!$Z$3:$Z$41,0),MATCH('C03_ClassVariables'!BV$313,T03_Skills!$AA$2:$BU$2,0))</f>
        <v>#N/A</v>
      </c>
      <c r="BR344" s="422" t="e">
        <f t="shared" si="257"/>
        <v>#N/A</v>
      </c>
      <c r="BS344" s="422" t="e">
        <f>IF(BR344&gt;0,1+COUNTIF(BS$314:BS343,"&gt;0"),0)</f>
        <v>#N/A</v>
      </c>
      <c r="BT344" s="422" t="str">
        <f t="shared" si="258"/>
        <v/>
      </c>
      <c r="BU344" s="422" t="str">
        <f t="shared" si="259"/>
        <v/>
      </c>
      <c r="BV344" s="423">
        <f t="shared" si="226"/>
        <v>0</v>
      </c>
      <c r="BW344" s="421" t="e">
        <f>INDEX(T03_Skills!$AA$3:$BU$41,MATCH('C03_ClassVariables'!$G350,T03_Skills!$Z$3:$Z$41,0),MATCH('C03_ClassVariables'!CB$313,T03_Skills!$AA$2:$BU$2,0))</f>
        <v>#N/A</v>
      </c>
      <c r="BX344" s="422" t="e">
        <f t="shared" si="260"/>
        <v>#N/A</v>
      </c>
      <c r="BY344" s="422" t="e">
        <f>IF(BX344&gt;0,1+COUNTIF(BY$314:BY343,"&gt;0"),0)</f>
        <v>#N/A</v>
      </c>
      <c r="BZ344" s="422" t="str">
        <f t="shared" si="261"/>
        <v/>
      </c>
      <c r="CA344" s="422" t="str">
        <f t="shared" si="262"/>
        <v/>
      </c>
      <c r="CB344" s="423">
        <f t="shared" si="227"/>
        <v>0</v>
      </c>
      <c r="CC344" s="421" t="e">
        <f>INDEX(T03_Skills!$AA$3:$BU$41,MATCH('C03_ClassVariables'!$G350,T03_Skills!$Z$3:$Z$41,0),MATCH('C03_ClassVariables'!CH$313,T03_Skills!$AA$2:$BU$2,0))</f>
        <v>#N/A</v>
      </c>
      <c r="CD344" s="422" t="e">
        <f t="shared" si="263"/>
        <v>#N/A</v>
      </c>
      <c r="CE344" s="422" t="e">
        <f>IF(CD344&gt;0,1+COUNTIF(CE$314:CE343,"&gt;0"),0)</f>
        <v>#N/A</v>
      </c>
      <c r="CF344" s="422" t="str">
        <f t="shared" si="264"/>
        <v/>
      </c>
      <c r="CG344" s="422" t="str">
        <f t="shared" si="265"/>
        <v/>
      </c>
      <c r="CH344" s="423">
        <f t="shared" si="228"/>
        <v>0</v>
      </c>
      <c r="CI344" s="428"/>
      <c r="CJ344" s="428"/>
      <c r="CK344" s="422"/>
      <c r="CL344" s="422"/>
      <c r="CM344" s="422"/>
      <c r="CN344" s="423"/>
      <c r="CO344" s="421"/>
      <c r="CP344" s="422"/>
      <c r="CQ344" s="422"/>
      <c r="CR344" s="422"/>
      <c r="CS344" s="422"/>
      <c r="CT344" s="423"/>
      <c r="CU344" s="421"/>
      <c r="CV344" s="422"/>
      <c r="CW344" s="422"/>
      <c r="CX344" s="422"/>
      <c r="CY344" s="422"/>
      <c r="CZ344" s="423"/>
      <c r="DA344" s="421"/>
      <c r="DB344" s="422"/>
      <c r="DC344" s="422"/>
      <c r="DD344" s="422"/>
      <c r="DE344" s="422"/>
      <c r="DF344" s="423"/>
      <c r="DG344" s="421"/>
      <c r="DH344" s="422"/>
      <c r="DI344" s="422"/>
      <c r="DJ344" s="422"/>
      <c r="DK344" s="422"/>
      <c r="DL344" s="423"/>
      <c r="DM344" s="421"/>
      <c r="DN344" s="422"/>
      <c r="DO344" s="422"/>
      <c r="DP344" s="422"/>
      <c r="DQ344" s="422"/>
      <c r="DR344" s="423"/>
      <c r="DS344" s="421"/>
      <c r="DT344" s="422"/>
      <c r="DU344" s="422"/>
      <c r="DV344" s="422"/>
      <c r="DW344" s="422"/>
      <c r="DX344" s="423"/>
      <c r="DY344" s="428"/>
      <c r="DZ344" s="138"/>
    </row>
    <row r="345" spans="1:130" ht="16.5" x14ac:dyDescent="0.3">
      <c r="A345" s="132">
        <f>IFERROR(IF(A344+1&lt;MAX(T041_ClassFeatures!$A$2:$A$2033),A344+1,""),"")</f>
        <v>342</v>
      </c>
      <c r="B345" s="131" t="str">
        <f>IFERROR(INDEX(T041_ClassFeatures!$B$2:$B$2033,MATCH('C03_ClassVariables'!A345,T041_ClassFeatures!$A$2:$A$2033,0),1),"")</f>
        <v>Master Transmuter</v>
      </c>
      <c r="C345" s="131">
        <f>IF(B345="",0,IF(IFERROR(MATCH(B345,'C01_BaseCalculation'!$W$160:$W$239,0),0)&gt;0,1,0))</f>
        <v>0</v>
      </c>
      <c r="E345" s="428"/>
      <c r="F345" s="428"/>
      <c r="G345" s="4" t="s">
        <v>295</v>
      </c>
      <c r="I345" s="421">
        <f>INDEX(T03_Skills!$AA$3:$BU$41,MATCH('C03_ClassVariables'!$G351,T03_Skills!$Z$3:$Z$41,0),MATCH('C03_ClassVariables'!N$313,T03_Skills!$AA$2:$BU$2,0))</f>
        <v>0</v>
      </c>
      <c r="J345" s="422">
        <f t="shared" si="229"/>
        <v>0</v>
      </c>
      <c r="K345" s="422">
        <f>IF(I345&gt;0,1+COUNTIF(K$314:K344,"&gt;0"),0)</f>
        <v>0</v>
      </c>
      <c r="L345" s="422" t="str">
        <f t="shared" si="230"/>
        <v/>
      </c>
      <c r="M345" s="422" t="str">
        <f t="shared" si="214"/>
        <v/>
      </c>
      <c r="N345" s="423">
        <f t="shared" si="215"/>
        <v>0</v>
      </c>
      <c r="O345" s="421">
        <f>INDEX(T03_Skills!$AA$3:$BU$41,MATCH('C03_ClassVariables'!$G351,T03_Skills!$Z$3:$Z$41,0),MATCH('C03_ClassVariables'!T$313,T03_Skills!$AA$2:$BU$2,0))</f>
        <v>1</v>
      </c>
      <c r="P345" s="422">
        <f t="shared" si="231"/>
        <v>1</v>
      </c>
      <c r="Q345" s="422">
        <f>IF(P345&gt;0,1+COUNTIF(Q$314:Q344,"&gt;0"),0)</f>
        <v>32</v>
      </c>
      <c r="R345" s="422">
        <f t="shared" si="232"/>
        <v>32</v>
      </c>
      <c r="S345" s="422" t="str">
        <f t="shared" si="216"/>
        <v>Pan flute</v>
      </c>
      <c r="T345" s="423">
        <f t="shared" si="217"/>
        <v>0</v>
      </c>
      <c r="U345" s="421" t="e">
        <f>INDEX(T03_Skills!$AA$3:$BU$41,MATCH('C03_ClassVariables'!$G351,T03_Skills!$Z$3:$Z$41,0),MATCH('C03_ClassVariables'!Z$313,T03_Skills!$AA$2:$BU$2,0))</f>
        <v>#N/A</v>
      </c>
      <c r="V345" s="422" t="e">
        <f t="shared" si="233"/>
        <v>#N/A</v>
      </c>
      <c r="W345" s="422" t="e">
        <f>IF(V345&gt;0,1+COUNTIF(W$314:W344,"&gt;0"),0)</f>
        <v>#N/A</v>
      </c>
      <c r="X345" s="422" t="str">
        <f t="shared" si="234"/>
        <v/>
      </c>
      <c r="Y345" s="422" t="str">
        <f t="shared" si="235"/>
        <v/>
      </c>
      <c r="Z345" s="423">
        <f t="shared" si="218"/>
        <v>0</v>
      </c>
      <c r="AA345" s="421" t="e">
        <f>INDEX(T03_Skills!$AA$3:$BU$41,MATCH('C03_ClassVariables'!$G351,T03_Skills!$Z$3:$Z$41,0),MATCH('C03_ClassVariables'!AF$313,T03_Skills!$AA$2:$BU$2,0))</f>
        <v>#N/A</v>
      </c>
      <c r="AB345" s="422" t="e">
        <f t="shared" si="236"/>
        <v>#N/A</v>
      </c>
      <c r="AC345" s="422" t="e">
        <f>IF(AB345&gt;0,1+COUNTIF(AC$314:AC344,"&gt;0"),0)</f>
        <v>#N/A</v>
      </c>
      <c r="AD345" s="422" t="str">
        <f t="shared" si="237"/>
        <v/>
      </c>
      <c r="AE345" s="422" t="str">
        <f t="shared" si="238"/>
        <v/>
      </c>
      <c r="AF345" s="423">
        <f t="shared" si="219"/>
        <v>0</v>
      </c>
      <c r="AG345" s="421" t="e">
        <f>INDEX(T03_Skills!$AA$3:$BU$41,MATCH('C03_ClassVariables'!$G351,T03_Skills!$Z$3:$Z$41,0),MATCH('C03_ClassVariables'!AL$313,T03_Skills!$AA$2:$BU$2,0))</f>
        <v>#N/A</v>
      </c>
      <c r="AH345" s="422" t="e">
        <f t="shared" si="239"/>
        <v>#N/A</v>
      </c>
      <c r="AI345" s="422" t="e">
        <f>IF(AH345&gt;0,1+COUNTIF(AI$314:AI344,"&gt;0"),0)</f>
        <v>#N/A</v>
      </c>
      <c r="AJ345" s="422" t="str">
        <f t="shared" si="240"/>
        <v/>
      </c>
      <c r="AK345" s="422" t="str">
        <f t="shared" si="241"/>
        <v/>
      </c>
      <c r="AL345" s="423">
        <f t="shared" si="220"/>
        <v>0</v>
      </c>
      <c r="AM345" s="421" t="e">
        <f>INDEX(T03_Skills!$AA$3:$BU$41,MATCH('C03_ClassVariables'!$G351,T03_Skills!$Z$3:$Z$41,0),MATCH('C03_ClassVariables'!AR$313,T03_Skills!$AA$2:$BU$2,0))</f>
        <v>#N/A</v>
      </c>
      <c r="AN345" s="422" t="e">
        <f t="shared" si="242"/>
        <v>#N/A</v>
      </c>
      <c r="AO345" s="422" t="e">
        <f>IF(AN345&gt;0,1+COUNTIF(AO$314:AO344,"&gt;0"),0)</f>
        <v>#N/A</v>
      </c>
      <c r="AP345" s="422" t="str">
        <f t="shared" si="243"/>
        <v/>
      </c>
      <c r="AQ345" s="422" t="str">
        <f t="shared" si="244"/>
        <v/>
      </c>
      <c r="AR345" s="423">
        <f t="shared" si="221"/>
        <v>0</v>
      </c>
      <c r="AS345" s="421" t="e">
        <f>INDEX(T03_Skills!$AA$3:$BU$41,MATCH('C03_ClassVariables'!$G351,T03_Skills!$Z$3:$Z$41,0),MATCH('C03_ClassVariables'!AX$313,T03_Skills!$AA$2:$BU$2,0))</f>
        <v>#N/A</v>
      </c>
      <c r="AT345" s="422" t="e">
        <f t="shared" si="245"/>
        <v>#N/A</v>
      </c>
      <c r="AU345" s="422" t="e">
        <f>IF(AT345&gt;0,1+COUNTIF(AU$314:AU344,"&gt;0"),0)</f>
        <v>#N/A</v>
      </c>
      <c r="AV345" s="422" t="str">
        <f t="shared" si="246"/>
        <v/>
      </c>
      <c r="AW345" s="422" t="str">
        <f t="shared" si="247"/>
        <v/>
      </c>
      <c r="AX345" s="423">
        <f t="shared" si="222"/>
        <v>0</v>
      </c>
      <c r="AY345" s="421" t="e">
        <f>INDEX(T03_Skills!$AA$3:$BU$41,MATCH('C03_ClassVariables'!$G351,T03_Skills!$Z$3:$Z$41,0),MATCH('C03_ClassVariables'!BD$313,T03_Skills!$AA$2:$BU$2,0))</f>
        <v>#N/A</v>
      </c>
      <c r="AZ345" s="422" t="e">
        <f t="shared" si="248"/>
        <v>#N/A</v>
      </c>
      <c r="BA345" s="422" t="e">
        <f>IF(AZ345&gt;0,1+COUNTIF(BA$314:BA344,"&gt;0"),0)</f>
        <v>#N/A</v>
      </c>
      <c r="BB345" s="422" t="str">
        <f t="shared" si="249"/>
        <v/>
      </c>
      <c r="BC345" s="422" t="str">
        <f t="shared" si="250"/>
        <v/>
      </c>
      <c r="BD345" s="423">
        <f t="shared" si="223"/>
        <v>0</v>
      </c>
      <c r="BE345" s="421" t="e">
        <f>INDEX(T03_Skills!$AA$3:$BU$41,MATCH('C03_ClassVariables'!$G351,T03_Skills!$Z$3:$Z$41,0),MATCH('C03_ClassVariables'!BJ$313,T03_Skills!$AA$2:$BU$2,0))</f>
        <v>#N/A</v>
      </c>
      <c r="BF345" s="422" t="e">
        <f t="shared" si="251"/>
        <v>#N/A</v>
      </c>
      <c r="BG345" s="422" t="e">
        <f>IF(BF345&gt;0,1+COUNTIF(BG$314:BG344,"&gt;0"),0)</f>
        <v>#N/A</v>
      </c>
      <c r="BH345" s="422" t="str">
        <f t="shared" si="252"/>
        <v/>
      </c>
      <c r="BI345" s="422" t="str">
        <f t="shared" si="253"/>
        <v/>
      </c>
      <c r="BJ345" s="423">
        <f t="shared" si="224"/>
        <v>0</v>
      </c>
      <c r="BK345" s="421" t="e">
        <f>INDEX(T03_Skills!$AA$3:$BU$41,MATCH('C03_ClassVariables'!$G351,T03_Skills!$Z$3:$Z$41,0),MATCH('C03_ClassVariables'!BP$313,T03_Skills!$AA$2:$BU$2,0))</f>
        <v>#N/A</v>
      </c>
      <c r="BL345" s="422" t="e">
        <f t="shared" si="254"/>
        <v>#N/A</v>
      </c>
      <c r="BM345" s="422" t="e">
        <f>IF(BL345&gt;0,1+COUNTIF(BM$314:BM344,"&gt;0"),0)</f>
        <v>#N/A</v>
      </c>
      <c r="BN345" s="422" t="str">
        <f t="shared" si="255"/>
        <v/>
      </c>
      <c r="BO345" s="422" t="str">
        <f t="shared" si="256"/>
        <v/>
      </c>
      <c r="BP345" s="423">
        <f t="shared" si="225"/>
        <v>0</v>
      </c>
      <c r="BQ345" s="421" t="e">
        <f>INDEX(T03_Skills!$AA$3:$BU$41,MATCH('C03_ClassVariables'!$G351,T03_Skills!$Z$3:$Z$41,0),MATCH('C03_ClassVariables'!BV$313,T03_Skills!$AA$2:$BU$2,0))</f>
        <v>#N/A</v>
      </c>
      <c r="BR345" s="422" t="e">
        <f t="shared" si="257"/>
        <v>#N/A</v>
      </c>
      <c r="BS345" s="422" t="e">
        <f>IF(BR345&gt;0,1+COUNTIF(BS$314:BS344,"&gt;0"),0)</f>
        <v>#N/A</v>
      </c>
      <c r="BT345" s="422" t="str">
        <f t="shared" si="258"/>
        <v/>
      </c>
      <c r="BU345" s="422" t="str">
        <f t="shared" si="259"/>
        <v/>
      </c>
      <c r="BV345" s="423">
        <f t="shared" si="226"/>
        <v>0</v>
      </c>
      <c r="BW345" s="421" t="e">
        <f>INDEX(T03_Skills!$AA$3:$BU$41,MATCH('C03_ClassVariables'!$G351,T03_Skills!$Z$3:$Z$41,0),MATCH('C03_ClassVariables'!CB$313,T03_Skills!$AA$2:$BU$2,0))</f>
        <v>#N/A</v>
      </c>
      <c r="BX345" s="422" t="e">
        <f t="shared" si="260"/>
        <v>#N/A</v>
      </c>
      <c r="BY345" s="422" t="e">
        <f>IF(BX345&gt;0,1+COUNTIF(BY$314:BY344,"&gt;0"),0)</f>
        <v>#N/A</v>
      </c>
      <c r="BZ345" s="422" t="str">
        <f t="shared" si="261"/>
        <v/>
      </c>
      <c r="CA345" s="422" t="str">
        <f t="shared" si="262"/>
        <v/>
      </c>
      <c r="CB345" s="423">
        <f t="shared" si="227"/>
        <v>0</v>
      </c>
      <c r="CC345" s="421" t="e">
        <f>INDEX(T03_Skills!$AA$3:$BU$41,MATCH('C03_ClassVariables'!$G351,T03_Skills!$Z$3:$Z$41,0),MATCH('C03_ClassVariables'!CH$313,T03_Skills!$AA$2:$BU$2,0))</f>
        <v>#N/A</v>
      </c>
      <c r="CD345" s="422" t="e">
        <f t="shared" si="263"/>
        <v>#N/A</v>
      </c>
      <c r="CE345" s="422" t="e">
        <f>IF(CD345&gt;0,1+COUNTIF(CE$314:CE344,"&gt;0"),0)</f>
        <v>#N/A</v>
      </c>
      <c r="CF345" s="422" t="str">
        <f t="shared" si="264"/>
        <v/>
      </c>
      <c r="CG345" s="422" t="str">
        <f t="shared" si="265"/>
        <v/>
      </c>
      <c r="CH345" s="423">
        <f t="shared" si="228"/>
        <v>0</v>
      </c>
      <c r="CI345" s="428"/>
      <c r="CJ345" s="428"/>
      <c r="CK345" s="422"/>
      <c r="CL345" s="422"/>
      <c r="CM345" s="422"/>
      <c r="CN345" s="423"/>
      <c r="CO345" s="421"/>
      <c r="CP345" s="422"/>
      <c r="CQ345" s="422"/>
      <c r="CR345" s="422"/>
      <c r="CS345" s="422"/>
      <c r="CT345" s="423"/>
      <c r="CU345" s="421"/>
      <c r="CV345" s="422"/>
      <c r="CW345" s="422"/>
      <c r="CX345" s="422"/>
      <c r="CY345" s="422"/>
      <c r="CZ345" s="423"/>
      <c r="DA345" s="421"/>
      <c r="DB345" s="422"/>
      <c r="DC345" s="422"/>
      <c r="DD345" s="422"/>
      <c r="DE345" s="422"/>
      <c r="DF345" s="423"/>
      <c r="DG345" s="421"/>
      <c r="DH345" s="422"/>
      <c r="DI345" s="422"/>
      <c r="DJ345" s="422"/>
      <c r="DK345" s="422"/>
      <c r="DL345" s="423"/>
      <c r="DM345" s="421"/>
      <c r="DN345" s="422"/>
      <c r="DO345" s="422"/>
      <c r="DP345" s="422"/>
      <c r="DQ345" s="422"/>
      <c r="DR345" s="423"/>
      <c r="DS345" s="421"/>
      <c r="DT345" s="422"/>
      <c r="DU345" s="422"/>
      <c r="DV345" s="422"/>
      <c r="DW345" s="422"/>
      <c r="DX345" s="423"/>
      <c r="DY345" s="428"/>
      <c r="DZ345" s="138"/>
    </row>
    <row r="346" spans="1:130" ht="16.5" x14ac:dyDescent="0.3">
      <c r="A346" s="132">
        <f>IFERROR(IF(A345+1&lt;MAX(T041_ClassFeatures!$A$2:$A$2033),A345+1,""),"")</f>
        <v>343</v>
      </c>
      <c r="B346" s="131" t="str">
        <f>IFERROR(INDEX(T041_ClassFeatures!$B$2:$B$2033,MATCH('C03_ClassVariables'!A346,T041_ClassFeatures!$A$2:$A$2033,0),1),"")</f>
        <v>Spellcasting (Bard)</v>
      </c>
      <c r="C346" s="131">
        <f>IF(B346="",0,IF(IFERROR(MATCH(B346,'C01_BaseCalculation'!$W$160:$W$239,0),0)&gt;0,1,0))</f>
        <v>0</v>
      </c>
      <c r="E346" s="428"/>
      <c r="F346" s="428"/>
      <c r="G346" s="4" t="s">
        <v>296</v>
      </c>
      <c r="I346" s="421">
        <f>INDEX(T03_Skills!$AA$3:$BU$41,MATCH('C03_ClassVariables'!$G352,T03_Skills!$Z$3:$Z$41,0),MATCH('C03_ClassVariables'!N$313,T03_Skills!$AA$2:$BU$2,0))</f>
        <v>0</v>
      </c>
      <c r="J346" s="422">
        <f t="shared" si="229"/>
        <v>0</v>
      </c>
      <c r="K346" s="422">
        <f>IF(I346&gt;0,1+COUNTIF(K$314:K345,"&gt;0"),0)</f>
        <v>0</v>
      </c>
      <c r="L346" s="422" t="str">
        <f t="shared" si="230"/>
        <v/>
      </c>
      <c r="M346" s="422" t="str">
        <f t="shared" si="214"/>
        <v/>
      </c>
      <c r="N346" s="423">
        <f t="shared" si="215"/>
        <v>0</v>
      </c>
      <c r="O346" s="421">
        <f>INDEX(T03_Skills!$AA$3:$BU$41,MATCH('C03_ClassVariables'!$G352,T03_Skills!$Z$3:$Z$41,0),MATCH('C03_ClassVariables'!T$313,T03_Skills!$AA$2:$BU$2,0))</f>
        <v>1</v>
      </c>
      <c r="P346" s="422">
        <f t="shared" si="231"/>
        <v>1</v>
      </c>
      <c r="Q346" s="422">
        <f>IF(P346&gt;0,1+COUNTIF(Q$314:Q345,"&gt;0"),0)</f>
        <v>33</v>
      </c>
      <c r="R346" s="422">
        <f t="shared" si="232"/>
        <v>33</v>
      </c>
      <c r="S346" s="422" t="str">
        <f t="shared" si="216"/>
        <v>Shawm</v>
      </c>
      <c r="T346" s="423">
        <f t="shared" si="217"/>
        <v>0</v>
      </c>
      <c r="U346" s="421" t="e">
        <f>INDEX(T03_Skills!$AA$3:$BU$41,MATCH('C03_ClassVariables'!$G352,T03_Skills!$Z$3:$Z$41,0),MATCH('C03_ClassVariables'!Z$313,T03_Skills!$AA$2:$BU$2,0))</f>
        <v>#N/A</v>
      </c>
      <c r="V346" s="422" t="e">
        <f t="shared" si="233"/>
        <v>#N/A</v>
      </c>
      <c r="W346" s="422" t="e">
        <f>IF(V346&gt;0,1+COUNTIF(W$314:W345,"&gt;0"),0)</f>
        <v>#N/A</v>
      </c>
      <c r="X346" s="422" t="str">
        <f t="shared" si="234"/>
        <v/>
      </c>
      <c r="Y346" s="422" t="str">
        <f t="shared" si="235"/>
        <v/>
      </c>
      <c r="Z346" s="423">
        <f t="shared" si="218"/>
        <v>0</v>
      </c>
      <c r="AA346" s="421" t="e">
        <f>INDEX(T03_Skills!$AA$3:$BU$41,MATCH('C03_ClassVariables'!$G352,T03_Skills!$Z$3:$Z$41,0),MATCH('C03_ClassVariables'!AF$313,T03_Skills!$AA$2:$BU$2,0))</f>
        <v>#N/A</v>
      </c>
      <c r="AB346" s="422" t="e">
        <f t="shared" si="236"/>
        <v>#N/A</v>
      </c>
      <c r="AC346" s="422" t="e">
        <f>IF(AB346&gt;0,1+COUNTIF(AC$314:AC345,"&gt;0"),0)</f>
        <v>#N/A</v>
      </c>
      <c r="AD346" s="422" t="str">
        <f t="shared" si="237"/>
        <v/>
      </c>
      <c r="AE346" s="422" t="str">
        <f t="shared" si="238"/>
        <v/>
      </c>
      <c r="AF346" s="423">
        <f t="shared" si="219"/>
        <v>0</v>
      </c>
      <c r="AG346" s="421" t="e">
        <f>INDEX(T03_Skills!$AA$3:$BU$41,MATCH('C03_ClassVariables'!$G352,T03_Skills!$Z$3:$Z$41,0),MATCH('C03_ClassVariables'!AL$313,T03_Skills!$AA$2:$BU$2,0))</f>
        <v>#N/A</v>
      </c>
      <c r="AH346" s="422" t="e">
        <f t="shared" si="239"/>
        <v>#N/A</v>
      </c>
      <c r="AI346" s="422" t="e">
        <f>IF(AH346&gt;0,1+COUNTIF(AI$314:AI345,"&gt;0"),0)</f>
        <v>#N/A</v>
      </c>
      <c r="AJ346" s="422" t="str">
        <f t="shared" si="240"/>
        <v/>
      </c>
      <c r="AK346" s="422" t="str">
        <f t="shared" si="241"/>
        <v/>
      </c>
      <c r="AL346" s="423">
        <f t="shared" si="220"/>
        <v>0</v>
      </c>
      <c r="AM346" s="421" t="e">
        <f>INDEX(T03_Skills!$AA$3:$BU$41,MATCH('C03_ClassVariables'!$G352,T03_Skills!$Z$3:$Z$41,0),MATCH('C03_ClassVariables'!AR$313,T03_Skills!$AA$2:$BU$2,0))</f>
        <v>#N/A</v>
      </c>
      <c r="AN346" s="422" t="e">
        <f t="shared" si="242"/>
        <v>#N/A</v>
      </c>
      <c r="AO346" s="422" t="e">
        <f>IF(AN346&gt;0,1+COUNTIF(AO$314:AO345,"&gt;0"),0)</f>
        <v>#N/A</v>
      </c>
      <c r="AP346" s="422" t="str">
        <f t="shared" si="243"/>
        <v/>
      </c>
      <c r="AQ346" s="422" t="str">
        <f t="shared" si="244"/>
        <v/>
      </c>
      <c r="AR346" s="423">
        <f t="shared" si="221"/>
        <v>0</v>
      </c>
      <c r="AS346" s="421" t="e">
        <f>INDEX(T03_Skills!$AA$3:$BU$41,MATCH('C03_ClassVariables'!$G352,T03_Skills!$Z$3:$Z$41,0),MATCH('C03_ClassVariables'!AX$313,T03_Skills!$AA$2:$BU$2,0))</f>
        <v>#N/A</v>
      </c>
      <c r="AT346" s="422" t="e">
        <f t="shared" si="245"/>
        <v>#N/A</v>
      </c>
      <c r="AU346" s="422" t="e">
        <f>IF(AT346&gt;0,1+COUNTIF(AU$314:AU345,"&gt;0"),0)</f>
        <v>#N/A</v>
      </c>
      <c r="AV346" s="422" t="str">
        <f t="shared" si="246"/>
        <v/>
      </c>
      <c r="AW346" s="422" t="str">
        <f t="shared" si="247"/>
        <v/>
      </c>
      <c r="AX346" s="423">
        <f t="shared" si="222"/>
        <v>0</v>
      </c>
      <c r="AY346" s="421" t="e">
        <f>INDEX(T03_Skills!$AA$3:$BU$41,MATCH('C03_ClassVariables'!$G352,T03_Skills!$Z$3:$Z$41,0),MATCH('C03_ClassVariables'!BD$313,T03_Skills!$AA$2:$BU$2,0))</f>
        <v>#N/A</v>
      </c>
      <c r="AZ346" s="422" t="e">
        <f t="shared" si="248"/>
        <v>#N/A</v>
      </c>
      <c r="BA346" s="422" t="e">
        <f>IF(AZ346&gt;0,1+COUNTIF(BA$314:BA345,"&gt;0"),0)</f>
        <v>#N/A</v>
      </c>
      <c r="BB346" s="422" t="str">
        <f t="shared" si="249"/>
        <v/>
      </c>
      <c r="BC346" s="422" t="str">
        <f t="shared" si="250"/>
        <v/>
      </c>
      <c r="BD346" s="423">
        <f t="shared" si="223"/>
        <v>0</v>
      </c>
      <c r="BE346" s="421" t="e">
        <f>INDEX(T03_Skills!$AA$3:$BU$41,MATCH('C03_ClassVariables'!$G352,T03_Skills!$Z$3:$Z$41,0),MATCH('C03_ClassVariables'!BJ$313,T03_Skills!$AA$2:$BU$2,0))</f>
        <v>#N/A</v>
      </c>
      <c r="BF346" s="422" t="e">
        <f t="shared" si="251"/>
        <v>#N/A</v>
      </c>
      <c r="BG346" s="422" t="e">
        <f>IF(BF346&gt;0,1+COUNTIF(BG$314:BG345,"&gt;0"),0)</f>
        <v>#N/A</v>
      </c>
      <c r="BH346" s="422" t="str">
        <f t="shared" si="252"/>
        <v/>
      </c>
      <c r="BI346" s="422" t="str">
        <f t="shared" si="253"/>
        <v/>
      </c>
      <c r="BJ346" s="423">
        <f t="shared" si="224"/>
        <v>0</v>
      </c>
      <c r="BK346" s="421" t="e">
        <f>INDEX(T03_Skills!$AA$3:$BU$41,MATCH('C03_ClassVariables'!$G352,T03_Skills!$Z$3:$Z$41,0),MATCH('C03_ClassVariables'!BP$313,T03_Skills!$AA$2:$BU$2,0))</f>
        <v>#N/A</v>
      </c>
      <c r="BL346" s="422" t="e">
        <f t="shared" si="254"/>
        <v>#N/A</v>
      </c>
      <c r="BM346" s="422" t="e">
        <f>IF(BL346&gt;0,1+COUNTIF(BM$314:BM345,"&gt;0"),0)</f>
        <v>#N/A</v>
      </c>
      <c r="BN346" s="422" t="str">
        <f t="shared" si="255"/>
        <v/>
      </c>
      <c r="BO346" s="422" t="str">
        <f t="shared" si="256"/>
        <v/>
      </c>
      <c r="BP346" s="423">
        <f t="shared" si="225"/>
        <v>0</v>
      </c>
      <c r="BQ346" s="421" t="e">
        <f>INDEX(T03_Skills!$AA$3:$BU$41,MATCH('C03_ClassVariables'!$G352,T03_Skills!$Z$3:$Z$41,0),MATCH('C03_ClassVariables'!BV$313,T03_Skills!$AA$2:$BU$2,0))</f>
        <v>#N/A</v>
      </c>
      <c r="BR346" s="422" t="e">
        <f t="shared" si="257"/>
        <v>#N/A</v>
      </c>
      <c r="BS346" s="422" t="e">
        <f>IF(BR346&gt;0,1+COUNTIF(BS$314:BS345,"&gt;0"),0)</f>
        <v>#N/A</v>
      </c>
      <c r="BT346" s="422" t="str">
        <f t="shared" si="258"/>
        <v/>
      </c>
      <c r="BU346" s="422" t="str">
        <f t="shared" si="259"/>
        <v/>
      </c>
      <c r="BV346" s="423">
        <f t="shared" si="226"/>
        <v>0</v>
      </c>
      <c r="BW346" s="421" t="e">
        <f>INDEX(T03_Skills!$AA$3:$BU$41,MATCH('C03_ClassVariables'!$G352,T03_Skills!$Z$3:$Z$41,0),MATCH('C03_ClassVariables'!CB$313,T03_Skills!$AA$2:$BU$2,0))</f>
        <v>#N/A</v>
      </c>
      <c r="BX346" s="422" t="e">
        <f t="shared" si="260"/>
        <v>#N/A</v>
      </c>
      <c r="BY346" s="422" t="e">
        <f>IF(BX346&gt;0,1+COUNTIF(BY$314:BY345,"&gt;0"),0)</f>
        <v>#N/A</v>
      </c>
      <c r="BZ346" s="422" t="str">
        <f t="shared" si="261"/>
        <v/>
      </c>
      <c r="CA346" s="422" t="str">
        <f t="shared" si="262"/>
        <v/>
      </c>
      <c r="CB346" s="423">
        <f t="shared" si="227"/>
        <v>0</v>
      </c>
      <c r="CC346" s="421" t="e">
        <f>INDEX(T03_Skills!$AA$3:$BU$41,MATCH('C03_ClassVariables'!$G352,T03_Skills!$Z$3:$Z$41,0),MATCH('C03_ClassVariables'!CH$313,T03_Skills!$AA$2:$BU$2,0))</f>
        <v>#N/A</v>
      </c>
      <c r="CD346" s="422" t="e">
        <f t="shared" si="263"/>
        <v>#N/A</v>
      </c>
      <c r="CE346" s="422" t="e">
        <f>IF(CD346&gt;0,1+COUNTIF(CE$314:CE345,"&gt;0"),0)</f>
        <v>#N/A</v>
      </c>
      <c r="CF346" s="422" t="str">
        <f t="shared" si="264"/>
        <v/>
      </c>
      <c r="CG346" s="422" t="str">
        <f t="shared" si="265"/>
        <v/>
      </c>
      <c r="CH346" s="423">
        <f t="shared" si="228"/>
        <v>0</v>
      </c>
      <c r="CI346" s="428"/>
      <c r="CJ346" s="428"/>
      <c r="CK346" s="422"/>
      <c r="CL346" s="422"/>
      <c r="CM346" s="422"/>
      <c r="CN346" s="423"/>
      <c r="CO346" s="421"/>
      <c r="CP346" s="422"/>
      <c r="CQ346" s="422"/>
      <c r="CR346" s="422"/>
      <c r="CS346" s="422"/>
      <c r="CT346" s="423"/>
      <c r="CU346" s="421"/>
      <c r="CV346" s="422"/>
      <c r="CW346" s="422"/>
      <c r="CX346" s="422"/>
      <c r="CY346" s="422"/>
      <c r="CZ346" s="423"/>
      <c r="DA346" s="421"/>
      <c r="DB346" s="422"/>
      <c r="DC346" s="422"/>
      <c r="DD346" s="422"/>
      <c r="DE346" s="422"/>
      <c r="DF346" s="423"/>
      <c r="DG346" s="421"/>
      <c r="DH346" s="422"/>
      <c r="DI346" s="422"/>
      <c r="DJ346" s="422"/>
      <c r="DK346" s="422"/>
      <c r="DL346" s="423"/>
      <c r="DM346" s="421"/>
      <c r="DN346" s="422"/>
      <c r="DO346" s="422"/>
      <c r="DP346" s="422"/>
      <c r="DQ346" s="422"/>
      <c r="DR346" s="423"/>
      <c r="DS346" s="421"/>
      <c r="DT346" s="422"/>
      <c r="DU346" s="422"/>
      <c r="DV346" s="422"/>
      <c r="DW346" s="422"/>
      <c r="DX346" s="423"/>
      <c r="DY346" s="428"/>
      <c r="DZ346" s="138"/>
    </row>
    <row r="347" spans="1:130" ht="16.5" x14ac:dyDescent="0.3">
      <c r="A347" s="132">
        <f>IFERROR(IF(A346+1&lt;MAX(T041_ClassFeatures!$A$2:$A$2033),A346+1,""),"")</f>
        <v>344</v>
      </c>
      <c r="B347" s="131" t="str">
        <f>IFERROR(INDEX(T041_ClassFeatures!$B$2:$B$2033,MATCH('C03_ClassVariables'!A347,T041_ClassFeatures!$A$2:$A$2033,0),1),"")</f>
        <v>Archery</v>
      </c>
      <c r="C347" s="131">
        <f>IF(B347="",0,IF(IFERROR(MATCH(B347,'C01_BaseCalculation'!$W$160:$W$239,0),0)&gt;0,1,0))</f>
        <v>0</v>
      </c>
      <c r="E347" s="428"/>
      <c r="F347" s="428"/>
      <c r="G347" s="4" t="s">
        <v>316</v>
      </c>
      <c r="I347" s="421">
        <f>INDEX(T03_Skills!$AA$3:$BU$41,MATCH('C03_ClassVariables'!$G353,T03_Skills!$Z$3:$Z$41,0),MATCH('C03_ClassVariables'!N$313,T03_Skills!$AA$2:$BU$2,0))</f>
        <v>0</v>
      </c>
      <c r="J347" s="422">
        <f t="shared" si="229"/>
        <v>0</v>
      </c>
      <c r="K347" s="422">
        <f>IF(I347&gt;0,1+COUNTIF(K$314:K346,"&gt;0"),0)</f>
        <v>0</v>
      </c>
      <c r="L347" s="422" t="str">
        <f t="shared" si="230"/>
        <v/>
      </c>
      <c r="M347" s="422" t="str">
        <f t="shared" si="214"/>
        <v/>
      </c>
      <c r="N347" s="423">
        <f t="shared" si="215"/>
        <v>0</v>
      </c>
      <c r="O347" s="421">
        <f>INDEX(T03_Skills!$AA$3:$BU$41,MATCH('C03_ClassVariables'!$G353,T03_Skills!$Z$3:$Z$41,0),MATCH('C03_ClassVariables'!T$313,T03_Skills!$AA$2:$BU$2,0))</f>
        <v>1</v>
      </c>
      <c r="P347" s="422">
        <f t="shared" si="231"/>
        <v>1</v>
      </c>
      <c r="Q347" s="422">
        <f>IF(P347&gt;0,1+COUNTIF(Q$314:Q346,"&gt;0"),0)</f>
        <v>34</v>
      </c>
      <c r="R347" s="422">
        <f t="shared" si="232"/>
        <v>34</v>
      </c>
      <c r="S347" s="422" t="str">
        <f t="shared" si="216"/>
        <v>Viol</v>
      </c>
      <c r="T347" s="423">
        <f t="shared" si="217"/>
        <v>0</v>
      </c>
      <c r="U347" s="421" t="e">
        <f>INDEX(T03_Skills!$AA$3:$BU$41,MATCH('C03_ClassVariables'!$G353,T03_Skills!$Z$3:$Z$41,0),MATCH('C03_ClassVariables'!Z$313,T03_Skills!$AA$2:$BU$2,0))</f>
        <v>#N/A</v>
      </c>
      <c r="V347" s="422" t="e">
        <f t="shared" si="233"/>
        <v>#N/A</v>
      </c>
      <c r="W347" s="422" t="e">
        <f>IF(V347&gt;0,1+COUNTIF(W$314:W346,"&gt;0"),0)</f>
        <v>#N/A</v>
      </c>
      <c r="X347" s="422" t="str">
        <f t="shared" si="234"/>
        <v/>
      </c>
      <c r="Y347" s="422" t="str">
        <f t="shared" si="235"/>
        <v/>
      </c>
      <c r="Z347" s="423">
        <f t="shared" si="218"/>
        <v>0</v>
      </c>
      <c r="AA347" s="421" t="e">
        <f>INDEX(T03_Skills!$AA$3:$BU$41,MATCH('C03_ClassVariables'!$G353,T03_Skills!$Z$3:$Z$41,0),MATCH('C03_ClassVariables'!AF$313,T03_Skills!$AA$2:$BU$2,0))</f>
        <v>#N/A</v>
      </c>
      <c r="AB347" s="422" t="e">
        <f t="shared" si="236"/>
        <v>#N/A</v>
      </c>
      <c r="AC347" s="422" t="e">
        <f>IF(AB347&gt;0,1+COUNTIF(AC$314:AC346,"&gt;0"),0)</f>
        <v>#N/A</v>
      </c>
      <c r="AD347" s="422" t="str">
        <f t="shared" si="237"/>
        <v/>
      </c>
      <c r="AE347" s="422" t="str">
        <f t="shared" si="238"/>
        <v/>
      </c>
      <c r="AF347" s="423">
        <f t="shared" si="219"/>
        <v>0</v>
      </c>
      <c r="AG347" s="421" t="e">
        <f>INDEX(T03_Skills!$AA$3:$BU$41,MATCH('C03_ClassVariables'!$G353,T03_Skills!$Z$3:$Z$41,0),MATCH('C03_ClassVariables'!AL$313,T03_Skills!$AA$2:$BU$2,0))</f>
        <v>#N/A</v>
      </c>
      <c r="AH347" s="422" t="e">
        <f t="shared" si="239"/>
        <v>#N/A</v>
      </c>
      <c r="AI347" s="422" t="e">
        <f>IF(AH347&gt;0,1+COUNTIF(AI$314:AI346,"&gt;0"),0)</f>
        <v>#N/A</v>
      </c>
      <c r="AJ347" s="422" t="str">
        <f t="shared" si="240"/>
        <v/>
      </c>
      <c r="AK347" s="422" t="str">
        <f t="shared" si="241"/>
        <v/>
      </c>
      <c r="AL347" s="423">
        <f t="shared" si="220"/>
        <v>0</v>
      </c>
      <c r="AM347" s="421" t="e">
        <f>INDEX(T03_Skills!$AA$3:$BU$41,MATCH('C03_ClassVariables'!$G353,T03_Skills!$Z$3:$Z$41,0),MATCH('C03_ClassVariables'!AR$313,T03_Skills!$AA$2:$BU$2,0))</f>
        <v>#N/A</v>
      </c>
      <c r="AN347" s="422" t="e">
        <f t="shared" si="242"/>
        <v>#N/A</v>
      </c>
      <c r="AO347" s="422" t="e">
        <f>IF(AN347&gt;0,1+COUNTIF(AO$314:AO346,"&gt;0"),0)</f>
        <v>#N/A</v>
      </c>
      <c r="AP347" s="422" t="str">
        <f t="shared" si="243"/>
        <v/>
      </c>
      <c r="AQ347" s="422" t="str">
        <f t="shared" si="244"/>
        <v/>
      </c>
      <c r="AR347" s="423">
        <f t="shared" si="221"/>
        <v>0</v>
      </c>
      <c r="AS347" s="421" t="e">
        <f>INDEX(T03_Skills!$AA$3:$BU$41,MATCH('C03_ClassVariables'!$G353,T03_Skills!$Z$3:$Z$41,0),MATCH('C03_ClassVariables'!AX$313,T03_Skills!$AA$2:$BU$2,0))</f>
        <v>#N/A</v>
      </c>
      <c r="AT347" s="422" t="e">
        <f t="shared" si="245"/>
        <v>#N/A</v>
      </c>
      <c r="AU347" s="422" t="e">
        <f>IF(AT347&gt;0,1+COUNTIF(AU$314:AU346,"&gt;0"),0)</f>
        <v>#N/A</v>
      </c>
      <c r="AV347" s="422" t="str">
        <f t="shared" si="246"/>
        <v/>
      </c>
      <c r="AW347" s="422" t="str">
        <f t="shared" si="247"/>
        <v/>
      </c>
      <c r="AX347" s="423">
        <f t="shared" si="222"/>
        <v>0</v>
      </c>
      <c r="AY347" s="421" t="e">
        <f>INDEX(T03_Skills!$AA$3:$BU$41,MATCH('C03_ClassVariables'!$G353,T03_Skills!$Z$3:$Z$41,0),MATCH('C03_ClassVariables'!BD$313,T03_Skills!$AA$2:$BU$2,0))</f>
        <v>#N/A</v>
      </c>
      <c r="AZ347" s="422" t="e">
        <f t="shared" si="248"/>
        <v>#N/A</v>
      </c>
      <c r="BA347" s="422" t="e">
        <f>IF(AZ347&gt;0,1+COUNTIF(BA$314:BA346,"&gt;0"),0)</f>
        <v>#N/A</v>
      </c>
      <c r="BB347" s="422" t="str">
        <f t="shared" si="249"/>
        <v/>
      </c>
      <c r="BC347" s="422" t="str">
        <f t="shared" si="250"/>
        <v/>
      </c>
      <c r="BD347" s="423">
        <f t="shared" si="223"/>
        <v>0</v>
      </c>
      <c r="BE347" s="421" t="e">
        <f>INDEX(T03_Skills!$AA$3:$BU$41,MATCH('C03_ClassVariables'!$G353,T03_Skills!$Z$3:$Z$41,0),MATCH('C03_ClassVariables'!BJ$313,T03_Skills!$AA$2:$BU$2,0))</f>
        <v>#N/A</v>
      </c>
      <c r="BF347" s="422" t="e">
        <f t="shared" si="251"/>
        <v>#N/A</v>
      </c>
      <c r="BG347" s="422" t="e">
        <f>IF(BF347&gt;0,1+COUNTIF(BG$314:BG346,"&gt;0"),0)</f>
        <v>#N/A</v>
      </c>
      <c r="BH347" s="422" t="str">
        <f t="shared" si="252"/>
        <v/>
      </c>
      <c r="BI347" s="422" t="str">
        <f t="shared" si="253"/>
        <v/>
      </c>
      <c r="BJ347" s="423">
        <f t="shared" si="224"/>
        <v>0</v>
      </c>
      <c r="BK347" s="421" t="e">
        <f>INDEX(T03_Skills!$AA$3:$BU$41,MATCH('C03_ClassVariables'!$G353,T03_Skills!$Z$3:$Z$41,0),MATCH('C03_ClassVariables'!BP$313,T03_Skills!$AA$2:$BU$2,0))</f>
        <v>#N/A</v>
      </c>
      <c r="BL347" s="422" t="e">
        <f t="shared" si="254"/>
        <v>#N/A</v>
      </c>
      <c r="BM347" s="422" t="e">
        <f>IF(BL347&gt;0,1+COUNTIF(BM$314:BM346,"&gt;0"),0)</f>
        <v>#N/A</v>
      </c>
      <c r="BN347" s="422" t="str">
        <f t="shared" si="255"/>
        <v/>
      </c>
      <c r="BO347" s="422" t="str">
        <f t="shared" si="256"/>
        <v/>
      </c>
      <c r="BP347" s="423">
        <f t="shared" si="225"/>
        <v>0</v>
      </c>
      <c r="BQ347" s="421" t="e">
        <f>INDEX(T03_Skills!$AA$3:$BU$41,MATCH('C03_ClassVariables'!$G353,T03_Skills!$Z$3:$Z$41,0),MATCH('C03_ClassVariables'!BV$313,T03_Skills!$AA$2:$BU$2,0))</f>
        <v>#N/A</v>
      </c>
      <c r="BR347" s="422" t="e">
        <f t="shared" si="257"/>
        <v>#N/A</v>
      </c>
      <c r="BS347" s="422" t="e">
        <f>IF(BR347&gt;0,1+COUNTIF(BS$314:BS346,"&gt;0"),0)</f>
        <v>#N/A</v>
      </c>
      <c r="BT347" s="422" t="str">
        <f t="shared" si="258"/>
        <v/>
      </c>
      <c r="BU347" s="422" t="str">
        <f t="shared" si="259"/>
        <v/>
      </c>
      <c r="BV347" s="423">
        <f t="shared" si="226"/>
        <v>0</v>
      </c>
      <c r="BW347" s="421" t="e">
        <f>INDEX(T03_Skills!$AA$3:$BU$41,MATCH('C03_ClassVariables'!$G353,T03_Skills!$Z$3:$Z$41,0),MATCH('C03_ClassVariables'!CB$313,T03_Skills!$AA$2:$BU$2,0))</f>
        <v>#N/A</v>
      </c>
      <c r="BX347" s="422" t="e">
        <f t="shared" si="260"/>
        <v>#N/A</v>
      </c>
      <c r="BY347" s="422" t="e">
        <f>IF(BX347&gt;0,1+COUNTIF(BY$314:BY346,"&gt;0"),0)</f>
        <v>#N/A</v>
      </c>
      <c r="BZ347" s="422" t="str">
        <f t="shared" si="261"/>
        <v/>
      </c>
      <c r="CA347" s="422" t="str">
        <f t="shared" si="262"/>
        <v/>
      </c>
      <c r="CB347" s="423">
        <f t="shared" si="227"/>
        <v>0</v>
      </c>
      <c r="CC347" s="421" t="e">
        <f>INDEX(T03_Skills!$AA$3:$BU$41,MATCH('C03_ClassVariables'!$G353,T03_Skills!$Z$3:$Z$41,0),MATCH('C03_ClassVariables'!CH$313,T03_Skills!$AA$2:$BU$2,0))</f>
        <v>#N/A</v>
      </c>
      <c r="CD347" s="422" t="e">
        <f t="shared" si="263"/>
        <v>#N/A</v>
      </c>
      <c r="CE347" s="422" t="e">
        <f>IF(CD347&gt;0,1+COUNTIF(CE$314:CE346,"&gt;0"),0)</f>
        <v>#N/A</v>
      </c>
      <c r="CF347" s="422" t="str">
        <f t="shared" si="264"/>
        <v/>
      </c>
      <c r="CG347" s="422" t="str">
        <f t="shared" si="265"/>
        <v/>
      </c>
      <c r="CH347" s="423">
        <f t="shared" si="228"/>
        <v>0</v>
      </c>
      <c r="CI347" s="428"/>
      <c r="CJ347" s="428"/>
      <c r="CK347" s="422"/>
      <c r="CL347" s="422"/>
      <c r="CM347" s="422"/>
      <c r="CN347" s="423"/>
      <c r="CO347" s="421"/>
      <c r="CP347" s="422"/>
      <c r="CQ347" s="422"/>
      <c r="CR347" s="422"/>
      <c r="CS347" s="422"/>
      <c r="CT347" s="423"/>
      <c r="CU347" s="421"/>
      <c r="CV347" s="422"/>
      <c r="CW347" s="422"/>
      <c r="CX347" s="422"/>
      <c r="CY347" s="422"/>
      <c r="CZ347" s="423"/>
      <c r="DA347" s="421"/>
      <c r="DB347" s="422"/>
      <c r="DC347" s="422"/>
      <c r="DD347" s="422"/>
      <c r="DE347" s="422"/>
      <c r="DF347" s="423"/>
      <c r="DG347" s="421"/>
      <c r="DH347" s="422"/>
      <c r="DI347" s="422"/>
      <c r="DJ347" s="422"/>
      <c r="DK347" s="422"/>
      <c r="DL347" s="423"/>
      <c r="DM347" s="421"/>
      <c r="DN347" s="422"/>
      <c r="DO347" s="422"/>
      <c r="DP347" s="422"/>
      <c r="DQ347" s="422"/>
      <c r="DR347" s="423"/>
      <c r="DS347" s="421"/>
      <c r="DT347" s="422"/>
      <c r="DU347" s="422"/>
      <c r="DV347" s="422"/>
      <c r="DW347" s="422"/>
      <c r="DX347" s="423"/>
      <c r="DY347" s="428"/>
      <c r="DZ347" s="138"/>
    </row>
    <row r="348" spans="1:130" ht="16.5" x14ac:dyDescent="0.3">
      <c r="A348" s="132">
        <f>IFERROR(IF(A347+1&lt;MAX(T041_ClassFeatures!$A$2:$A$2033),A347+1,""),"")</f>
        <v>345</v>
      </c>
      <c r="B348" s="131" t="str">
        <f>IFERROR(INDEX(T041_ClassFeatures!$B$2:$B$2033,MATCH('C03_ClassVariables'!A348,T041_ClassFeatures!$A$2:$A$2033,0),1),"")</f>
        <v>Defense</v>
      </c>
      <c r="C348" s="131">
        <f>IF(B348="",0,IF(IFERROR(MATCH(B348,'C01_BaseCalculation'!$W$160:$W$239,0),0)&gt;0,1,0))</f>
        <v>0</v>
      </c>
      <c r="E348" s="428"/>
      <c r="F348" s="428"/>
      <c r="G348" s="4" t="s">
        <v>339</v>
      </c>
      <c r="I348" s="421">
        <f>INDEX(T03_Skills!$AA$3:$BU$41,MATCH('C03_ClassVariables'!$G354,T03_Skills!$Z$3:$Z$41,0),MATCH('C03_ClassVariables'!N$313,T03_Skills!$AA$2:$BU$2,0))</f>
        <v>0</v>
      </c>
      <c r="J348" s="422">
        <f t="shared" si="229"/>
        <v>0</v>
      </c>
      <c r="K348" s="422">
        <f>IF(I348&gt;0,1+COUNTIF(K$314:K347,"&gt;0"),0)</f>
        <v>0</v>
      </c>
      <c r="L348" s="422" t="str">
        <f t="shared" si="230"/>
        <v/>
      </c>
      <c r="M348" s="422" t="str">
        <f t="shared" si="214"/>
        <v/>
      </c>
      <c r="N348" s="423">
        <f t="shared" si="215"/>
        <v>0</v>
      </c>
      <c r="O348" s="421">
        <f>INDEX(T03_Skills!$AA$3:$BU$41,MATCH('C03_ClassVariables'!$G354,T03_Skills!$Z$3:$Z$41,0),MATCH('C03_ClassVariables'!T$313,T03_Skills!$AA$2:$BU$2,0))</f>
        <v>1</v>
      </c>
      <c r="P348" s="422">
        <f t="shared" si="231"/>
        <v>1</v>
      </c>
      <c r="Q348" s="422">
        <f>IF(P348&gt;0,1+COUNTIF(Q$314:Q347,"&gt;0"),0)</f>
        <v>35</v>
      </c>
      <c r="R348" s="422">
        <f t="shared" si="232"/>
        <v>35</v>
      </c>
      <c r="S348" s="422" t="str">
        <f t="shared" si="216"/>
        <v>Navigator’s tools</v>
      </c>
      <c r="T348" s="423">
        <f t="shared" si="217"/>
        <v>0</v>
      </c>
      <c r="U348" s="421" t="e">
        <f>INDEX(T03_Skills!$AA$3:$BU$41,MATCH('C03_ClassVariables'!$G354,T03_Skills!$Z$3:$Z$41,0),MATCH('C03_ClassVariables'!Z$313,T03_Skills!$AA$2:$BU$2,0))</f>
        <v>#N/A</v>
      </c>
      <c r="V348" s="422" t="e">
        <f t="shared" si="233"/>
        <v>#N/A</v>
      </c>
      <c r="W348" s="422" t="e">
        <f>IF(V348&gt;0,1+COUNTIF(W$314:W347,"&gt;0"),0)</f>
        <v>#N/A</v>
      </c>
      <c r="X348" s="422" t="str">
        <f t="shared" si="234"/>
        <v/>
      </c>
      <c r="Y348" s="422" t="str">
        <f t="shared" si="235"/>
        <v/>
      </c>
      <c r="Z348" s="423">
        <f t="shared" si="218"/>
        <v>0</v>
      </c>
      <c r="AA348" s="421" t="e">
        <f>INDEX(T03_Skills!$AA$3:$BU$41,MATCH('C03_ClassVariables'!$G354,T03_Skills!$Z$3:$Z$41,0),MATCH('C03_ClassVariables'!AF$313,T03_Skills!$AA$2:$BU$2,0))</f>
        <v>#N/A</v>
      </c>
      <c r="AB348" s="422" t="e">
        <f t="shared" si="236"/>
        <v>#N/A</v>
      </c>
      <c r="AC348" s="422" t="e">
        <f>IF(AB348&gt;0,1+COUNTIF(AC$314:AC347,"&gt;0"),0)</f>
        <v>#N/A</v>
      </c>
      <c r="AD348" s="422" t="str">
        <f t="shared" si="237"/>
        <v/>
      </c>
      <c r="AE348" s="422" t="str">
        <f t="shared" si="238"/>
        <v/>
      </c>
      <c r="AF348" s="423">
        <f t="shared" si="219"/>
        <v>0</v>
      </c>
      <c r="AG348" s="421" t="e">
        <f>INDEX(T03_Skills!$AA$3:$BU$41,MATCH('C03_ClassVariables'!$G354,T03_Skills!$Z$3:$Z$41,0),MATCH('C03_ClassVariables'!AL$313,T03_Skills!$AA$2:$BU$2,0))</f>
        <v>#N/A</v>
      </c>
      <c r="AH348" s="422" t="e">
        <f t="shared" si="239"/>
        <v>#N/A</v>
      </c>
      <c r="AI348" s="422" t="e">
        <f>IF(AH348&gt;0,1+COUNTIF(AI$314:AI347,"&gt;0"),0)</f>
        <v>#N/A</v>
      </c>
      <c r="AJ348" s="422" t="str">
        <f t="shared" si="240"/>
        <v/>
      </c>
      <c r="AK348" s="422" t="str">
        <f t="shared" si="241"/>
        <v/>
      </c>
      <c r="AL348" s="423">
        <f t="shared" si="220"/>
        <v>0</v>
      </c>
      <c r="AM348" s="421" t="e">
        <f>INDEX(T03_Skills!$AA$3:$BU$41,MATCH('C03_ClassVariables'!$G354,T03_Skills!$Z$3:$Z$41,0),MATCH('C03_ClassVariables'!AR$313,T03_Skills!$AA$2:$BU$2,0))</f>
        <v>#N/A</v>
      </c>
      <c r="AN348" s="422" t="e">
        <f t="shared" si="242"/>
        <v>#N/A</v>
      </c>
      <c r="AO348" s="422" t="e">
        <f>IF(AN348&gt;0,1+COUNTIF(AO$314:AO347,"&gt;0"),0)</f>
        <v>#N/A</v>
      </c>
      <c r="AP348" s="422" t="str">
        <f t="shared" si="243"/>
        <v/>
      </c>
      <c r="AQ348" s="422" t="str">
        <f t="shared" si="244"/>
        <v/>
      </c>
      <c r="AR348" s="423">
        <f t="shared" si="221"/>
        <v>0</v>
      </c>
      <c r="AS348" s="421" t="e">
        <f>INDEX(T03_Skills!$AA$3:$BU$41,MATCH('C03_ClassVariables'!$G354,T03_Skills!$Z$3:$Z$41,0),MATCH('C03_ClassVariables'!AX$313,T03_Skills!$AA$2:$BU$2,0))</f>
        <v>#N/A</v>
      </c>
      <c r="AT348" s="422" t="e">
        <f t="shared" si="245"/>
        <v>#N/A</v>
      </c>
      <c r="AU348" s="422" t="e">
        <f>IF(AT348&gt;0,1+COUNTIF(AU$314:AU347,"&gt;0"),0)</f>
        <v>#N/A</v>
      </c>
      <c r="AV348" s="422" t="str">
        <f t="shared" si="246"/>
        <v/>
      </c>
      <c r="AW348" s="422" t="str">
        <f t="shared" si="247"/>
        <v/>
      </c>
      <c r="AX348" s="423">
        <f t="shared" si="222"/>
        <v>0</v>
      </c>
      <c r="AY348" s="421" t="e">
        <f>INDEX(T03_Skills!$AA$3:$BU$41,MATCH('C03_ClassVariables'!$G354,T03_Skills!$Z$3:$Z$41,0),MATCH('C03_ClassVariables'!BD$313,T03_Skills!$AA$2:$BU$2,0))</f>
        <v>#N/A</v>
      </c>
      <c r="AZ348" s="422" t="e">
        <f t="shared" si="248"/>
        <v>#N/A</v>
      </c>
      <c r="BA348" s="422" t="e">
        <f>IF(AZ348&gt;0,1+COUNTIF(BA$314:BA347,"&gt;0"),0)</f>
        <v>#N/A</v>
      </c>
      <c r="BB348" s="422" t="str">
        <f t="shared" si="249"/>
        <v/>
      </c>
      <c r="BC348" s="422" t="str">
        <f t="shared" si="250"/>
        <v/>
      </c>
      <c r="BD348" s="423">
        <f t="shared" si="223"/>
        <v>0</v>
      </c>
      <c r="BE348" s="421" t="e">
        <f>INDEX(T03_Skills!$AA$3:$BU$41,MATCH('C03_ClassVariables'!$G354,T03_Skills!$Z$3:$Z$41,0),MATCH('C03_ClassVariables'!BJ$313,T03_Skills!$AA$2:$BU$2,0))</f>
        <v>#N/A</v>
      </c>
      <c r="BF348" s="422" t="e">
        <f t="shared" si="251"/>
        <v>#N/A</v>
      </c>
      <c r="BG348" s="422" t="e">
        <f>IF(BF348&gt;0,1+COUNTIF(BG$314:BG347,"&gt;0"),0)</f>
        <v>#N/A</v>
      </c>
      <c r="BH348" s="422" t="str">
        <f t="shared" si="252"/>
        <v/>
      </c>
      <c r="BI348" s="422" t="str">
        <f t="shared" si="253"/>
        <v/>
      </c>
      <c r="BJ348" s="423">
        <f t="shared" si="224"/>
        <v>0</v>
      </c>
      <c r="BK348" s="421" t="e">
        <f>INDEX(T03_Skills!$AA$3:$BU$41,MATCH('C03_ClassVariables'!$G354,T03_Skills!$Z$3:$Z$41,0),MATCH('C03_ClassVariables'!BP$313,T03_Skills!$AA$2:$BU$2,0))</f>
        <v>#N/A</v>
      </c>
      <c r="BL348" s="422" t="e">
        <f t="shared" si="254"/>
        <v>#N/A</v>
      </c>
      <c r="BM348" s="422" t="e">
        <f>IF(BL348&gt;0,1+COUNTIF(BM$314:BM347,"&gt;0"),0)</f>
        <v>#N/A</v>
      </c>
      <c r="BN348" s="422" t="str">
        <f t="shared" si="255"/>
        <v/>
      </c>
      <c r="BO348" s="422" t="str">
        <f t="shared" si="256"/>
        <v/>
      </c>
      <c r="BP348" s="423">
        <f t="shared" si="225"/>
        <v>0</v>
      </c>
      <c r="BQ348" s="421" t="e">
        <f>INDEX(T03_Skills!$AA$3:$BU$41,MATCH('C03_ClassVariables'!$G354,T03_Skills!$Z$3:$Z$41,0),MATCH('C03_ClassVariables'!BV$313,T03_Skills!$AA$2:$BU$2,0))</f>
        <v>#N/A</v>
      </c>
      <c r="BR348" s="422" t="e">
        <f t="shared" si="257"/>
        <v>#N/A</v>
      </c>
      <c r="BS348" s="422" t="e">
        <f>IF(BR348&gt;0,1+COUNTIF(BS$314:BS347,"&gt;0"),0)</f>
        <v>#N/A</v>
      </c>
      <c r="BT348" s="422" t="str">
        <f t="shared" si="258"/>
        <v/>
      </c>
      <c r="BU348" s="422" t="str">
        <f t="shared" si="259"/>
        <v/>
      </c>
      <c r="BV348" s="423">
        <f t="shared" si="226"/>
        <v>0</v>
      </c>
      <c r="BW348" s="421" t="e">
        <f>INDEX(T03_Skills!$AA$3:$BU$41,MATCH('C03_ClassVariables'!$G354,T03_Skills!$Z$3:$Z$41,0),MATCH('C03_ClassVariables'!CB$313,T03_Skills!$AA$2:$BU$2,0))</f>
        <v>#N/A</v>
      </c>
      <c r="BX348" s="422" t="e">
        <f t="shared" si="260"/>
        <v>#N/A</v>
      </c>
      <c r="BY348" s="422" t="e">
        <f>IF(BX348&gt;0,1+COUNTIF(BY$314:BY347,"&gt;0"),0)</f>
        <v>#N/A</v>
      </c>
      <c r="BZ348" s="422" t="str">
        <f t="shared" si="261"/>
        <v/>
      </c>
      <c r="CA348" s="422" t="str">
        <f t="shared" si="262"/>
        <v/>
      </c>
      <c r="CB348" s="423">
        <f t="shared" si="227"/>
        <v>0</v>
      </c>
      <c r="CC348" s="421" t="e">
        <f>INDEX(T03_Skills!$AA$3:$BU$41,MATCH('C03_ClassVariables'!$G354,T03_Skills!$Z$3:$Z$41,0),MATCH('C03_ClassVariables'!CH$313,T03_Skills!$AA$2:$BU$2,0))</f>
        <v>#N/A</v>
      </c>
      <c r="CD348" s="422" t="e">
        <f t="shared" si="263"/>
        <v>#N/A</v>
      </c>
      <c r="CE348" s="422" t="e">
        <f>IF(CD348&gt;0,1+COUNTIF(CE$314:CE347,"&gt;0"),0)</f>
        <v>#N/A</v>
      </c>
      <c r="CF348" s="422" t="str">
        <f t="shared" si="264"/>
        <v/>
      </c>
      <c r="CG348" s="422" t="str">
        <f t="shared" si="265"/>
        <v/>
      </c>
      <c r="CH348" s="423">
        <f t="shared" si="228"/>
        <v>0</v>
      </c>
      <c r="CI348" s="428"/>
      <c r="CJ348" s="428"/>
      <c r="CK348" s="422"/>
      <c r="CL348" s="422"/>
      <c r="CM348" s="422"/>
      <c r="CN348" s="423"/>
      <c r="CO348" s="421"/>
      <c r="CP348" s="422"/>
      <c r="CQ348" s="422"/>
      <c r="CR348" s="422"/>
      <c r="CS348" s="422"/>
      <c r="CT348" s="423"/>
      <c r="CU348" s="421"/>
      <c r="CV348" s="422"/>
      <c r="CW348" s="422"/>
      <c r="CX348" s="422"/>
      <c r="CY348" s="422"/>
      <c r="CZ348" s="423"/>
      <c r="DA348" s="421"/>
      <c r="DB348" s="422"/>
      <c r="DC348" s="422"/>
      <c r="DD348" s="422"/>
      <c r="DE348" s="422"/>
      <c r="DF348" s="423"/>
      <c r="DG348" s="421"/>
      <c r="DH348" s="422"/>
      <c r="DI348" s="422"/>
      <c r="DJ348" s="422"/>
      <c r="DK348" s="422"/>
      <c r="DL348" s="423"/>
      <c r="DM348" s="421"/>
      <c r="DN348" s="422"/>
      <c r="DO348" s="422"/>
      <c r="DP348" s="422"/>
      <c r="DQ348" s="422"/>
      <c r="DR348" s="423"/>
      <c r="DS348" s="421"/>
      <c r="DT348" s="422"/>
      <c r="DU348" s="422"/>
      <c r="DV348" s="422"/>
      <c r="DW348" s="422"/>
      <c r="DX348" s="423"/>
      <c r="DY348" s="428"/>
      <c r="DZ348" s="138"/>
    </row>
    <row r="349" spans="1:130" ht="16.5" x14ac:dyDescent="0.3">
      <c r="A349" s="132">
        <f>IFERROR(IF(A348+1&lt;MAX(T041_ClassFeatures!$A$2:$A$2033),A348+1,""),"")</f>
        <v>346</v>
      </c>
      <c r="B349" s="131" t="str">
        <f>IFERROR(INDEX(T041_ClassFeatures!$B$2:$B$2033,MATCH('C03_ClassVariables'!A349,T041_ClassFeatures!$A$2:$A$2033,0),1),"")</f>
        <v>Dueling</v>
      </c>
      <c r="C349" s="131">
        <f>IF(B349="",0,IF(IFERROR(MATCH(B349,'C01_BaseCalculation'!$W$160:$W$239,0),0)&gt;0,1,0))</f>
        <v>0</v>
      </c>
      <c r="E349" s="428"/>
      <c r="F349" s="428"/>
      <c r="G349" s="4" t="s">
        <v>365</v>
      </c>
      <c r="I349" s="421">
        <f>INDEX(T03_Skills!$AA$3:$BU$41,MATCH('C03_ClassVariables'!$G355,T03_Skills!$Z$3:$Z$41,0),MATCH('C03_ClassVariables'!N$313,T03_Skills!$AA$2:$BU$2,0))</f>
        <v>0</v>
      </c>
      <c r="J349" s="422">
        <f t="shared" si="229"/>
        <v>0</v>
      </c>
      <c r="K349" s="422">
        <f>IF(I349&gt;0,1+COUNTIF(K$314:K348,"&gt;0"),0)</f>
        <v>0</v>
      </c>
      <c r="L349" s="422" t="str">
        <f t="shared" si="230"/>
        <v/>
      </c>
      <c r="M349" s="422" t="str">
        <f t="shared" si="214"/>
        <v/>
      </c>
      <c r="N349" s="423">
        <f t="shared" si="215"/>
        <v>0</v>
      </c>
      <c r="O349" s="421">
        <f>INDEX(T03_Skills!$AA$3:$BU$41,MATCH('C03_ClassVariables'!$G355,T03_Skills!$Z$3:$Z$41,0),MATCH('C03_ClassVariables'!T$313,T03_Skills!$AA$2:$BU$2,0))</f>
        <v>1</v>
      </c>
      <c r="P349" s="422">
        <f t="shared" si="231"/>
        <v>1</v>
      </c>
      <c r="Q349" s="422">
        <f>IF(P349&gt;0,1+COUNTIF(Q$314:Q348,"&gt;0"),0)</f>
        <v>36</v>
      </c>
      <c r="R349" s="422">
        <f t="shared" si="232"/>
        <v>36</v>
      </c>
      <c r="S349" s="422" t="str">
        <f t="shared" si="216"/>
        <v>Poisoner’s kit</v>
      </c>
      <c r="T349" s="423">
        <f t="shared" si="217"/>
        <v>0</v>
      </c>
      <c r="U349" s="421" t="e">
        <f>INDEX(T03_Skills!$AA$3:$BU$41,MATCH('C03_ClassVariables'!$G355,T03_Skills!$Z$3:$Z$41,0),MATCH('C03_ClassVariables'!Z$313,T03_Skills!$AA$2:$BU$2,0))</f>
        <v>#N/A</v>
      </c>
      <c r="V349" s="422" t="e">
        <f t="shared" si="233"/>
        <v>#N/A</v>
      </c>
      <c r="W349" s="422" t="e">
        <f>IF(V349&gt;0,1+COUNTIF(W$314:W348,"&gt;0"),0)</f>
        <v>#N/A</v>
      </c>
      <c r="X349" s="422" t="str">
        <f t="shared" si="234"/>
        <v/>
      </c>
      <c r="Y349" s="422" t="str">
        <f t="shared" si="235"/>
        <v/>
      </c>
      <c r="Z349" s="423">
        <f t="shared" si="218"/>
        <v>0</v>
      </c>
      <c r="AA349" s="421" t="e">
        <f>INDEX(T03_Skills!$AA$3:$BU$41,MATCH('C03_ClassVariables'!$G355,T03_Skills!$Z$3:$Z$41,0),MATCH('C03_ClassVariables'!AF$313,T03_Skills!$AA$2:$BU$2,0))</f>
        <v>#N/A</v>
      </c>
      <c r="AB349" s="422" t="e">
        <f t="shared" si="236"/>
        <v>#N/A</v>
      </c>
      <c r="AC349" s="422" t="e">
        <f>IF(AB349&gt;0,1+COUNTIF(AC$314:AC348,"&gt;0"),0)</f>
        <v>#N/A</v>
      </c>
      <c r="AD349" s="422" t="str">
        <f t="shared" si="237"/>
        <v/>
      </c>
      <c r="AE349" s="422" t="str">
        <f t="shared" si="238"/>
        <v/>
      </c>
      <c r="AF349" s="423">
        <f t="shared" si="219"/>
        <v>0</v>
      </c>
      <c r="AG349" s="421" t="e">
        <f>INDEX(T03_Skills!$AA$3:$BU$41,MATCH('C03_ClassVariables'!$G355,T03_Skills!$Z$3:$Z$41,0),MATCH('C03_ClassVariables'!AL$313,T03_Skills!$AA$2:$BU$2,0))</f>
        <v>#N/A</v>
      </c>
      <c r="AH349" s="422" t="e">
        <f t="shared" si="239"/>
        <v>#N/A</v>
      </c>
      <c r="AI349" s="422" t="e">
        <f>IF(AH349&gt;0,1+COUNTIF(AI$314:AI348,"&gt;0"),0)</f>
        <v>#N/A</v>
      </c>
      <c r="AJ349" s="422" t="str">
        <f t="shared" si="240"/>
        <v/>
      </c>
      <c r="AK349" s="422" t="str">
        <f t="shared" si="241"/>
        <v/>
      </c>
      <c r="AL349" s="423">
        <f t="shared" si="220"/>
        <v>0</v>
      </c>
      <c r="AM349" s="421" t="e">
        <f>INDEX(T03_Skills!$AA$3:$BU$41,MATCH('C03_ClassVariables'!$G355,T03_Skills!$Z$3:$Z$41,0),MATCH('C03_ClassVariables'!AR$313,T03_Skills!$AA$2:$BU$2,0))</f>
        <v>#N/A</v>
      </c>
      <c r="AN349" s="422" t="e">
        <f t="shared" si="242"/>
        <v>#N/A</v>
      </c>
      <c r="AO349" s="422" t="e">
        <f>IF(AN349&gt;0,1+COUNTIF(AO$314:AO348,"&gt;0"),0)</f>
        <v>#N/A</v>
      </c>
      <c r="AP349" s="422" t="str">
        <f t="shared" si="243"/>
        <v/>
      </c>
      <c r="AQ349" s="422" t="str">
        <f t="shared" si="244"/>
        <v/>
      </c>
      <c r="AR349" s="423">
        <f t="shared" si="221"/>
        <v>0</v>
      </c>
      <c r="AS349" s="421" t="e">
        <f>INDEX(T03_Skills!$AA$3:$BU$41,MATCH('C03_ClassVariables'!$G355,T03_Skills!$Z$3:$Z$41,0),MATCH('C03_ClassVariables'!AX$313,T03_Skills!$AA$2:$BU$2,0))</f>
        <v>#N/A</v>
      </c>
      <c r="AT349" s="422" t="e">
        <f t="shared" si="245"/>
        <v>#N/A</v>
      </c>
      <c r="AU349" s="422" t="e">
        <f>IF(AT349&gt;0,1+COUNTIF(AU$314:AU348,"&gt;0"),0)</f>
        <v>#N/A</v>
      </c>
      <c r="AV349" s="422" t="str">
        <f t="shared" si="246"/>
        <v/>
      </c>
      <c r="AW349" s="422" t="str">
        <f t="shared" si="247"/>
        <v/>
      </c>
      <c r="AX349" s="423">
        <f t="shared" si="222"/>
        <v>0</v>
      </c>
      <c r="AY349" s="421" t="e">
        <f>INDEX(T03_Skills!$AA$3:$BU$41,MATCH('C03_ClassVariables'!$G355,T03_Skills!$Z$3:$Z$41,0),MATCH('C03_ClassVariables'!BD$313,T03_Skills!$AA$2:$BU$2,0))</f>
        <v>#N/A</v>
      </c>
      <c r="AZ349" s="422" t="e">
        <f t="shared" si="248"/>
        <v>#N/A</v>
      </c>
      <c r="BA349" s="422" t="e">
        <f>IF(AZ349&gt;0,1+COUNTIF(BA$314:BA348,"&gt;0"),0)</f>
        <v>#N/A</v>
      </c>
      <c r="BB349" s="422" t="str">
        <f t="shared" si="249"/>
        <v/>
      </c>
      <c r="BC349" s="422" t="str">
        <f t="shared" si="250"/>
        <v/>
      </c>
      <c r="BD349" s="423">
        <f t="shared" si="223"/>
        <v>0</v>
      </c>
      <c r="BE349" s="421" t="e">
        <f>INDEX(T03_Skills!$AA$3:$BU$41,MATCH('C03_ClassVariables'!$G355,T03_Skills!$Z$3:$Z$41,0),MATCH('C03_ClassVariables'!BJ$313,T03_Skills!$AA$2:$BU$2,0))</f>
        <v>#N/A</v>
      </c>
      <c r="BF349" s="422" t="e">
        <f t="shared" si="251"/>
        <v>#N/A</v>
      </c>
      <c r="BG349" s="422" t="e">
        <f>IF(BF349&gt;0,1+COUNTIF(BG$314:BG348,"&gt;0"),0)</f>
        <v>#N/A</v>
      </c>
      <c r="BH349" s="422" t="str">
        <f t="shared" si="252"/>
        <v/>
      </c>
      <c r="BI349" s="422" t="str">
        <f t="shared" si="253"/>
        <v/>
      </c>
      <c r="BJ349" s="423">
        <f t="shared" si="224"/>
        <v>0</v>
      </c>
      <c r="BK349" s="421" t="e">
        <f>INDEX(T03_Skills!$AA$3:$BU$41,MATCH('C03_ClassVariables'!$G355,T03_Skills!$Z$3:$Z$41,0),MATCH('C03_ClassVariables'!BP$313,T03_Skills!$AA$2:$BU$2,0))</f>
        <v>#N/A</v>
      </c>
      <c r="BL349" s="422" t="e">
        <f t="shared" si="254"/>
        <v>#N/A</v>
      </c>
      <c r="BM349" s="422" t="e">
        <f>IF(BL349&gt;0,1+COUNTIF(BM$314:BM348,"&gt;0"),0)</f>
        <v>#N/A</v>
      </c>
      <c r="BN349" s="422" t="str">
        <f t="shared" si="255"/>
        <v/>
      </c>
      <c r="BO349" s="422" t="str">
        <f t="shared" si="256"/>
        <v/>
      </c>
      <c r="BP349" s="423">
        <f t="shared" si="225"/>
        <v>0</v>
      </c>
      <c r="BQ349" s="421" t="e">
        <f>INDEX(T03_Skills!$AA$3:$BU$41,MATCH('C03_ClassVariables'!$G355,T03_Skills!$Z$3:$Z$41,0),MATCH('C03_ClassVariables'!BV$313,T03_Skills!$AA$2:$BU$2,0))</f>
        <v>#N/A</v>
      </c>
      <c r="BR349" s="422" t="e">
        <f t="shared" si="257"/>
        <v>#N/A</v>
      </c>
      <c r="BS349" s="422" t="e">
        <f>IF(BR349&gt;0,1+COUNTIF(BS$314:BS348,"&gt;0"),0)</f>
        <v>#N/A</v>
      </c>
      <c r="BT349" s="422" t="str">
        <f t="shared" si="258"/>
        <v/>
      </c>
      <c r="BU349" s="422" t="str">
        <f t="shared" si="259"/>
        <v/>
      </c>
      <c r="BV349" s="423">
        <f t="shared" si="226"/>
        <v>0</v>
      </c>
      <c r="BW349" s="421" t="e">
        <f>INDEX(T03_Skills!$AA$3:$BU$41,MATCH('C03_ClassVariables'!$G355,T03_Skills!$Z$3:$Z$41,0),MATCH('C03_ClassVariables'!CB$313,T03_Skills!$AA$2:$BU$2,0))</f>
        <v>#N/A</v>
      </c>
      <c r="BX349" s="422" t="e">
        <f t="shared" si="260"/>
        <v>#N/A</v>
      </c>
      <c r="BY349" s="422" t="e">
        <f>IF(BX349&gt;0,1+COUNTIF(BY$314:BY348,"&gt;0"),0)</f>
        <v>#N/A</v>
      </c>
      <c r="BZ349" s="422" t="str">
        <f t="shared" si="261"/>
        <v/>
      </c>
      <c r="CA349" s="422" t="str">
        <f t="shared" si="262"/>
        <v/>
      </c>
      <c r="CB349" s="423">
        <f t="shared" si="227"/>
        <v>0</v>
      </c>
      <c r="CC349" s="421" t="e">
        <f>INDEX(T03_Skills!$AA$3:$BU$41,MATCH('C03_ClassVariables'!$G355,T03_Skills!$Z$3:$Z$41,0),MATCH('C03_ClassVariables'!CH$313,T03_Skills!$AA$2:$BU$2,0))</f>
        <v>#N/A</v>
      </c>
      <c r="CD349" s="422" t="e">
        <f t="shared" si="263"/>
        <v>#N/A</v>
      </c>
      <c r="CE349" s="422" t="e">
        <f>IF(CD349&gt;0,1+COUNTIF(CE$314:CE348,"&gt;0"),0)</f>
        <v>#N/A</v>
      </c>
      <c r="CF349" s="422" t="str">
        <f t="shared" si="264"/>
        <v/>
      </c>
      <c r="CG349" s="422" t="str">
        <f t="shared" si="265"/>
        <v/>
      </c>
      <c r="CH349" s="423">
        <f t="shared" si="228"/>
        <v>0</v>
      </c>
      <c r="CI349" s="428"/>
      <c r="CJ349" s="428"/>
      <c r="CK349" s="422"/>
      <c r="CL349" s="422"/>
      <c r="CM349" s="422"/>
      <c r="CN349" s="423"/>
      <c r="CO349" s="421"/>
      <c r="CP349" s="422"/>
      <c r="CQ349" s="422"/>
      <c r="CR349" s="422"/>
      <c r="CS349" s="422"/>
      <c r="CT349" s="423"/>
      <c r="CU349" s="421"/>
      <c r="CV349" s="422"/>
      <c r="CW349" s="422"/>
      <c r="CX349" s="422"/>
      <c r="CY349" s="422"/>
      <c r="CZ349" s="423"/>
      <c r="DA349" s="421"/>
      <c r="DB349" s="422"/>
      <c r="DC349" s="422"/>
      <c r="DD349" s="422"/>
      <c r="DE349" s="422"/>
      <c r="DF349" s="423"/>
      <c r="DG349" s="421"/>
      <c r="DH349" s="422"/>
      <c r="DI349" s="422"/>
      <c r="DJ349" s="422"/>
      <c r="DK349" s="422"/>
      <c r="DL349" s="423"/>
      <c r="DM349" s="421"/>
      <c r="DN349" s="422"/>
      <c r="DO349" s="422"/>
      <c r="DP349" s="422"/>
      <c r="DQ349" s="422"/>
      <c r="DR349" s="423"/>
      <c r="DS349" s="421"/>
      <c r="DT349" s="422"/>
      <c r="DU349" s="422"/>
      <c r="DV349" s="422"/>
      <c r="DW349" s="422"/>
      <c r="DX349" s="423"/>
      <c r="DY349" s="428"/>
      <c r="DZ349" s="138"/>
    </row>
    <row r="350" spans="1:130" ht="16.5" x14ac:dyDescent="0.3">
      <c r="A350" s="132">
        <f>IFERROR(IF(A349+1&lt;MAX(T041_ClassFeatures!$A$2:$A$2033),A349+1,""),"")</f>
        <v>347</v>
      </c>
      <c r="B350" s="131" t="str">
        <f>IFERROR(INDEX(T041_ClassFeatures!$B$2:$B$2033,MATCH('C03_ClassVariables'!A350,T041_ClassFeatures!$A$2:$A$2033,0),1),"")</f>
        <v>Great Weapon Fighting</v>
      </c>
      <c r="C350" s="131">
        <f>IF(B350="",0,IF(IFERROR(MATCH(B350,'C01_BaseCalculation'!$W$160:$W$239,0),0)&gt;0,1,0))</f>
        <v>0</v>
      </c>
      <c r="E350" s="428"/>
      <c r="F350" s="428"/>
      <c r="G350" s="4" t="s">
        <v>366</v>
      </c>
      <c r="I350" s="421">
        <f>INDEX(T03_Skills!$AA$3:$BU$41,MATCH('C03_ClassVariables'!$G356,T03_Skills!$Z$3:$Z$41,0),MATCH('C03_ClassVariables'!N$313,T03_Skills!$AA$2:$BU$2,0))</f>
        <v>0</v>
      </c>
      <c r="J350" s="422">
        <f t="shared" si="229"/>
        <v>0</v>
      </c>
      <c r="K350" s="422">
        <f>IF(I350&gt;0,1+COUNTIF(K$314:K349,"&gt;0"),0)</f>
        <v>0</v>
      </c>
      <c r="L350" s="422" t="str">
        <f t="shared" si="230"/>
        <v/>
      </c>
      <c r="M350" s="422" t="str">
        <f t="shared" si="214"/>
        <v/>
      </c>
      <c r="N350" s="423">
        <f t="shared" si="215"/>
        <v>0</v>
      </c>
      <c r="O350" s="421">
        <f>INDEX(T03_Skills!$AA$3:$BU$41,MATCH('C03_ClassVariables'!$G356,T03_Skills!$Z$3:$Z$41,0),MATCH('C03_ClassVariables'!T$313,T03_Skills!$AA$2:$BU$2,0))</f>
        <v>1</v>
      </c>
      <c r="P350" s="422">
        <f t="shared" si="231"/>
        <v>1</v>
      </c>
      <c r="Q350" s="422">
        <f>IF(P350&gt;0,1+COUNTIF(Q$314:Q349,"&gt;0"),0)</f>
        <v>37</v>
      </c>
      <c r="R350" s="422">
        <f t="shared" si="232"/>
        <v>37</v>
      </c>
      <c r="S350" s="422" t="str">
        <f t="shared" si="216"/>
        <v>Thieve's tools</v>
      </c>
      <c r="T350" s="423">
        <f t="shared" si="217"/>
        <v>0</v>
      </c>
      <c r="U350" s="421" t="e">
        <f>INDEX(T03_Skills!$AA$3:$BU$41,MATCH('C03_ClassVariables'!$G356,T03_Skills!$Z$3:$Z$41,0),MATCH('C03_ClassVariables'!Z$313,T03_Skills!$AA$2:$BU$2,0))</f>
        <v>#N/A</v>
      </c>
      <c r="V350" s="422" t="e">
        <f t="shared" si="233"/>
        <v>#N/A</v>
      </c>
      <c r="W350" s="422" t="e">
        <f>IF(V350&gt;0,1+COUNTIF(W$314:W349,"&gt;0"),0)</f>
        <v>#N/A</v>
      </c>
      <c r="X350" s="422" t="str">
        <f t="shared" si="234"/>
        <v/>
      </c>
      <c r="Y350" s="422" t="str">
        <f t="shared" si="235"/>
        <v/>
      </c>
      <c r="Z350" s="423">
        <f t="shared" si="218"/>
        <v>0</v>
      </c>
      <c r="AA350" s="421" t="e">
        <f>INDEX(T03_Skills!$AA$3:$BU$41,MATCH('C03_ClassVariables'!$G356,T03_Skills!$Z$3:$Z$41,0),MATCH('C03_ClassVariables'!AF$313,T03_Skills!$AA$2:$BU$2,0))</f>
        <v>#N/A</v>
      </c>
      <c r="AB350" s="422" t="e">
        <f t="shared" si="236"/>
        <v>#N/A</v>
      </c>
      <c r="AC350" s="422" t="e">
        <f>IF(AB350&gt;0,1+COUNTIF(AC$314:AC349,"&gt;0"),0)</f>
        <v>#N/A</v>
      </c>
      <c r="AD350" s="422" t="str">
        <f t="shared" si="237"/>
        <v/>
      </c>
      <c r="AE350" s="422" t="str">
        <f t="shared" si="238"/>
        <v/>
      </c>
      <c r="AF350" s="423">
        <f t="shared" si="219"/>
        <v>0</v>
      </c>
      <c r="AG350" s="421" t="e">
        <f>INDEX(T03_Skills!$AA$3:$BU$41,MATCH('C03_ClassVariables'!$G356,T03_Skills!$Z$3:$Z$41,0),MATCH('C03_ClassVariables'!AL$313,T03_Skills!$AA$2:$BU$2,0))</f>
        <v>#N/A</v>
      </c>
      <c r="AH350" s="422" t="e">
        <f t="shared" si="239"/>
        <v>#N/A</v>
      </c>
      <c r="AI350" s="422" t="e">
        <f>IF(AH350&gt;0,1+COUNTIF(AI$314:AI349,"&gt;0"),0)</f>
        <v>#N/A</v>
      </c>
      <c r="AJ350" s="422" t="str">
        <f t="shared" si="240"/>
        <v/>
      </c>
      <c r="AK350" s="422" t="str">
        <f t="shared" si="241"/>
        <v/>
      </c>
      <c r="AL350" s="423">
        <f t="shared" si="220"/>
        <v>0</v>
      </c>
      <c r="AM350" s="421" t="e">
        <f>INDEX(T03_Skills!$AA$3:$BU$41,MATCH('C03_ClassVariables'!$G356,T03_Skills!$Z$3:$Z$41,0),MATCH('C03_ClassVariables'!AR$313,T03_Skills!$AA$2:$BU$2,0))</f>
        <v>#N/A</v>
      </c>
      <c r="AN350" s="422" t="e">
        <f t="shared" si="242"/>
        <v>#N/A</v>
      </c>
      <c r="AO350" s="422" t="e">
        <f>IF(AN350&gt;0,1+COUNTIF(AO$314:AO349,"&gt;0"),0)</f>
        <v>#N/A</v>
      </c>
      <c r="AP350" s="422" t="str">
        <f t="shared" si="243"/>
        <v/>
      </c>
      <c r="AQ350" s="422" t="str">
        <f t="shared" si="244"/>
        <v/>
      </c>
      <c r="AR350" s="423">
        <f t="shared" si="221"/>
        <v>0</v>
      </c>
      <c r="AS350" s="421" t="e">
        <f>INDEX(T03_Skills!$AA$3:$BU$41,MATCH('C03_ClassVariables'!$G356,T03_Skills!$Z$3:$Z$41,0),MATCH('C03_ClassVariables'!AX$313,T03_Skills!$AA$2:$BU$2,0))</f>
        <v>#N/A</v>
      </c>
      <c r="AT350" s="422" t="e">
        <f t="shared" si="245"/>
        <v>#N/A</v>
      </c>
      <c r="AU350" s="422" t="e">
        <f>IF(AT350&gt;0,1+COUNTIF(AU$314:AU349,"&gt;0"),0)</f>
        <v>#N/A</v>
      </c>
      <c r="AV350" s="422" t="str">
        <f t="shared" si="246"/>
        <v/>
      </c>
      <c r="AW350" s="422" t="str">
        <f t="shared" si="247"/>
        <v/>
      </c>
      <c r="AX350" s="423">
        <f t="shared" si="222"/>
        <v>0</v>
      </c>
      <c r="AY350" s="421" t="e">
        <f>INDEX(T03_Skills!$AA$3:$BU$41,MATCH('C03_ClassVariables'!$G356,T03_Skills!$Z$3:$Z$41,0),MATCH('C03_ClassVariables'!BD$313,T03_Skills!$AA$2:$BU$2,0))</f>
        <v>#N/A</v>
      </c>
      <c r="AZ350" s="422" t="e">
        <f t="shared" si="248"/>
        <v>#N/A</v>
      </c>
      <c r="BA350" s="422" t="e">
        <f>IF(AZ350&gt;0,1+COUNTIF(BA$314:BA349,"&gt;0"),0)</f>
        <v>#N/A</v>
      </c>
      <c r="BB350" s="422" t="str">
        <f t="shared" si="249"/>
        <v/>
      </c>
      <c r="BC350" s="422" t="str">
        <f t="shared" si="250"/>
        <v/>
      </c>
      <c r="BD350" s="423">
        <f t="shared" si="223"/>
        <v>0</v>
      </c>
      <c r="BE350" s="421" t="e">
        <f>INDEX(T03_Skills!$AA$3:$BU$41,MATCH('C03_ClassVariables'!$G356,T03_Skills!$Z$3:$Z$41,0),MATCH('C03_ClassVariables'!BJ$313,T03_Skills!$AA$2:$BU$2,0))</f>
        <v>#N/A</v>
      </c>
      <c r="BF350" s="422" t="e">
        <f t="shared" si="251"/>
        <v>#N/A</v>
      </c>
      <c r="BG350" s="422" t="e">
        <f>IF(BF350&gt;0,1+COUNTIF(BG$314:BG349,"&gt;0"),0)</f>
        <v>#N/A</v>
      </c>
      <c r="BH350" s="422" t="str">
        <f t="shared" si="252"/>
        <v/>
      </c>
      <c r="BI350" s="422" t="str">
        <f t="shared" si="253"/>
        <v/>
      </c>
      <c r="BJ350" s="423">
        <f t="shared" si="224"/>
        <v>0</v>
      </c>
      <c r="BK350" s="421" t="e">
        <f>INDEX(T03_Skills!$AA$3:$BU$41,MATCH('C03_ClassVariables'!$G356,T03_Skills!$Z$3:$Z$41,0),MATCH('C03_ClassVariables'!BP$313,T03_Skills!$AA$2:$BU$2,0))</f>
        <v>#N/A</v>
      </c>
      <c r="BL350" s="422" t="e">
        <f t="shared" si="254"/>
        <v>#N/A</v>
      </c>
      <c r="BM350" s="422" t="e">
        <f>IF(BL350&gt;0,1+COUNTIF(BM$314:BM349,"&gt;0"),0)</f>
        <v>#N/A</v>
      </c>
      <c r="BN350" s="422" t="str">
        <f t="shared" si="255"/>
        <v/>
      </c>
      <c r="BO350" s="422" t="str">
        <f t="shared" si="256"/>
        <v/>
      </c>
      <c r="BP350" s="423">
        <f t="shared" si="225"/>
        <v>0</v>
      </c>
      <c r="BQ350" s="421" t="e">
        <f>INDEX(T03_Skills!$AA$3:$BU$41,MATCH('C03_ClassVariables'!$G356,T03_Skills!$Z$3:$Z$41,0),MATCH('C03_ClassVariables'!BV$313,T03_Skills!$AA$2:$BU$2,0))</f>
        <v>#N/A</v>
      </c>
      <c r="BR350" s="422" t="e">
        <f t="shared" si="257"/>
        <v>#N/A</v>
      </c>
      <c r="BS350" s="422" t="e">
        <f>IF(BR350&gt;0,1+COUNTIF(BS$314:BS349,"&gt;0"),0)</f>
        <v>#N/A</v>
      </c>
      <c r="BT350" s="422" t="str">
        <f t="shared" si="258"/>
        <v/>
      </c>
      <c r="BU350" s="422" t="str">
        <f t="shared" si="259"/>
        <v/>
      </c>
      <c r="BV350" s="423">
        <f t="shared" si="226"/>
        <v>0</v>
      </c>
      <c r="BW350" s="421" t="e">
        <f>INDEX(T03_Skills!$AA$3:$BU$41,MATCH('C03_ClassVariables'!$G356,T03_Skills!$Z$3:$Z$41,0),MATCH('C03_ClassVariables'!CB$313,T03_Skills!$AA$2:$BU$2,0))</f>
        <v>#N/A</v>
      </c>
      <c r="BX350" s="422" t="e">
        <f t="shared" si="260"/>
        <v>#N/A</v>
      </c>
      <c r="BY350" s="422" t="e">
        <f>IF(BX350&gt;0,1+COUNTIF(BY$314:BY349,"&gt;0"),0)</f>
        <v>#N/A</v>
      </c>
      <c r="BZ350" s="422" t="str">
        <f t="shared" si="261"/>
        <v/>
      </c>
      <c r="CA350" s="422" t="str">
        <f t="shared" si="262"/>
        <v/>
      </c>
      <c r="CB350" s="423">
        <f t="shared" si="227"/>
        <v>0</v>
      </c>
      <c r="CC350" s="421" t="e">
        <f>INDEX(T03_Skills!$AA$3:$BU$41,MATCH('C03_ClassVariables'!$G356,T03_Skills!$Z$3:$Z$41,0),MATCH('C03_ClassVariables'!CH$313,T03_Skills!$AA$2:$BU$2,0))</f>
        <v>#N/A</v>
      </c>
      <c r="CD350" s="422" t="e">
        <f t="shared" si="263"/>
        <v>#N/A</v>
      </c>
      <c r="CE350" s="422" t="e">
        <f>IF(CD350&gt;0,1+COUNTIF(CE$314:CE349,"&gt;0"),0)</f>
        <v>#N/A</v>
      </c>
      <c r="CF350" s="422" t="str">
        <f t="shared" si="264"/>
        <v/>
      </c>
      <c r="CG350" s="422" t="str">
        <f t="shared" si="265"/>
        <v/>
      </c>
      <c r="CH350" s="423">
        <f t="shared" si="228"/>
        <v>0</v>
      </c>
      <c r="CI350" s="428"/>
      <c r="CJ350" s="428"/>
      <c r="CK350" s="422"/>
      <c r="CL350" s="422"/>
      <c r="CM350" s="422"/>
      <c r="CN350" s="423"/>
      <c r="CO350" s="421"/>
      <c r="CP350" s="422"/>
      <c r="CQ350" s="422"/>
      <c r="CR350" s="422"/>
      <c r="CS350" s="422"/>
      <c r="CT350" s="423"/>
      <c r="CU350" s="421"/>
      <c r="CV350" s="422"/>
      <c r="CW350" s="422"/>
      <c r="CX350" s="422"/>
      <c r="CY350" s="422"/>
      <c r="CZ350" s="423"/>
      <c r="DA350" s="421"/>
      <c r="DB350" s="422"/>
      <c r="DC350" s="422"/>
      <c r="DD350" s="422"/>
      <c r="DE350" s="422"/>
      <c r="DF350" s="423"/>
      <c r="DG350" s="421"/>
      <c r="DH350" s="422"/>
      <c r="DI350" s="422"/>
      <c r="DJ350" s="422"/>
      <c r="DK350" s="422"/>
      <c r="DL350" s="423"/>
      <c r="DM350" s="421"/>
      <c r="DN350" s="422"/>
      <c r="DO350" s="422"/>
      <c r="DP350" s="422"/>
      <c r="DQ350" s="422"/>
      <c r="DR350" s="423"/>
      <c r="DS350" s="421"/>
      <c r="DT350" s="422"/>
      <c r="DU350" s="422"/>
      <c r="DV350" s="422"/>
      <c r="DW350" s="422"/>
      <c r="DX350" s="423"/>
      <c r="DY350" s="428"/>
      <c r="DZ350" s="138"/>
    </row>
    <row r="351" spans="1:130" ht="16.5" x14ac:dyDescent="0.3">
      <c r="A351" s="132">
        <f>IFERROR(IF(A350+1&lt;MAX(T041_ClassFeatures!$A$2:$A$2033),A350+1,""),"")</f>
        <v>348</v>
      </c>
      <c r="B351" s="131" t="str">
        <f>IFERROR(INDEX(T041_ClassFeatures!$B$2:$B$2033,MATCH('C03_ClassVariables'!A351,T041_ClassFeatures!$A$2:$A$2033,0),1),"")</f>
        <v>Protection</v>
      </c>
      <c r="C351" s="131">
        <f>IF(B351="",0,IF(IFERROR(MATCH(B351,'C01_BaseCalculation'!$W$160:$W$239,0),0)&gt;0,1,0))</f>
        <v>0</v>
      </c>
      <c r="E351" s="428"/>
      <c r="F351" s="428"/>
      <c r="G351" s="4" t="s">
        <v>395</v>
      </c>
      <c r="I351" s="421">
        <f>INDEX(T03_Skills!$AA$3:$BU$41,MATCH('C03_ClassVariables'!$G357,T03_Skills!$Z$3:$Z$41,0),MATCH('C03_ClassVariables'!N$313,T03_Skills!$AA$2:$BU$2,0))</f>
        <v>1</v>
      </c>
      <c r="J351" s="422">
        <f t="shared" si="229"/>
        <v>1</v>
      </c>
      <c r="K351" s="422">
        <f>IF(I351&gt;0,1+COUNTIF(K$314:K350,"&gt;0"),0)</f>
        <v>1</v>
      </c>
      <c r="L351" s="422" t="str">
        <f t="shared" si="230"/>
        <v/>
      </c>
      <c r="M351" s="422" t="str">
        <f t="shared" si="214"/>
        <v/>
      </c>
      <c r="N351" s="423">
        <f t="shared" si="215"/>
        <v>1</v>
      </c>
      <c r="O351" s="421">
        <f>INDEX(T03_Skills!$AA$3:$BU$41,MATCH('C03_ClassVariables'!$G357,T03_Skills!$Z$3:$Z$41,0),MATCH('C03_ClassVariables'!T$313,T03_Skills!$AA$2:$BU$2,0))</f>
        <v>1</v>
      </c>
      <c r="P351" s="422">
        <f t="shared" si="231"/>
        <v>0</v>
      </c>
      <c r="Q351" s="422">
        <f>IF(P351&gt;0,1+COUNTIF(Q$314:Q350,"&gt;0"),0)</f>
        <v>0</v>
      </c>
      <c r="R351" s="422">
        <f t="shared" si="232"/>
        <v>38</v>
      </c>
      <c r="S351" s="422" t="str">
        <f t="shared" si="216"/>
        <v>Vehicles (water)</v>
      </c>
      <c r="T351" s="423">
        <f t="shared" si="217"/>
        <v>0</v>
      </c>
      <c r="U351" s="421" t="e">
        <f>INDEX(T03_Skills!$AA$3:$BU$41,MATCH('C03_ClassVariables'!$G357,T03_Skills!$Z$3:$Z$41,0),MATCH('C03_ClassVariables'!Z$313,T03_Skills!$AA$2:$BU$2,0))</f>
        <v>#N/A</v>
      </c>
      <c r="V351" s="422" t="e">
        <f t="shared" si="233"/>
        <v>#N/A</v>
      </c>
      <c r="W351" s="422" t="e">
        <f>IF(V351&gt;0,1+COUNTIF(W$314:W350,"&gt;0"),0)</f>
        <v>#N/A</v>
      </c>
      <c r="X351" s="422" t="str">
        <f t="shared" si="234"/>
        <v/>
      </c>
      <c r="Y351" s="422" t="str">
        <f t="shared" si="235"/>
        <v/>
      </c>
      <c r="Z351" s="423">
        <f t="shared" si="218"/>
        <v>0</v>
      </c>
      <c r="AA351" s="421" t="e">
        <f>INDEX(T03_Skills!$AA$3:$BU$41,MATCH('C03_ClassVariables'!$G357,T03_Skills!$Z$3:$Z$41,0),MATCH('C03_ClassVariables'!AF$313,T03_Skills!$AA$2:$BU$2,0))</f>
        <v>#N/A</v>
      </c>
      <c r="AB351" s="422" t="e">
        <f t="shared" si="236"/>
        <v>#N/A</v>
      </c>
      <c r="AC351" s="422" t="e">
        <f>IF(AB351&gt;0,1+COUNTIF(AC$314:AC350,"&gt;0"),0)</f>
        <v>#N/A</v>
      </c>
      <c r="AD351" s="422" t="str">
        <f t="shared" si="237"/>
        <v/>
      </c>
      <c r="AE351" s="422" t="str">
        <f t="shared" si="238"/>
        <v/>
      </c>
      <c r="AF351" s="423">
        <f t="shared" si="219"/>
        <v>0</v>
      </c>
      <c r="AG351" s="421" t="e">
        <f>INDEX(T03_Skills!$AA$3:$BU$41,MATCH('C03_ClassVariables'!$G357,T03_Skills!$Z$3:$Z$41,0),MATCH('C03_ClassVariables'!AL$313,T03_Skills!$AA$2:$BU$2,0))</f>
        <v>#N/A</v>
      </c>
      <c r="AH351" s="422" t="e">
        <f t="shared" si="239"/>
        <v>#N/A</v>
      </c>
      <c r="AI351" s="422" t="e">
        <f>IF(AH351&gt;0,1+COUNTIF(AI$314:AI350,"&gt;0"),0)</f>
        <v>#N/A</v>
      </c>
      <c r="AJ351" s="422" t="str">
        <f t="shared" si="240"/>
        <v/>
      </c>
      <c r="AK351" s="422" t="str">
        <f t="shared" si="241"/>
        <v/>
      </c>
      <c r="AL351" s="423">
        <f t="shared" si="220"/>
        <v>0</v>
      </c>
      <c r="AM351" s="421" t="e">
        <f>INDEX(T03_Skills!$AA$3:$BU$41,MATCH('C03_ClassVariables'!$G357,T03_Skills!$Z$3:$Z$41,0),MATCH('C03_ClassVariables'!AR$313,T03_Skills!$AA$2:$BU$2,0))</f>
        <v>#N/A</v>
      </c>
      <c r="AN351" s="422" t="e">
        <f t="shared" si="242"/>
        <v>#N/A</v>
      </c>
      <c r="AO351" s="422" t="e">
        <f>IF(AN351&gt;0,1+COUNTIF(AO$314:AO350,"&gt;0"),0)</f>
        <v>#N/A</v>
      </c>
      <c r="AP351" s="422" t="str">
        <f t="shared" si="243"/>
        <v/>
      </c>
      <c r="AQ351" s="422" t="str">
        <f t="shared" si="244"/>
        <v/>
      </c>
      <c r="AR351" s="423">
        <f t="shared" si="221"/>
        <v>0</v>
      </c>
      <c r="AS351" s="421" t="e">
        <f>INDEX(T03_Skills!$AA$3:$BU$41,MATCH('C03_ClassVariables'!$G357,T03_Skills!$Z$3:$Z$41,0),MATCH('C03_ClassVariables'!AX$313,T03_Skills!$AA$2:$BU$2,0))</f>
        <v>#N/A</v>
      </c>
      <c r="AT351" s="422" t="e">
        <f t="shared" si="245"/>
        <v>#N/A</v>
      </c>
      <c r="AU351" s="422" t="e">
        <f>IF(AT351&gt;0,1+COUNTIF(AU$314:AU350,"&gt;0"),0)</f>
        <v>#N/A</v>
      </c>
      <c r="AV351" s="422" t="str">
        <f t="shared" si="246"/>
        <v/>
      </c>
      <c r="AW351" s="422" t="str">
        <f t="shared" si="247"/>
        <v/>
      </c>
      <c r="AX351" s="423">
        <f t="shared" si="222"/>
        <v>0</v>
      </c>
      <c r="AY351" s="421" t="e">
        <f>INDEX(T03_Skills!$AA$3:$BU$41,MATCH('C03_ClassVariables'!$G357,T03_Skills!$Z$3:$Z$41,0),MATCH('C03_ClassVariables'!BD$313,T03_Skills!$AA$2:$BU$2,0))</f>
        <v>#N/A</v>
      </c>
      <c r="AZ351" s="422" t="e">
        <f t="shared" si="248"/>
        <v>#N/A</v>
      </c>
      <c r="BA351" s="422" t="e">
        <f>IF(AZ351&gt;0,1+COUNTIF(BA$314:BA350,"&gt;0"),0)</f>
        <v>#N/A</v>
      </c>
      <c r="BB351" s="422" t="str">
        <f t="shared" si="249"/>
        <v/>
      </c>
      <c r="BC351" s="422" t="str">
        <f t="shared" si="250"/>
        <v/>
      </c>
      <c r="BD351" s="423">
        <f t="shared" si="223"/>
        <v>0</v>
      </c>
      <c r="BE351" s="421" t="e">
        <f>INDEX(T03_Skills!$AA$3:$BU$41,MATCH('C03_ClassVariables'!$G357,T03_Skills!$Z$3:$Z$41,0),MATCH('C03_ClassVariables'!BJ$313,T03_Skills!$AA$2:$BU$2,0))</f>
        <v>#N/A</v>
      </c>
      <c r="BF351" s="422" t="e">
        <f t="shared" si="251"/>
        <v>#N/A</v>
      </c>
      <c r="BG351" s="422" t="e">
        <f>IF(BF351&gt;0,1+COUNTIF(BG$314:BG350,"&gt;0"),0)</f>
        <v>#N/A</v>
      </c>
      <c r="BH351" s="422" t="str">
        <f t="shared" si="252"/>
        <v/>
      </c>
      <c r="BI351" s="422" t="str">
        <f t="shared" si="253"/>
        <v/>
      </c>
      <c r="BJ351" s="423">
        <f t="shared" si="224"/>
        <v>0</v>
      </c>
      <c r="BK351" s="421" t="e">
        <f>INDEX(T03_Skills!$AA$3:$BU$41,MATCH('C03_ClassVariables'!$G357,T03_Skills!$Z$3:$Z$41,0),MATCH('C03_ClassVariables'!BP$313,T03_Skills!$AA$2:$BU$2,0))</f>
        <v>#N/A</v>
      </c>
      <c r="BL351" s="422" t="e">
        <f t="shared" si="254"/>
        <v>#N/A</v>
      </c>
      <c r="BM351" s="422" t="e">
        <f>IF(BL351&gt;0,1+COUNTIF(BM$314:BM350,"&gt;0"),0)</f>
        <v>#N/A</v>
      </c>
      <c r="BN351" s="422" t="str">
        <f t="shared" si="255"/>
        <v/>
      </c>
      <c r="BO351" s="422" t="str">
        <f t="shared" si="256"/>
        <v/>
      </c>
      <c r="BP351" s="423">
        <f t="shared" si="225"/>
        <v>0</v>
      </c>
      <c r="BQ351" s="421" t="e">
        <f>INDEX(T03_Skills!$AA$3:$BU$41,MATCH('C03_ClassVariables'!$G357,T03_Skills!$Z$3:$Z$41,0),MATCH('C03_ClassVariables'!BV$313,T03_Skills!$AA$2:$BU$2,0))</f>
        <v>#N/A</v>
      </c>
      <c r="BR351" s="422" t="e">
        <f t="shared" si="257"/>
        <v>#N/A</v>
      </c>
      <c r="BS351" s="422" t="e">
        <f>IF(BR351&gt;0,1+COUNTIF(BS$314:BS350,"&gt;0"),0)</f>
        <v>#N/A</v>
      </c>
      <c r="BT351" s="422" t="str">
        <f t="shared" si="258"/>
        <v/>
      </c>
      <c r="BU351" s="422" t="str">
        <f t="shared" si="259"/>
        <v/>
      </c>
      <c r="BV351" s="423">
        <f t="shared" si="226"/>
        <v>0</v>
      </c>
      <c r="BW351" s="421" t="e">
        <f>INDEX(T03_Skills!$AA$3:$BU$41,MATCH('C03_ClassVariables'!$G357,T03_Skills!$Z$3:$Z$41,0),MATCH('C03_ClassVariables'!CB$313,T03_Skills!$AA$2:$BU$2,0))</f>
        <v>#N/A</v>
      </c>
      <c r="BX351" s="422" t="e">
        <f t="shared" si="260"/>
        <v>#N/A</v>
      </c>
      <c r="BY351" s="422" t="e">
        <f>IF(BX351&gt;0,1+COUNTIF(BY$314:BY350,"&gt;0"),0)</f>
        <v>#N/A</v>
      </c>
      <c r="BZ351" s="422" t="str">
        <f t="shared" si="261"/>
        <v/>
      </c>
      <c r="CA351" s="422" t="str">
        <f t="shared" si="262"/>
        <v/>
      </c>
      <c r="CB351" s="423">
        <f t="shared" si="227"/>
        <v>0</v>
      </c>
      <c r="CC351" s="421" t="e">
        <f>INDEX(T03_Skills!$AA$3:$BU$41,MATCH('C03_ClassVariables'!$G357,T03_Skills!$Z$3:$Z$41,0),MATCH('C03_ClassVariables'!CH$313,T03_Skills!$AA$2:$BU$2,0))</f>
        <v>#N/A</v>
      </c>
      <c r="CD351" s="422" t="e">
        <f t="shared" si="263"/>
        <v>#N/A</v>
      </c>
      <c r="CE351" s="422" t="e">
        <f>IF(CD351&gt;0,1+COUNTIF(CE$314:CE350,"&gt;0"),0)</f>
        <v>#N/A</v>
      </c>
      <c r="CF351" s="422" t="str">
        <f t="shared" si="264"/>
        <v/>
      </c>
      <c r="CG351" s="422" t="str">
        <f t="shared" si="265"/>
        <v/>
      </c>
      <c r="CH351" s="423">
        <f t="shared" si="228"/>
        <v>0</v>
      </c>
      <c r="CI351" s="428"/>
      <c r="CJ351" s="428"/>
      <c r="CK351" s="422"/>
      <c r="CL351" s="422"/>
      <c r="CM351" s="422"/>
      <c r="CN351" s="423"/>
      <c r="CO351" s="421"/>
      <c r="CP351" s="422"/>
      <c r="CQ351" s="422"/>
      <c r="CR351" s="422"/>
      <c r="CS351" s="422"/>
      <c r="CT351" s="423"/>
      <c r="CU351" s="421"/>
      <c r="CV351" s="422"/>
      <c r="CW351" s="422"/>
      <c r="CX351" s="422"/>
      <c r="CY351" s="422"/>
      <c r="CZ351" s="423"/>
      <c r="DA351" s="421"/>
      <c r="DB351" s="422"/>
      <c r="DC351" s="422"/>
      <c r="DD351" s="422"/>
      <c r="DE351" s="422"/>
      <c r="DF351" s="423"/>
      <c r="DG351" s="421"/>
      <c r="DH351" s="422"/>
      <c r="DI351" s="422"/>
      <c r="DJ351" s="422"/>
      <c r="DK351" s="422"/>
      <c r="DL351" s="423"/>
      <c r="DM351" s="421"/>
      <c r="DN351" s="422"/>
      <c r="DO351" s="422"/>
      <c r="DP351" s="422"/>
      <c r="DQ351" s="422"/>
      <c r="DR351" s="423"/>
      <c r="DS351" s="421"/>
      <c r="DT351" s="422"/>
      <c r="DU351" s="422"/>
      <c r="DV351" s="422"/>
      <c r="DW351" s="422"/>
      <c r="DX351" s="423"/>
      <c r="DY351" s="428"/>
      <c r="DZ351" s="138"/>
    </row>
    <row r="352" spans="1:130" ht="17.25" thickBot="1" x14ac:dyDescent="0.35">
      <c r="A352" s="132">
        <f>IFERROR(IF(A351+1&lt;MAX(T041_ClassFeatures!$A$2:$A$2033),A351+1,""),"")</f>
        <v>349</v>
      </c>
      <c r="B352" s="131" t="str">
        <f>IFERROR(INDEX(T041_ClassFeatures!$B$2:$B$2033,MATCH('C03_ClassVariables'!A352,T041_ClassFeatures!$A$2:$A$2033,0),1),"")</f>
        <v>Two-Weapon Fighting</v>
      </c>
      <c r="C352" s="131">
        <f>IF(B352="",0,IF(IFERROR(MATCH(B352,'C01_BaseCalculation'!$W$160:$W$239,0),0)&gt;0,1,0))</f>
        <v>0</v>
      </c>
      <c r="E352" s="428"/>
      <c r="F352" s="428"/>
      <c r="G352" s="4" t="s">
        <v>441</v>
      </c>
      <c r="I352" s="424">
        <f>INDEX(T03_Skills!$AA$3:$BU$41,MATCH('C03_ClassVariables'!$G358,T03_Skills!$Z$3:$Z$41,0),MATCH('C03_ClassVariables'!N$313,T03_Skills!$AA$2:$BU$2,0))</f>
        <v>0</v>
      </c>
      <c r="J352" s="422">
        <f t="shared" si="229"/>
        <v>0</v>
      </c>
      <c r="K352" s="425">
        <f>IF(I352&gt;0,1+COUNTIF(K$314:K351,"&gt;0"),0)</f>
        <v>0</v>
      </c>
      <c r="L352" s="425" t="str">
        <f t="shared" si="230"/>
        <v/>
      </c>
      <c r="M352" s="425" t="str">
        <f t="shared" si="214"/>
        <v/>
      </c>
      <c r="N352" s="423">
        <f t="shared" si="215"/>
        <v>0</v>
      </c>
      <c r="O352" s="424">
        <f>INDEX(T03_Skills!$AA$3:$BU$41,MATCH('C03_ClassVariables'!$G358,T03_Skills!$Z$3:$Z$41,0),MATCH('C03_ClassVariables'!T$313,T03_Skills!$AA$2:$BU$2,0))</f>
        <v>1</v>
      </c>
      <c r="P352" s="422">
        <f t="shared" si="231"/>
        <v>1</v>
      </c>
      <c r="Q352" s="422">
        <f>IF(P352&gt;0,1+COUNTIF(Q$314:Q351,"&gt;0"),0)</f>
        <v>38</v>
      </c>
      <c r="R352" s="425" t="str">
        <f t="shared" si="232"/>
        <v/>
      </c>
      <c r="S352" s="425" t="str">
        <f t="shared" si="216"/>
        <v/>
      </c>
      <c r="T352" s="426">
        <f t="shared" si="217"/>
        <v>0</v>
      </c>
      <c r="U352" s="424" t="e">
        <f>INDEX(T03_Skills!$AA$3:$BU$41,MATCH('C03_ClassVariables'!$G358,T03_Skills!$Z$3:$Z$41,0),MATCH('C03_ClassVariables'!Z$313,T03_Skills!$AA$2:$BU$2,0))</f>
        <v>#N/A</v>
      </c>
      <c r="V352" s="422" t="e">
        <f t="shared" si="233"/>
        <v>#N/A</v>
      </c>
      <c r="W352" s="422" t="e">
        <f>IF(V352&gt;0,1+COUNTIF(W$314:W351,"&gt;0"),0)</f>
        <v>#N/A</v>
      </c>
      <c r="X352" s="422" t="str">
        <f t="shared" si="234"/>
        <v/>
      </c>
      <c r="Y352" s="422" t="str">
        <f t="shared" si="235"/>
        <v/>
      </c>
      <c r="Z352" s="423">
        <f t="shared" si="218"/>
        <v>0</v>
      </c>
      <c r="AA352" s="424" t="e">
        <f>INDEX(T03_Skills!$AA$3:$BU$41,MATCH('C03_ClassVariables'!$G358,T03_Skills!$Z$3:$Z$41,0),MATCH('C03_ClassVariables'!AF$313,T03_Skills!$AA$2:$BU$2,0))</f>
        <v>#N/A</v>
      </c>
      <c r="AB352" s="422" t="e">
        <f t="shared" si="236"/>
        <v>#N/A</v>
      </c>
      <c r="AC352" s="422" t="e">
        <f>IF(AB352&gt;0,1+COUNTIF(AC$314:AC351,"&gt;0"),0)</f>
        <v>#N/A</v>
      </c>
      <c r="AD352" s="422" t="str">
        <f t="shared" si="237"/>
        <v/>
      </c>
      <c r="AE352" s="422" t="str">
        <f t="shared" si="238"/>
        <v/>
      </c>
      <c r="AF352" s="426">
        <f t="shared" si="219"/>
        <v>0</v>
      </c>
      <c r="AG352" s="424" t="e">
        <f>INDEX(T03_Skills!$AA$3:$BU$41,MATCH('C03_ClassVariables'!$G358,T03_Skills!$Z$3:$Z$41,0),MATCH('C03_ClassVariables'!AL$313,T03_Skills!$AA$2:$BU$2,0))</f>
        <v>#N/A</v>
      </c>
      <c r="AH352" s="422" t="e">
        <f t="shared" si="239"/>
        <v>#N/A</v>
      </c>
      <c r="AI352" s="422" t="e">
        <f>IF(AH352&gt;0,1+COUNTIF(AI$314:AI351,"&gt;0"),0)</f>
        <v>#N/A</v>
      </c>
      <c r="AJ352" s="422" t="str">
        <f t="shared" si="240"/>
        <v/>
      </c>
      <c r="AK352" s="422" t="str">
        <f t="shared" si="241"/>
        <v/>
      </c>
      <c r="AL352" s="426">
        <f t="shared" si="220"/>
        <v>0</v>
      </c>
      <c r="AM352" s="424" t="e">
        <f>INDEX(T03_Skills!$AA$3:$BU$41,MATCH('C03_ClassVariables'!$G358,T03_Skills!$Z$3:$Z$41,0),MATCH('C03_ClassVariables'!AR$313,T03_Skills!$AA$2:$BU$2,0))</f>
        <v>#N/A</v>
      </c>
      <c r="AN352" s="422" t="e">
        <f t="shared" si="242"/>
        <v>#N/A</v>
      </c>
      <c r="AO352" s="422" t="e">
        <f>IF(AN352&gt;0,1+COUNTIF(AO$314:AO351,"&gt;0"),0)</f>
        <v>#N/A</v>
      </c>
      <c r="AP352" s="422" t="str">
        <f t="shared" si="243"/>
        <v/>
      </c>
      <c r="AQ352" s="422" t="str">
        <f t="shared" si="244"/>
        <v/>
      </c>
      <c r="AR352" s="426">
        <f t="shared" si="221"/>
        <v>0</v>
      </c>
      <c r="AS352" s="424" t="e">
        <f>INDEX(T03_Skills!$AA$3:$BU$41,MATCH('C03_ClassVariables'!$G358,T03_Skills!$Z$3:$Z$41,0),MATCH('C03_ClassVariables'!AX$313,T03_Skills!$AA$2:$BU$2,0))</f>
        <v>#N/A</v>
      </c>
      <c r="AT352" s="422" t="e">
        <f t="shared" si="245"/>
        <v>#N/A</v>
      </c>
      <c r="AU352" s="422" t="e">
        <f>IF(AT352&gt;0,1+COUNTIF(AU$314:AU351,"&gt;0"),0)</f>
        <v>#N/A</v>
      </c>
      <c r="AV352" s="422" t="str">
        <f t="shared" si="246"/>
        <v/>
      </c>
      <c r="AW352" s="422" t="str">
        <f t="shared" si="247"/>
        <v/>
      </c>
      <c r="AX352" s="426">
        <f t="shared" si="222"/>
        <v>0</v>
      </c>
      <c r="AY352" s="424" t="e">
        <f>INDEX(T03_Skills!$AA$3:$BU$41,MATCH('C03_ClassVariables'!$G358,T03_Skills!$Z$3:$Z$41,0),MATCH('C03_ClassVariables'!BD$313,T03_Skills!$AA$2:$BU$2,0))</f>
        <v>#N/A</v>
      </c>
      <c r="AZ352" s="422" t="e">
        <f t="shared" si="248"/>
        <v>#N/A</v>
      </c>
      <c r="BA352" s="422" t="e">
        <f>IF(AZ352&gt;0,1+COUNTIF(BA$314:BA351,"&gt;0"),0)</f>
        <v>#N/A</v>
      </c>
      <c r="BB352" s="422" t="str">
        <f t="shared" si="249"/>
        <v/>
      </c>
      <c r="BC352" s="422" t="str">
        <f t="shared" si="250"/>
        <v/>
      </c>
      <c r="BD352" s="426">
        <f t="shared" si="223"/>
        <v>0</v>
      </c>
      <c r="BE352" s="424" t="e">
        <f>INDEX(T03_Skills!$AA$3:$BU$41,MATCH('C03_ClassVariables'!$G358,T03_Skills!$Z$3:$Z$41,0),MATCH('C03_ClassVariables'!BJ$313,T03_Skills!$AA$2:$BU$2,0))</f>
        <v>#N/A</v>
      </c>
      <c r="BF352" s="422" t="e">
        <f t="shared" si="251"/>
        <v>#N/A</v>
      </c>
      <c r="BG352" s="422" t="e">
        <f>IF(BF352&gt;0,1+COUNTIF(BG$314:BG351,"&gt;0"),0)</f>
        <v>#N/A</v>
      </c>
      <c r="BH352" s="422" t="str">
        <f t="shared" si="252"/>
        <v/>
      </c>
      <c r="BI352" s="422" t="str">
        <f t="shared" si="253"/>
        <v/>
      </c>
      <c r="BJ352" s="426">
        <f t="shared" si="224"/>
        <v>0</v>
      </c>
      <c r="BK352" s="424" t="e">
        <f>INDEX(T03_Skills!$AA$3:$BU$41,MATCH('C03_ClassVariables'!$G358,T03_Skills!$Z$3:$Z$41,0),MATCH('C03_ClassVariables'!BP$313,T03_Skills!$AA$2:$BU$2,0))</f>
        <v>#N/A</v>
      </c>
      <c r="BL352" s="422" t="e">
        <f t="shared" si="254"/>
        <v>#N/A</v>
      </c>
      <c r="BM352" s="422" t="e">
        <f>IF(BL352&gt;0,1+COUNTIF(BM$314:BM351,"&gt;0"),0)</f>
        <v>#N/A</v>
      </c>
      <c r="BN352" s="422" t="str">
        <f t="shared" si="255"/>
        <v/>
      </c>
      <c r="BO352" s="422" t="str">
        <f t="shared" si="256"/>
        <v/>
      </c>
      <c r="BP352" s="426">
        <f t="shared" si="225"/>
        <v>0</v>
      </c>
      <c r="BQ352" s="424" t="e">
        <f>INDEX(T03_Skills!$AA$3:$BU$41,MATCH('C03_ClassVariables'!$G358,T03_Skills!$Z$3:$Z$41,0),MATCH('C03_ClassVariables'!BV$313,T03_Skills!$AA$2:$BU$2,0))</f>
        <v>#N/A</v>
      </c>
      <c r="BR352" s="422" t="e">
        <f t="shared" si="257"/>
        <v>#N/A</v>
      </c>
      <c r="BS352" s="422" t="e">
        <f>IF(BR352&gt;0,1+COUNTIF(BS$314:BS351,"&gt;0"),0)</f>
        <v>#N/A</v>
      </c>
      <c r="BT352" s="422" t="str">
        <f t="shared" si="258"/>
        <v/>
      </c>
      <c r="BU352" s="422" t="str">
        <f t="shared" si="259"/>
        <v/>
      </c>
      <c r="BV352" s="426">
        <f t="shared" si="226"/>
        <v>0</v>
      </c>
      <c r="BW352" s="424" t="e">
        <f>INDEX(T03_Skills!$AA$3:$BU$41,MATCH('C03_ClassVariables'!$G358,T03_Skills!$Z$3:$Z$41,0),MATCH('C03_ClassVariables'!CB$313,T03_Skills!$AA$2:$BU$2,0))</f>
        <v>#N/A</v>
      </c>
      <c r="BX352" s="422" t="e">
        <f t="shared" si="260"/>
        <v>#N/A</v>
      </c>
      <c r="BY352" s="422" t="e">
        <f>IF(BX352&gt;0,1+COUNTIF(BY$314:BY351,"&gt;0"),0)</f>
        <v>#N/A</v>
      </c>
      <c r="BZ352" s="422" t="str">
        <f t="shared" si="261"/>
        <v/>
      </c>
      <c r="CA352" s="422" t="str">
        <f t="shared" si="262"/>
        <v/>
      </c>
      <c r="CB352" s="426">
        <f t="shared" si="227"/>
        <v>0</v>
      </c>
      <c r="CC352" s="424" t="e">
        <f>INDEX(T03_Skills!$AA$3:$BU$41,MATCH('C03_ClassVariables'!$G358,T03_Skills!$Z$3:$Z$41,0),MATCH('C03_ClassVariables'!CH$313,T03_Skills!$AA$2:$BU$2,0))</f>
        <v>#N/A</v>
      </c>
      <c r="CD352" s="422" t="e">
        <f t="shared" si="263"/>
        <v>#N/A</v>
      </c>
      <c r="CE352" s="422" t="e">
        <f>IF(CD352&gt;0,1+COUNTIF(CE$314:CE351,"&gt;0"),0)</f>
        <v>#N/A</v>
      </c>
      <c r="CF352" s="422" t="str">
        <f t="shared" si="264"/>
        <v/>
      </c>
      <c r="CG352" s="422" t="str">
        <f t="shared" si="265"/>
        <v/>
      </c>
      <c r="CH352" s="426">
        <f t="shared" si="228"/>
        <v>0</v>
      </c>
      <c r="CI352" s="428"/>
      <c r="CJ352" s="428"/>
      <c r="CK352" s="422"/>
      <c r="CL352" s="425"/>
      <c r="CM352" s="425"/>
      <c r="CN352" s="426"/>
      <c r="CO352" s="424"/>
      <c r="CP352" s="422"/>
      <c r="CQ352" s="422"/>
      <c r="CR352" s="425"/>
      <c r="CS352" s="425"/>
      <c r="CT352" s="426"/>
      <c r="CU352" s="424"/>
      <c r="CV352" s="422"/>
      <c r="CW352" s="422"/>
      <c r="CX352" s="425"/>
      <c r="CY352" s="425"/>
      <c r="CZ352" s="426"/>
      <c r="DA352" s="424"/>
      <c r="DB352" s="422"/>
      <c r="DC352" s="422"/>
      <c r="DD352" s="425"/>
      <c r="DE352" s="425"/>
      <c r="DF352" s="426"/>
      <c r="DG352" s="424"/>
      <c r="DH352" s="422"/>
      <c r="DI352" s="422"/>
      <c r="DJ352" s="425"/>
      <c r="DK352" s="425"/>
      <c r="DL352" s="426"/>
      <c r="DM352" s="424"/>
      <c r="DN352" s="422"/>
      <c r="DO352" s="422"/>
      <c r="DP352" s="425"/>
      <c r="DQ352" s="425"/>
      <c r="DR352" s="426"/>
      <c r="DS352" s="424"/>
      <c r="DT352" s="422"/>
      <c r="DU352" s="422"/>
      <c r="DV352" s="425"/>
      <c r="DW352" s="425"/>
      <c r="DX352" s="426"/>
      <c r="DY352" s="428"/>
      <c r="DZ352" s="138"/>
    </row>
    <row r="353" spans="1:130" ht="16.5" x14ac:dyDescent="0.3">
      <c r="A353" s="132">
        <f>IFERROR(IF(A352+1&lt;MAX(T041_ClassFeatures!$A$2:$A$2033),A352+1,""),"")</f>
        <v>350</v>
      </c>
      <c r="B353" s="131" t="str">
        <f>IFERROR(INDEX(T041_ClassFeatures!$B$2:$B$2033,MATCH('C03_ClassVariables'!A353,T041_ClassFeatures!$A$2:$A$2033,0),1),"")</f>
        <v>Commander’s Strike</v>
      </c>
      <c r="C353" s="131">
        <f>IF(B353="",0,IF(IFERROR(MATCH(B353,'C01_BaseCalculation'!$W$160:$W$239,0),0)&gt;0,1,0))</f>
        <v>0</v>
      </c>
      <c r="E353" s="428"/>
      <c r="F353" s="428"/>
      <c r="G353" s="4" t="s">
        <v>485</v>
      </c>
      <c r="I353" s="419"/>
      <c r="K353" s="412"/>
      <c r="L353" s="412"/>
      <c r="M353" s="412"/>
      <c r="N353" s="413"/>
      <c r="CI353" s="428"/>
      <c r="CJ353" s="428"/>
      <c r="DY353" s="428"/>
      <c r="DZ353" s="138"/>
    </row>
    <row r="354" spans="1:130" ht="16.5" x14ac:dyDescent="0.3">
      <c r="A354" s="132">
        <f>IFERROR(IF(A353+1&lt;MAX(T041_ClassFeatures!$A$2:$A$2033),A353+1,""),"")</f>
        <v>351</v>
      </c>
      <c r="B354" s="131" t="str">
        <f>IFERROR(INDEX(T041_ClassFeatures!$B$2:$B$2033,MATCH('C03_ClassVariables'!A354,T041_ClassFeatures!$A$2:$A$2033,0),1),"")</f>
        <v>Disarming Attack</v>
      </c>
      <c r="C354" s="131">
        <f>IF(B354="",0,IF(IFERROR(MATCH(B354,'C01_BaseCalculation'!$W$160:$W$239,0),0)&gt;0,1,0))</f>
        <v>0</v>
      </c>
      <c r="E354" s="428"/>
      <c r="F354" s="428"/>
      <c r="G354" s="4" t="s">
        <v>387</v>
      </c>
      <c r="I354" s="419"/>
      <c r="K354" s="412"/>
      <c r="L354" s="412"/>
      <c r="M354" s="412"/>
      <c r="N354" s="413"/>
      <c r="CI354" s="428"/>
      <c r="CJ354" s="428"/>
      <c r="DY354" s="428"/>
    </row>
    <row r="355" spans="1:130" ht="16.5" x14ac:dyDescent="0.3">
      <c r="A355" s="132">
        <f>IFERROR(IF(A354+1&lt;MAX(T041_ClassFeatures!$A$2:$A$2033),A354+1,""),"")</f>
        <v>352</v>
      </c>
      <c r="B355" s="131" t="str">
        <f>IFERROR(INDEX(T041_ClassFeatures!$B$2:$B$2033,MATCH('C03_ClassVariables'!A355,T041_ClassFeatures!$A$2:$A$2033,0),1),"")</f>
        <v>Distracting Strike</v>
      </c>
      <c r="C355" s="131">
        <f>IF(B355="",0,IF(IFERROR(MATCH(B355,'C01_BaseCalculation'!$W$160:$W$239,0),0)&gt;0,1,0))</f>
        <v>0</v>
      </c>
      <c r="E355" s="428"/>
      <c r="F355" s="428"/>
      <c r="G355" s="4" t="s">
        <v>401</v>
      </c>
      <c r="I355" s="419"/>
      <c r="K355" s="412"/>
      <c r="L355" s="412"/>
      <c r="M355" s="412"/>
      <c r="N355" s="413"/>
      <c r="CI355" s="428"/>
      <c r="CJ355" s="428"/>
      <c r="DY355" s="428"/>
    </row>
    <row r="356" spans="1:130" ht="16.5" x14ac:dyDescent="0.3">
      <c r="A356" s="132">
        <f>IFERROR(IF(A355+1&lt;MAX(T041_ClassFeatures!$A$2:$A$2033),A355+1,""),"")</f>
        <v>353</v>
      </c>
      <c r="B356" s="131" t="str">
        <f>IFERROR(INDEX(T041_ClassFeatures!$B$2:$B$2033,MATCH('C03_ClassVariables'!A356,T041_ClassFeatures!$A$2:$A$2033,0),1),"")</f>
        <v>Evasive Footwork</v>
      </c>
      <c r="C356" s="131">
        <f>IF(B356="",0,IF(IFERROR(MATCH(B356,'C01_BaseCalculation'!$W$160:$W$239,0),0)&gt;0,1,0))</f>
        <v>0</v>
      </c>
      <c r="E356" s="428"/>
      <c r="F356" s="428"/>
      <c r="G356" s="4" t="s">
        <v>76</v>
      </c>
      <c r="I356" s="419"/>
      <c r="CI356" s="428"/>
      <c r="CJ356" s="428"/>
      <c r="DY356" s="428"/>
    </row>
    <row r="357" spans="1:130" ht="16.5" x14ac:dyDescent="0.3">
      <c r="A357" s="132">
        <f>IFERROR(IF(A356+1&lt;MAX(T041_ClassFeatures!$A$2:$A$2033),A356+1,""),"")</f>
        <v>354</v>
      </c>
      <c r="B357" s="131" t="str">
        <f>IFERROR(INDEX(T041_ClassFeatures!$B$2:$B$2033,MATCH('C03_ClassVariables'!A357,T041_ClassFeatures!$A$2:$A$2033,0),1),"")</f>
        <v>Feinting Attack</v>
      </c>
      <c r="C357" s="131">
        <f>IF(B357="",0,IF(IFERROR(MATCH(B357,'C01_BaseCalculation'!$W$160:$W$239,0),0)&gt;0,1,0))</f>
        <v>0</v>
      </c>
      <c r="E357" s="428"/>
      <c r="F357" s="428"/>
      <c r="G357" s="4" t="s">
        <v>81</v>
      </c>
      <c r="CI357" s="428"/>
      <c r="CJ357" s="428"/>
      <c r="DY357" s="428"/>
    </row>
    <row r="358" spans="1:130" ht="16.5" x14ac:dyDescent="0.3">
      <c r="A358" s="132">
        <f>IFERROR(IF(A357+1&lt;MAX(T041_ClassFeatures!$A$2:$A$2033),A357+1,""),"")</f>
        <v>355</v>
      </c>
      <c r="B358" s="131" t="str">
        <f>IFERROR(INDEX(T041_ClassFeatures!$B$2:$B$2033,MATCH('C03_ClassVariables'!A358,T041_ClassFeatures!$A$2:$A$2033,0),1),"")</f>
        <v>Goading Attack</v>
      </c>
      <c r="C358" s="131">
        <f>IF(B358="",0,IF(IFERROR(MATCH(B358,'C01_BaseCalculation'!$W$160:$W$239,0),0)&gt;0,1,0))</f>
        <v>0</v>
      </c>
      <c r="E358" s="428"/>
      <c r="F358" s="428"/>
      <c r="G358" s="4" t="s">
        <v>3569</v>
      </c>
      <c r="CI358" s="428"/>
      <c r="CJ358" s="428"/>
      <c r="DY358" s="428"/>
    </row>
    <row r="359" spans="1:130" ht="16.5" x14ac:dyDescent="0.3">
      <c r="A359" s="132">
        <f>IFERROR(IF(A358+1&lt;MAX(T041_ClassFeatures!$A$2:$A$2033),A358+1,""),"")</f>
        <v>356</v>
      </c>
      <c r="B359" s="131" t="str">
        <f>IFERROR(INDEX(T041_ClassFeatures!$B$2:$B$2033,MATCH('C03_ClassVariables'!A359,T041_ClassFeatures!$A$2:$A$2033,0),1),"")</f>
        <v>Lunging Attack</v>
      </c>
      <c r="C359" s="131">
        <f>IF(B359="",0,IF(IFERROR(MATCH(B359,'C01_BaseCalculation'!$W$160:$W$239,0),0)&gt;0,1,0))</f>
        <v>0</v>
      </c>
      <c r="E359" s="428"/>
      <c r="F359" s="428"/>
      <c r="R359" t="s">
        <v>5998</v>
      </c>
      <c r="S359" t="s">
        <v>5996</v>
      </c>
      <c r="CI359" s="428"/>
      <c r="CJ359" s="428"/>
      <c r="DY359" s="428"/>
    </row>
    <row r="360" spans="1:130" ht="16.5" x14ac:dyDescent="0.3">
      <c r="A360" s="132">
        <f>IFERROR(IF(A359+1&lt;MAX(T041_ClassFeatures!$A$2:$A$2033),A359+1,""),"")</f>
        <v>357</v>
      </c>
      <c r="B360" s="131" t="str">
        <f>IFERROR(INDEX(T041_ClassFeatures!$B$2:$B$2033,MATCH('C03_ClassVariables'!A360,T041_ClassFeatures!$A$2:$A$2033,0),1),"")</f>
        <v>Maneuvering Attack</v>
      </c>
      <c r="C360" s="131">
        <f>IF(B360="",0,IF(IFERROR(MATCH(B360,'C01_BaseCalculation'!$W$160:$W$239,0),0)&gt;0,1,0))</f>
        <v>0</v>
      </c>
      <c r="E360" s="428"/>
      <c r="F360" s="428"/>
      <c r="I360" t="s">
        <v>5995</v>
      </c>
      <c r="J360" t="str">
        <f>H313</f>
        <v/>
      </c>
      <c r="K360" t="str">
        <f t="shared" ref="K360:K366" si="266">IF(OR(J360="",J360=0),"",J360)</f>
        <v/>
      </c>
      <c r="L360">
        <v>1</v>
      </c>
      <c r="M360">
        <f>IF(K360="",0,1)</f>
        <v>0</v>
      </c>
      <c r="O360">
        <v>1</v>
      </c>
      <c r="P360" t="str">
        <f>IFERROR(INDEX($K$360:$K$367,MATCH(O360,$M$360:$M$367,0),1),"")</f>
        <v>Vehicles (land)</v>
      </c>
      <c r="R360">
        <v>1</v>
      </c>
      <c r="S360" t="s">
        <v>622</v>
      </c>
      <c r="T360">
        <f>IF(IFERROR(MATCH(U360,K360:K366,0),0)&gt;0,0,K218)</f>
        <v>0</v>
      </c>
      <c r="U360" t="s">
        <v>3568</v>
      </c>
      <c r="V360" t="s">
        <v>76</v>
      </c>
      <c r="X360" s="4">
        <v>1</v>
      </c>
      <c r="Y360" s="238">
        <f>SMALL($T$360:$T$373,X360)</f>
        <v>0</v>
      </c>
      <c r="Z360" t="str">
        <f>INDEX($U$360:$U$373,MATCH(Y360,$T$360:$T$373,0),1)</f>
        <v>Thieve's Tools</v>
      </c>
      <c r="AA360">
        <f>IF(Y360=0,0,1)</f>
        <v>0</v>
      </c>
      <c r="AB360">
        <f>IF(AA360=0,0,AA360+MAX($O$360:$O$367))</f>
        <v>0</v>
      </c>
      <c r="AD360" s="4">
        <v>1</v>
      </c>
      <c r="AE360" s="4" t="str">
        <f>IFERROR(INDEX($P$360:$P$367,MATCH(AD360,$O$360:$O$367,0),1),"")&amp;IFERROR(INDEX($Z$360:$Z$373,MATCH(AD360,$AB$360:$AB$373,0),1),"")</f>
        <v>Vehicles (land)</v>
      </c>
      <c r="CI360" s="428"/>
      <c r="CJ360" s="428"/>
      <c r="DY360" s="428"/>
    </row>
    <row r="361" spans="1:130" ht="16.5" x14ac:dyDescent="0.3">
      <c r="A361" s="132">
        <f>IFERROR(IF(A360+1&lt;MAX(T041_ClassFeatures!$A$2:$A$2033),A360+1,""),"")</f>
        <v>358</v>
      </c>
      <c r="B361" s="131" t="str">
        <f>IFERROR(INDEX(T041_ClassFeatures!$B$2:$B$2033,MATCH('C03_ClassVariables'!A361,T041_ClassFeatures!$A$2:$A$2033,0),1),"")</f>
        <v>Menacing Attack</v>
      </c>
      <c r="C361" s="131">
        <f>IF(B361="",0,IF(IFERROR(MATCH(B361,'C01_BaseCalculation'!$W$160:$W$239,0),0)&gt;0,1,0))</f>
        <v>0</v>
      </c>
      <c r="E361" s="428"/>
      <c r="F361" s="428"/>
      <c r="I361" t="s">
        <v>5987</v>
      </c>
      <c r="J361" t="str">
        <f>H314</f>
        <v>Vehicles (land)</v>
      </c>
      <c r="K361" t="str">
        <f t="shared" si="266"/>
        <v>Vehicles (land)</v>
      </c>
      <c r="L361">
        <v>1</v>
      </c>
      <c r="M361">
        <f>IF(K361&lt;&gt;"",COUNTIF($M$360:M360,"&gt;0")+1,0)</f>
        <v>1</v>
      </c>
      <c r="O361" t="str">
        <f>IFERROR(IF(O360&lt;MAX($M$360:$M$367),O360+1,""),"")</f>
        <v/>
      </c>
      <c r="P361" t="str">
        <f t="shared" ref="P361:P367" si="267">IFERROR(INDEX($K$360:$K$367,MATCH(O361,$M$360:$M$367,0),1),"")</f>
        <v/>
      </c>
      <c r="R361">
        <v>1</v>
      </c>
      <c r="S361" t="s">
        <v>1109</v>
      </c>
      <c r="T361">
        <f>K217</f>
        <v>0</v>
      </c>
      <c r="U361" t="s">
        <v>2974</v>
      </c>
      <c r="X361" s="4">
        <v>2</v>
      </c>
      <c r="Y361" s="238">
        <f t="shared" ref="Y361:Y373" si="268">SMALL($T$360:$T$373,X361)</f>
        <v>0</v>
      </c>
      <c r="Z361" t="str">
        <f t="shared" ref="Z361:Z373" si="269">INDEX($U$360:$U$373,MATCH(Y361,$T$360:$T$373,0),1)</f>
        <v>Thieve's Tools</v>
      </c>
      <c r="AA361">
        <f>IF(Y361=0,0,COUNTIF(AA360:$AA$360,"&gt;0")+1)</f>
        <v>0</v>
      </c>
      <c r="AB361">
        <f t="shared" ref="AB361:AB373" si="270">IF(AA361=0,0,AA361+MAX($O$360:$O$367))</f>
        <v>0</v>
      </c>
      <c r="AD361" s="4">
        <f>IF(AD360&lt;MAX($AB$360:$AB$373),AD360+1,"")</f>
        <v>2</v>
      </c>
      <c r="AE361" s="4" t="str">
        <f t="shared" ref="AE361:AE379" si="271">IFERROR(INDEX($P$360:$P$367,MATCH(AD361,$O$360:$O$367,0),1),"")&amp;IFERROR(INDEX($Z$360:$Z$373,MATCH(AD361,$AB$360:$AB$373,0),1),"")</f>
        <v>Single tools</v>
      </c>
      <c r="CI361" s="428"/>
      <c r="CJ361" s="428"/>
      <c r="DY361" s="428"/>
    </row>
    <row r="362" spans="1:130" ht="16.5" x14ac:dyDescent="0.3">
      <c r="A362" s="132">
        <f>IFERROR(IF(A361+1&lt;MAX(T041_ClassFeatures!$A$2:$A$2033),A361+1,""),"")</f>
        <v>359</v>
      </c>
      <c r="B362" s="131" t="str">
        <f>IFERROR(INDEX(T041_ClassFeatures!$B$2:$B$2033,MATCH('C03_ClassVariables'!A362,T041_ClassFeatures!$A$2:$A$2033,0),1),"")</f>
        <v>Parry</v>
      </c>
      <c r="C362" s="131">
        <f>IF(B362="",0,IF(IFERROR(MATCH(B362,'C01_BaseCalculation'!$W$160:$W$239,0),0)&gt;0,1,0))</f>
        <v>0</v>
      </c>
      <c r="E362" s="428"/>
      <c r="F362" s="428"/>
      <c r="I362" t="s">
        <v>5987</v>
      </c>
      <c r="J362">
        <f>H315</f>
        <v>0</v>
      </c>
      <c r="K362" t="str">
        <f t="shared" si="266"/>
        <v/>
      </c>
      <c r="L362">
        <v>1</v>
      </c>
      <c r="M362">
        <f>IF(K362&lt;&gt;"",COUNTIF($M$360:M361,"&gt;0")+1,0)</f>
        <v>0</v>
      </c>
      <c r="O362" t="str">
        <f t="shared" ref="O362:O367" si="272">IFERROR(IF(O361&lt;MAX($M$360:$M$367),O361+1,""),"")</f>
        <v/>
      </c>
      <c r="P362" t="str">
        <f t="shared" si="267"/>
        <v/>
      </c>
      <c r="R362">
        <v>1</v>
      </c>
      <c r="S362" t="s">
        <v>621</v>
      </c>
      <c r="T362">
        <f>K219</f>
        <v>0</v>
      </c>
      <c r="U362" t="s">
        <v>1122</v>
      </c>
      <c r="X362" s="4">
        <v>3</v>
      </c>
      <c r="Y362" s="238">
        <f t="shared" si="268"/>
        <v>0</v>
      </c>
      <c r="Z362" t="str">
        <f t="shared" si="269"/>
        <v>Thieve's Tools</v>
      </c>
      <c r="AA362">
        <f>IF(Y362=0,0,COUNTIF(AA$360:$AA361,"&gt;0")+1)</f>
        <v>0</v>
      </c>
      <c r="AB362">
        <f t="shared" si="270"/>
        <v>0</v>
      </c>
      <c r="AD362" s="4" t="str">
        <f t="shared" ref="AD362:AD379" si="273">IF(AD361&lt;MAX($AB$360:$AB$373),AD361+1,"")</f>
        <v/>
      </c>
      <c r="AE362" s="4" t="str">
        <f t="shared" si="271"/>
        <v/>
      </c>
      <c r="CI362" s="428"/>
      <c r="CJ362" s="428"/>
      <c r="DY362" s="428"/>
    </row>
    <row r="363" spans="1:130" ht="16.5" x14ac:dyDescent="0.3">
      <c r="A363" s="132">
        <f>IFERROR(IF(A362+1&lt;MAX(T041_ClassFeatures!$A$2:$A$2033),A362+1,""),"")</f>
        <v>360</v>
      </c>
      <c r="B363" s="131" t="str">
        <f>IFERROR(INDEX(T041_ClassFeatures!$B$2:$B$2033,MATCH('C03_ClassVariables'!A363,T041_ClassFeatures!$A$2:$A$2033,0),1),"")</f>
        <v>Precision Attack</v>
      </c>
      <c r="C363" s="131">
        <f>IF(B363="",0,IF(IFERROR(MATCH(B363,'C01_BaseCalculation'!$W$160:$W$239,0),0)&gt;0,1,0))</f>
        <v>0</v>
      </c>
      <c r="E363" s="428"/>
      <c r="F363" s="428"/>
      <c r="I363" t="str">
        <f>G316</f>
        <v>Class Tools1</v>
      </c>
      <c r="J363" t="str">
        <f>H316</f>
        <v/>
      </c>
      <c r="K363" t="str">
        <f t="shared" si="266"/>
        <v/>
      </c>
      <c r="L363">
        <v>1</v>
      </c>
      <c r="M363">
        <f>IF(K363&lt;&gt;"",COUNTIF($M$360:M362,"&gt;0")+1,0)</f>
        <v>0</v>
      </c>
      <c r="O363" t="str">
        <f t="shared" si="272"/>
        <v/>
      </c>
      <c r="P363" t="str">
        <f t="shared" si="267"/>
        <v/>
      </c>
      <c r="R363">
        <v>1</v>
      </c>
      <c r="S363" t="s">
        <v>5997</v>
      </c>
      <c r="T363" s="165">
        <f>IF($J$374&gt;0,99,0)</f>
        <v>99</v>
      </c>
      <c r="U363" t="s">
        <v>5985</v>
      </c>
      <c r="X363" s="4">
        <v>4</v>
      </c>
      <c r="Y363" s="238">
        <f t="shared" si="268"/>
        <v>0</v>
      </c>
      <c r="Z363" t="str">
        <f t="shared" si="269"/>
        <v>Thieve's Tools</v>
      </c>
      <c r="AA363">
        <f>IF(Y363=0,0,COUNTIF(AA$360:$AA362,"&gt;0")+1)</f>
        <v>0</v>
      </c>
      <c r="AB363">
        <f t="shared" si="270"/>
        <v>0</v>
      </c>
      <c r="AD363" s="4" t="str">
        <f t="shared" si="273"/>
        <v/>
      </c>
      <c r="AE363" s="4" t="str">
        <f t="shared" si="271"/>
        <v/>
      </c>
      <c r="CI363" s="428"/>
      <c r="CJ363" s="428"/>
      <c r="DY363" s="428"/>
    </row>
    <row r="364" spans="1:130" ht="16.5" x14ac:dyDescent="0.3">
      <c r="A364" s="132">
        <f>IFERROR(IF(A363+1&lt;MAX(T041_ClassFeatures!$A$2:$A$2033),A363+1,""),"")</f>
        <v>361</v>
      </c>
      <c r="B364" s="131" t="str">
        <f>IFERROR(INDEX(T041_ClassFeatures!$B$2:$B$2033,MATCH('C03_ClassVariables'!A364,T041_ClassFeatures!$A$2:$A$2033,0),1),"")</f>
        <v>Pushing Attack</v>
      </c>
      <c r="C364" s="131">
        <f>IF(B364="",0,IF(IFERROR(MATCH(B364,'C01_BaseCalculation'!$W$160:$W$239,0),0)&gt;0,1,0))</f>
        <v>0</v>
      </c>
      <c r="E364" s="428"/>
      <c r="F364" s="428"/>
      <c r="I364" t="str">
        <f>G317</f>
        <v>Class Tools2</v>
      </c>
      <c r="J364" t="str">
        <f>H317</f>
        <v/>
      </c>
      <c r="K364" t="str">
        <f t="shared" si="266"/>
        <v/>
      </c>
      <c r="L364">
        <v>1</v>
      </c>
      <c r="M364">
        <f>IF(K364&lt;&gt;"",COUNTIF($M$360:M363,"&gt;0")+1,0)</f>
        <v>0</v>
      </c>
      <c r="O364" t="str">
        <f t="shared" si="272"/>
        <v/>
      </c>
      <c r="P364" t="str">
        <f t="shared" si="267"/>
        <v/>
      </c>
      <c r="S364" t="s">
        <v>5997</v>
      </c>
      <c r="T364" s="165">
        <f>IF($J$374&gt;2,99,0)</f>
        <v>0</v>
      </c>
      <c r="U364" t="s">
        <v>5985</v>
      </c>
      <c r="X364" s="4">
        <v>5</v>
      </c>
      <c r="Y364" s="238">
        <f t="shared" si="268"/>
        <v>0</v>
      </c>
      <c r="Z364" t="str">
        <f t="shared" si="269"/>
        <v>Thieve's Tools</v>
      </c>
      <c r="AA364">
        <f>IF(Y364=0,0,COUNTIF(AA$360:$AA363,"&gt;0")+1)</f>
        <v>0</v>
      </c>
      <c r="AB364">
        <f t="shared" si="270"/>
        <v>0</v>
      </c>
      <c r="AD364" s="4" t="str">
        <f t="shared" si="273"/>
        <v/>
      </c>
      <c r="AE364" s="4" t="str">
        <f t="shared" si="271"/>
        <v/>
      </c>
      <c r="CI364" s="428"/>
      <c r="CJ364" s="428"/>
      <c r="DY364" s="428"/>
    </row>
    <row r="365" spans="1:130" ht="16.5" x14ac:dyDescent="0.3">
      <c r="A365" s="132">
        <f>IFERROR(IF(A364+1&lt;MAX(T041_ClassFeatures!$A$2:$A$2033),A364+1,""),"")</f>
        <v>362</v>
      </c>
      <c r="B365" s="131" t="str">
        <f>IFERROR(INDEX(T041_ClassFeatures!$B$2:$B$2033,MATCH('C03_ClassVariables'!A365,T041_ClassFeatures!$A$2:$A$2033,0),1),"")</f>
        <v>Rally</v>
      </c>
      <c r="C365" s="131">
        <f>IF(B365="",0,IF(IFERROR(MATCH(B365,'C01_BaseCalculation'!$W$160:$W$239,0),0)&gt;0,1,0))</f>
        <v>0</v>
      </c>
      <c r="E365" s="428"/>
      <c r="F365" s="428"/>
      <c r="I365" t="s">
        <v>5989</v>
      </c>
      <c r="J365" t="str">
        <f>IF(J367&gt;1,J363,"")</f>
        <v/>
      </c>
      <c r="K365" t="str">
        <f t="shared" si="266"/>
        <v/>
      </c>
      <c r="L365">
        <v>1</v>
      </c>
      <c r="M365">
        <f>IF(K365&lt;&gt;"",COUNTIF($M$360:M364,"&gt;0")+1,0)</f>
        <v>0</v>
      </c>
      <c r="O365" t="str">
        <f t="shared" si="272"/>
        <v/>
      </c>
      <c r="P365" t="str">
        <f t="shared" si="267"/>
        <v/>
      </c>
      <c r="S365" t="s">
        <v>5997</v>
      </c>
      <c r="T365" s="165">
        <f>IF($J$374&gt;2,99,0)</f>
        <v>0</v>
      </c>
      <c r="U365" t="s">
        <v>5985</v>
      </c>
      <c r="X365" s="4">
        <v>6</v>
      </c>
      <c r="Y365" s="238">
        <f t="shared" si="268"/>
        <v>0</v>
      </c>
      <c r="Z365" t="str">
        <f t="shared" si="269"/>
        <v>Thieve's Tools</v>
      </c>
      <c r="AA365">
        <f>IF(Y365=0,0,COUNTIF(AA$360:$AA364,"&gt;0")+1)</f>
        <v>0</v>
      </c>
      <c r="AB365">
        <f t="shared" si="270"/>
        <v>0</v>
      </c>
      <c r="AD365" s="4" t="str">
        <f t="shared" si="273"/>
        <v/>
      </c>
      <c r="AE365" s="4" t="str">
        <f t="shared" si="271"/>
        <v/>
      </c>
      <c r="CI365" s="428"/>
      <c r="CJ365" s="428"/>
      <c r="DY365" s="428"/>
    </row>
    <row r="366" spans="1:130" ht="16.5" x14ac:dyDescent="0.3">
      <c r="A366" s="132">
        <f>IFERROR(IF(A365+1&lt;MAX(T041_ClassFeatures!$A$2:$A$2033),A365+1,""),"")</f>
        <v>363</v>
      </c>
      <c r="B366" s="131" t="str">
        <f>IFERROR(INDEX(T041_ClassFeatures!$B$2:$B$2033,MATCH('C03_ClassVariables'!A366,T041_ClassFeatures!$A$2:$A$2033,0),1),"")</f>
        <v>Riposte</v>
      </c>
      <c r="C366" s="131">
        <f>IF(B366="",0,IF(IFERROR(MATCH(B366,'C01_BaseCalculation'!$W$160:$W$239,0),0)&gt;0,1,0))</f>
        <v>0</v>
      </c>
      <c r="E366" s="428"/>
      <c r="F366" s="428"/>
      <c r="I366" t="s">
        <v>5989</v>
      </c>
      <c r="J366" t="str">
        <f>IF(J367&gt;2,J363,"")</f>
        <v/>
      </c>
      <c r="K366" t="str">
        <f t="shared" si="266"/>
        <v/>
      </c>
      <c r="L366">
        <v>1</v>
      </c>
      <c r="M366">
        <f>IF(K366&lt;&gt;"",COUNTIF($M$360:M365,"&gt;0")+1,0)</f>
        <v>0</v>
      </c>
      <c r="O366" t="str">
        <f t="shared" si="272"/>
        <v/>
      </c>
      <c r="P366" t="str">
        <f t="shared" si="267"/>
        <v/>
      </c>
      <c r="S366" t="s">
        <v>5997</v>
      </c>
      <c r="T366" s="165">
        <f>IF($J$374&gt;3,99,0)</f>
        <v>0</v>
      </c>
      <c r="U366" t="s">
        <v>5985</v>
      </c>
      <c r="X366" s="4">
        <v>7</v>
      </c>
      <c r="Y366" s="238">
        <f t="shared" si="268"/>
        <v>0</v>
      </c>
      <c r="Z366" t="str">
        <f t="shared" si="269"/>
        <v>Thieve's Tools</v>
      </c>
      <c r="AA366">
        <f>IF(Y366=0,0,COUNTIF(AA$360:$AA365,"&gt;0")+1)</f>
        <v>0</v>
      </c>
      <c r="AB366">
        <f t="shared" si="270"/>
        <v>0</v>
      </c>
      <c r="AD366" s="4" t="str">
        <f t="shared" si="273"/>
        <v/>
      </c>
      <c r="AE366" s="4" t="str">
        <f t="shared" si="271"/>
        <v/>
      </c>
      <c r="CI366" s="428"/>
      <c r="CJ366" s="428"/>
      <c r="DY366" s="428"/>
    </row>
    <row r="367" spans="1:130" ht="16.5" x14ac:dyDescent="0.3">
      <c r="A367" s="132">
        <f>IFERROR(IF(A366+1&lt;MAX(T041_ClassFeatures!$A$2:$A$2033),A366+1,""),"")</f>
        <v>364</v>
      </c>
      <c r="B367" s="131" t="str">
        <f>IFERROR(INDEX(T041_ClassFeatures!$B$2:$B$2033,MATCH('C03_ClassVariables'!A367,T041_ClassFeatures!$A$2:$A$2033,0),1),"")</f>
        <v>Sweeping Attack</v>
      </c>
      <c r="C367" s="131">
        <f>IF(B367="",0,IF(IFERROR(MATCH(B367,'C01_BaseCalculation'!$W$160:$W$239,0),0)&gt;0,1,0))</f>
        <v>0</v>
      </c>
      <c r="E367" s="428"/>
      <c r="F367" s="428"/>
      <c r="I367" t="str">
        <f>G318</f>
        <v>Number of proficiency</v>
      </c>
      <c r="J367" t="str">
        <f>H318</f>
        <v>None</v>
      </c>
      <c r="L367">
        <v>1</v>
      </c>
      <c r="M367">
        <f>IF(K367&lt;&gt;"",COUNTIF($M$360:M366,"&gt;0")+1,0)</f>
        <v>0</v>
      </c>
      <c r="O367" t="str">
        <f t="shared" si="272"/>
        <v/>
      </c>
      <c r="P367" t="str">
        <f t="shared" si="267"/>
        <v/>
      </c>
      <c r="S367" t="s">
        <v>5997</v>
      </c>
      <c r="T367" s="165">
        <f>IF($J$374&gt;4,99,0)</f>
        <v>0</v>
      </c>
      <c r="U367" t="s">
        <v>5985</v>
      </c>
      <c r="X367" s="4">
        <v>8</v>
      </c>
      <c r="Y367" s="238">
        <f t="shared" si="268"/>
        <v>0</v>
      </c>
      <c r="Z367" t="str">
        <f t="shared" si="269"/>
        <v>Thieve's Tools</v>
      </c>
      <c r="AA367">
        <f>IF(Y367=0,0,COUNTIF(AA$360:$AA366,"&gt;0")+1)</f>
        <v>0</v>
      </c>
      <c r="AB367">
        <f t="shared" si="270"/>
        <v>0</v>
      </c>
      <c r="AD367" s="4" t="str">
        <f t="shared" si="273"/>
        <v/>
      </c>
      <c r="AE367" s="4" t="str">
        <f t="shared" si="271"/>
        <v/>
      </c>
      <c r="CI367" s="428"/>
      <c r="CJ367" s="428"/>
      <c r="DY367" s="428"/>
    </row>
    <row r="368" spans="1:130" ht="16.5" x14ac:dyDescent="0.3">
      <c r="A368" s="132">
        <f>IFERROR(IF(A367+1&lt;MAX(T041_ClassFeatures!$A$2:$A$2033),A367+1,""),"")</f>
        <v>365</v>
      </c>
      <c r="B368" s="131" t="str">
        <f>IFERROR(INDEX(T041_ClassFeatures!$B$2:$B$2033,MATCH('C03_ClassVariables'!A368,T041_ClassFeatures!$A$2:$A$2033,0),1),"")</f>
        <v>Trip Attack</v>
      </c>
      <c r="C368" s="131">
        <f>IF(B368="",0,IF(IFERROR(MATCH(B368,'C01_BaseCalculation'!$W$160:$W$239,0),0)&gt;0,1,0))</f>
        <v>0</v>
      </c>
      <c r="E368" s="428"/>
      <c r="F368" s="428"/>
      <c r="S368" t="s">
        <v>5997</v>
      </c>
      <c r="T368" s="165">
        <f>IF($J$374&gt;5,99,0)</f>
        <v>0</v>
      </c>
      <c r="U368" t="s">
        <v>5985</v>
      </c>
      <c r="X368" s="4">
        <v>9</v>
      </c>
      <c r="Y368" s="238">
        <f t="shared" si="268"/>
        <v>0</v>
      </c>
      <c r="Z368" t="str">
        <f t="shared" si="269"/>
        <v>Thieve's Tools</v>
      </c>
      <c r="AA368">
        <f>IF(Y368=0,0,COUNTIF(AA$360:$AA367,"&gt;0")+1)</f>
        <v>0</v>
      </c>
      <c r="AB368">
        <f t="shared" si="270"/>
        <v>0</v>
      </c>
      <c r="AD368" s="4" t="str">
        <f t="shared" si="273"/>
        <v/>
      </c>
      <c r="AE368" s="4" t="str">
        <f t="shared" si="271"/>
        <v/>
      </c>
      <c r="CI368" s="428"/>
      <c r="CJ368" s="428"/>
      <c r="DY368" s="428"/>
    </row>
    <row r="369" spans="1:129" ht="16.5" x14ac:dyDescent="0.3">
      <c r="A369" s="132">
        <f>IFERROR(IF(A368+1&lt;MAX(T041_ClassFeatures!$A$2:$A$2033),A368+1,""),"")</f>
        <v>366</v>
      </c>
      <c r="B369" s="131" t="str">
        <f>IFERROR(INDEX(T041_ClassFeatures!$B$2:$B$2033,MATCH('C03_ClassVariables'!A369,T041_ClassFeatures!$A$2:$A$2033,0),1),"")</f>
        <v>Breath of Winter</v>
      </c>
      <c r="C369" s="131">
        <f>IF(B369="",0,IF(IFERROR(MATCH(B369,'C01_BaseCalculation'!$W$160:$W$239,0),0)&gt;0,1,0))</f>
        <v>0</v>
      </c>
      <c r="E369" s="428"/>
      <c r="F369" s="428"/>
      <c r="I369" t="s">
        <v>6271</v>
      </c>
      <c r="J369">
        <f>COUNTIF(H314:H315,"&lt;&gt;0")</f>
        <v>1</v>
      </c>
      <c r="S369" t="s">
        <v>5997</v>
      </c>
      <c r="T369" s="165">
        <f>IF($J$374&gt;6,99,0)</f>
        <v>0</v>
      </c>
      <c r="U369" t="s">
        <v>5985</v>
      </c>
      <c r="X369" s="222">
        <v>10</v>
      </c>
      <c r="Y369" s="238">
        <f t="shared" si="268"/>
        <v>0</v>
      </c>
      <c r="Z369" t="str">
        <f t="shared" si="269"/>
        <v>Thieve's Tools</v>
      </c>
      <c r="AA369">
        <f>IF(Y369=0,0,COUNTIF(AA$360:$AA368,"&gt;0")+1)</f>
        <v>0</v>
      </c>
      <c r="AB369">
        <f t="shared" si="270"/>
        <v>0</v>
      </c>
      <c r="AD369" s="4" t="str">
        <f t="shared" si="273"/>
        <v/>
      </c>
      <c r="AE369" s="4" t="str">
        <f t="shared" si="271"/>
        <v/>
      </c>
      <c r="CI369" s="428"/>
      <c r="CJ369" s="428"/>
      <c r="DY369" s="428"/>
    </row>
    <row r="370" spans="1:129" ht="16.5" x14ac:dyDescent="0.3">
      <c r="A370" s="132">
        <f>IFERROR(IF(A369+1&lt;MAX(T041_ClassFeatures!$A$2:$A$2033),A369+1,""),"")</f>
        <v>367</v>
      </c>
      <c r="B370" s="131" t="str">
        <f>IFERROR(INDEX(T041_ClassFeatures!$B$2:$B$2033,MATCH('C03_ClassVariables'!A370,T041_ClassFeatures!$A$2:$A$2033,0),1),"")</f>
        <v>Clench of the North Wind</v>
      </c>
      <c r="C370" s="131">
        <f>IF(B370="",0,IF(IFERROR(MATCH(B370,'C01_BaseCalculation'!$W$160:$W$239,0),0)&gt;0,1,0))</f>
        <v>0</v>
      </c>
      <c r="E370" s="428"/>
      <c r="F370" s="428"/>
      <c r="I370" t="s">
        <v>6272</v>
      </c>
      <c r="J370">
        <f>IF(H318="None",0,1)</f>
        <v>0</v>
      </c>
      <c r="S370" t="s">
        <v>5997</v>
      </c>
      <c r="T370" s="165">
        <f>IF($J$374&gt;7,99,0)</f>
        <v>0</v>
      </c>
      <c r="U370" t="s">
        <v>5985</v>
      </c>
      <c r="X370" s="222">
        <v>11</v>
      </c>
      <c r="Y370" s="238">
        <f t="shared" si="268"/>
        <v>0</v>
      </c>
      <c r="Z370" t="str">
        <f t="shared" si="269"/>
        <v>Thieve's Tools</v>
      </c>
      <c r="AA370">
        <f>IF(Y370=0,0,COUNTIF(AA$360:$AA369,"&gt;0")+1)</f>
        <v>0</v>
      </c>
      <c r="AB370">
        <f t="shared" si="270"/>
        <v>0</v>
      </c>
      <c r="AD370" s="4" t="str">
        <f t="shared" si="273"/>
        <v/>
      </c>
      <c r="AE370" s="4" t="str">
        <f t="shared" si="271"/>
        <v/>
      </c>
      <c r="CI370" s="428"/>
      <c r="CJ370" s="428"/>
      <c r="DY370" s="428"/>
    </row>
    <row r="371" spans="1:129" ht="16.5" x14ac:dyDescent="0.3">
      <c r="A371" s="132">
        <f>IFERROR(IF(A370+1&lt;MAX(T041_ClassFeatures!$A$2:$A$2033),A370+1,""),"")</f>
        <v>368</v>
      </c>
      <c r="B371" s="131" t="str">
        <f>IFERROR(INDEX(T041_ClassFeatures!$B$2:$B$2033,MATCH('C03_ClassVariables'!A371,T041_ClassFeatures!$A$2:$A$2033,0),1),"")</f>
        <v>Eternal Mountain Defense</v>
      </c>
      <c r="C371" s="131">
        <f>IF(B371="",0,IF(IFERROR(MATCH(B371,'C01_BaseCalculation'!$W$160:$W$239,0),0)&gt;0,1,0))</f>
        <v>0</v>
      </c>
      <c r="E371" s="428"/>
      <c r="F371" s="428"/>
      <c r="I371" t="s">
        <v>6274</v>
      </c>
      <c r="J371">
        <f>StudentofWar</f>
        <v>0</v>
      </c>
      <c r="S371" t="s">
        <v>5997</v>
      </c>
      <c r="T371" s="165">
        <f>IF($J$374&gt;8,99,0)</f>
        <v>0</v>
      </c>
      <c r="U371" t="s">
        <v>5985</v>
      </c>
      <c r="X371" s="222">
        <v>12</v>
      </c>
      <c r="Y371" s="238">
        <f t="shared" si="268"/>
        <v>0</v>
      </c>
      <c r="Z371" t="str">
        <f t="shared" si="269"/>
        <v>Thieve's Tools</v>
      </c>
      <c r="AA371">
        <f>IF(Y371=0,0,COUNTIF(AA$360:$AA370,"&gt;0")+1)</f>
        <v>0</v>
      </c>
      <c r="AB371">
        <f t="shared" si="270"/>
        <v>0</v>
      </c>
      <c r="AD371" s="4" t="str">
        <f t="shared" si="273"/>
        <v/>
      </c>
      <c r="AE371" s="4" t="str">
        <f t="shared" si="271"/>
        <v/>
      </c>
      <c r="CI371" s="428"/>
      <c r="CJ371" s="428"/>
      <c r="DY371" s="428"/>
    </row>
    <row r="372" spans="1:129" ht="16.5" x14ac:dyDescent="0.3">
      <c r="A372" s="132">
        <f>IFERROR(IF(A371+1&lt;MAX(T041_ClassFeatures!$A$2:$A$2033),A371+1,""),"")</f>
        <v>369</v>
      </c>
      <c r="B372" s="131" t="str">
        <f>IFERROR(INDEX(T041_ClassFeatures!$B$2:$B$2033,MATCH('C03_ClassVariables'!A372,T041_ClassFeatures!$A$2:$A$2033,0),1),"")</f>
        <v>Fangs of the Fire Snake</v>
      </c>
      <c r="C372" s="131">
        <f>IF(B372="",0,IF(IFERROR(MATCH(B372,'C01_BaseCalculation'!$W$160:$W$239,0),0)&gt;0,1,0))</f>
        <v>0</v>
      </c>
      <c r="E372" s="428"/>
      <c r="F372" s="428"/>
      <c r="I372" t="s">
        <v>6275</v>
      </c>
      <c r="J372">
        <f>IF(H313="",0,1)</f>
        <v>0</v>
      </c>
      <c r="S372" t="s">
        <v>5997</v>
      </c>
      <c r="T372" s="165">
        <f>IF($J$374&gt;9,99,0)</f>
        <v>0</v>
      </c>
      <c r="U372" t="s">
        <v>5985</v>
      </c>
      <c r="X372" s="222">
        <v>13</v>
      </c>
      <c r="Y372" s="238">
        <f t="shared" si="268"/>
        <v>0</v>
      </c>
      <c r="Z372" t="str">
        <f t="shared" si="269"/>
        <v>Thieve's Tools</v>
      </c>
      <c r="AA372">
        <f>IF(Y372=0,0,COUNTIF(AA$360:$AA371,"&gt;0")+1)</f>
        <v>0</v>
      </c>
      <c r="AB372">
        <f t="shared" si="270"/>
        <v>0</v>
      </c>
      <c r="AD372" s="4" t="str">
        <f t="shared" si="273"/>
        <v/>
      </c>
      <c r="AE372" s="4" t="str">
        <f t="shared" si="271"/>
        <v/>
      </c>
      <c r="CI372" s="428"/>
      <c r="CJ372" s="428"/>
      <c r="DY372" s="428"/>
    </row>
    <row r="373" spans="1:129" ht="16.5" x14ac:dyDescent="0.3">
      <c r="A373" s="132">
        <f>IFERROR(IF(A372+1&lt;MAX(T041_ClassFeatures!$A$2:$A$2033),A372+1,""),"")</f>
        <v>370</v>
      </c>
      <c r="B373" s="131" t="str">
        <f>IFERROR(INDEX(T041_ClassFeatures!$B$2:$B$2033,MATCH('C03_ClassVariables'!A373,T041_ClassFeatures!$A$2:$A$2033,0),1),"")</f>
        <v>Fist of Four Thunders</v>
      </c>
      <c r="C373" s="131">
        <f>IF(B373="",0,IF(IFERROR(MATCH(B373,'C01_BaseCalculation'!$W$160:$W$239,0),0)&gt;0,1,0))</f>
        <v>0</v>
      </c>
      <c r="E373" s="428"/>
      <c r="F373" s="428"/>
      <c r="I373" t="s">
        <v>3308</v>
      </c>
      <c r="J373">
        <f>IF(T360&gt;0,1,0)+IF(T361&gt;0,1,0)+IF(T362&gt;0,1,0)</f>
        <v>0</v>
      </c>
      <c r="S373" t="s">
        <v>5997</v>
      </c>
      <c r="T373" s="165">
        <f>IF($J$374&gt;10,99,0)</f>
        <v>0</v>
      </c>
      <c r="U373" t="s">
        <v>5985</v>
      </c>
      <c r="X373" s="222">
        <v>14</v>
      </c>
      <c r="Y373" s="238">
        <f t="shared" si="268"/>
        <v>99</v>
      </c>
      <c r="Z373" t="str">
        <f t="shared" si="269"/>
        <v>Single tools</v>
      </c>
      <c r="AA373">
        <f>IF(Y373=0,0,COUNTIF(AA$360:$AA372,"&gt;0")+1)</f>
        <v>1</v>
      </c>
      <c r="AB373">
        <f t="shared" si="270"/>
        <v>2</v>
      </c>
      <c r="AD373" s="4" t="str">
        <f t="shared" si="273"/>
        <v/>
      </c>
      <c r="AE373" s="4" t="str">
        <f t="shared" si="271"/>
        <v/>
      </c>
      <c r="CI373" s="428"/>
      <c r="CJ373" s="428"/>
      <c r="DY373" s="428"/>
    </row>
    <row r="374" spans="1:129" ht="16.5" x14ac:dyDescent="0.3">
      <c r="A374" s="132">
        <f>IFERROR(IF(A373+1&lt;MAX(T041_ClassFeatures!$A$2:$A$2033),A373+1,""),"")</f>
        <v>371</v>
      </c>
      <c r="B374" s="131" t="str">
        <f>IFERROR(INDEX(T041_ClassFeatures!$B$2:$B$2033,MATCH('C03_ClassVariables'!A374,T041_ClassFeatures!$A$2:$A$2033,0),1),"")</f>
        <v>Fist of Unbroken Air</v>
      </c>
      <c r="C374" s="131">
        <f>IF(B374="",0,IF(IFERROR(MATCH(B374,'C01_BaseCalculation'!$W$160:$W$239,0),0)&gt;0,1,0))</f>
        <v>0</v>
      </c>
      <c r="E374" s="428"/>
      <c r="F374" s="428"/>
      <c r="I374" t="s">
        <v>6276</v>
      </c>
      <c r="J374" s="532">
        <f>Character_Creation!V130</f>
        <v>2</v>
      </c>
      <c r="AD374" s="4" t="str">
        <f t="shared" si="273"/>
        <v/>
      </c>
      <c r="AE374" s="4" t="str">
        <f t="shared" si="271"/>
        <v/>
      </c>
      <c r="CI374" s="428"/>
      <c r="CJ374" s="428"/>
      <c r="DY374" s="428"/>
    </row>
    <row r="375" spans="1:129" ht="16.5" x14ac:dyDescent="0.3">
      <c r="A375" s="132">
        <f>IFERROR(IF(A374+1&lt;MAX(T041_ClassFeatures!$A$2:$A$2033),A374+1,""),"")</f>
        <v>372</v>
      </c>
      <c r="B375" s="131" t="str">
        <f>IFERROR(INDEX(T041_ClassFeatures!$B$2:$B$2033,MATCH('C03_ClassVariables'!A375,T041_ClassFeatures!$A$2:$A$2033,0),1),"")</f>
        <v>Flames of the Phoenix</v>
      </c>
      <c r="C375" s="131">
        <f>IF(B375="",0,IF(IFERROR(MATCH(B375,'C01_BaseCalculation'!$W$160:$W$239,0),0)&gt;0,1,0))</f>
        <v>0</v>
      </c>
      <c r="E375" s="428"/>
      <c r="F375" s="428"/>
      <c r="AD375" s="4" t="str">
        <f t="shared" si="273"/>
        <v/>
      </c>
      <c r="AE375" s="4" t="str">
        <f t="shared" si="271"/>
        <v/>
      </c>
      <c r="CI375" s="428"/>
      <c r="CJ375" s="428"/>
      <c r="DY375" s="428"/>
    </row>
    <row r="376" spans="1:129" ht="16.5" x14ac:dyDescent="0.3">
      <c r="A376" s="132">
        <f>IFERROR(IF(A375+1&lt;MAX(T041_ClassFeatures!$A$2:$A$2033),A375+1,""),"")</f>
        <v>373</v>
      </c>
      <c r="B376" s="131" t="str">
        <f>IFERROR(INDEX(T041_ClassFeatures!$B$2:$B$2033,MATCH('C03_ClassVariables'!A376,T041_ClassFeatures!$A$2:$A$2033,0),1),"")</f>
        <v>Gong of the Summit</v>
      </c>
      <c r="C376" s="131">
        <f>IF(B376="",0,IF(IFERROR(MATCH(B376,'C01_BaseCalculation'!$W$160:$W$239,0),0)&gt;0,1,0))</f>
        <v>0</v>
      </c>
      <c r="E376" s="428"/>
      <c r="F376" s="428"/>
      <c r="AD376" s="4" t="str">
        <f t="shared" si="273"/>
        <v/>
      </c>
      <c r="AE376" s="4" t="str">
        <f t="shared" si="271"/>
        <v/>
      </c>
      <c r="CI376" s="428"/>
      <c r="CJ376" s="428"/>
      <c r="DY376" s="428"/>
    </row>
    <row r="377" spans="1:129" ht="16.5" x14ac:dyDescent="0.3">
      <c r="A377" s="132">
        <f>IFERROR(IF(A376+1&lt;MAX(T041_ClassFeatures!$A$2:$A$2033),A376+1,""),"")</f>
        <v>374</v>
      </c>
      <c r="B377" s="131" t="str">
        <f>IFERROR(INDEX(T041_ClassFeatures!$B$2:$B$2033,MATCH('C03_ClassVariables'!A377,T041_ClassFeatures!$A$2:$A$2033,0),1),"")</f>
        <v>Mist Stance</v>
      </c>
      <c r="C377" s="131">
        <f>IF(B377="",0,IF(IFERROR(MATCH(B377,'C01_BaseCalculation'!$W$160:$W$239,0),0)&gt;0,1,0))</f>
        <v>0</v>
      </c>
      <c r="E377" s="428"/>
      <c r="F377" s="428"/>
      <c r="AD377" s="4" t="str">
        <f t="shared" si="273"/>
        <v/>
      </c>
      <c r="AE377" s="4" t="str">
        <f t="shared" si="271"/>
        <v/>
      </c>
      <c r="CI377" s="428"/>
      <c r="CJ377" s="428"/>
      <c r="DY377" s="428"/>
    </row>
    <row r="378" spans="1:129" ht="16.5" x14ac:dyDescent="0.3">
      <c r="A378" s="132">
        <f>IFERROR(IF(A377+1&lt;MAX(T041_ClassFeatures!$A$2:$A$2033),A377+1,""),"")</f>
        <v>375</v>
      </c>
      <c r="B378" s="131" t="str">
        <f>IFERROR(INDEX(T041_ClassFeatures!$B$2:$B$2033,MATCH('C03_ClassVariables'!A378,T041_ClassFeatures!$A$2:$A$2033,0),1),"")</f>
        <v>Ride the Wind</v>
      </c>
      <c r="C378" s="131">
        <f>IF(B378="",0,IF(IFERROR(MATCH(B378,'C01_BaseCalculation'!$W$160:$W$239,0),0)&gt;0,1,0))</f>
        <v>0</v>
      </c>
      <c r="E378" s="428"/>
      <c r="F378" s="428"/>
      <c r="I378" t="s">
        <v>2237</v>
      </c>
      <c r="J378">
        <f>SUM(J369:J377)</f>
        <v>3</v>
      </c>
      <c r="AD378" s="4" t="str">
        <f t="shared" si="273"/>
        <v/>
      </c>
      <c r="AE378" s="4" t="str">
        <f t="shared" si="271"/>
        <v/>
      </c>
      <c r="CI378" s="428"/>
      <c r="CJ378" s="428"/>
      <c r="DY378" s="428"/>
    </row>
    <row r="379" spans="1:129" ht="16.5" x14ac:dyDescent="0.3">
      <c r="A379" s="132">
        <f>IFERROR(IF(A378+1&lt;MAX(T041_ClassFeatures!$A$2:$A$2033),A378+1,""),"")</f>
        <v>376</v>
      </c>
      <c r="B379" s="131" t="str">
        <f>IFERROR(INDEX(T041_ClassFeatures!$B$2:$B$2033,MATCH('C03_ClassVariables'!A379,T041_ClassFeatures!$A$2:$A$2033,0),1),"")</f>
        <v>River of Hungry Flame</v>
      </c>
      <c r="C379" s="131">
        <f>IF(B379="",0,IF(IFERROR(MATCH(B379,'C01_BaseCalculation'!$W$160:$W$239,0),0)&gt;0,1,0))</f>
        <v>0</v>
      </c>
      <c r="E379" s="428"/>
      <c r="F379" s="428"/>
      <c r="AD379" s="4" t="str">
        <f t="shared" si="273"/>
        <v/>
      </c>
      <c r="AE379" s="4" t="str">
        <f t="shared" si="271"/>
        <v/>
      </c>
      <c r="CI379" s="428"/>
      <c r="CJ379" s="428"/>
      <c r="DY379" s="428"/>
    </row>
    <row r="380" spans="1:129" ht="16.5" x14ac:dyDescent="0.3">
      <c r="A380" s="132">
        <f>IFERROR(IF(A379+1&lt;MAX(T041_ClassFeatures!$A$2:$A$2033),A379+1,""),"")</f>
        <v>377</v>
      </c>
      <c r="B380" s="131" t="str">
        <f>IFERROR(INDEX(T041_ClassFeatures!$B$2:$B$2033,MATCH('C03_ClassVariables'!A380,T041_ClassFeatures!$A$2:$A$2033,0),1),"")</f>
        <v>Rush of the Gale Spirits</v>
      </c>
      <c r="C380" s="131">
        <f>IF(B380="",0,IF(IFERROR(MATCH(B380,'C01_BaseCalculation'!$W$160:$W$239,0),0)&gt;0,1,0))</f>
        <v>0</v>
      </c>
      <c r="E380" s="428"/>
      <c r="F380" s="428"/>
      <c r="G380" s="428"/>
      <c r="H380" s="428"/>
      <c r="I380" s="428"/>
      <c r="J380" s="428"/>
      <c r="K380" s="428"/>
      <c r="L380" s="428"/>
      <c r="M380" s="428"/>
      <c r="N380" s="428"/>
      <c r="O380" s="428"/>
      <c r="P380" s="428"/>
      <c r="Q380" s="428"/>
      <c r="R380" s="428"/>
      <c r="S380" s="428"/>
      <c r="T380" s="428"/>
      <c r="U380" s="428"/>
      <c r="V380" s="428"/>
      <c r="W380" s="428"/>
      <c r="X380" s="428"/>
      <c r="Y380" s="428"/>
      <c r="Z380" s="428"/>
      <c r="AA380" s="428"/>
      <c r="AB380" s="428"/>
      <c r="AC380" s="428"/>
      <c r="AD380" s="428"/>
      <c r="AE380" s="428"/>
      <c r="AF380" s="428"/>
      <c r="AG380" s="428"/>
      <c r="AH380" s="428"/>
      <c r="AI380" s="428"/>
      <c r="AJ380" s="428"/>
      <c r="AK380" s="428"/>
      <c r="AL380" s="428"/>
      <c r="AM380" s="428"/>
      <c r="AN380" s="428"/>
      <c r="AO380" s="428"/>
      <c r="AP380" s="428"/>
      <c r="AQ380" s="428"/>
      <c r="AR380" s="428"/>
      <c r="AS380" s="428"/>
      <c r="AT380" s="428"/>
      <c r="AU380" s="428"/>
      <c r="AV380" s="428"/>
      <c r="AW380" s="428"/>
      <c r="AX380" s="428"/>
      <c r="AY380" s="428"/>
      <c r="AZ380" s="428"/>
      <c r="BA380" s="428"/>
      <c r="BB380" s="428"/>
      <c r="BC380" s="428"/>
      <c r="BD380" s="428"/>
      <c r="BE380" s="428"/>
      <c r="BF380" s="428"/>
      <c r="BG380" s="428"/>
      <c r="BH380" s="428"/>
      <c r="BI380" s="428"/>
      <c r="BJ380" s="428"/>
      <c r="BK380" s="428"/>
      <c r="BL380" s="428"/>
      <c r="BM380" s="428"/>
      <c r="BN380" s="428"/>
      <c r="BO380" s="428"/>
      <c r="BP380" s="428"/>
      <c r="BQ380" s="428"/>
      <c r="BR380" s="428"/>
      <c r="BS380" s="428"/>
      <c r="BT380" s="428"/>
      <c r="BU380" s="428"/>
      <c r="BV380" s="428"/>
      <c r="BW380" s="428"/>
      <c r="BX380" s="428"/>
      <c r="BY380" s="428"/>
      <c r="BZ380" s="428"/>
      <c r="CA380" s="428"/>
      <c r="CB380" s="428"/>
      <c r="CC380" s="428"/>
      <c r="CD380" s="428"/>
      <c r="CE380" s="428"/>
      <c r="CF380" s="428"/>
      <c r="CG380" s="428"/>
      <c r="CH380" s="428"/>
      <c r="CI380" s="428"/>
      <c r="CJ380" s="428"/>
      <c r="CK380" s="428"/>
      <c r="CL380" s="428"/>
      <c r="CM380" s="428"/>
      <c r="CN380" s="428"/>
      <c r="CO380" s="428"/>
      <c r="CP380" s="428"/>
      <c r="CQ380" s="428"/>
      <c r="CR380" s="428"/>
      <c r="CS380" s="428"/>
      <c r="CT380" s="428"/>
      <c r="CU380" s="428"/>
      <c r="CV380" s="428"/>
      <c r="CW380" s="428"/>
      <c r="CX380" s="428"/>
      <c r="CY380" s="428"/>
      <c r="CZ380" s="428"/>
      <c r="DA380" s="428"/>
      <c r="DB380" s="428"/>
      <c r="DC380" s="428"/>
      <c r="DD380" s="428"/>
      <c r="DE380" s="428"/>
      <c r="DF380" s="428"/>
      <c r="DG380" s="428"/>
      <c r="DH380" s="428"/>
      <c r="DI380" s="428"/>
      <c r="DJ380" s="428"/>
      <c r="DK380" s="428"/>
      <c r="DL380" s="428"/>
      <c r="DM380" s="428"/>
      <c r="DN380" s="428"/>
      <c r="DO380" s="428"/>
      <c r="DP380" s="428"/>
      <c r="DQ380" s="428"/>
      <c r="DR380" s="428"/>
      <c r="DS380" s="428"/>
      <c r="DT380" s="428"/>
      <c r="DU380" s="428"/>
      <c r="DV380" s="428"/>
      <c r="DW380" s="428"/>
      <c r="DX380" s="428"/>
      <c r="DY380" s="428"/>
    </row>
    <row r="381" spans="1:129" ht="16.5" x14ac:dyDescent="0.3">
      <c r="A381" s="132">
        <f>IFERROR(IF(A380+1&lt;MAX(T041_ClassFeatures!$A$2:$A$2033),A380+1,""),"")</f>
        <v>378</v>
      </c>
      <c r="B381" s="131" t="str">
        <f>IFERROR(INDEX(T041_ClassFeatures!$B$2:$B$2033,MATCH('C03_ClassVariables'!A381,T041_ClassFeatures!$A$2:$A$2033,0),1),"")</f>
        <v>Shape the Flowing River</v>
      </c>
      <c r="C381" s="131">
        <f>IF(B381="",0,IF(IFERROR(MATCH(B381,'C01_BaseCalculation'!$W$160:$W$239,0),0)&gt;0,1,0))</f>
        <v>0</v>
      </c>
      <c r="E381" s="138"/>
      <c r="F381" s="138"/>
      <c r="G381" s="138"/>
      <c r="H381" s="138"/>
      <c r="I381" s="138"/>
      <c r="J381" s="138"/>
      <c r="K381" s="138"/>
      <c r="L381" s="138"/>
      <c r="M381" s="138"/>
      <c r="N381" s="138"/>
      <c r="O381" s="138"/>
      <c r="P381" s="138"/>
      <c r="Q381" s="138"/>
      <c r="R381" s="138"/>
      <c r="S381" s="138"/>
      <c r="T381" s="138"/>
      <c r="U381" s="138"/>
      <c r="V381" s="138"/>
      <c r="W381" s="138"/>
      <c r="X381" s="138"/>
      <c r="Y381" s="138"/>
      <c r="Z381" s="138"/>
      <c r="AA381" s="138"/>
      <c r="AB381" s="138"/>
      <c r="AC381" s="138"/>
      <c r="AD381" s="138"/>
      <c r="AE381" s="138"/>
      <c r="AF381" s="138"/>
      <c r="AG381" s="138"/>
      <c r="AH381" s="138"/>
      <c r="AI381" s="138"/>
      <c r="AJ381" s="138"/>
      <c r="AK381" s="138"/>
      <c r="AL381" s="138"/>
      <c r="AM381" s="138"/>
      <c r="AN381" s="138"/>
      <c r="AO381" s="138"/>
      <c r="AP381" s="138"/>
      <c r="AQ381" s="138"/>
      <c r="AR381" s="138"/>
      <c r="AS381" s="138"/>
      <c r="AT381" s="138"/>
      <c r="AU381" s="138"/>
      <c r="AV381" s="138"/>
      <c r="AW381" s="138"/>
      <c r="AX381" s="138"/>
      <c r="AY381" s="138"/>
    </row>
    <row r="382" spans="1:129" ht="16.5" x14ac:dyDescent="0.3">
      <c r="A382" s="132">
        <f>IFERROR(IF(A381+1&lt;MAX(T041_ClassFeatures!$A$2:$A$2033),A381+1,""),"")</f>
        <v>379</v>
      </c>
      <c r="B382" s="131" t="str">
        <f>IFERROR(INDEX(T041_ClassFeatures!$B$2:$B$2033,MATCH('C03_ClassVariables'!A382,T041_ClassFeatures!$A$2:$A$2033,0),1),"")</f>
        <v>Sweeping Cinder Strike</v>
      </c>
      <c r="C382" s="131">
        <f>IF(B382="",0,IF(IFERROR(MATCH(B382,'C01_BaseCalculation'!$W$160:$W$239,0),0)&gt;0,1,0))</f>
        <v>0</v>
      </c>
      <c r="E382" s="138"/>
      <c r="F382" s="138"/>
      <c r="G382" s="138"/>
      <c r="H382" s="138"/>
      <c r="I382" s="138"/>
      <c r="J382" s="138"/>
      <c r="K382" s="138"/>
      <c r="L382" s="138"/>
      <c r="M382" s="138"/>
      <c r="N382" s="138"/>
      <c r="O382" s="138"/>
      <c r="P382" s="138"/>
      <c r="Q382" s="138"/>
      <c r="R382" s="138"/>
      <c r="S382" s="138"/>
      <c r="T382" s="138"/>
      <c r="U382" s="138"/>
      <c r="V382" s="138"/>
      <c r="W382" s="138"/>
      <c r="X382" s="138"/>
      <c r="Y382" s="138"/>
      <c r="Z382" s="138"/>
      <c r="AA382" s="138"/>
      <c r="AB382" s="138"/>
      <c r="AC382" s="138"/>
      <c r="AD382" s="138"/>
      <c r="AE382" s="138"/>
      <c r="AF382" s="138"/>
      <c r="AG382" s="138"/>
      <c r="AH382" s="138"/>
      <c r="AI382" s="138"/>
      <c r="AJ382" s="138"/>
      <c r="AK382" s="138"/>
      <c r="AL382" s="138"/>
      <c r="AM382" s="138"/>
      <c r="AN382" s="138"/>
      <c r="AO382" s="138"/>
      <c r="AP382" s="138"/>
      <c r="AQ382" s="138"/>
      <c r="AR382" s="138"/>
      <c r="AS382" s="138"/>
      <c r="AT382" s="138"/>
      <c r="AU382" s="138"/>
      <c r="AV382" s="138"/>
      <c r="AW382" s="138"/>
      <c r="AX382" s="138"/>
      <c r="AY382" s="138"/>
    </row>
    <row r="383" spans="1:129" ht="16.5" x14ac:dyDescent="0.3">
      <c r="A383" s="132">
        <f>IFERROR(IF(A382+1&lt;MAX(T041_ClassFeatures!$A$2:$A$2033),A382+1,""),"")</f>
        <v>380</v>
      </c>
      <c r="B383" s="131" t="str">
        <f>IFERROR(INDEX(T041_ClassFeatures!$B$2:$B$2033,MATCH('C03_ClassVariables'!A383,T041_ClassFeatures!$A$2:$A$2033,0),1),"")</f>
        <v>Water Whip</v>
      </c>
      <c r="C383" s="131">
        <f>IF(B383="",0,IF(IFERROR(MATCH(B383,'C01_BaseCalculation'!$W$160:$W$239,0),0)&gt;0,1,0))</f>
        <v>0</v>
      </c>
      <c r="E383" s="138"/>
      <c r="G383" t="s">
        <v>270</v>
      </c>
      <c r="AY383" s="138"/>
    </row>
    <row r="384" spans="1:129" ht="16.5" x14ac:dyDescent="0.3">
      <c r="A384" s="132">
        <f>IFERROR(IF(A383+1&lt;MAX(T041_ClassFeatures!$A$2:$A$2033),A383+1,""),"")</f>
        <v>381</v>
      </c>
      <c r="B384" s="131" t="str">
        <f>IFERROR(INDEX(T041_ClassFeatures!$B$2:$B$2033,MATCH('C03_ClassVariables'!A384,T041_ClassFeatures!$A$2:$A$2033,0),1),"")</f>
        <v>Wave of Rolling Earth</v>
      </c>
      <c r="C384" s="131">
        <f>IF(B384="",0,IF(IFERROR(MATCH(B384,'C01_BaseCalculation'!$W$160:$W$239,0),0)&gt;0,1,0))</f>
        <v>0</v>
      </c>
      <c r="E384" s="138"/>
      <c r="I384" t="s">
        <v>6000</v>
      </c>
      <c r="J384" t="s">
        <v>6244</v>
      </c>
      <c r="K384" t="s">
        <v>60</v>
      </c>
      <c r="L384" t="s">
        <v>6001</v>
      </c>
      <c r="M384" t="s">
        <v>6002</v>
      </c>
      <c r="N384" t="s">
        <v>6003</v>
      </c>
      <c r="O384" t="s">
        <v>6004</v>
      </c>
      <c r="P384" t="s">
        <v>4536</v>
      </c>
      <c r="Q384" t="s">
        <v>2305</v>
      </c>
      <c r="R384" t="s">
        <v>6006</v>
      </c>
      <c r="S384" t="s">
        <v>6245</v>
      </c>
      <c r="W384" t="s">
        <v>60</v>
      </c>
      <c r="X384" t="s">
        <v>6101</v>
      </c>
      <c r="Y384" t="s">
        <v>2305</v>
      </c>
      <c r="AY384" s="138"/>
    </row>
    <row r="385" spans="1:51" ht="16.5" x14ac:dyDescent="0.3">
      <c r="A385" s="132">
        <f>IFERROR(IF(A384+1&lt;MAX(T041_ClassFeatures!$A$2:$A$2033),A384+1,""),"")</f>
        <v>382</v>
      </c>
      <c r="B385" s="131" t="str">
        <f>IFERROR(INDEX(T041_ClassFeatures!$B$2:$B$2033,MATCH('C03_ClassVariables'!A385,T041_ClassFeatures!$A$2:$A$2033,0),1),"")</f>
        <v>Agonizing Blast</v>
      </c>
      <c r="C385" s="131">
        <f>IF(B385="",0,IF(IFERROR(MATCH(B385,'C01_BaseCalculation'!$W$160:$W$239,0),0)&gt;0,1,0))</f>
        <v>0</v>
      </c>
      <c r="E385" s="138"/>
      <c r="G385" s="338" t="s">
        <v>2297</v>
      </c>
      <c r="H385">
        <f>IF(IFERROR(MATCH('C03_ClassVariables'!G385,'C01_BaseCalculation'!$W$160:$W$239,0),0)=0,0,1)</f>
        <v>1</v>
      </c>
      <c r="I385" t="s">
        <v>2971</v>
      </c>
      <c r="J385">
        <f>Intelligence</f>
        <v>20</v>
      </c>
      <c r="K385" t="s">
        <v>3164</v>
      </c>
      <c r="L385">
        <f>IFERROR(INDEX($Q$4:$Q$9,MATCH("Fighter",$M$4:$M$9,0),1),0)</f>
        <v>12</v>
      </c>
      <c r="M385">
        <f>IntMOD</f>
        <v>5</v>
      </c>
      <c r="N385">
        <f>ROUNDDOWN(L385/3,0)</f>
        <v>4</v>
      </c>
      <c r="O385" t="s">
        <v>1068</v>
      </c>
      <c r="P385">
        <f>IFERROR(INDEX(T042_Leveling!$AK$4:$AK$23,'C03_ClassVariables'!L385,1),0)</f>
        <v>8</v>
      </c>
      <c r="Q385">
        <f>IFERROR(INDEX(T042_Leveling!$AJ$4:$AJ$23,L385,1),0)</f>
        <v>3</v>
      </c>
      <c r="R385">
        <f>IFERROR(INDEX(T042_Leveling!$T$4:$T$23,'C03_ClassVariables'!L385,1),0)</f>
        <v>2</v>
      </c>
      <c r="S385" t="s">
        <v>6246</v>
      </c>
      <c r="T385">
        <f>H385</f>
        <v>1</v>
      </c>
      <c r="U385">
        <f>H385</f>
        <v>1</v>
      </c>
      <c r="V385">
        <f>IF(SpellcasterLevel&lt;1,"",1)</f>
        <v>1</v>
      </c>
      <c r="W385" s="502" t="str">
        <f>IFERROR(INDEX($K$385:$K$394,MATCH($V385,$U$385:$U$394,0),1),"")</f>
        <v>Eldritch Knight</v>
      </c>
      <c r="X385" s="502" t="str">
        <f>IFERROR(INDEX($I$385:$I$394,MATCH($V385,$U$385:$U$394,0),1),"")</f>
        <v>Intelligence</v>
      </c>
      <c r="Y385">
        <f>IFERROR(INDEX($Q$385:$Q$394,MATCH($V385,$U$385:$U$394,0),1)*V385,"")</f>
        <v>3</v>
      </c>
      <c r="AY385" s="138"/>
    </row>
    <row r="386" spans="1:51" ht="16.5" x14ac:dyDescent="0.3">
      <c r="A386" s="132">
        <f>IFERROR(IF(A385+1&lt;MAX(T041_ClassFeatures!$A$2:$A$2033),A385+1,""),"")</f>
        <v>383</v>
      </c>
      <c r="B386" s="131" t="str">
        <f>IFERROR(INDEX(T041_ClassFeatures!$B$2:$B$2033,MATCH('C03_ClassVariables'!A386,T041_ClassFeatures!$A$2:$A$2033,0),1),"")</f>
        <v>Armor of Shadows</v>
      </c>
      <c r="C386" s="131">
        <f>IF(B386="",0,IF(IFERROR(MATCH(B386,'C01_BaseCalculation'!$W$160:$W$239,0),0)&gt;0,1,0))</f>
        <v>0</v>
      </c>
      <c r="E386" s="138"/>
      <c r="G386" s="338" t="s">
        <v>2298</v>
      </c>
      <c r="H386">
        <f>IF(IFERROR(MATCH('C03_ClassVariables'!G386,'C01_BaseCalculation'!$W$160:$W$239,0),0)=0,0,1)</f>
        <v>0</v>
      </c>
      <c r="I386" t="s">
        <v>2971</v>
      </c>
      <c r="J386">
        <f>Intelligence</f>
        <v>20</v>
      </c>
      <c r="K386" t="s">
        <v>3188</v>
      </c>
      <c r="L386">
        <f>IFERROR(INDEX($Q$4:$Q$9,MATCH("Rogue",$M$4:$M$9,0),1),0)</f>
        <v>0</v>
      </c>
      <c r="M386">
        <f>IntMOD</f>
        <v>5</v>
      </c>
      <c r="N386">
        <f>ROUNDDOWN(L386/3,0)</f>
        <v>0</v>
      </c>
      <c r="O386" t="s">
        <v>1068</v>
      </c>
      <c r="P386">
        <f>IFERROR(INDEX(T042_Leveling!$AU$4:$AU$23,'C03_ClassVariables'!L386,1),0)</f>
        <v>0</v>
      </c>
      <c r="Q386">
        <f>IFERROR(INDEX(T042_Leveling!$AT$4:$AT$23,L386,1),0)</f>
        <v>0</v>
      </c>
      <c r="R386">
        <f>IFERROR(INDEX(T042_Leveling!$T$4:$T$23,'C03_ClassVariables'!L386,1),0)</f>
        <v>0</v>
      </c>
      <c r="S386" t="s">
        <v>6247</v>
      </c>
      <c r="T386">
        <f t="shared" ref="T386:T394" si="274">H386</f>
        <v>0</v>
      </c>
      <c r="U386">
        <f>IF(H386=0,0,COUNTIF($U$385:U385,"&gt;0")+1)</f>
        <v>0</v>
      </c>
      <c r="V386">
        <f t="shared" ref="V386:V394" si="275">IFERROR(IF(V385&lt;MAX($U$385:$U$394),V385+1,""),"")</f>
        <v>2</v>
      </c>
      <c r="W386" s="502" t="str">
        <f t="shared" ref="W386:W394" si="276">IFERROR(INDEX($K$385:$K$394,MATCH($V386,$U$385:$U$394,0),1),"")</f>
        <v>Wizard</v>
      </c>
      <c r="X386" s="502" t="str">
        <f>IFERROR(INDEX($I$385:$I$394,MATCH($V386,$U$385:$U$394,0),1),"")</f>
        <v>Intelligence</v>
      </c>
      <c r="Y386">
        <f>IFERROR(INDEX($Q$385:$Q$394,MATCH($V386,$U$385:$U$394,0),1)+Y385,"")</f>
        <v>6</v>
      </c>
      <c r="AY386" s="138"/>
    </row>
    <row r="387" spans="1:51" ht="16.5" x14ac:dyDescent="0.3">
      <c r="A387" s="132">
        <f>IFERROR(IF(A386+1&lt;MAX(T041_ClassFeatures!$A$2:$A$2033),A386+1,""),"")</f>
        <v>384</v>
      </c>
      <c r="B387" s="131" t="str">
        <f>IFERROR(INDEX(T041_ClassFeatures!$B$2:$B$2033,MATCH('C03_ClassVariables'!A387,T041_ClassFeatures!$A$2:$A$2033,0),1),"")</f>
        <v>Ascendant Step</v>
      </c>
      <c r="C387" s="131">
        <f>IF(B387="",0,IF(IFERROR(MATCH(B387,'C01_BaseCalculation'!$W$160:$W$239,0),0)&gt;0,1,0))</f>
        <v>0</v>
      </c>
      <c r="E387" s="138"/>
      <c r="G387" s="339" t="s">
        <v>4321</v>
      </c>
      <c r="H387">
        <f>IF(IFERROR(MATCH('C03_ClassVariables'!G387,'C01_BaseCalculation'!$W$160:$W$239,0),0)=0,0,1)</f>
        <v>0</v>
      </c>
      <c r="I387" t="s">
        <v>2968</v>
      </c>
      <c r="J387">
        <f>Charisma</f>
        <v>10</v>
      </c>
      <c r="K387" t="s">
        <v>1109</v>
      </c>
      <c r="L387">
        <f t="shared" ref="L387:L394" si="277">IFERROR(INDEX($Q$4:$Q$9,MATCH(K387,$M$4:$M$9,0),1),0)</f>
        <v>0</v>
      </c>
      <c r="M387">
        <f>ChaMOD</f>
        <v>0</v>
      </c>
      <c r="N387">
        <f>L387</f>
        <v>0</v>
      </c>
      <c r="O387" t="s">
        <v>1068</v>
      </c>
      <c r="P387">
        <f>IFERROR(INDEX(T042_Leveling!$Z$4:$Z$23,'C03_ClassVariables'!L387,1),0)</f>
        <v>0</v>
      </c>
      <c r="Q387">
        <f>IFERROR(INDEX(T042_Leveling!$Y$4:$Y$23,L387,1),0)</f>
        <v>0</v>
      </c>
      <c r="R387">
        <f>IFERROR(INDEX(T042_Leveling!$D$4:$D$23,'C03_ClassVariables'!L387,1),0)</f>
        <v>0</v>
      </c>
      <c r="S387" t="s">
        <v>6248</v>
      </c>
      <c r="T387">
        <f t="shared" si="274"/>
        <v>0</v>
      </c>
      <c r="U387">
        <f>IF(H387=0,0,COUNTIF($U$385:U386,"&gt;0")+1)</f>
        <v>0</v>
      </c>
      <c r="V387" t="str">
        <f t="shared" si="275"/>
        <v/>
      </c>
      <c r="W387" s="502" t="str">
        <f t="shared" si="276"/>
        <v/>
      </c>
      <c r="X387" s="502" t="str">
        <f t="shared" ref="X387:X394" si="278">IFERROR(INDEX($I$385:$I$394,MATCH($V387,$U$385:$U$394,0),1),"")</f>
        <v/>
      </c>
      <c r="Y387" t="str">
        <f t="shared" ref="Y387:Y394" si="279">IFERROR(INDEX($Q$385:$Q$394,MATCH($V387,$U$385:$U$394,0),1)+Y386,"")</f>
        <v/>
      </c>
      <c r="AY387" s="138"/>
    </row>
    <row r="388" spans="1:51" ht="16.5" x14ac:dyDescent="0.3">
      <c r="A388" s="132">
        <f>IFERROR(IF(A387+1&lt;MAX(T041_ClassFeatures!$A$2:$A$2033),A387+1,""),"")</f>
        <v>385</v>
      </c>
      <c r="B388" s="131" t="str">
        <f>IFERROR(INDEX(T041_ClassFeatures!$B$2:$B$2033,MATCH('C03_ClassVariables'!A388,T041_ClassFeatures!$A$2:$A$2033,0),1),"")</f>
        <v>Beast Speech</v>
      </c>
      <c r="C388" s="131">
        <f>IF(B388="",0,IF(IFERROR(MATCH(B388,'C01_BaseCalculation'!$W$160:$W$239,0),0)&gt;0,1,0))</f>
        <v>0</v>
      </c>
      <c r="E388" s="138"/>
      <c r="G388" s="338" t="s">
        <v>4472</v>
      </c>
      <c r="H388">
        <f>IF(IFERROR(MATCH('C03_ClassVariables'!G388,'C01_BaseCalculation'!$W$160:$W$239,0),0)=0,0,1)</f>
        <v>1</v>
      </c>
      <c r="I388" t="s">
        <v>2971</v>
      </c>
      <c r="J388">
        <f>Intelligence</f>
        <v>20</v>
      </c>
      <c r="K388" t="s">
        <v>625</v>
      </c>
      <c r="L388">
        <f t="shared" si="277"/>
        <v>8</v>
      </c>
      <c r="M388">
        <f>IntMOD</f>
        <v>5</v>
      </c>
      <c r="N388">
        <f>L388</f>
        <v>8</v>
      </c>
      <c r="O388">
        <f>IF(L388&gt;0,L388+M388,0)</f>
        <v>13</v>
      </c>
      <c r="P388" t="str">
        <f>(L388*2+4)&amp;"*"</f>
        <v>20*</v>
      </c>
      <c r="Q388">
        <f>IFERROR(INDEX(T042_Leveling!$AZ$4:$AZ$23,L388,1),0)</f>
        <v>3</v>
      </c>
      <c r="R388">
        <f>IFERROR(INDEX(T042_Leveling!$D$4:$D$23,'C03_ClassVariables'!L388,1),0)</f>
        <v>4</v>
      </c>
      <c r="S388" t="s">
        <v>6249</v>
      </c>
      <c r="T388">
        <f t="shared" si="274"/>
        <v>1</v>
      </c>
      <c r="U388">
        <f>IF(H388=0,0,COUNTIF($U$385:U387,"&gt;0")+1)</f>
        <v>2</v>
      </c>
      <c r="V388" t="str">
        <f t="shared" si="275"/>
        <v/>
      </c>
      <c r="W388" s="502" t="str">
        <f t="shared" si="276"/>
        <v/>
      </c>
      <c r="X388" s="502" t="str">
        <f t="shared" si="278"/>
        <v/>
      </c>
      <c r="Y388" t="str">
        <f t="shared" si="279"/>
        <v/>
      </c>
      <c r="AY388" s="138"/>
    </row>
    <row r="389" spans="1:51" ht="16.5" x14ac:dyDescent="0.3">
      <c r="A389" s="132">
        <f>IFERROR(IF(A388+1&lt;MAX(T041_ClassFeatures!$A$2:$A$2033),A388+1,""),"")</f>
        <v>386</v>
      </c>
      <c r="B389" s="131" t="str">
        <f>IFERROR(INDEX(T041_ClassFeatures!$B$2:$B$2033,MATCH('C03_ClassVariables'!A389,T041_ClassFeatures!$A$2:$A$2033,0),1),"")</f>
        <v>Beguiling Influence</v>
      </c>
      <c r="C389" s="131">
        <f>IF(B389="",0,IF(IFERROR(MATCH(B389,'C01_BaseCalculation'!$W$160:$W$239,0),0)&gt;0,1,0))</f>
        <v>0</v>
      </c>
      <c r="E389" s="138"/>
      <c r="G389" s="338" t="s">
        <v>4473</v>
      </c>
      <c r="H389">
        <f>IF(IFERROR(MATCH('C03_ClassVariables'!G389,'C01_BaseCalculation'!$W$160:$W$239,0),0)=0,0,1)</f>
        <v>0</v>
      </c>
      <c r="I389" t="s">
        <v>2968</v>
      </c>
      <c r="J389">
        <f>Charisma</f>
        <v>10</v>
      </c>
      <c r="K389" t="s">
        <v>623</v>
      </c>
      <c r="L389">
        <f t="shared" si="277"/>
        <v>0</v>
      </c>
      <c r="M389">
        <f>ChaMOD</f>
        <v>0</v>
      </c>
      <c r="N389">
        <f>L389</f>
        <v>0</v>
      </c>
      <c r="O389" t="s">
        <v>1068</v>
      </c>
      <c r="P389">
        <f>IFERROR(INDEX(T042_Leveling!$AX$4:$AX$23,'C03_ClassVariables'!L389,1),0)</f>
        <v>0</v>
      </c>
      <c r="Q389">
        <f>IFERROR(INDEX(T042_Leveling!$AW$4:$AW$23,L389,1),0)</f>
        <v>0</v>
      </c>
      <c r="R389">
        <f>IFERROR(INDEX(T042_Leveling!$D$4:$D$23,'C03_ClassVariables'!L389,1),0)</f>
        <v>0</v>
      </c>
      <c r="S389" t="s">
        <v>2387</v>
      </c>
      <c r="T389">
        <f t="shared" si="274"/>
        <v>0</v>
      </c>
      <c r="U389">
        <f>IF(H389=0,0,COUNTIF($U$385:U388,"&gt;0")+1)</f>
        <v>0</v>
      </c>
      <c r="V389" t="str">
        <f t="shared" si="275"/>
        <v/>
      </c>
      <c r="W389" s="502" t="str">
        <f t="shared" si="276"/>
        <v/>
      </c>
      <c r="X389" s="502" t="str">
        <f t="shared" si="278"/>
        <v/>
      </c>
      <c r="Y389" t="str">
        <f t="shared" si="279"/>
        <v/>
      </c>
      <c r="AY389" s="138"/>
    </row>
    <row r="390" spans="1:51" ht="16.5" x14ac:dyDescent="0.3">
      <c r="A390" s="132">
        <f>IFERROR(IF(A389+1&lt;MAX(T041_ClassFeatures!$A$2:$A$2033),A389+1,""),"")</f>
        <v>387</v>
      </c>
      <c r="B390" s="131" t="str">
        <f>IFERROR(INDEX(T041_ClassFeatures!$B$2:$B$2033,MATCH('C03_ClassVariables'!A390,T041_ClassFeatures!$A$2:$A$2033,0),1),"")</f>
        <v>Bewitching Whispers</v>
      </c>
      <c r="C390" s="131">
        <f>IF(B390="",0,IF(IFERROR(MATCH(B390,'C01_BaseCalculation'!$W$160:$W$239,0),0)&gt;0,1,0))</f>
        <v>0</v>
      </c>
      <c r="E390" s="138"/>
      <c r="G390" s="338" t="s">
        <v>4474</v>
      </c>
      <c r="H390">
        <f>IF(IFERROR(MATCH('C03_ClassVariables'!G390,'C01_BaseCalculation'!$W$160:$W$239,0),0)=0,0,1)</f>
        <v>0</v>
      </c>
      <c r="I390" t="s">
        <v>2969</v>
      </c>
      <c r="J390">
        <f>Wisdom</f>
        <v>10</v>
      </c>
      <c r="K390" t="s">
        <v>617</v>
      </c>
      <c r="L390">
        <f t="shared" si="277"/>
        <v>0</v>
      </c>
      <c r="M390">
        <f>WisMOD</f>
        <v>0</v>
      </c>
      <c r="N390">
        <f>L390</f>
        <v>0</v>
      </c>
      <c r="O390">
        <f>IF(L390&gt;0,L390+M390,0)</f>
        <v>0</v>
      </c>
      <c r="P390" t="s">
        <v>6255</v>
      </c>
      <c r="Q390">
        <f>IFERROR(INDEX(T042_Leveling!$AD$4:$AD$23,L390,1),0)</f>
        <v>0</v>
      </c>
      <c r="R390">
        <f>IFERROR(INDEX(T042_Leveling!$D$4:$D$23,'C03_ClassVariables'!L390,1),0)</f>
        <v>0</v>
      </c>
      <c r="S390" t="s">
        <v>6250</v>
      </c>
      <c r="T390">
        <f t="shared" si="274"/>
        <v>0</v>
      </c>
      <c r="U390">
        <f>IF(H390=0,0,COUNTIF($U$385:U389,"&gt;0")+1)</f>
        <v>0</v>
      </c>
      <c r="V390" t="str">
        <f t="shared" si="275"/>
        <v/>
      </c>
      <c r="W390" s="502" t="str">
        <f t="shared" si="276"/>
        <v/>
      </c>
      <c r="X390" s="502" t="str">
        <f t="shared" si="278"/>
        <v/>
      </c>
      <c r="Y390" t="str">
        <f t="shared" si="279"/>
        <v/>
      </c>
      <c r="AY390" s="138"/>
    </row>
    <row r="391" spans="1:51" ht="16.5" x14ac:dyDescent="0.3">
      <c r="A391" s="132">
        <f>IFERROR(IF(A390+1&lt;MAX(T041_ClassFeatures!$A$2:$A$2033),A390+1,""),"")</f>
        <v>388</v>
      </c>
      <c r="B391" s="131" t="str">
        <f>IFERROR(INDEX(T041_ClassFeatures!$B$2:$B$2033,MATCH('C03_ClassVariables'!A391,T041_ClassFeatures!$A$2:$A$2033,0),1),"")</f>
        <v>Book of Ancient Secrets</v>
      </c>
      <c r="C391" s="131">
        <f>IF(B391="",0,IF(IFERROR(MATCH(B391,'C01_BaseCalculation'!$W$160:$W$239,0),0)&gt;0,1,0))</f>
        <v>0</v>
      </c>
      <c r="E391" s="138"/>
      <c r="G391" s="338" t="s">
        <v>4475</v>
      </c>
      <c r="H391">
        <f>IF(IFERROR(MATCH('C03_ClassVariables'!G391,'C01_BaseCalculation'!$W$160:$W$239,0),0)=0,0,1)</f>
        <v>0</v>
      </c>
      <c r="I391" t="s">
        <v>2969</v>
      </c>
      <c r="J391">
        <f>Wisdom</f>
        <v>10</v>
      </c>
      <c r="K391" t="s">
        <v>618</v>
      </c>
      <c r="L391">
        <f t="shared" si="277"/>
        <v>0</v>
      </c>
      <c r="M391">
        <f>WisMOD</f>
        <v>0</v>
      </c>
      <c r="N391">
        <f>L391</f>
        <v>0</v>
      </c>
      <c r="O391">
        <f>IF(L391&gt;0,L391+M391,0)</f>
        <v>0</v>
      </c>
      <c r="P391" t="s">
        <v>6255</v>
      </c>
      <c r="Q391">
        <f>IFERROR(INDEX(T042_Leveling!$AF$4:$AF$23,L391,1),0)</f>
        <v>0</v>
      </c>
      <c r="R391">
        <f>IFERROR(INDEX(T042_Leveling!$D$4:$D$23,'C03_ClassVariables'!L391,1),0)</f>
        <v>0</v>
      </c>
      <c r="S391" t="s">
        <v>6251</v>
      </c>
      <c r="T391">
        <f t="shared" si="274"/>
        <v>0</v>
      </c>
      <c r="U391">
        <f>IF(H391=0,0,COUNTIF($U$385:U390,"&gt;0")+1)</f>
        <v>0</v>
      </c>
      <c r="V391" t="str">
        <f t="shared" si="275"/>
        <v/>
      </c>
      <c r="W391" s="502" t="str">
        <f t="shared" si="276"/>
        <v/>
      </c>
      <c r="X391" s="502" t="str">
        <f t="shared" si="278"/>
        <v/>
      </c>
      <c r="Y391" t="str">
        <f t="shared" si="279"/>
        <v/>
      </c>
      <c r="AY391" s="138"/>
    </row>
    <row r="392" spans="1:51" ht="16.5" x14ac:dyDescent="0.3">
      <c r="A392" s="132">
        <f>IFERROR(IF(A391+1&lt;MAX(T041_ClassFeatures!$A$2:$A$2033),A391+1,""),"")</f>
        <v>389</v>
      </c>
      <c r="B392" s="131" t="str">
        <f>IFERROR(INDEX(T041_ClassFeatures!$B$2:$B$2033,MATCH('C03_ClassVariables'!A392,T041_ClassFeatures!$A$2:$A$2033,0),1),"")</f>
        <v>Chains of Carceri</v>
      </c>
      <c r="C392" s="131">
        <f>IF(B392="",0,IF(IFERROR(MATCH(B392,'C01_BaseCalculation'!$W$160:$W$239,0),0)&gt;0,1,0))</f>
        <v>0</v>
      </c>
      <c r="E392" s="138"/>
      <c r="G392" s="338" t="s">
        <v>4476</v>
      </c>
      <c r="H392">
        <f>IF(IFERROR(MATCH('C03_ClassVariables'!G392,'C01_BaseCalculation'!$W$160:$W$239,0),0)=0,0,1)</f>
        <v>0</v>
      </c>
      <c r="I392" t="s">
        <v>2969</v>
      </c>
      <c r="J392">
        <f>Wisdom</f>
        <v>10</v>
      </c>
      <c r="K392" t="s">
        <v>621</v>
      </c>
      <c r="L392">
        <f t="shared" si="277"/>
        <v>0</v>
      </c>
      <c r="M392">
        <f>WisMOD</f>
        <v>0</v>
      </c>
      <c r="N392">
        <f>ROUNDDOWN(L392/2,0)</f>
        <v>0</v>
      </c>
      <c r="O392" t="s">
        <v>1068</v>
      </c>
      <c r="P392">
        <f>IFERROR(INDEX(T042_Leveling!$AQ$4:$AQ$23,L392,1),0)</f>
        <v>0</v>
      </c>
      <c r="Q392">
        <v>0</v>
      </c>
      <c r="R392">
        <f>IFERROR(INDEX(T042_Leveling!$N$4:$N$23,'C03_ClassVariables'!L392,1),0)</f>
        <v>0</v>
      </c>
      <c r="S392" t="s">
        <v>6252</v>
      </c>
      <c r="T392">
        <f t="shared" si="274"/>
        <v>0</v>
      </c>
      <c r="U392">
        <f>IF(H392=0,0,COUNTIF($U$385:U391,"&gt;0")+1)</f>
        <v>0</v>
      </c>
      <c r="V392" t="str">
        <f t="shared" si="275"/>
        <v/>
      </c>
      <c r="W392" s="502" t="str">
        <f t="shared" si="276"/>
        <v/>
      </c>
      <c r="X392" s="502" t="str">
        <f t="shared" si="278"/>
        <v/>
      </c>
      <c r="Y392" t="str">
        <f t="shared" si="279"/>
        <v/>
      </c>
      <c r="AY392" s="138"/>
    </row>
    <row r="393" spans="1:51" ht="16.5" x14ac:dyDescent="0.3">
      <c r="A393" s="132">
        <f>IFERROR(IF(A392+1&lt;MAX(T041_ClassFeatures!$A$2:$A$2033),A392+1,""),"")</f>
        <v>390</v>
      </c>
      <c r="B393" s="131" t="str">
        <f>IFERROR(INDEX(T041_ClassFeatures!$B$2:$B$2033,MATCH('C03_ClassVariables'!A393,T041_ClassFeatures!$A$2:$A$2033,0),1),"")</f>
        <v>Devil’s Sight</v>
      </c>
      <c r="C393" s="131">
        <f>IF(B393="",0,IF(IFERROR(MATCH(B393,'C01_BaseCalculation'!$W$160:$W$239,0),0)&gt;0,1,0))</f>
        <v>0</v>
      </c>
      <c r="E393" s="138"/>
      <c r="G393" s="338" t="s">
        <v>4477</v>
      </c>
      <c r="H393">
        <f>IF(IFERROR(MATCH('C03_ClassVariables'!G393,'C01_BaseCalculation'!$W$160:$W$239,0),0)=0,0,1)</f>
        <v>0</v>
      </c>
      <c r="I393" t="s">
        <v>2968</v>
      </c>
      <c r="J393">
        <f>Charisma</f>
        <v>10</v>
      </c>
      <c r="K393" t="s">
        <v>1110</v>
      </c>
      <c r="L393">
        <f t="shared" si="277"/>
        <v>0</v>
      </c>
      <c r="M393">
        <f>ChaMOD</f>
        <v>0</v>
      </c>
      <c r="N393">
        <f>ROUNDDOWN(L393/2,0)</f>
        <v>0</v>
      </c>
      <c r="O393">
        <f>IF(L393&gt;0,ROUNDDOWN(L393/2,0)+M393,0)</f>
        <v>0</v>
      </c>
      <c r="P393" t="s">
        <v>6255</v>
      </c>
      <c r="Q393">
        <v>0</v>
      </c>
      <c r="R393">
        <f>IFERROR(INDEX(T042_Leveling!$N$4:$N$23,'C03_ClassVariables'!L393,1),0)</f>
        <v>0</v>
      </c>
      <c r="S393" t="s">
        <v>6253</v>
      </c>
      <c r="T393">
        <f t="shared" si="274"/>
        <v>0</v>
      </c>
      <c r="U393">
        <f>IF(H393=0,0,COUNTIF($U$385:U392,"&gt;0")+1)</f>
        <v>0</v>
      </c>
      <c r="V393" t="str">
        <f t="shared" si="275"/>
        <v/>
      </c>
      <c r="W393" s="502" t="str">
        <f t="shared" si="276"/>
        <v/>
      </c>
      <c r="X393" s="502" t="str">
        <f t="shared" si="278"/>
        <v/>
      </c>
      <c r="Y393" t="str">
        <f t="shared" si="279"/>
        <v/>
      </c>
      <c r="AY393" s="138"/>
    </row>
    <row r="394" spans="1:51" ht="16.5" x14ac:dyDescent="0.3">
      <c r="A394" s="132">
        <f>IFERROR(IF(A393+1&lt;MAX(T041_ClassFeatures!$A$2:$A$2033),A393+1,""),"")</f>
        <v>391</v>
      </c>
      <c r="B394" s="131" t="str">
        <f>IFERROR(INDEX(T041_ClassFeatures!$B$2:$B$2033,MATCH('C03_ClassVariables'!A394,T041_ClassFeatures!$A$2:$A$2033,0),1),"")</f>
        <v>Dreadful Word</v>
      </c>
      <c r="C394" s="131">
        <f>IF(B394="",0,IF(IFERROR(MATCH(B394,'C01_BaseCalculation'!$W$160:$W$239,0),0)&gt;0,1,0))</f>
        <v>0</v>
      </c>
      <c r="E394" s="138"/>
      <c r="G394" s="338" t="s">
        <v>6243</v>
      </c>
      <c r="H394">
        <f>IF(IFERROR(MATCH('C03_ClassVariables'!G394,'C01_BaseCalculation'!$W$160:$W$239,0),0)=0,0,1)</f>
        <v>0</v>
      </c>
      <c r="I394" t="s">
        <v>2968</v>
      </c>
      <c r="J394">
        <f>Charisma</f>
        <v>10</v>
      </c>
      <c r="K394" t="s">
        <v>624</v>
      </c>
      <c r="L394">
        <f t="shared" si="277"/>
        <v>0</v>
      </c>
      <c r="M394">
        <f>ChaMOD</f>
        <v>0</v>
      </c>
      <c r="N394" s="173">
        <v>0</v>
      </c>
      <c r="O394" t="s">
        <v>1068</v>
      </c>
      <c r="P394">
        <f>IFERROR(INDEX(T042_Leveling!$BA$4:$BA$23,L394,1),0)</f>
        <v>0</v>
      </c>
      <c r="Q394">
        <f>IFERROR(INDEX(T042_Leveling!$AZ$4:$AZ$23,L394,1),0)</f>
        <v>0</v>
      </c>
      <c r="R394">
        <f>IFERROR(INDEX(T042_Leveling!$BD$4:$BD$23,'C03_ClassVariables'!L394,1),0)</f>
        <v>0</v>
      </c>
      <c r="S394" t="s">
        <v>6254</v>
      </c>
      <c r="T394">
        <f t="shared" si="274"/>
        <v>0</v>
      </c>
      <c r="U394">
        <f>IF(H394=0,0,COUNTIF($U$385:U393,"&gt;0")+1)</f>
        <v>0</v>
      </c>
      <c r="V394" t="str">
        <f t="shared" si="275"/>
        <v/>
      </c>
      <c r="W394" s="502" t="str">
        <f t="shared" si="276"/>
        <v/>
      </c>
      <c r="X394" s="502" t="str">
        <f t="shared" si="278"/>
        <v/>
      </c>
      <c r="Y394" t="str">
        <f t="shared" si="279"/>
        <v/>
      </c>
      <c r="AY394" s="138"/>
    </row>
    <row r="395" spans="1:51" ht="16.5" x14ac:dyDescent="0.3">
      <c r="A395" s="132">
        <f>IFERROR(IF(A394+1&lt;MAX(T041_ClassFeatures!$A$2:$A$2033),A394+1,""),"")</f>
        <v>392</v>
      </c>
      <c r="B395" s="131" t="str">
        <f>IFERROR(INDEX(T041_ClassFeatures!$B$2:$B$2033,MATCH('C03_ClassVariables'!A395,T041_ClassFeatures!$A$2:$A$2033,0),1),"")</f>
        <v>Eldritch Sight</v>
      </c>
      <c r="C395" s="131">
        <f>IF(B395="",0,IF(IFERROR(MATCH(B395,'C01_BaseCalculation'!$W$160:$W$239,0),0)&gt;0,1,0))</f>
        <v>0</v>
      </c>
      <c r="E395" s="138"/>
      <c r="G395" t="s">
        <v>6005</v>
      </c>
      <c r="I395">
        <f>SUM(N385:N393)</f>
        <v>12</v>
      </c>
      <c r="AY395" s="138"/>
    </row>
    <row r="396" spans="1:51" ht="16.5" x14ac:dyDescent="0.3">
      <c r="A396" s="132">
        <f>IFERROR(IF(A395+1&lt;MAX(T041_ClassFeatures!$A$2:$A$2033),A395+1,""),"")</f>
        <v>393</v>
      </c>
      <c r="B396" s="131" t="str">
        <f>IFERROR(INDEX(T041_ClassFeatures!$B$2:$B$2033,MATCH('C03_ClassVariables'!A396,T041_ClassFeatures!$A$2:$A$2033,0),1),"")</f>
        <v>Eldritch Spear</v>
      </c>
      <c r="C396" s="131">
        <f>IF(B396="",0,IF(IFERROR(MATCH(B396,'C01_BaseCalculation'!$W$160:$W$239,0),0)&gt;0,1,0))</f>
        <v>0</v>
      </c>
      <c r="E396" s="138"/>
      <c r="K396" t="s">
        <v>7470</v>
      </c>
      <c r="L396" t="s">
        <v>6515</v>
      </c>
      <c r="AY396" s="138"/>
    </row>
    <row r="397" spans="1:51" ht="16.5" x14ac:dyDescent="0.3">
      <c r="A397" s="132">
        <f>IFERROR(IF(A396+1&lt;MAX(T041_ClassFeatures!$A$2:$A$2033),A396+1,""),"")</f>
        <v>394</v>
      </c>
      <c r="B397" s="131" t="str">
        <f>IFERROR(INDEX(T041_ClassFeatures!$B$2:$B$2033,MATCH('C03_ClassVariables'!A397,T041_ClassFeatures!$A$2:$A$2033,0),1),"")</f>
        <v>Eyes of the Rune Keeper</v>
      </c>
      <c r="C397" s="131">
        <f>IF(B397="",0,IF(IFERROR(MATCH(B397,'C01_BaseCalculation'!$W$160:$W$239,0),0)&gt;0,1,0))</f>
        <v>0</v>
      </c>
      <c r="E397" s="138"/>
      <c r="G397" t="s">
        <v>6346</v>
      </c>
      <c r="K397">
        <v>1</v>
      </c>
      <c r="L397">
        <f>S10_Wizard!E68</f>
        <v>6</v>
      </c>
      <c r="N397" t="str">
        <f>IF(MagicInitiateFeat&gt;0,"Bard","")</f>
        <v/>
      </c>
      <c r="O397" t="str">
        <f>IF(RitualCasterFeat&gt;0,"Bard","")</f>
        <v/>
      </c>
      <c r="AY397" s="138"/>
    </row>
    <row r="398" spans="1:51" ht="16.5" x14ac:dyDescent="0.3">
      <c r="A398" s="132">
        <f>IFERROR(IF(A397+1&lt;MAX(T041_ClassFeatures!$A$2:$A$2033),A397+1,""),"")</f>
        <v>395</v>
      </c>
      <c r="B398" s="131" t="str">
        <f>IFERROR(INDEX(T041_ClassFeatures!$B$2:$B$2033,MATCH('C03_ClassVariables'!A398,T041_ClassFeatures!$A$2:$A$2033,0),1),"")</f>
        <v>Fiendish Vigor</v>
      </c>
      <c r="C398" s="131">
        <f>IF(B398="",0,IF(IFERROR(MATCH(B398,'C01_BaseCalculation'!$W$160:$W$239,0),0)&gt;0,1,0))</f>
        <v>0</v>
      </c>
      <c r="E398" s="138"/>
      <c r="K398">
        <v>2</v>
      </c>
      <c r="N398" t="str">
        <f>IF(MagicInitiateFeat&gt;0,"Cleric","")</f>
        <v/>
      </c>
      <c r="O398" t="str">
        <f>IF(RitualCasterFeat&gt;0,"Cleric","")</f>
        <v/>
      </c>
      <c r="AY398" s="138"/>
    </row>
    <row r="399" spans="1:51" ht="16.5" x14ac:dyDescent="0.3">
      <c r="A399" s="132">
        <f>IFERROR(IF(A398+1&lt;MAX(T041_ClassFeatures!$A$2:$A$2033),A398+1,""),"")</f>
        <v>396</v>
      </c>
      <c r="B399" s="131" t="str">
        <f>IFERROR(INDEX(T041_ClassFeatures!$B$2:$B$2033,MATCH('C03_ClassVariables'!A399,T041_ClassFeatures!$A$2:$A$2033,0),1),"")</f>
        <v>Gaze of Two Minds</v>
      </c>
      <c r="C399" s="131">
        <f>IF(B399="",0,IF(IFERROR(MATCH(B399,'C01_BaseCalculation'!$W$160:$W$239,0),0)&gt;0,1,0))</f>
        <v>0</v>
      </c>
      <c r="E399" s="138"/>
      <c r="G399" t="s">
        <v>6357</v>
      </c>
      <c r="H399" t="str">
        <f>IF(IF(V10="Oath of Vengeance","Vengeance",IF(V10="Oath of Ancients","Ancients",IF(V10="Oath of Devotion","Devotion",IF(V10="Oathbreaker","Oathbreaker",""))))="","none",IF(V10="Oath of Vengeance","Vengeance",IF(V10="Oath of Ancients","Ancients",IF(V10="Oath of Devotion","Devotion",IF(V10="Oathbreaker","Oathbreaker","")))))</f>
        <v>none</v>
      </c>
      <c r="K399">
        <v>3</v>
      </c>
      <c r="N399" t="str">
        <f>IF(MagicInitiateFeat&gt;0,"Druid","")</f>
        <v/>
      </c>
      <c r="O399" t="str">
        <f>IF(RitualCasterFeat&gt;0,"Druid","")</f>
        <v/>
      </c>
      <c r="AY399" s="138"/>
    </row>
    <row r="400" spans="1:51" ht="16.5" x14ac:dyDescent="0.3">
      <c r="A400" s="132">
        <f>IFERROR(IF(A399+1&lt;MAX(T041_ClassFeatures!$A$2:$A$2033),A399+1,""),"")</f>
        <v>397</v>
      </c>
      <c r="B400" s="131" t="str">
        <f>IFERROR(INDEX(T041_ClassFeatures!$B$2:$B$2033,MATCH('C03_ClassVariables'!A400,T041_ClassFeatures!$A$2:$A$2033,0),1),"")</f>
        <v>Lifedrinker</v>
      </c>
      <c r="C400" s="131">
        <f>IF(B400="",0,IF(IFERROR(MATCH(B400,'C01_BaseCalculation'!$W$160:$W$239,0),0)&gt;0,1,0))</f>
        <v>0</v>
      </c>
      <c r="E400" s="138"/>
      <c r="G400" t="s">
        <v>6358</v>
      </c>
      <c r="H400" s="549" t="str">
        <f>SUBSTITUTE(V6," Domain","")</f>
        <v>0</v>
      </c>
      <c r="K400">
        <v>4</v>
      </c>
      <c r="N400" t="str">
        <f>IF(MagicInitiateFeat&gt;0,"Sorcerer","")</f>
        <v/>
      </c>
      <c r="O400" t="str">
        <f>IF(RitualCasterFeat&gt;0,"Sorcerer","")</f>
        <v/>
      </c>
      <c r="AY400" s="138"/>
    </row>
    <row r="401" spans="1:51" ht="16.5" x14ac:dyDescent="0.3">
      <c r="A401" s="132">
        <f>IFERROR(IF(A400+1&lt;MAX(T041_ClassFeatures!$A$2:$A$2033),A400+1,""),"")</f>
        <v>398</v>
      </c>
      <c r="B401" s="131" t="str">
        <f>IFERROR(INDEX(T041_ClassFeatures!$B$2:$B$2033,MATCH('C03_ClassVariables'!A401,T041_ClassFeatures!$A$2:$A$2033,0),1),"")</f>
        <v>Mask of Many Faces</v>
      </c>
      <c r="C401" s="131">
        <f>IF(B401="",0,IF(IFERROR(MATCH(B401,'C01_BaseCalculation'!$W$160:$W$239,0),0)&gt;0,1,0))</f>
        <v>0</v>
      </c>
      <c r="E401" s="138"/>
      <c r="G401" t="s">
        <v>6387</v>
      </c>
      <c r="H401" s="549">
        <f>IF(BardLevel&lt;10,0,IF(BardLevel&lt;14,2,IF(BardLevel&lt;18,4,6)))+IF(BardLevel&gt;6,1,0)*IF(BardCollegeOfLore=1,1,0)*2</f>
        <v>0</v>
      </c>
      <c r="K401">
        <v>5</v>
      </c>
      <c r="N401" t="str">
        <f>IF(MagicInitiateFeat&gt;0,"Warlock","")</f>
        <v/>
      </c>
      <c r="O401" t="str">
        <f>IF(RitualCasterFeat&gt;0,"Warlock","")</f>
        <v/>
      </c>
      <c r="AY401" s="138"/>
    </row>
    <row r="402" spans="1:51" ht="16.5" x14ac:dyDescent="0.3">
      <c r="A402" s="132">
        <f>IFERROR(IF(A401+1&lt;MAX(T041_ClassFeatures!$A$2:$A$2033),A401+1,""),"")</f>
        <v>399</v>
      </c>
      <c r="B402" s="131" t="str">
        <f>IFERROR(INDEX(T041_ClassFeatures!$B$2:$B$2033,MATCH('C03_ClassVariables'!A402,T041_ClassFeatures!$A$2:$A$2033,0),1),"")</f>
        <v>Master of Myriad Forms</v>
      </c>
      <c r="C402" s="131">
        <f>IF(B402="",0,IF(IFERROR(MATCH(B402,'C01_BaseCalculation'!$W$160:$W$239,0),0)&gt;0,1,0))</f>
        <v>0</v>
      </c>
      <c r="E402" s="138"/>
      <c r="G402" t="s">
        <v>6411</v>
      </c>
      <c r="H402" t="str">
        <f>IF(V14="the Archfey","Archfey",IF(V14="the Archfiend","Archfiend",IF(V14="the Great Old One","Great Old One","")))</f>
        <v/>
      </c>
      <c r="K402">
        <v>6</v>
      </c>
      <c r="N402" t="str">
        <f>IF(MagicInitiateFeat&gt;0,"Wizard","")</f>
        <v/>
      </c>
      <c r="O402" t="str">
        <f>IF(RitualCasterFeat&gt;0,"Wizard","")</f>
        <v/>
      </c>
      <c r="AY402" s="138"/>
    </row>
    <row r="403" spans="1:51" ht="16.5" x14ac:dyDescent="0.3">
      <c r="A403" s="132">
        <f>IFERROR(IF(A402+1&lt;MAX(T041_ClassFeatures!$A$2:$A$2033),A402+1,""),"")</f>
        <v>400</v>
      </c>
      <c r="B403" s="131" t="str">
        <f>IFERROR(INDEX(T041_ClassFeatures!$B$2:$B$2033,MATCH('C03_ClassVariables'!A403,T041_ClassFeatures!$A$2:$A$2033,0),1),"")</f>
        <v>Minions of Chaos</v>
      </c>
      <c r="C403" s="131">
        <f>IF(B403="",0,IF(IFERROR(MATCH(B403,'C01_BaseCalculation'!$W$160:$W$239,0),0)&gt;0,1,0))</f>
        <v>0</v>
      </c>
      <c r="E403" s="138"/>
      <c r="G403" t="s">
        <v>6416</v>
      </c>
      <c r="H403">
        <f>COUNTIF(Character_Creation!D210:D241,"Magic Initiate")</f>
        <v>0</v>
      </c>
      <c r="K403">
        <v>7</v>
      </c>
      <c r="AY403" s="138"/>
    </row>
    <row r="404" spans="1:51" ht="16.5" x14ac:dyDescent="0.3">
      <c r="A404" s="132">
        <f>IFERROR(IF(A403+1&lt;MAX(T041_ClassFeatures!$A$2:$A$2033),A403+1,""),"")</f>
        <v>401</v>
      </c>
      <c r="B404" s="131" t="str">
        <f>IFERROR(INDEX(T041_ClassFeatures!$B$2:$B$2033,MATCH('C03_ClassVariables'!A404,T041_ClassFeatures!$A$2:$A$2033,0),1),"")</f>
        <v>Mire the Mind</v>
      </c>
      <c r="C404" s="131">
        <f>IF(B404="",0,IF(IFERROR(MATCH(B404,'C01_BaseCalculation'!$W$160:$W$239,0),0)&gt;0,1,0))</f>
        <v>0</v>
      </c>
      <c r="E404" s="138"/>
      <c r="G404" t="s">
        <v>6416</v>
      </c>
      <c r="H404">
        <f>COUNTIF(Character_Creation!D210:D241,"Ritual Caster")</f>
        <v>0</v>
      </c>
      <c r="K404">
        <v>8</v>
      </c>
      <c r="AY404" s="138"/>
    </row>
    <row r="405" spans="1:51" ht="16.5" x14ac:dyDescent="0.3">
      <c r="A405" s="132">
        <f>IFERROR(IF(A404+1&lt;MAX(T041_ClassFeatures!$A$2:$A$2033),A404+1,""),"")</f>
        <v>402</v>
      </c>
      <c r="B405" s="131" t="str">
        <f>IFERROR(INDEX(T041_ClassFeatures!$B$2:$B$2033,MATCH('C03_ClassVariables'!A405,T041_ClassFeatures!$A$2:$A$2033,0),1),"")</f>
        <v>Misty Visions</v>
      </c>
      <c r="C405" s="131">
        <f>IF(B405="",0,IF(IFERROR(MATCH(B405,'C01_BaseCalculation'!$W$160:$W$239,0),0)&gt;0,1,0))</f>
        <v>0</v>
      </c>
      <c r="E405" s="138"/>
      <c r="G405" t="s">
        <v>6476</v>
      </c>
      <c r="H405" s="562" t="str">
        <f>SUBSTITUTE(Character_Creation!S194," Domain","")</f>
        <v/>
      </c>
      <c r="K405">
        <v>9</v>
      </c>
      <c r="AY405" s="138"/>
    </row>
    <row r="406" spans="1:51" ht="16.5" x14ac:dyDescent="0.3">
      <c r="A406" s="132">
        <f>IFERROR(IF(A405+1&lt;MAX(T041_ClassFeatures!$A$2:$A$2033),A405+1,""),"")</f>
        <v>403</v>
      </c>
      <c r="B406" s="131" t="str">
        <f>IFERROR(INDEX(T041_ClassFeatures!$B$2:$B$2033,MATCH('C03_ClassVariables'!A406,T041_ClassFeatures!$A$2:$A$2033,0),1),"")</f>
        <v>One with Shadows</v>
      </c>
      <c r="C406" s="131">
        <f>IF(B406="",0,IF(IFERROR(MATCH(B406,'C01_BaseCalculation'!$W$160:$W$239,0),0)&gt;0,1,0))</f>
        <v>0</v>
      </c>
      <c r="E406" s="138"/>
      <c r="AY406" s="138"/>
    </row>
    <row r="407" spans="1:51" ht="16.5" x14ac:dyDescent="0.3">
      <c r="A407" s="132">
        <f>IFERROR(IF(A406+1&lt;MAX(T041_ClassFeatures!$A$2:$A$2033),A406+1,""),"")</f>
        <v>404</v>
      </c>
      <c r="B407" s="131" t="str">
        <f>IFERROR(INDEX(T041_ClassFeatures!$B$2:$B$2033,MATCH('C03_ClassVariables'!A407,T041_ClassFeatures!$A$2:$A$2033,0),1),"")</f>
        <v>Otherworldly Leap</v>
      </c>
      <c r="C407" s="131">
        <f>IF(B407="",0,IF(IFERROR(MATCH(B407,'C01_BaseCalculation'!$W$160:$W$239,0),0)&gt;0,1,0))</f>
        <v>0</v>
      </c>
      <c r="E407" s="138"/>
      <c r="G407" t="s">
        <v>4688</v>
      </c>
      <c r="H407" t="str">
        <f>IF(DruidLandx1="","none",DruidLandx1)</f>
        <v>none</v>
      </c>
      <c r="AY407" s="138"/>
    </row>
    <row r="408" spans="1:51" ht="16.5" x14ac:dyDescent="0.3">
      <c r="A408" s="132">
        <f>IFERROR(IF(A407+1&lt;MAX(T041_ClassFeatures!$A$2:$A$2033),A407+1,""),"")</f>
        <v>405</v>
      </c>
      <c r="B408" s="131" t="str">
        <f>IFERROR(INDEX(T041_ClassFeatures!$B$2:$B$2033,MATCH('C03_ClassVariables'!A408,T041_ClassFeatures!$A$2:$A$2033,0),1),"")</f>
        <v>Repelling Blast</v>
      </c>
      <c r="C408" s="131">
        <f>IF(B408="",0,IF(IFERROR(MATCH(B408,'C01_BaseCalculation'!$W$160:$W$239,0),0)&gt;0,1,0))</f>
        <v>0</v>
      </c>
      <c r="E408" s="138"/>
      <c r="G408" t="s">
        <v>4689</v>
      </c>
      <c r="H408" t="str">
        <f>IF(DruidLandx2="","none",DruidLandx2)</f>
        <v>none</v>
      </c>
      <c r="AY408" s="138"/>
    </row>
    <row r="409" spans="1:51" ht="16.5" x14ac:dyDescent="0.3">
      <c r="A409" s="132">
        <f>IFERROR(IF(A408+1&lt;MAX(T041_ClassFeatures!$A$2:$A$2033),A408+1,""),"")</f>
        <v>406</v>
      </c>
      <c r="B409" s="131" t="str">
        <f>IFERROR(INDEX(T041_ClassFeatures!$B$2:$B$2033,MATCH('C03_ClassVariables'!A409,T041_ClassFeatures!$A$2:$A$2033,0),1),"")</f>
        <v>Sculptor of Flesh</v>
      </c>
      <c r="C409" s="131">
        <f>IF(B409="",0,IF(IFERROR(MATCH(B409,'C01_BaseCalculation'!$W$160:$W$239,0),0)&gt;0,1,0))</f>
        <v>0</v>
      </c>
      <c r="E409" s="138"/>
      <c r="G409" t="s">
        <v>6478</v>
      </c>
      <c r="H409" t="str">
        <f>IF(DruidLandx3="","none",DruidLandx3)</f>
        <v>none</v>
      </c>
      <c r="AY409" s="138"/>
    </row>
    <row r="410" spans="1:51" ht="16.5" x14ac:dyDescent="0.3">
      <c r="A410" s="132">
        <f>IFERROR(IF(A409+1&lt;MAX(T041_ClassFeatures!$A$2:$A$2033),A409+1,""),"")</f>
        <v>407</v>
      </c>
      <c r="B410" s="131" t="str">
        <f>IFERROR(INDEX(T041_ClassFeatures!$B$2:$B$2033,MATCH('C03_ClassVariables'!A410,T041_ClassFeatures!$A$2:$A$2033,0),1),"")</f>
        <v>Sign of Ill Omen</v>
      </c>
      <c r="C410" s="131">
        <f>IF(B410="",0,IF(IFERROR(MATCH(B410,'C01_BaseCalculation'!$W$160:$W$239,0),0)&gt;0,1,0))</f>
        <v>0</v>
      </c>
      <c r="E410" s="138"/>
      <c r="G410" t="s">
        <v>6479</v>
      </c>
      <c r="H410" t="str">
        <f>IF(DruidLandx4="","none",DruidLandx4)</f>
        <v>none</v>
      </c>
      <c r="AY410" s="138"/>
    </row>
    <row r="411" spans="1:51" ht="16.5" x14ac:dyDescent="0.3">
      <c r="A411" s="132">
        <f>IFERROR(IF(A410+1&lt;MAX(T041_ClassFeatures!$A$2:$A$2033),A410+1,""),"")</f>
        <v>408</v>
      </c>
      <c r="B411" s="131" t="str">
        <f>IFERROR(INDEX(T041_ClassFeatures!$B$2:$B$2033,MATCH('C03_ClassVariables'!A411,T041_ClassFeatures!$A$2:$A$2033,0),1),"")</f>
        <v>Thief of Five Fates</v>
      </c>
      <c r="C411" s="131">
        <f>IF(B411="",0,IF(IFERROR(MATCH(B411,'C01_BaseCalculation'!$W$160:$W$239,0),0)&gt;0,1,0))</f>
        <v>0</v>
      </c>
      <c r="E411" s="138"/>
      <c r="AY411" s="138"/>
    </row>
    <row r="412" spans="1:51" ht="16.5" x14ac:dyDescent="0.3">
      <c r="A412" s="132">
        <f>IFERROR(IF(A411+1&lt;MAX(T041_ClassFeatures!$A$2:$A$2033),A411+1,""),"")</f>
        <v>409</v>
      </c>
      <c r="B412" s="131" t="str">
        <f>IFERROR(INDEX(T041_ClassFeatures!$B$2:$B$2033,MATCH('C03_ClassVariables'!A412,T041_ClassFeatures!$A$2:$A$2033,0),1),"")</f>
        <v>Thirsting Blade</v>
      </c>
      <c r="C412" s="131">
        <f>IF(B412="",0,IF(IFERROR(MATCH(B412,'C01_BaseCalculation'!$W$160:$W$239,0),0)&gt;0,1,0))</f>
        <v>0</v>
      </c>
      <c r="E412" s="138"/>
      <c r="G412" t="s">
        <v>6348</v>
      </c>
      <c r="AY412" s="138"/>
    </row>
    <row r="413" spans="1:51" ht="16.5" x14ac:dyDescent="0.3">
      <c r="A413" s="132">
        <f>IFERROR(IF(A412+1&lt;MAX(T041_ClassFeatures!$A$2:$A$2033),A412+1,""),"")</f>
        <v>410</v>
      </c>
      <c r="B413" s="131" t="str">
        <f>IFERROR(INDEX(T041_ClassFeatures!$B$2:$B$2033,MATCH('C03_ClassVariables'!A413,T041_ClassFeatures!$A$2:$A$2033,0),1),"")</f>
        <v>Visions of Distant Realms</v>
      </c>
      <c r="C413" s="131">
        <f>IF(B413="",0,IF(IFERROR(MATCH(B413,'C01_BaseCalculation'!$W$160:$W$239,0),0)&gt;0,1,0))</f>
        <v>0</v>
      </c>
      <c r="E413" s="138"/>
      <c r="G413" t="s">
        <v>6349</v>
      </c>
      <c r="AY413" s="138"/>
    </row>
    <row r="414" spans="1:51" ht="16.5" x14ac:dyDescent="0.3">
      <c r="A414" s="132">
        <f>IFERROR(IF(A413+1&lt;MAX(T041_ClassFeatures!$A$2:$A$2033),A413+1,""),"")</f>
        <v>411</v>
      </c>
      <c r="B414" s="131" t="str">
        <f>IFERROR(INDEX(T041_ClassFeatures!$B$2:$B$2033,MATCH('C03_ClassVariables'!A414,T041_ClassFeatures!$A$2:$A$2033,0),1),"")</f>
        <v>Voice of the Chain Master</v>
      </c>
      <c r="C414" s="131">
        <f>IF(B414="",0,IF(IFERROR(MATCH(B414,'C01_BaseCalculation'!$W$160:$W$239,0),0)&gt;0,1,0))</f>
        <v>0</v>
      </c>
      <c r="E414" s="138"/>
      <c r="G414" t="s">
        <v>6350</v>
      </c>
      <c r="AY414" s="138"/>
    </row>
    <row r="415" spans="1:51" ht="16.5" x14ac:dyDescent="0.3">
      <c r="A415" s="132">
        <f>IFERROR(IF(A414+1&lt;MAX(T041_ClassFeatures!$A$2:$A$2033),A414+1,""),"")</f>
        <v>412</v>
      </c>
      <c r="B415" s="131" t="str">
        <f>IFERROR(INDEX(T041_ClassFeatures!$B$2:$B$2033,MATCH('C03_ClassVariables'!A415,T041_ClassFeatures!$A$2:$A$2033,0),1),"")</f>
        <v>Whispers of the Grave</v>
      </c>
      <c r="C415" s="131">
        <f>IF(B415="",0,IF(IFERROR(MATCH(B415,'C01_BaseCalculation'!$W$160:$W$239,0),0)&gt;0,1,0))</f>
        <v>0</v>
      </c>
      <c r="E415" s="138"/>
      <c r="G415" t="s">
        <v>6354</v>
      </c>
      <c r="H415">
        <f>IF(L385&lt;3,0,IF(L385&lt;4,1,IF(L385&lt;9,2,IF(L385&lt;15,3,4))))</f>
        <v>3</v>
      </c>
      <c r="AY415" s="138"/>
    </row>
    <row r="416" spans="1:51" ht="16.5" x14ac:dyDescent="0.3">
      <c r="A416" s="132">
        <f>IFERROR(IF(A415+1&lt;MAX(T041_ClassFeatures!$A$2:$A$2033),A415+1,""),"")</f>
        <v>413</v>
      </c>
      <c r="B416" s="131" t="str">
        <f>IFERROR(INDEX(T041_ClassFeatures!$B$2:$B$2033,MATCH('C03_ClassVariables'!A416,T041_ClassFeatures!$A$2:$A$2033,0),1),"")</f>
        <v>Witch Sight</v>
      </c>
      <c r="C416" s="131">
        <f>IF(B416="",0,IF(IFERROR(MATCH(B416,'C01_BaseCalculation'!$W$160:$W$239,0),0)&gt;0,1,0))</f>
        <v>0</v>
      </c>
      <c r="E416" s="138"/>
      <c r="G416" t="s">
        <v>6355</v>
      </c>
      <c r="H416">
        <f>IF(L386&lt;3,0,IF(L386&lt;4,1,IF(L386&lt;9,2,IF(L386&lt;15,3,4))))</f>
        <v>0</v>
      </c>
      <c r="AY416" s="138"/>
    </row>
    <row r="417" spans="1:51" ht="16.5" x14ac:dyDescent="0.3">
      <c r="A417" s="132">
        <f>IFERROR(IF(A416+1&lt;MAX(T041_ClassFeatures!$A$2:$A$2033),A416+1,""),"")</f>
        <v>414</v>
      </c>
      <c r="B417" s="131" t="str">
        <f>IFERROR(INDEX(T041_ClassFeatures!$B$2:$B$2033,MATCH('C03_ClassVariables'!A417,T041_ClassFeatures!$A$2:$A$2033,0),1),"")</f>
        <v>Spellcasting (Wizard)</v>
      </c>
      <c r="C417" s="131">
        <f>IF(B417="",0,IF(IFERROR(MATCH(B417,'C01_BaseCalculation'!$W$160:$W$239,0),0)&gt;0,1,0))</f>
        <v>1</v>
      </c>
      <c r="E417" s="138"/>
      <c r="AY417" s="138"/>
    </row>
    <row r="418" spans="1:51" ht="16.5" x14ac:dyDescent="0.3">
      <c r="A418" s="132">
        <f>IFERROR(IF(A417+1&lt;MAX(T041_ClassFeatures!$A$2:$A$2033),A417+1,""),"")</f>
        <v>415</v>
      </c>
      <c r="B418" s="131" t="str">
        <f>IFERROR(INDEX(T041_ClassFeatures!$B$2:$B$2033,MATCH('C03_ClassVariables'!A418,T041_ClassFeatures!$A$2:$A$2033,0),1),"")</f>
        <v>Spellcasting (Sorcerer)</v>
      </c>
      <c r="C418" s="131">
        <f>IF(B418="",0,IF(IFERROR(MATCH(B418,'C01_BaseCalculation'!$W$160:$W$239,0),0)&gt;0,1,0))</f>
        <v>0</v>
      </c>
      <c r="E418" s="138"/>
      <c r="AY418" s="138"/>
    </row>
    <row r="419" spans="1:51" ht="16.5" x14ac:dyDescent="0.3">
      <c r="A419" s="132">
        <f>IFERROR(IF(A418+1&lt;MAX(T041_ClassFeatures!$A$2:$A$2033),A418+1,""),"")</f>
        <v>416</v>
      </c>
      <c r="B419" s="131" t="str">
        <f>IFERROR(INDEX(T041_ClassFeatures!$B$2:$B$2033,MATCH('C03_ClassVariables'!A419,T041_ClassFeatures!$A$2:$A$2033,0),1),"")</f>
        <v>Spellcasting (Cleric)</v>
      </c>
      <c r="C419" s="131">
        <f>IF(B419="",0,IF(IFERROR(MATCH(B419,'C01_BaseCalculation'!$W$160:$W$239,0),0)&gt;0,1,0))</f>
        <v>0</v>
      </c>
      <c r="E419" s="138"/>
      <c r="F419" s="138"/>
      <c r="G419" s="138"/>
      <c r="H419" s="138"/>
      <c r="I419" s="138"/>
      <c r="J419" s="138"/>
      <c r="K419" s="138"/>
      <c r="L419" s="138"/>
      <c r="M419" s="138"/>
      <c r="N419" s="138"/>
      <c r="O419" s="138"/>
      <c r="P419" s="138"/>
      <c r="Q419" s="138"/>
      <c r="R419" s="138"/>
      <c r="S419" s="138"/>
      <c r="T419" s="138"/>
      <c r="U419" s="138"/>
      <c r="V419" s="138"/>
      <c r="W419" s="138"/>
      <c r="X419" s="138"/>
      <c r="Y419" s="138"/>
      <c r="Z419" s="138"/>
      <c r="AA419" s="138"/>
      <c r="AB419" s="138"/>
      <c r="AC419" s="138"/>
      <c r="AD419" s="138"/>
      <c r="AE419" s="138"/>
      <c r="AF419" s="138"/>
      <c r="AG419" s="138"/>
      <c r="AH419" s="138"/>
      <c r="AI419" s="138"/>
      <c r="AJ419" s="138"/>
      <c r="AK419" s="138"/>
      <c r="AL419" s="138"/>
      <c r="AM419" s="138"/>
      <c r="AN419" s="138"/>
      <c r="AO419" s="138"/>
      <c r="AP419" s="138"/>
      <c r="AQ419" s="138"/>
      <c r="AR419" s="138"/>
      <c r="AS419" s="138"/>
      <c r="AT419" s="138"/>
      <c r="AU419" s="138"/>
      <c r="AV419" s="138"/>
      <c r="AW419" s="138"/>
      <c r="AX419" s="138"/>
      <c r="AY419" s="138"/>
    </row>
    <row r="420" spans="1:51" ht="16.5" x14ac:dyDescent="0.3">
      <c r="A420" s="132">
        <f>IFERROR(IF(A419+1&lt;MAX(T041_ClassFeatures!$A$2:$A$2033),A419+1,""),"")</f>
        <v>417</v>
      </c>
      <c r="B420" s="131" t="str">
        <f>IFERROR(INDEX(T041_ClassFeatures!$B$2:$B$2033,MATCH('C03_ClassVariables'!A420,T041_ClassFeatures!$A$2:$A$2033,0),1),"")</f>
        <v>Spellcasting (Druid)</v>
      </c>
      <c r="C420" s="131">
        <f>IF(B420="",0,IF(IFERROR(MATCH(B420,'C01_BaseCalculation'!$W$160:$W$239,0),0)&gt;0,1,0))</f>
        <v>0</v>
      </c>
      <c r="E420" s="138"/>
      <c r="F420" s="138"/>
      <c r="G420" s="138"/>
      <c r="H420" s="138"/>
      <c r="I420" s="138"/>
      <c r="J420" s="138"/>
      <c r="K420" s="138"/>
      <c r="L420" s="138"/>
      <c r="M420" s="138"/>
      <c r="N420" s="138"/>
      <c r="O420" s="138"/>
      <c r="P420" s="138"/>
      <c r="Q420" s="138"/>
      <c r="R420" s="138"/>
      <c r="S420" s="138"/>
      <c r="T420" s="138"/>
      <c r="U420" s="138"/>
      <c r="V420" s="138"/>
      <c r="W420" s="138"/>
      <c r="X420" s="138"/>
      <c r="Y420" s="138"/>
      <c r="Z420" s="138"/>
      <c r="AA420" s="138"/>
      <c r="AB420" s="138"/>
      <c r="AC420" s="138"/>
      <c r="AD420" s="138"/>
      <c r="AE420" s="138"/>
      <c r="AF420" s="138"/>
      <c r="AG420" s="138"/>
      <c r="AH420" s="138"/>
      <c r="AI420" s="138"/>
      <c r="AJ420" s="138"/>
      <c r="AK420" s="138"/>
      <c r="AL420" s="138"/>
      <c r="AM420" s="138"/>
      <c r="AN420" s="138"/>
      <c r="AO420" s="138"/>
      <c r="AP420" s="138"/>
      <c r="AQ420" s="138"/>
      <c r="AR420" s="138"/>
      <c r="AS420" s="138"/>
      <c r="AT420" s="138"/>
      <c r="AU420" s="138"/>
      <c r="AV420" s="138"/>
      <c r="AW420" s="138"/>
      <c r="AX420" s="138"/>
      <c r="AY420" s="138"/>
    </row>
    <row r="421" spans="1:51" ht="16.5" x14ac:dyDescent="0.3">
      <c r="A421" s="132">
        <f>IFERROR(IF(A420+1&lt;MAX(T041_ClassFeatures!$A$2:$A$2033),A420+1,""),"")</f>
        <v>418</v>
      </c>
      <c r="B421" s="131" t="str">
        <f>IFERROR(INDEX(T041_ClassFeatures!$B$2:$B$2033,MATCH('C03_ClassVariables'!A421,T041_ClassFeatures!$A$2:$A$2033,0),1),"")</f>
        <v>Spellcasting (Ranger)</v>
      </c>
      <c r="C421" s="131">
        <f>IF(B421="",0,IF(IFERROR(MATCH(B421,'C01_BaseCalculation'!$W$160:$W$239,0),0)&gt;0,1,0))</f>
        <v>0</v>
      </c>
    </row>
    <row r="422" spans="1:51" ht="16.5" x14ac:dyDescent="0.3">
      <c r="A422" s="132">
        <f>IFERROR(IF(A421+1&lt;MAX(T041_ClassFeatures!$A$2:$A$2033),A421+1,""),"")</f>
        <v>419</v>
      </c>
      <c r="B422" s="131" t="str">
        <f>IFERROR(INDEX(T041_ClassFeatures!$B$2:$B$2033,MATCH('C03_ClassVariables'!A422,T041_ClassFeatures!$A$2:$A$2033,0),1),"")</f>
        <v>Spellcasting (Paladin)</v>
      </c>
      <c r="C422" s="131">
        <f>IF(B422="",0,IF(IFERROR(MATCH(B422,'C01_BaseCalculation'!$W$160:$W$239,0),0)&gt;0,1,0))</f>
        <v>0</v>
      </c>
      <c r="E422" t="s">
        <v>6607</v>
      </c>
      <c r="H422" t="s">
        <v>6608</v>
      </c>
      <c r="J422" t="s">
        <v>6609</v>
      </c>
      <c r="M422" t="s">
        <v>6610</v>
      </c>
      <c r="O422" t="s">
        <v>6611</v>
      </c>
      <c r="R422" t="s">
        <v>6615</v>
      </c>
      <c r="T422" t="s">
        <v>6616</v>
      </c>
      <c r="W422" t="s">
        <v>6612</v>
      </c>
      <c r="Y422" t="s">
        <v>6613</v>
      </c>
      <c r="AB422" t="s">
        <v>6614</v>
      </c>
    </row>
    <row r="423" spans="1:51" ht="16.5" x14ac:dyDescent="0.3">
      <c r="A423" s="132">
        <f>IFERROR(IF(A422+1&lt;MAX(T041_ClassFeatures!$A$2:$A$2033),A422+1,""),"")</f>
        <v>420</v>
      </c>
      <c r="B423" s="131" t="str">
        <f>IFERROR(INDEX(T041_ClassFeatures!$B$2:$B$2033,MATCH('C03_ClassVariables'!A423,T041_ClassFeatures!$A$2:$A$2033,0),1),"")</f>
        <v>Unarmored Defense (wis)</v>
      </c>
      <c r="C423" s="131">
        <f>IF(B423="",0,IF(IFERROR(MATCH(B423,'C01_BaseCalculation'!$W$160:$W$239,0),0)&gt;0,1,0))</f>
        <v>0</v>
      </c>
      <c r="E423" t="str">
        <f>Mainhand1</f>
        <v>Glaive</v>
      </c>
      <c r="F423" t="str">
        <f>IFERROR(INDEX(T10_Weapon!$U$2:$U$39,MATCH(E423,T10_Weapon!$A$2:$A$39,0),1),"")</f>
        <v>YES</v>
      </c>
      <c r="G423" t="str">
        <f>Offhand1</f>
        <v/>
      </c>
      <c r="J423" t="str">
        <f>Mainhand2</f>
        <v>Trident</v>
      </c>
      <c r="K423">
        <f>IFERROR(INDEX(T10_Weapon!$U$2:$U$39,MATCH(J423,T10_Weapon!$A$2:$A$39,0),1),"")</f>
        <v>0</v>
      </c>
      <c r="L423" t="str">
        <f>Offhand1</f>
        <v/>
      </c>
      <c r="O423">
        <f>Mainhand3</f>
        <v>0</v>
      </c>
      <c r="P423" t="str">
        <f>IFERROR(INDEX(T10_Weapon!$U$2:$U$39,MATCH(O423,T10_Weapon!$A$2:$A$39,0),1),"")</f>
        <v/>
      </c>
      <c r="Q423" t="str">
        <f>Offhand1</f>
        <v/>
      </c>
      <c r="T423">
        <f>Mainhand4</f>
        <v>0</v>
      </c>
      <c r="U423" t="str">
        <f>IFERROR(INDEX(T10_Weapon!$U$2:$U$39,MATCH(T423,T10_Weapon!$A$2:$A$39,0),1),"")</f>
        <v/>
      </c>
      <c r="V423" t="str">
        <f>Offhand1</f>
        <v/>
      </c>
      <c r="Y423">
        <f>Mainhand5</f>
        <v>0</v>
      </c>
      <c r="Z423" t="str">
        <f>IFERROR(INDEX(T10_Weapon!$U$2:$U$39,MATCH(Y423,T10_Weapon!$A$2:$A$39,0),1),"")</f>
        <v/>
      </c>
      <c r="AA423" t="str">
        <f>Offhand1</f>
        <v/>
      </c>
    </row>
    <row r="424" spans="1:51" ht="16.5" x14ac:dyDescent="0.3">
      <c r="A424" s="132">
        <f>IFERROR(IF(A423+1&lt;MAX(T041_ClassFeatures!$A$2:$A$2033),A423+1,""),"")</f>
        <v>421</v>
      </c>
      <c r="B424" s="131" t="str">
        <f>IFERROR(INDEX(T041_ClassFeatures!$B$2:$B$2033,MATCH('C03_ClassVariables'!A424,T041_ClassFeatures!$A$2:$A$2033,0),1),"")</f>
        <v>Fighting style (paladin)</v>
      </c>
      <c r="C424" s="131">
        <f>IF(B424="",0,IF(IFERROR(MATCH(B424,'C01_BaseCalculation'!$W$160:$W$239,0),0)&gt;0,1,0))</f>
        <v>0</v>
      </c>
      <c r="E424" s="4" t="s">
        <v>35</v>
      </c>
      <c r="G424" s="4" t="s">
        <v>35</v>
      </c>
      <c r="H424" t="str">
        <f>IF(F$423="yes","",G424)</f>
        <v/>
      </c>
      <c r="J424" s="4" t="s">
        <v>35</v>
      </c>
      <c r="L424" s="4" t="s">
        <v>35</v>
      </c>
      <c r="M424" t="str">
        <f>IF(K$423="yes","",L424)</f>
        <v>Battleaxe</v>
      </c>
      <c r="O424" s="4" t="s">
        <v>35</v>
      </c>
      <c r="Q424" s="4" t="s">
        <v>35</v>
      </c>
      <c r="R424" t="str">
        <f>IF(P$423="yes","",Q424)</f>
        <v>Battleaxe</v>
      </c>
      <c r="T424" s="4" t="s">
        <v>35</v>
      </c>
      <c r="V424" s="4" t="s">
        <v>35</v>
      </c>
      <c r="W424" t="str">
        <f>IF(U$423="yes","",V424)</f>
        <v>Battleaxe</v>
      </c>
      <c r="Y424" s="4" t="s">
        <v>35</v>
      </c>
      <c r="AA424" s="4" t="s">
        <v>35</v>
      </c>
      <c r="AB424" t="str">
        <f>IF(Z$423="yes","",AA424)</f>
        <v>Battleaxe</v>
      </c>
      <c r="AE424" t="s">
        <v>6607</v>
      </c>
    </row>
    <row r="425" spans="1:51" ht="16.5" x14ac:dyDescent="0.3">
      <c r="A425" s="132">
        <f>IFERROR(IF(A424+1&lt;MAX(T041_ClassFeatures!$A$2:$A$2033),A424+1,""),"")</f>
        <v>422</v>
      </c>
      <c r="B425" s="131" t="str">
        <f>IFERROR(INDEX(T041_ClassFeatures!$B$2:$B$2033,MATCH('C03_ClassVariables'!A425,T041_ClassFeatures!$A$2:$A$2033,0),1),"")</f>
        <v>Fighting style (Ranger)</v>
      </c>
      <c r="C425" s="131">
        <f>IF(B425="",0,IF(IFERROR(MATCH(B425,'C01_BaseCalculation'!$W$160:$W$239,0),0)&gt;0,1,0))</f>
        <v>0</v>
      </c>
      <c r="E425" s="4" t="s">
        <v>116</v>
      </c>
      <c r="G425" s="4" t="s">
        <v>116</v>
      </c>
      <c r="H425" t="str">
        <f t="shared" ref="H425:H462" si="280">IF(F$423="yes","",G425)</f>
        <v/>
      </c>
      <c r="J425" s="4" t="s">
        <v>116</v>
      </c>
      <c r="L425" s="4" t="s">
        <v>116</v>
      </c>
      <c r="M425" t="str">
        <f t="shared" ref="M425:M462" si="281">IF(K$423="yes","",L425)</f>
        <v>Blowgun</v>
      </c>
      <c r="O425" s="4" t="s">
        <v>116</v>
      </c>
      <c r="Q425" s="4" t="s">
        <v>116</v>
      </c>
      <c r="R425" t="str">
        <f t="shared" ref="R425:R462" si="282">IF(P$423="yes","",Q425)</f>
        <v>Blowgun</v>
      </c>
      <c r="T425" s="4" t="s">
        <v>116</v>
      </c>
      <c r="V425" s="4" t="s">
        <v>116</v>
      </c>
      <c r="W425" t="str">
        <f t="shared" ref="W425:W462" si="283">IF(U$423="yes","",V425)</f>
        <v>Blowgun</v>
      </c>
      <c r="Y425" s="4" t="s">
        <v>116</v>
      </c>
      <c r="AA425" s="4" t="s">
        <v>116</v>
      </c>
      <c r="AB425" t="str">
        <f t="shared" ref="AB425:AB462" si="284">IF(Z$423="yes","",AA425)</f>
        <v>Blowgun</v>
      </c>
      <c r="AE425" t="s">
        <v>6608</v>
      </c>
    </row>
    <row r="426" spans="1:51" ht="16.5" x14ac:dyDescent="0.3">
      <c r="A426" s="132">
        <f>IFERROR(IF(A425+1&lt;MAX(T041_ClassFeatures!$A$2:$A$2033),A425+1,""),"")</f>
        <v>423</v>
      </c>
      <c r="B426" s="131" t="str">
        <f>IFERROR(INDEX(T041_ClassFeatures!$B$2:$B$2033,MATCH('C03_ClassVariables'!A426,T041_ClassFeatures!$A$2:$A$2033,0),1),"")</f>
        <v>Bonus Proficiency: Death Domain</v>
      </c>
      <c r="C426" s="131">
        <f>IF(B426="",0,IF(IFERROR(MATCH(B426,'C01_BaseCalculation'!$W$160:$W$239,0),0)&gt;0,1,0))</f>
        <v>0</v>
      </c>
      <c r="E426" s="4" t="s">
        <v>119</v>
      </c>
      <c r="G426" s="4" t="s">
        <v>119</v>
      </c>
      <c r="H426" t="str">
        <f t="shared" si="280"/>
        <v/>
      </c>
      <c r="J426" s="4" t="s">
        <v>119</v>
      </c>
      <c r="L426" s="4" t="s">
        <v>119</v>
      </c>
      <c r="M426" t="str">
        <f t="shared" si="281"/>
        <v>Club</v>
      </c>
      <c r="O426" s="4" t="s">
        <v>119</v>
      </c>
      <c r="Q426" s="4" t="s">
        <v>119</v>
      </c>
      <c r="R426" t="str">
        <f t="shared" si="282"/>
        <v>Club</v>
      </c>
      <c r="T426" s="4" t="s">
        <v>119</v>
      </c>
      <c r="V426" s="4" t="s">
        <v>119</v>
      </c>
      <c r="W426" t="str">
        <f t="shared" si="283"/>
        <v>Club</v>
      </c>
      <c r="Y426" s="4" t="s">
        <v>119</v>
      </c>
      <c r="AA426" s="4" t="s">
        <v>119</v>
      </c>
      <c r="AB426" t="str">
        <f t="shared" si="284"/>
        <v>Club</v>
      </c>
    </row>
    <row r="427" spans="1:51" ht="16.5" x14ac:dyDescent="0.3">
      <c r="A427" s="132">
        <f>IFERROR(IF(A426+1&lt;MAX(T041_ClassFeatures!$A$2:$A$2033),A426+1,""),"")</f>
        <v>424</v>
      </c>
      <c r="B427" s="131" t="str">
        <f>IFERROR(INDEX(T041_ClassFeatures!$B$2:$B$2033,MATCH('C03_ClassVariables'!A427,T041_ClassFeatures!$A$2:$A$2033,0),1),"")</f>
        <v>Reaper</v>
      </c>
      <c r="C427" s="131">
        <f>IF(B427="",0,IF(IFERROR(MATCH(B427,'C01_BaseCalculation'!$W$160:$W$239,0),0)&gt;0,1,0))</f>
        <v>0</v>
      </c>
      <c r="E427" s="4" t="s">
        <v>123</v>
      </c>
      <c r="G427" s="4" t="s">
        <v>123</v>
      </c>
      <c r="H427" t="str">
        <f t="shared" si="280"/>
        <v/>
      </c>
      <c r="J427" s="4" t="s">
        <v>123</v>
      </c>
      <c r="L427" s="4" t="s">
        <v>123</v>
      </c>
      <c r="M427" t="str">
        <f t="shared" si="281"/>
        <v>Dagger</v>
      </c>
      <c r="O427" s="4" t="s">
        <v>123</v>
      </c>
      <c r="Q427" s="4" t="s">
        <v>123</v>
      </c>
      <c r="R427" t="str">
        <f t="shared" si="282"/>
        <v>Dagger</v>
      </c>
      <c r="T427" s="4" t="s">
        <v>123</v>
      </c>
      <c r="V427" s="4" t="s">
        <v>123</v>
      </c>
      <c r="W427" t="str">
        <f t="shared" si="283"/>
        <v>Dagger</v>
      </c>
      <c r="Y427" s="4" t="s">
        <v>123</v>
      </c>
      <c r="AA427" s="4" t="s">
        <v>123</v>
      </c>
      <c r="AB427" t="str">
        <f t="shared" si="284"/>
        <v>Dagger</v>
      </c>
      <c r="AE427" t="s">
        <v>6609</v>
      </c>
    </row>
    <row r="428" spans="1:51" ht="16.5" x14ac:dyDescent="0.3">
      <c r="A428" s="132">
        <f>IFERROR(IF(A427+1&lt;MAX(T041_ClassFeatures!$A$2:$A$2033),A427+1,""),"")</f>
        <v>425</v>
      </c>
      <c r="B428" s="131" t="str">
        <f>IFERROR(INDEX(T041_ClassFeatures!$B$2:$B$2033,MATCH('C03_ClassVariables'!A428,T041_ClassFeatures!$A$2:$A$2033,0),1),"")</f>
        <v>Channel Divinity: Touch of Death</v>
      </c>
      <c r="C428" s="131">
        <f>IF(B428="",0,IF(IFERROR(MATCH(B428,'C01_BaseCalculation'!$W$160:$W$239,0),0)&gt;0,1,0))</f>
        <v>0</v>
      </c>
      <c r="E428" s="4" t="s">
        <v>124</v>
      </c>
      <c r="G428" s="4" t="s">
        <v>124</v>
      </c>
      <c r="H428" t="str">
        <f t="shared" si="280"/>
        <v/>
      </c>
      <c r="J428" s="4" t="s">
        <v>124</v>
      </c>
      <c r="L428" s="4" t="s">
        <v>124</v>
      </c>
      <c r="M428" t="str">
        <f t="shared" si="281"/>
        <v>Dart</v>
      </c>
      <c r="O428" s="4" t="s">
        <v>124</v>
      </c>
      <c r="Q428" s="4" t="s">
        <v>124</v>
      </c>
      <c r="R428" t="str">
        <f t="shared" si="282"/>
        <v>Dart</v>
      </c>
      <c r="T428" s="4" t="s">
        <v>124</v>
      </c>
      <c r="V428" s="4" t="s">
        <v>124</v>
      </c>
      <c r="W428" t="str">
        <f t="shared" si="283"/>
        <v>Dart</v>
      </c>
      <c r="Y428" s="4" t="s">
        <v>124</v>
      </c>
      <c r="AA428" s="4" t="s">
        <v>124</v>
      </c>
      <c r="AB428" t="str">
        <f t="shared" si="284"/>
        <v>Dart</v>
      </c>
      <c r="AE428" t="s">
        <v>6610</v>
      </c>
    </row>
    <row r="429" spans="1:51" ht="16.5" x14ac:dyDescent="0.3">
      <c r="A429" s="132">
        <f>IFERROR(IF(A428+1&lt;MAX(T041_ClassFeatures!$A$2:$A$2033),A428+1,""),"")</f>
        <v>426</v>
      </c>
      <c r="B429" s="131" t="str">
        <f>IFERROR(INDEX(T041_ClassFeatures!$B$2:$B$2033,MATCH('C03_ClassVariables'!A429,T041_ClassFeatures!$A$2:$A$2033,0),1),"")</f>
        <v>Inescapable Destruction</v>
      </c>
      <c r="C429" s="131">
        <f>IF(B429="",0,IF(IFERROR(MATCH(B429,'C01_BaseCalculation'!$W$160:$W$239,0),0)&gt;0,1,0))</f>
        <v>0</v>
      </c>
      <c r="E429" s="4" t="s">
        <v>125</v>
      </c>
      <c r="G429" s="4" t="s">
        <v>125</v>
      </c>
      <c r="H429" t="str">
        <f t="shared" si="280"/>
        <v/>
      </c>
      <c r="J429" s="4" t="s">
        <v>125</v>
      </c>
      <c r="L429" s="4" t="s">
        <v>125</v>
      </c>
      <c r="M429" t="str">
        <f t="shared" si="281"/>
        <v>Flail</v>
      </c>
      <c r="O429" s="4" t="s">
        <v>125</v>
      </c>
      <c r="Q429" s="4" t="s">
        <v>125</v>
      </c>
      <c r="R429" t="str">
        <f t="shared" si="282"/>
        <v>Flail</v>
      </c>
      <c r="T429" s="4" t="s">
        <v>125</v>
      </c>
      <c r="V429" s="4" t="s">
        <v>125</v>
      </c>
      <c r="W429" t="str">
        <f t="shared" si="283"/>
        <v>Flail</v>
      </c>
      <c r="Y429" s="4" t="s">
        <v>125</v>
      </c>
      <c r="AA429" s="4" t="s">
        <v>125</v>
      </c>
      <c r="AB429" t="str">
        <f t="shared" si="284"/>
        <v>Flail</v>
      </c>
    </row>
    <row r="430" spans="1:51" ht="16.5" x14ac:dyDescent="0.3">
      <c r="A430" s="132">
        <f>IFERROR(IF(A429+1&lt;MAX(T041_ClassFeatures!$A$2:$A$2033),A429+1,""),"")</f>
        <v>427</v>
      </c>
      <c r="B430" s="131" t="str">
        <f>IFERROR(INDEX(T041_ClassFeatures!$B$2:$B$2033,MATCH('C03_ClassVariables'!A430,T041_ClassFeatures!$A$2:$A$2033,0),1),"")</f>
        <v>Divine Strike (necrotic)</v>
      </c>
      <c r="C430" s="131">
        <f>IF(B430="",0,IF(IFERROR(MATCH(B430,'C01_BaseCalculation'!$W$160:$W$239,0),0)&gt;0,1,0))</f>
        <v>0</v>
      </c>
      <c r="E430" s="4" t="s">
        <v>127</v>
      </c>
      <c r="G430" s="4" t="s">
        <v>127</v>
      </c>
      <c r="H430" t="str">
        <f t="shared" si="280"/>
        <v/>
      </c>
      <c r="J430" s="4" t="s">
        <v>127</v>
      </c>
      <c r="L430" s="4" t="s">
        <v>127</v>
      </c>
      <c r="M430" t="str">
        <f t="shared" si="281"/>
        <v>Glaive</v>
      </c>
      <c r="O430" s="4" t="s">
        <v>127</v>
      </c>
      <c r="Q430" s="4" t="s">
        <v>127</v>
      </c>
      <c r="R430" t="str">
        <f t="shared" si="282"/>
        <v>Glaive</v>
      </c>
      <c r="T430" s="4" t="s">
        <v>127</v>
      </c>
      <c r="V430" s="4" t="s">
        <v>127</v>
      </c>
      <c r="W430" t="str">
        <f t="shared" si="283"/>
        <v>Glaive</v>
      </c>
      <c r="Y430" s="4" t="s">
        <v>127</v>
      </c>
      <c r="AA430" s="4" t="s">
        <v>127</v>
      </c>
      <c r="AB430" t="str">
        <f t="shared" si="284"/>
        <v>Glaive</v>
      </c>
      <c r="AE430" t="s">
        <v>6611</v>
      </c>
    </row>
    <row r="431" spans="1:51" ht="16.5" x14ac:dyDescent="0.3">
      <c r="A431" s="132">
        <f>IFERROR(IF(A430+1&lt;MAX(T041_ClassFeatures!$A$2:$A$2033),A430+1,""),"")</f>
        <v>428</v>
      </c>
      <c r="B431" s="131" t="str">
        <f>IFERROR(INDEX(T041_ClassFeatures!$B$2:$B$2033,MATCH('C03_ClassVariables'!A431,T041_ClassFeatures!$A$2:$A$2033,0),1),"")</f>
        <v>Improved Reaper</v>
      </c>
      <c r="C431" s="131">
        <f>IF(B431="",0,IF(IFERROR(MATCH(B431,'C01_BaseCalculation'!$W$160:$W$239,0),0)&gt;0,1,0))</f>
        <v>0</v>
      </c>
      <c r="E431" s="4" t="s">
        <v>129</v>
      </c>
      <c r="G431" s="4" t="s">
        <v>129</v>
      </c>
      <c r="H431" t="str">
        <f t="shared" si="280"/>
        <v/>
      </c>
      <c r="J431" s="4" t="s">
        <v>129</v>
      </c>
      <c r="L431" s="4" t="s">
        <v>129</v>
      </c>
      <c r="M431" t="str">
        <f t="shared" si="281"/>
        <v>Great Club</v>
      </c>
      <c r="O431" s="4" t="s">
        <v>129</v>
      </c>
      <c r="Q431" s="4" t="s">
        <v>129</v>
      </c>
      <c r="R431" t="str">
        <f t="shared" si="282"/>
        <v>Great Club</v>
      </c>
      <c r="T431" s="4" t="s">
        <v>129</v>
      </c>
      <c r="V431" s="4" t="s">
        <v>129</v>
      </c>
      <c r="W431" t="str">
        <f t="shared" si="283"/>
        <v>Great Club</v>
      </c>
      <c r="Y431" s="4" t="s">
        <v>129</v>
      </c>
      <c r="AA431" s="4" t="s">
        <v>129</v>
      </c>
      <c r="AB431" t="str">
        <f t="shared" si="284"/>
        <v>Great Club</v>
      </c>
      <c r="AE431" t="s">
        <v>6615</v>
      </c>
    </row>
    <row r="432" spans="1:51" ht="16.5" x14ac:dyDescent="0.3">
      <c r="A432" s="132">
        <f>IFERROR(IF(A431+1&lt;MAX(T041_ClassFeatures!$A$2:$A$2033),A431+1,""),"")</f>
        <v>429</v>
      </c>
      <c r="B432" s="131" t="str">
        <f>IFERROR(INDEX(T041_ClassFeatures!$B$2:$B$2033,MATCH('C03_ClassVariables'!A432,T041_ClassFeatures!$A$2:$A$2033,0),1),"")</f>
        <v>Channel Divinity: Control Undead</v>
      </c>
      <c r="C432" s="131">
        <f>IF(B432="",0,IF(IFERROR(MATCH(B432,'C01_BaseCalculation'!$W$160:$W$239,0),0)&gt;0,1,0))</f>
        <v>0</v>
      </c>
      <c r="E432" s="4" t="s">
        <v>130</v>
      </c>
      <c r="G432" s="4" t="s">
        <v>130</v>
      </c>
      <c r="H432" t="str">
        <f t="shared" si="280"/>
        <v/>
      </c>
      <c r="J432" s="4" t="s">
        <v>130</v>
      </c>
      <c r="L432" s="4" t="s">
        <v>130</v>
      </c>
      <c r="M432" t="str">
        <f t="shared" si="281"/>
        <v>Greataxe</v>
      </c>
      <c r="O432" s="4" t="s">
        <v>130</v>
      </c>
      <c r="Q432" s="4" t="s">
        <v>130</v>
      </c>
      <c r="R432" t="str">
        <f t="shared" si="282"/>
        <v>Greataxe</v>
      </c>
      <c r="T432" s="4" t="s">
        <v>130</v>
      </c>
      <c r="V432" s="4" t="s">
        <v>130</v>
      </c>
      <c r="W432" t="str">
        <f t="shared" si="283"/>
        <v>Greataxe</v>
      </c>
      <c r="Y432" s="4" t="s">
        <v>130</v>
      </c>
      <c r="AA432" s="4" t="s">
        <v>130</v>
      </c>
      <c r="AB432" t="str">
        <f t="shared" si="284"/>
        <v>Greataxe</v>
      </c>
    </row>
    <row r="433" spans="1:31" ht="16.5" x14ac:dyDescent="0.3">
      <c r="A433" s="132">
        <f>IFERROR(IF(A432+1&lt;MAX(T041_ClassFeatures!$A$2:$A$2033),A432+1,""),"")</f>
        <v>430</v>
      </c>
      <c r="B433" s="131" t="str">
        <f>IFERROR(INDEX(T041_ClassFeatures!$B$2:$B$2033,MATCH('C03_ClassVariables'!A433,T041_ClassFeatures!$A$2:$A$2033,0),1),"")</f>
        <v>Channel Divinity: Dreadful Aspect</v>
      </c>
      <c r="C433" s="131">
        <f>IF(B433="",0,IF(IFERROR(MATCH(B433,'C01_BaseCalculation'!$W$160:$W$239,0),0)&gt;0,1,0))</f>
        <v>0</v>
      </c>
      <c r="E433" s="4" t="s">
        <v>132</v>
      </c>
      <c r="G433" s="4" t="s">
        <v>132</v>
      </c>
      <c r="H433" t="str">
        <f t="shared" si="280"/>
        <v/>
      </c>
      <c r="J433" s="4" t="s">
        <v>132</v>
      </c>
      <c r="L433" s="4" t="s">
        <v>132</v>
      </c>
      <c r="M433" t="str">
        <f t="shared" si="281"/>
        <v>Greatsword</v>
      </c>
      <c r="O433" s="4" t="s">
        <v>132</v>
      </c>
      <c r="Q433" s="4" t="s">
        <v>132</v>
      </c>
      <c r="R433" t="str">
        <f t="shared" si="282"/>
        <v>Greatsword</v>
      </c>
      <c r="T433" s="4" t="s">
        <v>132</v>
      </c>
      <c r="V433" s="4" t="s">
        <v>132</v>
      </c>
      <c r="W433" t="str">
        <f t="shared" si="283"/>
        <v>Greatsword</v>
      </c>
      <c r="Y433" s="4" t="s">
        <v>132</v>
      </c>
      <c r="AA433" s="4" t="s">
        <v>132</v>
      </c>
      <c r="AB433" t="str">
        <f t="shared" si="284"/>
        <v>Greatsword</v>
      </c>
      <c r="AE433" t="s">
        <v>6616</v>
      </c>
    </row>
    <row r="434" spans="1:31" ht="16.5" x14ac:dyDescent="0.3">
      <c r="A434" s="132">
        <f>IFERROR(IF(A433+1&lt;MAX(T041_ClassFeatures!$A$2:$A$2033),A433+1,""),"")</f>
        <v>431</v>
      </c>
      <c r="B434" s="131" t="str">
        <f>IFERROR(INDEX(T041_ClassFeatures!$B$2:$B$2033,MATCH('C03_ClassVariables'!A434,T041_ClassFeatures!$A$2:$A$2033,0),1),"")</f>
        <v>Aura of Hate</v>
      </c>
      <c r="C434" s="131">
        <f>IF(B434="",0,IF(IFERROR(MATCH(B434,'C01_BaseCalculation'!$W$160:$W$239,0),0)&gt;0,1,0))</f>
        <v>0</v>
      </c>
      <c r="E434" s="4" t="s">
        <v>134</v>
      </c>
      <c r="G434" s="4" t="s">
        <v>134</v>
      </c>
      <c r="H434" t="str">
        <f t="shared" si="280"/>
        <v/>
      </c>
      <c r="J434" s="4" t="s">
        <v>134</v>
      </c>
      <c r="L434" s="4" t="s">
        <v>134</v>
      </c>
      <c r="M434" t="str">
        <f t="shared" si="281"/>
        <v>Halberd</v>
      </c>
      <c r="O434" s="4" t="s">
        <v>134</v>
      </c>
      <c r="Q434" s="4" t="s">
        <v>134</v>
      </c>
      <c r="R434" t="str">
        <f t="shared" si="282"/>
        <v>Halberd</v>
      </c>
      <c r="T434" s="4" t="s">
        <v>134</v>
      </c>
      <c r="V434" s="4" t="s">
        <v>134</v>
      </c>
      <c r="W434" t="str">
        <f t="shared" si="283"/>
        <v>Halberd</v>
      </c>
      <c r="Y434" s="4" t="s">
        <v>134</v>
      </c>
      <c r="AA434" s="4" t="s">
        <v>134</v>
      </c>
      <c r="AB434" t="str">
        <f t="shared" si="284"/>
        <v>Halberd</v>
      </c>
      <c r="AE434" t="s">
        <v>6612</v>
      </c>
    </row>
    <row r="435" spans="1:31" ht="16.5" x14ac:dyDescent="0.3">
      <c r="A435" s="132">
        <f>IFERROR(IF(A434+1&lt;MAX(T041_ClassFeatures!$A$2:$A$2033),A434+1,""),"")</f>
        <v>432</v>
      </c>
      <c r="B435" s="131" t="str">
        <f>IFERROR(INDEX(T041_ClassFeatures!$B$2:$B$2033,MATCH('C03_ClassVariables'!A435,T041_ClassFeatures!$A$2:$A$2033,0),1),"")</f>
        <v>Supernatural Resistance</v>
      </c>
      <c r="C435" s="131">
        <f>IF(B435="",0,IF(IFERROR(MATCH(B435,'C01_BaseCalculation'!$W$160:$W$239,0),0)&gt;0,1,0))</f>
        <v>0</v>
      </c>
      <c r="E435" s="4" t="s">
        <v>135</v>
      </c>
      <c r="G435" s="4" t="s">
        <v>135</v>
      </c>
      <c r="H435" t="str">
        <f t="shared" si="280"/>
        <v/>
      </c>
      <c r="J435" s="4" t="s">
        <v>135</v>
      </c>
      <c r="L435" s="4" t="s">
        <v>135</v>
      </c>
      <c r="M435" t="str">
        <f t="shared" si="281"/>
        <v>Hand Crossbow</v>
      </c>
      <c r="O435" s="4" t="s">
        <v>135</v>
      </c>
      <c r="Q435" s="4" t="s">
        <v>135</v>
      </c>
      <c r="R435" t="str">
        <f t="shared" si="282"/>
        <v>Hand Crossbow</v>
      </c>
      <c r="T435" s="4" t="s">
        <v>135</v>
      </c>
      <c r="V435" s="4" t="s">
        <v>135</v>
      </c>
      <c r="W435" t="str">
        <f t="shared" si="283"/>
        <v>Hand Crossbow</v>
      </c>
      <c r="Y435" s="4" t="s">
        <v>135</v>
      </c>
      <c r="AA435" s="4" t="s">
        <v>135</v>
      </c>
      <c r="AB435" t="str">
        <f t="shared" si="284"/>
        <v>Hand Crossbow</v>
      </c>
    </row>
    <row r="436" spans="1:31" ht="16.5" x14ac:dyDescent="0.3">
      <c r="A436" s="132">
        <f>IFERROR(IF(A435+1&lt;MAX(T041_ClassFeatures!$A$2:$A$2033),A435+1,""),"")</f>
        <v>433</v>
      </c>
      <c r="B436" s="131" t="str">
        <f>IFERROR(INDEX(T041_ClassFeatures!$B$2:$B$2033,MATCH('C03_ClassVariables'!A436,T041_ClassFeatures!$A$2:$A$2033,0),1),"")</f>
        <v>Dread Lord</v>
      </c>
      <c r="C436" s="131">
        <f>IF(B436="",0,IF(IFERROR(MATCH(B436,'C01_BaseCalculation'!$W$160:$W$239,0),0)&gt;0,1,0))</f>
        <v>0</v>
      </c>
      <c r="E436" s="4" t="s">
        <v>36</v>
      </c>
      <c r="G436" s="4" t="s">
        <v>36</v>
      </c>
      <c r="H436" t="str">
        <f t="shared" si="280"/>
        <v/>
      </c>
      <c r="J436" s="4" t="s">
        <v>36</v>
      </c>
      <c r="L436" s="4" t="s">
        <v>36</v>
      </c>
      <c r="M436" t="str">
        <f t="shared" si="281"/>
        <v>Handaxe</v>
      </c>
      <c r="O436" s="4" t="s">
        <v>36</v>
      </c>
      <c r="Q436" s="4" t="s">
        <v>36</v>
      </c>
      <c r="R436" t="str">
        <f t="shared" si="282"/>
        <v>Handaxe</v>
      </c>
      <c r="T436" s="4" t="s">
        <v>36</v>
      </c>
      <c r="V436" s="4" t="s">
        <v>36</v>
      </c>
      <c r="W436" t="str">
        <f t="shared" si="283"/>
        <v>Handaxe</v>
      </c>
      <c r="Y436" s="4" t="s">
        <v>36</v>
      </c>
      <c r="AA436" s="4" t="s">
        <v>36</v>
      </c>
      <c r="AB436" t="str">
        <f t="shared" si="284"/>
        <v>Handaxe</v>
      </c>
      <c r="AE436" t="s">
        <v>6613</v>
      </c>
    </row>
    <row r="437" spans="1:31" ht="16.5" x14ac:dyDescent="0.3">
      <c r="A437" s="132">
        <f>IFERROR(IF(A436+1&lt;MAX(T041_ClassFeatures!$A$2:$A$2033),A436+1,""),"")</f>
        <v>434</v>
      </c>
      <c r="B437" s="131" t="str">
        <f>IFERROR(INDEX(T041_ClassFeatures!$B$2:$B$2033,MATCH('C03_ClassVariables'!A437,T041_ClassFeatures!$A$2:$A$2033,0),1),"")</f>
        <v>Channel Divinity: Turn Undead</v>
      </c>
      <c r="C437" s="131">
        <f>IF(B437="",0,IF(IFERROR(MATCH(B437,'C01_BaseCalculation'!$W$160:$W$239,0),0)&gt;0,1,0))</f>
        <v>0</v>
      </c>
      <c r="E437" s="4" t="s">
        <v>137</v>
      </c>
      <c r="G437" s="4" t="s">
        <v>137</v>
      </c>
      <c r="H437" t="str">
        <f t="shared" si="280"/>
        <v/>
      </c>
      <c r="J437" s="4" t="s">
        <v>137</v>
      </c>
      <c r="L437" s="4" t="s">
        <v>137</v>
      </c>
      <c r="M437" t="str">
        <f t="shared" si="281"/>
        <v>Heavy Crossbow</v>
      </c>
      <c r="O437" s="4" t="s">
        <v>137</v>
      </c>
      <c r="Q437" s="4" t="s">
        <v>137</v>
      </c>
      <c r="R437" t="str">
        <f t="shared" si="282"/>
        <v>Heavy Crossbow</v>
      </c>
      <c r="T437" s="4" t="s">
        <v>137</v>
      </c>
      <c r="V437" s="4" t="s">
        <v>137</v>
      </c>
      <c r="W437" t="str">
        <f t="shared" si="283"/>
        <v>Heavy Crossbow</v>
      </c>
      <c r="Y437" s="4" t="s">
        <v>137</v>
      </c>
      <c r="AA437" s="4" t="s">
        <v>137</v>
      </c>
      <c r="AB437" t="str">
        <f t="shared" si="284"/>
        <v>Heavy Crossbow</v>
      </c>
      <c r="AE437" t="s">
        <v>6614</v>
      </c>
    </row>
    <row r="438" spans="1:31" ht="16.5" x14ac:dyDescent="0.3">
      <c r="A438" s="132">
        <f>IFERROR(IF(A437+1&lt;MAX(T041_ClassFeatures!$A$2:$A$2033),A437+1,""),"")</f>
        <v>435</v>
      </c>
      <c r="B438" s="131" t="str">
        <f>IFERROR(INDEX(T041_ClassFeatures!$B$2:$B$2033,MATCH('C03_ClassVariables'!A438,T041_ClassFeatures!$A$2:$A$2033,0),1),"")</f>
        <v>Flurry of Blows</v>
      </c>
      <c r="C438" s="131">
        <f>IF(B438="",0,IF(IFERROR(MATCH(B438,'C01_BaseCalculation'!$W$160:$W$239,0),0)&gt;0,1,0))</f>
        <v>0</v>
      </c>
      <c r="E438" s="4" t="s">
        <v>138</v>
      </c>
      <c r="G438" s="4" t="s">
        <v>138</v>
      </c>
      <c r="H438" t="str">
        <f t="shared" si="280"/>
        <v/>
      </c>
      <c r="J438" s="4" t="s">
        <v>138</v>
      </c>
      <c r="L438" s="4" t="s">
        <v>138</v>
      </c>
      <c r="M438" t="str">
        <f t="shared" si="281"/>
        <v>Javelin</v>
      </c>
      <c r="O438" s="4" t="s">
        <v>138</v>
      </c>
      <c r="Q438" s="4" t="s">
        <v>138</v>
      </c>
      <c r="R438" t="str">
        <f t="shared" si="282"/>
        <v>Javelin</v>
      </c>
      <c r="T438" s="4" t="s">
        <v>138</v>
      </c>
      <c r="V438" s="4" t="s">
        <v>138</v>
      </c>
      <c r="W438" t="str">
        <f t="shared" si="283"/>
        <v>Javelin</v>
      </c>
      <c r="Y438" s="4" t="s">
        <v>138</v>
      </c>
      <c r="AA438" s="4" t="s">
        <v>138</v>
      </c>
      <c r="AB438" t="str">
        <f t="shared" si="284"/>
        <v>Javelin</v>
      </c>
    </row>
    <row r="439" spans="1:31" ht="16.5" x14ac:dyDescent="0.3">
      <c r="A439" s="132">
        <f>IFERROR(IF(A438+1&lt;MAX(T041_ClassFeatures!$A$2:$A$2033),A438+1,""),"")</f>
        <v>436</v>
      </c>
      <c r="B439" s="131" t="str">
        <f>IFERROR(INDEX(T041_ClassFeatures!$B$2:$B$2033,MATCH('C03_ClassVariables'!A439,T041_ClassFeatures!$A$2:$A$2033,0),1),"")</f>
        <v>Patient Defense</v>
      </c>
      <c r="C439" s="131">
        <f>IF(B439="",0,IF(IFERROR(MATCH(B439,'C01_BaseCalculation'!$W$160:$W$239,0),0)&gt;0,1,0))</f>
        <v>0</v>
      </c>
      <c r="E439" s="4" t="s">
        <v>140</v>
      </c>
      <c r="G439" s="4" t="s">
        <v>140</v>
      </c>
      <c r="H439" t="str">
        <f t="shared" si="280"/>
        <v/>
      </c>
      <c r="J439" s="4" t="s">
        <v>140</v>
      </c>
      <c r="L439" s="4" t="s">
        <v>140</v>
      </c>
      <c r="M439" t="str">
        <f t="shared" si="281"/>
        <v>Lance</v>
      </c>
      <c r="O439" s="4" t="s">
        <v>140</v>
      </c>
      <c r="Q439" s="4" t="s">
        <v>140</v>
      </c>
      <c r="R439" t="str">
        <f t="shared" si="282"/>
        <v>Lance</v>
      </c>
      <c r="T439" s="4" t="s">
        <v>140</v>
      </c>
      <c r="V439" s="4" t="s">
        <v>140</v>
      </c>
      <c r="W439" t="str">
        <f t="shared" si="283"/>
        <v>Lance</v>
      </c>
      <c r="Y439" s="4" t="s">
        <v>140</v>
      </c>
      <c r="AA439" s="4" t="s">
        <v>140</v>
      </c>
      <c r="AB439" t="str">
        <f t="shared" si="284"/>
        <v>Lance</v>
      </c>
    </row>
    <row r="440" spans="1:31" ht="16.5" x14ac:dyDescent="0.3">
      <c r="A440" s="132">
        <f>IFERROR(IF(A439+1&lt;MAX(T041_ClassFeatures!$A$2:$A$2033),A439+1,""),"")</f>
        <v>437</v>
      </c>
      <c r="B440" s="131" t="str">
        <f>IFERROR(INDEX(T041_ClassFeatures!$B$2:$B$2033,MATCH('C03_ClassVariables'!A440,T041_ClassFeatures!$A$2:$A$2033,0),1),"")</f>
        <v>Slow Fall</v>
      </c>
      <c r="C440" s="131">
        <f>IF(B440="",0,IF(IFERROR(MATCH(B440,'C01_BaseCalculation'!$W$160:$W$239,0),0)&gt;0,1,0))</f>
        <v>0</v>
      </c>
      <c r="E440" s="4" t="s">
        <v>141</v>
      </c>
      <c r="G440" s="4" t="s">
        <v>141</v>
      </c>
      <c r="H440" t="str">
        <f t="shared" si="280"/>
        <v/>
      </c>
      <c r="J440" s="4" t="s">
        <v>141</v>
      </c>
      <c r="L440" s="4" t="s">
        <v>141</v>
      </c>
      <c r="M440" t="str">
        <f t="shared" si="281"/>
        <v>Light Crossbow</v>
      </c>
      <c r="O440" s="4" t="s">
        <v>141</v>
      </c>
      <c r="Q440" s="4" t="s">
        <v>141</v>
      </c>
      <c r="R440" t="str">
        <f t="shared" si="282"/>
        <v>Light Crossbow</v>
      </c>
      <c r="T440" s="4" t="s">
        <v>141</v>
      </c>
      <c r="V440" s="4" t="s">
        <v>141</v>
      </c>
      <c r="W440" t="str">
        <f t="shared" si="283"/>
        <v>Light Crossbow</v>
      </c>
      <c r="Y440" s="4" t="s">
        <v>141</v>
      </c>
      <c r="AA440" s="4" t="s">
        <v>141</v>
      </c>
      <c r="AB440" t="str">
        <f t="shared" si="284"/>
        <v>Light Crossbow</v>
      </c>
    </row>
    <row r="441" spans="1:31" ht="16.5" x14ac:dyDescent="0.3">
      <c r="A441" s="132">
        <f>IFERROR(IF(A440+1&lt;MAX(T041_ClassFeatures!$A$2:$A$2033),A440+1,""),"")</f>
        <v>438</v>
      </c>
      <c r="B441" s="131" t="str">
        <f>IFERROR(INDEX(T041_ClassFeatures!$B$2:$B$2033,MATCH('C03_ClassVariables'!A441,T041_ClassFeatures!$A$2:$A$2033,0),1),"")</f>
        <v>Divine Health</v>
      </c>
      <c r="C441" s="131">
        <f>IF(B441="",0,IF(IFERROR(MATCH(B441,'C01_BaseCalculation'!$W$160:$W$239,0),0)&gt;0,1,0))</f>
        <v>0</v>
      </c>
      <c r="E441" s="4" t="s">
        <v>142</v>
      </c>
      <c r="G441" s="4" t="s">
        <v>142</v>
      </c>
      <c r="H441" t="str">
        <f t="shared" si="280"/>
        <v/>
      </c>
      <c r="J441" s="4" t="s">
        <v>142</v>
      </c>
      <c r="L441" s="4" t="s">
        <v>142</v>
      </c>
      <c r="M441" t="str">
        <f t="shared" si="281"/>
        <v>Light Hammer</v>
      </c>
      <c r="O441" s="4" t="s">
        <v>142</v>
      </c>
      <c r="Q441" s="4" t="s">
        <v>142</v>
      </c>
      <c r="R441" t="str">
        <f t="shared" si="282"/>
        <v>Light Hammer</v>
      </c>
      <c r="T441" s="4" t="s">
        <v>142</v>
      </c>
      <c r="V441" s="4" t="s">
        <v>142</v>
      </c>
      <c r="W441" t="str">
        <f t="shared" si="283"/>
        <v>Light Hammer</v>
      </c>
      <c r="Y441" s="4" t="s">
        <v>142</v>
      </c>
      <c r="AA441" s="4" t="s">
        <v>142</v>
      </c>
      <c r="AB441" t="str">
        <f t="shared" si="284"/>
        <v>Light Hammer</v>
      </c>
    </row>
    <row r="442" spans="1:31" ht="16.5" x14ac:dyDescent="0.3">
      <c r="A442" s="132">
        <f>IFERROR(IF(A441+1&lt;MAX(T041_ClassFeatures!$A$2:$A$2033),A441+1,""),"")</f>
        <v>439</v>
      </c>
      <c r="B442" s="131" t="str">
        <f>IFERROR(INDEX(T041_ClassFeatures!$B$2:$B$2033,MATCH('C03_ClassVariables'!A442,T041_ClassFeatures!$A$2:$A$2033,0),1),"")</f>
        <v>Colossus Slayer</v>
      </c>
      <c r="C442" s="131">
        <f>IF(B442="",0,IF(IFERROR(MATCH(B442,'C01_BaseCalculation'!$W$160:$W$239,0),0)&gt;0,1,0))</f>
        <v>0</v>
      </c>
      <c r="E442" s="4" t="s">
        <v>53</v>
      </c>
      <c r="G442" s="4" t="s">
        <v>53</v>
      </c>
      <c r="H442" t="str">
        <f t="shared" si="280"/>
        <v/>
      </c>
      <c r="J442" s="4" t="s">
        <v>53</v>
      </c>
      <c r="L442" s="4" t="s">
        <v>53</v>
      </c>
      <c r="M442" t="str">
        <f t="shared" si="281"/>
        <v>Longbow</v>
      </c>
      <c r="O442" s="4" t="s">
        <v>53</v>
      </c>
      <c r="Q442" s="4" t="s">
        <v>53</v>
      </c>
      <c r="R442" t="str">
        <f t="shared" si="282"/>
        <v>Longbow</v>
      </c>
      <c r="T442" s="4" t="s">
        <v>53</v>
      </c>
      <c r="V442" s="4" t="s">
        <v>53</v>
      </c>
      <c r="W442" t="str">
        <f t="shared" si="283"/>
        <v>Longbow</v>
      </c>
      <c r="Y442" s="4" t="s">
        <v>53</v>
      </c>
      <c r="AA442" s="4" t="s">
        <v>53</v>
      </c>
      <c r="AB442" t="str">
        <f t="shared" si="284"/>
        <v>Longbow</v>
      </c>
    </row>
    <row r="443" spans="1:31" ht="16.5" x14ac:dyDescent="0.3">
      <c r="A443" s="132">
        <f>IFERROR(IF(A442+1&lt;MAX(T041_ClassFeatures!$A$2:$A$2033),A442+1,""),"")</f>
        <v>440</v>
      </c>
      <c r="B443" s="131" t="str">
        <f>IFERROR(INDEX(T041_ClassFeatures!$B$2:$B$2033,MATCH('C03_ClassVariables'!A443,T041_ClassFeatures!$A$2:$A$2033,0),1),"")</f>
        <v>Giant Killer</v>
      </c>
      <c r="C443" s="131">
        <f>IF(B443="",0,IF(IFERROR(MATCH(B443,'C01_BaseCalculation'!$W$160:$W$239,0),0)&gt;0,1,0))</f>
        <v>0</v>
      </c>
      <c r="E443" s="4" t="s">
        <v>50</v>
      </c>
      <c r="G443" s="4" t="s">
        <v>50</v>
      </c>
      <c r="H443" t="str">
        <f t="shared" si="280"/>
        <v/>
      </c>
      <c r="J443" s="4" t="s">
        <v>50</v>
      </c>
      <c r="L443" s="4" t="s">
        <v>50</v>
      </c>
      <c r="M443" t="str">
        <f t="shared" si="281"/>
        <v>Longsword</v>
      </c>
      <c r="O443" s="4" t="s">
        <v>50</v>
      </c>
      <c r="Q443" s="4" t="s">
        <v>50</v>
      </c>
      <c r="R443" t="str">
        <f t="shared" si="282"/>
        <v>Longsword</v>
      </c>
      <c r="T443" s="4" t="s">
        <v>50</v>
      </c>
      <c r="V443" s="4" t="s">
        <v>50</v>
      </c>
      <c r="W443" t="str">
        <f t="shared" si="283"/>
        <v>Longsword</v>
      </c>
      <c r="Y443" s="4" t="s">
        <v>50</v>
      </c>
      <c r="AA443" s="4" t="s">
        <v>50</v>
      </c>
      <c r="AB443" t="str">
        <f t="shared" si="284"/>
        <v>Longsword</v>
      </c>
    </row>
    <row r="444" spans="1:31" ht="16.5" x14ac:dyDescent="0.3">
      <c r="A444" s="132">
        <f>IFERROR(IF(A443+1&lt;MAX(T041_ClassFeatures!$A$2:$A$2033),A443+1,""),"")</f>
        <v>441</v>
      </c>
      <c r="B444" s="131" t="str">
        <f>IFERROR(INDEX(T041_ClassFeatures!$B$2:$B$2033,MATCH('C03_ClassVariables'!A444,T041_ClassFeatures!$A$2:$A$2033,0),1),"")</f>
        <v>Horde Breaker</v>
      </c>
      <c r="C444" s="131">
        <f>IF(B444="",0,IF(IFERROR(MATCH(B444,'C01_BaseCalculation'!$W$160:$W$239,0),0)&gt;0,1,0))</f>
        <v>0</v>
      </c>
      <c r="E444" s="4" t="s">
        <v>143</v>
      </c>
      <c r="G444" s="4" t="s">
        <v>143</v>
      </c>
      <c r="H444" t="str">
        <f t="shared" si="280"/>
        <v/>
      </c>
      <c r="J444" s="4" t="s">
        <v>143</v>
      </c>
      <c r="L444" s="4" t="s">
        <v>143</v>
      </c>
      <c r="M444" t="str">
        <f t="shared" si="281"/>
        <v>Mace</v>
      </c>
      <c r="O444" s="4" t="s">
        <v>143</v>
      </c>
      <c r="Q444" s="4" t="s">
        <v>143</v>
      </c>
      <c r="R444" t="str">
        <f t="shared" si="282"/>
        <v>Mace</v>
      </c>
      <c r="T444" s="4" t="s">
        <v>143</v>
      </c>
      <c r="V444" s="4" t="s">
        <v>143</v>
      </c>
      <c r="W444" t="str">
        <f t="shared" si="283"/>
        <v>Mace</v>
      </c>
      <c r="Y444" s="4" t="s">
        <v>143</v>
      </c>
      <c r="AA444" s="4" t="s">
        <v>143</v>
      </c>
      <c r="AB444" t="str">
        <f t="shared" si="284"/>
        <v>Mace</v>
      </c>
    </row>
    <row r="445" spans="1:31" ht="16.5" x14ac:dyDescent="0.3">
      <c r="A445" s="132">
        <f>IFERROR(IF(A444+1&lt;MAX(T041_ClassFeatures!$A$2:$A$2033),A444+1,""),"")</f>
        <v>442</v>
      </c>
      <c r="B445" s="131" t="str">
        <f>IFERROR(INDEX(T041_ClassFeatures!$B$2:$B$2033,MATCH('C03_ClassVariables'!A445,T041_ClassFeatures!$A$2:$A$2033,0),1),"")</f>
        <v>Escape the Horde</v>
      </c>
      <c r="C445" s="131">
        <f>IF(B445="",0,IF(IFERROR(MATCH(B445,'C01_BaseCalculation'!$W$160:$W$239,0),0)&gt;0,1,0))</f>
        <v>0</v>
      </c>
      <c r="E445" s="4" t="s">
        <v>144</v>
      </c>
      <c r="G445" s="4" t="s">
        <v>144</v>
      </c>
      <c r="H445" t="str">
        <f t="shared" si="280"/>
        <v/>
      </c>
      <c r="J445" s="4" t="s">
        <v>144</v>
      </c>
      <c r="L445" s="4" t="s">
        <v>144</v>
      </c>
      <c r="M445" t="str">
        <f t="shared" si="281"/>
        <v>Maul</v>
      </c>
      <c r="O445" s="4" t="s">
        <v>144</v>
      </c>
      <c r="Q445" s="4" t="s">
        <v>144</v>
      </c>
      <c r="R445" t="str">
        <f t="shared" si="282"/>
        <v>Maul</v>
      </c>
      <c r="T445" s="4" t="s">
        <v>144</v>
      </c>
      <c r="V445" s="4" t="s">
        <v>144</v>
      </c>
      <c r="W445" t="str">
        <f t="shared" si="283"/>
        <v>Maul</v>
      </c>
      <c r="Y445" s="4" t="s">
        <v>144</v>
      </c>
      <c r="AA445" s="4" t="s">
        <v>144</v>
      </c>
      <c r="AB445" t="str">
        <f t="shared" si="284"/>
        <v>Maul</v>
      </c>
    </row>
    <row r="446" spans="1:31" ht="16.5" x14ac:dyDescent="0.3">
      <c r="A446" s="132">
        <f>IFERROR(IF(A445+1&lt;MAX(T041_ClassFeatures!$A$2:$A$2033),A445+1,""),"")</f>
        <v>443</v>
      </c>
      <c r="B446" s="131" t="str">
        <f>IFERROR(INDEX(T041_ClassFeatures!$B$2:$B$2033,MATCH('C03_ClassVariables'!A446,T041_ClassFeatures!$A$2:$A$2033,0),1),"")</f>
        <v>Multiattack Defense</v>
      </c>
      <c r="C446" s="131">
        <f>IF(B446="",0,IF(IFERROR(MATCH(B446,'C01_BaseCalculation'!$W$160:$W$239,0),0)&gt;0,1,0))</f>
        <v>0</v>
      </c>
      <c r="E446" s="4" t="s">
        <v>145</v>
      </c>
      <c r="G446" s="4" t="s">
        <v>145</v>
      </c>
      <c r="H446" t="str">
        <f t="shared" si="280"/>
        <v/>
      </c>
      <c r="J446" s="4" t="s">
        <v>145</v>
      </c>
      <c r="L446" s="4" t="s">
        <v>145</v>
      </c>
      <c r="M446" t="str">
        <f t="shared" si="281"/>
        <v>Morningstar</v>
      </c>
      <c r="O446" s="4" t="s">
        <v>145</v>
      </c>
      <c r="Q446" s="4" t="s">
        <v>145</v>
      </c>
      <c r="R446" t="str">
        <f t="shared" si="282"/>
        <v>Morningstar</v>
      </c>
      <c r="T446" s="4" t="s">
        <v>145</v>
      </c>
      <c r="V446" s="4" t="s">
        <v>145</v>
      </c>
      <c r="W446" t="str">
        <f t="shared" si="283"/>
        <v>Morningstar</v>
      </c>
      <c r="Y446" s="4" t="s">
        <v>145</v>
      </c>
      <c r="AA446" s="4" t="s">
        <v>145</v>
      </c>
      <c r="AB446" t="str">
        <f t="shared" si="284"/>
        <v>Morningstar</v>
      </c>
    </row>
    <row r="447" spans="1:31" ht="16.5" x14ac:dyDescent="0.3">
      <c r="A447" s="132">
        <f>IFERROR(IF(A446+1&lt;MAX(T041_ClassFeatures!$A$2:$A$2033),A446+1,""),"")</f>
        <v>444</v>
      </c>
      <c r="B447" s="131" t="str">
        <f>IFERROR(INDEX(T041_ClassFeatures!$B$2:$B$2033,MATCH('C03_ClassVariables'!A447,T041_ClassFeatures!$A$2:$A$2033,0),1),"")</f>
        <v>Steel Will</v>
      </c>
      <c r="C447" s="131">
        <f>IF(B447="",0,IF(IFERROR(MATCH(B447,'C01_BaseCalculation'!$W$160:$W$239,0),0)&gt;0,1,0))</f>
        <v>0</v>
      </c>
      <c r="E447" s="4" t="s">
        <v>146</v>
      </c>
      <c r="G447" s="4" t="s">
        <v>146</v>
      </c>
      <c r="H447" t="str">
        <f t="shared" si="280"/>
        <v/>
      </c>
      <c r="J447" s="4" t="s">
        <v>146</v>
      </c>
      <c r="L447" s="4" t="s">
        <v>146</v>
      </c>
      <c r="M447" t="str">
        <f t="shared" si="281"/>
        <v>Net</v>
      </c>
      <c r="O447" s="4" t="s">
        <v>146</v>
      </c>
      <c r="Q447" s="4" t="s">
        <v>146</v>
      </c>
      <c r="R447" t="str">
        <f t="shared" si="282"/>
        <v>Net</v>
      </c>
      <c r="T447" s="4" t="s">
        <v>146</v>
      </c>
      <c r="V447" s="4" t="s">
        <v>146</v>
      </c>
      <c r="W447" t="str">
        <f t="shared" si="283"/>
        <v>Net</v>
      </c>
      <c r="Y447" s="4" t="s">
        <v>146</v>
      </c>
      <c r="AA447" s="4" t="s">
        <v>146</v>
      </c>
      <c r="AB447" t="str">
        <f t="shared" si="284"/>
        <v>Net</v>
      </c>
    </row>
    <row r="448" spans="1:31" ht="16.5" x14ac:dyDescent="0.3">
      <c r="A448" s="132">
        <f>IFERROR(IF(A447+1&lt;MAX(T041_ClassFeatures!$A$2:$A$2033),A447+1,""),"")</f>
        <v>445</v>
      </c>
      <c r="B448" s="131" t="str">
        <f>IFERROR(INDEX(T041_ClassFeatures!$B$2:$B$2033,MATCH('C03_ClassVariables'!A448,T041_ClassFeatures!$A$2:$A$2033,0),1),"")</f>
        <v>Volley</v>
      </c>
      <c r="C448" s="131">
        <f>IF(B448="",0,IF(IFERROR(MATCH(B448,'C01_BaseCalculation'!$W$160:$W$239,0),0)&gt;0,1,0))</f>
        <v>0</v>
      </c>
      <c r="E448" s="4" t="s">
        <v>147</v>
      </c>
      <c r="G448" s="4" t="s">
        <v>147</v>
      </c>
      <c r="H448" t="str">
        <f t="shared" si="280"/>
        <v/>
      </c>
      <c r="J448" s="4" t="s">
        <v>147</v>
      </c>
      <c r="L448" s="4" t="s">
        <v>147</v>
      </c>
      <c r="M448" t="str">
        <f t="shared" si="281"/>
        <v>Pike</v>
      </c>
      <c r="O448" s="4" t="s">
        <v>147</v>
      </c>
      <c r="Q448" s="4" t="s">
        <v>147</v>
      </c>
      <c r="R448" t="str">
        <f t="shared" si="282"/>
        <v>Pike</v>
      </c>
      <c r="T448" s="4" t="s">
        <v>147</v>
      </c>
      <c r="V448" s="4" t="s">
        <v>147</v>
      </c>
      <c r="W448" t="str">
        <f t="shared" si="283"/>
        <v>Pike</v>
      </c>
      <c r="Y448" s="4" t="s">
        <v>147</v>
      </c>
      <c r="AA448" s="4" t="s">
        <v>147</v>
      </c>
      <c r="AB448" t="str">
        <f t="shared" si="284"/>
        <v>Pike</v>
      </c>
    </row>
    <row r="449" spans="1:28" ht="16.5" x14ac:dyDescent="0.3">
      <c r="A449" s="132">
        <f>IFERROR(IF(A448+1&lt;MAX(T041_ClassFeatures!$A$2:$A$2033),A448+1,""),"")</f>
        <v>446</v>
      </c>
      <c r="B449" s="131" t="str">
        <f>IFERROR(INDEX(T041_ClassFeatures!$B$2:$B$2033,MATCH('C03_ClassVariables'!A449,T041_ClassFeatures!$A$2:$A$2033,0),1),"")</f>
        <v>Whirlwind Attack</v>
      </c>
      <c r="C449" s="131">
        <f>IF(B449="",0,IF(IFERROR(MATCH(B449,'C01_BaseCalculation'!$W$160:$W$239,0),0)&gt;0,1,0))</f>
        <v>0</v>
      </c>
      <c r="E449" s="4" t="s">
        <v>148</v>
      </c>
      <c r="G449" s="4" t="s">
        <v>148</v>
      </c>
      <c r="H449" t="str">
        <f t="shared" si="280"/>
        <v/>
      </c>
      <c r="J449" s="4" t="s">
        <v>148</v>
      </c>
      <c r="L449" s="4" t="s">
        <v>148</v>
      </c>
      <c r="M449" t="str">
        <f t="shared" si="281"/>
        <v>Quarterstaff</v>
      </c>
      <c r="O449" s="4" t="s">
        <v>148</v>
      </c>
      <c r="Q449" s="4" t="s">
        <v>148</v>
      </c>
      <c r="R449" t="str">
        <f t="shared" si="282"/>
        <v>Quarterstaff</v>
      </c>
      <c r="T449" s="4" t="s">
        <v>148</v>
      </c>
      <c r="V449" s="4" t="s">
        <v>148</v>
      </c>
      <c r="W449" t="str">
        <f t="shared" si="283"/>
        <v>Quarterstaff</v>
      </c>
      <c r="Y449" s="4" t="s">
        <v>148</v>
      </c>
      <c r="AA449" s="4" t="s">
        <v>148</v>
      </c>
      <c r="AB449" t="str">
        <f t="shared" si="284"/>
        <v>Quarterstaff</v>
      </c>
    </row>
    <row r="450" spans="1:28" ht="16.5" x14ac:dyDescent="0.3">
      <c r="A450" s="132">
        <f>IFERROR(IF(A449+1&lt;MAX(T041_ClassFeatures!$A$2:$A$2033),A449+1,""),"")</f>
        <v>447</v>
      </c>
      <c r="B450" s="131" t="str">
        <f>IFERROR(INDEX(T041_ClassFeatures!$B$2:$B$2033,MATCH('C03_ClassVariables'!A450,T041_ClassFeatures!$A$2:$A$2033,0),1),"")</f>
        <v>Evasion</v>
      </c>
      <c r="C450" s="131">
        <f>IF(B450="",0,IF(IFERROR(MATCH(B450,'C01_BaseCalculation'!$W$160:$W$239,0),0)&gt;0,1,0))</f>
        <v>0</v>
      </c>
      <c r="E450" s="4" t="s">
        <v>149</v>
      </c>
      <c r="G450" s="4" t="s">
        <v>149</v>
      </c>
      <c r="H450" t="str">
        <f t="shared" si="280"/>
        <v/>
      </c>
      <c r="J450" s="4" t="s">
        <v>149</v>
      </c>
      <c r="L450" s="4" t="s">
        <v>149</v>
      </c>
      <c r="M450" t="str">
        <f t="shared" si="281"/>
        <v>Rapier</v>
      </c>
      <c r="O450" s="4" t="s">
        <v>149</v>
      </c>
      <c r="Q450" s="4" t="s">
        <v>149</v>
      </c>
      <c r="R450" t="str">
        <f t="shared" si="282"/>
        <v>Rapier</v>
      </c>
      <c r="T450" s="4" t="s">
        <v>149</v>
      </c>
      <c r="V450" s="4" t="s">
        <v>149</v>
      </c>
      <c r="W450" t="str">
        <f t="shared" si="283"/>
        <v>Rapier</v>
      </c>
      <c r="Y450" s="4" t="s">
        <v>149</v>
      </c>
      <c r="AA450" s="4" t="s">
        <v>149</v>
      </c>
      <c r="AB450" t="str">
        <f t="shared" si="284"/>
        <v>Rapier</v>
      </c>
    </row>
    <row r="451" spans="1:28" ht="16.5" x14ac:dyDescent="0.3">
      <c r="A451" s="132">
        <f>IFERROR(IF(A450+1&lt;MAX(T041_ClassFeatures!$A$2:$A$2033),A450+1,""),"")</f>
        <v>448</v>
      </c>
      <c r="B451" s="131" t="str">
        <f>IFERROR(INDEX(T041_ClassFeatures!$B$2:$B$2033,MATCH('C03_ClassVariables'!A451,T041_ClassFeatures!$A$2:$A$2033,0),1),"")</f>
        <v>Stand Against the Tide</v>
      </c>
      <c r="C451" s="131">
        <f>IF(B451="",0,IF(IFERROR(MATCH(B451,'C01_BaseCalculation'!$W$160:$W$239,0),0)&gt;0,1,0))</f>
        <v>0</v>
      </c>
      <c r="E451" s="4" t="s">
        <v>151</v>
      </c>
      <c r="G451" s="4" t="s">
        <v>151</v>
      </c>
      <c r="H451" t="str">
        <f t="shared" si="280"/>
        <v/>
      </c>
      <c r="J451" s="4" t="s">
        <v>151</v>
      </c>
      <c r="L451" s="4" t="s">
        <v>151</v>
      </c>
      <c r="M451" t="str">
        <f t="shared" si="281"/>
        <v>Scimitar</v>
      </c>
      <c r="O451" s="4" t="s">
        <v>151</v>
      </c>
      <c r="Q451" s="4" t="s">
        <v>151</v>
      </c>
      <c r="R451" t="str">
        <f t="shared" si="282"/>
        <v>Scimitar</v>
      </c>
      <c r="T451" s="4" t="s">
        <v>151</v>
      </c>
      <c r="V451" s="4" t="s">
        <v>151</v>
      </c>
      <c r="W451" t="str">
        <f t="shared" si="283"/>
        <v>Scimitar</v>
      </c>
      <c r="Y451" s="4" t="s">
        <v>151</v>
      </c>
      <c r="AA451" s="4" t="s">
        <v>151</v>
      </c>
      <c r="AB451" t="str">
        <f t="shared" si="284"/>
        <v>Scimitar</v>
      </c>
    </row>
    <row r="452" spans="1:28" ht="16.5" x14ac:dyDescent="0.3">
      <c r="A452" s="132">
        <f>IFERROR(IF(A451+1&lt;MAX(T041_ClassFeatures!$A$2:$A$2033),A451+1,""),"")</f>
        <v>449</v>
      </c>
      <c r="B452" s="131" t="str">
        <f>IFERROR(INDEX(T041_ClassFeatures!$B$2:$B$2033,MATCH('C03_ClassVariables'!A452,T041_ClassFeatures!$A$2:$A$2033,0),1),"")</f>
        <v>Uncanny Dodge</v>
      </c>
      <c r="C452" s="131">
        <f>IF(B452="",0,IF(IFERROR(MATCH(B452,'C01_BaseCalculation'!$W$160:$W$239,0),0)&gt;0,1,0))</f>
        <v>0</v>
      </c>
      <c r="E452" s="4" t="s">
        <v>52</v>
      </c>
      <c r="G452" s="4" t="s">
        <v>52</v>
      </c>
      <c r="H452" t="str">
        <f t="shared" si="280"/>
        <v/>
      </c>
      <c r="J452" s="4" t="s">
        <v>52</v>
      </c>
      <c r="L452" s="4" t="s">
        <v>52</v>
      </c>
      <c r="M452" t="str">
        <f t="shared" si="281"/>
        <v>Shortbow</v>
      </c>
      <c r="O452" s="4" t="s">
        <v>52</v>
      </c>
      <c r="Q452" s="4" t="s">
        <v>52</v>
      </c>
      <c r="R452" t="str">
        <f t="shared" si="282"/>
        <v>Shortbow</v>
      </c>
      <c r="T452" s="4" t="s">
        <v>52</v>
      </c>
      <c r="V452" s="4" t="s">
        <v>52</v>
      </c>
      <c r="W452" t="str">
        <f t="shared" si="283"/>
        <v>Shortbow</v>
      </c>
      <c r="Y452" s="4" t="s">
        <v>52</v>
      </c>
      <c r="AA452" s="4" t="s">
        <v>52</v>
      </c>
      <c r="AB452" t="str">
        <f t="shared" si="284"/>
        <v>Shortbow</v>
      </c>
    </row>
    <row r="453" spans="1:28" ht="16.5" x14ac:dyDescent="0.3">
      <c r="A453" s="132">
        <f>IFERROR(IF(A452+1&lt;MAX(T041_ClassFeatures!$A$2:$A$2033),A452+1,""),"")</f>
        <v>450</v>
      </c>
      <c r="B453" s="131" t="str">
        <f>IFERROR(INDEX(T041_ClassFeatures!$B$2:$B$2033,MATCH('C03_ClassVariables'!A453,T041_ClassFeatures!$A$2:$A$2033,0),1),"")</f>
        <v>Pact of the Chain</v>
      </c>
      <c r="C453" s="131">
        <f>IF(B453="",0,IF(IFERROR(MATCH(B453,'C01_BaseCalculation'!$W$160:$W$239,0),0)&gt;0,1,0))</f>
        <v>0</v>
      </c>
      <c r="E453" s="4" t="s">
        <v>51</v>
      </c>
      <c r="G453" s="4" t="s">
        <v>51</v>
      </c>
      <c r="H453" t="str">
        <f t="shared" si="280"/>
        <v/>
      </c>
      <c r="J453" s="4" t="s">
        <v>51</v>
      </c>
      <c r="L453" s="4" t="s">
        <v>51</v>
      </c>
      <c r="M453" t="str">
        <f t="shared" si="281"/>
        <v>Shortsword</v>
      </c>
      <c r="O453" s="4" t="s">
        <v>51</v>
      </c>
      <c r="Q453" s="4" t="s">
        <v>51</v>
      </c>
      <c r="R453" t="str">
        <f t="shared" si="282"/>
        <v>Shortsword</v>
      </c>
      <c r="T453" s="4" t="s">
        <v>51</v>
      </c>
      <c r="V453" s="4" t="s">
        <v>51</v>
      </c>
      <c r="W453" t="str">
        <f t="shared" si="283"/>
        <v>Shortsword</v>
      </c>
      <c r="Y453" s="4" t="s">
        <v>51</v>
      </c>
      <c r="AA453" s="4" t="s">
        <v>51</v>
      </c>
      <c r="AB453" t="str">
        <f t="shared" si="284"/>
        <v>Shortsword</v>
      </c>
    </row>
    <row r="454" spans="1:28" ht="16.5" x14ac:dyDescent="0.3">
      <c r="A454" s="132">
        <f>IFERROR(IF(A453+1&lt;MAX(T041_ClassFeatures!$A$2:$A$2033),A453+1,""),"")</f>
        <v>451</v>
      </c>
      <c r="B454" s="131" t="str">
        <f>IFERROR(INDEX(T041_ClassFeatures!$B$2:$B$2033,MATCH('C03_ClassVariables'!A454,T041_ClassFeatures!$A$2:$A$2033,0),1),"")</f>
        <v>Pact of the Blade</v>
      </c>
      <c r="C454" s="131">
        <f>IF(B454="",0,IF(IFERROR(MATCH(B454,'C01_BaseCalculation'!$W$160:$W$239,0),0)&gt;0,1,0))</f>
        <v>0</v>
      </c>
      <c r="E454" s="4" t="s">
        <v>152</v>
      </c>
      <c r="G454" s="4" t="s">
        <v>152</v>
      </c>
      <c r="H454" t="str">
        <f t="shared" si="280"/>
        <v/>
      </c>
      <c r="J454" s="4" t="s">
        <v>152</v>
      </c>
      <c r="L454" s="4" t="s">
        <v>152</v>
      </c>
      <c r="M454" t="str">
        <f t="shared" si="281"/>
        <v>Sickle</v>
      </c>
      <c r="O454" s="4" t="s">
        <v>152</v>
      </c>
      <c r="Q454" s="4" t="s">
        <v>152</v>
      </c>
      <c r="R454" t="str">
        <f t="shared" si="282"/>
        <v>Sickle</v>
      </c>
      <c r="T454" s="4" t="s">
        <v>152</v>
      </c>
      <c r="V454" s="4" t="s">
        <v>152</v>
      </c>
      <c r="W454" t="str">
        <f t="shared" si="283"/>
        <v>Sickle</v>
      </c>
      <c r="Y454" s="4" t="s">
        <v>152</v>
      </c>
      <c r="AA454" s="4" t="s">
        <v>152</v>
      </c>
      <c r="AB454" t="str">
        <f t="shared" si="284"/>
        <v>Sickle</v>
      </c>
    </row>
    <row r="455" spans="1:28" ht="16.5" x14ac:dyDescent="0.3">
      <c r="A455" s="132">
        <f>IFERROR(IF(A454+1&lt;MAX(T041_ClassFeatures!$A$2:$A$2033),A454+1,""),"")</f>
        <v>452</v>
      </c>
      <c r="B455" s="131" t="str">
        <f>IFERROR(INDEX(T041_ClassFeatures!$B$2:$B$2033,MATCH('C03_ClassVariables'!A455,T041_ClassFeatures!$A$2:$A$2033,0),1),"")</f>
        <v>Pact of the Tome</v>
      </c>
      <c r="C455" s="131">
        <f>IF(B455="",0,IF(IFERROR(MATCH(B455,'C01_BaseCalculation'!$W$160:$W$239,0),0)&gt;0,1,0))</f>
        <v>0</v>
      </c>
      <c r="E455" s="4" t="s">
        <v>153</v>
      </c>
      <c r="G455" s="4" t="s">
        <v>153</v>
      </c>
      <c r="H455" t="str">
        <f t="shared" si="280"/>
        <v/>
      </c>
      <c r="J455" s="4" t="s">
        <v>153</v>
      </c>
      <c r="L455" s="4" t="s">
        <v>153</v>
      </c>
      <c r="M455" t="str">
        <f t="shared" si="281"/>
        <v>Sling</v>
      </c>
      <c r="O455" s="4" t="s">
        <v>153</v>
      </c>
      <c r="Q455" s="4" t="s">
        <v>153</v>
      </c>
      <c r="R455" t="str">
        <f t="shared" si="282"/>
        <v>Sling</v>
      </c>
      <c r="T455" s="4" t="s">
        <v>153</v>
      </c>
      <c r="V455" s="4" t="s">
        <v>153</v>
      </c>
      <c r="W455" t="str">
        <f t="shared" si="283"/>
        <v>Sling</v>
      </c>
      <c r="Y455" s="4" t="s">
        <v>153</v>
      </c>
      <c r="AA455" s="4" t="s">
        <v>153</v>
      </c>
      <c r="AB455" t="str">
        <f t="shared" si="284"/>
        <v>Sling</v>
      </c>
    </row>
    <row r="456" spans="1:28" ht="16.5" x14ac:dyDescent="0.3">
      <c r="A456" s="132">
        <f>IFERROR(IF(A455+1&lt;MAX(T041_ClassFeatures!$A$2:$A$2033),A455+1,""),"")</f>
        <v>453</v>
      </c>
      <c r="B456" s="131" t="str">
        <f>IFERROR(INDEX(T041_ClassFeatures!$B$2:$B$2033,MATCH('C03_ClassVariables'!A456,T041_ClassFeatures!$A$2:$A$2033,0),1),"")</f>
        <v>Expanded Spell List - the Archfey</v>
      </c>
      <c r="C456" s="131">
        <f>IF(B456="",0,IF(IFERROR(MATCH(B456,'C01_BaseCalculation'!$W$160:$W$239,0),0)&gt;0,1,0))</f>
        <v>0</v>
      </c>
      <c r="E456" s="4" t="s">
        <v>155</v>
      </c>
      <c r="G456" s="4" t="s">
        <v>155</v>
      </c>
      <c r="H456" t="str">
        <f t="shared" si="280"/>
        <v/>
      </c>
      <c r="J456" s="4" t="s">
        <v>155</v>
      </c>
      <c r="L456" s="4" t="s">
        <v>155</v>
      </c>
      <c r="M456" t="str">
        <f t="shared" si="281"/>
        <v>Spear</v>
      </c>
      <c r="O456" s="4" t="s">
        <v>155</v>
      </c>
      <c r="Q456" s="4" t="s">
        <v>155</v>
      </c>
      <c r="R456" t="str">
        <f t="shared" si="282"/>
        <v>Spear</v>
      </c>
      <c r="T456" s="4" t="s">
        <v>155</v>
      </c>
      <c r="V456" s="4" t="s">
        <v>155</v>
      </c>
      <c r="W456" t="str">
        <f t="shared" si="283"/>
        <v>Spear</v>
      </c>
      <c r="Y456" s="4" t="s">
        <v>155</v>
      </c>
      <c r="AA456" s="4" t="s">
        <v>155</v>
      </c>
      <c r="AB456" t="str">
        <f t="shared" si="284"/>
        <v>Spear</v>
      </c>
    </row>
    <row r="457" spans="1:28" ht="16.5" x14ac:dyDescent="0.3">
      <c r="A457" s="132">
        <f>IFERROR(IF(A456+1&lt;MAX(T041_ClassFeatures!$A$2:$A$2033),A456+1,""),"")</f>
        <v>454</v>
      </c>
      <c r="B457" s="131" t="str">
        <f>IFERROR(INDEX(T041_ClassFeatures!$B$2:$B$2033,MATCH('C03_ClassVariables'!A457,T041_ClassFeatures!$A$2:$A$2033,0),1),"")</f>
        <v>Fey Presence</v>
      </c>
      <c r="C457" s="131">
        <f>IF(B457="",0,IF(IFERROR(MATCH(B457,'C01_BaseCalculation'!$W$160:$W$239,0),0)&gt;0,1,0))</f>
        <v>0</v>
      </c>
      <c r="E457" s="4" t="s">
        <v>156</v>
      </c>
      <c r="G457" s="4" t="s">
        <v>156</v>
      </c>
      <c r="H457" t="str">
        <f t="shared" si="280"/>
        <v/>
      </c>
      <c r="J457" s="4" t="s">
        <v>156</v>
      </c>
      <c r="L457" s="4" t="s">
        <v>156</v>
      </c>
      <c r="M457" t="str">
        <f t="shared" si="281"/>
        <v>Trident</v>
      </c>
      <c r="O457" s="4" t="s">
        <v>156</v>
      </c>
      <c r="Q457" s="4" t="s">
        <v>156</v>
      </c>
      <c r="R457" t="str">
        <f t="shared" si="282"/>
        <v>Trident</v>
      </c>
      <c r="T457" s="4" t="s">
        <v>156</v>
      </c>
      <c r="V457" s="4" t="s">
        <v>156</v>
      </c>
      <c r="W457" t="str">
        <f t="shared" si="283"/>
        <v>Trident</v>
      </c>
      <c r="Y457" s="4" t="s">
        <v>156</v>
      </c>
      <c r="AA457" s="4" t="s">
        <v>156</v>
      </c>
      <c r="AB457" t="str">
        <f t="shared" si="284"/>
        <v>Trident</v>
      </c>
    </row>
    <row r="458" spans="1:28" ht="16.5" x14ac:dyDescent="0.3">
      <c r="A458" s="132">
        <f>IFERROR(IF(A457+1&lt;MAX(T041_ClassFeatures!$A$2:$A$2033),A457+1,""),"")</f>
        <v>455</v>
      </c>
      <c r="B458" s="131" t="str">
        <f>IFERROR(INDEX(T041_ClassFeatures!$B$2:$B$2033,MATCH('C03_ClassVariables'!A458,T041_ClassFeatures!$A$2:$A$2033,0),1),"")</f>
        <v>Misty Escape</v>
      </c>
      <c r="C458" s="131">
        <f>IF(B458="",0,IF(IFERROR(MATCH(B458,'C01_BaseCalculation'!$W$160:$W$239,0),0)&gt;0,1,0))</f>
        <v>0</v>
      </c>
      <c r="E458" s="4" t="s">
        <v>158</v>
      </c>
      <c r="G458" s="4" t="s">
        <v>158</v>
      </c>
      <c r="H458" t="str">
        <f t="shared" si="280"/>
        <v/>
      </c>
      <c r="J458" s="4" t="s">
        <v>158</v>
      </c>
      <c r="L458" s="4" t="s">
        <v>158</v>
      </c>
      <c r="M458" t="str">
        <f t="shared" si="281"/>
        <v>War Pick</v>
      </c>
      <c r="O458" s="4" t="s">
        <v>158</v>
      </c>
      <c r="Q458" s="4" t="s">
        <v>158</v>
      </c>
      <c r="R458" t="str">
        <f t="shared" si="282"/>
        <v>War Pick</v>
      </c>
      <c r="T458" s="4" t="s">
        <v>158</v>
      </c>
      <c r="V458" s="4" t="s">
        <v>158</v>
      </c>
      <c r="W458" t="str">
        <f t="shared" si="283"/>
        <v>War Pick</v>
      </c>
      <c r="Y458" s="4" t="s">
        <v>158</v>
      </c>
      <c r="AA458" s="4" t="s">
        <v>158</v>
      </c>
      <c r="AB458" t="str">
        <f t="shared" si="284"/>
        <v>War Pick</v>
      </c>
    </row>
    <row r="459" spans="1:28" ht="16.5" x14ac:dyDescent="0.3">
      <c r="A459" s="132">
        <f>IFERROR(IF(A458+1&lt;MAX(T041_ClassFeatures!$A$2:$A$2033),A458+1,""),"")</f>
        <v>456</v>
      </c>
      <c r="B459" s="131" t="str">
        <f>IFERROR(INDEX(T041_ClassFeatures!$B$2:$B$2033,MATCH('C03_ClassVariables'!A459,T041_ClassFeatures!$A$2:$A$2033,0),1),"")</f>
        <v>Beguiling Defenses</v>
      </c>
      <c r="C459" s="131">
        <f>IF(B459="",0,IF(IFERROR(MATCH(B459,'C01_BaseCalculation'!$W$160:$W$239,0),0)&gt;0,1,0))</f>
        <v>0</v>
      </c>
      <c r="E459" s="4" t="s">
        <v>38</v>
      </c>
      <c r="G459" s="4" t="s">
        <v>38</v>
      </c>
      <c r="H459" t="str">
        <f t="shared" si="280"/>
        <v/>
      </c>
      <c r="J459" s="4" t="s">
        <v>38</v>
      </c>
      <c r="L459" s="4" t="s">
        <v>38</v>
      </c>
      <c r="M459" t="str">
        <f t="shared" si="281"/>
        <v>Warhammer</v>
      </c>
      <c r="O459" s="4" t="s">
        <v>38</v>
      </c>
      <c r="Q459" s="4" t="s">
        <v>38</v>
      </c>
      <c r="R459" t="str">
        <f t="shared" si="282"/>
        <v>Warhammer</v>
      </c>
      <c r="T459" s="4" t="s">
        <v>38</v>
      </c>
      <c r="V459" s="4" t="s">
        <v>38</v>
      </c>
      <c r="W459" t="str">
        <f t="shared" si="283"/>
        <v>Warhammer</v>
      </c>
      <c r="Y459" s="4" t="s">
        <v>38</v>
      </c>
      <c r="AA459" s="4" t="s">
        <v>38</v>
      </c>
      <c r="AB459" t="str">
        <f t="shared" si="284"/>
        <v>Warhammer</v>
      </c>
    </row>
    <row r="460" spans="1:28" ht="16.5" x14ac:dyDescent="0.3">
      <c r="A460" s="132">
        <f>IFERROR(IF(A459+1&lt;MAX(T041_ClassFeatures!$A$2:$A$2033),A459+1,""),"")</f>
        <v>457</v>
      </c>
      <c r="B460" s="131" t="str">
        <f>IFERROR(INDEX(T041_ClassFeatures!$B$2:$B$2033,MATCH('C03_ClassVariables'!A460,T041_ClassFeatures!$A$2:$A$2033,0),1),"")</f>
        <v>Dark Delirium</v>
      </c>
      <c r="C460" s="131">
        <f>IF(B460="",0,IF(IFERROR(MATCH(B460,'C01_BaseCalculation'!$W$160:$W$239,0),0)&gt;0,1,0))</f>
        <v>0</v>
      </c>
      <c r="E460" s="4" t="s">
        <v>159</v>
      </c>
      <c r="G460" s="4" t="s">
        <v>159</v>
      </c>
      <c r="H460" t="str">
        <f t="shared" si="280"/>
        <v/>
      </c>
      <c r="J460" s="4" t="s">
        <v>159</v>
      </c>
      <c r="L460" s="4" t="s">
        <v>159</v>
      </c>
      <c r="M460" t="str">
        <f t="shared" si="281"/>
        <v>Whip</v>
      </c>
      <c r="O460" s="4" t="s">
        <v>159</v>
      </c>
      <c r="Q460" s="4" t="s">
        <v>159</v>
      </c>
      <c r="R460" t="str">
        <f t="shared" si="282"/>
        <v>Whip</v>
      </c>
      <c r="T460" s="4" t="s">
        <v>159</v>
      </c>
      <c r="V460" s="4" t="s">
        <v>159</v>
      </c>
      <c r="W460" t="str">
        <f t="shared" si="283"/>
        <v>Whip</v>
      </c>
      <c r="Y460" s="4" t="s">
        <v>159</v>
      </c>
      <c r="AA460" s="4" t="s">
        <v>159</v>
      </c>
      <c r="AB460" t="str">
        <f t="shared" si="284"/>
        <v>Whip</v>
      </c>
    </row>
    <row r="461" spans="1:28" ht="16.5" x14ac:dyDescent="0.3">
      <c r="A461" s="132">
        <f>IFERROR(IF(A460+1&lt;MAX(T041_ClassFeatures!$A$2:$A$2033),A460+1,""),"")</f>
        <v>458</v>
      </c>
      <c r="B461" s="131" t="str">
        <f>IFERROR(INDEX(T041_ClassFeatures!$B$2:$B$2033,MATCH('C03_ClassVariables'!A461,T041_ClassFeatures!$A$2:$A$2033,0),1),"")</f>
        <v>Expanded Spell List - the Fiend</v>
      </c>
      <c r="C461" s="131">
        <f>IF(B461="",0,IF(IFERROR(MATCH(B461,'C01_BaseCalculation'!$W$160:$W$239,0),0)&gt;0,1,0))</f>
        <v>0</v>
      </c>
      <c r="E461" s="4" t="s">
        <v>6397</v>
      </c>
      <c r="G461" s="4" t="s">
        <v>6397</v>
      </c>
      <c r="H461" t="str">
        <f t="shared" si="280"/>
        <v/>
      </c>
      <c r="J461" s="4" t="s">
        <v>6397</v>
      </c>
      <c r="L461" s="4" t="s">
        <v>6397</v>
      </c>
      <c r="M461" t="str">
        <f t="shared" si="281"/>
        <v>Unarmed</v>
      </c>
      <c r="O461" s="4" t="s">
        <v>6397</v>
      </c>
      <c r="Q461" s="4" t="s">
        <v>6397</v>
      </c>
      <c r="R461" t="str">
        <f t="shared" si="282"/>
        <v>Unarmed</v>
      </c>
      <c r="T461" s="4" t="s">
        <v>6397</v>
      </c>
      <c r="V461" s="4" t="s">
        <v>6397</v>
      </c>
      <c r="W461" t="str">
        <f t="shared" si="283"/>
        <v>Unarmed</v>
      </c>
      <c r="Y461" s="4" t="s">
        <v>6397</v>
      </c>
      <c r="AA461" s="4" t="s">
        <v>6397</v>
      </c>
      <c r="AB461" t="str">
        <f t="shared" si="284"/>
        <v>Unarmed</v>
      </c>
    </row>
    <row r="462" spans="1:28" ht="16.5" x14ac:dyDescent="0.3">
      <c r="A462" s="132">
        <f>IFERROR(IF(A461+1&lt;MAX(T041_ClassFeatures!$A$2:$A$2033),A461+1,""),"")</f>
        <v>459</v>
      </c>
      <c r="B462" s="131" t="str">
        <f>IFERROR(INDEX(T041_ClassFeatures!$B$2:$B$2033,MATCH('C03_ClassVariables'!A462,T041_ClassFeatures!$A$2:$A$2033,0),1),"")</f>
        <v>Dark One’s Blessing</v>
      </c>
      <c r="C462" s="131">
        <f>IF(B462="",0,IF(IFERROR(MATCH(B462,'C01_BaseCalculation'!$W$160:$W$239,0),0)&gt;0,1,0))</f>
        <v>0</v>
      </c>
      <c r="E462" s="501"/>
      <c r="G462" s="501" t="s">
        <v>110</v>
      </c>
      <c r="H462" t="str">
        <f t="shared" si="280"/>
        <v/>
      </c>
      <c r="J462" s="501"/>
      <c r="L462" s="501" t="s">
        <v>110</v>
      </c>
      <c r="M462" t="str">
        <f t="shared" si="281"/>
        <v>Shield</v>
      </c>
      <c r="O462" s="501"/>
      <c r="Q462" s="501" t="s">
        <v>110</v>
      </c>
      <c r="R462" t="str">
        <f t="shared" si="282"/>
        <v>Shield</v>
      </c>
      <c r="T462" s="501"/>
      <c r="V462" s="501" t="s">
        <v>110</v>
      </c>
      <c r="W462" t="str">
        <f t="shared" si="283"/>
        <v>Shield</v>
      </c>
      <c r="Y462" s="501"/>
      <c r="AA462" s="501" t="s">
        <v>110</v>
      </c>
      <c r="AB462" t="str">
        <f t="shared" si="284"/>
        <v>Shield</v>
      </c>
    </row>
    <row r="463" spans="1:28" ht="16.5" x14ac:dyDescent="0.3">
      <c r="A463" s="132">
        <f>IFERROR(IF(A462+1&lt;MAX(T041_ClassFeatures!$A$2:$A$2033),A462+1,""),"")</f>
        <v>460</v>
      </c>
      <c r="B463" s="131" t="str">
        <f>IFERROR(INDEX(T041_ClassFeatures!$B$2:$B$2033,MATCH('C03_ClassVariables'!A463,T041_ClassFeatures!$A$2:$A$2033,0),1),"")</f>
        <v>Dark One’s Own Luck</v>
      </c>
      <c r="C463" s="131">
        <f>IF(B463="",0,IF(IFERROR(MATCH(B463,'C01_BaseCalculation'!$W$160:$W$239,0),0)&gt;0,1,0))</f>
        <v>0</v>
      </c>
    </row>
    <row r="464" spans="1:28" ht="16.5" x14ac:dyDescent="0.3">
      <c r="A464" s="132">
        <f>IFERROR(IF(A463+1&lt;MAX(T041_ClassFeatures!$A$2:$A$2033),A463+1,""),"")</f>
        <v>461</v>
      </c>
      <c r="B464" s="131" t="str">
        <f>IFERROR(INDEX(T041_ClassFeatures!$B$2:$B$2033,MATCH('C03_ClassVariables'!A464,T041_ClassFeatures!$A$2:$A$2033,0),1),"")</f>
        <v>Fiendish Resilience</v>
      </c>
      <c r="C464" s="131">
        <f>IF(B464="",0,IF(IFERROR(MATCH(B464,'C01_BaseCalculation'!$W$160:$W$239,0),0)&gt;0,1,0))</f>
        <v>0</v>
      </c>
    </row>
    <row r="465" spans="1:3" ht="16.5" x14ac:dyDescent="0.3">
      <c r="A465" s="132">
        <f>IFERROR(IF(A464+1&lt;MAX(T041_ClassFeatures!$A$2:$A$2033),A464+1,""),"")</f>
        <v>462</v>
      </c>
      <c r="B465" s="131" t="str">
        <f>IFERROR(INDEX(T041_ClassFeatures!$B$2:$B$2033,MATCH('C03_ClassVariables'!A465,T041_ClassFeatures!$A$2:$A$2033,0),1),"")</f>
        <v>Hurl Through Hell</v>
      </c>
      <c r="C465" s="131">
        <f>IF(B465="",0,IF(IFERROR(MATCH(B465,'C01_BaseCalculation'!$W$160:$W$239,0),0)&gt;0,1,0))</f>
        <v>0</v>
      </c>
    </row>
    <row r="466" spans="1:3" ht="16.5" x14ac:dyDescent="0.3">
      <c r="A466" s="132">
        <f>IFERROR(IF(A465+1&lt;MAX(T041_ClassFeatures!$A$2:$A$2033),A465+1,""),"")</f>
        <v>463</v>
      </c>
      <c r="B466" s="131" t="str">
        <f>IFERROR(INDEX(T041_ClassFeatures!$B$2:$B$2033,MATCH('C03_ClassVariables'!A466,T041_ClassFeatures!$A$2:$A$2033,0),1),"")</f>
        <v>Expanded Spell List - the Old One</v>
      </c>
      <c r="C466" s="131">
        <f>IF(B466="",0,IF(IFERROR(MATCH(B466,'C01_BaseCalculation'!$W$160:$W$239,0),0)&gt;0,1,0))</f>
        <v>0</v>
      </c>
    </row>
    <row r="467" spans="1:3" ht="16.5" x14ac:dyDescent="0.3">
      <c r="A467" s="132">
        <f>IFERROR(IF(A466+1&lt;MAX(T041_ClassFeatures!$A$2:$A$2033),A466+1,""),"")</f>
        <v>464</v>
      </c>
      <c r="B467" s="131" t="str">
        <f>IFERROR(INDEX(T041_ClassFeatures!$B$2:$B$2033,MATCH('C03_ClassVariables'!A467,T041_ClassFeatures!$A$2:$A$2033,0),1),"")</f>
        <v>Awakened Mind</v>
      </c>
      <c r="C467" s="131">
        <f>IF(B467="",0,IF(IFERROR(MATCH(B467,'C01_BaseCalculation'!$W$160:$W$239,0),0)&gt;0,1,0))</f>
        <v>0</v>
      </c>
    </row>
    <row r="468" spans="1:3" ht="16.5" x14ac:dyDescent="0.3">
      <c r="A468" s="132">
        <f>IFERROR(IF(A467+1&lt;MAX(T041_ClassFeatures!$A$2:$A$2033),A467+1,""),"")</f>
        <v>465</v>
      </c>
      <c r="B468" s="131" t="str">
        <f>IFERROR(INDEX(T041_ClassFeatures!$B$2:$B$2033,MATCH('C03_ClassVariables'!A468,T041_ClassFeatures!$A$2:$A$2033,0),1),"")</f>
        <v>Entropic Ward</v>
      </c>
      <c r="C468" s="131">
        <f>IF(B468="",0,IF(IFERROR(MATCH(B468,'C01_BaseCalculation'!$W$160:$W$239,0),0)&gt;0,1,0))</f>
        <v>0</v>
      </c>
    </row>
    <row r="469" spans="1:3" ht="16.5" x14ac:dyDescent="0.3">
      <c r="A469" s="132">
        <f>IFERROR(IF(A468+1&lt;MAX(T041_ClassFeatures!$A$2:$A$2033),A468+1,""),"")</f>
        <v>466</v>
      </c>
      <c r="B469" s="131" t="str">
        <f>IFERROR(INDEX(T041_ClassFeatures!$B$2:$B$2033,MATCH('C03_ClassVariables'!A469,T041_ClassFeatures!$A$2:$A$2033,0),1),"")</f>
        <v>Thought Shield</v>
      </c>
      <c r="C469" s="131">
        <f>IF(B469="",0,IF(IFERROR(MATCH(B469,'C01_BaseCalculation'!$W$160:$W$239,0),0)&gt;0,1,0))</f>
        <v>0</v>
      </c>
    </row>
    <row r="470" spans="1:3" ht="16.5" x14ac:dyDescent="0.3">
      <c r="A470" s="132">
        <f>IFERROR(IF(A469+1&lt;MAX(T041_ClassFeatures!$A$2:$A$2033),A469+1,""),"")</f>
        <v>467</v>
      </c>
      <c r="B470" s="131" t="str">
        <f>IFERROR(INDEX(T041_ClassFeatures!$B$2:$B$2033,MATCH('C03_ClassVariables'!A470,T041_ClassFeatures!$A$2:$A$2033,0),1),"")</f>
        <v>Create thrall</v>
      </c>
      <c r="C470" s="131">
        <f>IF(B470="",0,IF(IFERROR(MATCH(B470,'C01_BaseCalculation'!$W$160:$W$239,0),0)&gt;0,1,0))</f>
        <v>0</v>
      </c>
    </row>
    <row r="471" spans="1:3" ht="16.5" x14ac:dyDescent="0.3">
      <c r="A471" s="132">
        <f>IFERROR(IF(A470+1&lt;MAX(T041_ClassFeatures!$A$2:$A$2033),A470+1,""),"")</f>
        <v>468</v>
      </c>
      <c r="B471" s="131" t="str">
        <f>IFERROR(INDEX(T041_ClassFeatures!$B$2:$B$2033,MATCH('C03_ClassVariables'!A471,T041_ClassFeatures!$A$2:$A$2033,0),1),"")</f>
        <v>Infuse Potions</v>
      </c>
      <c r="C471" s="131">
        <f>IF(B471="",0,IF(IFERROR(MATCH(B471,'C01_BaseCalculation'!$W$160:$W$239,0),0)&gt;0,1,0))</f>
        <v>0</v>
      </c>
    </row>
    <row r="472" spans="1:3" ht="16.5" x14ac:dyDescent="0.3">
      <c r="A472" s="132">
        <f>IFERROR(IF(A471+1&lt;MAX(T041_ClassFeatures!$A$2:$A$2033),A471+1,""),"")</f>
        <v>469</v>
      </c>
      <c r="B472" s="131" t="str">
        <f>IFERROR(INDEX(T041_ClassFeatures!$B$2:$B$2033,MATCH('C03_ClassVariables'!A472,T041_ClassFeatures!$A$2:$A$2033,0),1),"")</f>
        <v>Infuse Scrolls</v>
      </c>
      <c r="C472" s="131">
        <f>IF(B472="",0,IF(IFERROR(MATCH(B472,'C01_BaseCalculation'!$W$160:$W$239,0),0)&gt;0,1,0))</f>
        <v>0</v>
      </c>
    </row>
    <row r="473" spans="1:3" ht="16.5" x14ac:dyDescent="0.3">
      <c r="A473" s="132">
        <f>IFERROR(IF(A472+1&lt;MAX(T041_ClassFeatures!$A$2:$A$2033),A472+1,""),"")</f>
        <v>470</v>
      </c>
      <c r="B473" s="131" t="str">
        <f>IFERROR(INDEX(T041_ClassFeatures!$B$2:$B$2033,MATCH('C03_ClassVariables'!A473,T041_ClassFeatures!$A$2:$A$2033,0),1),"")</f>
        <v>Infuse Weapons and Armor</v>
      </c>
      <c r="C473" s="131">
        <f>IF(B473="",0,IF(IFERROR(MATCH(B473,'C01_BaseCalculation'!$W$160:$W$239,0),0)&gt;0,1,0))</f>
        <v>0</v>
      </c>
    </row>
    <row r="474" spans="1:3" ht="16.5" x14ac:dyDescent="0.3">
      <c r="A474" s="132">
        <f>IFERROR(IF(A473+1&lt;MAX(T041_ClassFeatures!$A$2:$A$2033),A473+1,""),"")</f>
        <v>471</v>
      </c>
      <c r="B474" s="131" t="str">
        <f>IFERROR(INDEX(T041_ClassFeatures!$B$2:$B$2033,MATCH('C03_ClassVariables'!A474,T041_ClassFeatures!$A$2:$A$2033,0),1),"")</f>
        <v>Superior Artificer</v>
      </c>
      <c r="C474" s="131">
        <f>IF(B474="",0,IF(IFERROR(MATCH(B474,'C01_BaseCalculation'!$W$160:$W$239,0),0)&gt;0,1,0))</f>
        <v>0</v>
      </c>
    </row>
    <row r="475" spans="1:3" ht="16.5" x14ac:dyDescent="0.3">
      <c r="A475" s="132">
        <f>IFERROR(IF(A474+1&lt;MAX(T041_ClassFeatures!$A$2:$A$2033),A474+1,""),"")</f>
        <v>472</v>
      </c>
      <c r="B475" s="131" t="str">
        <f>IFERROR(INDEX(T041_ClassFeatures!$B$2:$B$2033,MATCH('C03_ClassVariables'!A475,T041_ClassFeatures!$A$2:$A$2033,0),1),"")</f>
        <v>Master Artificer</v>
      </c>
      <c r="C475" s="131">
        <f>IF(B475="",0,IF(IFERROR(MATCH(B475,'C01_BaseCalculation'!$W$160:$W$239,0),0)&gt;0,1,0))</f>
        <v>0</v>
      </c>
    </row>
    <row r="476" spans="1:3" ht="16.5" x14ac:dyDescent="0.3">
      <c r="A476" s="132">
        <f>IFERROR(IF(A475+1&lt;MAX(T041_ClassFeatures!$A$2:$A$2033),A475+1,""),"")</f>
        <v>473</v>
      </c>
      <c r="B476" s="131" t="str">
        <f>IFERROR(INDEX(T041_ClassFeatures!$B$2:$B$2033,MATCH('C03_ClassVariables'!A476,T041_ClassFeatures!$A$2:$A$2033,0),1),"")</f>
        <v>Careful Spell</v>
      </c>
      <c r="C476" s="131">
        <f>IF(B476="",0,IF(IFERROR(MATCH(B476,'C01_BaseCalculation'!$W$160:$W$239,0),0)&gt;0,1,0))</f>
        <v>0</v>
      </c>
    </row>
    <row r="477" spans="1:3" ht="16.5" x14ac:dyDescent="0.3">
      <c r="A477" s="132">
        <f>IFERROR(IF(A476+1&lt;MAX(T041_ClassFeatures!$A$2:$A$2033),A476+1,""),"")</f>
        <v>474</v>
      </c>
      <c r="B477" s="131" t="str">
        <f>IFERROR(INDEX(T041_ClassFeatures!$B$2:$B$2033,MATCH('C03_ClassVariables'!A477,T041_ClassFeatures!$A$2:$A$2033,0),1),"")</f>
        <v>Distant Spell</v>
      </c>
      <c r="C477" s="131">
        <f>IF(B477="",0,IF(IFERROR(MATCH(B477,'C01_BaseCalculation'!$W$160:$W$239,0),0)&gt;0,1,0))</f>
        <v>0</v>
      </c>
    </row>
    <row r="478" spans="1:3" ht="16.5" x14ac:dyDescent="0.3">
      <c r="A478" s="132">
        <f>IFERROR(IF(A477+1&lt;MAX(T041_ClassFeatures!$A$2:$A$2033),A477+1,""),"")</f>
        <v>475</v>
      </c>
      <c r="B478" s="131" t="str">
        <f>IFERROR(INDEX(T041_ClassFeatures!$B$2:$B$2033,MATCH('C03_ClassVariables'!A478,T041_ClassFeatures!$A$2:$A$2033,0),1),"")</f>
        <v>Empowered Spell</v>
      </c>
      <c r="C478" s="131">
        <f>IF(B478="",0,IF(IFERROR(MATCH(B478,'C01_BaseCalculation'!$W$160:$W$239,0),0)&gt;0,1,0))</f>
        <v>0</v>
      </c>
    </row>
    <row r="479" spans="1:3" ht="16.5" x14ac:dyDescent="0.3">
      <c r="A479" s="132">
        <f>IFERROR(IF(A478+1&lt;MAX(T041_ClassFeatures!$A$2:$A$2033),A478+1,""),"")</f>
        <v>476</v>
      </c>
      <c r="B479" s="131" t="str">
        <f>IFERROR(INDEX(T041_ClassFeatures!$B$2:$B$2033,MATCH('C03_ClassVariables'!A479,T041_ClassFeatures!$A$2:$A$2033,0),1),"")</f>
        <v>Extended Spell</v>
      </c>
      <c r="C479" s="131">
        <f>IF(B479="",0,IF(IFERROR(MATCH(B479,'C01_BaseCalculation'!$W$160:$W$239,0),0)&gt;0,1,0))</f>
        <v>0</v>
      </c>
    </row>
    <row r="480" spans="1:3" ht="16.5" x14ac:dyDescent="0.3">
      <c r="A480" s="132">
        <f>IFERROR(IF(A479+1&lt;MAX(T041_ClassFeatures!$A$2:$A$2033),A479+1,""),"")</f>
        <v>477</v>
      </c>
      <c r="B480" s="131" t="str">
        <f>IFERROR(INDEX(T041_ClassFeatures!$B$2:$B$2033,MATCH('C03_ClassVariables'!A480,T041_ClassFeatures!$A$2:$A$2033,0),1),"")</f>
        <v>Heightened Spell</v>
      </c>
      <c r="C480" s="131">
        <f>IF(B480="",0,IF(IFERROR(MATCH(B480,'C01_BaseCalculation'!$W$160:$W$239,0),0)&gt;0,1,0))</f>
        <v>0</v>
      </c>
    </row>
    <row r="481" spans="1:3" ht="16.5" x14ac:dyDescent="0.3">
      <c r="A481" s="132">
        <f>IFERROR(IF(A480+1&lt;MAX(T041_ClassFeatures!$A$2:$A$2033),A480+1,""),"")</f>
        <v>478</v>
      </c>
      <c r="B481" s="131" t="str">
        <f>IFERROR(INDEX(T041_ClassFeatures!$B$2:$B$2033,MATCH('C03_ClassVariables'!A481,T041_ClassFeatures!$A$2:$A$2033,0),1),"")</f>
        <v>Quickened Spell</v>
      </c>
      <c r="C481" s="131">
        <f>IF(B481="",0,IF(IFERROR(MATCH(B481,'C01_BaseCalculation'!$W$160:$W$239,0),0)&gt;0,1,0))</f>
        <v>0</v>
      </c>
    </row>
    <row r="482" spans="1:3" ht="16.5" x14ac:dyDescent="0.3">
      <c r="A482" s="132">
        <f>IFERROR(IF(A481+1&lt;MAX(T041_ClassFeatures!$A$2:$A$2033),A481+1,""),"")</f>
        <v>479</v>
      </c>
      <c r="B482" s="131" t="str">
        <f>IFERROR(INDEX(T041_ClassFeatures!$B$2:$B$2033,MATCH('C03_ClassVariables'!A482,T041_ClassFeatures!$A$2:$A$2033,0),1),"")</f>
        <v>Subtle Spell</v>
      </c>
      <c r="C482" s="131">
        <f>IF(B482="",0,IF(IFERROR(MATCH(B482,'C01_BaseCalculation'!$W$160:$W$239,0),0)&gt;0,1,0))</f>
        <v>0</v>
      </c>
    </row>
    <row r="483" spans="1:3" ht="16.5" x14ac:dyDescent="0.3">
      <c r="A483" s="132">
        <f>IFERROR(IF(A482+1&lt;MAX(T041_ClassFeatures!$A$2:$A$2033),A482+1,""),"")</f>
        <v>480</v>
      </c>
      <c r="B483" s="131" t="str">
        <f>IFERROR(INDEX(T041_ClassFeatures!$B$2:$B$2033,MATCH('C03_ClassVariables'!A483,T041_ClassFeatures!$A$2:$A$2033,0),1),"")</f>
        <v>Twinned Spell</v>
      </c>
      <c r="C483" s="131">
        <f>IF(B483="",0,IF(IFERROR(MATCH(B483,'C01_BaseCalculation'!$W$160:$W$239,0),0)&gt;0,1,0))</f>
        <v>0</v>
      </c>
    </row>
    <row r="484" spans="1:3" ht="16.5" x14ac:dyDescent="0.3">
      <c r="A484" s="132">
        <f>IFERROR(IF(A483+1&lt;MAX(T041_ClassFeatures!$A$2:$A$2033),A483+1,""),"")</f>
        <v>481</v>
      </c>
      <c r="B484" s="131" t="str">
        <f>IFERROR(INDEX(T041_ClassFeatures!$B$2:$B$2033,MATCH('C03_ClassVariables'!A484,T041_ClassFeatures!$A$2:$A$2033,0),1),"")</f>
        <v>Additional Elemental Discipline</v>
      </c>
      <c r="C484" s="131">
        <f>IF(B484="",0,IF(IFERROR(MATCH(B484,'C01_BaseCalculation'!$W$160:$W$239,0),0)&gt;0,1,0))</f>
        <v>0</v>
      </c>
    </row>
    <row r="485" spans="1:3" ht="16.5" x14ac:dyDescent="0.3">
      <c r="A485" s="132">
        <f>IFERROR(IF(A484+1&lt;MAX(T041_ClassFeatures!$A$2:$A$2033),A484+1,""),"")</f>
        <v>482</v>
      </c>
      <c r="B485" s="131" t="str">
        <f>IFERROR(INDEX(T041_ClassFeatures!$B$2:$B$2033,MATCH('C03_ClassVariables'!A485,T041_ClassFeatures!$A$2:$A$2033,0),1),"")</f>
        <v>Additional Elemental Discipline</v>
      </c>
      <c r="C485" s="131">
        <f>IF(B485="",0,IF(IFERROR(MATCH(B485,'C01_BaseCalculation'!$W$160:$W$239,0),0)&gt;0,1,0))</f>
        <v>0</v>
      </c>
    </row>
    <row r="486" spans="1:3" ht="16.5" x14ac:dyDescent="0.3">
      <c r="A486" s="132">
        <f>IFERROR(IF(A485+1&lt;MAX(T041_ClassFeatures!$A$2:$A$2033),A485+1,""),"")</f>
        <v>483</v>
      </c>
      <c r="B486" s="131" t="str">
        <f>IFERROR(INDEX(T041_ClassFeatures!$B$2:$B$2033,MATCH('C03_ClassVariables'!A486,T041_ClassFeatures!$A$2:$A$2033,0),1),"")</f>
        <v>Additional Elemental Discipline</v>
      </c>
      <c r="C486" s="131">
        <f>IF(B486="",0,IF(IFERROR(MATCH(B486,'C01_BaseCalculation'!$W$160:$W$239,0),0)&gt;0,1,0))</f>
        <v>0</v>
      </c>
    </row>
    <row r="487" spans="1:3" ht="16.5" x14ac:dyDescent="0.3">
      <c r="A487" s="132">
        <f>IFERROR(IF(A486+1&lt;MAX(T041_ClassFeatures!$A$2:$A$2033),A486+1,""),"")</f>
        <v>484</v>
      </c>
      <c r="B487" s="131" t="str">
        <f>IFERROR(INDEX(T041_ClassFeatures!$B$2:$B$2033,MATCH('C03_ClassVariables'!A487,T041_ClassFeatures!$A$2:$A$2033,0),1),"")</f>
        <v>Arctic</v>
      </c>
      <c r="C487" s="131">
        <f>IF(B487="",0,IF(IFERROR(MATCH(B487,'C01_BaseCalculation'!$W$160:$W$239,0),0)&gt;0,1,0))</f>
        <v>0</v>
      </c>
    </row>
    <row r="488" spans="1:3" ht="16.5" x14ac:dyDescent="0.3">
      <c r="A488" s="132">
        <f>IFERROR(IF(A487+1&lt;MAX(T041_ClassFeatures!$A$2:$A$2033),A487+1,""),"")</f>
        <v>485</v>
      </c>
      <c r="B488" s="131" t="str">
        <f>IFERROR(INDEX(T041_ClassFeatures!$B$2:$B$2033,MATCH('C03_ClassVariables'!A488,T041_ClassFeatures!$A$2:$A$2033,0),1),"")</f>
        <v>Coast</v>
      </c>
      <c r="C488" s="131">
        <f>IF(B488="",0,IF(IFERROR(MATCH(B488,'C01_BaseCalculation'!$W$160:$W$239,0),0)&gt;0,1,0))</f>
        <v>0</v>
      </c>
    </row>
    <row r="489" spans="1:3" ht="16.5" x14ac:dyDescent="0.3">
      <c r="A489" s="132">
        <f>IFERROR(IF(A488+1&lt;MAX(T041_ClassFeatures!$A$2:$A$2033),A488+1,""),"")</f>
        <v>486</v>
      </c>
      <c r="B489" s="131" t="str">
        <f>IFERROR(INDEX(T041_ClassFeatures!$B$2:$B$2033,MATCH('C03_ClassVariables'!A489,T041_ClassFeatures!$A$2:$A$2033,0),1),"")</f>
        <v>Desert</v>
      </c>
      <c r="C489" s="131">
        <f>IF(B489="",0,IF(IFERROR(MATCH(B489,'C01_BaseCalculation'!$W$160:$W$239,0),0)&gt;0,1,0))</f>
        <v>0</v>
      </c>
    </row>
    <row r="490" spans="1:3" ht="16.5" x14ac:dyDescent="0.3">
      <c r="A490" s="132">
        <f>IFERROR(IF(A489+1&lt;MAX(T041_ClassFeatures!$A$2:$A$2033),A489+1,""),"")</f>
        <v>487</v>
      </c>
      <c r="B490" s="131" t="str">
        <f>IFERROR(INDEX(T041_ClassFeatures!$B$2:$B$2033,MATCH('C03_ClassVariables'!A490,T041_ClassFeatures!$A$2:$A$2033,0),1),"")</f>
        <v>Forest</v>
      </c>
      <c r="C490" s="131">
        <f>IF(B490="",0,IF(IFERROR(MATCH(B490,'C01_BaseCalculation'!$W$160:$W$239,0),0)&gt;0,1,0))</f>
        <v>0</v>
      </c>
    </row>
    <row r="491" spans="1:3" ht="16.5" x14ac:dyDescent="0.3">
      <c r="A491" s="132">
        <f>IFERROR(IF(A490+1&lt;MAX(T041_ClassFeatures!$A$2:$A$2033),A490+1,""),"")</f>
        <v>488</v>
      </c>
      <c r="B491" s="131" t="str">
        <f>IFERROR(INDEX(T041_ClassFeatures!$B$2:$B$2033,MATCH('C03_ClassVariables'!A491,T041_ClassFeatures!$A$2:$A$2033,0),1),"")</f>
        <v>Grassland</v>
      </c>
      <c r="C491" s="131">
        <f>IF(B491="",0,IF(IFERROR(MATCH(B491,'C01_BaseCalculation'!$W$160:$W$239,0),0)&gt;0,1,0))</f>
        <v>0</v>
      </c>
    </row>
    <row r="492" spans="1:3" ht="16.5" x14ac:dyDescent="0.3">
      <c r="A492" s="132">
        <f>IFERROR(IF(A491+1&lt;MAX(T041_ClassFeatures!$A$2:$A$2033),A491+1,""),"")</f>
        <v>489</v>
      </c>
      <c r="B492" s="131" t="str">
        <f>IFERROR(INDEX(T041_ClassFeatures!$B$2:$B$2033,MATCH('C03_ClassVariables'!A492,T041_ClassFeatures!$A$2:$A$2033,0),1),"")</f>
        <v>Mountain</v>
      </c>
      <c r="C492" s="131">
        <f>IF(B492="",0,IF(IFERROR(MATCH(B492,'C01_BaseCalculation'!$W$160:$W$239,0),0)&gt;0,1,0))</f>
        <v>0</v>
      </c>
    </row>
    <row r="493" spans="1:3" ht="16.5" x14ac:dyDescent="0.3">
      <c r="A493" s="132">
        <f>IFERROR(IF(A492+1&lt;MAX(T041_ClassFeatures!$A$2:$A$2033),A492+1,""),"")</f>
        <v>490</v>
      </c>
      <c r="B493" s="131" t="str">
        <f>IFERROR(INDEX(T041_ClassFeatures!$B$2:$B$2033,MATCH('C03_ClassVariables'!A493,T041_ClassFeatures!$A$2:$A$2033,0),1),"")</f>
        <v>Swamp</v>
      </c>
      <c r="C493" s="131">
        <f>IF(B493="",0,IF(IFERROR(MATCH(B493,'C01_BaseCalculation'!$W$160:$W$239,0),0)&gt;0,1,0))</f>
        <v>0</v>
      </c>
    </row>
    <row r="494" spans="1:3" ht="16.5" x14ac:dyDescent="0.3">
      <c r="A494" s="132">
        <f>IFERROR(IF(A493+1&lt;MAX(T041_ClassFeatures!$A$2:$A$2033),A493+1,""),"")</f>
        <v>491</v>
      </c>
      <c r="B494" s="131" t="str">
        <f>IFERROR(INDEX(T041_ClassFeatures!$B$2:$B$2033,MATCH('C03_ClassVariables'!A494,T041_ClassFeatures!$A$2:$A$2033,0),1),"")</f>
        <v>Underdark</v>
      </c>
      <c r="C494" s="131">
        <f>IF(B494="",0,IF(IFERROR(MATCH(B494,'C01_BaseCalculation'!$W$160:$W$239,0),0)&gt;0,1,0))</f>
        <v>0</v>
      </c>
    </row>
    <row r="495" spans="1:3" ht="16.5" x14ac:dyDescent="0.3">
      <c r="A495" s="132">
        <f>IFERROR(IF(A494+1&lt;MAX(T041_ClassFeatures!$A$2:$A$2033),A494+1,""),"")</f>
        <v>492</v>
      </c>
      <c r="B495" s="131" t="str">
        <f>IFERROR(INDEX(T041_ClassFeatures!$B$2:$B$2033,MATCH('C03_ClassVariables'!A495,T041_ClassFeatures!$A$2:$A$2033,0),1),"")</f>
        <v>Knowledge</v>
      </c>
      <c r="C495" s="131">
        <f>IF(B495="",0,IF(IFERROR(MATCH(B495,'C01_BaseCalculation'!$W$160:$W$239,0),0)&gt;0,1,0))</f>
        <v>0</v>
      </c>
    </row>
    <row r="496" spans="1:3" ht="16.5" x14ac:dyDescent="0.3">
      <c r="A496" s="132">
        <f>IFERROR(IF(A495+1&lt;MAX(T041_ClassFeatures!$A$2:$A$2033),A495+1,""),"")</f>
        <v>493</v>
      </c>
      <c r="B496" s="131" t="str">
        <f>IFERROR(INDEX(T041_ClassFeatures!$B$2:$B$2033,MATCH('C03_ClassVariables'!A496,T041_ClassFeatures!$A$2:$A$2033,0),1),"")</f>
        <v>Life</v>
      </c>
      <c r="C496" s="131">
        <f>IF(B496="",0,IF(IFERROR(MATCH(B496,'C01_BaseCalculation'!$W$160:$W$239,0),0)&gt;0,1,0))</f>
        <v>0</v>
      </c>
    </row>
    <row r="497" spans="1:3" ht="16.5" x14ac:dyDescent="0.3">
      <c r="A497" s="132">
        <f>IFERROR(IF(A496+1&lt;MAX(T041_ClassFeatures!$A$2:$A$2033),A496+1,""),"")</f>
        <v>494</v>
      </c>
      <c r="B497" s="131" t="str">
        <f>IFERROR(INDEX(T041_ClassFeatures!$B$2:$B$2033,MATCH('C03_ClassVariables'!A497,T041_ClassFeatures!$A$2:$A$2033,0),1),"")</f>
        <v>Light</v>
      </c>
      <c r="C497" s="131">
        <f>IF(B497="",0,IF(IFERROR(MATCH(B497,'C01_BaseCalculation'!$W$160:$W$239,0),0)&gt;0,1,0))</f>
        <v>0</v>
      </c>
    </row>
    <row r="498" spans="1:3" ht="16.5" x14ac:dyDescent="0.3">
      <c r="A498" s="132">
        <f>IFERROR(IF(A497+1&lt;MAX(T041_ClassFeatures!$A$2:$A$2033),A497+1,""),"")</f>
        <v>495</v>
      </c>
      <c r="B498" s="131" t="str">
        <f>IFERROR(INDEX(T041_ClassFeatures!$B$2:$B$2033,MATCH('C03_ClassVariables'!A498,T041_ClassFeatures!$A$2:$A$2033,0),1),"")</f>
        <v>Nature</v>
      </c>
      <c r="C498" s="131">
        <f>IF(B498="",0,IF(IFERROR(MATCH(B498,'C01_BaseCalculation'!$W$160:$W$239,0),0)&gt;0,1,0))</f>
        <v>0</v>
      </c>
    </row>
    <row r="499" spans="1:3" ht="16.5" x14ac:dyDescent="0.3">
      <c r="A499" s="132">
        <f>IFERROR(IF(A498+1&lt;MAX(T041_ClassFeatures!$A$2:$A$2033),A498+1,""),"")</f>
        <v>496</v>
      </c>
      <c r="B499" s="131" t="str">
        <f>IFERROR(INDEX(T041_ClassFeatures!$B$2:$B$2033,MATCH('C03_ClassVariables'!A499,T041_ClassFeatures!$A$2:$A$2033,0),1),"")</f>
        <v>Tempest</v>
      </c>
      <c r="C499" s="131">
        <f>IF(B499="",0,IF(IFERROR(MATCH(B499,'C01_BaseCalculation'!$W$160:$W$239,0),0)&gt;0,1,0))</f>
        <v>0</v>
      </c>
    </row>
    <row r="500" spans="1:3" ht="16.5" x14ac:dyDescent="0.3">
      <c r="A500" s="132">
        <f>IFERROR(IF(A499+1&lt;MAX(T041_ClassFeatures!$A$2:$A$2033),A499+1,""),"")</f>
        <v>497</v>
      </c>
      <c r="B500" s="131" t="str">
        <f>IFERROR(INDEX(T041_ClassFeatures!$B$2:$B$2033,MATCH('C03_ClassVariables'!A500,T041_ClassFeatures!$A$2:$A$2033,0),1),"")</f>
        <v>Trickery</v>
      </c>
      <c r="C500" s="131">
        <f>IF(B500="",0,IF(IFERROR(MATCH(B500,'C01_BaseCalculation'!$W$160:$W$239,0),0)&gt;0,1,0))</f>
        <v>0</v>
      </c>
    </row>
    <row r="501" spans="1:3" ht="16.5" x14ac:dyDescent="0.3">
      <c r="A501" s="132">
        <f>IFERROR(IF(A500+1&lt;MAX(T041_ClassFeatures!$A$2:$A$2033),A500+1,""),"")</f>
        <v>498</v>
      </c>
      <c r="B501" s="131" t="str">
        <f>IFERROR(INDEX(T041_ClassFeatures!$B$2:$B$2033,MATCH('C03_ClassVariables'!A501,T041_ClassFeatures!$A$2:$A$2033,0),1),"")</f>
        <v>War</v>
      </c>
      <c r="C501" s="131">
        <f>IF(B501="",0,IF(IFERROR(MATCH(B501,'C01_BaseCalculation'!$W$160:$W$239,0),0)&gt;0,1,0))</f>
        <v>0</v>
      </c>
    </row>
    <row r="502" spans="1:3" ht="16.5" x14ac:dyDescent="0.3">
      <c r="A502" s="132">
        <f>IFERROR(IF(A501+1&lt;MAX(T041_ClassFeatures!$A$2:$A$2033),A501+1,""),"")</f>
        <v>499</v>
      </c>
      <c r="B502" s="131" t="str">
        <f>IFERROR(INDEX(T041_ClassFeatures!$B$2:$B$2033,MATCH('C03_ClassVariables'!A502,T041_ClassFeatures!$A$2:$A$2033,0),1),"")</f>
        <v>Death</v>
      </c>
      <c r="C502" s="131">
        <f>IF(B502="",0,IF(IFERROR(MATCH(B502,'C01_BaseCalculation'!$W$160:$W$239,0),0)&gt;0,1,0))</f>
        <v>0</v>
      </c>
    </row>
    <row r="503" spans="1:3" ht="16.5" x14ac:dyDescent="0.3">
      <c r="A503" s="132">
        <f>IFERROR(IF(A502+1&lt;MAX(T041_ClassFeatures!$A$2:$A$2033),A502+1,""),"")</f>
        <v>500</v>
      </c>
      <c r="B503" s="131" t="str">
        <f>IFERROR(INDEX(T041_ClassFeatures!$B$2:$B$2033,MATCH('C03_ClassVariables'!A503,T041_ClassFeatures!$A$2:$A$2033,0),1),"")</f>
        <v>Devotion</v>
      </c>
      <c r="C503" s="131">
        <f>IF(B503="",0,IF(IFERROR(MATCH(B503,'C01_BaseCalculation'!$W$160:$W$239,0),0)&gt;0,1,0))</f>
        <v>0</v>
      </c>
    </row>
    <row r="504" spans="1:3" ht="16.5" x14ac:dyDescent="0.3">
      <c r="A504" s="132">
        <f>IFERROR(IF(A503+1&lt;MAX(T041_ClassFeatures!$A$2:$A$2033),A503+1,""),"")</f>
        <v>501</v>
      </c>
      <c r="B504" s="131" t="str">
        <f>IFERROR(INDEX(T041_ClassFeatures!$B$2:$B$2033,MATCH('C03_ClassVariables'!A504,T041_ClassFeatures!$A$2:$A$2033,0),1),"")</f>
        <v>Vengeance</v>
      </c>
      <c r="C504" s="131">
        <f>IF(B504="",0,IF(IFERROR(MATCH(B504,'C01_BaseCalculation'!$W$160:$W$239,0),0)&gt;0,1,0))</f>
        <v>0</v>
      </c>
    </row>
    <row r="505" spans="1:3" ht="16.5" x14ac:dyDescent="0.3">
      <c r="A505" s="132">
        <f>IFERROR(IF(A504+1&lt;MAX(T041_ClassFeatures!$A$2:$A$2033),A504+1,""),"")</f>
        <v>502</v>
      </c>
      <c r="B505" s="131" t="str">
        <f>IFERROR(INDEX(T041_ClassFeatures!$B$2:$B$2033,MATCH('C03_ClassVariables'!A505,T041_ClassFeatures!$A$2:$A$2033,0),1),"")</f>
        <v>Ancients</v>
      </c>
      <c r="C505" s="131">
        <f>IF(B505="",0,IF(IFERROR(MATCH(B505,'C01_BaseCalculation'!$W$160:$W$239,0),0)&gt;0,1,0))</f>
        <v>0</v>
      </c>
    </row>
    <row r="506" spans="1:3" ht="16.5" x14ac:dyDescent="0.3">
      <c r="A506" s="132">
        <f>IFERROR(IF(A505+1&lt;MAX(T041_ClassFeatures!$A$2:$A$2033),A505+1,""),"")</f>
        <v>503</v>
      </c>
      <c r="B506" s="131" t="str">
        <f>IFERROR(INDEX(T041_ClassFeatures!$B$2:$B$2033,MATCH('C03_ClassVariables'!A506,T041_ClassFeatures!$A$2:$A$2033,0),1),"")</f>
        <v>Oathbreaker</v>
      </c>
      <c r="C506" s="131">
        <f>IF(B506="",0,IF(IFERROR(MATCH(B506,'C01_BaseCalculation'!$W$160:$W$239,0),0)&gt;0,1,0))</f>
        <v>0</v>
      </c>
    </row>
    <row r="507" spans="1:3" ht="16.5" x14ac:dyDescent="0.3">
      <c r="A507" s="132">
        <f>IFERROR(IF(A506+1&lt;MAX(T041_ClassFeatures!$A$2:$A$2033),A506+1,""),"")</f>
        <v>504</v>
      </c>
      <c r="B507" s="131" t="str">
        <f>IFERROR(INDEX(T041_ClassFeatures!$B$2:$B$2033,MATCH('C03_ClassVariables'!A507,T041_ClassFeatures!$A$2:$A$2033,0),1),"")</f>
        <v>Archfey</v>
      </c>
      <c r="C507" s="131">
        <f>IF(B507="",0,IF(IFERROR(MATCH(B507,'C01_BaseCalculation'!$W$160:$W$239,0),0)&gt;0,1,0))</f>
        <v>0</v>
      </c>
    </row>
    <row r="508" spans="1:3" ht="16.5" x14ac:dyDescent="0.3">
      <c r="A508" s="132">
        <f>IFERROR(IF(A507+1&lt;MAX(T041_ClassFeatures!$A$2:$A$2033),A507+1,""),"")</f>
        <v>505</v>
      </c>
      <c r="B508" s="131" t="str">
        <f>IFERROR(INDEX(T041_ClassFeatures!$B$2:$B$2033,MATCH('C03_ClassVariables'!A508,T041_ClassFeatures!$A$2:$A$2033,0),1),"")</f>
        <v>Archfiend</v>
      </c>
      <c r="C508" s="131">
        <f>IF(B508="",0,IF(IFERROR(MATCH(B508,'C01_BaseCalculation'!$W$160:$W$239,0),0)&gt;0,1,0))</f>
        <v>0</v>
      </c>
    </row>
    <row r="509" spans="1:3" ht="16.5" x14ac:dyDescent="0.3">
      <c r="A509" s="132">
        <f>IFERROR(IF(A508+1&lt;MAX(T041_ClassFeatures!$A$2:$A$2033),A508+1,""),"")</f>
        <v>506</v>
      </c>
      <c r="B509" s="131" t="str">
        <f>IFERROR(INDEX(T041_ClassFeatures!$B$2:$B$2033,MATCH('C03_ClassVariables'!A509,T041_ClassFeatures!$A$2:$A$2033,0),1),"")</f>
        <v>Great Old One</v>
      </c>
      <c r="C509" s="131">
        <f>IF(B509="",0,IF(IFERROR(MATCH(B509,'C01_BaseCalculation'!$W$160:$W$239,0),0)&gt;0,1,0))</f>
        <v>0</v>
      </c>
    </row>
  </sheetData>
  <sortState xmlns:xlrd2="http://schemas.microsoft.com/office/spreadsheetml/2017/richdata2" ref="J49:J54">
    <sortCondition ref="J49"/>
  </sortState>
  <mergeCells count="90">
    <mergeCell ref="AF28:AG28"/>
    <mergeCell ref="E3:F3"/>
    <mergeCell ref="G3:H3"/>
    <mergeCell ref="I3:J3"/>
    <mergeCell ref="AF20:AG20"/>
    <mergeCell ref="I313:J313"/>
    <mergeCell ref="O313:P313"/>
    <mergeCell ref="Q313:S313"/>
    <mergeCell ref="U313:V313"/>
    <mergeCell ref="W313:Y313"/>
    <mergeCell ref="AB192:AF192"/>
    <mergeCell ref="W242:Y242"/>
    <mergeCell ref="Z242:AB242"/>
    <mergeCell ref="AC242:AE242"/>
    <mergeCell ref="AF242:AH242"/>
    <mergeCell ref="L48:O48"/>
    <mergeCell ref="CW313:CY313"/>
    <mergeCell ref="DA313:DB313"/>
    <mergeCell ref="DS313:DT313"/>
    <mergeCell ref="BI192:BN192"/>
    <mergeCell ref="CM192:CR192"/>
    <mergeCell ref="BY313:CA313"/>
    <mergeCell ref="CC313:CD313"/>
    <mergeCell ref="CE313:CG313"/>
    <mergeCell ref="CO313:CP313"/>
    <mergeCell ref="BO192:BT192"/>
    <mergeCell ref="BU192:BZ192"/>
    <mergeCell ref="CU313:CV313"/>
    <mergeCell ref="BS313:BU313"/>
    <mergeCell ref="BW313:BX313"/>
    <mergeCell ref="AG192:AK192"/>
    <mergeCell ref="DU313:DW313"/>
    <mergeCell ref="DC313:DE313"/>
    <mergeCell ref="DG313:DH313"/>
    <mergeCell ref="DI313:DK313"/>
    <mergeCell ref="DM313:DN313"/>
    <mergeCell ref="DO313:DQ313"/>
    <mergeCell ref="CK313:CM313"/>
    <mergeCell ref="CA192:CF192"/>
    <mergeCell ref="CG192:CL192"/>
    <mergeCell ref="CQ313:CS313"/>
    <mergeCell ref="BQ313:BR313"/>
    <mergeCell ref="BG313:BI313"/>
    <mergeCell ref="BK313:BL313"/>
    <mergeCell ref="BM313:BO313"/>
    <mergeCell ref="BC192:BH192"/>
    <mergeCell ref="AL192:AP192"/>
    <mergeCell ref="AM313:AN313"/>
    <mergeCell ref="AO313:AQ313"/>
    <mergeCell ref="AM285:AP285"/>
    <mergeCell ref="AQ192:AV192"/>
    <mergeCell ref="AW192:BB192"/>
    <mergeCell ref="BE313:BF313"/>
    <mergeCell ref="AR285:AU285"/>
    <mergeCell ref="AW285:AZ285"/>
    <mergeCell ref="AY313:AZ313"/>
    <mergeCell ref="BA313:BC313"/>
    <mergeCell ref="AS313:AT313"/>
    <mergeCell ref="AU313:AW313"/>
    <mergeCell ref="BB285:BE285"/>
    <mergeCell ref="K313:M313"/>
    <mergeCell ref="S285:V285"/>
    <mergeCell ref="X285:AA285"/>
    <mergeCell ref="AC285:AF285"/>
    <mergeCell ref="AA313:AB313"/>
    <mergeCell ref="AC313:AE313"/>
    <mergeCell ref="AG313:AH313"/>
    <mergeCell ref="AI313:AK313"/>
    <mergeCell ref="AH285:AK285"/>
    <mergeCell ref="L59:O59"/>
    <mergeCell ref="K242:M242"/>
    <mergeCell ref="N242:P242"/>
    <mergeCell ref="Q242:S242"/>
    <mergeCell ref="T242:V242"/>
    <mergeCell ref="H212:U213"/>
    <mergeCell ref="M192:Q192"/>
    <mergeCell ref="R192:V192"/>
    <mergeCell ref="I171:J171"/>
    <mergeCell ref="K171:O171"/>
    <mergeCell ref="I122:J122"/>
    <mergeCell ref="O85:S85"/>
    <mergeCell ref="P171:T171"/>
    <mergeCell ref="U171:Y171"/>
    <mergeCell ref="I192:J192"/>
    <mergeCell ref="W192:AA192"/>
    <mergeCell ref="FI1:FL2"/>
    <mergeCell ref="FN1:FQ2"/>
    <mergeCell ref="CS192:CX192"/>
    <mergeCell ref="CY192:DD192"/>
    <mergeCell ref="DE192:DJ192"/>
  </mergeCells>
  <dataValidations count="1">
    <dataValidation type="list" allowBlank="1" showInputMessage="1" showErrorMessage="1" sqref="F397" xr:uid="{00000000-0002-0000-0600-000000000000}">
      <formula1>Acid_Splash</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20">
    <tabColor rgb="FFFFFF00"/>
  </sheetPr>
  <dimension ref="A1:AO111"/>
  <sheetViews>
    <sheetView workbookViewId="0">
      <selection activeCell="L24" sqref="L24"/>
    </sheetView>
  </sheetViews>
  <sheetFormatPr defaultRowHeight="15" outlineLevelRow="1" x14ac:dyDescent="0.25"/>
  <sheetData>
    <row r="1" spans="1:41" x14ac:dyDescent="0.25">
      <c r="A1" s="458" t="s">
        <v>392</v>
      </c>
      <c r="B1" s="458" t="s">
        <v>2793</v>
      </c>
      <c r="C1" s="458" t="s">
        <v>2794</v>
      </c>
      <c r="D1" s="458" t="s">
        <v>2795</v>
      </c>
      <c r="E1" s="458" t="s">
        <v>2796</v>
      </c>
      <c r="F1" s="458" t="s">
        <v>2797</v>
      </c>
      <c r="G1" s="458" t="s">
        <v>2798</v>
      </c>
      <c r="H1" s="458" t="s">
        <v>2799</v>
      </c>
      <c r="I1" s="458" t="s">
        <v>2912</v>
      </c>
      <c r="J1" s="458" t="s">
        <v>2913</v>
      </c>
      <c r="K1" s="458" t="s">
        <v>2914</v>
      </c>
      <c r="L1" s="458" t="s">
        <v>2922</v>
      </c>
      <c r="M1" s="458" t="s">
        <v>2924</v>
      </c>
      <c r="N1" s="458" t="s">
        <v>2926</v>
      </c>
      <c r="O1" s="458" t="s">
        <v>2928</v>
      </c>
      <c r="P1" s="458" t="s">
        <v>2930</v>
      </c>
      <c r="Q1" s="458" t="s">
        <v>2932</v>
      </c>
      <c r="R1" s="458" t="s">
        <v>2934</v>
      </c>
      <c r="S1" s="458" t="s">
        <v>2936</v>
      </c>
      <c r="T1" s="458" t="s">
        <v>2938</v>
      </c>
      <c r="U1" s="458" t="s">
        <v>2940</v>
      </c>
      <c r="V1" s="458" t="s">
        <v>2865</v>
      </c>
      <c r="W1" s="458" t="s">
        <v>2866</v>
      </c>
      <c r="X1" s="458" t="s">
        <v>2869</v>
      </c>
      <c r="Y1" s="458" t="s">
        <v>2915</v>
      </c>
      <c r="Z1" s="458" t="s">
        <v>2916</v>
      </c>
      <c r="AA1" s="458" t="s">
        <v>2917</v>
      </c>
      <c r="AB1" s="458" t="s">
        <v>2918</v>
      </c>
      <c r="AC1" s="458" t="s">
        <v>2919</v>
      </c>
      <c r="AD1" s="458" t="s">
        <v>2920</v>
      </c>
      <c r="AE1" s="458" t="s">
        <v>2921</v>
      </c>
      <c r="AF1" s="458" t="s">
        <v>2923</v>
      </c>
      <c r="AG1" s="458" t="s">
        <v>2925</v>
      </c>
      <c r="AH1" s="458" t="s">
        <v>2927</v>
      </c>
      <c r="AI1" s="458" t="s">
        <v>2929</v>
      </c>
      <c r="AJ1" s="458" t="s">
        <v>2931</v>
      </c>
      <c r="AK1" s="458" t="s">
        <v>2933</v>
      </c>
      <c r="AL1" s="458" t="s">
        <v>2935</v>
      </c>
      <c r="AM1" s="458" t="s">
        <v>2937</v>
      </c>
      <c r="AN1" s="458" t="s">
        <v>2939</v>
      </c>
      <c r="AO1" s="458" t="s">
        <v>2941</v>
      </c>
    </row>
    <row r="2" spans="1:41" x14ac:dyDescent="0.25">
      <c r="A2" s="429" t="s">
        <v>2870</v>
      </c>
      <c r="B2" s="429" t="s">
        <v>2871</v>
      </c>
      <c r="C2" s="429" t="s">
        <v>2872</v>
      </c>
      <c r="D2" s="429" t="s">
        <v>2873</v>
      </c>
      <c r="E2" s="429" t="s">
        <v>2874</v>
      </c>
      <c r="F2" s="429" t="s">
        <v>2875</v>
      </c>
      <c r="G2" s="429" t="s">
        <v>2806</v>
      </c>
      <c r="H2" s="429" t="s">
        <v>2876</v>
      </c>
      <c r="I2" s="429" t="s">
        <v>2877</v>
      </c>
      <c r="J2" s="429" t="s">
        <v>2878</v>
      </c>
      <c r="K2" s="429" t="s">
        <v>2879</v>
      </c>
      <c r="L2" s="429" t="s">
        <v>2880</v>
      </c>
      <c r="M2" s="429" t="s">
        <v>2881</v>
      </c>
      <c r="N2" s="429" t="s">
        <v>2882</v>
      </c>
      <c r="O2" s="429" t="s">
        <v>2883</v>
      </c>
      <c r="P2" s="429"/>
      <c r="Q2" s="429"/>
      <c r="R2" s="429"/>
      <c r="S2" s="429"/>
      <c r="T2" s="429"/>
      <c r="U2" s="429"/>
      <c r="V2" s="429">
        <v>1</v>
      </c>
      <c r="W2" s="429">
        <v>1</v>
      </c>
      <c r="X2" s="429">
        <v>1</v>
      </c>
      <c r="Y2" s="429">
        <v>5</v>
      </c>
      <c r="Z2" s="429">
        <v>1</v>
      </c>
      <c r="AA2" s="429">
        <v>1</v>
      </c>
      <c r="AB2" s="429">
        <v>1</v>
      </c>
      <c r="AC2" s="429">
        <v>10</v>
      </c>
      <c r="AD2" s="429">
        <v>1</v>
      </c>
      <c r="AE2" s="429">
        <v>2</v>
      </c>
      <c r="AF2" s="429">
        <v>5</v>
      </c>
      <c r="AG2" s="429">
        <v>1</v>
      </c>
      <c r="AH2" s="429">
        <v>1</v>
      </c>
      <c r="AI2" s="429">
        <v>1</v>
      </c>
      <c r="AJ2" s="429"/>
      <c r="AK2" s="429"/>
      <c r="AL2" s="429"/>
      <c r="AM2" s="429"/>
      <c r="AN2" s="429"/>
      <c r="AO2" s="429"/>
    </row>
    <row r="3" spans="1:41" x14ac:dyDescent="0.25">
      <c r="A3" s="429" t="s">
        <v>2893</v>
      </c>
      <c r="B3" s="429" t="s">
        <v>2884</v>
      </c>
      <c r="C3" s="429" t="s">
        <v>2885</v>
      </c>
      <c r="D3" s="429" t="s">
        <v>2814</v>
      </c>
      <c r="E3" s="429" t="s">
        <v>2886</v>
      </c>
      <c r="F3" s="429" t="s">
        <v>2887</v>
      </c>
      <c r="G3" s="429" t="s">
        <v>2888</v>
      </c>
      <c r="H3" s="429" t="s">
        <v>2879</v>
      </c>
      <c r="I3" s="429" t="s">
        <v>2889</v>
      </c>
      <c r="J3" s="429" t="s">
        <v>2890</v>
      </c>
      <c r="K3" s="429" t="s">
        <v>2891</v>
      </c>
      <c r="L3" s="429" t="s">
        <v>2892</v>
      </c>
      <c r="M3" s="429"/>
      <c r="N3" s="429"/>
      <c r="O3" s="429"/>
      <c r="P3" s="429"/>
      <c r="Q3" s="429"/>
      <c r="R3" s="429"/>
      <c r="S3" s="429"/>
      <c r="T3" s="429"/>
      <c r="U3" s="429"/>
      <c r="V3" s="429">
        <v>1</v>
      </c>
      <c r="W3" s="429">
        <v>2</v>
      </c>
      <c r="X3" s="429">
        <v>1</v>
      </c>
      <c r="Y3" s="429">
        <v>1</v>
      </c>
      <c r="Z3" s="429">
        <v>1</v>
      </c>
      <c r="AA3" s="429">
        <v>1</v>
      </c>
      <c r="AB3" s="429">
        <v>2</v>
      </c>
      <c r="AC3" s="429">
        <v>1</v>
      </c>
      <c r="AD3" s="429">
        <v>1</v>
      </c>
      <c r="AE3" s="429">
        <v>1</v>
      </c>
      <c r="AF3" s="429">
        <v>1</v>
      </c>
      <c r="AG3" s="429"/>
      <c r="AH3" s="429"/>
      <c r="AI3" s="429"/>
      <c r="AJ3" s="429"/>
      <c r="AK3" s="429"/>
      <c r="AL3" s="429"/>
      <c r="AM3" s="429"/>
      <c r="AN3" s="429"/>
      <c r="AO3" s="429"/>
    </row>
    <row r="4" spans="1:41" x14ac:dyDescent="0.25">
      <c r="A4" s="429" t="s">
        <v>2894</v>
      </c>
      <c r="B4" s="429" t="s">
        <v>2871</v>
      </c>
      <c r="C4" s="429" t="s">
        <v>2806</v>
      </c>
      <c r="D4" s="429" t="s">
        <v>2876</v>
      </c>
      <c r="E4" s="429" t="s">
        <v>2877</v>
      </c>
      <c r="F4" s="429" t="s">
        <v>2895</v>
      </c>
      <c r="G4" s="429" t="s">
        <v>2881</v>
      </c>
      <c r="H4" s="429" t="s">
        <v>2880</v>
      </c>
      <c r="I4" s="429" t="s">
        <v>2882</v>
      </c>
      <c r="J4" s="429" t="s">
        <v>2883</v>
      </c>
      <c r="K4" s="429"/>
      <c r="L4" s="429"/>
      <c r="M4" s="429"/>
      <c r="N4" s="429"/>
      <c r="O4" s="429"/>
      <c r="P4" s="429"/>
      <c r="Q4" s="429"/>
      <c r="R4" s="429"/>
      <c r="S4" s="429"/>
      <c r="T4" s="429"/>
      <c r="U4" s="429"/>
      <c r="V4" s="429">
        <v>1</v>
      </c>
      <c r="W4" s="429">
        <v>1</v>
      </c>
      <c r="X4" s="429">
        <v>1</v>
      </c>
      <c r="Y4" s="429">
        <v>10</v>
      </c>
      <c r="Z4" s="429">
        <v>10</v>
      </c>
      <c r="AA4" s="429">
        <v>1</v>
      </c>
      <c r="AB4" s="429">
        <v>5</v>
      </c>
      <c r="AC4" s="429">
        <v>1</v>
      </c>
      <c r="AD4" s="429">
        <v>1</v>
      </c>
      <c r="AE4" s="429"/>
      <c r="AF4" s="429"/>
      <c r="AG4" s="429"/>
      <c r="AH4" s="429"/>
      <c r="AI4" s="429"/>
      <c r="AJ4" s="429"/>
      <c r="AK4" s="429"/>
      <c r="AL4" s="429"/>
      <c r="AM4" s="429"/>
      <c r="AN4" s="429"/>
      <c r="AO4" s="429"/>
    </row>
    <row r="5" spans="1:41" x14ac:dyDescent="0.25">
      <c r="A5" s="429" t="s">
        <v>2900</v>
      </c>
      <c r="B5" s="429" t="s">
        <v>2871</v>
      </c>
      <c r="C5" s="429" t="s">
        <v>2896</v>
      </c>
      <c r="D5" s="429" t="s">
        <v>2897</v>
      </c>
      <c r="E5" s="429" t="s">
        <v>2898</v>
      </c>
      <c r="F5" s="429" t="s">
        <v>2880</v>
      </c>
      <c r="G5" s="429" t="s">
        <v>2882</v>
      </c>
      <c r="H5" s="429" t="s">
        <v>2899</v>
      </c>
      <c r="I5" s="429"/>
      <c r="J5" s="429"/>
      <c r="K5" s="429"/>
      <c r="L5" s="429"/>
      <c r="M5" s="429"/>
      <c r="N5" s="429"/>
      <c r="O5" s="429"/>
      <c r="P5" s="429"/>
      <c r="Q5" s="429"/>
      <c r="R5" s="429"/>
      <c r="S5" s="429"/>
      <c r="T5" s="429"/>
      <c r="U5" s="429"/>
      <c r="V5" s="429">
        <v>1</v>
      </c>
      <c r="W5" s="429">
        <v>1</v>
      </c>
      <c r="X5" s="429">
        <v>2</v>
      </c>
      <c r="Y5" s="429">
        <v>5</v>
      </c>
      <c r="Z5" s="429">
        <v>5</v>
      </c>
      <c r="AA5" s="429">
        <v>1</v>
      </c>
      <c r="AB5" s="429">
        <v>1</v>
      </c>
      <c r="AC5" s="429"/>
      <c r="AD5" s="429"/>
      <c r="AE5" s="429"/>
      <c r="AF5" s="429"/>
      <c r="AG5" s="429"/>
      <c r="AH5" s="429"/>
      <c r="AI5" s="429"/>
      <c r="AJ5" s="429"/>
      <c r="AK5" s="429"/>
      <c r="AL5" s="429"/>
      <c r="AM5" s="429"/>
      <c r="AN5" s="429"/>
      <c r="AO5" s="429"/>
    </row>
    <row r="6" spans="1:41" x14ac:dyDescent="0.25">
      <c r="A6" s="429" t="s">
        <v>2193</v>
      </c>
      <c r="B6" s="429" t="s">
        <v>2871</v>
      </c>
      <c r="C6" s="429" t="s">
        <v>2896</v>
      </c>
      <c r="D6" s="429" t="s">
        <v>2901</v>
      </c>
      <c r="E6" s="429" t="s">
        <v>2881</v>
      </c>
      <c r="F6" s="429" t="s">
        <v>2895</v>
      </c>
      <c r="G6" s="429" t="s">
        <v>2880</v>
      </c>
      <c r="H6" s="429" t="s">
        <v>2882</v>
      </c>
      <c r="I6" s="429" t="s">
        <v>2883</v>
      </c>
      <c r="J6" s="429"/>
      <c r="K6" s="429"/>
      <c r="L6" s="429"/>
      <c r="M6" s="429"/>
      <c r="N6" s="429"/>
      <c r="O6" s="429"/>
      <c r="P6" s="429"/>
      <c r="Q6" s="429"/>
      <c r="R6" s="429"/>
      <c r="S6" s="429"/>
      <c r="T6" s="429"/>
      <c r="U6" s="429"/>
      <c r="V6" s="429">
        <v>1</v>
      </c>
      <c r="W6" s="429">
        <v>1</v>
      </c>
      <c r="X6" s="429">
        <v>1</v>
      </c>
      <c r="Y6" s="429">
        <v>1</v>
      </c>
      <c r="Z6" s="429">
        <v>10</v>
      </c>
      <c r="AA6" s="429">
        <v>10</v>
      </c>
      <c r="AB6" s="429">
        <v>1</v>
      </c>
      <c r="AC6" s="429">
        <v>1</v>
      </c>
      <c r="AD6" s="429"/>
      <c r="AE6" s="429"/>
      <c r="AF6" s="429"/>
      <c r="AG6" s="429"/>
      <c r="AH6" s="429"/>
      <c r="AI6" s="429"/>
      <c r="AJ6" s="429"/>
      <c r="AK6" s="429"/>
      <c r="AL6" s="429"/>
      <c r="AM6" s="429"/>
      <c r="AN6" s="429"/>
      <c r="AO6" s="429"/>
    </row>
    <row r="7" spans="1:41" x14ac:dyDescent="0.25">
      <c r="A7" s="429" t="s">
        <v>2902</v>
      </c>
      <c r="B7" s="429" t="s">
        <v>2871</v>
      </c>
      <c r="C7" s="429" t="s">
        <v>2903</v>
      </c>
      <c r="D7" s="429" t="s">
        <v>2898</v>
      </c>
      <c r="E7" s="429" t="s">
        <v>2904</v>
      </c>
      <c r="F7" s="429" t="s">
        <v>2905</v>
      </c>
      <c r="G7" s="429" t="s">
        <v>2880</v>
      </c>
      <c r="H7" s="429" t="s">
        <v>2882</v>
      </c>
      <c r="I7" s="429" t="s">
        <v>2906</v>
      </c>
      <c r="J7" s="429" t="s">
        <v>2907</v>
      </c>
      <c r="K7" s="429"/>
      <c r="L7" s="429"/>
      <c r="M7" s="429"/>
      <c r="N7" s="429"/>
      <c r="O7" s="429"/>
      <c r="P7" s="429"/>
      <c r="Q7" s="429"/>
      <c r="R7" s="429"/>
      <c r="S7" s="429"/>
      <c r="T7" s="429"/>
      <c r="U7" s="429"/>
      <c r="V7" s="429">
        <v>1</v>
      </c>
      <c r="W7" s="429">
        <v>1</v>
      </c>
      <c r="X7" s="429">
        <v>10</v>
      </c>
      <c r="Y7" s="429">
        <v>2</v>
      </c>
      <c r="Z7" s="429">
        <v>1</v>
      </c>
      <c r="AA7" s="429">
        <v>2</v>
      </c>
      <c r="AB7" s="429">
        <v>1</v>
      </c>
      <c r="AC7" s="429">
        <v>1</v>
      </c>
      <c r="AD7" s="429">
        <v>1</v>
      </c>
      <c r="AE7" s="429"/>
      <c r="AF7" s="429"/>
      <c r="AG7" s="429"/>
      <c r="AH7" s="429"/>
      <c r="AI7" s="429"/>
      <c r="AJ7" s="429"/>
      <c r="AK7" s="429"/>
      <c r="AL7" s="429"/>
      <c r="AM7" s="429"/>
      <c r="AN7" s="429"/>
      <c r="AO7" s="429"/>
    </row>
    <row r="8" spans="1:41" x14ac:dyDescent="0.25">
      <c r="A8" s="429" t="s">
        <v>2908</v>
      </c>
      <c r="B8" s="429" t="s">
        <v>2871</v>
      </c>
      <c r="C8" s="429" t="s">
        <v>2909</v>
      </c>
      <c r="D8" s="429" t="s">
        <v>2886</v>
      </c>
      <c r="E8" s="429" t="s">
        <v>2887</v>
      </c>
      <c r="F8" s="429" t="s">
        <v>2910</v>
      </c>
      <c r="G8" s="429" t="s">
        <v>2911</v>
      </c>
      <c r="H8" s="429" t="s">
        <v>2819</v>
      </c>
      <c r="I8" s="429"/>
      <c r="J8" s="429"/>
      <c r="K8" s="429"/>
      <c r="L8" s="429"/>
      <c r="M8" s="429"/>
      <c r="N8" s="429"/>
      <c r="O8" s="429"/>
      <c r="P8" s="429"/>
      <c r="Q8" s="429"/>
      <c r="R8" s="429"/>
      <c r="S8" s="429"/>
      <c r="T8" s="429"/>
      <c r="U8" s="429"/>
      <c r="V8" s="429">
        <v>1</v>
      </c>
      <c r="W8" s="429">
        <v>1</v>
      </c>
      <c r="X8" s="429">
        <v>1</v>
      </c>
      <c r="Y8" s="429">
        <v>1</v>
      </c>
      <c r="Z8" s="429">
        <v>10</v>
      </c>
      <c r="AA8" s="429">
        <v>1</v>
      </c>
      <c r="AB8" s="429">
        <v>1</v>
      </c>
      <c r="AC8" s="429"/>
      <c r="AD8" s="429"/>
      <c r="AE8" s="429"/>
      <c r="AF8" s="429"/>
      <c r="AG8" s="429"/>
      <c r="AH8" s="429"/>
      <c r="AI8" s="429"/>
      <c r="AJ8" s="429"/>
      <c r="AK8" s="429"/>
      <c r="AL8" s="429"/>
      <c r="AM8" s="429"/>
      <c r="AN8" s="429"/>
      <c r="AO8" s="429"/>
    </row>
    <row r="9" spans="1:41" outlineLevel="1" x14ac:dyDescent="0.25">
      <c r="A9" s="135"/>
    </row>
    <row r="10" spans="1:41" outlineLevel="1" x14ac:dyDescent="0.25"/>
    <row r="11" spans="1:41" outlineLevel="1" x14ac:dyDescent="0.25">
      <c r="A11" s="135"/>
    </row>
    <row r="12" spans="1:41" outlineLevel="1" x14ac:dyDescent="0.25"/>
    <row r="13" spans="1:41" outlineLevel="1" x14ac:dyDescent="0.25">
      <c r="A13" s="135"/>
    </row>
    <row r="14" spans="1:41" outlineLevel="1" x14ac:dyDescent="0.25"/>
    <row r="15" spans="1:41" outlineLevel="1" x14ac:dyDescent="0.25"/>
    <row r="16" spans="1:41" outlineLevel="1" x14ac:dyDescent="0.25"/>
    <row r="17" outlineLevel="1" x14ac:dyDescent="0.25"/>
    <row r="18" outlineLevel="1" x14ac:dyDescent="0.25"/>
    <row r="19" outlineLevel="1" x14ac:dyDescent="0.25"/>
    <row r="20" outlineLevel="1" x14ac:dyDescent="0.25"/>
    <row r="21" outlineLevel="1" x14ac:dyDescent="0.25"/>
    <row r="22" outlineLevel="1" x14ac:dyDescent="0.25"/>
    <row r="23" outlineLevel="1" x14ac:dyDescent="0.25"/>
    <row r="24" outlineLevel="1" x14ac:dyDescent="0.25"/>
    <row r="25" outlineLevel="1" x14ac:dyDescent="0.25"/>
    <row r="26" outlineLevel="1" x14ac:dyDescent="0.25"/>
    <row r="27" outlineLevel="1" x14ac:dyDescent="0.25"/>
    <row r="28" outlineLevel="1" x14ac:dyDescent="0.25"/>
    <row r="29" outlineLevel="1" x14ac:dyDescent="0.25"/>
    <row r="30" outlineLevel="1" x14ac:dyDescent="0.25"/>
    <row r="31" outlineLevel="1" x14ac:dyDescent="0.25"/>
    <row r="32" outlineLevel="1" x14ac:dyDescent="0.25"/>
    <row r="33" outlineLevel="1" x14ac:dyDescent="0.25"/>
    <row r="34" outlineLevel="1" x14ac:dyDescent="0.25"/>
    <row r="35" outlineLevel="1" x14ac:dyDescent="0.25"/>
    <row r="36" outlineLevel="1" x14ac:dyDescent="0.25"/>
    <row r="37" outlineLevel="1" x14ac:dyDescent="0.25"/>
    <row r="38" outlineLevel="1" x14ac:dyDescent="0.25"/>
    <row r="39" outlineLevel="1" x14ac:dyDescent="0.25"/>
    <row r="40" outlineLevel="1" x14ac:dyDescent="0.25"/>
    <row r="41" outlineLevel="1" x14ac:dyDescent="0.25"/>
    <row r="42" outlineLevel="1" x14ac:dyDescent="0.25"/>
    <row r="43" outlineLevel="1" x14ac:dyDescent="0.25"/>
    <row r="44" outlineLevel="1" x14ac:dyDescent="0.25"/>
    <row r="45" outlineLevel="1" x14ac:dyDescent="0.25"/>
    <row r="46" outlineLevel="1" x14ac:dyDescent="0.25"/>
    <row r="47" outlineLevel="1" x14ac:dyDescent="0.25"/>
    <row r="48" outlineLevel="1" x14ac:dyDescent="0.25"/>
    <row r="49" outlineLevel="1" x14ac:dyDescent="0.25"/>
    <row r="50" outlineLevel="1" x14ac:dyDescent="0.25"/>
    <row r="51" outlineLevel="1" x14ac:dyDescent="0.25"/>
    <row r="52" outlineLevel="1" x14ac:dyDescent="0.25"/>
    <row r="53" outlineLevel="1" x14ac:dyDescent="0.25"/>
    <row r="54" outlineLevel="1" x14ac:dyDescent="0.25"/>
    <row r="55" outlineLevel="1" x14ac:dyDescent="0.25"/>
    <row r="56" outlineLevel="1" x14ac:dyDescent="0.25"/>
    <row r="57" outlineLevel="1" x14ac:dyDescent="0.25"/>
    <row r="58" outlineLevel="1" x14ac:dyDescent="0.25"/>
    <row r="59" outlineLevel="1" x14ac:dyDescent="0.25"/>
    <row r="60" outlineLevel="1" x14ac:dyDescent="0.25"/>
    <row r="61" outlineLevel="1" x14ac:dyDescent="0.25"/>
    <row r="62" outlineLevel="1" x14ac:dyDescent="0.25"/>
    <row r="63" outlineLevel="1" x14ac:dyDescent="0.25"/>
    <row r="64" outlineLevel="1" x14ac:dyDescent="0.25"/>
    <row r="65" outlineLevel="1" x14ac:dyDescent="0.25"/>
    <row r="66" outlineLevel="1" x14ac:dyDescent="0.25"/>
    <row r="67" outlineLevel="1" x14ac:dyDescent="0.25"/>
    <row r="68" outlineLevel="1" x14ac:dyDescent="0.25"/>
    <row r="69" outlineLevel="1" x14ac:dyDescent="0.25"/>
    <row r="70" outlineLevel="1" x14ac:dyDescent="0.25"/>
    <row r="71" outlineLevel="1" x14ac:dyDescent="0.25"/>
    <row r="72" outlineLevel="1" x14ac:dyDescent="0.25"/>
    <row r="73" outlineLevel="1" x14ac:dyDescent="0.25"/>
    <row r="74" outlineLevel="1" x14ac:dyDescent="0.25"/>
    <row r="75" outlineLevel="1" x14ac:dyDescent="0.25"/>
    <row r="76" outlineLevel="1" x14ac:dyDescent="0.25"/>
    <row r="77" outlineLevel="1" x14ac:dyDescent="0.25"/>
    <row r="78" outlineLevel="1" x14ac:dyDescent="0.25"/>
    <row r="79" outlineLevel="1" x14ac:dyDescent="0.25"/>
    <row r="80" outlineLevel="1" x14ac:dyDescent="0.25"/>
    <row r="81" outlineLevel="1" x14ac:dyDescent="0.25"/>
    <row r="82" outlineLevel="1" x14ac:dyDescent="0.25"/>
    <row r="83" outlineLevel="1" x14ac:dyDescent="0.25"/>
    <row r="84" outlineLevel="1" x14ac:dyDescent="0.25"/>
    <row r="85" outlineLevel="1" x14ac:dyDescent="0.25"/>
    <row r="86" outlineLevel="1" x14ac:dyDescent="0.25"/>
    <row r="87" outlineLevel="1" x14ac:dyDescent="0.25"/>
    <row r="88" outlineLevel="1" x14ac:dyDescent="0.25"/>
    <row r="89" outlineLevel="1" x14ac:dyDescent="0.25"/>
    <row r="90" outlineLevel="1" x14ac:dyDescent="0.25"/>
    <row r="91" outlineLevel="1" x14ac:dyDescent="0.25"/>
    <row r="92" outlineLevel="1" x14ac:dyDescent="0.25"/>
    <row r="93" outlineLevel="1" x14ac:dyDescent="0.25"/>
    <row r="94" outlineLevel="1" x14ac:dyDescent="0.25"/>
    <row r="95" outlineLevel="1" x14ac:dyDescent="0.25"/>
    <row r="96" outlineLevel="1" x14ac:dyDescent="0.25"/>
    <row r="97" spans="1:37" outlineLevel="1" x14ac:dyDescent="0.25"/>
    <row r="98" spans="1:37" outlineLevel="1" x14ac:dyDescent="0.25"/>
    <row r="99" spans="1:37" outlineLevel="1" x14ac:dyDescent="0.25"/>
    <row r="100" spans="1:37" outlineLevel="1" x14ac:dyDescent="0.25"/>
    <row r="101" spans="1:37" outlineLevel="1" x14ac:dyDescent="0.25"/>
    <row r="102" spans="1:37" outlineLevel="1" x14ac:dyDescent="0.25"/>
    <row r="103" spans="1:37" x14ac:dyDescent="0.25">
      <c r="A103" s="138"/>
      <c r="B103" s="138"/>
      <c r="C103" s="138"/>
      <c r="D103" s="138"/>
      <c r="E103" s="138"/>
      <c r="F103" s="138"/>
      <c r="G103" s="138"/>
      <c r="H103" s="138"/>
      <c r="I103" s="138"/>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38"/>
      <c r="AG103" s="138"/>
      <c r="AH103" s="138"/>
      <c r="AI103" s="138"/>
      <c r="AJ103" s="138"/>
      <c r="AK103" s="138"/>
    </row>
    <row r="104" spans="1:37" x14ac:dyDescent="0.25">
      <c r="A104" s="139" t="s">
        <v>2961</v>
      </c>
      <c r="B104" t="s">
        <v>6492</v>
      </c>
      <c r="C104" t="s">
        <v>2962</v>
      </c>
      <c r="D104" t="s">
        <v>2963</v>
      </c>
      <c r="E104" t="s">
        <v>3075</v>
      </c>
      <c r="F104" t="s">
        <v>3076</v>
      </c>
      <c r="G104" t="s">
        <v>3077</v>
      </c>
      <c r="H104" t="s">
        <v>4478</v>
      </c>
      <c r="I104" t="s">
        <v>4479</v>
      </c>
      <c r="J104" t="s">
        <v>4480</v>
      </c>
      <c r="K104" t="s">
        <v>4481</v>
      </c>
      <c r="L104" t="s">
        <v>4482</v>
      </c>
      <c r="M104" t="s">
        <v>4483</v>
      </c>
      <c r="N104" t="s">
        <v>4484</v>
      </c>
      <c r="O104" t="s">
        <v>4485</v>
      </c>
      <c r="P104" t="s">
        <v>4486</v>
      </c>
      <c r="Q104" t="s">
        <v>4487</v>
      </c>
      <c r="R104" t="s">
        <v>4488</v>
      </c>
      <c r="S104" t="s">
        <v>4489</v>
      </c>
      <c r="T104" t="s">
        <v>4490</v>
      </c>
      <c r="U104" t="s">
        <v>4491</v>
      </c>
      <c r="V104" t="s">
        <v>4492</v>
      </c>
    </row>
    <row r="105" spans="1:37" x14ac:dyDescent="0.25">
      <c r="A105" t="s">
        <v>2846</v>
      </c>
      <c r="B105">
        <f>COUNTA(C105:V105)</f>
        <v>10</v>
      </c>
      <c r="C105" t="s">
        <v>203</v>
      </c>
      <c r="D105" t="s">
        <v>295</v>
      </c>
      <c r="E105" t="s">
        <v>296</v>
      </c>
      <c r="F105" t="s">
        <v>316</v>
      </c>
      <c r="G105" t="s">
        <v>339</v>
      </c>
      <c r="H105" t="s">
        <v>365</v>
      </c>
      <c r="I105" t="s">
        <v>366</v>
      </c>
      <c r="J105" t="s">
        <v>395</v>
      </c>
      <c r="K105" t="s">
        <v>441</v>
      </c>
      <c r="L105" t="s">
        <v>485</v>
      </c>
    </row>
    <row r="106" spans="1:37" x14ac:dyDescent="0.25">
      <c r="A106" t="s">
        <v>2800</v>
      </c>
      <c r="B106">
        <f t="shared" ref="B106:B111" si="0">COUNTA(C106:V106)</f>
        <v>0</v>
      </c>
    </row>
    <row r="107" spans="1:37" x14ac:dyDescent="0.25">
      <c r="A107" t="s">
        <v>2852</v>
      </c>
      <c r="B107">
        <f t="shared" si="0"/>
        <v>0</v>
      </c>
    </row>
    <row r="108" spans="1:37" x14ac:dyDescent="0.25">
      <c r="A108" t="s">
        <v>2864</v>
      </c>
      <c r="B108">
        <f t="shared" si="0"/>
        <v>5</v>
      </c>
      <c r="C108" s="4" t="s">
        <v>282</v>
      </c>
      <c r="D108" s="4" t="s">
        <v>391</v>
      </c>
      <c r="E108" s="4" t="s">
        <v>430</v>
      </c>
      <c r="F108" s="4" t="s">
        <v>466</v>
      </c>
      <c r="G108" s="4" t="s">
        <v>487</v>
      </c>
    </row>
    <row r="109" spans="1:37" x14ac:dyDescent="0.25">
      <c r="A109" t="s">
        <v>2960</v>
      </c>
      <c r="B109">
        <f t="shared" si="0"/>
        <v>0</v>
      </c>
    </row>
    <row r="110" spans="1:37" x14ac:dyDescent="0.25">
      <c r="A110" t="s">
        <v>2823</v>
      </c>
      <c r="B110">
        <f t="shared" si="0"/>
        <v>0</v>
      </c>
    </row>
    <row r="111" spans="1:37" x14ac:dyDescent="0.25">
      <c r="B111">
        <f t="shared" si="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33">
    <tabColor rgb="FFFFFF00"/>
  </sheetPr>
  <dimension ref="A1:AK45"/>
  <sheetViews>
    <sheetView workbookViewId="0">
      <selection activeCell="G36" sqref="G36"/>
    </sheetView>
  </sheetViews>
  <sheetFormatPr defaultRowHeight="15" x14ac:dyDescent="0.25"/>
  <sheetData>
    <row r="1" spans="1:37" x14ac:dyDescent="0.25">
      <c r="A1" s="1046"/>
      <c r="B1" s="1046"/>
      <c r="C1" s="1046"/>
      <c r="D1" s="1046"/>
      <c r="E1" s="1046"/>
      <c r="F1" s="1046"/>
      <c r="G1" s="1046"/>
      <c r="H1" s="1046"/>
      <c r="I1" s="1046"/>
      <c r="J1" s="1046"/>
      <c r="K1" s="1046"/>
      <c r="L1" s="1046"/>
      <c r="M1" s="546"/>
      <c r="N1" s="546"/>
      <c r="O1" s="546"/>
      <c r="P1" s="546"/>
      <c r="Q1" s="546"/>
      <c r="R1" s="546"/>
      <c r="S1" s="546"/>
      <c r="T1" s="546"/>
      <c r="U1" s="546"/>
      <c r="V1" s="546"/>
      <c r="W1" s="546"/>
      <c r="X1" s="546"/>
      <c r="Y1" s="546"/>
      <c r="Z1" s="546"/>
      <c r="AA1" s="546"/>
      <c r="AB1" s="546"/>
    </row>
    <row r="2" spans="1:37" x14ac:dyDescent="0.25">
      <c r="A2" s="1046"/>
      <c r="B2" s="1046"/>
      <c r="C2" s="1046"/>
      <c r="D2" s="1046"/>
      <c r="E2" s="1046"/>
      <c r="F2" s="1046"/>
      <c r="G2" s="1046"/>
      <c r="H2" s="1046"/>
      <c r="I2" s="1046"/>
      <c r="J2" s="1046"/>
      <c r="K2" s="1046"/>
      <c r="L2" s="1046"/>
      <c r="M2" s="546"/>
      <c r="N2" s="546"/>
      <c r="O2" s="546"/>
      <c r="P2" s="546"/>
      <c r="Q2" s="546"/>
      <c r="R2" s="546"/>
      <c r="S2" s="546"/>
      <c r="T2" s="546"/>
      <c r="U2" s="546"/>
      <c r="V2" s="546"/>
      <c r="W2" s="546"/>
      <c r="X2" s="546"/>
      <c r="Y2" s="546"/>
      <c r="Z2" s="546"/>
      <c r="AA2" s="546"/>
      <c r="AB2" s="546"/>
    </row>
    <row r="3" spans="1:37" x14ac:dyDescent="0.25">
      <c r="C3" t="s">
        <v>6295</v>
      </c>
      <c r="D3" t="s">
        <v>5</v>
      </c>
      <c r="E3" t="s">
        <v>2258</v>
      </c>
      <c r="F3" t="s">
        <v>6597</v>
      </c>
      <c r="G3" t="s">
        <v>2237</v>
      </c>
    </row>
    <row r="4" spans="1:37" x14ac:dyDescent="0.25">
      <c r="A4" s="1048" t="s">
        <v>6294</v>
      </c>
      <c r="B4" s="1048"/>
      <c r="C4" s="1048">
        <f>SUM(ClassHitpoints)</f>
        <v>112</v>
      </c>
      <c r="D4" s="1048">
        <f>ConMOD*Total_Character_Level</f>
        <v>20</v>
      </c>
      <c r="E4" s="1048">
        <f>(DwarvenToughness+FeatTough*2)*Total_Character_Level</f>
        <v>0</v>
      </c>
      <c r="F4" s="1048">
        <f>Character_Creation!J530</f>
        <v>0</v>
      </c>
      <c r="G4" s="1048">
        <f>C4+D4+E4+F4</f>
        <v>132</v>
      </c>
    </row>
    <row r="5" spans="1:37" x14ac:dyDescent="0.25">
      <c r="A5" s="1048"/>
      <c r="B5" s="1048"/>
      <c r="C5" s="1048"/>
      <c r="D5" s="1048"/>
      <c r="E5" s="1048"/>
      <c r="F5" s="1048"/>
      <c r="G5" s="1048"/>
    </row>
    <row r="6" spans="1:37" x14ac:dyDescent="0.25">
      <c r="O6" t="s">
        <v>6397</v>
      </c>
      <c r="P6" t="s">
        <v>110</v>
      </c>
      <c r="Q6" t="s">
        <v>6400</v>
      </c>
      <c r="R6" t="s">
        <v>115</v>
      </c>
      <c r="S6" t="s">
        <v>122</v>
      </c>
    </row>
    <row r="7" spans="1:37" x14ac:dyDescent="0.25">
      <c r="A7" s="1048" t="s">
        <v>6390</v>
      </c>
      <c r="B7" t="s">
        <v>6388</v>
      </c>
      <c r="C7" s="1046" t="s">
        <v>35</v>
      </c>
      <c r="D7" s="1046"/>
      <c r="E7" s="1046"/>
      <c r="M7" t="s">
        <v>6398</v>
      </c>
      <c r="N7" t="e">
        <f>RightHand1</f>
        <v>#NAME?</v>
      </c>
      <c r="O7" t="e">
        <f>IF(OR(N7="Unarmed Strike",N7=""),1,0)</f>
        <v>#NAME?</v>
      </c>
      <c r="P7" t="e">
        <f>IF(N7="Shield",1,0)</f>
        <v>#NAME?</v>
      </c>
      <c r="Q7">
        <f>IFERROR(IF(INDEX(T10_Weapon!$U$2:$U$39,MATCH(RightHand1,T10_Weapon!$A$2:$A$39,0),1)="YES",1,0),0)</f>
        <v>0</v>
      </c>
      <c r="W7" s="4" t="s">
        <v>35</v>
      </c>
      <c r="AD7" s="1048" t="s">
        <v>12</v>
      </c>
      <c r="AE7" s="1048"/>
      <c r="AF7" s="1048" t="e">
        <f>MAX(AI9:AI16)</f>
        <v>#NAME?</v>
      </c>
      <c r="AG7" s="1046"/>
      <c r="AH7" s="1046"/>
      <c r="AI7" s="1046"/>
      <c r="AJ7" s="1046"/>
      <c r="AK7" s="1046"/>
    </row>
    <row r="8" spans="1:37" x14ac:dyDescent="0.25">
      <c r="A8" s="1048"/>
      <c r="B8" t="s">
        <v>6389</v>
      </c>
      <c r="C8" s="1046" t="s">
        <v>110</v>
      </c>
      <c r="D8" s="1046"/>
      <c r="E8" s="1046"/>
      <c r="M8" t="s">
        <v>6399</v>
      </c>
      <c r="N8" t="e">
        <f>LeftHand1</f>
        <v>#NAME?</v>
      </c>
      <c r="O8" t="e">
        <f>IF(OR(N8="Unarmed Strike",N8=""),1,0)</f>
        <v>#NAME?</v>
      </c>
      <c r="P8" t="e">
        <f>IF(N8="Shield",1,0)</f>
        <v>#NAME?</v>
      </c>
      <c r="Q8">
        <f>IFERROR(IF(INDEX(T10_Weapon!$U$2:$U$39,MATCH(LeftHand1,T10_Weapon!$A$2:$A$39,0),1)="YES",1,0),0)</f>
        <v>0</v>
      </c>
      <c r="W8" s="4" t="s">
        <v>116</v>
      </c>
      <c r="AD8" s="1048"/>
      <c r="AE8" s="1048"/>
      <c r="AF8" s="1048"/>
      <c r="AG8" s="1046"/>
      <c r="AH8" s="1046"/>
      <c r="AI8" s="1046"/>
      <c r="AJ8" s="1046"/>
      <c r="AK8" s="1046"/>
    </row>
    <row r="9" spans="1:37" x14ac:dyDescent="0.25">
      <c r="A9" s="1048" t="s">
        <v>6391</v>
      </c>
      <c r="B9" t="s">
        <v>6388</v>
      </c>
      <c r="C9" s="1046"/>
      <c r="D9" s="1046"/>
      <c r="E9" s="1046"/>
      <c r="W9" s="4" t="s">
        <v>119</v>
      </c>
      <c r="AD9" s="1047" t="s">
        <v>6298</v>
      </c>
      <c r="AE9" s="1047"/>
      <c r="AF9" s="1048">
        <v>10</v>
      </c>
      <c r="AG9" s="1048">
        <f>DexMOD</f>
        <v>1</v>
      </c>
      <c r="AH9" s="1048" t="e">
        <f>IF(AND(OR(Armor="",Armor="n/a",Armor="none"),OR(Shield="",Shield="n/a",Shield="none"),UnarmoredDefenseWis=1),WisMOD,0)</f>
        <v>#NAME?</v>
      </c>
      <c r="AI9" s="1048" t="e">
        <f>AF9+AG9+AH9</f>
        <v>#NAME?</v>
      </c>
    </row>
    <row r="10" spans="1:37" x14ac:dyDescent="0.25">
      <c r="A10" s="1048"/>
      <c r="B10" t="s">
        <v>6389</v>
      </c>
      <c r="C10" s="1046"/>
      <c r="D10" s="1046"/>
      <c r="E10" s="1046"/>
      <c r="W10" s="4" t="s">
        <v>123</v>
      </c>
      <c r="AD10" s="1047"/>
      <c r="AE10" s="1047"/>
      <c r="AF10" s="1048"/>
      <c r="AG10" s="1048"/>
      <c r="AH10" s="1048"/>
      <c r="AI10" s="1048"/>
    </row>
    <row r="11" spans="1:37" x14ac:dyDescent="0.25">
      <c r="A11" s="1048" t="s">
        <v>6392</v>
      </c>
      <c r="B11" t="s">
        <v>6388</v>
      </c>
      <c r="C11" s="1046"/>
      <c r="D11" s="1046"/>
      <c r="E11" s="1046"/>
      <c r="W11" s="4" t="s">
        <v>124</v>
      </c>
      <c r="AD11" s="1047" t="s">
        <v>6299</v>
      </c>
      <c r="AE11" s="1047"/>
      <c r="AF11" s="1048">
        <v>10</v>
      </c>
      <c r="AG11" s="1048">
        <f>DexMOD</f>
        <v>1</v>
      </c>
      <c r="AH11" s="1048" t="e">
        <f>IF(AND(OR(Armor="",Armor="n/a",Armor="none"),UnarmoredDefenseCon=1),ConMOD,0)</f>
        <v>#NAME?</v>
      </c>
      <c r="AI11" s="1048" t="e">
        <f>AF11+AG11+AH11</f>
        <v>#NAME?</v>
      </c>
    </row>
    <row r="12" spans="1:37" x14ac:dyDescent="0.25">
      <c r="A12" s="1048"/>
      <c r="B12" t="s">
        <v>6389</v>
      </c>
      <c r="C12" s="1046"/>
      <c r="D12" s="1046"/>
      <c r="E12" s="1046"/>
      <c r="W12" s="4" t="s">
        <v>125</v>
      </c>
      <c r="AD12" s="1047"/>
      <c r="AE12" s="1047"/>
      <c r="AF12" s="1048"/>
      <c r="AG12" s="1048"/>
      <c r="AH12" s="1048"/>
      <c r="AI12" s="1048"/>
    </row>
    <row r="13" spans="1:37" x14ac:dyDescent="0.25">
      <c r="A13" s="1048" t="s">
        <v>6393</v>
      </c>
      <c r="B13" t="s">
        <v>6388</v>
      </c>
      <c r="C13" s="1046"/>
      <c r="D13" s="1046"/>
      <c r="E13" s="1046"/>
      <c r="W13" s="4" t="s">
        <v>127</v>
      </c>
      <c r="AD13" s="1047" t="s">
        <v>6304</v>
      </c>
      <c r="AE13" s="1047"/>
      <c r="AF13" s="1048">
        <v>10</v>
      </c>
      <c r="AG13" s="1048">
        <f>DexMOD</f>
        <v>1</v>
      </c>
      <c r="AH13" s="1048" t="e">
        <f>IF(AND(OR(Armor="",Armor="n/a",Armor="none"),UnarmoredDefenseCha=1),ChaMOD,0)</f>
        <v>#NAME?</v>
      </c>
      <c r="AI13" s="1048" t="e">
        <f>AF13+AG13+AH13</f>
        <v>#NAME?</v>
      </c>
    </row>
    <row r="14" spans="1:37" x14ac:dyDescent="0.25">
      <c r="A14" s="1048"/>
      <c r="B14" t="s">
        <v>6389</v>
      </c>
      <c r="C14" s="1046"/>
      <c r="D14" s="1046"/>
      <c r="E14" s="1046"/>
      <c r="W14" s="4" t="s">
        <v>129</v>
      </c>
      <c r="AD14" s="1047"/>
      <c r="AE14" s="1047"/>
      <c r="AF14" s="1048"/>
      <c r="AG14" s="1048"/>
      <c r="AH14" s="1048"/>
      <c r="AI14" s="1048"/>
    </row>
    <row r="15" spans="1:37" ht="15" customHeight="1" x14ac:dyDescent="0.25">
      <c r="A15" s="1048" t="s">
        <v>6394</v>
      </c>
      <c r="B15" t="s">
        <v>6388</v>
      </c>
      <c r="C15" s="1046"/>
      <c r="D15" s="1046"/>
      <c r="E15" s="1046"/>
      <c r="W15" s="4" t="s">
        <v>130</v>
      </c>
      <c r="AD15" s="1047" t="s">
        <v>6305</v>
      </c>
      <c r="AE15" s="1047"/>
      <c r="AF15" s="1048">
        <v>10</v>
      </c>
      <c r="AG15" s="1048">
        <f>DexMOD</f>
        <v>1</v>
      </c>
      <c r="AH15" s="1048" t="e">
        <f>IF(AND(OR(Armor="",Armor="n/a",Armor="none"),UnarmoredDefenseInt=1),IntMOD,0)</f>
        <v>#NAME?</v>
      </c>
      <c r="AI15" s="1048" t="e">
        <f>AF15+AG15+AH15</f>
        <v>#NAME?</v>
      </c>
    </row>
    <row r="16" spans="1:37" x14ac:dyDescent="0.25">
      <c r="A16" s="1048"/>
      <c r="B16" t="s">
        <v>6389</v>
      </c>
      <c r="C16" s="1046"/>
      <c r="D16" s="1046"/>
      <c r="E16" s="1046"/>
      <c r="W16" s="4" t="s">
        <v>132</v>
      </c>
      <c r="AD16" s="1047"/>
      <c r="AE16" s="1047"/>
      <c r="AF16" s="1048"/>
      <c r="AG16" s="1048"/>
      <c r="AH16" s="1048"/>
      <c r="AI16" s="1048"/>
    </row>
    <row r="17" spans="1:35" x14ac:dyDescent="0.25">
      <c r="W17" s="4" t="s">
        <v>134</v>
      </c>
      <c r="AD17" s="1047" t="s">
        <v>89</v>
      </c>
      <c r="AE17" s="1047"/>
      <c r="AF17" s="1048">
        <v>10</v>
      </c>
      <c r="AG17" s="1048">
        <f>DexMOD</f>
        <v>1</v>
      </c>
      <c r="AH17" s="1048"/>
      <c r="AI17" s="1048">
        <f>AF17+AG17+AH17</f>
        <v>11</v>
      </c>
    </row>
    <row r="18" spans="1:35" x14ac:dyDescent="0.25">
      <c r="A18" s="1048" t="s">
        <v>6395</v>
      </c>
      <c r="B18" t="s">
        <v>6388</v>
      </c>
      <c r="C18" s="1046"/>
      <c r="D18" s="1046"/>
      <c r="E18" s="1046"/>
      <c r="W18" s="4" t="s">
        <v>135</v>
      </c>
      <c r="AD18" s="1047"/>
      <c r="AE18" s="1047"/>
      <c r="AF18" s="1048"/>
      <c r="AG18" s="1048"/>
      <c r="AH18" s="1048"/>
      <c r="AI18" s="1048"/>
    </row>
    <row r="19" spans="1:35" x14ac:dyDescent="0.25">
      <c r="A19" s="1048"/>
      <c r="B19" t="s">
        <v>6389</v>
      </c>
      <c r="C19" s="1046"/>
      <c r="D19" s="1046"/>
      <c r="E19" s="1046"/>
      <c r="W19" s="4" t="s">
        <v>36</v>
      </c>
    </row>
    <row r="20" spans="1:35" x14ac:dyDescent="0.25">
      <c r="A20" s="1048" t="s">
        <v>6396</v>
      </c>
      <c r="B20" t="s">
        <v>6388</v>
      </c>
      <c r="C20" s="1046"/>
      <c r="D20" s="1046"/>
      <c r="E20" s="1046"/>
      <c r="W20" s="4" t="s">
        <v>137</v>
      </c>
    </row>
    <row r="21" spans="1:35" x14ac:dyDescent="0.25">
      <c r="A21" s="1048"/>
      <c r="B21" t="s">
        <v>6389</v>
      </c>
      <c r="C21" s="1046"/>
      <c r="D21" s="1046"/>
      <c r="E21" s="1046"/>
      <c r="W21" s="4" t="s">
        <v>138</v>
      </c>
    </row>
    <row r="22" spans="1:35" x14ac:dyDescent="0.25">
      <c r="W22" s="4" t="s">
        <v>140</v>
      </c>
    </row>
    <row r="23" spans="1:35" x14ac:dyDescent="0.25">
      <c r="W23" s="4" t="s">
        <v>141</v>
      </c>
    </row>
    <row r="24" spans="1:35" x14ac:dyDescent="0.25">
      <c r="W24" s="4" t="s">
        <v>142</v>
      </c>
    </row>
    <row r="25" spans="1:35" x14ac:dyDescent="0.25">
      <c r="W25" s="4" t="s">
        <v>53</v>
      </c>
    </row>
    <row r="26" spans="1:35" x14ac:dyDescent="0.25">
      <c r="W26" s="4" t="s">
        <v>50</v>
      </c>
    </row>
    <row r="27" spans="1:35" x14ac:dyDescent="0.25">
      <c r="W27" s="4" t="s">
        <v>143</v>
      </c>
    </row>
    <row r="28" spans="1:35" x14ac:dyDescent="0.25">
      <c r="W28" s="4" t="s">
        <v>144</v>
      </c>
    </row>
    <row r="29" spans="1:35" x14ac:dyDescent="0.25">
      <c r="W29" s="4" t="s">
        <v>145</v>
      </c>
    </row>
    <row r="30" spans="1:35" x14ac:dyDescent="0.25">
      <c r="W30" s="4" t="s">
        <v>146</v>
      </c>
    </row>
    <row r="31" spans="1:35" x14ac:dyDescent="0.25">
      <c r="W31" s="4" t="s">
        <v>147</v>
      </c>
    </row>
    <row r="32" spans="1:35" x14ac:dyDescent="0.25">
      <c r="W32" s="4" t="s">
        <v>148</v>
      </c>
    </row>
    <row r="33" spans="23:23" x14ac:dyDescent="0.25">
      <c r="W33" s="4" t="s">
        <v>149</v>
      </c>
    </row>
    <row r="34" spans="23:23" x14ac:dyDescent="0.25">
      <c r="W34" s="4" t="s">
        <v>151</v>
      </c>
    </row>
    <row r="35" spans="23:23" x14ac:dyDescent="0.25">
      <c r="W35" s="4" t="s">
        <v>52</v>
      </c>
    </row>
    <row r="36" spans="23:23" x14ac:dyDescent="0.25">
      <c r="W36" s="4" t="s">
        <v>51</v>
      </c>
    </row>
    <row r="37" spans="23:23" x14ac:dyDescent="0.25">
      <c r="W37" s="4" t="s">
        <v>152</v>
      </c>
    </row>
    <row r="38" spans="23:23" x14ac:dyDescent="0.25">
      <c r="W38" s="4" t="s">
        <v>153</v>
      </c>
    </row>
    <row r="39" spans="23:23" x14ac:dyDescent="0.25">
      <c r="W39" s="4" t="s">
        <v>155</v>
      </c>
    </row>
    <row r="40" spans="23:23" x14ac:dyDescent="0.25">
      <c r="W40" s="4" t="s">
        <v>156</v>
      </c>
    </row>
    <row r="41" spans="23:23" x14ac:dyDescent="0.25">
      <c r="W41" s="4" t="s">
        <v>158</v>
      </c>
    </row>
    <row r="42" spans="23:23" x14ac:dyDescent="0.25">
      <c r="W42" s="4" t="s">
        <v>38</v>
      </c>
    </row>
    <row r="43" spans="23:23" x14ac:dyDescent="0.25">
      <c r="W43" s="4" t="s">
        <v>159</v>
      </c>
    </row>
    <row r="44" spans="23:23" x14ac:dyDescent="0.25">
      <c r="W44" s="4" t="s">
        <v>6397</v>
      </c>
    </row>
    <row r="45" spans="23:23" x14ac:dyDescent="0.25">
      <c r="W45" s="501" t="s">
        <v>110</v>
      </c>
    </row>
  </sheetData>
  <mergeCells count="60">
    <mergeCell ref="A18:A19"/>
    <mergeCell ref="C18:E18"/>
    <mergeCell ref="C19:E19"/>
    <mergeCell ref="A20:A21"/>
    <mergeCell ref="C20:E20"/>
    <mergeCell ref="C21:E21"/>
    <mergeCell ref="A13:A14"/>
    <mergeCell ref="C13:E13"/>
    <mergeCell ref="C14:E14"/>
    <mergeCell ref="A15:A16"/>
    <mergeCell ref="C15:E15"/>
    <mergeCell ref="C16:E16"/>
    <mergeCell ref="A9:A10"/>
    <mergeCell ref="C9:E9"/>
    <mergeCell ref="C10:E10"/>
    <mergeCell ref="A11:A12"/>
    <mergeCell ref="C11:E11"/>
    <mergeCell ref="C12:E12"/>
    <mergeCell ref="AH7:AH8"/>
    <mergeCell ref="AI7:AI8"/>
    <mergeCell ref="AJ7:AJ8"/>
    <mergeCell ref="AK7:AK8"/>
    <mergeCell ref="A1:L2"/>
    <mergeCell ref="A4:B5"/>
    <mergeCell ref="C4:C5"/>
    <mergeCell ref="D4:D5"/>
    <mergeCell ref="E4:E5"/>
    <mergeCell ref="C7:E7"/>
    <mergeCell ref="C8:E8"/>
    <mergeCell ref="A7:A8"/>
    <mergeCell ref="F4:F5"/>
    <mergeCell ref="AH13:AH14"/>
    <mergeCell ref="AI13:AI14"/>
    <mergeCell ref="AD9:AE10"/>
    <mergeCell ref="G4:G5"/>
    <mergeCell ref="AD11:AE12"/>
    <mergeCell ref="AF9:AF10"/>
    <mergeCell ref="AG9:AG10"/>
    <mergeCell ref="AH9:AH10"/>
    <mergeCell ref="AI9:AI10"/>
    <mergeCell ref="AF11:AF12"/>
    <mergeCell ref="AG11:AG12"/>
    <mergeCell ref="AH11:AH12"/>
    <mergeCell ref="AI11:AI12"/>
    <mergeCell ref="AD7:AE8"/>
    <mergeCell ref="AF7:AF8"/>
    <mergeCell ref="AG7:AG8"/>
    <mergeCell ref="AH15:AH16"/>
    <mergeCell ref="AI15:AI16"/>
    <mergeCell ref="AD17:AE18"/>
    <mergeCell ref="AF17:AF18"/>
    <mergeCell ref="AG17:AG18"/>
    <mergeCell ref="AH17:AH18"/>
    <mergeCell ref="AI17:AI18"/>
    <mergeCell ref="AD13:AE14"/>
    <mergeCell ref="AF13:AF14"/>
    <mergeCell ref="AD15:AE16"/>
    <mergeCell ref="AF15:AF16"/>
    <mergeCell ref="AG15:AG16"/>
    <mergeCell ref="AG13:AG14"/>
  </mergeCells>
  <dataValidations count="1">
    <dataValidation type="list" allowBlank="1" showInputMessage="1" showErrorMessage="1" sqref="C7:E16" xr:uid="{00000000-0002-0000-0800-000000000000}">
      <formula1>$W$7:$W$45</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6">
    <tabColor theme="4" tint="0.39997558519241921"/>
  </sheetPr>
  <dimension ref="A1:DF98"/>
  <sheetViews>
    <sheetView topLeftCell="A6" zoomScale="70" zoomScaleNormal="70" workbookViewId="0">
      <selection activeCell="L13" sqref="L13:P13"/>
    </sheetView>
  </sheetViews>
  <sheetFormatPr defaultRowHeight="15" x14ac:dyDescent="0.25"/>
  <cols>
    <col min="1" max="79" width="5.7109375" customWidth="1"/>
  </cols>
  <sheetData>
    <row r="1" spans="1:110" ht="17.25" thickTop="1" thickBot="1" x14ac:dyDescent="0.3">
      <c r="A1" s="120"/>
      <c r="B1" s="1049" t="s">
        <v>6626</v>
      </c>
      <c r="C1" s="1049"/>
      <c r="D1" s="1049"/>
      <c r="E1" s="1049"/>
      <c r="F1" s="1049"/>
      <c r="G1" s="1049" t="s">
        <v>6655</v>
      </c>
      <c r="H1" s="1049"/>
      <c r="I1" s="1049"/>
      <c r="J1" s="1049"/>
      <c r="K1" s="1049"/>
      <c r="L1" s="1050" t="s">
        <v>6648</v>
      </c>
      <c r="M1" s="1050"/>
      <c r="N1" s="1050"/>
      <c r="O1" s="1050"/>
      <c r="P1" s="1050"/>
      <c r="Q1" s="1049" t="s">
        <v>6657</v>
      </c>
      <c r="R1" s="1049"/>
      <c r="S1" s="1049"/>
      <c r="T1" s="1049"/>
      <c r="U1" s="1049"/>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c r="CD1" s="565"/>
      <c r="CE1" s="565"/>
      <c r="CF1" s="565"/>
      <c r="CG1" s="565"/>
      <c r="CH1" s="565"/>
      <c r="CI1" s="565"/>
      <c r="CJ1" s="565"/>
      <c r="CK1" s="565"/>
      <c r="CL1" s="565"/>
      <c r="CM1" s="565"/>
      <c r="CN1" s="565"/>
      <c r="CO1" s="565"/>
      <c r="CP1" s="565"/>
      <c r="CQ1" s="565"/>
      <c r="CR1" s="565"/>
      <c r="CS1" s="565"/>
      <c r="CT1" s="565"/>
      <c r="CU1" s="565"/>
      <c r="CV1" s="565"/>
      <c r="CW1" s="565"/>
      <c r="CX1" s="565"/>
      <c r="CY1" s="565"/>
      <c r="CZ1" s="565"/>
      <c r="DA1" s="565"/>
      <c r="DB1" s="565"/>
      <c r="DC1" s="565"/>
      <c r="DD1" s="565"/>
      <c r="DE1" s="565"/>
      <c r="DF1" s="565"/>
    </row>
    <row r="2" spans="1:110" ht="15.75" thickTop="1" x14ac:dyDescent="0.25">
      <c r="A2" s="120"/>
      <c r="B2" s="1053" t="s">
        <v>3064</v>
      </c>
      <c r="C2" s="1054"/>
      <c r="D2" s="1055"/>
      <c r="E2" s="120"/>
      <c r="F2" s="120"/>
      <c r="G2" s="120"/>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c r="BY2" s="120"/>
      <c r="BZ2" s="120"/>
      <c r="CA2" s="120"/>
      <c r="CB2" s="120"/>
      <c r="CC2" s="120"/>
      <c r="CD2" s="565"/>
      <c r="CE2" s="565"/>
      <c r="CF2" s="565"/>
      <c r="CG2" s="565"/>
      <c r="CH2" s="565"/>
      <c r="CI2" s="565"/>
      <c r="CJ2" s="565"/>
      <c r="CK2" s="565"/>
      <c r="CL2" s="565"/>
      <c r="CM2" s="565"/>
      <c r="CN2" s="565"/>
      <c r="CO2" s="565"/>
      <c r="CP2" s="565"/>
      <c r="CQ2" s="565"/>
      <c r="CR2" s="565"/>
      <c r="CS2" s="565"/>
      <c r="CT2" s="565"/>
      <c r="CU2" s="565"/>
      <c r="CV2" s="565"/>
      <c r="CW2" s="565"/>
      <c r="CX2" s="565"/>
      <c r="CY2" s="565"/>
      <c r="CZ2" s="565"/>
      <c r="DA2" s="565"/>
      <c r="DB2" s="565"/>
      <c r="DC2" s="565"/>
      <c r="DD2" s="565"/>
      <c r="DE2" s="565"/>
      <c r="DF2" s="565"/>
    </row>
    <row r="3" spans="1:110" ht="15.75" thickBot="1" x14ac:dyDescent="0.3">
      <c r="A3" s="120"/>
      <c r="B3" s="1056"/>
      <c r="C3" s="1057"/>
      <c r="D3" s="1058"/>
      <c r="E3" s="1059" t="s">
        <v>62</v>
      </c>
      <c r="F3" s="1052"/>
      <c r="G3" s="1052">
        <f>BardLevel</f>
        <v>0</v>
      </c>
      <c r="H3" s="1052"/>
      <c r="I3" s="1052" t="s">
        <v>4536</v>
      </c>
      <c r="J3" s="1052"/>
      <c r="K3" s="1052"/>
      <c r="L3" s="1052"/>
      <c r="M3" s="1051">
        <f>BardSpellsKnown</f>
        <v>0</v>
      </c>
      <c r="N3" s="1051"/>
      <c r="O3" s="1051"/>
      <c r="P3" s="1052" t="s">
        <v>6383</v>
      </c>
      <c r="Q3" s="1052"/>
      <c r="R3" s="604"/>
      <c r="S3" s="1051">
        <f>BardMaxSpellLevel</f>
        <v>0</v>
      </c>
      <c r="T3" s="1051"/>
      <c r="U3" s="1051"/>
      <c r="V3" s="120"/>
      <c r="W3" s="120"/>
      <c r="X3" s="120"/>
      <c r="Y3" s="120"/>
      <c r="Z3" s="120"/>
      <c r="AA3" s="120"/>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120"/>
      <c r="BV3" s="120"/>
      <c r="BW3" s="120"/>
      <c r="BX3" s="120"/>
      <c r="BY3" s="120"/>
      <c r="BZ3" s="120"/>
      <c r="CA3" s="120"/>
      <c r="CB3" s="120"/>
      <c r="CC3" s="120"/>
      <c r="CD3" s="565"/>
      <c r="CE3" s="565"/>
      <c r="CF3" s="565"/>
      <c r="CG3" s="565"/>
      <c r="CH3" s="565"/>
      <c r="CI3" s="565"/>
      <c r="CJ3" s="565"/>
      <c r="CK3" s="565"/>
      <c r="CL3" s="565"/>
      <c r="CM3" s="565"/>
      <c r="CN3" s="565"/>
      <c r="CO3" s="565"/>
      <c r="CP3" s="565"/>
      <c r="CQ3" s="565"/>
      <c r="CR3" s="565"/>
      <c r="CS3" s="565"/>
      <c r="CT3" s="565"/>
      <c r="CU3" s="565"/>
      <c r="CV3" s="565"/>
      <c r="CW3" s="565"/>
      <c r="CX3" s="565"/>
      <c r="CY3" s="565"/>
      <c r="CZ3" s="565"/>
      <c r="DA3" s="565"/>
      <c r="DB3" s="565"/>
      <c r="DC3" s="565"/>
      <c r="DD3" s="565"/>
      <c r="DE3" s="565"/>
      <c r="DF3" s="565"/>
    </row>
    <row r="4" spans="1:110" x14ac:dyDescent="0.25">
      <c r="A4" s="120"/>
      <c r="B4" s="120"/>
      <c r="C4" s="120"/>
      <c r="D4" s="120"/>
      <c r="E4" s="120"/>
      <c r="F4" s="120"/>
      <c r="G4" s="120"/>
      <c r="H4" s="120"/>
      <c r="I4" s="120"/>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120"/>
      <c r="AT4" s="120"/>
      <c r="AU4" s="120"/>
      <c r="AV4" s="120"/>
      <c r="AW4" s="120"/>
      <c r="AX4" s="120"/>
      <c r="AY4" s="120"/>
      <c r="AZ4" s="120"/>
      <c r="BA4" s="120"/>
      <c r="BB4" s="120"/>
      <c r="BC4" s="120"/>
      <c r="BD4" s="120"/>
      <c r="BE4" s="120"/>
      <c r="BF4" s="120"/>
      <c r="BG4" s="120"/>
      <c r="BH4" s="120"/>
      <c r="BI4" s="120"/>
      <c r="BJ4" s="120"/>
      <c r="BK4" s="120"/>
      <c r="BL4" s="120"/>
      <c r="BM4" s="120"/>
      <c r="BN4" s="120"/>
      <c r="BO4" s="120"/>
      <c r="BP4" s="120"/>
      <c r="BQ4" s="120"/>
      <c r="BR4" s="120"/>
      <c r="BS4" s="120"/>
      <c r="BT4" s="120"/>
      <c r="BU4" s="120"/>
      <c r="BV4" s="120"/>
      <c r="BW4" s="120"/>
      <c r="BX4" s="120"/>
      <c r="BY4" s="120"/>
      <c r="BZ4" s="120"/>
      <c r="CA4" s="120"/>
      <c r="CB4" s="120"/>
      <c r="CC4" s="120"/>
      <c r="CD4" s="565"/>
      <c r="CE4" s="565"/>
      <c r="CF4" s="565"/>
      <c r="CG4" s="565"/>
      <c r="CH4" s="565"/>
      <c r="CI4" s="565"/>
      <c r="CJ4" s="565"/>
      <c r="CK4" s="565"/>
      <c r="CL4" s="565"/>
      <c r="CM4" s="565"/>
      <c r="CN4" s="565"/>
      <c r="CO4" s="565"/>
      <c r="CP4" s="565"/>
      <c r="CQ4" s="565"/>
      <c r="CR4" s="565"/>
      <c r="CS4" s="565"/>
      <c r="CT4" s="565"/>
      <c r="CU4" s="565"/>
      <c r="CV4" s="565"/>
      <c r="CW4" s="565"/>
      <c r="CX4" s="565"/>
      <c r="CY4" s="565"/>
      <c r="CZ4" s="565"/>
      <c r="DA4" s="565"/>
      <c r="DB4" s="565"/>
      <c r="DC4" s="565"/>
      <c r="DD4" s="565"/>
      <c r="DE4" s="565"/>
      <c r="DF4" s="565"/>
    </row>
    <row r="5" spans="1:110" x14ac:dyDescent="0.25">
      <c r="A5" s="120"/>
      <c r="B5" s="1052" t="s">
        <v>6359</v>
      </c>
      <c r="C5" s="1052"/>
      <c r="D5" s="1052"/>
      <c r="E5" s="1052"/>
      <c r="F5" s="1052"/>
      <c r="G5" s="1052"/>
      <c r="H5" s="565"/>
      <c r="I5" s="565"/>
      <c r="J5" s="565"/>
      <c r="K5" s="1052" t="s">
        <v>6277</v>
      </c>
      <c r="L5" s="1052"/>
      <c r="M5" s="1052"/>
      <c r="N5" s="1052"/>
      <c r="O5" s="1052"/>
      <c r="P5" s="1052"/>
      <c r="Q5" s="565"/>
      <c r="R5" s="565"/>
      <c r="S5" s="565"/>
      <c r="T5" s="1052" t="s">
        <v>6279</v>
      </c>
      <c r="U5" s="1052"/>
      <c r="V5" s="1052"/>
      <c r="W5" s="1052"/>
      <c r="X5" s="1052"/>
      <c r="Y5" s="1052"/>
      <c r="Z5" s="565" t="s">
        <v>6251</v>
      </c>
      <c r="AA5" s="565"/>
      <c r="AB5" s="565"/>
      <c r="AC5" s="1052" t="s">
        <v>6280</v>
      </c>
      <c r="AD5" s="1052"/>
      <c r="AE5" s="1052"/>
      <c r="AF5" s="1052"/>
      <c r="AG5" s="1052"/>
      <c r="AH5" s="1052"/>
      <c r="AI5" s="565"/>
      <c r="AJ5" s="565"/>
      <c r="AK5" s="120"/>
      <c r="AL5" s="1052" t="s">
        <v>6281</v>
      </c>
      <c r="AM5" s="1052"/>
      <c r="AN5" s="1052"/>
      <c r="AO5" s="1052"/>
      <c r="AP5" s="1052"/>
      <c r="AQ5" s="1052"/>
      <c r="AR5" s="565"/>
      <c r="AS5" s="565"/>
      <c r="AT5" s="120"/>
      <c r="AU5" s="1052" t="s">
        <v>6282</v>
      </c>
      <c r="AV5" s="1052"/>
      <c r="AW5" s="1052"/>
      <c r="AX5" s="1052"/>
      <c r="AY5" s="1052"/>
      <c r="AZ5" s="1052"/>
      <c r="BA5" s="565"/>
      <c r="BB5" s="565"/>
      <c r="BC5" s="120"/>
      <c r="BD5" s="1052" t="s">
        <v>6283</v>
      </c>
      <c r="BE5" s="1052"/>
      <c r="BF5" s="1052"/>
      <c r="BG5" s="1052"/>
      <c r="BH5" s="1052"/>
      <c r="BI5" s="1052"/>
      <c r="BJ5" s="565"/>
      <c r="BK5" s="565"/>
      <c r="BL5" s="120"/>
      <c r="BM5" s="1052" t="s">
        <v>6284</v>
      </c>
      <c r="BN5" s="1052"/>
      <c r="BO5" s="1052"/>
      <c r="BP5" s="1052"/>
      <c r="BQ5" s="1052"/>
      <c r="BR5" s="1052"/>
      <c r="BS5" s="565"/>
      <c r="BT5" s="565"/>
      <c r="BU5" s="120"/>
      <c r="BV5" s="1052" t="s">
        <v>6285</v>
      </c>
      <c r="BW5" s="1052"/>
      <c r="BX5" s="1052"/>
      <c r="BY5" s="1052"/>
      <c r="BZ5" s="1052"/>
      <c r="CA5" s="1052"/>
      <c r="CB5" s="565"/>
      <c r="CC5" s="120"/>
      <c r="CD5" s="565"/>
      <c r="CE5" s="565"/>
      <c r="CF5" s="565"/>
      <c r="CG5" s="565"/>
      <c r="CH5" s="565"/>
      <c r="CI5" s="565"/>
      <c r="CJ5" s="565"/>
      <c r="CK5" s="565"/>
      <c r="CL5" s="1060">
        <v>1</v>
      </c>
      <c r="CM5" s="1060"/>
      <c r="CN5" s="1060">
        <v>2</v>
      </c>
      <c r="CO5" s="1060"/>
      <c r="CP5" s="1060">
        <v>3</v>
      </c>
      <c r="CQ5" s="1060"/>
      <c r="CR5" s="1060">
        <v>4</v>
      </c>
      <c r="CS5" s="1060"/>
      <c r="CT5" s="1060">
        <v>5</v>
      </c>
      <c r="CU5" s="1060"/>
      <c r="CV5" s="1060">
        <v>6</v>
      </c>
      <c r="CW5" s="1060"/>
      <c r="CX5" s="1060">
        <v>7</v>
      </c>
      <c r="CY5" s="1060"/>
      <c r="CZ5" s="1060"/>
      <c r="DA5" s="1060"/>
      <c r="DB5" s="1060"/>
      <c r="DC5" s="1060"/>
      <c r="DD5" s="565"/>
      <c r="DE5" s="565"/>
      <c r="DF5" s="565"/>
    </row>
    <row r="6" spans="1:110" x14ac:dyDescent="0.25">
      <c r="A6" s="120"/>
      <c r="B6" s="5">
        <v>1</v>
      </c>
      <c r="C6" s="1061" t="str">
        <f t="shared" ref="C6:C35" si="0">IFERROR(INDEX($CJ$6:$CJ$35,MATCH(B6,$CM$6:$CM$35,0),1),"")</f>
        <v/>
      </c>
      <c r="D6" s="1061"/>
      <c r="E6" s="1061"/>
      <c r="F6" s="1061"/>
      <c r="G6" s="1061"/>
      <c r="H6" s="565"/>
      <c r="I6" s="565" t="str">
        <f>IF(C6="","",C6&amp;", ")</f>
        <v/>
      </c>
      <c r="J6" s="565"/>
      <c r="K6" s="5">
        <v>1</v>
      </c>
      <c r="L6" s="1061" t="str">
        <f t="shared" ref="L6:L35" si="1">IFERROR(INDEX($CJ$6:$CJ$35,MATCH(K6,$CO$6:$CO$35,0),1),"")</f>
        <v/>
      </c>
      <c r="M6" s="1061"/>
      <c r="N6" s="1061"/>
      <c r="O6" s="1061"/>
      <c r="P6" s="1061"/>
      <c r="Q6" s="565"/>
      <c r="R6" s="565"/>
      <c r="S6" s="565" t="str">
        <f>IF(L6="","",L6&amp;", ")</f>
        <v/>
      </c>
      <c r="T6" s="5">
        <v>1</v>
      </c>
      <c r="U6" s="1061" t="str">
        <f t="shared" ref="U6:U35" si="2">IFERROR(INDEX($CJ$6:$CJ$35,MATCH(T6,$CQ$6:$CQ$35,0),1),"")</f>
        <v/>
      </c>
      <c r="V6" s="1061"/>
      <c r="W6" s="1061"/>
      <c r="X6" s="1061"/>
      <c r="Y6" s="1061"/>
      <c r="Z6" s="565" t="str">
        <f t="shared" ref="Z6:Z35" si="3">IF(1&lt;=$Y$3,IF(U6&lt;&gt;"",IF(IFERROR(SEARCH(U6,$M$2,1),0)&gt;0,"●",""),""),"")</f>
        <v/>
      </c>
      <c r="AA6" s="565"/>
      <c r="AB6" s="565" t="str">
        <f>IF(U6="","",U6&amp;", ")</f>
        <v/>
      </c>
      <c r="AC6" s="5">
        <v>1</v>
      </c>
      <c r="AD6" s="1061" t="str">
        <f t="shared" ref="AD6:AD35" si="4">IFERROR(INDEX($CJ$6:$CJ$35,MATCH(AC6,$CS$6:$CS$35,0),1),"")</f>
        <v/>
      </c>
      <c r="AE6" s="1061"/>
      <c r="AF6" s="1061"/>
      <c r="AG6" s="1061"/>
      <c r="AH6" s="1061"/>
      <c r="AI6" s="565" t="s">
        <v>3034</v>
      </c>
      <c r="AJ6" s="565"/>
      <c r="AK6" s="565" t="str">
        <f>IF(AD6="","",AD6&amp;", ")</f>
        <v/>
      </c>
      <c r="AL6" s="5">
        <v>1</v>
      </c>
      <c r="AM6" s="1061" t="str">
        <f t="shared" ref="AM6:AM35" si="5">IFERROR(INDEX($CJ$6:$CJ$35,MATCH(AL6,$CU$6:$CU$35,0),1),"")</f>
        <v/>
      </c>
      <c r="AN6" s="1061"/>
      <c r="AO6" s="1061"/>
      <c r="AP6" s="1061"/>
      <c r="AQ6" s="1061"/>
      <c r="AR6" s="565"/>
      <c r="AS6" s="565"/>
      <c r="AT6" s="565" t="str">
        <f>IF(AM6="","",AM6&amp;", ")</f>
        <v/>
      </c>
      <c r="AU6" s="5">
        <v>1</v>
      </c>
      <c r="AV6" s="1061" t="str">
        <f t="shared" ref="AV6:AV35" si="6">IFERROR(INDEX($CJ$6:$CJ$35,MATCH(AU6,$CW$6:$CW$35,0),1),"")</f>
        <v/>
      </c>
      <c r="AW6" s="1061"/>
      <c r="AX6" s="1061"/>
      <c r="AY6" s="1061"/>
      <c r="AZ6" s="1061"/>
      <c r="BA6" s="565"/>
      <c r="BB6" s="565"/>
      <c r="BC6" s="565" t="str">
        <f>IF(AV6="","",AV6&amp;", ")</f>
        <v/>
      </c>
      <c r="BD6" s="5">
        <v>1</v>
      </c>
      <c r="BE6" s="1061" t="str">
        <f t="shared" ref="BE6:BE35" si="7">IFERROR(INDEX($CJ$6:$CJ$35,MATCH(BD6,$CY$6:$CY$35,0),1),"")</f>
        <v/>
      </c>
      <c r="BF6" s="1061"/>
      <c r="BG6" s="1061"/>
      <c r="BH6" s="1061"/>
      <c r="BI6" s="1061"/>
      <c r="BJ6" s="565"/>
      <c r="BK6" s="565"/>
      <c r="BL6" s="565" t="str">
        <f>IF(BE6="","",BE6&amp;", ")</f>
        <v/>
      </c>
      <c r="BM6" s="5">
        <v>1</v>
      </c>
      <c r="BN6" s="1061" t="str">
        <f t="shared" ref="BN6:BN35" si="8">IFERROR(INDEX($CJ$6:$CJ$35,MATCH(BM6,$DA$6:$DA$35,0),1),"")</f>
        <v/>
      </c>
      <c r="BO6" s="1061"/>
      <c r="BP6" s="1061"/>
      <c r="BQ6" s="1061"/>
      <c r="BR6" s="1061"/>
      <c r="BS6" s="565"/>
      <c r="BT6" s="565"/>
      <c r="BU6" s="565" t="str">
        <f>IF(BN6="","",BN6&amp;", ")</f>
        <v/>
      </c>
      <c r="BV6" s="5">
        <v>1</v>
      </c>
      <c r="BW6" s="1061" t="str">
        <f t="shared" ref="BW6:BW35" si="9">IFERROR(INDEX($CJ$6:$CJ$35,MATCH(BV6,$DC$6:$DC$35,0),1),"")</f>
        <v/>
      </c>
      <c r="BX6" s="1061"/>
      <c r="BY6" s="1061"/>
      <c r="BZ6" s="1061"/>
      <c r="CA6" s="1061"/>
      <c r="CB6" s="565"/>
      <c r="CC6" s="565" t="str">
        <f>IF(BW6="","",BW6&amp;", ")</f>
        <v/>
      </c>
      <c r="CD6" s="565"/>
      <c r="CE6" s="565"/>
      <c r="CF6" s="565">
        <v>1</v>
      </c>
      <c r="CG6" s="566" t="str">
        <f t="shared" ref="CG6:CG14" si="10">IF(CF6&lt;=DruidMaxSpellLevel,"●","")</f>
        <v/>
      </c>
      <c r="CH6" s="565"/>
      <c r="CI6" s="565">
        <v>1</v>
      </c>
      <c r="CJ6" s="565">
        <f>Character_Creation!C341</f>
        <v>0</v>
      </c>
      <c r="CK6" s="565" t="str">
        <f>IFERROR(INDEX(T08_Spells!$C$3:$C$1000,MATCH(S01_Bard!$CJ6,T08_Spells!$B$3:$B$1000,0),1),"")</f>
        <v/>
      </c>
      <c r="CL6" s="565">
        <f>IF(AND($CJ6&lt;&gt;0,$CJ6&lt;&gt;""),1,0)*IF($CK6=1,1,0)</f>
        <v>0</v>
      </c>
      <c r="CM6" s="565">
        <f>IF(CL6=0,0,1)</f>
        <v>0</v>
      </c>
      <c r="CN6" s="565">
        <f>IF(AND($CJ6&lt;&gt;0,$CJ6&lt;&gt;""),1,0)*IF($CK6=2,1,0)</f>
        <v>0</v>
      </c>
      <c r="CO6" s="565">
        <f>IF(CN6=0,0,1)</f>
        <v>0</v>
      </c>
      <c r="CP6" s="565">
        <f>IF(AND($CJ6&lt;&gt;0,$CJ6&lt;&gt;""),1,0)*IF($CK6=3,1,0)</f>
        <v>0</v>
      </c>
      <c r="CQ6" s="565">
        <f>IF(CP6=0,0,1)</f>
        <v>0</v>
      </c>
      <c r="CR6" s="565">
        <f>IF(AND($CJ6&lt;&gt;0,$CJ6&lt;&gt;""),1,0)*IF($CK6=4,1,0)</f>
        <v>0</v>
      </c>
      <c r="CS6" s="565">
        <f>IF(CR6=0,0,1)</f>
        <v>0</v>
      </c>
      <c r="CT6" s="565">
        <f>IF(AND($CJ6&lt;&gt;0,$CJ6&lt;&gt;""),1,0)*IF($CK6=5,1,0)</f>
        <v>0</v>
      </c>
      <c r="CU6" s="565">
        <f>IF(CT6=0,0,1)</f>
        <v>0</v>
      </c>
      <c r="CV6" s="565">
        <f>IF(AND($CJ6&lt;&gt;0,$CJ6&lt;&gt;""),1,0)*IF($CK6=6,1,0)</f>
        <v>0</v>
      </c>
      <c r="CW6" s="565">
        <f>IF(CV6=0,0,1)</f>
        <v>0</v>
      </c>
      <c r="CX6" s="565">
        <f>IF(AND($CJ6&lt;&gt;0,$CJ6&lt;&gt;""),1,0)*IF($CK6=7,1,0)</f>
        <v>0</v>
      </c>
      <c r="CY6" s="565">
        <f>IF(CX6=0,0,1)</f>
        <v>0</v>
      </c>
      <c r="CZ6" s="565">
        <f>IF(AND($CJ6&lt;&gt;0,$CJ6&lt;&gt;""),1,0)*IF($CK6=8,1,0)</f>
        <v>0</v>
      </c>
      <c r="DA6" s="565">
        <f>IF(CZ6=0,0,1)</f>
        <v>0</v>
      </c>
      <c r="DB6" s="565">
        <f>IF(AND($CJ6&lt;&gt;0,$CJ6&lt;&gt;""),1,0)*IF($CK6=9,1,0)</f>
        <v>0</v>
      </c>
      <c r="DC6" s="565">
        <f>IF(DB6=0,0,1)</f>
        <v>0</v>
      </c>
      <c r="DD6" s="565"/>
      <c r="DE6" s="565"/>
      <c r="DF6" s="565"/>
    </row>
    <row r="7" spans="1:110" x14ac:dyDescent="0.25">
      <c r="A7" s="120"/>
      <c r="B7" s="5">
        <v>2</v>
      </c>
      <c r="C7" s="1061" t="str">
        <f t="shared" si="0"/>
        <v/>
      </c>
      <c r="D7" s="1061"/>
      <c r="E7" s="1061"/>
      <c r="F7" s="1061"/>
      <c r="G7" s="1061"/>
      <c r="H7" s="565"/>
      <c r="I7" s="565" t="str">
        <f t="shared" ref="I7:I35" si="11">IF(C7="","",C7&amp;", ")</f>
        <v/>
      </c>
      <c r="J7" s="565"/>
      <c r="K7" s="5">
        <v>2</v>
      </c>
      <c r="L7" s="1061" t="str">
        <f t="shared" si="1"/>
        <v/>
      </c>
      <c r="M7" s="1061"/>
      <c r="N7" s="1061"/>
      <c r="O7" s="1061"/>
      <c r="P7" s="1061"/>
      <c r="Q7" s="565"/>
      <c r="R7" s="565"/>
      <c r="S7" s="565" t="str">
        <f t="shared" ref="S7:S35" si="12">IF(L7="","",L7&amp;", ")</f>
        <v/>
      </c>
      <c r="T7" s="5">
        <v>2</v>
      </c>
      <c r="U7" s="1061" t="str">
        <f t="shared" si="2"/>
        <v/>
      </c>
      <c r="V7" s="1061"/>
      <c r="W7" s="1061"/>
      <c r="X7" s="1061"/>
      <c r="Y7" s="1061"/>
      <c r="Z7" s="565" t="str">
        <f t="shared" si="3"/>
        <v/>
      </c>
      <c r="AA7" s="565"/>
      <c r="AB7" s="565" t="str">
        <f t="shared" ref="AB7:AB35" si="13">IF(U7="","",U7&amp;", ")</f>
        <v/>
      </c>
      <c r="AC7" s="5">
        <v>2</v>
      </c>
      <c r="AD7" s="1061" t="str">
        <f t="shared" si="4"/>
        <v/>
      </c>
      <c r="AE7" s="1061"/>
      <c r="AF7" s="1061"/>
      <c r="AG7" s="1061"/>
      <c r="AH7" s="1061"/>
      <c r="AI7" s="565" t="s">
        <v>3034</v>
      </c>
      <c r="AJ7" s="565"/>
      <c r="AK7" s="565" t="str">
        <f t="shared" ref="AK7:AK35" si="14">IF(AD7="","",AD7&amp;", ")</f>
        <v/>
      </c>
      <c r="AL7" s="5">
        <v>2</v>
      </c>
      <c r="AM7" s="1061" t="str">
        <f t="shared" si="5"/>
        <v/>
      </c>
      <c r="AN7" s="1061"/>
      <c r="AO7" s="1061"/>
      <c r="AP7" s="1061"/>
      <c r="AQ7" s="1061"/>
      <c r="AR7" s="565"/>
      <c r="AS7" s="565"/>
      <c r="AT7" s="565" t="str">
        <f t="shared" ref="AT7:AT35" si="15">IF(AM7="","",AM7&amp;", ")</f>
        <v/>
      </c>
      <c r="AU7" s="5">
        <v>2</v>
      </c>
      <c r="AV7" s="1061" t="str">
        <f t="shared" si="6"/>
        <v/>
      </c>
      <c r="AW7" s="1061"/>
      <c r="AX7" s="1061"/>
      <c r="AY7" s="1061"/>
      <c r="AZ7" s="1061"/>
      <c r="BA7" s="565"/>
      <c r="BB7" s="565"/>
      <c r="BC7" s="565" t="str">
        <f t="shared" ref="BC7:BC35" si="16">IF(AV7="","",AV7&amp;", ")</f>
        <v/>
      </c>
      <c r="BD7" s="5">
        <v>2</v>
      </c>
      <c r="BE7" s="1061" t="str">
        <f t="shared" si="7"/>
        <v/>
      </c>
      <c r="BF7" s="1061"/>
      <c r="BG7" s="1061"/>
      <c r="BH7" s="1061"/>
      <c r="BI7" s="1061"/>
      <c r="BJ7" s="565"/>
      <c r="BK7" s="565"/>
      <c r="BL7" s="565" t="str">
        <f t="shared" ref="BL7:BL35" si="17">IF(BE7="","",BE7&amp;", ")</f>
        <v/>
      </c>
      <c r="BM7" s="5">
        <v>2</v>
      </c>
      <c r="BN7" s="1061" t="str">
        <f t="shared" si="8"/>
        <v/>
      </c>
      <c r="BO7" s="1061"/>
      <c r="BP7" s="1061"/>
      <c r="BQ7" s="1061"/>
      <c r="BR7" s="1061"/>
      <c r="BS7" s="565"/>
      <c r="BT7" s="565"/>
      <c r="BU7" s="565" t="str">
        <f t="shared" ref="BU7:BU35" si="18">IF(BN7="","",BN7&amp;", ")</f>
        <v/>
      </c>
      <c r="BV7" s="5">
        <v>2</v>
      </c>
      <c r="BW7" s="1061" t="str">
        <f t="shared" si="9"/>
        <v/>
      </c>
      <c r="BX7" s="1061"/>
      <c r="BY7" s="1061"/>
      <c r="BZ7" s="1061"/>
      <c r="CA7" s="1061"/>
      <c r="CB7" s="565"/>
      <c r="CC7" s="565" t="str">
        <f t="shared" ref="CC7:CC35" si="19">IF(BW7="","",BW7&amp;", ")</f>
        <v/>
      </c>
      <c r="CD7" s="565"/>
      <c r="CE7" s="565"/>
      <c r="CF7" s="565">
        <v>2</v>
      </c>
      <c r="CG7" s="566" t="str">
        <f t="shared" si="10"/>
        <v/>
      </c>
      <c r="CH7" s="565"/>
      <c r="CI7" s="565">
        <v>2</v>
      </c>
      <c r="CJ7" s="565">
        <f>Character_Creation!C342</f>
        <v>0</v>
      </c>
      <c r="CK7" s="565" t="str">
        <f>IFERROR(INDEX(T08_Spells!$C$3:$C$1000,MATCH(S01_Bard!$CJ7,T08_Spells!$B$3:$B$1000,0),1),"")</f>
        <v/>
      </c>
      <c r="CL7" s="565">
        <f t="shared" ref="CL7:CL27" si="20">IF(AND($CJ7&lt;&gt;0,$CJ7&lt;&gt;""),1,0)*IF($CK7=1,1,0)</f>
        <v>0</v>
      </c>
      <c r="CM7" s="565">
        <f>IF(CL7=0,0,1+COUNTIF(CM6:CM$6,"&gt;0"))</f>
        <v>0</v>
      </c>
      <c r="CN7" s="565">
        <f t="shared" ref="CN7:CN35" si="21">IF(AND($CJ7&lt;&gt;0,$CJ7&lt;&gt;""),1,0)*IF($CK7=2,1,0)</f>
        <v>0</v>
      </c>
      <c r="CO7" s="565">
        <f>IF(CN7=0,0,1+COUNTIF(CO6:CO$6,"&gt;0"))</f>
        <v>0</v>
      </c>
      <c r="CP7" s="565">
        <f t="shared" ref="CP7:CP35" si="22">IF(AND($CJ7&lt;&gt;0,$CJ7&lt;&gt;""),1,0)*IF($CK7=3,1,0)</f>
        <v>0</v>
      </c>
      <c r="CQ7" s="565">
        <f>IF(CP7=0,0,1+COUNTIF(CQ6:CQ$6,"&gt;0"))</f>
        <v>0</v>
      </c>
      <c r="CR7" s="565">
        <f t="shared" ref="CR7:CR35" si="23">IF(AND($CJ7&lt;&gt;0,$CJ7&lt;&gt;""),1,0)*IF($CK7=4,1,0)</f>
        <v>0</v>
      </c>
      <c r="CS7" s="565">
        <f>IF(CR7=0,0,1+COUNTIF(CS6:CS$6,"&gt;0"))</f>
        <v>0</v>
      </c>
      <c r="CT7" s="565">
        <f t="shared" ref="CT7:CT35" si="24">IF(AND($CJ7&lt;&gt;0,$CJ7&lt;&gt;""),1,0)*IF($CK7=5,1,0)</f>
        <v>0</v>
      </c>
      <c r="CU7" s="565">
        <f>IF(CT7=0,0,1+COUNTIF(CU6:CU$6,"&gt;0"))</f>
        <v>0</v>
      </c>
      <c r="CV7" s="565">
        <f t="shared" ref="CV7:CV35" si="25">IF(AND($CJ7&lt;&gt;0,$CJ7&lt;&gt;""),1,0)*IF($CK7=6,1,0)</f>
        <v>0</v>
      </c>
      <c r="CW7" s="565">
        <f>IF(CV7=0,0,1+COUNTIF(CW6:CW$6,"&gt;0"))</f>
        <v>0</v>
      </c>
      <c r="CX7" s="565">
        <f t="shared" ref="CX7:CX35" si="26">IF(AND($CJ7&lt;&gt;0,$CJ7&lt;&gt;""),1,0)*IF($CK7=7,1,0)</f>
        <v>0</v>
      </c>
      <c r="CY7" s="565">
        <f>IF(CX7=0,0,1+COUNTIF(CY6:CY$6,"&gt;0"))</f>
        <v>0</v>
      </c>
      <c r="CZ7" s="565">
        <f t="shared" ref="CZ7:CZ35" si="27">IF(AND($CJ7&lt;&gt;0,$CJ7&lt;&gt;""),1,0)*IF($CK7=8,1,0)</f>
        <v>0</v>
      </c>
      <c r="DA7" s="565">
        <f>IF(CZ7=0,0,1+COUNTIF(DA6:DA$6,"&gt;0"))</f>
        <v>0</v>
      </c>
      <c r="DB7" s="565">
        <f t="shared" ref="DB7:DB35" si="28">IF(AND($CJ7&lt;&gt;0,$CJ7&lt;&gt;""),1,0)*IF($CK7=9,1,0)</f>
        <v>0</v>
      </c>
      <c r="DC7" s="565">
        <f>IF(DB7=0,0,1+COUNTIF(DC6:DC$6,"&gt;0"))</f>
        <v>0</v>
      </c>
      <c r="DD7" s="565"/>
      <c r="DE7" s="565"/>
      <c r="DF7" s="565"/>
    </row>
    <row r="8" spans="1:110" x14ac:dyDescent="0.25">
      <c r="A8" s="120"/>
      <c r="B8" s="5">
        <v>3</v>
      </c>
      <c r="C8" s="1061" t="str">
        <f t="shared" si="0"/>
        <v/>
      </c>
      <c r="D8" s="1061"/>
      <c r="E8" s="1061"/>
      <c r="F8" s="1061"/>
      <c r="G8" s="1061"/>
      <c r="H8" s="565"/>
      <c r="I8" s="565" t="str">
        <f t="shared" si="11"/>
        <v/>
      </c>
      <c r="J8" s="565"/>
      <c r="K8" s="5">
        <v>3</v>
      </c>
      <c r="L8" s="1061" t="str">
        <f t="shared" si="1"/>
        <v/>
      </c>
      <c r="M8" s="1061"/>
      <c r="N8" s="1061"/>
      <c r="O8" s="1061"/>
      <c r="P8" s="1061"/>
      <c r="Q8" s="565"/>
      <c r="R8" s="565"/>
      <c r="S8" s="565" t="str">
        <f t="shared" si="12"/>
        <v/>
      </c>
      <c r="T8" s="5">
        <v>3</v>
      </c>
      <c r="U8" s="1061" t="str">
        <f t="shared" si="2"/>
        <v/>
      </c>
      <c r="V8" s="1061"/>
      <c r="W8" s="1061"/>
      <c r="X8" s="1061"/>
      <c r="Y8" s="1061"/>
      <c r="Z8" s="565" t="str">
        <f t="shared" si="3"/>
        <v/>
      </c>
      <c r="AA8" s="565"/>
      <c r="AB8" s="565" t="str">
        <f t="shared" si="13"/>
        <v/>
      </c>
      <c r="AC8" s="5">
        <v>3</v>
      </c>
      <c r="AD8" s="1061" t="str">
        <f t="shared" si="4"/>
        <v/>
      </c>
      <c r="AE8" s="1061"/>
      <c r="AF8" s="1061"/>
      <c r="AG8" s="1061"/>
      <c r="AH8" s="1061"/>
      <c r="AI8" s="565" t="s">
        <v>3034</v>
      </c>
      <c r="AJ8" s="565"/>
      <c r="AK8" s="565" t="str">
        <f t="shared" si="14"/>
        <v/>
      </c>
      <c r="AL8" s="5">
        <v>3</v>
      </c>
      <c r="AM8" s="1061" t="str">
        <f t="shared" si="5"/>
        <v/>
      </c>
      <c r="AN8" s="1061"/>
      <c r="AO8" s="1061"/>
      <c r="AP8" s="1061"/>
      <c r="AQ8" s="1061"/>
      <c r="AR8" s="565"/>
      <c r="AS8" s="565"/>
      <c r="AT8" s="565" t="str">
        <f t="shared" si="15"/>
        <v/>
      </c>
      <c r="AU8" s="5">
        <v>3</v>
      </c>
      <c r="AV8" s="1061" t="str">
        <f t="shared" si="6"/>
        <v/>
      </c>
      <c r="AW8" s="1061"/>
      <c r="AX8" s="1061"/>
      <c r="AY8" s="1061"/>
      <c r="AZ8" s="1061"/>
      <c r="BA8" s="565"/>
      <c r="BB8" s="565"/>
      <c r="BC8" s="565" t="str">
        <f t="shared" si="16"/>
        <v/>
      </c>
      <c r="BD8" s="5">
        <v>3</v>
      </c>
      <c r="BE8" s="1061" t="str">
        <f t="shared" si="7"/>
        <v/>
      </c>
      <c r="BF8" s="1061"/>
      <c r="BG8" s="1061"/>
      <c r="BH8" s="1061"/>
      <c r="BI8" s="1061"/>
      <c r="BJ8" s="565"/>
      <c r="BK8" s="565"/>
      <c r="BL8" s="565" t="str">
        <f t="shared" si="17"/>
        <v/>
      </c>
      <c r="BM8" s="5">
        <v>3</v>
      </c>
      <c r="BN8" s="1061" t="str">
        <f t="shared" si="8"/>
        <v/>
      </c>
      <c r="BO8" s="1061"/>
      <c r="BP8" s="1061"/>
      <c r="BQ8" s="1061"/>
      <c r="BR8" s="1061"/>
      <c r="BS8" s="565"/>
      <c r="BT8" s="565"/>
      <c r="BU8" s="565" t="str">
        <f t="shared" si="18"/>
        <v/>
      </c>
      <c r="BV8" s="5">
        <v>3</v>
      </c>
      <c r="BW8" s="1061" t="str">
        <f t="shared" si="9"/>
        <v/>
      </c>
      <c r="BX8" s="1061"/>
      <c r="BY8" s="1061"/>
      <c r="BZ8" s="1061"/>
      <c r="CA8" s="1061"/>
      <c r="CB8" s="565"/>
      <c r="CC8" s="565" t="str">
        <f t="shared" si="19"/>
        <v/>
      </c>
      <c r="CD8" s="565"/>
      <c r="CE8" s="565"/>
      <c r="CF8" s="565">
        <v>3</v>
      </c>
      <c r="CG8" s="566" t="str">
        <f t="shared" si="10"/>
        <v/>
      </c>
      <c r="CH8" s="565"/>
      <c r="CI8" s="565">
        <v>3</v>
      </c>
      <c r="CJ8" s="565">
        <f>Character_Creation!C343</f>
        <v>0</v>
      </c>
      <c r="CK8" s="565" t="str">
        <f>IFERROR(INDEX(T08_Spells!$C$3:$C$1000,MATCH(S01_Bard!$CJ8,T08_Spells!$B$3:$B$1000,0),1),"")</f>
        <v/>
      </c>
      <c r="CL8" s="565">
        <f t="shared" si="20"/>
        <v>0</v>
      </c>
      <c r="CM8" s="565">
        <f>IF(CL8=0,0,1+COUNTIF(CM$6:CM7,"&gt;0"))</f>
        <v>0</v>
      </c>
      <c r="CN8" s="565">
        <f t="shared" si="21"/>
        <v>0</v>
      </c>
      <c r="CO8" s="565">
        <f>IF(CN8=0,0,1+COUNTIF(CO$6:CO7,"&gt;0"))</f>
        <v>0</v>
      </c>
      <c r="CP8" s="565">
        <f t="shared" si="22"/>
        <v>0</v>
      </c>
      <c r="CQ8" s="565">
        <f>IF(CP8=0,0,1+COUNTIF(CQ$6:CQ7,"&gt;0"))</f>
        <v>0</v>
      </c>
      <c r="CR8" s="565">
        <f t="shared" si="23"/>
        <v>0</v>
      </c>
      <c r="CS8" s="565">
        <f>IF(CR8=0,0,1+COUNTIF(CS$6:CS7,"&gt;0"))</f>
        <v>0</v>
      </c>
      <c r="CT8" s="565">
        <f t="shared" si="24"/>
        <v>0</v>
      </c>
      <c r="CU8" s="565">
        <f>IF(CT8=0,0,1+COUNTIF(CU$6:CU7,"&gt;0"))</f>
        <v>0</v>
      </c>
      <c r="CV8" s="565">
        <f t="shared" si="25"/>
        <v>0</v>
      </c>
      <c r="CW8" s="565">
        <f>IF(CV8=0,0,1+COUNTIF(CW$6:CW7,"&gt;0"))</f>
        <v>0</v>
      </c>
      <c r="CX8" s="565">
        <f t="shared" si="26"/>
        <v>0</v>
      </c>
      <c r="CY8" s="565">
        <f>IF(CX8=0,0,1+COUNTIF(CY$6:CY7,"&gt;0"))</f>
        <v>0</v>
      </c>
      <c r="CZ8" s="565">
        <f t="shared" si="27"/>
        <v>0</v>
      </c>
      <c r="DA8" s="565">
        <f>IF(CZ8=0,0,1+COUNTIF(DA$6:DA7,"&gt;0"))</f>
        <v>0</v>
      </c>
      <c r="DB8" s="565">
        <f t="shared" si="28"/>
        <v>0</v>
      </c>
      <c r="DC8" s="565">
        <f>IF(DB8=0,0,1+COUNTIF(DC$6:DC7,"&gt;0"))</f>
        <v>0</v>
      </c>
      <c r="DD8" s="565"/>
      <c r="DE8" s="565"/>
      <c r="DF8" s="565"/>
    </row>
    <row r="9" spans="1:110" x14ac:dyDescent="0.25">
      <c r="A9" s="120"/>
      <c r="B9" s="5">
        <v>4</v>
      </c>
      <c r="C9" s="1061" t="str">
        <f t="shared" si="0"/>
        <v/>
      </c>
      <c r="D9" s="1061"/>
      <c r="E9" s="1061"/>
      <c r="F9" s="1061"/>
      <c r="G9" s="1061"/>
      <c r="H9" s="565"/>
      <c r="I9" s="565" t="str">
        <f t="shared" si="11"/>
        <v/>
      </c>
      <c r="J9" s="565"/>
      <c r="K9" s="5">
        <v>4</v>
      </c>
      <c r="L9" s="1061" t="str">
        <f t="shared" si="1"/>
        <v/>
      </c>
      <c r="M9" s="1061"/>
      <c r="N9" s="1061"/>
      <c r="O9" s="1061"/>
      <c r="P9" s="1061"/>
      <c r="Q9" s="565"/>
      <c r="R9" s="565"/>
      <c r="S9" s="565" t="str">
        <f t="shared" si="12"/>
        <v/>
      </c>
      <c r="T9" s="5">
        <v>4</v>
      </c>
      <c r="U9" s="1061" t="str">
        <f t="shared" si="2"/>
        <v/>
      </c>
      <c r="V9" s="1061"/>
      <c r="W9" s="1061"/>
      <c r="X9" s="1061"/>
      <c r="Y9" s="1061"/>
      <c r="Z9" s="565" t="str">
        <f t="shared" si="3"/>
        <v/>
      </c>
      <c r="AA9" s="565"/>
      <c r="AB9" s="565" t="str">
        <f t="shared" si="13"/>
        <v/>
      </c>
      <c r="AC9" s="5">
        <v>4</v>
      </c>
      <c r="AD9" s="1061" t="str">
        <f t="shared" si="4"/>
        <v/>
      </c>
      <c r="AE9" s="1061"/>
      <c r="AF9" s="1061"/>
      <c r="AG9" s="1061"/>
      <c r="AH9" s="1061"/>
      <c r="AI9" s="565" t="s">
        <v>3034</v>
      </c>
      <c r="AJ9" s="565"/>
      <c r="AK9" s="565" t="str">
        <f t="shared" si="14"/>
        <v/>
      </c>
      <c r="AL9" s="5">
        <v>4</v>
      </c>
      <c r="AM9" s="1061" t="str">
        <f t="shared" si="5"/>
        <v/>
      </c>
      <c r="AN9" s="1061"/>
      <c r="AO9" s="1061"/>
      <c r="AP9" s="1061"/>
      <c r="AQ9" s="1061"/>
      <c r="AR9" s="565"/>
      <c r="AS9" s="565"/>
      <c r="AT9" s="565" t="str">
        <f t="shared" si="15"/>
        <v/>
      </c>
      <c r="AU9" s="5">
        <v>4</v>
      </c>
      <c r="AV9" s="1061" t="str">
        <f t="shared" si="6"/>
        <v/>
      </c>
      <c r="AW9" s="1061"/>
      <c r="AX9" s="1061"/>
      <c r="AY9" s="1061"/>
      <c r="AZ9" s="1061"/>
      <c r="BA9" s="565"/>
      <c r="BB9" s="565"/>
      <c r="BC9" s="565" t="str">
        <f t="shared" si="16"/>
        <v/>
      </c>
      <c r="BD9" s="5">
        <v>4</v>
      </c>
      <c r="BE9" s="1061" t="str">
        <f t="shared" si="7"/>
        <v/>
      </c>
      <c r="BF9" s="1061"/>
      <c r="BG9" s="1061"/>
      <c r="BH9" s="1061"/>
      <c r="BI9" s="1061"/>
      <c r="BJ9" s="565"/>
      <c r="BK9" s="565"/>
      <c r="BL9" s="565" t="str">
        <f t="shared" si="17"/>
        <v/>
      </c>
      <c r="BM9" s="5">
        <v>4</v>
      </c>
      <c r="BN9" s="1061" t="str">
        <f t="shared" si="8"/>
        <v/>
      </c>
      <c r="BO9" s="1061"/>
      <c r="BP9" s="1061"/>
      <c r="BQ9" s="1061"/>
      <c r="BR9" s="1061"/>
      <c r="BS9" s="565"/>
      <c r="BT9" s="565"/>
      <c r="BU9" s="565" t="str">
        <f t="shared" si="18"/>
        <v/>
      </c>
      <c r="BV9" s="5">
        <v>4</v>
      </c>
      <c r="BW9" s="1061" t="str">
        <f t="shared" si="9"/>
        <v/>
      </c>
      <c r="BX9" s="1061"/>
      <c r="BY9" s="1061"/>
      <c r="BZ9" s="1061"/>
      <c r="CA9" s="1061"/>
      <c r="CB9" s="565"/>
      <c r="CC9" s="565" t="str">
        <f t="shared" si="19"/>
        <v/>
      </c>
      <c r="CD9" s="565"/>
      <c r="CE9" s="565"/>
      <c r="CF9" s="565">
        <v>4</v>
      </c>
      <c r="CG9" s="566" t="str">
        <f t="shared" si="10"/>
        <v/>
      </c>
      <c r="CH9" s="565"/>
      <c r="CI9" s="565">
        <v>4</v>
      </c>
      <c r="CJ9" s="565">
        <f>Character_Creation!C344</f>
        <v>0</v>
      </c>
      <c r="CK9" s="565" t="str">
        <f>IFERROR(INDEX(T08_Spells!$C$3:$C$1000,MATCH(S01_Bard!$CJ9,T08_Spells!$B$3:$B$1000,0),1),"")</f>
        <v/>
      </c>
      <c r="CL9" s="565">
        <f t="shared" si="20"/>
        <v>0</v>
      </c>
      <c r="CM9" s="565">
        <f>IF(CL9=0,0,1+COUNTIF(CM$6:CM8,"&gt;0"))</f>
        <v>0</v>
      </c>
      <c r="CN9" s="565">
        <f t="shared" si="21"/>
        <v>0</v>
      </c>
      <c r="CO9" s="565">
        <f>IF(CN9=0,0,1+COUNTIF(CO$6:CO8,"&gt;0"))</f>
        <v>0</v>
      </c>
      <c r="CP9" s="565">
        <f t="shared" si="22"/>
        <v>0</v>
      </c>
      <c r="CQ9" s="565">
        <f>IF(CP9=0,0,1+COUNTIF(CQ$6:CQ8,"&gt;0"))</f>
        <v>0</v>
      </c>
      <c r="CR9" s="565">
        <f t="shared" si="23"/>
        <v>0</v>
      </c>
      <c r="CS9" s="565">
        <f>IF(CR9=0,0,1+COUNTIF(CS$6:CS8,"&gt;0"))</f>
        <v>0</v>
      </c>
      <c r="CT9" s="565">
        <f t="shared" si="24"/>
        <v>0</v>
      </c>
      <c r="CU9" s="565">
        <f>IF(CT9=0,0,1+COUNTIF(CU$6:CU8,"&gt;0"))</f>
        <v>0</v>
      </c>
      <c r="CV9" s="565">
        <f t="shared" si="25"/>
        <v>0</v>
      </c>
      <c r="CW9" s="565">
        <f>IF(CV9=0,0,1+COUNTIF(CW$6:CW8,"&gt;0"))</f>
        <v>0</v>
      </c>
      <c r="CX9" s="565">
        <f t="shared" si="26"/>
        <v>0</v>
      </c>
      <c r="CY9" s="565">
        <f>IF(CX9=0,0,1+COUNTIF(CY$6:CY8,"&gt;0"))</f>
        <v>0</v>
      </c>
      <c r="CZ9" s="565">
        <f t="shared" si="27"/>
        <v>0</v>
      </c>
      <c r="DA9" s="565">
        <f>IF(CZ9=0,0,1+COUNTIF(DA$6:DA8,"&gt;0"))</f>
        <v>0</v>
      </c>
      <c r="DB9" s="565">
        <f t="shared" si="28"/>
        <v>0</v>
      </c>
      <c r="DC9" s="565">
        <f>IF(DB9=0,0,1+COUNTIF(DC$6:DC8,"&gt;0"))</f>
        <v>0</v>
      </c>
      <c r="DD9" s="565"/>
      <c r="DE9" s="565"/>
      <c r="DF9" s="565"/>
    </row>
    <row r="10" spans="1:110" x14ac:dyDescent="0.25">
      <c r="A10" s="120"/>
      <c r="B10" s="5">
        <v>5</v>
      </c>
      <c r="C10" s="1061" t="str">
        <f t="shared" si="0"/>
        <v/>
      </c>
      <c r="D10" s="1061"/>
      <c r="E10" s="1061"/>
      <c r="F10" s="1061"/>
      <c r="G10" s="1061"/>
      <c r="H10" s="565"/>
      <c r="I10" s="565" t="str">
        <f t="shared" si="11"/>
        <v/>
      </c>
      <c r="J10" s="565"/>
      <c r="K10" s="5">
        <v>5</v>
      </c>
      <c r="L10" s="1061" t="str">
        <f t="shared" si="1"/>
        <v/>
      </c>
      <c r="M10" s="1061"/>
      <c r="N10" s="1061"/>
      <c r="O10" s="1061"/>
      <c r="P10" s="1061"/>
      <c r="Q10" s="565"/>
      <c r="R10" s="565"/>
      <c r="S10" s="565" t="str">
        <f t="shared" si="12"/>
        <v/>
      </c>
      <c r="T10" s="5">
        <v>5</v>
      </c>
      <c r="U10" s="1061" t="str">
        <f t="shared" si="2"/>
        <v/>
      </c>
      <c r="V10" s="1061"/>
      <c r="W10" s="1061"/>
      <c r="X10" s="1061"/>
      <c r="Y10" s="1061"/>
      <c r="Z10" s="565" t="str">
        <f t="shared" si="3"/>
        <v/>
      </c>
      <c r="AA10" s="565"/>
      <c r="AB10" s="565" t="str">
        <f t="shared" si="13"/>
        <v/>
      </c>
      <c r="AC10" s="5">
        <v>5</v>
      </c>
      <c r="AD10" s="1061" t="str">
        <f t="shared" si="4"/>
        <v/>
      </c>
      <c r="AE10" s="1061"/>
      <c r="AF10" s="1061"/>
      <c r="AG10" s="1061"/>
      <c r="AH10" s="1061"/>
      <c r="AI10" s="565" t="s">
        <v>3034</v>
      </c>
      <c r="AJ10" s="565"/>
      <c r="AK10" s="565" t="str">
        <f t="shared" si="14"/>
        <v/>
      </c>
      <c r="AL10" s="5">
        <v>5</v>
      </c>
      <c r="AM10" s="1061" t="str">
        <f t="shared" si="5"/>
        <v/>
      </c>
      <c r="AN10" s="1061"/>
      <c r="AO10" s="1061"/>
      <c r="AP10" s="1061"/>
      <c r="AQ10" s="1061"/>
      <c r="AR10" s="565"/>
      <c r="AS10" s="565"/>
      <c r="AT10" s="565" t="str">
        <f t="shared" si="15"/>
        <v/>
      </c>
      <c r="AU10" s="5">
        <v>5</v>
      </c>
      <c r="AV10" s="1061" t="str">
        <f t="shared" si="6"/>
        <v/>
      </c>
      <c r="AW10" s="1061"/>
      <c r="AX10" s="1061"/>
      <c r="AY10" s="1061"/>
      <c r="AZ10" s="1061"/>
      <c r="BA10" s="565"/>
      <c r="BB10" s="565"/>
      <c r="BC10" s="565" t="str">
        <f t="shared" si="16"/>
        <v/>
      </c>
      <c r="BD10" s="5">
        <v>5</v>
      </c>
      <c r="BE10" s="1061" t="str">
        <f t="shared" si="7"/>
        <v/>
      </c>
      <c r="BF10" s="1061"/>
      <c r="BG10" s="1061"/>
      <c r="BH10" s="1061"/>
      <c r="BI10" s="1061"/>
      <c r="BJ10" s="565"/>
      <c r="BK10" s="565"/>
      <c r="BL10" s="565" t="str">
        <f t="shared" si="17"/>
        <v/>
      </c>
      <c r="BM10" s="5">
        <v>5</v>
      </c>
      <c r="BN10" s="1061" t="str">
        <f t="shared" si="8"/>
        <v/>
      </c>
      <c r="BO10" s="1061"/>
      <c r="BP10" s="1061"/>
      <c r="BQ10" s="1061"/>
      <c r="BR10" s="1061"/>
      <c r="BS10" s="565"/>
      <c r="BT10" s="565"/>
      <c r="BU10" s="565" t="str">
        <f t="shared" si="18"/>
        <v/>
      </c>
      <c r="BV10" s="5">
        <v>5</v>
      </c>
      <c r="BW10" s="1061" t="str">
        <f t="shared" si="9"/>
        <v/>
      </c>
      <c r="BX10" s="1061"/>
      <c r="BY10" s="1061"/>
      <c r="BZ10" s="1061"/>
      <c r="CA10" s="1061"/>
      <c r="CB10" s="565"/>
      <c r="CC10" s="565" t="str">
        <f t="shared" si="19"/>
        <v/>
      </c>
      <c r="CD10" s="565"/>
      <c r="CE10" s="565"/>
      <c r="CF10" s="565">
        <v>5</v>
      </c>
      <c r="CG10" s="566" t="str">
        <f t="shared" si="10"/>
        <v/>
      </c>
      <c r="CH10" s="565"/>
      <c r="CI10" s="565">
        <v>5</v>
      </c>
      <c r="CJ10" s="565">
        <f>Character_Creation!C345</f>
        <v>0</v>
      </c>
      <c r="CK10" s="565" t="str">
        <f>IFERROR(INDEX(T08_Spells!$C$3:$C$1000,MATCH(S01_Bard!$CJ10,T08_Spells!$B$3:$B$1000,0),1),"")</f>
        <v/>
      </c>
      <c r="CL10" s="565">
        <f t="shared" si="20"/>
        <v>0</v>
      </c>
      <c r="CM10" s="565">
        <f>IF(CL10=0,0,1+COUNTIF(CM$6:CM9,"&gt;0"))</f>
        <v>0</v>
      </c>
      <c r="CN10" s="565">
        <f t="shared" si="21"/>
        <v>0</v>
      </c>
      <c r="CO10" s="565">
        <f>IF(CN10=0,0,1+COUNTIF(CO$6:CO9,"&gt;0"))</f>
        <v>0</v>
      </c>
      <c r="CP10" s="565">
        <f t="shared" si="22"/>
        <v>0</v>
      </c>
      <c r="CQ10" s="565">
        <f>IF(CP10=0,0,1+COUNTIF(CQ$6:CQ9,"&gt;0"))</f>
        <v>0</v>
      </c>
      <c r="CR10" s="565">
        <f t="shared" si="23"/>
        <v>0</v>
      </c>
      <c r="CS10" s="565">
        <f>IF(CR10=0,0,1+COUNTIF(CS$6:CS9,"&gt;0"))</f>
        <v>0</v>
      </c>
      <c r="CT10" s="565">
        <f t="shared" si="24"/>
        <v>0</v>
      </c>
      <c r="CU10" s="565">
        <f>IF(CT10=0,0,1+COUNTIF(CU$6:CU9,"&gt;0"))</f>
        <v>0</v>
      </c>
      <c r="CV10" s="565">
        <f t="shared" si="25"/>
        <v>0</v>
      </c>
      <c r="CW10" s="565">
        <f>IF(CV10=0,0,1+COUNTIF(CW$6:CW9,"&gt;0"))</f>
        <v>0</v>
      </c>
      <c r="CX10" s="565">
        <f t="shared" si="26"/>
        <v>0</v>
      </c>
      <c r="CY10" s="565">
        <f>IF(CX10=0,0,1+COUNTIF(CY$6:CY9,"&gt;0"))</f>
        <v>0</v>
      </c>
      <c r="CZ10" s="565">
        <f t="shared" si="27"/>
        <v>0</v>
      </c>
      <c r="DA10" s="565">
        <f>IF(CZ10=0,0,1+COUNTIF(DA$6:DA9,"&gt;0"))</f>
        <v>0</v>
      </c>
      <c r="DB10" s="565">
        <f t="shared" si="28"/>
        <v>0</v>
      </c>
      <c r="DC10" s="565">
        <f>IF(DB10=0,0,1+COUNTIF(DC$6:DC9,"&gt;0"))</f>
        <v>0</v>
      </c>
      <c r="DD10" s="565"/>
      <c r="DE10" s="565"/>
      <c r="DF10" s="565"/>
    </row>
    <row r="11" spans="1:110" x14ac:dyDescent="0.25">
      <c r="A11" s="120"/>
      <c r="B11" s="5">
        <v>6</v>
      </c>
      <c r="C11" s="1061" t="str">
        <f t="shared" si="0"/>
        <v/>
      </c>
      <c r="D11" s="1061"/>
      <c r="E11" s="1061"/>
      <c r="F11" s="1061"/>
      <c r="G11" s="1061"/>
      <c r="H11" s="565"/>
      <c r="I11" s="565" t="str">
        <f t="shared" si="11"/>
        <v/>
      </c>
      <c r="J11" s="565"/>
      <c r="K11" s="5">
        <v>6</v>
      </c>
      <c r="L11" s="1061" t="str">
        <f t="shared" si="1"/>
        <v/>
      </c>
      <c r="M11" s="1061"/>
      <c r="N11" s="1061"/>
      <c r="O11" s="1061"/>
      <c r="P11" s="1061"/>
      <c r="Q11" s="565"/>
      <c r="R11" s="565"/>
      <c r="S11" s="565" t="str">
        <f t="shared" si="12"/>
        <v/>
      </c>
      <c r="T11" s="5">
        <v>6</v>
      </c>
      <c r="U11" s="1061" t="str">
        <f t="shared" si="2"/>
        <v/>
      </c>
      <c r="V11" s="1061"/>
      <c r="W11" s="1061"/>
      <c r="X11" s="1061"/>
      <c r="Y11" s="1061"/>
      <c r="Z11" s="565" t="str">
        <f t="shared" si="3"/>
        <v/>
      </c>
      <c r="AA11" s="565"/>
      <c r="AB11" s="565" t="str">
        <f t="shared" si="13"/>
        <v/>
      </c>
      <c r="AC11" s="5">
        <v>6</v>
      </c>
      <c r="AD11" s="1061" t="str">
        <f t="shared" si="4"/>
        <v/>
      </c>
      <c r="AE11" s="1061"/>
      <c r="AF11" s="1061"/>
      <c r="AG11" s="1061"/>
      <c r="AH11" s="1061"/>
      <c r="AI11" s="565" t="s">
        <v>3034</v>
      </c>
      <c r="AJ11" s="565"/>
      <c r="AK11" s="565" t="str">
        <f t="shared" si="14"/>
        <v/>
      </c>
      <c r="AL11" s="5">
        <v>6</v>
      </c>
      <c r="AM11" s="1061" t="str">
        <f t="shared" si="5"/>
        <v/>
      </c>
      <c r="AN11" s="1061"/>
      <c r="AO11" s="1061"/>
      <c r="AP11" s="1061"/>
      <c r="AQ11" s="1061"/>
      <c r="AR11" s="565"/>
      <c r="AS11" s="565"/>
      <c r="AT11" s="565" t="str">
        <f t="shared" si="15"/>
        <v/>
      </c>
      <c r="AU11" s="5">
        <v>6</v>
      </c>
      <c r="AV11" s="1061" t="str">
        <f t="shared" si="6"/>
        <v/>
      </c>
      <c r="AW11" s="1061"/>
      <c r="AX11" s="1061"/>
      <c r="AY11" s="1061"/>
      <c r="AZ11" s="1061"/>
      <c r="BA11" s="565"/>
      <c r="BB11" s="565"/>
      <c r="BC11" s="565" t="str">
        <f t="shared" si="16"/>
        <v/>
      </c>
      <c r="BD11" s="5">
        <v>6</v>
      </c>
      <c r="BE11" s="1061" t="str">
        <f t="shared" si="7"/>
        <v/>
      </c>
      <c r="BF11" s="1061"/>
      <c r="BG11" s="1061"/>
      <c r="BH11" s="1061"/>
      <c r="BI11" s="1061"/>
      <c r="BJ11" s="565"/>
      <c r="BK11" s="565"/>
      <c r="BL11" s="565" t="str">
        <f t="shared" si="17"/>
        <v/>
      </c>
      <c r="BM11" s="5">
        <v>6</v>
      </c>
      <c r="BN11" s="1061" t="str">
        <f t="shared" si="8"/>
        <v/>
      </c>
      <c r="BO11" s="1061"/>
      <c r="BP11" s="1061"/>
      <c r="BQ11" s="1061"/>
      <c r="BR11" s="1061"/>
      <c r="BS11" s="565"/>
      <c r="BT11" s="565"/>
      <c r="BU11" s="565" t="str">
        <f t="shared" si="18"/>
        <v/>
      </c>
      <c r="BV11" s="5">
        <v>6</v>
      </c>
      <c r="BW11" s="1061" t="str">
        <f t="shared" si="9"/>
        <v/>
      </c>
      <c r="BX11" s="1061"/>
      <c r="BY11" s="1061"/>
      <c r="BZ11" s="1061"/>
      <c r="CA11" s="1061"/>
      <c r="CB11" s="565"/>
      <c r="CC11" s="565" t="str">
        <f t="shared" si="19"/>
        <v/>
      </c>
      <c r="CD11" s="565"/>
      <c r="CE11" s="565"/>
      <c r="CF11" s="565">
        <v>6</v>
      </c>
      <c r="CG11" s="566" t="str">
        <f t="shared" si="10"/>
        <v/>
      </c>
      <c r="CH11" s="565"/>
      <c r="CI11" s="565">
        <v>6</v>
      </c>
      <c r="CJ11" s="565">
        <f>Character_Creation!C346</f>
        <v>0</v>
      </c>
      <c r="CK11" s="565" t="str">
        <f>IFERROR(INDEX(T08_Spells!$C$3:$C$1000,MATCH(S01_Bard!$CJ11,T08_Spells!$B$3:$B$1000,0),1),"")</f>
        <v/>
      </c>
      <c r="CL11" s="565">
        <f t="shared" si="20"/>
        <v>0</v>
      </c>
      <c r="CM11" s="565">
        <f>IF(CL11=0,0,1+COUNTIF(CM$6:CM10,"&gt;0"))</f>
        <v>0</v>
      </c>
      <c r="CN11" s="565">
        <f t="shared" si="21"/>
        <v>0</v>
      </c>
      <c r="CO11" s="565">
        <f>IF(CN11=0,0,1+COUNTIF(CO$6:CO10,"&gt;0"))</f>
        <v>0</v>
      </c>
      <c r="CP11" s="565">
        <f t="shared" si="22"/>
        <v>0</v>
      </c>
      <c r="CQ11" s="565">
        <f>IF(CP11=0,0,1+COUNTIF(CQ$6:CQ10,"&gt;0"))</f>
        <v>0</v>
      </c>
      <c r="CR11" s="565">
        <f t="shared" si="23"/>
        <v>0</v>
      </c>
      <c r="CS11" s="565">
        <f>IF(CR11=0,0,1+COUNTIF(CS$6:CS10,"&gt;0"))</f>
        <v>0</v>
      </c>
      <c r="CT11" s="565">
        <f t="shared" si="24"/>
        <v>0</v>
      </c>
      <c r="CU11" s="565">
        <f>IF(CT11=0,0,1+COUNTIF(CU$6:CU10,"&gt;0"))</f>
        <v>0</v>
      </c>
      <c r="CV11" s="565">
        <f t="shared" si="25"/>
        <v>0</v>
      </c>
      <c r="CW11" s="565">
        <f>IF(CV11=0,0,1+COUNTIF(CW$6:CW10,"&gt;0"))</f>
        <v>0</v>
      </c>
      <c r="CX11" s="565">
        <f t="shared" si="26"/>
        <v>0</v>
      </c>
      <c r="CY11" s="565">
        <f>IF(CX11=0,0,1+COUNTIF(CY$6:CY10,"&gt;0"))</f>
        <v>0</v>
      </c>
      <c r="CZ11" s="565">
        <f t="shared" si="27"/>
        <v>0</v>
      </c>
      <c r="DA11" s="565">
        <f>IF(CZ11=0,0,1+COUNTIF(DA$6:DA10,"&gt;0"))</f>
        <v>0</v>
      </c>
      <c r="DB11" s="565">
        <f t="shared" si="28"/>
        <v>0</v>
      </c>
      <c r="DC11" s="565">
        <f>IF(DB11=0,0,1+COUNTIF(DC$6:DC10,"&gt;0"))</f>
        <v>0</v>
      </c>
      <c r="DD11" s="565"/>
      <c r="DE11" s="565"/>
      <c r="DF11" s="565"/>
    </row>
    <row r="12" spans="1:110" x14ac:dyDescent="0.25">
      <c r="A12" s="120"/>
      <c r="B12" s="5">
        <v>7</v>
      </c>
      <c r="C12" s="1061" t="str">
        <f t="shared" si="0"/>
        <v/>
      </c>
      <c r="D12" s="1061"/>
      <c r="E12" s="1061"/>
      <c r="F12" s="1061"/>
      <c r="G12" s="1061"/>
      <c r="H12" s="565"/>
      <c r="I12" s="565" t="str">
        <f t="shared" si="11"/>
        <v/>
      </c>
      <c r="J12" s="565"/>
      <c r="K12" s="5">
        <v>7</v>
      </c>
      <c r="L12" s="1061" t="str">
        <f t="shared" si="1"/>
        <v/>
      </c>
      <c r="M12" s="1061"/>
      <c r="N12" s="1061"/>
      <c r="O12" s="1061"/>
      <c r="P12" s="1061"/>
      <c r="Q12" s="565"/>
      <c r="R12" s="565"/>
      <c r="S12" s="565" t="str">
        <f t="shared" si="12"/>
        <v/>
      </c>
      <c r="T12" s="5">
        <v>7</v>
      </c>
      <c r="U12" s="1061" t="str">
        <f t="shared" si="2"/>
        <v/>
      </c>
      <c r="V12" s="1061"/>
      <c r="W12" s="1061"/>
      <c r="X12" s="1061"/>
      <c r="Y12" s="1061"/>
      <c r="Z12" s="565" t="str">
        <f t="shared" si="3"/>
        <v/>
      </c>
      <c r="AA12" s="565"/>
      <c r="AB12" s="565" t="str">
        <f t="shared" si="13"/>
        <v/>
      </c>
      <c r="AC12" s="5">
        <v>7</v>
      </c>
      <c r="AD12" s="1061" t="str">
        <f t="shared" si="4"/>
        <v/>
      </c>
      <c r="AE12" s="1061"/>
      <c r="AF12" s="1061"/>
      <c r="AG12" s="1061"/>
      <c r="AH12" s="1061"/>
      <c r="AI12" s="565" t="s">
        <v>3034</v>
      </c>
      <c r="AJ12" s="565"/>
      <c r="AK12" s="565" t="str">
        <f t="shared" si="14"/>
        <v/>
      </c>
      <c r="AL12" s="5">
        <v>7</v>
      </c>
      <c r="AM12" s="1061" t="str">
        <f t="shared" si="5"/>
        <v/>
      </c>
      <c r="AN12" s="1061"/>
      <c r="AO12" s="1061"/>
      <c r="AP12" s="1061"/>
      <c r="AQ12" s="1061"/>
      <c r="AR12" s="565"/>
      <c r="AS12" s="565"/>
      <c r="AT12" s="565" t="str">
        <f t="shared" si="15"/>
        <v/>
      </c>
      <c r="AU12" s="5">
        <v>7</v>
      </c>
      <c r="AV12" s="1061" t="str">
        <f t="shared" si="6"/>
        <v/>
      </c>
      <c r="AW12" s="1061"/>
      <c r="AX12" s="1061"/>
      <c r="AY12" s="1061"/>
      <c r="AZ12" s="1061"/>
      <c r="BA12" s="565"/>
      <c r="BB12" s="565"/>
      <c r="BC12" s="565" t="str">
        <f t="shared" si="16"/>
        <v/>
      </c>
      <c r="BD12" s="5">
        <v>7</v>
      </c>
      <c r="BE12" s="1061" t="str">
        <f t="shared" si="7"/>
        <v/>
      </c>
      <c r="BF12" s="1061"/>
      <c r="BG12" s="1061"/>
      <c r="BH12" s="1061"/>
      <c r="BI12" s="1061"/>
      <c r="BJ12" s="565"/>
      <c r="BK12" s="565"/>
      <c r="BL12" s="565" t="str">
        <f t="shared" si="17"/>
        <v/>
      </c>
      <c r="BM12" s="5">
        <v>7</v>
      </c>
      <c r="BN12" s="1061" t="str">
        <f t="shared" si="8"/>
        <v/>
      </c>
      <c r="BO12" s="1061"/>
      <c r="BP12" s="1061"/>
      <c r="BQ12" s="1061"/>
      <c r="BR12" s="1061"/>
      <c r="BS12" s="565"/>
      <c r="BT12" s="565"/>
      <c r="BU12" s="565" t="str">
        <f t="shared" si="18"/>
        <v/>
      </c>
      <c r="BV12" s="5">
        <v>7</v>
      </c>
      <c r="BW12" s="1061" t="str">
        <f t="shared" si="9"/>
        <v/>
      </c>
      <c r="BX12" s="1061"/>
      <c r="BY12" s="1061"/>
      <c r="BZ12" s="1061"/>
      <c r="CA12" s="1061"/>
      <c r="CB12" s="565"/>
      <c r="CC12" s="565" t="str">
        <f t="shared" si="19"/>
        <v/>
      </c>
      <c r="CD12" s="565"/>
      <c r="CE12" s="565"/>
      <c r="CF12" s="565">
        <v>7</v>
      </c>
      <c r="CG12" s="566" t="str">
        <f t="shared" si="10"/>
        <v/>
      </c>
      <c r="CH12" s="565"/>
      <c r="CI12" s="565">
        <v>7</v>
      </c>
      <c r="CJ12" s="565">
        <f>Character_Creation!C347</f>
        <v>0</v>
      </c>
      <c r="CK12" s="565" t="str">
        <f>IFERROR(INDEX(T08_Spells!$C$3:$C$1000,MATCH(S01_Bard!$CJ12,T08_Spells!$B$3:$B$1000,0),1),"")</f>
        <v/>
      </c>
      <c r="CL12" s="565">
        <f t="shared" si="20"/>
        <v>0</v>
      </c>
      <c r="CM12" s="565">
        <f>IF(CL12=0,0,1+COUNTIF(CM$6:CM11,"&gt;0"))</f>
        <v>0</v>
      </c>
      <c r="CN12" s="565">
        <f t="shared" si="21"/>
        <v>0</v>
      </c>
      <c r="CO12" s="565">
        <f>IF(CN12=0,0,1+COUNTIF(CO$6:CO11,"&gt;0"))</f>
        <v>0</v>
      </c>
      <c r="CP12" s="565">
        <f t="shared" si="22"/>
        <v>0</v>
      </c>
      <c r="CQ12" s="565">
        <f>IF(CP12=0,0,1+COUNTIF(CQ$6:CQ11,"&gt;0"))</f>
        <v>0</v>
      </c>
      <c r="CR12" s="565">
        <f t="shared" si="23"/>
        <v>0</v>
      </c>
      <c r="CS12" s="565">
        <f>IF(CR12=0,0,1+COUNTIF(CS$6:CS11,"&gt;0"))</f>
        <v>0</v>
      </c>
      <c r="CT12" s="565">
        <f t="shared" si="24"/>
        <v>0</v>
      </c>
      <c r="CU12" s="565">
        <f>IF(CT12=0,0,1+COUNTIF(CU$6:CU11,"&gt;0"))</f>
        <v>0</v>
      </c>
      <c r="CV12" s="565">
        <f t="shared" si="25"/>
        <v>0</v>
      </c>
      <c r="CW12" s="565">
        <f>IF(CV12=0,0,1+COUNTIF(CW$6:CW11,"&gt;0"))</f>
        <v>0</v>
      </c>
      <c r="CX12" s="565">
        <f t="shared" si="26"/>
        <v>0</v>
      </c>
      <c r="CY12" s="565">
        <f>IF(CX12=0,0,1+COUNTIF(CY$6:CY11,"&gt;0"))</f>
        <v>0</v>
      </c>
      <c r="CZ12" s="565">
        <f t="shared" si="27"/>
        <v>0</v>
      </c>
      <c r="DA12" s="565">
        <f>IF(CZ12=0,0,1+COUNTIF(DA$6:DA11,"&gt;0"))</f>
        <v>0</v>
      </c>
      <c r="DB12" s="565">
        <f t="shared" si="28"/>
        <v>0</v>
      </c>
      <c r="DC12" s="565">
        <f>IF(DB12=0,0,1+COUNTIF(DC$6:DC11,"&gt;0"))</f>
        <v>0</v>
      </c>
      <c r="DD12" s="565"/>
      <c r="DE12" s="565"/>
      <c r="DF12" s="565"/>
    </row>
    <row r="13" spans="1:110" x14ac:dyDescent="0.25">
      <c r="A13" s="120"/>
      <c r="B13" s="5">
        <v>8</v>
      </c>
      <c r="C13" s="1061" t="str">
        <f t="shared" si="0"/>
        <v/>
      </c>
      <c r="D13" s="1061"/>
      <c r="E13" s="1061"/>
      <c r="F13" s="1061"/>
      <c r="G13" s="1061"/>
      <c r="H13" s="565"/>
      <c r="I13" s="565" t="str">
        <f t="shared" si="11"/>
        <v/>
      </c>
      <c r="J13" s="565"/>
      <c r="K13" s="5">
        <v>8</v>
      </c>
      <c r="L13" s="1061" t="str">
        <f t="shared" si="1"/>
        <v/>
      </c>
      <c r="M13" s="1061"/>
      <c r="N13" s="1061"/>
      <c r="O13" s="1061"/>
      <c r="P13" s="1061"/>
      <c r="Q13" s="565"/>
      <c r="R13" s="565"/>
      <c r="S13" s="565" t="str">
        <f t="shared" si="12"/>
        <v/>
      </c>
      <c r="T13" s="5">
        <v>8</v>
      </c>
      <c r="U13" s="1061" t="str">
        <f t="shared" si="2"/>
        <v/>
      </c>
      <c r="V13" s="1061"/>
      <c r="W13" s="1061"/>
      <c r="X13" s="1061"/>
      <c r="Y13" s="1061"/>
      <c r="Z13" s="565" t="str">
        <f t="shared" si="3"/>
        <v/>
      </c>
      <c r="AA13" s="565"/>
      <c r="AB13" s="565" t="str">
        <f t="shared" si="13"/>
        <v/>
      </c>
      <c r="AC13" s="5">
        <v>8</v>
      </c>
      <c r="AD13" s="1061" t="str">
        <f t="shared" si="4"/>
        <v/>
      </c>
      <c r="AE13" s="1061"/>
      <c r="AF13" s="1061"/>
      <c r="AG13" s="1061"/>
      <c r="AH13" s="1061"/>
      <c r="AI13" s="565" t="s">
        <v>3034</v>
      </c>
      <c r="AJ13" s="565"/>
      <c r="AK13" s="565" t="str">
        <f t="shared" si="14"/>
        <v/>
      </c>
      <c r="AL13" s="5">
        <v>8</v>
      </c>
      <c r="AM13" s="1061" t="str">
        <f t="shared" si="5"/>
        <v/>
      </c>
      <c r="AN13" s="1061"/>
      <c r="AO13" s="1061"/>
      <c r="AP13" s="1061"/>
      <c r="AQ13" s="1061"/>
      <c r="AR13" s="565"/>
      <c r="AS13" s="565"/>
      <c r="AT13" s="565" t="str">
        <f t="shared" si="15"/>
        <v/>
      </c>
      <c r="AU13" s="5">
        <v>8</v>
      </c>
      <c r="AV13" s="1061" t="str">
        <f t="shared" si="6"/>
        <v/>
      </c>
      <c r="AW13" s="1061"/>
      <c r="AX13" s="1061"/>
      <c r="AY13" s="1061"/>
      <c r="AZ13" s="1061"/>
      <c r="BA13" s="565"/>
      <c r="BB13" s="565"/>
      <c r="BC13" s="565" t="str">
        <f t="shared" si="16"/>
        <v/>
      </c>
      <c r="BD13" s="5">
        <v>8</v>
      </c>
      <c r="BE13" s="1061" t="str">
        <f t="shared" si="7"/>
        <v/>
      </c>
      <c r="BF13" s="1061"/>
      <c r="BG13" s="1061"/>
      <c r="BH13" s="1061"/>
      <c r="BI13" s="1061"/>
      <c r="BJ13" s="565"/>
      <c r="BK13" s="565"/>
      <c r="BL13" s="565" t="str">
        <f t="shared" si="17"/>
        <v/>
      </c>
      <c r="BM13" s="5">
        <v>8</v>
      </c>
      <c r="BN13" s="1061" t="str">
        <f t="shared" si="8"/>
        <v/>
      </c>
      <c r="BO13" s="1061"/>
      <c r="BP13" s="1061"/>
      <c r="BQ13" s="1061"/>
      <c r="BR13" s="1061"/>
      <c r="BS13" s="565"/>
      <c r="BT13" s="565"/>
      <c r="BU13" s="565" t="str">
        <f t="shared" si="18"/>
        <v/>
      </c>
      <c r="BV13" s="5">
        <v>8</v>
      </c>
      <c r="BW13" s="1061" t="str">
        <f t="shared" si="9"/>
        <v/>
      </c>
      <c r="BX13" s="1061"/>
      <c r="BY13" s="1061"/>
      <c r="BZ13" s="1061"/>
      <c r="CA13" s="1061"/>
      <c r="CB13" s="565"/>
      <c r="CC13" s="565" t="str">
        <f t="shared" si="19"/>
        <v/>
      </c>
      <c r="CD13" s="565"/>
      <c r="CE13" s="565"/>
      <c r="CF13" s="565">
        <v>8</v>
      </c>
      <c r="CG13" s="566" t="str">
        <f t="shared" si="10"/>
        <v/>
      </c>
      <c r="CH13" s="565"/>
      <c r="CI13" s="565">
        <v>8</v>
      </c>
      <c r="CJ13" s="565">
        <f>Character_Creation!C348</f>
        <v>0</v>
      </c>
      <c r="CK13" s="565" t="str">
        <f>IFERROR(INDEX(T08_Spells!$C$3:$C$1000,MATCH(S01_Bard!$CJ13,T08_Spells!$B$3:$B$1000,0),1),"")</f>
        <v/>
      </c>
      <c r="CL13" s="565">
        <f t="shared" si="20"/>
        <v>0</v>
      </c>
      <c r="CM13" s="565">
        <f>IF(CL13=0,0,1+COUNTIF(CM$6:CM12,"&gt;0"))</f>
        <v>0</v>
      </c>
      <c r="CN13" s="565">
        <f t="shared" si="21"/>
        <v>0</v>
      </c>
      <c r="CO13" s="565">
        <f>IF(CN13=0,0,1+COUNTIF(CO$6:CO12,"&gt;0"))</f>
        <v>0</v>
      </c>
      <c r="CP13" s="565">
        <f t="shared" si="22"/>
        <v>0</v>
      </c>
      <c r="CQ13" s="565">
        <f>IF(CP13=0,0,1+COUNTIF(CQ$6:CQ12,"&gt;0"))</f>
        <v>0</v>
      </c>
      <c r="CR13" s="565">
        <f t="shared" si="23"/>
        <v>0</v>
      </c>
      <c r="CS13" s="565">
        <f>IF(CR13=0,0,1+COUNTIF(CS$6:CS12,"&gt;0"))</f>
        <v>0</v>
      </c>
      <c r="CT13" s="565">
        <f t="shared" si="24"/>
        <v>0</v>
      </c>
      <c r="CU13" s="565">
        <f>IF(CT13=0,0,1+COUNTIF(CU$6:CU12,"&gt;0"))</f>
        <v>0</v>
      </c>
      <c r="CV13" s="565">
        <f t="shared" si="25"/>
        <v>0</v>
      </c>
      <c r="CW13" s="565">
        <f>IF(CV13=0,0,1+COUNTIF(CW$6:CW12,"&gt;0"))</f>
        <v>0</v>
      </c>
      <c r="CX13" s="565">
        <f t="shared" si="26"/>
        <v>0</v>
      </c>
      <c r="CY13" s="565">
        <f>IF(CX13=0,0,1+COUNTIF(CY$6:CY12,"&gt;0"))</f>
        <v>0</v>
      </c>
      <c r="CZ13" s="565">
        <f t="shared" si="27"/>
        <v>0</v>
      </c>
      <c r="DA13" s="565">
        <f>IF(CZ13=0,0,1+COUNTIF(DA$6:DA12,"&gt;0"))</f>
        <v>0</v>
      </c>
      <c r="DB13" s="565">
        <f t="shared" si="28"/>
        <v>0</v>
      </c>
      <c r="DC13" s="565">
        <f>IF(DB13=0,0,1+COUNTIF(DC$6:DC12,"&gt;0"))</f>
        <v>0</v>
      </c>
      <c r="DD13" s="565"/>
      <c r="DE13" s="565"/>
      <c r="DF13" s="565"/>
    </row>
    <row r="14" spans="1:110" x14ac:dyDescent="0.25">
      <c r="A14" s="120"/>
      <c r="B14" s="5">
        <v>9</v>
      </c>
      <c r="C14" s="1061" t="str">
        <f t="shared" si="0"/>
        <v/>
      </c>
      <c r="D14" s="1061"/>
      <c r="E14" s="1061"/>
      <c r="F14" s="1061"/>
      <c r="G14" s="1061"/>
      <c r="H14" s="565"/>
      <c r="I14" s="565" t="str">
        <f t="shared" si="11"/>
        <v/>
      </c>
      <c r="J14" s="565"/>
      <c r="K14" s="5">
        <v>9</v>
      </c>
      <c r="L14" s="1061" t="str">
        <f t="shared" si="1"/>
        <v/>
      </c>
      <c r="M14" s="1061"/>
      <c r="N14" s="1061"/>
      <c r="O14" s="1061"/>
      <c r="P14" s="1061"/>
      <c r="Q14" s="565"/>
      <c r="R14" s="565"/>
      <c r="S14" s="565" t="str">
        <f t="shared" si="12"/>
        <v/>
      </c>
      <c r="T14" s="5">
        <v>9</v>
      </c>
      <c r="U14" s="1061" t="str">
        <f t="shared" si="2"/>
        <v/>
      </c>
      <c r="V14" s="1061"/>
      <c r="W14" s="1061"/>
      <c r="X14" s="1061"/>
      <c r="Y14" s="1061"/>
      <c r="Z14" s="565" t="str">
        <f t="shared" si="3"/>
        <v/>
      </c>
      <c r="AA14" s="565"/>
      <c r="AB14" s="565" t="str">
        <f t="shared" si="13"/>
        <v/>
      </c>
      <c r="AC14" s="5">
        <v>9</v>
      </c>
      <c r="AD14" s="1061" t="str">
        <f t="shared" si="4"/>
        <v/>
      </c>
      <c r="AE14" s="1061"/>
      <c r="AF14" s="1061"/>
      <c r="AG14" s="1061"/>
      <c r="AH14" s="1061"/>
      <c r="AI14" s="565" t="s">
        <v>3034</v>
      </c>
      <c r="AJ14" s="565"/>
      <c r="AK14" s="565" t="str">
        <f t="shared" si="14"/>
        <v/>
      </c>
      <c r="AL14" s="5">
        <v>9</v>
      </c>
      <c r="AM14" s="1061" t="str">
        <f t="shared" si="5"/>
        <v/>
      </c>
      <c r="AN14" s="1061"/>
      <c r="AO14" s="1061"/>
      <c r="AP14" s="1061"/>
      <c r="AQ14" s="1061"/>
      <c r="AR14" s="565"/>
      <c r="AS14" s="565"/>
      <c r="AT14" s="565" t="str">
        <f t="shared" si="15"/>
        <v/>
      </c>
      <c r="AU14" s="5">
        <v>9</v>
      </c>
      <c r="AV14" s="1061" t="str">
        <f t="shared" si="6"/>
        <v/>
      </c>
      <c r="AW14" s="1061"/>
      <c r="AX14" s="1061"/>
      <c r="AY14" s="1061"/>
      <c r="AZ14" s="1061"/>
      <c r="BA14" s="565"/>
      <c r="BB14" s="565"/>
      <c r="BC14" s="565" t="str">
        <f t="shared" si="16"/>
        <v/>
      </c>
      <c r="BD14" s="5">
        <v>9</v>
      </c>
      <c r="BE14" s="1061" t="str">
        <f t="shared" si="7"/>
        <v/>
      </c>
      <c r="BF14" s="1061"/>
      <c r="BG14" s="1061"/>
      <c r="BH14" s="1061"/>
      <c r="BI14" s="1061"/>
      <c r="BJ14" s="565"/>
      <c r="BK14" s="565"/>
      <c r="BL14" s="565" t="str">
        <f t="shared" si="17"/>
        <v/>
      </c>
      <c r="BM14" s="5">
        <v>9</v>
      </c>
      <c r="BN14" s="1061" t="str">
        <f t="shared" si="8"/>
        <v/>
      </c>
      <c r="BO14" s="1061"/>
      <c r="BP14" s="1061"/>
      <c r="BQ14" s="1061"/>
      <c r="BR14" s="1061"/>
      <c r="BS14" s="565"/>
      <c r="BT14" s="565"/>
      <c r="BU14" s="565" t="str">
        <f t="shared" si="18"/>
        <v/>
      </c>
      <c r="BV14" s="5">
        <v>9</v>
      </c>
      <c r="BW14" s="1061" t="str">
        <f t="shared" si="9"/>
        <v/>
      </c>
      <c r="BX14" s="1061"/>
      <c r="BY14" s="1061"/>
      <c r="BZ14" s="1061"/>
      <c r="CA14" s="1061"/>
      <c r="CB14" s="565"/>
      <c r="CC14" s="565" t="str">
        <f t="shared" si="19"/>
        <v/>
      </c>
      <c r="CD14" s="565"/>
      <c r="CE14" s="565"/>
      <c r="CF14" s="565">
        <v>9</v>
      </c>
      <c r="CG14" s="566" t="str">
        <f t="shared" si="10"/>
        <v/>
      </c>
      <c r="CH14" s="565"/>
      <c r="CI14" s="565">
        <v>9</v>
      </c>
      <c r="CJ14" s="565">
        <f>Character_Creation!C349</f>
        <v>0</v>
      </c>
      <c r="CK14" s="565" t="str">
        <f>IFERROR(INDEX(T08_Spells!$C$3:$C$1000,MATCH(S01_Bard!$CJ14,T08_Spells!$B$3:$B$1000,0),1),"")</f>
        <v/>
      </c>
      <c r="CL14" s="565">
        <f t="shared" si="20"/>
        <v>0</v>
      </c>
      <c r="CM14" s="565">
        <f>IF(CL14=0,0,1+COUNTIF(CM$6:CM13,"&gt;0"))</f>
        <v>0</v>
      </c>
      <c r="CN14" s="565">
        <f t="shared" si="21"/>
        <v>0</v>
      </c>
      <c r="CO14" s="565">
        <f>IF(CN14=0,0,1+COUNTIF(CO$6:CO13,"&gt;0"))</f>
        <v>0</v>
      </c>
      <c r="CP14" s="565">
        <f t="shared" si="22"/>
        <v>0</v>
      </c>
      <c r="CQ14" s="565">
        <f>IF(CP14=0,0,1+COUNTIF(CQ$6:CQ13,"&gt;0"))</f>
        <v>0</v>
      </c>
      <c r="CR14" s="565">
        <f t="shared" si="23"/>
        <v>0</v>
      </c>
      <c r="CS14" s="565">
        <f>IF(CR14=0,0,1+COUNTIF(CS$6:CS13,"&gt;0"))</f>
        <v>0</v>
      </c>
      <c r="CT14" s="565">
        <f t="shared" si="24"/>
        <v>0</v>
      </c>
      <c r="CU14" s="565">
        <f>IF(CT14=0,0,1+COUNTIF(CU$6:CU13,"&gt;0"))</f>
        <v>0</v>
      </c>
      <c r="CV14" s="565">
        <f t="shared" si="25"/>
        <v>0</v>
      </c>
      <c r="CW14" s="565">
        <f>IF(CV14=0,0,1+COUNTIF(CW$6:CW13,"&gt;0"))</f>
        <v>0</v>
      </c>
      <c r="CX14" s="565">
        <f t="shared" si="26"/>
        <v>0</v>
      </c>
      <c r="CY14" s="565">
        <f>IF(CX14=0,0,1+COUNTIF(CY$6:CY13,"&gt;0"))</f>
        <v>0</v>
      </c>
      <c r="CZ14" s="565">
        <f t="shared" si="27"/>
        <v>0</v>
      </c>
      <c r="DA14" s="565">
        <f>IF(CZ14=0,0,1+COUNTIF(DA$6:DA13,"&gt;0"))</f>
        <v>0</v>
      </c>
      <c r="DB14" s="565">
        <f t="shared" si="28"/>
        <v>0</v>
      </c>
      <c r="DC14" s="565">
        <f>IF(DB14=0,0,1+COUNTIF(DC$6:DC13,"&gt;0"))</f>
        <v>0</v>
      </c>
      <c r="DD14" s="565"/>
      <c r="DE14" s="565"/>
      <c r="DF14" s="565"/>
    </row>
    <row r="15" spans="1:110" x14ac:dyDescent="0.25">
      <c r="A15" s="120"/>
      <c r="B15" s="5">
        <v>10</v>
      </c>
      <c r="C15" s="1061" t="str">
        <f t="shared" si="0"/>
        <v/>
      </c>
      <c r="D15" s="1061"/>
      <c r="E15" s="1061"/>
      <c r="F15" s="1061"/>
      <c r="G15" s="1061"/>
      <c r="H15" s="565"/>
      <c r="I15" s="565" t="str">
        <f t="shared" si="11"/>
        <v/>
      </c>
      <c r="J15" s="565"/>
      <c r="K15" s="5">
        <v>10</v>
      </c>
      <c r="L15" s="1061" t="str">
        <f t="shared" si="1"/>
        <v/>
      </c>
      <c r="M15" s="1061"/>
      <c r="N15" s="1061"/>
      <c r="O15" s="1061"/>
      <c r="P15" s="1061"/>
      <c r="Q15" s="565"/>
      <c r="R15" s="565"/>
      <c r="S15" s="565" t="str">
        <f t="shared" si="12"/>
        <v/>
      </c>
      <c r="T15" s="5">
        <v>10</v>
      </c>
      <c r="U15" s="1061" t="str">
        <f t="shared" si="2"/>
        <v/>
      </c>
      <c r="V15" s="1061"/>
      <c r="W15" s="1061"/>
      <c r="X15" s="1061"/>
      <c r="Y15" s="1061"/>
      <c r="Z15" s="565" t="str">
        <f t="shared" si="3"/>
        <v/>
      </c>
      <c r="AA15" s="565"/>
      <c r="AB15" s="565" t="str">
        <f t="shared" si="13"/>
        <v/>
      </c>
      <c r="AC15" s="5">
        <v>10</v>
      </c>
      <c r="AD15" s="1061" t="str">
        <f t="shared" si="4"/>
        <v/>
      </c>
      <c r="AE15" s="1061"/>
      <c r="AF15" s="1061"/>
      <c r="AG15" s="1061"/>
      <c r="AH15" s="1061"/>
      <c r="AI15" s="565" t="s">
        <v>3034</v>
      </c>
      <c r="AJ15" s="565"/>
      <c r="AK15" s="565" t="str">
        <f t="shared" si="14"/>
        <v/>
      </c>
      <c r="AL15" s="5">
        <v>10</v>
      </c>
      <c r="AM15" s="1061" t="str">
        <f t="shared" si="5"/>
        <v/>
      </c>
      <c r="AN15" s="1061"/>
      <c r="AO15" s="1061"/>
      <c r="AP15" s="1061"/>
      <c r="AQ15" s="1061"/>
      <c r="AR15" s="565"/>
      <c r="AS15" s="565"/>
      <c r="AT15" s="565" t="str">
        <f t="shared" si="15"/>
        <v/>
      </c>
      <c r="AU15" s="5">
        <v>10</v>
      </c>
      <c r="AV15" s="1061" t="str">
        <f t="shared" si="6"/>
        <v/>
      </c>
      <c r="AW15" s="1061"/>
      <c r="AX15" s="1061"/>
      <c r="AY15" s="1061"/>
      <c r="AZ15" s="1061"/>
      <c r="BA15" s="565"/>
      <c r="BB15" s="565"/>
      <c r="BC15" s="565" t="str">
        <f t="shared" si="16"/>
        <v/>
      </c>
      <c r="BD15" s="5">
        <v>10</v>
      </c>
      <c r="BE15" s="1061" t="str">
        <f t="shared" si="7"/>
        <v/>
      </c>
      <c r="BF15" s="1061"/>
      <c r="BG15" s="1061"/>
      <c r="BH15" s="1061"/>
      <c r="BI15" s="1061"/>
      <c r="BJ15" s="565"/>
      <c r="BK15" s="565"/>
      <c r="BL15" s="565" t="str">
        <f t="shared" si="17"/>
        <v/>
      </c>
      <c r="BM15" s="5">
        <v>10</v>
      </c>
      <c r="BN15" s="1061" t="str">
        <f t="shared" si="8"/>
        <v/>
      </c>
      <c r="BO15" s="1061"/>
      <c r="BP15" s="1061"/>
      <c r="BQ15" s="1061"/>
      <c r="BR15" s="1061"/>
      <c r="BS15" s="565"/>
      <c r="BT15" s="565"/>
      <c r="BU15" s="565" t="str">
        <f t="shared" si="18"/>
        <v/>
      </c>
      <c r="BV15" s="5">
        <v>10</v>
      </c>
      <c r="BW15" s="1061" t="str">
        <f t="shared" si="9"/>
        <v/>
      </c>
      <c r="BX15" s="1061"/>
      <c r="BY15" s="1061"/>
      <c r="BZ15" s="1061"/>
      <c r="CA15" s="1061"/>
      <c r="CB15" s="565"/>
      <c r="CC15" s="565" t="str">
        <f t="shared" si="19"/>
        <v/>
      </c>
      <c r="CD15" s="565"/>
      <c r="CE15" s="565"/>
      <c r="CF15" s="565"/>
      <c r="CG15" s="565"/>
      <c r="CH15" s="565"/>
      <c r="CI15" s="565">
        <v>10</v>
      </c>
      <c r="CJ15" s="565">
        <f>Character_Creation!C350</f>
        <v>0</v>
      </c>
      <c r="CK15" s="565" t="str">
        <f>IFERROR(INDEX(T08_Spells!$C$3:$C$1000,MATCH(S01_Bard!$CJ15,T08_Spells!$B$3:$B$1000,0),1),"")</f>
        <v/>
      </c>
      <c r="CL15" s="565">
        <f t="shared" si="20"/>
        <v>0</v>
      </c>
      <c r="CM15" s="565">
        <f>IF(CL15=0,0,1+COUNTIF(CM$6:CM14,"&gt;0"))</f>
        <v>0</v>
      </c>
      <c r="CN15" s="565">
        <f t="shared" si="21"/>
        <v>0</v>
      </c>
      <c r="CO15" s="565">
        <f>IF(CN15=0,0,1+COUNTIF(CO$6:CO14,"&gt;0"))</f>
        <v>0</v>
      </c>
      <c r="CP15" s="565">
        <f t="shared" si="22"/>
        <v>0</v>
      </c>
      <c r="CQ15" s="565">
        <f>IF(CP15=0,0,1+COUNTIF(CQ$6:CQ14,"&gt;0"))</f>
        <v>0</v>
      </c>
      <c r="CR15" s="565">
        <f t="shared" si="23"/>
        <v>0</v>
      </c>
      <c r="CS15" s="565">
        <f>IF(CR15=0,0,1+COUNTIF(CS$6:CS14,"&gt;0"))</f>
        <v>0</v>
      </c>
      <c r="CT15" s="565">
        <f t="shared" si="24"/>
        <v>0</v>
      </c>
      <c r="CU15" s="565">
        <f>IF(CT15=0,0,1+COUNTIF(CU$6:CU14,"&gt;0"))</f>
        <v>0</v>
      </c>
      <c r="CV15" s="565">
        <f t="shared" si="25"/>
        <v>0</v>
      </c>
      <c r="CW15" s="565">
        <f>IF(CV15=0,0,1+COUNTIF(CW$6:CW14,"&gt;0"))</f>
        <v>0</v>
      </c>
      <c r="CX15" s="565">
        <f t="shared" si="26"/>
        <v>0</v>
      </c>
      <c r="CY15" s="565">
        <f>IF(CX15=0,0,1+COUNTIF(CY$6:CY14,"&gt;0"))</f>
        <v>0</v>
      </c>
      <c r="CZ15" s="565">
        <f t="shared" si="27"/>
        <v>0</v>
      </c>
      <c r="DA15" s="565">
        <f>IF(CZ15=0,0,1+COUNTIF(DA$6:DA14,"&gt;0"))</f>
        <v>0</v>
      </c>
      <c r="DB15" s="565">
        <f t="shared" si="28"/>
        <v>0</v>
      </c>
      <c r="DC15" s="565">
        <f>IF(DB15=0,0,1+COUNTIF(DC$6:DC14,"&gt;0"))</f>
        <v>0</v>
      </c>
      <c r="DD15" s="565"/>
      <c r="DE15" s="565"/>
      <c r="DF15" s="565"/>
    </row>
    <row r="16" spans="1:110" x14ac:dyDescent="0.25">
      <c r="A16" s="120"/>
      <c r="B16" s="5">
        <v>11</v>
      </c>
      <c r="C16" s="1061" t="str">
        <f t="shared" si="0"/>
        <v/>
      </c>
      <c r="D16" s="1061"/>
      <c r="E16" s="1061"/>
      <c r="F16" s="1061"/>
      <c r="G16" s="1061"/>
      <c r="H16" s="565"/>
      <c r="I16" s="565" t="str">
        <f t="shared" si="11"/>
        <v/>
      </c>
      <c r="J16" s="565"/>
      <c r="K16" s="5">
        <v>11</v>
      </c>
      <c r="L16" s="1061" t="str">
        <f t="shared" si="1"/>
        <v/>
      </c>
      <c r="M16" s="1061"/>
      <c r="N16" s="1061"/>
      <c r="O16" s="1061"/>
      <c r="P16" s="1061"/>
      <c r="Q16" s="565"/>
      <c r="R16" s="565"/>
      <c r="S16" s="565" t="str">
        <f t="shared" si="12"/>
        <v/>
      </c>
      <c r="T16" s="5">
        <v>11</v>
      </c>
      <c r="U16" s="1061" t="str">
        <f t="shared" si="2"/>
        <v/>
      </c>
      <c r="V16" s="1061"/>
      <c r="W16" s="1061"/>
      <c r="X16" s="1061"/>
      <c r="Y16" s="1061"/>
      <c r="Z16" s="565" t="str">
        <f t="shared" si="3"/>
        <v/>
      </c>
      <c r="AA16" s="565"/>
      <c r="AB16" s="565" t="str">
        <f t="shared" si="13"/>
        <v/>
      </c>
      <c r="AC16" s="5">
        <v>11</v>
      </c>
      <c r="AD16" s="1061" t="str">
        <f t="shared" si="4"/>
        <v/>
      </c>
      <c r="AE16" s="1061"/>
      <c r="AF16" s="1061"/>
      <c r="AG16" s="1061"/>
      <c r="AH16" s="1061"/>
      <c r="AI16" s="565" t="s">
        <v>3034</v>
      </c>
      <c r="AJ16" s="565"/>
      <c r="AK16" s="565" t="str">
        <f t="shared" si="14"/>
        <v/>
      </c>
      <c r="AL16" s="5">
        <v>11</v>
      </c>
      <c r="AM16" s="1061" t="str">
        <f t="shared" si="5"/>
        <v/>
      </c>
      <c r="AN16" s="1061"/>
      <c r="AO16" s="1061"/>
      <c r="AP16" s="1061"/>
      <c r="AQ16" s="1061"/>
      <c r="AR16" s="565"/>
      <c r="AS16" s="565"/>
      <c r="AT16" s="565" t="str">
        <f t="shared" si="15"/>
        <v/>
      </c>
      <c r="AU16" s="5">
        <v>11</v>
      </c>
      <c r="AV16" s="1061" t="str">
        <f t="shared" si="6"/>
        <v/>
      </c>
      <c r="AW16" s="1061"/>
      <c r="AX16" s="1061"/>
      <c r="AY16" s="1061"/>
      <c r="AZ16" s="1061"/>
      <c r="BA16" s="565"/>
      <c r="BB16" s="565"/>
      <c r="BC16" s="565" t="str">
        <f t="shared" si="16"/>
        <v/>
      </c>
      <c r="BD16" s="5">
        <v>11</v>
      </c>
      <c r="BE16" s="1061" t="str">
        <f t="shared" si="7"/>
        <v/>
      </c>
      <c r="BF16" s="1061"/>
      <c r="BG16" s="1061"/>
      <c r="BH16" s="1061"/>
      <c r="BI16" s="1061"/>
      <c r="BJ16" s="565"/>
      <c r="BK16" s="565"/>
      <c r="BL16" s="565" t="str">
        <f t="shared" si="17"/>
        <v/>
      </c>
      <c r="BM16" s="5">
        <v>11</v>
      </c>
      <c r="BN16" s="1061" t="str">
        <f t="shared" si="8"/>
        <v/>
      </c>
      <c r="BO16" s="1061"/>
      <c r="BP16" s="1061"/>
      <c r="BQ16" s="1061"/>
      <c r="BR16" s="1061"/>
      <c r="BS16" s="565"/>
      <c r="BT16" s="565"/>
      <c r="BU16" s="565" t="str">
        <f t="shared" si="18"/>
        <v/>
      </c>
      <c r="BV16" s="5">
        <v>11</v>
      </c>
      <c r="BW16" s="1061" t="str">
        <f t="shared" si="9"/>
        <v/>
      </c>
      <c r="BX16" s="1061"/>
      <c r="BY16" s="1061"/>
      <c r="BZ16" s="1061"/>
      <c r="CA16" s="1061"/>
      <c r="CB16" s="565"/>
      <c r="CC16" s="565" t="str">
        <f t="shared" si="19"/>
        <v/>
      </c>
      <c r="CD16" s="565"/>
      <c r="CE16" s="565"/>
      <c r="CF16" s="565"/>
      <c r="CG16" s="565"/>
      <c r="CH16" s="565"/>
      <c r="CI16" s="565">
        <v>11</v>
      </c>
      <c r="CJ16" s="565">
        <f>Character_Creation!C351</f>
        <v>0</v>
      </c>
      <c r="CK16" s="565" t="str">
        <f>IFERROR(INDEX(T08_Spells!$C$3:$C$1000,MATCH(S01_Bard!$CJ16,T08_Spells!$B$3:$B$1000,0),1),"")</f>
        <v/>
      </c>
      <c r="CL16" s="565">
        <f t="shared" si="20"/>
        <v>0</v>
      </c>
      <c r="CM16" s="565">
        <f>IF(CL16=0,0,1+COUNTIF(CM$6:CM15,"&gt;0"))</f>
        <v>0</v>
      </c>
      <c r="CN16" s="565">
        <f t="shared" si="21"/>
        <v>0</v>
      </c>
      <c r="CO16" s="565">
        <f>IF(CN16=0,0,1+COUNTIF(CO$6:CO15,"&gt;0"))</f>
        <v>0</v>
      </c>
      <c r="CP16" s="565">
        <f t="shared" si="22"/>
        <v>0</v>
      </c>
      <c r="CQ16" s="565">
        <f>IF(CP16=0,0,1+COUNTIF(CQ$6:CQ15,"&gt;0"))</f>
        <v>0</v>
      </c>
      <c r="CR16" s="565">
        <f t="shared" si="23"/>
        <v>0</v>
      </c>
      <c r="CS16" s="565">
        <f>IF(CR16=0,0,1+COUNTIF(CS$6:CS15,"&gt;0"))</f>
        <v>0</v>
      </c>
      <c r="CT16" s="565">
        <f t="shared" si="24"/>
        <v>0</v>
      </c>
      <c r="CU16" s="565">
        <f>IF(CT16=0,0,1+COUNTIF(CU$6:CU15,"&gt;0"))</f>
        <v>0</v>
      </c>
      <c r="CV16" s="565">
        <f t="shared" si="25"/>
        <v>0</v>
      </c>
      <c r="CW16" s="565">
        <f>IF(CV16=0,0,1+COUNTIF(CW$6:CW15,"&gt;0"))</f>
        <v>0</v>
      </c>
      <c r="CX16" s="565">
        <f t="shared" si="26"/>
        <v>0</v>
      </c>
      <c r="CY16" s="565">
        <f>IF(CX16=0,0,1+COUNTIF(CY$6:CY15,"&gt;0"))</f>
        <v>0</v>
      </c>
      <c r="CZ16" s="565">
        <f t="shared" si="27"/>
        <v>0</v>
      </c>
      <c r="DA16" s="565">
        <f>IF(CZ16=0,0,1+COUNTIF(DA$6:DA15,"&gt;0"))</f>
        <v>0</v>
      </c>
      <c r="DB16" s="565">
        <f t="shared" si="28"/>
        <v>0</v>
      </c>
      <c r="DC16" s="565">
        <f>IF(DB16=0,0,1+COUNTIF(DC$6:DC15,"&gt;0"))</f>
        <v>0</v>
      </c>
      <c r="DD16" s="565"/>
      <c r="DE16" s="565"/>
      <c r="DF16" s="565"/>
    </row>
    <row r="17" spans="1:110" x14ac:dyDescent="0.25">
      <c r="A17" s="120"/>
      <c r="B17" s="5">
        <v>12</v>
      </c>
      <c r="C17" s="1061" t="str">
        <f t="shared" si="0"/>
        <v/>
      </c>
      <c r="D17" s="1061"/>
      <c r="E17" s="1061"/>
      <c r="F17" s="1061"/>
      <c r="G17" s="1061"/>
      <c r="H17" s="565"/>
      <c r="I17" s="565" t="str">
        <f t="shared" si="11"/>
        <v/>
      </c>
      <c r="J17" s="565"/>
      <c r="K17" s="5">
        <v>12</v>
      </c>
      <c r="L17" s="1061" t="str">
        <f t="shared" si="1"/>
        <v/>
      </c>
      <c r="M17" s="1061"/>
      <c r="N17" s="1061"/>
      <c r="O17" s="1061"/>
      <c r="P17" s="1061"/>
      <c r="Q17" s="565"/>
      <c r="R17" s="565"/>
      <c r="S17" s="565" t="str">
        <f t="shared" si="12"/>
        <v/>
      </c>
      <c r="T17" s="5">
        <v>12</v>
      </c>
      <c r="U17" s="1061" t="str">
        <f t="shared" si="2"/>
        <v/>
      </c>
      <c r="V17" s="1061"/>
      <c r="W17" s="1061"/>
      <c r="X17" s="1061"/>
      <c r="Y17" s="1061"/>
      <c r="Z17" s="565" t="str">
        <f t="shared" si="3"/>
        <v/>
      </c>
      <c r="AA17" s="565"/>
      <c r="AB17" s="565" t="str">
        <f t="shared" si="13"/>
        <v/>
      </c>
      <c r="AC17" s="5">
        <v>12</v>
      </c>
      <c r="AD17" s="1061" t="str">
        <f t="shared" si="4"/>
        <v/>
      </c>
      <c r="AE17" s="1061"/>
      <c r="AF17" s="1061"/>
      <c r="AG17" s="1061"/>
      <c r="AH17" s="1061"/>
      <c r="AI17" s="565" t="s">
        <v>3034</v>
      </c>
      <c r="AJ17" s="565"/>
      <c r="AK17" s="565" t="str">
        <f t="shared" si="14"/>
        <v/>
      </c>
      <c r="AL17" s="5">
        <v>12</v>
      </c>
      <c r="AM17" s="1061" t="str">
        <f t="shared" si="5"/>
        <v/>
      </c>
      <c r="AN17" s="1061"/>
      <c r="AO17" s="1061"/>
      <c r="AP17" s="1061"/>
      <c r="AQ17" s="1061"/>
      <c r="AR17" s="565"/>
      <c r="AS17" s="565"/>
      <c r="AT17" s="565" t="str">
        <f t="shared" si="15"/>
        <v/>
      </c>
      <c r="AU17" s="5">
        <v>12</v>
      </c>
      <c r="AV17" s="1061" t="str">
        <f t="shared" si="6"/>
        <v/>
      </c>
      <c r="AW17" s="1061"/>
      <c r="AX17" s="1061"/>
      <c r="AY17" s="1061"/>
      <c r="AZ17" s="1061"/>
      <c r="BA17" s="565"/>
      <c r="BB17" s="565"/>
      <c r="BC17" s="565" t="str">
        <f t="shared" si="16"/>
        <v/>
      </c>
      <c r="BD17" s="5">
        <v>12</v>
      </c>
      <c r="BE17" s="1061" t="str">
        <f t="shared" si="7"/>
        <v/>
      </c>
      <c r="BF17" s="1061"/>
      <c r="BG17" s="1061"/>
      <c r="BH17" s="1061"/>
      <c r="BI17" s="1061"/>
      <c r="BJ17" s="565"/>
      <c r="BK17" s="565"/>
      <c r="BL17" s="565" t="str">
        <f t="shared" si="17"/>
        <v/>
      </c>
      <c r="BM17" s="5">
        <v>12</v>
      </c>
      <c r="BN17" s="1061" t="str">
        <f t="shared" si="8"/>
        <v/>
      </c>
      <c r="BO17" s="1061"/>
      <c r="BP17" s="1061"/>
      <c r="BQ17" s="1061"/>
      <c r="BR17" s="1061"/>
      <c r="BS17" s="565"/>
      <c r="BT17" s="565"/>
      <c r="BU17" s="565" t="str">
        <f t="shared" si="18"/>
        <v/>
      </c>
      <c r="BV17" s="5">
        <v>12</v>
      </c>
      <c r="BW17" s="1061" t="str">
        <f t="shared" si="9"/>
        <v/>
      </c>
      <c r="BX17" s="1061"/>
      <c r="BY17" s="1061"/>
      <c r="BZ17" s="1061"/>
      <c r="CA17" s="1061"/>
      <c r="CB17" s="565"/>
      <c r="CC17" s="565" t="str">
        <f t="shared" si="19"/>
        <v/>
      </c>
      <c r="CD17" s="565"/>
      <c r="CE17" s="565"/>
      <c r="CF17" s="565"/>
      <c r="CG17" s="565"/>
      <c r="CH17" s="565"/>
      <c r="CI17" s="565">
        <v>12</v>
      </c>
      <c r="CJ17" s="565">
        <f>Character_Creation!C352</f>
        <v>0</v>
      </c>
      <c r="CK17" s="565" t="str">
        <f>IFERROR(INDEX(T08_Spells!$C$3:$C$1000,MATCH(S01_Bard!$CJ17,T08_Spells!$B$3:$B$1000,0),1),"")</f>
        <v/>
      </c>
      <c r="CL17" s="565">
        <f t="shared" si="20"/>
        <v>0</v>
      </c>
      <c r="CM17" s="565">
        <f>IF(CL17=0,0,1+COUNTIF(CM$6:CM16,"&gt;0"))</f>
        <v>0</v>
      </c>
      <c r="CN17" s="565">
        <f t="shared" si="21"/>
        <v>0</v>
      </c>
      <c r="CO17" s="565">
        <f>IF(CN17=0,0,1+COUNTIF(CO$6:CO16,"&gt;0"))</f>
        <v>0</v>
      </c>
      <c r="CP17" s="565">
        <f t="shared" si="22"/>
        <v>0</v>
      </c>
      <c r="CQ17" s="565">
        <f>IF(CP17=0,0,1+COUNTIF(CQ$6:CQ16,"&gt;0"))</f>
        <v>0</v>
      </c>
      <c r="CR17" s="565">
        <f t="shared" si="23"/>
        <v>0</v>
      </c>
      <c r="CS17" s="565">
        <f>IF(CR17=0,0,1+COUNTIF(CS$6:CS16,"&gt;0"))</f>
        <v>0</v>
      </c>
      <c r="CT17" s="565">
        <f t="shared" si="24"/>
        <v>0</v>
      </c>
      <c r="CU17" s="565">
        <f>IF(CT17=0,0,1+COUNTIF(CU$6:CU16,"&gt;0"))</f>
        <v>0</v>
      </c>
      <c r="CV17" s="565">
        <f t="shared" si="25"/>
        <v>0</v>
      </c>
      <c r="CW17" s="565">
        <f>IF(CV17=0,0,1+COUNTIF(CW$6:CW16,"&gt;0"))</f>
        <v>0</v>
      </c>
      <c r="CX17" s="565">
        <f t="shared" si="26"/>
        <v>0</v>
      </c>
      <c r="CY17" s="565">
        <f>IF(CX17=0,0,1+COUNTIF(CY$6:CY16,"&gt;0"))</f>
        <v>0</v>
      </c>
      <c r="CZ17" s="565">
        <f t="shared" si="27"/>
        <v>0</v>
      </c>
      <c r="DA17" s="565">
        <f>IF(CZ17=0,0,1+COUNTIF(DA$6:DA16,"&gt;0"))</f>
        <v>0</v>
      </c>
      <c r="DB17" s="565">
        <f t="shared" si="28"/>
        <v>0</v>
      </c>
      <c r="DC17" s="565">
        <f>IF(DB17=0,0,1+COUNTIF(DC$6:DC16,"&gt;0"))</f>
        <v>0</v>
      </c>
      <c r="DD17" s="565"/>
      <c r="DE17" s="565"/>
      <c r="DF17" s="565"/>
    </row>
    <row r="18" spans="1:110" x14ac:dyDescent="0.25">
      <c r="A18" s="120"/>
      <c r="B18" s="5">
        <v>13</v>
      </c>
      <c r="C18" s="1061" t="str">
        <f t="shared" si="0"/>
        <v/>
      </c>
      <c r="D18" s="1061"/>
      <c r="E18" s="1061"/>
      <c r="F18" s="1061"/>
      <c r="G18" s="1061"/>
      <c r="H18" s="565"/>
      <c r="I18" s="565" t="str">
        <f t="shared" si="11"/>
        <v/>
      </c>
      <c r="J18" s="565"/>
      <c r="K18" s="5">
        <v>13</v>
      </c>
      <c r="L18" s="1061" t="str">
        <f t="shared" si="1"/>
        <v/>
      </c>
      <c r="M18" s="1061"/>
      <c r="N18" s="1061"/>
      <c r="O18" s="1061"/>
      <c r="P18" s="1061"/>
      <c r="Q18" s="565"/>
      <c r="R18" s="565"/>
      <c r="S18" s="565" t="str">
        <f t="shared" si="12"/>
        <v/>
      </c>
      <c r="T18" s="5">
        <v>13</v>
      </c>
      <c r="U18" s="1061" t="str">
        <f t="shared" si="2"/>
        <v/>
      </c>
      <c r="V18" s="1061"/>
      <c r="W18" s="1061"/>
      <c r="X18" s="1061"/>
      <c r="Y18" s="1061"/>
      <c r="Z18" s="565" t="str">
        <f t="shared" si="3"/>
        <v/>
      </c>
      <c r="AA18" s="565"/>
      <c r="AB18" s="565" t="str">
        <f t="shared" si="13"/>
        <v/>
      </c>
      <c r="AC18" s="5">
        <v>13</v>
      </c>
      <c r="AD18" s="1061" t="str">
        <f t="shared" si="4"/>
        <v/>
      </c>
      <c r="AE18" s="1061"/>
      <c r="AF18" s="1061"/>
      <c r="AG18" s="1061"/>
      <c r="AH18" s="1061"/>
      <c r="AI18" s="565" t="s">
        <v>3034</v>
      </c>
      <c r="AJ18" s="565"/>
      <c r="AK18" s="565" t="str">
        <f t="shared" si="14"/>
        <v/>
      </c>
      <c r="AL18" s="5">
        <v>13</v>
      </c>
      <c r="AM18" s="1061" t="str">
        <f t="shared" si="5"/>
        <v/>
      </c>
      <c r="AN18" s="1061"/>
      <c r="AO18" s="1061"/>
      <c r="AP18" s="1061"/>
      <c r="AQ18" s="1061"/>
      <c r="AR18" s="565"/>
      <c r="AS18" s="565"/>
      <c r="AT18" s="565" t="str">
        <f t="shared" si="15"/>
        <v/>
      </c>
      <c r="AU18" s="5">
        <v>13</v>
      </c>
      <c r="AV18" s="1061" t="str">
        <f t="shared" si="6"/>
        <v/>
      </c>
      <c r="AW18" s="1061"/>
      <c r="AX18" s="1061"/>
      <c r="AY18" s="1061"/>
      <c r="AZ18" s="1061"/>
      <c r="BA18" s="565"/>
      <c r="BB18" s="565"/>
      <c r="BC18" s="565" t="str">
        <f t="shared" si="16"/>
        <v/>
      </c>
      <c r="BD18" s="5">
        <v>13</v>
      </c>
      <c r="BE18" s="1061" t="str">
        <f t="shared" si="7"/>
        <v/>
      </c>
      <c r="BF18" s="1061"/>
      <c r="BG18" s="1061"/>
      <c r="BH18" s="1061"/>
      <c r="BI18" s="1061"/>
      <c r="BJ18" s="565"/>
      <c r="BK18" s="565"/>
      <c r="BL18" s="565" t="str">
        <f t="shared" si="17"/>
        <v/>
      </c>
      <c r="BM18" s="5">
        <v>13</v>
      </c>
      <c r="BN18" s="1061" t="str">
        <f t="shared" si="8"/>
        <v/>
      </c>
      <c r="BO18" s="1061"/>
      <c r="BP18" s="1061"/>
      <c r="BQ18" s="1061"/>
      <c r="BR18" s="1061"/>
      <c r="BS18" s="565"/>
      <c r="BT18" s="565"/>
      <c r="BU18" s="565" t="str">
        <f t="shared" si="18"/>
        <v/>
      </c>
      <c r="BV18" s="5">
        <v>13</v>
      </c>
      <c r="BW18" s="1061" t="str">
        <f t="shared" si="9"/>
        <v/>
      </c>
      <c r="BX18" s="1061"/>
      <c r="BY18" s="1061"/>
      <c r="BZ18" s="1061"/>
      <c r="CA18" s="1061"/>
      <c r="CB18" s="565"/>
      <c r="CC18" s="565" t="str">
        <f t="shared" si="19"/>
        <v/>
      </c>
      <c r="CD18" s="565"/>
      <c r="CE18" s="565"/>
      <c r="CF18" s="565"/>
      <c r="CG18" s="565"/>
      <c r="CH18" s="565"/>
      <c r="CI18" s="565">
        <v>13</v>
      </c>
      <c r="CJ18" s="565">
        <f>Character_Creation!C353</f>
        <v>0</v>
      </c>
      <c r="CK18" s="565" t="str">
        <f>IFERROR(INDEX(T08_Spells!$C$3:$C$1000,MATCH(S01_Bard!$CJ18,T08_Spells!$B$3:$B$1000,0),1),"")</f>
        <v/>
      </c>
      <c r="CL18" s="565">
        <f t="shared" si="20"/>
        <v>0</v>
      </c>
      <c r="CM18" s="565">
        <f>IF(CL18=0,0,1+COUNTIF(CM$6:CM17,"&gt;0"))</f>
        <v>0</v>
      </c>
      <c r="CN18" s="565">
        <f t="shared" si="21"/>
        <v>0</v>
      </c>
      <c r="CO18" s="565">
        <f>IF(CN18=0,0,1+COUNTIF(CO$6:CO17,"&gt;0"))</f>
        <v>0</v>
      </c>
      <c r="CP18" s="565">
        <f t="shared" si="22"/>
        <v>0</v>
      </c>
      <c r="CQ18" s="565">
        <f>IF(CP18=0,0,1+COUNTIF(CQ$6:CQ17,"&gt;0"))</f>
        <v>0</v>
      </c>
      <c r="CR18" s="565">
        <f t="shared" si="23"/>
        <v>0</v>
      </c>
      <c r="CS18" s="565">
        <f>IF(CR18=0,0,1+COUNTIF(CS$6:CS17,"&gt;0"))</f>
        <v>0</v>
      </c>
      <c r="CT18" s="565">
        <f t="shared" si="24"/>
        <v>0</v>
      </c>
      <c r="CU18" s="565">
        <f>IF(CT18=0,0,1+COUNTIF(CU$6:CU17,"&gt;0"))</f>
        <v>0</v>
      </c>
      <c r="CV18" s="565">
        <f t="shared" si="25"/>
        <v>0</v>
      </c>
      <c r="CW18" s="565">
        <f>IF(CV18=0,0,1+COUNTIF(CW$6:CW17,"&gt;0"))</f>
        <v>0</v>
      </c>
      <c r="CX18" s="565">
        <f t="shared" si="26"/>
        <v>0</v>
      </c>
      <c r="CY18" s="565">
        <f>IF(CX18=0,0,1+COUNTIF(CY$6:CY17,"&gt;0"))</f>
        <v>0</v>
      </c>
      <c r="CZ18" s="565">
        <f t="shared" si="27"/>
        <v>0</v>
      </c>
      <c r="DA18" s="565">
        <f>IF(CZ18=0,0,1+COUNTIF(DA$6:DA17,"&gt;0"))</f>
        <v>0</v>
      </c>
      <c r="DB18" s="565">
        <f t="shared" si="28"/>
        <v>0</v>
      </c>
      <c r="DC18" s="565">
        <f>IF(DB18=0,0,1+COUNTIF(DC$6:DC17,"&gt;0"))</f>
        <v>0</v>
      </c>
      <c r="DD18" s="565"/>
      <c r="DE18" s="565"/>
      <c r="DF18" s="565"/>
    </row>
    <row r="19" spans="1:110" x14ac:dyDescent="0.25">
      <c r="A19" s="120"/>
      <c r="B19" s="5">
        <v>14</v>
      </c>
      <c r="C19" s="1061" t="str">
        <f t="shared" si="0"/>
        <v/>
      </c>
      <c r="D19" s="1061"/>
      <c r="E19" s="1061"/>
      <c r="F19" s="1061"/>
      <c r="G19" s="1061"/>
      <c r="H19" s="565"/>
      <c r="I19" s="565" t="str">
        <f t="shared" si="11"/>
        <v/>
      </c>
      <c r="J19" s="565"/>
      <c r="K19" s="5">
        <v>14</v>
      </c>
      <c r="L19" s="1061" t="str">
        <f t="shared" si="1"/>
        <v/>
      </c>
      <c r="M19" s="1061"/>
      <c r="N19" s="1061"/>
      <c r="O19" s="1061"/>
      <c r="P19" s="1061"/>
      <c r="Q19" s="565"/>
      <c r="R19" s="565"/>
      <c r="S19" s="565" t="str">
        <f t="shared" si="12"/>
        <v/>
      </c>
      <c r="T19" s="5">
        <v>14</v>
      </c>
      <c r="U19" s="1061" t="str">
        <f t="shared" si="2"/>
        <v/>
      </c>
      <c r="V19" s="1061"/>
      <c r="W19" s="1061"/>
      <c r="X19" s="1061"/>
      <c r="Y19" s="1061"/>
      <c r="Z19" s="565" t="str">
        <f t="shared" si="3"/>
        <v/>
      </c>
      <c r="AA19" s="565"/>
      <c r="AB19" s="565" t="str">
        <f t="shared" si="13"/>
        <v/>
      </c>
      <c r="AC19" s="5">
        <v>14</v>
      </c>
      <c r="AD19" s="1061" t="str">
        <f t="shared" si="4"/>
        <v/>
      </c>
      <c r="AE19" s="1061"/>
      <c r="AF19" s="1061"/>
      <c r="AG19" s="1061"/>
      <c r="AH19" s="1061"/>
      <c r="AI19" s="565" t="s">
        <v>3034</v>
      </c>
      <c r="AJ19" s="565"/>
      <c r="AK19" s="565" t="str">
        <f t="shared" si="14"/>
        <v/>
      </c>
      <c r="AL19" s="5">
        <v>14</v>
      </c>
      <c r="AM19" s="1061" t="str">
        <f t="shared" si="5"/>
        <v/>
      </c>
      <c r="AN19" s="1061"/>
      <c r="AO19" s="1061"/>
      <c r="AP19" s="1061"/>
      <c r="AQ19" s="1061"/>
      <c r="AR19" s="565"/>
      <c r="AS19" s="565"/>
      <c r="AT19" s="565" t="str">
        <f t="shared" si="15"/>
        <v/>
      </c>
      <c r="AU19" s="5">
        <v>14</v>
      </c>
      <c r="AV19" s="1061" t="str">
        <f t="shared" si="6"/>
        <v/>
      </c>
      <c r="AW19" s="1061"/>
      <c r="AX19" s="1061"/>
      <c r="AY19" s="1061"/>
      <c r="AZ19" s="1061"/>
      <c r="BA19" s="565"/>
      <c r="BB19" s="565"/>
      <c r="BC19" s="565" t="str">
        <f t="shared" si="16"/>
        <v/>
      </c>
      <c r="BD19" s="5">
        <v>14</v>
      </c>
      <c r="BE19" s="1061" t="str">
        <f t="shared" si="7"/>
        <v/>
      </c>
      <c r="BF19" s="1061"/>
      <c r="BG19" s="1061"/>
      <c r="BH19" s="1061"/>
      <c r="BI19" s="1061"/>
      <c r="BJ19" s="565"/>
      <c r="BK19" s="565"/>
      <c r="BL19" s="565" t="str">
        <f t="shared" si="17"/>
        <v/>
      </c>
      <c r="BM19" s="5">
        <v>14</v>
      </c>
      <c r="BN19" s="1061" t="str">
        <f t="shared" si="8"/>
        <v/>
      </c>
      <c r="BO19" s="1061"/>
      <c r="BP19" s="1061"/>
      <c r="BQ19" s="1061"/>
      <c r="BR19" s="1061"/>
      <c r="BS19" s="565"/>
      <c r="BT19" s="565"/>
      <c r="BU19" s="565" t="str">
        <f t="shared" si="18"/>
        <v/>
      </c>
      <c r="BV19" s="5">
        <v>14</v>
      </c>
      <c r="BW19" s="1061" t="str">
        <f t="shared" si="9"/>
        <v/>
      </c>
      <c r="BX19" s="1061"/>
      <c r="BY19" s="1061"/>
      <c r="BZ19" s="1061"/>
      <c r="CA19" s="1061"/>
      <c r="CB19" s="565"/>
      <c r="CC19" s="565" t="str">
        <f t="shared" si="19"/>
        <v/>
      </c>
      <c r="CD19" s="565"/>
      <c r="CE19" s="565"/>
      <c r="CF19" s="565"/>
      <c r="CG19" s="565"/>
      <c r="CH19" s="565"/>
      <c r="CI19" s="565">
        <v>14</v>
      </c>
      <c r="CJ19" s="565">
        <f>Character_Creation!C354</f>
        <v>0</v>
      </c>
      <c r="CK19" s="565" t="str">
        <f>IFERROR(INDEX(T08_Spells!$C$3:$C$1000,MATCH(S01_Bard!$CJ19,T08_Spells!$B$3:$B$1000,0),1),"")</f>
        <v/>
      </c>
      <c r="CL19" s="565">
        <f t="shared" si="20"/>
        <v>0</v>
      </c>
      <c r="CM19" s="565">
        <f>IF(CL19=0,0,1+COUNTIF(CM$6:CM18,"&gt;0"))</f>
        <v>0</v>
      </c>
      <c r="CN19" s="565">
        <f t="shared" si="21"/>
        <v>0</v>
      </c>
      <c r="CO19" s="565">
        <f>IF(CN19=0,0,1+COUNTIF(CO$6:CO18,"&gt;0"))</f>
        <v>0</v>
      </c>
      <c r="CP19" s="565">
        <f t="shared" si="22"/>
        <v>0</v>
      </c>
      <c r="CQ19" s="565">
        <f>IF(CP19=0,0,1+COUNTIF(CQ$6:CQ18,"&gt;0"))</f>
        <v>0</v>
      </c>
      <c r="CR19" s="565">
        <f t="shared" si="23"/>
        <v>0</v>
      </c>
      <c r="CS19" s="565">
        <f>IF(CR19=0,0,1+COUNTIF(CS$6:CS18,"&gt;0"))</f>
        <v>0</v>
      </c>
      <c r="CT19" s="565">
        <f t="shared" si="24"/>
        <v>0</v>
      </c>
      <c r="CU19" s="565">
        <f>IF(CT19=0,0,1+COUNTIF(CU$6:CU18,"&gt;0"))</f>
        <v>0</v>
      </c>
      <c r="CV19" s="565">
        <f t="shared" si="25"/>
        <v>0</v>
      </c>
      <c r="CW19" s="565">
        <f>IF(CV19=0,0,1+COUNTIF(CW$6:CW18,"&gt;0"))</f>
        <v>0</v>
      </c>
      <c r="CX19" s="565">
        <f t="shared" si="26"/>
        <v>0</v>
      </c>
      <c r="CY19" s="565">
        <f>IF(CX19=0,0,1+COUNTIF(CY$6:CY18,"&gt;0"))</f>
        <v>0</v>
      </c>
      <c r="CZ19" s="565">
        <f t="shared" si="27"/>
        <v>0</v>
      </c>
      <c r="DA19" s="565">
        <f>IF(CZ19=0,0,1+COUNTIF(DA$6:DA18,"&gt;0"))</f>
        <v>0</v>
      </c>
      <c r="DB19" s="565">
        <f t="shared" si="28"/>
        <v>0</v>
      </c>
      <c r="DC19" s="565">
        <f>IF(DB19=0,0,1+COUNTIF(DC$6:DC18,"&gt;0"))</f>
        <v>0</v>
      </c>
      <c r="DD19" s="565"/>
      <c r="DE19" s="565"/>
      <c r="DF19" s="565"/>
    </row>
    <row r="20" spans="1:110" x14ac:dyDescent="0.25">
      <c r="A20" s="120"/>
      <c r="B20" s="5">
        <v>15</v>
      </c>
      <c r="C20" s="1061" t="str">
        <f t="shared" si="0"/>
        <v/>
      </c>
      <c r="D20" s="1061"/>
      <c r="E20" s="1061"/>
      <c r="F20" s="1061"/>
      <c r="G20" s="1061"/>
      <c r="H20" s="565"/>
      <c r="I20" s="565" t="str">
        <f t="shared" si="11"/>
        <v/>
      </c>
      <c r="J20" s="565"/>
      <c r="K20" s="5">
        <v>15</v>
      </c>
      <c r="L20" s="1061" t="str">
        <f t="shared" si="1"/>
        <v/>
      </c>
      <c r="M20" s="1061"/>
      <c r="N20" s="1061"/>
      <c r="O20" s="1061"/>
      <c r="P20" s="1061"/>
      <c r="Q20" s="565"/>
      <c r="R20" s="565"/>
      <c r="S20" s="565" t="str">
        <f t="shared" si="12"/>
        <v/>
      </c>
      <c r="T20" s="5">
        <v>15</v>
      </c>
      <c r="U20" s="1061" t="str">
        <f t="shared" si="2"/>
        <v/>
      </c>
      <c r="V20" s="1061"/>
      <c r="W20" s="1061"/>
      <c r="X20" s="1061"/>
      <c r="Y20" s="1061"/>
      <c r="Z20" s="565" t="str">
        <f t="shared" si="3"/>
        <v/>
      </c>
      <c r="AA20" s="565"/>
      <c r="AB20" s="565" t="str">
        <f t="shared" si="13"/>
        <v/>
      </c>
      <c r="AC20" s="5">
        <v>15</v>
      </c>
      <c r="AD20" s="1061" t="str">
        <f t="shared" si="4"/>
        <v/>
      </c>
      <c r="AE20" s="1061"/>
      <c r="AF20" s="1061"/>
      <c r="AG20" s="1061"/>
      <c r="AH20" s="1061"/>
      <c r="AI20" s="565" t="s">
        <v>3034</v>
      </c>
      <c r="AJ20" s="565"/>
      <c r="AK20" s="565" t="str">
        <f t="shared" si="14"/>
        <v/>
      </c>
      <c r="AL20" s="5">
        <v>15</v>
      </c>
      <c r="AM20" s="1061" t="str">
        <f t="shared" si="5"/>
        <v/>
      </c>
      <c r="AN20" s="1061"/>
      <c r="AO20" s="1061"/>
      <c r="AP20" s="1061"/>
      <c r="AQ20" s="1061"/>
      <c r="AR20" s="565"/>
      <c r="AS20" s="565"/>
      <c r="AT20" s="565" t="str">
        <f t="shared" si="15"/>
        <v/>
      </c>
      <c r="AU20" s="5">
        <v>15</v>
      </c>
      <c r="AV20" s="1061" t="str">
        <f t="shared" si="6"/>
        <v/>
      </c>
      <c r="AW20" s="1061"/>
      <c r="AX20" s="1061"/>
      <c r="AY20" s="1061"/>
      <c r="AZ20" s="1061"/>
      <c r="BA20" s="565"/>
      <c r="BB20" s="565"/>
      <c r="BC20" s="565" t="str">
        <f t="shared" si="16"/>
        <v/>
      </c>
      <c r="BD20" s="5">
        <v>15</v>
      </c>
      <c r="BE20" s="1061" t="str">
        <f t="shared" si="7"/>
        <v/>
      </c>
      <c r="BF20" s="1061"/>
      <c r="BG20" s="1061"/>
      <c r="BH20" s="1061"/>
      <c r="BI20" s="1061"/>
      <c r="BJ20" s="565"/>
      <c r="BK20" s="565"/>
      <c r="BL20" s="565" t="str">
        <f t="shared" si="17"/>
        <v/>
      </c>
      <c r="BM20" s="5">
        <v>15</v>
      </c>
      <c r="BN20" s="1061" t="str">
        <f t="shared" si="8"/>
        <v/>
      </c>
      <c r="BO20" s="1061"/>
      <c r="BP20" s="1061"/>
      <c r="BQ20" s="1061"/>
      <c r="BR20" s="1061"/>
      <c r="BS20" s="565"/>
      <c r="BT20" s="565"/>
      <c r="BU20" s="565" t="str">
        <f t="shared" si="18"/>
        <v/>
      </c>
      <c r="BV20" s="5">
        <v>15</v>
      </c>
      <c r="BW20" s="1061" t="str">
        <f t="shared" si="9"/>
        <v/>
      </c>
      <c r="BX20" s="1061"/>
      <c r="BY20" s="1061"/>
      <c r="BZ20" s="1061"/>
      <c r="CA20" s="1061"/>
      <c r="CB20" s="565"/>
      <c r="CC20" s="565" t="str">
        <f t="shared" si="19"/>
        <v/>
      </c>
      <c r="CD20" s="565"/>
      <c r="CE20" s="565"/>
      <c r="CF20" s="565"/>
      <c r="CG20" s="565"/>
      <c r="CH20" s="565"/>
      <c r="CI20" s="565">
        <v>15</v>
      </c>
      <c r="CJ20" s="565">
        <f>Character_Creation!C355</f>
        <v>0</v>
      </c>
      <c r="CK20" s="565" t="str">
        <f>IFERROR(INDEX(T08_Spells!$C$3:$C$1000,MATCH(S01_Bard!$CJ20,T08_Spells!$B$3:$B$1000,0),1),"")</f>
        <v/>
      </c>
      <c r="CL20" s="565">
        <f t="shared" si="20"/>
        <v>0</v>
      </c>
      <c r="CM20" s="565">
        <f>IF(CL20=0,0,1+COUNTIF(CM$6:CM19,"&gt;0"))</f>
        <v>0</v>
      </c>
      <c r="CN20" s="565">
        <f t="shared" si="21"/>
        <v>0</v>
      </c>
      <c r="CO20" s="565">
        <f>IF(CN20=0,0,1+COUNTIF(CO$6:CO19,"&gt;0"))</f>
        <v>0</v>
      </c>
      <c r="CP20" s="565">
        <f t="shared" si="22"/>
        <v>0</v>
      </c>
      <c r="CQ20" s="565">
        <f>IF(CP20=0,0,1+COUNTIF(CQ$6:CQ19,"&gt;0"))</f>
        <v>0</v>
      </c>
      <c r="CR20" s="565">
        <f t="shared" si="23"/>
        <v>0</v>
      </c>
      <c r="CS20" s="565">
        <f>IF(CR20=0,0,1+COUNTIF(CS$6:CS19,"&gt;0"))</f>
        <v>0</v>
      </c>
      <c r="CT20" s="565">
        <f t="shared" si="24"/>
        <v>0</v>
      </c>
      <c r="CU20" s="565">
        <f>IF(CT20=0,0,1+COUNTIF(CU$6:CU19,"&gt;0"))</f>
        <v>0</v>
      </c>
      <c r="CV20" s="565">
        <f t="shared" si="25"/>
        <v>0</v>
      </c>
      <c r="CW20" s="565">
        <f>IF(CV20=0,0,1+COUNTIF(CW$6:CW19,"&gt;0"))</f>
        <v>0</v>
      </c>
      <c r="CX20" s="565">
        <f t="shared" si="26"/>
        <v>0</v>
      </c>
      <c r="CY20" s="565">
        <f>IF(CX20=0,0,1+COUNTIF(CY$6:CY19,"&gt;0"))</f>
        <v>0</v>
      </c>
      <c r="CZ20" s="565">
        <f t="shared" si="27"/>
        <v>0</v>
      </c>
      <c r="DA20" s="565">
        <f>IF(CZ20=0,0,1+COUNTIF(DA$6:DA19,"&gt;0"))</f>
        <v>0</v>
      </c>
      <c r="DB20" s="565">
        <f t="shared" si="28"/>
        <v>0</v>
      </c>
      <c r="DC20" s="565">
        <f>IF(DB20=0,0,1+COUNTIF(DC$6:DC19,"&gt;0"))</f>
        <v>0</v>
      </c>
      <c r="DD20" s="565"/>
      <c r="DE20" s="565"/>
      <c r="DF20" s="565"/>
    </row>
    <row r="21" spans="1:110" x14ac:dyDescent="0.25">
      <c r="A21" s="120"/>
      <c r="B21" s="5">
        <v>16</v>
      </c>
      <c r="C21" s="1061" t="str">
        <f t="shared" si="0"/>
        <v/>
      </c>
      <c r="D21" s="1061"/>
      <c r="E21" s="1061"/>
      <c r="F21" s="1061"/>
      <c r="G21" s="1061"/>
      <c r="H21" s="565"/>
      <c r="I21" s="565" t="str">
        <f t="shared" si="11"/>
        <v/>
      </c>
      <c r="J21" s="565"/>
      <c r="K21" s="5">
        <v>16</v>
      </c>
      <c r="L21" s="1061" t="str">
        <f t="shared" si="1"/>
        <v/>
      </c>
      <c r="M21" s="1061"/>
      <c r="N21" s="1061"/>
      <c r="O21" s="1061"/>
      <c r="P21" s="1061"/>
      <c r="Q21" s="565"/>
      <c r="R21" s="565"/>
      <c r="S21" s="565" t="str">
        <f t="shared" si="12"/>
        <v/>
      </c>
      <c r="T21" s="5">
        <v>16</v>
      </c>
      <c r="U21" s="1061" t="str">
        <f t="shared" si="2"/>
        <v/>
      </c>
      <c r="V21" s="1061"/>
      <c r="W21" s="1061"/>
      <c r="X21" s="1061"/>
      <c r="Y21" s="1061"/>
      <c r="Z21" s="565" t="str">
        <f t="shared" si="3"/>
        <v/>
      </c>
      <c r="AA21" s="565"/>
      <c r="AB21" s="565" t="str">
        <f t="shared" si="13"/>
        <v/>
      </c>
      <c r="AC21" s="5">
        <v>16</v>
      </c>
      <c r="AD21" s="1061" t="str">
        <f t="shared" si="4"/>
        <v/>
      </c>
      <c r="AE21" s="1061"/>
      <c r="AF21" s="1061"/>
      <c r="AG21" s="1061"/>
      <c r="AH21" s="1061"/>
      <c r="AI21" s="565" t="s">
        <v>3034</v>
      </c>
      <c r="AJ21" s="565"/>
      <c r="AK21" s="565" t="str">
        <f t="shared" si="14"/>
        <v/>
      </c>
      <c r="AL21" s="5">
        <v>16</v>
      </c>
      <c r="AM21" s="1061" t="str">
        <f t="shared" si="5"/>
        <v/>
      </c>
      <c r="AN21" s="1061"/>
      <c r="AO21" s="1061"/>
      <c r="AP21" s="1061"/>
      <c r="AQ21" s="1061"/>
      <c r="AR21" s="565"/>
      <c r="AS21" s="565"/>
      <c r="AT21" s="565" t="str">
        <f t="shared" si="15"/>
        <v/>
      </c>
      <c r="AU21" s="5">
        <v>16</v>
      </c>
      <c r="AV21" s="1061" t="str">
        <f t="shared" si="6"/>
        <v/>
      </c>
      <c r="AW21" s="1061"/>
      <c r="AX21" s="1061"/>
      <c r="AY21" s="1061"/>
      <c r="AZ21" s="1061"/>
      <c r="BA21" s="565"/>
      <c r="BB21" s="565"/>
      <c r="BC21" s="565" t="str">
        <f t="shared" si="16"/>
        <v/>
      </c>
      <c r="BD21" s="5">
        <v>16</v>
      </c>
      <c r="BE21" s="1061" t="str">
        <f t="shared" si="7"/>
        <v/>
      </c>
      <c r="BF21" s="1061"/>
      <c r="BG21" s="1061"/>
      <c r="BH21" s="1061"/>
      <c r="BI21" s="1061"/>
      <c r="BJ21" s="565"/>
      <c r="BK21" s="565"/>
      <c r="BL21" s="565" t="str">
        <f t="shared" si="17"/>
        <v/>
      </c>
      <c r="BM21" s="5">
        <v>16</v>
      </c>
      <c r="BN21" s="1061" t="str">
        <f t="shared" si="8"/>
        <v/>
      </c>
      <c r="BO21" s="1061"/>
      <c r="BP21" s="1061"/>
      <c r="BQ21" s="1061"/>
      <c r="BR21" s="1061"/>
      <c r="BS21" s="565"/>
      <c r="BT21" s="565"/>
      <c r="BU21" s="565" t="str">
        <f t="shared" si="18"/>
        <v/>
      </c>
      <c r="BV21" s="5">
        <v>16</v>
      </c>
      <c r="BW21" s="1061" t="str">
        <f t="shared" si="9"/>
        <v/>
      </c>
      <c r="BX21" s="1061"/>
      <c r="BY21" s="1061"/>
      <c r="BZ21" s="1061"/>
      <c r="CA21" s="1061"/>
      <c r="CB21" s="565"/>
      <c r="CC21" s="565" t="str">
        <f t="shared" si="19"/>
        <v/>
      </c>
      <c r="CD21" s="565"/>
      <c r="CE21" s="565"/>
      <c r="CF21" s="565"/>
      <c r="CG21" s="565"/>
      <c r="CH21" s="565"/>
      <c r="CI21" s="565">
        <v>16</v>
      </c>
      <c r="CJ21" s="565">
        <f>Character_Creation!C356</f>
        <v>0</v>
      </c>
      <c r="CK21" s="565" t="str">
        <f>IFERROR(INDEX(T08_Spells!$C$3:$C$1000,MATCH(S01_Bard!$CJ21,T08_Spells!$B$3:$B$1000,0),1),"")</f>
        <v/>
      </c>
      <c r="CL21" s="565">
        <f t="shared" si="20"/>
        <v>0</v>
      </c>
      <c r="CM21" s="565">
        <f>IF(CL21=0,0,1+COUNTIF(CM$6:CM20,"&gt;0"))</f>
        <v>0</v>
      </c>
      <c r="CN21" s="565">
        <f t="shared" si="21"/>
        <v>0</v>
      </c>
      <c r="CO21" s="565">
        <f>IF(CN21=0,0,1+COUNTIF(CO$6:CO20,"&gt;0"))</f>
        <v>0</v>
      </c>
      <c r="CP21" s="565">
        <f t="shared" si="22"/>
        <v>0</v>
      </c>
      <c r="CQ21" s="565">
        <f>IF(CP21=0,0,1+COUNTIF(CQ$6:CQ20,"&gt;0"))</f>
        <v>0</v>
      </c>
      <c r="CR21" s="565">
        <f t="shared" si="23"/>
        <v>0</v>
      </c>
      <c r="CS21" s="565">
        <f>IF(CR21=0,0,1+COUNTIF(CS$6:CS20,"&gt;0"))</f>
        <v>0</v>
      </c>
      <c r="CT21" s="565">
        <f t="shared" si="24"/>
        <v>0</v>
      </c>
      <c r="CU21" s="565">
        <f>IF(CT21=0,0,1+COUNTIF(CU$6:CU20,"&gt;0"))</f>
        <v>0</v>
      </c>
      <c r="CV21" s="565">
        <f t="shared" si="25"/>
        <v>0</v>
      </c>
      <c r="CW21" s="565">
        <f>IF(CV21=0,0,1+COUNTIF(CW$6:CW20,"&gt;0"))</f>
        <v>0</v>
      </c>
      <c r="CX21" s="565">
        <f t="shared" si="26"/>
        <v>0</v>
      </c>
      <c r="CY21" s="565">
        <f>IF(CX21=0,0,1+COUNTIF(CY$6:CY20,"&gt;0"))</f>
        <v>0</v>
      </c>
      <c r="CZ21" s="565">
        <f t="shared" si="27"/>
        <v>0</v>
      </c>
      <c r="DA21" s="565">
        <f>IF(CZ21=0,0,1+COUNTIF(DA$6:DA20,"&gt;0"))</f>
        <v>0</v>
      </c>
      <c r="DB21" s="565">
        <f t="shared" si="28"/>
        <v>0</v>
      </c>
      <c r="DC21" s="565">
        <f>IF(DB21=0,0,1+COUNTIF(DC$6:DC20,"&gt;0"))</f>
        <v>0</v>
      </c>
      <c r="DD21" s="565"/>
      <c r="DE21" s="565"/>
      <c r="DF21" s="565"/>
    </row>
    <row r="22" spans="1:110" x14ac:dyDescent="0.25">
      <c r="A22" s="120"/>
      <c r="B22" s="5">
        <v>17</v>
      </c>
      <c r="C22" s="1061" t="str">
        <f t="shared" si="0"/>
        <v/>
      </c>
      <c r="D22" s="1061"/>
      <c r="E22" s="1061"/>
      <c r="F22" s="1061"/>
      <c r="G22" s="1061"/>
      <c r="H22" s="565"/>
      <c r="I22" s="565" t="str">
        <f t="shared" si="11"/>
        <v/>
      </c>
      <c r="J22" s="565"/>
      <c r="K22" s="5">
        <v>17</v>
      </c>
      <c r="L22" s="1061" t="str">
        <f t="shared" si="1"/>
        <v/>
      </c>
      <c r="M22" s="1061"/>
      <c r="N22" s="1061"/>
      <c r="O22" s="1061"/>
      <c r="P22" s="1061"/>
      <c r="Q22" s="565"/>
      <c r="R22" s="565"/>
      <c r="S22" s="565" t="str">
        <f t="shared" si="12"/>
        <v/>
      </c>
      <c r="T22" s="5">
        <v>17</v>
      </c>
      <c r="U22" s="1061" t="str">
        <f t="shared" si="2"/>
        <v/>
      </c>
      <c r="V22" s="1061"/>
      <c r="W22" s="1061"/>
      <c r="X22" s="1061"/>
      <c r="Y22" s="1061"/>
      <c r="Z22" s="565" t="str">
        <f t="shared" si="3"/>
        <v/>
      </c>
      <c r="AA22" s="565"/>
      <c r="AB22" s="565" t="str">
        <f t="shared" si="13"/>
        <v/>
      </c>
      <c r="AC22" s="5">
        <v>17</v>
      </c>
      <c r="AD22" s="1061" t="str">
        <f t="shared" si="4"/>
        <v/>
      </c>
      <c r="AE22" s="1061"/>
      <c r="AF22" s="1061"/>
      <c r="AG22" s="1061"/>
      <c r="AH22" s="1061"/>
      <c r="AI22" s="565" t="s">
        <v>3034</v>
      </c>
      <c r="AJ22" s="565"/>
      <c r="AK22" s="565" t="str">
        <f t="shared" si="14"/>
        <v/>
      </c>
      <c r="AL22" s="5">
        <v>17</v>
      </c>
      <c r="AM22" s="1061" t="str">
        <f t="shared" si="5"/>
        <v/>
      </c>
      <c r="AN22" s="1061"/>
      <c r="AO22" s="1061"/>
      <c r="AP22" s="1061"/>
      <c r="AQ22" s="1061"/>
      <c r="AR22" s="565"/>
      <c r="AS22" s="565"/>
      <c r="AT22" s="565" t="str">
        <f t="shared" si="15"/>
        <v/>
      </c>
      <c r="AU22" s="5">
        <v>17</v>
      </c>
      <c r="AV22" s="1061" t="str">
        <f t="shared" si="6"/>
        <v/>
      </c>
      <c r="AW22" s="1061"/>
      <c r="AX22" s="1061"/>
      <c r="AY22" s="1061"/>
      <c r="AZ22" s="1061"/>
      <c r="BA22" s="565"/>
      <c r="BB22" s="565"/>
      <c r="BC22" s="565" t="str">
        <f t="shared" si="16"/>
        <v/>
      </c>
      <c r="BD22" s="5">
        <v>17</v>
      </c>
      <c r="BE22" s="1061" t="str">
        <f t="shared" si="7"/>
        <v/>
      </c>
      <c r="BF22" s="1061"/>
      <c r="BG22" s="1061"/>
      <c r="BH22" s="1061"/>
      <c r="BI22" s="1061"/>
      <c r="BJ22" s="565"/>
      <c r="BK22" s="565"/>
      <c r="BL22" s="565" t="str">
        <f t="shared" si="17"/>
        <v/>
      </c>
      <c r="BM22" s="5">
        <v>17</v>
      </c>
      <c r="BN22" s="1061" t="str">
        <f t="shared" si="8"/>
        <v/>
      </c>
      <c r="BO22" s="1061"/>
      <c r="BP22" s="1061"/>
      <c r="BQ22" s="1061"/>
      <c r="BR22" s="1061"/>
      <c r="BS22" s="565"/>
      <c r="BT22" s="565"/>
      <c r="BU22" s="565" t="str">
        <f t="shared" si="18"/>
        <v/>
      </c>
      <c r="BV22" s="5">
        <v>17</v>
      </c>
      <c r="BW22" s="1061" t="str">
        <f t="shared" si="9"/>
        <v/>
      </c>
      <c r="BX22" s="1061"/>
      <c r="BY22" s="1061"/>
      <c r="BZ22" s="1061"/>
      <c r="CA22" s="1061"/>
      <c r="CB22" s="565"/>
      <c r="CC22" s="565" t="str">
        <f t="shared" si="19"/>
        <v/>
      </c>
      <c r="CD22" s="565"/>
      <c r="CE22" s="565"/>
      <c r="CF22" s="565"/>
      <c r="CG22" s="565"/>
      <c r="CH22" s="565"/>
      <c r="CI22" s="565">
        <v>17</v>
      </c>
      <c r="CJ22" s="565">
        <f>Character_Creation!C357</f>
        <v>0</v>
      </c>
      <c r="CK22" s="565" t="str">
        <f>IFERROR(INDEX(T08_Spells!$C$3:$C$1000,MATCH(S01_Bard!$CJ22,T08_Spells!$B$3:$B$1000,0),1),"")</f>
        <v/>
      </c>
      <c r="CL22" s="565">
        <f t="shared" si="20"/>
        <v>0</v>
      </c>
      <c r="CM22" s="565">
        <f>IF(CL22=0,0,1+COUNTIF(CM$6:CM21,"&gt;0"))</f>
        <v>0</v>
      </c>
      <c r="CN22" s="565">
        <f t="shared" si="21"/>
        <v>0</v>
      </c>
      <c r="CO22" s="565">
        <f>IF(CN22=0,0,1+COUNTIF(CO$6:CO21,"&gt;0"))</f>
        <v>0</v>
      </c>
      <c r="CP22" s="565">
        <f t="shared" si="22"/>
        <v>0</v>
      </c>
      <c r="CQ22" s="565">
        <f>IF(CP22=0,0,1+COUNTIF(CQ$6:CQ21,"&gt;0"))</f>
        <v>0</v>
      </c>
      <c r="CR22" s="565">
        <f t="shared" si="23"/>
        <v>0</v>
      </c>
      <c r="CS22" s="565">
        <f>IF(CR22=0,0,1+COUNTIF(CS$6:CS21,"&gt;0"))</f>
        <v>0</v>
      </c>
      <c r="CT22" s="565">
        <f t="shared" si="24"/>
        <v>0</v>
      </c>
      <c r="CU22" s="565">
        <f>IF(CT22=0,0,1+COUNTIF(CU$6:CU21,"&gt;0"))</f>
        <v>0</v>
      </c>
      <c r="CV22" s="565">
        <f t="shared" si="25"/>
        <v>0</v>
      </c>
      <c r="CW22" s="565">
        <f>IF(CV22=0,0,1+COUNTIF(CW$6:CW21,"&gt;0"))</f>
        <v>0</v>
      </c>
      <c r="CX22" s="565">
        <f t="shared" si="26"/>
        <v>0</v>
      </c>
      <c r="CY22" s="565">
        <f>IF(CX22=0,0,1+COUNTIF(CY$6:CY21,"&gt;0"))</f>
        <v>0</v>
      </c>
      <c r="CZ22" s="565">
        <f t="shared" si="27"/>
        <v>0</v>
      </c>
      <c r="DA22" s="565">
        <f>IF(CZ22=0,0,1+COUNTIF(DA$6:DA21,"&gt;0"))</f>
        <v>0</v>
      </c>
      <c r="DB22" s="565">
        <f t="shared" si="28"/>
        <v>0</v>
      </c>
      <c r="DC22" s="565">
        <f>IF(DB22=0,0,1+COUNTIF(DC$6:DC21,"&gt;0"))</f>
        <v>0</v>
      </c>
      <c r="DD22" s="565"/>
      <c r="DE22" s="565"/>
      <c r="DF22" s="565"/>
    </row>
    <row r="23" spans="1:110" x14ac:dyDescent="0.25">
      <c r="A23" s="120"/>
      <c r="B23" s="5">
        <v>18</v>
      </c>
      <c r="C23" s="1061" t="str">
        <f t="shared" si="0"/>
        <v/>
      </c>
      <c r="D23" s="1061"/>
      <c r="E23" s="1061"/>
      <c r="F23" s="1061"/>
      <c r="G23" s="1061"/>
      <c r="H23" s="565"/>
      <c r="I23" s="565" t="str">
        <f t="shared" si="11"/>
        <v/>
      </c>
      <c r="J23" s="565"/>
      <c r="K23" s="5">
        <v>18</v>
      </c>
      <c r="L23" s="1061" t="str">
        <f t="shared" si="1"/>
        <v/>
      </c>
      <c r="M23" s="1061"/>
      <c r="N23" s="1061"/>
      <c r="O23" s="1061"/>
      <c r="P23" s="1061"/>
      <c r="Q23" s="565"/>
      <c r="R23" s="565"/>
      <c r="S23" s="565" t="str">
        <f t="shared" si="12"/>
        <v/>
      </c>
      <c r="T23" s="5">
        <v>18</v>
      </c>
      <c r="U23" s="1061" t="str">
        <f t="shared" si="2"/>
        <v/>
      </c>
      <c r="V23" s="1061"/>
      <c r="W23" s="1061"/>
      <c r="X23" s="1061"/>
      <c r="Y23" s="1061"/>
      <c r="Z23" s="565" t="str">
        <f t="shared" si="3"/>
        <v/>
      </c>
      <c r="AA23" s="565"/>
      <c r="AB23" s="565" t="str">
        <f t="shared" si="13"/>
        <v/>
      </c>
      <c r="AC23" s="5">
        <v>18</v>
      </c>
      <c r="AD23" s="1061" t="str">
        <f t="shared" si="4"/>
        <v/>
      </c>
      <c r="AE23" s="1061"/>
      <c r="AF23" s="1061"/>
      <c r="AG23" s="1061"/>
      <c r="AH23" s="1061"/>
      <c r="AI23" s="565" t="s">
        <v>3034</v>
      </c>
      <c r="AJ23" s="565"/>
      <c r="AK23" s="565" t="str">
        <f t="shared" si="14"/>
        <v/>
      </c>
      <c r="AL23" s="5">
        <v>18</v>
      </c>
      <c r="AM23" s="1061" t="str">
        <f t="shared" si="5"/>
        <v/>
      </c>
      <c r="AN23" s="1061"/>
      <c r="AO23" s="1061"/>
      <c r="AP23" s="1061"/>
      <c r="AQ23" s="1061"/>
      <c r="AR23" s="565"/>
      <c r="AS23" s="565"/>
      <c r="AT23" s="565" t="str">
        <f t="shared" si="15"/>
        <v/>
      </c>
      <c r="AU23" s="5">
        <v>18</v>
      </c>
      <c r="AV23" s="1061" t="str">
        <f t="shared" si="6"/>
        <v/>
      </c>
      <c r="AW23" s="1061"/>
      <c r="AX23" s="1061"/>
      <c r="AY23" s="1061"/>
      <c r="AZ23" s="1061"/>
      <c r="BA23" s="565"/>
      <c r="BB23" s="565"/>
      <c r="BC23" s="565" t="str">
        <f t="shared" si="16"/>
        <v/>
      </c>
      <c r="BD23" s="5">
        <v>18</v>
      </c>
      <c r="BE23" s="1061" t="str">
        <f t="shared" si="7"/>
        <v/>
      </c>
      <c r="BF23" s="1061"/>
      <c r="BG23" s="1061"/>
      <c r="BH23" s="1061"/>
      <c r="BI23" s="1061"/>
      <c r="BJ23" s="565"/>
      <c r="BK23" s="565"/>
      <c r="BL23" s="565" t="str">
        <f t="shared" si="17"/>
        <v/>
      </c>
      <c r="BM23" s="5">
        <v>18</v>
      </c>
      <c r="BN23" s="1061" t="str">
        <f t="shared" si="8"/>
        <v/>
      </c>
      <c r="BO23" s="1061"/>
      <c r="BP23" s="1061"/>
      <c r="BQ23" s="1061"/>
      <c r="BR23" s="1061"/>
      <c r="BS23" s="565"/>
      <c r="BT23" s="565"/>
      <c r="BU23" s="565" t="str">
        <f t="shared" si="18"/>
        <v/>
      </c>
      <c r="BV23" s="5">
        <v>18</v>
      </c>
      <c r="BW23" s="1061" t="str">
        <f t="shared" si="9"/>
        <v/>
      </c>
      <c r="BX23" s="1061"/>
      <c r="BY23" s="1061"/>
      <c r="BZ23" s="1061"/>
      <c r="CA23" s="1061"/>
      <c r="CB23" s="565"/>
      <c r="CC23" s="565" t="str">
        <f t="shared" si="19"/>
        <v/>
      </c>
      <c r="CD23" s="565"/>
      <c r="CE23" s="565"/>
      <c r="CF23" s="565"/>
      <c r="CG23" s="565"/>
      <c r="CH23" s="565"/>
      <c r="CI23" s="565">
        <v>18</v>
      </c>
      <c r="CJ23" s="565">
        <f>Character_Creation!C358</f>
        <v>0</v>
      </c>
      <c r="CK23" s="565" t="str">
        <f>IFERROR(INDEX(T08_Spells!$C$3:$C$1000,MATCH(S01_Bard!$CJ23,T08_Spells!$B$3:$B$1000,0),1),"")</f>
        <v/>
      </c>
      <c r="CL23" s="565">
        <f t="shared" si="20"/>
        <v>0</v>
      </c>
      <c r="CM23" s="565">
        <f>IF(CL23=0,0,1+COUNTIF(CM$6:CM22,"&gt;0"))</f>
        <v>0</v>
      </c>
      <c r="CN23" s="565">
        <f t="shared" si="21"/>
        <v>0</v>
      </c>
      <c r="CO23" s="565">
        <f>IF(CN23=0,0,1+COUNTIF(CO$6:CO22,"&gt;0"))</f>
        <v>0</v>
      </c>
      <c r="CP23" s="565">
        <f t="shared" si="22"/>
        <v>0</v>
      </c>
      <c r="CQ23" s="565">
        <f>IF(CP23=0,0,1+COUNTIF(CQ$6:CQ22,"&gt;0"))</f>
        <v>0</v>
      </c>
      <c r="CR23" s="565">
        <f t="shared" si="23"/>
        <v>0</v>
      </c>
      <c r="CS23" s="565">
        <f>IF(CR23=0,0,1+COUNTIF(CS$6:CS22,"&gt;0"))</f>
        <v>0</v>
      </c>
      <c r="CT23" s="565">
        <f t="shared" si="24"/>
        <v>0</v>
      </c>
      <c r="CU23" s="565">
        <f>IF(CT23=0,0,1+COUNTIF(CU$6:CU22,"&gt;0"))</f>
        <v>0</v>
      </c>
      <c r="CV23" s="565">
        <f t="shared" si="25"/>
        <v>0</v>
      </c>
      <c r="CW23" s="565">
        <f>IF(CV23=0,0,1+COUNTIF(CW$6:CW22,"&gt;0"))</f>
        <v>0</v>
      </c>
      <c r="CX23" s="565">
        <f t="shared" si="26"/>
        <v>0</v>
      </c>
      <c r="CY23" s="565">
        <f>IF(CX23=0,0,1+COUNTIF(CY$6:CY22,"&gt;0"))</f>
        <v>0</v>
      </c>
      <c r="CZ23" s="565">
        <f t="shared" si="27"/>
        <v>0</v>
      </c>
      <c r="DA23" s="565">
        <f>IF(CZ23=0,0,1+COUNTIF(DA$6:DA22,"&gt;0"))</f>
        <v>0</v>
      </c>
      <c r="DB23" s="565">
        <f t="shared" si="28"/>
        <v>0</v>
      </c>
      <c r="DC23" s="565">
        <f>IF(DB23=0,0,1+COUNTIF(DC$6:DC22,"&gt;0"))</f>
        <v>0</v>
      </c>
      <c r="DD23" s="565"/>
      <c r="DE23" s="565"/>
      <c r="DF23" s="565"/>
    </row>
    <row r="24" spans="1:110" x14ac:dyDescent="0.25">
      <c r="A24" s="120"/>
      <c r="B24" s="5">
        <v>19</v>
      </c>
      <c r="C24" s="1061" t="str">
        <f t="shared" si="0"/>
        <v/>
      </c>
      <c r="D24" s="1061"/>
      <c r="E24" s="1061"/>
      <c r="F24" s="1061"/>
      <c r="G24" s="1061"/>
      <c r="H24" s="565"/>
      <c r="I24" s="565" t="str">
        <f t="shared" si="11"/>
        <v/>
      </c>
      <c r="J24" s="565"/>
      <c r="K24" s="5">
        <v>19</v>
      </c>
      <c r="L24" s="1061" t="str">
        <f t="shared" si="1"/>
        <v/>
      </c>
      <c r="M24" s="1061"/>
      <c r="N24" s="1061"/>
      <c r="O24" s="1061"/>
      <c r="P24" s="1061"/>
      <c r="Q24" s="565"/>
      <c r="R24" s="565"/>
      <c r="S24" s="565" t="str">
        <f t="shared" si="12"/>
        <v/>
      </c>
      <c r="T24" s="5">
        <v>19</v>
      </c>
      <c r="U24" s="1061" t="str">
        <f t="shared" si="2"/>
        <v/>
      </c>
      <c r="V24" s="1061"/>
      <c r="W24" s="1061"/>
      <c r="X24" s="1061"/>
      <c r="Y24" s="1061"/>
      <c r="Z24" s="565" t="str">
        <f t="shared" si="3"/>
        <v/>
      </c>
      <c r="AA24" s="565"/>
      <c r="AB24" s="565" t="str">
        <f t="shared" si="13"/>
        <v/>
      </c>
      <c r="AC24" s="5">
        <v>19</v>
      </c>
      <c r="AD24" s="1061" t="str">
        <f t="shared" si="4"/>
        <v/>
      </c>
      <c r="AE24" s="1061"/>
      <c r="AF24" s="1061"/>
      <c r="AG24" s="1061"/>
      <c r="AH24" s="1061"/>
      <c r="AI24" s="565" t="s">
        <v>3034</v>
      </c>
      <c r="AJ24" s="565"/>
      <c r="AK24" s="565" t="str">
        <f t="shared" si="14"/>
        <v/>
      </c>
      <c r="AL24" s="5">
        <v>19</v>
      </c>
      <c r="AM24" s="1061" t="str">
        <f t="shared" si="5"/>
        <v/>
      </c>
      <c r="AN24" s="1061"/>
      <c r="AO24" s="1061"/>
      <c r="AP24" s="1061"/>
      <c r="AQ24" s="1061"/>
      <c r="AR24" s="565"/>
      <c r="AS24" s="565"/>
      <c r="AT24" s="565" t="str">
        <f t="shared" si="15"/>
        <v/>
      </c>
      <c r="AU24" s="5">
        <v>19</v>
      </c>
      <c r="AV24" s="1061" t="str">
        <f t="shared" si="6"/>
        <v/>
      </c>
      <c r="AW24" s="1061"/>
      <c r="AX24" s="1061"/>
      <c r="AY24" s="1061"/>
      <c r="AZ24" s="1061"/>
      <c r="BA24" s="565"/>
      <c r="BB24" s="565"/>
      <c r="BC24" s="565" t="str">
        <f t="shared" si="16"/>
        <v/>
      </c>
      <c r="BD24" s="5">
        <v>19</v>
      </c>
      <c r="BE24" s="1061" t="str">
        <f t="shared" si="7"/>
        <v/>
      </c>
      <c r="BF24" s="1061"/>
      <c r="BG24" s="1061"/>
      <c r="BH24" s="1061"/>
      <c r="BI24" s="1061"/>
      <c r="BJ24" s="565"/>
      <c r="BK24" s="565"/>
      <c r="BL24" s="565" t="str">
        <f t="shared" si="17"/>
        <v/>
      </c>
      <c r="BM24" s="5">
        <v>19</v>
      </c>
      <c r="BN24" s="1061" t="str">
        <f t="shared" si="8"/>
        <v/>
      </c>
      <c r="BO24" s="1061"/>
      <c r="BP24" s="1061"/>
      <c r="BQ24" s="1061"/>
      <c r="BR24" s="1061"/>
      <c r="BS24" s="565"/>
      <c r="BT24" s="565"/>
      <c r="BU24" s="565" t="str">
        <f t="shared" si="18"/>
        <v/>
      </c>
      <c r="BV24" s="5">
        <v>19</v>
      </c>
      <c r="BW24" s="1061" t="str">
        <f t="shared" si="9"/>
        <v/>
      </c>
      <c r="BX24" s="1061"/>
      <c r="BY24" s="1061"/>
      <c r="BZ24" s="1061"/>
      <c r="CA24" s="1061"/>
      <c r="CB24" s="565"/>
      <c r="CC24" s="565" t="str">
        <f t="shared" si="19"/>
        <v/>
      </c>
      <c r="CD24" s="565"/>
      <c r="CE24" s="565"/>
      <c r="CF24" s="565"/>
      <c r="CG24" s="565"/>
      <c r="CH24" s="565"/>
      <c r="CI24" s="565">
        <v>19</v>
      </c>
      <c r="CJ24" s="565">
        <f>Character_Creation!C359</f>
        <v>0</v>
      </c>
      <c r="CK24" s="565" t="str">
        <f>IFERROR(INDEX(T08_Spells!$C$3:$C$1000,MATCH(S01_Bard!$CJ24,T08_Spells!$B$3:$B$1000,0),1),"")</f>
        <v/>
      </c>
      <c r="CL24" s="565">
        <f t="shared" si="20"/>
        <v>0</v>
      </c>
      <c r="CM24" s="565">
        <f>IF(CL24=0,0,1+COUNTIF(CM$6:CM23,"&gt;0"))</f>
        <v>0</v>
      </c>
      <c r="CN24" s="565">
        <f t="shared" si="21"/>
        <v>0</v>
      </c>
      <c r="CO24" s="565">
        <f>IF(CN24=0,0,1+COUNTIF(CO$6:CO23,"&gt;0"))</f>
        <v>0</v>
      </c>
      <c r="CP24" s="565">
        <f t="shared" si="22"/>
        <v>0</v>
      </c>
      <c r="CQ24" s="565">
        <f>IF(CP24=0,0,1+COUNTIF(CQ$6:CQ23,"&gt;0"))</f>
        <v>0</v>
      </c>
      <c r="CR24" s="565">
        <f t="shared" si="23"/>
        <v>0</v>
      </c>
      <c r="CS24" s="565">
        <f>IF(CR24=0,0,1+COUNTIF(CS$6:CS23,"&gt;0"))</f>
        <v>0</v>
      </c>
      <c r="CT24" s="565">
        <f t="shared" si="24"/>
        <v>0</v>
      </c>
      <c r="CU24" s="565">
        <f>IF(CT24=0,0,1+COUNTIF(CU$6:CU23,"&gt;0"))</f>
        <v>0</v>
      </c>
      <c r="CV24" s="565">
        <f t="shared" si="25"/>
        <v>0</v>
      </c>
      <c r="CW24" s="565">
        <f>IF(CV24=0,0,1+COUNTIF(CW$6:CW23,"&gt;0"))</f>
        <v>0</v>
      </c>
      <c r="CX24" s="565">
        <f t="shared" si="26"/>
        <v>0</v>
      </c>
      <c r="CY24" s="565">
        <f>IF(CX24=0,0,1+COUNTIF(CY$6:CY23,"&gt;0"))</f>
        <v>0</v>
      </c>
      <c r="CZ24" s="565">
        <f t="shared" si="27"/>
        <v>0</v>
      </c>
      <c r="DA24" s="565">
        <f>IF(CZ24=0,0,1+COUNTIF(DA$6:DA23,"&gt;0"))</f>
        <v>0</v>
      </c>
      <c r="DB24" s="565">
        <f t="shared" si="28"/>
        <v>0</v>
      </c>
      <c r="DC24" s="565">
        <f>IF(DB24=0,0,1+COUNTIF(DC$6:DC23,"&gt;0"))</f>
        <v>0</v>
      </c>
      <c r="DD24" s="565"/>
      <c r="DE24" s="565"/>
      <c r="DF24" s="565"/>
    </row>
    <row r="25" spans="1:110" x14ac:dyDescent="0.25">
      <c r="A25" s="120"/>
      <c r="B25" s="5">
        <v>20</v>
      </c>
      <c r="C25" s="1061" t="str">
        <f t="shared" si="0"/>
        <v/>
      </c>
      <c r="D25" s="1061"/>
      <c r="E25" s="1061"/>
      <c r="F25" s="1061"/>
      <c r="G25" s="1061"/>
      <c r="H25" s="565"/>
      <c r="I25" s="565" t="str">
        <f t="shared" si="11"/>
        <v/>
      </c>
      <c r="J25" s="565"/>
      <c r="K25" s="5">
        <v>20</v>
      </c>
      <c r="L25" s="1061" t="str">
        <f t="shared" si="1"/>
        <v/>
      </c>
      <c r="M25" s="1061"/>
      <c r="N25" s="1061"/>
      <c r="O25" s="1061"/>
      <c r="P25" s="1061"/>
      <c r="Q25" s="565"/>
      <c r="R25" s="565"/>
      <c r="S25" s="565" t="str">
        <f t="shared" si="12"/>
        <v/>
      </c>
      <c r="T25" s="5">
        <v>20</v>
      </c>
      <c r="U25" s="1061" t="str">
        <f t="shared" si="2"/>
        <v/>
      </c>
      <c r="V25" s="1061"/>
      <c r="W25" s="1061"/>
      <c r="X25" s="1061"/>
      <c r="Y25" s="1061"/>
      <c r="Z25" s="565" t="str">
        <f t="shared" si="3"/>
        <v/>
      </c>
      <c r="AA25" s="565"/>
      <c r="AB25" s="565" t="str">
        <f t="shared" si="13"/>
        <v/>
      </c>
      <c r="AC25" s="5">
        <v>20</v>
      </c>
      <c r="AD25" s="1061" t="str">
        <f t="shared" si="4"/>
        <v/>
      </c>
      <c r="AE25" s="1061"/>
      <c r="AF25" s="1061"/>
      <c r="AG25" s="1061"/>
      <c r="AH25" s="1061"/>
      <c r="AI25" s="565" t="s">
        <v>3034</v>
      </c>
      <c r="AJ25" s="565"/>
      <c r="AK25" s="565" t="str">
        <f t="shared" si="14"/>
        <v/>
      </c>
      <c r="AL25" s="5">
        <v>20</v>
      </c>
      <c r="AM25" s="1061" t="str">
        <f t="shared" si="5"/>
        <v/>
      </c>
      <c r="AN25" s="1061"/>
      <c r="AO25" s="1061"/>
      <c r="AP25" s="1061"/>
      <c r="AQ25" s="1061"/>
      <c r="AR25" s="565"/>
      <c r="AS25" s="565"/>
      <c r="AT25" s="565" t="str">
        <f t="shared" si="15"/>
        <v/>
      </c>
      <c r="AU25" s="5">
        <v>20</v>
      </c>
      <c r="AV25" s="1061" t="str">
        <f t="shared" si="6"/>
        <v/>
      </c>
      <c r="AW25" s="1061"/>
      <c r="AX25" s="1061"/>
      <c r="AY25" s="1061"/>
      <c r="AZ25" s="1061"/>
      <c r="BA25" s="565"/>
      <c r="BB25" s="565"/>
      <c r="BC25" s="565" t="str">
        <f t="shared" si="16"/>
        <v/>
      </c>
      <c r="BD25" s="5">
        <v>20</v>
      </c>
      <c r="BE25" s="1061" t="str">
        <f t="shared" si="7"/>
        <v/>
      </c>
      <c r="BF25" s="1061"/>
      <c r="BG25" s="1061"/>
      <c r="BH25" s="1061"/>
      <c r="BI25" s="1061"/>
      <c r="BJ25" s="565"/>
      <c r="BK25" s="565"/>
      <c r="BL25" s="565" t="str">
        <f t="shared" si="17"/>
        <v/>
      </c>
      <c r="BM25" s="5">
        <v>20</v>
      </c>
      <c r="BN25" s="1061" t="str">
        <f t="shared" si="8"/>
        <v/>
      </c>
      <c r="BO25" s="1061"/>
      <c r="BP25" s="1061"/>
      <c r="BQ25" s="1061"/>
      <c r="BR25" s="1061"/>
      <c r="BS25" s="565"/>
      <c r="BT25" s="565"/>
      <c r="BU25" s="565" t="str">
        <f t="shared" si="18"/>
        <v/>
      </c>
      <c r="BV25" s="5">
        <v>20</v>
      </c>
      <c r="BW25" s="1061" t="str">
        <f t="shared" si="9"/>
        <v/>
      </c>
      <c r="BX25" s="1061"/>
      <c r="BY25" s="1061"/>
      <c r="BZ25" s="1061"/>
      <c r="CA25" s="1061"/>
      <c r="CB25" s="565"/>
      <c r="CC25" s="565" t="str">
        <f t="shared" si="19"/>
        <v/>
      </c>
      <c r="CD25" s="565"/>
      <c r="CE25" s="565"/>
      <c r="CF25" s="565"/>
      <c r="CG25" s="565"/>
      <c r="CH25" s="565"/>
      <c r="CI25" s="565">
        <v>20</v>
      </c>
      <c r="CJ25" s="565">
        <f>Character_Creation!C360</f>
        <v>0</v>
      </c>
      <c r="CK25" s="565" t="str">
        <f>IFERROR(INDEX(T08_Spells!$C$3:$C$1000,MATCH(S01_Bard!$CJ25,T08_Spells!$B$3:$B$1000,0),1),"")</f>
        <v/>
      </c>
      <c r="CL25" s="565">
        <f t="shared" si="20"/>
        <v>0</v>
      </c>
      <c r="CM25" s="565">
        <f>IF(CL25=0,0,1+COUNTIF(CM$6:CM24,"&gt;0"))</f>
        <v>0</v>
      </c>
      <c r="CN25" s="565">
        <f t="shared" si="21"/>
        <v>0</v>
      </c>
      <c r="CO25" s="565">
        <f>IF(CN25=0,0,1+COUNTIF(CO$6:CO24,"&gt;0"))</f>
        <v>0</v>
      </c>
      <c r="CP25" s="565">
        <f t="shared" si="22"/>
        <v>0</v>
      </c>
      <c r="CQ25" s="565">
        <f>IF(CP25=0,0,1+COUNTIF(CQ$6:CQ24,"&gt;0"))</f>
        <v>0</v>
      </c>
      <c r="CR25" s="565">
        <f t="shared" si="23"/>
        <v>0</v>
      </c>
      <c r="CS25" s="565">
        <f>IF(CR25=0,0,1+COUNTIF(CS$6:CS24,"&gt;0"))</f>
        <v>0</v>
      </c>
      <c r="CT25" s="565">
        <f t="shared" si="24"/>
        <v>0</v>
      </c>
      <c r="CU25" s="565">
        <f>IF(CT25=0,0,1+COUNTIF(CU$6:CU24,"&gt;0"))</f>
        <v>0</v>
      </c>
      <c r="CV25" s="565">
        <f t="shared" si="25"/>
        <v>0</v>
      </c>
      <c r="CW25" s="565">
        <f>IF(CV25=0,0,1+COUNTIF(CW$6:CW24,"&gt;0"))</f>
        <v>0</v>
      </c>
      <c r="CX25" s="565">
        <f t="shared" si="26"/>
        <v>0</v>
      </c>
      <c r="CY25" s="565">
        <f>IF(CX25=0,0,1+COUNTIF(CY$6:CY24,"&gt;0"))</f>
        <v>0</v>
      </c>
      <c r="CZ25" s="565">
        <f t="shared" si="27"/>
        <v>0</v>
      </c>
      <c r="DA25" s="565">
        <f>IF(CZ25=0,0,1+COUNTIF(DA$6:DA24,"&gt;0"))</f>
        <v>0</v>
      </c>
      <c r="DB25" s="565">
        <f t="shared" si="28"/>
        <v>0</v>
      </c>
      <c r="DC25" s="565">
        <f>IF(DB25=0,0,1+COUNTIF(DC$6:DC24,"&gt;0"))</f>
        <v>0</v>
      </c>
      <c r="DD25" s="565"/>
      <c r="DE25" s="565"/>
      <c r="DF25" s="565"/>
    </row>
    <row r="26" spans="1:110" x14ac:dyDescent="0.25">
      <c r="A26" s="120"/>
      <c r="B26" s="5">
        <v>21</v>
      </c>
      <c r="C26" s="1061" t="str">
        <f t="shared" si="0"/>
        <v/>
      </c>
      <c r="D26" s="1061"/>
      <c r="E26" s="1061"/>
      <c r="F26" s="1061"/>
      <c r="G26" s="1061"/>
      <c r="H26" s="565"/>
      <c r="I26" s="565" t="str">
        <f t="shared" si="11"/>
        <v/>
      </c>
      <c r="J26" s="565"/>
      <c r="K26" s="5">
        <v>21</v>
      </c>
      <c r="L26" s="1061" t="str">
        <f t="shared" si="1"/>
        <v/>
      </c>
      <c r="M26" s="1061"/>
      <c r="N26" s="1061"/>
      <c r="O26" s="1061"/>
      <c r="P26" s="1061"/>
      <c r="Q26" s="565"/>
      <c r="R26" s="565"/>
      <c r="S26" s="565" t="str">
        <f t="shared" si="12"/>
        <v/>
      </c>
      <c r="T26" s="5">
        <v>21</v>
      </c>
      <c r="U26" s="1061" t="str">
        <f t="shared" si="2"/>
        <v/>
      </c>
      <c r="V26" s="1061"/>
      <c r="W26" s="1061"/>
      <c r="X26" s="1061"/>
      <c r="Y26" s="1061"/>
      <c r="Z26" s="565" t="str">
        <f t="shared" si="3"/>
        <v/>
      </c>
      <c r="AA26" s="565"/>
      <c r="AB26" s="565" t="str">
        <f t="shared" si="13"/>
        <v/>
      </c>
      <c r="AC26" s="5">
        <v>21</v>
      </c>
      <c r="AD26" s="1061" t="str">
        <f t="shared" si="4"/>
        <v/>
      </c>
      <c r="AE26" s="1061"/>
      <c r="AF26" s="1061"/>
      <c r="AG26" s="1061"/>
      <c r="AH26" s="1061"/>
      <c r="AI26" s="565" t="s">
        <v>3034</v>
      </c>
      <c r="AJ26" s="565"/>
      <c r="AK26" s="565" t="str">
        <f t="shared" si="14"/>
        <v/>
      </c>
      <c r="AL26" s="5">
        <v>21</v>
      </c>
      <c r="AM26" s="1061" t="str">
        <f t="shared" si="5"/>
        <v/>
      </c>
      <c r="AN26" s="1061"/>
      <c r="AO26" s="1061"/>
      <c r="AP26" s="1061"/>
      <c r="AQ26" s="1061"/>
      <c r="AR26" s="565"/>
      <c r="AS26" s="565"/>
      <c r="AT26" s="565" t="str">
        <f t="shared" si="15"/>
        <v/>
      </c>
      <c r="AU26" s="5">
        <v>21</v>
      </c>
      <c r="AV26" s="1061" t="str">
        <f t="shared" si="6"/>
        <v/>
      </c>
      <c r="AW26" s="1061"/>
      <c r="AX26" s="1061"/>
      <c r="AY26" s="1061"/>
      <c r="AZ26" s="1061"/>
      <c r="BA26" s="565"/>
      <c r="BB26" s="565"/>
      <c r="BC26" s="565" t="str">
        <f t="shared" si="16"/>
        <v/>
      </c>
      <c r="BD26" s="5">
        <v>21</v>
      </c>
      <c r="BE26" s="1061" t="str">
        <f t="shared" si="7"/>
        <v/>
      </c>
      <c r="BF26" s="1061"/>
      <c r="BG26" s="1061"/>
      <c r="BH26" s="1061"/>
      <c r="BI26" s="1061"/>
      <c r="BJ26" s="565"/>
      <c r="BK26" s="565"/>
      <c r="BL26" s="565" t="str">
        <f t="shared" si="17"/>
        <v/>
      </c>
      <c r="BM26" s="5">
        <v>21</v>
      </c>
      <c r="BN26" s="1061" t="str">
        <f t="shared" si="8"/>
        <v/>
      </c>
      <c r="BO26" s="1061"/>
      <c r="BP26" s="1061"/>
      <c r="BQ26" s="1061"/>
      <c r="BR26" s="1061"/>
      <c r="BS26" s="565"/>
      <c r="BT26" s="565"/>
      <c r="BU26" s="565" t="str">
        <f t="shared" si="18"/>
        <v/>
      </c>
      <c r="BV26" s="5">
        <v>21</v>
      </c>
      <c r="BW26" s="1061" t="str">
        <f t="shared" si="9"/>
        <v/>
      </c>
      <c r="BX26" s="1061"/>
      <c r="BY26" s="1061"/>
      <c r="BZ26" s="1061"/>
      <c r="CA26" s="1061"/>
      <c r="CB26" s="565"/>
      <c r="CC26" s="565" t="str">
        <f t="shared" si="19"/>
        <v/>
      </c>
      <c r="CD26" s="565"/>
      <c r="CE26" s="565"/>
      <c r="CF26" s="565"/>
      <c r="CG26" s="565"/>
      <c r="CH26" s="565"/>
      <c r="CI26" s="565">
        <v>21</v>
      </c>
      <c r="CJ26" s="565">
        <f>Character_Creation!C361</f>
        <v>0</v>
      </c>
      <c r="CK26" s="565" t="str">
        <f>IFERROR(INDEX(T08_Spells!$C$3:$C$1000,MATCH(S01_Bard!$CJ26,T08_Spells!$B$3:$B$1000,0),1),"")</f>
        <v/>
      </c>
      <c r="CL26" s="565">
        <f t="shared" si="20"/>
        <v>0</v>
      </c>
      <c r="CM26" s="565">
        <f>IF(CL26=0,0,1+COUNTIF(CM$6:CM25,"&gt;0"))</f>
        <v>0</v>
      </c>
      <c r="CN26" s="565">
        <f t="shared" si="21"/>
        <v>0</v>
      </c>
      <c r="CO26" s="565">
        <f>IF(CN26=0,0,1+COUNTIF(CO$6:CO25,"&gt;0"))</f>
        <v>0</v>
      </c>
      <c r="CP26" s="565">
        <f t="shared" si="22"/>
        <v>0</v>
      </c>
      <c r="CQ26" s="565">
        <f>IF(CP26=0,0,1+COUNTIF(CQ$6:CQ25,"&gt;0"))</f>
        <v>0</v>
      </c>
      <c r="CR26" s="565">
        <f t="shared" si="23"/>
        <v>0</v>
      </c>
      <c r="CS26" s="565">
        <f>IF(CR26=0,0,1+COUNTIF(CS$6:CS25,"&gt;0"))</f>
        <v>0</v>
      </c>
      <c r="CT26" s="565">
        <f t="shared" si="24"/>
        <v>0</v>
      </c>
      <c r="CU26" s="565">
        <f>IF(CT26=0,0,1+COUNTIF(CU$6:CU25,"&gt;0"))</f>
        <v>0</v>
      </c>
      <c r="CV26" s="565">
        <f t="shared" si="25"/>
        <v>0</v>
      </c>
      <c r="CW26" s="565">
        <f>IF(CV26=0,0,1+COUNTIF(CW$6:CW25,"&gt;0"))</f>
        <v>0</v>
      </c>
      <c r="CX26" s="565">
        <f t="shared" si="26"/>
        <v>0</v>
      </c>
      <c r="CY26" s="565">
        <f>IF(CX26=0,0,1+COUNTIF(CY$6:CY25,"&gt;0"))</f>
        <v>0</v>
      </c>
      <c r="CZ26" s="565">
        <f t="shared" si="27"/>
        <v>0</v>
      </c>
      <c r="DA26" s="565">
        <f>IF(CZ26=0,0,1+COUNTIF(DA$6:DA25,"&gt;0"))</f>
        <v>0</v>
      </c>
      <c r="DB26" s="565">
        <f t="shared" si="28"/>
        <v>0</v>
      </c>
      <c r="DC26" s="565">
        <f>IF(DB26=0,0,1+COUNTIF(DC$6:DC25,"&gt;0"))</f>
        <v>0</v>
      </c>
      <c r="DD26" s="565"/>
      <c r="DE26" s="565"/>
      <c r="DF26" s="565"/>
    </row>
    <row r="27" spans="1:110" x14ac:dyDescent="0.25">
      <c r="A27" s="120"/>
      <c r="B27" s="5">
        <v>22</v>
      </c>
      <c r="C27" s="1061" t="str">
        <f t="shared" si="0"/>
        <v/>
      </c>
      <c r="D27" s="1061"/>
      <c r="E27" s="1061"/>
      <c r="F27" s="1061"/>
      <c r="G27" s="1061"/>
      <c r="H27" s="565"/>
      <c r="I27" s="565" t="str">
        <f t="shared" si="11"/>
        <v/>
      </c>
      <c r="J27" s="565"/>
      <c r="K27" s="5">
        <v>22</v>
      </c>
      <c r="L27" s="1061" t="str">
        <f t="shared" si="1"/>
        <v/>
      </c>
      <c r="M27" s="1061"/>
      <c r="N27" s="1061"/>
      <c r="O27" s="1061"/>
      <c r="P27" s="1061"/>
      <c r="Q27" s="565"/>
      <c r="R27" s="565"/>
      <c r="S27" s="565" t="str">
        <f t="shared" si="12"/>
        <v/>
      </c>
      <c r="T27" s="5">
        <v>22</v>
      </c>
      <c r="U27" s="1061" t="str">
        <f t="shared" si="2"/>
        <v/>
      </c>
      <c r="V27" s="1061"/>
      <c r="W27" s="1061"/>
      <c r="X27" s="1061"/>
      <c r="Y27" s="1061"/>
      <c r="Z27" s="565" t="str">
        <f t="shared" si="3"/>
        <v/>
      </c>
      <c r="AA27" s="565"/>
      <c r="AB27" s="565" t="str">
        <f t="shared" si="13"/>
        <v/>
      </c>
      <c r="AC27" s="5">
        <v>22</v>
      </c>
      <c r="AD27" s="1061" t="str">
        <f t="shared" si="4"/>
        <v/>
      </c>
      <c r="AE27" s="1061"/>
      <c r="AF27" s="1061"/>
      <c r="AG27" s="1061"/>
      <c r="AH27" s="1061"/>
      <c r="AI27" s="565" t="s">
        <v>3034</v>
      </c>
      <c r="AJ27" s="565"/>
      <c r="AK27" s="565" t="str">
        <f t="shared" si="14"/>
        <v/>
      </c>
      <c r="AL27" s="5">
        <v>22</v>
      </c>
      <c r="AM27" s="1061" t="str">
        <f t="shared" si="5"/>
        <v/>
      </c>
      <c r="AN27" s="1061"/>
      <c r="AO27" s="1061"/>
      <c r="AP27" s="1061"/>
      <c r="AQ27" s="1061"/>
      <c r="AR27" s="565"/>
      <c r="AS27" s="565"/>
      <c r="AT27" s="565" t="str">
        <f t="shared" si="15"/>
        <v/>
      </c>
      <c r="AU27" s="5">
        <v>22</v>
      </c>
      <c r="AV27" s="1061" t="str">
        <f t="shared" si="6"/>
        <v/>
      </c>
      <c r="AW27" s="1061"/>
      <c r="AX27" s="1061"/>
      <c r="AY27" s="1061"/>
      <c r="AZ27" s="1061"/>
      <c r="BA27" s="565"/>
      <c r="BB27" s="565"/>
      <c r="BC27" s="565" t="str">
        <f t="shared" si="16"/>
        <v/>
      </c>
      <c r="BD27" s="5">
        <v>22</v>
      </c>
      <c r="BE27" s="1061" t="str">
        <f t="shared" si="7"/>
        <v/>
      </c>
      <c r="BF27" s="1061"/>
      <c r="BG27" s="1061"/>
      <c r="BH27" s="1061"/>
      <c r="BI27" s="1061"/>
      <c r="BJ27" s="565"/>
      <c r="BK27" s="565"/>
      <c r="BL27" s="565" t="str">
        <f t="shared" si="17"/>
        <v/>
      </c>
      <c r="BM27" s="5">
        <v>22</v>
      </c>
      <c r="BN27" s="1061" t="str">
        <f t="shared" si="8"/>
        <v/>
      </c>
      <c r="BO27" s="1061"/>
      <c r="BP27" s="1061"/>
      <c r="BQ27" s="1061"/>
      <c r="BR27" s="1061"/>
      <c r="BS27" s="565"/>
      <c r="BT27" s="565"/>
      <c r="BU27" s="565" t="str">
        <f t="shared" si="18"/>
        <v/>
      </c>
      <c r="BV27" s="5">
        <v>22</v>
      </c>
      <c r="BW27" s="1061" t="str">
        <f t="shared" si="9"/>
        <v/>
      </c>
      <c r="BX27" s="1061"/>
      <c r="BY27" s="1061"/>
      <c r="BZ27" s="1061"/>
      <c r="CA27" s="1061"/>
      <c r="CB27" s="565"/>
      <c r="CC27" s="565" t="str">
        <f t="shared" si="19"/>
        <v/>
      </c>
      <c r="CD27" s="565"/>
      <c r="CE27" s="565"/>
      <c r="CF27" s="565"/>
      <c r="CG27" s="565"/>
      <c r="CH27" s="565"/>
      <c r="CI27" s="565">
        <v>22</v>
      </c>
      <c r="CJ27" s="565">
        <f>Character_Creation!C362</f>
        <v>0</v>
      </c>
      <c r="CK27" s="565" t="str">
        <f>IFERROR(INDEX(T08_Spells!$C$3:$C$1000,MATCH(S01_Bard!$CJ27,T08_Spells!$B$3:$B$1000,0),1),"")</f>
        <v/>
      </c>
      <c r="CL27" s="565">
        <f t="shared" si="20"/>
        <v>0</v>
      </c>
      <c r="CM27" s="565">
        <f>IF(CL27=0,0,1+COUNTIF(CM$6:CM26,"&gt;0"))</f>
        <v>0</v>
      </c>
      <c r="CN27" s="565">
        <f t="shared" si="21"/>
        <v>0</v>
      </c>
      <c r="CO27" s="565">
        <f>IF(CN27=0,0,1+COUNTIF(CO$6:CO26,"&gt;0"))</f>
        <v>0</v>
      </c>
      <c r="CP27" s="565">
        <f t="shared" si="22"/>
        <v>0</v>
      </c>
      <c r="CQ27" s="565">
        <f>IF(CP27=0,0,1+COUNTIF(CQ$6:CQ26,"&gt;0"))</f>
        <v>0</v>
      </c>
      <c r="CR27" s="565">
        <f t="shared" si="23"/>
        <v>0</v>
      </c>
      <c r="CS27" s="565">
        <f>IF(CR27=0,0,1+COUNTIF(CS$6:CS26,"&gt;0"))</f>
        <v>0</v>
      </c>
      <c r="CT27" s="565">
        <f t="shared" si="24"/>
        <v>0</v>
      </c>
      <c r="CU27" s="565">
        <f>IF(CT27=0,0,1+COUNTIF(CU$6:CU26,"&gt;0"))</f>
        <v>0</v>
      </c>
      <c r="CV27" s="565">
        <f t="shared" si="25"/>
        <v>0</v>
      </c>
      <c r="CW27" s="565">
        <f>IF(CV27=0,0,1+COUNTIF(CW$6:CW26,"&gt;0"))</f>
        <v>0</v>
      </c>
      <c r="CX27" s="565">
        <f t="shared" si="26"/>
        <v>0</v>
      </c>
      <c r="CY27" s="565">
        <f>IF(CX27=0,0,1+COUNTIF(CY$6:CY26,"&gt;0"))</f>
        <v>0</v>
      </c>
      <c r="CZ27" s="565">
        <f t="shared" si="27"/>
        <v>0</v>
      </c>
      <c r="DA27" s="565">
        <f>IF(CZ27=0,0,1+COUNTIF(DA$6:DA26,"&gt;0"))</f>
        <v>0</v>
      </c>
      <c r="DB27" s="565">
        <f t="shared" si="28"/>
        <v>0</v>
      </c>
      <c r="DC27" s="565">
        <f>IF(DB27=0,0,1+COUNTIF(DC$6:DC26,"&gt;0"))</f>
        <v>0</v>
      </c>
      <c r="DD27" s="565"/>
      <c r="DE27" s="565"/>
      <c r="DF27" s="565"/>
    </row>
    <row r="28" spans="1:110" x14ac:dyDescent="0.25">
      <c r="A28" s="120"/>
      <c r="B28" s="5">
        <v>23</v>
      </c>
      <c r="C28" s="1061" t="str">
        <f t="shared" si="0"/>
        <v/>
      </c>
      <c r="D28" s="1061"/>
      <c r="E28" s="1061"/>
      <c r="F28" s="1061"/>
      <c r="G28" s="1061"/>
      <c r="H28" s="565"/>
      <c r="I28" s="565" t="str">
        <f t="shared" si="11"/>
        <v/>
      </c>
      <c r="J28" s="565"/>
      <c r="K28" s="5">
        <v>23</v>
      </c>
      <c r="L28" s="1061" t="str">
        <f t="shared" si="1"/>
        <v/>
      </c>
      <c r="M28" s="1061"/>
      <c r="N28" s="1061"/>
      <c r="O28" s="1061"/>
      <c r="P28" s="1061"/>
      <c r="Q28" s="565"/>
      <c r="R28" s="565"/>
      <c r="S28" s="565" t="str">
        <f t="shared" si="12"/>
        <v/>
      </c>
      <c r="T28" s="5">
        <v>23</v>
      </c>
      <c r="U28" s="1061" t="str">
        <f t="shared" si="2"/>
        <v/>
      </c>
      <c r="V28" s="1061"/>
      <c r="W28" s="1061"/>
      <c r="X28" s="1061"/>
      <c r="Y28" s="1061"/>
      <c r="Z28" s="565" t="str">
        <f t="shared" si="3"/>
        <v/>
      </c>
      <c r="AA28" s="565"/>
      <c r="AB28" s="565" t="str">
        <f t="shared" si="13"/>
        <v/>
      </c>
      <c r="AC28" s="5">
        <v>23</v>
      </c>
      <c r="AD28" s="1061" t="str">
        <f t="shared" si="4"/>
        <v/>
      </c>
      <c r="AE28" s="1061"/>
      <c r="AF28" s="1061"/>
      <c r="AG28" s="1061"/>
      <c r="AH28" s="1061"/>
      <c r="AI28" s="565" t="s">
        <v>3034</v>
      </c>
      <c r="AJ28" s="565"/>
      <c r="AK28" s="565" t="str">
        <f t="shared" si="14"/>
        <v/>
      </c>
      <c r="AL28" s="5">
        <v>23</v>
      </c>
      <c r="AM28" s="1061" t="str">
        <f t="shared" si="5"/>
        <v/>
      </c>
      <c r="AN28" s="1061"/>
      <c r="AO28" s="1061"/>
      <c r="AP28" s="1061"/>
      <c r="AQ28" s="1061"/>
      <c r="AR28" s="565"/>
      <c r="AS28" s="565"/>
      <c r="AT28" s="565" t="str">
        <f t="shared" si="15"/>
        <v/>
      </c>
      <c r="AU28" s="5">
        <v>23</v>
      </c>
      <c r="AV28" s="1061" t="str">
        <f t="shared" si="6"/>
        <v/>
      </c>
      <c r="AW28" s="1061"/>
      <c r="AX28" s="1061"/>
      <c r="AY28" s="1061"/>
      <c r="AZ28" s="1061"/>
      <c r="BA28" s="565"/>
      <c r="BB28" s="565"/>
      <c r="BC28" s="565" t="str">
        <f t="shared" si="16"/>
        <v/>
      </c>
      <c r="BD28" s="5">
        <v>23</v>
      </c>
      <c r="BE28" s="1061" t="str">
        <f t="shared" si="7"/>
        <v/>
      </c>
      <c r="BF28" s="1061"/>
      <c r="BG28" s="1061"/>
      <c r="BH28" s="1061"/>
      <c r="BI28" s="1061"/>
      <c r="BJ28" s="565"/>
      <c r="BK28" s="565"/>
      <c r="BL28" s="565" t="str">
        <f t="shared" si="17"/>
        <v/>
      </c>
      <c r="BM28" s="5">
        <v>23</v>
      </c>
      <c r="BN28" s="1061" t="str">
        <f t="shared" si="8"/>
        <v/>
      </c>
      <c r="BO28" s="1061"/>
      <c r="BP28" s="1061"/>
      <c r="BQ28" s="1061"/>
      <c r="BR28" s="1061"/>
      <c r="BS28" s="565"/>
      <c r="BT28" s="565"/>
      <c r="BU28" s="565" t="str">
        <f t="shared" si="18"/>
        <v/>
      </c>
      <c r="BV28" s="5">
        <v>23</v>
      </c>
      <c r="BW28" s="1061" t="str">
        <f t="shared" si="9"/>
        <v/>
      </c>
      <c r="BX28" s="1061"/>
      <c r="BY28" s="1061"/>
      <c r="BZ28" s="1061"/>
      <c r="CA28" s="1061"/>
      <c r="CB28" s="565"/>
      <c r="CC28" s="565" t="str">
        <f t="shared" si="19"/>
        <v/>
      </c>
      <c r="CD28" s="565"/>
      <c r="CE28" s="565"/>
      <c r="CF28" s="565"/>
      <c r="CG28" s="565"/>
      <c r="CH28" s="565"/>
      <c r="CI28" s="565">
        <v>31</v>
      </c>
      <c r="CJ28" s="565">
        <f>Character_Creation!C367</f>
        <v>0</v>
      </c>
      <c r="CK28" s="565" t="str">
        <f>IFERROR(INDEX(T08_Spells!$C$3:$C$1000,MATCH(S01_Bard!$CJ28,T08_Spells!$B$3:$B$1000,0),1),"")</f>
        <v/>
      </c>
      <c r="CL28" s="565">
        <f t="shared" ref="CL28:CL35" si="29">IF(AND($CJ28&lt;&gt;0,$CJ28&lt;&gt;""),1,0)*IF($CK28=1,1,0)</f>
        <v>0</v>
      </c>
      <c r="CM28" s="565">
        <f>IF(CL28=0,0,1+COUNTIF(CM$6:CM27,"&gt;0"))</f>
        <v>0</v>
      </c>
      <c r="CN28" s="565">
        <f t="shared" si="21"/>
        <v>0</v>
      </c>
      <c r="CO28" s="565">
        <f>IF(CN28=0,0,1+COUNTIF(CO$6:CO27,"&gt;0"))</f>
        <v>0</v>
      </c>
      <c r="CP28" s="565">
        <f t="shared" si="22"/>
        <v>0</v>
      </c>
      <c r="CQ28" s="565">
        <f>IF(CP28=0,0,1+COUNTIF(CQ$6:CQ27,"&gt;0"))</f>
        <v>0</v>
      </c>
      <c r="CR28" s="565">
        <f t="shared" si="23"/>
        <v>0</v>
      </c>
      <c r="CS28" s="565">
        <f>IF(CR28=0,0,1+COUNTIF(CS$6:CS27,"&gt;0"))</f>
        <v>0</v>
      </c>
      <c r="CT28" s="565">
        <f t="shared" si="24"/>
        <v>0</v>
      </c>
      <c r="CU28" s="565">
        <f>IF(CT28=0,0,1+COUNTIF(CU$6:CU27,"&gt;0"))</f>
        <v>0</v>
      </c>
      <c r="CV28" s="565">
        <f t="shared" si="25"/>
        <v>0</v>
      </c>
      <c r="CW28" s="565">
        <f>IF(CV28=0,0,1+COUNTIF(CW$6:CW27,"&gt;0"))</f>
        <v>0</v>
      </c>
      <c r="CX28" s="565">
        <f t="shared" si="26"/>
        <v>0</v>
      </c>
      <c r="CY28" s="565">
        <f>IF(CX28=0,0,1+COUNTIF(CY$6:CY27,"&gt;0"))</f>
        <v>0</v>
      </c>
      <c r="CZ28" s="565">
        <f t="shared" si="27"/>
        <v>0</v>
      </c>
      <c r="DA28" s="565">
        <f>IF(CZ28=0,0,1+COUNTIF(DA$6:DA27,"&gt;0"))</f>
        <v>0</v>
      </c>
      <c r="DB28" s="565">
        <f t="shared" si="28"/>
        <v>0</v>
      </c>
      <c r="DC28" s="565">
        <f>IF(DB28=0,0,1+COUNTIF(DC$6:DC27,"&gt;0"))</f>
        <v>0</v>
      </c>
      <c r="DD28" s="565"/>
      <c r="DE28" s="565"/>
      <c r="DF28" s="565"/>
    </row>
    <row r="29" spans="1:110" x14ac:dyDescent="0.25">
      <c r="A29" s="120"/>
      <c r="B29" s="5">
        <v>24</v>
      </c>
      <c r="C29" s="1061" t="str">
        <f t="shared" si="0"/>
        <v/>
      </c>
      <c r="D29" s="1061"/>
      <c r="E29" s="1061"/>
      <c r="F29" s="1061"/>
      <c r="G29" s="1061"/>
      <c r="H29" s="565"/>
      <c r="I29" s="565" t="str">
        <f t="shared" si="11"/>
        <v/>
      </c>
      <c r="J29" s="565"/>
      <c r="K29" s="5">
        <v>24</v>
      </c>
      <c r="L29" s="1061" t="str">
        <f t="shared" si="1"/>
        <v/>
      </c>
      <c r="M29" s="1061"/>
      <c r="N29" s="1061"/>
      <c r="O29" s="1061"/>
      <c r="P29" s="1061"/>
      <c r="Q29" s="565"/>
      <c r="R29" s="565"/>
      <c r="S29" s="565" t="str">
        <f t="shared" si="12"/>
        <v/>
      </c>
      <c r="T29" s="5">
        <v>24</v>
      </c>
      <c r="U29" s="1061" t="str">
        <f t="shared" si="2"/>
        <v/>
      </c>
      <c r="V29" s="1061"/>
      <c r="W29" s="1061"/>
      <c r="X29" s="1061"/>
      <c r="Y29" s="1061"/>
      <c r="Z29" s="565" t="str">
        <f t="shared" si="3"/>
        <v/>
      </c>
      <c r="AA29" s="565"/>
      <c r="AB29" s="565" t="str">
        <f t="shared" si="13"/>
        <v/>
      </c>
      <c r="AC29" s="5">
        <v>24</v>
      </c>
      <c r="AD29" s="1061" t="str">
        <f t="shared" si="4"/>
        <v/>
      </c>
      <c r="AE29" s="1061"/>
      <c r="AF29" s="1061"/>
      <c r="AG29" s="1061"/>
      <c r="AH29" s="1061"/>
      <c r="AI29" s="565" t="s">
        <v>3034</v>
      </c>
      <c r="AJ29" s="565"/>
      <c r="AK29" s="565" t="str">
        <f t="shared" si="14"/>
        <v/>
      </c>
      <c r="AL29" s="5">
        <v>24</v>
      </c>
      <c r="AM29" s="1061" t="str">
        <f t="shared" si="5"/>
        <v/>
      </c>
      <c r="AN29" s="1061"/>
      <c r="AO29" s="1061"/>
      <c r="AP29" s="1061"/>
      <c r="AQ29" s="1061"/>
      <c r="AR29" s="565"/>
      <c r="AS29" s="565"/>
      <c r="AT29" s="565" t="str">
        <f t="shared" si="15"/>
        <v/>
      </c>
      <c r="AU29" s="5">
        <v>24</v>
      </c>
      <c r="AV29" s="1061" t="str">
        <f t="shared" si="6"/>
        <v/>
      </c>
      <c r="AW29" s="1061"/>
      <c r="AX29" s="1061"/>
      <c r="AY29" s="1061"/>
      <c r="AZ29" s="1061"/>
      <c r="BA29" s="565"/>
      <c r="BB29" s="565"/>
      <c r="BC29" s="565" t="str">
        <f t="shared" si="16"/>
        <v/>
      </c>
      <c r="BD29" s="5">
        <v>24</v>
      </c>
      <c r="BE29" s="1061" t="str">
        <f t="shared" si="7"/>
        <v/>
      </c>
      <c r="BF29" s="1061"/>
      <c r="BG29" s="1061"/>
      <c r="BH29" s="1061"/>
      <c r="BI29" s="1061"/>
      <c r="BJ29" s="565"/>
      <c r="BK29" s="565"/>
      <c r="BL29" s="565" t="str">
        <f t="shared" si="17"/>
        <v/>
      </c>
      <c r="BM29" s="5">
        <v>24</v>
      </c>
      <c r="BN29" s="1061" t="str">
        <f t="shared" si="8"/>
        <v/>
      </c>
      <c r="BO29" s="1061"/>
      <c r="BP29" s="1061"/>
      <c r="BQ29" s="1061"/>
      <c r="BR29" s="1061"/>
      <c r="BS29" s="565"/>
      <c r="BT29" s="565"/>
      <c r="BU29" s="565" t="str">
        <f t="shared" si="18"/>
        <v/>
      </c>
      <c r="BV29" s="5">
        <v>24</v>
      </c>
      <c r="BW29" s="1061" t="str">
        <f t="shared" si="9"/>
        <v/>
      </c>
      <c r="BX29" s="1061"/>
      <c r="BY29" s="1061"/>
      <c r="BZ29" s="1061"/>
      <c r="CA29" s="1061"/>
      <c r="CB29" s="565"/>
      <c r="CC29" s="565" t="str">
        <f t="shared" si="19"/>
        <v/>
      </c>
      <c r="CD29" s="565"/>
      <c r="CE29" s="565"/>
      <c r="CF29" s="565"/>
      <c r="CG29" s="565"/>
      <c r="CH29" s="565"/>
      <c r="CI29" s="565">
        <v>32</v>
      </c>
      <c r="CJ29" s="565">
        <f>Character_Creation!C368</f>
        <v>0</v>
      </c>
      <c r="CK29" s="565" t="str">
        <f>IFERROR(INDEX(T08_Spells!$C$3:$C$1000,MATCH(S01_Bard!$CJ29,T08_Spells!$B$3:$B$1000,0),1),"")</f>
        <v/>
      </c>
      <c r="CL29" s="565">
        <f t="shared" si="29"/>
        <v>0</v>
      </c>
      <c r="CM29" s="565">
        <f>IF(CL29=0,0,1+COUNTIF(CM$6:CM28,"&gt;0"))</f>
        <v>0</v>
      </c>
      <c r="CN29" s="565">
        <f t="shared" si="21"/>
        <v>0</v>
      </c>
      <c r="CO29" s="565">
        <f>IF(CN29=0,0,1+COUNTIF(CO$6:CO28,"&gt;0"))</f>
        <v>0</v>
      </c>
      <c r="CP29" s="565">
        <f t="shared" si="22"/>
        <v>0</v>
      </c>
      <c r="CQ29" s="565">
        <f>IF(CP29=0,0,1+COUNTIF(CQ$6:CQ28,"&gt;0"))</f>
        <v>0</v>
      </c>
      <c r="CR29" s="565">
        <f t="shared" si="23"/>
        <v>0</v>
      </c>
      <c r="CS29" s="565">
        <f>IF(CR29=0,0,1+COUNTIF(CS$6:CS28,"&gt;0"))</f>
        <v>0</v>
      </c>
      <c r="CT29" s="565">
        <f t="shared" si="24"/>
        <v>0</v>
      </c>
      <c r="CU29" s="565">
        <f>IF(CT29=0,0,1+COUNTIF(CU$6:CU28,"&gt;0"))</f>
        <v>0</v>
      </c>
      <c r="CV29" s="565">
        <f t="shared" si="25"/>
        <v>0</v>
      </c>
      <c r="CW29" s="565">
        <f>IF(CV29=0,0,1+COUNTIF(CW$6:CW28,"&gt;0"))</f>
        <v>0</v>
      </c>
      <c r="CX29" s="565">
        <f t="shared" si="26"/>
        <v>0</v>
      </c>
      <c r="CY29" s="565">
        <f>IF(CX29=0,0,1+COUNTIF(CY$6:CY28,"&gt;0"))</f>
        <v>0</v>
      </c>
      <c r="CZ29" s="565">
        <f t="shared" si="27"/>
        <v>0</v>
      </c>
      <c r="DA29" s="565">
        <f>IF(CZ29=0,0,1+COUNTIF(DA$6:DA28,"&gt;0"))</f>
        <v>0</v>
      </c>
      <c r="DB29" s="565">
        <f t="shared" si="28"/>
        <v>0</v>
      </c>
      <c r="DC29" s="565">
        <f>IF(DB29=0,0,1+COUNTIF(DC$6:DC28,"&gt;0"))</f>
        <v>0</v>
      </c>
      <c r="DD29" s="565"/>
      <c r="DE29" s="565"/>
      <c r="DF29" s="565"/>
    </row>
    <row r="30" spans="1:110" x14ac:dyDescent="0.25">
      <c r="A30" s="120"/>
      <c r="B30" s="5">
        <v>25</v>
      </c>
      <c r="C30" s="1061" t="str">
        <f t="shared" si="0"/>
        <v/>
      </c>
      <c r="D30" s="1061"/>
      <c r="E30" s="1061"/>
      <c r="F30" s="1061"/>
      <c r="G30" s="1061"/>
      <c r="H30" s="565"/>
      <c r="I30" s="565" t="str">
        <f t="shared" si="11"/>
        <v/>
      </c>
      <c r="J30" s="565"/>
      <c r="K30" s="5">
        <v>25</v>
      </c>
      <c r="L30" s="1061" t="str">
        <f t="shared" si="1"/>
        <v/>
      </c>
      <c r="M30" s="1061"/>
      <c r="N30" s="1061"/>
      <c r="O30" s="1061"/>
      <c r="P30" s="1061"/>
      <c r="Q30" s="565"/>
      <c r="R30" s="565"/>
      <c r="S30" s="565" t="str">
        <f t="shared" si="12"/>
        <v/>
      </c>
      <c r="T30" s="5">
        <v>25</v>
      </c>
      <c r="U30" s="1061" t="str">
        <f t="shared" si="2"/>
        <v/>
      </c>
      <c r="V30" s="1061"/>
      <c r="W30" s="1061"/>
      <c r="X30" s="1061"/>
      <c r="Y30" s="1061"/>
      <c r="Z30" s="565" t="str">
        <f t="shared" si="3"/>
        <v/>
      </c>
      <c r="AA30" s="565"/>
      <c r="AB30" s="565" t="str">
        <f t="shared" si="13"/>
        <v/>
      </c>
      <c r="AC30" s="5">
        <v>25</v>
      </c>
      <c r="AD30" s="1061" t="str">
        <f t="shared" si="4"/>
        <v/>
      </c>
      <c r="AE30" s="1061"/>
      <c r="AF30" s="1061"/>
      <c r="AG30" s="1061"/>
      <c r="AH30" s="1061"/>
      <c r="AI30" s="565" t="s">
        <v>3034</v>
      </c>
      <c r="AJ30" s="565"/>
      <c r="AK30" s="565" t="str">
        <f t="shared" si="14"/>
        <v/>
      </c>
      <c r="AL30" s="5">
        <v>25</v>
      </c>
      <c r="AM30" s="1061" t="str">
        <f t="shared" si="5"/>
        <v/>
      </c>
      <c r="AN30" s="1061"/>
      <c r="AO30" s="1061"/>
      <c r="AP30" s="1061"/>
      <c r="AQ30" s="1061"/>
      <c r="AR30" s="565"/>
      <c r="AS30" s="565"/>
      <c r="AT30" s="565" t="str">
        <f t="shared" si="15"/>
        <v/>
      </c>
      <c r="AU30" s="5">
        <v>25</v>
      </c>
      <c r="AV30" s="1061" t="str">
        <f t="shared" si="6"/>
        <v/>
      </c>
      <c r="AW30" s="1061"/>
      <c r="AX30" s="1061"/>
      <c r="AY30" s="1061"/>
      <c r="AZ30" s="1061"/>
      <c r="BA30" s="565"/>
      <c r="BB30" s="565"/>
      <c r="BC30" s="565" t="str">
        <f t="shared" si="16"/>
        <v/>
      </c>
      <c r="BD30" s="5">
        <v>25</v>
      </c>
      <c r="BE30" s="1061" t="str">
        <f t="shared" si="7"/>
        <v/>
      </c>
      <c r="BF30" s="1061"/>
      <c r="BG30" s="1061"/>
      <c r="BH30" s="1061"/>
      <c r="BI30" s="1061"/>
      <c r="BJ30" s="565"/>
      <c r="BK30" s="565"/>
      <c r="BL30" s="565" t="str">
        <f t="shared" si="17"/>
        <v/>
      </c>
      <c r="BM30" s="5">
        <v>25</v>
      </c>
      <c r="BN30" s="1061" t="str">
        <f t="shared" si="8"/>
        <v/>
      </c>
      <c r="BO30" s="1061"/>
      <c r="BP30" s="1061"/>
      <c r="BQ30" s="1061"/>
      <c r="BR30" s="1061"/>
      <c r="BS30" s="565"/>
      <c r="BT30" s="565"/>
      <c r="BU30" s="565" t="str">
        <f t="shared" si="18"/>
        <v/>
      </c>
      <c r="BV30" s="5">
        <v>25</v>
      </c>
      <c r="BW30" s="1061" t="str">
        <f t="shared" si="9"/>
        <v/>
      </c>
      <c r="BX30" s="1061"/>
      <c r="BY30" s="1061"/>
      <c r="BZ30" s="1061"/>
      <c r="CA30" s="1061"/>
      <c r="CB30" s="565"/>
      <c r="CC30" s="565" t="str">
        <f t="shared" si="19"/>
        <v/>
      </c>
      <c r="CD30" s="565"/>
      <c r="CE30" s="565"/>
      <c r="CF30" s="565"/>
      <c r="CG30" s="565"/>
      <c r="CH30" s="565"/>
      <c r="CI30" s="565">
        <v>33</v>
      </c>
      <c r="CJ30" s="565">
        <f>Character_Creation!C369</f>
        <v>0</v>
      </c>
      <c r="CK30" s="565" t="str">
        <f>IFERROR(INDEX(T08_Spells!$C$3:$C$1000,MATCH(S01_Bard!$CJ30,T08_Spells!$B$3:$B$1000,0),1),"")</f>
        <v/>
      </c>
      <c r="CL30" s="565">
        <f t="shared" si="29"/>
        <v>0</v>
      </c>
      <c r="CM30" s="565">
        <f>IF(CL30=0,0,1+COUNTIF(CM$6:CM29,"&gt;0"))</f>
        <v>0</v>
      </c>
      <c r="CN30" s="565">
        <f t="shared" si="21"/>
        <v>0</v>
      </c>
      <c r="CO30" s="565">
        <f>IF(CN30=0,0,1+COUNTIF(CO$6:CO29,"&gt;0"))</f>
        <v>0</v>
      </c>
      <c r="CP30" s="565">
        <f t="shared" si="22"/>
        <v>0</v>
      </c>
      <c r="CQ30" s="565">
        <f>IF(CP30=0,0,1+COUNTIF(CQ$6:CQ29,"&gt;0"))</f>
        <v>0</v>
      </c>
      <c r="CR30" s="565">
        <f t="shared" si="23"/>
        <v>0</v>
      </c>
      <c r="CS30" s="565">
        <f>IF(CR30=0,0,1+COUNTIF(CS$6:CS29,"&gt;0"))</f>
        <v>0</v>
      </c>
      <c r="CT30" s="565">
        <f t="shared" si="24"/>
        <v>0</v>
      </c>
      <c r="CU30" s="565">
        <f>IF(CT30=0,0,1+COUNTIF(CU$6:CU29,"&gt;0"))</f>
        <v>0</v>
      </c>
      <c r="CV30" s="565">
        <f t="shared" si="25"/>
        <v>0</v>
      </c>
      <c r="CW30" s="565">
        <f>IF(CV30=0,0,1+COUNTIF(CW$6:CW29,"&gt;0"))</f>
        <v>0</v>
      </c>
      <c r="CX30" s="565">
        <f t="shared" si="26"/>
        <v>0</v>
      </c>
      <c r="CY30" s="565">
        <f>IF(CX30=0,0,1+COUNTIF(CY$6:CY29,"&gt;0"))</f>
        <v>0</v>
      </c>
      <c r="CZ30" s="565">
        <f t="shared" si="27"/>
        <v>0</v>
      </c>
      <c r="DA30" s="565">
        <f>IF(CZ30=0,0,1+COUNTIF(DA$6:DA29,"&gt;0"))</f>
        <v>0</v>
      </c>
      <c r="DB30" s="565">
        <f t="shared" si="28"/>
        <v>0</v>
      </c>
      <c r="DC30" s="565">
        <f>IF(DB30=0,0,1+COUNTIF(DC$6:DC29,"&gt;0"))</f>
        <v>0</v>
      </c>
      <c r="DD30" s="565"/>
      <c r="DE30" s="565"/>
      <c r="DF30" s="565"/>
    </row>
    <row r="31" spans="1:110" x14ac:dyDescent="0.25">
      <c r="A31" s="120"/>
      <c r="B31" s="5">
        <v>26</v>
      </c>
      <c r="C31" s="1061" t="str">
        <f t="shared" si="0"/>
        <v/>
      </c>
      <c r="D31" s="1061"/>
      <c r="E31" s="1061"/>
      <c r="F31" s="1061"/>
      <c r="G31" s="1061"/>
      <c r="H31" s="565"/>
      <c r="I31" s="565" t="str">
        <f t="shared" si="11"/>
        <v/>
      </c>
      <c r="J31" s="565"/>
      <c r="K31" s="5">
        <v>26</v>
      </c>
      <c r="L31" s="1061" t="str">
        <f t="shared" si="1"/>
        <v/>
      </c>
      <c r="M31" s="1061"/>
      <c r="N31" s="1061"/>
      <c r="O31" s="1061"/>
      <c r="P31" s="1061"/>
      <c r="Q31" s="565"/>
      <c r="R31" s="565"/>
      <c r="S31" s="565" t="str">
        <f t="shared" si="12"/>
        <v/>
      </c>
      <c r="T31" s="5">
        <v>26</v>
      </c>
      <c r="U31" s="1061" t="str">
        <f t="shared" si="2"/>
        <v/>
      </c>
      <c r="V31" s="1061"/>
      <c r="W31" s="1061"/>
      <c r="X31" s="1061"/>
      <c r="Y31" s="1061"/>
      <c r="Z31" s="565" t="str">
        <f t="shared" si="3"/>
        <v/>
      </c>
      <c r="AA31" s="565"/>
      <c r="AB31" s="565" t="str">
        <f t="shared" si="13"/>
        <v/>
      </c>
      <c r="AC31" s="5">
        <v>26</v>
      </c>
      <c r="AD31" s="1061" t="str">
        <f t="shared" si="4"/>
        <v/>
      </c>
      <c r="AE31" s="1061"/>
      <c r="AF31" s="1061"/>
      <c r="AG31" s="1061"/>
      <c r="AH31" s="1061"/>
      <c r="AI31" s="565" t="s">
        <v>3034</v>
      </c>
      <c r="AJ31" s="565"/>
      <c r="AK31" s="565" t="str">
        <f t="shared" si="14"/>
        <v/>
      </c>
      <c r="AL31" s="5">
        <v>26</v>
      </c>
      <c r="AM31" s="1061" t="str">
        <f t="shared" si="5"/>
        <v/>
      </c>
      <c r="AN31" s="1061"/>
      <c r="AO31" s="1061"/>
      <c r="AP31" s="1061"/>
      <c r="AQ31" s="1061"/>
      <c r="AR31" s="565"/>
      <c r="AS31" s="565"/>
      <c r="AT31" s="565" t="str">
        <f t="shared" si="15"/>
        <v/>
      </c>
      <c r="AU31" s="5">
        <v>26</v>
      </c>
      <c r="AV31" s="1061" t="str">
        <f t="shared" si="6"/>
        <v/>
      </c>
      <c r="AW31" s="1061"/>
      <c r="AX31" s="1061"/>
      <c r="AY31" s="1061"/>
      <c r="AZ31" s="1061"/>
      <c r="BA31" s="565"/>
      <c r="BB31" s="565"/>
      <c r="BC31" s="565" t="str">
        <f t="shared" si="16"/>
        <v/>
      </c>
      <c r="BD31" s="5">
        <v>26</v>
      </c>
      <c r="BE31" s="1061" t="str">
        <f t="shared" si="7"/>
        <v/>
      </c>
      <c r="BF31" s="1061"/>
      <c r="BG31" s="1061"/>
      <c r="BH31" s="1061"/>
      <c r="BI31" s="1061"/>
      <c r="BJ31" s="565"/>
      <c r="BK31" s="565"/>
      <c r="BL31" s="565" t="str">
        <f t="shared" si="17"/>
        <v/>
      </c>
      <c r="BM31" s="5">
        <v>26</v>
      </c>
      <c r="BN31" s="1061" t="str">
        <f t="shared" si="8"/>
        <v/>
      </c>
      <c r="BO31" s="1061"/>
      <c r="BP31" s="1061"/>
      <c r="BQ31" s="1061"/>
      <c r="BR31" s="1061"/>
      <c r="BS31" s="565"/>
      <c r="BT31" s="565"/>
      <c r="BU31" s="565" t="str">
        <f t="shared" si="18"/>
        <v/>
      </c>
      <c r="BV31" s="5">
        <v>26</v>
      </c>
      <c r="BW31" s="1061" t="str">
        <f t="shared" si="9"/>
        <v/>
      </c>
      <c r="BX31" s="1061"/>
      <c r="BY31" s="1061"/>
      <c r="BZ31" s="1061"/>
      <c r="CA31" s="1061"/>
      <c r="CB31" s="565"/>
      <c r="CC31" s="565" t="str">
        <f t="shared" si="19"/>
        <v/>
      </c>
      <c r="CD31" s="565"/>
      <c r="CE31" s="565"/>
      <c r="CF31" s="565"/>
      <c r="CG31" s="565"/>
      <c r="CH31" s="565"/>
      <c r="CI31" s="565">
        <v>34</v>
      </c>
      <c r="CJ31" s="565">
        <f>Character_Creation!C370</f>
        <v>0</v>
      </c>
      <c r="CK31" s="565" t="str">
        <f>IFERROR(INDEX(T08_Spells!$C$3:$C$1000,MATCH(S01_Bard!$CJ31,T08_Spells!$B$3:$B$1000,0),1),"")</f>
        <v/>
      </c>
      <c r="CL31" s="565">
        <f t="shared" si="29"/>
        <v>0</v>
      </c>
      <c r="CM31" s="565">
        <f>IF(CL31=0,0,1+COUNTIF(CM$6:CM30,"&gt;0"))</f>
        <v>0</v>
      </c>
      <c r="CN31" s="565">
        <f t="shared" si="21"/>
        <v>0</v>
      </c>
      <c r="CO31" s="565">
        <f>IF(CN31=0,0,1+COUNTIF(CO$6:CO30,"&gt;0"))</f>
        <v>0</v>
      </c>
      <c r="CP31" s="565">
        <f t="shared" si="22"/>
        <v>0</v>
      </c>
      <c r="CQ31" s="565">
        <f>IF(CP31=0,0,1+COUNTIF(CQ$6:CQ30,"&gt;0"))</f>
        <v>0</v>
      </c>
      <c r="CR31" s="565">
        <f t="shared" si="23"/>
        <v>0</v>
      </c>
      <c r="CS31" s="565">
        <f>IF(CR31=0,0,1+COUNTIF(CS$6:CS30,"&gt;0"))</f>
        <v>0</v>
      </c>
      <c r="CT31" s="565">
        <f t="shared" si="24"/>
        <v>0</v>
      </c>
      <c r="CU31" s="565">
        <f>IF(CT31=0,0,1+COUNTIF(CU$6:CU30,"&gt;0"))</f>
        <v>0</v>
      </c>
      <c r="CV31" s="565">
        <f t="shared" si="25"/>
        <v>0</v>
      </c>
      <c r="CW31" s="565">
        <f>IF(CV31=0,0,1+COUNTIF(CW$6:CW30,"&gt;0"))</f>
        <v>0</v>
      </c>
      <c r="CX31" s="565">
        <f t="shared" si="26"/>
        <v>0</v>
      </c>
      <c r="CY31" s="565">
        <f>IF(CX31=0,0,1+COUNTIF(CY$6:CY30,"&gt;0"))</f>
        <v>0</v>
      </c>
      <c r="CZ31" s="565">
        <f t="shared" si="27"/>
        <v>0</v>
      </c>
      <c r="DA31" s="565">
        <f>IF(CZ31=0,0,1+COUNTIF(DA$6:DA30,"&gt;0"))</f>
        <v>0</v>
      </c>
      <c r="DB31" s="565">
        <f t="shared" si="28"/>
        <v>0</v>
      </c>
      <c r="DC31" s="565">
        <f>IF(DB31=0,0,1+COUNTIF(DC$6:DC30,"&gt;0"))</f>
        <v>0</v>
      </c>
      <c r="DD31" s="565"/>
      <c r="DE31" s="565"/>
      <c r="DF31" s="565"/>
    </row>
    <row r="32" spans="1:110" x14ac:dyDescent="0.25">
      <c r="A32" s="120"/>
      <c r="B32" s="5">
        <v>27</v>
      </c>
      <c r="C32" s="1061" t="str">
        <f t="shared" si="0"/>
        <v/>
      </c>
      <c r="D32" s="1061"/>
      <c r="E32" s="1061"/>
      <c r="F32" s="1061"/>
      <c r="G32" s="1061"/>
      <c r="H32" s="565"/>
      <c r="I32" s="565" t="str">
        <f t="shared" si="11"/>
        <v/>
      </c>
      <c r="J32" s="565"/>
      <c r="K32" s="5">
        <v>27</v>
      </c>
      <c r="L32" s="1061" t="str">
        <f t="shared" si="1"/>
        <v/>
      </c>
      <c r="M32" s="1061"/>
      <c r="N32" s="1061"/>
      <c r="O32" s="1061"/>
      <c r="P32" s="1061"/>
      <c r="Q32" s="565"/>
      <c r="R32" s="565"/>
      <c r="S32" s="565" t="str">
        <f t="shared" si="12"/>
        <v/>
      </c>
      <c r="T32" s="5">
        <v>27</v>
      </c>
      <c r="U32" s="1061" t="str">
        <f t="shared" si="2"/>
        <v/>
      </c>
      <c r="V32" s="1061"/>
      <c r="W32" s="1061"/>
      <c r="X32" s="1061"/>
      <c r="Y32" s="1061"/>
      <c r="Z32" s="565" t="str">
        <f t="shared" si="3"/>
        <v/>
      </c>
      <c r="AA32" s="565"/>
      <c r="AB32" s="565" t="str">
        <f t="shared" si="13"/>
        <v/>
      </c>
      <c r="AC32" s="5">
        <v>27</v>
      </c>
      <c r="AD32" s="1061" t="str">
        <f t="shared" si="4"/>
        <v/>
      </c>
      <c r="AE32" s="1061"/>
      <c r="AF32" s="1061"/>
      <c r="AG32" s="1061"/>
      <c r="AH32" s="1061"/>
      <c r="AI32" s="565" t="s">
        <v>3034</v>
      </c>
      <c r="AJ32" s="565"/>
      <c r="AK32" s="565" t="str">
        <f t="shared" si="14"/>
        <v/>
      </c>
      <c r="AL32" s="5">
        <v>27</v>
      </c>
      <c r="AM32" s="1061" t="str">
        <f t="shared" si="5"/>
        <v/>
      </c>
      <c r="AN32" s="1061"/>
      <c r="AO32" s="1061"/>
      <c r="AP32" s="1061"/>
      <c r="AQ32" s="1061"/>
      <c r="AR32" s="565"/>
      <c r="AS32" s="565"/>
      <c r="AT32" s="565" t="str">
        <f t="shared" si="15"/>
        <v/>
      </c>
      <c r="AU32" s="5">
        <v>27</v>
      </c>
      <c r="AV32" s="1061" t="str">
        <f t="shared" si="6"/>
        <v/>
      </c>
      <c r="AW32" s="1061"/>
      <c r="AX32" s="1061"/>
      <c r="AY32" s="1061"/>
      <c r="AZ32" s="1061"/>
      <c r="BA32" s="565"/>
      <c r="BB32" s="565"/>
      <c r="BC32" s="565" t="str">
        <f t="shared" si="16"/>
        <v/>
      </c>
      <c r="BD32" s="5">
        <v>27</v>
      </c>
      <c r="BE32" s="1061" t="str">
        <f t="shared" si="7"/>
        <v/>
      </c>
      <c r="BF32" s="1061"/>
      <c r="BG32" s="1061"/>
      <c r="BH32" s="1061"/>
      <c r="BI32" s="1061"/>
      <c r="BJ32" s="565"/>
      <c r="BK32" s="565"/>
      <c r="BL32" s="565" t="str">
        <f t="shared" si="17"/>
        <v/>
      </c>
      <c r="BM32" s="5">
        <v>27</v>
      </c>
      <c r="BN32" s="1061" t="str">
        <f t="shared" si="8"/>
        <v/>
      </c>
      <c r="BO32" s="1061"/>
      <c r="BP32" s="1061"/>
      <c r="BQ32" s="1061"/>
      <c r="BR32" s="1061"/>
      <c r="BS32" s="565"/>
      <c r="BT32" s="565"/>
      <c r="BU32" s="565" t="str">
        <f t="shared" si="18"/>
        <v/>
      </c>
      <c r="BV32" s="5">
        <v>27</v>
      </c>
      <c r="BW32" s="1061" t="str">
        <f t="shared" si="9"/>
        <v/>
      </c>
      <c r="BX32" s="1061"/>
      <c r="BY32" s="1061"/>
      <c r="BZ32" s="1061"/>
      <c r="CA32" s="1061"/>
      <c r="CB32" s="565"/>
      <c r="CC32" s="565" t="str">
        <f t="shared" si="19"/>
        <v/>
      </c>
      <c r="CD32" s="565"/>
      <c r="CE32" s="565"/>
      <c r="CF32" s="565"/>
      <c r="CG32" s="565"/>
      <c r="CH32" s="565"/>
      <c r="CI32" s="565">
        <v>35</v>
      </c>
      <c r="CJ32" s="565">
        <f>Character_Creation!C371</f>
        <v>0</v>
      </c>
      <c r="CK32" s="565" t="str">
        <f>IFERROR(INDEX(T08_Spells!$C$3:$C$1000,MATCH(S01_Bard!$CJ32,T08_Spells!$B$3:$B$1000,0),1),"")</f>
        <v/>
      </c>
      <c r="CL32" s="565">
        <f t="shared" si="29"/>
        <v>0</v>
      </c>
      <c r="CM32" s="565">
        <f>IF(CL32=0,0,1+COUNTIF(CM$6:CM31,"&gt;0"))</f>
        <v>0</v>
      </c>
      <c r="CN32" s="565">
        <f t="shared" si="21"/>
        <v>0</v>
      </c>
      <c r="CO32" s="565">
        <f>IF(CN32=0,0,1+COUNTIF(CO$6:CO31,"&gt;0"))</f>
        <v>0</v>
      </c>
      <c r="CP32" s="565">
        <f t="shared" si="22"/>
        <v>0</v>
      </c>
      <c r="CQ32" s="565">
        <f>IF(CP32=0,0,1+COUNTIF(CQ$6:CQ31,"&gt;0"))</f>
        <v>0</v>
      </c>
      <c r="CR32" s="565">
        <f t="shared" si="23"/>
        <v>0</v>
      </c>
      <c r="CS32" s="565">
        <f>IF(CR32=0,0,1+COUNTIF(CS$6:CS31,"&gt;0"))</f>
        <v>0</v>
      </c>
      <c r="CT32" s="565">
        <f t="shared" si="24"/>
        <v>0</v>
      </c>
      <c r="CU32" s="565">
        <f>IF(CT32=0,0,1+COUNTIF(CU$6:CU31,"&gt;0"))</f>
        <v>0</v>
      </c>
      <c r="CV32" s="565">
        <f t="shared" si="25"/>
        <v>0</v>
      </c>
      <c r="CW32" s="565">
        <f>IF(CV32=0,0,1+COUNTIF(CW$6:CW31,"&gt;0"))</f>
        <v>0</v>
      </c>
      <c r="CX32" s="565">
        <f t="shared" si="26"/>
        <v>0</v>
      </c>
      <c r="CY32" s="565">
        <f>IF(CX32=0,0,1+COUNTIF(CY$6:CY31,"&gt;0"))</f>
        <v>0</v>
      </c>
      <c r="CZ32" s="565">
        <f t="shared" si="27"/>
        <v>0</v>
      </c>
      <c r="DA32" s="565">
        <f>IF(CZ32=0,0,1+COUNTIF(DA$6:DA31,"&gt;0"))</f>
        <v>0</v>
      </c>
      <c r="DB32" s="565">
        <f t="shared" si="28"/>
        <v>0</v>
      </c>
      <c r="DC32" s="565">
        <f>IF(DB32=0,0,1+COUNTIF(DC$6:DC31,"&gt;0"))</f>
        <v>0</v>
      </c>
      <c r="DD32" s="565"/>
      <c r="DE32" s="565"/>
      <c r="DF32" s="565"/>
    </row>
    <row r="33" spans="1:110" x14ac:dyDescent="0.25">
      <c r="A33" s="120"/>
      <c r="B33" s="5">
        <v>28</v>
      </c>
      <c r="C33" s="1061" t="str">
        <f t="shared" si="0"/>
        <v/>
      </c>
      <c r="D33" s="1061"/>
      <c r="E33" s="1061"/>
      <c r="F33" s="1061"/>
      <c r="G33" s="1061"/>
      <c r="H33" s="565"/>
      <c r="I33" s="565" t="str">
        <f t="shared" si="11"/>
        <v/>
      </c>
      <c r="J33" s="565"/>
      <c r="K33" s="5">
        <v>28</v>
      </c>
      <c r="L33" s="1061" t="str">
        <f t="shared" si="1"/>
        <v/>
      </c>
      <c r="M33" s="1061"/>
      <c r="N33" s="1061"/>
      <c r="O33" s="1061"/>
      <c r="P33" s="1061"/>
      <c r="Q33" s="565"/>
      <c r="R33" s="565"/>
      <c r="S33" s="565" t="str">
        <f t="shared" si="12"/>
        <v/>
      </c>
      <c r="T33" s="5">
        <v>28</v>
      </c>
      <c r="U33" s="1061" t="str">
        <f t="shared" si="2"/>
        <v/>
      </c>
      <c r="V33" s="1061"/>
      <c r="W33" s="1061"/>
      <c r="X33" s="1061"/>
      <c r="Y33" s="1061"/>
      <c r="Z33" s="565" t="str">
        <f t="shared" si="3"/>
        <v/>
      </c>
      <c r="AA33" s="565"/>
      <c r="AB33" s="565" t="str">
        <f t="shared" si="13"/>
        <v/>
      </c>
      <c r="AC33" s="5">
        <v>28</v>
      </c>
      <c r="AD33" s="1061" t="str">
        <f t="shared" si="4"/>
        <v/>
      </c>
      <c r="AE33" s="1061"/>
      <c r="AF33" s="1061"/>
      <c r="AG33" s="1061"/>
      <c r="AH33" s="1061"/>
      <c r="AI33" s="565" t="s">
        <v>3034</v>
      </c>
      <c r="AJ33" s="565"/>
      <c r="AK33" s="565" t="str">
        <f t="shared" si="14"/>
        <v/>
      </c>
      <c r="AL33" s="5">
        <v>28</v>
      </c>
      <c r="AM33" s="1061" t="str">
        <f t="shared" si="5"/>
        <v/>
      </c>
      <c r="AN33" s="1061"/>
      <c r="AO33" s="1061"/>
      <c r="AP33" s="1061"/>
      <c r="AQ33" s="1061"/>
      <c r="AR33" s="565"/>
      <c r="AS33" s="565"/>
      <c r="AT33" s="565" t="str">
        <f t="shared" si="15"/>
        <v/>
      </c>
      <c r="AU33" s="5">
        <v>28</v>
      </c>
      <c r="AV33" s="1061" t="str">
        <f t="shared" si="6"/>
        <v/>
      </c>
      <c r="AW33" s="1061"/>
      <c r="AX33" s="1061"/>
      <c r="AY33" s="1061"/>
      <c r="AZ33" s="1061"/>
      <c r="BA33" s="565"/>
      <c r="BB33" s="565"/>
      <c r="BC33" s="565" t="str">
        <f t="shared" si="16"/>
        <v/>
      </c>
      <c r="BD33" s="5">
        <v>28</v>
      </c>
      <c r="BE33" s="1061" t="str">
        <f t="shared" si="7"/>
        <v/>
      </c>
      <c r="BF33" s="1061"/>
      <c r="BG33" s="1061"/>
      <c r="BH33" s="1061"/>
      <c r="BI33" s="1061"/>
      <c r="BJ33" s="565"/>
      <c r="BK33" s="565"/>
      <c r="BL33" s="565" t="str">
        <f t="shared" si="17"/>
        <v/>
      </c>
      <c r="BM33" s="5">
        <v>28</v>
      </c>
      <c r="BN33" s="1061" t="str">
        <f t="shared" si="8"/>
        <v/>
      </c>
      <c r="BO33" s="1061"/>
      <c r="BP33" s="1061"/>
      <c r="BQ33" s="1061"/>
      <c r="BR33" s="1061"/>
      <c r="BS33" s="565"/>
      <c r="BT33" s="565"/>
      <c r="BU33" s="565" t="str">
        <f t="shared" si="18"/>
        <v/>
      </c>
      <c r="BV33" s="5">
        <v>28</v>
      </c>
      <c r="BW33" s="1061" t="str">
        <f t="shared" si="9"/>
        <v/>
      </c>
      <c r="BX33" s="1061"/>
      <c r="BY33" s="1061"/>
      <c r="BZ33" s="1061"/>
      <c r="CA33" s="1061"/>
      <c r="CB33" s="565"/>
      <c r="CC33" s="565" t="str">
        <f t="shared" si="19"/>
        <v/>
      </c>
      <c r="CD33" s="565"/>
      <c r="CE33" s="565"/>
      <c r="CF33" s="565"/>
      <c r="CG33" s="565"/>
      <c r="CH33" s="565"/>
      <c r="CI33" s="565">
        <v>36</v>
      </c>
      <c r="CJ33" s="565">
        <f>Character_Creation!C372</f>
        <v>0</v>
      </c>
      <c r="CK33" s="565" t="str">
        <f>IFERROR(INDEX(T08_Spells!$C$3:$C$1000,MATCH(S01_Bard!$CJ33,T08_Spells!$B$3:$B$1000,0),1),"")</f>
        <v/>
      </c>
      <c r="CL33" s="565">
        <f t="shared" si="29"/>
        <v>0</v>
      </c>
      <c r="CM33" s="565">
        <f>IF(CL33=0,0,1+COUNTIF(CM$6:CM32,"&gt;0"))</f>
        <v>0</v>
      </c>
      <c r="CN33" s="565">
        <f t="shared" si="21"/>
        <v>0</v>
      </c>
      <c r="CO33" s="565">
        <f>IF(CN33=0,0,1+COUNTIF(CO$6:CO32,"&gt;0"))</f>
        <v>0</v>
      </c>
      <c r="CP33" s="565">
        <f t="shared" si="22"/>
        <v>0</v>
      </c>
      <c r="CQ33" s="565">
        <f>IF(CP33=0,0,1+COUNTIF(CQ$6:CQ32,"&gt;0"))</f>
        <v>0</v>
      </c>
      <c r="CR33" s="565">
        <f t="shared" si="23"/>
        <v>0</v>
      </c>
      <c r="CS33" s="565">
        <f>IF(CR33=0,0,1+COUNTIF(CS$6:CS32,"&gt;0"))</f>
        <v>0</v>
      </c>
      <c r="CT33" s="565">
        <f t="shared" si="24"/>
        <v>0</v>
      </c>
      <c r="CU33" s="565">
        <f>IF(CT33=0,0,1+COUNTIF(CU$6:CU32,"&gt;0"))</f>
        <v>0</v>
      </c>
      <c r="CV33" s="565">
        <f t="shared" si="25"/>
        <v>0</v>
      </c>
      <c r="CW33" s="565">
        <f>IF(CV33=0,0,1+COUNTIF(CW$6:CW32,"&gt;0"))</f>
        <v>0</v>
      </c>
      <c r="CX33" s="565">
        <f t="shared" si="26"/>
        <v>0</v>
      </c>
      <c r="CY33" s="565">
        <f>IF(CX33=0,0,1+COUNTIF(CY$6:CY32,"&gt;0"))</f>
        <v>0</v>
      </c>
      <c r="CZ33" s="565">
        <f t="shared" si="27"/>
        <v>0</v>
      </c>
      <c r="DA33" s="565">
        <f>IF(CZ33=0,0,1+COUNTIF(DA$6:DA32,"&gt;0"))</f>
        <v>0</v>
      </c>
      <c r="DB33" s="565">
        <f t="shared" si="28"/>
        <v>0</v>
      </c>
      <c r="DC33" s="565">
        <f>IF(DB33=0,0,1+COUNTIF(DC$6:DC32,"&gt;0"))</f>
        <v>0</v>
      </c>
      <c r="DD33" s="565"/>
      <c r="DE33" s="565"/>
      <c r="DF33" s="565"/>
    </row>
    <row r="34" spans="1:110" x14ac:dyDescent="0.25">
      <c r="A34" s="120"/>
      <c r="B34" s="5">
        <v>29</v>
      </c>
      <c r="C34" s="1061" t="str">
        <f t="shared" si="0"/>
        <v/>
      </c>
      <c r="D34" s="1061"/>
      <c r="E34" s="1061"/>
      <c r="F34" s="1061"/>
      <c r="G34" s="1061"/>
      <c r="H34" s="565"/>
      <c r="I34" s="565" t="str">
        <f t="shared" si="11"/>
        <v/>
      </c>
      <c r="J34" s="565"/>
      <c r="K34" s="5">
        <v>29</v>
      </c>
      <c r="L34" s="1061" t="str">
        <f t="shared" si="1"/>
        <v/>
      </c>
      <c r="M34" s="1061"/>
      <c r="N34" s="1061"/>
      <c r="O34" s="1061"/>
      <c r="P34" s="1061"/>
      <c r="Q34" s="565"/>
      <c r="R34" s="565"/>
      <c r="S34" s="565" t="str">
        <f t="shared" si="12"/>
        <v/>
      </c>
      <c r="T34" s="5">
        <v>29</v>
      </c>
      <c r="U34" s="1061" t="str">
        <f t="shared" si="2"/>
        <v/>
      </c>
      <c r="V34" s="1061"/>
      <c r="W34" s="1061"/>
      <c r="X34" s="1061"/>
      <c r="Y34" s="1061"/>
      <c r="Z34" s="565" t="str">
        <f t="shared" si="3"/>
        <v/>
      </c>
      <c r="AA34" s="565"/>
      <c r="AB34" s="565" t="str">
        <f t="shared" si="13"/>
        <v/>
      </c>
      <c r="AC34" s="5">
        <v>29</v>
      </c>
      <c r="AD34" s="1061" t="str">
        <f t="shared" si="4"/>
        <v/>
      </c>
      <c r="AE34" s="1061"/>
      <c r="AF34" s="1061"/>
      <c r="AG34" s="1061"/>
      <c r="AH34" s="1061"/>
      <c r="AI34" s="565" t="s">
        <v>3034</v>
      </c>
      <c r="AJ34" s="565"/>
      <c r="AK34" s="565" t="str">
        <f t="shared" si="14"/>
        <v/>
      </c>
      <c r="AL34" s="5">
        <v>29</v>
      </c>
      <c r="AM34" s="1061" t="str">
        <f t="shared" si="5"/>
        <v/>
      </c>
      <c r="AN34" s="1061"/>
      <c r="AO34" s="1061"/>
      <c r="AP34" s="1061"/>
      <c r="AQ34" s="1061"/>
      <c r="AR34" s="565"/>
      <c r="AS34" s="565"/>
      <c r="AT34" s="565" t="str">
        <f t="shared" si="15"/>
        <v/>
      </c>
      <c r="AU34" s="5">
        <v>29</v>
      </c>
      <c r="AV34" s="1061" t="str">
        <f t="shared" si="6"/>
        <v/>
      </c>
      <c r="AW34" s="1061"/>
      <c r="AX34" s="1061"/>
      <c r="AY34" s="1061"/>
      <c r="AZ34" s="1061"/>
      <c r="BA34" s="565"/>
      <c r="BB34" s="565"/>
      <c r="BC34" s="565" t="str">
        <f t="shared" si="16"/>
        <v/>
      </c>
      <c r="BD34" s="5">
        <v>29</v>
      </c>
      <c r="BE34" s="1061" t="str">
        <f t="shared" si="7"/>
        <v/>
      </c>
      <c r="BF34" s="1061"/>
      <c r="BG34" s="1061"/>
      <c r="BH34" s="1061"/>
      <c r="BI34" s="1061"/>
      <c r="BJ34" s="565"/>
      <c r="BK34" s="565"/>
      <c r="BL34" s="565" t="str">
        <f t="shared" si="17"/>
        <v/>
      </c>
      <c r="BM34" s="5">
        <v>29</v>
      </c>
      <c r="BN34" s="1061" t="str">
        <f t="shared" si="8"/>
        <v/>
      </c>
      <c r="BO34" s="1061"/>
      <c r="BP34" s="1061"/>
      <c r="BQ34" s="1061"/>
      <c r="BR34" s="1061"/>
      <c r="BS34" s="565"/>
      <c r="BT34" s="565"/>
      <c r="BU34" s="565" t="str">
        <f t="shared" si="18"/>
        <v/>
      </c>
      <c r="BV34" s="5">
        <v>29</v>
      </c>
      <c r="BW34" s="1061" t="str">
        <f t="shared" si="9"/>
        <v/>
      </c>
      <c r="BX34" s="1061"/>
      <c r="BY34" s="1061"/>
      <c r="BZ34" s="1061"/>
      <c r="CA34" s="1061"/>
      <c r="CB34" s="565"/>
      <c r="CC34" s="565" t="str">
        <f t="shared" si="19"/>
        <v/>
      </c>
      <c r="CD34" s="565"/>
      <c r="CE34" s="565"/>
      <c r="CF34" s="565"/>
      <c r="CG34" s="565"/>
      <c r="CH34" s="565"/>
      <c r="CI34" s="565">
        <v>37</v>
      </c>
      <c r="CJ34" s="565">
        <f>Character_Creation!C373</f>
        <v>0</v>
      </c>
      <c r="CK34" s="565" t="str">
        <f>IFERROR(INDEX(T08_Spells!$C$3:$C$1000,MATCH(S01_Bard!$CJ34,T08_Spells!$B$3:$B$1000,0),1),"")</f>
        <v/>
      </c>
      <c r="CL34" s="565">
        <f t="shared" si="29"/>
        <v>0</v>
      </c>
      <c r="CM34" s="565">
        <f>IF(CL34=0,0,1+COUNTIF(CM$6:CM33,"&gt;0"))</f>
        <v>0</v>
      </c>
      <c r="CN34" s="565">
        <f t="shared" si="21"/>
        <v>0</v>
      </c>
      <c r="CO34" s="565">
        <f>IF(CN34=0,0,1+COUNTIF(CO$6:CO33,"&gt;0"))</f>
        <v>0</v>
      </c>
      <c r="CP34" s="565">
        <f t="shared" si="22"/>
        <v>0</v>
      </c>
      <c r="CQ34" s="565">
        <f>IF(CP34=0,0,1+COUNTIF(CQ$6:CQ33,"&gt;0"))</f>
        <v>0</v>
      </c>
      <c r="CR34" s="565">
        <f t="shared" si="23"/>
        <v>0</v>
      </c>
      <c r="CS34" s="565">
        <f>IF(CR34=0,0,1+COUNTIF(CS$6:CS33,"&gt;0"))</f>
        <v>0</v>
      </c>
      <c r="CT34" s="565">
        <f t="shared" si="24"/>
        <v>0</v>
      </c>
      <c r="CU34" s="565">
        <f>IF(CT34=0,0,1+COUNTIF(CU$6:CU33,"&gt;0"))</f>
        <v>0</v>
      </c>
      <c r="CV34" s="565">
        <f t="shared" si="25"/>
        <v>0</v>
      </c>
      <c r="CW34" s="565">
        <f>IF(CV34=0,0,1+COUNTIF(CW$6:CW33,"&gt;0"))</f>
        <v>0</v>
      </c>
      <c r="CX34" s="565">
        <f t="shared" si="26"/>
        <v>0</v>
      </c>
      <c r="CY34" s="565">
        <f>IF(CX34=0,0,1+COUNTIF(CY$6:CY33,"&gt;0"))</f>
        <v>0</v>
      </c>
      <c r="CZ34" s="565">
        <f t="shared" si="27"/>
        <v>0</v>
      </c>
      <c r="DA34" s="565">
        <f>IF(CZ34=0,0,1+COUNTIF(DA$6:DA33,"&gt;0"))</f>
        <v>0</v>
      </c>
      <c r="DB34" s="565">
        <f t="shared" si="28"/>
        <v>0</v>
      </c>
      <c r="DC34" s="565">
        <f>IF(DB34=0,0,1+COUNTIF(DC$6:DC33,"&gt;0"))</f>
        <v>0</v>
      </c>
      <c r="DD34" s="565"/>
      <c r="DE34" s="565"/>
      <c r="DF34" s="565"/>
    </row>
    <row r="35" spans="1:110" x14ac:dyDescent="0.25">
      <c r="A35" s="120"/>
      <c r="B35" s="5">
        <v>30</v>
      </c>
      <c r="C35" s="1061" t="str">
        <f t="shared" si="0"/>
        <v/>
      </c>
      <c r="D35" s="1061"/>
      <c r="E35" s="1061"/>
      <c r="F35" s="1061"/>
      <c r="G35" s="1061"/>
      <c r="H35" s="565"/>
      <c r="I35" s="565" t="str">
        <f t="shared" si="11"/>
        <v/>
      </c>
      <c r="J35" s="565"/>
      <c r="K35" s="5">
        <v>30</v>
      </c>
      <c r="L35" s="1061" t="str">
        <f t="shared" si="1"/>
        <v/>
      </c>
      <c r="M35" s="1061"/>
      <c r="N35" s="1061"/>
      <c r="O35" s="1061"/>
      <c r="P35" s="1061"/>
      <c r="Q35" s="565"/>
      <c r="R35" s="565"/>
      <c r="S35" s="565" t="str">
        <f t="shared" si="12"/>
        <v/>
      </c>
      <c r="T35" s="5">
        <v>30</v>
      </c>
      <c r="U35" s="1061" t="str">
        <f t="shared" si="2"/>
        <v/>
      </c>
      <c r="V35" s="1061"/>
      <c r="W35" s="1061"/>
      <c r="X35" s="1061"/>
      <c r="Y35" s="1061"/>
      <c r="Z35" s="565" t="str">
        <f t="shared" si="3"/>
        <v/>
      </c>
      <c r="AA35" s="565"/>
      <c r="AB35" s="565" t="str">
        <f t="shared" si="13"/>
        <v/>
      </c>
      <c r="AC35" s="5">
        <v>30</v>
      </c>
      <c r="AD35" s="1061" t="str">
        <f t="shared" si="4"/>
        <v/>
      </c>
      <c r="AE35" s="1061"/>
      <c r="AF35" s="1061"/>
      <c r="AG35" s="1061"/>
      <c r="AH35" s="1061"/>
      <c r="AI35" s="565" t="s">
        <v>3034</v>
      </c>
      <c r="AJ35" s="565"/>
      <c r="AK35" s="565" t="str">
        <f t="shared" si="14"/>
        <v/>
      </c>
      <c r="AL35" s="5">
        <v>30</v>
      </c>
      <c r="AM35" s="1061" t="str">
        <f t="shared" si="5"/>
        <v/>
      </c>
      <c r="AN35" s="1061"/>
      <c r="AO35" s="1061"/>
      <c r="AP35" s="1061"/>
      <c r="AQ35" s="1061"/>
      <c r="AR35" s="565"/>
      <c r="AS35" s="565"/>
      <c r="AT35" s="565" t="str">
        <f t="shared" si="15"/>
        <v/>
      </c>
      <c r="AU35" s="5">
        <v>30</v>
      </c>
      <c r="AV35" s="1061" t="str">
        <f t="shared" si="6"/>
        <v/>
      </c>
      <c r="AW35" s="1061"/>
      <c r="AX35" s="1061"/>
      <c r="AY35" s="1061"/>
      <c r="AZ35" s="1061"/>
      <c r="BA35" s="565"/>
      <c r="BB35" s="565"/>
      <c r="BC35" s="565" t="str">
        <f t="shared" si="16"/>
        <v/>
      </c>
      <c r="BD35" s="5">
        <v>30</v>
      </c>
      <c r="BE35" s="1061" t="str">
        <f t="shared" si="7"/>
        <v/>
      </c>
      <c r="BF35" s="1061"/>
      <c r="BG35" s="1061"/>
      <c r="BH35" s="1061"/>
      <c r="BI35" s="1061"/>
      <c r="BJ35" s="565"/>
      <c r="BK35" s="565"/>
      <c r="BL35" s="565" t="str">
        <f t="shared" si="17"/>
        <v/>
      </c>
      <c r="BM35" s="5">
        <v>30</v>
      </c>
      <c r="BN35" s="1061" t="str">
        <f t="shared" si="8"/>
        <v/>
      </c>
      <c r="BO35" s="1061"/>
      <c r="BP35" s="1061"/>
      <c r="BQ35" s="1061"/>
      <c r="BR35" s="1061"/>
      <c r="BS35" s="565"/>
      <c r="BT35" s="565"/>
      <c r="BU35" s="565" t="str">
        <f t="shared" si="18"/>
        <v/>
      </c>
      <c r="BV35" s="5">
        <v>30</v>
      </c>
      <c r="BW35" s="1061" t="str">
        <f t="shared" si="9"/>
        <v/>
      </c>
      <c r="BX35" s="1061"/>
      <c r="BY35" s="1061"/>
      <c r="BZ35" s="1061"/>
      <c r="CA35" s="1061"/>
      <c r="CB35" s="565"/>
      <c r="CC35" s="565" t="str">
        <f t="shared" si="19"/>
        <v/>
      </c>
      <c r="CD35" s="565"/>
      <c r="CE35" s="565"/>
      <c r="CF35" s="565"/>
      <c r="CG35" s="565"/>
      <c r="CH35" s="565"/>
      <c r="CI35" s="565">
        <v>38</v>
      </c>
      <c r="CJ35" s="565">
        <f>Character_Creation!C374</f>
        <v>0</v>
      </c>
      <c r="CK35" s="565" t="str">
        <f>IFERROR(INDEX(T08_Spells!$C$3:$C$1000,MATCH(S01_Bard!$CJ35,T08_Spells!$B$3:$B$1000,0),1),"")</f>
        <v/>
      </c>
      <c r="CL35" s="565">
        <f t="shared" si="29"/>
        <v>0</v>
      </c>
      <c r="CM35" s="565">
        <f>IF(CL35=0,0,1+COUNTIF(CM$6:CM34,"&gt;0"))</f>
        <v>0</v>
      </c>
      <c r="CN35" s="565">
        <f t="shared" si="21"/>
        <v>0</v>
      </c>
      <c r="CO35" s="565">
        <f>IF(CN35=0,0,1+COUNTIF(CO$6:CO34,"&gt;0"))</f>
        <v>0</v>
      </c>
      <c r="CP35" s="565">
        <f t="shared" si="22"/>
        <v>0</v>
      </c>
      <c r="CQ35" s="565">
        <f>IF(CP35=0,0,1+COUNTIF(CQ$6:CQ34,"&gt;0"))</f>
        <v>0</v>
      </c>
      <c r="CR35" s="565">
        <f t="shared" si="23"/>
        <v>0</v>
      </c>
      <c r="CS35" s="565">
        <f>IF(CR35=0,0,1+COUNTIF(CS$6:CS34,"&gt;0"))</f>
        <v>0</v>
      </c>
      <c r="CT35" s="565">
        <f t="shared" si="24"/>
        <v>0</v>
      </c>
      <c r="CU35" s="565">
        <f>IF(CT35=0,0,1+COUNTIF(CU$6:CU34,"&gt;0"))</f>
        <v>0</v>
      </c>
      <c r="CV35" s="565">
        <f t="shared" si="25"/>
        <v>0</v>
      </c>
      <c r="CW35" s="565">
        <f>IF(CV35=0,0,1+COUNTIF(CW$6:CW34,"&gt;0"))</f>
        <v>0</v>
      </c>
      <c r="CX35" s="565">
        <f t="shared" si="26"/>
        <v>0</v>
      </c>
      <c r="CY35" s="565">
        <f>IF(CX35=0,0,1+COUNTIF(CY$6:CY34,"&gt;0"))</f>
        <v>0</v>
      </c>
      <c r="CZ35" s="565">
        <f t="shared" si="27"/>
        <v>0</v>
      </c>
      <c r="DA35" s="565">
        <f>IF(CZ35=0,0,1+COUNTIF(DA$6:DA34,"&gt;0"))</f>
        <v>0</v>
      </c>
      <c r="DB35" s="565">
        <f t="shared" si="28"/>
        <v>0</v>
      </c>
      <c r="DC35" s="565">
        <f>IF(DB35=0,0,1+COUNTIF(DC$6:DC34,"&gt;0"))</f>
        <v>0</v>
      </c>
      <c r="DD35" s="565"/>
      <c r="DE35" s="565"/>
      <c r="DF35" s="565"/>
    </row>
    <row r="36" spans="1:110" x14ac:dyDescent="0.25">
      <c r="A36" s="120"/>
      <c r="B36" s="120"/>
      <c r="C36" s="120"/>
      <c r="D36" s="120"/>
      <c r="E36" s="120"/>
      <c r="F36" s="120"/>
      <c r="G36" s="120"/>
      <c r="H36" s="565"/>
      <c r="I36" s="565"/>
      <c r="J36" s="565"/>
      <c r="K36" s="565"/>
      <c r="L36" s="565"/>
      <c r="M36" s="565"/>
      <c r="N36" s="565"/>
      <c r="O36" s="565"/>
      <c r="P36" s="565"/>
      <c r="Q36" s="565"/>
      <c r="R36" s="565"/>
      <c r="S36" s="565" t="str">
        <f>IF(L36="","",IF(Q36="",L36&amp;", ",L36&amp;" - prep"&amp;", "))</f>
        <v/>
      </c>
      <c r="T36" s="565"/>
      <c r="U36" s="565"/>
      <c r="V36" s="565"/>
      <c r="W36" s="565"/>
      <c r="X36" s="565"/>
      <c r="Y36" s="565"/>
      <c r="Z36" s="565"/>
      <c r="AA36" s="565"/>
      <c r="AB36" s="565" t="str">
        <f>IF(U36="","",IF(Z36="",U36&amp;", ",U36&amp;" - prep"&amp;", "))</f>
        <v/>
      </c>
      <c r="AC36" s="565"/>
      <c r="AD36" s="565"/>
      <c r="AE36" s="565"/>
      <c r="AF36" s="565"/>
      <c r="AG36" s="565"/>
      <c r="AH36" s="565"/>
      <c r="AI36" s="565"/>
      <c r="AJ36" s="565"/>
      <c r="AK36" s="565" t="str">
        <f>IF(AD36="","",IF(AI36="",AD36&amp;", ",AD36&amp;" - prep"&amp;", "))</f>
        <v/>
      </c>
      <c r="AL36" s="565"/>
      <c r="AM36" s="565"/>
      <c r="AN36" s="565"/>
      <c r="AO36" s="565"/>
      <c r="AP36" s="565"/>
      <c r="AQ36" s="565"/>
      <c r="AR36" s="565"/>
      <c r="AS36" s="565"/>
      <c r="AT36" s="565" t="str">
        <f>IF(AM36="","",IF(AR36="",AM36&amp;", ",AM36&amp;" - prep"&amp;", "))</f>
        <v/>
      </c>
      <c r="AU36" s="565"/>
      <c r="AV36" s="565"/>
      <c r="AW36" s="565"/>
      <c r="AX36" s="565"/>
      <c r="AY36" s="565"/>
      <c r="AZ36" s="565"/>
      <c r="BA36" s="565"/>
      <c r="BB36" s="565"/>
      <c r="BC36" s="565" t="str">
        <f>IF(AV36="","",IF(BA36="",AV36&amp;", ",AV36&amp;" - prep"&amp;", "))</f>
        <v/>
      </c>
      <c r="BD36" s="565"/>
      <c r="BE36" s="565"/>
      <c r="BF36" s="565"/>
      <c r="BG36" s="565"/>
      <c r="BH36" s="565"/>
      <c r="BI36" s="565"/>
      <c r="BJ36" s="565"/>
      <c r="BK36" s="565"/>
      <c r="BL36" s="565" t="str">
        <f>IF(BE36="","",IF(BJ36="",BE36&amp;", ",BE36&amp;" - prep"&amp;", "))</f>
        <v/>
      </c>
      <c r="BM36" s="565"/>
      <c r="BN36" s="565"/>
      <c r="BO36" s="565"/>
      <c r="BP36" s="565"/>
      <c r="BQ36" s="565"/>
      <c r="BR36" s="565"/>
      <c r="BS36" s="565"/>
      <c r="BT36" s="565"/>
      <c r="BU36" s="565" t="str">
        <f>IF(BN36="","",IF(BS36="",BN36&amp;", ",BN36&amp;" - prep"&amp;", "))</f>
        <v/>
      </c>
      <c r="BV36" s="565"/>
      <c r="BW36" s="565"/>
      <c r="BX36" s="565"/>
      <c r="BY36" s="565"/>
      <c r="BZ36" s="565"/>
      <c r="CA36" s="565"/>
      <c r="CB36" s="565"/>
      <c r="CC36" s="565" t="str">
        <f>IF(BW36="","",IF(CB36="",BW36&amp;", ",BW36&amp;" - prep"&amp;", "))</f>
        <v/>
      </c>
      <c r="CD36" s="565"/>
      <c r="CE36" s="565"/>
      <c r="CF36" s="565"/>
      <c r="CG36" s="565"/>
      <c r="CH36" s="565"/>
      <c r="CI36" s="565"/>
      <c r="CJ36" s="565"/>
      <c r="CK36" s="565"/>
      <c r="CL36" s="565"/>
      <c r="CM36" s="565"/>
      <c r="CN36" s="565"/>
      <c r="CO36" s="565"/>
      <c r="CP36" s="565"/>
      <c r="CQ36" s="565"/>
      <c r="CR36" s="565"/>
      <c r="CS36" s="565"/>
      <c r="CT36" s="565"/>
      <c r="CU36" s="565"/>
      <c r="CV36" s="565"/>
      <c r="CW36" s="565"/>
      <c r="CX36" s="565"/>
      <c r="CY36" s="565"/>
      <c r="CZ36" s="565"/>
      <c r="DA36" s="565"/>
      <c r="DB36" s="565"/>
      <c r="DC36" s="565"/>
      <c r="DD36" s="565"/>
      <c r="DE36" s="565"/>
      <c r="DF36" s="565"/>
    </row>
    <row r="37" spans="1:110" x14ac:dyDescent="0.25">
      <c r="A37" s="120"/>
      <c r="B37" s="1062" t="str">
        <f>IF(SpellcastingBard&gt;0,"Bard Spells"&amp;CHAR(10)&amp;M37&amp;V37&amp;AE37&amp;AN37&amp;AW37&amp;BF37&amp;BO37&amp;BX37&amp;CF37,"")</f>
        <v/>
      </c>
      <c r="C37" s="1062"/>
      <c r="D37" s="1062"/>
      <c r="E37" s="1062"/>
      <c r="F37" s="1062"/>
      <c r="G37" s="1062"/>
      <c r="H37" s="1062"/>
      <c r="I37" s="566">
        <v>1</v>
      </c>
      <c r="J37" s="566"/>
      <c r="K37" s="565" t="str">
        <f>I6</f>
        <v/>
      </c>
      <c r="L37" s="565" t="str">
        <f>K37</f>
        <v/>
      </c>
      <c r="M37" s="565" t="str">
        <f>IF(M38="","","1st level: "&amp;M38&amp;CHAR(10))</f>
        <v/>
      </c>
      <c r="N37" s="565"/>
      <c r="O37" s="565"/>
      <c r="P37" s="565"/>
      <c r="Q37" s="565"/>
      <c r="R37" s="565"/>
      <c r="S37" s="566">
        <v>1</v>
      </c>
      <c r="T37" s="565" t="str">
        <f>S6</f>
        <v/>
      </c>
      <c r="U37" s="565" t="str">
        <f>T37</f>
        <v/>
      </c>
      <c r="V37" s="565" t="str">
        <f>IF(V38="","","2nd level: "&amp;V38&amp;CHAR(10))</f>
        <v/>
      </c>
      <c r="W37" s="565"/>
      <c r="X37" s="565"/>
      <c r="Y37" s="565"/>
      <c r="Z37" s="565"/>
      <c r="AA37" s="565"/>
      <c r="AB37" s="566">
        <v>1</v>
      </c>
      <c r="AC37" s="565" t="str">
        <f>AB6</f>
        <v/>
      </c>
      <c r="AD37" s="565" t="str">
        <f>AC37</f>
        <v/>
      </c>
      <c r="AE37" s="565" t="str">
        <f>IF(AE38="","","3rd level: "&amp;AE38&amp;CHAR(10))</f>
        <v/>
      </c>
      <c r="AF37" s="565"/>
      <c r="AG37" s="565"/>
      <c r="AH37" s="565"/>
      <c r="AI37" s="565"/>
      <c r="AJ37" s="565"/>
      <c r="AK37" s="565">
        <v>1</v>
      </c>
      <c r="AL37" s="565" t="str">
        <f>AK6</f>
        <v/>
      </c>
      <c r="AM37" s="565" t="str">
        <f>AL37</f>
        <v/>
      </c>
      <c r="AN37" s="565" t="str">
        <f>IF(AN38="","","4th level: "&amp;AN38&amp;CHAR(10))</f>
        <v/>
      </c>
      <c r="AO37" s="565"/>
      <c r="AP37" s="565"/>
      <c r="AQ37" s="565"/>
      <c r="AR37" s="565"/>
      <c r="AS37" s="565"/>
      <c r="AT37" s="565">
        <v>1</v>
      </c>
      <c r="AU37" s="565" t="str">
        <f>AT6</f>
        <v/>
      </c>
      <c r="AV37" s="565" t="str">
        <f>AU37</f>
        <v/>
      </c>
      <c r="AW37" s="565" t="str">
        <f>IF(AW38="","","5th level: "&amp;AW38&amp;CHAR(10))</f>
        <v/>
      </c>
      <c r="AX37" s="566"/>
      <c r="AY37" s="565"/>
      <c r="AZ37" s="565"/>
      <c r="BA37" s="565"/>
      <c r="BB37" s="565"/>
      <c r="BC37" s="565">
        <v>1</v>
      </c>
      <c r="BD37" s="565" t="str">
        <f>BC6</f>
        <v/>
      </c>
      <c r="BE37" s="565" t="str">
        <f>BD37</f>
        <v/>
      </c>
      <c r="BF37" s="565" t="str">
        <f>IF(BF38="","","6th level: "&amp;BF38&amp;CHAR(10))</f>
        <v/>
      </c>
      <c r="BG37" s="565"/>
      <c r="BH37" s="565"/>
      <c r="BI37" s="565"/>
      <c r="BJ37" s="565"/>
      <c r="BK37" s="565"/>
      <c r="BL37" s="565">
        <v>1</v>
      </c>
      <c r="BM37" s="565" t="str">
        <f>BL6</f>
        <v/>
      </c>
      <c r="BN37" s="565" t="str">
        <f>BM37</f>
        <v/>
      </c>
      <c r="BO37" s="565" t="str">
        <f>IF(BO38="","","7th level: "&amp;BO38&amp;CHAR(10))</f>
        <v/>
      </c>
      <c r="BP37" s="565"/>
      <c r="BQ37" s="565"/>
      <c r="BR37" s="565"/>
      <c r="BS37" s="565"/>
      <c r="BT37" s="565"/>
      <c r="BU37" s="565">
        <v>1</v>
      </c>
      <c r="BV37" s="565" t="str">
        <f>BU6</f>
        <v/>
      </c>
      <c r="BW37" s="565" t="str">
        <f>BV37</f>
        <v/>
      </c>
      <c r="BX37" s="565" t="str">
        <f>IF(BX38="","","8th level: "&amp;BX38&amp;CHAR(10))</f>
        <v/>
      </c>
      <c r="BY37" s="565"/>
      <c r="BZ37" s="565"/>
      <c r="CA37" s="565"/>
      <c r="CB37" s="565"/>
      <c r="CC37" s="565">
        <v>1</v>
      </c>
      <c r="CD37" s="565" t="str">
        <f>CC6</f>
        <v/>
      </c>
      <c r="CE37" s="565" t="str">
        <f>CD37</f>
        <v/>
      </c>
      <c r="CF37" s="565" t="str">
        <f>IF(CF38="","","9th level: "&amp;CF38&amp;CHAR(10))</f>
        <v/>
      </c>
      <c r="CG37" s="565"/>
      <c r="CH37" s="565"/>
      <c r="CI37" s="565"/>
      <c r="CJ37" s="565"/>
      <c r="CK37" s="565"/>
      <c r="CL37" s="565"/>
      <c r="CM37" s="565"/>
      <c r="CN37" s="565"/>
      <c r="CO37" s="565"/>
      <c r="CP37" s="565"/>
      <c r="CQ37" s="565"/>
      <c r="CR37" s="565"/>
      <c r="CS37" s="565"/>
      <c r="CT37" s="565"/>
      <c r="CU37" s="565"/>
      <c r="CV37" s="565"/>
      <c r="CW37" s="565"/>
      <c r="CX37" s="565"/>
      <c r="CY37" s="565"/>
      <c r="CZ37" s="565"/>
      <c r="DA37" s="565"/>
      <c r="DB37" s="565"/>
      <c r="DC37" s="565"/>
      <c r="DD37" s="565"/>
      <c r="DE37" s="565"/>
      <c r="DF37" s="565"/>
    </row>
    <row r="38" spans="1:110" x14ac:dyDescent="0.25">
      <c r="A38" s="120"/>
      <c r="B38" s="1062"/>
      <c r="C38" s="1062"/>
      <c r="D38" s="1062"/>
      <c r="E38" s="1062"/>
      <c r="F38" s="1062"/>
      <c r="G38" s="1062"/>
      <c r="H38" s="1062"/>
      <c r="I38" s="566">
        <v>2</v>
      </c>
      <c r="J38" s="566"/>
      <c r="K38" s="565" t="str">
        <f t="shared" ref="K38:K66" si="30">I7</f>
        <v/>
      </c>
      <c r="L38" s="565" t="str">
        <f t="shared" ref="L38:L66" si="31">K38</f>
        <v/>
      </c>
      <c r="M38" s="565" t="str">
        <f>L37&amp;L38&amp;L39&amp;L40&amp;L41&amp;L42&amp;L43&amp;L44&amp;L45&amp;L46&amp;L48&amp;L47&amp;L49&amp;L50&amp;L51&amp;L52&amp;L54&amp;L55&amp;L53&amp;L56&amp;L57&amp;L58&amp;L59&amp;L60&amp;L61&amp;L62&amp;L63&amp;L64&amp;L65&amp;L66</f>
        <v/>
      </c>
      <c r="N38" s="565"/>
      <c r="O38" s="565"/>
      <c r="P38" s="565"/>
      <c r="Q38" s="565"/>
      <c r="R38" s="565"/>
      <c r="S38" s="566">
        <v>2</v>
      </c>
      <c r="T38" s="565" t="str">
        <f t="shared" ref="T38:T66" si="32">S7</f>
        <v/>
      </c>
      <c r="U38" s="565" t="str">
        <f t="shared" ref="U38:U66" si="33">T38</f>
        <v/>
      </c>
      <c r="V38" s="565" t="str">
        <f>U37&amp;U38&amp;U39&amp;U40&amp;U41&amp;U42&amp;U43&amp;U44&amp;U45&amp;U46&amp;U48&amp;U47&amp;U49&amp;U50&amp;U51&amp;U52&amp;U54&amp;U55&amp;U53&amp;U56&amp;U57&amp;U58&amp;U59&amp;U60&amp;U61&amp;U62&amp;U63&amp;U64&amp;U65&amp;U66</f>
        <v/>
      </c>
      <c r="W38" s="565"/>
      <c r="X38" s="565"/>
      <c r="Y38" s="565"/>
      <c r="Z38" s="565"/>
      <c r="AA38" s="565"/>
      <c r="AB38" s="566">
        <v>2</v>
      </c>
      <c r="AC38" s="565" t="str">
        <f t="shared" ref="AC38:AC66" si="34">AB7</f>
        <v/>
      </c>
      <c r="AD38" s="565" t="str">
        <f t="shared" ref="AD38:AD66" si="35">AC38</f>
        <v/>
      </c>
      <c r="AE38" s="565" t="str">
        <f>AD37&amp;AD38&amp;AD39&amp;AD40&amp;AD41&amp;AD42&amp;AD43&amp;AD44&amp;AD45&amp;AD46&amp;AD48&amp;AD47&amp;AD49&amp;AD50&amp;AD51&amp;AD52&amp;AD54&amp;AD55&amp;AD53&amp;AD56&amp;AD57&amp;AD58&amp;AD59&amp;AD60&amp;AD61&amp;AD62&amp;AD63&amp;AD64&amp;AD65&amp;AD66</f>
        <v/>
      </c>
      <c r="AF38" s="565"/>
      <c r="AG38" s="565"/>
      <c r="AH38" s="565"/>
      <c r="AI38" s="565"/>
      <c r="AJ38" s="565"/>
      <c r="AK38" s="566">
        <v>2</v>
      </c>
      <c r="AL38" s="565" t="str">
        <f t="shared" ref="AL38:AL66" si="36">AK7</f>
        <v/>
      </c>
      <c r="AM38" s="565" t="str">
        <f t="shared" ref="AM38:AM66" si="37">AL38</f>
        <v/>
      </c>
      <c r="AN38" s="565" t="str">
        <f>AM37&amp;AM38&amp;AM39&amp;AM40&amp;AM41&amp;AM42&amp;AM43&amp;AM44&amp;AM45&amp;AM46&amp;AM48&amp;AM47&amp;AM49&amp;AM50&amp;AM51&amp;AM52&amp;AM54&amp;AM55&amp;AM53&amp;AM56&amp;AM57&amp;AM58&amp;AM59&amp;AM60&amp;AM61&amp;AM62&amp;AM63&amp;AM64&amp;AM65&amp;AM66</f>
        <v/>
      </c>
      <c r="AO38" s="565"/>
      <c r="AP38" s="565"/>
      <c r="AQ38" s="565"/>
      <c r="AR38" s="565"/>
      <c r="AS38" s="565"/>
      <c r="AT38" s="566">
        <v>2</v>
      </c>
      <c r="AU38" s="565" t="str">
        <f t="shared" ref="AU38:AU66" si="38">AT7</f>
        <v/>
      </c>
      <c r="AV38" s="565" t="str">
        <f t="shared" ref="AV38:AV66" si="39">AU38</f>
        <v/>
      </c>
      <c r="AW38" s="565" t="str">
        <f>AV37&amp;AV38&amp;AV39&amp;AV40&amp;AV41&amp;AV42&amp;AV43&amp;AV44&amp;AV45&amp;AV46&amp;AV48&amp;AV47&amp;AV49&amp;AV50&amp;AV51&amp;AV52&amp;AV54&amp;AV55&amp;AV53&amp;AV56&amp;AV57&amp;AV58&amp;AV59&amp;AV60&amp;AV61&amp;AV62&amp;AV63&amp;AV64&amp;AV65&amp;AV66</f>
        <v/>
      </c>
      <c r="AX38" s="566"/>
      <c r="AY38" s="565"/>
      <c r="AZ38" s="565"/>
      <c r="BA38" s="565"/>
      <c r="BB38" s="565"/>
      <c r="BC38" s="566">
        <v>2</v>
      </c>
      <c r="BD38" s="565" t="str">
        <f t="shared" ref="BD38:BD66" si="40">BC7</f>
        <v/>
      </c>
      <c r="BE38" s="565" t="str">
        <f t="shared" ref="BE38:BE66" si="41">BD38</f>
        <v/>
      </c>
      <c r="BF38" s="565" t="str">
        <f>BE37&amp;BE38&amp;BE39&amp;BE40&amp;BE41&amp;BE42&amp;BE43&amp;BE44&amp;BE45&amp;BE46&amp;BE48&amp;BE47&amp;BE49&amp;BE50&amp;BE51&amp;BE52&amp;BE54&amp;BE55&amp;BE53&amp;BE56&amp;BE57&amp;BE58&amp;BE59&amp;BE60&amp;BE61&amp;BE62&amp;BE63&amp;BE64&amp;BE65&amp;BE66</f>
        <v/>
      </c>
      <c r="BG38" s="565"/>
      <c r="BH38" s="565"/>
      <c r="BI38" s="565"/>
      <c r="BJ38" s="565"/>
      <c r="BK38" s="565"/>
      <c r="BL38" s="566">
        <v>2</v>
      </c>
      <c r="BM38" s="565" t="str">
        <f t="shared" ref="BM38:BM66" si="42">BL7</f>
        <v/>
      </c>
      <c r="BN38" s="565" t="str">
        <f t="shared" ref="BN38:BN66" si="43">BM38</f>
        <v/>
      </c>
      <c r="BO38" s="565" t="str">
        <f>BN37&amp;BN38&amp;BN39&amp;BN40&amp;BN41&amp;BN42&amp;BN43&amp;BN44&amp;BN45&amp;BN46&amp;BN48&amp;BN47&amp;BN49&amp;BN50&amp;BN51&amp;BN52&amp;BN54&amp;BN55&amp;BN53&amp;BN56&amp;BN57&amp;BN58&amp;BN59&amp;BN60&amp;BN61&amp;BN62&amp;BN63&amp;BN64&amp;BN65&amp;BN66</f>
        <v/>
      </c>
      <c r="BP38" s="565"/>
      <c r="BQ38" s="565"/>
      <c r="BR38" s="565"/>
      <c r="BS38" s="565"/>
      <c r="BT38" s="565"/>
      <c r="BU38" s="566">
        <v>2</v>
      </c>
      <c r="BV38" s="565" t="str">
        <f t="shared" ref="BV38:BV66" si="44">BU7</f>
        <v/>
      </c>
      <c r="BW38" s="565" t="str">
        <f t="shared" ref="BW38:BW66" si="45">BV38</f>
        <v/>
      </c>
      <c r="BX38" s="565" t="str">
        <f>BW37&amp;BW38&amp;BW39&amp;BW40&amp;BW41&amp;BW42&amp;BW43&amp;BW44&amp;BW45&amp;BW46&amp;BW48&amp;BW47&amp;BW49&amp;BW50&amp;BW51&amp;BW52&amp;BW54&amp;BW55&amp;BW53&amp;BW56&amp;BW57&amp;BW58&amp;BW59&amp;BW60&amp;BW61&amp;BW62&amp;BW63&amp;BW64&amp;BW65&amp;BW66</f>
        <v/>
      </c>
      <c r="BY38" s="565"/>
      <c r="BZ38" s="565"/>
      <c r="CA38" s="565"/>
      <c r="CB38" s="565"/>
      <c r="CC38" s="566">
        <v>2</v>
      </c>
      <c r="CD38" s="565" t="str">
        <f t="shared" ref="CD38:CD66" si="46">CC7</f>
        <v/>
      </c>
      <c r="CE38" s="565" t="str">
        <f t="shared" ref="CE38:CE66" si="47">CD38</f>
        <v/>
      </c>
      <c r="CF38" s="565" t="str">
        <f>CE37&amp;CE38&amp;CE39&amp;CE40&amp;CE41&amp;CE42&amp;CE43&amp;CE44&amp;CE45&amp;CE46&amp;CE48&amp;CE47&amp;CE49&amp;CE50&amp;CE51&amp;CE52&amp;CE54&amp;CE55&amp;CE53&amp;CE56&amp;CE57&amp;CE58&amp;CE59&amp;CE60&amp;CE61&amp;CE62&amp;CE63&amp;CE64&amp;CE65&amp;CE66</f>
        <v/>
      </c>
      <c r="CG38" s="565"/>
      <c r="CH38" s="565"/>
      <c r="CI38" s="565"/>
      <c r="CJ38" s="565"/>
      <c r="CK38" s="565"/>
      <c r="CL38" s="565"/>
      <c r="CM38" s="565"/>
      <c r="CN38" s="565"/>
      <c r="CO38" s="565"/>
      <c r="CP38" s="565"/>
      <c r="CQ38" s="565"/>
      <c r="CR38" s="565"/>
      <c r="CS38" s="565"/>
      <c r="CT38" s="565"/>
      <c r="CU38" s="565"/>
      <c r="CV38" s="565"/>
      <c r="CW38" s="565"/>
      <c r="CX38" s="565"/>
      <c r="CY38" s="565"/>
      <c r="CZ38" s="565"/>
      <c r="DA38" s="565"/>
      <c r="DB38" s="565"/>
      <c r="DC38" s="565"/>
      <c r="DD38" s="565"/>
      <c r="DE38" s="565"/>
      <c r="DF38" s="565"/>
    </row>
    <row r="39" spans="1:110" x14ac:dyDescent="0.25">
      <c r="A39" s="120"/>
      <c r="B39" s="1062"/>
      <c r="C39" s="1062"/>
      <c r="D39" s="1062"/>
      <c r="E39" s="1062"/>
      <c r="F39" s="1062"/>
      <c r="G39" s="1062"/>
      <c r="H39" s="1062"/>
      <c r="I39" s="566">
        <v>3</v>
      </c>
      <c r="J39" s="566"/>
      <c r="K39" s="565" t="str">
        <f t="shared" si="30"/>
        <v/>
      </c>
      <c r="L39" s="565" t="str">
        <f t="shared" si="31"/>
        <v/>
      </c>
      <c r="M39" s="565"/>
      <c r="N39" s="565"/>
      <c r="O39" s="565"/>
      <c r="P39" s="565"/>
      <c r="Q39" s="565"/>
      <c r="R39" s="565"/>
      <c r="S39" s="566">
        <v>3</v>
      </c>
      <c r="T39" s="565" t="str">
        <f t="shared" si="32"/>
        <v/>
      </c>
      <c r="U39" s="565" t="str">
        <f t="shared" si="33"/>
        <v/>
      </c>
      <c r="V39" s="565"/>
      <c r="W39" s="565"/>
      <c r="X39" s="565"/>
      <c r="Y39" s="565"/>
      <c r="Z39" s="565"/>
      <c r="AA39" s="565"/>
      <c r="AB39" s="566">
        <v>3</v>
      </c>
      <c r="AC39" s="565" t="str">
        <f t="shared" si="34"/>
        <v/>
      </c>
      <c r="AD39" s="565" t="str">
        <f t="shared" si="35"/>
        <v/>
      </c>
      <c r="AE39" s="565"/>
      <c r="AF39" s="565"/>
      <c r="AG39" s="565"/>
      <c r="AH39" s="565"/>
      <c r="AI39" s="565"/>
      <c r="AJ39" s="565"/>
      <c r="AK39" s="566">
        <v>3</v>
      </c>
      <c r="AL39" s="565" t="str">
        <f t="shared" si="36"/>
        <v/>
      </c>
      <c r="AM39" s="565" t="str">
        <f t="shared" si="37"/>
        <v/>
      </c>
      <c r="AN39" s="565"/>
      <c r="AO39" s="565"/>
      <c r="AP39" s="565"/>
      <c r="AQ39" s="565"/>
      <c r="AR39" s="565"/>
      <c r="AS39" s="565"/>
      <c r="AT39" s="566">
        <v>3</v>
      </c>
      <c r="AU39" s="565" t="str">
        <f t="shared" si="38"/>
        <v/>
      </c>
      <c r="AV39" s="565" t="str">
        <f t="shared" si="39"/>
        <v/>
      </c>
      <c r="AW39" s="565"/>
      <c r="AX39" s="566"/>
      <c r="AY39" s="565"/>
      <c r="AZ39" s="565"/>
      <c r="BA39" s="565"/>
      <c r="BB39" s="565"/>
      <c r="BC39" s="566">
        <v>3</v>
      </c>
      <c r="BD39" s="565" t="str">
        <f t="shared" si="40"/>
        <v/>
      </c>
      <c r="BE39" s="565" t="str">
        <f t="shared" si="41"/>
        <v/>
      </c>
      <c r="BF39" s="565"/>
      <c r="BG39" s="565"/>
      <c r="BH39" s="565"/>
      <c r="BI39" s="565"/>
      <c r="BJ39" s="565"/>
      <c r="BK39" s="565"/>
      <c r="BL39" s="566">
        <v>3</v>
      </c>
      <c r="BM39" s="565" t="str">
        <f t="shared" si="42"/>
        <v/>
      </c>
      <c r="BN39" s="565" t="str">
        <f t="shared" si="43"/>
        <v/>
      </c>
      <c r="BO39" s="565"/>
      <c r="BP39" s="565"/>
      <c r="BQ39" s="565"/>
      <c r="BR39" s="565"/>
      <c r="BS39" s="565"/>
      <c r="BT39" s="565"/>
      <c r="BU39" s="566">
        <v>3</v>
      </c>
      <c r="BV39" s="565" t="str">
        <f t="shared" si="44"/>
        <v/>
      </c>
      <c r="BW39" s="565" t="str">
        <f t="shared" si="45"/>
        <v/>
      </c>
      <c r="BX39" s="565"/>
      <c r="BY39" s="565"/>
      <c r="BZ39" s="565"/>
      <c r="CA39" s="565"/>
      <c r="CB39" s="565"/>
      <c r="CC39" s="566">
        <v>3</v>
      </c>
      <c r="CD39" s="565" t="str">
        <f t="shared" si="46"/>
        <v/>
      </c>
      <c r="CE39" s="565" t="str">
        <f t="shared" si="47"/>
        <v/>
      </c>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row>
    <row r="40" spans="1:110" x14ac:dyDescent="0.25">
      <c r="A40" s="120"/>
      <c r="B40" s="1062"/>
      <c r="C40" s="1062"/>
      <c r="D40" s="1062"/>
      <c r="E40" s="1062"/>
      <c r="F40" s="1062"/>
      <c r="G40" s="1062"/>
      <c r="H40" s="1062"/>
      <c r="I40" s="566">
        <v>4</v>
      </c>
      <c r="J40" s="566"/>
      <c r="K40" s="565" t="str">
        <f t="shared" si="30"/>
        <v/>
      </c>
      <c r="L40" s="565" t="str">
        <f t="shared" si="31"/>
        <v/>
      </c>
      <c r="M40" s="565"/>
      <c r="N40" s="565"/>
      <c r="O40" s="565"/>
      <c r="P40" s="565"/>
      <c r="Q40" s="565"/>
      <c r="R40" s="565"/>
      <c r="S40" s="566">
        <v>4</v>
      </c>
      <c r="T40" s="565" t="str">
        <f t="shared" si="32"/>
        <v/>
      </c>
      <c r="U40" s="565" t="str">
        <f t="shared" si="33"/>
        <v/>
      </c>
      <c r="V40" s="565"/>
      <c r="W40" s="565"/>
      <c r="X40" s="565"/>
      <c r="Y40" s="565"/>
      <c r="Z40" s="565"/>
      <c r="AA40" s="565"/>
      <c r="AB40" s="566">
        <v>4</v>
      </c>
      <c r="AC40" s="565" t="str">
        <f t="shared" si="34"/>
        <v/>
      </c>
      <c r="AD40" s="565" t="str">
        <f t="shared" si="35"/>
        <v/>
      </c>
      <c r="AE40" s="565"/>
      <c r="AF40" s="565"/>
      <c r="AG40" s="565"/>
      <c r="AH40" s="565"/>
      <c r="AI40" s="565"/>
      <c r="AJ40" s="565"/>
      <c r="AK40" s="566">
        <v>4</v>
      </c>
      <c r="AL40" s="565" t="str">
        <f t="shared" si="36"/>
        <v/>
      </c>
      <c r="AM40" s="565" t="str">
        <f t="shared" si="37"/>
        <v/>
      </c>
      <c r="AN40" s="565"/>
      <c r="AO40" s="565"/>
      <c r="AP40" s="565"/>
      <c r="AQ40" s="565"/>
      <c r="AR40" s="565"/>
      <c r="AS40" s="565"/>
      <c r="AT40" s="566">
        <v>4</v>
      </c>
      <c r="AU40" s="565" t="str">
        <f t="shared" si="38"/>
        <v/>
      </c>
      <c r="AV40" s="565" t="str">
        <f t="shared" si="39"/>
        <v/>
      </c>
      <c r="AW40" s="565"/>
      <c r="AX40" s="566"/>
      <c r="AY40" s="565"/>
      <c r="AZ40" s="565"/>
      <c r="BA40" s="565"/>
      <c r="BB40" s="565"/>
      <c r="BC40" s="566">
        <v>4</v>
      </c>
      <c r="BD40" s="565" t="str">
        <f t="shared" si="40"/>
        <v/>
      </c>
      <c r="BE40" s="565" t="str">
        <f t="shared" si="41"/>
        <v/>
      </c>
      <c r="BF40" s="565"/>
      <c r="BG40" s="565"/>
      <c r="BH40" s="565"/>
      <c r="BI40" s="565"/>
      <c r="BJ40" s="565"/>
      <c r="BK40" s="565"/>
      <c r="BL40" s="566">
        <v>4</v>
      </c>
      <c r="BM40" s="565" t="str">
        <f t="shared" si="42"/>
        <v/>
      </c>
      <c r="BN40" s="565" t="str">
        <f t="shared" si="43"/>
        <v/>
      </c>
      <c r="BO40" s="565"/>
      <c r="BP40" s="565"/>
      <c r="BQ40" s="565"/>
      <c r="BR40" s="565"/>
      <c r="BS40" s="565"/>
      <c r="BT40" s="565"/>
      <c r="BU40" s="566">
        <v>4</v>
      </c>
      <c r="BV40" s="565" t="str">
        <f t="shared" si="44"/>
        <v/>
      </c>
      <c r="BW40" s="565" t="str">
        <f t="shared" si="45"/>
        <v/>
      </c>
      <c r="BX40" s="565"/>
      <c r="BY40" s="565"/>
      <c r="BZ40" s="565"/>
      <c r="CA40" s="565"/>
      <c r="CB40" s="565"/>
      <c r="CC40" s="566">
        <v>4</v>
      </c>
      <c r="CD40" s="565" t="str">
        <f t="shared" si="46"/>
        <v/>
      </c>
      <c r="CE40" s="565" t="str">
        <f t="shared" si="47"/>
        <v/>
      </c>
      <c r="CF40" s="565"/>
      <c r="CG40" s="565"/>
      <c r="CH40" s="565"/>
      <c r="CI40" s="565"/>
      <c r="CJ40" s="565"/>
      <c r="CK40" s="565"/>
      <c r="CL40" s="565"/>
      <c r="CM40" s="565"/>
      <c r="CN40" s="565"/>
      <c r="CO40" s="565"/>
      <c r="CP40" s="565"/>
      <c r="CQ40" s="565"/>
      <c r="CR40" s="565"/>
      <c r="CS40" s="565"/>
      <c r="CT40" s="565"/>
      <c r="CU40" s="565"/>
      <c r="CV40" s="565"/>
      <c r="CW40" s="565"/>
      <c r="CX40" s="565"/>
      <c r="CY40" s="565"/>
      <c r="CZ40" s="565"/>
      <c r="DA40" s="565"/>
      <c r="DB40" s="565"/>
      <c r="DC40" s="565"/>
      <c r="DD40" s="565"/>
      <c r="DE40" s="565"/>
      <c r="DF40" s="565"/>
    </row>
    <row r="41" spans="1:110" x14ac:dyDescent="0.25">
      <c r="A41" s="120"/>
      <c r="B41" s="1062"/>
      <c r="C41" s="1062"/>
      <c r="D41" s="1062"/>
      <c r="E41" s="1062"/>
      <c r="F41" s="1062"/>
      <c r="G41" s="1062"/>
      <c r="H41" s="1062"/>
      <c r="I41" s="566">
        <v>5</v>
      </c>
      <c r="J41" s="566"/>
      <c r="K41" s="565" t="str">
        <f t="shared" si="30"/>
        <v/>
      </c>
      <c r="L41" s="565" t="str">
        <f t="shared" si="31"/>
        <v/>
      </c>
      <c r="M41" s="565"/>
      <c r="N41" s="565"/>
      <c r="O41" s="565"/>
      <c r="P41" s="565"/>
      <c r="Q41" s="565"/>
      <c r="R41" s="565"/>
      <c r="S41" s="566">
        <v>5</v>
      </c>
      <c r="T41" s="565" t="str">
        <f t="shared" si="32"/>
        <v/>
      </c>
      <c r="U41" s="565" t="str">
        <f t="shared" si="33"/>
        <v/>
      </c>
      <c r="V41" s="565"/>
      <c r="W41" s="565"/>
      <c r="X41" s="565"/>
      <c r="Y41" s="565"/>
      <c r="Z41" s="565"/>
      <c r="AA41" s="565"/>
      <c r="AB41" s="566">
        <v>5</v>
      </c>
      <c r="AC41" s="565" t="str">
        <f t="shared" si="34"/>
        <v/>
      </c>
      <c r="AD41" s="565" t="str">
        <f t="shared" si="35"/>
        <v/>
      </c>
      <c r="AE41" s="565"/>
      <c r="AF41" s="565"/>
      <c r="AG41" s="565"/>
      <c r="AH41" s="565"/>
      <c r="AI41" s="565"/>
      <c r="AJ41" s="565"/>
      <c r="AK41" s="566">
        <v>5</v>
      </c>
      <c r="AL41" s="565" t="str">
        <f t="shared" si="36"/>
        <v/>
      </c>
      <c r="AM41" s="565" t="str">
        <f t="shared" si="37"/>
        <v/>
      </c>
      <c r="AN41" s="565"/>
      <c r="AO41" s="565"/>
      <c r="AP41" s="565"/>
      <c r="AQ41" s="565"/>
      <c r="AR41" s="565"/>
      <c r="AS41" s="565"/>
      <c r="AT41" s="566">
        <v>5</v>
      </c>
      <c r="AU41" s="565" t="str">
        <f t="shared" si="38"/>
        <v/>
      </c>
      <c r="AV41" s="565" t="str">
        <f t="shared" si="39"/>
        <v/>
      </c>
      <c r="AW41" s="565"/>
      <c r="AX41" s="566"/>
      <c r="AY41" s="565"/>
      <c r="AZ41" s="565"/>
      <c r="BA41" s="565"/>
      <c r="BB41" s="565"/>
      <c r="BC41" s="566">
        <v>5</v>
      </c>
      <c r="BD41" s="565" t="str">
        <f t="shared" si="40"/>
        <v/>
      </c>
      <c r="BE41" s="565" t="str">
        <f t="shared" si="41"/>
        <v/>
      </c>
      <c r="BF41" s="565"/>
      <c r="BG41" s="565"/>
      <c r="BH41" s="565"/>
      <c r="BI41" s="565"/>
      <c r="BJ41" s="565"/>
      <c r="BK41" s="565"/>
      <c r="BL41" s="566">
        <v>5</v>
      </c>
      <c r="BM41" s="565" t="str">
        <f t="shared" si="42"/>
        <v/>
      </c>
      <c r="BN41" s="565" t="str">
        <f t="shared" si="43"/>
        <v/>
      </c>
      <c r="BO41" s="565"/>
      <c r="BP41" s="565"/>
      <c r="BQ41" s="565"/>
      <c r="BR41" s="565"/>
      <c r="BS41" s="565"/>
      <c r="BT41" s="565"/>
      <c r="BU41" s="566">
        <v>5</v>
      </c>
      <c r="BV41" s="565" t="str">
        <f t="shared" si="44"/>
        <v/>
      </c>
      <c r="BW41" s="565" t="str">
        <f t="shared" si="45"/>
        <v/>
      </c>
      <c r="BX41" s="565"/>
      <c r="BY41" s="565"/>
      <c r="BZ41" s="565"/>
      <c r="CA41" s="565"/>
      <c r="CB41" s="565"/>
      <c r="CC41" s="566">
        <v>5</v>
      </c>
      <c r="CD41" s="565" t="str">
        <f t="shared" si="46"/>
        <v/>
      </c>
      <c r="CE41" s="565" t="str">
        <f t="shared" si="47"/>
        <v/>
      </c>
      <c r="CF41" s="565"/>
      <c r="CG41" s="565"/>
      <c r="CH41" s="565"/>
      <c r="CI41" s="565"/>
      <c r="CJ41" s="565"/>
      <c r="CK41" s="565"/>
      <c r="CL41" s="565"/>
      <c r="CM41" s="565"/>
      <c r="CN41" s="565"/>
      <c r="CO41" s="565"/>
      <c r="CP41" s="565"/>
      <c r="CQ41" s="565"/>
      <c r="CR41" s="565"/>
      <c r="CS41" s="565"/>
      <c r="CT41" s="565"/>
      <c r="CU41" s="565"/>
      <c r="CV41" s="565"/>
      <c r="CW41" s="565"/>
      <c r="CX41" s="565"/>
      <c r="CY41" s="565"/>
      <c r="CZ41" s="565"/>
      <c r="DA41" s="565"/>
      <c r="DB41" s="565"/>
      <c r="DC41" s="565"/>
      <c r="DD41" s="565"/>
      <c r="DE41" s="565"/>
      <c r="DF41" s="565"/>
    </row>
    <row r="42" spans="1:110" x14ac:dyDescent="0.25">
      <c r="A42" s="120"/>
      <c r="B42" s="1062"/>
      <c r="C42" s="1062"/>
      <c r="D42" s="1062"/>
      <c r="E42" s="1062"/>
      <c r="F42" s="1062"/>
      <c r="G42" s="1062"/>
      <c r="H42" s="1062"/>
      <c r="I42" s="566">
        <v>6</v>
      </c>
      <c r="J42" s="566"/>
      <c r="K42" s="565" t="str">
        <f t="shared" si="30"/>
        <v/>
      </c>
      <c r="L42" s="565" t="str">
        <f t="shared" si="31"/>
        <v/>
      </c>
      <c r="M42" s="565"/>
      <c r="N42" s="565"/>
      <c r="O42" s="565"/>
      <c r="P42" s="565"/>
      <c r="Q42" s="565"/>
      <c r="R42" s="565"/>
      <c r="S42" s="566">
        <v>6</v>
      </c>
      <c r="T42" s="565" t="str">
        <f t="shared" si="32"/>
        <v/>
      </c>
      <c r="U42" s="565" t="str">
        <f t="shared" si="33"/>
        <v/>
      </c>
      <c r="V42" s="565"/>
      <c r="W42" s="565"/>
      <c r="X42" s="565"/>
      <c r="Y42" s="565"/>
      <c r="Z42" s="565"/>
      <c r="AA42" s="565"/>
      <c r="AB42" s="566">
        <v>6</v>
      </c>
      <c r="AC42" s="565" t="str">
        <f t="shared" si="34"/>
        <v/>
      </c>
      <c r="AD42" s="565" t="str">
        <f t="shared" si="35"/>
        <v/>
      </c>
      <c r="AE42" s="565"/>
      <c r="AF42" s="565"/>
      <c r="AG42" s="565"/>
      <c r="AH42" s="565"/>
      <c r="AI42" s="565"/>
      <c r="AJ42" s="565"/>
      <c r="AK42" s="566">
        <v>6</v>
      </c>
      <c r="AL42" s="565" t="str">
        <f t="shared" si="36"/>
        <v/>
      </c>
      <c r="AM42" s="565" t="str">
        <f t="shared" si="37"/>
        <v/>
      </c>
      <c r="AN42" s="565"/>
      <c r="AO42" s="565"/>
      <c r="AP42" s="565"/>
      <c r="AQ42" s="565"/>
      <c r="AR42" s="565"/>
      <c r="AS42" s="565"/>
      <c r="AT42" s="566">
        <v>6</v>
      </c>
      <c r="AU42" s="565" t="str">
        <f t="shared" si="38"/>
        <v/>
      </c>
      <c r="AV42" s="565" t="str">
        <f t="shared" si="39"/>
        <v/>
      </c>
      <c r="AW42" s="565"/>
      <c r="AX42" s="566"/>
      <c r="AY42" s="565"/>
      <c r="AZ42" s="565"/>
      <c r="BA42" s="565"/>
      <c r="BB42" s="565"/>
      <c r="BC42" s="566">
        <v>6</v>
      </c>
      <c r="BD42" s="565" t="str">
        <f t="shared" si="40"/>
        <v/>
      </c>
      <c r="BE42" s="565" t="str">
        <f t="shared" si="41"/>
        <v/>
      </c>
      <c r="BF42" s="565"/>
      <c r="BG42" s="565"/>
      <c r="BH42" s="565"/>
      <c r="BI42" s="565"/>
      <c r="BJ42" s="565"/>
      <c r="BK42" s="565"/>
      <c r="BL42" s="566">
        <v>6</v>
      </c>
      <c r="BM42" s="565" t="str">
        <f t="shared" si="42"/>
        <v/>
      </c>
      <c r="BN42" s="565" t="str">
        <f t="shared" si="43"/>
        <v/>
      </c>
      <c r="BO42" s="565"/>
      <c r="BP42" s="565"/>
      <c r="BQ42" s="565"/>
      <c r="BR42" s="565"/>
      <c r="BS42" s="565"/>
      <c r="BT42" s="565"/>
      <c r="BU42" s="566">
        <v>6</v>
      </c>
      <c r="BV42" s="565" t="str">
        <f t="shared" si="44"/>
        <v/>
      </c>
      <c r="BW42" s="565" t="str">
        <f t="shared" si="45"/>
        <v/>
      </c>
      <c r="BX42" s="565"/>
      <c r="BY42" s="565"/>
      <c r="BZ42" s="565"/>
      <c r="CA42" s="565"/>
      <c r="CB42" s="565"/>
      <c r="CC42" s="566">
        <v>6</v>
      </c>
      <c r="CD42" s="565" t="str">
        <f t="shared" si="46"/>
        <v/>
      </c>
      <c r="CE42" s="565" t="str">
        <f t="shared" si="47"/>
        <v/>
      </c>
      <c r="CF42" s="565"/>
      <c r="CG42" s="565"/>
      <c r="CH42" s="565"/>
      <c r="CI42" s="565"/>
      <c r="CJ42" s="565"/>
      <c r="CK42" s="565"/>
      <c r="CL42" s="565"/>
      <c r="CM42" s="565"/>
      <c r="CN42" s="565"/>
      <c r="CO42" s="565"/>
      <c r="CP42" s="565"/>
      <c r="CQ42" s="565"/>
      <c r="CR42" s="565"/>
      <c r="CS42" s="565"/>
      <c r="CT42" s="565"/>
      <c r="CU42" s="565"/>
      <c r="CV42" s="565"/>
      <c r="CW42" s="565"/>
      <c r="CX42" s="565"/>
      <c r="CY42" s="565"/>
      <c r="CZ42" s="565"/>
      <c r="DA42" s="565"/>
      <c r="DB42" s="565"/>
      <c r="DC42" s="565"/>
      <c r="DD42" s="565"/>
      <c r="DE42" s="565"/>
      <c r="DF42" s="565"/>
    </row>
    <row r="43" spans="1:110" x14ac:dyDescent="0.25">
      <c r="A43" s="120"/>
      <c r="B43" s="1062"/>
      <c r="C43" s="1062"/>
      <c r="D43" s="1062"/>
      <c r="E43" s="1062"/>
      <c r="F43" s="1062"/>
      <c r="G43" s="1062"/>
      <c r="H43" s="1062"/>
      <c r="I43" s="566">
        <v>7</v>
      </c>
      <c r="J43" s="566"/>
      <c r="K43" s="565" t="str">
        <f t="shared" si="30"/>
        <v/>
      </c>
      <c r="L43" s="565" t="str">
        <f t="shared" si="31"/>
        <v/>
      </c>
      <c r="M43" s="565"/>
      <c r="N43" s="565"/>
      <c r="O43" s="565"/>
      <c r="P43" s="565"/>
      <c r="Q43" s="565"/>
      <c r="R43" s="565"/>
      <c r="S43" s="566">
        <v>7</v>
      </c>
      <c r="T43" s="565" t="str">
        <f t="shared" si="32"/>
        <v/>
      </c>
      <c r="U43" s="565" t="str">
        <f t="shared" si="33"/>
        <v/>
      </c>
      <c r="V43" s="565"/>
      <c r="W43" s="565"/>
      <c r="X43" s="565"/>
      <c r="Y43" s="565"/>
      <c r="Z43" s="565"/>
      <c r="AA43" s="565"/>
      <c r="AB43" s="566">
        <v>7</v>
      </c>
      <c r="AC43" s="565" t="str">
        <f t="shared" si="34"/>
        <v/>
      </c>
      <c r="AD43" s="565" t="str">
        <f t="shared" si="35"/>
        <v/>
      </c>
      <c r="AE43" s="565"/>
      <c r="AF43" s="565"/>
      <c r="AG43" s="565"/>
      <c r="AH43" s="565"/>
      <c r="AI43" s="565"/>
      <c r="AJ43" s="565"/>
      <c r="AK43" s="566">
        <v>7</v>
      </c>
      <c r="AL43" s="565" t="str">
        <f t="shared" si="36"/>
        <v/>
      </c>
      <c r="AM43" s="565" t="str">
        <f t="shared" si="37"/>
        <v/>
      </c>
      <c r="AN43" s="565"/>
      <c r="AO43" s="565"/>
      <c r="AP43" s="565"/>
      <c r="AQ43" s="565"/>
      <c r="AR43" s="565"/>
      <c r="AS43" s="565"/>
      <c r="AT43" s="566">
        <v>7</v>
      </c>
      <c r="AU43" s="565" t="str">
        <f t="shared" si="38"/>
        <v/>
      </c>
      <c r="AV43" s="565" t="str">
        <f t="shared" si="39"/>
        <v/>
      </c>
      <c r="AW43" s="565"/>
      <c r="AX43" s="566"/>
      <c r="AY43" s="565"/>
      <c r="AZ43" s="565"/>
      <c r="BA43" s="565"/>
      <c r="BB43" s="565"/>
      <c r="BC43" s="566">
        <v>7</v>
      </c>
      <c r="BD43" s="565" t="str">
        <f t="shared" si="40"/>
        <v/>
      </c>
      <c r="BE43" s="565" t="str">
        <f t="shared" si="41"/>
        <v/>
      </c>
      <c r="BF43" s="565"/>
      <c r="BG43" s="565"/>
      <c r="BH43" s="565"/>
      <c r="BI43" s="565"/>
      <c r="BJ43" s="565"/>
      <c r="BK43" s="565"/>
      <c r="BL43" s="566">
        <v>7</v>
      </c>
      <c r="BM43" s="565" t="str">
        <f t="shared" si="42"/>
        <v/>
      </c>
      <c r="BN43" s="565" t="str">
        <f t="shared" si="43"/>
        <v/>
      </c>
      <c r="BO43" s="565"/>
      <c r="BP43" s="565"/>
      <c r="BQ43" s="565"/>
      <c r="BR43" s="565"/>
      <c r="BS43" s="565"/>
      <c r="BT43" s="565"/>
      <c r="BU43" s="566">
        <v>7</v>
      </c>
      <c r="BV43" s="565" t="str">
        <f t="shared" si="44"/>
        <v/>
      </c>
      <c r="BW43" s="565" t="str">
        <f t="shared" si="45"/>
        <v/>
      </c>
      <c r="BX43" s="565"/>
      <c r="BY43" s="565"/>
      <c r="BZ43" s="565"/>
      <c r="CA43" s="565"/>
      <c r="CB43" s="565"/>
      <c r="CC43" s="566">
        <v>7</v>
      </c>
      <c r="CD43" s="565" t="str">
        <f t="shared" si="46"/>
        <v/>
      </c>
      <c r="CE43" s="565" t="str">
        <f t="shared" si="47"/>
        <v/>
      </c>
      <c r="CF43" s="565"/>
      <c r="CG43" s="565"/>
      <c r="CH43" s="565"/>
      <c r="CI43" s="565"/>
      <c r="CJ43" s="565"/>
      <c r="CK43" s="565"/>
      <c r="CL43" s="565"/>
      <c r="CM43" s="565"/>
      <c r="CN43" s="565"/>
      <c r="CO43" s="565"/>
      <c r="CP43" s="565"/>
      <c r="CQ43" s="565"/>
      <c r="CR43" s="565"/>
      <c r="CS43" s="565"/>
      <c r="CT43" s="565"/>
      <c r="CU43" s="565"/>
      <c r="CV43" s="565"/>
      <c r="CW43" s="565"/>
      <c r="CX43" s="565"/>
      <c r="CY43" s="565"/>
      <c r="CZ43" s="565"/>
      <c r="DA43" s="565"/>
      <c r="DB43" s="565"/>
      <c r="DC43" s="565"/>
      <c r="DD43" s="565"/>
      <c r="DE43" s="565"/>
      <c r="DF43" s="565"/>
    </row>
    <row r="44" spans="1:110" x14ac:dyDescent="0.25">
      <c r="A44" s="120"/>
      <c r="B44" s="1062"/>
      <c r="C44" s="1062"/>
      <c r="D44" s="1062"/>
      <c r="E44" s="1062"/>
      <c r="F44" s="1062"/>
      <c r="G44" s="1062"/>
      <c r="H44" s="1062"/>
      <c r="I44" s="566">
        <v>8</v>
      </c>
      <c r="J44" s="566"/>
      <c r="K44" s="565" t="str">
        <f t="shared" si="30"/>
        <v/>
      </c>
      <c r="L44" s="565" t="str">
        <f t="shared" si="31"/>
        <v/>
      </c>
      <c r="M44" s="565"/>
      <c r="N44" s="565"/>
      <c r="O44" s="565"/>
      <c r="P44" s="565"/>
      <c r="Q44" s="565"/>
      <c r="R44" s="565"/>
      <c r="S44" s="566">
        <v>8</v>
      </c>
      <c r="T44" s="565" t="str">
        <f t="shared" si="32"/>
        <v/>
      </c>
      <c r="U44" s="565" t="str">
        <f t="shared" si="33"/>
        <v/>
      </c>
      <c r="V44" s="565"/>
      <c r="W44" s="565"/>
      <c r="X44" s="565"/>
      <c r="Y44" s="565"/>
      <c r="Z44" s="565"/>
      <c r="AA44" s="565"/>
      <c r="AB44" s="566">
        <v>8</v>
      </c>
      <c r="AC44" s="565" t="str">
        <f t="shared" si="34"/>
        <v/>
      </c>
      <c r="AD44" s="565" t="str">
        <f t="shared" si="35"/>
        <v/>
      </c>
      <c r="AE44" s="565"/>
      <c r="AF44" s="565"/>
      <c r="AG44" s="565"/>
      <c r="AH44" s="565"/>
      <c r="AI44" s="565"/>
      <c r="AJ44" s="565"/>
      <c r="AK44" s="566">
        <v>8</v>
      </c>
      <c r="AL44" s="565" t="str">
        <f t="shared" si="36"/>
        <v/>
      </c>
      <c r="AM44" s="565" t="str">
        <f t="shared" si="37"/>
        <v/>
      </c>
      <c r="AN44" s="565"/>
      <c r="AO44" s="565"/>
      <c r="AP44" s="565"/>
      <c r="AQ44" s="565"/>
      <c r="AR44" s="565"/>
      <c r="AS44" s="565"/>
      <c r="AT44" s="566">
        <v>8</v>
      </c>
      <c r="AU44" s="565" t="str">
        <f t="shared" si="38"/>
        <v/>
      </c>
      <c r="AV44" s="565" t="str">
        <f t="shared" si="39"/>
        <v/>
      </c>
      <c r="AW44" s="565"/>
      <c r="AX44" s="566"/>
      <c r="AY44" s="565"/>
      <c r="AZ44" s="565"/>
      <c r="BA44" s="565"/>
      <c r="BB44" s="565"/>
      <c r="BC44" s="566">
        <v>8</v>
      </c>
      <c r="BD44" s="565" t="str">
        <f t="shared" si="40"/>
        <v/>
      </c>
      <c r="BE44" s="565" t="str">
        <f t="shared" si="41"/>
        <v/>
      </c>
      <c r="BF44" s="565"/>
      <c r="BG44" s="565"/>
      <c r="BH44" s="565"/>
      <c r="BI44" s="565"/>
      <c r="BJ44" s="565"/>
      <c r="BK44" s="565"/>
      <c r="BL44" s="566">
        <v>8</v>
      </c>
      <c r="BM44" s="565" t="str">
        <f t="shared" si="42"/>
        <v/>
      </c>
      <c r="BN44" s="565" t="str">
        <f t="shared" si="43"/>
        <v/>
      </c>
      <c r="BO44" s="565"/>
      <c r="BP44" s="565"/>
      <c r="BQ44" s="565"/>
      <c r="BR44" s="565"/>
      <c r="BS44" s="565"/>
      <c r="BT44" s="565"/>
      <c r="BU44" s="566">
        <v>8</v>
      </c>
      <c r="BV44" s="565" t="str">
        <f t="shared" si="44"/>
        <v/>
      </c>
      <c r="BW44" s="565" t="str">
        <f t="shared" si="45"/>
        <v/>
      </c>
      <c r="BX44" s="565"/>
      <c r="BY44" s="565"/>
      <c r="BZ44" s="565"/>
      <c r="CA44" s="565"/>
      <c r="CB44" s="565"/>
      <c r="CC44" s="566">
        <v>8</v>
      </c>
      <c r="CD44" s="565" t="str">
        <f t="shared" si="46"/>
        <v/>
      </c>
      <c r="CE44" s="565" t="str">
        <f t="shared" si="47"/>
        <v/>
      </c>
      <c r="CF44" s="565"/>
      <c r="CG44" s="565"/>
      <c r="CH44" s="565"/>
      <c r="CI44" s="565"/>
      <c r="CJ44" s="565"/>
      <c r="CK44" s="565"/>
      <c r="CL44" s="565"/>
      <c r="CM44" s="565"/>
      <c r="CN44" s="565"/>
      <c r="CO44" s="565"/>
      <c r="CP44" s="565"/>
      <c r="CQ44" s="565"/>
      <c r="CR44" s="565"/>
      <c r="CS44" s="565"/>
      <c r="CT44" s="565"/>
      <c r="CU44" s="565"/>
      <c r="CV44" s="565"/>
      <c r="CW44" s="565"/>
      <c r="CX44" s="565"/>
      <c r="CY44" s="565"/>
      <c r="CZ44" s="565"/>
      <c r="DA44" s="565"/>
      <c r="DB44" s="565"/>
      <c r="DC44" s="565"/>
      <c r="DD44" s="565"/>
      <c r="DE44" s="565"/>
      <c r="DF44" s="565"/>
    </row>
    <row r="45" spans="1:110" x14ac:dyDescent="0.25">
      <c r="A45" s="120"/>
      <c r="B45" s="1062"/>
      <c r="C45" s="1062"/>
      <c r="D45" s="1062"/>
      <c r="E45" s="1062"/>
      <c r="F45" s="1062"/>
      <c r="G45" s="1062"/>
      <c r="H45" s="1062"/>
      <c r="I45" s="566">
        <v>9</v>
      </c>
      <c r="J45" s="566"/>
      <c r="K45" s="565" t="str">
        <f t="shared" si="30"/>
        <v/>
      </c>
      <c r="L45" s="565" t="str">
        <f t="shared" si="31"/>
        <v/>
      </c>
      <c r="M45" s="565"/>
      <c r="N45" s="565"/>
      <c r="O45" s="565"/>
      <c r="P45" s="565"/>
      <c r="Q45" s="565"/>
      <c r="R45" s="565"/>
      <c r="S45" s="566">
        <v>9</v>
      </c>
      <c r="T45" s="565" t="str">
        <f t="shared" si="32"/>
        <v/>
      </c>
      <c r="U45" s="565" t="str">
        <f t="shared" si="33"/>
        <v/>
      </c>
      <c r="V45" s="565"/>
      <c r="W45" s="565"/>
      <c r="X45" s="565"/>
      <c r="Y45" s="565"/>
      <c r="Z45" s="565"/>
      <c r="AA45" s="565"/>
      <c r="AB45" s="566">
        <v>9</v>
      </c>
      <c r="AC45" s="565" t="str">
        <f t="shared" si="34"/>
        <v/>
      </c>
      <c r="AD45" s="565" t="str">
        <f t="shared" si="35"/>
        <v/>
      </c>
      <c r="AE45" s="565"/>
      <c r="AF45" s="565"/>
      <c r="AG45" s="565"/>
      <c r="AH45" s="565"/>
      <c r="AI45" s="565"/>
      <c r="AJ45" s="565"/>
      <c r="AK45" s="566">
        <v>9</v>
      </c>
      <c r="AL45" s="565" t="str">
        <f t="shared" si="36"/>
        <v/>
      </c>
      <c r="AM45" s="565" t="str">
        <f t="shared" si="37"/>
        <v/>
      </c>
      <c r="AN45" s="565"/>
      <c r="AO45" s="565"/>
      <c r="AP45" s="565"/>
      <c r="AQ45" s="565"/>
      <c r="AR45" s="565"/>
      <c r="AS45" s="565"/>
      <c r="AT45" s="566">
        <v>9</v>
      </c>
      <c r="AU45" s="565" t="str">
        <f t="shared" si="38"/>
        <v/>
      </c>
      <c r="AV45" s="565" t="str">
        <f t="shared" si="39"/>
        <v/>
      </c>
      <c r="AW45" s="565"/>
      <c r="AX45" s="566"/>
      <c r="AY45" s="565"/>
      <c r="AZ45" s="565"/>
      <c r="BA45" s="565"/>
      <c r="BB45" s="565"/>
      <c r="BC45" s="566">
        <v>9</v>
      </c>
      <c r="BD45" s="565" t="str">
        <f t="shared" si="40"/>
        <v/>
      </c>
      <c r="BE45" s="565" t="str">
        <f t="shared" si="41"/>
        <v/>
      </c>
      <c r="BF45" s="565"/>
      <c r="BG45" s="565"/>
      <c r="BH45" s="565"/>
      <c r="BI45" s="565"/>
      <c r="BJ45" s="565"/>
      <c r="BK45" s="565"/>
      <c r="BL45" s="566">
        <v>9</v>
      </c>
      <c r="BM45" s="565" t="str">
        <f t="shared" si="42"/>
        <v/>
      </c>
      <c r="BN45" s="565" t="str">
        <f t="shared" si="43"/>
        <v/>
      </c>
      <c r="BO45" s="565"/>
      <c r="BP45" s="565"/>
      <c r="BQ45" s="565"/>
      <c r="BR45" s="565"/>
      <c r="BS45" s="565"/>
      <c r="BT45" s="565"/>
      <c r="BU45" s="566">
        <v>9</v>
      </c>
      <c r="BV45" s="565" t="str">
        <f t="shared" si="44"/>
        <v/>
      </c>
      <c r="BW45" s="565" t="str">
        <f t="shared" si="45"/>
        <v/>
      </c>
      <c r="BX45" s="565"/>
      <c r="BY45" s="565"/>
      <c r="BZ45" s="565"/>
      <c r="CA45" s="565"/>
      <c r="CB45" s="565"/>
      <c r="CC45" s="566">
        <v>9</v>
      </c>
      <c r="CD45" s="565" t="str">
        <f t="shared" si="46"/>
        <v/>
      </c>
      <c r="CE45" s="565" t="str">
        <f t="shared" si="47"/>
        <v/>
      </c>
      <c r="CF45" s="565"/>
      <c r="CG45" s="565"/>
      <c r="CH45" s="565"/>
      <c r="CI45" s="565"/>
      <c r="CJ45" s="565"/>
      <c r="CK45" s="565"/>
      <c r="CL45" s="565"/>
      <c r="CM45" s="565"/>
      <c r="CN45" s="565"/>
      <c r="CO45" s="565"/>
      <c r="CP45" s="565"/>
      <c r="CQ45" s="565"/>
      <c r="CR45" s="565"/>
      <c r="CS45" s="565"/>
      <c r="CT45" s="565"/>
      <c r="CU45" s="565"/>
      <c r="CV45" s="565"/>
      <c r="CW45" s="565"/>
      <c r="CX45" s="565"/>
      <c r="CY45" s="565"/>
      <c r="CZ45" s="565"/>
      <c r="DA45" s="565"/>
      <c r="DB45" s="565"/>
      <c r="DC45" s="565"/>
      <c r="DD45" s="565"/>
      <c r="DE45" s="565"/>
      <c r="DF45" s="565"/>
    </row>
    <row r="46" spans="1:110" x14ac:dyDescent="0.25">
      <c r="A46" s="120"/>
      <c r="B46" s="1062"/>
      <c r="C46" s="1062"/>
      <c r="D46" s="1062"/>
      <c r="E46" s="1062"/>
      <c r="F46" s="1062"/>
      <c r="G46" s="1062"/>
      <c r="H46" s="1062"/>
      <c r="I46" s="566">
        <v>10</v>
      </c>
      <c r="J46" s="566"/>
      <c r="K46" s="565" t="str">
        <f t="shared" si="30"/>
        <v/>
      </c>
      <c r="L46" s="565" t="str">
        <f t="shared" si="31"/>
        <v/>
      </c>
      <c r="M46" s="565"/>
      <c r="N46" s="565"/>
      <c r="O46" s="565"/>
      <c r="P46" s="565"/>
      <c r="Q46" s="565"/>
      <c r="R46" s="565"/>
      <c r="S46" s="566">
        <v>10</v>
      </c>
      <c r="T46" s="565" t="str">
        <f t="shared" si="32"/>
        <v/>
      </c>
      <c r="U46" s="565" t="str">
        <f t="shared" si="33"/>
        <v/>
      </c>
      <c r="V46" s="565"/>
      <c r="W46" s="565"/>
      <c r="X46" s="565"/>
      <c r="Y46" s="565"/>
      <c r="Z46" s="565"/>
      <c r="AA46" s="565"/>
      <c r="AB46" s="566">
        <v>10</v>
      </c>
      <c r="AC46" s="565" t="str">
        <f t="shared" si="34"/>
        <v/>
      </c>
      <c r="AD46" s="565" t="str">
        <f t="shared" si="35"/>
        <v/>
      </c>
      <c r="AE46" s="565"/>
      <c r="AF46" s="565"/>
      <c r="AG46" s="565"/>
      <c r="AH46" s="565"/>
      <c r="AI46" s="565"/>
      <c r="AJ46" s="565"/>
      <c r="AK46" s="566">
        <v>10</v>
      </c>
      <c r="AL46" s="565" t="str">
        <f t="shared" si="36"/>
        <v/>
      </c>
      <c r="AM46" s="565" t="str">
        <f t="shared" si="37"/>
        <v/>
      </c>
      <c r="AN46" s="565"/>
      <c r="AO46" s="565"/>
      <c r="AP46" s="565"/>
      <c r="AQ46" s="565"/>
      <c r="AR46" s="565"/>
      <c r="AS46" s="565"/>
      <c r="AT46" s="566">
        <v>10</v>
      </c>
      <c r="AU46" s="565" t="str">
        <f t="shared" si="38"/>
        <v/>
      </c>
      <c r="AV46" s="565" t="str">
        <f t="shared" si="39"/>
        <v/>
      </c>
      <c r="AW46" s="565"/>
      <c r="AX46" s="566"/>
      <c r="AY46" s="565"/>
      <c r="AZ46" s="565"/>
      <c r="BA46" s="565"/>
      <c r="BB46" s="565"/>
      <c r="BC46" s="566">
        <v>10</v>
      </c>
      <c r="BD46" s="565" t="str">
        <f t="shared" si="40"/>
        <v/>
      </c>
      <c r="BE46" s="565" t="str">
        <f t="shared" si="41"/>
        <v/>
      </c>
      <c r="BF46" s="565"/>
      <c r="BG46" s="565"/>
      <c r="BH46" s="565"/>
      <c r="BI46" s="565"/>
      <c r="BJ46" s="565"/>
      <c r="BK46" s="565"/>
      <c r="BL46" s="566">
        <v>10</v>
      </c>
      <c r="BM46" s="565" t="str">
        <f t="shared" si="42"/>
        <v/>
      </c>
      <c r="BN46" s="565" t="str">
        <f t="shared" si="43"/>
        <v/>
      </c>
      <c r="BO46" s="565"/>
      <c r="BP46" s="565"/>
      <c r="BQ46" s="565"/>
      <c r="BR46" s="565"/>
      <c r="BS46" s="565"/>
      <c r="BT46" s="565"/>
      <c r="BU46" s="566">
        <v>10</v>
      </c>
      <c r="BV46" s="565" t="str">
        <f t="shared" si="44"/>
        <v/>
      </c>
      <c r="BW46" s="565" t="str">
        <f t="shared" si="45"/>
        <v/>
      </c>
      <c r="BX46" s="565"/>
      <c r="BY46" s="565"/>
      <c r="BZ46" s="565"/>
      <c r="CA46" s="565"/>
      <c r="CB46" s="565"/>
      <c r="CC46" s="566">
        <v>10</v>
      </c>
      <c r="CD46" s="565" t="str">
        <f t="shared" si="46"/>
        <v/>
      </c>
      <c r="CE46" s="565" t="str">
        <f t="shared" si="47"/>
        <v/>
      </c>
      <c r="CF46" s="565"/>
      <c r="CG46" s="565"/>
      <c r="CH46" s="565"/>
      <c r="CI46" s="565"/>
      <c r="CJ46" s="565"/>
      <c r="CK46" s="565"/>
      <c r="CL46" s="565"/>
      <c r="CM46" s="565"/>
      <c r="CN46" s="565"/>
      <c r="CO46" s="565"/>
      <c r="CP46" s="565"/>
      <c r="CQ46" s="565"/>
      <c r="CR46" s="565"/>
      <c r="CS46" s="565"/>
      <c r="CT46" s="565"/>
      <c r="CU46" s="565"/>
      <c r="CV46" s="565"/>
      <c r="CW46" s="565"/>
      <c r="CX46" s="565"/>
      <c r="CY46" s="565"/>
      <c r="CZ46" s="565"/>
      <c r="DA46" s="565"/>
      <c r="DB46" s="565"/>
      <c r="DC46" s="565"/>
      <c r="DD46" s="565"/>
      <c r="DE46" s="565"/>
      <c r="DF46" s="565"/>
    </row>
    <row r="47" spans="1:110" x14ac:dyDescent="0.25">
      <c r="A47" s="120"/>
      <c r="B47" s="1062"/>
      <c r="C47" s="1062"/>
      <c r="D47" s="1062"/>
      <c r="E47" s="1062"/>
      <c r="F47" s="1062"/>
      <c r="G47" s="1062"/>
      <c r="H47" s="1062"/>
      <c r="I47" s="566">
        <v>11</v>
      </c>
      <c r="J47" s="566"/>
      <c r="K47" s="565" t="str">
        <f t="shared" si="30"/>
        <v/>
      </c>
      <c r="L47" s="565" t="str">
        <f t="shared" si="31"/>
        <v/>
      </c>
      <c r="M47" s="565"/>
      <c r="N47" s="565"/>
      <c r="O47" s="565"/>
      <c r="P47" s="565"/>
      <c r="Q47" s="565"/>
      <c r="R47" s="565"/>
      <c r="S47" s="566">
        <v>11</v>
      </c>
      <c r="T47" s="565" t="str">
        <f t="shared" si="32"/>
        <v/>
      </c>
      <c r="U47" s="565" t="str">
        <f t="shared" si="33"/>
        <v/>
      </c>
      <c r="V47" s="565"/>
      <c r="W47" s="565"/>
      <c r="X47" s="565"/>
      <c r="Y47" s="565"/>
      <c r="Z47" s="565"/>
      <c r="AA47" s="565"/>
      <c r="AB47" s="566">
        <v>11</v>
      </c>
      <c r="AC47" s="565" t="str">
        <f t="shared" si="34"/>
        <v/>
      </c>
      <c r="AD47" s="565" t="str">
        <f t="shared" si="35"/>
        <v/>
      </c>
      <c r="AE47" s="565"/>
      <c r="AF47" s="565"/>
      <c r="AG47" s="565"/>
      <c r="AH47" s="565"/>
      <c r="AI47" s="565"/>
      <c r="AJ47" s="565"/>
      <c r="AK47" s="566">
        <v>11</v>
      </c>
      <c r="AL47" s="565" t="str">
        <f t="shared" si="36"/>
        <v/>
      </c>
      <c r="AM47" s="565" t="str">
        <f t="shared" si="37"/>
        <v/>
      </c>
      <c r="AN47" s="565"/>
      <c r="AO47" s="565"/>
      <c r="AP47" s="565"/>
      <c r="AQ47" s="565"/>
      <c r="AR47" s="565"/>
      <c r="AS47" s="565"/>
      <c r="AT47" s="566">
        <v>11</v>
      </c>
      <c r="AU47" s="565" t="str">
        <f t="shared" si="38"/>
        <v/>
      </c>
      <c r="AV47" s="565" t="str">
        <f t="shared" si="39"/>
        <v/>
      </c>
      <c r="AW47" s="565"/>
      <c r="AX47" s="566"/>
      <c r="AY47" s="565"/>
      <c r="AZ47" s="565"/>
      <c r="BA47" s="565"/>
      <c r="BB47" s="565"/>
      <c r="BC47" s="566">
        <v>11</v>
      </c>
      <c r="BD47" s="565" t="str">
        <f t="shared" si="40"/>
        <v/>
      </c>
      <c r="BE47" s="565" t="str">
        <f t="shared" si="41"/>
        <v/>
      </c>
      <c r="BF47" s="565"/>
      <c r="BG47" s="565"/>
      <c r="BH47" s="565"/>
      <c r="BI47" s="565"/>
      <c r="BJ47" s="565"/>
      <c r="BK47" s="565"/>
      <c r="BL47" s="566">
        <v>11</v>
      </c>
      <c r="BM47" s="565" t="str">
        <f t="shared" si="42"/>
        <v/>
      </c>
      <c r="BN47" s="565" t="str">
        <f t="shared" si="43"/>
        <v/>
      </c>
      <c r="BO47" s="565"/>
      <c r="BP47" s="565"/>
      <c r="BQ47" s="565"/>
      <c r="BR47" s="565"/>
      <c r="BS47" s="565"/>
      <c r="BT47" s="565"/>
      <c r="BU47" s="566">
        <v>11</v>
      </c>
      <c r="BV47" s="565" t="str">
        <f t="shared" si="44"/>
        <v/>
      </c>
      <c r="BW47" s="565" t="str">
        <f t="shared" si="45"/>
        <v/>
      </c>
      <c r="BX47" s="565"/>
      <c r="BY47" s="565"/>
      <c r="BZ47" s="565"/>
      <c r="CA47" s="565"/>
      <c r="CB47" s="565"/>
      <c r="CC47" s="566">
        <v>11</v>
      </c>
      <c r="CD47" s="565" t="str">
        <f t="shared" si="46"/>
        <v/>
      </c>
      <c r="CE47" s="565" t="str">
        <f t="shared" si="47"/>
        <v/>
      </c>
      <c r="CF47" s="565"/>
      <c r="CG47" s="565"/>
      <c r="CH47" s="565"/>
      <c r="CI47" s="565"/>
      <c r="CJ47" s="565"/>
      <c r="CK47" s="565"/>
      <c r="CL47" s="565"/>
      <c r="CM47" s="565"/>
      <c r="CN47" s="565"/>
      <c r="CO47" s="565"/>
      <c r="CP47" s="565"/>
      <c r="CQ47" s="565"/>
      <c r="CR47" s="565"/>
      <c r="CS47" s="565"/>
      <c r="CT47" s="565"/>
      <c r="CU47" s="565"/>
      <c r="CV47" s="565"/>
      <c r="CW47" s="565"/>
      <c r="CX47" s="565"/>
      <c r="CY47" s="565"/>
      <c r="CZ47" s="565"/>
      <c r="DA47" s="565"/>
      <c r="DB47" s="565"/>
      <c r="DC47" s="565"/>
      <c r="DD47" s="565"/>
      <c r="DE47" s="565"/>
      <c r="DF47" s="565"/>
    </row>
    <row r="48" spans="1:110" x14ac:dyDescent="0.25">
      <c r="A48" s="120"/>
      <c r="B48" s="1062"/>
      <c r="C48" s="1062"/>
      <c r="D48" s="1062"/>
      <c r="E48" s="1062"/>
      <c r="F48" s="1062"/>
      <c r="G48" s="1062"/>
      <c r="H48" s="1062"/>
      <c r="I48" s="566">
        <v>12</v>
      </c>
      <c r="J48" s="566"/>
      <c r="K48" s="565" t="str">
        <f t="shared" si="30"/>
        <v/>
      </c>
      <c r="L48" s="565" t="str">
        <f t="shared" si="31"/>
        <v/>
      </c>
      <c r="M48" s="565"/>
      <c r="N48" s="565"/>
      <c r="O48" s="565"/>
      <c r="P48" s="565"/>
      <c r="Q48" s="565"/>
      <c r="R48" s="565"/>
      <c r="S48" s="566">
        <v>12</v>
      </c>
      <c r="T48" s="565" t="str">
        <f t="shared" si="32"/>
        <v/>
      </c>
      <c r="U48" s="565" t="str">
        <f t="shared" si="33"/>
        <v/>
      </c>
      <c r="V48" s="565"/>
      <c r="W48" s="565"/>
      <c r="X48" s="565"/>
      <c r="Y48" s="565"/>
      <c r="Z48" s="565"/>
      <c r="AA48" s="565"/>
      <c r="AB48" s="566">
        <v>12</v>
      </c>
      <c r="AC48" s="565" t="str">
        <f t="shared" si="34"/>
        <v/>
      </c>
      <c r="AD48" s="565" t="str">
        <f t="shared" si="35"/>
        <v/>
      </c>
      <c r="AE48" s="565"/>
      <c r="AF48" s="565"/>
      <c r="AG48" s="565"/>
      <c r="AH48" s="565"/>
      <c r="AI48" s="565"/>
      <c r="AJ48" s="565"/>
      <c r="AK48" s="566">
        <v>12</v>
      </c>
      <c r="AL48" s="565" t="str">
        <f t="shared" si="36"/>
        <v/>
      </c>
      <c r="AM48" s="565" t="str">
        <f t="shared" si="37"/>
        <v/>
      </c>
      <c r="AN48" s="565"/>
      <c r="AO48" s="565"/>
      <c r="AP48" s="565"/>
      <c r="AQ48" s="565"/>
      <c r="AR48" s="565"/>
      <c r="AS48" s="565"/>
      <c r="AT48" s="566">
        <v>12</v>
      </c>
      <c r="AU48" s="565" t="str">
        <f t="shared" si="38"/>
        <v/>
      </c>
      <c r="AV48" s="565" t="str">
        <f t="shared" si="39"/>
        <v/>
      </c>
      <c r="AW48" s="565"/>
      <c r="AX48" s="566"/>
      <c r="AY48" s="565"/>
      <c r="AZ48" s="565"/>
      <c r="BA48" s="565"/>
      <c r="BB48" s="565"/>
      <c r="BC48" s="566">
        <v>12</v>
      </c>
      <c r="BD48" s="565" t="str">
        <f t="shared" si="40"/>
        <v/>
      </c>
      <c r="BE48" s="565" t="str">
        <f t="shared" si="41"/>
        <v/>
      </c>
      <c r="BF48" s="565"/>
      <c r="BG48" s="565"/>
      <c r="BH48" s="565"/>
      <c r="BI48" s="565"/>
      <c r="BJ48" s="565"/>
      <c r="BK48" s="565"/>
      <c r="BL48" s="566">
        <v>12</v>
      </c>
      <c r="BM48" s="565" t="str">
        <f t="shared" si="42"/>
        <v/>
      </c>
      <c r="BN48" s="565" t="str">
        <f t="shared" si="43"/>
        <v/>
      </c>
      <c r="BO48" s="565"/>
      <c r="BP48" s="565"/>
      <c r="BQ48" s="565"/>
      <c r="BR48" s="565"/>
      <c r="BS48" s="565"/>
      <c r="BT48" s="565"/>
      <c r="BU48" s="566">
        <v>12</v>
      </c>
      <c r="BV48" s="565" t="str">
        <f t="shared" si="44"/>
        <v/>
      </c>
      <c r="BW48" s="565" t="str">
        <f t="shared" si="45"/>
        <v/>
      </c>
      <c r="BX48" s="565"/>
      <c r="BY48" s="565"/>
      <c r="BZ48" s="565"/>
      <c r="CA48" s="565"/>
      <c r="CB48" s="565"/>
      <c r="CC48" s="566">
        <v>12</v>
      </c>
      <c r="CD48" s="565" t="str">
        <f t="shared" si="46"/>
        <v/>
      </c>
      <c r="CE48" s="565" t="str">
        <f t="shared" si="47"/>
        <v/>
      </c>
      <c r="CF48" s="565"/>
      <c r="CG48" s="565"/>
      <c r="CH48" s="565"/>
      <c r="CI48" s="565"/>
      <c r="CJ48" s="565"/>
      <c r="CK48" s="565"/>
      <c r="CL48" s="565"/>
      <c r="CM48" s="565"/>
      <c r="CN48" s="565"/>
      <c r="CO48" s="565"/>
      <c r="CP48" s="565"/>
      <c r="CQ48" s="565"/>
      <c r="CR48" s="565"/>
      <c r="CS48" s="565"/>
      <c r="CT48" s="565"/>
      <c r="CU48" s="565"/>
      <c r="CV48" s="565"/>
      <c r="CW48" s="565"/>
      <c r="CX48" s="565"/>
      <c r="CY48" s="565"/>
      <c r="CZ48" s="565"/>
      <c r="DA48" s="565"/>
      <c r="DB48" s="565"/>
      <c r="DC48" s="565"/>
      <c r="DD48" s="565"/>
      <c r="DE48" s="565"/>
      <c r="DF48" s="565"/>
    </row>
    <row r="49" spans="1:110" x14ac:dyDescent="0.25">
      <c r="A49" s="120"/>
      <c r="B49" s="1062"/>
      <c r="C49" s="1062"/>
      <c r="D49" s="1062"/>
      <c r="E49" s="1062"/>
      <c r="F49" s="1062"/>
      <c r="G49" s="1062"/>
      <c r="H49" s="1062"/>
      <c r="I49" s="566">
        <v>13</v>
      </c>
      <c r="J49" s="566"/>
      <c r="K49" s="565" t="str">
        <f t="shared" si="30"/>
        <v/>
      </c>
      <c r="L49" s="565" t="str">
        <f t="shared" si="31"/>
        <v/>
      </c>
      <c r="M49" s="565"/>
      <c r="N49" s="565"/>
      <c r="O49" s="565"/>
      <c r="P49" s="565"/>
      <c r="Q49" s="565"/>
      <c r="R49" s="565"/>
      <c r="S49" s="566">
        <v>13</v>
      </c>
      <c r="T49" s="565" t="str">
        <f t="shared" si="32"/>
        <v/>
      </c>
      <c r="U49" s="565" t="str">
        <f t="shared" si="33"/>
        <v/>
      </c>
      <c r="V49" s="565"/>
      <c r="W49" s="565"/>
      <c r="X49" s="565"/>
      <c r="Y49" s="565"/>
      <c r="Z49" s="565"/>
      <c r="AA49" s="565"/>
      <c r="AB49" s="566">
        <v>13</v>
      </c>
      <c r="AC49" s="565" t="str">
        <f t="shared" si="34"/>
        <v/>
      </c>
      <c r="AD49" s="565" t="str">
        <f t="shared" si="35"/>
        <v/>
      </c>
      <c r="AE49" s="565"/>
      <c r="AF49" s="565"/>
      <c r="AG49" s="565"/>
      <c r="AH49" s="565"/>
      <c r="AI49" s="565"/>
      <c r="AJ49" s="565"/>
      <c r="AK49" s="566">
        <v>13</v>
      </c>
      <c r="AL49" s="565" t="str">
        <f t="shared" si="36"/>
        <v/>
      </c>
      <c r="AM49" s="565" t="str">
        <f t="shared" si="37"/>
        <v/>
      </c>
      <c r="AN49" s="565"/>
      <c r="AO49" s="565"/>
      <c r="AP49" s="565"/>
      <c r="AQ49" s="565"/>
      <c r="AR49" s="565"/>
      <c r="AS49" s="565"/>
      <c r="AT49" s="566">
        <v>13</v>
      </c>
      <c r="AU49" s="565" t="str">
        <f t="shared" si="38"/>
        <v/>
      </c>
      <c r="AV49" s="565" t="str">
        <f t="shared" si="39"/>
        <v/>
      </c>
      <c r="AW49" s="565"/>
      <c r="AX49" s="566"/>
      <c r="AY49" s="565"/>
      <c r="AZ49" s="565"/>
      <c r="BA49" s="565"/>
      <c r="BB49" s="565"/>
      <c r="BC49" s="566">
        <v>13</v>
      </c>
      <c r="BD49" s="565" t="str">
        <f t="shared" si="40"/>
        <v/>
      </c>
      <c r="BE49" s="565" t="str">
        <f t="shared" si="41"/>
        <v/>
      </c>
      <c r="BF49" s="565"/>
      <c r="BG49" s="565"/>
      <c r="BH49" s="565"/>
      <c r="BI49" s="565"/>
      <c r="BJ49" s="565"/>
      <c r="BK49" s="565"/>
      <c r="BL49" s="566">
        <v>13</v>
      </c>
      <c r="BM49" s="565" t="str">
        <f t="shared" si="42"/>
        <v/>
      </c>
      <c r="BN49" s="565" t="str">
        <f t="shared" si="43"/>
        <v/>
      </c>
      <c r="BO49" s="565"/>
      <c r="BP49" s="565"/>
      <c r="BQ49" s="565"/>
      <c r="BR49" s="565"/>
      <c r="BS49" s="565"/>
      <c r="BT49" s="565"/>
      <c r="BU49" s="566">
        <v>13</v>
      </c>
      <c r="BV49" s="565" t="str">
        <f t="shared" si="44"/>
        <v/>
      </c>
      <c r="BW49" s="565" t="str">
        <f t="shared" si="45"/>
        <v/>
      </c>
      <c r="BX49" s="565"/>
      <c r="BY49" s="565"/>
      <c r="BZ49" s="565"/>
      <c r="CA49" s="565"/>
      <c r="CB49" s="565"/>
      <c r="CC49" s="566">
        <v>13</v>
      </c>
      <c r="CD49" s="565" t="str">
        <f t="shared" si="46"/>
        <v/>
      </c>
      <c r="CE49" s="565" t="str">
        <f t="shared" si="47"/>
        <v/>
      </c>
      <c r="CF49" s="565"/>
      <c r="CG49" s="565"/>
      <c r="CH49" s="565"/>
      <c r="CI49" s="565"/>
      <c r="CJ49" s="565"/>
      <c r="CK49" s="565"/>
      <c r="CL49" s="565"/>
      <c r="CM49" s="565"/>
      <c r="CN49" s="565"/>
      <c r="CO49" s="565"/>
      <c r="CP49" s="565"/>
      <c r="CQ49" s="565"/>
      <c r="CR49" s="565"/>
      <c r="CS49" s="565"/>
      <c r="CT49" s="565"/>
      <c r="CU49" s="565"/>
      <c r="CV49" s="565"/>
      <c r="CW49" s="565"/>
      <c r="CX49" s="565"/>
      <c r="CY49" s="565"/>
      <c r="CZ49" s="565"/>
      <c r="DA49" s="565"/>
      <c r="DB49" s="565"/>
      <c r="DC49" s="565"/>
      <c r="DD49" s="565"/>
      <c r="DE49" s="565"/>
      <c r="DF49" s="565"/>
    </row>
    <row r="50" spans="1:110" x14ac:dyDescent="0.25">
      <c r="A50" s="120"/>
      <c r="B50" s="1062"/>
      <c r="C50" s="1062"/>
      <c r="D50" s="1062"/>
      <c r="E50" s="1062"/>
      <c r="F50" s="1062"/>
      <c r="G50" s="1062"/>
      <c r="H50" s="1062"/>
      <c r="I50" s="566">
        <v>14</v>
      </c>
      <c r="J50" s="566"/>
      <c r="K50" s="565" t="str">
        <f t="shared" si="30"/>
        <v/>
      </c>
      <c r="L50" s="565" t="str">
        <f t="shared" si="31"/>
        <v/>
      </c>
      <c r="M50" s="565"/>
      <c r="N50" s="565"/>
      <c r="O50" s="565"/>
      <c r="P50" s="565"/>
      <c r="Q50" s="565"/>
      <c r="R50" s="565"/>
      <c r="S50" s="566">
        <v>14</v>
      </c>
      <c r="T50" s="565" t="str">
        <f t="shared" si="32"/>
        <v/>
      </c>
      <c r="U50" s="565" t="str">
        <f t="shared" si="33"/>
        <v/>
      </c>
      <c r="V50" s="565"/>
      <c r="W50" s="565"/>
      <c r="X50" s="565"/>
      <c r="Y50" s="565"/>
      <c r="Z50" s="565"/>
      <c r="AA50" s="565"/>
      <c r="AB50" s="566">
        <v>14</v>
      </c>
      <c r="AC50" s="565" t="str">
        <f t="shared" si="34"/>
        <v/>
      </c>
      <c r="AD50" s="565" t="str">
        <f t="shared" si="35"/>
        <v/>
      </c>
      <c r="AE50" s="565"/>
      <c r="AF50" s="565"/>
      <c r="AG50" s="565"/>
      <c r="AH50" s="565"/>
      <c r="AI50" s="565"/>
      <c r="AJ50" s="565"/>
      <c r="AK50" s="566">
        <v>14</v>
      </c>
      <c r="AL50" s="565" t="str">
        <f t="shared" si="36"/>
        <v/>
      </c>
      <c r="AM50" s="565" t="str">
        <f t="shared" si="37"/>
        <v/>
      </c>
      <c r="AN50" s="565"/>
      <c r="AO50" s="565"/>
      <c r="AP50" s="565"/>
      <c r="AQ50" s="565"/>
      <c r="AR50" s="565"/>
      <c r="AS50" s="565"/>
      <c r="AT50" s="566">
        <v>14</v>
      </c>
      <c r="AU50" s="565" t="str">
        <f t="shared" si="38"/>
        <v/>
      </c>
      <c r="AV50" s="565" t="str">
        <f t="shared" si="39"/>
        <v/>
      </c>
      <c r="AW50" s="565"/>
      <c r="AX50" s="566"/>
      <c r="AY50" s="565"/>
      <c r="AZ50" s="565"/>
      <c r="BA50" s="565"/>
      <c r="BB50" s="565"/>
      <c r="BC50" s="566">
        <v>14</v>
      </c>
      <c r="BD50" s="565" t="str">
        <f t="shared" si="40"/>
        <v/>
      </c>
      <c r="BE50" s="565" t="str">
        <f t="shared" si="41"/>
        <v/>
      </c>
      <c r="BF50" s="565"/>
      <c r="BG50" s="565"/>
      <c r="BH50" s="565"/>
      <c r="BI50" s="565"/>
      <c r="BJ50" s="565"/>
      <c r="BK50" s="565"/>
      <c r="BL50" s="566">
        <v>14</v>
      </c>
      <c r="BM50" s="565" t="str">
        <f t="shared" si="42"/>
        <v/>
      </c>
      <c r="BN50" s="565" t="str">
        <f t="shared" si="43"/>
        <v/>
      </c>
      <c r="BO50" s="565"/>
      <c r="BP50" s="565"/>
      <c r="BQ50" s="565"/>
      <c r="BR50" s="565"/>
      <c r="BS50" s="565"/>
      <c r="BT50" s="565"/>
      <c r="BU50" s="566">
        <v>14</v>
      </c>
      <c r="BV50" s="565" t="str">
        <f t="shared" si="44"/>
        <v/>
      </c>
      <c r="BW50" s="565" t="str">
        <f t="shared" si="45"/>
        <v/>
      </c>
      <c r="BX50" s="565"/>
      <c r="BY50" s="565"/>
      <c r="BZ50" s="565"/>
      <c r="CA50" s="565"/>
      <c r="CB50" s="565"/>
      <c r="CC50" s="566">
        <v>14</v>
      </c>
      <c r="CD50" s="565" t="str">
        <f t="shared" si="46"/>
        <v/>
      </c>
      <c r="CE50" s="565" t="str">
        <f t="shared" si="47"/>
        <v/>
      </c>
      <c r="CF50" s="565"/>
      <c r="CG50" s="565"/>
      <c r="CH50" s="565"/>
      <c r="CI50" s="565"/>
      <c r="CJ50" s="565"/>
      <c r="CK50" s="565"/>
      <c r="CL50" s="565"/>
      <c r="CM50" s="565"/>
      <c r="CN50" s="565"/>
      <c r="CO50" s="565"/>
      <c r="CP50" s="565"/>
      <c r="CQ50" s="565"/>
      <c r="CR50" s="565"/>
      <c r="CS50" s="565"/>
      <c r="CT50" s="565"/>
      <c r="CU50" s="565"/>
      <c r="CV50" s="565"/>
      <c r="CW50" s="565"/>
      <c r="CX50" s="565"/>
      <c r="CY50" s="565"/>
      <c r="CZ50" s="565"/>
      <c r="DA50" s="565"/>
      <c r="DB50" s="565"/>
      <c r="DC50" s="565"/>
      <c r="DD50" s="565"/>
      <c r="DE50" s="565"/>
      <c r="DF50" s="565"/>
    </row>
    <row r="51" spans="1:110" x14ac:dyDescent="0.25">
      <c r="A51" s="120"/>
      <c r="B51" s="1062"/>
      <c r="C51" s="1062"/>
      <c r="D51" s="1062"/>
      <c r="E51" s="1062"/>
      <c r="F51" s="1062"/>
      <c r="G51" s="1062"/>
      <c r="H51" s="1062"/>
      <c r="I51" s="566">
        <v>15</v>
      </c>
      <c r="J51" s="566"/>
      <c r="K51" s="565" t="str">
        <f t="shared" si="30"/>
        <v/>
      </c>
      <c r="L51" s="565" t="str">
        <f t="shared" si="31"/>
        <v/>
      </c>
      <c r="M51" s="565"/>
      <c r="N51" s="565"/>
      <c r="O51" s="565"/>
      <c r="P51" s="565"/>
      <c r="Q51" s="565"/>
      <c r="R51" s="565"/>
      <c r="S51" s="566">
        <v>15</v>
      </c>
      <c r="T51" s="565" t="str">
        <f t="shared" si="32"/>
        <v/>
      </c>
      <c r="U51" s="565" t="str">
        <f t="shared" si="33"/>
        <v/>
      </c>
      <c r="V51" s="565"/>
      <c r="W51" s="565"/>
      <c r="X51" s="565"/>
      <c r="Y51" s="565"/>
      <c r="Z51" s="565"/>
      <c r="AA51" s="565"/>
      <c r="AB51" s="566">
        <v>15</v>
      </c>
      <c r="AC51" s="565" t="str">
        <f t="shared" si="34"/>
        <v/>
      </c>
      <c r="AD51" s="565" t="str">
        <f t="shared" si="35"/>
        <v/>
      </c>
      <c r="AE51" s="565"/>
      <c r="AF51" s="565"/>
      <c r="AG51" s="565"/>
      <c r="AH51" s="565"/>
      <c r="AI51" s="565"/>
      <c r="AJ51" s="565"/>
      <c r="AK51" s="566">
        <v>15</v>
      </c>
      <c r="AL51" s="565" t="str">
        <f t="shared" si="36"/>
        <v/>
      </c>
      <c r="AM51" s="565" t="str">
        <f t="shared" si="37"/>
        <v/>
      </c>
      <c r="AN51" s="565"/>
      <c r="AO51" s="565"/>
      <c r="AP51" s="565"/>
      <c r="AQ51" s="565"/>
      <c r="AR51" s="565"/>
      <c r="AS51" s="565"/>
      <c r="AT51" s="566">
        <v>15</v>
      </c>
      <c r="AU51" s="565" t="str">
        <f t="shared" si="38"/>
        <v/>
      </c>
      <c r="AV51" s="565" t="str">
        <f t="shared" si="39"/>
        <v/>
      </c>
      <c r="AW51" s="565"/>
      <c r="AX51" s="566"/>
      <c r="AY51" s="565"/>
      <c r="AZ51" s="565"/>
      <c r="BA51" s="565"/>
      <c r="BB51" s="565"/>
      <c r="BC51" s="566">
        <v>15</v>
      </c>
      <c r="BD51" s="565" t="str">
        <f t="shared" si="40"/>
        <v/>
      </c>
      <c r="BE51" s="565" t="str">
        <f t="shared" si="41"/>
        <v/>
      </c>
      <c r="BF51" s="565"/>
      <c r="BG51" s="565"/>
      <c r="BH51" s="565"/>
      <c r="BI51" s="565"/>
      <c r="BJ51" s="565"/>
      <c r="BK51" s="565"/>
      <c r="BL51" s="566">
        <v>15</v>
      </c>
      <c r="BM51" s="565" t="str">
        <f t="shared" si="42"/>
        <v/>
      </c>
      <c r="BN51" s="565" t="str">
        <f t="shared" si="43"/>
        <v/>
      </c>
      <c r="BO51" s="565"/>
      <c r="BP51" s="565"/>
      <c r="BQ51" s="565"/>
      <c r="BR51" s="565"/>
      <c r="BS51" s="565"/>
      <c r="BT51" s="565"/>
      <c r="BU51" s="566">
        <v>15</v>
      </c>
      <c r="BV51" s="565" t="str">
        <f t="shared" si="44"/>
        <v/>
      </c>
      <c r="BW51" s="565" t="str">
        <f t="shared" si="45"/>
        <v/>
      </c>
      <c r="BX51" s="565"/>
      <c r="BY51" s="565"/>
      <c r="BZ51" s="565"/>
      <c r="CA51" s="565"/>
      <c r="CB51" s="565"/>
      <c r="CC51" s="566">
        <v>15</v>
      </c>
      <c r="CD51" s="565" t="str">
        <f t="shared" si="46"/>
        <v/>
      </c>
      <c r="CE51" s="565" t="str">
        <f t="shared" si="47"/>
        <v/>
      </c>
      <c r="CF51" s="565"/>
      <c r="CG51" s="565"/>
      <c r="CH51" s="565"/>
      <c r="CI51" s="565"/>
      <c r="CJ51" s="565"/>
      <c r="CK51" s="565"/>
      <c r="CL51" s="565"/>
      <c r="CM51" s="565"/>
      <c r="CN51" s="565"/>
      <c r="CO51" s="565"/>
      <c r="CP51" s="565"/>
      <c r="CQ51" s="565"/>
      <c r="CR51" s="565"/>
      <c r="CS51" s="565"/>
      <c r="CT51" s="565"/>
      <c r="CU51" s="565"/>
      <c r="CV51" s="565"/>
      <c r="CW51" s="565"/>
      <c r="CX51" s="565"/>
      <c r="CY51" s="565"/>
      <c r="CZ51" s="565"/>
      <c r="DA51" s="565"/>
      <c r="DB51" s="565"/>
      <c r="DC51" s="565"/>
      <c r="DD51" s="565"/>
      <c r="DE51" s="565"/>
      <c r="DF51" s="565"/>
    </row>
    <row r="52" spans="1:110" x14ac:dyDescent="0.25">
      <c r="A52" s="120"/>
      <c r="B52" s="1062"/>
      <c r="C52" s="1062"/>
      <c r="D52" s="1062"/>
      <c r="E52" s="1062"/>
      <c r="F52" s="1062"/>
      <c r="G52" s="1062"/>
      <c r="H52" s="1062"/>
      <c r="I52" s="566">
        <v>16</v>
      </c>
      <c r="J52" s="566"/>
      <c r="K52" s="565" t="str">
        <f t="shared" si="30"/>
        <v/>
      </c>
      <c r="L52" s="565" t="str">
        <f t="shared" si="31"/>
        <v/>
      </c>
      <c r="M52" s="565"/>
      <c r="N52" s="565"/>
      <c r="O52" s="565"/>
      <c r="P52" s="565"/>
      <c r="Q52" s="565"/>
      <c r="R52" s="565"/>
      <c r="S52" s="566">
        <v>16</v>
      </c>
      <c r="T52" s="565" t="str">
        <f t="shared" si="32"/>
        <v/>
      </c>
      <c r="U52" s="565" t="str">
        <f t="shared" si="33"/>
        <v/>
      </c>
      <c r="V52" s="565"/>
      <c r="W52" s="565"/>
      <c r="X52" s="565"/>
      <c r="Y52" s="565"/>
      <c r="Z52" s="565"/>
      <c r="AA52" s="565"/>
      <c r="AB52" s="566">
        <v>16</v>
      </c>
      <c r="AC52" s="565" t="str">
        <f t="shared" si="34"/>
        <v/>
      </c>
      <c r="AD52" s="565" t="str">
        <f t="shared" si="35"/>
        <v/>
      </c>
      <c r="AE52" s="565"/>
      <c r="AF52" s="565"/>
      <c r="AG52" s="565"/>
      <c r="AH52" s="565"/>
      <c r="AI52" s="565"/>
      <c r="AJ52" s="565"/>
      <c r="AK52" s="566">
        <v>16</v>
      </c>
      <c r="AL52" s="565" t="str">
        <f t="shared" si="36"/>
        <v/>
      </c>
      <c r="AM52" s="565" t="str">
        <f t="shared" si="37"/>
        <v/>
      </c>
      <c r="AN52" s="565"/>
      <c r="AO52" s="565"/>
      <c r="AP52" s="565"/>
      <c r="AQ52" s="565"/>
      <c r="AR52" s="565"/>
      <c r="AS52" s="565"/>
      <c r="AT52" s="566">
        <v>16</v>
      </c>
      <c r="AU52" s="565" t="str">
        <f t="shared" si="38"/>
        <v/>
      </c>
      <c r="AV52" s="565" t="str">
        <f t="shared" si="39"/>
        <v/>
      </c>
      <c r="AW52" s="565"/>
      <c r="AX52" s="566"/>
      <c r="AY52" s="565"/>
      <c r="AZ52" s="565"/>
      <c r="BA52" s="565"/>
      <c r="BB52" s="565"/>
      <c r="BC52" s="566">
        <v>16</v>
      </c>
      <c r="BD52" s="565" t="str">
        <f t="shared" si="40"/>
        <v/>
      </c>
      <c r="BE52" s="565" t="str">
        <f t="shared" si="41"/>
        <v/>
      </c>
      <c r="BF52" s="565"/>
      <c r="BG52" s="565"/>
      <c r="BH52" s="565"/>
      <c r="BI52" s="565"/>
      <c r="BJ52" s="565"/>
      <c r="BK52" s="565"/>
      <c r="BL52" s="566">
        <v>16</v>
      </c>
      <c r="BM52" s="565" t="str">
        <f t="shared" si="42"/>
        <v/>
      </c>
      <c r="BN52" s="565" t="str">
        <f t="shared" si="43"/>
        <v/>
      </c>
      <c r="BO52" s="565"/>
      <c r="BP52" s="565"/>
      <c r="BQ52" s="565"/>
      <c r="BR52" s="565"/>
      <c r="BS52" s="565"/>
      <c r="BT52" s="565"/>
      <c r="BU52" s="566">
        <v>16</v>
      </c>
      <c r="BV52" s="565" t="str">
        <f t="shared" si="44"/>
        <v/>
      </c>
      <c r="BW52" s="565" t="str">
        <f t="shared" si="45"/>
        <v/>
      </c>
      <c r="BX52" s="565"/>
      <c r="BY52" s="565"/>
      <c r="BZ52" s="565"/>
      <c r="CA52" s="565"/>
      <c r="CB52" s="565"/>
      <c r="CC52" s="566">
        <v>16</v>
      </c>
      <c r="CD52" s="565" t="str">
        <f t="shared" si="46"/>
        <v/>
      </c>
      <c r="CE52" s="565" t="str">
        <f t="shared" si="47"/>
        <v/>
      </c>
      <c r="CF52" s="565"/>
      <c r="CG52" s="565"/>
      <c r="CH52" s="565"/>
      <c r="CI52" s="565"/>
      <c r="CJ52" s="565"/>
      <c r="CK52" s="565"/>
      <c r="CL52" s="565"/>
      <c r="CM52" s="565"/>
      <c r="CN52" s="565"/>
      <c r="CO52" s="565"/>
      <c r="CP52" s="565"/>
      <c r="CQ52" s="565"/>
      <c r="CR52" s="565"/>
      <c r="CS52" s="565"/>
      <c r="CT52" s="565"/>
      <c r="CU52" s="565"/>
      <c r="CV52" s="565"/>
      <c r="CW52" s="565"/>
      <c r="CX52" s="565"/>
      <c r="CY52" s="565"/>
      <c r="CZ52" s="565"/>
      <c r="DA52" s="565"/>
      <c r="DB52" s="565"/>
      <c r="DC52" s="565"/>
      <c r="DD52" s="565"/>
      <c r="DE52" s="565"/>
      <c r="DF52" s="565"/>
    </row>
    <row r="53" spans="1:110" x14ac:dyDescent="0.25">
      <c r="A53" s="120"/>
      <c r="B53" s="1062"/>
      <c r="C53" s="1062"/>
      <c r="D53" s="1062"/>
      <c r="E53" s="1062"/>
      <c r="F53" s="1062"/>
      <c r="G53" s="1062"/>
      <c r="H53" s="1062"/>
      <c r="I53" s="566">
        <v>17</v>
      </c>
      <c r="J53" s="566"/>
      <c r="K53" s="565" t="str">
        <f t="shared" si="30"/>
        <v/>
      </c>
      <c r="L53" s="565" t="str">
        <f t="shared" si="31"/>
        <v/>
      </c>
      <c r="M53" s="565"/>
      <c r="N53" s="565"/>
      <c r="O53" s="565"/>
      <c r="P53" s="565"/>
      <c r="Q53" s="565"/>
      <c r="R53" s="565"/>
      <c r="S53" s="566">
        <v>17</v>
      </c>
      <c r="T53" s="565" t="str">
        <f t="shared" si="32"/>
        <v/>
      </c>
      <c r="U53" s="565" t="str">
        <f t="shared" si="33"/>
        <v/>
      </c>
      <c r="V53" s="565"/>
      <c r="W53" s="565"/>
      <c r="X53" s="565"/>
      <c r="Y53" s="565"/>
      <c r="Z53" s="565"/>
      <c r="AA53" s="565"/>
      <c r="AB53" s="566">
        <v>17</v>
      </c>
      <c r="AC53" s="565" t="str">
        <f t="shared" si="34"/>
        <v/>
      </c>
      <c r="AD53" s="565" t="str">
        <f t="shared" si="35"/>
        <v/>
      </c>
      <c r="AE53" s="565"/>
      <c r="AF53" s="565"/>
      <c r="AG53" s="565"/>
      <c r="AH53" s="565"/>
      <c r="AI53" s="565"/>
      <c r="AJ53" s="565"/>
      <c r="AK53" s="566">
        <v>17</v>
      </c>
      <c r="AL53" s="565" t="str">
        <f t="shared" si="36"/>
        <v/>
      </c>
      <c r="AM53" s="565" t="str">
        <f t="shared" si="37"/>
        <v/>
      </c>
      <c r="AN53" s="565"/>
      <c r="AO53" s="565"/>
      <c r="AP53" s="565"/>
      <c r="AQ53" s="565"/>
      <c r="AR53" s="565"/>
      <c r="AS53" s="565"/>
      <c r="AT53" s="566">
        <v>17</v>
      </c>
      <c r="AU53" s="565" t="str">
        <f t="shared" si="38"/>
        <v/>
      </c>
      <c r="AV53" s="565" t="str">
        <f t="shared" si="39"/>
        <v/>
      </c>
      <c r="AW53" s="565"/>
      <c r="AX53" s="566"/>
      <c r="AY53" s="565"/>
      <c r="AZ53" s="565"/>
      <c r="BA53" s="565"/>
      <c r="BB53" s="565"/>
      <c r="BC53" s="566">
        <v>17</v>
      </c>
      <c r="BD53" s="565" t="str">
        <f t="shared" si="40"/>
        <v/>
      </c>
      <c r="BE53" s="565" t="str">
        <f t="shared" si="41"/>
        <v/>
      </c>
      <c r="BF53" s="565"/>
      <c r="BG53" s="565"/>
      <c r="BH53" s="565"/>
      <c r="BI53" s="565"/>
      <c r="BJ53" s="565"/>
      <c r="BK53" s="565"/>
      <c r="BL53" s="566">
        <v>17</v>
      </c>
      <c r="BM53" s="565" t="str">
        <f t="shared" si="42"/>
        <v/>
      </c>
      <c r="BN53" s="565" t="str">
        <f t="shared" si="43"/>
        <v/>
      </c>
      <c r="BO53" s="565"/>
      <c r="BP53" s="565"/>
      <c r="BQ53" s="565"/>
      <c r="BR53" s="565"/>
      <c r="BS53" s="565"/>
      <c r="BT53" s="565"/>
      <c r="BU53" s="566">
        <v>17</v>
      </c>
      <c r="BV53" s="565" t="str">
        <f t="shared" si="44"/>
        <v/>
      </c>
      <c r="BW53" s="565" t="str">
        <f t="shared" si="45"/>
        <v/>
      </c>
      <c r="BX53" s="565"/>
      <c r="BY53" s="565"/>
      <c r="BZ53" s="565"/>
      <c r="CA53" s="565"/>
      <c r="CB53" s="565"/>
      <c r="CC53" s="566">
        <v>17</v>
      </c>
      <c r="CD53" s="565" t="str">
        <f t="shared" si="46"/>
        <v/>
      </c>
      <c r="CE53" s="565" t="str">
        <f t="shared" si="47"/>
        <v/>
      </c>
      <c r="CF53" s="565"/>
      <c r="CG53" s="565"/>
      <c r="CH53" s="565"/>
      <c r="CI53" s="565"/>
      <c r="CJ53" s="565"/>
      <c r="CK53" s="565"/>
      <c r="CL53" s="565"/>
      <c r="CM53" s="565"/>
      <c r="CN53" s="565"/>
      <c r="CO53" s="565"/>
      <c r="CP53" s="565"/>
      <c r="CQ53" s="565"/>
      <c r="CR53" s="565"/>
      <c r="CS53" s="565"/>
      <c r="CT53" s="565"/>
      <c r="CU53" s="565"/>
      <c r="CV53" s="565"/>
      <c r="CW53" s="565"/>
      <c r="CX53" s="565"/>
      <c r="CY53" s="565"/>
      <c r="CZ53" s="565"/>
      <c r="DA53" s="565"/>
      <c r="DB53" s="565"/>
      <c r="DC53" s="565"/>
      <c r="DD53" s="565"/>
      <c r="DE53" s="565"/>
      <c r="DF53" s="565"/>
    </row>
    <row r="54" spans="1:110" x14ac:dyDescent="0.25">
      <c r="A54" s="120"/>
      <c r="B54" s="1062"/>
      <c r="C54" s="1062"/>
      <c r="D54" s="1062"/>
      <c r="E54" s="1062"/>
      <c r="F54" s="1062"/>
      <c r="G54" s="1062"/>
      <c r="H54" s="1062"/>
      <c r="I54" s="566">
        <v>18</v>
      </c>
      <c r="J54" s="566"/>
      <c r="K54" s="565" t="str">
        <f t="shared" si="30"/>
        <v/>
      </c>
      <c r="L54" s="565" t="str">
        <f t="shared" si="31"/>
        <v/>
      </c>
      <c r="M54" s="565"/>
      <c r="N54" s="565"/>
      <c r="O54" s="565"/>
      <c r="P54" s="565"/>
      <c r="Q54" s="565"/>
      <c r="R54" s="565"/>
      <c r="S54" s="566">
        <v>18</v>
      </c>
      <c r="T54" s="565" t="str">
        <f t="shared" si="32"/>
        <v/>
      </c>
      <c r="U54" s="565" t="str">
        <f t="shared" si="33"/>
        <v/>
      </c>
      <c r="V54" s="565"/>
      <c r="W54" s="565"/>
      <c r="X54" s="565"/>
      <c r="Y54" s="565"/>
      <c r="Z54" s="565"/>
      <c r="AA54" s="565"/>
      <c r="AB54" s="566">
        <v>18</v>
      </c>
      <c r="AC54" s="565" t="str">
        <f t="shared" si="34"/>
        <v/>
      </c>
      <c r="AD54" s="565" t="str">
        <f t="shared" si="35"/>
        <v/>
      </c>
      <c r="AE54" s="565"/>
      <c r="AF54" s="565"/>
      <c r="AG54" s="565"/>
      <c r="AH54" s="565"/>
      <c r="AI54" s="565"/>
      <c r="AJ54" s="565"/>
      <c r="AK54" s="566">
        <v>18</v>
      </c>
      <c r="AL54" s="565" t="str">
        <f t="shared" si="36"/>
        <v/>
      </c>
      <c r="AM54" s="565" t="str">
        <f t="shared" si="37"/>
        <v/>
      </c>
      <c r="AN54" s="565"/>
      <c r="AO54" s="565"/>
      <c r="AP54" s="565"/>
      <c r="AQ54" s="565"/>
      <c r="AR54" s="565"/>
      <c r="AS54" s="565"/>
      <c r="AT54" s="566">
        <v>18</v>
      </c>
      <c r="AU54" s="565" t="str">
        <f t="shared" si="38"/>
        <v/>
      </c>
      <c r="AV54" s="565" t="str">
        <f t="shared" si="39"/>
        <v/>
      </c>
      <c r="AW54" s="565"/>
      <c r="AX54" s="566"/>
      <c r="AY54" s="565"/>
      <c r="AZ54" s="565"/>
      <c r="BA54" s="565"/>
      <c r="BB54" s="565"/>
      <c r="BC54" s="566">
        <v>18</v>
      </c>
      <c r="BD54" s="565" t="str">
        <f t="shared" si="40"/>
        <v/>
      </c>
      <c r="BE54" s="565" t="str">
        <f t="shared" si="41"/>
        <v/>
      </c>
      <c r="BF54" s="565"/>
      <c r="BG54" s="565"/>
      <c r="BH54" s="565"/>
      <c r="BI54" s="565"/>
      <c r="BJ54" s="565"/>
      <c r="BK54" s="565"/>
      <c r="BL54" s="566">
        <v>18</v>
      </c>
      <c r="BM54" s="565" t="str">
        <f t="shared" si="42"/>
        <v/>
      </c>
      <c r="BN54" s="565" t="str">
        <f t="shared" si="43"/>
        <v/>
      </c>
      <c r="BO54" s="565"/>
      <c r="BP54" s="565"/>
      <c r="BQ54" s="565"/>
      <c r="BR54" s="565"/>
      <c r="BS54" s="565"/>
      <c r="BT54" s="565"/>
      <c r="BU54" s="566">
        <v>18</v>
      </c>
      <c r="BV54" s="565" t="str">
        <f t="shared" si="44"/>
        <v/>
      </c>
      <c r="BW54" s="565" t="str">
        <f t="shared" si="45"/>
        <v/>
      </c>
      <c r="BX54" s="565"/>
      <c r="BY54" s="565"/>
      <c r="BZ54" s="565"/>
      <c r="CA54" s="565"/>
      <c r="CB54" s="565"/>
      <c r="CC54" s="566">
        <v>18</v>
      </c>
      <c r="CD54" s="565" t="str">
        <f t="shared" si="46"/>
        <v/>
      </c>
      <c r="CE54" s="565" t="str">
        <f t="shared" si="47"/>
        <v/>
      </c>
      <c r="CF54" s="565"/>
      <c r="CG54" s="565"/>
      <c r="CH54" s="565"/>
      <c r="CI54" s="565"/>
      <c r="CJ54" s="565"/>
      <c r="CK54" s="565"/>
      <c r="CL54" s="565"/>
      <c r="CM54" s="565"/>
      <c r="CN54" s="565"/>
      <c r="CO54" s="565"/>
      <c r="CP54" s="565"/>
      <c r="CQ54" s="565"/>
      <c r="CR54" s="565"/>
      <c r="CS54" s="565"/>
      <c r="CT54" s="565"/>
      <c r="CU54" s="565"/>
      <c r="CV54" s="565"/>
      <c r="CW54" s="565"/>
      <c r="CX54" s="565"/>
      <c r="CY54" s="565"/>
      <c r="CZ54" s="565"/>
      <c r="DA54" s="565"/>
      <c r="DB54" s="565"/>
      <c r="DC54" s="565"/>
      <c r="DD54" s="565"/>
      <c r="DE54" s="565"/>
      <c r="DF54" s="565"/>
    </row>
    <row r="55" spans="1:110" x14ac:dyDescent="0.25">
      <c r="A55" s="120"/>
      <c r="B55" s="1062"/>
      <c r="C55" s="1062"/>
      <c r="D55" s="1062"/>
      <c r="E55" s="1062"/>
      <c r="F55" s="1062"/>
      <c r="G55" s="1062"/>
      <c r="H55" s="1062"/>
      <c r="I55" s="566">
        <v>19</v>
      </c>
      <c r="J55" s="566"/>
      <c r="K55" s="565" t="str">
        <f t="shared" si="30"/>
        <v/>
      </c>
      <c r="L55" s="565" t="str">
        <f t="shared" si="31"/>
        <v/>
      </c>
      <c r="M55" s="565"/>
      <c r="N55" s="565"/>
      <c r="O55" s="565"/>
      <c r="P55" s="565"/>
      <c r="Q55" s="565"/>
      <c r="R55" s="565"/>
      <c r="S55" s="566">
        <v>19</v>
      </c>
      <c r="T55" s="565" t="str">
        <f t="shared" si="32"/>
        <v/>
      </c>
      <c r="U55" s="565" t="str">
        <f t="shared" si="33"/>
        <v/>
      </c>
      <c r="V55" s="565"/>
      <c r="W55" s="565"/>
      <c r="X55" s="565"/>
      <c r="Y55" s="565"/>
      <c r="Z55" s="565"/>
      <c r="AA55" s="565"/>
      <c r="AB55" s="566">
        <v>19</v>
      </c>
      <c r="AC55" s="565" t="str">
        <f t="shared" si="34"/>
        <v/>
      </c>
      <c r="AD55" s="565" t="str">
        <f t="shared" si="35"/>
        <v/>
      </c>
      <c r="AE55" s="565"/>
      <c r="AF55" s="565"/>
      <c r="AG55" s="565"/>
      <c r="AH55" s="565"/>
      <c r="AI55" s="565"/>
      <c r="AJ55" s="565"/>
      <c r="AK55" s="566">
        <v>19</v>
      </c>
      <c r="AL55" s="565" t="str">
        <f t="shared" si="36"/>
        <v/>
      </c>
      <c r="AM55" s="565" t="str">
        <f t="shared" si="37"/>
        <v/>
      </c>
      <c r="AN55" s="565"/>
      <c r="AO55" s="565"/>
      <c r="AP55" s="565"/>
      <c r="AQ55" s="565"/>
      <c r="AR55" s="565"/>
      <c r="AS55" s="565"/>
      <c r="AT55" s="566">
        <v>19</v>
      </c>
      <c r="AU55" s="565" t="str">
        <f t="shared" si="38"/>
        <v/>
      </c>
      <c r="AV55" s="565" t="str">
        <f t="shared" si="39"/>
        <v/>
      </c>
      <c r="AW55" s="565"/>
      <c r="AX55" s="566"/>
      <c r="AY55" s="565"/>
      <c r="AZ55" s="565"/>
      <c r="BA55" s="565"/>
      <c r="BB55" s="565"/>
      <c r="BC55" s="566">
        <v>19</v>
      </c>
      <c r="BD55" s="565" t="str">
        <f t="shared" si="40"/>
        <v/>
      </c>
      <c r="BE55" s="565" t="str">
        <f t="shared" si="41"/>
        <v/>
      </c>
      <c r="BF55" s="565"/>
      <c r="BG55" s="565"/>
      <c r="BH55" s="565"/>
      <c r="BI55" s="565"/>
      <c r="BJ55" s="565"/>
      <c r="BK55" s="565"/>
      <c r="BL55" s="566">
        <v>19</v>
      </c>
      <c r="BM55" s="565" t="str">
        <f t="shared" si="42"/>
        <v/>
      </c>
      <c r="BN55" s="565" t="str">
        <f t="shared" si="43"/>
        <v/>
      </c>
      <c r="BO55" s="565"/>
      <c r="BP55" s="565"/>
      <c r="BQ55" s="565"/>
      <c r="BR55" s="565"/>
      <c r="BS55" s="565"/>
      <c r="BT55" s="565"/>
      <c r="BU55" s="566">
        <v>19</v>
      </c>
      <c r="BV55" s="565" t="str">
        <f t="shared" si="44"/>
        <v/>
      </c>
      <c r="BW55" s="565" t="str">
        <f t="shared" si="45"/>
        <v/>
      </c>
      <c r="BX55" s="565"/>
      <c r="BY55" s="565"/>
      <c r="BZ55" s="565"/>
      <c r="CA55" s="565"/>
      <c r="CB55" s="565"/>
      <c r="CC55" s="566">
        <v>19</v>
      </c>
      <c r="CD55" s="565" t="str">
        <f t="shared" si="46"/>
        <v/>
      </c>
      <c r="CE55" s="565" t="str">
        <f t="shared" si="47"/>
        <v/>
      </c>
      <c r="CF55" s="565"/>
      <c r="CG55" s="565"/>
      <c r="CH55" s="565"/>
      <c r="CI55" s="565"/>
      <c r="CJ55" s="565"/>
      <c r="CK55" s="565"/>
      <c r="CL55" s="565"/>
      <c r="CM55" s="565"/>
      <c r="CN55" s="565"/>
      <c r="CO55" s="565"/>
      <c r="CP55" s="565"/>
      <c r="CQ55" s="565"/>
      <c r="CR55" s="565"/>
      <c r="CS55" s="565"/>
      <c r="CT55" s="565"/>
      <c r="CU55" s="565"/>
      <c r="CV55" s="565"/>
      <c r="CW55" s="565"/>
      <c r="CX55" s="565"/>
      <c r="CY55" s="565"/>
      <c r="CZ55" s="565"/>
      <c r="DA55" s="565"/>
      <c r="DB55" s="565"/>
      <c r="DC55" s="565"/>
      <c r="DD55" s="565"/>
      <c r="DE55" s="565"/>
      <c r="DF55" s="565"/>
    </row>
    <row r="56" spans="1:110" x14ac:dyDescent="0.25">
      <c r="A56" s="120"/>
      <c r="B56" s="1062"/>
      <c r="C56" s="1062"/>
      <c r="D56" s="1062"/>
      <c r="E56" s="1062"/>
      <c r="F56" s="1062"/>
      <c r="G56" s="1062"/>
      <c r="H56" s="1062"/>
      <c r="I56" s="566">
        <v>20</v>
      </c>
      <c r="J56" s="566"/>
      <c r="K56" s="565" t="str">
        <f t="shared" si="30"/>
        <v/>
      </c>
      <c r="L56" s="565" t="str">
        <f t="shared" si="31"/>
        <v/>
      </c>
      <c r="M56" s="565"/>
      <c r="N56" s="565"/>
      <c r="O56" s="565"/>
      <c r="P56" s="565"/>
      <c r="Q56" s="565"/>
      <c r="R56" s="565"/>
      <c r="S56" s="566">
        <v>20</v>
      </c>
      <c r="T56" s="565" t="str">
        <f t="shared" si="32"/>
        <v/>
      </c>
      <c r="U56" s="565" t="str">
        <f t="shared" si="33"/>
        <v/>
      </c>
      <c r="V56" s="565"/>
      <c r="W56" s="565"/>
      <c r="X56" s="565"/>
      <c r="Y56" s="565"/>
      <c r="Z56" s="565"/>
      <c r="AA56" s="565"/>
      <c r="AB56" s="566">
        <v>20</v>
      </c>
      <c r="AC56" s="565" t="str">
        <f t="shared" si="34"/>
        <v/>
      </c>
      <c r="AD56" s="565" t="str">
        <f t="shared" si="35"/>
        <v/>
      </c>
      <c r="AE56" s="565"/>
      <c r="AF56" s="565"/>
      <c r="AG56" s="565"/>
      <c r="AH56" s="565"/>
      <c r="AI56" s="565"/>
      <c r="AJ56" s="565"/>
      <c r="AK56" s="566">
        <v>20</v>
      </c>
      <c r="AL56" s="565" t="str">
        <f t="shared" si="36"/>
        <v/>
      </c>
      <c r="AM56" s="565" t="str">
        <f t="shared" si="37"/>
        <v/>
      </c>
      <c r="AN56" s="565"/>
      <c r="AO56" s="565"/>
      <c r="AP56" s="565"/>
      <c r="AQ56" s="565"/>
      <c r="AR56" s="565"/>
      <c r="AS56" s="565"/>
      <c r="AT56" s="566">
        <v>20</v>
      </c>
      <c r="AU56" s="565" t="str">
        <f t="shared" si="38"/>
        <v/>
      </c>
      <c r="AV56" s="565" t="str">
        <f t="shared" si="39"/>
        <v/>
      </c>
      <c r="AW56" s="565"/>
      <c r="AX56" s="566"/>
      <c r="AY56" s="565"/>
      <c r="AZ56" s="565"/>
      <c r="BA56" s="565"/>
      <c r="BB56" s="565"/>
      <c r="BC56" s="566">
        <v>20</v>
      </c>
      <c r="BD56" s="565" t="str">
        <f t="shared" si="40"/>
        <v/>
      </c>
      <c r="BE56" s="565" t="str">
        <f t="shared" si="41"/>
        <v/>
      </c>
      <c r="BF56" s="565"/>
      <c r="BG56" s="565"/>
      <c r="BH56" s="565"/>
      <c r="BI56" s="565"/>
      <c r="BJ56" s="565"/>
      <c r="BK56" s="565"/>
      <c r="BL56" s="566">
        <v>20</v>
      </c>
      <c r="BM56" s="565" t="str">
        <f t="shared" si="42"/>
        <v/>
      </c>
      <c r="BN56" s="565" t="str">
        <f t="shared" si="43"/>
        <v/>
      </c>
      <c r="BO56" s="565"/>
      <c r="BP56" s="565"/>
      <c r="BQ56" s="565"/>
      <c r="BR56" s="565"/>
      <c r="BS56" s="565"/>
      <c r="BT56" s="565"/>
      <c r="BU56" s="566">
        <v>20</v>
      </c>
      <c r="BV56" s="565" t="str">
        <f t="shared" si="44"/>
        <v/>
      </c>
      <c r="BW56" s="565" t="str">
        <f t="shared" si="45"/>
        <v/>
      </c>
      <c r="BX56" s="565"/>
      <c r="BY56" s="565"/>
      <c r="BZ56" s="565"/>
      <c r="CA56" s="565"/>
      <c r="CB56" s="565"/>
      <c r="CC56" s="566">
        <v>20</v>
      </c>
      <c r="CD56" s="565" t="str">
        <f t="shared" si="46"/>
        <v/>
      </c>
      <c r="CE56" s="565" t="str">
        <f t="shared" si="47"/>
        <v/>
      </c>
      <c r="CF56" s="565"/>
      <c r="CG56" s="565"/>
      <c r="CH56" s="565"/>
      <c r="CI56" s="565"/>
      <c r="CJ56" s="565"/>
      <c r="CK56" s="565"/>
      <c r="CL56" s="565"/>
      <c r="CM56" s="565"/>
      <c r="CN56" s="565"/>
      <c r="CO56" s="565"/>
      <c r="CP56" s="565"/>
      <c r="CQ56" s="565"/>
      <c r="CR56" s="565"/>
      <c r="CS56" s="565"/>
      <c r="CT56" s="565"/>
      <c r="CU56" s="565"/>
      <c r="CV56" s="565"/>
      <c r="CW56" s="565"/>
      <c r="CX56" s="565"/>
      <c r="CY56" s="565"/>
      <c r="CZ56" s="565"/>
      <c r="DA56" s="565"/>
      <c r="DB56" s="565"/>
      <c r="DC56" s="565"/>
      <c r="DD56" s="565"/>
      <c r="DE56" s="565"/>
      <c r="DF56" s="565"/>
    </row>
    <row r="57" spans="1:110" x14ac:dyDescent="0.25">
      <c r="A57" s="120"/>
      <c r="B57" s="1062"/>
      <c r="C57" s="1062"/>
      <c r="D57" s="1062"/>
      <c r="E57" s="1062"/>
      <c r="F57" s="1062"/>
      <c r="G57" s="1062"/>
      <c r="H57" s="1062"/>
      <c r="I57" s="566">
        <v>21</v>
      </c>
      <c r="J57" s="566"/>
      <c r="K57" s="565" t="str">
        <f t="shared" si="30"/>
        <v/>
      </c>
      <c r="L57" s="565" t="str">
        <f t="shared" si="31"/>
        <v/>
      </c>
      <c r="M57" s="565"/>
      <c r="N57" s="565"/>
      <c r="O57" s="565"/>
      <c r="P57" s="565"/>
      <c r="Q57" s="565"/>
      <c r="R57" s="565"/>
      <c r="S57" s="566">
        <v>21</v>
      </c>
      <c r="T57" s="565" t="str">
        <f t="shared" si="32"/>
        <v/>
      </c>
      <c r="U57" s="565" t="str">
        <f t="shared" si="33"/>
        <v/>
      </c>
      <c r="V57" s="565"/>
      <c r="W57" s="565"/>
      <c r="X57" s="565"/>
      <c r="Y57" s="565"/>
      <c r="Z57" s="565"/>
      <c r="AA57" s="565"/>
      <c r="AB57" s="566">
        <v>21</v>
      </c>
      <c r="AC57" s="565" t="str">
        <f t="shared" si="34"/>
        <v/>
      </c>
      <c r="AD57" s="565" t="str">
        <f t="shared" si="35"/>
        <v/>
      </c>
      <c r="AE57" s="565"/>
      <c r="AF57" s="565"/>
      <c r="AG57" s="565"/>
      <c r="AH57" s="565"/>
      <c r="AI57" s="565"/>
      <c r="AJ57" s="565"/>
      <c r="AK57" s="566">
        <v>21</v>
      </c>
      <c r="AL57" s="565" t="str">
        <f t="shared" si="36"/>
        <v/>
      </c>
      <c r="AM57" s="565" t="str">
        <f t="shared" si="37"/>
        <v/>
      </c>
      <c r="AN57" s="565"/>
      <c r="AO57" s="565"/>
      <c r="AP57" s="565"/>
      <c r="AQ57" s="565"/>
      <c r="AR57" s="565"/>
      <c r="AS57" s="565"/>
      <c r="AT57" s="566">
        <v>21</v>
      </c>
      <c r="AU57" s="565" t="str">
        <f t="shared" si="38"/>
        <v/>
      </c>
      <c r="AV57" s="565" t="str">
        <f t="shared" si="39"/>
        <v/>
      </c>
      <c r="AW57" s="565"/>
      <c r="AX57" s="566"/>
      <c r="AY57" s="565"/>
      <c r="AZ57" s="565"/>
      <c r="BA57" s="565"/>
      <c r="BB57" s="565"/>
      <c r="BC57" s="566">
        <v>21</v>
      </c>
      <c r="BD57" s="565" t="str">
        <f t="shared" si="40"/>
        <v/>
      </c>
      <c r="BE57" s="565" t="str">
        <f t="shared" si="41"/>
        <v/>
      </c>
      <c r="BF57" s="565"/>
      <c r="BG57" s="565"/>
      <c r="BH57" s="565"/>
      <c r="BI57" s="565"/>
      <c r="BJ57" s="565"/>
      <c r="BK57" s="565"/>
      <c r="BL57" s="566">
        <v>21</v>
      </c>
      <c r="BM57" s="565" t="str">
        <f t="shared" si="42"/>
        <v/>
      </c>
      <c r="BN57" s="565" t="str">
        <f t="shared" si="43"/>
        <v/>
      </c>
      <c r="BO57" s="565"/>
      <c r="BP57" s="565"/>
      <c r="BQ57" s="565"/>
      <c r="BR57" s="565"/>
      <c r="BS57" s="565"/>
      <c r="BT57" s="565"/>
      <c r="BU57" s="566">
        <v>21</v>
      </c>
      <c r="BV57" s="565" t="str">
        <f t="shared" si="44"/>
        <v/>
      </c>
      <c r="BW57" s="565" t="str">
        <f t="shared" si="45"/>
        <v/>
      </c>
      <c r="BX57" s="565"/>
      <c r="BY57" s="565"/>
      <c r="BZ57" s="565"/>
      <c r="CA57" s="565"/>
      <c r="CB57" s="565"/>
      <c r="CC57" s="566">
        <v>21</v>
      </c>
      <c r="CD57" s="565" t="str">
        <f t="shared" si="46"/>
        <v/>
      </c>
      <c r="CE57" s="565" t="str">
        <f t="shared" si="47"/>
        <v/>
      </c>
      <c r="CF57" s="565"/>
      <c r="CG57" s="565"/>
      <c r="CH57" s="565"/>
      <c r="CI57" s="565"/>
      <c r="CJ57" s="565"/>
      <c r="CK57" s="565"/>
      <c r="CL57" s="565"/>
      <c r="CM57" s="565"/>
      <c r="CN57" s="565"/>
      <c r="CO57" s="565"/>
      <c r="CP57" s="565"/>
      <c r="CQ57" s="565"/>
      <c r="CR57" s="565"/>
      <c r="CS57" s="565"/>
      <c r="CT57" s="565"/>
      <c r="CU57" s="565"/>
      <c r="CV57" s="565"/>
      <c r="CW57" s="565"/>
      <c r="CX57" s="565"/>
      <c r="CY57" s="565"/>
      <c r="CZ57" s="565"/>
      <c r="DA57" s="565"/>
      <c r="DB57" s="565"/>
      <c r="DC57" s="565"/>
      <c r="DD57" s="565"/>
      <c r="DE57" s="565"/>
      <c r="DF57" s="565"/>
    </row>
    <row r="58" spans="1:110" x14ac:dyDescent="0.25">
      <c r="A58" s="120"/>
      <c r="B58" s="1062"/>
      <c r="C58" s="1062"/>
      <c r="D58" s="1062"/>
      <c r="E58" s="1062"/>
      <c r="F58" s="1062"/>
      <c r="G58" s="1062"/>
      <c r="H58" s="1062"/>
      <c r="I58" s="566">
        <v>22</v>
      </c>
      <c r="J58" s="566"/>
      <c r="K58" s="565" t="str">
        <f t="shared" si="30"/>
        <v/>
      </c>
      <c r="L58" s="565" t="str">
        <f t="shared" si="31"/>
        <v/>
      </c>
      <c r="M58" s="565"/>
      <c r="N58" s="565"/>
      <c r="O58" s="565"/>
      <c r="P58" s="565"/>
      <c r="Q58" s="565"/>
      <c r="R58" s="565"/>
      <c r="S58" s="566">
        <v>22</v>
      </c>
      <c r="T58" s="565" t="str">
        <f t="shared" si="32"/>
        <v/>
      </c>
      <c r="U58" s="565" t="str">
        <f t="shared" si="33"/>
        <v/>
      </c>
      <c r="V58" s="565"/>
      <c r="W58" s="565"/>
      <c r="X58" s="565"/>
      <c r="Y58" s="565"/>
      <c r="Z58" s="565"/>
      <c r="AA58" s="565"/>
      <c r="AB58" s="566">
        <v>22</v>
      </c>
      <c r="AC58" s="565" t="str">
        <f t="shared" si="34"/>
        <v/>
      </c>
      <c r="AD58" s="565" t="str">
        <f t="shared" si="35"/>
        <v/>
      </c>
      <c r="AE58" s="565"/>
      <c r="AF58" s="565"/>
      <c r="AG58" s="565"/>
      <c r="AH58" s="565"/>
      <c r="AI58" s="565"/>
      <c r="AJ58" s="565"/>
      <c r="AK58" s="566">
        <v>22</v>
      </c>
      <c r="AL58" s="565" t="str">
        <f t="shared" si="36"/>
        <v/>
      </c>
      <c r="AM58" s="565" t="str">
        <f t="shared" si="37"/>
        <v/>
      </c>
      <c r="AN58" s="565"/>
      <c r="AO58" s="565"/>
      <c r="AP58" s="565"/>
      <c r="AQ58" s="565"/>
      <c r="AR58" s="565"/>
      <c r="AS58" s="565"/>
      <c r="AT58" s="566">
        <v>22</v>
      </c>
      <c r="AU58" s="565" t="str">
        <f t="shared" si="38"/>
        <v/>
      </c>
      <c r="AV58" s="565" t="str">
        <f t="shared" si="39"/>
        <v/>
      </c>
      <c r="AW58" s="565"/>
      <c r="AX58" s="566"/>
      <c r="AY58" s="565"/>
      <c r="AZ58" s="565"/>
      <c r="BA58" s="565"/>
      <c r="BB58" s="565"/>
      <c r="BC58" s="566">
        <v>22</v>
      </c>
      <c r="BD58" s="565" t="str">
        <f t="shared" si="40"/>
        <v/>
      </c>
      <c r="BE58" s="565" t="str">
        <f t="shared" si="41"/>
        <v/>
      </c>
      <c r="BF58" s="565"/>
      <c r="BG58" s="565"/>
      <c r="BH58" s="565"/>
      <c r="BI58" s="565"/>
      <c r="BJ58" s="565"/>
      <c r="BK58" s="565"/>
      <c r="BL58" s="566">
        <v>22</v>
      </c>
      <c r="BM58" s="565" t="str">
        <f t="shared" si="42"/>
        <v/>
      </c>
      <c r="BN58" s="565" t="str">
        <f t="shared" si="43"/>
        <v/>
      </c>
      <c r="BO58" s="565"/>
      <c r="BP58" s="565"/>
      <c r="BQ58" s="565"/>
      <c r="BR58" s="565"/>
      <c r="BS58" s="565"/>
      <c r="BT58" s="565"/>
      <c r="BU58" s="566">
        <v>22</v>
      </c>
      <c r="BV58" s="565" t="str">
        <f t="shared" si="44"/>
        <v/>
      </c>
      <c r="BW58" s="565" t="str">
        <f t="shared" si="45"/>
        <v/>
      </c>
      <c r="BX58" s="565"/>
      <c r="BY58" s="565"/>
      <c r="BZ58" s="565"/>
      <c r="CA58" s="565"/>
      <c r="CB58" s="565"/>
      <c r="CC58" s="566">
        <v>22</v>
      </c>
      <c r="CD58" s="565" t="str">
        <f t="shared" si="46"/>
        <v/>
      </c>
      <c r="CE58" s="565" t="str">
        <f t="shared" si="47"/>
        <v/>
      </c>
      <c r="CF58" s="565"/>
      <c r="CG58" s="565"/>
      <c r="CH58" s="565"/>
      <c r="CI58" s="565"/>
      <c r="CJ58" s="565"/>
      <c r="CK58" s="565"/>
      <c r="CL58" s="565"/>
      <c r="CM58" s="565"/>
      <c r="CN58" s="565"/>
      <c r="CO58" s="565"/>
      <c r="CP58" s="565"/>
      <c r="CQ58" s="565"/>
      <c r="CR58" s="565"/>
      <c r="CS58" s="565"/>
      <c r="CT58" s="565"/>
      <c r="CU58" s="565"/>
      <c r="CV58" s="565"/>
      <c r="CW58" s="565"/>
      <c r="CX58" s="565"/>
      <c r="CY58" s="565"/>
      <c r="CZ58" s="565"/>
      <c r="DA58" s="565"/>
      <c r="DB58" s="565"/>
      <c r="DC58" s="565"/>
      <c r="DD58" s="565"/>
      <c r="DE58" s="565"/>
      <c r="DF58" s="565"/>
    </row>
    <row r="59" spans="1:110" x14ac:dyDescent="0.25">
      <c r="A59" s="120"/>
      <c r="B59" s="1062"/>
      <c r="C59" s="1062"/>
      <c r="D59" s="1062"/>
      <c r="E59" s="1062"/>
      <c r="F59" s="1062"/>
      <c r="G59" s="1062"/>
      <c r="H59" s="1062"/>
      <c r="I59" s="566">
        <v>23</v>
      </c>
      <c r="J59" s="566"/>
      <c r="K59" s="565" t="str">
        <f t="shared" si="30"/>
        <v/>
      </c>
      <c r="L59" s="565" t="str">
        <f t="shared" si="31"/>
        <v/>
      </c>
      <c r="M59" s="565"/>
      <c r="N59" s="565"/>
      <c r="O59" s="565"/>
      <c r="P59" s="565"/>
      <c r="Q59" s="565"/>
      <c r="R59" s="565"/>
      <c r="S59" s="566">
        <v>23</v>
      </c>
      <c r="T59" s="565" t="str">
        <f t="shared" si="32"/>
        <v/>
      </c>
      <c r="U59" s="565" t="str">
        <f t="shared" si="33"/>
        <v/>
      </c>
      <c r="V59" s="565"/>
      <c r="W59" s="565"/>
      <c r="X59" s="565"/>
      <c r="Y59" s="565"/>
      <c r="Z59" s="565"/>
      <c r="AA59" s="565"/>
      <c r="AB59" s="566">
        <v>23</v>
      </c>
      <c r="AC59" s="565" t="str">
        <f t="shared" si="34"/>
        <v/>
      </c>
      <c r="AD59" s="565" t="str">
        <f t="shared" si="35"/>
        <v/>
      </c>
      <c r="AE59" s="565"/>
      <c r="AF59" s="565"/>
      <c r="AG59" s="565"/>
      <c r="AH59" s="565"/>
      <c r="AI59" s="565"/>
      <c r="AJ59" s="565"/>
      <c r="AK59" s="566">
        <v>23</v>
      </c>
      <c r="AL59" s="565" t="str">
        <f t="shared" si="36"/>
        <v/>
      </c>
      <c r="AM59" s="565" t="str">
        <f t="shared" si="37"/>
        <v/>
      </c>
      <c r="AN59" s="565"/>
      <c r="AO59" s="565"/>
      <c r="AP59" s="565"/>
      <c r="AQ59" s="565"/>
      <c r="AR59" s="565"/>
      <c r="AS59" s="565"/>
      <c r="AT59" s="566">
        <v>23</v>
      </c>
      <c r="AU59" s="565" t="str">
        <f t="shared" si="38"/>
        <v/>
      </c>
      <c r="AV59" s="565" t="str">
        <f t="shared" si="39"/>
        <v/>
      </c>
      <c r="AW59" s="565"/>
      <c r="AX59" s="566"/>
      <c r="AY59" s="565"/>
      <c r="AZ59" s="565"/>
      <c r="BA59" s="565"/>
      <c r="BB59" s="565"/>
      <c r="BC59" s="566">
        <v>23</v>
      </c>
      <c r="BD59" s="565" t="str">
        <f t="shared" si="40"/>
        <v/>
      </c>
      <c r="BE59" s="565" t="str">
        <f t="shared" si="41"/>
        <v/>
      </c>
      <c r="BF59" s="565"/>
      <c r="BG59" s="565"/>
      <c r="BH59" s="565"/>
      <c r="BI59" s="565"/>
      <c r="BJ59" s="565"/>
      <c r="BK59" s="565"/>
      <c r="BL59" s="566">
        <v>23</v>
      </c>
      <c r="BM59" s="565" t="str">
        <f t="shared" si="42"/>
        <v/>
      </c>
      <c r="BN59" s="565" t="str">
        <f t="shared" si="43"/>
        <v/>
      </c>
      <c r="BO59" s="565"/>
      <c r="BP59" s="565"/>
      <c r="BQ59" s="565"/>
      <c r="BR59" s="565"/>
      <c r="BS59" s="565"/>
      <c r="BT59" s="565"/>
      <c r="BU59" s="566">
        <v>23</v>
      </c>
      <c r="BV59" s="565" t="str">
        <f t="shared" si="44"/>
        <v/>
      </c>
      <c r="BW59" s="565" t="str">
        <f t="shared" si="45"/>
        <v/>
      </c>
      <c r="BX59" s="565"/>
      <c r="BY59" s="565"/>
      <c r="BZ59" s="565"/>
      <c r="CA59" s="565"/>
      <c r="CB59" s="565"/>
      <c r="CC59" s="566">
        <v>23</v>
      </c>
      <c r="CD59" s="565" t="str">
        <f t="shared" si="46"/>
        <v/>
      </c>
      <c r="CE59" s="565" t="str">
        <f t="shared" si="47"/>
        <v/>
      </c>
      <c r="CF59" s="565"/>
      <c r="CG59" s="565"/>
      <c r="CH59" s="565"/>
      <c r="CI59" s="565"/>
      <c r="CJ59" s="565"/>
      <c r="CK59" s="565"/>
      <c r="CL59" s="565"/>
      <c r="CM59" s="565"/>
      <c r="CN59" s="565"/>
      <c r="CO59" s="565"/>
      <c r="CP59" s="565"/>
      <c r="CQ59" s="565"/>
      <c r="CR59" s="565"/>
      <c r="CS59" s="565"/>
      <c r="CT59" s="565"/>
      <c r="CU59" s="565"/>
      <c r="CV59" s="565"/>
      <c r="CW59" s="565"/>
      <c r="CX59" s="565"/>
      <c r="CY59" s="565"/>
      <c r="CZ59" s="565"/>
      <c r="DA59" s="565"/>
      <c r="DB59" s="565"/>
      <c r="DC59" s="565"/>
      <c r="DD59" s="565"/>
      <c r="DE59" s="565"/>
      <c r="DF59" s="565"/>
    </row>
    <row r="60" spans="1:110" x14ac:dyDescent="0.25">
      <c r="A60" s="120"/>
      <c r="B60" s="1062"/>
      <c r="C60" s="1062"/>
      <c r="D60" s="1062"/>
      <c r="E60" s="1062"/>
      <c r="F60" s="1062"/>
      <c r="G60" s="1062"/>
      <c r="H60" s="1062"/>
      <c r="I60" s="566">
        <v>24</v>
      </c>
      <c r="J60" s="566"/>
      <c r="K60" s="565" t="str">
        <f t="shared" si="30"/>
        <v/>
      </c>
      <c r="L60" s="565" t="str">
        <f t="shared" si="31"/>
        <v/>
      </c>
      <c r="M60" s="565"/>
      <c r="N60" s="565"/>
      <c r="O60" s="565"/>
      <c r="P60" s="565"/>
      <c r="Q60" s="565"/>
      <c r="R60" s="565"/>
      <c r="S60" s="566">
        <v>24</v>
      </c>
      <c r="T60" s="565" t="str">
        <f t="shared" si="32"/>
        <v/>
      </c>
      <c r="U60" s="565" t="str">
        <f t="shared" si="33"/>
        <v/>
      </c>
      <c r="V60" s="565"/>
      <c r="W60" s="565"/>
      <c r="X60" s="565"/>
      <c r="Y60" s="565"/>
      <c r="Z60" s="565"/>
      <c r="AA60" s="565"/>
      <c r="AB60" s="566">
        <v>24</v>
      </c>
      <c r="AC60" s="565" t="str">
        <f t="shared" si="34"/>
        <v/>
      </c>
      <c r="AD60" s="565" t="str">
        <f t="shared" si="35"/>
        <v/>
      </c>
      <c r="AE60" s="565"/>
      <c r="AF60" s="565"/>
      <c r="AG60" s="565"/>
      <c r="AH60" s="565"/>
      <c r="AI60" s="565"/>
      <c r="AJ60" s="565"/>
      <c r="AK60" s="566">
        <v>24</v>
      </c>
      <c r="AL60" s="565" t="str">
        <f t="shared" si="36"/>
        <v/>
      </c>
      <c r="AM60" s="565" t="str">
        <f t="shared" si="37"/>
        <v/>
      </c>
      <c r="AN60" s="565"/>
      <c r="AO60" s="565"/>
      <c r="AP60" s="565"/>
      <c r="AQ60" s="565"/>
      <c r="AR60" s="565"/>
      <c r="AS60" s="565"/>
      <c r="AT60" s="566">
        <v>24</v>
      </c>
      <c r="AU60" s="565" t="str">
        <f t="shared" si="38"/>
        <v/>
      </c>
      <c r="AV60" s="565" t="str">
        <f t="shared" si="39"/>
        <v/>
      </c>
      <c r="AW60" s="565"/>
      <c r="AX60" s="566"/>
      <c r="AY60" s="565"/>
      <c r="AZ60" s="565"/>
      <c r="BA60" s="565"/>
      <c r="BB60" s="565"/>
      <c r="BC60" s="566">
        <v>24</v>
      </c>
      <c r="BD60" s="565" t="str">
        <f t="shared" si="40"/>
        <v/>
      </c>
      <c r="BE60" s="565" t="str">
        <f t="shared" si="41"/>
        <v/>
      </c>
      <c r="BF60" s="565"/>
      <c r="BG60" s="565"/>
      <c r="BH60" s="565"/>
      <c r="BI60" s="565"/>
      <c r="BJ60" s="565"/>
      <c r="BK60" s="565"/>
      <c r="BL60" s="566">
        <v>24</v>
      </c>
      <c r="BM60" s="565" t="str">
        <f t="shared" si="42"/>
        <v/>
      </c>
      <c r="BN60" s="565" t="str">
        <f t="shared" si="43"/>
        <v/>
      </c>
      <c r="BO60" s="565"/>
      <c r="BP60" s="565"/>
      <c r="BQ60" s="565"/>
      <c r="BR60" s="565"/>
      <c r="BS60" s="565"/>
      <c r="BT60" s="565"/>
      <c r="BU60" s="566">
        <v>24</v>
      </c>
      <c r="BV60" s="565" t="str">
        <f t="shared" si="44"/>
        <v/>
      </c>
      <c r="BW60" s="565" t="str">
        <f t="shared" si="45"/>
        <v/>
      </c>
      <c r="BX60" s="565"/>
      <c r="BY60" s="565"/>
      <c r="BZ60" s="565"/>
      <c r="CA60" s="565"/>
      <c r="CB60" s="565"/>
      <c r="CC60" s="566">
        <v>24</v>
      </c>
      <c r="CD60" s="565" t="str">
        <f t="shared" si="46"/>
        <v/>
      </c>
      <c r="CE60" s="565" t="str">
        <f t="shared" si="47"/>
        <v/>
      </c>
      <c r="CF60" s="565"/>
      <c r="CG60" s="565"/>
      <c r="CH60" s="565"/>
      <c r="CI60" s="565"/>
      <c r="CJ60" s="565"/>
      <c r="CK60" s="565"/>
      <c r="CL60" s="565"/>
      <c r="CM60" s="565"/>
      <c r="CN60" s="565"/>
      <c r="CO60" s="565"/>
      <c r="CP60" s="565"/>
      <c r="CQ60" s="565"/>
      <c r="CR60" s="565"/>
      <c r="CS60" s="565"/>
      <c r="CT60" s="565"/>
      <c r="CU60" s="565"/>
      <c r="CV60" s="565"/>
      <c r="CW60" s="565"/>
      <c r="CX60" s="565"/>
      <c r="CY60" s="565"/>
      <c r="CZ60" s="565"/>
      <c r="DA60" s="565"/>
      <c r="DB60" s="565"/>
      <c r="DC60" s="565"/>
      <c r="DD60" s="565"/>
      <c r="DE60" s="565"/>
      <c r="DF60" s="565"/>
    </row>
    <row r="61" spans="1:110" x14ac:dyDescent="0.25">
      <c r="A61" s="120"/>
      <c r="B61" s="1062"/>
      <c r="C61" s="1062"/>
      <c r="D61" s="1062"/>
      <c r="E61" s="1062"/>
      <c r="F61" s="1062"/>
      <c r="G61" s="1062"/>
      <c r="H61" s="1062"/>
      <c r="I61" s="566">
        <v>25</v>
      </c>
      <c r="J61" s="566"/>
      <c r="K61" s="565" t="str">
        <f t="shared" si="30"/>
        <v/>
      </c>
      <c r="L61" s="565" t="str">
        <f t="shared" si="31"/>
        <v/>
      </c>
      <c r="M61" s="565"/>
      <c r="N61" s="565"/>
      <c r="O61" s="565"/>
      <c r="P61" s="565"/>
      <c r="Q61" s="565"/>
      <c r="R61" s="565"/>
      <c r="S61" s="566">
        <v>25</v>
      </c>
      <c r="T61" s="565" t="str">
        <f t="shared" si="32"/>
        <v/>
      </c>
      <c r="U61" s="565" t="str">
        <f t="shared" si="33"/>
        <v/>
      </c>
      <c r="V61" s="565"/>
      <c r="W61" s="565"/>
      <c r="X61" s="565"/>
      <c r="Y61" s="565"/>
      <c r="Z61" s="565"/>
      <c r="AA61" s="565"/>
      <c r="AB61" s="566">
        <v>25</v>
      </c>
      <c r="AC61" s="565" t="str">
        <f t="shared" si="34"/>
        <v/>
      </c>
      <c r="AD61" s="565" t="str">
        <f t="shared" si="35"/>
        <v/>
      </c>
      <c r="AE61" s="565"/>
      <c r="AF61" s="565"/>
      <c r="AG61" s="565"/>
      <c r="AH61" s="565"/>
      <c r="AI61" s="565"/>
      <c r="AJ61" s="565"/>
      <c r="AK61" s="566">
        <v>25</v>
      </c>
      <c r="AL61" s="565" t="str">
        <f t="shared" si="36"/>
        <v/>
      </c>
      <c r="AM61" s="565" t="str">
        <f t="shared" si="37"/>
        <v/>
      </c>
      <c r="AN61" s="565"/>
      <c r="AO61" s="565"/>
      <c r="AP61" s="565"/>
      <c r="AQ61" s="565"/>
      <c r="AR61" s="565"/>
      <c r="AS61" s="565"/>
      <c r="AT61" s="566">
        <v>25</v>
      </c>
      <c r="AU61" s="565" t="str">
        <f t="shared" si="38"/>
        <v/>
      </c>
      <c r="AV61" s="565" t="str">
        <f t="shared" si="39"/>
        <v/>
      </c>
      <c r="AW61" s="565"/>
      <c r="AX61" s="566"/>
      <c r="AY61" s="565"/>
      <c r="AZ61" s="565"/>
      <c r="BA61" s="565"/>
      <c r="BB61" s="565"/>
      <c r="BC61" s="566">
        <v>25</v>
      </c>
      <c r="BD61" s="565" t="str">
        <f t="shared" si="40"/>
        <v/>
      </c>
      <c r="BE61" s="565" t="str">
        <f t="shared" si="41"/>
        <v/>
      </c>
      <c r="BF61" s="565"/>
      <c r="BG61" s="565"/>
      <c r="BH61" s="565"/>
      <c r="BI61" s="565"/>
      <c r="BJ61" s="565"/>
      <c r="BK61" s="565"/>
      <c r="BL61" s="566">
        <v>25</v>
      </c>
      <c r="BM61" s="565" t="str">
        <f t="shared" si="42"/>
        <v/>
      </c>
      <c r="BN61" s="565" t="str">
        <f t="shared" si="43"/>
        <v/>
      </c>
      <c r="BO61" s="565"/>
      <c r="BP61" s="565"/>
      <c r="BQ61" s="565"/>
      <c r="BR61" s="565"/>
      <c r="BS61" s="565"/>
      <c r="BT61" s="565"/>
      <c r="BU61" s="566">
        <v>25</v>
      </c>
      <c r="BV61" s="565" t="str">
        <f t="shared" si="44"/>
        <v/>
      </c>
      <c r="BW61" s="565" t="str">
        <f t="shared" si="45"/>
        <v/>
      </c>
      <c r="BX61" s="565"/>
      <c r="BY61" s="565"/>
      <c r="BZ61" s="565"/>
      <c r="CA61" s="565"/>
      <c r="CB61" s="565"/>
      <c r="CC61" s="566">
        <v>25</v>
      </c>
      <c r="CD61" s="565" t="str">
        <f t="shared" si="46"/>
        <v/>
      </c>
      <c r="CE61" s="565" t="str">
        <f t="shared" si="47"/>
        <v/>
      </c>
      <c r="CF61" s="565"/>
      <c r="CG61" s="565"/>
      <c r="CH61" s="565"/>
      <c r="CI61" s="565"/>
      <c r="CJ61" s="565"/>
      <c r="CK61" s="565"/>
      <c r="CL61" s="565"/>
      <c r="CM61" s="565"/>
      <c r="CN61" s="565"/>
      <c r="CO61" s="565"/>
      <c r="CP61" s="565"/>
      <c r="CQ61" s="565"/>
      <c r="CR61" s="565"/>
      <c r="CS61" s="565"/>
      <c r="CT61" s="565"/>
      <c r="CU61" s="565"/>
      <c r="CV61" s="565"/>
      <c r="CW61" s="565"/>
      <c r="CX61" s="565"/>
      <c r="CY61" s="565"/>
      <c r="CZ61" s="565"/>
      <c r="DA61" s="565"/>
      <c r="DB61" s="565"/>
      <c r="DC61" s="565"/>
      <c r="DD61" s="565"/>
      <c r="DE61" s="565"/>
      <c r="DF61" s="565"/>
    </row>
    <row r="62" spans="1:110" x14ac:dyDescent="0.25">
      <c r="A62" s="120"/>
      <c r="B62" s="1062"/>
      <c r="C62" s="1062"/>
      <c r="D62" s="1062"/>
      <c r="E62" s="1062"/>
      <c r="F62" s="1062"/>
      <c r="G62" s="1062"/>
      <c r="H62" s="1062"/>
      <c r="I62" s="566">
        <v>26</v>
      </c>
      <c r="J62" s="566"/>
      <c r="K62" s="565" t="str">
        <f t="shared" si="30"/>
        <v/>
      </c>
      <c r="L62" s="565" t="str">
        <f t="shared" si="31"/>
        <v/>
      </c>
      <c r="M62" s="565"/>
      <c r="N62" s="565"/>
      <c r="O62" s="565"/>
      <c r="P62" s="565"/>
      <c r="Q62" s="565"/>
      <c r="R62" s="565"/>
      <c r="S62" s="566">
        <v>26</v>
      </c>
      <c r="T62" s="565" t="str">
        <f t="shared" si="32"/>
        <v/>
      </c>
      <c r="U62" s="565" t="str">
        <f t="shared" si="33"/>
        <v/>
      </c>
      <c r="V62" s="565"/>
      <c r="W62" s="565"/>
      <c r="X62" s="565"/>
      <c r="Y62" s="565"/>
      <c r="Z62" s="565"/>
      <c r="AA62" s="565"/>
      <c r="AB62" s="566">
        <v>26</v>
      </c>
      <c r="AC62" s="565" t="str">
        <f t="shared" si="34"/>
        <v/>
      </c>
      <c r="AD62" s="565" t="str">
        <f t="shared" si="35"/>
        <v/>
      </c>
      <c r="AE62" s="565"/>
      <c r="AF62" s="565"/>
      <c r="AG62" s="565"/>
      <c r="AH62" s="565"/>
      <c r="AI62" s="565"/>
      <c r="AJ62" s="565"/>
      <c r="AK62" s="566">
        <v>26</v>
      </c>
      <c r="AL62" s="565" t="str">
        <f t="shared" si="36"/>
        <v/>
      </c>
      <c r="AM62" s="565" t="str">
        <f t="shared" si="37"/>
        <v/>
      </c>
      <c r="AN62" s="565"/>
      <c r="AO62" s="565"/>
      <c r="AP62" s="565"/>
      <c r="AQ62" s="565"/>
      <c r="AR62" s="565"/>
      <c r="AS62" s="565"/>
      <c r="AT62" s="566">
        <v>26</v>
      </c>
      <c r="AU62" s="565" t="str">
        <f t="shared" si="38"/>
        <v/>
      </c>
      <c r="AV62" s="565" t="str">
        <f t="shared" si="39"/>
        <v/>
      </c>
      <c r="AW62" s="565"/>
      <c r="AX62" s="566"/>
      <c r="AY62" s="565"/>
      <c r="AZ62" s="565"/>
      <c r="BA62" s="565"/>
      <c r="BB62" s="565"/>
      <c r="BC62" s="566">
        <v>26</v>
      </c>
      <c r="BD62" s="565" t="str">
        <f t="shared" si="40"/>
        <v/>
      </c>
      <c r="BE62" s="565" t="str">
        <f t="shared" si="41"/>
        <v/>
      </c>
      <c r="BF62" s="565"/>
      <c r="BG62" s="565"/>
      <c r="BH62" s="565"/>
      <c r="BI62" s="565"/>
      <c r="BJ62" s="565"/>
      <c r="BK62" s="565"/>
      <c r="BL62" s="566">
        <v>26</v>
      </c>
      <c r="BM62" s="565" t="str">
        <f t="shared" si="42"/>
        <v/>
      </c>
      <c r="BN62" s="565" t="str">
        <f t="shared" si="43"/>
        <v/>
      </c>
      <c r="BO62" s="565"/>
      <c r="BP62" s="565"/>
      <c r="BQ62" s="565"/>
      <c r="BR62" s="565"/>
      <c r="BS62" s="565"/>
      <c r="BT62" s="565"/>
      <c r="BU62" s="566">
        <v>26</v>
      </c>
      <c r="BV62" s="565" t="str">
        <f t="shared" si="44"/>
        <v/>
      </c>
      <c r="BW62" s="565" t="str">
        <f t="shared" si="45"/>
        <v/>
      </c>
      <c r="BX62" s="565"/>
      <c r="BY62" s="565"/>
      <c r="BZ62" s="565"/>
      <c r="CA62" s="565"/>
      <c r="CB62" s="565"/>
      <c r="CC62" s="566">
        <v>26</v>
      </c>
      <c r="CD62" s="565" t="str">
        <f t="shared" si="46"/>
        <v/>
      </c>
      <c r="CE62" s="565" t="str">
        <f t="shared" si="47"/>
        <v/>
      </c>
      <c r="CF62" s="565"/>
      <c r="CG62" s="565"/>
      <c r="CH62" s="565"/>
      <c r="CI62" s="565"/>
      <c r="CJ62" s="565"/>
      <c r="CK62" s="565"/>
      <c r="CL62" s="565"/>
      <c r="CM62" s="565"/>
      <c r="CN62" s="565"/>
      <c r="CO62" s="565"/>
      <c r="CP62" s="565"/>
      <c r="CQ62" s="565"/>
      <c r="CR62" s="565"/>
      <c r="CS62" s="565"/>
      <c r="CT62" s="565"/>
      <c r="CU62" s="565"/>
      <c r="CV62" s="565"/>
      <c r="CW62" s="565"/>
      <c r="CX62" s="565"/>
      <c r="CY62" s="565"/>
      <c r="CZ62" s="565"/>
      <c r="DA62" s="565"/>
      <c r="DB62" s="565"/>
      <c r="DC62" s="565"/>
      <c r="DD62" s="565"/>
      <c r="DE62" s="565"/>
      <c r="DF62" s="565"/>
    </row>
    <row r="63" spans="1:110" x14ac:dyDescent="0.25">
      <c r="A63" s="120"/>
      <c r="B63" s="1062"/>
      <c r="C63" s="1062"/>
      <c r="D63" s="1062"/>
      <c r="E63" s="1062"/>
      <c r="F63" s="1062"/>
      <c r="G63" s="1062"/>
      <c r="H63" s="1062"/>
      <c r="I63" s="566">
        <v>27</v>
      </c>
      <c r="J63" s="566"/>
      <c r="K63" s="565" t="str">
        <f t="shared" si="30"/>
        <v/>
      </c>
      <c r="L63" s="565" t="str">
        <f t="shared" si="31"/>
        <v/>
      </c>
      <c r="M63" s="565"/>
      <c r="N63" s="565"/>
      <c r="O63" s="565"/>
      <c r="P63" s="565"/>
      <c r="Q63" s="565"/>
      <c r="R63" s="565"/>
      <c r="S63" s="566">
        <v>27</v>
      </c>
      <c r="T63" s="565" t="str">
        <f t="shared" si="32"/>
        <v/>
      </c>
      <c r="U63" s="565" t="str">
        <f t="shared" si="33"/>
        <v/>
      </c>
      <c r="V63" s="565"/>
      <c r="W63" s="565"/>
      <c r="X63" s="565"/>
      <c r="Y63" s="565"/>
      <c r="Z63" s="565"/>
      <c r="AA63" s="565"/>
      <c r="AB63" s="566">
        <v>27</v>
      </c>
      <c r="AC63" s="565" t="str">
        <f t="shared" si="34"/>
        <v/>
      </c>
      <c r="AD63" s="565" t="str">
        <f t="shared" si="35"/>
        <v/>
      </c>
      <c r="AE63" s="565"/>
      <c r="AF63" s="565"/>
      <c r="AG63" s="565"/>
      <c r="AH63" s="565"/>
      <c r="AI63" s="565"/>
      <c r="AJ63" s="565"/>
      <c r="AK63" s="566">
        <v>27</v>
      </c>
      <c r="AL63" s="565" t="str">
        <f t="shared" si="36"/>
        <v/>
      </c>
      <c r="AM63" s="565" t="str">
        <f t="shared" si="37"/>
        <v/>
      </c>
      <c r="AN63" s="565"/>
      <c r="AO63" s="565"/>
      <c r="AP63" s="565"/>
      <c r="AQ63" s="565"/>
      <c r="AR63" s="565"/>
      <c r="AS63" s="565"/>
      <c r="AT63" s="566">
        <v>27</v>
      </c>
      <c r="AU63" s="565" t="str">
        <f t="shared" si="38"/>
        <v/>
      </c>
      <c r="AV63" s="565" t="str">
        <f t="shared" si="39"/>
        <v/>
      </c>
      <c r="AW63" s="565"/>
      <c r="AX63" s="566"/>
      <c r="AY63" s="565"/>
      <c r="AZ63" s="565"/>
      <c r="BA63" s="565"/>
      <c r="BB63" s="565"/>
      <c r="BC63" s="566">
        <v>27</v>
      </c>
      <c r="BD63" s="565" t="str">
        <f t="shared" si="40"/>
        <v/>
      </c>
      <c r="BE63" s="565" t="str">
        <f t="shared" si="41"/>
        <v/>
      </c>
      <c r="BF63" s="565"/>
      <c r="BG63" s="565"/>
      <c r="BH63" s="565"/>
      <c r="BI63" s="565"/>
      <c r="BJ63" s="565"/>
      <c r="BK63" s="565"/>
      <c r="BL63" s="566">
        <v>27</v>
      </c>
      <c r="BM63" s="565" t="str">
        <f t="shared" si="42"/>
        <v/>
      </c>
      <c r="BN63" s="565" t="str">
        <f t="shared" si="43"/>
        <v/>
      </c>
      <c r="BO63" s="565"/>
      <c r="BP63" s="565"/>
      <c r="BQ63" s="565"/>
      <c r="BR63" s="565"/>
      <c r="BS63" s="565"/>
      <c r="BT63" s="565"/>
      <c r="BU63" s="566">
        <v>27</v>
      </c>
      <c r="BV63" s="565" t="str">
        <f t="shared" si="44"/>
        <v/>
      </c>
      <c r="BW63" s="565" t="str">
        <f t="shared" si="45"/>
        <v/>
      </c>
      <c r="BX63" s="565"/>
      <c r="BY63" s="565"/>
      <c r="BZ63" s="565"/>
      <c r="CA63" s="565"/>
      <c r="CB63" s="565"/>
      <c r="CC63" s="566">
        <v>27</v>
      </c>
      <c r="CD63" s="565" t="str">
        <f t="shared" si="46"/>
        <v/>
      </c>
      <c r="CE63" s="565" t="str">
        <f t="shared" si="47"/>
        <v/>
      </c>
      <c r="CF63" s="565"/>
      <c r="CG63" s="565"/>
      <c r="CH63" s="565"/>
      <c r="CI63" s="565"/>
      <c r="CJ63" s="565"/>
      <c r="CK63" s="565"/>
      <c r="CL63" s="565"/>
      <c r="CM63" s="565"/>
      <c r="CN63" s="565"/>
      <c r="CO63" s="565"/>
      <c r="CP63" s="565"/>
      <c r="CQ63" s="565"/>
      <c r="CR63" s="565"/>
      <c r="CS63" s="565"/>
      <c r="CT63" s="565"/>
      <c r="CU63" s="565"/>
      <c r="CV63" s="565"/>
      <c r="CW63" s="565"/>
      <c r="CX63" s="565"/>
      <c r="CY63" s="565"/>
      <c r="CZ63" s="565"/>
      <c r="DA63" s="565"/>
      <c r="DB63" s="565"/>
      <c r="DC63" s="565"/>
      <c r="DD63" s="565"/>
      <c r="DE63" s="565"/>
      <c r="DF63" s="565"/>
    </row>
    <row r="64" spans="1:110" x14ac:dyDescent="0.25">
      <c r="A64" s="120"/>
      <c r="B64" s="1062"/>
      <c r="C64" s="1062"/>
      <c r="D64" s="1062"/>
      <c r="E64" s="1062"/>
      <c r="F64" s="1062"/>
      <c r="G64" s="1062"/>
      <c r="H64" s="1062"/>
      <c r="I64" s="566">
        <v>28</v>
      </c>
      <c r="J64" s="566"/>
      <c r="K64" s="565" t="str">
        <f t="shared" si="30"/>
        <v/>
      </c>
      <c r="L64" s="565" t="str">
        <f t="shared" si="31"/>
        <v/>
      </c>
      <c r="M64" s="565"/>
      <c r="N64" s="565"/>
      <c r="O64" s="565"/>
      <c r="P64" s="565"/>
      <c r="Q64" s="565"/>
      <c r="R64" s="565"/>
      <c r="S64" s="566">
        <v>28</v>
      </c>
      <c r="T64" s="565" t="str">
        <f t="shared" si="32"/>
        <v/>
      </c>
      <c r="U64" s="565" t="str">
        <f t="shared" si="33"/>
        <v/>
      </c>
      <c r="V64" s="565"/>
      <c r="W64" s="565"/>
      <c r="X64" s="565"/>
      <c r="Y64" s="565"/>
      <c r="Z64" s="565"/>
      <c r="AA64" s="565"/>
      <c r="AB64" s="566">
        <v>28</v>
      </c>
      <c r="AC64" s="565" t="str">
        <f t="shared" si="34"/>
        <v/>
      </c>
      <c r="AD64" s="565" t="str">
        <f t="shared" si="35"/>
        <v/>
      </c>
      <c r="AE64" s="565"/>
      <c r="AF64" s="565"/>
      <c r="AG64" s="565"/>
      <c r="AH64" s="565"/>
      <c r="AI64" s="565"/>
      <c r="AJ64" s="565"/>
      <c r="AK64" s="566">
        <v>28</v>
      </c>
      <c r="AL64" s="565" t="str">
        <f t="shared" si="36"/>
        <v/>
      </c>
      <c r="AM64" s="565" t="str">
        <f t="shared" si="37"/>
        <v/>
      </c>
      <c r="AN64" s="565"/>
      <c r="AO64" s="565"/>
      <c r="AP64" s="565"/>
      <c r="AQ64" s="565"/>
      <c r="AR64" s="565"/>
      <c r="AS64" s="565"/>
      <c r="AT64" s="566">
        <v>28</v>
      </c>
      <c r="AU64" s="565" t="str">
        <f t="shared" si="38"/>
        <v/>
      </c>
      <c r="AV64" s="565" t="str">
        <f t="shared" si="39"/>
        <v/>
      </c>
      <c r="AW64" s="565"/>
      <c r="AX64" s="566"/>
      <c r="AY64" s="565"/>
      <c r="AZ64" s="565"/>
      <c r="BA64" s="565"/>
      <c r="BB64" s="565"/>
      <c r="BC64" s="566">
        <v>28</v>
      </c>
      <c r="BD64" s="565" t="str">
        <f t="shared" si="40"/>
        <v/>
      </c>
      <c r="BE64" s="565" t="str">
        <f t="shared" si="41"/>
        <v/>
      </c>
      <c r="BF64" s="565"/>
      <c r="BG64" s="565"/>
      <c r="BH64" s="565"/>
      <c r="BI64" s="565"/>
      <c r="BJ64" s="565"/>
      <c r="BK64" s="565"/>
      <c r="BL64" s="566">
        <v>28</v>
      </c>
      <c r="BM64" s="565" t="str">
        <f t="shared" si="42"/>
        <v/>
      </c>
      <c r="BN64" s="565" t="str">
        <f t="shared" si="43"/>
        <v/>
      </c>
      <c r="BO64" s="565"/>
      <c r="BP64" s="565"/>
      <c r="BQ64" s="565"/>
      <c r="BR64" s="565"/>
      <c r="BS64" s="565"/>
      <c r="BT64" s="565"/>
      <c r="BU64" s="566">
        <v>28</v>
      </c>
      <c r="BV64" s="565" t="str">
        <f t="shared" si="44"/>
        <v/>
      </c>
      <c r="BW64" s="565" t="str">
        <f t="shared" si="45"/>
        <v/>
      </c>
      <c r="BX64" s="565"/>
      <c r="BY64" s="565"/>
      <c r="BZ64" s="565"/>
      <c r="CA64" s="565"/>
      <c r="CB64" s="565"/>
      <c r="CC64" s="566">
        <v>28</v>
      </c>
      <c r="CD64" s="565" t="str">
        <f t="shared" si="46"/>
        <v/>
      </c>
      <c r="CE64" s="565" t="str">
        <f t="shared" si="47"/>
        <v/>
      </c>
      <c r="CF64" s="565"/>
      <c r="CG64" s="565"/>
      <c r="CH64" s="565"/>
      <c r="CI64" s="565"/>
      <c r="CJ64" s="565"/>
      <c r="CK64" s="565"/>
      <c r="CL64" s="565"/>
      <c r="CM64" s="565"/>
      <c r="CN64" s="565"/>
      <c r="CO64" s="565"/>
      <c r="CP64" s="565"/>
      <c r="CQ64" s="565"/>
      <c r="CR64" s="565"/>
      <c r="CS64" s="565"/>
      <c r="CT64" s="565"/>
      <c r="CU64" s="565"/>
      <c r="CV64" s="565"/>
      <c r="CW64" s="565"/>
      <c r="CX64" s="565"/>
      <c r="CY64" s="565"/>
      <c r="CZ64" s="565"/>
      <c r="DA64" s="565"/>
      <c r="DB64" s="565"/>
      <c r="DC64" s="565"/>
      <c r="DD64" s="565"/>
      <c r="DE64" s="565"/>
      <c r="DF64" s="565"/>
    </row>
    <row r="65" spans="1:110" x14ac:dyDescent="0.25">
      <c r="A65" s="120"/>
      <c r="B65" s="1062"/>
      <c r="C65" s="1062"/>
      <c r="D65" s="1062"/>
      <c r="E65" s="1062"/>
      <c r="F65" s="1062"/>
      <c r="G65" s="1062"/>
      <c r="H65" s="1062"/>
      <c r="I65" s="566">
        <v>29</v>
      </c>
      <c r="J65" s="566"/>
      <c r="K65" s="565" t="str">
        <f t="shared" si="30"/>
        <v/>
      </c>
      <c r="L65" s="565" t="str">
        <f t="shared" si="31"/>
        <v/>
      </c>
      <c r="M65" s="565"/>
      <c r="N65" s="565"/>
      <c r="O65" s="565"/>
      <c r="P65" s="565"/>
      <c r="Q65" s="565"/>
      <c r="R65" s="565"/>
      <c r="S65" s="566">
        <v>29</v>
      </c>
      <c r="T65" s="565" t="str">
        <f t="shared" si="32"/>
        <v/>
      </c>
      <c r="U65" s="565" t="str">
        <f t="shared" si="33"/>
        <v/>
      </c>
      <c r="V65" s="565"/>
      <c r="W65" s="565"/>
      <c r="X65" s="565"/>
      <c r="Y65" s="565"/>
      <c r="Z65" s="565"/>
      <c r="AA65" s="565"/>
      <c r="AB65" s="566">
        <v>29</v>
      </c>
      <c r="AC65" s="565" t="str">
        <f t="shared" si="34"/>
        <v/>
      </c>
      <c r="AD65" s="565" t="str">
        <f t="shared" si="35"/>
        <v/>
      </c>
      <c r="AE65" s="565"/>
      <c r="AF65" s="565"/>
      <c r="AG65" s="565"/>
      <c r="AH65" s="565"/>
      <c r="AI65" s="565"/>
      <c r="AJ65" s="565"/>
      <c r="AK65" s="566">
        <v>29</v>
      </c>
      <c r="AL65" s="565" t="str">
        <f t="shared" si="36"/>
        <v/>
      </c>
      <c r="AM65" s="565" t="str">
        <f t="shared" si="37"/>
        <v/>
      </c>
      <c r="AN65" s="565"/>
      <c r="AO65" s="565"/>
      <c r="AP65" s="565"/>
      <c r="AQ65" s="565"/>
      <c r="AR65" s="565"/>
      <c r="AS65" s="565"/>
      <c r="AT65" s="566">
        <v>29</v>
      </c>
      <c r="AU65" s="565" t="str">
        <f t="shared" si="38"/>
        <v/>
      </c>
      <c r="AV65" s="565" t="str">
        <f t="shared" si="39"/>
        <v/>
      </c>
      <c r="AW65" s="565"/>
      <c r="AX65" s="566"/>
      <c r="AY65" s="565"/>
      <c r="AZ65" s="565"/>
      <c r="BA65" s="565"/>
      <c r="BB65" s="565"/>
      <c r="BC65" s="566">
        <v>29</v>
      </c>
      <c r="BD65" s="565" t="str">
        <f t="shared" si="40"/>
        <v/>
      </c>
      <c r="BE65" s="565" t="str">
        <f t="shared" si="41"/>
        <v/>
      </c>
      <c r="BF65" s="565"/>
      <c r="BG65" s="565"/>
      <c r="BH65" s="565"/>
      <c r="BI65" s="565"/>
      <c r="BJ65" s="565"/>
      <c r="BK65" s="565"/>
      <c r="BL65" s="566">
        <v>29</v>
      </c>
      <c r="BM65" s="565" t="str">
        <f t="shared" si="42"/>
        <v/>
      </c>
      <c r="BN65" s="565" t="str">
        <f t="shared" si="43"/>
        <v/>
      </c>
      <c r="BO65" s="565"/>
      <c r="BP65" s="565"/>
      <c r="BQ65" s="565"/>
      <c r="BR65" s="565"/>
      <c r="BS65" s="565"/>
      <c r="BT65" s="565"/>
      <c r="BU65" s="566">
        <v>29</v>
      </c>
      <c r="BV65" s="565" t="str">
        <f t="shared" si="44"/>
        <v/>
      </c>
      <c r="BW65" s="565" t="str">
        <f t="shared" si="45"/>
        <v/>
      </c>
      <c r="BX65" s="565"/>
      <c r="BY65" s="565"/>
      <c r="BZ65" s="565"/>
      <c r="CA65" s="565"/>
      <c r="CB65" s="565"/>
      <c r="CC65" s="566">
        <v>29</v>
      </c>
      <c r="CD65" s="565" t="str">
        <f t="shared" si="46"/>
        <v/>
      </c>
      <c r="CE65" s="565" t="str">
        <f t="shared" si="47"/>
        <v/>
      </c>
      <c r="CF65" s="565"/>
      <c r="CG65" s="565"/>
      <c r="CH65" s="565"/>
      <c r="CI65" s="565"/>
      <c r="CJ65" s="565"/>
      <c r="CK65" s="565"/>
      <c r="CL65" s="565"/>
      <c r="CM65" s="565"/>
      <c r="CN65" s="565"/>
      <c r="CO65" s="565"/>
      <c r="CP65" s="565"/>
      <c r="CQ65" s="565"/>
      <c r="CR65" s="565"/>
      <c r="CS65" s="565"/>
      <c r="CT65" s="565"/>
      <c r="CU65" s="565"/>
      <c r="CV65" s="565"/>
      <c r="CW65" s="565"/>
      <c r="CX65" s="565"/>
      <c r="CY65" s="565"/>
      <c r="CZ65" s="565"/>
      <c r="DA65" s="565"/>
      <c r="DB65" s="565"/>
      <c r="DC65" s="565"/>
      <c r="DD65" s="565"/>
      <c r="DE65" s="565"/>
      <c r="DF65" s="565"/>
    </row>
    <row r="66" spans="1:110" x14ac:dyDescent="0.25">
      <c r="A66" s="120"/>
      <c r="B66" s="1062"/>
      <c r="C66" s="1062"/>
      <c r="D66" s="1062"/>
      <c r="E66" s="1062"/>
      <c r="F66" s="1062"/>
      <c r="G66" s="1062"/>
      <c r="H66" s="1062"/>
      <c r="I66" s="566">
        <v>30</v>
      </c>
      <c r="J66" s="566"/>
      <c r="K66" s="565" t="str">
        <f t="shared" si="30"/>
        <v/>
      </c>
      <c r="L66" s="565" t="str">
        <f t="shared" si="31"/>
        <v/>
      </c>
      <c r="M66" s="565"/>
      <c r="N66" s="565"/>
      <c r="O66" s="565"/>
      <c r="P66" s="565"/>
      <c r="Q66" s="565"/>
      <c r="R66" s="565"/>
      <c r="S66" s="566">
        <v>30</v>
      </c>
      <c r="T66" s="565" t="str">
        <f t="shared" si="32"/>
        <v/>
      </c>
      <c r="U66" s="565" t="str">
        <f t="shared" si="33"/>
        <v/>
      </c>
      <c r="V66" s="565"/>
      <c r="W66" s="565"/>
      <c r="X66" s="565"/>
      <c r="Y66" s="565"/>
      <c r="Z66" s="565"/>
      <c r="AA66" s="565"/>
      <c r="AB66" s="566">
        <v>30</v>
      </c>
      <c r="AC66" s="565" t="str">
        <f t="shared" si="34"/>
        <v/>
      </c>
      <c r="AD66" s="565" t="str">
        <f t="shared" si="35"/>
        <v/>
      </c>
      <c r="AE66" s="565"/>
      <c r="AF66" s="565"/>
      <c r="AG66" s="565"/>
      <c r="AH66" s="565"/>
      <c r="AI66" s="565"/>
      <c r="AJ66" s="565"/>
      <c r="AK66" s="566">
        <v>30</v>
      </c>
      <c r="AL66" s="565" t="str">
        <f t="shared" si="36"/>
        <v/>
      </c>
      <c r="AM66" s="565" t="str">
        <f t="shared" si="37"/>
        <v/>
      </c>
      <c r="AN66" s="565"/>
      <c r="AO66" s="565"/>
      <c r="AP66" s="565"/>
      <c r="AQ66" s="565"/>
      <c r="AR66" s="565"/>
      <c r="AS66" s="565"/>
      <c r="AT66" s="566">
        <v>30</v>
      </c>
      <c r="AU66" s="565" t="str">
        <f t="shared" si="38"/>
        <v/>
      </c>
      <c r="AV66" s="565" t="str">
        <f t="shared" si="39"/>
        <v/>
      </c>
      <c r="AW66" s="565"/>
      <c r="AX66" s="566"/>
      <c r="AY66" s="565"/>
      <c r="AZ66" s="565"/>
      <c r="BA66" s="565"/>
      <c r="BB66" s="565"/>
      <c r="BC66" s="566">
        <v>30</v>
      </c>
      <c r="BD66" s="565" t="str">
        <f t="shared" si="40"/>
        <v/>
      </c>
      <c r="BE66" s="565" t="str">
        <f t="shared" si="41"/>
        <v/>
      </c>
      <c r="BF66" s="565"/>
      <c r="BG66" s="565"/>
      <c r="BH66" s="565"/>
      <c r="BI66" s="565"/>
      <c r="BJ66" s="565"/>
      <c r="BK66" s="565"/>
      <c r="BL66" s="566">
        <v>30</v>
      </c>
      <c r="BM66" s="565" t="str">
        <f t="shared" si="42"/>
        <v/>
      </c>
      <c r="BN66" s="565" t="str">
        <f t="shared" si="43"/>
        <v/>
      </c>
      <c r="BO66" s="565"/>
      <c r="BP66" s="565"/>
      <c r="BQ66" s="565"/>
      <c r="BR66" s="565"/>
      <c r="BS66" s="565"/>
      <c r="BT66" s="565"/>
      <c r="BU66" s="566">
        <v>30</v>
      </c>
      <c r="BV66" s="565" t="str">
        <f t="shared" si="44"/>
        <v/>
      </c>
      <c r="BW66" s="565" t="str">
        <f t="shared" si="45"/>
        <v/>
      </c>
      <c r="BX66" s="565"/>
      <c r="BY66" s="565"/>
      <c r="BZ66" s="565"/>
      <c r="CA66" s="565"/>
      <c r="CB66" s="565"/>
      <c r="CC66" s="566">
        <v>30</v>
      </c>
      <c r="CD66" s="565" t="str">
        <f t="shared" si="46"/>
        <v/>
      </c>
      <c r="CE66" s="565" t="str">
        <f t="shared" si="47"/>
        <v/>
      </c>
      <c r="CF66" s="565"/>
      <c r="CG66" s="565"/>
      <c r="CH66" s="565"/>
      <c r="CI66" s="565"/>
      <c r="CJ66" s="565"/>
      <c r="CK66" s="565"/>
      <c r="CL66" s="565"/>
      <c r="CM66" s="565"/>
      <c r="CN66" s="565"/>
      <c r="CO66" s="565"/>
      <c r="CP66" s="565"/>
      <c r="CQ66" s="565"/>
      <c r="CR66" s="565"/>
      <c r="CS66" s="565"/>
      <c r="CT66" s="565"/>
      <c r="CU66" s="565"/>
      <c r="CV66" s="565"/>
      <c r="CW66" s="565"/>
      <c r="CX66" s="565"/>
      <c r="CY66" s="565"/>
      <c r="CZ66" s="565"/>
      <c r="DA66" s="565"/>
      <c r="DB66" s="565"/>
      <c r="DC66" s="565"/>
      <c r="DD66" s="565"/>
      <c r="DE66" s="565"/>
      <c r="DF66" s="565"/>
    </row>
    <row r="67" spans="1:110" x14ac:dyDescent="0.25">
      <c r="A67" s="120"/>
      <c r="B67" s="120"/>
      <c r="C67" s="120"/>
      <c r="D67" s="120"/>
      <c r="E67" s="120"/>
      <c r="F67" s="120"/>
      <c r="G67" s="120"/>
      <c r="H67" s="120"/>
      <c r="I67" s="565"/>
      <c r="J67" s="565"/>
      <c r="K67" s="565"/>
      <c r="L67" s="565"/>
      <c r="M67" s="565"/>
      <c r="N67" s="565"/>
      <c r="O67" s="565"/>
      <c r="P67" s="565"/>
      <c r="Q67" s="565"/>
      <c r="R67" s="565"/>
      <c r="S67" s="565"/>
      <c r="T67" s="565"/>
      <c r="U67" s="565"/>
      <c r="V67" s="565"/>
      <c r="W67" s="565"/>
      <c r="X67" s="565"/>
      <c r="Y67" s="565"/>
      <c r="Z67" s="565"/>
      <c r="AA67" s="565"/>
      <c r="AB67" s="565"/>
      <c r="AC67" s="565"/>
      <c r="AD67" s="565"/>
      <c r="AE67" s="565"/>
      <c r="AF67" s="565"/>
      <c r="AG67" s="565"/>
      <c r="AH67" s="565"/>
      <c r="AI67" s="565"/>
      <c r="AJ67" s="565"/>
      <c r="AK67" s="565"/>
      <c r="AL67" s="565"/>
      <c r="AM67" s="565"/>
      <c r="AN67" s="565"/>
      <c r="AO67" s="565"/>
      <c r="AP67" s="565"/>
      <c r="AQ67" s="565"/>
      <c r="AR67" s="565"/>
      <c r="AS67" s="565"/>
      <c r="AT67" s="565"/>
      <c r="AU67" s="565"/>
      <c r="AV67" s="565"/>
      <c r="AW67" s="565"/>
      <c r="AX67" s="565"/>
      <c r="AY67" s="565"/>
      <c r="AZ67" s="565"/>
      <c r="BA67" s="565"/>
      <c r="BB67" s="565"/>
      <c r="BC67" s="565"/>
      <c r="BD67" s="565"/>
      <c r="BE67" s="565"/>
      <c r="BF67" s="565"/>
      <c r="BG67" s="565"/>
      <c r="BH67" s="565"/>
      <c r="BI67" s="565"/>
      <c r="BJ67" s="565"/>
      <c r="BK67" s="565"/>
      <c r="BL67" s="565"/>
      <c r="BM67" s="565"/>
      <c r="BN67" s="565"/>
      <c r="BO67" s="565"/>
      <c r="BP67" s="565"/>
      <c r="BQ67" s="565"/>
      <c r="BR67" s="565"/>
      <c r="BS67" s="565"/>
      <c r="BT67" s="565"/>
      <c r="BU67" s="565"/>
      <c r="BV67" s="565"/>
      <c r="BW67" s="565"/>
      <c r="BX67" s="565"/>
      <c r="BY67" s="565"/>
      <c r="BZ67" s="565"/>
      <c r="CA67" s="565"/>
      <c r="CB67" s="565"/>
      <c r="CC67" s="565"/>
      <c r="CD67" s="565"/>
      <c r="CE67" s="565"/>
      <c r="CF67" s="565"/>
      <c r="CG67" s="565"/>
      <c r="CH67" s="565"/>
      <c r="CI67" s="565"/>
      <c r="CJ67" s="565"/>
      <c r="CK67" s="565"/>
      <c r="CL67" s="565"/>
      <c r="CM67" s="565"/>
      <c r="CN67" s="565"/>
      <c r="CO67" s="565"/>
      <c r="CP67" s="565"/>
      <c r="CQ67" s="565"/>
      <c r="CR67" s="565"/>
      <c r="CS67" s="565"/>
      <c r="CT67" s="565"/>
      <c r="CU67" s="565"/>
      <c r="CV67" s="565"/>
      <c r="CW67" s="565"/>
      <c r="CX67" s="565"/>
      <c r="CY67" s="565"/>
      <c r="CZ67" s="565"/>
      <c r="DA67" s="565"/>
      <c r="DB67" s="565"/>
      <c r="DC67" s="565"/>
      <c r="DD67" s="565"/>
      <c r="DE67" s="565"/>
      <c r="DF67" s="565"/>
    </row>
    <row r="68" spans="1:110" x14ac:dyDescent="0.25">
      <c r="B68" s="120"/>
      <c r="C68" s="120"/>
      <c r="D68" s="120"/>
      <c r="E68" s="120"/>
      <c r="F68" s="120"/>
      <c r="G68" s="120"/>
      <c r="H68" s="120"/>
      <c r="I68" s="565"/>
      <c r="J68" s="565"/>
      <c r="K68" s="565"/>
      <c r="L68" s="565"/>
      <c r="M68" s="565"/>
      <c r="N68" s="565"/>
      <c r="O68" s="565"/>
      <c r="P68" s="565"/>
      <c r="Q68" s="565"/>
      <c r="R68" s="565"/>
      <c r="S68" s="565"/>
      <c r="T68" s="565"/>
      <c r="U68" s="565"/>
      <c r="V68" s="565"/>
      <c r="W68" s="565"/>
      <c r="X68" s="565"/>
      <c r="Y68" s="565"/>
      <c r="Z68" s="565"/>
      <c r="AA68" s="565"/>
      <c r="AB68" s="565"/>
      <c r="AC68" s="565"/>
      <c r="AD68" s="565"/>
      <c r="AE68" s="565"/>
      <c r="AF68" s="565"/>
      <c r="AG68" s="565"/>
      <c r="AH68" s="565"/>
      <c r="AI68" s="565"/>
      <c r="AJ68" s="565"/>
      <c r="AK68" s="565"/>
      <c r="AL68" s="565"/>
      <c r="AM68" s="565"/>
      <c r="AN68" s="565"/>
      <c r="AO68" s="565"/>
      <c r="AP68" s="565"/>
      <c r="AQ68" s="565"/>
      <c r="AR68" s="565"/>
      <c r="AS68" s="565"/>
      <c r="AT68" s="565"/>
      <c r="AU68" s="565"/>
      <c r="AV68" s="565"/>
      <c r="AW68" s="565"/>
      <c r="AX68" s="565"/>
      <c r="AY68" s="565"/>
      <c r="AZ68" s="565"/>
      <c r="BA68" s="565"/>
      <c r="BB68" s="565"/>
      <c r="BC68" s="565"/>
      <c r="BD68" s="565"/>
      <c r="BE68" s="565"/>
      <c r="BF68" s="565"/>
      <c r="BG68" s="565"/>
      <c r="BH68" s="565"/>
      <c r="BI68" s="565"/>
      <c r="BJ68" s="565"/>
      <c r="BK68" s="565"/>
      <c r="BL68" s="565"/>
      <c r="BM68" s="565"/>
      <c r="BN68" s="565"/>
      <c r="BO68" s="565"/>
      <c r="BP68" s="565"/>
      <c r="BQ68" s="565"/>
      <c r="BR68" s="565"/>
      <c r="BS68" s="565"/>
      <c r="BT68" s="565"/>
      <c r="BU68" s="565"/>
      <c r="BV68" s="565"/>
      <c r="BW68" s="565"/>
      <c r="BX68" s="565"/>
      <c r="BY68" s="565"/>
      <c r="BZ68" s="565"/>
      <c r="CA68" s="565"/>
      <c r="CB68" s="565"/>
      <c r="CC68" s="565"/>
      <c r="CD68" s="565"/>
      <c r="CE68" s="565"/>
      <c r="CF68" s="565"/>
      <c r="CG68" s="565"/>
      <c r="CH68" s="565"/>
      <c r="CI68" s="565"/>
      <c r="CJ68" s="565"/>
      <c r="CK68" s="565"/>
      <c r="CL68" s="565"/>
      <c r="CM68" s="565"/>
      <c r="CN68" s="565"/>
      <c r="CO68" s="565"/>
      <c r="CP68" s="565"/>
      <c r="CQ68" s="565"/>
      <c r="CR68" s="565"/>
      <c r="CS68" s="565"/>
      <c r="CT68" s="565"/>
      <c r="CU68" s="565"/>
      <c r="CV68" s="565"/>
      <c r="CW68" s="565"/>
      <c r="CX68" s="565"/>
      <c r="CY68" s="565"/>
      <c r="CZ68" s="565"/>
      <c r="DA68" s="565"/>
      <c r="DB68" s="565"/>
      <c r="DC68" s="565"/>
      <c r="DD68" s="565"/>
      <c r="DE68" s="565"/>
      <c r="DF68" s="565"/>
    </row>
    <row r="69" spans="1:110" x14ac:dyDescent="0.25">
      <c r="B69" s="5">
        <v>1</v>
      </c>
      <c r="C69">
        <f t="shared" ref="C69:C98" si="48">IF(SpellcastingBard&gt;0,IF(C6&lt;&gt;"",1,0),0)</f>
        <v>0</v>
      </c>
      <c r="D69">
        <f>IF(C69=0,0,1)</f>
        <v>0</v>
      </c>
      <c r="E69">
        <f>D69</f>
        <v>0</v>
      </c>
      <c r="F69" t="str">
        <f>IF(C69=1,"Bard","")</f>
        <v/>
      </c>
      <c r="G69" t="str">
        <f>IF(C69=1,"P","")</f>
        <v/>
      </c>
      <c r="H69" t="s">
        <v>6545</v>
      </c>
      <c r="I69" t="s">
        <v>6545</v>
      </c>
      <c r="J69" t="s">
        <v>6545</v>
      </c>
      <c r="K69" s="605">
        <v>1</v>
      </c>
      <c r="L69">
        <f t="shared" ref="L69:L98" si="49">IF(SpellcastingBard&gt;0,IF(L6&lt;&gt;"",1,0),0)</f>
        <v>0</v>
      </c>
      <c r="M69">
        <f>IF(L69=0,0,1)</f>
        <v>0</v>
      </c>
      <c r="N69">
        <f>M69</f>
        <v>0</v>
      </c>
      <c r="O69" t="str">
        <f>IF(L69=1,"Bard","")</f>
        <v/>
      </c>
      <c r="P69" t="str">
        <f>IF(L69=1,"P","")</f>
        <v/>
      </c>
      <c r="Q69" t="s">
        <v>6545</v>
      </c>
      <c r="R69" t="s">
        <v>6545</v>
      </c>
      <c r="S69" t="s">
        <v>6545</v>
      </c>
      <c r="T69" s="605">
        <v>1</v>
      </c>
      <c r="U69">
        <f t="shared" ref="U69:U98" si="50">IF(SpellcastingBard&gt;0,IF(U6&lt;&gt;"",1,0),0)</f>
        <v>0</v>
      </c>
      <c r="V69">
        <f>IF(U69=0,0,1)</f>
        <v>0</v>
      </c>
      <c r="W69">
        <f>V69</f>
        <v>0</v>
      </c>
      <c r="X69" t="str">
        <f>IF(U69=1,"Bard","")</f>
        <v/>
      </c>
      <c r="Y69" t="str">
        <f>IF(U69=1,"P","")</f>
        <v/>
      </c>
      <c r="Z69" t="s">
        <v>6545</v>
      </c>
      <c r="AA69" t="s">
        <v>6545</v>
      </c>
      <c r="AB69" t="s">
        <v>6545</v>
      </c>
      <c r="AC69" s="605">
        <v>1</v>
      </c>
      <c r="AD69">
        <f t="shared" ref="AD69:AD98" si="51">IF(SpellcastingBard&gt;0,IF(AD6&lt;&gt;"",1,0),0)</f>
        <v>0</v>
      </c>
      <c r="AE69">
        <f>IF(AD69=0,0,1)</f>
        <v>0</v>
      </c>
      <c r="AF69">
        <f>AE69</f>
        <v>0</v>
      </c>
      <c r="AG69" t="str">
        <f>IF(AD69=1,"Bard","")</f>
        <v/>
      </c>
      <c r="AH69" t="str">
        <f>IF(AD69=1,"P","")</f>
        <v/>
      </c>
      <c r="AI69" t="s">
        <v>6545</v>
      </c>
      <c r="AJ69" t="s">
        <v>6545</v>
      </c>
      <c r="AK69" t="s">
        <v>6545</v>
      </c>
      <c r="AL69" s="605">
        <v>1</v>
      </c>
      <c r="AM69">
        <f t="shared" ref="AM69:AM98" si="52">IF(SpellcastingBard&gt;0,IF(AM6&lt;&gt;"",1,0),0)</f>
        <v>0</v>
      </c>
      <c r="AN69">
        <f>IF(AM69=0,0,1)</f>
        <v>0</v>
      </c>
      <c r="AO69">
        <f>AN69</f>
        <v>0</v>
      </c>
      <c r="AP69" t="str">
        <f>IF(AM69=1,"Bard","")</f>
        <v/>
      </c>
      <c r="AQ69" t="str">
        <f>IF(AM69=1,"P","")</f>
        <v/>
      </c>
      <c r="AR69" t="s">
        <v>6545</v>
      </c>
      <c r="AS69" t="s">
        <v>6545</v>
      </c>
      <c r="AT69" t="s">
        <v>6545</v>
      </c>
      <c r="AU69" s="605">
        <v>1</v>
      </c>
      <c r="AV69">
        <f t="shared" ref="AV69:AV98" si="53">IF(SpellcastingBard&gt;0,IF(AV6&lt;&gt;"",1,0),0)</f>
        <v>0</v>
      </c>
      <c r="AW69">
        <f>IF(AV69=0,0,1)</f>
        <v>0</v>
      </c>
      <c r="AX69">
        <f>AW69</f>
        <v>0</v>
      </c>
      <c r="AY69" t="str">
        <f>IF(AV69=1,"Bard","")</f>
        <v/>
      </c>
      <c r="AZ69" t="str">
        <f>IF(AV69=1,"P","")</f>
        <v/>
      </c>
      <c r="BA69" t="s">
        <v>6545</v>
      </c>
      <c r="BB69" t="s">
        <v>6545</v>
      </c>
      <c r="BC69" t="s">
        <v>6545</v>
      </c>
      <c r="BD69" s="605">
        <v>1</v>
      </c>
      <c r="BE69">
        <f t="shared" ref="BE69:BE98" si="54">IF(SpellcastingBard&gt;0,IF(BE6&lt;&gt;"",1,0),0)</f>
        <v>0</v>
      </c>
      <c r="BF69">
        <f>IF(BE69=0,0,1)</f>
        <v>0</v>
      </c>
      <c r="BG69">
        <f>BF69</f>
        <v>0</v>
      </c>
      <c r="BH69" t="str">
        <f>IF(BE69=1,"Bard","")</f>
        <v/>
      </c>
      <c r="BI69" t="str">
        <f>IF(BE69=1,"P","")</f>
        <v/>
      </c>
      <c r="BJ69" t="s">
        <v>6545</v>
      </c>
      <c r="BK69" t="s">
        <v>6545</v>
      </c>
      <c r="BL69" t="s">
        <v>6545</v>
      </c>
      <c r="BM69" s="605">
        <v>1</v>
      </c>
      <c r="BN69">
        <f t="shared" ref="BN69:BN98" si="55">IF(SpellcastingBard&gt;0,IF(BN6&lt;&gt;"",1,0),0)</f>
        <v>0</v>
      </c>
      <c r="BO69">
        <f>IF(BN69=0,0,1)</f>
        <v>0</v>
      </c>
      <c r="BP69">
        <f>BO69</f>
        <v>0</v>
      </c>
      <c r="BQ69" t="str">
        <f>IF(BN69=1,"Bard","")</f>
        <v/>
      </c>
      <c r="BR69" t="str">
        <f>IF(BN69=1,"P","")</f>
        <v/>
      </c>
      <c r="BS69" t="s">
        <v>6545</v>
      </c>
      <c r="BT69" t="s">
        <v>6545</v>
      </c>
      <c r="BU69" t="s">
        <v>6545</v>
      </c>
      <c r="BV69" s="605">
        <v>1</v>
      </c>
      <c r="BW69">
        <f t="shared" ref="BW69:BW98" si="56">IF(SpellcastingBard&gt;0,IF(BW6&lt;&gt;"",1,0),0)</f>
        <v>0</v>
      </c>
      <c r="BX69">
        <f>IF(BW69=0,0,1)</f>
        <v>0</v>
      </c>
      <c r="BY69">
        <f>BX69</f>
        <v>0</v>
      </c>
      <c r="BZ69" t="str">
        <f>IF(BW69=1,"Bard","")</f>
        <v/>
      </c>
      <c r="CA69" t="str">
        <f>IF(BW69=1,"P","")</f>
        <v/>
      </c>
      <c r="CB69" t="s">
        <v>6545</v>
      </c>
      <c r="CC69" t="s">
        <v>6545</v>
      </c>
      <c r="CD69" t="s">
        <v>6545</v>
      </c>
      <c r="CE69" s="605"/>
      <c r="CN69" s="605"/>
    </row>
    <row r="70" spans="1:110" x14ac:dyDescent="0.25">
      <c r="B70" s="5">
        <v>2</v>
      </c>
      <c r="C70">
        <f t="shared" si="48"/>
        <v>0</v>
      </c>
      <c r="D70">
        <f>IF(C70=0,0,1+MAX($D$69:D69))</f>
        <v>0</v>
      </c>
      <c r="E70">
        <f t="shared" ref="E70:E98" si="57">D70</f>
        <v>0</v>
      </c>
      <c r="F70" t="str">
        <f t="shared" ref="F70:F98" si="58">IF(C70=1,"Bard","")</f>
        <v/>
      </c>
      <c r="G70" t="str">
        <f t="shared" ref="G70:G98" si="59">IF(C70=1,"P","")</f>
        <v/>
      </c>
      <c r="K70" s="605">
        <v>2</v>
      </c>
      <c r="L70">
        <f t="shared" si="49"/>
        <v>0</v>
      </c>
      <c r="M70">
        <f>IF(L70=0,0,1+MAX($D$69:M69))</f>
        <v>0</v>
      </c>
      <c r="N70">
        <f t="shared" ref="N70:N98" si="60">M70</f>
        <v>0</v>
      </c>
      <c r="O70" t="str">
        <f t="shared" ref="O70:O98" si="61">IF(L70=1,"Bard","")</f>
        <v/>
      </c>
      <c r="P70" t="str">
        <f t="shared" ref="P70:P98" si="62">IF(L70=1,"P","")</f>
        <v/>
      </c>
      <c r="T70" s="605">
        <v>2</v>
      </c>
      <c r="U70">
        <f t="shared" si="50"/>
        <v>0</v>
      </c>
      <c r="V70">
        <f>IF(U70=0,0,1+MAX($D$69:V69))</f>
        <v>0</v>
      </c>
      <c r="W70">
        <f t="shared" ref="W70:W98" si="63">V70</f>
        <v>0</v>
      </c>
      <c r="X70" t="str">
        <f t="shared" ref="X70:X98" si="64">IF(U70=1,"Bard","")</f>
        <v/>
      </c>
      <c r="Y70" t="str">
        <f t="shared" ref="Y70:Y98" si="65">IF(U70=1,"P","")</f>
        <v/>
      </c>
      <c r="AC70" s="605">
        <v>2</v>
      </c>
      <c r="AD70">
        <f t="shared" si="51"/>
        <v>0</v>
      </c>
      <c r="AE70">
        <f>IF(AD70=0,0,1+MAX($D$69:AE69))</f>
        <v>0</v>
      </c>
      <c r="AF70">
        <f t="shared" ref="AF70:AF98" si="66">AE70</f>
        <v>0</v>
      </c>
      <c r="AG70" t="str">
        <f t="shared" ref="AG70:AG98" si="67">IF(AD70=1,"Bard","")</f>
        <v/>
      </c>
      <c r="AH70" t="str">
        <f t="shared" ref="AH70:AH98" si="68">IF(AD70=1,"P","")</f>
        <v/>
      </c>
      <c r="AL70" s="605">
        <v>2</v>
      </c>
      <c r="AM70">
        <f t="shared" si="52"/>
        <v>0</v>
      </c>
      <c r="AN70">
        <f>IF(AM70=0,0,1+MAX($D$69:AN69))</f>
        <v>0</v>
      </c>
      <c r="AO70">
        <f t="shared" ref="AO70:AO98" si="69">AN70</f>
        <v>0</v>
      </c>
      <c r="AP70" t="str">
        <f t="shared" ref="AP70:AP98" si="70">IF(AM70=1,"Bard","")</f>
        <v/>
      </c>
      <c r="AQ70" t="str">
        <f t="shared" ref="AQ70:AQ98" si="71">IF(AM70=1,"P","")</f>
        <v/>
      </c>
      <c r="AU70" s="605">
        <v>2</v>
      </c>
      <c r="AV70">
        <f t="shared" si="53"/>
        <v>0</v>
      </c>
      <c r="AW70">
        <f>IF(AV70=0,0,1+MAX($D$69:AW69))</f>
        <v>0</v>
      </c>
      <c r="AX70">
        <f t="shared" ref="AX70:AX98" si="72">AW70</f>
        <v>0</v>
      </c>
      <c r="AY70" t="str">
        <f t="shared" ref="AY70:AY98" si="73">IF(AV70=1,"Bard","")</f>
        <v/>
      </c>
      <c r="AZ70" t="str">
        <f t="shared" ref="AZ70:AZ98" si="74">IF(AV70=1,"P","")</f>
        <v/>
      </c>
      <c r="BD70" s="605">
        <v>2</v>
      </c>
      <c r="BE70">
        <f t="shared" si="54"/>
        <v>0</v>
      </c>
      <c r="BF70">
        <f>IF(BE70=0,0,1+MAX($D$69:BF69))</f>
        <v>0</v>
      </c>
      <c r="BG70">
        <f t="shared" ref="BG70:BG98" si="75">BF70</f>
        <v>0</v>
      </c>
      <c r="BH70" t="str">
        <f t="shared" ref="BH70:BH98" si="76">IF(BE70=1,"Bard","")</f>
        <v/>
      </c>
      <c r="BI70" t="str">
        <f t="shared" ref="BI70:BI98" si="77">IF(BE70=1,"P","")</f>
        <v/>
      </c>
      <c r="BM70" s="605">
        <v>2</v>
      </c>
      <c r="BN70">
        <f t="shared" si="55"/>
        <v>0</v>
      </c>
      <c r="BO70">
        <f>IF(BN70=0,0,1+MAX($D$69:BO69))</f>
        <v>0</v>
      </c>
      <c r="BP70">
        <f t="shared" ref="BP70:BP98" si="78">BO70</f>
        <v>0</v>
      </c>
      <c r="BQ70" t="str">
        <f t="shared" ref="BQ70:BQ98" si="79">IF(BN70=1,"Bard","")</f>
        <v/>
      </c>
      <c r="BR70" t="str">
        <f t="shared" ref="BR70:BR98" si="80">IF(BN70=1,"P","")</f>
        <v/>
      </c>
      <c r="BV70" s="605">
        <v>2</v>
      </c>
      <c r="BW70">
        <f t="shared" si="56"/>
        <v>0</v>
      </c>
      <c r="BX70">
        <f>IF(BW70=0,0,1+MAX($D$69:BX69))</f>
        <v>0</v>
      </c>
      <c r="BY70">
        <f t="shared" ref="BY70:BY98" si="81">BX70</f>
        <v>0</v>
      </c>
      <c r="BZ70" t="str">
        <f t="shared" ref="BZ70:BZ98" si="82">IF(BW70=1,"Bard","")</f>
        <v/>
      </c>
      <c r="CA70" t="str">
        <f t="shared" ref="CA70:CA98" si="83">IF(BW70=1,"P","")</f>
        <v/>
      </c>
      <c r="CE70" s="605"/>
      <c r="CN70" s="605"/>
    </row>
    <row r="71" spans="1:110" x14ac:dyDescent="0.25">
      <c r="B71" s="5">
        <v>3</v>
      </c>
      <c r="C71">
        <f t="shared" si="48"/>
        <v>0</v>
      </c>
      <c r="D71">
        <f>IF(C71=0,0,1+MAX($D$69:D70))</f>
        <v>0</v>
      </c>
      <c r="E71">
        <f t="shared" si="57"/>
        <v>0</v>
      </c>
      <c r="F71" t="str">
        <f t="shared" si="58"/>
        <v/>
      </c>
      <c r="G71" t="str">
        <f t="shared" si="59"/>
        <v/>
      </c>
      <c r="K71" s="605">
        <v>3</v>
      </c>
      <c r="L71">
        <f t="shared" si="49"/>
        <v>0</v>
      </c>
      <c r="M71">
        <f>IF(L71=0,0,1+MAX($D$69:M70))</f>
        <v>0</v>
      </c>
      <c r="N71">
        <f t="shared" si="60"/>
        <v>0</v>
      </c>
      <c r="O71" t="str">
        <f t="shared" si="61"/>
        <v/>
      </c>
      <c r="P71" t="str">
        <f t="shared" si="62"/>
        <v/>
      </c>
      <c r="T71" s="605">
        <v>3</v>
      </c>
      <c r="U71">
        <f t="shared" si="50"/>
        <v>0</v>
      </c>
      <c r="V71">
        <f>IF(U71=0,0,1+MAX($D$69:V70))</f>
        <v>0</v>
      </c>
      <c r="W71">
        <f t="shared" si="63"/>
        <v>0</v>
      </c>
      <c r="X71" t="str">
        <f t="shared" si="64"/>
        <v/>
      </c>
      <c r="Y71" t="str">
        <f t="shared" si="65"/>
        <v/>
      </c>
      <c r="AC71" s="605">
        <v>3</v>
      </c>
      <c r="AD71">
        <f t="shared" si="51"/>
        <v>0</v>
      </c>
      <c r="AE71">
        <f>IF(AD71=0,0,1+MAX($D$69:AE70))</f>
        <v>0</v>
      </c>
      <c r="AF71">
        <f t="shared" si="66"/>
        <v>0</v>
      </c>
      <c r="AG71" t="str">
        <f t="shared" si="67"/>
        <v/>
      </c>
      <c r="AH71" t="str">
        <f t="shared" si="68"/>
        <v/>
      </c>
      <c r="AL71" s="605">
        <v>3</v>
      </c>
      <c r="AM71">
        <f t="shared" si="52"/>
        <v>0</v>
      </c>
      <c r="AN71">
        <f>IF(AM71=0,0,1+MAX($D$69:AN70))</f>
        <v>0</v>
      </c>
      <c r="AO71">
        <f t="shared" si="69"/>
        <v>0</v>
      </c>
      <c r="AP71" t="str">
        <f t="shared" si="70"/>
        <v/>
      </c>
      <c r="AQ71" t="str">
        <f t="shared" si="71"/>
        <v/>
      </c>
      <c r="AU71" s="605">
        <v>3</v>
      </c>
      <c r="AV71">
        <f t="shared" si="53"/>
        <v>0</v>
      </c>
      <c r="AW71">
        <f>IF(AV71=0,0,1+MAX($D$69:AW70))</f>
        <v>0</v>
      </c>
      <c r="AX71">
        <f t="shared" si="72"/>
        <v>0</v>
      </c>
      <c r="AY71" t="str">
        <f t="shared" si="73"/>
        <v/>
      </c>
      <c r="AZ71" t="str">
        <f t="shared" si="74"/>
        <v/>
      </c>
      <c r="BD71" s="605">
        <v>3</v>
      </c>
      <c r="BE71">
        <f t="shared" si="54"/>
        <v>0</v>
      </c>
      <c r="BF71">
        <f>IF(BE71=0,0,1+MAX($D$69:BF70))</f>
        <v>0</v>
      </c>
      <c r="BG71">
        <f t="shared" si="75"/>
        <v>0</v>
      </c>
      <c r="BH71" t="str">
        <f t="shared" si="76"/>
        <v/>
      </c>
      <c r="BI71" t="str">
        <f t="shared" si="77"/>
        <v/>
      </c>
      <c r="BM71" s="605">
        <v>3</v>
      </c>
      <c r="BN71">
        <f t="shared" si="55"/>
        <v>0</v>
      </c>
      <c r="BO71">
        <f>IF(BN71=0,0,1+MAX($D$69:BO70))</f>
        <v>0</v>
      </c>
      <c r="BP71">
        <f t="shared" si="78"/>
        <v>0</v>
      </c>
      <c r="BQ71" t="str">
        <f t="shared" si="79"/>
        <v/>
      </c>
      <c r="BR71" t="str">
        <f t="shared" si="80"/>
        <v/>
      </c>
      <c r="BV71" s="605">
        <v>3</v>
      </c>
      <c r="BW71">
        <f t="shared" si="56"/>
        <v>0</v>
      </c>
      <c r="BX71">
        <f>IF(BW71=0,0,1+MAX($D$69:BX70))</f>
        <v>0</v>
      </c>
      <c r="BY71">
        <f t="shared" si="81"/>
        <v>0</v>
      </c>
      <c r="BZ71" t="str">
        <f t="shared" si="82"/>
        <v/>
      </c>
      <c r="CA71" t="str">
        <f t="shared" si="83"/>
        <v/>
      </c>
      <c r="CE71" s="605"/>
      <c r="CN71" s="605"/>
    </row>
    <row r="72" spans="1:110" x14ac:dyDescent="0.25">
      <c r="B72" s="5">
        <v>4</v>
      </c>
      <c r="C72">
        <f t="shared" si="48"/>
        <v>0</v>
      </c>
      <c r="D72">
        <f>IF(C72=0,0,1+MAX($D$69:D71))</f>
        <v>0</v>
      </c>
      <c r="E72">
        <f t="shared" si="57"/>
        <v>0</v>
      </c>
      <c r="F72" t="str">
        <f t="shared" si="58"/>
        <v/>
      </c>
      <c r="G72" t="str">
        <f t="shared" si="59"/>
        <v/>
      </c>
      <c r="K72" s="605">
        <v>4</v>
      </c>
      <c r="L72">
        <f t="shared" si="49"/>
        <v>0</v>
      </c>
      <c r="M72">
        <f>IF(L72=0,0,1+MAX($D$69:M71))</f>
        <v>0</v>
      </c>
      <c r="N72">
        <f t="shared" si="60"/>
        <v>0</v>
      </c>
      <c r="O72" t="str">
        <f t="shared" si="61"/>
        <v/>
      </c>
      <c r="P72" t="str">
        <f t="shared" si="62"/>
        <v/>
      </c>
      <c r="T72" s="605">
        <v>4</v>
      </c>
      <c r="U72">
        <f t="shared" si="50"/>
        <v>0</v>
      </c>
      <c r="V72">
        <f>IF(U72=0,0,1+MAX($D$69:V71))</f>
        <v>0</v>
      </c>
      <c r="W72">
        <f t="shared" si="63"/>
        <v>0</v>
      </c>
      <c r="X72" t="str">
        <f t="shared" si="64"/>
        <v/>
      </c>
      <c r="Y72" t="str">
        <f t="shared" si="65"/>
        <v/>
      </c>
      <c r="AC72" s="605">
        <v>4</v>
      </c>
      <c r="AD72">
        <f t="shared" si="51"/>
        <v>0</v>
      </c>
      <c r="AE72">
        <f>IF(AD72=0,0,1+MAX($D$69:AE71))</f>
        <v>0</v>
      </c>
      <c r="AF72">
        <f t="shared" si="66"/>
        <v>0</v>
      </c>
      <c r="AG72" t="str">
        <f t="shared" si="67"/>
        <v/>
      </c>
      <c r="AH72" t="str">
        <f t="shared" si="68"/>
        <v/>
      </c>
      <c r="AL72" s="605">
        <v>4</v>
      </c>
      <c r="AM72">
        <f t="shared" si="52"/>
        <v>0</v>
      </c>
      <c r="AN72">
        <f>IF(AM72=0,0,1+MAX($D$69:AN71))</f>
        <v>0</v>
      </c>
      <c r="AO72">
        <f t="shared" si="69"/>
        <v>0</v>
      </c>
      <c r="AP72" t="str">
        <f t="shared" si="70"/>
        <v/>
      </c>
      <c r="AQ72" t="str">
        <f t="shared" si="71"/>
        <v/>
      </c>
      <c r="AU72" s="605">
        <v>4</v>
      </c>
      <c r="AV72">
        <f t="shared" si="53"/>
        <v>0</v>
      </c>
      <c r="AW72">
        <f>IF(AV72=0,0,1+MAX($D$69:AW71))</f>
        <v>0</v>
      </c>
      <c r="AX72">
        <f t="shared" si="72"/>
        <v>0</v>
      </c>
      <c r="AY72" t="str">
        <f t="shared" si="73"/>
        <v/>
      </c>
      <c r="AZ72" t="str">
        <f t="shared" si="74"/>
        <v/>
      </c>
      <c r="BD72" s="605">
        <v>4</v>
      </c>
      <c r="BE72">
        <f t="shared" si="54"/>
        <v>0</v>
      </c>
      <c r="BF72">
        <f>IF(BE72=0,0,1+MAX($D$69:BF71))</f>
        <v>0</v>
      </c>
      <c r="BG72">
        <f t="shared" si="75"/>
        <v>0</v>
      </c>
      <c r="BH72" t="str">
        <f t="shared" si="76"/>
        <v/>
      </c>
      <c r="BI72" t="str">
        <f t="shared" si="77"/>
        <v/>
      </c>
      <c r="BM72" s="605">
        <v>4</v>
      </c>
      <c r="BN72">
        <f t="shared" si="55"/>
        <v>0</v>
      </c>
      <c r="BO72">
        <f>IF(BN72=0,0,1+MAX($D$69:BO71))</f>
        <v>0</v>
      </c>
      <c r="BP72">
        <f t="shared" si="78"/>
        <v>0</v>
      </c>
      <c r="BQ72" t="str">
        <f t="shared" si="79"/>
        <v/>
      </c>
      <c r="BR72" t="str">
        <f t="shared" si="80"/>
        <v/>
      </c>
      <c r="BV72" s="605">
        <v>4</v>
      </c>
      <c r="BW72">
        <f t="shared" si="56"/>
        <v>0</v>
      </c>
      <c r="BX72">
        <f>IF(BW72=0,0,1+MAX($D$69:BX71))</f>
        <v>0</v>
      </c>
      <c r="BY72">
        <f t="shared" si="81"/>
        <v>0</v>
      </c>
      <c r="BZ72" t="str">
        <f t="shared" si="82"/>
        <v/>
      </c>
      <c r="CA72" t="str">
        <f t="shared" si="83"/>
        <v/>
      </c>
      <c r="CE72" s="605"/>
      <c r="CN72" s="605"/>
    </row>
    <row r="73" spans="1:110" x14ac:dyDescent="0.25">
      <c r="B73" s="5">
        <v>5</v>
      </c>
      <c r="C73">
        <f t="shared" si="48"/>
        <v>0</v>
      </c>
      <c r="D73">
        <f>IF(C73=0,0,1+MAX($D$69:D72))</f>
        <v>0</v>
      </c>
      <c r="E73">
        <f t="shared" si="57"/>
        <v>0</v>
      </c>
      <c r="F73" t="str">
        <f t="shared" si="58"/>
        <v/>
      </c>
      <c r="G73" t="str">
        <f t="shared" si="59"/>
        <v/>
      </c>
      <c r="K73" s="605">
        <v>5</v>
      </c>
      <c r="L73">
        <f t="shared" si="49"/>
        <v>0</v>
      </c>
      <c r="M73">
        <f>IF(L73=0,0,1+MAX($D$69:M72))</f>
        <v>0</v>
      </c>
      <c r="N73">
        <f t="shared" si="60"/>
        <v>0</v>
      </c>
      <c r="O73" t="str">
        <f t="shared" si="61"/>
        <v/>
      </c>
      <c r="P73" t="str">
        <f t="shared" si="62"/>
        <v/>
      </c>
      <c r="T73" s="605">
        <v>5</v>
      </c>
      <c r="U73">
        <f t="shared" si="50"/>
        <v>0</v>
      </c>
      <c r="V73">
        <f>IF(U73=0,0,1+MAX($D$69:V72))</f>
        <v>0</v>
      </c>
      <c r="W73">
        <f t="shared" si="63"/>
        <v>0</v>
      </c>
      <c r="X73" t="str">
        <f t="shared" si="64"/>
        <v/>
      </c>
      <c r="Y73" t="str">
        <f t="shared" si="65"/>
        <v/>
      </c>
      <c r="AC73" s="605">
        <v>5</v>
      </c>
      <c r="AD73">
        <f t="shared" si="51"/>
        <v>0</v>
      </c>
      <c r="AE73">
        <f>IF(AD73=0,0,1+MAX($D$69:AE72))</f>
        <v>0</v>
      </c>
      <c r="AF73">
        <f t="shared" si="66"/>
        <v>0</v>
      </c>
      <c r="AG73" t="str">
        <f t="shared" si="67"/>
        <v/>
      </c>
      <c r="AH73" t="str">
        <f t="shared" si="68"/>
        <v/>
      </c>
      <c r="AL73" s="605">
        <v>5</v>
      </c>
      <c r="AM73">
        <f t="shared" si="52"/>
        <v>0</v>
      </c>
      <c r="AN73">
        <f>IF(AM73=0,0,1+MAX($D$69:AN72))</f>
        <v>0</v>
      </c>
      <c r="AO73">
        <f t="shared" si="69"/>
        <v>0</v>
      </c>
      <c r="AP73" t="str">
        <f t="shared" si="70"/>
        <v/>
      </c>
      <c r="AQ73" t="str">
        <f t="shared" si="71"/>
        <v/>
      </c>
      <c r="AU73" s="605">
        <v>5</v>
      </c>
      <c r="AV73">
        <f t="shared" si="53"/>
        <v>0</v>
      </c>
      <c r="AW73">
        <f>IF(AV73=0,0,1+MAX($D$69:AW72))</f>
        <v>0</v>
      </c>
      <c r="AX73">
        <f t="shared" si="72"/>
        <v>0</v>
      </c>
      <c r="AY73" t="str">
        <f t="shared" si="73"/>
        <v/>
      </c>
      <c r="AZ73" t="str">
        <f t="shared" si="74"/>
        <v/>
      </c>
      <c r="BD73" s="605">
        <v>5</v>
      </c>
      <c r="BE73">
        <f t="shared" si="54"/>
        <v>0</v>
      </c>
      <c r="BF73">
        <f>IF(BE73=0,0,1+MAX($D$69:BF72))</f>
        <v>0</v>
      </c>
      <c r="BG73">
        <f t="shared" si="75"/>
        <v>0</v>
      </c>
      <c r="BH73" t="str">
        <f t="shared" si="76"/>
        <v/>
      </c>
      <c r="BI73" t="str">
        <f t="shared" si="77"/>
        <v/>
      </c>
      <c r="BM73" s="605">
        <v>5</v>
      </c>
      <c r="BN73">
        <f t="shared" si="55"/>
        <v>0</v>
      </c>
      <c r="BO73">
        <f>IF(BN73=0,0,1+MAX($D$69:BO72))</f>
        <v>0</v>
      </c>
      <c r="BP73">
        <f t="shared" si="78"/>
        <v>0</v>
      </c>
      <c r="BQ73" t="str">
        <f t="shared" si="79"/>
        <v/>
      </c>
      <c r="BR73" t="str">
        <f t="shared" si="80"/>
        <v/>
      </c>
      <c r="BV73" s="605">
        <v>5</v>
      </c>
      <c r="BW73">
        <f t="shared" si="56"/>
        <v>0</v>
      </c>
      <c r="BX73">
        <f>IF(BW73=0,0,1+MAX($D$69:BX72))</f>
        <v>0</v>
      </c>
      <c r="BY73">
        <f t="shared" si="81"/>
        <v>0</v>
      </c>
      <c r="BZ73" t="str">
        <f t="shared" si="82"/>
        <v/>
      </c>
      <c r="CA73" t="str">
        <f t="shared" si="83"/>
        <v/>
      </c>
      <c r="CE73" s="605"/>
      <c r="CN73" s="605"/>
    </row>
    <row r="74" spans="1:110" x14ac:dyDescent="0.25">
      <c r="B74" s="5">
        <v>6</v>
      </c>
      <c r="C74">
        <f t="shared" si="48"/>
        <v>0</v>
      </c>
      <c r="D74">
        <f>IF(C74=0,0,1+MAX($D$69:D73))</f>
        <v>0</v>
      </c>
      <c r="E74">
        <f t="shared" si="57"/>
        <v>0</v>
      </c>
      <c r="F74" t="str">
        <f t="shared" si="58"/>
        <v/>
      </c>
      <c r="G74" t="str">
        <f t="shared" si="59"/>
        <v/>
      </c>
      <c r="K74" s="605">
        <v>6</v>
      </c>
      <c r="L74">
        <f t="shared" si="49"/>
        <v>0</v>
      </c>
      <c r="M74">
        <f>IF(L74=0,0,1+MAX($D$69:M73))</f>
        <v>0</v>
      </c>
      <c r="N74">
        <f t="shared" si="60"/>
        <v>0</v>
      </c>
      <c r="O74" t="str">
        <f t="shared" si="61"/>
        <v/>
      </c>
      <c r="P74" t="str">
        <f t="shared" si="62"/>
        <v/>
      </c>
      <c r="T74" s="605">
        <v>6</v>
      </c>
      <c r="U74">
        <f t="shared" si="50"/>
        <v>0</v>
      </c>
      <c r="V74">
        <f>IF(U74=0,0,1+MAX($D$69:V73))</f>
        <v>0</v>
      </c>
      <c r="W74">
        <f t="shared" si="63"/>
        <v>0</v>
      </c>
      <c r="X74" t="str">
        <f t="shared" si="64"/>
        <v/>
      </c>
      <c r="Y74" t="str">
        <f t="shared" si="65"/>
        <v/>
      </c>
      <c r="AC74" s="605">
        <v>6</v>
      </c>
      <c r="AD74">
        <f t="shared" si="51"/>
        <v>0</v>
      </c>
      <c r="AE74">
        <f>IF(AD74=0,0,1+MAX($D$69:AE73))</f>
        <v>0</v>
      </c>
      <c r="AF74">
        <f t="shared" si="66"/>
        <v>0</v>
      </c>
      <c r="AG74" t="str">
        <f t="shared" si="67"/>
        <v/>
      </c>
      <c r="AH74" t="str">
        <f t="shared" si="68"/>
        <v/>
      </c>
      <c r="AL74" s="605">
        <v>6</v>
      </c>
      <c r="AM74">
        <f t="shared" si="52"/>
        <v>0</v>
      </c>
      <c r="AN74">
        <f>IF(AM74=0,0,1+MAX($D$69:AN73))</f>
        <v>0</v>
      </c>
      <c r="AO74">
        <f t="shared" si="69"/>
        <v>0</v>
      </c>
      <c r="AP74" t="str">
        <f t="shared" si="70"/>
        <v/>
      </c>
      <c r="AQ74" t="str">
        <f t="shared" si="71"/>
        <v/>
      </c>
      <c r="AU74" s="605">
        <v>6</v>
      </c>
      <c r="AV74">
        <f t="shared" si="53"/>
        <v>0</v>
      </c>
      <c r="AW74">
        <f>IF(AV74=0,0,1+MAX($D$69:AW73))</f>
        <v>0</v>
      </c>
      <c r="AX74">
        <f t="shared" si="72"/>
        <v>0</v>
      </c>
      <c r="AY74" t="str">
        <f t="shared" si="73"/>
        <v/>
      </c>
      <c r="AZ74" t="str">
        <f t="shared" si="74"/>
        <v/>
      </c>
      <c r="BD74" s="605">
        <v>6</v>
      </c>
      <c r="BE74">
        <f t="shared" si="54"/>
        <v>0</v>
      </c>
      <c r="BF74">
        <f>IF(BE74=0,0,1+MAX($D$69:BF73))</f>
        <v>0</v>
      </c>
      <c r="BG74">
        <f t="shared" si="75"/>
        <v>0</v>
      </c>
      <c r="BH74" t="str">
        <f t="shared" si="76"/>
        <v/>
      </c>
      <c r="BI74" t="str">
        <f t="shared" si="77"/>
        <v/>
      </c>
      <c r="BM74" s="605">
        <v>6</v>
      </c>
      <c r="BN74">
        <f t="shared" si="55"/>
        <v>0</v>
      </c>
      <c r="BO74">
        <f>IF(BN74=0,0,1+MAX($D$69:BO73))</f>
        <v>0</v>
      </c>
      <c r="BP74">
        <f t="shared" si="78"/>
        <v>0</v>
      </c>
      <c r="BQ74" t="str">
        <f t="shared" si="79"/>
        <v/>
      </c>
      <c r="BR74" t="str">
        <f t="shared" si="80"/>
        <v/>
      </c>
      <c r="BV74" s="605">
        <v>6</v>
      </c>
      <c r="BW74">
        <f t="shared" si="56"/>
        <v>0</v>
      </c>
      <c r="BX74">
        <f>IF(BW74=0,0,1+MAX($D$69:BX73))</f>
        <v>0</v>
      </c>
      <c r="BY74">
        <f t="shared" si="81"/>
        <v>0</v>
      </c>
      <c r="BZ74" t="str">
        <f t="shared" si="82"/>
        <v/>
      </c>
      <c r="CA74" t="str">
        <f t="shared" si="83"/>
        <v/>
      </c>
      <c r="CE74" s="605"/>
      <c r="CN74" s="605"/>
    </row>
    <row r="75" spans="1:110" x14ac:dyDescent="0.25">
      <c r="B75" s="5">
        <v>7</v>
      </c>
      <c r="C75">
        <f t="shared" si="48"/>
        <v>0</v>
      </c>
      <c r="D75">
        <f>IF(C75=0,0,1+MAX($D$69:D74))</f>
        <v>0</v>
      </c>
      <c r="E75">
        <f t="shared" si="57"/>
        <v>0</v>
      </c>
      <c r="F75" t="str">
        <f t="shared" si="58"/>
        <v/>
      </c>
      <c r="G75" t="str">
        <f t="shared" si="59"/>
        <v/>
      </c>
      <c r="K75" s="605">
        <v>7</v>
      </c>
      <c r="L75">
        <f t="shared" si="49"/>
        <v>0</v>
      </c>
      <c r="M75">
        <f>IF(L75=0,0,1+MAX($D$69:M74))</f>
        <v>0</v>
      </c>
      <c r="N75">
        <f t="shared" si="60"/>
        <v>0</v>
      </c>
      <c r="O75" t="str">
        <f t="shared" si="61"/>
        <v/>
      </c>
      <c r="P75" t="str">
        <f t="shared" si="62"/>
        <v/>
      </c>
      <c r="T75" s="605">
        <v>7</v>
      </c>
      <c r="U75">
        <f t="shared" si="50"/>
        <v>0</v>
      </c>
      <c r="V75">
        <f>IF(U75=0,0,1+MAX($D$69:V74))</f>
        <v>0</v>
      </c>
      <c r="W75">
        <f t="shared" si="63"/>
        <v>0</v>
      </c>
      <c r="X75" t="str">
        <f t="shared" si="64"/>
        <v/>
      </c>
      <c r="Y75" t="str">
        <f t="shared" si="65"/>
        <v/>
      </c>
      <c r="AC75" s="605">
        <v>7</v>
      </c>
      <c r="AD75">
        <f t="shared" si="51"/>
        <v>0</v>
      </c>
      <c r="AE75">
        <f>IF(AD75=0,0,1+MAX($D$69:AE74))</f>
        <v>0</v>
      </c>
      <c r="AF75">
        <f t="shared" si="66"/>
        <v>0</v>
      </c>
      <c r="AG75" t="str">
        <f t="shared" si="67"/>
        <v/>
      </c>
      <c r="AH75" t="str">
        <f t="shared" si="68"/>
        <v/>
      </c>
      <c r="AL75" s="605">
        <v>7</v>
      </c>
      <c r="AM75">
        <f t="shared" si="52"/>
        <v>0</v>
      </c>
      <c r="AN75">
        <f>IF(AM75=0,0,1+MAX($D$69:AN74))</f>
        <v>0</v>
      </c>
      <c r="AO75">
        <f t="shared" si="69"/>
        <v>0</v>
      </c>
      <c r="AP75" t="str">
        <f t="shared" si="70"/>
        <v/>
      </c>
      <c r="AQ75" t="str">
        <f t="shared" si="71"/>
        <v/>
      </c>
      <c r="AU75" s="605">
        <v>7</v>
      </c>
      <c r="AV75">
        <f t="shared" si="53"/>
        <v>0</v>
      </c>
      <c r="AW75">
        <f>IF(AV75=0,0,1+MAX($D$69:AW74))</f>
        <v>0</v>
      </c>
      <c r="AX75">
        <f t="shared" si="72"/>
        <v>0</v>
      </c>
      <c r="AY75" t="str">
        <f t="shared" si="73"/>
        <v/>
      </c>
      <c r="AZ75" t="str">
        <f t="shared" si="74"/>
        <v/>
      </c>
      <c r="BD75" s="605">
        <v>7</v>
      </c>
      <c r="BE75">
        <f t="shared" si="54"/>
        <v>0</v>
      </c>
      <c r="BF75">
        <f>IF(BE75=0,0,1+MAX($D$69:BF74))</f>
        <v>0</v>
      </c>
      <c r="BG75">
        <f t="shared" si="75"/>
        <v>0</v>
      </c>
      <c r="BH75" t="str">
        <f t="shared" si="76"/>
        <v/>
      </c>
      <c r="BI75" t="str">
        <f t="shared" si="77"/>
        <v/>
      </c>
      <c r="BM75" s="605">
        <v>7</v>
      </c>
      <c r="BN75">
        <f t="shared" si="55"/>
        <v>0</v>
      </c>
      <c r="BO75">
        <f>IF(BN75=0,0,1+MAX($D$69:BO74))</f>
        <v>0</v>
      </c>
      <c r="BP75">
        <f t="shared" si="78"/>
        <v>0</v>
      </c>
      <c r="BQ75" t="str">
        <f t="shared" si="79"/>
        <v/>
      </c>
      <c r="BR75" t="str">
        <f t="shared" si="80"/>
        <v/>
      </c>
      <c r="BV75" s="605">
        <v>7</v>
      </c>
      <c r="BW75">
        <f t="shared" si="56"/>
        <v>0</v>
      </c>
      <c r="BX75">
        <f>IF(BW75=0,0,1+MAX($D$69:BX74))</f>
        <v>0</v>
      </c>
      <c r="BY75">
        <f t="shared" si="81"/>
        <v>0</v>
      </c>
      <c r="BZ75" t="str">
        <f t="shared" si="82"/>
        <v/>
      </c>
      <c r="CA75" t="str">
        <f t="shared" si="83"/>
        <v/>
      </c>
      <c r="CE75" s="605"/>
      <c r="CN75" s="605"/>
    </row>
    <row r="76" spans="1:110" x14ac:dyDescent="0.25">
      <c r="B76" s="5">
        <v>8</v>
      </c>
      <c r="C76">
        <f t="shared" si="48"/>
        <v>0</v>
      </c>
      <c r="D76">
        <f>IF(C76=0,0,1+MAX($D$69:D75))</f>
        <v>0</v>
      </c>
      <c r="E76">
        <f t="shared" si="57"/>
        <v>0</v>
      </c>
      <c r="F76" t="str">
        <f t="shared" si="58"/>
        <v/>
      </c>
      <c r="G76" t="str">
        <f t="shared" si="59"/>
        <v/>
      </c>
      <c r="K76" s="605">
        <v>8</v>
      </c>
      <c r="L76">
        <f t="shared" si="49"/>
        <v>0</v>
      </c>
      <c r="M76">
        <f>IF(L76=0,0,1+MAX($D$69:M75))</f>
        <v>0</v>
      </c>
      <c r="N76">
        <f t="shared" si="60"/>
        <v>0</v>
      </c>
      <c r="O76" t="str">
        <f t="shared" si="61"/>
        <v/>
      </c>
      <c r="P76" t="str">
        <f t="shared" si="62"/>
        <v/>
      </c>
      <c r="T76" s="605">
        <v>8</v>
      </c>
      <c r="U76">
        <f t="shared" si="50"/>
        <v>0</v>
      </c>
      <c r="V76">
        <f>IF(U76=0,0,1+MAX($D$69:V75))</f>
        <v>0</v>
      </c>
      <c r="W76">
        <f t="shared" si="63"/>
        <v>0</v>
      </c>
      <c r="X76" t="str">
        <f t="shared" si="64"/>
        <v/>
      </c>
      <c r="Y76" t="str">
        <f t="shared" si="65"/>
        <v/>
      </c>
      <c r="AC76" s="605">
        <v>8</v>
      </c>
      <c r="AD76">
        <f t="shared" si="51"/>
        <v>0</v>
      </c>
      <c r="AE76">
        <f>IF(AD76=0,0,1+MAX($D$69:AE75))</f>
        <v>0</v>
      </c>
      <c r="AF76">
        <f t="shared" si="66"/>
        <v>0</v>
      </c>
      <c r="AG76" t="str">
        <f t="shared" si="67"/>
        <v/>
      </c>
      <c r="AH76" t="str">
        <f t="shared" si="68"/>
        <v/>
      </c>
      <c r="AL76" s="605">
        <v>8</v>
      </c>
      <c r="AM76">
        <f t="shared" si="52"/>
        <v>0</v>
      </c>
      <c r="AN76">
        <f>IF(AM76=0,0,1+MAX($D$69:AN75))</f>
        <v>0</v>
      </c>
      <c r="AO76">
        <f t="shared" si="69"/>
        <v>0</v>
      </c>
      <c r="AP76" t="str">
        <f t="shared" si="70"/>
        <v/>
      </c>
      <c r="AQ76" t="str">
        <f t="shared" si="71"/>
        <v/>
      </c>
      <c r="AU76" s="605">
        <v>8</v>
      </c>
      <c r="AV76">
        <f t="shared" si="53"/>
        <v>0</v>
      </c>
      <c r="AW76">
        <f>IF(AV76=0,0,1+MAX($D$69:AW75))</f>
        <v>0</v>
      </c>
      <c r="AX76">
        <f t="shared" si="72"/>
        <v>0</v>
      </c>
      <c r="AY76" t="str">
        <f t="shared" si="73"/>
        <v/>
      </c>
      <c r="AZ76" t="str">
        <f t="shared" si="74"/>
        <v/>
      </c>
      <c r="BD76" s="605">
        <v>8</v>
      </c>
      <c r="BE76">
        <f t="shared" si="54"/>
        <v>0</v>
      </c>
      <c r="BF76">
        <f>IF(BE76=0,0,1+MAX($D$69:BF75))</f>
        <v>0</v>
      </c>
      <c r="BG76">
        <f t="shared" si="75"/>
        <v>0</v>
      </c>
      <c r="BH76" t="str">
        <f t="shared" si="76"/>
        <v/>
      </c>
      <c r="BI76" t="str">
        <f t="shared" si="77"/>
        <v/>
      </c>
      <c r="BM76" s="605">
        <v>8</v>
      </c>
      <c r="BN76">
        <f t="shared" si="55"/>
        <v>0</v>
      </c>
      <c r="BO76">
        <f>IF(BN76=0,0,1+MAX($D$69:BO75))</f>
        <v>0</v>
      </c>
      <c r="BP76">
        <f t="shared" si="78"/>
        <v>0</v>
      </c>
      <c r="BQ76" t="str">
        <f t="shared" si="79"/>
        <v/>
      </c>
      <c r="BR76" t="str">
        <f t="shared" si="80"/>
        <v/>
      </c>
      <c r="BV76" s="605">
        <v>8</v>
      </c>
      <c r="BW76">
        <f t="shared" si="56"/>
        <v>0</v>
      </c>
      <c r="BX76">
        <f>IF(BW76=0,0,1+MAX($D$69:BX75))</f>
        <v>0</v>
      </c>
      <c r="BY76">
        <f t="shared" si="81"/>
        <v>0</v>
      </c>
      <c r="BZ76" t="str">
        <f t="shared" si="82"/>
        <v/>
      </c>
      <c r="CA76" t="str">
        <f t="shared" si="83"/>
        <v/>
      </c>
      <c r="CE76" s="605"/>
      <c r="CN76" s="605"/>
    </row>
    <row r="77" spans="1:110" x14ac:dyDescent="0.25">
      <c r="B77" s="5">
        <v>9</v>
      </c>
      <c r="C77">
        <f t="shared" si="48"/>
        <v>0</v>
      </c>
      <c r="D77">
        <f>IF(C77=0,0,1+MAX($D$69:D76))</f>
        <v>0</v>
      </c>
      <c r="E77">
        <f t="shared" si="57"/>
        <v>0</v>
      </c>
      <c r="F77" t="str">
        <f t="shared" si="58"/>
        <v/>
      </c>
      <c r="G77" t="str">
        <f t="shared" si="59"/>
        <v/>
      </c>
      <c r="K77" s="605">
        <v>9</v>
      </c>
      <c r="L77">
        <f t="shared" si="49"/>
        <v>0</v>
      </c>
      <c r="M77">
        <f>IF(L77=0,0,1+MAX($D$69:M76))</f>
        <v>0</v>
      </c>
      <c r="N77">
        <f t="shared" si="60"/>
        <v>0</v>
      </c>
      <c r="O77" t="str">
        <f t="shared" si="61"/>
        <v/>
      </c>
      <c r="P77" t="str">
        <f t="shared" si="62"/>
        <v/>
      </c>
      <c r="T77" s="605">
        <v>9</v>
      </c>
      <c r="U77">
        <f t="shared" si="50"/>
        <v>0</v>
      </c>
      <c r="V77">
        <f>IF(U77=0,0,1+MAX($D$69:V76))</f>
        <v>0</v>
      </c>
      <c r="W77">
        <f t="shared" si="63"/>
        <v>0</v>
      </c>
      <c r="X77" t="str">
        <f t="shared" si="64"/>
        <v/>
      </c>
      <c r="Y77" t="str">
        <f t="shared" si="65"/>
        <v/>
      </c>
      <c r="AC77" s="605">
        <v>9</v>
      </c>
      <c r="AD77">
        <f t="shared" si="51"/>
        <v>0</v>
      </c>
      <c r="AE77">
        <f>IF(AD77=0,0,1+MAX($D$69:AE76))</f>
        <v>0</v>
      </c>
      <c r="AF77">
        <f t="shared" si="66"/>
        <v>0</v>
      </c>
      <c r="AG77" t="str">
        <f t="shared" si="67"/>
        <v/>
      </c>
      <c r="AH77" t="str">
        <f t="shared" si="68"/>
        <v/>
      </c>
      <c r="AL77" s="605">
        <v>9</v>
      </c>
      <c r="AM77">
        <f t="shared" si="52"/>
        <v>0</v>
      </c>
      <c r="AN77">
        <f>IF(AM77=0,0,1+MAX($D$69:AN76))</f>
        <v>0</v>
      </c>
      <c r="AO77">
        <f t="shared" si="69"/>
        <v>0</v>
      </c>
      <c r="AP77" t="str">
        <f t="shared" si="70"/>
        <v/>
      </c>
      <c r="AQ77" t="str">
        <f t="shared" si="71"/>
        <v/>
      </c>
      <c r="AU77" s="605">
        <v>9</v>
      </c>
      <c r="AV77">
        <f t="shared" si="53"/>
        <v>0</v>
      </c>
      <c r="AW77">
        <f>IF(AV77=0,0,1+MAX($D$69:AW76))</f>
        <v>0</v>
      </c>
      <c r="AX77">
        <f t="shared" si="72"/>
        <v>0</v>
      </c>
      <c r="AY77" t="str">
        <f t="shared" si="73"/>
        <v/>
      </c>
      <c r="AZ77" t="str">
        <f t="shared" si="74"/>
        <v/>
      </c>
      <c r="BD77" s="605">
        <v>9</v>
      </c>
      <c r="BE77">
        <f t="shared" si="54"/>
        <v>0</v>
      </c>
      <c r="BF77">
        <f>IF(BE77=0,0,1+MAX($D$69:BF76))</f>
        <v>0</v>
      </c>
      <c r="BG77">
        <f t="shared" si="75"/>
        <v>0</v>
      </c>
      <c r="BH77" t="str">
        <f t="shared" si="76"/>
        <v/>
      </c>
      <c r="BI77" t="str">
        <f t="shared" si="77"/>
        <v/>
      </c>
      <c r="BM77" s="605">
        <v>9</v>
      </c>
      <c r="BN77">
        <f t="shared" si="55"/>
        <v>0</v>
      </c>
      <c r="BO77">
        <f>IF(BN77=0,0,1+MAX($D$69:BO76))</f>
        <v>0</v>
      </c>
      <c r="BP77">
        <f t="shared" si="78"/>
        <v>0</v>
      </c>
      <c r="BQ77" t="str">
        <f t="shared" si="79"/>
        <v/>
      </c>
      <c r="BR77" t="str">
        <f t="shared" si="80"/>
        <v/>
      </c>
      <c r="BV77" s="605">
        <v>9</v>
      </c>
      <c r="BW77">
        <f t="shared" si="56"/>
        <v>0</v>
      </c>
      <c r="BX77">
        <f>IF(BW77=0,0,1+MAX($D$69:BX76))</f>
        <v>0</v>
      </c>
      <c r="BY77">
        <f t="shared" si="81"/>
        <v>0</v>
      </c>
      <c r="BZ77" t="str">
        <f t="shared" si="82"/>
        <v/>
      </c>
      <c r="CA77" t="str">
        <f t="shared" si="83"/>
        <v/>
      </c>
      <c r="CE77" s="605"/>
      <c r="CN77" s="605"/>
    </row>
    <row r="78" spans="1:110" x14ac:dyDescent="0.25">
      <c r="B78" s="5">
        <v>10</v>
      </c>
      <c r="C78">
        <f t="shared" si="48"/>
        <v>0</v>
      </c>
      <c r="D78">
        <f>IF(C78=0,0,1+MAX($D$69:D77))</f>
        <v>0</v>
      </c>
      <c r="E78">
        <f t="shared" si="57"/>
        <v>0</v>
      </c>
      <c r="F78" t="str">
        <f t="shared" si="58"/>
        <v/>
      </c>
      <c r="G78" t="str">
        <f t="shared" si="59"/>
        <v/>
      </c>
      <c r="K78" s="605">
        <v>10</v>
      </c>
      <c r="L78">
        <f t="shared" si="49"/>
        <v>0</v>
      </c>
      <c r="M78">
        <f>IF(L78=0,0,1+MAX($D$69:M77))</f>
        <v>0</v>
      </c>
      <c r="N78">
        <f t="shared" si="60"/>
        <v>0</v>
      </c>
      <c r="O78" t="str">
        <f t="shared" si="61"/>
        <v/>
      </c>
      <c r="P78" t="str">
        <f t="shared" si="62"/>
        <v/>
      </c>
      <c r="T78" s="605">
        <v>10</v>
      </c>
      <c r="U78">
        <f t="shared" si="50"/>
        <v>0</v>
      </c>
      <c r="V78">
        <f>IF(U78=0,0,1+MAX($D$69:V77))</f>
        <v>0</v>
      </c>
      <c r="W78">
        <f t="shared" si="63"/>
        <v>0</v>
      </c>
      <c r="X78" t="str">
        <f t="shared" si="64"/>
        <v/>
      </c>
      <c r="Y78" t="str">
        <f t="shared" si="65"/>
        <v/>
      </c>
      <c r="AC78" s="605">
        <v>10</v>
      </c>
      <c r="AD78">
        <f t="shared" si="51"/>
        <v>0</v>
      </c>
      <c r="AE78">
        <f>IF(AD78=0,0,1+MAX($D$69:AE77))</f>
        <v>0</v>
      </c>
      <c r="AF78">
        <f t="shared" si="66"/>
        <v>0</v>
      </c>
      <c r="AG78" t="str">
        <f t="shared" si="67"/>
        <v/>
      </c>
      <c r="AH78" t="str">
        <f t="shared" si="68"/>
        <v/>
      </c>
      <c r="AL78" s="605">
        <v>10</v>
      </c>
      <c r="AM78">
        <f t="shared" si="52"/>
        <v>0</v>
      </c>
      <c r="AN78">
        <f>IF(AM78=0,0,1+MAX($D$69:AN77))</f>
        <v>0</v>
      </c>
      <c r="AO78">
        <f t="shared" si="69"/>
        <v>0</v>
      </c>
      <c r="AP78" t="str">
        <f t="shared" si="70"/>
        <v/>
      </c>
      <c r="AQ78" t="str">
        <f t="shared" si="71"/>
        <v/>
      </c>
      <c r="AU78" s="605">
        <v>10</v>
      </c>
      <c r="AV78">
        <f t="shared" si="53"/>
        <v>0</v>
      </c>
      <c r="AW78">
        <f>IF(AV78=0,0,1+MAX($D$69:AW77))</f>
        <v>0</v>
      </c>
      <c r="AX78">
        <f t="shared" si="72"/>
        <v>0</v>
      </c>
      <c r="AY78" t="str">
        <f t="shared" si="73"/>
        <v/>
      </c>
      <c r="AZ78" t="str">
        <f t="shared" si="74"/>
        <v/>
      </c>
      <c r="BD78" s="605">
        <v>10</v>
      </c>
      <c r="BE78">
        <f t="shared" si="54"/>
        <v>0</v>
      </c>
      <c r="BF78">
        <f>IF(BE78=0,0,1+MAX($D$69:BF77))</f>
        <v>0</v>
      </c>
      <c r="BG78">
        <f t="shared" si="75"/>
        <v>0</v>
      </c>
      <c r="BH78" t="str">
        <f t="shared" si="76"/>
        <v/>
      </c>
      <c r="BI78" t="str">
        <f t="shared" si="77"/>
        <v/>
      </c>
      <c r="BM78" s="605">
        <v>10</v>
      </c>
      <c r="BN78">
        <f t="shared" si="55"/>
        <v>0</v>
      </c>
      <c r="BO78">
        <f>IF(BN78=0,0,1+MAX($D$69:BO77))</f>
        <v>0</v>
      </c>
      <c r="BP78">
        <f t="shared" si="78"/>
        <v>0</v>
      </c>
      <c r="BQ78" t="str">
        <f t="shared" si="79"/>
        <v/>
      </c>
      <c r="BR78" t="str">
        <f t="shared" si="80"/>
        <v/>
      </c>
      <c r="BV78" s="605">
        <v>10</v>
      </c>
      <c r="BW78">
        <f t="shared" si="56"/>
        <v>0</v>
      </c>
      <c r="BX78">
        <f>IF(BW78=0,0,1+MAX($D$69:BX77))</f>
        <v>0</v>
      </c>
      <c r="BY78">
        <f t="shared" si="81"/>
        <v>0</v>
      </c>
      <c r="BZ78" t="str">
        <f t="shared" si="82"/>
        <v/>
      </c>
      <c r="CA78" t="str">
        <f t="shared" si="83"/>
        <v/>
      </c>
      <c r="CE78" s="605"/>
      <c r="CN78" s="605"/>
    </row>
    <row r="79" spans="1:110" x14ac:dyDescent="0.25">
      <c r="B79" s="5">
        <v>11</v>
      </c>
      <c r="C79">
        <f t="shared" si="48"/>
        <v>0</v>
      </c>
      <c r="D79">
        <f>IF(C79=0,0,1+MAX($D$69:D78))</f>
        <v>0</v>
      </c>
      <c r="E79">
        <f t="shared" si="57"/>
        <v>0</v>
      </c>
      <c r="F79" t="str">
        <f t="shared" si="58"/>
        <v/>
      </c>
      <c r="G79" t="str">
        <f t="shared" si="59"/>
        <v/>
      </c>
      <c r="K79" s="605">
        <v>11</v>
      </c>
      <c r="L79">
        <f t="shared" si="49"/>
        <v>0</v>
      </c>
      <c r="M79">
        <f>IF(L79=0,0,1+MAX($D$69:M78))</f>
        <v>0</v>
      </c>
      <c r="N79">
        <f t="shared" si="60"/>
        <v>0</v>
      </c>
      <c r="O79" t="str">
        <f t="shared" si="61"/>
        <v/>
      </c>
      <c r="P79" t="str">
        <f t="shared" si="62"/>
        <v/>
      </c>
      <c r="T79" s="605">
        <v>11</v>
      </c>
      <c r="U79">
        <f t="shared" si="50"/>
        <v>0</v>
      </c>
      <c r="V79">
        <f>IF(U79=0,0,1+MAX($D$69:V78))</f>
        <v>0</v>
      </c>
      <c r="W79">
        <f t="shared" si="63"/>
        <v>0</v>
      </c>
      <c r="X79" t="str">
        <f t="shared" si="64"/>
        <v/>
      </c>
      <c r="Y79" t="str">
        <f t="shared" si="65"/>
        <v/>
      </c>
      <c r="AC79" s="605">
        <v>11</v>
      </c>
      <c r="AD79">
        <f t="shared" si="51"/>
        <v>0</v>
      </c>
      <c r="AE79">
        <f>IF(AD79=0,0,1+MAX($D$69:AE78))</f>
        <v>0</v>
      </c>
      <c r="AF79">
        <f t="shared" si="66"/>
        <v>0</v>
      </c>
      <c r="AG79" t="str">
        <f t="shared" si="67"/>
        <v/>
      </c>
      <c r="AH79" t="str">
        <f t="shared" si="68"/>
        <v/>
      </c>
      <c r="AL79" s="605">
        <v>11</v>
      </c>
      <c r="AM79">
        <f t="shared" si="52"/>
        <v>0</v>
      </c>
      <c r="AN79">
        <f>IF(AM79=0,0,1+MAX($D$69:AN78))</f>
        <v>0</v>
      </c>
      <c r="AO79">
        <f t="shared" si="69"/>
        <v>0</v>
      </c>
      <c r="AP79" t="str">
        <f t="shared" si="70"/>
        <v/>
      </c>
      <c r="AQ79" t="str">
        <f t="shared" si="71"/>
        <v/>
      </c>
      <c r="AU79" s="605">
        <v>11</v>
      </c>
      <c r="AV79">
        <f t="shared" si="53"/>
        <v>0</v>
      </c>
      <c r="AW79">
        <f>IF(AV79=0,0,1+MAX($D$69:AW78))</f>
        <v>0</v>
      </c>
      <c r="AX79">
        <f t="shared" si="72"/>
        <v>0</v>
      </c>
      <c r="AY79" t="str">
        <f t="shared" si="73"/>
        <v/>
      </c>
      <c r="AZ79" t="str">
        <f t="shared" si="74"/>
        <v/>
      </c>
      <c r="BD79" s="605">
        <v>11</v>
      </c>
      <c r="BE79">
        <f t="shared" si="54"/>
        <v>0</v>
      </c>
      <c r="BF79">
        <f>IF(BE79=0,0,1+MAX($D$69:BF78))</f>
        <v>0</v>
      </c>
      <c r="BG79">
        <f t="shared" si="75"/>
        <v>0</v>
      </c>
      <c r="BH79" t="str">
        <f t="shared" si="76"/>
        <v/>
      </c>
      <c r="BI79" t="str">
        <f t="shared" si="77"/>
        <v/>
      </c>
      <c r="BM79" s="605">
        <v>11</v>
      </c>
      <c r="BN79">
        <f t="shared" si="55"/>
        <v>0</v>
      </c>
      <c r="BO79">
        <f>IF(BN79=0,0,1+MAX($D$69:BO78))</f>
        <v>0</v>
      </c>
      <c r="BP79">
        <f t="shared" si="78"/>
        <v>0</v>
      </c>
      <c r="BQ79" t="str">
        <f t="shared" si="79"/>
        <v/>
      </c>
      <c r="BR79" t="str">
        <f t="shared" si="80"/>
        <v/>
      </c>
      <c r="BV79" s="605">
        <v>11</v>
      </c>
      <c r="BW79">
        <f t="shared" si="56"/>
        <v>0</v>
      </c>
      <c r="BX79">
        <f>IF(BW79=0,0,1+MAX($D$69:BX78))</f>
        <v>0</v>
      </c>
      <c r="BY79">
        <f t="shared" si="81"/>
        <v>0</v>
      </c>
      <c r="BZ79" t="str">
        <f t="shared" si="82"/>
        <v/>
      </c>
      <c r="CA79" t="str">
        <f t="shared" si="83"/>
        <v/>
      </c>
      <c r="CE79" s="605"/>
      <c r="CN79" s="605"/>
    </row>
    <row r="80" spans="1:110" x14ac:dyDescent="0.25">
      <c r="B80" s="5">
        <v>12</v>
      </c>
      <c r="C80">
        <f t="shared" si="48"/>
        <v>0</v>
      </c>
      <c r="D80">
        <f>IF(C80=0,0,1+MAX($D$69:D79))</f>
        <v>0</v>
      </c>
      <c r="E80">
        <f t="shared" si="57"/>
        <v>0</v>
      </c>
      <c r="F80" t="str">
        <f t="shared" si="58"/>
        <v/>
      </c>
      <c r="G80" t="str">
        <f t="shared" si="59"/>
        <v/>
      </c>
      <c r="K80" s="605">
        <v>12</v>
      </c>
      <c r="L80">
        <f t="shared" si="49"/>
        <v>0</v>
      </c>
      <c r="M80">
        <f>IF(L80=0,0,1+MAX($D$69:M79))</f>
        <v>0</v>
      </c>
      <c r="N80">
        <f t="shared" si="60"/>
        <v>0</v>
      </c>
      <c r="O80" t="str">
        <f t="shared" si="61"/>
        <v/>
      </c>
      <c r="P80" t="str">
        <f t="shared" si="62"/>
        <v/>
      </c>
      <c r="T80" s="605">
        <v>12</v>
      </c>
      <c r="U80">
        <f t="shared" si="50"/>
        <v>0</v>
      </c>
      <c r="V80">
        <f>IF(U80=0,0,1+MAX($D$69:V79))</f>
        <v>0</v>
      </c>
      <c r="W80">
        <f t="shared" si="63"/>
        <v>0</v>
      </c>
      <c r="X80" t="str">
        <f t="shared" si="64"/>
        <v/>
      </c>
      <c r="Y80" t="str">
        <f t="shared" si="65"/>
        <v/>
      </c>
      <c r="AC80" s="605">
        <v>12</v>
      </c>
      <c r="AD80">
        <f t="shared" si="51"/>
        <v>0</v>
      </c>
      <c r="AE80">
        <f>IF(AD80=0,0,1+MAX($D$69:AE79))</f>
        <v>0</v>
      </c>
      <c r="AF80">
        <f t="shared" si="66"/>
        <v>0</v>
      </c>
      <c r="AG80" t="str">
        <f t="shared" si="67"/>
        <v/>
      </c>
      <c r="AH80" t="str">
        <f t="shared" si="68"/>
        <v/>
      </c>
      <c r="AL80" s="605">
        <v>12</v>
      </c>
      <c r="AM80">
        <f t="shared" si="52"/>
        <v>0</v>
      </c>
      <c r="AN80">
        <f>IF(AM80=0,0,1+MAX($D$69:AN79))</f>
        <v>0</v>
      </c>
      <c r="AO80">
        <f t="shared" si="69"/>
        <v>0</v>
      </c>
      <c r="AP80" t="str">
        <f t="shared" si="70"/>
        <v/>
      </c>
      <c r="AQ80" t="str">
        <f t="shared" si="71"/>
        <v/>
      </c>
      <c r="AU80" s="605">
        <v>12</v>
      </c>
      <c r="AV80">
        <f t="shared" si="53"/>
        <v>0</v>
      </c>
      <c r="AW80">
        <f>IF(AV80=0,0,1+MAX($D$69:AW79))</f>
        <v>0</v>
      </c>
      <c r="AX80">
        <f t="shared" si="72"/>
        <v>0</v>
      </c>
      <c r="AY80" t="str">
        <f t="shared" si="73"/>
        <v/>
      </c>
      <c r="AZ80" t="str">
        <f t="shared" si="74"/>
        <v/>
      </c>
      <c r="BD80" s="605">
        <v>12</v>
      </c>
      <c r="BE80">
        <f t="shared" si="54"/>
        <v>0</v>
      </c>
      <c r="BF80">
        <f>IF(BE80=0,0,1+MAX($D$69:BF79))</f>
        <v>0</v>
      </c>
      <c r="BG80">
        <f t="shared" si="75"/>
        <v>0</v>
      </c>
      <c r="BH80" t="str">
        <f t="shared" si="76"/>
        <v/>
      </c>
      <c r="BI80" t="str">
        <f t="shared" si="77"/>
        <v/>
      </c>
      <c r="BM80" s="605">
        <v>12</v>
      </c>
      <c r="BN80">
        <f t="shared" si="55"/>
        <v>0</v>
      </c>
      <c r="BO80">
        <f>IF(BN80=0,0,1+MAX($D$69:BO79))</f>
        <v>0</v>
      </c>
      <c r="BP80">
        <f t="shared" si="78"/>
        <v>0</v>
      </c>
      <c r="BQ80" t="str">
        <f t="shared" si="79"/>
        <v/>
      </c>
      <c r="BR80" t="str">
        <f t="shared" si="80"/>
        <v/>
      </c>
      <c r="BV80" s="605">
        <v>12</v>
      </c>
      <c r="BW80">
        <f t="shared" si="56"/>
        <v>0</v>
      </c>
      <c r="BX80">
        <f>IF(BW80=0,0,1+MAX($D$69:BX79))</f>
        <v>0</v>
      </c>
      <c r="BY80">
        <f t="shared" si="81"/>
        <v>0</v>
      </c>
      <c r="BZ80" t="str">
        <f t="shared" si="82"/>
        <v/>
      </c>
      <c r="CA80" t="str">
        <f t="shared" si="83"/>
        <v/>
      </c>
      <c r="CE80" s="605"/>
      <c r="CN80" s="605"/>
    </row>
    <row r="81" spans="2:92" x14ac:dyDescent="0.25">
      <c r="B81" s="5">
        <v>13</v>
      </c>
      <c r="C81">
        <f t="shared" si="48"/>
        <v>0</v>
      </c>
      <c r="D81">
        <f>IF(C81=0,0,1+MAX($D$69:D80))</f>
        <v>0</v>
      </c>
      <c r="E81">
        <f t="shared" si="57"/>
        <v>0</v>
      </c>
      <c r="F81" t="str">
        <f t="shared" si="58"/>
        <v/>
      </c>
      <c r="G81" t="str">
        <f t="shared" si="59"/>
        <v/>
      </c>
      <c r="K81" s="605">
        <v>13</v>
      </c>
      <c r="L81">
        <f t="shared" si="49"/>
        <v>0</v>
      </c>
      <c r="M81">
        <f>IF(L81=0,0,1+MAX($D$69:M80))</f>
        <v>0</v>
      </c>
      <c r="N81">
        <f t="shared" si="60"/>
        <v>0</v>
      </c>
      <c r="O81" t="str">
        <f t="shared" si="61"/>
        <v/>
      </c>
      <c r="P81" t="str">
        <f t="shared" si="62"/>
        <v/>
      </c>
      <c r="T81" s="605">
        <v>13</v>
      </c>
      <c r="U81">
        <f t="shared" si="50"/>
        <v>0</v>
      </c>
      <c r="V81">
        <f>IF(U81=0,0,1+MAX($D$69:V80))</f>
        <v>0</v>
      </c>
      <c r="W81">
        <f t="shared" si="63"/>
        <v>0</v>
      </c>
      <c r="X81" t="str">
        <f t="shared" si="64"/>
        <v/>
      </c>
      <c r="Y81" t="str">
        <f t="shared" si="65"/>
        <v/>
      </c>
      <c r="AC81" s="605">
        <v>13</v>
      </c>
      <c r="AD81">
        <f t="shared" si="51"/>
        <v>0</v>
      </c>
      <c r="AE81">
        <f>IF(AD81=0,0,1+MAX($D$69:AE80))</f>
        <v>0</v>
      </c>
      <c r="AF81">
        <f t="shared" si="66"/>
        <v>0</v>
      </c>
      <c r="AG81" t="str">
        <f t="shared" si="67"/>
        <v/>
      </c>
      <c r="AH81" t="str">
        <f t="shared" si="68"/>
        <v/>
      </c>
      <c r="AL81" s="605">
        <v>13</v>
      </c>
      <c r="AM81">
        <f t="shared" si="52"/>
        <v>0</v>
      </c>
      <c r="AN81">
        <f>IF(AM81=0,0,1+MAX($D$69:AN80))</f>
        <v>0</v>
      </c>
      <c r="AO81">
        <f t="shared" si="69"/>
        <v>0</v>
      </c>
      <c r="AP81" t="str">
        <f t="shared" si="70"/>
        <v/>
      </c>
      <c r="AQ81" t="str">
        <f t="shared" si="71"/>
        <v/>
      </c>
      <c r="AU81" s="605">
        <v>13</v>
      </c>
      <c r="AV81">
        <f t="shared" si="53"/>
        <v>0</v>
      </c>
      <c r="AW81">
        <f>IF(AV81=0,0,1+MAX($D$69:AW80))</f>
        <v>0</v>
      </c>
      <c r="AX81">
        <f t="shared" si="72"/>
        <v>0</v>
      </c>
      <c r="AY81" t="str">
        <f t="shared" si="73"/>
        <v/>
      </c>
      <c r="AZ81" t="str">
        <f t="shared" si="74"/>
        <v/>
      </c>
      <c r="BD81" s="605">
        <v>13</v>
      </c>
      <c r="BE81">
        <f t="shared" si="54"/>
        <v>0</v>
      </c>
      <c r="BF81">
        <f>IF(BE81=0,0,1+MAX($D$69:BF80))</f>
        <v>0</v>
      </c>
      <c r="BG81">
        <f t="shared" si="75"/>
        <v>0</v>
      </c>
      <c r="BH81" t="str">
        <f t="shared" si="76"/>
        <v/>
      </c>
      <c r="BI81" t="str">
        <f t="shared" si="77"/>
        <v/>
      </c>
      <c r="BM81" s="605">
        <v>13</v>
      </c>
      <c r="BN81">
        <f t="shared" si="55"/>
        <v>0</v>
      </c>
      <c r="BO81">
        <f>IF(BN81=0,0,1+MAX($D$69:BO80))</f>
        <v>0</v>
      </c>
      <c r="BP81">
        <f t="shared" si="78"/>
        <v>0</v>
      </c>
      <c r="BQ81" t="str">
        <f t="shared" si="79"/>
        <v/>
      </c>
      <c r="BR81" t="str">
        <f t="shared" si="80"/>
        <v/>
      </c>
      <c r="BV81" s="605">
        <v>13</v>
      </c>
      <c r="BW81">
        <f t="shared" si="56"/>
        <v>0</v>
      </c>
      <c r="BX81">
        <f>IF(BW81=0,0,1+MAX($D$69:BX80))</f>
        <v>0</v>
      </c>
      <c r="BY81">
        <f t="shared" si="81"/>
        <v>0</v>
      </c>
      <c r="BZ81" t="str">
        <f t="shared" si="82"/>
        <v/>
      </c>
      <c r="CA81" t="str">
        <f t="shared" si="83"/>
        <v/>
      </c>
      <c r="CE81" s="605"/>
      <c r="CN81" s="605"/>
    </row>
    <row r="82" spans="2:92" x14ac:dyDescent="0.25">
      <c r="B82" s="5">
        <v>14</v>
      </c>
      <c r="C82">
        <f t="shared" si="48"/>
        <v>0</v>
      </c>
      <c r="D82">
        <f>IF(C82=0,0,1+MAX($D$69:D81))</f>
        <v>0</v>
      </c>
      <c r="E82">
        <f t="shared" si="57"/>
        <v>0</v>
      </c>
      <c r="F82" t="str">
        <f t="shared" si="58"/>
        <v/>
      </c>
      <c r="G82" t="str">
        <f t="shared" si="59"/>
        <v/>
      </c>
      <c r="K82" s="605">
        <v>14</v>
      </c>
      <c r="L82">
        <f t="shared" si="49"/>
        <v>0</v>
      </c>
      <c r="M82">
        <f>IF(L82=0,0,1+MAX($D$69:M81))</f>
        <v>0</v>
      </c>
      <c r="N82">
        <f t="shared" si="60"/>
        <v>0</v>
      </c>
      <c r="O82" t="str">
        <f t="shared" si="61"/>
        <v/>
      </c>
      <c r="P82" t="str">
        <f t="shared" si="62"/>
        <v/>
      </c>
      <c r="T82" s="605">
        <v>14</v>
      </c>
      <c r="U82">
        <f t="shared" si="50"/>
        <v>0</v>
      </c>
      <c r="V82">
        <f>IF(U82=0,0,1+MAX($D$69:V81))</f>
        <v>0</v>
      </c>
      <c r="W82">
        <f t="shared" si="63"/>
        <v>0</v>
      </c>
      <c r="X82" t="str">
        <f t="shared" si="64"/>
        <v/>
      </c>
      <c r="Y82" t="str">
        <f t="shared" si="65"/>
        <v/>
      </c>
      <c r="AC82" s="605">
        <v>14</v>
      </c>
      <c r="AD82">
        <f t="shared" si="51"/>
        <v>0</v>
      </c>
      <c r="AE82">
        <f>IF(AD82=0,0,1+MAX($D$69:AE81))</f>
        <v>0</v>
      </c>
      <c r="AF82">
        <f t="shared" si="66"/>
        <v>0</v>
      </c>
      <c r="AG82" t="str">
        <f t="shared" si="67"/>
        <v/>
      </c>
      <c r="AH82" t="str">
        <f t="shared" si="68"/>
        <v/>
      </c>
      <c r="AL82" s="605">
        <v>14</v>
      </c>
      <c r="AM82">
        <f t="shared" si="52"/>
        <v>0</v>
      </c>
      <c r="AN82">
        <f>IF(AM82=0,0,1+MAX($D$69:AN81))</f>
        <v>0</v>
      </c>
      <c r="AO82">
        <f t="shared" si="69"/>
        <v>0</v>
      </c>
      <c r="AP82" t="str">
        <f t="shared" si="70"/>
        <v/>
      </c>
      <c r="AQ82" t="str">
        <f t="shared" si="71"/>
        <v/>
      </c>
      <c r="AU82" s="605">
        <v>14</v>
      </c>
      <c r="AV82">
        <f t="shared" si="53"/>
        <v>0</v>
      </c>
      <c r="AW82">
        <f>IF(AV82=0,0,1+MAX($D$69:AW81))</f>
        <v>0</v>
      </c>
      <c r="AX82">
        <f t="shared" si="72"/>
        <v>0</v>
      </c>
      <c r="AY82" t="str">
        <f t="shared" si="73"/>
        <v/>
      </c>
      <c r="AZ82" t="str">
        <f t="shared" si="74"/>
        <v/>
      </c>
      <c r="BD82" s="605">
        <v>14</v>
      </c>
      <c r="BE82">
        <f t="shared" si="54"/>
        <v>0</v>
      </c>
      <c r="BF82">
        <f>IF(BE82=0,0,1+MAX($D$69:BF81))</f>
        <v>0</v>
      </c>
      <c r="BG82">
        <f t="shared" si="75"/>
        <v>0</v>
      </c>
      <c r="BH82" t="str">
        <f t="shared" si="76"/>
        <v/>
      </c>
      <c r="BI82" t="str">
        <f t="shared" si="77"/>
        <v/>
      </c>
      <c r="BM82" s="605">
        <v>14</v>
      </c>
      <c r="BN82">
        <f t="shared" si="55"/>
        <v>0</v>
      </c>
      <c r="BO82">
        <f>IF(BN82=0,0,1+MAX($D$69:BO81))</f>
        <v>0</v>
      </c>
      <c r="BP82">
        <f t="shared" si="78"/>
        <v>0</v>
      </c>
      <c r="BQ82" t="str">
        <f t="shared" si="79"/>
        <v/>
      </c>
      <c r="BR82" t="str">
        <f t="shared" si="80"/>
        <v/>
      </c>
      <c r="BV82" s="605">
        <v>14</v>
      </c>
      <c r="BW82">
        <f t="shared" si="56"/>
        <v>0</v>
      </c>
      <c r="BX82">
        <f>IF(BW82=0,0,1+MAX($D$69:BX81))</f>
        <v>0</v>
      </c>
      <c r="BY82">
        <f t="shared" si="81"/>
        <v>0</v>
      </c>
      <c r="BZ82" t="str">
        <f t="shared" si="82"/>
        <v/>
      </c>
      <c r="CA82" t="str">
        <f t="shared" si="83"/>
        <v/>
      </c>
      <c r="CE82" s="605"/>
      <c r="CN82" s="605"/>
    </row>
    <row r="83" spans="2:92" x14ac:dyDescent="0.25">
      <c r="B83" s="5">
        <v>15</v>
      </c>
      <c r="C83">
        <f t="shared" si="48"/>
        <v>0</v>
      </c>
      <c r="D83">
        <f>IF(C83=0,0,1+MAX($D$69:D82))</f>
        <v>0</v>
      </c>
      <c r="E83">
        <f t="shared" si="57"/>
        <v>0</v>
      </c>
      <c r="F83" t="str">
        <f t="shared" si="58"/>
        <v/>
      </c>
      <c r="G83" t="str">
        <f t="shared" si="59"/>
        <v/>
      </c>
      <c r="K83" s="605">
        <v>15</v>
      </c>
      <c r="L83">
        <f t="shared" si="49"/>
        <v>0</v>
      </c>
      <c r="M83">
        <f>IF(L83=0,0,1+MAX($D$69:M82))</f>
        <v>0</v>
      </c>
      <c r="N83">
        <f t="shared" si="60"/>
        <v>0</v>
      </c>
      <c r="O83" t="str">
        <f t="shared" si="61"/>
        <v/>
      </c>
      <c r="P83" t="str">
        <f t="shared" si="62"/>
        <v/>
      </c>
      <c r="T83" s="605">
        <v>15</v>
      </c>
      <c r="U83">
        <f t="shared" si="50"/>
        <v>0</v>
      </c>
      <c r="V83">
        <f>IF(U83=0,0,1+MAX($D$69:V82))</f>
        <v>0</v>
      </c>
      <c r="W83">
        <f t="shared" si="63"/>
        <v>0</v>
      </c>
      <c r="X83" t="str">
        <f t="shared" si="64"/>
        <v/>
      </c>
      <c r="Y83" t="str">
        <f t="shared" si="65"/>
        <v/>
      </c>
      <c r="AC83" s="605">
        <v>15</v>
      </c>
      <c r="AD83">
        <f t="shared" si="51"/>
        <v>0</v>
      </c>
      <c r="AE83">
        <f>IF(AD83=0,0,1+MAX($D$69:AE82))</f>
        <v>0</v>
      </c>
      <c r="AF83">
        <f t="shared" si="66"/>
        <v>0</v>
      </c>
      <c r="AG83" t="str">
        <f t="shared" si="67"/>
        <v/>
      </c>
      <c r="AH83" t="str">
        <f t="shared" si="68"/>
        <v/>
      </c>
      <c r="AL83" s="605">
        <v>15</v>
      </c>
      <c r="AM83">
        <f t="shared" si="52"/>
        <v>0</v>
      </c>
      <c r="AN83">
        <f>IF(AM83=0,0,1+MAX($D$69:AN82))</f>
        <v>0</v>
      </c>
      <c r="AO83">
        <f t="shared" si="69"/>
        <v>0</v>
      </c>
      <c r="AP83" t="str">
        <f t="shared" si="70"/>
        <v/>
      </c>
      <c r="AQ83" t="str">
        <f t="shared" si="71"/>
        <v/>
      </c>
      <c r="AU83" s="605">
        <v>15</v>
      </c>
      <c r="AV83">
        <f t="shared" si="53"/>
        <v>0</v>
      </c>
      <c r="AW83">
        <f>IF(AV83=0,0,1+MAX($D$69:AW82))</f>
        <v>0</v>
      </c>
      <c r="AX83">
        <f t="shared" si="72"/>
        <v>0</v>
      </c>
      <c r="AY83" t="str">
        <f t="shared" si="73"/>
        <v/>
      </c>
      <c r="AZ83" t="str">
        <f t="shared" si="74"/>
        <v/>
      </c>
      <c r="BD83" s="605">
        <v>15</v>
      </c>
      <c r="BE83">
        <f t="shared" si="54"/>
        <v>0</v>
      </c>
      <c r="BF83">
        <f>IF(BE83=0,0,1+MAX($D$69:BF82))</f>
        <v>0</v>
      </c>
      <c r="BG83">
        <f t="shared" si="75"/>
        <v>0</v>
      </c>
      <c r="BH83" t="str">
        <f t="shared" si="76"/>
        <v/>
      </c>
      <c r="BI83" t="str">
        <f t="shared" si="77"/>
        <v/>
      </c>
      <c r="BM83" s="605">
        <v>15</v>
      </c>
      <c r="BN83">
        <f t="shared" si="55"/>
        <v>0</v>
      </c>
      <c r="BO83">
        <f>IF(BN83=0,0,1+MAX($D$69:BO82))</f>
        <v>0</v>
      </c>
      <c r="BP83">
        <f t="shared" si="78"/>
        <v>0</v>
      </c>
      <c r="BQ83" t="str">
        <f t="shared" si="79"/>
        <v/>
      </c>
      <c r="BR83" t="str">
        <f t="shared" si="80"/>
        <v/>
      </c>
      <c r="BV83" s="605">
        <v>15</v>
      </c>
      <c r="BW83">
        <f t="shared" si="56"/>
        <v>0</v>
      </c>
      <c r="BX83">
        <f>IF(BW83=0,0,1+MAX($D$69:BX82))</f>
        <v>0</v>
      </c>
      <c r="BY83">
        <f t="shared" si="81"/>
        <v>0</v>
      </c>
      <c r="BZ83" t="str">
        <f t="shared" si="82"/>
        <v/>
      </c>
      <c r="CA83" t="str">
        <f t="shared" si="83"/>
        <v/>
      </c>
      <c r="CE83" s="605"/>
      <c r="CN83" s="605"/>
    </row>
    <row r="84" spans="2:92" x14ac:dyDescent="0.25">
      <c r="B84" s="5">
        <v>16</v>
      </c>
      <c r="C84">
        <f t="shared" si="48"/>
        <v>0</v>
      </c>
      <c r="D84">
        <f>IF(C84=0,0,1+MAX($D$69:D83))</f>
        <v>0</v>
      </c>
      <c r="E84">
        <f t="shared" si="57"/>
        <v>0</v>
      </c>
      <c r="F84" t="str">
        <f t="shared" si="58"/>
        <v/>
      </c>
      <c r="G84" t="str">
        <f t="shared" si="59"/>
        <v/>
      </c>
      <c r="K84" s="605">
        <v>16</v>
      </c>
      <c r="L84">
        <f t="shared" si="49"/>
        <v>0</v>
      </c>
      <c r="M84">
        <f>IF(L84=0,0,1+MAX($D$69:M83))</f>
        <v>0</v>
      </c>
      <c r="N84">
        <f t="shared" si="60"/>
        <v>0</v>
      </c>
      <c r="O84" t="str">
        <f t="shared" si="61"/>
        <v/>
      </c>
      <c r="P84" t="str">
        <f t="shared" si="62"/>
        <v/>
      </c>
      <c r="T84" s="605">
        <v>16</v>
      </c>
      <c r="U84">
        <f t="shared" si="50"/>
        <v>0</v>
      </c>
      <c r="V84">
        <f>IF(U84=0,0,1+MAX($D$69:V83))</f>
        <v>0</v>
      </c>
      <c r="W84">
        <f t="shared" si="63"/>
        <v>0</v>
      </c>
      <c r="X84" t="str">
        <f t="shared" si="64"/>
        <v/>
      </c>
      <c r="Y84" t="str">
        <f t="shared" si="65"/>
        <v/>
      </c>
      <c r="AC84" s="605">
        <v>16</v>
      </c>
      <c r="AD84">
        <f t="shared" si="51"/>
        <v>0</v>
      </c>
      <c r="AE84">
        <f>IF(AD84=0,0,1+MAX($D$69:AE83))</f>
        <v>0</v>
      </c>
      <c r="AF84">
        <f t="shared" si="66"/>
        <v>0</v>
      </c>
      <c r="AG84" t="str">
        <f t="shared" si="67"/>
        <v/>
      </c>
      <c r="AH84" t="str">
        <f t="shared" si="68"/>
        <v/>
      </c>
      <c r="AL84" s="605">
        <v>16</v>
      </c>
      <c r="AM84">
        <f t="shared" si="52"/>
        <v>0</v>
      </c>
      <c r="AN84">
        <f>IF(AM84=0,0,1+MAX($D$69:AN83))</f>
        <v>0</v>
      </c>
      <c r="AO84">
        <f t="shared" si="69"/>
        <v>0</v>
      </c>
      <c r="AP84" t="str">
        <f t="shared" si="70"/>
        <v/>
      </c>
      <c r="AQ84" t="str">
        <f t="shared" si="71"/>
        <v/>
      </c>
      <c r="AU84" s="605">
        <v>16</v>
      </c>
      <c r="AV84">
        <f t="shared" si="53"/>
        <v>0</v>
      </c>
      <c r="AW84">
        <f>IF(AV84=0,0,1+MAX($D$69:AW83))</f>
        <v>0</v>
      </c>
      <c r="AX84">
        <f t="shared" si="72"/>
        <v>0</v>
      </c>
      <c r="AY84" t="str">
        <f t="shared" si="73"/>
        <v/>
      </c>
      <c r="AZ84" t="str">
        <f t="shared" si="74"/>
        <v/>
      </c>
      <c r="BD84" s="605">
        <v>16</v>
      </c>
      <c r="BE84">
        <f t="shared" si="54"/>
        <v>0</v>
      </c>
      <c r="BF84">
        <f>IF(BE84=0,0,1+MAX($D$69:BF83))</f>
        <v>0</v>
      </c>
      <c r="BG84">
        <f t="shared" si="75"/>
        <v>0</v>
      </c>
      <c r="BH84" t="str">
        <f t="shared" si="76"/>
        <v/>
      </c>
      <c r="BI84" t="str">
        <f t="shared" si="77"/>
        <v/>
      </c>
      <c r="BM84" s="605">
        <v>16</v>
      </c>
      <c r="BN84">
        <f t="shared" si="55"/>
        <v>0</v>
      </c>
      <c r="BO84">
        <f>IF(BN84=0,0,1+MAX($D$69:BO83))</f>
        <v>0</v>
      </c>
      <c r="BP84">
        <f t="shared" si="78"/>
        <v>0</v>
      </c>
      <c r="BQ84" t="str">
        <f t="shared" si="79"/>
        <v/>
      </c>
      <c r="BR84" t="str">
        <f t="shared" si="80"/>
        <v/>
      </c>
      <c r="BV84" s="605">
        <v>16</v>
      </c>
      <c r="BW84">
        <f t="shared" si="56"/>
        <v>0</v>
      </c>
      <c r="BX84">
        <f>IF(BW84=0,0,1+MAX($D$69:BX83))</f>
        <v>0</v>
      </c>
      <c r="BY84">
        <f t="shared" si="81"/>
        <v>0</v>
      </c>
      <c r="BZ84" t="str">
        <f t="shared" si="82"/>
        <v/>
      </c>
      <c r="CA84" t="str">
        <f t="shared" si="83"/>
        <v/>
      </c>
      <c r="CE84" s="605"/>
      <c r="CN84" s="605"/>
    </row>
    <row r="85" spans="2:92" x14ac:dyDescent="0.25">
      <c r="B85" s="5">
        <v>17</v>
      </c>
      <c r="C85">
        <f t="shared" si="48"/>
        <v>0</v>
      </c>
      <c r="D85">
        <f>IF(C85=0,0,1+MAX($D$69:D84))</f>
        <v>0</v>
      </c>
      <c r="E85">
        <f t="shared" si="57"/>
        <v>0</v>
      </c>
      <c r="F85" t="str">
        <f t="shared" si="58"/>
        <v/>
      </c>
      <c r="G85" t="str">
        <f t="shared" si="59"/>
        <v/>
      </c>
      <c r="K85" s="605">
        <v>17</v>
      </c>
      <c r="L85">
        <f t="shared" si="49"/>
        <v>0</v>
      </c>
      <c r="M85">
        <f>IF(L85=0,0,1+MAX($D$69:M84))</f>
        <v>0</v>
      </c>
      <c r="N85">
        <f t="shared" si="60"/>
        <v>0</v>
      </c>
      <c r="O85" t="str">
        <f t="shared" si="61"/>
        <v/>
      </c>
      <c r="P85" t="str">
        <f t="shared" si="62"/>
        <v/>
      </c>
      <c r="T85" s="605">
        <v>17</v>
      </c>
      <c r="U85">
        <f t="shared" si="50"/>
        <v>0</v>
      </c>
      <c r="V85">
        <f>IF(U85=0,0,1+MAX($D$69:V84))</f>
        <v>0</v>
      </c>
      <c r="W85">
        <f t="shared" si="63"/>
        <v>0</v>
      </c>
      <c r="X85" t="str">
        <f t="shared" si="64"/>
        <v/>
      </c>
      <c r="Y85" t="str">
        <f t="shared" si="65"/>
        <v/>
      </c>
      <c r="AC85" s="605">
        <v>17</v>
      </c>
      <c r="AD85">
        <f t="shared" si="51"/>
        <v>0</v>
      </c>
      <c r="AE85">
        <f>IF(AD85=0,0,1+MAX($D$69:AE84))</f>
        <v>0</v>
      </c>
      <c r="AF85">
        <f t="shared" si="66"/>
        <v>0</v>
      </c>
      <c r="AG85" t="str">
        <f t="shared" si="67"/>
        <v/>
      </c>
      <c r="AH85" t="str">
        <f t="shared" si="68"/>
        <v/>
      </c>
      <c r="AL85" s="605">
        <v>17</v>
      </c>
      <c r="AM85">
        <f t="shared" si="52"/>
        <v>0</v>
      </c>
      <c r="AN85">
        <f>IF(AM85=0,0,1+MAX($D$69:AN84))</f>
        <v>0</v>
      </c>
      <c r="AO85">
        <f t="shared" si="69"/>
        <v>0</v>
      </c>
      <c r="AP85" t="str">
        <f t="shared" si="70"/>
        <v/>
      </c>
      <c r="AQ85" t="str">
        <f t="shared" si="71"/>
        <v/>
      </c>
      <c r="AU85" s="605">
        <v>17</v>
      </c>
      <c r="AV85">
        <f t="shared" si="53"/>
        <v>0</v>
      </c>
      <c r="AW85">
        <f>IF(AV85=0,0,1+MAX($D$69:AW84))</f>
        <v>0</v>
      </c>
      <c r="AX85">
        <f t="shared" si="72"/>
        <v>0</v>
      </c>
      <c r="AY85" t="str">
        <f t="shared" si="73"/>
        <v/>
      </c>
      <c r="AZ85" t="str">
        <f t="shared" si="74"/>
        <v/>
      </c>
      <c r="BD85" s="605">
        <v>17</v>
      </c>
      <c r="BE85">
        <f t="shared" si="54"/>
        <v>0</v>
      </c>
      <c r="BF85">
        <f>IF(BE85=0,0,1+MAX($D$69:BF84))</f>
        <v>0</v>
      </c>
      <c r="BG85">
        <f t="shared" si="75"/>
        <v>0</v>
      </c>
      <c r="BH85" t="str">
        <f t="shared" si="76"/>
        <v/>
      </c>
      <c r="BI85" t="str">
        <f t="shared" si="77"/>
        <v/>
      </c>
      <c r="BM85" s="605">
        <v>17</v>
      </c>
      <c r="BN85">
        <f t="shared" si="55"/>
        <v>0</v>
      </c>
      <c r="BO85">
        <f>IF(BN85=0,0,1+MAX($D$69:BO84))</f>
        <v>0</v>
      </c>
      <c r="BP85">
        <f t="shared" si="78"/>
        <v>0</v>
      </c>
      <c r="BQ85" t="str">
        <f t="shared" si="79"/>
        <v/>
      </c>
      <c r="BR85" t="str">
        <f t="shared" si="80"/>
        <v/>
      </c>
      <c r="BV85" s="605">
        <v>17</v>
      </c>
      <c r="BW85">
        <f t="shared" si="56"/>
        <v>0</v>
      </c>
      <c r="BX85">
        <f>IF(BW85=0,0,1+MAX($D$69:BX84))</f>
        <v>0</v>
      </c>
      <c r="BY85">
        <f t="shared" si="81"/>
        <v>0</v>
      </c>
      <c r="BZ85" t="str">
        <f t="shared" si="82"/>
        <v/>
      </c>
      <c r="CA85" t="str">
        <f t="shared" si="83"/>
        <v/>
      </c>
      <c r="CE85" s="605"/>
      <c r="CN85" s="605"/>
    </row>
    <row r="86" spans="2:92" x14ac:dyDescent="0.25">
      <c r="B86" s="5">
        <v>18</v>
      </c>
      <c r="C86">
        <f t="shared" si="48"/>
        <v>0</v>
      </c>
      <c r="D86">
        <f>IF(C86=0,0,1+MAX($D$69:D85))</f>
        <v>0</v>
      </c>
      <c r="E86">
        <f t="shared" si="57"/>
        <v>0</v>
      </c>
      <c r="F86" t="str">
        <f t="shared" si="58"/>
        <v/>
      </c>
      <c r="G86" t="str">
        <f t="shared" si="59"/>
        <v/>
      </c>
      <c r="K86" s="605">
        <v>18</v>
      </c>
      <c r="L86">
        <f t="shared" si="49"/>
        <v>0</v>
      </c>
      <c r="M86">
        <f>IF(L86=0,0,1+MAX($D$69:M85))</f>
        <v>0</v>
      </c>
      <c r="N86">
        <f t="shared" si="60"/>
        <v>0</v>
      </c>
      <c r="O86" t="str">
        <f t="shared" si="61"/>
        <v/>
      </c>
      <c r="P86" t="str">
        <f t="shared" si="62"/>
        <v/>
      </c>
      <c r="T86" s="605">
        <v>18</v>
      </c>
      <c r="U86">
        <f t="shared" si="50"/>
        <v>0</v>
      </c>
      <c r="V86">
        <f>IF(U86=0,0,1+MAX($D$69:V85))</f>
        <v>0</v>
      </c>
      <c r="W86">
        <f t="shared" si="63"/>
        <v>0</v>
      </c>
      <c r="X86" t="str">
        <f t="shared" si="64"/>
        <v/>
      </c>
      <c r="Y86" t="str">
        <f t="shared" si="65"/>
        <v/>
      </c>
      <c r="AC86" s="605">
        <v>18</v>
      </c>
      <c r="AD86">
        <f t="shared" si="51"/>
        <v>0</v>
      </c>
      <c r="AE86">
        <f>IF(AD86=0,0,1+MAX($D$69:AE85))</f>
        <v>0</v>
      </c>
      <c r="AF86">
        <f t="shared" si="66"/>
        <v>0</v>
      </c>
      <c r="AG86" t="str">
        <f t="shared" si="67"/>
        <v/>
      </c>
      <c r="AH86" t="str">
        <f t="shared" si="68"/>
        <v/>
      </c>
      <c r="AL86" s="605">
        <v>18</v>
      </c>
      <c r="AM86">
        <f t="shared" si="52"/>
        <v>0</v>
      </c>
      <c r="AN86">
        <f>IF(AM86=0,0,1+MAX($D$69:AN85))</f>
        <v>0</v>
      </c>
      <c r="AO86">
        <f t="shared" si="69"/>
        <v>0</v>
      </c>
      <c r="AP86" t="str">
        <f t="shared" si="70"/>
        <v/>
      </c>
      <c r="AQ86" t="str">
        <f t="shared" si="71"/>
        <v/>
      </c>
      <c r="AU86" s="605">
        <v>18</v>
      </c>
      <c r="AV86">
        <f t="shared" si="53"/>
        <v>0</v>
      </c>
      <c r="AW86">
        <f>IF(AV86=0,0,1+MAX($D$69:AW85))</f>
        <v>0</v>
      </c>
      <c r="AX86">
        <f t="shared" si="72"/>
        <v>0</v>
      </c>
      <c r="AY86" t="str">
        <f t="shared" si="73"/>
        <v/>
      </c>
      <c r="AZ86" t="str">
        <f t="shared" si="74"/>
        <v/>
      </c>
      <c r="BD86" s="605">
        <v>18</v>
      </c>
      <c r="BE86">
        <f t="shared" si="54"/>
        <v>0</v>
      </c>
      <c r="BF86">
        <f>IF(BE86=0,0,1+MAX($D$69:BF85))</f>
        <v>0</v>
      </c>
      <c r="BG86">
        <f t="shared" si="75"/>
        <v>0</v>
      </c>
      <c r="BH86" t="str">
        <f t="shared" si="76"/>
        <v/>
      </c>
      <c r="BI86" t="str">
        <f t="shared" si="77"/>
        <v/>
      </c>
      <c r="BM86" s="605">
        <v>18</v>
      </c>
      <c r="BN86">
        <f t="shared" si="55"/>
        <v>0</v>
      </c>
      <c r="BO86">
        <f>IF(BN86=0,0,1+MAX($D$69:BO85))</f>
        <v>0</v>
      </c>
      <c r="BP86">
        <f t="shared" si="78"/>
        <v>0</v>
      </c>
      <c r="BQ86" t="str">
        <f t="shared" si="79"/>
        <v/>
      </c>
      <c r="BR86" t="str">
        <f t="shared" si="80"/>
        <v/>
      </c>
      <c r="BV86" s="605">
        <v>18</v>
      </c>
      <c r="BW86">
        <f t="shared" si="56"/>
        <v>0</v>
      </c>
      <c r="BX86">
        <f>IF(BW86=0,0,1+MAX($D$69:BX85))</f>
        <v>0</v>
      </c>
      <c r="BY86">
        <f t="shared" si="81"/>
        <v>0</v>
      </c>
      <c r="BZ86" t="str">
        <f t="shared" si="82"/>
        <v/>
      </c>
      <c r="CA86" t="str">
        <f t="shared" si="83"/>
        <v/>
      </c>
      <c r="CE86" s="605"/>
      <c r="CN86" s="605"/>
    </row>
    <row r="87" spans="2:92" x14ac:dyDescent="0.25">
      <c r="B87" s="5">
        <v>19</v>
      </c>
      <c r="C87">
        <f t="shared" si="48"/>
        <v>0</v>
      </c>
      <c r="D87">
        <f>IF(C87=0,0,1+MAX($D$69:D86))</f>
        <v>0</v>
      </c>
      <c r="E87">
        <f t="shared" si="57"/>
        <v>0</v>
      </c>
      <c r="F87" t="str">
        <f t="shared" si="58"/>
        <v/>
      </c>
      <c r="G87" t="str">
        <f t="shared" si="59"/>
        <v/>
      </c>
      <c r="K87" s="605">
        <v>19</v>
      </c>
      <c r="L87">
        <f t="shared" si="49"/>
        <v>0</v>
      </c>
      <c r="M87">
        <f>IF(L87=0,0,1+MAX($D$69:M86))</f>
        <v>0</v>
      </c>
      <c r="N87">
        <f t="shared" si="60"/>
        <v>0</v>
      </c>
      <c r="O87" t="str">
        <f t="shared" si="61"/>
        <v/>
      </c>
      <c r="P87" t="str">
        <f t="shared" si="62"/>
        <v/>
      </c>
      <c r="T87" s="605">
        <v>19</v>
      </c>
      <c r="U87">
        <f t="shared" si="50"/>
        <v>0</v>
      </c>
      <c r="V87">
        <f>IF(U87=0,0,1+MAX($D$69:V86))</f>
        <v>0</v>
      </c>
      <c r="W87">
        <f t="shared" si="63"/>
        <v>0</v>
      </c>
      <c r="X87" t="str">
        <f t="shared" si="64"/>
        <v/>
      </c>
      <c r="Y87" t="str">
        <f t="shared" si="65"/>
        <v/>
      </c>
      <c r="AC87" s="605">
        <v>19</v>
      </c>
      <c r="AD87">
        <f t="shared" si="51"/>
        <v>0</v>
      </c>
      <c r="AE87">
        <f>IF(AD87=0,0,1+MAX($D$69:AE86))</f>
        <v>0</v>
      </c>
      <c r="AF87">
        <f t="shared" si="66"/>
        <v>0</v>
      </c>
      <c r="AG87" t="str">
        <f t="shared" si="67"/>
        <v/>
      </c>
      <c r="AH87" t="str">
        <f t="shared" si="68"/>
        <v/>
      </c>
      <c r="AL87" s="605">
        <v>19</v>
      </c>
      <c r="AM87">
        <f t="shared" si="52"/>
        <v>0</v>
      </c>
      <c r="AN87">
        <f>IF(AM87=0,0,1+MAX($D$69:AN86))</f>
        <v>0</v>
      </c>
      <c r="AO87">
        <f t="shared" si="69"/>
        <v>0</v>
      </c>
      <c r="AP87" t="str">
        <f t="shared" si="70"/>
        <v/>
      </c>
      <c r="AQ87" t="str">
        <f t="shared" si="71"/>
        <v/>
      </c>
      <c r="AU87" s="605">
        <v>19</v>
      </c>
      <c r="AV87">
        <f t="shared" si="53"/>
        <v>0</v>
      </c>
      <c r="AW87">
        <f>IF(AV87=0,0,1+MAX($D$69:AW86))</f>
        <v>0</v>
      </c>
      <c r="AX87">
        <f t="shared" si="72"/>
        <v>0</v>
      </c>
      <c r="AY87" t="str">
        <f t="shared" si="73"/>
        <v/>
      </c>
      <c r="AZ87" t="str">
        <f t="shared" si="74"/>
        <v/>
      </c>
      <c r="BD87" s="605">
        <v>19</v>
      </c>
      <c r="BE87">
        <f t="shared" si="54"/>
        <v>0</v>
      </c>
      <c r="BF87">
        <f>IF(BE87=0,0,1+MAX($D$69:BF86))</f>
        <v>0</v>
      </c>
      <c r="BG87">
        <f t="shared" si="75"/>
        <v>0</v>
      </c>
      <c r="BH87" t="str">
        <f t="shared" si="76"/>
        <v/>
      </c>
      <c r="BI87" t="str">
        <f t="shared" si="77"/>
        <v/>
      </c>
      <c r="BM87" s="605">
        <v>19</v>
      </c>
      <c r="BN87">
        <f t="shared" si="55"/>
        <v>0</v>
      </c>
      <c r="BO87">
        <f>IF(BN87=0,0,1+MAX($D$69:BO86))</f>
        <v>0</v>
      </c>
      <c r="BP87">
        <f t="shared" si="78"/>
        <v>0</v>
      </c>
      <c r="BQ87" t="str">
        <f t="shared" si="79"/>
        <v/>
      </c>
      <c r="BR87" t="str">
        <f t="shared" si="80"/>
        <v/>
      </c>
      <c r="BV87" s="605">
        <v>19</v>
      </c>
      <c r="BW87">
        <f t="shared" si="56"/>
        <v>0</v>
      </c>
      <c r="BX87">
        <f>IF(BW87=0,0,1+MAX($D$69:BX86))</f>
        <v>0</v>
      </c>
      <c r="BY87">
        <f t="shared" si="81"/>
        <v>0</v>
      </c>
      <c r="BZ87" t="str">
        <f t="shared" si="82"/>
        <v/>
      </c>
      <c r="CA87" t="str">
        <f t="shared" si="83"/>
        <v/>
      </c>
      <c r="CE87" s="605"/>
      <c r="CN87" s="605"/>
    </row>
    <row r="88" spans="2:92" x14ac:dyDescent="0.25">
      <c r="B88" s="5">
        <v>20</v>
      </c>
      <c r="C88">
        <f t="shared" si="48"/>
        <v>0</v>
      </c>
      <c r="D88">
        <f>IF(C88=0,0,1+MAX($D$69:D87))</f>
        <v>0</v>
      </c>
      <c r="E88">
        <f t="shared" si="57"/>
        <v>0</v>
      </c>
      <c r="F88" t="str">
        <f t="shared" si="58"/>
        <v/>
      </c>
      <c r="G88" t="str">
        <f t="shared" si="59"/>
        <v/>
      </c>
      <c r="K88" s="605">
        <v>20</v>
      </c>
      <c r="L88">
        <f t="shared" si="49"/>
        <v>0</v>
      </c>
      <c r="M88">
        <f>IF(L88=0,0,1+MAX($D$69:M87))</f>
        <v>0</v>
      </c>
      <c r="N88">
        <f t="shared" si="60"/>
        <v>0</v>
      </c>
      <c r="O88" t="str">
        <f t="shared" si="61"/>
        <v/>
      </c>
      <c r="P88" t="str">
        <f t="shared" si="62"/>
        <v/>
      </c>
      <c r="T88" s="605">
        <v>20</v>
      </c>
      <c r="U88">
        <f t="shared" si="50"/>
        <v>0</v>
      </c>
      <c r="V88">
        <f>IF(U88=0,0,1+MAX($D$69:V87))</f>
        <v>0</v>
      </c>
      <c r="W88">
        <f t="shared" si="63"/>
        <v>0</v>
      </c>
      <c r="X88" t="str">
        <f t="shared" si="64"/>
        <v/>
      </c>
      <c r="Y88" t="str">
        <f t="shared" si="65"/>
        <v/>
      </c>
      <c r="AC88" s="605">
        <v>20</v>
      </c>
      <c r="AD88">
        <f t="shared" si="51"/>
        <v>0</v>
      </c>
      <c r="AE88">
        <f>IF(AD88=0,0,1+MAX($D$69:AE87))</f>
        <v>0</v>
      </c>
      <c r="AF88">
        <f t="shared" si="66"/>
        <v>0</v>
      </c>
      <c r="AG88" t="str">
        <f t="shared" si="67"/>
        <v/>
      </c>
      <c r="AH88" t="str">
        <f t="shared" si="68"/>
        <v/>
      </c>
      <c r="AL88" s="605">
        <v>20</v>
      </c>
      <c r="AM88">
        <f t="shared" si="52"/>
        <v>0</v>
      </c>
      <c r="AN88">
        <f>IF(AM88=0,0,1+MAX($D$69:AN87))</f>
        <v>0</v>
      </c>
      <c r="AO88">
        <f t="shared" si="69"/>
        <v>0</v>
      </c>
      <c r="AP88" t="str">
        <f t="shared" si="70"/>
        <v/>
      </c>
      <c r="AQ88" t="str">
        <f t="shared" si="71"/>
        <v/>
      </c>
      <c r="AU88" s="605">
        <v>20</v>
      </c>
      <c r="AV88">
        <f t="shared" si="53"/>
        <v>0</v>
      </c>
      <c r="AW88">
        <f>IF(AV88=0,0,1+MAX($D$69:AW87))</f>
        <v>0</v>
      </c>
      <c r="AX88">
        <f t="shared" si="72"/>
        <v>0</v>
      </c>
      <c r="AY88" t="str">
        <f t="shared" si="73"/>
        <v/>
      </c>
      <c r="AZ88" t="str">
        <f t="shared" si="74"/>
        <v/>
      </c>
      <c r="BD88" s="605">
        <v>20</v>
      </c>
      <c r="BE88">
        <f t="shared" si="54"/>
        <v>0</v>
      </c>
      <c r="BF88">
        <f>IF(BE88=0,0,1+MAX($D$69:BF87))</f>
        <v>0</v>
      </c>
      <c r="BG88">
        <f t="shared" si="75"/>
        <v>0</v>
      </c>
      <c r="BH88" t="str">
        <f t="shared" si="76"/>
        <v/>
      </c>
      <c r="BI88" t="str">
        <f t="shared" si="77"/>
        <v/>
      </c>
      <c r="BM88" s="605">
        <v>20</v>
      </c>
      <c r="BN88">
        <f t="shared" si="55"/>
        <v>0</v>
      </c>
      <c r="BO88">
        <f>IF(BN88=0,0,1+MAX($D$69:BO87))</f>
        <v>0</v>
      </c>
      <c r="BP88">
        <f t="shared" si="78"/>
        <v>0</v>
      </c>
      <c r="BQ88" t="str">
        <f t="shared" si="79"/>
        <v/>
      </c>
      <c r="BR88" t="str">
        <f t="shared" si="80"/>
        <v/>
      </c>
      <c r="BV88" s="605">
        <v>20</v>
      </c>
      <c r="BW88">
        <f t="shared" si="56"/>
        <v>0</v>
      </c>
      <c r="BX88">
        <f>IF(BW88=0,0,1+MAX($D$69:BX87))</f>
        <v>0</v>
      </c>
      <c r="BY88">
        <f t="shared" si="81"/>
        <v>0</v>
      </c>
      <c r="BZ88" t="str">
        <f t="shared" si="82"/>
        <v/>
      </c>
      <c r="CA88" t="str">
        <f t="shared" si="83"/>
        <v/>
      </c>
      <c r="CE88" s="605"/>
      <c r="CN88" s="605"/>
    </row>
    <row r="89" spans="2:92" x14ac:dyDescent="0.25">
      <c r="B89" s="5">
        <v>21</v>
      </c>
      <c r="C89">
        <f t="shared" si="48"/>
        <v>0</v>
      </c>
      <c r="D89">
        <f>IF(C89=0,0,1+MAX($D$69:D88))</f>
        <v>0</v>
      </c>
      <c r="E89">
        <f t="shared" si="57"/>
        <v>0</v>
      </c>
      <c r="F89" t="str">
        <f t="shared" si="58"/>
        <v/>
      </c>
      <c r="G89" t="str">
        <f t="shared" si="59"/>
        <v/>
      </c>
      <c r="K89" s="605">
        <v>21</v>
      </c>
      <c r="L89">
        <f t="shared" si="49"/>
        <v>0</v>
      </c>
      <c r="M89">
        <f>IF(L89=0,0,1+MAX($D$69:M88))</f>
        <v>0</v>
      </c>
      <c r="N89">
        <f t="shared" si="60"/>
        <v>0</v>
      </c>
      <c r="O89" t="str">
        <f t="shared" si="61"/>
        <v/>
      </c>
      <c r="P89" t="str">
        <f t="shared" si="62"/>
        <v/>
      </c>
      <c r="T89" s="605">
        <v>21</v>
      </c>
      <c r="U89">
        <f t="shared" si="50"/>
        <v>0</v>
      </c>
      <c r="V89">
        <f>IF(U89=0,0,1+MAX($D$69:V88))</f>
        <v>0</v>
      </c>
      <c r="W89">
        <f t="shared" si="63"/>
        <v>0</v>
      </c>
      <c r="X89" t="str">
        <f t="shared" si="64"/>
        <v/>
      </c>
      <c r="Y89" t="str">
        <f t="shared" si="65"/>
        <v/>
      </c>
      <c r="AC89" s="605">
        <v>21</v>
      </c>
      <c r="AD89">
        <f t="shared" si="51"/>
        <v>0</v>
      </c>
      <c r="AE89">
        <f>IF(AD89=0,0,1+MAX($D$69:AE88))</f>
        <v>0</v>
      </c>
      <c r="AF89">
        <f t="shared" si="66"/>
        <v>0</v>
      </c>
      <c r="AG89" t="str">
        <f t="shared" si="67"/>
        <v/>
      </c>
      <c r="AH89" t="str">
        <f t="shared" si="68"/>
        <v/>
      </c>
      <c r="AL89" s="605">
        <v>21</v>
      </c>
      <c r="AM89">
        <f t="shared" si="52"/>
        <v>0</v>
      </c>
      <c r="AN89">
        <f>IF(AM89=0,0,1+MAX($D$69:AN88))</f>
        <v>0</v>
      </c>
      <c r="AO89">
        <f t="shared" si="69"/>
        <v>0</v>
      </c>
      <c r="AP89" t="str">
        <f t="shared" si="70"/>
        <v/>
      </c>
      <c r="AQ89" t="str">
        <f t="shared" si="71"/>
        <v/>
      </c>
      <c r="AU89" s="605">
        <v>21</v>
      </c>
      <c r="AV89">
        <f t="shared" si="53"/>
        <v>0</v>
      </c>
      <c r="AW89">
        <f>IF(AV89=0,0,1+MAX($D$69:AW88))</f>
        <v>0</v>
      </c>
      <c r="AX89">
        <f t="shared" si="72"/>
        <v>0</v>
      </c>
      <c r="AY89" t="str">
        <f t="shared" si="73"/>
        <v/>
      </c>
      <c r="AZ89" t="str">
        <f t="shared" si="74"/>
        <v/>
      </c>
      <c r="BD89" s="605">
        <v>21</v>
      </c>
      <c r="BE89">
        <f t="shared" si="54"/>
        <v>0</v>
      </c>
      <c r="BF89">
        <f>IF(BE89=0,0,1+MAX($D$69:BF88))</f>
        <v>0</v>
      </c>
      <c r="BG89">
        <f t="shared" si="75"/>
        <v>0</v>
      </c>
      <c r="BH89" t="str">
        <f t="shared" si="76"/>
        <v/>
      </c>
      <c r="BI89" t="str">
        <f t="shared" si="77"/>
        <v/>
      </c>
      <c r="BM89" s="605">
        <v>21</v>
      </c>
      <c r="BN89">
        <f t="shared" si="55"/>
        <v>0</v>
      </c>
      <c r="BO89">
        <f>IF(BN89=0,0,1+MAX($D$69:BO88))</f>
        <v>0</v>
      </c>
      <c r="BP89">
        <f t="shared" si="78"/>
        <v>0</v>
      </c>
      <c r="BQ89" t="str">
        <f t="shared" si="79"/>
        <v/>
      </c>
      <c r="BR89" t="str">
        <f t="shared" si="80"/>
        <v/>
      </c>
      <c r="BV89" s="605">
        <v>21</v>
      </c>
      <c r="BW89">
        <f t="shared" si="56"/>
        <v>0</v>
      </c>
      <c r="BX89">
        <f>IF(BW89=0,0,1+MAX($D$69:BX88))</f>
        <v>0</v>
      </c>
      <c r="BY89">
        <f t="shared" si="81"/>
        <v>0</v>
      </c>
      <c r="BZ89" t="str">
        <f t="shared" si="82"/>
        <v/>
      </c>
      <c r="CA89" t="str">
        <f t="shared" si="83"/>
        <v/>
      </c>
      <c r="CE89" s="605"/>
      <c r="CN89" s="605"/>
    </row>
    <row r="90" spans="2:92" x14ac:dyDescent="0.25">
      <c r="B90" s="5">
        <v>22</v>
      </c>
      <c r="C90">
        <f t="shared" si="48"/>
        <v>0</v>
      </c>
      <c r="D90">
        <f>IF(C90=0,0,1+MAX($D$69:D89))</f>
        <v>0</v>
      </c>
      <c r="E90">
        <f t="shared" si="57"/>
        <v>0</v>
      </c>
      <c r="F90" t="str">
        <f t="shared" si="58"/>
        <v/>
      </c>
      <c r="G90" t="str">
        <f t="shared" si="59"/>
        <v/>
      </c>
      <c r="K90" s="605">
        <v>22</v>
      </c>
      <c r="L90">
        <f t="shared" si="49"/>
        <v>0</v>
      </c>
      <c r="M90">
        <f>IF(L90=0,0,1+MAX($D$69:M89))</f>
        <v>0</v>
      </c>
      <c r="N90">
        <f t="shared" si="60"/>
        <v>0</v>
      </c>
      <c r="O90" t="str">
        <f t="shared" si="61"/>
        <v/>
      </c>
      <c r="P90" t="str">
        <f t="shared" si="62"/>
        <v/>
      </c>
      <c r="T90" s="605">
        <v>22</v>
      </c>
      <c r="U90">
        <f t="shared" si="50"/>
        <v>0</v>
      </c>
      <c r="V90">
        <f>IF(U90=0,0,1+MAX($D$69:V89))</f>
        <v>0</v>
      </c>
      <c r="W90">
        <f t="shared" si="63"/>
        <v>0</v>
      </c>
      <c r="X90" t="str">
        <f t="shared" si="64"/>
        <v/>
      </c>
      <c r="Y90" t="str">
        <f t="shared" si="65"/>
        <v/>
      </c>
      <c r="AC90" s="605">
        <v>22</v>
      </c>
      <c r="AD90">
        <f t="shared" si="51"/>
        <v>0</v>
      </c>
      <c r="AE90">
        <f>IF(AD90=0,0,1+MAX($D$69:AE89))</f>
        <v>0</v>
      </c>
      <c r="AF90">
        <f t="shared" si="66"/>
        <v>0</v>
      </c>
      <c r="AG90" t="str">
        <f t="shared" si="67"/>
        <v/>
      </c>
      <c r="AH90" t="str">
        <f t="shared" si="68"/>
        <v/>
      </c>
      <c r="AL90" s="605">
        <v>22</v>
      </c>
      <c r="AM90">
        <f t="shared" si="52"/>
        <v>0</v>
      </c>
      <c r="AN90">
        <f>IF(AM90=0,0,1+MAX($D$69:AN89))</f>
        <v>0</v>
      </c>
      <c r="AO90">
        <f t="shared" si="69"/>
        <v>0</v>
      </c>
      <c r="AP90" t="str">
        <f t="shared" si="70"/>
        <v/>
      </c>
      <c r="AQ90" t="str">
        <f t="shared" si="71"/>
        <v/>
      </c>
      <c r="AU90" s="605">
        <v>22</v>
      </c>
      <c r="AV90">
        <f t="shared" si="53"/>
        <v>0</v>
      </c>
      <c r="AW90">
        <f>IF(AV90=0,0,1+MAX($D$69:AW89))</f>
        <v>0</v>
      </c>
      <c r="AX90">
        <f t="shared" si="72"/>
        <v>0</v>
      </c>
      <c r="AY90" t="str">
        <f t="shared" si="73"/>
        <v/>
      </c>
      <c r="AZ90" t="str">
        <f t="shared" si="74"/>
        <v/>
      </c>
      <c r="BD90" s="605">
        <v>22</v>
      </c>
      <c r="BE90">
        <f t="shared" si="54"/>
        <v>0</v>
      </c>
      <c r="BF90">
        <f>IF(BE90=0,0,1+MAX($D$69:BF89))</f>
        <v>0</v>
      </c>
      <c r="BG90">
        <f t="shared" si="75"/>
        <v>0</v>
      </c>
      <c r="BH90" t="str">
        <f t="shared" si="76"/>
        <v/>
      </c>
      <c r="BI90" t="str">
        <f t="shared" si="77"/>
        <v/>
      </c>
      <c r="BM90" s="605">
        <v>22</v>
      </c>
      <c r="BN90">
        <f t="shared" si="55"/>
        <v>0</v>
      </c>
      <c r="BO90">
        <f>IF(BN90=0,0,1+MAX($D$69:BO89))</f>
        <v>0</v>
      </c>
      <c r="BP90">
        <f t="shared" si="78"/>
        <v>0</v>
      </c>
      <c r="BQ90" t="str">
        <f t="shared" si="79"/>
        <v/>
      </c>
      <c r="BR90" t="str">
        <f t="shared" si="80"/>
        <v/>
      </c>
      <c r="BV90" s="605">
        <v>22</v>
      </c>
      <c r="BW90">
        <f t="shared" si="56"/>
        <v>0</v>
      </c>
      <c r="BX90">
        <f>IF(BW90=0,0,1+MAX($D$69:BX89))</f>
        <v>0</v>
      </c>
      <c r="BY90">
        <f t="shared" si="81"/>
        <v>0</v>
      </c>
      <c r="BZ90" t="str">
        <f t="shared" si="82"/>
        <v/>
      </c>
      <c r="CA90" t="str">
        <f t="shared" si="83"/>
        <v/>
      </c>
      <c r="CE90" s="605"/>
      <c r="CN90" s="605"/>
    </row>
    <row r="91" spans="2:92" x14ac:dyDescent="0.25">
      <c r="B91" s="5">
        <v>23</v>
      </c>
      <c r="C91">
        <f t="shared" si="48"/>
        <v>0</v>
      </c>
      <c r="D91">
        <f>IF(C91=0,0,1+MAX($D$69:D90))</f>
        <v>0</v>
      </c>
      <c r="E91">
        <f t="shared" si="57"/>
        <v>0</v>
      </c>
      <c r="F91" t="str">
        <f t="shared" si="58"/>
        <v/>
      </c>
      <c r="G91" t="str">
        <f t="shared" si="59"/>
        <v/>
      </c>
      <c r="K91" s="605">
        <v>23</v>
      </c>
      <c r="L91">
        <f t="shared" si="49"/>
        <v>0</v>
      </c>
      <c r="M91">
        <f>IF(L91=0,0,1+MAX($D$69:M90))</f>
        <v>0</v>
      </c>
      <c r="N91">
        <f t="shared" si="60"/>
        <v>0</v>
      </c>
      <c r="O91" t="str">
        <f t="shared" si="61"/>
        <v/>
      </c>
      <c r="P91" t="str">
        <f t="shared" si="62"/>
        <v/>
      </c>
      <c r="T91" s="605">
        <v>23</v>
      </c>
      <c r="U91">
        <f t="shared" si="50"/>
        <v>0</v>
      </c>
      <c r="V91">
        <f>IF(U91=0,0,1+MAX($D$69:V90))</f>
        <v>0</v>
      </c>
      <c r="W91">
        <f t="shared" si="63"/>
        <v>0</v>
      </c>
      <c r="X91" t="str">
        <f t="shared" si="64"/>
        <v/>
      </c>
      <c r="Y91" t="str">
        <f t="shared" si="65"/>
        <v/>
      </c>
      <c r="AC91" s="605">
        <v>23</v>
      </c>
      <c r="AD91">
        <f t="shared" si="51"/>
        <v>0</v>
      </c>
      <c r="AE91">
        <f>IF(AD91=0,0,1+MAX($D$69:AE90))</f>
        <v>0</v>
      </c>
      <c r="AF91">
        <f t="shared" si="66"/>
        <v>0</v>
      </c>
      <c r="AG91" t="str">
        <f t="shared" si="67"/>
        <v/>
      </c>
      <c r="AH91" t="str">
        <f t="shared" si="68"/>
        <v/>
      </c>
      <c r="AL91" s="605">
        <v>23</v>
      </c>
      <c r="AM91">
        <f t="shared" si="52"/>
        <v>0</v>
      </c>
      <c r="AN91">
        <f>IF(AM91=0,0,1+MAX($D$69:AN90))</f>
        <v>0</v>
      </c>
      <c r="AO91">
        <f t="shared" si="69"/>
        <v>0</v>
      </c>
      <c r="AP91" t="str">
        <f t="shared" si="70"/>
        <v/>
      </c>
      <c r="AQ91" t="str">
        <f t="shared" si="71"/>
        <v/>
      </c>
      <c r="AU91" s="605">
        <v>23</v>
      </c>
      <c r="AV91">
        <f t="shared" si="53"/>
        <v>0</v>
      </c>
      <c r="AW91">
        <f>IF(AV91=0,0,1+MAX($D$69:AW90))</f>
        <v>0</v>
      </c>
      <c r="AX91">
        <f t="shared" si="72"/>
        <v>0</v>
      </c>
      <c r="AY91" t="str">
        <f t="shared" si="73"/>
        <v/>
      </c>
      <c r="AZ91" t="str">
        <f t="shared" si="74"/>
        <v/>
      </c>
      <c r="BD91" s="605">
        <v>23</v>
      </c>
      <c r="BE91">
        <f t="shared" si="54"/>
        <v>0</v>
      </c>
      <c r="BF91">
        <f>IF(BE91=0,0,1+MAX($D$69:BF90))</f>
        <v>0</v>
      </c>
      <c r="BG91">
        <f t="shared" si="75"/>
        <v>0</v>
      </c>
      <c r="BH91" t="str">
        <f t="shared" si="76"/>
        <v/>
      </c>
      <c r="BI91" t="str">
        <f t="shared" si="77"/>
        <v/>
      </c>
      <c r="BM91" s="605">
        <v>23</v>
      </c>
      <c r="BN91">
        <f t="shared" si="55"/>
        <v>0</v>
      </c>
      <c r="BO91">
        <f>IF(BN91=0,0,1+MAX($D$69:BO90))</f>
        <v>0</v>
      </c>
      <c r="BP91">
        <f t="shared" si="78"/>
        <v>0</v>
      </c>
      <c r="BQ91" t="str">
        <f t="shared" si="79"/>
        <v/>
      </c>
      <c r="BR91" t="str">
        <f t="shared" si="80"/>
        <v/>
      </c>
      <c r="BV91" s="605">
        <v>23</v>
      </c>
      <c r="BW91">
        <f t="shared" si="56"/>
        <v>0</v>
      </c>
      <c r="BX91">
        <f>IF(BW91=0,0,1+MAX($D$69:BX90))</f>
        <v>0</v>
      </c>
      <c r="BY91">
        <f t="shared" si="81"/>
        <v>0</v>
      </c>
      <c r="BZ91" t="str">
        <f t="shared" si="82"/>
        <v/>
      </c>
      <c r="CA91" t="str">
        <f t="shared" si="83"/>
        <v/>
      </c>
      <c r="CE91" s="605"/>
      <c r="CN91" s="605"/>
    </row>
    <row r="92" spans="2:92" x14ac:dyDescent="0.25">
      <c r="B92" s="5">
        <v>24</v>
      </c>
      <c r="C92">
        <f t="shared" si="48"/>
        <v>0</v>
      </c>
      <c r="D92">
        <f>IF(C92=0,0,1+MAX($D$69:D91))</f>
        <v>0</v>
      </c>
      <c r="E92">
        <f t="shared" si="57"/>
        <v>0</v>
      </c>
      <c r="F92" t="str">
        <f t="shared" si="58"/>
        <v/>
      </c>
      <c r="G92" t="str">
        <f t="shared" si="59"/>
        <v/>
      </c>
      <c r="K92" s="605">
        <v>24</v>
      </c>
      <c r="L92">
        <f t="shared" si="49"/>
        <v>0</v>
      </c>
      <c r="M92">
        <f>IF(L92=0,0,1+MAX($D$69:M91))</f>
        <v>0</v>
      </c>
      <c r="N92">
        <f t="shared" si="60"/>
        <v>0</v>
      </c>
      <c r="O92" t="str">
        <f t="shared" si="61"/>
        <v/>
      </c>
      <c r="P92" t="str">
        <f t="shared" si="62"/>
        <v/>
      </c>
      <c r="T92" s="605">
        <v>24</v>
      </c>
      <c r="U92">
        <f t="shared" si="50"/>
        <v>0</v>
      </c>
      <c r="V92">
        <f>IF(U92=0,0,1+MAX($D$69:V91))</f>
        <v>0</v>
      </c>
      <c r="W92">
        <f t="shared" si="63"/>
        <v>0</v>
      </c>
      <c r="X92" t="str">
        <f t="shared" si="64"/>
        <v/>
      </c>
      <c r="Y92" t="str">
        <f t="shared" si="65"/>
        <v/>
      </c>
      <c r="AC92" s="605">
        <v>24</v>
      </c>
      <c r="AD92">
        <f t="shared" si="51"/>
        <v>0</v>
      </c>
      <c r="AE92">
        <f>IF(AD92=0,0,1+MAX($D$69:AE91))</f>
        <v>0</v>
      </c>
      <c r="AF92">
        <f t="shared" si="66"/>
        <v>0</v>
      </c>
      <c r="AG92" t="str">
        <f t="shared" si="67"/>
        <v/>
      </c>
      <c r="AH92" t="str">
        <f t="shared" si="68"/>
        <v/>
      </c>
      <c r="AL92" s="605">
        <v>24</v>
      </c>
      <c r="AM92">
        <f t="shared" si="52"/>
        <v>0</v>
      </c>
      <c r="AN92">
        <f>IF(AM92=0,0,1+MAX($D$69:AN91))</f>
        <v>0</v>
      </c>
      <c r="AO92">
        <f t="shared" si="69"/>
        <v>0</v>
      </c>
      <c r="AP92" t="str">
        <f t="shared" si="70"/>
        <v/>
      </c>
      <c r="AQ92" t="str">
        <f t="shared" si="71"/>
        <v/>
      </c>
      <c r="AU92" s="605">
        <v>24</v>
      </c>
      <c r="AV92">
        <f t="shared" si="53"/>
        <v>0</v>
      </c>
      <c r="AW92">
        <f>IF(AV92=0,0,1+MAX($D$69:AW91))</f>
        <v>0</v>
      </c>
      <c r="AX92">
        <f t="shared" si="72"/>
        <v>0</v>
      </c>
      <c r="AY92" t="str">
        <f t="shared" si="73"/>
        <v/>
      </c>
      <c r="AZ92" t="str">
        <f t="shared" si="74"/>
        <v/>
      </c>
      <c r="BD92" s="605">
        <v>24</v>
      </c>
      <c r="BE92">
        <f t="shared" si="54"/>
        <v>0</v>
      </c>
      <c r="BF92">
        <f>IF(BE92=0,0,1+MAX($D$69:BF91))</f>
        <v>0</v>
      </c>
      <c r="BG92">
        <f t="shared" si="75"/>
        <v>0</v>
      </c>
      <c r="BH92" t="str">
        <f t="shared" si="76"/>
        <v/>
      </c>
      <c r="BI92" t="str">
        <f t="shared" si="77"/>
        <v/>
      </c>
      <c r="BM92" s="605">
        <v>24</v>
      </c>
      <c r="BN92">
        <f t="shared" si="55"/>
        <v>0</v>
      </c>
      <c r="BO92">
        <f>IF(BN92=0,0,1+MAX($D$69:BO91))</f>
        <v>0</v>
      </c>
      <c r="BP92">
        <f t="shared" si="78"/>
        <v>0</v>
      </c>
      <c r="BQ92" t="str">
        <f t="shared" si="79"/>
        <v/>
      </c>
      <c r="BR92" t="str">
        <f t="shared" si="80"/>
        <v/>
      </c>
      <c r="BV92" s="605">
        <v>24</v>
      </c>
      <c r="BW92">
        <f t="shared" si="56"/>
        <v>0</v>
      </c>
      <c r="BX92">
        <f>IF(BW92=0,0,1+MAX($D$69:BX91))</f>
        <v>0</v>
      </c>
      <c r="BY92">
        <f t="shared" si="81"/>
        <v>0</v>
      </c>
      <c r="BZ92" t="str">
        <f t="shared" si="82"/>
        <v/>
      </c>
      <c r="CA92" t="str">
        <f t="shared" si="83"/>
        <v/>
      </c>
      <c r="CE92" s="605"/>
      <c r="CN92" s="605"/>
    </row>
    <row r="93" spans="2:92" x14ac:dyDescent="0.25">
      <c r="B93" s="5">
        <v>25</v>
      </c>
      <c r="C93">
        <f t="shared" si="48"/>
        <v>0</v>
      </c>
      <c r="D93">
        <f>IF(C93=0,0,1+MAX($D$69:D92))</f>
        <v>0</v>
      </c>
      <c r="E93">
        <f t="shared" si="57"/>
        <v>0</v>
      </c>
      <c r="F93" t="str">
        <f t="shared" si="58"/>
        <v/>
      </c>
      <c r="G93" t="str">
        <f t="shared" si="59"/>
        <v/>
      </c>
      <c r="K93" s="605">
        <v>25</v>
      </c>
      <c r="L93">
        <f t="shared" si="49"/>
        <v>0</v>
      </c>
      <c r="M93">
        <f>IF(L93=0,0,1+MAX($D$69:M92))</f>
        <v>0</v>
      </c>
      <c r="N93">
        <f t="shared" si="60"/>
        <v>0</v>
      </c>
      <c r="O93" t="str">
        <f t="shared" si="61"/>
        <v/>
      </c>
      <c r="P93" t="str">
        <f t="shared" si="62"/>
        <v/>
      </c>
      <c r="T93" s="605">
        <v>25</v>
      </c>
      <c r="U93">
        <f t="shared" si="50"/>
        <v>0</v>
      </c>
      <c r="V93">
        <f>IF(U93=0,0,1+MAX($D$69:V92))</f>
        <v>0</v>
      </c>
      <c r="W93">
        <f t="shared" si="63"/>
        <v>0</v>
      </c>
      <c r="X93" t="str">
        <f t="shared" si="64"/>
        <v/>
      </c>
      <c r="Y93" t="str">
        <f t="shared" si="65"/>
        <v/>
      </c>
      <c r="AC93" s="605">
        <v>25</v>
      </c>
      <c r="AD93">
        <f t="shared" si="51"/>
        <v>0</v>
      </c>
      <c r="AE93">
        <f>IF(AD93=0,0,1+MAX($D$69:AE92))</f>
        <v>0</v>
      </c>
      <c r="AF93">
        <f t="shared" si="66"/>
        <v>0</v>
      </c>
      <c r="AG93" t="str">
        <f t="shared" si="67"/>
        <v/>
      </c>
      <c r="AH93" t="str">
        <f t="shared" si="68"/>
        <v/>
      </c>
      <c r="AL93" s="605">
        <v>25</v>
      </c>
      <c r="AM93">
        <f t="shared" si="52"/>
        <v>0</v>
      </c>
      <c r="AN93">
        <f>IF(AM93=0,0,1+MAX($D$69:AN92))</f>
        <v>0</v>
      </c>
      <c r="AO93">
        <f t="shared" si="69"/>
        <v>0</v>
      </c>
      <c r="AP93" t="str">
        <f t="shared" si="70"/>
        <v/>
      </c>
      <c r="AQ93" t="str">
        <f t="shared" si="71"/>
        <v/>
      </c>
      <c r="AU93" s="605">
        <v>25</v>
      </c>
      <c r="AV93">
        <f t="shared" si="53"/>
        <v>0</v>
      </c>
      <c r="AW93">
        <f>IF(AV93=0,0,1+MAX($D$69:AW92))</f>
        <v>0</v>
      </c>
      <c r="AX93">
        <f t="shared" si="72"/>
        <v>0</v>
      </c>
      <c r="AY93" t="str">
        <f t="shared" si="73"/>
        <v/>
      </c>
      <c r="AZ93" t="str">
        <f t="shared" si="74"/>
        <v/>
      </c>
      <c r="BD93" s="605">
        <v>25</v>
      </c>
      <c r="BE93">
        <f t="shared" si="54"/>
        <v>0</v>
      </c>
      <c r="BF93">
        <f>IF(BE93=0,0,1+MAX($D$69:BF92))</f>
        <v>0</v>
      </c>
      <c r="BG93">
        <f t="shared" si="75"/>
        <v>0</v>
      </c>
      <c r="BH93" t="str">
        <f t="shared" si="76"/>
        <v/>
      </c>
      <c r="BI93" t="str">
        <f t="shared" si="77"/>
        <v/>
      </c>
      <c r="BM93" s="605">
        <v>25</v>
      </c>
      <c r="BN93">
        <f t="shared" si="55"/>
        <v>0</v>
      </c>
      <c r="BO93">
        <f>IF(BN93=0,0,1+MAX($D$69:BO92))</f>
        <v>0</v>
      </c>
      <c r="BP93">
        <f t="shared" si="78"/>
        <v>0</v>
      </c>
      <c r="BQ93" t="str">
        <f t="shared" si="79"/>
        <v/>
      </c>
      <c r="BR93" t="str">
        <f t="shared" si="80"/>
        <v/>
      </c>
      <c r="BV93" s="605">
        <v>25</v>
      </c>
      <c r="BW93">
        <f t="shared" si="56"/>
        <v>0</v>
      </c>
      <c r="BX93">
        <f>IF(BW93=0,0,1+MAX($D$69:BX92))</f>
        <v>0</v>
      </c>
      <c r="BY93">
        <f t="shared" si="81"/>
        <v>0</v>
      </c>
      <c r="BZ93" t="str">
        <f t="shared" si="82"/>
        <v/>
      </c>
      <c r="CA93" t="str">
        <f t="shared" si="83"/>
        <v/>
      </c>
      <c r="CE93" s="605"/>
      <c r="CN93" s="605"/>
    </row>
    <row r="94" spans="2:92" x14ac:dyDescent="0.25">
      <c r="B94" s="5">
        <v>26</v>
      </c>
      <c r="C94">
        <f t="shared" si="48"/>
        <v>0</v>
      </c>
      <c r="D94">
        <f>IF(C94=0,0,1+MAX($D$69:D93))</f>
        <v>0</v>
      </c>
      <c r="E94">
        <f t="shared" si="57"/>
        <v>0</v>
      </c>
      <c r="F94" t="str">
        <f t="shared" si="58"/>
        <v/>
      </c>
      <c r="G94" t="str">
        <f t="shared" si="59"/>
        <v/>
      </c>
      <c r="K94" s="605">
        <v>26</v>
      </c>
      <c r="L94">
        <f t="shared" si="49"/>
        <v>0</v>
      </c>
      <c r="M94">
        <f>IF(L94=0,0,1+MAX($D$69:M93))</f>
        <v>0</v>
      </c>
      <c r="N94">
        <f t="shared" si="60"/>
        <v>0</v>
      </c>
      <c r="O94" t="str">
        <f t="shared" si="61"/>
        <v/>
      </c>
      <c r="P94" t="str">
        <f t="shared" si="62"/>
        <v/>
      </c>
      <c r="T94" s="605">
        <v>26</v>
      </c>
      <c r="U94">
        <f t="shared" si="50"/>
        <v>0</v>
      </c>
      <c r="V94">
        <f>IF(U94=0,0,1+MAX($D$69:V93))</f>
        <v>0</v>
      </c>
      <c r="W94">
        <f t="shared" si="63"/>
        <v>0</v>
      </c>
      <c r="X94" t="str">
        <f t="shared" si="64"/>
        <v/>
      </c>
      <c r="Y94" t="str">
        <f t="shared" si="65"/>
        <v/>
      </c>
      <c r="AC94" s="605">
        <v>26</v>
      </c>
      <c r="AD94">
        <f t="shared" si="51"/>
        <v>0</v>
      </c>
      <c r="AE94">
        <f>IF(AD94=0,0,1+MAX($D$69:AE93))</f>
        <v>0</v>
      </c>
      <c r="AF94">
        <f t="shared" si="66"/>
        <v>0</v>
      </c>
      <c r="AG94" t="str">
        <f t="shared" si="67"/>
        <v/>
      </c>
      <c r="AH94" t="str">
        <f t="shared" si="68"/>
        <v/>
      </c>
      <c r="AL94" s="605">
        <v>26</v>
      </c>
      <c r="AM94">
        <f t="shared" si="52"/>
        <v>0</v>
      </c>
      <c r="AN94">
        <f>IF(AM94=0,0,1+MAX($D$69:AN93))</f>
        <v>0</v>
      </c>
      <c r="AO94">
        <f t="shared" si="69"/>
        <v>0</v>
      </c>
      <c r="AP94" t="str">
        <f t="shared" si="70"/>
        <v/>
      </c>
      <c r="AQ94" t="str">
        <f t="shared" si="71"/>
        <v/>
      </c>
      <c r="AU94" s="605">
        <v>26</v>
      </c>
      <c r="AV94">
        <f t="shared" si="53"/>
        <v>0</v>
      </c>
      <c r="AW94">
        <f>IF(AV94=0,0,1+MAX($D$69:AW93))</f>
        <v>0</v>
      </c>
      <c r="AX94">
        <f t="shared" si="72"/>
        <v>0</v>
      </c>
      <c r="AY94" t="str">
        <f t="shared" si="73"/>
        <v/>
      </c>
      <c r="AZ94" t="str">
        <f t="shared" si="74"/>
        <v/>
      </c>
      <c r="BD94" s="605">
        <v>26</v>
      </c>
      <c r="BE94">
        <f t="shared" si="54"/>
        <v>0</v>
      </c>
      <c r="BF94">
        <f>IF(BE94=0,0,1+MAX($D$69:BF93))</f>
        <v>0</v>
      </c>
      <c r="BG94">
        <f t="shared" si="75"/>
        <v>0</v>
      </c>
      <c r="BH94" t="str">
        <f t="shared" si="76"/>
        <v/>
      </c>
      <c r="BI94" t="str">
        <f t="shared" si="77"/>
        <v/>
      </c>
      <c r="BM94" s="605">
        <v>26</v>
      </c>
      <c r="BN94">
        <f t="shared" si="55"/>
        <v>0</v>
      </c>
      <c r="BO94">
        <f>IF(BN94=0,0,1+MAX($D$69:BO93))</f>
        <v>0</v>
      </c>
      <c r="BP94">
        <f t="shared" si="78"/>
        <v>0</v>
      </c>
      <c r="BQ94" t="str">
        <f t="shared" si="79"/>
        <v/>
      </c>
      <c r="BR94" t="str">
        <f t="shared" si="80"/>
        <v/>
      </c>
      <c r="BV94" s="605">
        <v>26</v>
      </c>
      <c r="BW94">
        <f t="shared" si="56"/>
        <v>0</v>
      </c>
      <c r="BX94">
        <f>IF(BW94=0,0,1+MAX($D$69:BX93))</f>
        <v>0</v>
      </c>
      <c r="BY94">
        <f t="shared" si="81"/>
        <v>0</v>
      </c>
      <c r="BZ94" t="str">
        <f t="shared" si="82"/>
        <v/>
      </c>
      <c r="CA94" t="str">
        <f t="shared" si="83"/>
        <v/>
      </c>
      <c r="CE94" s="605"/>
      <c r="CN94" s="605"/>
    </row>
    <row r="95" spans="2:92" x14ac:dyDescent="0.25">
      <c r="B95" s="5">
        <v>27</v>
      </c>
      <c r="C95">
        <f t="shared" si="48"/>
        <v>0</v>
      </c>
      <c r="D95">
        <f>IF(C95=0,0,1+MAX($D$69:D94))</f>
        <v>0</v>
      </c>
      <c r="E95">
        <f t="shared" si="57"/>
        <v>0</v>
      </c>
      <c r="F95" t="str">
        <f t="shared" si="58"/>
        <v/>
      </c>
      <c r="G95" t="str">
        <f t="shared" si="59"/>
        <v/>
      </c>
      <c r="K95" s="605">
        <v>27</v>
      </c>
      <c r="L95">
        <f t="shared" si="49"/>
        <v>0</v>
      </c>
      <c r="M95">
        <f>IF(L95=0,0,1+MAX($D$69:M94))</f>
        <v>0</v>
      </c>
      <c r="N95">
        <f t="shared" si="60"/>
        <v>0</v>
      </c>
      <c r="O95" t="str">
        <f t="shared" si="61"/>
        <v/>
      </c>
      <c r="P95" t="str">
        <f t="shared" si="62"/>
        <v/>
      </c>
      <c r="T95" s="605">
        <v>27</v>
      </c>
      <c r="U95">
        <f t="shared" si="50"/>
        <v>0</v>
      </c>
      <c r="V95">
        <f>IF(U95=0,0,1+MAX($D$69:V94))</f>
        <v>0</v>
      </c>
      <c r="W95">
        <f t="shared" si="63"/>
        <v>0</v>
      </c>
      <c r="X95" t="str">
        <f t="shared" si="64"/>
        <v/>
      </c>
      <c r="Y95" t="str">
        <f t="shared" si="65"/>
        <v/>
      </c>
      <c r="AC95" s="605">
        <v>27</v>
      </c>
      <c r="AD95">
        <f t="shared" si="51"/>
        <v>0</v>
      </c>
      <c r="AE95">
        <f>IF(AD95=0,0,1+MAX($D$69:AE94))</f>
        <v>0</v>
      </c>
      <c r="AF95">
        <f t="shared" si="66"/>
        <v>0</v>
      </c>
      <c r="AG95" t="str">
        <f t="shared" si="67"/>
        <v/>
      </c>
      <c r="AH95" t="str">
        <f t="shared" si="68"/>
        <v/>
      </c>
      <c r="AL95" s="605">
        <v>27</v>
      </c>
      <c r="AM95">
        <f t="shared" si="52"/>
        <v>0</v>
      </c>
      <c r="AN95">
        <f>IF(AM95=0,0,1+MAX($D$69:AN94))</f>
        <v>0</v>
      </c>
      <c r="AO95">
        <f t="shared" si="69"/>
        <v>0</v>
      </c>
      <c r="AP95" t="str">
        <f t="shared" si="70"/>
        <v/>
      </c>
      <c r="AQ95" t="str">
        <f t="shared" si="71"/>
        <v/>
      </c>
      <c r="AU95" s="605">
        <v>27</v>
      </c>
      <c r="AV95">
        <f t="shared" si="53"/>
        <v>0</v>
      </c>
      <c r="AW95">
        <f>IF(AV95=0,0,1+MAX($D$69:AW94))</f>
        <v>0</v>
      </c>
      <c r="AX95">
        <f t="shared" si="72"/>
        <v>0</v>
      </c>
      <c r="AY95" t="str">
        <f t="shared" si="73"/>
        <v/>
      </c>
      <c r="AZ95" t="str">
        <f t="shared" si="74"/>
        <v/>
      </c>
      <c r="BD95" s="605">
        <v>27</v>
      </c>
      <c r="BE95">
        <f t="shared" si="54"/>
        <v>0</v>
      </c>
      <c r="BF95">
        <f>IF(BE95=0,0,1+MAX($D$69:BF94))</f>
        <v>0</v>
      </c>
      <c r="BG95">
        <f t="shared" si="75"/>
        <v>0</v>
      </c>
      <c r="BH95" t="str">
        <f t="shared" si="76"/>
        <v/>
      </c>
      <c r="BI95" t="str">
        <f t="shared" si="77"/>
        <v/>
      </c>
      <c r="BM95" s="605">
        <v>27</v>
      </c>
      <c r="BN95">
        <f t="shared" si="55"/>
        <v>0</v>
      </c>
      <c r="BO95">
        <f>IF(BN95=0,0,1+MAX($D$69:BO94))</f>
        <v>0</v>
      </c>
      <c r="BP95">
        <f t="shared" si="78"/>
        <v>0</v>
      </c>
      <c r="BQ95" t="str">
        <f t="shared" si="79"/>
        <v/>
      </c>
      <c r="BR95" t="str">
        <f t="shared" si="80"/>
        <v/>
      </c>
      <c r="BV95" s="605">
        <v>27</v>
      </c>
      <c r="BW95">
        <f t="shared" si="56"/>
        <v>0</v>
      </c>
      <c r="BX95">
        <f>IF(BW95=0,0,1+MAX($D$69:BX94))</f>
        <v>0</v>
      </c>
      <c r="BY95">
        <f t="shared" si="81"/>
        <v>0</v>
      </c>
      <c r="BZ95" t="str">
        <f t="shared" si="82"/>
        <v/>
      </c>
      <c r="CA95" t="str">
        <f t="shared" si="83"/>
        <v/>
      </c>
      <c r="CE95" s="605"/>
      <c r="CN95" s="605"/>
    </row>
    <row r="96" spans="2:92" x14ac:dyDescent="0.25">
      <c r="B96" s="5">
        <v>28</v>
      </c>
      <c r="C96">
        <f t="shared" si="48"/>
        <v>0</v>
      </c>
      <c r="D96">
        <f>IF(C96=0,0,1+MAX($D$69:D95))</f>
        <v>0</v>
      </c>
      <c r="E96">
        <f t="shared" si="57"/>
        <v>0</v>
      </c>
      <c r="F96" t="str">
        <f t="shared" si="58"/>
        <v/>
      </c>
      <c r="G96" t="str">
        <f t="shared" si="59"/>
        <v/>
      </c>
      <c r="K96" s="605">
        <v>28</v>
      </c>
      <c r="L96">
        <f t="shared" si="49"/>
        <v>0</v>
      </c>
      <c r="M96">
        <f>IF(L96=0,0,1+MAX($D$69:M95))</f>
        <v>0</v>
      </c>
      <c r="N96">
        <f t="shared" si="60"/>
        <v>0</v>
      </c>
      <c r="O96" t="str">
        <f t="shared" si="61"/>
        <v/>
      </c>
      <c r="P96" t="str">
        <f t="shared" si="62"/>
        <v/>
      </c>
      <c r="T96" s="605">
        <v>28</v>
      </c>
      <c r="U96">
        <f t="shared" si="50"/>
        <v>0</v>
      </c>
      <c r="V96">
        <f>IF(U96=0,0,1+MAX($D$69:V95))</f>
        <v>0</v>
      </c>
      <c r="W96">
        <f t="shared" si="63"/>
        <v>0</v>
      </c>
      <c r="X96" t="str">
        <f t="shared" si="64"/>
        <v/>
      </c>
      <c r="Y96" t="str">
        <f t="shared" si="65"/>
        <v/>
      </c>
      <c r="AC96" s="605">
        <v>28</v>
      </c>
      <c r="AD96">
        <f t="shared" si="51"/>
        <v>0</v>
      </c>
      <c r="AE96">
        <f>IF(AD96=0,0,1+MAX($D$69:AE95))</f>
        <v>0</v>
      </c>
      <c r="AF96">
        <f t="shared" si="66"/>
        <v>0</v>
      </c>
      <c r="AG96" t="str">
        <f t="shared" si="67"/>
        <v/>
      </c>
      <c r="AH96" t="str">
        <f t="shared" si="68"/>
        <v/>
      </c>
      <c r="AL96" s="605">
        <v>28</v>
      </c>
      <c r="AM96">
        <f t="shared" si="52"/>
        <v>0</v>
      </c>
      <c r="AN96">
        <f>IF(AM96=0,0,1+MAX($D$69:AN95))</f>
        <v>0</v>
      </c>
      <c r="AO96">
        <f t="shared" si="69"/>
        <v>0</v>
      </c>
      <c r="AP96" t="str">
        <f t="shared" si="70"/>
        <v/>
      </c>
      <c r="AQ96" t="str">
        <f t="shared" si="71"/>
        <v/>
      </c>
      <c r="AU96" s="605">
        <v>28</v>
      </c>
      <c r="AV96">
        <f t="shared" si="53"/>
        <v>0</v>
      </c>
      <c r="AW96">
        <f>IF(AV96=0,0,1+MAX($D$69:AW95))</f>
        <v>0</v>
      </c>
      <c r="AX96">
        <f t="shared" si="72"/>
        <v>0</v>
      </c>
      <c r="AY96" t="str">
        <f t="shared" si="73"/>
        <v/>
      </c>
      <c r="AZ96" t="str">
        <f t="shared" si="74"/>
        <v/>
      </c>
      <c r="BD96" s="605">
        <v>28</v>
      </c>
      <c r="BE96">
        <f t="shared" si="54"/>
        <v>0</v>
      </c>
      <c r="BF96">
        <f>IF(BE96=0,0,1+MAX($D$69:BF95))</f>
        <v>0</v>
      </c>
      <c r="BG96">
        <f t="shared" si="75"/>
        <v>0</v>
      </c>
      <c r="BH96" t="str">
        <f t="shared" si="76"/>
        <v/>
      </c>
      <c r="BI96" t="str">
        <f t="shared" si="77"/>
        <v/>
      </c>
      <c r="BM96" s="605">
        <v>28</v>
      </c>
      <c r="BN96">
        <f t="shared" si="55"/>
        <v>0</v>
      </c>
      <c r="BO96">
        <f>IF(BN96=0,0,1+MAX($D$69:BO95))</f>
        <v>0</v>
      </c>
      <c r="BP96">
        <f t="shared" si="78"/>
        <v>0</v>
      </c>
      <c r="BQ96" t="str">
        <f t="shared" si="79"/>
        <v/>
      </c>
      <c r="BR96" t="str">
        <f t="shared" si="80"/>
        <v/>
      </c>
      <c r="BV96" s="605">
        <v>28</v>
      </c>
      <c r="BW96">
        <f t="shared" si="56"/>
        <v>0</v>
      </c>
      <c r="BX96">
        <f>IF(BW96=0,0,1+MAX($D$69:BX95))</f>
        <v>0</v>
      </c>
      <c r="BY96">
        <f t="shared" si="81"/>
        <v>0</v>
      </c>
      <c r="BZ96" t="str">
        <f t="shared" si="82"/>
        <v/>
      </c>
      <c r="CA96" t="str">
        <f t="shared" si="83"/>
        <v/>
      </c>
      <c r="CE96" s="605"/>
      <c r="CN96" s="605"/>
    </row>
    <row r="97" spans="2:92" x14ac:dyDescent="0.25">
      <c r="B97" s="5">
        <v>29</v>
      </c>
      <c r="C97">
        <f t="shared" si="48"/>
        <v>0</v>
      </c>
      <c r="D97">
        <f>IF(C97=0,0,1+MAX($D$69:D96))</f>
        <v>0</v>
      </c>
      <c r="E97">
        <f t="shared" si="57"/>
        <v>0</v>
      </c>
      <c r="F97" t="str">
        <f t="shared" si="58"/>
        <v/>
      </c>
      <c r="G97" t="str">
        <f t="shared" si="59"/>
        <v/>
      </c>
      <c r="K97" s="605">
        <v>29</v>
      </c>
      <c r="L97">
        <f t="shared" si="49"/>
        <v>0</v>
      </c>
      <c r="M97">
        <f>IF(L97=0,0,1+MAX($D$69:M96))</f>
        <v>0</v>
      </c>
      <c r="N97">
        <f t="shared" si="60"/>
        <v>0</v>
      </c>
      <c r="O97" t="str">
        <f t="shared" si="61"/>
        <v/>
      </c>
      <c r="P97" t="str">
        <f t="shared" si="62"/>
        <v/>
      </c>
      <c r="T97" s="605">
        <v>29</v>
      </c>
      <c r="U97">
        <f t="shared" si="50"/>
        <v>0</v>
      </c>
      <c r="V97">
        <f>IF(U97=0,0,1+MAX($D$69:V96))</f>
        <v>0</v>
      </c>
      <c r="W97">
        <f t="shared" si="63"/>
        <v>0</v>
      </c>
      <c r="X97" t="str">
        <f t="shared" si="64"/>
        <v/>
      </c>
      <c r="Y97" t="str">
        <f t="shared" si="65"/>
        <v/>
      </c>
      <c r="AC97" s="605">
        <v>29</v>
      </c>
      <c r="AD97">
        <f t="shared" si="51"/>
        <v>0</v>
      </c>
      <c r="AE97">
        <f>IF(AD97=0,0,1+MAX($D$69:AE96))</f>
        <v>0</v>
      </c>
      <c r="AF97">
        <f t="shared" si="66"/>
        <v>0</v>
      </c>
      <c r="AG97" t="str">
        <f t="shared" si="67"/>
        <v/>
      </c>
      <c r="AH97" t="str">
        <f t="shared" si="68"/>
        <v/>
      </c>
      <c r="AL97" s="605">
        <v>29</v>
      </c>
      <c r="AM97">
        <f t="shared" si="52"/>
        <v>0</v>
      </c>
      <c r="AN97">
        <f>IF(AM97=0,0,1+MAX($D$69:AN96))</f>
        <v>0</v>
      </c>
      <c r="AO97">
        <f t="shared" si="69"/>
        <v>0</v>
      </c>
      <c r="AP97" t="str">
        <f t="shared" si="70"/>
        <v/>
      </c>
      <c r="AQ97" t="str">
        <f t="shared" si="71"/>
        <v/>
      </c>
      <c r="AU97" s="605">
        <v>29</v>
      </c>
      <c r="AV97">
        <f t="shared" si="53"/>
        <v>0</v>
      </c>
      <c r="AW97">
        <f>IF(AV97=0,0,1+MAX($D$69:AW96))</f>
        <v>0</v>
      </c>
      <c r="AX97">
        <f t="shared" si="72"/>
        <v>0</v>
      </c>
      <c r="AY97" t="str">
        <f t="shared" si="73"/>
        <v/>
      </c>
      <c r="AZ97" t="str">
        <f t="shared" si="74"/>
        <v/>
      </c>
      <c r="BD97" s="605">
        <v>29</v>
      </c>
      <c r="BE97">
        <f t="shared" si="54"/>
        <v>0</v>
      </c>
      <c r="BF97">
        <f>IF(BE97=0,0,1+MAX($D$69:BF96))</f>
        <v>0</v>
      </c>
      <c r="BG97">
        <f t="shared" si="75"/>
        <v>0</v>
      </c>
      <c r="BH97" t="str">
        <f t="shared" si="76"/>
        <v/>
      </c>
      <c r="BI97" t="str">
        <f t="shared" si="77"/>
        <v/>
      </c>
      <c r="BM97" s="605">
        <v>29</v>
      </c>
      <c r="BN97">
        <f t="shared" si="55"/>
        <v>0</v>
      </c>
      <c r="BO97">
        <f>IF(BN97=0,0,1+MAX($D$69:BO96))</f>
        <v>0</v>
      </c>
      <c r="BP97">
        <f t="shared" si="78"/>
        <v>0</v>
      </c>
      <c r="BQ97" t="str">
        <f t="shared" si="79"/>
        <v/>
      </c>
      <c r="BR97" t="str">
        <f t="shared" si="80"/>
        <v/>
      </c>
      <c r="BV97" s="605">
        <v>29</v>
      </c>
      <c r="BW97">
        <f t="shared" si="56"/>
        <v>0</v>
      </c>
      <c r="BX97">
        <f>IF(BW97=0,0,1+MAX($D$69:BX96))</f>
        <v>0</v>
      </c>
      <c r="BY97">
        <f t="shared" si="81"/>
        <v>0</v>
      </c>
      <c r="BZ97" t="str">
        <f t="shared" si="82"/>
        <v/>
      </c>
      <c r="CA97" t="str">
        <f t="shared" si="83"/>
        <v/>
      </c>
      <c r="CE97" s="605"/>
      <c r="CN97" s="605"/>
    </row>
    <row r="98" spans="2:92" x14ac:dyDescent="0.25">
      <c r="B98" s="5">
        <v>30</v>
      </c>
      <c r="C98">
        <f t="shared" si="48"/>
        <v>0</v>
      </c>
      <c r="D98">
        <f>IF(C98=0,0,1+MAX($D$69:D97))</f>
        <v>0</v>
      </c>
      <c r="E98">
        <f t="shared" si="57"/>
        <v>0</v>
      </c>
      <c r="F98" t="str">
        <f t="shared" si="58"/>
        <v/>
      </c>
      <c r="G98" t="str">
        <f t="shared" si="59"/>
        <v/>
      </c>
      <c r="K98" s="605">
        <v>30</v>
      </c>
      <c r="L98">
        <f t="shared" si="49"/>
        <v>0</v>
      </c>
      <c r="M98">
        <f>IF(L98=0,0,1+MAX($D$69:M97))</f>
        <v>0</v>
      </c>
      <c r="N98">
        <f t="shared" si="60"/>
        <v>0</v>
      </c>
      <c r="O98" t="str">
        <f t="shared" si="61"/>
        <v/>
      </c>
      <c r="P98" t="str">
        <f t="shared" si="62"/>
        <v/>
      </c>
      <c r="T98" s="605">
        <v>30</v>
      </c>
      <c r="U98">
        <f t="shared" si="50"/>
        <v>0</v>
      </c>
      <c r="V98">
        <f>IF(U98=0,0,1+MAX($D$69:V97))</f>
        <v>0</v>
      </c>
      <c r="W98">
        <f t="shared" si="63"/>
        <v>0</v>
      </c>
      <c r="X98" t="str">
        <f t="shared" si="64"/>
        <v/>
      </c>
      <c r="Y98" t="str">
        <f t="shared" si="65"/>
        <v/>
      </c>
      <c r="AC98" s="605">
        <v>30</v>
      </c>
      <c r="AD98">
        <f t="shared" si="51"/>
        <v>0</v>
      </c>
      <c r="AE98">
        <f>IF(AD98=0,0,1+MAX($D$69:AE97))</f>
        <v>0</v>
      </c>
      <c r="AF98">
        <f t="shared" si="66"/>
        <v>0</v>
      </c>
      <c r="AG98" t="str">
        <f t="shared" si="67"/>
        <v/>
      </c>
      <c r="AH98" t="str">
        <f t="shared" si="68"/>
        <v/>
      </c>
      <c r="AL98" s="605">
        <v>30</v>
      </c>
      <c r="AM98">
        <f t="shared" si="52"/>
        <v>0</v>
      </c>
      <c r="AN98">
        <f>IF(AM98=0,0,1+MAX($D$69:AN97))</f>
        <v>0</v>
      </c>
      <c r="AO98">
        <f t="shared" si="69"/>
        <v>0</v>
      </c>
      <c r="AP98" t="str">
        <f t="shared" si="70"/>
        <v/>
      </c>
      <c r="AQ98" t="str">
        <f t="shared" si="71"/>
        <v/>
      </c>
      <c r="AU98" s="605">
        <v>30</v>
      </c>
      <c r="AV98">
        <f t="shared" si="53"/>
        <v>0</v>
      </c>
      <c r="AW98">
        <f>IF(AV98=0,0,1+MAX($D$69:AW97))</f>
        <v>0</v>
      </c>
      <c r="AX98">
        <f t="shared" si="72"/>
        <v>0</v>
      </c>
      <c r="AY98" t="str">
        <f t="shared" si="73"/>
        <v/>
      </c>
      <c r="AZ98" t="str">
        <f t="shared" si="74"/>
        <v/>
      </c>
      <c r="BD98" s="605">
        <v>30</v>
      </c>
      <c r="BE98">
        <f t="shared" si="54"/>
        <v>0</v>
      </c>
      <c r="BF98">
        <f>IF(BE98=0,0,1+MAX($D$69:BF97))</f>
        <v>0</v>
      </c>
      <c r="BG98">
        <f t="shared" si="75"/>
        <v>0</v>
      </c>
      <c r="BH98" t="str">
        <f t="shared" si="76"/>
        <v/>
      </c>
      <c r="BI98" t="str">
        <f t="shared" si="77"/>
        <v/>
      </c>
      <c r="BM98" s="605">
        <v>30</v>
      </c>
      <c r="BN98">
        <f t="shared" si="55"/>
        <v>0</v>
      </c>
      <c r="BO98">
        <f>IF(BN98=0,0,1+MAX($D$69:BO97))</f>
        <v>0</v>
      </c>
      <c r="BP98">
        <f t="shared" si="78"/>
        <v>0</v>
      </c>
      <c r="BQ98" t="str">
        <f t="shared" si="79"/>
        <v/>
      </c>
      <c r="BR98" t="str">
        <f t="shared" si="80"/>
        <v/>
      </c>
      <c r="BV98" s="605">
        <v>30</v>
      </c>
      <c r="BW98">
        <f t="shared" si="56"/>
        <v>0</v>
      </c>
      <c r="BX98">
        <f>IF(BW98=0,0,1+MAX($D$69:BX97))</f>
        <v>0</v>
      </c>
      <c r="BY98">
        <f t="shared" si="81"/>
        <v>0</v>
      </c>
      <c r="BZ98" t="str">
        <f t="shared" si="82"/>
        <v/>
      </c>
      <c r="CA98" t="str">
        <f t="shared" si="83"/>
        <v/>
      </c>
      <c r="CE98" s="605"/>
      <c r="CN98" s="605"/>
    </row>
  </sheetData>
  <mergeCells count="300">
    <mergeCell ref="B37:H66"/>
    <mergeCell ref="B5:G5"/>
    <mergeCell ref="BN34:BR34"/>
    <mergeCell ref="BW34:CA34"/>
    <mergeCell ref="C35:G35"/>
    <mergeCell ref="L35:P35"/>
    <mergeCell ref="U35:Y35"/>
    <mergeCell ref="AD35:AH35"/>
    <mergeCell ref="AM35:AQ35"/>
    <mergeCell ref="AV35:AZ35"/>
    <mergeCell ref="BE35:BI35"/>
    <mergeCell ref="BN35:BR35"/>
    <mergeCell ref="BE33:BI33"/>
    <mergeCell ref="BN33:BR33"/>
    <mergeCell ref="BW33:CA33"/>
    <mergeCell ref="C34:G34"/>
    <mergeCell ref="L34:P34"/>
    <mergeCell ref="U34:Y34"/>
    <mergeCell ref="AD34:AH34"/>
    <mergeCell ref="AM34:AQ34"/>
    <mergeCell ref="AV34:AZ34"/>
    <mergeCell ref="BE34:BI34"/>
    <mergeCell ref="C33:G33"/>
    <mergeCell ref="C31:G31"/>
    <mergeCell ref="L31:P31"/>
    <mergeCell ref="U31:Y31"/>
    <mergeCell ref="AD31:AH31"/>
    <mergeCell ref="AM31:AQ31"/>
    <mergeCell ref="AV31:AZ31"/>
    <mergeCell ref="BE31:BI31"/>
    <mergeCell ref="BN31:BR31"/>
    <mergeCell ref="BW35:CA35"/>
    <mergeCell ref="C32:G32"/>
    <mergeCell ref="L32:P32"/>
    <mergeCell ref="U32:Y32"/>
    <mergeCell ref="AD32:AH32"/>
    <mergeCell ref="AM32:AQ32"/>
    <mergeCell ref="AV32:AZ32"/>
    <mergeCell ref="BE32:BI32"/>
    <mergeCell ref="BN32:BR32"/>
    <mergeCell ref="BW32:CA32"/>
    <mergeCell ref="L33:P33"/>
    <mergeCell ref="U33:Y33"/>
    <mergeCell ref="AD33:AH33"/>
    <mergeCell ref="AM33:AQ33"/>
    <mergeCell ref="AV33:AZ33"/>
    <mergeCell ref="BW31:CA31"/>
    <mergeCell ref="BE29:BI29"/>
    <mergeCell ref="BN29:BR29"/>
    <mergeCell ref="BW29:CA29"/>
    <mergeCell ref="C30:G30"/>
    <mergeCell ref="L30:P30"/>
    <mergeCell ref="U30:Y30"/>
    <mergeCell ref="AD30:AH30"/>
    <mergeCell ref="AM30:AQ30"/>
    <mergeCell ref="AV30:AZ30"/>
    <mergeCell ref="BE30:BI30"/>
    <mergeCell ref="C29:G29"/>
    <mergeCell ref="L29:P29"/>
    <mergeCell ref="U29:Y29"/>
    <mergeCell ref="AD29:AH29"/>
    <mergeCell ref="AM29:AQ29"/>
    <mergeCell ref="AV29:AZ29"/>
    <mergeCell ref="BN30:BR30"/>
    <mergeCell ref="BW30:CA30"/>
    <mergeCell ref="C28:G28"/>
    <mergeCell ref="L28:P28"/>
    <mergeCell ref="U28:Y28"/>
    <mergeCell ref="AD28:AH28"/>
    <mergeCell ref="AM28:AQ28"/>
    <mergeCell ref="AV28:AZ28"/>
    <mergeCell ref="BE28:BI28"/>
    <mergeCell ref="BN28:BR28"/>
    <mergeCell ref="BW28:CA28"/>
    <mergeCell ref="C27:G27"/>
    <mergeCell ref="L27:P27"/>
    <mergeCell ref="U27:Y27"/>
    <mergeCell ref="AD27:AH27"/>
    <mergeCell ref="AM27:AQ27"/>
    <mergeCell ref="AV27:AZ27"/>
    <mergeCell ref="BE27:BI27"/>
    <mergeCell ref="BN27:BR27"/>
    <mergeCell ref="BW27:CA27"/>
    <mergeCell ref="BE25:BI25"/>
    <mergeCell ref="BN25:BR25"/>
    <mergeCell ref="BW25:CA25"/>
    <mergeCell ref="C26:G26"/>
    <mergeCell ref="L26:P26"/>
    <mergeCell ref="U26:Y26"/>
    <mergeCell ref="AD26:AH26"/>
    <mergeCell ref="AM26:AQ26"/>
    <mergeCell ref="AV26:AZ26"/>
    <mergeCell ref="BE26:BI26"/>
    <mergeCell ref="C25:G25"/>
    <mergeCell ref="L25:P25"/>
    <mergeCell ref="U25:Y25"/>
    <mergeCell ref="AD25:AH25"/>
    <mergeCell ref="AM25:AQ25"/>
    <mergeCell ref="AV25:AZ25"/>
    <mergeCell ref="BN26:BR26"/>
    <mergeCell ref="BW26:CA26"/>
    <mergeCell ref="C24:G24"/>
    <mergeCell ref="L24:P24"/>
    <mergeCell ref="U24:Y24"/>
    <mergeCell ref="AD24:AH24"/>
    <mergeCell ref="AM24:AQ24"/>
    <mergeCell ref="AV24:AZ24"/>
    <mergeCell ref="BE24:BI24"/>
    <mergeCell ref="BN24:BR24"/>
    <mergeCell ref="BW24:CA24"/>
    <mergeCell ref="C23:G23"/>
    <mergeCell ref="L23:P23"/>
    <mergeCell ref="U23:Y23"/>
    <mergeCell ref="AD23:AH23"/>
    <mergeCell ref="AM23:AQ23"/>
    <mergeCell ref="AV23:AZ23"/>
    <mergeCell ref="BE23:BI23"/>
    <mergeCell ref="BN23:BR23"/>
    <mergeCell ref="BW23:CA23"/>
    <mergeCell ref="BE21:BI21"/>
    <mergeCell ref="BN21:BR21"/>
    <mergeCell ref="BW21:CA21"/>
    <mergeCell ref="C22:G22"/>
    <mergeCell ref="L22:P22"/>
    <mergeCell ref="U22:Y22"/>
    <mergeCell ref="AD22:AH22"/>
    <mergeCell ref="AM22:AQ22"/>
    <mergeCell ref="AV22:AZ22"/>
    <mergeCell ref="BE22:BI22"/>
    <mergeCell ref="C21:G21"/>
    <mergeCell ref="L21:P21"/>
    <mergeCell ref="U21:Y21"/>
    <mergeCell ref="AD21:AH21"/>
    <mergeCell ref="AM21:AQ21"/>
    <mergeCell ref="AV21:AZ21"/>
    <mergeCell ref="BN22:BR22"/>
    <mergeCell ref="BW22:CA22"/>
    <mergeCell ref="C20:G20"/>
    <mergeCell ref="L20:P20"/>
    <mergeCell ref="U20:Y20"/>
    <mergeCell ref="AD20:AH20"/>
    <mergeCell ref="AM20:AQ20"/>
    <mergeCell ref="AV20:AZ20"/>
    <mergeCell ref="BE20:BI20"/>
    <mergeCell ref="BN20:BR20"/>
    <mergeCell ref="BW20:CA20"/>
    <mergeCell ref="C19:G19"/>
    <mergeCell ref="L19:P19"/>
    <mergeCell ref="U19:Y19"/>
    <mergeCell ref="AD19:AH19"/>
    <mergeCell ref="AM19:AQ19"/>
    <mergeCell ref="AV19:AZ19"/>
    <mergeCell ref="BE19:BI19"/>
    <mergeCell ref="BN19:BR19"/>
    <mergeCell ref="BW19:CA19"/>
    <mergeCell ref="BE17:BI17"/>
    <mergeCell ref="BN17:BR17"/>
    <mergeCell ref="BW17:CA17"/>
    <mergeCell ref="C18:G18"/>
    <mergeCell ref="L18:P18"/>
    <mergeCell ref="U18:Y18"/>
    <mergeCell ref="AD18:AH18"/>
    <mergeCell ref="AM18:AQ18"/>
    <mergeCell ref="AV18:AZ18"/>
    <mergeCell ref="BE18:BI18"/>
    <mergeCell ref="C17:G17"/>
    <mergeCell ref="L17:P17"/>
    <mergeCell ref="U17:Y17"/>
    <mergeCell ref="AD17:AH17"/>
    <mergeCell ref="AM17:AQ17"/>
    <mergeCell ref="AV17:AZ17"/>
    <mergeCell ref="BN18:BR18"/>
    <mergeCell ref="BW18:CA18"/>
    <mergeCell ref="C16:G16"/>
    <mergeCell ref="L16:P16"/>
    <mergeCell ref="U16:Y16"/>
    <mergeCell ref="AD16:AH16"/>
    <mergeCell ref="AM16:AQ16"/>
    <mergeCell ref="AV16:AZ16"/>
    <mergeCell ref="BE16:BI16"/>
    <mergeCell ref="BN16:BR16"/>
    <mergeCell ref="BW16:CA16"/>
    <mergeCell ref="C15:G15"/>
    <mergeCell ref="L15:P15"/>
    <mergeCell ref="U15:Y15"/>
    <mergeCell ref="AD15:AH15"/>
    <mergeCell ref="AM15:AQ15"/>
    <mergeCell ref="AV15:AZ15"/>
    <mergeCell ref="BE15:BI15"/>
    <mergeCell ref="BN15:BR15"/>
    <mergeCell ref="BW15:CA15"/>
    <mergeCell ref="BE13:BI13"/>
    <mergeCell ref="BN13:BR13"/>
    <mergeCell ref="BW13:CA13"/>
    <mergeCell ref="C14:G14"/>
    <mergeCell ref="L14:P14"/>
    <mergeCell ref="U14:Y14"/>
    <mergeCell ref="AD14:AH14"/>
    <mergeCell ref="AM14:AQ14"/>
    <mergeCell ref="AV14:AZ14"/>
    <mergeCell ref="BE14:BI14"/>
    <mergeCell ref="C13:G13"/>
    <mergeCell ref="L13:P13"/>
    <mergeCell ref="U13:Y13"/>
    <mergeCell ref="AD13:AH13"/>
    <mergeCell ref="AM13:AQ13"/>
    <mergeCell ref="AV13:AZ13"/>
    <mergeCell ref="BN14:BR14"/>
    <mergeCell ref="BW14:CA14"/>
    <mergeCell ref="C12:G12"/>
    <mergeCell ref="L12:P12"/>
    <mergeCell ref="U12:Y12"/>
    <mergeCell ref="AD12:AH12"/>
    <mergeCell ref="AM12:AQ12"/>
    <mergeCell ref="AV12:AZ12"/>
    <mergeCell ref="BE12:BI12"/>
    <mergeCell ref="BN12:BR12"/>
    <mergeCell ref="BW12:CA12"/>
    <mergeCell ref="C11:G11"/>
    <mergeCell ref="L11:P11"/>
    <mergeCell ref="U11:Y11"/>
    <mergeCell ref="AD11:AH11"/>
    <mergeCell ref="AM11:AQ11"/>
    <mergeCell ref="AV11:AZ11"/>
    <mergeCell ref="BE11:BI11"/>
    <mergeCell ref="BN11:BR11"/>
    <mergeCell ref="BW11:CA11"/>
    <mergeCell ref="BE9:BI9"/>
    <mergeCell ref="BN9:BR9"/>
    <mergeCell ref="BW9:CA9"/>
    <mergeCell ref="C10:G10"/>
    <mergeCell ref="L10:P10"/>
    <mergeCell ref="U10:Y10"/>
    <mergeCell ref="AD10:AH10"/>
    <mergeCell ref="AM10:AQ10"/>
    <mergeCell ref="AV10:AZ10"/>
    <mergeCell ref="BE10:BI10"/>
    <mergeCell ref="C9:G9"/>
    <mergeCell ref="L9:P9"/>
    <mergeCell ref="U9:Y9"/>
    <mergeCell ref="AD9:AH9"/>
    <mergeCell ref="AM9:AQ9"/>
    <mergeCell ref="AV9:AZ9"/>
    <mergeCell ref="BN10:BR10"/>
    <mergeCell ref="BW10:CA10"/>
    <mergeCell ref="C8:G8"/>
    <mergeCell ref="L8:P8"/>
    <mergeCell ref="U8:Y8"/>
    <mergeCell ref="AD8:AH8"/>
    <mergeCell ref="AM8:AQ8"/>
    <mergeCell ref="AV8:AZ8"/>
    <mergeCell ref="BE8:BI8"/>
    <mergeCell ref="BN8:BR8"/>
    <mergeCell ref="BW8:CA8"/>
    <mergeCell ref="C7:G7"/>
    <mergeCell ref="L7:P7"/>
    <mergeCell ref="U7:Y7"/>
    <mergeCell ref="AD7:AH7"/>
    <mergeCell ref="AM7:AQ7"/>
    <mergeCell ref="AV7:AZ7"/>
    <mergeCell ref="BE7:BI7"/>
    <mergeCell ref="BN7:BR7"/>
    <mergeCell ref="BW7:CA7"/>
    <mergeCell ref="CX5:CY5"/>
    <mergeCell ref="CZ5:DA5"/>
    <mergeCell ref="DB5:DC5"/>
    <mergeCell ref="C6:G6"/>
    <mergeCell ref="L6:P6"/>
    <mergeCell ref="U6:Y6"/>
    <mergeCell ref="AD6:AH6"/>
    <mergeCell ref="AM6:AQ6"/>
    <mergeCell ref="AV6:AZ6"/>
    <mergeCell ref="BE6:BI6"/>
    <mergeCell ref="CL5:CM5"/>
    <mergeCell ref="CN5:CO5"/>
    <mergeCell ref="CP5:CQ5"/>
    <mergeCell ref="CR5:CS5"/>
    <mergeCell ref="CT5:CU5"/>
    <mergeCell ref="CV5:CW5"/>
    <mergeCell ref="AC5:AH5"/>
    <mergeCell ref="AL5:AQ5"/>
    <mergeCell ref="BN6:BR6"/>
    <mergeCell ref="BW6:CA6"/>
    <mergeCell ref="BV5:CA5"/>
    <mergeCell ref="AU5:AZ5"/>
    <mergeCell ref="BD5:BI5"/>
    <mergeCell ref="BM5:BR5"/>
    <mergeCell ref="B1:F1"/>
    <mergeCell ref="G1:K1"/>
    <mergeCell ref="L1:P1"/>
    <mergeCell ref="Q1:U1"/>
    <mergeCell ref="S3:U3"/>
    <mergeCell ref="T5:Y5"/>
    <mergeCell ref="B2:D3"/>
    <mergeCell ref="E3:F3"/>
    <mergeCell ref="G3:H3"/>
    <mergeCell ref="I3:L3"/>
    <mergeCell ref="M3:O3"/>
    <mergeCell ref="P3:Q3"/>
    <mergeCell ref="K5:P5"/>
  </mergeCells>
  <dataValidations disablePrompts="1" count="6">
    <dataValidation type="list" allowBlank="1" showInputMessage="1" showErrorMessage="1" sqref="BS6:BT35" xr:uid="{00000000-0002-0000-0900-000000000000}">
      <formula1>$CH$11</formula1>
    </dataValidation>
    <dataValidation type="list" allowBlank="1" showInputMessage="1" showErrorMessage="1" sqref="BJ6:BK35" xr:uid="{00000000-0002-0000-0900-000001000000}">
      <formula1>$CH$10</formula1>
    </dataValidation>
    <dataValidation type="list" allowBlank="1" showInputMessage="1" showErrorMessage="1" sqref="BA6:BB35" xr:uid="{00000000-0002-0000-0900-000002000000}">
      <formula1>$CH$9</formula1>
    </dataValidation>
    <dataValidation type="list" allowBlank="1" showInputMessage="1" showErrorMessage="1" sqref="AR6:AS35" xr:uid="{00000000-0002-0000-0900-000003000000}">
      <formula1>$CH$8</formula1>
    </dataValidation>
    <dataValidation type="list" allowBlank="1" showInputMessage="1" showErrorMessage="1" sqref="AI6:AJ35" xr:uid="{00000000-0002-0000-0900-000004000000}">
      <formula1>$CH$7</formula1>
    </dataValidation>
    <dataValidation type="list" allowBlank="1" showInputMessage="1" showErrorMessage="1" sqref="CB6:CB35" xr:uid="{00000000-0002-0000-0900-000005000000}">
      <formula1>$CH$12</formula1>
    </dataValidation>
  </dataValidations>
  <hyperlinks>
    <hyperlink ref="B1:D1" location="LinkSpellsKnown" display="Back to Spellcasting" xr:uid="{00000000-0004-0000-0900-000000000000}"/>
    <hyperlink ref="G1:I1" location="LinkSpellsKnown" display="Back to Spellcasting" xr:uid="{00000000-0004-0000-0900-000001000000}"/>
    <hyperlink ref="G1:K1" location="SpellsKnownBard" display="to Bard Spells Known" xr:uid="{00000000-0004-0000-0900-000002000000}"/>
    <hyperlink ref="L1:N1" location="LinkSpellsKnown" display="Back to Spellcasting" xr:uid="{00000000-0004-0000-0900-000003000000}"/>
    <hyperlink ref="L1:P1" location="SheetSpellBook" display="to Wizard Spells Known" xr:uid="{00000000-0004-0000-0900-000004000000}"/>
    <hyperlink ref="Q1:S1" location="LinkSpellsKnown" display="Back to Spellcasting" xr:uid="{00000000-0004-0000-0900-000005000000}"/>
    <hyperlink ref="Q1:U1" location="SpellCastingIndex" display="to Spellcasting Index" xr:uid="{00000000-0004-0000-0900-000006000000}"/>
  </hyperlink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15">
    <tabColor theme="4" tint="0.39997558519241921"/>
  </sheetPr>
  <dimension ref="A1:CL98"/>
  <sheetViews>
    <sheetView zoomScale="115" zoomScaleNormal="115" workbookViewId="0">
      <selection activeCell="Q6" sqref="Q6"/>
    </sheetView>
  </sheetViews>
  <sheetFormatPr defaultColWidth="4.7109375" defaultRowHeight="15" x14ac:dyDescent="0.25"/>
  <cols>
    <col min="3" max="3" width="7.28515625" bestFit="1" customWidth="1"/>
    <col min="5" max="5" width="7.42578125" bestFit="1" customWidth="1"/>
    <col min="10" max="10" width="7.28515625" bestFit="1" customWidth="1"/>
    <col min="86" max="86" width="7.28515625" bestFit="1" customWidth="1"/>
  </cols>
  <sheetData>
    <row r="1" spans="1:90" ht="17.25" thickTop="1" thickBot="1" x14ac:dyDescent="0.3">
      <c r="A1" s="120"/>
      <c r="B1" s="1049" t="s">
        <v>6626</v>
      </c>
      <c r="C1" s="1049"/>
      <c r="D1" s="1049"/>
      <c r="E1" s="1049"/>
      <c r="F1" s="1049"/>
      <c r="G1" s="1049" t="s">
        <v>6648</v>
      </c>
      <c r="H1" s="1049"/>
      <c r="I1" s="1049"/>
      <c r="J1" s="1049"/>
      <c r="K1" s="1049"/>
      <c r="L1" s="1050" t="s">
        <v>6657</v>
      </c>
      <c r="M1" s="1050"/>
      <c r="N1" s="1050"/>
      <c r="O1" s="1050"/>
      <c r="P1" s="1050"/>
      <c r="Q1" s="120"/>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c r="CD1" s="120"/>
      <c r="CE1" s="565"/>
      <c r="CF1" s="570"/>
      <c r="CG1" s="570"/>
      <c r="CH1" s="570"/>
      <c r="CI1" s="570"/>
      <c r="CJ1" s="570"/>
      <c r="CK1" s="570"/>
    </row>
    <row r="2" spans="1:90" ht="15.75" thickTop="1" x14ac:dyDescent="0.25">
      <c r="A2" s="120"/>
      <c r="B2" s="1063" t="s">
        <v>6380</v>
      </c>
      <c r="C2" s="1063"/>
      <c r="D2" s="1063"/>
      <c r="E2" s="1059" t="s">
        <v>6360</v>
      </c>
      <c r="F2" s="1052"/>
      <c r="G2" s="1052" t="str">
        <f>DivineDomain</f>
        <v>0</v>
      </c>
      <c r="H2" s="1052"/>
      <c r="I2" s="1052"/>
      <c r="J2" s="1052" t="s">
        <v>6379</v>
      </c>
      <c r="K2" s="1052"/>
      <c r="L2" s="1052"/>
      <c r="M2" s="997" t="str">
        <f>IFERROR(INDEX(T041_ClassFeatures!$G$2:$G$1000,MATCH(DivineDomain,T041_ClassFeatures!$B$2:$B$1000,0),1),"")</f>
        <v/>
      </c>
      <c r="N2" s="997"/>
      <c r="O2" s="997"/>
      <c r="P2" s="997"/>
      <c r="Q2" s="997"/>
      <c r="R2" s="997"/>
      <c r="S2" s="997"/>
      <c r="T2" s="997"/>
      <c r="U2" s="997"/>
      <c r="V2" s="997"/>
      <c r="W2" s="997"/>
      <c r="X2" s="997"/>
      <c r="Y2" s="997"/>
      <c r="Z2" s="997"/>
      <c r="AA2" s="997"/>
      <c r="AB2" s="997"/>
      <c r="AC2" s="997"/>
      <c r="AD2" s="997"/>
      <c r="AE2" s="997"/>
      <c r="AF2" s="997"/>
      <c r="AG2" s="997"/>
      <c r="AH2" s="997"/>
      <c r="AI2" s="997"/>
      <c r="AJ2" s="997"/>
      <c r="AK2" s="997"/>
      <c r="AL2" s="997"/>
      <c r="AM2" s="997"/>
      <c r="AN2" s="997"/>
      <c r="AO2" s="997"/>
      <c r="AP2" s="997"/>
      <c r="AQ2" s="997"/>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c r="BY2" s="120"/>
      <c r="BZ2" s="120"/>
      <c r="CA2" s="120"/>
      <c r="CB2" s="120"/>
      <c r="CC2" s="120"/>
      <c r="CD2" s="120"/>
      <c r="CE2" s="565"/>
      <c r="CF2" s="570"/>
      <c r="CG2" s="570"/>
      <c r="CH2" s="570"/>
      <c r="CI2" s="570"/>
      <c r="CJ2" s="570"/>
      <c r="CK2" s="570"/>
    </row>
    <row r="3" spans="1:90" x14ac:dyDescent="0.25">
      <c r="A3" s="120"/>
      <c r="B3" s="1063"/>
      <c r="C3" s="1063"/>
      <c r="D3" s="1063"/>
      <c r="E3" s="1052" t="s">
        <v>62</v>
      </c>
      <c r="F3" s="1052"/>
      <c r="G3" s="1052">
        <f>ClericLevel</f>
        <v>0</v>
      </c>
      <c r="H3" s="1052"/>
      <c r="I3" s="1052"/>
      <c r="J3" s="1052" t="s">
        <v>6381</v>
      </c>
      <c r="K3" s="1052"/>
      <c r="L3" s="1052"/>
      <c r="M3" s="1051">
        <f>IF(G3=0,0,G3+WisMOD)</f>
        <v>0</v>
      </c>
      <c r="N3" s="1051"/>
      <c r="O3" s="1051"/>
      <c r="P3" s="1052" t="s">
        <v>6382</v>
      </c>
      <c r="Q3" s="1052"/>
      <c r="R3" s="1052"/>
      <c r="S3" s="1051">
        <f>COUNTIF($H$6:$H$35,"●")+COUNTIF($Q$6:$Q$35,"●")+COUNTIF($Z$6:$Z$35,"●")+COUNTIF($AI$6:$AI$35,"●")+COUNTIF($AR$6:$AR$35,"●")+COUNTIF($BA$6:$BA$35,"●")+COUNTIF($AR$6:$BJ$35,"●")++COUNTIF($BS$6:$BS$35,"●")+COUNTIF($CB$6:$CB$35,"●")</f>
        <v>9</v>
      </c>
      <c r="T3" s="1051"/>
      <c r="U3" s="1051"/>
      <c r="V3" s="1052" t="s">
        <v>6383</v>
      </c>
      <c r="W3" s="1052"/>
      <c r="X3" s="1052"/>
      <c r="Y3" s="1051">
        <f>ClericMaxSpellLevel</f>
        <v>0</v>
      </c>
      <c r="Z3" s="1051"/>
      <c r="AA3" s="1051"/>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120"/>
      <c r="BV3" s="120"/>
      <c r="BW3" s="120"/>
      <c r="BX3" s="120"/>
      <c r="BY3" s="120"/>
      <c r="BZ3" s="120"/>
      <c r="CA3" s="120"/>
      <c r="CB3" s="120"/>
      <c r="CC3" s="120"/>
      <c r="CD3" s="120"/>
      <c r="CE3" s="565"/>
      <c r="CF3" s="565"/>
      <c r="CG3" s="565"/>
      <c r="CH3" s="565"/>
      <c r="CI3" s="565"/>
      <c r="CJ3" s="565"/>
      <c r="CK3" s="565"/>
      <c r="CL3" s="120"/>
    </row>
    <row r="4" spans="1:90" x14ac:dyDescent="0.25">
      <c r="A4" s="120"/>
      <c r="B4" s="120"/>
      <c r="C4" s="120"/>
      <c r="D4" s="120"/>
      <c r="E4" s="120"/>
      <c r="F4" s="120"/>
      <c r="G4" s="120"/>
      <c r="H4" s="120"/>
      <c r="I4" s="545"/>
      <c r="J4" s="565"/>
      <c r="K4" s="120"/>
      <c r="L4" s="120"/>
      <c r="M4" s="120"/>
      <c r="N4" s="120"/>
      <c r="O4" s="120"/>
      <c r="P4" s="120"/>
      <c r="Q4" s="120"/>
      <c r="R4" s="120"/>
      <c r="S4" s="565"/>
      <c r="T4" s="120"/>
      <c r="U4" s="120"/>
      <c r="V4" s="120"/>
      <c r="W4" s="120"/>
      <c r="X4" s="120"/>
      <c r="Y4" s="120"/>
      <c r="Z4" s="120"/>
      <c r="AA4" s="120"/>
      <c r="AB4" s="565"/>
      <c r="AC4" s="120"/>
      <c r="AD4" s="120"/>
      <c r="AE4" s="120"/>
      <c r="AF4" s="120"/>
      <c r="AG4" s="120"/>
      <c r="AH4" s="120"/>
      <c r="AI4" s="120"/>
      <c r="AJ4" s="120"/>
      <c r="AK4" s="565"/>
      <c r="AL4" s="120"/>
      <c r="AM4" s="120"/>
      <c r="AN4" s="120"/>
      <c r="AO4" s="120"/>
      <c r="AP4" s="120"/>
      <c r="AQ4" s="120"/>
      <c r="AR4" s="120"/>
      <c r="AS4" s="120"/>
      <c r="AT4" s="565"/>
      <c r="AU4" s="120"/>
      <c r="AV4" s="120"/>
      <c r="AW4" s="120"/>
      <c r="AX4" s="120"/>
      <c r="AY4" s="120"/>
      <c r="AZ4" s="120"/>
      <c r="BA4" s="120"/>
      <c r="BB4" s="120"/>
      <c r="BC4" s="565"/>
      <c r="BD4" s="120"/>
      <c r="BE4" s="120"/>
      <c r="BF4" s="120"/>
      <c r="BG4" s="120"/>
      <c r="BH4" s="120"/>
      <c r="BI4" s="120"/>
      <c r="BJ4" s="120"/>
      <c r="BK4" s="120"/>
      <c r="BL4" s="565"/>
      <c r="BM4" s="120"/>
      <c r="BN4" s="120"/>
      <c r="BO4" s="120"/>
      <c r="BP4" s="120"/>
      <c r="BQ4" s="120"/>
      <c r="BR4" s="120"/>
      <c r="BS4" s="120"/>
      <c r="BT4" s="120"/>
      <c r="BU4" s="565"/>
      <c r="BV4" s="120"/>
      <c r="BW4" s="120"/>
      <c r="BX4" s="120"/>
      <c r="BY4" s="120"/>
      <c r="BZ4" s="120"/>
      <c r="CA4" s="120"/>
      <c r="CB4" s="120"/>
      <c r="CC4" s="120"/>
      <c r="CD4" s="565"/>
      <c r="CE4" s="565"/>
      <c r="CF4" s="565"/>
      <c r="CG4" s="565"/>
      <c r="CH4" s="565"/>
      <c r="CI4" s="565"/>
      <c r="CJ4" s="565"/>
      <c r="CK4" s="565"/>
      <c r="CL4" s="120"/>
    </row>
    <row r="5" spans="1:90" x14ac:dyDescent="0.25">
      <c r="A5" s="120"/>
      <c r="B5" s="1052" t="s">
        <v>6359</v>
      </c>
      <c r="C5" s="1052"/>
      <c r="D5" s="1052"/>
      <c r="E5" s="1052"/>
      <c r="F5" s="1052"/>
      <c r="G5" s="1052"/>
      <c r="H5" s="1052"/>
      <c r="I5" s="568" t="s">
        <v>6251</v>
      </c>
      <c r="J5" s="565"/>
      <c r="K5" s="1052" t="s">
        <v>6277</v>
      </c>
      <c r="L5" s="1052"/>
      <c r="M5" s="1052"/>
      <c r="N5" s="1052"/>
      <c r="O5" s="1052"/>
      <c r="P5" s="1052"/>
      <c r="Q5" s="1052"/>
      <c r="R5" s="568" t="s">
        <v>6251</v>
      </c>
      <c r="S5" s="565"/>
      <c r="T5" s="1052" t="s">
        <v>6279</v>
      </c>
      <c r="U5" s="1052"/>
      <c r="V5" s="1052"/>
      <c r="W5" s="1052"/>
      <c r="X5" s="1052"/>
      <c r="Y5" s="1052"/>
      <c r="Z5" s="1052"/>
      <c r="AA5" s="568" t="s">
        <v>6251</v>
      </c>
      <c r="AB5" s="565"/>
      <c r="AC5" s="1052" t="s">
        <v>6280</v>
      </c>
      <c r="AD5" s="1052"/>
      <c r="AE5" s="1052"/>
      <c r="AF5" s="1052"/>
      <c r="AG5" s="1052"/>
      <c r="AH5" s="1052"/>
      <c r="AI5" s="1052"/>
      <c r="AJ5" s="568" t="s">
        <v>6251</v>
      </c>
      <c r="AK5" s="565"/>
      <c r="AL5" s="1052" t="s">
        <v>6281</v>
      </c>
      <c r="AM5" s="1052"/>
      <c r="AN5" s="1052"/>
      <c r="AO5" s="1052"/>
      <c r="AP5" s="1052"/>
      <c r="AQ5" s="1052"/>
      <c r="AR5" s="1052"/>
      <c r="AS5" s="568" t="s">
        <v>6251</v>
      </c>
      <c r="AT5" s="565"/>
      <c r="AU5" s="1052" t="s">
        <v>6282</v>
      </c>
      <c r="AV5" s="1052"/>
      <c r="AW5" s="1052"/>
      <c r="AX5" s="1052"/>
      <c r="AY5" s="1052"/>
      <c r="AZ5" s="1052"/>
      <c r="BA5" s="1052"/>
      <c r="BB5" s="568" t="s">
        <v>6251</v>
      </c>
      <c r="BC5" s="565"/>
      <c r="BD5" s="1052" t="s">
        <v>6283</v>
      </c>
      <c r="BE5" s="1052"/>
      <c r="BF5" s="1052"/>
      <c r="BG5" s="1052"/>
      <c r="BH5" s="1052"/>
      <c r="BI5" s="1052"/>
      <c r="BJ5" s="1052"/>
      <c r="BK5" s="568" t="s">
        <v>6251</v>
      </c>
      <c r="BL5" s="565"/>
      <c r="BM5" s="1052" t="s">
        <v>6284</v>
      </c>
      <c r="BN5" s="1052"/>
      <c r="BO5" s="1052"/>
      <c r="BP5" s="1052"/>
      <c r="BQ5" s="1052"/>
      <c r="BR5" s="1052"/>
      <c r="BS5" s="1052"/>
      <c r="BT5" s="568" t="s">
        <v>6251</v>
      </c>
      <c r="BU5" s="565"/>
      <c r="BV5" s="1052" t="s">
        <v>6285</v>
      </c>
      <c r="BW5" s="1052"/>
      <c r="BX5" s="1052"/>
      <c r="BY5" s="1052"/>
      <c r="BZ5" s="1052"/>
      <c r="CA5" s="1052"/>
      <c r="CB5" s="1052"/>
      <c r="CC5" s="568" t="s">
        <v>6251</v>
      </c>
      <c r="CD5" s="565"/>
      <c r="CE5" s="565"/>
      <c r="CF5" s="565"/>
      <c r="CG5" s="565"/>
      <c r="CH5" s="565"/>
      <c r="CI5" s="565"/>
      <c r="CJ5" s="565"/>
      <c r="CK5" s="565"/>
      <c r="CL5" s="120"/>
    </row>
    <row r="6" spans="1:90" ht="21" x14ac:dyDescent="0.25">
      <c r="A6" s="120"/>
      <c r="B6" s="5">
        <v>1</v>
      </c>
      <c r="C6" s="1061" t="str">
        <f>IFERROR(INDEX(T08_Spells!$B$3:$B$407,MATCH(S02_Cleric!B6,T08_Spells!$DA$3:$DA$407,0),1),"")</f>
        <v>Bane</v>
      </c>
      <c r="D6" s="1061"/>
      <c r="E6" s="1061"/>
      <c r="F6" s="1061"/>
      <c r="G6" s="1061"/>
      <c r="H6" s="567" t="s">
        <v>6361</v>
      </c>
      <c r="I6" s="569" t="str">
        <f t="shared" ref="I6:I35" si="0">IF(1&lt;=$Y$3,IF(C6&lt;&gt;"",IF(IFERROR(SEARCH(C6,$M$2,1),0)&gt;0,"●",""),""),"")</f>
        <v/>
      </c>
      <c r="J6" s="565">
        <f>IF(OR(H6="●",I6="●"),1,0)</f>
        <v>1</v>
      </c>
      <c r="K6" s="5">
        <v>1</v>
      </c>
      <c r="L6" s="1061" t="str">
        <f>IFERROR(INDEX(T08_Spells!$B$3:$B$407,MATCH(S02_Cleric!K6,T08_Spells!$DB$3:$DB$407,0),1),"")</f>
        <v>Aid</v>
      </c>
      <c r="M6" s="1061"/>
      <c r="N6" s="1061"/>
      <c r="O6" s="1061"/>
      <c r="P6" s="1061"/>
      <c r="Q6" s="567" t="s">
        <v>6361</v>
      </c>
      <c r="R6" s="569" t="str">
        <f t="shared" ref="R6:R35" si="1">IF(2&lt;=$Y$3,IF(L6&lt;&gt;"",IF(IFERROR(SEARCH(L6,$M$2,1),0)&gt;0,"●",""),""),"")</f>
        <v/>
      </c>
      <c r="S6" s="565">
        <f>IF(OR(Q6="●",R6="●"),1,0)</f>
        <v>1</v>
      </c>
      <c r="T6" s="5">
        <v>1</v>
      </c>
      <c r="U6" s="1061" t="str">
        <f>IFERROR(INDEX(T08_Spells!$B$3:$B$407,MATCH(S02_Cleric!T6,T08_Spells!$DC$3:$DC$407,0),1),"")</f>
        <v>Animate Dead</v>
      </c>
      <c r="V6" s="1061"/>
      <c r="W6" s="1061"/>
      <c r="X6" s="1061"/>
      <c r="Y6" s="1061"/>
      <c r="Z6" s="567" t="s">
        <v>6361</v>
      </c>
      <c r="AA6" s="569" t="str">
        <f t="shared" ref="AA6:AA35" si="2">IF(3&lt;=$Y$3,IF(U6&lt;&gt;"",IF(IFERROR(SEARCH(U6,$M$2,1),0)&gt;0,"●",""),""),"")</f>
        <v/>
      </c>
      <c r="AB6" s="565">
        <f>IF(OR(Z6="●",AA6="●"),1,0)</f>
        <v>1</v>
      </c>
      <c r="AC6" s="5">
        <v>1</v>
      </c>
      <c r="AD6" s="1061" t="str">
        <f>IFERROR(INDEX(T08_Spells!$B$3:$B$407,MATCH(S02_Cleric!AC6,T08_Spells!$DD$3:$DD$407,0),1),"")</f>
        <v>Banishment</v>
      </c>
      <c r="AE6" s="1061"/>
      <c r="AF6" s="1061"/>
      <c r="AG6" s="1061"/>
      <c r="AH6" s="1061"/>
      <c r="AI6" s="567" t="s">
        <v>3034</v>
      </c>
      <c r="AJ6" s="569" t="str">
        <f t="shared" ref="AJ6:AJ35" si="3">IF(4&lt;=$Y$3,IF(AD6&lt;&gt;"",IF(IFERROR(SEARCH(AD6,$M$2,1),0)&gt;0,"●",""),""),"")</f>
        <v/>
      </c>
      <c r="AK6" s="565">
        <f>IF(OR(AI6="●",AJ6="●"),1,0)</f>
        <v>0</v>
      </c>
      <c r="AL6" s="5">
        <v>1</v>
      </c>
      <c r="AM6" s="1061" t="str">
        <f>IFERROR(INDEX(T08_Spells!$B$3:$B$407,MATCH(S02_Cleric!AL6,T08_Spells!$DE$3:$DE$407,0),1),"")</f>
        <v>Commune</v>
      </c>
      <c r="AN6" s="1061"/>
      <c r="AO6" s="1061"/>
      <c r="AP6" s="1061"/>
      <c r="AQ6" s="1061"/>
      <c r="AR6" s="567"/>
      <c r="AS6" s="569" t="str">
        <f t="shared" ref="AS6:AS35" si="4">IF(5&lt;=$Y$3,IF(AM6&lt;&gt;"",IF(IFERROR(SEARCH(AM6,$M$2,1),0)&gt;0,"●",""),""),"")</f>
        <v/>
      </c>
      <c r="AT6" s="565">
        <f>IF(OR(AR6="●",AS6="●"),1,0)</f>
        <v>0</v>
      </c>
      <c r="AU6" s="5">
        <v>1</v>
      </c>
      <c r="AV6" s="1061" t="str">
        <f>IFERROR(INDEX(T08_Spells!$B$3:$B$407,MATCH(S02_Cleric!AU6,T08_Spells!$DF$3:$DF$407,0),1),"")</f>
        <v>Blade Barrier</v>
      </c>
      <c r="AW6" s="1061"/>
      <c r="AX6" s="1061"/>
      <c r="AY6" s="1061"/>
      <c r="AZ6" s="1061"/>
      <c r="BA6" s="567"/>
      <c r="BB6" s="569" t="str">
        <f t="shared" ref="BB6:BB35" si="5">IF(6&lt;=$Y$3,IF(AV6&lt;&gt;"",IF(IFERROR(SEARCH(AV6,$M$2,1),0)&gt;0,"●",""),""),"")</f>
        <v/>
      </c>
      <c r="BC6" s="565">
        <f>IF(OR(BA6="●",BB6="●"),1,0)</f>
        <v>0</v>
      </c>
      <c r="BD6" s="5">
        <v>1</v>
      </c>
      <c r="BE6" s="1061" t="str">
        <f>IFERROR(INDEX(T08_Spells!$B$3:$B$407,MATCH(S02_Cleric!BD6,T08_Spells!$DG$3:$DG$407,0),1),"")</f>
        <v>Conjure Celestial</v>
      </c>
      <c r="BF6" s="1061"/>
      <c r="BG6" s="1061"/>
      <c r="BH6" s="1061"/>
      <c r="BI6" s="1061"/>
      <c r="BJ6" s="567"/>
      <c r="BK6" s="569" t="str">
        <f t="shared" ref="BK6:BK35" si="6">IF(7&lt;=$Y$3,IF(BE6&lt;&gt;"",IF(IFERROR(SEARCH(BE6,$M$2,1),0)&gt;0,"●",""),""),"")</f>
        <v/>
      </c>
      <c r="BL6" s="565">
        <f>IF(OR(BJ6="●",BK6="●"),1,0)</f>
        <v>0</v>
      </c>
      <c r="BM6" s="5">
        <v>1</v>
      </c>
      <c r="BN6" s="1061" t="str">
        <f>IFERROR(INDEX(T08_Spells!$B$3:$B$407,MATCH(S02_Cleric!BM6,T08_Spells!$DH$3:$DH$407,0),1),"")</f>
        <v>Antimagic Field</v>
      </c>
      <c r="BO6" s="1061"/>
      <c r="BP6" s="1061"/>
      <c r="BQ6" s="1061"/>
      <c r="BR6" s="1061"/>
      <c r="BS6" s="567"/>
      <c r="BT6" s="569" t="str">
        <f t="shared" ref="BT6:BT35" si="7">IF(8&lt;=$Y$3,IF(BN6&lt;&gt;"",IF(IFERROR(SEARCH(BN6,$M$2,1),0)&gt;0,"●",""),""),"")</f>
        <v/>
      </c>
      <c r="BU6" s="565">
        <f>IF(OR(BS6="●",BT6="●"),1,0)</f>
        <v>0</v>
      </c>
      <c r="BV6" s="5">
        <v>1</v>
      </c>
      <c r="BW6" s="1061" t="str">
        <f>IFERROR(INDEX(T08_Spells!$B$3:$B$407,MATCH(S02_Cleric!BV6,T08_Spells!$DI$3:$DI$407,0),1),"")</f>
        <v>Astral Projection</v>
      </c>
      <c r="BX6" s="1061"/>
      <c r="BY6" s="1061"/>
      <c r="BZ6" s="1061"/>
      <c r="CA6" s="1061"/>
      <c r="CB6" s="567"/>
      <c r="CC6" s="569" t="str">
        <f t="shared" ref="CC6:CC35" si="8">IF(9&lt;=$Y$3,IF(BW6&lt;&gt;"",IF(IFERROR(SEARCH(BW6,$M$2,1),0)&gt;0,"●",""),""),"")</f>
        <v/>
      </c>
      <c r="CD6" s="565">
        <f>IF(OR(CB6="●",CC6="●"),1,0)</f>
        <v>0</v>
      </c>
      <c r="CE6" s="565"/>
      <c r="CF6" s="565"/>
      <c r="CG6" s="565">
        <v>1</v>
      </c>
      <c r="CH6" s="566" t="str">
        <f t="shared" ref="CH6:CH14" si="9">IF(CG6&lt;=ClericMaxSpellLevel,"●","")</f>
        <v/>
      </c>
      <c r="CI6" s="565"/>
      <c r="CJ6" s="565"/>
      <c r="CK6" s="565"/>
      <c r="CL6" s="120"/>
    </row>
    <row r="7" spans="1:90" ht="21" x14ac:dyDescent="0.25">
      <c r="A7" s="120"/>
      <c r="B7" s="5">
        <v>2</v>
      </c>
      <c r="C7" s="1061" t="str">
        <f>IFERROR(INDEX(T08_Spells!$B$3:$B$407,MATCH(S02_Cleric!B7,T08_Spells!$DA$3:$DA$407,0),1),"")</f>
        <v>Bless</v>
      </c>
      <c r="D7" s="1061"/>
      <c r="E7" s="1061"/>
      <c r="F7" s="1061"/>
      <c r="G7" s="1061"/>
      <c r="H7" s="567" t="s">
        <v>3034</v>
      </c>
      <c r="I7" s="569" t="str">
        <f t="shared" si="0"/>
        <v/>
      </c>
      <c r="J7" s="565">
        <f>IF(OR(H7="●",I7="●"),1+COUNTIF(J6:J$6,"&gt;0"),0)</f>
        <v>0</v>
      </c>
      <c r="K7" s="5">
        <v>2</v>
      </c>
      <c r="L7" s="1061" t="str">
        <f>IFERROR(INDEX(T08_Spells!$B$3:$B$407,MATCH(S02_Cleric!K7,T08_Spells!$DB$3:$DB$407,0),1),"")</f>
        <v>Augury</v>
      </c>
      <c r="M7" s="1061"/>
      <c r="N7" s="1061"/>
      <c r="O7" s="1061"/>
      <c r="P7" s="1061"/>
      <c r="Q7" s="567"/>
      <c r="R7" s="569" t="str">
        <f t="shared" si="1"/>
        <v/>
      </c>
      <c r="S7" s="565">
        <f>IF(OR(Q7="●",R7="●"),1+COUNTIF(S6:S$6,"&gt;0"),0)</f>
        <v>0</v>
      </c>
      <c r="T7" s="5">
        <v>2</v>
      </c>
      <c r="U7" s="1061" t="str">
        <f>IFERROR(INDEX(T08_Spells!$B$3:$B$407,MATCH(S02_Cleric!T7,T08_Spells!$DC$3:$DC$407,0),1),"")</f>
        <v>Beacon of Hope</v>
      </c>
      <c r="V7" s="1061"/>
      <c r="W7" s="1061"/>
      <c r="X7" s="1061"/>
      <c r="Y7" s="1061"/>
      <c r="Z7" s="567"/>
      <c r="AA7" s="569" t="str">
        <f t="shared" si="2"/>
        <v/>
      </c>
      <c r="AB7" s="565">
        <f>IF(OR(Z7="●",AA7="●"),1+COUNTIF(AB6:AB$6,"&gt;0"),0)</f>
        <v>0</v>
      </c>
      <c r="AC7" s="5">
        <v>2</v>
      </c>
      <c r="AD7" s="1061" t="str">
        <f>IFERROR(INDEX(T08_Spells!$B$3:$B$407,MATCH(S02_Cleric!AC7,T08_Spells!$DD$3:$DD$407,0),1),"")</f>
        <v>Control Water</v>
      </c>
      <c r="AE7" s="1061"/>
      <c r="AF7" s="1061"/>
      <c r="AG7" s="1061"/>
      <c r="AH7" s="1061"/>
      <c r="AI7" s="567" t="s">
        <v>3034</v>
      </c>
      <c r="AJ7" s="569" t="str">
        <f t="shared" si="3"/>
        <v/>
      </c>
      <c r="AK7" s="565">
        <f>IF(OR(AI7="●",AJ7="●"),1+COUNTIF(AK6:AK$6,"&gt;0"),0)</f>
        <v>0</v>
      </c>
      <c r="AL7" s="5">
        <v>2</v>
      </c>
      <c r="AM7" s="1061" t="str">
        <f>IFERROR(INDEX(T08_Spells!$B$3:$B$407,MATCH(S02_Cleric!AL7,T08_Spells!$DE$3:$DE$407,0),1),"")</f>
        <v>Contagion</v>
      </c>
      <c r="AN7" s="1061"/>
      <c r="AO7" s="1061"/>
      <c r="AP7" s="1061"/>
      <c r="AQ7" s="1061"/>
      <c r="AR7" s="567"/>
      <c r="AS7" s="569" t="str">
        <f t="shared" si="4"/>
        <v/>
      </c>
      <c r="AT7" s="565">
        <f>IF(OR(AR7="●",AS7="●"),1+COUNTIF(AT6:AT$6,"&gt;0"),0)</f>
        <v>0</v>
      </c>
      <c r="AU7" s="5">
        <v>2</v>
      </c>
      <c r="AV7" s="1061" t="str">
        <f>IFERROR(INDEX(T08_Spells!$B$3:$B$407,MATCH(S02_Cleric!AU7,T08_Spells!$DF$3:$DF$407,0),1),"")</f>
        <v>Create Undead</v>
      </c>
      <c r="AW7" s="1061"/>
      <c r="AX7" s="1061"/>
      <c r="AY7" s="1061"/>
      <c r="AZ7" s="1061"/>
      <c r="BA7" s="567"/>
      <c r="BB7" s="569" t="str">
        <f t="shared" si="5"/>
        <v/>
      </c>
      <c r="BC7" s="565">
        <f>IF(OR(BA7="●",BB7="●"),1+COUNTIF(BC6:BC$6,"&gt;0"),0)</f>
        <v>0</v>
      </c>
      <c r="BD7" s="5">
        <v>2</v>
      </c>
      <c r="BE7" s="1061" t="str">
        <f>IFERROR(INDEX(T08_Spells!$B$3:$B$407,MATCH(S02_Cleric!BD7,T08_Spells!$DG$3:$DG$407,0),1),"")</f>
        <v>Divine Word</v>
      </c>
      <c r="BF7" s="1061"/>
      <c r="BG7" s="1061"/>
      <c r="BH7" s="1061"/>
      <c r="BI7" s="1061"/>
      <c r="BJ7" s="567"/>
      <c r="BK7" s="569" t="str">
        <f t="shared" si="6"/>
        <v/>
      </c>
      <c r="BL7" s="565">
        <f>IF(OR(BJ7="●",BK7="●"),1+COUNTIF(BL6:BL$6,"&gt;0"),0)</f>
        <v>0</v>
      </c>
      <c r="BM7" s="5">
        <v>2</v>
      </c>
      <c r="BN7" s="1061" t="str">
        <f>IFERROR(INDEX(T08_Spells!$B$3:$B$407,MATCH(S02_Cleric!BM7,T08_Spells!$DH$3:$DH$407,0),1),"")</f>
        <v>Control Weather</v>
      </c>
      <c r="BO7" s="1061"/>
      <c r="BP7" s="1061"/>
      <c r="BQ7" s="1061"/>
      <c r="BR7" s="1061"/>
      <c r="BS7" s="567"/>
      <c r="BT7" s="569" t="str">
        <f t="shared" si="7"/>
        <v/>
      </c>
      <c r="BU7" s="565">
        <f>IF(OR(BS7="●",BT7="●"),1+COUNTIF(BU6:BU$6,"&gt;0"),0)</f>
        <v>0</v>
      </c>
      <c r="BV7" s="5">
        <v>2</v>
      </c>
      <c r="BW7" s="1061" t="str">
        <f>IFERROR(INDEX(T08_Spells!$B$3:$B$407,MATCH(S02_Cleric!BV7,T08_Spells!$DI$3:$DI$407,0),1),"")</f>
        <v>Gate</v>
      </c>
      <c r="BX7" s="1061"/>
      <c r="BY7" s="1061"/>
      <c r="BZ7" s="1061"/>
      <c r="CA7" s="1061"/>
      <c r="CB7" s="567"/>
      <c r="CC7" s="569" t="str">
        <f t="shared" si="8"/>
        <v/>
      </c>
      <c r="CD7" s="565">
        <f>IF(OR(CB7="●",CC7="●"),1+COUNTIF(CD6:CD$6,"&gt;0"),0)</f>
        <v>0</v>
      </c>
      <c r="CE7" s="565"/>
      <c r="CF7" s="565"/>
      <c r="CG7" s="565">
        <v>2</v>
      </c>
      <c r="CH7" s="566" t="str">
        <f t="shared" si="9"/>
        <v/>
      </c>
      <c r="CI7" s="565"/>
      <c r="CJ7" s="565"/>
      <c r="CK7" s="565"/>
      <c r="CL7" s="120"/>
    </row>
    <row r="8" spans="1:90" ht="21" x14ac:dyDescent="0.25">
      <c r="A8" s="120"/>
      <c r="B8" s="5">
        <v>3</v>
      </c>
      <c r="C8" s="1061" t="str">
        <f>IFERROR(INDEX(T08_Spells!$B$3:$B$407,MATCH(S02_Cleric!B8,T08_Spells!$DA$3:$DA$407,0),1),"")</f>
        <v>Command</v>
      </c>
      <c r="D8" s="1061"/>
      <c r="E8" s="1061"/>
      <c r="F8" s="1061"/>
      <c r="G8" s="1061"/>
      <c r="H8" s="567"/>
      <c r="I8" s="569" t="str">
        <f t="shared" si="0"/>
        <v/>
      </c>
      <c r="J8" s="565">
        <f>IF(OR(H8="●",I8="●"),1+COUNTIF(J$6:J7,"&gt;0"),0)</f>
        <v>0</v>
      </c>
      <c r="K8" s="5">
        <v>3</v>
      </c>
      <c r="L8" s="1061" t="str">
        <f>IFERROR(INDEX(T08_Spells!$B$3:$B$407,MATCH(S02_Cleric!K8,T08_Spells!$DB$3:$DB$407,0),1),"")</f>
        <v>Blindness/Deafness</v>
      </c>
      <c r="M8" s="1061"/>
      <c r="N8" s="1061"/>
      <c r="O8" s="1061"/>
      <c r="P8" s="1061"/>
      <c r="Q8" s="567"/>
      <c r="R8" s="569" t="str">
        <f t="shared" si="1"/>
        <v/>
      </c>
      <c r="S8" s="565">
        <f>IF(OR(Q8="●",R8="●"),1+COUNTIF(S$6:S7,"&gt;0"),0)</f>
        <v>0</v>
      </c>
      <c r="T8" s="5">
        <v>3</v>
      </c>
      <c r="U8" s="1061" t="str">
        <f>IFERROR(INDEX(T08_Spells!$B$3:$B$407,MATCH(S02_Cleric!T8,T08_Spells!$DC$3:$DC$407,0),1),"")</f>
        <v>Bestow Curse</v>
      </c>
      <c r="V8" s="1061"/>
      <c r="W8" s="1061"/>
      <c r="X8" s="1061"/>
      <c r="Y8" s="1061"/>
      <c r="Z8" s="567"/>
      <c r="AA8" s="569" t="str">
        <f t="shared" si="2"/>
        <v/>
      </c>
      <c r="AB8" s="565">
        <f>IF(OR(Z8="●",AA8="●"),1+COUNTIF(AB$6:AB7,"&gt;0"),0)</f>
        <v>0</v>
      </c>
      <c r="AC8" s="5">
        <v>3</v>
      </c>
      <c r="AD8" s="1061" t="str">
        <f>IFERROR(INDEX(T08_Spells!$B$3:$B$407,MATCH(S02_Cleric!AC8,T08_Spells!$DD$3:$DD$407,0),1),"")</f>
        <v>Death Ward</v>
      </c>
      <c r="AE8" s="1061"/>
      <c r="AF8" s="1061"/>
      <c r="AG8" s="1061"/>
      <c r="AH8" s="1061"/>
      <c r="AI8" s="567" t="s">
        <v>3034</v>
      </c>
      <c r="AJ8" s="569" t="str">
        <f t="shared" si="3"/>
        <v/>
      </c>
      <c r="AK8" s="565">
        <f>IF(OR(AI8="●",AJ8="●"),1+COUNTIF(AK$6:AK7,"&gt;0"),0)</f>
        <v>0</v>
      </c>
      <c r="AL8" s="5">
        <v>3</v>
      </c>
      <c r="AM8" s="1061" t="str">
        <f>IFERROR(INDEX(T08_Spells!$B$3:$B$407,MATCH(S02_Cleric!AL8,T08_Spells!$DE$3:$DE$407,0),1),"")</f>
        <v>Dispel Evil and Good</v>
      </c>
      <c r="AN8" s="1061"/>
      <c r="AO8" s="1061"/>
      <c r="AP8" s="1061"/>
      <c r="AQ8" s="1061"/>
      <c r="AR8" s="567"/>
      <c r="AS8" s="569" t="str">
        <f t="shared" si="4"/>
        <v/>
      </c>
      <c r="AT8" s="565">
        <f>IF(OR(AR8="●",AS8="●"),1+COUNTIF(AT$6:AT7,"&gt;0"),0)</f>
        <v>0</v>
      </c>
      <c r="AU8" s="5">
        <v>3</v>
      </c>
      <c r="AV8" s="1061" t="str">
        <f>IFERROR(INDEX(T08_Spells!$B$3:$B$407,MATCH(S02_Cleric!AU8,T08_Spells!$DF$3:$DF$407,0),1),"")</f>
        <v>Find the Path</v>
      </c>
      <c r="AW8" s="1061"/>
      <c r="AX8" s="1061"/>
      <c r="AY8" s="1061"/>
      <c r="AZ8" s="1061"/>
      <c r="BA8" s="567"/>
      <c r="BB8" s="569" t="str">
        <f t="shared" si="5"/>
        <v/>
      </c>
      <c r="BC8" s="565">
        <f>IF(OR(BA8="●",BB8="●"),1+COUNTIF(BC$6:BC7,"&gt;0"),0)</f>
        <v>0</v>
      </c>
      <c r="BD8" s="5">
        <v>3</v>
      </c>
      <c r="BE8" s="1061" t="str">
        <f>IFERROR(INDEX(T08_Spells!$B$3:$B$407,MATCH(S02_Cleric!BD8,T08_Spells!$DG$3:$DG$407,0),1),"")</f>
        <v>Etherealness</v>
      </c>
      <c r="BF8" s="1061"/>
      <c r="BG8" s="1061"/>
      <c r="BH8" s="1061"/>
      <c r="BI8" s="1061"/>
      <c r="BJ8" s="567"/>
      <c r="BK8" s="569" t="str">
        <f t="shared" si="6"/>
        <v/>
      </c>
      <c r="BL8" s="565">
        <f>IF(OR(BJ8="●",BK8="●"),1+COUNTIF(BL$6:BL7,"&gt;0"),0)</f>
        <v>0</v>
      </c>
      <c r="BM8" s="5">
        <v>3</v>
      </c>
      <c r="BN8" s="1061" t="str">
        <f>IFERROR(INDEX(T08_Spells!$B$3:$B$407,MATCH(S02_Cleric!BM8,T08_Spells!$DH$3:$DH$407,0),1),"")</f>
        <v>Earthquake</v>
      </c>
      <c r="BO8" s="1061"/>
      <c r="BP8" s="1061"/>
      <c r="BQ8" s="1061"/>
      <c r="BR8" s="1061"/>
      <c r="BS8" s="567"/>
      <c r="BT8" s="569" t="str">
        <f t="shared" si="7"/>
        <v/>
      </c>
      <c r="BU8" s="565">
        <f>IF(OR(BS8="●",BT8="●"),1+COUNTIF(BU$6:BU7,"&gt;0"),0)</f>
        <v>0</v>
      </c>
      <c r="BV8" s="5">
        <v>3</v>
      </c>
      <c r="BW8" s="1061" t="str">
        <f>IFERROR(INDEX(T08_Spells!$B$3:$B$407,MATCH(S02_Cleric!BV8,T08_Spells!$DI$3:$DI$407,0),1),"")</f>
        <v>Mass Heal</v>
      </c>
      <c r="BX8" s="1061"/>
      <c r="BY8" s="1061"/>
      <c r="BZ8" s="1061"/>
      <c r="CA8" s="1061"/>
      <c r="CB8" s="567"/>
      <c r="CC8" s="569" t="str">
        <f t="shared" si="8"/>
        <v/>
      </c>
      <c r="CD8" s="565">
        <f>IF(OR(CB8="●",CC8="●"),1+COUNTIF(CD$6:CD7,"&gt;0"),0)</f>
        <v>0</v>
      </c>
      <c r="CE8" s="565"/>
      <c r="CF8" s="565"/>
      <c r="CG8" s="565">
        <v>3</v>
      </c>
      <c r="CH8" s="566" t="str">
        <f t="shared" si="9"/>
        <v/>
      </c>
      <c r="CI8" s="565"/>
      <c r="CJ8" s="565"/>
      <c r="CK8" s="565"/>
      <c r="CL8" s="120"/>
    </row>
    <row r="9" spans="1:90" ht="21" x14ac:dyDescent="0.25">
      <c r="A9" s="120"/>
      <c r="B9" s="5">
        <v>4</v>
      </c>
      <c r="C9" s="1061" t="str">
        <f>IFERROR(INDEX(T08_Spells!$B$3:$B$407,MATCH(S02_Cleric!B9,T08_Spells!$DA$3:$DA$407,0),1),"")</f>
        <v>Create or Destroy Water</v>
      </c>
      <c r="D9" s="1061"/>
      <c r="E9" s="1061"/>
      <c r="F9" s="1061"/>
      <c r="G9" s="1061"/>
      <c r="H9" s="567"/>
      <c r="I9" s="569" t="str">
        <f t="shared" si="0"/>
        <v/>
      </c>
      <c r="J9" s="565">
        <f>IF(OR(H9="●",I9="●"),1+COUNTIF(J$6:J8,"&gt;0"),0)</f>
        <v>0</v>
      </c>
      <c r="K9" s="5">
        <v>4</v>
      </c>
      <c r="L9" s="1061" t="str">
        <f>IFERROR(INDEX(T08_Spells!$B$3:$B$407,MATCH(S02_Cleric!K9,T08_Spells!$DB$3:$DB$407,0),1),"")</f>
        <v>Calm Emotions</v>
      </c>
      <c r="M9" s="1061"/>
      <c r="N9" s="1061"/>
      <c r="O9" s="1061"/>
      <c r="P9" s="1061"/>
      <c r="Q9" s="567"/>
      <c r="R9" s="569" t="str">
        <f t="shared" si="1"/>
        <v/>
      </c>
      <c r="S9" s="565">
        <f>IF(OR(Q9="●",R9="●"),1+COUNTIF(S$6:S8,"&gt;0"),0)</f>
        <v>0</v>
      </c>
      <c r="T9" s="5">
        <v>4</v>
      </c>
      <c r="U9" s="1061" t="str">
        <f>IFERROR(INDEX(T08_Spells!$B$3:$B$407,MATCH(S02_Cleric!T9,T08_Spells!$DC$3:$DC$407,0),1),"")</f>
        <v>Clairvoyance</v>
      </c>
      <c r="V9" s="1061"/>
      <c r="W9" s="1061"/>
      <c r="X9" s="1061"/>
      <c r="Y9" s="1061"/>
      <c r="Z9" s="567"/>
      <c r="AA9" s="569" t="str">
        <f t="shared" si="2"/>
        <v/>
      </c>
      <c r="AB9" s="565">
        <f>IF(OR(Z9="●",AA9="●"),1+COUNTIF(AB$6:AB8,"&gt;0"),0)</f>
        <v>0</v>
      </c>
      <c r="AC9" s="5">
        <v>4</v>
      </c>
      <c r="AD9" s="1061" t="str">
        <f>IFERROR(INDEX(T08_Spells!$B$3:$B$407,MATCH(S02_Cleric!AC9,T08_Spells!$DD$3:$DD$407,0),1),"")</f>
        <v>Divination</v>
      </c>
      <c r="AE9" s="1061"/>
      <c r="AF9" s="1061"/>
      <c r="AG9" s="1061"/>
      <c r="AH9" s="1061"/>
      <c r="AI9" s="567" t="s">
        <v>3034</v>
      </c>
      <c r="AJ9" s="569" t="str">
        <f t="shared" si="3"/>
        <v/>
      </c>
      <c r="AK9" s="565">
        <f>IF(OR(AI9="●",AJ9="●"),1+COUNTIF(AK$6:AK8,"&gt;0"),0)</f>
        <v>0</v>
      </c>
      <c r="AL9" s="5">
        <v>4</v>
      </c>
      <c r="AM9" s="1061" t="str">
        <f>IFERROR(INDEX(T08_Spells!$B$3:$B$407,MATCH(S02_Cleric!AL9,T08_Spells!$DE$3:$DE$407,0),1),"")</f>
        <v>Flame Strike</v>
      </c>
      <c r="AN9" s="1061"/>
      <c r="AO9" s="1061"/>
      <c r="AP9" s="1061"/>
      <c r="AQ9" s="1061"/>
      <c r="AR9" s="567"/>
      <c r="AS9" s="569" t="str">
        <f t="shared" si="4"/>
        <v/>
      </c>
      <c r="AT9" s="565">
        <f>IF(OR(AR9="●",AS9="●"),1+COUNTIF(AT$6:AT8,"&gt;0"),0)</f>
        <v>0</v>
      </c>
      <c r="AU9" s="5">
        <v>4</v>
      </c>
      <c r="AV9" s="1061" t="str">
        <f>IFERROR(INDEX(T08_Spells!$B$3:$B$407,MATCH(S02_Cleric!AU9,T08_Spells!$DF$3:$DF$407,0),1),"")</f>
        <v>Forbiddance</v>
      </c>
      <c r="AW9" s="1061"/>
      <c r="AX9" s="1061"/>
      <c r="AY9" s="1061"/>
      <c r="AZ9" s="1061"/>
      <c r="BA9" s="567"/>
      <c r="BB9" s="569" t="str">
        <f t="shared" si="5"/>
        <v/>
      </c>
      <c r="BC9" s="565">
        <f>IF(OR(BA9="●",BB9="●"),1+COUNTIF(BC$6:BC8,"&gt;0"),0)</f>
        <v>0</v>
      </c>
      <c r="BD9" s="5">
        <v>4</v>
      </c>
      <c r="BE9" s="1061" t="str">
        <f>IFERROR(INDEX(T08_Spells!$B$3:$B$407,MATCH(S02_Cleric!BD9,T08_Spells!$DG$3:$DG$407,0),1),"")</f>
        <v>Fire Storm</v>
      </c>
      <c r="BF9" s="1061"/>
      <c r="BG9" s="1061"/>
      <c r="BH9" s="1061"/>
      <c r="BI9" s="1061"/>
      <c r="BJ9" s="567"/>
      <c r="BK9" s="569" t="str">
        <f t="shared" si="6"/>
        <v/>
      </c>
      <c r="BL9" s="565">
        <f>IF(OR(BJ9="●",BK9="●"),1+COUNTIF(BL$6:BL8,"&gt;0"),0)</f>
        <v>0</v>
      </c>
      <c r="BM9" s="5">
        <v>4</v>
      </c>
      <c r="BN9" s="1061" t="str">
        <f>IFERROR(INDEX(T08_Spells!$B$3:$B$407,MATCH(S02_Cleric!BM9,T08_Spells!$DH$3:$DH$407,0),1),"")</f>
        <v>Holy Aura</v>
      </c>
      <c r="BO9" s="1061"/>
      <c r="BP9" s="1061"/>
      <c r="BQ9" s="1061"/>
      <c r="BR9" s="1061"/>
      <c r="BS9" s="567"/>
      <c r="BT9" s="569" t="str">
        <f t="shared" si="7"/>
        <v/>
      </c>
      <c r="BU9" s="565">
        <f>IF(OR(BS9="●",BT9="●"),1+COUNTIF(BU$6:BU8,"&gt;0"),0)</f>
        <v>0</v>
      </c>
      <c r="BV9" s="5">
        <v>4</v>
      </c>
      <c r="BW9" s="1061" t="str">
        <f>IFERROR(INDEX(T08_Spells!$B$3:$B$407,MATCH(S02_Cleric!BV9,T08_Spells!$DI$3:$DI$407,0),1),"")</f>
        <v>Power Word Heal</v>
      </c>
      <c r="BX9" s="1061"/>
      <c r="BY9" s="1061"/>
      <c r="BZ9" s="1061"/>
      <c r="CA9" s="1061"/>
      <c r="CB9" s="567"/>
      <c r="CC9" s="569" t="str">
        <f t="shared" si="8"/>
        <v/>
      </c>
      <c r="CD9" s="565">
        <f>IF(OR(CB9="●",CC9="●"),1+COUNTIF(CD$6:CD8,"&gt;0"),0)</f>
        <v>0</v>
      </c>
      <c r="CE9" s="565"/>
      <c r="CF9" s="565"/>
      <c r="CG9" s="565">
        <v>4</v>
      </c>
      <c r="CH9" s="566" t="str">
        <f t="shared" si="9"/>
        <v/>
      </c>
      <c r="CI9" s="565"/>
      <c r="CJ9" s="565"/>
      <c r="CK9" s="565"/>
      <c r="CL9" s="120"/>
    </row>
    <row r="10" spans="1:90" ht="21" x14ac:dyDescent="0.25">
      <c r="A10" s="120"/>
      <c r="B10" s="5">
        <v>5</v>
      </c>
      <c r="C10" s="1061" t="str">
        <f>IFERROR(INDEX(T08_Spells!$B$3:$B$407,MATCH(S02_Cleric!B10,T08_Spells!$DA$3:$DA$407,0),1),"")</f>
        <v>Cure Wounds</v>
      </c>
      <c r="D10" s="1061"/>
      <c r="E10" s="1061"/>
      <c r="F10" s="1061"/>
      <c r="G10" s="1061"/>
      <c r="H10" s="567" t="s">
        <v>6361</v>
      </c>
      <c r="I10" s="569" t="str">
        <f t="shared" si="0"/>
        <v/>
      </c>
      <c r="J10" s="565">
        <f>IF(OR(H10="●",I10="●"),1+COUNTIF(J$6:J9,"&gt;0"),0)</f>
        <v>2</v>
      </c>
      <c r="K10" s="5">
        <v>5</v>
      </c>
      <c r="L10" s="1061" t="str">
        <f>IFERROR(INDEX(T08_Spells!$B$3:$B$407,MATCH(S02_Cleric!K10,T08_Spells!$DB$3:$DB$407,0),1),"")</f>
        <v>Enhance Ability</v>
      </c>
      <c r="M10" s="1061"/>
      <c r="N10" s="1061"/>
      <c r="O10" s="1061"/>
      <c r="P10" s="1061"/>
      <c r="Q10" s="567"/>
      <c r="R10" s="569" t="str">
        <f t="shared" si="1"/>
        <v/>
      </c>
      <c r="S10" s="565">
        <f>IF(OR(Q10="●",R10="●"),1+COUNTIF(S$6:S9,"&gt;0"),0)</f>
        <v>0</v>
      </c>
      <c r="T10" s="5">
        <v>5</v>
      </c>
      <c r="U10" s="1061" t="str">
        <f>IFERROR(INDEX(T08_Spells!$B$3:$B$407,MATCH(S02_Cleric!T10,T08_Spells!$DC$3:$DC$407,0),1),"")</f>
        <v>Create Food and Water</v>
      </c>
      <c r="V10" s="1061"/>
      <c r="W10" s="1061"/>
      <c r="X10" s="1061"/>
      <c r="Y10" s="1061"/>
      <c r="Z10" s="567"/>
      <c r="AA10" s="569" t="str">
        <f t="shared" si="2"/>
        <v/>
      </c>
      <c r="AB10" s="565">
        <f>IF(OR(Z10="●",AA10="●"),1+COUNTIF(AB$6:AB9,"&gt;0"),0)</f>
        <v>0</v>
      </c>
      <c r="AC10" s="5">
        <v>5</v>
      </c>
      <c r="AD10" s="1061" t="str">
        <f>IFERROR(INDEX(T08_Spells!$B$3:$B$407,MATCH(S02_Cleric!AC10,T08_Spells!$DD$3:$DD$407,0),1),"")</f>
        <v>Freedom of Movement</v>
      </c>
      <c r="AE10" s="1061"/>
      <c r="AF10" s="1061"/>
      <c r="AG10" s="1061"/>
      <c r="AH10" s="1061"/>
      <c r="AI10" s="567" t="s">
        <v>3034</v>
      </c>
      <c r="AJ10" s="569" t="str">
        <f t="shared" si="3"/>
        <v/>
      </c>
      <c r="AK10" s="565">
        <f>IF(OR(AI10="●",AJ10="●"),1+COUNTIF(AK$6:AK9,"&gt;0"),0)</f>
        <v>0</v>
      </c>
      <c r="AL10" s="5">
        <v>5</v>
      </c>
      <c r="AM10" s="1061" t="str">
        <f>IFERROR(INDEX(T08_Spells!$B$3:$B$407,MATCH(S02_Cleric!AL10,T08_Spells!$DE$3:$DE$407,0),1),"")</f>
        <v>Geas</v>
      </c>
      <c r="AN10" s="1061"/>
      <c r="AO10" s="1061"/>
      <c r="AP10" s="1061"/>
      <c r="AQ10" s="1061"/>
      <c r="AR10" s="567"/>
      <c r="AS10" s="569" t="str">
        <f t="shared" si="4"/>
        <v/>
      </c>
      <c r="AT10" s="565">
        <f>IF(OR(AR10="●",AS10="●"),1+COUNTIF(AT$6:AT9,"&gt;0"),0)</f>
        <v>0</v>
      </c>
      <c r="AU10" s="5">
        <v>5</v>
      </c>
      <c r="AV10" s="1061" t="str">
        <f>IFERROR(INDEX(T08_Spells!$B$3:$B$407,MATCH(S02_Cleric!AU10,T08_Spells!$DF$3:$DF$407,0),1),"")</f>
        <v>Harm</v>
      </c>
      <c r="AW10" s="1061"/>
      <c r="AX10" s="1061"/>
      <c r="AY10" s="1061"/>
      <c r="AZ10" s="1061"/>
      <c r="BA10" s="567"/>
      <c r="BB10" s="569" t="str">
        <f t="shared" si="5"/>
        <v/>
      </c>
      <c r="BC10" s="565">
        <f>IF(OR(BA10="●",BB10="●"),1+COUNTIF(BC$6:BC9,"&gt;0"),0)</f>
        <v>0</v>
      </c>
      <c r="BD10" s="5">
        <v>5</v>
      </c>
      <c r="BE10" s="1061" t="str">
        <f>IFERROR(INDEX(T08_Spells!$B$3:$B$407,MATCH(S02_Cleric!BD10,T08_Spells!$DG$3:$DG$407,0),1),"")</f>
        <v>Plane Shift</v>
      </c>
      <c r="BF10" s="1061"/>
      <c r="BG10" s="1061"/>
      <c r="BH10" s="1061"/>
      <c r="BI10" s="1061"/>
      <c r="BJ10" s="567"/>
      <c r="BK10" s="569" t="str">
        <f t="shared" si="6"/>
        <v/>
      </c>
      <c r="BL10" s="565">
        <f>IF(OR(BJ10="●",BK10="●"),1+COUNTIF(BL$6:BL9,"&gt;0"),0)</f>
        <v>0</v>
      </c>
      <c r="BM10" s="5">
        <v>5</v>
      </c>
      <c r="BN10" s="1061" t="str">
        <f>IFERROR(INDEX(T08_Spells!$B$3:$B$407,MATCH(S02_Cleric!BM10,T08_Spells!$DH$3:$DH$407,0),1),"")</f>
        <v/>
      </c>
      <c r="BO10" s="1061"/>
      <c r="BP10" s="1061"/>
      <c r="BQ10" s="1061"/>
      <c r="BR10" s="1061"/>
      <c r="BS10" s="567"/>
      <c r="BT10" s="569" t="str">
        <f t="shared" si="7"/>
        <v/>
      </c>
      <c r="BU10" s="565">
        <f>IF(OR(BS10="●",BT10="●"),1+COUNTIF(BU$6:BU9,"&gt;0"),0)</f>
        <v>0</v>
      </c>
      <c r="BV10" s="5">
        <v>5</v>
      </c>
      <c r="BW10" s="1061" t="str">
        <f>IFERROR(INDEX(T08_Spells!$B$3:$B$407,MATCH(S02_Cleric!BV10,T08_Spells!$DI$3:$DI$407,0),1),"")</f>
        <v>True Resurrection</v>
      </c>
      <c r="BX10" s="1061"/>
      <c r="BY10" s="1061"/>
      <c r="BZ10" s="1061"/>
      <c r="CA10" s="1061"/>
      <c r="CB10" s="567"/>
      <c r="CC10" s="569" t="str">
        <f t="shared" si="8"/>
        <v/>
      </c>
      <c r="CD10" s="565">
        <f>IF(OR(CB10="●",CC10="●"),1+COUNTIF(CD$6:CD9,"&gt;0"),0)</f>
        <v>0</v>
      </c>
      <c r="CE10" s="565"/>
      <c r="CF10" s="565"/>
      <c r="CG10" s="565">
        <v>5</v>
      </c>
      <c r="CH10" s="566" t="str">
        <f t="shared" si="9"/>
        <v/>
      </c>
      <c r="CI10" s="565"/>
      <c r="CJ10" s="565"/>
      <c r="CK10" s="565"/>
      <c r="CL10" s="120"/>
    </row>
    <row r="11" spans="1:90" ht="21" x14ac:dyDescent="0.25">
      <c r="A11" s="120"/>
      <c r="B11" s="5">
        <v>6</v>
      </c>
      <c r="C11" s="1061" t="str">
        <f>IFERROR(INDEX(T08_Spells!$B$3:$B$407,MATCH(S02_Cleric!B11,T08_Spells!$DA$3:$DA$407,0),1),"")</f>
        <v>Detect Evil and Good</v>
      </c>
      <c r="D11" s="1061"/>
      <c r="E11" s="1061"/>
      <c r="F11" s="1061"/>
      <c r="G11" s="1061"/>
      <c r="H11" s="567"/>
      <c r="I11" s="569" t="str">
        <f t="shared" si="0"/>
        <v/>
      </c>
      <c r="J11" s="565">
        <f>IF(OR(H11="●",I11="●"),1+COUNTIF(J$6:J10,"&gt;0"),0)</f>
        <v>0</v>
      </c>
      <c r="K11" s="5">
        <v>6</v>
      </c>
      <c r="L11" s="1061" t="str">
        <f>IFERROR(INDEX(T08_Spells!$B$3:$B$407,MATCH(S02_Cleric!K11,T08_Spells!$DB$3:$DB$407,0),1),"")</f>
        <v>Find Traps</v>
      </c>
      <c r="M11" s="1061"/>
      <c r="N11" s="1061"/>
      <c r="O11" s="1061"/>
      <c r="P11" s="1061"/>
      <c r="Q11" s="567"/>
      <c r="R11" s="569" t="str">
        <f t="shared" si="1"/>
        <v/>
      </c>
      <c r="S11" s="565">
        <f>IF(OR(Q11="●",R11="●"),1+COUNTIF(S$6:S10,"&gt;0"),0)</f>
        <v>0</v>
      </c>
      <c r="T11" s="5">
        <v>6</v>
      </c>
      <c r="U11" s="1061" t="str">
        <f>IFERROR(INDEX(T08_Spells!$B$3:$B$407,MATCH(S02_Cleric!T11,T08_Spells!$DC$3:$DC$407,0),1),"")</f>
        <v>Daylight</v>
      </c>
      <c r="V11" s="1061"/>
      <c r="W11" s="1061"/>
      <c r="X11" s="1061"/>
      <c r="Y11" s="1061"/>
      <c r="Z11" s="567"/>
      <c r="AA11" s="569" t="str">
        <f t="shared" si="2"/>
        <v/>
      </c>
      <c r="AB11" s="565">
        <f>IF(OR(Z11="●",AA11="●"),1+COUNTIF(AB$6:AB10,"&gt;0"),0)</f>
        <v>0</v>
      </c>
      <c r="AC11" s="5">
        <v>6</v>
      </c>
      <c r="AD11" s="1061" t="str">
        <f>IFERROR(INDEX(T08_Spells!$B$3:$B$407,MATCH(S02_Cleric!AC11,T08_Spells!$DD$3:$DD$407,0),1),"")</f>
        <v>Guardian of Faith</v>
      </c>
      <c r="AE11" s="1061"/>
      <c r="AF11" s="1061"/>
      <c r="AG11" s="1061"/>
      <c r="AH11" s="1061"/>
      <c r="AI11" s="567" t="s">
        <v>3034</v>
      </c>
      <c r="AJ11" s="569" t="str">
        <f t="shared" si="3"/>
        <v/>
      </c>
      <c r="AK11" s="565">
        <f>IF(OR(AI11="●",AJ11="●"),1+COUNTIF(AK$6:AK10,"&gt;0"),0)</f>
        <v>0</v>
      </c>
      <c r="AL11" s="5">
        <v>6</v>
      </c>
      <c r="AM11" s="1061" t="str">
        <f>IFERROR(INDEX(T08_Spells!$B$3:$B$407,MATCH(S02_Cleric!AL11,T08_Spells!$DE$3:$DE$407,0),1),"")</f>
        <v>Greater Restoration</v>
      </c>
      <c r="AN11" s="1061"/>
      <c r="AO11" s="1061"/>
      <c r="AP11" s="1061"/>
      <c r="AQ11" s="1061"/>
      <c r="AR11" s="567"/>
      <c r="AS11" s="569" t="str">
        <f t="shared" si="4"/>
        <v/>
      </c>
      <c r="AT11" s="565">
        <f>IF(OR(AR11="●",AS11="●"),1+COUNTIF(AT$6:AT10,"&gt;0"),0)</f>
        <v>0</v>
      </c>
      <c r="AU11" s="5">
        <v>6</v>
      </c>
      <c r="AV11" s="1061" t="str">
        <f>IFERROR(INDEX(T08_Spells!$B$3:$B$407,MATCH(S02_Cleric!AU11,T08_Spells!$DF$3:$DF$407,0),1),"")</f>
        <v>Heal</v>
      </c>
      <c r="AW11" s="1061"/>
      <c r="AX11" s="1061"/>
      <c r="AY11" s="1061"/>
      <c r="AZ11" s="1061"/>
      <c r="BA11" s="567"/>
      <c r="BB11" s="569" t="str">
        <f t="shared" si="5"/>
        <v/>
      </c>
      <c r="BC11" s="565">
        <f>IF(OR(BA11="●",BB11="●"),1+COUNTIF(BC$6:BC10,"&gt;0"),0)</f>
        <v>0</v>
      </c>
      <c r="BD11" s="5">
        <v>6</v>
      </c>
      <c r="BE11" s="1061" t="str">
        <f>IFERROR(INDEX(T08_Spells!$B$3:$B$407,MATCH(S02_Cleric!BD11,T08_Spells!$DG$3:$DG$407,0),1),"")</f>
        <v>Regenerate</v>
      </c>
      <c r="BF11" s="1061"/>
      <c r="BG11" s="1061"/>
      <c r="BH11" s="1061"/>
      <c r="BI11" s="1061"/>
      <c r="BJ11" s="567"/>
      <c r="BK11" s="569" t="str">
        <f t="shared" si="6"/>
        <v/>
      </c>
      <c r="BL11" s="565">
        <f>IF(OR(BJ11="●",BK11="●"),1+COUNTIF(BL$6:BL10,"&gt;0"),0)</f>
        <v>0</v>
      </c>
      <c r="BM11" s="5">
        <v>6</v>
      </c>
      <c r="BN11" s="1061" t="str">
        <f>IFERROR(INDEX(T08_Spells!$B$3:$B$407,MATCH(S02_Cleric!BM11,T08_Spells!$DH$3:$DH$407,0),1),"")</f>
        <v/>
      </c>
      <c r="BO11" s="1061"/>
      <c r="BP11" s="1061"/>
      <c r="BQ11" s="1061"/>
      <c r="BR11" s="1061"/>
      <c r="BS11" s="567"/>
      <c r="BT11" s="569" t="str">
        <f t="shared" si="7"/>
        <v/>
      </c>
      <c r="BU11" s="565">
        <f>IF(OR(BS11="●",BT11="●"),1+COUNTIF(BU$6:BU10,"&gt;0"),0)</f>
        <v>0</v>
      </c>
      <c r="BV11" s="5">
        <v>6</v>
      </c>
      <c r="BW11" s="1061" t="str">
        <f>IFERROR(INDEX(T08_Spells!$B$3:$B$407,MATCH(S02_Cleric!BV11,T08_Spells!$DI$3:$DI$407,0),1),"")</f>
        <v>Tsunami</v>
      </c>
      <c r="BX11" s="1061"/>
      <c r="BY11" s="1061"/>
      <c r="BZ11" s="1061"/>
      <c r="CA11" s="1061"/>
      <c r="CB11" s="567"/>
      <c r="CC11" s="569" t="str">
        <f t="shared" si="8"/>
        <v/>
      </c>
      <c r="CD11" s="565">
        <f>IF(OR(CB11="●",CC11="●"),1+COUNTIF(CD$6:CD10,"&gt;0"),0)</f>
        <v>0</v>
      </c>
      <c r="CE11" s="565"/>
      <c r="CF11" s="565"/>
      <c r="CG11" s="565">
        <v>6</v>
      </c>
      <c r="CH11" s="566" t="str">
        <f t="shared" si="9"/>
        <v/>
      </c>
      <c r="CI11" s="565"/>
      <c r="CJ11" s="565"/>
      <c r="CK11" s="565"/>
      <c r="CL11" s="120"/>
    </row>
    <row r="12" spans="1:90" ht="21" x14ac:dyDescent="0.25">
      <c r="A12" s="120"/>
      <c r="B12" s="5">
        <v>7</v>
      </c>
      <c r="C12" s="1061" t="str">
        <f>IFERROR(INDEX(T08_Spells!$B$3:$B$407,MATCH(S02_Cleric!B12,T08_Spells!$DA$3:$DA$407,0),1),"")</f>
        <v>Detect Magic</v>
      </c>
      <c r="D12" s="1061"/>
      <c r="E12" s="1061"/>
      <c r="F12" s="1061"/>
      <c r="G12" s="1061"/>
      <c r="H12" s="567"/>
      <c r="I12" s="569" t="str">
        <f t="shared" si="0"/>
        <v/>
      </c>
      <c r="J12" s="565">
        <f>IF(OR(H12="●",I12="●"),1+COUNTIF(J$6:J11,"&gt;0"),0)</f>
        <v>0</v>
      </c>
      <c r="K12" s="5">
        <v>7</v>
      </c>
      <c r="L12" s="1061" t="str">
        <f>IFERROR(INDEX(T08_Spells!$B$3:$B$407,MATCH(S02_Cleric!K12,T08_Spells!$DB$3:$DB$407,0),1),"")</f>
        <v>Gentle Repose</v>
      </c>
      <c r="M12" s="1061"/>
      <c r="N12" s="1061"/>
      <c r="O12" s="1061"/>
      <c r="P12" s="1061"/>
      <c r="Q12" s="567"/>
      <c r="R12" s="569" t="str">
        <f t="shared" si="1"/>
        <v/>
      </c>
      <c r="S12" s="565">
        <f>IF(OR(Q12="●",R12="●"),1+COUNTIF(S$6:S11,"&gt;0"),0)</f>
        <v>0</v>
      </c>
      <c r="T12" s="5">
        <v>7</v>
      </c>
      <c r="U12" s="1061" t="str">
        <f>IFERROR(INDEX(T08_Spells!$B$3:$B$407,MATCH(S02_Cleric!T12,T08_Spells!$DC$3:$DC$407,0),1),"")</f>
        <v>Dispel Magic</v>
      </c>
      <c r="V12" s="1061"/>
      <c r="W12" s="1061"/>
      <c r="X12" s="1061"/>
      <c r="Y12" s="1061"/>
      <c r="Z12" s="567"/>
      <c r="AA12" s="569" t="str">
        <f t="shared" si="2"/>
        <v/>
      </c>
      <c r="AB12" s="565">
        <f>IF(OR(Z12="●",AA12="●"),1+COUNTIF(AB$6:AB11,"&gt;0"),0)</f>
        <v>0</v>
      </c>
      <c r="AC12" s="5">
        <v>7</v>
      </c>
      <c r="AD12" s="1061" t="str">
        <f>IFERROR(INDEX(T08_Spells!$B$3:$B$407,MATCH(S02_Cleric!AC12,T08_Spells!$DD$3:$DD$407,0),1),"")</f>
        <v>Locate Creature</v>
      </c>
      <c r="AE12" s="1061"/>
      <c r="AF12" s="1061"/>
      <c r="AG12" s="1061"/>
      <c r="AH12" s="1061"/>
      <c r="AI12" s="567" t="s">
        <v>3034</v>
      </c>
      <c r="AJ12" s="569" t="str">
        <f t="shared" si="3"/>
        <v/>
      </c>
      <c r="AK12" s="565">
        <f>IF(OR(AI12="●",AJ12="●"),1+COUNTIF(AK$6:AK11,"&gt;0"),0)</f>
        <v>0</v>
      </c>
      <c r="AL12" s="5">
        <v>7</v>
      </c>
      <c r="AM12" s="1061" t="str">
        <f>IFERROR(INDEX(T08_Spells!$B$3:$B$407,MATCH(S02_Cleric!AL12,T08_Spells!$DE$3:$DE$407,0),1),"")</f>
        <v>Hallow</v>
      </c>
      <c r="AN12" s="1061"/>
      <c r="AO12" s="1061"/>
      <c r="AP12" s="1061"/>
      <c r="AQ12" s="1061"/>
      <c r="AR12" s="567"/>
      <c r="AS12" s="569" t="str">
        <f t="shared" si="4"/>
        <v/>
      </c>
      <c r="AT12" s="565">
        <f>IF(OR(AR12="●",AS12="●"),1+COUNTIF(AT$6:AT11,"&gt;0"),0)</f>
        <v>0</v>
      </c>
      <c r="AU12" s="5">
        <v>7</v>
      </c>
      <c r="AV12" s="1061" t="str">
        <f>IFERROR(INDEX(T08_Spells!$B$3:$B$407,MATCH(S02_Cleric!AU12,T08_Spells!$DF$3:$DF$407,0),1),"")</f>
        <v>Heroes' Feast</v>
      </c>
      <c r="AW12" s="1061"/>
      <c r="AX12" s="1061"/>
      <c r="AY12" s="1061"/>
      <c r="AZ12" s="1061"/>
      <c r="BA12" s="567"/>
      <c r="BB12" s="569" t="str">
        <f t="shared" si="5"/>
        <v/>
      </c>
      <c r="BC12" s="565">
        <f>IF(OR(BA12="●",BB12="●"),1+COUNTIF(BC$6:BC11,"&gt;0"),0)</f>
        <v>0</v>
      </c>
      <c r="BD12" s="5">
        <v>7</v>
      </c>
      <c r="BE12" s="1061" t="str">
        <f>IFERROR(INDEX(T08_Spells!$B$3:$B$407,MATCH(S02_Cleric!BD12,T08_Spells!$DG$3:$DG$407,0),1),"")</f>
        <v>Resurrection</v>
      </c>
      <c r="BF12" s="1061"/>
      <c r="BG12" s="1061"/>
      <c r="BH12" s="1061"/>
      <c r="BI12" s="1061"/>
      <c r="BJ12" s="567"/>
      <c r="BK12" s="569" t="str">
        <f t="shared" si="6"/>
        <v/>
      </c>
      <c r="BL12" s="565">
        <f>IF(OR(BJ12="●",BK12="●"),1+COUNTIF(BL$6:BL11,"&gt;0"),0)</f>
        <v>0</v>
      </c>
      <c r="BM12" s="5">
        <v>7</v>
      </c>
      <c r="BN12" s="1061" t="str">
        <f>IFERROR(INDEX(T08_Spells!$B$3:$B$407,MATCH(S02_Cleric!BM12,T08_Spells!$DH$3:$DH$407,0),1),"")</f>
        <v/>
      </c>
      <c r="BO12" s="1061"/>
      <c r="BP12" s="1061"/>
      <c r="BQ12" s="1061"/>
      <c r="BR12" s="1061"/>
      <c r="BS12" s="567"/>
      <c r="BT12" s="569" t="str">
        <f t="shared" si="7"/>
        <v/>
      </c>
      <c r="BU12" s="565">
        <f>IF(OR(BS12="●",BT12="●"),1+COUNTIF(BU$6:BU11,"&gt;0"),0)</f>
        <v>0</v>
      </c>
      <c r="BV12" s="5">
        <v>7</v>
      </c>
      <c r="BW12" s="1061" t="str">
        <f>IFERROR(INDEX(T08_Spells!$B$3:$B$407,MATCH(S02_Cleric!BV12,T08_Spells!$DI$3:$DI$407,0),1),"")</f>
        <v/>
      </c>
      <c r="BX12" s="1061"/>
      <c r="BY12" s="1061"/>
      <c r="BZ12" s="1061"/>
      <c r="CA12" s="1061"/>
      <c r="CB12" s="567"/>
      <c r="CC12" s="569" t="str">
        <f t="shared" si="8"/>
        <v/>
      </c>
      <c r="CD12" s="565">
        <f>IF(OR(CB12="●",CC12="●"),1+COUNTIF(CD$6:CD11,"&gt;0"),0)</f>
        <v>0</v>
      </c>
      <c r="CE12" s="565"/>
      <c r="CF12" s="565"/>
      <c r="CG12" s="565">
        <v>7</v>
      </c>
      <c r="CH12" s="566" t="str">
        <f t="shared" si="9"/>
        <v/>
      </c>
      <c r="CI12" s="565"/>
      <c r="CJ12" s="565"/>
      <c r="CK12" s="565"/>
      <c r="CL12" s="120"/>
    </row>
    <row r="13" spans="1:90" ht="21" x14ac:dyDescent="0.25">
      <c r="A13" s="120"/>
      <c r="B13" s="5">
        <v>8</v>
      </c>
      <c r="C13" s="1061" t="str">
        <f>IFERROR(INDEX(T08_Spells!$B$3:$B$407,MATCH(S02_Cleric!B13,T08_Spells!$DA$3:$DA$407,0),1),"")</f>
        <v>Detect Poison and Disease</v>
      </c>
      <c r="D13" s="1061"/>
      <c r="E13" s="1061"/>
      <c r="F13" s="1061"/>
      <c r="G13" s="1061"/>
      <c r="H13" s="567"/>
      <c r="I13" s="569" t="str">
        <f t="shared" si="0"/>
        <v/>
      </c>
      <c r="J13" s="565">
        <f>IF(OR(H13="●",I13="●"),1+COUNTIF(J$6:J12,"&gt;0"),0)</f>
        <v>0</v>
      </c>
      <c r="K13" s="5">
        <v>8</v>
      </c>
      <c r="L13" s="1061" t="str">
        <f>IFERROR(INDEX(T08_Spells!$B$3:$B$407,MATCH(S02_Cleric!K13,T08_Spells!$DB$3:$DB$407,0),1),"")</f>
        <v>Hold Person</v>
      </c>
      <c r="M13" s="1061"/>
      <c r="N13" s="1061"/>
      <c r="O13" s="1061"/>
      <c r="P13" s="1061"/>
      <c r="Q13" s="567"/>
      <c r="R13" s="569" t="str">
        <f t="shared" si="1"/>
        <v/>
      </c>
      <c r="S13" s="565">
        <f>IF(OR(Q13="●",R13="●"),1+COUNTIF(S$6:S12,"&gt;0"),0)</f>
        <v>0</v>
      </c>
      <c r="T13" s="5">
        <v>8</v>
      </c>
      <c r="U13" s="1061" t="str">
        <f>IFERROR(INDEX(T08_Spells!$B$3:$B$407,MATCH(S02_Cleric!T13,T08_Spells!$DC$3:$DC$407,0),1),"")</f>
        <v>Feign Death</v>
      </c>
      <c r="V13" s="1061"/>
      <c r="W13" s="1061"/>
      <c r="X13" s="1061"/>
      <c r="Y13" s="1061"/>
      <c r="Z13" s="567"/>
      <c r="AA13" s="569" t="str">
        <f t="shared" si="2"/>
        <v/>
      </c>
      <c r="AB13" s="565">
        <f>IF(OR(Z13="●",AA13="●"),1+COUNTIF(AB$6:AB12,"&gt;0"),0)</f>
        <v>0</v>
      </c>
      <c r="AC13" s="5">
        <v>8</v>
      </c>
      <c r="AD13" s="1061" t="str">
        <f>IFERROR(INDEX(T08_Spells!$B$3:$B$407,MATCH(S02_Cleric!AC13,T08_Spells!$DD$3:$DD$407,0),1),"")</f>
        <v>Stone Shape</v>
      </c>
      <c r="AE13" s="1061"/>
      <c r="AF13" s="1061"/>
      <c r="AG13" s="1061"/>
      <c r="AH13" s="1061"/>
      <c r="AI13" s="567" t="s">
        <v>3034</v>
      </c>
      <c r="AJ13" s="569" t="str">
        <f t="shared" si="3"/>
        <v/>
      </c>
      <c r="AK13" s="565">
        <f>IF(OR(AI13="●",AJ13="●"),1+COUNTIF(AK$6:AK12,"&gt;0"),0)</f>
        <v>0</v>
      </c>
      <c r="AL13" s="5">
        <v>8</v>
      </c>
      <c r="AM13" s="1061" t="str">
        <f>IFERROR(INDEX(T08_Spells!$B$3:$B$407,MATCH(S02_Cleric!AL13,T08_Spells!$DE$3:$DE$407,0),1),"")</f>
        <v>Insect Plague</v>
      </c>
      <c r="AN13" s="1061"/>
      <c r="AO13" s="1061"/>
      <c r="AP13" s="1061"/>
      <c r="AQ13" s="1061"/>
      <c r="AR13" s="567"/>
      <c r="AS13" s="569" t="str">
        <f t="shared" si="4"/>
        <v/>
      </c>
      <c r="AT13" s="565">
        <f>IF(OR(AR13="●",AS13="●"),1+COUNTIF(AT$6:AT12,"&gt;0"),0)</f>
        <v>0</v>
      </c>
      <c r="AU13" s="5">
        <v>8</v>
      </c>
      <c r="AV13" s="1061" t="str">
        <f>IFERROR(INDEX(T08_Spells!$B$3:$B$407,MATCH(S02_Cleric!AU13,T08_Spells!$DF$3:$DF$407,0),1),"")</f>
        <v>Planar Ally</v>
      </c>
      <c r="AW13" s="1061"/>
      <c r="AX13" s="1061"/>
      <c r="AY13" s="1061"/>
      <c r="AZ13" s="1061"/>
      <c r="BA13" s="567"/>
      <c r="BB13" s="569" t="str">
        <f t="shared" si="5"/>
        <v/>
      </c>
      <c r="BC13" s="565">
        <f>IF(OR(BA13="●",BB13="●"),1+COUNTIF(BC$6:BC12,"&gt;0"),0)</f>
        <v>0</v>
      </c>
      <c r="BD13" s="5">
        <v>8</v>
      </c>
      <c r="BE13" s="1061" t="str">
        <f>IFERROR(INDEX(T08_Spells!$B$3:$B$407,MATCH(S02_Cleric!BD13,T08_Spells!$DG$3:$DG$407,0),1),"")</f>
        <v>Symbol</v>
      </c>
      <c r="BF13" s="1061"/>
      <c r="BG13" s="1061"/>
      <c r="BH13" s="1061"/>
      <c r="BI13" s="1061"/>
      <c r="BJ13" s="567"/>
      <c r="BK13" s="569" t="str">
        <f t="shared" si="6"/>
        <v/>
      </c>
      <c r="BL13" s="565">
        <f>IF(OR(BJ13="●",BK13="●"),1+COUNTIF(BL$6:BL12,"&gt;0"),0)</f>
        <v>0</v>
      </c>
      <c r="BM13" s="5">
        <v>8</v>
      </c>
      <c r="BN13" s="1061" t="str">
        <f>IFERROR(INDEX(T08_Spells!$B$3:$B$407,MATCH(S02_Cleric!BM13,T08_Spells!$DH$3:$DH$407,0),1),"")</f>
        <v/>
      </c>
      <c r="BO13" s="1061"/>
      <c r="BP13" s="1061"/>
      <c r="BQ13" s="1061"/>
      <c r="BR13" s="1061"/>
      <c r="BS13" s="567"/>
      <c r="BT13" s="569" t="str">
        <f t="shared" si="7"/>
        <v/>
      </c>
      <c r="BU13" s="565">
        <f>IF(OR(BS13="●",BT13="●"),1+COUNTIF(BU$6:BU12,"&gt;0"),0)</f>
        <v>0</v>
      </c>
      <c r="BV13" s="5">
        <v>8</v>
      </c>
      <c r="BW13" s="1061" t="str">
        <f>IFERROR(INDEX(T08_Spells!$B$3:$B$407,MATCH(S02_Cleric!BV13,T08_Spells!$DI$3:$DI$407,0),1),"")</f>
        <v/>
      </c>
      <c r="BX13" s="1061"/>
      <c r="BY13" s="1061"/>
      <c r="BZ13" s="1061"/>
      <c r="CA13" s="1061"/>
      <c r="CB13" s="567"/>
      <c r="CC13" s="569" t="str">
        <f t="shared" si="8"/>
        <v/>
      </c>
      <c r="CD13" s="565">
        <f>IF(OR(CB13="●",CC13="●"),1+COUNTIF(CD$6:CD12,"&gt;0"),0)</f>
        <v>0</v>
      </c>
      <c r="CE13" s="565"/>
      <c r="CF13" s="565"/>
      <c r="CG13" s="565">
        <v>8</v>
      </c>
      <c r="CH13" s="566" t="str">
        <f t="shared" si="9"/>
        <v/>
      </c>
      <c r="CI13" s="565"/>
      <c r="CJ13" s="565"/>
      <c r="CK13" s="565"/>
      <c r="CL13" s="120"/>
    </row>
    <row r="14" spans="1:90" ht="21" x14ac:dyDescent="0.25">
      <c r="A14" s="120"/>
      <c r="B14" s="5">
        <v>9</v>
      </c>
      <c r="C14" s="1061" t="str">
        <f>IFERROR(INDEX(T08_Spells!$B$3:$B$407,MATCH(S02_Cleric!B14,T08_Spells!$DA$3:$DA$407,0),1),"")</f>
        <v>Guiding Bolt</v>
      </c>
      <c r="D14" s="1061"/>
      <c r="E14" s="1061"/>
      <c r="F14" s="1061"/>
      <c r="G14" s="1061"/>
      <c r="H14" s="567"/>
      <c r="I14" s="569" t="str">
        <f t="shared" si="0"/>
        <v/>
      </c>
      <c r="J14" s="565">
        <f>IF(OR(H14="●",I14="●"),1+COUNTIF(J$6:J13,"&gt;0"),0)</f>
        <v>0</v>
      </c>
      <c r="K14" s="5">
        <v>9</v>
      </c>
      <c r="L14" s="1061" t="str">
        <f>IFERROR(INDEX(T08_Spells!$B$3:$B$407,MATCH(S02_Cleric!K14,T08_Spells!$DB$3:$DB$407,0),1),"")</f>
        <v>Lesser Restoration</v>
      </c>
      <c r="M14" s="1061"/>
      <c r="N14" s="1061"/>
      <c r="O14" s="1061"/>
      <c r="P14" s="1061"/>
      <c r="Q14" s="567"/>
      <c r="R14" s="569" t="str">
        <f t="shared" si="1"/>
        <v/>
      </c>
      <c r="S14" s="565">
        <f>IF(OR(Q14="●",R14="●"),1+COUNTIF(S$6:S13,"&gt;0"),0)</f>
        <v>0</v>
      </c>
      <c r="T14" s="5">
        <v>9</v>
      </c>
      <c r="U14" s="1061" t="str">
        <f>IFERROR(INDEX(T08_Spells!$B$3:$B$407,MATCH(S02_Cleric!T14,T08_Spells!$DC$3:$DC$407,0),1),"")</f>
        <v>Glyph of Warding</v>
      </c>
      <c r="V14" s="1061"/>
      <c r="W14" s="1061"/>
      <c r="X14" s="1061"/>
      <c r="Y14" s="1061"/>
      <c r="Z14" s="567"/>
      <c r="AA14" s="569" t="str">
        <f t="shared" si="2"/>
        <v/>
      </c>
      <c r="AB14" s="565">
        <f>IF(OR(Z14="●",AA14="●"),1+COUNTIF(AB$6:AB13,"&gt;0"),0)</f>
        <v>0</v>
      </c>
      <c r="AC14" s="5">
        <v>9</v>
      </c>
      <c r="AD14" s="1061" t="str">
        <f>IFERROR(INDEX(T08_Spells!$B$3:$B$407,MATCH(S02_Cleric!AC14,T08_Spells!$DD$3:$DD$407,0),1),"")</f>
        <v/>
      </c>
      <c r="AE14" s="1061"/>
      <c r="AF14" s="1061"/>
      <c r="AG14" s="1061"/>
      <c r="AH14" s="1061"/>
      <c r="AI14" s="567" t="s">
        <v>3034</v>
      </c>
      <c r="AJ14" s="569" t="str">
        <f t="shared" si="3"/>
        <v/>
      </c>
      <c r="AK14" s="565">
        <f>IF(OR(AI14="●",AJ14="●"),1+COUNTIF(AK$6:AK13,"&gt;0"),0)</f>
        <v>0</v>
      </c>
      <c r="AL14" s="5">
        <v>9</v>
      </c>
      <c r="AM14" s="1061" t="str">
        <f>IFERROR(INDEX(T08_Spells!$B$3:$B$407,MATCH(S02_Cleric!AL14,T08_Spells!$DE$3:$DE$407,0),1),"")</f>
        <v>Legend Lore</v>
      </c>
      <c r="AN14" s="1061"/>
      <c r="AO14" s="1061"/>
      <c r="AP14" s="1061"/>
      <c r="AQ14" s="1061"/>
      <c r="AR14" s="567"/>
      <c r="AS14" s="569" t="str">
        <f t="shared" si="4"/>
        <v/>
      </c>
      <c r="AT14" s="565">
        <f>IF(OR(AR14="●",AS14="●"),1+COUNTIF(AT$6:AT13,"&gt;0"),0)</f>
        <v>0</v>
      </c>
      <c r="AU14" s="5">
        <v>9</v>
      </c>
      <c r="AV14" s="1061" t="str">
        <f>IFERROR(INDEX(T08_Spells!$B$3:$B$407,MATCH(S02_Cleric!AU14,T08_Spells!$DF$3:$DF$407,0),1),"")</f>
        <v>True Seeing</v>
      </c>
      <c r="AW14" s="1061"/>
      <c r="AX14" s="1061"/>
      <c r="AY14" s="1061"/>
      <c r="AZ14" s="1061"/>
      <c r="BA14" s="567"/>
      <c r="BB14" s="569" t="str">
        <f t="shared" si="5"/>
        <v/>
      </c>
      <c r="BC14" s="565">
        <f>IF(OR(BA14="●",BB14="●"),1+COUNTIF(BC$6:BC13,"&gt;0"),0)</f>
        <v>0</v>
      </c>
      <c r="BD14" s="5">
        <v>9</v>
      </c>
      <c r="BE14" s="1061" t="str">
        <f>IFERROR(INDEX(T08_Spells!$B$3:$B$407,MATCH(S02_Cleric!BD14,T08_Spells!$DG$3:$DG$407,0),1),"")</f>
        <v/>
      </c>
      <c r="BF14" s="1061"/>
      <c r="BG14" s="1061"/>
      <c r="BH14" s="1061"/>
      <c r="BI14" s="1061"/>
      <c r="BJ14" s="567"/>
      <c r="BK14" s="569" t="str">
        <f t="shared" si="6"/>
        <v/>
      </c>
      <c r="BL14" s="565">
        <f>IF(OR(BJ14="●",BK14="●"),1+COUNTIF(BL$6:BL13,"&gt;0"),0)</f>
        <v>0</v>
      </c>
      <c r="BM14" s="5">
        <v>9</v>
      </c>
      <c r="BN14" s="1061" t="str">
        <f>IFERROR(INDEX(T08_Spells!$B$3:$B$407,MATCH(S02_Cleric!BM14,T08_Spells!$DH$3:$DH$407,0),1),"")</f>
        <v/>
      </c>
      <c r="BO14" s="1061"/>
      <c r="BP14" s="1061"/>
      <c r="BQ14" s="1061"/>
      <c r="BR14" s="1061"/>
      <c r="BS14" s="567"/>
      <c r="BT14" s="569" t="str">
        <f t="shared" si="7"/>
        <v/>
      </c>
      <c r="BU14" s="565">
        <f>IF(OR(BS14="●",BT14="●"),1+COUNTIF(BU$6:BU13,"&gt;0"),0)</f>
        <v>0</v>
      </c>
      <c r="BV14" s="5">
        <v>9</v>
      </c>
      <c r="BW14" s="1061" t="str">
        <f>IFERROR(INDEX(T08_Spells!$B$3:$B$407,MATCH(S02_Cleric!BV14,T08_Spells!$DI$3:$DI$407,0),1),"")</f>
        <v/>
      </c>
      <c r="BX14" s="1061"/>
      <c r="BY14" s="1061"/>
      <c r="BZ14" s="1061"/>
      <c r="CA14" s="1061"/>
      <c r="CB14" s="567"/>
      <c r="CC14" s="569" t="str">
        <f t="shared" si="8"/>
        <v/>
      </c>
      <c r="CD14" s="565">
        <f>IF(OR(CB14="●",CC14="●"),1+COUNTIF(CD$6:CD13,"&gt;0"),0)</f>
        <v>0</v>
      </c>
      <c r="CE14" s="565"/>
      <c r="CF14" s="565"/>
      <c r="CG14" s="565">
        <v>9</v>
      </c>
      <c r="CH14" s="566" t="str">
        <f t="shared" si="9"/>
        <v/>
      </c>
      <c r="CI14" s="565"/>
      <c r="CJ14" s="565"/>
      <c r="CK14" s="565"/>
      <c r="CL14" s="120"/>
    </row>
    <row r="15" spans="1:90" ht="21" x14ac:dyDescent="0.25">
      <c r="A15" s="120"/>
      <c r="B15" s="5">
        <v>10</v>
      </c>
      <c r="C15" s="1061" t="str">
        <f>IFERROR(INDEX(T08_Spells!$B$3:$B$407,MATCH(S02_Cleric!B15,T08_Spells!$DA$3:$DA$407,0),1),"")</f>
        <v>Healing Word</v>
      </c>
      <c r="D15" s="1061"/>
      <c r="E15" s="1061"/>
      <c r="F15" s="1061"/>
      <c r="G15" s="1061"/>
      <c r="H15" s="567"/>
      <c r="I15" s="569" t="str">
        <f t="shared" si="0"/>
        <v/>
      </c>
      <c r="J15" s="565">
        <f>IF(OR(H15="●",I15="●"),1+COUNTIF(J$6:J14,"&gt;0"),0)</f>
        <v>0</v>
      </c>
      <c r="K15" s="5">
        <v>10</v>
      </c>
      <c r="L15" s="1061" t="str">
        <f>IFERROR(INDEX(T08_Spells!$B$3:$B$407,MATCH(S02_Cleric!K15,T08_Spells!$DB$3:$DB$407,0),1),"")</f>
        <v>Locate Object</v>
      </c>
      <c r="M15" s="1061"/>
      <c r="N15" s="1061"/>
      <c r="O15" s="1061"/>
      <c r="P15" s="1061"/>
      <c r="Q15" s="567"/>
      <c r="R15" s="569" t="str">
        <f t="shared" si="1"/>
        <v/>
      </c>
      <c r="S15" s="565">
        <f>IF(OR(Q15="●",R15="●"),1+COUNTIF(S$6:S14,"&gt;0"),0)</f>
        <v>0</v>
      </c>
      <c r="T15" s="5">
        <v>10</v>
      </c>
      <c r="U15" s="1061" t="str">
        <f>IFERROR(INDEX(T08_Spells!$B$3:$B$407,MATCH(S02_Cleric!T15,T08_Spells!$DC$3:$DC$407,0),1),"")</f>
        <v>Magic Circle</v>
      </c>
      <c r="V15" s="1061"/>
      <c r="W15" s="1061"/>
      <c r="X15" s="1061"/>
      <c r="Y15" s="1061"/>
      <c r="Z15" s="567"/>
      <c r="AA15" s="569" t="str">
        <f t="shared" si="2"/>
        <v/>
      </c>
      <c r="AB15" s="565">
        <f>IF(OR(Z15="●",AA15="●"),1+COUNTIF(AB$6:AB14,"&gt;0"),0)</f>
        <v>0</v>
      </c>
      <c r="AC15" s="5">
        <v>10</v>
      </c>
      <c r="AD15" s="1061" t="str">
        <f>IFERROR(INDEX(T08_Spells!$B$3:$B$407,MATCH(S02_Cleric!AC15,T08_Spells!$DD$3:$DD$407,0),1),"")</f>
        <v/>
      </c>
      <c r="AE15" s="1061"/>
      <c r="AF15" s="1061"/>
      <c r="AG15" s="1061"/>
      <c r="AH15" s="1061"/>
      <c r="AI15" s="567" t="s">
        <v>3034</v>
      </c>
      <c r="AJ15" s="569" t="str">
        <f t="shared" si="3"/>
        <v/>
      </c>
      <c r="AK15" s="565">
        <f>IF(OR(AI15="●",AJ15="●"),1+COUNTIF(AK$6:AK14,"&gt;0"),0)</f>
        <v>0</v>
      </c>
      <c r="AL15" s="5">
        <v>10</v>
      </c>
      <c r="AM15" s="1061" t="str">
        <f>IFERROR(INDEX(T08_Spells!$B$3:$B$407,MATCH(S02_Cleric!AL15,T08_Spells!$DE$3:$DE$407,0),1),"")</f>
        <v>Mass Cure Wounds</v>
      </c>
      <c r="AN15" s="1061"/>
      <c r="AO15" s="1061"/>
      <c r="AP15" s="1061"/>
      <c r="AQ15" s="1061"/>
      <c r="AR15" s="567"/>
      <c r="AS15" s="569" t="str">
        <f t="shared" si="4"/>
        <v/>
      </c>
      <c r="AT15" s="565">
        <f>IF(OR(AR15="●",AS15="●"),1+COUNTIF(AT$6:AT14,"&gt;0"),0)</f>
        <v>0</v>
      </c>
      <c r="AU15" s="5">
        <v>10</v>
      </c>
      <c r="AV15" s="1061" t="str">
        <f>IFERROR(INDEX(T08_Spells!$B$3:$B$407,MATCH(S02_Cleric!AU15,T08_Spells!$DF$3:$DF$407,0),1),"")</f>
        <v>Word of Recall</v>
      </c>
      <c r="AW15" s="1061"/>
      <c r="AX15" s="1061"/>
      <c r="AY15" s="1061"/>
      <c r="AZ15" s="1061"/>
      <c r="BA15" s="567"/>
      <c r="BB15" s="569" t="str">
        <f t="shared" si="5"/>
        <v/>
      </c>
      <c r="BC15" s="565">
        <f>IF(OR(BA15="●",BB15="●"),1+COUNTIF(BC$6:BC14,"&gt;0"),0)</f>
        <v>0</v>
      </c>
      <c r="BD15" s="5">
        <v>10</v>
      </c>
      <c r="BE15" s="1061" t="str">
        <f>IFERROR(INDEX(T08_Spells!$B$3:$B$407,MATCH(S02_Cleric!BD15,T08_Spells!$DG$3:$DG$407,0),1),"")</f>
        <v/>
      </c>
      <c r="BF15" s="1061"/>
      <c r="BG15" s="1061"/>
      <c r="BH15" s="1061"/>
      <c r="BI15" s="1061"/>
      <c r="BJ15" s="567"/>
      <c r="BK15" s="569" t="str">
        <f t="shared" si="6"/>
        <v/>
      </c>
      <c r="BL15" s="565">
        <f>IF(OR(BJ15="●",BK15="●"),1+COUNTIF(BL$6:BL14,"&gt;0"),0)</f>
        <v>0</v>
      </c>
      <c r="BM15" s="5">
        <v>10</v>
      </c>
      <c r="BN15" s="1061" t="str">
        <f>IFERROR(INDEX(T08_Spells!$B$3:$B$407,MATCH(S02_Cleric!BM15,T08_Spells!$DH$3:$DH$407,0),1),"")</f>
        <v/>
      </c>
      <c r="BO15" s="1061"/>
      <c r="BP15" s="1061"/>
      <c r="BQ15" s="1061"/>
      <c r="BR15" s="1061"/>
      <c r="BS15" s="567"/>
      <c r="BT15" s="569" t="str">
        <f t="shared" si="7"/>
        <v/>
      </c>
      <c r="BU15" s="565">
        <f>IF(OR(BS15="●",BT15="●"),1+COUNTIF(BU$6:BU14,"&gt;0"),0)</f>
        <v>0</v>
      </c>
      <c r="BV15" s="5">
        <v>10</v>
      </c>
      <c r="BW15" s="1061" t="str">
        <f>IFERROR(INDEX(T08_Spells!$B$3:$B$407,MATCH(S02_Cleric!BV15,T08_Spells!$DI$3:$DI$407,0),1),"")</f>
        <v/>
      </c>
      <c r="BX15" s="1061"/>
      <c r="BY15" s="1061"/>
      <c r="BZ15" s="1061"/>
      <c r="CA15" s="1061"/>
      <c r="CB15" s="567"/>
      <c r="CC15" s="569" t="str">
        <f t="shared" si="8"/>
        <v/>
      </c>
      <c r="CD15" s="565">
        <f>IF(OR(CB15="●",CC15="●"),1+COUNTIF(CD$6:CD14,"&gt;0"),0)</f>
        <v>0</v>
      </c>
      <c r="CE15" s="565"/>
      <c r="CF15" s="565"/>
      <c r="CG15" s="565"/>
      <c r="CH15" s="565"/>
      <c r="CI15" s="565"/>
      <c r="CJ15" s="565"/>
      <c r="CK15" s="565"/>
      <c r="CL15" s="120"/>
    </row>
    <row r="16" spans="1:90" ht="21" x14ac:dyDescent="0.25">
      <c r="A16" s="120"/>
      <c r="B16" s="5">
        <v>11</v>
      </c>
      <c r="C16" s="1061" t="str">
        <f>IFERROR(INDEX(T08_Spells!$B$3:$B$407,MATCH(S02_Cleric!B16,T08_Spells!$DA$3:$DA$407,0),1),"")</f>
        <v>Inflict Wounds</v>
      </c>
      <c r="D16" s="1061"/>
      <c r="E16" s="1061"/>
      <c r="F16" s="1061"/>
      <c r="G16" s="1061"/>
      <c r="H16" s="567"/>
      <c r="I16" s="569" t="str">
        <f t="shared" si="0"/>
        <v/>
      </c>
      <c r="J16" s="565">
        <f>IF(OR(H16="●",I16="●"),1+COUNTIF(J$6:J15,"&gt;0"),0)</f>
        <v>0</v>
      </c>
      <c r="K16" s="5">
        <v>11</v>
      </c>
      <c r="L16" s="1061" t="str">
        <f>IFERROR(INDEX(T08_Spells!$B$3:$B$407,MATCH(S02_Cleric!K16,T08_Spells!$DB$3:$DB$407,0),1),"")</f>
        <v>Prayer of Healing</v>
      </c>
      <c r="M16" s="1061"/>
      <c r="N16" s="1061"/>
      <c r="O16" s="1061"/>
      <c r="P16" s="1061"/>
      <c r="Q16" s="567"/>
      <c r="R16" s="569" t="str">
        <f t="shared" si="1"/>
        <v/>
      </c>
      <c r="S16" s="565">
        <f>IF(OR(Q16="●",R16="●"),1+COUNTIF(S$6:S15,"&gt;0"),0)</f>
        <v>0</v>
      </c>
      <c r="T16" s="5">
        <v>11</v>
      </c>
      <c r="U16" s="1061" t="str">
        <f>IFERROR(INDEX(T08_Spells!$B$3:$B$407,MATCH(S02_Cleric!T16,T08_Spells!$DC$3:$DC$407,0),1),"")</f>
        <v>Mass Healing Word</v>
      </c>
      <c r="V16" s="1061"/>
      <c r="W16" s="1061"/>
      <c r="X16" s="1061"/>
      <c r="Y16" s="1061"/>
      <c r="Z16" s="567"/>
      <c r="AA16" s="569" t="str">
        <f t="shared" si="2"/>
        <v/>
      </c>
      <c r="AB16" s="565">
        <f>IF(OR(Z16="●",AA16="●"),1+COUNTIF(AB$6:AB15,"&gt;0"),0)</f>
        <v>0</v>
      </c>
      <c r="AC16" s="5">
        <v>11</v>
      </c>
      <c r="AD16" s="1061" t="str">
        <f>IFERROR(INDEX(T08_Spells!$B$3:$B$407,MATCH(S02_Cleric!AC16,T08_Spells!$DD$3:$DD$407,0),1),"")</f>
        <v/>
      </c>
      <c r="AE16" s="1061"/>
      <c r="AF16" s="1061"/>
      <c r="AG16" s="1061"/>
      <c r="AH16" s="1061"/>
      <c r="AI16" s="567" t="s">
        <v>3034</v>
      </c>
      <c r="AJ16" s="569" t="str">
        <f t="shared" si="3"/>
        <v/>
      </c>
      <c r="AK16" s="565">
        <f>IF(OR(AI16="●",AJ16="●"),1+COUNTIF(AK$6:AK15,"&gt;0"),0)</f>
        <v>0</v>
      </c>
      <c r="AL16" s="5">
        <v>11</v>
      </c>
      <c r="AM16" s="1061" t="str">
        <f>IFERROR(INDEX(T08_Spells!$B$3:$B$407,MATCH(S02_Cleric!AL16,T08_Spells!$DE$3:$DE$407,0),1),"")</f>
        <v>Planar Binding</v>
      </c>
      <c r="AN16" s="1061"/>
      <c r="AO16" s="1061"/>
      <c r="AP16" s="1061"/>
      <c r="AQ16" s="1061"/>
      <c r="AR16" s="567" t="s">
        <v>6361</v>
      </c>
      <c r="AS16" s="569" t="str">
        <f t="shared" si="4"/>
        <v/>
      </c>
      <c r="AT16" s="565">
        <f>IF(OR(AR16="●",AS16="●"),1+COUNTIF(AT$6:AT15,"&gt;0"),0)</f>
        <v>1</v>
      </c>
      <c r="AU16" s="5">
        <v>11</v>
      </c>
      <c r="AV16" s="1061" t="str">
        <f>IFERROR(INDEX(T08_Spells!$B$3:$B$407,MATCH(S02_Cleric!AU16,T08_Spells!$DF$3:$DF$407,0),1),"")</f>
        <v/>
      </c>
      <c r="AW16" s="1061"/>
      <c r="AX16" s="1061"/>
      <c r="AY16" s="1061"/>
      <c r="AZ16" s="1061"/>
      <c r="BA16" s="567"/>
      <c r="BB16" s="569" t="str">
        <f t="shared" si="5"/>
        <v/>
      </c>
      <c r="BC16" s="565">
        <f>IF(OR(BA16="●",BB16="●"),1+COUNTIF(BC$6:BC15,"&gt;0"),0)</f>
        <v>0</v>
      </c>
      <c r="BD16" s="5">
        <v>11</v>
      </c>
      <c r="BE16" s="1061" t="str">
        <f>IFERROR(INDEX(T08_Spells!$B$3:$B$407,MATCH(S02_Cleric!BD16,T08_Spells!$DG$3:$DG$407,0),1),"")</f>
        <v/>
      </c>
      <c r="BF16" s="1061"/>
      <c r="BG16" s="1061"/>
      <c r="BH16" s="1061"/>
      <c r="BI16" s="1061"/>
      <c r="BJ16" s="567"/>
      <c r="BK16" s="569" t="str">
        <f t="shared" si="6"/>
        <v/>
      </c>
      <c r="BL16" s="565">
        <f>IF(OR(BJ16="●",BK16="●"),1+COUNTIF(BL$6:BL15,"&gt;0"),0)</f>
        <v>0</v>
      </c>
      <c r="BM16" s="5">
        <v>11</v>
      </c>
      <c r="BN16" s="1061" t="str">
        <f>IFERROR(INDEX(T08_Spells!$B$3:$B$407,MATCH(S02_Cleric!BM16,T08_Spells!$DH$3:$DH$407,0),1),"")</f>
        <v/>
      </c>
      <c r="BO16" s="1061"/>
      <c r="BP16" s="1061"/>
      <c r="BQ16" s="1061"/>
      <c r="BR16" s="1061"/>
      <c r="BS16" s="567"/>
      <c r="BT16" s="569" t="str">
        <f t="shared" si="7"/>
        <v/>
      </c>
      <c r="BU16" s="565">
        <f>IF(OR(BS16="●",BT16="●"),1+COUNTIF(BU$6:BU15,"&gt;0"),0)</f>
        <v>0</v>
      </c>
      <c r="BV16" s="5">
        <v>11</v>
      </c>
      <c r="BW16" s="1061" t="str">
        <f>IFERROR(INDEX(T08_Spells!$B$3:$B$407,MATCH(S02_Cleric!BV16,T08_Spells!$DI$3:$DI$407,0),1),"")</f>
        <v/>
      </c>
      <c r="BX16" s="1061"/>
      <c r="BY16" s="1061"/>
      <c r="BZ16" s="1061"/>
      <c r="CA16" s="1061"/>
      <c r="CB16" s="567"/>
      <c r="CC16" s="569" t="str">
        <f t="shared" si="8"/>
        <v/>
      </c>
      <c r="CD16" s="565">
        <f>IF(OR(CB16="●",CC16="●"),1+COUNTIF(CD$6:CD15,"&gt;0"),0)</f>
        <v>0</v>
      </c>
      <c r="CE16" s="565"/>
      <c r="CF16" s="565"/>
      <c r="CG16" s="565"/>
      <c r="CH16" s="565"/>
      <c r="CI16" s="565"/>
      <c r="CJ16" s="565"/>
      <c r="CK16" s="565"/>
      <c r="CL16" s="120"/>
    </row>
    <row r="17" spans="1:90" ht="21" x14ac:dyDescent="0.25">
      <c r="A17" s="120"/>
      <c r="B17" s="5">
        <v>12</v>
      </c>
      <c r="C17" s="1061" t="str">
        <f>IFERROR(INDEX(T08_Spells!$B$3:$B$407,MATCH(S02_Cleric!B17,T08_Spells!$DA$3:$DA$407,0),1),"")</f>
        <v>Protection from Evil and Good</v>
      </c>
      <c r="D17" s="1061"/>
      <c r="E17" s="1061"/>
      <c r="F17" s="1061"/>
      <c r="G17" s="1061"/>
      <c r="H17" s="567"/>
      <c r="I17" s="569" t="str">
        <f t="shared" si="0"/>
        <v/>
      </c>
      <c r="J17" s="565">
        <f>IF(OR(H17="●",I17="●"),1+COUNTIF(J$6:J16,"&gt;0"),0)</f>
        <v>0</v>
      </c>
      <c r="K17" s="5">
        <v>12</v>
      </c>
      <c r="L17" s="1061" t="str">
        <f>IFERROR(INDEX(T08_Spells!$B$3:$B$407,MATCH(S02_Cleric!K17,T08_Spells!$DB$3:$DB$407,0),1),"")</f>
        <v>Protection from Poison</v>
      </c>
      <c r="M17" s="1061"/>
      <c r="N17" s="1061"/>
      <c r="O17" s="1061"/>
      <c r="P17" s="1061"/>
      <c r="Q17" s="567"/>
      <c r="R17" s="569" t="str">
        <f t="shared" si="1"/>
        <v/>
      </c>
      <c r="S17" s="565">
        <f>IF(OR(Q17="●",R17="●"),1+COUNTIF(S$6:S16,"&gt;0"),0)</f>
        <v>0</v>
      </c>
      <c r="T17" s="5">
        <v>12</v>
      </c>
      <c r="U17" s="1061" t="str">
        <f>IFERROR(INDEX(T08_Spells!$B$3:$B$407,MATCH(S02_Cleric!T17,T08_Spells!$DC$3:$DC$407,0),1),"")</f>
        <v>Meld into Stone</v>
      </c>
      <c r="V17" s="1061"/>
      <c r="W17" s="1061"/>
      <c r="X17" s="1061"/>
      <c r="Y17" s="1061"/>
      <c r="Z17" s="567"/>
      <c r="AA17" s="569" t="str">
        <f t="shared" si="2"/>
        <v/>
      </c>
      <c r="AB17" s="565">
        <f>IF(OR(Z17="●",AA17="●"),1+COUNTIF(AB$6:AB16,"&gt;0"),0)</f>
        <v>0</v>
      </c>
      <c r="AC17" s="5">
        <v>12</v>
      </c>
      <c r="AD17" s="1061" t="str">
        <f>IFERROR(INDEX(T08_Spells!$B$3:$B$407,MATCH(S02_Cleric!AC17,T08_Spells!$DD$3:$DD$407,0),1),"")</f>
        <v/>
      </c>
      <c r="AE17" s="1061"/>
      <c r="AF17" s="1061"/>
      <c r="AG17" s="1061"/>
      <c r="AH17" s="1061"/>
      <c r="AI17" s="567" t="s">
        <v>3034</v>
      </c>
      <c r="AJ17" s="569" t="str">
        <f t="shared" si="3"/>
        <v/>
      </c>
      <c r="AK17" s="565">
        <f>IF(OR(AI17="●",AJ17="●"),1+COUNTIF(AK$6:AK16,"&gt;0"),0)</f>
        <v>0</v>
      </c>
      <c r="AL17" s="5">
        <v>12</v>
      </c>
      <c r="AM17" s="1061" t="str">
        <f>IFERROR(INDEX(T08_Spells!$B$3:$B$407,MATCH(S02_Cleric!AL17,T08_Spells!$DE$3:$DE$407,0),1),"")</f>
        <v>Raise Dead</v>
      </c>
      <c r="AN17" s="1061"/>
      <c r="AO17" s="1061"/>
      <c r="AP17" s="1061"/>
      <c r="AQ17" s="1061"/>
      <c r="AR17" s="567"/>
      <c r="AS17" s="569" t="str">
        <f t="shared" si="4"/>
        <v/>
      </c>
      <c r="AT17" s="565">
        <f>IF(OR(AR17="●",AS17="●"),1+COUNTIF(AT$6:AT16,"&gt;0"),0)</f>
        <v>0</v>
      </c>
      <c r="AU17" s="5">
        <v>12</v>
      </c>
      <c r="AV17" s="1061" t="str">
        <f>IFERROR(INDEX(T08_Spells!$B$3:$B$407,MATCH(S02_Cleric!AU17,T08_Spells!$DF$3:$DF$407,0),1),"")</f>
        <v/>
      </c>
      <c r="AW17" s="1061"/>
      <c r="AX17" s="1061"/>
      <c r="AY17" s="1061"/>
      <c r="AZ17" s="1061"/>
      <c r="BA17" s="567"/>
      <c r="BB17" s="569" t="str">
        <f t="shared" si="5"/>
        <v/>
      </c>
      <c r="BC17" s="565">
        <f>IF(OR(BA17="●",BB17="●"),1+COUNTIF(BC$6:BC16,"&gt;0"),0)</f>
        <v>0</v>
      </c>
      <c r="BD17" s="5">
        <v>12</v>
      </c>
      <c r="BE17" s="1061" t="str">
        <f>IFERROR(INDEX(T08_Spells!$B$3:$B$407,MATCH(S02_Cleric!BD17,T08_Spells!$DG$3:$DG$407,0),1),"")</f>
        <v/>
      </c>
      <c r="BF17" s="1061"/>
      <c r="BG17" s="1061"/>
      <c r="BH17" s="1061"/>
      <c r="BI17" s="1061"/>
      <c r="BJ17" s="567"/>
      <c r="BK17" s="569" t="str">
        <f t="shared" si="6"/>
        <v/>
      </c>
      <c r="BL17" s="565">
        <f>IF(OR(BJ17="●",BK17="●"),1+COUNTIF(BL$6:BL16,"&gt;0"),0)</f>
        <v>0</v>
      </c>
      <c r="BM17" s="5">
        <v>12</v>
      </c>
      <c r="BN17" s="1061" t="str">
        <f>IFERROR(INDEX(T08_Spells!$B$3:$B$407,MATCH(S02_Cleric!BM17,T08_Spells!$DH$3:$DH$407,0),1),"")</f>
        <v/>
      </c>
      <c r="BO17" s="1061"/>
      <c r="BP17" s="1061"/>
      <c r="BQ17" s="1061"/>
      <c r="BR17" s="1061"/>
      <c r="BS17" s="567"/>
      <c r="BT17" s="569" t="str">
        <f t="shared" si="7"/>
        <v/>
      </c>
      <c r="BU17" s="565">
        <f>IF(OR(BS17="●",BT17="●"),1+COUNTIF(BU$6:BU16,"&gt;0"),0)</f>
        <v>0</v>
      </c>
      <c r="BV17" s="5">
        <v>12</v>
      </c>
      <c r="BW17" s="1061" t="str">
        <f>IFERROR(INDEX(T08_Spells!$B$3:$B$407,MATCH(S02_Cleric!BV17,T08_Spells!$DI$3:$DI$407,0),1),"")</f>
        <v/>
      </c>
      <c r="BX17" s="1061"/>
      <c r="BY17" s="1061"/>
      <c r="BZ17" s="1061"/>
      <c r="CA17" s="1061"/>
      <c r="CB17" s="567"/>
      <c r="CC17" s="569" t="str">
        <f t="shared" si="8"/>
        <v/>
      </c>
      <c r="CD17" s="565">
        <f>IF(OR(CB17="●",CC17="●"),1+COUNTIF(CD$6:CD16,"&gt;0"),0)</f>
        <v>0</v>
      </c>
      <c r="CE17" s="565"/>
      <c r="CF17" s="565"/>
      <c r="CG17" s="565"/>
      <c r="CH17" s="565"/>
      <c r="CI17" s="565"/>
      <c r="CJ17" s="565"/>
      <c r="CK17" s="565"/>
      <c r="CL17" s="120"/>
    </row>
    <row r="18" spans="1:90" ht="21" x14ac:dyDescent="0.25">
      <c r="A18" s="120"/>
      <c r="B18" s="5">
        <v>13</v>
      </c>
      <c r="C18" s="1061" t="str">
        <f>IFERROR(INDEX(T08_Spells!$B$3:$B$407,MATCH(S02_Cleric!B18,T08_Spells!$DA$3:$DA$407,0),1),"")</f>
        <v>Purify Food and Drink</v>
      </c>
      <c r="D18" s="1061"/>
      <c r="E18" s="1061"/>
      <c r="F18" s="1061"/>
      <c r="G18" s="1061"/>
      <c r="H18" s="567"/>
      <c r="I18" s="569" t="str">
        <f t="shared" si="0"/>
        <v/>
      </c>
      <c r="J18" s="565">
        <f>IF(OR(H18="●",I18="●"),1+COUNTIF(J$6:J17,"&gt;0"),0)</f>
        <v>0</v>
      </c>
      <c r="K18" s="5">
        <v>13</v>
      </c>
      <c r="L18" s="1061" t="str">
        <f>IFERROR(INDEX(T08_Spells!$B$3:$B$407,MATCH(S02_Cleric!K18,T08_Spells!$DB$3:$DB$407,0),1),"")</f>
        <v>Silence</v>
      </c>
      <c r="M18" s="1061"/>
      <c r="N18" s="1061"/>
      <c r="O18" s="1061"/>
      <c r="P18" s="1061"/>
      <c r="Q18" s="567"/>
      <c r="R18" s="569" t="str">
        <f t="shared" si="1"/>
        <v/>
      </c>
      <c r="S18" s="565">
        <f>IF(OR(Q18="●",R18="●"),1+COUNTIF(S$6:S17,"&gt;0"),0)</f>
        <v>0</v>
      </c>
      <c r="T18" s="5">
        <v>13</v>
      </c>
      <c r="U18" s="1061" t="str">
        <f>IFERROR(INDEX(T08_Spells!$B$3:$B$407,MATCH(S02_Cleric!T18,T08_Spells!$DC$3:$DC$407,0),1),"")</f>
        <v>Protection from Energy</v>
      </c>
      <c r="V18" s="1061"/>
      <c r="W18" s="1061"/>
      <c r="X18" s="1061"/>
      <c r="Y18" s="1061"/>
      <c r="Z18" s="567"/>
      <c r="AA18" s="569" t="str">
        <f t="shared" si="2"/>
        <v/>
      </c>
      <c r="AB18" s="565">
        <f>IF(OR(Z18="●",AA18="●"),1+COUNTIF(AB$6:AB17,"&gt;0"),0)</f>
        <v>0</v>
      </c>
      <c r="AC18" s="5">
        <v>13</v>
      </c>
      <c r="AD18" s="1061" t="str">
        <f>IFERROR(INDEX(T08_Spells!$B$3:$B$407,MATCH(S02_Cleric!AC18,T08_Spells!$DD$3:$DD$407,0),1),"")</f>
        <v/>
      </c>
      <c r="AE18" s="1061"/>
      <c r="AF18" s="1061"/>
      <c r="AG18" s="1061"/>
      <c r="AH18" s="1061"/>
      <c r="AI18" s="567" t="s">
        <v>3034</v>
      </c>
      <c r="AJ18" s="569" t="str">
        <f t="shared" si="3"/>
        <v/>
      </c>
      <c r="AK18" s="565">
        <f>IF(OR(AI18="●",AJ18="●"),1+COUNTIF(AK$6:AK17,"&gt;0"),0)</f>
        <v>0</v>
      </c>
      <c r="AL18" s="5">
        <v>13</v>
      </c>
      <c r="AM18" s="1061" t="str">
        <f>IFERROR(INDEX(T08_Spells!$B$3:$B$407,MATCH(S02_Cleric!AL18,T08_Spells!$DE$3:$DE$407,0),1),"")</f>
        <v>Scrying</v>
      </c>
      <c r="AN18" s="1061"/>
      <c r="AO18" s="1061"/>
      <c r="AP18" s="1061"/>
      <c r="AQ18" s="1061"/>
      <c r="AR18" s="567"/>
      <c r="AS18" s="569" t="str">
        <f t="shared" si="4"/>
        <v/>
      </c>
      <c r="AT18" s="565">
        <f>IF(OR(AR18="●",AS18="●"),1+COUNTIF(AT$6:AT17,"&gt;0"),0)</f>
        <v>0</v>
      </c>
      <c r="AU18" s="5">
        <v>13</v>
      </c>
      <c r="AV18" s="1061" t="str">
        <f>IFERROR(INDEX(T08_Spells!$B$3:$B$407,MATCH(S02_Cleric!AU18,T08_Spells!$DF$3:$DF$407,0),1),"")</f>
        <v/>
      </c>
      <c r="AW18" s="1061"/>
      <c r="AX18" s="1061"/>
      <c r="AY18" s="1061"/>
      <c r="AZ18" s="1061"/>
      <c r="BA18" s="567"/>
      <c r="BB18" s="569" t="str">
        <f t="shared" si="5"/>
        <v/>
      </c>
      <c r="BC18" s="565">
        <f>IF(OR(BA18="●",BB18="●"),1+COUNTIF(BC$6:BC17,"&gt;0"),0)</f>
        <v>0</v>
      </c>
      <c r="BD18" s="5">
        <v>13</v>
      </c>
      <c r="BE18" s="1061" t="str">
        <f>IFERROR(INDEX(T08_Spells!$B$3:$B$407,MATCH(S02_Cleric!BD18,T08_Spells!$DG$3:$DG$407,0),1),"")</f>
        <v/>
      </c>
      <c r="BF18" s="1061"/>
      <c r="BG18" s="1061"/>
      <c r="BH18" s="1061"/>
      <c r="BI18" s="1061"/>
      <c r="BJ18" s="567"/>
      <c r="BK18" s="569" t="str">
        <f t="shared" si="6"/>
        <v/>
      </c>
      <c r="BL18" s="565">
        <f>IF(OR(BJ18="●",BK18="●"),1+COUNTIF(BL$6:BL17,"&gt;0"),0)</f>
        <v>0</v>
      </c>
      <c r="BM18" s="5">
        <v>13</v>
      </c>
      <c r="BN18" s="1061" t="str">
        <f>IFERROR(INDEX(T08_Spells!$B$3:$B$407,MATCH(S02_Cleric!BM18,T08_Spells!$DH$3:$DH$407,0),1),"")</f>
        <v/>
      </c>
      <c r="BO18" s="1061"/>
      <c r="BP18" s="1061"/>
      <c r="BQ18" s="1061"/>
      <c r="BR18" s="1061"/>
      <c r="BS18" s="567"/>
      <c r="BT18" s="569" t="str">
        <f t="shared" si="7"/>
        <v/>
      </c>
      <c r="BU18" s="565">
        <f>IF(OR(BS18="●",BT18="●"),1+COUNTIF(BU$6:BU17,"&gt;0"),0)</f>
        <v>0</v>
      </c>
      <c r="BV18" s="5">
        <v>13</v>
      </c>
      <c r="BW18" s="1061" t="str">
        <f>IFERROR(INDEX(T08_Spells!$B$3:$B$407,MATCH(S02_Cleric!BV18,T08_Spells!$DI$3:$DI$407,0),1),"")</f>
        <v/>
      </c>
      <c r="BX18" s="1061"/>
      <c r="BY18" s="1061"/>
      <c r="BZ18" s="1061"/>
      <c r="CA18" s="1061"/>
      <c r="CB18" s="567"/>
      <c r="CC18" s="569" t="str">
        <f t="shared" si="8"/>
        <v/>
      </c>
      <c r="CD18" s="565">
        <f>IF(OR(CB18="●",CC18="●"),1+COUNTIF(CD$6:CD17,"&gt;0"),0)</f>
        <v>0</v>
      </c>
      <c r="CE18" s="565"/>
      <c r="CF18" s="565"/>
      <c r="CG18" s="565"/>
      <c r="CH18" s="565"/>
      <c r="CI18" s="565"/>
      <c r="CJ18" s="565"/>
      <c r="CK18" s="565"/>
      <c r="CL18" s="120"/>
    </row>
    <row r="19" spans="1:90" ht="21" x14ac:dyDescent="0.25">
      <c r="A19" s="120"/>
      <c r="B19" s="5">
        <v>14</v>
      </c>
      <c r="C19" s="1061" t="str">
        <f>IFERROR(INDEX(T08_Spells!$B$3:$B$407,MATCH(S02_Cleric!B19,T08_Spells!$DA$3:$DA$407,0),1),"")</f>
        <v>Sanctuary</v>
      </c>
      <c r="D19" s="1061"/>
      <c r="E19" s="1061"/>
      <c r="F19" s="1061"/>
      <c r="G19" s="1061"/>
      <c r="H19" s="567"/>
      <c r="I19" s="569" t="str">
        <f t="shared" si="0"/>
        <v/>
      </c>
      <c r="J19" s="565">
        <f>IF(OR(H19="●",I19="●"),1+COUNTIF(J$6:J18,"&gt;0"),0)</f>
        <v>0</v>
      </c>
      <c r="K19" s="5">
        <v>14</v>
      </c>
      <c r="L19" s="1061" t="str">
        <f>IFERROR(INDEX(T08_Spells!$B$3:$B$407,MATCH(S02_Cleric!K19,T08_Spells!$DB$3:$DB$407,0),1),"")</f>
        <v>Spiritual Weapon</v>
      </c>
      <c r="M19" s="1061"/>
      <c r="N19" s="1061"/>
      <c r="O19" s="1061"/>
      <c r="P19" s="1061"/>
      <c r="Q19" s="567"/>
      <c r="R19" s="569" t="str">
        <f t="shared" si="1"/>
        <v/>
      </c>
      <c r="S19" s="565">
        <f>IF(OR(Q19="●",R19="●"),1+COUNTIF(S$6:S18,"&gt;0"),0)</f>
        <v>0</v>
      </c>
      <c r="T19" s="5">
        <v>14</v>
      </c>
      <c r="U19" s="1061" t="str">
        <f>IFERROR(INDEX(T08_Spells!$B$3:$B$407,MATCH(S02_Cleric!T19,T08_Spells!$DC$3:$DC$407,0),1),"")</f>
        <v>Remove Curse</v>
      </c>
      <c r="V19" s="1061"/>
      <c r="W19" s="1061"/>
      <c r="X19" s="1061"/>
      <c r="Y19" s="1061"/>
      <c r="Z19" s="567"/>
      <c r="AA19" s="569" t="str">
        <f t="shared" si="2"/>
        <v/>
      </c>
      <c r="AB19" s="565">
        <f>IF(OR(Z19="●",AA19="●"),1+COUNTIF(AB$6:AB18,"&gt;0"),0)</f>
        <v>0</v>
      </c>
      <c r="AC19" s="5">
        <v>14</v>
      </c>
      <c r="AD19" s="1061" t="str">
        <f>IFERROR(INDEX(T08_Spells!$B$3:$B$407,MATCH(S02_Cleric!AC19,T08_Spells!$DD$3:$DD$407,0),1),"")</f>
        <v/>
      </c>
      <c r="AE19" s="1061"/>
      <c r="AF19" s="1061"/>
      <c r="AG19" s="1061"/>
      <c r="AH19" s="1061"/>
      <c r="AI19" s="567" t="s">
        <v>3034</v>
      </c>
      <c r="AJ19" s="569" t="str">
        <f t="shared" si="3"/>
        <v/>
      </c>
      <c r="AK19" s="565">
        <f>IF(OR(AI19="●",AJ19="●"),1+COUNTIF(AK$6:AK18,"&gt;0"),0)</f>
        <v>0</v>
      </c>
      <c r="AL19" s="5">
        <v>14</v>
      </c>
      <c r="AM19" s="1061" t="str">
        <f>IFERROR(INDEX(T08_Spells!$B$3:$B$407,MATCH(S02_Cleric!AL19,T08_Spells!$DE$3:$DE$407,0),1),"")</f>
        <v/>
      </c>
      <c r="AN19" s="1061"/>
      <c r="AO19" s="1061"/>
      <c r="AP19" s="1061"/>
      <c r="AQ19" s="1061"/>
      <c r="AR19" s="567"/>
      <c r="AS19" s="569" t="str">
        <f t="shared" si="4"/>
        <v/>
      </c>
      <c r="AT19" s="565">
        <f>IF(OR(AR19="●",AS19="●"),1+COUNTIF(AT$6:AT18,"&gt;0"),0)</f>
        <v>0</v>
      </c>
      <c r="AU19" s="5">
        <v>14</v>
      </c>
      <c r="AV19" s="1061" t="str">
        <f>IFERROR(INDEX(T08_Spells!$B$3:$B$407,MATCH(S02_Cleric!AU19,T08_Spells!$DF$3:$DF$407,0),1),"")</f>
        <v/>
      </c>
      <c r="AW19" s="1061"/>
      <c r="AX19" s="1061"/>
      <c r="AY19" s="1061"/>
      <c r="AZ19" s="1061"/>
      <c r="BA19" s="567"/>
      <c r="BB19" s="569" t="str">
        <f t="shared" si="5"/>
        <v/>
      </c>
      <c r="BC19" s="565">
        <f>IF(OR(BA19="●",BB19="●"),1+COUNTIF(BC$6:BC18,"&gt;0"),0)</f>
        <v>0</v>
      </c>
      <c r="BD19" s="5">
        <v>14</v>
      </c>
      <c r="BE19" s="1061" t="str">
        <f>IFERROR(INDEX(T08_Spells!$B$3:$B$407,MATCH(S02_Cleric!BD19,T08_Spells!$DG$3:$DG$407,0),1),"")</f>
        <v/>
      </c>
      <c r="BF19" s="1061"/>
      <c r="BG19" s="1061"/>
      <c r="BH19" s="1061"/>
      <c r="BI19" s="1061"/>
      <c r="BJ19" s="567"/>
      <c r="BK19" s="569" t="str">
        <f t="shared" si="6"/>
        <v/>
      </c>
      <c r="BL19" s="565">
        <f>IF(OR(BJ19="●",BK19="●"),1+COUNTIF(BL$6:BL18,"&gt;0"),0)</f>
        <v>0</v>
      </c>
      <c r="BM19" s="5">
        <v>14</v>
      </c>
      <c r="BN19" s="1061" t="str">
        <f>IFERROR(INDEX(T08_Spells!$B$3:$B$407,MATCH(S02_Cleric!BM19,T08_Spells!$DH$3:$DH$407,0),1),"")</f>
        <v/>
      </c>
      <c r="BO19" s="1061"/>
      <c r="BP19" s="1061"/>
      <c r="BQ19" s="1061"/>
      <c r="BR19" s="1061"/>
      <c r="BS19" s="567"/>
      <c r="BT19" s="569" t="str">
        <f t="shared" si="7"/>
        <v/>
      </c>
      <c r="BU19" s="565">
        <f>IF(OR(BS19="●",BT19="●"),1+COUNTIF(BU$6:BU18,"&gt;0"),0)</f>
        <v>0</v>
      </c>
      <c r="BV19" s="5">
        <v>14</v>
      </c>
      <c r="BW19" s="1061" t="str">
        <f>IFERROR(INDEX(T08_Spells!$B$3:$B$407,MATCH(S02_Cleric!BV19,T08_Spells!$DI$3:$DI$407,0),1),"")</f>
        <v/>
      </c>
      <c r="BX19" s="1061"/>
      <c r="BY19" s="1061"/>
      <c r="BZ19" s="1061"/>
      <c r="CA19" s="1061"/>
      <c r="CB19" s="567"/>
      <c r="CC19" s="569" t="str">
        <f t="shared" si="8"/>
        <v/>
      </c>
      <c r="CD19" s="565">
        <f>IF(OR(CB19="●",CC19="●"),1+COUNTIF(CD$6:CD18,"&gt;0"),0)</f>
        <v>0</v>
      </c>
      <c r="CE19" s="565"/>
      <c r="CF19" s="565"/>
      <c r="CG19" s="565"/>
      <c r="CH19" s="565"/>
      <c r="CI19" s="565"/>
      <c r="CJ19" s="565"/>
      <c r="CK19" s="565"/>
      <c r="CL19" s="120"/>
    </row>
    <row r="20" spans="1:90" ht="21" x14ac:dyDescent="0.25">
      <c r="A20" s="120"/>
      <c r="B20" s="5">
        <v>15</v>
      </c>
      <c r="C20" s="1061" t="str">
        <f>IFERROR(INDEX(T08_Spells!$B$3:$B$407,MATCH(S02_Cleric!B20,T08_Spells!$DA$3:$DA$407,0),1),"")</f>
        <v>Shield of Faith</v>
      </c>
      <c r="D20" s="1061"/>
      <c r="E20" s="1061"/>
      <c r="F20" s="1061"/>
      <c r="G20" s="1061"/>
      <c r="H20" s="567"/>
      <c r="I20" s="569" t="str">
        <f t="shared" si="0"/>
        <v/>
      </c>
      <c r="J20" s="565">
        <f>IF(OR(H20="●",I20="●"),1+COUNTIF(J$6:J19,"&gt;0"),0)</f>
        <v>0</v>
      </c>
      <c r="K20" s="5">
        <v>15</v>
      </c>
      <c r="L20" s="1061" t="str">
        <f>IFERROR(INDEX(T08_Spells!$B$3:$B$407,MATCH(S02_Cleric!K20,T08_Spells!$DB$3:$DB$407,0),1),"")</f>
        <v>Warding Bond</v>
      </c>
      <c r="M20" s="1061"/>
      <c r="N20" s="1061"/>
      <c r="O20" s="1061"/>
      <c r="P20" s="1061"/>
      <c r="Q20" s="567"/>
      <c r="R20" s="569" t="str">
        <f t="shared" si="1"/>
        <v/>
      </c>
      <c r="S20" s="565">
        <f>IF(OR(Q20="●",R20="●"),1+COUNTIF(S$6:S19,"&gt;0"),0)</f>
        <v>0</v>
      </c>
      <c r="T20" s="5">
        <v>15</v>
      </c>
      <c r="U20" s="1061" t="str">
        <f>IFERROR(INDEX(T08_Spells!$B$3:$B$407,MATCH(S02_Cleric!T20,T08_Spells!$DC$3:$DC$407,0),1),"")</f>
        <v>Revivify</v>
      </c>
      <c r="V20" s="1061"/>
      <c r="W20" s="1061"/>
      <c r="X20" s="1061"/>
      <c r="Y20" s="1061"/>
      <c r="Z20" s="567"/>
      <c r="AA20" s="569" t="str">
        <f t="shared" si="2"/>
        <v/>
      </c>
      <c r="AB20" s="565">
        <f>IF(OR(Z20="●",AA20="●"),1+COUNTIF(AB$6:AB19,"&gt;0"),0)</f>
        <v>0</v>
      </c>
      <c r="AC20" s="5">
        <v>15</v>
      </c>
      <c r="AD20" s="1061" t="str">
        <f>IFERROR(INDEX(T08_Spells!$B$3:$B$407,MATCH(S02_Cleric!AC20,T08_Spells!$DD$3:$DD$407,0),1),"")</f>
        <v/>
      </c>
      <c r="AE20" s="1061"/>
      <c r="AF20" s="1061"/>
      <c r="AG20" s="1061"/>
      <c r="AH20" s="1061"/>
      <c r="AI20" s="567" t="s">
        <v>3034</v>
      </c>
      <c r="AJ20" s="569" t="str">
        <f t="shared" si="3"/>
        <v/>
      </c>
      <c r="AK20" s="565">
        <f>IF(OR(AI20="●",AJ20="●"),1+COUNTIF(AK$6:AK19,"&gt;0"),0)</f>
        <v>0</v>
      </c>
      <c r="AL20" s="5">
        <v>15</v>
      </c>
      <c r="AM20" s="1061" t="str">
        <f>IFERROR(INDEX(T08_Spells!$B$3:$B$407,MATCH(S02_Cleric!AL20,T08_Spells!$DE$3:$DE$407,0),1),"")</f>
        <v/>
      </c>
      <c r="AN20" s="1061"/>
      <c r="AO20" s="1061"/>
      <c r="AP20" s="1061"/>
      <c r="AQ20" s="1061"/>
      <c r="AR20" s="567"/>
      <c r="AS20" s="569" t="str">
        <f t="shared" si="4"/>
        <v/>
      </c>
      <c r="AT20" s="565">
        <f>IF(OR(AR20="●",AS20="●"),1+COUNTIF(AT$6:AT19,"&gt;0"),0)</f>
        <v>0</v>
      </c>
      <c r="AU20" s="5">
        <v>15</v>
      </c>
      <c r="AV20" s="1061" t="str">
        <f>IFERROR(INDEX(T08_Spells!$B$3:$B$407,MATCH(S02_Cleric!AU20,T08_Spells!$DF$3:$DF$407,0),1),"")</f>
        <v/>
      </c>
      <c r="AW20" s="1061"/>
      <c r="AX20" s="1061"/>
      <c r="AY20" s="1061"/>
      <c r="AZ20" s="1061"/>
      <c r="BA20" s="567"/>
      <c r="BB20" s="569" t="str">
        <f t="shared" si="5"/>
        <v/>
      </c>
      <c r="BC20" s="565">
        <f>IF(OR(BA20="●",BB20="●"),1+COUNTIF(BC$6:BC19,"&gt;0"),0)</f>
        <v>0</v>
      </c>
      <c r="BD20" s="5">
        <v>15</v>
      </c>
      <c r="BE20" s="1061" t="str">
        <f>IFERROR(INDEX(T08_Spells!$B$3:$B$407,MATCH(S02_Cleric!BD20,T08_Spells!$DG$3:$DG$407,0),1),"")</f>
        <v/>
      </c>
      <c r="BF20" s="1061"/>
      <c r="BG20" s="1061"/>
      <c r="BH20" s="1061"/>
      <c r="BI20" s="1061"/>
      <c r="BJ20" s="567"/>
      <c r="BK20" s="569" t="str">
        <f t="shared" si="6"/>
        <v/>
      </c>
      <c r="BL20" s="565">
        <f>IF(OR(BJ20="●",BK20="●"),1+COUNTIF(BL$6:BL19,"&gt;0"),0)</f>
        <v>0</v>
      </c>
      <c r="BM20" s="5">
        <v>15</v>
      </c>
      <c r="BN20" s="1061" t="str">
        <f>IFERROR(INDEX(T08_Spells!$B$3:$B$407,MATCH(S02_Cleric!BM20,T08_Spells!$DH$3:$DH$407,0),1),"")</f>
        <v/>
      </c>
      <c r="BO20" s="1061"/>
      <c r="BP20" s="1061"/>
      <c r="BQ20" s="1061"/>
      <c r="BR20" s="1061"/>
      <c r="BS20" s="567"/>
      <c r="BT20" s="569" t="str">
        <f t="shared" si="7"/>
        <v/>
      </c>
      <c r="BU20" s="565">
        <f>IF(OR(BS20="●",BT20="●"),1+COUNTIF(BU$6:BU19,"&gt;0"),0)</f>
        <v>0</v>
      </c>
      <c r="BV20" s="5">
        <v>15</v>
      </c>
      <c r="BW20" s="1061" t="str">
        <f>IFERROR(INDEX(T08_Spells!$B$3:$B$407,MATCH(S02_Cleric!BV20,T08_Spells!$DI$3:$DI$407,0),1),"")</f>
        <v/>
      </c>
      <c r="BX20" s="1061"/>
      <c r="BY20" s="1061"/>
      <c r="BZ20" s="1061"/>
      <c r="CA20" s="1061"/>
      <c r="CB20" s="567"/>
      <c r="CC20" s="569" t="str">
        <f t="shared" si="8"/>
        <v/>
      </c>
      <c r="CD20" s="565">
        <f>IF(OR(CB20="●",CC20="●"),1+COUNTIF(CD$6:CD19,"&gt;0"),0)</f>
        <v>0</v>
      </c>
      <c r="CE20" s="565"/>
      <c r="CF20" s="565"/>
      <c r="CG20" s="565"/>
      <c r="CH20" s="565"/>
      <c r="CI20" s="565"/>
      <c r="CJ20" s="565"/>
      <c r="CK20" s="565"/>
      <c r="CL20" s="120"/>
    </row>
    <row r="21" spans="1:90" ht="21" x14ac:dyDescent="0.25">
      <c r="A21" s="120"/>
      <c r="B21" s="5">
        <v>16</v>
      </c>
      <c r="C21" s="1061" t="str">
        <f>IFERROR(INDEX(T08_Spells!$B$3:$B$407,MATCH(S02_Cleric!B21,T08_Spells!$DA$3:$DA$407,0),1),"")</f>
        <v/>
      </c>
      <c r="D21" s="1061"/>
      <c r="E21" s="1061"/>
      <c r="F21" s="1061"/>
      <c r="G21" s="1061"/>
      <c r="H21" s="567" t="s">
        <v>6361</v>
      </c>
      <c r="I21" s="569" t="str">
        <f t="shared" si="0"/>
        <v/>
      </c>
      <c r="J21" s="565">
        <f>IF(OR(H21="●",I21="●"),1+COUNTIF(J$6:J20,"&gt;0"),0)</f>
        <v>3</v>
      </c>
      <c r="K21" s="5">
        <v>16</v>
      </c>
      <c r="L21" s="1061" t="str">
        <f>IFERROR(INDEX(T08_Spells!$B$3:$B$407,MATCH(S02_Cleric!K21,T08_Spells!$DB$3:$DB$407,0),1),"")</f>
        <v>Zone of Truth</v>
      </c>
      <c r="M21" s="1061"/>
      <c r="N21" s="1061"/>
      <c r="O21" s="1061"/>
      <c r="P21" s="1061"/>
      <c r="Q21" s="567" t="s">
        <v>6361</v>
      </c>
      <c r="R21" s="569" t="str">
        <f t="shared" si="1"/>
        <v/>
      </c>
      <c r="S21" s="565">
        <f>IF(OR(Q21="●",R21="●"),1+COUNTIF(S$6:S20,"&gt;0"),0)</f>
        <v>2</v>
      </c>
      <c r="T21" s="5">
        <v>16</v>
      </c>
      <c r="U21" s="1061" t="str">
        <f>IFERROR(INDEX(T08_Spells!$B$3:$B$407,MATCH(S02_Cleric!T21,T08_Spells!$DC$3:$DC$407,0),1),"")</f>
        <v>Sending</v>
      </c>
      <c r="V21" s="1061"/>
      <c r="W21" s="1061"/>
      <c r="X21" s="1061"/>
      <c r="Y21" s="1061"/>
      <c r="Z21" s="567"/>
      <c r="AA21" s="569" t="str">
        <f t="shared" si="2"/>
        <v/>
      </c>
      <c r="AB21" s="565">
        <f>IF(OR(Z21="●",AA21="●"),1+COUNTIF(AB$6:AB20,"&gt;0"),0)</f>
        <v>0</v>
      </c>
      <c r="AC21" s="5">
        <v>16</v>
      </c>
      <c r="AD21" s="1061" t="str">
        <f>IFERROR(INDEX(T08_Spells!$B$3:$B$407,MATCH(S02_Cleric!AC21,T08_Spells!$DD$3:$DD$407,0),1),"")</f>
        <v/>
      </c>
      <c r="AE21" s="1061"/>
      <c r="AF21" s="1061"/>
      <c r="AG21" s="1061"/>
      <c r="AH21" s="1061"/>
      <c r="AI21" s="567" t="s">
        <v>3034</v>
      </c>
      <c r="AJ21" s="569" t="str">
        <f t="shared" si="3"/>
        <v/>
      </c>
      <c r="AK21" s="565">
        <f>IF(OR(AI21="●",AJ21="●"),1+COUNTIF(AK$6:AK20,"&gt;0"),0)</f>
        <v>0</v>
      </c>
      <c r="AL21" s="5">
        <v>16</v>
      </c>
      <c r="AM21" s="1061" t="str">
        <f>IFERROR(INDEX(T08_Spells!$B$3:$B$407,MATCH(S02_Cleric!AL21,T08_Spells!$DE$3:$DE$407,0),1),"")</f>
        <v/>
      </c>
      <c r="AN21" s="1061"/>
      <c r="AO21" s="1061"/>
      <c r="AP21" s="1061"/>
      <c r="AQ21" s="1061"/>
      <c r="AR21" s="567"/>
      <c r="AS21" s="569" t="str">
        <f t="shared" si="4"/>
        <v/>
      </c>
      <c r="AT21" s="565">
        <f>IF(OR(AR21="●",AS21="●"),1+COUNTIF(AT$6:AT20,"&gt;0"),0)</f>
        <v>0</v>
      </c>
      <c r="AU21" s="5">
        <v>16</v>
      </c>
      <c r="AV21" s="1061" t="str">
        <f>IFERROR(INDEX(T08_Spells!$B$3:$B$407,MATCH(S02_Cleric!AU21,T08_Spells!$DF$3:$DF$407,0),1),"")</f>
        <v/>
      </c>
      <c r="AW21" s="1061"/>
      <c r="AX21" s="1061"/>
      <c r="AY21" s="1061"/>
      <c r="AZ21" s="1061"/>
      <c r="BA21" s="567"/>
      <c r="BB21" s="569" t="str">
        <f t="shared" si="5"/>
        <v/>
      </c>
      <c r="BC21" s="565">
        <f>IF(OR(BA21="●",BB21="●"),1+COUNTIF(BC$6:BC20,"&gt;0"),0)</f>
        <v>0</v>
      </c>
      <c r="BD21" s="5">
        <v>16</v>
      </c>
      <c r="BE21" s="1061" t="str">
        <f>IFERROR(INDEX(T08_Spells!$B$3:$B$407,MATCH(S02_Cleric!BD21,T08_Spells!$DG$3:$DG$407,0),1),"")</f>
        <v/>
      </c>
      <c r="BF21" s="1061"/>
      <c r="BG21" s="1061"/>
      <c r="BH21" s="1061"/>
      <c r="BI21" s="1061"/>
      <c r="BJ21" s="567"/>
      <c r="BK21" s="569" t="str">
        <f t="shared" si="6"/>
        <v/>
      </c>
      <c r="BL21" s="565">
        <f>IF(OR(BJ21="●",BK21="●"),1+COUNTIF(BL$6:BL20,"&gt;0"),0)</f>
        <v>0</v>
      </c>
      <c r="BM21" s="5">
        <v>16</v>
      </c>
      <c r="BN21" s="1061" t="str">
        <f>IFERROR(INDEX(T08_Spells!$B$3:$B$407,MATCH(S02_Cleric!BM21,T08_Spells!$DH$3:$DH$407,0),1),"")</f>
        <v/>
      </c>
      <c r="BO21" s="1061"/>
      <c r="BP21" s="1061"/>
      <c r="BQ21" s="1061"/>
      <c r="BR21" s="1061"/>
      <c r="BS21" s="567"/>
      <c r="BT21" s="569" t="str">
        <f t="shared" si="7"/>
        <v/>
      </c>
      <c r="BU21" s="565">
        <f>IF(OR(BS21="●",BT21="●"),1+COUNTIF(BU$6:BU20,"&gt;0"),0)</f>
        <v>0</v>
      </c>
      <c r="BV21" s="5">
        <v>16</v>
      </c>
      <c r="BW21" s="1061" t="str">
        <f>IFERROR(INDEX(T08_Spells!$B$3:$B$407,MATCH(S02_Cleric!BV21,T08_Spells!$DI$3:$DI$407,0),1),"")</f>
        <v/>
      </c>
      <c r="BX21" s="1061"/>
      <c r="BY21" s="1061"/>
      <c r="BZ21" s="1061"/>
      <c r="CA21" s="1061"/>
      <c r="CB21" s="567"/>
      <c r="CC21" s="569" t="str">
        <f t="shared" si="8"/>
        <v/>
      </c>
      <c r="CD21" s="565">
        <f>IF(OR(CB21="●",CC21="●"),1+COUNTIF(CD$6:CD20,"&gt;0"),0)</f>
        <v>0</v>
      </c>
      <c r="CE21" s="565"/>
      <c r="CF21" s="565"/>
      <c r="CG21" s="565"/>
      <c r="CH21" s="565"/>
      <c r="CI21" s="565"/>
      <c r="CJ21" s="565"/>
      <c r="CK21" s="565"/>
      <c r="CL21" s="120"/>
    </row>
    <row r="22" spans="1:90" ht="21" x14ac:dyDescent="0.25">
      <c r="A22" s="120"/>
      <c r="B22" s="5">
        <v>17</v>
      </c>
      <c r="C22" s="1061" t="str">
        <f>IFERROR(INDEX(T08_Spells!$B$3:$B$407,MATCH(S02_Cleric!B22,T08_Spells!$DA$3:$DA$407,0),1),"")</f>
        <v/>
      </c>
      <c r="D22" s="1061"/>
      <c r="E22" s="1061"/>
      <c r="F22" s="1061"/>
      <c r="G22" s="1061"/>
      <c r="H22" s="567"/>
      <c r="I22" s="569" t="str">
        <f t="shared" si="0"/>
        <v/>
      </c>
      <c r="J22" s="565">
        <f>IF(OR(H22="●",I22="●"),1+COUNTIF(J$6:J21,"&gt;0"),0)</f>
        <v>0</v>
      </c>
      <c r="K22" s="5">
        <v>17</v>
      </c>
      <c r="L22" s="1061" t="str">
        <f>IFERROR(INDEX(T08_Spells!$B$3:$B$407,MATCH(S02_Cleric!K22,T08_Spells!$DB$3:$DB$407,0),1),"")</f>
        <v/>
      </c>
      <c r="M22" s="1061"/>
      <c r="N22" s="1061"/>
      <c r="O22" s="1061"/>
      <c r="P22" s="1061"/>
      <c r="Q22" s="567"/>
      <c r="R22" s="569" t="str">
        <f t="shared" si="1"/>
        <v/>
      </c>
      <c r="S22" s="565">
        <f>IF(OR(Q22="●",R22="●"),1+COUNTIF(S$6:S21,"&gt;0"),0)</f>
        <v>0</v>
      </c>
      <c r="T22" s="5">
        <v>17</v>
      </c>
      <c r="U22" s="1061" t="str">
        <f>IFERROR(INDEX(T08_Spells!$B$3:$B$407,MATCH(S02_Cleric!T22,T08_Spells!$DC$3:$DC$407,0),1),"")</f>
        <v>Speak with Dead</v>
      </c>
      <c r="V22" s="1061"/>
      <c r="W22" s="1061"/>
      <c r="X22" s="1061"/>
      <c r="Y22" s="1061"/>
      <c r="Z22" s="567"/>
      <c r="AA22" s="569" t="str">
        <f t="shared" si="2"/>
        <v/>
      </c>
      <c r="AB22" s="565">
        <f>IF(OR(Z22="●",AA22="●"),1+COUNTIF(AB$6:AB21,"&gt;0"),0)</f>
        <v>0</v>
      </c>
      <c r="AC22" s="5">
        <v>17</v>
      </c>
      <c r="AD22" s="1061" t="str">
        <f>IFERROR(INDEX(T08_Spells!$B$3:$B$407,MATCH(S02_Cleric!AC22,T08_Spells!$DD$3:$DD$407,0),1),"")</f>
        <v/>
      </c>
      <c r="AE22" s="1061"/>
      <c r="AF22" s="1061"/>
      <c r="AG22" s="1061"/>
      <c r="AH22" s="1061"/>
      <c r="AI22" s="567" t="s">
        <v>3034</v>
      </c>
      <c r="AJ22" s="569" t="str">
        <f t="shared" si="3"/>
        <v/>
      </c>
      <c r="AK22" s="565">
        <f>IF(OR(AI22="●",AJ22="●"),1+COUNTIF(AK$6:AK21,"&gt;0"),0)</f>
        <v>0</v>
      </c>
      <c r="AL22" s="5">
        <v>17</v>
      </c>
      <c r="AM22" s="1061" t="str">
        <f>IFERROR(INDEX(T08_Spells!$B$3:$B$407,MATCH(S02_Cleric!AL22,T08_Spells!$DE$3:$DE$407,0),1),"")</f>
        <v/>
      </c>
      <c r="AN22" s="1061"/>
      <c r="AO22" s="1061"/>
      <c r="AP22" s="1061"/>
      <c r="AQ22" s="1061"/>
      <c r="AR22" s="567"/>
      <c r="AS22" s="569" t="str">
        <f t="shared" si="4"/>
        <v/>
      </c>
      <c r="AT22" s="565">
        <f>IF(OR(AR22="●",AS22="●"),1+COUNTIF(AT$6:AT21,"&gt;0"),0)</f>
        <v>0</v>
      </c>
      <c r="AU22" s="5">
        <v>17</v>
      </c>
      <c r="AV22" s="1061" t="str">
        <f>IFERROR(INDEX(T08_Spells!$B$3:$B$407,MATCH(S02_Cleric!AU22,T08_Spells!$DF$3:$DF$407,0),1),"")</f>
        <v/>
      </c>
      <c r="AW22" s="1061"/>
      <c r="AX22" s="1061"/>
      <c r="AY22" s="1061"/>
      <c r="AZ22" s="1061"/>
      <c r="BA22" s="567"/>
      <c r="BB22" s="569" t="str">
        <f t="shared" si="5"/>
        <v/>
      </c>
      <c r="BC22" s="565">
        <f>IF(OR(BA22="●",BB22="●"),1+COUNTIF(BC$6:BC21,"&gt;0"),0)</f>
        <v>0</v>
      </c>
      <c r="BD22" s="5">
        <v>17</v>
      </c>
      <c r="BE22" s="1061" t="str">
        <f>IFERROR(INDEX(T08_Spells!$B$3:$B$407,MATCH(S02_Cleric!BD22,T08_Spells!$DG$3:$DG$407,0),1),"")</f>
        <v/>
      </c>
      <c r="BF22" s="1061"/>
      <c r="BG22" s="1061"/>
      <c r="BH22" s="1061"/>
      <c r="BI22" s="1061"/>
      <c r="BJ22" s="567"/>
      <c r="BK22" s="569" t="str">
        <f t="shared" si="6"/>
        <v/>
      </c>
      <c r="BL22" s="565">
        <f>IF(OR(BJ22="●",BK22="●"),1+COUNTIF(BL$6:BL21,"&gt;0"),0)</f>
        <v>0</v>
      </c>
      <c r="BM22" s="5">
        <v>17</v>
      </c>
      <c r="BN22" s="1061" t="str">
        <f>IFERROR(INDEX(T08_Spells!$B$3:$B$407,MATCH(S02_Cleric!BM22,T08_Spells!$DH$3:$DH$407,0),1),"")</f>
        <v/>
      </c>
      <c r="BO22" s="1061"/>
      <c r="BP22" s="1061"/>
      <c r="BQ22" s="1061"/>
      <c r="BR22" s="1061"/>
      <c r="BS22" s="567"/>
      <c r="BT22" s="569" t="str">
        <f t="shared" si="7"/>
        <v/>
      </c>
      <c r="BU22" s="565">
        <f>IF(OR(BS22="●",BT22="●"),1+COUNTIF(BU$6:BU21,"&gt;0"),0)</f>
        <v>0</v>
      </c>
      <c r="BV22" s="5">
        <v>17</v>
      </c>
      <c r="BW22" s="1061" t="str">
        <f>IFERROR(INDEX(T08_Spells!$B$3:$B$407,MATCH(S02_Cleric!BV22,T08_Spells!$DI$3:$DI$407,0),1),"")</f>
        <v/>
      </c>
      <c r="BX22" s="1061"/>
      <c r="BY22" s="1061"/>
      <c r="BZ22" s="1061"/>
      <c r="CA22" s="1061"/>
      <c r="CB22" s="567"/>
      <c r="CC22" s="569" t="str">
        <f t="shared" si="8"/>
        <v/>
      </c>
      <c r="CD22" s="565">
        <f>IF(OR(CB22="●",CC22="●"),1+COUNTIF(CD$6:CD21,"&gt;0"),0)</f>
        <v>0</v>
      </c>
      <c r="CE22" s="565"/>
      <c r="CF22" s="565"/>
      <c r="CG22" s="565"/>
      <c r="CH22" s="565"/>
      <c r="CI22" s="565"/>
      <c r="CJ22" s="565"/>
      <c r="CK22" s="565"/>
      <c r="CL22" s="120"/>
    </row>
    <row r="23" spans="1:90" ht="21" x14ac:dyDescent="0.25">
      <c r="A23" s="120"/>
      <c r="B23" s="5">
        <v>18</v>
      </c>
      <c r="C23" s="1061" t="str">
        <f>IFERROR(INDEX(T08_Spells!$B$3:$B$407,MATCH(S02_Cleric!B23,T08_Spells!$DA$3:$DA$407,0),1),"")</f>
        <v/>
      </c>
      <c r="D23" s="1061"/>
      <c r="E23" s="1061"/>
      <c r="F23" s="1061"/>
      <c r="G23" s="1061"/>
      <c r="H23" s="567"/>
      <c r="I23" s="569" t="str">
        <f t="shared" si="0"/>
        <v/>
      </c>
      <c r="J23" s="565">
        <f>IF(OR(H23="●",I23="●"),1+COUNTIF(J$6:J22,"&gt;0"),0)</f>
        <v>0</v>
      </c>
      <c r="K23" s="5">
        <v>18</v>
      </c>
      <c r="L23" s="1061" t="str">
        <f>IFERROR(INDEX(T08_Spells!$B$3:$B$407,MATCH(S02_Cleric!K23,T08_Spells!$DB$3:$DB$407,0),1),"")</f>
        <v/>
      </c>
      <c r="M23" s="1061"/>
      <c r="N23" s="1061"/>
      <c r="O23" s="1061"/>
      <c r="P23" s="1061"/>
      <c r="Q23" s="567"/>
      <c r="R23" s="569" t="str">
        <f t="shared" si="1"/>
        <v/>
      </c>
      <c r="S23" s="565">
        <f>IF(OR(Q23="●",R23="●"),1+COUNTIF(S$6:S22,"&gt;0"),0)</f>
        <v>0</v>
      </c>
      <c r="T23" s="5">
        <v>18</v>
      </c>
      <c r="U23" s="1061" t="str">
        <f>IFERROR(INDEX(T08_Spells!$B$3:$B$407,MATCH(S02_Cleric!T23,T08_Spells!$DC$3:$DC$407,0),1),"")</f>
        <v>Spirit Guardians</v>
      </c>
      <c r="V23" s="1061"/>
      <c r="W23" s="1061"/>
      <c r="X23" s="1061"/>
      <c r="Y23" s="1061"/>
      <c r="Z23" s="567"/>
      <c r="AA23" s="569" t="str">
        <f t="shared" si="2"/>
        <v/>
      </c>
      <c r="AB23" s="565">
        <f>IF(OR(Z23="●",AA23="●"),1+COUNTIF(AB$6:AB22,"&gt;0"),0)</f>
        <v>0</v>
      </c>
      <c r="AC23" s="5">
        <v>18</v>
      </c>
      <c r="AD23" s="1061" t="str">
        <f>IFERROR(INDEX(T08_Spells!$B$3:$B$407,MATCH(S02_Cleric!AC23,T08_Spells!$DD$3:$DD$407,0),1),"")</f>
        <v/>
      </c>
      <c r="AE23" s="1061"/>
      <c r="AF23" s="1061"/>
      <c r="AG23" s="1061"/>
      <c r="AH23" s="1061"/>
      <c r="AI23" s="567" t="s">
        <v>3034</v>
      </c>
      <c r="AJ23" s="569" t="str">
        <f t="shared" si="3"/>
        <v/>
      </c>
      <c r="AK23" s="565">
        <f>IF(OR(AI23="●",AJ23="●"),1+COUNTIF(AK$6:AK22,"&gt;0"),0)</f>
        <v>0</v>
      </c>
      <c r="AL23" s="5">
        <v>18</v>
      </c>
      <c r="AM23" s="1061" t="str">
        <f>IFERROR(INDEX(T08_Spells!$B$3:$B$407,MATCH(S02_Cleric!AL23,T08_Spells!$DE$3:$DE$407,0),1),"")</f>
        <v/>
      </c>
      <c r="AN23" s="1061"/>
      <c r="AO23" s="1061"/>
      <c r="AP23" s="1061"/>
      <c r="AQ23" s="1061"/>
      <c r="AR23" s="567"/>
      <c r="AS23" s="569" t="str">
        <f t="shared" si="4"/>
        <v/>
      </c>
      <c r="AT23" s="565">
        <f>IF(OR(AR23="●",AS23="●"),1+COUNTIF(AT$6:AT22,"&gt;0"),0)</f>
        <v>0</v>
      </c>
      <c r="AU23" s="5">
        <v>18</v>
      </c>
      <c r="AV23" s="1061" t="str">
        <f>IFERROR(INDEX(T08_Spells!$B$3:$B$407,MATCH(S02_Cleric!AU23,T08_Spells!$DF$3:$DF$407,0),1),"")</f>
        <v/>
      </c>
      <c r="AW23" s="1061"/>
      <c r="AX23" s="1061"/>
      <c r="AY23" s="1061"/>
      <c r="AZ23" s="1061"/>
      <c r="BA23" s="567"/>
      <c r="BB23" s="569" t="str">
        <f t="shared" si="5"/>
        <v/>
      </c>
      <c r="BC23" s="565">
        <f>IF(OR(BA23="●",BB23="●"),1+COUNTIF(BC$6:BC22,"&gt;0"),0)</f>
        <v>0</v>
      </c>
      <c r="BD23" s="5">
        <v>18</v>
      </c>
      <c r="BE23" s="1061" t="str">
        <f>IFERROR(INDEX(T08_Spells!$B$3:$B$407,MATCH(S02_Cleric!BD23,T08_Spells!$DG$3:$DG$407,0),1),"")</f>
        <v/>
      </c>
      <c r="BF23" s="1061"/>
      <c r="BG23" s="1061"/>
      <c r="BH23" s="1061"/>
      <c r="BI23" s="1061"/>
      <c r="BJ23" s="567"/>
      <c r="BK23" s="569" t="str">
        <f t="shared" si="6"/>
        <v/>
      </c>
      <c r="BL23" s="565">
        <f>IF(OR(BJ23="●",BK23="●"),1+COUNTIF(BL$6:BL22,"&gt;0"),0)</f>
        <v>0</v>
      </c>
      <c r="BM23" s="5">
        <v>18</v>
      </c>
      <c r="BN23" s="1061" t="str">
        <f>IFERROR(INDEX(T08_Spells!$B$3:$B$407,MATCH(S02_Cleric!BM23,T08_Spells!$DH$3:$DH$407,0),1),"")</f>
        <v/>
      </c>
      <c r="BO23" s="1061"/>
      <c r="BP23" s="1061"/>
      <c r="BQ23" s="1061"/>
      <c r="BR23" s="1061"/>
      <c r="BS23" s="567"/>
      <c r="BT23" s="569" t="str">
        <f t="shared" si="7"/>
        <v/>
      </c>
      <c r="BU23" s="565">
        <f>IF(OR(BS23="●",BT23="●"),1+COUNTIF(BU$6:BU22,"&gt;0"),0)</f>
        <v>0</v>
      </c>
      <c r="BV23" s="5">
        <v>18</v>
      </c>
      <c r="BW23" s="1061" t="str">
        <f>IFERROR(INDEX(T08_Spells!$B$3:$B$407,MATCH(S02_Cleric!BV23,T08_Spells!$DI$3:$DI$407,0),1),"")</f>
        <v/>
      </c>
      <c r="BX23" s="1061"/>
      <c r="BY23" s="1061"/>
      <c r="BZ23" s="1061"/>
      <c r="CA23" s="1061"/>
      <c r="CB23" s="567"/>
      <c r="CC23" s="569" t="str">
        <f t="shared" si="8"/>
        <v/>
      </c>
      <c r="CD23" s="565">
        <f>IF(OR(CB23="●",CC23="●"),1+COUNTIF(CD$6:CD22,"&gt;0"),0)</f>
        <v>0</v>
      </c>
      <c r="CE23" s="565"/>
      <c r="CF23" s="565"/>
      <c r="CG23" s="565"/>
      <c r="CH23" s="565"/>
      <c r="CI23" s="565"/>
      <c r="CJ23" s="565"/>
      <c r="CK23" s="565"/>
      <c r="CL23" s="120"/>
    </row>
    <row r="24" spans="1:90" ht="21" x14ac:dyDescent="0.25">
      <c r="A24" s="120"/>
      <c r="B24" s="5">
        <v>19</v>
      </c>
      <c r="C24" s="1061" t="str">
        <f>IFERROR(INDEX(T08_Spells!$B$3:$B$407,MATCH(S02_Cleric!B24,T08_Spells!$DA$3:$DA$407,0),1),"")</f>
        <v/>
      </c>
      <c r="D24" s="1061"/>
      <c r="E24" s="1061"/>
      <c r="F24" s="1061"/>
      <c r="G24" s="1061"/>
      <c r="H24" s="567"/>
      <c r="I24" s="569" t="str">
        <f t="shared" si="0"/>
        <v/>
      </c>
      <c r="J24" s="565">
        <f>IF(OR(H24="●",I24="●"),1+COUNTIF(J$6:J23,"&gt;0"),0)</f>
        <v>0</v>
      </c>
      <c r="K24" s="5">
        <v>19</v>
      </c>
      <c r="L24" s="1061" t="str">
        <f>IFERROR(INDEX(T08_Spells!$B$3:$B$407,MATCH(S02_Cleric!K24,T08_Spells!$DB$3:$DB$407,0),1),"")</f>
        <v/>
      </c>
      <c r="M24" s="1061"/>
      <c r="N24" s="1061"/>
      <c r="O24" s="1061"/>
      <c r="P24" s="1061"/>
      <c r="Q24" s="567"/>
      <c r="R24" s="569" t="str">
        <f t="shared" si="1"/>
        <v/>
      </c>
      <c r="S24" s="565">
        <f>IF(OR(Q24="●",R24="●"),1+COUNTIF(S$6:S23,"&gt;0"),0)</f>
        <v>0</v>
      </c>
      <c r="T24" s="5">
        <v>19</v>
      </c>
      <c r="U24" s="1061" t="str">
        <f>IFERROR(INDEX(T08_Spells!$B$3:$B$407,MATCH(S02_Cleric!T24,T08_Spells!$DC$3:$DC$407,0),1),"")</f>
        <v>Tongues</v>
      </c>
      <c r="V24" s="1061"/>
      <c r="W24" s="1061"/>
      <c r="X24" s="1061"/>
      <c r="Y24" s="1061"/>
      <c r="Z24" s="567"/>
      <c r="AA24" s="569" t="str">
        <f t="shared" si="2"/>
        <v/>
      </c>
      <c r="AB24" s="565">
        <f>IF(OR(Z24="●",AA24="●"),1+COUNTIF(AB$6:AB23,"&gt;0"),0)</f>
        <v>0</v>
      </c>
      <c r="AC24" s="5">
        <v>19</v>
      </c>
      <c r="AD24" s="1061" t="str">
        <f>IFERROR(INDEX(T08_Spells!$B$3:$B$407,MATCH(S02_Cleric!AC24,T08_Spells!$DD$3:$DD$407,0),1),"")</f>
        <v/>
      </c>
      <c r="AE24" s="1061"/>
      <c r="AF24" s="1061"/>
      <c r="AG24" s="1061"/>
      <c r="AH24" s="1061"/>
      <c r="AI24" s="567" t="s">
        <v>3034</v>
      </c>
      <c r="AJ24" s="569" t="str">
        <f t="shared" si="3"/>
        <v/>
      </c>
      <c r="AK24" s="565">
        <f>IF(OR(AI24="●",AJ24="●"),1+COUNTIF(AK$6:AK23,"&gt;0"),0)</f>
        <v>0</v>
      </c>
      <c r="AL24" s="5">
        <v>19</v>
      </c>
      <c r="AM24" s="1061" t="str">
        <f>IFERROR(INDEX(T08_Spells!$B$3:$B$407,MATCH(S02_Cleric!AL24,T08_Spells!$DE$3:$DE$407,0),1),"")</f>
        <v/>
      </c>
      <c r="AN24" s="1061"/>
      <c r="AO24" s="1061"/>
      <c r="AP24" s="1061"/>
      <c r="AQ24" s="1061"/>
      <c r="AR24" s="567"/>
      <c r="AS24" s="569" t="str">
        <f t="shared" si="4"/>
        <v/>
      </c>
      <c r="AT24" s="565">
        <f>IF(OR(AR24="●",AS24="●"),1+COUNTIF(AT$6:AT23,"&gt;0"),0)</f>
        <v>0</v>
      </c>
      <c r="AU24" s="5">
        <v>19</v>
      </c>
      <c r="AV24" s="1061" t="str">
        <f>IFERROR(INDEX(T08_Spells!$B$3:$B$407,MATCH(S02_Cleric!AU24,T08_Spells!$DF$3:$DF$407,0),1),"")</f>
        <v/>
      </c>
      <c r="AW24" s="1061"/>
      <c r="AX24" s="1061"/>
      <c r="AY24" s="1061"/>
      <c r="AZ24" s="1061"/>
      <c r="BA24" s="567"/>
      <c r="BB24" s="569" t="str">
        <f t="shared" si="5"/>
        <v/>
      </c>
      <c r="BC24" s="565">
        <f>IF(OR(BA24="●",BB24="●"),1+COUNTIF(BC$6:BC23,"&gt;0"),0)</f>
        <v>0</v>
      </c>
      <c r="BD24" s="5">
        <v>19</v>
      </c>
      <c r="BE24" s="1061" t="str">
        <f>IFERROR(INDEX(T08_Spells!$B$3:$B$407,MATCH(S02_Cleric!BD24,T08_Spells!$DG$3:$DG$407,0),1),"")</f>
        <v/>
      </c>
      <c r="BF24" s="1061"/>
      <c r="BG24" s="1061"/>
      <c r="BH24" s="1061"/>
      <c r="BI24" s="1061"/>
      <c r="BJ24" s="567"/>
      <c r="BK24" s="569" t="str">
        <f t="shared" si="6"/>
        <v/>
      </c>
      <c r="BL24" s="565">
        <f>IF(OR(BJ24="●",BK24="●"),1+COUNTIF(BL$6:BL23,"&gt;0"),0)</f>
        <v>0</v>
      </c>
      <c r="BM24" s="5">
        <v>19</v>
      </c>
      <c r="BN24" s="1061" t="str">
        <f>IFERROR(INDEX(T08_Spells!$B$3:$B$407,MATCH(S02_Cleric!BM24,T08_Spells!$DH$3:$DH$407,0),1),"")</f>
        <v/>
      </c>
      <c r="BO24" s="1061"/>
      <c r="BP24" s="1061"/>
      <c r="BQ24" s="1061"/>
      <c r="BR24" s="1061"/>
      <c r="BS24" s="567"/>
      <c r="BT24" s="569" t="str">
        <f t="shared" si="7"/>
        <v/>
      </c>
      <c r="BU24" s="565">
        <f>IF(OR(BS24="●",BT24="●"),1+COUNTIF(BU$6:BU23,"&gt;0"),0)</f>
        <v>0</v>
      </c>
      <c r="BV24" s="5">
        <v>19</v>
      </c>
      <c r="BW24" s="1061" t="str">
        <f>IFERROR(INDEX(T08_Spells!$B$3:$B$407,MATCH(S02_Cleric!BV24,T08_Spells!$DI$3:$DI$407,0),1),"")</f>
        <v/>
      </c>
      <c r="BX24" s="1061"/>
      <c r="BY24" s="1061"/>
      <c r="BZ24" s="1061"/>
      <c r="CA24" s="1061"/>
      <c r="CB24" s="567"/>
      <c r="CC24" s="569" t="str">
        <f t="shared" si="8"/>
        <v/>
      </c>
      <c r="CD24" s="565">
        <f>IF(OR(CB24="●",CC24="●"),1+COUNTIF(CD$6:CD23,"&gt;0"),0)</f>
        <v>0</v>
      </c>
      <c r="CE24" s="565"/>
      <c r="CF24" s="565"/>
      <c r="CG24" s="565"/>
      <c r="CH24" s="565"/>
      <c r="CI24" s="565"/>
      <c r="CJ24" s="565"/>
      <c r="CK24" s="565"/>
      <c r="CL24" s="120"/>
    </row>
    <row r="25" spans="1:90" ht="21" x14ac:dyDescent="0.25">
      <c r="A25" s="120"/>
      <c r="B25" s="5">
        <v>20</v>
      </c>
      <c r="C25" s="1061" t="str">
        <f>IFERROR(INDEX(T08_Spells!$B$3:$B$407,MATCH(S02_Cleric!B25,T08_Spells!$DA$3:$DA$407,0),1),"")</f>
        <v/>
      </c>
      <c r="D25" s="1061"/>
      <c r="E25" s="1061"/>
      <c r="F25" s="1061"/>
      <c r="G25" s="1061"/>
      <c r="H25" s="567"/>
      <c r="I25" s="569" t="str">
        <f t="shared" si="0"/>
        <v/>
      </c>
      <c r="J25" s="565">
        <f>IF(OR(H25="●",I25="●"),1+COUNTIF(J$6:J24,"&gt;0"),0)</f>
        <v>0</v>
      </c>
      <c r="K25" s="5">
        <v>20</v>
      </c>
      <c r="L25" s="1061" t="str">
        <f>IFERROR(INDEX(T08_Spells!$B$3:$B$407,MATCH(S02_Cleric!K25,T08_Spells!$DB$3:$DB$407,0),1),"")</f>
        <v/>
      </c>
      <c r="M25" s="1061"/>
      <c r="N25" s="1061"/>
      <c r="O25" s="1061"/>
      <c r="P25" s="1061"/>
      <c r="Q25" s="567"/>
      <c r="R25" s="569" t="str">
        <f t="shared" si="1"/>
        <v/>
      </c>
      <c r="S25" s="565">
        <f>IF(OR(Q25="●",R25="●"),1+COUNTIF(S$6:S24,"&gt;0"),0)</f>
        <v>0</v>
      </c>
      <c r="T25" s="5">
        <v>20</v>
      </c>
      <c r="U25" s="1061" t="str">
        <f>IFERROR(INDEX(T08_Spells!$B$3:$B$407,MATCH(S02_Cleric!T25,T08_Spells!$DC$3:$DC$407,0),1),"")</f>
        <v>Water Walk</v>
      </c>
      <c r="V25" s="1061"/>
      <c r="W25" s="1061"/>
      <c r="X25" s="1061"/>
      <c r="Y25" s="1061"/>
      <c r="Z25" s="567" t="s">
        <v>6361</v>
      </c>
      <c r="AA25" s="569" t="str">
        <f t="shared" si="2"/>
        <v/>
      </c>
      <c r="AB25" s="565">
        <f>IF(OR(Z25="●",AA25="●"),1+COUNTIF(AB$6:AB24,"&gt;0"),0)</f>
        <v>2</v>
      </c>
      <c r="AC25" s="5">
        <v>20</v>
      </c>
      <c r="AD25" s="1061" t="str">
        <f>IFERROR(INDEX(T08_Spells!$B$3:$B$407,MATCH(S02_Cleric!AC25,T08_Spells!$DD$3:$DD$407,0),1),"")</f>
        <v/>
      </c>
      <c r="AE25" s="1061"/>
      <c r="AF25" s="1061"/>
      <c r="AG25" s="1061"/>
      <c r="AH25" s="1061"/>
      <c r="AI25" s="567" t="s">
        <v>3034</v>
      </c>
      <c r="AJ25" s="569" t="str">
        <f t="shared" si="3"/>
        <v/>
      </c>
      <c r="AK25" s="565">
        <f>IF(OR(AI25="●",AJ25="●"),1+COUNTIF(AK$6:AK24,"&gt;0"),0)</f>
        <v>0</v>
      </c>
      <c r="AL25" s="5">
        <v>20</v>
      </c>
      <c r="AM25" s="1061" t="str">
        <f>IFERROR(INDEX(T08_Spells!$B$3:$B$407,MATCH(S02_Cleric!AL25,T08_Spells!$DE$3:$DE$407,0),1),"")</f>
        <v/>
      </c>
      <c r="AN25" s="1061"/>
      <c r="AO25" s="1061"/>
      <c r="AP25" s="1061"/>
      <c r="AQ25" s="1061"/>
      <c r="AR25" s="567"/>
      <c r="AS25" s="569" t="str">
        <f t="shared" si="4"/>
        <v/>
      </c>
      <c r="AT25" s="565">
        <f>IF(OR(AR25="●",AS25="●"),1+COUNTIF(AT$6:AT24,"&gt;0"),0)</f>
        <v>0</v>
      </c>
      <c r="AU25" s="5">
        <v>20</v>
      </c>
      <c r="AV25" s="1061" t="str">
        <f>IFERROR(INDEX(T08_Spells!$B$3:$B$407,MATCH(S02_Cleric!AU25,T08_Spells!$DF$3:$DF$407,0),1),"")</f>
        <v/>
      </c>
      <c r="AW25" s="1061"/>
      <c r="AX25" s="1061"/>
      <c r="AY25" s="1061"/>
      <c r="AZ25" s="1061"/>
      <c r="BA25" s="567"/>
      <c r="BB25" s="569" t="str">
        <f t="shared" si="5"/>
        <v/>
      </c>
      <c r="BC25" s="565">
        <f>IF(OR(BA25="●",BB25="●"),1+COUNTIF(BC$6:BC24,"&gt;0"),0)</f>
        <v>0</v>
      </c>
      <c r="BD25" s="5">
        <v>20</v>
      </c>
      <c r="BE25" s="1061" t="str">
        <f>IFERROR(INDEX(T08_Spells!$B$3:$B$407,MATCH(S02_Cleric!BD25,T08_Spells!$DG$3:$DG$407,0),1),"")</f>
        <v/>
      </c>
      <c r="BF25" s="1061"/>
      <c r="BG25" s="1061"/>
      <c r="BH25" s="1061"/>
      <c r="BI25" s="1061"/>
      <c r="BJ25" s="567"/>
      <c r="BK25" s="569" t="str">
        <f t="shared" si="6"/>
        <v/>
      </c>
      <c r="BL25" s="565">
        <f>IF(OR(BJ25="●",BK25="●"),1+COUNTIF(BL$6:BL24,"&gt;0"),0)</f>
        <v>0</v>
      </c>
      <c r="BM25" s="5">
        <v>20</v>
      </c>
      <c r="BN25" s="1061" t="str">
        <f>IFERROR(INDEX(T08_Spells!$B$3:$B$407,MATCH(S02_Cleric!BM25,T08_Spells!$DH$3:$DH$407,0),1),"")</f>
        <v/>
      </c>
      <c r="BO25" s="1061"/>
      <c r="BP25" s="1061"/>
      <c r="BQ25" s="1061"/>
      <c r="BR25" s="1061"/>
      <c r="BS25" s="567"/>
      <c r="BT25" s="569" t="str">
        <f t="shared" si="7"/>
        <v/>
      </c>
      <c r="BU25" s="565">
        <f>IF(OR(BS25="●",BT25="●"),1+COUNTIF(BU$6:BU24,"&gt;0"),0)</f>
        <v>0</v>
      </c>
      <c r="BV25" s="5">
        <v>20</v>
      </c>
      <c r="BW25" s="1061" t="str">
        <f>IFERROR(INDEX(T08_Spells!$B$3:$B$407,MATCH(S02_Cleric!BV25,T08_Spells!$DI$3:$DI$407,0),1),"")</f>
        <v/>
      </c>
      <c r="BX25" s="1061"/>
      <c r="BY25" s="1061"/>
      <c r="BZ25" s="1061"/>
      <c r="CA25" s="1061"/>
      <c r="CB25" s="567"/>
      <c r="CC25" s="569" t="str">
        <f t="shared" si="8"/>
        <v/>
      </c>
      <c r="CD25" s="565">
        <f>IF(OR(CB25="●",CC25="●"),1+COUNTIF(CD$6:CD24,"&gt;0"),0)</f>
        <v>0</v>
      </c>
      <c r="CE25" s="565"/>
      <c r="CF25" s="565"/>
      <c r="CG25" s="565"/>
      <c r="CH25" s="565"/>
      <c r="CI25" s="565"/>
      <c r="CJ25" s="565"/>
      <c r="CK25" s="565"/>
      <c r="CL25" s="120"/>
    </row>
    <row r="26" spans="1:90" ht="21" x14ac:dyDescent="0.25">
      <c r="A26" s="120"/>
      <c r="B26" s="5">
        <v>21</v>
      </c>
      <c r="C26" s="1061" t="str">
        <f>IFERROR(INDEX(T08_Spells!$B$3:$B$407,MATCH(S02_Cleric!B26,T08_Spells!$DA$3:$DA$407,0),1),"")</f>
        <v/>
      </c>
      <c r="D26" s="1061"/>
      <c r="E26" s="1061"/>
      <c r="F26" s="1061"/>
      <c r="G26" s="1061"/>
      <c r="H26" s="567"/>
      <c r="I26" s="569" t="str">
        <f t="shared" si="0"/>
        <v/>
      </c>
      <c r="J26" s="565">
        <f>IF(OR(H26="●",I26="●"),1+COUNTIF(J$6:J25,"&gt;0"),0)</f>
        <v>0</v>
      </c>
      <c r="K26" s="5">
        <v>21</v>
      </c>
      <c r="L26" s="1061" t="str">
        <f>IFERROR(INDEX(T08_Spells!$B$3:$B$407,MATCH(S02_Cleric!K26,T08_Spells!$DB$3:$DB$407,0),1),"")</f>
        <v/>
      </c>
      <c r="M26" s="1061"/>
      <c r="N26" s="1061"/>
      <c r="O26" s="1061"/>
      <c r="P26" s="1061"/>
      <c r="Q26" s="567"/>
      <c r="R26" s="569" t="str">
        <f t="shared" si="1"/>
        <v/>
      </c>
      <c r="S26" s="565">
        <f>IF(OR(Q26="●",R26="●"),1+COUNTIF(S$6:S25,"&gt;0"),0)</f>
        <v>0</v>
      </c>
      <c r="T26" s="5">
        <v>21</v>
      </c>
      <c r="U26" s="1061" t="str">
        <f>IFERROR(INDEX(T08_Spells!$B$3:$B$407,MATCH(S02_Cleric!T26,T08_Spells!$DC$3:$DC$407,0),1),"")</f>
        <v/>
      </c>
      <c r="V26" s="1061"/>
      <c r="W26" s="1061"/>
      <c r="X26" s="1061"/>
      <c r="Y26" s="1061"/>
      <c r="Z26" s="567"/>
      <c r="AA26" s="569" t="str">
        <f t="shared" si="2"/>
        <v/>
      </c>
      <c r="AB26" s="565">
        <f>IF(OR(Z26="●",AA26="●"),1+COUNTIF(AB$6:AB25,"&gt;0"),0)</f>
        <v>0</v>
      </c>
      <c r="AC26" s="5">
        <v>21</v>
      </c>
      <c r="AD26" s="1061" t="str">
        <f>IFERROR(INDEX(T08_Spells!$B$3:$B$407,MATCH(S02_Cleric!AC26,T08_Spells!$DD$3:$DD$407,0),1),"")</f>
        <v/>
      </c>
      <c r="AE26" s="1061"/>
      <c r="AF26" s="1061"/>
      <c r="AG26" s="1061"/>
      <c r="AH26" s="1061"/>
      <c r="AI26" s="567" t="s">
        <v>3034</v>
      </c>
      <c r="AJ26" s="569" t="str">
        <f t="shared" si="3"/>
        <v/>
      </c>
      <c r="AK26" s="565">
        <f>IF(OR(AI26="●",AJ26="●"),1+COUNTIF(AK$6:AK25,"&gt;0"),0)</f>
        <v>0</v>
      </c>
      <c r="AL26" s="5">
        <v>21</v>
      </c>
      <c r="AM26" s="1061" t="str">
        <f>IFERROR(INDEX(T08_Spells!$B$3:$B$407,MATCH(S02_Cleric!AL26,T08_Spells!$DE$3:$DE$407,0),1),"")</f>
        <v/>
      </c>
      <c r="AN26" s="1061"/>
      <c r="AO26" s="1061"/>
      <c r="AP26" s="1061"/>
      <c r="AQ26" s="1061"/>
      <c r="AR26" s="567"/>
      <c r="AS26" s="569" t="str">
        <f t="shared" si="4"/>
        <v/>
      </c>
      <c r="AT26" s="565">
        <f>IF(OR(AR26="●",AS26="●"),1+COUNTIF(AT$6:AT25,"&gt;0"),0)</f>
        <v>0</v>
      </c>
      <c r="AU26" s="5">
        <v>21</v>
      </c>
      <c r="AV26" s="1061" t="str">
        <f>IFERROR(INDEX(T08_Spells!$B$3:$B$407,MATCH(S02_Cleric!AU26,T08_Spells!$DF$3:$DF$407,0),1),"")</f>
        <v/>
      </c>
      <c r="AW26" s="1061"/>
      <c r="AX26" s="1061"/>
      <c r="AY26" s="1061"/>
      <c r="AZ26" s="1061"/>
      <c r="BA26" s="567"/>
      <c r="BB26" s="569" t="str">
        <f t="shared" si="5"/>
        <v/>
      </c>
      <c r="BC26" s="565">
        <f>IF(OR(BA26="●",BB26="●"),1+COUNTIF(BC$6:BC25,"&gt;0"),0)</f>
        <v>0</v>
      </c>
      <c r="BD26" s="5">
        <v>21</v>
      </c>
      <c r="BE26" s="1061" t="str">
        <f>IFERROR(INDEX(T08_Spells!$B$3:$B$407,MATCH(S02_Cleric!BD26,T08_Spells!$DG$3:$DG$407,0),1),"")</f>
        <v/>
      </c>
      <c r="BF26" s="1061"/>
      <c r="BG26" s="1061"/>
      <c r="BH26" s="1061"/>
      <c r="BI26" s="1061"/>
      <c r="BJ26" s="567"/>
      <c r="BK26" s="569" t="str">
        <f t="shared" si="6"/>
        <v/>
      </c>
      <c r="BL26" s="565">
        <f>IF(OR(BJ26="●",BK26="●"),1+COUNTIF(BL$6:BL25,"&gt;0"),0)</f>
        <v>0</v>
      </c>
      <c r="BM26" s="5">
        <v>21</v>
      </c>
      <c r="BN26" s="1061" t="str">
        <f>IFERROR(INDEX(T08_Spells!$B$3:$B$407,MATCH(S02_Cleric!BM26,T08_Spells!$DH$3:$DH$407,0),1),"")</f>
        <v/>
      </c>
      <c r="BO26" s="1061"/>
      <c r="BP26" s="1061"/>
      <c r="BQ26" s="1061"/>
      <c r="BR26" s="1061"/>
      <c r="BS26" s="567"/>
      <c r="BT26" s="569" t="str">
        <f t="shared" si="7"/>
        <v/>
      </c>
      <c r="BU26" s="565">
        <f>IF(OR(BS26="●",BT26="●"),1+COUNTIF(BU$6:BU25,"&gt;0"),0)</f>
        <v>0</v>
      </c>
      <c r="BV26" s="5">
        <v>21</v>
      </c>
      <c r="BW26" s="1061" t="str">
        <f>IFERROR(INDEX(T08_Spells!$B$3:$B$407,MATCH(S02_Cleric!BV26,T08_Spells!$DI$3:$DI$407,0),1),"")</f>
        <v/>
      </c>
      <c r="BX26" s="1061"/>
      <c r="BY26" s="1061"/>
      <c r="BZ26" s="1061"/>
      <c r="CA26" s="1061"/>
      <c r="CB26" s="567"/>
      <c r="CC26" s="569" t="str">
        <f t="shared" si="8"/>
        <v/>
      </c>
      <c r="CD26" s="565">
        <f>IF(OR(CB26="●",CC26="●"),1+COUNTIF(CD$6:CD25,"&gt;0"),0)</f>
        <v>0</v>
      </c>
      <c r="CE26" s="565"/>
      <c r="CF26" s="565"/>
      <c r="CG26" s="565"/>
      <c r="CH26" s="565"/>
      <c r="CI26" s="565"/>
      <c r="CJ26" s="565"/>
      <c r="CK26" s="565"/>
      <c r="CL26" s="120"/>
    </row>
    <row r="27" spans="1:90" ht="21" x14ac:dyDescent="0.25">
      <c r="A27" s="120"/>
      <c r="B27" s="5">
        <v>22</v>
      </c>
      <c r="C27" s="1061" t="str">
        <f>IFERROR(INDEX(T08_Spells!$B$3:$B$407,MATCH(S02_Cleric!B27,T08_Spells!$DA$3:$DA$407,0),1),"")</f>
        <v/>
      </c>
      <c r="D27" s="1061"/>
      <c r="E27" s="1061"/>
      <c r="F27" s="1061"/>
      <c r="G27" s="1061"/>
      <c r="H27" s="567"/>
      <c r="I27" s="569" t="str">
        <f t="shared" si="0"/>
        <v/>
      </c>
      <c r="J27" s="565">
        <f>IF(OR(H27="●",I27="●"),1+COUNTIF(J$6:J26,"&gt;0"),0)</f>
        <v>0</v>
      </c>
      <c r="K27" s="5">
        <v>22</v>
      </c>
      <c r="L27" s="1061" t="str">
        <f>IFERROR(INDEX(T08_Spells!$B$3:$B$407,MATCH(S02_Cleric!K27,T08_Spells!$DB$3:$DB$407,0),1),"")</f>
        <v/>
      </c>
      <c r="M27" s="1061"/>
      <c r="N27" s="1061"/>
      <c r="O27" s="1061"/>
      <c r="P27" s="1061"/>
      <c r="Q27" s="567"/>
      <c r="R27" s="569" t="str">
        <f t="shared" si="1"/>
        <v/>
      </c>
      <c r="S27" s="565">
        <f>IF(OR(Q27="●",R27="●"),1+COUNTIF(S$6:S26,"&gt;0"),0)</f>
        <v>0</v>
      </c>
      <c r="T27" s="5">
        <v>22</v>
      </c>
      <c r="U27" s="1061" t="str">
        <f>IFERROR(INDEX(T08_Spells!$B$3:$B$407,MATCH(S02_Cleric!T27,T08_Spells!$DC$3:$DC$407,0),1),"")</f>
        <v/>
      </c>
      <c r="V27" s="1061"/>
      <c r="W27" s="1061"/>
      <c r="X27" s="1061"/>
      <c r="Y27" s="1061"/>
      <c r="Z27" s="567"/>
      <c r="AA27" s="569" t="str">
        <f t="shared" si="2"/>
        <v/>
      </c>
      <c r="AB27" s="565">
        <f>IF(OR(Z27="●",AA27="●"),1+COUNTIF(AB$6:AB26,"&gt;0"),0)</f>
        <v>0</v>
      </c>
      <c r="AC27" s="5">
        <v>22</v>
      </c>
      <c r="AD27" s="1061" t="str">
        <f>IFERROR(INDEX(T08_Spells!$B$3:$B$407,MATCH(S02_Cleric!AC27,T08_Spells!$DD$3:$DD$407,0),1),"")</f>
        <v/>
      </c>
      <c r="AE27" s="1061"/>
      <c r="AF27" s="1061"/>
      <c r="AG27" s="1061"/>
      <c r="AH27" s="1061"/>
      <c r="AI27" s="567" t="s">
        <v>3034</v>
      </c>
      <c r="AJ27" s="569" t="str">
        <f t="shared" si="3"/>
        <v/>
      </c>
      <c r="AK27" s="565">
        <f>IF(OR(AI27="●",AJ27="●"),1+COUNTIF(AK$6:AK26,"&gt;0"),0)</f>
        <v>0</v>
      </c>
      <c r="AL27" s="5">
        <v>22</v>
      </c>
      <c r="AM27" s="1061" t="str">
        <f>IFERROR(INDEX(T08_Spells!$B$3:$B$407,MATCH(S02_Cleric!AL27,T08_Spells!$DE$3:$DE$407,0),1),"")</f>
        <v/>
      </c>
      <c r="AN27" s="1061"/>
      <c r="AO27" s="1061"/>
      <c r="AP27" s="1061"/>
      <c r="AQ27" s="1061"/>
      <c r="AR27" s="567"/>
      <c r="AS27" s="569" t="str">
        <f t="shared" si="4"/>
        <v/>
      </c>
      <c r="AT27" s="565">
        <f>IF(OR(AR27="●",AS27="●"),1+COUNTIF(AT$6:AT26,"&gt;0"),0)</f>
        <v>0</v>
      </c>
      <c r="AU27" s="5">
        <v>22</v>
      </c>
      <c r="AV27" s="1061" t="str">
        <f>IFERROR(INDEX(T08_Spells!$B$3:$B$407,MATCH(S02_Cleric!AU27,T08_Spells!$DF$3:$DF$407,0),1),"")</f>
        <v/>
      </c>
      <c r="AW27" s="1061"/>
      <c r="AX27" s="1061"/>
      <c r="AY27" s="1061"/>
      <c r="AZ27" s="1061"/>
      <c r="BA27" s="567"/>
      <c r="BB27" s="569" t="str">
        <f t="shared" si="5"/>
        <v/>
      </c>
      <c r="BC27" s="565">
        <f>IF(OR(BA27="●",BB27="●"),1+COUNTIF(BC$6:BC26,"&gt;0"),0)</f>
        <v>0</v>
      </c>
      <c r="BD27" s="5">
        <v>22</v>
      </c>
      <c r="BE27" s="1061" t="str">
        <f>IFERROR(INDEX(T08_Spells!$B$3:$B$407,MATCH(S02_Cleric!BD27,T08_Spells!$DG$3:$DG$407,0),1),"")</f>
        <v/>
      </c>
      <c r="BF27" s="1061"/>
      <c r="BG27" s="1061"/>
      <c r="BH27" s="1061"/>
      <c r="BI27" s="1061"/>
      <c r="BJ27" s="567"/>
      <c r="BK27" s="569" t="str">
        <f t="shared" si="6"/>
        <v/>
      </c>
      <c r="BL27" s="565">
        <f>IF(OR(BJ27="●",BK27="●"),1+COUNTIF(BL$6:BL26,"&gt;0"),0)</f>
        <v>0</v>
      </c>
      <c r="BM27" s="5">
        <v>22</v>
      </c>
      <c r="BN27" s="1061" t="str">
        <f>IFERROR(INDEX(T08_Spells!$B$3:$B$407,MATCH(S02_Cleric!BM27,T08_Spells!$DH$3:$DH$407,0),1),"")</f>
        <v/>
      </c>
      <c r="BO27" s="1061"/>
      <c r="BP27" s="1061"/>
      <c r="BQ27" s="1061"/>
      <c r="BR27" s="1061"/>
      <c r="BS27" s="567"/>
      <c r="BT27" s="569" t="str">
        <f t="shared" si="7"/>
        <v/>
      </c>
      <c r="BU27" s="565">
        <f>IF(OR(BS27="●",BT27="●"),1+COUNTIF(BU$6:BU26,"&gt;0"),0)</f>
        <v>0</v>
      </c>
      <c r="BV27" s="5">
        <v>22</v>
      </c>
      <c r="BW27" s="1061" t="str">
        <f>IFERROR(INDEX(T08_Spells!$B$3:$B$407,MATCH(S02_Cleric!BV27,T08_Spells!$DI$3:$DI$407,0),1),"")</f>
        <v/>
      </c>
      <c r="BX27" s="1061"/>
      <c r="BY27" s="1061"/>
      <c r="BZ27" s="1061"/>
      <c r="CA27" s="1061"/>
      <c r="CB27" s="567"/>
      <c r="CC27" s="569" t="str">
        <f t="shared" si="8"/>
        <v/>
      </c>
      <c r="CD27" s="565">
        <f>IF(OR(CB27="●",CC27="●"),1+COUNTIF(CD$6:CD26,"&gt;0"),0)</f>
        <v>0</v>
      </c>
      <c r="CE27" s="565"/>
      <c r="CF27" s="565"/>
      <c r="CG27" s="565"/>
      <c r="CH27" s="565"/>
      <c r="CI27" s="565"/>
      <c r="CJ27" s="565"/>
      <c r="CK27" s="565"/>
      <c r="CL27" s="120"/>
    </row>
    <row r="28" spans="1:90" ht="21" x14ac:dyDescent="0.25">
      <c r="A28" s="120"/>
      <c r="B28" s="5">
        <v>23</v>
      </c>
      <c r="C28" s="1061" t="str">
        <f>IFERROR(INDEX(T08_Spells!$B$3:$B$407,MATCH(S02_Cleric!B28,T08_Spells!$DA$3:$DA$407,0),1),"")</f>
        <v/>
      </c>
      <c r="D28" s="1061"/>
      <c r="E28" s="1061"/>
      <c r="F28" s="1061"/>
      <c r="G28" s="1061"/>
      <c r="H28" s="567"/>
      <c r="I28" s="569" t="str">
        <f t="shared" si="0"/>
        <v/>
      </c>
      <c r="J28" s="565">
        <f>IF(OR(H28="●",I28="●"),1+COUNTIF(J$6:J27,"&gt;0"),0)</f>
        <v>0</v>
      </c>
      <c r="K28" s="5">
        <v>23</v>
      </c>
      <c r="L28" s="1061" t="str">
        <f>IFERROR(INDEX(T08_Spells!$B$3:$B$407,MATCH(S02_Cleric!K28,T08_Spells!$DB$3:$DB$407,0),1),"")</f>
        <v/>
      </c>
      <c r="M28" s="1061"/>
      <c r="N28" s="1061"/>
      <c r="O28" s="1061"/>
      <c r="P28" s="1061"/>
      <c r="Q28" s="567"/>
      <c r="R28" s="569" t="str">
        <f t="shared" si="1"/>
        <v/>
      </c>
      <c r="S28" s="565">
        <f>IF(OR(Q28="●",R28="●"),1+COUNTIF(S$6:S27,"&gt;0"),0)</f>
        <v>0</v>
      </c>
      <c r="T28" s="5">
        <v>23</v>
      </c>
      <c r="U28" s="1061" t="str">
        <f>IFERROR(INDEX(T08_Spells!$B$3:$B$407,MATCH(S02_Cleric!T28,T08_Spells!$DC$3:$DC$407,0),1),"")</f>
        <v/>
      </c>
      <c r="V28" s="1061"/>
      <c r="W28" s="1061"/>
      <c r="X28" s="1061"/>
      <c r="Y28" s="1061"/>
      <c r="Z28" s="567"/>
      <c r="AA28" s="569" t="str">
        <f t="shared" si="2"/>
        <v/>
      </c>
      <c r="AB28" s="565">
        <f>IF(OR(Z28="●",AA28="●"),1+COUNTIF(AB$6:AB27,"&gt;0"),0)</f>
        <v>0</v>
      </c>
      <c r="AC28" s="5">
        <v>23</v>
      </c>
      <c r="AD28" s="1061" t="str">
        <f>IFERROR(INDEX(T08_Spells!$B$3:$B$407,MATCH(S02_Cleric!AC28,T08_Spells!$DD$3:$DD$407,0),1),"")</f>
        <v/>
      </c>
      <c r="AE28" s="1061"/>
      <c r="AF28" s="1061"/>
      <c r="AG28" s="1061"/>
      <c r="AH28" s="1061"/>
      <c r="AI28" s="567" t="s">
        <v>3034</v>
      </c>
      <c r="AJ28" s="569" t="str">
        <f t="shared" si="3"/>
        <v/>
      </c>
      <c r="AK28" s="565">
        <f>IF(OR(AI28="●",AJ28="●"),1+COUNTIF(AK$6:AK27,"&gt;0"),0)</f>
        <v>0</v>
      </c>
      <c r="AL28" s="5">
        <v>23</v>
      </c>
      <c r="AM28" s="1061" t="str">
        <f>IFERROR(INDEX(T08_Spells!$B$3:$B$407,MATCH(S02_Cleric!AL28,T08_Spells!$DE$3:$DE$407,0),1),"")</f>
        <v/>
      </c>
      <c r="AN28" s="1061"/>
      <c r="AO28" s="1061"/>
      <c r="AP28" s="1061"/>
      <c r="AQ28" s="1061"/>
      <c r="AR28" s="567"/>
      <c r="AS28" s="569" t="str">
        <f t="shared" si="4"/>
        <v/>
      </c>
      <c r="AT28" s="565">
        <f>IF(OR(AR28="●",AS28="●"),1+COUNTIF(AT$6:AT27,"&gt;0"),0)</f>
        <v>0</v>
      </c>
      <c r="AU28" s="5">
        <v>23</v>
      </c>
      <c r="AV28" s="1061" t="str">
        <f>IFERROR(INDEX(T08_Spells!$B$3:$B$407,MATCH(S02_Cleric!AU28,T08_Spells!$DF$3:$DF$407,0),1),"")</f>
        <v/>
      </c>
      <c r="AW28" s="1061"/>
      <c r="AX28" s="1061"/>
      <c r="AY28" s="1061"/>
      <c r="AZ28" s="1061"/>
      <c r="BA28" s="567"/>
      <c r="BB28" s="569" t="str">
        <f t="shared" si="5"/>
        <v/>
      </c>
      <c r="BC28" s="565">
        <f>IF(OR(BA28="●",BB28="●"),1+COUNTIF(BC$6:BC27,"&gt;0"),0)</f>
        <v>0</v>
      </c>
      <c r="BD28" s="5">
        <v>23</v>
      </c>
      <c r="BE28" s="1061" t="str">
        <f>IFERROR(INDEX(T08_Spells!$B$3:$B$407,MATCH(S02_Cleric!BD28,T08_Spells!$DG$3:$DG$407,0),1),"")</f>
        <v/>
      </c>
      <c r="BF28" s="1061"/>
      <c r="BG28" s="1061"/>
      <c r="BH28" s="1061"/>
      <c r="BI28" s="1061"/>
      <c r="BJ28" s="567"/>
      <c r="BK28" s="569" t="str">
        <f t="shared" si="6"/>
        <v/>
      </c>
      <c r="BL28" s="565">
        <f>IF(OR(BJ28="●",BK28="●"),1+COUNTIF(BL$6:BL27,"&gt;0"),0)</f>
        <v>0</v>
      </c>
      <c r="BM28" s="5">
        <v>23</v>
      </c>
      <c r="BN28" s="1061" t="str">
        <f>IFERROR(INDEX(T08_Spells!$B$3:$B$407,MATCH(S02_Cleric!BM28,T08_Spells!$DH$3:$DH$407,0),1),"")</f>
        <v/>
      </c>
      <c r="BO28" s="1061"/>
      <c r="BP28" s="1061"/>
      <c r="BQ28" s="1061"/>
      <c r="BR28" s="1061"/>
      <c r="BS28" s="567"/>
      <c r="BT28" s="569" t="str">
        <f t="shared" si="7"/>
        <v/>
      </c>
      <c r="BU28" s="565">
        <f>IF(OR(BS28="●",BT28="●"),1+COUNTIF(BU$6:BU27,"&gt;0"),0)</f>
        <v>0</v>
      </c>
      <c r="BV28" s="5">
        <v>23</v>
      </c>
      <c r="BW28" s="1061" t="str">
        <f>IFERROR(INDEX(T08_Spells!$B$3:$B$407,MATCH(S02_Cleric!BV28,T08_Spells!$DI$3:$DI$407,0),1),"")</f>
        <v/>
      </c>
      <c r="BX28" s="1061"/>
      <c r="BY28" s="1061"/>
      <c r="BZ28" s="1061"/>
      <c r="CA28" s="1061"/>
      <c r="CB28" s="567"/>
      <c r="CC28" s="569" t="str">
        <f t="shared" si="8"/>
        <v/>
      </c>
      <c r="CD28" s="565">
        <f>IF(OR(CB28="●",CC28="●"),1+COUNTIF(CD$6:CD27,"&gt;0"),0)</f>
        <v>0</v>
      </c>
      <c r="CE28" s="565"/>
      <c r="CF28" s="565"/>
      <c r="CG28" s="565"/>
      <c r="CH28" s="565"/>
      <c r="CI28" s="565"/>
      <c r="CJ28" s="565"/>
      <c r="CK28" s="565"/>
      <c r="CL28" s="120"/>
    </row>
    <row r="29" spans="1:90" ht="21" x14ac:dyDescent="0.25">
      <c r="A29" s="120"/>
      <c r="B29" s="5">
        <v>24</v>
      </c>
      <c r="C29" s="1061" t="str">
        <f>IFERROR(INDEX(T08_Spells!$B$3:$B$407,MATCH(S02_Cleric!B29,T08_Spells!$DA$3:$DA$407,0),1),"")</f>
        <v/>
      </c>
      <c r="D29" s="1061"/>
      <c r="E29" s="1061"/>
      <c r="F29" s="1061"/>
      <c r="G29" s="1061"/>
      <c r="H29" s="567"/>
      <c r="I29" s="569" t="str">
        <f t="shared" si="0"/>
        <v/>
      </c>
      <c r="J29" s="565">
        <f>IF(OR(H29="●",I29="●"),1+COUNTIF(J$6:J28,"&gt;0"),0)</f>
        <v>0</v>
      </c>
      <c r="K29" s="5">
        <v>24</v>
      </c>
      <c r="L29" s="1061" t="str">
        <f>IFERROR(INDEX(T08_Spells!$B$3:$B$407,MATCH(S02_Cleric!K29,T08_Spells!$DB$3:$DB$407,0),1),"")</f>
        <v/>
      </c>
      <c r="M29" s="1061"/>
      <c r="N29" s="1061"/>
      <c r="O29" s="1061"/>
      <c r="P29" s="1061"/>
      <c r="Q29" s="567"/>
      <c r="R29" s="569" t="str">
        <f t="shared" si="1"/>
        <v/>
      </c>
      <c r="S29" s="565">
        <f>IF(OR(Q29="●",R29="●"),1+COUNTIF(S$6:S28,"&gt;0"),0)</f>
        <v>0</v>
      </c>
      <c r="T29" s="5">
        <v>24</v>
      </c>
      <c r="U29" s="1061" t="str">
        <f>IFERROR(INDEX(T08_Spells!$B$3:$B$407,MATCH(S02_Cleric!T29,T08_Spells!$DC$3:$DC$407,0),1),"")</f>
        <v/>
      </c>
      <c r="V29" s="1061"/>
      <c r="W29" s="1061"/>
      <c r="X29" s="1061"/>
      <c r="Y29" s="1061"/>
      <c r="Z29" s="567"/>
      <c r="AA29" s="569" t="str">
        <f t="shared" si="2"/>
        <v/>
      </c>
      <c r="AB29" s="565">
        <f>IF(OR(Z29="●",AA29="●"),1+COUNTIF(AB$6:AB28,"&gt;0"),0)</f>
        <v>0</v>
      </c>
      <c r="AC29" s="5">
        <v>24</v>
      </c>
      <c r="AD29" s="1061" t="str">
        <f>IFERROR(INDEX(T08_Spells!$B$3:$B$407,MATCH(S02_Cleric!AC29,T08_Spells!$DD$3:$DD$407,0),1),"")</f>
        <v/>
      </c>
      <c r="AE29" s="1061"/>
      <c r="AF29" s="1061"/>
      <c r="AG29" s="1061"/>
      <c r="AH29" s="1061"/>
      <c r="AI29" s="567" t="s">
        <v>3034</v>
      </c>
      <c r="AJ29" s="569" t="str">
        <f t="shared" si="3"/>
        <v/>
      </c>
      <c r="AK29" s="565">
        <f>IF(OR(AI29="●",AJ29="●"),1+COUNTIF(AK$6:AK28,"&gt;0"),0)</f>
        <v>0</v>
      </c>
      <c r="AL29" s="5">
        <v>24</v>
      </c>
      <c r="AM29" s="1061" t="str">
        <f>IFERROR(INDEX(T08_Spells!$B$3:$B$407,MATCH(S02_Cleric!AL29,T08_Spells!$DE$3:$DE$407,0),1),"")</f>
        <v/>
      </c>
      <c r="AN29" s="1061"/>
      <c r="AO29" s="1061"/>
      <c r="AP29" s="1061"/>
      <c r="AQ29" s="1061"/>
      <c r="AR29" s="567"/>
      <c r="AS29" s="569" t="str">
        <f t="shared" si="4"/>
        <v/>
      </c>
      <c r="AT29" s="565">
        <f>IF(OR(AR29="●",AS29="●"),1+COUNTIF(AT$6:AT28,"&gt;0"),0)</f>
        <v>0</v>
      </c>
      <c r="AU29" s="5">
        <v>24</v>
      </c>
      <c r="AV29" s="1061" t="str">
        <f>IFERROR(INDEX(T08_Spells!$B$3:$B$407,MATCH(S02_Cleric!AU29,T08_Spells!$DF$3:$DF$407,0),1),"")</f>
        <v/>
      </c>
      <c r="AW29" s="1061"/>
      <c r="AX29" s="1061"/>
      <c r="AY29" s="1061"/>
      <c r="AZ29" s="1061"/>
      <c r="BA29" s="567"/>
      <c r="BB29" s="569" t="str">
        <f t="shared" si="5"/>
        <v/>
      </c>
      <c r="BC29" s="565">
        <f>IF(OR(BA29="●",BB29="●"),1+COUNTIF(BC$6:BC28,"&gt;0"),0)</f>
        <v>0</v>
      </c>
      <c r="BD29" s="5">
        <v>24</v>
      </c>
      <c r="BE29" s="1061" t="str">
        <f>IFERROR(INDEX(T08_Spells!$B$3:$B$407,MATCH(S02_Cleric!BD29,T08_Spells!$DG$3:$DG$407,0),1),"")</f>
        <v/>
      </c>
      <c r="BF29" s="1061"/>
      <c r="BG29" s="1061"/>
      <c r="BH29" s="1061"/>
      <c r="BI29" s="1061"/>
      <c r="BJ29" s="567"/>
      <c r="BK29" s="569" t="str">
        <f t="shared" si="6"/>
        <v/>
      </c>
      <c r="BL29" s="565">
        <f>IF(OR(BJ29="●",BK29="●"),1+COUNTIF(BL$6:BL28,"&gt;0"),0)</f>
        <v>0</v>
      </c>
      <c r="BM29" s="5">
        <v>24</v>
      </c>
      <c r="BN29" s="1061" t="str">
        <f>IFERROR(INDEX(T08_Spells!$B$3:$B$407,MATCH(S02_Cleric!BM29,T08_Spells!$DH$3:$DH$407,0),1),"")</f>
        <v/>
      </c>
      <c r="BO29" s="1061"/>
      <c r="BP29" s="1061"/>
      <c r="BQ29" s="1061"/>
      <c r="BR29" s="1061"/>
      <c r="BS29" s="567"/>
      <c r="BT29" s="569" t="str">
        <f t="shared" si="7"/>
        <v/>
      </c>
      <c r="BU29" s="565">
        <f>IF(OR(BS29="●",BT29="●"),1+COUNTIF(BU$6:BU28,"&gt;0"),0)</f>
        <v>0</v>
      </c>
      <c r="BV29" s="5">
        <v>24</v>
      </c>
      <c r="BW29" s="1061" t="str">
        <f>IFERROR(INDEX(T08_Spells!$B$3:$B$407,MATCH(S02_Cleric!BV29,T08_Spells!$DI$3:$DI$407,0),1),"")</f>
        <v/>
      </c>
      <c r="BX29" s="1061"/>
      <c r="BY29" s="1061"/>
      <c r="BZ29" s="1061"/>
      <c r="CA29" s="1061"/>
      <c r="CB29" s="567"/>
      <c r="CC29" s="569" t="str">
        <f t="shared" si="8"/>
        <v/>
      </c>
      <c r="CD29" s="565">
        <f>IF(OR(CB29="●",CC29="●"),1+COUNTIF(CD$6:CD28,"&gt;0"),0)</f>
        <v>0</v>
      </c>
      <c r="CE29" s="565"/>
      <c r="CF29" s="565"/>
      <c r="CG29" s="565"/>
      <c r="CH29" s="565"/>
      <c r="CI29" s="565"/>
      <c r="CJ29" s="565"/>
      <c r="CK29" s="565"/>
      <c r="CL29" s="120"/>
    </row>
    <row r="30" spans="1:90" ht="21" x14ac:dyDescent="0.25">
      <c r="A30" s="120"/>
      <c r="B30" s="5">
        <v>25</v>
      </c>
      <c r="C30" s="1061" t="str">
        <f>IFERROR(INDEX(T08_Spells!$B$3:$B$407,MATCH(S02_Cleric!B30,T08_Spells!$DA$3:$DA$407,0),1),"")</f>
        <v/>
      </c>
      <c r="D30" s="1061"/>
      <c r="E30" s="1061"/>
      <c r="F30" s="1061"/>
      <c r="G30" s="1061"/>
      <c r="H30" s="567"/>
      <c r="I30" s="569" t="str">
        <f t="shared" si="0"/>
        <v/>
      </c>
      <c r="J30" s="565">
        <f>IF(OR(H30="●",I30="●"),1+COUNTIF(J$6:J29,"&gt;0"),0)</f>
        <v>0</v>
      </c>
      <c r="K30" s="5">
        <v>25</v>
      </c>
      <c r="L30" s="1061" t="str">
        <f>IFERROR(INDEX(T08_Spells!$B$3:$B$407,MATCH(S02_Cleric!K30,T08_Spells!$DB$3:$DB$407,0),1),"")</f>
        <v/>
      </c>
      <c r="M30" s="1061"/>
      <c r="N30" s="1061"/>
      <c r="O30" s="1061"/>
      <c r="P30" s="1061"/>
      <c r="Q30" s="567"/>
      <c r="R30" s="569" t="str">
        <f t="shared" si="1"/>
        <v/>
      </c>
      <c r="S30" s="565">
        <f>IF(OR(Q30="●",R30="●"),1+COUNTIF(S$6:S29,"&gt;0"),0)</f>
        <v>0</v>
      </c>
      <c r="T30" s="5">
        <v>25</v>
      </c>
      <c r="U30" s="1061" t="str">
        <f>IFERROR(INDEX(T08_Spells!$B$3:$B$407,MATCH(S02_Cleric!T30,T08_Spells!$DC$3:$DC$407,0),1),"")</f>
        <v/>
      </c>
      <c r="V30" s="1061"/>
      <c r="W30" s="1061"/>
      <c r="X30" s="1061"/>
      <c r="Y30" s="1061"/>
      <c r="Z30" s="567"/>
      <c r="AA30" s="569" t="str">
        <f t="shared" si="2"/>
        <v/>
      </c>
      <c r="AB30" s="565">
        <f>IF(OR(Z30="●",AA30="●"),1+COUNTIF(AB$6:AB29,"&gt;0"),0)</f>
        <v>0</v>
      </c>
      <c r="AC30" s="5">
        <v>25</v>
      </c>
      <c r="AD30" s="1061" t="str">
        <f>IFERROR(INDEX(T08_Spells!$B$3:$B$407,MATCH(S02_Cleric!AC30,T08_Spells!$DD$3:$DD$407,0),1),"")</f>
        <v/>
      </c>
      <c r="AE30" s="1061"/>
      <c r="AF30" s="1061"/>
      <c r="AG30" s="1061"/>
      <c r="AH30" s="1061"/>
      <c r="AI30" s="567" t="s">
        <v>3034</v>
      </c>
      <c r="AJ30" s="569" t="str">
        <f t="shared" si="3"/>
        <v/>
      </c>
      <c r="AK30" s="565">
        <f>IF(OR(AI30="●",AJ30="●"),1+COUNTIF(AK$6:AK29,"&gt;0"),0)</f>
        <v>0</v>
      </c>
      <c r="AL30" s="5">
        <v>25</v>
      </c>
      <c r="AM30" s="1061" t="str">
        <f>IFERROR(INDEX(T08_Spells!$B$3:$B$407,MATCH(S02_Cleric!AL30,T08_Spells!$DE$3:$DE$407,0),1),"")</f>
        <v/>
      </c>
      <c r="AN30" s="1061"/>
      <c r="AO30" s="1061"/>
      <c r="AP30" s="1061"/>
      <c r="AQ30" s="1061"/>
      <c r="AR30" s="567"/>
      <c r="AS30" s="569" t="str">
        <f t="shared" si="4"/>
        <v/>
      </c>
      <c r="AT30" s="565">
        <f>IF(OR(AR30="●",AS30="●"),1+COUNTIF(AT$6:AT29,"&gt;0"),0)</f>
        <v>0</v>
      </c>
      <c r="AU30" s="5">
        <v>25</v>
      </c>
      <c r="AV30" s="1061" t="str">
        <f>IFERROR(INDEX(T08_Spells!$B$3:$B$407,MATCH(S02_Cleric!AU30,T08_Spells!$DF$3:$DF$407,0),1),"")</f>
        <v/>
      </c>
      <c r="AW30" s="1061"/>
      <c r="AX30" s="1061"/>
      <c r="AY30" s="1061"/>
      <c r="AZ30" s="1061"/>
      <c r="BA30" s="567"/>
      <c r="BB30" s="569" t="str">
        <f t="shared" si="5"/>
        <v/>
      </c>
      <c r="BC30" s="565">
        <f>IF(OR(BA30="●",BB30="●"),1+COUNTIF(BC$6:BC29,"&gt;0"),0)</f>
        <v>0</v>
      </c>
      <c r="BD30" s="5">
        <v>25</v>
      </c>
      <c r="BE30" s="1061" t="str">
        <f>IFERROR(INDEX(T08_Spells!$B$3:$B$407,MATCH(S02_Cleric!BD30,T08_Spells!$DG$3:$DG$407,0),1),"")</f>
        <v/>
      </c>
      <c r="BF30" s="1061"/>
      <c r="BG30" s="1061"/>
      <c r="BH30" s="1061"/>
      <c r="BI30" s="1061"/>
      <c r="BJ30" s="567"/>
      <c r="BK30" s="569" t="str">
        <f t="shared" si="6"/>
        <v/>
      </c>
      <c r="BL30" s="565">
        <f>IF(OR(BJ30="●",BK30="●"),1+COUNTIF(BL$6:BL29,"&gt;0"),0)</f>
        <v>0</v>
      </c>
      <c r="BM30" s="5">
        <v>25</v>
      </c>
      <c r="BN30" s="1061" t="str">
        <f>IFERROR(INDEX(T08_Spells!$B$3:$B$407,MATCH(S02_Cleric!BM30,T08_Spells!$DH$3:$DH$407,0),1),"")</f>
        <v/>
      </c>
      <c r="BO30" s="1061"/>
      <c r="BP30" s="1061"/>
      <c r="BQ30" s="1061"/>
      <c r="BR30" s="1061"/>
      <c r="BS30" s="567"/>
      <c r="BT30" s="569" t="str">
        <f t="shared" si="7"/>
        <v/>
      </c>
      <c r="BU30" s="565">
        <f>IF(OR(BS30="●",BT30="●"),1+COUNTIF(BU$6:BU29,"&gt;0"),0)</f>
        <v>0</v>
      </c>
      <c r="BV30" s="5">
        <v>25</v>
      </c>
      <c r="BW30" s="1061" t="str">
        <f>IFERROR(INDEX(T08_Spells!$B$3:$B$407,MATCH(S02_Cleric!BV30,T08_Spells!$DI$3:$DI$407,0),1),"")</f>
        <v/>
      </c>
      <c r="BX30" s="1061"/>
      <c r="BY30" s="1061"/>
      <c r="BZ30" s="1061"/>
      <c r="CA30" s="1061"/>
      <c r="CB30" s="567"/>
      <c r="CC30" s="569" t="str">
        <f t="shared" si="8"/>
        <v/>
      </c>
      <c r="CD30" s="565">
        <f>IF(OR(CB30="●",CC30="●"),1+COUNTIF(CD$6:CD29,"&gt;0"),0)</f>
        <v>0</v>
      </c>
      <c r="CE30" s="565"/>
      <c r="CF30" s="565"/>
      <c r="CG30" s="565"/>
      <c r="CH30" s="565"/>
      <c r="CI30" s="565"/>
      <c r="CJ30" s="565"/>
      <c r="CK30" s="565"/>
      <c r="CL30" s="120"/>
    </row>
    <row r="31" spans="1:90" ht="21" x14ac:dyDescent="0.25">
      <c r="A31" s="120"/>
      <c r="B31" s="5">
        <v>26</v>
      </c>
      <c r="C31" s="1061" t="str">
        <f>IFERROR(INDEX(T08_Spells!$B$3:$B$407,MATCH(S02_Cleric!B31,T08_Spells!$DA$3:$DA$407,0),1),"")</f>
        <v/>
      </c>
      <c r="D31" s="1061"/>
      <c r="E31" s="1061"/>
      <c r="F31" s="1061"/>
      <c r="G31" s="1061"/>
      <c r="H31" s="567"/>
      <c r="I31" s="569" t="str">
        <f t="shared" si="0"/>
        <v/>
      </c>
      <c r="J31" s="565">
        <f>IF(OR(H31="●",I31="●"),1+COUNTIF(J$6:J30,"&gt;0"),0)</f>
        <v>0</v>
      </c>
      <c r="K31" s="5">
        <v>26</v>
      </c>
      <c r="L31" s="1061" t="str">
        <f>IFERROR(INDEX(T08_Spells!$B$3:$B$407,MATCH(S02_Cleric!K31,T08_Spells!$DB$3:$DB$407,0),1),"")</f>
        <v/>
      </c>
      <c r="M31" s="1061"/>
      <c r="N31" s="1061"/>
      <c r="O31" s="1061"/>
      <c r="P31" s="1061"/>
      <c r="Q31" s="567"/>
      <c r="R31" s="569" t="str">
        <f t="shared" si="1"/>
        <v/>
      </c>
      <c r="S31" s="565">
        <f>IF(OR(Q31="●",R31="●"),1+COUNTIF(S$6:S30,"&gt;0"),0)</f>
        <v>0</v>
      </c>
      <c r="T31" s="5">
        <v>26</v>
      </c>
      <c r="U31" s="1061" t="str">
        <f>IFERROR(INDEX(T08_Spells!$B$3:$B$407,MATCH(S02_Cleric!T31,T08_Spells!$DC$3:$DC$407,0),1),"")</f>
        <v/>
      </c>
      <c r="V31" s="1061"/>
      <c r="W31" s="1061"/>
      <c r="X31" s="1061"/>
      <c r="Y31" s="1061"/>
      <c r="Z31" s="567"/>
      <c r="AA31" s="569" t="str">
        <f t="shared" si="2"/>
        <v/>
      </c>
      <c r="AB31" s="565">
        <f>IF(OR(Z31="●",AA31="●"),1+COUNTIF(AB$6:AB30,"&gt;0"),0)</f>
        <v>0</v>
      </c>
      <c r="AC31" s="5">
        <v>26</v>
      </c>
      <c r="AD31" s="1061" t="str">
        <f>IFERROR(INDEX(T08_Spells!$B$3:$B$407,MATCH(S02_Cleric!AC31,T08_Spells!$DD$3:$DD$407,0),1),"")</f>
        <v/>
      </c>
      <c r="AE31" s="1061"/>
      <c r="AF31" s="1061"/>
      <c r="AG31" s="1061"/>
      <c r="AH31" s="1061"/>
      <c r="AI31" s="567" t="s">
        <v>3034</v>
      </c>
      <c r="AJ31" s="569" t="str">
        <f t="shared" si="3"/>
        <v/>
      </c>
      <c r="AK31" s="565">
        <f>IF(OR(AI31="●",AJ31="●"),1+COUNTIF(AK$6:AK30,"&gt;0"),0)</f>
        <v>0</v>
      </c>
      <c r="AL31" s="5">
        <v>26</v>
      </c>
      <c r="AM31" s="1061" t="str">
        <f>IFERROR(INDEX(T08_Spells!$B$3:$B$407,MATCH(S02_Cleric!AL31,T08_Spells!$DE$3:$DE$407,0),1),"")</f>
        <v/>
      </c>
      <c r="AN31" s="1061"/>
      <c r="AO31" s="1061"/>
      <c r="AP31" s="1061"/>
      <c r="AQ31" s="1061"/>
      <c r="AR31" s="567"/>
      <c r="AS31" s="569" t="str">
        <f t="shared" si="4"/>
        <v/>
      </c>
      <c r="AT31" s="565">
        <f>IF(OR(AR31="●",AS31="●"),1+COUNTIF(AT$6:AT30,"&gt;0"),0)</f>
        <v>0</v>
      </c>
      <c r="AU31" s="5">
        <v>26</v>
      </c>
      <c r="AV31" s="1061" t="str">
        <f>IFERROR(INDEX(T08_Spells!$B$3:$B$407,MATCH(S02_Cleric!AU31,T08_Spells!$DF$3:$DF$407,0),1),"")</f>
        <v/>
      </c>
      <c r="AW31" s="1061"/>
      <c r="AX31" s="1061"/>
      <c r="AY31" s="1061"/>
      <c r="AZ31" s="1061"/>
      <c r="BA31" s="567"/>
      <c r="BB31" s="569" t="str">
        <f t="shared" si="5"/>
        <v/>
      </c>
      <c r="BC31" s="565">
        <f>IF(OR(BA31="●",BB31="●"),1+COUNTIF(BC$6:BC30,"&gt;0"),0)</f>
        <v>0</v>
      </c>
      <c r="BD31" s="5">
        <v>26</v>
      </c>
      <c r="BE31" s="1061" t="str">
        <f>IFERROR(INDEX(T08_Spells!$B$3:$B$407,MATCH(S02_Cleric!BD31,T08_Spells!$DG$3:$DG$407,0),1),"")</f>
        <v/>
      </c>
      <c r="BF31" s="1061"/>
      <c r="BG31" s="1061"/>
      <c r="BH31" s="1061"/>
      <c r="BI31" s="1061"/>
      <c r="BJ31" s="567"/>
      <c r="BK31" s="569" t="str">
        <f t="shared" si="6"/>
        <v/>
      </c>
      <c r="BL31" s="565">
        <f>IF(OR(BJ31="●",BK31="●"),1+COUNTIF(BL$6:BL30,"&gt;0"),0)</f>
        <v>0</v>
      </c>
      <c r="BM31" s="5">
        <v>26</v>
      </c>
      <c r="BN31" s="1061" t="str">
        <f>IFERROR(INDEX(T08_Spells!$B$3:$B$407,MATCH(S02_Cleric!BM31,T08_Spells!$DH$3:$DH$407,0),1),"")</f>
        <v/>
      </c>
      <c r="BO31" s="1061"/>
      <c r="BP31" s="1061"/>
      <c r="BQ31" s="1061"/>
      <c r="BR31" s="1061"/>
      <c r="BS31" s="567"/>
      <c r="BT31" s="569" t="str">
        <f t="shared" si="7"/>
        <v/>
      </c>
      <c r="BU31" s="565">
        <f>IF(OR(BS31="●",BT31="●"),1+COUNTIF(BU$6:BU30,"&gt;0"),0)</f>
        <v>0</v>
      </c>
      <c r="BV31" s="5">
        <v>26</v>
      </c>
      <c r="BW31" s="1061" t="str">
        <f>IFERROR(INDEX(T08_Spells!$B$3:$B$407,MATCH(S02_Cleric!BV31,T08_Spells!$DI$3:$DI$407,0),1),"")</f>
        <v/>
      </c>
      <c r="BX31" s="1061"/>
      <c r="BY31" s="1061"/>
      <c r="BZ31" s="1061"/>
      <c r="CA31" s="1061"/>
      <c r="CB31" s="567"/>
      <c r="CC31" s="569" t="str">
        <f t="shared" si="8"/>
        <v/>
      </c>
      <c r="CD31" s="565">
        <f>IF(OR(CB31="●",CC31="●"),1+COUNTIF(CD$6:CD30,"&gt;0"),0)</f>
        <v>0</v>
      </c>
      <c r="CE31" s="565"/>
      <c r="CF31" s="565"/>
      <c r="CG31" s="565"/>
      <c r="CH31" s="565"/>
      <c r="CI31" s="565"/>
      <c r="CJ31" s="565"/>
      <c r="CK31" s="565"/>
      <c r="CL31" s="120"/>
    </row>
    <row r="32" spans="1:90" ht="21" x14ac:dyDescent="0.25">
      <c r="A32" s="120"/>
      <c r="B32" s="5">
        <v>27</v>
      </c>
      <c r="C32" s="1061" t="str">
        <f>IFERROR(INDEX(T08_Spells!$B$3:$B$407,MATCH(S02_Cleric!B32,T08_Spells!$DA$3:$DA$407,0),1),"")</f>
        <v/>
      </c>
      <c r="D32" s="1061"/>
      <c r="E32" s="1061"/>
      <c r="F32" s="1061"/>
      <c r="G32" s="1061"/>
      <c r="H32" s="567"/>
      <c r="I32" s="569" t="str">
        <f t="shared" si="0"/>
        <v/>
      </c>
      <c r="J32" s="565">
        <f>IF(OR(H32="●",I32="●"),1+COUNTIF(J$6:J31,"&gt;0"),0)</f>
        <v>0</v>
      </c>
      <c r="K32" s="5">
        <v>27</v>
      </c>
      <c r="L32" s="1061" t="str">
        <f>IFERROR(INDEX(T08_Spells!$B$3:$B$407,MATCH(S02_Cleric!K32,T08_Spells!$DB$3:$DB$407,0),1),"")</f>
        <v/>
      </c>
      <c r="M32" s="1061"/>
      <c r="N32" s="1061"/>
      <c r="O32" s="1061"/>
      <c r="P32" s="1061"/>
      <c r="Q32" s="567"/>
      <c r="R32" s="569" t="str">
        <f t="shared" si="1"/>
        <v/>
      </c>
      <c r="S32" s="565">
        <f>IF(OR(Q32="●",R32="●"),1+COUNTIF(S$6:S31,"&gt;0"),0)</f>
        <v>0</v>
      </c>
      <c r="T32" s="5">
        <v>27</v>
      </c>
      <c r="U32" s="1061" t="str">
        <f>IFERROR(INDEX(T08_Spells!$B$3:$B$407,MATCH(S02_Cleric!T32,T08_Spells!$DC$3:$DC$407,0),1),"")</f>
        <v/>
      </c>
      <c r="V32" s="1061"/>
      <c r="W32" s="1061"/>
      <c r="X32" s="1061"/>
      <c r="Y32" s="1061"/>
      <c r="Z32" s="567"/>
      <c r="AA32" s="569" t="str">
        <f t="shared" si="2"/>
        <v/>
      </c>
      <c r="AB32" s="565">
        <f>IF(OR(Z32="●",AA32="●"),1+COUNTIF(AB$6:AB31,"&gt;0"),0)</f>
        <v>0</v>
      </c>
      <c r="AC32" s="5">
        <v>27</v>
      </c>
      <c r="AD32" s="1061" t="str">
        <f>IFERROR(INDEX(T08_Spells!$B$3:$B$407,MATCH(S02_Cleric!AC32,T08_Spells!$DD$3:$DD$407,0),1),"")</f>
        <v/>
      </c>
      <c r="AE32" s="1061"/>
      <c r="AF32" s="1061"/>
      <c r="AG32" s="1061"/>
      <c r="AH32" s="1061"/>
      <c r="AI32" s="567" t="s">
        <v>3034</v>
      </c>
      <c r="AJ32" s="569" t="str">
        <f t="shared" si="3"/>
        <v/>
      </c>
      <c r="AK32" s="565">
        <f>IF(OR(AI32="●",AJ32="●"),1+COUNTIF(AK$6:AK31,"&gt;0"),0)</f>
        <v>0</v>
      </c>
      <c r="AL32" s="5">
        <v>27</v>
      </c>
      <c r="AM32" s="1061" t="str">
        <f>IFERROR(INDEX(T08_Spells!$B$3:$B$407,MATCH(S02_Cleric!AL32,T08_Spells!$DE$3:$DE$407,0),1),"")</f>
        <v/>
      </c>
      <c r="AN32" s="1061"/>
      <c r="AO32" s="1061"/>
      <c r="AP32" s="1061"/>
      <c r="AQ32" s="1061"/>
      <c r="AR32" s="567"/>
      <c r="AS32" s="569" t="str">
        <f t="shared" si="4"/>
        <v/>
      </c>
      <c r="AT32" s="565">
        <f>IF(OR(AR32="●",AS32="●"),1+COUNTIF(AT$6:AT31,"&gt;0"),0)</f>
        <v>0</v>
      </c>
      <c r="AU32" s="5">
        <v>27</v>
      </c>
      <c r="AV32" s="1061" t="str">
        <f>IFERROR(INDEX(T08_Spells!$B$3:$B$407,MATCH(S02_Cleric!AU32,T08_Spells!$DF$3:$DF$407,0),1),"")</f>
        <v/>
      </c>
      <c r="AW32" s="1061"/>
      <c r="AX32" s="1061"/>
      <c r="AY32" s="1061"/>
      <c r="AZ32" s="1061"/>
      <c r="BA32" s="567"/>
      <c r="BB32" s="569" t="str">
        <f t="shared" si="5"/>
        <v/>
      </c>
      <c r="BC32" s="565">
        <f>IF(OR(BA32="●",BB32="●"),1+COUNTIF(BC$6:BC31,"&gt;0"),0)</f>
        <v>0</v>
      </c>
      <c r="BD32" s="5">
        <v>27</v>
      </c>
      <c r="BE32" s="1061" t="str">
        <f>IFERROR(INDEX(T08_Spells!$B$3:$B$407,MATCH(S02_Cleric!BD32,T08_Spells!$DG$3:$DG$407,0),1),"")</f>
        <v/>
      </c>
      <c r="BF32" s="1061"/>
      <c r="BG32" s="1061"/>
      <c r="BH32" s="1061"/>
      <c r="BI32" s="1061"/>
      <c r="BJ32" s="567"/>
      <c r="BK32" s="569" t="str">
        <f t="shared" si="6"/>
        <v/>
      </c>
      <c r="BL32" s="565">
        <f>IF(OR(BJ32="●",BK32="●"),1+COUNTIF(BL$6:BL31,"&gt;0"),0)</f>
        <v>0</v>
      </c>
      <c r="BM32" s="5">
        <v>27</v>
      </c>
      <c r="BN32" s="1061" t="str">
        <f>IFERROR(INDEX(T08_Spells!$B$3:$B$407,MATCH(S02_Cleric!BM32,T08_Spells!$DH$3:$DH$407,0),1),"")</f>
        <v/>
      </c>
      <c r="BO32" s="1061"/>
      <c r="BP32" s="1061"/>
      <c r="BQ32" s="1061"/>
      <c r="BR32" s="1061"/>
      <c r="BS32" s="567"/>
      <c r="BT32" s="569" t="str">
        <f t="shared" si="7"/>
        <v/>
      </c>
      <c r="BU32" s="565">
        <f>IF(OR(BS32="●",BT32="●"),1+COUNTIF(BU$6:BU31,"&gt;0"),0)</f>
        <v>0</v>
      </c>
      <c r="BV32" s="5">
        <v>27</v>
      </c>
      <c r="BW32" s="1061" t="str">
        <f>IFERROR(INDEX(T08_Spells!$B$3:$B$407,MATCH(S02_Cleric!BV32,T08_Spells!$DI$3:$DI$407,0),1),"")</f>
        <v/>
      </c>
      <c r="BX32" s="1061"/>
      <c r="BY32" s="1061"/>
      <c r="BZ32" s="1061"/>
      <c r="CA32" s="1061"/>
      <c r="CB32" s="567"/>
      <c r="CC32" s="569" t="str">
        <f t="shared" si="8"/>
        <v/>
      </c>
      <c r="CD32" s="565">
        <f>IF(OR(CB32="●",CC32="●"),1+COUNTIF(CD$6:CD31,"&gt;0"),0)</f>
        <v>0</v>
      </c>
      <c r="CE32" s="565"/>
      <c r="CF32" s="565"/>
      <c r="CG32" s="565"/>
      <c r="CH32" s="565"/>
      <c r="CI32" s="565"/>
      <c r="CJ32" s="565"/>
      <c r="CK32" s="565"/>
      <c r="CL32" s="120"/>
    </row>
    <row r="33" spans="1:90" ht="21" x14ac:dyDescent="0.25">
      <c r="A33" s="120"/>
      <c r="B33" s="5">
        <v>28</v>
      </c>
      <c r="C33" s="1061" t="str">
        <f>IFERROR(INDEX(T08_Spells!$B$3:$B$407,MATCH(S02_Cleric!B33,T08_Spells!$DA$3:$DA$407,0),1),"")</f>
        <v/>
      </c>
      <c r="D33" s="1061"/>
      <c r="E33" s="1061"/>
      <c r="F33" s="1061"/>
      <c r="G33" s="1061"/>
      <c r="H33" s="567"/>
      <c r="I33" s="569" t="str">
        <f t="shared" si="0"/>
        <v/>
      </c>
      <c r="J33" s="565">
        <f>IF(OR(H33="●",I33="●"),1+COUNTIF(J$6:J32,"&gt;0"),0)</f>
        <v>0</v>
      </c>
      <c r="K33" s="5">
        <v>28</v>
      </c>
      <c r="L33" s="1061" t="str">
        <f>IFERROR(INDEX(T08_Spells!$B$3:$B$407,MATCH(S02_Cleric!K33,T08_Spells!$DB$3:$DB$407,0),1),"")</f>
        <v/>
      </c>
      <c r="M33" s="1061"/>
      <c r="N33" s="1061"/>
      <c r="O33" s="1061"/>
      <c r="P33" s="1061"/>
      <c r="Q33" s="567"/>
      <c r="R33" s="569" t="str">
        <f t="shared" si="1"/>
        <v/>
      </c>
      <c r="S33" s="565">
        <f>IF(OR(Q33="●",R33="●"),1+COUNTIF(S$6:S32,"&gt;0"),0)</f>
        <v>0</v>
      </c>
      <c r="T33" s="5">
        <v>28</v>
      </c>
      <c r="U33" s="1061" t="str">
        <f>IFERROR(INDEX(T08_Spells!$B$3:$B$407,MATCH(S02_Cleric!T33,T08_Spells!$DC$3:$DC$407,0),1),"")</f>
        <v/>
      </c>
      <c r="V33" s="1061"/>
      <c r="W33" s="1061"/>
      <c r="X33" s="1061"/>
      <c r="Y33" s="1061"/>
      <c r="Z33" s="567"/>
      <c r="AA33" s="569" t="str">
        <f t="shared" si="2"/>
        <v/>
      </c>
      <c r="AB33" s="565">
        <f>IF(OR(Z33="●",AA33="●"),1+COUNTIF(AB$6:AB32,"&gt;0"),0)</f>
        <v>0</v>
      </c>
      <c r="AC33" s="5">
        <v>28</v>
      </c>
      <c r="AD33" s="1061" t="str">
        <f>IFERROR(INDEX(T08_Spells!$B$3:$B$407,MATCH(S02_Cleric!AC33,T08_Spells!$DD$3:$DD$407,0),1),"")</f>
        <v/>
      </c>
      <c r="AE33" s="1061"/>
      <c r="AF33" s="1061"/>
      <c r="AG33" s="1061"/>
      <c r="AH33" s="1061"/>
      <c r="AI33" s="567" t="s">
        <v>3034</v>
      </c>
      <c r="AJ33" s="569" t="str">
        <f t="shared" si="3"/>
        <v/>
      </c>
      <c r="AK33" s="565">
        <f>IF(OR(AI33="●",AJ33="●"),1+COUNTIF(AK$6:AK32,"&gt;0"),0)</f>
        <v>0</v>
      </c>
      <c r="AL33" s="5">
        <v>28</v>
      </c>
      <c r="AM33" s="1061" t="str">
        <f>IFERROR(INDEX(T08_Spells!$B$3:$B$407,MATCH(S02_Cleric!AL33,T08_Spells!$DE$3:$DE$407,0),1),"")</f>
        <v/>
      </c>
      <c r="AN33" s="1061"/>
      <c r="AO33" s="1061"/>
      <c r="AP33" s="1061"/>
      <c r="AQ33" s="1061"/>
      <c r="AR33" s="567"/>
      <c r="AS33" s="569" t="str">
        <f t="shared" si="4"/>
        <v/>
      </c>
      <c r="AT33" s="565">
        <f>IF(OR(AR33="●",AS33="●"),1+COUNTIF(AT$6:AT32,"&gt;0"),0)</f>
        <v>0</v>
      </c>
      <c r="AU33" s="5">
        <v>28</v>
      </c>
      <c r="AV33" s="1061" t="str">
        <f>IFERROR(INDEX(T08_Spells!$B$3:$B$407,MATCH(S02_Cleric!AU33,T08_Spells!$DF$3:$DF$407,0),1),"")</f>
        <v/>
      </c>
      <c r="AW33" s="1061"/>
      <c r="AX33" s="1061"/>
      <c r="AY33" s="1061"/>
      <c r="AZ33" s="1061"/>
      <c r="BA33" s="567"/>
      <c r="BB33" s="569" t="str">
        <f t="shared" si="5"/>
        <v/>
      </c>
      <c r="BC33" s="565">
        <f>IF(OR(BA33="●",BB33="●"),1+COUNTIF(BC$6:BC32,"&gt;0"),0)</f>
        <v>0</v>
      </c>
      <c r="BD33" s="5">
        <v>28</v>
      </c>
      <c r="BE33" s="1061" t="str">
        <f>IFERROR(INDEX(T08_Spells!$B$3:$B$407,MATCH(S02_Cleric!BD33,T08_Spells!$DG$3:$DG$407,0),1),"")</f>
        <v/>
      </c>
      <c r="BF33" s="1061"/>
      <c r="BG33" s="1061"/>
      <c r="BH33" s="1061"/>
      <c r="BI33" s="1061"/>
      <c r="BJ33" s="567"/>
      <c r="BK33" s="569" t="str">
        <f t="shared" si="6"/>
        <v/>
      </c>
      <c r="BL33" s="565">
        <f>IF(OR(BJ33="●",BK33="●"),1+COUNTIF(BL$6:BL32,"&gt;0"),0)</f>
        <v>0</v>
      </c>
      <c r="BM33" s="5">
        <v>28</v>
      </c>
      <c r="BN33" s="1061" t="str">
        <f>IFERROR(INDEX(T08_Spells!$B$3:$B$407,MATCH(S02_Cleric!BM33,T08_Spells!$DH$3:$DH$407,0),1),"")</f>
        <v/>
      </c>
      <c r="BO33" s="1061"/>
      <c r="BP33" s="1061"/>
      <c r="BQ33" s="1061"/>
      <c r="BR33" s="1061"/>
      <c r="BS33" s="567"/>
      <c r="BT33" s="569" t="str">
        <f t="shared" si="7"/>
        <v/>
      </c>
      <c r="BU33" s="565">
        <f>IF(OR(BS33="●",BT33="●"),1+COUNTIF(BU$6:BU32,"&gt;0"),0)</f>
        <v>0</v>
      </c>
      <c r="BV33" s="5">
        <v>28</v>
      </c>
      <c r="BW33" s="1061" t="str">
        <f>IFERROR(INDEX(T08_Spells!$B$3:$B$407,MATCH(S02_Cleric!BV33,T08_Spells!$DI$3:$DI$407,0),1),"")</f>
        <v/>
      </c>
      <c r="BX33" s="1061"/>
      <c r="BY33" s="1061"/>
      <c r="BZ33" s="1061"/>
      <c r="CA33" s="1061"/>
      <c r="CB33" s="567"/>
      <c r="CC33" s="569" t="str">
        <f t="shared" si="8"/>
        <v/>
      </c>
      <c r="CD33" s="565">
        <f>IF(OR(CB33="●",CC33="●"),1+COUNTIF(CD$6:CD32,"&gt;0"),0)</f>
        <v>0</v>
      </c>
      <c r="CE33" s="565"/>
      <c r="CF33" s="565"/>
      <c r="CG33" s="565"/>
      <c r="CH33" s="565"/>
      <c r="CI33" s="565"/>
      <c r="CJ33" s="565"/>
      <c r="CK33" s="565"/>
      <c r="CL33" s="120"/>
    </row>
    <row r="34" spans="1:90" ht="21" x14ac:dyDescent="0.25">
      <c r="A34" s="120"/>
      <c r="B34" s="5">
        <v>29</v>
      </c>
      <c r="C34" s="1061" t="str">
        <f>IFERROR(INDEX(T08_Spells!$B$3:$B$407,MATCH(S02_Cleric!B34,T08_Spells!$DA$3:$DA$407,0),1),"")</f>
        <v/>
      </c>
      <c r="D34" s="1061"/>
      <c r="E34" s="1061"/>
      <c r="F34" s="1061"/>
      <c r="G34" s="1061"/>
      <c r="H34" s="567"/>
      <c r="I34" s="569" t="str">
        <f t="shared" si="0"/>
        <v/>
      </c>
      <c r="J34" s="565">
        <f>IF(OR(H34="●",I34="●"),1+COUNTIF(J$6:J33,"&gt;0"),0)</f>
        <v>0</v>
      </c>
      <c r="K34" s="5">
        <v>29</v>
      </c>
      <c r="L34" s="1061" t="str">
        <f>IFERROR(INDEX(T08_Spells!$B$3:$B$407,MATCH(S02_Cleric!K34,T08_Spells!$DB$3:$DB$407,0),1),"")</f>
        <v/>
      </c>
      <c r="M34" s="1061"/>
      <c r="N34" s="1061"/>
      <c r="O34" s="1061"/>
      <c r="P34" s="1061"/>
      <c r="Q34" s="567"/>
      <c r="R34" s="569" t="str">
        <f t="shared" si="1"/>
        <v/>
      </c>
      <c r="S34" s="565">
        <f>IF(OR(Q34="●",R34="●"),1+COUNTIF(S$6:S33,"&gt;0"),0)</f>
        <v>0</v>
      </c>
      <c r="T34" s="5">
        <v>29</v>
      </c>
      <c r="U34" s="1061" t="str">
        <f>IFERROR(INDEX(T08_Spells!$B$3:$B$407,MATCH(S02_Cleric!T34,T08_Spells!$DC$3:$DC$407,0),1),"")</f>
        <v/>
      </c>
      <c r="V34" s="1061"/>
      <c r="W34" s="1061"/>
      <c r="X34" s="1061"/>
      <c r="Y34" s="1061"/>
      <c r="Z34" s="567"/>
      <c r="AA34" s="569" t="str">
        <f t="shared" si="2"/>
        <v/>
      </c>
      <c r="AB34" s="565">
        <f>IF(OR(Z34="●",AA34="●"),1+COUNTIF(AB$6:AB33,"&gt;0"),0)</f>
        <v>0</v>
      </c>
      <c r="AC34" s="5">
        <v>29</v>
      </c>
      <c r="AD34" s="1061" t="str">
        <f>IFERROR(INDEX(T08_Spells!$B$3:$B$407,MATCH(S02_Cleric!AC34,T08_Spells!$DD$3:$DD$407,0),1),"")</f>
        <v/>
      </c>
      <c r="AE34" s="1061"/>
      <c r="AF34" s="1061"/>
      <c r="AG34" s="1061"/>
      <c r="AH34" s="1061"/>
      <c r="AI34" s="567" t="s">
        <v>3034</v>
      </c>
      <c r="AJ34" s="569" t="str">
        <f t="shared" si="3"/>
        <v/>
      </c>
      <c r="AK34" s="565">
        <f>IF(OR(AI34="●",AJ34="●"),1+COUNTIF(AK$6:AK33,"&gt;0"),0)</f>
        <v>0</v>
      </c>
      <c r="AL34" s="5">
        <v>29</v>
      </c>
      <c r="AM34" s="1061" t="str">
        <f>IFERROR(INDEX(T08_Spells!$B$3:$B$407,MATCH(S02_Cleric!AL34,T08_Spells!$DE$3:$DE$407,0),1),"")</f>
        <v/>
      </c>
      <c r="AN34" s="1061"/>
      <c r="AO34" s="1061"/>
      <c r="AP34" s="1061"/>
      <c r="AQ34" s="1061"/>
      <c r="AR34" s="567"/>
      <c r="AS34" s="569" t="str">
        <f t="shared" si="4"/>
        <v/>
      </c>
      <c r="AT34" s="565">
        <f>IF(OR(AR34="●",AS34="●"),1+COUNTIF(AT$6:AT33,"&gt;0"),0)</f>
        <v>0</v>
      </c>
      <c r="AU34" s="5">
        <v>29</v>
      </c>
      <c r="AV34" s="1061" t="str">
        <f>IFERROR(INDEX(T08_Spells!$B$3:$B$407,MATCH(S02_Cleric!AU34,T08_Spells!$DF$3:$DF$407,0),1),"")</f>
        <v/>
      </c>
      <c r="AW34" s="1061"/>
      <c r="AX34" s="1061"/>
      <c r="AY34" s="1061"/>
      <c r="AZ34" s="1061"/>
      <c r="BA34" s="567"/>
      <c r="BB34" s="569" t="str">
        <f t="shared" si="5"/>
        <v/>
      </c>
      <c r="BC34" s="565">
        <f>IF(OR(BA34="●",BB34="●"),1+COUNTIF(BC$6:BC33,"&gt;0"),0)</f>
        <v>0</v>
      </c>
      <c r="BD34" s="5">
        <v>29</v>
      </c>
      <c r="BE34" s="1061" t="str">
        <f>IFERROR(INDEX(T08_Spells!$B$3:$B$407,MATCH(S02_Cleric!BD34,T08_Spells!$DG$3:$DG$407,0),1),"")</f>
        <v/>
      </c>
      <c r="BF34" s="1061"/>
      <c r="BG34" s="1061"/>
      <c r="BH34" s="1061"/>
      <c r="BI34" s="1061"/>
      <c r="BJ34" s="567"/>
      <c r="BK34" s="569" t="str">
        <f t="shared" si="6"/>
        <v/>
      </c>
      <c r="BL34" s="565">
        <f>IF(OR(BJ34="●",BK34="●"),1+COUNTIF(BL$6:BL33,"&gt;0"),0)</f>
        <v>0</v>
      </c>
      <c r="BM34" s="5">
        <v>29</v>
      </c>
      <c r="BN34" s="1061" t="str">
        <f>IFERROR(INDEX(T08_Spells!$B$3:$B$407,MATCH(S02_Cleric!BM34,T08_Spells!$DH$3:$DH$407,0),1),"")</f>
        <v/>
      </c>
      <c r="BO34" s="1061"/>
      <c r="BP34" s="1061"/>
      <c r="BQ34" s="1061"/>
      <c r="BR34" s="1061"/>
      <c r="BS34" s="567"/>
      <c r="BT34" s="569" t="str">
        <f t="shared" si="7"/>
        <v/>
      </c>
      <c r="BU34" s="565">
        <f>IF(OR(BS34="●",BT34="●"),1+COUNTIF(BU$6:BU33,"&gt;0"),0)</f>
        <v>0</v>
      </c>
      <c r="BV34" s="5">
        <v>29</v>
      </c>
      <c r="BW34" s="1061" t="str">
        <f>IFERROR(INDEX(T08_Spells!$B$3:$B$407,MATCH(S02_Cleric!BV34,T08_Spells!$DI$3:$DI$407,0),1),"")</f>
        <v/>
      </c>
      <c r="BX34" s="1061"/>
      <c r="BY34" s="1061"/>
      <c r="BZ34" s="1061"/>
      <c r="CA34" s="1061"/>
      <c r="CB34" s="567"/>
      <c r="CC34" s="569" t="str">
        <f t="shared" si="8"/>
        <v/>
      </c>
      <c r="CD34" s="565">
        <f>IF(OR(CB34="●",CC34="●"),1+COUNTIF(CD$6:CD33,"&gt;0"),0)</f>
        <v>0</v>
      </c>
      <c r="CE34" s="565"/>
      <c r="CF34" s="565"/>
      <c r="CG34" s="565"/>
      <c r="CH34" s="565"/>
      <c r="CI34" s="565"/>
      <c r="CJ34" s="565"/>
      <c r="CK34" s="565"/>
      <c r="CL34" s="120"/>
    </row>
    <row r="35" spans="1:90" ht="21" x14ac:dyDescent="0.25">
      <c r="A35" s="120"/>
      <c r="B35" s="5">
        <v>30</v>
      </c>
      <c r="C35" s="1061" t="str">
        <f>IFERROR(INDEX(T08_Spells!$B$3:$B$407,MATCH(S02_Cleric!B35,T08_Spells!$DA$3:$DA$407,0),1),"")</f>
        <v/>
      </c>
      <c r="D35" s="1061"/>
      <c r="E35" s="1061"/>
      <c r="F35" s="1061"/>
      <c r="G35" s="1061"/>
      <c r="H35" s="567"/>
      <c r="I35" s="569" t="str">
        <f t="shared" si="0"/>
        <v/>
      </c>
      <c r="J35" s="565">
        <f>IF(OR(H35="●",I35="●"),1+COUNTIF(J$6:J34,"&gt;0"),0)</f>
        <v>0</v>
      </c>
      <c r="K35" s="5">
        <v>30</v>
      </c>
      <c r="L35" s="1061" t="str">
        <f>IFERROR(INDEX(T08_Spells!$B$3:$B$407,MATCH(S02_Cleric!K35,T08_Spells!$DB$3:$DB$407,0),1),"")</f>
        <v/>
      </c>
      <c r="M35" s="1061"/>
      <c r="N35" s="1061"/>
      <c r="O35" s="1061"/>
      <c r="P35" s="1061"/>
      <c r="Q35" s="567"/>
      <c r="R35" s="569" t="str">
        <f t="shared" si="1"/>
        <v/>
      </c>
      <c r="S35" s="565">
        <f>IF(OR(Q35="●",R35="●"),1+COUNTIF(S$6:S34,"&gt;0"),0)</f>
        <v>0</v>
      </c>
      <c r="T35" s="5">
        <v>30</v>
      </c>
      <c r="U35" s="1061" t="str">
        <f>IFERROR(INDEX(T08_Spells!$B$3:$B$407,MATCH(S02_Cleric!T35,T08_Spells!$DC$3:$DC$407,0),1),"")</f>
        <v/>
      </c>
      <c r="V35" s="1061"/>
      <c r="W35" s="1061"/>
      <c r="X35" s="1061"/>
      <c r="Y35" s="1061"/>
      <c r="Z35" s="567"/>
      <c r="AA35" s="569" t="str">
        <f t="shared" si="2"/>
        <v/>
      </c>
      <c r="AB35" s="565">
        <f>IF(OR(Z35="●",AA35="●"),1+COUNTIF(AB$6:AB34,"&gt;0"),0)</f>
        <v>0</v>
      </c>
      <c r="AC35" s="5">
        <v>30</v>
      </c>
      <c r="AD35" s="1061" t="str">
        <f>IFERROR(INDEX(T08_Spells!$B$3:$B$407,MATCH(S02_Cleric!AC35,T08_Spells!$DD$3:$DD$407,0),1),"")</f>
        <v/>
      </c>
      <c r="AE35" s="1061"/>
      <c r="AF35" s="1061"/>
      <c r="AG35" s="1061"/>
      <c r="AH35" s="1061"/>
      <c r="AI35" s="567" t="s">
        <v>3034</v>
      </c>
      <c r="AJ35" s="569" t="str">
        <f t="shared" si="3"/>
        <v/>
      </c>
      <c r="AK35" s="565">
        <f>IF(OR(AI35="●",AJ35="●"),1+COUNTIF(AK$6:AK34,"&gt;0"),0)</f>
        <v>0</v>
      </c>
      <c r="AL35" s="5">
        <v>30</v>
      </c>
      <c r="AM35" s="1061" t="str">
        <f>IFERROR(INDEX(T08_Spells!$B$3:$B$407,MATCH(S02_Cleric!AL35,T08_Spells!$DE$3:$DE$407,0),1),"")</f>
        <v/>
      </c>
      <c r="AN35" s="1061"/>
      <c r="AO35" s="1061"/>
      <c r="AP35" s="1061"/>
      <c r="AQ35" s="1061"/>
      <c r="AR35" s="567"/>
      <c r="AS35" s="569" t="str">
        <f t="shared" si="4"/>
        <v/>
      </c>
      <c r="AT35" s="565">
        <f>IF(OR(AR35="●",AS35="●"),1+COUNTIF(AT$6:AT34,"&gt;0"),0)</f>
        <v>0</v>
      </c>
      <c r="AU35" s="5">
        <v>30</v>
      </c>
      <c r="AV35" s="1061" t="str">
        <f>IFERROR(INDEX(T08_Spells!$B$3:$B$407,MATCH(S02_Cleric!AU35,T08_Spells!$DF$3:$DF$407,0),1),"")</f>
        <v/>
      </c>
      <c r="AW35" s="1061"/>
      <c r="AX35" s="1061"/>
      <c r="AY35" s="1061"/>
      <c r="AZ35" s="1061"/>
      <c r="BA35" s="567"/>
      <c r="BB35" s="569" t="str">
        <f t="shared" si="5"/>
        <v/>
      </c>
      <c r="BC35" s="565">
        <f>IF(OR(BA35="●",BB35="●"),1+COUNTIF(BC$6:BC34,"&gt;0"),0)</f>
        <v>0</v>
      </c>
      <c r="BD35" s="5">
        <v>30</v>
      </c>
      <c r="BE35" s="1061" t="str">
        <f>IFERROR(INDEX(T08_Spells!$B$3:$B$407,MATCH(S02_Cleric!BD35,T08_Spells!$DG$3:$DG$407,0),1),"")</f>
        <v/>
      </c>
      <c r="BF35" s="1061"/>
      <c r="BG35" s="1061"/>
      <c r="BH35" s="1061"/>
      <c r="BI35" s="1061"/>
      <c r="BJ35" s="567"/>
      <c r="BK35" s="569" t="str">
        <f t="shared" si="6"/>
        <v/>
      </c>
      <c r="BL35" s="565">
        <f>IF(OR(BJ35="●",BK35="●"),1+COUNTIF(BL$6:BL34,"&gt;0"),0)</f>
        <v>0</v>
      </c>
      <c r="BM35" s="5">
        <v>30</v>
      </c>
      <c r="BN35" s="1061" t="str">
        <f>IFERROR(INDEX(T08_Spells!$B$3:$B$407,MATCH(S02_Cleric!BM35,T08_Spells!$DH$3:$DH$407,0),1),"")</f>
        <v/>
      </c>
      <c r="BO35" s="1061"/>
      <c r="BP35" s="1061"/>
      <c r="BQ35" s="1061"/>
      <c r="BR35" s="1061"/>
      <c r="BS35" s="567"/>
      <c r="BT35" s="569" t="str">
        <f t="shared" si="7"/>
        <v/>
      </c>
      <c r="BU35" s="565">
        <f>IF(OR(BS35="●",BT35="●"),1+COUNTIF(BU$6:BU34,"&gt;0"),0)</f>
        <v>0</v>
      </c>
      <c r="BV35" s="5">
        <v>30</v>
      </c>
      <c r="BW35" s="1061" t="str">
        <f>IFERROR(INDEX(T08_Spells!$B$3:$B$407,MATCH(S02_Cleric!BV35,T08_Spells!$DI$3:$DI$407,0),1),"")</f>
        <v/>
      </c>
      <c r="BX35" s="1061"/>
      <c r="BY35" s="1061"/>
      <c r="BZ35" s="1061"/>
      <c r="CA35" s="1061"/>
      <c r="CB35" s="567"/>
      <c r="CC35" s="569" t="str">
        <f t="shared" si="8"/>
        <v/>
      </c>
      <c r="CD35" s="565">
        <f>IF(OR(CB35="●",CC35="●"),1+COUNTIF(CD$6:CD34,"&gt;0"),0)</f>
        <v>0</v>
      </c>
      <c r="CE35" s="565"/>
      <c r="CF35" s="565"/>
      <c r="CG35" s="565"/>
      <c r="CH35" s="565"/>
      <c r="CI35" s="565"/>
      <c r="CJ35" s="565"/>
      <c r="CK35" s="565"/>
      <c r="CL35" s="120"/>
    </row>
    <row r="36" spans="1:90" ht="15" customHeight="1" x14ac:dyDescent="0.25">
      <c r="A36" s="565"/>
      <c r="B36" s="565"/>
      <c r="C36" s="565"/>
      <c r="D36" s="565"/>
      <c r="E36" s="565"/>
      <c r="F36" s="565"/>
      <c r="G36" s="565"/>
      <c r="H36" s="565"/>
      <c r="I36" s="565"/>
      <c r="J36" s="565"/>
      <c r="K36" s="565"/>
      <c r="L36" s="565"/>
      <c r="M36" s="565"/>
      <c r="N36" s="565"/>
      <c r="O36" s="565"/>
      <c r="P36" s="565"/>
      <c r="Q36" s="565"/>
      <c r="R36" s="565"/>
      <c r="S36" s="565"/>
      <c r="T36" s="565"/>
      <c r="U36" s="565"/>
      <c r="V36" s="565"/>
      <c r="W36" s="565"/>
      <c r="X36" s="565"/>
      <c r="Y36" s="565"/>
      <c r="Z36" s="565"/>
      <c r="AA36" s="565"/>
      <c r="AB36" s="565"/>
      <c r="AC36" s="565"/>
      <c r="AD36" s="565"/>
      <c r="AE36" s="565"/>
      <c r="AF36" s="565"/>
      <c r="AG36" s="565"/>
      <c r="AH36" s="565"/>
      <c r="AI36" s="565"/>
      <c r="AJ36" s="565"/>
      <c r="AK36" s="565"/>
      <c r="AL36" s="565"/>
      <c r="AM36" s="565"/>
      <c r="AN36" s="565"/>
      <c r="AO36" s="565"/>
      <c r="AP36" s="565"/>
      <c r="AQ36" s="565"/>
      <c r="AR36" s="565"/>
      <c r="AS36" s="565"/>
      <c r="AT36" s="565"/>
      <c r="AU36" s="565"/>
      <c r="AV36" s="565"/>
      <c r="AW36" s="565"/>
      <c r="AX36" s="565"/>
      <c r="AY36" s="565"/>
      <c r="AZ36" s="565"/>
      <c r="BA36" s="565"/>
      <c r="BB36" s="565"/>
      <c r="BC36" s="565"/>
      <c r="BD36" s="565"/>
      <c r="BE36" s="565"/>
      <c r="BF36" s="565"/>
      <c r="BG36" s="565"/>
      <c r="BH36" s="565"/>
      <c r="BI36" s="565"/>
      <c r="BJ36" s="565"/>
      <c r="BK36" s="565"/>
      <c r="BL36" s="565"/>
      <c r="BM36" s="565"/>
      <c r="BN36" s="565"/>
      <c r="BO36" s="565"/>
      <c r="BP36" s="565"/>
      <c r="BQ36" s="565"/>
      <c r="BR36" s="565"/>
      <c r="BS36" s="565"/>
      <c r="BT36" s="565"/>
      <c r="BU36" s="565"/>
      <c r="BV36" s="565"/>
      <c r="BW36" s="565"/>
      <c r="BX36" s="565"/>
      <c r="BY36" s="565"/>
      <c r="BZ36" s="565"/>
      <c r="CA36" s="565"/>
      <c r="CB36" s="565"/>
      <c r="CC36" s="565"/>
      <c r="CD36" s="565"/>
      <c r="CE36" s="565"/>
      <c r="CF36" s="565"/>
      <c r="CG36" s="565"/>
      <c r="CH36" s="565"/>
      <c r="CI36" s="565"/>
      <c r="CJ36" s="565"/>
      <c r="CK36" s="565"/>
      <c r="CL36" s="120"/>
    </row>
    <row r="37" spans="1:90" x14ac:dyDescent="0.25">
      <c r="A37" s="120"/>
      <c r="B37" s="1062" t="str">
        <f>IF(SpellcastingCleric&gt;0,"Cleric Spells prepared"&amp;CHAR(10)&amp;L37&amp;U37&amp;AD37&amp;AM37&amp;AV37&amp;BE37&amp;BN37&amp;BW37&amp;CF37,"")</f>
        <v/>
      </c>
      <c r="C37" s="1062"/>
      <c r="D37" s="1062"/>
      <c r="E37" s="1062"/>
      <c r="F37" s="1062"/>
      <c r="G37" s="1062"/>
      <c r="H37" s="1062"/>
      <c r="I37" s="566">
        <v>1</v>
      </c>
      <c r="J37" s="565" t="str">
        <f>IFERROR(INDEX(C$6:C$35,MATCH(B6,J$6:J$35,0),1),"")</f>
        <v>Bane</v>
      </c>
      <c r="K37" s="565" t="str">
        <f>IF(J37="","",J37&amp;", ")</f>
        <v xml:space="preserve">Bane, </v>
      </c>
      <c r="L37" s="565" t="str">
        <f>IF(L38="","","1st level: "&amp;L38&amp;CHAR(10))</f>
        <v xml:space="preserve">1st level: Bane, Cure Wounds, 
</v>
      </c>
      <c r="M37" s="565"/>
      <c r="N37" s="565"/>
      <c r="O37" s="565"/>
      <c r="P37" s="565"/>
      <c r="Q37" s="565"/>
      <c r="R37" s="566">
        <v>1</v>
      </c>
      <c r="S37" s="565" t="str">
        <f>IFERROR(INDEX(L$6:L$35,MATCH(K6,S$6:S$35,0),1),"")</f>
        <v>Aid</v>
      </c>
      <c r="T37" s="565" t="str">
        <f>IF(S37="","",S37&amp;", ")</f>
        <v xml:space="preserve">Aid, </v>
      </c>
      <c r="U37" s="565" t="str">
        <f>IF(U38="","","2nd level: "&amp;U38&amp;CHAR(10))</f>
        <v xml:space="preserve">2nd level: Aid, Zone of Truth, 
</v>
      </c>
      <c r="V37" s="565"/>
      <c r="W37" s="565"/>
      <c r="X37" s="565"/>
      <c r="Y37" s="565"/>
      <c r="Z37" s="565"/>
      <c r="AA37" s="566">
        <v>1</v>
      </c>
      <c r="AB37" s="565" t="str">
        <f>IFERROR(INDEX(U$6:U$35,MATCH(T6,AB$6:AB$35,0),1),"")</f>
        <v>Animate Dead</v>
      </c>
      <c r="AC37" s="565" t="str">
        <f>IF(AB37="","",AB37&amp;", ")</f>
        <v xml:space="preserve">Animate Dead, </v>
      </c>
      <c r="AD37" s="565" t="str">
        <f>IF(AD38="","","3rd level: "&amp;AD38&amp;CHAR(10))</f>
        <v xml:space="preserve">3rd level: Animate Dead, Water Walk, 
</v>
      </c>
      <c r="AE37" s="565"/>
      <c r="AF37" s="565"/>
      <c r="AG37" s="565"/>
      <c r="AH37" s="565"/>
      <c r="AI37" s="565"/>
      <c r="AJ37" s="566">
        <v>1</v>
      </c>
      <c r="AK37" s="565" t="str">
        <f>IFERROR(INDEX(AD$6:AD$35,MATCH(AC6,AK$6:AK$35,0),1),"")</f>
        <v/>
      </c>
      <c r="AL37" s="565" t="str">
        <f>IF(AK37="","",AK37&amp;", ")</f>
        <v/>
      </c>
      <c r="AM37" s="565" t="str">
        <f>IF(AM38="","","4th level: "&amp;AM38&amp;CHAR(10))</f>
        <v/>
      </c>
      <c r="AN37" s="565"/>
      <c r="AO37" s="565"/>
      <c r="AP37" s="565"/>
      <c r="AQ37" s="565"/>
      <c r="AR37" s="565"/>
      <c r="AS37" s="566">
        <v>1</v>
      </c>
      <c r="AT37" s="565" t="str">
        <f>IFERROR(INDEX(AM$6:AM$35,MATCH(AL6,AT$6:AT$35,0),1),"")</f>
        <v>Planar Binding</v>
      </c>
      <c r="AU37" s="565" t="str">
        <f>IF(AT37="","",AT37&amp;", ")</f>
        <v xml:space="preserve">Planar Binding, </v>
      </c>
      <c r="AV37" s="565" t="str">
        <f>IF(AV38="","","5th level: "&amp;AV38&amp;CHAR(10))</f>
        <v xml:space="preserve">5th level: Planar Binding, 
</v>
      </c>
      <c r="AW37" s="565"/>
      <c r="AX37" s="565"/>
      <c r="AY37" s="565"/>
      <c r="AZ37" s="565"/>
      <c r="BA37" s="565"/>
      <c r="BB37" s="566">
        <v>1</v>
      </c>
      <c r="BC37" s="565" t="str">
        <f>IFERROR(INDEX(AV$6:AV$35,MATCH(AU6,BC$6:BC$35,0),1),"")</f>
        <v/>
      </c>
      <c r="BD37" s="565" t="str">
        <f>IF(BC37="","",BC37&amp;", ")</f>
        <v/>
      </c>
      <c r="BE37" s="565" t="str">
        <f>IF(BE38="","","6th level: "&amp;BE38&amp;CHAR(10))</f>
        <v/>
      </c>
      <c r="BF37" s="565"/>
      <c r="BG37" s="565"/>
      <c r="BH37" s="565"/>
      <c r="BI37" s="565"/>
      <c r="BJ37" s="565"/>
      <c r="BK37" s="566">
        <v>1</v>
      </c>
      <c r="BL37" s="565" t="str">
        <f>IFERROR(INDEX(BE$6:BE$35,MATCH(BD6,BL$6:BL$35,0),1),"")</f>
        <v/>
      </c>
      <c r="BM37" s="565" t="str">
        <f>IF(BL37="","",BL37&amp;", ")</f>
        <v/>
      </c>
      <c r="BN37" s="565" t="str">
        <f>IF(BN38="","","7th level: "&amp;BN38&amp;CHAR(10))</f>
        <v/>
      </c>
      <c r="BO37" s="565"/>
      <c r="BP37" s="565"/>
      <c r="BQ37" s="565"/>
      <c r="BR37" s="565"/>
      <c r="BS37" s="565"/>
      <c r="BT37" s="566">
        <v>1</v>
      </c>
      <c r="BU37" s="565" t="str">
        <f>IFERROR(INDEX(BN$6:BN$35,MATCH(BM6,BU$6:BU$35,0),1),"")</f>
        <v/>
      </c>
      <c r="BV37" s="565" t="str">
        <f>IF(BU37="","",BU37&amp;", ")</f>
        <v/>
      </c>
      <c r="BW37" s="565" t="str">
        <f>IF(BW38="","","8th level: "&amp;BW38&amp;CHAR(10))</f>
        <v/>
      </c>
      <c r="BX37" s="565"/>
      <c r="BY37" s="565"/>
      <c r="BZ37" s="565"/>
      <c r="CA37" s="565"/>
      <c r="CB37" s="565"/>
      <c r="CC37" s="566">
        <v>1</v>
      </c>
      <c r="CD37" s="565" t="str">
        <f>IFERROR(INDEX(BW$6:BW$35,MATCH(BV6,CD$6:CD$35,0),1),"")</f>
        <v/>
      </c>
      <c r="CE37" s="565" t="str">
        <f>IF(CD37="","",CD37&amp;", ")</f>
        <v/>
      </c>
      <c r="CF37" s="565" t="str">
        <f>IF(CF38="","","9th level: "&amp;CF38&amp;CHAR(10))</f>
        <v/>
      </c>
      <c r="CG37" s="565"/>
      <c r="CH37" s="565"/>
      <c r="CI37" s="565"/>
      <c r="CJ37" s="565"/>
      <c r="CK37" s="565"/>
      <c r="CL37" s="120"/>
    </row>
    <row r="38" spans="1:90" x14ac:dyDescent="0.25">
      <c r="A38" s="120"/>
      <c r="B38" s="1062"/>
      <c r="C38" s="1062"/>
      <c r="D38" s="1062"/>
      <c r="E38" s="1062"/>
      <c r="F38" s="1062"/>
      <c r="G38" s="1062"/>
      <c r="H38" s="1062"/>
      <c r="I38" s="566">
        <v>2</v>
      </c>
      <c r="J38" s="565" t="str">
        <f t="shared" ref="J38:J66" si="10">IFERROR(INDEX(C$6:C$35,MATCH(B7,J$6:J$35,0),1),"")</f>
        <v>Cure Wounds</v>
      </c>
      <c r="K38" s="565" t="str">
        <f t="shared" ref="K38:K66" si="11">IF(J38="","",J38&amp;", ")</f>
        <v xml:space="preserve">Cure Wounds, </v>
      </c>
      <c r="L38" s="565" t="str">
        <f>K37&amp;K38&amp;K39&amp;K40&amp;K41&amp;K42&amp;K43&amp;K44&amp;K45&amp;K46&amp;K48&amp;K47&amp;K49&amp;K50&amp;K51&amp;K52&amp;K54&amp;K55&amp;K53&amp;K56&amp;K57&amp;K58&amp;K59&amp;K60&amp;K61&amp;K62&amp;K63&amp;K64&amp;K65&amp;K66</f>
        <v xml:space="preserve">Bane, Cure Wounds, </v>
      </c>
      <c r="M38" s="565"/>
      <c r="N38" s="565"/>
      <c r="O38" s="565"/>
      <c r="P38" s="565"/>
      <c r="Q38" s="565"/>
      <c r="R38" s="566">
        <v>2</v>
      </c>
      <c r="S38" s="565" t="str">
        <f t="shared" ref="S38:S66" si="12">IFERROR(INDEX(L$6:L$35,MATCH(K7,S$6:S$35,0),1),"")</f>
        <v>Zone of Truth</v>
      </c>
      <c r="T38" s="565" t="str">
        <f t="shared" ref="T38:T66" si="13">IF(S38="","",S38&amp;", ")</f>
        <v xml:space="preserve">Zone of Truth, </v>
      </c>
      <c r="U38" s="565" t="str">
        <f>T37&amp;T38&amp;T39&amp;T40&amp;T41&amp;T42&amp;T43&amp;T44&amp;T45&amp;T46&amp;T48&amp;T47&amp;T49&amp;T50&amp;T51&amp;T52&amp;T54&amp;T55&amp;T53&amp;T56&amp;T57&amp;T58&amp;T59&amp;T60&amp;T61&amp;T62&amp;T63&amp;T64&amp;T65&amp;T66</f>
        <v xml:space="preserve">Aid, Zone of Truth, </v>
      </c>
      <c r="V38" s="565"/>
      <c r="W38" s="565"/>
      <c r="X38" s="565"/>
      <c r="Y38" s="565"/>
      <c r="Z38" s="565"/>
      <c r="AA38" s="566">
        <v>2</v>
      </c>
      <c r="AB38" s="565" t="str">
        <f t="shared" ref="AB38:AB66" si="14">IFERROR(INDEX(U$6:U$35,MATCH(T7,AB$6:AB$35,0),1),"")</f>
        <v>Water Walk</v>
      </c>
      <c r="AC38" s="565" t="str">
        <f t="shared" ref="AC38:AC66" si="15">IF(AB38="","",AB38&amp;", ")</f>
        <v xml:space="preserve">Water Walk, </v>
      </c>
      <c r="AD38" s="565" t="str">
        <f>AC37&amp;AC38&amp;AC39&amp;AC40&amp;AC41&amp;AC42&amp;AC43&amp;AC44&amp;AC45&amp;AC46&amp;AC48&amp;AC47&amp;AC49&amp;AC50&amp;AC51&amp;AC52&amp;AC54&amp;AC55&amp;AC53&amp;AC56&amp;AC57&amp;AC58&amp;AC59&amp;AC60&amp;AC61&amp;AC62&amp;AC63&amp;AC64&amp;AC65&amp;AC66</f>
        <v xml:space="preserve">Animate Dead, Water Walk, </v>
      </c>
      <c r="AE38" s="565"/>
      <c r="AF38" s="565"/>
      <c r="AG38" s="565"/>
      <c r="AH38" s="565"/>
      <c r="AI38" s="565"/>
      <c r="AJ38" s="566">
        <v>2</v>
      </c>
      <c r="AK38" s="565" t="str">
        <f t="shared" ref="AK38:AK66" si="16">IFERROR(INDEX(AD$6:AD$35,MATCH(AC7,AK$6:AK$35,0),1),"")</f>
        <v/>
      </c>
      <c r="AL38" s="565" t="str">
        <f t="shared" ref="AL38:AL66" si="17">IF(AK38="","",AK38&amp;", ")</f>
        <v/>
      </c>
      <c r="AM38" s="565" t="str">
        <f>AL37&amp;AL38&amp;AL39&amp;AL40&amp;AL41&amp;AL42&amp;AL43&amp;AL44&amp;AL45&amp;AL46&amp;AL48&amp;AL47&amp;AL49&amp;AL50&amp;AL51&amp;AL52&amp;AL54&amp;AL55&amp;AL53&amp;AL56&amp;AL57&amp;AL58&amp;AL59&amp;AL60&amp;AL61&amp;AL62&amp;AL63&amp;AL64&amp;AL65&amp;AL66</f>
        <v/>
      </c>
      <c r="AN38" s="565"/>
      <c r="AO38" s="565"/>
      <c r="AP38" s="565"/>
      <c r="AQ38" s="565"/>
      <c r="AR38" s="565"/>
      <c r="AS38" s="566">
        <v>2</v>
      </c>
      <c r="AT38" s="565" t="str">
        <f t="shared" ref="AT38:AT66" si="18">IFERROR(INDEX(AM$6:AM$35,MATCH(AL7,AT$6:AT$35,0),1),"")</f>
        <v/>
      </c>
      <c r="AU38" s="565" t="str">
        <f t="shared" ref="AU38:AU66" si="19">IF(AT38="","",AT38&amp;", ")</f>
        <v/>
      </c>
      <c r="AV38" s="565" t="str">
        <f>AU37&amp;AU38&amp;AU39&amp;AU40&amp;AU41&amp;AU42&amp;AU43&amp;AU44&amp;AU45&amp;AU46&amp;AU48&amp;AU47&amp;AU49&amp;AU50&amp;AU51&amp;AU52&amp;AU54&amp;AU55&amp;AU53&amp;AU56&amp;AU57&amp;AU58&amp;AU59&amp;AU60&amp;AU61&amp;AU62&amp;AU63&amp;AU64&amp;AU65&amp;AU66</f>
        <v xml:space="preserve">Planar Binding, </v>
      </c>
      <c r="AW38" s="565"/>
      <c r="AX38" s="565"/>
      <c r="AY38" s="565"/>
      <c r="AZ38" s="565"/>
      <c r="BA38" s="565"/>
      <c r="BB38" s="566">
        <v>2</v>
      </c>
      <c r="BC38" s="565" t="str">
        <f t="shared" ref="BC38:BC66" si="20">IFERROR(INDEX(AV$6:AV$35,MATCH(AU7,BC$6:BC$35,0),1),"")</f>
        <v/>
      </c>
      <c r="BD38" s="565" t="str">
        <f t="shared" ref="BD38:BD66" si="21">IF(BC38="","",BC38&amp;", ")</f>
        <v/>
      </c>
      <c r="BE38" s="565" t="str">
        <f>BD37&amp;BD38&amp;BD39&amp;BD40&amp;BD41&amp;BD42&amp;BD43&amp;BD44&amp;BD45&amp;BD46&amp;BD48&amp;BD47&amp;BD49&amp;BD50&amp;BD51&amp;BD52&amp;BD54&amp;BD55&amp;BD53&amp;BD56&amp;BD57&amp;BD58&amp;BD59&amp;BD60&amp;BD61&amp;BD62&amp;BD63&amp;BD64&amp;BD65&amp;BD66</f>
        <v/>
      </c>
      <c r="BF38" s="565"/>
      <c r="BG38" s="565"/>
      <c r="BH38" s="565"/>
      <c r="BI38" s="565"/>
      <c r="BJ38" s="565"/>
      <c r="BK38" s="566">
        <v>2</v>
      </c>
      <c r="BL38" s="565" t="str">
        <f t="shared" ref="BL38:BL66" si="22">IFERROR(INDEX(BE$6:BE$35,MATCH(BD7,BL$6:BL$35,0),1),"")</f>
        <v/>
      </c>
      <c r="BM38" s="565" t="str">
        <f t="shared" ref="BM38:BM66" si="23">IF(BL38="","",BL38&amp;", ")</f>
        <v/>
      </c>
      <c r="BN38" s="565" t="str">
        <f>BM37&amp;BM38&amp;BM39&amp;BM40&amp;BM41&amp;BM42&amp;BM43&amp;BM44&amp;BM45&amp;BM46&amp;BM48&amp;BM47&amp;BM49&amp;BM50&amp;BM51&amp;BM52&amp;BM54&amp;BM55&amp;BM53&amp;BM56&amp;BM57&amp;BM58&amp;BM59&amp;BM60&amp;BM61&amp;BM62&amp;BM63&amp;BM64&amp;BM65&amp;BM66</f>
        <v/>
      </c>
      <c r="BO38" s="565"/>
      <c r="BP38" s="565"/>
      <c r="BQ38" s="565"/>
      <c r="BR38" s="565"/>
      <c r="BS38" s="565"/>
      <c r="BT38" s="566">
        <v>2</v>
      </c>
      <c r="BU38" s="565" t="str">
        <f t="shared" ref="BU38:BU66" si="24">IFERROR(INDEX(BN$6:BN$35,MATCH(BM7,BU$6:BU$35,0),1),"")</f>
        <v/>
      </c>
      <c r="BV38" s="565" t="str">
        <f t="shared" ref="BV38:BV66" si="25">IF(BU38="","",BU38&amp;", ")</f>
        <v/>
      </c>
      <c r="BW38" s="565" t="str">
        <f>BV37&amp;BV38&amp;BV39&amp;BV40&amp;BV41&amp;BV42&amp;BV43&amp;BV44&amp;BV45&amp;BV46&amp;BV48&amp;BV47&amp;BV49&amp;BV50&amp;BV51&amp;BV52&amp;BV54&amp;BV55&amp;BV53&amp;BV56&amp;BV57&amp;BV58&amp;BV59&amp;BV60&amp;BV61&amp;BV62&amp;BV63&amp;BV64&amp;BV65&amp;BV66</f>
        <v/>
      </c>
      <c r="BX38" s="565"/>
      <c r="BY38" s="565"/>
      <c r="BZ38" s="565"/>
      <c r="CA38" s="565"/>
      <c r="CB38" s="565"/>
      <c r="CC38" s="566">
        <v>2</v>
      </c>
      <c r="CD38" s="565" t="str">
        <f t="shared" ref="CD38:CD66" si="26">IFERROR(INDEX(BW$6:BW$35,MATCH(BV7,CD$6:CD$35,0),1),"")</f>
        <v/>
      </c>
      <c r="CE38" s="565" t="str">
        <f t="shared" ref="CE38:CE66" si="27">IF(CD38="","",CD38&amp;", ")</f>
        <v/>
      </c>
      <c r="CF38" s="565" t="str">
        <f>CE37&amp;CE38&amp;CE39&amp;CE40&amp;CE41&amp;CE42&amp;CE43&amp;CE44&amp;CE45&amp;CE46&amp;CE48&amp;CE47&amp;CE49&amp;CE50&amp;CE51&amp;CE52&amp;CE54&amp;CE55&amp;CE53&amp;CE56&amp;CE57&amp;CE58&amp;CE59&amp;CE60&amp;CE61&amp;CE62&amp;CE63&amp;CE64&amp;CE65&amp;CE66</f>
        <v/>
      </c>
      <c r="CG38" s="565"/>
      <c r="CH38" s="565"/>
      <c r="CI38" s="565"/>
      <c r="CJ38" s="565"/>
      <c r="CK38" s="565"/>
      <c r="CL38" s="120"/>
    </row>
    <row r="39" spans="1:90" x14ac:dyDescent="0.25">
      <c r="A39" s="120"/>
      <c r="B39" s="1062"/>
      <c r="C39" s="1062"/>
      <c r="D39" s="1062"/>
      <c r="E39" s="1062"/>
      <c r="F39" s="1062"/>
      <c r="G39" s="1062"/>
      <c r="H39" s="1062"/>
      <c r="I39" s="566">
        <v>3</v>
      </c>
      <c r="J39" s="565" t="str">
        <f t="shared" si="10"/>
        <v/>
      </c>
      <c r="K39" s="565" t="str">
        <f t="shared" si="11"/>
        <v/>
      </c>
      <c r="L39" s="565"/>
      <c r="M39" s="565"/>
      <c r="N39" s="565"/>
      <c r="O39" s="565"/>
      <c r="P39" s="565"/>
      <c r="Q39" s="565"/>
      <c r="R39" s="566">
        <v>3</v>
      </c>
      <c r="S39" s="565" t="str">
        <f t="shared" si="12"/>
        <v/>
      </c>
      <c r="T39" s="565" t="str">
        <f t="shared" si="13"/>
        <v/>
      </c>
      <c r="U39" s="565"/>
      <c r="V39" s="565"/>
      <c r="W39" s="565"/>
      <c r="X39" s="565"/>
      <c r="Y39" s="565"/>
      <c r="Z39" s="565"/>
      <c r="AA39" s="566">
        <v>3</v>
      </c>
      <c r="AB39" s="565" t="str">
        <f t="shared" si="14"/>
        <v/>
      </c>
      <c r="AC39" s="565" t="str">
        <f t="shared" si="15"/>
        <v/>
      </c>
      <c r="AD39" s="565"/>
      <c r="AE39" s="565"/>
      <c r="AF39" s="565"/>
      <c r="AG39" s="565"/>
      <c r="AH39" s="565"/>
      <c r="AI39" s="565"/>
      <c r="AJ39" s="566">
        <v>3</v>
      </c>
      <c r="AK39" s="565" t="str">
        <f t="shared" si="16"/>
        <v/>
      </c>
      <c r="AL39" s="565" t="str">
        <f t="shared" si="17"/>
        <v/>
      </c>
      <c r="AM39" s="565"/>
      <c r="AN39" s="565"/>
      <c r="AO39" s="565"/>
      <c r="AP39" s="565"/>
      <c r="AQ39" s="565"/>
      <c r="AR39" s="565"/>
      <c r="AS39" s="566">
        <v>3</v>
      </c>
      <c r="AT39" s="565" t="str">
        <f t="shared" si="18"/>
        <v/>
      </c>
      <c r="AU39" s="565" t="str">
        <f t="shared" si="19"/>
        <v/>
      </c>
      <c r="AV39" s="565"/>
      <c r="AW39" s="565"/>
      <c r="AX39" s="565"/>
      <c r="AY39" s="565"/>
      <c r="AZ39" s="565"/>
      <c r="BA39" s="565"/>
      <c r="BB39" s="566">
        <v>3</v>
      </c>
      <c r="BC39" s="565" t="str">
        <f t="shared" si="20"/>
        <v/>
      </c>
      <c r="BD39" s="565" t="str">
        <f t="shared" si="21"/>
        <v/>
      </c>
      <c r="BE39" s="565"/>
      <c r="BF39" s="565"/>
      <c r="BG39" s="565"/>
      <c r="BH39" s="565"/>
      <c r="BI39" s="565"/>
      <c r="BJ39" s="565"/>
      <c r="BK39" s="566">
        <v>3</v>
      </c>
      <c r="BL39" s="565" t="str">
        <f t="shared" si="22"/>
        <v/>
      </c>
      <c r="BM39" s="565" t="str">
        <f t="shared" si="23"/>
        <v/>
      </c>
      <c r="BN39" s="565"/>
      <c r="BO39" s="565"/>
      <c r="BP39" s="565"/>
      <c r="BQ39" s="565"/>
      <c r="BR39" s="565"/>
      <c r="BS39" s="565"/>
      <c r="BT39" s="566">
        <v>3</v>
      </c>
      <c r="BU39" s="565" t="str">
        <f t="shared" si="24"/>
        <v/>
      </c>
      <c r="BV39" s="565" t="str">
        <f t="shared" si="25"/>
        <v/>
      </c>
      <c r="BW39" s="565"/>
      <c r="BX39" s="565"/>
      <c r="BY39" s="565"/>
      <c r="BZ39" s="565"/>
      <c r="CA39" s="565"/>
      <c r="CB39" s="565"/>
      <c r="CC39" s="566">
        <v>3</v>
      </c>
      <c r="CD39" s="565" t="str">
        <f t="shared" si="26"/>
        <v/>
      </c>
      <c r="CE39" s="565" t="str">
        <f t="shared" si="27"/>
        <v/>
      </c>
      <c r="CF39" s="565"/>
      <c r="CG39" s="565"/>
      <c r="CH39" s="565"/>
      <c r="CI39" s="565"/>
      <c r="CJ39" s="565"/>
      <c r="CK39" s="565"/>
      <c r="CL39" s="120"/>
    </row>
    <row r="40" spans="1:90" x14ac:dyDescent="0.25">
      <c r="A40" s="120"/>
      <c r="B40" s="1062"/>
      <c r="C40" s="1062"/>
      <c r="D40" s="1062"/>
      <c r="E40" s="1062"/>
      <c r="F40" s="1062"/>
      <c r="G40" s="1062"/>
      <c r="H40" s="1062"/>
      <c r="I40" s="566">
        <v>4</v>
      </c>
      <c r="J40" s="565" t="str">
        <f t="shared" si="10"/>
        <v/>
      </c>
      <c r="K40" s="565" t="str">
        <f t="shared" si="11"/>
        <v/>
      </c>
      <c r="L40" s="565"/>
      <c r="M40" s="565"/>
      <c r="N40" s="565"/>
      <c r="O40" s="565"/>
      <c r="P40" s="565"/>
      <c r="Q40" s="565"/>
      <c r="R40" s="566">
        <v>4</v>
      </c>
      <c r="S40" s="565" t="str">
        <f t="shared" si="12"/>
        <v/>
      </c>
      <c r="T40" s="565" t="str">
        <f t="shared" si="13"/>
        <v/>
      </c>
      <c r="U40" s="565"/>
      <c r="V40" s="565"/>
      <c r="W40" s="565"/>
      <c r="X40" s="565"/>
      <c r="Y40" s="565"/>
      <c r="Z40" s="565"/>
      <c r="AA40" s="566">
        <v>4</v>
      </c>
      <c r="AB40" s="565" t="str">
        <f t="shared" si="14"/>
        <v/>
      </c>
      <c r="AC40" s="565" t="str">
        <f t="shared" si="15"/>
        <v/>
      </c>
      <c r="AD40" s="565"/>
      <c r="AE40" s="565"/>
      <c r="AF40" s="565"/>
      <c r="AG40" s="565"/>
      <c r="AH40" s="565"/>
      <c r="AI40" s="565"/>
      <c r="AJ40" s="566">
        <v>4</v>
      </c>
      <c r="AK40" s="565" t="str">
        <f t="shared" si="16"/>
        <v/>
      </c>
      <c r="AL40" s="565" t="str">
        <f t="shared" si="17"/>
        <v/>
      </c>
      <c r="AM40" s="565"/>
      <c r="AN40" s="565"/>
      <c r="AO40" s="565"/>
      <c r="AP40" s="565"/>
      <c r="AQ40" s="565"/>
      <c r="AR40" s="565"/>
      <c r="AS40" s="566">
        <v>4</v>
      </c>
      <c r="AT40" s="565" t="str">
        <f t="shared" si="18"/>
        <v/>
      </c>
      <c r="AU40" s="565" t="str">
        <f t="shared" si="19"/>
        <v/>
      </c>
      <c r="AV40" s="565"/>
      <c r="AW40" s="565"/>
      <c r="AX40" s="565"/>
      <c r="AY40" s="565"/>
      <c r="AZ40" s="565"/>
      <c r="BA40" s="565"/>
      <c r="BB40" s="566">
        <v>4</v>
      </c>
      <c r="BC40" s="565" t="str">
        <f t="shared" si="20"/>
        <v/>
      </c>
      <c r="BD40" s="565" t="str">
        <f t="shared" si="21"/>
        <v/>
      </c>
      <c r="BE40" s="565"/>
      <c r="BF40" s="565"/>
      <c r="BG40" s="565"/>
      <c r="BH40" s="565"/>
      <c r="BI40" s="565"/>
      <c r="BJ40" s="565"/>
      <c r="BK40" s="566">
        <v>4</v>
      </c>
      <c r="BL40" s="565" t="str">
        <f t="shared" si="22"/>
        <v/>
      </c>
      <c r="BM40" s="565" t="str">
        <f t="shared" si="23"/>
        <v/>
      </c>
      <c r="BN40" s="565"/>
      <c r="BO40" s="565"/>
      <c r="BP40" s="565"/>
      <c r="BQ40" s="565"/>
      <c r="BR40" s="565"/>
      <c r="BS40" s="565"/>
      <c r="BT40" s="566">
        <v>4</v>
      </c>
      <c r="BU40" s="565" t="str">
        <f t="shared" si="24"/>
        <v/>
      </c>
      <c r="BV40" s="565" t="str">
        <f t="shared" si="25"/>
        <v/>
      </c>
      <c r="BW40" s="565"/>
      <c r="BX40" s="565"/>
      <c r="BY40" s="565"/>
      <c r="BZ40" s="565"/>
      <c r="CA40" s="565"/>
      <c r="CB40" s="565"/>
      <c r="CC40" s="566">
        <v>4</v>
      </c>
      <c r="CD40" s="565" t="str">
        <f t="shared" si="26"/>
        <v/>
      </c>
      <c r="CE40" s="565" t="str">
        <f t="shared" si="27"/>
        <v/>
      </c>
      <c r="CF40" s="565"/>
      <c r="CG40" s="565"/>
      <c r="CH40" s="565"/>
      <c r="CI40" s="565"/>
      <c r="CJ40" s="565"/>
      <c r="CK40" s="565"/>
      <c r="CL40" s="120"/>
    </row>
    <row r="41" spans="1:90" x14ac:dyDescent="0.25">
      <c r="A41" s="120"/>
      <c r="B41" s="1062"/>
      <c r="C41" s="1062"/>
      <c r="D41" s="1062"/>
      <c r="E41" s="1062"/>
      <c r="F41" s="1062"/>
      <c r="G41" s="1062"/>
      <c r="H41" s="1062"/>
      <c r="I41" s="566">
        <v>5</v>
      </c>
      <c r="J41" s="565" t="str">
        <f t="shared" si="10"/>
        <v/>
      </c>
      <c r="K41" s="565" t="str">
        <f t="shared" si="11"/>
        <v/>
      </c>
      <c r="L41" s="565"/>
      <c r="M41" s="565"/>
      <c r="N41" s="565"/>
      <c r="O41" s="565"/>
      <c r="P41" s="565"/>
      <c r="Q41" s="565"/>
      <c r="R41" s="566">
        <v>5</v>
      </c>
      <c r="S41" s="565" t="str">
        <f t="shared" si="12"/>
        <v/>
      </c>
      <c r="T41" s="565" t="str">
        <f t="shared" si="13"/>
        <v/>
      </c>
      <c r="U41" s="565"/>
      <c r="V41" s="565"/>
      <c r="W41" s="565"/>
      <c r="X41" s="565"/>
      <c r="Y41" s="565"/>
      <c r="Z41" s="565"/>
      <c r="AA41" s="566">
        <v>5</v>
      </c>
      <c r="AB41" s="565" t="str">
        <f t="shared" si="14"/>
        <v/>
      </c>
      <c r="AC41" s="565" t="str">
        <f t="shared" si="15"/>
        <v/>
      </c>
      <c r="AD41" s="565"/>
      <c r="AE41" s="565"/>
      <c r="AF41" s="565"/>
      <c r="AG41" s="565"/>
      <c r="AH41" s="565"/>
      <c r="AI41" s="565"/>
      <c r="AJ41" s="566">
        <v>5</v>
      </c>
      <c r="AK41" s="565" t="str">
        <f t="shared" si="16"/>
        <v/>
      </c>
      <c r="AL41" s="565" t="str">
        <f t="shared" si="17"/>
        <v/>
      </c>
      <c r="AM41" s="565"/>
      <c r="AN41" s="565"/>
      <c r="AO41" s="565"/>
      <c r="AP41" s="565"/>
      <c r="AQ41" s="565"/>
      <c r="AR41" s="565"/>
      <c r="AS41" s="566">
        <v>5</v>
      </c>
      <c r="AT41" s="565" t="str">
        <f t="shared" si="18"/>
        <v/>
      </c>
      <c r="AU41" s="565" t="str">
        <f t="shared" si="19"/>
        <v/>
      </c>
      <c r="AV41" s="565"/>
      <c r="AW41" s="565"/>
      <c r="AX41" s="565"/>
      <c r="AY41" s="565"/>
      <c r="AZ41" s="565"/>
      <c r="BA41" s="565"/>
      <c r="BB41" s="566">
        <v>5</v>
      </c>
      <c r="BC41" s="565" t="str">
        <f t="shared" si="20"/>
        <v/>
      </c>
      <c r="BD41" s="565" t="str">
        <f t="shared" si="21"/>
        <v/>
      </c>
      <c r="BE41" s="565"/>
      <c r="BF41" s="565"/>
      <c r="BG41" s="565"/>
      <c r="BH41" s="565"/>
      <c r="BI41" s="565"/>
      <c r="BJ41" s="565"/>
      <c r="BK41" s="566">
        <v>5</v>
      </c>
      <c r="BL41" s="565" t="str">
        <f t="shared" si="22"/>
        <v/>
      </c>
      <c r="BM41" s="565" t="str">
        <f t="shared" si="23"/>
        <v/>
      </c>
      <c r="BN41" s="565"/>
      <c r="BO41" s="565"/>
      <c r="BP41" s="565"/>
      <c r="BQ41" s="565"/>
      <c r="BR41" s="565"/>
      <c r="BS41" s="565"/>
      <c r="BT41" s="566">
        <v>5</v>
      </c>
      <c r="BU41" s="565" t="str">
        <f t="shared" si="24"/>
        <v/>
      </c>
      <c r="BV41" s="565" t="str">
        <f t="shared" si="25"/>
        <v/>
      </c>
      <c r="BW41" s="565"/>
      <c r="BX41" s="565"/>
      <c r="BY41" s="565"/>
      <c r="BZ41" s="565"/>
      <c r="CA41" s="565"/>
      <c r="CB41" s="565"/>
      <c r="CC41" s="566">
        <v>5</v>
      </c>
      <c r="CD41" s="565" t="str">
        <f t="shared" si="26"/>
        <v/>
      </c>
      <c r="CE41" s="565" t="str">
        <f t="shared" si="27"/>
        <v/>
      </c>
      <c r="CF41" s="565"/>
      <c r="CG41" s="565"/>
      <c r="CH41" s="565"/>
      <c r="CI41" s="565"/>
      <c r="CJ41" s="565"/>
      <c r="CK41" s="565"/>
      <c r="CL41" s="120"/>
    </row>
    <row r="42" spans="1:90" x14ac:dyDescent="0.25">
      <c r="A42" s="120"/>
      <c r="B42" s="1062"/>
      <c r="C42" s="1062"/>
      <c r="D42" s="1062"/>
      <c r="E42" s="1062"/>
      <c r="F42" s="1062"/>
      <c r="G42" s="1062"/>
      <c r="H42" s="1062"/>
      <c r="I42" s="566">
        <v>6</v>
      </c>
      <c r="J42" s="565" t="str">
        <f t="shared" si="10"/>
        <v/>
      </c>
      <c r="K42" s="565" t="str">
        <f t="shared" si="11"/>
        <v/>
      </c>
      <c r="L42" s="565"/>
      <c r="M42" s="565"/>
      <c r="N42" s="565"/>
      <c r="O42" s="565"/>
      <c r="P42" s="565"/>
      <c r="Q42" s="565"/>
      <c r="R42" s="566">
        <v>6</v>
      </c>
      <c r="S42" s="565" t="str">
        <f t="shared" si="12"/>
        <v/>
      </c>
      <c r="T42" s="565" t="str">
        <f t="shared" si="13"/>
        <v/>
      </c>
      <c r="U42" s="565"/>
      <c r="V42" s="565"/>
      <c r="W42" s="565"/>
      <c r="X42" s="565"/>
      <c r="Y42" s="565"/>
      <c r="Z42" s="565"/>
      <c r="AA42" s="566">
        <v>6</v>
      </c>
      <c r="AB42" s="565" t="str">
        <f t="shared" si="14"/>
        <v/>
      </c>
      <c r="AC42" s="565" t="str">
        <f t="shared" si="15"/>
        <v/>
      </c>
      <c r="AD42" s="565"/>
      <c r="AE42" s="565"/>
      <c r="AF42" s="565"/>
      <c r="AG42" s="565"/>
      <c r="AH42" s="565"/>
      <c r="AI42" s="565"/>
      <c r="AJ42" s="566">
        <v>6</v>
      </c>
      <c r="AK42" s="565" t="str">
        <f t="shared" si="16"/>
        <v/>
      </c>
      <c r="AL42" s="565" t="str">
        <f t="shared" si="17"/>
        <v/>
      </c>
      <c r="AM42" s="565"/>
      <c r="AN42" s="565"/>
      <c r="AO42" s="565"/>
      <c r="AP42" s="565"/>
      <c r="AQ42" s="565"/>
      <c r="AR42" s="565"/>
      <c r="AS42" s="566">
        <v>6</v>
      </c>
      <c r="AT42" s="565" t="str">
        <f t="shared" si="18"/>
        <v/>
      </c>
      <c r="AU42" s="565" t="str">
        <f t="shared" si="19"/>
        <v/>
      </c>
      <c r="AV42" s="565"/>
      <c r="AW42" s="565"/>
      <c r="AX42" s="565"/>
      <c r="AY42" s="565"/>
      <c r="AZ42" s="565"/>
      <c r="BA42" s="565"/>
      <c r="BB42" s="566">
        <v>6</v>
      </c>
      <c r="BC42" s="565" t="str">
        <f t="shared" si="20"/>
        <v/>
      </c>
      <c r="BD42" s="565" t="str">
        <f t="shared" si="21"/>
        <v/>
      </c>
      <c r="BE42" s="565"/>
      <c r="BF42" s="565"/>
      <c r="BG42" s="565"/>
      <c r="BH42" s="565"/>
      <c r="BI42" s="565"/>
      <c r="BJ42" s="565"/>
      <c r="BK42" s="566">
        <v>6</v>
      </c>
      <c r="BL42" s="565" t="str">
        <f t="shared" si="22"/>
        <v/>
      </c>
      <c r="BM42" s="565" t="str">
        <f t="shared" si="23"/>
        <v/>
      </c>
      <c r="BN42" s="565"/>
      <c r="BO42" s="565"/>
      <c r="BP42" s="565"/>
      <c r="BQ42" s="565"/>
      <c r="BR42" s="565"/>
      <c r="BS42" s="565"/>
      <c r="BT42" s="566">
        <v>6</v>
      </c>
      <c r="BU42" s="565" t="str">
        <f t="shared" si="24"/>
        <v/>
      </c>
      <c r="BV42" s="565" t="str">
        <f t="shared" si="25"/>
        <v/>
      </c>
      <c r="BW42" s="565"/>
      <c r="BX42" s="565"/>
      <c r="BY42" s="565"/>
      <c r="BZ42" s="565"/>
      <c r="CA42" s="565"/>
      <c r="CB42" s="565"/>
      <c r="CC42" s="566">
        <v>6</v>
      </c>
      <c r="CD42" s="565" t="str">
        <f t="shared" si="26"/>
        <v/>
      </c>
      <c r="CE42" s="565" t="str">
        <f t="shared" si="27"/>
        <v/>
      </c>
      <c r="CF42" s="565"/>
      <c r="CG42" s="565"/>
      <c r="CH42" s="565"/>
      <c r="CI42" s="565"/>
      <c r="CJ42" s="565"/>
      <c r="CK42" s="565"/>
      <c r="CL42" s="120"/>
    </row>
    <row r="43" spans="1:90" x14ac:dyDescent="0.25">
      <c r="A43" s="120"/>
      <c r="B43" s="1062"/>
      <c r="C43" s="1062"/>
      <c r="D43" s="1062"/>
      <c r="E43" s="1062"/>
      <c r="F43" s="1062"/>
      <c r="G43" s="1062"/>
      <c r="H43" s="1062"/>
      <c r="I43" s="566">
        <v>7</v>
      </c>
      <c r="J43" s="565" t="str">
        <f t="shared" si="10"/>
        <v/>
      </c>
      <c r="K43" s="565" t="str">
        <f t="shared" si="11"/>
        <v/>
      </c>
      <c r="L43" s="565"/>
      <c r="M43" s="565"/>
      <c r="N43" s="565"/>
      <c r="O43" s="565"/>
      <c r="P43" s="565"/>
      <c r="Q43" s="565"/>
      <c r="R43" s="566">
        <v>7</v>
      </c>
      <c r="S43" s="565" t="str">
        <f t="shared" si="12"/>
        <v/>
      </c>
      <c r="T43" s="565" t="str">
        <f t="shared" si="13"/>
        <v/>
      </c>
      <c r="U43" s="565"/>
      <c r="V43" s="565"/>
      <c r="W43" s="565"/>
      <c r="X43" s="565"/>
      <c r="Y43" s="565"/>
      <c r="Z43" s="565"/>
      <c r="AA43" s="566">
        <v>7</v>
      </c>
      <c r="AB43" s="565" t="str">
        <f t="shared" si="14"/>
        <v/>
      </c>
      <c r="AC43" s="565" t="str">
        <f t="shared" si="15"/>
        <v/>
      </c>
      <c r="AD43" s="565"/>
      <c r="AE43" s="565"/>
      <c r="AF43" s="565"/>
      <c r="AG43" s="565"/>
      <c r="AH43" s="565"/>
      <c r="AI43" s="565"/>
      <c r="AJ43" s="566">
        <v>7</v>
      </c>
      <c r="AK43" s="565" t="str">
        <f t="shared" si="16"/>
        <v/>
      </c>
      <c r="AL43" s="565" t="str">
        <f t="shared" si="17"/>
        <v/>
      </c>
      <c r="AM43" s="565"/>
      <c r="AN43" s="565"/>
      <c r="AO43" s="565"/>
      <c r="AP43" s="565"/>
      <c r="AQ43" s="565"/>
      <c r="AR43" s="565"/>
      <c r="AS43" s="566">
        <v>7</v>
      </c>
      <c r="AT43" s="565" t="str">
        <f t="shared" si="18"/>
        <v/>
      </c>
      <c r="AU43" s="565" t="str">
        <f t="shared" si="19"/>
        <v/>
      </c>
      <c r="AV43" s="565"/>
      <c r="AW43" s="565"/>
      <c r="AX43" s="565"/>
      <c r="AY43" s="565"/>
      <c r="AZ43" s="565"/>
      <c r="BA43" s="565"/>
      <c r="BB43" s="566">
        <v>7</v>
      </c>
      <c r="BC43" s="565" t="str">
        <f t="shared" si="20"/>
        <v/>
      </c>
      <c r="BD43" s="565" t="str">
        <f t="shared" si="21"/>
        <v/>
      </c>
      <c r="BE43" s="565"/>
      <c r="BF43" s="565"/>
      <c r="BG43" s="565"/>
      <c r="BH43" s="565"/>
      <c r="BI43" s="565"/>
      <c r="BJ43" s="565"/>
      <c r="BK43" s="566">
        <v>7</v>
      </c>
      <c r="BL43" s="565" t="str">
        <f t="shared" si="22"/>
        <v/>
      </c>
      <c r="BM43" s="565" t="str">
        <f t="shared" si="23"/>
        <v/>
      </c>
      <c r="BN43" s="565"/>
      <c r="BO43" s="565"/>
      <c r="BP43" s="565"/>
      <c r="BQ43" s="565"/>
      <c r="BR43" s="565"/>
      <c r="BS43" s="565"/>
      <c r="BT43" s="566">
        <v>7</v>
      </c>
      <c r="BU43" s="565" t="str">
        <f t="shared" si="24"/>
        <v/>
      </c>
      <c r="BV43" s="565" t="str">
        <f t="shared" si="25"/>
        <v/>
      </c>
      <c r="BW43" s="565"/>
      <c r="BX43" s="565"/>
      <c r="BY43" s="565"/>
      <c r="BZ43" s="565"/>
      <c r="CA43" s="565"/>
      <c r="CB43" s="565"/>
      <c r="CC43" s="566">
        <v>7</v>
      </c>
      <c r="CD43" s="565" t="str">
        <f t="shared" si="26"/>
        <v/>
      </c>
      <c r="CE43" s="565" t="str">
        <f t="shared" si="27"/>
        <v/>
      </c>
      <c r="CF43" s="565"/>
      <c r="CG43" s="565"/>
      <c r="CH43" s="565"/>
      <c r="CI43" s="565"/>
      <c r="CJ43" s="565"/>
      <c r="CK43" s="565"/>
      <c r="CL43" s="120"/>
    </row>
    <row r="44" spans="1:90" x14ac:dyDescent="0.25">
      <c r="A44" s="120"/>
      <c r="B44" s="1062"/>
      <c r="C44" s="1062"/>
      <c r="D44" s="1062"/>
      <c r="E44" s="1062"/>
      <c r="F44" s="1062"/>
      <c r="G44" s="1062"/>
      <c r="H44" s="1062"/>
      <c r="I44" s="566">
        <v>8</v>
      </c>
      <c r="J44" s="565" t="str">
        <f t="shared" si="10"/>
        <v/>
      </c>
      <c r="K44" s="565" t="str">
        <f t="shared" si="11"/>
        <v/>
      </c>
      <c r="L44" s="565"/>
      <c r="M44" s="565"/>
      <c r="N44" s="565"/>
      <c r="O44" s="565"/>
      <c r="P44" s="565"/>
      <c r="Q44" s="565"/>
      <c r="R44" s="566">
        <v>8</v>
      </c>
      <c r="S44" s="565" t="str">
        <f t="shared" si="12"/>
        <v/>
      </c>
      <c r="T44" s="565" t="str">
        <f t="shared" si="13"/>
        <v/>
      </c>
      <c r="U44" s="565"/>
      <c r="V44" s="565"/>
      <c r="W44" s="565"/>
      <c r="X44" s="565"/>
      <c r="Y44" s="565"/>
      <c r="Z44" s="565"/>
      <c r="AA44" s="566">
        <v>8</v>
      </c>
      <c r="AB44" s="565" t="str">
        <f t="shared" si="14"/>
        <v/>
      </c>
      <c r="AC44" s="565" t="str">
        <f t="shared" si="15"/>
        <v/>
      </c>
      <c r="AD44" s="565"/>
      <c r="AE44" s="565"/>
      <c r="AF44" s="565"/>
      <c r="AG44" s="565"/>
      <c r="AH44" s="565"/>
      <c r="AI44" s="565"/>
      <c r="AJ44" s="566">
        <v>8</v>
      </c>
      <c r="AK44" s="565" t="str">
        <f t="shared" si="16"/>
        <v/>
      </c>
      <c r="AL44" s="565" t="str">
        <f t="shared" si="17"/>
        <v/>
      </c>
      <c r="AM44" s="565"/>
      <c r="AN44" s="565"/>
      <c r="AO44" s="565"/>
      <c r="AP44" s="565"/>
      <c r="AQ44" s="565"/>
      <c r="AR44" s="565"/>
      <c r="AS44" s="566">
        <v>8</v>
      </c>
      <c r="AT44" s="565" t="str">
        <f t="shared" si="18"/>
        <v/>
      </c>
      <c r="AU44" s="565" t="str">
        <f t="shared" si="19"/>
        <v/>
      </c>
      <c r="AV44" s="565"/>
      <c r="AW44" s="565"/>
      <c r="AX44" s="565"/>
      <c r="AY44" s="565"/>
      <c r="AZ44" s="565"/>
      <c r="BA44" s="565"/>
      <c r="BB44" s="566">
        <v>8</v>
      </c>
      <c r="BC44" s="565" t="str">
        <f t="shared" si="20"/>
        <v/>
      </c>
      <c r="BD44" s="565" t="str">
        <f t="shared" si="21"/>
        <v/>
      </c>
      <c r="BE44" s="565"/>
      <c r="BF44" s="565"/>
      <c r="BG44" s="565"/>
      <c r="BH44" s="565"/>
      <c r="BI44" s="565"/>
      <c r="BJ44" s="565"/>
      <c r="BK44" s="566">
        <v>8</v>
      </c>
      <c r="BL44" s="565" t="str">
        <f t="shared" si="22"/>
        <v/>
      </c>
      <c r="BM44" s="565" t="str">
        <f t="shared" si="23"/>
        <v/>
      </c>
      <c r="BN44" s="565"/>
      <c r="BO44" s="565"/>
      <c r="BP44" s="565"/>
      <c r="BQ44" s="565"/>
      <c r="BR44" s="565"/>
      <c r="BS44" s="565"/>
      <c r="BT44" s="566">
        <v>8</v>
      </c>
      <c r="BU44" s="565" t="str">
        <f t="shared" si="24"/>
        <v/>
      </c>
      <c r="BV44" s="565" t="str">
        <f t="shared" si="25"/>
        <v/>
      </c>
      <c r="BW44" s="565"/>
      <c r="BX44" s="565"/>
      <c r="BY44" s="565"/>
      <c r="BZ44" s="565"/>
      <c r="CA44" s="565"/>
      <c r="CB44" s="565"/>
      <c r="CC44" s="566">
        <v>8</v>
      </c>
      <c r="CD44" s="565" t="str">
        <f t="shared" si="26"/>
        <v/>
      </c>
      <c r="CE44" s="565" t="str">
        <f t="shared" si="27"/>
        <v/>
      </c>
      <c r="CF44" s="565"/>
      <c r="CG44" s="565"/>
      <c r="CH44" s="565"/>
      <c r="CI44" s="565"/>
      <c r="CJ44" s="565"/>
      <c r="CK44" s="565"/>
      <c r="CL44" s="120"/>
    </row>
    <row r="45" spans="1:90" x14ac:dyDescent="0.25">
      <c r="A45" s="120"/>
      <c r="B45" s="1062"/>
      <c r="C45" s="1062"/>
      <c r="D45" s="1062"/>
      <c r="E45" s="1062"/>
      <c r="F45" s="1062"/>
      <c r="G45" s="1062"/>
      <c r="H45" s="1062"/>
      <c r="I45" s="566">
        <v>9</v>
      </c>
      <c r="J45" s="565" t="str">
        <f t="shared" si="10"/>
        <v/>
      </c>
      <c r="K45" s="565" t="str">
        <f t="shared" si="11"/>
        <v/>
      </c>
      <c r="L45" s="565"/>
      <c r="M45" s="565"/>
      <c r="N45" s="565"/>
      <c r="O45" s="565"/>
      <c r="P45" s="565"/>
      <c r="Q45" s="565"/>
      <c r="R45" s="566">
        <v>9</v>
      </c>
      <c r="S45" s="565" t="str">
        <f t="shared" si="12"/>
        <v/>
      </c>
      <c r="T45" s="565" t="str">
        <f t="shared" si="13"/>
        <v/>
      </c>
      <c r="U45" s="565"/>
      <c r="V45" s="565"/>
      <c r="W45" s="565"/>
      <c r="X45" s="565"/>
      <c r="Y45" s="565"/>
      <c r="Z45" s="565"/>
      <c r="AA45" s="566">
        <v>9</v>
      </c>
      <c r="AB45" s="565" t="str">
        <f t="shared" si="14"/>
        <v/>
      </c>
      <c r="AC45" s="565" t="str">
        <f t="shared" si="15"/>
        <v/>
      </c>
      <c r="AD45" s="565"/>
      <c r="AE45" s="565"/>
      <c r="AF45" s="565"/>
      <c r="AG45" s="565"/>
      <c r="AH45" s="565"/>
      <c r="AI45" s="565"/>
      <c r="AJ45" s="566">
        <v>9</v>
      </c>
      <c r="AK45" s="565" t="str">
        <f t="shared" si="16"/>
        <v/>
      </c>
      <c r="AL45" s="565" t="str">
        <f t="shared" si="17"/>
        <v/>
      </c>
      <c r="AM45" s="565"/>
      <c r="AN45" s="565"/>
      <c r="AO45" s="565"/>
      <c r="AP45" s="565"/>
      <c r="AQ45" s="565"/>
      <c r="AR45" s="565"/>
      <c r="AS45" s="566">
        <v>9</v>
      </c>
      <c r="AT45" s="565" t="str">
        <f t="shared" si="18"/>
        <v/>
      </c>
      <c r="AU45" s="565" t="str">
        <f t="shared" si="19"/>
        <v/>
      </c>
      <c r="AV45" s="565"/>
      <c r="AW45" s="565"/>
      <c r="AX45" s="565"/>
      <c r="AY45" s="565"/>
      <c r="AZ45" s="565"/>
      <c r="BA45" s="565"/>
      <c r="BB45" s="566">
        <v>9</v>
      </c>
      <c r="BC45" s="565" t="str">
        <f t="shared" si="20"/>
        <v/>
      </c>
      <c r="BD45" s="565" t="str">
        <f t="shared" si="21"/>
        <v/>
      </c>
      <c r="BE45" s="565"/>
      <c r="BF45" s="565"/>
      <c r="BG45" s="565"/>
      <c r="BH45" s="565"/>
      <c r="BI45" s="565"/>
      <c r="BJ45" s="565"/>
      <c r="BK45" s="566">
        <v>9</v>
      </c>
      <c r="BL45" s="565" t="str">
        <f t="shared" si="22"/>
        <v/>
      </c>
      <c r="BM45" s="565" t="str">
        <f t="shared" si="23"/>
        <v/>
      </c>
      <c r="BN45" s="565"/>
      <c r="BO45" s="565"/>
      <c r="BP45" s="565"/>
      <c r="BQ45" s="565"/>
      <c r="BR45" s="565"/>
      <c r="BS45" s="565"/>
      <c r="BT45" s="566">
        <v>9</v>
      </c>
      <c r="BU45" s="565" t="str">
        <f t="shared" si="24"/>
        <v/>
      </c>
      <c r="BV45" s="565" t="str">
        <f t="shared" si="25"/>
        <v/>
      </c>
      <c r="BW45" s="565"/>
      <c r="BX45" s="565"/>
      <c r="BY45" s="565"/>
      <c r="BZ45" s="565"/>
      <c r="CA45" s="565"/>
      <c r="CB45" s="565"/>
      <c r="CC45" s="566">
        <v>9</v>
      </c>
      <c r="CD45" s="565" t="str">
        <f t="shared" si="26"/>
        <v/>
      </c>
      <c r="CE45" s="565" t="str">
        <f t="shared" si="27"/>
        <v/>
      </c>
      <c r="CF45" s="565"/>
      <c r="CG45" s="565"/>
      <c r="CH45" s="565"/>
      <c r="CI45" s="565"/>
      <c r="CJ45" s="565"/>
      <c r="CK45" s="565"/>
      <c r="CL45" s="120"/>
    </row>
    <row r="46" spans="1:90" x14ac:dyDescent="0.25">
      <c r="A46" s="120"/>
      <c r="B46" s="1062"/>
      <c r="C46" s="1062"/>
      <c r="D46" s="1062"/>
      <c r="E46" s="1062"/>
      <c r="F46" s="1062"/>
      <c r="G46" s="1062"/>
      <c r="H46" s="1062"/>
      <c r="I46" s="566">
        <v>10</v>
      </c>
      <c r="J46" s="565" t="str">
        <f t="shared" si="10"/>
        <v/>
      </c>
      <c r="K46" s="565" t="str">
        <f t="shared" si="11"/>
        <v/>
      </c>
      <c r="L46" s="565"/>
      <c r="M46" s="565"/>
      <c r="N46" s="565"/>
      <c r="O46" s="565"/>
      <c r="P46" s="565"/>
      <c r="Q46" s="565"/>
      <c r="R46" s="566">
        <v>10</v>
      </c>
      <c r="S46" s="565" t="str">
        <f t="shared" si="12"/>
        <v/>
      </c>
      <c r="T46" s="565" t="str">
        <f t="shared" si="13"/>
        <v/>
      </c>
      <c r="U46" s="565"/>
      <c r="V46" s="565"/>
      <c r="W46" s="565"/>
      <c r="X46" s="565"/>
      <c r="Y46" s="565"/>
      <c r="Z46" s="565"/>
      <c r="AA46" s="566">
        <v>10</v>
      </c>
      <c r="AB46" s="565" t="str">
        <f t="shared" si="14"/>
        <v/>
      </c>
      <c r="AC46" s="565" t="str">
        <f t="shared" si="15"/>
        <v/>
      </c>
      <c r="AD46" s="565"/>
      <c r="AE46" s="565"/>
      <c r="AF46" s="565"/>
      <c r="AG46" s="565"/>
      <c r="AH46" s="565"/>
      <c r="AI46" s="565"/>
      <c r="AJ46" s="566">
        <v>10</v>
      </c>
      <c r="AK46" s="565" t="str">
        <f t="shared" si="16"/>
        <v/>
      </c>
      <c r="AL46" s="565" t="str">
        <f t="shared" si="17"/>
        <v/>
      </c>
      <c r="AM46" s="565"/>
      <c r="AN46" s="565"/>
      <c r="AO46" s="565"/>
      <c r="AP46" s="565"/>
      <c r="AQ46" s="565"/>
      <c r="AR46" s="565"/>
      <c r="AS46" s="566">
        <v>10</v>
      </c>
      <c r="AT46" s="565" t="str">
        <f t="shared" si="18"/>
        <v/>
      </c>
      <c r="AU46" s="565" t="str">
        <f t="shared" si="19"/>
        <v/>
      </c>
      <c r="AV46" s="565"/>
      <c r="AW46" s="565"/>
      <c r="AX46" s="565"/>
      <c r="AY46" s="565"/>
      <c r="AZ46" s="565"/>
      <c r="BA46" s="565"/>
      <c r="BB46" s="566">
        <v>10</v>
      </c>
      <c r="BC46" s="565" t="str">
        <f t="shared" si="20"/>
        <v/>
      </c>
      <c r="BD46" s="565" t="str">
        <f t="shared" si="21"/>
        <v/>
      </c>
      <c r="BE46" s="565"/>
      <c r="BF46" s="565"/>
      <c r="BG46" s="565"/>
      <c r="BH46" s="565"/>
      <c r="BI46" s="565"/>
      <c r="BJ46" s="565"/>
      <c r="BK46" s="566">
        <v>10</v>
      </c>
      <c r="BL46" s="565" t="str">
        <f t="shared" si="22"/>
        <v/>
      </c>
      <c r="BM46" s="565" t="str">
        <f t="shared" si="23"/>
        <v/>
      </c>
      <c r="BN46" s="565"/>
      <c r="BO46" s="565"/>
      <c r="BP46" s="565"/>
      <c r="BQ46" s="565"/>
      <c r="BR46" s="565"/>
      <c r="BS46" s="565"/>
      <c r="BT46" s="566">
        <v>10</v>
      </c>
      <c r="BU46" s="565" t="str">
        <f t="shared" si="24"/>
        <v/>
      </c>
      <c r="BV46" s="565" t="str">
        <f t="shared" si="25"/>
        <v/>
      </c>
      <c r="BW46" s="565"/>
      <c r="BX46" s="565"/>
      <c r="BY46" s="565"/>
      <c r="BZ46" s="565"/>
      <c r="CA46" s="565"/>
      <c r="CB46" s="565"/>
      <c r="CC46" s="566">
        <v>10</v>
      </c>
      <c r="CD46" s="565" t="str">
        <f t="shared" si="26"/>
        <v/>
      </c>
      <c r="CE46" s="565" t="str">
        <f t="shared" si="27"/>
        <v/>
      </c>
      <c r="CF46" s="565"/>
      <c r="CG46" s="565"/>
      <c r="CH46" s="565"/>
      <c r="CI46" s="565"/>
      <c r="CJ46" s="565"/>
      <c r="CK46" s="565"/>
      <c r="CL46" s="120"/>
    </row>
    <row r="47" spans="1:90" x14ac:dyDescent="0.25">
      <c r="A47" s="120"/>
      <c r="B47" s="1062"/>
      <c r="C47" s="1062"/>
      <c r="D47" s="1062"/>
      <c r="E47" s="1062"/>
      <c r="F47" s="1062"/>
      <c r="G47" s="1062"/>
      <c r="H47" s="1062"/>
      <c r="I47" s="566">
        <v>11</v>
      </c>
      <c r="J47" s="565" t="str">
        <f t="shared" si="10"/>
        <v/>
      </c>
      <c r="K47" s="565" t="str">
        <f t="shared" si="11"/>
        <v/>
      </c>
      <c r="L47" s="565"/>
      <c r="M47" s="565"/>
      <c r="N47" s="565"/>
      <c r="O47" s="565"/>
      <c r="P47" s="565"/>
      <c r="Q47" s="565"/>
      <c r="R47" s="566">
        <v>11</v>
      </c>
      <c r="S47" s="565" t="str">
        <f t="shared" si="12"/>
        <v/>
      </c>
      <c r="T47" s="565" t="str">
        <f t="shared" si="13"/>
        <v/>
      </c>
      <c r="U47" s="565"/>
      <c r="V47" s="565"/>
      <c r="W47" s="565"/>
      <c r="X47" s="565"/>
      <c r="Y47" s="565"/>
      <c r="Z47" s="565"/>
      <c r="AA47" s="566">
        <v>11</v>
      </c>
      <c r="AB47" s="565" t="str">
        <f t="shared" si="14"/>
        <v/>
      </c>
      <c r="AC47" s="565" t="str">
        <f t="shared" si="15"/>
        <v/>
      </c>
      <c r="AD47" s="565"/>
      <c r="AE47" s="565"/>
      <c r="AF47" s="565"/>
      <c r="AG47" s="565"/>
      <c r="AH47" s="565"/>
      <c r="AI47" s="565"/>
      <c r="AJ47" s="566">
        <v>11</v>
      </c>
      <c r="AK47" s="565" t="str">
        <f t="shared" si="16"/>
        <v/>
      </c>
      <c r="AL47" s="565" t="str">
        <f t="shared" si="17"/>
        <v/>
      </c>
      <c r="AM47" s="565"/>
      <c r="AN47" s="565"/>
      <c r="AO47" s="565"/>
      <c r="AP47" s="565"/>
      <c r="AQ47" s="565"/>
      <c r="AR47" s="565"/>
      <c r="AS47" s="566">
        <v>11</v>
      </c>
      <c r="AT47" s="565" t="str">
        <f t="shared" si="18"/>
        <v/>
      </c>
      <c r="AU47" s="565" t="str">
        <f t="shared" si="19"/>
        <v/>
      </c>
      <c r="AV47" s="565"/>
      <c r="AW47" s="565"/>
      <c r="AX47" s="565"/>
      <c r="AY47" s="565"/>
      <c r="AZ47" s="565"/>
      <c r="BA47" s="565"/>
      <c r="BB47" s="566">
        <v>11</v>
      </c>
      <c r="BC47" s="565" t="str">
        <f t="shared" si="20"/>
        <v/>
      </c>
      <c r="BD47" s="565" t="str">
        <f t="shared" si="21"/>
        <v/>
      </c>
      <c r="BE47" s="565"/>
      <c r="BF47" s="565"/>
      <c r="BG47" s="565"/>
      <c r="BH47" s="565"/>
      <c r="BI47" s="565"/>
      <c r="BJ47" s="565"/>
      <c r="BK47" s="566">
        <v>11</v>
      </c>
      <c r="BL47" s="565" t="str">
        <f t="shared" si="22"/>
        <v/>
      </c>
      <c r="BM47" s="565" t="str">
        <f t="shared" si="23"/>
        <v/>
      </c>
      <c r="BN47" s="565"/>
      <c r="BO47" s="565"/>
      <c r="BP47" s="565"/>
      <c r="BQ47" s="565"/>
      <c r="BR47" s="565"/>
      <c r="BS47" s="565"/>
      <c r="BT47" s="566">
        <v>11</v>
      </c>
      <c r="BU47" s="565" t="str">
        <f t="shared" si="24"/>
        <v/>
      </c>
      <c r="BV47" s="565" t="str">
        <f t="shared" si="25"/>
        <v/>
      </c>
      <c r="BW47" s="565"/>
      <c r="BX47" s="565"/>
      <c r="BY47" s="565"/>
      <c r="BZ47" s="565"/>
      <c r="CA47" s="565"/>
      <c r="CB47" s="565"/>
      <c r="CC47" s="566">
        <v>11</v>
      </c>
      <c r="CD47" s="565" t="str">
        <f t="shared" si="26"/>
        <v/>
      </c>
      <c r="CE47" s="565" t="str">
        <f t="shared" si="27"/>
        <v/>
      </c>
      <c r="CF47" s="565"/>
      <c r="CG47" s="565"/>
      <c r="CH47" s="565"/>
      <c r="CI47" s="565"/>
      <c r="CJ47" s="565"/>
      <c r="CK47" s="565"/>
      <c r="CL47" s="120"/>
    </row>
    <row r="48" spans="1:90" x14ac:dyDescent="0.25">
      <c r="A48" s="120"/>
      <c r="B48" s="1062"/>
      <c r="C48" s="1062"/>
      <c r="D48" s="1062"/>
      <c r="E48" s="1062"/>
      <c r="F48" s="1062"/>
      <c r="G48" s="1062"/>
      <c r="H48" s="1062"/>
      <c r="I48" s="566">
        <v>12</v>
      </c>
      <c r="J48" s="565" t="str">
        <f t="shared" si="10"/>
        <v/>
      </c>
      <c r="K48" s="565" t="str">
        <f t="shared" si="11"/>
        <v/>
      </c>
      <c r="L48" s="565"/>
      <c r="M48" s="565"/>
      <c r="N48" s="565"/>
      <c r="O48" s="565"/>
      <c r="P48" s="565"/>
      <c r="Q48" s="565"/>
      <c r="R48" s="566">
        <v>12</v>
      </c>
      <c r="S48" s="565" t="str">
        <f t="shared" si="12"/>
        <v/>
      </c>
      <c r="T48" s="565" t="str">
        <f t="shared" si="13"/>
        <v/>
      </c>
      <c r="U48" s="565"/>
      <c r="V48" s="565"/>
      <c r="W48" s="565"/>
      <c r="X48" s="565"/>
      <c r="Y48" s="565"/>
      <c r="Z48" s="565"/>
      <c r="AA48" s="566">
        <v>12</v>
      </c>
      <c r="AB48" s="565" t="str">
        <f t="shared" si="14"/>
        <v/>
      </c>
      <c r="AC48" s="565" t="str">
        <f t="shared" si="15"/>
        <v/>
      </c>
      <c r="AD48" s="565"/>
      <c r="AE48" s="565"/>
      <c r="AF48" s="565"/>
      <c r="AG48" s="565"/>
      <c r="AH48" s="565"/>
      <c r="AI48" s="565"/>
      <c r="AJ48" s="566">
        <v>12</v>
      </c>
      <c r="AK48" s="565" t="str">
        <f t="shared" si="16"/>
        <v/>
      </c>
      <c r="AL48" s="565" t="str">
        <f t="shared" si="17"/>
        <v/>
      </c>
      <c r="AM48" s="565"/>
      <c r="AN48" s="565"/>
      <c r="AO48" s="565"/>
      <c r="AP48" s="565"/>
      <c r="AQ48" s="565"/>
      <c r="AR48" s="565"/>
      <c r="AS48" s="566">
        <v>12</v>
      </c>
      <c r="AT48" s="565" t="str">
        <f t="shared" si="18"/>
        <v/>
      </c>
      <c r="AU48" s="565" t="str">
        <f t="shared" si="19"/>
        <v/>
      </c>
      <c r="AV48" s="565"/>
      <c r="AW48" s="565"/>
      <c r="AX48" s="565"/>
      <c r="AY48" s="565"/>
      <c r="AZ48" s="565"/>
      <c r="BA48" s="565"/>
      <c r="BB48" s="566">
        <v>12</v>
      </c>
      <c r="BC48" s="565" t="str">
        <f t="shared" si="20"/>
        <v/>
      </c>
      <c r="BD48" s="565" t="str">
        <f t="shared" si="21"/>
        <v/>
      </c>
      <c r="BE48" s="565"/>
      <c r="BF48" s="565"/>
      <c r="BG48" s="565"/>
      <c r="BH48" s="565"/>
      <c r="BI48" s="565"/>
      <c r="BJ48" s="565"/>
      <c r="BK48" s="566">
        <v>12</v>
      </c>
      <c r="BL48" s="565" t="str">
        <f t="shared" si="22"/>
        <v/>
      </c>
      <c r="BM48" s="565" t="str">
        <f t="shared" si="23"/>
        <v/>
      </c>
      <c r="BN48" s="565"/>
      <c r="BO48" s="565"/>
      <c r="BP48" s="565"/>
      <c r="BQ48" s="565"/>
      <c r="BR48" s="565"/>
      <c r="BS48" s="565"/>
      <c r="BT48" s="566">
        <v>12</v>
      </c>
      <c r="BU48" s="565" t="str">
        <f t="shared" si="24"/>
        <v/>
      </c>
      <c r="BV48" s="565" t="str">
        <f t="shared" si="25"/>
        <v/>
      </c>
      <c r="BW48" s="565"/>
      <c r="BX48" s="565"/>
      <c r="BY48" s="565"/>
      <c r="BZ48" s="565"/>
      <c r="CA48" s="565"/>
      <c r="CB48" s="565"/>
      <c r="CC48" s="566">
        <v>12</v>
      </c>
      <c r="CD48" s="565" t="str">
        <f t="shared" si="26"/>
        <v/>
      </c>
      <c r="CE48" s="565" t="str">
        <f t="shared" si="27"/>
        <v/>
      </c>
      <c r="CF48" s="565"/>
      <c r="CG48" s="565"/>
      <c r="CH48" s="565"/>
      <c r="CI48" s="565"/>
      <c r="CJ48" s="565"/>
      <c r="CK48" s="565"/>
      <c r="CL48" s="120"/>
    </row>
    <row r="49" spans="1:90" x14ac:dyDescent="0.25">
      <c r="A49" s="120"/>
      <c r="B49" s="1062"/>
      <c r="C49" s="1062"/>
      <c r="D49" s="1062"/>
      <c r="E49" s="1062"/>
      <c r="F49" s="1062"/>
      <c r="G49" s="1062"/>
      <c r="H49" s="1062"/>
      <c r="I49" s="566">
        <v>13</v>
      </c>
      <c r="J49" s="565" t="str">
        <f t="shared" si="10"/>
        <v/>
      </c>
      <c r="K49" s="565" t="str">
        <f t="shared" si="11"/>
        <v/>
      </c>
      <c r="L49" s="565"/>
      <c r="M49" s="565"/>
      <c r="N49" s="565"/>
      <c r="O49" s="565"/>
      <c r="P49" s="565"/>
      <c r="Q49" s="565"/>
      <c r="R49" s="566">
        <v>13</v>
      </c>
      <c r="S49" s="565" t="str">
        <f t="shared" si="12"/>
        <v/>
      </c>
      <c r="T49" s="565" t="str">
        <f t="shared" si="13"/>
        <v/>
      </c>
      <c r="U49" s="565"/>
      <c r="V49" s="565"/>
      <c r="W49" s="565"/>
      <c r="X49" s="565"/>
      <c r="Y49" s="565"/>
      <c r="Z49" s="565"/>
      <c r="AA49" s="566">
        <v>13</v>
      </c>
      <c r="AB49" s="565" t="str">
        <f t="shared" si="14"/>
        <v/>
      </c>
      <c r="AC49" s="565" t="str">
        <f t="shared" si="15"/>
        <v/>
      </c>
      <c r="AD49" s="565"/>
      <c r="AE49" s="565"/>
      <c r="AF49" s="565"/>
      <c r="AG49" s="565"/>
      <c r="AH49" s="565"/>
      <c r="AI49" s="565"/>
      <c r="AJ49" s="566">
        <v>13</v>
      </c>
      <c r="AK49" s="565" t="str">
        <f t="shared" si="16"/>
        <v/>
      </c>
      <c r="AL49" s="565" t="str">
        <f t="shared" si="17"/>
        <v/>
      </c>
      <c r="AM49" s="565"/>
      <c r="AN49" s="565"/>
      <c r="AO49" s="565"/>
      <c r="AP49" s="565"/>
      <c r="AQ49" s="565"/>
      <c r="AR49" s="565"/>
      <c r="AS49" s="566">
        <v>13</v>
      </c>
      <c r="AT49" s="565" t="str">
        <f t="shared" si="18"/>
        <v/>
      </c>
      <c r="AU49" s="565" t="str">
        <f t="shared" si="19"/>
        <v/>
      </c>
      <c r="AV49" s="565"/>
      <c r="AW49" s="565"/>
      <c r="AX49" s="565"/>
      <c r="AY49" s="565"/>
      <c r="AZ49" s="565"/>
      <c r="BA49" s="565"/>
      <c r="BB49" s="566">
        <v>13</v>
      </c>
      <c r="BC49" s="565" t="str">
        <f t="shared" si="20"/>
        <v/>
      </c>
      <c r="BD49" s="565" t="str">
        <f t="shared" si="21"/>
        <v/>
      </c>
      <c r="BE49" s="565"/>
      <c r="BF49" s="565"/>
      <c r="BG49" s="565"/>
      <c r="BH49" s="565"/>
      <c r="BI49" s="565"/>
      <c r="BJ49" s="565"/>
      <c r="BK49" s="566">
        <v>13</v>
      </c>
      <c r="BL49" s="565" t="str">
        <f t="shared" si="22"/>
        <v/>
      </c>
      <c r="BM49" s="565" t="str">
        <f t="shared" si="23"/>
        <v/>
      </c>
      <c r="BN49" s="565"/>
      <c r="BO49" s="565"/>
      <c r="BP49" s="565"/>
      <c r="BQ49" s="565"/>
      <c r="BR49" s="565"/>
      <c r="BS49" s="565"/>
      <c r="BT49" s="566">
        <v>13</v>
      </c>
      <c r="BU49" s="565" t="str">
        <f t="shared" si="24"/>
        <v/>
      </c>
      <c r="BV49" s="565" t="str">
        <f t="shared" si="25"/>
        <v/>
      </c>
      <c r="BW49" s="565"/>
      <c r="BX49" s="565"/>
      <c r="BY49" s="565"/>
      <c r="BZ49" s="565"/>
      <c r="CA49" s="565"/>
      <c r="CB49" s="565"/>
      <c r="CC49" s="566">
        <v>13</v>
      </c>
      <c r="CD49" s="565" t="str">
        <f t="shared" si="26"/>
        <v/>
      </c>
      <c r="CE49" s="565" t="str">
        <f t="shared" si="27"/>
        <v/>
      </c>
      <c r="CF49" s="565"/>
      <c r="CG49" s="565"/>
      <c r="CH49" s="565"/>
      <c r="CI49" s="565"/>
      <c r="CJ49" s="565"/>
      <c r="CK49" s="565"/>
      <c r="CL49" s="120"/>
    </row>
    <row r="50" spans="1:90" x14ac:dyDescent="0.25">
      <c r="A50" s="120"/>
      <c r="B50" s="1062"/>
      <c r="C50" s="1062"/>
      <c r="D50" s="1062"/>
      <c r="E50" s="1062"/>
      <c r="F50" s="1062"/>
      <c r="G50" s="1062"/>
      <c r="H50" s="1062"/>
      <c r="I50" s="566">
        <v>14</v>
      </c>
      <c r="J50" s="565" t="str">
        <f t="shared" si="10"/>
        <v/>
      </c>
      <c r="K50" s="565" t="str">
        <f t="shared" si="11"/>
        <v/>
      </c>
      <c r="L50" s="565"/>
      <c r="M50" s="565"/>
      <c r="N50" s="565"/>
      <c r="O50" s="565"/>
      <c r="P50" s="565"/>
      <c r="Q50" s="565"/>
      <c r="R50" s="566">
        <v>14</v>
      </c>
      <c r="S50" s="565" t="str">
        <f t="shared" si="12"/>
        <v/>
      </c>
      <c r="T50" s="565" t="str">
        <f t="shared" si="13"/>
        <v/>
      </c>
      <c r="U50" s="565"/>
      <c r="V50" s="565"/>
      <c r="W50" s="565"/>
      <c r="X50" s="565"/>
      <c r="Y50" s="565"/>
      <c r="Z50" s="565"/>
      <c r="AA50" s="566">
        <v>14</v>
      </c>
      <c r="AB50" s="565" t="str">
        <f t="shared" si="14"/>
        <v/>
      </c>
      <c r="AC50" s="565" t="str">
        <f t="shared" si="15"/>
        <v/>
      </c>
      <c r="AD50" s="565"/>
      <c r="AE50" s="565"/>
      <c r="AF50" s="565"/>
      <c r="AG50" s="565"/>
      <c r="AH50" s="565"/>
      <c r="AI50" s="565"/>
      <c r="AJ50" s="566">
        <v>14</v>
      </c>
      <c r="AK50" s="565" t="str">
        <f t="shared" si="16"/>
        <v/>
      </c>
      <c r="AL50" s="565" t="str">
        <f t="shared" si="17"/>
        <v/>
      </c>
      <c r="AM50" s="565"/>
      <c r="AN50" s="565"/>
      <c r="AO50" s="565"/>
      <c r="AP50" s="565"/>
      <c r="AQ50" s="565"/>
      <c r="AR50" s="565"/>
      <c r="AS50" s="566">
        <v>14</v>
      </c>
      <c r="AT50" s="565" t="str">
        <f t="shared" si="18"/>
        <v/>
      </c>
      <c r="AU50" s="565" t="str">
        <f t="shared" si="19"/>
        <v/>
      </c>
      <c r="AV50" s="565"/>
      <c r="AW50" s="565"/>
      <c r="AX50" s="565"/>
      <c r="AY50" s="565"/>
      <c r="AZ50" s="565"/>
      <c r="BA50" s="565"/>
      <c r="BB50" s="566">
        <v>14</v>
      </c>
      <c r="BC50" s="565" t="str">
        <f t="shared" si="20"/>
        <v/>
      </c>
      <c r="BD50" s="565" t="str">
        <f t="shared" si="21"/>
        <v/>
      </c>
      <c r="BE50" s="565"/>
      <c r="BF50" s="565"/>
      <c r="BG50" s="565"/>
      <c r="BH50" s="565"/>
      <c r="BI50" s="565"/>
      <c r="BJ50" s="565"/>
      <c r="BK50" s="566">
        <v>14</v>
      </c>
      <c r="BL50" s="565" t="str">
        <f t="shared" si="22"/>
        <v/>
      </c>
      <c r="BM50" s="565" t="str">
        <f t="shared" si="23"/>
        <v/>
      </c>
      <c r="BN50" s="565"/>
      <c r="BO50" s="565"/>
      <c r="BP50" s="565"/>
      <c r="BQ50" s="565"/>
      <c r="BR50" s="565"/>
      <c r="BS50" s="565"/>
      <c r="BT50" s="566">
        <v>14</v>
      </c>
      <c r="BU50" s="565" t="str">
        <f t="shared" si="24"/>
        <v/>
      </c>
      <c r="BV50" s="565" t="str">
        <f t="shared" si="25"/>
        <v/>
      </c>
      <c r="BW50" s="565"/>
      <c r="BX50" s="565"/>
      <c r="BY50" s="565"/>
      <c r="BZ50" s="565"/>
      <c r="CA50" s="565"/>
      <c r="CB50" s="565"/>
      <c r="CC50" s="566">
        <v>14</v>
      </c>
      <c r="CD50" s="565" t="str">
        <f t="shared" si="26"/>
        <v/>
      </c>
      <c r="CE50" s="565" t="str">
        <f t="shared" si="27"/>
        <v/>
      </c>
      <c r="CF50" s="565"/>
      <c r="CG50" s="565"/>
      <c r="CH50" s="565"/>
      <c r="CI50" s="565"/>
      <c r="CJ50" s="565"/>
      <c r="CK50" s="565"/>
      <c r="CL50" s="120"/>
    </row>
    <row r="51" spans="1:90" x14ac:dyDescent="0.25">
      <c r="A51" s="120"/>
      <c r="B51" s="1062"/>
      <c r="C51" s="1062"/>
      <c r="D51" s="1062"/>
      <c r="E51" s="1062"/>
      <c r="F51" s="1062"/>
      <c r="G51" s="1062"/>
      <c r="H51" s="1062"/>
      <c r="I51" s="566">
        <v>15</v>
      </c>
      <c r="J51" s="565" t="str">
        <f t="shared" si="10"/>
        <v/>
      </c>
      <c r="K51" s="565" t="str">
        <f t="shared" si="11"/>
        <v/>
      </c>
      <c r="L51" s="565"/>
      <c r="M51" s="565"/>
      <c r="N51" s="565"/>
      <c r="O51" s="565"/>
      <c r="P51" s="565"/>
      <c r="Q51" s="565"/>
      <c r="R51" s="566">
        <v>15</v>
      </c>
      <c r="S51" s="565" t="str">
        <f t="shared" si="12"/>
        <v/>
      </c>
      <c r="T51" s="565" t="str">
        <f t="shared" si="13"/>
        <v/>
      </c>
      <c r="U51" s="565"/>
      <c r="V51" s="565"/>
      <c r="W51" s="565"/>
      <c r="X51" s="565"/>
      <c r="Y51" s="565"/>
      <c r="Z51" s="565"/>
      <c r="AA51" s="566">
        <v>15</v>
      </c>
      <c r="AB51" s="565" t="str">
        <f t="shared" si="14"/>
        <v/>
      </c>
      <c r="AC51" s="565" t="str">
        <f t="shared" si="15"/>
        <v/>
      </c>
      <c r="AD51" s="565"/>
      <c r="AE51" s="565"/>
      <c r="AF51" s="565"/>
      <c r="AG51" s="565"/>
      <c r="AH51" s="565"/>
      <c r="AI51" s="565"/>
      <c r="AJ51" s="566">
        <v>15</v>
      </c>
      <c r="AK51" s="565" t="str">
        <f t="shared" si="16"/>
        <v/>
      </c>
      <c r="AL51" s="565" t="str">
        <f t="shared" si="17"/>
        <v/>
      </c>
      <c r="AM51" s="565"/>
      <c r="AN51" s="565"/>
      <c r="AO51" s="565"/>
      <c r="AP51" s="565"/>
      <c r="AQ51" s="565"/>
      <c r="AR51" s="565"/>
      <c r="AS51" s="566">
        <v>15</v>
      </c>
      <c r="AT51" s="565" t="str">
        <f t="shared" si="18"/>
        <v/>
      </c>
      <c r="AU51" s="565" t="str">
        <f t="shared" si="19"/>
        <v/>
      </c>
      <c r="AV51" s="565"/>
      <c r="AW51" s="565"/>
      <c r="AX51" s="565"/>
      <c r="AY51" s="565"/>
      <c r="AZ51" s="565"/>
      <c r="BA51" s="565"/>
      <c r="BB51" s="566">
        <v>15</v>
      </c>
      <c r="BC51" s="565" t="str">
        <f t="shared" si="20"/>
        <v/>
      </c>
      <c r="BD51" s="565" t="str">
        <f t="shared" si="21"/>
        <v/>
      </c>
      <c r="BE51" s="565"/>
      <c r="BF51" s="565"/>
      <c r="BG51" s="565"/>
      <c r="BH51" s="565"/>
      <c r="BI51" s="565"/>
      <c r="BJ51" s="565"/>
      <c r="BK51" s="566">
        <v>15</v>
      </c>
      <c r="BL51" s="565" t="str">
        <f t="shared" si="22"/>
        <v/>
      </c>
      <c r="BM51" s="565" t="str">
        <f t="shared" si="23"/>
        <v/>
      </c>
      <c r="BN51" s="565"/>
      <c r="BO51" s="565"/>
      <c r="BP51" s="565"/>
      <c r="BQ51" s="565"/>
      <c r="BR51" s="565"/>
      <c r="BS51" s="565"/>
      <c r="BT51" s="566">
        <v>15</v>
      </c>
      <c r="BU51" s="565" t="str">
        <f t="shared" si="24"/>
        <v/>
      </c>
      <c r="BV51" s="565" t="str">
        <f t="shared" si="25"/>
        <v/>
      </c>
      <c r="BW51" s="565"/>
      <c r="BX51" s="565"/>
      <c r="BY51" s="565"/>
      <c r="BZ51" s="565"/>
      <c r="CA51" s="565"/>
      <c r="CB51" s="565"/>
      <c r="CC51" s="566">
        <v>15</v>
      </c>
      <c r="CD51" s="565" t="str">
        <f t="shared" si="26"/>
        <v/>
      </c>
      <c r="CE51" s="565" t="str">
        <f t="shared" si="27"/>
        <v/>
      </c>
      <c r="CF51" s="565"/>
      <c r="CG51" s="565"/>
      <c r="CH51" s="565"/>
      <c r="CI51" s="565"/>
      <c r="CJ51" s="565"/>
      <c r="CK51" s="565"/>
      <c r="CL51" s="120"/>
    </row>
    <row r="52" spans="1:90" x14ac:dyDescent="0.25">
      <c r="A52" s="120"/>
      <c r="B52" s="1062"/>
      <c r="C52" s="1062"/>
      <c r="D52" s="1062"/>
      <c r="E52" s="1062"/>
      <c r="F52" s="1062"/>
      <c r="G52" s="1062"/>
      <c r="H52" s="1062"/>
      <c r="I52" s="566">
        <v>16</v>
      </c>
      <c r="J52" s="565" t="str">
        <f t="shared" si="10"/>
        <v/>
      </c>
      <c r="K52" s="565" t="str">
        <f t="shared" si="11"/>
        <v/>
      </c>
      <c r="L52" s="565"/>
      <c r="M52" s="565"/>
      <c r="N52" s="565"/>
      <c r="O52" s="565"/>
      <c r="P52" s="565"/>
      <c r="Q52" s="565"/>
      <c r="R52" s="566">
        <v>16</v>
      </c>
      <c r="S52" s="565" t="str">
        <f t="shared" si="12"/>
        <v/>
      </c>
      <c r="T52" s="565" t="str">
        <f t="shared" si="13"/>
        <v/>
      </c>
      <c r="U52" s="565"/>
      <c r="V52" s="565"/>
      <c r="W52" s="565"/>
      <c r="X52" s="565"/>
      <c r="Y52" s="565"/>
      <c r="Z52" s="565"/>
      <c r="AA52" s="566">
        <v>16</v>
      </c>
      <c r="AB52" s="565" t="str">
        <f t="shared" si="14"/>
        <v/>
      </c>
      <c r="AC52" s="565" t="str">
        <f t="shared" si="15"/>
        <v/>
      </c>
      <c r="AD52" s="565"/>
      <c r="AE52" s="565"/>
      <c r="AF52" s="565"/>
      <c r="AG52" s="565"/>
      <c r="AH52" s="565"/>
      <c r="AI52" s="565"/>
      <c r="AJ52" s="566">
        <v>16</v>
      </c>
      <c r="AK52" s="565" t="str">
        <f t="shared" si="16"/>
        <v/>
      </c>
      <c r="AL52" s="565" t="str">
        <f t="shared" si="17"/>
        <v/>
      </c>
      <c r="AM52" s="565"/>
      <c r="AN52" s="565"/>
      <c r="AO52" s="565"/>
      <c r="AP52" s="565"/>
      <c r="AQ52" s="565"/>
      <c r="AR52" s="565"/>
      <c r="AS52" s="566">
        <v>16</v>
      </c>
      <c r="AT52" s="565" t="str">
        <f t="shared" si="18"/>
        <v/>
      </c>
      <c r="AU52" s="565" t="str">
        <f t="shared" si="19"/>
        <v/>
      </c>
      <c r="AV52" s="565"/>
      <c r="AW52" s="565"/>
      <c r="AX52" s="565"/>
      <c r="AY52" s="565"/>
      <c r="AZ52" s="565"/>
      <c r="BA52" s="565"/>
      <c r="BB52" s="566">
        <v>16</v>
      </c>
      <c r="BC52" s="565" t="str">
        <f t="shared" si="20"/>
        <v/>
      </c>
      <c r="BD52" s="565" t="str">
        <f t="shared" si="21"/>
        <v/>
      </c>
      <c r="BE52" s="565"/>
      <c r="BF52" s="565"/>
      <c r="BG52" s="565"/>
      <c r="BH52" s="565"/>
      <c r="BI52" s="565"/>
      <c r="BJ52" s="565"/>
      <c r="BK52" s="566">
        <v>16</v>
      </c>
      <c r="BL52" s="565" t="str">
        <f t="shared" si="22"/>
        <v/>
      </c>
      <c r="BM52" s="565" t="str">
        <f t="shared" si="23"/>
        <v/>
      </c>
      <c r="BN52" s="565"/>
      <c r="BO52" s="565"/>
      <c r="BP52" s="565"/>
      <c r="BQ52" s="565"/>
      <c r="BR52" s="565"/>
      <c r="BS52" s="565"/>
      <c r="BT52" s="566">
        <v>16</v>
      </c>
      <c r="BU52" s="565" t="str">
        <f t="shared" si="24"/>
        <v/>
      </c>
      <c r="BV52" s="565" t="str">
        <f t="shared" si="25"/>
        <v/>
      </c>
      <c r="BW52" s="565"/>
      <c r="BX52" s="565"/>
      <c r="BY52" s="565"/>
      <c r="BZ52" s="565"/>
      <c r="CA52" s="565"/>
      <c r="CB52" s="565"/>
      <c r="CC52" s="566">
        <v>16</v>
      </c>
      <c r="CD52" s="565" t="str">
        <f t="shared" si="26"/>
        <v/>
      </c>
      <c r="CE52" s="565" t="str">
        <f t="shared" si="27"/>
        <v/>
      </c>
      <c r="CF52" s="565"/>
      <c r="CG52" s="565"/>
      <c r="CH52" s="565"/>
      <c r="CI52" s="565"/>
      <c r="CJ52" s="565"/>
      <c r="CK52" s="565"/>
      <c r="CL52" s="120"/>
    </row>
    <row r="53" spans="1:90" x14ac:dyDescent="0.25">
      <c r="A53" s="120"/>
      <c r="B53" s="1062"/>
      <c r="C53" s="1062"/>
      <c r="D53" s="1062"/>
      <c r="E53" s="1062"/>
      <c r="F53" s="1062"/>
      <c r="G53" s="1062"/>
      <c r="H53" s="1062"/>
      <c r="I53" s="566">
        <v>17</v>
      </c>
      <c r="J53" s="565" t="str">
        <f t="shared" si="10"/>
        <v/>
      </c>
      <c r="K53" s="565" t="str">
        <f t="shared" si="11"/>
        <v/>
      </c>
      <c r="L53" s="565"/>
      <c r="M53" s="565"/>
      <c r="N53" s="565"/>
      <c r="O53" s="565"/>
      <c r="P53" s="565"/>
      <c r="Q53" s="565"/>
      <c r="R53" s="566">
        <v>17</v>
      </c>
      <c r="S53" s="565" t="str">
        <f t="shared" si="12"/>
        <v/>
      </c>
      <c r="T53" s="565" t="str">
        <f t="shared" si="13"/>
        <v/>
      </c>
      <c r="U53" s="565"/>
      <c r="V53" s="565"/>
      <c r="W53" s="565"/>
      <c r="X53" s="565"/>
      <c r="Y53" s="565"/>
      <c r="Z53" s="565"/>
      <c r="AA53" s="566">
        <v>17</v>
      </c>
      <c r="AB53" s="565" t="str">
        <f t="shared" si="14"/>
        <v/>
      </c>
      <c r="AC53" s="565" t="str">
        <f t="shared" si="15"/>
        <v/>
      </c>
      <c r="AD53" s="565"/>
      <c r="AE53" s="565"/>
      <c r="AF53" s="565"/>
      <c r="AG53" s="565"/>
      <c r="AH53" s="565"/>
      <c r="AI53" s="565"/>
      <c r="AJ53" s="566">
        <v>17</v>
      </c>
      <c r="AK53" s="565" t="str">
        <f t="shared" si="16"/>
        <v/>
      </c>
      <c r="AL53" s="565" t="str">
        <f t="shared" si="17"/>
        <v/>
      </c>
      <c r="AM53" s="565"/>
      <c r="AN53" s="565"/>
      <c r="AO53" s="565"/>
      <c r="AP53" s="565"/>
      <c r="AQ53" s="565"/>
      <c r="AR53" s="565"/>
      <c r="AS53" s="566">
        <v>17</v>
      </c>
      <c r="AT53" s="565" t="str">
        <f t="shared" si="18"/>
        <v/>
      </c>
      <c r="AU53" s="565" t="str">
        <f t="shared" si="19"/>
        <v/>
      </c>
      <c r="AV53" s="565"/>
      <c r="AW53" s="565"/>
      <c r="AX53" s="565"/>
      <c r="AY53" s="565"/>
      <c r="AZ53" s="565"/>
      <c r="BA53" s="565"/>
      <c r="BB53" s="566">
        <v>17</v>
      </c>
      <c r="BC53" s="565" t="str">
        <f t="shared" si="20"/>
        <v/>
      </c>
      <c r="BD53" s="565" t="str">
        <f t="shared" si="21"/>
        <v/>
      </c>
      <c r="BE53" s="565"/>
      <c r="BF53" s="565"/>
      <c r="BG53" s="565"/>
      <c r="BH53" s="565"/>
      <c r="BI53" s="565"/>
      <c r="BJ53" s="565"/>
      <c r="BK53" s="566">
        <v>17</v>
      </c>
      <c r="BL53" s="565" t="str">
        <f t="shared" si="22"/>
        <v/>
      </c>
      <c r="BM53" s="565" t="str">
        <f t="shared" si="23"/>
        <v/>
      </c>
      <c r="BN53" s="565"/>
      <c r="BO53" s="565"/>
      <c r="BP53" s="565"/>
      <c r="BQ53" s="565"/>
      <c r="BR53" s="565"/>
      <c r="BS53" s="565"/>
      <c r="BT53" s="566">
        <v>17</v>
      </c>
      <c r="BU53" s="565" t="str">
        <f t="shared" si="24"/>
        <v/>
      </c>
      <c r="BV53" s="565" t="str">
        <f t="shared" si="25"/>
        <v/>
      </c>
      <c r="BW53" s="565"/>
      <c r="BX53" s="565"/>
      <c r="BY53" s="565"/>
      <c r="BZ53" s="565"/>
      <c r="CA53" s="565"/>
      <c r="CB53" s="565"/>
      <c r="CC53" s="566">
        <v>17</v>
      </c>
      <c r="CD53" s="565" t="str">
        <f t="shared" si="26"/>
        <v/>
      </c>
      <c r="CE53" s="565" t="str">
        <f t="shared" si="27"/>
        <v/>
      </c>
      <c r="CF53" s="565"/>
      <c r="CG53" s="565"/>
      <c r="CH53" s="565"/>
      <c r="CI53" s="565"/>
      <c r="CJ53" s="565"/>
      <c r="CK53" s="565"/>
      <c r="CL53" s="120"/>
    </row>
    <row r="54" spans="1:90" x14ac:dyDescent="0.25">
      <c r="A54" s="120"/>
      <c r="B54" s="1062"/>
      <c r="C54" s="1062"/>
      <c r="D54" s="1062"/>
      <c r="E54" s="1062"/>
      <c r="F54" s="1062"/>
      <c r="G54" s="1062"/>
      <c r="H54" s="1062"/>
      <c r="I54" s="566">
        <v>18</v>
      </c>
      <c r="J54" s="565" t="str">
        <f t="shared" si="10"/>
        <v/>
      </c>
      <c r="K54" s="565" t="str">
        <f t="shared" si="11"/>
        <v/>
      </c>
      <c r="L54" s="565"/>
      <c r="M54" s="565"/>
      <c r="N54" s="565"/>
      <c r="O54" s="565"/>
      <c r="P54" s="565"/>
      <c r="Q54" s="565"/>
      <c r="R54" s="566">
        <v>18</v>
      </c>
      <c r="S54" s="565" t="str">
        <f t="shared" si="12"/>
        <v/>
      </c>
      <c r="T54" s="565" t="str">
        <f t="shared" si="13"/>
        <v/>
      </c>
      <c r="U54" s="565"/>
      <c r="V54" s="565"/>
      <c r="W54" s="565"/>
      <c r="X54" s="565"/>
      <c r="Y54" s="565"/>
      <c r="Z54" s="565"/>
      <c r="AA54" s="566">
        <v>18</v>
      </c>
      <c r="AB54" s="565" t="str">
        <f t="shared" si="14"/>
        <v/>
      </c>
      <c r="AC54" s="565" t="str">
        <f t="shared" si="15"/>
        <v/>
      </c>
      <c r="AD54" s="565"/>
      <c r="AE54" s="565"/>
      <c r="AF54" s="565"/>
      <c r="AG54" s="565"/>
      <c r="AH54" s="565"/>
      <c r="AI54" s="565"/>
      <c r="AJ54" s="566">
        <v>18</v>
      </c>
      <c r="AK54" s="565" t="str">
        <f t="shared" si="16"/>
        <v/>
      </c>
      <c r="AL54" s="565" t="str">
        <f t="shared" si="17"/>
        <v/>
      </c>
      <c r="AM54" s="565"/>
      <c r="AN54" s="565"/>
      <c r="AO54" s="565"/>
      <c r="AP54" s="565"/>
      <c r="AQ54" s="565"/>
      <c r="AR54" s="565"/>
      <c r="AS54" s="566">
        <v>18</v>
      </c>
      <c r="AT54" s="565" t="str">
        <f t="shared" si="18"/>
        <v/>
      </c>
      <c r="AU54" s="565" t="str">
        <f t="shared" si="19"/>
        <v/>
      </c>
      <c r="AV54" s="565"/>
      <c r="AW54" s="565"/>
      <c r="AX54" s="565"/>
      <c r="AY54" s="565"/>
      <c r="AZ54" s="565"/>
      <c r="BA54" s="565"/>
      <c r="BB54" s="566">
        <v>18</v>
      </c>
      <c r="BC54" s="565" t="str">
        <f t="shared" si="20"/>
        <v/>
      </c>
      <c r="BD54" s="565" t="str">
        <f t="shared" si="21"/>
        <v/>
      </c>
      <c r="BE54" s="565"/>
      <c r="BF54" s="565"/>
      <c r="BG54" s="565"/>
      <c r="BH54" s="565"/>
      <c r="BI54" s="565"/>
      <c r="BJ54" s="565"/>
      <c r="BK54" s="566">
        <v>18</v>
      </c>
      <c r="BL54" s="565" t="str">
        <f t="shared" si="22"/>
        <v/>
      </c>
      <c r="BM54" s="565" t="str">
        <f t="shared" si="23"/>
        <v/>
      </c>
      <c r="BN54" s="565"/>
      <c r="BO54" s="565"/>
      <c r="BP54" s="565"/>
      <c r="BQ54" s="565"/>
      <c r="BR54" s="565"/>
      <c r="BS54" s="565"/>
      <c r="BT54" s="566">
        <v>18</v>
      </c>
      <c r="BU54" s="565" t="str">
        <f t="shared" si="24"/>
        <v/>
      </c>
      <c r="BV54" s="565" t="str">
        <f t="shared" si="25"/>
        <v/>
      </c>
      <c r="BW54" s="565"/>
      <c r="BX54" s="565"/>
      <c r="BY54" s="565"/>
      <c r="BZ54" s="565"/>
      <c r="CA54" s="565"/>
      <c r="CB54" s="565"/>
      <c r="CC54" s="566">
        <v>18</v>
      </c>
      <c r="CD54" s="565" t="str">
        <f t="shared" si="26"/>
        <v/>
      </c>
      <c r="CE54" s="565" t="str">
        <f t="shared" si="27"/>
        <v/>
      </c>
      <c r="CF54" s="565"/>
      <c r="CG54" s="565"/>
      <c r="CH54" s="565"/>
      <c r="CI54" s="565"/>
      <c r="CJ54" s="565"/>
      <c r="CK54" s="565"/>
      <c r="CL54" s="120"/>
    </row>
    <row r="55" spans="1:90" x14ac:dyDescent="0.25">
      <c r="A55" s="120"/>
      <c r="B55" s="1062"/>
      <c r="C55" s="1062"/>
      <c r="D55" s="1062"/>
      <c r="E55" s="1062"/>
      <c r="F55" s="1062"/>
      <c r="G55" s="1062"/>
      <c r="H55" s="1062"/>
      <c r="I55" s="566">
        <v>19</v>
      </c>
      <c r="J55" s="565" t="str">
        <f t="shared" si="10"/>
        <v/>
      </c>
      <c r="K55" s="565" t="str">
        <f t="shared" si="11"/>
        <v/>
      </c>
      <c r="L55" s="565"/>
      <c r="M55" s="565"/>
      <c r="N55" s="565"/>
      <c r="O55" s="565"/>
      <c r="P55" s="565"/>
      <c r="Q55" s="565"/>
      <c r="R55" s="566">
        <v>19</v>
      </c>
      <c r="S55" s="565" t="str">
        <f t="shared" si="12"/>
        <v/>
      </c>
      <c r="T55" s="565" t="str">
        <f t="shared" si="13"/>
        <v/>
      </c>
      <c r="U55" s="565"/>
      <c r="V55" s="565"/>
      <c r="W55" s="565"/>
      <c r="X55" s="565"/>
      <c r="Y55" s="565"/>
      <c r="Z55" s="565"/>
      <c r="AA55" s="566">
        <v>19</v>
      </c>
      <c r="AB55" s="565" t="str">
        <f t="shared" si="14"/>
        <v/>
      </c>
      <c r="AC55" s="565" t="str">
        <f t="shared" si="15"/>
        <v/>
      </c>
      <c r="AD55" s="565"/>
      <c r="AE55" s="565"/>
      <c r="AF55" s="565"/>
      <c r="AG55" s="565"/>
      <c r="AH55" s="565"/>
      <c r="AI55" s="565"/>
      <c r="AJ55" s="566">
        <v>19</v>
      </c>
      <c r="AK55" s="565" t="str">
        <f t="shared" si="16"/>
        <v/>
      </c>
      <c r="AL55" s="565" t="str">
        <f t="shared" si="17"/>
        <v/>
      </c>
      <c r="AM55" s="565"/>
      <c r="AN55" s="565"/>
      <c r="AO55" s="565"/>
      <c r="AP55" s="565"/>
      <c r="AQ55" s="565"/>
      <c r="AR55" s="565"/>
      <c r="AS55" s="566">
        <v>19</v>
      </c>
      <c r="AT55" s="565" t="str">
        <f t="shared" si="18"/>
        <v/>
      </c>
      <c r="AU55" s="565" t="str">
        <f t="shared" si="19"/>
        <v/>
      </c>
      <c r="AV55" s="565"/>
      <c r="AW55" s="565"/>
      <c r="AX55" s="565"/>
      <c r="AY55" s="565"/>
      <c r="AZ55" s="565"/>
      <c r="BA55" s="565"/>
      <c r="BB55" s="566">
        <v>19</v>
      </c>
      <c r="BC55" s="565" t="str">
        <f t="shared" si="20"/>
        <v/>
      </c>
      <c r="BD55" s="565" t="str">
        <f t="shared" si="21"/>
        <v/>
      </c>
      <c r="BE55" s="565"/>
      <c r="BF55" s="565"/>
      <c r="BG55" s="565"/>
      <c r="BH55" s="565"/>
      <c r="BI55" s="565"/>
      <c r="BJ55" s="565"/>
      <c r="BK55" s="566">
        <v>19</v>
      </c>
      <c r="BL55" s="565" t="str">
        <f t="shared" si="22"/>
        <v/>
      </c>
      <c r="BM55" s="565" t="str">
        <f t="shared" si="23"/>
        <v/>
      </c>
      <c r="BN55" s="565"/>
      <c r="BO55" s="565"/>
      <c r="BP55" s="565"/>
      <c r="BQ55" s="565"/>
      <c r="BR55" s="565"/>
      <c r="BS55" s="565"/>
      <c r="BT55" s="566">
        <v>19</v>
      </c>
      <c r="BU55" s="565" t="str">
        <f t="shared" si="24"/>
        <v/>
      </c>
      <c r="BV55" s="565" t="str">
        <f t="shared" si="25"/>
        <v/>
      </c>
      <c r="BW55" s="565"/>
      <c r="BX55" s="565"/>
      <c r="BY55" s="565"/>
      <c r="BZ55" s="565"/>
      <c r="CA55" s="565"/>
      <c r="CB55" s="565"/>
      <c r="CC55" s="566">
        <v>19</v>
      </c>
      <c r="CD55" s="565" t="str">
        <f t="shared" si="26"/>
        <v/>
      </c>
      <c r="CE55" s="565" t="str">
        <f t="shared" si="27"/>
        <v/>
      </c>
      <c r="CF55" s="565"/>
      <c r="CG55" s="565"/>
      <c r="CH55" s="565"/>
      <c r="CI55" s="565"/>
      <c r="CJ55" s="565"/>
      <c r="CK55" s="565"/>
      <c r="CL55" s="120"/>
    </row>
    <row r="56" spans="1:90" x14ac:dyDescent="0.25">
      <c r="A56" s="120"/>
      <c r="B56" s="1062"/>
      <c r="C56" s="1062"/>
      <c r="D56" s="1062"/>
      <c r="E56" s="1062"/>
      <c r="F56" s="1062"/>
      <c r="G56" s="1062"/>
      <c r="H56" s="1062"/>
      <c r="I56" s="566">
        <v>20</v>
      </c>
      <c r="J56" s="565" t="str">
        <f t="shared" si="10"/>
        <v/>
      </c>
      <c r="K56" s="565" t="str">
        <f t="shared" si="11"/>
        <v/>
      </c>
      <c r="L56" s="565"/>
      <c r="M56" s="565"/>
      <c r="N56" s="565"/>
      <c r="O56" s="565"/>
      <c r="P56" s="565"/>
      <c r="Q56" s="565"/>
      <c r="R56" s="566">
        <v>20</v>
      </c>
      <c r="S56" s="565" t="str">
        <f t="shared" si="12"/>
        <v/>
      </c>
      <c r="T56" s="565" t="str">
        <f t="shared" si="13"/>
        <v/>
      </c>
      <c r="U56" s="565"/>
      <c r="V56" s="565"/>
      <c r="W56" s="565"/>
      <c r="X56" s="565"/>
      <c r="Y56" s="565"/>
      <c r="Z56" s="565"/>
      <c r="AA56" s="566">
        <v>20</v>
      </c>
      <c r="AB56" s="565" t="str">
        <f t="shared" si="14"/>
        <v/>
      </c>
      <c r="AC56" s="565" t="str">
        <f t="shared" si="15"/>
        <v/>
      </c>
      <c r="AD56" s="565"/>
      <c r="AE56" s="565"/>
      <c r="AF56" s="565"/>
      <c r="AG56" s="565"/>
      <c r="AH56" s="565"/>
      <c r="AI56" s="565"/>
      <c r="AJ56" s="566">
        <v>20</v>
      </c>
      <c r="AK56" s="565" t="str">
        <f t="shared" si="16"/>
        <v/>
      </c>
      <c r="AL56" s="565" t="str">
        <f t="shared" si="17"/>
        <v/>
      </c>
      <c r="AM56" s="565"/>
      <c r="AN56" s="565"/>
      <c r="AO56" s="565"/>
      <c r="AP56" s="565"/>
      <c r="AQ56" s="565"/>
      <c r="AR56" s="565"/>
      <c r="AS56" s="566">
        <v>20</v>
      </c>
      <c r="AT56" s="565" t="str">
        <f t="shared" si="18"/>
        <v/>
      </c>
      <c r="AU56" s="565" t="str">
        <f t="shared" si="19"/>
        <v/>
      </c>
      <c r="AV56" s="565"/>
      <c r="AW56" s="565"/>
      <c r="AX56" s="565"/>
      <c r="AY56" s="565"/>
      <c r="AZ56" s="565"/>
      <c r="BA56" s="565"/>
      <c r="BB56" s="566">
        <v>20</v>
      </c>
      <c r="BC56" s="565" t="str">
        <f t="shared" si="20"/>
        <v/>
      </c>
      <c r="BD56" s="565" t="str">
        <f t="shared" si="21"/>
        <v/>
      </c>
      <c r="BE56" s="565"/>
      <c r="BF56" s="565"/>
      <c r="BG56" s="565"/>
      <c r="BH56" s="565"/>
      <c r="BI56" s="565"/>
      <c r="BJ56" s="565"/>
      <c r="BK56" s="566">
        <v>20</v>
      </c>
      <c r="BL56" s="565" t="str">
        <f t="shared" si="22"/>
        <v/>
      </c>
      <c r="BM56" s="565" t="str">
        <f t="shared" si="23"/>
        <v/>
      </c>
      <c r="BN56" s="565"/>
      <c r="BO56" s="565"/>
      <c r="BP56" s="565"/>
      <c r="BQ56" s="565"/>
      <c r="BR56" s="565"/>
      <c r="BS56" s="565"/>
      <c r="BT56" s="566">
        <v>20</v>
      </c>
      <c r="BU56" s="565" t="str">
        <f t="shared" si="24"/>
        <v/>
      </c>
      <c r="BV56" s="565" t="str">
        <f t="shared" si="25"/>
        <v/>
      </c>
      <c r="BW56" s="565"/>
      <c r="BX56" s="565"/>
      <c r="BY56" s="565"/>
      <c r="BZ56" s="565"/>
      <c r="CA56" s="565"/>
      <c r="CB56" s="565"/>
      <c r="CC56" s="566">
        <v>20</v>
      </c>
      <c r="CD56" s="565" t="str">
        <f t="shared" si="26"/>
        <v/>
      </c>
      <c r="CE56" s="565" t="str">
        <f t="shared" si="27"/>
        <v/>
      </c>
      <c r="CF56" s="565"/>
      <c r="CG56" s="565"/>
      <c r="CH56" s="565"/>
      <c r="CI56" s="565"/>
      <c r="CJ56" s="565"/>
      <c r="CK56" s="565"/>
      <c r="CL56" s="120"/>
    </row>
    <row r="57" spans="1:90" x14ac:dyDescent="0.25">
      <c r="A57" s="120"/>
      <c r="B57" s="1062"/>
      <c r="C57" s="1062"/>
      <c r="D57" s="1062"/>
      <c r="E57" s="1062"/>
      <c r="F57" s="1062"/>
      <c r="G57" s="1062"/>
      <c r="H57" s="1062"/>
      <c r="I57" s="566">
        <v>21</v>
      </c>
      <c r="J57" s="565" t="str">
        <f t="shared" si="10"/>
        <v/>
      </c>
      <c r="K57" s="565" t="str">
        <f t="shared" si="11"/>
        <v/>
      </c>
      <c r="L57" s="565"/>
      <c r="M57" s="565"/>
      <c r="N57" s="565"/>
      <c r="O57" s="565"/>
      <c r="P57" s="565"/>
      <c r="Q57" s="565"/>
      <c r="R57" s="566">
        <v>21</v>
      </c>
      <c r="S57" s="565" t="str">
        <f t="shared" si="12"/>
        <v/>
      </c>
      <c r="T57" s="565" t="str">
        <f t="shared" si="13"/>
        <v/>
      </c>
      <c r="U57" s="565"/>
      <c r="V57" s="565"/>
      <c r="W57" s="565"/>
      <c r="X57" s="565"/>
      <c r="Y57" s="565"/>
      <c r="Z57" s="565"/>
      <c r="AA57" s="566">
        <v>21</v>
      </c>
      <c r="AB57" s="565" t="str">
        <f t="shared" si="14"/>
        <v/>
      </c>
      <c r="AC57" s="565" t="str">
        <f t="shared" si="15"/>
        <v/>
      </c>
      <c r="AD57" s="565"/>
      <c r="AE57" s="565"/>
      <c r="AF57" s="565"/>
      <c r="AG57" s="565"/>
      <c r="AH57" s="565"/>
      <c r="AI57" s="565"/>
      <c r="AJ57" s="566">
        <v>21</v>
      </c>
      <c r="AK57" s="565" t="str">
        <f t="shared" si="16"/>
        <v/>
      </c>
      <c r="AL57" s="565" t="str">
        <f t="shared" si="17"/>
        <v/>
      </c>
      <c r="AM57" s="565"/>
      <c r="AN57" s="565"/>
      <c r="AO57" s="565"/>
      <c r="AP57" s="565"/>
      <c r="AQ57" s="565"/>
      <c r="AR57" s="565"/>
      <c r="AS57" s="566">
        <v>21</v>
      </c>
      <c r="AT57" s="565" t="str">
        <f t="shared" si="18"/>
        <v/>
      </c>
      <c r="AU57" s="565" t="str">
        <f t="shared" si="19"/>
        <v/>
      </c>
      <c r="AV57" s="565"/>
      <c r="AW57" s="565"/>
      <c r="AX57" s="565"/>
      <c r="AY57" s="565"/>
      <c r="AZ57" s="565"/>
      <c r="BA57" s="565"/>
      <c r="BB57" s="566">
        <v>21</v>
      </c>
      <c r="BC57" s="565" t="str">
        <f t="shared" si="20"/>
        <v/>
      </c>
      <c r="BD57" s="565" t="str">
        <f t="shared" si="21"/>
        <v/>
      </c>
      <c r="BE57" s="565"/>
      <c r="BF57" s="565"/>
      <c r="BG57" s="565"/>
      <c r="BH57" s="565"/>
      <c r="BI57" s="565"/>
      <c r="BJ57" s="565"/>
      <c r="BK57" s="566">
        <v>21</v>
      </c>
      <c r="BL57" s="565" t="str">
        <f t="shared" si="22"/>
        <v/>
      </c>
      <c r="BM57" s="565" t="str">
        <f t="shared" si="23"/>
        <v/>
      </c>
      <c r="BN57" s="565"/>
      <c r="BO57" s="565"/>
      <c r="BP57" s="565"/>
      <c r="BQ57" s="565"/>
      <c r="BR57" s="565"/>
      <c r="BS57" s="565"/>
      <c r="BT57" s="566">
        <v>21</v>
      </c>
      <c r="BU57" s="565" t="str">
        <f t="shared" si="24"/>
        <v/>
      </c>
      <c r="BV57" s="565" t="str">
        <f t="shared" si="25"/>
        <v/>
      </c>
      <c r="BW57" s="565"/>
      <c r="BX57" s="565"/>
      <c r="BY57" s="565"/>
      <c r="BZ57" s="565"/>
      <c r="CA57" s="565"/>
      <c r="CB57" s="565"/>
      <c r="CC57" s="566">
        <v>21</v>
      </c>
      <c r="CD57" s="565" t="str">
        <f t="shared" si="26"/>
        <v/>
      </c>
      <c r="CE57" s="565" t="str">
        <f t="shared" si="27"/>
        <v/>
      </c>
      <c r="CF57" s="565"/>
      <c r="CG57" s="565"/>
      <c r="CH57" s="565"/>
      <c r="CI57" s="565"/>
      <c r="CJ57" s="565"/>
      <c r="CK57" s="565"/>
      <c r="CL57" s="120"/>
    </row>
    <row r="58" spans="1:90" x14ac:dyDescent="0.25">
      <c r="A58" s="120"/>
      <c r="B58" s="1062"/>
      <c r="C58" s="1062"/>
      <c r="D58" s="1062"/>
      <c r="E58" s="1062"/>
      <c r="F58" s="1062"/>
      <c r="G58" s="1062"/>
      <c r="H58" s="1062"/>
      <c r="I58" s="566">
        <v>22</v>
      </c>
      <c r="J58" s="565" t="str">
        <f t="shared" si="10"/>
        <v/>
      </c>
      <c r="K58" s="565" t="str">
        <f t="shared" si="11"/>
        <v/>
      </c>
      <c r="L58" s="565"/>
      <c r="M58" s="565"/>
      <c r="N58" s="565"/>
      <c r="O58" s="565"/>
      <c r="P58" s="565"/>
      <c r="Q58" s="565"/>
      <c r="R58" s="566">
        <v>22</v>
      </c>
      <c r="S58" s="565" t="str">
        <f t="shared" si="12"/>
        <v/>
      </c>
      <c r="T58" s="565" t="str">
        <f t="shared" si="13"/>
        <v/>
      </c>
      <c r="U58" s="565"/>
      <c r="V58" s="565"/>
      <c r="W58" s="565"/>
      <c r="X58" s="565"/>
      <c r="Y58" s="565"/>
      <c r="Z58" s="565"/>
      <c r="AA58" s="566">
        <v>22</v>
      </c>
      <c r="AB58" s="565" t="str">
        <f t="shared" si="14"/>
        <v/>
      </c>
      <c r="AC58" s="565" t="str">
        <f t="shared" si="15"/>
        <v/>
      </c>
      <c r="AD58" s="565"/>
      <c r="AE58" s="565"/>
      <c r="AF58" s="565"/>
      <c r="AG58" s="565"/>
      <c r="AH58" s="565"/>
      <c r="AI58" s="565"/>
      <c r="AJ58" s="566">
        <v>22</v>
      </c>
      <c r="AK58" s="565" t="str">
        <f t="shared" si="16"/>
        <v/>
      </c>
      <c r="AL58" s="565" t="str">
        <f t="shared" si="17"/>
        <v/>
      </c>
      <c r="AM58" s="565"/>
      <c r="AN58" s="565"/>
      <c r="AO58" s="565"/>
      <c r="AP58" s="565"/>
      <c r="AQ58" s="565"/>
      <c r="AR58" s="565"/>
      <c r="AS58" s="566">
        <v>22</v>
      </c>
      <c r="AT58" s="565" t="str">
        <f t="shared" si="18"/>
        <v/>
      </c>
      <c r="AU58" s="565" t="str">
        <f t="shared" si="19"/>
        <v/>
      </c>
      <c r="AV58" s="565"/>
      <c r="AW58" s="565"/>
      <c r="AX58" s="565"/>
      <c r="AY58" s="565"/>
      <c r="AZ58" s="565"/>
      <c r="BA58" s="565"/>
      <c r="BB58" s="566">
        <v>22</v>
      </c>
      <c r="BC58" s="565" t="str">
        <f t="shared" si="20"/>
        <v/>
      </c>
      <c r="BD58" s="565" t="str">
        <f t="shared" si="21"/>
        <v/>
      </c>
      <c r="BE58" s="565"/>
      <c r="BF58" s="565"/>
      <c r="BG58" s="565"/>
      <c r="BH58" s="565"/>
      <c r="BI58" s="565"/>
      <c r="BJ58" s="565"/>
      <c r="BK58" s="566">
        <v>22</v>
      </c>
      <c r="BL58" s="565" t="str">
        <f t="shared" si="22"/>
        <v/>
      </c>
      <c r="BM58" s="565" t="str">
        <f t="shared" si="23"/>
        <v/>
      </c>
      <c r="BN58" s="565"/>
      <c r="BO58" s="565"/>
      <c r="BP58" s="565"/>
      <c r="BQ58" s="565"/>
      <c r="BR58" s="565"/>
      <c r="BS58" s="565"/>
      <c r="BT58" s="566">
        <v>22</v>
      </c>
      <c r="BU58" s="565" t="str">
        <f t="shared" si="24"/>
        <v/>
      </c>
      <c r="BV58" s="565" t="str">
        <f t="shared" si="25"/>
        <v/>
      </c>
      <c r="BW58" s="565"/>
      <c r="BX58" s="565"/>
      <c r="BY58" s="565"/>
      <c r="BZ58" s="565"/>
      <c r="CA58" s="565"/>
      <c r="CB58" s="565"/>
      <c r="CC58" s="566">
        <v>22</v>
      </c>
      <c r="CD58" s="565" t="str">
        <f t="shared" si="26"/>
        <v/>
      </c>
      <c r="CE58" s="565" t="str">
        <f t="shared" si="27"/>
        <v/>
      </c>
      <c r="CF58" s="565"/>
      <c r="CG58" s="565"/>
      <c r="CH58" s="565"/>
      <c r="CI58" s="565"/>
      <c r="CJ58" s="565"/>
      <c r="CK58" s="565"/>
      <c r="CL58" s="120"/>
    </row>
    <row r="59" spans="1:90" x14ac:dyDescent="0.25">
      <c r="A59" s="120"/>
      <c r="B59" s="1062"/>
      <c r="C59" s="1062"/>
      <c r="D59" s="1062"/>
      <c r="E59" s="1062"/>
      <c r="F59" s="1062"/>
      <c r="G59" s="1062"/>
      <c r="H59" s="1062"/>
      <c r="I59" s="566">
        <v>23</v>
      </c>
      <c r="J59" s="565" t="str">
        <f t="shared" si="10"/>
        <v/>
      </c>
      <c r="K59" s="565" t="str">
        <f t="shared" si="11"/>
        <v/>
      </c>
      <c r="L59" s="565"/>
      <c r="M59" s="565"/>
      <c r="N59" s="565"/>
      <c r="O59" s="565"/>
      <c r="P59" s="565"/>
      <c r="Q59" s="565"/>
      <c r="R59" s="566">
        <v>23</v>
      </c>
      <c r="S59" s="565" t="str">
        <f t="shared" si="12"/>
        <v/>
      </c>
      <c r="T59" s="565" t="str">
        <f t="shared" si="13"/>
        <v/>
      </c>
      <c r="U59" s="565"/>
      <c r="V59" s="565"/>
      <c r="W59" s="565"/>
      <c r="X59" s="565"/>
      <c r="Y59" s="565"/>
      <c r="Z59" s="565"/>
      <c r="AA59" s="566">
        <v>23</v>
      </c>
      <c r="AB59" s="565" t="str">
        <f t="shared" si="14"/>
        <v/>
      </c>
      <c r="AC59" s="565" t="str">
        <f t="shared" si="15"/>
        <v/>
      </c>
      <c r="AD59" s="565"/>
      <c r="AE59" s="565"/>
      <c r="AF59" s="565"/>
      <c r="AG59" s="565"/>
      <c r="AH59" s="565"/>
      <c r="AI59" s="565"/>
      <c r="AJ59" s="566">
        <v>23</v>
      </c>
      <c r="AK59" s="565" t="str">
        <f t="shared" si="16"/>
        <v/>
      </c>
      <c r="AL59" s="565" t="str">
        <f t="shared" si="17"/>
        <v/>
      </c>
      <c r="AM59" s="565"/>
      <c r="AN59" s="565"/>
      <c r="AO59" s="565"/>
      <c r="AP59" s="565"/>
      <c r="AQ59" s="565"/>
      <c r="AR59" s="565"/>
      <c r="AS59" s="566">
        <v>23</v>
      </c>
      <c r="AT59" s="565" t="str">
        <f t="shared" si="18"/>
        <v/>
      </c>
      <c r="AU59" s="565" t="str">
        <f t="shared" si="19"/>
        <v/>
      </c>
      <c r="AV59" s="565"/>
      <c r="AW59" s="565"/>
      <c r="AX59" s="565"/>
      <c r="AY59" s="565"/>
      <c r="AZ59" s="565"/>
      <c r="BA59" s="565"/>
      <c r="BB59" s="566">
        <v>23</v>
      </c>
      <c r="BC59" s="565" t="str">
        <f t="shared" si="20"/>
        <v/>
      </c>
      <c r="BD59" s="565" t="str">
        <f t="shared" si="21"/>
        <v/>
      </c>
      <c r="BE59" s="565"/>
      <c r="BF59" s="565"/>
      <c r="BG59" s="565"/>
      <c r="BH59" s="565"/>
      <c r="BI59" s="565"/>
      <c r="BJ59" s="565"/>
      <c r="BK59" s="566">
        <v>23</v>
      </c>
      <c r="BL59" s="565" t="str">
        <f t="shared" si="22"/>
        <v/>
      </c>
      <c r="BM59" s="565" t="str">
        <f t="shared" si="23"/>
        <v/>
      </c>
      <c r="BN59" s="565"/>
      <c r="BO59" s="565"/>
      <c r="BP59" s="565"/>
      <c r="BQ59" s="565"/>
      <c r="BR59" s="565"/>
      <c r="BS59" s="565"/>
      <c r="BT59" s="566">
        <v>23</v>
      </c>
      <c r="BU59" s="565" t="str">
        <f t="shared" si="24"/>
        <v/>
      </c>
      <c r="BV59" s="565" t="str">
        <f t="shared" si="25"/>
        <v/>
      </c>
      <c r="BW59" s="565"/>
      <c r="BX59" s="565"/>
      <c r="BY59" s="565"/>
      <c r="BZ59" s="565"/>
      <c r="CA59" s="565"/>
      <c r="CB59" s="565"/>
      <c r="CC59" s="566">
        <v>23</v>
      </c>
      <c r="CD59" s="565" t="str">
        <f t="shared" si="26"/>
        <v/>
      </c>
      <c r="CE59" s="565" t="str">
        <f t="shared" si="27"/>
        <v/>
      </c>
      <c r="CF59" s="565"/>
      <c r="CG59" s="565"/>
      <c r="CH59" s="565"/>
      <c r="CI59" s="565"/>
      <c r="CJ59" s="565"/>
      <c r="CK59" s="565"/>
      <c r="CL59" s="120"/>
    </row>
    <row r="60" spans="1:90" x14ac:dyDescent="0.25">
      <c r="A60" s="120"/>
      <c r="B60" s="1062"/>
      <c r="C60" s="1062"/>
      <c r="D60" s="1062"/>
      <c r="E60" s="1062"/>
      <c r="F60" s="1062"/>
      <c r="G60" s="1062"/>
      <c r="H60" s="1062"/>
      <c r="I60" s="566">
        <v>24</v>
      </c>
      <c r="J60" s="565" t="str">
        <f t="shared" si="10"/>
        <v/>
      </c>
      <c r="K60" s="565" t="str">
        <f t="shared" si="11"/>
        <v/>
      </c>
      <c r="L60" s="565"/>
      <c r="M60" s="565"/>
      <c r="N60" s="565"/>
      <c r="O60" s="565"/>
      <c r="P60" s="565"/>
      <c r="Q60" s="565"/>
      <c r="R60" s="566">
        <v>24</v>
      </c>
      <c r="S60" s="565" t="str">
        <f t="shared" si="12"/>
        <v/>
      </c>
      <c r="T60" s="565" t="str">
        <f t="shared" si="13"/>
        <v/>
      </c>
      <c r="U60" s="565"/>
      <c r="V60" s="565"/>
      <c r="W60" s="565"/>
      <c r="X60" s="565"/>
      <c r="Y60" s="565"/>
      <c r="Z60" s="565"/>
      <c r="AA60" s="566">
        <v>24</v>
      </c>
      <c r="AB60" s="565" t="str">
        <f t="shared" si="14"/>
        <v/>
      </c>
      <c r="AC60" s="565" t="str">
        <f t="shared" si="15"/>
        <v/>
      </c>
      <c r="AD60" s="565"/>
      <c r="AE60" s="565"/>
      <c r="AF60" s="565"/>
      <c r="AG60" s="565"/>
      <c r="AH60" s="565"/>
      <c r="AI60" s="565"/>
      <c r="AJ60" s="566">
        <v>24</v>
      </c>
      <c r="AK60" s="565" t="str">
        <f t="shared" si="16"/>
        <v/>
      </c>
      <c r="AL60" s="565" t="str">
        <f t="shared" si="17"/>
        <v/>
      </c>
      <c r="AM60" s="565"/>
      <c r="AN60" s="565"/>
      <c r="AO60" s="565"/>
      <c r="AP60" s="565"/>
      <c r="AQ60" s="565"/>
      <c r="AR60" s="565"/>
      <c r="AS60" s="566">
        <v>24</v>
      </c>
      <c r="AT60" s="565" t="str">
        <f t="shared" si="18"/>
        <v/>
      </c>
      <c r="AU60" s="565" t="str">
        <f t="shared" si="19"/>
        <v/>
      </c>
      <c r="AV60" s="565"/>
      <c r="AW60" s="565"/>
      <c r="AX60" s="565"/>
      <c r="AY60" s="565"/>
      <c r="AZ60" s="565"/>
      <c r="BA60" s="565"/>
      <c r="BB60" s="566">
        <v>24</v>
      </c>
      <c r="BC60" s="565" t="str">
        <f t="shared" si="20"/>
        <v/>
      </c>
      <c r="BD60" s="565" t="str">
        <f t="shared" si="21"/>
        <v/>
      </c>
      <c r="BE60" s="565"/>
      <c r="BF60" s="565"/>
      <c r="BG60" s="565"/>
      <c r="BH60" s="565"/>
      <c r="BI60" s="565"/>
      <c r="BJ60" s="565"/>
      <c r="BK60" s="566">
        <v>24</v>
      </c>
      <c r="BL60" s="565" t="str">
        <f t="shared" si="22"/>
        <v/>
      </c>
      <c r="BM60" s="565" t="str">
        <f t="shared" si="23"/>
        <v/>
      </c>
      <c r="BN60" s="565"/>
      <c r="BO60" s="565"/>
      <c r="BP60" s="565"/>
      <c r="BQ60" s="565"/>
      <c r="BR60" s="565"/>
      <c r="BS60" s="565"/>
      <c r="BT60" s="566">
        <v>24</v>
      </c>
      <c r="BU60" s="565" t="str">
        <f t="shared" si="24"/>
        <v/>
      </c>
      <c r="BV60" s="565" t="str">
        <f t="shared" si="25"/>
        <v/>
      </c>
      <c r="BW60" s="565"/>
      <c r="BX60" s="565"/>
      <c r="BY60" s="565"/>
      <c r="BZ60" s="565"/>
      <c r="CA60" s="565"/>
      <c r="CB60" s="565"/>
      <c r="CC60" s="566">
        <v>24</v>
      </c>
      <c r="CD60" s="565" t="str">
        <f t="shared" si="26"/>
        <v/>
      </c>
      <c r="CE60" s="565" t="str">
        <f t="shared" si="27"/>
        <v/>
      </c>
      <c r="CF60" s="565"/>
      <c r="CG60" s="565"/>
      <c r="CH60" s="565"/>
      <c r="CI60" s="565"/>
      <c r="CJ60" s="565"/>
      <c r="CK60" s="565"/>
      <c r="CL60" s="120"/>
    </row>
    <row r="61" spans="1:90" x14ac:dyDescent="0.25">
      <c r="A61" s="120"/>
      <c r="B61" s="1062"/>
      <c r="C61" s="1062"/>
      <c r="D61" s="1062"/>
      <c r="E61" s="1062"/>
      <c r="F61" s="1062"/>
      <c r="G61" s="1062"/>
      <c r="H61" s="1062"/>
      <c r="I61" s="566">
        <v>25</v>
      </c>
      <c r="J61" s="565" t="str">
        <f t="shared" si="10"/>
        <v/>
      </c>
      <c r="K61" s="565" t="str">
        <f t="shared" si="11"/>
        <v/>
      </c>
      <c r="L61" s="565"/>
      <c r="M61" s="565"/>
      <c r="N61" s="565"/>
      <c r="O61" s="565"/>
      <c r="P61" s="565"/>
      <c r="Q61" s="565"/>
      <c r="R61" s="566">
        <v>25</v>
      </c>
      <c r="S61" s="565" t="str">
        <f t="shared" si="12"/>
        <v/>
      </c>
      <c r="T61" s="565" t="str">
        <f t="shared" si="13"/>
        <v/>
      </c>
      <c r="U61" s="565"/>
      <c r="V61" s="565"/>
      <c r="W61" s="565"/>
      <c r="X61" s="565"/>
      <c r="Y61" s="565"/>
      <c r="Z61" s="565"/>
      <c r="AA61" s="566">
        <v>25</v>
      </c>
      <c r="AB61" s="565" t="str">
        <f t="shared" si="14"/>
        <v/>
      </c>
      <c r="AC61" s="565" t="str">
        <f t="shared" si="15"/>
        <v/>
      </c>
      <c r="AD61" s="565"/>
      <c r="AE61" s="565"/>
      <c r="AF61" s="565"/>
      <c r="AG61" s="565"/>
      <c r="AH61" s="565"/>
      <c r="AI61" s="565"/>
      <c r="AJ61" s="566">
        <v>25</v>
      </c>
      <c r="AK61" s="565" t="str">
        <f t="shared" si="16"/>
        <v/>
      </c>
      <c r="AL61" s="565" t="str">
        <f t="shared" si="17"/>
        <v/>
      </c>
      <c r="AM61" s="565"/>
      <c r="AN61" s="565"/>
      <c r="AO61" s="565"/>
      <c r="AP61" s="565"/>
      <c r="AQ61" s="565"/>
      <c r="AR61" s="565"/>
      <c r="AS61" s="566">
        <v>25</v>
      </c>
      <c r="AT61" s="565" t="str">
        <f t="shared" si="18"/>
        <v/>
      </c>
      <c r="AU61" s="565" t="str">
        <f t="shared" si="19"/>
        <v/>
      </c>
      <c r="AV61" s="565"/>
      <c r="AW61" s="565"/>
      <c r="AX61" s="565"/>
      <c r="AY61" s="565"/>
      <c r="AZ61" s="565"/>
      <c r="BA61" s="565"/>
      <c r="BB61" s="566">
        <v>25</v>
      </c>
      <c r="BC61" s="565" t="str">
        <f t="shared" si="20"/>
        <v/>
      </c>
      <c r="BD61" s="565" t="str">
        <f t="shared" si="21"/>
        <v/>
      </c>
      <c r="BE61" s="565"/>
      <c r="BF61" s="565"/>
      <c r="BG61" s="565"/>
      <c r="BH61" s="565"/>
      <c r="BI61" s="565"/>
      <c r="BJ61" s="565"/>
      <c r="BK61" s="566">
        <v>25</v>
      </c>
      <c r="BL61" s="565" t="str">
        <f t="shared" si="22"/>
        <v/>
      </c>
      <c r="BM61" s="565" t="str">
        <f t="shared" si="23"/>
        <v/>
      </c>
      <c r="BN61" s="565"/>
      <c r="BO61" s="565"/>
      <c r="BP61" s="565"/>
      <c r="BQ61" s="565"/>
      <c r="BR61" s="565"/>
      <c r="BS61" s="565"/>
      <c r="BT61" s="566">
        <v>25</v>
      </c>
      <c r="BU61" s="565" t="str">
        <f t="shared" si="24"/>
        <v/>
      </c>
      <c r="BV61" s="565" t="str">
        <f t="shared" si="25"/>
        <v/>
      </c>
      <c r="BW61" s="565"/>
      <c r="BX61" s="565"/>
      <c r="BY61" s="565"/>
      <c r="BZ61" s="565"/>
      <c r="CA61" s="565"/>
      <c r="CB61" s="565"/>
      <c r="CC61" s="566">
        <v>25</v>
      </c>
      <c r="CD61" s="565" t="str">
        <f t="shared" si="26"/>
        <v/>
      </c>
      <c r="CE61" s="565" t="str">
        <f t="shared" si="27"/>
        <v/>
      </c>
      <c r="CF61" s="565"/>
      <c r="CG61" s="565"/>
      <c r="CH61" s="565"/>
      <c r="CI61" s="565"/>
      <c r="CJ61" s="565"/>
      <c r="CK61" s="565"/>
      <c r="CL61" s="120"/>
    </row>
    <row r="62" spans="1:90" x14ac:dyDescent="0.25">
      <c r="A62" s="120"/>
      <c r="B62" s="1062"/>
      <c r="C62" s="1062"/>
      <c r="D62" s="1062"/>
      <c r="E62" s="1062"/>
      <c r="F62" s="1062"/>
      <c r="G62" s="1062"/>
      <c r="H62" s="1062"/>
      <c r="I62" s="566">
        <v>26</v>
      </c>
      <c r="J62" s="565" t="str">
        <f t="shared" si="10"/>
        <v/>
      </c>
      <c r="K62" s="565" t="str">
        <f t="shared" si="11"/>
        <v/>
      </c>
      <c r="L62" s="565"/>
      <c r="M62" s="565"/>
      <c r="N62" s="565"/>
      <c r="O62" s="565"/>
      <c r="P62" s="565"/>
      <c r="Q62" s="565"/>
      <c r="R62" s="566">
        <v>26</v>
      </c>
      <c r="S62" s="565" t="str">
        <f t="shared" si="12"/>
        <v/>
      </c>
      <c r="T62" s="565" t="str">
        <f t="shared" si="13"/>
        <v/>
      </c>
      <c r="U62" s="565"/>
      <c r="V62" s="565"/>
      <c r="W62" s="565"/>
      <c r="X62" s="565"/>
      <c r="Y62" s="565"/>
      <c r="Z62" s="565"/>
      <c r="AA62" s="566">
        <v>26</v>
      </c>
      <c r="AB62" s="565" t="str">
        <f t="shared" si="14"/>
        <v/>
      </c>
      <c r="AC62" s="565" t="str">
        <f t="shared" si="15"/>
        <v/>
      </c>
      <c r="AD62" s="565"/>
      <c r="AE62" s="565"/>
      <c r="AF62" s="565"/>
      <c r="AG62" s="565"/>
      <c r="AH62" s="565"/>
      <c r="AI62" s="565"/>
      <c r="AJ62" s="566">
        <v>26</v>
      </c>
      <c r="AK62" s="565" t="str">
        <f t="shared" si="16"/>
        <v/>
      </c>
      <c r="AL62" s="565" t="str">
        <f t="shared" si="17"/>
        <v/>
      </c>
      <c r="AM62" s="565"/>
      <c r="AN62" s="565"/>
      <c r="AO62" s="565"/>
      <c r="AP62" s="565"/>
      <c r="AQ62" s="565"/>
      <c r="AR62" s="565"/>
      <c r="AS62" s="566">
        <v>26</v>
      </c>
      <c r="AT62" s="565" t="str">
        <f t="shared" si="18"/>
        <v/>
      </c>
      <c r="AU62" s="565" t="str">
        <f t="shared" si="19"/>
        <v/>
      </c>
      <c r="AV62" s="565"/>
      <c r="AW62" s="565"/>
      <c r="AX62" s="565"/>
      <c r="AY62" s="565"/>
      <c r="AZ62" s="565"/>
      <c r="BA62" s="565"/>
      <c r="BB62" s="566">
        <v>26</v>
      </c>
      <c r="BC62" s="565" t="str">
        <f t="shared" si="20"/>
        <v/>
      </c>
      <c r="BD62" s="565" t="str">
        <f t="shared" si="21"/>
        <v/>
      </c>
      <c r="BE62" s="565"/>
      <c r="BF62" s="565"/>
      <c r="BG62" s="565"/>
      <c r="BH62" s="565"/>
      <c r="BI62" s="565"/>
      <c r="BJ62" s="565"/>
      <c r="BK62" s="566">
        <v>26</v>
      </c>
      <c r="BL62" s="565" t="str">
        <f t="shared" si="22"/>
        <v/>
      </c>
      <c r="BM62" s="565" t="str">
        <f t="shared" si="23"/>
        <v/>
      </c>
      <c r="BN62" s="565"/>
      <c r="BO62" s="565"/>
      <c r="BP62" s="565"/>
      <c r="BQ62" s="565"/>
      <c r="BR62" s="565"/>
      <c r="BS62" s="565"/>
      <c r="BT62" s="566">
        <v>26</v>
      </c>
      <c r="BU62" s="565" t="str">
        <f t="shared" si="24"/>
        <v/>
      </c>
      <c r="BV62" s="565" t="str">
        <f t="shared" si="25"/>
        <v/>
      </c>
      <c r="BW62" s="565"/>
      <c r="BX62" s="565"/>
      <c r="BY62" s="565"/>
      <c r="BZ62" s="565"/>
      <c r="CA62" s="565"/>
      <c r="CB62" s="565"/>
      <c r="CC62" s="566">
        <v>26</v>
      </c>
      <c r="CD62" s="565" t="str">
        <f t="shared" si="26"/>
        <v/>
      </c>
      <c r="CE62" s="565" t="str">
        <f t="shared" si="27"/>
        <v/>
      </c>
      <c r="CF62" s="565"/>
      <c r="CG62" s="565"/>
      <c r="CH62" s="565"/>
      <c r="CI62" s="565"/>
      <c r="CJ62" s="565"/>
      <c r="CK62" s="565"/>
      <c r="CL62" s="120"/>
    </row>
    <row r="63" spans="1:90" x14ac:dyDescent="0.25">
      <c r="A63" s="120"/>
      <c r="B63" s="1062"/>
      <c r="C63" s="1062"/>
      <c r="D63" s="1062"/>
      <c r="E63" s="1062"/>
      <c r="F63" s="1062"/>
      <c r="G63" s="1062"/>
      <c r="H63" s="1062"/>
      <c r="I63" s="566">
        <v>27</v>
      </c>
      <c r="J63" s="565" t="str">
        <f t="shared" si="10"/>
        <v/>
      </c>
      <c r="K63" s="565" t="str">
        <f t="shared" si="11"/>
        <v/>
      </c>
      <c r="L63" s="565"/>
      <c r="M63" s="565"/>
      <c r="N63" s="565"/>
      <c r="O63" s="565"/>
      <c r="P63" s="565"/>
      <c r="Q63" s="565"/>
      <c r="R63" s="566">
        <v>27</v>
      </c>
      <c r="S63" s="565" t="str">
        <f t="shared" si="12"/>
        <v/>
      </c>
      <c r="T63" s="565" t="str">
        <f t="shared" si="13"/>
        <v/>
      </c>
      <c r="U63" s="565"/>
      <c r="V63" s="565"/>
      <c r="W63" s="565"/>
      <c r="X63" s="565"/>
      <c r="Y63" s="565"/>
      <c r="Z63" s="565"/>
      <c r="AA63" s="566">
        <v>27</v>
      </c>
      <c r="AB63" s="565" t="str">
        <f t="shared" si="14"/>
        <v/>
      </c>
      <c r="AC63" s="565" t="str">
        <f t="shared" si="15"/>
        <v/>
      </c>
      <c r="AD63" s="565"/>
      <c r="AE63" s="565"/>
      <c r="AF63" s="565"/>
      <c r="AG63" s="565"/>
      <c r="AH63" s="565"/>
      <c r="AI63" s="565"/>
      <c r="AJ63" s="566">
        <v>27</v>
      </c>
      <c r="AK63" s="565" t="str">
        <f t="shared" si="16"/>
        <v/>
      </c>
      <c r="AL63" s="565" t="str">
        <f t="shared" si="17"/>
        <v/>
      </c>
      <c r="AM63" s="565"/>
      <c r="AN63" s="565"/>
      <c r="AO63" s="565"/>
      <c r="AP63" s="565"/>
      <c r="AQ63" s="565"/>
      <c r="AR63" s="565"/>
      <c r="AS63" s="566">
        <v>27</v>
      </c>
      <c r="AT63" s="565" t="str">
        <f t="shared" si="18"/>
        <v/>
      </c>
      <c r="AU63" s="565" t="str">
        <f t="shared" si="19"/>
        <v/>
      </c>
      <c r="AV63" s="565"/>
      <c r="AW63" s="565"/>
      <c r="AX63" s="565"/>
      <c r="AY63" s="565"/>
      <c r="AZ63" s="565"/>
      <c r="BA63" s="565"/>
      <c r="BB63" s="566">
        <v>27</v>
      </c>
      <c r="BC63" s="565" t="str">
        <f t="shared" si="20"/>
        <v/>
      </c>
      <c r="BD63" s="565" t="str">
        <f t="shared" si="21"/>
        <v/>
      </c>
      <c r="BE63" s="565"/>
      <c r="BF63" s="565"/>
      <c r="BG63" s="565"/>
      <c r="BH63" s="565"/>
      <c r="BI63" s="565"/>
      <c r="BJ63" s="565"/>
      <c r="BK63" s="566">
        <v>27</v>
      </c>
      <c r="BL63" s="565" t="str">
        <f t="shared" si="22"/>
        <v/>
      </c>
      <c r="BM63" s="565" t="str">
        <f t="shared" si="23"/>
        <v/>
      </c>
      <c r="BN63" s="565"/>
      <c r="BO63" s="565"/>
      <c r="BP63" s="565"/>
      <c r="BQ63" s="565"/>
      <c r="BR63" s="565"/>
      <c r="BS63" s="565"/>
      <c r="BT63" s="566">
        <v>27</v>
      </c>
      <c r="BU63" s="565" t="str">
        <f t="shared" si="24"/>
        <v/>
      </c>
      <c r="BV63" s="565" t="str">
        <f t="shared" si="25"/>
        <v/>
      </c>
      <c r="BW63" s="565"/>
      <c r="BX63" s="565"/>
      <c r="BY63" s="565"/>
      <c r="BZ63" s="565"/>
      <c r="CA63" s="565"/>
      <c r="CB63" s="565"/>
      <c r="CC63" s="566">
        <v>27</v>
      </c>
      <c r="CD63" s="565" t="str">
        <f t="shared" si="26"/>
        <v/>
      </c>
      <c r="CE63" s="565" t="str">
        <f t="shared" si="27"/>
        <v/>
      </c>
      <c r="CF63" s="565"/>
      <c r="CG63" s="565"/>
      <c r="CH63" s="565"/>
      <c r="CI63" s="565"/>
      <c r="CJ63" s="565"/>
      <c r="CK63" s="565"/>
      <c r="CL63" s="120"/>
    </row>
    <row r="64" spans="1:90" x14ac:dyDescent="0.25">
      <c r="A64" s="120"/>
      <c r="B64" s="1062"/>
      <c r="C64" s="1062"/>
      <c r="D64" s="1062"/>
      <c r="E64" s="1062"/>
      <c r="F64" s="1062"/>
      <c r="G64" s="1062"/>
      <c r="H64" s="1062"/>
      <c r="I64" s="566">
        <v>28</v>
      </c>
      <c r="J64" s="565" t="str">
        <f t="shared" si="10"/>
        <v/>
      </c>
      <c r="K64" s="565" t="str">
        <f t="shared" si="11"/>
        <v/>
      </c>
      <c r="L64" s="565"/>
      <c r="M64" s="565"/>
      <c r="N64" s="565"/>
      <c r="O64" s="565"/>
      <c r="P64" s="565"/>
      <c r="Q64" s="565"/>
      <c r="R64" s="566">
        <v>28</v>
      </c>
      <c r="S64" s="565" t="str">
        <f t="shared" si="12"/>
        <v/>
      </c>
      <c r="T64" s="565" t="str">
        <f t="shared" si="13"/>
        <v/>
      </c>
      <c r="U64" s="565"/>
      <c r="V64" s="565"/>
      <c r="W64" s="565"/>
      <c r="X64" s="565"/>
      <c r="Y64" s="565"/>
      <c r="Z64" s="565"/>
      <c r="AA64" s="566">
        <v>28</v>
      </c>
      <c r="AB64" s="565" t="str">
        <f t="shared" si="14"/>
        <v/>
      </c>
      <c r="AC64" s="565" t="str">
        <f t="shared" si="15"/>
        <v/>
      </c>
      <c r="AD64" s="565"/>
      <c r="AE64" s="565"/>
      <c r="AF64" s="565"/>
      <c r="AG64" s="565"/>
      <c r="AH64" s="565"/>
      <c r="AI64" s="565"/>
      <c r="AJ64" s="566">
        <v>28</v>
      </c>
      <c r="AK64" s="565" t="str">
        <f t="shared" si="16"/>
        <v/>
      </c>
      <c r="AL64" s="565" t="str">
        <f t="shared" si="17"/>
        <v/>
      </c>
      <c r="AM64" s="565"/>
      <c r="AN64" s="565"/>
      <c r="AO64" s="565"/>
      <c r="AP64" s="565"/>
      <c r="AQ64" s="565"/>
      <c r="AR64" s="565"/>
      <c r="AS64" s="566">
        <v>28</v>
      </c>
      <c r="AT64" s="565" t="str">
        <f t="shared" si="18"/>
        <v/>
      </c>
      <c r="AU64" s="565" t="str">
        <f t="shared" si="19"/>
        <v/>
      </c>
      <c r="AV64" s="565"/>
      <c r="AW64" s="565"/>
      <c r="AX64" s="565"/>
      <c r="AY64" s="565"/>
      <c r="AZ64" s="565"/>
      <c r="BA64" s="565"/>
      <c r="BB64" s="566">
        <v>28</v>
      </c>
      <c r="BC64" s="565" t="str">
        <f t="shared" si="20"/>
        <v/>
      </c>
      <c r="BD64" s="565" t="str">
        <f t="shared" si="21"/>
        <v/>
      </c>
      <c r="BE64" s="565"/>
      <c r="BF64" s="565"/>
      <c r="BG64" s="565"/>
      <c r="BH64" s="565"/>
      <c r="BI64" s="565"/>
      <c r="BJ64" s="565"/>
      <c r="BK64" s="566">
        <v>28</v>
      </c>
      <c r="BL64" s="565" t="str">
        <f t="shared" si="22"/>
        <v/>
      </c>
      <c r="BM64" s="565" t="str">
        <f t="shared" si="23"/>
        <v/>
      </c>
      <c r="BN64" s="565"/>
      <c r="BO64" s="565"/>
      <c r="BP64" s="565"/>
      <c r="BQ64" s="565"/>
      <c r="BR64" s="565"/>
      <c r="BS64" s="565"/>
      <c r="BT64" s="566">
        <v>28</v>
      </c>
      <c r="BU64" s="565" t="str">
        <f t="shared" si="24"/>
        <v/>
      </c>
      <c r="BV64" s="565" t="str">
        <f t="shared" si="25"/>
        <v/>
      </c>
      <c r="BW64" s="565"/>
      <c r="BX64" s="565"/>
      <c r="BY64" s="565"/>
      <c r="BZ64" s="565"/>
      <c r="CA64" s="565"/>
      <c r="CB64" s="565"/>
      <c r="CC64" s="566">
        <v>28</v>
      </c>
      <c r="CD64" s="565" t="str">
        <f t="shared" si="26"/>
        <v/>
      </c>
      <c r="CE64" s="565" t="str">
        <f t="shared" si="27"/>
        <v/>
      </c>
      <c r="CF64" s="565"/>
      <c r="CG64" s="565"/>
      <c r="CH64" s="565"/>
      <c r="CI64" s="565"/>
      <c r="CJ64" s="565"/>
      <c r="CK64" s="565"/>
      <c r="CL64" s="120"/>
    </row>
    <row r="65" spans="1:90" x14ac:dyDescent="0.25">
      <c r="A65" s="120"/>
      <c r="B65" s="1062"/>
      <c r="C65" s="1062"/>
      <c r="D65" s="1062"/>
      <c r="E65" s="1062"/>
      <c r="F65" s="1062"/>
      <c r="G65" s="1062"/>
      <c r="H65" s="1062"/>
      <c r="I65" s="566">
        <v>29</v>
      </c>
      <c r="J65" s="565" t="str">
        <f t="shared" si="10"/>
        <v/>
      </c>
      <c r="K65" s="565" t="str">
        <f t="shared" si="11"/>
        <v/>
      </c>
      <c r="L65" s="565"/>
      <c r="M65" s="565"/>
      <c r="N65" s="565"/>
      <c r="O65" s="565"/>
      <c r="P65" s="565"/>
      <c r="Q65" s="565"/>
      <c r="R65" s="566">
        <v>29</v>
      </c>
      <c r="S65" s="565" t="str">
        <f t="shared" si="12"/>
        <v/>
      </c>
      <c r="T65" s="565" t="str">
        <f t="shared" si="13"/>
        <v/>
      </c>
      <c r="U65" s="565"/>
      <c r="V65" s="565"/>
      <c r="W65" s="565"/>
      <c r="X65" s="565"/>
      <c r="Y65" s="565"/>
      <c r="Z65" s="565"/>
      <c r="AA65" s="566">
        <v>29</v>
      </c>
      <c r="AB65" s="565" t="str">
        <f t="shared" si="14"/>
        <v/>
      </c>
      <c r="AC65" s="565" t="str">
        <f t="shared" si="15"/>
        <v/>
      </c>
      <c r="AD65" s="565"/>
      <c r="AE65" s="565"/>
      <c r="AF65" s="565"/>
      <c r="AG65" s="565"/>
      <c r="AH65" s="565"/>
      <c r="AI65" s="565"/>
      <c r="AJ65" s="566">
        <v>29</v>
      </c>
      <c r="AK65" s="565" t="str">
        <f t="shared" si="16"/>
        <v/>
      </c>
      <c r="AL65" s="565" t="str">
        <f t="shared" si="17"/>
        <v/>
      </c>
      <c r="AM65" s="565"/>
      <c r="AN65" s="565"/>
      <c r="AO65" s="565"/>
      <c r="AP65" s="565"/>
      <c r="AQ65" s="565"/>
      <c r="AR65" s="565"/>
      <c r="AS65" s="566">
        <v>29</v>
      </c>
      <c r="AT65" s="565" t="str">
        <f t="shared" si="18"/>
        <v/>
      </c>
      <c r="AU65" s="565" t="str">
        <f t="shared" si="19"/>
        <v/>
      </c>
      <c r="AV65" s="565"/>
      <c r="AW65" s="565"/>
      <c r="AX65" s="565"/>
      <c r="AY65" s="565"/>
      <c r="AZ65" s="565"/>
      <c r="BA65" s="565"/>
      <c r="BB65" s="566">
        <v>29</v>
      </c>
      <c r="BC65" s="565" t="str">
        <f t="shared" si="20"/>
        <v/>
      </c>
      <c r="BD65" s="565" t="str">
        <f t="shared" si="21"/>
        <v/>
      </c>
      <c r="BE65" s="565"/>
      <c r="BF65" s="565"/>
      <c r="BG65" s="565"/>
      <c r="BH65" s="565"/>
      <c r="BI65" s="565"/>
      <c r="BJ65" s="565"/>
      <c r="BK65" s="566">
        <v>29</v>
      </c>
      <c r="BL65" s="565" t="str">
        <f t="shared" si="22"/>
        <v/>
      </c>
      <c r="BM65" s="565" t="str">
        <f t="shared" si="23"/>
        <v/>
      </c>
      <c r="BN65" s="565"/>
      <c r="BO65" s="565"/>
      <c r="BP65" s="565"/>
      <c r="BQ65" s="565"/>
      <c r="BR65" s="565"/>
      <c r="BS65" s="565"/>
      <c r="BT65" s="566">
        <v>29</v>
      </c>
      <c r="BU65" s="565" t="str">
        <f t="shared" si="24"/>
        <v/>
      </c>
      <c r="BV65" s="565" t="str">
        <f t="shared" si="25"/>
        <v/>
      </c>
      <c r="BW65" s="565"/>
      <c r="BX65" s="565"/>
      <c r="BY65" s="565"/>
      <c r="BZ65" s="565"/>
      <c r="CA65" s="565"/>
      <c r="CB65" s="565"/>
      <c r="CC65" s="566">
        <v>29</v>
      </c>
      <c r="CD65" s="565" t="str">
        <f t="shared" si="26"/>
        <v/>
      </c>
      <c r="CE65" s="565" t="str">
        <f t="shared" si="27"/>
        <v/>
      </c>
      <c r="CF65" s="565"/>
      <c r="CG65" s="565"/>
      <c r="CH65" s="565"/>
      <c r="CI65" s="565"/>
      <c r="CJ65" s="565"/>
      <c r="CK65" s="565"/>
      <c r="CL65" s="120"/>
    </row>
    <row r="66" spans="1:90" x14ac:dyDescent="0.25">
      <c r="A66" s="120"/>
      <c r="B66" s="1062"/>
      <c r="C66" s="1062"/>
      <c r="D66" s="1062"/>
      <c r="E66" s="1062"/>
      <c r="F66" s="1062"/>
      <c r="G66" s="1062"/>
      <c r="H66" s="1062"/>
      <c r="I66" s="566">
        <v>30</v>
      </c>
      <c r="J66" s="565" t="str">
        <f t="shared" si="10"/>
        <v/>
      </c>
      <c r="K66" s="565" t="str">
        <f t="shared" si="11"/>
        <v/>
      </c>
      <c r="L66" s="565"/>
      <c r="M66" s="565"/>
      <c r="N66" s="565"/>
      <c r="O66" s="565"/>
      <c r="P66" s="565"/>
      <c r="Q66" s="565"/>
      <c r="R66" s="566">
        <v>30</v>
      </c>
      <c r="S66" s="565" t="str">
        <f t="shared" si="12"/>
        <v/>
      </c>
      <c r="T66" s="565" t="str">
        <f t="shared" si="13"/>
        <v/>
      </c>
      <c r="U66" s="565"/>
      <c r="V66" s="565"/>
      <c r="W66" s="565"/>
      <c r="X66" s="565"/>
      <c r="Y66" s="565"/>
      <c r="Z66" s="565"/>
      <c r="AA66" s="566">
        <v>30</v>
      </c>
      <c r="AB66" s="565" t="str">
        <f t="shared" si="14"/>
        <v/>
      </c>
      <c r="AC66" s="565" t="str">
        <f t="shared" si="15"/>
        <v/>
      </c>
      <c r="AD66" s="565"/>
      <c r="AE66" s="565"/>
      <c r="AF66" s="565"/>
      <c r="AG66" s="565"/>
      <c r="AH66" s="565"/>
      <c r="AI66" s="565"/>
      <c r="AJ66" s="566">
        <v>30</v>
      </c>
      <c r="AK66" s="565" t="str">
        <f t="shared" si="16"/>
        <v/>
      </c>
      <c r="AL66" s="565" t="str">
        <f t="shared" si="17"/>
        <v/>
      </c>
      <c r="AM66" s="565"/>
      <c r="AN66" s="565"/>
      <c r="AO66" s="565"/>
      <c r="AP66" s="565"/>
      <c r="AQ66" s="565"/>
      <c r="AR66" s="565"/>
      <c r="AS66" s="566">
        <v>30</v>
      </c>
      <c r="AT66" s="565" t="str">
        <f t="shared" si="18"/>
        <v/>
      </c>
      <c r="AU66" s="565" t="str">
        <f t="shared" si="19"/>
        <v/>
      </c>
      <c r="AV66" s="565"/>
      <c r="AW66" s="565"/>
      <c r="AX66" s="565"/>
      <c r="AY66" s="565"/>
      <c r="AZ66" s="565"/>
      <c r="BA66" s="565"/>
      <c r="BB66" s="566">
        <v>30</v>
      </c>
      <c r="BC66" s="565" t="str">
        <f t="shared" si="20"/>
        <v/>
      </c>
      <c r="BD66" s="565" t="str">
        <f t="shared" si="21"/>
        <v/>
      </c>
      <c r="BE66" s="565"/>
      <c r="BF66" s="565"/>
      <c r="BG66" s="565"/>
      <c r="BH66" s="565"/>
      <c r="BI66" s="565"/>
      <c r="BJ66" s="565"/>
      <c r="BK66" s="566">
        <v>30</v>
      </c>
      <c r="BL66" s="565" t="str">
        <f t="shared" si="22"/>
        <v/>
      </c>
      <c r="BM66" s="565" t="str">
        <f t="shared" si="23"/>
        <v/>
      </c>
      <c r="BN66" s="565"/>
      <c r="BO66" s="565"/>
      <c r="BP66" s="565"/>
      <c r="BQ66" s="565"/>
      <c r="BR66" s="565"/>
      <c r="BS66" s="565"/>
      <c r="BT66" s="566">
        <v>30</v>
      </c>
      <c r="BU66" s="565" t="str">
        <f t="shared" si="24"/>
        <v/>
      </c>
      <c r="BV66" s="565" t="str">
        <f t="shared" si="25"/>
        <v/>
      </c>
      <c r="BW66" s="565"/>
      <c r="BX66" s="565"/>
      <c r="BY66" s="565"/>
      <c r="BZ66" s="565"/>
      <c r="CA66" s="565"/>
      <c r="CB66" s="565"/>
      <c r="CC66" s="566">
        <v>30</v>
      </c>
      <c r="CD66" s="565" t="str">
        <f t="shared" si="26"/>
        <v/>
      </c>
      <c r="CE66" s="565" t="str">
        <f t="shared" si="27"/>
        <v/>
      </c>
      <c r="CF66" s="565"/>
      <c r="CG66" s="565"/>
      <c r="CH66" s="565"/>
      <c r="CI66" s="565"/>
      <c r="CJ66" s="565"/>
      <c r="CK66" s="565"/>
      <c r="CL66" s="120"/>
    </row>
    <row r="67" spans="1:90" x14ac:dyDescent="0.25">
      <c r="A67" s="565"/>
      <c r="E67" s="565"/>
      <c r="F67" s="565"/>
      <c r="G67" s="565"/>
      <c r="H67" s="565"/>
      <c r="I67" s="565"/>
      <c r="J67" s="565"/>
      <c r="K67" s="565"/>
      <c r="L67" s="565"/>
      <c r="M67" s="565"/>
      <c r="N67" s="565"/>
      <c r="O67" s="565"/>
      <c r="P67" s="565"/>
      <c r="Q67" s="565"/>
      <c r="R67" s="565"/>
      <c r="S67" s="565"/>
      <c r="T67" s="565"/>
      <c r="U67" s="565"/>
      <c r="V67" s="565"/>
      <c r="W67" s="565"/>
      <c r="X67" s="565"/>
      <c r="Y67" s="565"/>
      <c r="Z67" s="565"/>
      <c r="AA67" s="565"/>
      <c r="AB67" s="565"/>
      <c r="AC67" s="565"/>
      <c r="AD67" s="565"/>
      <c r="AE67" s="565"/>
      <c r="AF67" s="565"/>
      <c r="AG67" s="565"/>
      <c r="AH67" s="565"/>
      <c r="AI67" s="565"/>
      <c r="AJ67" s="565"/>
      <c r="AK67" s="565"/>
      <c r="AL67" s="565"/>
      <c r="AM67" s="565"/>
      <c r="AN67" s="565"/>
      <c r="AO67" s="565"/>
      <c r="AP67" s="565"/>
      <c r="AQ67" s="565"/>
      <c r="AR67" s="565"/>
      <c r="AS67" s="565"/>
      <c r="AT67" s="565"/>
      <c r="AU67" s="565"/>
      <c r="AV67" s="565"/>
      <c r="AW67" s="565"/>
      <c r="AX67" s="565"/>
      <c r="AY67" s="565"/>
      <c r="AZ67" s="565"/>
      <c r="BA67" s="565"/>
      <c r="BB67" s="565"/>
      <c r="BC67" s="565"/>
      <c r="BD67" s="565"/>
      <c r="BE67" s="565"/>
      <c r="BF67" s="565"/>
      <c r="BG67" s="565"/>
      <c r="BH67" s="565"/>
      <c r="BI67" s="565"/>
      <c r="BJ67" s="565"/>
      <c r="BK67" s="565"/>
      <c r="BL67" s="565"/>
      <c r="BM67" s="565"/>
      <c r="BN67" s="565"/>
      <c r="BO67" s="565"/>
      <c r="BP67" s="565"/>
      <c r="BQ67" s="565"/>
      <c r="BR67" s="565"/>
      <c r="BS67" s="565"/>
      <c r="BT67" s="565"/>
      <c r="BU67" s="565"/>
      <c r="BV67" s="565"/>
      <c r="BW67" s="565"/>
      <c r="BX67" s="565"/>
      <c r="BY67" s="565"/>
      <c r="BZ67" s="565"/>
      <c r="CA67" s="565"/>
      <c r="CB67" s="565"/>
      <c r="CC67" s="565"/>
      <c r="CD67" s="565"/>
      <c r="CE67" s="565"/>
      <c r="CF67" s="565"/>
      <c r="CG67" s="565"/>
      <c r="CH67" s="565"/>
      <c r="CI67" s="565"/>
      <c r="CJ67" s="565"/>
      <c r="CK67" s="565"/>
      <c r="CL67" s="120"/>
    </row>
    <row r="68" spans="1:90" x14ac:dyDescent="0.25">
      <c r="A68" s="565"/>
      <c r="B68" s="565"/>
      <c r="C68" s="565"/>
      <c r="D68" s="600">
        <f>MAX(S01_Bard!D69:D98)</f>
        <v>0</v>
      </c>
      <c r="E68" s="600">
        <f>D68+SUM(C69:C98)</f>
        <v>0</v>
      </c>
      <c r="F68" s="565"/>
      <c r="G68" s="565"/>
      <c r="H68" s="565"/>
      <c r="I68" s="565"/>
      <c r="J68" s="565"/>
      <c r="K68" s="565"/>
      <c r="L68" s="565"/>
      <c r="M68" s="600">
        <f>MAX(S01_Bard!M69:M98)</f>
        <v>0</v>
      </c>
      <c r="N68" s="600">
        <f>M68+SUM(L69:L98)</f>
        <v>0</v>
      </c>
      <c r="O68" s="565"/>
      <c r="P68" s="565"/>
      <c r="Q68" s="565"/>
      <c r="R68" s="565"/>
      <c r="S68" s="565"/>
      <c r="T68" s="565"/>
      <c r="U68" s="565"/>
      <c r="V68" s="600">
        <f>MAX(S01_Bard!V69:V98)</f>
        <v>0</v>
      </c>
      <c r="W68" s="600">
        <f>V68+SUM(U69:U98)</f>
        <v>0</v>
      </c>
      <c r="X68" s="565"/>
      <c r="Y68" s="565"/>
      <c r="Z68" s="565"/>
      <c r="AA68" s="565"/>
      <c r="AB68" s="565"/>
      <c r="AC68" s="565"/>
      <c r="AD68" s="565"/>
      <c r="AE68" s="600">
        <f>MAX(S01_Bard!AE69:AE98)</f>
        <v>0</v>
      </c>
      <c r="AF68" s="600">
        <f>AE68+SUM(AD69:AD98)</f>
        <v>0</v>
      </c>
      <c r="AG68" s="565"/>
      <c r="AH68" s="565"/>
      <c r="AI68" s="565"/>
      <c r="AJ68" s="565"/>
      <c r="AK68" s="565"/>
      <c r="AL68" s="565"/>
      <c r="AM68" s="565"/>
      <c r="AN68" s="600">
        <f>MAX(S01_Bard!AN69:AN98)</f>
        <v>0</v>
      </c>
      <c r="AO68" s="600">
        <f>AN68+SUM(AM69:AM98)</f>
        <v>0</v>
      </c>
      <c r="AP68" s="565"/>
      <c r="AQ68" s="565"/>
      <c r="AR68" s="565"/>
      <c r="AS68" s="565"/>
      <c r="AT68" s="565"/>
      <c r="AU68" s="565"/>
      <c r="AV68" s="565"/>
      <c r="AW68" s="600">
        <f>MAX(S01_Bard!AW69:AW98)</f>
        <v>0</v>
      </c>
      <c r="AX68" s="600">
        <f>AW68+SUM(AV69:AV98)</f>
        <v>0</v>
      </c>
      <c r="AY68" s="565"/>
      <c r="AZ68" s="565"/>
      <c r="BA68" s="565"/>
      <c r="BB68" s="565"/>
      <c r="BC68" s="565"/>
      <c r="BD68" s="565"/>
      <c r="BE68" s="565"/>
      <c r="BF68" s="600">
        <f>MAX(S01_Bard!BF69:BF98)</f>
        <v>0</v>
      </c>
      <c r="BG68" s="600">
        <f>BF68+SUM(BE69:BE98)</f>
        <v>0</v>
      </c>
      <c r="BH68" s="565"/>
      <c r="BI68" s="565"/>
      <c r="BJ68" s="565"/>
      <c r="BK68" s="565"/>
      <c r="BL68" s="565"/>
      <c r="BM68" s="565"/>
      <c r="BN68" s="565"/>
      <c r="BO68" s="600">
        <f>MAX(S01_Bard!BO69:BO98)</f>
        <v>0</v>
      </c>
      <c r="BP68" s="600">
        <f>BO68+SUM(BN69:BN98)</f>
        <v>0</v>
      </c>
      <c r="BQ68" s="565"/>
      <c r="BR68" s="565"/>
      <c r="BS68" s="565"/>
      <c r="BT68" s="565"/>
      <c r="BU68" s="565"/>
      <c r="BV68" s="565"/>
      <c r="BW68" s="565"/>
      <c r="BX68" s="600">
        <f>MAX(S01_Bard!BX69:BX98)</f>
        <v>0</v>
      </c>
      <c r="BY68" s="600">
        <f>BX68+SUM(BW69:BW98)</f>
        <v>0</v>
      </c>
      <c r="BZ68" s="565"/>
      <c r="CA68" s="565"/>
      <c r="CB68" s="565"/>
      <c r="CC68" s="565"/>
      <c r="CD68" s="565"/>
      <c r="CE68" s="565"/>
      <c r="CF68" s="565"/>
      <c r="CG68" s="565"/>
      <c r="CH68" s="565"/>
      <c r="CI68" s="565"/>
      <c r="CJ68" s="565"/>
      <c r="CK68" s="565"/>
      <c r="CL68" s="120"/>
    </row>
    <row r="69" spans="1:90" x14ac:dyDescent="0.25">
      <c r="A69" s="120"/>
      <c r="B69" s="5">
        <v>1</v>
      </c>
      <c r="C69">
        <f t="shared" ref="C69:C98" si="28">IF(SpellcastingCleric&gt;0,IF(C6&lt;&gt;"",1,0),0)</f>
        <v>0</v>
      </c>
      <c r="D69">
        <f>IF(C69=0,0,1)</f>
        <v>0</v>
      </c>
      <c r="E69">
        <f>IF(D69=0,0,D69+D$68)</f>
        <v>0</v>
      </c>
      <c r="F69" t="str">
        <f>IF(C69=1,"Cleric","")</f>
        <v/>
      </c>
      <c r="G69" t="s">
        <v>6545</v>
      </c>
      <c r="H69" t="s">
        <v>6545</v>
      </c>
      <c r="I69" t="s">
        <v>6545</v>
      </c>
      <c r="J69" t="s">
        <v>6545</v>
      </c>
      <c r="K69" s="602">
        <v>1</v>
      </c>
      <c r="L69">
        <f t="shared" ref="L69:L98" si="29">IF(SpellcastingCleric&gt;0,IF(L6&lt;&gt;"",1,0),0)</f>
        <v>0</v>
      </c>
      <c r="M69">
        <f>IF(L69=0,0,1)</f>
        <v>0</v>
      </c>
      <c r="N69">
        <f>IF(M69=0,0,M69+M$68)</f>
        <v>0</v>
      </c>
      <c r="O69" t="str">
        <f>IF(L69=1,"Cleric","")</f>
        <v/>
      </c>
      <c r="P69" t="s">
        <v>6545</v>
      </c>
      <c r="Q69" t="s">
        <v>6545</v>
      </c>
      <c r="R69" t="s">
        <v>6545</v>
      </c>
      <c r="S69" t="s">
        <v>6545</v>
      </c>
      <c r="T69" s="602">
        <v>1</v>
      </c>
      <c r="U69">
        <f t="shared" ref="U69:U98" si="30">IF(SpellcastingCleric&gt;0,IF(U6&lt;&gt;"",1,0),0)</f>
        <v>0</v>
      </c>
      <c r="V69">
        <f>IF(U69=0,0,1)</f>
        <v>0</v>
      </c>
      <c r="W69">
        <f>IF(V69=0,0,V69+V$68)</f>
        <v>0</v>
      </c>
      <c r="X69" t="str">
        <f>IF(U69=1,"Cleric","")</f>
        <v/>
      </c>
      <c r="Y69" t="s">
        <v>6545</v>
      </c>
      <c r="Z69" t="s">
        <v>6545</v>
      </c>
      <c r="AA69" t="s">
        <v>6545</v>
      </c>
      <c r="AB69" t="s">
        <v>6545</v>
      </c>
      <c r="AC69" s="602">
        <v>1</v>
      </c>
      <c r="AD69">
        <f t="shared" ref="AD69:AD98" si="31">IF(SpellcastingCleric&gt;0,IF(AD6&lt;&gt;"",1,0),0)</f>
        <v>0</v>
      </c>
      <c r="AE69">
        <f>IF(AD69=0,0,1)</f>
        <v>0</v>
      </c>
      <c r="AF69">
        <f>IF(AE69=0,0,AE69+AE$68)</f>
        <v>0</v>
      </c>
      <c r="AG69" t="str">
        <f>IF(AD69=1,"Cleric","")</f>
        <v/>
      </c>
      <c r="AH69" t="s">
        <v>6545</v>
      </c>
      <c r="AI69" t="s">
        <v>6545</v>
      </c>
      <c r="AJ69" t="s">
        <v>6545</v>
      </c>
      <c r="AK69" t="s">
        <v>6545</v>
      </c>
      <c r="AL69" s="602">
        <v>1</v>
      </c>
      <c r="AM69">
        <f t="shared" ref="AM69:AM98" si="32">IF(SpellcastingCleric&gt;0,IF(AM6&lt;&gt;"",1,0),0)</f>
        <v>0</v>
      </c>
      <c r="AN69">
        <f>IF(AM69=0,0,1)</f>
        <v>0</v>
      </c>
      <c r="AO69">
        <f>IF(AN69=0,0,AN69+AN$68)</f>
        <v>0</v>
      </c>
      <c r="AP69" t="str">
        <f>IF(AM69=1,"Cleric","")</f>
        <v/>
      </c>
      <c r="AQ69" t="s">
        <v>6545</v>
      </c>
      <c r="AR69" t="s">
        <v>6545</v>
      </c>
      <c r="AS69" t="s">
        <v>6545</v>
      </c>
      <c r="AT69" t="s">
        <v>6545</v>
      </c>
      <c r="AU69" s="602">
        <v>1</v>
      </c>
      <c r="AV69">
        <f t="shared" ref="AV69:AV98" si="33">IF(SpellcastingCleric&gt;0,IF(AV6&lt;&gt;"",1,0),0)</f>
        <v>0</v>
      </c>
      <c r="AW69">
        <f>IF(AV69=0,0,1)</f>
        <v>0</v>
      </c>
      <c r="AX69">
        <f>IF(AW69=0,0,AW69+AW$68)</f>
        <v>0</v>
      </c>
      <c r="AY69" t="str">
        <f>IF(AV69=1,"Cleric","")</f>
        <v/>
      </c>
      <c r="AZ69" t="s">
        <v>6545</v>
      </c>
      <c r="BA69" t="s">
        <v>6545</v>
      </c>
      <c r="BB69" t="s">
        <v>6545</v>
      </c>
      <c r="BC69" t="s">
        <v>6545</v>
      </c>
      <c r="BD69" s="602">
        <v>1</v>
      </c>
      <c r="BE69">
        <f t="shared" ref="BE69:BE98" si="34">IF(SpellcastingCleric&gt;0,IF(BE6&lt;&gt;"",1,0),0)</f>
        <v>0</v>
      </c>
      <c r="BF69">
        <f>IF(BE69=0,0,1)</f>
        <v>0</v>
      </c>
      <c r="BG69">
        <f>IF(BF69=0,0,BF69+BF$68)</f>
        <v>0</v>
      </c>
      <c r="BH69" t="str">
        <f>IF(BE69=1,"Cleric","")</f>
        <v/>
      </c>
      <c r="BI69" t="s">
        <v>6545</v>
      </c>
      <c r="BJ69" t="s">
        <v>6545</v>
      </c>
      <c r="BK69" t="s">
        <v>6545</v>
      </c>
      <c r="BL69" t="s">
        <v>6545</v>
      </c>
      <c r="BM69" s="602">
        <v>1</v>
      </c>
      <c r="BN69">
        <f t="shared" ref="BN69:BN98" si="35">IF(SpellcastingCleric&gt;0,IF(BN6&lt;&gt;"",1,0),0)</f>
        <v>0</v>
      </c>
      <c r="BO69">
        <f>IF(BN69=0,0,1)</f>
        <v>0</v>
      </c>
      <c r="BP69">
        <f>IF(BO69=0,0,BO69+BO$68)</f>
        <v>0</v>
      </c>
      <c r="BQ69" t="str">
        <f>IF(BN69=1,"Cleric","")</f>
        <v/>
      </c>
      <c r="BR69" t="s">
        <v>6545</v>
      </c>
      <c r="BS69" t="s">
        <v>6545</v>
      </c>
      <c r="BT69" t="s">
        <v>6545</v>
      </c>
      <c r="BU69" t="s">
        <v>6545</v>
      </c>
      <c r="BV69" s="602">
        <v>1</v>
      </c>
      <c r="BW69">
        <f t="shared" ref="BW69:BW98" si="36">IF(SpellcastingCleric&gt;0,IF(BW6&lt;&gt;"",1,0),0)</f>
        <v>0</v>
      </c>
      <c r="BX69">
        <f>IF(BW69=0,0,1)</f>
        <v>0</v>
      </c>
      <c r="BY69">
        <f>IF(BX69=0,0,BX69+BX$68)</f>
        <v>0</v>
      </c>
      <c r="BZ69" t="str">
        <f>IF(BW69=1,"Cleric","")</f>
        <v/>
      </c>
      <c r="CA69" t="s">
        <v>6545</v>
      </c>
      <c r="CB69" t="s">
        <v>6545</v>
      </c>
      <c r="CC69" t="s">
        <v>6545</v>
      </c>
      <c r="CD69" t="s">
        <v>6545</v>
      </c>
    </row>
    <row r="70" spans="1:90" x14ac:dyDescent="0.25">
      <c r="A70" s="120"/>
      <c r="B70" s="5">
        <v>2</v>
      </c>
      <c r="C70">
        <f t="shared" si="28"/>
        <v>0</v>
      </c>
      <c r="D70">
        <f>IF(C70=0,0,1+MAX(D69:D$69))</f>
        <v>0</v>
      </c>
      <c r="E70">
        <f t="shared" ref="E70:E98" si="37">IF(D70=0,0,D70+D$68)</f>
        <v>0</v>
      </c>
      <c r="F70" t="str">
        <f t="shared" ref="F70:F98" si="38">IF(C70=1,"Cleric","")</f>
        <v/>
      </c>
      <c r="G70" t="str">
        <f t="shared" ref="G70:G98" si="39">IF(C70=1,"P","")</f>
        <v/>
      </c>
      <c r="K70" s="602">
        <v>2</v>
      </c>
      <c r="L70">
        <f t="shared" si="29"/>
        <v>0</v>
      </c>
      <c r="M70">
        <f>IF(L70=0,0,1+MAX(M69:M$69))</f>
        <v>0</v>
      </c>
      <c r="N70">
        <f t="shared" ref="N70:N98" si="40">IF(M70=0,0,M70+M$68)</f>
        <v>0</v>
      </c>
      <c r="O70" t="str">
        <f t="shared" ref="O70:O98" si="41">IF(L70=1,"Cleric","")</f>
        <v/>
      </c>
      <c r="P70" t="str">
        <f t="shared" ref="P70:P98" si="42">IF(L70=1,"P","")</f>
        <v/>
      </c>
      <c r="T70" s="602">
        <v>2</v>
      </c>
      <c r="U70">
        <f t="shared" si="30"/>
        <v>0</v>
      </c>
      <c r="V70">
        <f>IF(U70=0,0,1+MAX(V69:V$69))</f>
        <v>0</v>
      </c>
      <c r="W70">
        <f t="shared" ref="W70:W98" si="43">IF(V70=0,0,V70+V$68)</f>
        <v>0</v>
      </c>
      <c r="X70" t="str">
        <f t="shared" ref="X70:X98" si="44">IF(U70=1,"Cleric","")</f>
        <v/>
      </c>
      <c r="Y70" t="str">
        <f t="shared" ref="Y70:Y98" si="45">IF(U70=1,"P","")</f>
        <v/>
      </c>
      <c r="AC70" s="602">
        <v>2</v>
      </c>
      <c r="AD70">
        <f t="shared" si="31"/>
        <v>0</v>
      </c>
      <c r="AE70">
        <f>IF(AD70=0,0,1+MAX(AE69:AE$69))</f>
        <v>0</v>
      </c>
      <c r="AF70">
        <f t="shared" ref="AF70:AF98" si="46">IF(AE70=0,0,AE70+AE$68)</f>
        <v>0</v>
      </c>
      <c r="AG70" t="str">
        <f t="shared" ref="AG70:AG98" si="47">IF(AD70=1,"Cleric","")</f>
        <v/>
      </c>
      <c r="AH70" t="str">
        <f t="shared" ref="AH70:AH98" si="48">IF(AD70=1,"P","")</f>
        <v/>
      </c>
      <c r="AL70" s="602">
        <v>2</v>
      </c>
      <c r="AM70">
        <f t="shared" si="32"/>
        <v>0</v>
      </c>
      <c r="AN70">
        <f>IF(AM70=0,0,1+MAX(AN69:AN$69))</f>
        <v>0</v>
      </c>
      <c r="AO70">
        <f t="shared" ref="AO70:AO98" si="49">IF(AN70=0,0,AN70+AN$68)</f>
        <v>0</v>
      </c>
      <c r="AP70" t="str">
        <f t="shared" ref="AP70:AP98" si="50">IF(AM70=1,"Cleric","")</f>
        <v/>
      </c>
      <c r="AQ70" t="str">
        <f t="shared" ref="AQ70:AQ98" si="51">IF(AM70=1,"P","")</f>
        <v/>
      </c>
      <c r="AU70" s="602">
        <v>2</v>
      </c>
      <c r="AV70">
        <f t="shared" si="33"/>
        <v>0</v>
      </c>
      <c r="AW70">
        <f>IF(AV70=0,0,1+MAX(AW69:AW$69))</f>
        <v>0</v>
      </c>
      <c r="AX70">
        <f t="shared" ref="AX70:AX98" si="52">IF(AW70=0,0,AW70+AW$68)</f>
        <v>0</v>
      </c>
      <c r="AY70" t="str">
        <f t="shared" ref="AY70:AY98" si="53">IF(AV70=1,"Cleric","")</f>
        <v/>
      </c>
      <c r="AZ70" t="str">
        <f t="shared" ref="AZ70:AZ98" si="54">IF(AV70=1,"P","")</f>
        <v/>
      </c>
      <c r="BD70" s="602">
        <v>2</v>
      </c>
      <c r="BE70">
        <f t="shared" si="34"/>
        <v>0</v>
      </c>
      <c r="BF70">
        <f>IF(BE70=0,0,1+MAX(BF69:BF$69))</f>
        <v>0</v>
      </c>
      <c r="BG70">
        <f t="shared" ref="BG70:BG98" si="55">IF(BF70=0,0,BF70+BF$68)</f>
        <v>0</v>
      </c>
      <c r="BH70" t="str">
        <f t="shared" ref="BH70:BH98" si="56">IF(BE70=1,"Cleric","")</f>
        <v/>
      </c>
      <c r="BI70" t="str">
        <f t="shared" ref="BI70:BI98" si="57">IF(BE70=1,"P","")</f>
        <v/>
      </c>
      <c r="BM70" s="602">
        <v>2</v>
      </c>
      <c r="BN70">
        <f t="shared" si="35"/>
        <v>0</v>
      </c>
      <c r="BO70">
        <f>IF(BN70=0,0,1+MAX(BO69:BO$69))</f>
        <v>0</v>
      </c>
      <c r="BP70">
        <f t="shared" ref="BP70:BP98" si="58">IF(BO70=0,0,BO70+BO$68)</f>
        <v>0</v>
      </c>
      <c r="BQ70" t="str">
        <f t="shared" ref="BQ70:BQ98" si="59">IF(BN70=1,"Cleric","")</f>
        <v/>
      </c>
      <c r="BR70" t="str">
        <f t="shared" ref="BR70:BR98" si="60">IF(BN70=1,"P","")</f>
        <v/>
      </c>
      <c r="BV70" s="602">
        <v>2</v>
      </c>
      <c r="BW70">
        <f t="shared" si="36"/>
        <v>0</v>
      </c>
      <c r="BX70">
        <f>IF(BW70=0,0,1+MAX(BX69:BX$69))</f>
        <v>0</v>
      </c>
      <c r="BY70">
        <f t="shared" ref="BY70:BY98" si="61">IF(BX70=0,0,BX70+BX$68)</f>
        <v>0</v>
      </c>
      <c r="BZ70" t="str">
        <f t="shared" ref="BZ70:BZ98" si="62">IF(BW70=1,"Cleric","")</f>
        <v/>
      </c>
      <c r="CA70" t="str">
        <f t="shared" ref="CA70:CA98" si="63">IF(BW70=1,"P","")</f>
        <v/>
      </c>
    </row>
    <row r="71" spans="1:90" x14ac:dyDescent="0.25">
      <c r="A71" s="120"/>
      <c r="B71" s="5">
        <v>3</v>
      </c>
      <c r="C71">
        <f t="shared" si="28"/>
        <v>0</v>
      </c>
      <c r="D71">
        <f>IF(C71=0,0,1+MAX(D$69:D70))</f>
        <v>0</v>
      </c>
      <c r="E71">
        <f t="shared" si="37"/>
        <v>0</v>
      </c>
      <c r="F71" t="str">
        <f t="shared" si="38"/>
        <v/>
      </c>
      <c r="G71" t="str">
        <f t="shared" si="39"/>
        <v/>
      </c>
      <c r="K71" s="602">
        <v>3</v>
      </c>
      <c r="L71">
        <f t="shared" si="29"/>
        <v>0</v>
      </c>
      <c r="M71">
        <f>IF(L71=0,0,1+MAX(M$69:M70))</f>
        <v>0</v>
      </c>
      <c r="N71">
        <f t="shared" si="40"/>
        <v>0</v>
      </c>
      <c r="O71" t="str">
        <f t="shared" si="41"/>
        <v/>
      </c>
      <c r="P71" t="str">
        <f t="shared" si="42"/>
        <v/>
      </c>
      <c r="T71" s="602">
        <v>3</v>
      </c>
      <c r="U71">
        <f t="shared" si="30"/>
        <v>0</v>
      </c>
      <c r="V71">
        <f>IF(U71=0,0,1+MAX(V$69:V70))</f>
        <v>0</v>
      </c>
      <c r="W71">
        <f t="shared" si="43"/>
        <v>0</v>
      </c>
      <c r="X71" t="str">
        <f t="shared" si="44"/>
        <v/>
      </c>
      <c r="Y71" t="str">
        <f t="shared" si="45"/>
        <v/>
      </c>
      <c r="AC71" s="602">
        <v>3</v>
      </c>
      <c r="AD71">
        <f t="shared" si="31"/>
        <v>0</v>
      </c>
      <c r="AE71">
        <f>IF(AD71=0,0,1+MAX(AE$69:AE70))</f>
        <v>0</v>
      </c>
      <c r="AF71">
        <f t="shared" si="46"/>
        <v>0</v>
      </c>
      <c r="AG71" t="str">
        <f t="shared" si="47"/>
        <v/>
      </c>
      <c r="AH71" t="str">
        <f t="shared" si="48"/>
        <v/>
      </c>
      <c r="AL71" s="602">
        <v>3</v>
      </c>
      <c r="AM71">
        <f t="shared" si="32"/>
        <v>0</v>
      </c>
      <c r="AN71">
        <f>IF(AM71=0,0,1+MAX(AN$69:AN70))</f>
        <v>0</v>
      </c>
      <c r="AO71">
        <f t="shared" si="49"/>
        <v>0</v>
      </c>
      <c r="AP71" t="str">
        <f t="shared" si="50"/>
        <v/>
      </c>
      <c r="AQ71" t="str">
        <f t="shared" si="51"/>
        <v/>
      </c>
      <c r="AU71" s="602">
        <v>3</v>
      </c>
      <c r="AV71">
        <f t="shared" si="33"/>
        <v>0</v>
      </c>
      <c r="AW71">
        <f>IF(AV71=0,0,1+MAX(AW$69:AW70))</f>
        <v>0</v>
      </c>
      <c r="AX71">
        <f t="shared" si="52"/>
        <v>0</v>
      </c>
      <c r="AY71" t="str">
        <f t="shared" si="53"/>
        <v/>
      </c>
      <c r="AZ71" t="str">
        <f t="shared" si="54"/>
        <v/>
      </c>
      <c r="BD71" s="602">
        <v>3</v>
      </c>
      <c r="BE71">
        <f t="shared" si="34"/>
        <v>0</v>
      </c>
      <c r="BF71">
        <f>IF(BE71=0,0,1+MAX(BF$69:BF70))</f>
        <v>0</v>
      </c>
      <c r="BG71">
        <f t="shared" si="55"/>
        <v>0</v>
      </c>
      <c r="BH71" t="str">
        <f t="shared" si="56"/>
        <v/>
      </c>
      <c r="BI71" t="str">
        <f t="shared" si="57"/>
        <v/>
      </c>
      <c r="BM71" s="602">
        <v>3</v>
      </c>
      <c r="BN71">
        <f t="shared" si="35"/>
        <v>0</v>
      </c>
      <c r="BO71">
        <f>IF(BN71=0,0,1+MAX(BO$69:BO70))</f>
        <v>0</v>
      </c>
      <c r="BP71">
        <f t="shared" si="58"/>
        <v>0</v>
      </c>
      <c r="BQ71" t="str">
        <f t="shared" si="59"/>
        <v/>
      </c>
      <c r="BR71" t="str">
        <f t="shared" si="60"/>
        <v/>
      </c>
      <c r="BV71" s="602">
        <v>3</v>
      </c>
      <c r="BW71">
        <f t="shared" si="36"/>
        <v>0</v>
      </c>
      <c r="BX71">
        <f>IF(BW71=0,0,1+MAX(BX$69:BX70))</f>
        <v>0</v>
      </c>
      <c r="BY71">
        <f t="shared" si="61"/>
        <v>0</v>
      </c>
      <c r="BZ71" t="str">
        <f t="shared" si="62"/>
        <v/>
      </c>
      <c r="CA71" t="str">
        <f t="shared" si="63"/>
        <v/>
      </c>
    </row>
    <row r="72" spans="1:90" x14ac:dyDescent="0.25">
      <c r="A72" s="120"/>
      <c r="B72" s="5">
        <v>4</v>
      </c>
      <c r="C72">
        <f t="shared" si="28"/>
        <v>0</v>
      </c>
      <c r="D72">
        <f>IF(C72=0,0,1+MAX(D$69:D71))</f>
        <v>0</v>
      </c>
      <c r="E72">
        <f t="shared" si="37"/>
        <v>0</v>
      </c>
      <c r="F72" t="str">
        <f t="shared" si="38"/>
        <v/>
      </c>
      <c r="G72" t="str">
        <f t="shared" si="39"/>
        <v/>
      </c>
      <c r="K72" s="602">
        <v>4</v>
      </c>
      <c r="L72">
        <f t="shared" si="29"/>
        <v>0</v>
      </c>
      <c r="M72">
        <f>IF(L72=0,0,1+MAX(M$69:M71))</f>
        <v>0</v>
      </c>
      <c r="N72">
        <f t="shared" si="40"/>
        <v>0</v>
      </c>
      <c r="O72" t="str">
        <f t="shared" si="41"/>
        <v/>
      </c>
      <c r="P72" t="str">
        <f t="shared" si="42"/>
        <v/>
      </c>
      <c r="T72" s="602">
        <v>4</v>
      </c>
      <c r="U72">
        <f t="shared" si="30"/>
        <v>0</v>
      </c>
      <c r="V72">
        <f>IF(U72=0,0,1+MAX(V$69:V71))</f>
        <v>0</v>
      </c>
      <c r="W72">
        <f t="shared" si="43"/>
        <v>0</v>
      </c>
      <c r="X72" t="str">
        <f t="shared" si="44"/>
        <v/>
      </c>
      <c r="Y72" t="str">
        <f t="shared" si="45"/>
        <v/>
      </c>
      <c r="AC72" s="602">
        <v>4</v>
      </c>
      <c r="AD72">
        <f t="shared" si="31"/>
        <v>0</v>
      </c>
      <c r="AE72">
        <f>IF(AD72=0,0,1+MAX(AE$69:AE71))</f>
        <v>0</v>
      </c>
      <c r="AF72">
        <f t="shared" si="46"/>
        <v>0</v>
      </c>
      <c r="AG72" t="str">
        <f t="shared" si="47"/>
        <v/>
      </c>
      <c r="AH72" t="str">
        <f t="shared" si="48"/>
        <v/>
      </c>
      <c r="AL72" s="602">
        <v>4</v>
      </c>
      <c r="AM72">
        <f t="shared" si="32"/>
        <v>0</v>
      </c>
      <c r="AN72">
        <f>IF(AM72=0,0,1+MAX(AN$69:AN71))</f>
        <v>0</v>
      </c>
      <c r="AO72">
        <f t="shared" si="49"/>
        <v>0</v>
      </c>
      <c r="AP72" t="str">
        <f t="shared" si="50"/>
        <v/>
      </c>
      <c r="AQ72" t="str">
        <f t="shared" si="51"/>
        <v/>
      </c>
      <c r="AU72" s="602">
        <v>4</v>
      </c>
      <c r="AV72">
        <f t="shared" si="33"/>
        <v>0</v>
      </c>
      <c r="AW72">
        <f>IF(AV72=0,0,1+MAX(AW$69:AW71))</f>
        <v>0</v>
      </c>
      <c r="AX72">
        <f t="shared" si="52"/>
        <v>0</v>
      </c>
      <c r="AY72" t="str">
        <f t="shared" si="53"/>
        <v/>
      </c>
      <c r="AZ72" t="str">
        <f t="shared" si="54"/>
        <v/>
      </c>
      <c r="BD72" s="602">
        <v>4</v>
      </c>
      <c r="BE72">
        <f t="shared" si="34"/>
        <v>0</v>
      </c>
      <c r="BF72">
        <f>IF(BE72=0,0,1+MAX(BF$69:BF71))</f>
        <v>0</v>
      </c>
      <c r="BG72">
        <f t="shared" si="55"/>
        <v>0</v>
      </c>
      <c r="BH72" t="str">
        <f t="shared" si="56"/>
        <v/>
      </c>
      <c r="BI72" t="str">
        <f t="shared" si="57"/>
        <v/>
      </c>
      <c r="BM72" s="602">
        <v>4</v>
      </c>
      <c r="BN72">
        <f t="shared" si="35"/>
        <v>0</v>
      </c>
      <c r="BO72">
        <f>IF(BN72=0,0,1+MAX(BO$69:BO71))</f>
        <v>0</v>
      </c>
      <c r="BP72">
        <f t="shared" si="58"/>
        <v>0</v>
      </c>
      <c r="BQ72" t="str">
        <f t="shared" si="59"/>
        <v/>
      </c>
      <c r="BR72" t="str">
        <f t="shared" si="60"/>
        <v/>
      </c>
      <c r="BV72" s="602">
        <v>4</v>
      </c>
      <c r="BW72">
        <f t="shared" si="36"/>
        <v>0</v>
      </c>
      <c r="BX72">
        <f>IF(BW72=0,0,1+MAX(BX$69:BX71))</f>
        <v>0</v>
      </c>
      <c r="BY72">
        <f t="shared" si="61"/>
        <v>0</v>
      </c>
      <c r="BZ72" t="str">
        <f t="shared" si="62"/>
        <v/>
      </c>
      <c r="CA72" t="str">
        <f t="shared" si="63"/>
        <v/>
      </c>
    </row>
    <row r="73" spans="1:90" x14ac:dyDescent="0.25">
      <c r="A73" s="120"/>
      <c r="B73" s="5">
        <v>5</v>
      </c>
      <c r="C73">
        <f t="shared" si="28"/>
        <v>0</v>
      </c>
      <c r="D73">
        <f>IF(C73=0,0,1+MAX(D$69:D72))</f>
        <v>0</v>
      </c>
      <c r="E73">
        <f t="shared" si="37"/>
        <v>0</v>
      </c>
      <c r="F73" t="str">
        <f t="shared" si="38"/>
        <v/>
      </c>
      <c r="G73" t="str">
        <f t="shared" si="39"/>
        <v/>
      </c>
      <c r="K73" s="602">
        <v>5</v>
      </c>
      <c r="L73">
        <f t="shared" si="29"/>
        <v>0</v>
      </c>
      <c r="M73">
        <f>IF(L73=0,0,1+MAX(M$69:M72))</f>
        <v>0</v>
      </c>
      <c r="N73">
        <f t="shared" si="40"/>
        <v>0</v>
      </c>
      <c r="O73" t="str">
        <f t="shared" si="41"/>
        <v/>
      </c>
      <c r="P73" t="str">
        <f t="shared" si="42"/>
        <v/>
      </c>
      <c r="T73" s="602">
        <v>5</v>
      </c>
      <c r="U73">
        <f t="shared" si="30"/>
        <v>0</v>
      </c>
      <c r="V73">
        <f>IF(U73=0,0,1+MAX(V$69:V72))</f>
        <v>0</v>
      </c>
      <c r="W73">
        <f t="shared" si="43"/>
        <v>0</v>
      </c>
      <c r="X73" t="str">
        <f t="shared" si="44"/>
        <v/>
      </c>
      <c r="Y73" t="str">
        <f t="shared" si="45"/>
        <v/>
      </c>
      <c r="AC73" s="602">
        <v>5</v>
      </c>
      <c r="AD73">
        <f t="shared" si="31"/>
        <v>0</v>
      </c>
      <c r="AE73">
        <f>IF(AD73=0,0,1+MAX(AE$69:AE72))</f>
        <v>0</v>
      </c>
      <c r="AF73">
        <f t="shared" si="46"/>
        <v>0</v>
      </c>
      <c r="AG73" t="str">
        <f t="shared" si="47"/>
        <v/>
      </c>
      <c r="AH73" t="str">
        <f t="shared" si="48"/>
        <v/>
      </c>
      <c r="AL73" s="602">
        <v>5</v>
      </c>
      <c r="AM73">
        <f t="shared" si="32"/>
        <v>0</v>
      </c>
      <c r="AN73">
        <f>IF(AM73=0,0,1+MAX(AN$69:AN72))</f>
        <v>0</v>
      </c>
      <c r="AO73">
        <f t="shared" si="49"/>
        <v>0</v>
      </c>
      <c r="AP73" t="str">
        <f t="shared" si="50"/>
        <v/>
      </c>
      <c r="AQ73" t="str">
        <f t="shared" si="51"/>
        <v/>
      </c>
      <c r="AU73" s="602">
        <v>5</v>
      </c>
      <c r="AV73">
        <f t="shared" si="33"/>
        <v>0</v>
      </c>
      <c r="AW73">
        <f>IF(AV73=0,0,1+MAX(AW$69:AW72))</f>
        <v>0</v>
      </c>
      <c r="AX73">
        <f t="shared" si="52"/>
        <v>0</v>
      </c>
      <c r="AY73" t="str">
        <f t="shared" si="53"/>
        <v/>
      </c>
      <c r="AZ73" t="str">
        <f t="shared" si="54"/>
        <v/>
      </c>
      <c r="BD73" s="602">
        <v>5</v>
      </c>
      <c r="BE73">
        <f t="shared" si="34"/>
        <v>0</v>
      </c>
      <c r="BF73">
        <f>IF(BE73=0,0,1+MAX(BF$69:BF72))</f>
        <v>0</v>
      </c>
      <c r="BG73">
        <f t="shared" si="55"/>
        <v>0</v>
      </c>
      <c r="BH73" t="str">
        <f t="shared" si="56"/>
        <v/>
      </c>
      <c r="BI73" t="str">
        <f t="shared" si="57"/>
        <v/>
      </c>
      <c r="BM73" s="602">
        <v>5</v>
      </c>
      <c r="BN73">
        <f t="shared" si="35"/>
        <v>0</v>
      </c>
      <c r="BO73">
        <f>IF(BN73=0,0,1+MAX(BO$69:BO72))</f>
        <v>0</v>
      </c>
      <c r="BP73">
        <f t="shared" si="58"/>
        <v>0</v>
      </c>
      <c r="BQ73" t="str">
        <f t="shared" si="59"/>
        <v/>
      </c>
      <c r="BR73" t="str">
        <f t="shared" si="60"/>
        <v/>
      </c>
      <c r="BV73" s="602">
        <v>5</v>
      </c>
      <c r="BW73">
        <f t="shared" si="36"/>
        <v>0</v>
      </c>
      <c r="BX73">
        <f>IF(BW73=0,0,1+MAX(BX$69:BX72))</f>
        <v>0</v>
      </c>
      <c r="BY73">
        <f t="shared" si="61"/>
        <v>0</v>
      </c>
      <c r="BZ73" t="str">
        <f t="shared" si="62"/>
        <v/>
      </c>
      <c r="CA73" t="str">
        <f t="shared" si="63"/>
        <v/>
      </c>
    </row>
    <row r="74" spans="1:90" x14ac:dyDescent="0.25">
      <c r="A74" s="120"/>
      <c r="B74" s="5">
        <v>6</v>
      </c>
      <c r="C74">
        <f t="shared" si="28"/>
        <v>0</v>
      </c>
      <c r="D74">
        <f>IF(C74=0,0,1+MAX(D$69:D73))</f>
        <v>0</v>
      </c>
      <c r="E74">
        <f t="shared" si="37"/>
        <v>0</v>
      </c>
      <c r="F74" t="str">
        <f t="shared" si="38"/>
        <v/>
      </c>
      <c r="G74" t="str">
        <f t="shared" si="39"/>
        <v/>
      </c>
      <c r="K74" s="602">
        <v>6</v>
      </c>
      <c r="L74">
        <f t="shared" si="29"/>
        <v>0</v>
      </c>
      <c r="M74">
        <f>IF(L74=0,0,1+MAX(M$69:M73))</f>
        <v>0</v>
      </c>
      <c r="N74">
        <f t="shared" si="40"/>
        <v>0</v>
      </c>
      <c r="O74" t="str">
        <f t="shared" si="41"/>
        <v/>
      </c>
      <c r="P74" t="str">
        <f t="shared" si="42"/>
        <v/>
      </c>
      <c r="T74" s="602">
        <v>6</v>
      </c>
      <c r="U74">
        <f t="shared" si="30"/>
        <v>0</v>
      </c>
      <c r="V74">
        <f>IF(U74=0,0,1+MAX(V$69:V73))</f>
        <v>0</v>
      </c>
      <c r="W74">
        <f t="shared" si="43"/>
        <v>0</v>
      </c>
      <c r="X74" t="str">
        <f t="shared" si="44"/>
        <v/>
      </c>
      <c r="Y74" t="str">
        <f t="shared" si="45"/>
        <v/>
      </c>
      <c r="AC74" s="602">
        <v>6</v>
      </c>
      <c r="AD74">
        <f t="shared" si="31"/>
        <v>0</v>
      </c>
      <c r="AE74">
        <f>IF(AD74=0,0,1+MAX(AE$69:AE73))</f>
        <v>0</v>
      </c>
      <c r="AF74">
        <f t="shared" si="46"/>
        <v>0</v>
      </c>
      <c r="AG74" t="str">
        <f t="shared" si="47"/>
        <v/>
      </c>
      <c r="AH74" t="str">
        <f t="shared" si="48"/>
        <v/>
      </c>
      <c r="AL74" s="602">
        <v>6</v>
      </c>
      <c r="AM74">
        <f t="shared" si="32"/>
        <v>0</v>
      </c>
      <c r="AN74">
        <f>IF(AM74=0,0,1+MAX(AN$69:AN73))</f>
        <v>0</v>
      </c>
      <c r="AO74">
        <f t="shared" si="49"/>
        <v>0</v>
      </c>
      <c r="AP74" t="str">
        <f t="shared" si="50"/>
        <v/>
      </c>
      <c r="AQ74" t="str">
        <f t="shared" si="51"/>
        <v/>
      </c>
      <c r="AU74" s="602">
        <v>6</v>
      </c>
      <c r="AV74">
        <f t="shared" si="33"/>
        <v>0</v>
      </c>
      <c r="AW74">
        <f>IF(AV74=0,0,1+MAX(AW$69:AW73))</f>
        <v>0</v>
      </c>
      <c r="AX74">
        <f t="shared" si="52"/>
        <v>0</v>
      </c>
      <c r="AY74" t="str">
        <f t="shared" si="53"/>
        <v/>
      </c>
      <c r="AZ74" t="str">
        <f t="shared" si="54"/>
        <v/>
      </c>
      <c r="BD74" s="602">
        <v>6</v>
      </c>
      <c r="BE74">
        <f t="shared" si="34"/>
        <v>0</v>
      </c>
      <c r="BF74">
        <f>IF(BE74=0,0,1+MAX(BF$69:BF73))</f>
        <v>0</v>
      </c>
      <c r="BG74">
        <f t="shared" si="55"/>
        <v>0</v>
      </c>
      <c r="BH74" t="str">
        <f t="shared" si="56"/>
        <v/>
      </c>
      <c r="BI74" t="str">
        <f t="shared" si="57"/>
        <v/>
      </c>
      <c r="BM74" s="602">
        <v>6</v>
      </c>
      <c r="BN74">
        <f t="shared" si="35"/>
        <v>0</v>
      </c>
      <c r="BO74">
        <f>IF(BN74=0,0,1+MAX(BO$69:BO73))</f>
        <v>0</v>
      </c>
      <c r="BP74">
        <f t="shared" si="58"/>
        <v>0</v>
      </c>
      <c r="BQ74" t="str">
        <f t="shared" si="59"/>
        <v/>
      </c>
      <c r="BR74" t="str">
        <f t="shared" si="60"/>
        <v/>
      </c>
      <c r="BV74" s="602">
        <v>6</v>
      </c>
      <c r="BW74">
        <f t="shared" si="36"/>
        <v>0</v>
      </c>
      <c r="BX74">
        <f>IF(BW74=0,0,1+MAX(BX$69:BX73))</f>
        <v>0</v>
      </c>
      <c r="BY74">
        <f t="shared" si="61"/>
        <v>0</v>
      </c>
      <c r="BZ74" t="str">
        <f t="shared" si="62"/>
        <v/>
      </c>
      <c r="CA74" t="str">
        <f t="shared" si="63"/>
        <v/>
      </c>
    </row>
    <row r="75" spans="1:90" x14ac:dyDescent="0.25">
      <c r="B75" s="5">
        <v>7</v>
      </c>
      <c r="C75">
        <f t="shared" si="28"/>
        <v>0</v>
      </c>
      <c r="D75">
        <f>IF(C75=0,0,1+MAX(D$69:D74))</f>
        <v>0</v>
      </c>
      <c r="E75">
        <f t="shared" si="37"/>
        <v>0</v>
      </c>
      <c r="F75" t="str">
        <f t="shared" si="38"/>
        <v/>
      </c>
      <c r="G75" t="str">
        <f t="shared" si="39"/>
        <v/>
      </c>
      <c r="K75" s="602">
        <v>7</v>
      </c>
      <c r="L75">
        <f t="shared" si="29"/>
        <v>0</v>
      </c>
      <c r="M75">
        <f>IF(L75=0,0,1+MAX(M$69:M74))</f>
        <v>0</v>
      </c>
      <c r="N75">
        <f t="shared" si="40"/>
        <v>0</v>
      </c>
      <c r="O75" t="str">
        <f t="shared" si="41"/>
        <v/>
      </c>
      <c r="P75" t="str">
        <f t="shared" si="42"/>
        <v/>
      </c>
      <c r="T75" s="602">
        <v>7</v>
      </c>
      <c r="U75">
        <f t="shared" si="30"/>
        <v>0</v>
      </c>
      <c r="V75">
        <f>IF(U75=0,0,1+MAX(V$69:V74))</f>
        <v>0</v>
      </c>
      <c r="W75">
        <f t="shared" si="43"/>
        <v>0</v>
      </c>
      <c r="X75" t="str">
        <f t="shared" si="44"/>
        <v/>
      </c>
      <c r="Y75" t="str">
        <f t="shared" si="45"/>
        <v/>
      </c>
      <c r="AC75" s="602">
        <v>7</v>
      </c>
      <c r="AD75">
        <f t="shared" si="31"/>
        <v>0</v>
      </c>
      <c r="AE75">
        <f>IF(AD75=0,0,1+MAX(AE$69:AE74))</f>
        <v>0</v>
      </c>
      <c r="AF75">
        <f t="shared" si="46"/>
        <v>0</v>
      </c>
      <c r="AG75" t="str">
        <f t="shared" si="47"/>
        <v/>
      </c>
      <c r="AH75" t="str">
        <f t="shared" si="48"/>
        <v/>
      </c>
      <c r="AL75" s="602">
        <v>7</v>
      </c>
      <c r="AM75">
        <f t="shared" si="32"/>
        <v>0</v>
      </c>
      <c r="AN75">
        <f>IF(AM75=0,0,1+MAX(AN$69:AN74))</f>
        <v>0</v>
      </c>
      <c r="AO75">
        <f t="shared" si="49"/>
        <v>0</v>
      </c>
      <c r="AP75" t="str">
        <f t="shared" si="50"/>
        <v/>
      </c>
      <c r="AQ75" t="str">
        <f t="shared" si="51"/>
        <v/>
      </c>
      <c r="AU75" s="602">
        <v>7</v>
      </c>
      <c r="AV75">
        <f t="shared" si="33"/>
        <v>0</v>
      </c>
      <c r="AW75">
        <f>IF(AV75=0,0,1+MAX(AW$69:AW74))</f>
        <v>0</v>
      </c>
      <c r="AX75">
        <f t="shared" si="52"/>
        <v>0</v>
      </c>
      <c r="AY75" t="str">
        <f t="shared" si="53"/>
        <v/>
      </c>
      <c r="AZ75" t="str">
        <f t="shared" si="54"/>
        <v/>
      </c>
      <c r="BD75" s="602">
        <v>7</v>
      </c>
      <c r="BE75">
        <f t="shared" si="34"/>
        <v>0</v>
      </c>
      <c r="BF75">
        <f>IF(BE75=0,0,1+MAX(BF$69:BF74))</f>
        <v>0</v>
      </c>
      <c r="BG75">
        <f t="shared" si="55"/>
        <v>0</v>
      </c>
      <c r="BH75" t="str">
        <f t="shared" si="56"/>
        <v/>
      </c>
      <c r="BI75" t="str">
        <f t="shared" si="57"/>
        <v/>
      </c>
      <c r="BM75" s="602">
        <v>7</v>
      </c>
      <c r="BN75">
        <f t="shared" si="35"/>
        <v>0</v>
      </c>
      <c r="BO75">
        <f>IF(BN75=0,0,1+MAX(BO$69:BO74))</f>
        <v>0</v>
      </c>
      <c r="BP75">
        <f t="shared" si="58"/>
        <v>0</v>
      </c>
      <c r="BQ75" t="str">
        <f t="shared" si="59"/>
        <v/>
      </c>
      <c r="BR75" t="str">
        <f t="shared" si="60"/>
        <v/>
      </c>
      <c r="BV75" s="602">
        <v>7</v>
      </c>
      <c r="BW75">
        <f t="shared" si="36"/>
        <v>0</v>
      </c>
      <c r="BX75">
        <f>IF(BW75=0,0,1+MAX(BX$69:BX74))</f>
        <v>0</v>
      </c>
      <c r="BY75">
        <f t="shared" si="61"/>
        <v>0</v>
      </c>
      <c r="BZ75" t="str">
        <f t="shared" si="62"/>
        <v/>
      </c>
      <c r="CA75" t="str">
        <f t="shared" si="63"/>
        <v/>
      </c>
    </row>
    <row r="76" spans="1:90" x14ac:dyDescent="0.25">
      <c r="B76" s="5">
        <v>8</v>
      </c>
      <c r="C76">
        <f t="shared" si="28"/>
        <v>0</v>
      </c>
      <c r="D76">
        <f>IF(C76=0,0,1+MAX(D$69:D75))</f>
        <v>0</v>
      </c>
      <c r="E76">
        <f t="shared" si="37"/>
        <v>0</v>
      </c>
      <c r="F76" t="str">
        <f t="shared" si="38"/>
        <v/>
      </c>
      <c r="G76" t="str">
        <f t="shared" si="39"/>
        <v/>
      </c>
      <c r="K76" s="602">
        <v>8</v>
      </c>
      <c r="L76">
        <f t="shared" si="29"/>
        <v>0</v>
      </c>
      <c r="M76">
        <f>IF(L76=0,0,1+MAX(M$69:M75))</f>
        <v>0</v>
      </c>
      <c r="N76">
        <f t="shared" si="40"/>
        <v>0</v>
      </c>
      <c r="O76" t="str">
        <f t="shared" si="41"/>
        <v/>
      </c>
      <c r="P76" t="str">
        <f t="shared" si="42"/>
        <v/>
      </c>
      <c r="T76" s="602">
        <v>8</v>
      </c>
      <c r="U76">
        <f t="shared" si="30"/>
        <v>0</v>
      </c>
      <c r="V76">
        <f>IF(U76=0,0,1+MAX(V$69:V75))</f>
        <v>0</v>
      </c>
      <c r="W76">
        <f t="shared" si="43"/>
        <v>0</v>
      </c>
      <c r="X76" t="str">
        <f t="shared" si="44"/>
        <v/>
      </c>
      <c r="Y76" t="str">
        <f t="shared" si="45"/>
        <v/>
      </c>
      <c r="AC76" s="602">
        <v>8</v>
      </c>
      <c r="AD76">
        <f t="shared" si="31"/>
        <v>0</v>
      </c>
      <c r="AE76">
        <f>IF(AD76=0,0,1+MAX(AE$69:AE75))</f>
        <v>0</v>
      </c>
      <c r="AF76">
        <f t="shared" si="46"/>
        <v>0</v>
      </c>
      <c r="AG76" t="str">
        <f t="shared" si="47"/>
        <v/>
      </c>
      <c r="AH76" t="str">
        <f t="shared" si="48"/>
        <v/>
      </c>
      <c r="AL76" s="602">
        <v>8</v>
      </c>
      <c r="AM76">
        <f t="shared" si="32"/>
        <v>0</v>
      </c>
      <c r="AN76">
        <f>IF(AM76=0,0,1+MAX(AN$69:AN75))</f>
        <v>0</v>
      </c>
      <c r="AO76">
        <f t="shared" si="49"/>
        <v>0</v>
      </c>
      <c r="AP76" t="str">
        <f t="shared" si="50"/>
        <v/>
      </c>
      <c r="AQ76" t="str">
        <f t="shared" si="51"/>
        <v/>
      </c>
      <c r="AU76" s="602">
        <v>8</v>
      </c>
      <c r="AV76">
        <f t="shared" si="33"/>
        <v>0</v>
      </c>
      <c r="AW76">
        <f>IF(AV76=0,0,1+MAX(AW$69:AW75))</f>
        <v>0</v>
      </c>
      <c r="AX76">
        <f t="shared" si="52"/>
        <v>0</v>
      </c>
      <c r="AY76" t="str">
        <f t="shared" si="53"/>
        <v/>
      </c>
      <c r="AZ76" t="str">
        <f t="shared" si="54"/>
        <v/>
      </c>
      <c r="BD76" s="602">
        <v>8</v>
      </c>
      <c r="BE76">
        <f t="shared" si="34"/>
        <v>0</v>
      </c>
      <c r="BF76">
        <f>IF(BE76=0,0,1+MAX(BF$69:BF75))</f>
        <v>0</v>
      </c>
      <c r="BG76">
        <f t="shared" si="55"/>
        <v>0</v>
      </c>
      <c r="BH76" t="str">
        <f t="shared" si="56"/>
        <v/>
      </c>
      <c r="BI76" t="str">
        <f t="shared" si="57"/>
        <v/>
      </c>
      <c r="BM76" s="602">
        <v>8</v>
      </c>
      <c r="BN76">
        <f t="shared" si="35"/>
        <v>0</v>
      </c>
      <c r="BO76">
        <f>IF(BN76=0,0,1+MAX(BO$69:BO75))</f>
        <v>0</v>
      </c>
      <c r="BP76">
        <f t="shared" si="58"/>
        <v>0</v>
      </c>
      <c r="BQ76" t="str">
        <f t="shared" si="59"/>
        <v/>
      </c>
      <c r="BR76" t="str">
        <f t="shared" si="60"/>
        <v/>
      </c>
      <c r="BV76" s="602">
        <v>8</v>
      </c>
      <c r="BW76">
        <f t="shared" si="36"/>
        <v>0</v>
      </c>
      <c r="BX76">
        <f>IF(BW76=0,0,1+MAX(BX$69:BX75))</f>
        <v>0</v>
      </c>
      <c r="BY76">
        <f t="shared" si="61"/>
        <v>0</v>
      </c>
      <c r="BZ76" t="str">
        <f t="shared" si="62"/>
        <v/>
      </c>
      <c r="CA76" t="str">
        <f t="shared" si="63"/>
        <v/>
      </c>
    </row>
    <row r="77" spans="1:90" x14ac:dyDescent="0.25">
      <c r="B77" s="5">
        <v>9</v>
      </c>
      <c r="C77">
        <f t="shared" si="28"/>
        <v>0</v>
      </c>
      <c r="D77">
        <f>IF(C77=0,0,1+MAX(D$69:D76))</f>
        <v>0</v>
      </c>
      <c r="E77">
        <f t="shared" si="37"/>
        <v>0</v>
      </c>
      <c r="F77" t="str">
        <f t="shared" si="38"/>
        <v/>
      </c>
      <c r="G77" t="str">
        <f t="shared" si="39"/>
        <v/>
      </c>
      <c r="K77" s="602">
        <v>9</v>
      </c>
      <c r="L77">
        <f t="shared" si="29"/>
        <v>0</v>
      </c>
      <c r="M77">
        <f>IF(L77=0,0,1+MAX(M$69:M76))</f>
        <v>0</v>
      </c>
      <c r="N77">
        <f t="shared" si="40"/>
        <v>0</v>
      </c>
      <c r="O77" t="str">
        <f t="shared" si="41"/>
        <v/>
      </c>
      <c r="P77" t="str">
        <f t="shared" si="42"/>
        <v/>
      </c>
      <c r="T77" s="602">
        <v>9</v>
      </c>
      <c r="U77">
        <f t="shared" si="30"/>
        <v>0</v>
      </c>
      <c r="V77">
        <f>IF(U77=0,0,1+MAX(V$69:V76))</f>
        <v>0</v>
      </c>
      <c r="W77">
        <f t="shared" si="43"/>
        <v>0</v>
      </c>
      <c r="X77" t="str">
        <f t="shared" si="44"/>
        <v/>
      </c>
      <c r="Y77" t="str">
        <f t="shared" si="45"/>
        <v/>
      </c>
      <c r="AC77" s="602">
        <v>9</v>
      </c>
      <c r="AD77">
        <f t="shared" si="31"/>
        <v>0</v>
      </c>
      <c r="AE77">
        <f>IF(AD77=0,0,1+MAX(AE$69:AE76))</f>
        <v>0</v>
      </c>
      <c r="AF77">
        <f t="shared" si="46"/>
        <v>0</v>
      </c>
      <c r="AG77" t="str">
        <f t="shared" si="47"/>
        <v/>
      </c>
      <c r="AH77" t="str">
        <f t="shared" si="48"/>
        <v/>
      </c>
      <c r="AL77" s="602">
        <v>9</v>
      </c>
      <c r="AM77">
        <f t="shared" si="32"/>
        <v>0</v>
      </c>
      <c r="AN77">
        <f>IF(AM77=0,0,1+MAX(AN$69:AN76))</f>
        <v>0</v>
      </c>
      <c r="AO77">
        <f t="shared" si="49"/>
        <v>0</v>
      </c>
      <c r="AP77" t="str">
        <f t="shared" si="50"/>
        <v/>
      </c>
      <c r="AQ77" t="str">
        <f t="shared" si="51"/>
        <v/>
      </c>
      <c r="AU77" s="602">
        <v>9</v>
      </c>
      <c r="AV77">
        <f t="shared" si="33"/>
        <v>0</v>
      </c>
      <c r="AW77">
        <f>IF(AV77=0,0,1+MAX(AW$69:AW76))</f>
        <v>0</v>
      </c>
      <c r="AX77">
        <f t="shared" si="52"/>
        <v>0</v>
      </c>
      <c r="AY77" t="str">
        <f t="shared" si="53"/>
        <v/>
      </c>
      <c r="AZ77" t="str">
        <f t="shared" si="54"/>
        <v/>
      </c>
      <c r="BD77" s="602">
        <v>9</v>
      </c>
      <c r="BE77">
        <f t="shared" si="34"/>
        <v>0</v>
      </c>
      <c r="BF77">
        <f>IF(BE77=0,0,1+MAX(BF$69:BF76))</f>
        <v>0</v>
      </c>
      <c r="BG77">
        <f t="shared" si="55"/>
        <v>0</v>
      </c>
      <c r="BH77" t="str">
        <f t="shared" si="56"/>
        <v/>
      </c>
      <c r="BI77" t="str">
        <f t="shared" si="57"/>
        <v/>
      </c>
      <c r="BM77" s="602">
        <v>9</v>
      </c>
      <c r="BN77">
        <f t="shared" si="35"/>
        <v>0</v>
      </c>
      <c r="BO77">
        <f>IF(BN77=0,0,1+MAX(BO$69:BO76))</f>
        <v>0</v>
      </c>
      <c r="BP77">
        <f t="shared" si="58"/>
        <v>0</v>
      </c>
      <c r="BQ77" t="str">
        <f t="shared" si="59"/>
        <v/>
      </c>
      <c r="BR77" t="str">
        <f t="shared" si="60"/>
        <v/>
      </c>
      <c r="BV77" s="602">
        <v>9</v>
      </c>
      <c r="BW77">
        <f t="shared" si="36"/>
        <v>0</v>
      </c>
      <c r="BX77">
        <f>IF(BW77=0,0,1+MAX(BX$69:BX76))</f>
        <v>0</v>
      </c>
      <c r="BY77">
        <f t="shared" si="61"/>
        <v>0</v>
      </c>
      <c r="BZ77" t="str">
        <f t="shared" si="62"/>
        <v/>
      </c>
      <c r="CA77" t="str">
        <f t="shared" si="63"/>
        <v/>
      </c>
    </row>
    <row r="78" spans="1:90" x14ac:dyDescent="0.25">
      <c r="B78" s="5">
        <v>10</v>
      </c>
      <c r="C78">
        <f t="shared" si="28"/>
        <v>0</v>
      </c>
      <c r="D78">
        <f>IF(C78=0,0,1+MAX(D$69:D77))</f>
        <v>0</v>
      </c>
      <c r="E78">
        <f t="shared" si="37"/>
        <v>0</v>
      </c>
      <c r="F78" t="str">
        <f t="shared" si="38"/>
        <v/>
      </c>
      <c r="G78" t="str">
        <f t="shared" si="39"/>
        <v/>
      </c>
      <c r="K78" s="602">
        <v>10</v>
      </c>
      <c r="L78">
        <f t="shared" si="29"/>
        <v>0</v>
      </c>
      <c r="M78">
        <f>IF(L78=0,0,1+MAX(M$69:M77))</f>
        <v>0</v>
      </c>
      <c r="N78">
        <f t="shared" si="40"/>
        <v>0</v>
      </c>
      <c r="O78" t="str">
        <f t="shared" si="41"/>
        <v/>
      </c>
      <c r="P78" t="str">
        <f t="shared" si="42"/>
        <v/>
      </c>
      <c r="T78" s="602">
        <v>10</v>
      </c>
      <c r="U78">
        <f t="shared" si="30"/>
        <v>0</v>
      </c>
      <c r="V78">
        <f>IF(U78=0,0,1+MAX(V$69:V77))</f>
        <v>0</v>
      </c>
      <c r="W78">
        <f t="shared" si="43"/>
        <v>0</v>
      </c>
      <c r="X78" t="str">
        <f t="shared" si="44"/>
        <v/>
      </c>
      <c r="Y78" t="str">
        <f t="shared" si="45"/>
        <v/>
      </c>
      <c r="AC78" s="602">
        <v>10</v>
      </c>
      <c r="AD78">
        <f t="shared" si="31"/>
        <v>0</v>
      </c>
      <c r="AE78">
        <f>IF(AD78=0,0,1+MAX(AE$69:AE77))</f>
        <v>0</v>
      </c>
      <c r="AF78">
        <f t="shared" si="46"/>
        <v>0</v>
      </c>
      <c r="AG78" t="str">
        <f t="shared" si="47"/>
        <v/>
      </c>
      <c r="AH78" t="str">
        <f t="shared" si="48"/>
        <v/>
      </c>
      <c r="AL78" s="602">
        <v>10</v>
      </c>
      <c r="AM78">
        <f t="shared" si="32"/>
        <v>0</v>
      </c>
      <c r="AN78">
        <f>IF(AM78=0,0,1+MAX(AN$69:AN77))</f>
        <v>0</v>
      </c>
      <c r="AO78">
        <f t="shared" si="49"/>
        <v>0</v>
      </c>
      <c r="AP78" t="str">
        <f t="shared" si="50"/>
        <v/>
      </c>
      <c r="AQ78" t="str">
        <f t="shared" si="51"/>
        <v/>
      </c>
      <c r="AU78" s="602">
        <v>10</v>
      </c>
      <c r="AV78">
        <f t="shared" si="33"/>
        <v>0</v>
      </c>
      <c r="AW78">
        <f>IF(AV78=0,0,1+MAX(AW$69:AW77))</f>
        <v>0</v>
      </c>
      <c r="AX78">
        <f t="shared" si="52"/>
        <v>0</v>
      </c>
      <c r="AY78" t="str">
        <f t="shared" si="53"/>
        <v/>
      </c>
      <c r="AZ78" t="str">
        <f t="shared" si="54"/>
        <v/>
      </c>
      <c r="BD78" s="602">
        <v>10</v>
      </c>
      <c r="BE78">
        <f t="shared" si="34"/>
        <v>0</v>
      </c>
      <c r="BF78">
        <f>IF(BE78=0,0,1+MAX(BF$69:BF77))</f>
        <v>0</v>
      </c>
      <c r="BG78">
        <f t="shared" si="55"/>
        <v>0</v>
      </c>
      <c r="BH78" t="str">
        <f t="shared" si="56"/>
        <v/>
      </c>
      <c r="BI78" t="str">
        <f t="shared" si="57"/>
        <v/>
      </c>
      <c r="BM78" s="602">
        <v>10</v>
      </c>
      <c r="BN78">
        <f t="shared" si="35"/>
        <v>0</v>
      </c>
      <c r="BO78">
        <f>IF(BN78=0,0,1+MAX(BO$69:BO77))</f>
        <v>0</v>
      </c>
      <c r="BP78">
        <f t="shared" si="58"/>
        <v>0</v>
      </c>
      <c r="BQ78" t="str">
        <f t="shared" si="59"/>
        <v/>
      </c>
      <c r="BR78" t="str">
        <f t="shared" si="60"/>
        <v/>
      </c>
      <c r="BV78" s="602">
        <v>10</v>
      </c>
      <c r="BW78">
        <f t="shared" si="36"/>
        <v>0</v>
      </c>
      <c r="BX78">
        <f>IF(BW78=0,0,1+MAX(BX$69:BX77))</f>
        <v>0</v>
      </c>
      <c r="BY78">
        <f t="shared" si="61"/>
        <v>0</v>
      </c>
      <c r="BZ78" t="str">
        <f t="shared" si="62"/>
        <v/>
      </c>
      <c r="CA78" t="str">
        <f t="shared" si="63"/>
        <v/>
      </c>
    </row>
    <row r="79" spans="1:90" x14ac:dyDescent="0.25">
      <c r="B79" s="5">
        <v>11</v>
      </c>
      <c r="C79">
        <f t="shared" si="28"/>
        <v>0</v>
      </c>
      <c r="D79">
        <f>IF(C79=0,0,1+MAX(D$69:D78))</f>
        <v>0</v>
      </c>
      <c r="E79">
        <f t="shared" si="37"/>
        <v>0</v>
      </c>
      <c r="F79" t="str">
        <f t="shared" si="38"/>
        <v/>
      </c>
      <c r="G79" t="str">
        <f t="shared" si="39"/>
        <v/>
      </c>
      <c r="K79" s="602">
        <v>11</v>
      </c>
      <c r="L79">
        <f t="shared" si="29"/>
        <v>0</v>
      </c>
      <c r="M79">
        <f>IF(L79=0,0,1+MAX(M$69:M78))</f>
        <v>0</v>
      </c>
      <c r="N79">
        <f t="shared" si="40"/>
        <v>0</v>
      </c>
      <c r="O79" t="str">
        <f t="shared" si="41"/>
        <v/>
      </c>
      <c r="P79" t="str">
        <f t="shared" si="42"/>
        <v/>
      </c>
      <c r="T79" s="602">
        <v>11</v>
      </c>
      <c r="U79">
        <f t="shared" si="30"/>
        <v>0</v>
      </c>
      <c r="V79">
        <f>IF(U79=0,0,1+MAX(V$69:V78))</f>
        <v>0</v>
      </c>
      <c r="W79">
        <f t="shared" si="43"/>
        <v>0</v>
      </c>
      <c r="X79" t="str">
        <f t="shared" si="44"/>
        <v/>
      </c>
      <c r="Y79" t="str">
        <f t="shared" si="45"/>
        <v/>
      </c>
      <c r="AC79" s="602">
        <v>11</v>
      </c>
      <c r="AD79">
        <f t="shared" si="31"/>
        <v>0</v>
      </c>
      <c r="AE79">
        <f>IF(AD79=0,0,1+MAX(AE$69:AE78))</f>
        <v>0</v>
      </c>
      <c r="AF79">
        <f t="shared" si="46"/>
        <v>0</v>
      </c>
      <c r="AG79" t="str">
        <f t="shared" si="47"/>
        <v/>
      </c>
      <c r="AH79" t="str">
        <f t="shared" si="48"/>
        <v/>
      </c>
      <c r="AL79" s="602">
        <v>11</v>
      </c>
      <c r="AM79">
        <f t="shared" si="32"/>
        <v>0</v>
      </c>
      <c r="AN79">
        <f>IF(AM79=0,0,1+MAX(AN$69:AN78))</f>
        <v>0</v>
      </c>
      <c r="AO79">
        <f t="shared" si="49"/>
        <v>0</v>
      </c>
      <c r="AP79" t="str">
        <f t="shared" si="50"/>
        <v/>
      </c>
      <c r="AQ79" t="str">
        <f t="shared" si="51"/>
        <v/>
      </c>
      <c r="AU79" s="602">
        <v>11</v>
      </c>
      <c r="AV79">
        <f t="shared" si="33"/>
        <v>0</v>
      </c>
      <c r="AW79">
        <f>IF(AV79=0,0,1+MAX(AW$69:AW78))</f>
        <v>0</v>
      </c>
      <c r="AX79">
        <f t="shared" si="52"/>
        <v>0</v>
      </c>
      <c r="AY79" t="str">
        <f t="shared" si="53"/>
        <v/>
      </c>
      <c r="AZ79" t="str">
        <f t="shared" si="54"/>
        <v/>
      </c>
      <c r="BD79" s="602">
        <v>11</v>
      </c>
      <c r="BE79">
        <f t="shared" si="34"/>
        <v>0</v>
      </c>
      <c r="BF79">
        <f>IF(BE79=0,0,1+MAX(BF$69:BF78))</f>
        <v>0</v>
      </c>
      <c r="BG79">
        <f t="shared" si="55"/>
        <v>0</v>
      </c>
      <c r="BH79" t="str">
        <f t="shared" si="56"/>
        <v/>
      </c>
      <c r="BI79" t="str">
        <f t="shared" si="57"/>
        <v/>
      </c>
      <c r="BM79" s="602">
        <v>11</v>
      </c>
      <c r="BN79">
        <f t="shared" si="35"/>
        <v>0</v>
      </c>
      <c r="BO79">
        <f>IF(BN79=0,0,1+MAX(BO$69:BO78))</f>
        <v>0</v>
      </c>
      <c r="BP79">
        <f t="shared" si="58"/>
        <v>0</v>
      </c>
      <c r="BQ79" t="str">
        <f t="shared" si="59"/>
        <v/>
      </c>
      <c r="BR79" t="str">
        <f t="shared" si="60"/>
        <v/>
      </c>
      <c r="BV79" s="602">
        <v>11</v>
      </c>
      <c r="BW79">
        <f t="shared" si="36"/>
        <v>0</v>
      </c>
      <c r="BX79">
        <f>IF(BW79=0,0,1+MAX(BX$69:BX78))</f>
        <v>0</v>
      </c>
      <c r="BY79">
        <f t="shared" si="61"/>
        <v>0</v>
      </c>
      <c r="BZ79" t="str">
        <f t="shared" si="62"/>
        <v/>
      </c>
      <c r="CA79" t="str">
        <f t="shared" si="63"/>
        <v/>
      </c>
    </row>
    <row r="80" spans="1:90" x14ac:dyDescent="0.25">
      <c r="B80" s="5">
        <v>12</v>
      </c>
      <c r="C80">
        <f t="shared" si="28"/>
        <v>0</v>
      </c>
      <c r="D80">
        <f>IF(C80=0,0,1+MAX(D$69:D79))</f>
        <v>0</v>
      </c>
      <c r="E80">
        <f t="shared" si="37"/>
        <v>0</v>
      </c>
      <c r="F80" t="str">
        <f t="shared" si="38"/>
        <v/>
      </c>
      <c r="G80" t="str">
        <f t="shared" si="39"/>
        <v/>
      </c>
      <c r="K80" s="602">
        <v>12</v>
      </c>
      <c r="L80">
        <f t="shared" si="29"/>
        <v>0</v>
      </c>
      <c r="M80">
        <f>IF(L80=0,0,1+MAX(M$69:M79))</f>
        <v>0</v>
      </c>
      <c r="N80">
        <f t="shared" si="40"/>
        <v>0</v>
      </c>
      <c r="O80" t="str">
        <f t="shared" si="41"/>
        <v/>
      </c>
      <c r="P80" t="str">
        <f t="shared" si="42"/>
        <v/>
      </c>
      <c r="T80" s="602">
        <v>12</v>
      </c>
      <c r="U80">
        <f t="shared" si="30"/>
        <v>0</v>
      </c>
      <c r="V80">
        <f>IF(U80=0,0,1+MAX(V$69:V79))</f>
        <v>0</v>
      </c>
      <c r="W80">
        <f t="shared" si="43"/>
        <v>0</v>
      </c>
      <c r="X80" t="str">
        <f t="shared" si="44"/>
        <v/>
      </c>
      <c r="Y80" t="str">
        <f t="shared" si="45"/>
        <v/>
      </c>
      <c r="AC80" s="602">
        <v>12</v>
      </c>
      <c r="AD80">
        <f t="shared" si="31"/>
        <v>0</v>
      </c>
      <c r="AE80">
        <f>IF(AD80=0,0,1+MAX(AE$69:AE79))</f>
        <v>0</v>
      </c>
      <c r="AF80">
        <f t="shared" si="46"/>
        <v>0</v>
      </c>
      <c r="AG80" t="str">
        <f t="shared" si="47"/>
        <v/>
      </c>
      <c r="AH80" t="str">
        <f t="shared" si="48"/>
        <v/>
      </c>
      <c r="AL80" s="602">
        <v>12</v>
      </c>
      <c r="AM80">
        <f t="shared" si="32"/>
        <v>0</v>
      </c>
      <c r="AN80">
        <f>IF(AM80=0,0,1+MAX(AN$69:AN79))</f>
        <v>0</v>
      </c>
      <c r="AO80">
        <f t="shared" si="49"/>
        <v>0</v>
      </c>
      <c r="AP80" t="str">
        <f t="shared" si="50"/>
        <v/>
      </c>
      <c r="AQ80" t="str">
        <f t="shared" si="51"/>
        <v/>
      </c>
      <c r="AU80" s="602">
        <v>12</v>
      </c>
      <c r="AV80">
        <f t="shared" si="33"/>
        <v>0</v>
      </c>
      <c r="AW80">
        <f>IF(AV80=0,0,1+MAX(AW$69:AW79))</f>
        <v>0</v>
      </c>
      <c r="AX80">
        <f t="shared" si="52"/>
        <v>0</v>
      </c>
      <c r="AY80" t="str">
        <f t="shared" si="53"/>
        <v/>
      </c>
      <c r="AZ80" t="str">
        <f t="shared" si="54"/>
        <v/>
      </c>
      <c r="BD80" s="602">
        <v>12</v>
      </c>
      <c r="BE80">
        <f t="shared" si="34"/>
        <v>0</v>
      </c>
      <c r="BF80">
        <f>IF(BE80=0,0,1+MAX(BF$69:BF79))</f>
        <v>0</v>
      </c>
      <c r="BG80">
        <f t="shared" si="55"/>
        <v>0</v>
      </c>
      <c r="BH80" t="str">
        <f t="shared" si="56"/>
        <v/>
      </c>
      <c r="BI80" t="str">
        <f t="shared" si="57"/>
        <v/>
      </c>
      <c r="BM80" s="602">
        <v>12</v>
      </c>
      <c r="BN80">
        <f t="shared" si="35"/>
        <v>0</v>
      </c>
      <c r="BO80">
        <f>IF(BN80=0,0,1+MAX(BO$69:BO79))</f>
        <v>0</v>
      </c>
      <c r="BP80">
        <f t="shared" si="58"/>
        <v>0</v>
      </c>
      <c r="BQ80" t="str">
        <f t="shared" si="59"/>
        <v/>
      </c>
      <c r="BR80" t="str">
        <f t="shared" si="60"/>
        <v/>
      </c>
      <c r="BV80" s="602">
        <v>12</v>
      </c>
      <c r="BW80">
        <f t="shared" si="36"/>
        <v>0</v>
      </c>
      <c r="BX80">
        <f>IF(BW80=0,0,1+MAX(BX$69:BX79))</f>
        <v>0</v>
      </c>
      <c r="BY80">
        <f t="shared" si="61"/>
        <v>0</v>
      </c>
      <c r="BZ80" t="str">
        <f t="shared" si="62"/>
        <v/>
      </c>
      <c r="CA80" t="str">
        <f t="shared" si="63"/>
        <v/>
      </c>
    </row>
    <row r="81" spans="2:79" x14ac:dyDescent="0.25">
      <c r="B81" s="5">
        <v>13</v>
      </c>
      <c r="C81">
        <f t="shared" si="28"/>
        <v>0</v>
      </c>
      <c r="D81">
        <f>IF(C81=0,0,1+MAX(D$69:D80))</f>
        <v>0</v>
      </c>
      <c r="E81">
        <f t="shared" si="37"/>
        <v>0</v>
      </c>
      <c r="F81" t="str">
        <f t="shared" si="38"/>
        <v/>
      </c>
      <c r="G81" t="str">
        <f t="shared" si="39"/>
        <v/>
      </c>
      <c r="K81" s="602">
        <v>13</v>
      </c>
      <c r="L81">
        <f t="shared" si="29"/>
        <v>0</v>
      </c>
      <c r="M81">
        <f>IF(L81=0,0,1+MAX(M$69:M80))</f>
        <v>0</v>
      </c>
      <c r="N81">
        <f t="shared" si="40"/>
        <v>0</v>
      </c>
      <c r="O81" t="str">
        <f t="shared" si="41"/>
        <v/>
      </c>
      <c r="P81" t="str">
        <f t="shared" si="42"/>
        <v/>
      </c>
      <c r="T81" s="602">
        <v>13</v>
      </c>
      <c r="U81">
        <f t="shared" si="30"/>
        <v>0</v>
      </c>
      <c r="V81">
        <f>IF(U81=0,0,1+MAX(V$69:V80))</f>
        <v>0</v>
      </c>
      <c r="W81">
        <f t="shared" si="43"/>
        <v>0</v>
      </c>
      <c r="X81" t="str">
        <f t="shared" si="44"/>
        <v/>
      </c>
      <c r="Y81" t="str">
        <f t="shared" si="45"/>
        <v/>
      </c>
      <c r="AC81" s="602">
        <v>13</v>
      </c>
      <c r="AD81">
        <f t="shared" si="31"/>
        <v>0</v>
      </c>
      <c r="AE81">
        <f>IF(AD81=0,0,1+MAX(AE$69:AE80))</f>
        <v>0</v>
      </c>
      <c r="AF81">
        <f t="shared" si="46"/>
        <v>0</v>
      </c>
      <c r="AG81" t="str">
        <f t="shared" si="47"/>
        <v/>
      </c>
      <c r="AH81" t="str">
        <f t="shared" si="48"/>
        <v/>
      </c>
      <c r="AL81" s="602">
        <v>13</v>
      </c>
      <c r="AM81">
        <f t="shared" si="32"/>
        <v>0</v>
      </c>
      <c r="AN81">
        <f>IF(AM81=0,0,1+MAX(AN$69:AN80))</f>
        <v>0</v>
      </c>
      <c r="AO81">
        <f t="shared" si="49"/>
        <v>0</v>
      </c>
      <c r="AP81" t="str">
        <f t="shared" si="50"/>
        <v/>
      </c>
      <c r="AQ81" t="str">
        <f t="shared" si="51"/>
        <v/>
      </c>
      <c r="AU81" s="602">
        <v>13</v>
      </c>
      <c r="AV81">
        <f t="shared" si="33"/>
        <v>0</v>
      </c>
      <c r="AW81">
        <f>IF(AV81=0,0,1+MAX(AW$69:AW80))</f>
        <v>0</v>
      </c>
      <c r="AX81">
        <f t="shared" si="52"/>
        <v>0</v>
      </c>
      <c r="AY81" t="str">
        <f t="shared" si="53"/>
        <v/>
      </c>
      <c r="AZ81" t="str">
        <f t="shared" si="54"/>
        <v/>
      </c>
      <c r="BD81" s="602">
        <v>13</v>
      </c>
      <c r="BE81">
        <f t="shared" si="34"/>
        <v>0</v>
      </c>
      <c r="BF81">
        <f>IF(BE81=0,0,1+MAX(BF$69:BF80))</f>
        <v>0</v>
      </c>
      <c r="BG81">
        <f t="shared" si="55"/>
        <v>0</v>
      </c>
      <c r="BH81" t="str">
        <f t="shared" si="56"/>
        <v/>
      </c>
      <c r="BI81" t="str">
        <f t="shared" si="57"/>
        <v/>
      </c>
      <c r="BM81" s="602">
        <v>13</v>
      </c>
      <c r="BN81">
        <f t="shared" si="35"/>
        <v>0</v>
      </c>
      <c r="BO81">
        <f>IF(BN81=0,0,1+MAX(BO$69:BO80))</f>
        <v>0</v>
      </c>
      <c r="BP81">
        <f t="shared" si="58"/>
        <v>0</v>
      </c>
      <c r="BQ81" t="str">
        <f t="shared" si="59"/>
        <v/>
      </c>
      <c r="BR81" t="str">
        <f t="shared" si="60"/>
        <v/>
      </c>
      <c r="BV81" s="602">
        <v>13</v>
      </c>
      <c r="BW81">
        <f t="shared" si="36"/>
        <v>0</v>
      </c>
      <c r="BX81">
        <f>IF(BW81=0,0,1+MAX(BX$69:BX80))</f>
        <v>0</v>
      </c>
      <c r="BY81">
        <f t="shared" si="61"/>
        <v>0</v>
      </c>
      <c r="BZ81" t="str">
        <f t="shared" si="62"/>
        <v/>
      </c>
      <c r="CA81" t="str">
        <f t="shared" si="63"/>
        <v/>
      </c>
    </row>
    <row r="82" spans="2:79" x14ac:dyDescent="0.25">
      <c r="B82" s="5">
        <v>14</v>
      </c>
      <c r="C82">
        <f t="shared" si="28"/>
        <v>0</v>
      </c>
      <c r="D82">
        <f>IF(C82=0,0,1+MAX(D$69:D81))</f>
        <v>0</v>
      </c>
      <c r="E82">
        <f t="shared" si="37"/>
        <v>0</v>
      </c>
      <c r="F82" t="str">
        <f t="shared" si="38"/>
        <v/>
      </c>
      <c r="G82" t="str">
        <f t="shared" si="39"/>
        <v/>
      </c>
      <c r="K82" s="602">
        <v>14</v>
      </c>
      <c r="L82">
        <f t="shared" si="29"/>
        <v>0</v>
      </c>
      <c r="M82">
        <f>IF(L82=0,0,1+MAX(M$69:M81))</f>
        <v>0</v>
      </c>
      <c r="N82">
        <f t="shared" si="40"/>
        <v>0</v>
      </c>
      <c r="O82" t="str">
        <f t="shared" si="41"/>
        <v/>
      </c>
      <c r="P82" t="str">
        <f t="shared" si="42"/>
        <v/>
      </c>
      <c r="T82" s="602">
        <v>14</v>
      </c>
      <c r="U82">
        <f t="shared" si="30"/>
        <v>0</v>
      </c>
      <c r="V82">
        <f>IF(U82=0,0,1+MAX(V$69:V81))</f>
        <v>0</v>
      </c>
      <c r="W82">
        <f t="shared" si="43"/>
        <v>0</v>
      </c>
      <c r="X82" t="str">
        <f t="shared" si="44"/>
        <v/>
      </c>
      <c r="Y82" t="str">
        <f t="shared" si="45"/>
        <v/>
      </c>
      <c r="AC82" s="602">
        <v>14</v>
      </c>
      <c r="AD82">
        <f t="shared" si="31"/>
        <v>0</v>
      </c>
      <c r="AE82">
        <f>IF(AD82=0,0,1+MAX(AE$69:AE81))</f>
        <v>0</v>
      </c>
      <c r="AF82">
        <f t="shared" si="46"/>
        <v>0</v>
      </c>
      <c r="AG82" t="str">
        <f t="shared" si="47"/>
        <v/>
      </c>
      <c r="AH82" t="str">
        <f t="shared" si="48"/>
        <v/>
      </c>
      <c r="AL82" s="602">
        <v>14</v>
      </c>
      <c r="AM82">
        <f t="shared" si="32"/>
        <v>0</v>
      </c>
      <c r="AN82">
        <f>IF(AM82=0,0,1+MAX(AN$69:AN81))</f>
        <v>0</v>
      </c>
      <c r="AO82">
        <f t="shared" si="49"/>
        <v>0</v>
      </c>
      <c r="AP82" t="str">
        <f t="shared" si="50"/>
        <v/>
      </c>
      <c r="AQ82" t="str">
        <f t="shared" si="51"/>
        <v/>
      </c>
      <c r="AU82" s="602">
        <v>14</v>
      </c>
      <c r="AV82">
        <f t="shared" si="33"/>
        <v>0</v>
      </c>
      <c r="AW82">
        <f>IF(AV82=0,0,1+MAX(AW$69:AW81))</f>
        <v>0</v>
      </c>
      <c r="AX82">
        <f t="shared" si="52"/>
        <v>0</v>
      </c>
      <c r="AY82" t="str">
        <f t="shared" si="53"/>
        <v/>
      </c>
      <c r="AZ82" t="str">
        <f t="shared" si="54"/>
        <v/>
      </c>
      <c r="BD82" s="602">
        <v>14</v>
      </c>
      <c r="BE82">
        <f t="shared" si="34"/>
        <v>0</v>
      </c>
      <c r="BF82">
        <f>IF(BE82=0,0,1+MAX(BF$69:BF81))</f>
        <v>0</v>
      </c>
      <c r="BG82">
        <f t="shared" si="55"/>
        <v>0</v>
      </c>
      <c r="BH82" t="str">
        <f t="shared" si="56"/>
        <v/>
      </c>
      <c r="BI82" t="str">
        <f t="shared" si="57"/>
        <v/>
      </c>
      <c r="BM82" s="602">
        <v>14</v>
      </c>
      <c r="BN82">
        <f t="shared" si="35"/>
        <v>0</v>
      </c>
      <c r="BO82">
        <f>IF(BN82=0,0,1+MAX(BO$69:BO81))</f>
        <v>0</v>
      </c>
      <c r="BP82">
        <f t="shared" si="58"/>
        <v>0</v>
      </c>
      <c r="BQ82" t="str">
        <f t="shared" si="59"/>
        <v/>
      </c>
      <c r="BR82" t="str">
        <f t="shared" si="60"/>
        <v/>
      </c>
      <c r="BV82" s="602">
        <v>14</v>
      </c>
      <c r="BW82">
        <f t="shared" si="36"/>
        <v>0</v>
      </c>
      <c r="BX82">
        <f>IF(BW82=0,0,1+MAX(BX$69:BX81))</f>
        <v>0</v>
      </c>
      <c r="BY82">
        <f t="shared" si="61"/>
        <v>0</v>
      </c>
      <c r="BZ82" t="str">
        <f t="shared" si="62"/>
        <v/>
      </c>
      <c r="CA82" t="str">
        <f t="shared" si="63"/>
        <v/>
      </c>
    </row>
    <row r="83" spans="2:79" x14ac:dyDescent="0.25">
      <c r="B83" s="5">
        <v>15</v>
      </c>
      <c r="C83">
        <f t="shared" si="28"/>
        <v>0</v>
      </c>
      <c r="D83">
        <f>IF(C83=0,0,1+MAX(D$69:D82))</f>
        <v>0</v>
      </c>
      <c r="E83">
        <f t="shared" si="37"/>
        <v>0</v>
      </c>
      <c r="F83" t="str">
        <f t="shared" si="38"/>
        <v/>
      </c>
      <c r="G83" t="str">
        <f t="shared" si="39"/>
        <v/>
      </c>
      <c r="K83" s="602">
        <v>15</v>
      </c>
      <c r="L83">
        <f t="shared" si="29"/>
        <v>0</v>
      </c>
      <c r="M83">
        <f>IF(L83=0,0,1+MAX(M$69:M82))</f>
        <v>0</v>
      </c>
      <c r="N83">
        <f t="shared" si="40"/>
        <v>0</v>
      </c>
      <c r="O83" t="str">
        <f t="shared" si="41"/>
        <v/>
      </c>
      <c r="P83" t="str">
        <f t="shared" si="42"/>
        <v/>
      </c>
      <c r="T83" s="602">
        <v>15</v>
      </c>
      <c r="U83">
        <f t="shared" si="30"/>
        <v>0</v>
      </c>
      <c r="V83">
        <f>IF(U83=0,0,1+MAX(V$69:V82))</f>
        <v>0</v>
      </c>
      <c r="W83">
        <f t="shared" si="43"/>
        <v>0</v>
      </c>
      <c r="X83" t="str">
        <f t="shared" si="44"/>
        <v/>
      </c>
      <c r="Y83" t="str">
        <f t="shared" si="45"/>
        <v/>
      </c>
      <c r="AC83" s="602">
        <v>15</v>
      </c>
      <c r="AD83">
        <f t="shared" si="31"/>
        <v>0</v>
      </c>
      <c r="AE83">
        <f>IF(AD83=0,0,1+MAX(AE$69:AE82))</f>
        <v>0</v>
      </c>
      <c r="AF83">
        <f t="shared" si="46"/>
        <v>0</v>
      </c>
      <c r="AG83" t="str">
        <f t="shared" si="47"/>
        <v/>
      </c>
      <c r="AH83" t="str">
        <f t="shared" si="48"/>
        <v/>
      </c>
      <c r="AL83" s="602">
        <v>15</v>
      </c>
      <c r="AM83">
        <f t="shared" si="32"/>
        <v>0</v>
      </c>
      <c r="AN83">
        <f>IF(AM83=0,0,1+MAX(AN$69:AN82))</f>
        <v>0</v>
      </c>
      <c r="AO83">
        <f t="shared" si="49"/>
        <v>0</v>
      </c>
      <c r="AP83" t="str">
        <f t="shared" si="50"/>
        <v/>
      </c>
      <c r="AQ83" t="str">
        <f t="shared" si="51"/>
        <v/>
      </c>
      <c r="AU83" s="602">
        <v>15</v>
      </c>
      <c r="AV83">
        <f t="shared" si="33"/>
        <v>0</v>
      </c>
      <c r="AW83">
        <f>IF(AV83=0,0,1+MAX(AW$69:AW82))</f>
        <v>0</v>
      </c>
      <c r="AX83">
        <f t="shared" si="52"/>
        <v>0</v>
      </c>
      <c r="AY83" t="str">
        <f t="shared" si="53"/>
        <v/>
      </c>
      <c r="AZ83" t="str">
        <f t="shared" si="54"/>
        <v/>
      </c>
      <c r="BD83" s="602">
        <v>15</v>
      </c>
      <c r="BE83">
        <f t="shared" si="34"/>
        <v>0</v>
      </c>
      <c r="BF83">
        <f>IF(BE83=0,0,1+MAX(BF$69:BF82))</f>
        <v>0</v>
      </c>
      <c r="BG83">
        <f t="shared" si="55"/>
        <v>0</v>
      </c>
      <c r="BH83" t="str">
        <f t="shared" si="56"/>
        <v/>
      </c>
      <c r="BI83" t="str">
        <f t="shared" si="57"/>
        <v/>
      </c>
      <c r="BM83" s="602">
        <v>15</v>
      </c>
      <c r="BN83">
        <f t="shared" si="35"/>
        <v>0</v>
      </c>
      <c r="BO83">
        <f>IF(BN83=0,0,1+MAX(BO$69:BO82))</f>
        <v>0</v>
      </c>
      <c r="BP83">
        <f t="shared" si="58"/>
        <v>0</v>
      </c>
      <c r="BQ83" t="str">
        <f t="shared" si="59"/>
        <v/>
      </c>
      <c r="BR83" t="str">
        <f t="shared" si="60"/>
        <v/>
      </c>
      <c r="BV83" s="602">
        <v>15</v>
      </c>
      <c r="BW83">
        <f t="shared" si="36"/>
        <v>0</v>
      </c>
      <c r="BX83">
        <f>IF(BW83=0,0,1+MAX(BX$69:BX82))</f>
        <v>0</v>
      </c>
      <c r="BY83">
        <f t="shared" si="61"/>
        <v>0</v>
      </c>
      <c r="BZ83" t="str">
        <f t="shared" si="62"/>
        <v/>
      </c>
      <c r="CA83" t="str">
        <f t="shared" si="63"/>
        <v/>
      </c>
    </row>
    <row r="84" spans="2:79" x14ac:dyDescent="0.25">
      <c r="B84" s="5">
        <v>16</v>
      </c>
      <c r="C84">
        <f t="shared" si="28"/>
        <v>0</v>
      </c>
      <c r="D84">
        <f>IF(C84=0,0,1+MAX(D$69:D83))</f>
        <v>0</v>
      </c>
      <c r="E84">
        <f t="shared" si="37"/>
        <v>0</v>
      </c>
      <c r="F84" t="str">
        <f t="shared" si="38"/>
        <v/>
      </c>
      <c r="G84" t="str">
        <f t="shared" si="39"/>
        <v/>
      </c>
      <c r="K84" s="602">
        <v>16</v>
      </c>
      <c r="L84">
        <f t="shared" si="29"/>
        <v>0</v>
      </c>
      <c r="M84">
        <f>IF(L84=0,0,1+MAX(M$69:M83))</f>
        <v>0</v>
      </c>
      <c r="N84">
        <f t="shared" si="40"/>
        <v>0</v>
      </c>
      <c r="O84" t="str">
        <f t="shared" si="41"/>
        <v/>
      </c>
      <c r="P84" t="str">
        <f t="shared" si="42"/>
        <v/>
      </c>
      <c r="T84" s="602">
        <v>16</v>
      </c>
      <c r="U84">
        <f t="shared" si="30"/>
        <v>0</v>
      </c>
      <c r="V84">
        <f>IF(U84=0,0,1+MAX(V$69:V83))</f>
        <v>0</v>
      </c>
      <c r="W84">
        <f t="shared" si="43"/>
        <v>0</v>
      </c>
      <c r="X84" t="str">
        <f t="shared" si="44"/>
        <v/>
      </c>
      <c r="Y84" t="str">
        <f t="shared" si="45"/>
        <v/>
      </c>
      <c r="AC84" s="602">
        <v>16</v>
      </c>
      <c r="AD84">
        <f t="shared" si="31"/>
        <v>0</v>
      </c>
      <c r="AE84">
        <f>IF(AD84=0,0,1+MAX(AE$69:AE83))</f>
        <v>0</v>
      </c>
      <c r="AF84">
        <f t="shared" si="46"/>
        <v>0</v>
      </c>
      <c r="AG84" t="str">
        <f t="shared" si="47"/>
        <v/>
      </c>
      <c r="AH84" t="str">
        <f t="shared" si="48"/>
        <v/>
      </c>
      <c r="AL84" s="602">
        <v>16</v>
      </c>
      <c r="AM84">
        <f t="shared" si="32"/>
        <v>0</v>
      </c>
      <c r="AN84">
        <f>IF(AM84=0,0,1+MAX(AN$69:AN83))</f>
        <v>0</v>
      </c>
      <c r="AO84">
        <f t="shared" si="49"/>
        <v>0</v>
      </c>
      <c r="AP84" t="str">
        <f t="shared" si="50"/>
        <v/>
      </c>
      <c r="AQ84" t="str">
        <f t="shared" si="51"/>
        <v/>
      </c>
      <c r="AU84" s="602">
        <v>16</v>
      </c>
      <c r="AV84">
        <f t="shared" si="33"/>
        <v>0</v>
      </c>
      <c r="AW84">
        <f>IF(AV84=0,0,1+MAX(AW$69:AW83))</f>
        <v>0</v>
      </c>
      <c r="AX84">
        <f t="shared" si="52"/>
        <v>0</v>
      </c>
      <c r="AY84" t="str">
        <f t="shared" si="53"/>
        <v/>
      </c>
      <c r="AZ84" t="str">
        <f t="shared" si="54"/>
        <v/>
      </c>
      <c r="BD84" s="602">
        <v>16</v>
      </c>
      <c r="BE84">
        <f t="shared" si="34"/>
        <v>0</v>
      </c>
      <c r="BF84">
        <f>IF(BE84=0,0,1+MAX(BF$69:BF83))</f>
        <v>0</v>
      </c>
      <c r="BG84">
        <f t="shared" si="55"/>
        <v>0</v>
      </c>
      <c r="BH84" t="str">
        <f t="shared" si="56"/>
        <v/>
      </c>
      <c r="BI84" t="str">
        <f t="shared" si="57"/>
        <v/>
      </c>
      <c r="BM84" s="602">
        <v>16</v>
      </c>
      <c r="BN84">
        <f t="shared" si="35"/>
        <v>0</v>
      </c>
      <c r="BO84">
        <f>IF(BN84=0,0,1+MAX(BO$69:BO83))</f>
        <v>0</v>
      </c>
      <c r="BP84">
        <f t="shared" si="58"/>
        <v>0</v>
      </c>
      <c r="BQ84" t="str">
        <f t="shared" si="59"/>
        <v/>
      </c>
      <c r="BR84" t="str">
        <f t="shared" si="60"/>
        <v/>
      </c>
      <c r="BV84" s="602">
        <v>16</v>
      </c>
      <c r="BW84">
        <f t="shared" si="36"/>
        <v>0</v>
      </c>
      <c r="BX84">
        <f>IF(BW84=0,0,1+MAX(BX$69:BX83))</f>
        <v>0</v>
      </c>
      <c r="BY84">
        <f t="shared" si="61"/>
        <v>0</v>
      </c>
      <c r="BZ84" t="str">
        <f t="shared" si="62"/>
        <v/>
      </c>
      <c r="CA84" t="str">
        <f t="shared" si="63"/>
        <v/>
      </c>
    </row>
    <row r="85" spans="2:79" x14ac:dyDescent="0.25">
      <c r="B85" s="5">
        <v>17</v>
      </c>
      <c r="C85">
        <f t="shared" si="28"/>
        <v>0</v>
      </c>
      <c r="D85">
        <f>IF(C85=0,0,1+MAX(D$69:D84))</f>
        <v>0</v>
      </c>
      <c r="E85">
        <f t="shared" si="37"/>
        <v>0</v>
      </c>
      <c r="F85" t="str">
        <f t="shared" si="38"/>
        <v/>
      </c>
      <c r="G85" t="str">
        <f t="shared" si="39"/>
        <v/>
      </c>
      <c r="K85" s="602">
        <v>17</v>
      </c>
      <c r="L85">
        <f t="shared" si="29"/>
        <v>0</v>
      </c>
      <c r="M85">
        <f>IF(L85=0,0,1+MAX(M$69:M84))</f>
        <v>0</v>
      </c>
      <c r="N85">
        <f t="shared" si="40"/>
        <v>0</v>
      </c>
      <c r="O85" t="str">
        <f t="shared" si="41"/>
        <v/>
      </c>
      <c r="P85" t="str">
        <f t="shared" si="42"/>
        <v/>
      </c>
      <c r="T85" s="602">
        <v>17</v>
      </c>
      <c r="U85">
        <f t="shared" si="30"/>
        <v>0</v>
      </c>
      <c r="V85">
        <f>IF(U85=0,0,1+MAX(V$69:V84))</f>
        <v>0</v>
      </c>
      <c r="W85">
        <f t="shared" si="43"/>
        <v>0</v>
      </c>
      <c r="X85" t="str">
        <f t="shared" si="44"/>
        <v/>
      </c>
      <c r="Y85" t="str">
        <f t="shared" si="45"/>
        <v/>
      </c>
      <c r="AC85" s="602">
        <v>17</v>
      </c>
      <c r="AD85">
        <f t="shared" si="31"/>
        <v>0</v>
      </c>
      <c r="AE85">
        <f>IF(AD85=0,0,1+MAX(AE$69:AE84))</f>
        <v>0</v>
      </c>
      <c r="AF85">
        <f t="shared" si="46"/>
        <v>0</v>
      </c>
      <c r="AG85" t="str">
        <f t="shared" si="47"/>
        <v/>
      </c>
      <c r="AH85" t="str">
        <f t="shared" si="48"/>
        <v/>
      </c>
      <c r="AL85" s="602">
        <v>17</v>
      </c>
      <c r="AM85">
        <f t="shared" si="32"/>
        <v>0</v>
      </c>
      <c r="AN85">
        <f>IF(AM85=0,0,1+MAX(AN$69:AN84))</f>
        <v>0</v>
      </c>
      <c r="AO85">
        <f t="shared" si="49"/>
        <v>0</v>
      </c>
      <c r="AP85" t="str">
        <f t="shared" si="50"/>
        <v/>
      </c>
      <c r="AQ85" t="str">
        <f t="shared" si="51"/>
        <v/>
      </c>
      <c r="AU85" s="602">
        <v>17</v>
      </c>
      <c r="AV85">
        <f t="shared" si="33"/>
        <v>0</v>
      </c>
      <c r="AW85">
        <f>IF(AV85=0,0,1+MAX(AW$69:AW84))</f>
        <v>0</v>
      </c>
      <c r="AX85">
        <f t="shared" si="52"/>
        <v>0</v>
      </c>
      <c r="AY85" t="str">
        <f t="shared" si="53"/>
        <v/>
      </c>
      <c r="AZ85" t="str">
        <f t="shared" si="54"/>
        <v/>
      </c>
      <c r="BD85" s="602">
        <v>17</v>
      </c>
      <c r="BE85">
        <f t="shared" si="34"/>
        <v>0</v>
      </c>
      <c r="BF85">
        <f>IF(BE85=0,0,1+MAX(BF$69:BF84))</f>
        <v>0</v>
      </c>
      <c r="BG85">
        <f t="shared" si="55"/>
        <v>0</v>
      </c>
      <c r="BH85" t="str">
        <f t="shared" si="56"/>
        <v/>
      </c>
      <c r="BI85" t="str">
        <f t="shared" si="57"/>
        <v/>
      </c>
      <c r="BM85" s="602">
        <v>17</v>
      </c>
      <c r="BN85">
        <f t="shared" si="35"/>
        <v>0</v>
      </c>
      <c r="BO85">
        <f>IF(BN85=0,0,1+MAX(BO$69:BO84))</f>
        <v>0</v>
      </c>
      <c r="BP85">
        <f t="shared" si="58"/>
        <v>0</v>
      </c>
      <c r="BQ85" t="str">
        <f t="shared" si="59"/>
        <v/>
      </c>
      <c r="BR85" t="str">
        <f t="shared" si="60"/>
        <v/>
      </c>
      <c r="BV85" s="602">
        <v>17</v>
      </c>
      <c r="BW85">
        <f t="shared" si="36"/>
        <v>0</v>
      </c>
      <c r="BX85">
        <f>IF(BW85=0,0,1+MAX(BX$69:BX84))</f>
        <v>0</v>
      </c>
      <c r="BY85">
        <f t="shared" si="61"/>
        <v>0</v>
      </c>
      <c r="BZ85" t="str">
        <f t="shared" si="62"/>
        <v/>
      </c>
      <c r="CA85" t="str">
        <f t="shared" si="63"/>
        <v/>
      </c>
    </row>
    <row r="86" spans="2:79" x14ac:dyDescent="0.25">
      <c r="B86" s="5">
        <v>18</v>
      </c>
      <c r="C86">
        <f t="shared" si="28"/>
        <v>0</v>
      </c>
      <c r="D86">
        <f>IF(C86=0,0,1+MAX(D$69:D85))</f>
        <v>0</v>
      </c>
      <c r="E86">
        <f t="shared" si="37"/>
        <v>0</v>
      </c>
      <c r="F86" t="str">
        <f t="shared" si="38"/>
        <v/>
      </c>
      <c r="G86" t="str">
        <f t="shared" si="39"/>
        <v/>
      </c>
      <c r="K86" s="602">
        <v>18</v>
      </c>
      <c r="L86">
        <f t="shared" si="29"/>
        <v>0</v>
      </c>
      <c r="M86">
        <f>IF(L86=0,0,1+MAX(M$69:M85))</f>
        <v>0</v>
      </c>
      <c r="N86">
        <f t="shared" si="40"/>
        <v>0</v>
      </c>
      <c r="O86" t="str">
        <f t="shared" si="41"/>
        <v/>
      </c>
      <c r="P86" t="str">
        <f t="shared" si="42"/>
        <v/>
      </c>
      <c r="T86" s="602">
        <v>18</v>
      </c>
      <c r="U86">
        <f t="shared" si="30"/>
        <v>0</v>
      </c>
      <c r="V86">
        <f>IF(U86=0,0,1+MAX(V$69:V85))</f>
        <v>0</v>
      </c>
      <c r="W86">
        <f t="shared" si="43"/>
        <v>0</v>
      </c>
      <c r="X86" t="str">
        <f t="shared" si="44"/>
        <v/>
      </c>
      <c r="Y86" t="str">
        <f t="shared" si="45"/>
        <v/>
      </c>
      <c r="AC86" s="602">
        <v>18</v>
      </c>
      <c r="AD86">
        <f t="shared" si="31"/>
        <v>0</v>
      </c>
      <c r="AE86">
        <f>IF(AD86=0,0,1+MAX(AE$69:AE85))</f>
        <v>0</v>
      </c>
      <c r="AF86">
        <f t="shared" si="46"/>
        <v>0</v>
      </c>
      <c r="AG86" t="str">
        <f t="shared" si="47"/>
        <v/>
      </c>
      <c r="AH86" t="str">
        <f t="shared" si="48"/>
        <v/>
      </c>
      <c r="AL86" s="602">
        <v>18</v>
      </c>
      <c r="AM86">
        <f t="shared" si="32"/>
        <v>0</v>
      </c>
      <c r="AN86">
        <f>IF(AM86=0,0,1+MAX(AN$69:AN85))</f>
        <v>0</v>
      </c>
      <c r="AO86">
        <f t="shared" si="49"/>
        <v>0</v>
      </c>
      <c r="AP86" t="str">
        <f t="shared" si="50"/>
        <v/>
      </c>
      <c r="AQ86" t="str">
        <f t="shared" si="51"/>
        <v/>
      </c>
      <c r="AU86" s="602">
        <v>18</v>
      </c>
      <c r="AV86">
        <f t="shared" si="33"/>
        <v>0</v>
      </c>
      <c r="AW86">
        <f>IF(AV86=0,0,1+MAX(AW$69:AW85))</f>
        <v>0</v>
      </c>
      <c r="AX86">
        <f t="shared" si="52"/>
        <v>0</v>
      </c>
      <c r="AY86" t="str">
        <f t="shared" si="53"/>
        <v/>
      </c>
      <c r="AZ86" t="str">
        <f t="shared" si="54"/>
        <v/>
      </c>
      <c r="BD86" s="602">
        <v>18</v>
      </c>
      <c r="BE86">
        <f t="shared" si="34"/>
        <v>0</v>
      </c>
      <c r="BF86">
        <f>IF(BE86=0,0,1+MAX(BF$69:BF85))</f>
        <v>0</v>
      </c>
      <c r="BG86">
        <f t="shared" si="55"/>
        <v>0</v>
      </c>
      <c r="BH86" t="str">
        <f t="shared" si="56"/>
        <v/>
      </c>
      <c r="BI86" t="str">
        <f t="shared" si="57"/>
        <v/>
      </c>
      <c r="BM86" s="602">
        <v>18</v>
      </c>
      <c r="BN86">
        <f t="shared" si="35"/>
        <v>0</v>
      </c>
      <c r="BO86">
        <f>IF(BN86=0,0,1+MAX(BO$69:BO85))</f>
        <v>0</v>
      </c>
      <c r="BP86">
        <f t="shared" si="58"/>
        <v>0</v>
      </c>
      <c r="BQ86" t="str">
        <f t="shared" si="59"/>
        <v/>
      </c>
      <c r="BR86" t="str">
        <f t="shared" si="60"/>
        <v/>
      </c>
      <c r="BV86" s="602">
        <v>18</v>
      </c>
      <c r="BW86">
        <f t="shared" si="36"/>
        <v>0</v>
      </c>
      <c r="BX86">
        <f>IF(BW86=0,0,1+MAX(BX$69:BX85))</f>
        <v>0</v>
      </c>
      <c r="BY86">
        <f t="shared" si="61"/>
        <v>0</v>
      </c>
      <c r="BZ86" t="str">
        <f t="shared" si="62"/>
        <v/>
      </c>
      <c r="CA86" t="str">
        <f t="shared" si="63"/>
        <v/>
      </c>
    </row>
    <row r="87" spans="2:79" x14ac:dyDescent="0.25">
      <c r="B87" s="5">
        <v>19</v>
      </c>
      <c r="C87">
        <f t="shared" si="28"/>
        <v>0</v>
      </c>
      <c r="D87">
        <f>IF(C87=0,0,1+MAX(D$69:D86))</f>
        <v>0</v>
      </c>
      <c r="E87">
        <f t="shared" si="37"/>
        <v>0</v>
      </c>
      <c r="F87" t="str">
        <f t="shared" si="38"/>
        <v/>
      </c>
      <c r="G87" t="str">
        <f t="shared" si="39"/>
        <v/>
      </c>
      <c r="K87" s="602">
        <v>19</v>
      </c>
      <c r="L87">
        <f t="shared" si="29"/>
        <v>0</v>
      </c>
      <c r="M87">
        <f>IF(L87=0,0,1+MAX(M$69:M86))</f>
        <v>0</v>
      </c>
      <c r="N87">
        <f t="shared" si="40"/>
        <v>0</v>
      </c>
      <c r="O87" t="str">
        <f t="shared" si="41"/>
        <v/>
      </c>
      <c r="P87" t="str">
        <f t="shared" si="42"/>
        <v/>
      </c>
      <c r="T87" s="602">
        <v>19</v>
      </c>
      <c r="U87">
        <f t="shared" si="30"/>
        <v>0</v>
      </c>
      <c r="V87">
        <f>IF(U87=0,0,1+MAX(V$69:V86))</f>
        <v>0</v>
      </c>
      <c r="W87">
        <f t="shared" si="43"/>
        <v>0</v>
      </c>
      <c r="X87" t="str">
        <f t="shared" si="44"/>
        <v/>
      </c>
      <c r="Y87" t="str">
        <f t="shared" si="45"/>
        <v/>
      </c>
      <c r="AC87" s="602">
        <v>19</v>
      </c>
      <c r="AD87">
        <f t="shared" si="31"/>
        <v>0</v>
      </c>
      <c r="AE87">
        <f>IF(AD87=0,0,1+MAX(AE$69:AE86))</f>
        <v>0</v>
      </c>
      <c r="AF87">
        <f t="shared" si="46"/>
        <v>0</v>
      </c>
      <c r="AG87" t="str">
        <f t="shared" si="47"/>
        <v/>
      </c>
      <c r="AH87" t="str">
        <f t="shared" si="48"/>
        <v/>
      </c>
      <c r="AL87" s="602">
        <v>19</v>
      </c>
      <c r="AM87">
        <f t="shared" si="32"/>
        <v>0</v>
      </c>
      <c r="AN87">
        <f>IF(AM87=0,0,1+MAX(AN$69:AN86))</f>
        <v>0</v>
      </c>
      <c r="AO87">
        <f t="shared" si="49"/>
        <v>0</v>
      </c>
      <c r="AP87" t="str">
        <f t="shared" si="50"/>
        <v/>
      </c>
      <c r="AQ87" t="str">
        <f t="shared" si="51"/>
        <v/>
      </c>
      <c r="AU87" s="602">
        <v>19</v>
      </c>
      <c r="AV87">
        <f t="shared" si="33"/>
        <v>0</v>
      </c>
      <c r="AW87">
        <f>IF(AV87=0,0,1+MAX(AW$69:AW86))</f>
        <v>0</v>
      </c>
      <c r="AX87">
        <f t="shared" si="52"/>
        <v>0</v>
      </c>
      <c r="AY87" t="str">
        <f t="shared" si="53"/>
        <v/>
      </c>
      <c r="AZ87" t="str">
        <f t="shared" si="54"/>
        <v/>
      </c>
      <c r="BD87" s="602">
        <v>19</v>
      </c>
      <c r="BE87">
        <f t="shared" si="34"/>
        <v>0</v>
      </c>
      <c r="BF87">
        <f>IF(BE87=0,0,1+MAX(BF$69:BF86))</f>
        <v>0</v>
      </c>
      <c r="BG87">
        <f t="shared" si="55"/>
        <v>0</v>
      </c>
      <c r="BH87" t="str">
        <f t="shared" si="56"/>
        <v/>
      </c>
      <c r="BI87" t="str">
        <f t="shared" si="57"/>
        <v/>
      </c>
      <c r="BM87" s="602">
        <v>19</v>
      </c>
      <c r="BN87">
        <f t="shared" si="35"/>
        <v>0</v>
      </c>
      <c r="BO87">
        <f>IF(BN87=0,0,1+MAX(BO$69:BO86))</f>
        <v>0</v>
      </c>
      <c r="BP87">
        <f t="shared" si="58"/>
        <v>0</v>
      </c>
      <c r="BQ87" t="str">
        <f t="shared" si="59"/>
        <v/>
      </c>
      <c r="BR87" t="str">
        <f t="shared" si="60"/>
        <v/>
      </c>
      <c r="BV87" s="602">
        <v>19</v>
      </c>
      <c r="BW87">
        <f t="shared" si="36"/>
        <v>0</v>
      </c>
      <c r="BX87">
        <f>IF(BW87=0,0,1+MAX(BX$69:BX86))</f>
        <v>0</v>
      </c>
      <c r="BY87">
        <f t="shared" si="61"/>
        <v>0</v>
      </c>
      <c r="BZ87" t="str">
        <f t="shared" si="62"/>
        <v/>
      </c>
      <c r="CA87" t="str">
        <f t="shared" si="63"/>
        <v/>
      </c>
    </row>
    <row r="88" spans="2:79" x14ac:dyDescent="0.25">
      <c r="B88" s="5">
        <v>20</v>
      </c>
      <c r="C88">
        <f t="shared" si="28"/>
        <v>0</v>
      </c>
      <c r="D88">
        <f>IF(C88=0,0,1+MAX(D$69:D87))</f>
        <v>0</v>
      </c>
      <c r="E88">
        <f t="shared" si="37"/>
        <v>0</v>
      </c>
      <c r="F88" t="str">
        <f t="shared" si="38"/>
        <v/>
      </c>
      <c r="G88" t="str">
        <f t="shared" si="39"/>
        <v/>
      </c>
      <c r="K88" s="602">
        <v>20</v>
      </c>
      <c r="L88">
        <f t="shared" si="29"/>
        <v>0</v>
      </c>
      <c r="M88">
        <f>IF(L88=0,0,1+MAX(M$69:M87))</f>
        <v>0</v>
      </c>
      <c r="N88">
        <f t="shared" si="40"/>
        <v>0</v>
      </c>
      <c r="O88" t="str">
        <f t="shared" si="41"/>
        <v/>
      </c>
      <c r="P88" t="str">
        <f t="shared" si="42"/>
        <v/>
      </c>
      <c r="T88" s="602">
        <v>20</v>
      </c>
      <c r="U88">
        <f t="shared" si="30"/>
        <v>0</v>
      </c>
      <c r="V88">
        <f>IF(U88=0,0,1+MAX(V$69:V87))</f>
        <v>0</v>
      </c>
      <c r="W88">
        <f t="shared" si="43"/>
        <v>0</v>
      </c>
      <c r="X88" t="str">
        <f t="shared" si="44"/>
        <v/>
      </c>
      <c r="Y88" t="str">
        <f t="shared" si="45"/>
        <v/>
      </c>
      <c r="AC88" s="602">
        <v>20</v>
      </c>
      <c r="AD88">
        <f t="shared" si="31"/>
        <v>0</v>
      </c>
      <c r="AE88">
        <f>IF(AD88=0,0,1+MAX(AE$69:AE87))</f>
        <v>0</v>
      </c>
      <c r="AF88">
        <f t="shared" si="46"/>
        <v>0</v>
      </c>
      <c r="AG88" t="str">
        <f t="shared" si="47"/>
        <v/>
      </c>
      <c r="AH88" t="str">
        <f t="shared" si="48"/>
        <v/>
      </c>
      <c r="AL88" s="602">
        <v>20</v>
      </c>
      <c r="AM88">
        <f t="shared" si="32"/>
        <v>0</v>
      </c>
      <c r="AN88">
        <f>IF(AM88=0,0,1+MAX(AN$69:AN87))</f>
        <v>0</v>
      </c>
      <c r="AO88">
        <f t="shared" si="49"/>
        <v>0</v>
      </c>
      <c r="AP88" t="str">
        <f t="shared" si="50"/>
        <v/>
      </c>
      <c r="AQ88" t="str">
        <f t="shared" si="51"/>
        <v/>
      </c>
      <c r="AU88" s="602">
        <v>20</v>
      </c>
      <c r="AV88">
        <f t="shared" si="33"/>
        <v>0</v>
      </c>
      <c r="AW88">
        <f>IF(AV88=0,0,1+MAX(AW$69:AW87))</f>
        <v>0</v>
      </c>
      <c r="AX88">
        <f t="shared" si="52"/>
        <v>0</v>
      </c>
      <c r="AY88" t="str">
        <f t="shared" si="53"/>
        <v/>
      </c>
      <c r="AZ88" t="str">
        <f t="shared" si="54"/>
        <v/>
      </c>
      <c r="BD88" s="602">
        <v>20</v>
      </c>
      <c r="BE88">
        <f t="shared" si="34"/>
        <v>0</v>
      </c>
      <c r="BF88">
        <f>IF(BE88=0,0,1+MAX(BF$69:BF87))</f>
        <v>0</v>
      </c>
      <c r="BG88">
        <f t="shared" si="55"/>
        <v>0</v>
      </c>
      <c r="BH88" t="str">
        <f t="shared" si="56"/>
        <v/>
      </c>
      <c r="BI88" t="str">
        <f t="shared" si="57"/>
        <v/>
      </c>
      <c r="BM88" s="602">
        <v>20</v>
      </c>
      <c r="BN88">
        <f t="shared" si="35"/>
        <v>0</v>
      </c>
      <c r="BO88">
        <f>IF(BN88=0,0,1+MAX(BO$69:BO87))</f>
        <v>0</v>
      </c>
      <c r="BP88">
        <f t="shared" si="58"/>
        <v>0</v>
      </c>
      <c r="BQ88" t="str">
        <f t="shared" si="59"/>
        <v/>
      </c>
      <c r="BR88" t="str">
        <f t="shared" si="60"/>
        <v/>
      </c>
      <c r="BV88" s="602">
        <v>20</v>
      </c>
      <c r="BW88">
        <f t="shared" si="36"/>
        <v>0</v>
      </c>
      <c r="BX88">
        <f>IF(BW88=0,0,1+MAX(BX$69:BX87))</f>
        <v>0</v>
      </c>
      <c r="BY88">
        <f t="shared" si="61"/>
        <v>0</v>
      </c>
      <c r="BZ88" t="str">
        <f t="shared" si="62"/>
        <v/>
      </c>
      <c r="CA88" t="str">
        <f t="shared" si="63"/>
        <v/>
      </c>
    </row>
    <row r="89" spans="2:79" x14ac:dyDescent="0.25">
      <c r="B89" s="5">
        <v>21</v>
      </c>
      <c r="C89">
        <f t="shared" si="28"/>
        <v>0</v>
      </c>
      <c r="D89">
        <f>IF(C89=0,0,1+MAX(D$69:D88))</f>
        <v>0</v>
      </c>
      <c r="E89">
        <f t="shared" si="37"/>
        <v>0</v>
      </c>
      <c r="F89" t="str">
        <f t="shared" si="38"/>
        <v/>
      </c>
      <c r="G89" t="str">
        <f t="shared" si="39"/>
        <v/>
      </c>
      <c r="K89" s="602">
        <v>21</v>
      </c>
      <c r="L89">
        <f t="shared" si="29"/>
        <v>0</v>
      </c>
      <c r="M89">
        <f>IF(L89=0,0,1+MAX(M$69:M88))</f>
        <v>0</v>
      </c>
      <c r="N89">
        <f t="shared" si="40"/>
        <v>0</v>
      </c>
      <c r="O89" t="str">
        <f t="shared" si="41"/>
        <v/>
      </c>
      <c r="P89" t="str">
        <f t="shared" si="42"/>
        <v/>
      </c>
      <c r="T89" s="602">
        <v>21</v>
      </c>
      <c r="U89">
        <f t="shared" si="30"/>
        <v>0</v>
      </c>
      <c r="V89">
        <f>IF(U89=0,0,1+MAX(V$69:V88))</f>
        <v>0</v>
      </c>
      <c r="W89">
        <f t="shared" si="43"/>
        <v>0</v>
      </c>
      <c r="X89" t="str">
        <f t="shared" si="44"/>
        <v/>
      </c>
      <c r="Y89" t="str">
        <f t="shared" si="45"/>
        <v/>
      </c>
      <c r="AC89" s="602">
        <v>21</v>
      </c>
      <c r="AD89">
        <f t="shared" si="31"/>
        <v>0</v>
      </c>
      <c r="AE89">
        <f>IF(AD89=0,0,1+MAX(AE$69:AE88))</f>
        <v>0</v>
      </c>
      <c r="AF89">
        <f t="shared" si="46"/>
        <v>0</v>
      </c>
      <c r="AG89" t="str">
        <f t="shared" si="47"/>
        <v/>
      </c>
      <c r="AH89" t="str">
        <f t="shared" si="48"/>
        <v/>
      </c>
      <c r="AL89" s="602">
        <v>21</v>
      </c>
      <c r="AM89">
        <f t="shared" si="32"/>
        <v>0</v>
      </c>
      <c r="AN89">
        <f>IF(AM89=0,0,1+MAX(AN$69:AN88))</f>
        <v>0</v>
      </c>
      <c r="AO89">
        <f t="shared" si="49"/>
        <v>0</v>
      </c>
      <c r="AP89" t="str">
        <f t="shared" si="50"/>
        <v/>
      </c>
      <c r="AQ89" t="str">
        <f t="shared" si="51"/>
        <v/>
      </c>
      <c r="AU89" s="602">
        <v>21</v>
      </c>
      <c r="AV89">
        <f t="shared" si="33"/>
        <v>0</v>
      </c>
      <c r="AW89">
        <f>IF(AV89=0,0,1+MAX(AW$69:AW88))</f>
        <v>0</v>
      </c>
      <c r="AX89">
        <f t="shared" si="52"/>
        <v>0</v>
      </c>
      <c r="AY89" t="str">
        <f t="shared" si="53"/>
        <v/>
      </c>
      <c r="AZ89" t="str">
        <f t="shared" si="54"/>
        <v/>
      </c>
      <c r="BD89" s="602">
        <v>21</v>
      </c>
      <c r="BE89">
        <f t="shared" si="34"/>
        <v>0</v>
      </c>
      <c r="BF89">
        <f>IF(BE89=0,0,1+MAX(BF$69:BF88))</f>
        <v>0</v>
      </c>
      <c r="BG89">
        <f t="shared" si="55"/>
        <v>0</v>
      </c>
      <c r="BH89" t="str">
        <f t="shared" si="56"/>
        <v/>
      </c>
      <c r="BI89" t="str">
        <f t="shared" si="57"/>
        <v/>
      </c>
      <c r="BM89" s="602">
        <v>21</v>
      </c>
      <c r="BN89">
        <f t="shared" si="35"/>
        <v>0</v>
      </c>
      <c r="BO89">
        <f>IF(BN89=0,0,1+MAX(BO$69:BO88))</f>
        <v>0</v>
      </c>
      <c r="BP89">
        <f t="shared" si="58"/>
        <v>0</v>
      </c>
      <c r="BQ89" t="str">
        <f t="shared" si="59"/>
        <v/>
      </c>
      <c r="BR89" t="str">
        <f t="shared" si="60"/>
        <v/>
      </c>
      <c r="BV89" s="602">
        <v>21</v>
      </c>
      <c r="BW89">
        <f t="shared" si="36"/>
        <v>0</v>
      </c>
      <c r="BX89">
        <f>IF(BW89=0,0,1+MAX(BX$69:BX88))</f>
        <v>0</v>
      </c>
      <c r="BY89">
        <f t="shared" si="61"/>
        <v>0</v>
      </c>
      <c r="BZ89" t="str">
        <f t="shared" si="62"/>
        <v/>
      </c>
      <c r="CA89" t="str">
        <f t="shared" si="63"/>
        <v/>
      </c>
    </row>
    <row r="90" spans="2:79" x14ac:dyDescent="0.25">
      <c r="B90" s="5">
        <v>22</v>
      </c>
      <c r="C90">
        <f t="shared" si="28"/>
        <v>0</v>
      </c>
      <c r="D90">
        <f>IF(C90=0,0,1+MAX(D$69:D89))</f>
        <v>0</v>
      </c>
      <c r="E90">
        <f t="shared" si="37"/>
        <v>0</v>
      </c>
      <c r="F90" t="str">
        <f t="shared" si="38"/>
        <v/>
      </c>
      <c r="G90" t="str">
        <f t="shared" si="39"/>
        <v/>
      </c>
      <c r="K90" s="602">
        <v>22</v>
      </c>
      <c r="L90">
        <f t="shared" si="29"/>
        <v>0</v>
      </c>
      <c r="M90">
        <f>IF(L90=0,0,1+MAX(M$69:M89))</f>
        <v>0</v>
      </c>
      <c r="N90">
        <f t="shared" si="40"/>
        <v>0</v>
      </c>
      <c r="O90" t="str">
        <f t="shared" si="41"/>
        <v/>
      </c>
      <c r="P90" t="str">
        <f t="shared" si="42"/>
        <v/>
      </c>
      <c r="T90" s="602">
        <v>22</v>
      </c>
      <c r="U90">
        <f t="shared" si="30"/>
        <v>0</v>
      </c>
      <c r="V90">
        <f>IF(U90=0,0,1+MAX(V$69:V89))</f>
        <v>0</v>
      </c>
      <c r="W90">
        <f t="shared" si="43"/>
        <v>0</v>
      </c>
      <c r="X90" t="str">
        <f t="shared" si="44"/>
        <v/>
      </c>
      <c r="Y90" t="str">
        <f t="shared" si="45"/>
        <v/>
      </c>
      <c r="AC90" s="602">
        <v>22</v>
      </c>
      <c r="AD90">
        <f t="shared" si="31"/>
        <v>0</v>
      </c>
      <c r="AE90">
        <f>IF(AD90=0,0,1+MAX(AE$69:AE89))</f>
        <v>0</v>
      </c>
      <c r="AF90">
        <f t="shared" si="46"/>
        <v>0</v>
      </c>
      <c r="AG90" t="str">
        <f t="shared" si="47"/>
        <v/>
      </c>
      <c r="AH90" t="str">
        <f t="shared" si="48"/>
        <v/>
      </c>
      <c r="AL90" s="602">
        <v>22</v>
      </c>
      <c r="AM90">
        <f t="shared" si="32"/>
        <v>0</v>
      </c>
      <c r="AN90">
        <f>IF(AM90=0,0,1+MAX(AN$69:AN89))</f>
        <v>0</v>
      </c>
      <c r="AO90">
        <f t="shared" si="49"/>
        <v>0</v>
      </c>
      <c r="AP90" t="str">
        <f t="shared" si="50"/>
        <v/>
      </c>
      <c r="AQ90" t="str">
        <f t="shared" si="51"/>
        <v/>
      </c>
      <c r="AU90" s="602">
        <v>22</v>
      </c>
      <c r="AV90">
        <f t="shared" si="33"/>
        <v>0</v>
      </c>
      <c r="AW90">
        <f>IF(AV90=0,0,1+MAX(AW$69:AW89))</f>
        <v>0</v>
      </c>
      <c r="AX90">
        <f t="shared" si="52"/>
        <v>0</v>
      </c>
      <c r="AY90" t="str">
        <f t="shared" si="53"/>
        <v/>
      </c>
      <c r="AZ90" t="str">
        <f t="shared" si="54"/>
        <v/>
      </c>
      <c r="BD90" s="602">
        <v>22</v>
      </c>
      <c r="BE90">
        <f t="shared" si="34"/>
        <v>0</v>
      </c>
      <c r="BF90">
        <f>IF(BE90=0,0,1+MAX(BF$69:BF89))</f>
        <v>0</v>
      </c>
      <c r="BG90">
        <f t="shared" si="55"/>
        <v>0</v>
      </c>
      <c r="BH90" t="str">
        <f t="shared" si="56"/>
        <v/>
      </c>
      <c r="BI90" t="str">
        <f t="shared" si="57"/>
        <v/>
      </c>
      <c r="BM90" s="602">
        <v>22</v>
      </c>
      <c r="BN90">
        <f t="shared" si="35"/>
        <v>0</v>
      </c>
      <c r="BO90">
        <f>IF(BN90=0,0,1+MAX(BO$69:BO89))</f>
        <v>0</v>
      </c>
      <c r="BP90">
        <f t="shared" si="58"/>
        <v>0</v>
      </c>
      <c r="BQ90" t="str">
        <f t="shared" si="59"/>
        <v/>
      </c>
      <c r="BR90" t="str">
        <f t="shared" si="60"/>
        <v/>
      </c>
      <c r="BV90" s="602">
        <v>22</v>
      </c>
      <c r="BW90">
        <f t="shared" si="36"/>
        <v>0</v>
      </c>
      <c r="BX90">
        <f>IF(BW90=0,0,1+MAX(BX$69:BX89))</f>
        <v>0</v>
      </c>
      <c r="BY90">
        <f t="shared" si="61"/>
        <v>0</v>
      </c>
      <c r="BZ90" t="str">
        <f t="shared" si="62"/>
        <v/>
      </c>
      <c r="CA90" t="str">
        <f t="shared" si="63"/>
        <v/>
      </c>
    </row>
    <row r="91" spans="2:79" x14ac:dyDescent="0.25">
      <c r="B91" s="5">
        <v>23</v>
      </c>
      <c r="C91">
        <f t="shared" si="28"/>
        <v>0</v>
      </c>
      <c r="D91">
        <f>IF(C91=0,0,1+MAX(D$69:D90))</f>
        <v>0</v>
      </c>
      <c r="E91">
        <f t="shared" si="37"/>
        <v>0</v>
      </c>
      <c r="F91" t="str">
        <f t="shared" si="38"/>
        <v/>
      </c>
      <c r="G91" t="str">
        <f t="shared" si="39"/>
        <v/>
      </c>
      <c r="K91" s="602">
        <v>23</v>
      </c>
      <c r="L91">
        <f t="shared" si="29"/>
        <v>0</v>
      </c>
      <c r="M91">
        <f>IF(L91=0,0,1+MAX(M$69:M90))</f>
        <v>0</v>
      </c>
      <c r="N91">
        <f t="shared" si="40"/>
        <v>0</v>
      </c>
      <c r="O91" t="str">
        <f t="shared" si="41"/>
        <v/>
      </c>
      <c r="P91" t="str">
        <f t="shared" si="42"/>
        <v/>
      </c>
      <c r="T91" s="602">
        <v>23</v>
      </c>
      <c r="U91">
        <f t="shared" si="30"/>
        <v>0</v>
      </c>
      <c r="V91">
        <f>IF(U91=0,0,1+MAX(V$69:V90))</f>
        <v>0</v>
      </c>
      <c r="W91">
        <f t="shared" si="43"/>
        <v>0</v>
      </c>
      <c r="X91" t="str">
        <f t="shared" si="44"/>
        <v/>
      </c>
      <c r="Y91" t="str">
        <f t="shared" si="45"/>
        <v/>
      </c>
      <c r="AC91" s="602">
        <v>23</v>
      </c>
      <c r="AD91">
        <f t="shared" si="31"/>
        <v>0</v>
      </c>
      <c r="AE91">
        <f>IF(AD91=0,0,1+MAX(AE$69:AE90))</f>
        <v>0</v>
      </c>
      <c r="AF91">
        <f t="shared" si="46"/>
        <v>0</v>
      </c>
      <c r="AG91" t="str">
        <f t="shared" si="47"/>
        <v/>
      </c>
      <c r="AH91" t="str">
        <f t="shared" si="48"/>
        <v/>
      </c>
      <c r="AL91" s="602">
        <v>23</v>
      </c>
      <c r="AM91">
        <f t="shared" si="32"/>
        <v>0</v>
      </c>
      <c r="AN91">
        <f>IF(AM91=0,0,1+MAX(AN$69:AN90))</f>
        <v>0</v>
      </c>
      <c r="AO91">
        <f t="shared" si="49"/>
        <v>0</v>
      </c>
      <c r="AP91" t="str">
        <f t="shared" si="50"/>
        <v/>
      </c>
      <c r="AQ91" t="str">
        <f t="shared" si="51"/>
        <v/>
      </c>
      <c r="AU91" s="602">
        <v>23</v>
      </c>
      <c r="AV91">
        <f t="shared" si="33"/>
        <v>0</v>
      </c>
      <c r="AW91">
        <f>IF(AV91=0,0,1+MAX(AW$69:AW90))</f>
        <v>0</v>
      </c>
      <c r="AX91">
        <f t="shared" si="52"/>
        <v>0</v>
      </c>
      <c r="AY91" t="str">
        <f t="shared" si="53"/>
        <v/>
      </c>
      <c r="AZ91" t="str">
        <f t="shared" si="54"/>
        <v/>
      </c>
      <c r="BD91" s="602">
        <v>23</v>
      </c>
      <c r="BE91">
        <f t="shared" si="34"/>
        <v>0</v>
      </c>
      <c r="BF91">
        <f>IF(BE91=0,0,1+MAX(BF$69:BF90))</f>
        <v>0</v>
      </c>
      <c r="BG91">
        <f t="shared" si="55"/>
        <v>0</v>
      </c>
      <c r="BH91" t="str">
        <f t="shared" si="56"/>
        <v/>
      </c>
      <c r="BI91" t="str">
        <f t="shared" si="57"/>
        <v/>
      </c>
      <c r="BM91" s="602">
        <v>23</v>
      </c>
      <c r="BN91">
        <f t="shared" si="35"/>
        <v>0</v>
      </c>
      <c r="BO91">
        <f>IF(BN91=0,0,1+MAX(BO$69:BO90))</f>
        <v>0</v>
      </c>
      <c r="BP91">
        <f t="shared" si="58"/>
        <v>0</v>
      </c>
      <c r="BQ91" t="str">
        <f t="shared" si="59"/>
        <v/>
      </c>
      <c r="BR91" t="str">
        <f t="shared" si="60"/>
        <v/>
      </c>
      <c r="BV91" s="602">
        <v>23</v>
      </c>
      <c r="BW91">
        <f t="shared" si="36"/>
        <v>0</v>
      </c>
      <c r="BX91">
        <f>IF(BW91=0,0,1+MAX(BX$69:BX90))</f>
        <v>0</v>
      </c>
      <c r="BY91">
        <f t="shared" si="61"/>
        <v>0</v>
      </c>
      <c r="BZ91" t="str">
        <f t="shared" si="62"/>
        <v/>
      </c>
      <c r="CA91" t="str">
        <f t="shared" si="63"/>
        <v/>
      </c>
    </row>
    <row r="92" spans="2:79" x14ac:dyDescent="0.25">
      <c r="B92" s="5">
        <v>24</v>
      </c>
      <c r="C92">
        <f t="shared" si="28"/>
        <v>0</v>
      </c>
      <c r="D92">
        <f>IF(C92=0,0,1+MAX(D$69:D91))</f>
        <v>0</v>
      </c>
      <c r="E92">
        <f t="shared" si="37"/>
        <v>0</v>
      </c>
      <c r="F92" t="str">
        <f t="shared" si="38"/>
        <v/>
      </c>
      <c r="G92" t="str">
        <f t="shared" si="39"/>
        <v/>
      </c>
      <c r="K92" s="602">
        <v>24</v>
      </c>
      <c r="L92">
        <f t="shared" si="29"/>
        <v>0</v>
      </c>
      <c r="M92">
        <f>IF(L92=0,0,1+MAX(M$69:M91))</f>
        <v>0</v>
      </c>
      <c r="N92">
        <f t="shared" si="40"/>
        <v>0</v>
      </c>
      <c r="O92" t="str">
        <f t="shared" si="41"/>
        <v/>
      </c>
      <c r="P92" t="str">
        <f t="shared" si="42"/>
        <v/>
      </c>
      <c r="T92" s="602">
        <v>24</v>
      </c>
      <c r="U92">
        <f t="shared" si="30"/>
        <v>0</v>
      </c>
      <c r="V92">
        <f>IF(U92=0,0,1+MAX(V$69:V91))</f>
        <v>0</v>
      </c>
      <c r="W92">
        <f t="shared" si="43"/>
        <v>0</v>
      </c>
      <c r="X92" t="str">
        <f t="shared" si="44"/>
        <v/>
      </c>
      <c r="Y92" t="str">
        <f t="shared" si="45"/>
        <v/>
      </c>
      <c r="AC92" s="602">
        <v>24</v>
      </c>
      <c r="AD92">
        <f t="shared" si="31"/>
        <v>0</v>
      </c>
      <c r="AE92">
        <f>IF(AD92=0,0,1+MAX(AE$69:AE91))</f>
        <v>0</v>
      </c>
      <c r="AF92">
        <f t="shared" si="46"/>
        <v>0</v>
      </c>
      <c r="AG92" t="str">
        <f t="shared" si="47"/>
        <v/>
      </c>
      <c r="AH92" t="str">
        <f t="shared" si="48"/>
        <v/>
      </c>
      <c r="AL92" s="602">
        <v>24</v>
      </c>
      <c r="AM92">
        <f t="shared" si="32"/>
        <v>0</v>
      </c>
      <c r="AN92">
        <f>IF(AM92=0,0,1+MAX(AN$69:AN91))</f>
        <v>0</v>
      </c>
      <c r="AO92">
        <f t="shared" si="49"/>
        <v>0</v>
      </c>
      <c r="AP92" t="str">
        <f t="shared" si="50"/>
        <v/>
      </c>
      <c r="AQ92" t="str">
        <f t="shared" si="51"/>
        <v/>
      </c>
      <c r="AU92" s="602">
        <v>24</v>
      </c>
      <c r="AV92">
        <f t="shared" si="33"/>
        <v>0</v>
      </c>
      <c r="AW92">
        <f>IF(AV92=0,0,1+MAX(AW$69:AW91))</f>
        <v>0</v>
      </c>
      <c r="AX92">
        <f t="shared" si="52"/>
        <v>0</v>
      </c>
      <c r="AY92" t="str">
        <f t="shared" si="53"/>
        <v/>
      </c>
      <c r="AZ92" t="str">
        <f t="shared" si="54"/>
        <v/>
      </c>
      <c r="BD92" s="602">
        <v>24</v>
      </c>
      <c r="BE92">
        <f t="shared" si="34"/>
        <v>0</v>
      </c>
      <c r="BF92">
        <f>IF(BE92=0,0,1+MAX(BF$69:BF91))</f>
        <v>0</v>
      </c>
      <c r="BG92">
        <f t="shared" si="55"/>
        <v>0</v>
      </c>
      <c r="BH92" t="str">
        <f t="shared" si="56"/>
        <v/>
      </c>
      <c r="BI92" t="str">
        <f t="shared" si="57"/>
        <v/>
      </c>
      <c r="BM92" s="602">
        <v>24</v>
      </c>
      <c r="BN92">
        <f t="shared" si="35"/>
        <v>0</v>
      </c>
      <c r="BO92">
        <f>IF(BN92=0,0,1+MAX(BO$69:BO91))</f>
        <v>0</v>
      </c>
      <c r="BP92">
        <f t="shared" si="58"/>
        <v>0</v>
      </c>
      <c r="BQ92" t="str">
        <f t="shared" si="59"/>
        <v/>
      </c>
      <c r="BR92" t="str">
        <f t="shared" si="60"/>
        <v/>
      </c>
      <c r="BV92" s="602">
        <v>24</v>
      </c>
      <c r="BW92">
        <f t="shared" si="36"/>
        <v>0</v>
      </c>
      <c r="BX92">
        <f>IF(BW92=0,0,1+MAX(BX$69:BX91))</f>
        <v>0</v>
      </c>
      <c r="BY92">
        <f t="shared" si="61"/>
        <v>0</v>
      </c>
      <c r="BZ92" t="str">
        <f t="shared" si="62"/>
        <v/>
      </c>
      <c r="CA92" t="str">
        <f t="shared" si="63"/>
        <v/>
      </c>
    </row>
    <row r="93" spans="2:79" x14ac:dyDescent="0.25">
      <c r="B93" s="5">
        <v>25</v>
      </c>
      <c r="C93">
        <f t="shared" si="28"/>
        <v>0</v>
      </c>
      <c r="D93">
        <f>IF(C93=0,0,1+MAX(D$69:D92))</f>
        <v>0</v>
      </c>
      <c r="E93">
        <f t="shared" si="37"/>
        <v>0</v>
      </c>
      <c r="F93" t="str">
        <f t="shared" si="38"/>
        <v/>
      </c>
      <c r="G93" t="str">
        <f t="shared" si="39"/>
        <v/>
      </c>
      <c r="K93" s="602">
        <v>25</v>
      </c>
      <c r="L93">
        <f t="shared" si="29"/>
        <v>0</v>
      </c>
      <c r="M93">
        <f>IF(L93=0,0,1+MAX(M$69:M92))</f>
        <v>0</v>
      </c>
      <c r="N93">
        <f t="shared" si="40"/>
        <v>0</v>
      </c>
      <c r="O93" t="str">
        <f t="shared" si="41"/>
        <v/>
      </c>
      <c r="P93" t="str">
        <f t="shared" si="42"/>
        <v/>
      </c>
      <c r="T93" s="602">
        <v>25</v>
      </c>
      <c r="U93">
        <f t="shared" si="30"/>
        <v>0</v>
      </c>
      <c r="V93">
        <f>IF(U93=0,0,1+MAX(V$69:V92))</f>
        <v>0</v>
      </c>
      <c r="W93">
        <f t="shared" si="43"/>
        <v>0</v>
      </c>
      <c r="X93" t="str">
        <f t="shared" si="44"/>
        <v/>
      </c>
      <c r="Y93" t="str">
        <f t="shared" si="45"/>
        <v/>
      </c>
      <c r="AC93" s="602">
        <v>25</v>
      </c>
      <c r="AD93">
        <f t="shared" si="31"/>
        <v>0</v>
      </c>
      <c r="AE93">
        <f>IF(AD93=0,0,1+MAX(AE$69:AE92))</f>
        <v>0</v>
      </c>
      <c r="AF93">
        <f t="shared" si="46"/>
        <v>0</v>
      </c>
      <c r="AG93" t="str">
        <f t="shared" si="47"/>
        <v/>
      </c>
      <c r="AH93" t="str">
        <f t="shared" si="48"/>
        <v/>
      </c>
      <c r="AL93" s="602">
        <v>25</v>
      </c>
      <c r="AM93">
        <f t="shared" si="32"/>
        <v>0</v>
      </c>
      <c r="AN93">
        <f>IF(AM93=0,0,1+MAX(AN$69:AN92))</f>
        <v>0</v>
      </c>
      <c r="AO93">
        <f t="shared" si="49"/>
        <v>0</v>
      </c>
      <c r="AP93" t="str">
        <f t="shared" si="50"/>
        <v/>
      </c>
      <c r="AQ93" t="str">
        <f t="shared" si="51"/>
        <v/>
      </c>
      <c r="AU93" s="602">
        <v>25</v>
      </c>
      <c r="AV93">
        <f t="shared" si="33"/>
        <v>0</v>
      </c>
      <c r="AW93">
        <f>IF(AV93=0,0,1+MAX(AW$69:AW92))</f>
        <v>0</v>
      </c>
      <c r="AX93">
        <f t="shared" si="52"/>
        <v>0</v>
      </c>
      <c r="AY93" t="str">
        <f t="shared" si="53"/>
        <v/>
      </c>
      <c r="AZ93" t="str">
        <f t="shared" si="54"/>
        <v/>
      </c>
      <c r="BD93" s="602">
        <v>25</v>
      </c>
      <c r="BE93">
        <f t="shared" si="34"/>
        <v>0</v>
      </c>
      <c r="BF93">
        <f>IF(BE93=0,0,1+MAX(BF$69:BF92))</f>
        <v>0</v>
      </c>
      <c r="BG93">
        <f t="shared" si="55"/>
        <v>0</v>
      </c>
      <c r="BH93" t="str">
        <f t="shared" si="56"/>
        <v/>
      </c>
      <c r="BI93" t="str">
        <f t="shared" si="57"/>
        <v/>
      </c>
      <c r="BM93" s="602">
        <v>25</v>
      </c>
      <c r="BN93">
        <f t="shared" si="35"/>
        <v>0</v>
      </c>
      <c r="BO93">
        <f>IF(BN93=0,0,1+MAX(BO$69:BO92))</f>
        <v>0</v>
      </c>
      <c r="BP93">
        <f t="shared" si="58"/>
        <v>0</v>
      </c>
      <c r="BQ93" t="str">
        <f t="shared" si="59"/>
        <v/>
      </c>
      <c r="BR93" t="str">
        <f t="shared" si="60"/>
        <v/>
      </c>
      <c r="BV93" s="602">
        <v>25</v>
      </c>
      <c r="BW93">
        <f t="shared" si="36"/>
        <v>0</v>
      </c>
      <c r="BX93">
        <f>IF(BW93=0,0,1+MAX(BX$69:BX92))</f>
        <v>0</v>
      </c>
      <c r="BY93">
        <f t="shared" si="61"/>
        <v>0</v>
      </c>
      <c r="BZ93" t="str">
        <f t="shared" si="62"/>
        <v/>
      </c>
      <c r="CA93" t="str">
        <f t="shared" si="63"/>
        <v/>
      </c>
    </row>
    <row r="94" spans="2:79" x14ac:dyDescent="0.25">
      <c r="B94" s="5">
        <v>26</v>
      </c>
      <c r="C94">
        <f t="shared" si="28"/>
        <v>0</v>
      </c>
      <c r="D94">
        <f>IF(C94=0,0,1+MAX(D$69:D93))</f>
        <v>0</v>
      </c>
      <c r="E94">
        <f t="shared" si="37"/>
        <v>0</v>
      </c>
      <c r="F94" t="str">
        <f t="shared" si="38"/>
        <v/>
      </c>
      <c r="G94" t="str">
        <f t="shared" si="39"/>
        <v/>
      </c>
      <c r="K94" s="602">
        <v>26</v>
      </c>
      <c r="L94">
        <f t="shared" si="29"/>
        <v>0</v>
      </c>
      <c r="M94">
        <f>IF(L94=0,0,1+MAX(M$69:M93))</f>
        <v>0</v>
      </c>
      <c r="N94">
        <f t="shared" si="40"/>
        <v>0</v>
      </c>
      <c r="O94" t="str">
        <f t="shared" si="41"/>
        <v/>
      </c>
      <c r="P94" t="str">
        <f t="shared" si="42"/>
        <v/>
      </c>
      <c r="T94" s="602">
        <v>26</v>
      </c>
      <c r="U94">
        <f t="shared" si="30"/>
        <v>0</v>
      </c>
      <c r="V94">
        <f>IF(U94=0,0,1+MAX(V$69:V93))</f>
        <v>0</v>
      </c>
      <c r="W94">
        <f t="shared" si="43"/>
        <v>0</v>
      </c>
      <c r="X94" t="str">
        <f t="shared" si="44"/>
        <v/>
      </c>
      <c r="Y94" t="str">
        <f t="shared" si="45"/>
        <v/>
      </c>
      <c r="AC94" s="602">
        <v>26</v>
      </c>
      <c r="AD94">
        <f t="shared" si="31"/>
        <v>0</v>
      </c>
      <c r="AE94">
        <f>IF(AD94=0,0,1+MAX(AE$69:AE93))</f>
        <v>0</v>
      </c>
      <c r="AF94">
        <f t="shared" si="46"/>
        <v>0</v>
      </c>
      <c r="AG94" t="str">
        <f t="shared" si="47"/>
        <v/>
      </c>
      <c r="AH94" t="str">
        <f t="shared" si="48"/>
        <v/>
      </c>
      <c r="AL94" s="602">
        <v>26</v>
      </c>
      <c r="AM94">
        <f t="shared" si="32"/>
        <v>0</v>
      </c>
      <c r="AN94">
        <f>IF(AM94=0,0,1+MAX(AN$69:AN93))</f>
        <v>0</v>
      </c>
      <c r="AO94">
        <f t="shared" si="49"/>
        <v>0</v>
      </c>
      <c r="AP94" t="str">
        <f t="shared" si="50"/>
        <v/>
      </c>
      <c r="AQ94" t="str">
        <f t="shared" si="51"/>
        <v/>
      </c>
      <c r="AU94" s="602">
        <v>26</v>
      </c>
      <c r="AV94">
        <f t="shared" si="33"/>
        <v>0</v>
      </c>
      <c r="AW94">
        <f>IF(AV94=0,0,1+MAX(AW$69:AW93))</f>
        <v>0</v>
      </c>
      <c r="AX94">
        <f t="shared" si="52"/>
        <v>0</v>
      </c>
      <c r="AY94" t="str">
        <f t="shared" si="53"/>
        <v/>
      </c>
      <c r="AZ94" t="str">
        <f t="shared" si="54"/>
        <v/>
      </c>
      <c r="BD94" s="602">
        <v>26</v>
      </c>
      <c r="BE94">
        <f t="shared" si="34"/>
        <v>0</v>
      </c>
      <c r="BF94">
        <f>IF(BE94=0,0,1+MAX(BF$69:BF93))</f>
        <v>0</v>
      </c>
      <c r="BG94">
        <f t="shared" si="55"/>
        <v>0</v>
      </c>
      <c r="BH94" t="str">
        <f t="shared" si="56"/>
        <v/>
      </c>
      <c r="BI94" t="str">
        <f t="shared" si="57"/>
        <v/>
      </c>
      <c r="BM94" s="602">
        <v>26</v>
      </c>
      <c r="BN94">
        <f t="shared" si="35"/>
        <v>0</v>
      </c>
      <c r="BO94">
        <f>IF(BN94=0,0,1+MAX(BO$69:BO93))</f>
        <v>0</v>
      </c>
      <c r="BP94">
        <f t="shared" si="58"/>
        <v>0</v>
      </c>
      <c r="BQ94" t="str">
        <f t="shared" si="59"/>
        <v/>
      </c>
      <c r="BR94" t="str">
        <f t="shared" si="60"/>
        <v/>
      </c>
      <c r="BV94" s="602">
        <v>26</v>
      </c>
      <c r="BW94">
        <f t="shared" si="36"/>
        <v>0</v>
      </c>
      <c r="BX94">
        <f>IF(BW94=0,0,1+MAX(BX$69:BX93))</f>
        <v>0</v>
      </c>
      <c r="BY94">
        <f t="shared" si="61"/>
        <v>0</v>
      </c>
      <c r="BZ94" t="str">
        <f t="shared" si="62"/>
        <v/>
      </c>
      <c r="CA94" t="str">
        <f t="shared" si="63"/>
        <v/>
      </c>
    </row>
    <row r="95" spans="2:79" x14ac:dyDescent="0.25">
      <c r="B95" s="5">
        <v>27</v>
      </c>
      <c r="C95">
        <f t="shared" si="28"/>
        <v>0</v>
      </c>
      <c r="D95">
        <f>IF(C95=0,0,1+MAX(D$69:D94))</f>
        <v>0</v>
      </c>
      <c r="E95">
        <f t="shared" si="37"/>
        <v>0</v>
      </c>
      <c r="F95" t="str">
        <f t="shared" si="38"/>
        <v/>
      </c>
      <c r="G95" t="str">
        <f t="shared" si="39"/>
        <v/>
      </c>
      <c r="K95" s="602">
        <v>27</v>
      </c>
      <c r="L95">
        <f t="shared" si="29"/>
        <v>0</v>
      </c>
      <c r="M95">
        <f>IF(L95=0,0,1+MAX(M$69:M94))</f>
        <v>0</v>
      </c>
      <c r="N95">
        <f t="shared" si="40"/>
        <v>0</v>
      </c>
      <c r="O95" t="str">
        <f t="shared" si="41"/>
        <v/>
      </c>
      <c r="P95" t="str">
        <f t="shared" si="42"/>
        <v/>
      </c>
      <c r="T95" s="602">
        <v>27</v>
      </c>
      <c r="U95">
        <f t="shared" si="30"/>
        <v>0</v>
      </c>
      <c r="V95">
        <f>IF(U95=0,0,1+MAX(V$69:V94))</f>
        <v>0</v>
      </c>
      <c r="W95">
        <f t="shared" si="43"/>
        <v>0</v>
      </c>
      <c r="X95" t="str">
        <f t="shared" si="44"/>
        <v/>
      </c>
      <c r="Y95" t="str">
        <f t="shared" si="45"/>
        <v/>
      </c>
      <c r="AC95" s="602">
        <v>27</v>
      </c>
      <c r="AD95">
        <f t="shared" si="31"/>
        <v>0</v>
      </c>
      <c r="AE95">
        <f>IF(AD95=0,0,1+MAX(AE$69:AE94))</f>
        <v>0</v>
      </c>
      <c r="AF95">
        <f t="shared" si="46"/>
        <v>0</v>
      </c>
      <c r="AG95" t="str">
        <f t="shared" si="47"/>
        <v/>
      </c>
      <c r="AH95" t="str">
        <f t="shared" si="48"/>
        <v/>
      </c>
      <c r="AL95" s="602">
        <v>27</v>
      </c>
      <c r="AM95">
        <f t="shared" si="32"/>
        <v>0</v>
      </c>
      <c r="AN95">
        <f>IF(AM95=0,0,1+MAX(AN$69:AN94))</f>
        <v>0</v>
      </c>
      <c r="AO95">
        <f t="shared" si="49"/>
        <v>0</v>
      </c>
      <c r="AP95" t="str">
        <f t="shared" si="50"/>
        <v/>
      </c>
      <c r="AQ95" t="str">
        <f t="shared" si="51"/>
        <v/>
      </c>
      <c r="AU95" s="602">
        <v>27</v>
      </c>
      <c r="AV95">
        <f t="shared" si="33"/>
        <v>0</v>
      </c>
      <c r="AW95">
        <f>IF(AV95=0,0,1+MAX(AW$69:AW94))</f>
        <v>0</v>
      </c>
      <c r="AX95">
        <f t="shared" si="52"/>
        <v>0</v>
      </c>
      <c r="AY95" t="str">
        <f t="shared" si="53"/>
        <v/>
      </c>
      <c r="AZ95" t="str">
        <f t="shared" si="54"/>
        <v/>
      </c>
      <c r="BD95" s="602">
        <v>27</v>
      </c>
      <c r="BE95">
        <f t="shared" si="34"/>
        <v>0</v>
      </c>
      <c r="BF95">
        <f>IF(BE95=0,0,1+MAX(BF$69:BF94))</f>
        <v>0</v>
      </c>
      <c r="BG95">
        <f t="shared" si="55"/>
        <v>0</v>
      </c>
      <c r="BH95" t="str">
        <f t="shared" si="56"/>
        <v/>
      </c>
      <c r="BI95" t="str">
        <f t="shared" si="57"/>
        <v/>
      </c>
      <c r="BM95" s="602">
        <v>27</v>
      </c>
      <c r="BN95">
        <f t="shared" si="35"/>
        <v>0</v>
      </c>
      <c r="BO95">
        <f>IF(BN95=0,0,1+MAX(BO$69:BO94))</f>
        <v>0</v>
      </c>
      <c r="BP95">
        <f t="shared" si="58"/>
        <v>0</v>
      </c>
      <c r="BQ95" t="str">
        <f t="shared" si="59"/>
        <v/>
      </c>
      <c r="BR95" t="str">
        <f t="shared" si="60"/>
        <v/>
      </c>
      <c r="BV95" s="602">
        <v>27</v>
      </c>
      <c r="BW95">
        <f t="shared" si="36"/>
        <v>0</v>
      </c>
      <c r="BX95">
        <f>IF(BW95=0,0,1+MAX(BX$69:BX94))</f>
        <v>0</v>
      </c>
      <c r="BY95">
        <f t="shared" si="61"/>
        <v>0</v>
      </c>
      <c r="BZ95" t="str">
        <f t="shared" si="62"/>
        <v/>
      </c>
      <c r="CA95" t="str">
        <f t="shared" si="63"/>
        <v/>
      </c>
    </row>
    <row r="96" spans="2:79" x14ac:dyDescent="0.25">
      <c r="B96" s="5">
        <v>28</v>
      </c>
      <c r="C96">
        <f t="shared" si="28"/>
        <v>0</v>
      </c>
      <c r="D96">
        <f>IF(C96=0,0,1+MAX(D$69:D95))</f>
        <v>0</v>
      </c>
      <c r="E96">
        <f t="shared" si="37"/>
        <v>0</v>
      </c>
      <c r="F96" t="str">
        <f t="shared" si="38"/>
        <v/>
      </c>
      <c r="G96" t="str">
        <f t="shared" si="39"/>
        <v/>
      </c>
      <c r="K96" s="602">
        <v>28</v>
      </c>
      <c r="L96">
        <f t="shared" si="29"/>
        <v>0</v>
      </c>
      <c r="M96">
        <f>IF(L96=0,0,1+MAX(M$69:M95))</f>
        <v>0</v>
      </c>
      <c r="N96">
        <f t="shared" si="40"/>
        <v>0</v>
      </c>
      <c r="O96" t="str">
        <f t="shared" si="41"/>
        <v/>
      </c>
      <c r="P96" t="str">
        <f t="shared" si="42"/>
        <v/>
      </c>
      <c r="T96" s="602">
        <v>28</v>
      </c>
      <c r="U96">
        <f t="shared" si="30"/>
        <v>0</v>
      </c>
      <c r="V96">
        <f>IF(U96=0,0,1+MAX(V$69:V95))</f>
        <v>0</v>
      </c>
      <c r="W96">
        <f t="shared" si="43"/>
        <v>0</v>
      </c>
      <c r="X96" t="str">
        <f t="shared" si="44"/>
        <v/>
      </c>
      <c r="Y96" t="str">
        <f t="shared" si="45"/>
        <v/>
      </c>
      <c r="AC96" s="602">
        <v>28</v>
      </c>
      <c r="AD96">
        <f t="shared" si="31"/>
        <v>0</v>
      </c>
      <c r="AE96">
        <f>IF(AD96=0,0,1+MAX(AE$69:AE95))</f>
        <v>0</v>
      </c>
      <c r="AF96">
        <f t="shared" si="46"/>
        <v>0</v>
      </c>
      <c r="AG96" t="str">
        <f t="shared" si="47"/>
        <v/>
      </c>
      <c r="AH96" t="str">
        <f t="shared" si="48"/>
        <v/>
      </c>
      <c r="AL96" s="602">
        <v>28</v>
      </c>
      <c r="AM96">
        <f t="shared" si="32"/>
        <v>0</v>
      </c>
      <c r="AN96">
        <f>IF(AM96=0,0,1+MAX(AN$69:AN95))</f>
        <v>0</v>
      </c>
      <c r="AO96">
        <f t="shared" si="49"/>
        <v>0</v>
      </c>
      <c r="AP96" t="str">
        <f t="shared" si="50"/>
        <v/>
      </c>
      <c r="AQ96" t="str">
        <f t="shared" si="51"/>
        <v/>
      </c>
      <c r="AU96" s="602">
        <v>28</v>
      </c>
      <c r="AV96">
        <f t="shared" si="33"/>
        <v>0</v>
      </c>
      <c r="AW96">
        <f>IF(AV96=0,0,1+MAX(AW$69:AW95))</f>
        <v>0</v>
      </c>
      <c r="AX96">
        <f t="shared" si="52"/>
        <v>0</v>
      </c>
      <c r="AY96" t="str">
        <f t="shared" si="53"/>
        <v/>
      </c>
      <c r="AZ96" t="str">
        <f t="shared" si="54"/>
        <v/>
      </c>
      <c r="BD96" s="602">
        <v>28</v>
      </c>
      <c r="BE96">
        <f t="shared" si="34"/>
        <v>0</v>
      </c>
      <c r="BF96">
        <f>IF(BE96=0,0,1+MAX(BF$69:BF95))</f>
        <v>0</v>
      </c>
      <c r="BG96">
        <f t="shared" si="55"/>
        <v>0</v>
      </c>
      <c r="BH96" t="str">
        <f t="shared" si="56"/>
        <v/>
      </c>
      <c r="BI96" t="str">
        <f t="shared" si="57"/>
        <v/>
      </c>
      <c r="BM96" s="602">
        <v>28</v>
      </c>
      <c r="BN96">
        <f t="shared" si="35"/>
        <v>0</v>
      </c>
      <c r="BO96">
        <f>IF(BN96=0,0,1+MAX(BO$69:BO95))</f>
        <v>0</v>
      </c>
      <c r="BP96">
        <f t="shared" si="58"/>
        <v>0</v>
      </c>
      <c r="BQ96" t="str">
        <f t="shared" si="59"/>
        <v/>
      </c>
      <c r="BR96" t="str">
        <f t="shared" si="60"/>
        <v/>
      </c>
      <c r="BV96" s="602">
        <v>28</v>
      </c>
      <c r="BW96">
        <f t="shared" si="36"/>
        <v>0</v>
      </c>
      <c r="BX96">
        <f>IF(BW96=0,0,1+MAX(BX$69:BX95))</f>
        <v>0</v>
      </c>
      <c r="BY96">
        <f t="shared" si="61"/>
        <v>0</v>
      </c>
      <c r="BZ96" t="str">
        <f t="shared" si="62"/>
        <v/>
      </c>
      <c r="CA96" t="str">
        <f t="shared" si="63"/>
        <v/>
      </c>
    </row>
    <row r="97" spans="2:79" x14ac:dyDescent="0.25">
      <c r="B97" s="5">
        <v>29</v>
      </c>
      <c r="C97">
        <f t="shared" si="28"/>
        <v>0</v>
      </c>
      <c r="D97">
        <f>IF(C97=0,0,1+MAX(D$69:D96))</f>
        <v>0</v>
      </c>
      <c r="E97">
        <f t="shared" si="37"/>
        <v>0</v>
      </c>
      <c r="F97" t="str">
        <f t="shared" si="38"/>
        <v/>
      </c>
      <c r="G97" t="str">
        <f t="shared" si="39"/>
        <v/>
      </c>
      <c r="K97" s="602">
        <v>29</v>
      </c>
      <c r="L97">
        <f t="shared" si="29"/>
        <v>0</v>
      </c>
      <c r="M97">
        <f>IF(L97=0,0,1+MAX(M$69:M96))</f>
        <v>0</v>
      </c>
      <c r="N97">
        <f t="shared" si="40"/>
        <v>0</v>
      </c>
      <c r="O97" t="str">
        <f t="shared" si="41"/>
        <v/>
      </c>
      <c r="P97" t="str">
        <f t="shared" si="42"/>
        <v/>
      </c>
      <c r="T97" s="602">
        <v>29</v>
      </c>
      <c r="U97">
        <f t="shared" si="30"/>
        <v>0</v>
      </c>
      <c r="V97">
        <f>IF(U97=0,0,1+MAX(V$69:V96))</f>
        <v>0</v>
      </c>
      <c r="W97">
        <f t="shared" si="43"/>
        <v>0</v>
      </c>
      <c r="X97" t="str">
        <f t="shared" si="44"/>
        <v/>
      </c>
      <c r="Y97" t="str">
        <f t="shared" si="45"/>
        <v/>
      </c>
      <c r="AC97" s="602">
        <v>29</v>
      </c>
      <c r="AD97">
        <f t="shared" si="31"/>
        <v>0</v>
      </c>
      <c r="AE97">
        <f>IF(AD97=0,0,1+MAX(AE$69:AE96))</f>
        <v>0</v>
      </c>
      <c r="AF97">
        <f t="shared" si="46"/>
        <v>0</v>
      </c>
      <c r="AG97" t="str">
        <f t="shared" si="47"/>
        <v/>
      </c>
      <c r="AH97" t="str">
        <f t="shared" si="48"/>
        <v/>
      </c>
      <c r="AL97" s="602">
        <v>29</v>
      </c>
      <c r="AM97">
        <f t="shared" si="32"/>
        <v>0</v>
      </c>
      <c r="AN97">
        <f>IF(AM97=0,0,1+MAX(AN$69:AN96))</f>
        <v>0</v>
      </c>
      <c r="AO97">
        <f t="shared" si="49"/>
        <v>0</v>
      </c>
      <c r="AP97" t="str">
        <f t="shared" si="50"/>
        <v/>
      </c>
      <c r="AQ97" t="str">
        <f t="shared" si="51"/>
        <v/>
      </c>
      <c r="AU97" s="602">
        <v>29</v>
      </c>
      <c r="AV97">
        <f t="shared" si="33"/>
        <v>0</v>
      </c>
      <c r="AW97">
        <f>IF(AV97=0,0,1+MAX(AW$69:AW96))</f>
        <v>0</v>
      </c>
      <c r="AX97">
        <f t="shared" si="52"/>
        <v>0</v>
      </c>
      <c r="AY97" t="str">
        <f t="shared" si="53"/>
        <v/>
      </c>
      <c r="AZ97" t="str">
        <f t="shared" si="54"/>
        <v/>
      </c>
      <c r="BD97" s="602">
        <v>29</v>
      </c>
      <c r="BE97">
        <f t="shared" si="34"/>
        <v>0</v>
      </c>
      <c r="BF97">
        <f>IF(BE97=0,0,1+MAX(BF$69:BF96))</f>
        <v>0</v>
      </c>
      <c r="BG97">
        <f t="shared" si="55"/>
        <v>0</v>
      </c>
      <c r="BH97" t="str">
        <f t="shared" si="56"/>
        <v/>
      </c>
      <c r="BI97" t="str">
        <f t="shared" si="57"/>
        <v/>
      </c>
      <c r="BM97" s="602">
        <v>29</v>
      </c>
      <c r="BN97">
        <f t="shared" si="35"/>
        <v>0</v>
      </c>
      <c r="BO97">
        <f>IF(BN97=0,0,1+MAX(BO$69:BO96))</f>
        <v>0</v>
      </c>
      <c r="BP97">
        <f t="shared" si="58"/>
        <v>0</v>
      </c>
      <c r="BQ97" t="str">
        <f t="shared" si="59"/>
        <v/>
      </c>
      <c r="BR97" t="str">
        <f t="shared" si="60"/>
        <v/>
      </c>
      <c r="BV97" s="602">
        <v>29</v>
      </c>
      <c r="BW97">
        <f t="shared" si="36"/>
        <v>0</v>
      </c>
      <c r="BX97">
        <f>IF(BW97=0,0,1+MAX(BX$69:BX96))</f>
        <v>0</v>
      </c>
      <c r="BY97">
        <f t="shared" si="61"/>
        <v>0</v>
      </c>
      <c r="BZ97" t="str">
        <f t="shared" si="62"/>
        <v/>
      </c>
      <c r="CA97" t="str">
        <f t="shared" si="63"/>
        <v/>
      </c>
    </row>
    <row r="98" spans="2:79" x14ac:dyDescent="0.25">
      <c r="B98" s="5">
        <v>30</v>
      </c>
      <c r="C98">
        <f t="shared" si="28"/>
        <v>0</v>
      </c>
      <c r="D98">
        <f>IF(C98=0,0,1+MAX(D$69:D97))</f>
        <v>0</v>
      </c>
      <c r="E98">
        <f t="shared" si="37"/>
        <v>0</v>
      </c>
      <c r="F98" t="str">
        <f t="shared" si="38"/>
        <v/>
      </c>
      <c r="G98" t="str">
        <f t="shared" si="39"/>
        <v/>
      </c>
      <c r="K98" s="602">
        <v>30</v>
      </c>
      <c r="L98">
        <f t="shared" si="29"/>
        <v>0</v>
      </c>
      <c r="M98">
        <f>IF(L98=0,0,1+MAX(M$69:M97))</f>
        <v>0</v>
      </c>
      <c r="N98">
        <f t="shared" si="40"/>
        <v>0</v>
      </c>
      <c r="O98" t="str">
        <f t="shared" si="41"/>
        <v/>
      </c>
      <c r="P98" t="str">
        <f t="shared" si="42"/>
        <v/>
      </c>
      <c r="T98" s="602">
        <v>30</v>
      </c>
      <c r="U98">
        <f t="shared" si="30"/>
        <v>0</v>
      </c>
      <c r="V98">
        <f>IF(U98=0,0,1+MAX(V$69:V97))</f>
        <v>0</v>
      </c>
      <c r="W98">
        <f t="shared" si="43"/>
        <v>0</v>
      </c>
      <c r="X98" t="str">
        <f t="shared" si="44"/>
        <v/>
      </c>
      <c r="Y98" t="str">
        <f t="shared" si="45"/>
        <v/>
      </c>
      <c r="AC98" s="602">
        <v>30</v>
      </c>
      <c r="AD98">
        <f t="shared" si="31"/>
        <v>0</v>
      </c>
      <c r="AE98">
        <f>IF(AD98=0,0,1+MAX(AE$69:AE97))</f>
        <v>0</v>
      </c>
      <c r="AF98">
        <f t="shared" si="46"/>
        <v>0</v>
      </c>
      <c r="AG98" t="str">
        <f t="shared" si="47"/>
        <v/>
      </c>
      <c r="AH98" t="str">
        <f t="shared" si="48"/>
        <v/>
      </c>
      <c r="AL98" s="602">
        <v>30</v>
      </c>
      <c r="AM98">
        <f t="shared" si="32"/>
        <v>0</v>
      </c>
      <c r="AN98">
        <f>IF(AM98=0,0,1+MAX(AN$69:AN97))</f>
        <v>0</v>
      </c>
      <c r="AO98">
        <f t="shared" si="49"/>
        <v>0</v>
      </c>
      <c r="AP98" t="str">
        <f t="shared" si="50"/>
        <v/>
      </c>
      <c r="AQ98" t="str">
        <f t="shared" si="51"/>
        <v/>
      </c>
      <c r="AU98" s="602">
        <v>30</v>
      </c>
      <c r="AV98">
        <f t="shared" si="33"/>
        <v>0</v>
      </c>
      <c r="AW98">
        <f>IF(AV98=0,0,1+MAX(AW$69:AW97))</f>
        <v>0</v>
      </c>
      <c r="AX98">
        <f t="shared" si="52"/>
        <v>0</v>
      </c>
      <c r="AY98" t="str">
        <f t="shared" si="53"/>
        <v/>
      </c>
      <c r="AZ98" t="str">
        <f t="shared" si="54"/>
        <v/>
      </c>
      <c r="BD98" s="602">
        <v>30</v>
      </c>
      <c r="BE98">
        <f t="shared" si="34"/>
        <v>0</v>
      </c>
      <c r="BF98">
        <f>IF(BE98=0,0,1+MAX(BF$69:BF97))</f>
        <v>0</v>
      </c>
      <c r="BG98">
        <f t="shared" si="55"/>
        <v>0</v>
      </c>
      <c r="BH98" t="str">
        <f t="shared" si="56"/>
        <v/>
      </c>
      <c r="BI98" t="str">
        <f t="shared" si="57"/>
        <v/>
      </c>
      <c r="BM98" s="602">
        <v>30</v>
      </c>
      <c r="BN98">
        <f t="shared" si="35"/>
        <v>0</v>
      </c>
      <c r="BO98">
        <f>IF(BN98=0,0,1+MAX(BO$69:BO97))</f>
        <v>0</v>
      </c>
      <c r="BP98">
        <f t="shared" si="58"/>
        <v>0</v>
      </c>
      <c r="BQ98" t="str">
        <f t="shared" si="59"/>
        <v/>
      </c>
      <c r="BR98" t="str">
        <f t="shared" si="60"/>
        <v/>
      </c>
      <c r="BV98" s="602">
        <v>30</v>
      </c>
      <c r="BW98">
        <f t="shared" si="36"/>
        <v>0</v>
      </c>
      <c r="BX98">
        <f>IF(BW98=0,0,1+MAX(BX$69:BX97))</f>
        <v>0</v>
      </c>
      <c r="BY98">
        <f t="shared" si="61"/>
        <v>0</v>
      </c>
      <c r="BZ98" t="str">
        <f t="shared" si="62"/>
        <v/>
      </c>
      <c r="CA98" t="str">
        <f t="shared" si="63"/>
        <v/>
      </c>
    </row>
  </sheetData>
  <mergeCells count="296">
    <mergeCell ref="B37:H66"/>
    <mergeCell ref="M2:AQ2"/>
    <mergeCell ref="BW28:CA28"/>
    <mergeCell ref="BW29:CA29"/>
    <mergeCell ref="BW30:CA30"/>
    <mergeCell ref="BW31:CA31"/>
    <mergeCell ref="BW32:CA32"/>
    <mergeCell ref="BW33:CA33"/>
    <mergeCell ref="BW22:CA22"/>
    <mergeCell ref="BW23:CA23"/>
    <mergeCell ref="BW24:CA24"/>
    <mergeCell ref="BW25:CA25"/>
    <mergeCell ref="BW26:CA26"/>
    <mergeCell ref="BW27:CA27"/>
    <mergeCell ref="BW16:CA16"/>
    <mergeCell ref="BW17:CA17"/>
    <mergeCell ref="BW18:CA18"/>
    <mergeCell ref="BW19:CA19"/>
    <mergeCell ref="BW20:CA20"/>
    <mergeCell ref="BW21:CA21"/>
    <mergeCell ref="BW10:CA10"/>
    <mergeCell ref="BW11:CA11"/>
    <mergeCell ref="BW15:CA15"/>
    <mergeCell ref="BN31:BR31"/>
    <mergeCell ref="BN35:BR35"/>
    <mergeCell ref="BN29:BR29"/>
    <mergeCell ref="BN30:BR30"/>
    <mergeCell ref="BW34:CA34"/>
    <mergeCell ref="BW35:CA35"/>
    <mergeCell ref="BV5:CB5"/>
    <mergeCell ref="BW6:CA6"/>
    <mergeCell ref="BW7:CA7"/>
    <mergeCell ref="BW8:CA8"/>
    <mergeCell ref="BW9:CA9"/>
    <mergeCell ref="BN25:BR25"/>
    <mergeCell ref="BN26:BR26"/>
    <mergeCell ref="BN27:BR27"/>
    <mergeCell ref="BN28:BR28"/>
    <mergeCell ref="BN19:BR19"/>
    <mergeCell ref="BN20:BR20"/>
    <mergeCell ref="BN21:BR21"/>
    <mergeCell ref="BN22:BR22"/>
    <mergeCell ref="BN23:BR23"/>
    <mergeCell ref="BN24:BR24"/>
    <mergeCell ref="BN13:BR13"/>
    <mergeCell ref="BN14:BR14"/>
    <mergeCell ref="BN15:BR15"/>
    <mergeCell ref="BN16:BR16"/>
    <mergeCell ref="BN18:BR18"/>
    <mergeCell ref="BW12:CA12"/>
    <mergeCell ref="BW13:CA13"/>
    <mergeCell ref="BW14:CA14"/>
    <mergeCell ref="BE34:BI34"/>
    <mergeCell ref="BE19:BI19"/>
    <mergeCell ref="BE20:BI20"/>
    <mergeCell ref="BE21:BI21"/>
    <mergeCell ref="BN32:BR32"/>
    <mergeCell ref="BN33:BR33"/>
    <mergeCell ref="BN34:BR34"/>
    <mergeCell ref="BN17:BR17"/>
    <mergeCell ref="BE35:BI35"/>
    <mergeCell ref="BM5:BS5"/>
    <mergeCell ref="BN6:BR6"/>
    <mergeCell ref="BN7:BR7"/>
    <mergeCell ref="BN8:BR8"/>
    <mergeCell ref="BN9:BR9"/>
    <mergeCell ref="BN10:BR10"/>
    <mergeCell ref="BN11:BR11"/>
    <mergeCell ref="BN12:BR12"/>
    <mergeCell ref="BE28:BI28"/>
    <mergeCell ref="BE29:BI29"/>
    <mergeCell ref="BE30:BI30"/>
    <mergeCell ref="BE31:BI31"/>
    <mergeCell ref="BE32:BI32"/>
    <mergeCell ref="BE33:BI33"/>
    <mergeCell ref="BE22:BI22"/>
    <mergeCell ref="BE23:BI23"/>
    <mergeCell ref="BE24:BI24"/>
    <mergeCell ref="BE25:BI25"/>
    <mergeCell ref="BE26:BI26"/>
    <mergeCell ref="BE27:BI27"/>
    <mergeCell ref="BE16:BI16"/>
    <mergeCell ref="BE17:BI17"/>
    <mergeCell ref="BE18:BI18"/>
    <mergeCell ref="BE10:BI10"/>
    <mergeCell ref="BE11:BI11"/>
    <mergeCell ref="BE12:BI12"/>
    <mergeCell ref="BE13:BI13"/>
    <mergeCell ref="BE14:BI14"/>
    <mergeCell ref="BE15:BI15"/>
    <mergeCell ref="AV31:AZ31"/>
    <mergeCell ref="AV32:AZ32"/>
    <mergeCell ref="AV33:AZ33"/>
    <mergeCell ref="AV18:AZ18"/>
    <mergeCell ref="AV34:AZ34"/>
    <mergeCell ref="AV35:AZ35"/>
    <mergeCell ref="BD5:BJ5"/>
    <mergeCell ref="BE6:BI6"/>
    <mergeCell ref="BE7:BI7"/>
    <mergeCell ref="BE8:BI8"/>
    <mergeCell ref="BE9:BI9"/>
    <mergeCell ref="AV25:AZ25"/>
    <mergeCell ref="AV26:AZ26"/>
    <mergeCell ref="AV27:AZ27"/>
    <mergeCell ref="AV28:AZ28"/>
    <mergeCell ref="AV29:AZ29"/>
    <mergeCell ref="AV30:AZ30"/>
    <mergeCell ref="AV19:AZ19"/>
    <mergeCell ref="AV20:AZ20"/>
    <mergeCell ref="AV21:AZ21"/>
    <mergeCell ref="AV22:AZ22"/>
    <mergeCell ref="AV23:AZ23"/>
    <mergeCell ref="AV24:AZ24"/>
    <mergeCell ref="AV13:AZ13"/>
    <mergeCell ref="AV14:AZ14"/>
    <mergeCell ref="AV15:AZ15"/>
    <mergeCell ref="AV16:AZ16"/>
    <mergeCell ref="AV17:AZ17"/>
    <mergeCell ref="AM34:AQ34"/>
    <mergeCell ref="AM35:AQ35"/>
    <mergeCell ref="AU5:BA5"/>
    <mergeCell ref="AV6:AZ6"/>
    <mergeCell ref="AV7:AZ7"/>
    <mergeCell ref="AV8:AZ8"/>
    <mergeCell ref="AV9:AZ9"/>
    <mergeCell ref="AV10:AZ10"/>
    <mergeCell ref="AV11:AZ11"/>
    <mergeCell ref="AV12:AZ12"/>
    <mergeCell ref="AM28:AQ28"/>
    <mergeCell ref="AM29:AQ29"/>
    <mergeCell ref="AM30:AQ30"/>
    <mergeCell ref="AM31:AQ31"/>
    <mergeCell ref="AM32:AQ32"/>
    <mergeCell ref="AM33:AQ33"/>
    <mergeCell ref="AM22:AQ22"/>
    <mergeCell ref="AM23:AQ23"/>
    <mergeCell ref="AM24:AQ24"/>
    <mergeCell ref="AM25:AQ25"/>
    <mergeCell ref="AM26:AQ26"/>
    <mergeCell ref="AM27:AQ27"/>
    <mergeCell ref="AM16:AQ16"/>
    <mergeCell ref="AM17:AQ17"/>
    <mergeCell ref="AM18:AQ18"/>
    <mergeCell ref="AM19:AQ19"/>
    <mergeCell ref="AM20:AQ20"/>
    <mergeCell ref="AM21:AQ21"/>
    <mergeCell ref="AM10:AQ10"/>
    <mergeCell ref="AM11:AQ11"/>
    <mergeCell ref="AM12:AQ12"/>
    <mergeCell ref="AM13:AQ13"/>
    <mergeCell ref="AM14:AQ14"/>
    <mergeCell ref="AM15:AQ15"/>
    <mergeCell ref="AD31:AH31"/>
    <mergeCell ref="AD32:AH32"/>
    <mergeCell ref="AD33:AH33"/>
    <mergeCell ref="AD34:AH34"/>
    <mergeCell ref="AD35:AH35"/>
    <mergeCell ref="AL5:AR5"/>
    <mergeCell ref="AM6:AQ6"/>
    <mergeCell ref="AM7:AQ7"/>
    <mergeCell ref="AM8:AQ8"/>
    <mergeCell ref="AM9:AQ9"/>
    <mergeCell ref="AD25:AH25"/>
    <mergeCell ref="AD26:AH26"/>
    <mergeCell ref="AD27:AH27"/>
    <mergeCell ref="AD28:AH28"/>
    <mergeCell ref="AD29:AH29"/>
    <mergeCell ref="AD30:AH30"/>
    <mergeCell ref="AD19:AH19"/>
    <mergeCell ref="AD20:AH20"/>
    <mergeCell ref="AD21:AH21"/>
    <mergeCell ref="AD22:AH22"/>
    <mergeCell ref="AD23:AH23"/>
    <mergeCell ref="AD24:AH24"/>
    <mergeCell ref="AD13:AH13"/>
    <mergeCell ref="AD14:AH14"/>
    <mergeCell ref="AD15:AH15"/>
    <mergeCell ref="AD16:AH16"/>
    <mergeCell ref="AD17:AH17"/>
    <mergeCell ref="AD18:AH18"/>
    <mergeCell ref="U34:Y34"/>
    <mergeCell ref="U35:Y35"/>
    <mergeCell ref="AC5:AI5"/>
    <mergeCell ref="AD6:AH6"/>
    <mergeCell ref="AD7:AH7"/>
    <mergeCell ref="AD8:AH8"/>
    <mergeCell ref="AD9:AH9"/>
    <mergeCell ref="AD10:AH10"/>
    <mergeCell ref="AD11:AH11"/>
    <mergeCell ref="AD12:AH12"/>
    <mergeCell ref="U28:Y28"/>
    <mergeCell ref="U29:Y29"/>
    <mergeCell ref="U30:Y30"/>
    <mergeCell ref="U31:Y31"/>
    <mergeCell ref="U32:Y32"/>
    <mergeCell ref="U33:Y33"/>
    <mergeCell ref="U22:Y22"/>
    <mergeCell ref="U23:Y23"/>
    <mergeCell ref="U24:Y24"/>
    <mergeCell ref="U25:Y25"/>
    <mergeCell ref="U26:Y26"/>
    <mergeCell ref="U27:Y27"/>
    <mergeCell ref="U16:Y16"/>
    <mergeCell ref="U17:Y17"/>
    <mergeCell ref="U18:Y18"/>
    <mergeCell ref="U19:Y19"/>
    <mergeCell ref="U20:Y20"/>
    <mergeCell ref="U21:Y21"/>
    <mergeCell ref="U10:Y10"/>
    <mergeCell ref="U11:Y11"/>
    <mergeCell ref="U12:Y12"/>
    <mergeCell ref="U13:Y13"/>
    <mergeCell ref="U14:Y14"/>
    <mergeCell ref="U15:Y15"/>
    <mergeCell ref="L31:P31"/>
    <mergeCell ref="L32:P32"/>
    <mergeCell ref="L33:P33"/>
    <mergeCell ref="L34:P34"/>
    <mergeCell ref="L35:P35"/>
    <mergeCell ref="T5:Z5"/>
    <mergeCell ref="U6:Y6"/>
    <mergeCell ref="U7:Y7"/>
    <mergeCell ref="U8:Y8"/>
    <mergeCell ref="U9:Y9"/>
    <mergeCell ref="L25:P25"/>
    <mergeCell ref="L26:P26"/>
    <mergeCell ref="L27:P27"/>
    <mergeCell ref="L28:P28"/>
    <mergeCell ref="L29:P29"/>
    <mergeCell ref="L30:P30"/>
    <mergeCell ref="L19:P19"/>
    <mergeCell ref="L20:P20"/>
    <mergeCell ref="L21:P21"/>
    <mergeCell ref="L22:P22"/>
    <mergeCell ref="L23:P23"/>
    <mergeCell ref="L24:P24"/>
    <mergeCell ref="L13:P13"/>
    <mergeCell ref="L14:P14"/>
    <mergeCell ref="C31:G31"/>
    <mergeCell ref="C32:G32"/>
    <mergeCell ref="C33:G33"/>
    <mergeCell ref="C34:G34"/>
    <mergeCell ref="C35:G35"/>
    <mergeCell ref="J2:L2"/>
    <mergeCell ref="B5:H5"/>
    <mergeCell ref="K5:Q5"/>
    <mergeCell ref="L6:P6"/>
    <mergeCell ref="C25:G25"/>
    <mergeCell ref="C26:G26"/>
    <mergeCell ref="C27:G27"/>
    <mergeCell ref="C28:G28"/>
    <mergeCell ref="C29:G29"/>
    <mergeCell ref="C30:G30"/>
    <mergeCell ref="C21:G21"/>
    <mergeCell ref="C22:G22"/>
    <mergeCell ref="C23:G23"/>
    <mergeCell ref="C24:G24"/>
    <mergeCell ref="C15:G15"/>
    <mergeCell ref="C16:G16"/>
    <mergeCell ref="C17:G17"/>
    <mergeCell ref="C19:G19"/>
    <mergeCell ref="C18:G18"/>
    <mergeCell ref="C20:G20"/>
    <mergeCell ref="C9:G9"/>
    <mergeCell ref="C10:G10"/>
    <mergeCell ref="C12:G12"/>
    <mergeCell ref="C11:G11"/>
    <mergeCell ref="C13:G13"/>
    <mergeCell ref="C14:G14"/>
    <mergeCell ref="E3:F3"/>
    <mergeCell ref="L17:P17"/>
    <mergeCell ref="L18:P18"/>
    <mergeCell ref="L7:P7"/>
    <mergeCell ref="L8:P8"/>
    <mergeCell ref="L9:P9"/>
    <mergeCell ref="L10:P10"/>
    <mergeCell ref="L11:P11"/>
    <mergeCell ref="L12:P12"/>
    <mergeCell ref="C6:G6"/>
    <mergeCell ref="C7:G7"/>
    <mergeCell ref="C8:G8"/>
    <mergeCell ref="G3:I3"/>
    <mergeCell ref="B2:D3"/>
    <mergeCell ref="L15:P15"/>
    <mergeCell ref="L16:P16"/>
    <mergeCell ref="B1:F1"/>
    <mergeCell ref="G1:K1"/>
    <mergeCell ref="L1:P1"/>
    <mergeCell ref="J3:L3"/>
    <mergeCell ref="M3:O3"/>
    <mergeCell ref="P3:R3"/>
    <mergeCell ref="S3:U3"/>
    <mergeCell ref="V3:X3"/>
    <mergeCell ref="Y3:AA3"/>
    <mergeCell ref="E2:F2"/>
    <mergeCell ref="G2:I2"/>
  </mergeCells>
  <dataValidations count="9">
    <dataValidation type="list" allowBlank="1" showInputMessage="1" showErrorMessage="1" sqref="CB6:CB35" xr:uid="{00000000-0002-0000-0A00-000000000000}">
      <formula1>$CH$14</formula1>
    </dataValidation>
    <dataValidation type="list" allowBlank="1" showInputMessage="1" showErrorMessage="1" sqref="H6:H35" xr:uid="{00000000-0002-0000-0A00-000001000000}">
      <formula1>$CH$6</formula1>
    </dataValidation>
    <dataValidation type="list" allowBlank="1" showInputMessage="1" showErrorMessage="1" sqref="Q6:Q35" xr:uid="{00000000-0002-0000-0A00-000002000000}">
      <formula1>$CH$7</formula1>
    </dataValidation>
    <dataValidation type="list" allowBlank="1" showInputMessage="1" showErrorMessage="1" sqref="Z6:Z35" xr:uid="{00000000-0002-0000-0A00-000003000000}">
      <formula1>$CH$8</formula1>
    </dataValidation>
    <dataValidation type="list" allowBlank="1" showInputMessage="1" showErrorMessage="1" sqref="AI6:AI35" xr:uid="{00000000-0002-0000-0A00-000004000000}">
      <formula1>$CH$9</formula1>
    </dataValidation>
    <dataValidation type="list" allowBlank="1" showInputMessage="1" showErrorMessage="1" sqref="AR6:AR35" xr:uid="{00000000-0002-0000-0A00-000005000000}">
      <formula1>$CH$10</formula1>
    </dataValidation>
    <dataValidation type="list" allowBlank="1" showInputMessage="1" showErrorMessage="1" sqref="BA6:BA35" xr:uid="{00000000-0002-0000-0A00-000006000000}">
      <formula1>$CH$11</formula1>
    </dataValidation>
    <dataValidation type="list" allowBlank="1" showInputMessage="1" showErrorMessage="1" sqref="BJ6:BJ35" xr:uid="{00000000-0002-0000-0A00-000007000000}">
      <formula1>$CH$12</formula1>
    </dataValidation>
    <dataValidation type="list" allowBlank="1" showInputMessage="1" showErrorMessage="1" sqref="BS6:BS35" xr:uid="{00000000-0002-0000-0A00-000008000000}">
      <formula1>$CH$13</formula1>
    </dataValidation>
  </dataValidations>
  <hyperlinks>
    <hyperlink ref="B1:D1" location="LinkSpellsKnown" display="Back to Spellcasting" xr:uid="{00000000-0004-0000-0A00-000000000000}"/>
    <hyperlink ref="G1:I1" location="LinkSpellsKnown" display="Back to Spellcasting" xr:uid="{00000000-0004-0000-0A00-000001000000}"/>
    <hyperlink ref="G1:K1" location="SheetSpellBook" display="to Wizard Spells Known" xr:uid="{00000000-0004-0000-0A00-000002000000}"/>
    <hyperlink ref="L1:N1" location="LinkSpellsKnown" display="Back to Spellcasting" xr:uid="{00000000-0004-0000-0A00-000003000000}"/>
    <hyperlink ref="L1:P1" location="SpellCastingIndex" display="to Spellcasting Index" xr:uid="{00000000-0004-0000-0A00-000004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34">
    <tabColor theme="4" tint="0.39997558519241921"/>
  </sheetPr>
  <dimension ref="A1:CK98"/>
  <sheetViews>
    <sheetView workbookViewId="0">
      <selection activeCell="AB4" sqref="AB4"/>
    </sheetView>
  </sheetViews>
  <sheetFormatPr defaultColWidth="4.7109375" defaultRowHeight="15" x14ac:dyDescent="0.25"/>
  <sheetData>
    <row r="1" spans="1:89" ht="17.25" thickTop="1" thickBot="1" x14ac:dyDescent="0.3">
      <c r="A1" s="120"/>
      <c r="B1" s="1049" t="s">
        <v>6626</v>
      </c>
      <c r="C1" s="1049"/>
      <c r="D1" s="1049"/>
      <c r="E1" s="1049"/>
      <c r="F1" s="1049"/>
      <c r="G1" s="1049" t="s">
        <v>6648</v>
      </c>
      <c r="H1" s="1049"/>
      <c r="I1" s="1049"/>
      <c r="J1" s="1049"/>
      <c r="K1" s="1049"/>
      <c r="L1" s="1050" t="s">
        <v>6657</v>
      </c>
      <c r="M1" s="1050"/>
      <c r="N1" s="1050"/>
      <c r="O1" s="1050"/>
      <c r="P1" s="1050"/>
      <c r="Q1" s="572"/>
      <c r="R1" s="572"/>
      <c r="S1" s="572"/>
      <c r="T1" s="572"/>
      <c r="U1" s="572"/>
      <c r="V1" s="572"/>
      <c r="W1" s="572"/>
      <c r="X1" s="572"/>
      <c r="Y1" s="572"/>
      <c r="Z1" s="572"/>
      <c r="AA1" s="572"/>
      <c r="AB1" s="572"/>
      <c r="AC1" s="571"/>
      <c r="AD1" s="571"/>
      <c r="AE1" s="571"/>
      <c r="AF1" s="571"/>
      <c r="AG1" s="571"/>
      <c r="AH1" s="571"/>
      <c r="AI1" s="571"/>
      <c r="AJ1" s="571"/>
      <c r="AK1" s="571"/>
      <c r="AL1" s="571"/>
      <c r="AM1" s="571"/>
      <c r="AN1" s="571"/>
      <c r="AO1" s="571"/>
      <c r="AP1" s="571"/>
      <c r="AQ1" s="571"/>
      <c r="AR1" s="571"/>
      <c r="AS1" s="571"/>
      <c r="AT1" s="571"/>
      <c r="AU1" s="571"/>
      <c r="AV1" s="571"/>
      <c r="AW1" s="571"/>
      <c r="AX1" s="571"/>
      <c r="AY1" s="571"/>
      <c r="AZ1" s="571"/>
      <c r="BA1" s="571"/>
      <c r="BB1" s="571"/>
      <c r="BC1" s="571"/>
      <c r="BD1" s="571"/>
      <c r="BE1" s="571"/>
      <c r="BF1" s="571"/>
      <c r="BG1" s="571"/>
      <c r="BH1" s="571"/>
      <c r="BI1" s="571"/>
      <c r="BJ1" s="571"/>
      <c r="BK1" s="571"/>
      <c r="BL1" s="571"/>
      <c r="BM1" s="571"/>
      <c r="BN1" s="571"/>
      <c r="BO1" s="571"/>
      <c r="BP1" s="571"/>
      <c r="BQ1" s="571"/>
      <c r="BR1" s="571"/>
      <c r="BS1" s="571"/>
      <c r="BT1" s="571"/>
      <c r="BU1" s="571"/>
      <c r="BV1" s="571"/>
      <c r="BW1" s="571"/>
      <c r="BX1" s="571"/>
      <c r="BY1" s="571"/>
      <c r="BZ1" s="571"/>
      <c r="CA1" s="571"/>
      <c r="CB1" s="571"/>
      <c r="CC1" s="571"/>
      <c r="CD1" s="120"/>
      <c r="CE1" s="565"/>
      <c r="CF1" s="565"/>
      <c r="CG1" s="565"/>
      <c r="CH1" s="565"/>
      <c r="CI1" s="565"/>
      <c r="CJ1" s="565"/>
      <c r="CK1" s="565"/>
    </row>
    <row r="2" spans="1:89" ht="15.75" thickTop="1" x14ac:dyDescent="0.25">
      <c r="A2" s="120"/>
      <c r="B2" s="1064" t="s">
        <v>3065</v>
      </c>
      <c r="C2" s="1064"/>
      <c r="D2" s="1064"/>
      <c r="E2" s="1052" t="s">
        <v>6384</v>
      </c>
      <c r="F2" s="1052"/>
      <c r="G2" s="1052" t="str">
        <f>IF(DruidLands=0,"",DruidLands)</f>
        <v/>
      </c>
      <c r="H2" s="1052"/>
      <c r="I2" s="1052"/>
      <c r="J2" s="1052" t="s">
        <v>6386</v>
      </c>
      <c r="K2" s="1052"/>
      <c r="L2" s="1052"/>
      <c r="M2" s="1067" t="str">
        <f>IFERROR(INDEX(T041_ClassFeatures!$G$2:$G$1000,MATCH(DruidLandx1,T041_ClassFeatures!$B$2:$B$1000,0),1),"")&amp;IFERROR(INDEX(T041_ClassFeatures!$G$2:$G$1000,MATCH(DruidLandx2,T041_ClassFeatures!$B$2:$B$1000,0),1),"")&amp;IFERROR(INDEX(T041_ClassFeatures!$G$2:$G$1000,MATCH(DruidLandx3,T041_ClassFeatures!$B$2:$B$1000,0),1),"")&amp;IFERROR(INDEX(T041_ClassFeatures!$G$2:$G$1000,MATCH(DruidLandx4,T041_ClassFeatures!$B$2:$B$1000,0),1),"")</f>
        <v/>
      </c>
      <c r="N2" s="1067"/>
      <c r="O2" s="1067"/>
      <c r="P2" s="1067"/>
      <c r="Q2" s="1067"/>
      <c r="R2" s="1067"/>
      <c r="S2" s="1067"/>
      <c r="T2" s="1067"/>
      <c r="U2" s="1067"/>
      <c r="V2" s="1067"/>
      <c r="W2" s="1067"/>
      <c r="X2" s="1067"/>
      <c r="Y2" s="1067"/>
      <c r="Z2" s="1067"/>
      <c r="AA2" s="1067"/>
      <c r="AB2" s="1067"/>
      <c r="AC2" s="1067"/>
      <c r="AD2" s="1067"/>
      <c r="AE2" s="1067"/>
      <c r="AF2" s="1067"/>
      <c r="AG2" s="1067"/>
      <c r="AH2" s="1067"/>
      <c r="AI2" s="1067"/>
      <c r="AJ2" s="1067"/>
      <c r="AK2" s="1067"/>
      <c r="AL2" s="1067"/>
      <c r="AM2" s="1067"/>
      <c r="AN2" s="1067"/>
      <c r="AO2" s="1067"/>
      <c r="AP2" s="1067"/>
      <c r="AQ2" s="1067"/>
      <c r="AR2" s="1067"/>
      <c r="AS2" s="1067"/>
      <c r="AT2" s="1067"/>
      <c r="AU2" s="1067"/>
      <c r="AV2" s="1067"/>
      <c r="AW2" s="1067"/>
      <c r="AX2" s="1067"/>
      <c r="AY2" s="1067"/>
      <c r="AZ2" s="1067"/>
      <c r="BA2" s="1067"/>
      <c r="BB2" s="1067"/>
      <c r="BC2" s="1067"/>
      <c r="BD2" s="1067"/>
      <c r="BE2" s="1067"/>
      <c r="BF2" s="1067"/>
      <c r="BG2" s="1067"/>
      <c r="BH2" s="1067"/>
      <c r="BI2" s="1067"/>
      <c r="BJ2" s="1067"/>
      <c r="BK2" s="1067"/>
      <c r="BL2" s="1067"/>
      <c r="BM2" s="1067"/>
      <c r="BN2" s="1067"/>
      <c r="BO2" s="1067"/>
      <c r="BP2" s="1067"/>
      <c r="BQ2" s="1067"/>
      <c r="BR2" s="1067"/>
      <c r="BS2" s="1067"/>
      <c r="BT2" s="1067"/>
      <c r="BU2" s="1067"/>
      <c r="BV2" s="1067"/>
      <c r="BW2" s="1067"/>
      <c r="BX2" s="1067"/>
      <c r="BY2" s="1067"/>
      <c r="BZ2" s="1067"/>
      <c r="CA2" s="1067"/>
      <c r="CB2" s="1067"/>
      <c r="CC2" s="1067"/>
      <c r="CD2" s="120"/>
      <c r="CE2" s="565"/>
      <c r="CF2" s="565"/>
      <c r="CG2" s="565"/>
      <c r="CH2" s="565"/>
      <c r="CI2" s="565"/>
      <c r="CJ2" s="565"/>
      <c r="CK2" s="565"/>
    </row>
    <row r="3" spans="1:89" x14ac:dyDescent="0.25">
      <c r="A3" s="120"/>
      <c r="B3" s="1064"/>
      <c r="C3" s="1064"/>
      <c r="D3" s="1064"/>
      <c r="E3" s="1052" t="s">
        <v>62</v>
      </c>
      <c r="F3" s="1052"/>
      <c r="G3" s="1052">
        <f>DruidLevel</f>
        <v>0</v>
      </c>
      <c r="H3" s="1052"/>
      <c r="I3" s="1052"/>
      <c r="J3" s="1052" t="s">
        <v>6381</v>
      </c>
      <c r="K3" s="1052"/>
      <c r="L3" s="1052"/>
      <c r="M3" s="1065">
        <f>IF(G3=0,0,G3+WisMOD)</f>
        <v>0</v>
      </c>
      <c r="N3" s="1065"/>
      <c r="O3" s="1065"/>
      <c r="P3" s="1066" t="s">
        <v>6382</v>
      </c>
      <c r="Q3" s="1066"/>
      <c r="R3" s="1066"/>
      <c r="S3" s="1065">
        <f>COUNTIF($H$6:$H$35,"●")+COUNTIF($Q$6:$Q$35,"●")+COUNTIF($Z$6:$Z$35,"●")+COUNTIF($AI$6:$AI$35,"●")+COUNTIF($AR$6:$AR$35,"●")+COUNTIF($BA$6:$BA$35,"●")+COUNTIF($AR$6:$BJ$35,"●")++COUNTIF($BS$6:$BS$35,"●")+COUNTIF($CB$6:$CB$35,"●")</f>
        <v>0</v>
      </c>
      <c r="T3" s="1065"/>
      <c r="U3" s="1065"/>
      <c r="V3" s="1066" t="s">
        <v>6383</v>
      </c>
      <c r="W3" s="1066"/>
      <c r="X3" s="1066"/>
      <c r="Y3" s="1065">
        <f>DruidMaxSpellLevel</f>
        <v>0</v>
      </c>
      <c r="Z3" s="1065"/>
      <c r="AA3" s="1065"/>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120"/>
      <c r="BV3" s="120"/>
      <c r="BW3" s="120"/>
      <c r="BX3" s="120"/>
      <c r="BY3" s="120"/>
      <c r="BZ3" s="120"/>
      <c r="CA3" s="120"/>
      <c r="CB3" s="120"/>
      <c r="CC3" s="120"/>
      <c r="CD3" s="120"/>
      <c r="CE3" s="565"/>
      <c r="CF3" s="565"/>
      <c r="CG3" s="565"/>
      <c r="CH3" s="565"/>
      <c r="CI3" s="565"/>
      <c r="CJ3" s="565"/>
      <c r="CK3" s="565"/>
    </row>
    <row r="4" spans="1:89" x14ac:dyDescent="0.25">
      <c r="A4" s="120"/>
      <c r="B4" s="120"/>
      <c r="C4" s="120"/>
      <c r="D4" s="120"/>
      <c r="E4" s="120"/>
      <c r="F4" s="120"/>
      <c r="G4" s="120"/>
      <c r="H4" s="120"/>
      <c r="I4" s="545"/>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120"/>
      <c r="AT4" s="120"/>
      <c r="AU4" s="120"/>
      <c r="AV4" s="120"/>
      <c r="AW4" s="120"/>
      <c r="AX4" s="120"/>
      <c r="AY4" s="120"/>
      <c r="AZ4" s="120"/>
      <c r="BA4" s="120"/>
      <c r="BB4" s="120"/>
      <c r="BC4" s="120"/>
      <c r="BD4" s="120"/>
      <c r="BE4" s="120"/>
      <c r="BF4" s="120"/>
      <c r="BG4" s="120"/>
      <c r="BH4" s="120"/>
      <c r="BI4" s="120"/>
      <c r="BJ4" s="120"/>
      <c r="BK4" s="120"/>
      <c r="BL4" s="120"/>
      <c r="BM4" s="120"/>
      <c r="BN4" s="120"/>
      <c r="BO4" s="120"/>
      <c r="BP4" s="120"/>
      <c r="BQ4" s="120"/>
      <c r="BR4" s="120"/>
      <c r="BS4" s="120"/>
      <c r="BT4" s="120"/>
      <c r="BU4" s="120"/>
      <c r="BV4" s="120"/>
      <c r="BW4" s="120"/>
      <c r="BX4" s="120"/>
      <c r="BY4" s="120"/>
      <c r="BZ4" s="120"/>
      <c r="CA4" s="120"/>
      <c r="CB4" s="120"/>
      <c r="CC4" s="120"/>
      <c r="CD4" s="120"/>
      <c r="CE4" s="565"/>
      <c r="CF4" s="565"/>
      <c r="CG4" s="565"/>
      <c r="CH4" s="565"/>
      <c r="CI4" s="565"/>
      <c r="CJ4" s="565"/>
      <c r="CK4" s="565"/>
    </row>
    <row r="5" spans="1:89" x14ac:dyDescent="0.25">
      <c r="A5" s="120"/>
      <c r="B5" s="1052" t="s">
        <v>6359</v>
      </c>
      <c r="C5" s="1052"/>
      <c r="D5" s="1052"/>
      <c r="E5" s="1052"/>
      <c r="F5" s="1052"/>
      <c r="G5" s="1052"/>
      <c r="H5" s="1052"/>
      <c r="I5" s="568" t="s">
        <v>6385</v>
      </c>
      <c r="J5" s="565"/>
      <c r="K5" s="1052" t="s">
        <v>6277</v>
      </c>
      <c r="L5" s="1052"/>
      <c r="M5" s="1052"/>
      <c r="N5" s="1052"/>
      <c r="O5" s="1052"/>
      <c r="P5" s="1052"/>
      <c r="Q5" s="1052"/>
      <c r="R5" s="568" t="s">
        <v>6251</v>
      </c>
      <c r="S5" s="565"/>
      <c r="T5" s="1052" t="s">
        <v>6279</v>
      </c>
      <c r="U5" s="1052"/>
      <c r="V5" s="1052"/>
      <c r="W5" s="1052"/>
      <c r="X5" s="1052"/>
      <c r="Y5" s="1052"/>
      <c r="Z5" s="1052"/>
      <c r="AA5" s="568" t="s">
        <v>6251</v>
      </c>
      <c r="AB5" s="565"/>
      <c r="AC5" s="1052" t="s">
        <v>6280</v>
      </c>
      <c r="AD5" s="1052"/>
      <c r="AE5" s="1052"/>
      <c r="AF5" s="1052"/>
      <c r="AG5" s="1052"/>
      <c r="AH5" s="1052"/>
      <c r="AI5" s="1052"/>
      <c r="AJ5" s="568" t="s">
        <v>6251</v>
      </c>
      <c r="AK5" s="565"/>
      <c r="AL5" s="1052" t="s">
        <v>6281</v>
      </c>
      <c r="AM5" s="1052"/>
      <c r="AN5" s="1052"/>
      <c r="AO5" s="1052"/>
      <c r="AP5" s="1052"/>
      <c r="AQ5" s="1052"/>
      <c r="AR5" s="1052"/>
      <c r="AS5" s="568" t="s">
        <v>6251</v>
      </c>
      <c r="AT5" s="565"/>
      <c r="AU5" s="1052" t="s">
        <v>6282</v>
      </c>
      <c r="AV5" s="1052"/>
      <c r="AW5" s="1052"/>
      <c r="AX5" s="1052"/>
      <c r="AY5" s="1052"/>
      <c r="AZ5" s="1052"/>
      <c r="BA5" s="1052"/>
      <c r="BB5" s="568" t="s">
        <v>6251</v>
      </c>
      <c r="BC5" s="565"/>
      <c r="BD5" s="1052" t="s">
        <v>6283</v>
      </c>
      <c r="BE5" s="1052"/>
      <c r="BF5" s="1052"/>
      <c r="BG5" s="1052"/>
      <c r="BH5" s="1052"/>
      <c r="BI5" s="1052"/>
      <c r="BJ5" s="1052"/>
      <c r="BK5" s="568" t="s">
        <v>6251</v>
      </c>
      <c r="BL5" s="565"/>
      <c r="BM5" s="1052" t="s">
        <v>6284</v>
      </c>
      <c r="BN5" s="1052"/>
      <c r="BO5" s="1052"/>
      <c r="BP5" s="1052"/>
      <c r="BQ5" s="1052"/>
      <c r="BR5" s="1052"/>
      <c r="BS5" s="1052"/>
      <c r="BT5" s="568" t="s">
        <v>6251</v>
      </c>
      <c r="BU5" s="565"/>
      <c r="BV5" s="1052" t="s">
        <v>6285</v>
      </c>
      <c r="BW5" s="1052"/>
      <c r="BX5" s="1052"/>
      <c r="BY5" s="1052"/>
      <c r="BZ5" s="1052"/>
      <c r="CA5" s="1052"/>
      <c r="CB5" s="1052"/>
      <c r="CC5" s="568" t="s">
        <v>6251</v>
      </c>
      <c r="CD5" s="565"/>
      <c r="CE5" s="565"/>
      <c r="CF5" s="565"/>
      <c r="CG5" s="565"/>
      <c r="CH5" s="565"/>
      <c r="CI5" s="565"/>
      <c r="CJ5" s="565"/>
      <c r="CK5" s="565"/>
    </row>
    <row r="6" spans="1:89" ht="21" x14ac:dyDescent="0.25">
      <c r="A6" s="120"/>
      <c r="B6" s="5">
        <v>1</v>
      </c>
      <c r="C6" s="1061" t="str">
        <f>IFERROR(INDEX(T08_Spells!$B$3:$B$407,MATCH(S03_Druid!B6,T08_Spells!$DJ$3:$DJ$407,0),1),"")</f>
        <v>Animal Friendship</v>
      </c>
      <c r="D6" s="1061"/>
      <c r="E6" s="1061"/>
      <c r="F6" s="1061"/>
      <c r="G6" s="1061"/>
      <c r="H6" s="567"/>
      <c r="I6" s="569" t="str">
        <f>IF(1&lt;=$Y$3,IF(C6&lt;&gt;"",IF(IFERROR(SEARCH(C6,$M$2,1),0)&gt;0,"●",""),""),"")</f>
        <v/>
      </c>
      <c r="J6" s="565">
        <f>IF(OR(H6="●",I6="●"),1,0)</f>
        <v>0</v>
      </c>
      <c r="K6" s="5">
        <v>1</v>
      </c>
      <c r="L6" s="1061" t="str">
        <f>IFERROR(INDEX(T08_Spells!$B$3:$B$407,MATCH(S03_Druid!K6,T08_Spells!$DK$3:$DK$407,0),1),"")</f>
        <v>Animal Messenger</v>
      </c>
      <c r="M6" s="1061"/>
      <c r="N6" s="1061"/>
      <c r="O6" s="1061"/>
      <c r="P6" s="1061"/>
      <c r="Q6" s="567"/>
      <c r="R6" s="569" t="str">
        <f>IF(1&lt;=$Y$3,IF(L6&lt;&gt;"",IF(IFERROR(SEARCH(L6,$M$2,1),0)&gt;0,"●",""),""),"")</f>
        <v/>
      </c>
      <c r="S6" s="565">
        <f>IF(OR(Q6="●",R6="●"),1,0)</f>
        <v>0</v>
      </c>
      <c r="T6" s="5">
        <v>1</v>
      </c>
      <c r="U6" s="1061" t="str">
        <f>IFERROR(INDEX(T08_Spells!$B$3:$B$407,MATCH(S03_Druid!T6,T08_Spells!$DL$3:$DL$407,0),1),"")</f>
        <v>Call Lightning</v>
      </c>
      <c r="V6" s="1061"/>
      <c r="W6" s="1061"/>
      <c r="X6" s="1061"/>
      <c r="Y6" s="1061"/>
      <c r="Z6" s="567"/>
      <c r="AA6" s="569" t="str">
        <f>IF(1&lt;=$Y$3,IF(U6&lt;&gt;"",IF(IFERROR(SEARCH(U6,$M$2,1),0)&gt;0,"●",""),""),"")</f>
        <v/>
      </c>
      <c r="AB6" s="565">
        <f>IF(OR(Z6="●",AA6="●"),1,0)</f>
        <v>0</v>
      </c>
      <c r="AC6" s="5">
        <v>1</v>
      </c>
      <c r="AD6" s="1061" t="str">
        <f>IFERROR(INDEX(T08_Spells!$B$3:$B$407,MATCH(S03_Druid!AC6,T08_Spells!$DM$3:$DM$407,0),1),"")</f>
        <v>Blight</v>
      </c>
      <c r="AE6" s="1061"/>
      <c r="AF6" s="1061"/>
      <c r="AG6" s="1061"/>
      <c r="AH6" s="1061"/>
      <c r="AI6" s="567" t="s">
        <v>3034</v>
      </c>
      <c r="AJ6" s="569" t="str">
        <f>IF(1&lt;=$Y$3,IF(AD6&lt;&gt;"",IF(IFERROR(SEARCH(AD6,$M$2,1),0)&gt;0,"●",""),""),"")</f>
        <v/>
      </c>
      <c r="AK6" s="565">
        <f>IF(OR(AI6="●",AJ6="●"),1,0)</f>
        <v>0</v>
      </c>
      <c r="AL6" s="5">
        <v>1</v>
      </c>
      <c r="AM6" s="1061" t="str">
        <f>IFERROR(INDEX(T08_Spells!$B$3:$B$407,MATCH(S03_Druid!AL6,T08_Spells!$DN$3:$DN$407,0),1),"")</f>
        <v>Antilife Shell</v>
      </c>
      <c r="AN6" s="1061"/>
      <c r="AO6" s="1061"/>
      <c r="AP6" s="1061"/>
      <c r="AQ6" s="1061"/>
      <c r="AR6" s="567"/>
      <c r="AS6" s="569" t="str">
        <f>IF(1&lt;=$Y$3,IF(AM6&lt;&gt;"",IF(IFERROR(SEARCH(AM6,$M$2,1),0)&gt;0,"●",""),""),"")</f>
        <v/>
      </c>
      <c r="AT6" s="565">
        <f>IF(OR(AR6="●",AS6="●"),1,0)</f>
        <v>0</v>
      </c>
      <c r="AU6" s="5">
        <v>1</v>
      </c>
      <c r="AV6" s="1061" t="str">
        <f>IFERROR(INDEX(T08_Spells!$B$3:$B$407,MATCH(S03_Druid!AU6,T08_Spells!$DO$3:$DO$407,0),1),"")</f>
        <v>Conjure Fey</v>
      </c>
      <c r="AW6" s="1061"/>
      <c r="AX6" s="1061"/>
      <c r="AY6" s="1061"/>
      <c r="AZ6" s="1061"/>
      <c r="BA6" s="567"/>
      <c r="BB6" s="569" t="str">
        <f>IF(1&lt;=$Y$3,IF(AV6&lt;&gt;"",IF(IFERROR(SEARCH(AV6,$M$2,1),0)&gt;0,"●",""),""),"")</f>
        <v/>
      </c>
      <c r="BC6" s="565">
        <f>IF(OR(BA6="●",BB6="●"),1,0)</f>
        <v>0</v>
      </c>
      <c r="BD6" s="5">
        <v>1</v>
      </c>
      <c r="BE6" s="1061" t="str">
        <f>IFERROR(INDEX(T08_Spells!$B$3:$B$407,MATCH(S03_Druid!BD6,T08_Spells!$DP$3:$DP$407,0),1),"")</f>
        <v>Fire Storm</v>
      </c>
      <c r="BF6" s="1061"/>
      <c r="BG6" s="1061"/>
      <c r="BH6" s="1061"/>
      <c r="BI6" s="1061"/>
      <c r="BJ6" s="567"/>
      <c r="BK6" s="569" t="str">
        <f>IF(1&lt;=$Y$3,IF(BE6&lt;&gt;"",IF(IFERROR(SEARCH(BE6,$M$2,1),0)&gt;0,"●",""),""),"")</f>
        <v/>
      </c>
      <c r="BL6" s="565">
        <f>IF(OR(BJ6="●",BK6="●"),1,0)</f>
        <v>0</v>
      </c>
      <c r="BM6" s="5">
        <v>1</v>
      </c>
      <c r="BN6" s="1061" t="str">
        <f>IFERROR(INDEX(T08_Spells!$B$3:$B$407,MATCH(S03_Druid!BM6,T08_Spells!$DQ$3:$DQ$407,0),1),"")</f>
        <v>Animal Shapes</v>
      </c>
      <c r="BO6" s="1061"/>
      <c r="BP6" s="1061"/>
      <c r="BQ6" s="1061"/>
      <c r="BR6" s="1061"/>
      <c r="BS6" s="567"/>
      <c r="BT6" s="569" t="str">
        <f>IF(1&lt;=$Y$3,IF(BN6&lt;&gt;"",IF(IFERROR(SEARCH(BN6,$M$2,1),0)&gt;0,"●",""),""),"")</f>
        <v/>
      </c>
      <c r="BU6" s="565">
        <f>IF(OR(BS6="●",BT6="●"),1,0)</f>
        <v>0</v>
      </c>
      <c r="BV6" s="5">
        <v>1</v>
      </c>
      <c r="BW6" s="1061" t="str">
        <f>IFERROR(INDEX(T08_Spells!$B$3:$B$407,MATCH(S03_Druid!BV6,T08_Spells!$DR$3:$DR$407,0),1),"")</f>
        <v>Foresight</v>
      </c>
      <c r="BX6" s="1061"/>
      <c r="BY6" s="1061"/>
      <c r="BZ6" s="1061"/>
      <c r="CA6" s="1061"/>
      <c r="CB6" s="567"/>
      <c r="CC6" s="569" t="str">
        <f>IF(1&lt;=$Y$3,IF(BW6&lt;&gt;"",IF(IFERROR(SEARCH(BW6,$M$2,1),0)&gt;0,"●",""),""),"")</f>
        <v/>
      </c>
      <c r="CD6" s="565">
        <f>IF(OR(CB6="●",CC6="●"),1,0)</f>
        <v>0</v>
      </c>
      <c r="CE6" s="565"/>
      <c r="CF6" s="565"/>
      <c r="CG6" s="565">
        <v>1</v>
      </c>
      <c r="CH6" s="566" t="str">
        <f t="shared" ref="CH6:CH14" si="0">IF(CG6&lt;=DruidMaxSpellLevel,"●","")</f>
        <v/>
      </c>
      <c r="CI6" s="565"/>
      <c r="CJ6" s="565"/>
      <c r="CK6" s="565"/>
    </row>
    <row r="7" spans="1:89" ht="21" x14ac:dyDescent="0.25">
      <c r="A7" s="120"/>
      <c r="B7" s="5">
        <v>2</v>
      </c>
      <c r="C7" s="1061" t="str">
        <f>IFERROR(INDEX(T08_Spells!$B$3:$B$407,MATCH(S03_Druid!B7,T08_Spells!$DJ$3:$DJ$407,0),1),"")</f>
        <v>Charm Person</v>
      </c>
      <c r="D7" s="1061"/>
      <c r="E7" s="1061"/>
      <c r="F7" s="1061"/>
      <c r="G7" s="1061"/>
      <c r="H7" s="567"/>
      <c r="I7" s="569" t="str">
        <f t="shared" ref="I7:I35" si="1">IF(1&lt;=$Y$3,IF(C7&lt;&gt;"",IF(IFERROR(SEARCH(C7,$M$2,1),0)&gt;0,"●",""),""),"")</f>
        <v/>
      </c>
      <c r="J7" s="565">
        <f>IF(OR(H7="●",I7="●"),1+COUNTIF(J6:J$6,"&gt;0"),0)</f>
        <v>0</v>
      </c>
      <c r="K7" s="5">
        <v>2</v>
      </c>
      <c r="L7" s="1061" t="str">
        <f>IFERROR(INDEX(T08_Spells!$B$3:$B$407,MATCH(S03_Druid!K7,T08_Spells!$DK$3:$DK$407,0),1),"")</f>
        <v>Barkskin</v>
      </c>
      <c r="M7" s="1061"/>
      <c r="N7" s="1061"/>
      <c r="O7" s="1061"/>
      <c r="P7" s="1061"/>
      <c r="Q7" s="567"/>
      <c r="R7" s="569" t="str">
        <f t="shared" ref="R7:R35" si="2">IF(1&lt;=$Y$3,IF(L7&lt;&gt;"",IF(IFERROR(SEARCH(L7,$M$2,1),0)&gt;0,"●",""),""),"")</f>
        <v/>
      </c>
      <c r="S7" s="565">
        <f>IF(OR(Q7="●",R7="●"),1+COUNTIF(S6:S$6,"&gt;0"),0)</f>
        <v>0</v>
      </c>
      <c r="T7" s="5">
        <v>2</v>
      </c>
      <c r="U7" s="1061" t="str">
        <f>IFERROR(INDEX(T08_Spells!$B$3:$B$407,MATCH(S03_Druid!T7,T08_Spells!$DL$3:$DL$407,0),1),"")</f>
        <v>Conjure Animals</v>
      </c>
      <c r="V7" s="1061"/>
      <c r="W7" s="1061"/>
      <c r="X7" s="1061"/>
      <c r="Y7" s="1061"/>
      <c r="Z7" s="567"/>
      <c r="AA7" s="569" t="str">
        <f t="shared" ref="AA7:AA35" si="3">IF(1&lt;=$Y$3,IF(U7&lt;&gt;"",IF(IFERROR(SEARCH(U7,$M$2,1),0)&gt;0,"●",""),""),"")</f>
        <v/>
      </c>
      <c r="AB7" s="565">
        <f>IF(OR(Z7="●",AA7="●"),1+COUNTIF(AB6:AB$6,"&gt;0"),0)</f>
        <v>0</v>
      </c>
      <c r="AC7" s="5">
        <v>2</v>
      </c>
      <c r="AD7" s="1061" t="str">
        <f>IFERROR(INDEX(T08_Spells!$B$3:$B$407,MATCH(S03_Druid!AC7,T08_Spells!$DM$3:$DM$407,0),1),"")</f>
        <v>Confusion</v>
      </c>
      <c r="AE7" s="1061"/>
      <c r="AF7" s="1061"/>
      <c r="AG7" s="1061"/>
      <c r="AH7" s="1061"/>
      <c r="AI7" s="567"/>
      <c r="AJ7" s="569" t="str">
        <f t="shared" ref="AJ7:AJ35" si="4">IF(1&lt;=$Y$3,IF(AD7&lt;&gt;"",IF(IFERROR(SEARCH(AD7,$M$2,1),0)&gt;0,"●",""),""),"")</f>
        <v/>
      </c>
      <c r="AK7" s="565">
        <f>IF(OR(AI7="●",AJ7="●"),1+COUNTIF(AK6:AK$6,"&gt;0"),0)</f>
        <v>0</v>
      </c>
      <c r="AL7" s="5">
        <v>2</v>
      </c>
      <c r="AM7" s="1061" t="str">
        <f>IFERROR(INDEX(T08_Spells!$B$3:$B$407,MATCH(S03_Druid!AL7,T08_Spells!$DN$3:$DN$407,0),1),"")</f>
        <v>Awaken</v>
      </c>
      <c r="AN7" s="1061"/>
      <c r="AO7" s="1061"/>
      <c r="AP7" s="1061"/>
      <c r="AQ7" s="1061"/>
      <c r="AR7" s="567"/>
      <c r="AS7" s="569" t="str">
        <f t="shared" ref="AS7:AS35" si="5">IF(1&lt;=$Y$3,IF(AM7&lt;&gt;"",IF(IFERROR(SEARCH(AM7,$M$2,1),0)&gt;0,"●",""),""),"")</f>
        <v/>
      </c>
      <c r="AT7" s="565">
        <f>IF(OR(AR7="●",AS7="●"),1+COUNTIF(AT6:AT$6,"&gt;0"),0)</f>
        <v>0</v>
      </c>
      <c r="AU7" s="5">
        <v>2</v>
      </c>
      <c r="AV7" s="1061" t="str">
        <f>IFERROR(INDEX(T08_Spells!$B$3:$B$407,MATCH(S03_Druid!AU7,T08_Spells!$DO$3:$DO$407,0),1),"")</f>
        <v>Find the Path</v>
      </c>
      <c r="AW7" s="1061"/>
      <c r="AX7" s="1061"/>
      <c r="AY7" s="1061"/>
      <c r="AZ7" s="1061"/>
      <c r="BA7" s="567"/>
      <c r="BB7" s="569" t="str">
        <f t="shared" ref="BB7:BB35" si="6">IF(1&lt;=$Y$3,IF(AV7&lt;&gt;"",IF(IFERROR(SEARCH(AV7,$M$2,1),0)&gt;0,"●",""),""),"")</f>
        <v/>
      </c>
      <c r="BC7" s="565">
        <f>IF(OR(BA7="●",BB7="●"),1+COUNTIF(BC6:BC$6,"&gt;0"),0)</f>
        <v>0</v>
      </c>
      <c r="BD7" s="5">
        <v>2</v>
      </c>
      <c r="BE7" s="1061" t="str">
        <f>IFERROR(INDEX(T08_Spells!$B$3:$B$407,MATCH(S03_Druid!BD7,T08_Spells!$DP$3:$DP$407,0),1),"")</f>
        <v>Mirage Arcane</v>
      </c>
      <c r="BF7" s="1061"/>
      <c r="BG7" s="1061"/>
      <c r="BH7" s="1061"/>
      <c r="BI7" s="1061"/>
      <c r="BJ7" s="567"/>
      <c r="BK7" s="569" t="str">
        <f t="shared" ref="BK7:BK35" si="7">IF(1&lt;=$Y$3,IF(BE7&lt;&gt;"",IF(IFERROR(SEARCH(BE7,$M$2,1),0)&gt;0,"●",""),""),"")</f>
        <v/>
      </c>
      <c r="BL7" s="565">
        <f>IF(OR(BJ7="●",BK7="●"),1+COUNTIF(BL6:BL$6,"&gt;0"),0)</f>
        <v>0</v>
      </c>
      <c r="BM7" s="5">
        <v>2</v>
      </c>
      <c r="BN7" s="1061" t="str">
        <f>IFERROR(INDEX(T08_Spells!$B$3:$B$407,MATCH(S03_Druid!BM7,T08_Spells!$DQ$3:$DQ$407,0),1),"")</f>
        <v>Antipathy/Sympathy</v>
      </c>
      <c r="BO7" s="1061"/>
      <c r="BP7" s="1061"/>
      <c r="BQ7" s="1061"/>
      <c r="BR7" s="1061"/>
      <c r="BS7" s="567"/>
      <c r="BT7" s="569" t="str">
        <f t="shared" ref="BT7:BT35" si="8">IF(1&lt;=$Y$3,IF(BN7&lt;&gt;"",IF(IFERROR(SEARCH(BN7,$M$2,1),0)&gt;0,"●",""),""),"")</f>
        <v/>
      </c>
      <c r="BU7" s="565">
        <f>IF(OR(BS7="●",BT7="●"),1+COUNTIF(BU6:BU$6,"&gt;0"),0)</f>
        <v>0</v>
      </c>
      <c r="BV7" s="5">
        <v>2</v>
      </c>
      <c r="BW7" s="1061" t="str">
        <f>IFERROR(INDEX(T08_Spells!$B$3:$B$407,MATCH(S03_Druid!BV7,T08_Spells!$DR$3:$DR$407,0),1),"")</f>
        <v>Shapechange</v>
      </c>
      <c r="BX7" s="1061"/>
      <c r="BY7" s="1061"/>
      <c r="BZ7" s="1061"/>
      <c r="CA7" s="1061"/>
      <c r="CB7" s="567"/>
      <c r="CC7" s="569" t="str">
        <f t="shared" ref="CC7:CC35" si="9">IF(1&lt;=$Y$3,IF(BW7&lt;&gt;"",IF(IFERROR(SEARCH(BW7,$M$2,1),0)&gt;0,"●",""),""),"")</f>
        <v/>
      </c>
      <c r="CD7" s="565">
        <f>IF(OR(CB7="●",CC7="●"),1+COUNTIF(CD6:CD$6,"&gt;0"),0)</f>
        <v>0</v>
      </c>
      <c r="CE7" s="565"/>
      <c r="CF7" s="565"/>
      <c r="CG7" s="565">
        <v>2</v>
      </c>
      <c r="CH7" s="566" t="str">
        <f t="shared" si="0"/>
        <v/>
      </c>
      <c r="CI7" s="565"/>
      <c r="CJ7" s="565"/>
      <c r="CK7" s="565"/>
    </row>
    <row r="8" spans="1:89" ht="21" x14ac:dyDescent="0.25">
      <c r="A8" s="120"/>
      <c r="B8" s="5">
        <v>3</v>
      </c>
      <c r="C8" s="1061" t="str">
        <f>IFERROR(INDEX(T08_Spells!$B$3:$B$407,MATCH(S03_Druid!B8,T08_Spells!$DJ$3:$DJ$407,0),1),"")</f>
        <v>Create or Destroy Water</v>
      </c>
      <c r="D8" s="1061"/>
      <c r="E8" s="1061"/>
      <c r="F8" s="1061"/>
      <c r="G8" s="1061"/>
      <c r="H8" s="567"/>
      <c r="I8" s="569" t="str">
        <f t="shared" si="1"/>
        <v/>
      </c>
      <c r="J8" s="565">
        <f>IF(OR(H8="●",I8="●"),1+COUNTIF(J$6:J7,"&gt;0"),0)</f>
        <v>0</v>
      </c>
      <c r="K8" s="5">
        <v>3</v>
      </c>
      <c r="L8" s="1061" t="str">
        <f>IFERROR(INDEX(T08_Spells!$B$3:$B$407,MATCH(S03_Druid!K8,T08_Spells!$DK$3:$DK$407,0),1),"")</f>
        <v>Beast Sense</v>
      </c>
      <c r="M8" s="1061"/>
      <c r="N8" s="1061"/>
      <c r="O8" s="1061"/>
      <c r="P8" s="1061"/>
      <c r="Q8" s="567"/>
      <c r="R8" s="569" t="str">
        <f t="shared" si="2"/>
        <v/>
      </c>
      <c r="S8" s="565">
        <f>IF(OR(Q8="●",R8="●"),1+COUNTIF(S$6:S7,"&gt;0"),0)</f>
        <v>0</v>
      </c>
      <c r="T8" s="5">
        <v>3</v>
      </c>
      <c r="U8" s="1061" t="str">
        <f>IFERROR(INDEX(T08_Spells!$B$3:$B$407,MATCH(S03_Druid!T8,T08_Spells!$DL$3:$DL$407,0),1),"")</f>
        <v>Daylight</v>
      </c>
      <c r="V8" s="1061"/>
      <c r="W8" s="1061"/>
      <c r="X8" s="1061"/>
      <c r="Y8" s="1061"/>
      <c r="Z8" s="567"/>
      <c r="AA8" s="569" t="str">
        <f t="shared" si="3"/>
        <v/>
      </c>
      <c r="AB8" s="565">
        <f>IF(OR(Z8="●",AA8="●"),1+COUNTIF(AB$6:AB7,"&gt;0"),0)</f>
        <v>0</v>
      </c>
      <c r="AC8" s="5">
        <v>3</v>
      </c>
      <c r="AD8" s="1061" t="str">
        <f>IFERROR(INDEX(T08_Spells!$B$3:$B$407,MATCH(S03_Druid!AC8,T08_Spells!$DM$3:$DM$407,0),1),"")</f>
        <v>Conjure Minor Elementals</v>
      </c>
      <c r="AE8" s="1061"/>
      <c r="AF8" s="1061"/>
      <c r="AG8" s="1061"/>
      <c r="AH8" s="1061"/>
      <c r="AI8" s="567"/>
      <c r="AJ8" s="569" t="str">
        <f t="shared" si="4"/>
        <v/>
      </c>
      <c r="AK8" s="565">
        <f>IF(OR(AI8="●",AJ8="●"),1+COUNTIF(AK$6:AK7,"&gt;0"),0)</f>
        <v>0</v>
      </c>
      <c r="AL8" s="5">
        <v>3</v>
      </c>
      <c r="AM8" s="1061" t="str">
        <f>IFERROR(INDEX(T08_Spells!$B$3:$B$407,MATCH(S03_Druid!AL8,T08_Spells!$DN$3:$DN$407,0),1),"")</f>
        <v>Commune with Nature</v>
      </c>
      <c r="AN8" s="1061"/>
      <c r="AO8" s="1061"/>
      <c r="AP8" s="1061"/>
      <c r="AQ8" s="1061"/>
      <c r="AR8" s="567"/>
      <c r="AS8" s="569" t="str">
        <f t="shared" si="5"/>
        <v/>
      </c>
      <c r="AT8" s="565">
        <f>IF(OR(AR8="●",AS8="●"),1+COUNTIF(AT$6:AT7,"&gt;0"),0)</f>
        <v>0</v>
      </c>
      <c r="AU8" s="5">
        <v>3</v>
      </c>
      <c r="AV8" s="1061" t="str">
        <f>IFERROR(INDEX(T08_Spells!$B$3:$B$407,MATCH(S03_Druid!AU8,T08_Spells!$DO$3:$DO$407,0),1),"")</f>
        <v>Heal</v>
      </c>
      <c r="AW8" s="1061"/>
      <c r="AX8" s="1061"/>
      <c r="AY8" s="1061"/>
      <c r="AZ8" s="1061"/>
      <c r="BA8" s="567"/>
      <c r="BB8" s="569" t="str">
        <f t="shared" si="6"/>
        <v/>
      </c>
      <c r="BC8" s="565">
        <f>IF(OR(BA8="●",BB8="●"),1+COUNTIF(BC$6:BC7,"&gt;0"),0)</f>
        <v>0</v>
      </c>
      <c r="BD8" s="5">
        <v>3</v>
      </c>
      <c r="BE8" s="1061" t="str">
        <f>IFERROR(INDEX(T08_Spells!$B$3:$B$407,MATCH(S03_Druid!BD8,T08_Spells!$DP$3:$DP$407,0),1),"")</f>
        <v>Plane Shift</v>
      </c>
      <c r="BF8" s="1061"/>
      <c r="BG8" s="1061"/>
      <c r="BH8" s="1061"/>
      <c r="BI8" s="1061"/>
      <c r="BJ8" s="567"/>
      <c r="BK8" s="569" t="str">
        <f t="shared" si="7"/>
        <v/>
      </c>
      <c r="BL8" s="565">
        <f>IF(OR(BJ8="●",BK8="●"),1+COUNTIF(BL$6:BL7,"&gt;0"),0)</f>
        <v>0</v>
      </c>
      <c r="BM8" s="5">
        <v>3</v>
      </c>
      <c r="BN8" s="1061" t="str">
        <f>IFERROR(INDEX(T08_Spells!$B$3:$B$407,MATCH(S03_Druid!BM8,T08_Spells!$DQ$3:$DQ$407,0),1),"")</f>
        <v>Control Weather</v>
      </c>
      <c r="BO8" s="1061"/>
      <c r="BP8" s="1061"/>
      <c r="BQ8" s="1061"/>
      <c r="BR8" s="1061"/>
      <c r="BS8" s="567"/>
      <c r="BT8" s="569" t="str">
        <f t="shared" si="8"/>
        <v/>
      </c>
      <c r="BU8" s="565">
        <f>IF(OR(BS8="●",BT8="●"),1+COUNTIF(BU$6:BU7,"&gt;0"),0)</f>
        <v>0</v>
      </c>
      <c r="BV8" s="5">
        <v>3</v>
      </c>
      <c r="BW8" s="1061" t="str">
        <f>IFERROR(INDEX(T08_Spells!$B$3:$B$407,MATCH(S03_Druid!BV8,T08_Spells!$DR$3:$DR$407,0),1),"")</f>
        <v>Storm of Vengeance</v>
      </c>
      <c r="BX8" s="1061"/>
      <c r="BY8" s="1061"/>
      <c r="BZ8" s="1061"/>
      <c r="CA8" s="1061"/>
      <c r="CB8" s="567"/>
      <c r="CC8" s="569" t="str">
        <f t="shared" si="9"/>
        <v/>
      </c>
      <c r="CD8" s="565">
        <f>IF(OR(CB8="●",CC8="●"),1+COUNTIF(CD$6:CD7,"&gt;0"),0)</f>
        <v>0</v>
      </c>
      <c r="CE8" s="565"/>
      <c r="CF8" s="565"/>
      <c r="CG8" s="565">
        <v>3</v>
      </c>
      <c r="CH8" s="566" t="str">
        <f t="shared" si="0"/>
        <v/>
      </c>
      <c r="CI8" s="565"/>
      <c r="CJ8" s="565"/>
      <c r="CK8" s="565"/>
    </row>
    <row r="9" spans="1:89" ht="21" x14ac:dyDescent="0.25">
      <c r="A9" s="120"/>
      <c r="B9" s="5">
        <v>4</v>
      </c>
      <c r="C9" s="1061" t="str">
        <f>IFERROR(INDEX(T08_Spells!$B$3:$B$407,MATCH(S03_Druid!B9,T08_Spells!$DJ$3:$DJ$407,0),1),"")</f>
        <v>Cure Wounds</v>
      </c>
      <c r="D9" s="1061"/>
      <c r="E9" s="1061"/>
      <c r="F9" s="1061"/>
      <c r="G9" s="1061"/>
      <c r="H9" s="567"/>
      <c r="I9" s="569" t="str">
        <f t="shared" si="1"/>
        <v/>
      </c>
      <c r="J9" s="565">
        <f>IF(OR(H9="●",I9="●"),1+COUNTIF(J$6:J8,"&gt;0"),0)</f>
        <v>0</v>
      </c>
      <c r="K9" s="5">
        <v>4</v>
      </c>
      <c r="L9" s="1061" t="str">
        <f>IFERROR(INDEX(T08_Spells!$B$3:$B$407,MATCH(S03_Druid!K9,T08_Spells!$DK$3:$DK$407,0),1),"")</f>
        <v>Darkvision</v>
      </c>
      <c r="M9" s="1061"/>
      <c r="N9" s="1061"/>
      <c r="O9" s="1061"/>
      <c r="P9" s="1061"/>
      <c r="Q9" s="567"/>
      <c r="R9" s="569" t="str">
        <f t="shared" si="2"/>
        <v/>
      </c>
      <c r="S9" s="565">
        <f>IF(OR(Q9="●",R9="●"),1+COUNTIF(S$6:S8,"&gt;0"),0)</f>
        <v>0</v>
      </c>
      <c r="T9" s="5">
        <v>4</v>
      </c>
      <c r="U9" s="1061" t="str">
        <f>IFERROR(INDEX(T08_Spells!$B$3:$B$407,MATCH(S03_Druid!T9,T08_Spells!$DL$3:$DL$407,0),1),"")</f>
        <v>Dispel Magic</v>
      </c>
      <c r="V9" s="1061"/>
      <c r="W9" s="1061"/>
      <c r="X9" s="1061"/>
      <c r="Y9" s="1061"/>
      <c r="Z9" s="567"/>
      <c r="AA9" s="569" t="str">
        <f t="shared" si="3"/>
        <v/>
      </c>
      <c r="AB9" s="565">
        <f>IF(OR(Z9="●",AA9="●"),1+COUNTIF(AB$6:AB8,"&gt;0"),0)</f>
        <v>0</v>
      </c>
      <c r="AC9" s="5">
        <v>4</v>
      </c>
      <c r="AD9" s="1061" t="str">
        <f>IFERROR(INDEX(T08_Spells!$B$3:$B$407,MATCH(S03_Druid!AC9,T08_Spells!$DM$3:$DM$407,0),1),"")</f>
        <v>Conjure Woodland Beings</v>
      </c>
      <c r="AE9" s="1061"/>
      <c r="AF9" s="1061"/>
      <c r="AG9" s="1061"/>
      <c r="AH9" s="1061"/>
      <c r="AI9" s="567"/>
      <c r="AJ9" s="569" t="str">
        <f t="shared" si="4"/>
        <v/>
      </c>
      <c r="AK9" s="565">
        <f>IF(OR(AI9="●",AJ9="●"),1+COUNTIF(AK$6:AK8,"&gt;0"),0)</f>
        <v>0</v>
      </c>
      <c r="AL9" s="5">
        <v>4</v>
      </c>
      <c r="AM9" s="1061" t="str">
        <f>IFERROR(INDEX(T08_Spells!$B$3:$B$407,MATCH(S03_Druid!AL9,T08_Spells!$DN$3:$DN$407,0),1),"")</f>
        <v>Conjure Elemental</v>
      </c>
      <c r="AN9" s="1061"/>
      <c r="AO9" s="1061"/>
      <c r="AP9" s="1061"/>
      <c r="AQ9" s="1061"/>
      <c r="AR9" s="567"/>
      <c r="AS9" s="569" t="str">
        <f t="shared" si="5"/>
        <v/>
      </c>
      <c r="AT9" s="565">
        <f>IF(OR(AR9="●",AS9="●"),1+COUNTIF(AT$6:AT8,"&gt;0"),0)</f>
        <v>0</v>
      </c>
      <c r="AU9" s="5">
        <v>4</v>
      </c>
      <c r="AV9" s="1061" t="str">
        <f>IFERROR(INDEX(T08_Spells!$B$3:$B$407,MATCH(S03_Druid!AU9,T08_Spells!$DO$3:$DO$407,0),1),"")</f>
        <v>Heroes' Feast</v>
      </c>
      <c r="AW9" s="1061"/>
      <c r="AX9" s="1061"/>
      <c r="AY9" s="1061"/>
      <c r="AZ9" s="1061"/>
      <c r="BA9" s="567"/>
      <c r="BB9" s="569" t="str">
        <f t="shared" si="6"/>
        <v/>
      </c>
      <c r="BC9" s="565">
        <f>IF(OR(BA9="●",BB9="●"),1+COUNTIF(BC$6:BC8,"&gt;0"),0)</f>
        <v>0</v>
      </c>
      <c r="BD9" s="5">
        <v>4</v>
      </c>
      <c r="BE9" s="1061" t="str">
        <f>IFERROR(INDEX(T08_Spells!$B$3:$B$407,MATCH(S03_Druid!BD9,T08_Spells!$DP$3:$DP$407,0),1),"")</f>
        <v>Regenerate</v>
      </c>
      <c r="BF9" s="1061"/>
      <c r="BG9" s="1061"/>
      <c r="BH9" s="1061"/>
      <c r="BI9" s="1061"/>
      <c r="BJ9" s="567"/>
      <c r="BK9" s="569" t="str">
        <f t="shared" si="7"/>
        <v/>
      </c>
      <c r="BL9" s="565">
        <f>IF(OR(BJ9="●",BK9="●"),1+COUNTIF(BL$6:BL8,"&gt;0"),0)</f>
        <v>0</v>
      </c>
      <c r="BM9" s="5">
        <v>4</v>
      </c>
      <c r="BN9" s="1061" t="str">
        <f>IFERROR(INDEX(T08_Spells!$B$3:$B$407,MATCH(S03_Druid!BM9,T08_Spells!$DQ$3:$DQ$407,0),1),"")</f>
        <v>Earthquake</v>
      </c>
      <c r="BO9" s="1061"/>
      <c r="BP9" s="1061"/>
      <c r="BQ9" s="1061"/>
      <c r="BR9" s="1061"/>
      <c r="BS9" s="567"/>
      <c r="BT9" s="569" t="str">
        <f t="shared" si="8"/>
        <v/>
      </c>
      <c r="BU9" s="565">
        <f>IF(OR(BS9="●",BT9="●"),1+COUNTIF(BU$6:BU8,"&gt;0"),0)</f>
        <v>0</v>
      </c>
      <c r="BV9" s="5">
        <v>4</v>
      </c>
      <c r="BW9" s="1061" t="str">
        <f>IFERROR(INDEX(T08_Spells!$B$3:$B$407,MATCH(S03_Druid!BV9,T08_Spells!$DR$3:$DR$407,0),1),"")</f>
        <v>True Resurrection</v>
      </c>
      <c r="BX9" s="1061"/>
      <c r="BY9" s="1061"/>
      <c r="BZ9" s="1061"/>
      <c r="CA9" s="1061"/>
      <c r="CB9" s="567"/>
      <c r="CC9" s="569" t="str">
        <f t="shared" si="9"/>
        <v/>
      </c>
      <c r="CD9" s="565">
        <f>IF(OR(CB9="●",CC9="●"),1+COUNTIF(CD$6:CD8,"&gt;0"),0)</f>
        <v>0</v>
      </c>
      <c r="CE9" s="565"/>
      <c r="CF9" s="565"/>
      <c r="CG9" s="565">
        <v>4</v>
      </c>
      <c r="CH9" s="566" t="str">
        <f t="shared" si="0"/>
        <v/>
      </c>
      <c r="CI9" s="565"/>
      <c r="CJ9" s="565"/>
      <c r="CK9" s="565"/>
    </row>
    <row r="10" spans="1:89" ht="21" x14ac:dyDescent="0.25">
      <c r="A10" s="120"/>
      <c r="B10" s="5">
        <v>5</v>
      </c>
      <c r="C10" s="1061" t="str">
        <f>IFERROR(INDEX(T08_Spells!$B$3:$B$407,MATCH(S03_Druid!B10,T08_Spells!$DJ$3:$DJ$407,0),1),"")</f>
        <v>Detect Magic</v>
      </c>
      <c r="D10" s="1061"/>
      <c r="E10" s="1061"/>
      <c r="F10" s="1061"/>
      <c r="G10" s="1061"/>
      <c r="H10" s="567"/>
      <c r="I10" s="569" t="str">
        <f t="shared" si="1"/>
        <v/>
      </c>
      <c r="J10" s="565">
        <f>IF(OR(H10="●",I10="●"),1+COUNTIF(J$6:J9,"&gt;0"),0)</f>
        <v>0</v>
      </c>
      <c r="K10" s="5">
        <v>5</v>
      </c>
      <c r="L10" s="1061" t="str">
        <f>IFERROR(INDEX(T08_Spells!$B$3:$B$407,MATCH(S03_Druid!K10,T08_Spells!$DK$3:$DK$407,0),1),"")</f>
        <v>Enhance Ability</v>
      </c>
      <c r="M10" s="1061"/>
      <c r="N10" s="1061"/>
      <c r="O10" s="1061"/>
      <c r="P10" s="1061"/>
      <c r="Q10" s="567"/>
      <c r="R10" s="569" t="str">
        <f t="shared" si="2"/>
        <v/>
      </c>
      <c r="S10" s="565">
        <f>IF(OR(Q10="●",R10="●"),1+COUNTIF(S$6:S9,"&gt;0"),0)</f>
        <v>0</v>
      </c>
      <c r="T10" s="5">
        <v>5</v>
      </c>
      <c r="U10" s="1061" t="str">
        <f>IFERROR(INDEX(T08_Spells!$B$3:$B$407,MATCH(S03_Druid!T10,T08_Spells!$DL$3:$DL$407,0),1),"")</f>
        <v>Feign Death</v>
      </c>
      <c r="V10" s="1061"/>
      <c r="W10" s="1061"/>
      <c r="X10" s="1061"/>
      <c r="Y10" s="1061"/>
      <c r="Z10" s="567"/>
      <c r="AA10" s="569" t="str">
        <f t="shared" si="3"/>
        <v/>
      </c>
      <c r="AB10" s="565">
        <f>IF(OR(Z10="●",AA10="●"),1+COUNTIF(AB$6:AB9,"&gt;0"),0)</f>
        <v>0</v>
      </c>
      <c r="AC10" s="5">
        <v>5</v>
      </c>
      <c r="AD10" s="1061" t="str">
        <f>IFERROR(INDEX(T08_Spells!$B$3:$B$407,MATCH(S03_Druid!AC10,T08_Spells!$DM$3:$DM$407,0),1),"")</f>
        <v>Control Water</v>
      </c>
      <c r="AE10" s="1061"/>
      <c r="AF10" s="1061"/>
      <c r="AG10" s="1061"/>
      <c r="AH10" s="1061"/>
      <c r="AI10" s="567"/>
      <c r="AJ10" s="569" t="str">
        <f t="shared" si="4"/>
        <v/>
      </c>
      <c r="AK10" s="565">
        <f>IF(OR(AI10="●",AJ10="●"),1+COUNTIF(AK$6:AK9,"&gt;0"),0)</f>
        <v>0</v>
      </c>
      <c r="AL10" s="5">
        <v>5</v>
      </c>
      <c r="AM10" s="1061" t="str">
        <f>IFERROR(INDEX(T08_Spells!$B$3:$B$407,MATCH(S03_Druid!AL10,T08_Spells!$DN$3:$DN$407,0),1),"")</f>
        <v>Contagion</v>
      </c>
      <c r="AN10" s="1061"/>
      <c r="AO10" s="1061"/>
      <c r="AP10" s="1061"/>
      <c r="AQ10" s="1061"/>
      <c r="AR10" s="567"/>
      <c r="AS10" s="569" t="str">
        <f t="shared" si="5"/>
        <v/>
      </c>
      <c r="AT10" s="565">
        <f>IF(OR(AR10="●",AS10="●"),1+COUNTIF(AT$6:AT9,"&gt;0"),0)</f>
        <v>0</v>
      </c>
      <c r="AU10" s="5">
        <v>5</v>
      </c>
      <c r="AV10" s="1061" t="str">
        <f>IFERROR(INDEX(T08_Spells!$B$3:$B$407,MATCH(S03_Druid!AU10,T08_Spells!$DO$3:$DO$407,0),1),"")</f>
        <v>Move Earth</v>
      </c>
      <c r="AW10" s="1061"/>
      <c r="AX10" s="1061"/>
      <c r="AY10" s="1061"/>
      <c r="AZ10" s="1061"/>
      <c r="BA10" s="567"/>
      <c r="BB10" s="569" t="str">
        <f t="shared" si="6"/>
        <v/>
      </c>
      <c r="BC10" s="565">
        <f>IF(OR(BA10="●",BB10="●"),1+COUNTIF(BC$6:BC9,"&gt;0"),0)</f>
        <v>0</v>
      </c>
      <c r="BD10" s="5">
        <v>5</v>
      </c>
      <c r="BE10" s="1061" t="str">
        <f>IFERROR(INDEX(T08_Spells!$B$3:$B$407,MATCH(S03_Druid!BD10,T08_Spells!$DP$3:$DP$407,0),1),"")</f>
        <v>Reverse Gravity</v>
      </c>
      <c r="BF10" s="1061"/>
      <c r="BG10" s="1061"/>
      <c r="BH10" s="1061"/>
      <c r="BI10" s="1061"/>
      <c r="BJ10" s="567"/>
      <c r="BK10" s="569" t="str">
        <f t="shared" si="7"/>
        <v/>
      </c>
      <c r="BL10" s="565">
        <f>IF(OR(BJ10="●",BK10="●"),1+COUNTIF(BL$6:BL9,"&gt;0"),0)</f>
        <v>0</v>
      </c>
      <c r="BM10" s="5">
        <v>5</v>
      </c>
      <c r="BN10" s="1061" t="str">
        <f>IFERROR(INDEX(T08_Spells!$B$3:$B$407,MATCH(S03_Druid!BM10,T08_Spells!$DQ$3:$DQ$407,0),1),"")</f>
        <v>Feeblemind</v>
      </c>
      <c r="BO10" s="1061"/>
      <c r="BP10" s="1061"/>
      <c r="BQ10" s="1061"/>
      <c r="BR10" s="1061"/>
      <c r="BS10" s="567"/>
      <c r="BT10" s="569" t="str">
        <f t="shared" si="8"/>
        <v/>
      </c>
      <c r="BU10" s="565">
        <f>IF(OR(BS10="●",BT10="●"),1+COUNTIF(BU$6:BU9,"&gt;0"),0)</f>
        <v>0</v>
      </c>
      <c r="BV10" s="5">
        <v>5</v>
      </c>
      <c r="BW10" s="1061" t="str">
        <f>IFERROR(INDEX(T08_Spells!$B$3:$B$407,MATCH(S03_Druid!BV10,T08_Spells!$DR$3:$DR$407,0),1),"")</f>
        <v>Tsunami</v>
      </c>
      <c r="BX10" s="1061"/>
      <c r="BY10" s="1061"/>
      <c r="BZ10" s="1061"/>
      <c r="CA10" s="1061"/>
      <c r="CB10" s="567"/>
      <c r="CC10" s="569" t="str">
        <f t="shared" si="9"/>
        <v/>
      </c>
      <c r="CD10" s="565">
        <f>IF(OR(CB10="●",CC10="●"),1+COUNTIF(CD$6:CD9,"&gt;0"),0)</f>
        <v>0</v>
      </c>
      <c r="CE10" s="565"/>
      <c r="CF10" s="565"/>
      <c r="CG10" s="565">
        <v>5</v>
      </c>
      <c r="CH10" s="566" t="str">
        <f t="shared" si="0"/>
        <v/>
      </c>
      <c r="CI10" s="565"/>
      <c r="CJ10" s="565"/>
      <c r="CK10" s="565"/>
    </row>
    <row r="11" spans="1:89" ht="21" x14ac:dyDescent="0.25">
      <c r="A11" s="120"/>
      <c r="B11" s="5">
        <v>6</v>
      </c>
      <c r="C11" s="1061" t="str">
        <f>IFERROR(INDEX(T08_Spells!$B$3:$B$407,MATCH(S03_Druid!B11,T08_Spells!$DJ$3:$DJ$407,0),1),"")</f>
        <v>Detect Poison and Disease</v>
      </c>
      <c r="D11" s="1061"/>
      <c r="E11" s="1061"/>
      <c r="F11" s="1061"/>
      <c r="G11" s="1061"/>
      <c r="H11" s="567"/>
      <c r="I11" s="569" t="str">
        <f t="shared" si="1"/>
        <v/>
      </c>
      <c r="J11" s="565">
        <f>IF(OR(H11="●",I11="●"),1+COUNTIF(J$6:J10,"&gt;0"),0)</f>
        <v>0</v>
      </c>
      <c r="K11" s="5">
        <v>6</v>
      </c>
      <c r="L11" s="1061" t="str">
        <f>IFERROR(INDEX(T08_Spells!$B$3:$B$407,MATCH(S03_Druid!K11,T08_Spells!$DK$3:$DK$407,0),1),"")</f>
        <v>Find Traps</v>
      </c>
      <c r="M11" s="1061"/>
      <c r="N11" s="1061"/>
      <c r="O11" s="1061"/>
      <c r="P11" s="1061"/>
      <c r="Q11" s="567"/>
      <c r="R11" s="569" t="str">
        <f t="shared" si="2"/>
        <v/>
      </c>
      <c r="S11" s="565">
        <f>IF(OR(Q11="●",R11="●"),1+COUNTIF(S$6:S10,"&gt;0"),0)</f>
        <v>0</v>
      </c>
      <c r="T11" s="5">
        <v>6</v>
      </c>
      <c r="U11" s="1061" t="str">
        <f>IFERROR(INDEX(T08_Spells!$B$3:$B$407,MATCH(S03_Druid!T11,T08_Spells!$DL$3:$DL$407,0),1),"")</f>
        <v>Meld into Stone</v>
      </c>
      <c r="V11" s="1061"/>
      <c r="W11" s="1061"/>
      <c r="X11" s="1061"/>
      <c r="Y11" s="1061"/>
      <c r="Z11" s="567"/>
      <c r="AA11" s="569" t="str">
        <f t="shared" si="3"/>
        <v/>
      </c>
      <c r="AB11" s="565">
        <f>IF(OR(Z11="●",AA11="●"),1+COUNTIF(AB$6:AB10,"&gt;0"),0)</f>
        <v>0</v>
      </c>
      <c r="AC11" s="5">
        <v>6</v>
      </c>
      <c r="AD11" s="1061" t="str">
        <f>IFERROR(INDEX(T08_Spells!$B$3:$B$407,MATCH(S03_Druid!AC11,T08_Spells!$DM$3:$DM$407,0),1),"")</f>
        <v>Dominate Beast</v>
      </c>
      <c r="AE11" s="1061"/>
      <c r="AF11" s="1061"/>
      <c r="AG11" s="1061"/>
      <c r="AH11" s="1061"/>
      <c r="AI11" s="567"/>
      <c r="AJ11" s="569" t="str">
        <f t="shared" si="4"/>
        <v/>
      </c>
      <c r="AK11" s="565">
        <f>IF(OR(AI11="●",AJ11="●"),1+COUNTIF(AK$6:AK10,"&gt;0"),0)</f>
        <v>0</v>
      </c>
      <c r="AL11" s="5">
        <v>6</v>
      </c>
      <c r="AM11" s="1061" t="str">
        <f>IFERROR(INDEX(T08_Spells!$B$3:$B$407,MATCH(S03_Druid!AL11,T08_Spells!$DN$3:$DN$407,0),1),"")</f>
        <v>Geas</v>
      </c>
      <c r="AN11" s="1061"/>
      <c r="AO11" s="1061"/>
      <c r="AP11" s="1061"/>
      <c r="AQ11" s="1061"/>
      <c r="AR11" s="567"/>
      <c r="AS11" s="569" t="str">
        <f t="shared" si="5"/>
        <v/>
      </c>
      <c r="AT11" s="565">
        <f>IF(OR(AR11="●",AS11="●"),1+COUNTIF(AT$6:AT10,"&gt;0"),0)</f>
        <v>0</v>
      </c>
      <c r="AU11" s="5">
        <v>6</v>
      </c>
      <c r="AV11" s="1061" t="str">
        <f>IFERROR(INDEX(T08_Spells!$B$3:$B$407,MATCH(S03_Druid!AU11,T08_Spells!$DO$3:$DO$407,0),1),"")</f>
        <v>Sunbeam</v>
      </c>
      <c r="AW11" s="1061"/>
      <c r="AX11" s="1061"/>
      <c r="AY11" s="1061"/>
      <c r="AZ11" s="1061"/>
      <c r="BA11" s="567"/>
      <c r="BB11" s="569" t="str">
        <f t="shared" si="6"/>
        <v/>
      </c>
      <c r="BC11" s="565">
        <f>IF(OR(BA11="●",BB11="●"),1+COUNTIF(BC$6:BC10,"&gt;0"),0)</f>
        <v>0</v>
      </c>
      <c r="BD11" s="5">
        <v>6</v>
      </c>
      <c r="BE11" s="1061" t="str">
        <f>IFERROR(INDEX(T08_Spells!$B$3:$B$407,MATCH(S03_Druid!BD11,T08_Spells!$DP$3:$DP$407,0),1),"")</f>
        <v>Whirlwind</v>
      </c>
      <c r="BF11" s="1061"/>
      <c r="BG11" s="1061"/>
      <c r="BH11" s="1061"/>
      <c r="BI11" s="1061"/>
      <c r="BJ11" s="567"/>
      <c r="BK11" s="569" t="str">
        <f t="shared" si="7"/>
        <v/>
      </c>
      <c r="BL11" s="565">
        <f>IF(OR(BJ11="●",BK11="●"),1+COUNTIF(BL$6:BL10,"&gt;0"),0)</f>
        <v>0</v>
      </c>
      <c r="BM11" s="5">
        <v>6</v>
      </c>
      <c r="BN11" s="1061" t="str">
        <f>IFERROR(INDEX(T08_Spells!$B$3:$B$407,MATCH(S03_Druid!BM11,T08_Spells!$DQ$3:$DQ$407,0),1),"")</f>
        <v>Sunburst</v>
      </c>
      <c r="BO11" s="1061"/>
      <c r="BP11" s="1061"/>
      <c r="BQ11" s="1061"/>
      <c r="BR11" s="1061"/>
      <c r="BS11" s="567"/>
      <c r="BT11" s="569" t="str">
        <f t="shared" si="8"/>
        <v/>
      </c>
      <c r="BU11" s="565">
        <f>IF(OR(BS11="●",BT11="●"),1+COUNTIF(BU$6:BU10,"&gt;0"),0)</f>
        <v>0</v>
      </c>
      <c r="BV11" s="5">
        <v>6</v>
      </c>
      <c r="BW11" s="1061" t="str">
        <f>IFERROR(INDEX(T08_Spells!$B$3:$B$407,MATCH(S03_Druid!BV11,T08_Spells!$DR$3:$DR$407,0),1),"")</f>
        <v/>
      </c>
      <c r="BX11" s="1061"/>
      <c r="BY11" s="1061"/>
      <c r="BZ11" s="1061"/>
      <c r="CA11" s="1061"/>
      <c r="CB11" s="567"/>
      <c r="CC11" s="569" t="str">
        <f t="shared" si="9"/>
        <v/>
      </c>
      <c r="CD11" s="565">
        <f>IF(OR(CB11="●",CC11="●"),1+COUNTIF(CD$6:CD10,"&gt;0"),0)</f>
        <v>0</v>
      </c>
      <c r="CE11" s="565"/>
      <c r="CF11" s="565"/>
      <c r="CG11" s="565">
        <v>6</v>
      </c>
      <c r="CH11" s="566" t="str">
        <f t="shared" si="0"/>
        <v/>
      </c>
      <c r="CI11" s="565"/>
      <c r="CJ11" s="565"/>
      <c r="CK11" s="565"/>
    </row>
    <row r="12" spans="1:89" ht="21" x14ac:dyDescent="0.25">
      <c r="A12" s="120"/>
      <c r="B12" s="5">
        <v>7</v>
      </c>
      <c r="C12" s="1061" t="str">
        <f>IFERROR(INDEX(T08_Spells!$B$3:$B$407,MATCH(S03_Druid!B12,T08_Spells!$DJ$3:$DJ$407,0),1),"")</f>
        <v>Entangle</v>
      </c>
      <c r="D12" s="1061"/>
      <c r="E12" s="1061"/>
      <c r="F12" s="1061"/>
      <c r="G12" s="1061"/>
      <c r="H12" s="567"/>
      <c r="I12" s="569" t="str">
        <f t="shared" si="1"/>
        <v/>
      </c>
      <c r="J12" s="565">
        <f>IF(OR(H12="●",I12="●"),1+COUNTIF(J$6:J11,"&gt;0"),0)</f>
        <v>0</v>
      </c>
      <c r="K12" s="5">
        <v>7</v>
      </c>
      <c r="L12" s="1061" t="str">
        <f>IFERROR(INDEX(T08_Spells!$B$3:$B$407,MATCH(S03_Druid!K12,T08_Spells!$DK$3:$DK$407,0),1),"")</f>
        <v>Flame Blade</v>
      </c>
      <c r="M12" s="1061"/>
      <c r="N12" s="1061"/>
      <c r="O12" s="1061"/>
      <c r="P12" s="1061"/>
      <c r="Q12" s="567"/>
      <c r="R12" s="569" t="str">
        <f t="shared" si="2"/>
        <v/>
      </c>
      <c r="S12" s="565">
        <f>IF(OR(Q12="●",R12="●"),1+COUNTIF(S$6:S11,"&gt;0"),0)</f>
        <v>0</v>
      </c>
      <c r="T12" s="5">
        <v>7</v>
      </c>
      <c r="U12" s="1061" t="str">
        <f>IFERROR(INDEX(T08_Spells!$B$3:$B$407,MATCH(S03_Druid!T12,T08_Spells!$DL$3:$DL$407,0),1),"")</f>
        <v>Plant Growth</v>
      </c>
      <c r="V12" s="1061"/>
      <c r="W12" s="1061"/>
      <c r="X12" s="1061"/>
      <c r="Y12" s="1061"/>
      <c r="Z12" s="567"/>
      <c r="AA12" s="569" t="str">
        <f t="shared" si="3"/>
        <v/>
      </c>
      <c r="AB12" s="565">
        <f>IF(OR(Z12="●",AA12="●"),1+COUNTIF(AB$6:AB11,"&gt;0"),0)</f>
        <v>0</v>
      </c>
      <c r="AC12" s="5">
        <v>7</v>
      </c>
      <c r="AD12" s="1061" t="str">
        <f>IFERROR(INDEX(T08_Spells!$B$3:$B$407,MATCH(S03_Druid!AC12,T08_Spells!$DM$3:$DM$407,0),1),"")</f>
        <v>Freedom of Movement</v>
      </c>
      <c r="AE12" s="1061"/>
      <c r="AF12" s="1061"/>
      <c r="AG12" s="1061"/>
      <c r="AH12" s="1061"/>
      <c r="AI12" s="567"/>
      <c r="AJ12" s="569" t="str">
        <f t="shared" si="4"/>
        <v/>
      </c>
      <c r="AK12" s="565">
        <f>IF(OR(AI12="●",AJ12="●"),1+COUNTIF(AK$6:AK11,"&gt;0"),0)</f>
        <v>0</v>
      </c>
      <c r="AL12" s="5">
        <v>7</v>
      </c>
      <c r="AM12" s="1061" t="str">
        <f>IFERROR(INDEX(T08_Spells!$B$3:$B$407,MATCH(S03_Druid!AL12,T08_Spells!$DN$3:$DN$407,0),1),"")</f>
        <v>Greater Restoration</v>
      </c>
      <c r="AN12" s="1061"/>
      <c r="AO12" s="1061"/>
      <c r="AP12" s="1061"/>
      <c r="AQ12" s="1061"/>
      <c r="AR12" s="567"/>
      <c r="AS12" s="569" t="str">
        <f t="shared" si="5"/>
        <v/>
      </c>
      <c r="AT12" s="565">
        <f>IF(OR(AR12="●",AS12="●"),1+COUNTIF(AT$6:AT11,"&gt;0"),0)</f>
        <v>0</v>
      </c>
      <c r="AU12" s="5">
        <v>7</v>
      </c>
      <c r="AV12" s="1061" t="str">
        <f>IFERROR(INDEX(T08_Spells!$B$3:$B$407,MATCH(S03_Druid!AU12,T08_Spells!$DO$3:$DO$407,0),1),"")</f>
        <v>Transport via Plants</v>
      </c>
      <c r="AW12" s="1061"/>
      <c r="AX12" s="1061"/>
      <c r="AY12" s="1061"/>
      <c r="AZ12" s="1061"/>
      <c r="BA12" s="567"/>
      <c r="BB12" s="569" t="str">
        <f t="shared" si="6"/>
        <v/>
      </c>
      <c r="BC12" s="565">
        <f>IF(OR(BA12="●",BB12="●"),1+COUNTIF(BC$6:BC11,"&gt;0"),0)</f>
        <v>0</v>
      </c>
      <c r="BD12" s="5">
        <v>7</v>
      </c>
      <c r="BE12" s="1061" t="str">
        <f>IFERROR(INDEX(T08_Spells!$B$3:$B$407,MATCH(S03_Druid!BD12,T08_Spells!$DP$3:$DP$407,0),1),"")</f>
        <v/>
      </c>
      <c r="BF12" s="1061"/>
      <c r="BG12" s="1061"/>
      <c r="BH12" s="1061"/>
      <c r="BI12" s="1061"/>
      <c r="BJ12" s="567"/>
      <c r="BK12" s="569" t="str">
        <f t="shared" si="7"/>
        <v/>
      </c>
      <c r="BL12" s="565">
        <f>IF(OR(BJ12="●",BK12="●"),1+COUNTIF(BL$6:BL11,"&gt;0"),0)</f>
        <v>0</v>
      </c>
      <c r="BM12" s="5">
        <v>7</v>
      </c>
      <c r="BN12" s="1061" t="str">
        <f>IFERROR(INDEX(T08_Spells!$B$3:$B$407,MATCH(S03_Druid!BM12,T08_Spells!$DQ$3:$DQ$407,0),1),"")</f>
        <v/>
      </c>
      <c r="BO12" s="1061"/>
      <c r="BP12" s="1061"/>
      <c r="BQ12" s="1061"/>
      <c r="BR12" s="1061"/>
      <c r="BS12" s="567"/>
      <c r="BT12" s="569" t="str">
        <f t="shared" si="8"/>
        <v/>
      </c>
      <c r="BU12" s="565">
        <f>IF(OR(BS12="●",BT12="●"),1+COUNTIF(BU$6:BU11,"&gt;0"),0)</f>
        <v>0</v>
      </c>
      <c r="BV12" s="5">
        <v>7</v>
      </c>
      <c r="BW12" s="1061" t="str">
        <f>IFERROR(INDEX(T08_Spells!$B$3:$B$407,MATCH(S03_Druid!BV12,T08_Spells!$DR$3:$DR$407,0),1),"")</f>
        <v/>
      </c>
      <c r="BX12" s="1061"/>
      <c r="BY12" s="1061"/>
      <c r="BZ12" s="1061"/>
      <c r="CA12" s="1061"/>
      <c r="CB12" s="567"/>
      <c r="CC12" s="569" t="str">
        <f t="shared" si="9"/>
        <v/>
      </c>
      <c r="CD12" s="565">
        <f>IF(OR(CB12="●",CC12="●"),1+COUNTIF(CD$6:CD11,"&gt;0"),0)</f>
        <v>0</v>
      </c>
      <c r="CE12" s="565"/>
      <c r="CF12" s="565"/>
      <c r="CG12" s="565">
        <v>7</v>
      </c>
      <c r="CH12" s="566" t="str">
        <f t="shared" si="0"/>
        <v/>
      </c>
      <c r="CI12" s="565"/>
      <c r="CJ12" s="565"/>
      <c r="CK12" s="565"/>
    </row>
    <row r="13" spans="1:89" ht="21" x14ac:dyDescent="0.25">
      <c r="A13" s="120"/>
      <c r="B13" s="5">
        <v>8</v>
      </c>
      <c r="C13" s="1061" t="str">
        <f>IFERROR(INDEX(T08_Spells!$B$3:$B$407,MATCH(S03_Druid!B13,T08_Spells!$DJ$3:$DJ$407,0),1),"")</f>
        <v>Faerie Fire</v>
      </c>
      <c r="D13" s="1061"/>
      <c r="E13" s="1061"/>
      <c r="F13" s="1061"/>
      <c r="G13" s="1061"/>
      <c r="H13" s="567"/>
      <c r="I13" s="569" t="str">
        <f t="shared" si="1"/>
        <v/>
      </c>
      <c r="J13" s="565">
        <f>IF(OR(H13="●",I13="●"),1+COUNTIF(J$6:J12,"&gt;0"),0)</f>
        <v>0</v>
      </c>
      <c r="K13" s="5">
        <v>8</v>
      </c>
      <c r="L13" s="1061" t="str">
        <f>IFERROR(INDEX(T08_Spells!$B$3:$B$407,MATCH(S03_Druid!K13,T08_Spells!$DK$3:$DK$407,0),1),"")</f>
        <v>Flaming Sphere</v>
      </c>
      <c r="M13" s="1061"/>
      <c r="N13" s="1061"/>
      <c r="O13" s="1061"/>
      <c r="P13" s="1061"/>
      <c r="Q13" s="567"/>
      <c r="R13" s="569" t="str">
        <f t="shared" si="2"/>
        <v/>
      </c>
      <c r="S13" s="565">
        <f>IF(OR(Q13="●",R13="●"),1+COUNTIF(S$6:S12,"&gt;0"),0)</f>
        <v>0</v>
      </c>
      <c r="T13" s="5">
        <v>8</v>
      </c>
      <c r="U13" s="1061" t="str">
        <f>IFERROR(INDEX(T08_Spells!$B$3:$B$407,MATCH(S03_Druid!T13,T08_Spells!$DL$3:$DL$407,0),1),"")</f>
        <v>Protection from Energy</v>
      </c>
      <c r="V13" s="1061"/>
      <c r="W13" s="1061"/>
      <c r="X13" s="1061"/>
      <c r="Y13" s="1061"/>
      <c r="Z13" s="567"/>
      <c r="AA13" s="569" t="str">
        <f t="shared" si="3"/>
        <v/>
      </c>
      <c r="AB13" s="565">
        <f>IF(OR(Z13="●",AA13="●"),1+COUNTIF(AB$6:AB12,"&gt;0"),0)</f>
        <v>0</v>
      </c>
      <c r="AC13" s="5">
        <v>8</v>
      </c>
      <c r="AD13" s="1061" t="str">
        <f>IFERROR(INDEX(T08_Spells!$B$3:$B$407,MATCH(S03_Druid!AC13,T08_Spells!$DM$3:$DM$407,0),1),"")</f>
        <v>Giant Insect</v>
      </c>
      <c r="AE13" s="1061"/>
      <c r="AF13" s="1061"/>
      <c r="AG13" s="1061"/>
      <c r="AH13" s="1061"/>
      <c r="AI13" s="567"/>
      <c r="AJ13" s="569" t="str">
        <f t="shared" si="4"/>
        <v/>
      </c>
      <c r="AK13" s="565">
        <f>IF(OR(AI13="●",AJ13="●"),1+COUNTIF(AK$6:AK12,"&gt;0"),0)</f>
        <v>0</v>
      </c>
      <c r="AL13" s="5">
        <v>8</v>
      </c>
      <c r="AM13" s="1061" t="str">
        <f>IFERROR(INDEX(T08_Spells!$B$3:$B$407,MATCH(S03_Druid!AL13,T08_Spells!$DN$3:$DN$407,0),1),"")</f>
        <v>Insect Plague</v>
      </c>
      <c r="AN13" s="1061"/>
      <c r="AO13" s="1061"/>
      <c r="AP13" s="1061"/>
      <c r="AQ13" s="1061"/>
      <c r="AR13" s="567"/>
      <c r="AS13" s="569" t="str">
        <f t="shared" si="5"/>
        <v/>
      </c>
      <c r="AT13" s="565">
        <f>IF(OR(AR13="●",AS13="●"),1+COUNTIF(AT$6:AT12,"&gt;0"),0)</f>
        <v>0</v>
      </c>
      <c r="AU13" s="5">
        <v>8</v>
      </c>
      <c r="AV13" s="1061" t="str">
        <f>IFERROR(INDEX(T08_Spells!$B$3:$B$407,MATCH(S03_Druid!AU13,T08_Spells!$DO$3:$DO$407,0),1),"")</f>
        <v>Wall of Thorns</v>
      </c>
      <c r="AW13" s="1061"/>
      <c r="AX13" s="1061"/>
      <c r="AY13" s="1061"/>
      <c r="AZ13" s="1061"/>
      <c r="BA13" s="567"/>
      <c r="BB13" s="569" t="str">
        <f t="shared" si="6"/>
        <v/>
      </c>
      <c r="BC13" s="565">
        <f>IF(OR(BA13="●",BB13="●"),1+COUNTIF(BC$6:BC12,"&gt;0"),0)</f>
        <v>0</v>
      </c>
      <c r="BD13" s="5">
        <v>8</v>
      </c>
      <c r="BE13" s="1061" t="str">
        <f>IFERROR(INDEX(T08_Spells!$B$3:$B$407,MATCH(S03_Druid!BD13,T08_Spells!$DP$3:$DP$407,0),1),"")</f>
        <v/>
      </c>
      <c r="BF13" s="1061"/>
      <c r="BG13" s="1061"/>
      <c r="BH13" s="1061"/>
      <c r="BI13" s="1061"/>
      <c r="BJ13" s="567"/>
      <c r="BK13" s="569" t="str">
        <f t="shared" si="7"/>
        <v/>
      </c>
      <c r="BL13" s="565">
        <f>IF(OR(BJ13="●",BK13="●"),1+COUNTIF(BL$6:BL12,"&gt;0"),0)</f>
        <v>0</v>
      </c>
      <c r="BM13" s="5">
        <v>8</v>
      </c>
      <c r="BN13" s="1061" t="str">
        <f>IFERROR(INDEX(T08_Spells!$B$3:$B$407,MATCH(S03_Druid!BM13,T08_Spells!$DQ$3:$DQ$407,0),1),"")</f>
        <v/>
      </c>
      <c r="BO13" s="1061"/>
      <c r="BP13" s="1061"/>
      <c r="BQ13" s="1061"/>
      <c r="BR13" s="1061"/>
      <c r="BS13" s="567"/>
      <c r="BT13" s="569" t="str">
        <f t="shared" si="8"/>
        <v/>
      </c>
      <c r="BU13" s="565">
        <f>IF(OR(BS13="●",BT13="●"),1+COUNTIF(BU$6:BU12,"&gt;0"),0)</f>
        <v>0</v>
      </c>
      <c r="BV13" s="5">
        <v>8</v>
      </c>
      <c r="BW13" s="1061" t="str">
        <f>IFERROR(INDEX(T08_Spells!$B$3:$B$407,MATCH(S03_Druid!BV13,T08_Spells!$DR$3:$DR$407,0),1),"")</f>
        <v/>
      </c>
      <c r="BX13" s="1061"/>
      <c r="BY13" s="1061"/>
      <c r="BZ13" s="1061"/>
      <c r="CA13" s="1061"/>
      <c r="CB13" s="567"/>
      <c r="CC13" s="569" t="str">
        <f t="shared" si="9"/>
        <v/>
      </c>
      <c r="CD13" s="565">
        <f>IF(OR(CB13="●",CC13="●"),1+COUNTIF(CD$6:CD12,"&gt;0"),0)</f>
        <v>0</v>
      </c>
      <c r="CE13" s="565"/>
      <c r="CF13" s="565"/>
      <c r="CG13" s="565">
        <v>8</v>
      </c>
      <c r="CH13" s="566" t="str">
        <f t="shared" si="0"/>
        <v/>
      </c>
      <c r="CI13" s="565"/>
      <c r="CJ13" s="565"/>
      <c r="CK13" s="565"/>
    </row>
    <row r="14" spans="1:89" ht="21" x14ac:dyDescent="0.25">
      <c r="A14" s="120"/>
      <c r="B14" s="5">
        <v>9</v>
      </c>
      <c r="C14" s="1061" t="str">
        <f>IFERROR(INDEX(T08_Spells!$B$3:$B$407,MATCH(S03_Druid!B14,T08_Spells!$DJ$3:$DJ$407,0),1),"")</f>
        <v>Fog Cloud</v>
      </c>
      <c r="D14" s="1061"/>
      <c r="E14" s="1061"/>
      <c r="F14" s="1061"/>
      <c r="G14" s="1061"/>
      <c r="H14" s="567"/>
      <c r="I14" s="569" t="str">
        <f t="shared" si="1"/>
        <v/>
      </c>
      <c r="J14" s="565">
        <f>IF(OR(H14="●",I14="●"),1+COUNTIF(J$6:J13,"&gt;0"),0)</f>
        <v>0</v>
      </c>
      <c r="K14" s="5">
        <v>9</v>
      </c>
      <c r="L14" s="1061" t="str">
        <f>IFERROR(INDEX(T08_Spells!$B$3:$B$407,MATCH(S03_Druid!K14,T08_Spells!$DK$3:$DK$407,0),1),"")</f>
        <v>Gust of Wind</v>
      </c>
      <c r="M14" s="1061"/>
      <c r="N14" s="1061"/>
      <c r="O14" s="1061"/>
      <c r="P14" s="1061"/>
      <c r="Q14" s="567"/>
      <c r="R14" s="569" t="str">
        <f t="shared" si="2"/>
        <v/>
      </c>
      <c r="S14" s="565">
        <f>IF(OR(Q14="●",R14="●"),1+COUNTIF(S$6:S13,"&gt;0"),0)</f>
        <v>0</v>
      </c>
      <c r="T14" s="5">
        <v>9</v>
      </c>
      <c r="U14" s="1061" t="str">
        <f>IFERROR(INDEX(T08_Spells!$B$3:$B$407,MATCH(S03_Druid!T14,T08_Spells!$DL$3:$DL$407,0),1),"")</f>
        <v>Sleet Storm</v>
      </c>
      <c r="V14" s="1061"/>
      <c r="W14" s="1061"/>
      <c r="X14" s="1061"/>
      <c r="Y14" s="1061"/>
      <c r="Z14" s="567"/>
      <c r="AA14" s="569" t="str">
        <f t="shared" si="3"/>
        <v/>
      </c>
      <c r="AB14" s="565">
        <f>IF(OR(Z14="●",AA14="●"),1+COUNTIF(AB$6:AB13,"&gt;0"),0)</f>
        <v>0</v>
      </c>
      <c r="AC14" s="5">
        <v>9</v>
      </c>
      <c r="AD14" s="1061" t="str">
        <f>IFERROR(INDEX(T08_Spells!$B$3:$B$407,MATCH(S03_Druid!AC14,T08_Spells!$DM$3:$DM$407,0),1),"")</f>
        <v>Grasping Vine</v>
      </c>
      <c r="AE14" s="1061"/>
      <c r="AF14" s="1061"/>
      <c r="AG14" s="1061"/>
      <c r="AH14" s="1061"/>
      <c r="AI14" s="567"/>
      <c r="AJ14" s="569" t="str">
        <f t="shared" si="4"/>
        <v/>
      </c>
      <c r="AK14" s="565">
        <f>IF(OR(AI14="●",AJ14="●"),1+COUNTIF(AK$6:AK13,"&gt;0"),0)</f>
        <v>0</v>
      </c>
      <c r="AL14" s="5">
        <v>9</v>
      </c>
      <c r="AM14" s="1061" t="str">
        <f>IFERROR(INDEX(T08_Spells!$B$3:$B$407,MATCH(S03_Druid!AL14,T08_Spells!$DN$3:$DN$407,0),1),"")</f>
        <v>Mass Cure Wounds</v>
      </c>
      <c r="AN14" s="1061"/>
      <c r="AO14" s="1061"/>
      <c r="AP14" s="1061"/>
      <c r="AQ14" s="1061"/>
      <c r="AR14" s="567"/>
      <c r="AS14" s="569" t="str">
        <f t="shared" si="5"/>
        <v/>
      </c>
      <c r="AT14" s="565">
        <f>IF(OR(AR14="●",AS14="●"),1+COUNTIF(AT$6:AT13,"&gt;0"),0)</f>
        <v>0</v>
      </c>
      <c r="AU14" s="5">
        <v>9</v>
      </c>
      <c r="AV14" s="1061" t="str">
        <f>IFERROR(INDEX(T08_Spells!$B$3:$B$407,MATCH(S03_Druid!AU14,T08_Spells!$DO$3:$DO$407,0),1),"")</f>
        <v>Wind Walk</v>
      </c>
      <c r="AW14" s="1061"/>
      <c r="AX14" s="1061"/>
      <c r="AY14" s="1061"/>
      <c r="AZ14" s="1061"/>
      <c r="BA14" s="567"/>
      <c r="BB14" s="569" t="str">
        <f t="shared" si="6"/>
        <v/>
      </c>
      <c r="BC14" s="565">
        <f>IF(OR(BA14="●",BB14="●"),1+COUNTIF(BC$6:BC13,"&gt;0"),0)</f>
        <v>0</v>
      </c>
      <c r="BD14" s="5">
        <v>9</v>
      </c>
      <c r="BE14" s="1061" t="str">
        <f>IFERROR(INDEX(T08_Spells!$B$3:$B$407,MATCH(S03_Druid!BD14,T08_Spells!$DP$3:$DP$407,0),1),"")</f>
        <v/>
      </c>
      <c r="BF14" s="1061"/>
      <c r="BG14" s="1061"/>
      <c r="BH14" s="1061"/>
      <c r="BI14" s="1061"/>
      <c r="BJ14" s="567"/>
      <c r="BK14" s="569" t="str">
        <f t="shared" si="7"/>
        <v/>
      </c>
      <c r="BL14" s="565">
        <f>IF(OR(BJ14="●",BK14="●"),1+COUNTIF(BL$6:BL13,"&gt;0"),0)</f>
        <v>0</v>
      </c>
      <c r="BM14" s="5">
        <v>9</v>
      </c>
      <c r="BN14" s="1061" t="str">
        <f>IFERROR(INDEX(T08_Spells!$B$3:$B$407,MATCH(S03_Druid!BM14,T08_Spells!$DQ$3:$DQ$407,0),1),"")</f>
        <v/>
      </c>
      <c r="BO14" s="1061"/>
      <c r="BP14" s="1061"/>
      <c r="BQ14" s="1061"/>
      <c r="BR14" s="1061"/>
      <c r="BS14" s="567"/>
      <c r="BT14" s="569" t="str">
        <f t="shared" si="8"/>
        <v/>
      </c>
      <c r="BU14" s="565">
        <f>IF(OR(BS14="●",BT14="●"),1+COUNTIF(BU$6:BU13,"&gt;0"),0)</f>
        <v>0</v>
      </c>
      <c r="BV14" s="5">
        <v>9</v>
      </c>
      <c r="BW14" s="1061" t="str">
        <f>IFERROR(INDEX(T08_Spells!$B$3:$B$407,MATCH(S03_Druid!BV14,T08_Spells!$DR$3:$DR$407,0),1),"")</f>
        <v/>
      </c>
      <c r="BX14" s="1061"/>
      <c r="BY14" s="1061"/>
      <c r="BZ14" s="1061"/>
      <c r="CA14" s="1061"/>
      <c r="CB14" s="567"/>
      <c r="CC14" s="569" t="str">
        <f t="shared" si="9"/>
        <v/>
      </c>
      <c r="CD14" s="565">
        <f>IF(OR(CB14="●",CC14="●"),1+COUNTIF(CD$6:CD13,"&gt;0"),0)</f>
        <v>0</v>
      </c>
      <c r="CE14" s="565"/>
      <c r="CF14" s="565"/>
      <c r="CG14" s="565">
        <v>9</v>
      </c>
      <c r="CH14" s="566" t="str">
        <f t="shared" si="0"/>
        <v/>
      </c>
      <c r="CI14" s="565"/>
      <c r="CJ14" s="565"/>
      <c r="CK14" s="565"/>
    </row>
    <row r="15" spans="1:89" ht="21" x14ac:dyDescent="0.25">
      <c r="A15" s="120"/>
      <c r="B15" s="5">
        <v>10</v>
      </c>
      <c r="C15" s="1061" t="str">
        <f>IFERROR(INDEX(T08_Spells!$B$3:$B$407,MATCH(S03_Druid!B15,T08_Spells!$DJ$3:$DJ$407,0),1),"")</f>
        <v>Goodberry</v>
      </c>
      <c r="D15" s="1061"/>
      <c r="E15" s="1061"/>
      <c r="F15" s="1061"/>
      <c r="G15" s="1061"/>
      <c r="H15" s="567"/>
      <c r="I15" s="569" t="str">
        <f t="shared" si="1"/>
        <v/>
      </c>
      <c r="J15" s="565">
        <f>IF(OR(H15="●",I15="●"),1+COUNTIF(J$6:J14,"&gt;0"),0)</f>
        <v>0</v>
      </c>
      <c r="K15" s="5">
        <v>10</v>
      </c>
      <c r="L15" s="1061" t="str">
        <f>IFERROR(INDEX(T08_Spells!$B$3:$B$407,MATCH(S03_Druid!K15,T08_Spells!$DK$3:$DK$407,0),1),"")</f>
        <v>Heat Metal</v>
      </c>
      <c r="M15" s="1061"/>
      <c r="N15" s="1061"/>
      <c r="O15" s="1061"/>
      <c r="P15" s="1061"/>
      <c r="Q15" s="567"/>
      <c r="R15" s="569" t="str">
        <f t="shared" si="2"/>
        <v/>
      </c>
      <c r="S15" s="565">
        <f>IF(OR(Q15="●",R15="●"),1+COUNTIF(S$6:S14,"&gt;0"),0)</f>
        <v>0</v>
      </c>
      <c r="T15" s="5">
        <v>10</v>
      </c>
      <c r="U15" s="1061" t="str">
        <f>IFERROR(INDEX(T08_Spells!$B$3:$B$407,MATCH(S03_Druid!T15,T08_Spells!$DL$3:$DL$407,0),1),"")</f>
        <v>Speak with Plants</v>
      </c>
      <c r="V15" s="1061"/>
      <c r="W15" s="1061"/>
      <c r="X15" s="1061"/>
      <c r="Y15" s="1061"/>
      <c r="Z15" s="567"/>
      <c r="AA15" s="569" t="str">
        <f t="shared" si="3"/>
        <v/>
      </c>
      <c r="AB15" s="565">
        <f>IF(OR(Z15="●",AA15="●"),1+COUNTIF(AB$6:AB14,"&gt;0"),0)</f>
        <v>0</v>
      </c>
      <c r="AC15" s="5">
        <v>10</v>
      </c>
      <c r="AD15" s="1061" t="str">
        <f>IFERROR(INDEX(T08_Spells!$B$3:$B$407,MATCH(S03_Druid!AC15,T08_Spells!$DM$3:$DM$407,0),1),"")</f>
        <v>Hallucinatory Terrain</v>
      </c>
      <c r="AE15" s="1061"/>
      <c r="AF15" s="1061"/>
      <c r="AG15" s="1061"/>
      <c r="AH15" s="1061"/>
      <c r="AI15" s="567"/>
      <c r="AJ15" s="569" t="str">
        <f t="shared" si="4"/>
        <v/>
      </c>
      <c r="AK15" s="565">
        <f>IF(OR(AI15="●",AJ15="●"),1+COUNTIF(AK$6:AK14,"&gt;0"),0)</f>
        <v>0</v>
      </c>
      <c r="AL15" s="5">
        <v>10</v>
      </c>
      <c r="AM15" s="1061" t="str">
        <f>IFERROR(INDEX(T08_Spells!$B$3:$B$407,MATCH(S03_Druid!AL15,T08_Spells!$DN$3:$DN$407,0),1),"")</f>
        <v>Planar Binding</v>
      </c>
      <c r="AN15" s="1061"/>
      <c r="AO15" s="1061"/>
      <c r="AP15" s="1061"/>
      <c r="AQ15" s="1061"/>
      <c r="AR15" s="567"/>
      <c r="AS15" s="569" t="str">
        <f t="shared" si="5"/>
        <v/>
      </c>
      <c r="AT15" s="565">
        <f>IF(OR(AR15="●",AS15="●"),1+COUNTIF(AT$6:AT14,"&gt;0"),0)</f>
        <v>0</v>
      </c>
      <c r="AU15" s="5">
        <v>10</v>
      </c>
      <c r="AV15" s="1061" t="str">
        <f>IFERROR(INDEX(T08_Spells!$B$3:$B$407,MATCH(S03_Druid!AU15,T08_Spells!$DO$3:$DO$407,0),1),"")</f>
        <v>Bones of the Earth</v>
      </c>
      <c r="AW15" s="1061"/>
      <c r="AX15" s="1061"/>
      <c r="AY15" s="1061"/>
      <c r="AZ15" s="1061"/>
      <c r="BA15" s="567"/>
      <c r="BB15" s="569" t="str">
        <f t="shared" si="6"/>
        <v/>
      </c>
      <c r="BC15" s="565">
        <f>IF(OR(BA15="●",BB15="●"),1+COUNTIF(BC$6:BC14,"&gt;0"),0)</f>
        <v>0</v>
      </c>
      <c r="BD15" s="5">
        <v>10</v>
      </c>
      <c r="BE15" s="1061" t="str">
        <f>IFERROR(INDEX(T08_Spells!$B$3:$B$407,MATCH(S03_Druid!BD15,T08_Spells!$DP$3:$DP$407,0),1),"")</f>
        <v/>
      </c>
      <c r="BF15" s="1061"/>
      <c r="BG15" s="1061"/>
      <c r="BH15" s="1061"/>
      <c r="BI15" s="1061"/>
      <c r="BJ15" s="567"/>
      <c r="BK15" s="569" t="str">
        <f t="shared" si="7"/>
        <v/>
      </c>
      <c r="BL15" s="565">
        <f>IF(OR(BJ15="●",BK15="●"),1+COUNTIF(BL$6:BL14,"&gt;0"),0)</f>
        <v>0</v>
      </c>
      <c r="BM15" s="5">
        <v>10</v>
      </c>
      <c r="BN15" s="1061" t="str">
        <f>IFERROR(INDEX(T08_Spells!$B$3:$B$407,MATCH(S03_Druid!BM15,T08_Spells!$DQ$3:$DQ$407,0),1),"")</f>
        <v/>
      </c>
      <c r="BO15" s="1061"/>
      <c r="BP15" s="1061"/>
      <c r="BQ15" s="1061"/>
      <c r="BR15" s="1061"/>
      <c r="BS15" s="567"/>
      <c r="BT15" s="569" t="str">
        <f t="shared" si="8"/>
        <v/>
      </c>
      <c r="BU15" s="565">
        <f>IF(OR(BS15="●",BT15="●"),1+COUNTIF(BU$6:BU14,"&gt;0"),0)</f>
        <v>0</v>
      </c>
      <c r="BV15" s="5">
        <v>10</v>
      </c>
      <c r="BW15" s="1061" t="str">
        <f>IFERROR(INDEX(T08_Spells!$B$3:$B$407,MATCH(S03_Druid!BV15,T08_Spells!$DR$3:$DR$407,0),1),"")</f>
        <v/>
      </c>
      <c r="BX15" s="1061"/>
      <c r="BY15" s="1061"/>
      <c r="BZ15" s="1061"/>
      <c r="CA15" s="1061"/>
      <c r="CB15" s="567"/>
      <c r="CC15" s="569" t="str">
        <f t="shared" si="9"/>
        <v/>
      </c>
      <c r="CD15" s="565">
        <f>IF(OR(CB15="●",CC15="●"),1+COUNTIF(CD$6:CD14,"&gt;0"),0)</f>
        <v>0</v>
      </c>
      <c r="CE15" s="565"/>
      <c r="CF15" s="565"/>
      <c r="CG15" s="565"/>
      <c r="CH15" s="565"/>
      <c r="CI15" s="565"/>
      <c r="CJ15" s="565"/>
      <c r="CK15" s="565"/>
    </row>
    <row r="16" spans="1:89" ht="21" x14ac:dyDescent="0.25">
      <c r="A16" s="120"/>
      <c r="B16" s="5">
        <v>11</v>
      </c>
      <c r="C16" s="1061" t="str">
        <f>IFERROR(INDEX(T08_Spells!$B$3:$B$407,MATCH(S03_Druid!B16,T08_Spells!$DJ$3:$DJ$407,0),1),"")</f>
        <v>Healing Word</v>
      </c>
      <c r="D16" s="1061"/>
      <c r="E16" s="1061"/>
      <c r="F16" s="1061"/>
      <c r="G16" s="1061"/>
      <c r="H16" s="567"/>
      <c r="I16" s="569" t="str">
        <f t="shared" si="1"/>
        <v/>
      </c>
      <c r="J16" s="565">
        <f>IF(OR(H16="●",I16="●"),1+COUNTIF(J$6:J15,"&gt;0"),0)</f>
        <v>0</v>
      </c>
      <c r="K16" s="5">
        <v>11</v>
      </c>
      <c r="L16" s="1061" t="str">
        <f>IFERROR(INDEX(T08_Spells!$B$3:$B$407,MATCH(S03_Druid!K16,T08_Spells!$DK$3:$DK$407,0),1),"")</f>
        <v>Hold Person</v>
      </c>
      <c r="M16" s="1061"/>
      <c r="N16" s="1061"/>
      <c r="O16" s="1061"/>
      <c r="P16" s="1061"/>
      <c r="Q16" s="567"/>
      <c r="R16" s="569" t="str">
        <f t="shared" si="2"/>
        <v/>
      </c>
      <c r="S16" s="565">
        <f>IF(OR(Q16="●",R16="●"),1+COUNTIF(S$6:S15,"&gt;0"),0)</f>
        <v>0</v>
      </c>
      <c r="T16" s="5">
        <v>11</v>
      </c>
      <c r="U16" s="1061" t="str">
        <f>IFERROR(INDEX(T08_Spells!$B$3:$B$407,MATCH(S03_Druid!T16,T08_Spells!$DL$3:$DL$407,0),1),"")</f>
        <v>Water Breathing</v>
      </c>
      <c r="V16" s="1061"/>
      <c r="W16" s="1061"/>
      <c r="X16" s="1061"/>
      <c r="Y16" s="1061"/>
      <c r="Z16" s="567"/>
      <c r="AA16" s="569" t="str">
        <f t="shared" si="3"/>
        <v/>
      </c>
      <c r="AB16" s="565">
        <f>IF(OR(Z16="●",AA16="●"),1+COUNTIF(AB$6:AB15,"&gt;0"),0)</f>
        <v>0</v>
      </c>
      <c r="AC16" s="5">
        <v>11</v>
      </c>
      <c r="AD16" s="1061" t="str">
        <f>IFERROR(INDEX(T08_Spells!$B$3:$B$407,MATCH(S03_Druid!AC16,T08_Spells!$DM$3:$DM$407,0),1),"")</f>
        <v>Ice Storm</v>
      </c>
      <c r="AE16" s="1061"/>
      <c r="AF16" s="1061"/>
      <c r="AG16" s="1061"/>
      <c r="AH16" s="1061"/>
      <c r="AI16" s="567"/>
      <c r="AJ16" s="569" t="str">
        <f t="shared" si="4"/>
        <v/>
      </c>
      <c r="AK16" s="565">
        <f>IF(OR(AI16="●",AJ16="●"),1+COUNTIF(AK$6:AK15,"&gt;0"),0)</f>
        <v>0</v>
      </c>
      <c r="AL16" s="5">
        <v>11</v>
      </c>
      <c r="AM16" s="1061" t="str">
        <f>IFERROR(INDEX(T08_Spells!$B$3:$B$407,MATCH(S03_Druid!AL16,T08_Spells!$DN$3:$DN$407,0),1),"")</f>
        <v>Reincarnate</v>
      </c>
      <c r="AN16" s="1061"/>
      <c r="AO16" s="1061"/>
      <c r="AP16" s="1061"/>
      <c r="AQ16" s="1061"/>
      <c r="AR16" s="567"/>
      <c r="AS16" s="569" t="str">
        <f t="shared" si="5"/>
        <v/>
      </c>
      <c r="AT16" s="565">
        <f>IF(OR(AR16="●",AS16="●"),1+COUNTIF(AT$6:AT15,"&gt;0"),0)</f>
        <v>0</v>
      </c>
      <c r="AU16" s="5">
        <v>11</v>
      </c>
      <c r="AV16" s="1061" t="str">
        <f>IFERROR(INDEX(T08_Spells!$B$3:$B$407,MATCH(S03_Druid!AU16,T08_Spells!$DO$3:$DO$407,0),1),"")</f>
        <v>Investiture of Flame</v>
      </c>
      <c r="AW16" s="1061"/>
      <c r="AX16" s="1061"/>
      <c r="AY16" s="1061"/>
      <c r="AZ16" s="1061"/>
      <c r="BA16" s="567"/>
      <c r="BB16" s="569" t="str">
        <f t="shared" si="6"/>
        <v/>
      </c>
      <c r="BC16" s="565">
        <f>IF(OR(BA16="●",BB16="●"),1+COUNTIF(BC$6:BC15,"&gt;0"),0)</f>
        <v>0</v>
      </c>
      <c r="BD16" s="5">
        <v>11</v>
      </c>
      <c r="BE16" s="1061" t="str">
        <f>IFERROR(INDEX(T08_Spells!$B$3:$B$407,MATCH(S03_Druid!BD16,T08_Spells!$DP$3:$DP$407,0),1),"")</f>
        <v/>
      </c>
      <c r="BF16" s="1061"/>
      <c r="BG16" s="1061"/>
      <c r="BH16" s="1061"/>
      <c r="BI16" s="1061"/>
      <c r="BJ16" s="567"/>
      <c r="BK16" s="569" t="str">
        <f t="shared" si="7"/>
        <v/>
      </c>
      <c r="BL16" s="565">
        <f>IF(OR(BJ16="●",BK16="●"),1+COUNTIF(BL$6:BL15,"&gt;0"),0)</f>
        <v>0</v>
      </c>
      <c r="BM16" s="5">
        <v>11</v>
      </c>
      <c r="BN16" s="1061" t="str">
        <f>IFERROR(INDEX(T08_Spells!$B$3:$B$407,MATCH(S03_Druid!BM16,T08_Spells!$DQ$3:$DQ$407,0),1),"")</f>
        <v/>
      </c>
      <c r="BO16" s="1061"/>
      <c r="BP16" s="1061"/>
      <c r="BQ16" s="1061"/>
      <c r="BR16" s="1061"/>
      <c r="BS16" s="567"/>
      <c r="BT16" s="569" t="str">
        <f t="shared" si="8"/>
        <v/>
      </c>
      <c r="BU16" s="565">
        <f>IF(OR(BS16="●",BT16="●"),1+COUNTIF(BU$6:BU15,"&gt;0"),0)</f>
        <v>0</v>
      </c>
      <c r="BV16" s="5">
        <v>11</v>
      </c>
      <c r="BW16" s="1061" t="str">
        <f>IFERROR(INDEX(T08_Spells!$B$3:$B$407,MATCH(S03_Druid!BV16,T08_Spells!$DR$3:$DR$407,0),1),"")</f>
        <v/>
      </c>
      <c r="BX16" s="1061"/>
      <c r="BY16" s="1061"/>
      <c r="BZ16" s="1061"/>
      <c r="CA16" s="1061"/>
      <c r="CB16" s="567"/>
      <c r="CC16" s="569" t="str">
        <f t="shared" si="9"/>
        <v/>
      </c>
      <c r="CD16" s="565">
        <f>IF(OR(CB16="●",CC16="●"),1+COUNTIF(CD$6:CD15,"&gt;0"),0)</f>
        <v>0</v>
      </c>
      <c r="CE16" s="565"/>
      <c r="CF16" s="565"/>
      <c r="CG16" s="565"/>
      <c r="CH16" s="565"/>
      <c r="CI16" s="565"/>
      <c r="CJ16" s="565"/>
      <c r="CK16" s="565"/>
    </row>
    <row r="17" spans="1:89" ht="21" x14ac:dyDescent="0.25">
      <c r="A17" s="120"/>
      <c r="B17" s="5">
        <v>12</v>
      </c>
      <c r="C17" s="1061" t="str">
        <f>IFERROR(INDEX(T08_Spells!$B$3:$B$407,MATCH(S03_Druid!B17,T08_Spells!$DJ$3:$DJ$407,0),1),"")</f>
        <v>Jump</v>
      </c>
      <c r="D17" s="1061"/>
      <c r="E17" s="1061"/>
      <c r="F17" s="1061"/>
      <c r="G17" s="1061"/>
      <c r="H17" s="567"/>
      <c r="I17" s="569" t="str">
        <f t="shared" si="1"/>
        <v/>
      </c>
      <c r="J17" s="565">
        <f>IF(OR(H17="●",I17="●"),1+COUNTIF(J$6:J16,"&gt;0"),0)</f>
        <v>0</v>
      </c>
      <c r="K17" s="5">
        <v>12</v>
      </c>
      <c r="L17" s="1061" t="str">
        <f>IFERROR(INDEX(T08_Spells!$B$3:$B$407,MATCH(S03_Druid!K17,T08_Spells!$DK$3:$DK$407,0),1),"")</f>
        <v>Lesser Restoration</v>
      </c>
      <c r="M17" s="1061"/>
      <c r="N17" s="1061"/>
      <c r="O17" s="1061"/>
      <c r="P17" s="1061"/>
      <c r="Q17" s="567"/>
      <c r="R17" s="569" t="str">
        <f t="shared" si="2"/>
        <v/>
      </c>
      <c r="S17" s="565">
        <f>IF(OR(Q17="●",R17="●"),1+COUNTIF(S$6:S16,"&gt;0"),0)</f>
        <v>0</v>
      </c>
      <c r="T17" s="5">
        <v>12</v>
      </c>
      <c r="U17" s="1061" t="str">
        <f>IFERROR(INDEX(T08_Spells!$B$3:$B$407,MATCH(S03_Druid!T17,T08_Spells!$DL$3:$DL$407,0),1),"")</f>
        <v>Water Walk</v>
      </c>
      <c r="V17" s="1061"/>
      <c r="W17" s="1061"/>
      <c r="X17" s="1061"/>
      <c r="Y17" s="1061"/>
      <c r="Z17" s="567"/>
      <c r="AA17" s="569" t="str">
        <f t="shared" si="3"/>
        <v/>
      </c>
      <c r="AB17" s="565">
        <f>IF(OR(Z17="●",AA17="●"),1+COUNTIF(AB$6:AB16,"&gt;0"),0)</f>
        <v>0</v>
      </c>
      <c r="AC17" s="5">
        <v>12</v>
      </c>
      <c r="AD17" s="1061" t="str">
        <f>IFERROR(INDEX(T08_Spells!$B$3:$B$407,MATCH(S03_Druid!AC17,T08_Spells!$DM$3:$DM$407,0),1),"")</f>
        <v>Polymorph</v>
      </c>
      <c r="AE17" s="1061"/>
      <c r="AF17" s="1061"/>
      <c r="AG17" s="1061"/>
      <c r="AH17" s="1061"/>
      <c r="AI17" s="567"/>
      <c r="AJ17" s="569" t="str">
        <f t="shared" si="4"/>
        <v/>
      </c>
      <c r="AK17" s="565">
        <f>IF(OR(AI17="●",AJ17="●"),1+COUNTIF(AK$6:AK16,"&gt;0"),0)</f>
        <v>0</v>
      </c>
      <c r="AL17" s="5">
        <v>12</v>
      </c>
      <c r="AM17" s="1061" t="str">
        <f>IFERROR(INDEX(T08_Spells!$B$3:$B$407,MATCH(S03_Druid!AL17,T08_Spells!$DN$3:$DN$407,0),1),"")</f>
        <v>Scrying</v>
      </c>
      <c r="AN17" s="1061"/>
      <c r="AO17" s="1061"/>
      <c r="AP17" s="1061"/>
      <c r="AQ17" s="1061"/>
      <c r="AR17" s="567"/>
      <c r="AS17" s="569" t="str">
        <f t="shared" si="5"/>
        <v/>
      </c>
      <c r="AT17" s="565">
        <f>IF(OR(AR17="●",AS17="●"),1+COUNTIF(AT$6:AT16,"&gt;0"),0)</f>
        <v>0</v>
      </c>
      <c r="AU17" s="5">
        <v>12</v>
      </c>
      <c r="AV17" s="1061" t="str">
        <f>IFERROR(INDEX(T08_Spells!$B$3:$B$407,MATCH(S03_Druid!AU17,T08_Spells!$DO$3:$DO$407,0),1),"")</f>
        <v>Investiture of Ice</v>
      </c>
      <c r="AW17" s="1061"/>
      <c r="AX17" s="1061"/>
      <c r="AY17" s="1061"/>
      <c r="AZ17" s="1061"/>
      <c r="BA17" s="567"/>
      <c r="BB17" s="569" t="str">
        <f t="shared" si="6"/>
        <v/>
      </c>
      <c r="BC17" s="565">
        <f>IF(OR(BA17="●",BB17="●"),1+COUNTIF(BC$6:BC16,"&gt;0"),0)</f>
        <v>0</v>
      </c>
      <c r="BD17" s="5">
        <v>12</v>
      </c>
      <c r="BE17" s="1061" t="str">
        <f>IFERROR(INDEX(T08_Spells!$B$3:$B$407,MATCH(S03_Druid!BD17,T08_Spells!$DP$3:$DP$407,0),1),"")</f>
        <v/>
      </c>
      <c r="BF17" s="1061"/>
      <c r="BG17" s="1061"/>
      <c r="BH17" s="1061"/>
      <c r="BI17" s="1061"/>
      <c r="BJ17" s="567"/>
      <c r="BK17" s="569" t="str">
        <f t="shared" si="7"/>
        <v/>
      </c>
      <c r="BL17" s="565">
        <f>IF(OR(BJ17="●",BK17="●"),1+COUNTIF(BL$6:BL16,"&gt;0"),0)</f>
        <v>0</v>
      </c>
      <c r="BM17" s="5">
        <v>12</v>
      </c>
      <c r="BN17" s="1061" t="str">
        <f>IFERROR(INDEX(T08_Spells!$B$3:$B$407,MATCH(S03_Druid!BM17,T08_Spells!$DQ$3:$DQ$407,0),1),"")</f>
        <v/>
      </c>
      <c r="BO17" s="1061"/>
      <c r="BP17" s="1061"/>
      <c r="BQ17" s="1061"/>
      <c r="BR17" s="1061"/>
      <c r="BS17" s="567"/>
      <c r="BT17" s="569" t="str">
        <f t="shared" si="8"/>
        <v/>
      </c>
      <c r="BU17" s="565">
        <f>IF(OR(BS17="●",BT17="●"),1+COUNTIF(BU$6:BU16,"&gt;0"),0)</f>
        <v>0</v>
      </c>
      <c r="BV17" s="5">
        <v>12</v>
      </c>
      <c r="BW17" s="1061" t="str">
        <f>IFERROR(INDEX(T08_Spells!$B$3:$B$407,MATCH(S03_Druid!BV17,T08_Spells!$DR$3:$DR$407,0),1),"")</f>
        <v/>
      </c>
      <c r="BX17" s="1061"/>
      <c r="BY17" s="1061"/>
      <c r="BZ17" s="1061"/>
      <c r="CA17" s="1061"/>
      <c r="CB17" s="567"/>
      <c r="CC17" s="569" t="str">
        <f t="shared" si="9"/>
        <v/>
      </c>
      <c r="CD17" s="565">
        <f>IF(OR(CB17="●",CC17="●"),1+COUNTIF(CD$6:CD16,"&gt;0"),0)</f>
        <v>0</v>
      </c>
      <c r="CE17" s="565"/>
      <c r="CF17" s="565"/>
      <c r="CG17" s="565"/>
      <c r="CH17" s="565"/>
      <c r="CI17" s="565"/>
      <c r="CJ17" s="565"/>
      <c r="CK17" s="565"/>
    </row>
    <row r="18" spans="1:89" ht="21" x14ac:dyDescent="0.25">
      <c r="A18" s="120"/>
      <c r="B18" s="5">
        <v>13</v>
      </c>
      <c r="C18" s="1061" t="str">
        <f>IFERROR(INDEX(T08_Spells!$B$3:$B$407,MATCH(S03_Druid!B18,T08_Spells!$DJ$3:$DJ$407,0),1),"")</f>
        <v>Longstrider</v>
      </c>
      <c r="D18" s="1061"/>
      <c r="E18" s="1061"/>
      <c r="F18" s="1061"/>
      <c r="G18" s="1061"/>
      <c r="H18" s="567"/>
      <c r="I18" s="569" t="str">
        <f t="shared" si="1"/>
        <v/>
      </c>
      <c r="J18" s="565">
        <f>IF(OR(H18="●",I18="●"),1+COUNTIF(J$6:J17,"&gt;0"),0)</f>
        <v>0</v>
      </c>
      <c r="K18" s="5">
        <v>13</v>
      </c>
      <c r="L18" s="1061" t="str">
        <f>IFERROR(INDEX(T08_Spells!$B$3:$B$407,MATCH(S03_Druid!K18,T08_Spells!$DK$3:$DK$407,0),1),"")</f>
        <v>Locate Animals or Plants</v>
      </c>
      <c r="M18" s="1061"/>
      <c r="N18" s="1061"/>
      <c r="O18" s="1061"/>
      <c r="P18" s="1061"/>
      <c r="Q18" s="567"/>
      <c r="R18" s="569" t="str">
        <f t="shared" si="2"/>
        <v/>
      </c>
      <c r="S18" s="565">
        <f>IF(OR(Q18="●",R18="●"),1+COUNTIF(S$6:S17,"&gt;0"),0)</f>
        <v>0</v>
      </c>
      <c r="T18" s="5">
        <v>13</v>
      </c>
      <c r="U18" s="1061" t="str">
        <f>IFERROR(INDEX(T08_Spells!$B$3:$B$407,MATCH(S03_Druid!T18,T08_Spells!$DL$3:$DL$407,0),1),"")</f>
        <v>Wind Wall</v>
      </c>
      <c r="V18" s="1061"/>
      <c r="W18" s="1061"/>
      <c r="X18" s="1061"/>
      <c r="Y18" s="1061"/>
      <c r="Z18" s="567"/>
      <c r="AA18" s="569" t="str">
        <f t="shared" si="3"/>
        <v/>
      </c>
      <c r="AB18" s="565">
        <f>IF(OR(Z18="●",AA18="●"),1+COUNTIF(AB$6:AB17,"&gt;0"),0)</f>
        <v>0</v>
      </c>
      <c r="AC18" s="5">
        <v>13</v>
      </c>
      <c r="AD18" s="1061" t="str">
        <f>IFERROR(INDEX(T08_Spells!$B$3:$B$407,MATCH(S03_Druid!AC18,T08_Spells!$DM$3:$DM$407,0),1),"")</f>
        <v>Stone Shape</v>
      </c>
      <c r="AE18" s="1061"/>
      <c r="AF18" s="1061"/>
      <c r="AG18" s="1061"/>
      <c r="AH18" s="1061"/>
      <c r="AI18" s="567"/>
      <c r="AJ18" s="569" t="str">
        <f t="shared" si="4"/>
        <v/>
      </c>
      <c r="AK18" s="565">
        <f>IF(OR(AI18="●",AJ18="●"),1+COUNTIF(AK$6:AK17,"&gt;0"),0)</f>
        <v>0</v>
      </c>
      <c r="AL18" s="5">
        <v>13</v>
      </c>
      <c r="AM18" s="1061" t="str">
        <f>IFERROR(INDEX(T08_Spells!$B$3:$B$407,MATCH(S03_Druid!AL18,T08_Spells!$DN$3:$DN$407,0),1),"")</f>
        <v>Tree Stride</v>
      </c>
      <c r="AN18" s="1061"/>
      <c r="AO18" s="1061"/>
      <c r="AP18" s="1061"/>
      <c r="AQ18" s="1061"/>
      <c r="AR18" s="567"/>
      <c r="AS18" s="569" t="str">
        <f t="shared" si="5"/>
        <v/>
      </c>
      <c r="AT18" s="565">
        <f>IF(OR(AR18="●",AS18="●"),1+COUNTIF(AT$6:AT17,"&gt;0"),0)</f>
        <v>0</v>
      </c>
      <c r="AU18" s="5">
        <v>13</v>
      </c>
      <c r="AV18" s="1061" t="str">
        <f>IFERROR(INDEX(T08_Spells!$B$3:$B$407,MATCH(S03_Druid!AU18,T08_Spells!$DO$3:$DO$407,0),1),"")</f>
        <v>Investiture of Stone</v>
      </c>
      <c r="AW18" s="1061"/>
      <c r="AX18" s="1061"/>
      <c r="AY18" s="1061"/>
      <c r="AZ18" s="1061"/>
      <c r="BA18" s="567"/>
      <c r="BB18" s="569" t="str">
        <f t="shared" si="6"/>
        <v/>
      </c>
      <c r="BC18" s="565">
        <f>IF(OR(BA18="●",BB18="●"),1+COUNTIF(BC$6:BC17,"&gt;0"),0)</f>
        <v>0</v>
      </c>
      <c r="BD18" s="5">
        <v>13</v>
      </c>
      <c r="BE18" s="1061" t="str">
        <f>IFERROR(INDEX(T08_Spells!$B$3:$B$407,MATCH(S03_Druid!BD18,T08_Spells!$DP$3:$DP$407,0),1),"")</f>
        <v/>
      </c>
      <c r="BF18" s="1061"/>
      <c r="BG18" s="1061"/>
      <c r="BH18" s="1061"/>
      <c r="BI18" s="1061"/>
      <c r="BJ18" s="567"/>
      <c r="BK18" s="569" t="str">
        <f t="shared" si="7"/>
        <v/>
      </c>
      <c r="BL18" s="565">
        <f>IF(OR(BJ18="●",BK18="●"),1+COUNTIF(BL$6:BL17,"&gt;0"),0)</f>
        <v>0</v>
      </c>
      <c r="BM18" s="5">
        <v>13</v>
      </c>
      <c r="BN18" s="1061" t="str">
        <f>IFERROR(INDEX(T08_Spells!$B$3:$B$407,MATCH(S03_Druid!BM18,T08_Spells!$DQ$3:$DQ$407,0),1),"")</f>
        <v/>
      </c>
      <c r="BO18" s="1061"/>
      <c r="BP18" s="1061"/>
      <c r="BQ18" s="1061"/>
      <c r="BR18" s="1061"/>
      <c r="BS18" s="567"/>
      <c r="BT18" s="569" t="str">
        <f t="shared" si="8"/>
        <v/>
      </c>
      <c r="BU18" s="565">
        <f>IF(OR(BS18="●",BT18="●"),1+COUNTIF(BU$6:BU17,"&gt;0"),0)</f>
        <v>0</v>
      </c>
      <c r="BV18" s="5">
        <v>13</v>
      </c>
      <c r="BW18" s="1061" t="str">
        <f>IFERROR(INDEX(T08_Spells!$B$3:$B$407,MATCH(S03_Druid!BV18,T08_Spells!$DR$3:$DR$407,0),1),"")</f>
        <v/>
      </c>
      <c r="BX18" s="1061"/>
      <c r="BY18" s="1061"/>
      <c r="BZ18" s="1061"/>
      <c r="CA18" s="1061"/>
      <c r="CB18" s="567"/>
      <c r="CC18" s="569" t="str">
        <f t="shared" si="9"/>
        <v/>
      </c>
      <c r="CD18" s="565">
        <f>IF(OR(CB18="●",CC18="●"),1+COUNTIF(CD$6:CD17,"&gt;0"),0)</f>
        <v>0</v>
      </c>
      <c r="CE18" s="565"/>
      <c r="CF18" s="565"/>
      <c r="CG18" s="565"/>
      <c r="CH18" s="565"/>
      <c r="CI18" s="565"/>
      <c r="CJ18" s="565"/>
      <c r="CK18" s="565"/>
    </row>
    <row r="19" spans="1:89" ht="21" x14ac:dyDescent="0.25">
      <c r="A19" s="120"/>
      <c r="B19" s="5">
        <v>14</v>
      </c>
      <c r="C19" s="1061" t="str">
        <f>IFERROR(INDEX(T08_Spells!$B$3:$B$407,MATCH(S03_Druid!B19,T08_Spells!$DJ$3:$DJ$407,0),1),"")</f>
        <v>Purify Food and Drink</v>
      </c>
      <c r="D19" s="1061"/>
      <c r="E19" s="1061"/>
      <c r="F19" s="1061"/>
      <c r="G19" s="1061"/>
      <c r="H19" s="567"/>
      <c r="I19" s="569" t="str">
        <f t="shared" si="1"/>
        <v/>
      </c>
      <c r="J19" s="565">
        <f>IF(OR(H19="●",I19="●"),1+COUNTIF(J$6:J18,"&gt;0"),0)</f>
        <v>0</v>
      </c>
      <c r="K19" s="5">
        <v>14</v>
      </c>
      <c r="L19" s="1061" t="str">
        <f>IFERROR(INDEX(T08_Spells!$B$3:$B$407,MATCH(S03_Druid!K19,T08_Spells!$DK$3:$DK$407,0),1),"")</f>
        <v>Moonbeam</v>
      </c>
      <c r="M19" s="1061"/>
      <c r="N19" s="1061"/>
      <c r="O19" s="1061"/>
      <c r="P19" s="1061"/>
      <c r="Q19" s="567"/>
      <c r="R19" s="569" t="str">
        <f t="shared" si="2"/>
        <v/>
      </c>
      <c r="S19" s="565">
        <f>IF(OR(Q19="●",R19="●"),1+COUNTIF(S$6:S18,"&gt;0"),0)</f>
        <v>0</v>
      </c>
      <c r="T19" s="5">
        <v>14</v>
      </c>
      <c r="U19" s="1061" t="str">
        <f>IFERROR(INDEX(T08_Spells!$B$3:$B$407,MATCH(S03_Druid!T19,T08_Spells!$DL$3:$DL$407,0),1),"")</f>
        <v>Erupting Earth</v>
      </c>
      <c r="V19" s="1061"/>
      <c r="W19" s="1061"/>
      <c r="X19" s="1061"/>
      <c r="Y19" s="1061"/>
      <c r="Z19" s="567"/>
      <c r="AA19" s="569" t="str">
        <f t="shared" si="3"/>
        <v/>
      </c>
      <c r="AB19" s="565">
        <f>IF(OR(Z19="●",AA19="●"),1+COUNTIF(AB$6:AB18,"&gt;0"),0)</f>
        <v>0</v>
      </c>
      <c r="AC19" s="5">
        <v>14</v>
      </c>
      <c r="AD19" s="1061" t="str">
        <f>IFERROR(INDEX(T08_Spells!$B$3:$B$407,MATCH(S03_Druid!AC19,T08_Spells!$DM$3:$DM$407,0),1),"")</f>
        <v>Stoneskin</v>
      </c>
      <c r="AE19" s="1061"/>
      <c r="AF19" s="1061"/>
      <c r="AG19" s="1061"/>
      <c r="AH19" s="1061"/>
      <c r="AI19" s="567"/>
      <c r="AJ19" s="569" t="str">
        <f t="shared" si="4"/>
        <v/>
      </c>
      <c r="AK19" s="565">
        <f>IF(OR(AI19="●",AJ19="●"),1+COUNTIF(AK$6:AK18,"&gt;0"),0)</f>
        <v>0</v>
      </c>
      <c r="AL19" s="5">
        <v>14</v>
      </c>
      <c r="AM19" s="1061" t="str">
        <f>IFERROR(INDEX(T08_Spells!$B$3:$B$407,MATCH(S03_Druid!AL19,T08_Spells!$DN$3:$DN$407,0),1),"")</f>
        <v>Wall of Stone</v>
      </c>
      <c r="AN19" s="1061"/>
      <c r="AO19" s="1061"/>
      <c r="AP19" s="1061"/>
      <c r="AQ19" s="1061"/>
      <c r="AR19" s="567"/>
      <c r="AS19" s="569" t="str">
        <f t="shared" si="5"/>
        <v/>
      </c>
      <c r="AT19" s="565">
        <f>IF(OR(AR19="●",AS19="●"),1+COUNTIF(AT$6:AT18,"&gt;0"),0)</f>
        <v>0</v>
      </c>
      <c r="AU19" s="5">
        <v>14</v>
      </c>
      <c r="AV19" s="1061" t="str">
        <f>IFERROR(INDEX(T08_Spells!$B$3:$B$407,MATCH(S03_Druid!AU19,T08_Spells!$DO$3:$DO$407,0),1),"")</f>
        <v>Investiture of Wind</v>
      </c>
      <c r="AW19" s="1061"/>
      <c r="AX19" s="1061"/>
      <c r="AY19" s="1061"/>
      <c r="AZ19" s="1061"/>
      <c r="BA19" s="567"/>
      <c r="BB19" s="569" t="str">
        <f t="shared" si="6"/>
        <v/>
      </c>
      <c r="BC19" s="565">
        <f>IF(OR(BA19="●",BB19="●"),1+COUNTIF(BC$6:BC18,"&gt;0"),0)</f>
        <v>0</v>
      </c>
      <c r="BD19" s="5">
        <v>14</v>
      </c>
      <c r="BE19" s="1061" t="str">
        <f>IFERROR(INDEX(T08_Spells!$B$3:$B$407,MATCH(S03_Druid!BD19,T08_Spells!$DP$3:$DP$407,0),1),"")</f>
        <v/>
      </c>
      <c r="BF19" s="1061"/>
      <c r="BG19" s="1061"/>
      <c r="BH19" s="1061"/>
      <c r="BI19" s="1061"/>
      <c r="BJ19" s="567"/>
      <c r="BK19" s="569" t="str">
        <f t="shared" si="7"/>
        <v/>
      </c>
      <c r="BL19" s="565">
        <f>IF(OR(BJ19="●",BK19="●"),1+COUNTIF(BL$6:BL18,"&gt;0"),0)</f>
        <v>0</v>
      </c>
      <c r="BM19" s="5">
        <v>14</v>
      </c>
      <c r="BN19" s="1061" t="str">
        <f>IFERROR(INDEX(T08_Spells!$B$3:$B$407,MATCH(S03_Druid!BM19,T08_Spells!$DQ$3:$DQ$407,0),1),"")</f>
        <v/>
      </c>
      <c r="BO19" s="1061"/>
      <c r="BP19" s="1061"/>
      <c r="BQ19" s="1061"/>
      <c r="BR19" s="1061"/>
      <c r="BS19" s="567"/>
      <c r="BT19" s="569" t="str">
        <f t="shared" si="8"/>
        <v/>
      </c>
      <c r="BU19" s="565">
        <f>IF(OR(BS19="●",BT19="●"),1+COUNTIF(BU$6:BU18,"&gt;0"),0)</f>
        <v>0</v>
      </c>
      <c r="BV19" s="5">
        <v>14</v>
      </c>
      <c r="BW19" s="1061" t="str">
        <f>IFERROR(INDEX(T08_Spells!$B$3:$B$407,MATCH(S03_Druid!BV19,T08_Spells!$DR$3:$DR$407,0),1),"")</f>
        <v/>
      </c>
      <c r="BX19" s="1061"/>
      <c r="BY19" s="1061"/>
      <c r="BZ19" s="1061"/>
      <c r="CA19" s="1061"/>
      <c r="CB19" s="567"/>
      <c r="CC19" s="569" t="str">
        <f t="shared" si="9"/>
        <v/>
      </c>
      <c r="CD19" s="565">
        <f>IF(OR(CB19="●",CC19="●"),1+COUNTIF(CD$6:CD18,"&gt;0"),0)</f>
        <v>0</v>
      </c>
      <c r="CE19" s="565"/>
      <c r="CF19" s="565"/>
      <c r="CG19" s="565"/>
      <c r="CH19" s="565"/>
      <c r="CI19" s="565"/>
      <c r="CJ19" s="565"/>
      <c r="CK19" s="565"/>
    </row>
    <row r="20" spans="1:89" ht="21" x14ac:dyDescent="0.25">
      <c r="A20" s="120"/>
      <c r="B20" s="5">
        <v>15</v>
      </c>
      <c r="C20" s="1061" t="str">
        <f>IFERROR(INDEX(T08_Spells!$B$3:$B$407,MATCH(S03_Druid!B20,T08_Spells!$DJ$3:$DJ$407,0),1),"")</f>
        <v>Speak with Animals</v>
      </c>
      <c r="D20" s="1061"/>
      <c r="E20" s="1061"/>
      <c r="F20" s="1061"/>
      <c r="G20" s="1061"/>
      <c r="H20" s="567"/>
      <c r="I20" s="569" t="str">
        <f t="shared" si="1"/>
        <v/>
      </c>
      <c r="J20" s="565">
        <f>IF(OR(H20="●",I20="●"),1+COUNTIF(J$6:J19,"&gt;0"),0)</f>
        <v>0</v>
      </c>
      <c r="K20" s="5">
        <v>15</v>
      </c>
      <c r="L20" s="1061" t="str">
        <f>IFERROR(INDEX(T08_Spells!$B$3:$B$407,MATCH(S03_Druid!K20,T08_Spells!$DK$3:$DK$407,0),1),"")</f>
        <v>Pass without Trace</v>
      </c>
      <c r="M20" s="1061"/>
      <c r="N20" s="1061"/>
      <c r="O20" s="1061"/>
      <c r="P20" s="1061"/>
      <c r="Q20" s="567"/>
      <c r="R20" s="569" t="str">
        <f t="shared" si="2"/>
        <v/>
      </c>
      <c r="S20" s="565">
        <f>IF(OR(Q20="●",R20="●"),1+COUNTIF(S$6:S19,"&gt;0"),0)</f>
        <v>0</v>
      </c>
      <c r="T20" s="5">
        <v>15</v>
      </c>
      <c r="U20" s="1061" t="str">
        <f>IFERROR(INDEX(T08_Spells!$B$3:$B$407,MATCH(S03_Druid!T20,T08_Spells!$DL$3:$DL$407,0),1),"")</f>
        <v>Flame Arrows</v>
      </c>
      <c r="V20" s="1061"/>
      <c r="W20" s="1061"/>
      <c r="X20" s="1061"/>
      <c r="Y20" s="1061"/>
      <c r="Z20" s="567"/>
      <c r="AA20" s="569" t="str">
        <f t="shared" si="3"/>
        <v/>
      </c>
      <c r="AB20" s="565">
        <f>IF(OR(Z20="●",AA20="●"),1+COUNTIF(AB$6:AB19,"&gt;0"),0)</f>
        <v>0</v>
      </c>
      <c r="AC20" s="5">
        <v>15</v>
      </c>
      <c r="AD20" s="1061" t="str">
        <f>IFERROR(INDEX(T08_Spells!$B$3:$B$407,MATCH(S03_Druid!AC20,T08_Spells!$DM$3:$DM$407,0),1),"")</f>
        <v>Wall of Fire</v>
      </c>
      <c r="AE20" s="1061"/>
      <c r="AF20" s="1061"/>
      <c r="AG20" s="1061"/>
      <c r="AH20" s="1061"/>
      <c r="AI20" s="567"/>
      <c r="AJ20" s="569" t="str">
        <f t="shared" si="4"/>
        <v/>
      </c>
      <c r="AK20" s="565">
        <f>IF(OR(AI20="●",AJ20="●"),1+COUNTIF(AK$6:AK19,"&gt;0"),0)</f>
        <v>0</v>
      </c>
      <c r="AL20" s="5">
        <v>15</v>
      </c>
      <c r="AM20" s="1061" t="str">
        <f>IFERROR(INDEX(T08_Spells!$B$3:$B$407,MATCH(S03_Druid!AL20,T08_Spells!$DN$3:$DN$407,0),1),"")</f>
        <v>Control Winds</v>
      </c>
      <c r="AN20" s="1061"/>
      <c r="AO20" s="1061"/>
      <c r="AP20" s="1061"/>
      <c r="AQ20" s="1061"/>
      <c r="AR20" s="567"/>
      <c r="AS20" s="569" t="str">
        <f t="shared" si="5"/>
        <v/>
      </c>
      <c r="AT20" s="565">
        <f>IF(OR(AR20="●",AS20="●"),1+COUNTIF(AT$6:AT19,"&gt;0"),0)</f>
        <v>0</v>
      </c>
      <c r="AU20" s="5">
        <v>15</v>
      </c>
      <c r="AV20" s="1061" t="str">
        <f>IFERROR(INDEX(T08_Spells!$B$3:$B$407,MATCH(S03_Druid!AU20,T08_Spells!$DO$3:$DO$407,0),1),"")</f>
        <v>Primordial Ward</v>
      </c>
      <c r="AW20" s="1061"/>
      <c r="AX20" s="1061"/>
      <c r="AY20" s="1061"/>
      <c r="AZ20" s="1061"/>
      <c r="BA20" s="567"/>
      <c r="BB20" s="569" t="str">
        <f t="shared" si="6"/>
        <v/>
      </c>
      <c r="BC20" s="565">
        <f>IF(OR(BA20="●",BB20="●"),1+COUNTIF(BC$6:BC19,"&gt;0"),0)</f>
        <v>0</v>
      </c>
      <c r="BD20" s="5">
        <v>15</v>
      </c>
      <c r="BE20" s="1061" t="str">
        <f>IFERROR(INDEX(T08_Spells!$B$3:$B$407,MATCH(S03_Druid!BD20,T08_Spells!$DP$3:$DP$407,0),1),"")</f>
        <v/>
      </c>
      <c r="BF20" s="1061"/>
      <c r="BG20" s="1061"/>
      <c r="BH20" s="1061"/>
      <c r="BI20" s="1061"/>
      <c r="BJ20" s="567"/>
      <c r="BK20" s="569" t="str">
        <f t="shared" si="7"/>
        <v/>
      </c>
      <c r="BL20" s="565">
        <f>IF(OR(BJ20="●",BK20="●"),1+COUNTIF(BL$6:BL19,"&gt;0"),0)</f>
        <v>0</v>
      </c>
      <c r="BM20" s="5">
        <v>15</v>
      </c>
      <c r="BN20" s="1061" t="str">
        <f>IFERROR(INDEX(T08_Spells!$B$3:$B$407,MATCH(S03_Druid!BM20,T08_Spells!$DQ$3:$DQ$407,0),1),"")</f>
        <v/>
      </c>
      <c r="BO20" s="1061"/>
      <c r="BP20" s="1061"/>
      <c r="BQ20" s="1061"/>
      <c r="BR20" s="1061"/>
      <c r="BS20" s="567"/>
      <c r="BT20" s="569" t="str">
        <f t="shared" si="8"/>
        <v/>
      </c>
      <c r="BU20" s="565">
        <f>IF(OR(BS20="●",BT20="●"),1+COUNTIF(BU$6:BU19,"&gt;0"),0)</f>
        <v>0</v>
      </c>
      <c r="BV20" s="5">
        <v>15</v>
      </c>
      <c r="BW20" s="1061" t="str">
        <f>IFERROR(INDEX(T08_Spells!$B$3:$B$407,MATCH(S03_Druid!BV20,T08_Spells!$DR$3:$DR$407,0),1),"")</f>
        <v/>
      </c>
      <c r="BX20" s="1061"/>
      <c r="BY20" s="1061"/>
      <c r="BZ20" s="1061"/>
      <c r="CA20" s="1061"/>
      <c r="CB20" s="567"/>
      <c r="CC20" s="569" t="str">
        <f t="shared" si="9"/>
        <v/>
      </c>
      <c r="CD20" s="565">
        <f>IF(OR(CB20="●",CC20="●"),1+COUNTIF(CD$6:CD19,"&gt;0"),0)</f>
        <v>0</v>
      </c>
      <c r="CE20" s="565"/>
      <c r="CF20" s="565"/>
      <c r="CG20" s="565"/>
      <c r="CH20" s="565"/>
      <c r="CI20" s="565"/>
      <c r="CJ20" s="565"/>
      <c r="CK20" s="565"/>
    </row>
    <row r="21" spans="1:89" ht="21" x14ac:dyDescent="0.25">
      <c r="A21" s="120"/>
      <c r="B21" s="5">
        <v>16</v>
      </c>
      <c r="C21" s="1061" t="str">
        <f>IFERROR(INDEX(T08_Spells!$B$3:$B$407,MATCH(S03_Druid!B21,T08_Spells!$DJ$3:$DJ$407,0),1),"")</f>
        <v>Thunderwave</v>
      </c>
      <c r="D21" s="1061"/>
      <c r="E21" s="1061"/>
      <c r="F21" s="1061"/>
      <c r="G21" s="1061"/>
      <c r="H21" s="567"/>
      <c r="I21" s="569" t="str">
        <f t="shared" si="1"/>
        <v/>
      </c>
      <c r="J21" s="565">
        <f>IF(OR(H21="●",I21="●"),1+COUNTIF(J$6:J20,"&gt;0"),0)</f>
        <v>0</v>
      </c>
      <c r="K21" s="5">
        <v>16</v>
      </c>
      <c r="L21" s="1061" t="str">
        <f>IFERROR(INDEX(T08_Spells!$B$3:$B$407,MATCH(S03_Druid!K21,T08_Spells!$DK$3:$DK$407,0),1),"")</f>
        <v>Protection from Poison</v>
      </c>
      <c r="M21" s="1061"/>
      <c r="N21" s="1061"/>
      <c r="O21" s="1061"/>
      <c r="P21" s="1061"/>
      <c r="Q21" s="567"/>
      <c r="R21" s="569" t="str">
        <f t="shared" si="2"/>
        <v/>
      </c>
      <c r="S21" s="565">
        <f>IF(OR(Q21="●",R21="●"),1+COUNTIF(S$6:S20,"&gt;0"),0)</f>
        <v>0</v>
      </c>
      <c r="T21" s="5">
        <v>16</v>
      </c>
      <c r="U21" s="1061" t="str">
        <f>IFERROR(INDEX(T08_Spells!$B$3:$B$407,MATCH(S03_Druid!T21,T08_Spells!$DL$3:$DL$407,0),1),"")</f>
        <v>Tidal Wave</v>
      </c>
      <c r="V21" s="1061"/>
      <c r="W21" s="1061"/>
      <c r="X21" s="1061"/>
      <c r="Y21" s="1061"/>
      <c r="Z21" s="567"/>
      <c r="AA21" s="569" t="str">
        <f t="shared" si="3"/>
        <v/>
      </c>
      <c r="AB21" s="565">
        <f>IF(OR(Z21="●",AA21="●"),1+COUNTIF(AB$6:AB20,"&gt;0"),0)</f>
        <v>0</v>
      </c>
      <c r="AC21" s="5">
        <v>16</v>
      </c>
      <c r="AD21" s="1061" t="str">
        <f>IFERROR(INDEX(T08_Spells!$B$3:$B$407,MATCH(S03_Druid!AC21,T08_Spells!$DM$3:$DM$407,0),1),"")</f>
        <v>Elemental Bane</v>
      </c>
      <c r="AE21" s="1061"/>
      <c r="AF21" s="1061"/>
      <c r="AG21" s="1061"/>
      <c r="AH21" s="1061"/>
      <c r="AI21" s="567"/>
      <c r="AJ21" s="569" t="str">
        <f t="shared" si="4"/>
        <v/>
      </c>
      <c r="AK21" s="565">
        <f>IF(OR(AI21="●",AJ21="●"),1+COUNTIF(AK$6:AK20,"&gt;0"),0)</f>
        <v>0</v>
      </c>
      <c r="AL21" s="5">
        <v>16</v>
      </c>
      <c r="AM21" s="1061" t="str">
        <f>IFERROR(INDEX(T08_Spells!$B$3:$B$407,MATCH(S03_Druid!AL21,T08_Spells!$DN$3:$DN$407,0),1),"")</f>
        <v>Maelstrom</v>
      </c>
      <c r="AN21" s="1061"/>
      <c r="AO21" s="1061"/>
      <c r="AP21" s="1061"/>
      <c r="AQ21" s="1061"/>
      <c r="AR21" s="567"/>
      <c r="AS21" s="569" t="str">
        <f t="shared" si="5"/>
        <v/>
      </c>
      <c r="AT21" s="565">
        <f>IF(OR(AR21="●",AS21="●"),1+COUNTIF(AT$6:AT20,"&gt;0"),0)</f>
        <v>0</v>
      </c>
      <c r="AU21" s="5">
        <v>16</v>
      </c>
      <c r="AV21" s="1061" t="str">
        <f>IFERROR(INDEX(T08_Spells!$B$3:$B$407,MATCH(S03_Druid!AU21,T08_Spells!$DO$3:$DO$407,0),1),"")</f>
        <v/>
      </c>
      <c r="AW21" s="1061"/>
      <c r="AX21" s="1061"/>
      <c r="AY21" s="1061"/>
      <c r="AZ21" s="1061"/>
      <c r="BA21" s="567"/>
      <c r="BB21" s="569" t="str">
        <f t="shared" si="6"/>
        <v/>
      </c>
      <c r="BC21" s="565">
        <f>IF(OR(BA21="●",BB21="●"),1+COUNTIF(BC$6:BC20,"&gt;0"),0)</f>
        <v>0</v>
      </c>
      <c r="BD21" s="5">
        <v>16</v>
      </c>
      <c r="BE21" s="1061" t="str">
        <f>IFERROR(INDEX(T08_Spells!$B$3:$B$407,MATCH(S03_Druid!BD21,T08_Spells!$DP$3:$DP$407,0),1),"")</f>
        <v/>
      </c>
      <c r="BF21" s="1061"/>
      <c r="BG21" s="1061"/>
      <c r="BH21" s="1061"/>
      <c r="BI21" s="1061"/>
      <c r="BJ21" s="567"/>
      <c r="BK21" s="569" t="str">
        <f t="shared" si="7"/>
        <v/>
      </c>
      <c r="BL21" s="565">
        <f>IF(OR(BJ21="●",BK21="●"),1+COUNTIF(BL$6:BL20,"&gt;0"),0)</f>
        <v>0</v>
      </c>
      <c r="BM21" s="5">
        <v>16</v>
      </c>
      <c r="BN21" s="1061" t="str">
        <f>IFERROR(INDEX(T08_Spells!$B$3:$B$407,MATCH(S03_Druid!BM21,T08_Spells!$DQ$3:$DQ$407,0),1),"")</f>
        <v/>
      </c>
      <c r="BO21" s="1061"/>
      <c r="BP21" s="1061"/>
      <c r="BQ21" s="1061"/>
      <c r="BR21" s="1061"/>
      <c r="BS21" s="567"/>
      <c r="BT21" s="569" t="str">
        <f t="shared" si="8"/>
        <v/>
      </c>
      <c r="BU21" s="565">
        <f>IF(OR(BS21="●",BT21="●"),1+COUNTIF(BU$6:BU20,"&gt;0"),0)</f>
        <v>0</v>
      </c>
      <c r="BV21" s="5">
        <v>16</v>
      </c>
      <c r="BW21" s="1061" t="str">
        <f>IFERROR(INDEX(T08_Spells!$B$3:$B$407,MATCH(S03_Druid!BV21,T08_Spells!$DR$3:$DR$407,0),1),"")</f>
        <v/>
      </c>
      <c r="BX21" s="1061"/>
      <c r="BY21" s="1061"/>
      <c r="BZ21" s="1061"/>
      <c r="CA21" s="1061"/>
      <c r="CB21" s="567"/>
      <c r="CC21" s="569" t="str">
        <f t="shared" si="9"/>
        <v/>
      </c>
      <c r="CD21" s="565">
        <f>IF(OR(CB21="●",CC21="●"),1+COUNTIF(CD$6:CD20,"&gt;0"),0)</f>
        <v>0</v>
      </c>
      <c r="CE21" s="565"/>
      <c r="CF21" s="565"/>
      <c r="CG21" s="565"/>
      <c r="CH21" s="565"/>
      <c r="CI21" s="565"/>
      <c r="CJ21" s="565"/>
      <c r="CK21" s="565"/>
    </row>
    <row r="22" spans="1:89" ht="21" x14ac:dyDescent="0.25">
      <c r="A22" s="120"/>
      <c r="B22" s="5">
        <v>17</v>
      </c>
      <c r="C22" s="1061" t="str">
        <f>IFERROR(INDEX(T08_Spells!$B$3:$B$407,MATCH(S03_Druid!B22,T08_Spells!$DJ$3:$DJ$407,0),1),"")</f>
        <v>Absorb Elements</v>
      </c>
      <c r="D22" s="1061"/>
      <c r="E22" s="1061"/>
      <c r="F22" s="1061"/>
      <c r="G22" s="1061"/>
      <c r="H22" s="567"/>
      <c r="I22" s="569" t="str">
        <f t="shared" si="1"/>
        <v/>
      </c>
      <c r="J22" s="565">
        <f>IF(OR(H22="●",I22="●"),1+COUNTIF(J$6:J21,"&gt;0"),0)</f>
        <v>0</v>
      </c>
      <c r="K22" s="5">
        <v>17</v>
      </c>
      <c r="L22" s="1061" t="str">
        <f>IFERROR(INDEX(T08_Spells!$B$3:$B$407,MATCH(S03_Druid!K22,T08_Spells!$DK$3:$DK$407,0),1),"")</f>
        <v>Spike Growth</v>
      </c>
      <c r="M22" s="1061"/>
      <c r="N22" s="1061"/>
      <c r="O22" s="1061"/>
      <c r="P22" s="1061"/>
      <c r="Q22" s="567"/>
      <c r="R22" s="569" t="str">
        <f t="shared" si="2"/>
        <v/>
      </c>
      <c r="S22" s="565">
        <f>IF(OR(Q22="●",R22="●"),1+COUNTIF(S$6:S21,"&gt;0"),0)</f>
        <v>0</v>
      </c>
      <c r="T22" s="5">
        <v>17</v>
      </c>
      <c r="U22" s="1061" t="str">
        <f>IFERROR(INDEX(T08_Spells!$B$3:$B$407,MATCH(S03_Druid!T22,T08_Spells!$DL$3:$DL$407,0),1),"")</f>
        <v>Wall of Water</v>
      </c>
      <c r="V22" s="1061"/>
      <c r="W22" s="1061"/>
      <c r="X22" s="1061"/>
      <c r="Y22" s="1061"/>
      <c r="Z22" s="567"/>
      <c r="AA22" s="569" t="str">
        <f t="shared" si="3"/>
        <v/>
      </c>
      <c r="AB22" s="565">
        <f>IF(OR(Z22="●",AA22="●"),1+COUNTIF(AB$6:AB21,"&gt;0"),0)</f>
        <v>0</v>
      </c>
      <c r="AC22" s="5">
        <v>17</v>
      </c>
      <c r="AD22" s="1061" t="str">
        <f>IFERROR(INDEX(T08_Spells!$B$3:$B$407,MATCH(S03_Druid!AC22,T08_Spells!$DM$3:$DM$407,0),1),"")</f>
        <v>Watery Sphere</v>
      </c>
      <c r="AE22" s="1061"/>
      <c r="AF22" s="1061"/>
      <c r="AG22" s="1061"/>
      <c r="AH22" s="1061"/>
      <c r="AI22" s="567"/>
      <c r="AJ22" s="569" t="str">
        <f t="shared" si="4"/>
        <v/>
      </c>
      <c r="AK22" s="565">
        <f>IF(OR(AI22="●",AJ22="●"),1+COUNTIF(AK$6:AK21,"&gt;0"),0)</f>
        <v>0</v>
      </c>
      <c r="AL22" s="5">
        <v>17</v>
      </c>
      <c r="AM22" s="1061" t="str">
        <f>IFERROR(INDEX(T08_Spells!$B$3:$B$407,MATCH(S03_Druid!AL22,T08_Spells!$DN$3:$DN$407,0),1),"")</f>
        <v>Transmute Rock</v>
      </c>
      <c r="AN22" s="1061"/>
      <c r="AO22" s="1061"/>
      <c r="AP22" s="1061"/>
      <c r="AQ22" s="1061"/>
      <c r="AR22" s="567"/>
      <c r="AS22" s="569" t="str">
        <f t="shared" si="5"/>
        <v/>
      </c>
      <c r="AT22" s="565">
        <f>IF(OR(AR22="●",AS22="●"),1+COUNTIF(AT$6:AT21,"&gt;0"),0)</f>
        <v>0</v>
      </c>
      <c r="AU22" s="5">
        <v>17</v>
      </c>
      <c r="AV22" s="1061" t="str">
        <f>IFERROR(INDEX(T08_Spells!$B$3:$B$407,MATCH(S03_Druid!AU22,T08_Spells!$DO$3:$DO$407,0),1),"")</f>
        <v/>
      </c>
      <c r="AW22" s="1061"/>
      <c r="AX22" s="1061"/>
      <c r="AY22" s="1061"/>
      <c r="AZ22" s="1061"/>
      <c r="BA22" s="567"/>
      <c r="BB22" s="569" t="str">
        <f t="shared" si="6"/>
        <v/>
      </c>
      <c r="BC22" s="565">
        <f>IF(OR(BA22="●",BB22="●"),1+COUNTIF(BC$6:BC21,"&gt;0"),0)</f>
        <v>0</v>
      </c>
      <c r="BD22" s="5">
        <v>17</v>
      </c>
      <c r="BE22" s="1061" t="str">
        <f>IFERROR(INDEX(T08_Spells!$B$3:$B$407,MATCH(S03_Druid!BD22,T08_Spells!$DP$3:$DP$407,0),1),"")</f>
        <v/>
      </c>
      <c r="BF22" s="1061"/>
      <c r="BG22" s="1061"/>
      <c r="BH22" s="1061"/>
      <c r="BI22" s="1061"/>
      <c r="BJ22" s="567"/>
      <c r="BK22" s="569" t="str">
        <f t="shared" si="7"/>
        <v/>
      </c>
      <c r="BL22" s="565">
        <f>IF(OR(BJ22="●",BK22="●"),1+COUNTIF(BL$6:BL21,"&gt;0"),0)</f>
        <v>0</v>
      </c>
      <c r="BM22" s="5">
        <v>17</v>
      </c>
      <c r="BN22" s="1061" t="str">
        <f>IFERROR(INDEX(T08_Spells!$B$3:$B$407,MATCH(S03_Druid!BM22,T08_Spells!$DQ$3:$DQ$407,0),1),"")</f>
        <v/>
      </c>
      <c r="BO22" s="1061"/>
      <c r="BP22" s="1061"/>
      <c r="BQ22" s="1061"/>
      <c r="BR22" s="1061"/>
      <c r="BS22" s="567"/>
      <c r="BT22" s="569" t="str">
        <f t="shared" si="8"/>
        <v/>
      </c>
      <c r="BU22" s="565">
        <f>IF(OR(BS22="●",BT22="●"),1+COUNTIF(BU$6:BU21,"&gt;0"),0)</f>
        <v>0</v>
      </c>
      <c r="BV22" s="5">
        <v>17</v>
      </c>
      <c r="BW22" s="1061" t="str">
        <f>IFERROR(INDEX(T08_Spells!$B$3:$B$407,MATCH(S03_Druid!BV22,T08_Spells!$DR$3:$DR$407,0),1),"")</f>
        <v/>
      </c>
      <c r="BX22" s="1061"/>
      <c r="BY22" s="1061"/>
      <c r="BZ22" s="1061"/>
      <c r="CA22" s="1061"/>
      <c r="CB22" s="567"/>
      <c r="CC22" s="569" t="str">
        <f t="shared" si="9"/>
        <v/>
      </c>
      <c r="CD22" s="565">
        <f>IF(OR(CB22="●",CC22="●"),1+COUNTIF(CD$6:CD21,"&gt;0"),0)</f>
        <v>0</v>
      </c>
      <c r="CE22" s="565"/>
      <c r="CF22" s="565"/>
      <c r="CG22" s="565"/>
      <c r="CH22" s="565"/>
      <c r="CI22" s="565"/>
      <c r="CJ22" s="565"/>
      <c r="CK22" s="565"/>
    </row>
    <row r="23" spans="1:89" ht="21" x14ac:dyDescent="0.25">
      <c r="A23" s="120"/>
      <c r="B23" s="5">
        <v>18</v>
      </c>
      <c r="C23" s="1061" t="str">
        <f>IFERROR(INDEX(T08_Spells!$B$3:$B$407,MATCH(S03_Druid!B23,T08_Spells!$DJ$3:$DJ$407,0),1),"")</f>
        <v>Beast Bond</v>
      </c>
      <c r="D23" s="1061"/>
      <c r="E23" s="1061"/>
      <c r="F23" s="1061"/>
      <c r="G23" s="1061"/>
      <c r="H23" s="567"/>
      <c r="I23" s="569" t="str">
        <f t="shared" si="1"/>
        <v/>
      </c>
      <c r="J23" s="565">
        <f>IF(OR(H23="●",I23="●"),1+COUNTIF(J$6:J22,"&gt;0"),0)</f>
        <v>0</v>
      </c>
      <c r="K23" s="5">
        <v>18</v>
      </c>
      <c r="L23" s="1061" t="str">
        <f>IFERROR(INDEX(T08_Spells!$B$3:$B$407,MATCH(S03_Druid!K23,T08_Spells!$DK$3:$DK$407,0),1),"")</f>
        <v>Dust Devil</v>
      </c>
      <c r="M23" s="1061"/>
      <c r="N23" s="1061"/>
      <c r="O23" s="1061"/>
      <c r="P23" s="1061"/>
      <c r="Q23" s="567"/>
      <c r="R23" s="569" t="str">
        <f t="shared" si="2"/>
        <v/>
      </c>
      <c r="S23" s="565">
        <f>IF(OR(Q23="●",R23="●"),1+COUNTIF(S$6:S22,"&gt;0"),0)</f>
        <v>0</v>
      </c>
      <c r="T23" s="5">
        <v>18</v>
      </c>
      <c r="U23" s="1061" t="str">
        <f>IFERROR(INDEX(T08_Spells!$B$3:$B$407,MATCH(S03_Druid!T23,T08_Spells!$DL$3:$DL$407,0),1),"")</f>
        <v/>
      </c>
      <c r="V23" s="1061"/>
      <c r="W23" s="1061"/>
      <c r="X23" s="1061"/>
      <c r="Y23" s="1061"/>
      <c r="Z23" s="567"/>
      <c r="AA23" s="569" t="str">
        <f t="shared" si="3"/>
        <v/>
      </c>
      <c r="AB23" s="565">
        <f>IF(OR(Z23="●",AA23="●"),1+COUNTIF(AB$6:AB22,"&gt;0"),0)</f>
        <v>0</v>
      </c>
      <c r="AC23" s="5">
        <v>18</v>
      </c>
      <c r="AD23" s="1061" t="str">
        <f>IFERROR(INDEX(T08_Spells!$B$3:$B$407,MATCH(S03_Druid!AC23,T08_Spells!$DM$3:$DM$407,0),1),"")</f>
        <v/>
      </c>
      <c r="AE23" s="1061"/>
      <c r="AF23" s="1061"/>
      <c r="AG23" s="1061"/>
      <c r="AH23" s="1061"/>
      <c r="AI23" s="567"/>
      <c r="AJ23" s="569" t="str">
        <f t="shared" si="4"/>
        <v/>
      </c>
      <c r="AK23" s="565">
        <f>IF(OR(AI23="●",AJ23="●"),1+COUNTIF(AK$6:AK22,"&gt;0"),0)</f>
        <v>0</v>
      </c>
      <c r="AL23" s="5">
        <v>18</v>
      </c>
      <c r="AM23" s="1061" t="str">
        <f>IFERROR(INDEX(T08_Spells!$B$3:$B$407,MATCH(S03_Druid!AL23,T08_Spells!$DN$3:$DN$407,0),1),"")</f>
        <v/>
      </c>
      <c r="AN23" s="1061"/>
      <c r="AO23" s="1061"/>
      <c r="AP23" s="1061"/>
      <c r="AQ23" s="1061"/>
      <c r="AR23" s="567"/>
      <c r="AS23" s="569" t="str">
        <f t="shared" si="5"/>
        <v/>
      </c>
      <c r="AT23" s="565">
        <f>IF(OR(AR23="●",AS23="●"),1+COUNTIF(AT$6:AT22,"&gt;0"),0)</f>
        <v>0</v>
      </c>
      <c r="AU23" s="5">
        <v>18</v>
      </c>
      <c r="AV23" s="1061" t="str">
        <f>IFERROR(INDEX(T08_Spells!$B$3:$B$407,MATCH(S03_Druid!AU23,T08_Spells!$DO$3:$DO$407,0),1),"")</f>
        <v/>
      </c>
      <c r="AW23" s="1061"/>
      <c r="AX23" s="1061"/>
      <c r="AY23" s="1061"/>
      <c r="AZ23" s="1061"/>
      <c r="BA23" s="567"/>
      <c r="BB23" s="569" t="str">
        <f t="shared" si="6"/>
        <v/>
      </c>
      <c r="BC23" s="565">
        <f>IF(OR(BA23="●",BB23="●"),1+COUNTIF(BC$6:BC22,"&gt;0"),0)</f>
        <v>0</v>
      </c>
      <c r="BD23" s="5">
        <v>18</v>
      </c>
      <c r="BE23" s="1061" t="str">
        <f>IFERROR(INDEX(T08_Spells!$B$3:$B$407,MATCH(S03_Druid!BD23,T08_Spells!$DP$3:$DP$407,0),1),"")</f>
        <v/>
      </c>
      <c r="BF23" s="1061"/>
      <c r="BG23" s="1061"/>
      <c r="BH23" s="1061"/>
      <c r="BI23" s="1061"/>
      <c r="BJ23" s="567"/>
      <c r="BK23" s="569" t="str">
        <f t="shared" si="7"/>
        <v/>
      </c>
      <c r="BL23" s="565">
        <f>IF(OR(BJ23="●",BK23="●"),1+COUNTIF(BL$6:BL22,"&gt;0"),0)</f>
        <v>0</v>
      </c>
      <c r="BM23" s="5">
        <v>18</v>
      </c>
      <c r="BN23" s="1061" t="str">
        <f>IFERROR(INDEX(T08_Spells!$B$3:$B$407,MATCH(S03_Druid!BM23,T08_Spells!$DQ$3:$DQ$407,0),1),"")</f>
        <v/>
      </c>
      <c r="BO23" s="1061"/>
      <c r="BP23" s="1061"/>
      <c r="BQ23" s="1061"/>
      <c r="BR23" s="1061"/>
      <c r="BS23" s="567"/>
      <c r="BT23" s="569" t="str">
        <f t="shared" si="8"/>
        <v/>
      </c>
      <c r="BU23" s="565">
        <f>IF(OR(BS23="●",BT23="●"),1+COUNTIF(BU$6:BU22,"&gt;0"),0)</f>
        <v>0</v>
      </c>
      <c r="BV23" s="5">
        <v>18</v>
      </c>
      <c r="BW23" s="1061" t="str">
        <f>IFERROR(INDEX(T08_Spells!$B$3:$B$407,MATCH(S03_Druid!BV23,T08_Spells!$DR$3:$DR$407,0),1),"")</f>
        <v/>
      </c>
      <c r="BX23" s="1061"/>
      <c r="BY23" s="1061"/>
      <c r="BZ23" s="1061"/>
      <c r="CA23" s="1061"/>
      <c r="CB23" s="567"/>
      <c r="CC23" s="569" t="str">
        <f t="shared" si="9"/>
        <v/>
      </c>
      <c r="CD23" s="565">
        <f>IF(OR(CB23="●",CC23="●"),1+COUNTIF(CD$6:CD22,"&gt;0"),0)</f>
        <v>0</v>
      </c>
      <c r="CE23" s="565"/>
      <c r="CF23" s="565"/>
      <c r="CG23" s="565"/>
      <c r="CH23" s="565"/>
      <c r="CI23" s="565"/>
      <c r="CJ23" s="565"/>
      <c r="CK23" s="565"/>
    </row>
    <row r="24" spans="1:89" ht="21" x14ac:dyDescent="0.25">
      <c r="A24" s="120"/>
      <c r="B24" s="5">
        <v>19</v>
      </c>
      <c r="C24" s="1061" t="str">
        <f>IFERROR(INDEX(T08_Spells!$B$3:$B$407,MATCH(S03_Druid!B24,T08_Spells!$DJ$3:$DJ$407,0),1),"")</f>
        <v>Earth Tremor</v>
      </c>
      <c r="D24" s="1061"/>
      <c r="E24" s="1061"/>
      <c r="F24" s="1061"/>
      <c r="G24" s="1061"/>
      <c r="H24" s="567"/>
      <c r="I24" s="569" t="str">
        <f t="shared" si="1"/>
        <v/>
      </c>
      <c r="J24" s="565">
        <f>IF(OR(H24="●",I24="●"),1+COUNTIF(J$6:J23,"&gt;0"),0)</f>
        <v>0</v>
      </c>
      <c r="K24" s="5">
        <v>19</v>
      </c>
      <c r="L24" s="1061" t="str">
        <f>IFERROR(INDEX(T08_Spells!$B$3:$B$407,MATCH(S03_Druid!K24,T08_Spells!$DK$3:$DK$407,0),1),"")</f>
        <v>Earthbind</v>
      </c>
      <c r="M24" s="1061"/>
      <c r="N24" s="1061"/>
      <c r="O24" s="1061"/>
      <c r="P24" s="1061"/>
      <c r="Q24" s="567"/>
      <c r="R24" s="569" t="str">
        <f t="shared" si="2"/>
        <v/>
      </c>
      <c r="S24" s="565">
        <f>IF(OR(Q24="●",R24="●"),1+COUNTIF(S$6:S23,"&gt;0"),0)</f>
        <v>0</v>
      </c>
      <c r="T24" s="5">
        <v>19</v>
      </c>
      <c r="U24" s="1061" t="str">
        <f>IFERROR(INDEX(T08_Spells!$B$3:$B$407,MATCH(S03_Druid!T24,T08_Spells!$DL$3:$DL$407,0),1),"")</f>
        <v/>
      </c>
      <c r="V24" s="1061"/>
      <c r="W24" s="1061"/>
      <c r="X24" s="1061"/>
      <c r="Y24" s="1061"/>
      <c r="Z24" s="567"/>
      <c r="AA24" s="569" t="str">
        <f t="shared" si="3"/>
        <v/>
      </c>
      <c r="AB24" s="565">
        <f>IF(OR(Z24="●",AA24="●"),1+COUNTIF(AB$6:AB23,"&gt;0"),0)</f>
        <v>0</v>
      </c>
      <c r="AC24" s="5">
        <v>19</v>
      </c>
      <c r="AD24" s="1061" t="str">
        <f>IFERROR(INDEX(T08_Spells!$B$3:$B$407,MATCH(S03_Druid!AC24,T08_Spells!$DM$3:$DM$407,0),1),"")</f>
        <v/>
      </c>
      <c r="AE24" s="1061"/>
      <c r="AF24" s="1061"/>
      <c r="AG24" s="1061"/>
      <c r="AH24" s="1061"/>
      <c r="AI24" s="567"/>
      <c r="AJ24" s="569" t="str">
        <f t="shared" si="4"/>
        <v/>
      </c>
      <c r="AK24" s="565">
        <f>IF(OR(AI24="●",AJ24="●"),1+COUNTIF(AK$6:AK23,"&gt;0"),0)</f>
        <v>0</v>
      </c>
      <c r="AL24" s="5">
        <v>19</v>
      </c>
      <c r="AM24" s="1061" t="str">
        <f>IFERROR(INDEX(T08_Spells!$B$3:$B$407,MATCH(S03_Druid!AL24,T08_Spells!$DN$3:$DN$407,0),1),"")</f>
        <v/>
      </c>
      <c r="AN24" s="1061"/>
      <c r="AO24" s="1061"/>
      <c r="AP24" s="1061"/>
      <c r="AQ24" s="1061"/>
      <c r="AR24" s="567"/>
      <c r="AS24" s="569" t="str">
        <f t="shared" si="5"/>
        <v/>
      </c>
      <c r="AT24" s="565">
        <f>IF(OR(AR24="●",AS24="●"),1+COUNTIF(AT$6:AT23,"&gt;0"),0)</f>
        <v>0</v>
      </c>
      <c r="AU24" s="5">
        <v>19</v>
      </c>
      <c r="AV24" s="1061" t="str">
        <f>IFERROR(INDEX(T08_Spells!$B$3:$B$407,MATCH(S03_Druid!AU24,T08_Spells!$DO$3:$DO$407,0),1),"")</f>
        <v/>
      </c>
      <c r="AW24" s="1061"/>
      <c r="AX24" s="1061"/>
      <c r="AY24" s="1061"/>
      <c r="AZ24" s="1061"/>
      <c r="BA24" s="567"/>
      <c r="BB24" s="569" t="str">
        <f t="shared" si="6"/>
        <v/>
      </c>
      <c r="BC24" s="565">
        <f>IF(OR(BA24="●",BB24="●"),1+COUNTIF(BC$6:BC23,"&gt;0"),0)</f>
        <v>0</v>
      </c>
      <c r="BD24" s="5">
        <v>19</v>
      </c>
      <c r="BE24" s="1061" t="str">
        <f>IFERROR(INDEX(T08_Spells!$B$3:$B$407,MATCH(S03_Druid!BD24,T08_Spells!$DP$3:$DP$407,0),1),"")</f>
        <v/>
      </c>
      <c r="BF24" s="1061"/>
      <c r="BG24" s="1061"/>
      <c r="BH24" s="1061"/>
      <c r="BI24" s="1061"/>
      <c r="BJ24" s="567"/>
      <c r="BK24" s="569" t="str">
        <f t="shared" si="7"/>
        <v/>
      </c>
      <c r="BL24" s="565">
        <f>IF(OR(BJ24="●",BK24="●"),1+COUNTIF(BL$6:BL23,"&gt;0"),0)</f>
        <v>0</v>
      </c>
      <c r="BM24" s="5">
        <v>19</v>
      </c>
      <c r="BN24" s="1061" t="str">
        <f>IFERROR(INDEX(T08_Spells!$B$3:$B$407,MATCH(S03_Druid!BM24,T08_Spells!$DQ$3:$DQ$407,0),1),"")</f>
        <v/>
      </c>
      <c r="BO24" s="1061"/>
      <c r="BP24" s="1061"/>
      <c r="BQ24" s="1061"/>
      <c r="BR24" s="1061"/>
      <c r="BS24" s="567"/>
      <c r="BT24" s="569" t="str">
        <f t="shared" si="8"/>
        <v/>
      </c>
      <c r="BU24" s="565">
        <f>IF(OR(BS24="●",BT24="●"),1+COUNTIF(BU$6:BU23,"&gt;0"),0)</f>
        <v>0</v>
      </c>
      <c r="BV24" s="5">
        <v>19</v>
      </c>
      <c r="BW24" s="1061" t="str">
        <f>IFERROR(INDEX(T08_Spells!$B$3:$B$407,MATCH(S03_Druid!BV24,T08_Spells!$DR$3:$DR$407,0),1),"")</f>
        <v/>
      </c>
      <c r="BX24" s="1061"/>
      <c r="BY24" s="1061"/>
      <c r="BZ24" s="1061"/>
      <c r="CA24" s="1061"/>
      <c r="CB24" s="567"/>
      <c r="CC24" s="569" t="str">
        <f t="shared" si="9"/>
        <v/>
      </c>
      <c r="CD24" s="565">
        <f>IF(OR(CB24="●",CC24="●"),1+COUNTIF(CD$6:CD23,"&gt;0"),0)</f>
        <v>0</v>
      </c>
      <c r="CE24" s="565"/>
      <c r="CF24" s="565"/>
      <c r="CG24" s="565"/>
      <c r="CH24" s="565"/>
      <c r="CI24" s="565"/>
      <c r="CJ24" s="565"/>
      <c r="CK24" s="565"/>
    </row>
    <row r="25" spans="1:89" ht="21" x14ac:dyDescent="0.25">
      <c r="A25" s="120"/>
      <c r="B25" s="5">
        <v>20</v>
      </c>
      <c r="C25" s="1061" t="str">
        <f>IFERROR(INDEX(T08_Spells!$B$3:$B$407,MATCH(S03_Druid!B25,T08_Spells!$DJ$3:$DJ$407,0),1),"")</f>
        <v>Ice Knife</v>
      </c>
      <c r="D25" s="1061"/>
      <c r="E25" s="1061"/>
      <c r="F25" s="1061"/>
      <c r="G25" s="1061"/>
      <c r="H25" s="567"/>
      <c r="I25" s="569" t="str">
        <f t="shared" si="1"/>
        <v/>
      </c>
      <c r="J25" s="565">
        <f>IF(OR(H25="●",I25="●"),1+COUNTIF(J$6:J24,"&gt;0"),0)</f>
        <v>0</v>
      </c>
      <c r="K25" s="5">
        <v>20</v>
      </c>
      <c r="L25" s="1061" t="str">
        <f>IFERROR(INDEX(T08_Spells!$B$3:$B$407,MATCH(S03_Druid!K25,T08_Spells!$DK$3:$DK$407,0),1),"")</f>
        <v>Skywrite</v>
      </c>
      <c r="M25" s="1061"/>
      <c r="N25" s="1061"/>
      <c r="O25" s="1061"/>
      <c r="P25" s="1061"/>
      <c r="Q25" s="567"/>
      <c r="R25" s="569" t="str">
        <f t="shared" si="2"/>
        <v/>
      </c>
      <c r="S25" s="565">
        <f>IF(OR(Q25="●",R25="●"),1+COUNTIF(S$6:S24,"&gt;0"),0)</f>
        <v>0</v>
      </c>
      <c r="T25" s="5">
        <v>20</v>
      </c>
      <c r="U25" s="1061" t="str">
        <f>IFERROR(INDEX(T08_Spells!$B$3:$B$407,MATCH(S03_Druid!T25,T08_Spells!$DL$3:$DL$407,0),1),"")</f>
        <v/>
      </c>
      <c r="V25" s="1061"/>
      <c r="W25" s="1061"/>
      <c r="X25" s="1061"/>
      <c r="Y25" s="1061"/>
      <c r="Z25" s="567"/>
      <c r="AA25" s="569" t="str">
        <f t="shared" si="3"/>
        <v/>
      </c>
      <c r="AB25" s="565">
        <f>IF(OR(Z25="●",AA25="●"),1+COUNTIF(AB$6:AB24,"&gt;0"),0)</f>
        <v>0</v>
      </c>
      <c r="AC25" s="5">
        <v>20</v>
      </c>
      <c r="AD25" s="1061" t="str">
        <f>IFERROR(INDEX(T08_Spells!$B$3:$B$407,MATCH(S03_Druid!AC25,T08_Spells!$DM$3:$DM$407,0),1),"")</f>
        <v/>
      </c>
      <c r="AE25" s="1061"/>
      <c r="AF25" s="1061"/>
      <c r="AG25" s="1061"/>
      <c r="AH25" s="1061"/>
      <c r="AI25" s="567"/>
      <c r="AJ25" s="569" t="str">
        <f t="shared" si="4"/>
        <v/>
      </c>
      <c r="AK25" s="565">
        <f>IF(OR(AI25="●",AJ25="●"),1+COUNTIF(AK$6:AK24,"&gt;0"),0)</f>
        <v>0</v>
      </c>
      <c r="AL25" s="5">
        <v>20</v>
      </c>
      <c r="AM25" s="1061" t="str">
        <f>IFERROR(INDEX(T08_Spells!$B$3:$B$407,MATCH(S03_Druid!AL25,T08_Spells!$DN$3:$DN$407,0),1),"")</f>
        <v/>
      </c>
      <c r="AN25" s="1061"/>
      <c r="AO25" s="1061"/>
      <c r="AP25" s="1061"/>
      <c r="AQ25" s="1061"/>
      <c r="AR25" s="567"/>
      <c r="AS25" s="569" t="str">
        <f t="shared" si="5"/>
        <v/>
      </c>
      <c r="AT25" s="565">
        <f>IF(OR(AR25="●",AS25="●"),1+COUNTIF(AT$6:AT24,"&gt;0"),0)</f>
        <v>0</v>
      </c>
      <c r="AU25" s="5">
        <v>20</v>
      </c>
      <c r="AV25" s="1061" t="str">
        <f>IFERROR(INDEX(T08_Spells!$B$3:$B$407,MATCH(S03_Druid!AU25,T08_Spells!$DO$3:$DO$407,0),1),"")</f>
        <v/>
      </c>
      <c r="AW25" s="1061"/>
      <c r="AX25" s="1061"/>
      <c r="AY25" s="1061"/>
      <c r="AZ25" s="1061"/>
      <c r="BA25" s="567"/>
      <c r="BB25" s="569" t="str">
        <f t="shared" si="6"/>
        <v/>
      </c>
      <c r="BC25" s="565">
        <f>IF(OR(BA25="●",BB25="●"),1+COUNTIF(BC$6:BC24,"&gt;0"),0)</f>
        <v>0</v>
      </c>
      <c r="BD25" s="5">
        <v>20</v>
      </c>
      <c r="BE25" s="1061" t="str">
        <f>IFERROR(INDEX(T08_Spells!$B$3:$B$407,MATCH(S03_Druid!BD25,T08_Spells!$DP$3:$DP$407,0),1),"")</f>
        <v/>
      </c>
      <c r="BF25" s="1061"/>
      <c r="BG25" s="1061"/>
      <c r="BH25" s="1061"/>
      <c r="BI25" s="1061"/>
      <c r="BJ25" s="567"/>
      <c r="BK25" s="569" t="str">
        <f t="shared" si="7"/>
        <v/>
      </c>
      <c r="BL25" s="565">
        <f>IF(OR(BJ25="●",BK25="●"),1+COUNTIF(BL$6:BL24,"&gt;0"),0)</f>
        <v>0</v>
      </c>
      <c r="BM25" s="5">
        <v>20</v>
      </c>
      <c r="BN25" s="1061" t="str">
        <f>IFERROR(INDEX(T08_Spells!$B$3:$B$407,MATCH(S03_Druid!BM25,T08_Spells!$DQ$3:$DQ$407,0),1),"")</f>
        <v/>
      </c>
      <c r="BO25" s="1061"/>
      <c r="BP25" s="1061"/>
      <c r="BQ25" s="1061"/>
      <c r="BR25" s="1061"/>
      <c r="BS25" s="567"/>
      <c r="BT25" s="569" t="str">
        <f t="shared" si="8"/>
        <v/>
      </c>
      <c r="BU25" s="565">
        <f>IF(OR(BS25="●",BT25="●"),1+COUNTIF(BU$6:BU24,"&gt;0"),0)</f>
        <v>0</v>
      </c>
      <c r="BV25" s="5">
        <v>20</v>
      </c>
      <c r="BW25" s="1061" t="str">
        <f>IFERROR(INDEX(T08_Spells!$B$3:$B$407,MATCH(S03_Druid!BV25,T08_Spells!$DR$3:$DR$407,0),1),"")</f>
        <v/>
      </c>
      <c r="BX25" s="1061"/>
      <c r="BY25" s="1061"/>
      <c r="BZ25" s="1061"/>
      <c r="CA25" s="1061"/>
      <c r="CB25" s="567"/>
      <c r="CC25" s="569" t="str">
        <f t="shared" si="9"/>
        <v/>
      </c>
      <c r="CD25" s="565">
        <f>IF(OR(CB25="●",CC25="●"),1+COUNTIF(CD$6:CD24,"&gt;0"),0)</f>
        <v>0</v>
      </c>
      <c r="CE25" s="565"/>
      <c r="CF25" s="565"/>
      <c r="CG25" s="565"/>
      <c r="CH25" s="565"/>
      <c r="CI25" s="565"/>
      <c r="CJ25" s="565"/>
      <c r="CK25" s="565"/>
    </row>
    <row r="26" spans="1:89" ht="21" x14ac:dyDescent="0.25">
      <c r="A26" s="120"/>
      <c r="B26" s="5">
        <v>21</v>
      </c>
      <c r="C26" s="1061" t="str">
        <f>IFERROR(INDEX(T08_Spells!$B$3:$B$407,MATCH(S03_Druid!B26,T08_Spells!$DJ$3:$DJ$407,0),1),"")</f>
        <v/>
      </c>
      <c r="D26" s="1061"/>
      <c r="E26" s="1061"/>
      <c r="F26" s="1061"/>
      <c r="G26" s="1061"/>
      <c r="H26" s="567"/>
      <c r="I26" s="569" t="str">
        <f t="shared" si="1"/>
        <v/>
      </c>
      <c r="J26" s="565">
        <f>IF(OR(H26="●",I26="●"),1+COUNTIF(J$6:J25,"&gt;0"),0)</f>
        <v>0</v>
      </c>
      <c r="K26" s="5">
        <v>21</v>
      </c>
      <c r="L26" s="1061" t="str">
        <f>IFERROR(INDEX(T08_Spells!$B$3:$B$407,MATCH(S03_Druid!K26,T08_Spells!$DK$3:$DK$407,0),1),"")</f>
        <v>Warding Wind</v>
      </c>
      <c r="M26" s="1061"/>
      <c r="N26" s="1061"/>
      <c r="O26" s="1061"/>
      <c r="P26" s="1061"/>
      <c r="Q26" s="567"/>
      <c r="R26" s="569" t="str">
        <f t="shared" si="2"/>
        <v/>
      </c>
      <c r="S26" s="565">
        <f>IF(OR(Q26="●",R26="●"),1+COUNTIF(S$6:S25,"&gt;0"),0)</f>
        <v>0</v>
      </c>
      <c r="T26" s="5">
        <v>21</v>
      </c>
      <c r="U26" s="1061" t="str">
        <f>IFERROR(INDEX(T08_Spells!$B$3:$B$407,MATCH(S03_Druid!T26,T08_Spells!$DL$3:$DL$407,0),1),"")</f>
        <v/>
      </c>
      <c r="V26" s="1061"/>
      <c r="W26" s="1061"/>
      <c r="X26" s="1061"/>
      <c r="Y26" s="1061"/>
      <c r="Z26" s="567"/>
      <c r="AA26" s="569" t="str">
        <f t="shared" si="3"/>
        <v/>
      </c>
      <c r="AB26" s="565">
        <f>IF(OR(Z26="●",AA26="●"),1+COUNTIF(AB$6:AB25,"&gt;0"),0)</f>
        <v>0</v>
      </c>
      <c r="AC26" s="5">
        <v>21</v>
      </c>
      <c r="AD26" s="1061" t="str">
        <f>IFERROR(INDEX(T08_Spells!$B$3:$B$407,MATCH(S03_Druid!AC26,T08_Spells!$DM$3:$DM$407,0),1),"")</f>
        <v/>
      </c>
      <c r="AE26" s="1061"/>
      <c r="AF26" s="1061"/>
      <c r="AG26" s="1061"/>
      <c r="AH26" s="1061"/>
      <c r="AI26" s="567"/>
      <c r="AJ26" s="569" t="str">
        <f t="shared" si="4"/>
        <v/>
      </c>
      <c r="AK26" s="565">
        <f>IF(OR(AI26="●",AJ26="●"),1+COUNTIF(AK$6:AK25,"&gt;0"),0)</f>
        <v>0</v>
      </c>
      <c r="AL26" s="5">
        <v>21</v>
      </c>
      <c r="AM26" s="1061" t="str">
        <f>IFERROR(INDEX(T08_Spells!$B$3:$B$407,MATCH(S03_Druid!AL26,T08_Spells!$DN$3:$DN$407,0),1),"")</f>
        <v/>
      </c>
      <c r="AN26" s="1061"/>
      <c r="AO26" s="1061"/>
      <c r="AP26" s="1061"/>
      <c r="AQ26" s="1061"/>
      <c r="AR26" s="567"/>
      <c r="AS26" s="569" t="str">
        <f t="shared" si="5"/>
        <v/>
      </c>
      <c r="AT26" s="565">
        <f>IF(OR(AR26="●",AS26="●"),1+COUNTIF(AT$6:AT25,"&gt;0"),0)</f>
        <v>0</v>
      </c>
      <c r="AU26" s="5">
        <v>21</v>
      </c>
      <c r="AV26" s="1061" t="str">
        <f>IFERROR(INDEX(T08_Spells!$B$3:$B$407,MATCH(S03_Druid!AU26,T08_Spells!$DO$3:$DO$407,0),1),"")</f>
        <v/>
      </c>
      <c r="AW26" s="1061"/>
      <c r="AX26" s="1061"/>
      <c r="AY26" s="1061"/>
      <c r="AZ26" s="1061"/>
      <c r="BA26" s="567"/>
      <c r="BB26" s="569" t="str">
        <f t="shared" si="6"/>
        <v/>
      </c>
      <c r="BC26" s="565">
        <f>IF(OR(BA26="●",BB26="●"),1+COUNTIF(BC$6:BC25,"&gt;0"),0)</f>
        <v>0</v>
      </c>
      <c r="BD26" s="5">
        <v>21</v>
      </c>
      <c r="BE26" s="1061" t="str">
        <f>IFERROR(INDEX(T08_Spells!$B$3:$B$407,MATCH(S03_Druid!BD26,T08_Spells!$DP$3:$DP$407,0),1),"")</f>
        <v/>
      </c>
      <c r="BF26" s="1061"/>
      <c r="BG26" s="1061"/>
      <c r="BH26" s="1061"/>
      <c r="BI26" s="1061"/>
      <c r="BJ26" s="567"/>
      <c r="BK26" s="569" t="str">
        <f t="shared" si="7"/>
        <v/>
      </c>
      <c r="BL26" s="565">
        <f>IF(OR(BJ26="●",BK26="●"),1+COUNTIF(BL$6:BL25,"&gt;0"),0)</f>
        <v>0</v>
      </c>
      <c r="BM26" s="5">
        <v>21</v>
      </c>
      <c r="BN26" s="1061" t="str">
        <f>IFERROR(INDEX(T08_Spells!$B$3:$B$407,MATCH(S03_Druid!BM26,T08_Spells!$DQ$3:$DQ$407,0),1),"")</f>
        <v/>
      </c>
      <c r="BO26" s="1061"/>
      <c r="BP26" s="1061"/>
      <c r="BQ26" s="1061"/>
      <c r="BR26" s="1061"/>
      <c r="BS26" s="567"/>
      <c r="BT26" s="569" t="str">
        <f t="shared" si="8"/>
        <v/>
      </c>
      <c r="BU26" s="565">
        <f>IF(OR(BS26="●",BT26="●"),1+COUNTIF(BU$6:BU25,"&gt;0"),0)</f>
        <v>0</v>
      </c>
      <c r="BV26" s="5">
        <v>21</v>
      </c>
      <c r="BW26" s="1061" t="str">
        <f>IFERROR(INDEX(T08_Spells!$B$3:$B$407,MATCH(S03_Druid!BV26,T08_Spells!$DR$3:$DR$407,0),1),"")</f>
        <v/>
      </c>
      <c r="BX26" s="1061"/>
      <c r="BY26" s="1061"/>
      <c r="BZ26" s="1061"/>
      <c r="CA26" s="1061"/>
      <c r="CB26" s="567"/>
      <c r="CC26" s="569" t="str">
        <f t="shared" si="9"/>
        <v/>
      </c>
      <c r="CD26" s="565">
        <f>IF(OR(CB26="●",CC26="●"),1+COUNTIF(CD$6:CD25,"&gt;0"),0)</f>
        <v>0</v>
      </c>
      <c r="CE26" s="565"/>
      <c r="CF26" s="565"/>
      <c r="CG26" s="565"/>
      <c r="CH26" s="565"/>
      <c r="CI26" s="565"/>
      <c r="CJ26" s="565"/>
      <c r="CK26" s="565"/>
    </row>
    <row r="27" spans="1:89" ht="21" x14ac:dyDescent="0.25">
      <c r="A27" s="120"/>
      <c r="B27" s="5">
        <v>22</v>
      </c>
      <c r="C27" s="1061" t="str">
        <f>IFERROR(INDEX(T08_Spells!$B$3:$B$407,MATCH(S03_Druid!B27,T08_Spells!$DJ$3:$DJ$407,0),1),"")</f>
        <v/>
      </c>
      <c r="D27" s="1061"/>
      <c r="E27" s="1061"/>
      <c r="F27" s="1061"/>
      <c r="G27" s="1061"/>
      <c r="H27" s="567"/>
      <c r="I27" s="569" t="str">
        <f t="shared" si="1"/>
        <v/>
      </c>
      <c r="J27" s="565">
        <f>IF(OR(H27="●",I27="●"),1+COUNTIF(J$6:J26,"&gt;0"),0)</f>
        <v>0</v>
      </c>
      <c r="K27" s="5">
        <v>22</v>
      </c>
      <c r="L27" s="1061" t="str">
        <f>IFERROR(INDEX(T08_Spells!$B$3:$B$407,MATCH(S03_Druid!K27,T08_Spells!$DK$3:$DK$407,0),1),"")</f>
        <v/>
      </c>
      <c r="M27" s="1061"/>
      <c r="N27" s="1061"/>
      <c r="O27" s="1061"/>
      <c r="P27" s="1061"/>
      <c r="Q27" s="567"/>
      <c r="R27" s="569" t="str">
        <f t="shared" si="2"/>
        <v/>
      </c>
      <c r="S27" s="565">
        <f>IF(OR(Q27="●",R27="●"),1+COUNTIF(S$6:S26,"&gt;0"),0)</f>
        <v>0</v>
      </c>
      <c r="T27" s="5">
        <v>22</v>
      </c>
      <c r="U27" s="1061" t="str">
        <f>IFERROR(INDEX(T08_Spells!$B$3:$B$407,MATCH(S03_Druid!T27,T08_Spells!$DL$3:$DL$407,0),1),"")</f>
        <v/>
      </c>
      <c r="V27" s="1061"/>
      <c r="W27" s="1061"/>
      <c r="X27" s="1061"/>
      <c r="Y27" s="1061"/>
      <c r="Z27" s="567"/>
      <c r="AA27" s="569" t="str">
        <f t="shared" si="3"/>
        <v/>
      </c>
      <c r="AB27" s="565">
        <f>IF(OR(Z27="●",AA27="●"),1+COUNTIF(AB$6:AB26,"&gt;0"),0)</f>
        <v>0</v>
      </c>
      <c r="AC27" s="5">
        <v>22</v>
      </c>
      <c r="AD27" s="1061" t="str">
        <f>IFERROR(INDEX(T08_Spells!$B$3:$B$407,MATCH(S03_Druid!AC27,T08_Spells!$DM$3:$DM$407,0),1),"")</f>
        <v/>
      </c>
      <c r="AE27" s="1061"/>
      <c r="AF27" s="1061"/>
      <c r="AG27" s="1061"/>
      <c r="AH27" s="1061"/>
      <c r="AI27" s="567"/>
      <c r="AJ27" s="569" t="str">
        <f t="shared" si="4"/>
        <v/>
      </c>
      <c r="AK27" s="565">
        <f>IF(OR(AI27="●",AJ27="●"),1+COUNTIF(AK$6:AK26,"&gt;0"),0)</f>
        <v>0</v>
      </c>
      <c r="AL27" s="5">
        <v>22</v>
      </c>
      <c r="AM27" s="1061" t="str">
        <f>IFERROR(INDEX(T08_Spells!$B$3:$B$407,MATCH(S03_Druid!AL27,T08_Spells!$DN$3:$DN$407,0),1),"")</f>
        <v/>
      </c>
      <c r="AN27" s="1061"/>
      <c r="AO27" s="1061"/>
      <c r="AP27" s="1061"/>
      <c r="AQ27" s="1061"/>
      <c r="AR27" s="567"/>
      <c r="AS27" s="569" t="str">
        <f t="shared" si="5"/>
        <v/>
      </c>
      <c r="AT27" s="565">
        <f>IF(OR(AR27="●",AS27="●"),1+COUNTIF(AT$6:AT26,"&gt;0"),0)</f>
        <v>0</v>
      </c>
      <c r="AU27" s="5">
        <v>22</v>
      </c>
      <c r="AV27" s="1061" t="str">
        <f>IFERROR(INDEX(T08_Spells!$B$3:$B$407,MATCH(S03_Druid!AU27,T08_Spells!$DO$3:$DO$407,0),1),"")</f>
        <v/>
      </c>
      <c r="AW27" s="1061"/>
      <c r="AX27" s="1061"/>
      <c r="AY27" s="1061"/>
      <c r="AZ27" s="1061"/>
      <c r="BA27" s="567"/>
      <c r="BB27" s="569" t="str">
        <f t="shared" si="6"/>
        <v/>
      </c>
      <c r="BC27" s="565">
        <f>IF(OR(BA27="●",BB27="●"),1+COUNTIF(BC$6:BC26,"&gt;0"),0)</f>
        <v>0</v>
      </c>
      <c r="BD27" s="5">
        <v>22</v>
      </c>
      <c r="BE27" s="1061" t="str">
        <f>IFERROR(INDEX(T08_Spells!$B$3:$B$407,MATCH(S03_Druid!BD27,T08_Spells!$DP$3:$DP$407,0),1),"")</f>
        <v/>
      </c>
      <c r="BF27" s="1061"/>
      <c r="BG27" s="1061"/>
      <c r="BH27" s="1061"/>
      <c r="BI27" s="1061"/>
      <c r="BJ27" s="567"/>
      <c r="BK27" s="569" t="str">
        <f t="shared" si="7"/>
        <v/>
      </c>
      <c r="BL27" s="565">
        <f>IF(OR(BJ27="●",BK27="●"),1+COUNTIF(BL$6:BL26,"&gt;0"),0)</f>
        <v>0</v>
      </c>
      <c r="BM27" s="5">
        <v>22</v>
      </c>
      <c r="BN27" s="1061" t="str">
        <f>IFERROR(INDEX(T08_Spells!$B$3:$B$407,MATCH(S03_Druid!BM27,T08_Spells!$DQ$3:$DQ$407,0),1),"")</f>
        <v/>
      </c>
      <c r="BO27" s="1061"/>
      <c r="BP27" s="1061"/>
      <c r="BQ27" s="1061"/>
      <c r="BR27" s="1061"/>
      <c r="BS27" s="567"/>
      <c r="BT27" s="569" t="str">
        <f t="shared" si="8"/>
        <v/>
      </c>
      <c r="BU27" s="565">
        <f>IF(OR(BS27="●",BT27="●"),1+COUNTIF(BU$6:BU26,"&gt;0"),0)</f>
        <v>0</v>
      </c>
      <c r="BV27" s="5">
        <v>22</v>
      </c>
      <c r="BW27" s="1061" t="str">
        <f>IFERROR(INDEX(T08_Spells!$B$3:$B$407,MATCH(S03_Druid!BV27,T08_Spells!$DR$3:$DR$407,0),1),"")</f>
        <v/>
      </c>
      <c r="BX27" s="1061"/>
      <c r="BY27" s="1061"/>
      <c r="BZ27" s="1061"/>
      <c r="CA27" s="1061"/>
      <c r="CB27" s="567"/>
      <c r="CC27" s="569" t="str">
        <f t="shared" si="9"/>
        <v/>
      </c>
      <c r="CD27" s="565">
        <f>IF(OR(CB27="●",CC27="●"),1+COUNTIF(CD$6:CD26,"&gt;0"),0)</f>
        <v>0</v>
      </c>
      <c r="CE27" s="565"/>
      <c r="CF27" s="565"/>
      <c r="CG27" s="565"/>
      <c r="CH27" s="565"/>
      <c r="CI27" s="565"/>
      <c r="CJ27" s="565"/>
      <c r="CK27" s="565"/>
    </row>
    <row r="28" spans="1:89" ht="21" x14ac:dyDescent="0.25">
      <c r="A28" s="120"/>
      <c r="B28" s="5">
        <v>23</v>
      </c>
      <c r="C28" s="1061" t="str">
        <f>IFERROR(INDEX(T08_Spells!$B$3:$B$407,MATCH(S03_Druid!B28,T08_Spells!$DJ$3:$DJ$407,0),1),"")</f>
        <v/>
      </c>
      <c r="D28" s="1061"/>
      <c r="E28" s="1061"/>
      <c r="F28" s="1061"/>
      <c r="G28" s="1061"/>
      <c r="H28" s="567"/>
      <c r="I28" s="569" t="str">
        <f t="shared" si="1"/>
        <v/>
      </c>
      <c r="J28" s="565">
        <f>IF(OR(H28="●",I28="●"),1+COUNTIF(J$6:J27,"&gt;0"),0)</f>
        <v>0</v>
      </c>
      <c r="K28" s="5">
        <v>23</v>
      </c>
      <c r="L28" s="1061" t="str">
        <f>IFERROR(INDEX(T08_Spells!$B$3:$B$407,MATCH(S03_Druid!K28,T08_Spells!$DK$3:$DK$407,0),1),"")</f>
        <v/>
      </c>
      <c r="M28" s="1061"/>
      <c r="N28" s="1061"/>
      <c r="O28" s="1061"/>
      <c r="P28" s="1061"/>
      <c r="Q28" s="567"/>
      <c r="R28" s="569" t="str">
        <f t="shared" si="2"/>
        <v/>
      </c>
      <c r="S28" s="565">
        <f>IF(OR(Q28="●",R28="●"),1+COUNTIF(S$6:S27,"&gt;0"),0)</f>
        <v>0</v>
      </c>
      <c r="T28" s="5">
        <v>23</v>
      </c>
      <c r="U28" s="1061" t="str">
        <f>IFERROR(INDEX(T08_Spells!$B$3:$B$407,MATCH(S03_Druid!T28,T08_Spells!$DL$3:$DL$407,0),1),"")</f>
        <v/>
      </c>
      <c r="V28" s="1061"/>
      <c r="W28" s="1061"/>
      <c r="X28" s="1061"/>
      <c r="Y28" s="1061"/>
      <c r="Z28" s="567"/>
      <c r="AA28" s="569" t="str">
        <f t="shared" si="3"/>
        <v/>
      </c>
      <c r="AB28" s="565">
        <f>IF(OR(Z28="●",AA28="●"),1+COUNTIF(AB$6:AB27,"&gt;0"),0)</f>
        <v>0</v>
      </c>
      <c r="AC28" s="5">
        <v>23</v>
      </c>
      <c r="AD28" s="1061" t="str">
        <f>IFERROR(INDEX(T08_Spells!$B$3:$B$407,MATCH(S03_Druid!AC28,T08_Spells!$DM$3:$DM$407,0),1),"")</f>
        <v/>
      </c>
      <c r="AE28" s="1061"/>
      <c r="AF28" s="1061"/>
      <c r="AG28" s="1061"/>
      <c r="AH28" s="1061"/>
      <c r="AI28" s="567"/>
      <c r="AJ28" s="569" t="str">
        <f t="shared" si="4"/>
        <v/>
      </c>
      <c r="AK28" s="565">
        <f>IF(OR(AI28="●",AJ28="●"),1+COUNTIF(AK$6:AK27,"&gt;0"),0)</f>
        <v>0</v>
      </c>
      <c r="AL28" s="5">
        <v>23</v>
      </c>
      <c r="AM28" s="1061" t="str">
        <f>IFERROR(INDEX(T08_Spells!$B$3:$B$407,MATCH(S03_Druid!AL28,T08_Spells!$DN$3:$DN$407,0),1),"")</f>
        <v/>
      </c>
      <c r="AN28" s="1061"/>
      <c r="AO28" s="1061"/>
      <c r="AP28" s="1061"/>
      <c r="AQ28" s="1061"/>
      <c r="AR28" s="567"/>
      <c r="AS28" s="569" t="str">
        <f t="shared" si="5"/>
        <v/>
      </c>
      <c r="AT28" s="565">
        <f>IF(OR(AR28="●",AS28="●"),1+COUNTIF(AT$6:AT27,"&gt;0"),0)</f>
        <v>0</v>
      </c>
      <c r="AU28" s="5">
        <v>23</v>
      </c>
      <c r="AV28" s="1061" t="str">
        <f>IFERROR(INDEX(T08_Spells!$B$3:$B$407,MATCH(S03_Druid!AU28,T08_Spells!$DO$3:$DO$407,0),1),"")</f>
        <v/>
      </c>
      <c r="AW28" s="1061"/>
      <c r="AX28" s="1061"/>
      <c r="AY28" s="1061"/>
      <c r="AZ28" s="1061"/>
      <c r="BA28" s="567"/>
      <c r="BB28" s="569" t="str">
        <f t="shared" si="6"/>
        <v/>
      </c>
      <c r="BC28" s="565">
        <f>IF(OR(BA28="●",BB28="●"),1+COUNTIF(BC$6:BC27,"&gt;0"),0)</f>
        <v>0</v>
      </c>
      <c r="BD28" s="5">
        <v>23</v>
      </c>
      <c r="BE28" s="1061" t="str">
        <f>IFERROR(INDEX(T08_Spells!$B$3:$B$407,MATCH(S03_Druid!BD28,T08_Spells!$DP$3:$DP$407,0),1),"")</f>
        <v/>
      </c>
      <c r="BF28" s="1061"/>
      <c r="BG28" s="1061"/>
      <c r="BH28" s="1061"/>
      <c r="BI28" s="1061"/>
      <c r="BJ28" s="567"/>
      <c r="BK28" s="569" t="str">
        <f t="shared" si="7"/>
        <v/>
      </c>
      <c r="BL28" s="565">
        <f>IF(OR(BJ28="●",BK28="●"),1+COUNTIF(BL$6:BL27,"&gt;0"),0)</f>
        <v>0</v>
      </c>
      <c r="BM28" s="5">
        <v>23</v>
      </c>
      <c r="BN28" s="1061" t="str">
        <f>IFERROR(INDEX(T08_Spells!$B$3:$B$407,MATCH(S03_Druid!BM28,T08_Spells!$DQ$3:$DQ$407,0),1),"")</f>
        <v/>
      </c>
      <c r="BO28" s="1061"/>
      <c r="BP28" s="1061"/>
      <c r="BQ28" s="1061"/>
      <c r="BR28" s="1061"/>
      <c r="BS28" s="567"/>
      <c r="BT28" s="569" t="str">
        <f t="shared" si="8"/>
        <v/>
      </c>
      <c r="BU28" s="565">
        <f>IF(OR(BS28="●",BT28="●"),1+COUNTIF(BU$6:BU27,"&gt;0"),0)</f>
        <v>0</v>
      </c>
      <c r="BV28" s="5">
        <v>23</v>
      </c>
      <c r="BW28" s="1061" t="str">
        <f>IFERROR(INDEX(T08_Spells!$B$3:$B$407,MATCH(S03_Druid!BV28,T08_Spells!$DR$3:$DR$407,0),1),"")</f>
        <v/>
      </c>
      <c r="BX28" s="1061"/>
      <c r="BY28" s="1061"/>
      <c r="BZ28" s="1061"/>
      <c r="CA28" s="1061"/>
      <c r="CB28" s="567"/>
      <c r="CC28" s="569" t="str">
        <f t="shared" si="9"/>
        <v/>
      </c>
      <c r="CD28" s="565">
        <f>IF(OR(CB28="●",CC28="●"),1+COUNTIF(CD$6:CD27,"&gt;0"),0)</f>
        <v>0</v>
      </c>
      <c r="CE28" s="565"/>
      <c r="CF28" s="565"/>
      <c r="CG28" s="565"/>
      <c r="CH28" s="565"/>
      <c r="CI28" s="565"/>
      <c r="CJ28" s="565"/>
      <c r="CK28" s="565"/>
    </row>
    <row r="29" spans="1:89" ht="21" x14ac:dyDescent="0.25">
      <c r="A29" s="120"/>
      <c r="B29" s="5">
        <v>24</v>
      </c>
      <c r="C29" s="1061" t="str">
        <f>IFERROR(INDEX(T08_Spells!$B$3:$B$407,MATCH(S03_Druid!B29,T08_Spells!$DJ$3:$DJ$407,0),1),"")</f>
        <v/>
      </c>
      <c r="D29" s="1061"/>
      <c r="E29" s="1061"/>
      <c r="F29" s="1061"/>
      <c r="G29" s="1061"/>
      <c r="H29" s="567"/>
      <c r="I29" s="569" t="str">
        <f t="shared" si="1"/>
        <v/>
      </c>
      <c r="J29" s="565">
        <f>IF(OR(H29="●",I29="●"),1+COUNTIF(J$6:J28,"&gt;0"),0)</f>
        <v>0</v>
      </c>
      <c r="K29" s="5">
        <v>24</v>
      </c>
      <c r="L29" s="1061" t="str">
        <f>IFERROR(INDEX(T08_Spells!$B$3:$B$407,MATCH(S03_Druid!K29,T08_Spells!$DK$3:$DK$407,0),1),"")</f>
        <v/>
      </c>
      <c r="M29" s="1061"/>
      <c r="N29" s="1061"/>
      <c r="O29" s="1061"/>
      <c r="P29" s="1061"/>
      <c r="Q29" s="567"/>
      <c r="R29" s="569" t="str">
        <f t="shared" si="2"/>
        <v/>
      </c>
      <c r="S29" s="565">
        <f>IF(OR(Q29="●",R29="●"),1+COUNTIF(S$6:S28,"&gt;0"),0)</f>
        <v>0</v>
      </c>
      <c r="T29" s="5">
        <v>24</v>
      </c>
      <c r="U29" s="1061" t="str">
        <f>IFERROR(INDEX(T08_Spells!$B$3:$B$407,MATCH(S03_Druid!T29,T08_Spells!$DL$3:$DL$407,0),1),"")</f>
        <v/>
      </c>
      <c r="V29" s="1061"/>
      <c r="W29" s="1061"/>
      <c r="X29" s="1061"/>
      <c r="Y29" s="1061"/>
      <c r="Z29" s="567"/>
      <c r="AA29" s="569" t="str">
        <f t="shared" si="3"/>
        <v/>
      </c>
      <c r="AB29" s="565">
        <f>IF(OR(Z29="●",AA29="●"),1+COUNTIF(AB$6:AB28,"&gt;0"),0)</f>
        <v>0</v>
      </c>
      <c r="AC29" s="5">
        <v>24</v>
      </c>
      <c r="AD29" s="1061" t="str">
        <f>IFERROR(INDEX(T08_Spells!$B$3:$B$407,MATCH(S03_Druid!AC29,T08_Spells!$DM$3:$DM$407,0),1),"")</f>
        <v/>
      </c>
      <c r="AE29" s="1061"/>
      <c r="AF29" s="1061"/>
      <c r="AG29" s="1061"/>
      <c r="AH29" s="1061"/>
      <c r="AI29" s="567"/>
      <c r="AJ29" s="569" t="str">
        <f t="shared" si="4"/>
        <v/>
      </c>
      <c r="AK29" s="565">
        <f>IF(OR(AI29="●",AJ29="●"),1+COUNTIF(AK$6:AK28,"&gt;0"),0)</f>
        <v>0</v>
      </c>
      <c r="AL29" s="5">
        <v>24</v>
      </c>
      <c r="AM29" s="1061" t="str">
        <f>IFERROR(INDEX(T08_Spells!$B$3:$B$407,MATCH(S03_Druid!AL29,T08_Spells!$DN$3:$DN$407,0),1),"")</f>
        <v/>
      </c>
      <c r="AN29" s="1061"/>
      <c r="AO29" s="1061"/>
      <c r="AP29" s="1061"/>
      <c r="AQ29" s="1061"/>
      <c r="AR29" s="567"/>
      <c r="AS29" s="569" t="str">
        <f t="shared" si="5"/>
        <v/>
      </c>
      <c r="AT29" s="565">
        <f>IF(OR(AR29="●",AS29="●"),1+COUNTIF(AT$6:AT28,"&gt;0"),0)</f>
        <v>0</v>
      </c>
      <c r="AU29" s="5">
        <v>24</v>
      </c>
      <c r="AV29" s="1061" t="str">
        <f>IFERROR(INDEX(T08_Spells!$B$3:$B$407,MATCH(S03_Druid!AU29,T08_Spells!$DO$3:$DO$407,0),1),"")</f>
        <v/>
      </c>
      <c r="AW29" s="1061"/>
      <c r="AX29" s="1061"/>
      <c r="AY29" s="1061"/>
      <c r="AZ29" s="1061"/>
      <c r="BA29" s="567"/>
      <c r="BB29" s="569" t="str">
        <f t="shared" si="6"/>
        <v/>
      </c>
      <c r="BC29" s="565">
        <f>IF(OR(BA29="●",BB29="●"),1+COUNTIF(BC$6:BC28,"&gt;0"),0)</f>
        <v>0</v>
      </c>
      <c r="BD29" s="5">
        <v>24</v>
      </c>
      <c r="BE29" s="1061" t="str">
        <f>IFERROR(INDEX(T08_Spells!$B$3:$B$407,MATCH(S03_Druid!BD29,T08_Spells!$DP$3:$DP$407,0),1),"")</f>
        <v/>
      </c>
      <c r="BF29" s="1061"/>
      <c r="BG29" s="1061"/>
      <c r="BH29" s="1061"/>
      <c r="BI29" s="1061"/>
      <c r="BJ29" s="567"/>
      <c r="BK29" s="569" t="str">
        <f t="shared" si="7"/>
        <v/>
      </c>
      <c r="BL29" s="565">
        <f>IF(OR(BJ29="●",BK29="●"),1+COUNTIF(BL$6:BL28,"&gt;0"),0)</f>
        <v>0</v>
      </c>
      <c r="BM29" s="5">
        <v>24</v>
      </c>
      <c r="BN29" s="1061" t="str">
        <f>IFERROR(INDEX(T08_Spells!$B$3:$B$407,MATCH(S03_Druid!BM29,T08_Spells!$DQ$3:$DQ$407,0),1),"")</f>
        <v/>
      </c>
      <c r="BO29" s="1061"/>
      <c r="BP29" s="1061"/>
      <c r="BQ29" s="1061"/>
      <c r="BR29" s="1061"/>
      <c r="BS29" s="567"/>
      <c r="BT29" s="569" t="str">
        <f t="shared" si="8"/>
        <v/>
      </c>
      <c r="BU29" s="565">
        <f>IF(OR(BS29="●",BT29="●"),1+COUNTIF(BU$6:BU28,"&gt;0"),0)</f>
        <v>0</v>
      </c>
      <c r="BV29" s="5">
        <v>24</v>
      </c>
      <c r="BW29" s="1061" t="str">
        <f>IFERROR(INDEX(T08_Spells!$B$3:$B$407,MATCH(S03_Druid!BV29,T08_Spells!$DR$3:$DR$407,0),1),"")</f>
        <v/>
      </c>
      <c r="BX29" s="1061"/>
      <c r="BY29" s="1061"/>
      <c r="BZ29" s="1061"/>
      <c r="CA29" s="1061"/>
      <c r="CB29" s="567"/>
      <c r="CC29" s="569" t="str">
        <f t="shared" si="9"/>
        <v/>
      </c>
      <c r="CD29" s="565">
        <f>IF(OR(CB29="●",CC29="●"),1+COUNTIF(CD$6:CD28,"&gt;0"),0)</f>
        <v>0</v>
      </c>
      <c r="CE29" s="565"/>
      <c r="CF29" s="565"/>
      <c r="CG29" s="565"/>
      <c r="CH29" s="565"/>
      <c r="CI29" s="565"/>
      <c r="CJ29" s="565"/>
      <c r="CK29" s="565"/>
    </row>
    <row r="30" spans="1:89" ht="21" x14ac:dyDescent="0.25">
      <c r="A30" s="120"/>
      <c r="B30" s="5">
        <v>25</v>
      </c>
      <c r="C30" s="1061" t="str">
        <f>IFERROR(INDEX(T08_Spells!$B$3:$B$407,MATCH(S03_Druid!B30,T08_Spells!$DJ$3:$DJ$407,0),1),"")</f>
        <v/>
      </c>
      <c r="D30" s="1061"/>
      <c r="E30" s="1061"/>
      <c r="F30" s="1061"/>
      <c r="G30" s="1061"/>
      <c r="H30" s="567"/>
      <c r="I30" s="569" t="str">
        <f t="shared" si="1"/>
        <v/>
      </c>
      <c r="J30" s="565">
        <f>IF(OR(H30="●",I30="●"),1+COUNTIF(J$6:J29,"&gt;0"),0)</f>
        <v>0</v>
      </c>
      <c r="K30" s="5">
        <v>25</v>
      </c>
      <c r="L30" s="1061" t="str">
        <f>IFERROR(INDEX(T08_Spells!$B$3:$B$407,MATCH(S03_Druid!K30,T08_Spells!$DK$3:$DK$407,0),1),"")</f>
        <v/>
      </c>
      <c r="M30" s="1061"/>
      <c r="N30" s="1061"/>
      <c r="O30" s="1061"/>
      <c r="P30" s="1061"/>
      <c r="Q30" s="567"/>
      <c r="R30" s="569" t="str">
        <f t="shared" si="2"/>
        <v/>
      </c>
      <c r="S30" s="565">
        <f>IF(OR(Q30="●",R30="●"),1+COUNTIF(S$6:S29,"&gt;0"),0)</f>
        <v>0</v>
      </c>
      <c r="T30" s="5">
        <v>25</v>
      </c>
      <c r="U30" s="1061" t="str">
        <f>IFERROR(INDEX(T08_Spells!$B$3:$B$407,MATCH(S03_Druid!T30,T08_Spells!$DL$3:$DL$407,0),1),"")</f>
        <v/>
      </c>
      <c r="V30" s="1061"/>
      <c r="W30" s="1061"/>
      <c r="X30" s="1061"/>
      <c r="Y30" s="1061"/>
      <c r="Z30" s="567"/>
      <c r="AA30" s="569" t="str">
        <f t="shared" si="3"/>
        <v/>
      </c>
      <c r="AB30" s="565">
        <f>IF(OR(Z30="●",AA30="●"),1+COUNTIF(AB$6:AB29,"&gt;0"),0)</f>
        <v>0</v>
      </c>
      <c r="AC30" s="5">
        <v>25</v>
      </c>
      <c r="AD30" s="1061" t="str">
        <f>IFERROR(INDEX(T08_Spells!$B$3:$B$407,MATCH(S03_Druid!AC30,T08_Spells!$DM$3:$DM$407,0),1),"")</f>
        <v/>
      </c>
      <c r="AE30" s="1061"/>
      <c r="AF30" s="1061"/>
      <c r="AG30" s="1061"/>
      <c r="AH30" s="1061"/>
      <c r="AI30" s="567"/>
      <c r="AJ30" s="569" t="str">
        <f t="shared" si="4"/>
        <v/>
      </c>
      <c r="AK30" s="565">
        <f>IF(OR(AI30="●",AJ30="●"),1+COUNTIF(AK$6:AK29,"&gt;0"),0)</f>
        <v>0</v>
      </c>
      <c r="AL30" s="5">
        <v>25</v>
      </c>
      <c r="AM30" s="1061" t="str">
        <f>IFERROR(INDEX(T08_Spells!$B$3:$B$407,MATCH(S03_Druid!AL30,T08_Spells!$DN$3:$DN$407,0),1),"")</f>
        <v/>
      </c>
      <c r="AN30" s="1061"/>
      <c r="AO30" s="1061"/>
      <c r="AP30" s="1061"/>
      <c r="AQ30" s="1061"/>
      <c r="AR30" s="567"/>
      <c r="AS30" s="569" t="str">
        <f t="shared" si="5"/>
        <v/>
      </c>
      <c r="AT30" s="565">
        <f>IF(OR(AR30="●",AS30="●"),1+COUNTIF(AT$6:AT29,"&gt;0"),0)</f>
        <v>0</v>
      </c>
      <c r="AU30" s="5">
        <v>25</v>
      </c>
      <c r="AV30" s="1061" t="str">
        <f>IFERROR(INDEX(T08_Spells!$B$3:$B$407,MATCH(S03_Druid!AU30,T08_Spells!$DO$3:$DO$407,0),1),"")</f>
        <v/>
      </c>
      <c r="AW30" s="1061"/>
      <c r="AX30" s="1061"/>
      <c r="AY30" s="1061"/>
      <c r="AZ30" s="1061"/>
      <c r="BA30" s="567"/>
      <c r="BB30" s="569" t="str">
        <f t="shared" si="6"/>
        <v/>
      </c>
      <c r="BC30" s="565">
        <f>IF(OR(BA30="●",BB30="●"),1+COUNTIF(BC$6:BC29,"&gt;0"),0)</f>
        <v>0</v>
      </c>
      <c r="BD30" s="5">
        <v>25</v>
      </c>
      <c r="BE30" s="1061" t="str">
        <f>IFERROR(INDEX(T08_Spells!$B$3:$B$407,MATCH(S03_Druid!BD30,T08_Spells!$DP$3:$DP$407,0),1),"")</f>
        <v/>
      </c>
      <c r="BF30" s="1061"/>
      <c r="BG30" s="1061"/>
      <c r="BH30" s="1061"/>
      <c r="BI30" s="1061"/>
      <c r="BJ30" s="567"/>
      <c r="BK30" s="569" t="str">
        <f t="shared" si="7"/>
        <v/>
      </c>
      <c r="BL30" s="565">
        <f>IF(OR(BJ30="●",BK30="●"),1+COUNTIF(BL$6:BL29,"&gt;0"),0)</f>
        <v>0</v>
      </c>
      <c r="BM30" s="5">
        <v>25</v>
      </c>
      <c r="BN30" s="1061" t="str">
        <f>IFERROR(INDEX(T08_Spells!$B$3:$B$407,MATCH(S03_Druid!BM30,T08_Spells!$DQ$3:$DQ$407,0),1),"")</f>
        <v/>
      </c>
      <c r="BO30" s="1061"/>
      <c r="BP30" s="1061"/>
      <c r="BQ30" s="1061"/>
      <c r="BR30" s="1061"/>
      <c r="BS30" s="567"/>
      <c r="BT30" s="569" t="str">
        <f t="shared" si="8"/>
        <v/>
      </c>
      <c r="BU30" s="565">
        <f>IF(OR(BS30="●",BT30="●"),1+COUNTIF(BU$6:BU29,"&gt;0"),0)</f>
        <v>0</v>
      </c>
      <c r="BV30" s="5">
        <v>25</v>
      </c>
      <c r="BW30" s="1061" t="str">
        <f>IFERROR(INDEX(T08_Spells!$B$3:$B$407,MATCH(S03_Druid!BV30,T08_Spells!$DR$3:$DR$407,0),1),"")</f>
        <v/>
      </c>
      <c r="BX30" s="1061"/>
      <c r="BY30" s="1061"/>
      <c r="BZ30" s="1061"/>
      <c r="CA30" s="1061"/>
      <c r="CB30" s="567"/>
      <c r="CC30" s="569" t="str">
        <f t="shared" si="9"/>
        <v/>
      </c>
      <c r="CD30" s="565">
        <f>IF(OR(CB30="●",CC30="●"),1+COUNTIF(CD$6:CD29,"&gt;0"),0)</f>
        <v>0</v>
      </c>
      <c r="CE30" s="565"/>
      <c r="CF30" s="565"/>
      <c r="CG30" s="565"/>
      <c r="CH30" s="565"/>
      <c r="CI30" s="565"/>
      <c r="CJ30" s="565"/>
      <c r="CK30" s="565"/>
    </row>
    <row r="31" spans="1:89" ht="21" x14ac:dyDescent="0.25">
      <c r="A31" s="120"/>
      <c r="B31" s="5">
        <v>26</v>
      </c>
      <c r="C31" s="1061" t="str">
        <f>IFERROR(INDEX(T08_Spells!$B$3:$B$407,MATCH(S03_Druid!B31,T08_Spells!$DJ$3:$DJ$407,0),1),"")</f>
        <v/>
      </c>
      <c r="D31" s="1061"/>
      <c r="E31" s="1061"/>
      <c r="F31" s="1061"/>
      <c r="G31" s="1061"/>
      <c r="H31" s="567"/>
      <c r="I31" s="569" t="str">
        <f t="shared" si="1"/>
        <v/>
      </c>
      <c r="J31" s="565">
        <f>IF(OR(H31="●",I31="●"),1+COUNTIF(J$6:J30,"&gt;0"),0)</f>
        <v>0</v>
      </c>
      <c r="K31" s="5">
        <v>26</v>
      </c>
      <c r="L31" s="1061" t="str">
        <f>IFERROR(INDEX(T08_Spells!$B$3:$B$407,MATCH(S03_Druid!K31,T08_Spells!$DK$3:$DK$407,0),1),"")</f>
        <v/>
      </c>
      <c r="M31" s="1061"/>
      <c r="N31" s="1061"/>
      <c r="O31" s="1061"/>
      <c r="P31" s="1061"/>
      <c r="Q31" s="567"/>
      <c r="R31" s="569" t="str">
        <f t="shared" si="2"/>
        <v/>
      </c>
      <c r="S31" s="565">
        <f>IF(OR(Q31="●",R31="●"),1+COUNTIF(S$6:S30,"&gt;0"),0)</f>
        <v>0</v>
      </c>
      <c r="T31" s="5">
        <v>26</v>
      </c>
      <c r="U31" s="1061" t="str">
        <f>IFERROR(INDEX(T08_Spells!$B$3:$B$407,MATCH(S03_Druid!T31,T08_Spells!$DL$3:$DL$407,0),1),"")</f>
        <v/>
      </c>
      <c r="V31" s="1061"/>
      <c r="W31" s="1061"/>
      <c r="X31" s="1061"/>
      <c r="Y31" s="1061"/>
      <c r="Z31" s="567"/>
      <c r="AA31" s="569" t="str">
        <f t="shared" si="3"/>
        <v/>
      </c>
      <c r="AB31" s="565">
        <f>IF(OR(Z31="●",AA31="●"),1+COUNTIF(AB$6:AB30,"&gt;0"),0)</f>
        <v>0</v>
      </c>
      <c r="AC31" s="5">
        <v>26</v>
      </c>
      <c r="AD31" s="1061" t="str">
        <f>IFERROR(INDEX(T08_Spells!$B$3:$B$407,MATCH(S03_Druid!AC31,T08_Spells!$DM$3:$DM$407,0),1),"")</f>
        <v/>
      </c>
      <c r="AE31" s="1061"/>
      <c r="AF31" s="1061"/>
      <c r="AG31" s="1061"/>
      <c r="AH31" s="1061"/>
      <c r="AI31" s="567" t="s">
        <v>3034</v>
      </c>
      <c r="AJ31" s="569" t="str">
        <f t="shared" si="4"/>
        <v/>
      </c>
      <c r="AK31" s="565">
        <f>IF(OR(AI31="●",AJ31="●"),1+COUNTIF(AK$6:AK30,"&gt;0"),0)</f>
        <v>0</v>
      </c>
      <c r="AL31" s="5">
        <v>26</v>
      </c>
      <c r="AM31" s="1061" t="str">
        <f>IFERROR(INDEX(T08_Spells!$B$3:$B$407,MATCH(S03_Druid!AL31,T08_Spells!$DN$3:$DN$407,0),1),"")</f>
        <v/>
      </c>
      <c r="AN31" s="1061"/>
      <c r="AO31" s="1061"/>
      <c r="AP31" s="1061"/>
      <c r="AQ31" s="1061"/>
      <c r="AR31" s="567"/>
      <c r="AS31" s="569" t="str">
        <f t="shared" si="5"/>
        <v/>
      </c>
      <c r="AT31" s="565">
        <f>IF(OR(AR31="●",AS31="●"),1+COUNTIF(AT$6:AT30,"&gt;0"),0)</f>
        <v>0</v>
      </c>
      <c r="AU31" s="5">
        <v>26</v>
      </c>
      <c r="AV31" s="1061" t="str">
        <f>IFERROR(INDEX(T08_Spells!$B$3:$B$407,MATCH(S03_Druid!AU31,T08_Spells!$DO$3:$DO$407,0),1),"")</f>
        <v/>
      </c>
      <c r="AW31" s="1061"/>
      <c r="AX31" s="1061"/>
      <c r="AY31" s="1061"/>
      <c r="AZ31" s="1061"/>
      <c r="BA31" s="567"/>
      <c r="BB31" s="569" t="str">
        <f t="shared" si="6"/>
        <v/>
      </c>
      <c r="BC31" s="565">
        <f>IF(OR(BA31="●",BB31="●"),1+COUNTIF(BC$6:BC30,"&gt;0"),0)</f>
        <v>0</v>
      </c>
      <c r="BD31" s="5">
        <v>26</v>
      </c>
      <c r="BE31" s="1061" t="str">
        <f>IFERROR(INDEX(T08_Spells!$B$3:$B$407,MATCH(S03_Druid!BD31,T08_Spells!$DP$3:$DP$407,0),1),"")</f>
        <v/>
      </c>
      <c r="BF31" s="1061"/>
      <c r="BG31" s="1061"/>
      <c r="BH31" s="1061"/>
      <c r="BI31" s="1061"/>
      <c r="BJ31" s="567"/>
      <c r="BK31" s="569" t="str">
        <f t="shared" si="7"/>
        <v/>
      </c>
      <c r="BL31" s="565">
        <f>IF(OR(BJ31="●",BK31="●"),1+COUNTIF(BL$6:BL30,"&gt;0"),0)</f>
        <v>0</v>
      </c>
      <c r="BM31" s="5">
        <v>26</v>
      </c>
      <c r="BN31" s="1061" t="str">
        <f>IFERROR(INDEX(T08_Spells!$B$3:$B$407,MATCH(S03_Druid!BM31,T08_Spells!$DQ$3:$DQ$407,0),1),"")</f>
        <v/>
      </c>
      <c r="BO31" s="1061"/>
      <c r="BP31" s="1061"/>
      <c r="BQ31" s="1061"/>
      <c r="BR31" s="1061"/>
      <c r="BS31" s="567"/>
      <c r="BT31" s="569" t="str">
        <f t="shared" si="8"/>
        <v/>
      </c>
      <c r="BU31" s="565">
        <f>IF(OR(BS31="●",BT31="●"),1+COUNTIF(BU$6:BU30,"&gt;0"),0)</f>
        <v>0</v>
      </c>
      <c r="BV31" s="5">
        <v>26</v>
      </c>
      <c r="BW31" s="1061" t="str">
        <f>IFERROR(INDEX(T08_Spells!$B$3:$B$407,MATCH(S03_Druid!BV31,T08_Spells!$DR$3:$DR$407,0),1),"")</f>
        <v/>
      </c>
      <c r="BX31" s="1061"/>
      <c r="BY31" s="1061"/>
      <c r="BZ31" s="1061"/>
      <c r="CA31" s="1061"/>
      <c r="CB31" s="567"/>
      <c r="CC31" s="569" t="str">
        <f t="shared" si="9"/>
        <v/>
      </c>
      <c r="CD31" s="565">
        <f>IF(OR(CB31="●",CC31="●"),1+COUNTIF(CD$6:CD30,"&gt;0"),0)</f>
        <v>0</v>
      </c>
      <c r="CE31" s="565"/>
      <c r="CF31" s="565"/>
      <c r="CG31" s="565"/>
      <c r="CH31" s="565"/>
      <c r="CI31" s="565"/>
      <c r="CJ31" s="565"/>
      <c r="CK31" s="565"/>
    </row>
    <row r="32" spans="1:89" ht="21" x14ac:dyDescent="0.25">
      <c r="A32" s="120"/>
      <c r="B32" s="5">
        <v>27</v>
      </c>
      <c r="C32" s="1061" t="str">
        <f>IFERROR(INDEX(T08_Spells!$B$3:$B$407,MATCH(S03_Druid!B32,T08_Spells!$DJ$3:$DJ$407,0),1),"")</f>
        <v/>
      </c>
      <c r="D32" s="1061"/>
      <c r="E32" s="1061"/>
      <c r="F32" s="1061"/>
      <c r="G32" s="1061"/>
      <c r="H32" s="567"/>
      <c r="I32" s="569" t="str">
        <f t="shared" si="1"/>
        <v/>
      </c>
      <c r="J32" s="565">
        <f>IF(OR(H32="●",I32="●"),1+COUNTIF(J$6:J31,"&gt;0"),0)</f>
        <v>0</v>
      </c>
      <c r="K32" s="5">
        <v>27</v>
      </c>
      <c r="L32" s="1061" t="str">
        <f>IFERROR(INDEX(T08_Spells!$B$3:$B$407,MATCH(S03_Druid!K32,T08_Spells!$DK$3:$DK$407,0),1),"")</f>
        <v/>
      </c>
      <c r="M32" s="1061"/>
      <c r="N32" s="1061"/>
      <c r="O32" s="1061"/>
      <c r="P32" s="1061"/>
      <c r="Q32" s="567"/>
      <c r="R32" s="569" t="str">
        <f t="shared" si="2"/>
        <v/>
      </c>
      <c r="S32" s="565">
        <f>IF(OR(Q32="●",R32="●"),1+COUNTIF(S$6:S31,"&gt;0"),0)</f>
        <v>0</v>
      </c>
      <c r="T32" s="5">
        <v>27</v>
      </c>
      <c r="U32" s="1061" t="str">
        <f>IFERROR(INDEX(T08_Spells!$B$3:$B$407,MATCH(S03_Druid!T32,T08_Spells!$DL$3:$DL$407,0),1),"")</f>
        <v/>
      </c>
      <c r="V32" s="1061"/>
      <c r="W32" s="1061"/>
      <c r="X32" s="1061"/>
      <c r="Y32" s="1061"/>
      <c r="Z32" s="567"/>
      <c r="AA32" s="569" t="str">
        <f t="shared" si="3"/>
        <v/>
      </c>
      <c r="AB32" s="565">
        <f>IF(OR(Z32="●",AA32="●"),1+COUNTIF(AB$6:AB31,"&gt;0"),0)</f>
        <v>0</v>
      </c>
      <c r="AC32" s="5">
        <v>27</v>
      </c>
      <c r="AD32" s="1061" t="str">
        <f>IFERROR(INDEX(T08_Spells!$B$3:$B$407,MATCH(S03_Druid!AC32,T08_Spells!$DM$3:$DM$407,0),1),"")</f>
        <v/>
      </c>
      <c r="AE32" s="1061"/>
      <c r="AF32" s="1061"/>
      <c r="AG32" s="1061"/>
      <c r="AH32" s="1061"/>
      <c r="AI32" s="567" t="s">
        <v>3034</v>
      </c>
      <c r="AJ32" s="569" t="str">
        <f t="shared" si="4"/>
        <v/>
      </c>
      <c r="AK32" s="565">
        <f>IF(OR(AI32="●",AJ32="●"),1+COUNTIF(AK$6:AK31,"&gt;0"),0)</f>
        <v>0</v>
      </c>
      <c r="AL32" s="5">
        <v>27</v>
      </c>
      <c r="AM32" s="1061" t="str">
        <f>IFERROR(INDEX(T08_Spells!$B$3:$B$407,MATCH(S03_Druid!AL32,T08_Spells!$DN$3:$DN$407,0),1),"")</f>
        <v/>
      </c>
      <c r="AN32" s="1061"/>
      <c r="AO32" s="1061"/>
      <c r="AP32" s="1061"/>
      <c r="AQ32" s="1061"/>
      <c r="AR32" s="567"/>
      <c r="AS32" s="569" t="str">
        <f t="shared" si="5"/>
        <v/>
      </c>
      <c r="AT32" s="565">
        <f>IF(OR(AR32="●",AS32="●"),1+COUNTIF(AT$6:AT31,"&gt;0"),0)</f>
        <v>0</v>
      </c>
      <c r="AU32" s="5">
        <v>27</v>
      </c>
      <c r="AV32" s="1061" t="str">
        <f>IFERROR(INDEX(T08_Spells!$B$3:$B$407,MATCH(S03_Druid!AU32,T08_Spells!$DO$3:$DO$407,0),1),"")</f>
        <v/>
      </c>
      <c r="AW32" s="1061"/>
      <c r="AX32" s="1061"/>
      <c r="AY32" s="1061"/>
      <c r="AZ32" s="1061"/>
      <c r="BA32" s="567"/>
      <c r="BB32" s="569" t="str">
        <f t="shared" si="6"/>
        <v/>
      </c>
      <c r="BC32" s="565">
        <f>IF(OR(BA32="●",BB32="●"),1+COUNTIF(BC$6:BC31,"&gt;0"),0)</f>
        <v>0</v>
      </c>
      <c r="BD32" s="5">
        <v>27</v>
      </c>
      <c r="BE32" s="1061" t="str">
        <f>IFERROR(INDEX(T08_Spells!$B$3:$B$407,MATCH(S03_Druid!BD32,T08_Spells!$DP$3:$DP$407,0),1),"")</f>
        <v/>
      </c>
      <c r="BF32" s="1061"/>
      <c r="BG32" s="1061"/>
      <c r="BH32" s="1061"/>
      <c r="BI32" s="1061"/>
      <c r="BJ32" s="567"/>
      <c r="BK32" s="569" t="str">
        <f t="shared" si="7"/>
        <v/>
      </c>
      <c r="BL32" s="565">
        <f>IF(OR(BJ32="●",BK32="●"),1+COUNTIF(BL$6:BL31,"&gt;0"),0)</f>
        <v>0</v>
      </c>
      <c r="BM32" s="5">
        <v>27</v>
      </c>
      <c r="BN32" s="1061" t="str">
        <f>IFERROR(INDEX(T08_Spells!$B$3:$B$407,MATCH(S03_Druid!BM32,T08_Spells!$DQ$3:$DQ$407,0),1),"")</f>
        <v/>
      </c>
      <c r="BO32" s="1061"/>
      <c r="BP32" s="1061"/>
      <c r="BQ32" s="1061"/>
      <c r="BR32" s="1061"/>
      <c r="BS32" s="567"/>
      <c r="BT32" s="569" t="str">
        <f t="shared" si="8"/>
        <v/>
      </c>
      <c r="BU32" s="565">
        <f>IF(OR(BS32="●",BT32="●"),1+COUNTIF(BU$6:BU31,"&gt;0"),0)</f>
        <v>0</v>
      </c>
      <c r="BV32" s="5">
        <v>27</v>
      </c>
      <c r="BW32" s="1061" t="str">
        <f>IFERROR(INDEX(T08_Spells!$B$3:$B$407,MATCH(S03_Druid!BV32,T08_Spells!$DR$3:$DR$407,0),1),"")</f>
        <v/>
      </c>
      <c r="BX32" s="1061"/>
      <c r="BY32" s="1061"/>
      <c r="BZ32" s="1061"/>
      <c r="CA32" s="1061"/>
      <c r="CB32" s="567"/>
      <c r="CC32" s="569" t="str">
        <f t="shared" si="9"/>
        <v/>
      </c>
      <c r="CD32" s="565">
        <f>IF(OR(CB32="●",CC32="●"),1+COUNTIF(CD$6:CD31,"&gt;0"),0)</f>
        <v>0</v>
      </c>
      <c r="CE32" s="565"/>
      <c r="CF32" s="565"/>
      <c r="CG32" s="565"/>
      <c r="CH32" s="565"/>
      <c r="CI32" s="565"/>
      <c r="CJ32" s="565"/>
      <c r="CK32" s="565"/>
    </row>
    <row r="33" spans="1:89" ht="21" x14ac:dyDescent="0.25">
      <c r="A33" s="120"/>
      <c r="B33" s="5">
        <v>28</v>
      </c>
      <c r="C33" s="1061" t="str">
        <f>IFERROR(INDEX(T08_Spells!$B$3:$B$407,MATCH(S03_Druid!B33,T08_Spells!$DJ$3:$DJ$407,0),1),"")</f>
        <v/>
      </c>
      <c r="D33" s="1061"/>
      <c r="E33" s="1061"/>
      <c r="F33" s="1061"/>
      <c r="G33" s="1061"/>
      <c r="H33" s="567"/>
      <c r="I33" s="569" t="str">
        <f t="shared" si="1"/>
        <v/>
      </c>
      <c r="J33" s="565">
        <f>IF(OR(H33="●",I33="●"),1+COUNTIF(J$6:J32,"&gt;0"),0)</f>
        <v>0</v>
      </c>
      <c r="K33" s="5">
        <v>28</v>
      </c>
      <c r="L33" s="1061" t="str">
        <f>IFERROR(INDEX(T08_Spells!$B$3:$B$407,MATCH(S03_Druid!K33,T08_Spells!$DK$3:$DK$407,0),1),"")</f>
        <v/>
      </c>
      <c r="M33" s="1061"/>
      <c r="N33" s="1061"/>
      <c r="O33" s="1061"/>
      <c r="P33" s="1061"/>
      <c r="Q33" s="567"/>
      <c r="R33" s="569" t="str">
        <f t="shared" si="2"/>
        <v/>
      </c>
      <c r="S33" s="565">
        <f>IF(OR(Q33="●",R33="●"),1+COUNTIF(S$6:S32,"&gt;0"),0)</f>
        <v>0</v>
      </c>
      <c r="T33" s="5">
        <v>28</v>
      </c>
      <c r="U33" s="1061" t="str">
        <f>IFERROR(INDEX(T08_Spells!$B$3:$B$407,MATCH(S03_Druid!T33,T08_Spells!$DL$3:$DL$407,0),1),"")</f>
        <v/>
      </c>
      <c r="V33" s="1061"/>
      <c r="W33" s="1061"/>
      <c r="X33" s="1061"/>
      <c r="Y33" s="1061"/>
      <c r="Z33" s="567"/>
      <c r="AA33" s="569" t="str">
        <f t="shared" si="3"/>
        <v/>
      </c>
      <c r="AB33" s="565">
        <f>IF(OR(Z33="●",AA33="●"),1+COUNTIF(AB$6:AB32,"&gt;0"),0)</f>
        <v>0</v>
      </c>
      <c r="AC33" s="5">
        <v>28</v>
      </c>
      <c r="AD33" s="1061" t="str">
        <f>IFERROR(INDEX(T08_Spells!$B$3:$B$407,MATCH(S03_Druid!AC33,T08_Spells!$DM$3:$DM$407,0),1),"")</f>
        <v/>
      </c>
      <c r="AE33" s="1061"/>
      <c r="AF33" s="1061"/>
      <c r="AG33" s="1061"/>
      <c r="AH33" s="1061"/>
      <c r="AI33" s="567" t="s">
        <v>3034</v>
      </c>
      <c r="AJ33" s="569" t="str">
        <f t="shared" si="4"/>
        <v/>
      </c>
      <c r="AK33" s="565">
        <f>IF(OR(AI33="●",AJ33="●"),1+COUNTIF(AK$6:AK32,"&gt;0"),0)</f>
        <v>0</v>
      </c>
      <c r="AL33" s="5">
        <v>28</v>
      </c>
      <c r="AM33" s="1061" t="str">
        <f>IFERROR(INDEX(T08_Spells!$B$3:$B$407,MATCH(S03_Druid!AL33,T08_Spells!$DN$3:$DN$407,0),1),"")</f>
        <v/>
      </c>
      <c r="AN33" s="1061"/>
      <c r="AO33" s="1061"/>
      <c r="AP33" s="1061"/>
      <c r="AQ33" s="1061"/>
      <c r="AR33" s="567"/>
      <c r="AS33" s="569" t="str">
        <f t="shared" si="5"/>
        <v/>
      </c>
      <c r="AT33" s="565">
        <f>IF(OR(AR33="●",AS33="●"),1+COUNTIF(AT$6:AT32,"&gt;0"),0)</f>
        <v>0</v>
      </c>
      <c r="AU33" s="5">
        <v>28</v>
      </c>
      <c r="AV33" s="1061" t="str">
        <f>IFERROR(INDEX(T08_Spells!$B$3:$B$407,MATCH(S03_Druid!AU33,T08_Spells!$DO$3:$DO$407,0),1),"")</f>
        <v/>
      </c>
      <c r="AW33" s="1061"/>
      <c r="AX33" s="1061"/>
      <c r="AY33" s="1061"/>
      <c r="AZ33" s="1061"/>
      <c r="BA33" s="567"/>
      <c r="BB33" s="569" t="str">
        <f t="shared" si="6"/>
        <v/>
      </c>
      <c r="BC33" s="565">
        <f>IF(OR(BA33="●",BB33="●"),1+COUNTIF(BC$6:BC32,"&gt;0"),0)</f>
        <v>0</v>
      </c>
      <c r="BD33" s="5">
        <v>28</v>
      </c>
      <c r="BE33" s="1061" t="str">
        <f>IFERROR(INDEX(T08_Spells!$B$3:$B$407,MATCH(S03_Druid!BD33,T08_Spells!$DP$3:$DP$407,0),1),"")</f>
        <v/>
      </c>
      <c r="BF33" s="1061"/>
      <c r="BG33" s="1061"/>
      <c r="BH33" s="1061"/>
      <c r="BI33" s="1061"/>
      <c r="BJ33" s="567"/>
      <c r="BK33" s="569" t="str">
        <f t="shared" si="7"/>
        <v/>
      </c>
      <c r="BL33" s="565">
        <f>IF(OR(BJ33="●",BK33="●"),1+COUNTIF(BL$6:BL32,"&gt;0"),0)</f>
        <v>0</v>
      </c>
      <c r="BM33" s="5">
        <v>28</v>
      </c>
      <c r="BN33" s="1061" t="str">
        <f>IFERROR(INDEX(T08_Spells!$B$3:$B$407,MATCH(S03_Druid!BM33,T08_Spells!$DQ$3:$DQ$407,0),1),"")</f>
        <v/>
      </c>
      <c r="BO33" s="1061"/>
      <c r="BP33" s="1061"/>
      <c r="BQ33" s="1061"/>
      <c r="BR33" s="1061"/>
      <c r="BS33" s="567"/>
      <c r="BT33" s="569" t="str">
        <f t="shared" si="8"/>
        <v/>
      </c>
      <c r="BU33" s="565">
        <f>IF(OR(BS33="●",BT33="●"),1+COUNTIF(BU$6:BU32,"&gt;0"),0)</f>
        <v>0</v>
      </c>
      <c r="BV33" s="5">
        <v>28</v>
      </c>
      <c r="BW33" s="1061" t="str">
        <f>IFERROR(INDEX(T08_Spells!$B$3:$B$407,MATCH(S03_Druid!BV33,T08_Spells!$DR$3:$DR$407,0),1),"")</f>
        <v/>
      </c>
      <c r="BX33" s="1061"/>
      <c r="BY33" s="1061"/>
      <c r="BZ33" s="1061"/>
      <c r="CA33" s="1061"/>
      <c r="CB33" s="567"/>
      <c r="CC33" s="569" t="str">
        <f t="shared" si="9"/>
        <v/>
      </c>
      <c r="CD33" s="565">
        <f>IF(OR(CB33="●",CC33="●"),1+COUNTIF(CD$6:CD32,"&gt;0"),0)</f>
        <v>0</v>
      </c>
      <c r="CE33" s="565"/>
      <c r="CF33" s="565"/>
      <c r="CG33" s="565"/>
      <c r="CH33" s="565"/>
      <c r="CI33" s="565"/>
      <c r="CJ33" s="565"/>
      <c r="CK33" s="565"/>
    </row>
    <row r="34" spans="1:89" ht="21" x14ac:dyDescent="0.25">
      <c r="A34" s="120"/>
      <c r="B34" s="5">
        <v>29</v>
      </c>
      <c r="C34" s="1061" t="str">
        <f>IFERROR(INDEX(T08_Spells!$B$3:$B$407,MATCH(S03_Druid!B34,T08_Spells!$DJ$3:$DJ$407,0),1),"")</f>
        <v/>
      </c>
      <c r="D34" s="1061"/>
      <c r="E34" s="1061"/>
      <c r="F34" s="1061"/>
      <c r="G34" s="1061"/>
      <c r="H34" s="567"/>
      <c r="I34" s="569" t="str">
        <f t="shared" si="1"/>
        <v/>
      </c>
      <c r="J34" s="565">
        <f>IF(OR(H34="●",I34="●"),1+COUNTIF(J$6:J33,"&gt;0"),0)</f>
        <v>0</v>
      </c>
      <c r="K34" s="5">
        <v>29</v>
      </c>
      <c r="L34" s="1061" t="str">
        <f>IFERROR(INDEX(T08_Spells!$B$3:$B$407,MATCH(S03_Druid!K34,T08_Spells!$DK$3:$DK$407,0),1),"")</f>
        <v/>
      </c>
      <c r="M34" s="1061"/>
      <c r="N34" s="1061"/>
      <c r="O34" s="1061"/>
      <c r="P34" s="1061"/>
      <c r="Q34" s="567"/>
      <c r="R34" s="569" t="str">
        <f t="shared" si="2"/>
        <v/>
      </c>
      <c r="S34" s="565">
        <f>IF(OR(Q34="●",R34="●"),1+COUNTIF(S$6:S33,"&gt;0"),0)</f>
        <v>0</v>
      </c>
      <c r="T34" s="5">
        <v>29</v>
      </c>
      <c r="U34" s="1061" t="str">
        <f>IFERROR(INDEX(T08_Spells!$B$3:$B$407,MATCH(S03_Druid!T34,T08_Spells!$DL$3:$DL$407,0),1),"")</f>
        <v/>
      </c>
      <c r="V34" s="1061"/>
      <c r="W34" s="1061"/>
      <c r="X34" s="1061"/>
      <c r="Y34" s="1061"/>
      <c r="Z34" s="567"/>
      <c r="AA34" s="569" t="str">
        <f t="shared" si="3"/>
        <v/>
      </c>
      <c r="AB34" s="565">
        <f>IF(OR(Z34="●",AA34="●"),1+COUNTIF(AB$6:AB33,"&gt;0"),0)</f>
        <v>0</v>
      </c>
      <c r="AC34" s="5">
        <v>29</v>
      </c>
      <c r="AD34" s="1061" t="str">
        <f>IFERROR(INDEX(T08_Spells!$B$3:$B$407,MATCH(S03_Druid!AC34,T08_Spells!$DM$3:$DM$407,0),1),"")</f>
        <v/>
      </c>
      <c r="AE34" s="1061"/>
      <c r="AF34" s="1061"/>
      <c r="AG34" s="1061"/>
      <c r="AH34" s="1061"/>
      <c r="AI34" s="567" t="s">
        <v>3034</v>
      </c>
      <c r="AJ34" s="569" t="str">
        <f t="shared" si="4"/>
        <v/>
      </c>
      <c r="AK34" s="565">
        <f>IF(OR(AI34="●",AJ34="●"),1+COUNTIF(AK$6:AK33,"&gt;0"),0)</f>
        <v>0</v>
      </c>
      <c r="AL34" s="5">
        <v>29</v>
      </c>
      <c r="AM34" s="1061" t="str">
        <f>IFERROR(INDEX(T08_Spells!$B$3:$B$407,MATCH(S03_Druid!AL34,T08_Spells!$DN$3:$DN$407,0),1),"")</f>
        <v/>
      </c>
      <c r="AN34" s="1061"/>
      <c r="AO34" s="1061"/>
      <c r="AP34" s="1061"/>
      <c r="AQ34" s="1061"/>
      <c r="AR34" s="567"/>
      <c r="AS34" s="569" t="str">
        <f t="shared" si="5"/>
        <v/>
      </c>
      <c r="AT34" s="565">
        <f>IF(OR(AR34="●",AS34="●"),1+COUNTIF(AT$6:AT33,"&gt;0"),0)</f>
        <v>0</v>
      </c>
      <c r="AU34" s="5">
        <v>29</v>
      </c>
      <c r="AV34" s="1061" t="str">
        <f>IFERROR(INDEX(T08_Spells!$B$3:$B$407,MATCH(S03_Druid!AU34,T08_Spells!$DO$3:$DO$407,0),1),"")</f>
        <v/>
      </c>
      <c r="AW34" s="1061"/>
      <c r="AX34" s="1061"/>
      <c r="AY34" s="1061"/>
      <c r="AZ34" s="1061"/>
      <c r="BA34" s="567"/>
      <c r="BB34" s="569" t="str">
        <f t="shared" si="6"/>
        <v/>
      </c>
      <c r="BC34" s="565">
        <f>IF(OR(BA34="●",BB34="●"),1+COUNTIF(BC$6:BC33,"&gt;0"),0)</f>
        <v>0</v>
      </c>
      <c r="BD34" s="5">
        <v>29</v>
      </c>
      <c r="BE34" s="1061" t="str">
        <f>IFERROR(INDEX(T08_Spells!$B$3:$B$407,MATCH(S03_Druid!BD34,T08_Spells!$DP$3:$DP$407,0),1),"")</f>
        <v/>
      </c>
      <c r="BF34" s="1061"/>
      <c r="BG34" s="1061"/>
      <c r="BH34" s="1061"/>
      <c r="BI34" s="1061"/>
      <c r="BJ34" s="567"/>
      <c r="BK34" s="569" t="str">
        <f t="shared" si="7"/>
        <v/>
      </c>
      <c r="BL34" s="565">
        <f>IF(OR(BJ34="●",BK34="●"),1+COUNTIF(BL$6:BL33,"&gt;0"),0)</f>
        <v>0</v>
      </c>
      <c r="BM34" s="5">
        <v>29</v>
      </c>
      <c r="BN34" s="1061" t="str">
        <f>IFERROR(INDEX(T08_Spells!$B$3:$B$407,MATCH(S03_Druid!BM34,T08_Spells!$DQ$3:$DQ$407,0),1),"")</f>
        <v/>
      </c>
      <c r="BO34" s="1061"/>
      <c r="BP34" s="1061"/>
      <c r="BQ34" s="1061"/>
      <c r="BR34" s="1061"/>
      <c r="BS34" s="567"/>
      <c r="BT34" s="569" t="str">
        <f t="shared" si="8"/>
        <v/>
      </c>
      <c r="BU34" s="565">
        <f>IF(OR(BS34="●",BT34="●"),1+COUNTIF(BU$6:BU33,"&gt;0"),0)</f>
        <v>0</v>
      </c>
      <c r="BV34" s="5">
        <v>29</v>
      </c>
      <c r="BW34" s="1061" t="str">
        <f>IFERROR(INDEX(T08_Spells!$B$3:$B$407,MATCH(S03_Druid!BV34,T08_Spells!$DR$3:$DR$407,0),1),"")</f>
        <v/>
      </c>
      <c r="BX34" s="1061"/>
      <c r="BY34" s="1061"/>
      <c r="BZ34" s="1061"/>
      <c r="CA34" s="1061"/>
      <c r="CB34" s="567"/>
      <c r="CC34" s="569" t="str">
        <f t="shared" si="9"/>
        <v/>
      </c>
      <c r="CD34" s="565">
        <f>IF(OR(CB34="●",CC34="●"),1+COUNTIF(CD$6:CD33,"&gt;0"),0)</f>
        <v>0</v>
      </c>
      <c r="CE34" s="565"/>
      <c r="CF34" s="565"/>
      <c r="CG34" s="565"/>
      <c r="CH34" s="565"/>
      <c r="CI34" s="565"/>
      <c r="CJ34" s="565"/>
      <c r="CK34" s="565"/>
    </row>
    <row r="35" spans="1:89" ht="21" x14ac:dyDescent="0.25">
      <c r="A35" s="120"/>
      <c r="B35" s="5">
        <v>30</v>
      </c>
      <c r="C35" s="1061" t="str">
        <f>IFERROR(INDEX(T08_Spells!$B$3:$B$407,MATCH(S03_Druid!B35,T08_Spells!$DJ$3:$DJ$407,0),1),"")</f>
        <v/>
      </c>
      <c r="D35" s="1061"/>
      <c r="E35" s="1061"/>
      <c r="F35" s="1061"/>
      <c r="G35" s="1061"/>
      <c r="H35" s="567"/>
      <c r="I35" s="569" t="str">
        <f t="shared" si="1"/>
        <v/>
      </c>
      <c r="J35" s="565">
        <f>IF(OR(H35="●",I35="●"),1+COUNTIF(J$6:J34,"&gt;0"),0)</f>
        <v>0</v>
      </c>
      <c r="K35" s="5">
        <v>30</v>
      </c>
      <c r="L35" s="1061" t="str">
        <f>IFERROR(INDEX(T08_Spells!$B$3:$B$407,MATCH(S03_Druid!K35,T08_Spells!$DK$3:$DK$407,0),1),"")</f>
        <v/>
      </c>
      <c r="M35" s="1061"/>
      <c r="N35" s="1061"/>
      <c r="O35" s="1061"/>
      <c r="P35" s="1061"/>
      <c r="Q35" s="567"/>
      <c r="R35" s="569" t="str">
        <f t="shared" si="2"/>
        <v/>
      </c>
      <c r="S35" s="565">
        <f>IF(OR(Q35="●",R35="●"),1+COUNTIF(S$6:S34,"&gt;0"),0)</f>
        <v>0</v>
      </c>
      <c r="T35" s="5">
        <v>30</v>
      </c>
      <c r="U35" s="1061" t="str">
        <f>IFERROR(INDEX(T08_Spells!$B$3:$B$407,MATCH(S03_Druid!T35,T08_Spells!$DL$3:$DL$407,0),1),"")</f>
        <v/>
      </c>
      <c r="V35" s="1061"/>
      <c r="W35" s="1061"/>
      <c r="X35" s="1061"/>
      <c r="Y35" s="1061"/>
      <c r="Z35" s="567"/>
      <c r="AA35" s="569" t="str">
        <f t="shared" si="3"/>
        <v/>
      </c>
      <c r="AB35" s="565">
        <f>IF(OR(Z35="●",AA35="●"),1+COUNTIF(AB$6:AB34,"&gt;0"),0)</f>
        <v>0</v>
      </c>
      <c r="AC35" s="5">
        <v>30</v>
      </c>
      <c r="AD35" s="1061" t="str">
        <f>IFERROR(INDEX(T08_Spells!$B$3:$B$407,MATCH(S03_Druid!AC35,T08_Spells!$DM$3:$DM$407,0),1),"")</f>
        <v/>
      </c>
      <c r="AE35" s="1061"/>
      <c r="AF35" s="1061"/>
      <c r="AG35" s="1061"/>
      <c r="AH35" s="1061"/>
      <c r="AI35" s="567" t="s">
        <v>3034</v>
      </c>
      <c r="AJ35" s="569" t="str">
        <f t="shared" si="4"/>
        <v/>
      </c>
      <c r="AK35" s="565">
        <f>IF(OR(AI35="●",AJ35="●"),1+COUNTIF(AK$6:AK34,"&gt;0"),0)</f>
        <v>0</v>
      </c>
      <c r="AL35" s="5">
        <v>30</v>
      </c>
      <c r="AM35" s="1061" t="str">
        <f>IFERROR(INDEX(T08_Spells!$B$3:$B$407,MATCH(S03_Druid!AL35,T08_Spells!$DN$3:$DN$407,0),1),"")</f>
        <v/>
      </c>
      <c r="AN35" s="1061"/>
      <c r="AO35" s="1061"/>
      <c r="AP35" s="1061"/>
      <c r="AQ35" s="1061"/>
      <c r="AR35" s="567"/>
      <c r="AS35" s="569" t="str">
        <f t="shared" si="5"/>
        <v/>
      </c>
      <c r="AT35" s="565">
        <f>IF(OR(AR35="●",AS35="●"),1+COUNTIF(AT$6:AT34,"&gt;0"),0)</f>
        <v>0</v>
      </c>
      <c r="AU35" s="5">
        <v>30</v>
      </c>
      <c r="AV35" s="1061" t="str">
        <f>IFERROR(INDEX(T08_Spells!$B$3:$B$407,MATCH(S03_Druid!AU35,T08_Spells!$DO$3:$DO$407,0),1),"")</f>
        <v/>
      </c>
      <c r="AW35" s="1061"/>
      <c r="AX35" s="1061"/>
      <c r="AY35" s="1061"/>
      <c r="AZ35" s="1061"/>
      <c r="BA35" s="567"/>
      <c r="BB35" s="569" t="str">
        <f t="shared" si="6"/>
        <v/>
      </c>
      <c r="BC35" s="565">
        <f>IF(OR(BA35="●",BB35="●"),1+COUNTIF(BC$6:BC34,"&gt;0"),0)</f>
        <v>0</v>
      </c>
      <c r="BD35" s="5">
        <v>30</v>
      </c>
      <c r="BE35" s="1061" t="str">
        <f>IFERROR(INDEX(T08_Spells!$B$3:$B$407,MATCH(S03_Druid!BD35,T08_Spells!$DP$3:$DP$407,0),1),"")</f>
        <v/>
      </c>
      <c r="BF35" s="1061"/>
      <c r="BG35" s="1061"/>
      <c r="BH35" s="1061"/>
      <c r="BI35" s="1061"/>
      <c r="BJ35" s="567"/>
      <c r="BK35" s="569" t="str">
        <f t="shared" si="7"/>
        <v/>
      </c>
      <c r="BL35" s="565">
        <f>IF(OR(BJ35="●",BK35="●"),1+COUNTIF(BL$6:BL34,"&gt;0"),0)</f>
        <v>0</v>
      </c>
      <c r="BM35" s="5">
        <v>30</v>
      </c>
      <c r="BN35" s="1061" t="str">
        <f>IFERROR(INDEX(T08_Spells!$B$3:$B$407,MATCH(S03_Druid!BM35,T08_Spells!$DQ$3:$DQ$407,0),1),"")</f>
        <v/>
      </c>
      <c r="BO35" s="1061"/>
      <c r="BP35" s="1061"/>
      <c r="BQ35" s="1061"/>
      <c r="BR35" s="1061"/>
      <c r="BS35" s="567"/>
      <c r="BT35" s="569" t="str">
        <f t="shared" si="8"/>
        <v/>
      </c>
      <c r="BU35" s="565">
        <f>IF(OR(BS35="●",BT35="●"),1+COUNTIF(BU$6:BU34,"&gt;0"),0)</f>
        <v>0</v>
      </c>
      <c r="BV35" s="5">
        <v>30</v>
      </c>
      <c r="BW35" s="1061" t="str">
        <f>IFERROR(INDEX(T08_Spells!$B$3:$B$407,MATCH(S03_Druid!BV35,T08_Spells!$DR$3:$DR$407,0),1),"")</f>
        <v/>
      </c>
      <c r="BX35" s="1061"/>
      <c r="BY35" s="1061"/>
      <c r="BZ35" s="1061"/>
      <c r="CA35" s="1061"/>
      <c r="CB35" s="567"/>
      <c r="CC35" s="569" t="str">
        <f t="shared" si="9"/>
        <v/>
      </c>
      <c r="CD35" s="565">
        <f>IF(OR(CB35="●",CC35="●"),1+COUNTIF(CD$6:CD34,"&gt;0"),0)</f>
        <v>0</v>
      </c>
      <c r="CE35" s="565"/>
      <c r="CF35" s="565"/>
      <c r="CG35" s="565"/>
      <c r="CH35" s="565"/>
      <c r="CI35" s="565"/>
      <c r="CJ35" s="565"/>
      <c r="CK35" s="565"/>
    </row>
    <row r="36" spans="1:89" x14ac:dyDescent="0.25">
      <c r="A36" s="565"/>
      <c r="B36" s="120"/>
      <c r="C36" s="120"/>
      <c r="D36" s="120"/>
      <c r="E36" s="120"/>
      <c r="F36" s="120"/>
      <c r="G36" s="120"/>
      <c r="H36" s="120"/>
      <c r="I36" s="120"/>
      <c r="J36" s="120"/>
      <c r="K36" s="120"/>
      <c r="L36" s="120"/>
      <c r="M36" s="120"/>
      <c r="N36" s="120"/>
      <c r="O36" s="120"/>
      <c r="P36" s="120"/>
      <c r="Q36" s="120"/>
      <c r="R36" s="120"/>
      <c r="S36" s="120"/>
      <c r="T36" s="120"/>
      <c r="U36" s="120"/>
      <c r="V36" s="120"/>
      <c r="W36" s="120"/>
      <c r="X36" s="120"/>
      <c r="Y36" s="120"/>
      <c r="Z36" s="120"/>
      <c r="AA36" s="120"/>
      <c r="AB36" s="120"/>
      <c r="AC36" s="120"/>
      <c r="AD36" s="120"/>
      <c r="AE36" s="120"/>
      <c r="AF36" s="120"/>
      <c r="AG36" s="120"/>
      <c r="AH36" s="120"/>
      <c r="AI36" s="120"/>
      <c r="AJ36" s="120"/>
      <c r="AK36" s="120"/>
      <c r="AL36" s="120"/>
      <c r="AM36" s="120"/>
      <c r="AN36" s="120"/>
      <c r="AO36" s="120"/>
      <c r="AP36" s="120"/>
      <c r="AQ36" s="120"/>
      <c r="AR36" s="120"/>
      <c r="AS36" s="120"/>
      <c r="AT36" s="120"/>
      <c r="AU36" s="120"/>
      <c r="AV36" s="120"/>
      <c r="AW36" s="120"/>
      <c r="AX36" s="120"/>
      <c r="AY36" s="120"/>
      <c r="AZ36" s="120"/>
      <c r="BA36" s="120"/>
      <c r="BB36" s="120"/>
      <c r="BC36" s="120"/>
      <c r="BD36" s="120"/>
      <c r="BE36" s="120"/>
      <c r="BF36" s="120"/>
      <c r="BG36" s="120"/>
      <c r="BH36" s="120"/>
      <c r="BI36" s="120"/>
      <c r="BJ36" s="120"/>
      <c r="BK36" s="120"/>
      <c r="BL36" s="120"/>
      <c r="BM36" s="120"/>
      <c r="BN36" s="120"/>
      <c r="BO36" s="120"/>
      <c r="BP36" s="120"/>
      <c r="BQ36" s="120"/>
      <c r="BR36" s="120"/>
      <c r="BS36" s="120"/>
      <c r="BT36" s="120"/>
      <c r="BU36" s="120"/>
      <c r="BV36" s="120"/>
      <c r="BW36" s="120"/>
      <c r="BX36" s="120"/>
      <c r="BY36" s="120"/>
      <c r="BZ36" s="120"/>
      <c r="CA36" s="120"/>
      <c r="CB36" s="120"/>
      <c r="CC36" s="120"/>
      <c r="CD36" s="120"/>
      <c r="CE36" s="565"/>
      <c r="CF36" s="565"/>
      <c r="CG36" s="565"/>
      <c r="CH36" s="565"/>
      <c r="CI36" s="565"/>
      <c r="CJ36" s="565"/>
      <c r="CK36" s="565"/>
    </row>
    <row r="37" spans="1:89" x14ac:dyDescent="0.25">
      <c r="A37" s="565"/>
      <c r="B37" s="1062" t="str">
        <f>"Druid Spells prepared"&amp;CHAR(10)&amp;L37&amp;U37&amp;AD37&amp;AM37&amp;AV37&amp;BE37&amp;BN37&amp;BW37&amp;CF37</f>
        <v xml:space="preserve">Druid Spells prepared
</v>
      </c>
      <c r="C37" s="1062"/>
      <c r="D37" s="1062"/>
      <c r="E37" s="1062"/>
      <c r="F37" s="1062"/>
      <c r="G37" s="1062"/>
      <c r="H37" s="1062"/>
      <c r="I37" s="566">
        <v>1</v>
      </c>
      <c r="J37" s="565" t="str">
        <f>IFERROR(INDEX(C$6:C$35,MATCH(B6,J$6:J$35,0),1),"")</f>
        <v/>
      </c>
      <c r="K37" s="565" t="str">
        <f>IF(J37="","",J37&amp;", ")</f>
        <v/>
      </c>
      <c r="L37" s="565" t="str">
        <f>IF(L38="","","1st level: "&amp;L38&amp;CHAR(10))</f>
        <v/>
      </c>
      <c r="M37" s="565"/>
      <c r="N37" s="565"/>
      <c r="O37" s="565"/>
      <c r="P37" s="565"/>
      <c r="Q37" s="565"/>
      <c r="R37" s="566">
        <v>1</v>
      </c>
      <c r="S37" s="565" t="str">
        <f>IFERROR(INDEX(L$6:L$35,MATCH(K6,S$6:S$35,0),1),"")</f>
        <v/>
      </c>
      <c r="T37" s="565" t="str">
        <f>IF(S37="","",S37&amp;", ")</f>
        <v/>
      </c>
      <c r="U37" s="565" t="str">
        <f>IF(U38="","","2nd level: "&amp;U38&amp;CHAR(10))</f>
        <v/>
      </c>
      <c r="V37" s="565"/>
      <c r="W37" s="565"/>
      <c r="X37" s="565"/>
      <c r="Y37" s="565"/>
      <c r="Z37" s="565"/>
      <c r="AA37" s="566">
        <v>1</v>
      </c>
      <c r="AB37" s="565" t="str">
        <f>IFERROR(INDEX(U$6:U$35,MATCH(T6,AB$6:AB$35,0),1),"")</f>
        <v/>
      </c>
      <c r="AC37" s="565" t="str">
        <f>IF(AB37="","",AB37&amp;", ")</f>
        <v/>
      </c>
      <c r="AD37" s="565" t="str">
        <f>IF(AD38="","","3rd level: "&amp;AD38&amp;CHAR(10))</f>
        <v/>
      </c>
      <c r="AE37" s="565"/>
      <c r="AF37" s="565"/>
      <c r="AG37" s="565"/>
      <c r="AH37" s="565"/>
      <c r="AI37" s="565"/>
      <c r="AJ37" s="566">
        <v>1</v>
      </c>
      <c r="AK37" s="565" t="str">
        <f>IFERROR(INDEX(AD$6:AD$35,MATCH(AC6,AK$6:AK$35,0),1),"")</f>
        <v/>
      </c>
      <c r="AL37" s="565" t="str">
        <f>IF(AK37="","",AK37&amp;", ")</f>
        <v/>
      </c>
      <c r="AM37" s="565" t="str">
        <f>IF(AM38="","","4th level: "&amp;AM38&amp;CHAR(10))</f>
        <v/>
      </c>
      <c r="AN37" s="565"/>
      <c r="AO37" s="565"/>
      <c r="AP37" s="565"/>
      <c r="AQ37" s="565"/>
      <c r="AR37" s="565"/>
      <c r="AS37" s="566">
        <v>1</v>
      </c>
      <c r="AT37" s="565" t="str">
        <f>IFERROR(INDEX(AM$6:AM$35,MATCH(AL6,AT$6:AT$35,0),1),"")</f>
        <v/>
      </c>
      <c r="AU37" s="565" t="str">
        <f>IF(AT37="","",AT37&amp;", ")</f>
        <v/>
      </c>
      <c r="AV37" s="565" t="str">
        <f>IF(AV38="","","5th level: "&amp;AV38&amp;CHAR(10))</f>
        <v/>
      </c>
      <c r="AW37" s="565"/>
      <c r="AX37" s="565"/>
      <c r="AY37" s="565"/>
      <c r="AZ37" s="565"/>
      <c r="BA37" s="565"/>
      <c r="BB37" s="566">
        <v>1</v>
      </c>
      <c r="BC37" s="565" t="str">
        <f>IFERROR(INDEX(AV$6:AV$35,MATCH(AU6,BC$6:BC$35,0),1),"")</f>
        <v/>
      </c>
      <c r="BD37" s="565" t="str">
        <f>IF(BC37="","",BC37&amp;", ")</f>
        <v/>
      </c>
      <c r="BE37" s="565" t="str">
        <f>IF(BE38="","","6th level: "&amp;BE38&amp;CHAR(10))</f>
        <v/>
      </c>
      <c r="BF37" s="565"/>
      <c r="BG37" s="565"/>
      <c r="BH37" s="565"/>
      <c r="BI37" s="565"/>
      <c r="BJ37" s="565"/>
      <c r="BK37" s="566">
        <v>1</v>
      </c>
      <c r="BL37" s="565" t="str">
        <f>IFERROR(INDEX(BE$6:BE$35,MATCH(BD6,BL$6:BL$35,0),1),"")</f>
        <v/>
      </c>
      <c r="BM37" s="565" t="str">
        <f>IF(BL37="","",BL37&amp;", ")</f>
        <v/>
      </c>
      <c r="BN37" s="565" t="str">
        <f>IF(BN38="","","7th level: "&amp;BN38&amp;CHAR(10))</f>
        <v/>
      </c>
      <c r="BO37" s="565"/>
      <c r="BP37" s="565"/>
      <c r="BQ37" s="565"/>
      <c r="BR37" s="565"/>
      <c r="BS37" s="565"/>
      <c r="BT37" s="566">
        <v>1</v>
      </c>
      <c r="BU37" s="565" t="str">
        <f>IFERROR(INDEX(BN$6:BN$35,MATCH(BM6,BU$6:BU$35,0),1),"")</f>
        <v/>
      </c>
      <c r="BV37" s="565" t="str">
        <f>IF(BU37="","",BU37&amp;", ")</f>
        <v/>
      </c>
      <c r="BW37" s="565" t="str">
        <f>IF(BW38="","","8th level: "&amp;BW38&amp;CHAR(10))</f>
        <v/>
      </c>
      <c r="BX37" s="565"/>
      <c r="BY37" s="565"/>
      <c r="BZ37" s="565"/>
      <c r="CA37" s="565"/>
      <c r="CB37" s="565"/>
      <c r="CC37" s="566">
        <v>1</v>
      </c>
      <c r="CD37" s="565" t="str">
        <f>IFERROR(INDEX(BW$6:BW$35,MATCH(BV6,CD$6:CD$35,0),1),"")</f>
        <v/>
      </c>
      <c r="CE37" s="565" t="str">
        <f>IF(CD37="","",CD37&amp;", ")</f>
        <v/>
      </c>
      <c r="CF37" s="565" t="str">
        <f>IF(CF38="","","9th level: "&amp;CF38&amp;CHAR(10))</f>
        <v/>
      </c>
      <c r="CG37" s="565"/>
      <c r="CH37" s="565"/>
      <c r="CI37" s="565"/>
      <c r="CJ37" s="565"/>
      <c r="CK37" s="565"/>
    </row>
    <row r="38" spans="1:89" x14ac:dyDescent="0.25">
      <c r="A38" s="565"/>
      <c r="B38" s="1062"/>
      <c r="C38" s="1062"/>
      <c r="D38" s="1062"/>
      <c r="E38" s="1062"/>
      <c r="F38" s="1062"/>
      <c r="G38" s="1062"/>
      <c r="H38" s="1062"/>
      <c r="I38" s="566">
        <v>2</v>
      </c>
      <c r="J38" s="565" t="str">
        <f t="shared" ref="J38:J66" si="10">IFERROR(INDEX(C$6:C$35,MATCH(B7,J$6:J$35,0),1),"")</f>
        <v/>
      </c>
      <c r="K38" s="565" t="str">
        <f t="shared" ref="K38:K66" si="11">IF(J38="","",J38&amp;", ")</f>
        <v/>
      </c>
      <c r="L38" s="565" t="str">
        <f>K37&amp;K38&amp;K39&amp;K40&amp;K41&amp;K42&amp;K43&amp;K44&amp;K45&amp;K46&amp;K48&amp;K47&amp;K49&amp;K50&amp;K51&amp;K52&amp;K54&amp;K55&amp;K53&amp;K56&amp;K57&amp;K58&amp;K59&amp;K60&amp;K61&amp;K62&amp;K63&amp;K64&amp;K65&amp;K66</f>
        <v/>
      </c>
      <c r="M38" s="565"/>
      <c r="N38" s="565"/>
      <c r="O38" s="565"/>
      <c r="P38" s="565"/>
      <c r="Q38" s="565"/>
      <c r="R38" s="566">
        <v>2</v>
      </c>
      <c r="S38" s="565" t="str">
        <f t="shared" ref="S38:S66" si="12">IFERROR(INDEX(L$6:L$35,MATCH(K7,S$6:S$35,0),1),"")</f>
        <v/>
      </c>
      <c r="T38" s="565" t="str">
        <f t="shared" ref="T38:T66" si="13">IF(S38="","",S38&amp;", ")</f>
        <v/>
      </c>
      <c r="U38" s="565" t="str">
        <f>T37&amp;T38&amp;T39&amp;T40&amp;T41&amp;T42&amp;T43&amp;T44&amp;T45&amp;T46&amp;T48&amp;T47&amp;T49&amp;T50&amp;T51&amp;T52&amp;T54&amp;T55&amp;T53&amp;T56&amp;T57&amp;T58&amp;T59&amp;T60&amp;T61&amp;T62&amp;T63&amp;T64&amp;T65&amp;T66</f>
        <v/>
      </c>
      <c r="V38" s="565"/>
      <c r="W38" s="565"/>
      <c r="X38" s="565"/>
      <c r="Y38" s="565"/>
      <c r="Z38" s="565"/>
      <c r="AA38" s="566">
        <v>2</v>
      </c>
      <c r="AB38" s="565" t="str">
        <f t="shared" ref="AB38:AB66" si="14">IFERROR(INDEX(U$6:U$35,MATCH(T7,AB$6:AB$35,0),1),"")</f>
        <v/>
      </c>
      <c r="AC38" s="565" t="str">
        <f t="shared" ref="AC38:AC66" si="15">IF(AB38="","",AB38&amp;", ")</f>
        <v/>
      </c>
      <c r="AD38" s="565" t="str">
        <f>AC37&amp;AC38&amp;AC39&amp;AC40&amp;AC41&amp;AC42&amp;AC43&amp;AC44&amp;AC45&amp;AC46&amp;AC48&amp;AC47&amp;AC49&amp;AC50&amp;AC51&amp;AC52&amp;AC54&amp;AC55&amp;AC53&amp;AC56&amp;AC57&amp;AC58&amp;AC59&amp;AC60&amp;AC61&amp;AC62&amp;AC63&amp;AC64&amp;AC65&amp;AC66</f>
        <v/>
      </c>
      <c r="AE38" s="565"/>
      <c r="AF38" s="565"/>
      <c r="AG38" s="565"/>
      <c r="AH38" s="565"/>
      <c r="AI38" s="565"/>
      <c r="AJ38" s="566">
        <v>2</v>
      </c>
      <c r="AK38" s="565" t="str">
        <f t="shared" ref="AK38:AK66" si="16">IFERROR(INDEX(AD$6:AD$35,MATCH(AC7,AK$6:AK$35,0),1),"")</f>
        <v/>
      </c>
      <c r="AL38" s="565" t="str">
        <f t="shared" ref="AL38:AL66" si="17">IF(AK38="","",AK38&amp;", ")</f>
        <v/>
      </c>
      <c r="AM38" s="565" t="str">
        <f>AL37&amp;AL38&amp;AL39&amp;AL40&amp;AL41&amp;AL42&amp;AL43&amp;AL44&amp;AL45&amp;AL46&amp;AL48&amp;AL47&amp;AL49&amp;AL50&amp;AL51&amp;AL52&amp;AL54&amp;AL55&amp;AL53&amp;AL56&amp;AL57&amp;AL58&amp;AL59&amp;AL60&amp;AL61&amp;AL62&amp;AL63&amp;AL64&amp;AL65&amp;AL66</f>
        <v/>
      </c>
      <c r="AN38" s="565"/>
      <c r="AO38" s="565"/>
      <c r="AP38" s="565"/>
      <c r="AQ38" s="565"/>
      <c r="AR38" s="565"/>
      <c r="AS38" s="566">
        <v>2</v>
      </c>
      <c r="AT38" s="565" t="str">
        <f t="shared" ref="AT38:AT66" si="18">IFERROR(INDEX(AM$6:AM$35,MATCH(AL7,AT$6:AT$35,0),1),"")</f>
        <v/>
      </c>
      <c r="AU38" s="565" t="str">
        <f t="shared" ref="AU38:AU66" si="19">IF(AT38="","",AT38&amp;", ")</f>
        <v/>
      </c>
      <c r="AV38" s="565" t="str">
        <f>AU37&amp;AU38&amp;AU39&amp;AU40&amp;AU41&amp;AU42&amp;AU43&amp;AU44&amp;AU45&amp;AU46&amp;AU48&amp;AU47&amp;AU49&amp;AU50&amp;AU51&amp;AU52&amp;AU54&amp;AU55&amp;AU53&amp;AU56&amp;AU57&amp;AU58&amp;AU59&amp;AU60&amp;AU61&amp;AU62&amp;AU63&amp;AU64&amp;AU65&amp;AU66</f>
        <v/>
      </c>
      <c r="AW38" s="565"/>
      <c r="AX38" s="565"/>
      <c r="AY38" s="565"/>
      <c r="AZ38" s="565"/>
      <c r="BA38" s="565"/>
      <c r="BB38" s="566">
        <v>2</v>
      </c>
      <c r="BC38" s="565" t="str">
        <f t="shared" ref="BC38:BC66" si="20">IFERROR(INDEX(AV$6:AV$35,MATCH(AU7,BC$6:BC$35,0),1),"")</f>
        <v/>
      </c>
      <c r="BD38" s="565" t="str">
        <f t="shared" ref="BD38:BD66" si="21">IF(BC38="","",BC38&amp;", ")</f>
        <v/>
      </c>
      <c r="BE38" s="565" t="str">
        <f>BD37&amp;BD38&amp;BD39&amp;BD40&amp;BD41&amp;BD42&amp;BD43&amp;BD44&amp;BD45&amp;BD46&amp;BD48&amp;BD47&amp;BD49&amp;BD50&amp;BD51&amp;BD52&amp;BD54&amp;BD55&amp;BD53&amp;BD56&amp;BD57&amp;BD58&amp;BD59&amp;BD60&amp;BD61&amp;BD62&amp;BD63&amp;BD64&amp;BD65&amp;BD66</f>
        <v/>
      </c>
      <c r="BF38" s="565"/>
      <c r="BG38" s="565"/>
      <c r="BH38" s="565"/>
      <c r="BI38" s="565"/>
      <c r="BJ38" s="565"/>
      <c r="BK38" s="566">
        <v>2</v>
      </c>
      <c r="BL38" s="565" t="str">
        <f t="shared" ref="BL38:BL66" si="22">IFERROR(INDEX(BE$6:BE$35,MATCH(BD7,BL$6:BL$35,0),1),"")</f>
        <v/>
      </c>
      <c r="BM38" s="565" t="str">
        <f t="shared" ref="BM38:BM66" si="23">IF(BL38="","",BL38&amp;", ")</f>
        <v/>
      </c>
      <c r="BN38" s="565" t="str">
        <f>BM37&amp;BM38&amp;BM39&amp;BM40&amp;BM41&amp;BM42&amp;BM43&amp;BM44&amp;BM45&amp;BM46&amp;BM48&amp;BM47&amp;BM49&amp;BM50&amp;BM51&amp;BM52&amp;BM54&amp;BM55&amp;BM53&amp;BM56&amp;BM57&amp;BM58&amp;BM59&amp;BM60&amp;BM61&amp;BM62&amp;BM63&amp;BM64&amp;BM65&amp;BM66</f>
        <v/>
      </c>
      <c r="BO38" s="565"/>
      <c r="BP38" s="565"/>
      <c r="BQ38" s="565"/>
      <c r="BR38" s="565"/>
      <c r="BS38" s="565"/>
      <c r="BT38" s="566">
        <v>2</v>
      </c>
      <c r="BU38" s="565" t="str">
        <f t="shared" ref="BU38:BU66" si="24">IFERROR(INDEX(BN$6:BN$35,MATCH(BM7,BU$6:BU$35,0),1),"")</f>
        <v/>
      </c>
      <c r="BV38" s="565" t="str">
        <f t="shared" ref="BV38:BV66" si="25">IF(BU38="","",BU38&amp;", ")</f>
        <v/>
      </c>
      <c r="BW38" s="565" t="str">
        <f>BV37&amp;BV38&amp;BV39&amp;BV40&amp;BV41&amp;BV42&amp;BV43&amp;BV44&amp;BV45&amp;BV46&amp;BV48&amp;BV47&amp;BV49&amp;BV50&amp;BV51&amp;BV52&amp;BV54&amp;BV55&amp;BV53&amp;BV56&amp;BV57&amp;BV58&amp;BV59&amp;BV60&amp;BV61&amp;BV62&amp;BV63&amp;BV64&amp;BV65&amp;BV66</f>
        <v/>
      </c>
      <c r="BX38" s="565"/>
      <c r="BY38" s="565"/>
      <c r="BZ38" s="565"/>
      <c r="CA38" s="565"/>
      <c r="CB38" s="565"/>
      <c r="CC38" s="566">
        <v>2</v>
      </c>
      <c r="CD38" s="565" t="str">
        <f t="shared" ref="CD38:CD66" si="26">IFERROR(INDEX(BW$6:BW$35,MATCH(BV7,CD$6:CD$35,0),1),"")</f>
        <v/>
      </c>
      <c r="CE38" s="565" t="str">
        <f t="shared" ref="CE38:CE66" si="27">IF(CD38="","",CD38&amp;", ")</f>
        <v/>
      </c>
      <c r="CF38" s="565" t="str">
        <f>CE37&amp;CE38&amp;CE39&amp;CE40&amp;CE41&amp;CE42&amp;CE43&amp;CE44&amp;CE45&amp;CE46&amp;CE48&amp;CE47&amp;CE49&amp;CE50&amp;CE51&amp;CE52&amp;CE54&amp;CE55&amp;CE53&amp;CE56&amp;CE57&amp;CE58&amp;CE59&amp;CE60&amp;CE61&amp;CE62&amp;CE63&amp;CE64&amp;CE65&amp;CE66</f>
        <v/>
      </c>
      <c r="CG38" s="565"/>
      <c r="CH38" s="565"/>
      <c r="CI38" s="565"/>
      <c r="CJ38" s="565"/>
      <c r="CK38" s="565"/>
    </row>
    <row r="39" spans="1:89" x14ac:dyDescent="0.25">
      <c r="A39" s="565"/>
      <c r="B39" s="1062"/>
      <c r="C39" s="1062"/>
      <c r="D39" s="1062"/>
      <c r="E39" s="1062"/>
      <c r="F39" s="1062"/>
      <c r="G39" s="1062"/>
      <c r="H39" s="1062"/>
      <c r="I39" s="566">
        <v>3</v>
      </c>
      <c r="J39" s="565" t="str">
        <f t="shared" si="10"/>
        <v/>
      </c>
      <c r="K39" s="565" t="str">
        <f t="shared" si="11"/>
        <v/>
      </c>
      <c r="L39" s="565"/>
      <c r="M39" s="565"/>
      <c r="N39" s="565"/>
      <c r="O39" s="565"/>
      <c r="P39" s="565"/>
      <c r="Q39" s="565"/>
      <c r="R39" s="566">
        <v>3</v>
      </c>
      <c r="S39" s="565" t="str">
        <f t="shared" si="12"/>
        <v/>
      </c>
      <c r="T39" s="565" t="str">
        <f t="shared" si="13"/>
        <v/>
      </c>
      <c r="U39" s="565"/>
      <c r="V39" s="565"/>
      <c r="W39" s="565"/>
      <c r="X39" s="565"/>
      <c r="Y39" s="565"/>
      <c r="Z39" s="565"/>
      <c r="AA39" s="566">
        <v>3</v>
      </c>
      <c r="AB39" s="565" t="str">
        <f t="shared" si="14"/>
        <v/>
      </c>
      <c r="AC39" s="565" t="str">
        <f t="shared" si="15"/>
        <v/>
      </c>
      <c r="AD39" s="565"/>
      <c r="AE39" s="565"/>
      <c r="AF39" s="565"/>
      <c r="AG39" s="565"/>
      <c r="AH39" s="565"/>
      <c r="AI39" s="565"/>
      <c r="AJ39" s="566">
        <v>3</v>
      </c>
      <c r="AK39" s="565" t="str">
        <f t="shared" si="16"/>
        <v/>
      </c>
      <c r="AL39" s="565" t="str">
        <f t="shared" si="17"/>
        <v/>
      </c>
      <c r="AM39" s="565"/>
      <c r="AN39" s="565"/>
      <c r="AO39" s="565"/>
      <c r="AP39" s="565"/>
      <c r="AQ39" s="565"/>
      <c r="AR39" s="565"/>
      <c r="AS39" s="566">
        <v>3</v>
      </c>
      <c r="AT39" s="565" t="str">
        <f t="shared" si="18"/>
        <v/>
      </c>
      <c r="AU39" s="565" t="str">
        <f t="shared" si="19"/>
        <v/>
      </c>
      <c r="AV39" s="565"/>
      <c r="AW39" s="565"/>
      <c r="AX39" s="565"/>
      <c r="AY39" s="565"/>
      <c r="AZ39" s="565"/>
      <c r="BA39" s="565"/>
      <c r="BB39" s="566">
        <v>3</v>
      </c>
      <c r="BC39" s="565" t="str">
        <f t="shared" si="20"/>
        <v/>
      </c>
      <c r="BD39" s="565" t="str">
        <f t="shared" si="21"/>
        <v/>
      </c>
      <c r="BE39" s="565"/>
      <c r="BF39" s="565"/>
      <c r="BG39" s="565"/>
      <c r="BH39" s="565"/>
      <c r="BI39" s="565"/>
      <c r="BJ39" s="565"/>
      <c r="BK39" s="566">
        <v>3</v>
      </c>
      <c r="BL39" s="565" t="str">
        <f t="shared" si="22"/>
        <v/>
      </c>
      <c r="BM39" s="565" t="str">
        <f t="shared" si="23"/>
        <v/>
      </c>
      <c r="BN39" s="565"/>
      <c r="BO39" s="565"/>
      <c r="BP39" s="565"/>
      <c r="BQ39" s="565"/>
      <c r="BR39" s="565"/>
      <c r="BS39" s="565"/>
      <c r="BT39" s="566">
        <v>3</v>
      </c>
      <c r="BU39" s="565" t="str">
        <f t="shared" si="24"/>
        <v/>
      </c>
      <c r="BV39" s="565" t="str">
        <f t="shared" si="25"/>
        <v/>
      </c>
      <c r="BW39" s="565"/>
      <c r="BX39" s="565"/>
      <c r="BY39" s="565"/>
      <c r="BZ39" s="565"/>
      <c r="CA39" s="565"/>
      <c r="CB39" s="565"/>
      <c r="CC39" s="566">
        <v>3</v>
      </c>
      <c r="CD39" s="565" t="str">
        <f t="shared" si="26"/>
        <v/>
      </c>
      <c r="CE39" s="565" t="str">
        <f t="shared" si="27"/>
        <v/>
      </c>
      <c r="CF39" s="565"/>
      <c r="CG39" s="565"/>
      <c r="CH39" s="565"/>
      <c r="CI39" s="565"/>
      <c r="CJ39" s="565"/>
      <c r="CK39" s="565"/>
    </row>
    <row r="40" spans="1:89" x14ac:dyDescent="0.25">
      <c r="A40" s="565"/>
      <c r="B40" s="1062"/>
      <c r="C40" s="1062"/>
      <c r="D40" s="1062"/>
      <c r="E40" s="1062"/>
      <c r="F40" s="1062"/>
      <c r="G40" s="1062"/>
      <c r="H40" s="1062"/>
      <c r="I40" s="566">
        <v>4</v>
      </c>
      <c r="J40" s="565" t="str">
        <f t="shared" si="10"/>
        <v/>
      </c>
      <c r="K40" s="565" t="str">
        <f t="shared" si="11"/>
        <v/>
      </c>
      <c r="L40" s="565"/>
      <c r="M40" s="565"/>
      <c r="N40" s="565"/>
      <c r="O40" s="565"/>
      <c r="P40" s="565"/>
      <c r="Q40" s="565"/>
      <c r="R40" s="566">
        <v>4</v>
      </c>
      <c r="S40" s="565" t="str">
        <f t="shared" si="12"/>
        <v/>
      </c>
      <c r="T40" s="565" t="str">
        <f t="shared" si="13"/>
        <v/>
      </c>
      <c r="U40" s="565"/>
      <c r="V40" s="565"/>
      <c r="W40" s="565"/>
      <c r="X40" s="565"/>
      <c r="Y40" s="565"/>
      <c r="Z40" s="565"/>
      <c r="AA40" s="566">
        <v>4</v>
      </c>
      <c r="AB40" s="565" t="str">
        <f t="shared" si="14"/>
        <v/>
      </c>
      <c r="AC40" s="565" t="str">
        <f t="shared" si="15"/>
        <v/>
      </c>
      <c r="AD40" s="565"/>
      <c r="AE40" s="565"/>
      <c r="AF40" s="565"/>
      <c r="AG40" s="565"/>
      <c r="AH40" s="565"/>
      <c r="AI40" s="565"/>
      <c r="AJ40" s="566">
        <v>4</v>
      </c>
      <c r="AK40" s="565" t="str">
        <f t="shared" si="16"/>
        <v/>
      </c>
      <c r="AL40" s="565" t="str">
        <f t="shared" si="17"/>
        <v/>
      </c>
      <c r="AM40" s="565"/>
      <c r="AN40" s="565"/>
      <c r="AO40" s="565"/>
      <c r="AP40" s="565"/>
      <c r="AQ40" s="565"/>
      <c r="AR40" s="565"/>
      <c r="AS40" s="566">
        <v>4</v>
      </c>
      <c r="AT40" s="565" t="str">
        <f t="shared" si="18"/>
        <v/>
      </c>
      <c r="AU40" s="565" t="str">
        <f t="shared" si="19"/>
        <v/>
      </c>
      <c r="AV40" s="565"/>
      <c r="AW40" s="565"/>
      <c r="AX40" s="565"/>
      <c r="AY40" s="565"/>
      <c r="AZ40" s="565"/>
      <c r="BA40" s="565"/>
      <c r="BB40" s="566">
        <v>4</v>
      </c>
      <c r="BC40" s="565" t="str">
        <f t="shared" si="20"/>
        <v/>
      </c>
      <c r="BD40" s="565" t="str">
        <f t="shared" si="21"/>
        <v/>
      </c>
      <c r="BE40" s="565"/>
      <c r="BF40" s="565"/>
      <c r="BG40" s="565"/>
      <c r="BH40" s="565"/>
      <c r="BI40" s="565"/>
      <c r="BJ40" s="565"/>
      <c r="BK40" s="566">
        <v>4</v>
      </c>
      <c r="BL40" s="565" t="str">
        <f t="shared" si="22"/>
        <v/>
      </c>
      <c r="BM40" s="565" t="str">
        <f t="shared" si="23"/>
        <v/>
      </c>
      <c r="BN40" s="565"/>
      <c r="BO40" s="565"/>
      <c r="BP40" s="565"/>
      <c r="BQ40" s="565"/>
      <c r="BR40" s="565"/>
      <c r="BS40" s="565"/>
      <c r="BT40" s="566">
        <v>4</v>
      </c>
      <c r="BU40" s="565" t="str">
        <f t="shared" si="24"/>
        <v/>
      </c>
      <c r="BV40" s="565" t="str">
        <f t="shared" si="25"/>
        <v/>
      </c>
      <c r="BW40" s="565"/>
      <c r="BX40" s="565"/>
      <c r="BY40" s="565"/>
      <c r="BZ40" s="565"/>
      <c r="CA40" s="565"/>
      <c r="CB40" s="565"/>
      <c r="CC40" s="566">
        <v>4</v>
      </c>
      <c r="CD40" s="565" t="str">
        <f t="shared" si="26"/>
        <v/>
      </c>
      <c r="CE40" s="565" t="str">
        <f t="shared" si="27"/>
        <v/>
      </c>
      <c r="CF40" s="565"/>
      <c r="CG40" s="565"/>
      <c r="CH40" s="565"/>
      <c r="CI40" s="565"/>
      <c r="CJ40" s="565"/>
      <c r="CK40" s="565"/>
    </row>
    <row r="41" spans="1:89" x14ac:dyDescent="0.25">
      <c r="A41" s="565"/>
      <c r="B41" s="1062"/>
      <c r="C41" s="1062"/>
      <c r="D41" s="1062"/>
      <c r="E41" s="1062"/>
      <c r="F41" s="1062"/>
      <c r="G41" s="1062"/>
      <c r="H41" s="1062"/>
      <c r="I41" s="566">
        <v>5</v>
      </c>
      <c r="J41" s="565" t="str">
        <f t="shared" si="10"/>
        <v/>
      </c>
      <c r="K41" s="565" t="str">
        <f t="shared" si="11"/>
        <v/>
      </c>
      <c r="L41" s="565"/>
      <c r="M41" s="565"/>
      <c r="N41" s="565"/>
      <c r="O41" s="565"/>
      <c r="P41" s="565"/>
      <c r="Q41" s="565"/>
      <c r="R41" s="566">
        <v>5</v>
      </c>
      <c r="S41" s="565" t="str">
        <f t="shared" si="12"/>
        <v/>
      </c>
      <c r="T41" s="565" t="str">
        <f t="shared" si="13"/>
        <v/>
      </c>
      <c r="U41" s="565"/>
      <c r="V41" s="565"/>
      <c r="W41" s="565"/>
      <c r="X41" s="565"/>
      <c r="Y41" s="565"/>
      <c r="Z41" s="565"/>
      <c r="AA41" s="566">
        <v>5</v>
      </c>
      <c r="AB41" s="565" t="str">
        <f t="shared" si="14"/>
        <v/>
      </c>
      <c r="AC41" s="565" t="str">
        <f t="shared" si="15"/>
        <v/>
      </c>
      <c r="AD41" s="565"/>
      <c r="AE41" s="565"/>
      <c r="AF41" s="565"/>
      <c r="AG41" s="565"/>
      <c r="AH41" s="565"/>
      <c r="AI41" s="565"/>
      <c r="AJ41" s="566">
        <v>5</v>
      </c>
      <c r="AK41" s="565" t="str">
        <f t="shared" si="16"/>
        <v/>
      </c>
      <c r="AL41" s="565" t="str">
        <f t="shared" si="17"/>
        <v/>
      </c>
      <c r="AM41" s="565"/>
      <c r="AN41" s="565"/>
      <c r="AO41" s="565"/>
      <c r="AP41" s="565"/>
      <c r="AQ41" s="565"/>
      <c r="AR41" s="565"/>
      <c r="AS41" s="566">
        <v>5</v>
      </c>
      <c r="AT41" s="565" t="str">
        <f t="shared" si="18"/>
        <v/>
      </c>
      <c r="AU41" s="565" t="str">
        <f t="shared" si="19"/>
        <v/>
      </c>
      <c r="AV41" s="565"/>
      <c r="AW41" s="565"/>
      <c r="AX41" s="565"/>
      <c r="AY41" s="565"/>
      <c r="AZ41" s="565"/>
      <c r="BA41" s="565"/>
      <c r="BB41" s="566">
        <v>5</v>
      </c>
      <c r="BC41" s="565" t="str">
        <f t="shared" si="20"/>
        <v/>
      </c>
      <c r="BD41" s="565" t="str">
        <f t="shared" si="21"/>
        <v/>
      </c>
      <c r="BE41" s="565"/>
      <c r="BF41" s="565"/>
      <c r="BG41" s="565"/>
      <c r="BH41" s="565"/>
      <c r="BI41" s="565"/>
      <c r="BJ41" s="565"/>
      <c r="BK41" s="566">
        <v>5</v>
      </c>
      <c r="BL41" s="565" t="str">
        <f t="shared" si="22"/>
        <v/>
      </c>
      <c r="BM41" s="565" t="str">
        <f t="shared" si="23"/>
        <v/>
      </c>
      <c r="BN41" s="565"/>
      <c r="BO41" s="565"/>
      <c r="BP41" s="565"/>
      <c r="BQ41" s="565"/>
      <c r="BR41" s="565"/>
      <c r="BS41" s="565"/>
      <c r="BT41" s="566">
        <v>5</v>
      </c>
      <c r="BU41" s="565" t="str">
        <f t="shared" si="24"/>
        <v/>
      </c>
      <c r="BV41" s="565" t="str">
        <f t="shared" si="25"/>
        <v/>
      </c>
      <c r="BW41" s="565"/>
      <c r="BX41" s="565"/>
      <c r="BY41" s="565"/>
      <c r="BZ41" s="565"/>
      <c r="CA41" s="565"/>
      <c r="CB41" s="565"/>
      <c r="CC41" s="566">
        <v>5</v>
      </c>
      <c r="CD41" s="565" t="str">
        <f t="shared" si="26"/>
        <v/>
      </c>
      <c r="CE41" s="565" t="str">
        <f t="shared" si="27"/>
        <v/>
      </c>
      <c r="CF41" s="565"/>
      <c r="CG41" s="565"/>
      <c r="CH41" s="565"/>
      <c r="CI41" s="565"/>
      <c r="CJ41" s="565"/>
      <c r="CK41" s="565"/>
    </row>
    <row r="42" spans="1:89" x14ac:dyDescent="0.25">
      <c r="A42" s="565"/>
      <c r="B42" s="1062"/>
      <c r="C42" s="1062"/>
      <c r="D42" s="1062"/>
      <c r="E42" s="1062"/>
      <c r="F42" s="1062"/>
      <c r="G42" s="1062"/>
      <c r="H42" s="1062"/>
      <c r="I42" s="566">
        <v>6</v>
      </c>
      <c r="J42" s="565" t="str">
        <f t="shared" si="10"/>
        <v/>
      </c>
      <c r="K42" s="565" t="str">
        <f t="shared" si="11"/>
        <v/>
      </c>
      <c r="L42" s="565"/>
      <c r="M42" s="565"/>
      <c r="N42" s="565"/>
      <c r="O42" s="565"/>
      <c r="P42" s="565"/>
      <c r="Q42" s="565"/>
      <c r="R42" s="566">
        <v>6</v>
      </c>
      <c r="S42" s="565" t="str">
        <f t="shared" si="12"/>
        <v/>
      </c>
      <c r="T42" s="565" t="str">
        <f t="shared" si="13"/>
        <v/>
      </c>
      <c r="U42" s="565"/>
      <c r="V42" s="565"/>
      <c r="W42" s="565"/>
      <c r="X42" s="565"/>
      <c r="Y42" s="565"/>
      <c r="Z42" s="565"/>
      <c r="AA42" s="566">
        <v>6</v>
      </c>
      <c r="AB42" s="565" t="str">
        <f t="shared" si="14"/>
        <v/>
      </c>
      <c r="AC42" s="565" t="str">
        <f t="shared" si="15"/>
        <v/>
      </c>
      <c r="AD42" s="565"/>
      <c r="AE42" s="565"/>
      <c r="AF42" s="565"/>
      <c r="AG42" s="565"/>
      <c r="AH42" s="565"/>
      <c r="AI42" s="565"/>
      <c r="AJ42" s="566">
        <v>6</v>
      </c>
      <c r="AK42" s="565" t="str">
        <f t="shared" si="16"/>
        <v/>
      </c>
      <c r="AL42" s="565" t="str">
        <f t="shared" si="17"/>
        <v/>
      </c>
      <c r="AM42" s="565"/>
      <c r="AN42" s="565"/>
      <c r="AO42" s="565"/>
      <c r="AP42" s="565"/>
      <c r="AQ42" s="565"/>
      <c r="AR42" s="565"/>
      <c r="AS42" s="566">
        <v>6</v>
      </c>
      <c r="AT42" s="565" t="str">
        <f t="shared" si="18"/>
        <v/>
      </c>
      <c r="AU42" s="565" t="str">
        <f t="shared" si="19"/>
        <v/>
      </c>
      <c r="AV42" s="565"/>
      <c r="AW42" s="565"/>
      <c r="AX42" s="565"/>
      <c r="AY42" s="565"/>
      <c r="AZ42" s="565"/>
      <c r="BA42" s="565"/>
      <c r="BB42" s="566">
        <v>6</v>
      </c>
      <c r="BC42" s="565" t="str">
        <f t="shared" si="20"/>
        <v/>
      </c>
      <c r="BD42" s="565" t="str">
        <f t="shared" si="21"/>
        <v/>
      </c>
      <c r="BE42" s="565"/>
      <c r="BF42" s="565"/>
      <c r="BG42" s="565"/>
      <c r="BH42" s="565"/>
      <c r="BI42" s="565"/>
      <c r="BJ42" s="565"/>
      <c r="BK42" s="566">
        <v>6</v>
      </c>
      <c r="BL42" s="565" t="str">
        <f t="shared" si="22"/>
        <v/>
      </c>
      <c r="BM42" s="565" t="str">
        <f t="shared" si="23"/>
        <v/>
      </c>
      <c r="BN42" s="565"/>
      <c r="BO42" s="565"/>
      <c r="BP42" s="565"/>
      <c r="BQ42" s="565"/>
      <c r="BR42" s="565"/>
      <c r="BS42" s="565"/>
      <c r="BT42" s="566">
        <v>6</v>
      </c>
      <c r="BU42" s="565" t="str">
        <f t="shared" si="24"/>
        <v/>
      </c>
      <c r="BV42" s="565" t="str">
        <f t="shared" si="25"/>
        <v/>
      </c>
      <c r="BW42" s="565"/>
      <c r="BX42" s="565"/>
      <c r="BY42" s="565"/>
      <c r="BZ42" s="565"/>
      <c r="CA42" s="565"/>
      <c r="CB42" s="565"/>
      <c r="CC42" s="566">
        <v>6</v>
      </c>
      <c r="CD42" s="565" t="str">
        <f t="shared" si="26"/>
        <v/>
      </c>
      <c r="CE42" s="565" t="str">
        <f t="shared" si="27"/>
        <v/>
      </c>
      <c r="CF42" s="565"/>
      <c r="CG42" s="565"/>
      <c r="CH42" s="565"/>
      <c r="CI42" s="565"/>
      <c r="CJ42" s="565"/>
      <c r="CK42" s="565"/>
    </row>
    <row r="43" spans="1:89" x14ac:dyDescent="0.25">
      <c r="A43" s="565"/>
      <c r="B43" s="1062"/>
      <c r="C43" s="1062"/>
      <c r="D43" s="1062"/>
      <c r="E43" s="1062"/>
      <c r="F43" s="1062"/>
      <c r="G43" s="1062"/>
      <c r="H43" s="1062"/>
      <c r="I43" s="566">
        <v>7</v>
      </c>
      <c r="J43" s="565" t="str">
        <f t="shared" si="10"/>
        <v/>
      </c>
      <c r="K43" s="565" t="str">
        <f t="shared" si="11"/>
        <v/>
      </c>
      <c r="L43" s="565"/>
      <c r="M43" s="565"/>
      <c r="N43" s="565"/>
      <c r="O43" s="565"/>
      <c r="P43" s="565"/>
      <c r="Q43" s="565"/>
      <c r="R43" s="566">
        <v>7</v>
      </c>
      <c r="S43" s="565" t="str">
        <f t="shared" si="12"/>
        <v/>
      </c>
      <c r="T43" s="565" t="str">
        <f t="shared" si="13"/>
        <v/>
      </c>
      <c r="U43" s="565"/>
      <c r="V43" s="565"/>
      <c r="W43" s="565"/>
      <c r="X43" s="565"/>
      <c r="Y43" s="565"/>
      <c r="Z43" s="565"/>
      <c r="AA43" s="566">
        <v>7</v>
      </c>
      <c r="AB43" s="565" t="str">
        <f t="shared" si="14"/>
        <v/>
      </c>
      <c r="AC43" s="565" t="str">
        <f t="shared" si="15"/>
        <v/>
      </c>
      <c r="AD43" s="565"/>
      <c r="AE43" s="565"/>
      <c r="AF43" s="565"/>
      <c r="AG43" s="565"/>
      <c r="AH43" s="565"/>
      <c r="AI43" s="565"/>
      <c r="AJ43" s="566">
        <v>7</v>
      </c>
      <c r="AK43" s="565" t="str">
        <f t="shared" si="16"/>
        <v/>
      </c>
      <c r="AL43" s="565" t="str">
        <f t="shared" si="17"/>
        <v/>
      </c>
      <c r="AM43" s="565"/>
      <c r="AN43" s="565"/>
      <c r="AO43" s="565"/>
      <c r="AP43" s="565"/>
      <c r="AQ43" s="565"/>
      <c r="AR43" s="565"/>
      <c r="AS43" s="566">
        <v>7</v>
      </c>
      <c r="AT43" s="565" t="str">
        <f t="shared" si="18"/>
        <v/>
      </c>
      <c r="AU43" s="565" t="str">
        <f t="shared" si="19"/>
        <v/>
      </c>
      <c r="AV43" s="565"/>
      <c r="AW43" s="565"/>
      <c r="AX43" s="565"/>
      <c r="AY43" s="565"/>
      <c r="AZ43" s="565"/>
      <c r="BA43" s="565"/>
      <c r="BB43" s="566">
        <v>7</v>
      </c>
      <c r="BC43" s="565" t="str">
        <f t="shared" si="20"/>
        <v/>
      </c>
      <c r="BD43" s="565" t="str">
        <f t="shared" si="21"/>
        <v/>
      </c>
      <c r="BE43" s="565"/>
      <c r="BF43" s="565"/>
      <c r="BG43" s="565"/>
      <c r="BH43" s="565"/>
      <c r="BI43" s="565"/>
      <c r="BJ43" s="565"/>
      <c r="BK43" s="566">
        <v>7</v>
      </c>
      <c r="BL43" s="565" t="str">
        <f t="shared" si="22"/>
        <v/>
      </c>
      <c r="BM43" s="565" t="str">
        <f t="shared" si="23"/>
        <v/>
      </c>
      <c r="BN43" s="565"/>
      <c r="BO43" s="565"/>
      <c r="BP43" s="565"/>
      <c r="BQ43" s="565"/>
      <c r="BR43" s="565"/>
      <c r="BS43" s="565"/>
      <c r="BT43" s="566">
        <v>7</v>
      </c>
      <c r="BU43" s="565" t="str">
        <f t="shared" si="24"/>
        <v/>
      </c>
      <c r="BV43" s="565" t="str">
        <f t="shared" si="25"/>
        <v/>
      </c>
      <c r="BW43" s="565"/>
      <c r="BX43" s="565"/>
      <c r="BY43" s="565"/>
      <c r="BZ43" s="565"/>
      <c r="CA43" s="565"/>
      <c r="CB43" s="565"/>
      <c r="CC43" s="566">
        <v>7</v>
      </c>
      <c r="CD43" s="565" t="str">
        <f t="shared" si="26"/>
        <v/>
      </c>
      <c r="CE43" s="565" t="str">
        <f t="shared" si="27"/>
        <v/>
      </c>
      <c r="CF43" s="565"/>
      <c r="CG43" s="565"/>
      <c r="CH43" s="565"/>
      <c r="CI43" s="565"/>
      <c r="CJ43" s="565"/>
      <c r="CK43" s="565"/>
    </row>
    <row r="44" spans="1:89" x14ac:dyDescent="0.25">
      <c r="A44" s="565"/>
      <c r="B44" s="1062"/>
      <c r="C44" s="1062"/>
      <c r="D44" s="1062"/>
      <c r="E44" s="1062"/>
      <c r="F44" s="1062"/>
      <c r="G44" s="1062"/>
      <c r="H44" s="1062"/>
      <c r="I44" s="566">
        <v>8</v>
      </c>
      <c r="J44" s="565" t="str">
        <f t="shared" si="10"/>
        <v/>
      </c>
      <c r="K44" s="565" t="str">
        <f t="shared" si="11"/>
        <v/>
      </c>
      <c r="L44" s="565"/>
      <c r="M44" s="565"/>
      <c r="N44" s="565"/>
      <c r="O44" s="565"/>
      <c r="P44" s="565"/>
      <c r="Q44" s="565"/>
      <c r="R44" s="566">
        <v>8</v>
      </c>
      <c r="S44" s="565" t="str">
        <f t="shared" si="12"/>
        <v/>
      </c>
      <c r="T44" s="565" t="str">
        <f t="shared" si="13"/>
        <v/>
      </c>
      <c r="U44" s="565"/>
      <c r="V44" s="565"/>
      <c r="W44" s="565"/>
      <c r="X44" s="565"/>
      <c r="Y44" s="565"/>
      <c r="Z44" s="565"/>
      <c r="AA44" s="566">
        <v>8</v>
      </c>
      <c r="AB44" s="565" t="str">
        <f t="shared" si="14"/>
        <v/>
      </c>
      <c r="AC44" s="565" t="str">
        <f t="shared" si="15"/>
        <v/>
      </c>
      <c r="AD44" s="565"/>
      <c r="AE44" s="565"/>
      <c r="AF44" s="565"/>
      <c r="AG44" s="565"/>
      <c r="AH44" s="565"/>
      <c r="AI44" s="565"/>
      <c r="AJ44" s="566">
        <v>8</v>
      </c>
      <c r="AK44" s="565" t="str">
        <f t="shared" si="16"/>
        <v/>
      </c>
      <c r="AL44" s="565" t="str">
        <f t="shared" si="17"/>
        <v/>
      </c>
      <c r="AM44" s="565"/>
      <c r="AN44" s="565"/>
      <c r="AO44" s="565"/>
      <c r="AP44" s="565"/>
      <c r="AQ44" s="565"/>
      <c r="AR44" s="565"/>
      <c r="AS44" s="566">
        <v>8</v>
      </c>
      <c r="AT44" s="565" t="str">
        <f t="shared" si="18"/>
        <v/>
      </c>
      <c r="AU44" s="565" t="str">
        <f t="shared" si="19"/>
        <v/>
      </c>
      <c r="AV44" s="565"/>
      <c r="AW44" s="565"/>
      <c r="AX44" s="565"/>
      <c r="AY44" s="565"/>
      <c r="AZ44" s="565"/>
      <c r="BA44" s="565"/>
      <c r="BB44" s="566">
        <v>8</v>
      </c>
      <c r="BC44" s="565" t="str">
        <f t="shared" si="20"/>
        <v/>
      </c>
      <c r="BD44" s="565" t="str">
        <f t="shared" si="21"/>
        <v/>
      </c>
      <c r="BE44" s="565"/>
      <c r="BF44" s="565"/>
      <c r="BG44" s="565"/>
      <c r="BH44" s="565"/>
      <c r="BI44" s="565"/>
      <c r="BJ44" s="565"/>
      <c r="BK44" s="566">
        <v>8</v>
      </c>
      <c r="BL44" s="565" t="str">
        <f t="shared" si="22"/>
        <v/>
      </c>
      <c r="BM44" s="565" t="str">
        <f t="shared" si="23"/>
        <v/>
      </c>
      <c r="BN44" s="565"/>
      <c r="BO44" s="565"/>
      <c r="BP44" s="565"/>
      <c r="BQ44" s="565"/>
      <c r="BR44" s="565"/>
      <c r="BS44" s="565"/>
      <c r="BT44" s="566">
        <v>8</v>
      </c>
      <c r="BU44" s="565" t="str">
        <f t="shared" si="24"/>
        <v/>
      </c>
      <c r="BV44" s="565" t="str">
        <f t="shared" si="25"/>
        <v/>
      </c>
      <c r="BW44" s="565"/>
      <c r="BX44" s="565"/>
      <c r="BY44" s="565"/>
      <c r="BZ44" s="565"/>
      <c r="CA44" s="565"/>
      <c r="CB44" s="565"/>
      <c r="CC44" s="566">
        <v>8</v>
      </c>
      <c r="CD44" s="565" t="str">
        <f t="shared" si="26"/>
        <v/>
      </c>
      <c r="CE44" s="565" t="str">
        <f t="shared" si="27"/>
        <v/>
      </c>
      <c r="CF44" s="565"/>
      <c r="CG44" s="565"/>
      <c r="CH44" s="565"/>
      <c r="CI44" s="565"/>
      <c r="CJ44" s="565"/>
      <c r="CK44" s="565"/>
    </row>
    <row r="45" spans="1:89" x14ac:dyDescent="0.25">
      <c r="A45" s="565"/>
      <c r="B45" s="1062"/>
      <c r="C45" s="1062"/>
      <c r="D45" s="1062"/>
      <c r="E45" s="1062"/>
      <c r="F45" s="1062"/>
      <c r="G45" s="1062"/>
      <c r="H45" s="1062"/>
      <c r="I45" s="566">
        <v>9</v>
      </c>
      <c r="J45" s="565" t="str">
        <f t="shared" si="10"/>
        <v/>
      </c>
      <c r="K45" s="565" t="str">
        <f t="shared" si="11"/>
        <v/>
      </c>
      <c r="L45" s="565"/>
      <c r="M45" s="565"/>
      <c r="N45" s="565"/>
      <c r="O45" s="565"/>
      <c r="P45" s="565"/>
      <c r="Q45" s="565"/>
      <c r="R45" s="566">
        <v>9</v>
      </c>
      <c r="S45" s="565" t="str">
        <f t="shared" si="12"/>
        <v/>
      </c>
      <c r="T45" s="565" t="str">
        <f t="shared" si="13"/>
        <v/>
      </c>
      <c r="U45" s="565"/>
      <c r="V45" s="565"/>
      <c r="W45" s="565"/>
      <c r="X45" s="565"/>
      <c r="Y45" s="565"/>
      <c r="Z45" s="565"/>
      <c r="AA45" s="566">
        <v>9</v>
      </c>
      <c r="AB45" s="565" t="str">
        <f t="shared" si="14"/>
        <v/>
      </c>
      <c r="AC45" s="565" t="str">
        <f t="shared" si="15"/>
        <v/>
      </c>
      <c r="AD45" s="565"/>
      <c r="AE45" s="565"/>
      <c r="AF45" s="565"/>
      <c r="AG45" s="565"/>
      <c r="AH45" s="565"/>
      <c r="AI45" s="565"/>
      <c r="AJ45" s="566">
        <v>9</v>
      </c>
      <c r="AK45" s="565" t="str">
        <f t="shared" si="16"/>
        <v/>
      </c>
      <c r="AL45" s="565" t="str">
        <f t="shared" si="17"/>
        <v/>
      </c>
      <c r="AM45" s="565"/>
      <c r="AN45" s="565"/>
      <c r="AO45" s="565"/>
      <c r="AP45" s="565"/>
      <c r="AQ45" s="565"/>
      <c r="AR45" s="565"/>
      <c r="AS45" s="566">
        <v>9</v>
      </c>
      <c r="AT45" s="565" t="str">
        <f t="shared" si="18"/>
        <v/>
      </c>
      <c r="AU45" s="565" t="str">
        <f t="shared" si="19"/>
        <v/>
      </c>
      <c r="AV45" s="565"/>
      <c r="AW45" s="565"/>
      <c r="AX45" s="565"/>
      <c r="AY45" s="565"/>
      <c r="AZ45" s="565"/>
      <c r="BA45" s="565"/>
      <c r="BB45" s="566">
        <v>9</v>
      </c>
      <c r="BC45" s="565" t="str">
        <f t="shared" si="20"/>
        <v/>
      </c>
      <c r="BD45" s="565" t="str">
        <f t="shared" si="21"/>
        <v/>
      </c>
      <c r="BE45" s="565"/>
      <c r="BF45" s="565"/>
      <c r="BG45" s="565"/>
      <c r="BH45" s="565"/>
      <c r="BI45" s="565"/>
      <c r="BJ45" s="565"/>
      <c r="BK45" s="566">
        <v>9</v>
      </c>
      <c r="BL45" s="565" t="str">
        <f t="shared" si="22"/>
        <v/>
      </c>
      <c r="BM45" s="565" t="str">
        <f t="shared" si="23"/>
        <v/>
      </c>
      <c r="BN45" s="565"/>
      <c r="BO45" s="565"/>
      <c r="BP45" s="565"/>
      <c r="BQ45" s="565"/>
      <c r="BR45" s="565"/>
      <c r="BS45" s="565"/>
      <c r="BT45" s="566">
        <v>9</v>
      </c>
      <c r="BU45" s="565" t="str">
        <f t="shared" si="24"/>
        <v/>
      </c>
      <c r="BV45" s="565" t="str">
        <f t="shared" si="25"/>
        <v/>
      </c>
      <c r="BW45" s="565"/>
      <c r="BX45" s="565"/>
      <c r="BY45" s="565"/>
      <c r="BZ45" s="565"/>
      <c r="CA45" s="565"/>
      <c r="CB45" s="565"/>
      <c r="CC45" s="566">
        <v>9</v>
      </c>
      <c r="CD45" s="565" t="str">
        <f t="shared" si="26"/>
        <v/>
      </c>
      <c r="CE45" s="565" t="str">
        <f t="shared" si="27"/>
        <v/>
      </c>
      <c r="CF45" s="565"/>
      <c r="CG45" s="565"/>
      <c r="CH45" s="565"/>
      <c r="CI45" s="565"/>
      <c r="CJ45" s="565"/>
      <c r="CK45" s="565"/>
    </row>
    <row r="46" spans="1:89" x14ac:dyDescent="0.25">
      <c r="A46" s="565"/>
      <c r="B46" s="1062"/>
      <c r="C46" s="1062"/>
      <c r="D46" s="1062"/>
      <c r="E46" s="1062"/>
      <c r="F46" s="1062"/>
      <c r="G46" s="1062"/>
      <c r="H46" s="1062"/>
      <c r="I46" s="566">
        <v>10</v>
      </c>
      <c r="J46" s="565" t="str">
        <f t="shared" si="10"/>
        <v/>
      </c>
      <c r="K46" s="565" t="str">
        <f t="shared" si="11"/>
        <v/>
      </c>
      <c r="L46" s="565"/>
      <c r="M46" s="565"/>
      <c r="N46" s="565"/>
      <c r="O46" s="565"/>
      <c r="P46" s="565"/>
      <c r="Q46" s="565"/>
      <c r="R46" s="566">
        <v>10</v>
      </c>
      <c r="S46" s="565" t="str">
        <f t="shared" si="12"/>
        <v/>
      </c>
      <c r="T46" s="565" t="str">
        <f t="shared" si="13"/>
        <v/>
      </c>
      <c r="U46" s="565"/>
      <c r="V46" s="565"/>
      <c r="W46" s="565"/>
      <c r="X46" s="565"/>
      <c r="Y46" s="565"/>
      <c r="Z46" s="565"/>
      <c r="AA46" s="566">
        <v>10</v>
      </c>
      <c r="AB46" s="565" t="str">
        <f t="shared" si="14"/>
        <v/>
      </c>
      <c r="AC46" s="565" t="str">
        <f t="shared" si="15"/>
        <v/>
      </c>
      <c r="AD46" s="565"/>
      <c r="AE46" s="565"/>
      <c r="AF46" s="565"/>
      <c r="AG46" s="565"/>
      <c r="AH46" s="565"/>
      <c r="AI46" s="565"/>
      <c r="AJ46" s="566">
        <v>10</v>
      </c>
      <c r="AK46" s="565" t="str">
        <f t="shared" si="16"/>
        <v/>
      </c>
      <c r="AL46" s="565" t="str">
        <f t="shared" si="17"/>
        <v/>
      </c>
      <c r="AM46" s="565"/>
      <c r="AN46" s="565"/>
      <c r="AO46" s="565"/>
      <c r="AP46" s="565"/>
      <c r="AQ46" s="565"/>
      <c r="AR46" s="565"/>
      <c r="AS46" s="566">
        <v>10</v>
      </c>
      <c r="AT46" s="565" t="str">
        <f t="shared" si="18"/>
        <v/>
      </c>
      <c r="AU46" s="565" t="str">
        <f t="shared" si="19"/>
        <v/>
      </c>
      <c r="AV46" s="565"/>
      <c r="AW46" s="565"/>
      <c r="AX46" s="565"/>
      <c r="AY46" s="565"/>
      <c r="AZ46" s="565"/>
      <c r="BA46" s="565"/>
      <c r="BB46" s="566">
        <v>10</v>
      </c>
      <c r="BC46" s="565" t="str">
        <f t="shared" si="20"/>
        <v/>
      </c>
      <c r="BD46" s="565" t="str">
        <f t="shared" si="21"/>
        <v/>
      </c>
      <c r="BE46" s="565"/>
      <c r="BF46" s="565"/>
      <c r="BG46" s="565"/>
      <c r="BH46" s="565"/>
      <c r="BI46" s="565"/>
      <c r="BJ46" s="565"/>
      <c r="BK46" s="566">
        <v>10</v>
      </c>
      <c r="BL46" s="565" t="str">
        <f t="shared" si="22"/>
        <v/>
      </c>
      <c r="BM46" s="565" t="str">
        <f t="shared" si="23"/>
        <v/>
      </c>
      <c r="BN46" s="565"/>
      <c r="BO46" s="565"/>
      <c r="BP46" s="565"/>
      <c r="BQ46" s="565"/>
      <c r="BR46" s="565"/>
      <c r="BS46" s="565"/>
      <c r="BT46" s="566">
        <v>10</v>
      </c>
      <c r="BU46" s="565" t="str">
        <f t="shared" si="24"/>
        <v/>
      </c>
      <c r="BV46" s="565" t="str">
        <f t="shared" si="25"/>
        <v/>
      </c>
      <c r="BW46" s="565"/>
      <c r="BX46" s="565"/>
      <c r="BY46" s="565"/>
      <c r="BZ46" s="565"/>
      <c r="CA46" s="565"/>
      <c r="CB46" s="565"/>
      <c r="CC46" s="566">
        <v>10</v>
      </c>
      <c r="CD46" s="565" t="str">
        <f t="shared" si="26"/>
        <v/>
      </c>
      <c r="CE46" s="565" t="str">
        <f t="shared" si="27"/>
        <v/>
      </c>
      <c r="CF46" s="565"/>
      <c r="CG46" s="565"/>
      <c r="CH46" s="565"/>
      <c r="CI46" s="565"/>
      <c r="CJ46" s="565"/>
      <c r="CK46" s="565"/>
    </row>
    <row r="47" spans="1:89" x14ac:dyDescent="0.25">
      <c r="A47" s="565"/>
      <c r="B47" s="1062"/>
      <c r="C47" s="1062"/>
      <c r="D47" s="1062"/>
      <c r="E47" s="1062"/>
      <c r="F47" s="1062"/>
      <c r="G47" s="1062"/>
      <c r="H47" s="1062"/>
      <c r="I47" s="566">
        <v>11</v>
      </c>
      <c r="J47" s="565" t="str">
        <f t="shared" si="10"/>
        <v/>
      </c>
      <c r="K47" s="565" t="str">
        <f t="shared" si="11"/>
        <v/>
      </c>
      <c r="L47" s="565"/>
      <c r="M47" s="565"/>
      <c r="N47" s="565"/>
      <c r="O47" s="565"/>
      <c r="P47" s="565"/>
      <c r="Q47" s="565"/>
      <c r="R47" s="566">
        <v>11</v>
      </c>
      <c r="S47" s="565" t="str">
        <f t="shared" si="12"/>
        <v/>
      </c>
      <c r="T47" s="565" t="str">
        <f t="shared" si="13"/>
        <v/>
      </c>
      <c r="U47" s="565"/>
      <c r="V47" s="565"/>
      <c r="W47" s="565"/>
      <c r="X47" s="565"/>
      <c r="Y47" s="565"/>
      <c r="Z47" s="565"/>
      <c r="AA47" s="566">
        <v>11</v>
      </c>
      <c r="AB47" s="565" t="str">
        <f t="shared" si="14"/>
        <v/>
      </c>
      <c r="AC47" s="565" t="str">
        <f t="shared" si="15"/>
        <v/>
      </c>
      <c r="AD47" s="565"/>
      <c r="AE47" s="565"/>
      <c r="AF47" s="565"/>
      <c r="AG47" s="565"/>
      <c r="AH47" s="565"/>
      <c r="AI47" s="565"/>
      <c r="AJ47" s="566">
        <v>11</v>
      </c>
      <c r="AK47" s="565" t="str">
        <f t="shared" si="16"/>
        <v/>
      </c>
      <c r="AL47" s="565" t="str">
        <f t="shared" si="17"/>
        <v/>
      </c>
      <c r="AM47" s="565"/>
      <c r="AN47" s="565"/>
      <c r="AO47" s="565"/>
      <c r="AP47" s="565"/>
      <c r="AQ47" s="565"/>
      <c r="AR47" s="565"/>
      <c r="AS47" s="566">
        <v>11</v>
      </c>
      <c r="AT47" s="565" t="str">
        <f t="shared" si="18"/>
        <v/>
      </c>
      <c r="AU47" s="565" t="str">
        <f t="shared" si="19"/>
        <v/>
      </c>
      <c r="AV47" s="565"/>
      <c r="AW47" s="565"/>
      <c r="AX47" s="565"/>
      <c r="AY47" s="565"/>
      <c r="AZ47" s="565"/>
      <c r="BA47" s="565"/>
      <c r="BB47" s="566">
        <v>11</v>
      </c>
      <c r="BC47" s="565" t="str">
        <f t="shared" si="20"/>
        <v/>
      </c>
      <c r="BD47" s="565" t="str">
        <f t="shared" si="21"/>
        <v/>
      </c>
      <c r="BE47" s="565"/>
      <c r="BF47" s="565"/>
      <c r="BG47" s="565"/>
      <c r="BH47" s="565"/>
      <c r="BI47" s="565"/>
      <c r="BJ47" s="565"/>
      <c r="BK47" s="566">
        <v>11</v>
      </c>
      <c r="BL47" s="565" t="str">
        <f t="shared" si="22"/>
        <v/>
      </c>
      <c r="BM47" s="565" t="str">
        <f t="shared" si="23"/>
        <v/>
      </c>
      <c r="BN47" s="565"/>
      <c r="BO47" s="565"/>
      <c r="BP47" s="565"/>
      <c r="BQ47" s="565"/>
      <c r="BR47" s="565"/>
      <c r="BS47" s="565"/>
      <c r="BT47" s="566">
        <v>11</v>
      </c>
      <c r="BU47" s="565" t="str">
        <f t="shared" si="24"/>
        <v/>
      </c>
      <c r="BV47" s="565" t="str">
        <f t="shared" si="25"/>
        <v/>
      </c>
      <c r="BW47" s="565"/>
      <c r="BX47" s="565"/>
      <c r="BY47" s="565"/>
      <c r="BZ47" s="565"/>
      <c r="CA47" s="565"/>
      <c r="CB47" s="565"/>
      <c r="CC47" s="566">
        <v>11</v>
      </c>
      <c r="CD47" s="565" t="str">
        <f t="shared" si="26"/>
        <v/>
      </c>
      <c r="CE47" s="565" t="str">
        <f t="shared" si="27"/>
        <v/>
      </c>
      <c r="CF47" s="565"/>
      <c r="CG47" s="565"/>
      <c r="CH47" s="565"/>
      <c r="CI47" s="565"/>
      <c r="CJ47" s="565"/>
      <c r="CK47" s="565"/>
    </row>
    <row r="48" spans="1:89" x14ac:dyDescent="0.25">
      <c r="A48" s="565"/>
      <c r="B48" s="1062"/>
      <c r="C48" s="1062"/>
      <c r="D48" s="1062"/>
      <c r="E48" s="1062"/>
      <c r="F48" s="1062"/>
      <c r="G48" s="1062"/>
      <c r="H48" s="1062"/>
      <c r="I48" s="566">
        <v>12</v>
      </c>
      <c r="J48" s="565" t="str">
        <f t="shared" si="10"/>
        <v/>
      </c>
      <c r="K48" s="565" t="str">
        <f t="shared" si="11"/>
        <v/>
      </c>
      <c r="L48" s="565"/>
      <c r="M48" s="565"/>
      <c r="N48" s="565"/>
      <c r="O48" s="565"/>
      <c r="P48" s="565"/>
      <c r="Q48" s="565"/>
      <c r="R48" s="566">
        <v>12</v>
      </c>
      <c r="S48" s="565" t="str">
        <f t="shared" si="12"/>
        <v/>
      </c>
      <c r="T48" s="565" t="str">
        <f t="shared" si="13"/>
        <v/>
      </c>
      <c r="U48" s="565"/>
      <c r="V48" s="565"/>
      <c r="W48" s="565"/>
      <c r="X48" s="565"/>
      <c r="Y48" s="565"/>
      <c r="Z48" s="565"/>
      <c r="AA48" s="566">
        <v>12</v>
      </c>
      <c r="AB48" s="565" t="str">
        <f t="shared" si="14"/>
        <v/>
      </c>
      <c r="AC48" s="565" t="str">
        <f t="shared" si="15"/>
        <v/>
      </c>
      <c r="AD48" s="565"/>
      <c r="AE48" s="565"/>
      <c r="AF48" s="565"/>
      <c r="AG48" s="565"/>
      <c r="AH48" s="565"/>
      <c r="AI48" s="565"/>
      <c r="AJ48" s="566">
        <v>12</v>
      </c>
      <c r="AK48" s="565" t="str">
        <f t="shared" si="16"/>
        <v/>
      </c>
      <c r="AL48" s="565" t="str">
        <f t="shared" si="17"/>
        <v/>
      </c>
      <c r="AM48" s="565"/>
      <c r="AN48" s="565"/>
      <c r="AO48" s="565"/>
      <c r="AP48" s="565"/>
      <c r="AQ48" s="565"/>
      <c r="AR48" s="565"/>
      <c r="AS48" s="566">
        <v>12</v>
      </c>
      <c r="AT48" s="565" t="str">
        <f t="shared" si="18"/>
        <v/>
      </c>
      <c r="AU48" s="565" t="str">
        <f t="shared" si="19"/>
        <v/>
      </c>
      <c r="AV48" s="565"/>
      <c r="AW48" s="565"/>
      <c r="AX48" s="565"/>
      <c r="AY48" s="565"/>
      <c r="AZ48" s="565"/>
      <c r="BA48" s="565"/>
      <c r="BB48" s="566">
        <v>12</v>
      </c>
      <c r="BC48" s="565" t="str">
        <f t="shared" si="20"/>
        <v/>
      </c>
      <c r="BD48" s="565" t="str">
        <f t="shared" si="21"/>
        <v/>
      </c>
      <c r="BE48" s="565"/>
      <c r="BF48" s="565"/>
      <c r="BG48" s="565"/>
      <c r="BH48" s="565"/>
      <c r="BI48" s="565"/>
      <c r="BJ48" s="565"/>
      <c r="BK48" s="566">
        <v>12</v>
      </c>
      <c r="BL48" s="565" t="str">
        <f t="shared" si="22"/>
        <v/>
      </c>
      <c r="BM48" s="565" t="str">
        <f t="shared" si="23"/>
        <v/>
      </c>
      <c r="BN48" s="565"/>
      <c r="BO48" s="565"/>
      <c r="BP48" s="565"/>
      <c r="BQ48" s="565"/>
      <c r="BR48" s="565"/>
      <c r="BS48" s="565"/>
      <c r="BT48" s="566">
        <v>12</v>
      </c>
      <c r="BU48" s="565" t="str">
        <f t="shared" si="24"/>
        <v/>
      </c>
      <c r="BV48" s="565" t="str">
        <f t="shared" si="25"/>
        <v/>
      </c>
      <c r="BW48" s="565"/>
      <c r="BX48" s="565"/>
      <c r="BY48" s="565"/>
      <c r="BZ48" s="565"/>
      <c r="CA48" s="565"/>
      <c r="CB48" s="565"/>
      <c r="CC48" s="566">
        <v>12</v>
      </c>
      <c r="CD48" s="565" t="str">
        <f t="shared" si="26"/>
        <v/>
      </c>
      <c r="CE48" s="565" t="str">
        <f t="shared" si="27"/>
        <v/>
      </c>
      <c r="CF48" s="565"/>
      <c r="CG48" s="565"/>
      <c r="CH48" s="565"/>
      <c r="CI48" s="565"/>
      <c r="CJ48" s="565"/>
      <c r="CK48" s="565"/>
    </row>
    <row r="49" spans="1:89" x14ac:dyDescent="0.25">
      <c r="A49" s="565"/>
      <c r="B49" s="1062"/>
      <c r="C49" s="1062"/>
      <c r="D49" s="1062"/>
      <c r="E49" s="1062"/>
      <c r="F49" s="1062"/>
      <c r="G49" s="1062"/>
      <c r="H49" s="1062"/>
      <c r="I49" s="566">
        <v>13</v>
      </c>
      <c r="J49" s="565" t="str">
        <f t="shared" si="10"/>
        <v/>
      </c>
      <c r="K49" s="565" t="str">
        <f t="shared" si="11"/>
        <v/>
      </c>
      <c r="L49" s="565"/>
      <c r="M49" s="565"/>
      <c r="N49" s="565"/>
      <c r="O49" s="565"/>
      <c r="P49" s="565"/>
      <c r="Q49" s="565"/>
      <c r="R49" s="566">
        <v>13</v>
      </c>
      <c r="S49" s="565" t="str">
        <f t="shared" si="12"/>
        <v/>
      </c>
      <c r="T49" s="565" t="str">
        <f t="shared" si="13"/>
        <v/>
      </c>
      <c r="U49" s="565"/>
      <c r="V49" s="565"/>
      <c r="W49" s="565"/>
      <c r="X49" s="565"/>
      <c r="Y49" s="565"/>
      <c r="Z49" s="565"/>
      <c r="AA49" s="566">
        <v>13</v>
      </c>
      <c r="AB49" s="565" t="str">
        <f t="shared" si="14"/>
        <v/>
      </c>
      <c r="AC49" s="565" t="str">
        <f t="shared" si="15"/>
        <v/>
      </c>
      <c r="AD49" s="565"/>
      <c r="AE49" s="565"/>
      <c r="AF49" s="565"/>
      <c r="AG49" s="565"/>
      <c r="AH49" s="565"/>
      <c r="AI49" s="565"/>
      <c r="AJ49" s="566">
        <v>13</v>
      </c>
      <c r="AK49" s="565" t="str">
        <f t="shared" si="16"/>
        <v/>
      </c>
      <c r="AL49" s="565" t="str">
        <f t="shared" si="17"/>
        <v/>
      </c>
      <c r="AM49" s="565"/>
      <c r="AN49" s="565"/>
      <c r="AO49" s="565"/>
      <c r="AP49" s="565"/>
      <c r="AQ49" s="565"/>
      <c r="AR49" s="565"/>
      <c r="AS49" s="566">
        <v>13</v>
      </c>
      <c r="AT49" s="565" t="str">
        <f t="shared" si="18"/>
        <v/>
      </c>
      <c r="AU49" s="565" t="str">
        <f t="shared" si="19"/>
        <v/>
      </c>
      <c r="AV49" s="565"/>
      <c r="AW49" s="565"/>
      <c r="AX49" s="565"/>
      <c r="AY49" s="565"/>
      <c r="AZ49" s="565"/>
      <c r="BA49" s="565"/>
      <c r="BB49" s="566">
        <v>13</v>
      </c>
      <c r="BC49" s="565" t="str">
        <f t="shared" si="20"/>
        <v/>
      </c>
      <c r="BD49" s="565" t="str">
        <f t="shared" si="21"/>
        <v/>
      </c>
      <c r="BE49" s="565"/>
      <c r="BF49" s="565"/>
      <c r="BG49" s="565"/>
      <c r="BH49" s="565"/>
      <c r="BI49" s="565"/>
      <c r="BJ49" s="565"/>
      <c r="BK49" s="566">
        <v>13</v>
      </c>
      <c r="BL49" s="565" t="str">
        <f t="shared" si="22"/>
        <v/>
      </c>
      <c r="BM49" s="565" t="str">
        <f t="shared" si="23"/>
        <v/>
      </c>
      <c r="BN49" s="565"/>
      <c r="BO49" s="565"/>
      <c r="BP49" s="565"/>
      <c r="BQ49" s="565"/>
      <c r="BR49" s="565"/>
      <c r="BS49" s="565"/>
      <c r="BT49" s="566">
        <v>13</v>
      </c>
      <c r="BU49" s="565" t="str">
        <f t="shared" si="24"/>
        <v/>
      </c>
      <c r="BV49" s="565" t="str">
        <f t="shared" si="25"/>
        <v/>
      </c>
      <c r="BW49" s="565"/>
      <c r="BX49" s="565"/>
      <c r="BY49" s="565"/>
      <c r="BZ49" s="565"/>
      <c r="CA49" s="565"/>
      <c r="CB49" s="565"/>
      <c r="CC49" s="566">
        <v>13</v>
      </c>
      <c r="CD49" s="565" t="str">
        <f t="shared" si="26"/>
        <v/>
      </c>
      <c r="CE49" s="565" t="str">
        <f t="shared" si="27"/>
        <v/>
      </c>
      <c r="CF49" s="565"/>
      <c r="CG49" s="565"/>
      <c r="CH49" s="565"/>
      <c r="CI49" s="565"/>
      <c r="CJ49" s="565"/>
      <c r="CK49" s="565"/>
    </row>
    <row r="50" spans="1:89" x14ac:dyDescent="0.25">
      <c r="A50" s="565"/>
      <c r="B50" s="1062"/>
      <c r="C50" s="1062"/>
      <c r="D50" s="1062"/>
      <c r="E50" s="1062"/>
      <c r="F50" s="1062"/>
      <c r="G50" s="1062"/>
      <c r="H50" s="1062"/>
      <c r="I50" s="566">
        <v>14</v>
      </c>
      <c r="J50" s="565" t="str">
        <f t="shared" si="10"/>
        <v/>
      </c>
      <c r="K50" s="565" t="str">
        <f t="shared" si="11"/>
        <v/>
      </c>
      <c r="L50" s="565"/>
      <c r="M50" s="565"/>
      <c r="N50" s="565"/>
      <c r="O50" s="565"/>
      <c r="P50" s="565"/>
      <c r="Q50" s="565"/>
      <c r="R50" s="566">
        <v>14</v>
      </c>
      <c r="S50" s="565" t="str">
        <f t="shared" si="12"/>
        <v/>
      </c>
      <c r="T50" s="565" t="str">
        <f t="shared" si="13"/>
        <v/>
      </c>
      <c r="U50" s="565"/>
      <c r="V50" s="565"/>
      <c r="W50" s="565"/>
      <c r="X50" s="565"/>
      <c r="Y50" s="565"/>
      <c r="Z50" s="565"/>
      <c r="AA50" s="566">
        <v>14</v>
      </c>
      <c r="AB50" s="565" t="str">
        <f t="shared" si="14"/>
        <v/>
      </c>
      <c r="AC50" s="565" t="str">
        <f t="shared" si="15"/>
        <v/>
      </c>
      <c r="AD50" s="565"/>
      <c r="AE50" s="565"/>
      <c r="AF50" s="565"/>
      <c r="AG50" s="565"/>
      <c r="AH50" s="565"/>
      <c r="AI50" s="565"/>
      <c r="AJ50" s="566">
        <v>14</v>
      </c>
      <c r="AK50" s="565" t="str">
        <f t="shared" si="16"/>
        <v/>
      </c>
      <c r="AL50" s="565" t="str">
        <f t="shared" si="17"/>
        <v/>
      </c>
      <c r="AM50" s="565"/>
      <c r="AN50" s="565"/>
      <c r="AO50" s="565"/>
      <c r="AP50" s="565"/>
      <c r="AQ50" s="565"/>
      <c r="AR50" s="565"/>
      <c r="AS50" s="566">
        <v>14</v>
      </c>
      <c r="AT50" s="565" t="str">
        <f t="shared" si="18"/>
        <v/>
      </c>
      <c r="AU50" s="565" t="str">
        <f t="shared" si="19"/>
        <v/>
      </c>
      <c r="AV50" s="565"/>
      <c r="AW50" s="565"/>
      <c r="AX50" s="565"/>
      <c r="AY50" s="565"/>
      <c r="AZ50" s="565"/>
      <c r="BA50" s="565"/>
      <c r="BB50" s="566">
        <v>14</v>
      </c>
      <c r="BC50" s="565" t="str">
        <f t="shared" si="20"/>
        <v/>
      </c>
      <c r="BD50" s="565" t="str">
        <f t="shared" si="21"/>
        <v/>
      </c>
      <c r="BE50" s="565"/>
      <c r="BF50" s="565"/>
      <c r="BG50" s="565"/>
      <c r="BH50" s="565"/>
      <c r="BI50" s="565"/>
      <c r="BJ50" s="565"/>
      <c r="BK50" s="566">
        <v>14</v>
      </c>
      <c r="BL50" s="565" t="str">
        <f t="shared" si="22"/>
        <v/>
      </c>
      <c r="BM50" s="565" t="str">
        <f t="shared" si="23"/>
        <v/>
      </c>
      <c r="BN50" s="565"/>
      <c r="BO50" s="565"/>
      <c r="BP50" s="565"/>
      <c r="BQ50" s="565"/>
      <c r="BR50" s="565"/>
      <c r="BS50" s="565"/>
      <c r="BT50" s="566">
        <v>14</v>
      </c>
      <c r="BU50" s="565" t="str">
        <f t="shared" si="24"/>
        <v/>
      </c>
      <c r="BV50" s="565" t="str">
        <f t="shared" si="25"/>
        <v/>
      </c>
      <c r="BW50" s="565"/>
      <c r="BX50" s="565"/>
      <c r="BY50" s="565"/>
      <c r="BZ50" s="565"/>
      <c r="CA50" s="565"/>
      <c r="CB50" s="565"/>
      <c r="CC50" s="566">
        <v>14</v>
      </c>
      <c r="CD50" s="565" t="str">
        <f t="shared" si="26"/>
        <v/>
      </c>
      <c r="CE50" s="565" t="str">
        <f t="shared" si="27"/>
        <v/>
      </c>
      <c r="CF50" s="565"/>
      <c r="CG50" s="565"/>
      <c r="CH50" s="565"/>
      <c r="CI50" s="565"/>
      <c r="CJ50" s="565"/>
      <c r="CK50" s="565"/>
    </row>
    <row r="51" spans="1:89" x14ac:dyDescent="0.25">
      <c r="A51" s="565"/>
      <c r="B51" s="1062"/>
      <c r="C51" s="1062"/>
      <c r="D51" s="1062"/>
      <c r="E51" s="1062"/>
      <c r="F51" s="1062"/>
      <c r="G51" s="1062"/>
      <c r="H51" s="1062"/>
      <c r="I51" s="566">
        <v>15</v>
      </c>
      <c r="J51" s="565" t="str">
        <f t="shared" si="10"/>
        <v/>
      </c>
      <c r="K51" s="565" t="str">
        <f t="shared" si="11"/>
        <v/>
      </c>
      <c r="L51" s="565"/>
      <c r="M51" s="565"/>
      <c r="N51" s="565"/>
      <c r="O51" s="565"/>
      <c r="P51" s="565"/>
      <c r="Q51" s="565"/>
      <c r="R51" s="566">
        <v>15</v>
      </c>
      <c r="S51" s="565" t="str">
        <f t="shared" si="12"/>
        <v/>
      </c>
      <c r="T51" s="565" t="str">
        <f t="shared" si="13"/>
        <v/>
      </c>
      <c r="U51" s="565"/>
      <c r="V51" s="565"/>
      <c r="W51" s="565"/>
      <c r="X51" s="565"/>
      <c r="Y51" s="565"/>
      <c r="Z51" s="565"/>
      <c r="AA51" s="566">
        <v>15</v>
      </c>
      <c r="AB51" s="565" t="str">
        <f t="shared" si="14"/>
        <v/>
      </c>
      <c r="AC51" s="565" t="str">
        <f t="shared" si="15"/>
        <v/>
      </c>
      <c r="AD51" s="565"/>
      <c r="AE51" s="565"/>
      <c r="AF51" s="565"/>
      <c r="AG51" s="565"/>
      <c r="AH51" s="565"/>
      <c r="AI51" s="565"/>
      <c r="AJ51" s="566">
        <v>15</v>
      </c>
      <c r="AK51" s="565" t="str">
        <f t="shared" si="16"/>
        <v/>
      </c>
      <c r="AL51" s="565" t="str">
        <f t="shared" si="17"/>
        <v/>
      </c>
      <c r="AM51" s="565"/>
      <c r="AN51" s="565"/>
      <c r="AO51" s="565"/>
      <c r="AP51" s="565"/>
      <c r="AQ51" s="565"/>
      <c r="AR51" s="565"/>
      <c r="AS51" s="566">
        <v>15</v>
      </c>
      <c r="AT51" s="565" t="str">
        <f t="shared" si="18"/>
        <v/>
      </c>
      <c r="AU51" s="565" t="str">
        <f t="shared" si="19"/>
        <v/>
      </c>
      <c r="AV51" s="565"/>
      <c r="AW51" s="565"/>
      <c r="AX51" s="565"/>
      <c r="AY51" s="565"/>
      <c r="AZ51" s="565"/>
      <c r="BA51" s="565"/>
      <c r="BB51" s="566">
        <v>15</v>
      </c>
      <c r="BC51" s="565" t="str">
        <f t="shared" si="20"/>
        <v/>
      </c>
      <c r="BD51" s="565" t="str">
        <f t="shared" si="21"/>
        <v/>
      </c>
      <c r="BE51" s="565"/>
      <c r="BF51" s="565"/>
      <c r="BG51" s="565"/>
      <c r="BH51" s="565"/>
      <c r="BI51" s="565"/>
      <c r="BJ51" s="565"/>
      <c r="BK51" s="566">
        <v>15</v>
      </c>
      <c r="BL51" s="565" t="str">
        <f t="shared" si="22"/>
        <v/>
      </c>
      <c r="BM51" s="565" t="str">
        <f t="shared" si="23"/>
        <v/>
      </c>
      <c r="BN51" s="565"/>
      <c r="BO51" s="565"/>
      <c r="BP51" s="565"/>
      <c r="BQ51" s="565"/>
      <c r="BR51" s="565"/>
      <c r="BS51" s="565"/>
      <c r="BT51" s="566">
        <v>15</v>
      </c>
      <c r="BU51" s="565" t="str">
        <f t="shared" si="24"/>
        <v/>
      </c>
      <c r="BV51" s="565" t="str">
        <f t="shared" si="25"/>
        <v/>
      </c>
      <c r="BW51" s="565"/>
      <c r="BX51" s="565"/>
      <c r="BY51" s="565"/>
      <c r="BZ51" s="565"/>
      <c r="CA51" s="565"/>
      <c r="CB51" s="565"/>
      <c r="CC51" s="566">
        <v>15</v>
      </c>
      <c r="CD51" s="565" t="str">
        <f t="shared" si="26"/>
        <v/>
      </c>
      <c r="CE51" s="565" t="str">
        <f t="shared" si="27"/>
        <v/>
      </c>
      <c r="CF51" s="565"/>
      <c r="CG51" s="565"/>
      <c r="CH51" s="565"/>
      <c r="CI51" s="565"/>
      <c r="CJ51" s="565"/>
      <c r="CK51" s="565"/>
    </row>
    <row r="52" spans="1:89" x14ac:dyDescent="0.25">
      <c r="A52" s="565"/>
      <c r="B52" s="1062"/>
      <c r="C52" s="1062"/>
      <c r="D52" s="1062"/>
      <c r="E52" s="1062"/>
      <c r="F52" s="1062"/>
      <c r="G52" s="1062"/>
      <c r="H52" s="1062"/>
      <c r="I52" s="566">
        <v>16</v>
      </c>
      <c r="J52" s="565" t="str">
        <f t="shared" si="10"/>
        <v/>
      </c>
      <c r="K52" s="565" t="str">
        <f t="shared" si="11"/>
        <v/>
      </c>
      <c r="L52" s="565"/>
      <c r="M52" s="565"/>
      <c r="N52" s="565"/>
      <c r="O52" s="565"/>
      <c r="P52" s="565"/>
      <c r="Q52" s="565"/>
      <c r="R52" s="566">
        <v>16</v>
      </c>
      <c r="S52" s="565" t="str">
        <f t="shared" si="12"/>
        <v/>
      </c>
      <c r="T52" s="565" t="str">
        <f t="shared" si="13"/>
        <v/>
      </c>
      <c r="U52" s="565"/>
      <c r="V52" s="565"/>
      <c r="W52" s="565"/>
      <c r="X52" s="565"/>
      <c r="Y52" s="565"/>
      <c r="Z52" s="565"/>
      <c r="AA52" s="566">
        <v>16</v>
      </c>
      <c r="AB52" s="565" t="str">
        <f t="shared" si="14"/>
        <v/>
      </c>
      <c r="AC52" s="565" t="str">
        <f t="shared" si="15"/>
        <v/>
      </c>
      <c r="AD52" s="565"/>
      <c r="AE52" s="565"/>
      <c r="AF52" s="565"/>
      <c r="AG52" s="565"/>
      <c r="AH52" s="565"/>
      <c r="AI52" s="565"/>
      <c r="AJ52" s="566">
        <v>16</v>
      </c>
      <c r="AK52" s="565" t="str">
        <f t="shared" si="16"/>
        <v/>
      </c>
      <c r="AL52" s="565" t="str">
        <f t="shared" si="17"/>
        <v/>
      </c>
      <c r="AM52" s="565"/>
      <c r="AN52" s="565"/>
      <c r="AO52" s="565"/>
      <c r="AP52" s="565"/>
      <c r="AQ52" s="565"/>
      <c r="AR52" s="565"/>
      <c r="AS52" s="566">
        <v>16</v>
      </c>
      <c r="AT52" s="565" t="str">
        <f t="shared" si="18"/>
        <v/>
      </c>
      <c r="AU52" s="565" t="str">
        <f t="shared" si="19"/>
        <v/>
      </c>
      <c r="AV52" s="565"/>
      <c r="AW52" s="565"/>
      <c r="AX52" s="565"/>
      <c r="AY52" s="565"/>
      <c r="AZ52" s="565"/>
      <c r="BA52" s="565"/>
      <c r="BB52" s="566">
        <v>16</v>
      </c>
      <c r="BC52" s="565" t="str">
        <f t="shared" si="20"/>
        <v/>
      </c>
      <c r="BD52" s="565" t="str">
        <f t="shared" si="21"/>
        <v/>
      </c>
      <c r="BE52" s="565"/>
      <c r="BF52" s="565"/>
      <c r="BG52" s="565"/>
      <c r="BH52" s="565"/>
      <c r="BI52" s="565"/>
      <c r="BJ52" s="565"/>
      <c r="BK52" s="566">
        <v>16</v>
      </c>
      <c r="BL52" s="565" t="str">
        <f t="shared" si="22"/>
        <v/>
      </c>
      <c r="BM52" s="565" t="str">
        <f t="shared" si="23"/>
        <v/>
      </c>
      <c r="BN52" s="565"/>
      <c r="BO52" s="565"/>
      <c r="BP52" s="565"/>
      <c r="BQ52" s="565"/>
      <c r="BR52" s="565"/>
      <c r="BS52" s="565"/>
      <c r="BT52" s="566">
        <v>16</v>
      </c>
      <c r="BU52" s="565" t="str">
        <f t="shared" si="24"/>
        <v/>
      </c>
      <c r="BV52" s="565" t="str">
        <f t="shared" si="25"/>
        <v/>
      </c>
      <c r="BW52" s="565"/>
      <c r="BX52" s="565"/>
      <c r="BY52" s="565"/>
      <c r="BZ52" s="565"/>
      <c r="CA52" s="565"/>
      <c r="CB52" s="565"/>
      <c r="CC52" s="566">
        <v>16</v>
      </c>
      <c r="CD52" s="565" t="str">
        <f t="shared" si="26"/>
        <v/>
      </c>
      <c r="CE52" s="565" t="str">
        <f t="shared" si="27"/>
        <v/>
      </c>
      <c r="CF52" s="565"/>
      <c r="CG52" s="565"/>
      <c r="CH52" s="565"/>
      <c r="CI52" s="565"/>
      <c r="CJ52" s="565"/>
      <c r="CK52" s="565"/>
    </row>
    <row r="53" spans="1:89" x14ac:dyDescent="0.25">
      <c r="A53" s="565"/>
      <c r="B53" s="1062"/>
      <c r="C53" s="1062"/>
      <c r="D53" s="1062"/>
      <c r="E53" s="1062"/>
      <c r="F53" s="1062"/>
      <c r="G53" s="1062"/>
      <c r="H53" s="1062"/>
      <c r="I53" s="566">
        <v>17</v>
      </c>
      <c r="J53" s="565" t="str">
        <f t="shared" si="10"/>
        <v/>
      </c>
      <c r="K53" s="565" t="str">
        <f t="shared" si="11"/>
        <v/>
      </c>
      <c r="L53" s="565"/>
      <c r="M53" s="565"/>
      <c r="N53" s="565"/>
      <c r="O53" s="565"/>
      <c r="P53" s="565"/>
      <c r="Q53" s="565"/>
      <c r="R53" s="566">
        <v>17</v>
      </c>
      <c r="S53" s="565" t="str">
        <f t="shared" si="12"/>
        <v/>
      </c>
      <c r="T53" s="565" t="str">
        <f t="shared" si="13"/>
        <v/>
      </c>
      <c r="U53" s="565"/>
      <c r="V53" s="565"/>
      <c r="W53" s="565"/>
      <c r="X53" s="565"/>
      <c r="Y53" s="565"/>
      <c r="Z53" s="565"/>
      <c r="AA53" s="566">
        <v>17</v>
      </c>
      <c r="AB53" s="565" t="str">
        <f t="shared" si="14"/>
        <v/>
      </c>
      <c r="AC53" s="565" t="str">
        <f t="shared" si="15"/>
        <v/>
      </c>
      <c r="AD53" s="565"/>
      <c r="AE53" s="565"/>
      <c r="AF53" s="565"/>
      <c r="AG53" s="565"/>
      <c r="AH53" s="565"/>
      <c r="AI53" s="565"/>
      <c r="AJ53" s="566">
        <v>17</v>
      </c>
      <c r="AK53" s="565" t="str">
        <f t="shared" si="16"/>
        <v/>
      </c>
      <c r="AL53" s="565" t="str">
        <f t="shared" si="17"/>
        <v/>
      </c>
      <c r="AM53" s="565"/>
      <c r="AN53" s="565"/>
      <c r="AO53" s="565"/>
      <c r="AP53" s="565"/>
      <c r="AQ53" s="565"/>
      <c r="AR53" s="565"/>
      <c r="AS53" s="566">
        <v>17</v>
      </c>
      <c r="AT53" s="565" t="str">
        <f t="shared" si="18"/>
        <v/>
      </c>
      <c r="AU53" s="565" t="str">
        <f t="shared" si="19"/>
        <v/>
      </c>
      <c r="AV53" s="565"/>
      <c r="AW53" s="565"/>
      <c r="AX53" s="565"/>
      <c r="AY53" s="565"/>
      <c r="AZ53" s="565"/>
      <c r="BA53" s="565"/>
      <c r="BB53" s="566">
        <v>17</v>
      </c>
      <c r="BC53" s="565" t="str">
        <f t="shared" si="20"/>
        <v/>
      </c>
      <c r="BD53" s="565" t="str">
        <f t="shared" si="21"/>
        <v/>
      </c>
      <c r="BE53" s="565"/>
      <c r="BF53" s="565"/>
      <c r="BG53" s="565"/>
      <c r="BH53" s="565"/>
      <c r="BI53" s="565"/>
      <c r="BJ53" s="565"/>
      <c r="BK53" s="566">
        <v>17</v>
      </c>
      <c r="BL53" s="565" t="str">
        <f t="shared" si="22"/>
        <v/>
      </c>
      <c r="BM53" s="565" t="str">
        <f t="shared" si="23"/>
        <v/>
      </c>
      <c r="BN53" s="565"/>
      <c r="BO53" s="565"/>
      <c r="BP53" s="565"/>
      <c r="BQ53" s="565"/>
      <c r="BR53" s="565"/>
      <c r="BS53" s="565"/>
      <c r="BT53" s="566">
        <v>17</v>
      </c>
      <c r="BU53" s="565" t="str">
        <f t="shared" si="24"/>
        <v/>
      </c>
      <c r="BV53" s="565" t="str">
        <f t="shared" si="25"/>
        <v/>
      </c>
      <c r="BW53" s="565"/>
      <c r="BX53" s="565"/>
      <c r="BY53" s="565"/>
      <c r="BZ53" s="565"/>
      <c r="CA53" s="565"/>
      <c r="CB53" s="565"/>
      <c r="CC53" s="566">
        <v>17</v>
      </c>
      <c r="CD53" s="565" t="str">
        <f t="shared" si="26"/>
        <v/>
      </c>
      <c r="CE53" s="565" t="str">
        <f t="shared" si="27"/>
        <v/>
      </c>
      <c r="CF53" s="565"/>
      <c r="CG53" s="565"/>
      <c r="CH53" s="565"/>
      <c r="CI53" s="565"/>
      <c r="CJ53" s="565"/>
      <c r="CK53" s="565"/>
    </row>
    <row r="54" spans="1:89" x14ac:dyDescent="0.25">
      <c r="A54" s="565"/>
      <c r="B54" s="1062"/>
      <c r="C54" s="1062"/>
      <c r="D54" s="1062"/>
      <c r="E54" s="1062"/>
      <c r="F54" s="1062"/>
      <c r="G54" s="1062"/>
      <c r="H54" s="1062"/>
      <c r="I54" s="566">
        <v>18</v>
      </c>
      <c r="J54" s="565" t="str">
        <f t="shared" si="10"/>
        <v/>
      </c>
      <c r="K54" s="565" t="str">
        <f t="shared" si="11"/>
        <v/>
      </c>
      <c r="L54" s="565"/>
      <c r="M54" s="565"/>
      <c r="N54" s="565"/>
      <c r="O54" s="565"/>
      <c r="P54" s="565"/>
      <c r="Q54" s="565"/>
      <c r="R54" s="566">
        <v>18</v>
      </c>
      <c r="S54" s="565" t="str">
        <f t="shared" si="12"/>
        <v/>
      </c>
      <c r="T54" s="565" t="str">
        <f t="shared" si="13"/>
        <v/>
      </c>
      <c r="U54" s="565"/>
      <c r="V54" s="565"/>
      <c r="W54" s="565"/>
      <c r="X54" s="565"/>
      <c r="Y54" s="565"/>
      <c r="Z54" s="565"/>
      <c r="AA54" s="566">
        <v>18</v>
      </c>
      <c r="AB54" s="565" t="str">
        <f t="shared" si="14"/>
        <v/>
      </c>
      <c r="AC54" s="565" t="str">
        <f t="shared" si="15"/>
        <v/>
      </c>
      <c r="AD54" s="565"/>
      <c r="AE54" s="565"/>
      <c r="AF54" s="565"/>
      <c r="AG54" s="565"/>
      <c r="AH54" s="565"/>
      <c r="AI54" s="565"/>
      <c r="AJ54" s="566">
        <v>18</v>
      </c>
      <c r="AK54" s="565" t="str">
        <f t="shared" si="16"/>
        <v/>
      </c>
      <c r="AL54" s="565" t="str">
        <f t="shared" si="17"/>
        <v/>
      </c>
      <c r="AM54" s="565"/>
      <c r="AN54" s="565"/>
      <c r="AO54" s="565"/>
      <c r="AP54" s="565"/>
      <c r="AQ54" s="565"/>
      <c r="AR54" s="565"/>
      <c r="AS54" s="566">
        <v>18</v>
      </c>
      <c r="AT54" s="565" t="str">
        <f t="shared" si="18"/>
        <v/>
      </c>
      <c r="AU54" s="565" t="str">
        <f t="shared" si="19"/>
        <v/>
      </c>
      <c r="AV54" s="565"/>
      <c r="AW54" s="565"/>
      <c r="AX54" s="565"/>
      <c r="AY54" s="565"/>
      <c r="AZ54" s="565"/>
      <c r="BA54" s="565"/>
      <c r="BB54" s="566">
        <v>18</v>
      </c>
      <c r="BC54" s="565" t="str">
        <f t="shared" si="20"/>
        <v/>
      </c>
      <c r="BD54" s="565" t="str">
        <f t="shared" si="21"/>
        <v/>
      </c>
      <c r="BE54" s="565"/>
      <c r="BF54" s="565"/>
      <c r="BG54" s="565"/>
      <c r="BH54" s="565"/>
      <c r="BI54" s="565"/>
      <c r="BJ54" s="565"/>
      <c r="BK54" s="566">
        <v>18</v>
      </c>
      <c r="BL54" s="565" t="str">
        <f t="shared" si="22"/>
        <v/>
      </c>
      <c r="BM54" s="565" t="str">
        <f t="shared" si="23"/>
        <v/>
      </c>
      <c r="BN54" s="565"/>
      <c r="BO54" s="565"/>
      <c r="BP54" s="565"/>
      <c r="BQ54" s="565"/>
      <c r="BR54" s="565"/>
      <c r="BS54" s="565"/>
      <c r="BT54" s="566">
        <v>18</v>
      </c>
      <c r="BU54" s="565" t="str">
        <f t="shared" si="24"/>
        <v/>
      </c>
      <c r="BV54" s="565" t="str">
        <f t="shared" si="25"/>
        <v/>
      </c>
      <c r="BW54" s="565"/>
      <c r="BX54" s="565"/>
      <c r="BY54" s="565"/>
      <c r="BZ54" s="565"/>
      <c r="CA54" s="565"/>
      <c r="CB54" s="565"/>
      <c r="CC54" s="566">
        <v>18</v>
      </c>
      <c r="CD54" s="565" t="str">
        <f t="shared" si="26"/>
        <v/>
      </c>
      <c r="CE54" s="565" t="str">
        <f t="shared" si="27"/>
        <v/>
      </c>
      <c r="CF54" s="565"/>
      <c r="CG54" s="565"/>
      <c r="CH54" s="565"/>
      <c r="CI54" s="565"/>
      <c r="CJ54" s="565"/>
      <c r="CK54" s="565"/>
    </row>
    <row r="55" spans="1:89" x14ac:dyDescent="0.25">
      <c r="A55" s="565"/>
      <c r="B55" s="1062"/>
      <c r="C55" s="1062"/>
      <c r="D55" s="1062"/>
      <c r="E55" s="1062"/>
      <c r="F55" s="1062"/>
      <c r="G55" s="1062"/>
      <c r="H55" s="1062"/>
      <c r="I55" s="566">
        <v>19</v>
      </c>
      <c r="J55" s="565" t="str">
        <f t="shared" si="10"/>
        <v/>
      </c>
      <c r="K55" s="565" t="str">
        <f t="shared" si="11"/>
        <v/>
      </c>
      <c r="L55" s="565"/>
      <c r="M55" s="565"/>
      <c r="N55" s="565"/>
      <c r="O55" s="565"/>
      <c r="P55" s="565"/>
      <c r="Q55" s="565"/>
      <c r="R55" s="566">
        <v>19</v>
      </c>
      <c r="S55" s="565" t="str">
        <f t="shared" si="12"/>
        <v/>
      </c>
      <c r="T55" s="565" t="str">
        <f t="shared" si="13"/>
        <v/>
      </c>
      <c r="U55" s="565"/>
      <c r="V55" s="565"/>
      <c r="W55" s="565"/>
      <c r="X55" s="565"/>
      <c r="Y55" s="565"/>
      <c r="Z55" s="565"/>
      <c r="AA55" s="566">
        <v>19</v>
      </c>
      <c r="AB55" s="565" t="str">
        <f t="shared" si="14"/>
        <v/>
      </c>
      <c r="AC55" s="565" t="str">
        <f t="shared" si="15"/>
        <v/>
      </c>
      <c r="AD55" s="565"/>
      <c r="AE55" s="565"/>
      <c r="AF55" s="565"/>
      <c r="AG55" s="565"/>
      <c r="AH55" s="565"/>
      <c r="AI55" s="565"/>
      <c r="AJ55" s="566">
        <v>19</v>
      </c>
      <c r="AK55" s="565" t="str">
        <f t="shared" si="16"/>
        <v/>
      </c>
      <c r="AL55" s="565" t="str">
        <f t="shared" si="17"/>
        <v/>
      </c>
      <c r="AM55" s="565"/>
      <c r="AN55" s="565"/>
      <c r="AO55" s="565"/>
      <c r="AP55" s="565"/>
      <c r="AQ55" s="565"/>
      <c r="AR55" s="565"/>
      <c r="AS55" s="566">
        <v>19</v>
      </c>
      <c r="AT55" s="565" t="str">
        <f t="shared" si="18"/>
        <v/>
      </c>
      <c r="AU55" s="565" t="str">
        <f t="shared" si="19"/>
        <v/>
      </c>
      <c r="AV55" s="565"/>
      <c r="AW55" s="565"/>
      <c r="AX55" s="565"/>
      <c r="AY55" s="565"/>
      <c r="AZ55" s="565"/>
      <c r="BA55" s="565"/>
      <c r="BB55" s="566">
        <v>19</v>
      </c>
      <c r="BC55" s="565" t="str">
        <f t="shared" si="20"/>
        <v/>
      </c>
      <c r="BD55" s="565" t="str">
        <f t="shared" si="21"/>
        <v/>
      </c>
      <c r="BE55" s="565"/>
      <c r="BF55" s="565"/>
      <c r="BG55" s="565"/>
      <c r="BH55" s="565"/>
      <c r="BI55" s="565"/>
      <c r="BJ55" s="565"/>
      <c r="BK55" s="566">
        <v>19</v>
      </c>
      <c r="BL55" s="565" t="str">
        <f t="shared" si="22"/>
        <v/>
      </c>
      <c r="BM55" s="565" t="str">
        <f t="shared" si="23"/>
        <v/>
      </c>
      <c r="BN55" s="565"/>
      <c r="BO55" s="565"/>
      <c r="BP55" s="565"/>
      <c r="BQ55" s="565"/>
      <c r="BR55" s="565"/>
      <c r="BS55" s="565"/>
      <c r="BT55" s="566">
        <v>19</v>
      </c>
      <c r="BU55" s="565" t="str">
        <f t="shared" si="24"/>
        <v/>
      </c>
      <c r="BV55" s="565" t="str">
        <f t="shared" si="25"/>
        <v/>
      </c>
      <c r="BW55" s="565"/>
      <c r="BX55" s="565"/>
      <c r="BY55" s="565"/>
      <c r="BZ55" s="565"/>
      <c r="CA55" s="565"/>
      <c r="CB55" s="565"/>
      <c r="CC55" s="566">
        <v>19</v>
      </c>
      <c r="CD55" s="565" t="str">
        <f t="shared" si="26"/>
        <v/>
      </c>
      <c r="CE55" s="565" t="str">
        <f t="shared" si="27"/>
        <v/>
      </c>
      <c r="CF55" s="565"/>
      <c r="CG55" s="565"/>
      <c r="CH55" s="565"/>
      <c r="CI55" s="565"/>
      <c r="CJ55" s="565"/>
      <c r="CK55" s="565"/>
    </row>
    <row r="56" spans="1:89" x14ac:dyDescent="0.25">
      <c r="A56" s="565"/>
      <c r="B56" s="1062"/>
      <c r="C56" s="1062"/>
      <c r="D56" s="1062"/>
      <c r="E56" s="1062"/>
      <c r="F56" s="1062"/>
      <c r="G56" s="1062"/>
      <c r="H56" s="1062"/>
      <c r="I56" s="566">
        <v>20</v>
      </c>
      <c r="J56" s="565" t="str">
        <f t="shared" si="10"/>
        <v/>
      </c>
      <c r="K56" s="565" t="str">
        <f t="shared" si="11"/>
        <v/>
      </c>
      <c r="L56" s="565"/>
      <c r="M56" s="565"/>
      <c r="N56" s="565"/>
      <c r="O56" s="565"/>
      <c r="P56" s="565"/>
      <c r="Q56" s="565"/>
      <c r="R56" s="566">
        <v>20</v>
      </c>
      <c r="S56" s="565" t="str">
        <f t="shared" si="12"/>
        <v/>
      </c>
      <c r="T56" s="565" t="str">
        <f t="shared" si="13"/>
        <v/>
      </c>
      <c r="U56" s="565"/>
      <c r="V56" s="565"/>
      <c r="W56" s="565"/>
      <c r="X56" s="565"/>
      <c r="Y56" s="565"/>
      <c r="Z56" s="565"/>
      <c r="AA56" s="566">
        <v>20</v>
      </c>
      <c r="AB56" s="565" t="str">
        <f t="shared" si="14"/>
        <v/>
      </c>
      <c r="AC56" s="565" t="str">
        <f t="shared" si="15"/>
        <v/>
      </c>
      <c r="AD56" s="565"/>
      <c r="AE56" s="565"/>
      <c r="AF56" s="565"/>
      <c r="AG56" s="565"/>
      <c r="AH56" s="565"/>
      <c r="AI56" s="565"/>
      <c r="AJ56" s="566">
        <v>20</v>
      </c>
      <c r="AK56" s="565" t="str">
        <f t="shared" si="16"/>
        <v/>
      </c>
      <c r="AL56" s="565" t="str">
        <f t="shared" si="17"/>
        <v/>
      </c>
      <c r="AM56" s="565"/>
      <c r="AN56" s="565"/>
      <c r="AO56" s="565"/>
      <c r="AP56" s="565"/>
      <c r="AQ56" s="565"/>
      <c r="AR56" s="565"/>
      <c r="AS56" s="566">
        <v>20</v>
      </c>
      <c r="AT56" s="565" t="str">
        <f t="shared" si="18"/>
        <v/>
      </c>
      <c r="AU56" s="565" t="str">
        <f t="shared" si="19"/>
        <v/>
      </c>
      <c r="AV56" s="565"/>
      <c r="AW56" s="565"/>
      <c r="AX56" s="565"/>
      <c r="AY56" s="565"/>
      <c r="AZ56" s="565"/>
      <c r="BA56" s="565"/>
      <c r="BB56" s="566">
        <v>20</v>
      </c>
      <c r="BC56" s="565" t="str">
        <f t="shared" si="20"/>
        <v/>
      </c>
      <c r="BD56" s="565" t="str">
        <f t="shared" si="21"/>
        <v/>
      </c>
      <c r="BE56" s="565"/>
      <c r="BF56" s="565"/>
      <c r="BG56" s="565"/>
      <c r="BH56" s="565"/>
      <c r="BI56" s="565"/>
      <c r="BJ56" s="565"/>
      <c r="BK56" s="566">
        <v>20</v>
      </c>
      <c r="BL56" s="565" t="str">
        <f t="shared" si="22"/>
        <v/>
      </c>
      <c r="BM56" s="565" t="str">
        <f t="shared" si="23"/>
        <v/>
      </c>
      <c r="BN56" s="565"/>
      <c r="BO56" s="565"/>
      <c r="BP56" s="565"/>
      <c r="BQ56" s="565"/>
      <c r="BR56" s="565"/>
      <c r="BS56" s="565"/>
      <c r="BT56" s="566">
        <v>20</v>
      </c>
      <c r="BU56" s="565" t="str">
        <f t="shared" si="24"/>
        <v/>
      </c>
      <c r="BV56" s="565" t="str">
        <f t="shared" si="25"/>
        <v/>
      </c>
      <c r="BW56" s="565"/>
      <c r="BX56" s="565"/>
      <c r="BY56" s="565"/>
      <c r="BZ56" s="565"/>
      <c r="CA56" s="565"/>
      <c r="CB56" s="565"/>
      <c r="CC56" s="566">
        <v>20</v>
      </c>
      <c r="CD56" s="565" t="str">
        <f t="shared" si="26"/>
        <v/>
      </c>
      <c r="CE56" s="565" t="str">
        <f t="shared" si="27"/>
        <v/>
      </c>
      <c r="CF56" s="565"/>
      <c r="CG56" s="565"/>
      <c r="CH56" s="565"/>
      <c r="CI56" s="565"/>
      <c r="CJ56" s="565"/>
      <c r="CK56" s="565"/>
    </row>
    <row r="57" spans="1:89" x14ac:dyDescent="0.25">
      <c r="A57" s="565"/>
      <c r="B57" s="1062"/>
      <c r="C57" s="1062"/>
      <c r="D57" s="1062"/>
      <c r="E57" s="1062"/>
      <c r="F57" s="1062"/>
      <c r="G57" s="1062"/>
      <c r="H57" s="1062"/>
      <c r="I57" s="566">
        <v>21</v>
      </c>
      <c r="J57" s="565" t="str">
        <f t="shared" si="10"/>
        <v/>
      </c>
      <c r="K57" s="565" t="str">
        <f t="shared" si="11"/>
        <v/>
      </c>
      <c r="L57" s="565"/>
      <c r="M57" s="565"/>
      <c r="N57" s="565"/>
      <c r="O57" s="565"/>
      <c r="P57" s="565"/>
      <c r="Q57" s="565"/>
      <c r="R57" s="566">
        <v>21</v>
      </c>
      <c r="S57" s="565" t="str">
        <f t="shared" si="12"/>
        <v/>
      </c>
      <c r="T57" s="565" t="str">
        <f t="shared" si="13"/>
        <v/>
      </c>
      <c r="U57" s="565"/>
      <c r="V57" s="565"/>
      <c r="W57" s="565"/>
      <c r="X57" s="565"/>
      <c r="Y57" s="565"/>
      <c r="Z57" s="565"/>
      <c r="AA57" s="566">
        <v>21</v>
      </c>
      <c r="AB57" s="565" t="str">
        <f t="shared" si="14"/>
        <v/>
      </c>
      <c r="AC57" s="565" t="str">
        <f t="shared" si="15"/>
        <v/>
      </c>
      <c r="AD57" s="565"/>
      <c r="AE57" s="565"/>
      <c r="AF57" s="565"/>
      <c r="AG57" s="565"/>
      <c r="AH57" s="565"/>
      <c r="AI57" s="565"/>
      <c r="AJ57" s="566">
        <v>21</v>
      </c>
      <c r="AK57" s="565" t="str">
        <f t="shared" si="16"/>
        <v/>
      </c>
      <c r="AL57" s="565" t="str">
        <f t="shared" si="17"/>
        <v/>
      </c>
      <c r="AM57" s="565"/>
      <c r="AN57" s="565"/>
      <c r="AO57" s="565"/>
      <c r="AP57" s="565"/>
      <c r="AQ57" s="565"/>
      <c r="AR57" s="565"/>
      <c r="AS57" s="566">
        <v>21</v>
      </c>
      <c r="AT57" s="565" t="str">
        <f t="shared" si="18"/>
        <v/>
      </c>
      <c r="AU57" s="565" t="str">
        <f t="shared" si="19"/>
        <v/>
      </c>
      <c r="AV57" s="565"/>
      <c r="AW57" s="565"/>
      <c r="AX57" s="565"/>
      <c r="AY57" s="565"/>
      <c r="AZ57" s="565"/>
      <c r="BA57" s="565"/>
      <c r="BB57" s="566">
        <v>21</v>
      </c>
      <c r="BC57" s="565" t="str">
        <f t="shared" si="20"/>
        <v/>
      </c>
      <c r="BD57" s="565" t="str">
        <f t="shared" si="21"/>
        <v/>
      </c>
      <c r="BE57" s="565"/>
      <c r="BF57" s="565"/>
      <c r="BG57" s="565"/>
      <c r="BH57" s="565"/>
      <c r="BI57" s="565"/>
      <c r="BJ57" s="565"/>
      <c r="BK57" s="566">
        <v>21</v>
      </c>
      <c r="BL57" s="565" t="str">
        <f t="shared" si="22"/>
        <v/>
      </c>
      <c r="BM57" s="565" t="str">
        <f t="shared" si="23"/>
        <v/>
      </c>
      <c r="BN57" s="565"/>
      <c r="BO57" s="565"/>
      <c r="BP57" s="565"/>
      <c r="BQ57" s="565"/>
      <c r="BR57" s="565"/>
      <c r="BS57" s="565"/>
      <c r="BT57" s="566">
        <v>21</v>
      </c>
      <c r="BU57" s="565" t="str">
        <f t="shared" si="24"/>
        <v/>
      </c>
      <c r="BV57" s="565" t="str">
        <f t="shared" si="25"/>
        <v/>
      </c>
      <c r="BW57" s="565"/>
      <c r="BX57" s="565"/>
      <c r="BY57" s="565"/>
      <c r="BZ57" s="565"/>
      <c r="CA57" s="565"/>
      <c r="CB57" s="565"/>
      <c r="CC57" s="566">
        <v>21</v>
      </c>
      <c r="CD57" s="565" t="str">
        <f t="shared" si="26"/>
        <v/>
      </c>
      <c r="CE57" s="565" t="str">
        <f t="shared" si="27"/>
        <v/>
      </c>
      <c r="CF57" s="565"/>
      <c r="CG57" s="565"/>
      <c r="CH57" s="565"/>
      <c r="CI57" s="565"/>
      <c r="CJ57" s="565"/>
      <c r="CK57" s="565"/>
    </row>
    <row r="58" spans="1:89" x14ac:dyDescent="0.25">
      <c r="A58" s="565"/>
      <c r="B58" s="1062"/>
      <c r="C58" s="1062"/>
      <c r="D58" s="1062"/>
      <c r="E58" s="1062"/>
      <c r="F58" s="1062"/>
      <c r="G58" s="1062"/>
      <c r="H58" s="1062"/>
      <c r="I58" s="566">
        <v>22</v>
      </c>
      <c r="J58" s="565" t="str">
        <f t="shared" si="10"/>
        <v/>
      </c>
      <c r="K58" s="565" t="str">
        <f t="shared" si="11"/>
        <v/>
      </c>
      <c r="L58" s="565"/>
      <c r="M58" s="565"/>
      <c r="N58" s="565"/>
      <c r="O58" s="565"/>
      <c r="P58" s="565"/>
      <c r="Q58" s="565"/>
      <c r="R58" s="566">
        <v>22</v>
      </c>
      <c r="S58" s="565" t="str">
        <f t="shared" si="12"/>
        <v/>
      </c>
      <c r="T58" s="565" t="str">
        <f t="shared" si="13"/>
        <v/>
      </c>
      <c r="U58" s="565"/>
      <c r="V58" s="565"/>
      <c r="W58" s="565"/>
      <c r="X58" s="565"/>
      <c r="Y58" s="565"/>
      <c r="Z58" s="565"/>
      <c r="AA58" s="566">
        <v>22</v>
      </c>
      <c r="AB58" s="565" t="str">
        <f t="shared" si="14"/>
        <v/>
      </c>
      <c r="AC58" s="565" t="str">
        <f t="shared" si="15"/>
        <v/>
      </c>
      <c r="AD58" s="565"/>
      <c r="AE58" s="565"/>
      <c r="AF58" s="565"/>
      <c r="AG58" s="565"/>
      <c r="AH58" s="565"/>
      <c r="AI58" s="565"/>
      <c r="AJ58" s="566">
        <v>22</v>
      </c>
      <c r="AK58" s="565" t="str">
        <f t="shared" si="16"/>
        <v/>
      </c>
      <c r="AL58" s="565" t="str">
        <f t="shared" si="17"/>
        <v/>
      </c>
      <c r="AM58" s="565"/>
      <c r="AN58" s="565"/>
      <c r="AO58" s="565"/>
      <c r="AP58" s="565"/>
      <c r="AQ58" s="565"/>
      <c r="AR58" s="565"/>
      <c r="AS58" s="566">
        <v>22</v>
      </c>
      <c r="AT58" s="565" t="str">
        <f t="shared" si="18"/>
        <v/>
      </c>
      <c r="AU58" s="565" t="str">
        <f t="shared" si="19"/>
        <v/>
      </c>
      <c r="AV58" s="565"/>
      <c r="AW58" s="565"/>
      <c r="AX58" s="565"/>
      <c r="AY58" s="565"/>
      <c r="AZ58" s="565"/>
      <c r="BA58" s="565"/>
      <c r="BB58" s="566">
        <v>22</v>
      </c>
      <c r="BC58" s="565" t="str">
        <f t="shared" si="20"/>
        <v/>
      </c>
      <c r="BD58" s="565" t="str">
        <f t="shared" si="21"/>
        <v/>
      </c>
      <c r="BE58" s="565"/>
      <c r="BF58" s="565"/>
      <c r="BG58" s="565"/>
      <c r="BH58" s="565"/>
      <c r="BI58" s="565"/>
      <c r="BJ58" s="565"/>
      <c r="BK58" s="566">
        <v>22</v>
      </c>
      <c r="BL58" s="565" t="str">
        <f t="shared" si="22"/>
        <v/>
      </c>
      <c r="BM58" s="565" t="str">
        <f t="shared" si="23"/>
        <v/>
      </c>
      <c r="BN58" s="565"/>
      <c r="BO58" s="565"/>
      <c r="BP58" s="565"/>
      <c r="BQ58" s="565"/>
      <c r="BR58" s="565"/>
      <c r="BS58" s="565"/>
      <c r="BT58" s="566">
        <v>22</v>
      </c>
      <c r="BU58" s="565" t="str">
        <f t="shared" si="24"/>
        <v/>
      </c>
      <c r="BV58" s="565" t="str">
        <f t="shared" si="25"/>
        <v/>
      </c>
      <c r="BW58" s="565"/>
      <c r="BX58" s="565"/>
      <c r="BY58" s="565"/>
      <c r="BZ58" s="565"/>
      <c r="CA58" s="565"/>
      <c r="CB58" s="565"/>
      <c r="CC58" s="566">
        <v>22</v>
      </c>
      <c r="CD58" s="565" t="str">
        <f t="shared" si="26"/>
        <v/>
      </c>
      <c r="CE58" s="565" t="str">
        <f t="shared" si="27"/>
        <v/>
      </c>
      <c r="CF58" s="565"/>
      <c r="CG58" s="565"/>
      <c r="CH58" s="565"/>
      <c r="CI58" s="565"/>
      <c r="CJ58" s="565"/>
      <c r="CK58" s="565"/>
    </row>
    <row r="59" spans="1:89" x14ac:dyDescent="0.25">
      <c r="A59" s="565"/>
      <c r="B59" s="1062"/>
      <c r="C59" s="1062"/>
      <c r="D59" s="1062"/>
      <c r="E59" s="1062"/>
      <c r="F59" s="1062"/>
      <c r="G59" s="1062"/>
      <c r="H59" s="1062"/>
      <c r="I59" s="566">
        <v>23</v>
      </c>
      <c r="J59" s="565" t="str">
        <f t="shared" si="10"/>
        <v/>
      </c>
      <c r="K59" s="565" t="str">
        <f t="shared" si="11"/>
        <v/>
      </c>
      <c r="L59" s="565"/>
      <c r="M59" s="565"/>
      <c r="N59" s="565"/>
      <c r="O59" s="565"/>
      <c r="P59" s="565"/>
      <c r="Q59" s="565"/>
      <c r="R59" s="566">
        <v>23</v>
      </c>
      <c r="S59" s="565" t="str">
        <f t="shared" si="12"/>
        <v/>
      </c>
      <c r="T59" s="565" t="str">
        <f t="shared" si="13"/>
        <v/>
      </c>
      <c r="U59" s="565"/>
      <c r="V59" s="565"/>
      <c r="W59" s="565"/>
      <c r="X59" s="565"/>
      <c r="Y59" s="565"/>
      <c r="Z59" s="565"/>
      <c r="AA59" s="566">
        <v>23</v>
      </c>
      <c r="AB59" s="565" t="str">
        <f t="shared" si="14"/>
        <v/>
      </c>
      <c r="AC59" s="565" t="str">
        <f t="shared" si="15"/>
        <v/>
      </c>
      <c r="AD59" s="565"/>
      <c r="AE59" s="565"/>
      <c r="AF59" s="565"/>
      <c r="AG59" s="565"/>
      <c r="AH59" s="565"/>
      <c r="AI59" s="565"/>
      <c r="AJ59" s="566">
        <v>23</v>
      </c>
      <c r="AK59" s="565" t="str">
        <f t="shared" si="16"/>
        <v/>
      </c>
      <c r="AL59" s="565" t="str">
        <f t="shared" si="17"/>
        <v/>
      </c>
      <c r="AM59" s="565"/>
      <c r="AN59" s="565"/>
      <c r="AO59" s="565"/>
      <c r="AP59" s="565"/>
      <c r="AQ59" s="565"/>
      <c r="AR59" s="565"/>
      <c r="AS59" s="566">
        <v>23</v>
      </c>
      <c r="AT59" s="565" t="str">
        <f t="shared" si="18"/>
        <v/>
      </c>
      <c r="AU59" s="565" t="str">
        <f t="shared" si="19"/>
        <v/>
      </c>
      <c r="AV59" s="565"/>
      <c r="AW59" s="565"/>
      <c r="AX59" s="565"/>
      <c r="AY59" s="565"/>
      <c r="AZ59" s="565"/>
      <c r="BA59" s="565"/>
      <c r="BB59" s="566">
        <v>23</v>
      </c>
      <c r="BC59" s="565" t="str">
        <f t="shared" si="20"/>
        <v/>
      </c>
      <c r="BD59" s="565" t="str">
        <f t="shared" si="21"/>
        <v/>
      </c>
      <c r="BE59" s="565"/>
      <c r="BF59" s="565"/>
      <c r="BG59" s="565"/>
      <c r="BH59" s="565"/>
      <c r="BI59" s="565"/>
      <c r="BJ59" s="565"/>
      <c r="BK59" s="566">
        <v>23</v>
      </c>
      <c r="BL59" s="565" t="str">
        <f t="shared" si="22"/>
        <v/>
      </c>
      <c r="BM59" s="565" t="str">
        <f t="shared" si="23"/>
        <v/>
      </c>
      <c r="BN59" s="565"/>
      <c r="BO59" s="565"/>
      <c r="BP59" s="565"/>
      <c r="BQ59" s="565"/>
      <c r="BR59" s="565"/>
      <c r="BS59" s="565"/>
      <c r="BT59" s="566">
        <v>23</v>
      </c>
      <c r="BU59" s="565" t="str">
        <f t="shared" si="24"/>
        <v/>
      </c>
      <c r="BV59" s="565" t="str">
        <f t="shared" si="25"/>
        <v/>
      </c>
      <c r="BW59" s="565"/>
      <c r="BX59" s="565"/>
      <c r="BY59" s="565"/>
      <c r="BZ59" s="565"/>
      <c r="CA59" s="565"/>
      <c r="CB59" s="565"/>
      <c r="CC59" s="566">
        <v>23</v>
      </c>
      <c r="CD59" s="565" t="str">
        <f t="shared" si="26"/>
        <v/>
      </c>
      <c r="CE59" s="565" t="str">
        <f t="shared" si="27"/>
        <v/>
      </c>
      <c r="CF59" s="565"/>
      <c r="CG59" s="565"/>
      <c r="CH59" s="565"/>
      <c r="CI59" s="565"/>
      <c r="CJ59" s="565"/>
      <c r="CK59" s="565"/>
    </row>
    <row r="60" spans="1:89" x14ac:dyDescent="0.25">
      <c r="A60" s="565"/>
      <c r="B60" s="1062"/>
      <c r="C60" s="1062"/>
      <c r="D60" s="1062"/>
      <c r="E60" s="1062"/>
      <c r="F60" s="1062"/>
      <c r="G60" s="1062"/>
      <c r="H60" s="1062"/>
      <c r="I60" s="566">
        <v>24</v>
      </c>
      <c r="J60" s="565" t="str">
        <f t="shared" si="10"/>
        <v/>
      </c>
      <c r="K60" s="565" t="str">
        <f t="shared" si="11"/>
        <v/>
      </c>
      <c r="L60" s="565"/>
      <c r="M60" s="565"/>
      <c r="N60" s="565"/>
      <c r="O60" s="565"/>
      <c r="P60" s="565"/>
      <c r="Q60" s="565"/>
      <c r="R60" s="566">
        <v>24</v>
      </c>
      <c r="S60" s="565" t="str">
        <f t="shared" si="12"/>
        <v/>
      </c>
      <c r="T60" s="565" t="str">
        <f t="shared" si="13"/>
        <v/>
      </c>
      <c r="U60" s="565"/>
      <c r="V60" s="565"/>
      <c r="W60" s="565"/>
      <c r="X60" s="565"/>
      <c r="Y60" s="565"/>
      <c r="Z60" s="565"/>
      <c r="AA60" s="566">
        <v>24</v>
      </c>
      <c r="AB60" s="565" t="str">
        <f t="shared" si="14"/>
        <v/>
      </c>
      <c r="AC60" s="565" t="str">
        <f t="shared" si="15"/>
        <v/>
      </c>
      <c r="AD60" s="565"/>
      <c r="AE60" s="565"/>
      <c r="AF60" s="565"/>
      <c r="AG60" s="565"/>
      <c r="AH60" s="565"/>
      <c r="AI60" s="565"/>
      <c r="AJ60" s="566">
        <v>24</v>
      </c>
      <c r="AK60" s="565" t="str">
        <f t="shared" si="16"/>
        <v/>
      </c>
      <c r="AL60" s="565" t="str">
        <f t="shared" si="17"/>
        <v/>
      </c>
      <c r="AM60" s="565"/>
      <c r="AN60" s="565"/>
      <c r="AO60" s="565"/>
      <c r="AP60" s="565"/>
      <c r="AQ60" s="565"/>
      <c r="AR60" s="565"/>
      <c r="AS60" s="566">
        <v>24</v>
      </c>
      <c r="AT60" s="565" t="str">
        <f t="shared" si="18"/>
        <v/>
      </c>
      <c r="AU60" s="565" t="str">
        <f t="shared" si="19"/>
        <v/>
      </c>
      <c r="AV60" s="565"/>
      <c r="AW60" s="565"/>
      <c r="AX60" s="565"/>
      <c r="AY60" s="565"/>
      <c r="AZ60" s="565"/>
      <c r="BA60" s="565"/>
      <c r="BB60" s="566">
        <v>24</v>
      </c>
      <c r="BC60" s="565" t="str">
        <f t="shared" si="20"/>
        <v/>
      </c>
      <c r="BD60" s="565" t="str">
        <f t="shared" si="21"/>
        <v/>
      </c>
      <c r="BE60" s="565"/>
      <c r="BF60" s="565"/>
      <c r="BG60" s="565"/>
      <c r="BH60" s="565"/>
      <c r="BI60" s="565"/>
      <c r="BJ60" s="565"/>
      <c r="BK60" s="566">
        <v>24</v>
      </c>
      <c r="BL60" s="565" t="str">
        <f t="shared" si="22"/>
        <v/>
      </c>
      <c r="BM60" s="565" t="str">
        <f t="shared" si="23"/>
        <v/>
      </c>
      <c r="BN60" s="565"/>
      <c r="BO60" s="565"/>
      <c r="BP60" s="565"/>
      <c r="BQ60" s="565"/>
      <c r="BR60" s="565"/>
      <c r="BS60" s="565"/>
      <c r="BT60" s="566">
        <v>24</v>
      </c>
      <c r="BU60" s="565" t="str">
        <f t="shared" si="24"/>
        <v/>
      </c>
      <c r="BV60" s="565" t="str">
        <f t="shared" si="25"/>
        <v/>
      </c>
      <c r="BW60" s="565"/>
      <c r="BX60" s="565"/>
      <c r="BY60" s="565"/>
      <c r="BZ60" s="565"/>
      <c r="CA60" s="565"/>
      <c r="CB60" s="565"/>
      <c r="CC60" s="566">
        <v>24</v>
      </c>
      <c r="CD60" s="565" t="str">
        <f t="shared" si="26"/>
        <v/>
      </c>
      <c r="CE60" s="565" t="str">
        <f t="shared" si="27"/>
        <v/>
      </c>
      <c r="CF60" s="565"/>
      <c r="CG60" s="565"/>
      <c r="CH60" s="565"/>
      <c r="CI60" s="565"/>
      <c r="CJ60" s="565"/>
      <c r="CK60" s="565"/>
    </row>
    <row r="61" spans="1:89" x14ac:dyDescent="0.25">
      <c r="A61" s="565"/>
      <c r="B61" s="1062"/>
      <c r="C61" s="1062"/>
      <c r="D61" s="1062"/>
      <c r="E61" s="1062"/>
      <c r="F61" s="1062"/>
      <c r="G61" s="1062"/>
      <c r="H61" s="1062"/>
      <c r="I61" s="566">
        <v>25</v>
      </c>
      <c r="J61" s="565" t="str">
        <f t="shared" si="10"/>
        <v/>
      </c>
      <c r="K61" s="565" t="str">
        <f t="shared" si="11"/>
        <v/>
      </c>
      <c r="L61" s="565"/>
      <c r="M61" s="565"/>
      <c r="N61" s="565"/>
      <c r="O61" s="565"/>
      <c r="P61" s="565"/>
      <c r="Q61" s="565"/>
      <c r="R61" s="566">
        <v>25</v>
      </c>
      <c r="S61" s="565" t="str">
        <f t="shared" si="12"/>
        <v/>
      </c>
      <c r="T61" s="565" t="str">
        <f t="shared" si="13"/>
        <v/>
      </c>
      <c r="U61" s="565"/>
      <c r="V61" s="565"/>
      <c r="W61" s="565"/>
      <c r="X61" s="565"/>
      <c r="Y61" s="565"/>
      <c r="Z61" s="565"/>
      <c r="AA61" s="566">
        <v>25</v>
      </c>
      <c r="AB61" s="565" t="str">
        <f t="shared" si="14"/>
        <v/>
      </c>
      <c r="AC61" s="565" t="str">
        <f t="shared" si="15"/>
        <v/>
      </c>
      <c r="AD61" s="565"/>
      <c r="AE61" s="565"/>
      <c r="AF61" s="565"/>
      <c r="AG61" s="565"/>
      <c r="AH61" s="565"/>
      <c r="AI61" s="565"/>
      <c r="AJ61" s="566">
        <v>25</v>
      </c>
      <c r="AK61" s="565" t="str">
        <f t="shared" si="16"/>
        <v/>
      </c>
      <c r="AL61" s="565" t="str">
        <f t="shared" si="17"/>
        <v/>
      </c>
      <c r="AM61" s="565"/>
      <c r="AN61" s="565"/>
      <c r="AO61" s="565"/>
      <c r="AP61" s="565"/>
      <c r="AQ61" s="565"/>
      <c r="AR61" s="565"/>
      <c r="AS61" s="566">
        <v>25</v>
      </c>
      <c r="AT61" s="565" t="str">
        <f t="shared" si="18"/>
        <v/>
      </c>
      <c r="AU61" s="565" t="str">
        <f t="shared" si="19"/>
        <v/>
      </c>
      <c r="AV61" s="565"/>
      <c r="AW61" s="565"/>
      <c r="AX61" s="565"/>
      <c r="AY61" s="565"/>
      <c r="AZ61" s="565"/>
      <c r="BA61" s="565"/>
      <c r="BB61" s="566">
        <v>25</v>
      </c>
      <c r="BC61" s="565" t="str">
        <f t="shared" si="20"/>
        <v/>
      </c>
      <c r="BD61" s="565" t="str">
        <f t="shared" si="21"/>
        <v/>
      </c>
      <c r="BE61" s="565"/>
      <c r="BF61" s="565"/>
      <c r="BG61" s="565"/>
      <c r="BH61" s="565"/>
      <c r="BI61" s="565"/>
      <c r="BJ61" s="565"/>
      <c r="BK61" s="566">
        <v>25</v>
      </c>
      <c r="BL61" s="565" t="str">
        <f t="shared" si="22"/>
        <v/>
      </c>
      <c r="BM61" s="565" t="str">
        <f t="shared" si="23"/>
        <v/>
      </c>
      <c r="BN61" s="565"/>
      <c r="BO61" s="565"/>
      <c r="BP61" s="565"/>
      <c r="BQ61" s="565"/>
      <c r="BR61" s="565"/>
      <c r="BS61" s="565"/>
      <c r="BT61" s="566">
        <v>25</v>
      </c>
      <c r="BU61" s="565" t="str">
        <f t="shared" si="24"/>
        <v/>
      </c>
      <c r="BV61" s="565" t="str">
        <f t="shared" si="25"/>
        <v/>
      </c>
      <c r="BW61" s="565"/>
      <c r="BX61" s="565"/>
      <c r="BY61" s="565"/>
      <c r="BZ61" s="565"/>
      <c r="CA61" s="565"/>
      <c r="CB61" s="565"/>
      <c r="CC61" s="566">
        <v>25</v>
      </c>
      <c r="CD61" s="565" t="str">
        <f t="shared" si="26"/>
        <v/>
      </c>
      <c r="CE61" s="565" t="str">
        <f t="shared" si="27"/>
        <v/>
      </c>
      <c r="CF61" s="565"/>
      <c r="CG61" s="565"/>
      <c r="CH61" s="565"/>
      <c r="CI61" s="565"/>
      <c r="CJ61" s="565"/>
      <c r="CK61" s="565"/>
    </row>
    <row r="62" spans="1:89" x14ac:dyDescent="0.25">
      <c r="A62" s="565"/>
      <c r="B62" s="1062"/>
      <c r="C62" s="1062"/>
      <c r="D62" s="1062"/>
      <c r="E62" s="1062"/>
      <c r="F62" s="1062"/>
      <c r="G62" s="1062"/>
      <c r="H62" s="1062"/>
      <c r="I62" s="566">
        <v>26</v>
      </c>
      <c r="J62" s="565" t="str">
        <f t="shared" si="10"/>
        <v/>
      </c>
      <c r="K62" s="565" t="str">
        <f t="shared" si="11"/>
        <v/>
      </c>
      <c r="L62" s="565"/>
      <c r="M62" s="565"/>
      <c r="N62" s="565"/>
      <c r="O62" s="565"/>
      <c r="P62" s="565"/>
      <c r="Q62" s="565"/>
      <c r="R62" s="566">
        <v>26</v>
      </c>
      <c r="S62" s="565" t="str">
        <f t="shared" si="12"/>
        <v/>
      </c>
      <c r="T62" s="565" t="str">
        <f t="shared" si="13"/>
        <v/>
      </c>
      <c r="U62" s="565"/>
      <c r="V62" s="565"/>
      <c r="W62" s="565"/>
      <c r="X62" s="565"/>
      <c r="Y62" s="565"/>
      <c r="Z62" s="565"/>
      <c r="AA62" s="566">
        <v>26</v>
      </c>
      <c r="AB62" s="565" t="str">
        <f t="shared" si="14"/>
        <v/>
      </c>
      <c r="AC62" s="565" t="str">
        <f t="shared" si="15"/>
        <v/>
      </c>
      <c r="AD62" s="565"/>
      <c r="AE62" s="565"/>
      <c r="AF62" s="565"/>
      <c r="AG62" s="565"/>
      <c r="AH62" s="565"/>
      <c r="AI62" s="565"/>
      <c r="AJ62" s="566">
        <v>26</v>
      </c>
      <c r="AK62" s="565" t="str">
        <f t="shared" si="16"/>
        <v/>
      </c>
      <c r="AL62" s="565" t="str">
        <f t="shared" si="17"/>
        <v/>
      </c>
      <c r="AM62" s="565"/>
      <c r="AN62" s="565"/>
      <c r="AO62" s="565"/>
      <c r="AP62" s="565"/>
      <c r="AQ62" s="565"/>
      <c r="AR62" s="565"/>
      <c r="AS62" s="566">
        <v>26</v>
      </c>
      <c r="AT62" s="565" t="str">
        <f t="shared" si="18"/>
        <v/>
      </c>
      <c r="AU62" s="565" t="str">
        <f t="shared" si="19"/>
        <v/>
      </c>
      <c r="AV62" s="565"/>
      <c r="AW62" s="565"/>
      <c r="AX62" s="565"/>
      <c r="AY62" s="565"/>
      <c r="AZ62" s="565"/>
      <c r="BA62" s="565"/>
      <c r="BB62" s="566">
        <v>26</v>
      </c>
      <c r="BC62" s="565" t="str">
        <f t="shared" si="20"/>
        <v/>
      </c>
      <c r="BD62" s="565" t="str">
        <f t="shared" si="21"/>
        <v/>
      </c>
      <c r="BE62" s="565"/>
      <c r="BF62" s="565"/>
      <c r="BG62" s="565"/>
      <c r="BH62" s="565"/>
      <c r="BI62" s="565"/>
      <c r="BJ62" s="565"/>
      <c r="BK62" s="566">
        <v>26</v>
      </c>
      <c r="BL62" s="565" t="str">
        <f t="shared" si="22"/>
        <v/>
      </c>
      <c r="BM62" s="565" t="str">
        <f t="shared" si="23"/>
        <v/>
      </c>
      <c r="BN62" s="565"/>
      <c r="BO62" s="565"/>
      <c r="BP62" s="565"/>
      <c r="BQ62" s="565"/>
      <c r="BR62" s="565"/>
      <c r="BS62" s="565"/>
      <c r="BT62" s="566">
        <v>26</v>
      </c>
      <c r="BU62" s="565" t="str">
        <f t="shared" si="24"/>
        <v/>
      </c>
      <c r="BV62" s="565" t="str">
        <f t="shared" si="25"/>
        <v/>
      </c>
      <c r="BW62" s="565"/>
      <c r="BX62" s="565"/>
      <c r="BY62" s="565"/>
      <c r="BZ62" s="565"/>
      <c r="CA62" s="565"/>
      <c r="CB62" s="565"/>
      <c r="CC62" s="566">
        <v>26</v>
      </c>
      <c r="CD62" s="565" t="str">
        <f t="shared" si="26"/>
        <v/>
      </c>
      <c r="CE62" s="565" t="str">
        <f t="shared" si="27"/>
        <v/>
      </c>
      <c r="CF62" s="565"/>
      <c r="CG62" s="565"/>
      <c r="CH62" s="565"/>
      <c r="CI62" s="565"/>
      <c r="CJ62" s="565"/>
      <c r="CK62" s="565"/>
    </row>
    <row r="63" spans="1:89" x14ac:dyDescent="0.25">
      <c r="A63" s="565"/>
      <c r="B63" s="1062"/>
      <c r="C63" s="1062"/>
      <c r="D63" s="1062"/>
      <c r="E63" s="1062"/>
      <c r="F63" s="1062"/>
      <c r="G63" s="1062"/>
      <c r="H63" s="1062"/>
      <c r="I63" s="566">
        <v>27</v>
      </c>
      <c r="J63" s="565" t="str">
        <f t="shared" si="10"/>
        <v/>
      </c>
      <c r="K63" s="565" t="str">
        <f t="shared" si="11"/>
        <v/>
      </c>
      <c r="L63" s="565"/>
      <c r="M63" s="565"/>
      <c r="N63" s="565"/>
      <c r="O63" s="565"/>
      <c r="P63" s="565"/>
      <c r="Q63" s="565"/>
      <c r="R63" s="566">
        <v>27</v>
      </c>
      <c r="S63" s="565" t="str">
        <f t="shared" si="12"/>
        <v/>
      </c>
      <c r="T63" s="565" t="str">
        <f t="shared" si="13"/>
        <v/>
      </c>
      <c r="U63" s="565"/>
      <c r="V63" s="565"/>
      <c r="W63" s="565"/>
      <c r="X63" s="565"/>
      <c r="Y63" s="565"/>
      <c r="Z63" s="565"/>
      <c r="AA63" s="566">
        <v>27</v>
      </c>
      <c r="AB63" s="565" t="str">
        <f t="shared" si="14"/>
        <v/>
      </c>
      <c r="AC63" s="565" t="str">
        <f t="shared" si="15"/>
        <v/>
      </c>
      <c r="AD63" s="565"/>
      <c r="AE63" s="565"/>
      <c r="AF63" s="565"/>
      <c r="AG63" s="565"/>
      <c r="AH63" s="565"/>
      <c r="AI63" s="565"/>
      <c r="AJ63" s="566">
        <v>27</v>
      </c>
      <c r="AK63" s="565" t="str">
        <f t="shared" si="16"/>
        <v/>
      </c>
      <c r="AL63" s="565" t="str">
        <f t="shared" si="17"/>
        <v/>
      </c>
      <c r="AM63" s="565"/>
      <c r="AN63" s="565"/>
      <c r="AO63" s="565"/>
      <c r="AP63" s="565"/>
      <c r="AQ63" s="565"/>
      <c r="AR63" s="565"/>
      <c r="AS63" s="566">
        <v>27</v>
      </c>
      <c r="AT63" s="565" t="str">
        <f t="shared" si="18"/>
        <v/>
      </c>
      <c r="AU63" s="565" t="str">
        <f t="shared" si="19"/>
        <v/>
      </c>
      <c r="AV63" s="565"/>
      <c r="AW63" s="565"/>
      <c r="AX63" s="565"/>
      <c r="AY63" s="565"/>
      <c r="AZ63" s="565"/>
      <c r="BA63" s="565"/>
      <c r="BB63" s="566">
        <v>27</v>
      </c>
      <c r="BC63" s="565" t="str">
        <f t="shared" si="20"/>
        <v/>
      </c>
      <c r="BD63" s="565" t="str">
        <f t="shared" si="21"/>
        <v/>
      </c>
      <c r="BE63" s="565"/>
      <c r="BF63" s="565"/>
      <c r="BG63" s="565"/>
      <c r="BH63" s="565"/>
      <c r="BI63" s="565"/>
      <c r="BJ63" s="565"/>
      <c r="BK63" s="566">
        <v>27</v>
      </c>
      <c r="BL63" s="565" t="str">
        <f t="shared" si="22"/>
        <v/>
      </c>
      <c r="BM63" s="565" t="str">
        <f t="shared" si="23"/>
        <v/>
      </c>
      <c r="BN63" s="565"/>
      <c r="BO63" s="565"/>
      <c r="BP63" s="565"/>
      <c r="BQ63" s="565"/>
      <c r="BR63" s="565"/>
      <c r="BS63" s="565"/>
      <c r="BT63" s="566">
        <v>27</v>
      </c>
      <c r="BU63" s="565" t="str">
        <f t="shared" si="24"/>
        <v/>
      </c>
      <c r="BV63" s="565" t="str">
        <f t="shared" si="25"/>
        <v/>
      </c>
      <c r="BW63" s="565"/>
      <c r="BX63" s="565"/>
      <c r="BY63" s="565"/>
      <c r="BZ63" s="565"/>
      <c r="CA63" s="565"/>
      <c r="CB63" s="565"/>
      <c r="CC63" s="566">
        <v>27</v>
      </c>
      <c r="CD63" s="565" t="str">
        <f t="shared" si="26"/>
        <v/>
      </c>
      <c r="CE63" s="565" t="str">
        <f t="shared" si="27"/>
        <v/>
      </c>
      <c r="CF63" s="565"/>
      <c r="CG63" s="565"/>
      <c r="CH63" s="565"/>
      <c r="CI63" s="565"/>
      <c r="CJ63" s="565"/>
      <c r="CK63" s="565"/>
    </row>
    <row r="64" spans="1:89" x14ac:dyDescent="0.25">
      <c r="A64" s="565"/>
      <c r="B64" s="1062"/>
      <c r="C64" s="1062"/>
      <c r="D64" s="1062"/>
      <c r="E64" s="1062"/>
      <c r="F64" s="1062"/>
      <c r="G64" s="1062"/>
      <c r="H64" s="1062"/>
      <c r="I64" s="566">
        <v>28</v>
      </c>
      <c r="J64" s="565" t="str">
        <f t="shared" si="10"/>
        <v/>
      </c>
      <c r="K64" s="565" t="str">
        <f t="shared" si="11"/>
        <v/>
      </c>
      <c r="L64" s="565"/>
      <c r="M64" s="565"/>
      <c r="N64" s="565"/>
      <c r="O64" s="565"/>
      <c r="P64" s="565"/>
      <c r="Q64" s="565"/>
      <c r="R64" s="566">
        <v>28</v>
      </c>
      <c r="S64" s="565" t="str">
        <f t="shared" si="12"/>
        <v/>
      </c>
      <c r="T64" s="565" t="str">
        <f t="shared" si="13"/>
        <v/>
      </c>
      <c r="U64" s="565"/>
      <c r="V64" s="565"/>
      <c r="W64" s="565"/>
      <c r="X64" s="565"/>
      <c r="Y64" s="565"/>
      <c r="Z64" s="565"/>
      <c r="AA64" s="566">
        <v>28</v>
      </c>
      <c r="AB64" s="565" t="str">
        <f t="shared" si="14"/>
        <v/>
      </c>
      <c r="AC64" s="565" t="str">
        <f t="shared" si="15"/>
        <v/>
      </c>
      <c r="AD64" s="565"/>
      <c r="AE64" s="565"/>
      <c r="AF64" s="565"/>
      <c r="AG64" s="565"/>
      <c r="AH64" s="565"/>
      <c r="AI64" s="565"/>
      <c r="AJ64" s="566">
        <v>28</v>
      </c>
      <c r="AK64" s="565" t="str">
        <f t="shared" si="16"/>
        <v/>
      </c>
      <c r="AL64" s="565" t="str">
        <f t="shared" si="17"/>
        <v/>
      </c>
      <c r="AM64" s="565"/>
      <c r="AN64" s="565"/>
      <c r="AO64" s="565"/>
      <c r="AP64" s="565"/>
      <c r="AQ64" s="565"/>
      <c r="AR64" s="565"/>
      <c r="AS64" s="566">
        <v>28</v>
      </c>
      <c r="AT64" s="565" t="str">
        <f t="shared" si="18"/>
        <v/>
      </c>
      <c r="AU64" s="565" t="str">
        <f t="shared" si="19"/>
        <v/>
      </c>
      <c r="AV64" s="565"/>
      <c r="AW64" s="565"/>
      <c r="AX64" s="565"/>
      <c r="AY64" s="565"/>
      <c r="AZ64" s="565"/>
      <c r="BA64" s="565"/>
      <c r="BB64" s="566">
        <v>28</v>
      </c>
      <c r="BC64" s="565" t="str">
        <f t="shared" si="20"/>
        <v/>
      </c>
      <c r="BD64" s="565" t="str">
        <f t="shared" si="21"/>
        <v/>
      </c>
      <c r="BE64" s="565"/>
      <c r="BF64" s="565"/>
      <c r="BG64" s="565"/>
      <c r="BH64" s="565"/>
      <c r="BI64" s="565"/>
      <c r="BJ64" s="565"/>
      <c r="BK64" s="566">
        <v>28</v>
      </c>
      <c r="BL64" s="565" t="str">
        <f t="shared" si="22"/>
        <v/>
      </c>
      <c r="BM64" s="565" t="str">
        <f t="shared" si="23"/>
        <v/>
      </c>
      <c r="BN64" s="565"/>
      <c r="BO64" s="565"/>
      <c r="BP64" s="565"/>
      <c r="BQ64" s="565"/>
      <c r="BR64" s="565"/>
      <c r="BS64" s="565"/>
      <c r="BT64" s="566">
        <v>28</v>
      </c>
      <c r="BU64" s="565" t="str">
        <f t="shared" si="24"/>
        <v/>
      </c>
      <c r="BV64" s="565" t="str">
        <f t="shared" si="25"/>
        <v/>
      </c>
      <c r="BW64" s="565"/>
      <c r="BX64" s="565"/>
      <c r="BY64" s="565"/>
      <c r="BZ64" s="565"/>
      <c r="CA64" s="565"/>
      <c r="CB64" s="565"/>
      <c r="CC64" s="566">
        <v>28</v>
      </c>
      <c r="CD64" s="565" t="str">
        <f t="shared" si="26"/>
        <v/>
      </c>
      <c r="CE64" s="565" t="str">
        <f t="shared" si="27"/>
        <v/>
      </c>
      <c r="CF64" s="565"/>
      <c r="CG64" s="565"/>
      <c r="CH64" s="565"/>
      <c r="CI64" s="565"/>
      <c r="CJ64" s="565"/>
      <c r="CK64" s="565"/>
    </row>
    <row r="65" spans="1:89" x14ac:dyDescent="0.25">
      <c r="A65" s="565"/>
      <c r="B65" s="1062"/>
      <c r="C65" s="1062"/>
      <c r="D65" s="1062"/>
      <c r="E65" s="1062"/>
      <c r="F65" s="1062"/>
      <c r="G65" s="1062"/>
      <c r="H65" s="1062"/>
      <c r="I65" s="566">
        <v>29</v>
      </c>
      <c r="J65" s="565" t="str">
        <f t="shared" si="10"/>
        <v/>
      </c>
      <c r="K65" s="565" t="str">
        <f t="shared" si="11"/>
        <v/>
      </c>
      <c r="L65" s="565"/>
      <c r="M65" s="565"/>
      <c r="N65" s="565"/>
      <c r="O65" s="565"/>
      <c r="P65" s="565"/>
      <c r="Q65" s="565"/>
      <c r="R65" s="566">
        <v>29</v>
      </c>
      <c r="S65" s="565" t="str">
        <f t="shared" si="12"/>
        <v/>
      </c>
      <c r="T65" s="565" t="str">
        <f t="shared" si="13"/>
        <v/>
      </c>
      <c r="U65" s="565"/>
      <c r="V65" s="565"/>
      <c r="W65" s="565"/>
      <c r="X65" s="565"/>
      <c r="Y65" s="565"/>
      <c r="Z65" s="565"/>
      <c r="AA65" s="566">
        <v>29</v>
      </c>
      <c r="AB65" s="565" t="str">
        <f t="shared" si="14"/>
        <v/>
      </c>
      <c r="AC65" s="565" t="str">
        <f t="shared" si="15"/>
        <v/>
      </c>
      <c r="AD65" s="565"/>
      <c r="AE65" s="565"/>
      <c r="AF65" s="565"/>
      <c r="AG65" s="565"/>
      <c r="AH65" s="565"/>
      <c r="AI65" s="565"/>
      <c r="AJ65" s="566">
        <v>29</v>
      </c>
      <c r="AK65" s="565" t="str">
        <f t="shared" si="16"/>
        <v/>
      </c>
      <c r="AL65" s="565" t="str">
        <f t="shared" si="17"/>
        <v/>
      </c>
      <c r="AM65" s="565"/>
      <c r="AN65" s="565"/>
      <c r="AO65" s="565"/>
      <c r="AP65" s="565"/>
      <c r="AQ65" s="565"/>
      <c r="AR65" s="565"/>
      <c r="AS65" s="566">
        <v>29</v>
      </c>
      <c r="AT65" s="565" t="str">
        <f t="shared" si="18"/>
        <v/>
      </c>
      <c r="AU65" s="565" t="str">
        <f t="shared" si="19"/>
        <v/>
      </c>
      <c r="AV65" s="565"/>
      <c r="AW65" s="565"/>
      <c r="AX65" s="565"/>
      <c r="AY65" s="565"/>
      <c r="AZ65" s="565"/>
      <c r="BA65" s="565"/>
      <c r="BB65" s="566">
        <v>29</v>
      </c>
      <c r="BC65" s="565" t="str">
        <f t="shared" si="20"/>
        <v/>
      </c>
      <c r="BD65" s="565" t="str">
        <f t="shared" si="21"/>
        <v/>
      </c>
      <c r="BE65" s="565"/>
      <c r="BF65" s="565"/>
      <c r="BG65" s="565"/>
      <c r="BH65" s="565"/>
      <c r="BI65" s="565"/>
      <c r="BJ65" s="565"/>
      <c r="BK65" s="566">
        <v>29</v>
      </c>
      <c r="BL65" s="565" t="str">
        <f t="shared" si="22"/>
        <v/>
      </c>
      <c r="BM65" s="565" t="str">
        <f t="shared" si="23"/>
        <v/>
      </c>
      <c r="BN65" s="565"/>
      <c r="BO65" s="565"/>
      <c r="BP65" s="565"/>
      <c r="BQ65" s="565"/>
      <c r="BR65" s="565"/>
      <c r="BS65" s="565"/>
      <c r="BT65" s="566">
        <v>29</v>
      </c>
      <c r="BU65" s="565" t="str">
        <f t="shared" si="24"/>
        <v/>
      </c>
      <c r="BV65" s="565" t="str">
        <f t="shared" si="25"/>
        <v/>
      </c>
      <c r="BW65" s="565"/>
      <c r="BX65" s="565"/>
      <c r="BY65" s="565"/>
      <c r="BZ65" s="565"/>
      <c r="CA65" s="565"/>
      <c r="CB65" s="565"/>
      <c r="CC65" s="566">
        <v>29</v>
      </c>
      <c r="CD65" s="565" t="str">
        <f t="shared" si="26"/>
        <v/>
      </c>
      <c r="CE65" s="565" t="str">
        <f t="shared" si="27"/>
        <v/>
      </c>
      <c r="CF65" s="565"/>
      <c r="CG65" s="565"/>
      <c r="CH65" s="565"/>
      <c r="CI65" s="565"/>
      <c r="CJ65" s="565"/>
      <c r="CK65" s="565"/>
    </row>
    <row r="66" spans="1:89" x14ac:dyDescent="0.25">
      <c r="A66" s="565"/>
      <c r="B66" s="1062"/>
      <c r="C66" s="1062"/>
      <c r="D66" s="1062"/>
      <c r="E66" s="1062"/>
      <c r="F66" s="1062"/>
      <c r="G66" s="1062"/>
      <c r="H66" s="1062"/>
      <c r="I66" s="566">
        <v>30</v>
      </c>
      <c r="J66" s="565" t="str">
        <f t="shared" si="10"/>
        <v/>
      </c>
      <c r="K66" s="565" t="str">
        <f t="shared" si="11"/>
        <v/>
      </c>
      <c r="L66" s="565"/>
      <c r="M66" s="565"/>
      <c r="N66" s="565"/>
      <c r="O66" s="565"/>
      <c r="P66" s="565"/>
      <c r="Q66" s="565"/>
      <c r="R66" s="566">
        <v>30</v>
      </c>
      <c r="S66" s="565" t="str">
        <f t="shared" si="12"/>
        <v/>
      </c>
      <c r="T66" s="565" t="str">
        <f t="shared" si="13"/>
        <v/>
      </c>
      <c r="U66" s="565"/>
      <c r="V66" s="565"/>
      <c r="W66" s="565"/>
      <c r="X66" s="565"/>
      <c r="Y66" s="565"/>
      <c r="Z66" s="565"/>
      <c r="AA66" s="566">
        <v>30</v>
      </c>
      <c r="AB66" s="565" t="str">
        <f t="shared" si="14"/>
        <v/>
      </c>
      <c r="AC66" s="565" t="str">
        <f t="shared" si="15"/>
        <v/>
      </c>
      <c r="AD66" s="565"/>
      <c r="AE66" s="565"/>
      <c r="AF66" s="565"/>
      <c r="AG66" s="565"/>
      <c r="AH66" s="565"/>
      <c r="AI66" s="565"/>
      <c r="AJ66" s="566">
        <v>30</v>
      </c>
      <c r="AK66" s="565" t="str">
        <f t="shared" si="16"/>
        <v/>
      </c>
      <c r="AL66" s="565" t="str">
        <f t="shared" si="17"/>
        <v/>
      </c>
      <c r="AM66" s="565"/>
      <c r="AN66" s="565"/>
      <c r="AO66" s="565"/>
      <c r="AP66" s="565"/>
      <c r="AQ66" s="565"/>
      <c r="AR66" s="565"/>
      <c r="AS66" s="566">
        <v>30</v>
      </c>
      <c r="AT66" s="565" t="str">
        <f t="shared" si="18"/>
        <v/>
      </c>
      <c r="AU66" s="565" t="str">
        <f t="shared" si="19"/>
        <v/>
      </c>
      <c r="AV66" s="565"/>
      <c r="AW66" s="565"/>
      <c r="AX66" s="565"/>
      <c r="AY66" s="565"/>
      <c r="AZ66" s="565"/>
      <c r="BA66" s="565"/>
      <c r="BB66" s="566">
        <v>30</v>
      </c>
      <c r="BC66" s="565" t="str">
        <f t="shared" si="20"/>
        <v/>
      </c>
      <c r="BD66" s="565" t="str">
        <f t="shared" si="21"/>
        <v/>
      </c>
      <c r="BE66" s="565"/>
      <c r="BF66" s="565"/>
      <c r="BG66" s="565"/>
      <c r="BH66" s="565"/>
      <c r="BI66" s="565"/>
      <c r="BJ66" s="565"/>
      <c r="BK66" s="566">
        <v>30</v>
      </c>
      <c r="BL66" s="565" t="str">
        <f t="shared" si="22"/>
        <v/>
      </c>
      <c r="BM66" s="565" t="str">
        <f t="shared" si="23"/>
        <v/>
      </c>
      <c r="BN66" s="565"/>
      <c r="BO66" s="565"/>
      <c r="BP66" s="565"/>
      <c r="BQ66" s="565"/>
      <c r="BR66" s="565"/>
      <c r="BS66" s="565"/>
      <c r="BT66" s="566">
        <v>30</v>
      </c>
      <c r="BU66" s="565" t="str">
        <f t="shared" si="24"/>
        <v/>
      </c>
      <c r="BV66" s="565" t="str">
        <f t="shared" si="25"/>
        <v/>
      </c>
      <c r="BW66" s="565"/>
      <c r="BX66" s="565"/>
      <c r="BY66" s="565"/>
      <c r="BZ66" s="565"/>
      <c r="CA66" s="565"/>
      <c r="CB66" s="565"/>
      <c r="CC66" s="566">
        <v>30</v>
      </c>
      <c r="CD66" s="565" t="str">
        <f t="shared" si="26"/>
        <v/>
      </c>
      <c r="CE66" s="565" t="str">
        <f t="shared" si="27"/>
        <v/>
      </c>
      <c r="CF66" s="565"/>
      <c r="CG66" s="565"/>
      <c r="CH66" s="565"/>
      <c r="CI66" s="565"/>
      <c r="CJ66" s="565"/>
      <c r="CK66" s="565"/>
    </row>
    <row r="67" spans="1:89" x14ac:dyDescent="0.25">
      <c r="A67" s="565"/>
      <c r="B67" s="565"/>
      <c r="C67" s="565"/>
      <c r="D67" s="565"/>
      <c r="E67" s="565"/>
      <c r="F67" s="565"/>
      <c r="G67" s="565"/>
      <c r="H67" s="565"/>
      <c r="I67" s="565"/>
      <c r="J67" s="565"/>
      <c r="K67" s="565"/>
      <c r="L67" s="565"/>
      <c r="M67" s="565"/>
      <c r="N67" s="565"/>
      <c r="O67" s="565"/>
      <c r="P67" s="565"/>
      <c r="Q67" s="565"/>
      <c r="R67" s="565"/>
      <c r="S67" s="565"/>
      <c r="T67" s="565"/>
      <c r="U67" s="565"/>
      <c r="V67" s="565"/>
      <c r="W67" s="565"/>
      <c r="X67" s="565"/>
      <c r="Y67" s="565"/>
      <c r="Z67" s="565"/>
      <c r="AA67" s="565"/>
      <c r="AB67" s="565"/>
      <c r="AC67" s="565"/>
      <c r="AD67" s="565"/>
      <c r="AE67" s="565"/>
      <c r="AF67" s="565"/>
      <c r="AG67" s="565"/>
      <c r="AH67" s="565"/>
      <c r="AI67" s="565"/>
      <c r="AJ67" s="565"/>
      <c r="AK67" s="565"/>
      <c r="AL67" s="565"/>
      <c r="AM67" s="565"/>
      <c r="AN67" s="565"/>
      <c r="AO67" s="565"/>
      <c r="AP67" s="565"/>
      <c r="AQ67" s="565"/>
      <c r="AR67" s="565"/>
      <c r="AS67" s="565"/>
      <c r="AT67" s="565"/>
      <c r="AU67" s="565"/>
      <c r="AV67" s="565"/>
      <c r="AW67" s="565"/>
      <c r="AX67" s="565"/>
      <c r="AY67" s="565"/>
      <c r="AZ67" s="565"/>
      <c r="BA67" s="565"/>
      <c r="BB67" s="565"/>
      <c r="BC67" s="565"/>
      <c r="BD67" s="565"/>
      <c r="BE67" s="565"/>
      <c r="BF67" s="565"/>
      <c r="BG67" s="565"/>
      <c r="BH67" s="565"/>
      <c r="BI67" s="565"/>
      <c r="BJ67" s="565"/>
      <c r="BK67" s="565"/>
      <c r="BL67" s="565"/>
      <c r="BM67" s="565"/>
      <c r="BN67" s="565"/>
      <c r="BO67" s="565"/>
      <c r="BP67" s="565"/>
      <c r="BQ67" s="565"/>
      <c r="BR67" s="565"/>
      <c r="BS67" s="565"/>
      <c r="BT67" s="565"/>
      <c r="BU67" s="565"/>
      <c r="BV67" s="565"/>
      <c r="BW67" s="565"/>
      <c r="BX67" s="565"/>
      <c r="BY67" s="565"/>
      <c r="BZ67" s="565"/>
      <c r="CA67" s="565"/>
      <c r="CB67" s="565"/>
      <c r="CC67" s="565"/>
      <c r="CD67" s="565"/>
      <c r="CE67" s="565"/>
      <c r="CF67" s="565"/>
      <c r="CG67" s="565"/>
      <c r="CH67" s="565"/>
      <c r="CI67" s="565"/>
      <c r="CJ67" s="565"/>
      <c r="CK67" s="565"/>
    </row>
    <row r="68" spans="1:89" x14ac:dyDescent="0.25">
      <c r="A68" s="565"/>
      <c r="B68" s="565"/>
      <c r="C68" s="565"/>
      <c r="D68" s="600">
        <f>S02_Cleric!E68</f>
        <v>0</v>
      </c>
      <c r="E68" s="600">
        <f>D68+SUM(C69:C98)</f>
        <v>0</v>
      </c>
      <c r="F68" s="565"/>
      <c r="G68" s="565"/>
      <c r="H68" s="565"/>
      <c r="I68" s="565"/>
      <c r="J68" s="565"/>
      <c r="K68" s="565"/>
      <c r="L68" s="565"/>
      <c r="M68" s="600">
        <f>S02_Cleric!N68</f>
        <v>0</v>
      </c>
      <c r="N68" s="600">
        <f>M68+SUM(L69:L98)</f>
        <v>0</v>
      </c>
      <c r="O68" s="565"/>
      <c r="P68" s="565"/>
      <c r="Q68" s="565"/>
      <c r="R68" s="565"/>
      <c r="S68" s="565"/>
      <c r="T68" s="565"/>
      <c r="U68" s="565"/>
      <c r="V68" s="600">
        <f>S02_Cleric!W68</f>
        <v>0</v>
      </c>
      <c r="W68" s="600">
        <f>V68+SUM(U69:U98)</f>
        <v>0</v>
      </c>
      <c r="X68" s="565"/>
      <c r="Y68" s="565"/>
      <c r="Z68" s="565"/>
      <c r="AA68" s="565"/>
      <c r="AB68" s="565"/>
      <c r="AC68" s="565"/>
      <c r="AD68" s="565"/>
      <c r="AE68" s="600">
        <f>S02_Cleric!AF68</f>
        <v>0</v>
      </c>
      <c r="AF68" s="600">
        <f>AE68+SUM(AD69:AD98)</f>
        <v>0</v>
      </c>
      <c r="AG68" s="565"/>
      <c r="AH68" s="565"/>
      <c r="AI68" s="565"/>
      <c r="AJ68" s="565"/>
      <c r="AK68" s="565"/>
      <c r="AL68" s="565"/>
      <c r="AM68" s="565"/>
      <c r="AN68" s="600">
        <f>S02_Cleric!AO68</f>
        <v>0</v>
      </c>
      <c r="AO68" s="600">
        <f>AN68+SUM(AM69:AM98)</f>
        <v>0</v>
      </c>
      <c r="AP68" s="565"/>
      <c r="AQ68" s="565"/>
      <c r="AR68" s="565"/>
      <c r="AS68" s="565"/>
      <c r="AT68" s="565"/>
      <c r="AU68" s="565"/>
      <c r="AV68" s="565"/>
      <c r="AW68" s="600">
        <f>S02_Cleric!AX68</f>
        <v>0</v>
      </c>
      <c r="AX68" s="600">
        <f>AW68+SUM(AV69:AV98)</f>
        <v>0</v>
      </c>
      <c r="AY68" s="565"/>
      <c r="AZ68" s="565"/>
      <c r="BA68" s="565"/>
      <c r="BB68" s="565"/>
      <c r="BC68" s="565"/>
      <c r="BD68" s="565"/>
      <c r="BE68" s="565"/>
      <c r="BF68" s="600">
        <f>S02_Cleric!BG68</f>
        <v>0</v>
      </c>
      <c r="BG68" s="600">
        <f>BF68+SUM(BE69:BE98)</f>
        <v>0</v>
      </c>
      <c r="BH68" s="565"/>
      <c r="BI68" s="565"/>
      <c r="BJ68" s="565"/>
      <c r="BK68" s="565"/>
      <c r="BL68" s="565"/>
      <c r="BM68" s="565"/>
      <c r="BN68" s="565"/>
      <c r="BO68" s="600">
        <f>S02_Cleric!BP68</f>
        <v>0</v>
      </c>
      <c r="BP68" s="600">
        <f>BO68+SUM(BN69:BN98)</f>
        <v>0</v>
      </c>
      <c r="BQ68" s="565"/>
      <c r="BR68" s="565"/>
      <c r="BS68" s="565"/>
      <c r="BT68" s="565"/>
      <c r="BU68" s="565"/>
      <c r="BV68" s="565"/>
      <c r="BW68" s="565"/>
      <c r="BX68" s="600">
        <f>S02_Cleric!BY68</f>
        <v>0</v>
      </c>
      <c r="BY68" s="600">
        <f>BX68+SUM(BW69:BW98)</f>
        <v>0</v>
      </c>
      <c r="BZ68" s="565"/>
      <c r="CA68" s="565"/>
      <c r="CB68" s="565"/>
      <c r="CC68" s="565"/>
      <c r="CD68" s="565"/>
      <c r="CE68" s="565"/>
      <c r="CF68" s="565"/>
      <c r="CG68" s="565"/>
      <c r="CH68" s="565"/>
      <c r="CI68" s="565"/>
      <c r="CJ68" s="565"/>
      <c r="CK68" s="565"/>
    </row>
    <row r="69" spans="1:89" x14ac:dyDescent="0.25">
      <c r="B69" s="5">
        <v>1</v>
      </c>
      <c r="C69">
        <f t="shared" ref="C69:C98" si="28">IF(SpellcastingDruid&gt;0,IF(C6&lt;&gt;"",1,0),0)</f>
        <v>0</v>
      </c>
      <c r="D69">
        <f>IF(C69=0,0,1)</f>
        <v>0</v>
      </c>
      <c r="E69">
        <f>IF(D69=0,0,D69+D$68)</f>
        <v>0</v>
      </c>
      <c r="F69" t="str">
        <f>IF(C69=1,"Druid","")</f>
        <v/>
      </c>
      <c r="G69" t="s">
        <v>6545</v>
      </c>
      <c r="H69" t="s">
        <v>6545</v>
      </c>
      <c r="I69" t="s">
        <v>6545</v>
      </c>
      <c r="J69" t="s">
        <v>6545</v>
      </c>
      <c r="K69" s="602">
        <v>1</v>
      </c>
      <c r="L69">
        <f t="shared" ref="L69:L98" si="29">IF(SpellcastingDruid&gt;0,IF(L6&lt;&gt;"",1,0),0)</f>
        <v>0</v>
      </c>
      <c r="M69">
        <f>IF(L69=0,0,1)</f>
        <v>0</v>
      </c>
      <c r="N69">
        <f>IF(M69=0,0,M69+M$68)</f>
        <v>0</v>
      </c>
      <c r="O69" t="str">
        <f>IF(L69=1,"Druid","")</f>
        <v/>
      </c>
      <c r="P69" t="s">
        <v>6545</v>
      </c>
      <c r="Q69" t="s">
        <v>6545</v>
      </c>
      <c r="R69" t="s">
        <v>6545</v>
      </c>
      <c r="S69" t="s">
        <v>6545</v>
      </c>
      <c r="T69" s="602">
        <v>1</v>
      </c>
      <c r="U69">
        <f t="shared" ref="U69:U98" si="30">IF(SpellcastingDruid&gt;0,IF(U6&lt;&gt;"",1,0),0)</f>
        <v>0</v>
      </c>
      <c r="V69">
        <f>IF(U69=0,0,1)</f>
        <v>0</v>
      </c>
      <c r="W69">
        <f>IF(V69=0,0,V69+V$68)</f>
        <v>0</v>
      </c>
      <c r="X69" t="str">
        <f>IF(U69=1,"Druid","")</f>
        <v/>
      </c>
      <c r="Y69" t="s">
        <v>6545</v>
      </c>
      <c r="Z69" t="s">
        <v>6545</v>
      </c>
      <c r="AA69" t="s">
        <v>6545</v>
      </c>
      <c r="AB69" t="s">
        <v>6545</v>
      </c>
      <c r="AC69" s="602">
        <v>1</v>
      </c>
      <c r="AD69">
        <f t="shared" ref="AD69:AD98" si="31">IF(SpellcastingDruid&gt;0,IF(AD6&lt;&gt;"",1,0),0)</f>
        <v>0</v>
      </c>
      <c r="AE69">
        <f>IF(AD69=0,0,1)</f>
        <v>0</v>
      </c>
      <c r="AF69">
        <f>IF(AE69=0,0,AE69+AE$68)</f>
        <v>0</v>
      </c>
      <c r="AG69" t="str">
        <f>IF(AD69=1,"Druid","")</f>
        <v/>
      </c>
      <c r="AH69" t="s">
        <v>6545</v>
      </c>
      <c r="AI69" t="s">
        <v>6545</v>
      </c>
      <c r="AJ69" t="s">
        <v>6545</v>
      </c>
      <c r="AK69" t="s">
        <v>6545</v>
      </c>
      <c r="AL69" s="602">
        <v>1</v>
      </c>
      <c r="AM69">
        <f t="shared" ref="AM69:AM98" si="32">IF(SpellcastingDruid&gt;0,IF(AM6&lt;&gt;"",1,0),0)</f>
        <v>0</v>
      </c>
      <c r="AN69">
        <f>IF(AM69=0,0,1)</f>
        <v>0</v>
      </c>
      <c r="AO69">
        <f>IF(AN69=0,0,AN69+AN$68)</f>
        <v>0</v>
      </c>
      <c r="AP69" t="str">
        <f>IF(AM69=1,"Druid","")</f>
        <v/>
      </c>
      <c r="AQ69" t="s">
        <v>6545</v>
      </c>
      <c r="AR69" t="s">
        <v>6545</v>
      </c>
      <c r="AS69" t="s">
        <v>6545</v>
      </c>
      <c r="AT69" t="s">
        <v>6545</v>
      </c>
      <c r="AU69" s="602">
        <v>1</v>
      </c>
      <c r="AV69">
        <f t="shared" ref="AV69:AV98" si="33">IF(SpellcastingDruid&gt;0,IF(AV6&lt;&gt;"",1,0),0)</f>
        <v>0</v>
      </c>
      <c r="AW69">
        <f>IF(AV69=0,0,1)</f>
        <v>0</v>
      </c>
      <c r="AX69">
        <f>IF(AW69=0,0,AW69+AW$68)</f>
        <v>0</v>
      </c>
      <c r="AY69" t="str">
        <f>IF(AV69=1,"Druid","")</f>
        <v/>
      </c>
      <c r="AZ69" t="s">
        <v>6545</v>
      </c>
      <c r="BA69" t="s">
        <v>6545</v>
      </c>
      <c r="BB69" t="s">
        <v>6545</v>
      </c>
      <c r="BC69" t="s">
        <v>6545</v>
      </c>
      <c r="BD69" s="602">
        <v>1</v>
      </c>
      <c r="BE69">
        <f t="shared" ref="BE69:BE98" si="34">IF(SpellcastingDruid&gt;0,IF(BE6&lt;&gt;"",1,0),0)</f>
        <v>0</v>
      </c>
      <c r="BF69">
        <f>IF(BE69=0,0,1)</f>
        <v>0</v>
      </c>
      <c r="BG69">
        <f>IF(BF69=0,0,BF69+BF$68)</f>
        <v>0</v>
      </c>
      <c r="BH69" t="str">
        <f>IF(BE69=1,"Druid","")</f>
        <v/>
      </c>
      <c r="BI69" t="s">
        <v>6545</v>
      </c>
      <c r="BJ69" t="s">
        <v>6545</v>
      </c>
      <c r="BK69" t="s">
        <v>6545</v>
      </c>
      <c r="BL69" t="s">
        <v>6545</v>
      </c>
      <c r="BM69" s="602">
        <v>1</v>
      </c>
      <c r="BN69">
        <f t="shared" ref="BN69:BN98" si="35">IF(SpellcastingDruid&gt;0,IF(BN6&lt;&gt;"",1,0),0)</f>
        <v>0</v>
      </c>
      <c r="BO69">
        <f>IF(BN69=0,0,1)</f>
        <v>0</v>
      </c>
      <c r="BP69">
        <f>IF(BO69=0,0,BO69+BO$68)</f>
        <v>0</v>
      </c>
      <c r="BQ69" t="str">
        <f>IF(BN69=1,"Druid","")</f>
        <v/>
      </c>
      <c r="BR69" t="s">
        <v>6545</v>
      </c>
      <c r="BS69" t="s">
        <v>6545</v>
      </c>
      <c r="BT69" t="s">
        <v>6545</v>
      </c>
      <c r="BU69" t="s">
        <v>6545</v>
      </c>
      <c r="BV69" s="602">
        <v>1</v>
      </c>
      <c r="BW69">
        <f t="shared" ref="BW69:BW98" si="36">IF(SpellcastingDruid&gt;0,IF(BW6&lt;&gt;"",1,0),0)</f>
        <v>0</v>
      </c>
      <c r="BX69">
        <f>IF(BW69=0,0,1)</f>
        <v>0</v>
      </c>
      <c r="BY69">
        <f>IF(BX69=0,0,BX69+BX$68)</f>
        <v>0</v>
      </c>
      <c r="BZ69" t="str">
        <f>IF(BW69=1,"Druid","")</f>
        <v/>
      </c>
      <c r="CA69" t="s">
        <v>6545</v>
      </c>
      <c r="CB69" t="s">
        <v>6545</v>
      </c>
      <c r="CC69" t="s">
        <v>6545</v>
      </c>
      <c r="CD69" t="s">
        <v>6545</v>
      </c>
    </row>
    <row r="70" spans="1:89" x14ac:dyDescent="0.25">
      <c r="B70" s="5">
        <v>2</v>
      </c>
      <c r="C70">
        <f t="shared" si="28"/>
        <v>0</v>
      </c>
      <c r="D70">
        <f>IF(C70=0,0,1+MAX(D69:D$69))</f>
        <v>0</v>
      </c>
      <c r="E70">
        <f t="shared" ref="E70:E98" si="37">IF(D70=0,0,D70+D$68)</f>
        <v>0</v>
      </c>
      <c r="F70" t="str">
        <f t="shared" ref="F70:F98" si="38">IF(C70=1,"Druid","")</f>
        <v/>
      </c>
      <c r="G70" t="str">
        <f t="shared" ref="G70:G98" si="39">IF(C70=1,"P","")</f>
        <v/>
      </c>
      <c r="K70" s="602">
        <v>2</v>
      </c>
      <c r="L70">
        <f t="shared" si="29"/>
        <v>0</v>
      </c>
      <c r="M70">
        <f>IF(L70=0,0,1+MAX(M69:M$69))</f>
        <v>0</v>
      </c>
      <c r="N70">
        <f t="shared" ref="N70:N98" si="40">IF(M70=0,0,M70+M$68)</f>
        <v>0</v>
      </c>
      <c r="O70" t="str">
        <f t="shared" ref="O70:O98" si="41">IF(L70=1,"Druid","")</f>
        <v/>
      </c>
      <c r="P70" t="str">
        <f t="shared" ref="P70:P98" si="42">IF(L70=1,"P","")</f>
        <v/>
      </c>
      <c r="T70" s="602">
        <v>2</v>
      </c>
      <c r="U70">
        <f t="shared" si="30"/>
        <v>0</v>
      </c>
      <c r="V70">
        <f>IF(U70=0,0,1+MAX(V69:V$69))</f>
        <v>0</v>
      </c>
      <c r="W70">
        <f t="shared" ref="W70:W98" si="43">IF(V70=0,0,V70+V$68)</f>
        <v>0</v>
      </c>
      <c r="X70" t="str">
        <f t="shared" ref="X70:X98" si="44">IF(U70=1,"Druid","")</f>
        <v/>
      </c>
      <c r="Y70" t="str">
        <f t="shared" ref="Y70:Y98" si="45">IF(U70=1,"P","")</f>
        <v/>
      </c>
      <c r="AC70" s="602">
        <v>2</v>
      </c>
      <c r="AD70">
        <f t="shared" si="31"/>
        <v>0</v>
      </c>
      <c r="AE70">
        <f>IF(AD70=0,0,1+MAX(AE69:AE$69))</f>
        <v>0</v>
      </c>
      <c r="AF70">
        <f t="shared" ref="AF70:AF98" si="46">IF(AE70=0,0,AE70+AE$68)</f>
        <v>0</v>
      </c>
      <c r="AG70" t="str">
        <f t="shared" ref="AG70:AG98" si="47">IF(AD70=1,"Druid","")</f>
        <v/>
      </c>
      <c r="AH70" t="str">
        <f t="shared" ref="AH70:AH98" si="48">IF(AD70=1,"P","")</f>
        <v/>
      </c>
      <c r="AL70" s="602">
        <v>2</v>
      </c>
      <c r="AM70">
        <f t="shared" si="32"/>
        <v>0</v>
      </c>
      <c r="AN70">
        <f>IF(AM70=0,0,1+MAX(AN69:AN$69))</f>
        <v>0</v>
      </c>
      <c r="AO70">
        <f t="shared" ref="AO70:AO98" si="49">IF(AN70=0,0,AN70+AN$68)</f>
        <v>0</v>
      </c>
      <c r="AP70" t="str">
        <f t="shared" ref="AP70:AP98" si="50">IF(AM70=1,"Druid","")</f>
        <v/>
      </c>
      <c r="AQ70" t="str">
        <f t="shared" ref="AQ70:AQ98" si="51">IF(AM70=1,"P","")</f>
        <v/>
      </c>
      <c r="AU70" s="602">
        <v>2</v>
      </c>
      <c r="AV70">
        <f t="shared" si="33"/>
        <v>0</v>
      </c>
      <c r="AW70">
        <f>IF(AV70=0,0,1+MAX(AW69:AW$69))</f>
        <v>0</v>
      </c>
      <c r="AX70">
        <f t="shared" ref="AX70:AX98" si="52">IF(AW70=0,0,AW70+AW$68)</f>
        <v>0</v>
      </c>
      <c r="AY70" t="str">
        <f t="shared" ref="AY70:AY98" si="53">IF(AV70=1,"Druid","")</f>
        <v/>
      </c>
      <c r="AZ70" t="str">
        <f t="shared" ref="AZ70:AZ98" si="54">IF(AV70=1,"P","")</f>
        <v/>
      </c>
      <c r="BD70" s="602">
        <v>2</v>
      </c>
      <c r="BE70">
        <f t="shared" si="34"/>
        <v>0</v>
      </c>
      <c r="BF70">
        <f>IF(BE70=0,0,1+MAX(BF69:BF$69))</f>
        <v>0</v>
      </c>
      <c r="BG70">
        <f t="shared" ref="BG70:BG98" si="55">IF(BF70=0,0,BF70+BF$68)</f>
        <v>0</v>
      </c>
      <c r="BH70" t="str">
        <f t="shared" ref="BH70:BH98" si="56">IF(BE70=1,"Druid","")</f>
        <v/>
      </c>
      <c r="BI70" t="str">
        <f t="shared" ref="BI70:BI98" si="57">IF(BE70=1,"P","")</f>
        <v/>
      </c>
      <c r="BM70" s="602">
        <v>2</v>
      </c>
      <c r="BN70">
        <f t="shared" si="35"/>
        <v>0</v>
      </c>
      <c r="BO70">
        <f>IF(BN70=0,0,1+MAX(BO69:BO$69))</f>
        <v>0</v>
      </c>
      <c r="BP70">
        <f t="shared" ref="BP70:BP98" si="58">IF(BO70=0,0,BO70+BO$68)</f>
        <v>0</v>
      </c>
      <c r="BQ70" t="str">
        <f t="shared" ref="BQ70:BQ98" si="59">IF(BN70=1,"Druid","")</f>
        <v/>
      </c>
      <c r="BR70" t="str">
        <f t="shared" ref="BR70:BR98" si="60">IF(BN70=1,"P","")</f>
        <v/>
      </c>
      <c r="BV70" s="602">
        <v>2</v>
      </c>
      <c r="BW70">
        <f t="shared" si="36"/>
        <v>0</v>
      </c>
      <c r="BX70">
        <f>IF(BW70=0,0,1+MAX(BX69:BX$69))</f>
        <v>0</v>
      </c>
      <c r="BY70">
        <f t="shared" ref="BY70:BY98" si="61">IF(BX70=0,0,BX70+BX$68)</f>
        <v>0</v>
      </c>
      <c r="BZ70" t="str">
        <f t="shared" ref="BZ70:BZ98" si="62">IF(BW70=1,"Druid","")</f>
        <v/>
      </c>
      <c r="CA70" t="str">
        <f t="shared" ref="CA70:CA98" si="63">IF(BW70=1,"P","")</f>
        <v/>
      </c>
    </row>
    <row r="71" spans="1:89" x14ac:dyDescent="0.25">
      <c r="B71" s="5">
        <v>3</v>
      </c>
      <c r="C71">
        <f t="shared" si="28"/>
        <v>0</v>
      </c>
      <c r="D71">
        <f>IF(C71=0,0,1+MAX(D$69:D70))</f>
        <v>0</v>
      </c>
      <c r="E71">
        <f t="shared" si="37"/>
        <v>0</v>
      </c>
      <c r="F71" t="str">
        <f t="shared" si="38"/>
        <v/>
      </c>
      <c r="G71" t="str">
        <f t="shared" si="39"/>
        <v/>
      </c>
      <c r="K71" s="602">
        <v>3</v>
      </c>
      <c r="L71">
        <f t="shared" si="29"/>
        <v>0</v>
      </c>
      <c r="M71">
        <f>IF(L71=0,0,1+MAX(M$69:M70))</f>
        <v>0</v>
      </c>
      <c r="N71">
        <f t="shared" si="40"/>
        <v>0</v>
      </c>
      <c r="O71" t="str">
        <f t="shared" si="41"/>
        <v/>
      </c>
      <c r="P71" t="str">
        <f t="shared" si="42"/>
        <v/>
      </c>
      <c r="T71" s="602">
        <v>3</v>
      </c>
      <c r="U71">
        <f t="shared" si="30"/>
        <v>0</v>
      </c>
      <c r="V71">
        <f>IF(U71=0,0,1+MAX(V$69:V70))</f>
        <v>0</v>
      </c>
      <c r="W71">
        <f t="shared" si="43"/>
        <v>0</v>
      </c>
      <c r="X71" t="str">
        <f t="shared" si="44"/>
        <v/>
      </c>
      <c r="Y71" t="str">
        <f t="shared" si="45"/>
        <v/>
      </c>
      <c r="AC71" s="602">
        <v>3</v>
      </c>
      <c r="AD71">
        <f t="shared" si="31"/>
        <v>0</v>
      </c>
      <c r="AE71">
        <f>IF(AD71=0,0,1+MAX(AE$69:AE70))</f>
        <v>0</v>
      </c>
      <c r="AF71">
        <f t="shared" si="46"/>
        <v>0</v>
      </c>
      <c r="AG71" t="str">
        <f t="shared" si="47"/>
        <v/>
      </c>
      <c r="AH71" t="str">
        <f t="shared" si="48"/>
        <v/>
      </c>
      <c r="AL71" s="602">
        <v>3</v>
      </c>
      <c r="AM71">
        <f t="shared" si="32"/>
        <v>0</v>
      </c>
      <c r="AN71">
        <f>IF(AM71=0,0,1+MAX(AN$69:AN70))</f>
        <v>0</v>
      </c>
      <c r="AO71">
        <f t="shared" si="49"/>
        <v>0</v>
      </c>
      <c r="AP71" t="str">
        <f t="shared" si="50"/>
        <v/>
      </c>
      <c r="AQ71" t="str">
        <f t="shared" si="51"/>
        <v/>
      </c>
      <c r="AU71" s="602">
        <v>3</v>
      </c>
      <c r="AV71">
        <f t="shared" si="33"/>
        <v>0</v>
      </c>
      <c r="AW71">
        <f>IF(AV71=0,0,1+MAX(AW$69:AW70))</f>
        <v>0</v>
      </c>
      <c r="AX71">
        <f t="shared" si="52"/>
        <v>0</v>
      </c>
      <c r="AY71" t="str">
        <f t="shared" si="53"/>
        <v/>
      </c>
      <c r="AZ71" t="str">
        <f t="shared" si="54"/>
        <v/>
      </c>
      <c r="BD71" s="602">
        <v>3</v>
      </c>
      <c r="BE71">
        <f t="shared" si="34"/>
        <v>0</v>
      </c>
      <c r="BF71">
        <f>IF(BE71=0,0,1+MAX(BF$69:BF70))</f>
        <v>0</v>
      </c>
      <c r="BG71">
        <f t="shared" si="55"/>
        <v>0</v>
      </c>
      <c r="BH71" t="str">
        <f t="shared" si="56"/>
        <v/>
      </c>
      <c r="BI71" t="str">
        <f t="shared" si="57"/>
        <v/>
      </c>
      <c r="BM71" s="602">
        <v>3</v>
      </c>
      <c r="BN71">
        <f t="shared" si="35"/>
        <v>0</v>
      </c>
      <c r="BO71">
        <f>IF(BN71=0,0,1+MAX(BO$69:BO70))</f>
        <v>0</v>
      </c>
      <c r="BP71">
        <f t="shared" si="58"/>
        <v>0</v>
      </c>
      <c r="BQ71" t="str">
        <f t="shared" si="59"/>
        <v/>
      </c>
      <c r="BR71" t="str">
        <f t="shared" si="60"/>
        <v/>
      </c>
      <c r="BV71" s="602">
        <v>3</v>
      </c>
      <c r="BW71">
        <f t="shared" si="36"/>
        <v>0</v>
      </c>
      <c r="BX71">
        <f>IF(BW71=0,0,1+MAX(BX$69:BX70))</f>
        <v>0</v>
      </c>
      <c r="BY71">
        <f t="shared" si="61"/>
        <v>0</v>
      </c>
      <c r="BZ71" t="str">
        <f t="shared" si="62"/>
        <v/>
      </c>
      <c r="CA71" t="str">
        <f t="shared" si="63"/>
        <v/>
      </c>
    </row>
    <row r="72" spans="1:89" x14ac:dyDescent="0.25">
      <c r="B72" s="5">
        <v>4</v>
      </c>
      <c r="C72">
        <f t="shared" si="28"/>
        <v>0</v>
      </c>
      <c r="D72">
        <f>IF(C72=0,0,1+MAX(D$69:D71))</f>
        <v>0</v>
      </c>
      <c r="E72">
        <f t="shared" si="37"/>
        <v>0</v>
      </c>
      <c r="F72" t="str">
        <f t="shared" si="38"/>
        <v/>
      </c>
      <c r="G72" t="str">
        <f t="shared" si="39"/>
        <v/>
      </c>
      <c r="K72" s="602">
        <v>4</v>
      </c>
      <c r="L72">
        <f t="shared" si="29"/>
        <v>0</v>
      </c>
      <c r="M72">
        <f>IF(L72=0,0,1+MAX(M$69:M71))</f>
        <v>0</v>
      </c>
      <c r="N72">
        <f t="shared" si="40"/>
        <v>0</v>
      </c>
      <c r="O72" t="str">
        <f t="shared" si="41"/>
        <v/>
      </c>
      <c r="P72" t="str">
        <f t="shared" si="42"/>
        <v/>
      </c>
      <c r="T72" s="602">
        <v>4</v>
      </c>
      <c r="U72">
        <f t="shared" si="30"/>
        <v>0</v>
      </c>
      <c r="V72">
        <f>IF(U72=0,0,1+MAX(V$69:V71))</f>
        <v>0</v>
      </c>
      <c r="W72">
        <f t="shared" si="43"/>
        <v>0</v>
      </c>
      <c r="X72" t="str">
        <f t="shared" si="44"/>
        <v/>
      </c>
      <c r="Y72" t="str">
        <f t="shared" si="45"/>
        <v/>
      </c>
      <c r="AC72" s="602">
        <v>4</v>
      </c>
      <c r="AD72">
        <f t="shared" si="31"/>
        <v>0</v>
      </c>
      <c r="AE72">
        <f>IF(AD72=0,0,1+MAX(AE$69:AE71))</f>
        <v>0</v>
      </c>
      <c r="AF72">
        <f t="shared" si="46"/>
        <v>0</v>
      </c>
      <c r="AG72" t="str">
        <f t="shared" si="47"/>
        <v/>
      </c>
      <c r="AH72" t="str">
        <f t="shared" si="48"/>
        <v/>
      </c>
      <c r="AL72" s="602">
        <v>4</v>
      </c>
      <c r="AM72">
        <f t="shared" si="32"/>
        <v>0</v>
      </c>
      <c r="AN72">
        <f>IF(AM72=0,0,1+MAX(AN$69:AN71))</f>
        <v>0</v>
      </c>
      <c r="AO72">
        <f t="shared" si="49"/>
        <v>0</v>
      </c>
      <c r="AP72" t="str">
        <f t="shared" si="50"/>
        <v/>
      </c>
      <c r="AQ72" t="str">
        <f t="shared" si="51"/>
        <v/>
      </c>
      <c r="AU72" s="602">
        <v>4</v>
      </c>
      <c r="AV72">
        <f t="shared" si="33"/>
        <v>0</v>
      </c>
      <c r="AW72">
        <f>IF(AV72=0,0,1+MAX(AW$69:AW71))</f>
        <v>0</v>
      </c>
      <c r="AX72">
        <f t="shared" si="52"/>
        <v>0</v>
      </c>
      <c r="AY72" t="str">
        <f t="shared" si="53"/>
        <v/>
      </c>
      <c r="AZ72" t="str">
        <f t="shared" si="54"/>
        <v/>
      </c>
      <c r="BD72" s="602">
        <v>4</v>
      </c>
      <c r="BE72">
        <f t="shared" si="34"/>
        <v>0</v>
      </c>
      <c r="BF72">
        <f>IF(BE72=0,0,1+MAX(BF$69:BF71))</f>
        <v>0</v>
      </c>
      <c r="BG72">
        <f t="shared" si="55"/>
        <v>0</v>
      </c>
      <c r="BH72" t="str">
        <f t="shared" si="56"/>
        <v/>
      </c>
      <c r="BI72" t="str">
        <f t="shared" si="57"/>
        <v/>
      </c>
      <c r="BM72" s="602">
        <v>4</v>
      </c>
      <c r="BN72">
        <f t="shared" si="35"/>
        <v>0</v>
      </c>
      <c r="BO72">
        <f>IF(BN72=0,0,1+MAX(BO$69:BO71))</f>
        <v>0</v>
      </c>
      <c r="BP72">
        <f t="shared" si="58"/>
        <v>0</v>
      </c>
      <c r="BQ72" t="str">
        <f t="shared" si="59"/>
        <v/>
      </c>
      <c r="BR72" t="str">
        <f t="shared" si="60"/>
        <v/>
      </c>
      <c r="BV72" s="602">
        <v>4</v>
      </c>
      <c r="BW72">
        <f t="shared" si="36"/>
        <v>0</v>
      </c>
      <c r="BX72">
        <f>IF(BW72=0,0,1+MAX(BX$69:BX71))</f>
        <v>0</v>
      </c>
      <c r="BY72">
        <f t="shared" si="61"/>
        <v>0</v>
      </c>
      <c r="BZ72" t="str">
        <f t="shared" si="62"/>
        <v/>
      </c>
      <c r="CA72" t="str">
        <f t="shared" si="63"/>
        <v/>
      </c>
    </row>
    <row r="73" spans="1:89" x14ac:dyDescent="0.25">
      <c r="B73" s="5">
        <v>5</v>
      </c>
      <c r="C73">
        <f t="shared" si="28"/>
        <v>0</v>
      </c>
      <c r="D73">
        <f>IF(C73=0,0,1+MAX(D$69:D72))</f>
        <v>0</v>
      </c>
      <c r="E73">
        <f t="shared" si="37"/>
        <v>0</v>
      </c>
      <c r="F73" t="str">
        <f t="shared" si="38"/>
        <v/>
      </c>
      <c r="G73" t="str">
        <f t="shared" si="39"/>
        <v/>
      </c>
      <c r="K73" s="602">
        <v>5</v>
      </c>
      <c r="L73">
        <f t="shared" si="29"/>
        <v>0</v>
      </c>
      <c r="M73">
        <f>IF(L73=0,0,1+MAX(M$69:M72))</f>
        <v>0</v>
      </c>
      <c r="N73">
        <f t="shared" si="40"/>
        <v>0</v>
      </c>
      <c r="O73" t="str">
        <f t="shared" si="41"/>
        <v/>
      </c>
      <c r="P73" t="str">
        <f t="shared" si="42"/>
        <v/>
      </c>
      <c r="T73" s="602">
        <v>5</v>
      </c>
      <c r="U73">
        <f t="shared" si="30"/>
        <v>0</v>
      </c>
      <c r="V73">
        <f>IF(U73=0,0,1+MAX(V$69:V72))</f>
        <v>0</v>
      </c>
      <c r="W73">
        <f t="shared" si="43"/>
        <v>0</v>
      </c>
      <c r="X73" t="str">
        <f t="shared" si="44"/>
        <v/>
      </c>
      <c r="Y73" t="str">
        <f t="shared" si="45"/>
        <v/>
      </c>
      <c r="AC73" s="602">
        <v>5</v>
      </c>
      <c r="AD73">
        <f t="shared" si="31"/>
        <v>0</v>
      </c>
      <c r="AE73">
        <f>IF(AD73=0,0,1+MAX(AE$69:AE72))</f>
        <v>0</v>
      </c>
      <c r="AF73">
        <f t="shared" si="46"/>
        <v>0</v>
      </c>
      <c r="AG73" t="str">
        <f t="shared" si="47"/>
        <v/>
      </c>
      <c r="AH73" t="str">
        <f t="shared" si="48"/>
        <v/>
      </c>
      <c r="AL73" s="602">
        <v>5</v>
      </c>
      <c r="AM73">
        <f t="shared" si="32"/>
        <v>0</v>
      </c>
      <c r="AN73">
        <f>IF(AM73=0,0,1+MAX(AN$69:AN72))</f>
        <v>0</v>
      </c>
      <c r="AO73">
        <f t="shared" si="49"/>
        <v>0</v>
      </c>
      <c r="AP73" t="str">
        <f t="shared" si="50"/>
        <v/>
      </c>
      <c r="AQ73" t="str">
        <f t="shared" si="51"/>
        <v/>
      </c>
      <c r="AU73" s="602">
        <v>5</v>
      </c>
      <c r="AV73">
        <f t="shared" si="33"/>
        <v>0</v>
      </c>
      <c r="AW73">
        <f>IF(AV73=0,0,1+MAX(AW$69:AW72))</f>
        <v>0</v>
      </c>
      <c r="AX73">
        <f t="shared" si="52"/>
        <v>0</v>
      </c>
      <c r="AY73" t="str">
        <f t="shared" si="53"/>
        <v/>
      </c>
      <c r="AZ73" t="str">
        <f t="shared" si="54"/>
        <v/>
      </c>
      <c r="BD73" s="602">
        <v>5</v>
      </c>
      <c r="BE73">
        <f t="shared" si="34"/>
        <v>0</v>
      </c>
      <c r="BF73">
        <f>IF(BE73=0,0,1+MAX(BF$69:BF72))</f>
        <v>0</v>
      </c>
      <c r="BG73">
        <f t="shared" si="55"/>
        <v>0</v>
      </c>
      <c r="BH73" t="str">
        <f t="shared" si="56"/>
        <v/>
      </c>
      <c r="BI73" t="str">
        <f t="shared" si="57"/>
        <v/>
      </c>
      <c r="BM73" s="602">
        <v>5</v>
      </c>
      <c r="BN73">
        <f t="shared" si="35"/>
        <v>0</v>
      </c>
      <c r="BO73">
        <f>IF(BN73=0,0,1+MAX(BO$69:BO72))</f>
        <v>0</v>
      </c>
      <c r="BP73">
        <f t="shared" si="58"/>
        <v>0</v>
      </c>
      <c r="BQ73" t="str">
        <f t="shared" si="59"/>
        <v/>
      </c>
      <c r="BR73" t="str">
        <f t="shared" si="60"/>
        <v/>
      </c>
      <c r="BV73" s="602">
        <v>5</v>
      </c>
      <c r="BW73">
        <f t="shared" si="36"/>
        <v>0</v>
      </c>
      <c r="BX73">
        <f>IF(BW73=0,0,1+MAX(BX$69:BX72))</f>
        <v>0</v>
      </c>
      <c r="BY73">
        <f t="shared" si="61"/>
        <v>0</v>
      </c>
      <c r="BZ73" t="str">
        <f t="shared" si="62"/>
        <v/>
      </c>
      <c r="CA73" t="str">
        <f t="shared" si="63"/>
        <v/>
      </c>
    </row>
    <row r="74" spans="1:89" x14ac:dyDescent="0.25">
      <c r="B74" s="5">
        <v>6</v>
      </c>
      <c r="C74">
        <f t="shared" si="28"/>
        <v>0</v>
      </c>
      <c r="D74">
        <f>IF(C74=0,0,1+MAX(D$69:D73))</f>
        <v>0</v>
      </c>
      <c r="E74">
        <f t="shared" si="37"/>
        <v>0</v>
      </c>
      <c r="F74" t="str">
        <f t="shared" si="38"/>
        <v/>
      </c>
      <c r="G74" t="str">
        <f t="shared" si="39"/>
        <v/>
      </c>
      <c r="K74" s="602">
        <v>6</v>
      </c>
      <c r="L74">
        <f t="shared" si="29"/>
        <v>0</v>
      </c>
      <c r="M74">
        <f>IF(L74=0,0,1+MAX(M$69:M73))</f>
        <v>0</v>
      </c>
      <c r="N74">
        <f t="shared" si="40"/>
        <v>0</v>
      </c>
      <c r="O74" t="str">
        <f t="shared" si="41"/>
        <v/>
      </c>
      <c r="P74" t="str">
        <f t="shared" si="42"/>
        <v/>
      </c>
      <c r="T74" s="602">
        <v>6</v>
      </c>
      <c r="U74">
        <f t="shared" si="30"/>
        <v>0</v>
      </c>
      <c r="V74">
        <f>IF(U74=0,0,1+MAX(V$69:V73))</f>
        <v>0</v>
      </c>
      <c r="W74">
        <f t="shared" si="43"/>
        <v>0</v>
      </c>
      <c r="X74" t="str">
        <f t="shared" si="44"/>
        <v/>
      </c>
      <c r="Y74" t="str">
        <f t="shared" si="45"/>
        <v/>
      </c>
      <c r="AC74" s="602">
        <v>6</v>
      </c>
      <c r="AD74">
        <f t="shared" si="31"/>
        <v>0</v>
      </c>
      <c r="AE74">
        <f>IF(AD74=0,0,1+MAX(AE$69:AE73))</f>
        <v>0</v>
      </c>
      <c r="AF74">
        <f t="shared" si="46"/>
        <v>0</v>
      </c>
      <c r="AG74" t="str">
        <f t="shared" si="47"/>
        <v/>
      </c>
      <c r="AH74" t="str">
        <f t="shared" si="48"/>
        <v/>
      </c>
      <c r="AL74" s="602">
        <v>6</v>
      </c>
      <c r="AM74">
        <f t="shared" si="32"/>
        <v>0</v>
      </c>
      <c r="AN74">
        <f>IF(AM74=0,0,1+MAX(AN$69:AN73))</f>
        <v>0</v>
      </c>
      <c r="AO74">
        <f t="shared" si="49"/>
        <v>0</v>
      </c>
      <c r="AP74" t="str">
        <f t="shared" si="50"/>
        <v/>
      </c>
      <c r="AQ74" t="str">
        <f t="shared" si="51"/>
        <v/>
      </c>
      <c r="AU74" s="602">
        <v>6</v>
      </c>
      <c r="AV74">
        <f t="shared" si="33"/>
        <v>0</v>
      </c>
      <c r="AW74">
        <f>IF(AV74=0,0,1+MAX(AW$69:AW73))</f>
        <v>0</v>
      </c>
      <c r="AX74">
        <f t="shared" si="52"/>
        <v>0</v>
      </c>
      <c r="AY74" t="str">
        <f t="shared" si="53"/>
        <v/>
      </c>
      <c r="AZ74" t="str">
        <f t="shared" si="54"/>
        <v/>
      </c>
      <c r="BD74" s="602">
        <v>6</v>
      </c>
      <c r="BE74">
        <f t="shared" si="34"/>
        <v>0</v>
      </c>
      <c r="BF74">
        <f>IF(BE74=0,0,1+MAX(BF$69:BF73))</f>
        <v>0</v>
      </c>
      <c r="BG74">
        <f t="shared" si="55"/>
        <v>0</v>
      </c>
      <c r="BH74" t="str">
        <f t="shared" si="56"/>
        <v/>
      </c>
      <c r="BI74" t="str">
        <f t="shared" si="57"/>
        <v/>
      </c>
      <c r="BM74" s="602">
        <v>6</v>
      </c>
      <c r="BN74">
        <f t="shared" si="35"/>
        <v>0</v>
      </c>
      <c r="BO74">
        <f>IF(BN74=0,0,1+MAX(BO$69:BO73))</f>
        <v>0</v>
      </c>
      <c r="BP74">
        <f t="shared" si="58"/>
        <v>0</v>
      </c>
      <c r="BQ74" t="str">
        <f t="shared" si="59"/>
        <v/>
      </c>
      <c r="BR74" t="str">
        <f t="shared" si="60"/>
        <v/>
      </c>
      <c r="BV74" s="602">
        <v>6</v>
      </c>
      <c r="BW74">
        <f t="shared" si="36"/>
        <v>0</v>
      </c>
      <c r="BX74">
        <f>IF(BW74=0,0,1+MAX(BX$69:BX73))</f>
        <v>0</v>
      </c>
      <c r="BY74">
        <f t="shared" si="61"/>
        <v>0</v>
      </c>
      <c r="BZ74" t="str">
        <f t="shared" si="62"/>
        <v/>
      </c>
      <c r="CA74" t="str">
        <f t="shared" si="63"/>
        <v/>
      </c>
    </row>
    <row r="75" spans="1:89" x14ac:dyDescent="0.25">
      <c r="B75" s="5">
        <v>7</v>
      </c>
      <c r="C75">
        <f t="shared" si="28"/>
        <v>0</v>
      </c>
      <c r="D75">
        <f>IF(C75=0,0,1+MAX(D$69:D74))</f>
        <v>0</v>
      </c>
      <c r="E75">
        <f t="shared" si="37"/>
        <v>0</v>
      </c>
      <c r="F75" t="str">
        <f t="shared" si="38"/>
        <v/>
      </c>
      <c r="G75" t="str">
        <f t="shared" si="39"/>
        <v/>
      </c>
      <c r="K75" s="602">
        <v>7</v>
      </c>
      <c r="L75">
        <f t="shared" si="29"/>
        <v>0</v>
      </c>
      <c r="M75">
        <f>IF(L75=0,0,1+MAX(M$69:M74))</f>
        <v>0</v>
      </c>
      <c r="N75">
        <f t="shared" si="40"/>
        <v>0</v>
      </c>
      <c r="O75" t="str">
        <f t="shared" si="41"/>
        <v/>
      </c>
      <c r="P75" t="str">
        <f t="shared" si="42"/>
        <v/>
      </c>
      <c r="T75" s="602">
        <v>7</v>
      </c>
      <c r="U75">
        <f t="shared" si="30"/>
        <v>0</v>
      </c>
      <c r="V75">
        <f>IF(U75=0,0,1+MAX(V$69:V74))</f>
        <v>0</v>
      </c>
      <c r="W75">
        <f t="shared" si="43"/>
        <v>0</v>
      </c>
      <c r="X75" t="str">
        <f t="shared" si="44"/>
        <v/>
      </c>
      <c r="Y75" t="str">
        <f t="shared" si="45"/>
        <v/>
      </c>
      <c r="AC75" s="602">
        <v>7</v>
      </c>
      <c r="AD75">
        <f t="shared" si="31"/>
        <v>0</v>
      </c>
      <c r="AE75">
        <f>IF(AD75=0,0,1+MAX(AE$69:AE74))</f>
        <v>0</v>
      </c>
      <c r="AF75">
        <f t="shared" si="46"/>
        <v>0</v>
      </c>
      <c r="AG75" t="str">
        <f t="shared" si="47"/>
        <v/>
      </c>
      <c r="AH75" t="str">
        <f t="shared" si="48"/>
        <v/>
      </c>
      <c r="AL75" s="602">
        <v>7</v>
      </c>
      <c r="AM75">
        <f t="shared" si="32"/>
        <v>0</v>
      </c>
      <c r="AN75">
        <f>IF(AM75=0,0,1+MAX(AN$69:AN74))</f>
        <v>0</v>
      </c>
      <c r="AO75">
        <f t="shared" si="49"/>
        <v>0</v>
      </c>
      <c r="AP75" t="str">
        <f t="shared" si="50"/>
        <v/>
      </c>
      <c r="AQ75" t="str">
        <f t="shared" si="51"/>
        <v/>
      </c>
      <c r="AU75" s="602">
        <v>7</v>
      </c>
      <c r="AV75">
        <f t="shared" si="33"/>
        <v>0</v>
      </c>
      <c r="AW75">
        <f>IF(AV75=0,0,1+MAX(AW$69:AW74))</f>
        <v>0</v>
      </c>
      <c r="AX75">
        <f t="shared" si="52"/>
        <v>0</v>
      </c>
      <c r="AY75" t="str">
        <f t="shared" si="53"/>
        <v/>
      </c>
      <c r="AZ75" t="str">
        <f t="shared" si="54"/>
        <v/>
      </c>
      <c r="BD75" s="602">
        <v>7</v>
      </c>
      <c r="BE75">
        <f t="shared" si="34"/>
        <v>0</v>
      </c>
      <c r="BF75">
        <f>IF(BE75=0,0,1+MAX(BF$69:BF74))</f>
        <v>0</v>
      </c>
      <c r="BG75">
        <f t="shared" si="55"/>
        <v>0</v>
      </c>
      <c r="BH75" t="str">
        <f t="shared" si="56"/>
        <v/>
      </c>
      <c r="BI75" t="str">
        <f t="shared" si="57"/>
        <v/>
      </c>
      <c r="BM75" s="602">
        <v>7</v>
      </c>
      <c r="BN75">
        <f t="shared" si="35"/>
        <v>0</v>
      </c>
      <c r="BO75">
        <f>IF(BN75=0,0,1+MAX(BO$69:BO74))</f>
        <v>0</v>
      </c>
      <c r="BP75">
        <f t="shared" si="58"/>
        <v>0</v>
      </c>
      <c r="BQ75" t="str">
        <f t="shared" si="59"/>
        <v/>
      </c>
      <c r="BR75" t="str">
        <f t="shared" si="60"/>
        <v/>
      </c>
      <c r="BV75" s="602">
        <v>7</v>
      </c>
      <c r="BW75">
        <f t="shared" si="36"/>
        <v>0</v>
      </c>
      <c r="BX75">
        <f>IF(BW75=0,0,1+MAX(BX$69:BX74))</f>
        <v>0</v>
      </c>
      <c r="BY75">
        <f t="shared" si="61"/>
        <v>0</v>
      </c>
      <c r="BZ75" t="str">
        <f t="shared" si="62"/>
        <v/>
      </c>
      <c r="CA75" t="str">
        <f t="shared" si="63"/>
        <v/>
      </c>
    </row>
    <row r="76" spans="1:89" x14ac:dyDescent="0.25">
      <c r="B76" s="5">
        <v>8</v>
      </c>
      <c r="C76">
        <f t="shared" si="28"/>
        <v>0</v>
      </c>
      <c r="D76">
        <f>IF(C76=0,0,1+MAX(D$69:D75))</f>
        <v>0</v>
      </c>
      <c r="E76">
        <f t="shared" si="37"/>
        <v>0</v>
      </c>
      <c r="F76" t="str">
        <f t="shared" si="38"/>
        <v/>
      </c>
      <c r="G76" t="str">
        <f t="shared" si="39"/>
        <v/>
      </c>
      <c r="K76" s="602">
        <v>8</v>
      </c>
      <c r="L76">
        <f t="shared" si="29"/>
        <v>0</v>
      </c>
      <c r="M76">
        <f>IF(L76=0,0,1+MAX(M$69:M75))</f>
        <v>0</v>
      </c>
      <c r="N76">
        <f t="shared" si="40"/>
        <v>0</v>
      </c>
      <c r="O76" t="str">
        <f t="shared" si="41"/>
        <v/>
      </c>
      <c r="P76" t="str">
        <f t="shared" si="42"/>
        <v/>
      </c>
      <c r="T76" s="602">
        <v>8</v>
      </c>
      <c r="U76">
        <f t="shared" si="30"/>
        <v>0</v>
      </c>
      <c r="V76">
        <f>IF(U76=0,0,1+MAX(V$69:V75))</f>
        <v>0</v>
      </c>
      <c r="W76">
        <f t="shared" si="43"/>
        <v>0</v>
      </c>
      <c r="X76" t="str">
        <f t="shared" si="44"/>
        <v/>
      </c>
      <c r="Y76" t="str">
        <f t="shared" si="45"/>
        <v/>
      </c>
      <c r="AC76" s="602">
        <v>8</v>
      </c>
      <c r="AD76">
        <f t="shared" si="31"/>
        <v>0</v>
      </c>
      <c r="AE76">
        <f>IF(AD76=0,0,1+MAX(AE$69:AE75))</f>
        <v>0</v>
      </c>
      <c r="AF76">
        <f t="shared" si="46"/>
        <v>0</v>
      </c>
      <c r="AG76" t="str">
        <f t="shared" si="47"/>
        <v/>
      </c>
      <c r="AH76" t="str">
        <f t="shared" si="48"/>
        <v/>
      </c>
      <c r="AL76" s="602">
        <v>8</v>
      </c>
      <c r="AM76">
        <f t="shared" si="32"/>
        <v>0</v>
      </c>
      <c r="AN76">
        <f>IF(AM76=0,0,1+MAX(AN$69:AN75))</f>
        <v>0</v>
      </c>
      <c r="AO76">
        <f t="shared" si="49"/>
        <v>0</v>
      </c>
      <c r="AP76" t="str">
        <f t="shared" si="50"/>
        <v/>
      </c>
      <c r="AQ76" t="str">
        <f t="shared" si="51"/>
        <v/>
      </c>
      <c r="AU76" s="602">
        <v>8</v>
      </c>
      <c r="AV76">
        <f t="shared" si="33"/>
        <v>0</v>
      </c>
      <c r="AW76">
        <f>IF(AV76=0,0,1+MAX(AW$69:AW75))</f>
        <v>0</v>
      </c>
      <c r="AX76">
        <f t="shared" si="52"/>
        <v>0</v>
      </c>
      <c r="AY76" t="str">
        <f t="shared" si="53"/>
        <v/>
      </c>
      <c r="AZ76" t="str">
        <f t="shared" si="54"/>
        <v/>
      </c>
      <c r="BD76" s="602">
        <v>8</v>
      </c>
      <c r="BE76">
        <f t="shared" si="34"/>
        <v>0</v>
      </c>
      <c r="BF76">
        <f>IF(BE76=0,0,1+MAX(BF$69:BF75))</f>
        <v>0</v>
      </c>
      <c r="BG76">
        <f t="shared" si="55"/>
        <v>0</v>
      </c>
      <c r="BH76" t="str">
        <f t="shared" si="56"/>
        <v/>
      </c>
      <c r="BI76" t="str">
        <f t="shared" si="57"/>
        <v/>
      </c>
      <c r="BM76" s="602">
        <v>8</v>
      </c>
      <c r="BN76">
        <f t="shared" si="35"/>
        <v>0</v>
      </c>
      <c r="BO76">
        <f>IF(BN76=0,0,1+MAX(BO$69:BO75))</f>
        <v>0</v>
      </c>
      <c r="BP76">
        <f t="shared" si="58"/>
        <v>0</v>
      </c>
      <c r="BQ76" t="str">
        <f t="shared" si="59"/>
        <v/>
      </c>
      <c r="BR76" t="str">
        <f t="shared" si="60"/>
        <v/>
      </c>
      <c r="BV76" s="602">
        <v>8</v>
      </c>
      <c r="BW76">
        <f t="shared" si="36"/>
        <v>0</v>
      </c>
      <c r="BX76">
        <f>IF(BW76=0,0,1+MAX(BX$69:BX75))</f>
        <v>0</v>
      </c>
      <c r="BY76">
        <f t="shared" si="61"/>
        <v>0</v>
      </c>
      <c r="BZ76" t="str">
        <f t="shared" si="62"/>
        <v/>
      </c>
      <c r="CA76" t="str">
        <f t="shared" si="63"/>
        <v/>
      </c>
    </row>
    <row r="77" spans="1:89" x14ac:dyDescent="0.25">
      <c r="B77" s="5">
        <v>9</v>
      </c>
      <c r="C77">
        <f t="shared" si="28"/>
        <v>0</v>
      </c>
      <c r="D77">
        <f>IF(C77=0,0,1+MAX(D$69:D76))</f>
        <v>0</v>
      </c>
      <c r="E77">
        <f t="shared" si="37"/>
        <v>0</v>
      </c>
      <c r="F77" t="str">
        <f t="shared" si="38"/>
        <v/>
      </c>
      <c r="G77" t="str">
        <f t="shared" si="39"/>
        <v/>
      </c>
      <c r="K77" s="602">
        <v>9</v>
      </c>
      <c r="L77">
        <f t="shared" si="29"/>
        <v>0</v>
      </c>
      <c r="M77">
        <f>IF(L77=0,0,1+MAX(M$69:M76))</f>
        <v>0</v>
      </c>
      <c r="N77">
        <f t="shared" si="40"/>
        <v>0</v>
      </c>
      <c r="O77" t="str">
        <f t="shared" si="41"/>
        <v/>
      </c>
      <c r="P77" t="str">
        <f t="shared" si="42"/>
        <v/>
      </c>
      <c r="T77" s="602">
        <v>9</v>
      </c>
      <c r="U77">
        <f t="shared" si="30"/>
        <v>0</v>
      </c>
      <c r="V77">
        <f>IF(U77=0,0,1+MAX(V$69:V76))</f>
        <v>0</v>
      </c>
      <c r="W77">
        <f t="shared" si="43"/>
        <v>0</v>
      </c>
      <c r="X77" t="str">
        <f t="shared" si="44"/>
        <v/>
      </c>
      <c r="Y77" t="str">
        <f t="shared" si="45"/>
        <v/>
      </c>
      <c r="AC77" s="602">
        <v>9</v>
      </c>
      <c r="AD77">
        <f t="shared" si="31"/>
        <v>0</v>
      </c>
      <c r="AE77">
        <f>IF(AD77=0,0,1+MAX(AE$69:AE76))</f>
        <v>0</v>
      </c>
      <c r="AF77">
        <f t="shared" si="46"/>
        <v>0</v>
      </c>
      <c r="AG77" t="str">
        <f t="shared" si="47"/>
        <v/>
      </c>
      <c r="AH77" t="str">
        <f t="shared" si="48"/>
        <v/>
      </c>
      <c r="AL77" s="602">
        <v>9</v>
      </c>
      <c r="AM77">
        <f t="shared" si="32"/>
        <v>0</v>
      </c>
      <c r="AN77">
        <f>IF(AM77=0,0,1+MAX(AN$69:AN76))</f>
        <v>0</v>
      </c>
      <c r="AO77">
        <f t="shared" si="49"/>
        <v>0</v>
      </c>
      <c r="AP77" t="str">
        <f t="shared" si="50"/>
        <v/>
      </c>
      <c r="AQ77" t="str">
        <f t="shared" si="51"/>
        <v/>
      </c>
      <c r="AU77" s="602">
        <v>9</v>
      </c>
      <c r="AV77">
        <f t="shared" si="33"/>
        <v>0</v>
      </c>
      <c r="AW77">
        <f>IF(AV77=0,0,1+MAX(AW$69:AW76))</f>
        <v>0</v>
      </c>
      <c r="AX77">
        <f t="shared" si="52"/>
        <v>0</v>
      </c>
      <c r="AY77" t="str">
        <f t="shared" si="53"/>
        <v/>
      </c>
      <c r="AZ77" t="str">
        <f t="shared" si="54"/>
        <v/>
      </c>
      <c r="BD77" s="602">
        <v>9</v>
      </c>
      <c r="BE77">
        <f t="shared" si="34"/>
        <v>0</v>
      </c>
      <c r="BF77">
        <f>IF(BE77=0,0,1+MAX(BF$69:BF76))</f>
        <v>0</v>
      </c>
      <c r="BG77">
        <f t="shared" si="55"/>
        <v>0</v>
      </c>
      <c r="BH77" t="str">
        <f t="shared" si="56"/>
        <v/>
      </c>
      <c r="BI77" t="str">
        <f t="shared" si="57"/>
        <v/>
      </c>
      <c r="BM77" s="602">
        <v>9</v>
      </c>
      <c r="BN77">
        <f t="shared" si="35"/>
        <v>0</v>
      </c>
      <c r="BO77">
        <f>IF(BN77=0,0,1+MAX(BO$69:BO76))</f>
        <v>0</v>
      </c>
      <c r="BP77">
        <f t="shared" si="58"/>
        <v>0</v>
      </c>
      <c r="BQ77" t="str">
        <f t="shared" si="59"/>
        <v/>
      </c>
      <c r="BR77" t="str">
        <f t="shared" si="60"/>
        <v/>
      </c>
      <c r="BV77" s="602">
        <v>9</v>
      </c>
      <c r="BW77">
        <f t="shared" si="36"/>
        <v>0</v>
      </c>
      <c r="BX77">
        <f>IF(BW77=0,0,1+MAX(BX$69:BX76))</f>
        <v>0</v>
      </c>
      <c r="BY77">
        <f t="shared" si="61"/>
        <v>0</v>
      </c>
      <c r="BZ77" t="str">
        <f t="shared" si="62"/>
        <v/>
      </c>
      <c r="CA77" t="str">
        <f t="shared" si="63"/>
        <v/>
      </c>
    </row>
    <row r="78" spans="1:89" x14ac:dyDescent="0.25">
      <c r="B78" s="5">
        <v>10</v>
      </c>
      <c r="C78">
        <f t="shared" si="28"/>
        <v>0</v>
      </c>
      <c r="D78">
        <f>IF(C78=0,0,1+MAX(D$69:D77))</f>
        <v>0</v>
      </c>
      <c r="E78">
        <f t="shared" si="37"/>
        <v>0</v>
      </c>
      <c r="F78" t="str">
        <f t="shared" si="38"/>
        <v/>
      </c>
      <c r="G78" t="str">
        <f t="shared" si="39"/>
        <v/>
      </c>
      <c r="K78" s="602">
        <v>10</v>
      </c>
      <c r="L78">
        <f t="shared" si="29"/>
        <v>0</v>
      </c>
      <c r="M78">
        <f>IF(L78=0,0,1+MAX(M$69:M77))</f>
        <v>0</v>
      </c>
      <c r="N78">
        <f t="shared" si="40"/>
        <v>0</v>
      </c>
      <c r="O78" t="str">
        <f t="shared" si="41"/>
        <v/>
      </c>
      <c r="P78" t="str">
        <f t="shared" si="42"/>
        <v/>
      </c>
      <c r="T78" s="602">
        <v>10</v>
      </c>
      <c r="U78">
        <f t="shared" si="30"/>
        <v>0</v>
      </c>
      <c r="V78">
        <f>IF(U78=0,0,1+MAX(V$69:V77))</f>
        <v>0</v>
      </c>
      <c r="W78">
        <f t="shared" si="43"/>
        <v>0</v>
      </c>
      <c r="X78" t="str">
        <f t="shared" si="44"/>
        <v/>
      </c>
      <c r="Y78" t="str">
        <f t="shared" si="45"/>
        <v/>
      </c>
      <c r="AC78" s="602">
        <v>10</v>
      </c>
      <c r="AD78">
        <f t="shared" si="31"/>
        <v>0</v>
      </c>
      <c r="AE78">
        <f>IF(AD78=0,0,1+MAX(AE$69:AE77))</f>
        <v>0</v>
      </c>
      <c r="AF78">
        <f t="shared" si="46"/>
        <v>0</v>
      </c>
      <c r="AG78" t="str">
        <f t="shared" si="47"/>
        <v/>
      </c>
      <c r="AH78" t="str">
        <f t="shared" si="48"/>
        <v/>
      </c>
      <c r="AL78" s="602">
        <v>10</v>
      </c>
      <c r="AM78">
        <f t="shared" si="32"/>
        <v>0</v>
      </c>
      <c r="AN78">
        <f>IF(AM78=0,0,1+MAX(AN$69:AN77))</f>
        <v>0</v>
      </c>
      <c r="AO78">
        <f t="shared" si="49"/>
        <v>0</v>
      </c>
      <c r="AP78" t="str">
        <f t="shared" si="50"/>
        <v/>
      </c>
      <c r="AQ78" t="str">
        <f t="shared" si="51"/>
        <v/>
      </c>
      <c r="AU78" s="602">
        <v>10</v>
      </c>
      <c r="AV78">
        <f t="shared" si="33"/>
        <v>0</v>
      </c>
      <c r="AW78">
        <f>IF(AV78=0,0,1+MAX(AW$69:AW77))</f>
        <v>0</v>
      </c>
      <c r="AX78">
        <f t="shared" si="52"/>
        <v>0</v>
      </c>
      <c r="AY78" t="str">
        <f t="shared" si="53"/>
        <v/>
      </c>
      <c r="AZ78" t="str">
        <f t="shared" si="54"/>
        <v/>
      </c>
      <c r="BD78" s="602">
        <v>10</v>
      </c>
      <c r="BE78">
        <f t="shared" si="34"/>
        <v>0</v>
      </c>
      <c r="BF78">
        <f>IF(BE78=0,0,1+MAX(BF$69:BF77))</f>
        <v>0</v>
      </c>
      <c r="BG78">
        <f t="shared" si="55"/>
        <v>0</v>
      </c>
      <c r="BH78" t="str">
        <f t="shared" si="56"/>
        <v/>
      </c>
      <c r="BI78" t="str">
        <f t="shared" si="57"/>
        <v/>
      </c>
      <c r="BM78" s="602">
        <v>10</v>
      </c>
      <c r="BN78">
        <f t="shared" si="35"/>
        <v>0</v>
      </c>
      <c r="BO78">
        <f>IF(BN78=0,0,1+MAX(BO$69:BO77))</f>
        <v>0</v>
      </c>
      <c r="BP78">
        <f t="shared" si="58"/>
        <v>0</v>
      </c>
      <c r="BQ78" t="str">
        <f t="shared" si="59"/>
        <v/>
      </c>
      <c r="BR78" t="str">
        <f t="shared" si="60"/>
        <v/>
      </c>
      <c r="BV78" s="602">
        <v>10</v>
      </c>
      <c r="BW78">
        <f t="shared" si="36"/>
        <v>0</v>
      </c>
      <c r="BX78">
        <f>IF(BW78=0,0,1+MAX(BX$69:BX77))</f>
        <v>0</v>
      </c>
      <c r="BY78">
        <f t="shared" si="61"/>
        <v>0</v>
      </c>
      <c r="BZ78" t="str">
        <f t="shared" si="62"/>
        <v/>
      </c>
      <c r="CA78" t="str">
        <f t="shared" si="63"/>
        <v/>
      </c>
    </row>
    <row r="79" spans="1:89" x14ac:dyDescent="0.25">
      <c r="B79" s="5">
        <v>11</v>
      </c>
      <c r="C79">
        <f t="shared" si="28"/>
        <v>0</v>
      </c>
      <c r="D79">
        <f>IF(C79=0,0,1+MAX(D$69:D78))</f>
        <v>0</v>
      </c>
      <c r="E79">
        <f t="shared" si="37"/>
        <v>0</v>
      </c>
      <c r="F79" t="str">
        <f t="shared" si="38"/>
        <v/>
      </c>
      <c r="G79" t="str">
        <f t="shared" si="39"/>
        <v/>
      </c>
      <c r="K79" s="602">
        <v>11</v>
      </c>
      <c r="L79">
        <f t="shared" si="29"/>
        <v>0</v>
      </c>
      <c r="M79">
        <f>IF(L79=0,0,1+MAX(M$69:M78))</f>
        <v>0</v>
      </c>
      <c r="N79">
        <f t="shared" si="40"/>
        <v>0</v>
      </c>
      <c r="O79" t="str">
        <f t="shared" si="41"/>
        <v/>
      </c>
      <c r="P79" t="str">
        <f t="shared" si="42"/>
        <v/>
      </c>
      <c r="T79" s="602">
        <v>11</v>
      </c>
      <c r="U79">
        <f t="shared" si="30"/>
        <v>0</v>
      </c>
      <c r="V79">
        <f>IF(U79=0,0,1+MAX(V$69:V78))</f>
        <v>0</v>
      </c>
      <c r="W79">
        <f t="shared" si="43"/>
        <v>0</v>
      </c>
      <c r="X79" t="str">
        <f t="shared" si="44"/>
        <v/>
      </c>
      <c r="Y79" t="str">
        <f t="shared" si="45"/>
        <v/>
      </c>
      <c r="AC79" s="602">
        <v>11</v>
      </c>
      <c r="AD79">
        <f t="shared" si="31"/>
        <v>0</v>
      </c>
      <c r="AE79">
        <f>IF(AD79=0,0,1+MAX(AE$69:AE78))</f>
        <v>0</v>
      </c>
      <c r="AF79">
        <f t="shared" si="46"/>
        <v>0</v>
      </c>
      <c r="AG79" t="str">
        <f t="shared" si="47"/>
        <v/>
      </c>
      <c r="AH79" t="str">
        <f t="shared" si="48"/>
        <v/>
      </c>
      <c r="AL79" s="602">
        <v>11</v>
      </c>
      <c r="AM79">
        <f t="shared" si="32"/>
        <v>0</v>
      </c>
      <c r="AN79">
        <f>IF(AM79=0,0,1+MAX(AN$69:AN78))</f>
        <v>0</v>
      </c>
      <c r="AO79">
        <f t="shared" si="49"/>
        <v>0</v>
      </c>
      <c r="AP79" t="str">
        <f t="shared" si="50"/>
        <v/>
      </c>
      <c r="AQ79" t="str">
        <f t="shared" si="51"/>
        <v/>
      </c>
      <c r="AU79" s="602">
        <v>11</v>
      </c>
      <c r="AV79">
        <f t="shared" si="33"/>
        <v>0</v>
      </c>
      <c r="AW79">
        <f>IF(AV79=0,0,1+MAX(AW$69:AW78))</f>
        <v>0</v>
      </c>
      <c r="AX79">
        <f t="shared" si="52"/>
        <v>0</v>
      </c>
      <c r="AY79" t="str">
        <f t="shared" si="53"/>
        <v/>
      </c>
      <c r="AZ79" t="str">
        <f t="shared" si="54"/>
        <v/>
      </c>
      <c r="BD79" s="602">
        <v>11</v>
      </c>
      <c r="BE79">
        <f t="shared" si="34"/>
        <v>0</v>
      </c>
      <c r="BF79">
        <f>IF(BE79=0,0,1+MAX(BF$69:BF78))</f>
        <v>0</v>
      </c>
      <c r="BG79">
        <f t="shared" si="55"/>
        <v>0</v>
      </c>
      <c r="BH79" t="str">
        <f t="shared" si="56"/>
        <v/>
      </c>
      <c r="BI79" t="str">
        <f t="shared" si="57"/>
        <v/>
      </c>
      <c r="BM79" s="602">
        <v>11</v>
      </c>
      <c r="BN79">
        <f t="shared" si="35"/>
        <v>0</v>
      </c>
      <c r="BO79">
        <f>IF(BN79=0,0,1+MAX(BO$69:BO78))</f>
        <v>0</v>
      </c>
      <c r="BP79">
        <f t="shared" si="58"/>
        <v>0</v>
      </c>
      <c r="BQ79" t="str">
        <f t="shared" si="59"/>
        <v/>
      </c>
      <c r="BR79" t="str">
        <f t="shared" si="60"/>
        <v/>
      </c>
      <c r="BV79" s="602">
        <v>11</v>
      </c>
      <c r="BW79">
        <f t="shared" si="36"/>
        <v>0</v>
      </c>
      <c r="BX79">
        <f>IF(BW79=0,0,1+MAX(BX$69:BX78))</f>
        <v>0</v>
      </c>
      <c r="BY79">
        <f t="shared" si="61"/>
        <v>0</v>
      </c>
      <c r="BZ79" t="str">
        <f t="shared" si="62"/>
        <v/>
      </c>
      <c r="CA79" t="str">
        <f t="shared" si="63"/>
        <v/>
      </c>
    </row>
    <row r="80" spans="1:89" x14ac:dyDescent="0.25">
      <c r="B80" s="5">
        <v>12</v>
      </c>
      <c r="C80">
        <f t="shared" si="28"/>
        <v>0</v>
      </c>
      <c r="D80">
        <f>IF(C80=0,0,1+MAX(D$69:D79))</f>
        <v>0</v>
      </c>
      <c r="E80">
        <f t="shared" si="37"/>
        <v>0</v>
      </c>
      <c r="F80" t="str">
        <f t="shared" si="38"/>
        <v/>
      </c>
      <c r="G80" t="str">
        <f t="shared" si="39"/>
        <v/>
      </c>
      <c r="K80" s="602">
        <v>12</v>
      </c>
      <c r="L80">
        <f t="shared" si="29"/>
        <v>0</v>
      </c>
      <c r="M80">
        <f>IF(L80=0,0,1+MAX(M$69:M79))</f>
        <v>0</v>
      </c>
      <c r="N80">
        <f t="shared" si="40"/>
        <v>0</v>
      </c>
      <c r="O80" t="str">
        <f t="shared" si="41"/>
        <v/>
      </c>
      <c r="P80" t="str">
        <f t="shared" si="42"/>
        <v/>
      </c>
      <c r="T80" s="602">
        <v>12</v>
      </c>
      <c r="U80">
        <f t="shared" si="30"/>
        <v>0</v>
      </c>
      <c r="V80">
        <f>IF(U80=0,0,1+MAX(V$69:V79))</f>
        <v>0</v>
      </c>
      <c r="W80">
        <f t="shared" si="43"/>
        <v>0</v>
      </c>
      <c r="X80" t="str">
        <f t="shared" si="44"/>
        <v/>
      </c>
      <c r="Y80" t="str">
        <f t="shared" si="45"/>
        <v/>
      </c>
      <c r="AC80" s="602">
        <v>12</v>
      </c>
      <c r="AD80">
        <f t="shared" si="31"/>
        <v>0</v>
      </c>
      <c r="AE80">
        <f>IF(AD80=0,0,1+MAX(AE$69:AE79))</f>
        <v>0</v>
      </c>
      <c r="AF80">
        <f t="shared" si="46"/>
        <v>0</v>
      </c>
      <c r="AG80" t="str">
        <f t="shared" si="47"/>
        <v/>
      </c>
      <c r="AH80" t="str">
        <f t="shared" si="48"/>
        <v/>
      </c>
      <c r="AL80" s="602">
        <v>12</v>
      </c>
      <c r="AM80">
        <f t="shared" si="32"/>
        <v>0</v>
      </c>
      <c r="AN80">
        <f>IF(AM80=0,0,1+MAX(AN$69:AN79))</f>
        <v>0</v>
      </c>
      <c r="AO80">
        <f t="shared" si="49"/>
        <v>0</v>
      </c>
      <c r="AP80" t="str">
        <f t="shared" si="50"/>
        <v/>
      </c>
      <c r="AQ80" t="str">
        <f t="shared" si="51"/>
        <v/>
      </c>
      <c r="AU80" s="602">
        <v>12</v>
      </c>
      <c r="AV80">
        <f t="shared" si="33"/>
        <v>0</v>
      </c>
      <c r="AW80">
        <f>IF(AV80=0,0,1+MAX(AW$69:AW79))</f>
        <v>0</v>
      </c>
      <c r="AX80">
        <f t="shared" si="52"/>
        <v>0</v>
      </c>
      <c r="AY80" t="str">
        <f t="shared" si="53"/>
        <v/>
      </c>
      <c r="AZ80" t="str">
        <f t="shared" si="54"/>
        <v/>
      </c>
      <c r="BD80" s="602">
        <v>12</v>
      </c>
      <c r="BE80">
        <f t="shared" si="34"/>
        <v>0</v>
      </c>
      <c r="BF80">
        <f>IF(BE80=0,0,1+MAX(BF$69:BF79))</f>
        <v>0</v>
      </c>
      <c r="BG80">
        <f t="shared" si="55"/>
        <v>0</v>
      </c>
      <c r="BH80" t="str">
        <f t="shared" si="56"/>
        <v/>
      </c>
      <c r="BI80" t="str">
        <f t="shared" si="57"/>
        <v/>
      </c>
      <c r="BM80" s="602">
        <v>12</v>
      </c>
      <c r="BN80">
        <f t="shared" si="35"/>
        <v>0</v>
      </c>
      <c r="BO80">
        <f>IF(BN80=0,0,1+MAX(BO$69:BO79))</f>
        <v>0</v>
      </c>
      <c r="BP80">
        <f t="shared" si="58"/>
        <v>0</v>
      </c>
      <c r="BQ80" t="str">
        <f t="shared" si="59"/>
        <v/>
      </c>
      <c r="BR80" t="str">
        <f t="shared" si="60"/>
        <v/>
      </c>
      <c r="BV80" s="602">
        <v>12</v>
      </c>
      <c r="BW80">
        <f t="shared" si="36"/>
        <v>0</v>
      </c>
      <c r="BX80">
        <f>IF(BW80=0,0,1+MAX(BX$69:BX79))</f>
        <v>0</v>
      </c>
      <c r="BY80">
        <f t="shared" si="61"/>
        <v>0</v>
      </c>
      <c r="BZ80" t="str">
        <f t="shared" si="62"/>
        <v/>
      </c>
      <c r="CA80" t="str">
        <f t="shared" si="63"/>
        <v/>
      </c>
    </row>
    <row r="81" spans="2:79" x14ac:dyDescent="0.25">
      <c r="B81" s="5">
        <v>13</v>
      </c>
      <c r="C81">
        <f t="shared" si="28"/>
        <v>0</v>
      </c>
      <c r="D81">
        <f>IF(C81=0,0,1+MAX(D$69:D80))</f>
        <v>0</v>
      </c>
      <c r="E81">
        <f t="shared" si="37"/>
        <v>0</v>
      </c>
      <c r="F81" t="str">
        <f t="shared" si="38"/>
        <v/>
      </c>
      <c r="G81" t="str">
        <f t="shared" si="39"/>
        <v/>
      </c>
      <c r="K81" s="602">
        <v>13</v>
      </c>
      <c r="L81">
        <f t="shared" si="29"/>
        <v>0</v>
      </c>
      <c r="M81">
        <f>IF(L81=0,0,1+MAX(M$69:M80))</f>
        <v>0</v>
      </c>
      <c r="N81">
        <f t="shared" si="40"/>
        <v>0</v>
      </c>
      <c r="O81" t="str">
        <f t="shared" si="41"/>
        <v/>
      </c>
      <c r="P81" t="str">
        <f t="shared" si="42"/>
        <v/>
      </c>
      <c r="T81" s="602">
        <v>13</v>
      </c>
      <c r="U81">
        <f t="shared" si="30"/>
        <v>0</v>
      </c>
      <c r="V81">
        <f>IF(U81=0,0,1+MAX(V$69:V80))</f>
        <v>0</v>
      </c>
      <c r="W81">
        <f t="shared" si="43"/>
        <v>0</v>
      </c>
      <c r="X81" t="str">
        <f t="shared" si="44"/>
        <v/>
      </c>
      <c r="Y81" t="str">
        <f t="shared" si="45"/>
        <v/>
      </c>
      <c r="AC81" s="602">
        <v>13</v>
      </c>
      <c r="AD81">
        <f t="shared" si="31"/>
        <v>0</v>
      </c>
      <c r="AE81">
        <f>IF(AD81=0,0,1+MAX(AE$69:AE80))</f>
        <v>0</v>
      </c>
      <c r="AF81">
        <f t="shared" si="46"/>
        <v>0</v>
      </c>
      <c r="AG81" t="str">
        <f t="shared" si="47"/>
        <v/>
      </c>
      <c r="AH81" t="str">
        <f t="shared" si="48"/>
        <v/>
      </c>
      <c r="AL81" s="602">
        <v>13</v>
      </c>
      <c r="AM81">
        <f t="shared" si="32"/>
        <v>0</v>
      </c>
      <c r="AN81">
        <f>IF(AM81=0,0,1+MAX(AN$69:AN80))</f>
        <v>0</v>
      </c>
      <c r="AO81">
        <f t="shared" si="49"/>
        <v>0</v>
      </c>
      <c r="AP81" t="str">
        <f t="shared" si="50"/>
        <v/>
      </c>
      <c r="AQ81" t="str">
        <f t="shared" si="51"/>
        <v/>
      </c>
      <c r="AU81" s="602">
        <v>13</v>
      </c>
      <c r="AV81">
        <f t="shared" si="33"/>
        <v>0</v>
      </c>
      <c r="AW81">
        <f>IF(AV81=0,0,1+MAX(AW$69:AW80))</f>
        <v>0</v>
      </c>
      <c r="AX81">
        <f t="shared" si="52"/>
        <v>0</v>
      </c>
      <c r="AY81" t="str">
        <f t="shared" si="53"/>
        <v/>
      </c>
      <c r="AZ81" t="str">
        <f t="shared" si="54"/>
        <v/>
      </c>
      <c r="BD81" s="602">
        <v>13</v>
      </c>
      <c r="BE81">
        <f t="shared" si="34"/>
        <v>0</v>
      </c>
      <c r="BF81">
        <f>IF(BE81=0,0,1+MAX(BF$69:BF80))</f>
        <v>0</v>
      </c>
      <c r="BG81">
        <f t="shared" si="55"/>
        <v>0</v>
      </c>
      <c r="BH81" t="str">
        <f t="shared" si="56"/>
        <v/>
      </c>
      <c r="BI81" t="str">
        <f t="shared" si="57"/>
        <v/>
      </c>
      <c r="BM81" s="602">
        <v>13</v>
      </c>
      <c r="BN81">
        <f t="shared" si="35"/>
        <v>0</v>
      </c>
      <c r="BO81">
        <f>IF(BN81=0,0,1+MAX(BO$69:BO80))</f>
        <v>0</v>
      </c>
      <c r="BP81">
        <f t="shared" si="58"/>
        <v>0</v>
      </c>
      <c r="BQ81" t="str">
        <f t="shared" si="59"/>
        <v/>
      </c>
      <c r="BR81" t="str">
        <f t="shared" si="60"/>
        <v/>
      </c>
      <c r="BV81" s="602">
        <v>13</v>
      </c>
      <c r="BW81">
        <f t="shared" si="36"/>
        <v>0</v>
      </c>
      <c r="BX81">
        <f>IF(BW81=0,0,1+MAX(BX$69:BX80))</f>
        <v>0</v>
      </c>
      <c r="BY81">
        <f t="shared" si="61"/>
        <v>0</v>
      </c>
      <c r="BZ81" t="str">
        <f t="shared" si="62"/>
        <v/>
      </c>
      <c r="CA81" t="str">
        <f t="shared" si="63"/>
        <v/>
      </c>
    </row>
    <row r="82" spans="2:79" x14ac:dyDescent="0.25">
      <c r="B82" s="5">
        <v>14</v>
      </c>
      <c r="C82">
        <f t="shared" si="28"/>
        <v>0</v>
      </c>
      <c r="D82">
        <f>IF(C82=0,0,1+MAX(D$69:D81))</f>
        <v>0</v>
      </c>
      <c r="E82">
        <f t="shared" si="37"/>
        <v>0</v>
      </c>
      <c r="F82" t="str">
        <f t="shared" si="38"/>
        <v/>
      </c>
      <c r="G82" t="str">
        <f t="shared" si="39"/>
        <v/>
      </c>
      <c r="K82" s="602">
        <v>14</v>
      </c>
      <c r="L82">
        <f t="shared" si="29"/>
        <v>0</v>
      </c>
      <c r="M82">
        <f>IF(L82=0,0,1+MAX(M$69:M81))</f>
        <v>0</v>
      </c>
      <c r="N82">
        <f t="shared" si="40"/>
        <v>0</v>
      </c>
      <c r="O82" t="str">
        <f t="shared" si="41"/>
        <v/>
      </c>
      <c r="P82" t="str">
        <f t="shared" si="42"/>
        <v/>
      </c>
      <c r="T82" s="602">
        <v>14</v>
      </c>
      <c r="U82">
        <f t="shared" si="30"/>
        <v>0</v>
      </c>
      <c r="V82">
        <f>IF(U82=0,0,1+MAX(V$69:V81))</f>
        <v>0</v>
      </c>
      <c r="W82">
        <f t="shared" si="43"/>
        <v>0</v>
      </c>
      <c r="X82" t="str">
        <f t="shared" si="44"/>
        <v/>
      </c>
      <c r="Y82" t="str">
        <f t="shared" si="45"/>
        <v/>
      </c>
      <c r="AC82" s="602">
        <v>14</v>
      </c>
      <c r="AD82">
        <f t="shared" si="31"/>
        <v>0</v>
      </c>
      <c r="AE82">
        <f>IF(AD82=0,0,1+MAX(AE$69:AE81))</f>
        <v>0</v>
      </c>
      <c r="AF82">
        <f t="shared" si="46"/>
        <v>0</v>
      </c>
      <c r="AG82" t="str">
        <f t="shared" si="47"/>
        <v/>
      </c>
      <c r="AH82" t="str">
        <f t="shared" si="48"/>
        <v/>
      </c>
      <c r="AL82" s="602">
        <v>14</v>
      </c>
      <c r="AM82">
        <f t="shared" si="32"/>
        <v>0</v>
      </c>
      <c r="AN82">
        <f>IF(AM82=0,0,1+MAX(AN$69:AN81))</f>
        <v>0</v>
      </c>
      <c r="AO82">
        <f t="shared" si="49"/>
        <v>0</v>
      </c>
      <c r="AP82" t="str">
        <f t="shared" si="50"/>
        <v/>
      </c>
      <c r="AQ82" t="str">
        <f t="shared" si="51"/>
        <v/>
      </c>
      <c r="AU82" s="602">
        <v>14</v>
      </c>
      <c r="AV82">
        <f t="shared" si="33"/>
        <v>0</v>
      </c>
      <c r="AW82">
        <f>IF(AV82=0,0,1+MAX(AW$69:AW81))</f>
        <v>0</v>
      </c>
      <c r="AX82">
        <f t="shared" si="52"/>
        <v>0</v>
      </c>
      <c r="AY82" t="str">
        <f t="shared" si="53"/>
        <v/>
      </c>
      <c r="AZ82" t="str">
        <f t="shared" si="54"/>
        <v/>
      </c>
      <c r="BD82" s="602">
        <v>14</v>
      </c>
      <c r="BE82">
        <f t="shared" si="34"/>
        <v>0</v>
      </c>
      <c r="BF82">
        <f>IF(BE82=0,0,1+MAX(BF$69:BF81))</f>
        <v>0</v>
      </c>
      <c r="BG82">
        <f t="shared" si="55"/>
        <v>0</v>
      </c>
      <c r="BH82" t="str">
        <f t="shared" si="56"/>
        <v/>
      </c>
      <c r="BI82" t="str">
        <f t="shared" si="57"/>
        <v/>
      </c>
      <c r="BM82" s="602">
        <v>14</v>
      </c>
      <c r="BN82">
        <f t="shared" si="35"/>
        <v>0</v>
      </c>
      <c r="BO82">
        <f>IF(BN82=0,0,1+MAX(BO$69:BO81))</f>
        <v>0</v>
      </c>
      <c r="BP82">
        <f t="shared" si="58"/>
        <v>0</v>
      </c>
      <c r="BQ82" t="str">
        <f t="shared" si="59"/>
        <v/>
      </c>
      <c r="BR82" t="str">
        <f t="shared" si="60"/>
        <v/>
      </c>
      <c r="BV82" s="602">
        <v>14</v>
      </c>
      <c r="BW82">
        <f t="shared" si="36"/>
        <v>0</v>
      </c>
      <c r="BX82">
        <f>IF(BW82=0,0,1+MAX(BX$69:BX81))</f>
        <v>0</v>
      </c>
      <c r="BY82">
        <f t="shared" si="61"/>
        <v>0</v>
      </c>
      <c r="BZ82" t="str">
        <f t="shared" si="62"/>
        <v/>
      </c>
      <c r="CA82" t="str">
        <f t="shared" si="63"/>
        <v/>
      </c>
    </row>
    <row r="83" spans="2:79" x14ac:dyDescent="0.25">
      <c r="B83" s="5">
        <v>15</v>
      </c>
      <c r="C83">
        <f t="shared" si="28"/>
        <v>0</v>
      </c>
      <c r="D83">
        <f>IF(C83=0,0,1+MAX(D$69:D82))</f>
        <v>0</v>
      </c>
      <c r="E83">
        <f t="shared" si="37"/>
        <v>0</v>
      </c>
      <c r="F83" t="str">
        <f t="shared" si="38"/>
        <v/>
      </c>
      <c r="G83" t="str">
        <f t="shared" si="39"/>
        <v/>
      </c>
      <c r="K83" s="602">
        <v>15</v>
      </c>
      <c r="L83">
        <f t="shared" si="29"/>
        <v>0</v>
      </c>
      <c r="M83">
        <f>IF(L83=0,0,1+MAX(M$69:M82))</f>
        <v>0</v>
      </c>
      <c r="N83">
        <f t="shared" si="40"/>
        <v>0</v>
      </c>
      <c r="O83" t="str">
        <f t="shared" si="41"/>
        <v/>
      </c>
      <c r="P83" t="str">
        <f t="shared" si="42"/>
        <v/>
      </c>
      <c r="T83" s="602">
        <v>15</v>
      </c>
      <c r="U83">
        <f t="shared" si="30"/>
        <v>0</v>
      </c>
      <c r="V83">
        <f>IF(U83=0,0,1+MAX(V$69:V82))</f>
        <v>0</v>
      </c>
      <c r="W83">
        <f t="shared" si="43"/>
        <v>0</v>
      </c>
      <c r="X83" t="str">
        <f t="shared" si="44"/>
        <v/>
      </c>
      <c r="Y83" t="str">
        <f t="shared" si="45"/>
        <v/>
      </c>
      <c r="AC83" s="602">
        <v>15</v>
      </c>
      <c r="AD83">
        <f t="shared" si="31"/>
        <v>0</v>
      </c>
      <c r="AE83">
        <f>IF(AD83=0,0,1+MAX(AE$69:AE82))</f>
        <v>0</v>
      </c>
      <c r="AF83">
        <f t="shared" si="46"/>
        <v>0</v>
      </c>
      <c r="AG83" t="str">
        <f t="shared" si="47"/>
        <v/>
      </c>
      <c r="AH83" t="str">
        <f t="shared" si="48"/>
        <v/>
      </c>
      <c r="AL83" s="602">
        <v>15</v>
      </c>
      <c r="AM83">
        <f t="shared" si="32"/>
        <v>0</v>
      </c>
      <c r="AN83">
        <f>IF(AM83=0,0,1+MAX(AN$69:AN82))</f>
        <v>0</v>
      </c>
      <c r="AO83">
        <f t="shared" si="49"/>
        <v>0</v>
      </c>
      <c r="AP83" t="str">
        <f t="shared" si="50"/>
        <v/>
      </c>
      <c r="AQ83" t="str">
        <f t="shared" si="51"/>
        <v/>
      </c>
      <c r="AU83" s="602">
        <v>15</v>
      </c>
      <c r="AV83">
        <f t="shared" si="33"/>
        <v>0</v>
      </c>
      <c r="AW83">
        <f>IF(AV83=0,0,1+MAX(AW$69:AW82))</f>
        <v>0</v>
      </c>
      <c r="AX83">
        <f t="shared" si="52"/>
        <v>0</v>
      </c>
      <c r="AY83" t="str">
        <f t="shared" si="53"/>
        <v/>
      </c>
      <c r="AZ83" t="str">
        <f t="shared" si="54"/>
        <v/>
      </c>
      <c r="BD83" s="602">
        <v>15</v>
      </c>
      <c r="BE83">
        <f t="shared" si="34"/>
        <v>0</v>
      </c>
      <c r="BF83">
        <f>IF(BE83=0,0,1+MAX(BF$69:BF82))</f>
        <v>0</v>
      </c>
      <c r="BG83">
        <f t="shared" si="55"/>
        <v>0</v>
      </c>
      <c r="BH83" t="str">
        <f t="shared" si="56"/>
        <v/>
      </c>
      <c r="BI83" t="str">
        <f t="shared" si="57"/>
        <v/>
      </c>
      <c r="BM83" s="602">
        <v>15</v>
      </c>
      <c r="BN83">
        <f t="shared" si="35"/>
        <v>0</v>
      </c>
      <c r="BO83">
        <f>IF(BN83=0,0,1+MAX(BO$69:BO82))</f>
        <v>0</v>
      </c>
      <c r="BP83">
        <f t="shared" si="58"/>
        <v>0</v>
      </c>
      <c r="BQ83" t="str">
        <f t="shared" si="59"/>
        <v/>
      </c>
      <c r="BR83" t="str">
        <f t="shared" si="60"/>
        <v/>
      </c>
      <c r="BV83" s="602">
        <v>15</v>
      </c>
      <c r="BW83">
        <f t="shared" si="36"/>
        <v>0</v>
      </c>
      <c r="BX83">
        <f>IF(BW83=0,0,1+MAX(BX$69:BX82))</f>
        <v>0</v>
      </c>
      <c r="BY83">
        <f t="shared" si="61"/>
        <v>0</v>
      </c>
      <c r="BZ83" t="str">
        <f t="shared" si="62"/>
        <v/>
      </c>
      <c r="CA83" t="str">
        <f t="shared" si="63"/>
        <v/>
      </c>
    </row>
    <row r="84" spans="2:79" x14ac:dyDescent="0.25">
      <c r="B84" s="5">
        <v>16</v>
      </c>
      <c r="C84">
        <f t="shared" si="28"/>
        <v>0</v>
      </c>
      <c r="D84">
        <f>IF(C84=0,0,1+MAX(D$69:D83))</f>
        <v>0</v>
      </c>
      <c r="E84">
        <f t="shared" si="37"/>
        <v>0</v>
      </c>
      <c r="F84" t="str">
        <f t="shared" si="38"/>
        <v/>
      </c>
      <c r="G84" t="str">
        <f t="shared" si="39"/>
        <v/>
      </c>
      <c r="K84" s="602">
        <v>16</v>
      </c>
      <c r="L84">
        <f t="shared" si="29"/>
        <v>0</v>
      </c>
      <c r="M84">
        <f>IF(L84=0,0,1+MAX(M$69:M83))</f>
        <v>0</v>
      </c>
      <c r="N84">
        <f t="shared" si="40"/>
        <v>0</v>
      </c>
      <c r="O84" t="str">
        <f t="shared" si="41"/>
        <v/>
      </c>
      <c r="P84" t="str">
        <f t="shared" si="42"/>
        <v/>
      </c>
      <c r="T84" s="602">
        <v>16</v>
      </c>
      <c r="U84">
        <f t="shared" si="30"/>
        <v>0</v>
      </c>
      <c r="V84">
        <f>IF(U84=0,0,1+MAX(V$69:V83))</f>
        <v>0</v>
      </c>
      <c r="W84">
        <f t="shared" si="43"/>
        <v>0</v>
      </c>
      <c r="X84" t="str">
        <f t="shared" si="44"/>
        <v/>
      </c>
      <c r="Y84" t="str">
        <f t="shared" si="45"/>
        <v/>
      </c>
      <c r="AC84" s="602">
        <v>16</v>
      </c>
      <c r="AD84">
        <f t="shared" si="31"/>
        <v>0</v>
      </c>
      <c r="AE84">
        <f>IF(AD84=0,0,1+MAX(AE$69:AE83))</f>
        <v>0</v>
      </c>
      <c r="AF84">
        <f t="shared" si="46"/>
        <v>0</v>
      </c>
      <c r="AG84" t="str">
        <f t="shared" si="47"/>
        <v/>
      </c>
      <c r="AH84" t="str">
        <f t="shared" si="48"/>
        <v/>
      </c>
      <c r="AL84" s="602">
        <v>16</v>
      </c>
      <c r="AM84">
        <f t="shared" si="32"/>
        <v>0</v>
      </c>
      <c r="AN84">
        <f>IF(AM84=0,0,1+MAX(AN$69:AN83))</f>
        <v>0</v>
      </c>
      <c r="AO84">
        <f t="shared" si="49"/>
        <v>0</v>
      </c>
      <c r="AP84" t="str">
        <f t="shared" si="50"/>
        <v/>
      </c>
      <c r="AQ84" t="str">
        <f t="shared" si="51"/>
        <v/>
      </c>
      <c r="AU84" s="602">
        <v>16</v>
      </c>
      <c r="AV84">
        <f t="shared" si="33"/>
        <v>0</v>
      </c>
      <c r="AW84">
        <f>IF(AV84=0,0,1+MAX(AW$69:AW83))</f>
        <v>0</v>
      </c>
      <c r="AX84">
        <f t="shared" si="52"/>
        <v>0</v>
      </c>
      <c r="AY84" t="str">
        <f t="shared" si="53"/>
        <v/>
      </c>
      <c r="AZ84" t="str">
        <f t="shared" si="54"/>
        <v/>
      </c>
      <c r="BD84" s="602">
        <v>16</v>
      </c>
      <c r="BE84">
        <f t="shared" si="34"/>
        <v>0</v>
      </c>
      <c r="BF84">
        <f>IF(BE84=0,0,1+MAX(BF$69:BF83))</f>
        <v>0</v>
      </c>
      <c r="BG84">
        <f t="shared" si="55"/>
        <v>0</v>
      </c>
      <c r="BH84" t="str">
        <f t="shared" si="56"/>
        <v/>
      </c>
      <c r="BI84" t="str">
        <f t="shared" si="57"/>
        <v/>
      </c>
      <c r="BM84" s="602">
        <v>16</v>
      </c>
      <c r="BN84">
        <f t="shared" si="35"/>
        <v>0</v>
      </c>
      <c r="BO84">
        <f>IF(BN84=0,0,1+MAX(BO$69:BO83))</f>
        <v>0</v>
      </c>
      <c r="BP84">
        <f t="shared" si="58"/>
        <v>0</v>
      </c>
      <c r="BQ84" t="str">
        <f t="shared" si="59"/>
        <v/>
      </c>
      <c r="BR84" t="str">
        <f t="shared" si="60"/>
        <v/>
      </c>
      <c r="BV84" s="602">
        <v>16</v>
      </c>
      <c r="BW84">
        <f t="shared" si="36"/>
        <v>0</v>
      </c>
      <c r="BX84">
        <f>IF(BW84=0,0,1+MAX(BX$69:BX83))</f>
        <v>0</v>
      </c>
      <c r="BY84">
        <f t="shared" si="61"/>
        <v>0</v>
      </c>
      <c r="BZ84" t="str">
        <f t="shared" si="62"/>
        <v/>
      </c>
      <c r="CA84" t="str">
        <f t="shared" si="63"/>
        <v/>
      </c>
    </row>
    <row r="85" spans="2:79" x14ac:dyDescent="0.25">
      <c r="B85" s="5">
        <v>17</v>
      </c>
      <c r="C85">
        <f t="shared" si="28"/>
        <v>0</v>
      </c>
      <c r="D85">
        <f>IF(C85=0,0,1+MAX(D$69:D84))</f>
        <v>0</v>
      </c>
      <c r="E85">
        <f t="shared" si="37"/>
        <v>0</v>
      </c>
      <c r="F85" t="str">
        <f t="shared" si="38"/>
        <v/>
      </c>
      <c r="G85" t="str">
        <f t="shared" si="39"/>
        <v/>
      </c>
      <c r="K85" s="602">
        <v>17</v>
      </c>
      <c r="L85">
        <f t="shared" si="29"/>
        <v>0</v>
      </c>
      <c r="M85">
        <f>IF(L85=0,0,1+MAX(M$69:M84))</f>
        <v>0</v>
      </c>
      <c r="N85">
        <f t="shared" si="40"/>
        <v>0</v>
      </c>
      <c r="O85" t="str">
        <f t="shared" si="41"/>
        <v/>
      </c>
      <c r="P85" t="str">
        <f t="shared" si="42"/>
        <v/>
      </c>
      <c r="T85" s="602">
        <v>17</v>
      </c>
      <c r="U85">
        <f t="shared" si="30"/>
        <v>0</v>
      </c>
      <c r="V85">
        <f>IF(U85=0,0,1+MAX(V$69:V84))</f>
        <v>0</v>
      </c>
      <c r="W85">
        <f t="shared" si="43"/>
        <v>0</v>
      </c>
      <c r="X85" t="str">
        <f t="shared" si="44"/>
        <v/>
      </c>
      <c r="Y85" t="str">
        <f t="shared" si="45"/>
        <v/>
      </c>
      <c r="AC85" s="602">
        <v>17</v>
      </c>
      <c r="AD85">
        <f t="shared" si="31"/>
        <v>0</v>
      </c>
      <c r="AE85">
        <f>IF(AD85=0,0,1+MAX(AE$69:AE84))</f>
        <v>0</v>
      </c>
      <c r="AF85">
        <f t="shared" si="46"/>
        <v>0</v>
      </c>
      <c r="AG85" t="str">
        <f t="shared" si="47"/>
        <v/>
      </c>
      <c r="AH85" t="str">
        <f t="shared" si="48"/>
        <v/>
      </c>
      <c r="AL85" s="602">
        <v>17</v>
      </c>
      <c r="AM85">
        <f t="shared" si="32"/>
        <v>0</v>
      </c>
      <c r="AN85">
        <f>IF(AM85=0,0,1+MAX(AN$69:AN84))</f>
        <v>0</v>
      </c>
      <c r="AO85">
        <f t="shared" si="49"/>
        <v>0</v>
      </c>
      <c r="AP85" t="str">
        <f t="shared" si="50"/>
        <v/>
      </c>
      <c r="AQ85" t="str">
        <f t="shared" si="51"/>
        <v/>
      </c>
      <c r="AU85" s="602">
        <v>17</v>
      </c>
      <c r="AV85">
        <f t="shared" si="33"/>
        <v>0</v>
      </c>
      <c r="AW85">
        <f>IF(AV85=0,0,1+MAX(AW$69:AW84))</f>
        <v>0</v>
      </c>
      <c r="AX85">
        <f t="shared" si="52"/>
        <v>0</v>
      </c>
      <c r="AY85" t="str">
        <f t="shared" si="53"/>
        <v/>
      </c>
      <c r="AZ85" t="str">
        <f t="shared" si="54"/>
        <v/>
      </c>
      <c r="BD85" s="602">
        <v>17</v>
      </c>
      <c r="BE85">
        <f t="shared" si="34"/>
        <v>0</v>
      </c>
      <c r="BF85">
        <f>IF(BE85=0,0,1+MAX(BF$69:BF84))</f>
        <v>0</v>
      </c>
      <c r="BG85">
        <f t="shared" si="55"/>
        <v>0</v>
      </c>
      <c r="BH85" t="str">
        <f t="shared" si="56"/>
        <v/>
      </c>
      <c r="BI85" t="str">
        <f t="shared" si="57"/>
        <v/>
      </c>
      <c r="BM85" s="602">
        <v>17</v>
      </c>
      <c r="BN85">
        <f t="shared" si="35"/>
        <v>0</v>
      </c>
      <c r="BO85">
        <f>IF(BN85=0,0,1+MAX(BO$69:BO84))</f>
        <v>0</v>
      </c>
      <c r="BP85">
        <f t="shared" si="58"/>
        <v>0</v>
      </c>
      <c r="BQ85" t="str">
        <f t="shared" si="59"/>
        <v/>
      </c>
      <c r="BR85" t="str">
        <f t="shared" si="60"/>
        <v/>
      </c>
      <c r="BV85" s="602">
        <v>17</v>
      </c>
      <c r="BW85">
        <f t="shared" si="36"/>
        <v>0</v>
      </c>
      <c r="BX85">
        <f>IF(BW85=0,0,1+MAX(BX$69:BX84))</f>
        <v>0</v>
      </c>
      <c r="BY85">
        <f t="shared" si="61"/>
        <v>0</v>
      </c>
      <c r="BZ85" t="str">
        <f t="shared" si="62"/>
        <v/>
      </c>
      <c r="CA85" t="str">
        <f t="shared" si="63"/>
        <v/>
      </c>
    </row>
    <row r="86" spans="2:79" x14ac:dyDescent="0.25">
      <c r="B86" s="5">
        <v>18</v>
      </c>
      <c r="C86">
        <f t="shared" si="28"/>
        <v>0</v>
      </c>
      <c r="D86">
        <f>IF(C86=0,0,1+MAX(D$69:D85))</f>
        <v>0</v>
      </c>
      <c r="E86">
        <f t="shared" si="37"/>
        <v>0</v>
      </c>
      <c r="F86" t="str">
        <f t="shared" si="38"/>
        <v/>
      </c>
      <c r="G86" t="str">
        <f t="shared" si="39"/>
        <v/>
      </c>
      <c r="K86" s="602">
        <v>18</v>
      </c>
      <c r="L86">
        <f t="shared" si="29"/>
        <v>0</v>
      </c>
      <c r="M86">
        <f>IF(L86=0,0,1+MAX(M$69:M85))</f>
        <v>0</v>
      </c>
      <c r="N86">
        <f t="shared" si="40"/>
        <v>0</v>
      </c>
      <c r="O86" t="str">
        <f t="shared" si="41"/>
        <v/>
      </c>
      <c r="P86" t="str">
        <f t="shared" si="42"/>
        <v/>
      </c>
      <c r="T86" s="602">
        <v>18</v>
      </c>
      <c r="U86">
        <f t="shared" si="30"/>
        <v>0</v>
      </c>
      <c r="V86">
        <f>IF(U86=0,0,1+MAX(V$69:V85))</f>
        <v>0</v>
      </c>
      <c r="W86">
        <f t="shared" si="43"/>
        <v>0</v>
      </c>
      <c r="X86" t="str">
        <f t="shared" si="44"/>
        <v/>
      </c>
      <c r="Y86" t="str">
        <f t="shared" si="45"/>
        <v/>
      </c>
      <c r="AC86" s="602">
        <v>18</v>
      </c>
      <c r="AD86">
        <f t="shared" si="31"/>
        <v>0</v>
      </c>
      <c r="AE86">
        <f>IF(AD86=0,0,1+MAX(AE$69:AE85))</f>
        <v>0</v>
      </c>
      <c r="AF86">
        <f t="shared" si="46"/>
        <v>0</v>
      </c>
      <c r="AG86" t="str">
        <f t="shared" si="47"/>
        <v/>
      </c>
      <c r="AH86" t="str">
        <f t="shared" si="48"/>
        <v/>
      </c>
      <c r="AL86" s="602">
        <v>18</v>
      </c>
      <c r="AM86">
        <f t="shared" si="32"/>
        <v>0</v>
      </c>
      <c r="AN86">
        <f>IF(AM86=0,0,1+MAX(AN$69:AN85))</f>
        <v>0</v>
      </c>
      <c r="AO86">
        <f t="shared" si="49"/>
        <v>0</v>
      </c>
      <c r="AP86" t="str">
        <f t="shared" si="50"/>
        <v/>
      </c>
      <c r="AQ86" t="str">
        <f t="shared" si="51"/>
        <v/>
      </c>
      <c r="AU86" s="602">
        <v>18</v>
      </c>
      <c r="AV86">
        <f t="shared" si="33"/>
        <v>0</v>
      </c>
      <c r="AW86">
        <f>IF(AV86=0,0,1+MAX(AW$69:AW85))</f>
        <v>0</v>
      </c>
      <c r="AX86">
        <f t="shared" si="52"/>
        <v>0</v>
      </c>
      <c r="AY86" t="str">
        <f t="shared" si="53"/>
        <v/>
      </c>
      <c r="AZ86" t="str">
        <f t="shared" si="54"/>
        <v/>
      </c>
      <c r="BD86" s="602">
        <v>18</v>
      </c>
      <c r="BE86">
        <f t="shared" si="34"/>
        <v>0</v>
      </c>
      <c r="BF86">
        <f>IF(BE86=0,0,1+MAX(BF$69:BF85))</f>
        <v>0</v>
      </c>
      <c r="BG86">
        <f t="shared" si="55"/>
        <v>0</v>
      </c>
      <c r="BH86" t="str">
        <f t="shared" si="56"/>
        <v/>
      </c>
      <c r="BI86" t="str">
        <f t="shared" si="57"/>
        <v/>
      </c>
      <c r="BM86" s="602">
        <v>18</v>
      </c>
      <c r="BN86">
        <f t="shared" si="35"/>
        <v>0</v>
      </c>
      <c r="BO86">
        <f>IF(BN86=0,0,1+MAX(BO$69:BO85))</f>
        <v>0</v>
      </c>
      <c r="BP86">
        <f t="shared" si="58"/>
        <v>0</v>
      </c>
      <c r="BQ86" t="str">
        <f t="shared" si="59"/>
        <v/>
      </c>
      <c r="BR86" t="str">
        <f t="shared" si="60"/>
        <v/>
      </c>
      <c r="BV86" s="602">
        <v>18</v>
      </c>
      <c r="BW86">
        <f t="shared" si="36"/>
        <v>0</v>
      </c>
      <c r="BX86">
        <f>IF(BW86=0,0,1+MAX(BX$69:BX85))</f>
        <v>0</v>
      </c>
      <c r="BY86">
        <f t="shared" si="61"/>
        <v>0</v>
      </c>
      <c r="BZ86" t="str">
        <f t="shared" si="62"/>
        <v/>
      </c>
      <c r="CA86" t="str">
        <f t="shared" si="63"/>
        <v/>
      </c>
    </row>
    <row r="87" spans="2:79" x14ac:dyDescent="0.25">
      <c r="B87" s="5">
        <v>19</v>
      </c>
      <c r="C87">
        <f t="shared" si="28"/>
        <v>0</v>
      </c>
      <c r="D87">
        <f>IF(C87=0,0,1+MAX(D$69:D86))</f>
        <v>0</v>
      </c>
      <c r="E87">
        <f t="shared" si="37"/>
        <v>0</v>
      </c>
      <c r="F87" t="str">
        <f t="shared" si="38"/>
        <v/>
      </c>
      <c r="G87" t="str">
        <f t="shared" si="39"/>
        <v/>
      </c>
      <c r="K87" s="602">
        <v>19</v>
      </c>
      <c r="L87">
        <f t="shared" si="29"/>
        <v>0</v>
      </c>
      <c r="M87">
        <f>IF(L87=0,0,1+MAX(M$69:M86))</f>
        <v>0</v>
      </c>
      <c r="N87">
        <f t="shared" si="40"/>
        <v>0</v>
      </c>
      <c r="O87" t="str">
        <f t="shared" si="41"/>
        <v/>
      </c>
      <c r="P87" t="str">
        <f t="shared" si="42"/>
        <v/>
      </c>
      <c r="T87" s="602">
        <v>19</v>
      </c>
      <c r="U87">
        <f t="shared" si="30"/>
        <v>0</v>
      </c>
      <c r="V87">
        <f>IF(U87=0,0,1+MAX(V$69:V86))</f>
        <v>0</v>
      </c>
      <c r="W87">
        <f t="shared" si="43"/>
        <v>0</v>
      </c>
      <c r="X87" t="str">
        <f t="shared" si="44"/>
        <v/>
      </c>
      <c r="Y87" t="str">
        <f t="shared" si="45"/>
        <v/>
      </c>
      <c r="AC87" s="602">
        <v>19</v>
      </c>
      <c r="AD87">
        <f t="shared" si="31"/>
        <v>0</v>
      </c>
      <c r="AE87">
        <f>IF(AD87=0,0,1+MAX(AE$69:AE86))</f>
        <v>0</v>
      </c>
      <c r="AF87">
        <f t="shared" si="46"/>
        <v>0</v>
      </c>
      <c r="AG87" t="str">
        <f t="shared" si="47"/>
        <v/>
      </c>
      <c r="AH87" t="str">
        <f t="shared" si="48"/>
        <v/>
      </c>
      <c r="AL87" s="602">
        <v>19</v>
      </c>
      <c r="AM87">
        <f t="shared" si="32"/>
        <v>0</v>
      </c>
      <c r="AN87">
        <f>IF(AM87=0,0,1+MAX(AN$69:AN86))</f>
        <v>0</v>
      </c>
      <c r="AO87">
        <f t="shared" si="49"/>
        <v>0</v>
      </c>
      <c r="AP87" t="str">
        <f t="shared" si="50"/>
        <v/>
      </c>
      <c r="AQ87" t="str">
        <f t="shared" si="51"/>
        <v/>
      </c>
      <c r="AU87" s="602">
        <v>19</v>
      </c>
      <c r="AV87">
        <f t="shared" si="33"/>
        <v>0</v>
      </c>
      <c r="AW87">
        <f>IF(AV87=0,0,1+MAX(AW$69:AW86))</f>
        <v>0</v>
      </c>
      <c r="AX87">
        <f t="shared" si="52"/>
        <v>0</v>
      </c>
      <c r="AY87" t="str">
        <f t="shared" si="53"/>
        <v/>
      </c>
      <c r="AZ87" t="str">
        <f t="shared" si="54"/>
        <v/>
      </c>
      <c r="BD87" s="602">
        <v>19</v>
      </c>
      <c r="BE87">
        <f t="shared" si="34"/>
        <v>0</v>
      </c>
      <c r="BF87">
        <f>IF(BE87=0,0,1+MAX(BF$69:BF86))</f>
        <v>0</v>
      </c>
      <c r="BG87">
        <f t="shared" si="55"/>
        <v>0</v>
      </c>
      <c r="BH87" t="str">
        <f t="shared" si="56"/>
        <v/>
      </c>
      <c r="BI87" t="str">
        <f t="shared" si="57"/>
        <v/>
      </c>
      <c r="BM87" s="602">
        <v>19</v>
      </c>
      <c r="BN87">
        <f t="shared" si="35"/>
        <v>0</v>
      </c>
      <c r="BO87">
        <f>IF(BN87=0,0,1+MAX(BO$69:BO86))</f>
        <v>0</v>
      </c>
      <c r="BP87">
        <f t="shared" si="58"/>
        <v>0</v>
      </c>
      <c r="BQ87" t="str">
        <f t="shared" si="59"/>
        <v/>
      </c>
      <c r="BR87" t="str">
        <f t="shared" si="60"/>
        <v/>
      </c>
      <c r="BV87" s="602">
        <v>19</v>
      </c>
      <c r="BW87">
        <f t="shared" si="36"/>
        <v>0</v>
      </c>
      <c r="BX87">
        <f>IF(BW87=0,0,1+MAX(BX$69:BX86))</f>
        <v>0</v>
      </c>
      <c r="BY87">
        <f t="shared" si="61"/>
        <v>0</v>
      </c>
      <c r="BZ87" t="str">
        <f t="shared" si="62"/>
        <v/>
      </c>
      <c r="CA87" t="str">
        <f t="shared" si="63"/>
        <v/>
      </c>
    </row>
    <row r="88" spans="2:79" x14ac:dyDescent="0.25">
      <c r="B88" s="5">
        <v>20</v>
      </c>
      <c r="C88">
        <f t="shared" si="28"/>
        <v>0</v>
      </c>
      <c r="D88">
        <f>IF(C88=0,0,1+MAX(D$69:D87))</f>
        <v>0</v>
      </c>
      <c r="E88">
        <f t="shared" si="37"/>
        <v>0</v>
      </c>
      <c r="F88" t="str">
        <f t="shared" si="38"/>
        <v/>
      </c>
      <c r="G88" t="str">
        <f t="shared" si="39"/>
        <v/>
      </c>
      <c r="K88" s="602">
        <v>20</v>
      </c>
      <c r="L88">
        <f t="shared" si="29"/>
        <v>0</v>
      </c>
      <c r="M88">
        <f>IF(L88=0,0,1+MAX(M$69:M87))</f>
        <v>0</v>
      </c>
      <c r="N88">
        <f t="shared" si="40"/>
        <v>0</v>
      </c>
      <c r="O88" t="str">
        <f t="shared" si="41"/>
        <v/>
      </c>
      <c r="P88" t="str">
        <f t="shared" si="42"/>
        <v/>
      </c>
      <c r="T88" s="602">
        <v>20</v>
      </c>
      <c r="U88">
        <f t="shared" si="30"/>
        <v>0</v>
      </c>
      <c r="V88">
        <f>IF(U88=0,0,1+MAX(V$69:V87))</f>
        <v>0</v>
      </c>
      <c r="W88">
        <f t="shared" si="43"/>
        <v>0</v>
      </c>
      <c r="X88" t="str">
        <f t="shared" si="44"/>
        <v/>
      </c>
      <c r="Y88" t="str">
        <f t="shared" si="45"/>
        <v/>
      </c>
      <c r="AC88" s="602">
        <v>20</v>
      </c>
      <c r="AD88">
        <f t="shared" si="31"/>
        <v>0</v>
      </c>
      <c r="AE88">
        <f>IF(AD88=0,0,1+MAX(AE$69:AE87))</f>
        <v>0</v>
      </c>
      <c r="AF88">
        <f t="shared" si="46"/>
        <v>0</v>
      </c>
      <c r="AG88" t="str">
        <f t="shared" si="47"/>
        <v/>
      </c>
      <c r="AH88" t="str">
        <f t="shared" si="48"/>
        <v/>
      </c>
      <c r="AL88" s="602">
        <v>20</v>
      </c>
      <c r="AM88">
        <f t="shared" si="32"/>
        <v>0</v>
      </c>
      <c r="AN88">
        <f>IF(AM88=0,0,1+MAX(AN$69:AN87))</f>
        <v>0</v>
      </c>
      <c r="AO88">
        <f t="shared" si="49"/>
        <v>0</v>
      </c>
      <c r="AP88" t="str">
        <f t="shared" si="50"/>
        <v/>
      </c>
      <c r="AQ88" t="str">
        <f t="shared" si="51"/>
        <v/>
      </c>
      <c r="AU88" s="602">
        <v>20</v>
      </c>
      <c r="AV88">
        <f t="shared" si="33"/>
        <v>0</v>
      </c>
      <c r="AW88">
        <f>IF(AV88=0,0,1+MAX(AW$69:AW87))</f>
        <v>0</v>
      </c>
      <c r="AX88">
        <f t="shared" si="52"/>
        <v>0</v>
      </c>
      <c r="AY88" t="str">
        <f t="shared" si="53"/>
        <v/>
      </c>
      <c r="AZ88" t="str">
        <f t="shared" si="54"/>
        <v/>
      </c>
      <c r="BD88" s="602">
        <v>20</v>
      </c>
      <c r="BE88">
        <f t="shared" si="34"/>
        <v>0</v>
      </c>
      <c r="BF88">
        <f>IF(BE88=0,0,1+MAX(BF$69:BF87))</f>
        <v>0</v>
      </c>
      <c r="BG88">
        <f t="shared" si="55"/>
        <v>0</v>
      </c>
      <c r="BH88" t="str">
        <f t="shared" si="56"/>
        <v/>
      </c>
      <c r="BI88" t="str">
        <f t="shared" si="57"/>
        <v/>
      </c>
      <c r="BM88" s="602">
        <v>20</v>
      </c>
      <c r="BN88">
        <f t="shared" si="35"/>
        <v>0</v>
      </c>
      <c r="BO88">
        <f>IF(BN88=0,0,1+MAX(BO$69:BO87))</f>
        <v>0</v>
      </c>
      <c r="BP88">
        <f t="shared" si="58"/>
        <v>0</v>
      </c>
      <c r="BQ88" t="str">
        <f t="shared" si="59"/>
        <v/>
      </c>
      <c r="BR88" t="str">
        <f t="shared" si="60"/>
        <v/>
      </c>
      <c r="BV88" s="602">
        <v>20</v>
      </c>
      <c r="BW88">
        <f t="shared" si="36"/>
        <v>0</v>
      </c>
      <c r="BX88">
        <f>IF(BW88=0,0,1+MAX(BX$69:BX87))</f>
        <v>0</v>
      </c>
      <c r="BY88">
        <f t="shared" si="61"/>
        <v>0</v>
      </c>
      <c r="BZ88" t="str">
        <f t="shared" si="62"/>
        <v/>
      </c>
      <c r="CA88" t="str">
        <f t="shared" si="63"/>
        <v/>
      </c>
    </row>
    <row r="89" spans="2:79" x14ac:dyDescent="0.25">
      <c r="B89" s="5">
        <v>21</v>
      </c>
      <c r="C89">
        <f t="shared" si="28"/>
        <v>0</v>
      </c>
      <c r="D89">
        <f>IF(C89=0,0,1+MAX(D$69:D88))</f>
        <v>0</v>
      </c>
      <c r="E89">
        <f t="shared" si="37"/>
        <v>0</v>
      </c>
      <c r="F89" t="str">
        <f t="shared" si="38"/>
        <v/>
      </c>
      <c r="G89" t="str">
        <f t="shared" si="39"/>
        <v/>
      </c>
      <c r="K89" s="602">
        <v>21</v>
      </c>
      <c r="L89">
        <f t="shared" si="29"/>
        <v>0</v>
      </c>
      <c r="M89">
        <f>IF(L89=0,0,1+MAX(M$69:M88))</f>
        <v>0</v>
      </c>
      <c r="N89">
        <f t="shared" si="40"/>
        <v>0</v>
      </c>
      <c r="O89" t="str">
        <f t="shared" si="41"/>
        <v/>
      </c>
      <c r="P89" t="str">
        <f t="shared" si="42"/>
        <v/>
      </c>
      <c r="T89" s="602">
        <v>21</v>
      </c>
      <c r="U89">
        <f t="shared" si="30"/>
        <v>0</v>
      </c>
      <c r="V89">
        <f>IF(U89=0,0,1+MAX(V$69:V88))</f>
        <v>0</v>
      </c>
      <c r="W89">
        <f t="shared" si="43"/>
        <v>0</v>
      </c>
      <c r="X89" t="str">
        <f t="shared" si="44"/>
        <v/>
      </c>
      <c r="Y89" t="str">
        <f t="shared" si="45"/>
        <v/>
      </c>
      <c r="AC89" s="602">
        <v>21</v>
      </c>
      <c r="AD89">
        <f t="shared" si="31"/>
        <v>0</v>
      </c>
      <c r="AE89">
        <f>IF(AD89=0,0,1+MAX(AE$69:AE88))</f>
        <v>0</v>
      </c>
      <c r="AF89">
        <f t="shared" si="46"/>
        <v>0</v>
      </c>
      <c r="AG89" t="str">
        <f t="shared" si="47"/>
        <v/>
      </c>
      <c r="AH89" t="str">
        <f t="shared" si="48"/>
        <v/>
      </c>
      <c r="AL89" s="602">
        <v>21</v>
      </c>
      <c r="AM89">
        <f t="shared" si="32"/>
        <v>0</v>
      </c>
      <c r="AN89">
        <f>IF(AM89=0,0,1+MAX(AN$69:AN88))</f>
        <v>0</v>
      </c>
      <c r="AO89">
        <f t="shared" si="49"/>
        <v>0</v>
      </c>
      <c r="AP89" t="str">
        <f t="shared" si="50"/>
        <v/>
      </c>
      <c r="AQ89" t="str">
        <f t="shared" si="51"/>
        <v/>
      </c>
      <c r="AU89" s="602">
        <v>21</v>
      </c>
      <c r="AV89">
        <f t="shared" si="33"/>
        <v>0</v>
      </c>
      <c r="AW89">
        <f>IF(AV89=0,0,1+MAX(AW$69:AW88))</f>
        <v>0</v>
      </c>
      <c r="AX89">
        <f t="shared" si="52"/>
        <v>0</v>
      </c>
      <c r="AY89" t="str">
        <f t="shared" si="53"/>
        <v/>
      </c>
      <c r="AZ89" t="str">
        <f t="shared" si="54"/>
        <v/>
      </c>
      <c r="BD89" s="602">
        <v>21</v>
      </c>
      <c r="BE89">
        <f t="shared" si="34"/>
        <v>0</v>
      </c>
      <c r="BF89">
        <f>IF(BE89=0,0,1+MAX(BF$69:BF88))</f>
        <v>0</v>
      </c>
      <c r="BG89">
        <f t="shared" si="55"/>
        <v>0</v>
      </c>
      <c r="BH89" t="str">
        <f t="shared" si="56"/>
        <v/>
      </c>
      <c r="BI89" t="str">
        <f t="shared" si="57"/>
        <v/>
      </c>
      <c r="BM89" s="602">
        <v>21</v>
      </c>
      <c r="BN89">
        <f t="shared" si="35"/>
        <v>0</v>
      </c>
      <c r="BO89">
        <f>IF(BN89=0,0,1+MAX(BO$69:BO88))</f>
        <v>0</v>
      </c>
      <c r="BP89">
        <f t="shared" si="58"/>
        <v>0</v>
      </c>
      <c r="BQ89" t="str">
        <f t="shared" si="59"/>
        <v/>
      </c>
      <c r="BR89" t="str">
        <f t="shared" si="60"/>
        <v/>
      </c>
      <c r="BV89" s="602">
        <v>21</v>
      </c>
      <c r="BW89">
        <f t="shared" si="36"/>
        <v>0</v>
      </c>
      <c r="BX89">
        <f>IF(BW89=0,0,1+MAX(BX$69:BX88))</f>
        <v>0</v>
      </c>
      <c r="BY89">
        <f t="shared" si="61"/>
        <v>0</v>
      </c>
      <c r="BZ89" t="str">
        <f t="shared" si="62"/>
        <v/>
      </c>
      <c r="CA89" t="str">
        <f t="shared" si="63"/>
        <v/>
      </c>
    </row>
    <row r="90" spans="2:79" x14ac:dyDescent="0.25">
      <c r="B90" s="5">
        <v>22</v>
      </c>
      <c r="C90">
        <f t="shared" si="28"/>
        <v>0</v>
      </c>
      <c r="D90">
        <f>IF(C90=0,0,1+MAX(D$69:D89))</f>
        <v>0</v>
      </c>
      <c r="E90">
        <f t="shared" si="37"/>
        <v>0</v>
      </c>
      <c r="F90" t="str">
        <f t="shared" si="38"/>
        <v/>
      </c>
      <c r="G90" t="str">
        <f t="shared" si="39"/>
        <v/>
      </c>
      <c r="K90" s="602">
        <v>22</v>
      </c>
      <c r="L90">
        <f t="shared" si="29"/>
        <v>0</v>
      </c>
      <c r="M90">
        <f>IF(L90=0,0,1+MAX(M$69:M89))</f>
        <v>0</v>
      </c>
      <c r="N90">
        <f t="shared" si="40"/>
        <v>0</v>
      </c>
      <c r="O90" t="str">
        <f t="shared" si="41"/>
        <v/>
      </c>
      <c r="P90" t="str">
        <f t="shared" si="42"/>
        <v/>
      </c>
      <c r="T90" s="602">
        <v>22</v>
      </c>
      <c r="U90">
        <f t="shared" si="30"/>
        <v>0</v>
      </c>
      <c r="V90">
        <f>IF(U90=0,0,1+MAX(V$69:V89))</f>
        <v>0</v>
      </c>
      <c r="W90">
        <f t="shared" si="43"/>
        <v>0</v>
      </c>
      <c r="X90" t="str">
        <f t="shared" si="44"/>
        <v/>
      </c>
      <c r="Y90" t="str">
        <f t="shared" si="45"/>
        <v/>
      </c>
      <c r="AC90" s="602">
        <v>22</v>
      </c>
      <c r="AD90">
        <f t="shared" si="31"/>
        <v>0</v>
      </c>
      <c r="AE90">
        <f>IF(AD90=0,0,1+MAX(AE$69:AE89))</f>
        <v>0</v>
      </c>
      <c r="AF90">
        <f t="shared" si="46"/>
        <v>0</v>
      </c>
      <c r="AG90" t="str">
        <f t="shared" si="47"/>
        <v/>
      </c>
      <c r="AH90" t="str">
        <f t="shared" si="48"/>
        <v/>
      </c>
      <c r="AL90" s="602">
        <v>22</v>
      </c>
      <c r="AM90">
        <f t="shared" si="32"/>
        <v>0</v>
      </c>
      <c r="AN90">
        <f>IF(AM90=0,0,1+MAX(AN$69:AN89))</f>
        <v>0</v>
      </c>
      <c r="AO90">
        <f t="shared" si="49"/>
        <v>0</v>
      </c>
      <c r="AP90" t="str">
        <f t="shared" si="50"/>
        <v/>
      </c>
      <c r="AQ90" t="str">
        <f t="shared" si="51"/>
        <v/>
      </c>
      <c r="AU90" s="602">
        <v>22</v>
      </c>
      <c r="AV90">
        <f t="shared" si="33"/>
        <v>0</v>
      </c>
      <c r="AW90">
        <f>IF(AV90=0,0,1+MAX(AW$69:AW89))</f>
        <v>0</v>
      </c>
      <c r="AX90">
        <f t="shared" si="52"/>
        <v>0</v>
      </c>
      <c r="AY90" t="str">
        <f t="shared" si="53"/>
        <v/>
      </c>
      <c r="AZ90" t="str">
        <f t="shared" si="54"/>
        <v/>
      </c>
      <c r="BD90" s="602">
        <v>22</v>
      </c>
      <c r="BE90">
        <f t="shared" si="34"/>
        <v>0</v>
      </c>
      <c r="BF90">
        <f>IF(BE90=0,0,1+MAX(BF$69:BF89))</f>
        <v>0</v>
      </c>
      <c r="BG90">
        <f t="shared" si="55"/>
        <v>0</v>
      </c>
      <c r="BH90" t="str">
        <f t="shared" si="56"/>
        <v/>
      </c>
      <c r="BI90" t="str">
        <f t="shared" si="57"/>
        <v/>
      </c>
      <c r="BM90" s="602">
        <v>22</v>
      </c>
      <c r="BN90">
        <f t="shared" si="35"/>
        <v>0</v>
      </c>
      <c r="BO90">
        <f>IF(BN90=0,0,1+MAX(BO$69:BO89))</f>
        <v>0</v>
      </c>
      <c r="BP90">
        <f t="shared" si="58"/>
        <v>0</v>
      </c>
      <c r="BQ90" t="str">
        <f t="shared" si="59"/>
        <v/>
      </c>
      <c r="BR90" t="str">
        <f t="shared" si="60"/>
        <v/>
      </c>
      <c r="BV90" s="602">
        <v>22</v>
      </c>
      <c r="BW90">
        <f t="shared" si="36"/>
        <v>0</v>
      </c>
      <c r="BX90">
        <f>IF(BW90=0,0,1+MAX(BX$69:BX89))</f>
        <v>0</v>
      </c>
      <c r="BY90">
        <f t="shared" si="61"/>
        <v>0</v>
      </c>
      <c r="BZ90" t="str">
        <f t="shared" si="62"/>
        <v/>
      </c>
      <c r="CA90" t="str">
        <f t="shared" si="63"/>
        <v/>
      </c>
    </row>
    <row r="91" spans="2:79" x14ac:dyDescent="0.25">
      <c r="B91" s="5">
        <v>23</v>
      </c>
      <c r="C91">
        <f t="shared" si="28"/>
        <v>0</v>
      </c>
      <c r="D91">
        <f>IF(C91=0,0,1+MAX(D$69:D90))</f>
        <v>0</v>
      </c>
      <c r="E91">
        <f t="shared" si="37"/>
        <v>0</v>
      </c>
      <c r="F91" t="str">
        <f t="shared" si="38"/>
        <v/>
      </c>
      <c r="G91" t="str">
        <f t="shared" si="39"/>
        <v/>
      </c>
      <c r="K91" s="602">
        <v>23</v>
      </c>
      <c r="L91">
        <f t="shared" si="29"/>
        <v>0</v>
      </c>
      <c r="M91">
        <f>IF(L91=0,0,1+MAX(M$69:M90))</f>
        <v>0</v>
      </c>
      <c r="N91">
        <f t="shared" si="40"/>
        <v>0</v>
      </c>
      <c r="O91" t="str">
        <f t="shared" si="41"/>
        <v/>
      </c>
      <c r="P91" t="str">
        <f t="shared" si="42"/>
        <v/>
      </c>
      <c r="T91" s="602">
        <v>23</v>
      </c>
      <c r="U91">
        <f t="shared" si="30"/>
        <v>0</v>
      </c>
      <c r="V91">
        <f>IF(U91=0,0,1+MAX(V$69:V90))</f>
        <v>0</v>
      </c>
      <c r="W91">
        <f t="shared" si="43"/>
        <v>0</v>
      </c>
      <c r="X91" t="str">
        <f t="shared" si="44"/>
        <v/>
      </c>
      <c r="Y91" t="str">
        <f t="shared" si="45"/>
        <v/>
      </c>
      <c r="AC91" s="602">
        <v>23</v>
      </c>
      <c r="AD91">
        <f t="shared" si="31"/>
        <v>0</v>
      </c>
      <c r="AE91">
        <f>IF(AD91=0,0,1+MAX(AE$69:AE90))</f>
        <v>0</v>
      </c>
      <c r="AF91">
        <f t="shared" si="46"/>
        <v>0</v>
      </c>
      <c r="AG91" t="str">
        <f t="shared" si="47"/>
        <v/>
      </c>
      <c r="AH91" t="str">
        <f t="shared" si="48"/>
        <v/>
      </c>
      <c r="AL91" s="602">
        <v>23</v>
      </c>
      <c r="AM91">
        <f t="shared" si="32"/>
        <v>0</v>
      </c>
      <c r="AN91">
        <f>IF(AM91=0,0,1+MAX(AN$69:AN90))</f>
        <v>0</v>
      </c>
      <c r="AO91">
        <f t="shared" si="49"/>
        <v>0</v>
      </c>
      <c r="AP91" t="str">
        <f t="shared" si="50"/>
        <v/>
      </c>
      <c r="AQ91" t="str">
        <f t="shared" si="51"/>
        <v/>
      </c>
      <c r="AU91" s="602">
        <v>23</v>
      </c>
      <c r="AV91">
        <f t="shared" si="33"/>
        <v>0</v>
      </c>
      <c r="AW91">
        <f>IF(AV91=0,0,1+MAX(AW$69:AW90))</f>
        <v>0</v>
      </c>
      <c r="AX91">
        <f t="shared" si="52"/>
        <v>0</v>
      </c>
      <c r="AY91" t="str">
        <f t="shared" si="53"/>
        <v/>
      </c>
      <c r="AZ91" t="str">
        <f t="shared" si="54"/>
        <v/>
      </c>
      <c r="BD91" s="602">
        <v>23</v>
      </c>
      <c r="BE91">
        <f t="shared" si="34"/>
        <v>0</v>
      </c>
      <c r="BF91">
        <f>IF(BE91=0,0,1+MAX(BF$69:BF90))</f>
        <v>0</v>
      </c>
      <c r="BG91">
        <f t="shared" si="55"/>
        <v>0</v>
      </c>
      <c r="BH91" t="str">
        <f t="shared" si="56"/>
        <v/>
      </c>
      <c r="BI91" t="str">
        <f t="shared" si="57"/>
        <v/>
      </c>
      <c r="BM91" s="602">
        <v>23</v>
      </c>
      <c r="BN91">
        <f t="shared" si="35"/>
        <v>0</v>
      </c>
      <c r="BO91">
        <f>IF(BN91=0,0,1+MAX(BO$69:BO90))</f>
        <v>0</v>
      </c>
      <c r="BP91">
        <f t="shared" si="58"/>
        <v>0</v>
      </c>
      <c r="BQ91" t="str">
        <f t="shared" si="59"/>
        <v/>
      </c>
      <c r="BR91" t="str">
        <f t="shared" si="60"/>
        <v/>
      </c>
      <c r="BV91" s="602">
        <v>23</v>
      </c>
      <c r="BW91">
        <f t="shared" si="36"/>
        <v>0</v>
      </c>
      <c r="BX91">
        <f>IF(BW91=0,0,1+MAX(BX$69:BX90))</f>
        <v>0</v>
      </c>
      <c r="BY91">
        <f t="shared" si="61"/>
        <v>0</v>
      </c>
      <c r="BZ91" t="str">
        <f t="shared" si="62"/>
        <v/>
      </c>
      <c r="CA91" t="str">
        <f t="shared" si="63"/>
        <v/>
      </c>
    </row>
    <row r="92" spans="2:79" x14ac:dyDescent="0.25">
      <c r="B92" s="5">
        <v>24</v>
      </c>
      <c r="C92">
        <f t="shared" si="28"/>
        <v>0</v>
      </c>
      <c r="D92">
        <f>IF(C92=0,0,1+MAX(D$69:D91))</f>
        <v>0</v>
      </c>
      <c r="E92">
        <f t="shared" si="37"/>
        <v>0</v>
      </c>
      <c r="F92" t="str">
        <f t="shared" si="38"/>
        <v/>
      </c>
      <c r="G92" t="str">
        <f t="shared" si="39"/>
        <v/>
      </c>
      <c r="K92" s="602">
        <v>24</v>
      </c>
      <c r="L92">
        <f t="shared" si="29"/>
        <v>0</v>
      </c>
      <c r="M92">
        <f>IF(L92=0,0,1+MAX(M$69:M91))</f>
        <v>0</v>
      </c>
      <c r="N92">
        <f t="shared" si="40"/>
        <v>0</v>
      </c>
      <c r="O92" t="str">
        <f t="shared" si="41"/>
        <v/>
      </c>
      <c r="P92" t="str">
        <f t="shared" si="42"/>
        <v/>
      </c>
      <c r="T92" s="602">
        <v>24</v>
      </c>
      <c r="U92">
        <f t="shared" si="30"/>
        <v>0</v>
      </c>
      <c r="V92">
        <f>IF(U92=0,0,1+MAX(V$69:V91))</f>
        <v>0</v>
      </c>
      <c r="W92">
        <f t="shared" si="43"/>
        <v>0</v>
      </c>
      <c r="X92" t="str">
        <f t="shared" si="44"/>
        <v/>
      </c>
      <c r="Y92" t="str">
        <f t="shared" si="45"/>
        <v/>
      </c>
      <c r="AC92" s="602">
        <v>24</v>
      </c>
      <c r="AD92">
        <f t="shared" si="31"/>
        <v>0</v>
      </c>
      <c r="AE92">
        <f>IF(AD92=0,0,1+MAX(AE$69:AE91))</f>
        <v>0</v>
      </c>
      <c r="AF92">
        <f t="shared" si="46"/>
        <v>0</v>
      </c>
      <c r="AG92" t="str">
        <f t="shared" si="47"/>
        <v/>
      </c>
      <c r="AH92" t="str">
        <f t="shared" si="48"/>
        <v/>
      </c>
      <c r="AL92" s="602">
        <v>24</v>
      </c>
      <c r="AM92">
        <f t="shared" si="32"/>
        <v>0</v>
      </c>
      <c r="AN92">
        <f>IF(AM92=0,0,1+MAX(AN$69:AN91))</f>
        <v>0</v>
      </c>
      <c r="AO92">
        <f t="shared" si="49"/>
        <v>0</v>
      </c>
      <c r="AP92" t="str">
        <f t="shared" si="50"/>
        <v/>
      </c>
      <c r="AQ92" t="str">
        <f t="shared" si="51"/>
        <v/>
      </c>
      <c r="AU92" s="602">
        <v>24</v>
      </c>
      <c r="AV92">
        <f t="shared" si="33"/>
        <v>0</v>
      </c>
      <c r="AW92">
        <f>IF(AV92=0,0,1+MAX(AW$69:AW91))</f>
        <v>0</v>
      </c>
      <c r="AX92">
        <f t="shared" si="52"/>
        <v>0</v>
      </c>
      <c r="AY92" t="str">
        <f t="shared" si="53"/>
        <v/>
      </c>
      <c r="AZ92" t="str">
        <f t="shared" si="54"/>
        <v/>
      </c>
      <c r="BD92" s="602">
        <v>24</v>
      </c>
      <c r="BE92">
        <f t="shared" si="34"/>
        <v>0</v>
      </c>
      <c r="BF92">
        <f>IF(BE92=0,0,1+MAX(BF$69:BF91))</f>
        <v>0</v>
      </c>
      <c r="BG92">
        <f t="shared" si="55"/>
        <v>0</v>
      </c>
      <c r="BH92" t="str">
        <f t="shared" si="56"/>
        <v/>
      </c>
      <c r="BI92" t="str">
        <f t="shared" si="57"/>
        <v/>
      </c>
      <c r="BM92" s="602">
        <v>24</v>
      </c>
      <c r="BN92">
        <f t="shared" si="35"/>
        <v>0</v>
      </c>
      <c r="BO92">
        <f>IF(BN92=0,0,1+MAX(BO$69:BO91))</f>
        <v>0</v>
      </c>
      <c r="BP92">
        <f t="shared" si="58"/>
        <v>0</v>
      </c>
      <c r="BQ92" t="str">
        <f t="shared" si="59"/>
        <v/>
      </c>
      <c r="BR92" t="str">
        <f t="shared" si="60"/>
        <v/>
      </c>
      <c r="BV92" s="602">
        <v>24</v>
      </c>
      <c r="BW92">
        <f t="shared" si="36"/>
        <v>0</v>
      </c>
      <c r="BX92">
        <f>IF(BW92=0,0,1+MAX(BX$69:BX91))</f>
        <v>0</v>
      </c>
      <c r="BY92">
        <f t="shared" si="61"/>
        <v>0</v>
      </c>
      <c r="BZ92" t="str">
        <f t="shared" si="62"/>
        <v/>
      </c>
      <c r="CA92" t="str">
        <f t="shared" si="63"/>
        <v/>
      </c>
    </row>
    <row r="93" spans="2:79" x14ac:dyDescent="0.25">
      <c r="B93" s="5">
        <v>25</v>
      </c>
      <c r="C93">
        <f t="shared" si="28"/>
        <v>0</v>
      </c>
      <c r="D93">
        <f>IF(C93=0,0,1+MAX(D$69:D92))</f>
        <v>0</v>
      </c>
      <c r="E93">
        <f t="shared" si="37"/>
        <v>0</v>
      </c>
      <c r="F93" t="str">
        <f t="shared" si="38"/>
        <v/>
      </c>
      <c r="G93" t="str">
        <f t="shared" si="39"/>
        <v/>
      </c>
      <c r="K93" s="602">
        <v>25</v>
      </c>
      <c r="L93">
        <f t="shared" si="29"/>
        <v>0</v>
      </c>
      <c r="M93">
        <f>IF(L93=0,0,1+MAX(M$69:M92))</f>
        <v>0</v>
      </c>
      <c r="N93">
        <f t="shared" si="40"/>
        <v>0</v>
      </c>
      <c r="O93" t="str">
        <f t="shared" si="41"/>
        <v/>
      </c>
      <c r="P93" t="str">
        <f t="shared" si="42"/>
        <v/>
      </c>
      <c r="T93" s="602">
        <v>25</v>
      </c>
      <c r="U93">
        <f t="shared" si="30"/>
        <v>0</v>
      </c>
      <c r="V93">
        <f>IF(U93=0,0,1+MAX(V$69:V92))</f>
        <v>0</v>
      </c>
      <c r="W93">
        <f t="shared" si="43"/>
        <v>0</v>
      </c>
      <c r="X93" t="str">
        <f t="shared" si="44"/>
        <v/>
      </c>
      <c r="Y93" t="str">
        <f t="shared" si="45"/>
        <v/>
      </c>
      <c r="AC93" s="602">
        <v>25</v>
      </c>
      <c r="AD93">
        <f t="shared" si="31"/>
        <v>0</v>
      </c>
      <c r="AE93">
        <f>IF(AD93=0,0,1+MAX(AE$69:AE92))</f>
        <v>0</v>
      </c>
      <c r="AF93">
        <f t="shared" si="46"/>
        <v>0</v>
      </c>
      <c r="AG93" t="str">
        <f t="shared" si="47"/>
        <v/>
      </c>
      <c r="AH93" t="str">
        <f t="shared" si="48"/>
        <v/>
      </c>
      <c r="AL93" s="602">
        <v>25</v>
      </c>
      <c r="AM93">
        <f t="shared" si="32"/>
        <v>0</v>
      </c>
      <c r="AN93">
        <f>IF(AM93=0,0,1+MAX(AN$69:AN92))</f>
        <v>0</v>
      </c>
      <c r="AO93">
        <f t="shared" si="49"/>
        <v>0</v>
      </c>
      <c r="AP93" t="str">
        <f t="shared" si="50"/>
        <v/>
      </c>
      <c r="AQ93" t="str">
        <f t="shared" si="51"/>
        <v/>
      </c>
      <c r="AU93" s="602">
        <v>25</v>
      </c>
      <c r="AV93">
        <f t="shared" si="33"/>
        <v>0</v>
      </c>
      <c r="AW93">
        <f>IF(AV93=0,0,1+MAX(AW$69:AW92))</f>
        <v>0</v>
      </c>
      <c r="AX93">
        <f t="shared" si="52"/>
        <v>0</v>
      </c>
      <c r="AY93" t="str">
        <f t="shared" si="53"/>
        <v/>
      </c>
      <c r="AZ93" t="str">
        <f t="shared" si="54"/>
        <v/>
      </c>
      <c r="BD93" s="602">
        <v>25</v>
      </c>
      <c r="BE93">
        <f t="shared" si="34"/>
        <v>0</v>
      </c>
      <c r="BF93">
        <f>IF(BE93=0,0,1+MAX(BF$69:BF92))</f>
        <v>0</v>
      </c>
      <c r="BG93">
        <f t="shared" si="55"/>
        <v>0</v>
      </c>
      <c r="BH93" t="str">
        <f t="shared" si="56"/>
        <v/>
      </c>
      <c r="BI93" t="str">
        <f t="shared" si="57"/>
        <v/>
      </c>
      <c r="BM93" s="602">
        <v>25</v>
      </c>
      <c r="BN93">
        <f t="shared" si="35"/>
        <v>0</v>
      </c>
      <c r="BO93">
        <f>IF(BN93=0,0,1+MAX(BO$69:BO92))</f>
        <v>0</v>
      </c>
      <c r="BP93">
        <f t="shared" si="58"/>
        <v>0</v>
      </c>
      <c r="BQ93" t="str">
        <f t="shared" si="59"/>
        <v/>
      </c>
      <c r="BR93" t="str">
        <f t="shared" si="60"/>
        <v/>
      </c>
      <c r="BV93" s="602">
        <v>25</v>
      </c>
      <c r="BW93">
        <f t="shared" si="36"/>
        <v>0</v>
      </c>
      <c r="BX93">
        <f>IF(BW93=0,0,1+MAX(BX$69:BX92))</f>
        <v>0</v>
      </c>
      <c r="BY93">
        <f t="shared" si="61"/>
        <v>0</v>
      </c>
      <c r="BZ93" t="str">
        <f t="shared" si="62"/>
        <v/>
      </c>
      <c r="CA93" t="str">
        <f t="shared" si="63"/>
        <v/>
      </c>
    </row>
    <row r="94" spans="2:79" x14ac:dyDescent="0.25">
      <c r="B94" s="5">
        <v>26</v>
      </c>
      <c r="C94">
        <f t="shared" si="28"/>
        <v>0</v>
      </c>
      <c r="D94">
        <f>IF(C94=0,0,1+MAX(D$69:D93))</f>
        <v>0</v>
      </c>
      <c r="E94">
        <f t="shared" si="37"/>
        <v>0</v>
      </c>
      <c r="F94" t="str">
        <f t="shared" si="38"/>
        <v/>
      </c>
      <c r="G94" t="str">
        <f t="shared" si="39"/>
        <v/>
      </c>
      <c r="K94" s="602">
        <v>26</v>
      </c>
      <c r="L94">
        <f t="shared" si="29"/>
        <v>0</v>
      </c>
      <c r="M94">
        <f>IF(L94=0,0,1+MAX(M$69:M93))</f>
        <v>0</v>
      </c>
      <c r="N94">
        <f t="shared" si="40"/>
        <v>0</v>
      </c>
      <c r="O94" t="str">
        <f t="shared" si="41"/>
        <v/>
      </c>
      <c r="P94" t="str">
        <f t="shared" si="42"/>
        <v/>
      </c>
      <c r="T94" s="602">
        <v>26</v>
      </c>
      <c r="U94">
        <f t="shared" si="30"/>
        <v>0</v>
      </c>
      <c r="V94">
        <f>IF(U94=0,0,1+MAX(V$69:V93))</f>
        <v>0</v>
      </c>
      <c r="W94">
        <f t="shared" si="43"/>
        <v>0</v>
      </c>
      <c r="X94" t="str">
        <f t="shared" si="44"/>
        <v/>
      </c>
      <c r="Y94" t="str">
        <f t="shared" si="45"/>
        <v/>
      </c>
      <c r="AC94" s="602">
        <v>26</v>
      </c>
      <c r="AD94">
        <f t="shared" si="31"/>
        <v>0</v>
      </c>
      <c r="AE94">
        <f>IF(AD94=0,0,1+MAX(AE$69:AE93))</f>
        <v>0</v>
      </c>
      <c r="AF94">
        <f t="shared" si="46"/>
        <v>0</v>
      </c>
      <c r="AG94" t="str">
        <f t="shared" si="47"/>
        <v/>
      </c>
      <c r="AH94" t="str">
        <f t="shared" si="48"/>
        <v/>
      </c>
      <c r="AL94" s="602">
        <v>26</v>
      </c>
      <c r="AM94">
        <f t="shared" si="32"/>
        <v>0</v>
      </c>
      <c r="AN94">
        <f>IF(AM94=0,0,1+MAX(AN$69:AN93))</f>
        <v>0</v>
      </c>
      <c r="AO94">
        <f t="shared" si="49"/>
        <v>0</v>
      </c>
      <c r="AP94" t="str">
        <f t="shared" si="50"/>
        <v/>
      </c>
      <c r="AQ94" t="str">
        <f t="shared" si="51"/>
        <v/>
      </c>
      <c r="AU94" s="602">
        <v>26</v>
      </c>
      <c r="AV94">
        <f t="shared" si="33"/>
        <v>0</v>
      </c>
      <c r="AW94">
        <f>IF(AV94=0,0,1+MAX(AW$69:AW93))</f>
        <v>0</v>
      </c>
      <c r="AX94">
        <f t="shared" si="52"/>
        <v>0</v>
      </c>
      <c r="AY94" t="str">
        <f t="shared" si="53"/>
        <v/>
      </c>
      <c r="AZ94" t="str">
        <f t="shared" si="54"/>
        <v/>
      </c>
      <c r="BD94" s="602">
        <v>26</v>
      </c>
      <c r="BE94">
        <f t="shared" si="34"/>
        <v>0</v>
      </c>
      <c r="BF94">
        <f>IF(BE94=0,0,1+MAX(BF$69:BF93))</f>
        <v>0</v>
      </c>
      <c r="BG94">
        <f t="shared" si="55"/>
        <v>0</v>
      </c>
      <c r="BH94" t="str">
        <f t="shared" si="56"/>
        <v/>
      </c>
      <c r="BI94" t="str">
        <f t="shared" si="57"/>
        <v/>
      </c>
      <c r="BM94" s="602">
        <v>26</v>
      </c>
      <c r="BN94">
        <f t="shared" si="35"/>
        <v>0</v>
      </c>
      <c r="BO94">
        <f>IF(BN94=0,0,1+MAX(BO$69:BO93))</f>
        <v>0</v>
      </c>
      <c r="BP94">
        <f t="shared" si="58"/>
        <v>0</v>
      </c>
      <c r="BQ94" t="str">
        <f t="shared" si="59"/>
        <v/>
      </c>
      <c r="BR94" t="str">
        <f t="shared" si="60"/>
        <v/>
      </c>
      <c r="BV94" s="602">
        <v>26</v>
      </c>
      <c r="BW94">
        <f t="shared" si="36"/>
        <v>0</v>
      </c>
      <c r="BX94">
        <f>IF(BW94=0,0,1+MAX(BX$69:BX93))</f>
        <v>0</v>
      </c>
      <c r="BY94">
        <f t="shared" si="61"/>
        <v>0</v>
      </c>
      <c r="BZ94" t="str">
        <f t="shared" si="62"/>
        <v/>
      </c>
      <c r="CA94" t="str">
        <f t="shared" si="63"/>
        <v/>
      </c>
    </row>
    <row r="95" spans="2:79" x14ac:dyDescent="0.25">
      <c r="B95" s="5">
        <v>27</v>
      </c>
      <c r="C95">
        <f t="shared" si="28"/>
        <v>0</v>
      </c>
      <c r="D95">
        <f>IF(C95=0,0,1+MAX(D$69:D94))</f>
        <v>0</v>
      </c>
      <c r="E95">
        <f t="shared" si="37"/>
        <v>0</v>
      </c>
      <c r="F95" t="str">
        <f t="shared" si="38"/>
        <v/>
      </c>
      <c r="G95" t="str">
        <f t="shared" si="39"/>
        <v/>
      </c>
      <c r="K95" s="602">
        <v>27</v>
      </c>
      <c r="L95">
        <f t="shared" si="29"/>
        <v>0</v>
      </c>
      <c r="M95">
        <f>IF(L95=0,0,1+MAX(M$69:M94))</f>
        <v>0</v>
      </c>
      <c r="N95">
        <f t="shared" si="40"/>
        <v>0</v>
      </c>
      <c r="O95" t="str">
        <f t="shared" si="41"/>
        <v/>
      </c>
      <c r="P95" t="str">
        <f t="shared" si="42"/>
        <v/>
      </c>
      <c r="T95" s="602">
        <v>27</v>
      </c>
      <c r="U95">
        <f t="shared" si="30"/>
        <v>0</v>
      </c>
      <c r="V95">
        <f>IF(U95=0,0,1+MAX(V$69:V94))</f>
        <v>0</v>
      </c>
      <c r="W95">
        <f t="shared" si="43"/>
        <v>0</v>
      </c>
      <c r="X95" t="str">
        <f t="shared" si="44"/>
        <v/>
      </c>
      <c r="Y95" t="str">
        <f t="shared" si="45"/>
        <v/>
      </c>
      <c r="AC95" s="602">
        <v>27</v>
      </c>
      <c r="AD95">
        <f t="shared" si="31"/>
        <v>0</v>
      </c>
      <c r="AE95">
        <f>IF(AD95=0,0,1+MAX(AE$69:AE94))</f>
        <v>0</v>
      </c>
      <c r="AF95">
        <f t="shared" si="46"/>
        <v>0</v>
      </c>
      <c r="AG95" t="str">
        <f t="shared" si="47"/>
        <v/>
      </c>
      <c r="AH95" t="str">
        <f t="shared" si="48"/>
        <v/>
      </c>
      <c r="AL95" s="602">
        <v>27</v>
      </c>
      <c r="AM95">
        <f t="shared" si="32"/>
        <v>0</v>
      </c>
      <c r="AN95">
        <f>IF(AM95=0,0,1+MAX(AN$69:AN94))</f>
        <v>0</v>
      </c>
      <c r="AO95">
        <f t="shared" si="49"/>
        <v>0</v>
      </c>
      <c r="AP95" t="str">
        <f t="shared" si="50"/>
        <v/>
      </c>
      <c r="AQ95" t="str">
        <f t="shared" si="51"/>
        <v/>
      </c>
      <c r="AU95" s="602">
        <v>27</v>
      </c>
      <c r="AV95">
        <f t="shared" si="33"/>
        <v>0</v>
      </c>
      <c r="AW95">
        <f>IF(AV95=0,0,1+MAX(AW$69:AW94))</f>
        <v>0</v>
      </c>
      <c r="AX95">
        <f t="shared" si="52"/>
        <v>0</v>
      </c>
      <c r="AY95" t="str">
        <f t="shared" si="53"/>
        <v/>
      </c>
      <c r="AZ95" t="str">
        <f t="shared" si="54"/>
        <v/>
      </c>
      <c r="BD95" s="602">
        <v>27</v>
      </c>
      <c r="BE95">
        <f t="shared" si="34"/>
        <v>0</v>
      </c>
      <c r="BF95">
        <f>IF(BE95=0,0,1+MAX(BF$69:BF94))</f>
        <v>0</v>
      </c>
      <c r="BG95">
        <f t="shared" si="55"/>
        <v>0</v>
      </c>
      <c r="BH95" t="str">
        <f t="shared" si="56"/>
        <v/>
      </c>
      <c r="BI95" t="str">
        <f t="shared" si="57"/>
        <v/>
      </c>
      <c r="BM95" s="602">
        <v>27</v>
      </c>
      <c r="BN95">
        <f t="shared" si="35"/>
        <v>0</v>
      </c>
      <c r="BO95">
        <f>IF(BN95=0,0,1+MAX(BO$69:BO94))</f>
        <v>0</v>
      </c>
      <c r="BP95">
        <f t="shared" si="58"/>
        <v>0</v>
      </c>
      <c r="BQ95" t="str">
        <f t="shared" si="59"/>
        <v/>
      </c>
      <c r="BR95" t="str">
        <f t="shared" si="60"/>
        <v/>
      </c>
      <c r="BV95" s="602">
        <v>27</v>
      </c>
      <c r="BW95">
        <f t="shared" si="36"/>
        <v>0</v>
      </c>
      <c r="BX95">
        <f>IF(BW95=0,0,1+MAX(BX$69:BX94))</f>
        <v>0</v>
      </c>
      <c r="BY95">
        <f t="shared" si="61"/>
        <v>0</v>
      </c>
      <c r="BZ95" t="str">
        <f t="shared" si="62"/>
        <v/>
      </c>
      <c r="CA95" t="str">
        <f t="shared" si="63"/>
        <v/>
      </c>
    </row>
    <row r="96" spans="2:79" x14ac:dyDescent="0.25">
      <c r="B96" s="5">
        <v>28</v>
      </c>
      <c r="C96">
        <f t="shared" si="28"/>
        <v>0</v>
      </c>
      <c r="D96">
        <f>IF(C96=0,0,1+MAX(D$69:D95))</f>
        <v>0</v>
      </c>
      <c r="E96">
        <f t="shared" si="37"/>
        <v>0</v>
      </c>
      <c r="F96" t="str">
        <f t="shared" si="38"/>
        <v/>
      </c>
      <c r="G96" t="str">
        <f t="shared" si="39"/>
        <v/>
      </c>
      <c r="K96" s="602">
        <v>28</v>
      </c>
      <c r="L96">
        <f t="shared" si="29"/>
        <v>0</v>
      </c>
      <c r="M96">
        <f>IF(L96=0,0,1+MAX(M$69:M95))</f>
        <v>0</v>
      </c>
      <c r="N96">
        <f t="shared" si="40"/>
        <v>0</v>
      </c>
      <c r="O96" t="str">
        <f t="shared" si="41"/>
        <v/>
      </c>
      <c r="P96" t="str">
        <f t="shared" si="42"/>
        <v/>
      </c>
      <c r="T96" s="602">
        <v>28</v>
      </c>
      <c r="U96">
        <f t="shared" si="30"/>
        <v>0</v>
      </c>
      <c r="V96">
        <f>IF(U96=0,0,1+MAX(V$69:V95))</f>
        <v>0</v>
      </c>
      <c r="W96">
        <f t="shared" si="43"/>
        <v>0</v>
      </c>
      <c r="X96" t="str">
        <f t="shared" si="44"/>
        <v/>
      </c>
      <c r="Y96" t="str">
        <f t="shared" si="45"/>
        <v/>
      </c>
      <c r="AC96" s="602">
        <v>28</v>
      </c>
      <c r="AD96">
        <f t="shared" si="31"/>
        <v>0</v>
      </c>
      <c r="AE96">
        <f>IF(AD96=0,0,1+MAX(AE$69:AE95))</f>
        <v>0</v>
      </c>
      <c r="AF96">
        <f t="shared" si="46"/>
        <v>0</v>
      </c>
      <c r="AG96" t="str">
        <f t="shared" si="47"/>
        <v/>
      </c>
      <c r="AH96" t="str">
        <f t="shared" si="48"/>
        <v/>
      </c>
      <c r="AL96" s="602">
        <v>28</v>
      </c>
      <c r="AM96">
        <f t="shared" si="32"/>
        <v>0</v>
      </c>
      <c r="AN96">
        <f>IF(AM96=0,0,1+MAX(AN$69:AN95))</f>
        <v>0</v>
      </c>
      <c r="AO96">
        <f t="shared" si="49"/>
        <v>0</v>
      </c>
      <c r="AP96" t="str">
        <f t="shared" si="50"/>
        <v/>
      </c>
      <c r="AQ96" t="str">
        <f t="shared" si="51"/>
        <v/>
      </c>
      <c r="AU96" s="602">
        <v>28</v>
      </c>
      <c r="AV96">
        <f t="shared" si="33"/>
        <v>0</v>
      </c>
      <c r="AW96">
        <f>IF(AV96=0,0,1+MAX(AW$69:AW95))</f>
        <v>0</v>
      </c>
      <c r="AX96">
        <f t="shared" si="52"/>
        <v>0</v>
      </c>
      <c r="AY96" t="str">
        <f t="shared" si="53"/>
        <v/>
      </c>
      <c r="AZ96" t="str">
        <f t="shared" si="54"/>
        <v/>
      </c>
      <c r="BD96" s="602">
        <v>28</v>
      </c>
      <c r="BE96">
        <f t="shared" si="34"/>
        <v>0</v>
      </c>
      <c r="BF96">
        <f>IF(BE96=0,0,1+MAX(BF$69:BF95))</f>
        <v>0</v>
      </c>
      <c r="BG96">
        <f t="shared" si="55"/>
        <v>0</v>
      </c>
      <c r="BH96" t="str">
        <f t="shared" si="56"/>
        <v/>
      </c>
      <c r="BI96" t="str">
        <f t="shared" si="57"/>
        <v/>
      </c>
      <c r="BM96" s="602">
        <v>28</v>
      </c>
      <c r="BN96">
        <f t="shared" si="35"/>
        <v>0</v>
      </c>
      <c r="BO96">
        <f>IF(BN96=0,0,1+MAX(BO$69:BO95))</f>
        <v>0</v>
      </c>
      <c r="BP96">
        <f t="shared" si="58"/>
        <v>0</v>
      </c>
      <c r="BQ96" t="str">
        <f t="shared" si="59"/>
        <v/>
      </c>
      <c r="BR96" t="str">
        <f t="shared" si="60"/>
        <v/>
      </c>
      <c r="BV96" s="602">
        <v>28</v>
      </c>
      <c r="BW96">
        <f t="shared" si="36"/>
        <v>0</v>
      </c>
      <c r="BX96">
        <f>IF(BW96=0,0,1+MAX(BX$69:BX95))</f>
        <v>0</v>
      </c>
      <c r="BY96">
        <f t="shared" si="61"/>
        <v>0</v>
      </c>
      <c r="BZ96" t="str">
        <f t="shared" si="62"/>
        <v/>
      </c>
      <c r="CA96" t="str">
        <f t="shared" si="63"/>
        <v/>
      </c>
    </row>
    <row r="97" spans="2:79" x14ac:dyDescent="0.25">
      <c r="B97" s="5">
        <v>29</v>
      </c>
      <c r="C97">
        <f t="shared" si="28"/>
        <v>0</v>
      </c>
      <c r="D97">
        <f>IF(C97=0,0,1+MAX(D$69:D96))</f>
        <v>0</v>
      </c>
      <c r="E97">
        <f t="shared" si="37"/>
        <v>0</v>
      </c>
      <c r="F97" t="str">
        <f t="shared" si="38"/>
        <v/>
      </c>
      <c r="G97" t="str">
        <f t="shared" si="39"/>
        <v/>
      </c>
      <c r="K97" s="602">
        <v>29</v>
      </c>
      <c r="L97">
        <f t="shared" si="29"/>
        <v>0</v>
      </c>
      <c r="M97">
        <f>IF(L97=0,0,1+MAX(M$69:M96))</f>
        <v>0</v>
      </c>
      <c r="N97">
        <f t="shared" si="40"/>
        <v>0</v>
      </c>
      <c r="O97" t="str">
        <f t="shared" si="41"/>
        <v/>
      </c>
      <c r="P97" t="str">
        <f t="shared" si="42"/>
        <v/>
      </c>
      <c r="T97" s="602">
        <v>29</v>
      </c>
      <c r="U97">
        <f t="shared" si="30"/>
        <v>0</v>
      </c>
      <c r="V97">
        <f>IF(U97=0,0,1+MAX(V$69:V96))</f>
        <v>0</v>
      </c>
      <c r="W97">
        <f t="shared" si="43"/>
        <v>0</v>
      </c>
      <c r="X97" t="str">
        <f t="shared" si="44"/>
        <v/>
      </c>
      <c r="Y97" t="str">
        <f t="shared" si="45"/>
        <v/>
      </c>
      <c r="AC97" s="602">
        <v>29</v>
      </c>
      <c r="AD97">
        <f t="shared" si="31"/>
        <v>0</v>
      </c>
      <c r="AE97">
        <f>IF(AD97=0,0,1+MAX(AE$69:AE96))</f>
        <v>0</v>
      </c>
      <c r="AF97">
        <f t="shared" si="46"/>
        <v>0</v>
      </c>
      <c r="AG97" t="str">
        <f t="shared" si="47"/>
        <v/>
      </c>
      <c r="AH97" t="str">
        <f t="shared" si="48"/>
        <v/>
      </c>
      <c r="AL97" s="602">
        <v>29</v>
      </c>
      <c r="AM97">
        <f t="shared" si="32"/>
        <v>0</v>
      </c>
      <c r="AN97">
        <f>IF(AM97=0,0,1+MAX(AN$69:AN96))</f>
        <v>0</v>
      </c>
      <c r="AO97">
        <f t="shared" si="49"/>
        <v>0</v>
      </c>
      <c r="AP97" t="str">
        <f t="shared" si="50"/>
        <v/>
      </c>
      <c r="AQ97" t="str">
        <f t="shared" si="51"/>
        <v/>
      </c>
      <c r="AU97" s="602">
        <v>29</v>
      </c>
      <c r="AV97">
        <f t="shared" si="33"/>
        <v>0</v>
      </c>
      <c r="AW97">
        <f>IF(AV97=0,0,1+MAX(AW$69:AW96))</f>
        <v>0</v>
      </c>
      <c r="AX97">
        <f t="shared" si="52"/>
        <v>0</v>
      </c>
      <c r="AY97" t="str">
        <f t="shared" si="53"/>
        <v/>
      </c>
      <c r="AZ97" t="str">
        <f t="shared" si="54"/>
        <v/>
      </c>
      <c r="BD97" s="602">
        <v>29</v>
      </c>
      <c r="BE97">
        <f t="shared" si="34"/>
        <v>0</v>
      </c>
      <c r="BF97">
        <f>IF(BE97=0,0,1+MAX(BF$69:BF96))</f>
        <v>0</v>
      </c>
      <c r="BG97">
        <f t="shared" si="55"/>
        <v>0</v>
      </c>
      <c r="BH97" t="str">
        <f t="shared" si="56"/>
        <v/>
      </c>
      <c r="BI97" t="str">
        <f t="shared" si="57"/>
        <v/>
      </c>
      <c r="BM97" s="602">
        <v>29</v>
      </c>
      <c r="BN97">
        <f t="shared" si="35"/>
        <v>0</v>
      </c>
      <c r="BO97">
        <f>IF(BN97=0,0,1+MAX(BO$69:BO96))</f>
        <v>0</v>
      </c>
      <c r="BP97">
        <f t="shared" si="58"/>
        <v>0</v>
      </c>
      <c r="BQ97" t="str">
        <f t="shared" si="59"/>
        <v/>
      </c>
      <c r="BR97" t="str">
        <f t="shared" si="60"/>
        <v/>
      </c>
      <c r="BV97" s="602">
        <v>29</v>
      </c>
      <c r="BW97">
        <f t="shared" si="36"/>
        <v>0</v>
      </c>
      <c r="BX97">
        <f>IF(BW97=0,0,1+MAX(BX$69:BX96))</f>
        <v>0</v>
      </c>
      <c r="BY97">
        <f t="shared" si="61"/>
        <v>0</v>
      </c>
      <c r="BZ97" t="str">
        <f t="shared" si="62"/>
        <v/>
      </c>
      <c r="CA97" t="str">
        <f t="shared" si="63"/>
        <v/>
      </c>
    </row>
    <row r="98" spans="2:79" x14ac:dyDescent="0.25">
      <c r="B98" s="5">
        <v>30</v>
      </c>
      <c r="C98">
        <f t="shared" si="28"/>
        <v>0</v>
      </c>
      <c r="D98">
        <f>IF(C98=0,0,1+MAX(D$69:D97))</f>
        <v>0</v>
      </c>
      <c r="E98">
        <f t="shared" si="37"/>
        <v>0</v>
      </c>
      <c r="F98" t="str">
        <f t="shared" si="38"/>
        <v/>
      </c>
      <c r="G98" t="str">
        <f t="shared" si="39"/>
        <v/>
      </c>
      <c r="K98" s="602">
        <v>30</v>
      </c>
      <c r="L98">
        <f t="shared" si="29"/>
        <v>0</v>
      </c>
      <c r="M98">
        <f>IF(L98=0,0,1+MAX(M$69:M97))</f>
        <v>0</v>
      </c>
      <c r="N98">
        <f t="shared" si="40"/>
        <v>0</v>
      </c>
      <c r="O98" t="str">
        <f t="shared" si="41"/>
        <v/>
      </c>
      <c r="P98" t="str">
        <f t="shared" si="42"/>
        <v/>
      </c>
      <c r="T98" s="602">
        <v>30</v>
      </c>
      <c r="U98">
        <f t="shared" si="30"/>
        <v>0</v>
      </c>
      <c r="V98">
        <f>IF(U98=0,0,1+MAX(V$69:V97))</f>
        <v>0</v>
      </c>
      <c r="W98">
        <f t="shared" si="43"/>
        <v>0</v>
      </c>
      <c r="X98" t="str">
        <f t="shared" si="44"/>
        <v/>
      </c>
      <c r="Y98" t="str">
        <f t="shared" si="45"/>
        <v/>
      </c>
      <c r="AC98" s="602">
        <v>30</v>
      </c>
      <c r="AD98">
        <f t="shared" si="31"/>
        <v>0</v>
      </c>
      <c r="AE98">
        <f>IF(AD98=0,0,1+MAX(AE$69:AE97))</f>
        <v>0</v>
      </c>
      <c r="AF98">
        <f t="shared" si="46"/>
        <v>0</v>
      </c>
      <c r="AG98" t="str">
        <f t="shared" si="47"/>
        <v/>
      </c>
      <c r="AH98" t="str">
        <f t="shared" si="48"/>
        <v/>
      </c>
      <c r="AL98" s="602">
        <v>30</v>
      </c>
      <c r="AM98">
        <f t="shared" si="32"/>
        <v>0</v>
      </c>
      <c r="AN98">
        <f>IF(AM98=0,0,1+MAX(AN$69:AN97))</f>
        <v>0</v>
      </c>
      <c r="AO98">
        <f t="shared" si="49"/>
        <v>0</v>
      </c>
      <c r="AP98" t="str">
        <f t="shared" si="50"/>
        <v/>
      </c>
      <c r="AQ98" t="str">
        <f t="shared" si="51"/>
        <v/>
      </c>
      <c r="AU98" s="602">
        <v>30</v>
      </c>
      <c r="AV98">
        <f t="shared" si="33"/>
        <v>0</v>
      </c>
      <c r="AW98">
        <f>IF(AV98=0,0,1+MAX(AW$69:AW97))</f>
        <v>0</v>
      </c>
      <c r="AX98">
        <f t="shared" si="52"/>
        <v>0</v>
      </c>
      <c r="AY98" t="str">
        <f t="shared" si="53"/>
        <v/>
      </c>
      <c r="AZ98" t="str">
        <f t="shared" si="54"/>
        <v/>
      </c>
      <c r="BD98" s="602">
        <v>30</v>
      </c>
      <c r="BE98">
        <f t="shared" si="34"/>
        <v>0</v>
      </c>
      <c r="BF98">
        <f>IF(BE98=0,0,1+MAX(BF$69:BF97))</f>
        <v>0</v>
      </c>
      <c r="BG98">
        <f t="shared" si="55"/>
        <v>0</v>
      </c>
      <c r="BH98" t="str">
        <f t="shared" si="56"/>
        <v/>
      </c>
      <c r="BI98" t="str">
        <f t="shared" si="57"/>
        <v/>
      </c>
      <c r="BM98" s="602">
        <v>30</v>
      </c>
      <c r="BN98">
        <f t="shared" si="35"/>
        <v>0</v>
      </c>
      <c r="BO98">
        <f>IF(BN98=0,0,1+MAX(BO$69:BO97))</f>
        <v>0</v>
      </c>
      <c r="BP98">
        <f t="shared" si="58"/>
        <v>0</v>
      </c>
      <c r="BQ98" t="str">
        <f t="shared" si="59"/>
        <v/>
      </c>
      <c r="BR98" t="str">
        <f t="shared" si="60"/>
        <v/>
      </c>
      <c r="BV98" s="602">
        <v>30</v>
      </c>
      <c r="BW98">
        <f t="shared" si="36"/>
        <v>0</v>
      </c>
      <c r="BX98">
        <f>IF(BW98=0,0,1+MAX(BX$69:BX97))</f>
        <v>0</v>
      </c>
      <c r="BY98">
        <f t="shared" si="61"/>
        <v>0</v>
      </c>
      <c r="BZ98" t="str">
        <f t="shared" si="62"/>
        <v/>
      </c>
      <c r="CA98" t="str">
        <f t="shared" si="63"/>
        <v/>
      </c>
    </row>
  </sheetData>
  <mergeCells count="296">
    <mergeCell ref="B37:H66"/>
    <mergeCell ref="BE35:BI35"/>
    <mergeCell ref="BN35:BR35"/>
    <mergeCell ref="BW35:CA35"/>
    <mergeCell ref="C34:G34"/>
    <mergeCell ref="L34:P34"/>
    <mergeCell ref="U34:Y34"/>
    <mergeCell ref="AD34:AH34"/>
    <mergeCell ref="AM34:AQ34"/>
    <mergeCell ref="AV34:AZ34"/>
    <mergeCell ref="BE34:BI34"/>
    <mergeCell ref="C35:G35"/>
    <mergeCell ref="L35:P35"/>
    <mergeCell ref="U35:Y35"/>
    <mergeCell ref="AD35:AH35"/>
    <mergeCell ref="AM35:AQ35"/>
    <mergeCell ref="AV35:AZ35"/>
    <mergeCell ref="BN34:BR34"/>
    <mergeCell ref="BW34:CA34"/>
    <mergeCell ref="C33:G33"/>
    <mergeCell ref="L33:P33"/>
    <mergeCell ref="U33:Y33"/>
    <mergeCell ref="AD33:AH33"/>
    <mergeCell ref="AM33:AQ33"/>
    <mergeCell ref="AV33:AZ33"/>
    <mergeCell ref="BE33:BI33"/>
    <mergeCell ref="BN33:BR33"/>
    <mergeCell ref="BW33:CA33"/>
    <mergeCell ref="C32:G32"/>
    <mergeCell ref="L32:P32"/>
    <mergeCell ref="U32:Y32"/>
    <mergeCell ref="AD32:AH32"/>
    <mergeCell ref="AM32:AQ32"/>
    <mergeCell ref="AV32:AZ32"/>
    <mergeCell ref="BE32:BI32"/>
    <mergeCell ref="BN32:BR32"/>
    <mergeCell ref="BW32:CA32"/>
    <mergeCell ref="BE31:BI31"/>
    <mergeCell ref="BN31:BR31"/>
    <mergeCell ref="BW31:CA31"/>
    <mergeCell ref="C30:G30"/>
    <mergeCell ref="L30:P30"/>
    <mergeCell ref="U30:Y30"/>
    <mergeCell ref="AD30:AH30"/>
    <mergeCell ref="AM30:AQ30"/>
    <mergeCell ref="AV30:AZ30"/>
    <mergeCell ref="BE30:BI30"/>
    <mergeCell ref="C31:G31"/>
    <mergeCell ref="L31:P31"/>
    <mergeCell ref="U31:Y31"/>
    <mergeCell ref="AD31:AH31"/>
    <mergeCell ref="AM31:AQ31"/>
    <mergeCell ref="AV31:AZ31"/>
    <mergeCell ref="BN30:BR30"/>
    <mergeCell ref="BW30:CA30"/>
    <mergeCell ref="C29:G29"/>
    <mergeCell ref="L29:P29"/>
    <mergeCell ref="U29:Y29"/>
    <mergeCell ref="AD29:AH29"/>
    <mergeCell ref="AM29:AQ29"/>
    <mergeCell ref="AV29:AZ29"/>
    <mergeCell ref="BE29:BI29"/>
    <mergeCell ref="BN29:BR29"/>
    <mergeCell ref="BW29:CA29"/>
    <mergeCell ref="C28:G28"/>
    <mergeCell ref="L28:P28"/>
    <mergeCell ref="U28:Y28"/>
    <mergeCell ref="AD28:AH28"/>
    <mergeCell ref="AM28:AQ28"/>
    <mergeCell ref="AV28:AZ28"/>
    <mergeCell ref="BE28:BI28"/>
    <mergeCell ref="BN28:BR28"/>
    <mergeCell ref="BW28:CA28"/>
    <mergeCell ref="BE27:BI27"/>
    <mergeCell ref="BN27:BR27"/>
    <mergeCell ref="BW27:CA27"/>
    <mergeCell ref="C26:G26"/>
    <mergeCell ref="L26:P26"/>
    <mergeCell ref="U26:Y26"/>
    <mergeCell ref="AD26:AH26"/>
    <mergeCell ref="AM26:AQ26"/>
    <mergeCell ref="AV26:AZ26"/>
    <mergeCell ref="BE26:BI26"/>
    <mergeCell ref="C27:G27"/>
    <mergeCell ref="L27:P27"/>
    <mergeCell ref="U27:Y27"/>
    <mergeCell ref="AD27:AH27"/>
    <mergeCell ref="AM27:AQ27"/>
    <mergeCell ref="AV27:AZ27"/>
    <mergeCell ref="BN26:BR26"/>
    <mergeCell ref="BW26:CA26"/>
    <mergeCell ref="C25:G25"/>
    <mergeCell ref="L25:P25"/>
    <mergeCell ref="U25:Y25"/>
    <mergeCell ref="AD25:AH25"/>
    <mergeCell ref="AM25:AQ25"/>
    <mergeCell ref="AV25:AZ25"/>
    <mergeCell ref="BE25:BI25"/>
    <mergeCell ref="BN25:BR25"/>
    <mergeCell ref="BW25:CA25"/>
    <mergeCell ref="C24:G24"/>
    <mergeCell ref="L24:P24"/>
    <mergeCell ref="U24:Y24"/>
    <mergeCell ref="AD24:AH24"/>
    <mergeCell ref="AM24:AQ24"/>
    <mergeCell ref="AV24:AZ24"/>
    <mergeCell ref="BE24:BI24"/>
    <mergeCell ref="BN24:BR24"/>
    <mergeCell ref="BW24:CA24"/>
    <mergeCell ref="BE23:BI23"/>
    <mergeCell ref="BN23:BR23"/>
    <mergeCell ref="BW23:CA23"/>
    <mergeCell ref="C22:G22"/>
    <mergeCell ref="L22:P22"/>
    <mergeCell ref="U22:Y22"/>
    <mergeCell ref="AD22:AH22"/>
    <mergeCell ref="AM22:AQ22"/>
    <mergeCell ref="AV22:AZ22"/>
    <mergeCell ref="BE22:BI22"/>
    <mergeCell ref="C23:G23"/>
    <mergeCell ref="L23:P23"/>
    <mergeCell ref="U23:Y23"/>
    <mergeCell ref="AD23:AH23"/>
    <mergeCell ref="AM23:AQ23"/>
    <mergeCell ref="AV23:AZ23"/>
    <mergeCell ref="BN22:BR22"/>
    <mergeCell ref="BW22:CA22"/>
    <mergeCell ref="C21:G21"/>
    <mergeCell ref="L21:P21"/>
    <mergeCell ref="U21:Y21"/>
    <mergeCell ref="AD21:AH21"/>
    <mergeCell ref="AM21:AQ21"/>
    <mergeCell ref="AV21:AZ21"/>
    <mergeCell ref="BE21:BI21"/>
    <mergeCell ref="BN21:BR21"/>
    <mergeCell ref="BW21:CA21"/>
    <mergeCell ref="C20:G20"/>
    <mergeCell ref="L20:P20"/>
    <mergeCell ref="U20:Y20"/>
    <mergeCell ref="AD20:AH20"/>
    <mergeCell ref="AM20:AQ20"/>
    <mergeCell ref="AV20:AZ20"/>
    <mergeCell ref="BE20:BI20"/>
    <mergeCell ref="BN20:BR20"/>
    <mergeCell ref="BW20:CA20"/>
    <mergeCell ref="BE19:BI19"/>
    <mergeCell ref="BN19:BR19"/>
    <mergeCell ref="BW19:CA19"/>
    <mergeCell ref="C18:G18"/>
    <mergeCell ref="L18:P18"/>
    <mergeCell ref="U18:Y18"/>
    <mergeCell ref="AD18:AH18"/>
    <mergeCell ref="AM18:AQ18"/>
    <mergeCell ref="AV18:AZ18"/>
    <mergeCell ref="BE18:BI18"/>
    <mergeCell ref="C19:G19"/>
    <mergeCell ref="L19:P19"/>
    <mergeCell ref="U19:Y19"/>
    <mergeCell ref="AD19:AH19"/>
    <mergeCell ref="AM19:AQ19"/>
    <mergeCell ref="AV19:AZ19"/>
    <mergeCell ref="BN18:BR18"/>
    <mergeCell ref="BW18:CA18"/>
    <mergeCell ref="C17:G17"/>
    <mergeCell ref="L17:P17"/>
    <mergeCell ref="U17:Y17"/>
    <mergeCell ref="AD17:AH17"/>
    <mergeCell ref="AM17:AQ17"/>
    <mergeCell ref="AV17:AZ17"/>
    <mergeCell ref="BE17:BI17"/>
    <mergeCell ref="BN17:BR17"/>
    <mergeCell ref="BW17:CA17"/>
    <mergeCell ref="C16:G16"/>
    <mergeCell ref="L16:P16"/>
    <mergeCell ref="U16:Y16"/>
    <mergeCell ref="AD16:AH16"/>
    <mergeCell ref="AM16:AQ16"/>
    <mergeCell ref="AV16:AZ16"/>
    <mergeCell ref="BE16:BI16"/>
    <mergeCell ref="BN16:BR16"/>
    <mergeCell ref="BW16:CA16"/>
    <mergeCell ref="BE15:BI15"/>
    <mergeCell ref="BN15:BR15"/>
    <mergeCell ref="BW15:CA15"/>
    <mergeCell ref="C14:G14"/>
    <mergeCell ref="L14:P14"/>
    <mergeCell ref="U14:Y14"/>
    <mergeCell ref="AD14:AH14"/>
    <mergeCell ref="AM14:AQ14"/>
    <mergeCell ref="AV14:AZ14"/>
    <mergeCell ref="BE14:BI14"/>
    <mergeCell ref="C15:G15"/>
    <mergeCell ref="L15:P15"/>
    <mergeCell ref="U15:Y15"/>
    <mergeCell ref="AD15:AH15"/>
    <mergeCell ref="AM15:AQ15"/>
    <mergeCell ref="AV15:AZ15"/>
    <mergeCell ref="BN14:BR14"/>
    <mergeCell ref="BW14:CA14"/>
    <mergeCell ref="C13:G13"/>
    <mergeCell ref="L13:P13"/>
    <mergeCell ref="U13:Y13"/>
    <mergeCell ref="AD13:AH13"/>
    <mergeCell ref="AM13:AQ13"/>
    <mergeCell ref="AV13:AZ13"/>
    <mergeCell ref="BE13:BI13"/>
    <mergeCell ref="BN13:BR13"/>
    <mergeCell ref="BW13:CA13"/>
    <mergeCell ref="C12:G12"/>
    <mergeCell ref="L12:P12"/>
    <mergeCell ref="U12:Y12"/>
    <mergeCell ref="AD12:AH12"/>
    <mergeCell ref="AM12:AQ12"/>
    <mergeCell ref="AV12:AZ12"/>
    <mergeCell ref="BE12:BI12"/>
    <mergeCell ref="BN12:BR12"/>
    <mergeCell ref="BW12:CA12"/>
    <mergeCell ref="BE11:BI11"/>
    <mergeCell ref="BN11:BR11"/>
    <mergeCell ref="BW11:CA11"/>
    <mergeCell ref="C10:G10"/>
    <mergeCell ref="L10:P10"/>
    <mergeCell ref="U10:Y10"/>
    <mergeCell ref="AD10:AH10"/>
    <mergeCell ref="AM10:AQ10"/>
    <mergeCell ref="AV10:AZ10"/>
    <mergeCell ref="BE10:BI10"/>
    <mergeCell ref="C11:G11"/>
    <mergeCell ref="L11:P11"/>
    <mergeCell ref="U11:Y11"/>
    <mergeCell ref="AD11:AH11"/>
    <mergeCell ref="AM11:AQ11"/>
    <mergeCell ref="AV11:AZ11"/>
    <mergeCell ref="BN10:BR10"/>
    <mergeCell ref="BW10:CA10"/>
    <mergeCell ref="C9:G9"/>
    <mergeCell ref="L9:P9"/>
    <mergeCell ref="U9:Y9"/>
    <mergeCell ref="AD9:AH9"/>
    <mergeCell ref="AM9:AQ9"/>
    <mergeCell ref="AV9:AZ9"/>
    <mergeCell ref="BE9:BI9"/>
    <mergeCell ref="BN9:BR9"/>
    <mergeCell ref="BW9:CA9"/>
    <mergeCell ref="C8:G8"/>
    <mergeCell ref="L8:P8"/>
    <mergeCell ref="U8:Y8"/>
    <mergeCell ref="AD8:AH8"/>
    <mergeCell ref="AM8:AQ8"/>
    <mergeCell ref="AV8:AZ8"/>
    <mergeCell ref="BE8:BI8"/>
    <mergeCell ref="BN8:BR8"/>
    <mergeCell ref="BW8:CA8"/>
    <mergeCell ref="M2:CC2"/>
    <mergeCell ref="BE7:BI7"/>
    <mergeCell ref="BN7:BR7"/>
    <mergeCell ref="BW7:CA7"/>
    <mergeCell ref="C6:G6"/>
    <mergeCell ref="L6:P6"/>
    <mergeCell ref="U6:Y6"/>
    <mergeCell ref="AD6:AH6"/>
    <mergeCell ref="AM6:AQ6"/>
    <mergeCell ref="AV6:AZ6"/>
    <mergeCell ref="BE6:BI6"/>
    <mergeCell ref="C7:G7"/>
    <mergeCell ref="L7:P7"/>
    <mergeCell ref="U7:Y7"/>
    <mergeCell ref="AD7:AH7"/>
    <mergeCell ref="AM7:AQ7"/>
    <mergeCell ref="AV7:AZ7"/>
    <mergeCell ref="BN6:BR6"/>
    <mergeCell ref="BW6:CA6"/>
    <mergeCell ref="B1:F1"/>
    <mergeCell ref="G1:K1"/>
    <mergeCell ref="L1:P1"/>
    <mergeCell ref="BV5:CB5"/>
    <mergeCell ref="B2:D3"/>
    <mergeCell ref="E2:F2"/>
    <mergeCell ref="G2:I2"/>
    <mergeCell ref="J2:L2"/>
    <mergeCell ref="E3:F3"/>
    <mergeCell ref="G3:I3"/>
    <mergeCell ref="J3:L3"/>
    <mergeCell ref="M3:O3"/>
    <mergeCell ref="P3:R3"/>
    <mergeCell ref="B5:H5"/>
    <mergeCell ref="K5:Q5"/>
    <mergeCell ref="T5:Z5"/>
    <mergeCell ref="AC5:AI5"/>
    <mergeCell ref="AL5:AR5"/>
    <mergeCell ref="AU5:BA5"/>
    <mergeCell ref="BD5:BJ5"/>
    <mergeCell ref="BM5:BS5"/>
    <mergeCell ref="S3:U3"/>
    <mergeCell ref="V3:X3"/>
    <mergeCell ref="Y3:AA3"/>
  </mergeCells>
  <dataValidations count="9">
    <dataValidation type="list" allowBlank="1" showInputMessage="1" showErrorMessage="1" sqref="Z6:Z35" xr:uid="{00000000-0002-0000-0B00-000000000000}">
      <formula1>$CI$43</formula1>
    </dataValidation>
    <dataValidation type="list" allowBlank="1" showInputMessage="1" showErrorMessage="1" sqref="Q6:Q35" xr:uid="{00000000-0002-0000-0B00-000001000000}">
      <formula1>$CI$42</formula1>
    </dataValidation>
    <dataValidation type="list" allowBlank="1" showInputMessage="1" showErrorMessage="1" sqref="H6:H35" xr:uid="{00000000-0002-0000-0B00-000002000000}">
      <formula1>$CI$41</formula1>
    </dataValidation>
    <dataValidation type="list" allowBlank="1" showInputMessage="1" showErrorMessage="1" sqref="BS6:BS35" xr:uid="{00000000-0002-0000-0B00-000003000000}">
      <formula1>$CI$11</formula1>
    </dataValidation>
    <dataValidation type="list" allowBlank="1" showInputMessage="1" showErrorMessage="1" sqref="BJ6:BJ35" xr:uid="{00000000-0002-0000-0B00-000004000000}">
      <formula1>$CI$10</formula1>
    </dataValidation>
    <dataValidation type="list" allowBlank="1" showInputMessage="1" showErrorMessage="1" sqref="BA6:BA35" xr:uid="{00000000-0002-0000-0B00-000005000000}">
      <formula1>$CI$9</formula1>
    </dataValidation>
    <dataValidation type="list" allowBlank="1" showInputMessage="1" showErrorMessage="1" sqref="AR6:AR35" xr:uid="{00000000-0002-0000-0B00-000006000000}">
      <formula1>$CI$8</formula1>
    </dataValidation>
    <dataValidation type="list" allowBlank="1" showInputMessage="1" showErrorMessage="1" sqref="AI6:AI35" xr:uid="{00000000-0002-0000-0B00-000007000000}">
      <formula1>$CI$7</formula1>
    </dataValidation>
    <dataValidation type="list" allowBlank="1" showInputMessage="1" showErrorMessage="1" sqref="CB6:CB35" xr:uid="{00000000-0002-0000-0B00-000008000000}">
      <formula1>$CI$12</formula1>
    </dataValidation>
  </dataValidations>
  <hyperlinks>
    <hyperlink ref="B1:D1" location="LinkSpellsKnown" display="Back to Spellcasting" xr:uid="{00000000-0004-0000-0B00-000000000000}"/>
    <hyperlink ref="G1:I1" location="LinkSpellsKnown" display="Back to Spellcasting" xr:uid="{00000000-0004-0000-0B00-000001000000}"/>
    <hyperlink ref="G1:K1" location="SheetSpellBook" display="to Wizard Spells Known" xr:uid="{00000000-0004-0000-0B00-000002000000}"/>
    <hyperlink ref="L1:N1" location="LinkSpellsKnown" display="Back to Spellcasting" xr:uid="{00000000-0004-0000-0B00-000003000000}"/>
    <hyperlink ref="L1:P1" location="SpellCastingIndex" display="to Spellcasting Index" xr:uid="{00000000-0004-0000-0B00-000004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7">
    <tabColor theme="4" tint="0.39997558519241921"/>
  </sheetPr>
  <dimension ref="A1:CX98"/>
  <sheetViews>
    <sheetView workbookViewId="0">
      <selection activeCell="B2" sqref="B2:G3"/>
    </sheetView>
  </sheetViews>
  <sheetFormatPr defaultColWidth="4.7109375" defaultRowHeight="15" x14ac:dyDescent="0.25"/>
  <sheetData>
    <row r="1" spans="1:102" ht="17.25" thickTop="1" thickBot="1" x14ac:dyDescent="0.3">
      <c r="A1" s="120"/>
      <c r="B1" s="1049" t="s">
        <v>6626</v>
      </c>
      <c r="C1" s="1049"/>
      <c r="D1" s="1049"/>
      <c r="E1" s="1049"/>
      <c r="F1" s="1049"/>
      <c r="G1" s="1049" t="s">
        <v>6654</v>
      </c>
      <c r="H1" s="1049"/>
      <c r="I1" s="1049"/>
      <c r="J1" s="1049"/>
      <c r="K1" s="1049"/>
      <c r="L1" s="1050" t="s">
        <v>6648</v>
      </c>
      <c r="M1" s="1050"/>
      <c r="N1" s="1050"/>
      <c r="O1" s="1050"/>
      <c r="P1" s="1050"/>
      <c r="Q1" s="1049" t="s">
        <v>6657</v>
      </c>
      <c r="R1" s="1049"/>
      <c r="S1" s="1049"/>
      <c r="T1" s="1049"/>
      <c r="U1" s="1049"/>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row>
    <row r="2" spans="1:102" ht="15" customHeight="1" thickTop="1" x14ac:dyDescent="0.25">
      <c r="A2" s="120"/>
      <c r="B2" s="1068" t="s">
        <v>3164</v>
      </c>
      <c r="C2" s="1068"/>
      <c r="D2" s="1068"/>
      <c r="E2" s="1068"/>
      <c r="F2" s="1068"/>
      <c r="G2" s="1068"/>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row>
    <row r="3" spans="1:102" ht="15" customHeight="1" x14ac:dyDescent="0.25">
      <c r="A3" s="120"/>
      <c r="B3" s="1068"/>
      <c r="C3" s="1068"/>
      <c r="D3" s="1068"/>
      <c r="E3" s="1068"/>
      <c r="F3" s="1068"/>
      <c r="G3" s="1068"/>
      <c r="H3" s="575" t="s">
        <v>62</v>
      </c>
      <c r="I3" s="589"/>
      <c r="J3" s="563"/>
      <c r="K3" s="1052">
        <f>FighterLevel</f>
        <v>12</v>
      </c>
      <c r="L3" s="1052"/>
      <c r="M3" s="1052" t="s">
        <v>6381</v>
      </c>
      <c r="N3" s="1052"/>
      <c r="O3" s="1052"/>
      <c r="P3" s="1051">
        <f>EldritchKnightSpellsKnown</f>
        <v>8</v>
      </c>
      <c r="Q3" s="1051"/>
      <c r="R3" s="1051"/>
      <c r="S3" s="1051"/>
      <c r="T3" s="1052" t="s">
        <v>6383</v>
      </c>
      <c r="U3" s="1052"/>
      <c r="V3" s="1052"/>
      <c r="W3" s="1051">
        <f>EldritchKnightMaxSpellLevel</f>
        <v>2</v>
      </c>
      <c r="X3" s="1051"/>
      <c r="Y3" s="120"/>
      <c r="Z3" s="120"/>
      <c r="AA3" s="120"/>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120"/>
      <c r="BV3" s="120"/>
      <c r="BW3" s="120"/>
      <c r="BX3" s="120"/>
    </row>
    <row r="4" spans="1:102" x14ac:dyDescent="0.25">
      <c r="A4" s="120"/>
      <c r="B4" s="120"/>
      <c r="C4" s="120"/>
      <c r="D4" s="120"/>
      <c r="E4" s="120"/>
      <c r="F4" s="120"/>
      <c r="G4" s="120"/>
      <c r="H4" s="120"/>
      <c r="I4" s="120"/>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120"/>
      <c r="AT4" s="120"/>
      <c r="AU4" s="120"/>
      <c r="AV4" s="120"/>
      <c r="AW4" s="120"/>
      <c r="AX4" s="120"/>
      <c r="AY4" s="120"/>
      <c r="AZ4" s="120"/>
      <c r="BA4" s="120"/>
      <c r="BB4" s="120"/>
      <c r="BC4" s="120"/>
      <c r="BD4" s="120"/>
      <c r="BE4" s="120"/>
      <c r="BF4" s="120"/>
      <c r="BG4" s="120"/>
      <c r="BH4" s="120"/>
      <c r="BI4" s="120"/>
      <c r="BJ4" s="120"/>
      <c r="BK4" s="120"/>
      <c r="BL4" s="120"/>
      <c r="BM4" s="120"/>
      <c r="BN4" s="120"/>
      <c r="BO4" s="120"/>
      <c r="BP4" s="120"/>
      <c r="BQ4" s="120"/>
      <c r="BR4" s="120"/>
      <c r="BS4" s="120"/>
      <c r="BT4" s="120"/>
      <c r="BU4" s="120"/>
      <c r="BV4" s="120"/>
      <c r="BW4" s="120"/>
      <c r="BX4" s="120"/>
    </row>
    <row r="5" spans="1:102" x14ac:dyDescent="0.25">
      <c r="A5" s="120"/>
      <c r="B5" s="1052" t="s">
        <v>6359</v>
      </c>
      <c r="C5" s="1052"/>
      <c r="D5" s="1052"/>
      <c r="E5" s="1052"/>
      <c r="F5" s="1052"/>
      <c r="G5" s="1052"/>
      <c r="H5" s="565"/>
      <c r="I5" s="565"/>
      <c r="J5" s="565"/>
      <c r="K5" s="1052" t="s">
        <v>6277</v>
      </c>
      <c r="L5" s="1052"/>
      <c r="M5" s="1052"/>
      <c r="N5" s="1052"/>
      <c r="O5" s="1052"/>
      <c r="P5" s="1052"/>
      <c r="Q5" s="565"/>
      <c r="R5" s="565"/>
      <c r="S5" s="565"/>
      <c r="T5" s="1052" t="s">
        <v>6279</v>
      </c>
      <c r="U5" s="1052"/>
      <c r="V5" s="1052"/>
      <c r="W5" s="1052"/>
      <c r="X5" s="1052"/>
      <c r="Y5" s="1052"/>
      <c r="Z5" s="565"/>
      <c r="AA5" s="565"/>
      <c r="AB5" s="565"/>
      <c r="AC5" s="1052" t="s">
        <v>6280</v>
      </c>
      <c r="AD5" s="1052"/>
      <c r="AE5" s="1052"/>
      <c r="AF5" s="1052"/>
      <c r="AG5" s="1052"/>
      <c r="AH5" s="1052"/>
      <c r="AI5" s="565"/>
      <c r="AJ5" s="565"/>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CG5" s="1046">
        <v>1</v>
      </c>
      <c r="CH5" s="1046"/>
      <c r="CI5" s="1046">
        <v>2</v>
      </c>
      <c r="CJ5" s="1046"/>
      <c r="CK5" s="1046">
        <v>3</v>
      </c>
      <c r="CL5" s="1046"/>
      <c r="CM5" s="1046">
        <v>4</v>
      </c>
      <c r="CN5" s="1046"/>
      <c r="CO5" s="1046"/>
      <c r="CP5" s="1046"/>
      <c r="CQ5" s="1046"/>
      <c r="CR5" s="1046"/>
      <c r="CS5" s="1046"/>
      <c r="CT5" s="1046"/>
      <c r="CU5" s="1046"/>
      <c r="CV5" s="1046"/>
      <c r="CW5" s="1046"/>
      <c r="CX5" s="1046"/>
    </row>
    <row r="6" spans="1:102" x14ac:dyDescent="0.25">
      <c r="A6" s="120"/>
      <c r="B6" s="5">
        <v>1</v>
      </c>
      <c r="C6" s="1069" t="str">
        <f>IFERROR(INDEX($CE$6:$CE$18,MATCH(B6,$CH$6:$CH$18,0),1),"")</f>
        <v>Protection from Evil and Good</v>
      </c>
      <c r="D6" s="1069"/>
      <c r="E6" s="1069"/>
      <c r="F6" s="1069"/>
      <c r="G6" s="1069"/>
      <c r="H6" s="565"/>
      <c r="I6" s="565"/>
      <c r="J6" s="565" t="str">
        <f>IF(C6="","",C6&amp;", ")</f>
        <v xml:space="preserve">Protection from Evil and Good, </v>
      </c>
      <c r="K6" s="5">
        <v>1</v>
      </c>
      <c r="L6" s="1069" t="str">
        <f t="shared" ref="L6:L35" si="0">IFERROR(INDEX($CE$6:$CE$18,MATCH(K6,$CJ$6:$CJ$18,0),1),"")</f>
        <v>Alter Self</v>
      </c>
      <c r="M6" s="1069"/>
      <c r="N6" s="1069"/>
      <c r="O6" s="1069"/>
      <c r="P6" s="1069"/>
      <c r="Q6" s="565"/>
      <c r="R6" s="565"/>
      <c r="S6" s="565" t="str">
        <f>IF(L6="","",L6&amp;", ")</f>
        <v xml:space="preserve">Alter Self, </v>
      </c>
      <c r="T6" s="5">
        <v>1</v>
      </c>
      <c r="U6" s="1069" t="str">
        <f t="shared" ref="U6:U35" si="1">IFERROR(INDEX($CE$6:$CE$18,MATCH(T6,$CL$6:$CL$18,0),1),"")</f>
        <v/>
      </c>
      <c r="V6" s="1069"/>
      <c r="W6" s="1069"/>
      <c r="X6" s="1069"/>
      <c r="Y6" s="1069"/>
      <c r="Z6" s="565"/>
      <c r="AA6" s="565"/>
      <c r="AB6" s="565" t="str">
        <f>IF(U6="","",U6&amp;", ")</f>
        <v/>
      </c>
      <c r="AC6" s="5">
        <v>1</v>
      </c>
      <c r="AD6" s="1069" t="str">
        <f t="shared" ref="AD6:AD35" si="2">IFERROR(INDEX($CE$6:$CE$18,MATCH(AC6,$CN$6:$CN$18,0),1),"")</f>
        <v/>
      </c>
      <c r="AE6" s="1069"/>
      <c r="AF6" s="1069"/>
      <c r="AG6" s="1069"/>
      <c r="AH6" s="1069"/>
      <c r="AI6" s="565"/>
      <c r="AJ6" s="565" t="str">
        <f>IF(AD6="","",AD6&amp;", ")</f>
        <v/>
      </c>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20"/>
      <c r="BT6" s="120"/>
      <c r="BU6" s="120"/>
      <c r="BV6" s="120"/>
      <c r="BW6" s="120"/>
      <c r="BX6" s="120"/>
      <c r="CA6">
        <v>1</v>
      </c>
      <c r="CB6" s="558" t="str">
        <f>IF(CA6&lt;=DruidMaxSpellLevel,"●","")</f>
        <v/>
      </c>
      <c r="CD6">
        <v>1</v>
      </c>
      <c r="CE6" t="str">
        <f>Character_Creation!J341</f>
        <v>Protection from Evil and Good</v>
      </c>
      <c r="CF6">
        <f>Character_Creation!N341</f>
        <v>1</v>
      </c>
      <c r="CG6">
        <f>IF(AND($CE6&lt;&gt;0,$CE6&lt;&gt;""),1,0)*IF($CF6=1,1,0)</f>
        <v>1</v>
      </c>
      <c r="CH6">
        <f>IF(CG6=0,0,1)</f>
        <v>1</v>
      </c>
      <c r="CI6">
        <f>IF(AND($CE6&lt;&gt;0,$CE6&lt;&gt;""),1,0)*IF($CF6=2,1,0)</f>
        <v>0</v>
      </c>
      <c r="CJ6">
        <f>IF(CI6=0,0,1)</f>
        <v>0</v>
      </c>
      <c r="CK6">
        <f>IF(AND($CE6&lt;&gt;0,$CE6&lt;&gt;""),1,0)*IF($CF6=3,1,0)</f>
        <v>0</v>
      </c>
      <c r="CL6">
        <f>IF(CK6=0,0,1)</f>
        <v>0</v>
      </c>
      <c r="CM6">
        <f>IF(AND($CE6&lt;&gt;0,$CE6&lt;&gt;""),1,0)*IF($CF6=4,1,0)</f>
        <v>0</v>
      </c>
      <c r="CN6">
        <f>IF(CM6=0,0,1)</f>
        <v>0</v>
      </c>
    </row>
    <row r="7" spans="1:102" x14ac:dyDescent="0.25">
      <c r="A7" s="120"/>
      <c r="B7" s="5">
        <v>2</v>
      </c>
      <c r="C7" s="1069" t="str">
        <f t="shared" ref="C7:C35" si="3">IFERROR(INDEX($CE$6:$CE$18,MATCH(B7,$CH$6:$CH$18,0),1),"")</f>
        <v>Shield</v>
      </c>
      <c r="D7" s="1069"/>
      <c r="E7" s="1069"/>
      <c r="F7" s="1069"/>
      <c r="G7" s="1069"/>
      <c r="H7" s="565"/>
      <c r="I7" s="565"/>
      <c r="J7" s="565" t="str">
        <f t="shared" ref="J7:J35" si="4">IF(C7="","",C7&amp;", ")</f>
        <v xml:space="preserve">Shield, </v>
      </c>
      <c r="K7" s="5">
        <v>2</v>
      </c>
      <c r="L7" s="1069" t="str">
        <f t="shared" si="0"/>
        <v>Misty Step</v>
      </c>
      <c r="M7" s="1069"/>
      <c r="N7" s="1069"/>
      <c r="O7" s="1069"/>
      <c r="P7" s="1069"/>
      <c r="Q7" s="565"/>
      <c r="R7" s="565"/>
      <c r="S7" s="565" t="str">
        <f t="shared" ref="S7:S35" si="5">IF(L7="","",L7&amp;", ")</f>
        <v xml:space="preserve">Misty Step, </v>
      </c>
      <c r="T7" s="5">
        <v>2</v>
      </c>
      <c r="U7" s="1069" t="str">
        <f t="shared" si="1"/>
        <v/>
      </c>
      <c r="V7" s="1069"/>
      <c r="W7" s="1069"/>
      <c r="X7" s="1069"/>
      <c r="Y7" s="1069"/>
      <c r="Z7" s="565"/>
      <c r="AA7" s="565"/>
      <c r="AB7" s="565" t="str">
        <f t="shared" ref="AB7:AB35" si="6">IF(U7="","",U7&amp;", ")</f>
        <v/>
      </c>
      <c r="AC7" s="5">
        <v>2</v>
      </c>
      <c r="AD7" s="1069" t="str">
        <f t="shared" si="2"/>
        <v/>
      </c>
      <c r="AE7" s="1069"/>
      <c r="AF7" s="1069"/>
      <c r="AG7" s="1069"/>
      <c r="AH7" s="1069"/>
      <c r="AI7" s="565"/>
      <c r="AJ7" s="565" t="str">
        <f t="shared" ref="AJ7:AJ35" si="7">IF(AD7="","",AD7&amp;", ")</f>
        <v/>
      </c>
      <c r="AK7" s="120"/>
      <c r="AL7" s="120"/>
      <c r="AM7" s="120"/>
      <c r="AN7" s="120"/>
      <c r="AO7" s="120"/>
      <c r="AP7" s="120"/>
      <c r="AQ7" s="120"/>
      <c r="AR7" s="120"/>
      <c r="AS7" s="120"/>
      <c r="AT7" s="120"/>
      <c r="AU7" s="120"/>
      <c r="AV7" s="120"/>
      <c r="AW7" s="120"/>
      <c r="AX7" s="120"/>
      <c r="AY7" s="120"/>
      <c r="AZ7" s="120"/>
      <c r="BA7" s="120"/>
      <c r="BB7" s="120"/>
      <c r="BC7" s="120"/>
      <c r="BD7" s="120"/>
      <c r="BE7" s="120"/>
      <c r="BF7" s="120"/>
      <c r="BG7" s="120"/>
      <c r="BH7" s="120"/>
      <c r="BI7" s="120"/>
      <c r="BJ7" s="120"/>
      <c r="BK7" s="120"/>
      <c r="BL7" s="120"/>
      <c r="BM7" s="120"/>
      <c r="BN7" s="120"/>
      <c r="BO7" s="120"/>
      <c r="BP7" s="120"/>
      <c r="BQ7" s="120"/>
      <c r="BR7" s="120"/>
      <c r="BS7" s="120"/>
      <c r="BT7" s="120"/>
      <c r="BU7" s="120"/>
      <c r="BV7" s="120"/>
      <c r="BW7" s="120"/>
      <c r="BX7" s="120"/>
      <c r="CA7">
        <v>2</v>
      </c>
      <c r="CB7" s="558" t="str">
        <f>IF(CA7&lt;=DruidMaxSpellLevel,"●","")</f>
        <v/>
      </c>
      <c r="CD7">
        <v>2</v>
      </c>
      <c r="CE7" t="str">
        <f>Character_Creation!J342</f>
        <v>Shield</v>
      </c>
      <c r="CF7">
        <f>Character_Creation!N342</f>
        <v>1</v>
      </c>
      <c r="CG7">
        <f t="shared" ref="CG7:CG18" si="8">IF(AND($CE7&lt;&gt;0,$CE7&lt;&gt;""),1,0)*IF($CF7=1,1,0)</f>
        <v>1</v>
      </c>
      <c r="CH7">
        <f>IF(CG7=0,0,1+COUNTIF(CH6:CH$6,"&gt;0"))</f>
        <v>2</v>
      </c>
      <c r="CI7">
        <f t="shared" ref="CI7:CI18" si="9">IF(AND($CE7&lt;&gt;0,$CE7&lt;&gt;""),1,0)*IF($CF7=2,1,0)</f>
        <v>0</v>
      </c>
      <c r="CJ7">
        <f>IF(CI7=0,0,1+COUNTIF(CJ6:CJ$6,"&gt;0"))</f>
        <v>0</v>
      </c>
      <c r="CK7">
        <f t="shared" ref="CK7:CK18" si="10">IF(AND($CE7&lt;&gt;0,$CE7&lt;&gt;""),1,0)*IF($CF7=3,1,0)</f>
        <v>0</v>
      </c>
      <c r="CL7">
        <f>IF(CK7=0,0,1+COUNTIF(CL6:CL$6,"&gt;0"))</f>
        <v>0</v>
      </c>
      <c r="CM7">
        <f t="shared" ref="CM7:CM18" si="11">IF(AND($CE7&lt;&gt;0,$CE7&lt;&gt;""),1,0)*IF($CF7=4,1,0)</f>
        <v>0</v>
      </c>
      <c r="CN7">
        <f>IF(CM7=0,0,1+COUNTIF(CN6:CN$6,"&gt;0"))</f>
        <v>0</v>
      </c>
    </row>
    <row r="8" spans="1:102" x14ac:dyDescent="0.25">
      <c r="A8" s="120"/>
      <c r="B8" s="5">
        <v>3</v>
      </c>
      <c r="C8" s="1069" t="str">
        <f t="shared" si="3"/>
        <v>Absorb Elements</v>
      </c>
      <c r="D8" s="1069"/>
      <c r="E8" s="1069"/>
      <c r="F8" s="1069"/>
      <c r="G8" s="1069"/>
      <c r="H8" s="565"/>
      <c r="I8" s="565"/>
      <c r="J8" s="565" t="str">
        <f t="shared" si="4"/>
        <v xml:space="preserve">Absorb Elements, </v>
      </c>
      <c r="K8" s="5">
        <v>3</v>
      </c>
      <c r="L8" s="1069" t="str">
        <f t="shared" si="0"/>
        <v/>
      </c>
      <c r="M8" s="1069"/>
      <c r="N8" s="1069"/>
      <c r="O8" s="1069"/>
      <c r="P8" s="1069"/>
      <c r="Q8" s="565"/>
      <c r="R8" s="565"/>
      <c r="S8" s="565" t="str">
        <f t="shared" si="5"/>
        <v/>
      </c>
      <c r="T8" s="5">
        <v>3</v>
      </c>
      <c r="U8" s="1069" t="str">
        <f t="shared" si="1"/>
        <v/>
      </c>
      <c r="V8" s="1069"/>
      <c r="W8" s="1069"/>
      <c r="X8" s="1069"/>
      <c r="Y8" s="1069"/>
      <c r="Z8" s="565"/>
      <c r="AA8" s="565"/>
      <c r="AB8" s="565" t="str">
        <f t="shared" si="6"/>
        <v/>
      </c>
      <c r="AC8" s="5">
        <v>3</v>
      </c>
      <c r="AD8" s="1069" t="str">
        <f t="shared" si="2"/>
        <v/>
      </c>
      <c r="AE8" s="1069"/>
      <c r="AF8" s="1069"/>
      <c r="AG8" s="1069"/>
      <c r="AH8" s="1069"/>
      <c r="AI8" s="565"/>
      <c r="AJ8" s="565" t="str">
        <f t="shared" si="7"/>
        <v/>
      </c>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CA8">
        <v>3</v>
      </c>
      <c r="CB8" s="558" t="str">
        <f>IF(CA8&lt;=DruidMaxSpellLevel,"●","")</f>
        <v/>
      </c>
      <c r="CD8">
        <v>3</v>
      </c>
      <c r="CE8" t="str">
        <f>Character_Creation!J343</f>
        <v>Absorb Elements</v>
      </c>
      <c r="CF8">
        <f>Character_Creation!N343</f>
        <v>1</v>
      </c>
      <c r="CG8">
        <f t="shared" si="8"/>
        <v>1</v>
      </c>
      <c r="CH8">
        <f>IF(CG8=0,0,1+COUNTIF(CH$6:CH7,"&gt;0"))</f>
        <v>3</v>
      </c>
      <c r="CI8">
        <f t="shared" si="9"/>
        <v>0</v>
      </c>
      <c r="CJ8">
        <f>IF(CI8=0,0,1+COUNTIF(CJ$6:CJ7,"&gt;0"))</f>
        <v>0</v>
      </c>
      <c r="CK8">
        <f t="shared" si="10"/>
        <v>0</v>
      </c>
      <c r="CL8">
        <f>IF(CK8=0,0,1+COUNTIF(CL$6:CL7,"&gt;0"))</f>
        <v>0</v>
      </c>
      <c r="CM8">
        <f t="shared" si="11"/>
        <v>0</v>
      </c>
      <c r="CN8">
        <f>IF(CM8=0,0,1+COUNTIF(CN$6:CN7,"&gt;0"))</f>
        <v>0</v>
      </c>
    </row>
    <row r="9" spans="1:102" x14ac:dyDescent="0.25">
      <c r="A9" s="120"/>
      <c r="B9" s="5">
        <v>4</v>
      </c>
      <c r="C9" s="1069" t="str">
        <f>IFERROR(INDEX($CE$6:$CE$18,MATCH(B9,$CH$6:$CH$18,0),1),"")</f>
        <v>Thunderwave</v>
      </c>
      <c r="D9" s="1069"/>
      <c r="E9" s="1069"/>
      <c r="F9" s="1069"/>
      <c r="G9" s="1069"/>
      <c r="H9" s="565"/>
      <c r="I9" s="565"/>
      <c r="J9" s="565" t="str">
        <f t="shared" si="4"/>
        <v xml:space="preserve">Thunderwave, </v>
      </c>
      <c r="K9" s="5">
        <v>4</v>
      </c>
      <c r="L9" s="1069" t="str">
        <f t="shared" si="0"/>
        <v/>
      </c>
      <c r="M9" s="1069"/>
      <c r="N9" s="1069"/>
      <c r="O9" s="1069"/>
      <c r="P9" s="1069"/>
      <c r="Q9" s="565"/>
      <c r="R9" s="565"/>
      <c r="S9" s="565" t="str">
        <f t="shared" si="5"/>
        <v/>
      </c>
      <c r="T9" s="5">
        <v>4</v>
      </c>
      <c r="U9" s="1069" t="str">
        <f t="shared" si="1"/>
        <v/>
      </c>
      <c r="V9" s="1069"/>
      <c r="W9" s="1069"/>
      <c r="X9" s="1069"/>
      <c r="Y9" s="1069"/>
      <c r="Z9" s="565"/>
      <c r="AA9" s="565"/>
      <c r="AB9" s="565" t="str">
        <f t="shared" si="6"/>
        <v/>
      </c>
      <c r="AC9" s="5">
        <v>4</v>
      </c>
      <c r="AD9" s="1069" t="str">
        <f t="shared" si="2"/>
        <v/>
      </c>
      <c r="AE9" s="1069"/>
      <c r="AF9" s="1069"/>
      <c r="AG9" s="1069"/>
      <c r="AH9" s="1069"/>
      <c r="AI9" s="565"/>
      <c r="AJ9" s="565" t="str">
        <f t="shared" si="7"/>
        <v/>
      </c>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c r="BR9" s="120"/>
      <c r="BS9" s="120"/>
      <c r="BT9" s="120"/>
      <c r="BU9" s="120"/>
      <c r="BV9" s="120"/>
      <c r="BW9" s="120"/>
      <c r="BX9" s="120"/>
      <c r="CA9">
        <v>4</v>
      </c>
      <c r="CB9" s="558" t="str">
        <f>IF(CA9&lt;=DruidMaxSpellLevel,"●","")</f>
        <v/>
      </c>
      <c r="CD9">
        <v>4</v>
      </c>
      <c r="CE9" t="str">
        <f>Character_Creation!J344</f>
        <v>Thunderwave</v>
      </c>
      <c r="CF9">
        <f>Character_Creation!N344</f>
        <v>1</v>
      </c>
      <c r="CG9">
        <f t="shared" si="8"/>
        <v>1</v>
      </c>
      <c r="CH9">
        <f>IF(CG9=0,0,1+COUNTIF(CH$6:CH8,"&gt;0"))</f>
        <v>4</v>
      </c>
      <c r="CI9">
        <f t="shared" si="9"/>
        <v>0</v>
      </c>
      <c r="CJ9">
        <f>IF(CI9=0,0,1+COUNTIF(CJ$6:CJ8,"&gt;0"))</f>
        <v>0</v>
      </c>
      <c r="CK9">
        <f t="shared" si="10"/>
        <v>0</v>
      </c>
      <c r="CL9">
        <f>IF(CK9=0,0,1+COUNTIF(CL$6:CL8,"&gt;0"))</f>
        <v>0</v>
      </c>
      <c r="CM9">
        <f t="shared" si="11"/>
        <v>0</v>
      </c>
      <c r="CN9">
        <f>IF(CM9=0,0,1+COUNTIF(CN$6:CN8,"&gt;0"))</f>
        <v>0</v>
      </c>
    </row>
    <row r="10" spans="1:102" x14ac:dyDescent="0.25">
      <c r="A10" s="120"/>
      <c r="B10" s="5">
        <v>5</v>
      </c>
      <c r="C10" s="1069" t="str">
        <f t="shared" si="3"/>
        <v>Tenser's Floating Disk</v>
      </c>
      <c r="D10" s="1069"/>
      <c r="E10" s="1069"/>
      <c r="F10" s="1069"/>
      <c r="G10" s="1069"/>
      <c r="H10" s="565"/>
      <c r="I10" s="565"/>
      <c r="J10" s="565" t="str">
        <f t="shared" si="4"/>
        <v xml:space="preserve">Tenser's Floating Disk, </v>
      </c>
      <c r="K10" s="5">
        <v>5</v>
      </c>
      <c r="L10" s="1069" t="str">
        <f t="shared" si="0"/>
        <v/>
      </c>
      <c r="M10" s="1069"/>
      <c r="N10" s="1069"/>
      <c r="O10" s="1069"/>
      <c r="P10" s="1069"/>
      <c r="Q10" s="565"/>
      <c r="R10" s="565"/>
      <c r="S10" s="565" t="str">
        <f t="shared" si="5"/>
        <v/>
      </c>
      <c r="T10" s="5">
        <v>5</v>
      </c>
      <c r="U10" s="1069" t="str">
        <f t="shared" si="1"/>
        <v/>
      </c>
      <c r="V10" s="1069"/>
      <c r="W10" s="1069"/>
      <c r="X10" s="1069"/>
      <c r="Y10" s="1069"/>
      <c r="Z10" s="565"/>
      <c r="AA10" s="565"/>
      <c r="AB10" s="565" t="str">
        <f t="shared" si="6"/>
        <v/>
      </c>
      <c r="AC10" s="5">
        <v>5</v>
      </c>
      <c r="AD10" s="1069" t="str">
        <f t="shared" si="2"/>
        <v/>
      </c>
      <c r="AE10" s="1069"/>
      <c r="AF10" s="1069"/>
      <c r="AG10" s="1069"/>
      <c r="AH10" s="1069"/>
      <c r="AI10" s="565"/>
      <c r="AJ10" s="565" t="str">
        <f t="shared" si="7"/>
        <v/>
      </c>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CB10" s="558"/>
      <c r="CD10">
        <v>5</v>
      </c>
      <c r="CE10" t="str">
        <f>Character_Creation!J345</f>
        <v>Alter Self</v>
      </c>
      <c r="CF10">
        <f>Character_Creation!N345</f>
        <v>2</v>
      </c>
      <c r="CG10">
        <f t="shared" si="8"/>
        <v>0</v>
      </c>
      <c r="CH10">
        <f>IF(CG10=0,0,1+COUNTIF(CH$6:CH9,"&gt;0"))</f>
        <v>0</v>
      </c>
      <c r="CI10">
        <f t="shared" si="9"/>
        <v>1</v>
      </c>
      <c r="CJ10">
        <f>IF(CI10=0,0,1+COUNTIF(CJ$6:CJ9,"&gt;0"))</f>
        <v>1</v>
      </c>
      <c r="CK10">
        <f t="shared" si="10"/>
        <v>0</v>
      </c>
      <c r="CL10">
        <f>IF(CK10=0,0,1+COUNTIF(CL$6:CL9,"&gt;0"))</f>
        <v>0</v>
      </c>
      <c r="CM10">
        <f t="shared" si="11"/>
        <v>0</v>
      </c>
      <c r="CN10">
        <f>IF(CM10=0,0,1+COUNTIF(CN$6:CN9,"&gt;0"))</f>
        <v>0</v>
      </c>
    </row>
    <row r="11" spans="1:102" x14ac:dyDescent="0.25">
      <c r="A11" s="120"/>
      <c r="B11" s="5">
        <v>6</v>
      </c>
      <c r="C11" s="1069" t="str">
        <f t="shared" si="3"/>
        <v/>
      </c>
      <c r="D11" s="1069"/>
      <c r="E11" s="1069"/>
      <c r="F11" s="1069"/>
      <c r="G11" s="1069"/>
      <c r="H11" s="565"/>
      <c r="I11" s="565"/>
      <c r="J11" s="565" t="str">
        <f t="shared" si="4"/>
        <v/>
      </c>
      <c r="K11" s="5">
        <v>6</v>
      </c>
      <c r="L11" s="1069" t="str">
        <f t="shared" si="0"/>
        <v/>
      </c>
      <c r="M11" s="1069"/>
      <c r="N11" s="1069"/>
      <c r="O11" s="1069"/>
      <c r="P11" s="1069"/>
      <c r="Q11" s="565"/>
      <c r="R11" s="565"/>
      <c r="S11" s="565" t="str">
        <f t="shared" si="5"/>
        <v/>
      </c>
      <c r="T11" s="5">
        <v>6</v>
      </c>
      <c r="U11" s="1069" t="str">
        <f t="shared" si="1"/>
        <v/>
      </c>
      <c r="V11" s="1069"/>
      <c r="W11" s="1069"/>
      <c r="X11" s="1069"/>
      <c r="Y11" s="1069"/>
      <c r="Z11" s="565"/>
      <c r="AA11" s="565"/>
      <c r="AB11" s="565" t="str">
        <f t="shared" si="6"/>
        <v/>
      </c>
      <c r="AC11" s="5">
        <v>6</v>
      </c>
      <c r="AD11" s="1069" t="str">
        <f t="shared" si="2"/>
        <v/>
      </c>
      <c r="AE11" s="1069"/>
      <c r="AF11" s="1069"/>
      <c r="AG11" s="1069"/>
      <c r="AH11" s="1069"/>
      <c r="AI11" s="565"/>
      <c r="AJ11" s="565" t="str">
        <f t="shared" si="7"/>
        <v/>
      </c>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CB11" s="558"/>
      <c r="CD11">
        <v>6</v>
      </c>
      <c r="CE11">
        <f>Character_Creation!J346</f>
        <v>0</v>
      </c>
      <c r="CF11" t="str">
        <f>Character_Creation!N346</f>
        <v/>
      </c>
      <c r="CG11">
        <f t="shared" si="8"/>
        <v>0</v>
      </c>
      <c r="CH11">
        <f>IF(CG11=0,0,1+COUNTIF(CH$6:CH10,"&gt;0"))</f>
        <v>0</v>
      </c>
      <c r="CI11">
        <f t="shared" si="9"/>
        <v>0</v>
      </c>
      <c r="CJ11">
        <f>IF(CI11=0,0,1+COUNTIF(CJ$6:CJ10,"&gt;0"))</f>
        <v>0</v>
      </c>
      <c r="CK11">
        <f t="shared" si="10"/>
        <v>0</v>
      </c>
      <c r="CL11">
        <f>IF(CK11=0,0,1+COUNTIF(CL$6:CL10,"&gt;0"))</f>
        <v>0</v>
      </c>
      <c r="CM11">
        <f t="shared" si="11"/>
        <v>0</v>
      </c>
      <c r="CN11">
        <f>IF(CM11=0,0,1+COUNTIF(CN$6:CN10,"&gt;0"))</f>
        <v>0</v>
      </c>
    </row>
    <row r="12" spans="1:102" x14ac:dyDescent="0.25">
      <c r="A12" s="120"/>
      <c r="B12" s="5">
        <v>7</v>
      </c>
      <c r="C12" s="1069" t="str">
        <f>IFERROR(INDEX($CE$6:$CE$18,MATCH(B12,$CH$6:$CH$18,0),1),"")</f>
        <v/>
      </c>
      <c r="D12" s="1069"/>
      <c r="E12" s="1069"/>
      <c r="F12" s="1069"/>
      <c r="G12" s="1069"/>
      <c r="H12" s="565"/>
      <c r="I12" s="565"/>
      <c r="J12" s="565" t="str">
        <f t="shared" si="4"/>
        <v/>
      </c>
      <c r="K12" s="5">
        <v>7</v>
      </c>
      <c r="L12" s="1069" t="str">
        <f t="shared" si="0"/>
        <v/>
      </c>
      <c r="M12" s="1069"/>
      <c r="N12" s="1069"/>
      <c r="O12" s="1069"/>
      <c r="P12" s="1069"/>
      <c r="Q12" s="565"/>
      <c r="R12" s="565"/>
      <c r="S12" s="565" t="str">
        <f t="shared" si="5"/>
        <v/>
      </c>
      <c r="T12" s="5">
        <v>7</v>
      </c>
      <c r="U12" s="1069" t="str">
        <f t="shared" si="1"/>
        <v/>
      </c>
      <c r="V12" s="1069"/>
      <c r="W12" s="1069"/>
      <c r="X12" s="1069"/>
      <c r="Y12" s="1069"/>
      <c r="Z12" s="565"/>
      <c r="AA12" s="565"/>
      <c r="AB12" s="565" t="str">
        <f t="shared" si="6"/>
        <v/>
      </c>
      <c r="AC12" s="5">
        <v>7</v>
      </c>
      <c r="AD12" s="1069" t="str">
        <f t="shared" si="2"/>
        <v/>
      </c>
      <c r="AE12" s="1069"/>
      <c r="AF12" s="1069"/>
      <c r="AG12" s="1069"/>
      <c r="AH12" s="1069"/>
      <c r="AI12" s="565"/>
      <c r="AJ12" s="565" t="str">
        <f t="shared" si="7"/>
        <v/>
      </c>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CB12" s="558"/>
      <c r="CD12">
        <v>7</v>
      </c>
      <c r="CE12">
        <f>Character_Creation!J347</f>
        <v>0</v>
      </c>
      <c r="CF12" t="str">
        <f>Character_Creation!N347</f>
        <v/>
      </c>
      <c r="CG12">
        <f t="shared" si="8"/>
        <v>0</v>
      </c>
      <c r="CH12">
        <f>IF(CG12=0,0,1+COUNTIF(CH$6:CH11,"&gt;0"))</f>
        <v>0</v>
      </c>
      <c r="CI12">
        <f t="shared" si="9"/>
        <v>0</v>
      </c>
      <c r="CJ12">
        <f>IF(CI12=0,0,1+COUNTIF(CJ$6:CJ11,"&gt;0"))</f>
        <v>0</v>
      </c>
      <c r="CK12">
        <f t="shared" si="10"/>
        <v>0</v>
      </c>
      <c r="CL12">
        <f>IF(CK12=0,0,1+COUNTIF(CL$6:CL11,"&gt;0"))</f>
        <v>0</v>
      </c>
      <c r="CM12">
        <f t="shared" si="11"/>
        <v>0</v>
      </c>
      <c r="CN12">
        <f>IF(CM12=0,0,1+COUNTIF(CN$6:CN11,"&gt;0"))</f>
        <v>0</v>
      </c>
    </row>
    <row r="13" spans="1:102" x14ac:dyDescent="0.25">
      <c r="A13" s="120"/>
      <c r="B13" s="5">
        <v>8</v>
      </c>
      <c r="C13" s="1069" t="str">
        <f t="shared" si="3"/>
        <v/>
      </c>
      <c r="D13" s="1069"/>
      <c r="E13" s="1069"/>
      <c r="F13" s="1069"/>
      <c r="G13" s="1069"/>
      <c r="H13" s="565"/>
      <c r="I13" s="565"/>
      <c r="J13" s="565" t="str">
        <f t="shared" si="4"/>
        <v/>
      </c>
      <c r="K13" s="5">
        <v>8</v>
      </c>
      <c r="L13" s="1069" t="str">
        <f t="shared" si="0"/>
        <v/>
      </c>
      <c r="M13" s="1069"/>
      <c r="N13" s="1069"/>
      <c r="O13" s="1069"/>
      <c r="P13" s="1069"/>
      <c r="Q13" s="565"/>
      <c r="R13" s="565"/>
      <c r="S13" s="565" t="str">
        <f t="shared" si="5"/>
        <v/>
      </c>
      <c r="T13" s="5">
        <v>8</v>
      </c>
      <c r="U13" s="1069" t="str">
        <f t="shared" si="1"/>
        <v/>
      </c>
      <c r="V13" s="1069"/>
      <c r="W13" s="1069"/>
      <c r="X13" s="1069"/>
      <c r="Y13" s="1069"/>
      <c r="Z13" s="565"/>
      <c r="AA13" s="565"/>
      <c r="AB13" s="565" t="str">
        <f t="shared" si="6"/>
        <v/>
      </c>
      <c r="AC13" s="5">
        <v>8</v>
      </c>
      <c r="AD13" s="1069" t="str">
        <f t="shared" si="2"/>
        <v/>
      </c>
      <c r="AE13" s="1069"/>
      <c r="AF13" s="1069"/>
      <c r="AG13" s="1069"/>
      <c r="AH13" s="1069"/>
      <c r="AI13" s="565"/>
      <c r="AJ13" s="565" t="str">
        <f t="shared" si="7"/>
        <v/>
      </c>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CB13" s="558"/>
      <c r="CD13">
        <v>8</v>
      </c>
      <c r="CE13">
        <f>Character_Creation!J348</f>
        <v>0</v>
      </c>
      <c r="CF13" t="str">
        <f>Character_Creation!N348</f>
        <v/>
      </c>
      <c r="CG13">
        <f t="shared" si="8"/>
        <v>0</v>
      </c>
      <c r="CH13">
        <f>IF(CG13=0,0,1+COUNTIF(CH$6:CH12,"&gt;0"))</f>
        <v>0</v>
      </c>
      <c r="CI13">
        <f t="shared" si="9"/>
        <v>0</v>
      </c>
      <c r="CJ13">
        <f>IF(CI13=0,0,1+COUNTIF(CJ$6:CJ12,"&gt;0"))</f>
        <v>0</v>
      </c>
      <c r="CK13">
        <f t="shared" si="10"/>
        <v>0</v>
      </c>
      <c r="CL13">
        <f>IF(CK13=0,0,1+COUNTIF(CL$6:CL12,"&gt;0"))</f>
        <v>0</v>
      </c>
      <c r="CM13">
        <f t="shared" si="11"/>
        <v>0</v>
      </c>
      <c r="CN13">
        <f>IF(CM13=0,0,1+COUNTIF(CN$6:CN12,"&gt;0"))</f>
        <v>0</v>
      </c>
    </row>
    <row r="14" spans="1:102" x14ac:dyDescent="0.25">
      <c r="A14" s="120"/>
      <c r="B14" s="5">
        <v>9</v>
      </c>
      <c r="C14" s="1069" t="str">
        <f t="shared" si="3"/>
        <v/>
      </c>
      <c r="D14" s="1069"/>
      <c r="E14" s="1069"/>
      <c r="F14" s="1069"/>
      <c r="G14" s="1069"/>
      <c r="H14" s="565"/>
      <c r="I14" s="565"/>
      <c r="J14" s="565" t="str">
        <f t="shared" si="4"/>
        <v/>
      </c>
      <c r="K14" s="5">
        <v>9</v>
      </c>
      <c r="L14" s="1069" t="str">
        <f t="shared" si="0"/>
        <v/>
      </c>
      <c r="M14" s="1069"/>
      <c r="N14" s="1069"/>
      <c r="O14" s="1069"/>
      <c r="P14" s="1069"/>
      <c r="Q14" s="565"/>
      <c r="R14" s="565"/>
      <c r="S14" s="565" t="str">
        <f t="shared" si="5"/>
        <v/>
      </c>
      <c r="T14" s="5">
        <v>9</v>
      </c>
      <c r="U14" s="1069" t="str">
        <f t="shared" si="1"/>
        <v/>
      </c>
      <c r="V14" s="1069"/>
      <c r="W14" s="1069"/>
      <c r="X14" s="1069"/>
      <c r="Y14" s="1069"/>
      <c r="Z14" s="565"/>
      <c r="AA14" s="565"/>
      <c r="AB14" s="565" t="str">
        <f t="shared" si="6"/>
        <v/>
      </c>
      <c r="AC14" s="5">
        <v>9</v>
      </c>
      <c r="AD14" s="1069" t="str">
        <f t="shared" si="2"/>
        <v/>
      </c>
      <c r="AE14" s="1069"/>
      <c r="AF14" s="1069"/>
      <c r="AG14" s="1069"/>
      <c r="AH14" s="1069"/>
      <c r="AI14" s="565"/>
      <c r="AJ14" s="565" t="str">
        <f t="shared" si="7"/>
        <v/>
      </c>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CB14" s="558"/>
      <c r="CD14">
        <v>9</v>
      </c>
      <c r="CE14">
        <f>Character_Creation!J349</f>
        <v>0</v>
      </c>
      <c r="CF14" t="str">
        <f>Character_Creation!N349</f>
        <v/>
      </c>
      <c r="CG14">
        <f t="shared" si="8"/>
        <v>0</v>
      </c>
      <c r="CH14">
        <f>IF(CG14=0,0,1+COUNTIF(CH$6:CH13,"&gt;0"))</f>
        <v>0</v>
      </c>
      <c r="CI14">
        <f t="shared" si="9"/>
        <v>0</v>
      </c>
      <c r="CJ14">
        <f>IF(CI14=0,0,1+COUNTIF(CJ$6:CJ13,"&gt;0"))</f>
        <v>0</v>
      </c>
      <c r="CK14">
        <f t="shared" si="10"/>
        <v>0</v>
      </c>
      <c r="CL14">
        <f>IF(CK14=0,0,1+COUNTIF(CL$6:CL13,"&gt;0"))</f>
        <v>0</v>
      </c>
      <c r="CM14">
        <f t="shared" si="11"/>
        <v>0</v>
      </c>
      <c r="CN14">
        <f>IF(CM14=0,0,1+COUNTIF(CN$6:CN13,"&gt;0"))</f>
        <v>0</v>
      </c>
    </row>
    <row r="15" spans="1:102" x14ac:dyDescent="0.25">
      <c r="A15" s="120"/>
      <c r="B15" s="5">
        <v>10</v>
      </c>
      <c r="C15" s="1069" t="str">
        <f>IFERROR(INDEX($CE$6:$CE$18,MATCH(B15,$CH$6:$CH$18,0),1),"")</f>
        <v/>
      </c>
      <c r="D15" s="1069"/>
      <c r="E15" s="1069"/>
      <c r="F15" s="1069"/>
      <c r="G15" s="1069"/>
      <c r="H15" s="565"/>
      <c r="I15" s="565"/>
      <c r="J15" s="565" t="str">
        <f t="shared" si="4"/>
        <v/>
      </c>
      <c r="K15" s="5">
        <v>10</v>
      </c>
      <c r="L15" s="1069" t="str">
        <f t="shared" si="0"/>
        <v/>
      </c>
      <c r="M15" s="1069"/>
      <c r="N15" s="1069"/>
      <c r="O15" s="1069"/>
      <c r="P15" s="1069"/>
      <c r="Q15" s="565"/>
      <c r="R15" s="565"/>
      <c r="S15" s="565" t="str">
        <f t="shared" si="5"/>
        <v/>
      </c>
      <c r="T15" s="5">
        <v>10</v>
      </c>
      <c r="U15" s="1069" t="str">
        <f t="shared" si="1"/>
        <v/>
      </c>
      <c r="V15" s="1069"/>
      <c r="W15" s="1069"/>
      <c r="X15" s="1069"/>
      <c r="Y15" s="1069"/>
      <c r="Z15" s="565"/>
      <c r="AA15" s="565"/>
      <c r="AB15" s="565" t="str">
        <f t="shared" si="6"/>
        <v/>
      </c>
      <c r="AC15" s="5">
        <v>10</v>
      </c>
      <c r="AD15" s="1069" t="str">
        <f t="shared" si="2"/>
        <v/>
      </c>
      <c r="AE15" s="1069"/>
      <c r="AF15" s="1069"/>
      <c r="AG15" s="1069"/>
      <c r="AH15" s="1069"/>
      <c r="AI15" s="565"/>
      <c r="AJ15" s="565" t="str">
        <f t="shared" si="7"/>
        <v/>
      </c>
      <c r="AK15" s="120"/>
      <c r="AL15" s="120"/>
      <c r="AM15" s="120"/>
      <c r="AN15" s="120"/>
      <c r="AO15" s="120"/>
      <c r="AP15" s="120"/>
      <c r="AQ15" s="120"/>
      <c r="AR15" s="120"/>
      <c r="AS15" s="120"/>
      <c r="AT15" s="120"/>
      <c r="AU15" s="120"/>
      <c r="AV15" s="120"/>
      <c r="AW15" s="120"/>
      <c r="AX15" s="120"/>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CD15">
        <v>10</v>
      </c>
      <c r="CE15" t="str">
        <f>Character_Creation!J353</f>
        <v>Misty Step</v>
      </c>
      <c r="CF15">
        <f>Character_Creation!N353</f>
        <v>2</v>
      </c>
      <c r="CG15">
        <f t="shared" si="8"/>
        <v>0</v>
      </c>
      <c r="CH15">
        <f>IF(CG15=0,0,1+COUNTIF(CH$6:CH14,"&gt;0"))</f>
        <v>0</v>
      </c>
      <c r="CI15">
        <f t="shared" si="9"/>
        <v>1</v>
      </c>
      <c r="CJ15">
        <f>IF(CI15=0,0,1+COUNTIF(CJ$6:CJ14,"&gt;0"))</f>
        <v>2</v>
      </c>
      <c r="CK15">
        <f t="shared" si="10"/>
        <v>0</v>
      </c>
      <c r="CL15">
        <f>IF(CK15=0,0,1+COUNTIF(CL$6:CL14,"&gt;0"))</f>
        <v>0</v>
      </c>
      <c r="CM15">
        <f t="shared" si="11"/>
        <v>0</v>
      </c>
      <c r="CN15">
        <f>IF(CM15=0,0,1+COUNTIF(CN$6:CN14,"&gt;0"))</f>
        <v>0</v>
      </c>
    </row>
    <row r="16" spans="1:102" x14ac:dyDescent="0.25">
      <c r="A16" s="120"/>
      <c r="B16" s="5">
        <v>11</v>
      </c>
      <c r="C16" s="1069" t="str">
        <f t="shared" si="3"/>
        <v/>
      </c>
      <c r="D16" s="1069"/>
      <c r="E16" s="1069"/>
      <c r="F16" s="1069"/>
      <c r="G16" s="1069"/>
      <c r="H16" s="565"/>
      <c r="I16" s="565"/>
      <c r="J16" s="565" t="str">
        <f t="shared" si="4"/>
        <v/>
      </c>
      <c r="K16" s="5">
        <v>11</v>
      </c>
      <c r="L16" s="1069" t="str">
        <f t="shared" si="0"/>
        <v/>
      </c>
      <c r="M16" s="1069"/>
      <c r="N16" s="1069"/>
      <c r="O16" s="1069"/>
      <c r="P16" s="1069"/>
      <c r="Q16" s="565"/>
      <c r="R16" s="565"/>
      <c r="S16" s="565" t="str">
        <f t="shared" si="5"/>
        <v/>
      </c>
      <c r="T16" s="5">
        <v>11</v>
      </c>
      <c r="U16" s="1069" t="str">
        <f t="shared" si="1"/>
        <v/>
      </c>
      <c r="V16" s="1069"/>
      <c r="W16" s="1069"/>
      <c r="X16" s="1069"/>
      <c r="Y16" s="1069"/>
      <c r="Z16" s="565"/>
      <c r="AA16" s="565"/>
      <c r="AB16" s="565" t="str">
        <f t="shared" si="6"/>
        <v/>
      </c>
      <c r="AC16" s="5">
        <v>11</v>
      </c>
      <c r="AD16" s="1069" t="str">
        <f t="shared" si="2"/>
        <v/>
      </c>
      <c r="AE16" s="1069"/>
      <c r="AF16" s="1069"/>
      <c r="AG16" s="1069"/>
      <c r="AH16" s="1069"/>
      <c r="AI16" s="565"/>
      <c r="AJ16" s="565" t="str">
        <f t="shared" si="7"/>
        <v/>
      </c>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CD16">
        <v>11</v>
      </c>
      <c r="CE16" t="str">
        <f>Character_Creation!J354</f>
        <v>Tenser's Floating Disk</v>
      </c>
      <c r="CF16">
        <f>Character_Creation!N354</f>
        <v>1</v>
      </c>
      <c r="CG16">
        <f t="shared" si="8"/>
        <v>1</v>
      </c>
      <c r="CH16">
        <f>IF(CG16=0,0,1+COUNTIF(CH$6:CH15,"&gt;0"))</f>
        <v>5</v>
      </c>
      <c r="CI16">
        <f t="shared" si="9"/>
        <v>0</v>
      </c>
      <c r="CJ16">
        <f>IF(CI16=0,0,1+COUNTIF(CJ$6:CJ15,"&gt;0"))</f>
        <v>0</v>
      </c>
      <c r="CK16">
        <f t="shared" si="10"/>
        <v>0</v>
      </c>
      <c r="CL16">
        <f>IF(CK16=0,0,1+COUNTIF(CL$6:CL15,"&gt;0"))</f>
        <v>0</v>
      </c>
      <c r="CM16">
        <f t="shared" si="11"/>
        <v>0</v>
      </c>
      <c r="CN16">
        <f>IF(CM16=0,0,1+COUNTIF(CN$6:CN15,"&gt;0"))</f>
        <v>0</v>
      </c>
    </row>
    <row r="17" spans="1:92" x14ac:dyDescent="0.25">
      <c r="A17" s="120"/>
      <c r="B17" s="5">
        <v>12</v>
      </c>
      <c r="C17" s="1069" t="str">
        <f t="shared" si="3"/>
        <v/>
      </c>
      <c r="D17" s="1069"/>
      <c r="E17" s="1069"/>
      <c r="F17" s="1069"/>
      <c r="G17" s="1069"/>
      <c r="H17" s="565"/>
      <c r="I17" s="565"/>
      <c r="J17" s="565" t="str">
        <f t="shared" si="4"/>
        <v/>
      </c>
      <c r="K17" s="5">
        <v>12</v>
      </c>
      <c r="L17" s="1069" t="str">
        <f t="shared" si="0"/>
        <v/>
      </c>
      <c r="M17" s="1069"/>
      <c r="N17" s="1069"/>
      <c r="O17" s="1069"/>
      <c r="P17" s="1069"/>
      <c r="Q17" s="565"/>
      <c r="R17" s="565"/>
      <c r="S17" s="565" t="str">
        <f t="shared" si="5"/>
        <v/>
      </c>
      <c r="T17" s="5">
        <v>12</v>
      </c>
      <c r="U17" s="1069" t="str">
        <f t="shared" si="1"/>
        <v/>
      </c>
      <c r="V17" s="1069"/>
      <c r="W17" s="1069"/>
      <c r="X17" s="1069"/>
      <c r="Y17" s="1069"/>
      <c r="Z17" s="565"/>
      <c r="AA17" s="565"/>
      <c r="AB17" s="565" t="str">
        <f t="shared" si="6"/>
        <v/>
      </c>
      <c r="AC17" s="5">
        <v>12</v>
      </c>
      <c r="AD17" s="1069" t="str">
        <f t="shared" si="2"/>
        <v/>
      </c>
      <c r="AE17" s="1069"/>
      <c r="AF17" s="1069"/>
      <c r="AG17" s="1069"/>
      <c r="AH17" s="1069"/>
      <c r="AI17" s="565"/>
      <c r="AJ17" s="565" t="str">
        <f t="shared" si="7"/>
        <v/>
      </c>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CD17">
        <v>12</v>
      </c>
      <c r="CE17">
        <f>Character_Creation!J355</f>
        <v>0</v>
      </c>
      <c r="CF17" t="str">
        <f>Character_Creation!N355</f>
        <v/>
      </c>
      <c r="CG17">
        <f t="shared" si="8"/>
        <v>0</v>
      </c>
      <c r="CH17">
        <f>IF(CG17=0,0,1+COUNTIF(CH$6:CH16,"&gt;0"))</f>
        <v>0</v>
      </c>
      <c r="CI17">
        <f t="shared" si="9"/>
        <v>0</v>
      </c>
      <c r="CJ17">
        <f>IF(CI17=0,0,1+COUNTIF(CJ$6:CJ16,"&gt;0"))</f>
        <v>0</v>
      </c>
      <c r="CK17">
        <f t="shared" si="10"/>
        <v>0</v>
      </c>
      <c r="CL17">
        <f>IF(CK17=0,0,1+COUNTIF(CL$6:CL16,"&gt;0"))</f>
        <v>0</v>
      </c>
      <c r="CM17">
        <f t="shared" si="11"/>
        <v>0</v>
      </c>
      <c r="CN17">
        <f>IF(CM17=0,0,1+COUNTIF(CN$6:CN16,"&gt;0"))</f>
        <v>0</v>
      </c>
    </row>
    <row r="18" spans="1:92" x14ac:dyDescent="0.25">
      <c r="A18" s="120"/>
      <c r="B18" s="5">
        <v>13</v>
      </c>
      <c r="C18" s="1069" t="str">
        <f>IFERROR(INDEX($CE$6:$CE$18,MATCH(B18,$CH$6:$CH$18,0),1),"")</f>
        <v/>
      </c>
      <c r="D18" s="1069"/>
      <c r="E18" s="1069"/>
      <c r="F18" s="1069"/>
      <c r="G18" s="1069"/>
      <c r="H18" s="565"/>
      <c r="I18" s="565"/>
      <c r="J18" s="565" t="str">
        <f t="shared" si="4"/>
        <v/>
      </c>
      <c r="K18" s="5">
        <v>13</v>
      </c>
      <c r="L18" s="1069" t="str">
        <f t="shared" si="0"/>
        <v/>
      </c>
      <c r="M18" s="1069"/>
      <c r="N18" s="1069"/>
      <c r="O18" s="1069"/>
      <c r="P18" s="1069"/>
      <c r="Q18" s="565"/>
      <c r="R18" s="565"/>
      <c r="S18" s="565" t="str">
        <f t="shared" si="5"/>
        <v/>
      </c>
      <c r="T18" s="5">
        <v>13</v>
      </c>
      <c r="U18" s="1069" t="str">
        <f t="shared" si="1"/>
        <v/>
      </c>
      <c r="V18" s="1069"/>
      <c r="W18" s="1069"/>
      <c r="X18" s="1069"/>
      <c r="Y18" s="1069"/>
      <c r="Z18" s="565"/>
      <c r="AA18" s="565"/>
      <c r="AB18" s="565" t="str">
        <f t="shared" si="6"/>
        <v/>
      </c>
      <c r="AC18" s="5">
        <v>13</v>
      </c>
      <c r="AD18" s="1069" t="str">
        <f t="shared" si="2"/>
        <v/>
      </c>
      <c r="AE18" s="1069"/>
      <c r="AF18" s="1069"/>
      <c r="AG18" s="1069"/>
      <c r="AH18" s="1069"/>
      <c r="AI18" s="565"/>
      <c r="AJ18" s="565" t="str">
        <f t="shared" si="7"/>
        <v/>
      </c>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CD18">
        <v>13</v>
      </c>
      <c r="CE18">
        <f>Character_Creation!J356</f>
        <v>0</v>
      </c>
      <c r="CF18" t="str">
        <f>Character_Creation!N356</f>
        <v/>
      </c>
      <c r="CG18">
        <f t="shared" si="8"/>
        <v>0</v>
      </c>
      <c r="CH18">
        <f>IF(CG18=0,0,1+COUNTIF(CH$6:CH17,"&gt;0"))</f>
        <v>0</v>
      </c>
      <c r="CI18">
        <f t="shared" si="9"/>
        <v>0</v>
      </c>
      <c r="CJ18">
        <f>IF(CI18=0,0,1+COUNTIF(CJ$6:CJ17,"&gt;0"))</f>
        <v>0</v>
      </c>
      <c r="CK18">
        <f t="shared" si="10"/>
        <v>0</v>
      </c>
      <c r="CL18">
        <f>IF(CK18=0,0,1+COUNTIF(CL$6:CL17,"&gt;0"))</f>
        <v>0</v>
      </c>
      <c r="CM18">
        <f t="shared" si="11"/>
        <v>0</v>
      </c>
      <c r="CN18">
        <f>IF(CM18=0,0,1+COUNTIF(CN$6:CN17,"&gt;0"))</f>
        <v>0</v>
      </c>
    </row>
    <row r="19" spans="1:92" x14ac:dyDescent="0.25">
      <c r="A19" s="120"/>
      <c r="B19" s="5">
        <v>14</v>
      </c>
      <c r="C19" s="1069" t="str">
        <f t="shared" si="3"/>
        <v/>
      </c>
      <c r="D19" s="1069"/>
      <c r="E19" s="1069"/>
      <c r="F19" s="1069"/>
      <c r="G19" s="1069"/>
      <c r="H19" s="565"/>
      <c r="I19" s="565"/>
      <c r="J19" s="565" t="str">
        <f t="shared" si="4"/>
        <v/>
      </c>
      <c r="K19" s="5">
        <v>14</v>
      </c>
      <c r="L19" s="1069" t="str">
        <f t="shared" si="0"/>
        <v/>
      </c>
      <c r="M19" s="1069"/>
      <c r="N19" s="1069"/>
      <c r="O19" s="1069"/>
      <c r="P19" s="1069"/>
      <c r="Q19" s="565"/>
      <c r="R19" s="565"/>
      <c r="S19" s="565" t="str">
        <f t="shared" si="5"/>
        <v/>
      </c>
      <c r="T19" s="5">
        <v>14</v>
      </c>
      <c r="U19" s="1069" t="str">
        <f t="shared" si="1"/>
        <v/>
      </c>
      <c r="V19" s="1069"/>
      <c r="W19" s="1069"/>
      <c r="X19" s="1069"/>
      <c r="Y19" s="1069"/>
      <c r="Z19" s="565"/>
      <c r="AA19" s="565"/>
      <c r="AB19" s="565" t="str">
        <f t="shared" si="6"/>
        <v/>
      </c>
      <c r="AC19" s="5">
        <v>14</v>
      </c>
      <c r="AD19" s="1069" t="str">
        <f t="shared" si="2"/>
        <v/>
      </c>
      <c r="AE19" s="1069"/>
      <c r="AF19" s="1069"/>
      <c r="AG19" s="1069"/>
      <c r="AH19" s="1069"/>
      <c r="AI19" s="565"/>
      <c r="AJ19" s="565" t="str">
        <f t="shared" si="7"/>
        <v/>
      </c>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row>
    <row r="20" spans="1:92" x14ac:dyDescent="0.25">
      <c r="A20" s="120"/>
      <c r="B20" s="5">
        <v>15</v>
      </c>
      <c r="C20" s="1069" t="str">
        <f t="shared" si="3"/>
        <v/>
      </c>
      <c r="D20" s="1069"/>
      <c r="E20" s="1069"/>
      <c r="F20" s="1069"/>
      <c r="G20" s="1069"/>
      <c r="H20" s="565"/>
      <c r="I20" s="565"/>
      <c r="J20" s="565" t="str">
        <f t="shared" si="4"/>
        <v/>
      </c>
      <c r="K20" s="5">
        <v>15</v>
      </c>
      <c r="L20" s="1069" t="str">
        <f t="shared" si="0"/>
        <v/>
      </c>
      <c r="M20" s="1069"/>
      <c r="N20" s="1069"/>
      <c r="O20" s="1069"/>
      <c r="P20" s="1069"/>
      <c r="Q20" s="565"/>
      <c r="R20" s="565"/>
      <c r="S20" s="565" t="str">
        <f t="shared" si="5"/>
        <v/>
      </c>
      <c r="T20" s="5">
        <v>15</v>
      </c>
      <c r="U20" s="1069" t="str">
        <f t="shared" si="1"/>
        <v/>
      </c>
      <c r="V20" s="1069"/>
      <c r="W20" s="1069"/>
      <c r="X20" s="1069"/>
      <c r="Y20" s="1069"/>
      <c r="Z20" s="565"/>
      <c r="AA20" s="565"/>
      <c r="AB20" s="565" t="str">
        <f t="shared" si="6"/>
        <v/>
      </c>
      <c r="AC20" s="5">
        <v>15</v>
      </c>
      <c r="AD20" s="1069" t="str">
        <f t="shared" si="2"/>
        <v/>
      </c>
      <c r="AE20" s="1069"/>
      <c r="AF20" s="1069"/>
      <c r="AG20" s="1069"/>
      <c r="AH20" s="1069"/>
      <c r="AI20" s="565"/>
      <c r="AJ20" s="565" t="str">
        <f t="shared" si="7"/>
        <v/>
      </c>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row>
    <row r="21" spans="1:92" x14ac:dyDescent="0.25">
      <c r="A21" s="120"/>
      <c r="B21" s="5">
        <v>16</v>
      </c>
      <c r="C21" s="1069" t="str">
        <f>IFERROR(INDEX($CE$6:$CE$18,MATCH(B21,$CH$6:$CH$18,0),1),"")</f>
        <v/>
      </c>
      <c r="D21" s="1069"/>
      <c r="E21" s="1069"/>
      <c r="F21" s="1069"/>
      <c r="G21" s="1069"/>
      <c r="H21" s="565"/>
      <c r="I21" s="565"/>
      <c r="J21" s="565" t="str">
        <f t="shared" si="4"/>
        <v/>
      </c>
      <c r="K21" s="5">
        <v>16</v>
      </c>
      <c r="L21" s="1069" t="str">
        <f t="shared" si="0"/>
        <v/>
      </c>
      <c r="M21" s="1069"/>
      <c r="N21" s="1069"/>
      <c r="O21" s="1069"/>
      <c r="P21" s="1069"/>
      <c r="Q21" s="565"/>
      <c r="R21" s="565"/>
      <c r="S21" s="565" t="str">
        <f t="shared" si="5"/>
        <v/>
      </c>
      <c r="T21" s="5">
        <v>16</v>
      </c>
      <c r="U21" s="1069" t="str">
        <f t="shared" si="1"/>
        <v/>
      </c>
      <c r="V21" s="1069"/>
      <c r="W21" s="1069"/>
      <c r="X21" s="1069"/>
      <c r="Y21" s="1069"/>
      <c r="Z21" s="565"/>
      <c r="AA21" s="565"/>
      <c r="AB21" s="565" t="str">
        <f t="shared" si="6"/>
        <v/>
      </c>
      <c r="AC21" s="5">
        <v>16</v>
      </c>
      <c r="AD21" s="1069" t="str">
        <f t="shared" si="2"/>
        <v/>
      </c>
      <c r="AE21" s="1069"/>
      <c r="AF21" s="1069"/>
      <c r="AG21" s="1069"/>
      <c r="AH21" s="1069"/>
      <c r="AI21" s="565"/>
      <c r="AJ21" s="565" t="str">
        <f t="shared" si="7"/>
        <v/>
      </c>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row>
    <row r="22" spans="1:92" x14ac:dyDescent="0.25">
      <c r="A22" s="120"/>
      <c r="B22" s="5">
        <v>17</v>
      </c>
      <c r="C22" s="1069" t="str">
        <f t="shared" si="3"/>
        <v/>
      </c>
      <c r="D22" s="1069"/>
      <c r="E22" s="1069"/>
      <c r="F22" s="1069"/>
      <c r="G22" s="1069"/>
      <c r="H22" s="565"/>
      <c r="I22" s="565"/>
      <c r="J22" s="565" t="str">
        <f t="shared" si="4"/>
        <v/>
      </c>
      <c r="K22" s="5">
        <v>17</v>
      </c>
      <c r="L22" s="1069" t="str">
        <f t="shared" si="0"/>
        <v/>
      </c>
      <c r="M22" s="1069"/>
      <c r="N22" s="1069"/>
      <c r="O22" s="1069"/>
      <c r="P22" s="1069"/>
      <c r="Q22" s="565"/>
      <c r="R22" s="565"/>
      <c r="S22" s="565" t="str">
        <f t="shared" si="5"/>
        <v/>
      </c>
      <c r="T22" s="5">
        <v>17</v>
      </c>
      <c r="U22" s="1069" t="str">
        <f t="shared" si="1"/>
        <v/>
      </c>
      <c r="V22" s="1069"/>
      <c r="W22" s="1069"/>
      <c r="X22" s="1069"/>
      <c r="Y22" s="1069"/>
      <c r="Z22" s="565"/>
      <c r="AA22" s="565"/>
      <c r="AB22" s="565" t="str">
        <f t="shared" si="6"/>
        <v/>
      </c>
      <c r="AC22" s="5">
        <v>17</v>
      </c>
      <c r="AD22" s="1069" t="str">
        <f t="shared" si="2"/>
        <v/>
      </c>
      <c r="AE22" s="1069"/>
      <c r="AF22" s="1069"/>
      <c r="AG22" s="1069"/>
      <c r="AH22" s="1069"/>
      <c r="AI22" s="565"/>
      <c r="AJ22" s="565" t="str">
        <f t="shared" si="7"/>
        <v/>
      </c>
      <c r="AK22" s="120"/>
      <c r="AL22" s="120"/>
      <c r="AM22" s="120"/>
      <c r="AN22" s="120"/>
      <c r="AO22" s="120"/>
      <c r="AP22" s="120"/>
      <c r="AQ22" s="120"/>
      <c r="AR22" s="120"/>
      <c r="AS22" s="120"/>
      <c r="AT22" s="120"/>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c r="BR22" s="120"/>
      <c r="BS22" s="120"/>
      <c r="BT22" s="120"/>
      <c r="BU22" s="120"/>
      <c r="BV22" s="120"/>
      <c r="BW22" s="120"/>
      <c r="BX22" s="120"/>
    </row>
    <row r="23" spans="1:92" x14ac:dyDescent="0.25">
      <c r="A23" s="120"/>
      <c r="B23" s="5">
        <v>18</v>
      </c>
      <c r="C23" s="1069" t="str">
        <f t="shared" si="3"/>
        <v/>
      </c>
      <c r="D23" s="1069"/>
      <c r="E23" s="1069"/>
      <c r="F23" s="1069"/>
      <c r="G23" s="1069"/>
      <c r="H23" s="565"/>
      <c r="I23" s="565"/>
      <c r="J23" s="565" t="str">
        <f t="shared" si="4"/>
        <v/>
      </c>
      <c r="K23" s="5">
        <v>18</v>
      </c>
      <c r="L23" s="1069" t="str">
        <f t="shared" si="0"/>
        <v/>
      </c>
      <c r="M23" s="1069"/>
      <c r="N23" s="1069"/>
      <c r="O23" s="1069"/>
      <c r="P23" s="1069"/>
      <c r="Q23" s="565"/>
      <c r="R23" s="565"/>
      <c r="S23" s="565" t="str">
        <f t="shared" si="5"/>
        <v/>
      </c>
      <c r="T23" s="5">
        <v>18</v>
      </c>
      <c r="U23" s="1069" t="str">
        <f t="shared" si="1"/>
        <v/>
      </c>
      <c r="V23" s="1069"/>
      <c r="W23" s="1069"/>
      <c r="X23" s="1069"/>
      <c r="Y23" s="1069"/>
      <c r="Z23" s="565"/>
      <c r="AA23" s="565"/>
      <c r="AB23" s="565" t="str">
        <f t="shared" si="6"/>
        <v/>
      </c>
      <c r="AC23" s="5">
        <v>18</v>
      </c>
      <c r="AD23" s="1069" t="str">
        <f t="shared" si="2"/>
        <v/>
      </c>
      <c r="AE23" s="1069"/>
      <c r="AF23" s="1069"/>
      <c r="AG23" s="1069"/>
      <c r="AH23" s="1069"/>
      <c r="AI23" s="565"/>
      <c r="AJ23" s="565" t="str">
        <f t="shared" si="7"/>
        <v/>
      </c>
      <c r="AK23" s="120"/>
      <c r="AL23" s="120"/>
      <c r="AM23" s="120"/>
      <c r="AN23" s="120"/>
      <c r="AO23" s="120"/>
      <c r="AP23" s="120"/>
      <c r="AQ23" s="120"/>
      <c r="AR23" s="120"/>
      <c r="AS23" s="120"/>
      <c r="AT23" s="120"/>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row>
    <row r="24" spans="1:92" x14ac:dyDescent="0.25">
      <c r="A24" s="120"/>
      <c r="B24" s="5">
        <v>19</v>
      </c>
      <c r="C24" s="1069" t="str">
        <f>IFERROR(INDEX($CE$6:$CE$18,MATCH(B24,$CH$6:$CH$18,0),1),"")</f>
        <v/>
      </c>
      <c r="D24" s="1069"/>
      <c r="E24" s="1069"/>
      <c r="F24" s="1069"/>
      <c r="G24" s="1069"/>
      <c r="H24" s="565"/>
      <c r="I24" s="565"/>
      <c r="J24" s="565" t="str">
        <f t="shared" si="4"/>
        <v/>
      </c>
      <c r="K24" s="5">
        <v>19</v>
      </c>
      <c r="L24" s="1069" t="str">
        <f t="shared" si="0"/>
        <v/>
      </c>
      <c r="M24" s="1069"/>
      <c r="N24" s="1069"/>
      <c r="O24" s="1069"/>
      <c r="P24" s="1069"/>
      <c r="Q24" s="565"/>
      <c r="R24" s="565"/>
      <c r="S24" s="565" t="str">
        <f t="shared" si="5"/>
        <v/>
      </c>
      <c r="T24" s="5">
        <v>19</v>
      </c>
      <c r="U24" s="1069" t="str">
        <f t="shared" si="1"/>
        <v/>
      </c>
      <c r="V24" s="1069"/>
      <c r="W24" s="1069"/>
      <c r="X24" s="1069"/>
      <c r="Y24" s="1069"/>
      <c r="Z24" s="565"/>
      <c r="AA24" s="565"/>
      <c r="AB24" s="565" t="str">
        <f t="shared" si="6"/>
        <v/>
      </c>
      <c r="AC24" s="5">
        <v>19</v>
      </c>
      <c r="AD24" s="1069" t="str">
        <f t="shared" si="2"/>
        <v/>
      </c>
      <c r="AE24" s="1069"/>
      <c r="AF24" s="1069"/>
      <c r="AG24" s="1069"/>
      <c r="AH24" s="1069"/>
      <c r="AI24" s="565"/>
      <c r="AJ24" s="565" t="str">
        <f t="shared" si="7"/>
        <v/>
      </c>
      <c r="AK24" s="120"/>
      <c r="AL24" s="120"/>
      <c r="AM24" s="120"/>
      <c r="AN24" s="120"/>
      <c r="AO24" s="120"/>
      <c r="AP24" s="120"/>
      <c r="AQ24" s="120"/>
      <c r="AR24" s="120"/>
      <c r="AS24" s="120"/>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row>
    <row r="25" spans="1:92" x14ac:dyDescent="0.25">
      <c r="A25" s="120"/>
      <c r="B25" s="5">
        <v>20</v>
      </c>
      <c r="C25" s="1069" t="str">
        <f t="shared" si="3"/>
        <v/>
      </c>
      <c r="D25" s="1069"/>
      <c r="E25" s="1069"/>
      <c r="F25" s="1069"/>
      <c r="G25" s="1069"/>
      <c r="H25" s="565"/>
      <c r="I25" s="565"/>
      <c r="J25" s="565" t="str">
        <f t="shared" si="4"/>
        <v/>
      </c>
      <c r="K25" s="5">
        <v>20</v>
      </c>
      <c r="L25" s="1069" t="str">
        <f t="shared" si="0"/>
        <v/>
      </c>
      <c r="M25" s="1069"/>
      <c r="N25" s="1069"/>
      <c r="O25" s="1069"/>
      <c r="P25" s="1069"/>
      <c r="Q25" s="565"/>
      <c r="R25" s="565"/>
      <c r="S25" s="565" t="str">
        <f t="shared" si="5"/>
        <v/>
      </c>
      <c r="T25" s="5">
        <v>20</v>
      </c>
      <c r="U25" s="1069" t="str">
        <f t="shared" si="1"/>
        <v/>
      </c>
      <c r="V25" s="1069"/>
      <c r="W25" s="1069"/>
      <c r="X25" s="1069"/>
      <c r="Y25" s="1069"/>
      <c r="Z25" s="565"/>
      <c r="AA25" s="565"/>
      <c r="AB25" s="565" t="str">
        <f t="shared" si="6"/>
        <v/>
      </c>
      <c r="AC25" s="5">
        <v>20</v>
      </c>
      <c r="AD25" s="1070" t="str">
        <f t="shared" si="2"/>
        <v/>
      </c>
      <c r="AE25" s="1070"/>
      <c r="AF25" s="1070"/>
      <c r="AG25" s="1070"/>
      <c r="AH25" s="1070"/>
      <c r="AI25" s="565"/>
      <c r="AJ25" s="565" t="str">
        <f t="shared" si="7"/>
        <v/>
      </c>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row>
    <row r="26" spans="1:92" x14ac:dyDescent="0.25">
      <c r="A26" s="120"/>
      <c r="B26" s="5">
        <v>21</v>
      </c>
      <c r="C26" s="1069" t="str">
        <f t="shared" si="3"/>
        <v/>
      </c>
      <c r="D26" s="1069"/>
      <c r="E26" s="1069"/>
      <c r="F26" s="1069"/>
      <c r="G26" s="1069"/>
      <c r="H26" s="565"/>
      <c r="I26" s="565"/>
      <c r="J26" s="565" t="str">
        <f t="shared" si="4"/>
        <v/>
      </c>
      <c r="K26" s="5">
        <v>21</v>
      </c>
      <c r="L26" s="1069" t="str">
        <f t="shared" si="0"/>
        <v/>
      </c>
      <c r="M26" s="1069"/>
      <c r="N26" s="1069"/>
      <c r="O26" s="1069"/>
      <c r="P26" s="1069"/>
      <c r="Q26" s="565"/>
      <c r="R26" s="565"/>
      <c r="S26" s="565" t="str">
        <f t="shared" si="5"/>
        <v/>
      </c>
      <c r="T26" s="5">
        <v>21</v>
      </c>
      <c r="U26" s="1069" t="str">
        <f t="shared" si="1"/>
        <v/>
      </c>
      <c r="V26" s="1069"/>
      <c r="W26" s="1069"/>
      <c r="X26" s="1069"/>
      <c r="Y26" s="1069"/>
      <c r="Z26" s="565"/>
      <c r="AA26" s="565"/>
      <c r="AB26" s="565" t="str">
        <f t="shared" si="6"/>
        <v/>
      </c>
      <c r="AC26" s="5">
        <v>21</v>
      </c>
      <c r="AD26" s="1069" t="str">
        <f t="shared" si="2"/>
        <v/>
      </c>
      <c r="AE26" s="1069"/>
      <c r="AF26" s="1069"/>
      <c r="AG26" s="1069"/>
      <c r="AH26" s="1069"/>
      <c r="AI26" s="565"/>
      <c r="AJ26" s="565" t="str">
        <f t="shared" si="7"/>
        <v/>
      </c>
      <c r="AK26" s="120"/>
      <c r="AL26" s="120"/>
      <c r="AM26" s="120"/>
      <c r="AN26" s="120"/>
      <c r="AO26" s="120"/>
      <c r="AP26" s="120"/>
      <c r="AQ26" s="120"/>
      <c r="AR26" s="120"/>
      <c r="AS26" s="120"/>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row>
    <row r="27" spans="1:92" x14ac:dyDescent="0.25">
      <c r="A27" s="120"/>
      <c r="B27" s="5">
        <v>22</v>
      </c>
      <c r="C27" s="1069" t="str">
        <f>IFERROR(INDEX($CE$6:$CE$18,MATCH(B27,$CH$6:$CH$18,0),1),"")</f>
        <v/>
      </c>
      <c r="D27" s="1069"/>
      <c r="E27" s="1069"/>
      <c r="F27" s="1069"/>
      <c r="G27" s="1069"/>
      <c r="H27" s="565"/>
      <c r="I27" s="565"/>
      <c r="J27" s="565" t="str">
        <f t="shared" si="4"/>
        <v/>
      </c>
      <c r="K27" s="5">
        <v>22</v>
      </c>
      <c r="L27" s="1069" t="str">
        <f t="shared" si="0"/>
        <v/>
      </c>
      <c r="M27" s="1069"/>
      <c r="N27" s="1069"/>
      <c r="O27" s="1069"/>
      <c r="P27" s="1069"/>
      <c r="Q27" s="565"/>
      <c r="R27" s="565"/>
      <c r="S27" s="565" t="str">
        <f t="shared" si="5"/>
        <v/>
      </c>
      <c r="T27" s="5">
        <v>22</v>
      </c>
      <c r="U27" s="1069" t="str">
        <f t="shared" si="1"/>
        <v/>
      </c>
      <c r="V27" s="1069"/>
      <c r="W27" s="1069"/>
      <c r="X27" s="1069"/>
      <c r="Y27" s="1069"/>
      <c r="Z27" s="565"/>
      <c r="AA27" s="565"/>
      <c r="AB27" s="565" t="str">
        <f t="shared" si="6"/>
        <v/>
      </c>
      <c r="AC27" s="5">
        <v>22</v>
      </c>
      <c r="AD27" s="1069" t="str">
        <f t="shared" si="2"/>
        <v/>
      </c>
      <c r="AE27" s="1069"/>
      <c r="AF27" s="1069"/>
      <c r="AG27" s="1069"/>
      <c r="AH27" s="1069"/>
      <c r="AI27" s="565"/>
      <c r="AJ27" s="565" t="str">
        <f t="shared" si="7"/>
        <v/>
      </c>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row>
    <row r="28" spans="1:92" x14ac:dyDescent="0.25">
      <c r="A28" s="120"/>
      <c r="B28" s="5">
        <v>23</v>
      </c>
      <c r="C28" s="1069" t="str">
        <f t="shared" si="3"/>
        <v/>
      </c>
      <c r="D28" s="1069"/>
      <c r="E28" s="1069"/>
      <c r="F28" s="1069"/>
      <c r="G28" s="1069"/>
      <c r="H28" s="565"/>
      <c r="I28" s="565"/>
      <c r="J28" s="565" t="str">
        <f t="shared" si="4"/>
        <v/>
      </c>
      <c r="K28" s="5">
        <v>23</v>
      </c>
      <c r="L28" s="1069" t="str">
        <f t="shared" si="0"/>
        <v/>
      </c>
      <c r="M28" s="1069"/>
      <c r="N28" s="1069"/>
      <c r="O28" s="1069"/>
      <c r="P28" s="1069"/>
      <c r="Q28" s="565"/>
      <c r="R28" s="565"/>
      <c r="S28" s="565" t="str">
        <f t="shared" si="5"/>
        <v/>
      </c>
      <c r="T28" s="5">
        <v>23</v>
      </c>
      <c r="U28" s="1069" t="str">
        <f t="shared" si="1"/>
        <v/>
      </c>
      <c r="V28" s="1069"/>
      <c r="W28" s="1069"/>
      <c r="X28" s="1069"/>
      <c r="Y28" s="1069"/>
      <c r="Z28" s="565"/>
      <c r="AA28" s="565"/>
      <c r="AB28" s="565" t="str">
        <f t="shared" si="6"/>
        <v/>
      </c>
      <c r="AC28" s="5">
        <v>23</v>
      </c>
      <c r="AD28" s="1069" t="str">
        <f t="shared" si="2"/>
        <v/>
      </c>
      <c r="AE28" s="1069"/>
      <c r="AF28" s="1069"/>
      <c r="AG28" s="1069"/>
      <c r="AH28" s="1069"/>
      <c r="AI28" s="565"/>
      <c r="AJ28" s="565" t="str">
        <f t="shared" si="7"/>
        <v/>
      </c>
      <c r="AK28" s="120"/>
      <c r="AL28" s="120"/>
      <c r="AM28" s="120"/>
      <c r="AN28" s="120"/>
      <c r="AO28" s="120"/>
      <c r="AP28" s="120"/>
      <c r="AQ28" s="120"/>
      <c r="AR28" s="120"/>
      <c r="AS28" s="120"/>
      <c r="AT28" s="120"/>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row>
    <row r="29" spans="1:92" x14ac:dyDescent="0.25">
      <c r="A29" s="120"/>
      <c r="B29" s="5">
        <v>24</v>
      </c>
      <c r="C29" s="1069" t="str">
        <f t="shared" si="3"/>
        <v/>
      </c>
      <c r="D29" s="1069"/>
      <c r="E29" s="1069"/>
      <c r="F29" s="1069"/>
      <c r="G29" s="1069"/>
      <c r="H29" s="565"/>
      <c r="I29" s="565"/>
      <c r="J29" s="565" t="str">
        <f t="shared" si="4"/>
        <v/>
      </c>
      <c r="K29" s="5">
        <v>24</v>
      </c>
      <c r="L29" s="1069" t="str">
        <f t="shared" si="0"/>
        <v/>
      </c>
      <c r="M29" s="1069"/>
      <c r="N29" s="1069"/>
      <c r="O29" s="1069"/>
      <c r="P29" s="1069"/>
      <c r="Q29" s="565"/>
      <c r="R29" s="565"/>
      <c r="S29" s="565" t="str">
        <f t="shared" si="5"/>
        <v/>
      </c>
      <c r="T29" s="5">
        <v>24</v>
      </c>
      <c r="U29" s="1069" t="str">
        <f t="shared" si="1"/>
        <v/>
      </c>
      <c r="V29" s="1069"/>
      <c r="W29" s="1069"/>
      <c r="X29" s="1069"/>
      <c r="Y29" s="1069"/>
      <c r="Z29" s="565"/>
      <c r="AA29" s="565"/>
      <c r="AB29" s="565" t="str">
        <f t="shared" si="6"/>
        <v/>
      </c>
      <c r="AC29" s="5">
        <v>24</v>
      </c>
      <c r="AD29" s="1069" t="str">
        <f t="shared" si="2"/>
        <v/>
      </c>
      <c r="AE29" s="1069"/>
      <c r="AF29" s="1069"/>
      <c r="AG29" s="1069"/>
      <c r="AH29" s="1069"/>
      <c r="AI29" s="565"/>
      <c r="AJ29" s="565" t="str">
        <f t="shared" si="7"/>
        <v/>
      </c>
      <c r="AK29" s="120"/>
      <c r="AL29" s="120"/>
      <c r="AM29" s="120"/>
      <c r="AN29" s="120"/>
      <c r="AO29" s="120"/>
      <c r="AP29" s="120"/>
      <c r="AQ29" s="120"/>
      <c r="AR29" s="120"/>
      <c r="AS29" s="120"/>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row>
    <row r="30" spans="1:92" x14ac:dyDescent="0.25">
      <c r="A30" s="120"/>
      <c r="B30" s="5">
        <v>25</v>
      </c>
      <c r="C30" s="1069" t="str">
        <f>IFERROR(INDEX($CE$6:$CE$18,MATCH(B30,$CH$6:$CH$18,0),1),"")</f>
        <v/>
      </c>
      <c r="D30" s="1069"/>
      <c r="E30" s="1069"/>
      <c r="F30" s="1069"/>
      <c r="G30" s="1069"/>
      <c r="H30" s="565"/>
      <c r="I30" s="565"/>
      <c r="J30" s="565" t="str">
        <f t="shared" si="4"/>
        <v/>
      </c>
      <c r="K30" s="5">
        <v>25</v>
      </c>
      <c r="L30" s="1069" t="str">
        <f t="shared" si="0"/>
        <v/>
      </c>
      <c r="M30" s="1069"/>
      <c r="N30" s="1069"/>
      <c r="O30" s="1069"/>
      <c r="P30" s="1069"/>
      <c r="Q30" s="565"/>
      <c r="R30" s="565"/>
      <c r="S30" s="565" t="str">
        <f t="shared" si="5"/>
        <v/>
      </c>
      <c r="T30" s="5">
        <v>25</v>
      </c>
      <c r="U30" s="1069" t="str">
        <f t="shared" si="1"/>
        <v/>
      </c>
      <c r="V30" s="1069"/>
      <c r="W30" s="1069"/>
      <c r="X30" s="1069"/>
      <c r="Y30" s="1069"/>
      <c r="Z30" s="565"/>
      <c r="AA30" s="565"/>
      <c r="AB30" s="565" t="str">
        <f t="shared" si="6"/>
        <v/>
      </c>
      <c r="AC30" s="5">
        <v>25</v>
      </c>
      <c r="AD30" s="1069" t="str">
        <f t="shared" si="2"/>
        <v/>
      </c>
      <c r="AE30" s="1069"/>
      <c r="AF30" s="1069"/>
      <c r="AG30" s="1069"/>
      <c r="AH30" s="1069"/>
      <c r="AI30" s="565"/>
      <c r="AJ30" s="565" t="str">
        <f t="shared" si="7"/>
        <v/>
      </c>
      <c r="AK30" s="120"/>
      <c r="AL30" s="120"/>
      <c r="AM30" s="120"/>
      <c r="AN30" s="120"/>
      <c r="AO30" s="120"/>
      <c r="AP30" s="120"/>
      <c r="AQ30" s="120"/>
      <c r="AR30" s="120"/>
      <c r="AS30" s="120"/>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row>
    <row r="31" spans="1:92" x14ac:dyDescent="0.25">
      <c r="A31" s="120"/>
      <c r="B31" s="5">
        <v>26</v>
      </c>
      <c r="C31" s="1069" t="str">
        <f t="shared" si="3"/>
        <v/>
      </c>
      <c r="D31" s="1069"/>
      <c r="E31" s="1069"/>
      <c r="F31" s="1069"/>
      <c r="G31" s="1069"/>
      <c r="H31" s="565"/>
      <c r="I31" s="565"/>
      <c r="J31" s="565" t="str">
        <f t="shared" si="4"/>
        <v/>
      </c>
      <c r="K31" s="5">
        <v>26</v>
      </c>
      <c r="L31" s="1069" t="str">
        <f t="shared" si="0"/>
        <v/>
      </c>
      <c r="M31" s="1069"/>
      <c r="N31" s="1069"/>
      <c r="O31" s="1069"/>
      <c r="P31" s="1069"/>
      <c r="Q31" s="565"/>
      <c r="R31" s="565"/>
      <c r="S31" s="565" t="str">
        <f t="shared" si="5"/>
        <v/>
      </c>
      <c r="T31" s="5">
        <v>26</v>
      </c>
      <c r="U31" s="1069" t="str">
        <f t="shared" si="1"/>
        <v/>
      </c>
      <c r="V31" s="1069"/>
      <c r="W31" s="1069"/>
      <c r="X31" s="1069"/>
      <c r="Y31" s="1069"/>
      <c r="Z31" s="565"/>
      <c r="AA31" s="565"/>
      <c r="AB31" s="565" t="str">
        <f t="shared" si="6"/>
        <v/>
      </c>
      <c r="AC31" s="5">
        <v>26</v>
      </c>
      <c r="AD31" s="1069" t="str">
        <f t="shared" si="2"/>
        <v/>
      </c>
      <c r="AE31" s="1069"/>
      <c r="AF31" s="1069"/>
      <c r="AG31" s="1069"/>
      <c r="AH31" s="1069"/>
      <c r="AI31" s="565"/>
      <c r="AJ31" s="565" t="str">
        <f t="shared" si="7"/>
        <v/>
      </c>
      <c r="AK31" s="120"/>
      <c r="AL31" s="120"/>
      <c r="AM31" s="120"/>
      <c r="AN31" s="120"/>
      <c r="AO31" s="120"/>
      <c r="AP31" s="120"/>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row>
    <row r="32" spans="1:92" x14ac:dyDescent="0.25">
      <c r="A32" s="120"/>
      <c r="B32" s="5">
        <v>27</v>
      </c>
      <c r="C32" s="1069" t="str">
        <f t="shared" si="3"/>
        <v/>
      </c>
      <c r="D32" s="1069"/>
      <c r="E32" s="1069"/>
      <c r="F32" s="1069"/>
      <c r="G32" s="1069"/>
      <c r="H32" s="565"/>
      <c r="I32" s="565"/>
      <c r="J32" s="565" t="str">
        <f t="shared" si="4"/>
        <v/>
      </c>
      <c r="K32" s="5">
        <v>27</v>
      </c>
      <c r="L32" s="1069" t="str">
        <f t="shared" si="0"/>
        <v/>
      </c>
      <c r="M32" s="1069"/>
      <c r="N32" s="1069"/>
      <c r="O32" s="1069"/>
      <c r="P32" s="1069"/>
      <c r="Q32" s="565"/>
      <c r="R32" s="565"/>
      <c r="S32" s="565" t="str">
        <f t="shared" si="5"/>
        <v/>
      </c>
      <c r="T32" s="5">
        <v>27</v>
      </c>
      <c r="U32" s="1069" t="str">
        <f t="shared" si="1"/>
        <v/>
      </c>
      <c r="V32" s="1069"/>
      <c r="W32" s="1069"/>
      <c r="X32" s="1069"/>
      <c r="Y32" s="1069"/>
      <c r="Z32" s="565"/>
      <c r="AA32" s="565"/>
      <c r="AB32" s="565" t="str">
        <f t="shared" si="6"/>
        <v/>
      </c>
      <c r="AC32" s="5">
        <v>27</v>
      </c>
      <c r="AD32" s="1069" t="str">
        <f t="shared" si="2"/>
        <v/>
      </c>
      <c r="AE32" s="1069"/>
      <c r="AF32" s="1069"/>
      <c r="AG32" s="1069"/>
      <c r="AH32" s="1069"/>
      <c r="AI32" s="565"/>
      <c r="AJ32" s="565" t="str">
        <f t="shared" si="7"/>
        <v/>
      </c>
      <c r="AK32" s="120"/>
      <c r="AL32" s="120"/>
      <c r="AM32" s="120"/>
      <c r="AN32" s="120"/>
      <c r="AO32" s="120"/>
      <c r="AP32" s="120"/>
      <c r="AQ32" s="120"/>
      <c r="AR32" s="120"/>
      <c r="AS32" s="120"/>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row>
    <row r="33" spans="1:77" x14ac:dyDescent="0.25">
      <c r="A33" s="120"/>
      <c r="B33" s="5">
        <v>28</v>
      </c>
      <c r="C33" s="1069" t="str">
        <f>IFERROR(INDEX($CE$6:$CE$18,MATCH(B33,$CH$6:$CH$18,0),1),"")</f>
        <v/>
      </c>
      <c r="D33" s="1069"/>
      <c r="E33" s="1069"/>
      <c r="F33" s="1069"/>
      <c r="G33" s="1069"/>
      <c r="H33" s="565"/>
      <c r="I33" s="565"/>
      <c r="J33" s="565" t="str">
        <f t="shared" si="4"/>
        <v/>
      </c>
      <c r="K33" s="5">
        <v>28</v>
      </c>
      <c r="L33" s="1069" t="str">
        <f t="shared" si="0"/>
        <v/>
      </c>
      <c r="M33" s="1069"/>
      <c r="N33" s="1069"/>
      <c r="O33" s="1069"/>
      <c r="P33" s="1069"/>
      <c r="Q33" s="565"/>
      <c r="R33" s="565"/>
      <c r="S33" s="565" t="str">
        <f t="shared" si="5"/>
        <v/>
      </c>
      <c r="T33" s="5">
        <v>28</v>
      </c>
      <c r="U33" s="1069" t="str">
        <f t="shared" si="1"/>
        <v/>
      </c>
      <c r="V33" s="1069"/>
      <c r="W33" s="1069"/>
      <c r="X33" s="1069"/>
      <c r="Y33" s="1069"/>
      <c r="Z33" s="565"/>
      <c r="AA33" s="565"/>
      <c r="AB33" s="565" t="str">
        <f t="shared" si="6"/>
        <v/>
      </c>
      <c r="AC33" s="5">
        <v>28</v>
      </c>
      <c r="AD33" s="1069" t="str">
        <f t="shared" si="2"/>
        <v/>
      </c>
      <c r="AE33" s="1069"/>
      <c r="AF33" s="1069"/>
      <c r="AG33" s="1069"/>
      <c r="AH33" s="1069"/>
      <c r="AI33" s="565"/>
      <c r="AJ33" s="565" t="str">
        <f t="shared" si="7"/>
        <v/>
      </c>
      <c r="AK33" s="120"/>
      <c r="AL33" s="120"/>
      <c r="AM33" s="120"/>
      <c r="AN33" s="120"/>
      <c r="AO33" s="120"/>
      <c r="AP33" s="120"/>
      <c r="AQ33" s="120"/>
      <c r="AR33" s="120"/>
      <c r="AS33" s="120"/>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row>
    <row r="34" spans="1:77" x14ac:dyDescent="0.25">
      <c r="A34" s="120"/>
      <c r="B34" s="5">
        <v>29</v>
      </c>
      <c r="C34" s="1069" t="str">
        <f t="shared" si="3"/>
        <v/>
      </c>
      <c r="D34" s="1069"/>
      <c r="E34" s="1069"/>
      <c r="F34" s="1069"/>
      <c r="G34" s="1069"/>
      <c r="H34" s="565"/>
      <c r="I34" s="565"/>
      <c r="J34" s="565" t="str">
        <f t="shared" si="4"/>
        <v/>
      </c>
      <c r="K34" s="5">
        <v>29</v>
      </c>
      <c r="L34" s="1069" t="str">
        <f t="shared" si="0"/>
        <v/>
      </c>
      <c r="M34" s="1069"/>
      <c r="N34" s="1069"/>
      <c r="O34" s="1069"/>
      <c r="P34" s="1069"/>
      <c r="Q34" s="565"/>
      <c r="R34" s="565"/>
      <c r="S34" s="565" t="str">
        <f t="shared" si="5"/>
        <v/>
      </c>
      <c r="T34" s="5">
        <v>29</v>
      </c>
      <c r="U34" s="1069" t="str">
        <f t="shared" si="1"/>
        <v/>
      </c>
      <c r="V34" s="1069"/>
      <c r="W34" s="1069"/>
      <c r="X34" s="1069"/>
      <c r="Y34" s="1069"/>
      <c r="Z34" s="565"/>
      <c r="AA34" s="565"/>
      <c r="AB34" s="565" t="str">
        <f t="shared" si="6"/>
        <v/>
      </c>
      <c r="AC34" s="5">
        <v>29</v>
      </c>
      <c r="AD34" s="1069" t="str">
        <f t="shared" si="2"/>
        <v/>
      </c>
      <c r="AE34" s="1069"/>
      <c r="AF34" s="1069"/>
      <c r="AG34" s="1069"/>
      <c r="AH34" s="1069"/>
      <c r="AI34" s="565"/>
      <c r="AJ34" s="565" t="str">
        <f t="shared" si="7"/>
        <v/>
      </c>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row>
    <row r="35" spans="1:77" x14ac:dyDescent="0.25">
      <c r="A35" s="120"/>
      <c r="B35" s="5">
        <v>30</v>
      </c>
      <c r="C35" s="1069" t="str">
        <f t="shared" si="3"/>
        <v/>
      </c>
      <c r="D35" s="1069"/>
      <c r="E35" s="1069"/>
      <c r="F35" s="1069"/>
      <c r="G35" s="1069"/>
      <c r="H35" s="565"/>
      <c r="I35" s="565"/>
      <c r="J35" s="565" t="str">
        <f t="shared" si="4"/>
        <v/>
      </c>
      <c r="K35" s="5">
        <v>30</v>
      </c>
      <c r="L35" s="1069" t="str">
        <f t="shared" si="0"/>
        <v/>
      </c>
      <c r="M35" s="1069"/>
      <c r="N35" s="1069"/>
      <c r="O35" s="1069"/>
      <c r="P35" s="1069"/>
      <c r="Q35" s="565"/>
      <c r="R35" s="565"/>
      <c r="S35" s="565" t="str">
        <f t="shared" si="5"/>
        <v/>
      </c>
      <c r="T35" s="5">
        <v>30</v>
      </c>
      <c r="U35" s="1069" t="str">
        <f t="shared" si="1"/>
        <v/>
      </c>
      <c r="V35" s="1069"/>
      <c r="W35" s="1069"/>
      <c r="X35" s="1069"/>
      <c r="Y35" s="1069"/>
      <c r="Z35" s="565"/>
      <c r="AA35" s="565"/>
      <c r="AB35" s="565" t="str">
        <f t="shared" si="6"/>
        <v/>
      </c>
      <c r="AC35" s="5">
        <v>30</v>
      </c>
      <c r="AD35" s="1069" t="str">
        <f t="shared" si="2"/>
        <v/>
      </c>
      <c r="AE35" s="1069"/>
      <c r="AF35" s="1069"/>
      <c r="AG35" s="1069"/>
      <c r="AH35" s="1069"/>
      <c r="AI35" s="565"/>
      <c r="AJ35" s="565" t="str">
        <f t="shared" si="7"/>
        <v/>
      </c>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row>
    <row r="36" spans="1:77" x14ac:dyDescent="0.25">
      <c r="A36" s="120"/>
      <c r="B36" s="120"/>
      <c r="C36" s="120"/>
      <c r="D36" s="120"/>
      <c r="E36" s="120"/>
      <c r="F36" s="120"/>
      <c r="G36" s="120"/>
      <c r="H36" s="565"/>
      <c r="I36" s="565"/>
      <c r="J36" s="565"/>
      <c r="K36" s="120"/>
      <c r="L36" s="120"/>
      <c r="M36" s="120"/>
      <c r="N36" s="120"/>
      <c r="O36" s="120"/>
      <c r="P36" s="120"/>
      <c r="Q36" s="565"/>
      <c r="R36" s="565"/>
      <c r="S36" s="565" t="str">
        <f>IF(L36="","",IF(Q36="",L36&amp;", ",L36&amp;" - prep"&amp;", "))</f>
        <v/>
      </c>
      <c r="T36" s="120"/>
      <c r="U36" s="120"/>
      <c r="V36" s="120"/>
      <c r="W36" s="120"/>
      <c r="X36" s="120"/>
      <c r="Y36" s="120"/>
      <c r="Z36" s="565"/>
      <c r="AA36" s="565"/>
      <c r="AB36" s="565" t="str">
        <f>IF(U36="","",IF(Z36="",U36&amp;", ",U36&amp;" - prep"&amp;", "))</f>
        <v/>
      </c>
      <c r="AC36" s="120"/>
      <c r="AD36" s="120"/>
      <c r="AE36" s="120"/>
      <c r="AF36" s="120"/>
      <c r="AG36" s="120"/>
      <c r="AH36" s="120"/>
      <c r="AI36" s="565"/>
      <c r="AJ36" s="565" t="str">
        <f>IF(AD36="","",IF(AI36="",AD36&amp;", ",AD36&amp;" - prep"&amp;", "))</f>
        <v/>
      </c>
      <c r="AK36" s="120"/>
      <c r="AL36" s="120"/>
      <c r="AM36" s="120"/>
      <c r="AN36" s="120"/>
      <c r="AO36" s="120"/>
      <c r="AP36" s="120"/>
      <c r="AQ36" s="120"/>
      <c r="AR36" s="120" t="str">
        <f>IF(AL36="","",IF(AQ36="",AL36&amp;", ",AL36&amp;" - prep"&amp;", "))</f>
        <v/>
      </c>
      <c r="AS36" s="120"/>
      <c r="AT36" s="120"/>
      <c r="AU36" s="120"/>
      <c r="AV36" s="120"/>
      <c r="AW36" s="120"/>
      <c r="AX36" s="120"/>
      <c r="AY36" s="120"/>
      <c r="AZ36" s="120" t="str">
        <f>IF(AT36="","",IF(AY36="",AT36&amp;", ",AT36&amp;" - prep"&amp;", "))</f>
        <v/>
      </c>
      <c r="BA36" s="120"/>
      <c r="BB36" s="120"/>
      <c r="BC36" s="120"/>
      <c r="BD36" s="120"/>
      <c r="BE36" s="120"/>
      <c r="BF36" s="120"/>
      <c r="BG36" s="120"/>
      <c r="BH36" s="120" t="str">
        <f>IF(BB36="","",IF(BG36="",BB36&amp;", ",BB36&amp;" - prep"&amp;", "))</f>
        <v/>
      </c>
      <c r="BI36" s="120"/>
      <c r="BJ36" s="120"/>
      <c r="BK36" s="120"/>
      <c r="BL36" s="120"/>
      <c r="BM36" s="120"/>
      <c r="BN36" s="120"/>
      <c r="BO36" s="120"/>
      <c r="BP36" s="120" t="str">
        <f>IF(BJ36="","",IF(BO36="",BJ36&amp;", ",BJ36&amp;" - prep"&amp;", "))</f>
        <v/>
      </c>
      <c r="BQ36" s="120"/>
      <c r="BR36" s="120"/>
      <c r="BS36" s="120"/>
      <c r="BT36" s="120"/>
      <c r="BU36" s="120"/>
      <c r="BV36" s="120"/>
      <c r="BW36" s="120"/>
      <c r="BX36" s="120" t="str">
        <f>IF(BR36="","",IF(BW36="",BR36&amp;", ",BR36&amp;" - prep"&amp;", "))</f>
        <v/>
      </c>
    </row>
    <row r="37" spans="1:77" ht="15" customHeight="1" x14ac:dyDescent="0.25">
      <c r="A37" s="120"/>
      <c r="B37" s="1062" t="str">
        <f>"Eldritch Knight Spells known"&amp;CHAR(10)&amp;M37&amp;V37&amp;AE37&amp;AM37</f>
        <v xml:space="preserve">Eldritch Knight Spells known
1st level: Protection from Evil and Good, Shield, Absorb Elements, Thunderwave, Tenser's Floating Disk, 
2nd level: Alter Self, Misty Step, 
</v>
      </c>
      <c r="C37" s="1062"/>
      <c r="D37" s="1062"/>
      <c r="E37" s="1062"/>
      <c r="F37" s="1062"/>
      <c r="G37" s="1062"/>
      <c r="H37" s="1062"/>
      <c r="I37" s="590"/>
      <c r="J37" s="566">
        <v>1</v>
      </c>
      <c r="K37" s="565" t="str">
        <f>J6</f>
        <v xml:space="preserve">Protection from Evil and Good, </v>
      </c>
      <c r="L37" s="565" t="str">
        <f>K37</f>
        <v xml:space="preserve">Protection from Evil and Good, </v>
      </c>
      <c r="M37" s="565" t="str">
        <f>IF(M38="","","1st level: "&amp;M38&amp;CHAR(10))</f>
        <v xml:space="preserve">1st level: Protection from Evil and Good, Shield, Absorb Elements, Thunderwave, Tenser's Floating Disk, 
</v>
      </c>
      <c r="N37" s="565"/>
      <c r="O37" s="565"/>
      <c r="P37" s="565"/>
      <c r="Q37" s="565"/>
      <c r="R37" s="565"/>
      <c r="S37" s="566">
        <v>1</v>
      </c>
      <c r="T37" s="565" t="str">
        <f>S6</f>
        <v xml:space="preserve">Alter Self, </v>
      </c>
      <c r="U37" s="565" t="str">
        <f>T37</f>
        <v xml:space="preserve">Alter Self, </v>
      </c>
      <c r="V37" s="565" t="str">
        <f>IF(V38="","","2nd level: "&amp;V38&amp;CHAR(10))</f>
        <v xml:space="preserve">2nd level: Alter Self, Misty Step, 
</v>
      </c>
      <c r="W37" s="565"/>
      <c r="X37" s="565"/>
      <c r="Y37" s="565"/>
      <c r="Z37" s="565"/>
      <c r="AA37" s="565"/>
      <c r="AB37" s="566">
        <v>1</v>
      </c>
      <c r="AC37" s="565" t="str">
        <f>AB6</f>
        <v/>
      </c>
      <c r="AD37" s="565" t="str">
        <f>AC37</f>
        <v/>
      </c>
      <c r="AE37" s="565" t="str">
        <f>IF(AE38="","","3rd level: "&amp;AE38&amp;CHAR(10))</f>
        <v/>
      </c>
      <c r="AF37" s="565"/>
      <c r="AG37" s="565"/>
      <c r="AH37" s="565"/>
      <c r="AI37" s="565"/>
      <c r="AJ37" s="566">
        <v>1</v>
      </c>
      <c r="AK37" s="565" t="str">
        <f>AJ6</f>
        <v/>
      </c>
      <c r="AL37" s="565" t="str">
        <f>AK37</f>
        <v/>
      </c>
      <c r="AM37" s="565" t="str">
        <f>IF(AM38="","","4th level: "&amp;AM38&amp;CHAR(10))</f>
        <v/>
      </c>
      <c r="AN37" s="565"/>
      <c r="AO37" s="565"/>
      <c r="AP37" s="565"/>
      <c r="AQ37" s="565"/>
      <c r="AR37" s="566"/>
      <c r="AS37" s="565"/>
      <c r="AT37" s="565"/>
      <c r="AU37" s="565"/>
      <c r="AV37" s="566"/>
      <c r="AW37" s="565"/>
      <c r="AX37" s="565"/>
      <c r="AY37" s="565"/>
      <c r="AZ37" s="566"/>
      <c r="BA37" s="565"/>
      <c r="BB37" s="565"/>
      <c r="BC37" s="565"/>
      <c r="BD37" s="565"/>
      <c r="BE37" s="565"/>
      <c r="BF37" s="565"/>
      <c r="BG37" s="565"/>
      <c r="BH37" s="566"/>
      <c r="BI37" s="565"/>
      <c r="BJ37" s="565"/>
      <c r="BK37" s="565"/>
      <c r="BL37" s="565"/>
      <c r="BM37" s="565"/>
      <c r="BN37" s="565"/>
      <c r="BO37" s="565"/>
      <c r="BP37" s="566"/>
      <c r="BQ37" s="565"/>
      <c r="BR37" s="565"/>
      <c r="BS37" s="565"/>
      <c r="BT37" s="565"/>
      <c r="BU37" s="565"/>
      <c r="BV37" s="565"/>
      <c r="BW37" s="565"/>
      <c r="BX37" s="566"/>
      <c r="BY37" s="573"/>
    </row>
    <row r="38" spans="1:77" x14ac:dyDescent="0.25">
      <c r="A38" s="120"/>
      <c r="B38" s="1062"/>
      <c r="C38" s="1062"/>
      <c r="D38" s="1062"/>
      <c r="E38" s="1062"/>
      <c r="F38" s="1062"/>
      <c r="G38" s="1062"/>
      <c r="H38" s="1062"/>
      <c r="I38" s="590"/>
      <c r="J38" s="566">
        <v>2</v>
      </c>
      <c r="K38" s="565" t="str">
        <f t="shared" ref="K38:K66" si="12">J7</f>
        <v xml:space="preserve">Shield, </v>
      </c>
      <c r="L38" s="565" t="str">
        <f t="shared" ref="L38:L66" si="13">K38</f>
        <v xml:space="preserve">Shield, </v>
      </c>
      <c r="M38" s="565" t="str">
        <f>L37&amp;L38&amp;L39&amp;L40&amp;L41&amp;L42&amp;L43&amp;L44&amp;L45&amp;L46&amp;L48&amp;L47&amp;L49&amp;L50&amp;L51&amp;L52&amp;L54&amp;L55&amp;L53&amp;L56&amp;L57&amp;L58&amp;L59&amp;L60&amp;L61&amp;L62&amp;L63&amp;L64&amp;L65&amp;L66</f>
        <v xml:space="preserve">Protection from Evil and Good, Shield, Absorb Elements, Thunderwave, Tenser's Floating Disk, </v>
      </c>
      <c r="N38" s="565"/>
      <c r="O38" s="565"/>
      <c r="P38" s="565"/>
      <c r="Q38" s="565"/>
      <c r="R38" s="565"/>
      <c r="S38" s="566">
        <v>2</v>
      </c>
      <c r="T38" s="565" t="str">
        <f t="shared" ref="T38:T66" si="14">S7</f>
        <v xml:space="preserve">Misty Step, </v>
      </c>
      <c r="U38" s="565" t="str">
        <f t="shared" ref="U38:U66" si="15">T38</f>
        <v xml:space="preserve">Misty Step, </v>
      </c>
      <c r="V38" s="565" t="str">
        <f>U37&amp;U38&amp;U39&amp;U40&amp;U41&amp;U42&amp;U43&amp;U44&amp;U45&amp;U46&amp;U48&amp;U47&amp;U49&amp;U50&amp;U51&amp;U52&amp;U54&amp;U55&amp;U53&amp;U56&amp;U57&amp;U58&amp;U59&amp;U60&amp;U61&amp;U62&amp;U63&amp;U64&amp;U65&amp;U66</f>
        <v xml:space="preserve">Alter Self, Misty Step, </v>
      </c>
      <c r="W38" s="565"/>
      <c r="X38" s="565"/>
      <c r="Y38" s="565"/>
      <c r="Z38" s="565"/>
      <c r="AA38" s="565"/>
      <c r="AB38" s="566">
        <v>2</v>
      </c>
      <c r="AC38" s="565" t="str">
        <f t="shared" ref="AC38:AC66" si="16">AB7</f>
        <v/>
      </c>
      <c r="AD38" s="565" t="str">
        <f t="shared" ref="AD38:AD66" si="17">AC38</f>
        <v/>
      </c>
      <c r="AE38" s="565" t="str">
        <f>AD37&amp;AD38&amp;AD39&amp;AD40&amp;AD41&amp;AD42&amp;AD43&amp;AD44&amp;AD45&amp;AD46&amp;AD48&amp;AD47&amp;AD49&amp;AD50&amp;AD51&amp;AD52&amp;AD54&amp;AD55&amp;AD53&amp;AD56&amp;AD57&amp;AD58&amp;AD59&amp;AD60&amp;AD61&amp;AD62&amp;AD63&amp;AD64&amp;AD65&amp;AD66</f>
        <v/>
      </c>
      <c r="AF38" s="565"/>
      <c r="AG38" s="565"/>
      <c r="AH38" s="565"/>
      <c r="AI38" s="565"/>
      <c r="AJ38" s="566">
        <v>2</v>
      </c>
      <c r="AK38" s="565" t="str">
        <f t="shared" ref="AK38:AK66" si="18">AJ7</f>
        <v/>
      </c>
      <c r="AL38" s="565" t="str">
        <f t="shared" ref="AL38:AL66" si="19">AK38</f>
        <v/>
      </c>
      <c r="AM38" s="565" t="str">
        <f>AL37&amp;AL38&amp;AL39&amp;AL40&amp;AL41&amp;AL42&amp;AL43&amp;AL44&amp;AL45&amp;AL46&amp;AL48&amp;AL47&amp;AL49&amp;AL50&amp;AL51&amp;AL52&amp;AL54&amp;AL55&amp;AL53&amp;AL56&amp;AL57&amp;AL58&amp;AL59&amp;AL60&amp;AL61&amp;AL62&amp;AL63&amp;AL64&amp;AL65&amp;AL66</f>
        <v/>
      </c>
      <c r="AN38" s="565"/>
      <c r="AO38" s="565"/>
      <c r="AP38" s="565"/>
      <c r="AQ38" s="565"/>
      <c r="AR38" s="566"/>
      <c r="AS38" s="565"/>
      <c r="AT38" s="565"/>
      <c r="AU38" s="565"/>
      <c r="AV38" s="566"/>
      <c r="AW38" s="565"/>
      <c r="AX38" s="565"/>
      <c r="AY38" s="565"/>
      <c r="AZ38" s="566"/>
      <c r="BA38" s="565"/>
      <c r="BB38" s="565"/>
      <c r="BC38" s="565"/>
      <c r="BD38" s="565"/>
      <c r="BE38" s="565"/>
      <c r="BF38" s="565"/>
      <c r="BG38" s="565"/>
      <c r="BH38" s="566"/>
      <c r="BI38" s="565"/>
      <c r="BJ38" s="565"/>
      <c r="BK38" s="565"/>
      <c r="BL38" s="565"/>
      <c r="BM38" s="565"/>
      <c r="BN38" s="565"/>
      <c r="BO38" s="565"/>
      <c r="BP38" s="566"/>
      <c r="BQ38" s="565"/>
      <c r="BR38" s="565"/>
      <c r="BS38" s="565"/>
      <c r="BT38" s="565"/>
      <c r="BU38" s="565"/>
      <c r="BV38" s="565"/>
      <c r="BW38" s="565"/>
      <c r="BX38" s="566"/>
      <c r="BY38" s="573"/>
    </row>
    <row r="39" spans="1:77" x14ac:dyDescent="0.25">
      <c r="A39" s="120"/>
      <c r="B39" s="1062"/>
      <c r="C39" s="1062"/>
      <c r="D39" s="1062"/>
      <c r="E39" s="1062"/>
      <c r="F39" s="1062"/>
      <c r="G39" s="1062"/>
      <c r="H39" s="1062"/>
      <c r="I39" s="590"/>
      <c r="J39" s="566">
        <v>3</v>
      </c>
      <c r="K39" s="565" t="str">
        <f t="shared" si="12"/>
        <v xml:space="preserve">Absorb Elements, </v>
      </c>
      <c r="L39" s="565" t="str">
        <f t="shared" si="13"/>
        <v xml:space="preserve">Absorb Elements, </v>
      </c>
      <c r="M39" s="565"/>
      <c r="N39" s="565"/>
      <c r="O39" s="565"/>
      <c r="P39" s="565"/>
      <c r="Q39" s="565"/>
      <c r="R39" s="565"/>
      <c r="S39" s="566">
        <v>3</v>
      </c>
      <c r="T39" s="565" t="str">
        <f t="shared" si="14"/>
        <v/>
      </c>
      <c r="U39" s="565" t="str">
        <f t="shared" si="15"/>
        <v/>
      </c>
      <c r="V39" s="565"/>
      <c r="W39" s="565"/>
      <c r="X39" s="565"/>
      <c r="Y39" s="565"/>
      <c r="Z39" s="565"/>
      <c r="AA39" s="565"/>
      <c r="AB39" s="566">
        <v>3</v>
      </c>
      <c r="AC39" s="565" t="str">
        <f t="shared" si="16"/>
        <v/>
      </c>
      <c r="AD39" s="565" t="str">
        <f t="shared" si="17"/>
        <v/>
      </c>
      <c r="AE39" s="565"/>
      <c r="AF39" s="565"/>
      <c r="AG39" s="565"/>
      <c r="AH39" s="565"/>
      <c r="AI39" s="565"/>
      <c r="AJ39" s="566">
        <v>3</v>
      </c>
      <c r="AK39" s="565" t="str">
        <f t="shared" si="18"/>
        <v/>
      </c>
      <c r="AL39" s="565" t="str">
        <f t="shared" si="19"/>
        <v/>
      </c>
      <c r="AM39" s="565"/>
      <c r="AN39" s="565"/>
      <c r="AO39" s="565"/>
      <c r="AP39" s="565"/>
      <c r="AQ39" s="565"/>
      <c r="AR39" s="566"/>
      <c r="AS39" s="565"/>
      <c r="AT39" s="565"/>
      <c r="AU39" s="565"/>
      <c r="AV39" s="566"/>
      <c r="AW39" s="565"/>
      <c r="AX39" s="565"/>
      <c r="AY39" s="565"/>
      <c r="AZ39" s="566"/>
      <c r="BA39" s="565"/>
      <c r="BB39" s="565"/>
      <c r="BC39" s="565"/>
      <c r="BD39" s="565"/>
      <c r="BE39" s="565"/>
      <c r="BF39" s="565"/>
      <c r="BG39" s="565"/>
      <c r="BH39" s="566"/>
      <c r="BI39" s="565"/>
      <c r="BJ39" s="565"/>
      <c r="BK39" s="565"/>
      <c r="BL39" s="565"/>
      <c r="BM39" s="565"/>
      <c r="BN39" s="565"/>
      <c r="BO39" s="565"/>
      <c r="BP39" s="566"/>
      <c r="BQ39" s="565"/>
      <c r="BR39" s="565"/>
      <c r="BS39" s="565"/>
      <c r="BT39" s="565"/>
      <c r="BU39" s="565"/>
      <c r="BV39" s="565"/>
      <c r="BW39" s="565"/>
      <c r="BX39" s="566"/>
      <c r="BY39" s="573"/>
    </row>
    <row r="40" spans="1:77" x14ac:dyDescent="0.25">
      <c r="A40" s="120"/>
      <c r="B40" s="1062"/>
      <c r="C40" s="1062"/>
      <c r="D40" s="1062"/>
      <c r="E40" s="1062"/>
      <c r="F40" s="1062"/>
      <c r="G40" s="1062"/>
      <c r="H40" s="1062"/>
      <c r="I40" s="590"/>
      <c r="J40" s="566">
        <v>4</v>
      </c>
      <c r="K40" s="565" t="str">
        <f t="shared" si="12"/>
        <v xml:space="preserve">Thunderwave, </v>
      </c>
      <c r="L40" s="565" t="str">
        <f t="shared" si="13"/>
        <v xml:space="preserve">Thunderwave, </v>
      </c>
      <c r="M40" s="565"/>
      <c r="N40" s="565"/>
      <c r="O40" s="565"/>
      <c r="P40" s="565"/>
      <c r="Q40" s="565"/>
      <c r="R40" s="565"/>
      <c r="S40" s="566">
        <v>4</v>
      </c>
      <c r="T40" s="565" t="str">
        <f t="shared" si="14"/>
        <v/>
      </c>
      <c r="U40" s="565" t="str">
        <f t="shared" si="15"/>
        <v/>
      </c>
      <c r="V40" s="565"/>
      <c r="W40" s="565"/>
      <c r="X40" s="565"/>
      <c r="Y40" s="565"/>
      <c r="Z40" s="565"/>
      <c r="AA40" s="565"/>
      <c r="AB40" s="566">
        <v>4</v>
      </c>
      <c r="AC40" s="565" t="str">
        <f t="shared" si="16"/>
        <v/>
      </c>
      <c r="AD40" s="565" t="str">
        <f t="shared" si="17"/>
        <v/>
      </c>
      <c r="AE40" s="565"/>
      <c r="AF40" s="565"/>
      <c r="AG40" s="565"/>
      <c r="AH40" s="565"/>
      <c r="AI40" s="565"/>
      <c r="AJ40" s="566">
        <v>4</v>
      </c>
      <c r="AK40" s="565" t="str">
        <f t="shared" si="18"/>
        <v/>
      </c>
      <c r="AL40" s="565" t="str">
        <f t="shared" si="19"/>
        <v/>
      </c>
      <c r="AM40" s="565"/>
      <c r="AN40" s="565"/>
      <c r="AO40" s="565"/>
      <c r="AP40" s="565"/>
      <c r="AQ40" s="565"/>
      <c r="AR40" s="566"/>
      <c r="AS40" s="565"/>
      <c r="AT40" s="565"/>
      <c r="AU40" s="565"/>
      <c r="AV40" s="566"/>
      <c r="AW40" s="565"/>
      <c r="AX40" s="565"/>
      <c r="AY40" s="565"/>
      <c r="AZ40" s="566"/>
      <c r="BA40" s="565"/>
      <c r="BB40" s="565"/>
      <c r="BC40" s="565"/>
      <c r="BD40" s="565"/>
      <c r="BE40" s="565"/>
      <c r="BF40" s="565"/>
      <c r="BG40" s="565"/>
      <c r="BH40" s="566"/>
      <c r="BI40" s="565"/>
      <c r="BJ40" s="565"/>
      <c r="BK40" s="565"/>
      <c r="BL40" s="565"/>
      <c r="BM40" s="565"/>
      <c r="BN40" s="565"/>
      <c r="BO40" s="565"/>
      <c r="BP40" s="566"/>
      <c r="BQ40" s="565"/>
      <c r="BR40" s="565"/>
      <c r="BS40" s="565"/>
      <c r="BT40" s="565"/>
      <c r="BU40" s="565"/>
      <c r="BV40" s="565"/>
      <c r="BW40" s="565"/>
      <c r="BX40" s="566"/>
      <c r="BY40" s="573"/>
    </row>
    <row r="41" spans="1:77" x14ac:dyDescent="0.25">
      <c r="A41" s="120"/>
      <c r="B41" s="1062"/>
      <c r="C41" s="1062"/>
      <c r="D41" s="1062"/>
      <c r="E41" s="1062"/>
      <c r="F41" s="1062"/>
      <c r="G41" s="1062"/>
      <c r="H41" s="1062"/>
      <c r="I41" s="590"/>
      <c r="J41" s="566">
        <v>5</v>
      </c>
      <c r="K41" s="565" t="str">
        <f t="shared" si="12"/>
        <v xml:space="preserve">Tenser's Floating Disk, </v>
      </c>
      <c r="L41" s="565" t="str">
        <f t="shared" si="13"/>
        <v xml:space="preserve">Tenser's Floating Disk, </v>
      </c>
      <c r="M41" s="565"/>
      <c r="N41" s="565"/>
      <c r="O41" s="565"/>
      <c r="P41" s="565"/>
      <c r="Q41" s="565"/>
      <c r="R41" s="565"/>
      <c r="S41" s="566">
        <v>5</v>
      </c>
      <c r="T41" s="565" t="str">
        <f t="shared" si="14"/>
        <v/>
      </c>
      <c r="U41" s="565" t="str">
        <f t="shared" si="15"/>
        <v/>
      </c>
      <c r="V41" s="565"/>
      <c r="W41" s="565"/>
      <c r="X41" s="565"/>
      <c r="Y41" s="565"/>
      <c r="Z41" s="565"/>
      <c r="AA41" s="565"/>
      <c r="AB41" s="566">
        <v>5</v>
      </c>
      <c r="AC41" s="565" t="str">
        <f t="shared" si="16"/>
        <v/>
      </c>
      <c r="AD41" s="565" t="str">
        <f t="shared" si="17"/>
        <v/>
      </c>
      <c r="AE41" s="565"/>
      <c r="AF41" s="565"/>
      <c r="AG41" s="565"/>
      <c r="AH41" s="565"/>
      <c r="AI41" s="565"/>
      <c r="AJ41" s="566">
        <v>5</v>
      </c>
      <c r="AK41" s="565" t="str">
        <f t="shared" si="18"/>
        <v/>
      </c>
      <c r="AL41" s="565" t="str">
        <f t="shared" si="19"/>
        <v/>
      </c>
      <c r="AM41" s="565"/>
      <c r="AN41" s="565"/>
      <c r="AO41" s="565"/>
      <c r="AP41" s="565"/>
      <c r="AQ41" s="565"/>
      <c r="AR41" s="566"/>
      <c r="AS41" s="565"/>
      <c r="AT41" s="565"/>
      <c r="AU41" s="565"/>
      <c r="AV41" s="566"/>
      <c r="AW41" s="565"/>
      <c r="AX41" s="565"/>
      <c r="AY41" s="565"/>
      <c r="AZ41" s="566"/>
      <c r="BA41" s="565"/>
      <c r="BB41" s="565"/>
      <c r="BC41" s="565"/>
      <c r="BD41" s="565"/>
      <c r="BE41" s="565"/>
      <c r="BF41" s="565"/>
      <c r="BG41" s="565"/>
      <c r="BH41" s="566"/>
      <c r="BI41" s="565"/>
      <c r="BJ41" s="565"/>
      <c r="BK41" s="565"/>
      <c r="BL41" s="565"/>
      <c r="BM41" s="565"/>
      <c r="BN41" s="565"/>
      <c r="BO41" s="565"/>
      <c r="BP41" s="566"/>
      <c r="BQ41" s="565"/>
      <c r="BR41" s="565"/>
      <c r="BS41" s="565"/>
      <c r="BT41" s="565"/>
      <c r="BU41" s="565"/>
      <c r="BV41" s="565"/>
      <c r="BW41" s="565"/>
      <c r="BX41" s="566"/>
      <c r="BY41" s="573"/>
    </row>
    <row r="42" spans="1:77" x14ac:dyDescent="0.25">
      <c r="A42" s="120"/>
      <c r="B42" s="1062"/>
      <c r="C42" s="1062"/>
      <c r="D42" s="1062"/>
      <c r="E42" s="1062"/>
      <c r="F42" s="1062"/>
      <c r="G42" s="1062"/>
      <c r="H42" s="1062"/>
      <c r="I42" s="590"/>
      <c r="J42" s="566">
        <v>6</v>
      </c>
      <c r="K42" s="565" t="str">
        <f t="shared" si="12"/>
        <v/>
      </c>
      <c r="L42" s="565" t="str">
        <f t="shared" si="13"/>
        <v/>
      </c>
      <c r="M42" s="565"/>
      <c r="N42" s="565"/>
      <c r="O42" s="565"/>
      <c r="P42" s="565"/>
      <c r="Q42" s="565"/>
      <c r="R42" s="565"/>
      <c r="S42" s="566">
        <v>6</v>
      </c>
      <c r="T42" s="565" t="str">
        <f t="shared" si="14"/>
        <v/>
      </c>
      <c r="U42" s="565" t="str">
        <f t="shared" si="15"/>
        <v/>
      </c>
      <c r="V42" s="565"/>
      <c r="W42" s="565"/>
      <c r="X42" s="565"/>
      <c r="Y42" s="565"/>
      <c r="Z42" s="565"/>
      <c r="AA42" s="565"/>
      <c r="AB42" s="566">
        <v>6</v>
      </c>
      <c r="AC42" s="565" t="str">
        <f t="shared" si="16"/>
        <v/>
      </c>
      <c r="AD42" s="565" t="str">
        <f t="shared" si="17"/>
        <v/>
      </c>
      <c r="AE42" s="565"/>
      <c r="AF42" s="565"/>
      <c r="AG42" s="565"/>
      <c r="AH42" s="565"/>
      <c r="AI42" s="565"/>
      <c r="AJ42" s="566">
        <v>6</v>
      </c>
      <c r="AK42" s="565" t="str">
        <f t="shared" si="18"/>
        <v/>
      </c>
      <c r="AL42" s="565" t="str">
        <f t="shared" si="19"/>
        <v/>
      </c>
      <c r="AM42" s="565"/>
      <c r="AN42" s="565"/>
      <c r="AO42" s="565"/>
      <c r="AP42" s="565"/>
      <c r="AQ42" s="565"/>
      <c r="AR42" s="566"/>
      <c r="AS42" s="565"/>
      <c r="AT42" s="565"/>
      <c r="AU42" s="565"/>
      <c r="AV42" s="566"/>
      <c r="AW42" s="565"/>
      <c r="AX42" s="565"/>
      <c r="AY42" s="565"/>
      <c r="AZ42" s="566"/>
      <c r="BA42" s="565"/>
      <c r="BB42" s="565"/>
      <c r="BC42" s="565"/>
      <c r="BD42" s="565"/>
      <c r="BE42" s="565"/>
      <c r="BF42" s="565"/>
      <c r="BG42" s="565"/>
      <c r="BH42" s="566"/>
      <c r="BI42" s="565"/>
      <c r="BJ42" s="565"/>
      <c r="BK42" s="565"/>
      <c r="BL42" s="565"/>
      <c r="BM42" s="565"/>
      <c r="BN42" s="565"/>
      <c r="BO42" s="565"/>
      <c r="BP42" s="566"/>
      <c r="BQ42" s="565"/>
      <c r="BR42" s="565"/>
      <c r="BS42" s="565"/>
      <c r="BT42" s="565"/>
      <c r="BU42" s="565"/>
      <c r="BV42" s="565"/>
      <c r="BW42" s="565"/>
      <c r="BX42" s="566"/>
      <c r="BY42" s="573"/>
    </row>
    <row r="43" spans="1:77" x14ac:dyDescent="0.25">
      <c r="A43" s="120"/>
      <c r="B43" s="1062"/>
      <c r="C43" s="1062"/>
      <c r="D43" s="1062"/>
      <c r="E43" s="1062"/>
      <c r="F43" s="1062"/>
      <c r="G43" s="1062"/>
      <c r="H43" s="1062"/>
      <c r="I43" s="590"/>
      <c r="J43" s="566">
        <v>7</v>
      </c>
      <c r="K43" s="565" t="str">
        <f t="shared" si="12"/>
        <v/>
      </c>
      <c r="L43" s="565" t="str">
        <f t="shared" si="13"/>
        <v/>
      </c>
      <c r="M43" s="565"/>
      <c r="N43" s="565"/>
      <c r="O43" s="565"/>
      <c r="P43" s="565"/>
      <c r="Q43" s="565"/>
      <c r="R43" s="565"/>
      <c r="S43" s="566">
        <v>7</v>
      </c>
      <c r="T43" s="565" t="str">
        <f t="shared" si="14"/>
        <v/>
      </c>
      <c r="U43" s="565" t="str">
        <f t="shared" si="15"/>
        <v/>
      </c>
      <c r="V43" s="565"/>
      <c r="W43" s="565"/>
      <c r="X43" s="565"/>
      <c r="Y43" s="565"/>
      <c r="Z43" s="565"/>
      <c r="AA43" s="565"/>
      <c r="AB43" s="566">
        <v>7</v>
      </c>
      <c r="AC43" s="565" t="str">
        <f t="shared" si="16"/>
        <v/>
      </c>
      <c r="AD43" s="565" t="str">
        <f t="shared" si="17"/>
        <v/>
      </c>
      <c r="AE43" s="565"/>
      <c r="AF43" s="565"/>
      <c r="AG43" s="565"/>
      <c r="AH43" s="565"/>
      <c r="AI43" s="565"/>
      <c r="AJ43" s="566">
        <v>7</v>
      </c>
      <c r="AK43" s="565" t="str">
        <f t="shared" si="18"/>
        <v/>
      </c>
      <c r="AL43" s="565" t="str">
        <f t="shared" si="19"/>
        <v/>
      </c>
      <c r="AM43" s="565"/>
      <c r="AN43" s="565"/>
      <c r="AO43" s="565"/>
      <c r="AP43" s="565"/>
      <c r="AQ43" s="565"/>
      <c r="AR43" s="566"/>
      <c r="AS43" s="565"/>
      <c r="AT43" s="565"/>
      <c r="AU43" s="565"/>
      <c r="AV43" s="566"/>
      <c r="AW43" s="565"/>
      <c r="AX43" s="565"/>
      <c r="AY43" s="565"/>
      <c r="AZ43" s="566"/>
      <c r="BA43" s="565"/>
      <c r="BB43" s="565"/>
      <c r="BC43" s="565"/>
      <c r="BD43" s="565"/>
      <c r="BE43" s="565"/>
      <c r="BF43" s="565"/>
      <c r="BG43" s="565"/>
      <c r="BH43" s="566"/>
      <c r="BI43" s="565"/>
      <c r="BJ43" s="565"/>
      <c r="BK43" s="565"/>
      <c r="BL43" s="565"/>
      <c r="BM43" s="565"/>
      <c r="BN43" s="565"/>
      <c r="BO43" s="565"/>
      <c r="BP43" s="566"/>
      <c r="BQ43" s="565"/>
      <c r="BR43" s="565"/>
      <c r="BS43" s="565"/>
      <c r="BT43" s="565"/>
      <c r="BU43" s="565"/>
      <c r="BV43" s="565"/>
      <c r="BW43" s="565"/>
      <c r="BX43" s="566"/>
      <c r="BY43" s="573"/>
    </row>
    <row r="44" spans="1:77" x14ac:dyDescent="0.25">
      <c r="A44" s="120"/>
      <c r="B44" s="1062"/>
      <c r="C44" s="1062"/>
      <c r="D44" s="1062"/>
      <c r="E44" s="1062"/>
      <c r="F44" s="1062"/>
      <c r="G44" s="1062"/>
      <c r="H44" s="1062"/>
      <c r="I44" s="590"/>
      <c r="J44" s="566">
        <v>8</v>
      </c>
      <c r="K44" s="565" t="str">
        <f t="shared" si="12"/>
        <v/>
      </c>
      <c r="L44" s="565" t="str">
        <f t="shared" si="13"/>
        <v/>
      </c>
      <c r="M44" s="565"/>
      <c r="N44" s="565"/>
      <c r="O44" s="565"/>
      <c r="P44" s="565"/>
      <c r="Q44" s="565"/>
      <c r="R44" s="565"/>
      <c r="S44" s="566">
        <v>8</v>
      </c>
      <c r="T44" s="565" t="str">
        <f t="shared" si="14"/>
        <v/>
      </c>
      <c r="U44" s="565" t="str">
        <f t="shared" si="15"/>
        <v/>
      </c>
      <c r="V44" s="565"/>
      <c r="W44" s="565"/>
      <c r="X44" s="565"/>
      <c r="Y44" s="565"/>
      <c r="Z44" s="565"/>
      <c r="AA44" s="565"/>
      <c r="AB44" s="566">
        <v>8</v>
      </c>
      <c r="AC44" s="565" t="str">
        <f t="shared" si="16"/>
        <v/>
      </c>
      <c r="AD44" s="565" t="str">
        <f t="shared" si="17"/>
        <v/>
      </c>
      <c r="AE44" s="565"/>
      <c r="AF44" s="565"/>
      <c r="AG44" s="565"/>
      <c r="AH44" s="565"/>
      <c r="AI44" s="565"/>
      <c r="AJ44" s="566">
        <v>8</v>
      </c>
      <c r="AK44" s="565" t="str">
        <f t="shared" si="18"/>
        <v/>
      </c>
      <c r="AL44" s="565" t="str">
        <f t="shared" si="19"/>
        <v/>
      </c>
      <c r="AM44" s="565"/>
      <c r="AN44" s="565"/>
      <c r="AO44" s="565"/>
      <c r="AP44" s="565"/>
      <c r="AQ44" s="565"/>
      <c r="AR44" s="566"/>
      <c r="AS44" s="565"/>
      <c r="AT44" s="565"/>
      <c r="AU44" s="565"/>
      <c r="AV44" s="566"/>
      <c r="AW44" s="565"/>
      <c r="AX44" s="565"/>
      <c r="AY44" s="565"/>
      <c r="AZ44" s="566"/>
      <c r="BA44" s="565"/>
      <c r="BB44" s="565"/>
      <c r="BC44" s="565"/>
      <c r="BD44" s="565"/>
      <c r="BE44" s="565"/>
      <c r="BF44" s="565"/>
      <c r="BG44" s="565"/>
      <c r="BH44" s="566"/>
      <c r="BI44" s="565"/>
      <c r="BJ44" s="565"/>
      <c r="BK44" s="565"/>
      <c r="BL44" s="565"/>
      <c r="BM44" s="565"/>
      <c r="BN44" s="565"/>
      <c r="BO44" s="565"/>
      <c r="BP44" s="566"/>
      <c r="BQ44" s="565"/>
      <c r="BR44" s="565"/>
      <c r="BS44" s="565"/>
      <c r="BT44" s="565"/>
      <c r="BU44" s="565"/>
      <c r="BV44" s="565"/>
      <c r="BW44" s="565"/>
      <c r="BX44" s="566"/>
      <c r="BY44" s="573"/>
    </row>
    <row r="45" spans="1:77" x14ac:dyDescent="0.25">
      <c r="A45" s="120"/>
      <c r="B45" s="1062"/>
      <c r="C45" s="1062"/>
      <c r="D45" s="1062"/>
      <c r="E45" s="1062"/>
      <c r="F45" s="1062"/>
      <c r="G45" s="1062"/>
      <c r="H45" s="1062"/>
      <c r="I45" s="590"/>
      <c r="J45" s="566">
        <v>9</v>
      </c>
      <c r="K45" s="565" t="str">
        <f t="shared" si="12"/>
        <v/>
      </c>
      <c r="L45" s="565" t="str">
        <f t="shared" si="13"/>
        <v/>
      </c>
      <c r="M45" s="565"/>
      <c r="N45" s="565"/>
      <c r="O45" s="565"/>
      <c r="P45" s="565"/>
      <c r="Q45" s="565"/>
      <c r="R45" s="565"/>
      <c r="S45" s="566">
        <v>9</v>
      </c>
      <c r="T45" s="565" t="str">
        <f t="shared" si="14"/>
        <v/>
      </c>
      <c r="U45" s="565" t="str">
        <f t="shared" si="15"/>
        <v/>
      </c>
      <c r="V45" s="565"/>
      <c r="W45" s="565"/>
      <c r="X45" s="565"/>
      <c r="Y45" s="565"/>
      <c r="Z45" s="565"/>
      <c r="AA45" s="565"/>
      <c r="AB45" s="566">
        <v>9</v>
      </c>
      <c r="AC45" s="565" t="str">
        <f t="shared" si="16"/>
        <v/>
      </c>
      <c r="AD45" s="565" t="str">
        <f t="shared" si="17"/>
        <v/>
      </c>
      <c r="AE45" s="565"/>
      <c r="AF45" s="565"/>
      <c r="AG45" s="565"/>
      <c r="AH45" s="565"/>
      <c r="AI45" s="565"/>
      <c r="AJ45" s="566">
        <v>9</v>
      </c>
      <c r="AK45" s="565" t="str">
        <f t="shared" si="18"/>
        <v/>
      </c>
      <c r="AL45" s="565" t="str">
        <f t="shared" si="19"/>
        <v/>
      </c>
      <c r="AM45" s="565"/>
      <c r="AN45" s="565"/>
      <c r="AO45" s="565"/>
      <c r="AP45" s="565"/>
      <c r="AQ45" s="565"/>
      <c r="AR45" s="566"/>
      <c r="AS45" s="565"/>
      <c r="AT45" s="565"/>
      <c r="AU45" s="565"/>
      <c r="AV45" s="566"/>
      <c r="AW45" s="565"/>
      <c r="AX45" s="565"/>
      <c r="AY45" s="565"/>
      <c r="AZ45" s="566"/>
      <c r="BA45" s="565"/>
      <c r="BB45" s="565"/>
      <c r="BC45" s="565"/>
      <c r="BD45" s="565"/>
      <c r="BE45" s="565"/>
      <c r="BF45" s="565"/>
      <c r="BG45" s="565"/>
      <c r="BH45" s="566"/>
      <c r="BI45" s="565"/>
      <c r="BJ45" s="565"/>
      <c r="BK45" s="565"/>
      <c r="BL45" s="565"/>
      <c r="BM45" s="565"/>
      <c r="BN45" s="565"/>
      <c r="BO45" s="565"/>
      <c r="BP45" s="566"/>
      <c r="BQ45" s="565"/>
      <c r="BR45" s="565"/>
      <c r="BS45" s="565"/>
      <c r="BT45" s="565"/>
      <c r="BU45" s="565"/>
      <c r="BV45" s="565"/>
      <c r="BW45" s="565"/>
      <c r="BX45" s="566"/>
      <c r="BY45" s="573"/>
    </row>
    <row r="46" spans="1:77" x14ac:dyDescent="0.25">
      <c r="A46" s="120"/>
      <c r="B46" s="1062"/>
      <c r="C46" s="1062"/>
      <c r="D46" s="1062"/>
      <c r="E46" s="1062"/>
      <c r="F46" s="1062"/>
      <c r="G46" s="1062"/>
      <c r="H46" s="1062"/>
      <c r="I46" s="590"/>
      <c r="J46" s="566">
        <v>10</v>
      </c>
      <c r="K46" s="565" t="str">
        <f t="shared" si="12"/>
        <v/>
      </c>
      <c r="L46" s="565" t="str">
        <f t="shared" si="13"/>
        <v/>
      </c>
      <c r="M46" s="565"/>
      <c r="N46" s="565"/>
      <c r="O46" s="565"/>
      <c r="P46" s="565"/>
      <c r="Q46" s="565"/>
      <c r="R46" s="565"/>
      <c r="S46" s="566">
        <v>10</v>
      </c>
      <c r="T46" s="565" t="str">
        <f t="shared" si="14"/>
        <v/>
      </c>
      <c r="U46" s="565" t="str">
        <f t="shared" si="15"/>
        <v/>
      </c>
      <c r="V46" s="565"/>
      <c r="W46" s="565"/>
      <c r="X46" s="565"/>
      <c r="Y46" s="565"/>
      <c r="Z46" s="565"/>
      <c r="AA46" s="565"/>
      <c r="AB46" s="566">
        <v>10</v>
      </c>
      <c r="AC46" s="565" t="str">
        <f t="shared" si="16"/>
        <v/>
      </c>
      <c r="AD46" s="565" t="str">
        <f t="shared" si="17"/>
        <v/>
      </c>
      <c r="AE46" s="565"/>
      <c r="AF46" s="565"/>
      <c r="AG46" s="565"/>
      <c r="AH46" s="565"/>
      <c r="AI46" s="565"/>
      <c r="AJ46" s="566">
        <v>10</v>
      </c>
      <c r="AK46" s="565" t="str">
        <f t="shared" si="18"/>
        <v/>
      </c>
      <c r="AL46" s="565" t="str">
        <f t="shared" si="19"/>
        <v/>
      </c>
      <c r="AM46" s="565"/>
      <c r="AN46" s="565"/>
      <c r="AO46" s="565"/>
      <c r="AP46" s="565"/>
      <c r="AQ46" s="565"/>
      <c r="AR46" s="566"/>
      <c r="AS46" s="565"/>
      <c r="AT46" s="565"/>
      <c r="AU46" s="565"/>
      <c r="AV46" s="566"/>
      <c r="AW46" s="565"/>
      <c r="AX46" s="565"/>
      <c r="AY46" s="565"/>
      <c r="AZ46" s="566"/>
      <c r="BA46" s="565"/>
      <c r="BB46" s="565"/>
      <c r="BC46" s="565"/>
      <c r="BD46" s="565"/>
      <c r="BE46" s="565"/>
      <c r="BF46" s="565"/>
      <c r="BG46" s="565"/>
      <c r="BH46" s="566"/>
      <c r="BI46" s="565"/>
      <c r="BJ46" s="565"/>
      <c r="BK46" s="565"/>
      <c r="BL46" s="565"/>
      <c r="BM46" s="565"/>
      <c r="BN46" s="565"/>
      <c r="BO46" s="565"/>
      <c r="BP46" s="566"/>
      <c r="BQ46" s="565"/>
      <c r="BR46" s="565"/>
      <c r="BS46" s="565"/>
      <c r="BT46" s="565"/>
      <c r="BU46" s="565"/>
      <c r="BV46" s="565"/>
      <c r="BW46" s="565"/>
      <c r="BX46" s="566"/>
      <c r="BY46" s="573"/>
    </row>
    <row r="47" spans="1:77" x14ac:dyDescent="0.25">
      <c r="A47" s="120"/>
      <c r="B47" s="1062"/>
      <c r="C47" s="1062"/>
      <c r="D47" s="1062"/>
      <c r="E47" s="1062"/>
      <c r="F47" s="1062"/>
      <c r="G47" s="1062"/>
      <c r="H47" s="1062"/>
      <c r="I47" s="590"/>
      <c r="J47" s="566">
        <v>11</v>
      </c>
      <c r="K47" s="565" t="str">
        <f t="shared" si="12"/>
        <v/>
      </c>
      <c r="L47" s="565" t="str">
        <f t="shared" si="13"/>
        <v/>
      </c>
      <c r="M47" s="565"/>
      <c r="N47" s="565"/>
      <c r="O47" s="565"/>
      <c r="P47" s="565"/>
      <c r="Q47" s="565"/>
      <c r="R47" s="565"/>
      <c r="S47" s="566">
        <v>11</v>
      </c>
      <c r="T47" s="565" t="str">
        <f t="shared" si="14"/>
        <v/>
      </c>
      <c r="U47" s="565" t="str">
        <f t="shared" si="15"/>
        <v/>
      </c>
      <c r="V47" s="565"/>
      <c r="W47" s="565"/>
      <c r="X47" s="565"/>
      <c r="Y47" s="565"/>
      <c r="Z47" s="565"/>
      <c r="AA47" s="565"/>
      <c r="AB47" s="566">
        <v>11</v>
      </c>
      <c r="AC47" s="565" t="str">
        <f t="shared" si="16"/>
        <v/>
      </c>
      <c r="AD47" s="565" t="str">
        <f t="shared" si="17"/>
        <v/>
      </c>
      <c r="AE47" s="565"/>
      <c r="AF47" s="565"/>
      <c r="AG47" s="565"/>
      <c r="AH47" s="565"/>
      <c r="AI47" s="565"/>
      <c r="AJ47" s="566">
        <v>11</v>
      </c>
      <c r="AK47" s="565" t="str">
        <f t="shared" si="18"/>
        <v/>
      </c>
      <c r="AL47" s="565" t="str">
        <f t="shared" si="19"/>
        <v/>
      </c>
      <c r="AM47" s="565"/>
      <c r="AN47" s="565"/>
      <c r="AO47" s="565"/>
      <c r="AP47" s="565"/>
      <c r="AQ47" s="565"/>
      <c r="AR47" s="566"/>
      <c r="AS47" s="565"/>
      <c r="AT47" s="565"/>
      <c r="AU47" s="565"/>
      <c r="AV47" s="566"/>
      <c r="AW47" s="565"/>
      <c r="AX47" s="565"/>
      <c r="AY47" s="565"/>
      <c r="AZ47" s="566"/>
      <c r="BA47" s="565"/>
      <c r="BB47" s="565"/>
      <c r="BC47" s="565"/>
      <c r="BD47" s="565"/>
      <c r="BE47" s="565"/>
      <c r="BF47" s="565"/>
      <c r="BG47" s="565"/>
      <c r="BH47" s="566"/>
      <c r="BI47" s="565"/>
      <c r="BJ47" s="565"/>
      <c r="BK47" s="565"/>
      <c r="BL47" s="565"/>
      <c r="BM47" s="565"/>
      <c r="BN47" s="565"/>
      <c r="BO47" s="565"/>
      <c r="BP47" s="566"/>
      <c r="BQ47" s="565"/>
      <c r="BR47" s="565"/>
      <c r="BS47" s="565"/>
      <c r="BT47" s="565"/>
      <c r="BU47" s="565"/>
      <c r="BV47" s="565"/>
      <c r="BW47" s="565"/>
      <c r="BX47" s="566"/>
      <c r="BY47" s="573"/>
    </row>
    <row r="48" spans="1:77" x14ac:dyDescent="0.25">
      <c r="A48" s="120"/>
      <c r="B48" s="1062"/>
      <c r="C48" s="1062"/>
      <c r="D48" s="1062"/>
      <c r="E48" s="1062"/>
      <c r="F48" s="1062"/>
      <c r="G48" s="1062"/>
      <c r="H48" s="1062"/>
      <c r="I48" s="590"/>
      <c r="J48" s="566">
        <v>12</v>
      </c>
      <c r="K48" s="565" t="str">
        <f t="shared" si="12"/>
        <v/>
      </c>
      <c r="L48" s="565" t="str">
        <f t="shared" si="13"/>
        <v/>
      </c>
      <c r="M48" s="565"/>
      <c r="N48" s="565"/>
      <c r="O48" s="565"/>
      <c r="P48" s="565"/>
      <c r="Q48" s="565"/>
      <c r="R48" s="565"/>
      <c r="S48" s="566">
        <v>12</v>
      </c>
      <c r="T48" s="565" t="str">
        <f t="shared" si="14"/>
        <v/>
      </c>
      <c r="U48" s="565" t="str">
        <f t="shared" si="15"/>
        <v/>
      </c>
      <c r="V48" s="565"/>
      <c r="W48" s="565"/>
      <c r="X48" s="565"/>
      <c r="Y48" s="565"/>
      <c r="Z48" s="565"/>
      <c r="AA48" s="565"/>
      <c r="AB48" s="566">
        <v>12</v>
      </c>
      <c r="AC48" s="565" t="str">
        <f t="shared" si="16"/>
        <v/>
      </c>
      <c r="AD48" s="565" t="str">
        <f t="shared" si="17"/>
        <v/>
      </c>
      <c r="AE48" s="565"/>
      <c r="AF48" s="565"/>
      <c r="AG48" s="565"/>
      <c r="AH48" s="565"/>
      <c r="AI48" s="565"/>
      <c r="AJ48" s="566">
        <v>12</v>
      </c>
      <c r="AK48" s="565" t="str">
        <f t="shared" si="18"/>
        <v/>
      </c>
      <c r="AL48" s="565" t="str">
        <f t="shared" si="19"/>
        <v/>
      </c>
      <c r="AM48" s="565"/>
      <c r="AN48" s="565"/>
      <c r="AO48" s="565"/>
      <c r="AP48" s="565"/>
      <c r="AQ48" s="565"/>
      <c r="AR48" s="566"/>
      <c r="AS48" s="565"/>
      <c r="AT48" s="565"/>
      <c r="AU48" s="565"/>
      <c r="AV48" s="566"/>
      <c r="AW48" s="565"/>
      <c r="AX48" s="565"/>
      <c r="AY48" s="565"/>
      <c r="AZ48" s="566"/>
      <c r="BA48" s="565"/>
      <c r="BB48" s="565"/>
      <c r="BC48" s="565"/>
      <c r="BD48" s="565"/>
      <c r="BE48" s="565"/>
      <c r="BF48" s="565"/>
      <c r="BG48" s="565"/>
      <c r="BH48" s="566"/>
      <c r="BI48" s="565"/>
      <c r="BJ48" s="565"/>
      <c r="BK48" s="565"/>
      <c r="BL48" s="565"/>
      <c r="BM48" s="565"/>
      <c r="BN48" s="565"/>
      <c r="BO48" s="565"/>
      <c r="BP48" s="566"/>
      <c r="BQ48" s="565"/>
      <c r="BR48" s="565"/>
      <c r="BS48" s="565"/>
      <c r="BT48" s="565"/>
      <c r="BU48" s="565"/>
      <c r="BV48" s="565"/>
      <c r="BW48" s="565"/>
      <c r="BX48" s="566"/>
      <c r="BY48" s="573"/>
    </row>
    <row r="49" spans="1:77" x14ac:dyDescent="0.25">
      <c r="A49" s="120"/>
      <c r="B49" s="1062"/>
      <c r="C49" s="1062"/>
      <c r="D49" s="1062"/>
      <c r="E49" s="1062"/>
      <c r="F49" s="1062"/>
      <c r="G49" s="1062"/>
      <c r="H49" s="1062"/>
      <c r="I49" s="590"/>
      <c r="J49" s="566">
        <v>13</v>
      </c>
      <c r="K49" s="565" t="str">
        <f t="shared" si="12"/>
        <v/>
      </c>
      <c r="L49" s="565" t="str">
        <f t="shared" si="13"/>
        <v/>
      </c>
      <c r="M49" s="565"/>
      <c r="N49" s="565"/>
      <c r="O49" s="565"/>
      <c r="P49" s="565"/>
      <c r="Q49" s="565"/>
      <c r="R49" s="565"/>
      <c r="S49" s="566">
        <v>13</v>
      </c>
      <c r="T49" s="565" t="str">
        <f t="shared" si="14"/>
        <v/>
      </c>
      <c r="U49" s="565" t="str">
        <f t="shared" si="15"/>
        <v/>
      </c>
      <c r="V49" s="565"/>
      <c r="W49" s="565"/>
      <c r="X49" s="565"/>
      <c r="Y49" s="565"/>
      <c r="Z49" s="565"/>
      <c r="AA49" s="565"/>
      <c r="AB49" s="566">
        <v>13</v>
      </c>
      <c r="AC49" s="565" t="str">
        <f t="shared" si="16"/>
        <v/>
      </c>
      <c r="AD49" s="565" t="str">
        <f t="shared" si="17"/>
        <v/>
      </c>
      <c r="AE49" s="565"/>
      <c r="AF49" s="565"/>
      <c r="AG49" s="565"/>
      <c r="AH49" s="565"/>
      <c r="AI49" s="565"/>
      <c r="AJ49" s="566">
        <v>13</v>
      </c>
      <c r="AK49" s="565" t="str">
        <f t="shared" si="18"/>
        <v/>
      </c>
      <c r="AL49" s="565" t="str">
        <f t="shared" si="19"/>
        <v/>
      </c>
      <c r="AM49" s="565"/>
      <c r="AN49" s="565"/>
      <c r="AO49" s="565"/>
      <c r="AP49" s="565"/>
      <c r="AQ49" s="565"/>
      <c r="AR49" s="566"/>
      <c r="AS49" s="565"/>
      <c r="AT49" s="565"/>
      <c r="AU49" s="565"/>
      <c r="AV49" s="566"/>
      <c r="AW49" s="565"/>
      <c r="AX49" s="565"/>
      <c r="AY49" s="565"/>
      <c r="AZ49" s="566"/>
      <c r="BA49" s="565"/>
      <c r="BB49" s="565"/>
      <c r="BC49" s="565"/>
      <c r="BD49" s="565"/>
      <c r="BE49" s="565"/>
      <c r="BF49" s="565"/>
      <c r="BG49" s="565"/>
      <c r="BH49" s="566"/>
      <c r="BI49" s="565"/>
      <c r="BJ49" s="565"/>
      <c r="BK49" s="565"/>
      <c r="BL49" s="565"/>
      <c r="BM49" s="565"/>
      <c r="BN49" s="565"/>
      <c r="BO49" s="565"/>
      <c r="BP49" s="566"/>
      <c r="BQ49" s="565"/>
      <c r="BR49" s="565"/>
      <c r="BS49" s="565"/>
      <c r="BT49" s="565"/>
      <c r="BU49" s="565"/>
      <c r="BV49" s="565"/>
      <c r="BW49" s="565"/>
      <c r="BX49" s="566"/>
      <c r="BY49" s="573"/>
    </row>
    <row r="50" spans="1:77" x14ac:dyDescent="0.25">
      <c r="A50" s="120"/>
      <c r="B50" s="1062"/>
      <c r="C50" s="1062"/>
      <c r="D50" s="1062"/>
      <c r="E50" s="1062"/>
      <c r="F50" s="1062"/>
      <c r="G50" s="1062"/>
      <c r="H50" s="1062"/>
      <c r="I50" s="590"/>
      <c r="J50" s="566">
        <v>14</v>
      </c>
      <c r="K50" s="565" t="str">
        <f t="shared" si="12"/>
        <v/>
      </c>
      <c r="L50" s="565" t="str">
        <f t="shared" si="13"/>
        <v/>
      </c>
      <c r="M50" s="565"/>
      <c r="N50" s="565"/>
      <c r="O50" s="565"/>
      <c r="P50" s="565"/>
      <c r="Q50" s="565"/>
      <c r="R50" s="565"/>
      <c r="S50" s="566">
        <v>14</v>
      </c>
      <c r="T50" s="565" t="str">
        <f t="shared" si="14"/>
        <v/>
      </c>
      <c r="U50" s="565" t="str">
        <f t="shared" si="15"/>
        <v/>
      </c>
      <c r="V50" s="565"/>
      <c r="W50" s="565"/>
      <c r="X50" s="565"/>
      <c r="Y50" s="565"/>
      <c r="Z50" s="565"/>
      <c r="AA50" s="565"/>
      <c r="AB50" s="566">
        <v>14</v>
      </c>
      <c r="AC50" s="565" t="str">
        <f t="shared" si="16"/>
        <v/>
      </c>
      <c r="AD50" s="565" t="str">
        <f t="shared" si="17"/>
        <v/>
      </c>
      <c r="AE50" s="565"/>
      <c r="AF50" s="565"/>
      <c r="AG50" s="565"/>
      <c r="AH50" s="565"/>
      <c r="AI50" s="565"/>
      <c r="AJ50" s="566">
        <v>14</v>
      </c>
      <c r="AK50" s="565" t="str">
        <f t="shared" si="18"/>
        <v/>
      </c>
      <c r="AL50" s="565" t="str">
        <f t="shared" si="19"/>
        <v/>
      </c>
      <c r="AM50" s="565"/>
      <c r="AN50" s="565"/>
      <c r="AO50" s="565"/>
      <c r="AP50" s="565"/>
      <c r="AQ50" s="565"/>
      <c r="AR50" s="566"/>
      <c r="AS50" s="565"/>
      <c r="AT50" s="565"/>
      <c r="AU50" s="565"/>
      <c r="AV50" s="566"/>
      <c r="AW50" s="565"/>
      <c r="AX50" s="565"/>
      <c r="AY50" s="565"/>
      <c r="AZ50" s="566"/>
      <c r="BA50" s="565"/>
      <c r="BB50" s="565"/>
      <c r="BC50" s="565"/>
      <c r="BD50" s="565"/>
      <c r="BE50" s="565"/>
      <c r="BF50" s="565"/>
      <c r="BG50" s="565"/>
      <c r="BH50" s="566"/>
      <c r="BI50" s="565"/>
      <c r="BJ50" s="565"/>
      <c r="BK50" s="565"/>
      <c r="BL50" s="565"/>
      <c r="BM50" s="565"/>
      <c r="BN50" s="565"/>
      <c r="BO50" s="565"/>
      <c r="BP50" s="566"/>
      <c r="BQ50" s="565"/>
      <c r="BR50" s="565"/>
      <c r="BS50" s="565"/>
      <c r="BT50" s="565"/>
      <c r="BU50" s="565"/>
      <c r="BV50" s="565"/>
      <c r="BW50" s="565"/>
      <c r="BX50" s="566"/>
      <c r="BY50" s="573"/>
    </row>
    <row r="51" spans="1:77" x14ac:dyDescent="0.25">
      <c r="A51" s="120"/>
      <c r="B51" s="1062"/>
      <c r="C51" s="1062"/>
      <c r="D51" s="1062"/>
      <c r="E51" s="1062"/>
      <c r="F51" s="1062"/>
      <c r="G51" s="1062"/>
      <c r="H51" s="1062"/>
      <c r="I51" s="590"/>
      <c r="J51" s="566">
        <v>15</v>
      </c>
      <c r="K51" s="565" t="str">
        <f t="shared" si="12"/>
        <v/>
      </c>
      <c r="L51" s="565" t="str">
        <f t="shared" si="13"/>
        <v/>
      </c>
      <c r="M51" s="565"/>
      <c r="N51" s="565"/>
      <c r="O51" s="565"/>
      <c r="P51" s="565"/>
      <c r="Q51" s="565"/>
      <c r="R51" s="565"/>
      <c r="S51" s="566">
        <v>15</v>
      </c>
      <c r="T51" s="565" t="str">
        <f t="shared" si="14"/>
        <v/>
      </c>
      <c r="U51" s="565" t="str">
        <f t="shared" si="15"/>
        <v/>
      </c>
      <c r="V51" s="565"/>
      <c r="W51" s="565"/>
      <c r="X51" s="565"/>
      <c r="Y51" s="565"/>
      <c r="Z51" s="565"/>
      <c r="AA51" s="565"/>
      <c r="AB51" s="566">
        <v>15</v>
      </c>
      <c r="AC51" s="565" t="str">
        <f t="shared" si="16"/>
        <v/>
      </c>
      <c r="AD51" s="565" t="str">
        <f t="shared" si="17"/>
        <v/>
      </c>
      <c r="AE51" s="565"/>
      <c r="AF51" s="565"/>
      <c r="AG51" s="565"/>
      <c r="AH51" s="565"/>
      <c r="AI51" s="565"/>
      <c r="AJ51" s="566">
        <v>15</v>
      </c>
      <c r="AK51" s="565" t="str">
        <f t="shared" si="18"/>
        <v/>
      </c>
      <c r="AL51" s="565" t="str">
        <f t="shared" si="19"/>
        <v/>
      </c>
      <c r="AM51" s="565"/>
      <c r="AN51" s="565"/>
      <c r="AO51" s="565"/>
      <c r="AP51" s="565"/>
      <c r="AQ51" s="565"/>
      <c r="AR51" s="566"/>
      <c r="AS51" s="565"/>
      <c r="AT51" s="565"/>
      <c r="AU51" s="565"/>
      <c r="AV51" s="566"/>
      <c r="AW51" s="565"/>
      <c r="AX51" s="565"/>
      <c r="AY51" s="565"/>
      <c r="AZ51" s="566"/>
      <c r="BA51" s="565"/>
      <c r="BB51" s="565"/>
      <c r="BC51" s="565"/>
      <c r="BD51" s="565"/>
      <c r="BE51" s="565"/>
      <c r="BF51" s="565"/>
      <c r="BG51" s="565"/>
      <c r="BH51" s="566"/>
      <c r="BI51" s="565"/>
      <c r="BJ51" s="565"/>
      <c r="BK51" s="565"/>
      <c r="BL51" s="565"/>
      <c r="BM51" s="565"/>
      <c r="BN51" s="565"/>
      <c r="BO51" s="565"/>
      <c r="BP51" s="566"/>
      <c r="BQ51" s="565"/>
      <c r="BR51" s="565"/>
      <c r="BS51" s="565"/>
      <c r="BT51" s="565"/>
      <c r="BU51" s="565"/>
      <c r="BV51" s="565"/>
      <c r="BW51" s="565"/>
      <c r="BX51" s="566"/>
      <c r="BY51" s="573"/>
    </row>
    <row r="52" spans="1:77" x14ac:dyDescent="0.25">
      <c r="A52" s="120"/>
      <c r="B52" s="1062"/>
      <c r="C52" s="1062"/>
      <c r="D52" s="1062"/>
      <c r="E52" s="1062"/>
      <c r="F52" s="1062"/>
      <c r="G52" s="1062"/>
      <c r="H52" s="1062"/>
      <c r="I52" s="590"/>
      <c r="J52" s="566">
        <v>16</v>
      </c>
      <c r="K52" s="565" t="str">
        <f t="shared" si="12"/>
        <v/>
      </c>
      <c r="L52" s="565" t="str">
        <f t="shared" si="13"/>
        <v/>
      </c>
      <c r="M52" s="565"/>
      <c r="N52" s="565"/>
      <c r="O52" s="565"/>
      <c r="P52" s="565"/>
      <c r="Q52" s="565"/>
      <c r="R52" s="565"/>
      <c r="S52" s="566">
        <v>16</v>
      </c>
      <c r="T52" s="565" t="str">
        <f t="shared" si="14"/>
        <v/>
      </c>
      <c r="U52" s="565" t="str">
        <f t="shared" si="15"/>
        <v/>
      </c>
      <c r="V52" s="565"/>
      <c r="W52" s="565"/>
      <c r="X52" s="565"/>
      <c r="Y52" s="565"/>
      <c r="Z52" s="565"/>
      <c r="AA52" s="565"/>
      <c r="AB52" s="566">
        <v>16</v>
      </c>
      <c r="AC52" s="565" t="str">
        <f t="shared" si="16"/>
        <v/>
      </c>
      <c r="AD52" s="565" t="str">
        <f t="shared" si="17"/>
        <v/>
      </c>
      <c r="AE52" s="565"/>
      <c r="AF52" s="565"/>
      <c r="AG52" s="565"/>
      <c r="AH52" s="565"/>
      <c r="AI52" s="565"/>
      <c r="AJ52" s="566">
        <v>16</v>
      </c>
      <c r="AK52" s="565" t="str">
        <f t="shared" si="18"/>
        <v/>
      </c>
      <c r="AL52" s="565" t="str">
        <f t="shared" si="19"/>
        <v/>
      </c>
      <c r="AM52" s="565"/>
      <c r="AN52" s="565"/>
      <c r="AO52" s="565"/>
      <c r="AP52" s="565"/>
      <c r="AQ52" s="565"/>
      <c r="AR52" s="566"/>
      <c r="AS52" s="565"/>
      <c r="AT52" s="565"/>
      <c r="AU52" s="565"/>
      <c r="AV52" s="566"/>
      <c r="AW52" s="565"/>
      <c r="AX52" s="565"/>
      <c r="AY52" s="565"/>
      <c r="AZ52" s="566"/>
      <c r="BA52" s="565"/>
      <c r="BB52" s="565"/>
      <c r="BC52" s="565"/>
      <c r="BD52" s="565"/>
      <c r="BE52" s="565"/>
      <c r="BF52" s="565"/>
      <c r="BG52" s="565"/>
      <c r="BH52" s="566"/>
      <c r="BI52" s="565"/>
      <c r="BJ52" s="565"/>
      <c r="BK52" s="565"/>
      <c r="BL52" s="565"/>
      <c r="BM52" s="565"/>
      <c r="BN52" s="565"/>
      <c r="BO52" s="565"/>
      <c r="BP52" s="566"/>
      <c r="BQ52" s="565"/>
      <c r="BR52" s="565"/>
      <c r="BS52" s="565"/>
      <c r="BT52" s="565"/>
      <c r="BU52" s="565"/>
      <c r="BV52" s="565"/>
      <c r="BW52" s="565"/>
      <c r="BX52" s="566"/>
      <c r="BY52" s="573"/>
    </row>
    <row r="53" spans="1:77" x14ac:dyDescent="0.25">
      <c r="A53" s="120"/>
      <c r="B53" s="1062"/>
      <c r="C53" s="1062"/>
      <c r="D53" s="1062"/>
      <c r="E53" s="1062"/>
      <c r="F53" s="1062"/>
      <c r="G53" s="1062"/>
      <c r="H53" s="1062"/>
      <c r="I53" s="590"/>
      <c r="J53" s="566">
        <v>17</v>
      </c>
      <c r="K53" s="565" t="str">
        <f t="shared" si="12"/>
        <v/>
      </c>
      <c r="L53" s="565" t="str">
        <f t="shared" si="13"/>
        <v/>
      </c>
      <c r="M53" s="565"/>
      <c r="N53" s="565"/>
      <c r="O53" s="565"/>
      <c r="P53" s="565"/>
      <c r="Q53" s="565"/>
      <c r="R53" s="565"/>
      <c r="S53" s="566">
        <v>17</v>
      </c>
      <c r="T53" s="565" t="str">
        <f t="shared" si="14"/>
        <v/>
      </c>
      <c r="U53" s="565" t="str">
        <f t="shared" si="15"/>
        <v/>
      </c>
      <c r="V53" s="565"/>
      <c r="W53" s="565"/>
      <c r="X53" s="565"/>
      <c r="Y53" s="565"/>
      <c r="Z53" s="565"/>
      <c r="AA53" s="565"/>
      <c r="AB53" s="566">
        <v>17</v>
      </c>
      <c r="AC53" s="565" t="str">
        <f t="shared" si="16"/>
        <v/>
      </c>
      <c r="AD53" s="565" t="str">
        <f t="shared" si="17"/>
        <v/>
      </c>
      <c r="AE53" s="565"/>
      <c r="AF53" s="565"/>
      <c r="AG53" s="565"/>
      <c r="AH53" s="565"/>
      <c r="AI53" s="565"/>
      <c r="AJ53" s="566">
        <v>17</v>
      </c>
      <c r="AK53" s="565" t="str">
        <f t="shared" si="18"/>
        <v/>
      </c>
      <c r="AL53" s="565" t="str">
        <f t="shared" si="19"/>
        <v/>
      </c>
      <c r="AM53" s="565"/>
      <c r="AN53" s="565"/>
      <c r="AO53" s="565"/>
      <c r="AP53" s="565"/>
      <c r="AQ53" s="565"/>
      <c r="AR53" s="566"/>
      <c r="AS53" s="565"/>
      <c r="AT53" s="565"/>
      <c r="AU53" s="565"/>
      <c r="AV53" s="566"/>
      <c r="AW53" s="565"/>
      <c r="AX53" s="565"/>
      <c r="AY53" s="565"/>
      <c r="AZ53" s="566"/>
      <c r="BA53" s="565"/>
      <c r="BB53" s="565"/>
      <c r="BC53" s="565"/>
      <c r="BD53" s="565"/>
      <c r="BE53" s="565"/>
      <c r="BF53" s="565"/>
      <c r="BG53" s="565"/>
      <c r="BH53" s="566"/>
      <c r="BI53" s="565"/>
      <c r="BJ53" s="565"/>
      <c r="BK53" s="565"/>
      <c r="BL53" s="565"/>
      <c r="BM53" s="565"/>
      <c r="BN53" s="565"/>
      <c r="BO53" s="565"/>
      <c r="BP53" s="566"/>
      <c r="BQ53" s="565"/>
      <c r="BR53" s="565"/>
      <c r="BS53" s="565"/>
      <c r="BT53" s="565"/>
      <c r="BU53" s="565"/>
      <c r="BV53" s="565"/>
      <c r="BW53" s="565"/>
      <c r="BX53" s="566"/>
      <c r="BY53" s="573"/>
    </row>
    <row r="54" spans="1:77" x14ac:dyDescent="0.25">
      <c r="A54" s="120"/>
      <c r="B54" s="1062"/>
      <c r="C54" s="1062"/>
      <c r="D54" s="1062"/>
      <c r="E54" s="1062"/>
      <c r="F54" s="1062"/>
      <c r="G54" s="1062"/>
      <c r="H54" s="1062"/>
      <c r="I54" s="590"/>
      <c r="J54" s="566">
        <v>18</v>
      </c>
      <c r="K54" s="565" t="str">
        <f t="shared" si="12"/>
        <v/>
      </c>
      <c r="L54" s="565" t="str">
        <f t="shared" si="13"/>
        <v/>
      </c>
      <c r="M54" s="565"/>
      <c r="N54" s="565"/>
      <c r="O54" s="565"/>
      <c r="P54" s="565"/>
      <c r="Q54" s="565"/>
      <c r="R54" s="565"/>
      <c r="S54" s="566">
        <v>18</v>
      </c>
      <c r="T54" s="565" t="str">
        <f t="shared" si="14"/>
        <v/>
      </c>
      <c r="U54" s="565" t="str">
        <f t="shared" si="15"/>
        <v/>
      </c>
      <c r="V54" s="565"/>
      <c r="W54" s="565"/>
      <c r="X54" s="565"/>
      <c r="Y54" s="565"/>
      <c r="Z54" s="565"/>
      <c r="AA54" s="565"/>
      <c r="AB54" s="566">
        <v>18</v>
      </c>
      <c r="AC54" s="565" t="str">
        <f t="shared" si="16"/>
        <v/>
      </c>
      <c r="AD54" s="565" t="str">
        <f t="shared" si="17"/>
        <v/>
      </c>
      <c r="AE54" s="565"/>
      <c r="AF54" s="565"/>
      <c r="AG54" s="565"/>
      <c r="AH54" s="565"/>
      <c r="AI54" s="565"/>
      <c r="AJ54" s="566">
        <v>18</v>
      </c>
      <c r="AK54" s="565" t="str">
        <f t="shared" si="18"/>
        <v/>
      </c>
      <c r="AL54" s="565" t="str">
        <f t="shared" si="19"/>
        <v/>
      </c>
      <c r="AM54" s="565"/>
      <c r="AN54" s="565"/>
      <c r="AO54" s="565"/>
      <c r="AP54" s="565"/>
      <c r="AQ54" s="565"/>
      <c r="AR54" s="566"/>
      <c r="AS54" s="565"/>
      <c r="AT54" s="565"/>
      <c r="AU54" s="565"/>
      <c r="AV54" s="566"/>
      <c r="AW54" s="565"/>
      <c r="AX54" s="565"/>
      <c r="AY54" s="565"/>
      <c r="AZ54" s="566"/>
      <c r="BA54" s="565"/>
      <c r="BB54" s="565"/>
      <c r="BC54" s="565"/>
      <c r="BD54" s="565"/>
      <c r="BE54" s="565"/>
      <c r="BF54" s="565"/>
      <c r="BG54" s="565"/>
      <c r="BH54" s="566"/>
      <c r="BI54" s="565"/>
      <c r="BJ54" s="565"/>
      <c r="BK54" s="565"/>
      <c r="BL54" s="565"/>
      <c r="BM54" s="565"/>
      <c r="BN54" s="565"/>
      <c r="BO54" s="565"/>
      <c r="BP54" s="566"/>
      <c r="BQ54" s="565"/>
      <c r="BR54" s="565"/>
      <c r="BS54" s="565"/>
      <c r="BT54" s="565"/>
      <c r="BU54" s="565"/>
      <c r="BV54" s="565"/>
      <c r="BW54" s="565"/>
      <c r="BX54" s="566"/>
      <c r="BY54" s="573"/>
    </row>
    <row r="55" spans="1:77" x14ac:dyDescent="0.25">
      <c r="A55" s="120"/>
      <c r="B55" s="1062"/>
      <c r="C55" s="1062"/>
      <c r="D55" s="1062"/>
      <c r="E55" s="1062"/>
      <c r="F55" s="1062"/>
      <c r="G55" s="1062"/>
      <c r="H55" s="1062"/>
      <c r="I55" s="590"/>
      <c r="J55" s="566">
        <v>19</v>
      </c>
      <c r="K55" s="565" t="str">
        <f t="shared" si="12"/>
        <v/>
      </c>
      <c r="L55" s="565" t="str">
        <f t="shared" si="13"/>
        <v/>
      </c>
      <c r="M55" s="565"/>
      <c r="N55" s="565"/>
      <c r="O55" s="565"/>
      <c r="P55" s="565"/>
      <c r="Q55" s="565"/>
      <c r="R55" s="565"/>
      <c r="S55" s="566">
        <v>19</v>
      </c>
      <c r="T55" s="565" t="str">
        <f t="shared" si="14"/>
        <v/>
      </c>
      <c r="U55" s="565" t="str">
        <f t="shared" si="15"/>
        <v/>
      </c>
      <c r="V55" s="565"/>
      <c r="W55" s="565"/>
      <c r="X55" s="565"/>
      <c r="Y55" s="565"/>
      <c r="Z55" s="565"/>
      <c r="AA55" s="565"/>
      <c r="AB55" s="566">
        <v>19</v>
      </c>
      <c r="AC55" s="565" t="str">
        <f t="shared" si="16"/>
        <v/>
      </c>
      <c r="AD55" s="565" t="str">
        <f t="shared" si="17"/>
        <v/>
      </c>
      <c r="AE55" s="565"/>
      <c r="AF55" s="565"/>
      <c r="AG55" s="565"/>
      <c r="AH55" s="565"/>
      <c r="AI55" s="565"/>
      <c r="AJ55" s="566">
        <v>19</v>
      </c>
      <c r="AK55" s="565" t="str">
        <f t="shared" si="18"/>
        <v/>
      </c>
      <c r="AL55" s="565" t="str">
        <f t="shared" si="19"/>
        <v/>
      </c>
      <c r="AM55" s="565"/>
      <c r="AN55" s="565"/>
      <c r="AO55" s="565"/>
      <c r="AP55" s="565"/>
      <c r="AQ55" s="565"/>
      <c r="AR55" s="566"/>
      <c r="AS55" s="565"/>
      <c r="AT55" s="565"/>
      <c r="AU55" s="565"/>
      <c r="AV55" s="566"/>
      <c r="AW55" s="565"/>
      <c r="AX55" s="565"/>
      <c r="AY55" s="565"/>
      <c r="AZ55" s="566"/>
      <c r="BA55" s="565"/>
      <c r="BB55" s="565"/>
      <c r="BC55" s="565"/>
      <c r="BD55" s="565"/>
      <c r="BE55" s="565"/>
      <c r="BF55" s="565"/>
      <c r="BG55" s="565"/>
      <c r="BH55" s="566"/>
      <c r="BI55" s="565"/>
      <c r="BJ55" s="565"/>
      <c r="BK55" s="565"/>
      <c r="BL55" s="565"/>
      <c r="BM55" s="565"/>
      <c r="BN55" s="565"/>
      <c r="BO55" s="565"/>
      <c r="BP55" s="566"/>
      <c r="BQ55" s="565"/>
      <c r="BR55" s="565"/>
      <c r="BS55" s="565"/>
      <c r="BT55" s="565"/>
      <c r="BU55" s="565"/>
      <c r="BV55" s="565"/>
      <c r="BW55" s="565"/>
      <c r="BX55" s="566"/>
      <c r="BY55" s="573"/>
    </row>
    <row r="56" spans="1:77" x14ac:dyDescent="0.25">
      <c r="A56" s="120"/>
      <c r="B56" s="1062"/>
      <c r="C56" s="1062"/>
      <c r="D56" s="1062"/>
      <c r="E56" s="1062"/>
      <c r="F56" s="1062"/>
      <c r="G56" s="1062"/>
      <c r="H56" s="1062"/>
      <c r="I56" s="590"/>
      <c r="J56" s="566">
        <v>20</v>
      </c>
      <c r="K56" s="565" t="str">
        <f t="shared" si="12"/>
        <v/>
      </c>
      <c r="L56" s="565" t="str">
        <f t="shared" si="13"/>
        <v/>
      </c>
      <c r="M56" s="565"/>
      <c r="N56" s="565"/>
      <c r="O56" s="565"/>
      <c r="P56" s="565"/>
      <c r="Q56" s="565"/>
      <c r="R56" s="565"/>
      <c r="S56" s="566">
        <v>20</v>
      </c>
      <c r="T56" s="565" t="str">
        <f t="shared" si="14"/>
        <v/>
      </c>
      <c r="U56" s="565" t="str">
        <f t="shared" si="15"/>
        <v/>
      </c>
      <c r="V56" s="565"/>
      <c r="W56" s="565"/>
      <c r="X56" s="565"/>
      <c r="Y56" s="565"/>
      <c r="Z56" s="565"/>
      <c r="AA56" s="565"/>
      <c r="AB56" s="566">
        <v>20</v>
      </c>
      <c r="AC56" s="565" t="str">
        <f t="shared" si="16"/>
        <v/>
      </c>
      <c r="AD56" s="565" t="str">
        <f t="shared" si="17"/>
        <v/>
      </c>
      <c r="AE56" s="565"/>
      <c r="AF56" s="565"/>
      <c r="AG56" s="565"/>
      <c r="AH56" s="565"/>
      <c r="AI56" s="565"/>
      <c r="AJ56" s="566">
        <v>20</v>
      </c>
      <c r="AK56" s="565" t="str">
        <f t="shared" si="18"/>
        <v/>
      </c>
      <c r="AL56" s="565" t="str">
        <f t="shared" si="19"/>
        <v/>
      </c>
      <c r="AM56" s="565"/>
      <c r="AN56" s="565"/>
      <c r="AO56" s="565"/>
      <c r="AP56" s="565"/>
      <c r="AQ56" s="565"/>
      <c r="AR56" s="566"/>
      <c r="AS56" s="565"/>
      <c r="AT56" s="565"/>
      <c r="AU56" s="565"/>
      <c r="AV56" s="566"/>
      <c r="AW56" s="565"/>
      <c r="AX56" s="565"/>
      <c r="AY56" s="565"/>
      <c r="AZ56" s="566"/>
      <c r="BA56" s="565"/>
      <c r="BB56" s="565"/>
      <c r="BC56" s="565"/>
      <c r="BD56" s="565"/>
      <c r="BE56" s="565"/>
      <c r="BF56" s="565"/>
      <c r="BG56" s="565"/>
      <c r="BH56" s="566"/>
      <c r="BI56" s="565"/>
      <c r="BJ56" s="565"/>
      <c r="BK56" s="565"/>
      <c r="BL56" s="565"/>
      <c r="BM56" s="565"/>
      <c r="BN56" s="565"/>
      <c r="BO56" s="565"/>
      <c r="BP56" s="566"/>
      <c r="BQ56" s="565"/>
      <c r="BR56" s="565"/>
      <c r="BS56" s="565"/>
      <c r="BT56" s="565"/>
      <c r="BU56" s="565"/>
      <c r="BV56" s="565"/>
      <c r="BW56" s="565"/>
      <c r="BX56" s="566"/>
      <c r="BY56" s="573"/>
    </row>
    <row r="57" spans="1:77" x14ac:dyDescent="0.25">
      <c r="A57" s="120"/>
      <c r="B57" s="1062"/>
      <c r="C57" s="1062"/>
      <c r="D57" s="1062"/>
      <c r="E57" s="1062"/>
      <c r="F57" s="1062"/>
      <c r="G57" s="1062"/>
      <c r="H57" s="1062"/>
      <c r="I57" s="590"/>
      <c r="J57" s="566">
        <v>21</v>
      </c>
      <c r="K57" s="565" t="str">
        <f t="shared" si="12"/>
        <v/>
      </c>
      <c r="L57" s="565" t="str">
        <f t="shared" si="13"/>
        <v/>
      </c>
      <c r="M57" s="565"/>
      <c r="N57" s="565"/>
      <c r="O57" s="565"/>
      <c r="P57" s="565"/>
      <c r="Q57" s="565"/>
      <c r="R57" s="565"/>
      <c r="S57" s="566">
        <v>21</v>
      </c>
      <c r="T57" s="565" t="str">
        <f t="shared" si="14"/>
        <v/>
      </c>
      <c r="U57" s="565" t="str">
        <f t="shared" si="15"/>
        <v/>
      </c>
      <c r="V57" s="565"/>
      <c r="W57" s="565"/>
      <c r="X57" s="565"/>
      <c r="Y57" s="565"/>
      <c r="Z57" s="565"/>
      <c r="AA57" s="565"/>
      <c r="AB57" s="566">
        <v>21</v>
      </c>
      <c r="AC57" s="565" t="str">
        <f t="shared" si="16"/>
        <v/>
      </c>
      <c r="AD57" s="565" t="str">
        <f t="shared" si="17"/>
        <v/>
      </c>
      <c r="AE57" s="565"/>
      <c r="AF57" s="565"/>
      <c r="AG57" s="565"/>
      <c r="AH57" s="565"/>
      <c r="AI57" s="565"/>
      <c r="AJ57" s="566">
        <v>21</v>
      </c>
      <c r="AK57" s="565" t="str">
        <f t="shared" si="18"/>
        <v/>
      </c>
      <c r="AL57" s="565" t="str">
        <f t="shared" si="19"/>
        <v/>
      </c>
      <c r="AM57" s="565"/>
      <c r="AN57" s="565"/>
      <c r="AO57" s="565"/>
      <c r="AP57" s="565"/>
      <c r="AQ57" s="565"/>
      <c r="AR57" s="566"/>
      <c r="AS57" s="565"/>
      <c r="AT57" s="565"/>
      <c r="AU57" s="565"/>
      <c r="AV57" s="566"/>
      <c r="AW57" s="565"/>
      <c r="AX57" s="565"/>
      <c r="AY57" s="565"/>
      <c r="AZ57" s="566"/>
      <c r="BA57" s="565"/>
      <c r="BB57" s="565"/>
      <c r="BC57" s="565"/>
      <c r="BD57" s="565"/>
      <c r="BE57" s="565"/>
      <c r="BF57" s="565"/>
      <c r="BG57" s="565"/>
      <c r="BH57" s="566"/>
      <c r="BI57" s="565"/>
      <c r="BJ57" s="565"/>
      <c r="BK57" s="565"/>
      <c r="BL57" s="565"/>
      <c r="BM57" s="565"/>
      <c r="BN57" s="565"/>
      <c r="BO57" s="565"/>
      <c r="BP57" s="566"/>
      <c r="BQ57" s="565"/>
      <c r="BR57" s="565"/>
      <c r="BS57" s="565"/>
      <c r="BT57" s="565"/>
      <c r="BU57" s="565"/>
      <c r="BV57" s="565"/>
      <c r="BW57" s="565"/>
      <c r="BX57" s="566"/>
      <c r="BY57" s="573"/>
    </row>
    <row r="58" spans="1:77" x14ac:dyDescent="0.25">
      <c r="A58" s="120"/>
      <c r="B58" s="1062"/>
      <c r="C58" s="1062"/>
      <c r="D58" s="1062"/>
      <c r="E58" s="1062"/>
      <c r="F58" s="1062"/>
      <c r="G58" s="1062"/>
      <c r="H58" s="1062"/>
      <c r="I58" s="590"/>
      <c r="J58" s="566">
        <v>22</v>
      </c>
      <c r="K58" s="565" t="str">
        <f t="shared" si="12"/>
        <v/>
      </c>
      <c r="L58" s="565" t="str">
        <f t="shared" si="13"/>
        <v/>
      </c>
      <c r="M58" s="565"/>
      <c r="N58" s="565"/>
      <c r="O58" s="565"/>
      <c r="P58" s="565"/>
      <c r="Q58" s="565"/>
      <c r="R58" s="565"/>
      <c r="S58" s="566">
        <v>22</v>
      </c>
      <c r="T58" s="565" t="str">
        <f t="shared" si="14"/>
        <v/>
      </c>
      <c r="U58" s="565" t="str">
        <f t="shared" si="15"/>
        <v/>
      </c>
      <c r="V58" s="565"/>
      <c r="W58" s="565"/>
      <c r="X58" s="565"/>
      <c r="Y58" s="565"/>
      <c r="Z58" s="565"/>
      <c r="AA58" s="565"/>
      <c r="AB58" s="566">
        <v>22</v>
      </c>
      <c r="AC58" s="565" t="str">
        <f t="shared" si="16"/>
        <v/>
      </c>
      <c r="AD58" s="565" t="str">
        <f t="shared" si="17"/>
        <v/>
      </c>
      <c r="AE58" s="565"/>
      <c r="AF58" s="565"/>
      <c r="AG58" s="565"/>
      <c r="AH58" s="565"/>
      <c r="AI58" s="565"/>
      <c r="AJ58" s="566">
        <v>22</v>
      </c>
      <c r="AK58" s="565" t="str">
        <f t="shared" si="18"/>
        <v/>
      </c>
      <c r="AL58" s="565" t="str">
        <f t="shared" si="19"/>
        <v/>
      </c>
      <c r="AM58" s="565"/>
      <c r="AN58" s="565"/>
      <c r="AO58" s="565"/>
      <c r="AP58" s="565"/>
      <c r="AQ58" s="565"/>
      <c r="AR58" s="566"/>
      <c r="AS58" s="565"/>
      <c r="AT58" s="565"/>
      <c r="AU58" s="565"/>
      <c r="AV58" s="566"/>
      <c r="AW58" s="565"/>
      <c r="AX58" s="565"/>
      <c r="AY58" s="565"/>
      <c r="AZ58" s="566"/>
      <c r="BA58" s="565"/>
      <c r="BB58" s="565"/>
      <c r="BC58" s="565"/>
      <c r="BD58" s="565"/>
      <c r="BE58" s="565"/>
      <c r="BF58" s="565"/>
      <c r="BG58" s="565"/>
      <c r="BH58" s="566"/>
      <c r="BI58" s="565"/>
      <c r="BJ58" s="565"/>
      <c r="BK58" s="565"/>
      <c r="BL58" s="565"/>
      <c r="BM58" s="565"/>
      <c r="BN58" s="565"/>
      <c r="BO58" s="565"/>
      <c r="BP58" s="566"/>
      <c r="BQ58" s="565"/>
      <c r="BR58" s="565"/>
      <c r="BS58" s="565"/>
      <c r="BT58" s="565"/>
      <c r="BU58" s="565"/>
      <c r="BV58" s="565"/>
      <c r="BW58" s="565"/>
      <c r="BX58" s="566"/>
      <c r="BY58" s="573"/>
    </row>
    <row r="59" spans="1:77" x14ac:dyDescent="0.25">
      <c r="A59" s="120"/>
      <c r="B59" s="1062"/>
      <c r="C59" s="1062"/>
      <c r="D59" s="1062"/>
      <c r="E59" s="1062"/>
      <c r="F59" s="1062"/>
      <c r="G59" s="1062"/>
      <c r="H59" s="1062"/>
      <c r="I59" s="590"/>
      <c r="J59" s="566">
        <v>23</v>
      </c>
      <c r="K59" s="565" t="str">
        <f t="shared" si="12"/>
        <v/>
      </c>
      <c r="L59" s="565" t="str">
        <f t="shared" si="13"/>
        <v/>
      </c>
      <c r="M59" s="565"/>
      <c r="N59" s="565"/>
      <c r="O59" s="565"/>
      <c r="P59" s="565"/>
      <c r="Q59" s="565"/>
      <c r="R59" s="565"/>
      <c r="S59" s="566">
        <v>23</v>
      </c>
      <c r="T59" s="565" t="str">
        <f t="shared" si="14"/>
        <v/>
      </c>
      <c r="U59" s="565" t="str">
        <f t="shared" si="15"/>
        <v/>
      </c>
      <c r="V59" s="565"/>
      <c r="W59" s="565"/>
      <c r="X59" s="565"/>
      <c r="Y59" s="565"/>
      <c r="Z59" s="565"/>
      <c r="AA59" s="565"/>
      <c r="AB59" s="566">
        <v>23</v>
      </c>
      <c r="AC59" s="565" t="str">
        <f t="shared" si="16"/>
        <v/>
      </c>
      <c r="AD59" s="565" t="str">
        <f t="shared" si="17"/>
        <v/>
      </c>
      <c r="AE59" s="565"/>
      <c r="AF59" s="565"/>
      <c r="AG59" s="565"/>
      <c r="AH59" s="565"/>
      <c r="AI59" s="565"/>
      <c r="AJ59" s="566">
        <v>23</v>
      </c>
      <c r="AK59" s="565" t="str">
        <f t="shared" si="18"/>
        <v/>
      </c>
      <c r="AL59" s="565" t="str">
        <f t="shared" si="19"/>
        <v/>
      </c>
      <c r="AM59" s="565"/>
      <c r="AN59" s="565"/>
      <c r="AO59" s="565"/>
      <c r="AP59" s="565"/>
      <c r="AQ59" s="565"/>
      <c r="AR59" s="566"/>
      <c r="AS59" s="565"/>
      <c r="AT59" s="565"/>
      <c r="AU59" s="565"/>
      <c r="AV59" s="566"/>
      <c r="AW59" s="565"/>
      <c r="AX59" s="565"/>
      <c r="AY59" s="565"/>
      <c r="AZ59" s="566"/>
      <c r="BA59" s="565"/>
      <c r="BB59" s="565"/>
      <c r="BC59" s="565"/>
      <c r="BD59" s="565"/>
      <c r="BE59" s="565"/>
      <c r="BF59" s="565"/>
      <c r="BG59" s="565"/>
      <c r="BH59" s="566"/>
      <c r="BI59" s="565"/>
      <c r="BJ59" s="565"/>
      <c r="BK59" s="565"/>
      <c r="BL59" s="565"/>
      <c r="BM59" s="565"/>
      <c r="BN59" s="565"/>
      <c r="BO59" s="565"/>
      <c r="BP59" s="566"/>
      <c r="BQ59" s="565"/>
      <c r="BR59" s="565"/>
      <c r="BS59" s="565"/>
      <c r="BT59" s="565"/>
      <c r="BU59" s="565"/>
      <c r="BV59" s="565"/>
      <c r="BW59" s="565"/>
      <c r="BX59" s="566"/>
      <c r="BY59" s="573"/>
    </row>
    <row r="60" spans="1:77" x14ac:dyDescent="0.25">
      <c r="A60" s="120"/>
      <c r="B60" s="1062"/>
      <c r="C60" s="1062"/>
      <c r="D60" s="1062"/>
      <c r="E60" s="1062"/>
      <c r="F60" s="1062"/>
      <c r="G60" s="1062"/>
      <c r="H60" s="1062"/>
      <c r="I60" s="590"/>
      <c r="J60" s="566">
        <v>24</v>
      </c>
      <c r="K60" s="565" t="str">
        <f t="shared" si="12"/>
        <v/>
      </c>
      <c r="L60" s="565" t="str">
        <f t="shared" si="13"/>
        <v/>
      </c>
      <c r="M60" s="565"/>
      <c r="N60" s="565"/>
      <c r="O60" s="565"/>
      <c r="P60" s="565"/>
      <c r="Q60" s="565"/>
      <c r="R60" s="565"/>
      <c r="S60" s="566">
        <v>24</v>
      </c>
      <c r="T60" s="565" t="str">
        <f t="shared" si="14"/>
        <v/>
      </c>
      <c r="U60" s="565" t="str">
        <f t="shared" si="15"/>
        <v/>
      </c>
      <c r="V60" s="565"/>
      <c r="W60" s="565"/>
      <c r="X60" s="565"/>
      <c r="Y60" s="565"/>
      <c r="Z60" s="565"/>
      <c r="AA60" s="565"/>
      <c r="AB60" s="566">
        <v>24</v>
      </c>
      <c r="AC60" s="565" t="str">
        <f t="shared" si="16"/>
        <v/>
      </c>
      <c r="AD60" s="565" t="str">
        <f t="shared" si="17"/>
        <v/>
      </c>
      <c r="AE60" s="565"/>
      <c r="AF60" s="565"/>
      <c r="AG60" s="565"/>
      <c r="AH60" s="565"/>
      <c r="AI60" s="565"/>
      <c r="AJ60" s="566">
        <v>24</v>
      </c>
      <c r="AK60" s="565" t="str">
        <f t="shared" si="18"/>
        <v/>
      </c>
      <c r="AL60" s="565" t="str">
        <f t="shared" si="19"/>
        <v/>
      </c>
      <c r="AM60" s="565"/>
      <c r="AN60" s="565"/>
      <c r="AO60" s="565"/>
      <c r="AP60" s="565"/>
      <c r="AQ60" s="565"/>
      <c r="AR60" s="566"/>
      <c r="AS60" s="565"/>
      <c r="AT60" s="565"/>
      <c r="AU60" s="565"/>
      <c r="AV60" s="566"/>
      <c r="AW60" s="565"/>
      <c r="AX60" s="565"/>
      <c r="AY60" s="565"/>
      <c r="AZ60" s="566"/>
      <c r="BA60" s="565"/>
      <c r="BB60" s="565"/>
      <c r="BC60" s="565"/>
      <c r="BD60" s="565"/>
      <c r="BE60" s="565"/>
      <c r="BF60" s="565"/>
      <c r="BG60" s="565"/>
      <c r="BH60" s="566"/>
      <c r="BI60" s="565"/>
      <c r="BJ60" s="565"/>
      <c r="BK60" s="565"/>
      <c r="BL60" s="565"/>
      <c r="BM60" s="565"/>
      <c r="BN60" s="565"/>
      <c r="BO60" s="565"/>
      <c r="BP60" s="566"/>
      <c r="BQ60" s="565"/>
      <c r="BR60" s="565"/>
      <c r="BS60" s="565"/>
      <c r="BT60" s="565"/>
      <c r="BU60" s="565"/>
      <c r="BV60" s="565"/>
      <c r="BW60" s="565"/>
      <c r="BX60" s="566"/>
      <c r="BY60" s="573"/>
    </row>
    <row r="61" spans="1:77" x14ac:dyDescent="0.25">
      <c r="A61" s="120"/>
      <c r="B61" s="1062"/>
      <c r="C61" s="1062"/>
      <c r="D61" s="1062"/>
      <c r="E61" s="1062"/>
      <c r="F61" s="1062"/>
      <c r="G61" s="1062"/>
      <c r="H61" s="1062"/>
      <c r="I61" s="590"/>
      <c r="J61" s="566">
        <v>25</v>
      </c>
      <c r="K61" s="565" t="str">
        <f t="shared" si="12"/>
        <v/>
      </c>
      <c r="L61" s="565" t="str">
        <f t="shared" si="13"/>
        <v/>
      </c>
      <c r="M61" s="565"/>
      <c r="N61" s="565"/>
      <c r="O61" s="565"/>
      <c r="P61" s="565"/>
      <c r="Q61" s="565"/>
      <c r="R61" s="565"/>
      <c r="S61" s="566">
        <v>25</v>
      </c>
      <c r="T61" s="565" t="str">
        <f t="shared" si="14"/>
        <v/>
      </c>
      <c r="U61" s="565" t="str">
        <f t="shared" si="15"/>
        <v/>
      </c>
      <c r="V61" s="565"/>
      <c r="W61" s="565"/>
      <c r="X61" s="565"/>
      <c r="Y61" s="565"/>
      <c r="Z61" s="565"/>
      <c r="AA61" s="565"/>
      <c r="AB61" s="566">
        <v>25</v>
      </c>
      <c r="AC61" s="565" t="str">
        <f t="shared" si="16"/>
        <v/>
      </c>
      <c r="AD61" s="565" t="str">
        <f t="shared" si="17"/>
        <v/>
      </c>
      <c r="AE61" s="565"/>
      <c r="AF61" s="565"/>
      <c r="AG61" s="565"/>
      <c r="AH61" s="565"/>
      <c r="AI61" s="565"/>
      <c r="AJ61" s="566">
        <v>25</v>
      </c>
      <c r="AK61" s="565" t="str">
        <f t="shared" si="18"/>
        <v/>
      </c>
      <c r="AL61" s="565" t="str">
        <f t="shared" si="19"/>
        <v/>
      </c>
      <c r="AM61" s="565"/>
      <c r="AN61" s="565"/>
      <c r="AO61" s="565"/>
      <c r="AP61" s="565"/>
      <c r="AQ61" s="565"/>
      <c r="AR61" s="566"/>
      <c r="AS61" s="565"/>
      <c r="AT61" s="565"/>
      <c r="AU61" s="565"/>
      <c r="AV61" s="566"/>
      <c r="AW61" s="565"/>
      <c r="AX61" s="565"/>
      <c r="AY61" s="565"/>
      <c r="AZ61" s="566"/>
      <c r="BA61" s="565"/>
      <c r="BB61" s="565"/>
      <c r="BC61" s="565"/>
      <c r="BD61" s="565"/>
      <c r="BE61" s="565"/>
      <c r="BF61" s="565"/>
      <c r="BG61" s="565"/>
      <c r="BH61" s="566"/>
      <c r="BI61" s="565"/>
      <c r="BJ61" s="565"/>
      <c r="BK61" s="565"/>
      <c r="BL61" s="565"/>
      <c r="BM61" s="565"/>
      <c r="BN61" s="565"/>
      <c r="BO61" s="565"/>
      <c r="BP61" s="566"/>
      <c r="BQ61" s="565"/>
      <c r="BR61" s="565"/>
      <c r="BS61" s="565"/>
      <c r="BT61" s="565"/>
      <c r="BU61" s="565"/>
      <c r="BV61" s="565"/>
      <c r="BW61" s="565"/>
      <c r="BX61" s="566"/>
      <c r="BY61" s="573"/>
    </row>
    <row r="62" spans="1:77" x14ac:dyDescent="0.25">
      <c r="A62" s="120"/>
      <c r="B62" s="1062"/>
      <c r="C62" s="1062"/>
      <c r="D62" s="1062"/>
      <c r="E62" s="1062"/>
      <c r="F62" s="1062"/>
      <c r="G62" s="1062"/>
      <c r="H62" s="1062"/>
      <c r="I62" s="590"/>
      <c r="J62" s="566">
        <v>26</v>
      </c>
      <c r="K62" s="565" t="str">
        <f t="shared" si="12"/>
        <v/>
      </c>
      <c r="L62" s="565" t="str">
        <f t="shared" si="13"/>
        <v/>
      </c>
      <c r="M62" s="565"/>
      <c r="N62" s="565"/>
      <c r="O62" s="565"/>
      <c r="P62" s="565"/>
      <c r="Q62" s="565"/>
      <c r="R62" s="565"/>
      <c r="S62" s="566">
        <v>26</v>
      </c>
      <c r="T62" s="565" t="str">
        <f t="shared" si="14"/>
        <v/>
      </c>
      <c r="U62" s="565" t="str">
        <f t="shared" si="15"/>
        <v/>
      </c>
      <c r="V62" s="565"/>
      <c r="W62" s="565"/>
      <c r="X62" s="565"/>
      <c r="Y62" s="565"/>
      <c r="Z62" s="565"/>
      <c r="AA62" s="565"/>
      <c r="AB62" s="566">
        <v>26</v>
      </c>
      <c r="AC62" s="565" t="str">
        <f t="shared" si="16"/>
        <v/>
      </c>
      <c r="AD62" s="565" t="str">
        <f t="shared" si="17"/>
        <v/>
      </c>
      <c r="AE62" s="565"/>
      <c r="AF62" s="565"/>
      <c r="AG62" s="565"/>
      <c r="AH62" s="565"/>
      <c r="AI62" s="565"/>
      <c r="AJ62" s="566">
        <v>26</v>
      </c>
      <c r="AK62" s="565" t="str">
        <f t="shared" si="18"/>
        <v/>
      </c>
      <c r="AL62" s="565" t="str">
        <f t="shared" si="19"/>
        <v/>
      </c>
      <c r="AM62" s="565"/>
      <c r="AN62" s="565"/>
      <c r="AO62" s="565"/>
      <c r="AP62" s="565"/>
      <c r="AQ62" s="565"/>
      <c r="AR62" s="566"/>
      <c r="AS62" s="565"/>
      <c r="AT62" s="565"/>
      <c r="AU62" s="565"/>
      <c r="AV62" s="566"/>
      <c r="AW62" s="565"/>
      <c r="AX62" s="565"/>
      <c r="AY62" s="565"/>
      <c r="AZ62" s="566"/>
      <c r="BA62" s="565"/>
      <c r="BB62" s="565"/>
      <c r="BC62" s="565"/>
      <c r="BD62" s="565"/>
      <c r="BE62" s="565"/>
      <c r="BF62" s="565"/>
      <c r="BG62" s="565"/>
      <c r="BH62" s="566"/>
      <c r="BI62" s="565"/>
      <c r="BJ62" s="565"/>
      <c r="BK62" s="565"/>
      <c r="BL62" s="565"/>
      <c r="BM62" s="565"/>
      <c r="BN62" s="565"/>
      <c r="BO62" s="565"/>
      <c r="BP62" s="566"/>
      <c r="BQ62" s="565"/>
      <c r="BR62" s="565"/>
      <c r="BS62" s="565"/>
      <c r="BT62" s="565"/>
      <c r="BU62" s="565"/>
      <c r="BV62" s="565"/>
      <c r="BW62" s="565"/>
      <c r="BX62" s="566"/>
      <c r="BY62" s="573"/>
    </row>
    <row r="63" spans="1:77" x14ac:dyDescent="0.25">
      <c r="A63" s="120"/>
      <c r="B63" s="1062"/>
      <c r="C63" s="1062"/>
      <c r="D63" s="1062"/>
      <c r="E63" s="1062"/>
      <c r="F63" s="1062"/>
      <c r="G63" s="1062"/>
      <c r="H63" s="1062"/>
      <c r="I63" s="590"/>
      <c r="J63" s="566">
        <v>27</v>
      </c>
      <c r="K63" s="565" t="str">
        <f t="shared" si="12"/>
        <v/>
      </c>
      <c r="L63" s="565" t="str">
        <f t="shared" si="13"/>
        <v/>
      </c>
      <c r="M63" s="565"/>
      <c r="N63" s="565"/>
      <c r="O63" s="565"/>
      <c r="P63" s="565"/>
      <c r="Q63" s="565"/>
      <c r="R63" s="565"/>
      <c r="S63" s="566">
        <v>27</v>
      </c>
      <c r="T63" s="565" t="str">
        <f t="shared" si="14"/>
        <v/>
      </c>
      <c r="U63" s="565" t="str">
        <f t="shared" si="15"/>
        <v/>
      </c>
      <c r="V63" s="565"/>
      <c r="W63" s="565"/>
      <c r="X63" s="565"/>
      <c r="Y63" s="565"/>
      <c r="Z63" s="565"/>
      <c r="AA63" s="565"/>
      <c r="AB63" s="566">
        <v>27</v>
      </c>
      <c r="AC63" s="565" t="str">
        <f t="shared" si="16"/>
        <v/>
      </c>
      <c r="AD63" s="565" t="str">
        <f t="shared" si="17"/>
        <v/>
      </c>
      <c r="AE63" s="565"/>
      <c r="AF63" s="565"/>
      <c r="AG63" s="565"/>
      <c r="AH63" s="565"/>
      <c r="AI63" s="565"/>
      <c r="AJ63" s="566">
        <v>27</v>
      </c>
      <c r="AK63" s="565" t="str">
        <f t="shared" si="18"/>
        <v/>
      </c>
      <c r="AL63" s="565" t="str">
        <f t="shared" si="19"/>
        <v/>
      </c>
      <c r="AM63" s="565"/>
      <c r="AN63" s="565"/>
      <c r="AO63" s="565"/>
      <c r="AP63" s="565"/>
      <c r="AQ63" s="565"/>
      <c r="AR63" s="566"/>
      <c r="AS63" s="565"/>
      <c r="AT63" s="565"/>
      <c r="AU63" s="565"/>
      <c r="AV63" s="566"/>
      <c r="AW63" s="565"/>
      <c r="AX63" s="565"/>
      <c r="AY63" s="565"/>
      <c r="AZ63" s="566"/>
      <c r="BA63" s="565"/>
      <c r="BB63" s="565"/>
      <c r="BC63" s="565"/>
      <c r="BD63" s="565"/>
      <c r="BE63" s="565"/>
      <c r="BF63" s="565"/>
      <c r="BG63" s="565"/>
      <c r="BH63" s="566"/>
      <c r="BI63" s="565"/>
      <c r="BJ63" s="565"/>
      <c r="BK63" s="565"/>
      <c r="BL63" s="565"/>
      <c r="BM63" s="565"/>
      <c r="BN63" s="565"/>
      <c r="BO63" s="565"/>
      <c r="BP63" s="566"/>
      <c r="BQ63" s="565"/>
      <c r="BR63" s="565"/>
      <c r="BS63" s="565"/>
      <c r="BT63" s="565"/>
      <c r="BU63" s="565"/>
      <c r="BV63" s="565"/>
      <c r="BW63" s="565"/>
      <c r="BX63" s="566"/>
      <c r="BY63" s="573"/>
    </row>
    <row r="64" spans="1:77" x14ac:dyDescent="0.25">
      <c r="A64" s="120"/>
      <c r="B64" s="1062"/>
      <c r="C64" s="1062"/>
      <c r="D64" s="1062"/>
      <c r="E64" s="1062"/>
      <c r="F64" s="1062"/>
      <c r="G64" s="1062"/>
      <c r="H64" s="1062"/>
      <c r="I64" s="590"/>
      <c r="J64" s="566">
        <v>28</v>
      </c>
      <c r="K64" s="565" t="str">
        <f t="shared" si="12"/>
        <v/>
      </c>
      <c r="L64" s="565" t="str">
        <f t="shared" si="13"/>
        <v/>
      </c>
      <c r="M64" s="565"/>
      <c r="N64" s="565"/>
      <c r="O64" s="565"/>
      <c r="P64" s="565"/>
      <c r="Q64" s="565"/>
      <c r="R64" s="565"/>
      <c r="S64" s="566">
        <v>28</v>
      </c>
      <c r="T64" s="565" t="str">
        <f t="shared" si="14"/>
        <v/>
      </c>
      <c r="U64" s="565" t="str">
        <f t="shared" si="15"/>
        <v/>
      </c>
      <c r="V64" s="565"/>
      <c r="W64" s="565"/>
      <c r="X64" s="565"/>
      <c r="Y64" s="565"/>
      <c r="Z64" s="565"/>
      <c r="AA64" s="565"/>
      <c r="AB64" s="566">
        <v>28</v>
      </c>
      <c r="AC64" s="565" t="str">
        <f t="shared" si="16"/>
        <v/>
      </c>
      <c r="AD64" s="565" t="str">
        <f t="shared" si="17"/>
        <v/>
      </c>
      <c r="AE64" s="565"/>
      <c r="AF64" s="565"/>
      <c r="AG64" s="565"/>
      <c r="AH64" s="565"/>
      <c r="AI64" s="565"/>
      <c r="AJ64" s="566">
        <v>28</v>
      </c>
      <c r="AK64" s="565" t="str">
        <f t="shared" si="18"/>
        <v/>
      </c>
      <c r="AL64" s="565" t="str">
        <f t="shared" si="19"/>
        <v/>
      </c>
      <c r="AM64" s="565"/>
      <c r="AN64" s="565"/>
      <c r="AO64" s="565"/>
      <c r="AP64" s="565"/>
      <c r="AQ64" s="565"/>
      <c r="AR64" s="566"/>
      <c r="AS64" s="565"/>
      <c r="AT64" s="565"/>
      <c r="AU64" s="565"/>
      <c r="AV64" s="566"/>
      <c r="AW64" s="565"/>
      <c r="AX64" s="565"/>
      <c r="AY64" s="565"/>
      <c r="AZ64" s="566"/>
      <c r="BA64" s="565"/>
      <c r="BB64" s="565"/>
      <c r="BC64" s="565"/>
      <c r="BD64" s="565"/>
      <c r="BE64" s="565"/>
      <c r="BF64" s="565"/>
      <c r="BG64" s="565"/>
      <c r="BH64" s="566"/>
      <c r="BI64" s="565"/>
      <c r="BJ64" s="565"/>
      <c r="BK64" s="565"/>
      <c r="BL64" s="565"/>
      <c r="BM64" s="565"/>
      <c r="BN64" s="565"/>
      <c r="BO64" s="565"/>
      <c r="BP64" s="566"/>
      <c r="BQ64" s="565"/>
      <c r="BR64" s="565"/>
      <c r="BS64" s="565"/>
      <c r="BT64" s="565"/>
      <c r="BU64" s="565"/>
      <c r="BV64" s="565"/>
      <c r="BW64" s="565"/>
      <c r="BX64" s="566"/>
      <c r="BY64" s="573"/>
    </row>
    <row r="65" spans="1:77" x14ac:dyDescent="0.25">
      <c r="A65" s="120"/>
      <c r="B65" s="1062"/>
      <c r="C65" s="1062"/>
      <c r="D65" s="1062"/>
      <c r="E65" s="1062"/>
      <c r="F65" s="1062"/>
      <c r="G65" s="1062"/>
      <c r="H65" s="1062"/>
      <c r="I65" s="590"/>
      <c r="J65" s="566">
        <v>29</v>
      </c>
      <c r="K65" s="565" t="str">
        <f t="shared" si="12"/>
        <v/>
      </c>
      <c r="L65" s="565" t="str">
        <f t="shared" si="13"/>
        <v/>
      </c>
      <c r="M65" s="565"/>
      <c r="N65" s="565"/>
      <c r="O65" s="565"/>
      <c r="P65" s="565"/>
      <c r="Q65" s="565"/>
      <c r="R65" s="565"/>
      <c r="S65" s="566">
        <v>29</v>
      </c>
      <c r="T65" s="565" t="str">
        <f t="shared" si="14"/>
        <v/>
      </c>
      <c r="U65" s="565" t="str">
        <f t="shared" si="15"/>
        <v/>
      </c>
      <c r="V65" s="565"/>
      <c r="W65" s="565"/>
      <c r="X65" s="565"/>
      <c r="Y65" s="565"/>
      <c r="Z65" s="565"/>
      <c r="AA65" s="565"/>
      <c r="AB65" s="566">
        <v>29</v>
      </c>
      <c r="AC65" s="565" t="str">
        <f t="shared" si="16"/>
        <v/>
      </c>
      <c r="AD65" s="565" t="str">
        <f t="shared" si="17"/>
        <v/>
      </c>
      <c r="AE65" s="565"/>
      <c r="AF65" s="565"/>
      <c r="AG65" s="565"/>
      <c r="AH65" s="565"/>
      <c r="AI65" s="565"/>
      <c r="AJ65" s="566">
        <v>29</v>
      </c>
      <c r="AK65" s="565" t="str">
        <f t="shared" si="18"/>
        <v/>
      </c>
      <c r="AL65" s="565" t="str">
        <f t="shared" si="19"/>
        <v/>
      </c>
      <c r="AM65" s="565"/>
      <c r="AN65" s="565"/>
      <c r="AO65" s="565"/>
      <c r="AP65" s="565"/>
      <c r="AQ65" s="565"/>
      <c r="AR65" s="566"/>
      <c r="AS65" s="565"/>
      <c r="AT65" s="565"/>
      <c r="AU65" s="565"/>
      <c r="AV65" s="566"/>
      <c r="AW65" s="565"/>
      <c r="AX65" s="565"/>
      <c r="AY65" s="565"/>
      <c r="AZ65" s="566"/>
      <c r="BA65" s="565"/>
      <c r="BB65" s="565"/>
      <c r="BC65" s="565"/>
      <c r="BD65" s="565"/>
      <c r="BE65" s="565"/>
      <c r="BF65" s="565"/>
      <c r="BG65" s="565"/>
      <c r="BH65" s="566"/>
      <c r="BI65" s="565"/>
      <c r="BJ65" s="565"/>
      <c r="BK65" s="565"/>
      <c r="BL65" s="565"/>
      <c r="BM65" s="565"/>
      <c r="BN65" s="565"/>
      <c r="BO65" s="565"/>
      <c r="BP65" s="566"/>
      <c r="BQ65" s="565"/>
      <c r="BR65" s="565"/>
      <c r="BS65" s="565"/>
      <c r="BT65" s="565"/>
      <c r="BU65" s="565"/>
      <c r="BV65" s="565"/>
      <c r="BW65" s="565"/>
      <c r="BX65" s="566"/>
      <c r="BY65" s="573"/>
    </row>
    <row r="66" spans="1:77" x14ac:dyDescent="0.25">
      <c r="A66" s="120"/>
      <c r="B66" s="1062"/>
      <c r="C66" s="1062"/>
      <c r="D66" s="1062"/>
      <c r="E66" s="1062"/>
      <c r="F66" s="1062"/>
      <c r="G66" s="1062"/>
      <c r="H66" s="1062"/>
      <c r="I66" s="590"/>
      <c r="J66" s="566">
        <v>30</v>
      </c>
      <c r="K66" s="565" t="str">
        <f t="shared" si="12"/>
        <v/>
      </c>
      <c r="L66" s="565" t="str">
        <f t="shared" si="13"/>
        <v/>
      </c>
      <c r="M66" s="565"/>
      <c r="N66" s="565"/>
      <c r="O66" s="565"/>
      <c r="P66" s="565"/>
      <c r="Q66" s="565"/>
      <c r="R66" s="565"/>
      <c r="S66" s="566">
        <v>30</v>
      </c>
      <c r="T66" s="565" t="str">
        <f t="shared" si="14"/>
        <v/>
      </c>
      <c r="U66" s="565" t="str">
        <f t="shared" si="15"/>
        <v/>
      </c>
      <c r="V66" s="565"/>
      <c r="W66" s="565"/>
      <c r="X66" s="565"/>
      <c r="Y66" s="565"/>
      <c r="Z66" s="565"/>
      <c r="AA66" s="565"/>
      <c r="AB66" s="566">
        <v>30</v>
      </c>
      <c r="AC66" s="565" t="str">
        <f t="shared" si="16"/>
        <v/>
      </c>
      <c r="AD66" s="565" t="str">
        <f t="shared" si="17"/>
        <v/>
      </c>
      <c r="AE66" s="565"/>
      <c r="AF66" s="565"/>
      <c r="AG66" s="565"/>
      <c r="AH66" s="565"/>
      <c r="AI66" s="565"/>
      <c r="AJ66" s="566">
        <v>30</v>
      </c>
      <c r="AK66" s="565" t="str">
        <f t="shared" si="18"/>
        <v/>
      </c>
      <c r="AL66" s="565" t="str">
        <f t="shared" si="19"/>
        <v/>
      </c>
      <c r="AM66" s="565"/>
      <c r="AN66" s="565"/>
      <c r="AO66" s="565"/>
      <c r="AP66" s="565"/>
      <c r="AQ66" s="565"/>
      <c r="AR66" s="566"/>
      <c r="AS66" s="565"/>
      <c r="AT66" s="565"/>
      <c r="AU66" s="565"/>
      <c r="AV66" s="566"/>
      <c r="AW66" s="565"/>
      <c r="AX66" s="565"/>
      <c r="AY66" s="565"/>
      <c r="AZ66" s="566"/>
      <c r="BA66" s="565"/>
      <c r="BB66" s="565"/>
      <c r="BC66" s="565"/>
      <c r="BD66" s="565"/>
      <c r="BE66" s="565"/>
      <c r="BF66" s="565"/>
      <c r="BG66" s="565"/>
      <c r="BH66" s="566"/>
      <c r="BI66" s="565"/>
      <c r="BJ66" s="565"/>
      <c r="BK66" s="565"/>
      <c r="BL66" s="565"/>
      <c r="BM66" s="565"/>
      <c r="BN66" s="565"/>
      <c r="BO66" s="565"/>
      <c r="BP66" s="566"/>
      <c r="BQ66" s="565"/>
      <c r="BR66" s="565"/>
      <c r="BS66" s="565"/>
      <c r="BT66" s="565"/>
      <c r="BU66" s="565"/>
      <c r="BV66" s="565"/>
      <c r="BW66" s="565"/>
      <c r="BX66" s="566"/>
      <c r="BY66" s="573"/>
    </row>
    <row r="67" spans="1:77" x14ac:dyDescent="0.25">
      <c r="A67" s="565"/>
      <c r="B67" s="565"/>
      <c r="C67" s="565"/>
      <c r="D67" s="565"/>
      <c r="E67" s="565"/>
      <c r="F67" s="565"/>
      <c r="G67" s="565"/>
      <c r="H67" s="565"/>
      <c r="I67" s="565"/>
      <c r="J67" s="565"/>
      <c r="K67" s="565"/>
      <c r="L67" s="565"/>
      <c r="M67" s="565"/>
      <c r="N67" s="565"/>
      <c r="O67" s="565"/>
      <c r="P67" s="565"/>
      <c r="Q67" s="565"/>
      <c r="R67" s="565"/>
      <c r="S67" s="565"/>
      <c r="T67" s="565"/>
      <c r="U67" s="565"/>
      <c r="V67" s="565"/>
      <c r="W67" s="565"/>
      <c r="X67" s="565"/>
      <c r="Y67" s="565"/>
      <c r="Z67" s="565"/>
      <c r="AA67" s="565"/>
      <c r="AB67" s="565"/>
      <c r="AC67" s="565"/>
      <c r="AD67" s="565"/>
      <c r="AE67" s="565"/>
      <c r="AF67" s="565"/>
      <c r="AG67" s="565"/>
      <c r="AH67" s="565"/>
      <c r="AI67" s="565"/>
      <c r="AJ67" s="565"/>
      <c r="AK67" s="565"/>
      <c r="AL67" s="565"/>
      <c r="AM67" s="565"/>
      <c r="AN67" s="565"/>
      <c r="AO67" s="565"/>
      <c r="AP67" s="565"/>
      <c r="AQ67" s="565"/>
      <c r="AR67" s="565"/>
      <c r="AS67" s="565"/>
      <c r="AT67" s="565"/>
      <c r="AU67" s="565"/>
      <c r="AV67" s="565"/>
      <c r="AW67" s="565"/>
      <c r="AX67" s="565"/>
      <c r="AY67" s="565"/>
      <c r="AZ67" s="565"/>
      <c r="BA67" s="565"/>
      <c r="BB67" s="565"/>
      <c r="BC67" s="565"/>
      <c r="BD67" s="565"/>
      <c r="BE67" s="565"/>
      <c r="BF67" s="565"/>
      <c r="BG67" s="565"/>
      <c r="BH67" s="565"/>
      <c r="BI67" s="565"/>
      <c r="BJ67" s="565"/>
      <c r="BK67" s="565"/>
      <c r="BL67" s="565"/>
      <c r="BM67" s="565"/>
      <c r="BN67" s="565"/>
      <c r="BO67" s="565"/>
      <c r="BP67" s="565"/>
      <c r="BQ67" s="565"/>
      <c r="BR67" s="565"/>
      <c r="BS67" s="565"/>
      <c r="BT67" s="565"/>
      <c r="BU67" s="565"/>
      <c r="BV67" s="565"/>
      <c r="BW67" s="565"/>
      <c r="BX67" s="565"/>
      <c r="BY67" s="573"/>
    </row>
    <row r="68" spans="1:77" x14ac:dyDescent="0.25">
      <c r="A68" s="565" t="str">
        <f>IF($C68=1,1+COUNTIF(A67:A$69,"&gt;0"),"")</f>
        <v/>
      </c>
      <c r="B68" s="565"/>
      <c r="C68" s="565"/>
      <c r="D68" s="600">
        <f>S03_Druid!E68</f>
        <v>0</v>
      </c>
      <c r="E68" s="600">
        <f>D68+SUM(C69:C98)</f>
        <v>5</v>
      </c>
      <c r="F68" s="565"/>
      <c r="G68" s="565"/>
      <c r="H68" s="565"/>
      <c r="I68" s="565"/>
      <c r="J68" s="565"/>
      <c r="K68" s="565"/>
      <c r="L68" s="565"/>
      <c r="M68" s="600">
        <f>S03_Druid!N68</f>
        <v>0</v>
      </c>
      <c r="N68" s="600">
        <f>M68+SUM(L69:L98)</f>
        <v>2</v>
      </c>
      <c r="O68" s="565"/>
      <c r="P68" s="565"/>
      <c r="Q68" s="565"/>
      <c r="R68" s="565"/>
      <c r="S68" s="565"/>
      <c r="T68" s="565"/>
      <c r="U68" s="565"/>
      <c r="V68" s="600">
        <f>S03_Druid!W68</f>
        <v>0</v>
      </c>
      <c r="W68" s="600">
        <f>V68+SUM(U69:U98)</f>
        <v>0</v>
      </c>
      <c r="X68" s="565"/>
      <c r="Y68" s="565"/>
      <c r="Z68" s="565"/>
      <c r="AA68" s="565"/>
      <c r="AB68" s="565"/>
      <c r="AC68" s="565"/>
      <c r="AD68" s="565"/>
      <c r="AE68" s="600">
        <f>S03_Druid!AF68</f>
        <v>0</v>
      </c>
      <c r="AF68" s="600">
        <f>AE68+SUM(AD69:AD98)</f>
        <v>0</v>
      </c>
      <c r="AG68" s="565"/>
      <c r="AH68" s="565"/>
      <c r="AI68" s="565"/>
      <c r="AJ68" s="565"/>
      <c r="AK68" s="565"/>
      <c r="AL68" s="565"/>
      <c r="AM68" s="565"/>
      <c r="AN68" s="565"/>
      <c r="AO68" s="565"/>
      <c r="AP68" s="565"/>
      <c r="AQ68" s="565"/>
      <c r="AR68" s="565"/>
      <c r="AS68" s="565"/>
      <c r="AT68" s="565"/>
      <c r="AU68" s="565"/>
      <c r="AV68" s="565"/>
      <c r="AW68" s="565"/>
      <c r="AX68" s="565"/>
      <c r="AY68" s="565"/>
      <c r="AZ68" s="565"/>
      <c r="BA68" s="565"/>
      <c r="BB68" s="565"/>
      <c r="BC68" s="565"/>
      <c r="BD68" s="565"/>
      <c r="BE68" s="565"/>
      <c r="BF68" s="565"/>
      <c r="BG68" s="565"/>
      <c r="BH68" s="565"/>
      <c r="BI68" s="565"/>
      <c r="BJ68" s="565"/>
      <c r="BK68" s="565"/>
      <c r="BL68" s="565"/>
      <c r="BM68" s="565"/>
      <c r="BN68" s="565"/>
      <c r="BO68" s="565"/>
      <c r="BP68" s="565"/>
      <c r="BQ68" s="565"/>
      <c r="BR68" s="565"/>
      <c r="BS68" s="565"/>
      <c r="BT68" s="565"/>
      <c r="BU68" s="565"/>
      <c r="BV68" s="565"/>
      <c r="BW68" s="565"/>
      <c r="BX68" s="565"/>
      <c r="BY68" s="573"/>
    </row>
    <row r="69" spans="1:77" x14ac:dyDescent="0.25">
      <c r="A69" t="str">
        <f>IF($C69=3,1+COUNTIF(A68:A$69,"&gt;0"),"")</f>
        <v/>
      </c>
      <c r="B69" s="574">
        <v>1</v>
      </c>
      <c r="C69">
        <f t="shared" ref="C69:C98" si="20">IF(SpellcastingEK,IF(C6&lt;&gt;"",1,0),0)</f>
        <v>1</v>
      </c>
      <c r="D69">
        <f>IF(C69=0,0,1)</f>
        <v>1</v>
      </c>
      <c r="E69">
        <f>IF(D69=0,0,D69+D$68)</f>
        <v>1</v>
      </c>
      <c r="F69" t="str">
        <f>IF(C69=1,"Eldritch Knight","")</f>
        <v>Eldritch Knight</v>
      </c>
      <c r="G69" t="s">
        <v>6545</v>
      </c>
      <c r="H69" t="s">
        <v>6545</v>
      </c>
      <c r="I69" t="s">
        <v>6545</v>
      </c>
      <c r="J69" t="s">
        <v>6545</v>
      </c>
      <c r="K69" s="602">
        <v>1</v>
      </c>
      <c r="L69">
        <f t="shared" ref="L69:L98" si="21">IF(SpellcastingEK,IF(L6&lt;&gt;"",1,0),0)</f>
        <v>1</v>
      </c>
      <c r="M69">
        <f>IF(L69=0,0,1)</f>
        <v>1</v>
      </c>
      <c r="N69">
        <f>IF(M69=0,0,M69+M$68)</f>
        <v>1</v>
      </c>
      <c r="O69" t="str">
        <f>IF(L69=1,"Eldritch Knight","")</f>
        <v>Eldritch Knight</v>
      </c>
      <c r="P69" t="s">
        <v>6545</v>
      </c>
      <c r="Q69" t="s">
        <v>6545</v>
      </c>
      <c r="R69" t="s">
        <v>6545</v>
      </c>
      <c r="S69" t="s">
        <v>6545</v>
      </c>
      <c r="T69" s="602">
        <v>1</v>
      </c>
      <c r="U69">
        <f t="shared" ref="U69:U98" si="22">IF(SpellcastingEK,IF(U6&lt;&gt;"",1,0),0)</f>
        <v>0</v>
      </c>
      <c r="V69">
        <f>IF(U69=0,0,1)</f>
        <v>0</v>
      </c>
      <c r="W69">
        <f>IF(V69=0,0,V69+V$68)</f>
        <v>0</v>
      </c>
      <c r="X69" t="str">
        <f>IF(U69=1,"Eldritch Knight","")</f>
        <v/>
      </c>
      <c r="Y69" t="s">
        <v>6545</v>
      </c>
      <c r="Z69" t="s">
        <v>6545</v>
      </c>
      <c r="AA69" t="s">
        <v>6545</v>
      </c>
      <c r="AB69" t="s">
        <v>6545</v>
      </c>
      <c r="AC69" s="602">
        <v>1</v>
      </c>
      <c r="AD69">
        <f t="shared" ref="AD69:AD98" si="23">IF(SpellcastingEK,IF(AD6&lt;&gt;"",1,0),0)</f>
        <v>0</v>
      </c>
      <c r="AE69">
        <f>IF(AD69=0,0,1)</f>
        <v>0</v>
      </c>
      <c r="AF69">
        <f>IF(AE69=0,0,AE69+AE$68)</f>
        <v>0</v>
      </c>
      <c r="AG69" t="str">
        <f>IF(AD69=1,"Eldritch Knight","")</f>
        <v/>
      </c>
      <c r="AH69" t="s">
        <v>6545</v>
      </c>
      <c r="AI69" t="s">
        <v>6545</v>
      </c>
      <c r="AJ69" t="s">
        <v>6545</v>
      </c>
      <c r="AK69" t="s">
        <v>6545</v>
      </c>
    </row>
    <row r="70" spans="1:77" x14ac:dyDescent="0.25">
      <c r="A70" t="str">
        <f>IF($C70=3,1+COUNTIF(A$69:A69,"&gt;0"),"")</f>
        <v/>
      </c>
      <c r="B70" s="574">
        <v>2</v>
      </c>
      <c r="C70">
        <f t="shared" si="20"/>
        <v>1</v>
      </c>
      <c r="D70">
        <f>IF(C70=0,0,1+MAX(D69:D$69))</f>
        <v>2</v>
      </c>
      <c r="E70">
        <f t="shared" ref="E70:E98" si="24">IF(D70=0,0,D70+D$68)</f>
        <v>2</v>
      </c>
      <c r="F70" t="str">
        <f t="shared" ref="F70:F98" si="25">IF(C70=1,"Eldritch Knight","")</f>
        <v>Eldritch Knight</v>
      </c>
      <c r="G70" t="str">
        <f t="shared" ref="G70:G98" si="26">IF(C70=1,"P","")</f>
        <v>P</v>
      </c>
      <c r="H70" t="str">
        <f>IF($C70=4,1+COUNTIF(H69:H$69,"&gt;0"),"")</f>
        <v/>
      </c>
      <c r="J70" t="str">
        <f>IF($C70=5,1+COUNTIF(J69:J$69,"&gt;0"),"")</f>
        <v/>
      </c>
      <c r="K70" s="602">
        <v>2</v>
      </c>
      <c r="L70">
        <f t="shared" si="21"/>
        <v>1</v>
      </c>
      <c r="M70">
        <f>IF(L70=0,0,1+MAX(M69:M$69))</f>
        <v>2</v>
      </c>
      <c r="N70">
        <f t="shared" ref="N70:N98" si="27">IF(M70=0,0,M70+M$68)</f>
        <v>2</v>
      </c>
      <c r="O70" t="str">
        <f t="shared" ref="O70:O98" si="28">IF(L70=1,"Eldritch Knight","")</f>
        <v>Eldritch Knight</v>
      </c>
      <c r="P70" t="str">
        <f t="shared" ref="P70:P98" si="29">IF(L70=1,"P","")</f>
        <v>P</v>
      </c>
      <c r="Q70" t="str">
        <f>IF($C70=4,1+COUNTIF(Q69:Q$69,"&gt;0"),"")</f>
        <v/>
      </c>
      <c r="S70" t="str">
        <f>IF($C70=5,1+COUNTIF(S69:S$69,"&gt;0"),"")</f>
        <v/>
      </c>
      <c r="T70" s="602">
        <v>2</v>
      </c>
      <c r="U70">
        <f t="shared" si="22"/>
        <v>0</v>
      </c>
      <c r="V70">
        <f>IF(U70=0,0,1+MAX(V69:V$69))</f>
        <v>0</v>
      </c>
      <c r="W70">
        <f t="shared" ref="W70:W98" si="30">IF(V70=0,0,V70+V$68)</f>
        <v>0</v>
      </c>
      <c r="X70" t="str">
        <f t="shared" ref="X70:X98" si="31">IF(U70=1,"Eldritch Knight","")</f>
        <v/>
      </c>
      <c r="Y70" t="str">
        <f t="shared" ref="Y70:Y98" si="32">IF(U70=1,"P","")</f>
        <v/>
      </c>
      <c r="Z70" t="str">
        <f>IF($C70=4,1+COUNTIF(Z69:Z$69,"&gt;0"),"")</f>
        <v/>
      </c>
      <c r="AB70" t="str">
        <f>IF($C70=5,1+COUNTIF(AB69:AB$69,"&gt;0"),"")</f>
        <v/>
      </c>
      <c r="AC70" s="602">
        <v>2</v>
      </c>
      <c r="AD70">
        <f t="shared" si="23"/>
        <v>0</v>
      </c>
      <c r="AE70">
        <f>IF(AD70=0,0,1+MAX(AE69:AE$69))</f>
        <v>0</v>
      </c>
      <c r="AF70">
        <f t="shared" ref="AF70:AF98" si="33">IF(AE70=0,0,AE70+AE$68)</f>
        <v>0</v>
      </c>
      <c r="AG70" t="str">
        <f t="shared" ref="AG70:AG98" si="34">IF(AD70=1,"Eldritch Knight","")</f>
        <v/>
      </c>
      <c r="AH70" t="str">
        <f t="shared" ref="AH70:AH98" si="35">IF(AD70=1,"P","")</f>
        <v/>
      </c>
      <c r="AI70" t="str">
        <f>IF($C70=4,1+COUNTIF(AI69:AI$69,"&gt;0"),"")</f>
        <v/>
      </c>
      <c r="AK70" t="str">
        <f>IF($C70=5,1+COUNTIF(AK69:AK$69,"&gt;0"),"")</f>
        <v/>
      </c>
    </row>
    <row r="71" spans="1:77" x14ac:dyDescent="0.25">
      <c r="A71" t="str">
        <f>IF($C71=3,1+COUNTIF(A$69:A70,"&gt;0"),"")</f>
        <v/>
      </c>
      <c r="B71" s="574">
        <v>3</v>
      </c>
      <c r="C71">
        <f t="shared" si="20"/>
        <v>1</v>
      </c>
      <c r="D71">
        <f>IF(C71=0,0,1+MAX(D$69:D70))</f>
        <v>3</v>
      </c>
      <c r="E71">
        <f t="shared" si="24"/>
        <v>3</v>
      </c>
      <c r="F71" t="str">
        <f t="shared" si="25"/>
        <v>Eldritch Knight</v>
      </c>
      <c r="G71" t="str">
        <f t="shared" si="26"/>
        <v>P</v>
      </c>
      <c r="H71" t="str">
        <f>IF($C71=4,1+COUNTIF(H$69:H70,"&gt;0"),"")</f>
        <v/>
      </c>
      <c r="J71" t="str">
        <f>IF($C71=5,1+COUNTIF(J$69:J70,"&gt;0"),"")</f>
        <v/>
      </c>
      <c r="K71" s="602">
        <v>3</v>
      </c>
      <c r="L71">
        <f t="shared" si="21"/>
        <v>0</v>
      </c>
      <c r="M71">
        <f>IF(L71=0,0,1+MAX(M$69:M70))</f>
        <v>0</v>
      </c>
      <c r="N71">
        <f t="shared" si="27"/>
        <v>0</v>
      </c>
      <c r="O71" t="str">
        <f t="shared" si="28"/>
        <v/>
      </c>
      <c r="P71" t="str">
        <f t="shared" si="29"/>
        <v/>
      </c>
      <c r="Q71" t="str">
        <f>IF($C71=4,1+COUNTIF(Q$69:Q70,"&gt;0"),"")</f>
        <v/>
      </c>
      <c r="S71" t="str">
        <f>IF($C71=5,1+COUNTIF(S$69:S70,"&gt;0"),"")</f>
        <v/>
      </c>
      <c r="T71" s="602">
        <v>3</v>
      </c>
      <c r="U71">
        <f t="shared" si="22"/>
        <v>0</v>
      </c>
      <c r="V71">
        <f>IF(U71=0,0,1+MAX(V$69:V70))</f>
        <v>0</v>
      </c>
      <c r="W71">
        <f t="shared" si="30"/>
        <v>0</v>
      </c>
      <c r="X71" t="str">
        <f t="shared" si="31"/>
        <v/>
      </c>
      <c r="Y71" t="str">
        <f t="shared" si="32"/>
        <v/>
      </c>
      <c r="Z71" t="str">
        <f>IF($C71=4,1+COUNTIF(Z$69:Z70,"&gt;0"),"")</f>
        <v/>
      </c>
      <c r="AB71" t="str">
        <f>IF($C71=5,1+COUNTIF(AB$69:AB70,"&gt;0"),"")</f>
        <v/>
      </c>
      <c r="AC71" s="602">
        <v>3</v>
      </c>
      <c r="AD71">
        <f t="shared" si="23"/>
        <v>0</v>
      </c>
      <c r="AE71">
        <f>IF(AD71=0,0,1+MAX(AE$69:AE70))</f>
        <v>0</v>
      </c>
      <c r="AF71">
        <f t="shared" si="33"/>
        <v>0</v>
      </c>
      <c r="AG71" t="str">
        <f t="shared" si="34"/>
        <v/>
      </c>
      <c r="AH71" t="str">
        <f t="shared" si="35"/>
        <v/>
      </c>
      <c r="AI71" t="str">
        <f>IF($C71=4,1+COUNTIF(AI$69:AI70,"&gt;0"),"")</f>
        <v/>
      </c>
      <c r="AK71" t="str">
        <f>IF($C71=5,1+COUNTIF(AK$69:AK70,"&gt;0"),"")</f>
        <v/>
      </c>
    </row>
    <row r="72" spans="1:77" x14ac:dyDescent="0.25">
      <c r="A72" t="str">
        <f>IF($C72=3,1+COUNTIF(A$69:A71,"&gt;0"),"")</f>
        <v/>
      </c>
      <c r="B72" s="574">
        <v>4</v>
      </c>
      <c r="C72">
        <f t="shared" si="20"/>
        <v>1</v>
      </c>
      <c r="D72">
        <f>IF(C72=0,0,1+MAX(D$69:D71))</f>
        <v>4</v>
      </c>
      <c r="E72">
        <f t="shared" si="24"/>
        <v>4</v>
      </c>
      <c r="F72" t="str">
        <f t="shared" si="25"/>
        <v>Eldritch Knight</v>
      </c>
      <c r="G72" t="str">
        <f t="shared" si="26"/>
        <v>P</v>
      </c>
      <c r="H72" t="str">
        <f>IF($C72=4,1+COUNTIF(H$69:H71,"&gt;0"),"")</f>
        <v/>
      </c>
      <c r="J72" t="str">
        <f>IF($C72=5,1+COUNTIF(J$69:J71,"&gt;0"),"")</f>
        <v/>
      </c>
      <c r="K72" s="602">
        <v>4</v>
      </c>
      <c r="L72">
        <f t="shared" si="21"/>
        <v>0</v>
      </c>
      <c r="M72">
        <f>IF(L72=0,0,1+MAX(M$69:M71))</f>
        <v>0</v>
      </c>
      <c r="N72">
        <f t="shared" si="27"/>
        <v>0</v>
      </c>
      <c r="O72" t="str">
        <f t="shared" si="28"/>
        <v/>
      </c>
      <c r="P72" t="str">
        <f t="shared" si="29"/>
        <v/>
      </c>
      <c r="Q72" t="str">
        <f>IF($C72=4,1+COUNTIF(Q$69:Q71,"&gt;0"),"")</f>
        <v/>
      </c>
      <c r="S72" t="str">
        <f>IF($C72=5,1+COUNTIF(S$69:S71,"&gt;0"),"")</f>
        <v/>
      </c>
      <c r="T72" s="602">
        <v>4</v>
      </c>
      <c r="U72">
        <f t="shared" si="22"/>
        <v>0</v>
      </c>
      <c r="V72">
        <f>IF(U72=0,0,1+MAX(V$69:V71))</f>
        <v>0</v>
      </c>
      <c r="W72">
        <f t="shared" si="30"/>
        <v>0</v>
      </c>
      <c r="X72" t="str">
        <f t="shared" si="31"/>
        <v/>
      </c>
      <c r="Y72" t="str">
        <f t="shared" si="32"/>
        <v/>
      </c>
      <c r="Z72" t="str">
        <f>IF($C72=4,1+COUNTIF(Z$69:Z71,"&gt;0"),"")</f>
        <v/>
      </c>
      <c r="AB72" t="str">
        <f>IF($C72=5,1+COUNTIF(AB$69:AB71,"&gt;0"),"")</f>
        <v/>
      </c>
      <c r="AC72" s="602">
        <v>4</v>
      </c>
      <c r="AD72">
        <f t="shared" si="23"/>
        <v>0</v>
      </c>
      <c r="AE72">
        <f>IF(AD72=0,0,1+MAX(AE$69:AE71))</f>
        <v>0</v>
      </c>
      <c r="AF72">
        <f t="shared" si="33"/>
        <v>0</v>
      </c>
      <c r="AG72" t="str">
        <f t="shared" si="34"/>
        <v/>
      </c>
      <c r="AH72" t="str">
        <f t="shared" si="35"/>
        <v/>
      </c>
      <c r="AI72" t="str">
        <f>IF($C72=4,1+COUNTIF(AI$69:AI71,"&gt;0"),"")</f>
        <v/>
      </c>
      <c r="AK72" t="str">
        <f>IF($C72=5,1+COUNTIF(AK$69:AK71,"&gt;0"),"")</f>
        <v/>
      </c>
    </row>
    <row r="73" spans="1:77" x14ac:dyDescent="0.25">
      <c r="A73" t="str">
        <f>IF($C73=3,1+COUNTIF(A$69:A72,"&gt;0"),"")</f>
        <v/>
      </c>
      <c r="B73" s="574">
        <v>5</v>
      </c>
      <c r="C73">
        <f t="shared" si="20"/>
        <v>1</v>
      </c>
      <c r="D73">
        <f>IF(C73=0,0,1+MAX(D$69:D72))</f>
        <v>5</v>
      </c>
      <c r="E73">
        <f t="shared" si="24"/>
        <v>5</v>
      </c>
      <c r="F73" t="str">
        <f t="shared" si="25"/>
        <v>Eldritch Knight</v>
      </c>
      <c r="G73" t="str">
        <f t="shared" si="26"/>
        <v>P</v>
      </c>
      <c r="H73" t="str">
        <f>IF($C73=4,1+COUNTIF(H$69:H72,"&gt;0"),"")</f>
        <v/>
      </c>
      <c r="J73" t="str">
        <f>IF($C73=5,1+COUNTIF(J$69:J72,"&gt;0"),"")</f>
        <v/>
      </c>
      <c r="K73" s="602">
        <v>5</v>
      </c>
      <c r="L73">
        <f t="shared" si="21"/>
        <v>0</v>
      </c>
      <c r="M73">
        <f>IF(L73=0,0,1+MAX(M$69:M72))</f>
        <v>0</v>
      </c>
      <c r="N73">
        <f t="shared" si="27"/>
        <v>0</v>
      </c>
      <c r="O73" t="str">
        <f t="shared" si="28"/>
        <v/>
      </c>
      <c r="P73" t="str">
        <f t="shared" si="29"/>
        <v/>
      </c>
      <c r="Q73" t="str">
        <f>IF($C73=4,1+COUNTIF(Q$69:Q72,"&gt;0"),"")</f>
        <v/>
      </c>
      <c r="S73" t="str">
        <f>IF($C73=5,1+COUNTIF(S$69:S72,"&gt;0"),"")</f>
        <v/>
      </c>
      <c r="T73" s="602">
        <v>5</v>
      </c>
      <c r="U73">
        <f t="shared" si="22"/>
        <v>0</v>
      </c>
      <c r="V73">
        <f>IF(U73=0,0,1+MAX(V$69:V72))</f>
        <v>0</v>
      </c>
      <c r="W73">
        <f t="shared" si="30"/>
        <v>0</v>
      </c>
      <c r="X73" t="str">
        <f t="shared" si="31"/>
        <v/>
      </c>
      <c r="Y73" t="str">
        <f t="shared" si="32"/>
        <v/>
      </c>
      <c r="Z73" t="str">
        <f>IF($C73=4,1+COUNTIF(Z$69:Z72,"&gt;0"),"")</f>
        <v/>
      </c>
      <c r="AB73" t="str">
        <f>IF($C73=5,1+COUNTIF(AB$69:AB72,"&gt;0"),"")</f>
        <v/>
      </c>
      <c r="AC73" s="602">
        <v>5</v>
      </c>
      <c r="AD73">
        <f t="shared" si="23"/>
        <v>0</v>
      </c>
      <c r="AE73">
        <f>IF(AD73=0,0,1+MAX(AE$69:AE72))</f>
        <v>0</v>
      </c>
      <c r="AF73">
        <f t="shared" si="33"/>
        <v>0</v>
      </c>
      <c r="AG73" t="str">
        <f t="shared" si="34"/>
        <v/>
      </c>
      <c r="AH73" t="str">
        <f t="shared" si="35"/>
        <v/>
      </c>
      <c r="AI73" t="str">
        <f>IF($C73=4,1+COUNTIF(AI$69:AI72,"&gt;0"),"")</f>
        <v/>
      </c>
      <c r="AK73" t="str">
        <f>IF($C73=5,1+COUNTIF(AK$69:AK72,"&gt;0"),"")</f>
        <v/>
      </c>
    </row>
    <row r="74" spans="1:77" x14ac:dyDescent="0.25">
      <c r="A74" t="str">
        <f>IF($C74=3,1+COUNTIF(A$69:A73,"&gt;0"),"")</f>
        <v/>
      </c>
      <c r="B74" s="574">
        <v>6</v>
      </c>
      <c r="C74">
        <f t="shared" si="20"/>
        <v>0</v>
      </c>
      <c r="D74">
        <f>IF(C74=0,0,1+MAX(D$69:D73))</f>
        <v>0</v>
      </c>
      <c r="E74">
        <f t="shared" si="24"/>
        <v>0</v>
      </c>
      <c r="F74" t="str">
        <f t="shared" si="25"/>
        <v/>
      </c>
      <c r="G74" t="str">
        <f t="shared" si="26"/>
        <v/>
      </c>
      <c r="H74" t="str">
        <f>IF($C74=4,1+COUNTIF(H$69:H73,"&gt;0"),"")</f>
        <v/>
      </c>
      <c r="J74" t="str">
        <f>IF($C74=5,1+COUNTIF(J$69:J73,"&gt;0"),"")</f>
        <v/>
      </c>
      <c r="K74" s="602">
        <v>6</v>
      </c>
      <c r="L74">
        <f t="shared" si="21"/>
        <v>0</v>
      </c>
      <c r="M74">
        <f>IF(L74=0,0,1+MAX(M$69:M73))</f>
        <v>0</v>
      </c>
      <c r="N74">
        <f t="shared" si="27"/>
        <v>0</v>
      </c>
      <c r="O74" t="str">
        <f t="shared" si="28"/>
        <v/>
      </c>
      <c r="P74" t="str">
        <f t="shared" si="29"/>
        <v/>
      </c>
      <c r="Q74" t="str">
        <f>IF($C74=4,1+COUNTIF(Q$69:Q73,"&gt;0"),"")</f>
        <v/>
      </c>
      <c r="S74" t="str">
        <f>IF($C74=5,1+COUNTIF(S$69:S73,"&gt;0"),"")</f>
        <v/>
      </c>
      <c r="T74" s="602">
        <v>6</v>
      </c>
      <c r="U74">
        <f t="shared" si="22"/>
        <v>0</v>
      </c>
      <c r="V74">
        <f>IF(U74=0,0,1+MAX(V$69:V73))</f>
        <v>0</v>
      </c>
      <c r="W74">
        <f t="shared" si="30"/>
        <v>0</v>
      </c>
      <c r="X74" t="str">
        <f t="shared" si="31"/>
        <v/>
      </c>
      <c r="Y74" t="str">
        <f t="shared" si="32"/>
        <v/>
      </c>
      <c r="Z74" t="str">
        <f>IF($C74=4,1+COUNTIF(Z$69:Z73,"&gt;0"),"")</f>
        <v/>
      </c>
      <c r="AB74" t="str">
        <f>IF($C74=5,1+COUNTIF(AB$69:AB73,"&gt;0"),"")</f>
        <v/>
      </c>
      <c r="AC74" s="602">
        <v>6</v>
      </c>
      <c r="AD74">
        <f t="shared" si="23"/>
        <v>0</v>
      </c>
      <c r="AE74">
        <f>IF(AD74=0,0,1+MAX(AE$69:AE73))</f>
        <v>0</v>
      </c>
      <c r="AF74">
        <f t="shared" si="33"/>
        <v>0</v>
      </c>
      <c r="AG74" t="str">
        <f t="shared" si="34"/>
        <v/>
      </c>
      <c r="AH74" t="str">
        <f t="shared" si="35"/>
        <v/>
      </c>
      <c r="AI74" t="str">
        <f>IF($C74=4,1+COUNTIF(AI$69:AI73,"&gt;0"),"")</f>
        <v/>
      </c>
      <c r="AK74" t="str">
        <f>IF($C74=5,1+COUNTIF(AK$69:AK73,"&gt;0"),"")</f>
        <v/>
      </c>
    </row>
    <row r="75" spans="1:77" x14ac:dyDescent="0.25">
      <c r="A75" t="str">
        <f>IF($C75=3,1+COUNTIF(A$69:A74,"&gt;0"),"")</f>
        <v/>
      </c>
      <c r="B75" s="574">
        <v>7</v>
      </c>
      <c r="C75">
        <f t="shared" si="20"/>
        <v>0</v>
      </c>
      <c r="D75">
        <f>IF(C75=0,0,1+MAX(D$69:D74))</f>
        <v>0</v>
      </c>
      <c r="E75">
        <f t="shared" si="24"/>
        <v>0</v>
      </c>
      <c r="F75" t="str">
        <f t="shared" si="25"/>
        <v/>
      </c>
      <c r="G75" t="str">
        <f t="shared" si="26"/>
        <v/>
      </c>
      <c r="H75" t="str">
        <f>IF($C75=4,1+COUNTIF(H$69:H74,"&gt;0"),"")</f>
        <v/>
      </c>
      <c r="J75" t="str">
        <f>IF($C75=5,1+COUNTIF(J$69:J74,"&gt;0"),"")</f>
        <v/>
      </c>
      <c r="K75" s="602">
        <v>7</v>
      </c>
      <c r="L75">
        <f t="shared" si="21"/>
        <v>0</v>
      </c>
      <c r="M75">
        <f>IF(L75=0,0,1+MAX(M$69:M74))</f>
        <v>0</v>
      </c>
      <c r="N75">
        <f t="shared" si="27"/>
        <v>0</v>
      </c>
      <c r="O75" t="str">
        <f t="shared" si="28"/>
        <v/>
      </c>
      <c r="P75" t="str">
        <f t="shared" si="29"/>
        <v/>
      </c>
      <c r="Q75" t="str">
        <f>IF($C75=4,1+COUNTIF(Q$69:Q74,"&gt;0"),"")</f>
        <v/>
      </c>
      <c r="S75" t="str">
        <f>IF($C75=5,1+COUNTIF(S$69:S74,"&gt;0"),"")</f>
        <v/>
      </c>
      <c r="T75" s="602">
        <v>7</v>
      </c>
      <c r="U75">
        <f t="shared" si="22"/>
        <v>0</v>
      </c>
      <c r="V75">
        <f>IF(U75=0,0,1+MAX(V$69:V74))</f>
        <v>0</v>
      </c>
      <c r="W75">
        <f t="shared" si="30"/>
        <v>0</v>
      </c>
      <c r="X75" t="str">
        <f t="shared" si="31"/>
        <v/>
      </c>
      <c r="Y75" t="str">
        <f t="shared" si="32"/>
        <v/>
      </c>
      <c r="Z75" t="str">
        <f>IF($C75=4,1+COUNTIF(Z$69:Z74,"&gt;0"),"")</f>
        <v/>
      </c>
      <c r="AB75" t="str">
        <f>IF($C75=5,1+COUNTIF(AB$69:AB74,"&gt;0"),"")</f>
        <v/>
      </c>
      <c r="AC75" s="602">
        <v>7</v>
      </c>
      <c r="AD75">
        <f t="shared" si="23"/>
        <v>0</v>
      </c>
      <c r="AE75">
        <f>IF(AD75=0,0,1+MAX(AE$69:AE74))</f>
        <v>0</v>
      </c>
      <c r="AF75">
        <f t="shared" si="33"/>
        <v>0</v>
      </c>
      <c r="AG75" t="str">
        <f t="shared" si="34"/>
        <v/>
      </c>
      <c r="AH75" t="str">
        <f t="shared" si="35"/>
        <v/>
      </c>
      <c r="AI75" t="str">
        <f>IF($C75=4,1+COUNTIF(AI$69:AI74,"&gt;0"),"")</f>
        <v/>
      </c>
      <c r="AK75" t="str">
        <f>IF($C75=5,1+COUNTIF(AK$69:AK74,"&gt;0"),"")</f>
        <v/>
      </c>
    </row>
    <row r="76" spans="1:77" x14ac:dyDescent="0.25">
      <c r="A76" t="str">
        <f>IF($C76=3,1+COUNTIF(A$69:A75,"&gt;0"),"")</f>
        <v/>
      </c>
      <c r="B76" s="574">
        <v>8</v>
      </c>
      <c r="C76">
        <f t="shared" si="20"/>
        <v>0</v>
      </c>
      <c r="D76">
        <f>IF(C76=0,0,1+MAX(D$69:D75))</f>
        <v>0</v>
      </c>
      <c r="E76">
        <f t="shared" si="24"/>
        <v>0</v>
      </c>
      <c r="F76" t="str">
        <f t="shared" si="25"/>
        <v/>
      </c>
      <c r="G76" t="str">
        <f t="shared" si="26"/>
        <v/>
      </c>
      <c r="H76" t="str">
        <f>IF($C76=4,1+COUNTIF(H$69:H75,"&gt;0"),"")</f>
        <v/>
      </c>
      <c r="J76" t="str">
        <f>IF($C76=5,1+COUNTIF(J$69:J75,"&gt;0"),"")</f>
        <v/>
      </c>
      <c r="K76" s="602">
        <v>8</v>
      </c>
      <c r="L76">
        <f t="shared" si="21"/>
        <v>0</v>
      </c>
      <c r="M76">
        <f>IF(L76=0,0,1+MAX(M$69:M75))</f>
        <v>0</v>
      </c>
      <c r="N76">
        <f t="shared" si="27"/>
        <v>0</v>
      </c>
      <c r="O76" t="str">
        <f t="shared" si="28"/>
        <v/>
      </c>
      <c r="P76" t="str">
        <f t="shared" si="29"/>
        <v/>
      </c>
      <c r="Q76" t="str">
        <f>IF($C76=4,1+COUNTIF(Q$69:Q75,"&gt;0"),"")</f>
        <v/>
      </c>
      <c r="S76" t="str">
        <f>IF($C76=5,1+COUNTIF(S$69:S75,"&gt;0"),"")</f>
        <v/>
      </c>
      <c r="T76" s="602">
        <v>8</v>
      </c>
      <c r="U76">
        <f t="shared" si="22"/>
        <v>0</v>
      </c>
      <c r="V76">
        <f>IF(U76=0,0,1+MAX(V$69:V75))</f>
        <v>0</v>
      </c>
      <c r="W76">
        <f t="shared" si="30"/>
        <v>0</v>
      </c>
      <c r="X76" t="str">
        <f t="shared" si="31"/>
        <v/>
      </c>
      <c r="Y76" t="str">
        <f t="shared" si="32"/>
        <v/>
      </c>
      <c r="Z76" t="str">
        <f>IF($C76=4,1+COUNTIF(Z$69:Z75,"&gt;0"),"")</f>
        <v/>
      </c>
      <c r="AB76" t="str">
        <f>IF($C76=5,1+COUNTIF(AB$69:AB75,"&gt;0"),"")</f>
        <v/>
      </c>
      <c r="AC76" s="602">
        <v>8</v>
      </c>
      <c r="AD76">
        <f t="shared" si="23"/>
        <v>0</v>
      </c>
      <c r="AE76">
        <f>IF(AD76=0,0,1+MAX(AE$69:AE75))</f>
        <v>0</v>
      </c>
      <c r="AF76">
        <f t="shared" si="33"/>
        <v>0</v>
      </c>
      <c r="AG76" t="str">
        <f t="shared" si="34"/>
        <v/>
      </c>
      <c r="AH76" t="str">
        <f t="shared" si="35"/>
        <v/>
      </c>
      <c r="AI76" t="str">
        <f>IF($C76=4,1+COUNTIF(AI$69:AI75,"&gt;0"),"")</f>
        <v/>
      </c>
      <c r="AK76" t="str">
        <f>IF($C76=5,1+COUNTIF(AK$69:AK75,"&gt;0"),"")</f>
        <v/>
      </c>
    </row>
    <row r="77" spans="1:77" x14ac:dyDescent="0.25">
      <c r="A77" t="str">
        <f>IF($C77=3,1+COUNTIF(A$69:A76,"&gt;0"),"")</f>
        <v/>
      </c>
      <c r="B77" s="574">
        <v>9</v>
      </c>
      <c r="C77">
        <f t="shared" si="20"/>
        <v>0</v>
      </c>
      <c r="D77">
        <f>IF(C77=0,0,1+MAX(D$69:D76))</f>
        <v>0</v>
      </c>
      <c r="E77">
        <f t="shared" si="24"/>
        <v>0</v>
      </c>
      <c r="F77" t="str">
        <f t="shared" si="25"/>
        <v/>
      </c>
      <c r="G77" t="str">
        <f t="shared" si="26"/>
        <v/>
      </c>
      <c r="H77" t="str">
        <f>IF($C77=4,1+COUNTIF(H$69:H76,"&gt;0"),"")</f>
        <v/>
      </c>
      <c r="J77" t="str">
        <f>IF($C77=5,1+COUNTIF(J$69:J76,"&gt;0"),"")</f>
        <v/>
      </c>
      <c r="K77" s="602">
        <v>9</v>
      </c>
      <c r="L77">
        <f t="shared" si="21"/>
        <v>0</v>
      </c>
      <c r="M77">
        <f>IF(L77=0,0,1+MAX(M$69:M76))</f>
        <v>0</v>
      </c>
      <c r="N77">
        <f t="shared" si="27"/>
        <v>0</v>
      </c>
      <c r="O77" t="str">
        <f t="shared" si="28"/>
        <v/>
      </c>
      <c r="P77" t="str">
        <f t="shared" si="29"/>
        <v/>
      </c>
      <c r="Q77" t="str">
        <f>IF($C77=4,1+COUNTIF(Q$69:Q76,"&gt;0"),"")</f>
        <v/>
      </c>
      <c r="S77" t="str">
        <f>IF($C77=5,1+COUNTIF(S$69:S76,"&gt;0"),"")</f>
        <v/>
      </c>
      <c r="T77" s="602">
        <v>9</v>
      </c>
      <c r="U77">
        <f t="shared" si="22"/>
        <v>0</v>
      </c>
      <c r="V77">
        <f>IF(U77=0,0,1+MAX(V$69:V76))</f>
        <v>0</v>
      </c>
      <c r="W77">
        <f t="shared" si="30"/>
        <v>0</v>
      </c>
      <c r="X77" t="str">
        <f t="shared" si="31"/>
        <v/>
      </c>
      <c r="Y77" t="str">
        <f t="shared" si="32"/>
        <v/>
      </c>
      <c r="Z77" t="str">
        <f>IF($C77=4,1+COUNTIF(Z$69:Z76,"&gt;0"),"")</f>
        <v/>
      </c>
      <c r="AB77" t="str">
        <f>IF($C77=5,1+COUNTIF(AB$69:AB76,"&gt;0"),"")</f>
        <v/>
      </c>
      <c r="AC77" s="602">
        <v>9</v>
      </c>
      <c r="AD77">
        <f t="shared" si="23"/>
        <v>0</v>
      </c>
      <c r="AE77">
        <f>IF(AD77=0,0,1+MAX(AE$69:AE76))</f>
        <v>0</v>
      </c>
      <c r="AF77">
        <f t="shared" si="33"/>
        <v>0</v>
      </c>
      <c r="AG77" t="str">
        <f t="shared" si="34"/>
        <v/>
      </c>
      <c r="AH77" t="str">
        <f t="shared" si="35"/>
        <v/>
      </c>
      <c r="AI77" t="str">
        <f>IF($C77=4,1+COUNTIF(AI$69:AI76,"&gt;0"),"")</f>
        <v/>
      </c>
      <c r="AK77" t="str">
        <f>IF($C77=5,1+COUNTIF(AK$69:AK76,"&gt;0"),"")</f>
        <v/>
      </c>
    </row>
    <row r="78" spans="1:77" x14ac:dyDescent="0.25">
      <c r="A78" t="str">
        <f>IF($C78=3,1+COUNTIF(A$69:A77,"&gt;0"),"")</f>
        <v/>
      </c>
      <c r="B78" s="574">
        <v>10</v>
      </c>
      <c r="C78">
        <f t="shared" si="20"/>
        <v>0</v>
      </c>
      <c r="D78">
        <f>IF(C78=0,0,1+MAX(D$69:D77))</f>
        <v>0</v>
      </c>
      <c r="E78">
        <f t="shared" si="24"/>
        <v>0</v>
      </c>
      <c r="F78" t="str">
        <f t="shared" si="25"/>
        <v/>
      </c>
      <c r="G78" t="str">
        <f t="shared" si="26"/>
        <v/>
      </c>
      <c r="H78" t="str">
        <f>IF($C78=4,1+COUNTIF(H$69:H77,"&gt;0"),"")</f>
        <v/>
      </c>
      <c r="J78" t="str">
        <f>IF($C78=5,1+COUNTIF(J$69:J77,"&gt;0"),"")</f>
        <v/>
      </c>
      <c r="K78" s="602">
        <v>10</v>
      </c>
      <c r="L78">
        <f t="shared" si="21"/>
        <v>0</v>
      </c>
      <c r="M78">
        <f>IF(L78=0,0,1+MAX(M$69:M77))</f>
        <v>0</v>
      </c>
      <c r="N78">
        <f t="shared" si="27"/>
        <v>0</v>
      </c>
      <c r="O78" t="str">
        <f t="shared" si="28"/>
        <v/>
      </c>
      <c r="P78" t="str">
        <f t="shared" si="29"/>
        <v/>
      </c>
      <c r="Q78" t="str">
        <f>IF($C78=4,1+COUNTIF(Q$69:Q77,"&gt;0"),"")</f>
        <v/>
      </c>
      <c r="S78" t="str">
        <f>IF($C78=5,1+COUNTIF(S$69:S77,"&gt;0"),"")</f>
        <v/>
      </c>
      <c r="T78" s="602">
        <v>10</v>
      </c>
      <c r="U78">
        <f t="shared" si="22"/>
        <v>0</v>
      </c>
      <c r="V78">
        <f>IF(U78=0,0,1+MAX(V$69:V77))</f>
        <v>0</v>
      </c>
      <c r="W78">
        <f t="shared" si="30"/>
        <v>0</v>
      </c>
      <c r="X78" t="str">
        <f t="shared" si="31"/>
        <v/>
      </c>
      <c r="Y78" t="str">
        <f t="shared" si="32"/>
        <v/>
      </c>
      <c r="Z78" t="str">
        <f>IF($C78=4,1+COUNTIF(Z$69:Z77,"&gt;0"),"")</f>
        <v/>
      </c>
      <c r="AB78" t="str">
        <f>IF($C78=5,1+COUNTIF(AB$69:AB77,"&gt;0"),"")</f>
        <v/>
      </c>
      <c r="AC78" s="602">
        <v>10</v>
      </c>
      <c r="AD78">
        <f t="shared" si="23"/>
        <v>0</v>
      </c>
      <c r="AE78">
        <f>IF(AD78=0,0,1+MAX(AE$69:AE77))</f>
        <v>0</v>
      </c>
      <c r="AF78">
        <f t="shared" si="33"/>
        <v>0</v>
      </c>
      <c r="AG78" t="str">
        <f t="shared" si="34"/>
        <v/>
      </c>
      <c r="AH78" t="str">
        <f t="shared" si="35"/>
        <v/>
      </c>
      <c r="AI78" t="str">
        <f>IF($C78=4,1+COUNTIF(AI$69:AI77,"&gt;0"),"")</f>
        <v/>
      </c>
      <c r="AK78" t="str">
        <f>IF($C78=5,1+COUNTIF(AK$69:AK77,"&gt;0"),"")</f>
        <v/>
      </c>
    </row>
    <row r="79" spans="1:77" x14ac:dyDescent="0.25">
      <c r="A79" t="str">
        <f>IF($C79=3,1+COUNTIF(A$69:A78,"&gt;0"),"")</f>
        <v/>
      </c>
      <c r="B79" s="574">
        <v>11</v>
      </c>
      <c r="C79">
        <f t="shared" si="20"/>
        <v>0</v>
      </c>
      <c r="D79">
        <f>IF(C79=0,0,1+MAX(D$69:D78))</f>
        <v>0</v>
      </c>
      <c r="E79">
        <f t="shared" si="24"/>
        <v>0</v>
      </c>
      <c r="F79" t="str">
        <f t="shared" si="25"/>
        <v/>
      </c>
      <c r="G79" t="str">
        <f t="shared" si="26"/>
        <v/>
      </c>
      <c r="H79" t="str">
        <f>IF($C79=4,1+COUNTIF(H$69:H78,"&gt;0"),"")</f>
        <v/>
      </c>
      <c r="J79" t="str">
        <f>IF($C79=5,1+COUNTIF(J$69:J78,"&gt;0"),"")</f>
        <v/>
      </c>
      <c r="K79" s="602">
        <v>11</v>
      </c>
      <c r="L79">
        <f t="shared" si="21"/>
        <v>0</v>
      </c>
      <c r="M79">
        <f>IF(L79=0,0,1+MAX(M$69:M78))</f>
        <v>0</v>
      </c>
      <c r="N79">
        <f t="shared" si="27"/>
        <v>0</v>
      </c>
      <c r="O79" t="str">
        <f t="shared" si="28"/>
        <v/>
      </c>
      <c r="P79" t="str">
        <f t="shared" si="29"/>
        <v/>
      </c>
      <c r="Q79" t="str">
        <f>IF($C79=4,1+COUNTIF(Q$69:Q78,"&gt;0"),"")</f>
        <v/>
      </c>
      <c r="S79" t="str">
        <f>IF($C79=5,1+COUNTIF(S$69:S78,"&gt;0"),"")</f>
        <v/>
      </c>
      <c r="T79" s="602">
        <v>11</v>
      </c>
      <c r="U79">
        <f t="shared" si="22"/>
        <v>0</v>
      </c>
      <c r="V79">
        <f>IF(U79=0,0,1+MAX(V$69:V78))</f>
        <v>0</v>
      </c>
      <c r="W79">
        <f t="shared" si="30"/>
        <v>0</v>
      </c>
      <c r="X79" t="str">
        <f t="shared" si="31"/>
        <v/>
      </c>
      <c r="Y79" t="str">
        <f t="shared" si="32"/>
        <v/>
      </c>
      <c r="Z79" t="str">
        <f>IF($C79=4,1+COUNTIF(Z$69:Z78,"&gt;0"),"")</f>
        <v/>
      </c>
      <c r="AB79" t="str">
        <f>IF($C79=5,1+COUNTIF(AB$69:AB78,"&gt;0"),"")</f>
        <v/>
      </c>
      <c r="AC79" s="602">
        <v>11</v>
      </c>
      <c r="AD79">
        <f t="shared" si="23"/>
        <v>0</v>
      </c>
      <c r="AE79">
        <f>IF(AD79=0,0,1+MAX(AE$69:AE78))</f>
        <v>0</v>
      </c>
      <c r="AF79">
        <f t="shared" si="33"/>
        <v>0</v>
      </c>
      <c r="AG79" t="str">
        <f t="shared" si="34"/>
        <v/>
      </c>
      <c r="AH79" t="str">
        <f t="shared" si="35"/>
        <v/>
      </c>
      <c r="AI79" t="str">
        <f>IF($C79=4,1+COUNTIF(AI$69:AI78,"&gt;0"),"")</f>
        <v/>
      </c>
      <c r="AK79" t="str">
        <f>IF($C79=5,1+COUNTIF(AK$69:AK78,"&gt;0"),"")</f>
        <v/>
      </c>
    </row>
    <row r="80" spans="1:77" x14ac:dyDescent="0.25">
      <c r="B80" s="574">
        <v>12</v>
      </c>
      <c r="C80">
        <f t="shared" si="20"/>
        <v>0</v>
      </c>
      <c r="D80">
        <f>IF(C80=0,0,1+MAX(D$69:D79))</f>
        <v>0</v>
      </c>
      <c r="E80">
        <f t="shared" si="24"/>
        <v>0</v>
      </c>
      <c r="F80" t="str">
        <f t="shared" si="25"/>
        <v/>
      </c>
      <c r="G80" t="str">
        <f t="shared" si="26"/>
        <v/>
      </c>
      <c r="K80" s="602">
        <v>12</v>
      </c>
      <c r="L80">
        <f t="shared" si="21"/>
        <v>0</v>
      </c>
      <c r="M80">
        <f>IF(L80=0,0,1+MAX(M$69:M79))</f>
        <v>0</v>
      </c>
      <c r="N80">
        <f t="shared" si="27"/>
        <v>0</v>
      </c>
      <c r="O80" t="str">
        <f t="shared" si="28"/>
        <v/>
      </c>
      <c r="P80" t="str">
        <f t="shared" si="29"/>
        <v/>
      </c>
      <c r="T80" s="602">
        <v>12</v>
      </c>
      <c r="U80">
        <f t="shared" si="22"/>
        <v>0</v>
      </c>
      <c r="V80">
        <f>IF(U80=0,0,1+MAX(V$69:V79))</f>
        <v>0</v>
      </c>
      <c r="W80">
        <f t="shared" si="30"/>
        <v>0</v>
      </c>
      <c r="X80" t="str">
        <f t="shared" si="31"/>
        <v/>
      </c>
      <c r="Y80" t="str">
        <f t="shared" si="32"/>
        <v/>
      </c>
      <c r="AC80" s="602">
        <v>12</v>
      </c>
      <c r="AD80">
        <f t="shared" si="23"/>
        <v>0</v>
      </c>
      <c r="AE80">
        <f>IF(AD80=0,0,1+MAX(AE$69:AE79))</f>
        <v>0</v>
      </c>
      <c r="AF80">
        <f t="shared" si="33"/>
        <v>0</v>
      </c>
      <c r="AG80" t="str">
        <f t="shared" si="34"/>
        <v/>
      </c>
      <c r="AH80" t="str">
        <f t="shared" si="35"/>
        <v/>
      </c>
    </row>
    <row r="81" spans="2:34" x14ac:dyDescent="0.25">
      <c r="B81" s="574">
        <v>13</v>
      </c>
      <c r="C81">
        <f t="shared" si="20"/>
        <v>0</v>
      </c>
      <c r="D81">
        <f>IF(C81=0,0,1+MAX(D$69:D80))</f>
        <v>0</v>
      </c>
      <c r="E81">
        <f t="shared" si="24"/>
        <v>0</v>
      </c>
      <c r="F81" t="str">
        <f t="shared" si="25"/>
        <v/>
      </c>
      <c r="G81" t="str">
        <f t="shared" si="26"/>
        <v/>
      </c>
      <c r="K81" s="602">
        <v>13</v>
      </c>
      <c r="L81">
        <f t="shared" si="21"/>
        <v>0</v>
      </c>
      <c r="M81">
        <f>IF(L81=0,0,1+MAX(M$69:M80))</f>
        <v>0</v>
      </c>
      <c r="N81">
        <f t="shared" si="27"/>
        <v>0</v>
      </c>
      <c r="O81" t="str">
        <f t="shared" si="28"/>
        <v/>
      </c>
      <c r="P81" t="str">
        <f t="shared" si="29"/>
        <v/>
      </c>
      <c r="T81" s="602">
        <v>13</v>
      </c>
      <c r="U81">
        <f t="shared" si="22"/>
        <v>0</v>
      </c>
      <c r="V81">
        <f>IF(U81=0,0,1+MAX(V$69:V80))</f>
        <v>0</v>
      </c>
      <c r="W81">
        <f t="shared" si="30"/>
        <v>0</v>
      </c>
      <c r="X81" t="str">
        <f t="shared" si="31"/>
        <v/>
      </c>
      <c r="Y81" t="str">
        <f t="shared" si="32"/>
        <v/>
      </c>
      <c r="AC81" s="602">
        <v>13</v>
      </c>
      <c r="AD81">
        <f t="shared" si="23"/>
        <v>0</v>
      </c>
      <c r="AE81">
        <f>IF(AD81=0,0,1+MAX(AE$69:AE80))</f>
        <v>0</v>
      </c>
      <c r="AF81">
        <f t="shared" si="33"/>
        <v>0</v>
      </c>
      <c r="AG81" t="str">
        <f t="shared" si="34"/>
        <v/>
      </c>
      <c r="AH81" t="str">
        <f t="shared" si="35"/>
        <v/>
      </c>
    </row>
    <row r="82" spans="2:34" x14ac:dyDescent="0.25">
      <c r="B82" s="574">
        <v>14</v>
      </c>
      <c r="C82">
        <f t="shared" si="20"/>
        <v>0</v>
      </c>
      <c r="D82">
        <f>IF(C82=0,0,1+MAX(D$69:D81))</f>
        <v>0</v>
      </c>
      <c r="E82">
        <f t="shared" si="24"/>
        <v>0</v>
      </c>
      <c r="F82" t="str">
        <f t="shared" si="25"/>
        <v/>
      </c>
      <c r="G82" t="str">
        <f t="shared" si="26"/>
        <v/>
      </c>
      <c r="K82" s="602">
        <v>14</v>
      </c>
      <c r="L82">
        <f t="shared" si="21"/>
        <v>0</v>
      </c>
      <c r="M82">
        <f>IF(L82=0,0,1+MAX(M$69:M81))</f>
        <v>0</v>
      </c>
      <c r="N82">
        <f t="shared" si="27"/>
        <v>0</v>
      </c>
      <c r="O82" t="str">
        <f t="shared" si="28"/>
        <v/>
      </c>
      <c r="P82" t="str">
        <f t="shared" si="29"/>
        <v/>
      </c>
      <c r="T82" s="602">
        <v>14</v>
      </c>
      <c r="U82">
        <f t="shared" si="22"/>
        <v>0</v>
      </c>
      <c r="V82">
        <f>IF(U82=0,0,1+MAX(V$69:V81))</f>
        <v>0</v>
      </c>
      <c r="W82">
        <f t="shared" si="30"/>
        <v>0</v>
      </c>
      <c r="X82" t="str">
        <f t="shared" si="31"/>
        <v/>
      </c>
      <c r="Y82" t="str">
        <f t="shared" si="32"/>
        <v/>
      </c>
      <c r="AC82" s="602">
        <v>14</v>
      </c>
      <c r="AD82">
        <f t="shared" si="23"/>
        <v>0</v>
      </c>
      <c r="AE82">
        <f>IF(AD82=0,0,1+MAX(AE$69:AE81))</f>
        <v>0</v>
      </c>
      <c r="AF82">
        <f t="shared" si="33"/>
        <v>0</v>
      </c>
      <c r="AG82" t="str">
        <f t="shared" si="34"/>
        <v/>
      </c>
      <c r="AH82" t="str">
        <f t="shared" si="35"/>
        <v/>
      </c>
    </row>
    <row r="83" spans="2:34" x14ac:dyDescent="0.25">
      <c r="B83" s="574">
        <v>15</v>
      </c>
      <c r="C83">
        <f t="shared" si="20"/>
        <v>0</v>
      </c>
      <c r="D83">
        <f>IF(C83=0,0,1+MAX(D$69:D82))</f>
        <v>0</v>
      </c>
      <c r="E83">
        <f t="shared" si="24"/>
        <v>0</v>
      </c>
      <c r="F83" t="str">
        <f t="shared" si="25"/>
        <v/>
      </c>
      <c r="G83" t="str">
        <f t="shared" si="26"/>
        <v/>
      </c>
      <c r="K83" s="602">
        <v>15</v>
      </c>
      <c r="L83">
        <f t="shared" si="21"/>
        <v>0</v>
      </c>
      <c r="M83">
        <f>IF(L83=0,0,1+MAX(M$69:M82))</f>
        <v>0</v>
      </c>
      <c r="N83">
        <f t="shared" si="27"/>
        <v>0</v>
      </c>
      <c r="O83" t="str">
        <f t="shared" si="28"/>
        <v/>
      </c>
      <c r="P83" t="str">
        <f t="shared" si="29"/>
        <v/>
      </c>
      <c r="T83" s="602">
        <v>15</v>
      </c>
      <c r="U83">
        <f t="shared" si="22"/>
        <v>0</v>
      </c>
      <c r="V83">
        <f>IF(U83=0,0,1+MAX(V$69:V82))</f>
        <v>0</v>
      </c>
      <c r="W83">
        <f t="shared" si="30"/>
        <v>0</v>
      </c>
      <c r="X83" t="str">
        <f t="shared" si="31"/>
        <v/>
      </c>
      <c r="Y83" t="str">
        <f t="shared" si="32"/>
        <v/>
      </c>
      <c r="AC83" s="602">
        <v>15</v>
      </c>
      <c r="AD83">
        <f t="shared" si="23"/>
        <v>0</v>
      </c>
      <c r="AE83">
        <f>IF(AD83=0,0,1+MAX(AE$69:AE82))</f>
        <v>0</v>
      </c>
      <c r="AF83">
        <f t="shared" si="33"/>
        <v>0</v>
      </c>
      <c r="AG83" t="str">
        <f t="shared" si="34"/>
        <v/>
      </c>
      <c r="AH83" t="str">
        <f t="shared" si="35"/>
        <v/>
      </c>
    </row>
    <row r="84" spans="2:34" x14ac:dyDescent="0.25">
      <c r="B84" s="574">
        <v>16</v>
      </c>
      <c r="C84">
        <f t="shared" si="20"/>
        <v>0</v>
      </c>
      <c r="D84">
        <f>IF(C84=0,0,1+MAX(D$69:D83))</f>
        <v>0</v>
      </c>
      <c r="E84">
        <f t="shared" si="24"/>
        <v>0</v>
      </c>
      <c r="F84" t="str">
        <f t="shared" si="25"/>
        <v/>
      </c>
      <c r="G84" t="str">
        <f t="shared" si="26"/>
        <v/>
      </c>
      <c r="K84" s="602">
        <v>16</v>
      </c>
      <c r="L84">
        <f t="shared" si="21"/>
        <v>0</v>
      </c>
      <c r="M84">
        <f>IF(L84=0,0,1+MAX(M$69:M83))</f>
        <v>0</v>
      </c>
      <c r="N84">
        <f t="shared" si="27"/>
        <v>0</v>
      </c>
      <c r="O84" t="str">
        <f t="shared" si="28"/>
        <v/>
      </c>
      <c r="P84" t="str">
        <f t="shared" si="29"/>
        <v/>
      </c>
      <c r="T84" s="602">
        <v>16</v>
      </c>
      <c r="U84">
        <f t="shared" si="22"/>
        <v>0</v>
      </c>
      <c r="V84">
        <f>IF(U84=0,0,1+MAX(V$69:V83))</f>
        <v>0</v>
      </c>
      <c r="W84">
        <f t="shared" si="30"/>
        <v>0</v>
      </c>
      <c r="X84" t="str">
        <f t="shared" si="31"/>
        <v/>
      </c>
      <c r="Y84" t="str">
        <f t="shared" si="32"/>
        <v/>
      </c>
      <c r="AC84" s="602">
        <v>16</v>
      </c>
      <c r="AD84">
        <f t="shared" si="23"/>
        <v>0</v>
      </c>
      <c r="AE84">
        <f>IF(AD84=0,0,1+MAX(AE$69:AE83))</f>
        <v>0</v>
      </c>
      <c r="AF84">
        <f t="shared" si="33"/>
        <v>0</v>
      </c>
      <c r="AG84" t="str">
        <f t="shared" si="34"/>
        <v/>
      </c>
      <c r="AH84" t="str">
        <f t="shared" si="35"/>
        <v/>
      </c>
    </row>
    <row r="85" spans="2:34" x14ac:dyDescent="0.25">
      <c r="B85" s="574">
        <v>17</v>
      </c>
      <c r="C85">
        <f t="shared" si="20"/>
        <v>0</v>
      </c>
      <c r="D85">
        <f>IF(C85=0,0,1+MAX(D$69:D84))</f>
        <v>0</v>
      </c>
      <c r="E85">
        <f t="shared" si="24"/>
        <v>0</v>
      </c>
      <c r="F85" t="str">
        <f t="shared" si="25"/>
        <v/>
      </c>
      <c r="G85" t="str">
        <f t="shared" si="26"/>
        <v/>
      </c>
      <c r="K85" s="602">
        <v>17</v>
      </c>
      <c r="L85">
        <f t="shared" si="21"/>
        <v>0</v>
      </c>
      <c r="M85">
        <f>IF(L85=0,0,1+MAX(M$69:M84))</f>
        <v>0</v>
      </c>
      <c r="N85">
        <f t="shared" si="27"/>
        <v>0</v>
      </c>
      <c r="O85" t="str">
        <f t="shared" si="28"/>
        <v/>
      </c>
      <c r="P85" t="str">
        <f t="shared" si="29"/>
        <v/>
      </c>
      <c r="T85" s="602">
        <v>17</v>
      </c>
      <c r="U85">
        <f t="shared" si="22"/>
        <v>0</v>
      </c>
      <c r="V85">
        <f>IF(U85=0,0,1+MAX(V$69:V84))</f>
        <v>0</v>
      </c>
      <c r="W85">
        <f t="shared" si="30"/>
        <v>0</v>
      </c>
      <c r="X85" t="str">
        <f t="shared" si="31"/>
        <v/>
      </c>
      <c r="Y85" t="str">
        <f t="shared" si="32"/>
        <v/>
      </c>
      <c r="AC85" s="602">
        <v>17</v>
      </c>
      <c r="AD85">
        <f t="shared" si="23"/>
        <v>0</v>
      </c>
      <c r="AE85">
        <f>IF(AD85=0,0,1+MAX(AE$69:AE84))</f>
        <v>0</v>
      </c>
      <c r="AF85">
        <f t="shared" si="33"/>
        <v>0</v>
      </c>
      <c r="AG85" t="str">
        <f t="shared" si="34"/>
        <v/>
      </c>
      <c r="AH85" t="str">
        <f t="shared" si="35"/>
        <v/>
      </c>
    </row>
    <row r="86" spans="2:34" x14ac:dyDescent="0.25">
      <c r="B86" s="574">
        <v>18</v>
      </c>
      <c r="C86">
        <f t="shared" si="20"/>
        <v>0</v>
      </c>
      <c r="D86">
        <f>IF(C86=0,0,1+MAX(D$69:D85))</f>
        <v>0</v>
      </c>
      <c r="E86">
        <f t="shared" si="24"/>
        <v>0</v>
      </c>
      <c r="F86" t="str">
        <f t="shared" si="25"/>
        <v/>
      </c>
      <c r="G86" t="str">
        <f t="shared" si="26"/>
        <v/>
      </c>
      <c r="K86" s="602">
        <v>18</v>
      </c>
      <c r="L86">
        <f t="shared" si="21"/>
        <v>0</v>
      </c>
      <c r="M86">
        <f>IF(L86=0,0,1+MAX(M$69:M85))</f>
        <v>0</v>
      </c>
      <c r="N86">
        <f t="shared" si="27"/>
        <v>0</v>
      </c>
      <c r="O86" t="str">
        <f t="shared" si="28"/>
        <v/>
      </c>
      <c r="P86" t="str">
        <f t="shared" si="29"/>
        <v/>
      </c>
      <c r="T86" s="602">
        <v>18</v>
      </c>
      <c r="U86">
        <f t="shared" si="22"/>
        <v>0</v>
      </c>
      <c r="V86">
        <f>IF(U86=0,0,1+MAX(V$69:V85))</f>
        <v>0</v>
      </c>
      <c r="W86">
        <f t="shared" si="30"/>
        <v>0</v>
      </c>
      <c r="X86" t="str">
        <f t="shared" si="31"/>
        <v/>
      </c>
      <c r="Y86" t="str">
        <f t="shared" si="32"/>
        <v/>
      </c>
      <c r="AC86" s="602">
        <v>18</v>
      </c>
      <c r="AD86">
        <f t="shared" si="23"/>
        <v>0</v>
      </c>
      <c r="AE86">
        <f>IF(AD86=0,0,1+MAX(AE$69:AE85))</f>
        <v>0</v>
      </c>
      <c r="AF86">
        <f t="shared" si="33"/>
        <v>0</v>
      </c>
      <c r="AG86" t="str">
        <f t="shared" si="34"/>
        <v/>
      </c>
      <c r="AH86" t="str">
        <f t="shared" si="35"/>
        <v/>
      </c>
    </row>
    <row r="87" spans="2:34" x14ac:dyDescent="0.25">
      <c r="B87" s="574">
        <v>19</v>
      </c>
      <c r="C87">
        <f t="shared" si="20"/>
        <v>0</v>
      </c>
      <c r="D87">
        <f>IF(C87=0,0,1+MAX(D$69:D86))</f>
        <v>0</v>
      </c>
      <c r="E87">
        <f t="shared" si="24"/>
        <v>0</v>
      </c>
      <c r="F87" t="str">
        <f t="shared" si="25"/>
        <v/>
      </c>
      <c r="G87" t="str">
        <f t="shared" si="26"/>
        <v/>
      </c>
      <c r="K87" s="602">
        <v>19</v>
      </c>
      <c r="L87">
        <f t="shared" si="21"/>
        <v>0</v>
      </c>
      <c r="M87">
        <f>IF(L87=0,0,1+MAX(M$69:M86))</f>
        <v>0</v>
      </c>
      <c r="N87">
        <f t="shared" si="27"/>
        <v>0</v>
      </c>
      <c r="O87" t="str">
        <f t="shared" si="28"/>
        <v/>
      </c>
      <c r="P87" t="str">
        <f t="shared" si="29"/>
        <v/>
      </c>
      <c r="T87" s="602">
        <v>19</v>
      </c>
      <c r="U87">
        <f t="shared" si="22"/>
        <v>0</v>
      </c>
      <c r="V87">
        <f>IF(U87=0,0,1+MAX(V$69:V86))</f>
        <v>0</v>
      </c>
      <c r="W87">
        <f t="shared" si="30"/>
        <v>0</v>
      </c>
      <c r="X87" t="str">
        <f t="shared" si="31"/>
        <v/>
      </c>
      <c r="Y87" t="str">
        <f t="shared" si="32"/>
        <v/>
      </c>
      <c r="AC87" s="602">
        <v>19</v>
      </c>
      <c r="AD87">
        <f t="shared" si="23"/>
        <v>0</v>
      </c>
      <c r="AE87">
        <f>IF(AD87=0,0,1+MAX(AE$69:AE86))</f>
        <v>0</v>
      </c>
      <c r="AF87">
        <f t="shared" si="33"/>
        <v>0</v>
      </c>
      <c r="AG87" t="str">
        <f t="shared" si="34"/>
        <v/>
      </c>
      <c r="AH87" t="str">
        <f t="shared" si="35"/>
        <v/>
      </c>
    </row>
    <row r="88" spans="2:34" x14ac:dyDescent="0.25">
      <c r="B88" s="574">
        <v>20</v>
      </c>
      <c r="C88">
        <f t="shared" si="20"/>
        <v>0</v>
      </c>
      <c r="D88">
        <f>IF(C88=0,0,1+MAX(D$69:D87))</f>
        <v>0</v>
      </c>
      <c r="E88">
        <f t="shared" si="24"/>
        <v>0</v>
      </c>
      <c r="F88" t="str">
        <f t="shared" si="25"/>
        <v/>
      </c>
      <c r="G88" t="str">
        <f t="shared" si="26"/>
        <v/>
      </c>
      <c r="K88" s="602">
        <v>20</v>
      </c>
      <c r="L88">
        <f t="shared" si="21"/>
        <v>0</v>
      </c>
      <c r="M88">
        <f>IF(L88=0,0,1+MAX(M$69:M87))</f>
        <v>0</v>
      </c>
      <c r="N88">
        <f t="shared" si="27"/>
        <v>0</v>
      </c>
      <c r="O88" t="str">
        <f t="shared" si="28"/>
        <v/>
      </c>
      <c r="P88" t="str">
        <f t="shared" si="29"/>
        <v/>
      </c>
      <c r="T88" s="602">
        <v>20</v>
      </c>
      <c r="U88">
        <f t="shared" si="22"/>
        <v>0</v>
      </c>
      <c r="V88">
        <f>IF(U88=0,0,1+MAX(V$69:V87))</f>
        <v>0</v>
      </c>
      <c r="W88">
        <f t="shared" si="30"/>
        <v>0</v>
      </c>
      <c r="X88" t="str">
        <f t="shared" si="31"/>
        <v/>
      </c>
      <c r="Y88" t="str">
        <f t="shared" si="32"/>
        <v/>
      </c>
      <c r="AC88" s="602">
        <v>20</v>
      </c>
      <c r="AD88">
        <f t="shared" si="23"/>
        <v>0</v>
      </c>
      <c r="AE88">
        <f>IF(AD88=0,0,1+MAX(AE$69:AE87))</f>
        <v>0</v>
      </c>
      <c r="AF88">
        <f t="shared" si="33"/>
        <v>0</v>
      </c>
      <c r="AG88" t="str">
        <f t="shared" si="34"/>
        <v/>
      </c>
      <c r="AH88" t="str">
        <f t="shared" si="35"/>
        <v/>
      </c>
    </row>
    <row r="89" spans="2:34" x14ac:dyDescent="0.25">
      <c r="B89" s="574">
        <v>21</v>
      </c>
      <c r="C89">
        <f t="shared" si="20"/>
        <v>0</v>
      </c>
      <c r="D89">
        <f>IF(C89=0,0,1+MAX(D$69:D88))</f>
        <v>0</v>
      </c>
      <c r="E89">
        <f t="shared" si="24"/>
        <v>0</v>
      </c>
      <c r="F89" t="str">
        <f t="shared" si="25"/>
        <v/>
      </c>
      <c r="G89" t="str">
        <f t="shared" si="26"/>
        <v/>
      </c>
      <c r="K89" s="602">
        <v>21</v>
      </c>
      <c r="L89">
        <f t="shared" si="21"/>
        <v>0</v>
      </c>
      <c r="M89">
        <f>IF(L89=0,0,1+MAX(M$69:M88))</f>
        <v>0</v>
      </c>
      <c r="N89">
        <f t="shared" si="27"/>
        <v>0</v>
      </c>
      <c r="O89" t="str">
        <f t="shared" si="28"/>
        <v/>
      </c>
      <c r="P89" t="str">
        <f t="shared" si="29"/>
        <v/>
      </c>
      <c r="T89" s="602">
        <v>21</v>
      </c>
      <c r="U89">
        <f t="shared" si="22"/>
        <v>0</v>
      </c>
      <c r="V89">
        <f>IF(U89=0,0,1+MAX(V$69:V88))</f>
        <v>0</v>
      </c>
      <c r="W89">
        <f t="shared" si="30"/>
        <v>0</v>
      </c>
      <c r="X89" t="str">
        <f t="shared" si="31"/>
        <v/>
      </c>
      <c r="Y89" t="str">
        <f t="shared" si="32"/>
        <v/>
      </c>
      <c r="AC89" s="602">
        <v>21</v>
      </c>
      <c r="AD89">
        <f t="shared" si="23"/>
        <v>0</v>
      </c>
      <c r="AE89">
        <f>IF(AD89=0,0,1+MAX(AE$69:AE88))</f>
        <v>0</v>
      </c>
      <c r="AF89">
        <f t="shared" si="33"/>
        <v>0</v>
      </c>
      <c r="AG89" t="str">
        <f t="shared" si="34"/>
        <v/>
      </c>
      <c r="AH89" t="str">
        <f t="shared" si="35"/>
        <v/>
      </c>
    </row>
    <row r="90" spans="2:34" x14ac:dyDescent="0.25">
      <c r="B90" s="574">
        <v>22</v>
      </c>
      <c r="C90">
        <f t="shared" si="20"/>
        <v>0</v>
      </c>
      <c r="D90">
        <f>IF(C90=0,0,1+MAX(D$69:D89))</f>
        <v>0</v>
      </c>
      <c r="E90">
        <f t="shared" si="24"/>
        <v>0</v>
      </c>
      <c r="F90" t="str">
        <f t="shared" si="25"/>
        <v/>
      </c>
      <c r="G90" t="str">
        <f t="shared" si="26"/>
        <v/>
      </c>
      <c r="K90" s="602">
        <v>22</v>
      </c>
      <c r="L90">
        <f t="shared" si="21"/>
        <v>0</v>
      </c>
      <c r="M90">
        <f>IF(L90=0,0,1+MAX(M$69:M89))</f>
        <v>0</v>
      </c>
      <c r="N90">
        <f t="shared" si="27"/>
        <v>0</v>
      </c>
      <c r="O90" t="str">
        <f t="shared" si="28"/>
        <v/>
      </c>
      <c r="P90" t="str">
        <f t="shared" si="29"/>
        <v/>
      </c>
      <c r="T90" s="602">
        <v>22</v>
      </c>
      <c r="U90">
        <f t="shared" si="22"/>
        <v>0</v>
      </c>
      <c r="V90">
        <f>IF(U90=0,0,1+MAX(V$69:V89))</f>
        <v>0</v>
      </c>
      <c r="W90">
        <f t="shared" si="30"/>
        <v>0</v>
      </c>
      <c r="X90" t="str">
        <f t="shared" si="31"/>
        <v/>
      </c>
      <c r="Y90" t="str">
        <f t="shared" si="32"/>
        <v/>
      </c>
      <c r="AC90" s="602">
        <v>22</v>
      </c>
      <c r="AD90">
        <f t="shared" si="23"/>
        <v>0</v>
      </c>
      <c r="AE90">
        <f>IF(AD90=0,0,1+MAX(AE$69:AE89))</f>
        <v>0</v>
      </c>
      <c r="AF90">
        <f t="shared" si="33"/>
        <v>0</v>
      </c>
      <c r="AG90" t="str">
        <f t="shared" si="34"/>
        <v/>
      </c>
      <c r="AH90" t="str">
        <f t="shared" si="35"/>
        <v/>
      </c>
    </row>
    <row r="91" spans="2:34" x14ac:dyDescent="0.25">
      <c r="B91" s="574">
        <v>23</v>
      </c>
      <c r="C91">
        <f t="shared" si="20"/>
        <v>0</v>
      </c>
      <c r="D91">
        <f>IF(C91=0,0,1+MAX(D$69:D90))</f>
        <v>0</v>
      </c>
      <c r="E91">
        <f t="shared" si="24"/>
        <v>0</v>
      </c>
      <c r="F91" t="str">
        <f t="shared" si="25"/>
        <v/>
      </c>
      <c r="G91" t="str">
        <f t="shared" si="26"/>
        <v/>
      </c>
      <c r="K91" s="602">
        <v>23</v>
      </c>
      <c r="L91">
        <f t="shared" si="21"/>
        <v>0</v>
      </c>
      <c r="M91">
        <f>IF(L91=0,0,1+MAX(M$69:M90))</f>
        <v>0</v>
      </c>
      <c r="N91">
        <f t="shared" si="27"/>
        <v>0</v>
      </c>
      <c r="O91" t="str">
        <f t="shared" si="28"/>
        <v/>
      </c>
      <c r="P91" t="str">
        <f t="shared" si="29"/>
        <v/>
      </c>
      <c r="T91" s="602">
        <v>23</v>
      </c>
      <c r="U91">
        <f t="shared" si="22"/>
        <v>0</v>
      </c>
      <c r="V91">
        <f>IF(U91=0,0,1+MAX(V$69:V90))</f>
        <v>0</v>
      </c>
      <c r="W91">
        <f t="shared" si="30"/>
        <v>0</v>
      </c>
      <c r="X91" t="str">
        <f t="shared" si="31"/>
        <v/>
      </c>
      <c r="Y91" t="str">
        <f t="shared" si="32"/>
        <v/>
      </c>
      <c r="AC91" s="602">
        <v>23</v>
      </c>
      <c r="AD91">
        <f t="shared" si="23"/>
        <v>0</v>
      </c>
      <c r="AE91">
        <f>IF(AD91=0,0,1+MAX(AE$69:AE90))</f>
        <v>0</v>
      </c>
      <c r="AF91">
        <f t="shared" si="33"/>
        <v>0</v>
      </c>
      <c r="AG91" t="str">
        <f t="shared" si="34"/>
        <v/>
      </c>
      <c r="AH91" t="str">
        <f t="shared" si="35"/>
        <v/>
      </c>
    </row>
    <row r="92" spans="2:34" x14ac:dyDescent="0.25">
      <c r="B92" s="574">
        <v>24</v>
      </c>
      <c r="C92">
        <f t="shared" si="20"/>
        <v>0</v>
      </c>
      <c r="D92">
        <f>IF(C92=0,0,1+MAX(D$69:D91))</f>
        <v>0</v>
      </c>
      <c r="E92">
        <f t="shared" si="24"/>
        <v>0</v>
      </c>
      <c r="F92" t="str">
        <f t="shared" si="25"/>
        <v/>
      </c>
      <c r="G92" t="str">
        <f t="shared" si="26"/>
        <v/>
      </c>
      <c r="K92" s="602">
        <v>24</v>
      </c>
      <c r="L92">
        <f t="shared" si="21"/>
        <v>0</v>
      </c>
      <c r="M92">
        <f>IF(L92=0,0,1+MAX(M$69:M91))</f>
        <v>0</v>
      </c>
      <c r="N92">
        <f t="shared" si="27"/>
        <v>0</v>
      </c>
      <c r="O92" t="str">
        <f t="shared" si="28"/>
        <v/>
      </c>
      <c r="P92" t="str">
        <f t="shared" si="29"/>
        <v/>
      </c>
      <c r="T92" s="602">
        <v>24</v>
      </c>
      <c r="U92">
        <f t="shared" si="22"/>
        <v>0</v>
      </c>
      <c r="V92">
        <f>IF(U92=0,0,1+MAX(V$69:V91))</f>
        <v>0</v>
      </c>
      <c r="W92">
        <f t="shared" si="30"/>
        <v>0</v>
      </c>
      <c r="X92" t="str">
        <f t="shared" si="31"/>
        <v/>
      </c>
      <c r="Y92" t="str">
        <f t="shared" si="32"/>
        <v/>
      </c>
      <c r="AC92" s="602">
        <v>24</v>
      </c>
      <c r="AD92">
        <f t="shared" si="23"/>
        <v>0</v>
      </c>
      <c r="AE92">
        <f>IF(AD92=0,0,1+MAX(AE$69:AE91))</f>
        <v>0</v>
      </c>
      <c r="AF92">
        <f t="shared" si="33"/>
        <v>0</v>
      </c>
      <c r="AG92" t="str">
        <f t="shared" si="34"/>
        <v/>
      </c>
      <c r="AH92" t="str">
        <f t="shared" si="35"/>
        <v/>
      </c>
    </row>
    <row r="93" spans="2:34" x14ac:dyDescent="0.25">
      <c r="B93" s="574">
        <v>25</v>
      </c>
      <c r="C93">
        <f t="shared" si="20"/>
        <v>0</v>
      </c>
      <c r="D93">
        <f>IF(C93=0,0,1+MAX(D$69:D92))</f>
        <v>0</v>
      </c>
      <c r="E93">
        <f t="shared" si="24"/>
        <v>0</v>
      </c>
      <c r="F93" t="str">
        <f t="shared" si="25"/>
        <v/>
      </c>
      <c r="G93" t="str">
        <f t="shared" si="26"/>
        <v/>
      </c>
      <c r="K93" s="602">
        <v>25</v>
      </c>
      <c r="L93">
        <f t="shared" si="21"/>
        <v>0</v>
      </c>
      <c r="M93">
        <f>IF(L93=0,0,1+MAX(M$69:M92))</f>
        <v>0</v>
      </c>
      <c r="N93">
        <f t="shared" si="27"/>
        <v>0</v>
      </c>
      <c r="O93" t="str">
        <f t="shared" si="28"/>
        <v/>
      </c>
      <c r="P93" t="str">
        <f t="shared" si="29"/>
        <v/>
      </c>
      <c r="T93" s="602">
        <v>25</v>
      </c>
      <c r="U93">
        <f t="shared" si="22"/>
        <v>0</v>
      </c>
      <c r="V93">
        <f>IF(U93=0,0,1+MAX(V$69:V92))</f>
        <v>0</v>
      </c>
      <c r="W93">
        <f t="shared" si="30"/>
        <v>0</v>
      </c>
      <c r="X93" t="str">
        <f t="shared" si="31"/>
        <v/>
      </c>
      <c r="Y93" t="str">
        <f t="shared" si="32"/>
        <v/>
      </c>
      <c r="AC93" s="602">
        <v>25</v>
      </c>
      <c r="AD93">
        <f t="shared" si="23"/>
        <v>0</v>
      </c>
      <c r="AE93">
        <f>IF(AD93=0,0,1+MAX(AE$69:AE92))</f>
        <v>0</v>
      </c>
      <c r="AF93">
        <f t="shared" si="33"/>
        <v>0</v>
      </c>
      <c r="AG93" t="str">
        <f t="shared" si="34"/>
        <v/>
      </c>
      <c r="AH93" t="str">
        <f t="shared" si="35"/>
        <v/>
      </c>
    </row>
    <row r="94" spans="2:34" x14ac:dyDescent="0.25">
      <c r="B94" s="574">
        <v>26</v>
      </c>
      <c r="C94">
        <f t="shared" si="20"/>
        <v>0</v>
      </c>
      <c r="D94">
        <f>IF(C94=0,0,1+MAX(D$69:D93))</f>
        <v>0</v>
      </c>
      <c r="E94">
        <f t="shared" si="24"/>
        <v>0</v>
      </c>
      <c r="F94" t="str">
        <f t="shared" si="25"/>
        <v/>
      </c>
      <c r="G94" t="str">
        <f t="shared" si="26"/>
        <v/>
      </c>
      <c r="K94" s="602">
        <v>26</v>
      </c>
      <c r="L94">
        <f t="shared" si="21"/>
        <v>0</v>
      </c>
      <c r="M94">
        <f>IF(L94=0,0,1+MAX(M$69:M93))</f>
        <v>0</v>
      </c>
      <c r="N94">
        <f t="shared" si="27"/>
        <v>0</v>
      </c>
      <c r="O94" t="str">
        <f t="shared" si="28"/>
        <v/>
      </c>
      <c r="P94" t="str">
        <f t="shared" si="29"/>
        <v/>
      </c>
      <c r="T94" s="602">
        <v>26</v>
      </c>
      <c r="U94">
        <f t="shared" si="22"/>
        <v>0</v>
      </c>
      <c r="V94">
        <f>IF(U94=0,0,1+MAX(V$69:V93))</f>
        <v>0</v>
      </c>
      <c r="W94">
        <f t="shared" si="30"/>
        <v>0</v>
      </c>
      <c r="X94" t="str">
        <f t="shared" si="31"/>
        <v/>
      </c>
      <c r="Y94" t="str">
        <f t="shared" si="32"/>
        <v/>
      </c>
      <c r="AC94" s="602">
        <v>26</v>
      </c>
      <c r="AD94">
        <f t="shared" si="23"/>
        <v>0</v>
      </c>
      <c r="AE94">
        <f>IF(AD94=0,0,1+MAX(AE$69:AE93))</f>
        <v>0</v>
      </c>
      <c r="AF94">
        <f t="shared" si="33"/>
        <v>0</v>
      </c>
      <c r="AG94" t="str">
        <f t="shared" si="34"/>
        <v/>
      </c>
      <c r="AH94" t="str">
        <f t="shared" si="35"/>
        <v/>
      </c>
    </row>
    <row r="95" spans="2:34" x14ac:dyDescent="0.25">
      <c r="B95" s="574">
        <v>27</v>
      </c>
      <c r="C95">
        <f t="shared" si="20"/>
        <v>0</v>
      </c>
      <c r="D95">
        <f>IF(C95=0,0,1+MAX(D$69:D94))</f>
        <v>0</v>
      </c>
      <c r="E95">
        <f t="shared" si="24"/>
        <v>0</v>
      </c>
      <c r="F95" t="str">
        <f t="shared" si="25"/>
        <v/>
      </c>
      <c r="G95" t="str">
        <f t="shared" si="26"/>
        <v/>
      </c>
      <c r="K95" s="602">
        <v>27</v>
      </c>
      <c r="L95">
        <f t="shared" si="21"/>
        <v>0</v>
      </c>
      <c r="M95">
        <f>IF(L95=0,0,1+MAX(M$69:M94))</f>
        <v>0</v>
      </c>
      <c r="N95">
        <f t="shared" si="27"/>
        <v>0</v>
      </c>
      <c r="O95" t="str">
        <f t="shared" si="28"/>
        <v/>
      </c>
      <c r="P95" t="str">
        <f t="shared" si="29"/>
        <v/>
      </c>
      <c r="T95" s="602">
        <v>27</v>
      </c>
      <c r="U95">
        <f t="shared" si="22"/>
        <v>0</v>
      </c>
      <c r="V95">
        <f>IF(U95=0,0,1+MAX(V$69:V94))</f>
        <v>0</v>
      </c>
      <c r="W95">
        <f t="shared" si="30"/>
        <v>0</v>
      </c>
      <c r="X95" t="str">
        <f t="shared" si="31"/>
        <v/>
      </c>
      <c r="Y95" t="str">
        <f t="shared" si="32"/>
        <v/>
      </c>
      <c r="AC95" s="602">
        <v>27</v>
      </c>
      <c r="AD95">
        <f t="shared" si="23"/>
        <v>0</v>
      </c>
      <c r="AE95">
        <f>IF(AD95=0,0,1+MAX(AE$69:AE94))</f>
        <v>0</v>
      </c>
      <c r="AF95">
        <f t="shared" si="33"/>
        <v>0</v>
      </c>
      <c r="AG95" t="str">
        <f t="shared" si="34"/>
        <v/>
      </c>
      <c r="AH95" t="str">
        <f t="shared" si="35"/>
        <v/>
      </c>
    </row>
    <row r="96" spans="2:34" x14ac:dyDescent="0.25">
      <c r="B96" s="574">
        <v>28</v>
      </c>
      <c r="C96">
        <f t="shared" si="20"/>
        <v>0</v>
      </c>
      <c r="D96">
        <f>IF(C96=0,0,1+MAX(D$69:D95))</f>
        <v>0</v>
      </c>
      <c r="E96">
        <f t="shared" si="24"/>
        <v>0</v>
      </c>
      <c r="F96" t="str">
        <f t="shared" si="25"/>
        <v/>
      </c>
      <c r="G96" t="str">
        <f t="shared" si="26"/>
        <v/>
      </c>
      <c r="K96" s="602">
        <v>28</v>
      </c>
      <c r="L96">
        <f t="shared" si="21"/>
        <v>0</v>
      </c>
      <c r="M96">
        <f>IF(L96=0,0,1+MAX(M$69:M95))</f>
        <v>0</v>
      </c>
      <c r="N96">
        <f t="shared" si="27"/>
        <v>0</v>
      </c>
      <c r="O96" t="str">
        <f t="shared" si="28"/>
        <v/>
      </c>
      <c r="P96" t="str">
        <f t="shared" si="29"/>
        <v/>
      </c>
      <c r="T96" s="602">
        <v>28</v>
      </c>
      <c r="U96">
        <f t="shared" si="22"/>
        <v>0</v>
      </c>
      <c r="V96">
        <f>IF(U96=0,0,1+MAX(V$69:V95))</f>
        <v>0</v>
      </c>
      <c r="W96">
        <f t="shared" si="30"/>
        <v>0</v>
      </c>
      <c r="X96" t="str">
        <f t="shared" si="31"/>
        <v/>
      </c>
      <c r="Y96" t="str">
        <f t="shared" si="32"/>
        <v/>
      </c>
      <c r="AC96" s="602">
        <v>28</v>
      </c>
      <c r="AD96">
        <f t="shared" si="23"/>
        <v>0</v>
      </c>
      <c r="AE96">
        <f>IF(AD96=0,0,1+MAX(AE$69:AE95))</f>
        <v>0</v>
      </c>
      <c r="AF96">
        <f t="shared" si="33"/>
        <v>0</v>
      </c>
      <c r="AG96" t="str">
        <f t="shared" si="34"/>
        <v/>
      </c>
      <c r="AH96" t="str">
        <f t="shared" si="35"/>
        <v/>
      </c>
    </row>
    <row r="97" spans="2:34" x14ac:dyDescent="0.25">
      <c r="B97" s="574">
        <v>29</v>
      </c>
      <c r="C97">
        <f t="shared" si="20"/>
        <v>0</v>
      </c>
      <c r="D97">
        <f>IF(C97=0,0,1+MAX(D$69:D96))</f>
        <v>0</v>
      </c>
      <c r="E97">
        <f t="shared" si="24"/>
        <v>0</v>
      </c>
      <c r="F97" t="str">
        <f t="shared" si="25"/>
        <v/>
      </c>
      <c r="G97" t="str">
        <f t="shared" si="26"/>
        <v/>
      </c>
      <c r="K97" s="602">
        <v>29</v>
      </c>
      <c r="L97">
        <f t="shared" si="21"/>
        <v>0</v>
      </c>
      <c r="M97">
        <f>IF(L97=0,0,1+MAX(M$69:M96))</f>
        <v>0</v>
      </c>
      <c r="N97">
        <f t="shared" si="27"/>
        <v>0</v>
      </c>
      <c r="O97" t="str">
        <f t="shared" si="28"/>
        <v/>
      </c>
      <c r="P97" t="str">
        <f t="shared" si="29"/>
        <v/>
      </c>
      <c r="T97" s="602">
        <v>29</v>
      </c>
      <c r="U97">
        <f t="shared" si="22"/>
        <v>0</v>
      </c>
      <c r="V97">
        <f>IF(U97=0,0,1+MAX(V$69:V96))</f>
        <v>0</v>
      </c>
      <c r="W97">
        <f t="shared" si="30"/>
        <v>0</v>
      </c>
      <c r="X97" t="str">
        <f t="shared" si="31"/>
        <v/>
      </c>
      <c r="Y97" t="str">
        <f t="shared" si="32"/>
        <v/>
      </c>
      <c r="AC97" s="602">
        <v>29</v>
      </c>
      <c r="AD97">
        <f t="shared" si="23"/>
        <v>0</v>
      </c>
      <c r="AE97">
        <f>IF(AD97=0,0,1+MAX(AE$69:AE96))</f>
        <v>0</v>
      </c>
      <c r="AF97">
        <f t="shared" si="33"/>
        <v>0</v>
      </c>
      <c r="AG97" t="str">
        <f t="shared" si="34"/>
        <v/>
      </c>
      <c r="AH97" t="str">
        <f t="shared" si="35"/>
        <v/>
      </c>
    </row>
    <row r="98" spans="2:34" x14ac:dyDescent="0.25">
      <c r="B98" s="574">
        <v>30</v>
      </c>
      <c r="C98">
        <f t="shared" si="20"/>
        <v>0</v>
      </c>
      <c r="D98">
        <f>IF(C98=0,0,1+MAX(D$69:D97))</f>
        <v>0</v>
      </c>
      <c r="E98">
        <f t="shared" si="24"/>
        <v>0</v>
      </c>
      <c r="F98" t="str">
        <f t="shared" si="25"/>
        <v/>
      </c>
      <c r="G98" t="str">
        <f t="shared" si="26"/>
        <v/>
      </c>
      <c r="K98" s="602">
        <v>30</v>
      </c>
      <c r="L98">
        <f t="shared" si="21"/>
        <v>0</v>
      </c>
      <c r="M98">
        <f>IF(L98=0,0,1+MAX(M$69:M97))</f>
        <v>0</v>
      </c>
      <c r="N98">
        <f t="shared" si="27"/>
        <v>0</v>
      </c>
      <c r="O98" t="str">
        <f t="shared" si="28"/>
        <v/>
      </c>
      <c r="P98" t="str">
        <f t="shared" si="29"/>
        <v/>
      </c>
      <c r="T98" s="602">
        <v>30</v>
      </c>
      <c r="U98">
        <f t="shared" si="22"/>
        <v>0</v>
      </c>
      <c r="V98">
        <f>IF(U98=0,0,1+MAX(V$69:V97))</f>
        <v>0</v>
      </c>
      <c r="W98">
        <f t="shared" si="30"/>
        <v>0</v>
      </c>
      <c r="X98" t="str">
        <f t="shared" si="31"/>
        <v/>
      </c>
      <c r="Y98" t="str">
        <f t="shared" si="32"/>
        <v/>
      </c>
      <c r="AC98" s="602">
        <v>30</v>
      </c>
      <c r="AD98">
        <f t="shared" si="23"/>
        <v>0</v>
      </c>
      <c r="AE98">
        <f>IF(AD98=0,0,1+MAX(AE$69:AE97))</f>
        <v>0</v>
      </c>
      <c r="AF98">
        <f t="shared" si="33"/>
        <v>0</v>
      </c>
      <c r="AG98" t="str">
        <f t="shared" si="34"/>
        <v/>
      </c>
      <c r="AH98" t="str">
        <f t="shared" si="35"/>
        <v/>
      </c>
    </row>
  </sheetData>
  <mergeCells count="144">
    <mergeCell ref="B37:H66"/>
    <mergeCell ref="C33:G33"/>
    <mergeCell ref="L33:P33"/>
    <mergeCell ref="U33:Y33"/>
    <mergeCell ref="AD33:AH33"/>
    <mergeCell ref="C34:G34"/>
    <mergeCell ref="L34:P34"/>
    <mergeCell ref="U34:Y34"/>
    <mergeCell ref="AD34:AH34"/>
    <mergeCell ref="C31:G31"/>
    <mergeCell ref="L31:P31"/>
    <mergeCell ref="U31:Y31"/>
    <mergeCell ref="AD31:AH31"/>
    <mergeCell ref="C32:G32"/>
    <mergeCell ref="L32:P32"/>
    <mergeCell ref="U32:Y32"/>
    <mergeCell ref="AD32:AH32"/>
    <mergeCell ref="C35:G35"/>
    <mergeCell ref="L35:P35"/>
    <mergeCell ref="U35:Y35"/>
    <mergeCell ref="AD35:AH35"/>
    <mergeCell ref="C28:G28"/>
    <mergeCell ref="L28:P28"/>
    <mergeCell ref="U28:Y28"/>
    <mergeCell ref="AD28:AH28"/>
    <mergeCell ref="C29:G29"/>
    <mergeCell ref="L29:P29"/>
    <mergeCell ref="U29:Y29"/>
    <mergeCell ref="AD29:AH29"/>
    <mergeCell ref="C30:G30"/>
    <mergeCell ref="L30:P30"/>
    <mergeCell ref="U30:Y30"/>
    <mergeCell ref="AD30:AH30"/>
    <mergeCell ref="C25:G25"/>
    <mergeCell ref="L25:P25"/>
    <mergeCell ref="U25:Y25"/>
    <mergeCell ref="AD25:AH25"/>
    <mergeCell ref="C26:G26"/>
    <mergeCell ref="L26:P26"/>
    <mergeCell ref="U26:Y26"/>
    <mergeCell ref="AD26:AH26"/>
    <mergeCell ref="C27:G27"/>
    <mergeCell ref="L27:P27"/>
    <mergeCell ref="U27:Y27"/>
    <mergeCell ref="AD27:AH27"/>
    <mergeCell ref="C22:G22"/>
    <mergeCell ref="L22:P22"/>
    <mergeCell ref="U22:Y22"/>
    <mergeCell ref="AD22:AH22"/>
    <mergeCell ref="C23:G23"/>
    <mergeCell ref="L23:P23"/>
    <mergeCell ref="U23:Y23"/>
    <mergeCell ref="AD23:AH23"/>
    <mergeCell ref="C24:G24"/>
    <mergeCell ref="L24:P24"/>
    <mergeCell ref="U24:Y24"/>
    <mergeCell ref="AD24:AH24"/>
    <mergeCell ref="C19:G19"/>
    <mergeCell ref="L19:P19"/>
    <mergeCell ref="U19:Y19"/>
    <mergeCell ref="AD19:AH19"/>
    <mergeCell ref="C20:G20"/>
    <mergeCell ref="L20:P20"/>
    <mergeCell ref="U20:Y20"/>
    <mergeCell ref="AD20:AH20"/>
    <mergeCell ref="C21:G21"/>
    <mergeCell ref="L21:P21"/>
    <mergeCell ref="U21:Y21"/>
    <mergeCell ref="AD21:AH21"/>
    <mergeCell ref="C16:G16"/>
    <mergeCell ref="L16:P16"/>
    <mergeCell ref="U16:Y16"/>
    <mergeCell ref="AD16:AH16"/>
    <mergeCell ref="C17:G17"/>
    <mergeCell ref="L17:P17"/>
    <mergeCell ref="U17:Y17"/>
    <mergeCell ref="AD17:AH17"/>
    <mergeCell ref="C18:G18"/>
    <mergeCell ref="L18:P18"/>
    <mergeCell ref="U18:Y18"/>
    <mergeCell ref="AD18:AH18"/>
    <mergeCell ref="C13:G13"/>
    <mergeCell ref="L13:P13"/>
    <mergeCell ref="U13:Y13"/>
    <mergeCell ref="AD13:AH13"/>
    <mergeCell ref="C14:G14"/>
    <mergeCell ref="L14:P14"/>
    <mergeCell ref="U14:Y14"/>
    <mergeCell ref="AD14:AH14"/>
    <mergeCell ref="C15:G15"/>
    <mergeCell ref="L15:P15"/>
    <mergeCell ref="U15:Y15"/>
    <mergeCell ref="AD15:AH15"/>
    <mergeCell ref="C10:G10"/>
    <mergeCell ref="L10:P10"/>
    <mergeCell ref="U10:Y10"/>
    <mergeCell ref="AD10:AH10"/>
    <mergeCell ref="C11:G11"/>
    <mergeCell ref="L11:P11"/>
    <mergeCell ref="U11:Y11"/>
    <mergeCell ref="AD11:AH11"/>
    <mergeCell ref="C12:G12"/>
    <mergeCell ref="L12:P12"/>
    <mergeCell ref="U12:Y12"/>
    <mergeCell ref="AD12:AH12"/>
    <mergeCell ref="C7:G7"/>
    <mergeCell ref="L7:P7"/>
    <mergeCell ref="U7:Y7"/>
    <mergeCell ref="AD7:AH7"/>
    <mergeCell ref="C8:G8"/>
    <mergeCell ref="L8:P8"/>
    <mergeCell ref="U8:Y8"/>
    <mergeCell ref="AD8:AH8"/>
    <mergeCell ref="C9:G9"/>
    <mergeCell ref="L9:P9"/>
    <mergeCell ref="U9:Y9"/>
    <mergeCell ref="AD9:AH9"/>
    <mergeCell ref="C6:G6"/>
    <mergeCell ref="L6:P6"/>
    <mergeCell ref="U6:Y6"/>
    <mergeCell ref="AD6:AH6"/>
    <mergeCell ref="CG5:CH5"/>
    <mergeCell ref="CI5:CJ5"/>
    <mergeCell ref="CK5:CL5"/>
    <mergeCell ref="CM5:CN5"/>
    <mergeCell ref="CO5:CP5"/>
    <mergeCell ref="AC5:AH5"/>
    <mergeCell ref="B2:G3"/>
    <mergeCell ref="K3:L3"/>
    <mergeCell ref="M3:O3"/>
    <mergeCell ref="P3:S3"/>
    <mergeCell ref="CQ5:CR5"/>
    <mergeCell ref="CS5:CT5"/>
    <mergeCell ref="CU5:CV5"/>
    <mergeCell ref="CW5:CX5"/>
    <mergeCell ref="B1:F1"/>
    <mergeCell ref="G1:K1"/>
    <mergeCell ref="L1:P1"/>
    <mergeCell ref="Q1:U1"/>
    <mergeCell ref="T3:V3"/>
    <mergeCell ref="W3:X3"/>
    <mergeCell ref="B5:G5"/>
    <mergeCell ref="K5:P5"/>
    <mergeCell ref="T5:Y5"/>
  </mergeCells>
  <hyperlinks>
    <hyperlink ref="B1:D1" location="LinkSpellsKnown" display="Back to Spellcasting" xr:uid="{00000000-0004-0000-0C00-000000000000}"/>
    <hyperlink ref="G1:I1" location="LinkSpellsKnown" display="Back to Spellcasting" xr:uid="{00000000-0004-0000-0C00-000001000000}"/>
    <hyperlink ref="G1:K1" location="SpellsKnownEK" display="to Ranger Spells Known" xr:uid="{00000000-0004-0000-0C00-000002000000}"/>
    <hyperlink ref="L1:N1" location="LinkSpellsKnown" display="Back to Spellcasting" xr:uid="{00000000-0004-0000-0C00-000003000000}"/>
    <hyperlink ref="L1:P1" location="SheetSpellBook" display="to Wizard Spells Known" xr:uid="{00000000-0004-0000-0C00-000004000000}"/>
    <hyperlink ref="Q1:S1" location="LinkSpellsKnown" display="Back to Spellcasting" xr:uid="{00000000-0004-0000-0C00-000005000000}"/>
    <hyperlink ref="Q1:U1" location="SpellCastingIndex" display="to Spellcasting Index" xr:uid="{00000000-0004-0000-0C00-000006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35">
    <tabColor theme="4" tint="0.39997558519241921"/>
  </sheetPr>
  <dimension ref="A1:AY98"/>
  <sheetViews>
    <sheetView topLeftCell="U1" workbookViewId="0">
      <selection activeCell="AR6" sqref="AR6:AR35"/>
    </sheetView>
  </sheetViews>
  <sheetFormatPr defaultColWidth="4.7109375" defaultRowHeight="15" x14ac:dyDescent="0.25"/>
  <sheetData>
    <row r="1" spans="1:50" ht="17.25" thickTop="1" thickBot="1" x14ac:dyDescent="0.3">
      <c r="A1" s="120"/>
      <c r="B1" s="1049" t="s">
        <v>6626</v>
      </c>
      <c r="C1" s="1049"/>
      <c r="D1" s="1049"/>
      <c r="E1" s="1049"/>
      <c r="F1" s="1049"/>
      <c r="G1" s="1049" t="s">
        <v>6648</v>
      </c>
      <c r="H1" s="1049"/>
      <c r="I1" s="1049"/>
      <c r="J1" s="1049"/>
      <c r="K1" s="1049"/>
      <c r="L1" s="1050" t="s">
        <v>6657</v>
      </c>
      <c r="M1" s="1050"/>
      <c r="N1" s="1050"/>
      <c r="O1" s="1050"/>
      <c r="P1" s="1050"/>
      <c r="Q1" s="120"/>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row>
    <row r="2" spans="1:50" ht="15.75" thickTop="1" x14ac:dyDescent="0.25">
      <c r="A2" s="120"/>
      <c r="B2" s="1064" t="s">
        <v>1110</v>
      </c>
      <c r="C2" s="1064"/>
      <c r="D2" s="1064"/>
      <c r="E2" s="1046" t="s">
        <v>6407</v>
      </c>
      <c r="F2" s="1046"/>
      <c r="G2" s="1046" t="str">
        <f>PaladinOath</f>
        <v>none</v>
      </c>
      <c r="H2" s="1046"/>
      <c r="I2" s="1046"/>
      <c r="J2" s="1046" t="s">
        <v>6409</v>
      </c>
      <c r="K2" s="1046"/>
      <c r="L2" s="1046"/>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c r="AT2" s="120"/>
    </row>
    <row r="3" spans="1:50" x14ac:dyDescent="0.25">
      <c r="A3" s="120"/>
      <c r="B3" s="1064"/>
      <c r="C3" s="1064"/>
      <c r="D3" s="1064"/>
      <c r="E3" s="1046" t="s">
        <v>62</v>
      </c>
      <c r="F3" s="1046"/>
      <c r="G3" s="1046">
        <f>PaladinLevel</f>
        <v>0</v>
      </c>
      <c r="H3" s="1046"/>
      <c r="I3" s="1046"/>
      <c r="J3" s="1046" t="s">
        <v>6381</v>
      </c>
      <c r="K3" s="1046"/>
      <c r="L3" s="1046"/>
      <c r="M3" s="1072">
        <f>IF(G3=0,0,INT(G3/2)+ChaMOD)</f>
        <v>0</v>
      </c>
      <c r="N3" s="1072"/>
      <c r="O3" s="1072"/>
      <c r="P3" s="1046" t="s">
        <v>6382</v>
      </c>
      <c r="Q3" s="1046"/>
      <c r="R3" s="1046"/>
      <c r="S3" s="1072">
        <f>COUNTIF(S02_Cleric!$H$6:$H$35,"●")+COUNTIF(S02_Cleric!$Q$6:$Q$35,"●")+COUNTIF(S02_Cleric!$Z$6:$Z$35,"●")+COUNTIF(S02_Cleric!$AI$6:$AI$35,"●")+COUNTIF(S02_Cleric!$AR$6:$AR$35,"●")+COUNTIF(S02_Cleric!$BA$6:$BA$35,"●")+COUNTIF(S02_Cleric!$AR$6:$BJ$35,"●")++COUNTIF(S02_Cleric!$BS$6:$BS$35,"●")+COUNTIF(S02_Cleric!$CB$6:$CB$35,"●")</f>
        <v>9</v>
      </c>
      <c r="T3" s="1072"/>
      <c r="U3" s="1072"/>
      <c r="V3" s="1046" t="s">
        <v>6383</v>
      </c>
      <c r="W3" s="1046"/>
      <c r="X3" s="1046"/>
      <c r="Y3" s="1072">
        <f>PaladinMaxSpellLevel</f>
        <v>0</v>
      </c>
      <c r="Z3" s="1072"/>
      <c r="AA3" s="1072"/>
      <c r="AB3" s="120"/>
      <c r="AC3" s="120"/>
      <c r="AD3" s="120"/>
      <c r="AE3" s="120"/>
      <c r="AF3" s="120"/>
      <c r="AG3" s="120"/>
      <c r="AH3" s="120"/>
      <c r="AI3" s="120"/>
      <c r="AJ3" s="120"/>
      <c r="AK3" s="120"/>
      <c r="AL3" s="120"/>
      <c r="AM3" s="120"/>
      <c r="AN3" s="120"/>
      <c r="AO3" s="120"/>
      <c r="AP3" s="120"/>
      <c r="AQ3" s="120"/>
      <c r="AR3" s="120"/>
      <c r="AS3" s="120"/>
      <c r="AT3" s="120"/>
    </row>
    <row r="4" spans="1:50" x14ac:dyDescent="0.25">
      <c r="A4" s="120"/>
      <c r="B4" s="120"/>
      <c r="C4" s="120"/>
      <c r="D4" s="120"/>
      <c r="E4" s="120"/>
      <c r="F4" s="120"/>
      <c r="G4" s="120"/>
      <c r="H4" s="120"/>
      <c r="I4" s="545"/>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120"/>
      <c r="AT4" s="120"/>
    </row>
    <row r="5" spans="1:50" x14ac:dyDescent="0.25">
      <c r="A5" s="120"/>
      <c r="B5" s="1071" t="s">
        <v>6359</v>
      </c>
      <c r="C5" s="1071"/>
      <c r="D5" s="1071"/>
      <c r="E5" s="1071"/>
      <c r="F5" s="1071"/>
      <c r="G5" s="1071"/>
      <c r="H5" s="1071"/>
      <c r="I5" s="568" t="s">
        <v>6408</v>
      </c>
      <c r="J5" s="565"/>
      <c r="K5" s="1071" t="s">
        <v>6277</v>
      </c>
      <c r="L5" s="1071"/>
      <c r="M5" s="1071"/>
      <c r="N5" s="1071"/>
      <c r="O5" s="1071"/>
      <c r="P5" s="1071"/>
      <c r="Q5" s="1071"/>
      <c r="R5" s="568" t="s">
        <v>6408</v>
      </c>
      <c r="S5" s="565"/>
      <c r="T5" s="1071" t="s">
        <v>6279</v>
      </c>
      <c r="U5" s="1071"/>
      <c r="V5" s="1071"/>
      <c r="W5" s="1071"/>
      <c r="X5" s="1071"/>
      <c r="Y5" s="1071"/>
      <c r="Z5" s="1071"/>
      <c r="AA5" s="568" t="s">
        <v>6408</v>
      </c>
      <c r="AB5" s="565"/>
      <c r="AC5" s="1071" t="s">
        <v>6280</v>
      </c>
      <c r="AD5" s="1071"/>
      <c r="AE5" s="1071"/>
      <c r="AF5" s="1071"/>
      <c r="AG5" s="1071"/>
      <c r="AH5" s="1071"/>
      <c r="AI5" s="1071"/>
      <c r="AJ5" s="568" t="s">
        <v>6408</v>
      </c>
      <c r="AK5" s="565"/>
      <c r="AL5" s="1071" t="s">
        <v>6281</v>
      </c>
      <c r="AM5" s="1071"/>
      <c r="AN5" s="1071"/>
      <c r="AO5" s="1071"/>
      <c r="AP5" s="1071"/>
      <c r="AQ5" s="1071"/>
      <c r="AR5" s="1071"/>
      <c r="AS5" s="568" t="s">
        <v>6408</v>
      </c>
      <c r="AT5" s="565"/>
    </row>
    <row r="6" spans="1:50" ht="21" x14ac:dyDescent="0.25">
      <c r="A6" s="120"/>
      <c r="B6" s="5">
        <v>1</v>
      </c>
      <c r="C6" s="1061" t="str">
        <f>IFERROR(INDEX(T08_Spells!$B$3:$B$407,MATCH(B6,T08_Spells!$DS$3:$DS$407,0),1),"")</f>
        <v>Bless</v>
      </c>
      <c r="D6" s="1061"/>
      <c r="E6" s="1061"/>
      <c r="F6" s="1061"/>
      <c r="G6" s="1061"/>
      <c r="H6" s="567"/>
      <c r="I6" s="569" t="str">
        <f>IF(1&lt;=$Y$3,IF(C6&lt;&gt;"",IF(IFERROR(SEARCH(C6,$M$2,1),0)&gt;0,"●",""),""),"")</f>
        <v/>
      </c>
      <c r="J6" s="565">
        <f>IF(OR(H6="●",I6="●"),1,0)</f>
        <v>0</v>
      </c>
      <c r="K6" s="5">
        <v>1</v>
      </c>
      <c r="L6" s="1061" t="str">
        <f>IFERROR(INDEX(T08_Spells!$B$3:$B$407,MATCH(K6,T08_Spells!$DT$3:$DT$407,0),1),"")</f>
        <v>Aid</v>
      </c>
      <c r="M6" s="1061"/>
      <c r="N6" s="1061"/>
      <c r="O6" s="1061"/>
      <c r="P6" s="1061"/>
      <c r="Q6" s="567"/>
      <c r="R6" s="569" t="str">
        <f>IF(1&lt;=$Y$3,IF(L6&lt;&gt;"",IF(IFERROR(SEARCH(L6,$M$2,1),0)&gt;0,"●",""),""),"")</f>
        <v/>
      </c>
      <c r="S6" s="565">
        <f>IF(OR(Q6="●",R6="●"),1,0)</f>
        <v>0</v>
      </c>
      <c r="T6" s="5">
        <v>1</v>
      </c>
      <c r="U6" s="1061" t="str">
        <f>IFERROR(INDEX(T08_Spells!$B$3:$B$407,MATCH(T6,T08_Spells!$DU$3:$DU$407,0),1),"")</f>
        <v>Aura of Vitality</v>
      </c>
      <c r="V6" s="1061"/>
      <c r="W6" s="1061"/>
      <c r="X6" s="1061"/>
      <c r="Y6" s="1061"/>
      <c r="Z6" s="567"/>
      <c r="AA6" s="569" t="str">
        <f>IF(1&lt;=$Y$3,IF(U6&lt;&gt;"",IF(IFERROR(SEARCH(U6,$M$2,1),0)&gt;0,"●",""),""),"")</f>
        <v/>
      </c>
      <c r="AB6" s="565">
        <f>IF(OR(Z6="●",AA6="●"),1,0)</f>
        <v>0</v>
      </c>
      <c r="AC6" s="5">
        <v>1</v>
      </c>
      <c r="AD6" s="1061" t="str">
        <f>IFERROR(INDEX(T08_Spells!$B$3:$B$407,MATCH(AC6,T08_Spells!$DV$3:$DV$407,0),1),"")</f>
        <v>Aura of Life</v>
      </c>
      <c r="AE6" s="1061"/>
      <c r="AF6" s="1061"/>
      <c r="AG6" s="1061"/>
      <c r="AH6" s="1061"/>
      <c r="AI6" s="567"/>
      <c r="AJ6" s="569" t="str">
        <f>IF(1&lt;=$Y$3,IF(AD6&lt;&gt;"",IF(IFERROR(SEARCH(AD6,$M$2,1),0)&gt;0,"●",""),""),"")</f>
        <v/>
      </c>
      <c r="AK6" s="565">
        <f>IF(OR(AI6="●",AJ6="●"),1,0)</f>
        <v>0</v>
      </c>
      <c r="AL6" s="5">
        <v>1</v>
      </c>
      <c r="AM6" s="1061" t="str">
        <f>IFERROR(INDEX(T08_Spells!$B$3:$B$407,MATCH(AL6,T08_Spells!$DV$3:$DV$407,0),1),"")</f>
        <v>Aura of Life</v>
      </c>
      <c r="AN6" s="1061"/>
      <c r="AO6" s="1061"/>
      <c r="AP6" s="1061"/>
      <c r="AQ6" s="1061"/>
      <c r="AR6" s="567"/>
      <c r="AS6" s="569" t="str">
        <f>IF(1&lt;=$Y$3,IF(AM6&lt;&gt;"",IF(IFERROR(SEARCH(AM6,$M$2,1),0)&gt;0,"●",""),""),"")</f>
        <v/>
      </c>
      <c r="AT6" s="565">
        <f>IF(OR(AR6="●",AS6="●"),1,0)</f>
        <v>0</v>
      </c>
      <c r="AW6">
        <v>1</v>
      </c>
      <c r="AX6" s="549" t="str">
        <f>IF(AW6&lt;=PaladinMaxSpellLevel,"●","")</f>
        <v/>
      </c>
    </row>
    <row r="7" spans="1:50" ht="21" x14ac:dyDescent="0.25">
      <c r="A7" s="120"/>
      <c r="B7" s="5">
        <v>2</v>
      </c>
      <c r="C7" s="1061" t="str">
        <f>IFERROR(INDEX(T08_Spells!$B$3:$B$407,MATCH(B7,T08_Spells!$DS$3:$DS$407,0),1),"")</f>
        <v>Command</v>
      </c>
      <c r="D7" s="1061"/>
      <c r="E7" s="1061"/>
      <c r="F7" s="1061"/>
      <c r="G7" s="1061"/>
      <c r="H7" s="567"/>
      <c r="I7" s="569" t="str">
        <f t="shared" ref="I7:I35" si="0">IF(1&lt;=$Y$3,IF(C7&lt;&gt;"",IF(IFERROR(SEARCH(C7,$M$2,1),0)&gt;0,"●",""),""),"")</f>
        <v/>
      </c>
      <c r="J7" s="565">
        <f>IF(OR(H7="●",I7="●"),1+COUNTIF(J6:J$6,"&gt;0"),0)</f>
        <v>0</v>
      </c>
      <c r="K7" s="5">
        <v>2</v>
      </c>
      <c r="L7" s="1061" t="str">
        <f>IFERROR(INDEX(T08_Spells!$B$3:$B$407,MATCH(K7,T08_Spells!$DT$3:$DT$407,0),1),"")</f>
        <v>Branding Smite</v>
      </c>
      <c r="M7" s="1061"/>
      <c r="N7" s="1061"/>
      <c r="O7" s="1061"/>
      <c r="P7" s="1061"/>
      <c r="Q7" s="567"/>
      <c r="R7" s="569" t="str">
        <f t="shared" ref="R7:R35" si="1">IF(1&lt;=$Y$3,IF(L7&lt;&gt;"",IF(IFERROR(SEARCH(L7,$M$2,1),0)&gt;0,"●",""),""),"")</f>
        <v/>
      </c>
      <c r="S7" s="565">
        <f>IF(OR(Q7="●",R7="●"),1+COUNTIF(S6:S$6,"&gt;0"),0)</f>
        <v>0</v>
      </c>
      <c r="T7" s="5">
        <v>2</v>
      </c>
      <c r="U7" s="1061" t="str">
        <f>IFERROR(INDEX(T08_Spells!$B$3:$B$407,MATCH(T7,T08_Spells!$DU$3:$DU$407,0),1),"")</f>
        <v>Blinding Smite</v>
      </c>
      <c r="V7" s="1061"/>
      <c r="W7" s="1061"/>
      <c r="X7" s="1061"/>
      <c r="Y7" s="1061"/>
      <c r="Z7" s="567"/>
      <c r="AA7" s="569" t="str">
        <f t="shared" ref="AA7:AA35" si="2">IF(1&lt;=$Y$3,IF(U7&lt;&gt;"",IF(IFERROR(SEARCH(U7,$M$2,1),0)&gt;0,"●",""),""),"")</f>
        <v/>
      </c>
      <c r="AB7" s="565">
        <f>IF(OR(Z7="●",AA7="●"),1+COUNTIF(AB6:AB$6,"&gt;0"),0)</f>
        <v>0</v>
      </c>
      <c r="AC7" s="5">
        <v>2</v>
      </c>
      <c r="AD7" s="1061" t="str">
        <f>IFERROR(INDEX(T08_Spells!$B$3:$B$407,MATCH(AC7,T08_Spells!$DV$3:$DV$407,0),1),"")</f>
        <v>Aura of Purity</v>
      </c>
      <c r="AE7" s="1061"/>
      <c r="AF7" s="1061"/>
      <c r="AG7" s="1061"/>
      <c r="AH7" s="1061"/>
      <c r="AI7" s="567"/>
      <c r="AJ7" s="569" t="str">
        <f t="shared" ref="AJ7:AJ35" si="3">IF(1&lt;=$Y$3,IF(AD7&lt;&gt;"",IF(IFERROR(SEARCH(AD7,$M$2,1),0)&gt;0,"●",""),""),"")</f>
        <v/>
      </c>
      <c r="AK7" s="565">
        <f>IF(OR(AI7="●",AJ7="●"),1+COUNTIF(AK6:AK$6,"&gt;0"),0)</f>
        <v>0</v>
      </c>
      <c r="AL7" s="5">
        <v>2</v>
      </c>
      <c r="AM7" s="1061" t="str">
        <f>IFERROR(INDEX(T08_Spells!$B$3:$B$407,MATCH(AL7,T08_Spells!$DV$3:$DV$407,0),1),"")</f>
        <v>Aura of Purity</v>
      </c>
      <c r="AN7" s="1061"/>
      <c r="AO7" s="1061"/>
      <c r="AP7" s="1061"/>
      <c r="AQ7" s="1061"/>
      <c r="AR7" s="567"/>
      <c r="AS7" s="569" t="str">
        <f t="shared" ref="AS7:AS35" si="4">IF(1&lt;=$Y$3,IF(AM7&lt;&gt;"",IF(IFERROR(SEARCH(AM7,$M$2,1),0)&gt;0,"●",""),""),"")</f>
        <v/>
      </c>
      <c r="AT7" s="565">
        <f>IF(OR(AR7="●",AS7="●"),1+COUNTIF(AT6:AT$6,"&gt;0"),0)</f>
        <v>0</v>
      </c>
      <c r="AW7">
        <v>2</v>
      </c>
      <c r="AX7" s="549" t="str">
        <f>IF(AW7&lt;=PaladinMaxSpellLevel,"●","")</f>
        <v/>
      </c>
    </row>
    <row r="8" spans="1:50" ht="21" x14ac:dyDescent="0.25">
      <c r="A8" s="120"/>
      <c r="B8" s="5">
        <v>3</v>
      </c>
      <c r="C8" s="1061" t="str">
        <f>IFERROR(INDEX(T08_Spells!$B$3:$B$407,MATCH(B8,T08_Spells!$DS$3:$DS$407,0),1),"")</f>
        <v>Compelled Duel</v>
      </c>
      <c r="D8" s="1061"/>
      <c r="E8" s="1061"/>
      <c r="F8" s="1061"/>
      <c r="G8" s="1061"/>
      <c r="H8" s="567"/>
      <c r="I8" s="569" t="str">
        <f t="shared" si="0"/>
        <v/>
      </c>
      <c r="J8" s="565">
        <f>IF(OR(H8="●",I8="●"),1+COUNTIF(J$6:J7,"&gt;0"),0)</f>
        <v>0</v>
      </c>
      <c r="K8" s="5">
        <v>3</v>
      </c>
      <c r="L8" s="1061" t="str">
        <f>IFERROR(INDEX(T08_Spells!$B$3:$B$407,MATCH(K8,T08_Spells!$DT$3:$DT$407,0),1),"")</f>
        <v>Find Steed</v>
      </c>
      <c r="M8" s="1061"/>
      <c r="N8" s="1061"/>
      <c r="O8" s="1061"/>
      <c r="P8" s="1061"/>
      <c r="Q8" s="567"/>
      <c r="R8" s="569" t="str">
        <f t="shared" si="1"/>
        <v/>
      </c>
      <c r="S8" s="565">
        <f>IF(OR(Q8="●",R8="●"),1+COUNTIF(S$6:S7,"&gt;0"),0)</f>
        <v>0</v>
      </c>
      <c r="T8" s="5">
        <v>3</v>
      </c>
      <c r="U8" s="1061" t="str">
        <f>IFERROR(INDEX(T08_Spells!$B$3:$B$407,MATCH(T8,T08_Spells!$DU$3:$DU$407,0),1),"")</f>
        <v>Create Food and Water</v>
      </c>
      <c r="V8" s="1061"/>
      <c r="W8" s="1061"/>
      <c r="X8" s="1061"/>
      <c r="Y8" s="1061"/>
      <c r="Z8" s="567"/>
      <c r="AA8" s="569" t="str">
        <f t="shared" si="2"/>
        <v/>
      </c>
      <c r="AB8" s="565">
        <f>IF(OR(Z8="●",AA8="●"),1+COUNTIF(AB$6:AB7,"&gt;0"),0)</f>
        <v>0</v>
      </c>
      <c r="AC8" s="5">
        <v>3</v>
      </c>
      <c r="AD8" s="1061" t="str">
        <f>IFERROR(INDEX(T08_Spells!$B$3:$B$407,MATCH(AC8,T08_Spells!$DV$3:$DV$407,0),1),"")</f>
        <v>Banishment</v>
      </c>
      <c r="AE8" s="1061"/>
      <c r="AF8" s="1061"/>
      <c r="AG8" s="1061"/>
      <c r="AH8" s="1061"/>
      <c r="AI8" s="567"/>
      <c r="AJ8" s="569" t="str">
        <f t="shared" si="3"/>
        <v/>
      </c>
      <c r="AK8" s="565">
        <f>IF(OR(AI8="●",AJ8="●"),1+COUNTIF(AK$6:AK7,"&gt;0"),0)</f>
        <v>0</v>
      </c>
      <c r="AL8" s="5">
        <v>3</v>
      </c>
      <c r="AM8" s="1061" t="str">
        <f>IFERROR(INDEX(T08_Spells!$B$3:$B$407,MATCH(AL8,T08_Spells!$DV$3:$DV$407,0),1),"")</f>
        <v>Banishment</v>
      </c>
      <c r="AN8" s="1061"/>
      <c r="AO8" s="1061"/>
      <c r="AP8" s="1061"/>
      <c r="AQ8" s="1061"/>
      <c r="AR8" s="567"/>
      <c r="AS8" s="569" t="str">
        <f t="shared" si="4"/>
        <v/>
      </c>
      <c r="AT8" s="565">
        <f>IF(OR(AR8="●",AS8="●"),1+COUNTIF(AT$6:AT7,"&gt;0"),0)</f>
        <v>0</v>
      </c>
      <c r="AW8">
        <v>3</v>
      </c>
      <c r="AX8" s="549" t="str">
        <f>IF(AW8&lt;=PaladinMaxSpellLevel,"●","")</f>
        <v/>
      </c>
    </row>
    <row r="9" spans="1:50" ht="21" x14ac:dyDescent="0.25">
      <c r="A9" s="120"/>
      <c r="B9" s="5">
        <v>4</v>
      </c>
      <c r="C9" s="1061" t="str">
        <f>IFERROR(INDEX(T08_Spells!$B$3:$B$407,MATCH(B9,T08_Spells!$DS$3:$DS$407,0),1),"")</f>
        <v>Cure Wounds</v>
      </c>
      <c r="D9" s="1061"/>
      <c r="E9" s="1061"/>
      <c r="F9" s="1061"/>
      <c r="G9" s="1061"/>
      <c r="H9" s="567"/>
      <c r="I9" s="569" t="str">
        <f t="shared" si="0"/>
        <v/>
      </c>
      <c r="J9" s="565">
        <f>IF(OR(H9="●",I9="●"),1+COUNTIF(J$6:J8,"&gt;0"),0)</f>
        <v>0</v>
      </c>
      <c r="K9" s="5">
        <v>4</v>
      </c>
      <c r="L9" s="1061" t="str">
        <f>IFERROR(INDEX(T08_Spells!$B$3:$B$407,MATCH(K9,T08_Spells!$DT$3:$DT$407,0),1),"")</f>
        <v>Lesser Restoration</v>
      </c>
      <c r="M9" s="1061"/>
      <c r="N9" s="1061"/>
      <c r="O9" s="1061"/>
      <c r="P9" s="1061"/>
      <c r="Q9" s="567"/>
      <c r="R9" s="569" t="str">
        <f t="shared" si="1"/>
        <v/>
      </c>
      <c r="S9" s="565">
        <f>IF(OR(Q9="●",R9="●"),1+COUNTIF(S$6:S8,"&gt;0"),0)</f>
        <v>0</v>
      </c>
      <c r="T9" s="5">
        <v>4</v>
      </c>
      <c r="U9" s="1061" t="str">
        <f>IFERROR(INDEX(T08_Spells!$B$3:$B$407,MATCH(T9,T08_Spells!$DU$3:$DU$407,0),1),"")</f>
        <v>Crusader's Mantle</v>
      </c>
      <c r="V9" s="1061"/>
      <c r="W9" s="1061"/>
      <c r="X9" s="1061"/>
      <c r="Y9" s="1061"/>
      <c r="Z9" s="567"/>
      <c r="AA9" s="569" t="str">
        <f t="shared" si="2"/>
        <v/>
      </c>
      <c r="AB9" s="565">
        <f>IF(OR(Z9="●",AA9="●"),1+COUNTIF(AB$6:AB8,"&gt;0"),0)</f>
        <v>0</v>
      </c>
      <c r="AC9" s="5">
        <v>4</v>
      </c>
      <c r="AD9" s="1061" t="str">
        <f>IFERROR(INDEX(T08_Spells!$B$3:$B$407,MATCH(AC9,T08_Spells!$DV$3:$DV$407,0),1),"")</f>
        <v>Death Ward</v>
      </c>
      <c r="AE9" s="1061"/>
      <c r="AF9" s="1061"/>
      <c r="AG9" s="1061"/>
      <c r="AH9" s="1061"/>
      <c r="AI9" s="567"/>
      <c r="AJ9" s="569" t="str">
        <f t="shared" si="3"/>
        <v/>
      </c>
      <c r="AK9" s="565">
        <f>IF(OR(AI9="●",AJ9="●"),1+COUNTIF(AK$6:AK8,"&gt;0"),0)</f>
        <v>0</v>
      </c>
      <c r="AL9" s="5">
        <v>4</v>
      </c>
      <c r="AM9" s="1061" t="str">
        <f>IFERROR(INDEX(T08_Spells!$B$3:$B$407,MATCH(AL9,T08_Spells!$DV$3:$DV$407,0),1),"")</f>
        <v>Death Ward</v>
      </c>
      <c r="AN9" s="1061"/>
      <c r="AO9" s="1061"/>
      <c r="AP9" s="1061"/>
      <c r="AQ9" s="1061"/>
      <c r="AR9" s="567"/>
      <c r="AS9" s="569" t="str">
        <f t="shared" si="4"/>
        <v/>
      </c>
      <c r="AT9" s="565">
        <f>IF(OR(AR9="●",AS9="●"),1+COUNTIF(AT$6:AT8,"&gt;0"),0)</f>
        <v>0</v>
      </c>
      <c r="AW9">
        <v>4</v>
      </c>
      <c r="AX9" s="549" t="str">
        <f>IF(AW9&lt;=PaladinMaxSpellLevel,"●","")</f>
        <v/>
      </c>
    </row>
    <row r="10" spans="1:50" ht="21" x14ac:dyDescent="0.25">
      <c r="A10" s="120"/>
      <c r="B10" s="5">
        <v>5</v>
      </c>
      <c r="C10" s="1061" t="str">
        <f>IFERROR(INDEX(T08_Spells!$B$3:$B$407,MATCH(B10,T08_Spells!$DS$3:$DS$407,0),1),"")</f>
        <v>Detect Evil and Good</v>
      </c>
      <c r="D10" s="1061"/>
      <c r="E10" s="1061"/>
      <c r="F10" s="1061"/>
      <c r="G10" s="1061"/>
      <c r="H10" s="567"/>
      <c r="I10" s="569" t="str">
        <f t="shared" si="0"/>
        <v/>
      </c>
      <c r="J10" s="565">
        <f>IF(OR(H10="●",I10="●"),1+COUNTIF(J$6:J9,"&gt;0"),0)</f>
        <v>0</v>
      </c>
      <c r="K10" s="5">
        <v>5</v>
      </c>
      <c r="L10" s="1061" t="str">
        <f>IFERROR(INDEX(T08_Spells!$B$3:$B$407,MATCH(K10,T08_Spells!$DT$3:$DT$407,0),1),"")</f>
        <v>Locate Object</v>
      </c>
      <c r="M10" s="1061"/>
      <c r="N10" s="1061"/>
      <c r="O10" s="1061"/>
      <c r="P10" s="1061"/>
      <c r="Q10" s="567"/>
      <c r="R10" s="569" t="str">
        <f t="shared" si="1"/>
        <v/>
      </c>
      <c r="S10" s="565">
        <f>IF(OR(Q10="●",R10="●"),1+COUNTIF(S$6:S9,"&gt;0"),0)</f>
        <v>0</v>
      </c>
      <c r="T10" s="5">
        <v>5</v>
      </c>
      <c r="U10" s="1061" t="str">
        <f>IFERROR(INDEX(T08_Spells!$B$3:$B$407,MATCH(T10,T08_Spells!$DU$3:$DU$407,0),1),"")</f>
        <v>Daylight</v>
      </c>
      <c r="V10" s="1061"/>
      <c r="W10" s="1061"/>
      <c r="X10" s="1061"/>
      <c r="Y10" s="1061"/>
      <c r="Z10" s="567"/>
      <c r="AA10" s="569" t="str">
        <f t="shared" si="2"/>
        <v/>
      </c>
      <c r="AB10" s="565">
        <f>IF(OR(Z10="●",AA10="●"),1+COUNTIF(AB$6:AB9,"&gt;0"),0)</f>
        <v>0</v>
      </c>
      <c r="AC10" s="5">
        <v>5</v>
      </c>
      <c r="AD10" s="1061" t="str">
        <f>IFERROR(INDEX(T08_Spells!$B$3:$B$407,MATCH(AC10,T08_Spells!$DV$3:$DV$407,0),1),"")</f>
        <v>Locate Creature</v>
      </c>
      <c r="AE10" s="1061"/>
      <c r="AF10" s="1061"/>
      <c r="AG10" s="1061"/>
      <c r="AH10" s="1061"/>
      <c r="AI10" s="567"/>
      <c r="AJ10" s="569" t="str">
        <f t="shared" si="3"/>
        <v/>
      </c>
      <c r="AK10" s="565">
        <f>IF(OR(AI10="●",AJ10="●"),1+COUNTIF(AK$6:AK9,"&gt;0"),0)</f>
        <v>0</v>
      </c>
      <c r="AL10" s="5">
        <v>5</v>
      </c>
      <c r="AM10" s="1061" t="str">
        <f>IFERROR(INDEX(T08_Spells!$B$3:$B$407,MATCH(AL10,T08_Spells!$DV$3:$DV$407,0),1),"")</f>
        <v>Locate Creature</v>
      </c>
      <c r="AN10" s="1061"/>
      <c r="AO10" s="1061"/>
      <c r="AP10" s="1061"/>
      <c r="AQ10" s="1061"/>
      <c r="AR10" s="567"/>
      <c r="AS10" s="569" t="str">
        <f t="shared" si="4"/>
        <v/>
      </c>
      <c r="AT10" s="565">
        <f>IF(OR(AR10="●",AS10="●"),1+COUNTIF(AT$6:AT9,"&gt;0"),0)</f>
        <v>0</v>
      </c>
      <c r="AW10">
        <v>5</v>
      </c>
      <c r="AX10" s="549" t="str">
        <f>IF(AW10&lt;=PaladinMaxSpellLevel,"●","")</f>
        <v/>
      </c>
    </row>
    <row r="11" spans="1:50" ht="21" x14ac:dyDescent="0.25">
      <c r="A11" s="120"/>
      <c r="B11" s="5">
        <v>6</v>
      </c>
      <c r="C11" s="1061" t="str">
        <f>IFERROR(INDEX(T08_Spells!$B$3:$B$407,MATCH(B11,T08_Spells!$DS$3:$DS$407,0),1),"")</f>
        <v>Detect Magic</v>
      </c>
      <c r="D11" s="1061"/>
      <c r="E11" s="1061"/>
      <c r="F11" s="1061"/>
      <c r="G11" s="1061"/>
      <c r="H11" s="567"/>
      <c r="I11" s="569" t="str">
        <f t="shared" si="0"/>
        <v/>
      </c>
      <c r="J11" s="565">
        <f>IF(OR(H11="●",I11="●"),1+COUNTIF(J$6:J10,"&gt;0"),0)</f>
        <v>0</v>
      </c>
      <c r="K11" s="5">
        <v>6</v>
      </c>
      <c r="L11" s="1061" t="str">
        <f>IFERROR(INDEX(T08_Spells!$B$3:$B$407,MATCH(K11,T08_Spells!$DT$3:$DT$407,0),1),"")</f>
        <v>Magic Weapon</v>
      </c>
      <c r="M11" s="1061"/>
      <c r="N11" s="1061"/>
      <c r="O11" s="1061"/>
      <c r="P11" s="1061"/>
      <c r="Q11" s="567"/>
      <c r="R11" s="569" t="str">
        <f t="shared" si="1"/>
        <v/>
      </c>
      <c r="S11" s="565">
        <f>IF(OR(Q11="●",R11="●"),1+COUNTIF(S$6:S10,"&gt;0"),0)</f>
        <v>0</v>
      </c>
      <c r="T11" s="5">
        <v>6</v>
      </c>
      <c r="U11" s="1061" t="str">
        <f>IFERROR(INDEX(T08_Spells!$B$3:$B$407,MATCH(T11,T08_Spells!$DU$3:$DU$407,0),1),"")</f>
        <v>Dispel Magic</v>
      </c>
      <c r="V11" s="1061"/>
      <c r="W11" s="1061"/>
      <c r="X11" s="1061"/>
      <c r="Y11" s="1061"/>
      <c r="Z11" s="567"/>
      <c r="AA11" s="569" t="str">
        <f t="shared" si="2"/>
        <v/>
      </c>
      <c r="AB11" s="565">
        <f>IF(OR(Z11="●",AA11="●"),1+COUNTIF(AB$6:AB10,"&gt;0"),0)</f>
        <v>0</v>
      </c>
      <c r="AC11" s="5">
        <v>6</v>
      </c>
      <c r="AD11" s="1061" t="str">
        <f>IFERROR(INDEX(T08_Spells!$B$3:$B$407,MATCH(AC11,T08_Spells!$DV$3:$DV$407,0),1),"")</f>
        <v>Staggering Smite</v>
      </c>
      <c r="AE11" s="1061"/>
      <c r="AF11" s="1061"/>
      <c r="AG11" s="1061"/>
      <c r="AH11" s="1061"/>
      <c r="AI11" s="567"/>
      <c r="AJ11" s="569" t="str">
        <f t="shared" si="3"/>
        <v/>
      </c>
      <c r="AK11" s="565">
        <f>IF(OR(AI11="●",AJ11="●"),1+COUNTIF(AK$6:AK10,"&gt;0"),0)</f>
        <v>0</v>
      </c>
      <c r="AL11" s="5">
        <v>6</v>
      </c>
      <c r="AM11" s="1061" t="str">
        <f>IFERROR(INDEX(T08_Spells!$B$3:$B$407,MATCH(AL11,T08_Spells!$DV$3:$DV$407,0),1),"")</f>
        <v>Staggering Smite</v>
      </c>
      <c r="AN11" s="1061"/>
      <c r="AO11" s="1061"/>
      <c r="AP11" s="1061"/>
      <c r="AQ11" s="1061"/>
      <c r="AR11" s="567"/>
      <c r="AS11" s="569" t="str">
        <f t="shared" si="4"/>
        <v/>
      </c>
      <c r="AT11" s="565">
        <f>IF(OR(AR11="●",AS11="●"),1+COUNTIF(AT$6:AT10,"&gt;0"),0)</f>
        <v>0</v>
      </c>
      <c r="AX11" s="549"/>
    </row>
    <row r="12" spans="1:50" ht="21" x14ac:dyDescent="0.25">
      <c r="A12" s="120"/>
      <c r="B12" s="5">
        <v>7</v>
      </c>
      <c r="C12" s="1061" t="str">
        <f>IFERROR(INDEX(T08_Spells!$B$3:$B$407,MATCH(B12,T08_Spells!$DS$3:$DS$407,0),1),"")</f>
        <v>Detect Poison and Disease</v>
      </c>
      <c r="D12" s="1061"/>
      <c r="E12" s="1061"/>
      <c r="F12" s="1061"/>
      <c r="G12" s="1061"/>
      <c r="H12" s="567"/>
      <c r="I12" s="569" t="str">
        <f t="shared" si="0"/>
        <v/>
      </c>
      <c r="J12" s="565">
        <f>IF(OR(H12="●",I12="●"),1+COUNTIF(J$6:J11,"&gt;0"),0)</f>
        <v>0</v>
      </c>
      <c r="K12" s="5">
        <v>7</v>
      </c>
      <c r="L12" s="1061" t="str">
        <f>IFERROR(INDEX(T08_Spells!$B$3:$B$407,MATCH(K12,T08_Spells!$DT$3:$DT$407,0),1),"")</f>
        <v>Protection from Poison</v>
      </c>
      <c r="M12" s="1061"/>
      <c r="N12" s="1061"/>
      <c r="O12" s="1061"/>
      <c r="P12" s="1061"/>
      <c r="Q12" s="567"/>
      <c r="R12" s="569" t="str">
        <f t="shared" si="1"/>
        <v/>
      </c>
      <c r="S12" s="565">
        <f>IF(OR(Q12="●",R12="●"),1+COUNTIF(S$6:S11,"&gt;0"),0)</f>
        <v>0</v>
      </c>
      <c r="T12" s="5">
        <v>7</v>
      </c>
      <c r="U12" s="1061" t="str">
        <f>IFERROR(INDEX(T08_Spells!$B$3:$B$407,MATCH(T12,T08_Spells!$DU$3:$DU$407,0),1),"")</f>
        <v>Elemental Weapon</v>
      </c>
      <c r="V12" s="1061"/>
      <c r="W12" s="1061"/>
      <c r="X12" s="1061"/>
      <c r="Y12" s="1061"/>
      <c r="Z12" s="567"/>
      <c r="AA12" s="569" t="str">
        <f t="shared" si="2"/>
        <v/>
      </c>
      <c r="AB12" s="565">
        <f>IF(OR(Z12="●",AA12="●"),1+COUNTIF(AB$6:AB11,"&gt;0"),0)</f>
        <v>0</v>
      </c>
      <c r="AC12" s="5">
        <v>7</v>
      </c>
      <c r="AD12" s="1061" t="str">
        <f>IFERROR(INDEX(T08_Spells!$B$3:$B$407,MATCH(AC12,T08_Spells!$DV$3:$DV$407,0),1),"")</f>
        <v/>
      </c>
      <c r="AE12" s="1061"/>
      <c r="AF12" s="1061"/>
      <c r="AG12" s="1061"/>
      <c r="AH12" s="1061"/>
      <c r="AI12" s="567"/>
      <c r="AJ12" s="569" t="str">
        <f t="shared" si="3"/>
        <v/>
      </c>
      <c r="AK12" s="565">
        <f>IF(OR(AI12="●",AJ12="●"),1+COUNTIF(AK$6:AK11,"&gt;0"),0)</f>
        <v>0</v>
      </c>
      <c r="AL12" s="5">
        <v>7</v>
      </c>
      <c r="AM12" s="1061" t="str">
        <f>IFERROR(INDEX(T08_Spells!$B$3:$B$407,MATCH(AL12,T08_Spells!$DV$3:$DV$407,0),1),"")</f>
        <v/>
      </c>
      <c r="AN12" s="1061"/>
      <c r="AO12" s="1061"/>
      <c r="AP12" s="1061"/>
      <c r="AQ12" s="1061"/>
      <c r="AR12" s="567"/>
      <c r="AS12" s="569" t="str">
        <f t="shared" si="4"/>
        <v/>
      </c>
      <c r="AT12" s="565">
        <f>IF(OR(AR12="●",AS12="●"),1+COUNTIF(AT$6:AT11,"&gt;0"),0)</f>
        <v>0</v>
      </c>
      <c r="AX12" s="549"/>
    </row>
    <row r="13" spans="1:50" ht="21" x14ac:dyDescent="0.25">
      <c r="A13" s="120"/>
      <c r="B13" s="5">
        <v>8</v>
      </c>
      <c r="C13" s="1061" t="str">
        <f>IFERROR(INDEX(T08_Spells!$B$3:$B$407,MATCH(B13,T08_Spells!$DS$3:$DS$407,0),1),"")</f>
        <v>Divine Favor</v>
      </c>
      <c r="D13" s="1061"/>
      <c r="E13" s="1061"/>
      <c r="F13" s="1061"/>
      <c r="G13" s="1061"/>
      <c r="H13" s="567"/>
      <c r="I13" s="569" t="str">
        <f t="shared" si="0"/>
        <v/>
      </c>
      <c r="J13" s="565">
        <f>IF(OR(H13="●",I13="●"),1+COUNTIF(J$6:J12,"&gt;0"),0)</f>
        <v>0</v>
      </c>
      <c r="K13" s="5">
        <v>8</v>
      </c>
      <c r="L13" s="1061" t="str">
        <f>IFERROR(INDEX(T08_Spells!$B$3:$B$407,MATCH(K13,T08_Spells!$DT$3:$DT$407,0),1),"")</f>
        <v>Zone of Truth</v>
      </c>
      <c r="M13" s="1061"/>
      <c r="N13" s="1061"/>
      <c r="O13" s="1061"/>
      <c r="P13" s="1061"/>
      <c r="Q13" s="567"/>
      <c r="R13" s="569" t="str">
        <f t="shared" si="1"/>
        <v/>
      </c>
      <c r="S13" s="565">
        <f>IF(OR(Q13="●",R13="●"),1+COUNTIF(S$6:S12,"&gt;0"),0)</f>
        <v>0</v>
      </c>
      <c r="T13" s="5">
        <v>8</v>
      </c>
      <c r="U13" s="1061" t="str">
        <f>IFERROR(INDEX(T08_Spells!$B$3:$B$407,MATCH(T13,T08_Spells!$DU$3:$DU$407,0),1),"")</f>
        <v>Magic Circle</v>
      </c>
      <c r="V13" s="1061"/>
      <c r="W13" s="1061"/>
      <c r="X13" s="1061"/>
      <c r="Y13" s="1061"/>
      <c r="Z13" s="567"/>
      <c r="AA13" s="569" t="str">
        <f t="shared" si="2"/>
        <v/>
      </c>
      <c r="AB13" s="565">
        <f>IF(OR(Z13="●",AA13="●"),1+COUNTIF(AB$6:AB12,"&gt;0"),0)</f>
        <v>0</v>
      </c>
      <c r="AC13" s="5">
        <v>8</v>
      </c>
      <c r="AD13" s="1061" t="str">
        <f>IFERROR(INDEX(T08_Spells!$B$3:$B$407,MATCH(AC13,T08_Spells!$DV$3:$DV$407,0),1),"")</f>
        <v/>
      </c>
      <c r="AE13" s="1061"/>
      <c r="AF13" s="1061"/>
      <c r="AG13" s="1061"/>
      <c r="AH13" s="1061"/>
      <c r="AI13" s="567"/>
      <c r="AJ13" s="569" t="str">
        <f t="shared" si="3"/>
        <v/>
      </c>
      <c r="AK13" s="565">
        <f>IF(OR(AI13="●",AJ13="●"),1+COUNTIF(AK$6:AK12,"&gt;0"),0)</f>
        <v>0</v>
      </c>
      <c r="AL13" s="5">
        <v>8</v>
      </c>
      <c r="AM13" s="1061" t="str">
        <f>IFERROR(INDEX(T08_Spells!$B$3:$B$407,MATCH(AL13,T08_Spells!$DV$3:$DV$407,0),1),"")</f>
        <v/>
      </c>
      <c r="AN13" s="1061"/>
      <c r="AO13" s="1061"/>
      <c r="AP13" s="1061"/>
      <c r="AQ13" s="1061"/>
      <c r="AR13" s="567"/>
      <c r="AS13" s="569" t="str">
        <f t="shared" si="4"/>
        <v/>
      </c>
      <c r="AT13" s="565">
        <f>IF(OR(AR13="●",AS13="●"),1+COUNTIF(AT$6:AT12,"&gt;0"),0)</f>
        <v>0</v>
      </c>
      <c r="AX13" s="549"/>
    </row>
    <row r="14" spans="1:50" ht="21" x14ac:dyDescent="0.25">
      <c r="A14" s="120"/>
      <c r="B14" s="5">
        <v>9</v>
      </c>
      <c r="C14" s="1061" t="str">
        <f>IFERROR(INDEX(T08_Spells!$B$3:$B$407,MATCH(B14,T08_Spells!$DS$3:$DS$407,0),1),"")</f>
        <v>Heroism</v>
      </c>
      <c r="D14" s="1061"/>
      <c r="E14" s="1061"/>
      <c r="F14" s="1061"/>
      <c r="G14" s="1061"/>
      <c r="H14" s="567"/>
      <c r="I14" s="569" t="str">
        <f t="shared" si="0"/>
        <v/>
      </c>
      <c r="J14" s="565">
        <f>IF(OR(H14="●",I14="●"),1+COUNTIF(J$6:J13,"&gt;0"),0)</f>
        <v>0</v>
      </c>
      <c r="K14" s="5">
        <v>9</v>
      </c>
      <c r="L14" s="1061" t="str">
        <f>IFERROR(INDEX(T08_Spells!$B$3:$B$407,MATCH(K14,T08_Spells!$DT$3:$DT$407,0),1),"")</f>
        <v/>
      </c>
      <c r="M14" s="1061"/>
      <c r="N14" s="1061"/>
      <c r="O14" s="1061"/>
      <c r="P14" s="1061"/>
      <c r="Q14" s="567"/>
      <c r="R14" s="569" t="str">
        <f t="shared" si="1"/>
        <v/>
      </c>
      <c r="S14" s="565">
        <f>IF(OR(Q14="●",R14="●"),1+COUNTIF(S$6:S13,"&gt;0"),0)</f>
        <v>0</v>
      </c>
      <c r="T14" s="5">
        <v>9</v>
      </c>
      <c r="U14" s="1061" t="str">
        <f>IFERROR(INDEX(T08_Spells!$B$3:$B$407,MATCH(T14,T08_Spells!$DU$3:$DU$407,0),1),"")</f>
        <v>Remove Curse</v>
      </c>
      <c r="V14" s="1061"/>
      <c r="W14" s="1061"/>
      <c r="X14" s="1061"/>
      <c r="Y14" s="1061"/>
      <c r="Z14" s="567"/>
      <c r="AA14" s="569" t="str">
        <f t="shared" si="2"/>
        <v/>
      </c>
      <c r="AB14" s="565">
        <f>IF(OR(Z14="●",AA14="●"),1+COUNTIF(AB$6:AB13,"&gt;0"),0)</f>
        <v>0</v>
      </c>
      <c r="AC14" s="5">
        <v>9</v>
      </c>
      <c r="AD14" s="1061" t="str">
        <f>IFERROR(INDEX(T08_Spells!$B$3:$B$407,MATCH(AC14,T08_Spells!$DV$3:$DV$407,0),1),"")</f>
        <v/>
      </c>
      <c r="AE14" s="1061"/>
      <c r="AF14" s="1061"/>
      <c r="AG14" s="1061"/>
      <c r="AH14" s="1061"/>
      <c r="AI14" s="567"/>
      <c r="AJ14" s="569" t="str">
        <f t="shared" si="3"/>
        <v/>
      </c>
      <c r="AK14" s="565">
        <f>IF(OR(AI14="●",AJ14="●"),1+COUNTIF(AK$6:AK13,"&gt;0"),0)</f>
        <v>0</v>
      </c>
      <c r="AL14" s="5">
        <v>9</v>
      </c>
      <c r="AM14" s="1061" t="str">
        <f>IFERROR(INDEX(T08_Spells!$B$3:$B$407,MATCH(AL14,T08_Spells!$DV$3:$DV$407,0),1),"")</f>
        <v/>
      </c>
      <c r="AN14" s="1061"/>
      <c r="AO14" s="1061"/>
      <c r="AP14" s="1061"/>
      <c r="AQ14" s="1061"/>
      <c r="AR14" s="567"/>
      <c r="AS14" s="569" t="str">
        <f t="shared" si="4"/>
        <v/>
      </c>
      <c r="AT14" s="565">
        <f>IF(OR(AR14="●",AS14="●"),1+COUNTIF(AT$6:AT13,"&gt;0"),0)</f>
        <v>0</v>
      </c>
      <c r="AX14" s="549"/>
    </row>
    <row r="15" spans="1:50" ht="21" x14ac:dyDescent="0.25">
      <c r="A15" s="120"/>
      <c r="B15" s="5">
        <v>10</v>
      </c>
      <c r="C15" s="1061" t="str">
        <f>IFERROR(INDEX(T08_Spells!$B$3:$B$407,MATCH(B15,T08_Spells!$DS$3:$DS$407,0),1),"")</f>
        <v>Protection from Evil and Good</v>
      </c>
      <c r="D15" s="1061"/>
      <c r="E15" s="1061"/>
      <c r="F15" s="1061"/>
      <c r="G15" s="1061"/>
      <c r="H15" s="567"/>
      <c r="I15" s="569" t="str">
        <f t="shared" si="0"/>
        <v/>
      </c>
      <c r="J15" s="565">
        <f>IF(OR(H15="●",I15="●"),1+COUNTIF(J$6:J14,"&gt;0"),0)</f>
        <v>0</v>
      </c>
      <c r="K15" s="5">
        <v>10</v>
      </c>
      <c r="L15" s="1061" t="str">
        <f>IFERROR(INDEX(T08_Spells!$B$3:$B$407,MATCH(K15,T08_Spells!$DT$3:$DT$407,0),1),"")</f>
        <v/>
      </c>
      <c r="M15" s="1061"/>
      <c r="N15" s="1061"/>
      <c r="O15" s="1061"/>
      <c r="P15" s="1061"/>
      <c r="Q15" s="567"/>
      <c r="R15" s="569" t="str">
        <f t="shared" si="1"/>
        <v/>
      </c>
      <c r="S15" s="565">
        <f>IF(OR(Q15="●",R15="●"),1+COUNTIF(S$6:S14,"&gt;0"),0)</f>
        <v>0</v>
      </c>
      <c r="T15" s="5">
        <v>10</v>
      </c>
      <c r="U15" s="1061" t="str">
        <f>IFERROR(INDEX(T08_Spells!$B$3:$B$407,MATCH(T15,T08_Spells!$DU$3:$DU$407,0),1),"")</f>
        <v>Revivify</v>
      </c>
      <c r="V15" s="1061"/>
      <c r="W15" s="1061"/>
      <c r="X15" s="1061"/>
      <c r="Y15" s="1061"/>
      <c r="Z15" s="567"/>
      <c r="AA15" s="569" t="str">
        <f t="shared" si="2"/>
        <v/>
      </c>
      <c r="AB15" s="565">
        <f>IF(OR(Z15="●",AA15="●"),1+COUNTIF(AB$6:AB14,"&gt;0"),0)</f>
        <v>0</v>
      </c>
      <c r="AC15" s="5">
        <v>10</v>
      </c>
      <c r="AD15" s="1061" t="str">
        <f>IFERROR(INDEX(T08_Spells!$B$3:$B$407,MATCH(AC15,T08_Spells!$DV$3:$DV$407,0),1),"")</f>
        <v/>
      </c>
      <c r="AE15" s="1061"/>
      <c r="AF15" s="1061"/>
      <c r="AG15" s="1061"/>
      <c r="AH15" s="1061"/>
      <c r="AI15" s="567"/>
      <c r="AJ15" s="569" t="str">
        <f t="shared" si="3"/>
        <v/>
      </c>
      <c r="AK15" s="565">
        <f>IF(OR(AI15="●",AJ15="●"),1+COUNTIF(AK$6:AK14,"&gt;0"),0)</f>
        <v>0</v>
      </c>
      <c r="AL15" s="5">
        <v>10</v>
      </c>
      <c r="AM15" s="1061" t="str">
        <f>IFERROR(INDEX(T08_Spells!$B$3:$B$407,MATCH(AL15,T08_Spells!$DV$3:$DV$407,0),1),"")</f>
        <v/>
      </c>
      <c r="AN15" s="1061"/>
      <c r="AO15" s="1061"/>
      <c r="AP15" s="1061"/>
      <c r="AQ15" s="1061"/>
      <c r="AR15" s="567"/>
      <c r="AS15" s="569" t="str">
        <f t="shared" si="4"/>
        <v/>
      </c>
      <c r="AT15" s="565">
        <f>IF(OR(AR15="●",AS15="●"),1+COUNTIF(AT$6:AT14,"&gt;0"),0)</f>
        <v>0</v>
      </c>
    </row>
    <row r="16" spans="1:50" ht="21" x14ac:dyDescent="0.25">
      <c r="A16" s="120"/>
      <c r="B16" s="5">
        <v>11</v>
      </c>
      <c r="C16" s="1061" t="str">
        <f>IFERROR(INDEX(T08_Spells!$B$3:$B$407,MATCH(B16,T08_Spells!$DS$3:$DS$407,0),1),"")</f>
        <v>Purify Food and Drink</v>
      </c>
      <c r="D16" s="1061"/>
      <c r="E16" s="1061"/>
      <c r="F16" s="1061"/>
      <c r="G16" s="1061"/>
      <c r="H16" s="567"/>
      <c r="I16" s="569" t="str">
        <f t="shared" si="0"/>
        <v/>
      </c>
      <c r="J16" s="565">
        <f>IF(OR(H16="●",I16="●"),1+COUNTIF(J$6:J15,"&gt;0"),0)</f>
        <v>0</v>
      </c>
      <c r="K16" s="5">
        <v>11</v>
      </c>
      <c r="L16" s="1061" t="str">
        <f>IFERROR(INDEX(T08_Spells!$B$3:$B$407,MATCH(K16,T08_Spells!$DT$3:$DT$407,0),1),"")</f>
        <v/>
      </c>
      <c r="M16" s="1061"/>
      <c r="N16" s="1061"/>
      <c r="O16" s="1061"/>
      <c r="P16" s="1061"/>
      <c r="Q16" s="567"/>
      <c r="R16" s="569" t="str">
        <f t="shared" si="1"/>
        <v/>
      </c>
      <c r="S16" s="565">
        <f>IF(OR(Q16="●",R16="●"),1+COUNTIF(S$6:S15,"&gt;0"),0)</f>
        <v>0</v>
      </c>
      <c r="T16" s="5">
        <v>11</v>
      </c>
      <c r="U16" s="1061" t="str">
        <f>IFERROR(INDEX(T08_Spells!$B$3:$B$407,MATCH(T16,T08_Spells!$DU$3:$DU$407,0),1),"")</f>
        <v/>
      </c>
      <c r="V16" s="1061"/>
      <c r="W16" s="1061"/>
      <c r="X16" s="1061"/>
      <c r="Y16" s="1061"/>
      <c r="Z16" s="567"/>
      <c r="AA16" s="569" t="str">
        <f t="shared" si="2"/>
        <v/>
      </c>
      <c r="AB16" s="565">
        <f>IF(OR(Z16="●",AA16="●"),1+COUNTIF(AB$6:AB15,"&gt;0"),0)</f>
        <v>0</v>
      </c>
      <c r="AC16" s="5">
        <v>11</v>
      </c>
      <c r="AD16" s="1061" t="str">
        <f>IFERROR(INDEX(T08_Spells!$B$3:$B$407,MATCH(AC16,T08_Spells!$DV$3:$DV$407,0),1),"")</f>
        <v/>
      </c>
      <c r="AE16" s="1061"/>
      <c r="AF16" s="1061"/>
      <c r="AG16" s="1061"/>
      <c r="AH16" s="1061"/>
      <c r="AI16" s="567"/>
      <c r="AJ16" s="569" t="str">
        <f t="shared" si="3"/>
        <v/>
      </c>
      <c r="AK16" s="565">
        <f>IF(OR(AI16="●",AJ16="●"),1+COUNTIF(AK$6:AK15,"&gt;0"),0)</f>
        <v>0</v>
      </c>
      <c r="AL16" s="5">
        <v>11</v>
      </c>
      <c r="AM16" s="1061" t="str">
        <f>IFERROR(INDEX(T08_Spells!$B$3:$B$407,MATCH(AL16,T08_Spells!$DV$3:$DV$407,0),1),"")</f>
        <v/>
      </c>
      <c r="AN16" s="1061"/>
      <c r="AO16" s="1061"/>
      <c r="AP16" s="1061"/>
      <c r="AQ16" s="1061"/>
      <c r="AR16" s="567"/>
      <c r="AS16" s="569" t="str">
        <f t="shared" si="4"/>
        <v/>
      </c>
      <c r="AT16" s="565">
        <f>IF(OR(AR16="●",AS16="●"),1+COUNTIF(AT$6:AT15,"&gt;0"),0)</f>
        <v>0</v>
      </c>
    </row>
    <row r="17" spans="1:46" ht="21" x14ac:dyDescent="0.25">
      <c r="A17" s="120"/>
      <c r="B17" s="5">
        <v>12</v>
      </c>
      <c r="C17" s="1061" t="str">
        <f>IFERROR(INDEX(T08_Spells!$B$3:$B$407,MATCH(B17,T08_Spells!$DS$3:$DS$407,0),1),"")</f>
        <v>Searing Smite</v>
      </c>
      <c r="D17" s="1061"/>
      <c r="E17" s="1061"/>
      <c r="F17" s="1061"/>
      <c r="G17" s="1061"/>
      <c r="H17" s="567"/>
      <c r="I17" s="569" t="str">
        <f t="shared" si="0"/>
        <v/>
      </c>
      <c r="J17" s="565">
        <f>IF(OR(H17="●",I17="●"),1+COUNTIF(J$6:J16,"&gt;0"),0)</f>
        <v>0</v>
      </c>
      <c r="K17" s="5">
        <v>12</v>
      </c>
      <c r="L17" s="1061" t="str">
        <f>IFERROR(INDEX(T08_Spells!$B$3:$B$407,MATCH(K17,T08_Spells!$DT$3:$DT$407,0),1),"")</f>
        <v/>
      </c>
      <c r="M17" s="1061"/>
      <c r="N17" s="1061"/>
      <c r="O17" s="1061"/>
      <c r="P17" s="1061"/>
      <c r="Q17" s="567"/>
      <c r="R17" s="569" t="str">
        <f t="shared" si="1"/>
        <v/>
      </c>
      <c r="S17" s="565">
        <f>IF(OR(Q17="●",R17="●"),1+COUNTIF(S$6:S16,"&gt;0"),0)</f>
        <v>0</v>
      </c>
      <c r="T17" s="5">
        <v>12</v>
      </c>
      <c r="U17" s="1061" t="str">
        <f>IFERROR(INDEX(T08_Spells!$B$3:$B$407,MATCH(T17,T08_Spells!$DU$3:$DU$407,0),1),"")</f>
        <v/>
      </c>
      <c r="V17" s="1061"/>
      <c r="W17" s="1061"/>
      <c r="X17" s="1061"/>
      <c r="Y17" s="1061"/>
      <c r="Z17" s="567"/>
      <c r="AA17" s="569" t="str">
        <f t="shared" si="2"/>
        <v/>
      </c>
      <c r="AB17" s="565">
        <f>IF(OR(Z17="●",AA17="●"),1+COUNTIF(AB$6:AB16,"&gt;0"),0)</f>
        <v>0</v>
      </c>
      <c r="AC17" s="5">
        <v>12</v>
      </c>
      <c r="AD17" s="1061" t="str">
        <f>IFERROR(INDEX(T08_Spells!$B$3:$B$407,MATCH(AC17,T08_Spells!$DV$3:$DV$407,0),1),"")</f>
        <v/>
      </c>
      <c r="AE17" s="1061"/>
      <c r="AF17" s="1061"/>
      <c r="AG17" s="1061"/>
      <c r="AH17" s="1061"/>
      <c r="AI17" s="567"/>
      <c r="AJ17" s="569" t="str">
        <f t="shared" si="3"/>
        <v/>
      </c>
      <c r="AK17" s="565">
        <f>IF(OR(AI17="●",AJ17="●"),1+COUNTIF(AK$6:AK16,"&gt;0"),0)</f>
        <v>0</v>
      </c>
      <c r="AL17" s="5">
        <v>12</v>
      </c>
      <c r="AM17" s="1061" t="str">
        <f>IFERROR(INDEX(T08_Spells!$B$3:$B$407,MATCH(AL17,T08_Spells!$DV$3:$DV$407,0),1),"")</f>
        <v/>
      </c>
      <c r="AN17" s="1061"/>
      <c r="AO17" s="1061"/>
      <c r="AP17" s="1061"/>
      <c r="AQ17" s="1061"/>
      <c r="AR17" s="567"/>
      <c r="AS17" s="569" t="str">
        <f t="shared" si="4"/>
        <v/>
      </c>
      <c r="AT17" s="565">
        <f>IF(OR(AR17="●",AS17="●"),1+COUNTIF(AT$6:AT16,"&gt;0"),0)</f>
        <v>0</v>
      </c>
    </row>
    <row r="18" spans="1:46" ht="21" x14ac:dyDescent="0.25">
      <c r="A18" s="120"/>
      <c r="B18" s="5">
        <v>13</v>
      </c>
      <c r="C18" s="1061" t="str">
        <f>IFERROR(INDEX(T08_Spells!$B$3:$B$407,MATCH(B18,T08_Spells!$DS$3:$DS$407,0),1),"")</f>
        <v>Shield of Faith</v>
      </c>
      <c r="D18" s="1061"/>
      <c r="E18" s="1061"/>
      <c r="F18" s="1061"/>
      <c r="G18" s="1061"/>
      <c r="H18" s="567"/>
      <c r="I18" s="569" t="str">
        <f t="shared" si="0"/>
        <v/>
      </c>
      <c r="J18" s="565">
        <f>IF(OR(H18="●",I18="●"),1+COUNTIF(J$6:J17,"&gt;0"),0)</f>
        <v>0</v>
      </c>
      <c r="K18" s="5">
        <v>13</v>
      </c>
      <c r="L18" s="1061" t="str">
        <f>IFERROR(INDEX(T08_Spells!$B$3:$B$407,MATCH(K18,T08_Spells!$DT$3:$DT$407,0),1),"")</f>
        <v/>
      </c>
      <c r="M18" s="1061"/>
      <c r="N18" s="1061"/>
      <c r="O18" s="1061"/>
      <c r="P18" s="1061"/>
      <c r="Q18" s="567"/>
      <c r="R18" s="569" t="str">
        <f t="shared" si="1"/>
        <v/>
      </c>
      <c r="S18" s="565">
        <f>IF(OR(Q18="●",R18="●"),1+COUNTIF(S$6:S17,"&gt;0"),0)</f>
        <v>0</v>
      </c>
      <c r="T18" s="5">
        <v>13</v>
      </c>
      <c r="U18" s="1061" t="str">
        <f>IFERROR(INDEX(T08_Spells!$B$3:$B$407,MATCH(T18,T08_Spells!$DU$3:$DU$407,0),1),"")</f>
        <v/>
      </c>
      <c r="V18" s="1061"/>
      <c r="W18" s="1061"/>
      <c r="X18" s="1061"/>
      <c r="Y18" s="1061"/>
      <c r="Z18" s="567"/>
      <c r="AA18" s="569" t="str">
        <f t="shared" si="2"/>
        <v/>
      </c>
      <c r="AB18" s="565">
        <f>IF(OR(Z18="●",AA18="●"),1+COUNTIF(AB$6:AB17,"&gt;0"),0)</f>
        <v>0</v>
      </c>
      <c r="AC18" s="5">
        <v>13</v>
      </c>
      <c r="AD18" s="1061" t="str">
        <f>IFERROR(INDEX(T08_Spells!$B$3:$B$407,MATCH(AC18,T08_Spells!$DV$3:$DV$407,0),1),"")</f>
        <v/>
      </c>
      <c r="AE18" s="1061"/>
      <c r="AF18" s="1061"/>
      <c r="AG18" s="1061"/>
      <c r="AH18" s="1061"/>
      <c r="AI18" s="567"/>
      <c r="AJ18" s="569" t="str">
        <f t="shared" si="3"/>
        <v/>
      </c>
      <c r="AK18" s="565">
        <f>IF(OR(AI18="●",AJ18="●"),1+COUNTIF(AK$6:AK17,"&gt;0"),0)</f>
        <v>0</v>
      </c>
      <c r="AL18" s="5">
        <v>13</v>
      </c>
      <c r="AM18" s="1061" t="str">
        <f>IFERROR(INDEX(T08_Spells!$B$3:$B$407,MATCH(AL18,T08_Spells!$DV$3:$DV$407,0),1),"")</f>
        <v/>
      </c>
      <c r="AN18" s="1061"/>
      <c r="AO18" s="1061"/>
      <c r="AP18" s="1061"/>
      <c r="AQ18" s="1061"/>
      <c r="AR18" s="567"/>
      <c r="AS18" s="569" t="str">
        <f t="shared" si="4"/>
        <v/>
      </c>
      <c r="AT18" s="565">
        <f>IF(OR(AR18="●",AS18="●"),1+COUNTIF(AT$6:AT17,"&gt;0"),0)</f>
        <v>0</v>
      </c>
    </row>
    <row r="19" spans="1:46" ht="21" x14ac:dyDescent="0.25">
      <c r="A19" s="120"/>
      <c r="B19" s="5">
        <v>14</v>
      </c>
      <c r="C19" s="1061" t="str">
        <f>IFERROR(INDEX(T08_Spells!$B$3:$B$407,MATCH(B19,T08_Spells!$DS$3:$DS$407,0),1),"")</f>
        <v>Thunderous Smite</v>
      </c>
      <c r="D19" s="1061"/>
      <c r="E19" s="1061"/>
      <c r="F19" s="1061"/>
      <c r="G19" s="1061"/>
      <c r="H19" s="567"/>
      <c r="I19" s="569" t="str">
        <f t="shared" si="0"/>
        <v/>
      </c>
      <c r="J19" s="565">
        <f>IF(OR(H19="●",I19="●"),1+COUNTIF(J$6:J18,"&gt;0"),0)</f>
        <v>0</v>
      </c>
      <c r="K19" s="5">
        <v>14</v>
      </c>
      <c r="L19" s="1061" t="str">
        <f>IFERROR(INDEX(T08_Spells!$B$3:$B$407,MATCH(K19,T08_Spells!$DT$3:$DT$407,0),1),"")</f>
        <v/>
      </c>
      <c r="M19" s="1061"/>
      <c r="N19" s="1061"/>
      <c r="O19" s="1061"/>
      <c r="P19" s="1061"/>
      <c r="Q19" s="567"/>
      <c r="R19" s="569" t="str">
        <f t="shared" si="1"/>
        <v/>
      </c>
      <c r="S19" s="565">
        <f>IF(OR(Q19="●",R19="●"),1+COUNTIF(S$6:S18,"&gt;0"),0)</f>
        <v>0</v>
      </c>
      <c r="T19" s="5">
        <v>14</v>
      </c>
      <c r="U19" s="1061" t="str">
        <f>IFERROR(INDEX(T08_Spells!$B$3:$B$407,MATCH(T19,T08_Spells!$DU$3:$DU$407,0),1),"")</f>
        <v/>
      </c>
      <c r="V19" s="1061"/>
      <c r="W19" s="1061"/>
      <c r="X19" s="1061"/>
      <c r="Y19" s="1061"/>
      <c r="Z19" s="567"/>
      <c r="AA19" s="569" t="str">
        <f t="shared" si="2"/>
        <v/>
      </c>
      <c r="AB19" s="565">
        <f>IF(OR(Z19="●",AA19="●"),1+COUNTIF(AB$6:AB18,"&gt;0"),0)</f>
        <v>0</v>
      </c>
      <c r="AC19" s="5">
        <v>14</v>
      </c>
      <c r="AD19" s="1061" t="str">
        <f>IFERROR(INDEX(T08_Spells!$B$3:$B$407,MATCH(AC19,T08_Spells!$DV$3:$DV$407,0),1),"")</f>
        <v/>
      </c>
      <c r="AE19" s="1061"/>
      <c r="AF19" s="1061"/>
      <c r="AG19" s="1061"/>
      <c r="AH19" s="1061"/>
      <c r="AI19" s="567"/>
      <c r="AJ19" s="569" t="str">
        <f t="shared" si="3"/>
        <v/>
      </c>
      <c r="AK19" s="565">
        <f>IF(OR(AI19="●",AJ19="●"),1+COUNTIF(AK$6:AK18,"&gt;0"),0)</f>
        <v>0</v>
      </c>
      <c r="AL19" s="5">
        <v>14</v>
      </c>
      <c r="AM19" s="1061" t="str">
        <f>IFERROR(INDEX(T08_Spells!$B$3:$B$407,MATCH(AL19,T08_Spells!$DV$3:$DV$407,0),1),"")</f>
        <v/>
      </c>
      <c r="AN19" s="1061"/>
      <c r="AO19" s="1061"/>
      <c r="AP19" s="1061"/>
      <c r="AQ19" s="1061"/>
      <c r="AR19" s="567"/>
      <c r="AS19" s="569" t="str">
        <f t="shared" si="4"/>
        <v/>
      </c>
      <c r="AT19" s="565">
        <f>IF(OR(AR19="●",AS19="●"),1+COUNTIF(AT$6:AT18,"&gt;0"),0)</f>
        <v>0</v>
      </c>
    </row>
    <row r="20" spans="1:46" ht="21" x14ac:dyDescent="0.25">
      <c r="A20" s="120"/>
      <c r="B20" s="5">
        <v>15</v>
      </c>
      <c r="C20" s="1061" t="str">
        <f>IFERROR(INDEX(T08_Spells!$B$3:$B$407,MATCH(B20,T08_Spells!$DS$3:$DS$407,0),1),"")</f>
        <v>Wrathful Smite</v>
      </c>
      <c r="D20" s="1061"/>
      <c r="E20" s="1061"/>
      <c r="F20" s="1061"/>
      <c r="G20" s="1061"/>
      <c r="H20" s="567"/>
      <c r="I20" s="569" t="str">
        <f t="shared" si="0"/>
        <v/>
      </c>
      <c r="J20" s="565">
        <f>IF(OR(H20="●",I20="●"),1+COUNTIF(J$6:J19,"&gt;0"),0)</f>
        <v>0</v>
      </c>
      <c r="K20" s="5">
        <v>15</v>
      </c>
      <c r="L20" s="1061" t="str">
        <f>IFERROR(INDEX(T08_Spells!$B$3:$B$407,MATCH(K20,T08_Spells!$DT$3:$DT$407,0),1),"")</f>
        <v/>
      </c>
      <c r="M20" s="1061"/>
      <c r="N20" s="1061"/>
      <c r="O20" s="1061"/>
      <c r="P20" s="1061"/>
      <c r="Q20" s="567"/>
      <c r="R20" s="569" t="str">
        <f t="shared" si="1"/>
        <v/>
      </c>
      <c r="S20" s="565">
        <f>IF(OR(Q20="●",R20="●"),1+COUNTIF(S$6:S19,"&gt;0"),0)</f>
        <v>0</v>
      </c>
      <c r="T20" s="5">
        <v>15</v>
      </c>
      <c r="U20" s="1061" t="str">
        <f>IFERROR(INDEX(T08_Spells!$B$3:$B$407,MATCH(T20,T08_Spells!$DU$3:$DU$407,0),1),"")</f>
        <v/>
      </c>
      <c r="V20" s="1061"/>
      <c r="W20" s="1061"/>
      <c r="X20" s="1061"/>
      <c r="Y20" s="1061"/>
      <c r="Z20" s="567"/>
      <c r="AA20" s="569" t="str">
        <f t="shared" si="2"/>
        <v/>
      </c>
      <c r="AB20" s="565">
        <f>IF(OR(Z20="●",AA20="●"),1+COUNTIF(AB$6:AB19,"&gt;0"),0)</f>
        <v>0</v>
      </c>
      <c r="AC20" s="5">
        <v>15</v>
      </c>
      <c r="AD20" s="1061" t="str">
        <f>IFERROR(INDEX(T08_Spells!$B$3:$B$407,MATCH(AC20,T08_Spells!$DV$3:$DV$407,0),1),"")</f>
        <v/>
      </c>
      <c r="AE20" s="1061"/>
      <c r="AF20" s="1061"/>
      <c r="AG20" s="1061"/>
      <c r="AH20" s="1061"/>
      <c r="AI20" s="567"/>
      <c r="AJ20" s="569" t="str">
        <f t="shared" si="3"/>
        <v/>
      </c>
      <c r="AK20" s="565">
        <f>IF(OR(AI20="●",AJ20="●"),1+COUNTIF(AK$6:AK19,"&gt;0"),0)</f>
        <v>0</v>
      </c>
      <c r="AL20" s="5">
        <v>15</v>
      </c>
      <c r="AM20" s="1061" t="str">
        <f>IFERROR(INDEX(T08_Spells!$B$3:$B$407,MATCH(AL20,T08_Spells!$DV$3:$DV$407,0),1),"")</f>
        <v/>
      </c>
      <c r="AN20" s="1061"/>
      <c r="AO20" s="1061"/>
      <c r="AP20" s="1061"/>
      <c r="AQ20" s="1061"/>
      <c r="AR20" s="567"/>
      <c r="AS20" s="569" t="str">
        <f t="shared" si="4"/>
        <v/>
      </c>
      <c r="AT20" s="565">
        <f>IF(OR(AR20="●",AS20="●"),1+COUNTIF(AT$6:AT19,"&gt;0"),0)</f>
        <v>0</v>
      </c>
    </row>
    <row r="21" spans="1:46" ht="21" x14ac:dyDescent="0.25">
      <c r="A21" s="120"/>
      <c r="B21" s="5">
        <v>16</v>
      </c>
      <c r="C21" s="1061" t="str">
        <f>IFERROR(INDEX(T08_Spells!$B$3:$B$407,MATCH(B21,T08_Spells!$DS$3:$DS$407,0),1),"")</f>
        <v/>
      </c>
      <c r="D21" s="1061"/>
      <c r="E21" s="1061"/>
      <c r="F21" s="1061"/>
      <c r="G21" s="1061"/>
      <c r="H21" s="567"/>
      <c r="I21" s="569" t="str">
        <f t="shared" si="0"/>
        <v/>
      </c>
      <c r="J21" s="565">
        <f>IF(OR(H21="●",I21="●"),1+COUNTIF(J$6:J20,"&gt;0"),0)</f>
        <v>0</v>
      </c>
      <c r="K21" s="5">
        <v>16</v>
      </c>
      <c r="L21" s="1061" t="str">
        <f>IFERROR(INDEX(T08_Spells!$B$3:$B$407,MATCH(K21,T08_Spells!$DT$3:$DT$407,0),1),"")</f>
        <v/>
      </c>
      <c r="M21" s="1061"/>
      <c r="N21" s="1061"/>
      <c r="O21" s="1061"/>
      <c r="P21" s="1061"/>
      <c r="Q21" s="567"/>
      <c r="R21" s="569" t="str">
        <f t="shared" si="1"/>
        <v/>
      </c>
      <c r="S21" s="565">
        <f>IF(OR(Q21="●",R21="●"),1+COUNTIF(S$6:S20,"&gt;0"),0)</f>
        <v>0</v>
      </c>
      <c r="T21" s="5">
        <v>16</v>
      </c>
      <c r="U21" s="1061" t="str">
        <f>IFERROR(INDEX(T08_Spells!$B$3:$B$407,MATCH(T21,T08_Spells!$DU$3:$DU$407,0),1),"")</f>
        <v/>
      </c>
      <c r="V21" s="1061"/>
      <c r="W21" s="1061"/>
      <c r="X21" s="1061"/>
      <c r="Y21" s="1061"/>
      <c r="Z21" s="567"/>
      <c r="AA21" s="569" t="str">
        <f t="shared" si="2"/>
        <v/>
      </c>
      <c r="AB21" s="565">
        <f>IF(OR(Z21="●",AA21="●"),1+COUNTIF(AB$6:AB20,"&gt;0"),0)</f>
        <v>0</v>
      </c>
      <c r="AC21" s="5">
        <v>16</v>
      </c>
      <c r="AD21" s="1061" t="str">
        <f>IFERROR(INDEX(T08_Spells!$B$3:$B$407,MATCH(AC21,T08_Spells!$DV$3:$DV$407,0),1),"")</f>
        <v/>
      </c>
      <c r="AE21" s="1061"/>
      <c r="AF21" s="1061"/>
      <c r="AG21" s="1061"/>
      <c r="AH21" s="1061"/>
      <c r="AI21" s="567"/>
      <c r="AJ21" s="569" t="str">
        <f t="shared" si="3"/>
        <v/>
      </c>
      <c r="AK21" s="565">
        <f>IF(OR(AI21="●",AJ21="●"),1+COUNTIF(AK$6:AK20,"&gt;0"),0)</f>
        <v>0</v>
      </c>
      <c r="AL21" s="5">
        <v>16</v>
      </c>
      <c r="AM21" s="1061" t="str">
        <f>IFERROR(INDEX(T08_Spells!$B$3:$B$407,MATCH(AL21,T08_Spells!$DV$3:$DV$407,0),1),"")</f>
        <v/>
      </c>
      <c r="AN21" s="1061"/>
      <c r="AO21" s="1061"/>
      <c r="AP21" s="1061"/>
      <c r="AQ21" s="1061"/>
      <c r="AR21" s="567"/>
      <c r="AS21" s="569" t="str">
        <f t="shared" si="4"/>
        <v/>
      </c>
      <c r="AT21" s="565">
        <f>IF(OR(AR21="●",AS21="●"),1+COUNTIF(AT$6:AT20,"&gt;0"),0)</f>
        <v>0</v>
      </c>
    </row>
    <row r="22" spans="1:46" ht="21" x14ac:dyDescent="0.25">
      <c r="A22" s="120"/>
      <c r="B22" s="5">
        <v>17</v>
      </c>
      <c r="C22" s="1061" t="str">
        <f>IFERROR(INDEX(T08_Spells!$B$3:$B$407,MATCH(B22,T08_Spells!$DS$3:$DS$407,0),1),"")</f>
        <v/>
      </c>
      <c r="D22" s="1061"/>
      <c r="E22" s="1061"/>
      <c r="F22" s="1061"/>
      <c r="G22" s="1061"/>
      <c r="H22" s="567"/>
      <c r="I22" s="569" t="str">
        <f t="shared" si="0"/>
        <v/>
      </c>
      <c r="J22" s="565">
        <f>IF(OR(H22="●",I22="●"),1+COUNTIF(J$6:J21,"&gt;0"),0)</f>
        <v>0</v>
      </c>
      <c r="K22" s="5">
        <v>17</v>
      </c>
      <c r="L22" s="1061" t="str">
        <f>IFERROR(INDEX(T08_Spells!$B$3:$B$407,MATCH(K22,T08_Spells!$DT$3:$DT$407,0),1),"")</f>
        <v/>
      </c>
      <c r="M22" s="1061"/>
      <c r="N22" s="1061"/>
      <c r="O22" s="1061"/>
      <c r="P22" s="1061"/>
      <c r="Q22" s="567"/>
      <c r="R22" s="569" t="str">
        <f t="shared" si="1"/>
        <v/>
      </c>
      <c r="S22" s="565">
        <f>IF(OR(Q22="●",R22="●"),1+COUNTIF(S$6:S21,"&gt;0"),0)</f>
        <v>0</v>
      </c>
      <c r="T22" s="5">
        <v>17</v>
      </c>
      <c r="U22" s="1061" t="str">
        <f>IFERROR(INDEX(T08_Spells!$B$3:$B$407,MATCH(T22,T08_Spells!$DU$3:$DU$407,0),1),"")</f>
        <v/>
      </c>
      <c r="V22" s="1061"/>
      <c r="W22" s="1061"/>
      <c r="X22" s="1061"/>
      <c r="Y22" s="1061"/>
      <c r="Z22" s="567"/>
      <c r="AA22" s="569" t="str">
        <f t="shared" si="2"/>
        <v/>
      </c>
      <c r="AB22" s="565">
        <f>IF(OR(Z22="●",AA22="●"),1+COUNTIF(AB$6:AB21,"&gt;0"),0)</f>
        <v>0</v>
      </c>
      <c r="AC22" s="5">
        <v>17</v>
      </c>
      <c r="AD22" s="1061" t="str">
        <f>IFERROR(INDEX(T08_Spells!$B$3:$B$407,MATCH(AC22,T08_Spells!$DV$3:$DV$407,0),1),"")</f>
        <v/>
      </c>
      <c r="AE22" s="1061"/>
      <c r="AF22" s="1061"/>
      <c r="AG22" s="1061"/>
      <c r="AH22" s="1061"/>
      <c r="AI22" s="567"/>
      <c r="AJ22" s="569" t="str">
        <f t="shared" si="3"/>
        <v/>
      </c>
      <c r="AK22" s="565">
        <f>IF(OR(AI22="●",AJ22="●"),1+COUNTIF(AK$6:AK21,"&gt;0"),0)</f>
        <v>0</v>
      </c>
      <c r="AL22" s="5">
        <v>17</v>
      </c>
      <c r="AM22" s="1061" t="str">
        <f>IFERROR(INDEX(T08_Spells!$B$3:$B$407,MATCH(AL22,T08_Spells!$DV$3:$DV$407,0),1),"")</f>
        <v/>
      </c>
      <c r="AN22" s="1061"/>
      <c r="AO22" s="1061"/>
      <c r="AP22" s="1061"/>
      <c r="AQ22" s="1061"/>
      <c r="AR22" s="567"/>
      <c r="AS22" s="569" t="str">
        <f t="shared" si="4"/>
        <v/>
      </c>
      <c r="AT22" s="565">
        <f>IF(OR(AR22="●",AS22="●"),1+COUNTIF(AT$6:AT21,"&gt;0"),0)</f>
        <v>0</v>
      </c>
    </row>
    <row r="23" spans="1:46" ht="21" x14ac:dyDescent="0.25">
      <c r="A23" s="120"/>
      <c r="B23" s="5">
        <v>18</v>
      </c>
      <c r="C23" s="1061" t="str">
        <f>IFERROR(INDEX(T08_Spells!$B$3:$B$407,MATCH(B23,T08_Spells!$DS$3:$DS$407,0),1),"")</f>
        <v/>
      </c>
      <c r="D23" s="1061"/>
      <c r="E23" s="1061"/>
      <c r="F23" s="1061"/>
      <c r="G23" s="1061"/>
      <c r="H23" s="567"/>
      <c r="I23" s="569" t="str">
        <f t="shared" si="0"/>
        <v/>
      </c>
      <c r="J23" s="565">
        <f>IF(OR(H23="●",I23="●"),1+COUNTIF(J$6:J22,"&gt;0"),0)</f>
        <v>0</v>
      </c>
      <c r="K23" s="5">
        <v>18</v>
      </c>
      <c r="L23" s="1061" t="str">
        <f>IFERROR(INDEX(T08_Spells!$B$3:$B$407,MATCH(K23,T08_Spells!$DT$3:$DT$407,0),1),"")</f>
        <v/>
      </c>
      <c r="M23" s="1061"/>
      <c r="N23" s="1061"/>
      <c r="O23" s="1061"/>
      <c r="P23" s="1061"/>
      <c r="Q23" s="567"/>
      <c r="R23" s="569" t="str">
        <f t="shared" si="1"/>
        <v/>
      </c>
      <c r="S23" s="565">
        <f>IF(OR(Q23="●",R23="●"),1+COUNTIF(S$6:S22,"&gt;0"),0)</f>
        <v>0</v>
      </c>
      <c r="T23" s="5">
        <v>18</v>
      </c>
      <c r="U23" s="1061" t="str">
        <f>IFERROR(INDEX(T08_Spells!$B$3:$B$407,MATCH(T23,T08_Spells!$DU$3:$DU$407,0),1),"")</f>
        <v/>
      </c>
      <c r="V23" s="1061"/>
      <c r="W23" s="1061"/>
      <c r="X23" s="1061"/>
      <c r="Y23" s="1061"/>
      <c r="Z23" s="567"/>
      <c r="AA23" s="569" t="str">
        <f t="shared" si="2"/>
        <v/>
      </c>
      <c r="AB23" s="565">
        <f>IF(OR(Z23="●",AA23="●"),1+COUNTIF(AB$6:AB22,"&gt;0"),0)</f>
        <v>0</v>
      </c>
      <c r="AC23" s="5">
        <v>18</v>
      </c>
      <c r="AD23" s="1061" t="str">
        <f>IFERROR(INDEX(T08_Spells!$B$3:$B$407,MATCH(AC23,T08_Spells!$DV$3:$DV$407,0),1),"")</f>
        <v/>
      </c>
      <c r="AE23" s="1061"/>
      <c r="AF23" s="1061"/>
      <c r="AG23" s="1061"/>
      <c r="AH23" s="1061"/>
      <c r="AI23" s="567"/>
      <c r="AJ23" s="569" t="str">
        <f t="shared" si="3"/>
        <v/>
      </c>
      <c r="AK23" s="565">
        <f>IF(OR(AI23="●",AJ23="●"),1+COUNTIF(AK$6:AK22,"&gt;0"),0)</f>
        <v>0</v>
      </c>
      <c r="AL23" s="5">
        <v>18</v>
      </c>
      <c r="AM23" s="1061" t="str">
        <f>IFERROR(INDEX(T08_Spells!$B$3:$B$407,MATCH(AL23,T08_Spells!$DV$3:$DV$407,0),1),"")</f>
        <v/>
      </c>
      <c r="AN23" s="1061"/>
      <c r="AO23" s="1061"/>
      <c r="AP23" s="1061"/>
      <c r="AQ23" s="1061"/>
      <c r="AR23" s="567"/>
      <c r="AS23" s="569" t="str">
        <f t="shared" si="4"/>
        <v/>
      </c>
      <c r="AT23" s="565">
        <f>IF(OR(AR23="●",AS23="●"),1+COUNTIF(AT$6:AT22,"&gt;0"),0)</f>
        <v>0</v>
      </c>
    </row>
    <row r="24" spans="1:46" ht="21" x14ac:dyDescent="0.25">
      <c r="A24" s="120"/>
      <c r="B24" s="5">
        <v>19</v>
      </c>
      <c r="C24" s="1061" t="str">
        <f>IFERROR(INDEX(T08_Spells!$B$3:$B$407,MATCH(B24,T08_Spells!$DS$3:$DS$407,0),1),"")</f>
        <v/>
      </c>
      <c r="D24" s="1061"/>
      <c r="E24" s="1061"/>
      <c r="F24" s="1061"/>
      <c r="G24" s="1061"/>
      <c r="H24" s="567"/>
      <c r="I24" s="569" t="str">
        <f t="shared" si="0"/>
        <v/>
      </c>
      <c r="J24" s="565">
        <f>IF(OR(H24="●",I24="●"),1+COUNTIF(J$6:J23,"&gt;0"),0)</f>
        <v>0</v>
      </c>
      <c r="K24" s="5">
        <v>19</v>
      </c>
      <c r="L24" s="1061" t="str">
        <f>IFERROR(INDEX(T08_Spells!$B$3:$B$407,MATCH(K24,T08_Spells!$DT$3:$DT$407,0),1),"")</f>
        <v/>
      </c>
      <c r="M24" s="1061"/>
      <c r="N24" s="1061"/>
      <c r="O24" s="1061"/>
      <c r="P24" s="1061"/>
      <c r="Q24" s="567"/>
      <c r="R24" s="569" t="str">
        <f t="shared" si="1"/>
        <v/>
      </c>
      <c r="S24" s="565">
        <f>IF(OR(Q24="●",R24="●"),1+COUNTIF(S$6:S23,"&gt;0"),0)</f>
        <v>0</v>
      </c>
      <c r="T24" s="5">
        <v>19</v>
      </c>
      <c r="U24" s="1061" t="str">
        <f>IFERROR(INDEX(T08_Spells!$B$3:$B$407,MATCH(T24,T08_Spells!$DU$3:$DU$407,0),1),"")</f>
        <v/>
      </c>
      <c r="V24" s="1061"/>
      <c r="W24" s="1061"/>
      <c r="X24" s="1061"/>
      <c r="Y24" s="1061"/>
      <c r="Z24" s="567"/>
      <c r="AA24" s="569" t="str">
        <f t="shared" si="2"/>
        <v/>
      </c>
      <c r="AB24" s="565">
        <f>IF(OR(Z24="●",AA24="●"),1+COUNTIF(AB$6:AB23,"&gt;0"),0)</f>
        <v>0</v>
      </c>
      <c r="AC24" s="5">
        <v>19</v>
      </c>
      <c r="AD24" s="1061" t="str">
        <f>IFERROR(INDEX(T08_Spells!$B$3:$B$407,MATCH(AC24,T08_Spells!$DV$3:$DV$407,0),1),"")</f>
        <v/>
      </c>
      <c r="AE24" s="1061"/>
      <c r="AF24" s="1061"/>
      <c r="AG24" s="1061"/>
      <c r="AH24" s="1061"/>
      <c r="AI24" s="567"/>
      <c r="AJ24" s="569" t="str">
        <f t="shared" si="3"/>
        <v/>
      </c>
      <c r="AK24" s="565">
        <f>IF(OR(AI24="●",AJ24="●"),1+COUNTIF(AK$6:AK23,"&gt;0"),0)</f>
        <v>0</v>
      </c>
      <c r="AL24" s="5">
        <v>19</v>
      </c>
      <c r="AM24" s="1061" t="str">
        <f>IFERROR(INDEX(T08_Spells!$B$3:$B$407,MATCH(AL24,T08_Spells!$DV$3:$DV$407,0),1),"")</f>
        <v/>
      </c>
      <c r="AN24" s="1061"/>
      <c r="AO24" s="1061"/>
      <c r="AP24" s="1061"/>
      <c r="AQ24" s="1061"/>
      <c r="AR24" s="567"/>
      <c r="AS24" s="569" t="str">
        <f t="shared" si="4"/>
        <v/>
      </c>
      <c r="AT24" s="565">
        <f>IF(OR(AR24="●",AS24="●"),1+COUNTIF(AT$6:AT23,"&gt;0"),0)</f>
        <v>0</v>
      </c>
    </row>
    <row r="25" spans="1:46" ht="21" x14ac:dyDescent="0.25">
      <c r="A25" s="120"/>
      <c r="B25" s="5">
        <v>20</v>
      </c>
      <c r="C25" s="1061" t="str">
        <f>IFERROR(INDEX(T08_Spells!$B$3:$B$407,MATCH(B25,T08_Spells!$DS$3:$DS$407,0),1),"")</f>
        <v/>
      </c>
      <c r="D25" s="1061"/>
      <c r="E25" s="1061"/>
      <c r="F25" s="1061"/>
      <c r="G25" s="1061"/>
      <c r="H25" s="567"/>
      <c r="I25" s="569" t="str">
        <f t="shared" si="0"/>
        <v/>
      </c>
      <c r="J25" s="565">
        <f>IF(OR(H25="●",I25="●"),1+COUNTIF(J$6:J24,"&gt;0"),0)</f>
        <v>0</v>
      </c>
      <c r="K25" s="5">
        <v>20</v>
      </c>
      <c r="L25" s="1061" t="str">
        <f>IFERROR(INDEX(T08_Spells!$B$3:$B$407,MATCH(K25,T08_Spells!$DT$3:$DT$407,0),1),"")</f>
        <v/>
      </c>
      <c r="M25" s="1061"/>
      <c r="N25" s="1061"/>
      <c r="O25" s="1061"/>
      <c r="P25" s="1061"/>
      <c r="Q25" s="567"/>
      <c r="R25" s="569" t="str">
        <f t="shared" si="1"/>
        <v/>
      </c>
      <c r="S25" s="565">
        <f>IF(OR(Q25="●",R25="●"),1+COUNTIF(S$6:S24,"&gt;0"),0)</f>
        <v>0</v>
      </c>
      <c r="T25" s="5">
        <v>20</v>
      </c>
      <c r="U25" s="1061" t="str">
        <f>IFERROR(INDEX(T08_Spells!$B$3:$B$407,MATCH(T25,T08_Spells!$DU$3:$DU$407,0),1),"")</f>
        <v/>
      </c>
      <c r="V25" s="1061"/>
      <c r="W25" s="1061"/>
      <c r="X25" s="1061"/>
      <c r="Y25" s="1061"/>
      <c r="Z25" s="567"/>
      <c r="AA25" s="569" t="str">
        <f t="shared" si="2"/>
        <v/>
      </c>
      <c r="AB25" s="565">
        <f>IF(OR(Z25="●",AA25="●"),1+COUNTIF(AB$6:AB24,"&gt;0"),0)</f>
        <v>0</v>
      </c>
      <c r="AC25" s="5">
        <v>20</v>
      </c>
      <c r="AD25" s="1061" t="str">
        <f>IFERROR(INDEX(T08_Spells!$B$3:$B$407,MATCH(AC25,T08_Spells!$DV$3:$DV$407,0),1),"")</f>
        <v/>
      </c>
      <c r="AE25" s="1061"/>
      <c r="AF25" s="1061"/>
      <c r="AG25" s="1061"/>
      <c r="AH25" s="1061"/>
      <c r="AI25" s="567"/>
      <c r="AJ25" s="569" t="str">
        <f t="shared" si="3"/>
        <v/>
      </c>
      <c r="AK25" s="565">
        <f>IF(OR(AI25="●",AJ25="●"),1+COUNTIF(AK$6:AK24,"&gt;0"),0)</f>
        <v>0</v>
      </c>
      <c r="AL25" s="5">
        <v>20</v>
      </c>
      <c r="AM25" s="1061" t="str">
        <f>IFERROR(INDEX(T08_Spells!$B$3:$B$407,MATCH(AL25,T08_Spells!$DV$3:$DV$407,0),1),"")</f>
        <v/>
      </c>
      <c r="AN25" s="1061"/>
      <c r="AO25" s="1061"/>
      <c r="AP25" s="1061"/>
      <c r="AQ25" s="1061"/>
      <c r="AR25" s="567"/>
      <c r="AS25" s="569" t="str">
        <f t="shared" si="4"/>
        <v/>
      </c>
      <c r="AT25" s="565">
        <f>IF(OR(AR25="●",AS25="●"),1+COUNTIF(AT$6:AT24,"&gt;0"),0)</f>
        <v>0</v>
      </c>
    </row>
    <row r="26" spans="1:46" ht="21" x14ac:dyDescent="0.25">
      <c r="A26" s="120"/>
      <c r="B26" s="5">
        <v>21</v>
      </c>
      <c r="C26" s="1061" t="str">
        <f>IFERROR(INDEX(T08_Spells!$B$3:$B$407,MATCH(B26,T08_Spells!$DS$3:$DS$407,0),1),"")</f>
        <v/>
      </c>
      <c r="D26" s="1061"/>
      <c r="E26" s="1061"/>
      <c r="F26" s="1061"/>
      <c r="G26" s="1061"/>
      <c r="H26" s="567"/>
      <c r="I26" s="569" t="str">
        <f t="shared" si="0"/>
        <v/>
      </c>
      <c r="J26" s="565">
        <f>IF(OR(H26="●",I26="●"),1+COUNTIF(J$6:J25,"&gt;0"),0)</f>
        <v>0</v>
      </c>
      <c r="K26" s="5">
        <v>21</v>
      </c>
      <c r="L26" s="1061" t="str">
        <f>IFERROR(INDEX(T08_Spells!$B$3:$B$407,MATCH(K26,T08_Spells!$DT$3:$DT$407,0),1),"")</f>
        <v/>
      </c>
      <c r="M26" s="1061"/>
      <c r="N26" s="1061"/>
      <c r="O26" s="1061"/>
      <c r="P26" s="1061"/>
      <c r="Q26" s="567"/>
      <c r="R26" s="569" t="str">
        <f t="shared" si="1"/>
        <v/>
      </c>
      <c r="S26" s="565">
        <f>IF(OR(Q26="●",R26="●"),1+COUNTIF(S$6:S25,"&gt;0"),0)</f>
        <v>0</v>
      </c>
      <c r="T26" s="5">
        <v>21</v>
      </c>
      <c r="U26" s="1061" t="str">
        <f>IFERROR(INDEX(T08_Spells!$B$3:$B$407,MATCH(T26,T08_Spells!$DU$3:$DU$407,0),1),"")</f>
        <v/>
      </c>
      <c r="V26" s="1061"/>
      <c r="W26" s="1061"/>
      <c r="X26" s="1061"/>
      <c r="Y26" s="1061"/>
      <c r="Z26" s="567"/>
      <c r="AA26" s="569" t="str">
        <f t="shared" si="2"/>
        <v/>
      </c>
      <c r="AB26" s="565">
        <f>IF(OR(Z26="●",AA26="●"),1+COUNTIF(AB$6:AB25,"&gt;0"),0)</f>
        <v>0</v>
      </c>
      <c r="AC26" s="5">
        <v>21</v>
      </c>
      <c r="AD26" s="1061" t="str">
        <f>IFERROR(INDEX(T08_Spells!$B$3:$B$407,MATCH(AC26,T08_Spells!$DV$3:$DV$407,0),1),"")</f>
        <v/>
      </c>
      <c r="AE26" s="1061"/>
      <c r="AF26" s="1061"/>
      <c r="AG26" s="1061"/>
      <c r="AH26" s="1061"/>
      <c r="AI26" s="567"/>
      <c r="AJ26" s="569" t="str">
        <f t="shared" si="3"/>
        <v/>
      </c>
      <c r="AK26" s="565">
        <f>IF(OR(AI26="●",AJ26="●"),1+COUNTIF(AK$6:AK25,"&gt;0"),0)</f>
        <v>0</v>
      </c>
      <c r="AL26" s="5">
        <v>21</v>
      </c>
      <c r="AM26" s="1061" t="str">
        <f>IFERROR(INDEX(T08_Spells!$B$3:$B$407,MATCH(AL26,T08_Spells!$DV$3:$DV$407,0),1),"")</f>
        <v/>
      </c>
      <c r="AN26" s="1061"/>
      <c r="AO26" s="1061"/>
      <c r="AP26" s="1061"/>
      <c r="AQ26" s="1061"/>
      <c r="AR26" s="567"/>
      <c r="AS26" s="569" t="str">
        <f t="shared" si="4"/>
        <v/>
      </c>
      <c r="AT26" s="565">
        <f>IF(OR(AR26="●",AS26="●"),1+COUNTIF(AT$6:AT25,"&gt;0"),0)</f>
        <v>0</v>
      </c>
    </row>
    <row r="27" spans="1:46" ht="21" x14ac:dyDescent="0.25">
      <c r="A27" s="120"/>
      <c r="B27" s="5">
        <v>22</v>
      </c>
      <c r="C27" s="1061" t="str">
        <f>IFERROR(INDEX(T08_Spells!$B$3:$B$407,MATCH(B27,T08_Spells!$DS$3:$DS$407,0),1),"")</f>
        <v/>
      </c>
      <c r="D27" s="1061"/>
      <c r="E27" s="1061"/>
      <c r="F27" s="1061"/>
      <c r="G27" s="1061"/>
      <c r="H27" s="567"/>
      <c r="I27" s="569" t="str">
        <f t="shared" si="0"/>
        <v/>
      </c>
      <c r="J27" s="565">
        <f>IF(OR(H27="●",I27="●"),1+COUNTIF(J$6:J26,"&gt;0"),0)</f>
        <v>0</v>
      </c>
      <c r="K27" s="5">
        <v>22</v>
      </c>
      <c r="L27" s="1061" t="str">
        <f>IFERROR(INDEX(T08_Spells!$B$3:$B$407,MATCH(K27,T08_Spells!$DT$3:$DT$407,0),1),"")</f>
        <v/>
      </c>
      <c r="M27" s="1061"/>
      <c r="N27" s="1061"/>
      <c r="O27" s="1061"/>
      <c r="P27" s="1061"/>
      <c r="Q27" s="567"/>
      <c r="R27" s="569" t="str">
        <f t="shared" si="1"/>
        <v/>
      </c>
      <c r="S27" s="565">
        <f>IF(OR(Q27="●",R27="●"),1+COUNTIF(S$6:S26,"&gt;0"),0)</f>
        <v>0</v>
      </c>
      <c r="T27" s="5">
        <v>22</v>
      </c>
      <c r="U27" s="1061" t="str">
        <f>IFERROR(INDEX(T08_Spells!$B$3:$B$407,MATCH(T27,T08_Spells!$DU$3:$DU$407,0),1),"")</f>
        <v/>
      </c>
      <c r="V27" s="1061"/>
      <c r="W27" s="1061"/>
      <c r="X27" s="1061"/>
      <c r="Y27" s="1061"/>
      <c r="Z27" s="567"/>
      <c r="AA27" s="569" t="str">
        <f t="shared" si="2"/>
        <v/>
      </c>
      <c r="AB27" s="565">
        <f>IF(OR(Z27="●",AA27="●"),1+COUNTIF(AB$6:AB26,"&gt;0"),0)</f>
        <v>0</v>
      </c>
      <c r="AC27" s="5">
        <v>22</v>
      </c>
      <c r="AD27" s="1061" t="str">
        <f>IFERROR(INDEX(T08_Spells!$B$3:$B$407,MATCH(AC27,T08_Spells!$DV$3:$DV$407,0),1),"")</f>
        <v/>
      </c>
      <c r="AE27" s="1061"/>
      <c r="AF27" s="1061"/>
      <c r="AG27" s="1061"/>
      <c r="AH27" s="1061"/>
      <c r="AI27" s="567"/>
      <c r="AJ27" s="569" t="str">
        <f t="shared" si="3"/>
        <v/>
      </c>
      <c r="AK27" s="565">
        <f>IF(OR(AI27="●",AJ27="●"),1+COUNTIF(AK$6:AK26,"&gt;0"),0)</f>
        <v>0</v>
      </c>
      <c r="AL27" s="5">
        <v>22</v>
      </c>
      <c r="AM27" s="1061" t="str">
        <f>IFERROR(INDEX(T08_Spells!$B$3:$B$407,MATCH(AL27,T08_Spells!$DV$3:$DV$407,0),1),"")</f>
        <v/>
      </c>
      <c r="AN27" s="1061"/>
      <c r="AO27" s="1061"/>
      <c r="AP27" s="1061"/>
      <c r="AQ27" s="1061"/>
      <c r="AR27" s="567"/>
      <c r="AS27" s="569" t="str">
        <f t="shared" si="4"/>
        <v/>
      </c>
      <c r="AT27" s="565">
        <f>IF(OR(AR27="●",AS27="●"),1+COUNTIF(AT$6:AT26,"&gt;0"),0)</f>
        <v>0</v>
      </c>
    </row>
    <row r="28" spans="1:46" ht="21" x14ac:dyDescent="0.25">
      <c r="A28" s="120"/>
      <c r="B28" s="5">
        <v>23</v>
      </c>
      <c r="C28" s="1061" t="str">
        <f>IFERROR(INDEX(T08_Spells!$B$3:$B$407,MATCH(B28,T08_Spells!$DS$3:$DS$407,0),1),"")</f>
        <v/>
      </c>
      <c r="D28" s="1061"/>
      <c r="E28" s="1061"/>
      <c r="F28" s="1061"/>
      <c r="G28" s="1061"/>
      <c r="H28" s="567"/>
      <c r="I28" s="569" t="str">
        <f t="shared" si="0"/>
        <v/>
      </c>
      <c r="J28" s="565">
        <f>IF(OR(H28="●",I28="●"),1+COUNTIF(J$6:J27,"&gt;0"),0)</f>
        <v>0</v>
      </c>
      <c r="K28" s="5">
        <v>23</v>
      </c>
      <c r="L28" s="1061" t="str">
        <f>IFERROR(INDEX(T08_Spells!$B$3:$B$407,MATCH(K28,T08_Spells!$DT$3:$DT$407,0),1),"")</f>
        <v/>
      </c>
      <c r="M28" s="1061"/>
      <c r="N28" s="1061"/>
      <c r="O28" s="1061"/>
      <c r="P28" s="1061"/>
      <c r="Q28" s="567"/>
      <c r="R28" s="569" t="str">
        <f t="shared" si="1"/>
        <v/>
      </c>
      <c r="S28" s="565">
        <f>IF(OR(Q28="●",R28="●"),1+COUNTIF(S$6:S27,"&gt;0"),0)</f>
        <v>0</v>
      </c>
      <c r="T28" s="5">
        <v>23</v>
      </c>
      <c r="U28" s="1061" t="str">
        <f>IFERROR(INDEX(T08_Spells!$B$3:$B$407,MATCH(T28,T08_Spells!$DU$3:$DU$407,0),1),"")</f>
        <v/>
      </c>
      <c r="V28" s="1061"/>
      <c r="W28" s="1061"/>
      <c r="X28" s="1061"/>
      <c r="Y28" s="1061"/>
      <c r="Z28" s="567"/>
      <c r="AA28" s="569" t="str">
        <f t="shared" si="2"/>
        <v/>
      </c>
      <c r="AB28" s="565">
        <f>IF(OR(Z28="●",AA28="●"),1+COUNTIF(AB$6:AB27,"&gt;0"),0)</f>
        <v>0</v>
      </c>
      <c r="AC28" s="5">
        <v>23</v>
      </c>
      <c r="AD28" s="1061" t="str">
        <f>IFERROR(INDEX(T08_Spells!$B$3:$B$407,MATCH(AC28,T08_Spells!$DV$3:$DV$407,0),1),"")</f>
        <v/>
      </c>
      <c r="AE28" s="1061"/>
      <c r="AF28" s="1061"/>
      <c r="AG28" s="1061"/>
      <c r="AH28" s="1061"/>
      <c r="AI28" s="567"/>
      <c r="AJ28" s="569" t="str">
        <f t="shared" si="3"/>
        <v/>
      </c>
      <c r="AK28" s="565">
        <f>IF(OR(AI28="●",AJ28="●"),1+COUNTIF(AK$6:AK27,"&gt;0"),0)</f>
        <v>0</v>
      </c>
      <c r="AL28" s="5">
        <v>23</v>
      </c>
      <c r="AM28" s="1061" t="str">
        <f>IFERROR(INDEX(T08_Spells!$B$3:$B$407,MATCH(AL28,T08_Spells!$DV$3:$DV$407,0),1),"")</f>
        <v/>
      </c>
      <c r="AN28" s="1061"/>
      <c r="AO28" s="1061"/>
      <c r="AP28" s="1061"/>
      <c r="AQ28" s="1061"/>
      <c r="AR28" s="567"/>
      <c r="AS28" s="569" t="str">
        <f t="shared" si="4"/>
        <v/>
      </c>
      <c r="AT28" s="565">
        <f>IF(OR(AR28="●",AS28="●"),1+COUNTIF(AT$6:AT27,"&gt;0"),0)</f>
        <v>0</v>
      </c>
    </row>
    <row r="29" spans="1:46" ht="21" x14ac:dyDescent="0.25">
      <c r="A29" s="120"/>
      <c r="B29" s="5">
        <v>24</v>
      </c>
      <c r="C29" s="1061" t="str">
        <f>IFERROR(INDEX(T08_Spells!$B$3:$B$407,MATCH(B29,T08_Spells!$DS$3:$DS$407,0),1),"")</f>
        <v/>
      </c>
      <c r="D29" s="1061"/>
      <c r="E29" s="1061"/>
      <c r="F29" s="1061"/>
      <c r="G29" s="1061"/>
      <c r="H29" s="567"/>
      <c r="I29" s="569" t="str">
        <f t="shared" si="0"/>
        <v/>
      </c>
      <c r="J29" s="565">
        <f>IF(OR(H29="●",I29="●"),1+COUNTIF(J$6:J28,"&gt;0"),0)</f>
        <v>0</v>
      </c>
      <c r="K29" s="5">
        <v>24</v>
      </c>
      <c r="L29" s="1061" t="str">
        <f>IFERROR(INDEX(T08_Spells!$B$3:$B$407,MATCH(K29,T08_Spells!$DT$3:$DT$407,0),1),"")</f>
        <v/>
      </c>
      <c r="M29" s="1061"/>
      <c r="N29" s="1061"/>
      <c r="O29" s="1061"/>
      <c r="P29" s="1061"/>
      <c r="Q29" s="567"/>
      <c r="R29" s="569" t="str">
        <f t="shared" si="1"/>
        <v/>
      </c>
      <c r="S29" s="565">
        <f>IF(OR(Q29="●",R29="●"),1+COUNTIF(S$6:S28,"&gt;0"),0)</f>
        <v>0</v>
      </c>
      <c r="T29" s="5">
        <v>24</v>
      </c>
      <c r="U29" s="1061" t="str">
        <f>IFERROR(INDEX(T08_Spells!$B$3:$B$407,MATCH(T29,T08_Spells!$DU$3:$DU$407,0),1),"")</f>
        <v/>
      </c>
      <c r="V29" s="1061"/>
      <c r="W29" s="1061"/>
      <c r="X29" s="1061"/>
      <c r="Y29" s="1061"/>
      <c r="Z29" s="567"/>
      <c r="AA29" s="569" t="str">
        <f t="shared" si="2"/>
        <v/>
      </c>
      <c r="AB29" s="565">
        <f>IF(OR(Z29="●",AA29="●"),1+COUNTIF(AB$6:AB28,"&gt;0"),0)</f>
        <v>0</v>
      </c>
      <c r="AC29" s="5">
        <v>24</v>
      </c>
      <c r="AD29" s="1061" t="str">
        <f>IFERROR(INDEX(T08_Spells!$B$3:$B$407,MATCH(AC29,T08_Spells!$DV$3:$DV$407,0),1),"")</f>
        <v/>
      </c>
      <c r="AE29" s="1061"/>
      <c r="AF29" s="1061"/>
      <c r="AG29" s="1061"/>
      <c r="AH29" s="1061"/>
      <c r="AI29" s="567"/>
      <c r="AJ29" s="569" t="str">
        <f t="shared" si="3"/>
        <v/>
      </c>
      <c r="AK29" s="565">
        <f>IF(OR(AI29="●",AJ29="●"),1+COUNTIF(AK$6:AK28,"&gt;0"),0)</f>
        <v>0</v>
      </c>
      <c r="AL29" s="5">
        <v>24</v>
      </c>
      <c r="AM29" s="1061" t="str">
        <f>IFERROR(INDEX(T08_Spells!$B$3:$B$407,MATCH(AL29,T08_Spells!$DV$3:$DV$407,0),1),"")</f>
        <v/>
      </c>
      <c r="AN29" s="1061"/>
      <c r="AO29" s="1061"/>
      <c r="AP29" s="1061"/>
      <c r="AQ29" s="1061"/>
      <c r="AR29" s="567"/>
      <c r="AS29" s="569" t="str">
        <f t="shared" si="4"/>
        <v/>
      </c>
      <c r="AT29" s="565">
        <f>IF(OR(AR29="●",AS29="●"),1+COUNTIF(AT$6:AT28,"&gt;0"),0)</f>
        <v>0</v>
      </c>
    </row>
    <row r="30" spans="1:46" ht="21" x14ac:dyDescent="0.25">
      <c r="A30" s="120"/>
      <c r="B30" s="5">
        <v>25</v>
      </c>
      <c r="C30" s="1061" t="str">
        <f>IFERROR(INDEX(T08_Spells!$B$3:$B$407,MATCH(B30,T08_Spells!$DS$3:$DS$407,0),1),"")</f>
        <v/>
      </c>
      <c r="D30" s="1061"/>
      <c r="E30" s="1061"/>
      <c r="F30" s="1061"/>
      <c r="G30" s="1061"/>
      <c r="H30" s="567"/>
      <c r="I30" s="569" t="str">
        <f t="shared" si="0"/>
        <v/>
      </c>
      <c r="J30" s="565">
        <f>IF(OR(H30="●",I30="●"),1+COUNTIF(J$6:J29,"&gt;0"),0)</f>
        <v>0</v>
      </c>
      <c r="K30" s="5">
        <v>25</v>
      </c>
      <c r="L30" s="1061" t="str">
        <f>IFERROR(INDEX(T08_Spells!$B$3:$B$407,MATCH(K30,T08_Spells!$DT$3:$DT$407,0),1),"")</f>
        <v/>
      </c>
      <c r="M30" s="1061"/>
      <c r="N30" s="1061"/>
      <c r="O30" s="1061"/>
      <c r="P30" s="1061"/>
      <c r="Q30" s="567"/>
      <c r="R30" s="569" t="str">
        <f t="shared" si="1"/>
        <v/>
      </c>
      <c r="S30" s="565">
        <f>IF(OR(Q30="●",R30="●"),1+COUNTIF(S$6:S29,"&gt;0"),0)</f>
        <v>0</v>
      </c>
      <c r="T30" s="5">
        <v>25</v>
      </c>
      <c r="U30" s="1061" t="str">
        <f>IFERROR(INDEX(T08_Spells!$B$3:$B$407,MATCH(T30,T08_Spells!$DU$3:$DU$407,0),1),"")</f>
        <v/>
      </c>
      <c r="V30" s="1061"/>
      <c r="W30" s="1061"/>
      <c r="X30" s="1061"/>
      <c r="Y30" s="1061"/>
      <c r="Z30" s="567"/>
      <c r="AA30" s="569" t="str">
        <f t="shared" si="2"/>
        <v/>
      </c>
      <c r="AB30" s="565">
        <f>IF(OR(Z30="●",AA30="●"),1+COUNTIF(AB$6:AB29,"&gt;0"),0)</f>
        <v>0</v>
      </c>
      <c r="AC30" s="5">
        <v>25</v>
      </c>
      <c r="AD30" s="1061" t="str">
        <f>IFERROR(INDEX(T08_Spells!$B$3:$B$407,MATCH(AC30,T08_Spells!$DV$3:$DV$407,0),1),"")</f>
        <v/>
      </c>
      <c r="AE30" s="1061"/>
      <c r="AF30" s="1061"/>
      <c r="AG30" s="1061"/>
      <c r="AH30" s="1061"/>
      <c r="AI30" s="567"/>
      <c r="AJ30" s="569" t="str">
        <f t="shared" si="3"/>
        <v/>
      </c>
      <c r="AK30" s="565">
        <f>IF(OR(AI30="●",AJ30="●"),1+COUNTIF(AK$6:AK29,"&gt;0"),0)</f>
        <v>0</v>
      </c>
      <c r="AL30" s="5">
        <v>25</v>
      </c>
      <c r="AM30" s="1061" t="str">
        <f>IFERROR(INDEX(T08_Spells!$B$3:$B$407,MATCH(AL30,T08_Spells!$DV$3:$DV$407,0),1),"")</f>
        <v/>
      </c>
      <c r="AN30" s="1061"/>
      <c r="AO30" s="1061"/>
      <c r="AP30" s="1061"/>
      <c r="AQ30" s="1061"/>
      <c r="AR30" s="567"/>
      <c r="AS30" s="569" t="str">
        <f t="shared" si="4"/>
        <v/>
      </c>
      <c r="AT30" s="565">
        <f>IF(OR(AR30="●",AS30="●"),1+COUNTIF(AT$6:AT29,"&gt;0"),0)</f>
        <v>0</v>
      </c>
    </row>
    <row r="31" spans="1:46" ht="21" x14ac:dyDescent="0.25">
      <c r="A31" s="120"/>
      <c r="B31" s="5">
        <v>26</v>
      </c>
      <c r="C31" s="1061" t="str">
        <f>IFERROR(INDEX(T08_Spells!$B$3:$B$407,MATCH(B31,T08_Spells!$DS$3:$DS$407,0),1),"")</f>
        <v/>
      </c>
      <c r="D31" s="1061"/>
      <c r="E31" s="1061"/>
      <c r="F31" s="1061"/>
      <c r="G31" s="1061"/>
      <c r="H31" s="567"/>
      <c r="I31" s="569" t="str">
        <f t="shared" si="0"/>
        <v/>
      </c>
      <c r="J31" s="565">
        <f>IF(OR(H31="●",I31="●"),1+COUNTIF(J$6:J30,"&gt;0"),0)</f>
        <v>0</v>
      </c>
      <c r="K31" s="5">
        <v>26</v>
      </c>
      <c r="L31" s="1061" t="str">
        <f>IFERROR(INDEX(T08_Spells!$B$3:$B$407,MATCH(K31,T08_Spells!$DT$3:$DT$407,0),1),"")</f>
        <v/>
      </c>
      <c r="M31" s="1061"/>
      <c r="N31" s="1061"/>
      <c r="O31" s="1061"/>
      <c r="P31" s="1061"/>
      <c r="Q31" s="567"/>
      <c r="R31" s="569" t="str">
        <f t="shared" si="1"/>
        <v/>
      </c>
      <c r="S31" s="565">
        <f>IF(OR(Q31="●",R31="●"),1+COUNTIF(S$6:S30,"&gt;0"),0)</f>
        <v>0</v>
      </c>
      <c r="T31" s="5">
        <v>26</v>
      </c>
      <c r="U31" s="1061" t="str">
        <f>IFERROR(INDEX(T08_Spells!$B$3:$B$407,MATCH(T31,T08_Spells!$DU$3:$DU$407,0),1),"")</f>
        <v/>
      </c>
      <c r="V31" s="1061"/>
      <c r="W31" s="1061"/>
      <c r="X31" s="1061"/>
      <c r="Y31" s="1061"/>
      <c r="Z31" s="567"/>
      <c r="AA31" s="569" t="str">
        <f t="shared" si="2"/>
        <v/>
      </c>
      <c r="AB31" s="565">
        <f>IF(OR(Z31="●",AA31="●"),1+COUNTIF(AB$6:AB30,"&gt;0"),0)</f>
        <v>0</v>
      </c>
      <c r="AC31" s="5">
        <v>26</v>
      </c>
      <c r="AD31" s="1061" t="str">
        <f>IFERROR(INDEX(T08_Spells!$B$3:$B$407,MATCH(AC31,T08_Spells!$DV$3:$DV$407,0),1),"")</f>
        <v/>
      </c>
      <c r="AE31" s="1061"/>
      <c r="AF31" s="1061"/>
      <c r="AG31" s="1061"/>
      <c r="AH31" s="1061"/>
      <c r="AI31" s="567"/>
      <c r="AJ31" s="569" t="str">
        <f t="shared" si="3"/>
        <v/>
      </c>
      <c r="AK31" s="565">
        <f>IF(OR(AI31="●",AJ31="●"),1+COUNTIF(AK$6:AK30,"&gt;0"),0)</f>
        <v>0</v>
      </c>
      <c r="AL31" s="5">
        <v>26</v>
      </c>
      <c r="AM31" s="1061" t="str">
        <f>IFERROR(INDEX(T08_Spells!$B$3:$B$407,MATCH(AL31,T08_Spells!$DV$3:$DV$407,0),1),"")</f>
        <v/>
      </c>
      <c r="AN31" s="1061"/>
      <c r="AO31" s="1061"/>
      <c r="AP31" s="1061"/>
      <c r="AQ31" s="1061"/>
      <c r="AR31" s="567"/>
      <c r="AS31" s="569" t="str">
        <f t="shared" si="4"/>
        <v/>
      </c>
      <c r="AT31" s="565">
        <f>IF(OR(AR31="●",AS31="●"),1+COUNTIF(AT$6:AT30,"&gt;0"),0)</f>
        <v>0</v>
      </c>
    </row>
    <row r="32" spans="1:46" ht="21" x14ac:dyDescent="0.25">
      <c r="A32" s="120"/>
      <c r="B32" s="5">
        <v>27</v>
      </c>
      <c r="C32" s="1061" t="str">
        <f>IFERROR(INDEX(T08_Spells!$B$3:$B$407,MATCH(B32,T08_Spells!$DS$3:$DS$407,0),1),"")</f>
        <v/>
      </c>
      <c r="D32" s="1061"/>
      <c r="E32" s="1061"/>
      <c r="F32" s="1061"/>
      <c r="G32" s="1061"/>
      <c r="H32" s="567"/>
      <c r="I32" s="569" t="str">
        <f t="shared" si="0"/>
        <v/>
      </c>
      <c r="J32" s="565">
        <f>IF(OR(H32="●",I32="●"),1+COUNTIF(J$6:J31,"&gt;0"),0)</f>
        <v>0</v>
      </c>
      <c r="K32" s="5">
        <v>27</v>
      </c>
      <c r="L32" s="1061" t="str">
        <f>IFERROR(INDEX(T08_Spells!$B$3:$B$407,MATCH(K32,T08_Spells!$DT$3:$DT$407,0),1),"")</f>
        <v/>
      </c>
      <c r="M32" s="1061"/>
      <c r="N32" s="1061"/>
      <c r="O32" s="1061"/>
      <c r="P32" s="1061"/>
      <c r="Q32" s="567"/>
      <c r="R32" s="569" t="str">
        <f t="shared" si="1"/>
        <v/>
      </c>
      <c r="S32" s="565">
        <f>IF(OR(Q32="●",R32="●"),1+COUNTIF(S$6:S31,"&gt;0"),0)</f>
        <v>0</v>
      </c>
      <c r="T32" s="5">
        <v>27</v>
      </c>
      <c r="U32" s="1061" t="str">
        <f>IFERROR(INDEX(T08_Spells!$B$3:$B$407,MATCH(T32,T08_Spells!$DU$3:$DU$407,0),1),"")</f>
        <v/>
      </c>
      <c r="V32" s="1061"/>
      <c r="W32" s="1061"/>
      <c r="X32" s="1061"/>
      <c r="Y32" s="1061"/>
      <c r="Z32" s="567"/>
      <c r="AA32" s="569" t="str">
        <f t="shared" si="2"/>
        <v/>
      </c>
      <c r="AB32" s="565">
        <f>IF(OR(Z32="●",AA32="●"),1+COUNTIF(AB$6:AB31,"&gt;0"),0)</f>
        <v>0</v>
      </c>
      <c r="AC32" s="5">
        <v>27</v>
      </c>
      <c r="AD32" s="1061" t="str">
        <f>IFERROR(INDEX(T08_Spells!$B$3:$B$407,MATCH(AC32,T08_Spells!$DV$3:$DV$407,0),1),"")</f>
        <v/>
      </c>
      <c r="AE32" s="1061"/>
      <c r="AF32" s="1061"/>
      <c r="AG32" s="1061"/>
      <c r="AH32" s="1061"/>
      <c r="AI32" s="567"/>
      <c r="AJ32" s="569" t="str">
        <f t="shared" si="3"/>
        <v/>
      </c>
      <c r="AK32" s="565">
        <f>IF(OR(AI32="●",AJ32="●"),1+COUNTIF(AK$6:AK31,"&gt;0"),0)</f>
        <v>0</v>
      </c>
      <c r="AL32" s="5">
        <v>27</v>
      </c>
      <c r="AM32" s="1061" t="str">
        <f>IFERROR(INDEX(T08_Spells!$B$3:$B$407,MATCH(AL32,T08_Spells!$DV$3:$DV$407,0),1),"")</f>
        <v/>
      </c>
      <c r="AN32" s="1061"/>
      <c r="AO32" s="1061"/>
      <c r="AP32" s="1061"/>
      <c r="AQ32" s="1061"/>
      <c r="AR32" s="567"/>
      <c r="AS32" s="569" t="str">
        <f t="shared" si="4"/>
        <v/>
      </c>
      <c r="AT32" s="565">
        <f>IF(OR(AR32="●",AS32="●"),1+COUNTIF(AT$6:AT31,"&gt;0"),0)</f>
        <v>0</v>
      </c>
    </row>
    <row r="33" spans="1:51" ht="21" x14ac:dyDescent="0.25">
      <c r="A33" s="120"/>
      <c r="B33" s="5">
        <v>28</v>
      </c>
      <c r="C33" s="1061" t="str">
        <f>IFERROR(INDEX(T08_Spells!$B$3:$B$407,MATCH(B33,T08_Spells!$DS$3:$DS$407,0),1),"")</f>
        <v/>
      </c>
      <c r="D33" s="1061"/>
      <c r="E33" s="1061"/>
      <c r="F33" s="1061"/>
      <c r="G33" s="1061"/>
      <c r="H33" s="567"/>
      <c r="I33" s="569" t="str">
        <f t="shared" si="0"/>
        <v/>
      </c>
      <c r="J33" s="565">
        <f>IF(OR(H33="●",I33="●"),1+COUNTIF(J$6:J32,"&gt;0"),0)</f>
        <v>0</v>
      </c>
      <c r="K33" s="5">
        <v>28</v>
      </c>
      <c r="L33" s="1061" t="str">
        <f>IFERROR(INDEX(T08_Spells!$B$3:$B$407,MATCH(K33,T08_Spells!$DT$3:$DT$407,0),1),"")</f>
        <v/>
      </c>
      <c r="M33" s="1061"/>
      <c r="N33" s="1061"/>
      <c r="O33" s="1061"/>
      <c r="P33" s="1061"/>
      <c r="Q33" s="567"/>
      <c r="R33" s="569" t="str">
        <f t="shared" si="1"/>
        <v/>
      </c>
      <c r="S33" s="565">
        <f>IF(OR(Q33="●",R33="●"),1+COUNTIF(S$6:S32,"&gt;0"),0)</f>
        <v>0</v>
      </c>
      <c r="T33" s="5">
        <v>28</v>
      </c>
      <c r="U33" s="1061" t="str">
        <f>IFERROR(INDEX(T08_Spells!$B$3:$B$407,MATCH(T33,T08_Spells!$DU$3:$DU$407,0),1),"")</f>
        <v/>
      </c>
      <c r="V33" s="1061"/>
      <c r="W33" s="1061"/>
      <c r="X33" s="1061"/>
      <c r="Y33" s="1061"/>
      <c r="Z33" s="567"/>
      <c r="AA33" s="569" t="str">
        <f t="shared" si="2"/>
        <v/>
      </c>
      <c r="AB33" s="565">
        <f>IF(OR(Z33="●",AA33="●"),1+COUNTIF(AB$6:AB32,"&gt;0"),0)</f>
        <v>0</v>
      </c>
      <c r="AC33" s="5">
        <v>28</v>
      </c>
      <c r="AD33" s="1061" t="str">
        <f>IFERROR(INDEX(T08_Spells!$B$3:$B$407,MATCH(AC33,T08_Spells!$DV$3:$DV$407,0),1),"")</f>
        <v/>
      </c>
      <c r="AE33" s="1061"/>
      <c r="AF33" s="1061"/>
      <c r="AG33" s="1061"/>
      <c r="AH33" s="1061"/>
      <c r="AI33" s="567"/>
      <c r="AJ33" s="569" t="str">
        <f t="shared" si="3"/>
        <v/>
      </c>
      <c r="AK33" s="565">
        <f>IF(OR(AI33="●",AJ33="●"),1+COUNTIF(AK$6:AK32,"&gt;0"),0)</f>
        <v>0</v>
      </c>
      <c r="AL33" s="5">
        <v>28</v>
      </c>
      <c r="AM33" s="1061" t="str">
        <f>IFERROR(INDEX(T08_Spells!$B$3:$B$407,MATCH(AL33,T08_Spells!$DV$3:$DV$407,0),1),"")</f>
        <v/>
      </c>
      <c r="AN33" s="1061"/>
      <c r="AO33" s="1061"/>
      <c r="AP33" s="1061"/>
      <c r="AQ33" s="1061"/>
      <c r="AR33" s="567"/>
      <c r="AS33" s="569" t="str">
        <f t="shared" si="4"/>
        <v/>
      </c>
      <c r="AT33" s="565">
        <f>IF(OR(AR33="●",AS33="●"),1+COUNTIF(AT$6:AT32,"&gt;0"),0)</f>
        <v>0</v>
      </c>
    </row>
    <row r="34" spans="1:51" ht="21" x14ac:dyDescent="0.25">
      <c r="A34" s="120"/>
      <c r="B34" s="5">
        <v>29</v>
      </c>
      <c r="C34" s="1061" t="str">
        <f>IFERROR(INDEX(T08_Spells!$B$3:$B$407,MATCH(B34,T08_Spells!$DS$3:$DS$407,0),1),"")</f>
        <v/>
      </c>
      <c r="D34" s="1061"/>
      <c r="E34" s="1061"/>
      <c r="F34" s="1061"/>
      <c r="G34" s="1061"/>
      <c r="H34" s="567"/>
      <c r="I34" s="569" t="str">
        <f t="shared" si="0"/>
        <v/>
      </c>
      <c r="J34" s="565">
        <f>IF(OR(H34="●",I34="●"),1+COUNTIF(J$6:J33,"&gt;0"),0)</f>
        <v>0</v>
      </c>
      <c r="K34" s="5">
        <v>29</v>
      </c>
      <c r="L34" s="1061" t="str">
        <f>IFERROR(INDEX(T08_Spells!$B$3:$B$407,MATCH(K34,T08_Spells!$DT$3:$DT$407,0),1),"")</f>
        <v/>
      </c>
      <c r="M34" s="1061"/>
      <c r="N34" s="1061"/>
      <c r="O34" s="1061"/>
      <c r="P34" s="1061"/>
      <c r="Q34" s="567"/>
      <c r="R34" s="569" t="str">
        <f t="shared" si="1"/>
        <v/>
      </c>
      <c r="S34" s="565">
        <f>IF(OR(Q34="●",R34="●"),1+COUNTIF(S$6:S33,"&gt;0"),0)</f>
        <v>0</v>
      </c>
      <c r="T34" s="5">
        <v>29</v>
      </c>
      <c r="U34" s="1061" t="str">
        <f>IFERROR(INDEX(T08_Spells!$B$3:$B$407,MATCH(T34,T08_Spells!$DU$3:$DU$407,0),1),"")</f>
        <v/>
      </c>
      <c r="V34" s="1061"/>
      <c r="W34" s="1061"/>
      <c r="X34" s="1061"/>
      <c r="Y34" s="1061"/>
      <c r="Z34" s="567"/>
      <c r="AA34" s="569" t="str">
        <f t="shared" si="2"/>
        <v/>
      </c>
      <c r="AB34" s="565">
        <f>IF(OR(Z34="●",AA34="●"),1+COUNTIF(AB$6:AB33,"&gt;0"),0)</f>
        <v>0</v>
      </c>
      <c r="AC34" s="5">
        <v>29</v>
      </c>
      <c r="AD34" s="1061" t="str">
        <f>IFERROR(INDEX(T08_Spells!$B$3:$B$407,MATCH(AC34,T08_Spells!$DV$3:$DV$407,0),1),"")</f>
        <v/>
      </c>
      <c r="AE34" s="1061"/>
      <c r="AF34" s="1061"/>
      <c r="AG34" s="1061"/>
      <c r="AH34" s="1061"/>
      <c r="AI34" s="567"/>
      <c r="AJ34" s="569" t="str">
        <f t="shared" si="3"/>
        <v/>
      </c>
      <c r="AK34" s="565">
        <f>IF(OR(AI34="●",AJ34="●"),1+COUNTIF(AK$6:AK33,"&gt;0"),0)</f>
        <v>0</v>
      </c>
      <c r="AL34" s="5">
        <v>29</v>
      </c>
      <c r="AM34" s="1061" t="str">
        <f>IFERROR(INDEX(T08_Spells!$B$3:$B$407,MATCH(AL34,T08_Spells!$DV$3:$DV$407,0),1),"")</f>
        <v/>
      </c>
      <c r="AN34" s="1061"/>
      <c r="AO34" s="1061"/>
      <c r="AP34" s="1061"/>
      <c r="AQ34" s="1061"/>
      <c r="AR34" s="567"/>
      <c r="AS34" s="569" t="str">
        <f t="shared" si="4"/>
        <v/>
      </c>
      <c r="AT34" s="565">
        <f>IF(OR(AR34="●",AS34="●"),1+COUNTIF(AT$6:AT33,"&gt;0"),0)</f>
        <v>0</v>
      </c>
    </row>
    <row r="35" spans="1:51" ht="21" x14ac:dyDescent="0.25">
      <c r="A35" s="120"/>
      <c r="B35" s="5">
        <v>30</v>
      </c>
      <c r="C35" s="1061" t="str">
        <f>IFERROR(INDEX(T08_Spells!$B$3:$B$407,MATCH(B35,T08_Spells!$DS$3:$DS$407,0),1),"")</f>
        <v/>
      </c>
      <c r="D35" s="1061"/>
      <c r="E35" s="1061"/>
      <c r="F35" s="1061"/>
      <c r="G35" s="1061"/>
      <c r="H35" s="567"/>
      <c r="I35" s="569" t="str">
        <f t="shared" si="0"/>
        <v/>
      </c>
      <c r="J35" s="565">
        <f>IF(OR(H35="●",I35="●"),1+COUNTIF(J$6:J34,"&gt;0"),0)</f>
        <v>0</v>
      </c>
      <c r="K35" s="5">
        <v>30</v>
      </c>
      <c r="L35" s="1061" t="str">
        <f>IFERROR(INDEX(T08_Spells!$B$3:$B$407,MATCH(K35,T08_Spells!$DT$3:$DT$407,0),1),"")</f>
        <v/>
      </c>
      <c r="M35" s="1061"/>
      <c r="N35" s="1061"/>
      <c r="O35" s="1061"/>
      <c r="P35" s="1061"/>
      <c r="Q35" s="567"/>
      <c r="R35" s="569" t="str">
        <f t="shared" si="1"/>
        <v/>
      </c>
      <c r="S35" s="565">
        <f>IF(OR(Q35="●",R35="●"),1+COUNTIF(S$6:S34,"&gt;0"),0)</f>
        <v>0</v>
      </c>
      <c r="T35" s="5">
        <v>30</v>
      </c>
      <c r="U35" s="1061" t="str">
        <f>IFERROR(INDEX(T08_Spells!$B$3:$B$407,MATCH(T35,T08_Spells!$DU$3:$DU$407,0),1),"")</f>
        <v/>
      </c>
      <c r="V35" s="1061"/>
      <c r="W35" s="1061"/>
      <c r="X35" s="1061"/>
      <c r="Y35" s="1061"/>
      <c r="Z35" s="567"/>
      <c r="AA35" s="569" t="str">
        <f t="shared" si="2"/>
        <v/>
      </c>
      <c r="AB35" s="565">
        <f>IF(OR(Z35="●",AA35="●"),1+COUNTIF(AB$6:AB34,"&gt;0"),0)</f>
        <v>0</v>
      </c>
      <c r="AC35" s="5">
        <v>30</v>
      </c>
      <c r="AD35" s="1061" t="str">
        <f>IFERROR(INDEX(T08_Spells!$B$3:$B$407,MATCH(AC35,T08_Spells!$DV$3:$DV$407,0),1),"")</f>
        <v/>
      </c>
      <c r="AE35" s="1061"/>
      <c r="AF35" s="1061"/>
      <c r="AG35" s="1061"/>
      <c r="AH35" s="1061"/>
      <c r="AI35" s="567"/>
      <c r="AJ35" s="569" t="str">
        <f t="shared" si="3"/>
        <v/>
      </c>
      <c r="AK35" s="565">
        <f>IF(OR(AI35="●",AJ35="●"),1+COUNTIF(AK$6:AK34,"&gt;0"),0)</f>
        <v>0</v>
      </c>
      <c r="AL35" s="5">
        <v>30</v>
      </c>
      <c r="AM35" s="1061" t="str">
        <f>IFERROR(INDEX(T08_Spells!$B$3:$B$407,MATCH(AL35,T08_Spells!$DV$3:$DV$407,0),1),"")</f>
        <v/>
      </c>
      <c r="AN35" s="1061"/>
      <c r="AO35" s="1061"/>
      <c r="AP35" s="1061"/>
      <c r="AQ35" s="1061"/>
      <c r="AR35" s="567"/>
      <c r="AS35" s="569" t="str">
        <f t="shared" si="4"/>
        <v/>
      </c>
      <c r="AT35" s="565">
        <f>IF(OR(AR35="●",AS35="●"),1+COUNTIF(AT$6:AT34,"&gt;0"),0)</f>
        <v>0</v>
      </c>
    </row>
    <row r="36" spans="1:51" x14ac:dyDescent="0.25">
      <c r="A36" s="120"/>
      <c r="B36" s="120"/>
      <c r="C36" s="120"/>
      <c r="D36" s="120"/>
      <c r="E36" s="120"/>
      <c r="F36" s="120"/>
      <c r="G36" s="120"/>
      <c r="H36" s="120"/>
      <c r="I36" s="565"/>
      <c r="J36" s="565"/>
      <c r="K36" s="565"/>
      <c r="L36" s="565"/>
      <c r="M36" s="565"/>
      <c r="N36" s="565"/>
      <c r="O36" s="565"/>
      <c r="P36" s="565"/>
      <c r="Q36" s="565"/>
      <c r="R36" s="565"/>
      <c r="S36" s="565"/>
      <c r="T36" s="565"/>
      <c r="U36" s="565"/>
      <c r="V36" s="565"/>
      <c r="W36" s="565"/>
      <c r="X36" s="565"/>
      <c r="Y36" s="565"/>
      <c r="Z36" s="565"/>
      <c r="AA36" s="565"/>
      <c r="AB36" s="565"/>
      <c r="AC36" s="565"/>
      <c r="AD36" s="565"/>
      <c r="AE36" s="565"/>
      <c r="AF36" s="565"/>
      <c r="AG36" s="565"/>
      <c r="AH36" s="565"/>
      <c r="AI36" s="565"/>
      <c r="AJ36" s="565"/>
      <c r="AK36" s="565"/>
      <c r="AL36" s="565"/>
      <c r="AM36" s="565"/>
      <c r="AN36" s="565"/>
      <c r="AO36" s="565"/>
      <c r="AP36" s="565"/>
      <c r="AQ36" s="565"/>
      <c r="AR36" s="565"/>
      <c r="AS36" s="565"/>
      <c r="AT36" s="565"/>
      <c r="AU36" s="565"/>
      <c r="AV36" s="565"/>
      <c r="AW36" s="565"/>
      <c r="AX36" s="565"/>
      <c r="AY36" s="565"/>
    </row>
    <row r="37" spans="1:51" x14ac:dyDescent="0.25">
      <c r="A37" s="565"/>
      <c r="B37" s="1062" t="str">
        <f>"Paladin Spells (prepared only)"&amp;CHAR(10)&amp;L37&amp;U37&amp;AD37&amp;AM37&amp;AV37</f>
        <v xml:space="preserve">Paladin Spells (prepared only)
</v>
      </c>
      <c r="C37" s="1062"/>
      <c r="D37" s="1062"/>
      <c r="E37" s="1062"/>
      <c r="F37" s="1062"/>
      <c r="G37" s="1062"/>
      <c r="H37" s="1062"/>
      <c r="I37" s="566">
        <v>1</v>
      </c>
      <c r="J37" s="565" t="str">
        <f>IFERROR(INDEX(C$6:C$35,MATCH(B6,J$6:J$35,0),1),"")</f>
        <v/>
      </c>
      <c r="K37" s="565" t="str">
        <f>IF(J37="","",J37&amp;", ")</f>
        <v/>
      </c>
      <c r="L37" s="565" t="str">
        <f>IF(L38="","","1st level: "&amp;L38&amp;CHAR(10))</f>
        <v/>
      </c>
      <c r="M37" s="565"/>
      <c r="N37" s="565"/>
      <c r="O37" s="565"/>
      <c r="P37" s="565"/>
      <c r="Q37" s="565"/>
      <c r="R37" s="566">
        <v>1</v>
      </c>
      <c r="S37" s="565" t="str">
        <f>IFERROR(INDEX(L$6:L$35,MATCH(K6,S$6:S$35,0),1),"")</f>
        <v/>
      </c>
      <c r="T37" s="565" t="str">
        <f>IF(S37="","",S37&amp;", ")</f>
        <v/>
      </c>
      <c r="U37" s="565" t="str">
        <f>IF(U38="","","2nd level: "&amp;U38&amp;CHAR(10))</f>
        <v/>
      </c>
      <c r="V37" s="565"/>
      <c r="W37" s="565"/>
      <c r="X37" s="565"/>
      <c r="Y37" s="565"/>
      <c r="Z37" s="565"/>
      <c r="AA37" s="566">
        <v>1</v>
      </c>
      <c r="AB37" s="565" t="str">
        <f>IFERROR(INDEX(U$6:U$35,MATCH(T6,AB$6:AB$35,0),1),"")</f>
        <v/>
      </c>
      <c r="AC37" s="565" t="str">
        <f>IF(AB37="","",AB37&amp;", ")</f>
        <v/>
      </c>
      <c r="AD37" s="565" t="str">
        <f>IF(AD38="","","3rd level: "&amp;AD38&amp;CHAR(10))</f>
        <v/>
      </c>
      <c r="AE37" s="565"/>
      <c r="AF37" s="565"/>
      <c r="AG37" s="565"/>
      <c r="AH37" s="565"/>
      <c r="AI37" s="565"/>
      <c r="AJ37" s="566">
        <v>1</v>
      </c>
      <c r="AK37" s="565" t="str">
        <f>IFERROR(INDEX(AD$6:AD$35,MATCH(AC6,AK$6:AK$35,0),1),"")</f>
        <v/>
      </c>
      <c r="AL37" s="565" t="str">
        <f>IF(AK37="","",AK37&amp;", ")</f>
        <v/>
      </c>
      <c r="AM37" s="565" t="str">
        <f>IF(AM38="","","4th level: "&amp;AM38&amp;CHAR(10))</f>
        <v/>
      </c>
      <c r="AN37" s="565"/>
      <c r="AO37" s="565"/>
      <c r="AP37" s="565"/>
      <c r="AQ37" s="565"/>
      <c r="AR37" s="565"/>
      <c r="AS37" s="566">
        <v>1</v>
      </c>
      <c r="AT37" s="565" t="str">
        <f>IFERROR(INDEX(AM$6:AM$35,MATCH(AL6,AT$6:AT$35,0),1),"")</f>
        <v/>
      </c>
      <c r="AU37" s="565" t="str">
        <f>IF(AT37="","",AT37&amp;", ")</f>
        <v/>
      </c>
      <c r="AV37" s="565" t="str">
        <f>IF(AV38="","","5th level: "&amp;AV38&amp;CHAR(10))</f>
        <v/>
      </c>
      <c r="AW37" s="565"/>
      <c r="AX37" s="565"/>
      <c r="AY37" s="565"/>
    </row>
    <row r="38" spans="1:51" x14ac:dyDescent="0.25">
      <c r="A38" s="565"/>
      <c r="B38" s="1062"/>
      <c r="C38" s="1062"/>
      <c r="D38" s="1062"/>
      <c r="E38" s="1062"/>
      <c r="F38" s="1062"/>
      <c r="G38" s="1062"/>
      <c r="H38" s="1062"/>
      <c r="I38" s="566">
        <v>2</v>
      </c>
      <c r="J38" s="565" t="str">
        <f t="shared" ref="J38:J66" si="5">IFERROR(INDEX(C$6:C$35,MATCH(B7,J$6:J$35,0),1),"")</f>
        <v/>
      </c>
      <c r="K38" s="565" t="str">
        <f t="shared" ref="K38:K66" si="6">IF(J38="","",J38&amp;", ")</f>
        <v/>
      </c>
      <c r="L38" s="565" t="str">
        <f>K37&amp;K38&amp;K39&amp;K40&amp;K41&amp;K42&amp;K43&amp;K44&amp;K45&amp;K46&amp;K48&amp;K47&amp;K49&amp;K50&amp;K51&amp;K52&amp;K54&amp;K55&amp;K53&amp;K56&amp;K57&amp;K58&amp;K59&amp;K60&amp;K61&amp;K62&amp;K63&amp;K64&amp;K65&amp;K66</f>
        <v/>
      </c>
      <c r="M38" s="565"/>
      <c r="N38" s="565"/>
      <c r="O38" s="565"/>
      <c r="P38" s="565"/>
      <c r="Q38" s="565"/>
      <c r="R38" s="566">
        <v>2</v>
      </c>
      <c r="S38" s="565" t="str">
        <f t="shared" ref="S38:S66" si="7">IFERROR(INDEX(L$6:L$35,MATCH(K7,S$6:S$35,0),1),"")</f>
        <v/>
      </c>
      <c r="T38" s="565" t="str">
        <f t="shared" ref="T38:T66" si="8">IF(S38="","",S38&amp;", ")</f>
        <v/>
      </c>
      <c r="U38" s="565" t="str">
        <f>T37&amp;T38&amp;T39&amp;T40&amp;T41&amp;T42&amp;T43&amp;T44&amp;T45&amp;T46&amp;T48&amp;T47&amp;T49&amp;T50&amp;T51&amp;T52&amp;T54&amp;T55&amp;T53&amp;T56&amp;T57&amp;T58&amp;T59&amp;T60&amp;T61&amp;T62&amp;T63&amp;T64&amp;T65&amp;T66</f>
        <v/>
      </c>
      <c r="V38" s="565"/>
      <c r="W38" s="565"/>
      <c r="X38" s="565"/>
      <c r="Y38" s="565"/>
      <c r="Z38" s="565"/>
      <c r="AA38" s="566">
        <v>2</v>
      </c>
      <c r="AB38" s="565" t="str">
        <f t="shared" ref="AB38:AB66" si="9">IFERROR(INDEX(U$6:U$35,MATCH(T7,AB$6:AB$35,0),1),"")</f>
        <v/>
      </c>
      <c r="AC38" s="565" t="str">
        <f t="shared" ref="AC38:AC66" si="10">IF(AB38="","",AB38&amp;", ")</f>
        <v/>
      </c>
      <c r="AD38" s="565" t="str">
        <f>AC37&amp;AC38&amp;AC39&amp;AC40&amp;AC41&amp;AC42&amp;AC43&amp;AC44&amp;AC45&amp;AC46&amp;AC48&amp;AC47&amp;AC49&amp;AC50&amp;AC51&amp;AC52&amp;AC54&amp;AC55&amp;AC53&amp;AC56&amp;AC57&amp;AC58&amp;AC59&amp;AC60&amp;AC61&amp;AC62&amp;AC63&amp;AC64&amp;AC65&amp;AC66</f>
        <v/>
      </c>
      <c r="AE38" s="565"/>
      <c r="AF38" s="565"/>
      <c r="AG38" s="565"/>
      <c r="AH38" s="565"/>
      <c r="AI38" s="565"/>
      <c r="AJ38" s="566">
        <v>2</v>
      </c>
      <c r="AK38" s="565" t="str">
        <f t="shared" ref="AK38:AK66" si="11">IFERROR(INDEX(AD$6:AD$35,MATCH(AC7,AK$6:AK$35,0),1),"")</f>
        <v/>
      </c>
      <c r="AL38" s="565" t="str">
        <f t="shared" ref="AL38:AL66" si="12">IF(AK38="","",AK38&amp;", ")</f>
        <v/>
      </c>
      <c r="AM38" s="565" t="str">
        <f>AL37&amp;AL38&amp;AL39&amp;AL40&amp;AL41&amp;AL42&amp;AL43&amp;AL44&amp;AL45&amp;AL46&amp;AL48&amp;AL47&amp;AL49&amp;AL50&amp;AL51&amp;AL52&amp;AL54&amp;AL55&amp;AL53&amp;AL56&amp;AL57&amp;AL58&amp;AL59&amp;AL60&amp;AL61&amp;AL62&amp;AL63&amp;AL64&amp;AL65&amp;AL66</f>
        <v/>
      </c>
      <c r="AN38" s="565"/>
      <c r="AO38" s="565"/>
      <c r="AP38" s="565"/>
      <c r="AQ38" s="565"/>
      <c r="AR38" s="565"/>
      <c r="AS38" s="566">
        <v>2</v>
      </c>
      <c r="AT38" s="565" t="str">
        <f t="shared" ref="AT38:AT66" si="13">IFERROR(INDEX(AM$6:AM$35,MATCH(AL7,AT$6:AT$35,0),1),"")</f>
        <v/>
      </c>
      <c r="AU38" s="565" t="str">
        <f t="shared" ref="AU38:AU66" si="14">IF(AT38="","",AT38&amp;", ")</f>
        <v/>
      </c>
      <c r="AV38" s="565" t="str">
        <f>AU37&amp;AU38&amp;AU39&amp;AU40&amp;AU41&amp;AU42&amp;AU43&amp;AU44&amp;AU45&amp;AU46&amp;AU48&amp;AU47&amp;AU49&amp;AU50&amp;AU51&amp;AU52&amp;AU54&amp;AU55&amp;AU53&amp;AU56&amp;AU57&amp;AU58&amp;AU59&amp;AU60&amp;AU61&amp;AU62&amp;AU63&amp;AU64&amp;AU65&amp;AU66</f>
        <v/>
      </c>
      <c r="AW38" s="565"/>
      <c r="AX38" s="565"/>
      <c r="AY38" s="565"/>
    </row>
    <row r="39" spans="1:51" x14ac:dyDescent="0.25">
      <c r="A39" s="565"/>
      <c r="B39" s="1062"/>
      <c r="C39" s="1062"/>
      <c r="D39" s="1062"/>
      <c r="E39" s="1062"/>
      <c r="F39" s="1062"/>
      <c r="G39" s="1062"/>
      <c r="H39" s="1062"/>
      <c r="I39" s="566">
        <v>3</v>
      </c>
      <c r="J39" s="565" t="str">
        <f t="shared" si="5"/>
        <v/>
      </c>
      <c r="K39" s="565" t="str">
        <f t="shared" si="6"/>
        <v/>
      </c>
      <c r="L39" s="565"/>
      <c r="M39" s="565"/>
      <c r="N39" s="565"/>
      <c r="O39" s="565"/>
      <c r="P39" s="565"/>
      <c r="Q39" s="565"/>
      <c r="R39" s="566">
        <v>3</v>
      </c>
      <c r="S39" s="565" t="str">
        <f t="shared" si="7"/>
        <v/>
      </c>
      <c r="T39" s="565" t="str">
        <f t="shared" si="8"/>
        <v/>
      </c>
      <c r="U39" s="565"/>
      <c r="V39" s="565"/>
      <c r="W39" s="565"/>
      <c r="X39" s="565"/>
      <c r="Y39" s="565"/>
      <c r="Z39" s="565"/>
      <c r="AA39" s="566">
        <v>3</v>
      </c>
      <c r="AB39" s="565" t="str">
        <f t="shared" si="9"/>
        <v/>
      </c>
      <c r="AC39" s="565" t="str">
        <f t="shared" si="10"/>
        <v/>
      </c>
      <c r="AD39" s="565"/>
      <c r="AE39" s="565"/>
      <c r="AF39" s="565"/>
      <c r="AG39" s="565"/>
      <c r="AH39" s="565"/>
      <c r="AI39" s="565"/>
      <c r="AJ39" s="566">
        <v>3</v>
      </c>
      <c r="AK39" s="565" t="str">
        <f t="shared" si="11"/>
        <v/>
      </c>
      <c r="AL39" s="565" t="str">
        <f t="shared" si="12"/>
        <v/>
      </c>
      <c r="AM39" s="565"/>
      <c r="AN39" s="565"/>
      <c r="AO39" s="565"/>
      <c r="AP39" s="565"/>
      <c r="AQ39" s="565"/>
      <c r="AR39" s="565"/>
      <c r="AS39" s="566">
        <v>3</v>
      </c>
      <c r="AT39" s="565" t="str">
        <f t="shared" si="13"/>
        <v/>
      </c>
      <c r="AU39" s="565" t="str">
        <f t="shared" si="14"/>
        <v/>
      </c>
      <c r="AV39" s="565"/>
      <c r="AW39" s="565"/>
      <c r="AX39" s="565"/>
      <c r="AY39" s="565"/>
    </row>
    <row r="40" spans="1:51" x14ac:dyDescent="0.25">
      <c r="A40" s="565"/>
      <c r="B40" s="1062"/>
      <c r="C40" s="1062"/>
      <c r="D40" s="1062"/>
      <c r="E40" s="1062"/>
      <c r="F40" s="1062"/>
      <c r="G40" s="1062"/>
      <c r="H40" s="1062"/>
      <c r="I40" s="566">
        <v>4</v>
      </c>
      <c r="J40" s="565" t="str">
        <f t="shared" si="5"/>
        <v/>
      </c>
      <c r="K40" s="565" t="str">
        <f t="shared" si="6"/>
        <v/>
      </c>
      <c r="L40" s="565"/>
      <c r="M40" s="565"/>
      <c r="N40" s="565"/>
      <c r="O40" s="565"/>
      <c r="P40" s="565"/>
      <c r="Q40" s="565"/>
      <c r="R40" s="566">
        <v>4</v>
      </c>
      <c r="S40" s="565" t="str">
        <f t="shared" si="7"/>
        <v/>
      </c>
      <c r="T40" s="565" t="str">
        <f t="shared" si="8"/>
        <v/>
      </c>
      <c r="U40" s="565"/>
      <c r="V40" s="565"/>
      <c r="W40" s="565"/>
      <c r="X40" s="565"/>
      <c r="Y40" s="565"/>
      <c r="Z40" s="565"/>
      <c r="AA40" s="566">
        <v>4</v>
      </c>
      <c r="AB40" s="565" t="str">
        <f t="shared" si="9"/>
        <v/>
      </c>
      <c r="AC40" s="565" t="str">
        <f t="shared" si="10"/>
        <v/>
      </c>
      <c r="AD40" s="565"/>
      <c r="AE40" s="565"/>
      <c r="AF40" s="565"/>
      <c r="AG40" s="565"/>
      <c r="AH40" s="565"/>
      <c r="AI40" s="565"/>
      <c r="AJ40" s="566">
        <v>4</v>
      </c>
      <c r="AK40" s="565" t="str">
        <f t="shared" si="11"/>
        <v/>
      </c>
      <c r="AL40" s="565" t="str">
        <f t="shared" si="12"/>
        <v/>
      </c>
      <c r="AM40" s="565"/>
      <c r="AN40" s="565"/>
      <c r="AO40" s="565"/>
      <c r="AP40" s="565"/>
      <c r="AQ40" s="565"/>
      <c r="AR40" s="565"/>
      <c r="AS40" s="566">
        <v>4</v>
      </c>
      <c r="AT40" s="565" t="str">
        <f t="shared" si="13"/>
        <v/>
      </c>
      <c r="AU40" s="565" t="str">
        <f t="shared" si="14"/>
        <v/>
      </c>
      <c r="AV40" s="565"/>
      <c r="AW40" s="565"/>
      <c r="AX40" s="565"/>
      <c r="AY40" s="565"/>
    </row>
    <row r="41" spans="1:51" x14ac:dyDescent="0.25">
      <c r="A41" s="565"/>
      <c r="B41" s="1062"/>
      <c r="C41" s="1062"/>
      <c r="D41" s="1062"/>
      <c r="E41" s="1062"/>
      <c r="F41" s="1062"/>
      <c r="G41" s="1062"/>
      <c r="H41" s="1062"/>
      <c r="I41" s="566">
        <v>5</v>
      </c>
      <c r="J41" s="565" t="str">
        <f t="shared" si="5"/>
        <v/>
      </c>
      <c r="K41" s="565" t="str">
        <f t="shared" si="6"/>
        <v/>
      </c>
      <c r="L41" s="565"/>
      <c r="M41" s="565"/>
      <c r="N41" s="565"/>
      <c r="O41" s="565"/>
      <c r="P41" s="565"/>
      <c r="Q41" s="565"/>
      <c r="R41" s="566">
        <v>5</v>
      </c>
      <c r="S41" s="565" t="str">
        <f t="shared" si="7"/>
        <v/>
      </c>
      <c r="T41" s="565" t="str">
        <f t="shared" si="8"/>
        <v/>
      </c>
      <c r="U41" s="565"/>
      <c r="V41" s="565"/>
      <c r="W41" s="565"/>
      <c r="X41" s="565"/>
      <c r="Y41" s="565"/>
      <c r="Z41" s="565"/>
      <c r="AA41" s="566">
        <v>5</v>
      </c>
      <c r="AB41" s="565" t="str">
        <f t="shared" si="9"/>
        <v/>
      </c>
      <c r="AC41" s="565" t="str">
        <f t="shared" si="10"/>
        <v/>
      </c>
      <c r="AD41" s="565"/>
      <c r="AE41" s="565"/>
      <c r="AF41" s="565"/>
      <c r="AG41" s="565"/>
      <c r="AH41" s="565"/>
      <c r="AI41" s="565"/>
      <c r="AJ41" s="566">
        <v>5</v>
      </c>
      <c r="AK41" s="565" t="str">
        <f t="shared" si="11"/>
        <v/>
      </c>
      <c r="AL41" s="565" t="str">
        <f t="shared" si="12"/>
        <v/>
      </c>
      <c r="AM41" s="565"/>
      <c r="AN41" s="565"/>
      <c r="AO41" s="565"/>
      <c r="AP41" s="565"/>
      <c r="AQ41" s="565"/>
      <c r="AR41" s="565"/>
      <c r="AS41" s="566">
        <v>5</v>
      </c>
      <c r="AT41" s="565" t="str">
        <f t="shared" si="13"/>
        <v/>
      </c>
      <c r="AU41" s="565" t="str">
        <f t="shared" si="14"/>
        <v/>
      </c>
      <c r="AV41" s="565"/>
      <c r="AW41" s="565"/>
      <c r="AX41" s="565"/>
      <c r="AY41" s="565"/>
    </row>
    <row r="42" spans="1:51" x14ac:dyDescent="0.25">
      <c r="A42" s="565"/>
      <c r="B42" s="1062"/>
      <c r="C42" s="1062"/>
      <c r="D42" s="1062"/>
      <c r="E42" s="1062"/>
      <c r="F42" s="1062"/>
      <c r="G42" s="1062"/>
      <c r="H42" s="1062"/>
      <c r="I42" s="566">
        <v>6</v>
      </c>
      <c r="J42" s="565" t="str">
        <f t="shared" si="5"/>
        <v/>
      </c>
      <c r="K42" s="565" t="str">
        <f t="shared" si="6"/>
        <v/>
      </c>
      <c r="L42" s="565"/>
      <c r="M42" s="565"/>
      <c r="N42" s="565"/>
      <c r="O42" s="565"/>
      <c r="P42" s="565"/>
      <c r="Q42" s="565"/>
      <c r="R42" s="566">
        <v>6</v>
      </c>
      <c r="S42" s="565" t="str">
        <f t="shared" si="7"/>
        <v/>
      </c>
      <c r="T42" s="565" t="str">
        <f t="shared" si="8"/>
        <v/>
      </c>
      <c r="U42" s="565"/>
      <c r="V42" s="565"/>
      <c r="W42" s="565"/>
      <c r="X42" s="565"/>
      <c r="Y42" s="565"/>
      <c r="Z42" s="565"/>
      <c r="AA42" s="566">
        <v>6</v>
      </c>
      <c r="AB42" s="565" t="str">
        <f t="shared" si="9"/>
        <v/>
      </c>
      <c r="AC42" s="565" t="str">
        <f t="shared" si="10"/>
        <v/>
      </c>
      <c r="AD42" s="565"/>
      <c r="AE42" s="565"/>
      <c r="AF42" s="565"/>
      <c r="AG42" s="565"/>
      <c r="AH42" s="565"/>
      <c r="AI42" s="565"/>
      <c r="AJ42" s="566">
        <v>6</v>
      </c>
      <c r="AK42" s="565" t="str">
        <f t="shared" si="11"/>
        <v/>
      </c>
      <c r="AL42" s="565" t="str">
        <f t="shared" si="12"/>
        <v/>
      </c>
      <c r="AM42" s="565"/>
      <c r="AN42" s="565"/>
      <c r="AO42" s="565"/>
      <c r="AP42" s="565"/>
      <c r="AQ42" s="565"/>
      <c r="AR42" s="565"/>
      <c r="AS42" s="566">
        <v>6</v>
      </c>
      <c r="AT42" s="565" t="str">
        <f t="shared" si="13"/>
        <v/>
      </c>
      <c r="AU42" s="565" t="str">
        <f t="shared" si="14"/>
        <v/>
      </c>
      <c r="AV42" s="565"/>
      <c r="AW42" s="565"/>
      <c r="AX42" s="565"/>
      <c r="AY42" s="565"/>
    </row>
    <row r="43" spans="1:51" x14ac:dyDescent="0.25">
      <c r="A43" s="565"/>
      <c r="B43" s="1062"/>
      <c r="C43" s="1062"/>
      <c r="D43" s="1062"/>
      <c r="E43" s="1062"/>
      <c r="F43" s="1062"/>
      <c r="G43" s="1062"/>
      <c r="H43" s="1062"/>
      <c r="I43" s="566">
        <v>7</v>
      </c>
      <c r="J43" s="565" t="str">
        <f t="shared" si="5"/>
        <v/>
      </c>
      <c r="K43" s="565" t="str">
        <f t="shared" si="6"/>
        <v/>
      </c>
      <c r="L43" s="565"/>
      <c r="M43" s="565"/>
      <c r="N43" s="565"/>
      <c r="O43" s="565"/>
      <c r="P43" s="565"/>
      <c r="Q43" s="565"/>
      <c r="R43" s="566">
        <v>7</v>
      </c>
      <c r="S43" s="565" t="str">
        <f t="shared" si="7"/>
        <v/>
      </c>
      <c r="T43" s="565" t="str">
        <f t="shared" si="8"/>
        <v/>
      </c>
      <c r="U43" s="565"/>
      <c r="V43" s="565"/>
      <c r="W43" s="565"/>
      <c r="X43" s="565"/>
      <c r="Y43" s="565"/>
      <c r="Z43" s="565"/>
      <c r="AA43" s="566">
        <v>7</v>
      </c>
      <c r="AB43" s="565" t="str">
        <f t="shared" si="9"/>
        <v/>
      </c>
      <c r="AC43" s="565" t="str">
        <f t="shared" si="10"/>
        <v/>
      </c>
      <c r="AD43" s="565"/>
      <c r="AE43" s="565"/>
      <c r="AF43" s="565"/>
      <c r="AG43" s="565"/>
      <c r="AH43" s="565"/>
      <c r="AI43" s="565"/>
      <c r="AJ43" s="566">
        <v>7</v>
      </c>
      <c r="AK43" s="565" t="str">
        <f t="shared" si="11"/>
        <v/>
      </c>
      <c r="AL43" s="565" t="str">
        <f t="shared" si="12"/>
        <v/>
      </c>
      <c r="AM43" s="565"/>
      <c r="AN43" s="565"/>
      <c r="AO43" s="565"/>
      <c r="AP43" s="565"/>
      <c r="AQ43" s="565"/>
      <c r="AR43" s="565"/>
      <c r="AS43" s="566">
        <v>7</v>
      </c>
      <c r="AT43" s="565" t="str">
        <f t="shared" si="13"/>
        <v/>
      </c>
      <c r="AU43" s="565" t="str">
        <f t="shared" si="14"/>
        <v/>
      </c>
      <c r="AV43" s="565"/>
      <c r="AW43" s="565"/>
      <c r="AX43" s="565"/>
      <c r="AY43" s="565"/>
    </row>
    <row r="44" spans="1:51" x14ac:dyDescent="0.25">
      <c r="A44" s="565"/>
      <c r="B44" s="1062"/>
      <c r="C44" s="1062"/>
      <c r="D44" s="1062"/>
      <c r="E44" s="1062"/>
      <c r="F44" s="1062"/>
      <c r="G44" s="1062"/>
      <c r="H44" s="1062"/>
      <c r="I44" s="566">
        <v>8</v>
      </c>
      <c r="J44" s="565" t="str">
        <f t="shared" si="5"/>
        <v/>
      </c>
      <c r="K44" s="565" t="str">
        <f t="shared" si="6"/>
        <v/>
      </c>
      <c r="L44" s="565"/>
      <c r="M44" s="565"/>
      <c r="N44" s="565"/>
      <c r="O44" s="565"/>
      <c r="P44" s="565"/>
      <c r="Q44" s="565"/>
      <c r="R44" s="566">
        <v>8</v>
      </c>
      <c r="S44" s="565" t="str">
        <f t="shared" si="7"/>
        <v/>
      </c>
      <c r="T44" s="565" t="str">
        <f t="shared" si="8"/>
        <v/>
      </c>
      <c r="U44" s="565"/>
      <c r="V44" s="565"/>
      <c r="W44" s="565"/>
      <c r="X44" s="565"/>
      <c r="Y44" s="565"/>
      <c r="Z44" s="565"/>
      <c r="AA44" s="566">
        <v>8</v>
      </c>
      <c r="AB44" s="565" t="str">
        <f t="shared" si="9"/>
        <v/>
      </c>
      <c r="AC44" s="565" t="str">
        <f t="shared" si="10"/>
        <v/>
      </c>
      <c r="AD44" s="565"/>
      <c r="AE44" s="565"/>
      <c r="AF44" s="565"/>
      <c r="AG44" s="565"/>
      <c r="AH44" s="565"/>
      <c r="AI44" s="565"/>
      <c r="AJ44" s="566">
        <v>8</v>
      </c>
      <c r="AK44" s="565" t="str">
        <f t="shared" si="11"/>
        <v/>
      </c>
      <c r="AL44" s="565" t="str">
        <f t="shared" si="12"/>
        <v/>
      </c>
      <c r="AM44" s="565"/>
      <c r="AN44" s="565"/>
      <c r="AO44" s="565"/>
      <c r="AP44" s="565"/>
      <c r="AQ44" s="565"/>
      <c r="AR44" s="565"/>
      <c r="AS44" s="566">
        <v>8</v>
      </c>
      <c r="AT44" s="565" t="str">
        <f t="shared" si="13"/>
        <v/>
      </c>
      <c r="AU44" s="565" t="str">
        <f t="shared" si="14"/>
        <v/>
      </c>
      <c r="AV44" s="565"/>
      <c r="AW44" s="565"/>
      <c r="AX44" s="565"/>
      <c r="AY44" s="565"/>
    </row>
    <row r="45" spans="1:51" x14ac:dyDescent="0.25">
      <c r="A45" s="565"/>
      <c r="B45" s="1062"/>
      <c r="C45" s="1062"/>
      <c r="D45" s="1062"/>
      <c r="E45" s="1062"/>
      <c r="F45" s="1062"/>
      <c r="G45" s="1062"/>
      <c r="H45" s="1062"/>
      <c r="I45" s="566">
        <v>9</v>
      </c>
      <c r="J45" s="565" t="str">
        <f t="shared" si="5"/>
        <v/>
      </c>
      <c r="K45" s="565" t="str">
        <f t="shared" si="6"/>
        <v/>
      </c>
      <c r="L45" s="565"/>
      <c r="M45" s="565"/>
      <c r="N45" s="565"/>
      <c r="O45" s="565"/>
      <c r="P45" s="565"/>
      <c r="Q45" s="565"/>
      <c r="R45" s="566">
        <v>9</v>
      </c>
      <c r="S45" s="565" t="str">
        <f t="shared" si="7"/>
        <v/>
      </c>
      <c r="T45" s="565" t="str">
        <f t="shared" si="8"/>
        <v/>
      </c>
      <c r="U45" s="565"/>
      <c r="V45" s="565"/>
      <c r="W45" s="565"/>
      <c r="X45" s="565"/>
      <c r="Y45" s="565"/>
      <c r="Z45" s="565"/>
      <c r="AA45" s="566">
        <v>9</v>
      </c>
      <c r="AB45" s="565" t="str">
        <f t="shared" si="9"/>
        <v/>
      </c>
      <c r="AC45" s="565" t="str">
        <f t="shared" si="10"/>
        <v/>
      </c>
      <c r="AD45" s="565"/>
      <c r="AE45" s="565"/>
      <c r="AF45" s="565"/>
      <c r="AG45" s="565"/>
      <c r="AH45" s="565"/>
      <c r="AI45" s="565"/>
      <c r="AJ45" s="566">
        <v>9</v>
      </c>
      <c r="AK45" s="565" t="str">
        <f t="shared" si="11"/>
        <v/>
      </c>
      <c r="AL45" s="565" t="str">
        <f t="shared" si="12"/>
        <v/>
      </c>
      <c r="AM45" s="565"/>
      <c r="AN45" s="565"/>
      <c r="AO45" s="565"/>
      <c r="AP45" s="565"/>
      <c r="AQ45" s="565"/>
      <c r="AR45" s="565"/>
      <c r="AS45" s="566">
        <v>9</v>
      </c>
      <c r="AT45" s="565" t="str">
        <f t="shared" si="13"/>
        <v/>
      </c>
      <c r="AU45" s="565" t="str">
        <f t="shared" si="14"/>
        <v/>
      </c>
      <c r="AV45" s="565"/>
      <c r="AW45" s="565"/>
      <c r="AX45" s="565"/>
      <c r="AY45" s="565"/>
    </row>
    <row r="46" spans="1:51" x14ac:dyDescent="0.25">
      <c r="A46" s="565"/>
      <c r="B46" s="1062"/>
      <c r="C46" s="1062"/>
      <c r="D46" s="1062"/>
      <c r="E46" s="1062"/>
      <c r="F46" s="1062"/>
      <c r="G46" s="1062"/>
      <c r="H46" s="1062"/>
      <c r="I46" s="566">
        <v>10</v>
      </c>
      <c r="J46" s="565" t="str">
        <f t="shared" si="5"/>
        <v/>
      </c>
      <c r="K46" s="565" t="str">
        <f t="shared" si="6"/>
        <v/>
      </c>
      <c r="L46" s="565"/>
      <c r="M46" s="565"/>
      <c r="N46" s="565"/>
      <c r="O46" s="565"/>
      <c r="P46" s="565"/>
      <c r="Q46" s="565"/>
      <c r="R46" s="566">
        <v>10</v>
      </c>
      <c r="S46" s="565" t="str">
        <f t="shared" si="7"/>
        <v/>
      </c>
      <c r="T46" s="565" t="str">
        <f t="shared" si="8"/>
        <v/>
      </c>
      <c r="U46" s="565"/>
      <c r="V46" s="565"/>
      <c r="W46" s="565"/>
      <c r="X46" s="565"/>
      <c r="Y46" s="565"/>
      <c r="Z46" s="565"/>
      <c r="AA46" s="566">
        <v>10</v>
      </c>
      <c r="AB46" s="565" t="str">
        <f t="shared" si="9"/>
        <v/>
      </c>
      <c r="AC46" s="565" t="str">
        <f t="shared" si="10"/>
        <v/>
      </c>
      <c r="AD46" s="565"/>
      <c r="AE46" s="565"/>
      <c r="AF46" s="565"/>
      <c r="AG46" s="565"/>
      <c r="AH46" s="565"/>
      <c r="AI46" s="565"/>
      <c r="AJ46" s="566">
        <v>10</v>
      </c>
      <c r="AK46" s="565" t="str">
        <f t="shared" si="11"/>
        <v/>
      </c>
      <c r="AL46" s="565" t="str">
        <f t="shared" si="12"/>
        <v/>
      </c>
      <c r="AM46" s="565"/>
      <c r="AN46" s="565"/>
      <c r="AO46" s="565"/>
      <c r="AP46" s="565"/>
      <c r="AQ46" s="565"/>
      <c r="AR46" s="565"/>
      <c r="AS46" s="566">
        <v>10</v>
      </c>
      <c r="AT46" s="565" t="str">
        <f t="shared" si="13"/>
        <v/>
      </c>
      <c r="AU46" s="565" t="str">
        <f t="shared" si="14"/>
        <v/>
      </c>
      <c r="AV46" s="565"/>
      <c r="AW46" s="565"/>
      <c r="AX46" s="565"/>
      <c r="AY46" s="565"/>
    </row>
    <row r="47" spans="1:51" x14ac:dyDescent="0.25">
      <c r="A47" s="565"/>
      <c r="B47" s="1062"/>
      <c r="C47" s="1062"/>
      <c r="D47" s="1062"/>
      <c r="E47" s="1062"/>
      <c r="F47" s="1062"/>
      <c r="G47" s="1062"/>
      <c r="H47" s="1062"/>
      <c r="I47" s="566">
        <v>11</v>
      </c>
      <c r="J47" s="565" t="str">
        <f t="shared" si="5"/>
        <v/>
      </c>
      <c r="K47" s="565" t="str">
        <f t="shared" si="6"/>
        <v/>
      </c>
      <c r="L47" s="565"/>
      <c r="M47" s="565"/>
      <c r="N47" s="565"/>
      <c r="O47" s="565"/>
      <c r="P47" s="565"/>
      <c r="Q47" s="565"/>
      <c r="R47" s="566">
        <v>11</v>
      </c>
      <c r="S47" s="565" t="str">
        <f t="shared" si="7"/>
        <v/>
      </c>
      <c r="T47" s="565" t="str">
        <f t="shared" si="8"/>
        <v/>
      </c>
      <c r="U47" s="565"/>
      <c r="V47" s="565"/>
      <c r="W47" s="565"/>
      <c r="X47" s="565"/>
      <c r="Y47" s="565"/>
      <c r="Z47" s="565"/>
      <c r="AA47" s="566">
        <v>11</v>
      </c>
      <c r="AB47" s="565" t="str">
        <f t="shared" si="9"/>
        <v/>
      </c>
      <c r="AC47" s="565" t="str">
        <f t="shared" si="10"/>
        <v/>
      </c>
      <c r="AD47" s="565"/>
      <c r="AE47" s="565"/>
      <c r="AF47" s="565"/>
      <c r="AG47" s="565"/>
      <c r="AH47" s="565"/>
      <c r="AI47" s="565"/>
      <c r="AJ47" s="566">
        <v>11</v>
      </c>
      <c r="AK47" s="565" t="str">
        <f t="shared" si="11"/>
        <v/>
      </c>
      <c r="AL47" s="565" t="str">
        <f t="shared" si="12"/>
        <v/>
      </c>
      <c r="AM47" s="565"/>
      <c r="AN47" s="565"/>
      <c r="AO47" s="565"/>
      <c r="AP47" s="565"/>
      <c r="AQ47" s="565"/>
      <c r="AR47" s="565"/>
      <c r="AS47" s="566">
        <v>11</v>
      </c>
      <c r="AT47" s="565" t="str">
        <f t="shared" si="13"/>
        <v/>
      </c>
      <c r="AU47" s="565" t="str">
        <f t="shared" si="14"/>
        <v/>
      </c>
      <c r="AV47" s="565"/>
      <c r="AW47" s="565"/>
      <c r="AX47" s="565"/>
      <c r="AY47" s="565"/>
    </row>
    <row r="48" spans="1:51" x14ac:dyDescent="0.25">
      <c r="A48" s="565"/>
      <c r="B48" s="1062"/>
      <c r="C48" s="1062"/>
      <c r="D48" s="1062"/>
      <c r="E48" s="1062"/>
      <c r="F48" s="1062"/>
      <c r="G48" s="1062"/>
      <c r="H48" s="1062"/>
      <c r="I48" s="566">
        <v>12</v>
      </c>
      <c r="J48" s="565" t="str">
        <f t="shared" si="5"/>
        <v/>
      </c>
      <c r="K48" s="565" t="str">
        <f t="shared" si="6"/>
        <v/>
      </c>
      <c r="L48" s="565"/>
      <c r="M48" s="565"/>
      <c r="N48" s="565"/>
      <c r="O48" s="565"/>
      <c r="P48" s="565"/>
      <c r="Q48" s="565"/>
      <c r="R48" s="566">
        <v>12</v>
      </c>
      <c r="S48" s="565" t="str">
        <f t="shared" si="7"/>
        <v/>
      </c>
      <c r="T48" s="565" t="str">
        <f t="shared" si="8"/>
        <v/>
      </c>
      <c r="U48" s="565"/>
      <c r="V48" s="565"/>
      <c r="W48" s="565"/>
      <c r="X48" s="565"/>
      <c r="Y48" s="565"/>
      <c r="Z48" s="565"/>
      <c r="AA48" s="566">
        <v>12</v>
      </c>
      <c r="AB48" s="565" t="str">
        <f t="shared" si="9"/>
        <v/>
      </c>
      <c r="AC48" s="565" t="str">
        <f t="shared" si="10"/>
        <v/>
      </c>
      <c r="AD48" s="565"/>
      <c r="AE48" s="565"/>
      <c r="AF48" s="565"/>
      <c r="AG48" s="565"/>
      <c r="AH48" s="565"/>
      <c r="AI48" s="565"/>
      <c r="AJ48" s="566">
        <v>12</v>
      </c>
      <c r="AK48" s="565" t="str">
        <f t="shared" si="11"/>
        <v/>
      </c>
      <c r="AL48" s="565" t="str">
        <f t="shared" si="12"/>
        <v/>
      </c>
      <c r="AM48" s="565"/>
      <c r="AN48" s="565"/>
      <c r="AO48" s="565"/>
      <c r="AP48" s="565"/>
      <c r="AQ48" s="565"/>
      <c r="AR48" s="565"/>
      <c r="AS48" s="566">
        <v>12</v>
      </c>
      <c r="AT48" s="565" t="str">
        <f t="shared" si="13"/>
        <v/>
      </c>
      <c r="AU48" s="565" t="str">
        <f t="shared" si="14"/>
        <v/>
      </c>
      <c r="AV48" s="565"/>
      <c r="AW48" s="565"/>
      <c r="AX48" s="565"/>
      <c r="AY48" s="565"/>
    </row>
    <row r="49" spans="1:51" x14ac:dyDescent="0.25">
      <c r="A49" s="565"/>
      <c r="B49" s="1062"/>
      <c r="C49" s="1062"/>
      <c r="D49" s="1062"/>
      <c r="E49" s="1062"/>
      <c r="F49" s="1062"/>
      <c r="G49" s="1062"/>
      <c r="H49" s="1062"/>
      <c r="I49" s="566">
        <v>13</v>
      </c>
      <c r="J49" s="565" t="str">
        <f t="shared" si="5"/>
        <v/>
      </c>
      <c r="K49" s="565" t="str">
        <f t="shared" si="6"/>
        <v/>
      </c>
      <c r="L49" s="565"/>
      <c r="M49" s="565"/>
      <c r="N49" s="565"/>
      <c r="O49" s="565"/>
      <c r="P49" s="565"/>
      <c r="Q49" s="565"/>
      <c r="R49" s="566">
        <v>13</v>
      </c>
      <c r="S49" s="565" t="str">
        <f t="shared" si="7"/>
        <v/>
      </c>
      <c r="T49" s="565" t="str">
        <f t="shared" si="8"/>
        <v/>
      </c>
      <c r="U49" s="565"/>
      <c r="V49" s="565"/>
      <c r="W49" s="565"/>
      <c r="X49" s="565"/>
      <c r="Y49" s="565"/>
      <c r="Z49" s="565"/>
      <c r="AA49" s="566">
        <v>13</v>
      </c>
      <c r="AB49" s="565" t="str">
        <f t="shared" si="9"/>
        <v/>
      </c>
      <c r="AC49" s="565" t="str">
        <f t="shared" si="10"/>
        <v/>
      </c>
      <c r="AD49" s="565"/>
      <c r="AE49" s="565"/>
      <c r="AF49" s="565"/>
      <c r="AG49" s="565"/>
      <c r="AH49" s="565"/>
      <c r="AI49" s="565"/>
      <c r="AJ49" s="566">
        <v>13</v>
      </c>
      <c r="AK49" s="565" t="str">
        <f t="shared" si="11"/>
        <v/>
      </c>
      <c r="AL49" s="565" t="str">
        <f t="shared" si="12"/>
        <v/>
      </c>
      <c r="AM49" s="565"/>
      <c r="AN49" s="565"/>
      <c r="AO49" s="565"/>
      <c r="AP49" s="565"/>
      <c r="AQ49" s="565"/>
      <c r="AR49" s="565"/>
      <c r="AS49" s="566">
        <v>13</v>
      </c>
      <c r="AT49" s="565" t="str">
        <f t="shared" si="13"/>
        <v/>
      </c>
      <c r="AU49" s="565" t="str">
        <f t="shared" si="14"/>
        <v/>
      </c>
      <c r="AV49" s="565"/>
      <c r="AW49" s="565"/>
      <c r="AX49" s="565"/>
      <c r="AY49" s="565"/>
    </row>
    <row r="50" spans="1:51" x14ac:dyDescent="0.25">
      <c r="A50" s="565"/>
      <c r="B50" s="1062"/>
      <c r="C50" s="1062"/>
      <c r="D50" s="1062"/>
      <c r="E50" s="1062"/>
      <c r="F50" s="1062"/>
      <c r="G50" s="1062"/>
      <c r="H50" s="1062"/>
      <c r="I50" s="566">
        <v>14</v>
      </c>
      <c r="J50" s="565" t="str">
        <f t="shared" si="5"/>
        <v/>
      </c>
      <c r="K50" s="565" t="str">
        <f t="shared" si="6"/>
        <v/>
      </c>
      <c r="L50" s="565"/>
      <c r="M50" s="565"/>
      <c r="N50" s="565"/>
      <c r="O50" s="565"/>
      <c r="P50" s="565"/>
      <c r="Q50" s="565"/>
      <c r="R50" s="566">
        <v>14</v>
      </c>
      <c r="S50" s="565" t="str">
        <f t="shared" si="7"/>
        <v/>
      </c>
      <c r="T50" s="565" t="str">
        <f t="shared" si="8"/>
        <v/>
      </c>
      <c r="U50" s="565"/>
      <c r="V50" s="565"/>
      <c r="W50" s="565"/>
      <c r="X50" s="565"/>
      <c r="Y50" s="565"/>
      <c r="Z50" s="565"/>
      <c r="AA50" s="566">
        <v>14</v>
      </c>
      <c r="AB50" s="565" t="str">
        <f t="shared" si="9"/>
        <v/>
      </c>
      <c r="AC50" s="565" t="str">
        <f t="shared" si="10"/>
        <v/>
      </c>
      <c r="AD50" s="565"/>
      <c r="AE50" s="565"/>
      <c r="AF50" s="565"/>
      <c r="AG50" s="565"/>
      <c r="AH50" s="565"/>
      <c r="AI50" s="565"/>
      <c r="AJ50" s="566">
        <v>14</v>
      </c>
      <c r="AK50" s="565" t="str">
        <f t="shared" si="11"/>
        <v/>
      </c>
      <c r="AL50" s="565" t="str">
        <f t="shared" si="12"/>
        <v/>
      </c>
      <c r="AM50" s="565"/>
      <c r="AN50" s="565"/>
      <c r="AO50" s="565"/>
      <c r="AP50" s="565"/>
      <c r="AQ50" s="565"/>
      <c r="AR50" s="565"/>
      <c r="AS50" s="566">
        <v>14</v>
      </c>
      <c r="AT50" s="565" t="str">
        <f t="shared" si="13"/>
        <v/>
      </c>
      <c r="AU50" s="565" t="str">
        <f t="shared" si="14"/>
        <v/>
      </c>
      <c r="AV50" s="565"/>
      <c r="AW50" s="565"/>
      <c r="AX50" s="565"/>
      <c r="AY50" s="565"/>
    </row>
    <row r="51" spans="1:51" x14ac:dyDescent="0.25">
      <c r="A51" s="565"/>
      <c r="B51" s="1062"/>
      <c r="C51" s="1062"/>
      <c r="D51" s="1062"/>
      <c r="E51" s="1062"/>
      <c r="F51" s="1062"/>
      <c r="G51" s="1062"/>
      <c r="H51" s="1062"/>
      <c r="I51" s="566">
        <v>15</v>
      </c>
      <c r="J51" s="565" t="str">
        <f t="shared" si="5"/>
        <v/>
      </c>
      <c r="K51" s="565" t="str">
        <f t="shared" si="6"/>
        <v/>
      </c>
      <c r="L51" s="565"/>
      <c r="M51" s="565"/>
      <c r="N51" s="565"/>
      <c r="O51" s="565"/>
      <c r="P51" s="565"/>
      <c r="Q51" s="565"/>
      <c r="R51" s="566">
        <v>15</v>
      </c>
      <c r="S51" s="565" t="str">
        <f t="shared" si="7"/>
        <v/>
      </c>
      <c r="T51" s="565" t="str">
        <f t="shared" si="8"/>
        <v/>
      </c>
      <c r="U51" s="565"/>
      <c r="V51" s="565"/>
      <c r="W51" s="565"/>
      <c r="X51" s="565"/>
      <c r="Y51" s="565"/>
      <c r="Z51" s="565"/>
      <c r="AA51" s="566">
        <v>15</v>
      </c>
      <c r="AB51" s="565" t="str">
        <f t="shared" si="9"/>
        <v/>
      </c>
      <c r="AC51" s="565" t="str">
        <f t="shared" si="10"/>
        <v/>
      </c>
      <c r="AD51" s="565"/>
      <c r="AE51" s="565"/>
      <c r="AF51" s="565"/>
      <c r="AG51" s="565"/>
      <c r="AH51" s="565"/>
      <c r="AI51" s="565"/>
      <c r="AJ51" s="566">
        <v>15</v>
      </c>
      <c r="AK51" s="565" t="str">
        <f t="shared" si="11"/>
        <v/>
      </c>
      <c r="AL51" s="565" t="str">
        <f t="shared" si="12"/>
        <v/>
      </c>
      <c r="AM51" s="565"/>
      <c r="AN51" s="565"/>
      <c r="AO51" s="565"/>
      <c r="AP51" s="565"/>
      <c r="AQ51" s="565"/>
      <c r="AR51" s="565"/>
      <c r="AS51" s="566">
        <v>15</v>
      </c>
      <c r="AT51" s="565" t="str">
        <f t="shared" si="13"/>
        <v/>
      </c>
      <c r="AU51" s="565" t="str">
        <f t="shared" si="14"/>
        <v/>
      </c>
      <c r="AV51" s="565"/>
      <c r="AW51" s="565"/>
      <c r="AX51" s="565"/>
      <c r="AY51" s="565"/>
    </row>
    <row r="52" spans="1:51" x14ac:dyDescent="0.25">
      <c r="A52" s="565"/>
      <c r="B52" s="1062"/>
      <c r="C52" s="1062"/>
      <c r="D52" s="1062"/>
      <c r="E52" s="1062"/>
      <c r="F52" s="1062"/>
      <c r="G52" s="1062"/>
      <c r="H52" s="1062"/>
      <c r="I52" s="566">
        <v>16</v>
      </c>
      <c r="J52" s="565" t="str">
        <f t="shared" si="5"/>
        <v/>
      </c>
      <c r="K52" s="565" t="str">
        <f t="shared" si="6"/>
        <v/>
      </c>
      <c r="L52" s="565"/>
      <c r="M52" s="565"/>
      <c r="N52" s="565"/>
      <c r="O52" s="565"/>
      <c r="P52" s="565"/>
      <c r="Q52" s="565"/>
      <c r="R52" s="566">
        <v>16</v>
      </c>
      <c r="S52" s="565" t="str">
        <f t="shared" si="7"/>
        <v/>
      </c>
      <c r="T52" s="565" t="str">
        <f t="shared" si="8"/>
        <v/>
      </c>
      <c r="U52" s="565"/>
      <c r="V52" s="565"/>
      <c r="W52" s="565"/>
      <c r="X52" s="565"/>
      <c r="Y52" s="565"/>
      <c r="Z52" s="565"/>
      <c r="AA52" s="566">
        <v>16</v>
      </c>
      <c r="AB52" s="565" t="str">
        <f t="shared" si="9"/>
        <v/>
      </c>
      <c r="AC52" s="565" t="str">
        <f t="shared" si="10"/>
        <v/>
      </c>
      <c r="AD52" s="565"/>
      <c r="AE52" s="565"/>
      <c r="AF52" s="565"/>
      <c r="AG52" s="565"/>
      <c r="AH52" s="565"/>
      <c r="AI52" s="565"/>
      <c r="AJ52" s="566">
        <v>16</v>
      </c>
      <c r="AK52" s="565" t="str">
        <f t="shared" si="11"/>
        <v/>
      </c>
      <c r="AL52" s="565" t="str">
        <f t="shared" si="12"/>
        <v/>
      </c>
      <c r="AM52" s="565"/>
      <c r="AN52" s="565"/>
      <c r="AO52" s="565"/>
      <c r="AP52" s="565"/>
      <c r="AQ52" s="565"/>
      <c r="AR52" s="565"/>
      <c r="AS52" s="566">
        <v>16</v>
      </c>
      <c r="AT52" s="565" t="str">
        <f t="shared" si="13"/>
        <v/>
      </c>
      <c r="AU52" s="565" t="str">
        <f t="shared" si="14"/>
        <v/>
      </c>
      <c r="AV52" s="565"/>
      <c r="AW52" s="565"/>
      <c r="AX52" s="565"/>
      <c r="AY52" s="565"/>
    </row>
    <row r="53" spans="1:51" x14ac:dyDescent="0.25">
      <c r="A53" s="565"/>
      <c r="B53" s="1062"/>
      <c r="C53" s="1062"/>
      <c r="D53" s="1062"/>
      <c r="E53" s="1062"/>
      <c r="F53" s="1062"/>
      <c r="G53" s="1062"/>
      <c r="H53" s="1062"/>
      <c r="I53" s="566">
        <v>17</v>
      </c>
      <c r="J53" s="565" t="str">
        <f t="shared" si="5"/>
        <v/>
      </c>
      <c r="K53" s="565" t="str">
        <f t="shared" si="6"/>
        <v/>
      </c>
      <c r="L53" s="565"/>
      <c r="M53" s="565"/>
      <c r="N53" s="565"/>
      <c r="O53" s="565"/>
      <c r="P53" s="565"/>
      <c r="Q53" s="565"/>
      <c r="R53" s="566">
        <v>17</v>
      </c>
      <c r="S53" s="565" t="str">
        <f t="shared" si="7"/>
        <v/>
      </c>
      <c r="T53" s="565" t="str">
        <f t="shared" si="8"/>
        <v/>
      </c>
      <c r="U53" s="565"/>
      <c r="V53" s="565"/>
      <c r="W53" s="565"/>
      <c r="X53" s="565"/>
      <c r="Y53" s="565"/>
      <c r="Z53" s="565"/>
      <c r="AA53" s="566">
        <v>17</v>
      </c>
      <c r="AB53" s="565" t="str">
        <f t="shared" si="9"/>
        <v/>
      </c>
      <c r="AC53" s="565" t="str">
        <f t="shared" si="10"/>
        <v/>
      </c>
      <c r="AD53" s="565"/>
      <c r="AE53" s="565"/>
      <c r="AF53" s="565"/>
      <c r="AG53" s="565"/>
      <c r="AH53" s="565"/>
      <c r="AI53" s="565"/>
      <c r="AJ53" s="566">
        <v>17</v>
      </c>
      <c r="AK53" s="565" t="str">
        <f t="shared" si="11"/>
        <v/>
      </c>
      <c r="AL53" s="565" t="str">
        <f t="shared" si="12"/>
        <v/>
      </c>
      <c r="AM53" s="565"/>
      <c r="AN53" s="565"/>
      <c r="AO53" s="565"/>
      <c r="AP53" s="565"/>
      <c r="AQ53" s="565"/>
      <c r="AR53" s="565"/>
      <c r="AS53" s="566">
        <v>17</v>
      </c>
      <c r="AT53" s="565" t="str">
        <f t="shared" si="13"/>
        <v/>
      </c>
      <c r="AU53" s="565" t="str">
        <f t="shared" si="14"/>
        <v/>
      </c>
      <c r="AV53" s="565"/>
      <c r="AW53" s="565"/>
      <c r="AX53" s="565"/>
      <c r="AY53" s="565"/>
    </row>
    <row r="54" spans="1:51" x14ac:dyDescent="0.25">
      <c r="A54" s="565"/>
      <c r="B54" s="1062"/>
      <c r="C54" s="1062"/>
      <c r="D54" s="1062"/>
      <c r="E54" s="1062"/>
      <c r="F54" s="1062"/>
      <c r="G54" s="1062"/>
      <c r="H54" s="1062"/>
      <c r="I54" s="566">
        <v>18</v>
      </c>
      <c r="J54" s="565" t="str">
        <f t="shared" si="5"/>
        <v/>
      </c>
      <c r="K54" s="565" t="str">
        <f t="shared" si="6"/>
        <v/>
      </c>
      <c r="L54" s="565"/>
      <c r="M54" s="565"/>
      <c r="N54" s="565"/>
      <c r="O54" s="565"/>
      <c r="P54" s="565"/>
      <c r="Q54" s="565"/>
      <c r="R54" s="566">
        <v>18</v>
      </c>
      <c r="S54" s="565" t="str">
        <f t="shared" si="7"/>
        <v/>
      </c>
      <c r="T54" s="565" t="str">
        <f t="shared" si="8"/>
        <v/>
      </c>
      <c r="U54" s="565"/>
      <c r="V54" s="565"/>
      <c r="W54" s="565"/>
      <c r="X54" s="565"/>
      <c r="Y54" s="565"/>
      <c r="Z54" s="565"/>
      <c r="AA54" s="566">
        <v>18</v>
      </c>
      <c r="AB54" s="565" t="str">
        <f t="shared" si="9"/>
        <v/>
      </c>
      <c r="AC54" s="565" t="str">
        <f t="shared" si="10"/>
        <v/>
      </c>
      <c r="AD54" s="565"/>
      <c r="AE54" s="565"/>
      <c r="AF54" s="565"/>
      <c r="AG54" s="565"/>
      <c r="AH54" s="565"/>
      <c r="AI54" s="565"/>
      <c r="AJ54" s="566">
        <v>18</v>
      </c>
      <c r="AK54" s="565" t="str">
        <f t="shared" si="11"/>
        <v/>
      </c>
      <c r="AL54" s="565" t="str">
        <f t="shared" si="12"/>
        <v/>
      </c>
      <c r="AM54" s="565"/>
      <c r="AN54" s="565"/>
      <c r="AO54" s="565"/>
      <c r="AP54" s="565"/>
      <c r="AQ54" s="565"/>
      <c r="AR54" s="565"/>
      <c r="AS54" s="566">
        <v>18</v>
      </c>
      <c r="AT54" s="565" t="str">
        <f t="shared" si="13"/>
        <v/>
      </c>
      <c r="AU54" s="565" t="str">
        <f t="shared" si="14"/>
        <v/>
      </c>
      <c r="AV54" s="565"/>
      <c r="AW54" s="565"/>
      <c r="AX54" s="565"/>
      <c r="AY54" s="565"/>
    </row>
    <row r="55" spans="1:51" x14ac:dyDescent="0.25">
      <c r="A55" s="565"/>
      <c r="B55" s="1062"/>
      <c r="C55" s="1062"/>
      <c r="D55" s="1062"/>
      <c r="E55" s="1062"/>
      <c r="F55" s="1062"/>
      <c r="G55" s="1062"/>
      <c r="H55" s="1062"/>
      <c r="I55" s="566">
        <v>19</v>
      </c>
      <c r="J55" s="565" t="str">
        <f t="shared" si="5"/>
        <v/>
      </c>
      <c r="K55" s="565" t="str">
        <f t="shared" si="6"/>
        <v/>
      </c>
      <c r="L55" s="565"/>
      <c r="M55" s="565"/>
      <c r="N55" s="565"/>
      <c r="O55" s="565"/>
      <c r="P55" s="565"/>
      <c r="Q55" s="565"/>
      <c r="R55" s="566">
        <v>19</v>
      </c>
      <c r="S55" s="565" t="str">
        <f t="shared" si="7"/>
        <v/>
      </c>
      <c r="T55" s="565" t="str">
        <f t="shared" si="8"/>
        <v/>
      </c>
      <c r="U55" s="565"/>
      <c r="V55" s="565"/>
      <c r="W55" s="565"/>
      <c r="X55" s="565"/>
      <c r="Y55" s="565"/>
      <c r="Z55" s="565"/>
      <c r="AA55" s="566">
        <v>19</v>
      </c>
      <c r="AB55" s="565" t="str">
        <f t="shared" si="9"/>
        <v/>
      </c>
      <c r="AC55" s="565" t="str">
        <f t="shared" si="10"/>
        <v/>
      </c>
      <c r="AD55" s="565"/>
      <c r="AE55" s="565"/>
      <c r="AF55" s="565"/>
      <c r="AG55" s="565"/>
      <c r="AH55" s="565"/>
      <c r="AI55" s="565"/>
      <c r="AJ55" s="566">
        <v>19</v>
      </c>
      <c r="AK55" s="565" t="str">
        <f t="shared" si="11"/>
        <v/>
      </c>
      <c r="AL55" s="565" t="str">
        <f t="shared" si="12"/>
        <v/>
      </c>
      <c r="AM55" s="565"/>
      <c r="AN55" s="565"/>
      <c r="AO55" s="565"/>
      <c r="AP55" s="565"/>
      <c r="AQ55" s="565"/>
      <c r="AR55" s="565"/>
      <c r="AS55" s="566">
        <v>19</v>
      </c>
      <c r="AT55" s="565" t="str">
        <f t="shared" si="13"/>
        <v/>
      </c>
      <c r="AU55" s="565" t="str">
        <f t="shared" si="14"/>
        <v/>
      </c>
      <c r="AV55" s="565"/>
      <c r="AW55" s="565"/>
      <c r="AX55" s="565"/>
      <c r="AY55" s="565"/>
    </row>
    <row r="56" spans="1:51" x14ac:dyDescent="0.25">
      <c r="A56" s="565"/>
      <c r="B56" s="1062"/>
      <c r="C56" s="1062"/>
      <c r="D56" s="1062"/>
      <c r="E56" s="1062"/>
      <c r="F56" s="1062"/>
      <c r="G56" s="1062"/>
      <c r="H56" s="1062"/>
      <c r="I56" s="566">
        <v>20</v>
      </c>
      <c r="J56" s="565" t="str">
        <f t="shared" si="5"/>
        <v/>
      </c>
      <c r="K56" s="565" t="str">
        <f t="shared" si="6"/>
        <v/>
      </c>
      <c r="L56" s="565"/>
      <c r="M56" s="565"/>
      <c r="N56" s="565"/>
      <c r="O56" s="565"/>
      <c r="P56" s="565"/>
      <c r="Q56" s="565"/>
      <c r="R56" s="566">
        <v>20</v>
      </c>
      <c r="S56" s="565" t="str">
        <f t="shared" si="7"/>
        <v/>
      </c>
      <c r="T56" s="565" t="str">
        <f t="shared" si="8"/>
        <v/>
      </c>
      <c r="U56" s="565"/>
      <c r="V56" s="565"/>
      <c r="W56" s="565"/>
      <c r="X56" s="565"/>
      <c r="Y56" s="565"/>
      <c r="Z56" s="565"/>
      <c r="AA56" s="566">
        <v>20</v>
      </c>
      <c r="AB56" s="565" t="str">
        <f t="shared" si="9"/>
        <v/>
      </c>
      <c r="AC56" s="565" t="str">
        <f t="shared" si="10"/>
        <v/>
      </c>
      <c r="AD56" s="565"/>
      <c r="AE56" s="565"/>
      <c r="AF56" s="565"/>
      <c r="AG56" s="565"/>
      <c r="AH56" s="565"/>
      <c r="AI56" s="565"/>
      <c r="AJ56" s="566">
        <v>20</v>
      </c>
      <c r="AK56" s="565" t="str">
        <f t="shared" si="11"/>
        <v/>
      </c>
      <c r="AL56" s="565" t="str">
        <f t="shared" si="12"/>
        <v/>
      </c>
      <c r="AM56" s="565"/>
      <c r="AN56" s="565"/>
      <c r="AO56" s="565"/>
      <c r="AP56" s="565"/>
      <c r="AQ56" s="565"/>
      <c r="AR56" s="565"/>
      <c r="AS56" s="566">
        <v>20</v>
      </c>
      <c r="AT56" s="565" t="str">
        <f t="shared" si="13"/>
        <v/>
      </c>
      <c r="AU56" s="565" t="str">
        <f t="shared" si="14"/>
        <v/>
      </c>
      <c r="AV56" s="565"/>
      <c r="AW56" s="565"/>
      <c r="AX56" s="565"/>
      <c r="AY56" s="565"/>
    </row>
    <row r="57" spans="1:51" x14ac:dyDescent="0.25">
      <c r="A57" s="565"/>
      <c r="B57" s="1062"/>
      <c r="C57" s="1062"/>
      <c r="D57" s="1062"/>
      <c r="E57" s="1062"/>
      <c r="F57" s="1062"/>
      <c r="G57" s="1062"/>
      <c r="H57" s="1062"/>
      <c r="I57" s="566">
        <v>21</v>
      </c>
      <c r="J57" s="565" t="str">
        <f t="shared" si="5"/>
        <v/>
      </c>
      <c r="K57" s="565" t="str">
        <f t="shared" si="6"/>
        <v/>
      </c>
      <c r="L57" s="565"/>
      <c r="M57" s="565"/>
      <c r="N57" s="565"/>
      <c r="O57" s="565"/>
      <c r="P57" s="565"/>
      <c r="Q57" s="565"/>
      <c r="R57" s="566">
        <v>21</v>
      </c>
      <c r="S57" s="565" t="str">
        <f t="shared" si="7"/>
        <v/>
      </c>
      <c r="T57" s="565" t="str">
        <f t="shared" si="8"/>
        <v/>
      </c>
      <c r="U57" s="565"/>
      <c r="V57" s="565"/>
      <c r="W57" s="565"/>
      <c r="X57" s="565"/>
      <c r="Y57" s="565"/>
      <c r="Z57" s="565"/>
      <c r="AA57" s="566">
        <v>21</v>
      </c>
      <c r="AB57" s="565" t="str">
        <f t="shared" si="9"/>
        <v/>
      </c>
      <c r="AC57" s="565" t="str">
        <f t="shared" si="10"/>
        <v/>
      </c>
      <c r="AD57" s="565"/>
      <c r="AE57" s="565"/>
      <c r="AF57" s="565"/>
      <c r="AG57" s="565"/>
      <c r="AH57" s="565"/>
      <c r="AI57" s="565"/>
      <c r="AJ57" s="566">
        <v>21</v>
      </c>
      <c r="AK57" s="565" t="str">
        <f t="shared" si="11"/>
        <v/>
      </c>
      <c r="AL57" s="565" t="str">
        <f t="shared" si="12"/>
        <v/>
      </c>
      <c r="AM57" s="565"/>
      <c r="AN57" s="565"/>
      <c r="AO57" s="565"/>
      <c r="AP57" s="565"/>
      <c r="AQ57" s="565"/>
      <c r="AR57" s="565"/>
      <c r="AS57" s="566">
        <v>21</v>
      </c>
      <c r="AT57" s="565" t="str">
        <f t="shared" si="13"/>
        <v/>
      </c>
      <c r="AU57" s="565" t="str">
        <f t="shared" si="14"/>
        <v/>
      </c>
      <c r="AV57" s="565"/>
      <c r="AW57" s="565"/>
      <c r="AX57" s="565"/>
      <c r="AY57" s="565"/>
    </row>
    <row r="58" spans="1:51" x14ac:dyDescent="0.25">
      <c r="A58" s="565"/>
      <c r="B58" s="1062"/>
      <c r="C58" s="1062"/>
      <c r="D58" s="1062"/>
      <c r="E58" s="1062"/>
      <c r="F58" s="1062"/>
      <c r="G58" s="1062"/>
      <c r="H58" s="1062"/>
      <c r="I58" s="566">
        <v>22</v>
      </c>
      <c r="J58" s="565" t="str">
        <f t="shared" si="5"/>
        <v/>
      </c>
      <c r="K58" s="565" t="str">
        <f t="shared" si="6"/>
        <v/>
      </c>
      <c r="L58" s="565"/>
      <c r="M58" s="565"/>
      <c r="N58" s="565"/>
      <c r="O58" s="565"/>
      <c r="P58" s="565"/>
      <c r="Q58" s="565"/>
      <c r="R58" s="566">
        <v>22</v>
      </c>
      <c r="S58" s="565" t="str">
        <f t="shared" si="7"/>
        <v/>
      </c>
      <c r="T58" s="565" t="str">
        <f t="shared" si="8"/>
        <v/>
      </c>
      <c r="U58" s="565"/>
      <c r="V58" s="565"/>
      <c r="W58" s="565"/>
      <c r="X58" s="565"/>
      <c r="Y58" s="565"/>
      <c r="Z58" s="565"/>
      <c r="AA58" s="566">
        <v>22</v>
      </c>
      <c r="AB58" s="565" t="str">
        <f t="shared" si="9"/>
        <v/>
      </c>
      <c r="AC58" s="565" t="str">
        <f t="shared" si="10"/>
        <v/>
      </c>
      <c r="AD58" s="565"/>
      <c r="AE58" s="565"/>
      <c r="AF58" s="565"/>
      <c r="AG58" s="565"/>
      <c r="AH58" s="565"/>
      <c r="AI58" s="565"/>
      <c r="AJ58" s="566">
        <v>22</v>
      </c>
      <c r="AK58" s="565" t="str">
        <f t="shared" si="11"/>
        <v/>
      </c>
      <c r="AL58" s="565" t="str">
        <f t="shared" si="12"/>
        <v/>
      </c>
      <c r="AM58" s="565"/>
      <c r="AN58" s="565"/>
      <c r="AO58" s="565"/>
      <c r="AP58" s="565"/>
      <c r="AQ58" s="565"/>
      <c r="AR58" s="565"/>
      <c r="AS58" s="566">
        <v>22</v>
      </c>
      <c r="AT58" s="565" t="str">
        <f t="shared" si="13"/>
        <v/>
      </c>
      <c r="AU58" s="565" t="str">
        <f t="shared" si="14"/>
        <v/>
      </c>
      <c r="AV58" s="565"/>
      <c r="AW58" s="565"/>
      <c r="AX58" s="565"/>
      <c r="AY58" s="565"/>
    </row>
    <row r="59" spans="1:51" x14ac:dyDescent="0.25">
      <c r="A59" s="565"/>
      <c r="B59" s="1062"/>
      <c r="C59" s="1062"/>
      <c r="D59" s="1062"/>
      <c r="E59" s="1062"/>
      <c r="F59" s="1062"/>
      <c r="G59" s="1062"/>
      <c r="H59" s="1062"/>
      <c r="I59" s="566">
        <v>23</v>
      </c>
      <c r="J59" s="565" t="str">
        <f t="shared" si="5"/>
        <v/>
      </c>
      <c r="K59" s="565" t="str">
        <f t="shared" si="6"/>
        <v/>
      </c>
      <c r="L59" s="565"/>
      <c r="M59" s="565"/>
      <c r="N59" s="565"/>
      <c r="O59" s="565"/>
      <c r="P59" s="565"/>
      <c r="Q59" s="565"/>
      <c r="R59" s="566">
        <v>23</v>
      </c>
      <c r="S59" s="565" t="str">
        <f t="shared" si="7"/>
        <v/>
      </c>
      <c r="T59" s="565" t="str">
        <f t="shared" si="8"/>
        <v/>
      </c>
      <c r="U59" s="565"/>
      <c r="V59" s="565"/>
      <c r="W59" s="565"/>
      <c r="X59" s="565"/>
      <c r="Y59" s="565"/>
      <c r="Z59" s="565"/>
      <c r="AA59" s="566">
        <v>23</v>
      </c>
      <c r="AB59" s="565" t="str">
        <f t="shared" si="9"/>
        <v/>
      </c>
      <c r="AC59" s="565" t="str">
        <f t="shared" si="10"/>
        <v/>
      </c>
      <c r="AD59" s="565"/>
      <c r="AE59" s="565"/>
      <c r="AF59" s="565"/>
      <c r="AG59" s="565"/>
      <c r="AH59" s="565"/>
      <c r="AI59" s="565"/>
      <c r="AJ59" s="566">
        <v>23</v>
      </c>
      <c r="AK59" s="565" t="str">
        <f t="shared" si="11"/>
        <v/>
      </c>
      <c r="AL59" s="565" t="str">
        <f t="shared" si="12"/>
        <v/>
      </c>
      <c r="AM59" s="565"/>
      <c r="AN59" s="565"/>
      <c r="AO59" s="565"/>
      <c r="AP59" s="565"/>
      <c r="AQ59" s="565"/>
      <c r="AR59" s="565"/>
      <c r="AS59" s="566">
        <v>23</v>
      </c>
      <c r="AT59" s="565" t="str">
        <f t="shared" si="13"/>
        <v/>
      </c>
      <c r="AU59" s="565" t="str">
        <f t="shared" si="14"/>
        <v/>
      </c>
      <c r="AV59" s="565"/>
      <c r="AW59" s="565"/>
      <c r="AX59" s="565"/>
      <c r="AY59" s="565"/>
    </row>
    <row r="60" spans="1:51" x14ac:dyDescent="0.25">
      <c r="A60" s="565"/>
      <c r="B60" s="1062"/>
      <c r="C60" s="1062"/>
      <c r="D60" s="1062"/>
      <c r="E60" s="1062"/>
      <c r="F60" s="1062"/>
      <c r="G60" s="1062"/>
      <c r="H60" s="1062"/>
      <c r="I60" s="566">
        <v>24</v>
      </c>
      <c r="J60" s="565" t="str">
        <f t="shared" si="5"/>
        <v/>
      </c>
      <c r="K60" s="565" t="str">
        <f t="shared" si="6"/>
        <v/>
      </c>
      <c r="L60" s="565"/>
      <c r="M60" s="565"/>
      <c r="N60" s="565"/>
      <c r="O60" s="565"/>
      <c r="P60" s="565"/>
      <c r="Q60" s="565"/>
      <c r="R60" s="566">
        <v>24</v>
      </c>
      <c r="S60" s="565" t="str">
        <f t="shared" si="7"/>
        <v/>
      </c>
      <c r="T60" s="565" t="str">
        <f t="shared" si="8"/>
        <v/>
      </c>
      <c r="U60" s="565"/>
      <c r="V60" s="565"/>
      <c r="W60" s="565"/>
      <c r="X60" s="565"/>
      <c r="Y60" s="565"/>
      <c r="Z60" s="565"/>
      <c r="AA60" s="566">
        <v>24</v>
      </c>
      <c r="AB60" s="565" t="str">
        <f t="shared" si="9"/>
        <v/>
      </c>
      <c r="AC60" s="565" t="str">
        <f t="shared" si="10"/>
        <v/>
      </c>
      <c r="AD60" s="565"/>
      <c r="AE60" s="565"/>
      <c r="AF60" s="565"/>
      <c r="AG60" s="565"/>
      <c r="AH60" s="565"/>
      <c r="AI60" s="565"/>
      <c r="AJ60" s="566">
        <v>24</v>
      </c>
      <c r="AK60" s="565" t="str">
        <f t="shared" si="11"/>
        <v/>
      </c>
      <c r="AL60" s="565" t="str">
        <f t="shared" si="12"/>
        <v/>
      </c>
      <c r="AM60" s="565"/>
      <c r="AN60" s="565"/>
      <c r="AO60" s="565"/>
      <c r="AP60" s="565"/>
      <c r="AQ60" s="565"/>
      <c r="AR60" s="565"/>
      <c r="AS60" s="566">
        <v>24</v>
      </c>
      <c r="AT60" s="565" t="str">
        <f t="shared" si="13"/>
        <v/>
      </c>
      <c r="AU60" s="565" t="str">
        <f t="shared" si="14"/>
        <v/>
      </c>
      <c r="AV60" s="565"/>
      <c r="AW60" s="565"/>
      <c r="AX60" s="565"/>
      <c r="AY60" s="565"/>
    </row>
    <row r="61" spans="1:51" x14ac:dyDescent="0.25">
      <c r="A61" s="565"/>
      <c r="B61" s="1062"/>
      <c r="C61" s="1062"/>
      <c r="D61" s="1062"/>
      <c r="E61" s="1062"/>
      <c r="F61" s="1062"/>
      <c r="G61" s="1062"/>
      <c r="H61" s="1062"/>
      <c r="I61" s="566">
        <v>25</v>
      </c>
      <c r="J61" s="565" t="str">
        <f t="shared" si="5"/>
        <v/>
      </c>
      <c r="K61" s="565" t="str">
        <f t="shared" si="6"/>
        <v/>
      </c>
      <c r="L61" s="565"/>
      <c r="M61" s="565"/>
      <c r="N61" s="565"/>
      <c r="O61" s="565"/>
      <c r="P61" s="565"/>
      <c r="Q61" s="565"/>
      <c r="R61" s="566">
        <v>25</v>
      </c>
      <c r="S61" s="565" t="str">
        <f t="shared" si="7"/>
        <v/>
      </c>
      <c r="T61" s="565" t="str">
        <f t="shared" si="8"/>
        <v/>
      </c>
      <c r="U61" s="565"/>
      <c r="V61" s="565"/>
      <c r="W61" s="565"/>
      <c r="X61" s="565"/>
      <c r="Y61" s="565"/>
      <c r="Z61" s="565"/>
      <c r="AA61" s="566">
        <v>25</v>
      </c>
      <c r="AB61" s="565" t="str">
        <f t="shared" si="9"/>
        <v/>
      </c>
      <c r="AC61" s="565" t="str">
        <f t="shared" si="10"/>
        <v/>
      </c>
      <c r="AD61" s="565"/>
      <c r="AE61" s="565"/>
      <c r="AF61" s="565"/>
      <c r="AG61" s="565"/>
      <c r="AH61" s="565"/>
      <c r="AI61" s="565"/>
      <c r="AJ61" s="566">
        <v>25</v>
      </c>
      <c r="AK61" s="565" t="str">
        <f t="shared" si="11"/>
        <v/>
      </c>
      <c r="AL61" s="565" t="str">
        <f t="shared" si="12"/>
        <v/>
      </c>
      <c r="AM61" s="565"/>
      <c r="AN61" s="565"/>
      <c r="AO61" s="565"/>
      <c r="AP61" s="565"/>
      <c r="AQ61" s="565"/>
      <c r="AR61" s="565"/>
      <c r="AS61" s="566">
        <v>25</v>
      </c>
      <c r="AT61" s="565" t="str">
        <f t="shared" si="13"/>
        <v/>
      </c>
      <c r="AU61" s="565" t="str">
        <f t="shared" si="14"/>
        <v/>
      </c>
      <c r="AV61" s="565"/>
      <c r="AW61" s="565"/>
      <c r="AX61" s="565"/>
      <c r="AY61" s="565"/>
    </row>
    <row r="62" spans="1:51" x14ac:dyDescent="0.25">
      <c r="A62" s="565"/>
      <c r="B62" s="1062"/>
      <c r="C62" s="1062"/>
      <c r="D62" s="1062"/>
      <c r="E62" s="1062"/>
      <c r="F62" s="1062"/>
      <c r="G62" s="1062"/>
      <c r="H62" s="1062"/>
      <c r="I62" s="566">
        <v>26</v>
      </c>
      <c r="J62" s="565" t="str">
        <f t="shared" si="5"/>
        <v/>
      </c>
      <c r="K62" s="565" t="str">
        <f t="shared" si="6"/>
        <v/>
      </c>
      <c r="L62" s="565"/>
      <c r="M62" s="565"/>
      <c r="N62" s="565"/>
      <c r="O62" s="565"/>
      <c r="P62" s="565"/>
      <c r="Q62" s="565"/>
      <c r="R62" s="566">
        <v>26</v>
      </c>
      <c r="S62" s="565" t="str">
        <f t="shared" si="7"/>
        <v/>
      </c>
      <c r="T62" s="565" t="str">
        <f t="shared" si="8"/>
        <v/>
      </c>
      <c r="U62" s="565"/>
      <c r="V62" s="565"/>
      <c r="W62" s="565"/>
      <c r="X62" s="565"/>
      <c r="Y62" s="565"/>
      <c r="Z62" s="565"/>
      <c r="AA62" s="566">
        <v>26</v>
      </c>
      <c r="AB62" s="565" t="str">
        <f t="shared" si="9"/>
        <v/>
      </c>
      <c r="AC62" s="565" t="str">
        <f t="shared" si="10"/>
        <v/>
      </c>
      <c r="AD62" s="565"/>
      <c r="AE62" s="565"/>
      <c r="AF62" s="565"/>
      <c r="AG62" s="565"/>
      <c r="AH62" s="565"/>
      <c r="AI62" s="565"/>
      <c r="AJ62" s="566">
        <v>26</v>
      </c>
      <c r="AK62" s="565" t="str">
        <f t="shared" si="11"/>
        <v/>
      </c>
      <c r="AL62" s="565" t="str">
        <f t="shared" si="12"/>
        <v/>
      </c>
      <c r="AM62" s="565"/>
      <c r="AN62" s="565"/>
      <c r="AO62" s="565"/>
      <c r="AP62" s="565"/>
      <c r="AQ62" s="565"/>
      <c r="AR62" s="565"/>
      <c r="AS62" s="566">
        <v>26</v>
      </c>
      <c r="AT62" s="565" t="str">
        <f t="shared" si="13"/>
        <v/>
      </c>
      <c r="AU62" s="565" t="str">
        <f t="shared" si="14"/>
        <v/>
      </c>
      <c r="AV62" s="565"/>
      <c r="AW62" s="565"/>
      <c r="AX62" s="565"/>
      <c r="AY62" s="565"/>
    </row>
    <row r="63" spans="1:51" x14ac:dyDescent="0.25">
      <c r="A63" s="565"/>
      <c r="B63" s="1062"/>
      <c r="C63" s="1062"/>
      <c r="D63" s="1062"/>
      <c r="E63" s="1062"/>
      <c r="F63" s="1062"/>
      <c r="G63" s="1062"/>
      <c r="H63" s="1062"/>
      <c r="I63" s="566">
        <v>27</v>
      </c>
      <c r="J63" s="565" t="str">
        <f t="shared" si="5"/>
        <v/>
      </c>
      <c r="K63" s="565" t="str">
        <f t="shared" si="6"/>
        <v/>
      </c>
      <c r="L63" s="565"/>
      <c r="M63" s="565"/>
      <c r="N63" s="565"/>
      <c r="O63" s="565"/>
      <c r="P63" s="565"/>
      <c r="Q63" s="565"/>
      <c r="R63" s="566">
        <v>27</v>
      </c>
      <c r="S63" s="565" t="str">
        <f t="shared" si="7"/>
        <v/>
      </c>
      <c r="T63" s="565" t="str">
        <f t="shared" si="8"/>
        <v/>
      </c>
      <c r="U63" s="565"/>
      <c r="V63" s="565"/>
      <c r="W63" s="565"/>
      <c r="X63" s="565"/>
      <c r="Y63" s="565"/>
      <c r="Z63" s="565"/>
      <c r="AA63" s="566">
        <v>27</v>
      </c>
      <c r="AB63" s="565" t="str">
        <f t="shared" si="9"/>
        <v/>
      </c>
      <c r="AC63" s="565" t="str">
        <f t="shared" si="10"/>
        <v/>
      </c>
      <c r="AD63" s="565"/>
      <c r="AE63" s="565"/>
      <c r="AF63" s="565"/>
      <c r="AG63" s="565"/>
      <c r="AH63" s="565"/>
      <c r="AI63" s="565"/>
      <c r="AJ63" s="566">
        <v>27</v>
      </c>
      <c r="AK63" s="565" t="str">
        <f t="shared" si="11"/>
        <v/>
      </c>
      <c r="AL63" s="565" t="str">
        <f t="shared" si="12"/>
        <v/>
      </c>
      <c r="AM63" s="565"/>
      <c r="AN63" s="565"/>
      <c r="AO63" s="565"/>
      <c r="AP63" s="565"/>
      <c r="AQ63" s="565"/>
      <c r="AR63" s="565"/>
      <c r="AS63" s="566">
        <v>27</v>
      </c>
      <c r="AT63" s="565" t="str">
        <f t="shared" si="13"/>
        <v/>
      </c>
      <c r="AU63" s="565" t="str">
        <f t="shared" si="14"/>
        <v/>
      </c>
      <c r="AV63" s="565"/>
      <c r="AW63" s="565"/>
      <c r="AX63" s="565"/>
      <c r="AY63" s="565"/>
    </row>
    <row r="64" spans="1:51" x14ac:dyDescent="0.25">
      <c r="A64" s="565"/>
      <c r="B64" s="1062"/>
      <c r="C64" s="1062"/>
      <c r="D64" s="1062"/>
      <c r="E64" s="1062"/>
      <c r="F64" s="1062"/>
      <c r="G64" s="1062"/>
      <c r="H64" s="1062"/>
      <c r="I64" s="566">
        <v>28</v>
      </c>
      <c r="J64" s="565" t="str">
        <f t="shared" si="5"/>
        <v/>
      </c>
      <c r="K64" s="565" t="str">
        <f t="shared" si="6"/>
        <v/>
      </c>
      <c r="L64" s="565"/>
      <c r="M64" s="565"/>
      <c r="N64" s="565"/>
      <c r="O64" s="565"/>
      <c r="P64" s="565"/>
      <c r="Q64" s="565"/>
      <c r="R64" s="566">
        <v>28</v>
      </c>
      <c r="S64" s="565" t="str">
        <f t="shared" si="7"/>
        <v/>
      </c>
      <c r="T64" s="565" t="str">
        <f t="shared" si="8"/>
        <v/>
      </c>
      <c r="U64" s="565"/>
      <c r="V64" s="565"/>
      <c r="W64" s="565"/>
      <c r="X64" s="565"/>
      <c r="Y64" s="565"/>
      <c r="Z64" s="565"/>
      <c r="AA64" s="566">
        <v>28</v>
      </c>
      <c r="AB64" s="565" t="str">
        <f t="shared" si="9"/>
        <v/>
      </c>
      <c r="AC64" s="565" t="str">
        <f t="shared" si="10"/>
        <v/>
      </c>
      <c r="AD64" s="565"/>
      <c r="AE64" s="565"/>
      <c r="AF64" s="565"/>
      <c r="AG64" s="565"/>
      <c r="AH64" s="565"/>
      <c r="AI64" s="565"/>
      <c r="AJ64" s="566">
        <v>28</v>
      </c>
      <c r="AK64" s="565" t="str">
        <f t="shared" si="11"/>
        <v/>
      </c>
      <c r="AL64" s="565" t="str">
        <f t="shared" si="12"/>
        <v/>
      </c>
      <c r="AM64" s="565"/>
      <c r="AN64" s="565"/>
      <c r="AO64" s="565"/>
      <c r="AP64" s="565"/>
      <c r="AQ64" s="565"/>
      <c r="AR64" s="565"/>
      <c r="AS64" s="566">
        <v>28</v>
      </c>
      <c r="AT64" s="565" t="str">
        <f t="shared" si="13"/>
        <v/>
      </c>
      <c r="AU64" s="565" t="str">
        <f t="shared" si="14"/>
        <v/>
      </c>
      <c r="AV64" s="565"/>
      <c r="AW64" s="565"/>
      <c r="AX64" s="565"/>
      <c r="AY64" s="565"/>
    </row>
    <row r="65" spans="1:51" x14ac:dyDescent="0.25">
      <c r="A65" s="565"/>
      <c r="B65" s="1062"/>
      <c r="C65" s="1062"/>
      <c r="D65" s="1062"/>
      <c r="E65" s="1062"/>
      <c r="F65" s="1062"/>
      <c r="G65" s="1062"/>
      <c r="H65" s="1062"/>
      <c r="I65" s="566">
        <v>29</v>
      </c>
      <c r="J65" s="565" t="str">
        <f t="shared" si="5"/>
        <v/>
      </c>
      <c r="K65" s="565" t="str">
        <f t="shared" si="6"/>
        <v/>
      </c>
      <c r="L65" s="565"/>
      <c r="M65" s="565"/>
      <c r="N65" s="565"/>
      <c r="O65" s="565"/>
      <c r="P65" s="565"/>
      <c r="Q65" s="565"/>
      <c r="R65" s="566">
        <v>29</v>
      </c>
      <c r="S65" s="565" t="str">
        <f t="shared" si="7"/>
        <v/>
      </c>
      <c r="T65" s="565" t="str">
        <f t="shared" si="8"/>
        <v/>
      </c>
      <c r="U65" s="565"/>
      <c r="V65" s="565"/>
      <c r="W65" s="565"/>
      <c r="X65" s="565"/>
      <c r="Y65" s="565"/>
      <c r="Z65" s="565"/>
      <c r="AA65" s="566">
        <v>29</v>
      </c>
      <c r="AB65" s="565" t="str">
        <f t="shared" si="9"/>
        <v/>
      </c>
      <c r="AC65" s="565" t="str">
        <f t="shared" si="10"/>
        <v/>
      </c>
      <c r="AD65" s="565"/>
      <c r="AE65" s="565"/>
      <c r="AF65" s="565"/>
      <c r="AG65" s="565"/>
      <c r="AH65" s="565"/>
      <c r="AI65" s="565"/>
      <c r="AJ65" s="566">
        <v>29</v>
      </c>
      <c r="AK65" s="565" t="str">
        <f t="shared" si="11"/>
        <v/>
      </c>
      <c r="AL65" s="565" t="str">
        <f t="shared" si="12"/>
        <v/>
      </c>
      <c r="AM65" s="565"/>
      <c r="AN65" s="565"/>
      <c r="AO65" s="565"/>
      <c r="AP65" s="565"/>
      <c r="AQ65" s="565"/>
      <c r="AR65" s="565"/>
      <c r="AS65" s="566">
        <v>29</v>
      </c>
      <c r="AT65" s="565" t="str">
        <f t="shared" si="13"/>
        <v/>
      </c>
      <c r="AU65" s="565" t="str">
        <f t="shared" si="14"/>
        <v/>
      </c>
      <c r="AV65" s="565"/>
      <c r="AW65" s="565"/>
      <c r="AX65" s="565"/>
      <c r="AY65" s="565"/>
    </row>
    <row r="66" spans="1:51" x14ac:dyDescent="0.25">
      <c r="A66" s="565"/>
      <c r="B66" s="1062"/>
      <c r="C66" s="1062"/>
      <c r="D66" s="1062"/>
      <c r="E66" s="1062"/>
      <c r="F66" s="1062"/>
      <c r="G66" s="1062"/>
      <c r="H66" s="1062"/>
      <c r="I66" s="566">
        <v>30</v>
      </c>
      <c r="J66" s="565" t="str">
        <f t="shared" si="5"/>
        <v/>
      </c>
      <c r="K66" s="565" t="str">
        <f t="shared" si="6"/>
        <v/>
      </c>
      <c r="L66" s="565"/>
      <c r="M66" s="565"/>
      <c r="N66" s="565"/>
      <c r="O66" s="565"/>
      <c r="P66" s="565"/>
      <c r="Q66" s="565"/>
      <c r="R66" s="566">
        <v>30</v>
      </c>
      <c r="S66" s="565" t="str">
        <f t="shared" si="7"/>
        <v/>
      </c>
      <c r="T66" s="565" t="str">
        <f t="shared" si="8"/>
        <v/>
      </c>
      <c r="U66" s="565"/>
      <c r="V66" s="565"/>
      <c r="W66" s="565"/>
      <c r="X66" s="565"/>
      <c r="Y66" s="565"/>
      <c r="Z66" s="565"/>
      <c r="AA66" s="566">
        <v>30</v>
      </c>
      <c r="AB66" s="565" t="str">
        <f t="shared" si="9"/>
        <v/>
      </c>
      <c r="AC66" s="565" t="str">
        <f t="shared" si="10"/>
        <v/>
      </c>
      <c r="AD66" s="565"/>
      <c r="AE66" s="565"/>
      <c r="AF66" s="565"/>
      <c r="AG66" s="565"/>
      <c r="AH66" s="565"/>
      <c r="AI66" s="565"/>
      <c r="AJ66" s="566">
        <v>30</v>
      </c>
      <c r="AK66" s="565" t="str">
        <f t="shared" si="11"/>
        <v/>
      </c>
      <c r="AL66" s="565" t="str">
        <f t="shared" si="12"/>
        <v/>
      </c>
      <c r="AM66" s="565"/>
      <c r="AN66" s="565"/>
      <c r="AO66" s="565"/>
      <c r="AP66" s="565"/>
      <c r="AQ66" s="565"/>
      <c r="AR66" s="565"/>
      <c r="AS66" s="566">
        <v>30</v>
      </c>
      <c r="AT66" s="565" t="str">
        <f t="shared" si="13"/>
        <v/>
      </c>
      <c r="AU66" s="565" t="str">
        <f t="shared" si="14"/>
        <v/>
      </c>
      <c r="AV66" s="565"/>
      <c r="AW66" s="565"/>
      <c r="AX66" s="565"/>
      <c r="AY66" s="565"/>
    </row>
    <row r="67" spans="1:51" x14ac:dyDescent="0.25">
      <c r="A67" s="565"/>
      <c r="B67" s="565"/>
      <c r="C67" s="565"/>
      <c r="D67" s="565"/>
      <c r="E67" s="565"/>
      <c r="F67" s="565"/>
      <c r="G67" s="565"/>
      <c r="H67" s="565"/>
      <c r="I67" s="565"/>
      <c r="J67" s="565"/>
      <c r="K67" s="565"/>
      <c r="L67" s="565"/>
      <c r="M67" s="565"/>
      <c r="N67" s="565"/>
      <c r="O67" s="565"/>
      <c r="P67" s="565"/>
      <c r="Q67" s="565"/>
      <c r="R67" s="565"/>
      <c r="S67" s="565"/>
      <c r="T67" s="565"/>
      <c r="U67" s="565"/>
      <c r="V67" s="565"/>
      <c r="W67" s="565"/>
      <c r="X67" s="565"/>
      <c r="Y67" s="565"/>
      <c r="Z67" s="565"/>
      <c r="AA67" s="565"/>
      <c r="AB67" s="565"/>
      <c r="AC67" s="565"/>
      <c r="AD67" s="565"/>
      <c r="AE67" s="565"/>
      <c r="AF67" s="565"/>
      <c r="AG67" s="565"/>
      <c r="AH67" s="565"/>
      <c r="AI67" s="565"/>
      <c r="AJ67" s="565"/>
      <c r="AK67" s="565"/>
      <c r="AL67" s="565"/>
      <c r="AM67" s="565"/>
      <c r="AN67" s="565"/>
      <c r="AO67" s="565"/>
      <c r="AP67" s="565"/>
      <c r="AQ67" s="565"/>
      <c r="AR67" s="565"/>
      <c r="AS67" s="565"/>
      <c r="AT67" s="565"/>
      <c r="AU67" s="565"/>
      <c r="AV67" s="565"/>
      <c r="AW67" s="565"/>
      <c r="AX67" s="565"/>
      <c r="AY67" s="565"/>
    </row>
    <row r="68" spans="1:51" x14ac:dyDescent="0.25">
      <c r="A68" s="565"/>
      <c r="B68" s="565"/>
      <c r="C68" s="565"/>
      <c r="D68" s="600">
        <f>S04_EldritchKnight!E68</f>
        <v>5</v>
      </c>
      <c r="E68" s="600">
        <f>D68+SUM(C69:C98)</f>
        <v>5</v>
      </c>
      <c r="F68" s="565"/>
      <c r="G68" s="565"/>
      <c r="H68" s="565"/>
      <c r="I68" s="565"/>
      <c r="J68" s="565"/>
      <c r="K68" s="565"/>
      <c r="L68" s="565"/>
      <c r="M68" s="600">
        <f>S04_EldritchKnight!N68</f>
        <v>2</v>
      </c>
      <c r="N68" s="600">
        <f>M68+SUM(L69:L98)</f>
        <v>2</v>
      </c>
      <c r="O68" s="565"/>
      <c r="P68" s="565"/>
      <c r="Q68" s="565"/>
      <c r="R68" s="565"/>
      <c r="S68" s="565"/>
      <c r="T68" s="565"/>
      <c r="U68" s="565"/>
      <c r="V68" s="600">
        <f>S04_EldritchKnight!W68</f>
        <v>0</v>
      </c>
      <c r="W68" s="600">
        <f>V68+SUM(U69:U98)</f>
        <v>0</v>
      </c>
      <c r="X68" s="565"/>
      <c r="Y68" s="565"/>
      <c r="Z68" s="565"/>
      <c r="AA68" s="565"/>
      <c r="AB68" s="565"/>
      <c r="AC68" s="565"/>
      <c r="AD68" s="565"/>
      <c r="AE68" s="600">
        <f>S04_EldritchKnight!AF68</f>
        <v>0</v>
      </c>
      <c r="AF68" s="600">
        <f>AE68+SUM(AD69:AD98)</f>
        <v>0</v>
      </c>
      <c r="AG68" s="565"/>
      <c r="AH68" s="565"/>
      <c r="AI68" s="565"/>
      <c r="AJ68" s="565"/>
      <c r="AK68" s="565"/>
      <c r="AL68" s="565"/>
      <c r="AM68" s="565"/>
      <c r="AN68" s="600">
        <f>S03_Druid!AO68</f>
        <v>0</v>
      </c>
      <c r="AO68" s="600">
        <f>AN68+SUM(AM69:AM98)</f>
        <v>0</v>
      </c>
      <c r="AP68" s="565"/>
      <c r="AQ68" s="565"/>
      <c r="AR68" s="565"/>
      <c r="AS68" s="565"/>
      <c r="AT68" s="565"/>
      <c r="AU68" s="565"/>
      <c r="AV68" s="565"/>
      <c r="AW68" s="565"/>
      <c r="AX68" s="565"/>
      <c r="AY68" s="565"/>
    </row>
    <row r="69" spans="1:51" x14ac:dyDescent="0.25">
      <c r="A69" s="565"/>
      <c r="B69" s="574">
        <v>1</v>
      </c>
      <c r="C69">
        <f t="shared" ref="C69:C98" si="15">IF(SpellcastingPaladin&gt;0,IF(C6&lt;&gt;"",1,0),0)</f>
        <v>0</v>
      </c>
      <c r="D69">
        <f>IF(C69=0,0,1)</f>
        <v>0</v>
      </c>
      <c r="E69">
        <f>IF(D69=0,0,D69+D$68)</f>
        <v>0</v>
      </c>
      <c r="F69" t="str">
        <f>IF(C69=1,"Paladin","")</f>
        <v/>
      </c>
      <c r="G69" t="s">
        <v>6545</v>
      </c>
      <c r="H69" t="s">
        <v>6545</v>
      </c>
      <c r="I69" t="s">
        <v>6545</v>
      </c>
      <c r="J69" t="s">
        <v>6545</v>
      </c>
      <c r="K69" s="602">
        <v>1</v>
      </c>
      <c r="L69">
        <f t="shared" ref="L69:L98" si="16">IF(SpellcastingPaladin&gt;0,IF(L6&lt;&gt;"",1,0),0)</f>
        <v>0</v>
      </c>
      <c r="M69">
        <f>IF(L69=0,0,1)</f>
        <v>0</v>
      </c>
      <c r="N69">
        <f>IF(M69=0,0,M69+M$68)</f>
        <v>0</v>
      </c>
      <c r="O69" t="str">
        <f>IF(L69=1,"Paladin","")</f>
        <v/>
      </c>
      <c r="P69" t="s">
        <v>6545</v>
      </c>
      <c r="Q69" t="s">
        <v>6545</v>
      </c>
      <c r="R69" t="s">
        <v>6545</v>
      </c>
      <c r="S69" t="s">
        <v>6545</v>
      </c>
      <c r="T69" s="602">
        <v>1</v>
      </c>
      <c r="U69">
        <f t="shared" ref="U69:U98" si="17">IF(SpellcastingPaladin&gt;0,IF(U6&lt;&gt;"",1,0),0)</f>
        <v>0</v>
      </c>
      <c r="V69">
        <f>IF(U69=0,0,1)</f>
        <v>0</v>
      </c>
      <c r="W69">
        <f>IF(V69=0,0,V69+V$68)</f>
        <v>0</v>
      </c>
      <c r="X69" t="str">
        <f>IF(U69=1,"Paladin","")</f>
        <v/>
      </c>
      <c r="Y69" t="s">
        <v>6545</v>
      </c>
      <c r="Z69" t="s">
        <v>6545</v>
      </c>
      <c r="AA69" t="s">
        <v>6545</v>
      </c>
      <c r="AB69" t="s">
        <v>6545</v>
      </c>
      <c r="AC69" s="602">
        <v>1</v>
      </c>
      <c r="AD69">
        <f t="shared" ref="AD69:AD98" si="18">IF(SpellcastingPaladin&gt;0,IF(AD6&lt;&gt;"",1,0),0)</f>
        <v>0</v>
      </c>
      <c r="AE69">
        <f>IF(AD69=0,0,1)</f>
        <v>0</v>
      </c>
      <c r="AF69">
        <f>IF(AE69=0,0,AE69+AE$68)</f>
        <v>0</v>
      </c>
      <c r="AG69" t="str">
        <f>IF(AD69=1,"Paladin","")</f>
        <v/>
      </c>
      <c r="AH69" t="s">
        <v>6545</v>
      </c>
      <c r="AI69" t="s">
        <v>6545</v>
      </c>
      <c r="AJ69" t="s">
        <v>6545</v>
      </c>
      <c r="AK69" t="s">
        <v>6545</v>
      </c>
      <c r="AL69" s="602">
        <v>1</v>
      </c>
      <c r="AM69">
        <f t="shared" ref="AM69:AM98" si="19">IF(SpellcastingPaladin&gt;0,IF(AM6&lt;&gt;"",1,0),0)</f>
        <v>0</v>
      </c>
      <c r="AN69">
        <f>IF(AM69=0,0,1)</f>
        <v>0</v>
      </c>
      <c r="AO69">
        <f>IF(AN69=0,0,AN69+AN$68)</f>
        <v>0</v>
      </c>
      <c r="AP69" t="str">
        <f>IF(AM69=1,"Paladin","")</f>
        <v/>
      </c>
      <c r="AQ69" t="s">
        <v>6545</v>
      </c>
      <c r="AR69" t="s">
        <v>6545</v>
      </c>
      <c r="AS69" t="s">
        <v>6545</v>
      </c>
      <c r="AT69" t="s">
        <v>6545</v>
      </c>
      <c r="AU69" s="565"/>
      <c r="AV69" s="565"/>
      <c r="AW69" s="565"/>
      <c r="AX69" s="565"/>
      <c r="AY69" s="565"/>
    </row>
    <row r="70" spans="1:51" x14ac:dyDescent="0.25">
      <c r="B70" s="574">
        <v>2</v>
      </c>
      <c r="C70">
        <f t="shared" si="15"/>
        <v>0</v>
      </c>
      <c r="D70">
        <f>IF(C70=0,0,1+MAX(D69:D$69))</f>
        <v>0</v>
      </c>
      <c r="E70">
        <f t="shared" ref="E70:E98" si="20">IF(D70=0,0,D70+D$68)</f>
        <v>0</v>
      </c>
      <c r="F70" t="str">
        <f t="shared" ref="F70:F98" si="21">IF(C70=1,"Paladin","")</f>
        <v/>
      </c>
      <c r="G70" t="str">
        <f t="shared" ref="G70:G98" si="22">IF(C70=1,"P","")</f>
        <v/>
      </c>
      <c r="K70" s="602">
        <v>2</v>
      </c>
      <c r="L70">
        <f t="shared" si="16"/>
        <v>0</v>
      </c>
      <c r="M70">
        <f>IF(L70=0,0,1+MAX(M69:M$69))</f>
        <v>0</v>
      </c>
      <c r="N70">
        <f t="shared" ref="N70:N98" si="23">IF(M70=0,0,M70+M$68)</f>
        <v>0</v>
      </c>
      <c r="O70" t="str">
        <f t="shared" ref="O70:O98" si="24">IF(L70=1,"Paladin","")</f>
        <v/>
      </c>
      <c r="P70" t="str">
        <f t="shared" ref="P70:P98" si="25">IF(L70=1,"P","")</f>
        <v/>
      </c>
      <c r="T70" s="602">
        <v>2</v>
      </c>
      <c r="U70">
        <f t="shared" si="17"/>
        <v>0</v>
      </c>
      <c r="V70">
        <f>IF(U70=0,0,1+MAX(V69:V$69))</f>
        <v>0</v>
      </c>
      <c r="W70">
        <f t="shared" ref="W70:W98" si="26">IF(V70=0,0,V70+V$68)</f>
        <v>0</v>
      </c>
      <c r="X70" t="str">
        <f t="shared" ref="X70:X98" si="27">IF(U70=1,"Paladin","")</f>
        <v/>
      </c>
      <c r="Y70" t="str">
        <f t="shared" ref="Y70:Y98" si="28">IF(U70=1,"P","")</f>
        <v/>
      </c>
      <c r="AC70" s="602">
        <v>2</v>
      </c>
      <c r="AD70">
        <f t="shared" si="18"/>
        <v>0</v>
      </c>
      <c r="AE70">
        <f>IF(AD70=0,0,1+MAX(AE69:AE$69))</f>
        <v>0</v>
      </c>
      <c r="AF70">
        <f t="shared" ref="AF70:AF98" si="29">IF(AE70=0,0,AE70+AE$68)</f>
        <v>0</v>
      </c>
      <c r="AG70" t="str">
        <f t="shared" ref="AG70:AG98" si="30">IF(AD70=1,"Paladin","")</f>
        <v/>
      </c>
      <c r="AH70" t="str">
        <f t="shared" ref="AH70:AH98" si="31">IF(AD70=1,"P","")</f>
        <v/>
      </c>
      <c r="AL70" s="602">
        <v>2</v>
      </c>
      <c r="AM70">
        <f t="shared" si="19"/>
        <v>0</v>
      </c>
      <c r="AN70">
        <f>IF(AM70=0,0,1+MAX(AN69:AN$69))</f>
        <v>0</v>
      </c>
      <c r="AO70">
        <f t="shared" ref="AO70:AO98" si="32">IF(AN70=0,0,AN70+AN$68)</f>
        <v>0</v>
      </c>
      <c r="AP70" t="str">
        <f t="shared" ref="AP70:AP98" si="33">IF(AM70=1,"Paladin","")</f>
        <v/>
      </c>
      <c r="AQ70" t="str">
        <f t="shared" ref="AQ70:AQ98" si="34">IF(AM70=1,"P","")</f>
        <v/>
      </c>
    </row>
    <row r="71" spans="1:51" x14ac:dyDescent="0.25">
      <c r="B71" s="574">
        <v>3</v>
      </c>
      <c r="C71">
        <f t="shared" si="15"/>
        <v>0</v>
      </c>
      <c r="D71">
        <f>IF(C71=0,0,1+MAX(D$69:D70))</f>
        <v>0</v>
      </c>
      <c r="E71">
        <f t="shared" si="20"/>
        <v>0</v>
      </c>
      <c r="F71" t="str">
        <f t="shared" si="21"/>
        <v/>
      </c>
      <c r="G71" t="str">
        <f t="shared" si="22"/>
        <v/>
      </c>
      <c r="K71" s="602">
        <v>3</v>
      </c>
      <c r="L71">
        <f t="shared" si="16"/>
        <v>0</v>
      </c>
      <c r="M71">
        <f>IF(L71=0,0,1+MAX(M$69:M70))</f>
        <v>0</v>
      </c>
      <c r="N71">
        <f t="shared" si="23"/>
        <v>0</v>
      </c>
      <c r="O71" t="str">
        <f t="shared" si="24"/>
        <v/>
      </c>
      <c r="P71" t="str">
        <f t="shared" si="25"/>
        <v/>
      </c>
      <c r="T71" s="602">
        <v>3</v>
      </c>
      <c r="U71">
        <f t="shared" si="17"/>
        <v>0</v>
      </c>
      <c r="V71">
        <f>IF(U71=0,0,1+MAX(V$69:V70))</f>
        <v>0</v>
      </c>
      <c r="W71">
        <f t="shared" si="26"/>
        <v>0</v>
      </c>
      <c r="X71" t="str">
        <f t="shared" si="27"/>
        <v/>
      </c>
      <c r="Y71" t="str">
        <f t="shared" si="28"/>
        <v/>
      </c>
      <c r="AC71" s="602">
        <v>3</v>
      </c>
      <c r="AD71">
        <f t="shared" si="18"/>
        <v>0</v>
      </c>
      <c r="AE71">
        <f>IF(AD71=0,0,1+MAX(AE$69:AE70))</f>
        <v>0</v>
      </c>
      <c r="AF71">
        <f t="shared" si="29"/>
        <v>0</v>
      </c>
      <c r="AG71" t="str">
        <f t="shared" si="30"/>
        <v/>
      </c>
      <c r="AH71" t="str">
        <f t="shared" si="31"/>
        <v/>
      </c>
      <c r="AL71" s="602">
        <v>3</v>
      </c>
      <c r="AM71">
        <f t="shared" si="19"/>
        <v>0</v>
      </c>
      <c r="AN71">
        <f>IF(AM71=0,0,1+MAX(AN$69:AN70))</f>
        <v>0</v>
      </c>
      <c r="AO71">
        <f t="shared" si="32"/>
        <v>0</v>
      </c>
      <c r="AP71" t="str">
        <f t="shared" si="33"/>
        <v/>
      </c>
      <c r="AQ71" t="str">
        <f t="shared" si="34"/>
        <v/>
      </c>
    </row>
    <row r="72" spans="1:51" x14ac:dyDescent="0.25">
      <c r="B72" s="574">
        <v>4</v>
      </c>
      <c r="C72">
        <f t="shared" si="15"/>
        <v>0</v>
      </c>
      <c r="D72">
        <f>IF(C72=0,0,1+MAX(D$69:D71))</f>
        <v>0</v>
      </c>
      <c r="E72">
        <f t="shared" si="20"/>
        <v>0</v>
      </c>
      <c r="F72" t="str">
        <f t="shared" si="21"/>
        <v/>
      </c>
      <c r="G72" t="str">
        <f t="shared" si="22"/>
        <v/>
      </c>
      <c r="K72" s="602">
        <v>4</v>
      </c>
      <c r="L72">
        <f t="shared" si="16"/>
        <v>0</v>
      </c>
      <c r="M72">
        <f>IF(L72=0,0,1+MAX(M$69:M71))</f>
        <v>0</v>
      </c>
      <c r="N72">
        <f t="shared" si="23"/>
        <v>0</v>
      </c>
      <c r="O72" t="str">
        <f t="shared" si="24"/>
        <v/>
      </c>
      <c r="P72" t="str">
        <f t="shared" si="25"/>
        <v/>
      </c>
      <c r="T72" s="602">
        <v>4</v>
      </c>
      <c r="U72">
        <f t="shared" si="17"/>
        <v>0</v>
      </c>
      <c r="V72">
        <f>IF(U72=0,0,1+MAX(V$69:V71))</f>
        <v>0</v>
      </c>
      <c r="W72">
        <f t="shared" si="26"/>
        <v>0</v>
      </c>
      <c r="X72" t="str">
        <f t="shared" si="27"/>
        <v/>
      </c>
      <c r="Y72" t="str">
        <f t="shared" si="28"/>
        <v/>
      </c>
      <c r="AC72" s="602">
        <v>4</v>
      </c>
      <c r="AD72">
        <f t="shared" si="18"/>
        <v>0</v>
      </c>
      <c r="AE72">
        <f>IF(AD72=0,0,1+MAX(AE$69:AE71))</f>
        <v>0</v>
      </c>
      <c r="AF72">
        <f t="shared" si="29"/>
        <v>0</v>
      </c>
      <c r="AG72" t="str">
        <f t="shared" si="30"/>
        <v/>
      </c>
      <c r="AH72" t="str">
        <f t="shared" si="31"/>
        <v/>
      </c>
      <c r="AL72" s="602">
        <v>4</v>
      </c>
      <c r="AM72">
        <f t="shared" si="19"/>
        <v>0</v>
      </c>
      <c r="AN72">
        <f>IF(AM72=0,0,1+MAX(AN$69:AN71))</f>
        <v>0</v>
      </c>
      <c r="AO72">
        <f t="shared" si="32"/>
        <v>0</v>
      </c>
      <c r="AP72" t="str">
        <f t="shared" si="33"/>
        <v/>
      </c>
      <c r="AQ72" t="str">
        <f t="shared" si="34"/>
        <v/>
      </c>
    </row>
    <row r="73" spans="1:51" x14ac:dyDescent="0.25">
      <c r="B73" s="574">
        <v>5</v>
      </c>
      <c r="C73">
        <f t="shared" si="15"/>
        <v>0</v>
      </c>
      <c r="D73">
        <f>IF(C73=0,0,1+MAX(D$69:D72))</f>
        <v>0</v>
      </c>
      <c r="E73">
        <f t="shared" si="20"/>
        <v>0</v>
      </c>
      <c r="F73" t="str">
        <f t="shared" si="21"/>
        <v/>
      </c>
      <c r="G73" t="str">
        <f t="shared" si="22"/>
        <v/>
      </c>
      <c r="K73" s="602">
        <v>5</v>
      </c>
      <c r="L73">
        <f t="shared" si="16"/>
        <v>0</v>
      </c>
      <c r="M73">
        <f>IF(L73=0,0,1+MAX(M$69:M72))</f>
        <v>0</v>
      </c>
      <c r="N73">
        <f t="shared" si="23"/>
        <v>0</v>
      </c>
      <c r="O73" t="str">
        <f t="shared" si="24"/>
        <v/>
      </c>
      <c r="P73" t="str">
        <f t="shared" si="25"/>
        <v/>
      </c>
      <c r="T73" s="602">
        <v>5</v>
      </c>
      <c r="U73">
        <f t="shared" si="17"/>
        <v>0</v>
      </c>
      <c r="V73">
        <f>IF(U73=0,0,1+MAX(V$69:V72))</f>
        <v>0</v>
      </c>
      <c r="W73">
        <f t="shared" si="26"/>
        <v>0</v>
      </c>
      <c r="X73" t="str">
        <f t="shared" si="27"/>
        <v/>
      </c>
      <c r="Y73" t="str">
        <f t="shared" si="28"/>
        <v/>
      </c>
      <c r="AC73" s="602">
        <v>5</v>
      </c>
      <c r="AD73">
        <f t="shared" si="18"/>
        <v>0</v>
      </c>
      <c r="AE73">
        <f>IF(AD73=0,0,1+MAX(AE$69:AE72))</f>
        <v>0</v>
      </c>
      <c r="AF73">
        <f t="shared" si="29"/>
        <v>0</v>
      </c>
      <c r="AG73" t="str">
        <f t="shared" si="30"/>
        <v/>
      </c>
      <c r="AH73" t="str">
        <f t="shared" si="31"/>
        <v/>
      </c>
      <c r="AL73" s="602">
        <v>5</v>
      </c>
      <c r="AM73">
        <f t="shared" si="19"/>
        <v>0</v>
      </c>
      <c r="AN73">
        <f>IF(AM73=0,0,1+MAX(AN$69:AN72))</f>
        <v>0</v>
      </c>
      <c r="AO73">
        <f t="shared" si="32"/>
        <v>0</v>
      </c>
      <c r="AP73" t="str">
        <f t="shared" si="33"/>
        <v/>
      </c>
      <c r="AQ73" t="str">
        <f t="shared" si="34"/>
        <v/>
      </c>
    </row>
    <row r="74" spans="1:51" x14ac:dyDescent="0.25">
      <c r="B74" s="574">
        <v>6</v>
      </c>
      <c r="C74">
        <f t="shared" si="15"/>
        <v>0</v>
      </c>
      <c r="D74">
        <f>IF(C74=0,0,1+MAX(D$69:D73))</f>
        <v>0</v>
      </c>
      <c r="E74">
        <f t="shared" si="20"/>
        <v>0</v>
      </c>
      <c r="F74" t="str">
        <f t="shared" si="21"/>
        <v/>
      </c>
      <c r="G74" t="str">
        <f t="shared" si="22"/>
        <v/>
      </c>
      <c r="K74" s="602">
        <v>6</v>
      </c>
      <c r="L74">
        <f t="shared" si="16"/>
        <v>0</v>
      </c>
      <c r="M74">
        <f>IF(L74=0,0,1+MAX(M$69:M73))</f>
        <v>0</v>
      </c>
      <c r="N74">
        <f t="shared" si="23"/>
        <v>0</v>
      </c>
      <c r="O74" t="str">
        <f t="shared" si="24"/>
        <v/>
      </c>
      <c r="P74" t="str">
        <f t="shared" si="25"/>
        <v/>
      </c>
      <c r="T74" s="602">
        <v>6</v>
      </c>
      <c r="U74">
        <f t="shared" si="17"/>
        <v>0</v>
      </c>
      <c r="V74">
        <f>IF(U74=0,0,1+MAX(V$69:V73))</f>
        <v>0</v>
      </c>
      <c r="W74">
        <f t="shared" si="26"/>
        <v>0</v>
      </c>
      <c r="X74" t="str">
        <f t="shared" si="27"/>
        <v/>
      </c>
      <c r="Y74" t="str">
        <f t="shared" si="28"/>
        <v/>
      </c>
      <c r="AC74" s="602">
        <v>6</v>
      </c>
      <c r="AD74">
        <f t="shared" si="18"/>
        <v>0</v>
      </c>
      <c r="AE74">
        <f>IF(AD74=0,0,1+MAX(AE$69:AE73))</f>
        <v>0</v>
      </c>
      <c r="AF74">
        <f t="shared" si="29"/>
        <v>0</v>
      </c>
      <c r="AG74" t="str">
        <f t="shared" si="30"/>
        <v/>
      </c>
      <c r="AH74" t="str">
        <f t="shared" si="31"/>
        <v/>
      </c>
      <c r="AL74" s="602">
        <v>6</v>
      </c>
      <c r="AM74">
        <f t="shared" si="19"/>
        <v>0</v>
      </c>
      <c r="AN74">
        <f>IF(AM74=0,0,1+MAX(AN$69:AN73))</f>
        <v>0</v>
      </c>
      <c r="AO74">
        <f t="shared" si="32"/>
        <v>0</v>
      </c>
      <c r="AP74" t="str">
        <f t="shared" si="33"/>
        <v/>
      </c>
      <c r="AQ74" t="str">
        <f t="shared" si="34"/>
        <v/>
      </c>
    </row>
    <row r="75" spans="1:51" x14ac:dyDescent="0.25">
      <c r="B75" s="574">
        <v>7</v>
      </c>
      <c r="C75">
        <f t="shared" si="15"/>
        <v>0</v>
      </c>
      <c r="D75">
        <f>IF(C75=0,0,1+MAX(D$69:D74))</f>
        <v>0</v>
      </c>
      <c r="E75">
        <f t="shared" si="20"/>
        <v>0</v>
      </c>
      <c r="F75" t="str">
        <f t="shared" si="21"/>
        <v/>
      </c>
      <c r="G75" t="str">
        <f t="shared" si="22"/>
        <v/>
      </c>
      <c r="K75" s="602">
        <v>7</v>
      </c>
      <c r="L75">
        <f t="shared" si="16"/>
        <v>0</v>
      </c>
      <c r="M75">
        <f>IF(L75=0,0,1+MAX(M$69:M74))</f>
        <v>0</v>
      </c>
      <c r="N75">
        <f t="shared" si="23"/>
        <v>0</v>
      </c>
      <c r="O75" t="str">
        <f t="shared" si="24"/>
        <v/>
      </c>
      <c r="P75" t="str">
        <f t="shared" si="25"/>
        <v/>
      </c>
      <c r="T75" s="602">
        <v>7</v>
      </c>
      <c r="U75">
        <f t="shared" si="17"/>
        <v>0</v>
      </c>
      <c r="V75">
        <f>IF(U75=0,0,1+MAX(V$69:V74))</f>
        <v>0</v>
      </c>
      <c r="W75">
        <f t="shared" si="26"/>
        <v>0</v>
      </c>
      <c r="X75" t="str">
        <f t="shared" si="27"/>
        <v/>
      </c>
      <c r="Y75" t="str">
        <f t="shared" si="28"/>
        <v/>
      </c>
      <c r="AC75" s="602">
        <v>7</v>
      </c>
      <c r="AD75">
        <f t="shared" si="18"/>
        <v>0</v>
      </c>
      <c r="AE75">
        <f>IF(AD75=0,0,1+MAX(AE$69:AE74))</f>
        <v>0</v>
      </c>
      <c r="AF75">
        <f t="shared" si="29"/>
        <v>0</v>
      </c>
      <c r="AG75" t="str">
        <f t="shared" si="30"/>
        <v/>
      </c>
      <c r="AH75" t="str">
        <f t="shared" si="31"/>
        <v/>
      </c>
      <c r="AL75" s="602">
        <v>7</v>
      </c>
      <c r="AM75">
        <f t="shared" si="19"/>
        <v>0</v>
      </c>
      <c r="AN75">
        <f>IF(AM75=0,0,1+MAX(AN$69:AN74))</f>
        <v>0</v>
      </c>
      <c r="AO75">
        <f t="shared" si="32"/>
        <v>0</v>
      </c>
      <c r="AP75" t="str">
        <f t="shared" si="33"/>
        <v/>
      </c>
      <c r="AQ75" t="str">
        <f t="shared" si="34"/>
        <v/>
      </c>
    </row>
    <row r="76" spans="1:51" x14ac:dyDescent="0.25">
      <c r="B76" s="574">
        <v>8</v>
      </c>
      <c r="C76">
        <f t="shared" si="15"/>
        <v>0</v>
      </c>
      <c r="D76">
        <f>IF(C76=0,0,1+MAX(D$69:D75))</f>
        <v>0</v>
      </c>
      <c r="E76">
        <f t="shared" si="20"/>
        <v>0</v>
      </c>
      <c r="F76" t="str">
        <f t="shared" si="21"/>
        <v/>
      </c>
      <c r="G76" t="str">
        <f t="shared" si="22"/>
        <v/>
      </c>
      <c r="K76" s="602">
        <v>8</v>
      </c>
      <c r="L76">
        <f t="shared" si="16"/>
        <v>0</v>
      </c>
      <c r="M76">
        <f>IF(L76=0,0,1+MAX(M$69:M75))</f>
        <v>0</v>
      </c>
      <c r="N76">
        <f t="shared" si="23"/>
        <v>0</v>
      </c>
      <c r="O76" t="str">
        <f t="shared" si="24"/>
        <v/>
      </c>
      <c r="P76" t="str">
        <f t="shared" si="25"/>
        <v/>
      </c>
      <c r="T76" s="602">
        <v>8</v>
      </c>
      <c r="U76">
        <f t="shared" si="17"/>
        <v>0</v>
      </c>
      <c r="V76">
        <f>IF(U76=0,0,1+MAX(V$69:V75))</f>
        <v>0</v>
      </c>
      <c r="W76">
        <f t="shared" si="26"/>
        <v>0</v>
      </c>
      <c r="X76" t="str">
        <f t="shared" si="27"/>
        <v/>
      </c>
      <c r="Y76" t="str">
        <f t="shared" si="28"/>
        <v/>
      </c>
      <c r="AC76" s="602">
        <v>8</v>
      </c>
      <c r="AD76">
        <f t="shared" si="18"/>
        <v>0</v>
      </c>
      <c r="AE76">
        <f>IF(AD76=0,0,1+MAX(AE$69:AE75))</f>
        <v>0</v>
      </c>
      <c r="AF76">
        <f t="shared" si="29"/>
        <v>0</v>
      </c>
      <c r="AG76" t="str">
        <f t="shared" si="30"/>
        <v/>
      </c>
      <c r="AH76" t="str">
        <f t="shared" si="31"/>
        <v/>
      </c>
      <c r="AL76" s="602">
        <v>8</v>
      </c>
      <c r="AM76">
        <f t="shared" si="19"/>
        <v>0</v>
      </c>
      <c r="AN76">
        <f>IF(AM76=0,0,1+MAX(AN$69:AN75))</f>
        <v>0</v>
      </c>
      <c r="AO76">
        <f t="shared" si="32"/>
        <v>0</v>
      </c>
      <c r="AP76" t="str">
        <f t="shared" si="33"/>
        <v/>
      </c>
      <c r="AQ76" t="str">
        <f t="shared" si="34"/>
        <v/>
      </c>
    </row>
    <row r="77" spans="1:51" x14ac:dyDescent="0.25">
      <c r="B77" s="574">
        <v>9</v>
      </c>
      <c r="C77">
        <f t="shared" si="15"/>
        <v>0</v>
      </c>
      <c r="D77">
        <f>IF(C77=0,0,1+MAX(D$69:D76))</f>
        <v>0</v>
      </c>
      <c r="E77">
        <f t="shared" si="20"/>
        <v>0</v>
      </c>
      <c r="F77" t="str">
        <f t="shared" si="21"/>
        <v/>
      </c>
      <c r="G77" t="str">
        <f t="shared" si="22"/>
        <v/>
      </c>
      <c r="K77" s="602">
        <v>9</v>
      </c>
      <c r="L77">
        <f t="shared" si="16"/>
        <v>0</v>
      </c>
      <c r="M77">
        <f>IF(L77=0,0,1+MAX(M$69:M76))</f>
        <v>0</v>
      </c>
      <c r="N77">
        <f t="shared" si="23"/>
        <v>0</v>
      </c>
      <c r="O77" t="str">
        <f t="shared" si="24"/>
        <v/>
      </c>
      <c r="P77" t="str">
        <f t="shared" si="25"/>
        <v/>
      </c>
      <c r="T77" s="602">
        <v>9</v>
      </c>
      <c r="U77">
        <f t="shared" si="17"/>
        <v>0</v>
      </c>
      <c r="V77">
        <f>IF(U77=0,0,1+MAX(V$69:V76))</f>
        <v>0</v>
      </c>
      <c r="W77">
        <f t="shared" si="26"/>
        <v>0</v>
      </c>
      <c r="X77" t="str">
        <f t="shared" si="27"/>
        <v/>
      </c>
      <c r="Y77" t="str">
        <f t="shared" si="28"/>
        <v/>
      </c>
      <c r="AC77" s="602">
        <v>9</v>
      </c>
      <c r="AD77">
        <f t="shared" si="18"/>
        <v>0</v>
      </c>
      <c r="AE77">
        <f>IF(AD77=0,0,1+MAX(AE$69:AE76))</f>
        <v>0</v>
      </c>
      <c r="AF77">
        <f t="shared" si="29"/>
        <v>0</v>
      </c>
      <c r="AG77" t="str">
        <f t="shared" si="30"/>
        <v/>
      </c>
      <c r="AH77" t="str">
        <f t="shared" si="31"/>
        <v/>
      </c>
      <c r="AL77" s="602">
        <v>9</v>
      </c>
      <c r="AM77">
        <f t="shared" si="19"/>
        <v>0</v>
      </c>
      <c r="AN77">
        <f>IF(AM77=0,0,1+MAX(AN$69:AN76))</f>
        <v>0</v>
      </c>
      <c r="AO77">
        <f t="shared" si="32"/>
        <v>0</v>
      </c>
      <c r="AP77" t="str">
        <f t="shared" si="33"/>
        <v/>
      </c>
      <c r="AQ77" t="str">
        <f t="shared" si="34"/>
        <v/>
      </c>
    </row>
    <row r="78" spans="1:51" x14ac:dyDescent="0.25">
      <c r="B78" s="574">
        <v>10</v>
      </c>
      <c r="C78">
        <f t="shared" si="15"/>
        <v>0</v>
      </c>
      <c r="D78">
        <f>IF(C78=0,0,1+MAX(D$69:D77))</f>
        <v>0</v>
      </c>
      <c r="E78">
        <f t="shared" si="20"/>
        <v>0</v>
      </c>
      <c r="F78" t="str">
        <f t="shared" si="21"/>
        <v/>
      </c>
      <c r="G78" t="str">
        <f t="shared" si="22"/>
        <v/>
      </c>
      <c r="K78" s="602">
        <v>10</v>
      </c>
      <c r="L78">
        <f t="shared" si="16"/>
        <v>0</v>
      </c>
      <c r="M78">
        <f>IF(L78=0,0,1+MAX(M$69:M77))</f>
        <v>0</v>
      </c>
      <c r="N78">
        <f t="shared" si="23"/>
        <v>0</v>
      </c>
      <c r="O78" t="str">
        <f t="shared" si="24"/>
        <v/>
      </c>
      <c r="P78" t="str">
        <f t="shared" si="25"/>
        <v/>
      </c>
      <c r="T78" s="602">
        <v>10</v>
      </c>
      <c r="U78">
        <f t="shared" si="17"/>
        <v>0</v>
      </c>
      <c r="V78">
        <f>IF(U78=0,0,1+MAX(V$69:V77))</f>
        <v>0</v>
      </c>
      <c r="W78">
        <f t="shared" si="26"/>
        <v>0</v>
      </c>
      <c r="X78" t="str">
        <f t="shared" si="27"/>
        <v/>
      </c>
      <c r="Y78" t="str">
        <f t="shared" si="28"/>
        <v/>
      </c>
      <c r="AC78" s="602">
        <v>10</v>
      </c>
      <c r="AD78">
        <f t="shared" si="18"/>
        <v>0</v>
      </c>
      <c r="AE78">
        <f>IF(AD78=0,0,1+MAX(AE$69:AE77))</f>
        <v>0</v>
      </c>
      <c r="AF78">
        <f t="shared" si="29"/>
        <v>0</v>
      </c>
      <c r="AG78" t="str">
        <f t="shared" si="30"/>
        <v/>
      </c>
      <c r="AH78" t="str">
        <f t="shared" si="31"/>
        <v/>
      </c>
      <c r="AL78" s="602">
        <v>10</v>
      </c>
      <c r="AM78">
        <f t="shared" si="19"/>
        <v>0</v>
      </c>
      <c r="AN78">
        <f>IF(AM78=0,0,1+MAX(AN$69:AN77))</f>
        <v>0</v>
      </c>
      <c r="AO78">
        <f t="shared" si="32"/>
        <v>0</v>
      </c>
      <c r="AP78" t="str">
        <f t="shared" si="33"/>
        <v/>
      </c>
      <c r="AQ78" t="str">
        <f t="shared" si="34"/>
        <v/>
      </c>
    </row>
    <row r="79" spans="1:51" x14ac:dyDescent="0.25">
      <c r="B79" s="574">
        <v>11</v>
      </c>
      <c r="C79">
        <f t="shared" si="15"/>
        <v>0</v>
      </c>
      <c r="D79">
        <f>IF(C79=0,0,1+MAX(D$69:D78))</f>
        <v>0</v>
      </c>
      <c r="E79">
        <f t="shared" si="20"/>
        <v>0</v>
      </c>
      <c r="F79" t="str">
        <f t="shared" si="21"/>
        <v/>
      </c>
      <c r="G79" t="str">
        <f t="shared" si="22"/>
        <v/>
      </c>
      <c r="K79" s="602">
        <v>11</v>
      </c>
      <c r="L79">
        <f t="shared" si="16"/>
        <v>0</v>
      </c>
      <c r="M79">
        <f>IF(L79=0,0,1+MAX(M$69:M78))</f>
        <v>0</v>
      </c>
      <c r="N79">
        <f t="shared" si="23"/>
        <v>0</v>
      </c>
      <c r="O79" t="str">
        <f t="shared" si="24"/>
        <v/>
      </c>
      <c r="P79" t="str">
        <f t="shared" si="25"/>
        <v/>
      </c>
      <c r="T79" s="602">
        <v>11</v>
      </c>
      <c r="U79">
        <f t="shared" si="17"/>
        <v>0</v>
      </c>
      <c r="V79">
        <f>IF(U79=0,0,1+MAX(V$69:V78))</f>
        <v>0</v>
      </c>
      <c r="W79">
        <f t="shared" si="26"/>
        <v>0</v>
      </c>
      <c r="X79" t="str">
        <f t="shared" si="27"/>
        <v/>
      </c>
      <c r="Y79" t="str">
        <f t="shared" si="28"/>
        <v/>
      </c>
      <c r="AC79" s="602">
        <v>11</v>
      </c>
      <c r="AD79">
        <f t="shared" si="18"/>
        <v>0</v>
      </c>
      <c r="AE79">
        <f>IF(AD79=0,0,1+MAX(AE$69:AE78))</f>
        <v>0</v>
      </c>
      <c r="AF79">
        <f t="shared" si="29"/>
        <v>0</v>
      </c>
      <c r="AG79" t="str">
        <f t="shared" si="30"/>
        <v/>
      </c>
      <c r="AH79" t="str">
        <f t="shared" si="31"/>
        <v/>
      </c>
      <c r="AL79" s="602">
        <v>11</v>
      </c>
      <c r="AM79">
        <f t="shared" si="19"/>
        <v>0</v>
      </c>
      <c r="AN79">
        <f>IF(AM79=0,0,1+MAX(AN$69:AN78))</f>
        <v>0</v>
      </c>
      <c r="AO79">
        <f t="shared" si="32"/>
        <v>0</v>
      </c>
      <c r="AP79" t="str">
        <f t="shared" si="33"/>
        <v/>
      </c>
      <c r="AQ79" t="str">
        <f t="shared" si="34"/>
        <v/>
      </c>
    </row>
    <row r="80" spans="1:51" x14ac:dyDescent="0.25">
      <c r="B80" s="574">
        <v>12</v>
      </c>
      <c r="C80">
        <f t="shared" si="15"/>
        <v>0</v>
      </c>
      <c r="D80">
        <f>IF(C80=0,0,1+MAX(D$69:D79))</f>
        <v>0</v>
      </c>
      <c r="E80">
        <f t="shared" si="20"/>
        <v>0</v>
      </c>
      <c r="F80" t="str">
        <f t="shared" si="21"/>
        <v/>
      </c>
      <c r="G80" t="str">
        <f t="shared" si="22"/>
        <v/>
      </c>
      <c r="K80" s="602">
        <v>12</v>
      </c>
      <c r="L80">
        <f t="shared" si="16"/>
        <v>0</v>
      </c>
      <c r="M80">
        <f>IF(L80=0,0,1+MAX(M$69:M79))</f>
        <v>0</v>
      </c>
      <c r="N80">
        <f t="shared" si="23"/>
        <v>0</v>
      </c>
      <c r="O80" t="str">
        <f t="shared" si="24"/>
        <v/>
      </c>
      <c r="P80" t="str">
        <f t="shared" si="25"/>
        <v/>
      </c>
      <c r="T80" s="602">
        <v>12</v>
      </c>
      <c r="U80">
        <f t="shared" si="17"/>
        <v>0</v>
      </c>
      <c r="V80">
        <f>IF(U80=0,0,1+MAX(V$69:V79))</f>
        <v>0</v>
      </c>
      <c r="W80">
        <f t="shared" si="26"/>
        <v>0</v>
      </c>
      <c r="X80" t="str">
        <f t="shared" si="27"/>
        <v/>
      </c>
      <c r="Y80" t="str">
        <f t="shared" si="28"/>
        <v/>
      </c>
      <c r="AC80" s="602">
        <v>12</v>
      </c>
      <c r="AD80">
        <f t="shared" si="18"/>
        <v>0</v>
      </c>
      <c r="AE80">
        <f>IF(AD80=0,0,1+MAX(AE$69:AE79))</f>
        <v>0</v>
      </c>
      <c r="AF80">
        <f t="shared" si="29"/>
        <v>0</v>
      </c>
      <c r="AG80" t="str">
        <f t="shared" si="30"/>
        <v/>
      </c>
      <c r="AH80" t="str">
        <f t="shared" si="31"/>
        <v/>
      </c>
      <c r="AL80" s="602">
        <v>12</v>
      </c>
      <c r="AM80">
        <f t="shared" si="19"/>
        <v>0</v>
      </c>
      <c r="AN80">
        <f>IF(AM80=0,0,1+MAX(AN$69:AN79))</f>
        <v>0</v>
      </c>
      <c r="AO80">
        <f t="shared" si="32"/>
        <v>0</v>
      </c>
      <c r="AP80" t="str">
        <f t="shared" si="33"/>
        <v/>
      </c>
      <c r="AQ80" t="str">
        <f t="shared" si="34"/>
        <v/>
      </c>
    </row>
    <row r="81" spans="2:43" x14ac:dyDescent="0.25">
      <c r="B81" s="574">
        <v>13</v>
      </c>
      <c r="C81">
        <f t="shared" si="15"/>
        <v>0</v>
      </c>
      <c r="D81">
        <f>IF(C81=0,0,1+MAX(D$69:D80))</f>
        <v>0</v>
      </c>
      <c r="E81">
        <f t="shared" si="20"/>
        <v>0</v>
      </c>
      <c r="F81" t="str">
        <f t="shared" si="21"/>
        <v/>
      </c>
      <c r="G81" t="str">
        <f t="shared" si="22"/>
        <v/>
      </c>
      <c r="K81" s="602">
        <v>13</v>
      </c>
      <c r="L81">
        <f t="shared" si="16"/>
        <v>0</v>
      </c>
      <c r="M81">
        <f>IF(L81=0,0,1+MAX(M$69:M80))</f>
        <v>0</v>
      </c>
      <c r="N81">
        <f t="shared" si="23"/>
        <v>0</v>
      </c>
      <c r="O81" t="str">
        <f t="shared" si="24"/>
        <v/>
      </c>
      <c r="P81" t="str">
        <f t="shared" si="25"/>
        <v/>
      </c>
      <c r="T81" s="602">
        <v>13</v>
      </c>
      <c r="U81">
        <f t="shared" si="17"/>
        <v>0</v>
      </c>
      <c r="V81">
        <f>IF(U81=0,0,1+MAX(V$69:V80))</f>
        <v>0</v>
      </c>
      <c r="W81">
        <f t="shared" si="26"/>
        <v>0</v>
      </c>
      <c r="X81" t="str">
        <f t="shared" si="27"/>
        <v/>
      </c>
      <c r="Y81" t="str">
        <f t="shared" si="28"/>
        <v/>
      </c>
      <c r="AC81" s="602">
        <v>13</v>
      </c>
      <c r="AD81">
        <f t="shared" si="18"/>
        <v>0</v>
      </c>
      <c r="AE81">
        <f>IF(AD81=0,0,1+MAX(AE$69:AE80))</f>
        <v>0</v>
      </c>
      <c r="AF81">
        <f t="shared" si="29"/>
        <v>0</v>
      </c>
      <c r="AG81" t="str">
        <f t="shared" si="30"/>
        <v/>
      </c>
      <c r="AH81" t="str">
        <f t="shared" si="31"/>
        <v/>
      </c>
      <c r="AL81" s="602">
        <v>13</v>
      </c>
      <c r="AM81">
        <f t="shared" si="19"/>
        <v>0</v>
      </c>
      <c r="AN81">
        <f>IF(AM81=0,0,1+MAX(AN$69:AN80))</f>
        <v>0</v>
      </c>
      <c r="AO81">
        <f t="shared" si="32"/>
        <v>0</v>
      </c>
      <c r="AP81" t="str">
        <f t="shared" si="33"/>
        <v/>
      </c>
      <c r="AQ81" t="str">
        <f t="shared" si="34"/>
        <v/>
      </c>
    </row>
    <row r="82" spans="2:43" x14ac:dyDescent="0.25">
      <c r="B82" s="574">
        <v>14</v>
      </c>
      <c r="C82">
        <f t="shared" si="15"/>
        <v>0</v>
      </c>
      <c r="D82">
        <f>IF(C82=0,0,1+MAX(D$69:D81))</f>
        <v>0</v>
      </c>
      <c r="E82">
        <f t="shared" si="20"/>
        <v>0</v>
      </c>
      <c r="F82" t="str">
        <f t="shared" si="21"/>
        <v/>
      </c>
      <c r="G82" t="str">
        <f t="shared" si="22"/>
        <v/>
      </c>
      <c r="K82" s="602">
        <v>14</v>
      </c>
      <c r="L82">
        <f t="shared" si="16"/>
        <v>0</v>
      </c>
      <c r="M82">
        <f>IF(L82=0,0,1+MAX(M$69:M81))</f>
        <v>0</v>
      </c>
      <c r="N82">
        <f t="shared" si="23"/>
        <v>0</v>
      </c>
      <c r="O82" t="str">
        <f t="shared" si="24"/>
        <v/>
      </c>
      <c r="P82" t="str">
        <f t="shared" si="25"/>
        <v/>
      </c>
      <c r="T82" s="602">
        <v>14</v>
      </c>
      <c r="U82">
        <f t="shared" si="17"/>
        <v>0</v>
      </c>
      <c r="V82">
        <f>IF(U82=0,0,1+MAX(V$69:V81))</f>
        <v>0</v>
      </c>
      <c r="W82">
        <f t="shared" si="26"/>
        <v>0</v>
      </c>
      <c r="X82" t="str">
        <f t="shared" si="27"/>
        <v/>
      </c>
      <c r="Y82" t="str">
        <f t="shared" si="28"/>
        <v/>
      </c>
      <c r="AC82" s="602">
        <v>14</v>
      </c>
      <c r="AD82">
        <f t="shared" si="18"/>
        <v>0</v>
      </c>
      <c r="AE82">
        <f>IF(AD82=0,0,1+MAX(AE$69:AE81))</f>
        <v>0</v>
      </c>
      <c r="AF82">
        <f t="shared" si="29"/>
        <v>0</v>
      </c>
      <c r="AG82" t="str">
        <f t="shared" si="30"/>
        <v/>
      </c>
      <c r="AH82" t="str">
        <f t="shared" si="31"/>
        <v/>
      </c>
      <c r="AL82" s="602">
        <v>14</v>
      </c>
      <c r="AM82">
        <f t="shared" si="19"/>
        <v>0</v>
      </c>
      <c r="AN82">
        <f>IF(AM82=0,0,1+MAX(AN$69:AN81))</f>
        <v>0</v>
      </c>
      <c r="AO82">
        <f t="shared" si="32"/>
        <v>0</v>
      </c>
      <c r="AP82" t="str">
        <f t="shared" si="33"/>
        <v/>
      </c>
      <c r="AQ82" t="str">
        <f t="shared" si="34"/>
        <v/>
      </c>
    </row>
    <row r="83" spans="2:43" x14ac:dyDescent="0.25">
      <c r="B83" s="574">
        <v>15</v>
      </c>
      <c r="C83">
        <f t="shared" si="15"/>
        <v>0</v>
      </c>
      <c r="D83">
        <f>IF(C83=0,0,1+MAX(D$69:D82))</f>
        <v>0</v>
      </c>
      <c r="E83">
        <f t="shared" si="20"/>
        <v>0</v>
      </c>
      <c r="F83" t="str">
        <f t="shared" si="21"/>
        <v/>
      </c>
      <c r="G83" t="str">
        <f t="shared" si="22"/>
        <v/>
      </c>
      <c r="K83" s="602">
        <v>15</v>
      </c>
      <c r="L83">
        <f t="shared" si="16"/>
        <v>0</v>
      </c>
      <c r="M83">
        <f>IF(L83=0,0,1+MAX(M$69:M82))</f>
        <v>0</v>
      </c>
      <c r="N83">
        <f t="shared" si="23"/>
        <v>0</v>
      </c>
      <c r="O83" t="str">
        <f t="shared" si="24"/>
        <v/>
      </c>
      <c r="P83" t="str">
        <f t="shared" si="25"/>
        <v/>
      </c>
      <c r="T83" s="602">
        <v>15</v>
      </c>
      <c r="U83">
        <f t="shared" si="17"/>
        <v>0</v>
      </c>
      <c r="V83">
        <f>IF(U83=0,0,1+MAX(V$69:V82))</f>
        <v>0</v>
      </c>
      <c r="W83">
        <f t="shared" si="26"/>
        <v>0</v>
      </c>
      <c r="X83" t="str">
        <f t="shared" si="27"/>
        <v/>
      </c>
      <c r="Y83" t="str">
        <f t="shared" si="28"/>
        <v/>
      </c>
      <c r="AC83" s="602">
        <v>15</v>
      </c>
      <c r="AD83">
        <f t="shared" si="18"/>
        <v>0</v>
      </c>
      <c r="AE83">
        <f>IF(AD83=0,0,1+MAX(AE$69:AE82))</f>
        <v>0</v>
      </c>
      <c r="AF83">
        <f t="shared" si="29"/>
        <v>0</v>
      </c>
      <c r="AG83" t="str">
        <f t="shared" si="30"/>
        <v/>
      </c>
      <c r="AH83" t="str">
        <f t="shared" si="31"/>
        <v/>
      </c>
      <c r="AL83" s="602">
        <v>15</v>
      </c>
      <c r="AM83">
        <f t="shared" si="19"/>
        <v>0</v>
      </c>
      <c r="AN83">
        <f>IF(AM83=0,0,1+MAX(AN$69:AN82))</f>
        <v>0</v>
      </c>
      <c r="AO83">
        <f t="shared" si="32"/>
        <v>0</v>
      </c>
      <c r="AP83" t="str">
        <f t="shared" si="33"/>
        <v/>
      </c>
      <c r="AQ83" t="str">
        <f t="shared" si="34"/>
        <v/>
      </c>
    </row>
    <row r="84" spans="2:43" x14ac:dyDescent="0.25">
      <c r="B84" s="574">
        <v>16</v>
      </c>
      <c r="C84">
        <f t="shared" si="15"/>
        <v>0</v>
      </c>
      <c r="D84">
        <f>IF(C84=0,0,1+MAX(D$69:D83))</f>
        <v>0</v>
      </c>
      <c r="E84">
        <f t="shared" si="20"/>
        <v>0</v>
      </c>
      <c r="F84" t="str">
        <f t="shared" si="21"/>
        <v/>
      </c>
      <c r="G84" t="str">
        <f t="shared" si="22"/>
        <v/>
      </c>
      <c r="K84" s="602">
        <v>16</v>
      </c>
      <c r="L84">
        <f t="shared" si="16"/>
        <v>0</v>
      </c>
      <c r="M84">
        <f>IF(L84=0,0,1+MAX(M$69:M83))</f>
        <v>0</v>
      </c>
      <c r="N84">
        <f t="shared" si="23"/>
        <v>0</v>
      </c>
      <c r="O84" t="str">
        <f t="shared" si="24"/>
        <v/>
      </c>
      <c r="P84" t="str">
        <f t="shared" si="25"/>
        <v/>
      </c>
      <c r="T84" s="602">
        <v>16</v>
      </c>
      <c r="U84">
        <f t="shared" si="17"/>
        <v>0</v>
      </c>
      <c r="V84">
        <f>IF(U84=0,0,1+MAX(V$69:V83))</f>
        <v>0</v>
      </c>
      <c r="W84">
        <f t="shared" si="26"/>
        <v>0</v>
      </c>
      <c r="X84" t="str">
        <f t="shared" si="27"/>
        <v/>
      </c>
      <c r="Y84" t="str">
        <f t="shared" si="28"/>
        <v/>
      </c>
      <c r="AC84" s="602">
        <v>16</v>
      </c>
      <c r="AD84">
        <f t="shared" si="18"/>
        <v>0</v>
      </c>
      <c r="AE84">
        <f>IF(AD84=0,0,1+MAX(AE$69:AE83))</f>
        <v>0</v>
      </c>
      <c r="AF84">
        <f t="shared" si="29"/>
        <v>0</v>
      </c>
      <c r="AG84" t="str">
        <f t="shared" si="30"/>
        <v/>
      </c>
      <c r="AH84" t="str">
        <f t="shared" si="31"/>
        <v/>
      </c>
      <c r="AL84" s="602">
        <v>16</v>
      </c>
      <c r="AM84">
        <f t="shared" si="19"/>
        <v>0</v>
      </c>
      <c r="AN84">
        <f>IF(AM84=0,0,1+MAX(AN$69:AN83))</f>
        <v>0</v>
      </c>
      <c r="AO84">
        <f t="shared" si="32"/>
        <v>0</v>
      </c>
      <c r="AP84" t="str">
        <f t="shared" si="33"/>
        <v/>
      </c>
      <c r="AQ84" t="str">
        <f t="shared" si="34"/>
        <v/>
      </c>
    </row>
    <row r="85" spans="2:43" x14ac:dyDescent="0.25">
      <c r="B85" s="574">
        <v>17</v>
      </c>
      <c r="C85">
        <f t="shared" si="15"/>
        <v>0</v>
      </c>
      <c r="D85">
        <f>IF(C85=0,0,1+MAX(D$69:D84))</f>
        <v>0</v>
      </c>
      <c r="E85">
        <f t="shared" si="20"/>
        <v>0</v>
      </c>
      <c r="F85" t="str">
        <f t="shared" si="21"/>
        <v/>
      </c>
      <c r="G85" t="str">
        <f t="shared" si="22"/>
        <v/>
      </c>
      <c r="K85" s="602">
        <v>17</v>
      </c>
      <c r="L85">
        <f t="shared" si="16"/>
        <v>0</v>
      </c>
      <c r="M85">
        <f>IF(L85=0,0,1+MAX(M$69:M84))</f>
        <v>0</v>
      </c>
      <c r="N85">
        <f t="shared" si="23"/>
        <v>0</v>
      </c>
      <c r="O85" t="str">
        <f t="shared" si="24"/>
        <v/>
      </c>
      <c r="P85" t="str">
        <f t="shared" si="25"/>
        <v/>
      </c>
      <c r="T85" s="602">
        <v>17</v>
      </c>
      <c r="U85">
        <f t="shared" si="17"/>
        <v>0</v>
      </c>
      <c r="V85">
        <f>IF(U85=0,0,1+MAX(V$69:V84))</f>
        <v>0</v>
      </c>
      <c r="W85">
        <f t="shared" si="26"/>
        <v>0</v>
      </c>
      <c r="X85" t="str">
        <f t="shared" si="27"/>
        <v/>
      </c>
      <c r="Y85" t="str">
        <f t="shared" si="28"/>
        <v/>
      </c>
      <c r="AC85" s="602">
        <v>17</v>
      </c>
      <c r="AD85">
        <f t="shared" si="18"/>
        <v>0</v>
      </c>
      <c r="AE85">
        <f>IF(AD85=0,0,1+MAX(AE$69:AE84))</f>
        <v>0</v>
      </c>
      <c r="AF85">
        <f t="shared" si="29"/>
        <v>0</v>
      </c>
      <c r="AG85" t="str">
        <f t="shared" si="30"/>
        <v/>
      </c>
      <c r="AH85" t="str">
        <f t="shared" si="31"/>
        <v/>
      </c>
      <c r="AL85" s="602">
        <v>17</v>
      </c>
      <c r="AM85">
        <f t="shared" si="19"/>
        <v>0</v>
      </c>
      <c r="AN85">
        <f>IF(AM85=0,0,1+MAX(AN$69:AN84))</f>
        <v>0</v>
      </c>
      <c r="AO85">
        <f t="shared" si="32"/>
        <v>0</v>
      </c>
      <c r="AP85" t="str">
        <f t="shared" si="33"/>
        <v/>
      </c>
      <c r="AQ85" t="str">
        <f t="shared" si="34"/>
        <v/>
      </c>
    </row>
    <row r="86" spans="2:43" x14ac:dyDescent="0.25">
      <c r="B86" s="574">
        <v>18</v>
      </c>
      <c r="C86">
        <f t="shared" si="15"/>
        <v>0</v>
      </c>
      <c r="D86">
        <f>IF(C86=0,0,1+MAX(D$69:D85))</f>
        <v>0</v>
      </c>
      <c r="E86">
        <f t="shared" si="20"/>
        <v>0</v>
      </c>
      <c r="F86" t="str">
        <f t="shared" si="21"/>
        <v/>
      </c>
      <c r="G86" t="str">
        <f t="shared" si="22"/>
        <v/>
      </c>
      <c r="K86" s="602">
        <v>18</v>
      </c>
      <c r="L86">
        <f t="shared" si="16"/>
        <v>0</v>
      </c>
      <c r="M86">
        <f>IF(L86=0,0,1+MAX(M$69:M85))</f>
        <v>0</v>
      </c>
      <c r="N86">
        <f t="shared" si="23"/>
        <v>0</v>
      </c>
      <c r="O86" t="str">
        <f t="shared" si="24"/>
        <v/>
      </c>
      <c r="P86" t="str">
        <f t="shared" si="25"/>
        <v/>
      </c>
      <c r="T86" s="602">
        <v>18</v>
      </c>
      <c r="U86">
        <f t="shared" si="17"/>
        <v>0</v>
      </c>
      <c r="V86">
        <f>IF(U86=0,0,1+MAX(V$69:V85))</f>
        <v>0</v>
      </c>
      <c r="W86">
        <f t="shared" si="26"/>
        <v>0</v>
      </c>
      <c r="X86" t="str">
        <f t="shared" si="27"/>
        <v/>
      </c>
      <c r="Y86" t="str">
        <f t="shared" si="28"/>
        <v/>
      </c>
      <c r="AC86" s="602">
        <v>18</v>
      </c>
      <c r="AD86">
        <f t="shared" si="18"/>
        <v>0</v>
      </c>
      <c r="AE86">
        <f>IF(AD86=0,0,1+MAX(AE$69:AE85))</f>
        <v>0</v>
      </c>
      <c r="AF86">
        <f t="shared" si="29"/>
        <v>0</v>
      </c>
      <c r="AG86" t="str">
        <f t="shared" si="30"/>
        <v/>
      </c>
      <c r="AH86" t="str">
        <f t="shared" si="31"/>
        <v/>
      </c>
      <c r="AL86" s="602">
        <v>18</v>
      </c>
      <c r="AM86">
        <f t="shared" si="19"/>
        <v>0</v>
      </c>
      <c r="AN86">
        <f>IF(AM86=0,0,1+MAX(AN$69:AN85))</f>
        <v>0</v>
      </c>
      <c r="AO86">
        <f t="shared" si="32"/>
        <v>0</v>
      </c>
      <c r="AP86" t="str">
        <f t="shared" si="33"/>
        <v/>
      </c>
      <c r="AQ86" t="str">
        <f t="shared" si="34"/>
        <v/>
      </c>
    </row>
    <row r="87" spans="2:43" x14ac:dyDescent="0.25">
      <c r="B87" s="574">
        <v>19</v>
      </c>
      <c r="C87">
        <f t="shared" si="15"/>
        <v>0</v>
      </c>
      <c r="D87">
        <f>IF(C87=0,0,1+MAX(D$69:D86))</f>
        <v>0</v>
      </c>
      <c r="E87">
        <f t="shared" si="20"/>
        <v>0</v>
      </c>
      <c r="F87" t="str">
        <f t="shared" si="21"/>
        <v/>
      </c>
      <c r="G87" t="str">
        <f t="shared" si="22"/>
        <v/>
      </c>
      <c r="K87" s="602">
        <v>19</v>
      </c>
      <c r="L87">
        <f t="shared" si="16"/>
        <v>0</v>
      </c>
      <c r="M87">
        <f>IF(L87=0,0,1+MAX(M$69:M86))</f>
        <v>0</v>
      </c>
      <c r="N87">
        <f t="shared" si="23"/>
        <v>0</v>
      </c>
      <c r="O87" t="str">
        <f t="shared" si="24"/>
        <v/>
      </c>
      <c r="P87" t="str">
        <f t="shared" si="25"/>
        <v/>
      </c>
      <c r="T87" s="602">
        <v>19</v>
      </c>
      <c r="U87">
        <f t="shared" si="17"/>
        <v>0</v>
      </c>
      <c r="V87">
        <f>IF(U87=0,0,1+MAX(V$69:V86))</f>
        <v>0</v>
      </c>
      <c r="W87">
        <f t="shared" si="26"/>
        <v>0</v>
      </c>
      <c r="X87" t="str">
        <f t="shared" si="27"/>
        <v/>
      </c>
      <c r="Y87" t="str">
        <f t="shared" si="28"/>
        <v/>
      </c>
      <c r="AC87" s="602">
        <v>19</v>
      </c>
      <c r="AD87">
        <f t="shared" si="18"/>
        <v>0</v>
      </c>
      <c r="AE87">
        <f>IF(AD87=0,0,1+MAX(AE$69:AE86))</f>
        <v>0</v>
      </c>
      <c r="AF87">
        <f t="shared" si="29"/>
        <v>0</v>
      </c>
      <c r="AG87" t="str">
        <f t="shared" si="30"/>
        <v/>
      </c>
      <c r="AH87" t="str">
        <f t="shared" si="31"/>
        <v/>
      </c>
      <c r="AL87" s="602">
        <v>19</v>
      </c>
      <c r="AM87">
        <f t="shared" si="19"/>
        <v>0</v>
      </c>
      <c r="AN87">
        <f>IF(AM87=0,0,1+MAX(AN$69:AN86))</f>
        <v>0</v>
      </c>
      <c r="AO87">
        <f t="shared" si="32"/>
        <v>0</v>
      </c>
      <c r="AP87" t="str">
        <f t="shared" si="33"/>
        <v/>
      </c>
      <c r="AQ87" t="str">
        <f t="shared" si="34"/>
        <v/>
      </c>
    </row>
    <row r="88" spans="2:43" x14ac:dyDescent="0.25">
      <c r="B88" s="574">
        <v>20</v>
      </c>
      <c r="C88">
        <f t="shared" si="15"/>
        <v>0</v>
      </c>
      <c r="D88">
        <f>IF(C88=0,0,1+MAX(D$69:D87))</f>
        <v>0</v>
      </c>
      <c r="E88">
        <f t="shared" si="20"/>
        <v>0</v>
      </c>
      <c r="F88" t="str">
        <f t="shared" si="21"/>
        <v/>
      </c>
      <c r="G88" t="str">
        <f t="shared" si="22"/>
        <v/>
      </c>
      <c r="K88" s="602">
        <v>20</v>
      </c>
      <c r="L88">
        <f t="shared" si="16"/>
        <v>0</v>
      </c>
      <c r="M88">
        <f>IF(L88=0,0,1+MAX(M$69:M87))</f>
        <v>0</v>
      </c>
      <c r="N88">
        <f t="shared" si="23"/>
        <v>0</v>
      </c>
      <c r="O88" t="str">
        <f t="shared" si="24"/>
        <v/>
      </c>
      <c r="P88" t="str">
        <f t="shared" si="25"/>
        <v/>
      </c>
      <c r="T88" s="602">
        <v>20</v>
      </c>
      <c r="U88">
        <f t="shared" si="17"/>
        <v>0</v>
      </c>
      <c r="V88">
        <f>IF(U88=0,0,1+MAX(V$69:V87))</f>
        <v>0</v>
      </c>
      <c r="W88">
        <f t="shared" si="26"/>
        <v>0</v>
      </c>
      <c r="X88" t="str">
        <f t="shared" si="27"/>
        <v/>
      </c>
      <c r="Y88" t="str">
        <f t="shared" si="28"/>
        <v/>
      </c>
      <c r="AC88" s="602">
        <v>20</v>
      </c>
      <c r="AD88">
        <f t="shared" si="18"/>
        <v>0</v>
      </c>
      <c r="AE88">
        <f>IF(AD88=0,0,1+MAX(AE$69:AE87))</f>
        <v>0</v>
      </c>
      <c r="AF88">
        <f t="shared" si="29"/>
        <v>0</v>
      </c>
      <c r="AG88" t="str">
        <f t="shared" si="30"/>
        <v/>
      </c>
      <c r="AH88" t="str">
        <f t="shared" si="31"/>
        <v/>
      </c>
      <c r="AL88" s="602">
        <v>20</v>
      </c>
      <c r="AM88">
        <f t="shared" si="19"/>
        <v>0</v>
      </c>
      <c r="AN88">
        <f>IF(AM88=0,0,1+MAX(AN$69:AN87))</f>
        <v>0</v>
      </c>
      <c r="AO88">
        <f t="shared" si="32"/>
        <v>0</v>
      </c>
      <c r="AP88" t="str">
        <f t="shared" si="33"/>
        <v/>
      </c>
      <c r="AQ88" t="str">
        <f t="shared" si="34"/>
        <v/>
      </c>
    </row>
    <row r="89" spans="2:43" x14ac:dyDescent="0.25">
      <c r="B89" s="574">
        <v>21</v>
      </c>
      <c r="C89">
        <f t="shared" si="15"/>
        <v>0</v>
      </c>
      <c r="D89">
        <f>IF(C89=0,0,1+MAX(D$69:D88))</f>
        <v>0</v>
      </c>
      <c r="E89">
        <f t="shared" si="20"/>
        <v>0</v>
      </c>
      <c r="F89" t="str">
        <f t="shared" si="21"/>
        <v/>
      </c>
      <c r="G89" t="str">
        <f t="shared" si="22"/>
        <v/>
      </c>
      <c r="K89" s="602">
        <v>21</v>
      </c>
      <c r="L89">
        <f t="shared" si="16"/>
        <v>0</v>
      </c>
      <c r="M89">
        <f>IF(L89=0,0,1+MAX(M$69:M88))</f>
        <v>0</v>
      </c>
      <c r="N89">
        <f t="shared" si="23"/>
        <v>0</v>
      </c>
      <c r="O89" t="str">
        <f t="shared" si="24"/>
        <v/>
      </c>
      <c r="P89" t="str">
        <f t="shared" si="25"/>
        <v/>
      </c>
      <c r="T89" s="602">
        <v>21</v>
      </c>
      <c r="U89">
        <f t="shared" si="17"/>
        <v>0</v>
      </c>
      <c r="V89">
        <f>IF(U89=0,0,1+MAX(V$69:V88))</f>
        <v>0</v>
      </c>
      <c r="W89">
        <f t="shared" si="26"/>
        <v>0</v>
      </c>
      <c r="X89" t="str">
        <f t="shared" si="27"/>
        <v/>
      </c>
      <c r="Y89" t="str">
        <f t="shared" si="28"/>
        <v/>
      </c>
      <c r="AC89" s="602">
        <v>21</v>
      </c>
      <c r="AD89">
        <f t="shared" si="18"/>
        <v>0</v>
      </c>
      <c r="AE89">
        <f>IF(AD89=0,0,1+MAX(AE$69:AE88))</f>
        <v>0</v>
      </c>
      <c r="AF89">
        <f t="shared" si="29"/>
        <v>0</v>
      </c>
      <c r="AG89" t="str">
        <f t="shared" si="30"/>
        <v/>
      </c>
      <c r="AH89" t="str">
        <f t="shared" si="31"/>
        <v/>
      </c>
      <c r="AL89" s="602">
        <v>21</v>
      </c>
      <c r="AM89">
        <f t="shared" si="19"/>
        <v>0</v>
      </c>
      <c r="AN89">
        <f>IF(AM89=0,0,1+MAX(AN$69:AN88))</f>
        <v>0</v>
      </c>
      <c r="AO89">
        <f t="shared" si="32"/>
        <v>0</v>
      </c>
      <c r="AP89" t="str">
        <f t="shared" si="33"/>
        <v/>
      </c>
      <c r="AQ89" t="str">
        <f t="shared" si="34"/>
        <v/>
      </c>
    </row>
    <row r="90" spans="2:43" x14ac:dyDescent="0.25">
      <c r="B90" s="574">
        <v>22</v>
      </c>
      <c r="C90">
        <f t="shared" si="15"/>
        <v>0</v>
      </c>
      <c r="D90">
        <f>IF(C90=0,0,1+MAX(D$69:D89))</f>
        <v>0</v>
      </c>
      <c r="E90">
        <f t="shared" si="20"/>
        <v>0</v>
      </c>
      <c r="F90" t="str">
        <f t="shared" si="21"/>
        <v/>
      </c>
      <c r="G90" t="str">
        <f t="shared" si="22"/>
        <v/>
      </c>
      <c r="K90" s="602">
        <v>22</v>
      </c>
      <c r="L90">
        <f t="shared" si="16"/>
        <v>0</v>
      </c>
      <c r="M90">
        <f>IF(L90=0,0,1+MAX(M$69:M89))</f>
        <v>0</v>
      </c>
      <c r="N90">
        <f t="shared" si="23"/>
        <v>0</v>
      </c>
      <c r="O90" t="str">
        <f t="shared" si="24"/>
        <v/>
      </c>
      <c r="P90" t="str">
        <f t="shared" si="25"/>
        <v/>
      </c>
      <c r="T90" s="602">
        <v>22</v>
      </c>
      <c r="U90">
        <f t="shared" si="17"/>
        <v>0</v>
      </c>
      <c r="V90">
        <f>IF(U90=0,0,1+MAX(V$69:V89))</f>
        <v>0</v>
      </c>
      <c r="W90">
        <f t="shared" si="26"/>
        <v>0</v>
      </c>
      <c r="X90" t="str">
        <f t="shared" si="27"/>
        <v/>
      </c>
      <c r="Y90" t="str">
        <f t="shared" si="28"/>
        <v/>
      </c>
      <c r="AC90" s="602">
        <v>22</v>
      </c>
      <c r="AD90">
        <f t="shared" si="18"/>
        <v>0</v>
      </c>
      <c r="AE90">
        <f>IF(AD90=0,0,1+MAX(AE$69:AE89))</f>
        <v>0</v>
      </c>
      <c r="AF90">
        <f t="shared" si="29"/>
        <v>0</v>
      </c>
      <c r="AG90" t="str">
        <f t="shared" si="30"/>
        <v/>
      </c>
      <c r="AH90" t="str">
        <f t="shared" si="31"/>
        <v/>
      </c>
      <c r="AL90" s="602">
        <v>22</v>
      </c>
      <c r="AM90">
        <f t="shared" si="19"/>
        <v>0</v>
      </c>
      <c r="AN90">
        <f>IF(AM90=0,0,1+MAX(AN$69:AN89))</f>
        <v>0</v>
      </c>
      <c r="AO90">
        <f t="shared" si="32"/>
        <v>0</v>
      </c>
      <c r="AP90" t="str">
        <f t="shared" si="33"/>
        <v/>
      </c>
      <c r="AQ90" t="str">
        <f t="shared" si="34"/>
        <v/>
      </c>
    </row>
    <row r="91" spans="2:43" x14ac:dyDescent="0.25">
      <c r="B91" s="574">
        <v>23</v>
      </c>
      <c r="C91">
        <f t="shared" si="15"/>
        <v>0</v>
      </c>
      <c r="D91">
        <f>IF(C91=0,0,1+MAX(D$69:D90))</f>
        <v>0</v>
      </c>
      <c r="E91">
        <f t="shared" si="20"/>
        <v>0</v>
      </c>
      <c r="F91" t="str">
        <f t="shared" si="21"/>
        <v/>
      </c>
      <c r="G91" t="str">
        <f t="shared" si="22"/>
        <v/>
      </c>
      <c r="K91" s="602">
        <v>23</v>
      </c>
      <c r="L91">
        <f t="shared" si="16"/>
        <v>0</v>
      </c>
      <c r="M91">
        <f>IF(L91=0,0,1+MAX(M$69:M90))</f>
        <v>0</v>
      </c>
      <c r="N91">
        <f t="shared" si="23"/>
        <v>0</v>
      </c>
      <c r="O91" t="str">
        <f t="shared" si="24"/>
        <v/>
      </c>
      <c r="P91" t="str">
        <f t="shared" si="25"/>
        <v/>
      </c>
      <c r="T91" s="602">
        <v>23</v>
      </c>
      <c r="U91">
        <f t="shared" si="17"/>
        <v>0</v>
      </c>
      <c r="V91">
        <f>IF(U91=0,0,1+MAX(V$69:V90))</f>
        <v>0</v>
      </c>
      <c r="W91">
        <f t="shared" si="26"/>
        <v>0</v>
      </c>
      <c r="X91" t="str">
        <f t="shared" si="27"/>
        <v/>
      </c>
      <c r="Y91" t="str">
        <f t="shared" si="28"/>
        <v/>
      </c>
      <c r="AC91" s="602">
        <v>23</v>
      </c>
      <c r="AD91">
        <f t="shared" si="18"/>
        <v>0</v>
      </c>
      <c r="AE91">
        <f>IF(AD91=0,0,1+MAX(AE$69:AE90))</f>
        <v>0</v>
      </c>
      <c r="AF91">
        <f t="shared" si="29"/>
        <v>0</v>
      </c>
      <c r="AG91" t="str">
        <f t="shared" si="30"/>
        <v/>
      </c>
      <c r="AH91" t="str">
        <f t="shared" si="31"/>
        <v/>
      </c>
      <c r="AL91" s="602">
        <v>23</v>
      </c>
      <c r="AM91">
        <f t="shared" si="19"/>
        <v>0</v>
      </c>
      <c r="AN91">
        <f>IF(AM91=0,0,1+MAX(AN$69:AN90))</f>
        <v>0</v>
      </c>
      <c r="AO91">
        <f t="shared" si="32"/>
        <v>0</v>
      </c>
      <c r="AP91" t="str">
        <f t="shared" si="33"/>
        <v/>
      </c>
      <c r="AQ91" t="str">
        <f t="shared" si="34"/>
        <v/>
      </c>
    </row>
    <row r="92" spans="2:43" x14ac:dyDescent="0.25">
      <c r="B92" s="574">
        <v>24</v>
      </c>
      <c r="C92">
        <f t="shared" si="15"/>
        <v>0</v>
      </c>
      <c r="D92">
        <f>IF(C92=0,0,1+MAX(D$69:D91))</f>
        <v>0</v>
      </c>
      <c r="E92">
        <f t="shared" si="20"/>
        <v>0</v>
      </c>
      <c r="F92" t="str">
        <f t="shared" si="21"/>
        <v/>
      </c>
      <c r="G92" t="str">
        <f t="shared" si="22"/>
        <v/>
      </c>
      <c r="K92" s="602">
        <v>24</v>
      </c>
      <c r="L92">
        <f t="shared" si="16"/>
        <v>0</v>
      </c>
      <c r="M92">
        <f>IF(L92=0,0,1+MAX(M$69:M91))</f>
        <v>0</v>
      </c>
      <c r="N92">
        <f t="shared" si="23"/>
        <v>0</v>
      </c>
      <c r="O92" t="str">
        <f t="shared" si="24"/>
        <v/>
      </c>
      <c r="P92" t="str">
        <f t="shared" si="25"/>
        <v/>
      </c>
      <c r="T92" s="602">
        <v>24</v>
      </c>
      <c r="U92">
        <f t="shared" si="17"/>
        <v>0</v>
      </c>
      <c r="V92">
        <f>IF(U92=0,0,1+MAX(V$69:V91))</f>
        <v>0</v>
      </c>
      <c r="W92">
        <f t="shared" si="26"/>
        <v>0</v>
      </c>
      <c r="X92" t="str">
        <f t="shared" si="27"/>
        <v/>
      </c>
      <c r="Y92" t="str">
        <f t="shared" si="28"/>
        <v/>
      </c>
      <c r="AC92" s="602">
        <v>24</v>
      </c>
      <c r="AD92">
        <f t="shared" si="18"/>
        <v>0</v>
      </c>
      <c r="AE92">
        <f>IF(AD92=0,0,1+MAX(AE$69:AE91))</f>
        <v>0</v>
      </c>
      <c r="AF92">
        <f t="shared" si="29"/>
        <v>0</v>
      </c>
      <c r="AG92" t="str">
        <f t="shared" si="30"/>
        <v/>
      </c>
      <c r="AH92" t="str">
        <f t="shared" si="31"/>
        <v/>
      </c>
      <c r="AL92" s="602">
        <v>24</v>
      </c>
      <c r="AM92">
        <f t="shared" si="19"/>
        <v>0</v>
      </c>
      <c r="AN92">
        <f>IF(AM92=0,0,1+MAX(AN$69:AN91))</f>
        <v>0</v>
      </c>
      <c r="AO92">
        <f t="shared" si="32"/>
        <v>0</v>
      </c>
      <c r="AP92" t="str">
        <f t="shared" si="33"/>
        <v/>
      </c>
      <c r="AQ92" t="str">
        <f t="shared" si="34"/>
        <v/>
      </c>
    </row>
    <row r="93" spans="2:43" x14ac:dyDescent="0.25">
      <c r="B93" s="574">
        <v>25</v>
      </c>
      <c r="C93">
        <f t="shared" si="15"/>
        <v>0</v>
      </c>
      <c r="D93">
        <f>IF(C93=0,0,1+MAX(D$69:D92))</f>
        <v>0</v>
      </c>
      <c r="E93">
        <f t="shared" si="20"/>
        <v>0</v>
      </c>
      <c r="F93" t="str">
        <f t="shared" si="21"/>
        <v/>
      </c>
      <c r="G93" t="str">
        <f t="shared" si="22"/>
        <v/>
      </c>
      <c r="K93" s="602">
        <v>25</v>
      </c>
      <c r="L93">
        <f t="shared" si="16"/>
        <v>0</v>
      </c>
      <c r="M93">
        <f>IF(L93=0,0,1+MAX(M$69:M92))</f>
        <v>0</v>
      </c>
      <c r="N93">
        <f t="shared" si="23"/>
        <v>0</v>
      </c>
      <c r="O93" t="str">
        <f t="shared" si="24"/>
        <v/>
      </c>
      <c r="P93" t="str">
        <f t="shared" si="25"/>
        <v/>
      </c>
      <c r="T93" s="602">
        <v>25</v>
      </c>
      <c r="U93">
        <f t="shared" si="17"/>
        <v>0</v>
      </c>
      <c r="V93">
        <f>IF(U93=0,0,1+MAX(V$69:V92))</f>
        <v>0</v>
      </c>
      <c r="W93">
        <f t="shared" si="26"/>
        <v>0</v>
      </c>
      <c r="X93" t="str">
        <f t="shared" si="27"/>
        <v/>
      </c>
      <c r="Y93" t="str">
        <f t="shared" si="28"/>
        <v/>
      </c>
      <c r="AC93" s="602">
        <v>25</v>
      </c>
      <c r="AD93">
        <f t="shared" si="18"/>
        <v>0</v>
      </c>
      <c r="AE93">
        <f>IF(AD93=0,0,1+MAX(AE$69:AE92))</f>
        <v>0</v>
      </c>
      <c r="AF93">
        <f t="shared" si="29"/>
        <v>0</v>
      </c>
      <c r="AG93" t="str">
        <f t="shared" si="30"/>
        <v/>
      </c>
      <c r="AH93" t="str">
        <f t="shared" si="31"/>
        <v/>
      </c>
      <c r="AL93" s="602">
        <v>25</v>
      </c>
      <c r="AM93">
        <f t="shared" si="19"/>
        <v>0</v>
      </c>
      <c r="AN93">
        <f>IF(AM93=0,0,1+MAX(AN$69:AN92))</f>
        <v>0</v>
      </c>
      <c r="AO93">
        <f t="shared" si="32"/>
        <v>0</v>
      </c>
      <c r="AP93" t="str">
        <f t="shared" si="33"/>
        <v/>
      </c>
      <c r="AQ93" t="str">
        <f t="shared" si="34"/>
        <v/>
      </c>
    </row>
    <row r="94" spans="2:43" x14ac:dyDescent="0.25">
      <c r="B94" s="574">
        <v>26</v>
      </c>
      <c r="C94">
        <f t="shared" si="15"/>
        <v>0</v>
      </c>
      <c r="D94">
        <f>IF(C94=0,0,1+MAX(D$69:D93))</f>
        <v>0</v>
      </c>
      <c r="E94">
        <f t="shared" si="20"/>
        <v>0</v>
      </c>
      <c r="F94" t="str">
        <f t="shared" si="21"/>
        <v/>
      </c>
      <c r="G94" t="str">
        <f t="shared" si="22"/>
        <v/>
      </c>
      <c r="K94" s="602">
        <v>26</v>
      </c>
      <c r="L94">
        <f t="shared" si="16"/>
        <v>0</v>
      </c>
      <c r="M94">
        <f>IF(L94=0,0,1+MAX(M$69:M93))</f>
        <v>0</v>
      </c>
      <c r="N94">
        <f t="shared" si="23"/>
        <v>0</v>
      </c>
      <c r="O94" t="str">
        <f t="shared" si="24"/>
        <v/>
      </c>
      <c r="P94" t="str">
        <f t="shared" si="25"/>
        <v/>
      </c>
      <c r="T94" s="602">
        <v>26</v>
      </c>
      <c r="U94">
        <f t="shared" si="17"/>
        <v>0</v>
      </c>
      <c r="V94">
        <f>IF(U94=0,0,1+MAX(V$69:V93))</f>
        <v>0</v>
      </c>
      <c r="W94">
        <f t="shared" si="26"/>
        <v>0</v>
      </c>
      <c r="X94" t="str">
        <f t="shared" si="27"/>
        <v/>
      </c>
      <c r="Y94" t="str">
        <f t="shared" si="28"/>
        <v/>
      </c>
      <c r="AC94" s="602">
        <v>26</v>
      </c>
      <c r="AD94">
        <f t="shared" si="18"/>
        <v>0</v>
      </c>
      <c r="AE94">
        <f>IF(AD94=0,0,1+MAX(AE$69:AE93))</f>
        <v>0</v>
      </c>
      <c r="AF94">
        <f t="shared" si="29"/>
        <v>0</v>
      </c>
      <c r="AG94" t="str">
        <f t="shared" si="30"/>
        <v/>
      </c>
      <c r="AH94" t="str">
        <f t="shared" si="31"/>
        <v/>
      </c>
      <c r="AL94" s="602">
        <v>26</v>
      </c>
      <c r="AM94">
        <f t="shared" si="19"/>
        <v>0</v>
      </c>
      <c r="AN94">
        <f>IF(AM94=0,0,1+MAX(AN$69:AN93))</f>
        <v>0</v>
      </c>
      <c r="AO94">
        <f t="shared" si="32"/>
        <v>0</v>
      </c>
      <c r="AP94" t="str">
        <f t="shared" si="33"/>
        <v/>
      </c>
      <c r="AQ94" t="str">
        <f t="shared" si="34"/>
        <v/>
      </c>
    </row>
    <row r="95" spans="2:43" x14ac:dyDescent="0.25">
      <c r="B95" s="574">
        <v>27</v>
      </c>
      <c r="C95">
        <f t="shared" si="15"/>
        <v>0</v>
      </c>
      <c r="D95">
        <f>IF(C95=0,0,1+MAX(D$69:D94))</f>
        <v>0</v>
      </c>
      <c r="E95">
        <f t="shared" si="20"/>
        <v>0</v>
      </c>
      <c r="F95" t="str">
        <f t="shared" si="21"/>
        <v/>
      </c>
      <c r="G95" t="str">
        <f t="shared" si="22"/>
        <v/>
      </c>
      <c r="K95" s="602">
        <v>27</v>
      </c>
      <c r="L95">
        <f t="shared" si="16"/>
        <v>0</v>
      </c>
      <c r="M95">
        <f>IF(L95=0,0,1+MAX(M$69:M94))</f>
        <v>0</v>
      </c>
      <c r="N95">
        <f t="shared" si="23"/>
        <v>0</v>
      </c>
      <c r="O95" t="str">
        <f t="shared" si="24"/>
        <v/>
      </c>
      <c r="P95" t="str">
        <f t="shared" si="25"/>
        <v/>
      </c>
      <c r="T95" s="602">
        <v>27</v>
      </c>
      <c r="U95">
        <f t="shared" si="17"/>
        <v>0</v>
      </c>
      <c r="V95">
        <f>IF(U95=0,0,1+MAX(V$69:V94))</f>
        <v>0</v>
      </c>
      <c r="W95">
        <f t="shared" si="26"/>
        <v>0</v>
      </c>
      <c r="X95" t="str">
        <f t="shared" si="27"/>
        <v/>
      </c>
      <c r="Y95" t="str">
        <f t="shared" si="28"/>
        <v/>
      </c>
      <c r="AC95" s="602">
        <v>27</v>
      </c>
      <c r="AD95">
        <f t="shared" si="18"/>
        <v>0</v>
      </c>
      <c r="AE95">
        <f>IF(AD95=0,0,1+MAX(AE$69:AE94))</f>
        <v>0</v>
      </c>
      <c r="AF95">
        <f t="shared" si="29"/>
        <v>0</v>
      </c>
      <c r="AG95" t="str">
        <f t="shared" si="30"/>
        <v/>
      </c>
      <c r="AH95" t="str">
        <f t="shared" si="31"/>
        <v/>
      </c>
      <c r="AL95" s="602">
        <v>27</v>
      </c>
      <c r="AM95">
        <f t="shared" si="19"/>
        <v>0</v>
      </c>
      <c r="AN95">
        <f>IF(AM95=0,0,1+MAX(AN$69:AN94))</f>
        <v>0</v>
      </c>
      <c r="AO95">
        <f t="shared" si="32"/>
        <v>0</v>
      </c>
      <c r="AP95" t="str">
        <f t="shared" si="33"/>
        <v/>
      </c>
      <c r="AQ95" t="str">
        <f t="shared" si="34"/>
        <v/>
      </c>
    </row>
    <row r="96" spans="2:43" x14ac:dyDescent="0.25">
      <c r="B96" s="574">
        <v>28</v>
      </c>
      <c r="C96">
        <f t="shared" si="15"/>
        <v>0</v>
      </c>
      <c r="D96">
        <f>IF(C96=0,0,1+MAX(D$69:D95))</f>
        <v>0</v>
      </c>
      <c r="E96">
        <f t="shared" si="20"/>
        <v>0</v>
      </c>
      <c r="F96" t="str">
        <f t="shared" si="21"/>
        <v/>
      </c>
      <c r="G96" t="str">
        <f t="shared" si="22"/>
        <v/>
      </c>
      <c r="K96" s="602">
        <v>28</v>
      </c>
      <c r="L96">
        <f t="shared" si="16"/>
        <v>0</v>
      </c>
      <c r="M96">
        <f>IF(L96=0,0,1+MAX(M$69:M95))</f>
        <v>0</v>
      </c>
      <c r="N96">
        <f t="shared" si="23"/>
        <v>0</v>
      </c>
      <c r="O96" t="str">
        <f t="shared" si="24"/>
        <v/>
      </c>
      <c r="P96" t="str">
        <f t="shared" si="25"/>
        <v/>
      </c>
      <c r="T96" s="602">
        <v>28</v>
      </c>
      <c r="U96">
        <f t="shared" si="17"/>
        <v>0</v>
      </c>
      <c r="V96">
        <f>IF(U96=0,0,1+MAX(V$69:V95))</f>
        <v>0</v>
      </c>
      <c r="W96">
        <f t="shared" si="26"/>
        <v>0</v>
      </c>
      <c r="X96" t="str">
        <f t="shared" si="27"/>
        <v/>
      </c>
      <c r="Y96" t="str">
        <f t="shared" si="28"/>
        <v/>
      </c>
      <c r="AC96" s="602">
        <v>28</v>
      </c>
      <c r="AD96">
        <f t="shared" si="18"/>
        <v>0</v>
      </c>
      <c r="AE96">
        <f>IF(AD96=0,0,1+MAX(AE$69:AE95))</f>
        <v>0</v>
      </c>
      <c r="AF96">
        <f t="shared" si="29"/>
        <v>0</v>
      </c>
      <c r="AG96" t="str">
        <f t="shared" si="30"/>
        <v/>
      </c>
      <c r="AH96" t="str">
        <f t="shared" si="31"/>
        <v/>
      </c>
      <c r="AL96" s="602">
        <v>28</v>
      </c>
      <c r="AM96">
        <f t="shared" si="19"/>
        <v>0</v>
      </c>
      <c r="AN96">
        <f>IF(AM96=0,0,1+MAX(AN$69:AN95))</f>
        <v>0</v>
      </c>
      <c r="AO96">
        <f t="shared" si="32"/>
        <v>0</v>
      </c>
      <c r="AP96" t="str">
        <f t="shared" si="33"/>
        <v/>
      </c>
      <c r="AQ96" t="str">
        <f t="shared" si="34"/>
        <v/>
      </c>
    </row>
    <row r="97" spans="2:43" x14ac:dyDescent="0.25">
      <c r="B97" s="574">
        <v>29</v>
      </c>
      <c r="C97">
        <f t="shared" si="15"/>
        <v>0</v>
      </c>
      <c r="D97">
        <f>IF(C97=0,0,1+MAX(D$69:D96))</f>
        <v>0</v>
      </c>
      <c r="E97">
        <f t="shared" si="20"/>
        <v>0</v>
      </c>
      <c r="F97" t="str">
        <f t="shared" si="21"/>
        <v/>
      </c>
      <c r="G97" t="str">
        <f t="shared" si="22"/>
        <v/>
      </c>
      <c r="K97" s="602">
        <v>29</v>
      </c>
      <c r="L97">
        <f t="shared" si="16"/>
        <v>0</v>
      </c>
      <c r="M97">
        <f>IF(L97=0,0,1+MAX(M$69:M96))</f>
        <v>0</v>
      </c>
      <c r="N97">
        <f t="shared" si="23"/>
        <v>0</v>
      </c>
      <c r="O97" t="str">
        <f t="shared" si="24"/>
        <v/>
      </c>
      <c r="P97" t="str">
        <f t="shared" si="25"/>
        <v/>
      </c>
      <c r="T97" s="602">
        <v>29</v>
      </c>
      <c r="U97">
        <f t="shared" si="17"/>
        <v>0</v>
      </c>
      <c r="V97">
        <f>IF(U97=0,0,1+MAX(V$69:V96))</f>
        <v>0</v>
      </c>
      <c r="W97">
        <f t="shared" si="26"/>
        <v>0</v>
      </c>
      <c r="X97" t="str">
        <f t="shared" si="27"/>
        <v/>
      </c>
      <c r="Y97" t="str">
        <f t="shared" si="28"/>
        <v/>
      </c>
      <c r="AC97" s="602">
        <v>29</v>
      </c>
      <c r="AD97">
        <f t="shared" si="18"/>
        <v>0</v>
      </c>
      <c r="AE97">
        <f>IF(AD97=0,0,1+MAX(AE$69:AE96))</f>
        <v>0</v>
      </c>
      <c r="AF97">
        <f t="shared" si="29"/>
        <v>0</v>
      </c>
      <c r="AG97" t="str">
        <f t="shared" si="30"/>
        <v/>
      </c>
      <c r="AH97" t="str">
        <f t="shared" si="31"/>
        <v/>
      </c>
      <c r="AL97" s="602">
        <v>29</v>
      </c>
      <c r="AM97">
        <f t="shared" si="19"/>
        <v>0</v>
      </c>
      <c r="AN97">
        <f>IF(AM97=0,0,1+MAX(AN$69:AN96))</f>
        <v>0</v>
      </c>
      <c r="AO97">
        <f t="shared" si="32"/>
        <v>0</v>
      </c>
      <c r="AP97" t="str">
        <f t="shared" si="33"/>
        <v/>
      </c>
      <c r="AQ97" t="str">
        <f t="shared" si="34"/>
        <v/>
      </c>
    </row>
    <row r="98" spans="2:43" x14ac:dyDescent="0.25">
      <c r="B98" s="574">
        <v>30</v>
      </c>
      <c r="C98">
        <f t="shared" si="15"/>
        <v>0</v>
      </c>
      <c r="D98">
        <f>IF(C98=0,0,1+MAX(D$69:D97))</f>
        <v>0</v>
      </c>
      <c r="E98">
        <f t="shared" si="20"/>
        <v>0</v>
      </c>
      <c r="F98" t="str">
        <f t="shared" si="21"/>
        <v/>
      </c>
      <c r="G98" t="str">
        <f t="shared" si="22"/>
        <v/>
      </c>
      <c r="K98" s="602">
        <v>30</v>
      </c>
      <c r="L98">
        <f t="shared" si="16"/>
        <v>0</v>
      </c>
      <c r="M98">
        <f>IF(L98=0,0,1+MAX(M$69:M97))</f>
        <v>0</v>
      </c>
      <c r="N98">
        <f t="shared" si="23"/>
        <v>0</v>
      </c>
      <c r="O98" t="str">
        <f t="shared" si="24"/>
        <v/>
      </c>
      <c r="P98" t="str">
        <f t="shared" si="25"/>
        <v/>
      </c>
      <c r="T98" s="602">
        <v>30</v>
      </c>
      <c r="U98">
        <f t="shared" si="17"/>
        <v>0</v>
      </c>
      <c r="V98">
        <f>IF(U98=0,0,1+MAX(V$69:V97))</f>
        <v>0</v>
      </c>
      <c r="W98">
        <f t="shared" si="26"/>
        <v>0</v>
      </c>
      <c r="X98" t="str">
        <f t="shared" si="27"/>
        <v/>
      </c>
      <c r="Y98" t="str">
        <f t="shared" si="28"/>
        <v/>
      </c>
      <c r="AC98" s="602">
        <v>30</v>
      </c>
      <c r="AD98">
        <f t="shared" si="18"/>
        <v>0</v>
      </c>
      <c r="AE98">
        <f>IF(AD98=0,0,1+MAX(AE$69:AE97))</f>
        <v>0</v>
      </c>
      <c r="AF98">
        <f t="shared" si="29"/>
        <v>0</v>
      </c>
      <c r="AG98" t="str">
        <f t="shared" si="30"/>
        <v/>
      </c>
      <c r="AH98" t="str">
        <f t="shared" si="31"/>
        <v/>
      </c>
      <c r="AL98" s="602">
        <v>30</v>
      </c>
      <c r="AM98">
        <f t="shared" si="19"/>
        <v>0</v>
      </c>
      <c r="AN98">
        <f>IF(AM98=0,0,1+MAX(AN$69:AN97))</f>
        <v>0</v>
      </c>
      <c r="AO98">
        <f t="shared" si="32"/>
        <v>0</v>
      </c>
      <c r="AP98" t="str">
        <f t="shared" si="33"/>
        <v/>
      </c>
      <c r="AQ98" t="str">
        <f t="shared" si="34"/>
        <v/>
      </c>
    </row>
  </sheetData>
  <mergeCells count="171">
    <mergeCell ref="B37:H66"/>
    <mergeCell ref="AC5:AI5"/>
    <mergeCell ref="AL5:AR5"/>
    <mergeCell ref="M3:O3"/>
    <mergeCell ref="P3:R3"/>
    <mergeCell ref="S3:U3"/>
    <mergeCell ref="V3:X3"/>
    <mergeCell ref="Y3:AA3"/>
    <mergeCell ref="B5:H5"/>
    <mergeCell ref="K5:Q5"/>
    <mergeCell ref="T5:Z5"/>
    <mergeCell ref="B2:D3"/>
    <mergeCell ref="E2:F2"/>
    <mergeCell ref="G2:I2"/>
    <mergeCell ref="J2:L2"/>
    <mergeCell ref="E3:F3"/>
    <mergeCell ref="G3:I3"/>
    <mergeCell ref="J3:L3"/>
    <mergeCell ref="C7:G7"/>
    <mergeCell ref="L7:P7"/>
    <mergeCell ref="U7:Y7"/>
    <mergeCell ref="AD7:AH7"/>
    <mergeCell ref="AM7:AQ7"/>
    <mergeCell ref="C6:G6"/>
    <mergeCell ref="L6:P6"/>
    <mergeCell ref="U6:Y6"/>
    <mergeCell ref="AD6:AH6"/>
    <mergeCell ref="AM6:AQ6"/>
    <mergeCell ref="C9:G9"/>
    <mergeCell ref="L9:P9"/>
    <mergeCell ref="U9:Y9"/>
    <mergeCell ref="AD9:AH9"/>
    <mergeCell ref="AM9:AQ9"/>
    <mergeCell ref="C8:G8"/>
    <mergeCell ref="L8:P8"/>
    <mergeCell ref="U8:Y8"/>
    <mergeCell ref="AD8:AH8"/>
    <mergeCell ref="AM8:AQ8"/>
    <mergeCell ref="C11:G11"/>
    <mergeCell ref="L11:P11"/>
    <mergeCell ref="U11:Y11"/>
    <mergeCell ref="AD11:AH11"/>
    <mergeCell ref="AM11:AQ11"/>
    <mergeCell ref="C10:G10"/>
    <mergeCell ref="L10:P10"/>
    <mergeCell ref="U10:Y10"/>
    <mergeCell ref="AD10:AH10"/>
    <mergeCell ref="AM10:AQ10"/>
    <mergeCell ref="C13:G13"/>
    <mergeCell ref="L13:P13"/>
    <mergeCell ref="U13:Y13"/>
    <mergeCell ref="AD13:AH13"/>
    <mergeCell ref="AM13:AQ13"/>
    <mergeCell ref="C12:G12"/>
    <mergeCell ref="L12:P12"/>
    <mergeCell ref="U12:Y12"/>
    <mergeCell ref="AD12:AH12"/>
    <mergeCell ref="AM12:AQ12"/>
    <mergeCell ref="C15:G15"/>
    <mergeCell ref="L15:P15"/>
    <mergeCell ref="U15:Y15"/>
    <mergeCell ref="AD15:AH15"/>
    <mergeCell ref="AM15:AQ15"/>
    <mergeCell ref="C14:G14"/>
    <mergeCell ref="L14:P14"/>
    <mergeCell ref="U14:Y14"/>
    <mergeCell ref="AD14:AH14"/>
    <mergeCell ref="AM14:AQ14"/>
    <mergeCell ref="C17:G17"/>
    <mergeCell ref="L17:P17"/>
    <mergeCell ref="U17:Y17"/>
    <mergeCell ref="AD17:AH17"/>
    <mergeCell ref="AM17:AQ17"/>
    <mergeCell ref="C16:G16"/>
    <mergeCell ref="L16:P16"/>
    <mergeCell ref="U16:Y16"/>
    <mergeCell ref="AD16:AH16"/>
    <mergeCell ref="AM16:AQ16"/>
    <mergeCell ref="C19:G19"/>
    <mergeCell ref="L19:P19"/>
    <mergeCell ref="U19:Y19"/>
    <mergeCell ref="AD19:AH19"/>
    <mergeCell ref="AM19:AQ19"/>
    <mergeCell ref="C18:G18"/>
    <mergeCell ref="L18:P18"/>
    <mergeCell ref="U18:Y18"/>
    <mergeCell ref="AD18:AH18"/>
    <mergeCell ref="AM18:AQ18"/>
    <mergeCell ref="C21:G21"/>
    <mergeCell ref="L21:P21"/>
    <mergeCell ref="U21:Y21"/>
    <mergeCell ref="AD21:AH21"/>
    <mergeCell ref="AM21:AQ21"/>
    <mergeCell ref="C20:G20"/>
    <mergeCell ref="L20:P20"/>
    <mergeCell ref="U20:Y20"/>
    <mergeCell ref="AD20:AH20"/>
    <mergeCell ref="AM20:AQ20"/>
    <mergeCell ref="C23:G23"/>
    <mergeCell ref="L23:P23"/>
    <mergeCell ref="U23:Y23"/>
    <mergeCell ref="AD23:AH23"/>
    <mergeCell ref="AM23:AQ23"/>
    <mergeCell ref="C22:G22"/>
    <mergeCell ref="L22:P22"/>
    <mergeCell ref="U22:Y22"/>
    <mergeCell ref="AD22:AH22"/>
    <mergeCell ref="AM22:AQ22"/>
    <mergeCell ref="C25:G25"/>
    <mergeCell ref="L25:P25"/>
    <mergeCell ref="U25:Y25"/>
    <mergeCell ref="AD25:AH25"/>
    <mergeCell ref="AM25:AQ25"/>
    <mergeCell ref="C24:G24"/>
    <mergeCell ref="L24:P24"/>
    <mergeCell ref="U24:Y24"/>
    <mergeCell ref="AD24:AH24"/>
    <mergeCell ref="AM24:AQ24"/>
    <mergeCell ref="C27:G27"/>
    <mergeCell ref="L27:P27"/>
    <mergeCell ref="U27:Y27"/>
    <mergeCell ref="AD27:AH27"/>
    <mergeCell ref="AM27:AQ27"/>
    <mergeCell ref="C26:G26"/>
    <mergeCell ref="L26:P26"/>
    <mergeCell ref="U26:Y26"/>
    <mergeCell ref="AD26:AH26"/>
    <mergeCell ref="AM26:AQ26"/>
    <mergeCell ref="C29:G29"/>
    <mergeCell ref="L29:P29"/>
    <mergeCell ref="U29:Y29"/>
    <mergeCell ref="AD29:AH29"/>
    <mergeCell ref="AM29:AQ29"/>
    <mergeCell ref="C28:G28"/>
    <mergeCell ref="L28:P28"/>
    <mergeCell ref="U28:Y28"/>
    <mergeCell ref="AD28:AH28"/>
    <mergeCell ref="AM28:AQ28"/>
    <mergeCell ref="L31:P31"/>
    <mergeCell ref="U31:Y31"/>
    <mergeCell ref="AD31:AH31"/>
    <mergeCell ref="AM31:AQ31"/>
    <mergeCell ref="C30:G30"/>
    <mergeCell ref="L30:P30"/>
    <mergeCell ref="U30:Y30"/>
    <mergeCell ref="AD30:AH30"/>
    <mergeCell ref="AM30:AQ30"/>
    <mergeCell ref="B1:F1"/>
    <mergeCell ref="G1:K1"/>
    <mergeCell ref="L1:P1"/>
    <mergeCell ref="C35:G35"/>
    <mergeCell ref="L35:P35"/>
    <mergeCell ref="U35:Y35"/>
    <mergeCell ref="AD35:AH35"/>
    <mergeCell ref="AM35:AQ35"/>
    <mergeCell ref="C34:G34"/>
    <mergeCell ref="L34:P34"/>
    <mergeCell ref="U34:Y34"/>
    <mergeCell ref="AD34:AH34"/>
    <mergeCell ref="AM34:AQ34"/>
    <mergeCell ref="C33:G33"/>
    <mergeCell ref="L33:P33"/>
    <mergeCell ref="U33:Y33"/>
    <mergeCell ref="AD33:AH33"/>
    <mergeCell ref="AM33:AQ33"/>
    <mergeCell ref="C32:G32"/>
    <mergeCell ref="L32:P32"/>
    <mergeCell ref="U32:Y32"/>
    <mergeCell ref="AD32:AH32"/>
    <mergeCell ref="AM32:AQ32"/>
    <mergeCell ref="C31:G31"/>
  </mergeCells>
  <dataValidations count="5">
    <dataValidation type="list" allowBlank="1" showInputMessage="1" showErrorMessage="1" sqref="AI6:AI35" xr:uid="{00000000-0002-0000-0D00-000000000000}">
      <formula1>$AY$7</formula1>
    </dataValidation>
    <dataValidation type="list" allowBlank="1" showInputMessage="1" showErrorMessage="1" sqref="AR6:AR35" xr:uid="{00000000-0002-0000-0D00-000001000000}">
      <formula1>$AY$8</formula1>
    </dataValidation>
    <dataValidation type="list" allowBlank="1" showInputMessage="1" showErrorMessage="1" sqref="H6:H35" xr:uid="{00000000-0002-0000-0D00-000002000000}">
      <formula1>$AY$41</formula1>
    </dataValidation>
    <dataValidation type="list" allowBlank="1" showInputMessage="1" showErrorMessage="1" sqref="Q6:Q35" xr:uid="{00000000-0002-0000-0D00-000003000000}">
      <formula1>$AY$42</formula1>
    </dataValidation>
    <dataValidation type="list" allowBlank="1" showInputMessage="1" showErrorMessage="1" sqref="Z6:Z35" xr:uid="{00000000-0002-0000-0D00-000004000000}">
      <formula1>$AY$43</formula1>
    </dataValidation>
  </dataValidations>
  <hyperlinks>
    <hyperlink ref="B1:D1" location="LinkSpellsKnown" display="Back to Spellcasting" xr:uid="{00000000-0004-0000-0D00-000000000000}"/>
    <hyperlink ref="G1:I1" location="LinkSpellsKnown" display="Back to Spellcasting" xr:uid="{00000000-0004-0000-0D00-000001000000}"/>
    <hyperlink ref="G1:K1" location="SheetSpellBook" display="to Wizard Spells Known" xr:uid="{00000000-0004-0000-0D00-000002000000}"/>
    <hyperlink ref="L1:N1" location="LinkSpellsKnown" display="Back to Spellcasting" xr:uid="{00000000-0004-0000-0D00-000003000000}"/>
    <hyperlink ref="L1:P1" location="SpellCastingIndex" display="to Spellcasting Index" xr:uid="{00000000-0004-0000-0D00-000004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38">
    <tabColor theme="4" tint="0.39997558519241921"/>
  </sheetPr>
  <dimension ref="A1:CY98"/>
  <sheetViews>
    <sheetView workbookViewId="0">
      <selection activeCell="AB4" sqref="AB4"/>
    </sheetView>
  </sheetViews>
  <sheetFormatPr defaultColWidth="4.7109375" defaultRowHeight="15" x14ac:dyDescent="0.25"/>
  <sheetData>
    <row r="1" spans="1:103" ht="17.25" thickTop="1" thickBot="1" x14ac:dyDescent="0.3">
      <c r="A1" s="120"/>
      <c r="B1" s="1049" t="s">
        <v>6626</v>
      </c>
      <c r="C1" s="1049"/>
      <c r="D1" s="1049"/>
      <c r="E1" s="1049"/>
      <c r="F1" s="1049"/>
      <c r="G1" s="1049" t="s">
        <v>6653</v>
      </c>
      <c r="H1" s="1049"/>
      <c r="I1" s="1049"/>
      <c r="J1" s="1049"/>
      <c r="K1" s="1049"/>
      <c r="L1" s="1050" t="s">
        <v>6648</v>
      </c>
      <c r="M1" s="1050"/>
      <c r="N1" s="1050"/>
      <c r="O1" s="1050"/>
      <c r="P1" s="1050"/>
      <c r="Q1" s="1049" t="s">
        <v>6657</v>
      </c>
      <c r="R1" s="1049"/>
      <c r="S1" s="1049"/>
      <c r="T1" s="1049"/>
      <c r="U1" s="1049"/>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row>
    <row r="2" spans="1:103" ht="15" customHeight="1" thickTop="1" x14ac:dyDescent="0.25">
      <c r="A2" s="120"/>
      <c r="B2" s="1064" t="s">
        <v>3069</v>
      </c>
      <c r="C2" s="1064"/>
      <c r="D2" s="1064"/>
      <c r="E2" s="120"/>
      <c r="F2" s="120"/>
      <c r="G2" s="120"/>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c r="BY2" s="120"/>
    </row>
    <row r="3" spans="1:103" ht="15" customHeight="1" x14ac:dyDescent="0.25">
      <c r="A3" s="120"/>
      <c r="B3" s="1064"/>
      <c r="C3" s="1064"/>
      <c r="D3" s="1064"/>
      <c r="E3" s="1046" t="s">
        <v>62</v>
      </c>
      <c r="F3" s="1046"/>
      <c r="G3" s="1046">
        <f>WizardLevel</f>
        <v>8</v>
      </c>
      <c r="H3" s="1046"/>
      <c r="I3" s="587"/>
      <c r="J3" s="1046" t="s">
        <v>6381</v>
      </c>
      <c r="K3" s="1046"/>
      <c r="L3" s="1046"/>
      <c r="M3" s="1072">
        <f>G3+IntMOD</f>
        <v>13</v>
      </c>
      <c r="N3" s="1072"/>
      <c r="O3" s="1072"/>
      <c r="P3" s="1046" t="s">
        <v>6382</v>
      </c>
      <c r="Q3" s="1046"/>
      <c r="R3" s="587"/>
      <c r="S3" s="1072">
        <f>COUNTIF(S02_Cleric!$H$6:$H$35,"●")+COUNTIF(S02_Cleric!$Q$6:$Q$35,"●")+COUNTIF(S02_Cleric!$Z$6:$Z$35,"●")+COUNTIF(S02_Cleric!$AI$6:$AI$35,"●")+COUNTIF(S02_Cleric!$AR$6:$AR$35,"●")+COUNTIF(S02_Cleric!$BA$6:$BA$35,"●")+COUNTIF(S02_Cleric!$AR$6:$BJ$35,"●")++COUNTIF(S02_Cleric!$BS$6:$BS$35,"●")+COUNTIF(S02_Cleric!$CB$6:$CB$35,"●")</f>
        <v>9</v>
      </c>
      <c r="T3" s="1072"/>
      <c r="U3" s="1072"/>
      <c r="V3" s="1046" t="s">
        <v>6383</v>
      </c>
      <c r="W3" s="1046"/>
      <c r="X3" s="1046"/>
      <c r="Y3" s="1072">
        <f>WizardMaxSpellLevel</f>
        <v>4</v>
      </c>
      <c r="Z3" s="1072"/>
      <c r="AA3" s="592"/>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120"/>
      <c r="BV3" s="120"/>
      <c r="BW3" s="120"/>
      <c r="BX3" s="120"/>
      <c r="BY3" s="120"/>
    </row>
    <row r="4" spans="1:103" x14ac:dyDescent="0.25">
      <c r="A4" s="120"/>
      <c r="B4" s="120"/>
      <c r="C4" s="120"/>
      <c r="D4" s="120"/>
      <c r="E4" s="120"/>
      <c r="F4" s="120"/>
      <c r="G4" s="120"/>
      <c r="H4" s="120"/>
      <c r="I4" s="120"/>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565"/>
      <c r="AT4" s="565"/>
      <c r="AU4" s="565"/>
      <c r="AV4" s="565"/>
      <c r="AW4" s="565"/>
      <c r="AX4" s="565"/>
      <c r="AY4" s="565"/>
      <c r="AZ4" s="565"/>
      <c r="BA4" s="565"/>
      <c r="BB4" s="565"/>
      <c r="BC4" s="565"/>
      <c r="BD4" s="565"/>
      <c r="BE4" s="120"/>
      <c r="BF4" s="120"/>
      <c r="BG4" s="120"/>
      <c r="BH4" s="120"/>
      <c r="BI4" s="120"/>
      <c r="BJ4" s="120"/>
      <c r="BK4" s="120"/>
      <c r="BL4" s="120"/>
      <c r="BM4" s="120"/>
      <c r="BN4" s="120"/>
      <c r="BO4" s="120"/>
      <c r="BP4" s="120"/>
      <c r="BQ4" s="120"/>
      <c r="BR4" s="120"/>
      <c r="BS4" s="120"/>
      <c r="BT4" s="120"/>
      <c r="BU4" s="120"/>
      <c r="BV4" s="120"/>
      <c r="BW4" s="120"/>
      <c r="BX4" s="120"/>
      <c r="BY4" s="120"/>
    </row>
    <row r="5" spans="1:103" x14ac:dyDescent="0.25">
      <c r="A5" s="120"/>
      <c r="B5" s="1052" t="s">
        <v>6359</v>
      </c>
      <c r="C5" s="1052"/>
      <c r="D5" s="1052"/>
      <c r="E5" s="1052"/>
      <c r="F5" s="1052"/>
      <c r="G5" s="1052"/>
      <c r="H5" s="120"/>
      <c r="I5" s="120"/>
      <c r="J5" s="120"/>
      <c r="K5" s="1052" t="s">
        <v>6277</v>
      </c>
      <c r="L5" s="1052"/>
      <c r="M5" s="1052"/>
      <c r="N5" s="1052"/>
      <c r="O5" s="1052"/>
      <c r="P5" s="1052"/>
      <c r="Q5" s="120"/>
      <c r="R5" s="120"/>
      <c r="S5" s="120"/>
      <c r="T5" s="1052" t="s">
        <v>6279</v>
      </c>
      <c r="U5" s="1052"/>
      <c r="V5" s="1052"/>
      <c r="W5" s="1052"/>
      <c r="X5" s="1052"/>
      <c r="Y5" s="1052"/>
      <c r="Z5" s="120"/>
      <c r="AA5" s="120"/>
      <c r="AB5" s="120"/>
      <c r="AC5" s="1052" t="s">
        <v>6280</v>
      </c>
      <c r="AD5" s="1052"/>
      <c r="AE5" s="1052"/>
      <c r="AF5" s="1052"/>
      <c r="AG5" s="1052"/>
      <c r="AH5" s="1052"/>
      <c r="AI5" s="120"/>
      <c r="AJ5" s="120"/>
      <c r="AK5" s="120"/>
      <c r="AL5" s="1052" t="s">
        <v>6281</v>
      </c>
      <c r="AM5" s="1052"/>
      <c r="AN5" s="1052"/>
      <c r="AO5" s="1052"/>
      <c r="AP5" s="1052"/>
      <c r="AQ5" s="1052"/>
      <c r="AR5" s="120"/>
      <c r="AS5" s="565"/>
      <c r="AT5" s="565"/>
      <c r="AU5" s="565"/>
      <c r="AV5" s="565"/>
      <c r="AW5" s="565">
        <v>1</v>
      </c>
      <c r="AX5" s="565">
        <f>Character_Creation!C379</f>
        <v>0</v>
      </c>
      <c r="AY5" s="565" t="str">
        <f>IFERROR(INDEX(T08_Spells!$C$3:$C$1000,MATCH(S06_Ranger!AX5,T08_Spells!$B$3:$B$1000,0),1),"")</f>
        <v/>
      </c>
      <c r="AZ5" s="565"/>
      <c r="BA5" s="565" t="str">
        <f>IF($AY5=1,1,"")</f>
        <v/>
      </c>
      <c r="BB5" s="565" t="str">
        <f>IF($AY5=2,1,"")</f>
        <v/>
      </c>
      <c r="BC5" s="565" t="str">
        <f>IF($AY5=3,1,"")</f>
        <v/>
      </c>
      <c r="BD5" s="565"/>
      <c r="BE5" s="120"/>
      <c r="BF5" s="120"/>
      <c r="BG5" s="120"/>
      <c r="BH5" s="120"/>
      <c r="BI5" s="120"/>
      <c r="BJ5" s="120"/>
      <c r="BK5" s="120"/>
      <c r="BL5" s="120"/>
      <c r="BM5" s="120"/>
      <c r="BN5" s="120"/>
      <c r="BO5" s="120"/>
      <c r="BP5" s="120"/>
      <c r="BQ5" s="120"/>
      <c r="BR5" s="120"/>
      <c r="BS5" s="120"/>
      <c r="BT5" s="120"/>
      <c r="BU5" s="120"/>
      <c r="BV5" s="120"/>
      <c r="BW5" s="120"/>
      <c r="BX5" s="120"/>
      <c r="BY5" s="120"/>
      <c r="CH5" s="1046"/>
      <c r="CI5" s="1046"/>
      <c r="CJ5" s="1046"/>
      <c r="CK5" s="1046"/>
      <c r="CL5" s="1046"/>
      <c r="CM5" s="1046"/>
      <c r="CN5" s="1046"/>
      <c r="CO5" s="1046"/>
      <c r="CP5" s="1046"/>
      <c r="CQ5" s="1046"/>
      <c r="CR5" s="1046"/>
      <c r="CS5" s="1046"/>
      <c r="CT5" s="1046"/>
      <c r="CU5" s="1046"/>
      <c r="CV5" s="1046"/>
      <c r="CW5" s="1046"/>
      <c r="CX5" s="1046"/>
      <c r="CY5" s="1046"/>
    </row>
    <row r="6" spans="1:103" x14ac:dyDescent="0.25">
      <c r="A6" s="120"/>
      <c r="B6" s="574">
        <v>1</v>
      </c>
      <c r="C6" s="1061" t="str">
        <f t="shared" ref="C6:C35" si="0">IFERROR(INDEX($AX$5:$AX$15,MATCH(B6,$BA$5:$BA$15,0),1),"")</f>
        <v/>
      </c>
      <c r="D6" s="1061"/>
      <c r="E6" s="1061"/>
      <c r="F6" s="1061"/>
      <c r="G6" s="1061"/>
      <c r="H6" s="120"/>
      <c r="I6" s="120"/>
      <c r="J6" s="120" t="str">
        <f>IF(C6="","",C6&amp;", ")</f>
        <v/>
      </c>
      <c r="K6" s="574">
        <v>1</v>
      </c>
      <c r="L6" s="1061" t="str">
        <f t="shared" ref="L6:L35" si="1">IFERROR(INDEX($AX$5:$AX$15,MATCH(K6,$BB$5:$BB$15,0),1),"")</f>
        <v/>
      </c>
      <c r="M6" s="1061"/>
      <c r="N6" s="1061"/>
      <c r="O6" s="1061"/>
      <c r="P6" s="1061"/>
      <c r="Q6" s="120"/>
      <c r="R6" s="120"/>
      <c r="S6" s="120" t="str">
        <f>IF(L6="","",L6&amp;", ")</f>
        <v/>
      </c>
      <c r="T6" s="574">
        <v>1</v>
      </c>
      <c r="U6" s="1061" t="str">
        <f t="shared" ref="U6:U35" si="2">IFERROR(INDEX($AX$5:$AX$15,MATCH(T6,$BC$5:$BC$15,0),1),"")</f>
        <v/>
      </c>
      <c r="V6" s="1061"/>
      <c r="W6" s="1061"/>
      <c r="X6" s="1061"/>
      <c r="Y6" s="1061"/>
      <c r="Z6" s="120"/>
      <c r="AA6" s="120"/>
      <c r="AB6" s="120" t="str">
        <f>IF(U6="","",U6&amp;", ")</f>
        <v/>
      </c>
      <c r="AC6" s="574">
        <v>1</v>
      </c>
      <c r="AD6" s="1061" t="str">
        <f t="shared" ref="AD6:AD35" si="3">IFERROR(INDEX($AX$5:$AX$15,MATCH(AC6,$H$69:$H$79,0),1),"")</f>
        <v/>
      </c>
      <c r="AE6" s="1061"/>
      <c r="AF6" s="1061"/>
      <c r="AG6" s="1061"/>
      <c r="AH6" s="1061"/>
      <c r="AI6" s="120"/>
      <c r="AJ6" s="120"/>
      <c r="AK6" s="120" t="str">
        <f>IF(AD6="","",AD6&amp;", ")</f>
        <v/>
      </c>
      <c r="AL6" s="574">
        <v>1</v>
      </c>
      <c r="AM6" s="1061" t="str">
        <f t="shared" ref="AM6:AM35" si="4">IFERROR(INDEX($AX$5:$AX$15,MATCH(AL6,$J$69:$J$79,0),1),"")</f>
        <v/>
      </c>
      <c r="AN6" s="1061"/>
      <c r="AO6" s="1061"/>
      <c r="AP6" s="1061"/>
      <c r="AQ6" s="1061"/>
      <c r="AR6" s="120"/>
      <c r="AS6" s="565" t="str">
        <f>IF(AM6="","",AM6&amp;", ")</f>
        <v/>
      </c>
      <c r="AT6" s="565"/>
      <c r="AU6" s="565"/>
      <c r="AV6" s="565"/>
      <c r="AW6" s="565">
        <v>2</v>
      </c>
      <c r="AX6" s="565">
        <f>Character_Creation!C380</f>
        <v>0</v>
      </c>
      <c r="AY6" s="565" t="str">
        <f>IFERROR(INDEX(T08_Spells!$C$3:$C$1000,MATCH(S06_Ranger!AX6,T08_Spells!$B$3:$B$1000,0),1),"")</f>
        <v/>
      </c>
      <c r="AZ6" s="565"/>
      <c r="BA6" s="565" t="str">
        <f>IF($AY6=1,1+COUNTIF(BA5:BA$5,"&gt;0"),"")</f>
        <v/>
      </c>
      <c r="BB6" s="565" t="str">
        <f>IF($AY6=2,1+COUNTIF(BB5:BB$5,"&gt;0"),"")</f>
        <v/>
      </c>
      <c r="BC6" s="565" t="str">
        <f>IF($AY6=3,1+COUNTIF(BC5:BC$5,"&gt;0"),"")</f>
        <v/>
      </c>
      <c r="BD6" s="565"/>
      <c r="BE6" s="120"/>
      <c r="BF6" s="120"/>
      <c r="BG6" s="120"/>
      <c r="BH6" s="120"/>
      <c r="BI6" s="120"/>
      <c r="BJ6" s="120"/>
      <c r="BK6" s="120"/>
      <c r="BL6" s="120"/>
      <c r="BM6" s="120"/>
      <c r="BN6" s="120"/>
      <c r="BO6" s="120"/>
      <c r="BP6" s="120"/>
      <c r="BQ6" s="120"/>
      <c r="BR6" s="120"/>
      <c r="BS6" s="120"/>
      <c r="BT6" s="120"/>
      <c r="BU6" s="120"/>
      <c r="BV6" s="120"/>
      <c r="BW6" s="120"/>
      <c r="BX6" s="120"/>
      <c r="BY6" s="120"/>
      <c r="CC6" s="558"/>
    </row>
    <row r="7" spans="1:103" x14ac:dyDescent="0.25">
      <c r="A7" s="120"/>
      <c r="B7" s="574">
        <v>2</v>
      </c>
      <c r="C7" s="1061" t="str">
        <f t="shared" si="0"/>
        <v/>
      </c>
      <c r="D7" s="1061"/>
      <c r="E7" s="1061"/>
      <c r="F7" s="1061"/>
      <c r="G7" s="1061"/>
      <c r="H7" s="120"/>
      <c r="I7" s="120"/>
      <c r="J7" s="120" t="str">
        <f t="shared" ref="J7:J35" si="5">IF(C7="","",C7&amp;", ")</f>
        <v/>
      </c>
      <c r="K7" s="574">
        <v>2</v>
      </c>
      <c r="L7" s="1061" t="str">
        <f t="shared" si="1"/>
        <v/>
      </c>
      <c r="M7" s="1061"/>
      <c r="N7" s="1061"/>
      <c r="O7" s="1061"/>
      <c r="P7" s="1061"/>
      <c r="Q7" s="120"/>
      <c r="R7" s="120"/>
      <c r="S7" s="120" t="str">
        <f t="shared" ref="S7:S35" si="6">IF(L7="","",L7&amp;", ")</f>
        <v/>
      </c>
      <c r="T7" s="574">
        <v>2</v>
      </c>
      <c r="U7" s="1061" t="str">
        <f t="shared" si="2"/>
        <v/>
      </c>
      <c r="V7" s="1061"/>
      <c r="W7" s="1061"/>
      <c r="X7" s="1061"/>
      <c r="Y7" s="1061"/>
      <c r="Z7" s="120"/>
      <c r="AA7" s="120"/>
      <c r="AB7" s="120" t="str">
        <f t="shared" ref="AB7:AB35" si="7">IF(U7="","",U7&amp;", ")</f>
        <v/>
      </c>
      <c r="AC7" s="574">
        <v>2</v>
      </c>
      <c r="AD7" s="1061" t="str">
        <f t="shared" si="3"/>
        <v/>
      </c>
      <c r="AE7" s="1061"/>
      <c r="AF7" s="1061"/>
      <c r="AG7" s="1061"/>
      <c r="AH7" s="1061"/>
      <c r="AI7" s="120"/>
      <c r="AJ7" s="120"/>
      <c r="AK7" s="120" t="str">
        <f t="shared" ref="AK7:AK35" si="8">IF(AD7="","",AD7&amp;", ")</f>
        <v/>
      </c>
      <c r="AL7" s="574">
        <v>2</v>
      </c>
      <c r="AM7" s="1061" t="str">
        <f t="shared" si="4"/>
        <v/>
      </c>
      <c r="AN7" s="1061"/>
      <c r="AO7" s="1061"/>
      <c r="AP7" s="1061"/>
      <c r="AQ7" s="1061"/>
      <c r="AR7" s="120"/>
      <c r="AS7" s="565" t="str">
        <f t="shared" ref="AS7:AS35" si="9">IF(AM7="","",AM7&amp;", ")</f>
        <v/>
      </c>
      <c r="AT7" s="565"/>
      <c r="AU7" s="565"/>
      <c r="AV7" s="565"/>
      <c r="AW7" s="565">
        <v>3</v>
      </c>
      <c r="AX7" s="565">
        <f>Character_Creation!C381</f>
        <v>0</v>
      </c>
      <c r="AY7" s="565" t="str">
        <f>IFERROR(INDEX(T08_Spells!$C$3:$C$1000,MATCH(S06_Ranger!AX7,T08_Spells!$B$3:$B$1000,0),1),"")</f>
        <v/>
      </c>
      <c r="AZ7" s="565"/>
      <c r="BA7" s="565" t="str">
        <f>IF($AY7=1,1+COUNTIF(BA$5:BA6,"&gt;0"),"")</f>
        <v/>
      </c>
      <c r="BB7" s="565" t="str">
        <f t="shared" ref="BB7:BB15" si="10">IF($AY7=2,1,"")</f>
        <v/>
      </c>
      <c r="BC7" s="565" t="str">
        <f>IF($AY7=3,1+COUNTIF(BC$5:BC6,"&gt;0"),"")</f>
        <v/>
      </c>
      <c r="BD7" s="565"/>
      <c r="BE7" s="120"/>
      <c r="BF7" s="120"/>
      <c r="BG7" s="120"/>
      <c r="BH7" s="120"/>
      <c r="BI7" s="120"/>
      <c r="BJ7" s="120"/>
      <c r="BK7" s="120"/>
      <c r="BL7" s="120"/>
      <c r="BM7" s="120"/>
      <c r="BN7" s="120"/>
      <c r="BO7" s="120"/>
      <c r="BP7" s="120"/>
      <c r="BQ7" s="120"/>
      <c r="BR7" s="120"/>
      <c r="BS7" s="120"/>
      <c r="BT7" s="120"/>
      <c r="BU7" s="120"/>
      <c r="BV7" s="120"/>
      <c r="BW7" s="120"/>
      <c r="BX7" s="120"/>
      <c r="BY7" s="120"/>
      <c r="CC7" s="558"/>
    </row>
    <row r="8" spans="1:103" x14ac:dyDescent="0.25">
      <c r="A8" s="120"/>
      <c r="B8" s="574">
        <v>3</v>
      </c>
      <c r="C8" s="1061" t="str">
        <f t="shared" si="0"/>
        <v/>
      </c>
      <c r="D8" s="1061"/>
      <c r="E8" s="1061"/>
      <c r="F8" s="1061"/>
      <c r="G8" s="1061"/>
      <c r="H8" s="120"/>
      <c r="I8" s="120"/>
      <c r="J8" s="120" t="str">
        <f t="shared" si="5"/>
        <v/>
      </c>
      <c r="K8" s="574">
        <v>3</v>
      </c>
      <c r="L8" s="1061" t="str">
        <f t="shared" si="1"/>
        <v/>
      </c>
      <c r="M8" s="1061"/>
      <c r="N8" s="1061"/>
      <c r="O8" s="1061"/>
      <c r="P8" s="1061"/>
      <c r="Q8" s="120"/>
      <c r="R8" s="120"/>
      <c r="S8" s="120" t="str">
        <f t="shared" si="6"/>
        <v/>
      </c>
      <c r="T8" s="574">
        <v>3</v>
      </c>
      <c r="U8" s="1061" t="str">
        <f t="shared" si="2"/>
        <v/>
      </c>
      <c r="V8" s="1061"/>
      <c r="W8" s="1061"/>
      <c r="X8" s="1061"/>
      <c r="Y8" s="1061"/>
      <c r="Z8" s="120"/>
      <c r="AA8" s="120"/>
      <c r="AB8" s="120" t="str">
        <f t="shared" si="7"/>
        <v/>
      </c>
      <c r="AC8" s="574">
        <v>3</v>
      </c>
      <c r="AD8" s="1061" t="str">
        <f t="shared" si="3"/>
        <v/>
      </c>
      <c r="AE8" s="1061"/>
      <c r="AF8" s="1061"/>
      <c r="AG8" s="1061"/>
      <c r="AH8" s="1061"/>
      <c r="AI8" s="120"/>
      <c r="AJ8" s="120"/>
      <c r="AK8" s="120" t="str">
        <f t="shared" si="8"/>
        <v/>
      </c>
      <c r="AL8" s="574">
        <v>3</v>
      </c>
      <c r="AM8" s="1061" t="str">
        <f t="shared" si="4"/>
        <v/>
      </c>
      <c r="AN8" s="1061"/>
      <c r="AO8" s="1061"/>
      <c r="AP8" s="1061"/>
      <c r="AQ8" s="1061"/>
      <c r="AR8" s="120"/>
      <c r="AS8" s="565" t="str">
        <f t="shared" si="9"/>
        <v/>
      </c>
      <c r="AT8" s="565"/>
      <c r="AU8" s="565"/>
      <c r="AV8" s="565"/>
      <c r="AW8" s="565">
        <v>4</v>
      </c>
      <c r="AX8" s="565">
        <f>Character_Creation!C382</f>
        <v>0</v>
      </c>
      <c r="AY8" s="565" t="str">
        <f>IFERROR(INDEX(T08_Spells!$C$3:$C$1000,MATCH(S06_Ranger!AX8,T08_Spells!$B$3:$B$1000,0),1),"")</f>
        <v/>
      </c>
      <c r="AZ8" s="565"/>
      <c r="BA8" s="565" t="str">
        <f>IF($AY8=1,1+COUNTIF(BA$5:BA7,"&gt;0"),"")</f>
        <v/>
      </c>
      <c r="BB8" s="565" t="str">
        <f t="shared" si="10"/>
        <v/>
      </c>
      <c r="BC8" s="565" t="str">
        <f>IF($AY8=3,1+COUNTIF(BC$5:BC7,"&gt;0"),"")</f>
        <v/>
      </c>
      <c r="BD8" s="565"/>
      <c r="BE8" s="120"/>
      <c r="BF8" s="120"/>
      <c r="BG8" s="120"/>
      <c r="BH8" s="120"/>
      <c r="BI8" s="120"/>
      <c r="BJ8" s="120"/>
      <c r="BK8" s="120"/>
      <c r="BL8" s="120"/>
      <c r="BM8" s="120"/>
      <c r="BN8" s="120"/>
      <c r="BO8" s="120"/>
      <c r="BP8" s="120"/>
      <c r="BQ8" s="120"/>
      <c r="BR8" s="120"/>
      <c r="BS8" s="120"/>
      <c r="BT8" s="120"/>
      <c r="BU8" s="120"/>
      <c r="BV8" s="120"/>
      <c r="BW8" s="120"/>
      <c r="BX8" s="120"/>
      <c r="BY8" s="120"/>
      <c r="CC8" s="558"/>
    </row>
    <row r="9" spans="1:103" x14ac:dyDescent="0.25">
      <c r="A9" s="120"/>
      <c r="B9" s="574">
        <v>4</v>
      </c>
      <c r="C9" s="1061" t="str">
        <f t="shared" si="0"/>
        <v/>
      </c>
      <c r="D9" s="1061"/>
      <c r="E9" s="1061"/>
      <c r="F9" s="1061"/>
      <c r="G9" s="1061"/>
      <c r="H9" s="120"/>
      <c r="I9" s="120"/>
      <c r="J9" s="120" t="str">
        <f t="shared" si="5"/>
        <v/>
      </c>
      <c r="K9" s="574">
        <v>4</v>
      </c>
      <c r="L9" s="1061" t="str">
        <f t="shared" si="1"/>
        <v/>
      </c>
      <c r="M9" s="1061"/>
      <c r="N9" s="1061"/>
      <c r="O9" s="1061"/>
      <c r="P9" s="1061"/>
      <c r="Q9" s="120"/>
      <c r="R9" s="120"/>
      <c r="S9" s="120" t="str">
        <f t="shared" si="6"/>
        <v/>
      </c>
      <c r="T9" s="574">
        <v>4</v>
      </c>
      <c r="U9" s="1061" t="str">
        <f t="shared" si="2"/>
        <v/>
      </c>
      <c r="V9" s="1061"/>
      <c r="W9" s="1061"/>
      <c r="X9" s="1061"/>
      <c r="Y9" s="1061"/>
      <c r="Z9" s="120"/>
      <c r="AA9" s="120"/>
      <c r="AB9" s="120" t="str">
        <f t="shared" si="7"/>
        <v/>
      </c>
      <c r="AC9" s="574">
        <v>4</v>
      </c>
      <c r="AD9" s="1061" t="str">
        <f t="shared" si="3"/>
        <v/>
      </c>
      <c r="AE9" s="1061"/>
      <c r="AF9" s="1061"/>
      <c r="AG9" s="1061"/>
      <c r="AH9" s="1061"/>
      <c r="AI9" s="120"/>
      <c r="AJ9" s="120"/>
      <c r="AK9" s="120" t="str">
        <f t="shared" si="8"/>
        <v/>
      </c>
      <c r="AL9" s="574">
        <v>4</v>
      </c>
      <c r="AM9" s="1061" t="str">
        <f t="shared" si="4"/>
        <v/>
      </c>
      <c r="AN9" s="1061"/>
      <c r="AO9" s="1061"/>
      <c r="AP9" s="1061"/>
      <c r="AQ9" s="1061"/>
      <c r="AR9" s="120"/>
      <c r="AS9" s="565" t="str">
        <f t="shared" si="9"/>
        <v/>
      </c>
      <c r="AT9" s="565"/>
      <c r="AU9" s="565"/>
      <c r="AV9" s="565"/>
      <c r="AW9" s="565">
        <v>5</v>
      </c>
      <c r="AX9" s="565">
        <f>Character_Creation!C383</f>
        <v>0</v>
      </c>
      <c r="AY9" s="565" t="str">
        <f>IFERROR(INDEX(T08_Spells!$C$3:$C$1000,MATCH(S06_Ranger!AX9,T08_Spells!$B$3:$B$1000,0),1),"")</f>
        <v/>
      </c>
      <c r="AZ9" s="565"/>
      <c r="BA9" s="565" t="str">
        <f>IF($AY9=1,1+COUNTIF(BA$5:BA8,"&gt;0"),"")</f>
        <v/>
      </c>
      <c r="BB9" s="565" t="str">
        <f t="shared" si="10"/>
        <v/>
      </c>
      <c r="BC9" s="565" t="str">
        <f>IF($AY9=3,1+COUNTIF(BC$5:BC8,"&gt;0"),"")</f>
        <v/>
      </c>
      <c r="BD9" s="565"/>
      <c r="BE9" s="120"/>
      <c r="BF9" s="120"/>
      <c r="BG9" s="120"/>
      <c r="BH9" s="120"/>
      <c r="BI9" s="120"/>
      <c r="BJ9" s="120"/>
      <c r="BK9" s="120"/>
      <c r="BL9" s="120"/>
      <c r="BM9" s="120"/>
      <c r="BN9" s="120"/>
      <c r="BO9" s="120"/>
      <c r="BP9" s="120"/>
      <c r="BQ9" s="120"/>
      <c r="BR9" s="120"/>
      <c r="BS9" s="120"/>
      <c r="BT9" s="120"/>
      <c r="BU9" s="120"/>
      <c r="BV9" s="120"/>
      <c r="BW9" s="120"/>
      <c r="BX9" s="120"/>
      <c r="BY9" s="120"/>
      <c r="CC9" s="558"/>
    </row>
    <row r="10" spans="1:103" x14ac:dyDescent="0.25">
      <c r="A10" s="120"/>
      <c r="B10" s="574">
        <v>5</v>
      </c>
      <c r="C10" s="1061" t="str">
        <f t="shared" si="0"/>
        <v/>
      </c>
      <c r="D10" s="1061"/>
      <c r="E10" s="1061"/>
      <c r="F10" s="1061"/>
      <c r="G10" s="1061"/>
      <c r="H10" s="120"/>
      <c r="I10" s="120"/>
      <c r="J10" s="120" t="str">
        <f t="shared" si="5"/>
        <v/>
      </c>
      <c r="K10" s="574">
        <v>5</v>
      </c>
      <c r="L10" s="1061" t="str">
        <f t="shared" si="1"/>
        <v/>
      </c>
      <c r="M10" s="1061"/>
      <c r="N10" s="1061"/>
      <c r="O10" s="1061"/>
      <c r="P10" s="1061"/>
      <c r="Q10" s="120"/>
      <c r="R10" s="120"/>
      <c r="S10" s="120" t="str">
        <f t="shared" si="6"/>
        <v/>
      </c>
      <c r="T10" s="574">
        <v>5</v>
      </c>
      <c r="U10" s="1061" t="str">
        <f t="shared" si="2"/>
        <v/>
      </c>
      <c r="V10" s="1061"/>
      <c r="W10" s="1061"/>
      <c r="X10" s="1061"/>
      <c r="Y10" s="1061"/>
      <c r="Z10" s="120"/>
      <c r="AA10" s="120"/>
      <c r="AB10" s="120" t="str">
        <f t="shared" si="7"/>
        <v/>
      </c>
      <c r="AC10" s="574">
        <v>5</v>
      </c>
      <c r="AD10" s="1061" t="str">
        <f t="shared" si="3"/>
        <v/>
      </c>
      <c r="AE10" s="1061"/>
      <c r="AF10" s="1061"/>
      <c r="AG10" s="1061"/>
      <c r="AH10" s="1061"/>
      <c r="AI10" s="120"/>
      <c r="AJ10" s="120"/>
      <c r="AK10" s="120" t="str">
        <f t="shared" si="8"/>
        <v/>
      </c>
      <c r="AL10" s="574">
        <v>5</v>
      </c>
      <c r="AM10" s="1061" t="str">
        <f t="shared" si="4"/>
        <v/>
      </c>
      <c r="AN10" s="1061"/>
      <c r="AO10" s="1061"/>
      <c r="AP10" s="1061"/>
      <c r="AQ10" s="1061"/>
      <c r="AR10" s="120"/>
      <c r="AS10" s="565" t="str">
        <f t="shared" si="9"/>
        <v/>
      </c>
      <c r="AT10" s="565"/>
      <c r="AU10" s="565"/>
      <c r="AV10" s="565"/>
      <c r="AW10" s="565">
        <v>6</v>
      </c>
      <c r="AX10" s="565">
        <f>Character_Creation!C384</f>
        <v>0</v>
      </c>
      <c r="AY10" s="565" t="str">
        <f>IFERROR(INDEX(T08_Spells!$C$3:$C$1000,MATCH(S06_Ranger!AX10,T08_Spells!$B$3:$B$1000,0),1),"")</f>
        <v/>
      </c>
      <c r="AZ10" s="565"/>
      <c r="BA10" s="565" t="str">
        <f>IF($AY10=1,1+COUNTIF(BA$5:BA9,"&gt;0"),"")</f>
        <v/>
      </c>
      <c r="BB10" s="565" t="str">
        <f t="shared" si="10"/>
        <v/>
      </c>
      <c r="BC10" s="565" t="str">
        <f>IF($AY10=3,1+COUNTIF(BC$5:BC9,"&gt;0"),"")</f>
        <v/>
      </c>
      <c r="BD10" s="565"/>
      <c r="BE10" s="120"/>
      <c r="BF10" s="120"/>
      <c r="BG10" s="120"/>
      <c r="BH10" s="120"/>
      <c r="BI10" s="120"/>
      <c r="BJ10" s="120"/>
      <c r="BK10" s="120"/>
      <c r="BL10" s="120"/>
      <c r="BM10" s="120"/>
      <c r="BN10" s="120"/>
      <c r="BO10" s="120"/>
      <c r="BP10" s="120"/>
      <c r="BQ10" s="120"/>
      <c r="BR10" s="120"/>
      <c r="BS10" s="120"/>
      <c r="BT10" s="120"/>
      <c r="BU10" s="120"/>
      <c r="BV10" s="120"/>
      <c r="BW10" s="120"/>
      <c r="BX10" s="120"/>
      <c r="BY10" s="120"/>
      <c r="CC10" s="558"/>
    </row>
    <row r="11" spans="1:103" x14ac:dyDescent="0.25">
      <c r="A11" s="120"/>
      <c r="B11" s="574">
        <v>6</v>
      </c>
      <c r="C11" s="1061" t="str">
        <f t="shared" si="0"/>
        <v/>
      </c>
      <c r="D11" s="1061"/>
      <c r="E11" s="1061"/>
      <c r="F11" s="1061"/>
      <c r="G11" s="1061"/>
      <c r="H11" s="120"/>
      <c r="I11" s="120"/>
      <c r="J11" s="120" t="str">
        <f t="shared" si="5"/>
        <v/>
      </c>
      <c r="K11" s="574">
        <v>6</v>
      </c>
      <c r="L11" s="1061" t="str">
        <f t="shared" si="1"/>
        <v/>
      </c>
      <c r="M11" s="1061"/>
      <c r="N11" s="1061"/>
      <c r="O11" s="1061"/>
      <c r="P11" s="1061"/>
      <c r="Q11" s="120"/>
      <c r="R11" s="120"/>
      <c r="S11" s="120" t="str">
        <f t="shared" si="6"/>
        <v/>
      </c>
      <c r="T11" s="574">
        <v>6</v>
      </c>
      <c r="U11" s="1061" t="str">
        <f t="shared" si="2"/>
        <v/>
      </c>
      <c r="V11" s="1061"/>
      <c r="W11" s="1061"/>
      <c r="X11" s="1061"/>
      <c r="Y11" s="1061"/>
      <c r="Z11" s="120"/>
      <c r="AA11" s="120"/>
      <c r="AB11" s="120" t="str">
        <f t="shared" si="7"/>
        <v/>
      </c>
      <c r="AC11" s="574">
        <v>6</v>
      </c>
      <c r="AD11" s="1061" t="str">
        <f t="shared" si="3"/>
        <v/>
      </c>
      <c r="AE11" s="1061"/>
      <c r="AF11" s="1061"/>
      <c r="AG11" s="1061"/>
      <c r="AH11" s="1061"/>
      <c r="AI11" s="120"/>
      <c r="AJ11" s="120"/>
      <c r="AK11" s="120" t="str">
        <f t="shared" si="8"/>
        <v/>
      </c>
      <c r="AL11" s="574">
        <v>6</v>
      </c>
      <c r="AM11" s="1061" t="str">
        <f t="shared" si="4"/>
        <v/>
      </c>
      <c r="AN11" s="1061"/>
      <c r="AO11" s="1061"/>
      <c r="AP11" s="1061"/>
      <c r="AQ11" s="1061"/>
      <c r="AR11" s="120"/>
      <c r="AS11" s="565" t="str">
        <f t="shared" si="9"/>
        <v/>
      </c>
      <c r="AT11" s="565"/>
      <c r="AU11" s="565"/>
      <c r="AV11" s="565"/>
      <c r="AW11" s="565">
        <v>7</v>
      </c>
      <c r="AX11" s="565">
        <f>Character_Creation!C385</f>
        <v>0</v>
      </c>
      <c r="AY11" s="565" t="str">
        <f>IFERROR(INDEX(T08_Spells!$C$3:$C$1000,MATCH(S06_Ranger!AX11,T08_Spells!$B$3:$B$1000,0),1),"")</f>
        <v/>
      </c>
      <c r="AZ11" s="565"/>
      <c r="BA11" s="565" t="str">
        <f>IF($AY11=1,1+COUNTIF(BA$5:BA10,"&gt;0"),"")</f>
        <v/>
      </c>
      <c r="BB11" s="565" t="str">
        <f t="shared" si="10"/>
        <v/>
      </c>
      <c r="BC11" s="565" t="str">
        <f>IF($AY11=3,1+COUNTIF(BC$5:BC10,"&gt;0"),"")</f>
        <v/>
      </c>
      <c r="BD11" s="565"/>
      <c r="BE11" s="120"/>
      <c r="BF11" s="120"/>
      <c r="BG11" s="120"/>
      <c r="BH11" s="120"/>
      <c r="BI11" s="120"/>
      <c r="BJ11" s="120"/>
      <c r="BK11" s="120"/>
      <c r="BL11" s="120"/>
      <c r="BM11" s="120"/>
      <c r="BN11" s="120"/>
      <c r="BO11" s="120"/>
      <c r="BP11" s="120"/>
      <c r="BQ11" s="120"/>
      <c r="BR11" s="120"/>
      <c r="BS11" s="120"/>
      <c r="BT11" s="120"/>
      <c r="BU11" s="120"/>
      <c r="BV11" s="120"/>
      <c r="BW11" s="120"/>
      <c r="BX11" s="120"/>
      <c r="BY11" s="120"/>
      <c r="CC11" s="558"/>
    </row>
    <row r="12" spans="1:103" x14ac:dyDescent="0.25">
      <c r="A12" s="120"/>
      <c r="B12" s="574">
        <v>7</v>
      </c>
      <c r="C12" s="1061" t="str">
        <f t="shared" si="0"/>
        <v/>
      </c>
      <c r="D12" s="1061"/>
      <c r="E12" s="1061"/>
      <c r="F12" s="1061"/>
      <c r="G12" s="1061"/>
      <c r="H12" s="120"/>
      <c r="I12" s="120"/>
      <c r="J12" s="120" t="str">
        <f t="shared" si="5"/>
        <v/>
      </c>
      <c r="K12" s="574">
        <v>7</v>
      </c>
      <c r="L12" s="1061" t="str">
        <f t="shared" si="1"/>
        <v/>
      </c>
      <c r="M12" s="1061"/>
      <c r="N12" s="1061"/>
      <c r="O12" s="1061"/>
      <c r="P12" s="1061"/>
      <c r="Q12" s="120"/>
      <c r="R12" s="120"/>
      <c r="S12" s="120" t="str">
        <f t="shared" si="6"/>
        <v/>
      </c>
      <c r="T12" s="574">
        <v>7</v>
      </c>
      <c r="U12" s="1061" t="str">
        <f t="shared" si="2"/>
        <v/>
      </c>
      <c r="V12" s="1061"/>
      <c r="W12" s="1061"/>
      <c r="X12" s="1061"/>
      <c r="Y12" s="1061"/>
      <c r="Z12" s="120"/>
      <c r="AA12" s="120"/>
      <c r="AB12" s="120" t="str">
        <f t="shared" si="7"/>
        <v/>
      </c>
      <c r="AC12" s="574">
        <v>7</v>
      </c>
      <c r="AD12" s="1061" t="str">
        <f t="shared" si="3"/>
        <v/>
      </c>
      <c r="AE12" s="1061"/>
      <c r="AF12" s="1061"/>
      <c r="AG12" s="1061"/>
      <c r="AH12" s="1061"/>
      <c r="AI12" s="120"/>
      <c r="AJ12" s="120"/>
      <c r="AK12" s="120" t="str">
        <f t="shared" si="8"/>
        <v/>
      </c>
      <c r="AL12" s="574">
        <v>7</v>
      </c>
      <c r="AM12" s="1061" t="str">
        <f t="shared" si="4"/>
        <v/>
      </c>
      <c r="AN12" s="1061"/>
      <c r="AO12" s="1061"/>
      <c r="AP12" s="1061"/>
      <c r="AQ12" s="1061"/>
      <c r="AR12" s="120"/>
      <c r="AS12" s="565" t="str">
        <f t="shared" si="9"/>
        <v/>
      </c>
      <c r="AT12" s="565"/>
      <c r="AU12" s="565"/>
      <c r="AV12" s="565"/>
      <c r="AW12" s="565">
        <v>8</v>
      </c>
      <c r="AX12" s="565">
        <f>Character_Creation!C386</f>
        <v>0</v>
      </c>
      <c r="AY12" s="565" t="str">
        <f>IFERROR(INDEX(T08_Spells!$C$3:$C$1000,MATCH(S06_Ranger!AX12,T08_Spells!$B$3:$B$1000,0),1),"")</f>
        <v/>
      </c>
      <c r="AZ12" s="565"/>
      <c r="BA12" s="565" t="str">
        <f>IF($AY12=1,1+COUNTIF(BA$5:BA11,"&gt;0"),"")</f>
        <v/>
      </c>
      <c r="BB12" s="565" t="str">
        <f t="shared" si="10"/>
        <v/>
      </c>
      <c r="BC12" s="565" t="str">
        <f>IF($AY12=3,1+COUNTIF(BC$5:BC11,"&gt;0"),"")</f>
        <v/>
      </c>
      <c r="BD12" s="565"/>
      <c r="BE12" s="120"/>
      <c r="BF12" s="120"/>
      <c r="BG12" s="120"/>
      <c r="BH12" s="120"/>
      <c r="BI12" s="120"/>
      <c r="BJ12" s="120"/>
      <c r="BK12" s="120"/>
      <c r="BL12" s="120"/>
      <c r="BM12" s="120"/>
      <c r="BN12" s="120"/>
      <c r="BO12" s="120"/>
      <c r="BP12" s="120"/>
      <c r="BQ12" s="120"/>
      <c r="BR12" s="120"/>
      <c r="BS12" s="120"/>
      <c r="BT12" s="120"/>
      <c r="BU12" s="120"/>
      <c r="BV12" s="120"/>
      <c r="BW12" s="120"/>
      <c r="BX12" s="120"/>
      <c r="BY12" s="120"/>
      <c r="CC12" s="558"/>
    </row>
    <row r="13" spans="1:103" x14ac:dyDescent="0.25">
      <c r="A13" s="120"/>
      <c r="B13" s="574">
        <v>8</v>
      </c>
      <c r="C13" s="1061" t="str">
        <f t="shared" si="0"/>
        <v/>
      </c>
      <c r="D13" s="1061"/>
      <c r="E13" s="1061"/>
      <c r="F13" s="1061"/>
      <c r="G13" s="1061"/>
      <c r="H13" s="120"/>
      <c r="I13" s="120"/>
      <c r="J13" s="120" t="str">
        <f t="shared" si="5"/>
        <v/>
      </c>
      <c r="K13" s="574">
        <v>8</v>
      </c>
      <c r="L13" s="1061" t="str">
        <f t="shared" si="1"/>
        <v/>
      </c>
      <c r="M13" s="1061"/>
      <c r="N13" s="1061"/>
      <c r="O13" s="1061"/>
      <c r="P13" s="1061"/>
      <c r="Q13" s="120"/>
      <c r="R13" s="120"/>
      <c r="S13" s="120" t="str">
        <f t="shared" si="6"/>
        <v/>
      </c>
      <c r="T13" s="574">
        <v>8</v>
      </c>
      <c r="U13" s="1061" t="str">
        <f t="shared" si="2"/>
        <v/>
      </c>
      <c r="V13" s="1061"/>
      <c r="W13" s="1061"/>
      <c r="X13" s="1061"/>
      <c r="Y13" s="1061"/>
      <c r="Z13" s="120"/>
      <c r="AA13" s="120"/>
      <c r="AB13" s="120" t="str">
        <f t="shared" si="7"/>
        <v/>
      </c>
      <c r="AC13" s="574">
        <v>8</v>
      </c>
      <c r="AD13" s="1061" t="str">
        <f t="shared" si="3"/>
        <v/>
      </c>
      <c r="AE13" s="1061"/>
      <c r="AF13" s="1061"/>
      <c r="AG13" s="1061"/>
      <c r="AH13" s="1061"/>
      <c r="AI13" s="120"/>
      <c r="AJ13" s="120"/>
      <c r="AK13" s="120" t="str">
        <f t="shared" si="8"/>
        <v/>
      </c>
      <c r="AL13" s="574">
        <v>8</v>
      </c>
      <c r="AM13" s="1061" t="str">
        <f t="shared" si="4"/>
        <v/>
      </c>
      <c r="AN13" s="1061"/>
      <c r="AO13" s="1061"/>
      <c r="AP13" s="1061"/>
      <c r="AQ13" s="1061"/>
      <c r="AR13" s="120"/>
      <c r="AS13" s="565" t="str">
        <f t="shared" si="9"/>
        <v/>
      </c>
      <c r="AT13" s="565"/>
      <c r="AU13" s="565"/>
      <c r="AV13" s="565"/>
      <c r="AW13" s="565">
        <v>9</v>
      </c>
      <c r="AX13" s="565">
        <f>Character_Creation!C387</f>
        <v>0</v>
      </c>
      <c r="AY13" s="565" t="str">
        <f>IFERROR(INDEX(T08_Spells!$C$3:$C$1000,MATCH(S06_Ranger!AX13,T08_Spells!$B$3:$B$1000,0),1),"")</f>
        <v/>
      </c>
      <c r="AZ13" s="565"/>
      <c r="BA13" s="565" t="str">
        <f>IF($AY13=1,1+COUNTIF(BA$5:BA12,"&gt;0"),"")</f>
        <v/>
      </c>
      <c r="BB13" s="565" t="str">
        <f t="shared" si="10"/>
        <v/>
      </c>
      <c r="BC13" s="565" t="str">
        <f>IF($AY13=3,1+COUNTIF(BC$5:BC12,"&gt;0"),"")</f>
        <v/>
      </c>
      <c r="BD13" s="565"/>
      <c r="BE13" s="120"/>
      <c r="BF13" s="120"/>
      <c r="BG13" s="120"/>
      <c r="BH13" s="120"/>
      <c r="BI13" s="120"/>
      <c r="BJ13" s="120"/>
      <c r="BK13" s="120"/>
      <c r="BL13" s="120"/>
      <c r="BM13" s="120"/>
      <c r="BN13" s="120"/>
      <c r="BO13" s="120"/>
      <c r="BP13" s="120"/>
      <c r="BQ13" s="120"/>
      <c r="BR13" s="120"/>
      <c r="BS13" s="120"/>
      <c r="BT13" s="120"/>
      <c r="BU13" s="120"/>
      <c r="BV13" s="120"/>
      <c r="BW13" s="120"/>
      <c r="BX13" s="120"/>
      <c r="BY13" s="120"/>
      <c r="CC13" s="558"/>
    </row>
    <row r="14" spans="1:103" x14ac:dyDescent="0.25">
      <c r="A14" s="120"/>
      <c r="B14" s="574">
        <v>9</v>
      </c>
      <c r="C14" s="1061" t="str">
        <f t="shared" si="0"/>
        <v/>
      </c>
      <c r="D14" s="1061"/>
      <c r="E14" s="1061"/>
      <c r="F14" s="1061"/>
      <c r="G14" s="1061"/>
      <c r="H14" s="120"/>
      <c r="I14" s="120"/>
      <c r="J14" s="120" t="str">
        <f t="shared" si="5"/>
        <v/>
      </c>
      <c r="K14" s="574">
        <v>9</v>
      </c>
      <c r="L14" s="1061" t="str">
        <f t="shared" si="1"/>
        <v/>
      </c>
      <c r="M14" s="1061"/>
      <c r="N14" s="1061"/>
      <c r="O14" s="1061"/>
      <c r="P14" s="1061"/>
      <c r="Q14" s="120"/>
      <c r="R14" s="120"/>
      <c r="S14" s="120" t="str">
        <f t="shared" si="6"/>
        <v/>
      </c>
      <c r="T14" s="574">
        <v>9</v>
      </c>
      <c r="U14" s="1061" t="str">
        <f t="shared" si="2"/>
        <v/>
      </c>
      <c r="V14" s="1061"/>
      <c r="W14" s="1061"/>
      <c r="X14" s="1061"/>
      <c r="Y14" s="1061"/>
      <c r="Z14" s="120"/>
      <c r="AA14" s="120"/>
      <c r="AB14" s="120" t="str">
        <f t="shared" si="7"/>
        <v/>
      </c>
      <c r="AC14" s="574">
        <v>9</v>
      </c>
      <c r="AD14" s="1061" t="str">
        <f t="shared" si="3"/>
        <v/>
      </c>
      <c r="AE14" s="1061"/>
      <c r="AF14" s="1061"/>
      <c r="AG14" s="1061"/>
      <c r="AH14" s="1061"/>
      <c r="AI14" s="120"/>
      <c r="AJ14" s="120"/>
      <c r="AK14" s="120" t="str">
        <f t="shared" si="8"/>
        <v/>
      </c>
      <c r="AL14" s="574">
        <v>9</v>
      </c>
      <c r="AM14" s="1061" t="str">
        <f t="shared" si="4"/>
        <v/>
      </c>
      <c r="AN14" s="1061"/>
      <c r="AO14" s="1061"/>
      <c r="AP14" s="1061"/>
      <c r="AQ14" s="1061"/>
      <c r="AR14" s="120"/>
      <c r="AS14" s="565" t="str">
        <f t="shared" si="9"/>
        <v/>
      </c>
      <c r="AT14" s="565"/>
      <c r="AU14" s="565"/>
      <c r="AV14" s="565"/>
      <c r="AW14" s="565">
        <v>10</v>
      </c>
      <c r="AX14" s="565">
        <f>Character_Creation!C388</f>
        <v>0</v>
      </c>
      <c r="AY14" s="565" t="str">
        <f>IFERROR(INDEX(T08_Spells!$C$3:$C$1000,MATCH(S06_Ranger!AX14,T08_Spells!$B$3:$B$1000,0),1),"")</f>
        <v/>
      </c>
      <c r="AZ14" s="565"/>
      <c r="BA14" s="565" t="str">
        <f>IF($AY14=1,1+COUNTIF(BA$5:BA13,"&gt;0"),"")</f>
        <v/>
      </c>
      <c r="BB14" s="565" t="str">
        <f t="shared" si="10"/>
        <v/>
      </c>
      <c r="BC14" s="565" t="str">
        <f>IF($AY14=3,1+COUNTIF(BC$5:BC13,"&gt;0"),"")</f>
        <v/>
      </c>
      <c r="BD14" s="565"/>
      <c r="BE14" s="120"/>
      <c r="BF14" s="120"/>
      <c r="BG14" s="120"/>
      <c r="BH14" s="120"/>
      <c r="BI14" s="120"/>
      <c r="BJ14" s="120"/>
      <c r="BK14" s="120"/>
      <c r="BL14" s="120"/>
      <c r="BM14" s="120"/>
      <c r="BN14" s="120"/>
      <c r="BO14" s="120"/>
      <c r="BP14" s="120"/>
      <c r="BQ14" s="120"/>
      <c r="BR14" s="120"/>
      <c r="BS14" s="120"/>
      <c r="BT14" s="120"/>
      <c r="BU14" s="120"/>
      <c r="BV14" s="120"/>
      <c r="BW14" s="120"/>
      <c r="BX14" s="120"/>
      <c r="BY14" s="120"/>
      <c r="CC14" s="558"/>
    </row>
    <row r="15" spans="1:103" x14ac:dyDescent="0.25">
      <c r="A15" s="120"/>
      <c r="B15" s="574">
        <v>10</v>
      </c>
      <c r="C15" s="1061" t="str">
        <f t="shared" si="0"/>
        <v/>
      </c>
      <c r="D15" s="1061"/>
      <c r="E15" s="1061"/>
      <c r="F15" s="1061"/>
      <c r="G15" s="1061"/>
      <c r="H15" s="120"/>
      <c r="I15" s="120"/>
      <c r="J15" s="120" t="str">
        <f t="shared" si="5"/>
        <v/>
      </c>
      <c r="K15" s="574">
        <v>10</v>
      </c>
      <c r="L15" s="1061" t="str">
        <f t="shared" si="1"/>
        <v/>
      </c>
      <c r="M15" s="1061"/>
      <c r="N15" s="1061"/>
      <c r="O15" s="1061"/>
      <c r="P15" s="1061"/>
      <c r="Q15" s="120"/>
      <c r="R15" s="120"/>
      <c r="S15" s="120" t="str">
        <f t="shared" si="6"/>
        <v/>
      </c>
      <c r="T15" s="574">
        <v>10</v>
      </c>
      <c r="U15" s="1061" t="str">
        <f t="shared" si="2"/>
        <v/>
      </c>
      <c r="V15" s="1061"/>
      <c r="W15" s="1061"/>
      <c r="X15" s="1061"/>
      <c r="Y15" s="1061"/>
      <c r="Z15" s="120"/>
      <c r="AA15" s="120"/>
      <c r="AB15" s="120" t="str">
        <f t="shared" si="7"/>
        <v/>
      </c>
      <c r="AC15" s="574">
        <v>10</v>
      </c>
      <c r="AD15" s="1061" t="str">
        <f t="shared" si="3"/>
        <v/>
      </c>
      <c r="AE15" s="1061"/>
      <c r="AF15" s="1061"/>
      <c r="AG15" s="1061"/>
      <c r="AH15" s="1061"/>
      <c r="AI15" s="120"/>
      <c r="AJ15" s="120"/>
      <c r="AK15" s="120" t="str">
        <f t="shared" si="8"/>
        <v/>
      </c>
      <c r="AL15" s="574">
        <v>10</v>
      </c>
      <c r="AM15" s="1061" t="str">
        <f t="shared" si="4"/>
        <v/>
      </c>
      <c r="AN15" s="1061"/>
      <c r="AO15" s="1061"/>
      <c r="AP15" s="1061"/>
      <c r="AQ15" s="1061"/>
      <c r="AR15" s="120"/>
      <c r="AS15" s="565" t="str">
        <f t="shared" si="9"/>
        <v/>
      </c>
      <c r="AT15" s="565"/>
      <c r="AU15" s="565"/>
      <c r="AV15" s="565"/>
      <c r="AW15" s="565">
        <v>11</v>
      </c>
      <c r="AX15" s="565">
        <f>Character_Creation!C389</f>
        <v>0</v>
      </c>
      <c r="AY15" s="565" t="str">
        <f>IFERROR(INDEX(T08_Spells!$C$3:$C$1000,MATCH(S06_Ranger!AX15,T08_Spells!$B$3:$B$1000,0),1),"")</f>
        <v/>
      </c>
      <c r="AZ15" s="565"/>
      <c r="BA15" s="565" t="str">
        <f>IF($AY15=1,1+COUNTIF(BA$5:BA14,"&gt;0"),"")</f>
        <v/>
      </c>
      <c r="BB15" s="565" t="str">
        <f t="shared" si="10"/>
        <v/>
      </c>
      <c r="BC15" s="565" t="str">
        <f>IF($AY15=3,1+COUNTIF(BC$5:BC14,"&gt;0"),"")</f>
        <v/>
      </c>
      <c r="BD15" s="565"/>
      <c r="BE15" s="120"/>
      <c r="BF15" s="120"/>
      <c r="BG15" s="120"/>
      <c r="BH15" s="120"/>
      <c r="BI15" s="120"/>
      <c r="BJ15" s="120"/>
      <c r="BK15" s="120"/>
      <c r="BL15" s="120"/>
      <c r="BM15" s="120"/>
      <c r="BN15" s="120"/>
      <c r="BO15" s="120"/>
      <c r="BP15" s="120"/>
      <c r="BQ15" s="120"/>
      <c r="BR15" s="120"/>
      <c r="BS15" s="120"/>
      <c r="BT15" s="120"/>
      <c r="BU15" s="120"/>
      <c r="BV15" s="120"/>
      <c r="BW15" s="120"/>
      <c r="BX15" s="120"/>
      <c r="BY15" s="120"/>
    </row>
    <row r="16" spans="1:103" x14ac:dyDescent="0.25">
      <c r="A16" s="120"/>
      <c r="B16" s="574">
        <v>11</v>
      </c>
      <c r="C16" s="1061" t="str">
        <f t="shared" si="0"/>
        <v/>
      </c>
      <c r="D16" s="1061"/>
      <c r="E16" s="1061"/>
      <c r="F16" s="1061"/>
      <c r="G16" s="1061"/>
      <c r="H16" s="120"/>
      <c r="I16" s="120"/>
      <c r="J16" s="120" t="str">
        <f t="shared" si="5"/>
        <v/>
      </c>
      <c r="K16" s="574">
        <v>11</v>
      </c>
      <c r="L16" s="1061" t="str">
        <f t="shared" si="1"/>
        <v/>
      </c>
      <c r="M16" s="1061"/>
      <c r="N16" s="1061"/>
      <c r="O16" s="1061"/>
      <c r="P16" s="1061"/>
      <c r="Q16" s="120"/>
      <c r="R16" s="120"/>
      <c r="S16" s="120" t="str">
        <f t="shared" si="6"/>
        <v/>
      </c>
      <c r="T16" s="574">
        <v>11</v>
      </c>
      <c r="U16" s="1061" t="str">
        <f t="shared" si="2"/>
        <v/>
      </c>
      <c r="V16" s="1061"/>
      <c r="W16" s="1061"/>
      <c r="X16" s="1061"/>
      <c r="Y16" s="1061"/>
      <c r="Z16" s="120"/>
      <c r="AA16" s="120"/>
      <c r="AB16" s="120" t="str">
        <f t="shared" si="7"/>
        <v/>
      </c>
      <c r="AC16" s="574">
        <v>11</v>
      </c>
      <c r="AD16" s="1061" t="str">
        <f t="shared" si="3"/>
        <v/>
      </c>
      <c r="AE16" s="1061"/>
      <c r="AF16" s="1061"/>
      <c r="AG16" s="1061"/>
      <c r="AH16" s="1061"/>
      <c r="AI16" s="120"/>
      <c r="AJ16" s="120"/>
      <c r="AK16" s="120" t="str">
        <f t="shared" si="8"/>
        <v/>
      </c>
      <c r="AL16" s="574">
        <v>11</v>
      </c>
      <c r="AM16" s="1061" t="str">
        <f t="shared" si="4"/>
        <v/>
      </c>
      <c r="AN16" s="1061"/>
      <c r="AO16" s="1061"/>
      <c r="AP16" s="1061"/>
      <c r="AQ16" s="1061"/>
      <c r="AR16" s="120"/>
      <c r="AS16" s="565" t="str">
        <f t="shared" si="9"/>
        <v/>
      </c>
      <c r="AT16" s="565"/>
      <c r="AU16" s="565"/>
      <c r="AV16" s="565"/>
      <c r="AW16" s="565"/>
      <c r="AX16" s="565"/>
      <c r="AY16" s="565"/>
      <c r="AZ16" s="565"/>
      <c r="BA16" s="565"/>
      <c r="BB16" s="565"/>
      <c r="BC16" s="565"/>
      <c r="BD16" s="565"/>
      <c r="BE16" s="120"/>
      <c r="BF16" s="120"/>
      <c r="BG16" s="120"/>
      <c r="BH16" s="120"/>
      <c r="BI16" s="120"/>
      <c r="BJ16" s="120"/>
      <c r="BK16" s="120"/>
      <c r="BL16" s="120"/>
      <c r="BM16" s="120"/>
      <c r="BN16" s="120"/>
      <c r="BO16" s="120"/>
      <c r="BP16" s="120"/>
      <c r="BQ16" s="120"/>
      <c r="BR16" s="120"/>
      <c r="BS16" s="120"/>
      <c r="BT16" s="120"/>
      <c r="BU16" s="120"/>
      <c r="BV16" s="120"/>
      <c r="BW16" s="120"/>
      <c r="BX16" s="120"/>
      <c r="BY16" s="120"/>
    </row>
    <row r="17" spans="1:77" x14ac:dyDescent="0.25">
      <c r="A17" s="120"/>
      <c r="B17" s="574">
        <v>12</v>
      </c>
      <c r="C17" s="1061" t="str">
        <f t="shared" si="0"/>
        <v/>
      </c>
      <c r="D17" s="1061"/>
      <c r="E17" s="1061"/>
      <c r="F17" s="1061"/>
      <c r="G17" s="1061"/>
      <c r="H17" s="120"/>
      <c r="I17" s="120"/>
      <c r="J17" s="120" t="str">
        <f t="shared" si="5"/>
        <v/>
      </c>
      <c r="K17" s="574">
        <v>12</v>
      </c>
      <c r="L17" s="1061" t="str">
        <f t="shared" si="1"/>
        <v/>
      </c>
      <c r="M17" s="1061"/>
      <c r="N17" s="1061"/>
      <c r="O17" s="1061"/>
      <c r="P17" s="1061"/>
      <c r="Q17" s="120"/>
      <c r="R17" s="120"/>
      <c r="S17" s="120" t="str">
        <f t="shared" si="6"/>
        <v/>
      </c>
      <c r="T17" s="574">
        <v>12</v>
      </c>
      <c r="U17" s="1061" t="str">
        <f t="shared" si="2"/>
        <v/>
      </c>
      <c r="V17" s="1061"/>
      <c r="W17" s="1061"/>
      <c r="X17" s="1061"/>
      <c r="Y17" s="1061"/>
      <c r="Z17" s="120"/>
      <c r="AA17" s="120"/>
      <c r="AB17" s="120" t="str">
        <f t="shared" si="7"/>
        <v/>
      </c>
      <c r="AC17" s="574">
        <v>12</v>
      </c>
      <c r="AD17" s="1061" t="str">
        <f t="shared" si="3"/>
        <v/>
      </c>
      <c r="AE17" s="1061"/>
      <c r="AF17" s="1061"/>
      <c r="AG17" s="1061"/>
      <c r="AH17" s="1061"/>
      <c r="AI17" s="120"/>
      <c r="AJ17" s="120"/>
      <c r="AK17" s="120" t="str">
        <f t="shared" si="8"/>
        <v/>
      </c>
      <c r="AL17" s="574">
        <v>12</v>
      </c>
      <c r="AM17" s="1061" t="str">
        <f t="shared" si="4"/>
        <v/>
      </c>
      <c r="AN17" s="1061"/>
      <c r="AO17" s="1061"/>
      <c r="AP17" s="1061"/>
      <c r="AQ17" s="1061"/>
      <c r="AR17" s="120"/>
      <c r="AS17" s="565" t="str">
        <f t="shared" si="9"/>
        <v/>
      </c>
      <c r="AT17" s="565"/>
      <c r="AU17" s="565"/>
      <c r="AV17" s="565"/>
      <c r="AW17" s="565"/>
      <c r="AX17" s="565"/>
      <c r="AY17" s="565"/>
      <c r="AZ17" s="565"/>
      <c r="BA17" s="565"/>
      <c r="BB17" s="565"/>
      <c r="BC17" s="565"/>
      <c r="BD17" s="565"/>
      <c r="BE17" s="120"/>
      <c r="BF17" s="120"/>
      <c r="BG17" s="120"/>
      <c r="BH17" s="120"/>
      <c r="BI17" s="120"/>
      <c r="BJ17" s="120"/>
      <c r="BK17" s="120"/>
      <c r="BL17" s="120"/>
      <c r="BM17" s="120"/>
      <c r="BN17" s="120"/>
      <c r="BO17" s="120"/>
      <c r="BP17" s="120"/>
      <c r="BQ17" s="120"/>
      <c r="BR17" s="120"/>
      <c r="BS17" s="120"/>
      <c r="BT17" s="120"/>
      <c r="BU17" s="120"/>
      <c r="BV17" s="120"/>
      <c r="BW17" s="120"/>
      <c r="BX17" s="120"/>
      <c r="BY17" s="120"/>
    </row>
    <row r="18" spans="1:77" x14ac:dyDescent="0.25">
      <c r="A18" s="120"/>
      <c r="B18" s="574">
        <v>13</v>
      </c>
      <c r="C18" s="1061" t="str">
        <f t="shared" si="0"/>
        <v/>
      </c>
      <c r="D18" s="1061"/>
      <c r="E18" s="1061"/>
      <c r="F18" s="1061"/>
      <c r="G18" s="1061"/>
      <c r="H18" s="120"/>
      <c r="I18" s="120"/>
      <c r="J18" s="120" t="str">
        <f t="shared" si="5"/>
        <v/>
      </c>
      <c r="K18" s="574">
        <v>13</v>
      </c>
      <c r="L18" s="1061" t="str">
        <f t="shared" si="1"/>
        <v/>
      </c>
      <c r="M18" s="1061"/>
      <c r="N18" s="1061"/>
      <c r="O18" s="1061"/>
      <c r="P18" s="1061"/>
      <c r="Q18" s="120"/>
      <c r="R18" s="120"/>
      <c r="S18" s="120" t="str">
        <f t="shared" si="6"/>
        <v/>
      </c>
      <c r="T18" s="574">
        <v>13</v>
      </c>
      <c r="U18" s="1061" t="str">
        <f t="shared" si="2"/>
        <v/>
      </c>
      <c r="V18" s="1061"/>
      <c r="W18" s="1061"/>
      <c r="X18" s="1061"/>
      <c r="Y18" s="1061"/>
      <c r="Z18" s="120"/>
      <c r="AA18" s="120"/>
      <c r="AB18" s="120" t="str">
        <f t="shared" si="7"/>
        <v/>
      </c>
      <c r="AC18" s="574">
        <v>13</v>
      </c>
      <c r="AD18" s="1061" t="str">
        <f t="shared" si="3"/>
        <v/>
      </c>
      <c r="AE18" s="1061"/>
      <c r="AF18" s="1061"/>
      <c r="AG18" s="1061"/>
      <c r="AH18" s="1061"/>
      <c r="AI18" s="120"/>
      <c r="AJ18" s="120"/>
      <c r="AK18" s="120" t="str">
        <f t="shared" si="8"/>
        <v/>
      </c>
      <c r="AL18" s="574">
        <v>13</v>
      </c>
      <c r="AM18" s="1061" t="str">
        <f t="shared" si="4"/>
        <v/>
      </c>
      <c r="AN18" s="1061"/>
      <c r="AO18" s="1061"/>
      <c r="AP18" s="1061"/>
      <c r="AQ18" s="1061"/>
      <c r="AR18" s="120"/>
      <c r="AS18" s="565" t="str">
        <f t="shared" si="9"/>
        <v/>
      </c>
      <c r="AT18" s="565"/>
      <c r="AU18" s="565"/>
      <c r="AV18" s="565"/>
      <c r="AW18" s="565"/>
      <c r="AX18" s="565"/>
      <c r="AY18" s="565"/>
      <c r="AZ18" s="565"/>
      <c r="BA18" s="565"/>
      <c r="BB18" s="565"/>
      <c r="BC18" s="565"/>
      <c r="BD18" s="565"/>
      <c r="BE18" s="120"/>
      <c r="BF18" s="120"/>
      <c r="BG18" s="120"/>
      <c r="BH18" s="120"/>
      <c r="BI18" s="120"/>
      <c r="BJ18" s="120"/>
      <c r="BK18" s="120"/>
      <c r="BL18" s="120"/>
      <c r="BM18" s="120"/>
      <c r="BN18" s="120"/>
      <c r="BO18" s="120"/>
      <c r="BP18" s="120"/>
      <c r="BQ18" s="120"/>
      <c r="BR18" s="120"/>
      <c r="BS18" s="120"/>
      <c r="BT18" s="120"/>
      <c r="BU18" s="120"/>
      <c r="BV18" s="120"/>
      <c r="BW18" s="120"/>
      <c r="BX18" s="120"/>
      <c r="BY18" s="120"/>
    </row>
    <row r="19" spans="1:77" x14ac:dyDescent="0.25">
      <c r="A19" s="120"/>
      <c r="B19" s="574">
        <v>14</v>
      </c>
      <c r="C19" s="1061" t="str">
        <f t="shared" si="0"/>
        <v/>
      </c>
      <c r="D19" s="1061"/>
      <c r="E19" s="1061"/>
      <c r="F19" s="1061"/>
      <c r="G19" s="1061"/>
      <c r="H19" s="120"/>
      <c r="I19" s="120"/>
      <c r="J19" s="120" t="str">
        <f t="shared" si="5"/>
        <v/>
      </c>
      <c r="K19" s="574">
        <v>14</v>
      </c>
      <c r="L19" s="1061" t="str">
        <f t="shared" si="1"/>
        <v/>
      </c>
      <c r="M19" s="1061"/>
      <c r="N19" s="1061"/>
      <c r="O19" s="1061"/>
      <c r="P19" s="1061"/>
      <c r="Q19" s="120"/>
      <c r="R19" s="120"/>
      <c r="S19" s="120" t="str">
        <f t="shared" si="6"/>
        <v/>
      </c>
      <c r="T19" s="574">
        <v>14</v>
      </c>
      <c r="U19" s="1061" t="str">
        <f t="shared" si="2"/>
        <v/>
      </c>
      <c r="V19" s="1061"/>
      <c r="W19" s="1061"/>
      <c r="X19" s="1061"/>
      <c r="Y19" s="1061"/>
      <c r="Z19" s="120"/>
      <c r="AA19" s="120"/>
      <c r="AB19" s="120" t="str">
        <f t="shared" si="7"/>
        <v/>
      </c>
      <c r="AC19" s="574">
        <v>14</v>
      </c>
      <c r="AD19" s="1061" t="str">
        <f t="shared" si="3"/>
        <v/>
      </c>
      <c r="AE19" s="1061"/>
      <c r="AF19" s="1061"/>
      <c r="AG19" s="1061"/>
      <c r="AH19" s="1061"/>
      <c r="AI19" s="120"/>
      <c r="AJ19" s="120"/>
      <c r="AK19" s="120" t="str">
        <f t="shared" si="8"/>
        <v/>
      </c>
      <c r="AL19" s="574">
        <v>14</v>
      </c>
      <c r="AM19" s="1061" t="str">
        <f t="shared" si="4"/>
        <v/>
      </c>
      <c r="AN19" s="1061"/>
      <c r="AO19" s="1061"/>
      <c r="AP19" s="1061"/>
      <c r="AQ19" s="1061"/>
      <c r="AR19" s="120"/>
      <c r="AS19" s="565" t="str">
        <f t="shared" si="9"/>
        <v/>
      </c>
      <c r="AT19" s="565"/>
      <c r="AU19" s="565"/>
      <c r="AV19" s="565"/>
      <c r="AW19" s="565"/>
      <c r="AX19" s="565"/>
      <c r="AY19" s="565"/>
      <c r="AZ19" s="565"/>
      <c r="BA19" s="565"/>
      <c r="BB19" s="565"/>
      <c r="BC19" s="565"/>
      <c r="BD19" s="565"/>
      <c r="BE19" s="120"/>
      <c r="BF19" s="120"/>
      <c r="BG19" s="120"/>
      <c r="BH19" s="120"/>
      <c r="BI19" s="120"/>
      <c r="BJ19" s="120"/>
      <c r="BK19" s="120"/>
      <c r="BL19" s="120"/>
      <c r="BM19" s="120"/>
      <c r="BN19" s="120"/>
      <c r="BO19" s="120"/>
      <c r="BP19" s="120"/>
      <c r="BQ19" s="120"/>
      <c r="BR19" s="120"/>
      <c r="BS19" s="120"/>
      <c r="BT19" s="120"/>
      <c r="BU19" s="120"/>
      <c r="BV19" s="120"/>
      <c r="BW19" s="120"/>
      <c r="BX19" s="120"/>
      <c r="BY19" s="120"/>
    </row>
    <row r="20" spans="1:77" x14ac:dyDescent="0.25">
      <c r="A20" s="120"/>
      <c r="B20" s="574">
        <v>15</v>
      </c>
      <c r="C20" s="1061" t="str">
        <f t="shared" si="0"/>
        <v/>
      </c>
      <c r="D20" s="1061"/>
      <c r="E20" s="1061"/>
      <c r="F20" s="1061"/>
      <c r="G20" s="1061"/>
      <c r="H20" s="120"/>
      <c r="I20" s="120"/>
      <c r="J20" s="120" t="str">
        <f t="shared" si="5"/>
        <v/>
      </c>
      <c r="K20" s="574">
        <v>15</v>
      </c>
      <c r="L20" s="1061" t="str">
        <f t="shared" si="1"/>
        <v/>
      </c>
      <c r="M20" s="1061"/>
      <c r="N20" s="1061"/>
      <c r="O20" s="1061"/>
      <c r="P20" s="1061"/>
      <c r="Q20" s="120"/>
      <c r="R20" s="120"/>
      <c r="S20" s="120" t="str">
        <f t="shared" si="6"/>
        <v/>
      </c>
      <c r="T20" s="574">
        <v>15</v>
      </c>
      <c r="U20" s="1061" t="str">
        <f t="shared" si="2"/>
        <v/>
      </c>
      <c r="V20" s="1061"/>
      <c r="W20" s="1061"/>
      <c r="X20" s="1061"/>
      <c r="Y20" s="1061"/>
      <c r="Z20" s="120"/>
      <c r="AA20" s="120"/>
      <c r="AB20" s="120" t="str">
        <f t="shared" si="7"/>
        <v/>
      </c>
      <c r="AC20" s="574">
        <v>15</v>
      </c>
      <c r="AD20" s="1061" t="str">
        <f t="shared" si="3"/>
        <v/>
      </c>
      <c r="AE20" s="1061"/>
      <c r="AF20" s="1061"/>
      <c r="AG20" s="1061"/>
      <c r="AH20" s="1061"/>
      <c r="AI20" s="120"/>
      <c r="AJ20" s="120"/>
      <c r="AK20" s="120" t="str">
        <f t="shared" si="8"/>
        <v/>
      </c>
      <c r="AL20" s="574">
        <v>15</v>
      </c>
      <c r="AM20" s="1061" t="str">
        <f t="shared" si="4"/>
        <v/>
      </c>
      <c r="AN20" s="1061"/>
      <c r="AO20" s="1061"/>
      <c r="AP20" s="1061"/>
      <c r="AQ20" s="1061"/>
      <c r="AR20" s="120"/>
      <c r="AS20" s="120" t="str">
        <f t="shared" si="9"/>
        <v/>
      </c>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c r="BY20" s="120"/>
    </row>
    <row r="21" spans="1:77" x14ac:dyDescent="0.25">
      <c r="A21" s="120"/>
      <c r="B21" s="574">
        <v>16</v>
      </c>
      <c r="C21" s="1061" t="str">
        <f t="shared" si="0"/>
        <v/>
      </c>
      <c r="D21" s="1061"/>
      <c r="E21" s="1061"/>
      <c r="F21" s="1061"/>
      <c r="G21" s="1061"/>
      <c r="H21" s="120"/>
      <c r="I21" s="120"/>
      <c r="J21" s="120" t="str">
        <f t="shared" si="5"/>
        <v/>
      </c>
      <c r="K21" s="574">
        <v>16</v>
      </c>
      <c r="L21" s="1061" t="str">
        <f t="shared" si="1"/>
        <v/>
      </c>
      <c r="M21" s="1061"/>
      <c r="N21" s="1061"/>
      <c r="O21" s="1061"/>
      <c r="P21" s="1061"/>
      <c r="Q21" s="120"/>
      <c r="R21" s="120"/>
      <c r="S21" s="120" t="str">
        <f t="shared" si="6"/>
        <v/>
      </c>
      <c r="T21" s="574">
        <v>16</v>
      </c>
      <c r="U21" s="1061" t="str">
        <f t="shared" si="2"/>
        <v/>
      </c>
      <c r="V21" s="1061"/>
      <c r="W21" s="1061"/>
      <c r="X21" s="1061"/>
      <c r="Y21" s="1061"/>
      <c r="Z21" s="120"/>
      <c r="AA21" s="120"/>
      <c r="AB21" s="120" t="str">
        <f t="shared" si="7"/>
        <v/>
      </c>
      <c r="AC21" s="574">
        <v>16</v>
      </c>
      <c r="AD21" s="1061" t="str">
        <f t="shared" si="3"/>
        <v/>
      </c>
      <c r="AE21" s="1061"/>
      <c r="AF21" s="1061"/>
      <c r="AG21" s="1061"/>
      <c r="AH21" s="1061"/>
      <c r="AI21" s="120"/>
      <c r="AJ21" s="120"/>
      <c r="AK21" s="120" t="str">
        <f t="shared" si="8"/>
        <v/>
      </c>
      <c r="AL21" s="574">
        <v>16</v>
      </c>
      <c r="AM21" s="1061" t="str">
        <f t="shared" si="4"/>
        <v/>
      </c>
      <c r="AN21" s="1061"/>
      <c r="AO21" s="1061"/>
      <c r="AP21" s="1061"/>
      <c r="AQ21" s="1061"/>
      <c r="AR21" s="120"/>
      <c r="AS21" s="120" t="str">
        <f t="shared" si="9"/>
        <v/>
      </c>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c r="BY21" s="120"/>
    </row>
    <row r="22" spans="1:77" x14ac:dyDescent="0.25">
      <c r="A22" s="120"/>
      <c r="B22" s="574">
        <v>17</v>
      </c>
      <c r="C22" s="1061" t="str">
        <f t="shared" si="0"/>
        <v/>
      </c>
      <c r="D22" s="1061"/>
      <c r="E22" s="1061"/>
      <c r="F22" s="1061"/>
      <c r="G22" s="1061"/>
      <c r="H22" s="120"/>
      <c r="I22" s="120"/>
      <c r="J22" s="120" t="str">
        <f t="shared" si="5"/>
        <v/>
      </c>
      <c r="K22" s="574">
        <v>17</v>
      </c>
      <c r="L22" s="1061" t="str">
        <f t="shared" si="1"/>
        <v/>
      </c>
      <c r="M22" s="1061"/>
      <c r="N22" s="1061"/>
      <c r="O22" s="1061"/>
      <c r="P22" s="1061"/>
      <c r="Q22" s="120"/>
      <c r="R22" s="120"/>
      <c r="S22" s="120" t="str">
        <f t="shared" si="6"/>
        <v/>
      </c>
      <c r="T22" s="574">
        <v>17</v>
      </c>
      <c r="U22" s="1061" t="str">
        <f t="shared" si="2"/>
        <v/>
      </c>
      <c r="V22" s="1061"/>
      <c r="W22" s="1061"/>
      <c r="X22" s="1061"/>
      <c r="Y22" s="1061"/>
      <c r="Z22" s="120"/>
      <c r="AA22" s="120"/>
      <c r="AB22" s="120" t="str">
        <f t="shared" si="7"/>
        <v/>
      </c>
      <c r="AC22" s="574">
        <v>17</v>
      </c>
      <c r="AD22" s="1061" t="str">
        <f t="shared" si="3"/>
        <v/>
      </c>
      <c r="AE22" s="1061"/>
      <c r="AF22" s="1061"/>
      <c r="AG22" s="1061"/>
      <c r="AH22" s="1061"/>
      <c r="AI22" s="120"/>
      <c r="AJ22" s="120"/>
      <c r="AK22" s="120" t="str">
        <f t="shared" si="8"/>
        <v/>
      </c>
      <c r="AL22" s="574">
        <v>17</v>
      </c>
      <c r="AM22" s="1061" t="str">
        <f t="shared" si="4"/>
        <v/>
      </c>
      <c r="AN22" s="1061"/>
      <c r="AO22" s="1061"/>
      <c r="AP22" s="1061"/>
      <c r="AQ22" s="1061"/>
      <c r="AR22" s="120"/>
      <c r="AS22" s="120" t="str">
        <f t="shared" si="9"/>
        <v/>
      </c>
      <c r="AT22" s="120"/>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c r="BR22" s="120"/>
      <c r="BS22" s="120"/>
      <c r="BT22" s="120"/>
      <c r="BU22" s="120"/>
      <c r="BV22" s="120"/>
      <c r="BW22" s="120"/>
      <c r="BX22" s="120"/>
      <c r="BY22" s="120"/>
    </row>
    <row r="23" spans="1:77" x14ac:dyDescent="0.25">
      <c r="A23" s="120"/>
      <c r="B23" s="574">
        <v>18</v>
      </c>
      <c r="C23" s="1061" t="str">
        <f t="shared" si="0"/>
        <v/>
      </c>
      <c r="D23" s="1061"/>
      <c r="E23" s="1061"/>
      <c r="F23" s="1061"/>
      <c r="G23" s="1061"/>
      <c r="H23" s="120"/>
      <c r="I23" s="120"/>
      <c r="J23" s="120" t="str">
        <f t="shared" si="5"/>
        <v/>
      </c>
      <c r="K23" s="574">
        <v>18</v>
      </c>
      <c r="L23" s="1061" t="str">
        <f t="shared" si="1"/>
        <v/>
      </c>
      <c r="M23" s="1061"/>
      <c r="N23" s="1061"/>
      <c r="O23" s="1061"/>
      <c r="P23" s="1061"/>
      <c r="Q23" s="120"/>
      <c r="R23" s="120"/>
      <c r="S23" s="120" t="str">
        <f t="shared" si="6"/>
        <v/>
      </c>
      <c r="T23" s="574">
        <v>18</v>
      </c>
      <c r="U23" s="1061" t="str">
        <f t="shared" si="2"/>
        <v/>
      </c>
      <c r="V23" s="1061"/>
      <c r="W23" s="1061"/>
      <c r="X23" s="1061"/>
      <c r="Y23" s="1061"/>
      <c r="Z23" s="120"/>
      <c r="AA23" s="120"/>
      <c r="AB23" s="120" t="str">
        <f t="shared" si="7"/>
        <v/>
      </c>
      <c r="AC23" s="574">
        <v>18</v>
      </c>
      <c r="AD23" s="1061" t="str">
        <f t="shared" si="3"/>
        <v/>
      </c>
      <c r="AE23" s="1061"/>
      <c r="AF23" s="1061"/>
      <c r="AG23" s="1061"/>
      <c r="AH23" s="1061"/>
      <c r="AI23" s="120"/>
      <c r="AJ23" s="120"/>
      <c r="AK23" s="120" t="str">
        <f t="shared" si="8"/>
        <v/>
      </c>
      <c r="AL23" s="574">
        <v>18</v>
      </c>
      <c r="AM23" s="1061" t="str">
        <f t="shared" si="4"/>
        <v/>
      </c>
      <c r="AN23" s="1061"/>
      <c r="AO23" s="1061"/>
      <c r="AP23" s="1061"/>
      <c r="AQ23" s="1061"/>
      <c r="AR23" s="120"/>
      <c r="AS23" s="120" t="str">
        <f t="shared" si="9"/>
        <v/>
      </c>
      <c r="AT23" s="120"/>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c r="BY23" s="120"/>
    </row>
    <row r="24" spans="1:77" x14ac:dyDescent="0.25">
      <c r="A24" s="120"/>
      <c r="B24" s="574">
        <v>19</v>
      </c>
      <c r="C24" s="1061" t="str">
        <f t="shared" si="0"/>
        <v/>
      </c>
      <c r="D24" s="1061"/>
      <c r="E24" s="1061"/>
      <c r="F24" s="1061"/>
      <c r="G24" s="1061"/>
      <c r="H24" s="120"/>
      <c r="I24" s="120"/>
      <c r="J24" s="120" t="str">
        <f t="shared" si="5"/>
        <v/>
      </c>
      <c r="K24" s="574">
        <v>19</v>
      </c>
      <c r="L24" s="1061" t="str">
        <f t="shared" si="1"/>
        <v/>
      </c>
      <c r="M24" s="1061"/>
      <c r="N24" s="1061"/>
      <c r="O24" s="1061"/>
      <c r="P24" s="1061"/>
      <c r="Q24" s="120"/>
      <c r="R24" s="120"/>
      <c r="S24" s="120" t="str">
        <f t="shared" si="6"/>
        <v/>
      </c>
      <c r="T24" s="574">
        <v>19</v>
      </c>
      <c r="U24" s="1061" t="str">
        <f t="shared" si="2"/>
        <v/>
      </c>
      <c r="V24" s="1061"/>
      <c r="W24" s="1061"/>
      <c r="X24" s="1061"/>
      <c r="Y24" s="1061"/>
      <c r="Z24" s="120"/>
      <c r="AA24" s="120"/>
      <c r="AB24" s="120" t="str">
        <f t="shared" si="7"/>
        <v/>
      </c>
      <c r="AC24" s="574">
        <v>19</v>
      </c>
      <c r="AD24" s="1061" t="str">
        <f t="shared" si="3"/>
        <v/>
      </c>
      <c r="AE24" s="1061"/>
      <c r="AF24" s="1061"/>
      <c r="AG24" s="1061"/>
      <c r="AH24" s="1061"/>
      <c r="AI24" s="120"/>
      <c r="AJ24" s="120"/>
      <c r="AK24" s="120" t="str">
        <f t="shared" si="8"/>
        <v/>
      </c>
      <c r="AL24" s="574">
        <v>19</v>
      </c>
      <c r="AM24" s="1061" t="str">
        <f t="shared" si="4"/>
        <v/>
      </c>
      <c r="AN24" s="1061"/>
      <c r="AO24" s="1061"/>
      <c r="AP24" s="1061"/>
      <c r="AQ24" s="1061"/>
      <c r="AR24" s="120"/>
      <c r="AS24" s="120" t="str">
        <f t="shared" si="9"/>
        <v/>
      </c>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c r="BY24" s="120"/>
    </row>
    <row r="25" spans="1:77" x14ac:dyDescent="0.25">
      <c r="A25" s="120"/>
      <c r="B25" s="574">
        <v>20</v>
      </c>
      <c r="C25" s="1061" t="str">
        <f t="shared" si="0"/>
        <v/>
      </c>
      <c r="D25" s="1061"/>
      <c r="E25" s="1061"/>
      <c r="F25" s="1061"/>
      <c r="G25" s="1061"/>
      <c r="H25" s="120"/>
      <c r="I25" s="120"/>
      <c r="J25" s="120" t="str">
        <f t="shared" si="5"/>
        <v/>
      </c>
      <c r="K25" s="574">
        <v>20</v>
      </c>
      <c r="L25" s="1061" t="str">
        <f t="shared" si="1"/>
        <v/>
      </c>
      <c r="M25" s="1061"/>
      <c r="N25" s="1061"/>
      <c r="O25" s="1061"/>
      <c r="P25" s="1061"/>
      <c r="Q25" s="120"/>
      <c r="R25" s="120"/>
      <c r="S25" s="120" t="str">
        <f t="shared" si="6"/>
        <v/>
      </c>
      <c r="T25" s="574">
        <v>20</v>
      </c>
      <c r="U25" s="1061" t="str">
        <f t="shared" si="2"/>
        <v/>
      </c>
      <c r="V25" s="1061"/>
      <c r="W25" s="1061"/>
      <c r="X25" s="1061"/>
      <c r="Y25" s="1061"/>
      <c r="Z25" s="120"/>
      <c r="AA25" s="120"/>
      <c r="AB25" s="120" t="str">
        <f t="shared" si="7"/>
        <v/>
      </c>
      <c r="AC25" s="574">
        <v>20</v>
      </c>
      <c r="AD25" s="1061" t="str">
        <f t="shared" si="3"/>
        <v/>
      </c>
      <c r="AE25" s="1061"/>
      <c r="AF25" s="1061"/>
      <c r="AG25" s="1061"/>
      <c r="AH25" s="1061"/>
      <c r="AI25" s="120"/>
      <c r="AJ25" s="120"/>
      <c r="AK25" s="120" t="str">
        <f t="shared" si="8"/>
        <v/>
      </c>
      <c r="AL25" s="574">
        <v>20</v>
      </c>
      <c r="AM25" s="1061" t="str">
        <f t="shared" si="4"/>
        <v/>
      </c>
      <c r="AN25" s="1061"/>
      <c r="AO25" s="1061"/>
      <c r="AP25" s="1061"/>
      <c r="AQ25" s="1061"/>
      <c r="AR25" s="120"/>
      <c r="AS25" s="120" t="str">
        <f t="shared" si="9"/>
        <v/>
      </c>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c r="BY25" s="120"/>
    </row>
    <row r="26" spans="1:77" x14ac:dyDescent="0.25">
      <c r="A26" s="120"/>
      <c r="B26" s="574">
        <v>21</v>
      </c>
      <c r="C26" s="1061" t="str">
        <f t="shared" si="0"/>
        <v/>
      </c>
      <c r="D26" s="1061"/>
      <c r="E26" s="1061"/>
      <c r="F26" s="1061"/>
      <c r="G26" s="1061"/>
      <c r="H26" s="120"/>
      <c r="I26" s="120"/>
      <c r="J26" s="120" t="str">
        <f t="shared" si="5"/>
        <v/>
      </c>
      <c r="K26" s="574">
        <v>21</v>
      </c>
      <c r="L26" s="1061" t="str">
        <f t="shared" si="1"/>
        <v/>
      </c>
      <c r="M26" s="1061"/>
      <c r="N26" s="1061"/>
      <c r="O26" s="1061"/>
      <c r="P26" s="1061"/>
      <c r="Q26" s="120"/>
      <c r="R26" s="120"/>
      <c r="S26" s="120" t="str">
        <f t="shared" si="6"/>
        <v/>
      </c>
      <c r="T26" s="574">
        <v>21</v>
      </c>
      <c r="U26" s="1061" t="str">
        <f t="shared" si="2"/>
        <v/>
      </c>
      <c r="V26" s="1061"/>
      <c r="W26" s="1061"/>
      <c r="X26" s="1061"/>
      <c r="Y26" s="1061"/>
      <c r="Z26" s="120"/>
      <c r="AA26" s="120"/>
      <c r="AB26" s="120" t="str">
        <f t="shared" si="7"/>
        <v/>
      </c>
      <c r="AC26" s="574">
        <v>21</v>
      </c>
      <c r="AD26" s="1061" t="str">
        <f t="shared" si="3"/>
        <v/>
      </c>
      <c r="AE26" s="1061"/>
      <c r="AF26" s="1061"/>
      <c r="AG26" s="1061"/>
      <c r="AH26" s="1061"/>
      <c r="AI26" s="120"/>
      <c r="AJ26" s="120"/>
      <c r="AK26" s="120" t="str">
        <f t="shared" si="8"/>
        <v/>
      </c>
      <c r="AL26" s="574">
        <v>21</v>
      </c>
      <c r="AM26" s="1061" t="str">
        <f t="shared" si="4"/>
        <v/>
      </c>
      <c r="AN26" s="1061"/>
      <c r="AO26" s="1061"/>
      <c r="AP26" s="1061"/>
      <c r="AQ26" s="1061"/>
      <c r="AR26" s="120"/>
      <c r="AS26" s="120" t="str">
        <f t="shared" si="9"/>
        <v/>
      </c>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c r="BY26" s="120"/>
    </row>
    <row r="27" spans="1:77" x14ac:dyDescent="0.25">
      <c r="A27" s="120"/>
      <c r="B27" s="574">
        <v>22</v>
      </c>
      <c r="C27" s="1061" t="str">
        <f t="shared" si="0"/>
        <v/>
      </c>
      <c r="D27" s="1061"/>
      <c r="E27" s="1061"/>
      <c r="F27" s="1061"/>
      <c r="G27" s="1061"/>
      <c r="H27" s="120"/>
      <c r="I27" s="120"/>
      <c r="J27" s="120" t="str">
        <f t="shared" si="5"/>
        <v/>
      </c>
      <c r="K27" s="574">
        <v>22</v>
      </c>
      <c r="L27" s="1061" t="str">
        <f t="shared" si="1"/>
        <v/>
      </c>
      <c r="M27" s="1061"/>
      <c r="N27" s="1061"/>
      <c r="O27" s="1061"/>
      <c r="P27" s="1061"/>
      <c r="Q27" s="120"/>
      <c r="R27" s="120"/>
      <c r="S27" s="120" t="str">
        <f t="shared" si="6"/>
        <v/>
      </c>
      <c r="T27" s="574">
        <v>22</v>
      </c>
      <c r="U27" s="1061" t="str">
        <f t="shared" si="2"/>
        <v/>
      </c>
      <c r="V27" s="1061"/>
      <c r="W27" s="1061"/>
      <c r="X27" s="1061"/>
      <c r="Y27" s="1061"/>
      <c r="Z27" s="120"/>
      <c r="AA27" s="120"/>
      <c r="AB27" s="120" t="str">
        <f t="shared" si="7"/>
        <v/>
      </c>
      <c r="AC27" s="574">
        <v>22</v>
      </c>
      <c r="AD27" s="1061" t="str">
        <f t="shared" si="3"/>
        <v/>
      </c>
      <c r="AE27" s="1061"/>
      <c r="AF27" s="1061"/>
      <c r="AG27" s="1061"/>
      <c r="AH27" s="1061"/>
      <c r="AI27" s="120"/>
      <c r="AJ27" s="120"/>
      <c r="AK27" s="120" t="str">
        <f t="shared" si="8"/>
        <v/>
      </c>
      <c r="AL27" s="574">
        <v>22</v>
      </c>
      <c r="AM27" s="1061" t="str">
        <f t="shared" si="4"/>
        <v/>
      </c>
      <c r="AN27" s="1061"/>
      <c r="AO27" s="1061"/>
      <c r="AP27" s="1061"/>
      <c r="AQ27" s="1061"/>
      <c r="AR27" s="120"/>
      <c r="AS27" s="120" t="str">
        <f t="shared" si="9"/>
        <v/>
      </c>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c r="BY27" s="120"/>
    </row>
    <row r="28" spans="1:77" x14ac:dyDescent="0.25">
      <c r="A28" s="120"/>
      <c r="B28" s="574">
        <v>23</v>
      </c>
      <c r="C28" s="1061" t="str">
        <f t="shared" si="0"/>
        <v/>
      </c>
      <c r="D28" s="1061"/>
      <c r="E28" s="1061"/>
      <c r="F28" s="1061"/>
      <c r="G28" s="1061"/>
      <c r="H28" s="120"/>
      <c r="I28" s="120"/>
      <c r="J28" s="120" t="str">
        <f t="shared" si="5"/>
        <v/>
      </c>
      <c r="K28" s="574">
        <v>23</v>
      </c>
      <c r="L28" s="1061" t="str">
        <f t="shared" si="1"/>
        <v/>
      </c>
      <c r="M28" s="1061"/>
      <c r="N28" s="1061"/>
      <c r="O28" s="1061"/>
      <c r="P28" s="1061"/>
      <c r="Q28" s="120"/>
      <c r="R28" s="120"/>
      <c r="S28" s="120" t="str">
        <f t="shared" si="6"/>
        <v/>
      </c>
      <c r="T28" s="574">
        <v>23</v>
      </c>
      <c r="U28" s="1061" t="str">
        <f t="shared" si="2"/>
        <v/>
      </c>
      <c r="V28" s="1061"/>
      <c r="W28" s="1061"/>
      <c r="X28" s="1061"/>
      <c r="Y28" s="1061"/>
      <c r="Z28" s="120"/>
      <c r="AA28" s="120"/>
      <c r="AB28" s="120" t="str">
        <f t="shared" si="7"/>
        <v/>
      </c>
      <c r="AC28" s="574">
        <v>23</v>
      </c>
      <c r="AD28" s="1061" t="str">
        <f t="shared" si="3"/>
        <v/>
      </c>
      <c r="AE28" s="1061"/>
      <c r="AF28" s="1061"/>
      <c r="AG28" s="1061"/>
      <c r="AH28" s="1061"/>
      <c r="AI28" s="120"/>
      <c r="AJ28" s="120"/>
      <c r="AK28" s="120" t="str">
        <f t="shared" si="8"/>
        <v/>
      </c>
      <c r="AL28" s="574">
        <v>23</v>
      </c>
      <c r="AM28" s="1061" t="str">
        <f t="shared" si="4"/>
        <v/>
      </c>
      <c r="AN28" s="1061"/>
      <c r="AO28" s="1061"/>
      <c r="AP28" s="1061"/>
      <c r="AQ28" s="1061"/>
      <c r="AR28" s="120"/>
      <c r="AS28" s="120" t="str">
        <f t="shared" si="9"/>
        <v/>
      </c>
      <c r="AT28" s="120"/>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c r="BY28" s="120"/>
    </row>
    <row r="29" spans="1:77" x14ac:dyDescent="0.25">
      <c r="A29" s="120"/>
      <c r="B29" s="574">
        <v>24</v>
      </c>
      <c r="C29" s="1061" t="str">
        <f t="shared" si="0"/>
        <v/>
      </c>
      <c r="D29" s="1061"/>
      <c r="E29" s="1061"/>
      <c r="F29" s="1061"/>
      <c r="G29" s="1061"/>
      <c r="H29" s="120"/>
      <c r="I29" s="120"/>
      <c r="J29" s="120" t="str">
        <f t="shared" si="5"/>
        <v/>
      </c>
      <c r="K29" s="574">
        <v>24</v>
      </c>
      <c r="L29" s="1061" t="str">
        <f t="shared" si="1"/>
        <v/>
      </c>
      <c r="M29" s="1061"/>
      <c r="N29" s="1061"/>
      <c r="O29" s="1061"/>
      <c r="P29" s="1061"/>
      <c r="Q29" s="120"/>
      <c r="R29" s="120"/>
      <c r="S29" s="120" t="str">
        <f t="shared" si="6"/>
        <v/>
      </c>
      <c r="T29" s="574">
        <v>24</v>
      </c>
      <c r="U29" s="1061" t="str">
        <f t="shared" si="2"/>
        <v/>
      </c>
      <c r="V29" s="1061"/>
      <c r="W29" s="1061"/>
      <c r="X29" s="1061"/>
      <c r="Y29" s="1061"/>
      <c r="Z29" s="120"/>
      <c r="AA29" s="120"/>
      <c r="AB29" s="120" t="str">
        <f t="shared" si="7"/>
        <v/>
      </c>
      <c r="AC29" s="574">
        <v>24</v>
      </c>
      <c r="AD29" s="1061" t="str">
        <f t="shared" si="3"/>
        <v/>
      </c>
      <c r="AE29" s="1061"/>
      <c r="AF29" s="1061"/>
      <c r="AG29" s="1061"/>
      <c r="AH29" s="1061"/>
      <c r="AI29" s="120"/>
      <c r="AJ29" s="120"/>
      <c r="AK29" s="120" t="str">
        <f t="shared" si="8"/>
        <v/>
      </c>
      <c r="AL29" s="574">
        <v>24</v>
      </c>
      <c r="AM29" s="1061" t="str">
        <f t="shared" si="4"/>
        <v/>
      </c>
      <c r="AN29" s="1061"/>
      <c r="AO29" s="1061"/>
      <c r="AP29" s="1061"/>
      <c r="AQ29" s="1061"/>
      <c r="AR29" s="120"/>
      <c r="AS29" s="120" t="str">
        <f t="shared" si="9"/>
        <v/>
      </c>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c r="BY29" s="120"/>
    </row>
    <row r="30" spans="1:77" x14ac:dyDescent="0.25">
      <c r="A30" s="120"/>
      <c r="B30" s="574">
        <v>25</v>
      </c>
      <c r="C30" s="1061" t="str">
        <f t="shared" si="0"/>
        <v/>
      </c>
      <c r="D30" s="1061"/>
      <c r="E30" s="1061"/>
      <c r="F30" s="1061"/>
      <c r="G30" s="1061"/>
      <c r="H30" s="120"/>
      <c r="I30" s="120"/>
      <c r="J30" s="120" t="str">
        <f t="shared" si="5"/>
        <v/>
      </c>
      <c r="K30" s="574">
        <v>25</v>
      </c>
      <c r="L30" s="1061" t="str">
        <f t="shared" si="1"/>
        <v/>
      </c>
      <c r="M30" s="1061"/>
      <c r="N30" s="1061"/>
      <c r="O30" s="1061"/>
      <c r="P30" s="1061"/>
      <c r="Q30" s="120"/>
      <c r="R30" s="120"/>
      <c r="S30" s="120" t="str">
        <f t="shared" si="6"/>
        <v/>
      </c>
      <c r="T30" s="574">
        <v>25</v>
      </c>
      <c r="U30" s="1061" t="str">
        <f t="shared" si="2"/>
        <v/>
      </c>
      <c r="V30" s="1061"/>
      <c r="W30" s="1061"/>
      <c r="X30" s="1061"/>
      <c r="Y30" s="1061"/>
      <c r="Z30" s="120"/>
      <c r="AA30" s="120"/>
      <c r="AB30" s="120" t="str">
        <f t="shared" si="7"/>
        <v/>
      </c>
      <c r="AC30" s="574">
        <v>25</v>
      </c>
      <c r="AD30" s="1061" t="str">
        <f t="shared" si="3"/>
        <v/>
      </c>
      <c r="AE30" s="1061"/>
      <c r="AF30" s="1061"/>
      <c r="AG30" s="1061"/>
      <c r="AH30" s="1061"/>
      <c r="AI30" s="120"/>
      <c r="AJ30" s="120"/>
      <c r="AK30" s="120" t="str">
        <f t="shared" si="8"/>
        <v/>
      </c>
      <c r="AL30" s="574">
        <v>25</v>
      </c>
      <c r="AM30" s="1061" t="str">
        <f t="shared" si="4"/>
        <v/>
      </c>
      <c r="AN30" s="1061"/>
      <c r="AO30" s="1061"/>
      <c r="AP30" s="1061"/>
      <c r="AQ30" s="1061"/>
      <c r="AR30" s="120"/>
      <c r="AS30" s="120" t="str">
        <f t="shared" si="9"/>
        <v/>
      </c>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c r="BY30" s="120"/>
    </row>
    <row r="31" spans="1:77" x14ac:dyDescent="0.25">
      <c r="A31" s="120"/>
      <c r="B31" s="574">
        <v>26</v>
      </c>
      <c r="C31" s="1061" t="str">
        <f t="shared" si="0"/>
        <v/>
      </c>
      <c r="D31" s="1061"/>
      <c r="E31" s="1061"/>
      <c r="F31" s="1061"/>
      <c r="G31" s="1061"/>
      <c r="H31" s="120"/>
      <c r="I31" s="120"/>
      <c r="J31" s="120" t="str">
        <f t="shared" si="5"/>
        <v/>
      </c>
      <c r="K31" s="574">
        <v>26</v>
      </c>
      <c r="L31" s="1061" t="str">
        <f t="shared" si="1"/>
        <v/>
      </c>
      <c r="M31" s="1061"/>
      <c r="N31" s="1061"/>
      <c r="O31" s="1061"/>
      <c r="P31" s="1061"/>
      <c r="Q31" s="120"/>
      <c r="R31" s="120"/>
      <c r="S31" s="120" t="str">
        <f t="shared" si="6"/>
        <v/>
      </c>
      <c r="T31" s="574">
        <v>26</v>
      </c>
      <c r="U31" s="1061" t="str">
        <f t="shared" si="2"/>
        <v/>
      </c>
      <c r="V31" s="1061"/>
      <c r="W31" s="1061"/>
      <c r="X31" s="1061"/>
      <c r="Y31" s="1061"/>
      <c r="Z31" s="120"/>
      <c r="AA31" s="120"/>
      <c r="AB31" s="120" t="str">
        <f t="shared" si="7"/>
        <v/>
      </c>
      <c r="AC31" s="574">
        <v>26</v>
      </c>
      <c r="AD31" s="1061" t="str">
        <f t="shared" si="3"/>
        <v/>
      </c>
      <c r="AE31" s="1061"/>
      <c r="AF31" s="1061"/>
      <c r="AG31" s="1061"/>
      <c r="AH31" s="1061"/>
      <c r="AI31" s="120"/>
      <c r="AJ31" s="120"/>
      <c r="AK31" s="120" t="str">
        <f t="shared" si="8"/>
        <v/>
      </c>
      <c r="AL31" s="574">
        <v>26</v>
      </c>
      <c r="AM31" s="1061" t="str">
        <f t="shared" si="4"/>
        <v/>
      </c>
      <c r="AN31" s="1061"/>
      <c r="AO31" s="1061"/>
      <c r="AP31" s="1061"/>
      <c r="AQ31" s="1061"/>
      <c r="AR31" s="120"/>
      <c r="AS31" s="120" t="str">
        <f t="shared" si="9"/>
        <v/>
      </c>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c r="BY31" s="120"/>
    </row>
    <row r="32" spans="1:77" x14ac:dyDescent="0.25">
      <c r="A32" s="120"/>
      <c r="B32" s="574">
        <v>27</v>
      </c>
      <c r="C32" s="1061" t="str">
        <f t="shared" si="0"/>
        <v/>
      </c>
      <c r="D32" s="1061"/>
      <c r="E32" s="1061"/>
      <c r="F32" s="1061"/>
      <c r="G32" s="1061"/>
      <c r="H32" s="120"/>
      <c r="I32" s="120"/>
      <c r="J32" s="120" t="str">
        <f t="shared" si="5"/>
        <v/>
      </c>
      <c r="K32" s="574">
        <v>27</v>
      </c>
      <c r="L32" s="1061" t="str">
        <f t="shared" si="1"/>
        <v/>
      </c>
      <c r="M32" s="1061"/>
      <c r="N32" s="1061"/>
      <c r="O32" s="1061"/>
      <c r="P32" s="1061"/>
      <c r="Q32" s="120"/>
      <c r="R32" s="120"/>
      <c r="S32" s="120" t="str">
        <f t="shared" si="6"/>
        <v/>
      </c>
      <c r="T32" s="574">
        <v>27</v>
      </c>
      <c r="U32" s="1061" t="str">
        <f t="shared" si="2"/>
        <v/>
      </c>
      <c r="V32" s="1061"/>
      <c r="W32" s="1061"/>
      <c r="X32" s="1061"/>
      <c r="Y32" s="1061"/>
      <c r="Z32" s="120"/>
      <c r="AA32" s="120"/>
      <c r="AB32" s="120" t="str">
        <f t="shared" si="7"/>
        <v/>
      </c>
      <c r="AC32" s="574">
        <v>27</v>
      </c>
      <c r="AD32" s="1061" t="str">
        <f t="shared" si="3"/>
        <v/>
      </c>
      <c r="AE32" s="1061"/>
      <c r="AF32" s="1061"/>
      <c r="AG32" s="1061"/>
      <c r="AH32" s="1061"/>
      <c r="AI32" s="120"/>
      <c r="AJ32" s="120"/>
      <c r="AK32" s="120" t="str">
        <f t="shared" si="8"/>
        <v/>
      </c>
      <c r="AL32" s="574">
        <v>27</v>
      </c>
      <c r="AM32" s="1061" t="str">
        <f t="shared" si="4"/>
        <v/>
      </c>
      <c r="AN32" s="1061"/>
      <c r="AO32" s="1061"/>
      <c r="AP32" s="1061"/>
      <c r="AQ32" s="1061"/>
      <c r="AR32" s="120"/>
      <c r="AS32" s="120" t="str">
        <f t="shared" si="9"/>
        <v/>
      </c>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c r="BY32" s="120"/>
    </row>
    <row r="33" spans="1:78" x14ac:dyDescent="0.25">
      <c r="A33" s="120"/>
      <c r="B33" s="574">
        <v>28</v>
      </c>
      <c r="C33" s="1061" t="str">
        <f t="shared" si="0"/>
        <v/>
      </c>
      <c r="D33" s="1061"/>
      <c r="E33" s="1061"/>
      <c r="F33" s="1061"/>
      <c r="G33" s="1061"/>
      <c r="H33" s="120"/>
      <c r="I33" s="120"/>
      <c r="J33" s="120" t="str">
        <f t="shared" si="5"/>
        <v/>
      </c>
      <c r="K33" s="574">
        <v>28</v>
      </c>
      <c r="L33" s="1061" t="str">
        <f t="shared" si="1"/>
        <v/>
      </c>
      <c r="M33" s="1061"/>
      <c r="N33" s="1061"/>
      <c r="O33" s="1061"/>
      <c r="P33" s="1061"/>
      <c r="Q33" s="120"/>
      <c r="R33" s="120"/>
      <c r="S33" s="120" t="str">
        <f t="shared" si="6"/>
        <v/>
      </c>
      <c r="T33" s="574">
        <v>28</v>
      </c>
      <c r="U33" s="1061" t="str">
        <f t="shared" si="2"/>
        <v/>
      </c>
      <c r="V33" s="1061"/>
      <c r="W33" s="1061"/>
      <c r="X33" s="1061"/>
      <c r="Y33" s="1061"/>
      <c r="Z33" s="120"/>
      <c r="AA33" s="120"/>
      <c r="AB33" s="120" t="str">
        <f t="shared" si="7"/>
        <v/>
      </c>
      <c r="AC33" s="574">
        <v>28</v>
      </c>
      <c r="AD33" s="1061" t="str">
        <f t="shared" si="3"/>
        <v/>
      </c>
      <c r="AE33" s="1061"/>
      <c r="AF33" s="1061"/>
      <c r="AG33" s="1061"/>
      <c r="AH33" s="1061"/>
      <c r="AI33" s="120"/>
      <c r="AJ33" s="120"/>
      <c r="AK33" s="120" t="str">
        <f t="shared" si="8"/>
        <v/>
      </c>
      <c r="AL33" s="574">
        <v>28</v>
      </c>
      <c r="AM33" s="1061" t="str">
        <f t="shared" si="4"/>
        <v/>
      </c>
      <c r="AN33" s="1061"/>
      <c r="AO33" s="1061"/>
      <c r="AP33" s="1061"/>
      <c r="AQ33" s="1061"/>
      <c r="AR33" s="120"/>
      <c r="AS33" s="120" t="str">
        <f t="shared" si="9"/>
        <v/>
      </c>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c r="BY33" s="120"/>
    </row>
    <row r="34" spans="1:78" x14ac:dyDescent="0.25">
      <c r="A34" s="120"/>
      <c r="B34" s="574">
        <v>29</v>
      </c>
      <c r="C34" s="1061" t="str">
        <f t="shared" si="0"/>
        <v/>
      </c>
      <c r="D34" s="1061"/>
      <c r="E34" s="1061"/>
      <c r="F34" s="1061"/>
      <c r="G34" s="1061"/>
      <c r="H34" s="120"/>
      <c r="I34" s="120"/>
      <c r="J34" s="120" t="str">
        <f t="shared" si="5"/>
        <v/>
      </c>
      <c r="K34" s="574">
        <v>29</v>
      </c>
      <c r="L34" s="1061" t="str">
        <f t="shared" si="1"/>
        <v/>
      </c>
      <c r="M34" s="1061"/>
      <c r="N34" s="1061"/>
      <c r="O34" s="1061"/>
      <c r="P34" s="1061"/>
      <c r="Q34" s="120"/>
      <c r="R34" s="120"/>
      <c r="S34" s="120" t="str">
        <f t="shared" si="6"/>
        <v/>
      </c>
      <c r="T34" s="574">
        <v>29</v>
      </c>
      <c r="U34" s="1061" t="str">
        <f t="shared" si="2"/>
        <v/>
      </c>
      <c r="V34" s="1061"/>
      <c r="W34" s="1061"/>
      <c r="X34" s="1061"/>
      <c r="Y34" s="1061"/>
      <c r="Z34" s="120"/>
      <c r="AA34" s="120"/>
      <c r="AB34" s="120" t="str">
        <f t="shared" si="7"/>
        <v/>
      </c>
      <c r="AC34" s="574">
        <v>29</v>
      </c>
      <c r="AD34" s="1061" t="str">
        <f t="shared" si="3"/>
        <v/>
      </c>
      <c r="AE34" s="1061"/>
      <c r="AF34" s="1061"/>
      <c r="AG34" s="1061"/>
      <c r="AH34" s="1061"/>
      <c r="AI34" s="120"/>
      <c r="AJ34" s="120"/>
      <c r="AK34" s="120" t="str">
        <f t="shared" si="8"/>
        <v/>
      </c>
      <c r="AL34" s="574">
        <v>29</v>
      </c>
      <c r="AM34" s="1061" t="str">
        <f t="shared" si="4"/>
        <v/>
      </c>
      <c r="AN34" s="1061"/>
      <c r="AO34" s="1061"/>
      <c r="AP34" s="1061"/>
      <c r="AQ34" s="1061"/>
      <c r="AR34" s="120"/>
      <c r="AS34" s="120" t="str">
        <f t="shared" si="9"/>
        <v/>
      </c>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c r="BY34" s="120"/>
    </row>
    <row r="35" spans="1:78" x14ac:dyDescent="0.25">
      <c r="A35" s="120"/>
      <c r="B35" s="574">
        <v>30</v>
      </c>
      <c r="C35" s="1061" t="str">
        <f t="shared" si="0"/>
        <v/>
      </c>
      <c r="D35" s="1061"/>
      <c r="E35" s="1061"/>
      <c r="F35" s="1061"/>
      <c r="G35" s="1061"/>
      <c r="H35" s="120"/>
      <c r="I35" s="120"/>
      <c r="J35" s="120" t="str">
        <f t="shared" si="5"/>
        <v/>
      </c>
      <c r="K35" s="574">
        <v>30</v>
      </c>
      <c r="L35" s="1061" t="str">
        <f t="shared" si="1"/>
        <v/>
      </c>
      <c r="M35" s="1061"/>
      <c r="N35" s="1061"/>
      <c r="O35" s="1061"/>
      <c r="P35" s="1061"/>
      <c r="Q35" s="120"/>
      <c r="R35" s="120"/>
      <c r="S35" s="120" t="str">
        <f t="shared" si="6"/>
        <v/>
      </c>
      <c r="T35" s="574">
        <v>30</v>
      </c>
      <c r="U35" s="1061" t="str">
        <f t="shared" si="2"/>
        <v/>
      </c>
      <c r="V35" s="1061"/>
      <c r="W35" s="1061"/>
      <c r="X35" s="1061"/>
      <c r="Y35" s="1061"/>
      <c r="Z35" s="120"/>
      <c r="AA35" s="120"/>
      <c r="AB35" s="120" t="str">
        <f t="shared" si="7"/>
        <v/>
      </c>
      <c r="AC35" s="574">
        <v>30</v>
      </c>
      <c r="AD35" s="1061" t="str">
        <f t="shared" si="3"/>
        <v/>
      </c>
      <c r="AE35" s="1061"/>
      <c r="AF35" s="1061"/>
      <c r="AG35" s="1061"/>
      <c r="AH35" s="1061"/>
      <c r="AI35" s="120"/>
      <c r="AJ35" s="120"/>
      <c r="AK35" s="120" t="str">
        <f t="shared" si="8"/>
        <v/>
      </c>
      <c r="AL35" s="574">
        <v>30</v>
      </c>
      <c r="AM35" s="1061" t="str">
        <f t="shared" si="4"/>
        <v/>
      </c>
      <c r="AN35" s="1061"/>
      <c r="AO35" s="1061"/>
      <c r="AP35" s="1061"/>
      <c r="AQ35" s="1061"/>
      <c r="AR35" s="120"/>
      <c r="AS35" s="120" t="str">
        <f t="shared" si="9"/>
        <v/>
      </c>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c r="BY35" s="120"/>
    </row>
    <row r="36" spans="1:78" x14ac:dyDescent="0.25">
      <c r="A36" s="120"/>
      <c r="B36" s="120"/>
      <c r="C36" s="120"/>
      <c r="D36" s="120"/>
      <c r="E36" s="120"/>
      <c r="F36" s="120"/>
      <c r="G36" s="120"/>
      <c r="H36" s="120"/>
      <c r="I36" s="120"/>
      <c r="J36" s="565"/>
      <c r="K36" s="565"/>
      <c r="L36" s="565"/>
      <c r="M36" s="565"/>
      <c r="N36" s="565"/>
      <c r="O36" s="565"/>
      <c r="P36" s="565"/>
      <c r="Q36" s="565"/>
      <c r="R36" s="565"/>
      <c r="S36" s="565" t="str">
        <f>IF(L36="","",IF(Q36="",L36&amp;", ",L36&amp;" - prep"&amp;", "))</f>
        <v/>
      </c>
      <c r="T36" s="565"/>
      <c r="U36" s="565"/>
      <c r="V36" s="565"/>
      <c r="W36" s="565"/>
      <c r="X36" s="565"/>
      <c r="Y36" s="565"/>
      <c r="Z36" s="565"/>
      <c r="AA36" s="565"/>
      <c r="AB36" s="565" t="str">
        <f>IF(U36="","",IF(Z36="",U36&amp;", ",U36&amp;" - prep"&amp;", "))</f>
        <v/>
      </c>
      <c r="AC36" s="565"/>
      <c r="AD36" s="565"/>
      <c r="AE36" s="565"/>
      <c r="AF36" s="565"/>
      <c r="AG36" s="565"/>
      <c r="AH36" s="565"/>
      <c r="AI36" s="565"/>
      <c r="AJ36" s="565"/>
      <c r="AK36" s="565" t="str">
        <f>IF(AD36="","",IF(AI36="",AD36&amp;", ",AD36&amp;" - prep"&amp;", "))</f>
        <v/>
      </c>
      <c r="AL36" s="565"/>
      <c r="AM36" s="565"/>
      <c r="AN36" s="565"/>
      <c r="AO36" s="565"/>
      <c r="AP36" s="565"/>
      <c r="AQ36" s="565"/>
      <c r="AR36" s="565"/>
      <c r="AS36" s="565" t="str">
        <f>IF(AM36="","",IF(AR36="",AM36&amp;", ",AM36&amp;" - prep"&amp;", "))</f>
        <v/>
      </c>
      <c r="AT36" s="565"/>
      <c r="AU36" s="565"/>
      <c r="AV36" s="565"/>
      <c r="AW36" s="565"/>
      <c r="AX36" s="565"/>
      <c r="AY36" s="565"/>
      <c r="AZ36" s="565"/>
      <c r="BA36" s="565" t="str">
        <f>IF(AU36="","",IF(AZ36="",AU36&amp;", ",AU36&amp;" - prep"&amp;", "))</f>
        <v/>
      </c>
      <c r="BB36" s="565"/>
      <c r="BC36" s="565"/>
      <c r="BD36" s="565"/>
      <c r="BE36" s="565"/>
      <c r="BF36" s="565"/>
      <c r="BG36" s="565"/>
      <c r="BH36" s="565"/>
      <c r="BI36" s="565" t="str">
        <f>IF(BC36="","",IF(BH36="",BC36&amp;", ",BC36&amp;" - prep"&amp;", "))</f>
        <v/>
      </c>
      <c r="BJ36" s="565"/>
      <c r="BK36" s="565"/>
      <c r="BL36" s="565"/>
      <c r="BM36" s="565"/>
      <c r="BN36" s="565"/>
      <c r="BO36" s="565"/>
      <c r="BP36" s="565"/>
      <c r="BQ36" s="565" t="str">
        <f>IF(BK36="","",IF(BP36="",BK36&amp;", ",BK36&amp;" - prep"&amp;", "))</f>
        <v/>
      </c>
      <c r="BR36" s="565"/>
      <c r="BS36" s="565"/>
      <c r="BT36" s="565"/>
      <c r="BU36" s="565"/>
      <c r="BV36" s="565"/>
      <c r="BW36" s="120"/>
      <c r="BX36" s="120"/>
      <c r="BY36" s="120" t="str">
        <f>IF(BS36="","",IF(BX36="",BS36&amp;", ",BS36&amp;" - prep"&amp;", "))</f>
        <v/>
      </c>
    </row>
    <row r="37" spans="1:78" ht="15" customHeight="1" x14ac:dyDescent="0.25">
      <c r="A37" s="565"/>
      <c r="B37" s="1062" t="str">
        <f>"Ranger Spells known"&amp;CHAR(10)&amp;M37&amp;V37&amp;AE37&amp;AN37&amp;AV37</f>
        <v xml:space="preserve">Ranger Spells known
</v>
      </c>
      <c r="C37" s="1062"/>
      <c r="D37" s="1062"/>
      <c r="E37" s="1062"/>
      <c r="F37" s="1062"/>
      <c r="G37" s="1062"/>
      <c r="H37" s="1062"/>
      <c r="I37" s="590"/>
      <c r="J37" s="566">
        <v>1</v>
      </c>
      <c r="K37" s="565" t="str">
        <f>J6</f>
        <v/>
      </c>
      <c r="L37" s="565" t="str">
        <f>K37</f>
        <v/>
      </c>
      <c r="M37" s="565" t="str">
        <f>IF(M38="","","1st level: "&amp;M38&amp;CHAR(10))</f>
        <v/>
      </c>
      <c r="N37" s="565"/>
      <c r="O37" s="565"/>
      <c r="P37" s="565"/>
      <c r="Q37" s="565"/>
      <c r="R37" s="565"/>
      <c r="S37" s="566">
        <v>1</v>
      </c>
      <c r="T37" s="565" t="str">
        <f>S6</f>
        <v/>
      </c>
      <c r="U37" s="565" t="str">
        <f>T37</f>
        <v/>
      </c>
      <c r="V37" s="565" t="str">
        <f>IF(V38="","","2nd level: "&amp;V38&amp;CHAR(10))</f>
        <v/>
      </c>
      <c r="W37" s="565"/>
      <c r="X37" s="565"/>
      <c r="Y37" s="565"/>
      <c r="Z37" s="565"/>
      <c r="AA37" s="565"/>
      <c r="AB37" s="566">
        <v>1</v>
      </c>
      <c r="AC37" s="565" t="str">
        <f>AB6</f>
        <v/>
      </c>
      <c r="AD37" s="565" t="str">
        <f>AC37</f>
        <v/>
      </c>
      <c r="AE37" s="565" t="str">
        <f>IF(AE38="","","3rd level: "&amp;AE38&amp;CHAR(10))</f>
        <v/>
      </c>
      <c r="AF37" s="565"/>
      <c r="AG37" s="565"/>
      <c r="AH37" s="565"/>
      <c r="AI37" s="565"/>
      <c r="AJ37" s="565"/>
      <c r="AK37" s="566">
        <v>1</v>
      </c>
      <c r="AL37" s="565" t="str">
        <f>AK6</f>
        <v/>
      </c>
      <c r="AM37" s="565" t="str">
        <f>AL37</f>
        <v/>
      </c>
      <c r="AN37" s="565" t="str">
        <f>IF(AN38="","","4th level: "&amp;AN38&amp;CHAR(10))</f>
        <v/>
      </c>
      <c r="AO37" s="565"/>
      <c r="AP37" s="565"/>
      <c r="AQ37" s="565"/>
      <c r="AR37" s="565"/>
      <c r="AS37" s="566">
        <v>1</v>
      </c>
      <c r="AT37" s="565" t="str">
        <f>AS6</f>
        <v/>
      </c>
      <c r="AU37" s="565" t="str">
        <f>AT37</f>
        <v/>
      </c>
      <c r="AV37" s="565" t="str">
        <f>IF(AV38="","","5th level: "&amp;AV38&amp;CHAR(10))</f>
        <v/>
      </c>
      <c r="AW37" s="566"/>
      <c r="AX37" s="565"/>
      <c r="AY37" s="565"/>
      <c r="AZ37" s="565"/>
      <c r="BA37" s="566"/>
      <c r="BB37" s="565"/>
      <c r="BC37" s="565"/>
      <c r="BD37" s="565"/>
      <c r="BE37" s="565"/>
      <c r="BF37" s="565"/>
      <c r="BG37" s="565"/>
      <c r="BH37" s="565"/>
      <c r="BI37" s="566"/>
      <c r="BJ37" s="565"/>
      <c r="BK37" s="565"/>
      <c r="BL37" s="565"/>
      <c r="BM37" s="565"/>
      <c r="BN37" s="565"/>
      <c r="BO37" s="565"/>
      <c r="BP37" s="565"/>
      <c r="BQ37" s="566"/>
      <c r="BR37" s="565"/>
      <c r="BS37" s="565"/>
      <c r="BT37" s="565"/>
      <c r="BU37" s="565"/>
      <c r="BV37" s="565"/>
      <c r="BW37" s="120"/>
      <c r="BX37" s="120"/>
      <c r="BY37" s="558"/>
      <c r="BZ37" s="120"/>
    </row>
    <row r="38" spans="1:78" x14ac:dyDescent="0.25">
      <c r="A38" s="565"/>
      <c r="B38" s="1062"/>
      <c r="C38" s="1062"/>
      <c r="D38" s="1062"/>
      <c r="E38" s="1062"/>
      <c r="F38" s="1062"/>
      <c r="G38" s="1062"/>
      <c r="H38" s="1062"/>
      <c r="I38" s="590"/>
      <c r="J38" s="566">
        <v>2</v>
      </c>
      <c r="K38" s="565" t="str">
        <f t="shared" ref="K38:K66" si="11">J7</f>
        <v/>
      </c>
      <c r="L38" s="565" t="str">
        <f t="shared" ref="L38:L66" si="12">K38</f>
        <v/>
      </c>
      <c r="M38" s="565" t="str">
        <f>L37&amp;L38&amp;L39&amp;L40&amp;L41&amp;L42&amp;L43&amp;L44&amp;L45&amp;L46&amp;L48&amp;L47&amp;L49&amp;L50&amp;L51&amp;L52&amp;L54&amp;L55&amp;L53&amp;L56&amp;L57&amp;L58&amp;L59&amp;L60&amp;L61&amp;L62&amp;L63&amp;L64&amp;L65&amp;L66</f>
        <v/>
      </c>
      <c r="N38" s="565"/>
      <c r="O38" s="565"/>
      <c r="P38" s="565"/>
      <c r="Q38" s="565"/>
      <c r="R38" s="565"/>
      <c r="S38" s="566">
        <v>2</v>
      </c>
      <c r="T38" s="565" t="str">
        <f t="shared" ref="T38:T66" si="13">S7</f>
        <v/>
      </c>
      <c r="U38" s="565" t="str">
        <f t="shared" ref="U38:U66" si="14">T38</f>
        <v/>
      </c>
      <c r="V38" s="565" t="str">
        <f>U37&amp;U38&amp;U39&amp;U40&amp;U41&amp;U42&amp;U43&amp;U44&amp;U45&amp;U46&amp;U48&amp;U47&amp;U49&amp;U50&amp;U51&amp;U52&amp;U54&amp;U55&amp;U53&amp;U56&amp;U57&amp;U58&amp;U59&amp;U60&amp;U61&amp;U62&amp;U63&amp;U64&amp;U65&amp;U66</f>
        <v/>
      </c>
      <c r="W38" s="565"/>
      <c r="X38" s="565"/>
      <c r="Y38" s="565"/>
      <c r="Z38" s="565"/>
      <c r="AA38" s="565"/>
      <c r="AB38" s="566">
        <v>2</v>
      </c>
      <c r="AC38" s="565" t="str">
        <f t="shared" ref="AC38:AC66" si="15">AB7</f>
        <v/>
      </c>
      <c r="AD38" s="565" t="str">
        <f t="shared" ref="AD38:AD66" si="16">AC38</f>
        <v/>
      </c>
      <c r="AE38" s="565" t="str">
        <f>AD37&amp;AD38&amp;AD39&amp;AD40&amp;AD41&amp;AD42&amp;AD43&amp;AD44&amp;AD45&amp;AD46&amp;AD48&amp;AD47&amp;AD49&amp;AD50&amp;AD51&amp;AD52&amp;AD54&amp;AD55&amp;AD53&amp;AD56&amp;AD57&amp;AD58&amp;AD59&amp;AD60&amp;AD61&amp;AD62&amp;AD63&amp;AD64&amp;AD65&amp;AD66</f>
        <v/>
      </c>
      <c r="AF38" s="565"/>
      <c r="AG38" s="565"/>
      <c r="AH38" s="565"/>
      <c r="AI38" s="565"/>
      <c r="AJ38" s="565"/>
      <c r="AK38" s="566">
        <v>2</v>
      </c>
      <c r="AL38" s="565" t="str">
        <f t="shared" ref="AL38:AL66" si="17">AK7</f>
        <v/>
      </c>
      <c r="AM38" s="565" t="str">
        <f t="shared" ref="AM38:AM66" si="18">AL38</f>
        <v/>
      </c>
      <c r="AN38" s="565" t="str">
        <f>AM37&amp;AM38&amp;AM39&amp;AM40&amp;AM41&amp;AM42&amp;AM43&amp;AM44&amp;AM45&amp;AM46&amp;AM48&amp;AM47&amp;AM49&amp;AM50&amp;AM51&amp;AM52&amp;AM54&amp;AM55&amp;AM53&amp;AM56&amp;AM57&amp;AM58&amp;AM59&amp;AM60&amp;AM61&amp;AM62&amp;AM63&amp;AM64&amp;AM65&amp;AM66</f>
        <v/>
      </c>
      <c r="AO38" s="565"/>
      <c r="AP38" s="565"/>
      <c r="AQ38" s="565"/>
      <c r="AR38" s="565"/>
      <c r="AS38" s="566">
        <v>2</v>
      </c>
      <c r="AT38" s="565" t="str">
        <f t="shared" ref="AT38:AT66" si="19">AS7</f>
        <v/>
      </c>
      <c r="AU38" s="565" t="str">
        <f t="shared" ref="AU38:AU66" si="20">AT38</f>
        <v/>
      </c>
      <c r="AV38" s="565" t="str">
        <f>AU37&amp;AU38&amp;AU39&amp;AU40&amp;AU41&amp;AU42&amp;AU43&amp;AU44&amp;AU45&amp;AU46&amp;AU48&amp;AU47&amp;AU49&amp;AU50&amp;AU51&amp;AU52&amp;AU54&amp;AU55&amp;AU53&amp;AU56&amp;AU57&amp;AU58&amp;AU59&amp;AU60&amp;AU61&amp;AU62&amp;AU63&amp;AU64&amp;AU65&amp;AU66</f>
        <v/>
      </c>
      <c r="AW38" s="566"/>
      <c r="AX38" s="565"/>
      <c r="AY38" s="565"/>
      <c r="AZ38" s="565"/>
      <c r="BA38" s="566"/>
      <c r="BB38" s="565"/>
      <c r="BC38" s="565"/>
      <c r="BD38" s="565"/>
      <c r="BE38" s="565"/>
      <c r="BF38" s="565"/>
      <c r="BG38" s="565"/>
      <c r="BH38" s="565"/>
      <c r="BI38" s="566"/>
      <c r="BJ38" s="565"/>
      <c r="BK38" s="565"/>
      <c r="BL38" s="565"/>
      <c r="BM38" s="565"/>
      <c r="BN38" s="565"/>
      <c r="BO38" s="565"/>
      <c r="BP38" s="565"/>
      <c r="BQ38" s="566"/>
      <c r="BR38" s="565"/>
      <c r="BS38" s="565"/>
      <c r="BT38" s="565"/>
      <c r="BU38" s="565"/>
      <c r="BV38" s="565"/>
      <c r="BY38" s="558"/>
      <c r="BZ38" s="120"/>
    </row>
    <row r="39" spans="1:78" x14ac:dyDescent="0.25">
      <c r="A39" s="565"/>
      <c r="B39" s="1062"/>
      <c r="C39" s="1062"/>
      <c r="D39" s="1062"/>
      <c r="E39" s="1062"/>
      <c r="F39" s="1062"/>
      <c r="G39" s="1062"/>
      <c r="H39" s="1062"/>
      <c r="I39" s="590"/>
      <c r="J39" s="566">
        <v>3</v>
      </c>
      <c r="K39" s="565" t="str">
        <f t="shared" si="11"/>
        <v/>
      </c>
      <c r="L39" s="565" t="str">
        <f t="shared" si="12"/>
        <v/>
      </c>
      <c r="M39" s="565"/>
      <c r="N39" s="565"/>
      <c r="O39" s="565"/>
      <c r="P39" s="565"/>
      <c r="Q39" s="565"/>
      <c r="R39" s="565"/>
      <c r="S39" s="566">
        <v>3</v>
      </c>
      <c r="T39" s="565" t="str">
        <f t="shared" si="13"/>
        <v/>
      </c>
      <c r="U39" s="565" t="str">
        <f t="shared" si="14"/>
        <v/>
      </c>
      <c r="V39" s="565"/>
      <c r="W39" s="565"/>
      <c r="X39" s="565"/>
      <c r="Y39" s="565"/>
      <c r="Z39" s="565"/>
      <c r="AA39" s="565"/>
      <c r="AB39" s="566">
        <v>3</v>
      </c>
      <c r="AC39" s="565" t="str">
        <f t="shared" si="15"/>
        <v/>
      </c>
      <c r="AD39" s="565" t="str">
        <f t="shared" si="16"/>
        <v/>
      </c>
      <c r="AE39" s="565"/>
      <c r="AF39" s="565"/>
      <c r="AG39" s="565"/>
      <c r="AH39" s="565"/>
      <c r="AI39" s="565"/>
      <c r="AJ39" s="565"/>
      <c r="AK39" s="566">
        <v>3</v>
      </c>
      <c r="AL39" s="565" t="str">
        <f t="shared" si="17"/>
        <v/>
      </c>
      <c r="AM39" s="565" t="str">
        <f t="shared" si="18"/>
        <v/>
      </c>
      <c r="AN39" s="565"/>
      <c r="AO39" s="565"/>
      <c r="AP39" s="565"/>
      <c r="AQ39" s="565"/>
      <c r="AR39" s="565"/>
      <c r="AS39" s="566">
        <v>3</v>
      </c>
      <c r="AT39" s="565" t="str">
        <f t="shared" si="19"/>
        <v/>
      </c>
      <c r="AU39" s="565" t="str">
        <f t="shared" si="20"/>
        <v/>
      </c>
      <c r="AV39" s="565"/>
      <c r="AW39" s="566"/>
      <c r="AX39" s="565"/>
      <c r="AY39" s="565"/>
      <c r="AZ39" s="565"/>
      <c r="BA39" s="566"/>
      <c r="BB39" s="565"/>
      <c r="BC39" s="565"/>
      <c r="BD39" s="565"/>
      <c r="BE39" s="565"/>
      <c r="BF39" s="565"/>
      <c r="BG39" s="565"/>
      <c r="BH39" s="565"/>
      <c r="BI39" s="566"/>
      <c r="BJ39" s="565"/>
      <c r="BK39" s="565"/>
      <c r="BL39" s="565"/>
      <c r="BM39" s="565"/>
      <c r="BN39" s="565"/>
      <c r="BO39" s="565"/>
      <c r="BP39" s="565"/>
      <c r="BQ39" s="566"/>
      <c r="BR39" s="565"/>
      <c r="BS39" s="565"/>
      <c r="BT39" s="565"/>
      <c r="BU39" s="565"/>
      <c r="BV39" s="565"/>
      <c r="BY39" s="558"/>
      <c r="BZ39" s="120"/>
    </row>
    <row r="40" spans="1:78" x14ac:dyDescent="0.25">
      <c r="A40" s="565"/>
      <c r="B40" s="1062"/>
      <c r="C40" s="1062"/>
      <c r="D40" s="1062"/>
      <c r="E40" s="1062"/>
      <c r="F40" s="1062"/>
      <c r="G40" s="1062"/>
      <c r="H40" s="1062"/>
      <c r="I40" s="590"/>
      <c r="J40" s="566">
        <v>4</v>
      </c>
      <c r="K40" s="565" t="str">
        <f t="shared" si="11"/>
        <v/>
      </c>
      <c r="L40" s="565" t="str">
        <f t="shared" si="12"/>
        <v/>
      </c>
      <c r="M40" s="565"/>
      <c r="N40" s="565"/>
      <c r="O40" s="565"/>
      <c r="P40" s="565"/>
      <c r="Q40" s="565"/>
      <c r="R40" s="565"/>
      <c r="S40" s="566">
        <v>4</v>
      </c>
      <c r="T40" s="565" t="str">
        <f t="shared" si="13"/>
        <v/>
      </c>
      <c r="U40" s="565" t="str">
        <f t="shared" si="14"/>
        <v/>
      </c>
      <c r="V40" s="565"/>
      <c r="W40" s="565"/>
      <c r="X40" s="565"/>
      <c r="Y40" s="565"/>
      <c r="Z40" s="565"/>
      <c r="AA40" s="565"/>
      <c r="AB40" s="566">
        <v>4</v>
      </c>
      <c r="AC40" s="565" t="str">
        <f t="shared" si="15"/>
        <v/>
      </c>
      <c r="AD40" s="565" t="str">
        <f t="shared" si="16"/>
        <v/>
      </c>
      <c r="AE40" s="565"/>
      <c r="AF40" s="565"/>
      <c r="AG40" s="565"/>
      <c r="AH40" s="565"/>
      <c r="AI40" s="565"/>
      <c r="AJ40" s="565"/>
      <c r="AK40" s="566">
        <v>4</v>
      </c>
      <c r="AL40" s="565" t="str">
        <f t="shared" si="17"/>
        <v/>
      </c>
      <c r="AM40" s="565" t="str">
        <f t="shared" si="18"/>
        <v/>
      </c>
      <c r="AN40" s="565"/>
      <c r="AO40" s="565"/>
      <c r="AP40" s="565"/>
      <c r="AQ40" s="565"/>
      <c r="AR40" s="565"/>
      <c r="AS40" s="566">
        <v>4</v>
      </c>
      <c r="AT40" s="565" t="str">
        <f t="shared" si="19"/>
        <v/>
      </c>
      <c r="AU40" s="565" t="str">
        <f t="shared" si="20"/>
        <v/>
      </c>
      <c r="AV40" s="565"/>
      <c r="AW40" s="566"/>
      <c r="AX40" s="565"/>
      <c r="AY40" s="565"/>
      <c r="AZ40" s="565"/>
      <c r="BA40" s="566"/>
      <c r="BB40" s="565"/>
      <c r="BC40" s="565"/>
      <c r="BD40" s="565"/>
      <c r="BE40" s="565"/>
      <c r="BF40" s="565"/>
      <c r="BG40" s="565"/>
      <c r="BH40" s="565"/>
      <c r="BI40" s="566"/>
      <c r="BJ40" s="565"/>
      <c r="BK40" s="565"/>
      <c r="BL40" s="565"/>
      <c r="BM40" s="565"/>
      <c r="BN40" s="565"/>
      <c r="BO40" s="565"/>
      <c r="BP40" s="565"/>
      <c r="BQ40" s="566"/>
      <c r="BR40" s="565"/>
      <c r="BS40" s="565"/>
      <c r="BT40" s="565"/>
      <c r="BU40" s="565"/>
      <c r="BV40" s="565"/>
      <c r="BY40" s="558"/>
      <c r="BZ40" s="120"/>
    </row>
    <row r="41" spans="1:78" x14ac:dyDescent="0.25">
      <c r="A41" s="565"/>
      <c r="B41" s="1062"/>
      <c r="C41" s="1062"/>
      <c r="D41" s="1062"/>
      <c r="E41" s="1062"/>
      <c r="F41" s="1062"/>
      <c r="G41" s="1062"/>
      <c r="H41" s="1062"/>
      <c r="I41" s="590"/>
      <c r="J41" s="566">
        <v>5</v>
      </c>
      <c r="K41" s="565" t="str">
        <f t="shared" si="11"/>
        <v/>
      </c>
      <c r="L41" s="565" t="str">
        <f t="shared" si="12"/>
        <v/>
      </c>
      <c r="M41" s="565"/>
      <c r="N41" s="565"/>
      <c r="O41" s="565"/>
      <c r="P41" s="565"/>
      <c r="Q41" s="565"/>
      <c r="R41" s="565"/>
      <c r="S41" s="566">
        <v>5</v>
      </c>
      <c r="T41" s="565" t="str">
        <f t="shared" si="13"/>
        <v/>
      </c>
      <c r="U41" s="565" t="str">
        <f t="shared" si="14"/>
        <v/>
      </c>
      <c r="V41" s="565"/>
      <c r="W41" s="565"/>
      <c r="X41" s="565"/>
      <c r="Y41" s="565"/>
      <c r="Z41" s="565"/>
      <c r="AA41" s="565"/>
      <c r="AB41" s="566">
        <v>5</v>
      </c>
      <c r="AC41" s="565" t="str">
        <f t="shared" si="15"/>
        <v/>
      </c>
      <c r="AD41" s="565" t="str">
        <f t="shared" si="16"/>
        <v/>
      </c>
      <c r="AE41" s="565"/>
      <c r="AF41" s="565"/>
      <c r="AG41" s="565"/>
      <c r="AH41" s="565"/>
      <c r="AI41" s="565"/>
      <c r="AJ41" s="565"/>
      <c r="AK41" s="566">
        <v>5</v>
      </c>
      <c r="AL41" s="565" t="str">
        <f t="shared" si="17"/>
        <v/>
      </c>
      <c r="AM41" s="565" t="str">
        <f t="shared" si="18"/>
        <v/>
      </c>
      <c r="AN41" s="565"/>
      <c r="AO41" s="565"/>
      <c r="AP41" s="565"/>
      <c r="AQ41" s="565"/>
      <c r="AR41" s="565"/>
      <c r="AS41" s="566">
        <v>5</v>
      </c>
      <c r="AT41" s="565" t="str">
        <f t="shared" si="19"/>
        <v/>
      </c>
      <c r="AU41" s="565" t="str">
        <f t="shared" si="20"/>
        <v/>
      </c>
      <c r="AV41" s="565"/>
      <c r="AW41" s="566"/>
      <c r="AX41" s="565"/>
      <c r="AY41" s="565"/>
      <c r="AZ41" s="565"/>
      <c r="BA41" s="566"/>
      <c r="BB41" s="565"/>
      <c r="BC41" s="565"/>
      <c r="BD41" s="565"/>
      <c r="BE41" s="565"/>
      <c r="BF41" s="565"/>
      <c r="BG41" s="565"/>
      <c r="BH41" s="565"/>
      <c r="BI41" s="566"/>
      <c r="BJ41" s="565"/>
      <c r="BK41" s="565"/>
      <c r="BL41" s="565"/>
      <c r="BM41" s="565"/>
      <c r="BN41" s="565"/>
      <c r="BO41" s="565"/>
      <c r="BP41" s="565"/>
      <c r="BQ41" s="566"/>
      <c r="BR41" s="565"/>
      <c r="BS41" s="565"/>
      <c r="BT41" s="565"/>
      <c r="BU41" s="565"/>
      <c r="BV41" s="565"/>
      <c r="BY41" s="558"/>
      <c r="BZ41" s="120"/>
    </row>
    <row r="42" spans="1:78" x14ac:dyDescent="0.25">
      <c r="A42" s="565"/>
      <c r="B42" s="1062"/>
      <c r="C42" s="1062"/>
      <c r="D42" s="1062"/>
      <c r="E42" s="1062"/>
      <c r="F42" s="1062"/>
      <c r="G42" s="1062"/>
      <c r="H42" s="1062"/>
      <c r="I42" s="590"/>
      <c r="J42" s="566">
        <v>6</v>
      </c>
      <c r="K42" s="565" t="str">
        <f t="shared" si="11"/>
        <v/>
      </c>
      <c r="L42" s="565" t="str">
        <f t="shared" si="12"/>
        <v/>
      </c>
      <c r="M42" s="565"/>
      <c r="N42" s="565"/>
      <c r="O42" s="565"/>
      <c r="P42" s="565"/>
      <c r="Q42" s="565"/>
      <c r="R42" s="565"/>
      <c r="S42" s="566">
        <v>6</v>
      </c>
      <c r="T42" s="565" t="str">
        <f t="shared" si="13"/>
        <v/>
      </c>
      <c r="U42" s="565" t="str">
        <f t="shared" si="14"/>
        <v/>
      </c>
      <c r="V42" s="565"/>
      <c r="W42" s="565"/>
      <c r="X42" s="565"/>
      <c r="Y42" s="565"/>
      <c r="Z42" s="565"/>
      <c r="AA42" s="565"/>
      <c r="AB42" s="566">
        <v>6</v>
      </c>
      <c r="AC42" s="565" t="str">
        <f t="shared" si="15"/>
        <v/>
      </c>
      <c r="AD42" s="565" t="str">
        <f t="shared" si="16"/>
        <v/>
      </c>
      <c r="AE42" s="565"/>
      <c r="AF42" s="565"/>
      <c r="AG42" s="565"/>
      <c r="AH42" s="565"/>
      <c r="AI42" s="565"/>
      <c r="AJ42" s="565"/>
      <c r="AK42" s="566">
        <v>6</v>
      </c>
      <c r="AL42" s="565" t="str">
        <f t="shared" si="17"/>
        <v/>
      </c>
      <c r="AM42" s="565" t="str">
        <f t="shared" si="18"/>
        <v/>
      </c>
      <c r="AN42" s="565"/>
      <c r="AO42" s="565"/>
      <c r="AP42" s="565"/>
      <c r="AQ42" s="565"/>
      <c r="AR42" s="565"/>
      <c r="AS42" s="566">
        <v>6</v>
      </c>
      <c r="AT42" s="565" t="str">
        <f t="shared" si="19"/>
        <v/>
      </c>
      <c r="AU42" s="565" t="str">
        <f t="shared" si="20"/>
        <v/>
      </c>
      <c r="AV42" s="565"/>
      <c r="AW42" s="566"/>
      <c r="AX42" s="565"/>
      <c r="AY42" s="565"/>
      <c r="AZ42" s="565"/>
      <c r="BA42" s="566"/>
      <c r="BB42" s="565"/>
      <c r="BC42" s="565"/>
      <c r="BD42" s="565"/>
      <c r="BE42" s="565"/>
      <c r="BF42" s="565"/>
      <c r="BG42" s="565"/>
      <c r="BH42" s="565"/>
      <c r="BI42" s="566"/>
      <c r="BJ42" s="565"/>
      <c r="BK42" s="565"/>
      <c r="BL42" s="565"/>
      <c r="BM42" s="565"/>
      <c r="BN42" s="565"/>
      <c r="BO42" s="565"/>
      <c r="BP42" s="565"/>
      <c r="BQ42" s="566"/>
      <c r="BR42" s="565"/>
      <c r="BS42" s="565"/>
      <c r="BT42" s="565"/>
      <c r="BU42" s="565"/>
      <c r="BV42" s="565"/>
      <c r="BY42" s="558"/>
      <c r="BZ42" s="120"/>
    </row>
    <row r="43" spans="1:78" x14ac:dyDescent="0.25">
      <c r="A43" s="565"/>
      <c r="B43" s="1062"/>
      <c r="C43" s="1062"/>
      <c r="D43" s="1062"/>
      <c r="E43" s="1062"/>
      <c r="F43" s="1062"/>
      <c r="G43" s="1062"/>
      <c r="H43" s="1062"/>
      <c r="I43" s="590"/>
      <c r="J43" s="566">
        <v>7</v>
      </c>
      <c r="K43" s="565" t="str">
        <f t="shared" si="11"/>
        <v/>
      </c>
      <c r="L43" s="565" t="str">
        <f t="shared" si="12"/>
        <v/>
      </c>
      <c r="M43" s="565"/>
      <c r="N43" s="565"/>
      <c r="O43" s="565"/>
      <c r="P43" s="565"/>
      <c r="Q43" s="565"/>
      <c r="R43" s="565"/>
      <c r="S43" s="566">
        <v>7</v>
      </c>
      <c r="T43" s="565" t="str">
        <f t="shared" si="13"/>
        <v/>
      </c>
      <c r="U43" s="565" t="str">
        <f t="shared" si="14"/>
        <v/>
      </c>
      <c r="V43" s="565"/>
      <c r="W43" s="565"/>
      <c r="X43" s="565"/>
      <c r="Y43" s="565"/>
      <c r="Z43" s="565"/>
      <c r="AA43" s="565"/>
      <c r="AB43" s="566">
        <v>7</v>
      </c>
      <c r="AC43" s="565" t="str">
        <f t="shared" si="15"/>
        <v/>
      </c>
      <c r="AD43" s="565" t="str">
        <f t="shared" si="16"/>
        <v/>
      </c>
      <c r="AE43" s="565"/>
      <c r="AF43" s="565"/>
      <c r="AG43" s="565"/>
      <c r="AH43" s="565"/>
      <c r="AI43" s="565"/>
      <c r="AJ43" s="565"/>
      <c r="AK43" s="566">
        <v>7</v>
      </c>
      <c r="AL43" s="565" t="str">
        <f t="shared" si="17"/>
        <v/>
      </c>
      <c r="AM43" s="565" t="str">
        <f t="shared" si="18"/>
        <v/>
      </c>
      <c r="AN43" s="565"/>
      <c r="AO43" s="565"/>
      <c r="AP43" s="565"/>
      <c r="AQ43" s="565"/>
      <c r="AR43" s="565"/>
      <c r="AS43" s="566">
        <v>7</v>
      </c>
      <c r="AT43" s="565" t="str">
        <f t="shared" si="19"/>
        <v/>
      </c>
      <c r="AU43" s="565" t="str">
        <f t="shared" si="20"/>
        <v/>
      </c>
      <c r="AV43" s="565"/>
      <c r="AW43" s="566"/>
      <c r="AX43" s="565"/>
      <c r="AY43" s="565"/>
      <c r="AZ43" s="565"/>
      <c r="BA43" s="566"/>
      <c r="BB43" s="565"/>
      <c r="BC43" s="565"/>
      <c r="BD43" s="565"/>
      <c r="BE43" s="565"/>
      <c r="BF43" s="565"/>
      <c r="BG43" s="565"/>
      <c r="BH43" s="565"/>
      <c r="BI43" s="566"/>
      <c r="BJ43" s="565"/>
      <c r="BK43" s="565"/>
      <c r="BL43" s="565"/>
      <c r="BM43" s="565"/>
      <c r="BN43" s="565"/>
      <c r="BO43" s="565"/>
      <c r="BP43" s="565"/>
      <c r="BQ43" s="566"/>
      <c r="BR43" s="565"/>
      <c r="BS43" s="565"/>
      <c r="BT43" s="565"/>
      <c r="BU43" s="565"/>
      <c r="BV43" s="565"/>
      <c r="BY43" s="558"/>
      <c r="BZ43" s="120"/>
    </row>
    <row r="44" spans="1:78" x14ac:dyDescent="0.25">
      <c r="A44" s="565"/>
      <c r="B44" s="1062"/>
      <c r="C44" s="1062"/>
      <c r="D44" s="1062"/>
      <c r="E44" s="1062"/>
      <c r="F44" s="1062"/>
      <c r="G44" s="1062"/>
      <c r="H44" s="1062"/>
      <c r="I44" s="590"/>
      <c r="J44" s="566">
        <v>8</v>
      </c>
      <c r="K44" s="565" t="str">
        <f t="shared" si="11"/>
        <v/>
      </c>
      <c r="L44" s="565" t="str">
        <f t="shared" si="12"/>
        <v/>
      </c>
      <c r="M44" s="565"/>
      <c r="N44" s="565"/>
      <c r="O44" s="565"/>
      <c r="P44" s="565"/>
      <c r="Q44" s="565"/>
      <c r="R44" s="565"/>
      <c r="S44" s="566">
        <v>8</v>
      </c>
      <c r="T44" s="565" t="str">
        <f t="shared" si="13"/>
        <v/>
      </c>
      <c r="U44" s="565" t="str">
        <f t="shared" si="14"/>
        <v/>
      </c>
      <c r="V44" s="565"/>
      <c r="W44" s="565"/>
      <c r="X44" s="565"/>
      <c r="Y44" s="565"/>
      <c r="Z44" s="565"/>
      <c r="AA44" s="565"/>
      <c r="AB44" s="566">
        <v>8</v>
      </c>
      <c r="AC44" s="565" t="str">
        <f t="shared" si="15"/>
        <v/>
      </c>
      <c r="AD44" s="565" t="str">
        <f t="shared" si="16"/>
        <v/>
      </c>
      <c r="AE44" s="565"/>
      <c r="AF44" s="565"/>
      <c r="AG44" s="565"/>
      <c r="AH44" s="565"/>
      <c r="AI44" s="565"/>
      <c r="AJ44" s="565"/>
      <c r="AK44" s="566">
        <v>8</v>
      </c>
      <c r="AL44" s="565" t="str">
        <f t="shared" si="17"/>
        <v/>
      </c>
      <c r="AM44" s="565" t="str">
        <f t="shared" si="18"/>
        <v/>
      </c>
      <c r="AN44" s="565"/>
      <c r="AO44" s="565"/>
      <c r="AP44" s="565"/>
      <c r="AQ44" s="565"/>
      <c r="AR44" s="565"/>
      <c r="AS44" s="566">
        <v>8</v>
      </c>
      <c r="AT44" s="565" t="str">
        <f t="shared" si="19"/>
        <v/>
      </c>
      <c r="AU44" s="565" t="str">
        <f t="shared" si="20"/>
        <v/>
      </c>
      <c r="AV44" s="565"/>
      <c r="AW44" s="566"/>
      <c r="AX44" s="565"/>
      <c r="AY44" s="565"/>
      <c r="AZ44" s="565"/>
      <c r="BA44" s="566"/>
      <c r="BB44" s="565"/>
      <c r="BC44" s="565"/>
      <c r="BD44" s="565"/>
      <c r="BE44" s="565"/>
      <c r="BF44" s="565"/>
      <c r="BG44" s="565"/>
      <c r="BH44" s="565"/>
      <c r="BI44" s="566"/>
      <c r="BJ44" s="565"/>
      <c r="BK44" s="565"/>
      <c r="BL44" s="565"/>
      <c r="BM44" s="565"/>
      <c r="BN44" s="565"/>
      <c r="BO44" s="565"/>
      <c r="BP44" s="565"/>
      <c r="BQ44" s="566"/>
      <c r="BR44" s="565"/>
      <c r="BS44" s="565"/>
      <c r="BT44" s="565"/>
      <c r="BU44" s="565"/>
      <c r="BV44" s="565"/>
      <c r="BY44" s="558"/>
      <c r="BZ44" s="120"/>
    </row>
    <row r="45" spans="1:78" x14ac:dyDescent="0.25">
      <c r="A45" s="565"/>
      <c r="B45" s="1062"/>
      <c r="C45" s="1062"/>
      <c r="D45" s="1062"/>
      <c r="E45" s="1062"/>
      <c r="F45" s="1062"/>
      <c r="G45" s="1062"/>
      <c r="H45" s="1062"/>
      <c r="I45" s="590"/>
      <c r="J45" s="566">
        <v>9</v>
      </c>
      <c r="K45" s="565" t="str">
        <f t="shared" si="11"/>
        <v/>
      </c>
      <c r="L45" s="565" t="str">
        <f t="shared" si="12"/>
        <v/>
      </c>
      <c r="M45" s="565"/>
      <c r="N45" s="565"/>
      <c r="O45" s="565"/>
      <c r="P45" s="565"/>
      <c r="Q45" s="565"/>
      <c r="R45" s="565"/>
      <c r="S45" s="566">
        <v>9</v>
      </c>
      <c r="T45" s="565" t="str">
        <f t="shared" si="13"/>
        <v/>
      </c>
      <c r="U45" s="565" t="str">
        <f t="shared" si="14"/>
        <v/>
      </c>
      <c r="V45" s="565"/>
      <c r="W45" s="565"/>
      <c r="X45" s="565"/>
      <c r="Y45" s="565"/>
      <c r="Z45" s="565"/>
      <c r="AA45" s="565"/>
      <c r="AB45" s="566">
        <v>9</v>
      </c>
      <c r="AC45" s="565" t="str">
        <f t="shared" si="15"/>
        <v/>
      </c>
      <c r="AD45" s="565" t="str">
        <f t="shared" si="16"/>
        <v/>
      </c>
      <c r="AE45" s="565"/>
      <c r="AF45" s="565"/>
      <c r="AG45" s="565"/>
      <c r="AH45" s="565"/>
      <c r="AI45" s="565"/>
      <c r="AJ45" s="565"/>
      <c r="AK45" s="566">
        <v>9</v>
      </c>
      <c r="AL45" s="565" t="str">
        <f t="shared" si="17"/>
        <v/>
      </c>
      <c r="AM45" s="565" t="str">
        <f t="shared" si="18"/>
        <v/>
      </c>
      <c r="AN45" s="565"/>
      <c r="AO45" s="565"/>
      <c r="AP45" s="565"/>
      <c r="AQ45" s="565"/>
      <c r="AR45" s="565"/>
      <c r="AS45" s="566">
        <v>9</v>
      </c>
      <c r="AT45" s="565" t="str">
        <f t="shared" si="19"/>
        <v/>
      </c>
      <c r="AU45" s="565" t="str">
        <f t="shared" si="20"/>
        <v/>
      </c>
      <c r="AV45" s="565"/>
      <c r="AW45" s="566"/>
      <c r="AX45" s="565"/>
      <c r="AY45" s="565"/>
      <c r="AZ45" s="565"/>
      <c r="BA45" s="566"/>
      <c r="BB45" s="565"/>
      <c r="BC45" s="565"/>
      <c r="BD45" s="565"/>
      <c r="BE45" s="565"/>
      <c r="BF45" s="565"/>
      <c r="BG45" s="565"/>
      <c r="BH45" s="565"/>
      <c r="BI45" s="566"/>
      <c r="BJ45" s="565"/>
      <c r="BK45" s="565"/>
      <c r="BL45" s="565"/>
      <c r="BM45" s="565"/>
      <c r="BN45" s="565"/>
      <c r="BO45" s="565"/>
      <c r="BP45" s="565"/>
      <c r="BQ45" s="566"/>
      <c r="BR45" s="565"/>
      <c r="BS45" s="565"/>
      <c r="BT45" s="565"/>
      <c r="BU45" s="565"/>
      <c r="BV45" s="565"/>
      <c r="BY45" s="558"/>
      <c r="BZ45" s="120"/>
    </row>
    <row r="46" spans="1:78" x14ac:dyDescent="0.25">
      <c r="A46" s="565"/>
      <c r="B46" s="1062"/>
      <c r="C46" s="1062"/>
      <c r="D46" s="1062"/>
      <c r="E46" s="1062"/>
      <c r="F46" s="1062"/>
      <c r="G46" s="1062"/>
      <c r="H46" s="1062"/>
      <c r="I46" s="590"/>
      <c r="J46" s="566">
        <v>10</v>
      </c>
      <c r="K46" s="565" t="str">
        <f t="shared" si="11"/>
        <v/>
      </c>
      <c r="L46" s="565" t="str">
        <f t="shared" si="12"/>
        <v/>
      </c>
      <c r="M46" s="565"/>
      <c r="N46" s="565"/>
      <c r="O46" s="565"/>
      <c r="P46" s="565"/>
      <c r="Q46" s="565"/>
      <c r="R46" s="565"/>
      <c r="S46" s="566">
        <v>10</v>
      </c>
      <c r="T46" s="565" t="str">
        <f t="shared" si="13"/>
        <v/>
      </c>
      <c r="U46" s="565" t="str">
        <f t="shared" si="14"/>
        <v/>
      </c>
      <c r="V46" s="565"/>
      <c r="W46" s="565"/>
      <c r="X46" s="565"/>
      <c r="Y46" s="565"/>
      <c r="Z46" s="565"/>
      <c r="AA46" s="565"/>
      <c r="AB46" s="566">
        <v>10</v>
      </c>
      <c r="AC46" s="565" t="str">
        <f t="shared" si="15"/>
        <v/>
      </c>
      <c r="AD46" s="565" t="str">
        <f t="shared" si="16"/>
        <v/>
      </c>
      <c r="AE46" s="565"/>
      <c r="AF46" s="565"/>
      <c r="AG46" s="565"/>
      <c r="AH46" s="565"/>
      <c r="AI46" s="565"/>
      <c r="AJ46" s="565"/>
      <c r="AK46" s="566">
        <v>10</v>
      </c>
      <c r="AL46" s="565" t="str">
        <f t="shared" si="17"/>
        <v/>
      </c>
      <c r="AM46" s="565" t="str">
        <f t="shared" si="18"/>
        <v/>
      </c>
      <c r="AN46" s="565"/>
      <c r="AO46" s="565"/>
      <c r="AP46" s="565"/>
      <c r="AQ46" s="565"/>
      <c r="AR46" s="565"/>
      <c r="AS46" s="566">
        <v>10</v>
      </c>
      <c r="AT46" s="565" t="str">
        <f t="shared" si="19"/>
        <v/>
      </c>
      <c r="AU46" s="565" t="str">
        <f t="shared" si="20"/>
        <v/>
      </c>
      <c r="AV46" s="565"/>
      <c r="AW46" s="566"/>
      <c r="AX46" s="565"/>
      <c r="AY46" s="565"/>
      <c r="AZ46" s="565"/>
      <c r="BA46" s="566"/>
      <c r="BB46" s="565"/>
      <c r="BC46" s="565"/>
      <c r="BD46" s="565"/>
      <c r="BE46" s="565"/>
      <c r="BF46" s="565"/>
      <c r="BG46" s="565"/>
      <c r="BH46" s="565"/>
      <c r="BI46" s="566"/>
      <c r="BJ46" s="565"/>
      <c r="BK46" s="565"/>
      <c r="BL46" s="565"/>
      <c r="BM46" s="565"/>
      <c r="BN46" s="565"/>
      <c r="BO46" s="565"/>
      <c r="BP46" s="565"/>
      <c r="BQ46" s="566"/>
      <c r="BR46" s="565"/>
      <c r="BS46" s="565"/>
      <c r="BT46" s="565"/>
      <c r="BU46" s="565"/>
      <c r="BV46" s="565"/>
      <c r="BY46" s="558"/>
      <c r="BZ46" s="120"/>
    </row>
    <row r="47" spans="1:78" x14ac:dyDescent="0.25">
      <c r="A47" s="565"/>
      <c r="B47" s="1062"/>
      <c r="C47" s="1062"/>
      <c r="D47" s="1062"/>
      <c r="E47" s="1062"/>
      <c r="F47" s="1062"/>
      <c r="G47" s="1062"/>
      <c r="H47" s="1062"/>
      <c r="I47" s="590"/>
      <c r="J47" s="566">
        <v>11</v>
      </c>
      <c r="K47" s="565" t="str">
        <f t="shared" si="11"/>
        <v/>
      </c>
      <c r="L47" s="565" t="str">
        <f t="shared" si="12"/>
        <v/>
      </c>
      <c r="M47" s="565"/>
      <c r="N47" s="565"/>
      <c r="O47" s="565"/>
      <c r="P47" s="565"/>
      <c r="Q47" s="565"/>
      <c r="R47" s="565"/>
      <c r="S47" s="566">
        <v>11</v>
      </c>
      <c r="T47" s="565" t="str">
        <f t="shared" si="13"/>
        <v/>
      </c>
      <c r="U47" s="565" t="str">
        <f t="shared" si="14"/>
        <v/>
      </c>
      <c r="V47" s="565"/>
      <c r="W47" s="565"/>
      <c r="X47" s="565"/>
      <c r="Y47" s="565"/>
      <c r="Z47" s="565"/>
      <c r="AA47" s="565"/>
      <c r="AB47" s="566">
        <v>11</v>
      </c>
      <c r="AC47" s="565" t="str">
        <f t="shared" si="15"/>
        <v/>
      </c>
      <c r="AD47" s="565" t="str">
        <f t="shared" si="16"/>
        <v/>
      </c>
      <c r="AE47" s="565"/>
      <c r="AF47" s="565"/>
      <c r="AG47" s="565"/>
      <c r="AH47" s="565"/>
      <c r="AI47" s="565"/>
      <c r="AJ47" s="565"/>
      <c r="AK47" s="566">
        <v>11</v>
      </c>
      <c r="AL47" s="565" t="str">
        <f t="shared" si="17"/>
        <v/>
      </c>
      <c r="AM47" s="565" t="str">
        <f t="shared" si="18"/>
        <v/>
      </c>
      <c r="AN47" s="565"/>
      <c r="AO47" s="565"/>
      <c r="AP47" s="565"/>
      <c r="AQ47" s="565"/>
      <c r="AR47" s="565"/>
      <c r="AS47" s="566">
        <v>11</v>
      </c>
      <c r="AT47" s="565" t="str">
        <f t="shared" si="19"/>
        <v/>
      </c>
      <c r="AU47" s="565" t="str">
        <f t="shared" si="20"/>
        <v/>
      </c>
      <c r="AV47" s="565"/>
      <c r="AW47" s="566"/>
      <c r="AX47" s="565"/>
      <c r="AY47" s="565"/>
      <c r="AZ47" s="565"/>
      <c r="BA47" s="566"/>
      <c r="BB47" s="565"/>
      <c r="BC47" s="565"/>
      <c r="BD47" s="565"/>
      <c r="BE47" s="565"/>
      <c r="BF47" s="565"/>
      <c r="BG47" s="565"/>
      <c r="BH47" s="565"/>
      <c r="BI47" s="566"/>
      <c r="BJ47" s="565"/>
      <c r="BK47" s="565"/>
      <c r="BL47" s="565"/>
      <c r="BM47" s="565"/>
      <c r="BN47" s="565"/>
      <c r="BO47" s="565"/>
      <c r="BP47" s="565"/>
      <c r="BQ47" s="566"/>
      <c r="BR47" s="565"/>
      <c r="BS47" s="565"/>
      <c r="BT47" s="565"/>
      <c r="BU47" s="565"/>
      <c r="BV47" s="565"/>
      <c r="BY47" s="558"/>
      <c r="BZ47" s="120"/>
    </row>
    <row r="48" spans="1:78" x14ac:dyDescent="0.25">
      <c r="A48" s="565"/>
      <c r="B48" s="1062"/>
      <c r="C48" s="1062"/>
      <c r="D48" s="1062"/>
      <c r="E48" s="1062"/>
      <c r="F48" s="1062"/>
      <c r="G48" s="1062"/>
      <c r="H48" s="1062"/>
      <c r="I48" s="590"/>
      <c r="J48" s="566">
        <v>12</v>
      </c>
      <c r="K48" s="565" t="str">
        <f t="shared" si="11"/>
        <v/>
      </c>
      <c r="L48" s="565" t="str">
        <f t="shared" si="12"/>
        <v/>
      </c>
      <c r="M48" s="565"/>
      <c r="N48" s="565"/>
      <c r="O48" s="565"/>
      <c r="P48" s="565"/>
      <c r="Q48" s="565"/>
      <c r="R48" s="565"/>
      <c r="S48" s="566">
        <v>12</v>
      </c>
      <c r="T48" s="565" t="str">
        <f t="shared" si="13"/>
        <v/>
      </c>
      <c r="U48" s="565" t="str">
        <f t="shared" si="14"/>
        <v/>
      </c>
      <c r="V48" s="565"/>
      <c r="W48" s="565"/>
      <c r="X48" s="565"/>
      <c r="Y48" s="565"/>
      <c r="Z48" s="565"/>
      <c r="AA48" s="565"/>
      <c r="AB48" s="566">
        <v>12</v>
      </c>
      <c r="AC48" s="565" t="str">
        <f t="shared" si="15"/>
        <v/>
      </c>
      <c r="AD48" s="565" t="str">
        <f t="shared" si="16"/>
        <v/>
      </c>
      <c r="AE48" s="565"/>
      <c r="AF48" s="565"/>
      <c r="AG48" s="565"/>
      <c r="AH48" s="565"/>
      <c r="AI48" s="565"/>
      <c r="AJ48" s="565"/>
      <c r="AK48" s="566">
        <v>12</v>
      </c>
      <c r="AL48" s="565" t="str">
        <f t="shared" si="17"/>
        <v/>
      </c>
      <c r="AM48" s="565" t="str">
        <f t="shared" si="18"/>
        <v/>
      </c>
      <c r="AN48" s="565"/>
      <c r="AO48" s="565"/>
      <c r="AP48" s="565"/>
      <c r="AQ48" s="565"/>
      <c r="AR48" s="565"/>
      <c r="AS48" s="566">
        <v>12</v>
      </c>
      <c r="AT48" s="565" t="str">
        <f t="shared" si="19"/>
        <v/>
      </c>
      <c r="AU48" s="565" t="str">
        <f t="shared" si="20"/>
        <v/>
      </c>
      <c r="AV48" s="565"/>
      <c r="AW48" s="566"/>
      <c r="AX48" s="565"/>
      <c r="AY48" s="565"/>
      <c r="AZ48" s="565"/>
      <c r="BA48" s="566"/>
      <c r="BB48" s="565"/>
      <c r="BC48" s="565"/>
      <c r="BD48" s="565"/>
      <c r="BE48" s="565"/>
      <c r="BF48" s="565"/>
      <c r="BG48" s="565"/>
      <c r="BH48" s="565"/>
      <c r="BI48" s="566"/>
      <c r="BJ48" s="565"/>
      <c r="BK48" s="565"/>
      <c r="BL48" s="565"/>
      <c r="BM48" s="565"/>
      <c r="BN48" s="565"/>
      <c r="BO48" s="565"/>
      <c r="BP48" s="565"/>
      <c r="BQ48" s="566"/>
      <c r="BR48" s="565"/>
      <c r="BS48" s="565"/>
      <c r="BT48" s="565"/>
      <c r="BU48" s="565"/>
      <c r="BV48" s="565"/>
      <c r="BY48" s="558"/>
      <c r="BZ48" s="120"/>
    </row>
    <row r="49" spans="1:78" x14ac:dyDescent="0.25">
      <c r="A49" s="565"/>
      <c r="B49" s="1062"/>
      <c r="C49" s="1062"/>
      <c r="D49" s="1062"/>
      <c r="E49" s="1062"/>
      <c r="F49" s="1062"/>
      <c r="G49" s="1062"/>
      <c r="H49" s="1062"/>
      <c r="I49" s="590"/>
      <c r="J49" s="566">
        <v>13</v>
      </c>
      <c r="K49" s="565" t="str">
        <f t="shared" si="11"/>
        <v/>
      </c>
      <c r="L49" s="565" t="str">
        <f t="shared" si="12"/>
        <v/>
      </c>
      <c r="M49" s="565"/>
      <c r="N49" s="565"/>
      <c r="O49" s="565"/>
      <c r="P49" s="565"/>
      <c r="Q49" s="565"/>
      <c r="R49" s="565"/>
      <c r="S49" s="566">
        <v>13</v>
      </c>
      <c r="T49" s="565" t="str">
        <f t="shared" si="13"/>
        <v/>
      </c>
      <c r="U49" s="565" t="str">
        <f t="shared" si="14"/>
        <v/>
      </c>
      <c r="V49" s="565"/>
      <c r="W49" s="565"/>
      <c r="X49" s="565"/>
      <c r="Y49" s="565"/>
      <c r="Z49" s="565"/>
      <c r="AA49" s="565"/>
      <c r="AB49" s="566">
        <v>13</v>
      </c>
      <c r="AC49" s="565" t="str">
        <f t="shared" si="15"/>
        <v/>
      </c>
      <c r="AD49" s="565" t="str">
        <f t="shared" si="16"/>
        <v/>
      </c>
      <c r="AE49" s="565"/>
      <c r="AF49" s="565"/>
      <c r="AG49" s="565"/>
      <c r="AH49" s="565"/>
      <c r="AI49" s="565"/>
      <c r="AJ49" s="565"/>
      <c r="AK49" s="566">
        <v>13</v>
      </c>
      <c r="AL49" s="565" t="str">
        <f t="shared" si="17"/>
        <v/>
      </c>
      <c r="AM49" s="565" t="str">
        <f t="shared" si="18"/>
        <v/>
      </c>
      <c r="AN49" s="565"/>
      <c r="AO49" s="565"/>
      <c r="AP49" s="565"/>
      <c r="AQ49" s="565"/>
      <c r="AR49" s="565"/>
      <c r="AS49" s="566">
        <v>13</v>
      </c>
      <c r="AT49" s="565" t="str">
        <f t="shared" si="19"/>
        <v/>
      </c>
      <c r="AU49" s="565" t="str">
        <f t="shared" si="20"/>
        <v/>
      </c>
      <c r="AV49" s="565"/>
      <c r="AW49" s="566"/>
      <c r="AX49" s="565"/>
      <c r="AY49" s="565"/>
      <c r="AZ49" s="565"/>
      <c r="BA49" s="566"/>
      <c r="BB49" s="565"/>
      <c r="BC49" s="565"/>
      <c r="BD49" s="565"/>
      <c r="BE49" s="565"/>
      <c r="BF49" s="565"/>
      <c r="BG49" s="565"/>
      <c r="BH49" s="565"/>
      <c r="BI49" s="566"/>
      <c r="BJ49" s="565"/>
      <c r="BK49" s="565"/>
      <c r="BL49" s="565"/>
      <c r="BM49" s="565"/>
      <c r="BN49" s="565"/>
      <c r="BO49" s="565"/>
      <c r="BP49" s="565"/>
      <c r="BQ49" s="566"/>
      <c r="BR49" s="565"/>
      <c r="BS49" s="565"/>
      <c r="BT49" s="565"/>
      <c r="BU49" s="565"/>
      <c r="BV49" s="565"/>
      <c r="BY49" s="558"/>
      <c r="BZ49" s="120"/>
    </row>
    <row r="50" spans="1:78" x14ac:dyDescent="0.25">
      <c r="A50" s="565"/>
      <c r="B50" s="1062"/>
      <c r="C50" s="1062"/>
      <c r="D50" s="1062"/>
      <c r="E50" s="1062"/>
      <c r="F50" s="1062"/>
      <c r="G50" s="1062"/>
      <c r="H50" s="1062"/>
      <c r="I50" s="590"/>
      <c r="J50" s="566">
        <v>14</v>
      </c>
      <c r="K50" s="565" t="str">
        <f t="shared" si="11"/>
        <v/>
      </c>
      <c r="L50" s="565" t="str">
        <f t="shared" si="12"/>
        <v/>
      </c>
      <c r="M50" s="565"/>
      <c r="N50" s="565"/>
      <c r="O50" s="565"/>
      <c r="P50" s="565"/>
      <c r="Q50" s="565"/>
      <c r="R50" s="565"/>
      <c r="S50" s="566">
        <v>14</v>
      </c>
      <c r="T50" s="565" t="str">
        <f t="shared" si="13"/>
        <v/>
      </c>
      <c r="U50" s="565" t="str">
        <f t="shared" si="14"/>
        <v/>
      </c>
      <c r="V50" s="565"/>
      <c r="W50" s="565"/>
      <c r="X50" s="565"/>
      <c r="Y50" s="565"/>
      <c r="Z50" s="565"/>
      <c r="AA50" s="565"/>
      <c r="AB50" s="566">
        <v>14</v>
      </c>
      <c r="AC50" s="565" t="str">
        <f t="shared" si="15"/>
        <v/>
      </c>
      <c r="AD50" s="565" t="str">
        <f t="shared" si="16"/>
        <v/>
      </c>
      <c r="AE50" s="565"/>
      <c r="AF50" s="565"/>
      <c r="AG50" s="565"/>
      <c r="AH50" s="565"/>
      <c r="AI50" s="565"/>
      <c r="AJ50" s="565"/>
      <c r="AK50" s="566">
        <v>14</v>
      </c>
      <c r="AL50" s="565" t="str">
        <f t="shared" si="17"/>
        <v/>
      </c>
      <c r="AM50" s="565" t="str">
        <f t="shared" si="18"/>
        <v/>
      </c>
      <c r="AN50" s="565"/>
      <c r="AO50" s="565"/>
      <c r="AP50" s="565"/>
      <c r="AQ50" s="565"/>
      <c r="AR50" s="565"/>
      <c r="AS50" s="566">
        <v>14</v>
      </c>
      <c r="AT50" s="565" t="str">
        <f t="shared" si="19"/>
        <v/>
      </c>
      <c r="AU50" s="565" t="str">
        <f t="shared" si="20"/>
        <v/>
      </c>
      <c r="AV50" s="565"/>
      <c r="AW50" s="566"/>
      <c r="AX50" s="565"/>
      <c r="AY50" s="565"/>
      <c r="AZ50" s="565"/>
      <c r="BA50" s="566"/>
      <c r="BB50" s="565"/>
      <c r="BC50" s="565"/>
      <c r="BD50" s="565"/>
      <c r="BE50" s="565"/>
      <c r="BF50" s="565"/>
      <c r="BG50" s="565"/>
      <c r="BH50" s="565"/>
      <c r="BI50" s="566"/>
      <c r="BJ50" s="565"/>
      <c r="BK50" s="565"/>
      <c r="BL50" s="565"/>
      <c r="BM50" s="565"/>
      <c r="BN50" s="565"/>
      <c r="BO50" s="565"/>
      <c r="BP50" s="565"/>
      <c r="BQ50" s="566"/>
      <c r="BR50" s="565"/>
      <c r="BS50" s="565"/>
      <c r="BT50" s="565"/>
      <c r="BU50" s="565"/>
      <c r="BV50" s="565"/>
      <c r="BY50" s="558"/>
      <c r="BZ50" s="120"/>
    </row>
    <row r="51" spans="1:78" x14ac:dyDescent="0.25">
      <c r="A51" s="565"/>
      <c r="B51" s="1062"/>
      <c r="C51" s="1062"/>
      <c r="D51" s="1062"/>
      <c r="E51" s="1062"/>
      <c r="F51" s="1062"/>
      <c r="G51" s="1062"/>
      <c r="H51" s="1062"/>
      <c r="I51" s="590"/>
      <c r="J51" s="566">
        <v>15</v>
      </c>
      <c r="K51" s="565" t="str">
        <f t="shared" si="11"/>
        <v/>
      </c>
      <c r="L51" s="565" t="str">
        <f t="shared" si="12"/>
        <v/>
      </c>
      <c r="M51" s="565"/>
      <c r="N51" s="565"/>
      <c r="O51" s="565"/>
      <c r="P51" s="565"/>
      <c r="Q51" s="565"/>
      <c r="R51" s="565"/>
      <c r="S51" s="566">
        <v>15</v>
      </c>
      <c r="T51" s="565" t="str">
        <f t="shared" si="13"/>
        <v/>
      </c>
      <c r="U51" s="565" t="str">
        <f t="shared" si="14"/>
        <v/>
      </c>
      <c r="V51" s="565"/>
      <c r="W51" s="565"/>
      <c r="X51" s="565"/>
      <c r="Y51" s="565"/>
      <c r="Z51" s="565"/>
      <c r="AA51" s="565"/>
      <c r="AB51" s="566">
        <v>15</v>
      </c>
      <c r="AC51" s="565" t="str">
        <f t="shared" si="15"/>
        <v/>
      </c>
      <c r="AD51" s="565" t="str">
        <f t="shared" si="16"/>
        <v/>
      </c>
      <c r="AE51" s="565"/>
      <c r="AF51" s="565"/>
      <c r="AG51" s="565"/>
      <c r="AH51" s="565"/>
      <c r="AI51" s="565"/>
      <c r="AJ51" s="565"/>
      <c r="AK51" s="566">
        <v>15</v>
      </c>
      <c r="AL51" s="565" t="str">
        <f t="shared" si="17"/>
        <v/>
      </c>
      <c r="AM51" s="565" t="str">
        <f t="shared" si="18"/>
        <v/>
      </c>
      <c r="AN51" s="565"/>
      <c r="AO51" s="565"/>
      <c r="AP51" s="565"/>
      <c r="AQ51" s="565"/>
      <c r="AR51" s="565"/>
      <c r="AS51" s="566">
        <v>15</v>
      </c>
      <c r="AT51" s="565" t="str">
        <f t="shared" si="19"/>
        <v/>
      </c>
      <c r="AU51" s="565" t="str">
        <f t="shared" si="20"/>
        <v/>
      </c>
      <c r="AV51" s="565"/>
      <c r="AW51" s="566"/>
      <c r="AX51" s="565"/>
      <c r="AY51" s="565"/>
      <c r="AZ51" s="565"/>
      <c r="BA51" s="566"/>
      <c r="BB51" s="565"/>
      <c r="BC51" s="565"/>
      <c r="BD51" s="565"/>
      <c r="BE51" s="565"/>
      <c r="BF51" s="565"/>
      <c r="BG51" s="565"/>
      <c r="BH51" s="565"/>
      <c r="BI51" s="566"/>
      <c r="BJ51" s="565"/>
      <c r="BK51" s="565"/>
      <c r="BL51" s="565"/>
      <c r="BM51" s="565"/>
      <c r="BN51" s="565"/>
      <c r="BO51" s="565"/>
      <c r="BP51" s="565"/>
      <c r="BQ51" s="566"/>
      <c r="BR51" s="565"/>
      <c r="BS51" s="565"/>
      <c r="BT51" s="565"/>
      <c r="BU51" s="565"/>
      <c r="BV51" s="565"/>
      <c r="BY51" s="558"/>
      <c r="BZ51" s="120"/>
    </row>
    <row r="52" spans="1:78" x14ac:dyDescent="0.25">
      <c r="A52" s="565"/>
      <c r="B52" s="1062"/>
      <c r="C52" s="1062"/>
      <c r="D52" s="1062"/>
      <c r="E52" s="1062"/>
      <c r="F52" s="1062"/>
      <c r="G52" s="1062"/>
      <c r="H52" s="1062"/>
      <c r="I52" s="590"/>
      <c r="J52" s="566">
        <v>16</v>
      </c>
      <c r="K52" s="565" t="str">
        <f t="shared" si="11"/>
        <v/>
      </c>
      <c r="L52" s="565" t="str">
        <f t="shared" si="12"/>
        <v/>
      </c>
      <c r="M52" s="565"/>
      <c r="N52" s="565"/>
      <c r="O52" s="565"/>
      <c r="P52" s="565"/>
      <c r="Q52" s="565"/>
      <c r="R52" s="565"/>
      <c r="S52" s="566">
        <v>16</v>
      </c>
      <c r="T52" s="565" t="str">
        <f t="shared" si="13"/>
        <v/>
      </c>
      <c r="U52" s="565" t="str">
        <f t="shared" si="14"/>
        <v/>
      </c>
      <c r="V52" s="565"/>
      <c r="W52" s="565"/>
      <c r="X52" s="565"/>
      <c r="Y52" s="565"/>
      <c r="Z52" s="565"/>
      <c r="AA52" s="565"/>
      <c r="AB52" s="566">
        <v>16</v>
      </c>
      <c r="AC52" s="565" t="str">
        <f t="shared" si="15"/>
        <v/>
      </c>
      <c r="AD52" s="565" t="str">
        <f t="shared" si="16"/>
        <v/>
      </c>
      <c r="AE52" s="565"/>
      <c r="AF52" s="565"/>
      <c r="AG52" s="565"/>
      <c r="AH52" s="565"/>
      <c r="AI52" s="565"/>
      <c r="AJ52" s="565"/>
      <c r="AK52" s="566">
        <v>16</v>
      </c>
      <c r="AL52" s="565" t="str">
        <f t="shared" si="17"/>
        <v/>
      </c>
      <c r="AM52" s="565" t="str">
        <f t="shared" si="18"/>
        <v/>
      </c>
      <c r="AN52" s="565"/>
      <c r="AO52" s="565"/>
      <c r="AP52" s="565"/>
      <c r="AQ52" s="565"/>
      <c r="AR52" s="565"/>
      <c r="AS52" s="566">
        <v>16</v>
      </c>
      <c r="AT52" s="565" t="str">
        <f t="shared" si="19"/>
        <v/>
      </c>
      <c r="AU52" s="565" t="str">
        <f t="shared" si="20"/>
        <v/>
      </c>
      <c r="AV52" s="565"/>
      <c r="AW52" s="566"/>
      <c r="AX52" s="565"/>
      <c r="AY52" s="565"/>
      <c r="AZ52" s="565"/>
      <c r="BA52" s="566"/>
      <c r="BB52" s="565"/>
      <c r="BC52" s="565"/>
      <c r="BD52" s="565"/>
      <c r="BE52" s="565"/>
      <c r="BF52" s="565"/>
      <c r="BG52" s="565"/>
      <c r="BH52" s="565"/>
      <c r="BI52" s="566"/>
      <c r="BJ52" s="565"/>
      <c r="BK52" s="565"/>
      <c r="BL52" s="565"/>
      <c r="BM52" s="565"/>
      <c r="BN52" s="565"/>
      <c r="BO52" s="565"/>
      <c r="BP52" s="565"/>
      <c r="BQ52" s="566"/>
      <c r="BR52" s="565"/>
      <c r="BS52" s="565"/>
      <c r="BT52" s="565"/>
      <c r="BU52" s="565"/>
      <c r="BV52" s="565"/>
      <c r="BY52" s="558"/>
      <c r="BZ52" s="120"/>
    </row>
    <row r="53" spans="1:78" x14ac:dyDescent="0.25">
      <c r="A53" s="565"/>
      <c r="B53" s="1062"/>
      <c r="C53" s="1062"/>
      <c r="D53" s="1062"/>
      <c r="E53" s="1062"/>
      <c r="F53" s="1062"/>
      <c r="G53" s="1062"/>
      <c r="H53" s="1062"/>
      <c r="I53" s="590"/>
      <c r="J53" s="566">
        <v>17</v>
      </c>
      <c r="K53" s="565" t="str">
        <f t="shared" si="11"/>
        <v/>
      </c>
      <c r="L53" s="565" t="str">
        <f t="shared" si="12"/>
        <v/>
      </c>
      <c r="M53" s="565"/>
      <c r="N53" s="565"/>
      <c r="O53" s="565"/>
      <c r="P53" s="565"/>
      <c r="Q53" s="565"/>
      <c r="R53" s="565"/>
      <c r="S53" s="566">
        <v>17</v>
      </c>
      <c r="T53" s="565" t="str">
        <f t="shared" si="13"/>
        <v/>
      </c>
      <c r="U53" s="565" t="str">
        <f t="shared" si="14"/>
        <v/>
      </c>
      <c r="V53" s="565"/>
      <c r="W53" s="565"/>
      <c r="X53" s="565"/>
      <c r="Y53" s="565"/>
      <c r="Z53" s="565"/>
      <c r="AA53" s="565"/>
      <c r="AB53" s="566">
        <v>17</v>
      </c>
      <c r="AC53" s="565" t="str">
        <f t="shared" si="15"/>
        <v/>
      </c>
      <c r="AD53" s="565" t="str">
        <f t="shared" si="16"/>
        <v/>
      </c>
      <c r="AE53" s="565"/>
      <c r="AF53" s="565"/>
      <c r="AG53" s="565"/>
      <c r="AH53" s="565"/>
      <c r="AI53" s="565"/>
      <c r="AJ53" s="565"/>
      <c r="AK53" s="566">
        <v>17</v>
      </c>
      <c r="AL53" s="565" t="str">
        <f t="shared" si="17"/>
        <v/>
      </c>
      <c r="AM53" s="565" t="str">
        <f t="shared" si="18"/>
        <v/>
      </c>
      <c r="AN53" s="565"/>
      <c r="AO53" s="565"/>
      <c r="AP53" s="565"/>
      <c r="AQ53" s="565"/>
      <c r="AR53" s="565"/>
      <c r="AS53" s="566">
        <v>17</v>
      </c>
      <c r="AT53" s="565" t="str">
        <f t="shared" si="19"/>
        <v/>
      </c>
      <c r="AU53" s="565" t="str">
        <f t="shared" si="20"/>
        <v/>
      </c>
      <c r="AV53" s="565"/>
      <c r="AW53" s="566"/>
      <c r="AX53" s="565"/>
      <c r="AY53" s="565"/>
      <c r="AZ53" s="565"/>
      <c r="BA53" s="566"/>
      <c r="BB53" s="565"/>
      <c r="BC53" s="565"/>
      <c r="BD53" s="565"/>
      <c r="BE53" s="565"/>
      <c r="BF53" s="565"/>
      <c r="BG53" s="565"/>
      <c r="BH53" s="565"/>
      <c r="BI53" s="566"/>
      <c r="BJ53" s="565"/>
      <c r="BK53" s="565"/>
      <c r="BL53" s="565"/>
      <c r="BM53" s="565"/>
      <c r="BN53" s="565"/>
      <c r="BO53" s="565"/>
      <c r="BP53" s="565"/>
      <c r="BQ53" s="566"/>
      <c r="BR53" s="565"/>
      <c r="BS53" s="565"/>
      <c r="BT53" s="565"/>
      <c r="BU53" s="565"/>
      <c r="BV53" s="565"/>
      <c r="BY53" s="558"/>
      <c r="BZ53" s="120"/>
    </row>
    <row r="54" spans="1:78" x14ac:dyDescent="0.25">
      <c r="A54" s="565"/>
      <c r="B54" s="1062"/>
      <c r="C54" s="1062"/>
      <c r="D54" s="1062"/>
      <c r="E54" s="1062"/>
      <c r="F54" s="1062"/>
      <c r="G54" s="1062"/>
      <c r="H54" s="1062"/>
      <c r="I54" s="590"/>
      <c r="J54" s="566">
        <v>18</v>
      </c>
      <c r="K54" s="565" t="str">
        <f t="shared" si="11"/>
        <v/>
      </c>
      <c r="L54" s="565" t="str">
        <f t="shared" si="12"/>
        <v/>
      </c>
      <c r="M54" s="565"/>
      <c r="N54" s="565"/>
      <c r="O54" s="565"/>
      <c r="P54" s="565"/>
      <c r="Q54" s="565"/>
      <c r="R54" s="565"/>
      <c r="S54" s="566">
        <v>18</v>
      </c>
      <c r="T54" s="565" t="str">
        <f t="shared" si="13"/>
        <v/>
      </c>
      <c r="U54" s="565" t="str">
        <f t="shared" si="14"/>
        <v/>
      </c>
      <c r="V54" s="565"/>
      <c r="W54" s="565"/>
      <c r="X54" s="565"/>
      <c r="Y54" s="565"/>
      <c r="Z54" s="565"/>
      <c r="AA54" s="565"/>
      <c r="AB54" s="566">
        <v>18</v>
      </c>
      <c r="AC54" s="565" t="str">
        <f t="shared" si="15"/>
        <v/>
      </c>
      <c r="AD54" s="565" t="str">
        <f t="shared" si="16"/>
        <v/>
      </c>
      <c r="AE54" s="565"/>
      <c r="AF54" s="565"/>
      <c r="AG54" s="565"/>
      <c r="AH54" s="565"/>
      <c r="AI54" s="565"/>
      <c r="AJ54" s="565"/>
      <c r="AK54" s="566">
        <v>18</v>
      </c>
      <c r="AL54" s="565" t="str">
        <f t="shared" si="17"/>
        <v/>
      </c>
      <c r="AM54" s="565" t="str">
        <f t="shared" si="18"/>
        <v/>
      </c>
      <c r="AN54" s="565"/>
      <c r="AO54" s="565"/>
      <c r="AP54" s="565"/>
      <c r="AQ54" s="565"/>
      <c r="AR54" s="565"/>
      <c r="AS54" s="566">
        <v>18</v>
      </c>
      <c r="AT54" s="565" t="str">
        <f t="shared" si="19"/>
        <v/>
      </c>
      <c r="AU54" s="565" t="str">
        <f t="shared" si="20"/>
        <v/>
      </c>
      <c r="AV54" s="565"/>
      <c r="AW54" s="566"/>
      <c r="AX54" s="565"/>
      <c r="AY54" s="565"/>
      <c r="AZ54" s="565"/>
      <c r="BA54" s="566"/>
      <c r="BB54" s="565"/>
      <c r="BC54" s="565"/>
      <c r="BD54" s="565"/>
      <c r="BE54" s="565"/>
      <c r="BF54" s="565"/>
      <c r="BG54" s="565"/>
      <c r="BH54" s="565"/>
      <c r="BI54" s="566"/>
      <c r="BJ54" s="565"/>
      <c r="BK54" s="565"/>
      <c r="BL54" s="565"/>
      <c r="BM54" s="565"/>
      <c r="BN54" s="565"/>
      <c r="BO54" s="565"/>
      <c r="BP54" s="565"/>
      <c r="BQ54" s="566"/>
      <c r="BR54" s="565"/>
      <c r="BS54" s="565"/>
      <c r="BT54" s="565"/>
      <c r="BU54" s="565"/>
      <c r="BV54" s="565"/>
      <c r="BY54" s="558"/>
      <c r="BZ54" s="120"/>
    </row>
    <row r="55" spans="1:78" x14ac:dyDescent="0.25">
      <c r="A55" s="565"/>
      <c r="B55" s="1062"/>
      <c r="C55" s="1062"/>
      <c r="D55" s="1062"/>
      <c r="E55" s="1062"/>
      <c r="F55" s="1062"/>
      <c r="G55" s="1062"/>
      <c r="H55" s="1062"/>
      <c r="I55" s="590"/>
      <c r="J55" s="566">
        <v>19</v>
      </c>
      <c r="K55" s="565" t="str">
        <f t="shared" si="11"/>
        <v/>
      </c>
      <c r="L55" s="565" t="str">
        <f t="shared" si="12"/>
        <v/>
      </c>
      <c r="M55" s="565"/>
      <c r="N55" s="565"/>
      <c r="O55" s="565"/>
      <c r="P55" s="565"/>
      <c r="Q55" s="565"/>
      <c r="R55" s="565"/>
      <c r="S55" s="566">
        <v>19</v>
      </c>
      <c r="T55" s="565" t="str">
        <f t="shared" si="13"/>
        <v/>
      </c>
      <c r="U55" s="565" t="str">
        <f t="shared" si="14"/>
        <v/>
      </c>
      <c r="V55" s="565"/>
      <c r="W55" s="565"/>
      <c r="X55" s="565"/>
      <c r="Y55" s="565"/>
      <c r="Z55" s="565"/>
      <c r="AA55" s="565"/>
      <c r="AB55" s="566">
        <v>19</v>
      </c>
      <c r="AC55" s="565" t="str">
        <f t="shared" si="15"/>
        <v/>
      </c>
      <c r="AD55" s="565" t="str">
        <f t="shared" si="16"/>
        <v/>
      </c>
      <c r="AE55" s="565"/>
      <c r="AF55" s="565"/>
      <c r="AG55" s="565"/>
      <c r="AH55" s="565"/>
      <c r="AI55" s="565"/>
      <c r="AJ55" s="565"/>
      <c r="AK55" s="566">
        <v>19</v>
      </c>
      <c r="AL55" s="565" t="str">
        <f t="shared" si="17"/>
        <v/>
      </c>
      <c r="AM55" s="565" t="str">
        <f t="shared" si="18"/>
        <v/>
      </c>
      <c r="AN55" s="565"/>
      <c r="AO55" s="565"/>
      <c r="AP55" s="565"/>
      <c r="AQ55" s="565"/>
      <c r="AR55" s="565"/>
      <c r="AS55" s="566">
        <v>19</v>
      </c>
      <c r="AT55" s="565" t="str">
        <f t="shared" si="19"/>
        <v/>
      </c>
      <c r="AU55" s="565" t="str">
        <f t="shared" si="20"/>
        <v/>
      </c>
      <c r="AV55" s="565"/>
      <c r="AW55" s="566"/>
      <c r="AX55" s="565"/>
      <c r="AY55" s="565"/>
      <c r="AZ55" s="565"/>
      <c r="BA55" s="566"/>
      <c r="BB55" s="565"/>
      <c r="BC55" s="565"/>
      <c r="BD55" s="565"/>
      <c r="BE55" s="565"/>
      <c r="BF55" s="565"/>
      <c r="BG55" s="565"/>
      <c r="BH55" s="565"/>
      <c r="BI55" s="566"/>
      <c r="BJ55" s="565"/>
      <c r="BK55" s="565"/>
      <c r="BL55" s="565"/>
      <c r="BM55" s="565"/>
      <c r="BN55" s="565"/>
      <c r="BO55" s="565"/>
      <c r="BP55" s="565"/>
      <c r="BQ55" s="566"/>
      <c r="BR55" s="565"/>
      <c r="BS55" s="565"/>
      <c r="BT55" s="565"/>
      <c r="BU55" s="565"/>
      <c r="BV55" s="565"/>
      <c r="BY55" s="558"/>
      <c r="BZ55" s="120"/>
    </row>
    <row r="56" spans="1:78" x14ac:dyDescent="0.25">
      <c r="A56" s="565"/>
      <c r="B56" s="1062"/>
      <c r="C56" s="1062"/>
      <c r="D56" s="1062"/>
      <c r="E56" s="1062"/>
      <c r="F56" s="1062"/>
      <c r="G56" s="1062"/>
      <c r="H56" s="1062"/>
      <c r="I56" s="590"/>
      <c r="J56" s="566">
        <v>20</v>
      </c>
      <c r="K56" s="565" t="str">
        <f t="shared" si="11"/>
        <v/>
      </c>
      <c r="L56" s="565" t="str">
        <f t="shared" si="12"/>
        <v/>
      </c>
      <c r="M56" s="565"/>
      <c r="N56" s="565"/>
      <c r="O56" s="565"/>
      <c r="P56" s="565"/>
      <c r="Q56" s="565"/>
      <c r="R56" s="565"/>
      <c r="S56" s="566">
        <v>20</v>
      </c>
      <c r="T56" s="565" t="str">
        <f t="shared" si="13"/>
        <v/>
      </c>
      <c r="U56" s="565" t="str">
        <f t="shared" si="14"/>
        <v/>
      </c>
      <c r="V56" s="565"/>
      <c r="W56" s="565"/>
      <c r="X56" s="565"/>
      <c r="Y56" s="565"/>
      <c r="Z56" s="565"/>
      <c r="AA56" s="565"/>
      <c r="AB56" s="566">
        <v>20</v>
      </c>
      <c r="AC56" s="565" t="str">
        <f t="shared" si="15"/>
        <v/>
      </c>
      <c r="AD56" s="565" t="str">
        <f t="shared" si="16"/>
        <v/>
      </c>
      <c r="AE56" s="565"/>
      <c r="AF56" s="565"/>
      <c r="AG56" s="565"/>
      <c r="AH56" s="565"/>
      <c r="AI56" s="565"/>
      <c r="AJ56" s="565"/>
      <c r="AK56" s="566">
        <v>20</v>
      </c>
      <c r="AL56" s="565" t="str">
        <f t="shared" si="17"/>
        <v/>
      </c>
      <c r="AM56" s="565" t="str">
        <f t="shared" si="18"/>
        <v/>
      </c>
      <c r="AN56" s="565"/>
      <c r="AO56" s="565"/>
      <c r="AP56" s="565"/>
      <c r="AQ56" s="565"/>
      <c r="AR56" s="565"/>
      <c r="AS56" s="566">
        <v>20</v>
      </c>
      <c r="AT56" s="565" t="str">
        <f t="shared" si="19"/>
        <v/>
      </c>
      <c r="AU56" s="565" t="str">
        <f t="shared" si="20"/>
        <v/>
      </c>
      <c r="AV56" s="565"/>
      <c r="AW56" s="566"/>
      <c r="AX56" s="565"/>
      <c r="AY56" s="565"/>
      <c r="AZ56" s="565"/>
      <c r="BA56" s="566"/>
      <c r="BB56" s="565"/>
      <c r="BC56" s="565"/>
      <c r="BD56" s="565"/>
      <c r="BE56" s="565"/>
      <c r="BF56" s="565"/>
      <c r="BG56" s="565"/>
      <c r="BH56" s="565"/>
      <c r="BI56" s="566"/>
      <c r="BJ56" s="565"/>
      <c r="BK56" s="565"/>
      <c r="BL56" s="565"/>
      <c r="BM56" s="565"/>
      <c r="BN56" s="565"/>
      <c r="BO56" s="565"/>
      <c r="BP56" s="565"/>
      <c r="BQ56" s="566"/>
      <c r="BR56" s="565"/>
      <c r="BS56" s="565"/>
      <c r="BT56" s="565"/>
      <c r="BU56" s="565"/>
      <c r="BV56" s="565"/>
      <c r="BY56" s="558"/>
      <c r="BZ56" s="120"/>
    </row>
    <row r="57" spans="1:78" x14ac:dyDescent="0.25">
      <c r="A57" s="565"/>
      <c r="B57" s="1062"/>
      <c r="C57" s="1062"/>
      <c r="D57" s="1062"/>
      <c r="E57" s="1062"/>
      <c r="F57" s="1062"/>
      <c r="G57" s="1062"/>
      <c r="H57" s="1062"/>
      <c r="I57" s="590"/>
      <c r="J57" s="566">
        <v>21</v>
      </c>
      <c r="K57" s="565" t="str">
        <f t="shared" si="11"/>
        <v/>
      </c>
      <c r="L57" s="565" t="str">
        <f t="shared" si="12"/>
        <v/>
      </c>
      <c r="M57" s="565"/>
      <c r="N57" s="565"/>
      <c r="O57" s="565"/>
      <c r="P57" s="565"/>
      <c r="Q57" s="565"/>
      <c r="R57" s="565"/>
      <c r="S57" s="566">
        <v>21</v>
      </c>
      <c r="T57" s="565" t="str">
        <f t="shared" si="13"/>
        <v/>
      </c>
      <c r="U57" s="565" t="str">
        <f t="shared" si="14"/>
        <v/>
      </c>
      <c r="V57" s="565"/>
      <c r="W57" s="565"/>
      <c r="X57" s="565"/>
      <c r="Y57" s="565"/>
      <c r="Z57" s="565"/>
      <c r="AA57" s="565"/>
      <c r="AB57" s="566">
        <v>21</v>
      </c>
      <c r="AC57" s="565" t="str">
        <f t="shared" si="15"/>
        <v/>
      </c>
      <c r="AD57" s="565" t="str">
        <f t="shared" si="16"/>
        <v/>
      </c>
      <c r="AE57" s="565"/>
      <c r="AF57" s="565"/>
      <c r="AG57" s="565"/>
      <c r="AH57" s="565"/>
      <c r="AI57" s="565"/>
      <c r="AJ57" s="565"/>
      <c r="AK57" s="566">
        <v>21</v>
      </c>
      <c r="AL57" s="565" t="str">
        <f t="shared" si="17"/>
        <v/>
      </c>
      <c r="AM57" s="565" t="str">
        <f t="shared" si="18"/>
        <v/>
      </c>
      <c r="AN57" s="565"/>
      <c r="AO57" s="565"/>
      <c r="AP57" s="565"/>
      <c r="AQ57" s="565"/>
      <c r="AR57" s="565"/>
      <c r="AS57" s="566">
        <v>21</v>
      </c>
      <c r="AT57" s="565" t="str">
        <f t="shared" si="19"/>
        <v/>
      </c>
      <c r="AU57" s="565" t="str">
        <f t="shared" si="20"/>
        <v/>
      </c>
      <c r="AV57" s="565"/>
      <c r="AW57" s="566"/>
      <c r="AX57" s="565"/>
      <c r="AY57" s="565"/>
      <c r="AZ57" s="565"/>
      <c r="BA57" s="566"/>
      <c r="BB57" s="565"/>
      <c r="BC57" s="565"/>
      <c r="BD57" s="565"/>
      <c r="BE57" s="565"/>
      <c r="BF57" s="565"/>
      <c r="BG57" s="565"/>
      <c r="BH57" s="565"/>
      <c r="BI57" s="566"/>
      <c r="BJ57" s="565"/>
      <c r="BK57" s="565"/>
      <c r="BL57" s="565"/>
      <c r="BM57" s="565"/>
      <c r="BN57" s="565"/>
      <c r="BO57" s="565"/>
      <c r="BP57" s="565"/>
      <c r="BQ57" s="566"/>
      <c r="BR57" s="565"/>
      <c r="BS57" s="565"/>
      <c r="BT57" s="565"/>
      <c r="BU57" s="565"/>
      <c r="BV57" s="565"/>
      <c r="BY57" s="558"/>
      <c r="BZ57" s="120"/>
    </row>
    <row r="58" spans="1:78" x14ac:dyDescent="0.25">
      <c r="A58" s="565"/>
      <c r="B58" s="1062"/>
      <c r="C58" s="1062"/>
      <c r="D58" s="1062"/>
      <c r="E58" s="1062"/>
      <c r="F58" s="1062"/>
      <c r="G58" s="1062"/>
      <c r="H58" s="1062"/>
      <c r="I58" s="590"/>
      <c r="J58" s="566">
        <v>22</v>
      </c>
      <c r="K58" s="565" t="str">
        <f t="shared" si="11"/>
        <v/>
      </c>
      <c r="L58" s="565" t="str">
        <f t="shared" si="12"/>
        <v/>
      </c>
      <c r="M58" s="565"/>
      <c r="N58" s="565"/>
      <c r="O58" s="565"/>
      <c r="P58" s="565"/>
      <c r="Q58" s="565"/>
      <c r="R58" s="565"/>
      <c r="S58" s="566">
        <v>22</v>
      </c>
      <c r="T58" s="565" t="str">
        <f t="shared" si="13"/>
        <v/>
      </c>
      <c r="U58" s="565" t="str">
        <f t="shared" si="14"/>
        <v/>
      </c>
      <c r="V58" s="565"/>
      <c r="W58" s="565"/>
      <c r="X58" s="565"/>
      <c r="Y58" s="565"/>
      <c r="Z58" s="565"/>
      <c r="AA58" s="565"/>
      <c r="AB58" s="566">
        <v>22</v>
      </c>
      <c r="AC58" s="565" t="str">
        <f t="shared" si="15"/>
        <v/>
      </c>
      <c r="AD58" s="565" t="str">
        <f t="shared" si="16"/>
        <v/>
      </c>
      <c r="AE58" s="565"/>
      <c r="AF58" s="565"/>
      <c r="AG58" s="565"/>
      <c r="AH58" s="565"/>
      <c r="AI58" s="565"/>
      <c r="AJ58" s="565"/>
      <c r="AK58" s="566">
        <v>22</v>
      </c>
      <c r="AL58" s="565" t="str">
        <f t="shared" si="17"/>
        <v/>
      </c>
      <c r="AM58" s="565" t="str">
        <f t="shared" si="18"/>
        <v/>
      </c>
      <c r="AN58" s="565"/>
      <c r="AO58" s="565"/>
      <c r="AP58" s="565"/>
      <c r="AQ58" s="565"/>
      <c r="AR58" s="565"/>
      <c r="AS58" s="566">
        <v>22</v>
      </c>
      <c r="AT58" s="565" t="str">
        <f t="shared" si="19"/>
        <v/>
      </c>
      <c r="AU58" s="565" t="str">
        <f t="shared" si="20"/>
        <v/>
      </c>
      <c r="AV58" s="565"/>
      <c r="AW58" s="566"/>
      <c r="AX58" s="565"/>
      <c r="AY58" s="565"/>
      <c r="AZ58" s="565"/>
      <c r="BA58" s="566"/>
      <c r="BB58" s="565"/>
      <c r="BC58" s="565"/>
      <c r="BD58" s="565"/>
      <c r="BE58" s="565"/>
      <c r="BF58" s="565"/>
      <c r="BG58" s="565"/>
      <c r="BH58" s="565"/>
      <c r="BI58" s="566"/>
      <c r="BJ58" s="565"/>
      <c r="BK58" s="565"/>
      <c r="BL58" s="565"/>
      <c r="BM58" s="565"/>
      <c r="BN58" s="565"/>
      <c r="BO58" s="565"/>
      <c r="BP58" s="565"/>
      <c r="BQ58" s="566"/>
      <c r="BR58" s="565"/>
      <c r="BS58" s="565"/>
      <c r="BT58" s="565"/>
      <c r="BU58" s="565"/>
      <c r="BV58" s="565"/>
      <c r="BY58" s="558"/>
      <c r="BZ58" s="120"/>
    </row>
    <row r="59" spans="1:78" x14ac:dyDescent="0.25">
      <c r="A59" s="565"/>
      <c r="B59" s="1062"/>
      <c r="C59" s="1062"/>
      <c r="D59" s="1062"/>
      <c r="E59" s="1062"/>
      <c r="F59" s="1062"/>
      <c r="G59" s="1062"/>
      <c r="H59" s="1062"/>
      <c r="I59" s="590"/>
      <c r="J59" s="566">
        <v>23</v>
      </c>
      <c r="K59" s="565" t="str">
        <f t="shared" si="11"/>
        <v/>
      </c>
      <c r="L59" s="565" t="str">
        <f t="shared" si="12"/>
        <v/>
      </c>
      <c r="M59" s="565"/>
      <c r="N59" s="565"/>
      <c r="O59" s="565"/>
      <c r="P59" s="565"/>
      <c r="Q59" s="565"/>
      <c r="R59" s="565"/>
      <c r="S59" s="566">
        <v>23</v>
      </c>
      <c r="T59" s="565" t="str">
        <f t="shared" si="13"/>
        <v/>
      </c>
      <c r="U59" s="565" t="str">
        <f t="shared" si="14"/>
        <v/>
      </c>
      <c r="V59" s="565"/>
      <c r="W59" s="565"/>
      <c r="X59" s="565"/>
      <c r="Y59" s="565"/>
      <c r="Z59" s="565"/>
      <c r="AA59" s="565"/>
      <c r="AB59" s="566">
        <v>23</v>
      </c>
      <c r="AC59" s="565" t="str">
        <f t="shared" si="15"/>
        <v/>
      </c>
      <c r="AD59" s="565" t="str">
        <f t="shared" si="16"/>
        <v/>
      </c>
      <c r="AE59" s="565"/>
      <c r="AF59" s="565"/>
      <c r="AG59" s="565"/>
      <c r="AH59" s="565"/>
      <c r="AI59" s="565"/>
      <c r="AJ59" s="565"/>
      <c r="AK59" s="566">
        <v>23</v>
      </c>
      <c r="AL59" s="565" t="str">
        <f t="shared" si="17"/>
        <v/>
      </c>
      <c r="AM59" s="565" t="str">
        <f t="shared" si="18"/>
        <v/>
      </c>
      <c r="AN59" s="565"/>
      <c r="AO59" s="565"/>
      <c r="AP59" s="565"/>
      <c r="AQ59" s="565"/>
      <c r="AR59" s="565"/>
      <c r="AS59" s="566">
        <v>23</v>
      </c>
      <c r="AT59" s="565" t="str">
        <f t="shared" si="19"/>
        <v/>
      </c>
      <c r="AU59" s="565" t="str">
        <f t="shared" si="20"/>
        <v/>
      </c>
      <c r="AV59" s="565"/>
      <c r="AW59" s="566"/>
      <c r="AX59" s="565"/>
      <c r="AY59" s="565"/>
      <c r="AZ59" s="565"/>
      <c r="BA59" s="566"/>
      <c r="BB59" s="565"/>
      <c r="BC59" s="565"/>
      <c r="BD59" s="565"/>
      <c r="BE59" s="565"/>
      <c r="BF59" s="565"/>
      <c r="BG59" s="565"/>
      <c r="BH59" s="565"/>
      <c r="BI59" s="566"/>
      <c r="BJ59" s="565"/>
      <c r="BK59" s="565"/>
      <c r="BL59" s="565"/>
      <c r="BM59" s="565"/>
      <c r="BN59" s="565"/>
      <c r="BO59" s="565"/>
      <c r="BP59" s="565"/>
      <c r="BQ59" s="566"/>
      <c r="BR59" s="565"/>
      <c r="BS59" s="565"/>
      <c r="BT59" s="565"/>
      <c r="BU59" s="565"/>
      <c r="BV59" s="565"/>
      <c r="BY59" s="558"/>
      <c r="BZ59" s="120"/>
    </row>
    <row r="60" spans="1:78" x14ac:dyDescent="0.25">
      <c r="A60" s="565"/>
      <c r="B60" s="1062"/>
      <c r="C60" s="1062"/>
      <c r="D60" s="1062"/>
      <c r="E60" s="1062"/>
      <c r="F60" s="1062"/>
      <c r="G60" s="1062"/>
      <c r="H60" s="1062"/>
      <c r="I60" s="590"/>
      <c r="J60" s="566">
        <v>24</v>
      </c>
      <c r="K60" s="565" t="str">
        <f t="shared" si="11"/>
        <v/>
      </c>
      <c r="L60" s="565" t="str">
        <f t="shared" si="12"/>
        <v/>
      </c>
      <c r="M60" s="565"/>
      <c r="N60" s="565"/>
      <c r="O60" s="565"/>
      <c r="P60" s="565"/>
      <c r="Q60" s="565"/>
      <c r="R60" s="565"/>
      <c r="S60" s="566">
        <v>24</v>
      </c>
      <c r="T60" s="565" t="str">
        <f t="shared" si="13"/>
        <v/>
      </c>
      <c r="U60" s="565" t="str">
        <f t="shared" si="14"/>
        <v/>
      </c>
      <c r="V60" s="565"/>
      <c r="W60" s="565"/>
      <c r="X60" s="565"/>
      <c r="Y60" s="565"/>
      <c r="Z60" s="565"/>
      <c r="AA60" s="565"/>
      <c r="AB60" s="566">
        <v>24</v>
      </c>
      <c r="AC60" s="565" t="str">
        <f t="shared" si="15"/>
        <v/>
      </c>
      <c r="AD60" s="565" t="str">
        <f t="shared" si="16"/>
        <v/>
      </c>
      <c r="AE60" s="565"/>
      <c r="AF60" s="565"/>
      <c r="AG60" s="565"/>
      <c r="AH60" s="565"/>
      <c r="AI60" s="565"/>
      <c r="AJ60" s="565"/>
      <c r="AK60" s="566">
        <v>24</v>
      </c>
      <c r="AL60" s="565" t="str">
        <f t="shared" si="17"/>
        <v/>
      </c>
      <c r="AM60" s="565" t="str">
        <f t="shared" si="18"/>
        <v/>
      </c>
      <c r="AN60" s="565"/>
      <c r="AO60" s="565"/>
      <c r="AP60" s="565"/>
      <c r="AQ60" s="565"/>
      <c r="AR60" s="565"/>
      <c r="AS60" s="566">
        <v>24</v>
      </c>
      <c r="AT60" s="565" t="str">
        <f t="shared" si="19"/>
        <v/>
      </c>
      <c r="AU60" s="565" t="str">
        <f t="shared" si="20"/>
        <v/>
      </c>
      <c r="AV60" s="565"/>
      <c r="AW60" s="566"/>
      <c r="AX60" s="565"/>
      <c r="AY60" s="565"/>
      <c r="AZ60" s="565"/>
      <c r="BA60" s="566"/>
      <c r="BB60" s="565"/>
      <c r="BC60" s="565"/>
      <c r="BD60" s="565"/>
      <c r="BE60" s="565"/>
      <c r="BF60" s="565"/>
      <c r="BG60" s="565"/>
      <c r="BH60" s="565"/>
      <c r="BI60" s="566"/>
      <c r="BJ60" s="565"/>
      <c r="BK60" s="565"/>
      <c r="BL60" s="565"/>
      <c r="BM60" s="565"/>
      <c r="BN60" s="565"/>
      <c r="BO60" s="565"/>
      <c r="BP60" s="565"/>
      <c r="BQ60" s="566"/>
      <c r="BR60" s="565"/>
      <c r="BS60" s="565"/>
      <c r="BT60" s="565"/>
      <c r="BU60" s="565"/>
      <c r="BV60" s="565"/>
      <c r="BY60" s="558"/>
      <c r="BZ60" s="120"/>
    </row>
    <row r="61" spans="1:78" x14ac:dyDescent="0.25">
      <c r="A61" s="565"/>
      <c r="B61" s="1062"/>
      <c r="C61" s="1062"/>
      <c r="D61" s="1062"/>
      <c r="E61" s="1062"/>
      <c r="F61" s="1062"/>
      <c r="G61" s="1062"/>
      <c r="H61" s="1062"/>
      <c r="I61" s="590"/>
      <c r="J61" s="566">
        <v>25</v>
      </c>
      <c r="K61" s="565" t="str">
        <f t="shared" si="11"/>
        <v/>
      </c>
      <c r="L61" s="565" t="str">
        <f t="shared" si="12"/>
        <v/>
      </c>
      <c r="M61" s="565"/>
      <c r="N61" s="565"/>
      <c r="O61" s="565"/>
      <c r="P61" s="565"/>
      <c r="Q61" s="565"/>
      <c r="R61" s="565"/>
      <c r="S61" s="566">
        <v>25</v>
      </c>
      <c r="T61" s="565" t="str">
        <f t="shared" si="13"/>
        <v/>
      </c>
      <c r="U61" s="565" t="str">
        <f t="shared" si="14"/>
        <v/>
      </c>
      <c r="V61" s="565"/>
      <c r="W61" s="565"/>
      <c r="X61" s="565"/>
      <c r="Y61" s="565"/>
      <c r="Z61" s="565"/>
      <c r="AA61" s="565"/>
      <c r="AB61" s="566">
        <v>25</v>
      </c>
      <c r="AC61" s="565" t="str">
        <f t="shared" si="15"/>
        <v/>
      </c>
      <c r="AD61" s="565" t="str">
        <f t="shared" si="16"/>
        <v/>
      </c>
      <c r="AE61" s="565"/>
      <c r="AF61" s="565"/>
      <c r="AG61" s="565"/>
      <c r="AH61" s="565"/>
      <c r="AI61" s="565"/>
      <c r="AJ61" s="565"/>
      <c r="AK61" s="566">
        <v>25</v>
      </c>
      <c r="AL61" s="565" t="str">
        <f t="shared" si="17"/>
        <v/>
      </c>
      <c r="AM61" s="565" t="str">
        <f t="shared" si="18"/>
        <v/>
      </c>
      <c r="AN61" s="565"/>
      <c r="AO61" s="565"/>
      <c r="AP61" s="565"/>
      <c r="AQ61" s="565"/>
      <c r="AR61" s="565"/>
      <c r="AS61" s="566">
        <v>25</v>
      </c>
      <c r="AT61" s="565" t="str">
        <f t="shared" si="19"/>
        <v/>
      </c>
      <c r="AU61" s="565" t="str">
        <f t="shared" si="20"/>
        <v/>
      </c>
      <c r="AV61" s="565"/>
      <c r="AW61" s="566"/>
      <c r="AX61" s="565"/>
      <c r="AY61" s="565"/>
      <c r="AZ61" s="565"/>
      <c r="BA61" s="566"/>
      <c r="BB61" s="565"/>
      <c r="BC61" s="565"/>
      <c r="BD61" s="565"/>
      <c r="BE61" s="565"/>
      <c r="BF61" s="565"/>
      <c r="BG61" s="565"/>
      <c r="BH61" s="565"/>
      <c r="BI61" s="566"/>
      <c r="BJ61" s="565"/>
      <c r="BK61" s="565"/>
      <c r="BL61" s="565"/>
      <c r="BM61" s="565"/>
      <c r="BN61" s="565"/>
      <c r="BO61" s="565"/>
      <c r="BP61" s="565"/>
      <c r="BQ61" s="566"/>
      <c r="BR61" s="565"/>
      <c r="BS61" s="565"/>
      <c r="BT61" s="565"/>
      <c r="BU61" s="565"/>
      <c r="BV61" s="565"/>
      <c r="BY61" s="558"/>
      <c r="BZ61" s="120"/>
    </row>
    <row r="62" spans="1:78" x14ac:dyDescent="0.25">
      <c r="A62" s="565"/>
      <c r="B62" s="1062"/>
      <c r="C62" s="1062"/>
      <c r="D62" s="1062"/>
      <c r="E62" s="1062"/>
      <c r="F62" s="1062"/>
      <c r="G62" s="1062"/>
      <c r="H62" s="1062"/>
      <c r="I62" s="590"/>
      <c r="J62" s="566">
        <v>26</v>
      </c>
      <c r="K62" s="565" t="str">
        <f t="shared" si="11"/>
        <v/>
      </c>
      <c r="L62" s="565" t="str">
        <f t="shared" si="12"/>
        <v/>
      </c>
      <c r="M62" s="565"/>
      <c r="N62" s="565"/>
      <c r="O62" s="565"/>
      <c r="P62" s="565"/>
      <c r="Q62" s="565"/>
      <c r="R62" s="565"/>
      <c r="S62" s="566">
        <v>26</v>
      </c>
      <c r="T62" s="565" t="str">
        <f t="shared" si="13"/>
        <v/>
      </c>
      <c r="U62" s="565" t="str">
        <f t="shared" si="14"/>
        <v/>
      </c>
      <c r="V62" s="565"/>
      <c r="W62" s="565"/>
      <c r="X62" s="565"/>
      <c r="Y62" s="565"/>
      <c r="Z62" s="565"/>
      <c r="AA62" s="565"/>
      <c r="AB62" s="566">
        <v>26</v>
      </c>
      <c r="AC62" s="565" t="str">
        <f t="shared" si="15"/>
        <v/>
      </c>
      <c r="AD62" s="565" t="str">
        <f t="shared" si="16"/>
        <v/>
      </c>
      <c r="AE62" s="565"/>
      <c r="AF62" s="565"/>
      <c r="AG62" s="565"/>
      <c r="AH62" s="565"/>
      <c r="AI62" s="565"/>
      <c r="AJ62" s="565"/>
      <c r="AK62" s="566">
        <v>26</v>
      </c>
      <c r="AL62" s="565" t="str">
        <f t="shared" si="17"/>
        <v/>
      </c>
      <c r="AM62" s="565" t="str">
        <f t="shared" si="18"/>
        <v/>
      </c>
      <c r="AN62" s="565"/>
      <c r="AO62" s="565"/>
      <c r="AP62" s="565"/>
      <c r="AQ62" s="565"/>
      <c r="AR62" s="565"/>
      <c r="AS62" s="566">
        <v>26</v>
      </c>
      <c r="AT62" s="565" t="str">
        <f t="shared" si="19"/>
        <v/>
      </c>
      <c r="AU62" s="565" t="str">
        <f t="shared" si="20"/>
        <v/>
      </c>
      <c r="AV62" s="565"/>
      <c r="AW62" s="566"/>
      <c r="AX62" s="565"/>
      <c r="AY62" s="565"/>
      <c r="AZ62" s="565"/>
      <c r="BA62" s="566"/>
      <c r="BB62" s="565"/>
      <c r="BC62" s="565"/>
      <c r="BD62" s="565"/>
      <c r="BE62" s="565"/>
      <c r="BF62" s="565"/>
      <c r="BG62" s="565"/>
      <c r="BH62" s="565"/>
      <c r="BI62" s="566"/>
      <c r="BJ62" s="565"/>
      <c r="BK62" s="565"/>
      <c r="BL62" s="565"/>
      <c r="BM62" s="565"/>
      <c r="BN62" s="565"/>
      <c r="BO62" s="565"/>
      <c r="BP62" s="565"/>
      <c r="BQ62" s="566"/>
      <c r="BR62" s="565"/>
      <c r="BS62" s="565"/>
      <c r="BT62" s="565"/>
      <c r="BU62" s="565"/>
      <c r="BV62" s="565"/>
      <c r="BY62" s="558"/>
      <c r="BZ62" s="120"/>
    </row>
    <row r="63" spans="1:78" x14ac:dyDescent="0.25">
      <c r="A63" s="565"/>
      <c r="B63" s="1062"/>
      <c r="C63" s="1062"/>
      <c r="D63" s="1062"/>
      <c r="E63" s="1062"/>
      <c r="F63" s="1062"/>
      <c r="G63" s="1062"/>
      <c r="H63" s="1062"/>
      <c r="I63" s="590"/>
      <c r="J63" s="566">
        <v>27</v>
      </c>
      <c r="K63" s="565" t="str">
        <f t="shared" si="11"/>
        <v/>
      </c>
      <c r="L63" s="565" t="str">
        <f t="shared" si="12"/>
        <v/>
      </c>
      <c r="M63" s="565"/>
      <c r="N63" s="565"/>
      <c r="O63" s="565"/>
      <c r="P63" s="565"/>
      <c r="Q63" s="565"/>
      <c r="R63" s="565"/>
      <c r="S63" s="566">
        <v>27</v>
      </c>
      <c r="T63" s="565" t="str">
        <f t="shared" si="13"/>
        <v/>
      </c>
      <c r="U63" s="565" t="str">
        <f t="shared" si="14"/>
        <v/>
      </c>
      <c r="V63" s="565"/>
      <c r="W63" s="565"/>
      <c r="X63" s="565"/>
      <c r="Y63" s="565"/>
      <c r="Z63" s="565"/>
      <c r="AA63" s="565"/>
      <c r="AB63" s="566">
        <v>27</v>
      </c>
      <c r="AC63" s="565" t="str">
        <f t="shared" si="15"/>
        <v/>
      </c>
      <c r="AD63" s="565" t="str">
        <f t="shared" si="16"/>
        <v/>
      </c>
      <c r="AE63" s="565"/>
      <c r="AF63" s="565"/>
      <c r="AG63" s="565"/>
      <c r="AH63" s="565"/>
      <c r="AI63" s="565"/>
      <c r="AJ63" s="565"/>
      <c r="AK63" s="566">
        <v>27</v>
      </c>
      <c r="AL63" s="565" t="str">
        <f t="shared" si="17"/>
        <v/>
      </c>
      <c r="AM63" s="565" t="str">
        <f t="shared" si="18"/>
        <v/>
      </c>
      <c r="AN63" s="565"/>
      <c r="AO63" s="565"/>
      <c r="AP63" s="565"/>
      <c r="AQ63" s="565"/>
      <c r="AR63" s="565"/>
      <c r="AS63" s="566">
        <v>27</v>
      </c>
      <c r="AT63" s="565" t="str">
        <f t="shared" si="19"/>
        <v/>
      </c>
      <c r="AU63" s="565" t="str">
        <f t="shared" si="20"/>
        <v/>
      </c>
      <c r="AV63" s="565"/>
      <c r="AW63" s="566"/>
      <c r="AX63" s="565"/>
      <c r="AY63" s="565"/>
      <c r="AZ63" s="565"/>
      <c r="BA63" s="566"/>
      <c r="BB63" s="565"/>
      <c r="BC63" s="565"/>
      <c r="BD63" s="565"/>
      <c r="BE63" s="565"/>
      <c r="BF63" s="565"/>
      <c r="BG63" s="565"/>
      <c r="BH63" s="565"/>
      <c r="BI63" s="566"/>
      <c r="BJ63" s="565"/>
      <c r="BK63" s="565"/>
      <c r="BL63" s="565"/>
      <c r="BM63" s="565"/>
      <c r="BN63" s="565"/>
      <c r="BO63" s="565"/>
      <c r="BP63" s="565"/>
      <c r="BQ63" s="566"/>
      <c r="BR63" s="565"/>
      <c r="BS63" s="565"/>
      <c r="BT63" s="565"/>
      <c r="BU63" s="565"/>
      <c r="BV63" s="565"/>
      <c r="BY63" s="558"/>
      <c r="BZ63" s="120"/>
    </row>
    <row r="64" spans="1:78" x14ac:dyDescent="0.25">
      <c r="A64" s="565"/>
      <c r="B64" s="1062"/>
      <c r="C64" s="1062"/>
      <c r="D64" s="1062"/>
      <c r="E64" s="1062"/>
      <c r="F64" s="1062"/>
      <c r="G64" s="1062"/>
      <c r="H64" s="1062"/>
      <c r="I64" s="590"/>
      <c r="J64" s="566">
        <v>28</v>
      </c>
      <c r="K64" s="565" t="str">
        <f t="shared" si="11"/>
        <v/>
      </c>
      <c r="L64" s="565" t="str">
        <f t="shared" si="12"/>
        <v/>
      </c>
      <c r="M64" s="565"/>
      <c r="N64" s="565"/>
      <c r="O64" s="565"/>
      <c r="P64" s="565"/>
      <c r="Q64" s="565"/>
      <c r="R64" s="565"/>
      <c r="S64" s="566">
        <v>28</v>
      </c>
      <c r="T64" s="565" t="str">
        <f t="shared" si="13"/>
        <v/>
      </c>
      <c r="U64" s="565" t="str">
        <f t="shared" si="14"/>
        <v/>
      </c>
      <c r="V64" s="565"/>
      <c r="W64" s="565"/>
      <c r="X64" s="565"/>
      <c r="Y64" s="565"/>
      <c r="Z64" s="565"/>
      <c r="AA64" s="565"/>
      <c r="AB64" s="566">
        <v>28</v>
      </c>
      <c r="AC64" s="565" t="str">
        <f t="shared" si="15"/>
        <v/>
      </c>
      <c r="AD64" s="565" t="str">
        <f t="shared" si="16"/>
        <v/>
      </c>
      <c r="AE64" s="565"/>
      <c r="AF64" s="565"/>
      <c r="AG64" s="565"/>
      <c r="AH64" s="565"/>
      <c r="AI64" s="565"/>
      <c r="AJ64" s="565"/>
      <c r="AK64" s="566">
        <v>28</v>
      </c>
      <c r="AL64" s="565" t="str">
        <f t="shared" si="17"/>
        <v/>
      </c>
      <c r="AM64" s="565" t="str">
        <f t="shared" si="18"/>
        <v/>
      </c>
      <c r="AN64" s="565"/>
      <c r="AO64" s="565"/>
      <c r="AP64" s="565"/>
      <c r="AQ64" s="565"/>
      <c r="AR64" s="565"/>
      <c r="AS64" s="566">
        <v>28</v>
      </c>
      <c r="AT64" s="565" t="str">
        <f t="shared" si="19"/>
        <v/>
      </c>
      <c r="AU64" s="565" t="str">
        <f t="shared" si="20"/>
        <v/>
      </c>
      <c r="AV64" s="565"/>
      <c r="AW64" s="566"/>
      <c r="AX64" s="565"/>
      <c r="AY64" s="565"/>
      <c r="AZ64" s="565"/>
      <c r="BA64" s="566"/>
      <c r="BB64" s="565"/>
      <c r="BC64" s="565"/>
      <c r="BD64" s="565"/>
      <c r="BE64" s="565"/>
      <c r="BF64" s="565"/>
      <c r="BG64" s="565"/>
      <c r="BH64" s="565"/>
      <c r="BI64" s="566"/>
      <c r="BJ64" s="565"/>
      <c r="BK64" s="565"/>
      <c r="BL64" s="565"/>
      <c r="BM64" s="565"/>
      <c r="BN64" s="565"/>
      <c r="BO64" s="565"/>
      <c r="BP64" s="565"/>
      <c r="BQ64" s="566"/>
      <c r="BR64" s="565"/>
      <c r="BS64" s="565"/>
      <c r="BT64" s="565"/>
      <c r="BU64" s="565"/>
      <c r="BV64" s="565"/>
      <c r="BY64" s="558"/>
      <c r="BZ64" s="120"/>
    </row>
    <row r="65" spans="1:78" x14ac:dyDescent="0.25">
      <c r="A65" s="565"/>
      <c r="B65" s="1062"/>
      <c r="C65" s="1062"/>
      <c r="D65" s="1062"/>
      <c r="E65" s="1062"/>
      <c r="F65" s="1062"/>
      <c r="G65" s="1062"/>
      <c r="H65" s="1062"/>
      <c r="I65" s="590"/>
      <c r="J65" s="566">
        <v>29</v>
      </c>
      <c r="K65" s="565" t="str">
        <f t="shared" si="11"/>
        <v/>
      </c>
      <c r="L65" s="565" t="str">
        <f t="shared" si="12"/>
        <v/>
      </c>
      <c r="M65" s="565"/>
      <c r="N65" s="565"/>
      <c r="O65" s="565"/>
      <c r="P65" s="565"/>
      <c r="Q65" s="565"/>
      <c r="R65" s="565"/>
      <c r="S65" s="566">
        <v>29</v>
      </c>
      <c r="T65" s="565" t="str">
        <f t="shared" si="13"/>
        <v/>
      </c>
      <c r="U65" s="565" t="str">
        <f t="shared" si="14"/>
        <v/>
      </c>
      <c r="V65" s="565"/>
      <c r="W65" s="565"/>
      <c r="X65" s="565"/>
      <c r="Y65" s="565"/>
      <c r="Z65" s="565"/>
      <c r="AA65" s="565"/>
      <c r="AB65" s="566">
        <v>29</v>
      </c>
      <c r="AC65" s="565" t="str">
        <f t="shared" si="15"/>
        <v/>
      </c>
      <c r="AD65" s="565" t="str">
        <f t="shared" si="16"/>
        <v/>
      </c>
      <c r="AE65" s="565"/>
      <c r="AF65" s="565"/>
      <c r="AG65" s="565"/>
      <c r="AH65" s="565"/>
      <c r="AI65" s="565"/>
      <c r="AJ65" s="565"/>
      <c r="AK65" s="566">
        <v>29</v>
      </c>
      <c r="AL65" s="565" t="str">
        <f t="shared" si="17"/>
        <v/>
      </c>
      <c r="AM65" s="565" t="str">
        <f t="shared" si="18"/>
        <v/>
      </c>
      <c r="AN65" s="565"/>
      <c r="AO65" s="565"/>
      <c r="AP65" s="565"/>
      <c r="AQ65" s="565"/>
      <c r="AR65" s="565"/>
      <c r="AS65" s="566">
        <v>29</v>
      </c>
      <c r="AT65" s="565" t="str">
        <f t="shared" si="19"/>
        <v/>
      </c>
      <c r="AU65" s="565" t="str">
        <f t="shared" si="20"/>
        <v/>
      </c>
      <c r="AV65" s="565"/>
      <c r="AW65" s="566"/>
      <c r="AX65" s="565"/>
      <c r="AY65" s="565"/>
      <c r="AZ65" s="565"/>
      <c r="BA65" s="566"/>
      <c r="BB65" s="565"/>
      <c r="BC65" s="565"/>
      <c r="BD65" s="565"/>
      <c r="BE65" s="565"/>
      <c r="BF65" s="565"/>
      <c r="BG65" s="565"/>
      <c r="BH65" s="565"/>
      <c r="BI65" s="566"/>
      <c r="BJ65" s="565"/>
      <c r="BK65" s="565"/>
      <c r="BL65" s="565"/>
      <c r="BM65" s="565"/>
      <c r="BN65" s="565"/>
      <c r="BO65" s="565"/>
      <c r="BP65" s="565"/>
      <c r="BQ65" s="566"/>
      <c r="BR65" s="565"/>
      <c r="BS65" s="565"/>
      <c r="BT65" s="565"/>
      <c r="BU65" s="565"/>
      <c r="BV65" s="565"/>
      <c r="BY65" s="558"/>
      <c r="BZ65" s="120"/>
    </row>
    <row r="66" spans="1:78" x14ac:dyDescent="0.25">
      <c r="A66" s="565"/>
      <c r="B66" s="1062"/>
      <c r="C66" s="1062"/>
      <c r="D66" s="1062"/>
      <c r="E66" s="1062"/>
      <c r="F66" s="1062"/>
      <c r="G66" s="1062"/>
      <c r="H66" s="1062"/>
      <c r="I66" s="590"/>
      <c r="J66" s="566">
        <v>30</v>
      </c>
      <c r="K66" s="565" t="str">
        <f t="shared" si="11"/>
        <v/>
      </c>
      <c r="L66" s="565" t="str">
        <f t="shared" si="12"/>
        <v/>
      </c>
      <c r="M66" s="565"/>
      <c r="N66" s="565"/>
      <c r="O66" s="565"/>
      <c r="P66" s="565"/>
      <c r="Q66" s="565"/>
      <c r="R66" s="565"/>
      <c r="S66" s="566">
        <v>30</v>
      </c>
      <c r="T66" s="565" t="str">
        <f t="shared" si="13"/>
        <v/>
      </c>
      <c r="U66" s="565" t="str">
        <f t="shared" si="14"/>
        <v/>
      </c>
      <c r="V66" s="565"/>
      <c r="W66" s="565"/>
      <c r="X66" s="565"/>
      <c r="Y66" s="565"/>
      <c r="Z66" s="565"/>
      <c r="AA66" s="565"/>
      <c r="AB66" s="566">
        <v>30</v>
      </c>
      <c r="AC66" s="565" t="str">
        <f t="shared" si="15"/>
        <v/>
      </c>
      <c r="AD66" s="565" t="str">
        <f t="shared" si="16"/>
        <v/>
      </c>
      <c r="AE66" s="565"/>
      <c r="AF66" s="565"/>
      <c r="AG66" s="565"/>
      <c r="AH66" s="565"/>
      <c r="AI66" s="565"/>
      <c r="AJ66" s="565"/>
      <c r="AK66" s="566">
        <v>30</v>
      </c>
      <c r="AL66" s="565" t="str">
        <f t="shared" si="17"/>
        <v/>
      </c>
      <c r="AM66" s="565" t="str">
        <f t="shared" si="18"/>
        <v/>
      </c>
      <c r="AN66" s="565"/>
      <c r="AO66" s="565"/>
      <c r="AP66" s="565"/>
      <c r="AQ66" s="565"/>
      <c r="AR66" s="565"/>
      <c r="AS66" s="566">
        <v>30</v>
      </c>
      <c r="AT66" s="565" t="str">
        <f t="shared" si="19"/>
        <v/>
      </c>
      <c r="AU66" s="565" t="str">
        <f t="shared" si="20"/>
        <v/>
      </c>
      <c r="AV66" s="565"/>
      <c r="AW66" s="566"/>
      <c r="AX66" s="565"/>
      <c r="AY66" s="565"/>
      <c r="AZ66" s="565"/>
      <c r="BA66" s="566"/>
      <c r="BB66" s="565"/>
      <c r="BC66" s="565"/>
      <c r="BD66" s="565"/>
      <c r="BE66" s="565"/>
      <c r="BF66" s="565"/>
      <c r="BG66" s="565"/>
      <c r="BH66" s="565"/>
      <c r="BI66" s="566"/>
      <c r="BJ66" s="565"/>
      <c r="BK66" s="565"/>
      <c r="BL66" s="565"/>
      <c r="BM66" s="565"/>
      <c r="BN66" s="565"/>
      <c r="BO66" s="565"/>
      <c r="BP66" s="565"/>
      <c r="BQ66" s="566"/>
      <c r="BR66" s="565"/>
      <c r="BS66" s="565"/>
      <c r="BT66" s="565"/>
      <c r="BU66" s="565"/>
      <c r="BV66" s="565"/>
      <c r="BY66" s="558"/>
      <c r="BZ66" s="120"/>
    </row>
    <row r="67" spans="1:78" x14ac:dyDescent="0.25">
      <c r="A67" s="565"/>
      <c r="B67" s="565"/>
      <c r="C67" s="565"/>
      <c r="D67" s="565"/>
      <c r="E67" s="565"/>
      <c r="F67" s="565"/>
      <c r="G67" s="565"/>
      <c r="H67" s="565"/>
      <c r="I67" s="565"/>
      <c r="J67" s="565"/>
      <c r="K67" s="565"/>
      <c r="L67" s="565"/>
      <c r="M67" s="565"/>
      <c r="N67" s="565"/>
      <c r="O67" s="565"/>
      <c r="P67" s="565"/>
      <c r="Q67" s="565"/>
      <c r="R67" s="565"/>
      <c r="S67" s="565"/>
      <c r="T67" s="565"/>
      <c r="U67" s="565"/>
      <c r="V67" s="565"/>
      <c r="W67" s="565"/>
      <c r="X67" s="565"/>
      <c r="Y67" s="565"/>
      <c r="Z67" s="565"/>
      <c r="AA67" s="565"/>
      <c r="AB67" s="565"/>
      <c r="AC67" s="565"/>
      <c r="AD67" s="565"/>
      <c r="AE67" s="565"/>
      <c r="AF67" s="565"/>
      <c r="AG67" s="565"/>
      <c r="AH67" s="565"/>
      <c r="AI67" s="565"/>
      <c r="AJ67" s="565"/>
      <c r="AK67" s="565"/>
      <c r="AL67" s="565"/>
      <c r="AM67" s="565"/>
      <c r="AN67" s="565"/>
      <c r="AO67" s="565"/>
      <c r="AP67" s="565"/>
      <c r="AQ67" s="565"/>
      <c r="AR67" s="565"/>
      <c r="AS67" s="565"/>
      <c r="AT67" s="565"/>
      <c r="AU67" s="565"/>
      <c r="AV67" s="565"/>
      <c r="AW67" s="565"/>
      <c r="AX67" s="565"/>
      <c r="AY67" s="565"/>
      <c r="AZ67" s="565"/>
      <c r="BA67" s="565"/>
      <c r="BB67" s="565"/>
      <c r="BC67" s="565"/>
      <c r="BD67" s="565"/>
      <c r="BE67" s="565"/>
      <c r="BF67" s="565"/>
      <c r="BG67" s="565"/>
      <c r="BH67" s="565"/>
      <c r="BI67" s="565"/>
      <c r="BJ67" s="565"/>
      <c r="BK67" s="565"/>
      <c r="BL67" s="565"/>
      <c r="BM67" s="565"/>
      <c r="BN67" s="565"/>
      <c r="BO67" s="565"/>
      <c r="BP67" s="565"/>
      <c r="BQ67" s="565"/>
      <c r="BR67" s="565"/>
      <c r="BS67" s="565"/>
      <c r="BT67" s="565"/>
      <c r="BU67" s="565"/>
      <c r="BV67" s="565"/>
    </row>
    <row r="68" spans="1:78" x14ac:dyDescent="0.25">
      <c r="B68" s="565"/>
      <c r="C68" s="565"/>
      <c r="D68" s="600">
        <f>S05_Paladin!E68</f>
        <v>5</v>
      </c>
      <c r="E68" s="600">
        <f>D68+SUM(C69:C98)</f>
        <v>5</v>
      </c>
      <c r="K68" s="565"/>
      <c r="L68" s="565"/>
      <c r="M68" s="600">
        <f>S05_Paladin!N68</f>
        <v>2</v>
      </c>
      <c r="N68" s="600">
        <f>M68+SUM(L69:L98)</f>
        <v>2</v>
      </c>
      <c r="T68" s="565"/>
      <c r="U68" s="565"/>
      <c r="V68" s="600">
        <f>S05_Paladin!W68</f>
        <v>0</v>
      </c>
      <c r="W68" s="600">
        <f>V68+SUM(U69:U98)</f>
        <v>0</v>
      </c>
      <c r="AC68" s="565"/>
      <c r="AD68" s="565"/>
      <c r="AE68" s="600">
        <f>S05_Paladin!AF68</f>
        <v>0</v>
      </c>
      <c r="AF68" s="600">
        <f>AE68+SUM(AD69:AD98)</f>
        <v>0</v>
      </c>
      <c r="AL68" s="565"/>
      <c r="AM68" s="565"/>
      <c r="AN68" s="600">
        <f>S05_Paladin!AO68</f>
        <v>0</v>
      </c>
      <c r="AO68" s="600">
        <f>AN68+SUM(AM69:AM98)</f>
        <v>0</v>
      </c>
    </row>
    <row r="69" spans="1:78" x14ac:dyDescent="0.25">
      <c r="B69" s="591">
        <v>1</v>
      </c>
      <c r="C69">
        <f t="shared" ref="C69:C98" si="21">IF(SpellcastingRanger&gt;0,IF(C6&lt;&gt;"",1,0),0)</f>
        <v>0</v>
      </c>
      <c r="D69">
        <f>IF(C69=0,0,1)</f>
        <v>0</v>
      </c>
      <c r="E69">
        <f>IF(D69=0,0,D69+D$68)</f>
        <v>0</v>
      </c>
      <c r="F69" t="str">
        <f>IF(C69=1,"Ranger","")</f>
        <v/>
      </c>
      <c r="G69" t="str">
        <f>IF(C69=1,"P","")</f>
        <v/>
      </c>
      <c r="H69" t="s">
        <v>6545</v>
      </c>
      <c r="I69" t="s">
        <v>6545</v>
      </c>
      <c r="J69" t="s">
        <v>6545</v>
      </c>
      <c r="K69" s="605">
        <v>1</v>
      </c>
      <c r="L69">
        <f t="shared" ref="L69:L98" si="22">IF(SpellcastingRanger&gt;0,IF(L6&lt;&gt;"",1,0),0)</f>
        <v>0</v>
      </c>
      <c r="M69">
        <f>IF(L69=0,0,1)</f>
        <v>0</v>
      </c>
      <c r="N69">
        <f>IF(M69=0,0,M69+M$68)</f>
        <v>0</v>
      </c>
      <c r="O69" t="str">
        <f>IF(L69=1,"Ranger","")</f>
        <v/>
      </c>
      <c r="P69" t="str">
        <f>IF(L69=1,"P","")</f>
        <v/>
      </c>
      <c r="Q69" t="s">
        <v>6545</v>
      </c>
      <c r="R69" t="s">
        <v>6545</v>
      </c>
      <c r="S69" t="s">
        <v>6545</v>
      </c>
      <c r="T69" s="605">
        <v>1</v>
      </c>
      <c r="U69">
        <f t="shared" ref="U69:U98" si="23">IF(SpellcastingRanger&gt;0,IF(U6&lt;&gt;"",1,0),0)</f>
        <v>0</v>
      </c>
      <c r="V69">
        <f>IF(U69=0,0,1)</f>
        <v>0</v>
      </c>
      <c r="W69">
        <f>IF(V69=0,0,V69+V$68)</f>
        <v>0</v>
      </c>
      <c r="X69" t="str">
        <f>IF(U69=1,"Ranger","")</f>
        <v/>
      </c>
      <c r="Y69" t="str">
        <f>IF(U69=1,"P","")</f>
        <v/>
      </c>
      <c r="Z69" t="s">
        <v>6545</v>
      </c>
      <c r="AA69" t="s">
        <v>6545</v>
      </c>
      <c r="AB69" t="s">
        <v>6545</v>
      </c>
      <c r="AC69" s="605">
        <v>1</v>
      </c>
      <c r="AD69">
        <f t="shared" ref="AD69:AD98" si="24">IF(SpellcastingRanger&gt;0,IF(AD6&lt;&gt;"",1,0),0)</f>
        <v>0</v>
      </c>
      <c r="AE69">
        <f>IF(AD69=0,0,1)</f>
        <v>0</v>
      </c>
      <c r="AF69">
        <f>IF(AE69=0,0,AE69+AE$68)</f>
        <v>0</v>
      </c>
      <c r="AG69" t="str">
        <f>IF(AD69=1,"Ranger","")</f>
        <v/>
      </c>
      <c r="AH69" t="str">
        <f>IF(AD69=1,"P","")</f>
        <v/>
      </c>
      <c r="AI69" t="s">
        <v>6545</v>
      </c>
      <c r="AJ69" t="s">
        <v>6545</v>
      </c>
      <c r="AK69" t="s">
        <v>6545</v>
      </c>
      <c r="AL69" s="605">
        <v>1</v>
      </c>
      <c r="AM69">
        <f t="shared" ref="AM69:AM98" si="25">IF(SpellcastingRanger&gt;0,IF(AM6&lt;&gt;"",1,0),0)</f>
        <v>0</v>
      </c>
      <c r="AN69">
        <f>IF(AM69=0,0,1)</f>
        <v>0</v>
      </c>
      <c r="AO69">
        <f>IF(AN69=0,0,AN69+AN$68)</f>
        <v>0</v>
      </c>
      <c r="AP69" t="str">
        <f>IF(AM69=1,"Ranger","")</f>
        <v/>
      </c>
      <c r="AQ69" t="str">
        <f>IF(AM69=1,"P","")</f>
        <v/>
      </c>
      <c r="AR69" t="s">
        <v>6545</v>
      </c>
      <c r="AS69" t="s">
        <v>6545</v>
      </c>
      <c r="AT69" t="s">
        <v>6545</v>
      </c>
    </row>
    <row r="70" spans="1:78" x14ac:dyDescent="0.25">
      <c r="B70" s="591">
        <v>2</v>
      </c>
      <c r="C70">
        <f t="shared" si="21"/>
        <v>0</v>
      </c>
      <c r="D70">
        <f>IF(C70=0,0,1+MAX(D69:D$69))</f>
        <v>0</v>
      </c>
      <c r="E70">
        <f t="shared" ref="E70:E98" si="26">IF(D70=0,0,D70+D$68)</f>
        <v>0</v>
      </c>
      <c r="F70" t="str">
        <f t="shared" ref="F70:F98" si="27">IF(C70=1,"Ranger","")</f>
        <v/>
      </c>
      <c r="G70" t="str">
        <f t="shared" ref="G70:G98" si="28">IF(C70=1,"P","")</f>
        <v/>
      </c>
      <c r="H70" t="str">
        <f>IF($AY6=4,1+COUNTIF(H69:H$69,"&gt;0"),"")</f>
        <v/>
      </c>
      <c r="J70" t="str">
        <f>IF($AY6=5,1+COUNTIF(J69:J$69,"&gt;0"),"")</f>
        <v/>
      </c>
      <c r="K70" s="605">
        <v>2</v>
      </c>
      <c r="L70">
        <f t="shared" si="22"/>
        <v>0</v>
      </c>
      <c r="M70">
        <f>IF(L70=0,0,1+MAX(M69:M$69))</f>
        <v>0</v>
      </c>
      <c r="N70">
        <f t="shared" ref="N70:N98" si="29">IF(M70=0,0,M70+M$68)</f>
        <v>0</v>
      </c>
      <c r="O70" t="str">
        <f t="shared" ref="O70:O98" si="30">IF(L70=1,"Ranger","")</f>
        <v/>
      </c>
      <c r="P70" t="str">
        <f t="shared" ref="P70:P98" si="31">IF(L70=1,"P","")</f>
        <v/>
      </c>
      <c r="Q70" t="str">
        <f>IF($AY6=4,1+COUNTIF(Q69:Q$69,"&gt;0"),"")</f>
        <v/>
      </c>
      <c r="S70" t="str">
        <f>IF($AY6=5,1+COUNTIF(S69:S$69,"&gt;0"),"")</f>
        <v/>
      </c>
      <c r="T70" s="605">
        <v>2</v>
      </c>
      <c r="U70">
        <f t="shared" si="23"/>
        <v>0</v>
      </c>
      <c r="V70">
        <f>IF(U70=0,0,1+MAX(V69:V$69))</f>
        <v>0</v>
      </c>
      <c r="W70">
        <f t="shared" ref="W70:W98" si="32">IF(V70=0,0,V70+V$68)</f>
        <v>0</v>
      </c>
      <c r="X70" t="str">
        <f t="shared" ref="X70:X98" si="33">IF(U70=1,"Ranger","")</f>
        <v/>
      </c>
      <c r="Y70" t="str">
        <f t="shared" ref="Y70:Y98" si="34">IF(U70=1,"P","")</f>
        <v/>
      </c>
      <c r="Z70" t="str">
        <f>IF($AY6=4,1+COUNTIF(Z69:Z$69,"&gt;0"),"")</f>
        <v/>
      </c>
      <c r="AB70" t="str">
        <f>IF($AY6=5,1+COUNTIF(AB69:AB$69,"&gt;0"),"")</f>
        <v/>
      </c>
      <c r="AC70" s="605">
        <v>2</v>
      </c>
      <c r="AD70">
        <f t="shared" si="24"/>
        <v>0</v>
      </c>
      <c r="AE70">
        <f>IF(AD70=0,0,1+MAX(AE69:AE$69))</f>
        <v>0</v>
      </c>
      <c r="AF70">
        <f t="shared" ref="AF70:AF98" si="35">IF(AE70=0,0,AE70+AE$68)</f>
        <v>0</v>
      </c>
      <c r="AG70" t="str">
        <f t="shared" ref="AG70:AG98" si="36">IF(AD70=1,"Ranger","")</f>
        <v/>
      </c>
      <c r="AH70" t="str">
        <f t="shared" ref="AH70:AH98" si="37">IF(AD70=1,"P","")</f>
        <v/>
      </c>
      <c r="AI70" t="str">
        <f>IF($AY6=4,1+COUNTIF(AI69:AI$69,"&gt;0"),"")</f>
        <v/>
      </c>
      <c r="AK70" t="str">
        <f>IF($AY6=5,1+COUNTIF(AK69:AK$69,"&gt;0"),"")</f>
        <v/>
      </c>
      <c r="AL70" s="605">
        <v>2</v>
      </c>
      <c r="AM70">
        <f t="shared" si="25"/>
        <v>0</v>
      </c>
      <c r="AN70">
        <f>IF(AM70=0,0,1+MAX(AN69:AN$69))</f>
        <v>0</v>
      </c>
      <c r="AO70">
        <f t="shared" ref="AO70:AO98" si="38">IF(AN70=0,0,AN70+AN$68)</f>
        <v>0</v>
      </c>
      <c r="AP70" t="str">
        <f t="shared" ref="AP70:AP98" si="39">IF(AM70=1,"Ranger","")</f>
        <v/>
      </c>
      <c r="AQ70" t="str">
        <f t="shared" ref="AQ70:AQ98" si="40">IF(AM70=1,"P","")</f>
        <v/>
      </c>
      <c r="AR70" t="str">
        <f>IF($AY6=4,1+COUNTIF(AR69:AR$69,"&gt;0"),"")</f>
        <v/>
      </c>
      <c r="AT70" t="str">
        <f>IF($AY6=5,1+COUNTIF(AT69:AT$69,"&gt;0"),"")</f>
        <v/>
      </c>
    </row>
    <row r="71" spans="1:78" x14ac:dyDescent="0.25">
      <c r="B71" s="591">
        <v>3</v>
      </c>
      <c r="C71">
        <f t="shared" si="21"/>
        <v>0</v>
      </c>
      <c r="D71">
        <f>IF(C71=0,0,1+MAX(D$69:D70))</f>
        <v>0</v>
      </c>
      <c r="E71">
        <f t="shared" si="26"/>
        <v>0</v>
      </c>
      <c r="F71" t="str">
        <f t="shared" si="27"/>
        <v/>
      </c>
      <c r="G71" t="str">
        <f t="shared" si="28"/>
        <v/>
      </c>
      <c r="H71" t="str">
        <f>IF($AY7=4,1+COUNTIF(H$69:H70,"&gt;0"),"")</f>
        <v/>
      </c>
      <c r="J71" t="str">
        <f>IF($AY7=5,1+COUNTIF(J$69:J70,"&gt;0"),"")</f>
        <v/>
      </c>
      <c r="K71" s="605">
        <v>3</v>
      </c>
      <c r="L71">
        <f t="shared" si="22"/>
        <v>0</v>
      </c>
      <c r="M71">
        <f>IF(L71=0,0,1+MAX(M$69:M70))</f>
        <v>0</v>
      </c>
      <c r="N71">
        <f t="shared" si="29"/>
        <v>0</v>
      </c>
      <c r="O71" t="str">
        <f t="shared" si="30"/>
        <v/>
      </c>
      <c r="P71" t="str">
        <f t="shared" si="31"/>
        <v/>
      </c>
      <c r="Q71" t="str">
        <f>IF($AY7=4,1+COUNTIF(Q$69:Q70,"&gt;0"),"")</f>
        <v/>
      </c>
      <c r="S71" t="str">
        <f>IF($AY7=5,1+COUNTIF(S$69:S70,"&gt;0"),"")</f>
        <v/>
      </c>
      <c r="T71" s="605">
        <v>3</v>
      </c>
      <c r="U71">
        <f t="shared" si="23"/>
        <v>0</v>
      </c>
      <c r="V71">
        <f>IF(U71=0,0,1+MAX(V$69:V70))</f>
        <v>0</v>
      </c>
      <c r="W71">
        <f t="shared" si="32"/>
        <v>0</v>
      </c>
      <c r="X71" t="str">
        <f t="shared" si="33"/>
        <v/>
      </c>
      <c r="Y71" t="str">
        <f t="shared" si="34"/>
        <v/>
      </c>
      <c r="Z71" t="str">
        <f>IF($AY7=4,1+COUNTIF(Z$69:Z70,"&gt;0"),"")</f>
        <v/>
      </c>
      <c r="AB71" t="str">
        <f>IF($AY7=5,1+COUNTIF(AB$69:AB70,"&gt;0"),"")</f>
        <v/>
      </c>
      <c r="AC71" s="605">
        <v>3</v>
      </c>
      <c r="AD71">
        <f t="shared" si="24"/>
        <v>0</v>
      </c>
      <c r="AE71">
        <f>IF(AD71=0,0,1+MAX(AE$69:AE70))</f>
        <v>0</v>
      </c>
      <c r="AF71">
        <f t="shared" si="35"/>
        <v>0</v>
      </c>
      <c r="AG71" t="str">
        <f t="shared" si="36"/>
        <v/>
      </c>
      <c r="AH71" t="str">
        <f t="shared" si="37"/>
        <v/>
      </c>
      <c r="AI71" t="str">
        <f>IF($AY7=4,1+COUNTIF(AI$69:AI70,"&gt;0"),"")</f>
        <v/>
      </c>
      <c r="AK71" t="str">
        <f>IF($AY7=5,1+COUNTIF(AK$69:AK70,"&gt;0"),"")</f>
        <v/>
      </c>
      <c r="AL71" s="605">
        <v>3</v>
      </c>
      <c r="AM71">
        <f t="shared" si="25"/>
        <v>0</v>
      </c>
      <c r="AN71">
        <f>IF(AM71=0,0,1+MAX(AN$69:AN70))</f>
        <v>0</v>
      </c>
      <c r="AO71">
        <f t="shared" si="38"/>
        <v>0</v>
      </c>
      <c r="AP71" t="str">
        <f t="shared" si="39"/>
        <v/>
      </c>
      <c r="AQ71" t="str">
        <f t="shared" si="40"/>
        <v/>
      </c>
      <c r="AR71" t="str">
        <f>IF($AY7=4,1+COUNTIF(AR$69:AR70,"&gt;0"),"")</f>
        <v/>
      </c>
      <c r="AT71" t="str">
        <f>IF($AY7=5,1+COUNTIF(AT$69:AT70,"&gt;0"),"")</f>
        <v/>
      </c>
    </row>
    <row r="72" spans="1:78" x14ac:dyDescent="0.25">
      <c r="B72" s="591">
        <v>4</v>
      </c>
      <c r="C72">
        <f t="shared" si="21"/>
        <v>0</v>
      </c>
      <c r="D72">
        <f>IF(C72=0,0,1+MAX(D$69:D71))</f>
        <v>0</v>
      </c>
      <c r="E72">
        <f t="shared" si="26"/>
        <v>0</v>
      </c>
      <c r="F72" t="str">
        <f t="shared" si="27"/>
        <v/>
      </c>
      <c r="G72" t="str">
        <f t="shared" si="28"/>
        <v/>
      </c>
      <c r="H72" t="str">
        <f>IF($AY8=4,1+COUNTIF(H$69:H71,"&gt;0"),"")</f>
        <v/>
      </c>
      <c r="J72" t="str">
        <f>IF($AY8=5,1+COUNTIF(J$69:J71,"&gt;0"),"")</f>
        <v/>
      </c>
      <c r="K72" s="605">
        <v>4</v>
      </c>
      <c r="L72">
        <f t="shared" si="22"/>
        <v>0</v>
      </c>
      <c r="M72">
        <f>IF(L72=0,0,1+MAX(M$69:M71))</f>
        <v>0</v>
      </c>
      <c r="N72">
        <f t="shared" si="29"/>
        <v>0</v>
      </c>
      <c r="O72" t="str">
        <f t="shared" si="30"/>
        <v/>
      </c>
      <c r="P72" t="str">
        <f t="shared" si="31"/>
        <v/>
      </c>
      <c r="Q72" t="str">
        <f>IF($AY8=4,1+COUNTIF(Q$69:Q71,"&gt;0"),"")</f>
        <v/>
      </c>
      <c r="S72" t="str">
        <f>IF($AY8=5,1+COUNTIF(S$69:S71,"&gt;0"),"")</f>
        <v/>
      </c>
      <c r="T72" s="605">
        <v>4</v>
      </c>
      <c r="U72">
        <f t="shared" si="23"/>
        <v>0</v>
      </c>
      <c r="V72">
        <f>IF(U72=0,0,1+MAX(V$69:V71))</f>
        <v>0</v>
      </c>
      <c r="W72">
        <f t="shared" si="32"/>
        <v>0</v>
      </c>
      <c r="X72" t="str">
        <f t="shared" si="33"/>
        <v/>
      </c>
      <c r="Y72" t="str">
        <f t="shared" si="34"/>
        <v/>
      </c>
      <c r="Z72" t="str">
        <f>IF($AY8=4,1+COUNTIF(Z$69:Z71,"&gt;0"),"")</f>
        <v/>
      </c>
      <c r="AB72" t="str">
        <f>IF($AY8=5,1+COUNTIF(AB$69:AB71,"&gt;0"),"")</f>
        <v/>
      </c>
      <c r="AC72" s="605">
        <v>4</v>
      </c>
      <c r="AD72">
        <f t="shared" si="24"/>
        <v>0</v>
      </c>
      <c r="AE72">
        <f>IF(AD72=0,0,1+MAX(AE$69:AE71))</f>
        <v>0</v>
      </c>
      <c r="AF72">
        <f t="shared" si="35"/>
        <v>0</v>
      </c>
      <c r="AG72" t="str">
        <f t="shared" si="36"/>
        <v/>
      </c>
      <c r="AH72" t="str">
        <f t="shared" si="37"/>
        <v/>
      </c>
      <c r="AI72" t="str">
        <f>IF($AY8=4,1+COUNTIF(AI$69:AI71,"&gt;0"),"")</f>
        <v/>
      </c>
      <c r="AK72" t="str">
        <f>IF($AY8=5,1+COUNTIF(AK$69:AK71,"&gt;0"),"")</f>
        <v/>
      </c>
      <c r="AL72" s="605">
        <v>4</v>
      </c>
      <c r="AM72">
        <f t="shared" si="25"/>
        <v>0</v>
      </c>
      <c r="AN72">
        <f>IF(AM72=0,0,1+MAX(AN$69:AN71))</f>
        <v>0</v>
      </c>
      <c r="AO72">
        <f t="shared" si="38"/>
        <v>0</v>
      </c>
      <c r="AP72" t="str">
        <f t="shared" si="39"/>
        <v/>
      </c>
      <c r="AQ72" t="str">
        <f t="shared" si="40"/>
        <v/>
      </c>
      <c r="AR72" t="str">
        <f>IF($AY8=4,1+COUNTIF(AR$69:AR71,"&gt;0"),"")</f>
        <v/>
      </c>
      <c r="AT72" t="str">
        <f>IF($AY8=5,1+COUNTIF(AT$69:AT71,"&gt;0"),"")</f>
        <v/>
      </c>
    </row>
    <row r="73" spans="1:78" x14ac:dyDescent="0.25">
      <c r="B73" s="591">
        <v>5</v>
      </c>
      <c r="C73">
        <f t="shared" si="21"/>
        <v>0</v>
      </c>
      <c r="D73">
        <f>IF(C73=0,0,1+MAX(D$69:D72))</f>
        <v>0</v>
      </c>
      <c r="E73">
        <f t="shared" si="26"/>
        <v>0</v>
      </c>
      <c r="F73" t="str">
        <f t="shared" si="27"/>
        <v/>
      </c>
      <c r="G73" t="str">
        <f t="shared" si="28"/>
        <v/>
      </c>
      <c r="H73" t="str">
        <f>IF($AY9=4,1+COUNTIF(H$69:H72,"&gt;0"),"")</f>
        <v/>
      </c>
      <c r="J73" t="str">
        <f>IF($AY9=5,1+COUNTIF(J$69:J72,"&gt;0"),"")</f>
        <v/>
      </c>
      <c r="K73" s="605">
        <v>5</v>
      </c>
      <c r="L73">
        <f t="shared" si="22"/>
        <v>0</v>
      </c>
      <c r="M73">
        <f>IF(L73=0,0,1+MAX(M$69:M72))</f>
        <v>0</v>
      </c>
      <c r="N73">
        <f t="shared" si="29"/>
        <v>0</v>
      </c>
      <c r="O73" t="str">
        <f t="shared" si="30"/>
        <v/>
      </c>
      <c r="P73" t="str">
        <f t="shared" si="31"/>
        <v/>
      </c>
      <c r="Q73" t="str">
        <f>IF($AY9=4,1+COUNTIF(Q$69:Q72,"&gt;0"),"")</f>
        <v/>
      </c>
      <c r="S73" t="str">
        <f>IF($AY9=5,1+COUNTIF(S$69:S72,"&gt;0"),"")</f>
        <v/>
      </c>
      <c r="T73" s="605">
        <v>5</v>
      </c>
      <c r="U73">
        <f t="shared" si="23"/>
        <v>0</v>
      </c>
      <c r="V73">
        <f>IF(U73=0,0,1+MAX(V$69:V72))</f>
        <v>0</v>
      </c>
      <c r="W73">
        <f t="shared" si="32"/>
        <v>0</v>
      </c>
      <c r="X73" t="str">
        <f t="shared" si="33"/>
        <v/>
      </c>
      <c r="Y73" t="str">
        <f t="shared" si="34"/>
        <v/>
      </c>
      <c r="Z73" t="str">
        <f>IF($AY9=4,1+COUNTIF(Z$69:Z72,"&gt;0"),"")</f>
        <v/>
      </c>
      <c r="AB73" t="str">
        <f>IF($AY9=5,1+COUNTIF(AB$69:AB72,"&gt;0"),"")</f>
        <v/>
      </c>
      <c r="AC73" s="605">
        <v>5</v>
      </c>
      <c r="AD73">
        <f t="shared" si="24"/>
        <v>0</v>
      </c>
      <c r="AE73">
        <f>IF(AD73=0,0,1+MAX(AE$69:AE72))</f>
        <v>0</v>
      </c>
      <c r="AF73">
        <f t="shared" si="35"/>
        <v>0</v>
      </c>
      <c r="AG73" t="str">
        <f t="shared" si="36"/>
        <v/>
      </c>
      <c r="AH73" t="str">
        <f t="shared" si="37"/>
        <v/>
      </c>
      <c r="AI73" t="str">
        <f>IF($AY9=4,1+COUNTIF(AI$69:AI72,"&gt;0"),"")</f>
        <v/>
      </c>
      <c r="AK73" t="str">
        <f>IF($AY9=5,1+COUNTIF(AK$69:AK72,"&gt;0"),"")</f>
        <v/>
      </c>
      <c r="AL73" s="605">
        <v>5</v>
      </c>
      <c r="AM73">
        <f t="shared" si="25"/>
        <v>0</v>
      </c>
      <c r="AN73">
        <f>IF(AM73=0,0,1+MAX(AN$69:AN72))</f>
        <v>0</v>
      </c>
      <c r="AO73">
        <f t="shared" si="38"/>
        <v>0</v>
      </c>
      <c r="AP73" t="str">
        <f t="shared" si="39"/>
        <v/>
      </c>
      <c r="AQ73" t="str">
        <f t="shared" si="40"/>
        <v/>
      </c>
      <c r="AR73" t="str">
        <f>IF($AY9=4,1+COUNTIF(AR$69:AR72,"&gt;0"),"")</f>
        <v/>
      </c>
      <c r="AT73" t="str">
        <f>IF($AY9=5,1+COUNTIF(AT$69:AT72,"&gt;0"),"")</f>
        <v/>
      </c>
    </row>
    <row r="74" spans="1:78" x14ac:dyDescent="0.25">
      <c r="B74" s="591">
        <v>6</v>
      </c>
      <c r="C74">
        <f t="shared" si="21"/>
        <v>0</v>
      </c>
      <c r="D74">
        <f>IF(C74=0,0,1+MAX(D$69:D73))</f>
        <v>0</v>
      </c>
      <c r="E74">
        <f t="shared" si="26"/>
        <v>0</v>
      </c>
      <c r="F74" t="str">
        <f t="shared" si="27"/>
        <v/>
      </c>
      <c r="G74" t="str">
        <f t="shared" si="28"/>
        <v/>
      </c>
      <c r="H74" t="str">
        <f>IF($AY10=4,1+COUNTIF(H$69:H73,"&gt;0"),"")</f>
        <v/>
      </c>
      <c r="J74" t="str">
        <f>IF($AY10=5,1+COUNTIF(J$69:J73,"&gt;0"),"")</f>
        <v/>
      </c>
      <c r="K74" s="605">
        <v>6</v>
      </c>
      <c r="L74">
        <f t="shared" si="22"/>
        <v>0</v>
      </c>
      <c r="M74">
        <f>IF(L74=0,0,1+MAX(M$69:M73))</f>
        <v>0</v>
      </c>
      <c r="N74">
        <f t="shared" si="29"/>
        <v>0</v>
      </c>
      <c r="O74" t="str">
        <f t="shared" si="30"/>
        <v/>
      </c>
      <c r="P74" t="str">
        <f t="shared" si="31"/>
        <v/>
      </c>
      <c r="Q74" t="str">
        <f>IF($AY10=4,1+COUNTIF(Q$69:Q73,"&gt;0"),"")</f>
        <v/>
      </c>
      <c r="S74" t="str">
        <f>IF($AY10=5,1+COUNTIF(S$69:S73,"&gt;0"),"")</f>
        <v/>
      </c>
      <c r="T74" s="605">
        <v>6</v>
      </c>
      <c r="U74">
        <f t="shared" si="23"/>
        <v>0</v>
      </c>
      <c r="V74">
        <f>IF(U74=0,0,1+MAX(V$69:V73))</f>
        <v>0</v>
      </c>
      <c r="W74">
        <f t="shared" si="32"/>
        <v>0</v>
      </c>
      <c r="X74" t="str">
        <f t="shared" si="33"/>
        <v/>
      </c>
      <c r="Y74" t="str">
        <f t="shared" si="34"/>
        <v/>
      </c>
      <c r="Z74" t="str">
        <f>IF($AY10=4,1+COUNTIF(Z$69:Z73,"&gt;0"),"")</f>
        <v/>
      </c>
      <c r="AB74" t="str">
        <f>IF($AY10=5,1+COUNTIF(AB$69:AB73,"&gt;0"),"")</f>
        <v/>
      </c>
      <c r="AC74" s="605">
        <v>6</v>
      </c>
      <c r="AD74">
        <f t="shared" si="24"/>
        <v>0</v>
      </c>
      <c r="AE74">
        <f>IF(AD74=0,0,1+MAX(AE$69:AE73))</f>
        <v>0</v>
      </c>
      <c r="AF74">
        <f t="shared" si="35"/>
        <v>0</v>
      </c>
      <c r="AG74" t="str">
        <f t="shared" si="36"/>
        <v/>
      </c>
      <c r="AH74" t="str">
        <f t="shared" si="37"/>
        <v/>
      </c>
      <c r="AI74" t="str">
        <f>IF($AY10=4,1+COUNTIF(AI$69:AI73,"&gt;0"),"")</f>
        <v/>
      </c>
      <c r="AK74" t="str">
        <f>IF($AY10=5,1+COUNTIF(AK$69:AK73,"&gt;0"),"")</f>
        <v/>
      </c>
      <c r="AL74" s="605">
        <v>6</v>
      </c>
      <c r="AM74">
        <f t="shared" si="25"/>
        <v>0</v>
      </c>
      <c r="AN74">
        <f>IF(AM74=0,0,1+MAX(AN$69:AN73))</f>
        <v>0</v>
      </c>
      <c r="AO74">
        <f t="shared" si="38"/>
        <v>0</v>
      </c>
      <c r="AP74" t="str">
        <f t="shared" si="39"/>
        <v/>
      </c>
      <c r="AQ74" t="str">
        <f t="shared" si="40"/>
        <v/>
      </c>
      <c r="AR74" t="str">
        <f>IF($AY10=4,1+COUNTIF(AR$69:AR73,"&gt;0"),"")</f>
        <v/>
      </c>
      <c r="AT74" t="str">
        <f>IF($AY10=5,1+COUNTIF(AT$69:AT73,"&gt;0"),"")</f>
        <v/>
      </c>
    </row>
    <row r="75" spans="1:78" x14ac:dyDescent="0.25">
      <c r="B75" s="591">
        <v>7</v>
      </c>
      <c r="C75">
        <f t="shared" si="21"/>
        <v>0</v>
      </c>
      <c r="D75">
        <f>IF(C75=0,0,1+MAX(D$69:D74))</f>
        <v>0</v>
      </c>
      <c r="E75">
        <f t="shared" si="26"/>
        <v>0</v>
      </c>
      <c r="F75" t="str">
        <f t="shared" si="27"/>
        <v/>
      </c>
      <c r="G75" t="str">
        <f t="shared" si="28"/>
        <v/>
      </c>
      <c r="H75" t="str">
        <f>IF($AY11=4,1+COUNTIF(H$69:H74,"&gt;0"),"")</f>
        <v/>
      </c>
      <c r="J75" t="str">
        <f>IF($AY11=5,1+COUNTIF(J$69:J74,"&gt;0"),"")</f>
        <v/>
      </c>
      <c r="K75" s="605">
        <v>7</v>
      </c>
      <c r="L75">
        <f t="shared" si="22"/>
        <v>0</v>
      </c>
      <c r="M75">
        <f>IF(L75=0,0,1+MAX(M$69:M74))</f>
        <v>0</v>
      </c>
      <c r="N75">
        <f t="shared" si="29"/>
        <v>0</v>
      </c>
      <c r="O75" t="str">
        <f t="shared" si="30"/>
        <v/>
      </c>
      <c r="P75" t="str">
        <f t="shared" si="31"/>
        <v/>
      </c>
      <c r="Q75" t="str">
        <f>IF($AY11=4,1+COUNTIF(Q$69:Q74,"&gt;0"),"")</f>
        <v/>
      </c>
      <c r="S75" t="str">
        <f>IF($AY11=5,1+COUNTIF(S$69:S74,"&gt;0"),"")</f>
        <v/>
      </c>
      <c r="T75" s="605">
        <v>7</v>
      </c>
      <c r="U75">
        <f t="shared" si="23"/>
        <v>0</v>
      </c>
      <c r="V75">
        <f>IF(U75=0,0,1+MAX(V$69:V74))</f>
        <v>0</v>
      </c>
      <c r="W75">
        <f t="shared" si="32"/>
        <v>0</v>
      </c>
      <c r="X75" t="str">
        <f t="shared" si="33"/>
        <v/>
      </c>
      <c r="Y75" t="str">
        <f t="shared" si="34"/>
        <v/>
      </c>
      <c r="Z75" t="str">
        <f>IF($AY11=4,1+COUNTIF(Z$69:Z74,"&gt;0"),"")</f>
        <v/>
      </c>
      <c r="AB75" t="str">
        <f>IF($AY11=5,1+COUNTIF(AB$69:AB74,"&gt;0"),"")</f>
        <v/>
      </c>
      <c r="AC75" s="605">
        <v>7</v>
      </c>
      <c r="AD75">
        <f t="shared" si="24"/>
        <v>0</v>
      </c>
      <c r="AE75">
        <f>IF(AD75=0,0,1+MAX(AE$69:AE74))</f>
        <v>0</v>
      </c>
      <c r="AF75">
        <f t="shared" si="35"/>
        <v>0</v>
      </c>
      <c r="AG75" t="str">
        <f t="shared" si="36"/>
        <v/>
      </c>
      <c r="AH75" t="str">
        <f t="shared" si="37"/>
        <v/>
      </c>
      <c r="AI75" t="str">
        <f>IF($AY11=4,1+COUNTIF(AI$69:AI74,"&gt;0"),"")</f>
        <v/>
      </c>
      <c r="AK75" t="str">
        <f>IF($AY11=5,1+COUNTIF(AK$69:AK74,"&gt;0"),"")</f>
        <v/>
      </c>
      <c r="AL75" s="605">
        <v>7</v>
      </c>
      <c r="AM75">
        <f t="shared" si="25"/>
        <v>0</v>
      </c>
      <c r="AN75">
        <f>IF(AM75=0,0,1+MAX(AN$69:AN74))</f>
        <v>0</v>
      </c>
      <c r="AO75">
        <f t="shared" si="38"/>
        <v>0</v>
      </c>
      <c r="AP75" t="str">
        <f t="shared" si="39"/>
        <v/>
      </c>
      <c r="AQ75" t="str">
        <f t="shared" si="40"/>
        <v/>
      </c>
      <c r="AR75" t="str">
        <f>IF($AY11=4,1+COUNTIF(AR$69:AR74,"&gt;0"),"")</f>
        <v/>
      </c>
      <c r="AT75" t="str">
        <f>IF($AY11=5,1+COUNTIF(AT$69:AT74,"&gt;0"),"")</f>
        <v/>
      </c>
    </row>
    <row r="76" spans="1:78" x14ac:dyDescent="0.25">
      <c r="B76" s="591">
        <v>8</v>
      </c>
      <c r="C76">
        <f t="shared" si="21"/>
        <v>0</v>
      </c>
      <c r="D76">
        <f>IF(C76=0,0,1+MAX(D$69:D75))</f>
        <v>0</v>
      </c>
      <c r="E76">
        <f t="shared" si="26"/>
        <v>0</v>
      </c>
      <c r="F76" t="str">
        <f t="shared" si="27"/>
        <v/>
      </c>
      <c r="G76" t="str">
        <f t="shared" si="28"/>
        <v/>
      </c>
      <c r="H76" t="str">
        <f>IF($AY12=4,1+COUNTIF(H$69:H75,"&gt;0"),"")</f>
        <v/>
      </c>
      <c r="J76" t="str">
        <f>IF($AY12=5,1+COUNTIF(J$69:J75,"&gt;0"),"")</f>
        <v/>
      </c>
      <c r="K76" s="605">
        <v>8</v>
      </c>
      <c r="L76">
        <f t="shared" si="22"/>
        <v>0</v>
      </c>
      <c r="M76">
        <f>IF(L76=0,0,1+MAX(M$69:M75))</f>
        <v>0</v>
      </c>
      <c r="N76">
        <f t="shared" si="29"/>
        <v>0</v>
      </c>
      <c r="O76" t="str">
        <f t="shared" si="30"/>
        <v/>
      </c>
      <c r="P76" t="str">
        <f t="shared" si="31"/>
        <v/>
      </c>
      <c r="Q76" t="str">
        <f>IF($AY12=4,1+COUNTIF(Q$69:Q75,"&gt;0"),"")</f>
        <v/>
      </c>
      <c r="S76" t="str">
        <f>IF($AY12=5,1+COUNTIF(S$69:S75,"&gt;0"),"")</f>
        <v/>
      </c>
      <c r="T76" s="605">
        <v>8</v>
      </c>
      <c r="U76">
        <f t="shared" si="23"/>
        <v>0</v>
      </c>
      <c r="V76">
        <f>IF(U76=0,0,1+MAX(V$69:V75))</f>
        <v>0</v>
      </c>
      <c r="W76">
        <f t="shared" si="32"/>
        <v>0</v>
      </c>
      <c r="X76" t="str">
        <f t="shared" si="33"/>
        <v/>
      </c>
      <c r="Y76" t="str">
        <f t="shared" si="34"/>
        <v/>
      </c>
      <c r="Z76" t="str">
        <f>IF($AY12=4,1+COUNTIF(Z$69:Z75,"&gt;0"),"")</f>
        <v/>
      </c>
      <c r="AB76" t="str">
        <f>IF($AY12=5,1+COUNTIF(AB$69:AB75,"&gt;0"),"")</f>
        <v/>
      </c>
      <c r="AC76" s="605">
        <v>8</v>
      </c>
      <c r="AD76">
        <f t="shared" si="24"/>
        <v>0</v>
      </c>
      <c r="AE76">
        <f>IF(AD76=0,0,1+MAX(AE$69:AE75))</f>
        <v>0</v>
      </c>
      <c r="AF76">
        <f t="shared" si="35"/>
        <v>0</v>
      </c>
      <c r="AG76" t="str">
        <f t="shared" si="36"/>
        <v/>
      </c>
      <c r="AH76" t="str">
        <f t="shared" si="37"/>
        <v/>
      </c>
      <c r="AI76" t="str">
        <f>IF($AY12=4,1+COUNTIF(AI$69:AI75,"&gt;0"),"")</f>
        <v/>
      </c>
      <c r="AK76" t="str">
        <f>IF($AY12=5,1+COUNTIF(AK$69:AK75,"&gt;0"),"")</f>
        <v/>
      </c>
      <c r="AL76" s="605">
        <v>8</v>
      </c>
      <c r="AM76">
        <f t="shared" si="25"/>
        <v>0</v>
      </c>
      <c r="AN76">
        <f>IF(AM76=0,0,1+MAX(AN$69:AN75))</f>
        <v>0</v>
      </c>
      <c r="AO76">
        <f t="shared" si="38"/>
        <v>0</v>
      </c>
      <c r="AP76" t="str">
        <f t="shared" si="39"/>
        <v/>
      </c>
      <c r="AQ76" t="str">
        <f t="shared" si="40"/>
        <v/>
      </c>
      <c r="AR76" t="str">
        <f>IF($AY12=4,1+COUNTIF(AR$69:AR75,"&gt;0"),"")</f>
        <v/>
      </c>
      <c r="AT76" t="str">
        <f>IF($AY12=5,1+COUNTIF(AT$69:AT75,"&gt;0"),"")</f>
        <v/>
      </c>
    </row>
    <row r="77" spans="1:78" x14ac:dyDescent="0.25">
      <c r="B77" s="591">
        <v>9</v>
      </c>
      <c r="C77">
        <f t="shared" si="21"/>
        <v>0</v>
      </c>
      <c r="D77">
        <f>IF(C77=0,0,1+MAX(D$69:D76))</f>
        <v>0</v>
      </c>
      <c r="E77">
        <f t="shared" si="26"/>
        <v>0</v>
      </c>
      <c r="F77" t="str">
        <f t="shared" si="27"/>
        <v/>
      </c>
      <c r="G77" t="str">
        <f t="shared" si="28"/>
        <v/>
      </c>
      <c r="H77" t="str">
        <f>IF($AY13=4,1+COUNTIF(H$69:H76,"&gt;0"),"")</f>
        <v/>
      </c>
      <c r="J77" t="str">
        <f>IF($AY13=5,1+COUNTIF(J$69:J76,"&gt;0"),"")</f>
        <v/>
      </c>
      <c r="K77" s="605">
        <v>9</v>
      </c>
      <c r="L77">
        <f t="shared" si="22"/>
        <v>0</v>
      </c>
      <c r="M77">
        <f>IF(L77=0,0,1+MAX(M$69:M76))</f>
        <v>0</v>
      </c>
      <c r="N77">
        <f t="shared" si="29"/>
        <v>0</v>
      </c>
      <c r="O77" t="str">
        <f t="shared" si="30"/>
        <v/>
      </c>
      <c r="P77" t="str">
        <f t="shared" si="31"/>
        <v/>
      </c>
      <c r="Q77" t="str">
        <f>IF($AY13=4,1+COUNTIF(Q$69:Q76,"&gt;0"),"")</f>
        <v/>
      </c>
      <c r="S77" t="str">
        <f>IF($AY13=5,1+COUNTIF(S$69:S76,"&gt;0"),"")</f>
        <v/>
      </c>
      <c r="T77" s="605">
        <v>9</v>
      </c>
      <c r="U77">
        <f t="shared" si="23"/>
        <v>0</v>
      </c>
      <c r="V77">
        <f>IF(U77=0,0,1+MAX(V$69:V76))</f>
        <v>0</v>
      </c>
      <c r="W77">
        <f t="shared" si="32"/>
        <v>0</v>
      </c>
      <c r="X77" t="str">
        <f t="shared" si="33"/>
        <v/>
      </c>
      <c r="Y77" t="str">
        <f t="shared" si="34"/>
        <v/>
      </c>
      <c r="Z77" t="str">
        <f>IF($AY13=4,1+COUNTIF(Z$69:Z76,"&gt;0"),"")</f>
        <v/>
      </c>
      <c r="AB77" t="str">
        <f>IF($AY13=5,1+COUNTIF(AB$69:AB76,"&gt;0"),"")</f>
        <v/>
      </c>
      <c r="AC77" s="605">
        <v>9</v>
      </c>
      <c r="AD77">
        <f t="shared" si="24"/>
        <v>0</v>
      </c>
      <c r="AE77">
        <f>IF(AD77=0,0,1+MAX(AE$69:AE76))</f>
        <v>0</v>
      </c>
      <c r="AF77">
        <f t="shared" si="35"/>
        <v>0</v>
      </c>
      <c r="AG77" t="str">
        <f t="shared" si="36"/>
        <v/>
      </c>
      <c r="AH77" t="str">
        <f t="shared" si="37"/>
        <v/>
      </c>
      <c r="AI77" t="str">
        <f>IF($AY13=4,1+COUNTIF(AI$69:AI76,"&gt;0"),"")</f>
        <v/>
      </c>
      <c r="AK77" t="str">
        <f>IF($AY13=5,1+COUNTIF(AK$69:AK76,"&gt;0"),"")</f>
        <v/>
      </c>
      <c r="AL77" s="605">
        <v>9</v>
      </c>
      <c r="AM77">
        <f t="shared" si="25"/>
        <v>0</v>
      </c>
      <c r="AN77">
        <f>IF(AM77=0,0,1+MAX(AN$69:AN76))</f>
        <v>0</v>
      </c>
      <c r="AO77">
        <f t="shared" si="38"/>
        <v>0</v>
      </c>
      <c r="AP77" t="str">
        <f t="shared" si="39"/>
        <v/>
      </c>
      <c r="AQ77" t="str">
        <f t="shared" si="40"/>
        <v/>
      </c>
      <c r="AR77" t="str">
        <f>IF($AY13=4,1+COUNTIF(AR$69:AR76,"&gt;0"),"")</f>
        <v/>
      </c>
      <c r="AT77" t="str">
        <f>IF($AY13=5,1+COUNTIF(AT$69:AT76,"&gt;0"),"")</f>
        <v/>
      </c>
    </row>
    <row r="78" spans="1:78" x14ac:dyDescent="0.25">
      <c r="B78" s="591">
        <v>10</v>
      </c>
      <c r="C78">
        <f t="shared" si="21"/>
        <v>0</v>
      </c>
      <c r="D78">
        <f>IF(C78=0,0,1+MAX(D$69:D77))</f>
        <v>0</v>
      </c>
      <c r="E78">
        <f t="shared" si="26"/>
        <v>0</v>
      </c>
      <c r="F78" t="str">
        <f t="shared" si="27"/>
        <v/>
      </c>
      <c r="G78" t="str">
        <f t="shared" si="28"/>
        <v/>
      </c>
      <c r="H78" t="str">
        <f>IF($AY14=4,1+COUNTIF(H$69:H77,"&gt;0"),"")</f>
        <v/>
      </c>
      <c r="J78" t="str">
        <f>IF($AY14=5,1+COUNTIF(J$69:J77,"&gt;0"),"")</f>
        <v/>
      </c>
      <c r="K78" s="605">
        <v>10</v>
      </c>
      <c r="L78">
        <f t="shared" si="22"/>
        <v>0</v>
      </c>
      <c r="M78">
        <f>IF(L78=0,0,1+MAX(M$69:M77))</f>
        <v>0</v>
      </c>
      <c r="N78">
        <f t="shared" si="29"/>
        <v>0</v>
      </c>
      <c r="O78" t="str">
        <f t="shared" si="30"/>
        <v/>
      </c>
      <c r="P78" t="str">
        <f t="shared" si="31"/>
        <v/>
      </c>
      <c r="Q78" t="str">
        <f>IF($AY14=4,1+COUNTIF(Q$69:Q77,"&gt;0"),"")</f>
        <v/>
      </c>
      <c r="S78" t="str">
        <f>IF($AY14=5,1+COUNTIF(S$69:S77,"&gt;0"),"")</f>
        <v/>
      </c>
      <c r="T78" s="605">
        <v>10</v>
      </c>
      <c r="U78">
        <f t="shared" si="23"/>
        <v>0</v>
      </c>
      <c r="V78">
        <f>IF(U78=0,0,1+MAX(V$69:V77))</f>
        <v>0</v>
      </c>
      <c r="W78">
        <f t="shared" si="32"/>
        <v>0</v>
      </c>
      <c r="X78" t="str">
        <f t="shared" si="33"/>
        <v/>
      </c>
      <c r="Y78" t="str">
        <f t="shared" si="34"/>
        <v/>
      </c>
      <c r="Z78" t="str">
        <f>IF($AY14=4,1+COUNTIF(Z$69:Z77,"&gt;0"),"")</f>
        <v/>
      </c>
      <c r="AB78" t="str">
        <f>IF($AY14=5,1+COUNTIF(AB$69:AB77,"&gt;0"),"")</f>
        <v/>
      </c>
      <c r="AC78" s="605">
        <v>10</v>
      </c>
      <c r="AD78">
        <f t="shared" si="24"/>
        <v>0</v>
      </c>
      <c r="AE78">
        <f>IF(AD78=0,0,1+MAX(AE$69:AE77))</f>
        <v>0</v>
      </c>
      <c r="AF78">
        <f t="shared" si="35"/>
        <v>0</v>
      </c>
      <c r="AG78" t="str">
        <f t="shared" si="36"/>
        <v/>
      </c>
      <c r="AH78" t="str">
        <f t="shared" si="37"/>
        <v/>
      </c>
      <c r="AI78" t="str">
        <f>IF($AY14=4,1+COUNTIF(AI$69:AI77,"&gt;0"),"")</f>
        <v/>
      </c>
      <c r="AK78" t="str">
        <f>IF($AY14=5,1+COUNTIF(AK$69:AK77,"&gt;0"),"")</f>
        <v/>
      </c>
      <c r="AL78" s="605">
        <v>10</v>
      </c>
      <c r="AM78">
        <f t="shared" si="25"/>
        <v>0</v>
      </c>
      <c r="AN78">
        <f>IF(AM78=0,0,1+MAX(AN$69:AN77))</f>
        <v>0</v>
      </c>
      <c r="AO78">
        <f t="shared" si="38"/>
        <v>0</v>
      </c>
      <c r="AP78" t="str">
        <f t="shared" si="39"/>
        <v/>
      </c>
      <c r="AQ78" t="str">
        <f t="shared" si="40"/>
        <v/>
      </c>
      <c r="AR78" t="str">
        <f>IF($AY14=4,1+COUNTIF(AR$69:AR77,"&gt;0"),"")</f>
        <v/>
      </c>
      <c r="AT78" t="str">
        <f>IF($AY14=5,1+COUNTIF(AT$69:AT77,"&gt;0"),"")</f>
        <v/>
      </c>
    </row>
    <row r="79" spans="1:78" x14ac:dyDescent="0.25">
      <c r="B79" s="591">
        <v>11</v>
      </c>
      <c r="C79">
        <f t="shared" si="21"/>
        <v>0</v>
      </c>
      <c r="D79">
        <f>IF(C79=0,0,1+MAX(D$69:D78))</f>
        <v>0</v>
      </c>
      <c r="E79">
        <f t="shared" si="26"/>
        <v>0</v>
      </c>
      <c r="F79" t="str">
        <f t="shared" si="27"/>
        <v/>
      </c>
      <c r="G79" t="str">
        <f t="shared" si="28"/>
        <v/>
      </c>
      <c r="H79" t="str">
        <f>IF($AY15=4,1+COUNTIF(H$69:H78,"&gt;0"),"")</f>
        <v/>
      </c>
      <c r="J79" t="str">
        <f>IF($AY15=5,1+COUNTIF(J$69:J78,"&gt;0"),"")</f>
        <v/>
      </c>
      <c r="K79" s="605">
        <v>11</v>
      </c>
      <c r="L79">
        <f t="shared" si="22"/>
        <v>0</v>
      </c>
      <c r="M79">
        <f>IF(L79=0,0,1+MAX(M$69:M78))</f>
        <v>0</v>
      </c>
      <c r="N79">
        <f t="shared" si="29"/>
        <v>0</v>
      </c>
      <c r="O79" t="str">
        <f t="shared" si="30"/>
        <v/>
      </c>
      <c r="P79" t="str">
        <f t="shared" si="31"/>
        <v/>
      </c>
      <c r="Q79" t="str">
        <f>IF($AY15=4,1+COUNTIF(Q$69:Q78,"&gt;0"),"")</f>
        <v/>
      </c>
      <c r="S79" t="str">
        <f>IF($AY15=5,1+COUNTIF(S$69:S78,"&gt;0"),"")</f>
        <v/>
      </c>
      <c r="T79" s="605">
        <v>11</v>
      </c>
      <c r="U79">
        <f t="shared" si="23"/>
        <v>0</v>
      </c>
      <c r="V79">
        <f>IF(U79=0,0,1+MAX(V$69:V78))</f>
        <v>0</v>
      </c>
      <c r="W79">
        <f t="shared" si="32"/>
        <v>0</v>
      </c>
      <c r="X79" t="str">
        <f t="shared" si="33"/>
        <v/>
      </c>
      <c r="Y79" t="str">
        <f t="shared" si="34"/>
        <v/>
      </c>
      <c r="Z79" t="str">
        <f>IF($AY15=4,1+COUNTIF(Z$69:Z78,"&gt;0"),"")</f>
        <v/>
      </c>
      <c r="AB79" t="str">
        <f>IF($AY15=5,1+COUNTIF(AB$69:AB78,"&gt;0"),"")</f>
        <v/>
      </c>
      <c r="AC79" s="605">
        <v>11</v>
      </c>
      <c r="AD79">
        <f t="shared" si="24"/>
        <v>0</v>
      </c>
      <c r="AE79">
        <f>IF(AD79=0,0,1+MAX(AE$69:AE78))</f>
        <v>0</v>
      </c>
      <c r="AF79">
        <f t="shared" si="35"/>
        <v>0</v>
      </c>
      <c r="AG79" t="str">
        <f t="shared" si="36"/>
        <v/>
      </c>
      <c r="AH79" t="str">
        <f t="shared" si="37"/>
        <v/>
      </c>
      <c r="AI79" t="str">
        <f>IF($AY15=4,1+COUNTIF(AI$69:AI78,"&gt;0"),"")</f>
        <v/>
      </c>
      <c r="AK79" t="str">
        <f>IF($AY15=5,1+COUNTIF(AK$69:AK78,"&gt;0"),"")</f>
        <v/>
      </c>
      <c r="AL79" s="605">
        <v>11</v>
      </c>
      <c r="AM79">
        <f t="shared" si="25"/>
        <v>0</v>
      </c>
      <c r="AN79">
        <f>IF(AM79=0,0,1+MAX(AN$69:AN78))</f>
        <v>0</v>
      </c>
      <c r="AO79">
        <f t="shared" si="38"/>
        <v>0</v>
      </c>
      <c r="AP79" t="str">
        <f t="shared" si="39"/>
        <v/>
      </c>
      <c r="AQ79" t="str">
        <f t="shared" si="40"/>
        <v/>
      </c>
      <c r="AR79" t="str">
        <f>IF($AY15=4,1+COUNTIF(AR$69:AR78,"&gt;0"),"")</f>
        <v/>
      </c>
      <c r="AT79" t="str">
        <f>IF($AY15=5,1+COUNTIF(AT$69:AT78,"&gt;0"),"")</f>
        <v/>
      </c>
    </row>
    <row r="80" spans="1:78" x14ac:dyDescent="0.25">
      <c r="B80" s="591">
        <v>12</v>
      </c>
      <c r="C80">
        <f t="shared" si="21"/>
        <v>0</v>
      </c>
      <c r="D80">
        <f>IF(C80=0,0,1+MAX(D$69:D79))</f>
        <v>0</v>
      </c>
      <c r="E80">
        <f t="shared" si="26"/>
        <v>0</v>
      </c>
      <c r="F80" t="str">
        <f t="shared" si="27"/>
        <v/>
      </c>
      <c r="G80" t="str">
        <f t="shared" si="28"/>
        <v/>
      </c>
      <c r="K80" s="605">
        <v>12</v>
      </c>
      <c r="L80">
        <f t="shared" si="22"/>
        <v>0</v>
      </c>
      <c r="M80">
        <f>IF(L80=0,0,1+MAX(M$69:M79))</f>
        <v>0</v>
      </c>
      <c r="N80">
        <f t="shared" si="29"/>
        <v>0</v>
      </c>
      <c r="O80" t="str">
        <f t="shared" si="30"/>
        <v/>
      </c>
      <c r="P80" t="str">
        <f t="shared" si="31"/>
        <v/>
      </c>
      <c r="T80" s="605">
        <v>12</v>
      </c>
      <c r="U80">
        <f t="shared" si="23"/>
        <v>0</v>
      </c>
      <c r="V80">
        <f>IF(U80=0,0,1+MAX(V$69:V79))</f>
        <v>0</v>
      </c>
      <c r="W80">
        <f t="shared" si="32"/>
        <v>0</v>
      </c>
      <c r="X80" t="str">
        <f t="shared" si="33"/>
        <v/>
      </c>
      <c r="Y80" t="str">
        <f t="shared" si="34"/>
        <v/>
      </c>
      <c r="AC80" s="605">
        <v>12</v>
      </c>
      <c r="AD80">
        <f t="shared" si="24"/>
        <v>0</v>
      </c>
      <c r="AE80">
        <f>IF(AD80=0,0,1+MAX(AE$69:AE79))</f>
        <v>0</v>
      </c>
      <c r="AF80">
        <f t="shared" si="35"/>
        <v>0</v>
      </c>
      <c r="AG80" t="str">
        <f t="shared" si="36"/>
        <v/>
      </c>
      <c r="AH80" t="str">
        <f t="shared" si="37"/>
        <v/>
      </c>
      <c r="AL80" s="605">
        <v>12</v>
      </c>
      <c r="AM80">
        <f t="shared" si="25"/>
        <v>0</v>
      </c>
      <c r="AN80">
        <f>IF(AM80=0,0,1+MAX(AN$69:AN79))</f>
        <v>0</v>
      </c>
      <c r="AO80">
        <f t="shared" si="38"/>
        <v>0</v>
      </c>
      <c r="AP80" t="str">
        <f t="shared" si="39"/>
        <v/>
      </c>
      <c r="AQ80" t="str">
        <f t="shared" si="40"/>
        <v/>
      </c>
    </row>
    <row r="81" spans="2:43" x14ac:dyDescent="0.25">
      <c r="B81" s="591">
        <v>13</v>
      </c>
      <c r="C81">
        <f t="shared" si="21"/>
        <v>0</v>
      </c>
      <c r="D81">
        <f>IF(C81=0,0,1+MAX(D$69:D80))</f>
        <v>0</v>
      </c>
      <c r="E81">
        <f t="shared" si="26"/>
        <v>0</v>
      </c>
      <c r="F81" t="str">
        <f t="shared" si="27"/>
        <v/>
      </c>
      <c r="G81" t="str">
        <f t="shared" si="28"/>
        <v/>
      </c>
      <c r="K81" s="605">
        <v>13</v>
      </c>
      <c r="L81">
        <f t="shared" si="22"/>
        <v>0</v>
      </c>
      <c r="M81">
        <f>IF(L81=0,0,1+MAX(M$69:M80))</f>
        <v>0</v>
      </c>
      <c r="N81">
        <f t="shared" si="29"/>
        <v>0</v>
      </c>
      <c r="O81" t="str">
        <f t="shared" si="30"/>
        <v/>
      </c>
      <c r="P81" t="str">
        <f t="shared" si="31"/>
        <v/>
      </c>
      <c r="T81" s="605">
        <v>13</v>
      </c>
      <c r="U81">
        <f t="shared" si="23"/>
        <v>0</v>
      </c>
      <c r="V81">
        <f>IF(U81=0,0,1+MAX(V$69:V80))</f>
        <v>0</v>
      </c>
      <c r="W81">
        <f t="shared" si="32"/>
        <v>0</v>
      </c>
      <c r="X81" t="str">
        <f t="shared" si="33"/>
        <v/>
      </c>
      <c r="Y81" t="str">
        <f t="shared" si="34"/>
        <v/>
      </c>
      <c r="AC81" s="605">
        <v>13</v>
      </c>
      <c r="AD81">
        <f t="shared" si="24"/>
        <v>0</v>
      </c>
      <c r="AE81">
        <f>IF(AD81=0,0,1+MAX(AE$69:AE80))</f>
        <v>0</v>
      </c>
      <c r="AF81">
        <f t="shared" si="35"/>
        <v>0</v>
      </c>
      <c r="AG81" t="str">
        <f t="shared" si="36"/>
        <v/>
      </c>
      <c r="AH81" t="str">
        <f t="shared" si="37"/>
        <v/>
      </c>
      <c r="AL81" s="605">
        <v>13</v>
      </c>
      <c r="AM81">
        <f t="shared" si="25"/>
        <v>0</v>
      </c>
      <c r="AN81">
        <f>IF(AM81=0,0,1+MAX(AN$69:AN80))</f>
        <v>0</v>
      </c>
      <c r="AO81">
        <f t="shared" si="38"/>
        <v>0</v>
      </c>
      <c r="AP81" t="str">
        <f t="shared" si="39"/>
        <v/>
      </c>
      <c r="AQ81" t="str">
        <f t="shared" si="40"/>
        <v/>
      </c>
    </row>
    <row r="82" spans="2:43" x14ac:dyDescent="0.25">
      <c r="B82" s="591">
        <v>14</v>
      </c>
      <c r="C82">
        <f t="shared" si="21"/>
        <v>0</v>
      </c>
      <c r="D82">
        <f>IF(C82=0,0,1+MAX(D$69:D81))</f>
        <v>0</v>
      </c>
      <c r="E82">
        <f t="shared" si="26"/>
        <v>0</v>
      </c>
      <c r="F82" t="str">
        <f t="shared" si="27"/>
        <v/>
      </c>
      <c r="G82" t="str">
        <f t="shared" si="28"/>
        <v/>
      </c>
      <c r="K82" s="605">
        <v>14</v>
      </c>
      <c r="L82">
        <f t="shared" si="22"/>
        <v>0</v>
      </c>
      <c r="M82">
        <f>IF(L82=0,0,1+MAX(M$69:M81))</f>
        <v>0</v>
      </c>
      <c r="N82">
        <f t="shared" si="29"/>
        <v>0</v>
      </c>
      <c r="O82" t="str">
        <f t="shared" si="30"/>
        <v/>
      </c>
      <c r="P82" t="str">
        <f t="shared" si="31"/>
        <v/>
      </c>
      <c r="T82" s="605">
        <v>14</v>
      </c>
      <c r="U82">
        <f t="shared" si="23"/>
        <v>0</v>
      </c>
      <c r="V82">
        <f>IF(U82=0,0,1+MAX(V$69:V81))</f>
        <v>0</v>
      </c>
      <c r="W82">
        <f t="shared" si="32"/>
        <v>0</v>
      </c>
      <c r="X82" t="str">
        <f t="shared" si="33"/>
        <v/>
      </c>
      <c r="Y82" t="str">
        <f t="shared" si="34"/>
        <v/>
      </c>
      <c r="AC82" s="605">
        <v>14</v>
      </c>
      <c r="AD82">
        <f t="shared" si="24"/>
        <v>0</v>
      </c>
      <c r="AE82">
        <f>IF(AD82=0,0,1+MAX(AE$69:AE81))</f>
        <v>0</v>
      </c>
      <c r="AF82">
        <f t="shared" si="35"/>
        <v>0</v>
      </c>
      <c r="AG82" t="str">
        <f t="shared" si="36"/>
        <v/>
      </c>
      <c r="AH82" t="str">
        <f t="shared" si="37"/>
        <v/>
      </c>
      <c r="AL82" s="605">
        <v>14</v>
      </c>
      <c r="AM82">
        <f t="shared" si="25"/>
        <v>0</v>
      </c>
      <c r="AN82">
        <f>IF(AM82=0,0,1+MAX(AN$69:AN81))</f>
        <v>0</v>
      </c>
      <c r="AO82">
        <f t="shared" si="38"/>
        <v>0</v>
      </c>
      <c r="AP82" t="str">
        <f t="shared" si="39"/>
        <v/>
      </c>
      <c r="AQ82" t="str">
        <f t="shared" si="40"/>
        <v/>
      </c>
    </row>
    <row r="83" spans="2:43" x14ac:dyDescent="0.25">
      <c r="B83" s="591">
        <v>15</v>
      </c>
      <c r="C83">
        <f t="shared" si="21"/>
        <v>0</v>
      </c>
      <c r="D83">
        <f>IF(C83=0,0,1+MAX(D$69:D82))</f>
        <v>0</v>
      </c>
      <c r="E83">
        <f t="shared" si="26"/>
        <v>0</v>
      </c>
      <c r="F83" t="str">
        <f t="shared" si="27"/>
        <v/>
      </c>
      <c r="G83" t="str">
        <f t="shared" si="28"/>
        <v/>
      </c>
      <c r="K83" s="605">
        <v>15</v>
      </c>
      <c r="L83">
        <f t="shared" si="22"/>
        <v>0</v>
      </c>
      <c r="M83">
        <f>IF(L83=0,0,1+MAX(M$69:M82))</f>
        <v>0</v>
      </c>
      <c r="N83">
        <f t="shared" si="29"/>
        <v>0</v>
      </c>
      <c r="O83" t="str">
        <f t="shared" si="30"/>
        <v/>
      </c>
      <c r="P83" t="str">
        <f t="shared" si="31"/>
        <v/>
      </c>
      <c r="T83" s="605">
        <v>15</v>
      </c>
      <c r="U83">
        <f t="shared" si="23"/>
        <v>0</v>
      </c>
      <c r="V83">
        <f>IF(U83=0,0,1+MAX(V$69:V82))</f>
        <v>0</v>
      </c>
      <c r="W83">
        <f t="shared" si="32"/>
        <v>0</v>
      </c>
      <c r="X83" t="str">
        <f t="shared" si="33"/>
        <v/>
      </c>
      <c r="Y83" t="str">
        <f t="shared" si="34"/>
        <v/>
      </c>
      <c r="AC83" s="605">
        <v>15</v>
      </c>
      <c r="AD83">
        <f t="shared" si="24"/>
        <v>0</v>
      </c>
      <c r="AE83">
        <f>IF(AD83=0,0,1+MAX(AE$69:AE82))</f>
        <v>0</v>
      </c>
      <c r="AF83">
        <f t="shared" si="35"/>
        <v>0</v>
      </c>
      <c r="AG83" t="str">
        <f t="shared" si="36"/>
        <v/>
      </c>
      <c r="AH83" t="str">
        <f t="shared" si="37"/>
        <v/>
      </c>
      <c r="AL83" s="605">
        <v>15</v>
      </c>
      <c r="AM83">
        <f t="shared" si="25"/>
        <v>0</v>
      </c>
      <c r="AN83">
        <f>IF(AM83=0,0,1+MAX(AN$69:AN82))</f>
        <v>0</v>
      </c>
      <c r="AO83">
        <f t="shared" si="38"/>
        <v>0</v>
      </c>
      <c r="AP83" t="str">
        <f t="shared" si="39"/>
        <v/>
      </c>
      <c r="AQ83" t="str">
        <f t="shared" si="40"/>
        <v/>
      </c>
    </row>
    <row r="84" spans="2:43" x14ac:dyDescent="0.25">
      <c r="B84" s="591">
        <v>16</v>
      </c>
      <c r="C84">
        <f t="shared" si="21"/>
        <v>0</v>
      </c>
      <c r="D84">
        <f>IF(C84=0,0,1+MAX(D$69:D83))</f>
        <v>0</v>
      </c>
      <c r="E84">
        <f t="shared" si="26"/>
        <v>0</v>
      </c>
      <c r="F84" t="str">
        <f t="shared" si="27"/>
        <v/>
      </c>
      <c r="G84" t="str">
        <f t="shared" si="28"/>
        <v/>
      </c>
      <c r="K84" s="605">
        <v>16</v>
      </c>
      <c r="L84">
        <f t="shared" si="22"/>
        <v>0</v>
      </c>
      <c r="M84">
        <f>IF(L84=0,0,1+MAX(M$69:M83))</f>
        <v>0</v>
      </c>
      <c r="N84">
        <f t="shared" si="29"/>
        <v>0</v>
      </c>
      <c r="O84" t="str">
        <f t="shared" si="30"/>
        <v/>
      </c>
      <c r="P84" t="str">
        <f t="shared" si="31"/>
        <v/>
      </c>
      <c r="T84" s="605">
        <v>16</v>
      </c>
      <c r="U84">
        <f t="shared" si="23"/>
        <v>0</v>
      </c>
      <c r="V84">
        <f>IF(U84=0,0,1+MAX(V$69:V83))</f>
        <v>0</v>
      </c>
      <c r="W84">
        <f t="shared" si="32"/>
        <v>0</v>
      </c>
      <c r="X84" t="str">
        <f t="shared" si="33"/>
        <v/>
      </c>
      <c r="Y84" t="str">
        <f t="shared" si="34"/>
        <v/>
      </c>
      <c r="AC84" s="605">
        <v>16</v>
      </c>
      <c r="AD84">
        <f t="shared" si="24"/>
        <v>0</v>
      </c>
      <c r="AE84">
        <f>IF(AD84=0,0,1+MAX(AE$69:AE83))</f>
        <v>0</v>
      </c>
      <c r="AF84">
        <f t="shared" si="35"/>
        <v>0</v>
      </c>
      <c r="AG84" t="str">
        <f t="shared" si="36"/>
        <v/>
      </c>
      <c r="AH84" t="str">
        <f t="shared" si="37"/>
        <v/>
      </c>
      <c r="AL84" s="605">
        <v>16</v>
      </c>
      <c r="AM84">
        <f t="shared" si="25"/>
        <v>0</v>
      </c>
      <c r="AN84">
        <f>IF(AM84=0,0,1+MAX(AN$69:AN83))</f>
        <v>0</v>
      </c>
      <c r="AO84">
        <f t="shared" si="38"/>
        <v>0</v>
      </c>
      <c r="AP84" t="str">
        <f t="shared" si="39"/>
        <v/>
      </c>
      <c r="AQ84" t="str">
        <f t="shared" si="40"/>
        <v/>
      </c>
    </row>
    <row r="85" spans="2:43" x14ac:dyDescent="0.25">
      <c r="B85" s="591">
        <v>17</v>
      </c>
      <c r="C85">
        <f t="shared" si="21"/>
        <v>0</v>
      </c>
      <c r="D85">
        <f>IF(C85=0,0,1+MAX(D$69:D84))</f>
        <v>0</v>
      </c>
      <c r="E85">
        <f t="shared" si="26"/>
        <v>0</v>
      </c>
      <c r="F85" t="str">
        <f t="shared" si="27"/>
        <v/>
      </c>
      <c r="G85" t="str">
        <f t="shared" si="28"/>
        <v/>
      </c>
      <c r="K85" s="605">
        <v>17</v>
      </c>
      <c r="L85">
        <f t="shared" si="22"/>
        <v>0</v>
      </c>
      <c r="M85">
        <f>IF(L85=0,0,1+MAX(M$69:M84))</f>
        <v>0</v>
      </c>
      <c r="N85">
        <f t="shared" si="29"/>
        <v>0</v>
      </c>
      <c r="O85" t="str">
        <f t="shared" si="30"/>
        <v/>
      </c>
      <c r="P85" t="str">
        <f t="shared" si="31"/>
        <v/>
      </c>
      <c r="T85" s="605">
        <v>17</v>
      </c>
      <c r="U85">
        <f t="shared" si="23"/>
        <v>0</v>
      </c>
      <c r="V85">
        <f>IF(U85=0,0,1+MAX(V$69:V84))</f>
        <v>0</v>
      </c>
      <c r="W85">
        <f t="shared" si="32"/>
        <v>0</v>
      </c>
      <c r="X85" t="str">
        <f t="shared" si="33"/>
        <v/>
      </c>
      <c r="Y85" t="str">
        <f t="shared" si="34"/>
        <v/>
      </c>
      <c r="AC85" s="605">
        <v>17</v>
      </c>
      <c r="AD85">
        <f t="shared" si="24"/>
        <v>0</v>
      </c>
      <c r="AE85">
        <f>IF(AD85=0,0,1+MAX(AE$69:AE84))</f>
        <v>0</v>
      </c>
      <c r="AF85">
        <f t="shared" si="35"/>
        <v>0</v>
      </c>
      <c r="AG85" t="str">
        <f t="shared" si="36"/>
        <v/>
      </c>
      <c r="AH85" t="str">
        <f t="shared" si="37"/>
        <v/>
      </c>
      <c r="AL85" s="605">
        <v>17</v>
      </c>
      <c r="AM85">
        <f t="shared" si="25"/>
        <v>0</v>
      </c>
      <c r="AN85">
        <f>IF(AM85=0,0,1+MAX(AN$69:AN84))</f>
        <v>0</v>
      </c>
      <c r="AO85">
        <f t="shared" si="38"/>
        <v>0</v>
      </c>
      <c r="AP85" t="str">
        <f t="shared" si="39"/>
        <v/>
      </c>
      <c r="AQ85" t="str">
        <f t="shared" si="40"/>
        <v/>
      </c>
    </row>
    <row r="86" spans="2:43" x14ac:dyDescent="0.25">
      <c r="B86" s="591">
        <v>18</v>
      </c>
      <c r="C86">
        <f t="shared" si="21"/>
        <v>0</v>
      </c>
      <c r="D86">
        <f>IF(C86=0,0,1+MAX(D$69:D85))</f>
        <v>0</v>
      </c>
      <c r="E86">
        <f t="shared" si="26"/>
        <v>0</v>
      </c>
      <c r="F86" t="str">
        <f t="shared" si="27"/>
        <v/>
      </c>
      <c r="G86" t="str">
        <f t="shared" si="28"/>
        <v/>
      </c>
      <c r="K86" s="605">
        <v>18</v>
      </c>
      <c r="L86">
        <f t="shared" si="22"/>
        <v>0</v>
      </c>
      <c r="M86">
        <f>IF(L86=0,0,1+MAX(M$69:M85))</f>
        <v>0</v>
      </c>
      <c r="N86">
        <f t="shared" si="29"/>
        <v>0</v>
      </c>
      <c r="O86" t="str">
        <f t="shared" si="30"/>
        <v/>
      </c>
      <c r="P86" t="str">
        <f t="shared" si="31"/>
        <v/>
      </c>
      <c r="T86" s="605">
        <v>18</v>
      </c>
      <c r="U86">
        <f t="shared" si="23"/>
        <v>0</v>
      </c>
      <c r="V86">
        <f>IF(U86=0,0,1+MAX(V$69:V85))</f>
        <v>0</v>
      </c>
      <c r="W86">
        <f t="shared" si="32"/>
        <v>0</v>
      </c>
      <c r="X86" t="str">
        <f t="shared" si="33"/>
        <v/>
      </c>
      <c r="Y86" t="str">
        <f t="shared" si="34"/>
        <v/>
      </c>
      <c r="AC86" s="605">
        <v>18</v>
      </c>
      <c r="AD86">
        <f t="shared" si="24"/>
        <v>0</v>
      </c>
      <c r="AE86">
        <f>IF(AD86=0,0,1+MAX(AE$69:AE85))</f>
        <v>0</v>
      </c>
      <c r="AF86">
        <f t="shared" si="35"/>
        <v>0</v>
      </c>
      <c r="AG86" t="str">
        <f t="shared" si="36"/>
        <v/>
      </c>
      <c r="AH86" t="str">
        <f t="shared" si="37"/>
        <v/>
      </c>
      <c r="AL86" s="605">
        <v>18</v>
      </c>
      <c r="AM86">
        <f t="shared" si="25"/>
        <v>0</v>
      </c>
      <c r="AN86">
        <f>IF(AM86=0,0,1+MAX(AN$69:AN85))</f>
        <v>0</v>
      </c>
      <c r="AO86">
        <f t="shared" si="38"/>
        <v>0</v>
      </c>
      <c r="AP86" t="str">
        <f t="shared" si="39"/>
        <v/>
      </c>
      <c r="AQ86" t="str">
        <f t="shared" si="40"/>
        <v/>
      </c>
    </row>
    <row r="87" spans="2:43" x14ac:dyDescent="0.25">
      <c r="B87" s="591">
        <v>19</v>
      </c>
      <c r="C87">
        <f t="shared" si="21"/>
        <v>0</v>
      </c>
      <c r="D87">
        <f>IF(C87=0,0,1+MAX(D$69:D86))</f>
        <v>0</v>
      </c>
      <c r="E87">
        <f t="shared" si="26"/>
        <v>0</v>
      </c>
      <c r="F87" t="str">
        <f t="shared" si="27"/>
        <v/>
      </c>
      <c r="G87" t="str">
        <f t="shared" si="28"/>
        <v/>
      </c>
      <c r="K87" s="605">
        <v>19</v>
      </c>
      <c r="L87">
        <f t="shared" si="22"/>
        <v>0</v>
      </c>
      <c r="M87">
        <f>IF(L87=0,0,1+MAX(M$69:M86))</f>
        <v>0</v>
      </c>
      <c r="N87">
        <f t="shared" si="29"/>
        <v>0</v>
      </c>
      <c r="O87" t="str">
        <f t="shared" si="30"/>
        <v/>
      </c>
      <c r="P87" t="str">
        <f t="shared" si="31"/>
        <v/>
      </c>
      <c r="T87" s="605">
        <v>19</v>
      </c>
      <c r="U87">
        <f t="shared" si="23"/>
        <v>0</v>
      </c>
      <c r="V87">
        <f>IF(U87=0,0,1+MAX(V$69:V86))</f>
        <v>0</v>
      </c>
      <c r="W87">
        <f t="shared" si="32"/>
        <v>0</v>
      </c>
      <c r="X87" t="str">
        <f t="shared" si="33"/>
        <v/>
      </c>
      <c r="Y87" t="str">
        <f t="shared" si="34"/>
        <v/>
      </c>
      <c r="AC87" s="605">
        <v>19</v>
      </c>
      <c r="AD87">
        <f t="shared" si="24"/>
        <v>0</v>
      </c>
      <c r="AE87">
        <f>IF(AD87=0,0,1+MAX(AE$69:AE86))</f>
        <v>0</v>
      </c>
      <c r="AF87">
        <f t="shared" si="35"/>
        <v>0</v>
      </c>
      <c r="AG87" t="str">
        <f t="shared" si="36"/>
        <v/>
      </c>
      <c r="AH87" t="str">
        <f t="shared" si="37"/>
        <v/>
      </c>
      <c r="AL87" s="605">
        <v>19</v>
      </c>
      <c r="AM87">
        <f t="shared" si="25"/>
        <v>0</v>
      </c>
      <c r="AN87">
        <f>IF(AM87=0,0,1+MAX(AN$69:AN86))</f>
        <v>0</v>
      </c>
      <c r="AO87">
        <f t="shared" si="38"/>
        <v>0</v>
      </c>
      <c r="AP87" t="str">
        <f t="shared" si="39"/>
        <v/>
      </c>
      <c r="AQ87" t="str">
        <f t="shared" si="40"/>
        <v/>
      </c>
    </row>
    <row r="88" spans="2:43" x14ac:dyDescent="0.25">
      <c r="B88" s="591">
        <v>20</v>
      </c>
      <c r="C88">
        <f t="shared" si="21"/>
        <v>0</v>
      </c>
      <c r="D88">
        <f>IF(C88=0,0,1+MAX(D$69:D87))</f>
        <v>0</v>
      </c>
      <c r="E88">
        <f t="shared" si="26"/>
        <v>0</v>
      </c>
      <c r="F88" t="str">
        <f t="shared" si="27"/>
        <v/>
      </c>
      <c r="G88" t="str">
        <f t="shared" si="28"/>
        <v/>
      </c>
      <c r="K88" s="605">
        <v>20</v>
      </c>
      <c r="L88">
        <f t="shared" si="22"/>
        <v>0</v>
      </c>
      <c r="M88">
        <f>IF(L88=0,0,1+MAX(M$69:M87))</f>
        <v>0</v>
      </c>
      <c r="N88">
        <f t="shared" si="29"/>
        <v>0</v>
      </c>
      <c r="O88" t="str">
        <f t="shared" si="30"/>
        <v/>
      </c>
      <c r="P88" t="str">
        <f t="shared" si="31"/>
        <v/>
      </c>
      <c r="T88" s="605">
        <v>20</v>
      </c>
      <c r="U88">
        <f t="shared" si="23"/>
        <v>0</v>
      </c>
      <c r="V88">
        <f>IF(U88=0,0,1+MAX(V$69:V87))</f>
        <v>0</v>
      </c>
      <c r="W88">
        <f t="shared" si="32"/>
        <v>0</v>
      </c>
      <c r="X88" t="str">
        <f t="shared" si="33"/>
        <v/>
      </c>
      <c r="Y88" t="str">
        <f t="shared" si="34"/>
        <v/>
      </c>
      <c r="AC88" s="605">
        <v>20</v>
      </c>
      <c r="AD88">
        <f t="shared" si="24"/>
        <v>0</v>
      </c>
      <c r="AE88">
        <f>IF(AD88=0,0,1+MAX(AE$69:AE87))</f>
        <v>0</v>
      </c>
      <c r="AF88">
        <f t="shared" si="35"/>
        <v>0</v>
      </c>
      <c r="AG88" t="str">
        <f t="shared" si="36"/>
        <v/>
      </c>
      <c r="AH88" t="str">
        <f t="shared" si="37"/>
        <v/>
      </c>
      <c r="AL88" s="605">
        <v>20</v>
      </c>
      <c r="AM88">
        <f t="shared" si="25"/>
        <v>0</v>
      </c>
      <c r="AN88">
        <f>IF(AM88=0,0,1+MAX(AN$69:AN87))</f>
        <v>0</v>
      </c>
      <c r="AO88">
        <f t="shared" si="38"/>
        <v>0</v>
      </c>
      <c r="AP88" t="str">
        <f t="shared" si="39"/>
        <v/>
      </c>
      <c r="AQ88" t="str">
        <f t="shared" si="40"/>
        <v/>
      </c>
    </row>
    <row r="89" spans="2:43" x14ac:dyDescent="0.25">
      <c r="B89" s="591">
        <v>21</v>
      </c>
      <c r="C89">
        <f t="shared" si="21"/>
        <v>0</v>
      </c>
      <c r="D89">
        <f>IF(C89=0,0,1+MAX(D$69:D88))</f>
        <v>0</v>
      </c>
      <c r="E89">
        <f t="shared" si="26"/>
        <v>0</v>
      </c>
      <c r="F89" t="str">
        <f t="shared" si="27"/>
        <v/>
      </c>
      <c r="G89" t="str">
        <f t="shared" si="28"/>
        <v/>
      </c>
      <c r="K89" s="605">
        <v>21</v>
      </c>
      <c r="L89">
        <f t="shared" si="22"/>
        <v>0</v>
      </c>
      <c r="M89">
        <f>IF(L89=0,0,1+MAX(M$69:M88))</f>
        <v>0</v>
      </c>
      <c r="N89">
        <f t="shared" si="29"/>
        <v>0</v>
      </c>
      <c r="O89" t="str">
        <f t="shared" si="30"/>
        <v/>
      </c>
      <c r="P89" t="str">
        <f t="shared" si="31"/>
        <v/>
      </c>
      <c r="T89" s="605">
        <v>21</v>
      </c>
      <c r="U89">
        <f t="shared" si="23"/>
        <v>0</v>
      </c>
      <c r="V89">
        <f>IF(U89=0,0,1+MAX(V$69:V88))</f>
        <v>0</v>
      </c>
      <c r="W89">
        <f t="shared" si="32"/>
        <v>0</v>
      </c>
      <c r="X89" t="str">
        <f t="shared" si="33"/>
        <v/>
      </c>
      <c r="Y89" t="str">
        <f t="shared" si="34"/>
        <v/>
      </c>
      <c r="AC89" s="605">
        <v>21</v>
      </c>
      <c r="AD89">
        <f t="shared" si="24"/>
        <v>0</v>
      </c>
      <c r="AE89">
        <f>IF(AD89=0,0,1+MAX(AE$69:AE88))</f>
        <v>0</v>
      </c>
      <c r="AF89">
        <f t="shared" si="35"/>
        <v>0</v>
      </c>
      <c r="AG89" t="str">
        <f t="shared" si="36"/>
        <v/>
      </c>
      <c r="AH89" t="str">
        <f t="shared" si="37"/>
        <v/>
      </c>
      <c r="AL89" s="605">
        <v>21</v>
      </c>
      <c r="AM89">
        <f t="shared" si="25"/>
        <v>0</v>
      </c>
      <c r="AN89">
        <f>IF(AM89=0,0,1+MAX(AN$69:AN88))</f>
        <v>0</v>
      </c>
      <c r="AO89">
        <f t="shared" si="38"/>
        <v>0</v>
      </c>
      <c r="AP89" t="str">
        <f t="shared" si="39"/>
        <v/>
      </c>
      <c r="AQ89" t="str">
        <f t="shared" si="40"/>
        <v/>
      </c>
    </row>
    <row r="90" spans="2:43" x14ac:dyDescent="0.25">
      <c r="B90" s="591">
        <v>22</v>
      </c>
      <c r="C90">
        <f t="shared" si="21"/>
        <v>0</v>
      </c>
      <c r="D90">
        <f>IF(C90=0,0,1+MAX(D$69:D89))</f>
        <v>0</v>
      </c>
      <c r="E90">
        <f t="shared" si="26"/>
        <v>0</v>
      </c>
      <c r="F90" t="str">
        <f t="shared" si="27"/>
        <v/>
      </c>
      <c r="G90" t="str">
        <f t="shared" si="28"/>
        <v/>
      </c>
      <c r="K90" s="605">
        <v>22</v>
      </c>
      <c r="L90">
        <f t="shared" si="22"/>
        <v>0</v>
      </c>
      <c r="M90">
        <f>IF(L90=0,0,1+MAX(M$69:M89))</f>
        <v>0</v>
      </c>
      <c r="N90">
        <f t="shared" si="29"/>
        <v>0</v>
      </c>
      <c r="O90" t="str">
        <f t="shared" si="30"/>
        <v/>
      </c>
      <c r="P90" t="str">
        <f t="shared" si="31"/>
        <v/>
      </c>
      <c r="T90" s="605">
        <v>22</v>
      </c>
      <c r="U90">
        <f t="shared" si="23"/>
        <v>0</v>
      </c>
      <c r="V90">
        <f>IF(U90=0,0,1+MAX(V$69:V89))</f>
        <v>0</v>
      </c>
      <c r="W90">
        <f t="shared" si="32"/>
        <v>0</v>
      </c>
      <c r="X90" t="str">
        <f t="shared" si="33"/>
        <v/>
      </c>
      <c r="Y90" t="str">
        <f t="shared" si="34"/>
        <v/>
      </c>
      <c r="AC90" s="605">
        <v>22</v>
      </c>
      <c r="AD90">
        <f t="shared" si="24"/>
        <v>0</v>
      </c>
      <c r="AE90">
        <f>IF(AD90=0,0,1+MAX(AE$69:AE89))</f>
        <v>0</v>
      </c>
      <c r="AF90">
        <f t="shared" si="35"/>
        <v>0</v>
      </c>
      <c r="AG90" t="str">
        <f t="shared" si="36"/>
        <v/>
      </c>
      <c r="AH90" t="str">
        <f t="shared" si="37"/>
        <v/>
      </c>
      <c r="AL90" s="605">
        <v>22</v>
      </c>
      <c r="AM90">
        <f t="shared" si="25"/>
        <v>0</v>
      </c>
      <c r="AN90">
        <f>IF(AM90=0,0,1+MAX(AN$69:AN89))</f>
        <v>0</v>
      </c>
      <c r="AO90">
        <f t="shared" si="38"/>
        <v>0</v>
      </c>
      <c r="AP90" t="str">
        <f t="shared" si="39"/>
        <v/>
      </c>
      <c r="AQ90" t="str">
        <f t="shared" si="40"/>
        <v/>
      </c>
    </row>
    <row r="91" spans="2:43" x14ac:dyDescent="0.25">
      <c r="B91" s="591">
        <v>23</v>
      </c>
      <c r="C91">
        <f t="shared" si="21"/>
        <v>0</v>
      </c>
      <c r="D91">
        <f>IF(C91=0,0,1+MAX(D$69:D90))</f>
        <v>0</v>
      </c>
      <c r="E91">
        <f t="shared" si="26"/>
        <v>0</v>
      </c>
      <c r="F91" t="str">
        <f t="shared" si="27"/>
        <v/>
      </c>
      <c r="G91" t="str">
        <f t="shared" si="28"/>
        <v/>
      </c>
      <c r="K91" s="605">
        <v>23</v>
      </c>
      <c r="L91">
        <f t="shared" si="22"/>
        <v>0</v>
      </c>
      <c r="M91">
        <f>IF(L91=0,0,1+MAX(M$69:M90))</f>
        <v>0</v>
      </c>
      <c r="N91">
        <f t="shared" si="29"/>
        <v>0</v>
      </c>
      <c r="O91" t="str">
        <f t="shared" si="30"/>
        <v/>
      </c>
      <c r="P91" t="str">
        <f t="shared" si="31"/>
        <v/>
      </c>
      <c r="T91" s="605">
        <v>23</v>
      </c>
      <c r="U91">
        <f t="shared" si="23"/>
        <v>0</v>
      </c>
      <c r="V91">
        <f>IF(U91=0,0,1+MAX(V$69:V90))</f>
        <v>0</v>
      </c>
      <c r="W91">
        <f t="shared" si="32"/>
        <v>0</v>
      </c>
      <c r="X91" t="str">
        <f t="shared" si="33"/>
        <v/>
      </c>
      <c r="Y91" t="str">
        <f t="shared" si="34"/>
        <v/>
      </c>
      <c r="AC91" s="605">
        <v>23</v>
      </c>
      <c r="AD91">
        <f t="shared" si="24"/>
        <v>0</v>
      </c>
      <c r="AE91">
        <f>IF(AD91=0,0,1+MAX(AE$69:AE90))</f>
        <v>0</v>
      </c>
      <c r="AF91">
        <f t="shared" si="35"/>
        <v>0</v>
      </c>
      <c r="AG91" t="str">
        <f t="shared" si="36"/>
        <v/>
      </c>
      <c r="AH91" t="str">
        <f t="shared" si="37"/>
        <v/>
      </c>
      <c r="AL91" s="605">
        <v>23</v>
      </c>
      <c r="AM91">
        <f t="shared" si="25"/>
        <v>0</v>
      </c>
      <c r="AN91">
        <f>IF(AM91=0,0,1+MAX(AN$69:AN90))</f>
        <v>0</v>
      </c>
      <c r="AO91">
        <f t="shared" si="38"/>
        <v>0</v>
      </c>
      <c r="AP91" t="str">
        <f t="shared" si="39"/>
        <v/>
      </c>
      <c r="AQ91" t="str">
        <f t="shared" si="40"/>
        <v/>
      </c>
    </row>
    <row r="92" spans="2:43" x14ac:dyDescent="0.25">
      <c r="B92" s="591">
        <v>24</v>
      </c>
      <c r="C92">
        <f t="shared" si="21"/>
        <v>0</v>
      </c>
      <c r="D92">
        <f>IF(C92=0,0,1+MAX(D$69:D91))</f>
        <v>0</v>
      </c>
      <c r="E92">
        <f t="shared" si="26"/>
        <v>0</v>
      </c>
      <c r="F92" t="str">
        <f t="shared" si="27"/>
        <v/>
      </c>
      <c r="G92" t="str">
        <f t="shared" si="28"/>
        <v/>
      </c>
      <c r="K92" s="605">
        <v>24</v>
      </c>
      <c r="L92">
        <f t="shared" si="22"/>
        <v>0</v>
      </c>
      <c r="M92">
        <f>IF(L92=0,0,1+MAX(M$69:M91))</f>
        <v>0</v>
      </c>
      <c r="N92">
        <f t="shared" si="29"/>
        <v>0</v>
      </c>
      <c r="O92" t="str">
        <f t="shared" si="30"/>
        <v/>
      </c>
      <c r="P92" t="str">
        <f t="shared" si="31"/>
        <v/>
      </c>
      <c r="T92" s="605">
        <v>24</v>
      </c>
      <c r="U92">
        <f t="shared" si="23"/>
        <v>0</v>
      </c>
      <c r="V92">
        <f>IF(U92=0,0,1+MAX(V$69:V91))</f>
        <v>0</v>
      </c>
      <c r="W92">
        <f t="shared" si="32"/>
        <v>0</v>
      </c>
      <c r="X92" t="str">
        <f t="shared" si="33"/>
        <v/>
      </c>
      <c r="Y92" t="str">
        <f t="shared" si="34"/>
        <v/>
      </c>
      <c r="AC92" s="605">
        <v>24</v>
      </c>
      <c r="AD92">
        <f t="shared" si="24"/>
        <v>0</v>
      </c>
      <c r="AE92">
        <f>IF(AD92=0,0,1+MAX(AE$69:AE91))</f>
        <v>0</v>
      </c>
      <c r="AF92">
        <f t="shared" si="35"/>
        <v>0</v>
      </c>
      <c r="AG92" t="str">
        <f t="shared" si="36"/>
        <v/>
      </c>
      <c r="AH92" t="str">
        <f t="shared" si="37"/>
        <v/>
      </c>
      <c r="AL92" s="605">
        <v>24</v>
      </c>
      <c r="AM92">
        <f t="shared" si="25"/>
        <v>0</v>
      </c>
      <c r="AN92">
        <f>IF(AM92=0,0,1+MAX(AN$69:AN91))</f>
        <v>0</v>
      </c>
      <c r="AO92">
        <f t="shared" si="38"/>
        <v>0</v>
      </c>
      <c r="AP92" t="str">
        <f t="shared" si="39"/>
        <v/>
      </c>
      <c r="AQ92" t="str">
        <f t="shared" si="40"/>
        <v/>
      </c>
    </row>
    <row r="93" spans="2:43" x14ac:dyDescent="0.25">
      <c r="B93" s="591">
        <v>25</v>
      </c>
      <c r="C93">
        <f t="shared" si="21"/>
        <v>0</v>
      </c>
      <c r="D93">
        <f>IF(C93=0,0,1+MAX(D$69:D92))</f>
        <v>0</v>
      </c>
      <c r="E93">
        <f t="shared" si="26"/>
        <v>0</v>
      </c>
      <c r="F93" t="str">
        <f t="shared" si="27"/>
        <v/>
      </c>
      <c r="G93" t="str">
        <f t="shared" si="28"/>
        <v/>
      </c>
      <c r="K93" s="605">
        <v>25</v>
      </c>
      <c r="L93">
        <f t="shared" si="22"/>
        <v>0</v>
      </c>
      <c r="M93">
        <f>IF(L93=0,0,1+MAX(M$69:M92))</f>
        <v>0</v>
      </c>
      <c r="N93">
        <f t="shared" si="29"/>
        <v>0</v>
      </c>
      <c r="O93" t="str">
        <f t="shared" si="30"/>
        <v/>
      </c>
      <c r="P93" t="str">
        <f t="shared" si="31"/>
        <v/>
      </c>
      <c r="T93" s="605">
        <v>25</v>
      </c>
      <c r="U93">
        <f t="shared" si="23"/>
        <v>0</v>
      </c>
      <c r="V93">
        <f>IF(U93=0,0,1+MAX(V$69:V92))</f>
        <v>0</v>
      </c>
      <c r="W93">
        <f t="shared" si="32"/>
        <v>0</v>
      </c>
      <c r="X93" t="str">
        <f t="shared" si="33"/>
        <v/>
      </c>
      <c r="Y93" t="str">
        <f t="shared" si="34"/>
        <v/>
      </c>
      <c r="AC93" s="605">
        <v>25</v>
      </c>
      <c r="AD93">
        <f t="shared" si="24"/>
        <v>0</v>
      </c>
      <c r="AE93">
        <f>IF(AD93=0,0,1+MAX(AE$69:AE92))</f>
        <v>0</v>
      </c>
      <c r="AF93">
        <f t="shared" si="35"/>
        <v>0</v>
      </c>
      <c r="AG93" t="str">
        <f t="shared" si="36"/>
        <v/>
      </c>
      <c r="AH93" t="str">
        <f t="shared" si="37"/>
        <v/>
      </c>
      <c r="AL93" s="605">
        <v>25</v>
      </c>
      <c r="AM93">
        <f t="shared" si="25"/>
        <v>0</v>
      </c>
      <c r="AN93">
        <f>IF(AM93=0,0,1+MAX(AN$69:AN92))</f>
        <v>0</v>
      </c>
      <c r="AO93">
        <f t="shared" si="38"/>
        <v>0</v>
      </c>
      <c r="AP93" t="str">
        <f t="shared" si="39"/>
        <v/>
      </c>
      <c r="AQ93" t="str">
        <f t="shared" si="40"/>
        <v/>
      </c>
    </row>
    <row r="94" spans="2:43" x14ac:dyDescent="0.25">
      <c r="B94" s="591">
        <v>26</v>
      </c>
      <c r="C94">
        <f t="shared" si="21"/>
        <v>0</v>
      </c>
      <c r="D94">
        <f>IF(C94=0,0,1+MAX(D$69:D93))</f>
        <v>0</v>
      </c>
      <c r="E94">
        <f t="shared" si="26"/>
        <v>0</v>
      </c>
      <c r="F94" t="str">
        <f t="shared" si="27"/>
        <v/>
      </c>
      <c r="G94" t="str">
        <f t="shared" si="28"/>
        <v/>
      </c>
      <c r="K94" s="605">
        <v>26</v>
      </c>
      <c r="L94">
        <f t="shared" si="22"/>
        <v>0</v>
      </c>
      <c r="M94">
        <f>IF(L94=0,0,1+MAX(M$69:M93))</f>
        <v>0</v>
      </c>
      <c r="N94">
        <f t="shared" si="29"/>
        <v>0</v>
      </c>
      <c r="O94" t="str">
        <f t="shared" si="30"/>
        <v/>
      </c>
      <c r="P94" t="str">
        <f t="shared" si="31"/>
        <v/>
      </c>
      <c r="T94" s="605">
        <v>26</v>
      </c>
      <c r="U94">
        <f t="shared" si="23"/>
        <v>0</v>
      </c>
      <c r="V94">
        <f>IF(U94=0,0,1+MAX(V$69:V93))</f>
        <v>0</v>
      </c>
      <c r="W94">
        <f t="shared" si="32"/>
        <v>0</v>
      </c>
      <c r="X94" t="str">
        <f t="shared" si="33"/>
        <v/>
      </c>
      <c r="Y94" t="str">
        <f t="shared" si="34"/>
        <v/>
      </c>
      <c r="AC94" s="605">
        <v>26</v>
      </c>
      <c r="AD94">
        <f t="shared" si="24"/>
        <v>0</v>
      </c>
      <c r="AE94">
        <f>IF(AD94=0,0,1+MAX(AE$69:AE93))</f>
        <v>0</v>
      </c>
      <c r="AF94">
        <f t="shared" si="35"/>
        <v>0</v>
      </c>
      <c r="AG94" t="str">
        <f t="shared" si="36"/>
        <v/>
      </c>
      <c r="AH94" t="str">
        <f t="shared" si="37"/>
        <v/>
      </c>
      <c r="AL94" s="605">
        <v>26</v>
      </c>
      <c r="AM94">
        <f t="shared" si="25"/>
        <v>0</v>
      </c>
      <c r="AN94">
        <f>IF(AM94=0,0,1+MAX(AN$69:AN93))</f>
        <v>0</v>
      </c>
      <c r="AO94">
        <f t="shared" si="38"/>
        <v>0</v>
      </c>
      <c r="AP94" t="str">
        <f t="shared" si="39"/>
        <v/>
      </c>
      <c r="AQ94" t="str">
        <f t="shared" si="40"/>
        <v/>
      </c>
    </row>
    <row r="95" spans="2:43" x14ac:dyDescent="0.25">
      <c r="B95" s="591">
        <v>27</v>
      </c>
      <c r="C95">
        <f t="shared" si="21"/>
        <v>0</v>
      </c>
      <c r="D95">
        <f>IF(C95=0,0,1+MAX(D$69:D94))</f>
        <v>0</v>
      </c>
      <c r="E95">
        <f t="shared" si="26"/>
        <v>0</v>
      </c>
      <c r="F95" t="str">
        <f t="shared" si="27"/>
        <v/>
      </c>
      <c r="G95" t="str">
        <f t="shared" si="28"/>
        <v/>
      </c>
      <c r="K95" s="605">
        <v>27</v>
      </c>
      <c r="L95">
        <f t="shared" si="22"/>
        <v>0</v>
      </c>
      <c r="M95">
        <f>IF(L95=0,0,1+MAX(M$69:M94))</f>
        <v>0</v>
      </c>
      <c r="N95">
        <f t="shared" si="29"/>
        <v>0</v>
      </c>
      <c r="O95" t="str">
        <f t="shared" si="30"/>
        <v/>
      </c>
      <c r="P95" t="str">
        <f t="shared" si="31"/>
        <v/>
      </c>
      <c r="T95" s="605">
        <v>27</v>
      </c>
      <c r="U95">
        <f t="shared" si="23"/>
        <v>0</v>
      </c>
      <c r="V95">
        <f>IF(U95=0,0,1+MAX(V$69:V94))</f>
        <v>0</v>
      </c>
      <c r="W95">
        <f t="shared" si="32"/>
        <v>0</v>
      </c>
      <c r="X95" t="str">
        <f t="shared" si="33"/>
        <v/>
      </c>
      <c r="Y95" t="str">
        <f t="shared" si="34"/>
        <v/>
      </c>
      <c r="AC95" s="605">
        <v>27</v>
      </c>
      <c r="AD95">
        <f t="shared" si="24"/>
        <v>0</v>
      </c>
      <c r="AE95">
        <f>IF(AD95=0,0,1+MAX(AE$69:AE94))</f>
        <v>0</v>
      </c>
      <c r="AF95">
        <f t="shared" si="35"/>
        <v>0</v>
      </c>
      <c r="AG95" t="str">
        <f t="shared" si="36"/>
        <v/>
      </c>
      <c r="AH95" t="str">
        <f t="shared" si="37"/>
        <v/>
      </c>
      <c r="AL95" s="605">
        <v>27</v>
      </c>
      <c r="AM95">
        <f t="shared" si="25"/>
        <v>0</v>
      </c>
      <c r="AN95">
        <f>IF(AM95=0,0,1+MAX(AN$69:AN94))</f>
        <v>0</v>
      </c>
      <c r="AO95">
        <f t="shared" si="38"/>
        <v>0</v>
      </c>
      <c r="AP95" t="str">
        <f t="shared" si="39"/>
        <v/>
      </c>
      <c r="AQ95" t="str">
        <f t="shared" si="40"/>
        <v/>
      </c>
    </row>
    <row r="96" spans="2:43" x14ac:dyDescent="0.25">
      <c r="B96" s="591">
        <v>28</v>
      </c>
      <c r="C96">
        <f t="shared" si="21"/>
        <v>0</v>
      </c>
      <c r="D96">
        <f>IF(C96=0,0,1+MAX(D$69:D95))</f>
        <v>0</v>
      </c>
      <c r="E96">
        <f t="shared" si="26"/>
        <v>0</v>
      </c>
      <c r="F96" t="str">
        <f t="shared" si="27"/>
        <v/>
      </c>
      <c r="G96" t="str">
        <f t="shared" si="28"/>
        <v/>
      </c>
      <c r="K96" s="605">
        <v>28</v>
      </c>
      <c r="L96">
        <f t="shared" si="22"/>
        <v>0</v>
      </c>
      <c r="M96">
        <f>IF(L96=0,0,1+MAX(M$69:M95))</f>
        <v>0</v>
      </c>
      <c r="N96">
        <f t="shared" si="29"/>
        <v>0</v>
      </c>
      <c r="O96" t="str">
        <f t="shared" si="30"/>
        <v/>
      </c>
      <c r="P96" t="str">
        <f t="shared" si="31"/>
        <v/>
      </c>
      <c r="T96" s="605">
        <v>28</v>
      </c>
      <c r="U96">
        <f t="shared" si="23"/>
        <v>0</v>
      </c>
      <c r="V96">
        <f>IF(U96=0,0,1+MAX(V$69:V95))</f>
        <v>0</v>
      </c>
      <c r="W96">
        <f t="shared" si="32"/>
        <v>0</v>
      </c>
      <c r="X96" t="str">
        <f t="shared" si="33"/>
        <v/>
      </c>
      <c r="Y96" t="str">
        <f t="shared" si="34"/>
        <v/>
      </c>
      <c r="AC96" s="605">
        <v>28</v>
      </c>
      <c r="AD96">
        <f t="shared" si="24"/>
        <v>0</v>
      </c>
      <c r="AE96">
        <f>IF(AD96=0,0,1+MAX(AE$69:AE95))</f>
        <v>0</v>
      </c>
      <c r="AF96">
        <f t="shared" si="35"/>
        <v>0</v>
      </c>
      <c r="AG96" t="str">
        <f t="shared" si="36"/>
        <v/>
      </c>
      <c r="AH96" t="str">
        <f t="shared" si="37"/>
        <v/>
      </c>
      <c r="AL96" s="605">
        <v>28</v>
      </c>
      <c r="AM96">
        <f t="shared" si="25"/>
        <v>0</v>
      </c>
      <c r="AN96">
        <f>IF(AM96=0,0,1+MAX(AN$69:AN95))</f>
        <v>0</v>
      </c>
      <c r="AO96">
        <f t="shared" si="38"/>
        <v>0</v>
      </c>
      <c r="AP96" t="str">
        <f t="shared" si="39"/>
        <v/>
      </c>
      <c r="AQ96" t="str">
        <f t="shared" si="40"/>
        <v/>
      </c>
    </row>
    <row r="97" spans="2:43" x14ac:dyDescent="0.25">
      <c r="B97" s="591">
        <v>29</v>
      </c>
      <c r="C97">
        <f t="shared" si="21"/>
        <v>0</v>
      </c>
      <c r="D97">
        <f>IF(C97=0,0,1+MAX(D$69:D96))</f>
        <v>0</v>
      </c>
      <c r="E97">
        <f t="shared" si="26"/>
        <v>0</v>
      </c>
      <c r="F97" t="str">
        <f t="shared" si="27"/>
        <v/>
      </c>
      <c r="G97" t="str">
        <f t="shared" si="28"/>
        <v/>
      </c>
      <c r="K97" s="605">
        <v>29</v>
      </c>
      <c r="L97">
        <f t="shared" si="22"/>
        <v>0</v>
      </c>
      <c r="M97">
        <f>IF(L97=0,0,1+MAX(M$69:M96))</f>
        <v>0</v>
      </c>
      <c r="N97">
        <f t="shared" si="29"/>
        <v>0</v>
      </c>
      <c r="O97" t="str">
        <f t="shared" si="30"/>
        <v/>
      </c>
      <c r="P97" t="str">
        <f t="shared" si="31"/>
        <v/>
      </c>
      <c r="T97" s="605">
        <v>29</v>
      </c>
      <c r="U97">
        <f t="shared" si="23"/>
        <v>0</v>
      </c>
      <c r="V97">
        <f>IF(U97=0,0,1+MAX(V$69:V96))</f>
        <v>0</v>
      </c>
      <c r="W97">
        <f t="shared" si="32"/>
        <v>0</v>
      </c>
      <c r="X97" t="str">
        <f t="shared" si="33"/>
        <v/>
      </c>
      <c r="Y97" t="str">
        <f t="shared" si="34"/>
        <v/>
      </c>
      <c r="AC97" s="605">
        <v>29</v>
      </c>
      <c r="AD97">
        <f t="shared" si="24"/>
        <v>0</v>
      </c>
      <c r="AE97">
        <f>IF(AD97=0,0,1+MAX(AE$69:AE96))</f>
        <v>0</v>
      </c>
      <c r="AF97">
        <f t="shared" si="35"/>
        <v>0</v>
      </c>
      <c r="AG97" t="str">
        <f t="shared" si="36"/>
        <v/>
      </c>
      <c r="AH97" t="str">
        <f t="shared" si="37"/>
        <v/>
      </c>
      <c r="AL97" s="605">
        <v>29</v>
      </c>
      <c r="AM97">
        <f t="shared" si="25"/>
        <v>0</v>
      </c>
      <c r="AN97">
        <f>IF(AM97=0,0,1+MAX(AN$69:AN96))</f>
        <v>0</v>
      </c>
      <c r="AO97">
        <f t="shared" si="38"/>
        <v>0</v>
      </c>
      <c r="AP97" t="str">
        <f t="shared" si="39"/>
        <v/>
      </c>
      <c r="AQ97" t="str">
        <f t="shared" si="40"/>
        <v/>
      </c>
    </row>
    <row r="98" spans="2:43" x14ac:dyDescent="0.25">
      <c r="B98" s="591">
        <v>30</v>
      </c>
      <c r="C98">
        <f t="shared" si="21"/>
        <v>0</v>
      </c>
      <c r="D98">
        <f>IF(C98=0,0,1+MAX(D$69:D97))</f>
        <v>0</v>
      </c>
      <c r="E98">
        <f t="shared" si="26"/>
        <v>0</v>
      </c>
      <c r="F98" t="str">
        <f t="shared" si="27"/>
        <v/>
      </c>
      <c r="G98" t="str">
        <f t="shared" si="28"/>
        <v/>
      </c>
      <c r="K98" s="605">
        <v>30</v>
      </c>
      <c r="L98">
        <f t="shared" si="22"/>
        <v>0</v>
      </c>
      <c r="M98">
        <f>IF(L98=0,0,1+MAX(M$69:M97))</f>
        <v>0</v>
      </c>
      <c r="N98">
        <f t="shared" si="29"/>
        <v>0</v>
      </c>
      <c r="O98" t="str">
        <f t="shared" si="30"/>
        <v/>
      </c>
      <c r="P98" t="str">
        <f t="shared" si="31"/>
        <v/>
      </c>
      <c r="T98" s="605">
        <v>30</v>
      </c>
      <c r="U98">
        <f t="shared" si="23"/>
        <v>0</v>
      </c>
      <c r="V98">
        <f>IF(U98=0,0,1+MAX(V$69:V97))</f>
        <v>0</v>
      </c>
      <c r="W98">
        <f t="shared" si="32"/>
        <v>0</v>
      </c>
      <c r="X98" t="str">
        <f t="shared" si="33"/>
        <v/>
      </c>
      <c r="Y98" t="str">
        <f t="shared" si="34"/>
        <v/>
      </c>
      <c r="AC98" s="605">
        <v>30</v>
      </c>
      <c r="AD98">
        <f t="shared" si="24"/>
        <v>0</v>
      </c>
      <c r="AE98">
        <f>IF(AD98=0,0,1+MAX(AE$69:AE97))</f>
        <v>0</v>
      </c>
      <c r="AF98">
        <f t="shared" si="35"/>
        <v>0</v>
      </c>
      <c r="AG98" t="str">
        <f t="shared" si="36"/>
        <v/>
      </c>
      <c r="AH98" t="str">
        <f t="shared" si="37"/>
        <v/>
      </c>
      <c r="AL98" s="605">
        <v>30</v>
      </c>
      <c r="AM98">
        <f t="shared" si="25"/>
        <v>0</v>
      </c>
      <c r="AN98">
        <f>IF(AM98=0,0,1+MAX(AN$69:AN97))</f>
        <v>0</v>
      </c>
      <c r="AO98">
        <f t="shared" si="38"/>
        <v>0</v>
      </c>
      <c r="AP98" t="str">
        <f t="shared" si="39"/>
        <v/>
      </c>
      <c r="AQ98" t="str">
        <f t="shared" si="40"/>
        <v/>
      </c>
    </row>
  </sheetData>
  <mergeCells count="178">
    <mergeCell ref="L32:P32"/>
    <mergeCell ref="U32:Y32"/>
    <mergeCell ref="AD32:AH32"/>
    <mergeCell ref="AM32:AQ32"/>
    <mergeCell ref="L31:P31"/>
    <mergeCell ref="U31:Y31"/>
    <mergeCell ref="AD31:AH31"/>
    <mergeCell ref="AM31:AQ31"/>
    <mergeCell ref="L35:P35"/>
    <mergeCell ref="U35:Y35"/>
    <mergeCell ref="AD35:AH35"/>
    <mergeCell ref="AM35:AQ35"/>
    <mergeCell ref="L34:P34"/>
    <mergeCell ref="U34:Y34"/>
    <mergeCell ref="AD34:AH34"/>
    <mergeCell ref="AM34:AQ34"/>
    <mergeCell ref="L33:P33"/>
    <mergeCell ref="U33:Y33"/>
    <mergeCell ref="AD33:AH33"/>
    <mergeCell ref="AM33:AQ33"/>
    <mergeCell ref="L30:P30"/>
    <mergeCell ref="U30:Y30"/>
    <mergeCell ref="AD30:AH30"/>
    <mergeCell ref="AM30:AQ30"/>
    <mergeCell ref="L29:P29"/>
    <mergeCell ref="U29:Y29"/>
    <mergeCell ref="AD29:AH29"/>
    <mergeCell ref="AM29:AQ29"/>
    <mergeCell ref="L28:P28"/>
    <mergeCell ref="U28:Y28"/>
    <mergeCell ref="AD28:AH28"/>
    <mergeCell ref="AM28:AQ28"/>
    <mergeCell ref="L27:P27"/>
    <mergeCell ref="U27:Y27"/>
    <mergeCell ref="AD27:AH27"/>
    <mergeCell ref="AM27:AQ27"/>
    <mergeCell ref="L26:P26"/>
    <mergeCell ref="U26:Y26"/>
    <mergeCell ref="AD26:AH26"/>
    <mergeCell ref="AM26:AQ26"/>
    <mergeCell ref="L25:P25"/>
    <mergeCell ref="U25:Y25"/>
    <mergeCell ref="AD25:AH25"/>
    <mergeCell ref="AM25:AQ25"/>
    <mergeCell ref="U24:Y24"/>
    <mergeCell ref="AD24:AH24"/>
    <mergeCell ref="AM24:AQ24"/>
    <mergeCell ref="L23:P23"/>
    <mergeCell ref="U23:Y23"/>
    <mergeCell ref="AD23:AH23"/>
    <mergeCell ref="AM23:AQ23"/>
    <mergeCell ref="L22:P22"/>
    <mergeCell ref="U22:Y22"/>
    <mergeCell ref="AD22:AH22"/>
    <mergeCell ref="AM22:AQ22"/>
    <mergeCell ref="L24:P24"/>
    <mergeCell ref="U21:Y21"/>
    <mergeCell ref="AD21:AH21"/>
    <mergeCell ref="AM21:AQ21"/>
    <mergeCell ref="L20:P20"/>
    <mergeCell ref="U20:Y20"/>
    <mergeCell ref="AD20:AH20"/>
    <mergeCell ref="AM20:AQ20"/>
    <mergeCell ref="L19:P19"/>
    <mergeCell ref="U19:Y19"/>
    <mergeCell ref="AD19:AH19"/>
    <mergeCell ref="AM19:AQ19"/>
    <mergeCell ref="L21:P21"/>
    <mergeCell ref="U18:Y18"/>
    <mergeCell ref="AD18:AH18"/>
    <mergeCell ref="AM18:AQ18"/>
    <mergeCell ref="L17:P17"/>
    <mergeCell ref="U17:Y17"/>
    <mergeCell ref="AD17:AH17"/>
    <mergeCell ref="AM17:AQ17"/>
    <mergeCell ref="L16:P16"/>
    <mergeCell ref="U16:Y16"/>
    <mergeCell ref="AD16:AH16"/>
    <mergeCell ref="AM16:AQ16"/>
    <mergeCell ref="L18:P18"/>
    <mergeCell ref="U15:Y15"/>
    <mergeCell ref="AD15:AH15"/>
    <mergeCell ref="AM15:AQ15"/>
    <mergeCell ref="L14:P14"/>
    <mergeCell ref="U14:Y14"/>
    <mergeCell ref="AD14:AH14"/>
    <mergeCell ref="AM14:AQ14"/>
    <mergeCell ref="L13:P13"/>
    <mergeCell ref="U13:Y13"/>
    <mergeCell ref="AD13:AH13"/>
    <mergeCell ref="AM13:AQ13"/>
    <mergeCell ref="L15:P15"/>
    <mergeCell ref="U12:Y12"/>
    <mergeCell ref="AD12:AH12"/>
    <mergeCell ref="AM12:AQ12"/>
    <mergeCell ref="L11:P11"/>
    <mergeCell ref="U11:Y11"/>
    <mergeCell ref="AD11:AH11"/>
    <mergeCell ref="AM11:AQ11"/>
    <mergeCell ref="L10:P10"/>
    <mergeCell ref="U10:Y10"/>
    <mergeCell ref="AD10:AH10"/>
    <mergeCell ref="AM10:AQ10"/>
    <mergeCell ref="L12:P12"/>
    <mergeCell ref="AD6:AH6"/>
    <mergeCell ref="AM6:AQ6"/>
    <mergeCell ref="CN5:CO5"/>
    <mergeCell ref="CP5:CQ5"/>
    <mergeCell ref="CR5:CS5"/>
    <mergeCell ref="CT5:CU5"/>
    <mergeCell ref="CV5:CW5"/>
    <mergeCell ref="L9:P9"/>
    <mergeCell ref="U9:Y9"/>
    <mergeCell ref="AD9:AH9"/>
    <mergeCell ref="AM9:AQ9"/>
    <mergeCell ref="L8:P8"/>
    <mergeCell ref="U8:Y8"/>
    <mergeCell ref="AD8:AH8"/>
    <mergeCell ref="AM8:AQ8"/>
    <mergeCell ref="L7:P7"/>
    <mergeCell ref="U7:Y7"/>
    <mergeCell ref="AD7:AH7"/>
    <mergeCell ref="AM7:AQ7"/>
    <mergeCell ref="K5:P5"/>
    <mergeCell ref="AC5:AH5"/>
    <mergeCell ref="AL5:AQ5"/>
    <mergeCell ref="CX5:CY5"/>
    <mergeCell ref="CH5:CI5"/>
    <mergeCell ref="CJ5:CK5"/>
    <mergeCell ref="CL5:CM5"/>
    <mergeCell ref="P3:Q3"/>
    <mergeCell ref="S3:U3"/>
    <mergeCell ref="V3:X3"/>
    <mergeCell ref="Y3:Z3"/>
    <mergeCell ref="T5:Y5"/>
    <mergeCell ref="C35:G35"/>
    <mergeCell ref="B37:H66"/>
    <mergeCell ref="C33:G33"/>
    <mergeCell ref="C34:G34"/>
    <mergeCell ref="C31:G31"/>
    <mergeCell ref="C32:G32"/>
    <mergeCell ref="C29:G29"/>
    <mergeCell ref="C30:G30"/>
    <mergeCell ref="C27:G27"/>
    <mergeCell ref="C28:G28"/>
    <mergeCell ref="C15:G15"/>
    <mergeCell ref="C16:G16"/>
    <mergeCell ref="C13:G13"/>
    <mergeCell ref="C14:G14"/>
    <mergeCell ref="C11:G11"/>
    <mergeCell ref="C12:G12"/>
    <mergeCell ref="C9:G9"/>
    <mergeCell ref="C10:G10"/>
    <mergeCell ref="C7:G7"/>
    <mergeCell ref="C8:G8"/>
    <mergeCell ref="C25:G25"/>
    <mergeCell ref="C26:G26"/>
    <mergeCell ref="C23:G23"/>
    <mergeCell ref="C24:G24"/>
    <mergeCell ref="C21:G21"/>
    <mergeCell ref="C22:G22"/>
    <mergeCell ref="C19:G19"/>
    <mergeCell ref="C20:G20"/>
    <mergeCell ref="C17:G17"/>
    <mergeCell ref="C18:G18"/>
    <mergeCell ref="B1:F1"/>
    <mergeCell ref="G1:K1"/>
    <mergeCell ref="L1:P1"/>
    <mergeCell ref="Q1:U1"/>
    <mergeCell ref="C6:G6"/>
    <mergeCell ref="G3:H3"/>
    <mergeCell ref="J3:L3"/>
    <mergeCell ref="B2:D3"/>
    <mergeCell ref="E3:F3"/>
    <mergeCell ref="M3:O3"/>
    <mergeCell ref="L6:P6"/>
    <mergeCell ref="U6:Y6"/>
    <mergeCell ref="B5:G5"/>
  </mergeCells>
  <hyperlinks>
    <hyperlink ref="B1:D1" location="LinkSpellsKnown" display="Back to Spellcasting" xr:uid="{00000000-0004-0000-0E00-000000000000}"/>
    <hyperlink ref="G1:I1" location="LinkSpellsKnown" display="Back to Spellcasting" xr:uid="{00000000-0004-0000-0E00-000001000000}"/>
    <hyperlink ref="G1:K1" location="SpellsKnownRanger" display="to Ranger Spells Known" xr:uid="{00000000-0004-0000-0E00-000002000000}"/>
    <hyperlink ref="L1:N1" location="LinkSpellsKnown" display="Back to Spellcasting" xr:uid="{00000000-0004-0000-0E00-000003000000}"/>
    <hyperlink ref="L1:P1" location="SheetSpellBook" display="to Wizard Spells Known" xr:uid="{00000000-0004-0000-0E00-000004000000}"/>
    <hyperlink ref="Q1:S1" location="LinkSpellsKnown" display="Back to Spellcasting" xr:uid="{00000000-0004-0000-0E00-000005000000}"/>
    <hyperlink ref="Q1:U1" location="SpellCastingIndex" display="to Spellcasting Index" xr:uid="{00000000-0004-0000-0E00-000006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9">
    <tabColor theme="4" tint="0.39997558519241921"/>
  </sheetPr>
  <dimension ref="A1:CX98"/>
  <sheetViews>
    <sheetView topLeftCell="A4" workbookViewId="0">
      <selection activeCell="AB4" sqref="AB4"/>
    </sheetView>
  </sheetViews>
  <sheetFormatPr defaultColWidth="4.7109375" defaultRowHeight="15" x14ac:dyDescent="0.25"/>
  <sheetData>
    <row r="1" spans="1:102" ht="17.25" thickTop="1" thickBot="1" x14ac:dyDescent="0.3">
      <c r="A1" s="120"/>
      <c r="B1" s="1049" t="s">
        <v>6626</v>
      </c>
      <c r="C1" s="1049"/>
      <c r="D1" s="1049"/>
      <c r="E1" s="1049"/>
      <c r="F1" s="1049"/>
      <c r="G1" s="1049" t="s">
        <v>6652</v>
      </c>
      <c r="H1" s="1049"/>
      <c r="I1" s="1049"/>
      <c r="J1" s="1049"/>
      <c r="K1" s="1049"/>
      <c r="L1" s="1049" t="s">
        <v>6648</v>
      </c>
      <c r="M1" s="1049"/>
      <c r="N1" s="1049"/>
      <c r="O1" s="1049"/>
      <c r="P1" s="1049"/>
      <c r="Q1" s="1049" t="s">
        <v>6657</v>
      </c>
      <c r="R1" s="1049"/>
      <c r="S1" s="1049"/>
      <c r="T1" s="1049"/>
      <c r="U1" s="1049"/>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row>
    <row r="2" spans="1:102" ht="15" customHeight="1" thickTop="1" x14ac:dyDescent="0.25">
      <c r="A2" s="120"/>
      <c r="B2" s="1068" t="s">
        <v>3188</v>
      </c>
      <c r="C2" s="1068"/>
      <c r="D2" s="1068"/>
      <c r="E2" s="1068"/>
      <c r="F2" s="1068"/>
      <c r="G2" s="1068"/>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row>
    <row r="3" spans="1:102" ht="15" customHeight="1" x14ac:dyDescent="0.25">
      <c r="A3" s="120"/>
      <c r="B3" s="1068"/>
      <c r="C3" s="1068"/>
      <c r="D3" s="1068"/>
      <c r="E3" s="1068"/>
      <c r="F3" s="1068"/>
      <c r="G3" s="1068"/>
      <c r="H3" s="575" t="s">
        <v>62</v>
      </c>
      <c r="I3" s="589"/>
      <c r="J3" s="563"/>
      <c r="K3" s="1052">
        <f>RogueLevel</f>
        <v>0</v>
      </c>
      <c r="L3" s="1052"/>
      <c r="M3" s="1052" t="s">
        <v>4536</v>
      </c>
      <c r="N3" s="1052"/>
      <c r="O3" s="1052"/>
      <c r="P3" s="1051">
        <f>ArcaneTricksterSpellsKnown</f>
        <v>0</v>
      </c>
      <c r="Q3" s="1051"/>
      <c r="R3" s="1051"/>
      <c r="S3" s="1051"/>
      <c r="T3" s="1052" t="s">
        <v>6383</v>
      </c>
      <c r="U3" s="1052"/>
      <c r="V3" s="1052"/>
      <c r="W3" s="1051">
        <f>ArcaneTricksterMaxSpellLevel</f>
        <v>0</v>
      </c>
      <c r="X3" s="1051"/>
      <c r="Y3" s="120"/>
      <c r="Z3" s="120"/>
      <c r="AA3" s="120"/>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120"/>
      <c r="BV3" s="120"/>
      <c r="BW3" s="120"/>
      <c r="BX3" s="120"/>
    </row>
    <row r="4" spans="1:102" x14ac:dyDescent="0.25">
      <c r="A4" s="120"/>
      <c r="B4" s="120"/>
      <c r="C4" s="120"/>
      <c r="D4" s="120"/>
      <c r="E4" s="120"/>
      <c r="F4" s="120"/>
      <c r="G4" s="120"/>
      <c r="H4" s="120"/>
      <c r="I4" s="120"/>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120"/>
      <c r="AT4" s="120"/>
      <c r="AU4" s="120"/>
      <c r="AV4" s="120"/>
      <c r="AW4" s="120"/>
      <c r="AX4" s="120"/>
      <c r="AY4" s="120"/>
      <c r="AZ4" s="120"/>
      <c r="BA4" s="120"/>
      <c r="BB4" s="120"/>
      <c r="BC4" s="120"/>
      <c r="BD4" s="120"/>
      <c r="BE4" s="120"/>
      <c r="BF4" s="120"/>
      <c r="BG4" s="120"/>
      <c r="BH4" s="120"/>
      <c r="BI4" s="120"/>
      <c r="BJ4" s="120"/>
      <c r="BK4" s="120"/>
      <c r="BL4" s="120"/>
      <c r="BM4" s="120"/>
      <c r="BN4" s="120"/>
      <c r="BO4" s="120"/>
      <c r="BP4" s="120"/>
      <c r="BQ4" s="120"/>
      <c r="BR4" s="120"/>
      <c r="BS4" s="120"/>
      <c r="BT4" s="120"/>
      <c r="BU4" s="120"/>
      <c r="BV4" s="120"/>
      <c r="BW4" s="120"/>
      <c r="BX4" s="120"/>
    </row>
    <row r="5" spans="1:102" x14ac:dyDescent="0.25">
      <c r="A5" s="120"/>
      <c r="B5" s="1052" t="s">
        <v>6359</v>
      </c>
      <c r="C5" s="1052"/>
      <c r="D5" s="1052"/>
      <c r="E5" s="1052"/>
      <c r="F5" s="1052"/>
      <c r="G5" s="1052"/>
      <c r="H5" s="565"/>
      <c r="I5" s="565"/>
      <c r="J5" s="565"/>
      <c r="K5" s="1052" t="s">
        <v>6277</v>
      </c>
      <c r="L5" s="1052"/>
      <c r="M5" s="1052"/>
      <c r="N5" s="1052"/>
      <c r="O5" s="1052"/>
      <c r="P5" s="1052"/>
      <c r="Q5" s="565"/>
      <c r="R5" s="565"/>
      <c r="S5" s="565"/>
      <c r="T5" s="1052" t="s">
        <v>6279</v>
      </c>
      <c r="U5" s="1052"/>
      <c r="V5" s="1052"/>
      <c r="W5" s="1052"/>
      <c r="X5" s="1052"/>
      <c r="Y5" s="1052"/>
      <c r="Z5" s="565"/>
      <c r="AA5" s="565"/>
      <c r="AB5" s="565"/>
      <c r="AC5" s="1052" t="s">
        <v>6280</v>
      </c>
      <c r="AD5" s="1052"/>
      <c r="AE5" s="1052"/>
      <c r="AF5" s="1052"/>
      <c r="AG5" s="1052"/>
      <c r="AH5" s="1052"/>
      <c r="AI5" s="565"/>
      <c r="AJ5" s="565"/>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CG5" s="1046">
        <v>1</v>
      </c>
      <c r="CH5" s="1046"/>
      <c r="CI5" s="1046">
        <v>2</v>
      </c>
      <c r="CJ5" s="1046"/>
      <c r="CK5" s="1046">
        <v>3</v>
      </c>
      <c r="CL5" s="1046"/>
      <c r="CM5" s="1046">
        <v>4</v>
      </c>
      <c r="CN5" s="1046"/>
      <c r="CO5" s="1046"/>
      <c r="CP5" s="1046"/>
      <c r="CQ5" s="1046"/>
      <c r="CR5" s="1046"/>
      <c r="CS5" s="1046"/>
      <c r="CT5" s="1046"/>
      <c r="CU5" s="1046"/>
      <c r="CV5" s="1046"/>
      <c r="CW5" s="1046"/>
      <c r="CX5" s="1046"/>
    </row>
    <row r="6" spans="1:102" x14ac:dyDescent="0.25">
      <c r="A6" s="120"/>
      <c r="B6" s="5">
        <v>1</v>
      </c>
      <c r="C6" s="1069" t="str">
        <f>IFERROR(INDEX($CE$6:$CE$18,MATCH(B6,$CH$6:$CH$18,0),1),"")</f>
        <v/>
      </c>
      <c r="D6" s="1069"/>
      <c r="E6" s="1069"/>
      <c r="F6" s="1069"/>
      <c r="G6" s="1069"/>
      <c r="H6" s="565"/>
      <c r="I6" s="565"/>
      <c r="J6" s="565" t="str">
        <f>IF(C6="","",C6&amp;", ")</f>
        <v/>
      </c>
      <c r="K6" s="5">
        <v>1</v>
      </c>
      <c r="L6" s="1069" t="str">
        <f t="shared" ref="L6:L35" si="0">IFERROR(INDEX($CE$6:$CE$18,MATCH(K6,$CJ$6:$CJ$18,0),1),"")</f>
        <v/>
      </c>
      <c r="M6" s="1069"/>
      <c r="N6" s="1069"/>
      <c r="O6" s="1069"/>
      <c r="P6" s="1069"/>
      <c r="Q6" s="565"/>
      <c r="R6" s="565"/>
      <c r="S6" s="565" t="str">
        <f>IF(L6="","",L6&amp;", ")</f>
        <v/>
      </c>
      <c r="T6" s="5">
        <v>1</v>
      </c>
      <c r="U6" s="1069" t="str">
        <f t="shared" ref="U6:U35" si="1">IFERROR(INDEX($CE$6:$CE$18,MATCH(T6,$CL$6:$CL$18,0),1),"")</f>
        <v/>
      </c>
      <c r="V6" s="1069"/>
      <c r="W6" s="1069"/>
      <c r="X6" s="1069"/>
      <c r="Y6" s="1069"/>
      <c r="Z6" s="565"/>
      <c r="AA6" s="565"/>
      <c r="AB6" s="565" t="str">
        <f>IF(U6="","",U6&amp;", ")</f>
        <v/>
      </c>
      <c r="AC6" s="5">
        <v>1</v>
      </c>
      <c r="AD6" s="1069" t="str">
        <f t="shared" ref="AD6:AD35" si="2">IFERROR(INDEX($CE$6:$CE$18,MATCH(AC6,$CN$6:$CN$18,0),1),"")</f>
        <v/>
      </c>
      <c r="AE6" s="1069"/>
      <c r="AF6" s="1069"/>
      <c r="AG6" s="1069"/>
      <c r="AH6" s="1069"/>
      <c r="AI6" s="565"/>
      <c r="AJ6" s="565" t="str">
        <f>IF(AD6="","",AD6&amp;", ")</f>
        <v/>
      </c>
      <c r="AK6" s="120"/>
      <c r="AL6" s="120"/>
      <c r="AM6" s="120"/>
      <c r="AN6" s="120"/>
      <c r="AO6" s="120"/>
      <c r="AP6" s="120"/>
      <c r="AQ6" s="120"/>
      <c r="AR6" s="120"/>
      <c r="AS6" s="120"/>
      <c r="AT6" s="120"/>
      <c r="AU6" s="120"/>
      <c r="AV6" s="120"/>
      <c r="AW6" s="120"/>
      <c r="AX6" s="120"/>
      <c r="AY6" s="120"/>
      <c r="AZ6" s="120"/>
      <c r="BA6" s="120"/>
      <c r="BB6" s="120"/>
      <c r="BC6" s="120"/>
      <c r="BD6" s="120"/>
      <c r="BE6" s="120"/>
      <c r="BF6" s="120"/>
      <c r="BG6" s="120"/>
      <c r="BH6" s="120"/>
      <c r="BI6" s="120"/>
      <c r="BJ6" s="120"/>
      <c r="BK6" s="120"/>
      <c r="BL6" s="120"/>
      <c r="BM6" s="120"/>
      <c r="BN6" s="120"/>
      <c r="BO6" s="120"/>
      <c r="BP6" s="120"/>
      <c r="BQ6" s="120"/>
      <c r="BR6" s="120"/>
      <c r="BS6" s="120"/>
      <c r="BT6" s="120"/>
      <c r="BU6" s="120"/>
      <c r="BV6" s="120"/>
      <c r="BW6" s="120"/>
      <c r="BX6" s="120"/>
      <c r="CA6">
        <v>1</v>
      </c>
      <c r="CB6" s="562" t="str">
        <f>IF(CA6&lt;=DruidMaxSpellLevel,"●","")</f>
        <v/>
      </c>
      <c r="CD6">
        <v>1</v>
      </c>
      <c r="CE6">
        <f>Character_Creation!Q341</f>
        <v>0</v>
      </c>
      <c r="CF6" t="str">
        <f>Character_Creation!U341</f>
        <v/>
      </c>
      <c r="CG6">
        <f>IF(AND($CE6&lt;&gt;0,$CE6&lt;&gt;""),1,0)*IF($CF6=1,1,0)</f>
        <v>0</v>
      </c>
      <c r="CH6">
        <f>IF(CG6=0,0,1)</f>
        <v>0</v>
      </c>
      <c r="CI6">
        <f>IF(AND($CE6&lt;&gt;0,$CE6&lt;&gt;""),1,0)*IF($CF6=2,1,0)</f>
        <v>0</v>
      </c>
      <c r="CJ6">
        <f>IF(CI6=0,0,1)</f>
        <v>0</v>
      </c>
      <c r="CK6">
        <f>IF(AND($CE6&lt;&gt;0,$CE6&lt;&gt;""),1,0)*IF($CF6=3,1,0)</f>
        <v>0</v>
      </c>
      <c r="CL6">
        <f>IF(CK6=0,0,1)</f>
        <v>0</v>
      </c>
      <c r="CM6">
        <f>IF(AND($CE6&lt;&gt;0,$CE6&lt;&gt;""),1,0)*IF($CF6=4,1,0)</f>
        <v>0</v>
      </c>
      <c r="CN6">
        <f>IF(CM6=0,0,1)</f>
        <v>0</v>
      </c>
    </row>
    <row r="7" spans="1:102" x14ac:dyDescent="0.25">
      <c r="A7" s="120"/>
      <c r="B7" s="5">
        <v>2</v>
      </c>
      <c r="C7" s="1069" t="str">
        <f t="shared" ref="C7:C35" si="3">IFERROR(INDEX($CE$6:$CE$18,MATCH(B7,$CH$6:$CH$18,0),1),"")</f>
        <v/>
      </c>
      <c r="D7" s="1069"/>
      <c r="E7" s="1069"/>
      <c r="F7" s="1069"/>
      <c r="G7" s="1069"/>
      <c r="H7" s="565"/>
      <c r="I7" s="565"/>
      <c r="J7" s="565" t="str">
        <f t="shared" ref="J7:J35" si="4">IF(C7="","",C7&amp;", ")</f>
        <v/>
      </c>
      <c r="K7" s="5">
        <v>2</v>
      </c>
      <c r="L7" s="1069" t="str">
        <f t="shared" si="0"/>
        <v/>
      </c>
      <c r="M7" s="1069"/>
      <c r="N7" s="1069"/>
      <c r="O7" s="1069"/>
      <c r="P7" s="1069"/>
      <c r="Q7" s="565"/>
      <c r="R7" s="565"/>
      <c r="S7" s="565" t="str">
        <f t="shared" ref="S7:S35" si="5">IF(L7="","",L7&amp;", ")</f>
        <v/>
      </c>
      <c r="T7" s="5">
        <v>2</v>
      </c>
      <c r="U7" s="1069" t="str">
        <f t="shared" si="1"/>
        <v/>
      </c>
      <c r="V7" s="1069"/>
      <c r="W7" s="1069"/>
      <c r="X7" s="1069"/>
      <c r="Y7" s="1069"/>
      <c r="Z7" s="565"/>
      <c r="AA7" s="565"/>
      <c r="AB7" s="565" t="str">
        <f t="shared" ref="AB7:AB35" si="6">IF(U7="","",U7&amp;", ")</f>
        <v/>
      </c>
      <c r="AC7" s="5">
        <v>2</v>
      </c>
      <c r="AD7" s="1069" t="str">
        <f t="shared" si="2"/>
        <v/>
      </c>
      <c r="AE7" s="1069"/>
      <c r="AF7" s="1069"/>
      <c r="AG7" s="1069"/>
      <c r="AH7" s="1069"/>
      <c r="AI7" s="565"/>
      <c r="AJ7" s="565" t="str">
        <f t="shared" ref="AJ7:AJ35" si="7">IF(AD7="","",AD7&amp;", ")</f>
        <v/>
      </c>
      <c r="AK7" s="120"/>
      <c r="AL7" s="120"/>
      <c r="AM7" s="120"/>
      <c r="AN7" s="120"/>
      <c r="AO7" s="120"/>
      <c r="AP7" s="120"/>
      <c r="AQ7" s="120"/>
      <c r="AR7" s="120"/>
      <c r="AS7" s="120"/>
      <c r="AT7" s="120"/>
      <c r="AU7" s="120"/>
      <c r="AV7" s="120"/>
      <c r="AW7" s="120"/>
      <c r="AX7" s="120"/>
      <c r="AY7" s="120"/>
      <c r="AZ7" s="120"/>
      <c r="BA7" s="120"/>
      <c r="BB7" s="120"/>
      <c r="BC7" s="120"/>
      <c r="BD7" s="120"/>
      <c r="BE7" s="120"/>
      <c r="BF7" s="120"/>
      <c r="BG7" s="120"/>
      <c r="BH7" s="120"/>
      <c r="BI7" s="120"/>
      <c r="BJ7" s="120"/>
      <c r="BK7" s="120"/>
      <c r="BL7" s="120"/>
      <c r="BM7" s="120"/>
      <c r="BN7" s="120"/>
      <c r="BO7" s="120"/>
      <c r="BP7" s="120"/>
      <c r="BQ7" s="120"/>
      <c r="BR7" s="120"/>
      <c r="BS7" s="120"/>
      <c r="BT7" s="120"/>
      <c r="BU7" s="120"/>
      <c r="BV7" s="120"/>
      <c r="BW7" s="120"/>
      <c r="BX7" s="120"/>
      <c r="CA7">
        <v>2</v>
      </c>
      <c r="CB7" s="562" t="str">
        <f>IF(CA7&lt;=DruidMaxSpellLevel,"●","")</f>
        <v/>
      </c>
      <c r="CD7">
        <v>2</v>
      </c>
      <c r="CE7">
        <f>Character_Creation!Q342</f>
        <v>0</v>
      </c>
      <c r="CF7" t="str">
        <f>Character_Creation!U342</f>
        <v/>
      </c>
      <c r="CG7">
        <f t="shared" ref="CG7:CG18" si="8">IF(AND($CE7&lt;&gt;0,$CE7&lt;&gt;""),1,0)*IF($CF7=1,1,0)</f>
        <v>0</v>
      </c>
      <c r="CH7">
        <f>IF(CG7=0,0,1+COUNTIF(CH6:CH$6,"&gt;0"))</f>
        <v>0</v>
      </c>
      <c r="CI7">
        <f t="shared" ref="CI7:CI18" si="9">IF(AND($CE7&lt;&gt;0,$CE7&lt;&gt;""),1,0)*IF($CF7=2,1,0)</f>
        <v>0</v>
      </c>
      <c r="CJ7">
        <f>IF(CI7=0,0,1+COUNTIF(CJ6:CJ$6,"&gt;0"))</f>
        <v>0</v>
      </c>
      <c r="CK7">
        <f t="shared" ref="CK7:CK18" si="10">IF(AND($CE7&lt;&gt;0,$CE7&lt;&gt;""),1,0)*IF($CF7=3,1,0)</f>
        <v>0</v>
      </c>
      <c r="CL7">
        <f>IF(CK7=0,0,1+COUNTIF(CL6:CL$6,"&gt;0"))</f>
        <v>0</v>
      </c>
      <c r="CM7">
        <f t="shared" ref="CM7:CM18" si="11">IF(AND($CE7&lt;&gt;0,$CE7&lt;&gt;""),1,0)*IF($CF7=4,1,0)</f>
        <v>0</v>
      </c>
      <c r="CN7">
        <f>IF(CM7=0,0,1+COUNTIF(CN6:CN$6,"&gt;0"))</f>
        <v>0</v>
      </c>
    </row>
    <row r="8" spans="1:102" x14ac:dyDescent="0.25">
      <c r="A8" s="120"/>
      <c r="B8" s="5">
        <v>3</v>
      </c>
      <c r="C8" s="1069" t="str">
        <f t="shared" si="3"/>
        <v/>
      </c>
      <c r="D8" s="1069"/>
      <c r="E8" s="1069"/>
      <c r="F8" s="1069"/>
      <c r="G8" s="1069"/>
      <c r="H8" s="565"/>
      <c r="I8" s="565"/>
      <c r="J8" s="565" t="str">
        <f t="shared" si="4"/>
        <v/>
      </c>
      <c r="K8" s="5">
        <v>3</v>
      </c>
      <c r="L8" s="1069" t="str">
        <f t="shared" si="0"/>
        <v/>
      </c>
      <c r="M8" s="1069"/>
      <c r="N8" s="1069"/>
      <c r="O8" s="1069"/>
      <c r="P8" s="1069"/>
      <c r="Q8" s="565"/>
      <c r="R8" s="565"/>
      <c r="S8" s="565" t="str">
        <f t="shared" si="5"/>
        <v/>
      </c>
      <c r="T8" s="5">
        <v>3</v>
      </c>
      <c r="U8" s="1069" t="str">
        <f t="shared" si="1"/>
        <v/>
      </c>
      <c r="V8" s="1069"/>
      <c r="W8" s="1069"/>
      <c r="X8" s="1069"/>
      <c r="Y8" s="1069"/>
      <c r="Z8" s="565"/>
      <c r="AA8" s="565"/>
      <c r="AB8" s="565" t="str">
        <f t="shared" si="6"/>
        <v/>
      </c>
      <c r="AC8" s="5">
        <v>3</v>
      </c>
      <c r="AD8" s="1069" t="str">
        <f t="shared" si="2"/>
        <v/>
      </c>
      <c r="AE8" s="1069"/>
      <c r="AF8" s="1069"/>
      <c r="AG8" s="1069"/>
      <c r="AH8" s="1069"/>
      <c r="AI8" s="565"/>
      <c r="AJ8" s="565" t="str">
        <f t="shared" si="7"/>
        <v/>
      </c>
      <c r="AK8" s="120"/>
      <c r="AL8" s="120"/>
      <c r="AM8" s="120"/>
      <c r="AN8" s="120"/>
      <c r="AO8" s="120"/>
      <c r="AP8" s="120"/>
      <c r="AQ8" s="120"/>
      <c r="AR8" s="120"/>
      <c r="AS8" s="120"/>
      <c r="AT8" s="120"/>
      <c r="AU8" s="120"/>
      <c r="AV8" s="120"/>
      <c r="AW8" s="120"/>
      <c r="AX8" s="120"/>
      <c r="AY8" s="120"/>
      <c r="AZ8" s="120"/>
      <c r="BA8" s="120"/>
      <c r="BB8" s="120"/>
      <c r="BC8" s="120"/>
      <c r="BD8" s="120"/>
      <c r="BE8" s="120"/>
      <c r="BF8" s="120"/>
      <c r="BG8" s="120"/>
      <c r="BH8" s="120"/>
      <c r="BI8" s="120"/>
      <c r="BJ8" s="120"/>
      <c r="BK8" s="120"/>
      <c r="BL8" s="120"/>
      <c r="BM8" s="120"/>
      <c r="BN8" s="120"/>
      <c r="BO8" s="120"/>
      <c r="BP8" s="120"/>
      <c r="BQ8" s="120"/>
      <c r="BR8" s="120"/>
      <c r="BS8" s="120"/>
      <c r="BT8" s="120"/>
      <c r="BU8" s="120"/>
      <c r="BV8" s="120"/>
      <c r="BW8" s="120"/>
      <c r="BX8" s="120"/>
      <c r="CA8">
        <v>3</v>
      </c>
      <c r="CB8" s="562" t="str">
        <f>IF(CA8&lt;=DruidMaxSpellLevel,"●","")</f>
        <v/>
      </c>
      <c r="CD8">
        <v>3</v>
      </c>
      <c r="CE8">
        <f>Character_Creation!Q343</f>
        <v>0</v>
      </c>
      <c r="CF8" t="str">
        <f>Character_Creation!U343</f>
        <v/>
      </c>
      <c r="CG8">
        <f t="shared" si="8"/>
        <v>0</v>
      </c>
      <c r="CH8">
        <f>IF(CG8=0,0,1+COUNTIF(CH$6:CH7,"&gt;0"))</f>
        <v>0</v>
      </c>
      <c r="CI8">
        <f t="shared" si="9"/>
        <v>0</v>
      </c>
      <c r="CJ8">
        <f>IF(CI8=0,0,1+COUNTIF(CJ$6:CJ7,"&gt;0"))</f>
        <v>0</v>
      </c>
      <c r="CK8">
        <f t="shared" si="10"/>
        <v>0</v>
      </c>
      <c r="CL8">
        <f>IF(CK8=0,0,1+COUNTIF(CL$6:CL7,"&gt;0"))</f>
        <v>0</v>
      </c>
      <c r="CM8">
        <f t="shared" si="11"/>
        <v>0</v>
      </c>
      <c r="CN8">
        <f>IF(CM8=0,0,1+COUNTIF(CN$6:CN7,"&gt;0"))</f>
        <v>0</v>
      </c>
    </row>
    <row r="9" spans="1:102" x14ac:dyDescent="0.25">
      <c r="A9" s="120"/>
      <c r="B9" s="5">
        <v>4</v>
      </c>
      <c r="C9" s="1069" t="str">
        <f>IFERROR(INDEX($CE$6:$CE$18,MATCH(B9,$CH$6:$CH$18,0),1),"")</f>
        <v/>
      </c>
      <c r="D9" s="1069"/>
      <c r="E9" s="1069"/>
      <c r="F9" s="1069"/>
      <c r="G9" s="1069"/>
      <c r="H9" s="565"/>
      <c r="I9" s="565"/>
      <c r="J9" s="565" t="str">
        <f t="shared" si="4"/>
        <v/>
      </c>
      <c r="K9" s="5">
        <v>4</v>
      </c>
      <c r="L9" s="1069" t="str">
        <f t="shared" si="0"/>
        <v/>
      </c>
      <c r="M9" s="1069"/>
      <c r="N9" s="1069"/>
      <c r="O9" s="1069"/>
      <c r="P9" s="1069"/>
      <c r="Q9" s="565"/>
      <c r="R9" s="565"/>
      <c r="S9" s="565" t="str">
        <f t="shared" si="5"/>
        <v/>
      </c>
      <c r="T9" s="5">
        <v>4</v>
      </c>
      <c r="U9" s="1069" t="str">
        <f t="shared" si="1"/>
        <v/>
      </c>
      <c r="V9" s="1069"/>
      <c r="W9" s="1069"/>
      <c r="X9" s="1069"/>
      <c r="Y9" s="1069"/>
      <c r="Z9" s="565"/>
      <c r="AA9" s="565"/>
      <c r="AB9" s="565" t="str">
        <f t="shared" si="6"/>
        <v/>
      </c>
      <c r="AC9" s="5">
        <v>4</v>
      </c>
      <c r="AD9" s="1069" t="str">
        <f t="shared" si="2"/>
        <v/>
      </c>
      <c r="AE9" s="1069"/>
      <c r="AF9" s="1069"/>
      <c r="AG9" s="1069"/>
      <c r="AH9" s="1069"/>
      <c r="AI9" s="565"/>
      <c r="AJ9" s="565" t="str">
        <f t="shared" si="7"/>
        <v/>
      </c>
      <c r="AK9" s="120"/>
      <c r="AL9" s="120"/>
      <c r="AM9" s="120"/>
      <c r="AN9" s="120"/>
      <c r="AO9" s="120"/>
      <c r="AP9" s="120"/>
      <c r="AQ9" s="120"/>
      <c r="AR9" s="120"/>
      <c r="AS9" s="120"/>
      <c r="AT9" s="120"/>
      <c r="AU9" s="120"/>
      <c r="AV9" s="120"/>
      <c r="AW9" s="120"/>
      <c r="AX9" s="120"/>
      <c r="AY9" s="120"/>
      <c r="AZ9" s="120"/>
      <c r="BA9" s="120"/>
      <c r="BB9" s="120"/>
      <c r="BC9" s="120"/>
      <c r="BD9" s="120"/>
      <c r="BE9" s="120"/>
      <c r="BF9" s="120"/>
      <c r="BG9" s="120"/>
      <c r="BH9" s="120"/>
      <c r="BI9" s="120"/>
      <c r="BJ9" s="120"/>
      <c r="BK9" s="120"/>
      <c r="BL9" s="120"/>
      <c r="BM9" s="120"/>
      <c r="BN9" s="120"/>
      <c r="BO9" s="120"/>
      <c r="BP9" s="120"/>
      <c r="BQ9" s="120"/>
      <c r="BR9" s="120"/>
      <c r="BS9" s="120"/>
      <c r="BT9" s="120"/>
      <c r="BU9" s="120"/>
      <c r="BV9" s="120"/>
      <c r="BW9" s="120"/>
      <c r="BX9" s="120"/>
      <c r="CA9">
        <v>4</v>
      </c>
      <c r="CB9" s="562" t="str">
        <f>IF(CA9&lt;=DruidMaxSpellLevel,"●","")</f>
        <v/>
      </c>
      <c r="CD9">
        <v>4</v>
      </c>
      <c r="CE9">
        <f>Character_Creation!Q344</f>
        <v>0</v>
      </c>
      <c r="CF9" t="str">
        <f>Character_Creation!U344</f>
        <v/>
      </c>
      <c r="CG9">
        <f t="shared" si="8"/>
        <v>0</v>
      </c>
      <c r="CH9">
        <f>IF(CG9=0,0,1+COUNTIF(CH$6:CH8,"&gt;0"))</f>
        <v>0</v>
      </c>
      <c r="CI9">
        <f t="shared" si="9"/>
        <v>0</v>
      </c>
      <c r="CJ9">
        <f>IF(CI9=0,0,1+COUNTIF(CJ$6:CJ8,"&gt;0"))</f>
        <v>0</v>
      </c>
      <c r="CK9">
        <f t="shared" si="10"/>
        <v>0</v>
      </c>
      <c r="CL9">
        <f>IF(CK9=0,0,1+COUNTIF(CL$6:CL8,"&gt;0"))</f>
        <v>0</v>
      </c>
      <c r="CM9">
        <f t="shared" si="11"/>
        <v>0</v>
      </c>
      <c r="CN9">
        <f>IF(CM9=0,0,1+COUNTIF(CN$6:CN8,"&gt;0"))</f>
        <v>0</v>
      </c>
    </row>
    <row r="10" spans="1:102" x14ac:dyDescent="0.25">
      <c r="A10" s="120"/>
      <c r="B10" s="5">
        <v>5</v>
      </c>
      <c r="C10" s="1069" t="str">
        <f t="shared" si="3"/>
        <v/>
      </c>
      <c r="D10" s="1069"/>
      <c r="E10" s="1069"/>
      <c r="F10" s="1069"/>
      <c r="G10" s="1069"/>
      <c r="H10" s="565"/>
      <c r="I10" s="565"/>
      <c r="J10" s="565" t="str">
        <f t="shared" si="4"/>
        <v/>
      </c>
      <c r="K10" s="5">
        <v>5</v>
      </c>
      <c r="L10" s="1069" t="str">
        <f t="shared" si="0"/>
        <v/>
      </c>
      <c r="M10" s="1069"/>
      <c r="N10" s="1069"/>
      <c r="O10" s="1069"/>
      <c r="P10" s="1069"/>
      <c r="Q10" s="565"/>
      <c r="R10" s="565"/>
      <c r="S10" s="565" t="str">
        <f t="shared" si="5"/>
        <v/>
      </c>
      <c r="T10" s="5">
        <v>5</v>
      </c>
      <c r="U10" s="1069" t="str">
        <f t="shared" si="1"/>
        <v/>
      </c>
      <c r="V10" s="1069"/>
      <c r="W10" s="1069"/>
      <c r="X10" s="1069"/>
      <c r="Y10" s="1069"/>
      <c r="Z10" s="565"/>
      <c r="AA10" s="565"/>
      <c r="AB10" s="565" t="str">
        <f t="shared" si="6"/>
        <v/>
      </c>
      <c r="AC10" s="5">
        <v>5</v>
      </c>
      <c r="AD10" s="1069" t="str">
        <f t="shared" si="2"/>
        <v/>
      </c>
      <c r="AE10" s="1069"/>
      <c r="AF10" s="1069"/>
      <c r="AG10" s="1069"/>
      <c r="AH10" s="1069"/>
      <c r="AI10" s="565"/>
      <c r="AJ10" s="565" t="str">
        <f t="shared" si="7"/>
        <v/>
      </c>
      <c r="AK10" s="120"/>
      <c r="AL10" s="120"/>
      <c r="AM10" s="120"/>
      <c r="AN10" s="120"/>
      <c r="AO10" s="120"/>
      <c r="AP10" s="120"/>
      <c r="AQ10" s="120"/>
      <c r="AR10" s="120"/>
      <c r="AS10" s="120"/>
      <c r="AT10" s="120"/>
      <c r="AU10" s="120"/>
      <c r="AV10" s="120"/>
      <c r="AW10" s="120"/>
      <c r="AX10" s="120"/>
      <c r="AY10" s="120"/>
      <c r="AZ10" s="120"/>
      <c r="BA10" s="120"/>
      <c r="BB10" s="120"/>
      <c r="BC10" s="120"/>
      <c r="BD10" s="120"/>
      <c r="BE10" s="120"/>
      <c r="BF10" s="120"/>
      <c r="BG10" s="120"/>
      <c r="BH10" s="120"/>
      <c r="BI10" s="120"/>
      <c r="BJ10" s="120"/>
      <c r="BK10" s="120"/>
      <c r="BL10" s="120"/>
      <c r="BM10" s="120"/>
      <c r="BN10" s="120"/>
      <c r="BO10" s="120"/>
      <c r="BP10" s="120"/>
      <c r="BQ10" s="120"/>
      <c r="BR10" s="120"/>
      <c r="BS10" s="120"/>
      <c r="BT10" s="120"/>
      <c r="BU10" s="120"/>
      <c r="BV10" s="120"/>
      <c r="BW10" s="120"/>
      <c r="BX10" s="120"/>
      <c r="CB10" s="562"/>
      <c r="CD10">
        <v>5</v>
      </c>
      <c r="CE10">
        <f>Character_Creation!Q345</f>
        <v>0</v>
      </c>
      <c r="CF10" t="str">
        <f>Character_Creation!U345</f>
        <v/>
      </c>
      <c r="CG10">
        <f t="shared" si="8"/>
        <v>0</v>
      </c>
      <c r="CH10">
        <f>IF(CG10=0,0,1+COUNTIF(CH$6:CH9,"&gt;0"))</f>
        <v>0</v>
      </c>
      <c r="CI10">
        <f t="shared" si="9"/>
        <v>0</v>
      </c>
      <c r="CJ10">
        <f>IF(CI10=0,0,1+COUNTIF(CJ$6:CJ9,"&gt;0"))</f>
        <v>0</v>
      </c>
      <c r="CK10">
        <f t="shared" si="10"/>
        <v>0</v>
      </c>
      <c r="CL10">
        <f>IF(CK10=0,0,1+COUNTIF(CL$6:CL9,"&gt;0"))</f>
        <v>0</v>
      </c>
      <c r="CM10">
        <f t="shared" si="11"/>
        <v>0</v>
      </c>
      <c r="CN10">
        <f>IF(CM10=0,0,1+COUNTIF(CN$6:CN9,"&gt;0"))</f>
        <v>0</v>
      </c>
    </row>
    <row r="11" spans="1:102" x14ac:dyDescent="0.25">
      <c r="A11" s="120"/>
      <c r="B11" s="5">
        <v>6</v>
      </c>
      <c r="C11" s="1069" t="str">
        <f t="shared" si="3"/>
        <v/>
      </c>
      <c r="D11" s="1069"/>
      <c r="E11" s="1069"/>
      <c r="F11" s="1069"/>
      <c r="G11" s="1069"/>
      <c r="H11" s="565"/>
      <c r="I11" s="565"/>
      <c r="J11" s="565" t="str">
        <f t="shared" si="4"/>
        <v/>
      </c>
      <c r="K11" s="5">
        <v>6</v>
      </c>
      <c r="L11" s="1069" t="str">
        <f t="shared" si="0"/>
        <v/>
      </c>
      <c r="M11" s="1069"/>
      <c r="N11" s="1069"/>
      <c r="O11" s="1069"/>
      <c r="P11" s="1069"/>
      <c r="Q11" s="565"/>
      <c r="R11" s="565"/>
      <c r="S11" s="565" t="str">
        <f t="shared" si="5"/>
        <v/>
      </c>
      <c r="T11" s="5">
        <v>6</v>
      </c>
      <c r="U11" s="1069" t="str">
        <f t="shared" si="1"/>
        <v/>
      </c>
      <c r="V11" s="1069"/>
      <c r="W11" s="1069"/>
      <c r="X11" s="1069"/>
      <c r="Y11" s="1069"/>
      <c r="Z11" s="565"/>
      <c r="AA11" s="565"/>
      <c r="AB11" s="565" t="str">
        <f t="shared" si="6"/>
        <v/>
      </c>
      <c r="AC11" s="5">
        <v>6</v>
      </c>
      <c r="AD11" s="1069" t="str">
        <f t="shared" si="2"/>
        <v/>
      </c>
      <c r="AE11" s="1069"/>
      <c r="AF11" s="1069"/>
      <c r="AG11" s="1069"/>
      <c r="AH11" s="1069"/>
      <c r="AI11" s="565"/>
      <c r="AJ11" s="565" t="str">
        <f t="shared" si="7"/>
        <v/>
      </c>
      <c r="AK11" s="120"/>
      <c r="AL11" s="120"/>
      <c r="AM11" s="120"/>
      <c r="AN11" s="120"/>
      <c r="AO11" s="120"/>
      <c r="AP11" s="120"/>
      <c r="AQ11" s="120"/>
      <c r="AR11" s="120"/>
      <c r="AS11" s="120"/>
      <c r="AT11" s="120"/>
      <c r="AU11" s="120"/>
      <c r="AV11" s="120"/>
      <c r="AW11" s="120"/>
      <c r="AX11" s="120"/>
      <c r="AY11" s="120"/>
      <c r="AZ11" s="120"/>
      <c r="BA11" s="120"/>
      <c r="BB11" s="120"/>
      <c r="BC11" s="120"/>
      <c r="BD11" s="120"/>
      <c r="BE11" s="120"/>
      <c r="BF11" s="120"/>
      <c r="BG11" s="120"/>
      <c r="BH11" s="120"/>
      <c r="BI11" s="120"/>
      <c r="BJ11" s="120"/>
      <c r="BK11" s="120"/>
      <c r="BL11" s="120"/>
      <c r="BM11" s="120"/>
      <c r="BN11" s="120"/>
      <c r="BO11" s="120"/>
      <c r="BP11" s="120"/>
      <c r="BQ11" s="120"/>
      <c r="BR11" s="120"/>
      <c r="BS11" s="120"/>
      <c r="BT11" s="120"/>
      <c r="BU11" s="120"/>
      <c r="BV11" s="120"/>
      <c r="BW11" s="120"/>
      <c r="BX11" s="120"/>
      <c r="CB11" s="562"/>
      <c r="CD11">
        <v>6</v>
      </c>
      <c r="CE11">
        <f>Character_Creation!Q346</f>
        <v>0</v>
      </c>
      <c r="CF11" t="str">
        <f>Character_Creation!U346</f>
        <v/>
      </c>
      <c r="CG11">
        <f t="shared" si="8"/>
        <v>0</v>
      </c>
      <c r="CH11">
        <f>IF(CG11=0,0,1+COUNTIF(CH$6:CH10,"&gt;0"))</f>
        <v>0</v>
      </c>
      <c r="CI11">
        <f t="shared" si="9"/>
        <v>0</v>
      </c>
      <c r="CJ11">
        <f>IF(CI11=0,0,1+COUNTIF(CJ$6:CJ10,"&gt;0"))</f>
        <v>0</v>
      </c>
      <c r="CK11">
        <f t="shared" si="10"/>
        <v>0</v>
      </c>
      <c r="CL11">
        <f>IF(CK11=0,0,1+COUNTIF(CL$6:CL10,"&gt;0"))</f>
        <v>0</v>
      </c>
      <c r="CM11">
        <f t="shared" si="11"/>
        <v>0</v>
      </c>
      <c r="CN11">
        <f>IF(CM11=0,0,1+COUNTIF(CN$6:CN10,"&gt;0"))</f>
        <v>0</v>
      </c>
    </row>
    <row r="12" spans="1:102" x14ac:dyDescent="0.25">
      <c r="A12" s="120"/>
      <c r="B12" s="5">
        <v>7</v>
      </c>
      <c r="C12" s="1069" t="str">
        <f>IFERROR(INDEX($CE$6:$CE$18,MATCH(B12,$CH$6:$CH$18,0),1),"")</f>
        <v/>
      </c>
      <c r="D12" s="1069"/>
      <c r="E12" s="1069"/>
      <c r="F12" s="1069"/>
      <c r="G12" s="1069"/>
      <c r="H12" s="565"/>
      <c r="I12" s="565"/>
      <c r="J12" s="565" t="str">
        <f t="shared" si="4"/>
        <v/>
      </c>
      <c r="K12" s="5">
        <v>7</v>
      </c>
      <c r="L12" s="1069" t="str">
        <f t="shared" si="0"/>
        <v/>
      </c>
      <c r="M12" s="1069"/>
      <c r="N12" s="1069"/>
      <c r="O12" s="1069"/>
      <c r="P12" s="1069"/>
      <c r="Q12" s="565"/>
      <c r="R12" s="565"/>
      <c r="S12" s="565" t="str">
        <f t="shared" si="5"/>
        <v/>
      </c>
      <c r="T12" s="5">
        <v>7</v>
      </c>
      <c r="U12" s="1069" t="str">
        <f t="shared" si="1"/>
        <v/>
      </c>
      <c r="V12" s="1069"/>
      <c r="W12" s="1069"/>
      <c r="X12" s="1069"/>
      <c r="Y12" s="1069"/>
      <c r="Z12" s="565"/>
      <c r="AA12" s="565"/>
      <c r="AB12" s="565" t="str">
        <f t="shared" si="6"/>
        <v/>
      </c>
      <c r="AC12" s="5">
        <v>7</v>
      </c>
      <c r="AD12" s="1069" t="str">
        <f t="shared" si="2"/>
        <v/>
      </c>
      <c r="AE12" s="1069"/>
      <c r="AF12" s="1069"/>
      <c r="AG12" s="1069"/>
      <c r="AH12" s="1069"/>
      <c r="AI12" s="565"/>
      <c r="AJ12" s="565" t="str">
        <f t="shared" si="7"/>
        <v/>
      </c>
      <c r="AK12" s="120"/>
      <c r="AL12" s="120"/>
      <c r="AM12" s="120"/>
      <c r="AN12" s="120"/>
      <c r="AO12" s="120"/>
      <c r="AP12" s="120"/>
      <c r="AQ12" s="120"/>
      <c r="AR12" s="120"/>
      <c r="AS12" s="120"/>
      <c r="AT12" s="120"/>
      <c r="AU12" s="120"/>
      <c r="AV12" s="120"/>
      <c r="AW12" s="120"/>
      <c r="AX12" s="120"/>
      <c r="AY12" s="120"/>
      <c r="AZ12" s="120"/>
      <c r="BA12" s="120"/>
      <c r="BB12" s="120"/>
      <c r="BC12" s="120"/>
      <c r="BD12" s="120"/>
      <c r="BE12" s="120"/>
      <c r="BF12" s="120"/>
      <c r="BG12" s="120"/>
      <c r="BH12" s="120"/>
      <c r="BI12" s="120"/>
      <c r="BJ12" s="120"/>
      <c r="BK12" s="120"/>
      <c r="BL12" s="120"/>
      <c r="BM12" s="120"/>
      <c r="BN12" s="120"/>
      <c r="BO12" s="120"/>
      <c r="BP12" s="120"/>
      <c r="BQ12" s="120"/>
      <c r="BR12" s="120"/>
      <c r="BS12" s="120"/>
      <c r="BT12" s="120"/>
      <c r="BU12" s="120"/>
      <c r="BV12" s="120"/>
      <c r="BW12" s="120"/>
      <c r="BX12" s="120"/>
      <c r="CB12" s="562"/>
      <c r="CD12">
        <v>7</v>
      </c>
      <c r="CE12">
        <f>Character_Creation!Q347</f>
        <v>0</v>
      </c>
      <c r="CF12" t="str">
        <f>Character_Creation!U347</f>
        <v/>
      </c>
      <c r="CG12">
        <f t="shared" si="8"/>
        <v>0</v>
      </c>
      <c r="CH12">
        <f>IF(CG12=0,0,1+COUNTIF(CH$6:CH11,"&gt;0"))</f>
        <v>0</v>
      </c>
      <c r="CI12">
        <f t="shared" si="9"/>
        <v>0</v>
      </c>
      <c r="CJ12">
        <f>IF(CI12=0,0,1+COUNTIF(CJ$6:CJ11,"&gt;0"))</f>
        <v>0</v>
      </c>
      <c r="CK12">
        <f t="shared" si="10"/>
        <v>0</v>
      </c>
      <c r="CL12">
        <f>IF(CK12=0,0,1+COUNTIF(CL$6:CL11,"&gt;0"))</f>
        <v>0</v>
      </c>
      <c r="CM12">
        <f t="shared" si="11"/>
        <v>0</v>
      </c>
      <c r="CN12">
        <f>IF(CM12=0,0,1+COUNTIF(CN$6:CN11,"&gt;0"))</f>
        <v>0</v>
      </c>
    </row>
    <row r="13" spans="1:102" x14ac:dyDescent="0.25">
      <c r="A13" s="120"/>
      <c r="B13" s="5">
        <v>8</v>
      </c>
      <c r="C13" s="1069" t="str">
        <f t="shared" si="3"/>
        <v/>
      </c>
      <c r="D13" s="1069"/>
      <c r="E13" s="1069"/>
      <c r="F13" s="1069"/>
      <c r="G13" s="1069"/>
      <c r="H13" s="565"/>
      <c r="I13" s="565"/>
      <c r="J13" s="565" t="str">
        <f t="shared" si="4"/>
        <v/>
      </c>
      <c r="K13" s="5">
        <v>8</v>
      </c>
      <c r="L13" s="1069" t="str">
        <f t="shared" si="0"/>
        <v/>
      </c>
      <c r="M13" s="1069"/>
      <c r="N13" s="1069"/>
      <c r="O13" s="1069"/>
      <c r="P13" s="1069"/>
      <c r="Q13" s="565"/>
      <c r="R13" s="565"/>
      <c r="S13" s="565" t="str">
        <f t="shared" si="5"/>
        <v/>
      </c>
      <c r="T13" s="5">
        <v>8</v>
      </c>
      <c r="U13" s="1069" t="str">
        <f t="shared" si="1"/>
        <v/>
      </c>
      <c r="V13" s="1069"/>
      <c r="W13" s="1069"/>
      <c r="X13" s="1069"/>
      <c r="Y13" s="1069"/>
      <c r="Z13" s="565"/>
      <c r="AA13" s="565"/>
      <c r="AB13" s="565" t="str">
        <f t="shared" si="6"/>
        <v/>
      </c>
      <c r="AC13" s="5">
        <v>8</v>
      </c>
      <c r="AD13" s="1069" t="str">
        <f t="shared" si="2"/>
        <v/>
      </c>
      <c r="AE13" s="1069"/>
      <c r="AF13" s="1069"/>
      <c r="AG13" s="1069"/>
      <c r="AH13" s="1069"/>
      <c r="AI13" s="565"/>
      <c r="AJ13" s="565" t="str">
        <f t="shared" si="7"/>
        <v/>
      </c>
      <c r="AK13" s="120"/>
      <c r="AL13" s="120"/>
      <c r="AM13" s="120"/>
      <c r="AN13" s="120"/>
      <c r="AO13" s="120"/>
      <c r="AP13" s="120"/>
      <c r="AQ13" s="120"/>
      <c r="AR13" s="120"/>
      <c r="AS13" s="120"/>
      <c r="AT13" s="120"/>
      <c r="AU13" s="120"/>
      <c r="AV13" s="120"/>
      <c r="AW13" s="120"/>
      <c r="AX13" s="120"/>
      <c r="AY13" s="120"/>
      <c r="AZ13" s="120"/>
      <c r="BA13" s="120"/>
      <c r="BB13" s="120"/>
      <c r="BC13" s="120"/>
      <c r="BD13" s="120"/>
      <c r="BE13" s="120"/>
      <c r="BF13" s="120"/>
      <c r="BG13" s="120"/>
      <c r="BH13" s="120"/>
      <c r="BI13" s="120"/>
      <c r="BJ13" s="120"/>
      <c r="BK13" s="120"/>
      <c r="BL13" s="120"/>
      <c r="BM13" s="120"/>
      <c r="BN13" s="120"/>
      <c r="BO13" s="120"/>
      <c r="BP13" s="120"/>
      <c r="BQ13" s="120"/>
      <c r="BR13" s="120"/>
      <c r="BS13" s="120"/>
      <c r="BT13" s="120"/>
      <c r="BU13" s="120"/>
      <c r="BV13" s="120"/>
      <c r="BW13" s="120"/>
      <c r="BX13" s="120"/>
      <c r="CB13" s="562"/>
      <c r="CD13">
        <v>8</v>
      </c>
      <c r="CE13">
        <f>Character_Creation!Q348</f>
        <v>0</v>
      </c>
      <c r="CF13" t="str">
        <f>Character_Creation!U348</f>
        <v/>
      </c>
      <c r="CG13">
        <f t="shared" si="8"/>
        <v>0</v>
      </c>
      <c r="CH13">
        <f>IF(CG13=0,0,1+COUNTIF(CH$6:CH12,"&gt;0"))</f>
        <v>0</v>
      </c>
      <c r="CI13">
        <f t="shared" si="9"/>
        <v>0</v>
      </c>
      <c r="CJ13">
        <f>IF(CI13=0,0,1+COUNTIF(CJ$6:CJ12,"&gt;0"))</f>
        <v>0</v>
      </c>
      <c r="CK13">
        <f t="shared" si="10"/>
        <v>0</v>
      </c>
      <c r="CL13">
        <f>IF(CK13=0,0,1+COUNTIF(CL$6:CL12,"&gt;0"))</f>
        <v>0</v>
      </c>
      <c r="CM13">
        <f t="shared" si="11"/>
        <v>0</v>
      </c>
      <c r="CN13">
        <f>IF(CM13=0,0,1+COUNTIF(CN$6:CN12,"&gt;0"))</f>
        <v>0</v>
      </c>
    </row>
    <row r="14" spans="1:102" x14ac:dyDescent="0.25">
      <c r="A14" s="120"/>
      <c r="B14" s="5">
        <v>9</v>
      </c>
      <c r="C14" s="1069" t="str">
        <f t="shared" si="3"/>
        <v/>
      </c>
      <c r="D14" s="1069"/>
      <c r="E14" s="1069"/>
      <c r="F14" s="1069"/>
      <c r="G14" s="1069"/>
      <c r="H14" s="565"/>
      <c r="I14" s="565"/>
      <c r="J14" s="565" t="str">
        <f t="shared" si="4"/>
        <v/>
      </c>
      <c r="K14" s="5">
        <v>9</v>
      </c>
      <c r="L14" s="1069" t="str">
        <f t="shared" si="0"/>
        <v/>
      </c>
      <c r="M14" s="1069"/>
      <c r="N14" s="1069"/>
      <c r="O14" s="1069"/>
      <c r="P14" s="1069"/>
      <c r="Q14" s="565"/>
      <c r="R14" s="565"/>
      <c r="S14" s="565" t="str">
        <f t="shared" si="5"/>
        <v/>
      </c>
      <c r="T14" s="5">
        <v>9</v>
      </c>
      <c r="U14" s="1069" t="str">
        <f t="shared" si="1"/>
        <v/>
      </c>
      <c r="V14" s="1069"/>
      <c r="W14" s="1069"/>
      <c r="X14" s="1069"/>
      <c r="Y14" s="1069"/>
      <c r="Z14" s="565"/>
      <c r="AA14" s="565"/>
      <c r="AB14" s="565" t="str">
        <f t="shared" si="6"/>
        <v/>
      </c>
      <c r="AC14" s="5">
        <v>9</v>
      </c>
      <c r="AD14" s="1069" t="str">
        <f t="shared" si="2"/>
        <v/>
      </c>
      <c r="AE14" s="1069"/>
      <c r="AF14" s="1069"/>
      <c r="AG14" s="1069"/>
      <c r="AH14" s="1069"/>
      <c r="AI14" s="565"/>
      <c r="AJ14" s="565" t="str">
        <f t="shared" si="7"/>
        <v/>
      </c>
      <c r="AK14" s="120"/>
      <c r="AL14" s="120"/>
      <c r="AM14" s="120"/>
      <c r="AN14" s="120"/>
      <c r="AO14" s="120"/>
      <c r="AP14" s="120"/>
      <c r="AQ14" s="120"/>
      <c r="AR14" s="120"/>
      <c r="AS14" s="120"/>
      <c r="AT14" s="120"/>
      <c r="AU14" s="120"/>
      <c r="AV14" s="120"/>
      <c r="AW14" s="120"/>
      <c r="AX14" s="120"/>
      <c r="AY14" s="120"/>
      <c r="AZ14" s="120"/>
      <c r="BA14" s="120"/>
      <c r="BB14" s="120"/>
      <c r="BC14" s="120"/>
      <c r="BD14" s="120"/>
      <c r="BE14" s="120"/>
      <c r="BF14" s="120"/>
      <c r="BG14" s="120"/>
      <c r="BH14" s="120"/>
      <c r="BI14" s="120"/>
      <c r="BJ14" s="120"/>
      <c r="BK14" s="120"/>
      <c r="BL14" s="120"/>
      <c r="BM14" s="120"/>
      <c r="BN14" s="120"/>
      <c r="BO14" s="120"/>
      <c r="BP14" s="120"/>
      <c r="BQ14" s="120"/>
      <c r="BR14" s="120"/>
      <c r="BS14" s="120"/>
      <c r="BT14" s="120"/>
      <c r="BU14" s="120"/>
      <c r="BV14" s="120"/>
      <c r="BW14" s="120"/>
      <c r="BX14" s="120"/>
      <c r="CB14" s="562"/>
      <c r="CD14">
        <v>9</v>
      </c>
      <c r="CE14">
        <f>Character_Creation!Q349</f>
        <v>0</v>
      </c>
      <c r="CF14" t="str">
        <f>Character_Creation!U349</f>
        <v/>
      </c>
      <c r="CG14">
        <f t="shared" si="8"/>
        <v>0</v>
      </c>
      <c r="CH14">
        <f>IF(CG14=0,0,1+COUNTIF(CH$6:CH13,"&gt;0"))</f>
        <v>0</v>
      </c>
      <c r="CI14">
        <f t="shared" si="9"/>
        <v>0</v>
      </c>
      <c r="CJ14">
        <f>IF(CI14=0,0,1+COUNTIF(CJ$6:CJ13,"&gt;0"))</f>
        <v>0</v>
      </c>
      <c r="CK14">
        <f t="shared" si="10"/>
        <v>0</v>
      </c>
      <c r="CL14">
        <f>IF(CK14=0,0,1+COUNTIF(CL$6:CL13,"&gt;0"))</f>
        <v>0</v>
      </c>
      <c r="CM14">
        <f t="shared" si="11"/>
        <v>0</v>
      </c>
      <c r="CN14">
        <f>IF(CM14=0,0,1+COUNTIF(CN$6:CN13,"&gt;0"))</f>
        <v>0</v>
      </c>
    </row>
    <row r="15" spans="1:102" x14ac:dyDescent="0.25">
      <c r="A15" s="120"/>
      <c r="B15" s="5">
        <v>10</v>
      </c>
      <c r="C15" s="1069" t="str">
        <f>IFERROR(INDEX($CE$6:$CE$18,MATCH(B15,$CH$6:$CH$18,0),1),"")</f>
        <v/>
      </c>
      <c r="D15" s="1069"/>
      <c r="E15" s="1069"/>
      <c r="F15" s="1069"/>
      <c r="G15" s="1069"/>
      <c r="H15" s="565"/>
      <c r="I15" s="565"/>
      <c r="J15" s="565" t="str">
        <f t="shared" si="4"/>
        <v/>
      </c>
      <c r="K15" s="5">
        <v>10</v>
      </c>
      <c r="L15" s="1069" t="str">
        <f t="shared" si="0"/>
        <v/>
      </c>
      <c r="M15" s="1069"/>
      <c r="N15" s="1069"/>
      <c r="O15" s="1069"/>
      <c r="P15" s="1069"/>
      <c r="Q15" s="565"/>
      <c r="R15" s="565"/>
      <c r="S15" s="565" t="str">
        <f t="shared" si="5"/>
        <v/>
      </c>
      <c r="T15" s="5">
        <v>10</v>
      </c>
      <c r="U15" s="1069" t="str">
        <f t="shared" si="1"/>
        <v/>
      </c>
      <c r="V15" s="1069"/>
      <c r="W15" s="1069"/>
      <c r="X15" s="1069"/>
      <c r="Y15" s="1069"/>
      <c r="Z15" s="565"/>
      <c r="AA15" s="565"/>
      <c r="AB15" s="565" t="str">
        <f t="shared" si="6"/>
        <v/>
      </c>
      <c r="AC15" s="5">
        <v>10</v>
      </c>
      <c r="AD15" s="1069" t="str">
        <f t="shared" si="2"/>
        <v/>
      </c>
      <c r="AE15" s="1069"/>
      <c r="AF15" s="1069"/>
      <c r="AG15" s="1069"/>
      <c r="AH15" s="1069"/>
      <c r="AI15" s="565"/>
      <c r="AJ15" s="565" t="str">
        <f t="shared" si="7"/>
        <v/>
      </c>
      <c r="AK15" s="120"/>
      <c r="AL15" s="120"/>
      <c r="AM15" s="120"/>
      <c r="AN15" s="120"/>
      <c r="AO15" s="120"/>
      <c r="AP15" s="120"/>
      <c r="AQ15" s="120"/>
      <c r="AR15" s="120"/>
      <c r="AS15" s="120"/>
      <c r="AT15" s="120"/>
      <c r="AU15" s="120"/>
      <c r="AV15" s="120"/>
      <c r="AW15" s="120"/>
      <c r="AX15" s="120"/>
      <c r="AY15" s="120"/>
      <c r="AZ15" s="120"/>
      <c r="BA15" s="120"/>
      <c r="BB15" s="120"/>
      <c r="BC15" s="120"/>
      <c r="BD15" s="120"/>
      <c r="BE15" s="120"/>
      <c r="BF15" s="120"/>
      <c r="BG15" s="120"/>
      <c r="BH15" s="120"/>
      <c r="BI15" s="120"/>
      <c r="BJ15" s="120"/>
      <c r="BK15" s="120"/>
      <c r="BL15" s="120"/>
      <c r="BM15" s="120"/>
      <c r="BN15" s="120"/>
      <c r="BO15" s="120"/>
      <c r="BP15" s="120"/>
      <c r="BQ15" s="120"/>
      <c r="BR15" s="120"/>
      <c r="BS15" s="120"/>
      <c r="BT15" s="120"/>
      <c r="BU15" s="120"/>
      <c r="BV15" s="120"/>
      <c r="BW15" s="120"/>
      <c r="BX15" s="120"/>
      <c r="CD15">
        <v>10</v>
      </c>
      <c r="CE15">
        <f>Character_Creation!Q353</f>
        <v>0</v>
      </c>
      <c r="CF15" t="str">
        <f>Character_Creation!U353</f>
        <v/>
      </c>
      <c r="CG15">
        <f t="shared" si="8"/>
        <v>0</v>
      </c>
      <c r="CH15">
        <f>IF(CG15=0,0,1+COUNTIF(CH$6:CH14,"&gt;0"))</f>
        <v>0</v>
      </c>
      <c r="CI15">
        <f t="shared" si="9"/>
        <v>0</v>
      </c>
      <c r="CJ15">
        <f>IF(CI15=0,0,1+COUNTIF(CJ$6:CJ14,"&gt;0"))</f>
        <v>0</v>
      </c>
      <c r="CK15">
        <f t="shared" si="10"/>
        <v>0</v>
      </c>
      <c r="CL15">
        <f>IF(CK15=0,0,1+COUNTIF(CL$6:CL14,"&gt;0"))</f>
        <v>0</v>
      </c>
      <c r="CM15">
        <f t="shared" si="11"/>
        <v>0</v>
      </c>
      <c r="CN15">
        <f>IF(CM15=0,0,1+COUNTIF(CN$6:CN14,"&gt;0"))</f>
        <v>0</v>
      </c>
    </row>
    <row r="16" spans="1:102" x14ac:dyDescent="0.25">
      <c r="A16" s="120"/>
      <c r="B16" s="5">
        <v>11</v>
      </c>
      <c r="C16" s="1069" t="str">
        <f t="shared" si="3"/>
        <v/>
      </c>
      <c r="D16" s="1069"/>
      <c r="E16" s="1069"/>
      <c r="F16" s="1069"/>
      <c r="G16" s="1069"/>
      <c r="H16" s="565"/>
      <c r="I16" s="565"/>
      <c r="J16" s="565" t="str">
        <f t="shared" si="4"/>
        <v/>
      </c>
      <c r="K16" s="5">
        <v>11</v>
      </c>
      <c r="L16" s="1069" t="str">
        <f t="shared" si="0"/>
        <v/>
      </c>
      <c r="M16" s="1069"/>
      <c r="N16" s="1069"/>
      <c r="O16" s="1069"/>
      <c r="P16" s="1069"/>
      <c r="Q16" s="565"/>
      <c r="R16" s="565"/>
      <c r="S16" s="565" t="str">
        <f t="shared" si="5"/>
        <v/>
      </c>
      <c r="T16" s="5">
        <v>11</v>
      </c>
      <c r="U16" s="1069" t="str">
        <f t="shared" si="1"/>
        <v/>
      </c>
      <c r="V16" s="1069"/>
      <c r="W16" s="1069"/>
      <c r="X16" s="1069"/>
      <c r="Y16" s="1069"/>
      <c r="Z16" s="565"/>
      <c r="AA16" s="565"/>
      <c r="AB16" s="565" t="str">
        <f t="shared" si="6"/>
        <v/>
      </c>
      <c r="AC16" s="5">
        <v>11</v>
      </c>
      <c r="AD16" s="1069" t="str">
        <f t="shared" si="2"/>
        <v/>
      </c>
      <c r="AE16" s="1069"/>
      <c r="AF16" s="1069"/>
      <c r="AG16" s="1069"/>
      <c r="AH16" s="1069"/>
      <c r="AI16" s="565"/>
      <c r="AJ16" s="565" t="str">
        <f t="shared" si="7"/>
        <v/>
      </c>
      <c r="AK16" s="120"/>
      <c r="AL16" s="120"/>
      <c r="AM16" s="120"/>
      <c r="AN16" s="120"/>
      <c r="AO16" s="120"/>
      <c r="AP16" s="120"/>
      <c r="AQ16" s="120"/>
      <c r="AR16" s="120"/>
      <c r="AS16" s="120"/>
      <c r="AT16" s="120"/>
      <c r="AU16" s="120"/>
      <c r="AV16" s="120"/>
      <c r="AW16" s="120"/>
      <c r="AX16" s="120"/>
      <c r="AY16" s="120"/>
      <c r="AZ16" s="120"/>
      <c r="BA16" s="120"/>
      <c r="BB16" s="120"/>
      <c r="BC16" s="120"/>
      <c r="BD16" s="120"/>
      <c r="BE16" s="120"/>
      <c r="BF16" s="120"/>
      <c r="BG16" s="120"/>
      <c r="BH16" s="120"/>
      <c r="BI16" s="120"/>
      <c r="BJ16" s="120"/>
      <c r="BK16" s="120"/>
      <c r="BL16" s="120"/>
      <c r="BM16" s="120"/>
      <c r="BN16" s="120"/>
      <c r="BO16" s="120"/>
      <c r="BP16" s="120"/>
      <c r="BQ16" s="120"/>
      <c r="BR16" s="120"/>
      <c r="BS16" s="120"/>
      <c r="BT16" s="120"/>
      <c r="BU16" s="120"/>
      <c r="BV16" s="120"/>
      <c r="BW16" s="120"/>
      <c r="BX16" s="120"/>
      <c r="CD16">
        <v>11</v>
      </c>
      <c r="CE16">
        <f>Character_Creation!Q354</f>
        <v>0</v>
      </c>
      <c r="CF16" t="str">
        <f>Character_Creation!U354</f>
        <v/>
      </c>
      <c r="CG16">
        <f t="shared" si="8"/>
        <v>0</v>
      </c>
      <c r="CH16">
        <f>IF(CG16=0,0,1+COUNTIF(CH$6:CH15,"&gt;0"))</f>
        <v>0</v>
      </c>
      <c r="CI16">
        <f t="shared" si="9"/>
        <v>0</v>
      </c>
      <c r="CJ16">
        <f>IF(CI16=0,0,1+COUNTIF(CJ$6:CJ15,"&gt;0"))</f>
        <v>0</v>
      </c>
      <c r="CK16">
        <f t="shared" si="10"/>
        <v>0</v>
      </c>
      <c r="CL16">
        <f>IF(CK16=0,0,1+COUNTIF(CL$6:CL15,"&gt;0"))</f>
        <v>0</v>
      </c>
      <c r="CM16">
        <f t="shared" si="11"/>
        <v>0</v>
      </c>
      <c r="CN16">
        <f>IF(CM16=0,0,1+COUNTIF(CN$6:CN15,"&gt;0"))</f>
        <v>0</v>
      </c>
    </row>
    <row r="17" spans="1:92" x14ac:dyDescent="0.25">
      <c r="A17" s="120"/>
      <c r="B17" s="5">
        <v>12</v>
      </c>
      <c r="C17" s="1069" t="str">
        <f t="shared" si="3"/>
        <v/>
      </c>
      <c r="D17" s="1069"/>
      <c r="E17" s="1069"/>
      <c r="F17" s="1069"/>
      <c r="G17" s="1069"/>
      <c r="H17" s="565"/>
      <c r="I17" s="565"/>
      <c r="J17" s="565" t="str">
        <f t="shared" si="4"/>
        <v/>
      </c>
      <c r="K17" s="5">
        <v>12</v>
      </c>
      <c r="L17" s="1069" t="str">
        <f t="shared" si="0"/>
        <v/>
      </c>
      <c r="M17" s="1069"/>
      <c r="N17" s="1069"/>
      <c r="O17" s="1069"/>
      <c r="P17" s="1069"/>
      <c r="Q17" s="565"/>
      <c r="R17" s="565"/>
      <c r="S17" s="565" t="str">
        <f t="shared" si="5"/>
        <v/>
      </c>
      <c r="T17" s="5">
        <v>12</v>
      </c>
      <c r="U17" s="1069" t="str">
        <f t="shared" si="1"/>
        <v/>
      </c>
      <c r="V17" s="1069"/>
      <c r="W17" s="1069"/>
      <c r="X17" s="1069"/>
      <c r="Y17" s="1069"/>
      <c r="Z17" s="565"/>
      <c r="AA17" s="565"/>
      <c r="AB17" s="565" t="str">
        <f t="shared" si="6"/>
        <v/>
      </c>
      <c r="AC17" s="5">
        <v>12</v>
      </c>
      <c r="AD17" s="1069" t="str">
        <f t="shared" si="2"/>
        <v/>
      </c>
      <c r="AE17" s="1069"/>
      <c r="AF17" s="1069"/>
      <c r="AG17" s="1069"/>
      <c r="AH17" s="1069"/>
      <c r="AI17" s="565"/>
      <c r="AJ17" s="565" t="str">
        <f t="shared" si="7"/>
        <v/>
      </c>
      <c r="AK17" s="120"/>
      <c r="AL17" s="120"/>
      <c r="AM17" s="120"/>
      <c r="AN17" s="120"/>
      <c r="AO17" s="120"/>
      <c r="AP17" s="120"/>
      <c r="AQ17" s="120"/>
      <c r="AR17" s="120"/>
      <c r="AS17" s="120"/>
      <c r="AT17" s="120"/>
      <c r="AU17" s="120"/>
      <c r="AV17" s="120"/>
      <c r="AW17" s="120"/>
      <c r="AX17" s="120"/>
      <c r="AY17" s="120"/>
      <c r="AZ17" s="120"/>
      <c r="BA17" s="120"/>
      <c r="BB17" s="120"/>
      <c r="BC17" s="120"/>
      <c r="BD17" s="120"/>
      <c r="BE17" s="120"/>
      <c r="BF17" s="120"/>
      <c r="BG17" s="120"/>
      <c r="BH17" s="120"/>
      <c r="BI17" s="120"/>
      <c r="BJ17" s="120"/>
      <c r="BK17" s="120"/>
      <c r="BL17" s="120"/>
      <c r="BM17" s="120"/>
      <c r="BN17" s="120"/>
      <c r="BO17" s="120"/>
      <c r="BP17" s="120"/>
      <c r="BQ17" s="120"/>
      <c r="BR17" s="120"/>
      <c r="BS17" s="120"/>
      <c r="BT17" s="120"/>
      <c r="BU17" s="120"/>
      <c r="BV17" s="120"/>
      <c r="BW17" s="120"/>
      <c r="BX17" s="120"/>
      <c r="CD17">
        <v>12</v>
      </c>
      <c r="CE17">
        <f>Character_Creation!Q355</f>
        <v>0</v>
      </c>
      <c r="CF17" t="str">
        <f>Character_Creation!U355</f>
        <v/>
      </c>
      <c r="CG17">
        <f t="shared" si="8"/>
        <v>0</v>
      </c>
      <c r="CH17">
        <f>IF(CG17=0,0,1+COUNTIF(CH$6:CH16,"&gt;0"))</f>
        <v>0</v>
      </c>
      <c r="CI17">
        <f t="shared" si="9"/>
        <v>0</v>
      </c>
      <c r="CJ17">
        <f>IF(CI17=0,0,1+COUNTIF(CJ$6:CJ16,"&gt;0"))</f>
        <v>0</v>
      </c>
      <c r="CK17">
        <f t="shared" si="10"/>
        <v>0</v>
      </c>
      <c r="CL17">
        <f>IF(CK17=0,0,1+COUNTIF(CL$6:CL16,"&gt;0"))</f>
        <v>0</v>
      </c>
      <c r="CM17">
        <f t="shared" si="11"/>
        <v>0</v>
      </c>
      <c r="CN17">
        <f>IF(CM17=0,0,1+COUNTIF(CN$6:CN16,"&gt;0"))</f>
        <v>0</v>
      </c>
    </row>
    <row r="18" spans="1:92" x14ac:dyDescent="0.25">
      <c r="A18" s="120"/>
      <c r="B18" s="5">
        <v>13</v>
      </c>
      <c r="C18" s="1069" t="str">
        <f>IFERROR(INDEX($CE$6:$CE$18,MATCH(B18,$CH$6:$CH$18,0),1),"")</f>
        <v/>
      </c>
      <c r="D18" s="1069"/>
      <c r="E18" s="1069"/>
      <c r="F18" s="1069"/>
      <c r="G18" s="1069"/>
      <c r="H18" s="565"/>
      <c r="I18" s="565"/>
      <c r="J18" s="565" t="str">
        <f t="shared" si="4"/>
        <v/>
      </c>
      <c r="K18" s="5">
        <v>13</v>
      </c>
      <c r="L18" s="1069" t="str">
        <f t="shared" si="0"/>
        <v/>
      </c>
      <c r="M18" s="1069"/>
      <c r="N18" s="1069"/>
      <c r="O18" s="1069"/>
      <c r="P18" s="1069"/>
      <c r="Q18" s="565"/>
      <c r="R18" s="565"/>
      <c r="S18" s="565" t="str">
        <f t="shared" si="5"/>
        <v/>
      </c>
      <c r="T18" s="5">
        <v>13</v>
      </c>
      <c r="U18" s="1069" t="str">
        <f t="shared" si="1"/>
        <v/>
      </c>
      <c r="V18" s="1069"/>
      <c r="W18" s="1069"/>
      <c r="X18" s="1069"/>
      <c r="Y18" s="1069"/>
      <c r="Z18" s="565"/>
      <c r="AA18" s="565"/>
      <c r="AB18" s="565" t="str">
        <f t="shared" si="6"/>
        <v/>
      </c>
      <c r="AC18" s="5">
        <v>13</v>
      </c>
      <c r="AD18" s="1069" t="str">
        <f t="shared" si="2"/>
        <v/>
      </c>
      <c r="AE18" s="1069"/>
      <c r="AF18" s="1069"/>
      <c r="AG18" s="1069"/>
      <c r="AH18" s="1069"/>
      <c r="AI18" s="565"/>
      <c r="AJ18" s="565" t="str">
        <f t="shared" si="7"/>
        <v/>
      </c>
      <c r="AK18" s="120"/>
      <c r="AL18" s="120"/>
      <c r="AM18" s="120"/>
      <c r="AN18" s="120"/>
      <c r="AO18" s="120"/>
      <c r="AP18" s="120"/>
      <c r="AQ18" s="120"/>
      <c r="AR18" s="120"/>
      <c r="AS18" s="120"/>
      <c r="AT18" s="120"/>
      <c r="AU18" s="120"/>
      <c r="AV18" s="120"/>
      <c r="AW18" s="120"/>
      <c r="AX18" s="120"/>
      <c r="AY18" s="120"/>
      <c r="AZ18" s="120"/>
      <c r="BA18" s="120"/>
      <c r="BB18" s="120"/>
      <c r="BC18" s="120"/>
      <c r="BD18" s="120"/>
      <c r="BE18" s="120"/>
      <c r="BF18" s="120"/>
      <c r="BG18" s="120"/>
      <c r="BH18" s="120"/>
      <c r="BI18" s="120"/>
      <c r="BJ18" s="120"/>
      <c r="BK18" s="120"/>
      <c r="BL18" s="120"/>
      <c r="BM18" s="120"/>
      <c r="BN18" s="120"/>
      <c r="BO18" s="120"/>
      <c r="BP18" s="120"/>
      <c r="BQ18" s="120"/>
      <c r="BR18" s="120"/>
      <c r="BS18" s="120"/>
      <c r="BT18" s="120"/>
      <c r="BU18" s="120"/>
      <c r="BV18" s="120"/>
      <c r="BW18" s="120"/>
      <c r="BX18" s="120"/>
      <c r="CD18">
        <v>13</v>
      </c>
      <c r="CE18">
        <f>Character_Creation!Q356</f>
        <v>0</v>
      </c>
      <c r="CF18" t="str">
        <f>Character_Creation!U356</f>
        <v/>
      </c>
      <c r="CG18">
        <f t="shared" si="8"/>
        <v>0</v>
      </c>
      <c r="CH18">
        <f>IF(CG18=0,0,1+COUNTIF(CH$6:CH17,"&gt;0"))</f>
        <v>0</v>
      </c>
      <c r="CI18">
        <f t="shared" si="9"/>
        <v>0</v>
      </c>
      <c r="CJ18">
        <f>IF(CI18=0,0,1+COUNTIF(CJ$6:CJ17,"&gt;0"))</f>
        <v>0</v>
      </c>
      <c r="CK18">
        <f t="shared" si="10"/>
        <v>0</v>
      </c>
      <c r="CL18">
        <f>IF(CK18=0,0,1+COUNTIF(CL$6:CL17,"&gt;0"))</f>
        <v>0</v>
      </c>
      <c r="CM18">
        <f t="shared" si="11"/>
        <v>0</v>
      </c>
      <c r="CN18">
        <f>IF(CM18=0,0,1+COUNTIF(CN$6:CN17,"&gt;0"))</f>
        <v>0</v>
      </c>
    </row>
    <row r="19" spans="1:92" x14ac:dyDescent="0.25">
      <c r="A19" s="120"/>
      <c r="B19" s="5">
        <v>14</v>
      </c>
      <c r="C19" s="1069" t="str">
        <f t="shared" si="3"/>
        <v/>
      </c>
      <c r="D19" s="1069"/>
      <c r="E19" s="1069"/>
      <c r="F19" s="1069"/>
      <c r="G19" s="1069"/>
      <c r="H19" s="565"/>
      <c r="I19" s="565"/>
      <c r="J19" s="565" t="str">
        <f t="shared" si="4"/>
        <v/>
      </c>
      <c r="K19" s="5">
        <v>14</v>
      </c>
      <c r="L19" s="1069" t="str">
        <f t="shared" si="0"/>
        <v/>
      </c>
      <c r="M19" s="1069"/>
      <c r="N19" s="1069"/>
      <c r="O19" s="1069"/>
      <c r="P19" s="1069"/>
      <c r="Q19" s="565"/>
      <c r="R19" s="565"/>
      <c r="S19" s="565" t="str">
        <f t="shared" si="5"/>
        <v/>
      </c>
      <c r="T19" s="5">
        <v>14</v>
      </c>
      <c r="U19" s="1069" t="str">
        <f t="shared" si="1"/>
        <v/>
      </c>
      <c r="V19" s="1069"/>
      <c r="W19" s="1069"/>
      <c r="X19" s="1069"/>
      <c r="Y19" s="1069"/>
      <c r="Z19" s="565"/>
      <c r="AA19" s="565"/>
      <c r="AB19" s="565" t="str">
        <f t="shared" si="6"/>
        <v/>
      </c>
      <c r="AC19" s="5">
        <v>14</v>
      </c>
      <c r="AD19" s="1069" t="str">
        <f t="shared" si="2"/>
        <v/>
      </c>
      <c r="AE19" s="1069"/>
      <c r="AF19" s="1069"/>
      <c r="AG19" s="1069"/>
      <c r="AH19" s="1069"/>
      <c r="AI19" s="565"/>
      <c r="AJ19" s="565" t="str">
        <f t="shared" si="7"/>
        <v/>
      </c>
      <c r="AK19" s="120"/>
      <c r="AL19" s="120"/>
      <c r="AM19" s="120"/>
      <c r="AN19" s="120"/>
      <c r="AO19" s="120"/>
      <c r="AP19" s="120"/>
      <c r="AQ19" s="120"/>
      <c r="AR19" s="120"/>
      <c r="AS19" s="120"/>
      <c r="AT19" s="120"/>
      <c r="AU19" s="120"/>
      <c r="AV19" s="120"/>
      <c r="AW19" s="120"/>
      <c r="AX19" s="120"/>
      <c r="AY19" s="120"/>
      <c r="AZ19" s="120"/>
      <c r="BA19" s="120"/>
      <c r="BB19" s="120"/>
      <c r="BC19" s="120"/>
      <c r="BD19" s="120"/>
      <c r="BE19" s="120"/>
      <c r="BF19" s="120"/>
      <c r="BG19" s="120"/>
      <c r="BH19" s="120"/>
      <c r="BI19" s="120"/>
      <c r="BJ19" s="120"/>
      <c r="BK19" s="120"/>
      <c r="BL19" s="120"/>
      <c r="BM19" s="120"/>
      <c r="BN19" s="120"/>
      <c r="BO19" s="120"/>
      <c r="BP19" s="120"/>
      <c r="BQ19" s="120"/>
      <c r="BR19" s="120"/>
      <c r="BS19" s="120"/>
      <c r="BT19" s="120"/>
      <c r="BU19" s="120"/>
      <c r="BV19" s="120"/>
      <c r="BW19" s="120"/>
      <c r="BX19" s="120"/>
    </row>
    <row r="20" spans="1:92" x14ac:dyDescent="0.25">
      <c r="A20" s="120"/>
      <c r="B20" s="5">
        <v>15</v>
      </c>
      <c r="C20" s="1069" t="str">
        <f t="shared" si="3"/>
        <v/>
      </c>
      <c r="D20" s="1069"/>
      <c r="E20" s="1069"/>
      <c r="F20" s="1069"/>
      <c r="G20" s="1069"/>
      <c r="H20" s="565"/>
      <c r="I20" s="565"/>
      <c r="J20" s="565" t="str">
        <f t="shared" si="4"/>
        <v/>
      </c>
      <c r="K20" s="5">
        <v>15</v>
      </c>
      <c r="L20" s="1069" t="str">
        <f t="shared" si="0"/>
        <v/>
      </c>
      <c r="M20" s="1069"/>
      <c r="N20" s="1069"/>
      <c r="O20" s="1069"/>
      <c r="P20" s="1069"/>
      <c r="Q20" s="565"/>
      <c r="R20" s="565"/>
      <c r="S20" s="565" t="str">
        <f t="shared" si="5"/>
        <v/>
      </c>
      <c r="T20" s="5">
        <v>15</v>
      </c>
      <c r="U20" s="1069" t="str">
        <f t="shared" si="1"/>
        <v/>
      </c>
      <c r="V20" s="1069"/>
      <c r="W20" s="1069"/>
      <c r="X20" s="1069"/>
      <c r="Y20" s="1069"/>
      <c r="Z20" s="565"/>
      <c r="AA20" s="565"/>
      <c r="AB20" s="565" t="str">
        <f t="shared" si="6"/>
        <v/>
      </c>
      <c r="AC20" s="5">
        <v>15</v>
      </c>
      <c r="AD20" s="1069" t="str">
        <f t="shared" si="2"/>
        <v/>
      </c>
      <c r="AE20" s="1069"/>
      <c r="AF20" s="1069"/>
      <c r="AG20" s="1069"/>
      <c r="AH20" s="1069"/>
      <c r="AI20" s="565"/>
      <c r="AJ20" s="565" t="str">
        <f t="shared" si="7"/>
        <v/>
      </c>
      <c r="AK20" s="120"/>
      <c r="AL20" s="120"/>
      <c r="AM20" s="120"/>
      <c r="AN20" s="120"/>
      <c r="AO20" s="120"/>
      <c r="AP20" s="120"/>
      <c r="AQ20" s="120"/>
      <c r="AR20" s="120"/>
      <c r="AS20" s="120"/>
      <c r="AT20" s="120"/>
      <c r="AU20" s="120"/>
      <c r="AV20" s="120"/>
      <c r="AW20" s="120"/>
      <c r="AX20" s="120"/>
      <c r="AY20" s="120"/>
      <c r="AZ20" s="120"/>
      <c r="BA20" s="120"/>
      <c r="BB20" s="120"/>
      <c r="BC20" s="120"/>
      <c r="BD20" s="120"/>
      <c r="BE20" s="120"/>
      <c r="BF20" s="120"/>
      <c r="BG20" s="120"/>
      <c r="BH20" s="120"/>
      <c r="BI20" s="120"/>
      <c r="BJ20" s="120"/>
      <c r="BK20" s="120"/>
      <c r="BL20" s="120"/>
      <c r="BM20" s="120"/>
      <c r="BN20" s="120"/>
      <c r="BO20" s="120"/>
      <c r="BP20" s="120"/>
      <c r="BQ20" s="120"/>
      <c r="BR20" s="120"/>
      <c r="BS20" s="120"/>
      <c r="BT20" s="120"/>
      <c r="BU20" s="120"/>
      <c r="BV20" s="120"/>
      <c r="BW20" s="120"/>
      <c r="BX20" s="120"/>
    </row>
    <row r="21" spans="1:92" x14ac:dyDescent="0.25">
      <c r="A21" s="120"/>
      <c r="B21" s="5">
        <v>16</v>
      </c>
      <c r="C21" s="1069" t="str">
        <f>IFERROR(INDEX($CE$6:$CE$18,MATCH(B21,$CH$6:$CH$18,0),1),"")</f>
        <v/>
      </c>
      <c r="D21" s="1069"/>
      <c r="E21" s="1069"/>
      <c r="F21" s="1069"/>
      <c r="G21" s="1069"/>
      <c r="H21" s="565"/>
      <c r="I21" s="565"/>
      <c r="J21" s="565" t="str">
        <f t="shared" si="4"/>
        <v/>
      </c>
      <c r="K21" s="5">
        <v>16</v>
      </c>
      <c r="L21" s="1069" t="str">
        <f t="shared" si="0"/>
        <v/>
      </c>
      <c r="M21" s="1069"/>
      <c r="N21" s="1069"/>
      <c r="O21" s="1069"/>
      <c r="P21" s="1069"/>
      <c r="Q21" s="565"/>
      <c r="R21" s="565"/>
      <c r="S21" s="565" t="str">
        <f t="shared" si="5"/>
        <v/>
      </c>
      <c r="T21" s="5">
        <v>16</v>
      </c>
      <c r="U21" s="1069" t="str">
        <f t="shared" si="1"/>
        <v/>
      </c>
      <c r="V21" s="1069"/>
      <c r="W21" s="1069"/>
      <c r="X21" s="1069"/>
      <c r="Y21" s="1069"/>
      <c r="Z21" s="565"/>
      <c r="AA21" s="565"/>
      <c r="AB21" s="565" t="str">
        <f t="shared" si="6"/>
        <v/>
      </c>
      <c r="AC21" s="5">
        <v>16</v>
      </c>
      <c r="AD21" s="1069" t="str">
        <f t="shared" si="2"/>
        <v/>
      </c>
      <c r="AE21" s="1069"/>
      <c r="AF21" s="1069"/>
      <c r="AG21" s="1069"/>
      <c r="AH21" s="1069"/>
      <c r="AI21" s="565"/>
      <c r="AJ21" s="565" t="str">
        <f t="shared" si="7"/>
        <v/>
      </c>
      <c r="AK21" s="120"/>
      <c r="AL21" s="120"/>
      <c r="AM21" s="120"/>
      <c r="AN21" s="120"/>
      <c r="AO21" s="120"/>
      <c r="AP21" s="120"/>
      <c r="AQ21" s="120"/>
      <c r="AR21" s="120"/>
      <c r="AS21" s="120"/>
      <c r="AT21" s="120"/>
      <c r="AU21" s="120"/>
      <c r="AV21" s="120"/>
      <c r="AW21" s="120"/>
      <c r="AX21" s="120"/>
      <c r="AY21" s="120"/>
      <c r="AZ21" s="120"/>
      <c r="BA21" s="120"/>
      <c r="BB21" s="120"/>
      <c r="BC21" s="120"/>
      <c r="BD21" s="120"/>
      <c r="BE21" s="120"/>
      <c r="BF21" s="120"/>
      <c r="BG21" s="120"/>
      <c r="BH21" s="120"/>
      <c r="BI21" s="120"/>
      <c r="BJ21" s="120"/>
      <c r="BK21" s="120"/>
      <c r="BL21" s="120"/>
      <c r="BM21" s="120"/>
      <c r="BN21" s="120"/>
      <c r="BO21" s="120"/>
      <c r="BP21" s="120"/>
      <c r="BQ21" s="120"/>
      <c r="BR21" s="120"/>
      <c r="BS21" s="120"/>
      <c r="BT21" s="120"/>
      <c r="BU21" s="120"/>
      <c r="BV21" s="120"/>
      <c r="BW21" s="120"/>
      <c r="BX21" s="120"/>
    </row>
    <row r="22" spans="1:92" x14ac:dyDescent="0.25">
      <c r="A22" s="120"/>
      <c r="B22" s="5">
        <v>17</v>
      </c>
      <c r="C22" s="1069" t="str">
        <f t="shared" si="3"/>
        <v/>
      </c>
      <c r="D22" s="1069"/>
      <c r="E22" s="1069"/>
      <c r="F22" s="1069"/>
      <c r="G22" s="1069"/>
      <c r="H22" s="565"/>
      <c r="I22" s="565"/>
      <c r="J22" s="565" t="str">
        <f t="shared" si="4"/>
        <v/>
      </c>
      <c r="K22" s="5">
        <v>17</v>
      </c>
      <c r="L22" s="1069" t="str">
        <f t="shared" si="0"/>
        <v/>
      </c>
      <c r="M22" s="1069"/>
      <c r="N22" s="1069"/>
      <c r="O22" s="1069"/>
      <c r="P22" s="1069"/>
      <c r="Q22" s="565"/>
      <c r="R22" s="565"/>
      <c r="S22" s="565" t="str">
        <f t="shared" si="5"/>
        <v/>
      </c>
      <c r="T22" s="5">
        <v>17</v>
      </c>
      <c r="U22" s="1069" t="str">
        <f t="shared" si="1"/>
        <v/>
      </c>
      <c r="V22" s="1069"/>
      <c r="W22" s="1069"/>
      <c r="X22" s="1069"/>
      <c r="Y22" s="1069"/>
      <c r="Z22" s="565"/>
      <c r="AA22" s="565"/>
      <c r="AB22" s="565" t="str">
        <f t="shared" si="6"/>
        <v/>
      </c>
      <c r="AC22" s="5">
        <v>17</v>
      </c>
      <c r="AD22" s="1069" t="str">
        <f t="shared" si="2"/>
        <v/>
      </c>
      <c r="AE22" s="1069"/>
      <c r="AF22" s="1069"/>
      <c r="AG22" s="1069"/>
      <c r="AH22" s="1069"/>
      <c r="AI22" s="565"/>
      <c r="AJ22" s="565" t="str">
        <f t="shared" si="7"/>
        <v/>
      </c>
      <c r="AK22" s="120"/>
      <c r="AL22" s="120"/>
      <c r="AM22" s="120"/>
      <c r="AN22" s="120"/>
      <c r="AO22" s="120"/>
      <c r="AP22" s="120"/>
      <c r="AQ22" s="120"/>
      <c r="AR22" s="120"/>
      <c r="AS22" s="120"/>
      <c r="AT22" s="120"/>
      <c r="AU22" s="120"/>
      <c r="AV22" s="120"/>
      <c r="AW22" s="120"/>
      <c r="AX22" s="120"/>
      <c r="AY22" s="120"/>
      <c r="AZ22" s="120"/>
      <c r="BA22" s="120"/>
      <c r="BB22" s="120"/>
      <c r="BC22" s="120"/>
      <c r="BD22" s="120"/>
      <c r="BE22" s="120"/>
      <c r="BF22" s="120"/>
      <c r="BG22" s="120"/>
      <c r="BH22" s="120"/>
      <c r="BI22" s="120"/>
      <c r="BJ22" s="120"/>
      <c r="BK22" s="120"/>
      <c r="BL22" s="120"/>
      <c r="BM22" s="120"/>
      <c r="BN22" s="120"/>
      <c r="BO22" s="120"/>
      <c r="BP22" s="120"/>
      <c r="BQ22" s="120"/>
      <c r="BR22" s="120"/>
      <c r="BS22" s="120"/>
      <c r="BT22" s="120"/>
      <c r="BU22" s="120"/>
      <c r="BV22" s="120"/>
      <c r="BW22" s="120"/>
      <c r="BX22" s="120"/>
    </row>
    <row r="23" spans="1:92" x14ac:dyDescent="0.25">
      <c r="A23" s="120"/>
      <c r="B23" s="5">
        <v>18</v>
      </c>
      <c r="C23" s="1069" t="str">
        <f t="shared" si="3"/>
        <v/>
      </c>
      <c r="D23" s="1069"/>
      <c r="E23" s="1069"/>
      <c r="F23" s="1069"/>
      <c r="G23" s="1069"/>
      <c r="H23" s="565"/>
      <c r="I23" s="565"/>
      <c r="J23" s="565" t="str">
        <f t="shared" si="4"/>
        <v/>
      </c>
      <c r="K23" s="5">
        <v>18</v>
      </c>
      <c r="L23" s="1069" t="str">
        <f t="shared" si="0"/>
        <v/>
      </c>
      <c r="M23" s="1069"/>
      <c r="N23" s="1069"/>
      <c r="O23" s="1069"/>
      <c r="P23" s="1069"/>
      <c r="Q23" s="565"/>
      <c r="R23" s="565"/>
      <c r="S23" s="565" t="str">
        <f t="shared" si="5"/>
        <v/>
      </c>
      <c r="T23" s="5">
        <v>18</v>
      </c>
      <c r="U23" s="1069" t="str">
        <f t="shared" si="1"/>
        <v/>
      </c>
      <c r="V23" s="1069"/>
      <c r="W23" s="1069"/>
      <c r="X23" s="1069"/>
      <c r="Y23" s="1069"/>
      <c r="Z23" s="565"/>
      <c r="AA23" s="565"/>
      <c r="AB23" s="565" t="str">
        <f t="shared" si="6"/>
        <v/>
      </c>
      <c r="AC23" s="5">
        <v>18</v>
      </c>
      <c r="AD23" s="1069" t="str">
        <f t="shared" si="2"/>
        <v/>
      </c>
      <c r="AE23" s="1069"/>
      <c r="AF23" s="1069"/>
      <c r="AG23" s="1069"/>
      <c r="AH23" s="1069"/>
      <c r="AI23" s="565"/>
      <c r="AJ23" s="565" t="str">
        <f t="shared" si="7"/>
        <v/>
      </c>
      <c r="AK23" s="120"/>
      <c r="AL23" s="120"/>
      <c r="AM23" s="120"/>
      <c r="AN23" s="120"/>
      <c r="AO23" s="120"/>
      <c r="AP23" s="120"/>
      <c r="AQ23" s="120"/>
      <c r="AR23" s="120"/>
      <c r="AS23" s="120"/>
      <c r="AT23" s="120"/>
      <c r="AU23" s="120"/>
      <c r="AV23" s="120"/>
      <c r="AW23" s="120"/>
      <c r="AX23" s="120"/>
      <c r="AY23" s="120"/>
      <c r="AZ23" s="120"/>
      <c r="BA23" s="120"/>
      <c r="BB23" s="120"/>
      <c r="BC23" s="120"/>
      <c r="BD23" s="120"/>
      <c r="BE23" s="120"/>
      <c r="BF23" s="120"/>
      <c r="BG23" s="120"/>
      <c r="BH23" s="120"/>
      <c r="BI23" s="120"/>
      <c r="BJ23" s="120"/>
      <c r="BK23" s="120"/>
      <c r="BL23" s="120"/>
      <c r="BM23" s="120"/>
      <c r="BN23" s="120"/>
      <c r="BO23" s="120"/>
      <c r="BP23" s="120"/>
      <c r="BQ23" s="120"/>
      <c r="BR23" s="120"/>
      <c r="BS23" s="120"/>
      <c r="BT23" s="120"/>
      <c r="BU23" s="120"/>
      <c r="BV23" s="120"/>
      <c r="BW23" s="120"/>
      <c r="BX23" s="120"/>
    </row>
    <row r="24" spans="1:92" x14ac:dyDescent="0.25">
      <c r="A24" s="120"/>
      <c r="B24" s="5">
        <v>19</v>
      </c>
      <c r="C24" s="1069" t="str">
        <f>IFERROR(INDEX($CE$6:$CE$18,MATCH(B24,$CH$6:$CH$18,0),1),"")</f>
        <v/>
      </c>
      <c r="D24" s="1069"/>
      <c r="E24" s="1069"/>
      <c r="F24" s="1069"/>
      <c r="G24" s="1069"/>
      <c r="H24" s="565"/>
      <c r="I24" s="565"/>
      <c r="J24" s="565" t="str">
        <f t="shared" si="4"/>
        <v/>
      </c>
      <c r="K24" s="5">
        <v>19</v>
      </c>
      <c r="L24" s="1069" t="str">
        <f t="shared" si="0"/>
        <v/>
      </c>
      <c r="M24" s="1069"/>
      <c r="N24" s="1069"/>
      <c r="O24" s="1069"/>
      <c r="P24" s="1069"/>
      <c r="Q24" s="565"/>
      <c r="R24" s="565"/>
      <c r="S24" s="565" t="str">
        <f t="shared" si="5"/>
        <v/>
      </c>
      <c r="T24" s="5">
        <v>19</v>
      </c>
      <c r="U24" s="1069" t="str">
        <f t="shared" si="1"/>
        <v/>
      </c>
      <c r="V24" s="1069"/>
      <c r="W24" s="1069"/>
      <c r="X24" s="1069"/>
      <c r="Y24" s="1069"/>
      <c r="Z24" s="565"/>
      <c r="AA24" s="565"/>
      <c r="AB24" s="565" t="str">
        <f t="shared" si="6"/>
        <v/>
      </c>
      <c r="AC24" s="5">
        <v>19</v>
      </c>
      <c r="AD24" s="1069" t="str">
        <f t="shared" si="2"/>
        <v/>
      </c>
      <c r="AE24" s="1069"/>
      <c r="AF24" s="1069"/>
      <c r="AG24" s="1069"/>
      <c r="AH24" s="1069"/>
      <c r="AI24" s="565"/>
      <c r="AJ24" s="565" t="str">
        <f t="shared" si="7"/>
        <v/>
      </c>
      <c r="AK24" s="120"/>
      <c r="AL24" s="120"/>
      <c r="AM24" s="120"/>
      <c r="AN24" s="120"/>
      <c r="AO24" s="120"/>
      <c r="AP24" s="120"/>
      <c r="AQ24" s="120"/>
      <c r="AR24" s="120"/>
      <c r="AS24" s="120"/>
      <c r="AT24" s="120"/>
      <c r="AU24" s="120"/>
      <c r="AV24" s="120"/>
      <c r="AW24" s="120"/>
      <c r="AX24" s="120"/>
      <c r="AY24" s="120"/>
      <c r="AZ24" s="120"/>
      <c r="BA24" s="120"/>
      <c r="BB24" s="120"/>
      <c r="BC24" s="120"/>
      <c r="BD24" s="120"/>
      <c r="BE24" s="120"/>
      <c r="BF24" s="120"/>
      <c r="BG24" s="120"/>
      <c r="BH24" s="120"/>
      <c r="BI24" s="120"/>
      <c r="BJ24" s="120"/>
      <c r="BK24" s="120"/>
      <c r="BL24" s="120"/>
      <c r="BM24" s="120"/>
      <c r="BN24" s="120"/>
      <c r="BO24" s="120"/>
      <c r="BP24" s="120"/>
      <c r="BQ24" s="120"/>
      <c r="BR24" s="120"/>
      <c r="BS24" s="120"/>
      <c r="BT24" s="120"/>
      <c r="BU24" s="120"/>
      <c r="BV24" s="120"/>
      <c r="BW24" s="120"/>
      <c r="BX24" s="120"/>
    </row>
    <row r="25" spans="1:92" x14ac:dyDescent="0.25">
      <c r="A25" s="120"/>
      <c r="B25" s="5">
        <v>20</v>
      </c>
      <c r="C25" s="1069" t="str">
        <f t="shared" si="3"/>
        <v/>
      </c>
      <c r="D25" s="1069"/>
      <c r="E25" s="1069"/>
      <c r="F25" s="1069"/>
      <c r="G25" s="1069"/>
      <c r="H25" s="565"/>
      <c r="I25" s="565"/>
      <c r="J25" s="565" t="str">
        <f t="shared" si="4"/>
        <v/>
      </c>
      <c r="K25" s="5">
        <v>20</v>
      </c>
      <c r="L25" s="1069" t="str">
        <f t="shared" si="0"/>
        <v/>
      </c>
      <c r="M25" s="1069"/>
      <c r="N25" s="1069"/>
      <c r="O25" s="1069"/>
      <c r="P25" s="1069"/>
      <c r="Q25" s="565"/>
      <c r="R25" s="565"/>
      <c r="S25" s="565" t="str">
        <f t="shared" si="5"/>
        <v/>
      </c>
      <c r="T25" s="5">
        <v>20</v>
      </c>
      <c r="U25" s="1069" t="str">
        <f t="shared" si="1"/>
        <v/>
      </c>
      <c r="V25" s="1069"/>
      <c r="W25" s="1069"/>
      <c r="X25" s="1069"/>
      <c r="Y25" s="1069"/>
      <c r="Z25" s="565"/>
      <c r="AA25" s="565"/>
      <c r="AB25" s="565" t="str">
        <f t="shared" si="6"/>
        <v/>
      </c>
      <c r="AC25" s="5">
        <v>20</v>
      </c>
      <c r="AD25" s="1069" t="str">
        <f t="shared" si="2"/>
        <v/>
      </c>
      <c r="AE25" s="1069"/>
      <c r="AF25" s="1069"/>
      <c r="AG25" s="1069"/>
      <c r="AH25" s="1069"/>
      <c r="AI25" s="565"/>
      <c r="AJ25" s="565" t="str">
        <f t="shared" si="7"/>
        <v/>
      </c>
      <c r="AK25" s="120"/>
      <c r="AL25" s="120"/>
      <c r="AM25" s="120"/>
      <c r="AN25" s="120"/>
      <c r="AO25" s="120"/>
      <c r="AP25" s="120"/>
      <c r="AQ25" s="120"/>
      <c r="AR25" s="120"/>
      <c r="AS25" s="120"/>
      <c r="AT25" s="120"/>
      <c r="AU25" s="120"/>
      <c r="AV25" s="120"/>
      <c r="AW25" s="120"/>
      <c r="AX25" s="120"/>
      <c r="AY25" s="120"/>
      <c r="AZ25" s="120"/>
      <c r="BA25" s="120"/>
      <c r="BB25" s="120"/>
      <c r="BC25" s="120"/>
      <c r="BD25" s="120"/>
      <c r="BE25" s="120"/>
      <c r="BF25" s="120"/>
      <c r="BG25" s="120"/>
      <c r="BH25" s="120"/>
      <c r="BI25" s="120"/>
      <c r="BJ25" s="120"/>
      <c r="BK25" s="120"/>
      <c r="BL25" s="120"/>
      <c r="BM25" s="120"/>
      <c r="BN25" s="120"/>
      <c r="BO25" s="120"/>
      <c r="BP25" s="120"/>
      <c r="BQ25" s="120"/>
      <c r="BR25" s="120"/>
      <c r="BS25" s="120"/>
      <c r="BT25" s="120"/>
      <c r="BU25" s="120"/>
      <c r="BV25" s="120"/>
      <c r="BW25" s="120"/>
      <c r="BX25" s="120"/>
    </row>
    <row r="26" spans="1:92" x14ac:dyDescent="0.25">
      <c r="A26" s="120"/>
      <c r="B26" s="5">
        <v>21</v>
      </c>
      <c r="C26" s="1069" t="str">
        <f t="shared" si="3"/>
        <v/>
      </c>
      <c r="D26" s="1069"/>
      <c r="E26" s="1069"/>
      <c r="F26" s="1069"/>
      <c r="G26" s="1069"/>
      <c r="H26" s="565"/>
      <c r="I26" s="565"/>
      <c r="J26" s="565" t="str">
        <f t="shared" si="4"/>
        <v/>
      </c>
      <c r="K26" s="5">
        <v>21</v>
      </c>
      <c r="L26" s="1069" t="str">
        <f t="shared" si="0"/>
        <v/>
      </c>
      <c r="M26" s="1069"/>
      <c r="N26" s="1069"/>
      <c r="O26" s="1069"/>
      <c r="P26" s="1069"/>
      <c r="Q26" s="565"/>
      <c r="R26" s="565"/>
      <c r="S26" s="565" t="str">
        <f t="shared" si="5"/>
        <v/>
      </c>
      <c r="T26" s="5">
        <v>21</v>
      </c>
      <c r="U26" s="1069" t="str">
        <f t="shared" si="1"/>
        <v/>
      </c>
      <c r="V26" s="1069"/>
      <c r="W26" s="1069"/>
      <c r="X26" s="1069"/>
      <c r="Y26" s="1069"/>
      <c r="Z26" s="565"/>
      <c r="AA26" s="565"/>
      <c r="AB26" s="565" t="str">
        <f t="shared" si="6"/>
        <v/>
      </c>
      <c r="AC26" s="5">
        <v>21</v>
      </c>
      <c r="AD26" s="1069" t="str">
        <f t="shared" si="2"/>
        <v/>
      </c>
      <c r="AE26" s="1069"/>
      <c r="AF26" s="1069"/>
      <c r="AG26" s="1069"/>
      <c r="AH26" s="1069"/>
      <c r="AI26" s="565"/>
      <c r="AJ26" s="565" t="str">
        <f t="shared" si="7"/>
        <v/>
      </c>
      <c r="AK26" s="120"/>
      <c r="AL26" s="120"/>
      <c r="AM26" s="120"/>
      <c r="AN26" s="120"/>
      <c r="AO26" s="120"/>
      <c r="AP26" s="120"/>
      <c r="AQ26" s="120"/>
      <c r="AR26" s="120"/>
      <c r="AS26" s="120"/>
      <c r="AT26" s="120"/>
      <c r="AU26" s="120"/>
      <c r="AV26" s="120"/>
      <c r="AW26" s="120"/>
      <c r="AX26" s="120"/>
      <c r="AY26" s="120"/>
      <c r="AZ26" s="120"/>
      <c r="BA26" s="120"/>
      <c r="BB26" s="120"/>
      <c r="BC26" s="120"/>
      <c r="BD26" s="120"/>
      <c r="BE26" s="120"/>
      <c r="BF26" s="120"/>
      <c r="BG26" s="120"/>
      <c r="BH26" s="120"/>
      <c r="BI26" s="120"/>
      <c r="BJ26" s="120"/>
      <c r="BK26" s="120"/>
      <c r="BL26" s="120"/>
      <c r="BM26" s="120"/>
      <c r="BN26" s="120"/>
      <c r="BO26" s="120"/>
      <c r="BP26" s="120"/>
      <c r="BQ26" s="120"/>
      <c r="BR26" s="120"/>
      <c r="BS26" s="120"/>
      <c r="BT26" s="120"/>
      <c r="BU26" s="120"/>
      <c r="BV26" s="120"/>
      <c r="BW26" s="120"/>
      <c r="BX26" s="120"/>
    </row>
    <row r="27" spans="1:92" x14ac:dyDescent="0.25">
      <c r="A27" s="120"/>
      <c r="B27" s="5">
        <v>22</v>
      </c>
      <c r="C27" s="1069" t="str">
        <f>IFERROR(INDEX($CE$6:$CE$18,MATCH(B27,$CH$6:$CH$18,0),1),"")</f>
        <v/>
      </c>
      <c r="D27" s="1069"/>
      <c r="E27" s="1069"/>
      <c r="F27" s="1069"/>
      <c r="G27" s="1069"/>
      <c r="H27" s="565"/>
      <c r="I27" s="565"/>
      <c r="J27" s="565" t="str">
        <f t="shared" si="4"/>
        <v/>
      </c>
      <c r="K27" s="5">
        <v>22</v>
      </c>
      <c r="L27" s="1069" t="str">
        <f t="shared" si="0"/>
        <v/>
      </c>
      <c r="M27" s="1069"/>
      <c r="N27" s="1069"/>
      <c r="O27" s="1069"/>
      <c r="P27" s="1069"/>
      <c r="Q27" s="565"/>
      <c r="R27" s="565"/>
      <c r="S27" s="565" t="str">
        <f t="shared" si="5"/>
        <v/>
      </c>
      <c r="T27" s="5">
        <v>22</v>
      </c>
      <c r="U27" s="1069" t="str">
        <f t="shared" si="1"/>
        <v/>
      </c>
      <c r="V27" s="1069"/>
      <c r="W27" s="1069"/>
      <c r="X27" s="1069"/>
      <c r="Y27" s="1069"/>
      <c r="Z27" s="565"/>
      <c r="AA27" s="565"/>
      <c r="AB27" s="565" t="str">
        <f t="shared" si="6"/>
        <v/>
      </c>
      <c r="AC27" s="5">
        <v>22</v>
      </c>
      <c r="AD27" s="1069" t="str">
        <f t="shared" si="2"/>
        <v/>
      </c>
      <c r="AE27" s="1069"/>
      <c r="AF27" s="1069"/>
      <c r="AG27" s="1069"/>
      <c r="AH27" s="1069"/>
      <c r="AI27" s="565"/>
      <c r="AJ27" s="565" t="str">
        <f t="shared" si="7"/>
        <v/>
      </c>
      <c r="AK27" s="120"/>
      <c r="AL27" s="120"/>
      <c r="AM27" s="120"/>
      <c r="AN27" s="120"/>
      <c r="AO27" s="120"/>
      <c r="AP27" s="120"/>
      <c r="AQ27" s="120"/>
      <c r="AR27" s="120"/>
      <c r="AS27" s="120"/>
      <c r="AT27" s="120"/>
      <c r="AU27" s="120"/>
      <c r="AV27" s="120"/>
      <c r="AW27" s="120"/>
      <c r="AX27" s="120"/>
      <c r="AY27" s="120"/>
      <c r="AZ27" s="120"/>
      <c r="BA27" s="120"/>
      <c r="BB27" s="120"/>
      <c r="BC27" s="120"/>
      <c r="BD27" s="120"/>
      <c r="BE27" s="120"/>
      <c r="BF27" s="120"/>
      <c r="BG27" s="120"/>
      <c r="BH27" s="120"/>
      <c r="BI27" s="120"/>
      <c r="BJ27" s="120"/>
      <c r="BK27" s="120"/>
      <c r="BL27" s="120"/>
      <c r="BM27" s="120"/>
      <c r="BN27" s="120"/>
      <c r="BO27" s="120"/>
      <c r="BP27" s="120"/>
      <c r="BQ27" s="120"/>
      <c r="BR27" s="120"/>
      <c r="BS27" s="120"/>
      <c r="BT27" s="120"/>
      <c r="BU27" s="120"/>
      <c r="BV27" s="120"/>
      <c r="BW27" s="120"/>
      <c r="BX27" s="120"/>
    </row>
    <row r="28" spans="1:92" x14ac:dyDescent="0.25">
      <c r="A28" s="120"/>
      <c r="B28" s="5">
        <v>23</v>
      </c>
      <c r="C28" s="1069" t="str">
        <f t="shared" si="3"/>
        <v/>
      </c>
      <c r="D28" s="1069"/>
      <c r="E28" s="1069"/>
      <c r="F28" s="1069"/>
      <c r="G28" s="1069"/>
      <c r="H28" s="565"/>
      <c r="I28" s="565"/>
      <c r="J28" s="565" t="str">
        <f t="shared" si="4"/>
        <v/>
      </c>
      <c r="K28" s="5">
        <v>23</v>
      </c>
      <c r="L28" s="1069" t="str">
        <f t="shared" si="0"/>
        <v/>
      </c>
      <c r="M28" s="1069"/>
      <c r="N28" s="1069"/>
      <c r="O28" s="1069"/>
      <c r="P28" s="1069"/>
      <c r="Q28" s="565"/>
      <c r="R28" s="565"/>
      <c r="S28" s="565" t="str">
        <f t="shared" si="5"/>
        <v/>
      </c>
      <c r="T28" s="5">
        <v>23</v>
      </c>
      <c r="U28" s="1069" t="str">
        <f t="shared" si="1"/>
        <v/>
      </c>
      <c r="V28" s="1069"/>
      <c r="W28" s="1069"/>
      <c r="X28" s="1069"/>
      <c r="Y28" s="1069"/>
      <c r="Z28" s="565"/>
      <c r="AA28" s="565"/>
      <c r="AB28" s="565" t="str">
        <f t="shared" si="6"/>
        <v/>
      </c>
      <c r="AC28" s="5">
        <v>23</v>
      </c>
      <c r="AD28" s="1069" t="str">
        <f t="shared" si="2"/>
        <v/>
      </c>
      <c r="AE28" s="1069"/>
      <c r="AF28" s="1069"/>
      <c r="AG28" s="1069"/>
      <c r="AH28" s="1069"/>
      <c r="AI28" s="565"/>
      <c r="AJ28" s="565" t="str">
        <f t="shared" si="7"/>
        <v/>
      </c>
      <c r="AK28" s="120"/>
      <c r="AL28" s="120"/>
      <c r="AM28" s="120"/>
      <c r="AN28" s="120"/>
      <c r="AO28" s="120"/>
      <c r="AP28" s="120"/>
      <c r="AQ28" s="120"/>
      <c r="AR28" s="120"/>
      <c r="AS28" s="120"/>
      <c r="AT28" s="120"/>
      <c r="AU28" s="120"/>
      <c r="AV28" s="120"/>
      <c r="AW28" s="120"/>
      <c r="AX28" s="120"/>
      <c r="AY28" s="120"/>
      <c r="AZ28" s="120"/>
      <c r="BA28" s="120"/>
      <c r="BB28" s="120"/>
      <c r="BC28" s="120"/>
      <c r="BD28" s="120"/>
      <c r="BE28" s="120"/>
      <c r="BF28" s="120"/>
      <c r="BG28" s="120"/>
      <c r="BH28" s="120"/>
      <c r="BI28" s="120"/>
      <c r="BJ28" s="120"/>
      <c r="BK28" s="120"/>
      <c r="BL28" s="120"/>
      <c r="BM28" s="120"/>
      <c r="BN28" s="120"/>
      <c r="BO28" s="120"/>
      <c r="BP28" s="120"/>
      <c r="BQ28" s="120"/>
      <c r="BR28" s="120"/>
      <c r="BS28" s="120"/>
      <c r="BT28" s="120"/>
      <c r="BU28" s="120"/>
      <c r="BV28" s="120"/>
      <c r="BW28" s="120"/>
      <c r="BX28" s="120"/>
    </row>
    <row r="29" spans="1:92" x14ac:dyDescent="0.25">
      <c r="A29" s="120"/>
      <c r="B29" s="5">
        <v>24</v>
      </c>
      <c r="C29" s="1069" t="str">
        <f t="shared" si="3"/>
        <v/>
      </c>
      <c r="D29" s="1069"/>
      <c r="E29" s="1069"/>
      <c r="F29" s="1069"/>
      <c r="G29" s="1069"/>
      <c r="H29" s="565"/>
      <c r="I29" s="565"/>
      <c r="J29" s="565" t="str">
        <f t="shared" si="4"/>
        <v/>
      </c>
      <c r="K29" s="5">
        <v>24</v>
      </c>
      <c r="L29" s="1069" t="str">
        <f t="shared" si="0"/>
        <v/>
      </c>
      <c r="M29" s="1069"/>
      <c r="N29" s="1069"/>
      <c r="O29" s="1069"/>
      <c r="P29" s="1069"/>
      <c r="Q29" s="565"/>
      <c r="R29" s="565"/>
      <c r="S29" s="565" t="str">
        <f t="shared" si="5"/>
        <v/>
      </c>
      <c r="T29" s="5">
        <v>24</v>
      </c>
      <c r="U29" s="1069" t="str">
        <f t="shared" si="1"/>
        <v/>
      </c>
      <c r="V29" s="1069"/>
      <c r="W29" s="1069"/>
      <c r="X29" s="1069"/>
      <c r="Y29" s="1069"/>
      <c r="Z29" s="565"/>
      <c r="AA29" s="565"/>
      <c r="AB29" s="565" t="str">
        <f t="shared" si="6"/>
        <v/>
      </c>
      <c r="AC29" s="5">
        <v>24</v>
      </c>
      <c r="AD29" s="1069" t="str">
        <f t="shared" si="2"/>
        <v/>
      </c>
      <c r="AE29" s="1069"/>
      <c r="AF29" s="1069"/>
      <c r="AG29" s="1069"/>
      <c r="AH29" s="1069"/>
      <c r="AI29" s="565"/>
      <c r="AJ29" s="565" t="str">
        <f t="shared" si="7"/>
        <v/>
      </c>
      <c r="AK29" s="120"/>
      <c r="AL29" s="120"/>
      <c r="AM29" s="120"/>
      <c r="AN29" s="120"/>
      <c r="AO29" s="120"/>
      <c r="AP29" s="120"/>
      <c r="AQ29" s="120"/>
      <c r="AR29" s="120"/>
      <c r="AS29" s="120"/>
      <c r="AT29" s="120"/>
      <c r="AU29" s="120"/>
      <c r="AV29" s="120"/>
      <c r="AW29" s="120"/>
      <c r="AX29" s="120"/>
      <c r="AY29" s="120"/>
      <c r="AZ29" s="120"/>
      <c r="BA29" s="120"/>
      <c r="BB29" s="120"/>
      <c r="BC29" s="120"/>
      <c r="BD29" s="120"/>
      <c r="BE29" s="120"/>
      <c r="BF29" s="120"/>
      <c r="BG29" s="120"/>
      <c r="BH29" s="120"/>
      <c r="BI29" s="120"/>
      <c r="BJ29" s="120"/>
      <c r="BK29" s="120"/>
      <c r="BL29" s="120"/>
      <c r="BM29" s="120"/>
      <c r="BN29" s="120"/>
      <c r="BO29" s="120"/>
      <c r="BP29" s="120"/>
      <c r="BQ29" s="120"/>
      <c r="BR29" s="120"/>
      <c r="BS29" s="120"/>
      <c r="BT29" s="120"/>
      <c r="BU29" s="120"/>
      <c r="BV29" s="120"/>
      <c r="BW29" s="120"/>
      <c r="BX29" s="120"/>
    </row>
    <row r="30" spans="1:92" x14ac:dyDescent="0.25">
      <c r="A30" s="120"/>
      <c r="B30" s="5">
        <v>25</v>
      </c>
      <c r="C30" s="1069" t="str">
        <f>IFERROR(INDEX($CE$6:$CE$18,MATCH(B30,$CH$6:$CH$18,0),1),"")</f>
        <v/>
      </c>
      <c r="D30" s="1069"/>
      <c r="E30" s="1069"/>
      <c r="F30" s="1069"/>
      <c r="G30" s="1069"/>
      <c r="H30" s="565"/>
      <c r="I30" s="565"/>
      <c r="J30" s="565" t="str">
        <f t="shared" si="4"/>
        <v/>
      </c>
      <c r="K30" s="5">
        <v>25</v>
      </c>
      <c r="L30" s="1069" t="str">
        <f t="shared" si="0"/>
        <v/>
      </c>
      <c r="M30" s="1069"/>
      <c r="N30" s="1069"/>
      <c r="O30" s="1069"/>
      <c r="P30" s="1069"/>
      <c r="Q30" s="565"/>
      <c r="R30" s="565"/>
      <c r="S30" s="565" t="str">
        <f t="shared" si="5"/>
        <v/>
      </c>
      <c r="T30" s="5">
        <v>25</v>
      </c>
      <c r="U30" s="1069" t="str">
        <f t="shared" si="1"/>
        <v/>
      </c>
      <c r="V30" s="1069"/>
      <c r="W30" s="1069"/>
      <c r="X30" s="1069"/>
      <c r="Y30" s="1069"/>
      <c r="Z30" s="565"/>
      <c r="AA30" s="565"/>
      <c r="AB30" s="565" t="str">
        <f t="shared" si="6"/>
        <v/>
      </c>
      <c r="AC30" s="5">
        <v>25</v>
      </c>
      <c r="AD30" s="1069" t="str">
        <f t="shared" si="2"/>
        <v/>
      </c>
      <c r="AE30" s="1069"/>
      <c r="AF30" s="1069"/>
      <c r="AG30" s="1069"/>
      <c r="AH30" s="1069"/>
      <c r="AI30" s="565"/>
      <c r="AJ30" s="565" t="str">
        <f t="shared" si="7"/>
        <v/>
      </c>
      <c r="AK30" s="120"/>
      <c r="AL30" s="120"/>
      <c r="AM30" s="120"/>
      <c r="AN30" s="120"/>
      <c r="AO30" s="120"/>
      <c r="AP30" s="120"/>
      <c r="AQ30" s="120"/>
      <c r="AR30" s="120"/>
      <c r="AS30" s="120"/>
      <c r="AT30" s="120"/>
      <c r="AU30" s="120"/>
      <c r="AV30" s="120"/>
      <c r="AW30" s="120"/>
      <c r="AX30" s="120"/>
      <c r="AY30" s="120"/>
      <c r="AZ30" s="120"/>
      <c r="BA30" s="120"/>
      <c r="BB30" s="120"/>
      <c r="BC30" s="120"/>
      <c r="BD30" s="120"/>
      <c r="BE30" s="120"/>
      <c r="BF30" s="120"/>
      <c r="BG30" s="120"/>
      <c r="BH30" s="120"/>
      <c r="BI30" s="120"/>
      <c r="BJ30" s="120"/>
      <c r="BK30" s="120"/>
      <c r="BL30" s="120"/>
      <c r="BM30" s="120"/>
      <c r="BN30" s="120"/>
      <c r="BO30" s="120"/>
      <c r="BP30" s="120"/>
      <c r="BQ30" s="120"/>
      <c r="BR30" s="120"/>
      <c r="BS30" s="120"/>
      <c r="BT30" s="120"/>
      <c r="BU30" s="120"/>
      <c r="BV30" s="120"/>
      <c r="BW30" s="120"/>
      <c r="BX30" s="120"/>
    </row>
    <row r="31" spans="1:92" x14ac:dyDescent="0.25">
      <c r="A31" s="120"/>
      <c r="B31" s="5">
        <v>26</v>
      </c>
      <c r="C31" s="1069" t="str">
        <f t="shared" si="3"/>
        <v/>
      </c>
      <c r="D31" s="1069"/>
      <c r="E31" s="1069"/>
      <c r="F31" s="1069"/>
      <c r="G31" s="1069"/>
      <c r="H31" s="565"/>
      <c r="I31" s="565"/>
      <c r="J31" s="565" t="str">
        <f t="shared" si="4"/>
        <v/>
      </c>
      <c r="K31" s="5">
        <v>26</v>
      </c>
      <c r="L31" s="1069" t="str">
        <f t="shared" si="0"/>
        <v/>
      </c>
      <c r="M31" s="1069"/>
      <c r="N31" s="1069"/>
      <c r="O31" s="1069"/>
      <c r="P31" s="1069"/>
      <c r="Q31" s="565"/>
      <c r="R31" s="565"/>
      <c r="S31" s="565" t="str">
        <f t="shared" si="5"/>
        <v/>
      </c>
      <c r="T31" s="5">
        <v>26</v>
      </c>
      <c r="U31" s="1069" t="str">
        <f t="shared" si="1"/>
        <v/>
      </c>
      <c r="V31" s="1069"/>
      <c r="W31" s="1069"/>
      <c r="X31" s="1069"/>
      <c r="Y31" s="1069"/>
      <c r="Z31" s="565"/>
      <c r="AA31" s="565"/>
      <c r="AB31" s="565" t="str">
        <f t="shared" si="6"/>
        <v/>
      </c>
      <c r="AC31" s="5">
        <v>26</v>
      </c>
      <c r="AD31" s="1069" t="str">
        <f t="shared" si="2"/>
        <v/>
      </c>
      <c r="AE31" s="1069"/>
      <c r="AF31" s="1069"/>
      <c r="AG31" s="1069"/>
      <c r="AH31" s="1069"/>
      <c r="AI31" s="565"/>
      <c r="AJ31" s="565" t="str">
        <f t="shared" si="7"/>
        <v/>
      </c>
      <c r="AK31" s="120"/>
      <c r="AL31" s="120"/>
      <c r="AM31" s="120"/>
      <c r="AN31" s="120"/>
      <c r="AO31" s="120"/>
      <c r="AP31" s="120"/>
      <c r="AQ31" s="120"/>
      <c r="AR31" s="120"/>
      <c r="AS31" s="120"/>
      <c r="AT31" s="120"/>
      <c r="AU31" s="120"/>
      <c r="AV31" s="120"/>
      <c r="AW31" s="120"/>
      <c r="AX31" s="120"/>
      <c r="AY31" s="120"/>
      <c r="AZ31" s="120"/>
      <c r="BA31" s="120"/>
      <c r="BB31" s="120"/>
      <c r="BC31" s="120"/>
      <c r="BD31" s="120"/>
      <c r="BE31" s="120"/>
      <c r="BF31" s="120"/>
      <c r="BG31" s="120"/>
      <c r="BH31" s="120"/>
      <c r="BI31" s="120"/>
      <c r="BJ31" s="120"/>
      <c r="BK31" s="120"/>
      <c r="BL31" s="120"/>
      <c r="BM31" s="120"/>
      <c r="BN31" s="120"/>
      <c r="BO31" s="120"/>
      <c r="BP31" s="120"/>
      <c r="BQ31" s="120"/>
      <c r="BR31" s="120"/>
      <c r="BS31" s="120"/>
      <c r="BT31" s="120"/>
      <c r="BU31" s="120"/>
      <c r="BV31" s="120"/>
      <c r="BW31" s="120"/>
      <c r="BX31" s="120"/>
    </row>
    <row r="32" spans="1:92" x14ac:dyDescent="0.25">
      <c r="A32" s="120"/>
      <c r="B32" s="5">
        <v>27</v>
      </c>
      <c r="C32" s="1069" t="str">
        <f t="shared" si="3"/>
        <v/>
      </c>
      <c r="D32" s="1069"/>
      <c r="E32" s="1069"/>
      <c r="F32" s="1069"/>
      <c r="G32" s="1069"/>
      <c r="H32" s="565"/>
      <c r="I32" s="565"/>
      <c r="J32" s="565" t="str">
        <f t="shared" si="4"/>
        <v/>
      </c>
      <c r="K32" s="5">
        <v>27</v>
      </c>
      <c r="L32" s="1069" t="str">
        <f t="shared" si="0"/>
        <v/>
      </c>
      <c r="M32" s="1069"/>
      <c r="N32" s="1069"/>
      <c r="O32" s="1069"/>
      <c r="P32" s="1069"/>
      <c r="Q32" s="565"/>
      <c r="R32" s="565"/>
      <c r="S32" s="565" t="str">
        <f t="shared" si="5"/>
        <v/>
      </c>
      <c r="T32" s="5">
        <v>27</v>
      </c>
      <c r="U32" s="1069" t="str">
        <f t="shared" si="1"/>
        <v/>
      </c>
      <c r="V32" s="1069"/>
      <c r="W32" s="1069"/>
      <c r="X32" s="1069"/>
      <c r="Y32" s="1069"/>
      <c r="Z32" s="565"/>
      <c r="AA32" s="565"/>
      <c r="AB32" s="565" t="str">
        <f t="shared" si="6"/>
        <v/>
      </c>
      <c r="AC32" s="5">
        <v>27</v>
      </c>
      <c r="AD32" s="1069" t="str">
        <f t="shared" si="2"/>
        <v/>
      </c>
      <c r="AE32" s="1069"/>
      <c r="AF32" s="1069"/>
      <c r="AG32" s="1069"/>
      <c r="AH32" s="1069"/>
      <c r="AI32" s="565"/>
      <c r="AJ32" s="565" t="str">
        <f t="shared" si="7"/>
        <v/>
      </c>
      <c r="AK32" s="120"/>
      <c r="AL32" s="120"/>
      <c r="AM32" s="120"/>
      <c r="AN32" s="120"/>
      <c r="AO32" s="120"/>
      <c r="AP32" s="120"/>
      <c r="AQ32" s="120"/>
      <c r="AR32" s="120"/>
      <c r="AS32" s="120"/>
      <c r="AT32" s="120"/>
      <c r="AU32" s="120"/>
      <c r="AV32" s="120"/>
      <c r="AW32" s="120"/>
      <c r="AX32" s="120"/>
      <c r="AY32" s="120"/>
      <c r="AZ32" s="120"/>
      <c r="BA32" s="120"/>
      <c r="BB32" s="120"/>
      <c r="BC32" s="120"/>
      <c r="BD32" s="120"/>
      <c r="BE32" s="120"/>
      <c r="BF32" s="120"/>
      <c r="BG32" s="120"/>
      <c r="BH32" s="120"/>
      <c r="BI32" s="120"/>
      <c r="BJ32" s="120"/>
      <c r="BK32" s="120"/>
      <c r="BL32" s="120"/>
      <c r="BM32" s="120"/>
      <c r="BN32" s="120"/>
      <c r="BO32" s="120"/>
      <c r="BP32" s="120"/>
      <c r="BQ32" s="120"/>
      <c r="BR32" s="120"/>
      <c r="BS32" s="120"/>
      <c r="BT32" s="120"/>
      <c r="BU32" s="120"/>
      <c r="BV32" s="120"/>
      <c r="BW32" s="120"/>
      <c r="BX32" s="120"/>
    </row>
    <row r="33" spans="1:77" x14ac:dyDescent="0.25">
      <c r="A33" s="120"/>
      <c r="B33" s="5">
        <v>28</v>
      </c>
      <c r="C33" s="1069" t="str">
        <f>IFERROR(INDEX($CE$6:$CE$18,MATCH(B33,$CH$6:$CH$18,0),1),"")</f>
        <v/>
      </c>
      <c r="D33" s="1069"/>
      <c r="E33" s="1069"/>
      <c r="F33" s="1069"/>
      <c r="G33" s="1069"/>
      <c r="H33" s="565"/>
      <c r="I33" s="565"/>
      <c r="J33" s="565" t="str">
        <f t="shared" si="4"/>
        <v/>
      </c>
      <c r="K33" s="5">
        <v>28</v>
      </c>
      <c r="L33" s="1069" t="str">
        <f t="shared" si="0"/>
        <v/>
      </c>
      <c r="M33" s="1069"/>
      <c r="N33" s="1069"/>
      <c r="O33" s="1069"/>
      <c r="P33" s="1069"/>
      <c r="Q33" s="565"/>
      <c r="R33" s="565"/>
      <c r="S33" s="565" t="str">
        <f t="shared" si="5"/>
        <v/>
      </c>
      <c r="T33" s="5">
        <v>28</v>
      </c>
      <c r="U33" s="1069" t="str">
        <f t="shared" si="1"/>
        <v/>
      </c>
      <c r="V33" s="1069"/>
      <c r="W33" s="1069"/>
      <c r="X33" s="1069"/>
      <c r="Y33" s="1069"/>
      <c r="Z33" s="565"/>
      <c r="AA33" s="565"/>
      <c r="AB33" s="565" t="str">
        <f t="shared" si="6"/>
        <v/>
      </c>
      <c r="AC33" s="5">
        <v>28</v>
      </c>
      <c r="AD33" s="1069" t="str">
        <f t="shared" si="2"/>
        <v/>
      </c>
      <c r="AE33" s="1069"/>
      <c r="AF33" s="1069"/>
      <c r="AG33" s="1069"/>
      <c r="AH33" s="1069"/>
      <c r="AI33" s="565"/>
      <c r="AJ33" s="565" t="str">
        <f t="shared" si="7"/>
        <v/>
      </c>
      <c r="AK33" s="120"/>
      <c r="AL33" s="120"/>
      <c r="AM33" s="120"/>
      <c r="AN33" s="120"/>
      <c r="AO33" s="120"/>
      <c r="AP33" s="120"/>
      <c r="AQ33" s="120"/>
      <c r="AR33" s="120"/>
      <c r="AS33" s="120"/>
      <c r="AT33" s="120"/>
      <c r="AU33" s="120"/>
      <c r="AV33" s="120"/>
      <c r="AW33" s="120"/>
      <c r="AX33" s="120"/>
      <c r="AY33" s="120"/>
      <c r="AZ33" s="120"/>
      <c r="BA33" s="120"/>
      <c r="BB33" s="120"/>
      <c r="BC33" s="120"/>
      <c r="BD33" s="120"/>
      <c r="BE33" s="120"/>
      <c r="BF33" s="120"/>
      <c r="BG33" s="120"/>
      <c r="BH33" s="120"/>
      <c r="BI33" s="120"/>
      <c r="BJ33" s="120"/>
      <c r="BK33" s="120"/>
      <c r="BL33" s="120"/>
      <c r="BM33" s="120"/>
      <c r="BN33" s="120"/>
      <c r="BO33" s="120"/>
      <c r="BP33" s="120"/>
      <c r="BQ33" s="120"/>
      <c r="BR33" s="120"/>
      <c r="BS33" s="120"/>
      <c r="BT33" s="120"/>
      <c r="BU33" s="120"/>
      <c r="BV33" s="120"/>
      <c r="BW33" s="120"/>
      <c r="BX33" s="120"/>
    </row>
    <row r="34" spans="1:77" x14ac:dyDescent="0.25">
      <c r="A34" s="120"/>
      <c r="B34" s="5">
        <v>29</v>
      </c>
      <c r="C34" s="1069" t="str">
        <f t="shared" si="3"/>
        <v/>
      </c>
      <c r="D34" s="1069"/>
      <c r="E34" s="1069"/>
      <c r="F34" s="1069"/>
      <c r="G34" s="1069"/>
      <c r="H34" s="565"/>
      <c r="I34" s="565"/>
      <c r="J34" s="565" t="str">
        <f t="shared" si="4"/>
        <v/>
      </c>
      <c r="K34" s="5">
        <v>29</v>
      </c>
      <c r="L34" s="1069" t="str">
        <f t="shared" si="0"/>
        <v/>
      </c>
      <c r="M34" s="1069"/>
      <c r="N34" s="1069"/>
      <c r="O34" s="1069"/>
      <c r="P34" s="1069"/>
      <c r="Q34" s="565"/>
      <c r="R34" s="565"/>
      <c r="S34" s="565" t="str">
        <f t="shared" si="5"/>
        <v/>
      </c>
      <c r="T34" s="5">
        <v>29</v>
      </c>
      <c r="U34" s="1069" t="str">
        <f t="shared" si="1"/>
        <v/>
      </c>
      <c r="V34" s="1069"/>
      <c r="W34" s="1069"/>
      <c r="X34" s="1069"/>
      <c r="Y34" s="1069"/>
      <c r="Z34" s="565"/>
      <c r="AA34" s="565"/>
      <c r="AB34" s="565" t="str">
        <f t="shared" si="6"/>
        <v/>
      </c>
      <c r="AC34" s="5">
        <v>29</v>
      </c>
      <c r="AD34" s="1069" t="str">
        <f t="shared" si="2"/>
        <v/>
      </c>
      <c r="AE34" s="1069"/>
      <c r="AF34" s="1069"/>
      <c r="AG34" s="1069"/>
      <c r="AH34" s="1069"/>
      <c r="AI34" s="565"/>
      <c r="AJ34" s="565" t="str">
        <f t="shared" si="7"/>
        <v/>
      </c>
      <c r="AK34" s="120"/>
      <c r="AL34" s="120"/>
      <c r="AM34" s="120"/>
      <c r="AN34" s="120"/>
      <c r="AO34" s="120"/>
      <c r="AP34" s="120"/>
      <c r="AQ34" s="120"/>
      <c r="AR34" s="120"/>
      <c r="AS34" s="120"/>
      <c r="AT34" s="120"/>
      <c r="AU34" s="120"/>
      <c r="AV34" s="120"/>
      <c r="AW34" s="120"/>
      <c r="AX34" s="120"/>
      <c r="AY34" s="120"/>
      <c r="AZ34" s="120"/>
      <c r="BA34" s="120"/>
      <c r="BB34" s="120"/>
      <c r="BC34" s="120"/>
      <c r="BD34" s="120"/>
      <c r="BE34" s="120"/>
      <c r="BF34" s="120"/>
      <c r="BG34" s="120"/>
      <c r="BH34" s="120"/>
      <c r="BI34" s="120"/>
      <c r="BJ34" s="120"/>
      <c r="BK34" s="120"/>
      <c r="BL34" s="120"/>
      <c r="BM34" s="120"/>
      <c r="BN34" s="120"/>
      <c r="BO34" s="120"/>
      <c r="BP34" s="120"/>
      <c r="BQ34" s="120"/>
      <c r="BR34" s="120"/>
      <c r="BS34" s="120"/>
      <c r="BT34" s="120"/>
      <c r="BU34" s="120"/>
      <c r="BV34" s="120"/>
      <c r="BW34" s="120"/>
      <c r="BX34" s="120"/>
    </row>
    <row r="35" spans="1:77" x14ac:dyDescent="0.25">
      <c r="A35" s="120"/>
      <c r="B35" s="5">
        <v>30</v>
      </c>
      <c r="C35" s="1069" t="str">
        <f t="shared" si="3"/>
        <v/>
      </c>
      <c r="D35" s="1069"/>
      <c r="E35" s="1069"/>
      <c r="F35" s="1069"/>
      <c r="G35" s="1069"/>
      <c r="H35" s="565"/>
      <c r="I35" s="565"/>
      <c r="J35" s="565" t="str">
        <f t="shared" si="4"/>
        <v/>
      </c>
      <c r="K35" s="5">
        <v>30</v>
      </c>
      <c r="L35" s="1069" t="str">
        <f t="shared" si="0"/>
        <v/>
      </c>
      <c r="M35" s="1069"/>
      <c r="N35" s="1069"/>
      <c r="O35" s="1069"/>
      <c r="P35" s="1069"/>
      <c r="Q35" s="565"/>
      <c r="R35" s="565"/>
      <c r="S35" s="565" t="str">
        <f t="shared" si="5"/>
        <v/>
      </c>
      <c r="T35" s="5">
        <v>30</v>
      </c>
      <c r="U35" s="1069" t="str">
        <f t="shared" si="1"/>
        <v/>
      </c>
      <c r="V35" s="1069"/>
      <c r="W35" s="1069"/>
      <c r="X35" s="1069"/>
      <c r="Y35" s="1069"/>
      <c r="Z35" s="565"/>
      <c r="AA35" s="565"/>
      <c r="AB35" s="565" t="str">
        <f t="shared" si="6"/>
        <v/>
      </c>
      <c r="AC35" s="5">
        <v>30</v>
      </c>
      <c r="AD35" s="1069" t="str">
        <f t="shared" si="2"/>
        <v/>
      </c>
      <c r="AE35" s="1069"/>
      <c r="AF35" s="1069"/>
      <c r="AG35" s="1069"/>
      <c r="AH35" s="1069"/>
      <c r="AI35" s="565"/>
      <c r="AJ35" s="565" t="str">
        <f t="shared" si="7"/>
        <v/>
      </c>
      <c r="AK35" s="120"/>
      <c r="AL35" s="120"/>
      <c r="AM35" s="120"/>
      <c r="AN35" s="120"/>
      <c r="AO35" s="120"/>
      <c r="AP35" s="120"/>
      <c r="AQ35" s="120"/>
      <c r="AR35" s="120"/>
      <c r="AS35" s="120"/>
      <c r="AT35" s="120"/>
      <c r="AU35" s="120"/>
      <c r="AV35" s="120"/>
      <c r="AW35" s="120"/>
      <c r="AX35" s="120"/>
      <c r="AY35" s="120"/>
      <c r="AZ35" s="120"/>
      <c r="BA35" s="120"/>
      <c r="BB35" s="120"/>
      <c r="BC35" s="120"/>
      <c r="BD35" s="120"/>
      <c r="BE35" s="120"/>
      <c r="BF35" s="120"/>
      <c r="BG35" s="120"/>
      <c r="BH35" s="120"/>
      <c r="BI35" s="120"/>
      <c r="BJ35" s="120"/>
      <c r="BK35" s="120"/>
      <c r="BL35" s="120"/>
      <c r="BM35" s="120"/>
      <c r="BN35" s="120"/>
      <c r="BO35" s="120"/>
      <c r="BP35" s="120"/>
      <c r="BQ35" s="120"/>
      <c r="BR35" s="120"/>
      <c r="BS35" s="120"/>
      <c r="BT35" s="120"/>
      <c r="BU35" s="120"/>
      <c r="BV35" s="120"/>
      <c r="BW35" s="120"/>
      <c r="BX35" s="120"/>
    </row>
    <row r="36" spans="1:77" x14ac:dyDescent="0.25">
      <c r="A36" s="120"/>
      <c r="B36" s="120"/>
      <c r="C36" s="120"/>
      <c r="D36" s="120"/>
      <c r="E36" s="120"/>
      <c r="F36" s="120"/>
      <c r="G36" s="120"/>
      <c r="H36" s="565"/>
      <c r="I36" s="565"/>
      <c r="J36" s="565"/>
      <c r="K36" s="120"/>
      <c r="L36" s="120"/>
      <c r="M36" s="120"/>
      <c r="N36" s="120"/>
      <c r="O36" s="120"/>
      <c r="P36" s="120"/>
      <c r="Q36" s="565"/>
      <c r="R36" s="565"/>
      <c r="S36" s="565" t="str">
        <f>IF(L36="","",IF(Q36="",L36&amp;", ",L36&amp;" - prep"&amp;", "))</f>
        <v/>
      </c>
      <c r="T36" s="120"/>
      <c r="U36" s="120"/>
      <c r="V36" s="120"/>
      <c r="W36" s="120"/>
      <c r="X36" s="120"/>
      <c r="Y36" s="120"/>
      <c r="Z36" s="565"/>
      <c r="AA36" s="565"/>
      <c r="AB36" s="565" t="str">
        <f>IF(U36="","",IF(Z36="",U36&amp;", ",U36&amp;" - prep"&amp;", "))</f>
        <v/>
      </c>
      <c r="AC36" s="120"/>
      <c r="AD36" s="120"/>
      <c r="AE36" s="120"/>
      <c r="AF36" s="120"/>
      <c r="AG36" s="120"/>
      <c r="AH36" s="120"/>
      <c r="AI36" s="565"/>
      <c r="AJ36" s="565" t="str">
        <f>IF(AD36="","",IF(AI36="",AD36&amp;", ",AD36&amp;" - prep"&amp;", "))</f>
        <v/>
      </c>
      <c r="AK36" s="120"/>
      <c r="AL36" s="120"/>
      <c r="AM36" s="120"/>
      <c r="AN36" s="120"/>
      <c r="AO36" s="120"/>
      <c r="AP36" s="120"/>
      <c r="AQ36" s="120"/>
      <c r="AR36" s="120" t="str">
        <f>IF(AL36="","",IF(AQ36="",AL36&amp;", ",AL36&amp;" - prep"&amp;", "))</f>
        <v/>
      </c>
      <c r="AS36" s="120"/>
      <c r="AT36" s="120"/>
      <c r="AU36" s="120"/>
      <c r="AV36" s="120"/>
      <c r="AW36" s="120"/>
      <c r="AX36" s="120"/>
      <c r="AY36" s="120"/>
      <c r="AZ36" s="120" t="str">
        <f>IF(AT36="","",IF(AY36="",AT36&amp;", ",AT36&amp;" - prep"&amp;", "))</f>
        <v/>
      </c>
      <c r="BA36" s="120"/>
      <c r="BB36" s="120"/>
      <c r="BC36" s="120"/>
      <c r="BD36" s="120"/>
      <c r="BE36" s="120"/>
      <c r="BF36" s="120"/>
      <c r="BG36" s="120"/>
      <c r="BH36" s="120" t="str">
        <f>IF(BB36="","",IF(BG36="",BB36&amp;", ",BB36&amp;" - prep"&amp;", "))</f>
        <v/>
      </c>
      <c r="BI36" s="120"/>
      <c r="BJ36" s="120"/>
      <c r="BK36" s="120"/>
      <c r="BL36" s="120"/>
      <c r="BM36" s="120"/>
      <c r="BN36" s="120"/>
      <c r="BO36" s="120"/>
      <c r="BP36" s="120" t="str">
        <f>IF(BJ36="","",IF(BO36="",BJ36&amp;", ",BJ36&amp;" - prep"&amp;", "))</f>
        <v/>
      </c>
      <c r="BQ36" s="120"/>
      <c r="BR36" s="120"/>
      <c r="BS36" s="120"/>
      <c r="BT36" s="120"/>
      <c r="BU36" s="120"/>
      <c r="BV36" s="120"/>
      <c r="BW36" s="120"/>
      <c r="BX36" s="120" t="str">
        <f>IF(BR36="","",IF(BW36="",BR36&amp;", ",BR36&amp;" - prep"&amp;", "))</f>
        <v/>
      </c>
    </row>
    <row r="37" spans="1:77" ht="15" customHeight="1" x14ac:dyDescent="0.25">
      <c r="A37" s="120"/>
      <c r="B37" s="1062" t="str">
        <f>"Arcane Trickster Spells known"&amp;CHAR(10)&amp;M37&amp;V37&amp;AE37&amp;AM37</f>
        <v xml:space="preserve">Arcane Trickster Spells known
</v>
      </c>
      <c r="C37" s="1062"/>
      <c r="D37" s="1062"/>
      <c r="E37" s="1062"/>
      <c r="F37" s="1062"/>
      <c r="G37" s="1062"/>
      <c r="H37" s="1062"/>
      <c r="I37" s="590"/>
      <c r="J37" s="566">
        <v>1</v>
      </c>
      <c r="K37" s="565" t="str">
        <f>J6</f>
        <v/>
      </c>
      <c r="L37" s="565" t="str">
        <f>K37</f>
        <v/>
      </c>
      <c r="M37" s="565" t="str">
        <f>IF(M38="","","1st level: "&amp;M38&amp;CHAR(10))</f>
        <v/>
      </c>
      <c r="N37" s="565"/>
      <c r="O37" s="565"/>
      <c r="P37" s="565"/>
      <c r="Q37" s="565"/>
      <c r="R37" s="565"/>
      <c r="S37" s="566">
        <v>1</v>
      </c>
      <c r="T37" s="565" t="str">
        <f>S6</f>
        <v/>
      </c>
      <c r="U37" s="565" t="str">
        <f>T37</f>
        <v/>
      </c>
      <c r="V37" s="565" t="str">
        <f>IF(V38="","","2nd level: "&amp;V38&amp;CHAR(10))</f>
        <v/>
      </c>
      <c r="W37" s="565"/>
      <c r="X37" s="565"/>
      <c r="Y37" s="565"/>
      <c r="Z37" s="565"/>
      <c r="AA37" s="565"/>
      <c r="AB37" s="566">
        <v>1</v>
      </c>
      <c r="AC37" s="565" t="str">
        <f>AB6</f>
        <v/>
      </c>
      <c r="AD37" s="565" t="str">
        <f>AC37</f>
        <v/>
      </c>
      <c r="AE37" s="565" t="str">
        <f>IF(AE38="","","3rd level: "&amp;AE38&amp;CHAR(10))</f>
        <v/>
      </c>
      <c r="AF37" s="565"/>
      <c r="AG37" s="565"/>
      <c r="AH37" s="565"/>
      <c r="AI37" s="565"/>
      <c r="AJ37" s="566">
        <v>1</v>
      </c>
      <c r="AK37" s="565" t="str">
        <f>AJ6</f>
        <v/>
      </c>
      <c r="AL37" s="565" t="str">
        <f>AK37</f>
        <v/>
      </c>
      <c r="AM37" s="565" t="str">
        <f>IF(AM38="","","4th level: "&amp;AM38&amp;CHAR(10))</f>
        <v/>
      </c>
      <c r="AN37" s="565"/>
      <c r="AO37" s="565"/>
      <c r="AP37" s="565"/>
      <c r="AQ37" s="565"/>
      <c r="AR37" s="566"/>
      <c r="AS37" s="565"/>
      <c r="AT37" s="565"/>
      <c r="AU37" s="565"/>
      <c r="AV37" s="566"/>
      <c r="AW37" s="565"/>
      <c r="AX37" s="565"/>
      <c r="AY37" s="565"/>
      <c r="AZ37" s="566"/>
      <c r="BA37" s="565"/>
      <c r="BB37" s="565"/>
      <c r="BC37" s="565"/>
      <c r="BD37" s="565"/>
      <c r="BE37" s="565"/>
      <c r="BF37" s="565"/>
      <c r="BG37" s="565"/>
      <c r="BH37" s="566"/>
      <c r="BI37" s="565"/>
      <c r="BJ37" s="565"/>
      <c r="BK37" s="565"/>
      <c r="BL37" s="565"/>
      <c r="BM37" s="565"/>
      <c r="BN37" s="565"/>
      <c r="BO37" s="565"/>
      <c r="BP37" s="566"/>
      <c r="BQ37" s="565"/>
      <c r="BR37" s="565"/>
      <c r="BS37" s="565"/>
      <c r="BT37" s="565"/>
      <c r="BU37" s="565"/>
      <c r="BV37" s="565"/>
      <c r="BW37" s="565"/>
      <c r="BX37" s="566"/>
      <c r="BY37" s="573"/>
    </row>
    <row r="38" spans="1:77" x14ac:dyDescent="0.25">
      <c r="A38" s="120"/>
      <c r="B38" s="1062"/>
      <c r="C38" s="1062"/>
      <c r="D38" s="1062"/>
      <c r="E38" s="1062"/>
      <c r="F38" s="1062"/>
      <c r="G38" s="1062"/>
      <c r="H38" s="1062"/>
      <c r="I38" s="590"/>
      <c r="J38" s="566">
        <v>2</v>
      </c>
      <c r="K38" s="565" t="str">
        <f t="shared" ref="K38:K66" si="12">J7</f>
        <v/>
      </c>
      <c r="L38" s="565" t="str">
        <f t="shared" ref="L38:L66" si="13">K38</f>
        <v/>
      </c>
      <c r="M38" s="565" t="str">
        <f>L37&amp;L38&amp;L39&amp;L40&amp;L41&amp;L42&amp;L43&amp;L44&amp;L45&amp;L46&amp;L48&amp;L47&amp;L49&amp;L50&amp;L51&amp;L52&amp;L54&amp;L55&amp;L53&amp;L56&amp;L57&amp;L58&amp;L59&amp;L60&amp;L61&amp;L62&amp;L63&amp;L64&amp;L65&amp;L66</f>
        <v/>
      </c>
      <c r="N38" s="565"/>
      <c r="O38" s="565"/>
      <c r="P38" s="565"/>
      <c r="Q38" s="565"/>
      <c r="R38" s="565"/>
      <c r="S38" s="566">
        <v>2</v>
      </c>
      <c r="T38" s="565" t="str">
        <f t="shared" ref="T38:T66" si="14">S7</f>
        <v/>
      </c>
      <c r="U38" s="565" t="str">
        <f t="shared" ref="U38:U66" si="15">T38</f>
        <v/>
      </c>
      <c r="V38" s="565" t="str">
        <f>U37&amp;U38&amp;U39&amp;U40&amp;U41&amp;U42&amp;U43&amp;U44&amp;U45&amp;U46&amp;U48&amp;U47&amp;U49&amp;U50&amp;U51&amp;U52&amp;U54&amp;U55&amp;U53&amp;U56&amp;U57&amp;U58&amp;U59&amp;U60&amp;U61&amp;U62&amp;U63&amp;U64&amp;U65&amp;U66</f>
        <v/>
      </c>
      <c r="W38" s="565"/>
      <c r="X38" s="565"/>
      <c r="Y38" s="565"/>
      <c r="Z38" s="565"/>
      <c r="AA38" s="565"/>
      <c r="AB38" s="566">
        <v>2</v>
      </c>
      <c r="AC38" s="565" t="str">
        <f t="shared" ref="AC38:AC66" si="16">AB7</f>
        <v/>
      </c>
      <c r="AD38" s="565" t="str">
        <f t="shared" ref="AD38:AD66" si="17">AC38</f>
        <v/>
      </c>
      <c r="AE38" s="565" t="str">
        <f>AD37&amp;AD38&amp;AD39&amp;AD40&amp;AD41&amp;AD42&amp;AD43&amp;AD44&amp;AD45&amp;AD46&amp;AD48&amp;AD47&amp;AD49&amp;AD50&amp;AD51&amp;AD52&amp;AD54&amp;AD55&amp;AD53&amp;AD56&amp;AD57&amp;AD58&amp;AD59&amp;AD60&amp;AD61&amp;AD62&amp;AD63&amp;AD64&amp;AD65&amp;AD66</f>
        <v/>
      </c>
      <c r="AF38" s="565"/>
      <c r="AG38" s="565"/>
      <c r="AH38" s="565"/>
      <c r="AI38" s="565"/>
      <c r="AJ38" s="566">
        <v>2</v>
      </c>
      <c r="AK38" s="565" t="str">
        <f t="shared" ref="AK38:AK66" si="18">AJ7</f>
        <v/>
      </c>
      <c r="AL38" s="565" t="str">
        <f t="shared" ref="AL38:AL66" si="19">AK38</f>
        <v/>
      </c>
      <c r="AM38" s="565" t="str">
        <f>AL37&amp;AL38&amp;AL39&amp;AL40&amp;AL41&amp;AL42&amp;AL43&amp;AL44&amp;AL45&amp;AL46&amp;AL48&amp;AL47&amp;AL49&amp;AL50&amp;AL51&amp;AL52&amp;AL54&amp;AL55&amp;AL53&amp;AL56&amp;AL57&amp;AL58&amp;AL59&amp;AL60&amp;AL61&amp;AL62&amp;AL63&amp;AL64&amp;AL65&amp;AL66</f>
        <v/>
      </c>
      <c r="AN38" s="565"/>
      <c r="AO38" s="565"/>
      <c r="AP38" s="565"/>
      <c r="AQ38" s="565"/>
      <c r="AR38" s="566"/>
      <c r="AS38" s="565"/>
      <c r="AT38" s="565"/>
      <c r="AU38" s="565"/>
      <c r="AV38" s="566"/>
      <c r="AW38" s="565"/>
      <c r="AX38" s="565"/>
      <c r="AY38" s="565"/>
      <c r="AZ38" s="566"/>
      <c r="BA38" s="565"/>
      <c r="BB38" s="565"/>
      <c r="BC38" s="565"/>
      <c r="BD38" s="565"/>
      <c r="BE38" s="565"/>
      <c r="BF38" s="565"/>
      <c r="BG38" s="565"/>
      <c r="BH38" s="566"/>
      <c r="BI38" s="565"/>
      <c r="BJ38" s="565"/>
      <c r="BK38" s="565"/>
      <c r="BL38" s="565"/>
      <c r="BM38" s="565"/>
      <c r="BN38" s="565"/>
      <c r="BO38" s="565"/>
      <c r="BP38" s="566"/>
      <c r="BQ38" s="565"/>
      <c r="BR38" s="565"/>
      <c r="BS38" s="565"/>
      <c r="BT38" s="565"/>
      <c r="BU38" s="565"/>
      <c r="BV38" s="565"/>
      <c r="BW38" s="565"/>
      <c r="BX38" s="566"/>
      <c r="BY38" s="573"/>
    </row>
    <row r="39" spans="1:77" x14ac:dyDescent="0.25">
      <c r="A39" s="120"/>
      <c r="B39" s="1062"/>
      <c r="C39" s="1062"/>
      <c r="D39" s="1062"/>
      <c r="E39" s="1062"/>
      <c r="F39" s="1062"/>
      <c r="G39" s="1062"/>
      <c r="H39" s="1062"/>
      <c r="I39" s="590"/>
      <c r="J39" s="566">
        <v>3</v>
      </c>
      <c r="K39" s="565" t="str">
        <f t="shared" si="12"/>
        <v/>
      </c>
      <c r="L39" s="565" t="str">
        <f t="shared" si="13"/>
        <v/>
      </c>
      <c r="M39" s="565"/>
      <c r="N39" s="565"/>
      <c r="O39" s="565"/>
      <c r="P39" s="565"/>
      <c r="Q39" s="565"/>
      <c r="R39" s="565"/>
      <c r="S39" s="566">
        <v>3</v>
      </c>
      <c r="T39" s="565" t="str">
        <f t="shared" si="14"/>
        <v/>
      </c>
      <c r="U39" s="565" t="str">
        <f t="shared" si="15"/>
        <v/>
      </c>
      <c r="V39" s="565"/>
      <c r="W39" s="565"/>
      <c r="X39" s="565"/>
      <c r="Y39" s="565"/>
      <c r="Z39" s="565"/>
      <c r="AA39" s="565"/>
      <c r="AB39" s="566">
        <v>3</v>
      </c>
      <c r="AC39" s="565" t="str">
        <f t="shared" si="16"/>
        <v/>
      </c>
      <c r="AD39" s="565" t="str">
        <f t="shared" si="17"/>
        <v/>
      </c>
      <c r="AE39" s="565"/>
      <c r="AF39" s="565"/>
      <c r="AG39" s="565"/>
      <c r="AH39" s="565"/>
      <c r="AI39" s="565"/>
      <c r="AJ39" s="566">
        <v>3</v>
      </c>
      <c r="AK39" s="565" t="str">
        <f t="shared" si="18"/>
        <v/>
      </c>
      <c r="AL39" s="565" t="str">
        <f t="shared" si="19"/>
        <v/>
      </c>
      <c r="AM39" s="565"/>
      <c r="AN39" s="565"/>
      <c r="AO39" s="565"/>
      <c r="AP39" s="565"/>
      <c r="AQ39" s="565"/>
      <c r="AR39" s="566"/>
      <c r="AS39" s="565"/>
      <c r="AT39" s="565"/>
      <c r="AU39" s="565"/>
      <c r="AV39" s="566"/>
      <c r="AW39" s="565"/>
      <c r="AX39" s="565"/>
      <c r="AY39" s="565"/>
      <c r="AZ39" s="566"/>
      <c r="BA39" s="565"/>
      <c r="BB39" s="565"/>
      <c r="BC39" s="565"/>
      <c r="BD39" s="565"/>
      <c r="BE39" s="565"/>
      <c r="BF39" s="565"/>
      <c r="BG39" s="565"/>
      <c r="BH39" s="566"/>
      <c r="BI39" s="565"/>
      <c r="BJ39" s="565"/>
      <c r="BK39" s="565"/>
      <c r="BL39" s="565"/>
      <c r="BM39" s="565"/>
      <c r="BN39" s="565"/>
      <c r="BO39" s="565"/>
      <c r="BP39" s="566"/>
      <c r="BQ39" s="565"/>
      <c r="BR39" s="565"/>
      <c r="BS39" s="565"/>
      <c r="BT39" s="565"/>
      <c r="BU39" s="565"/>
      <c r="BV39" s="565"/>
      <c r="BW39" s="565"/>
      <c r="BX39" s="566"/>
      <c r="BY39" s="573"/>
    </row>
    <row r="40" spans="1:77" x14ac:dyDescent="0.25">
      <c r="A40" s="120"/>
      <c r="B40" s="1062"/>
      <c r="C40" s="1062"/>
      <c r="D40" s="1062"/>
      <c r="E40" s="1062"/>
      <c r="F40" s="1062"/>
      <c r="G40" s="1062"/>
      <c r="H40" s="1062"/>
      <c r="I40" s="590"/>
      <c r="J40" s="566">
        <v>4</v>
      </c>
      <c r="K40" s="565" t="str">
        <f t="shared" si="12"/>
        <v/>
      </c>
      <c r="L40" s="565" t="str">
        <f t="shared" si="13"/>
        <v/>
      </c>
      <c r="M40" s="565"/>
      <c r="N40" s="565"/>
      <c r="O40" s="565"/>
      <c r="P40" s="565"/>
      <c r="Q40" s="565"/>
      <c r="R40" s="565"/>
      <c r="S40" s="566">
        <v>4</v>
      </c>
      <c r="T40" s="565" t="str">
        <f t="shared" si="14"/>
        <v/>
      </c>
      <c r="U40" s="565" t="str">
        <f t="shared" si="15"/>
        <v/>
      </c>
      <c r="V40" s="565"/>
      <c r="W40" s="565"/>
      <c r="X40" s="565"/>
      <c r="Y40" s="565"/>
      <c r="Z40" s="565"/>
      <c r="AA40" s="565"/>
      <c r="AB40" s="566">
        <v>4</v>
      </c>
      <c r="AC40" s="565" t="str">
        <f t="shared" si="16"/>
        <v/>
      </c>
      <c r="AD40" s="565" t="str">
        <f t="shared" si="17"/>
        <v/>
      </c>
      <c r="AE40" s="565"/>
      <c r="AF40" s="565"/>
      <c r="AG40" s="565"/>
      <c r="AH40" s="565"/>
      <c r="AI40" s="565"/>
      <c r="AJ40" s="566">
        <v>4</v>
      </c>
      <c r="AK40" s="565" t="str">
        <f t="shared" si="18"/>
        <v/>
      </c>
      <c r="AL40" s="565" t="str">
        <f t="shared" si="19"/>
        <v/>
      </c>
      <c r="AM40" s="565"/>
      <c r="AN40" s="565"/>
      <c r="AO40" s="565"/>
      <c r="AP40" s="565"/>
      <c r="AQ40" s="565"/>
      <c r="AR40" s="566"/>
      <c r="AS40" s="565"/>
      <c r="AT40" s="565"/>
      <c r="AU40" s="565"/>
      <c r="AV40" s="566"/>
      <c r="AW40" s="565"/>
      <c r="AX40" s="565"/>
      <c r="AY40" s="565"/>
      <c r="AZ40" s="566"/>
      <c r="BA40" s="565"/>
      <c r="BB40" s="565"/>
      <c r="BC40" s="565"/>
      <c r="BD40" s="565"/>
      <c r="BE40" s="565"/>
      <c r="BF40" s="565"/>
      <c r="BG40" s="565"/>
      <c r="BH40" s="566"/>
      <c r="BI40" s="565"/>
      <c r="BJ40" s="565"/>
      <c r="BK40" s="565"/>
      <c r="BL40" s="565"/>
      <c r="BM40" s="565"/>
      <c r="BN40" s="565"/>
      <c r="BO40" s="565"/>
      <c r="BP40" s="566"/>
      <c r="BQ40" s="565"/>
      <c r="BR40" s="565"/>
      <c r="BS40" s="565"/>
      <c r="BT40" s="565"/>
      <c r="BU40" s="565"/>
      <c r="BV40" s="565"/>
      <c r="BW40" s="565"/>
      <c r="BX40" s="566"/>
      <c r="BY40" s="573"/>
    </row>
    <row r="41" spans="1:77" x14ac:dyDescent="0.25">
      <c r="A41" s="120"/>
      <c r="B41" s="1062"/>
      <c r="C41" s="1062"/>
      <c r="D41" s="1062"/>
      <c r="E41" s="1062"/>
      <c r="F41" s="1062"/>
      <c r="G41" s="1062"/>
      <c r="H41" s="1062"/>
      <c r="I41" s="590"/>
      <c r="J41" s="566">
        <v>5</v>
      </c>
      <c r="K41" s="565" t="str">
        <f t="shared" si="12"/>
        <v/>
      </c>
      <c r="L41" s="565" t="str">
        <f t="shared" si="13"/>
        <v/>
      </c>
      <c r="M41" s="565"/>
      <c r="N41" s="565"/>
      <c r="O41" s="565"/>
      <c r="P41" s="565"/>
      <c r="Q41" s="565"/>
      <c r="R41" s="565"/>
      <c r="S41" s="566">
        <v>5</v>
      </c>
      <c r="T41" s="565" t="str">
        <f t="shared" si="14"/>
        <v/>
      </c>
      <c r="U41" s="565" t="str">
        <f t="shared" si="15"/>
        <v/>
      </c>
      <c r="V41" s="565"/>
      <c r="W41" s="565"/>
      <c r="X41" s="565"/>
      <c r="Y41" s="565"/>
      <c r="Z41" s="565"/>
      <c r="AA41" s="565"/>
      <c r="AB41" s="566">
        <v>5</v>
      </c>
      <c r="AC41" s="565" t="str">
        <f t="shared" si="16"/>
        <v/>
      </c>
      <c r="AD41" s="565" t="str">
        <f t="shared" si="17"/>
        <v/>
      </c>
      <c r="AE41" s="565"/>
      <c r="AF41" s="565"/>
      <c r="AG41" s="565"/>
      <c r="AH41" s="565"/>
      <c r="AI41" s="565"/>
      <c r="AJ41" s="566">
        <v>5</v>
      </c>
      <c r="AK41" s="565" t="str">
        <f t="shared" si="18"/>
        <v/>
      </c>
      <c r="AL41" s="565" t="str">
        <f t="shared" si="19"/>
        <v/>
      </c>
      <c r="AM41" s="565"/>
      <c r="AN41" s="565"/>
      <c r="AO41" s="565"/>
      <c r="AP41" s="565"/>
      <c r="AQ41" s="565"/>
      <c r="AR41" s="566"/>
      <c r="AS41" s="565"/>
      <c r="AT41" s="565"/>
      <c r="AU41" s="565"/>
      <c r="AV41" s="566"/>
      <c r="AW41" s="565"/>
      <c r="AX41" s="565"/>
      <c r="AY41" s="565"/>
      <c r="AZ41" s="566"/>
      <c r="BA41" s="565"/>
      <c r="BB41" s="565"/>
      <c r="BC41" s="565"/>
      <c r="BD41" s="565"/>
      <c r="BE41" s="565"/>
      <c r="BF41" s="565"/>
      <c r="BG41" s="565"/>
      <c r="BH41" s="566"/>
      <c r="BI41" s="565"/>
      <c r="BJ41" s="565"/>
      <c r="BK41" s="565"/>
      <c r="BL41" s="565"/>
      <c r="BM41" s="565"/>
      <c r="BN41" s="565"/>
      <c r="BO41" s="565"/>
      <c r="BP41" s="566"/>
      <c r="BQ41" s="565"/>
      <c r="BR41" s="565"/>
      <c r="BS41" s="565"/>
      <c r="BT41" s="565"/>
      <c r="BU41" s="565"/>
      <c r="BV41" s="565"/>
      <c r="BW41" s="565"/>
      <c r="BX41" s="566"/>
      <c r="BY41" s="573"/>
    </row>
    <row r="42" spans="1:77" x14ac:dyDescent="0.25">
      <c r="A42" s="120"/>
      <c r="B42" s="1062"/>
      <c r="C42" s="1062"/>
      <c r="D42" s="1062"/>
      <c r="E42" s="1062"/>
      <c r="F42" s="1062"/>
      <c r="G42" s="1062"/>
      <c r="H42" s="1062"/>
      <c r="I42" s="590"/>
      <c r="J42" s="566">
        <v>6</v>
      </c>
      <c r="K42" s="565" t="str">
        <f t="shared" si="12"/>
        <v/>
      </c>
      <c r="L42" s="565" t="str">
        <f t="shared" si="13"/>
        <v/>
      </c>
      <c r="M42" s="565"/>
      <c r="N42" s="565"/>
      <c r="O42" s="565"/>
      <c r="P42" s="565"/>
      <c r="Q42" s="565"/>
      <c r="R42" s="565"/>
      <c r="S42" s="566">
        <v>6</v>
      </c>
      <c r="T42" s="565" t="str">
        <f t="shared" si="14"/>
        <v/>
      </c>
      <c r="U42" s="565" t="str">
        <f t="shared" si="15"/>
        <v/>
      </c>
      <c r="V42" s="565"/>
      <c r="W42" s="565"/>
      <c r="X42" s="565"/>
      <c r="Y42" s="565"/>
      <c r="Z42" s="565"/>
      <c r="AA42" s="565"/>
      <c r="AB42" s="566">
        <v>6</v>
      </c>
      <c r="AC42" s="565" t="str">
        <f t="shared" si="16"/>
        <v/>
      </c>
      <c r="AD42" s="565" t="str">
        <f t="shared" si="17"/>
        <v/>
      </c>
      <c r="AE42" s="565"/>
      <c r="AF42" s="565"/>
      <c r="AG42" s="565"/>
      <c r="AH42" s="565"/>
      <c r="AI42" s="565"/>
      <c r="AJ42" s="566">
        <v>6</v>
      </c>
      <c r="AK42" s="565" t="str">
        <f t="shared" si="18"/>
        <v/>
      </c>
      <c r="AL42" s="565" t="str">
        <f t="shared" si="19"/>
        <v/>
      </c>
      <c r="AM42" s="565"/>
      <c r="AN42" s="565"/>
      <c r="AO42" s="565"/>
      <c r="AP42" s="565"/>
      <c r="AQ42" s="565"/>
      <c r="AR42" s="566"/>
      <c r="AS42" s="565"/>
      <c r="AT42" s="565"/>
      <c r="AU42" s="565"/>
      <c r="AV42" s="566"/>
      <c r="AW42" s="565"/>
      <c r="AX42" s="565"/>
      <c r="AY42" s="565"/>
      <c r="AZ42" s="566"/>
      <c r="BA42" s="565"/>
      <c r="BB42" s="565"/>
      <c r="BC42" s="565"/>
      <c r="BD42" s="565"/>
      <c r="BE42" s="565"/>
      <c r="BF42" s="565"/>
      <c r="BG42" s="565"/>
      <c r="BH42" s="566"/>
      <c r="BI42" s="565"/>
      <c r="BJ42" s="565"/>
      <c r="BK42" s="565"/>
      <c r="BL42" s="565"/>
      <c r="BM42" s="565"/>
      <c r="BN42" s="565"/>
      <c r="BO42" s="565"/>
      <c r="BP42" s="566"/>
      <c r="BQ42" s="565"/>
      <c r="BR42" s="565"/>
      <c r="BS42" s="565"/>
      <c r="BT42" s="565"/>
      <c r="BU42" s="565"/>
      <c r="BV42" s="565"/>
      <c r="BW42" s="565"/>
      <c r="BX42" s="566"/>
      <c r="BY42" s="573"/>
    </row>
    <row r="43" spans="1:77" x14ac:dyDescent="0.25">
      <c r="A43" s="120"/>
      <c r="B43" s="1062"/>
      <c r="C43" s="1062"/>
      <c r="D43" s="1062"/>
      <c r="E43" s="1062"/>
      <c r="F43" s="1062"/>
      <c r="G43" s="1062"/>
      <c r="H43" s="1062"/>
      <c r="I43" s="590"/>
      <c r="J43" s="566">
        <v>7</v>
      </c>
      <c r="K43" s="565" t="str">
        <f t="shared" si="12"/>
        <v/>
      </c>
      <c r="L43" s="565" t="str">
        <f t="shared" si="13"/>
        <v/>
      </c>
      <c r="M43" s="565"/>
      <c r="N43" s="565"/>
      <c r="O43" s="565"/>
      <c r="P43" s="565"/>
      <c r="Q43" s="565"/>
      <c r="R43" s="565"/>
      <c r="S43" s="566">
        <v>7</v>
      </c>
      <c r="T43" s="565" t="str">
        <f t="shared" si="14"/>
        <v/>
      </c>
      <c r="U43" s="565" t="str">
        <f t="shared" si="15"/>
        <v/>
      </c>
      <c r="V43" s="565"/>
      <c r="W43" s="565"/>
      <c r="X43" s="565"/>
      <c r="Y43" s="565"/>
      <c r="Z43" s="565"/>
      <c r="AA43" s="565"/>
      <c r="AB43" s="566">
        <v>7</v>
      </c>
      <c r="AC43" s="565" t="str">
        <f t="shared" si="16"/>
        <v/>
      </c>
      <c r="AD43" s="565" t="str">
        <f t="shared" si="17"/>
        <v/>
      </c>
      <c r="AE43" s="565"/>
      <c r="AF43" s="565"/>
      <c r="AG43" s="565"/>
      <c r="AH43" s="565"/>
      <c r="AI43" s="565"/>
      <c r="AJ43" s="566">
        <v>7</v>
      </c>
      <c r="AK43" s="565" t="str">
        <f t="shared" si="18"/>
        <v/>
      </c>
      <c r="AL43" s="565" t="str">
        <f t="shared" si="19"/>
        <v/>
      </c>
      <c r="AM43" s="565"/>
      <c r="AN43" s="565"/>
      <c r="AO43" s="565"/>
      <c r="AP43" s="565"/>
      <c r="AQ43" s="565"/>
      <c r="AR43" s="566"/>
      <c r="AS43" s="565"/>
      <c r="AT43" s="565"/>
      <c r="AU43" s="565"/>
      <c r="AV43" s="566"/>
      <c r="AW43" s="565"/>
      <c r="AX43" s="565"/>
      <c r="AY43" s="565"/>
      <c r="AZ43" s="566"/>
      <c r="BA43" s="565"/>
      <c r="BB43" s="565"/>
      <c r="BC43" s="565"/>
      <c r="BD43" s="565"/>
      <c r="BE43" s="565"/>
      <c r="BF43" s="565"/>
      <c r="BG43" s="565"/>
      <c r="BH43" s="566"/>
      <c r="BI43" s="565"/>
      <c r="BJ43" s="565"/>
      <c r="BK43" s="565"/>
      <c r="BL43" s="565"/>
      <c r="BM43" s="565"/>
      <c r="BN43" s="565"/>
      <c r="BO43" s="565"/>
      <c r="BP43" s="566"/>
      <c r="BQ43" s="565"/>
      <c r="BR43" s="565"/>
      <c r="BS43" s="565"/>
      <c r="BT43" s="565"/>
      <c r="BU43" s="565"/>
      <c r="BV43" s="565"/>
      <c r="BW43" s="565"/>
      <c r="BX43" s="566"/>
      <c r="BY43" s="573"/>
    </row>
    <row r="44" spans="1:77" x14ac:dyDescent="0.25">
      <c r="A44" s="120"/>
      <c r="B44" s="1062"/>
      <c r="C44" s="1062"/>
      <c r="D44" s="1062"/>
      <c r="E44" s="1062"/>
      <c r="F44" s="1062"/>
      <c r="G44" s="1062"/>
      <c r="H44" s="1062"/>
      <c r="I44" s="590"/>
      <c r="J44" s="566">
        <v>8</v>
      </c>
      <c r="K44" s="565" t="str">
        <f t="shared" si="12"/>
        <v/>
      </c>
      <c r="L44" s="565" t="str">
        <f t="shared" si="13"/>
        <v/>
      </c>
      <c r="M44" s="565"/>
      <c r="N44" s="565"/>
      <c r="O44" s="565"/>
      <c r="P44" s="565"/>
      <c r="Q44" s="565"/>
      <c r="R44" s="565"/>
      <c r="S44" s="566">
        <v>8</v>
      </c>
      <c r="T44" s="565" t="str">
        <f t="shared" si="14"/>
        <v/>
      </c>
      <c r="U44" s="565" t="str">
        <f t="shared" si="15"/>
        <v/>
      </c>
      <c r="V44" s="565"/>
      <c r="W44" s="565"/>
      <c r="X44" s="565"/>
      <c r="Y44" s="565"/>
      <c r="Z44" s="565"/>
      <c r="AA44" s="565"/>
      <c r="AB44" s="566">
        <v>8</v>
      </c>
      <c r="AC44" s="565" t="str">
        <f t="shared" si="16"/>
        <v/>
      </c>
      <c r="AD44" s="565" t="str">
        <f t="shared" si="17"/>
        <v/>
      </c>
      <c r="AE44" s="565"/>
      <c r="AF44" s="565"/>
      <c r="AG44" s="565"/>
      <c r="AH44" s="565"/>
      <c r="AI44" s="565"/>
      <c r="AJ44" s="566">
        <v>8</v>
      </c>
      <c r="AK44" s="565" t="str">
        <f t="shared" si="18"/>
        <v/>
      </c>
      <c r="AL44" s="565" t="str">
        <f t="shared" si="19"/>
        <v/>
      </c>
      <c r="AM44" s="565"/>
      <c r="AN44" s="565"/>
      <c r="AO44" s="565"/>
      <c r="AP44" s="565"/>
      <c r="AQ44" s="565"/>
      <c r="AR44" s="566"/>
      <c r="AS44" s="565"/>
      <c r="AT44" s="565"/>
      <c r="AU44" s="565"/>
      <c r="AV44" s="566"/>
      <c r="AW44" s="565"/>
      <c r="AX44" s="565"/>
      <c r="AY44" s="565"/>
      <c r="AZ44" s="566"/>
      <c r="BA44" s="565"/>
      <c r="BB44" s="565"/>
      <c r="BC44" s="565"/>
      <c r="BD44" s="565"/>
      <c r="BE44" s="565"/>
      <c r="BF44" s="565"/>
      <c r="BG44" s="565"/>
      <c r="BH44" s="566"/>
      <c r="BI44" s="565"/>
      <c r="BJ44" s="565"/>
      <c r="BK44" s="565"/>
      <c r="BL44" s="565"/>
      <c r="BM44" s="565"/>
      <c r="BN44" s="565"/>
      <c r="BO44" s="565"/>
      <c r="BP44" s="566"/>
      <c r="BQ44" s="565"/>
      <c r="BR44" s="565"/>
      <c r="BS44" s="565"/>
      <c r="BT44" s="565"/>
      <c r="BU44" s="565"/>
      <c r="BV44" s="565"/>
      <c r="BW44" s="565"/>
      <c r="BX44" s="566"/>
      <c r="BY44" s="573"/>
    </row>
    <row r="45" spans="1:77" x14ac:dyDescent="0.25">
      <c r="A45" s="120"/>
      <c r="B45" s="1062"/>
      <c r="C45" s="1062"/>
      <c r="D45" s="1062"/>
      <c r="E45" s="1062"/>
      <c r="F45" s="1062"/>
      <c r="G45" s="1062"/>
      <c r="H45" s="1062"/>
      <c r="I45" s="590"/>
      <c r="J45" s="566">
        <v>9</v>
      </c>
      <c r="K45" s="565" t="str">
        <f t="shared" si="12"/>
        <v/>
      </c>
      <c r="L45" s="565" t="str">
        <f t="shared" si="13"/>
        <v/>
      </c>
      <c r="M45" s="565"/>
      <c r="N45" s="565"/>
      <c r="O45" s="565"/>
      <c r="P45" s="565"/>
      <c r="Q45" s="565"/>
      <c r="R45" s="565"/>
      <c r="S45" s="566">
        <v>9</v>
      </c>
      <c r="T45" s="565" t="str">
        <f t="shared" si="14"/>
        <v/>
      </c>
      <c r="U45" s="565" t="str">
        <f t="shared" si="15"/>
        <v/>
      </c>
      <c r="V45" s="565"/>
      <c r="W45" s="565"/>
      <c r="X45" s="565"/>
      <c r="Y45" s="565"/>
      <c r="Z45" s="565"/>
      <c r="AA45" s="565"/>
      <c r="AB45" s="566">
        <v>9</v>
      </c>
      <c r="AC45" s="565" t="str">
        <f t="shared" si="16"/>
        <v/>
      </c>
      <c r="AD45" s="565" t="str">
        <f t="shared" si="17"/>
        <v/>
      </c>
      <c r="AE45" s="565"/>
      <c r="AF45" s="565"/>
      <c r="AG45" s="565"/>
      <c r="AH45" s="565"/>
      <c r="AI45" s="565"/>
      <c r="AJ45" s="566">
        <v>9</v>
      </c>
      <c r="AK45" s="565" t="str">
        <f t="shared" si="18"/>
        <v/>
      </c>
      <c r="AL45" s="565" t="str">
        <f t="shared" si="19"/>
        <v/>
      </c>
      <c r="AM45" s="565"/>
      <c r="AN45" s="565"/>
      <c r="AO45" s="565"/>
      <c r="AP45" s="565"/>
      <c r="AQ45" s="565"/>
      <c r="AR45" s="566"/>
      <c r="AS45" s="565"/>
      <c r="AT45" s="565"/>
      <c r="AU45" s="565"/>
      <c r="AV45" s="566"/>
      <c r="AW45" s="565"/>
      <c r="AX45" s="565"/>
      <c r="AY45" s="565"/>
      <c r="AZ45" s="566"/>
      <c r="BA45" s="565"/>
      <c r="BB45" s="565"/>
      <c r="BC45" s="565"/>
      <c r="BD45" s="565"/>
      <c r="BE45" s="565"/>
      <c r="BF45" s="565"/>
      <c r="BG45" s="565"/>
      <c r="BH45" s="566"/>
      <c r="BI45" s="565"/>
      <c r="BJ45" s="565"/>
      <c r="BK45" s="565"/>
      <c r="BL45" s="565"/>
      <c r="BM45" s="565"/>
      <c r="BN45" s="565"/>
      <c r="BO45" s="565"/>
      <c r="BP45" s="566"/>
      <c r="BQ45" s="565"/>
      <c r="BR45" s="565"/>
      <c r="BS45" s="565"/>
      <c r="BT45" s="565"/>
      <c r="BU45" s="565"/>
      <c r="BV45" s="565"/>
      <c r="BW45" s="565"/>
      <c r="BX45" s="566"/>
      <c r="BY45" s="573"/>
    </row>
    <row r="46" spans="1:77" x14ac:dyDescent="0.25">
      <c r="A46" s="120"/>
      <c r="B46" s="1062"/>
      <c r="C46" s="1062"/>
      <c r="D46" s="1062"/>
      <c r="E46" s="1062"/>
      <c r="F46" s="1062"/>
      <c r="G46" s="1062"/>
      <c r="H46" s="1062"/>
      <c r="I46" s="590"/>
      <c r="J46" s="566">
        <v>10</v>
      </c>
      <c r="K46" s="565" t="str">
        <f t="shared" si="12"/>
        <v/>
      </c>
      <c r="L46" s="565" t="str">
        <f t="shared" si="13"/>
        <v/>
      </c>
      <c r="M46" s="565"/>
      <c r="N46" s="565"/>
      <c r="O46" s="565"/>
      <c r="P46" s="565"/>
      <c r="Q46" s="565"/>
      <c r="R46" s="565"/>
      <c r="S46" s="566">
        <v>10</v>
      </c>
      <c r="T46" s="565" t="str">
        <f t="shared" si="14"/>
        <v/>
      </c>
      <c r="U46" s="565" t="str">
        <f t="shared" si="15"/>
        <v/>
      </c>
      <c r="V46" s="565"/>
      <c r="W46" s="565"/>
      <c r="X46" s="565"/>
      <c r="Y46" s="565"/>
      <c r="Z46" s="565"/>
      <c r="AA46" s="565"/>
      <c r="AB46" s="566">
        <v>10</v>
      </c>
      <c r="AC46" s="565" t="str">
        <f t="shared" si="16"/>
        <v/>
      </c>
      <c r="AD46" s="565" t="str">
        <f t="shared" si="17"/>
        <v/>
      </c>
      <c r="AE46" s="565"/>
      <c r="AF46" s="565"/>
      <c r="AG46" s="565"/>
      <c r="AH46" s="565"/>
      <c r="AI46" s="565"/>
      <c r="AJ46" s="566">
        <v>10</v>
      </c>
      <c r="AK46" s="565" t="str">
        <f t="shared" si="18"/>
        <v/>
      </c>
      <c r="AL46" s="565" t="str">
        <f t="shared" si="19"/>
        <v/>
      </c>
      <c r="AM46" s="565"/>
      <c r="AN46" s="565"/>
      <c r="AO46" s="565"/>
      <c r="AP46" s="565"/>
      <c r="AQ46" s="565"/>
      <c r="AR46" s="566"/>
      <c r="AS46" s="565"/>
      <c r="AT46" s="565"/>
      <c r="AU46" s="565"/>
      <c r="AV46" s="566"/>
      <c r="AW46" s="565"/>
      <c r="AX46" s="565"/>
      <c r="AY46" s="565"/>
      <c r="AZ46" s="566"/>
      <c r="BA46" s="565"/>
      <c r="BB46" s="565"/>
      <c r="BC46" s="565"/>
      <c r="BD46" s="565"/>
      <c r="BE46" s="565"/>
      <c r="BF46" s="565"/>
      <c r="BG46" s="565"/>
      <c r="BH46" s="566"/>
      <c r="BI46" s="565"/>
      <c r="BJ46" s="565"/>
      <c r="BK46" s="565"/>
      <c r="BL46" s="565"/>
      <c r="BM46" s="565"/>
      <c r="BN46" s="565"/>
      <c r="BO46" s="565"/>
      <c r="BP46" s="566"/>
      <c r="BQ46" s="565"/>
      <c r="BR46" s="565"/>
      <c r="BS46" s="565"/>
      <c r="BT46" s="565"/>
      <c r="BU46" s="565"/>
      <c r="BV46" s="565"/>
      <c r="BW46" s="565"/>
      <c r="BX46" s="566"/>
      <c r="BY46" s="573"/>
    </row>
    <row r="47" spans="1:77" x14ac:dyDescent="0.25">
      <c r="A47" s="120"/>
      <c r="B47" s="1062"/>
      <c r="C47" s="1062"/>
      <c r="D47" s="1062"/>
      <c r="E47" s="1062"/>
      <c r="F47" s="1062"/>
      <c r="G47" s="1062"/>
      <c r="H47" s="1062"/>
      <c r="I47" s="590"/>
      <c r="J47" s="566">
        <v>11</v>
      </c>
      <c r="K47" s="565" t="str">
        <f t="shared" si="12"/>
        <v/>
      </c>
      <c r="L47" s="565" t="str">
        <f t="shared" si="13"/>
        <v/>
      </c>
      <c r="M47" s="565"/>
      <c r="N47" s="565"/>
      <c r="O47" s="565"/>
      <c r="P47" s="565"/>
      <c r="Q47" s="565"/>
      <c r="R47" s="565"/>
      <c r="S47" s="566">
        <v>11</v>
      </c>
      <c r="T47" s="565" t="str">
        <f t="shared" si="14"/>
        <v/>
      </c>
      <c r="U47" s="565" t="str">
        <f t="shared" si="15"/>
        <v/>
      </c>
      <c r="V47" s="565"/>
      <c r="W47" s="565"/>
      <c r="X47" s="565"/>
      <c r="Y47" s="565"/>
      <c r="Z47" s="565"/>
      <c r="AA47" s="565"/>
      <c r="AB47" s="566">
        <v>11</v>
      </c>
      <c r="AC47" s="565" t="str">
        <f t="shared" si="16"/>
        <v/>
      </c>
      <c r="AD47" s="565" t="str">
        <f t="shared" si="17"/>
        <v/>
      </c>
      <c r="AE47" s="565"/>
      <c r="AF47" s="565"/>
      <c r="AG47" s="565"/>
      <c r="AH47" s="565"/>
      <c r="AI47" s="565"/>
      <c r="AJ47" s="566">
        <v>11</v>
      </c>
      <c r="AK47" s="565" t="str">
        <f t="shared" si="18"/>
        <v/>
      </c>
      <c r="AL47" s="565" t="str">
        <f t="shared" si="19"/>
        <v/>
      </c>
      <c r="AM47" s="565"/>
      <c r="AN47" s="565"/>
      <c r="AO47" s="565"/>
      <c r="AP47" s="565"/>
      <c r="AQ47" s="565"/>
      <c r="AR47" s="566"/>
      <c r="AS47" s="565"/>
      <c r="AT47" s="565"/>
      <c r="AU47" s="565"/>
      <c r="AV47" s="566"/>
      <c r="AW47" s="565"/>
      <c r="AX47" s="565"/>
      <c r="AY47" s="565"/>
      <c r="AZ47" s="566"/>
      <c r="BA47" s="565"/>
      <c r="BB47" s="565"/>
      <c r="BC47" s="565"/>
      <c r="BD47" s="565"/>
      <c r="BE47" s="565"/>
      <c r="BF47" s="565"/>
      <c r="BG47" s="565"/>
      <c r="BH47" s="566"/>
      <c r="BI47" s="565"/>
      <c r="BJ47" s="565"/>
      <c r="BK47" s="565"/>
      <c r="BL47" s="565"/>
      <c r="BM47" s="565"/>
      <c r="BN47" s="565"/>
      <c r="BO47" s="565"/>
      <c r="BP47" s="566"/>
      <c r="BQ47" s="565"/>
      <c r="BR47" s="565"/>
      <c r="BS47" s="565"/>
      <c r="BT47" s="565"/>
      <c r="BU47" s="565"/>
      <c r="BV47" s="565"/>
      <c r="BW47" s="565"/>
      <c r="BX47" s="566"/>
      <c r="BY47" s="573"/>
    </row>
    <row r="48" spans="1:77" x14ac:dyDescent="0.25">
      <c r="A48" s="120"/>
      <c r="B48" s="1062"/>
      <c r="C48" s="1062"/>
      <c r="D48" s="1062"/>
      <c r="E48" s="1062"/>
      <c r="F48" s="1062"/>
      <c r="G48" s="1062"/>
      <c r="H48" s="1062"/>
      <c r="I48" s="590"/>
      <c r="J48" s="566">
        <v>12</v>
      </c>
      <c r="K48" s="565" t="str">
        <f t="shared" si="12"/>
        <v/>
      </c>
      <c r="L48" s="565" t="str">
        <f t="shared" si="13"/>
        <v/>
      </c>
      <c r="M48" s="565"/>
      <c r="N48" s="565"/>
      <c r="O48" s="565"/>
      <c r="P48" s="565"/>
      <c r="Q48" s="565"/>
      <c r="R48" s="565"/>
      <c r="S48" s="566">
        <v>12</v>
      </c>
      <c r="T48" s="565" t="str">
        <f t="shared" si="14"/>
        <v/>
      </c>
      <c r="U48" s="565" t="str">
        <f t="shared" si="15"/>
        <v/>
      </c>
      <c r="V48" s="565"/>
      <c r="W48" s="565"/>
      <c r="X48" s="565"/>
      <c r="Y48" s="565"/>
      <c r="Z48" s="565"/>
      <c r="AA48" s="565"/>
      <c r="AB48" s="566">
        <v>12</v>
      </c>
      <c r="AC48" s="565" t="str">
        <f t="shared" si="16"/>
        <v/>
      </c>
      <c r="AD48" s="565" t="str">
        <f t="shared" si="17"/>
        <v/>
      </c>
      <c r="AE48" s="565"/>
      <c r="AF48" s="565"/>
      <c r="AG48" s="565"/>
      <c r="AH48" s="565"/>
      <c r="AI48" s="565"/>
      <c r="AJ48" s="566">
        <v>12</v>
      </c>
      <c r="AK48" s="565" t="str">
        <f t="shared" si="18"/>
        <v/>
      </c>
      <c r="AL48" s="565" t="str">
        <f t="shared" si="19"/>
        <v/>
      </c>
      <c r="AM48" s="565"/>
      <c r="AN48" s="565"/>
      <c r="AO48" s="565"/>
      <c r="AP48" s="565"/>
      <c r="AQ48" s="565"/>
      <c r="AR48" s="566"/>
      <c r="AS48" s="565"/>
      <c r="AT48" s="565"/>
      <c r="AU48" s="565"/>
      <c r="AV48" s="566"/>
      <c r="AW48" s="565"/>
      <c r="AX48" s="565"/>
      <c r="AY48" s="565"/>
      <c r="AZ48" s="566"/>
      <c r="BA48" s="565"/>
      <c r="BB48" s="565"/>
      <c r="BC48" s="565"/>
      <c r="BD48" s="565"/>
      <c r="BE48" s="565"/>
      <c r="BF48" s="565"/>
      <c r="BG48" s="565"/>
      <c r="BH48" s="566"/>
      <c r="BI48" s="565"/>
      <c r="BJ48" s="565"/>
      <c r="BK48" s="565"/>
      <c r="BL48" s="565"/>
      <c r="BM48" s="565"/>
      <c r="BN48" s="565"/>
      <c r="BO48" s="565"/>
      <c r="BP48" s="566"/>
      <c r="BQ48" s="565"/>
      <c r="BR48" s="565"/>
      <c r="BS48" s="565"/>
      <c r="BT48" s="565"/>
      <c r="BU48" s="565"/>
      <c r="BV48" s="565"/>
      <c r="BW48" s="565"/>
      <c r="BX48" s="566"/>
      <c r="BY48" s="573"/>
    </row>
    <row r="49" spans="1:77" x14ac:dyDescent="0.25">
      <c r="A49" s="120"/>
      <c r="B49" s="1062"/>
      <c r="C49" s="1062"/>
      <c r="D49" s="1062"/>
      <c r="E49" s="1062"/>
      <c r="F49" s="1062"/>
      <c r="G49" s="1062"/>
      <c r="H49" s="1062"/>
      <c r="I49" s="590"/>
      <c r="J49" s="566">
        <v>13</v>
      </c>
      <c r="K49" s="565" t="str">
        <f t="shared" si="12"/>
        <v/>
      </c>
      <c r="L49" s="565" t="str">
        <f t="shared" si="13"/>
        <v/>
      </c>
      <c r="M49" s="565"/>
      <c r="N49" s="565"/>
      <c r="O49" s="565"/>
      <c r="P49" s="565"/>
      <c r="Q49" s="565"/>
      <c r="R49" s="565"/>
      <c r="S49" s="566">
        <v>13</v>
      </c>
      <c r="T49" s="565" t="str">
        <f t="shared" si="14"/>
        <v/>
      </c>
      <c r="U49" s="565" t="str">
        <f t="shared" si="15"/>
        <v/>
      </c>
      <c r="V49" s="565"/>
      <c r="W49" s="565"/>
      <c r="X49" s="565"/>
      <c r="Y49" s="565"/>
      <c r="Z49" s="565"/>
      <c r="AA49" s="565"/>
      <c r="AB49" s="566">
        <v>13</v>
      </c>
      <c r="AC49" s="565" t="str">
        <f t="shared" si="16"/>
        <v/>
      </c>
      <c r="AD49" s="565" t="str">
        <f t="shared" si="17"/>
        <v/>
      </c>
      <c r="AE49" s="565"/>
      <c r="AF49" s="565"/>
      <c r="AG49" s="565"/>
      <c r="AH49" s="565"/>
      <c r="AI49" s="565"/>
      <c r="AJ49" s="566">
        <v>13</v>
      </c>
      <c r="AK49" s="565" t="str">
        <f t="shared" si="18"/>
        <v/>
      </c>
      <c r="AL49" s="565" t="str">
        <f t="shared" si="19"/>
        <v/>
      </c>
      <c r="AM49" s="565"/>
      <c r="AN49" s="565"/>
      <c r="AO49" s="565"/>
      <c r="AP49" s="565"/>
      <c r="AQ49" s="565"/>
      <c r="AR49" s="566"/>
      <c r="AS49" s="565"/>
      <c r="AT49" s="565"/>
      <c r="AU49" s="565"/>
      <c r="AV49" s="566"/>
      <c r="AW49" s="565"/>
      <c r="AX49" s="565"/>
      <c r="AY49" s="565"/>
      <c r="AZ49" s="566"/>
      <c r="BA49" s="565"/>
      <c r="BB49" s="565"/>
      <c r="BC49" s="565"/>
      <c r="BD49" s="565"/>
      <c r="BE49" s="565"/>
      <c r="BF49" s="565"/>
      <c r="BG49" s="565"/>
      <c r="BH49" s="566"/>
      <c r="BI49" s="565"/>
      <c r="BJ49" s="565"/>
      <c r="BK49" s="565"/>
      <c r="BL49" s="565"/>
      <c r="BM49" s="565"/>
      <c r="BN49" s="565"/>
      <c r="BO49" s="565"/>
      <c r="BP49" s="566"/>
      <c r="BQ49" s="565"/>
      <c r="BR49" s="565"/>
      <c r="BS49" s="565"/>
      <c r="BT49" s="565"/>
      <c r="BU49" s="565"/>
      <c r="BV49" s="565"/>
      <c r="BW49" s="565"/>
      <c r="BX49" s="566"/>
      <c r="BY49" s="573"/>
    </row>
    <row r="50" spans="1:77" x14ac:dyDescent="0.25">
      <c r="A50" s="120"/>
      <c r="B50" s="1062"/>
      <c r="C50" s="1062"/>
      <c r="D50" s="1062"/>
      <c r="E50" s="1062"/>
      <c r="F50" s="1062"/>
      <c r="G50" s="1062"/>
      <c r="H50" s="1062"/>
      <c r="I50" s="590"/>
      <c r="J50" s="566">
        <v>14</v>
      </c>
      <c r="K50" s="565" t="str">
        <f t="shared" si="12"/>
        <v/>
      </c>
      <c r="L50" s="565" t="str">
        <f t="shared" si="13"/>
        <v/>
      </c>
      <c r="M50" s="565"/>
      <c r="N50" s="565"/>
      <c r="O50" s="565"/>
      <c r="P50" s="565"/>
      <c r="Q50" s="565"/>
      <c r="R50" s="565"/>
      <c r="S50" s="566">
        <v>14</v>
      </c>
      <c r="T50" s="565" t="str">
        <f t="shared" si="14"/>
        <v/>
      </c>
      <c r="U50" s="565" t="str">
        <f t="shared" si="15"/>
        <v/>
      </c>
      <c r="V50" s="565"/>
      <c r="W50" s="565"/>
      <c r="X50" s="565"/>
      <c r="Y50" s="565"/>
      <c r="Z50" s="565"/>
      <c r="AA50" s="565"/>
      <c r="AB50" s="566">
        <v>14</v>
      </c>
      <c r="AC50" s="565" t="str">
        <f t="shared" si="16"/>
        <v/>
      </c>
      <c r="AD50" s="565" t="str">
        <f t="shared" si="17"/>
        <v/>
      </c>
      <c r="AE50" s="565"/>
      <c r="AF50" s="565"/>
      <c r="AG50" s="565"/>
      <c r="AH50" s="565"/>
      <c r="AI50" s="565"/>
      <c r="AJ50" s="566">
        <v>14</v>
      </c>
      <c r="AK50" s="565" t="str">
        <f t="shared" si="18"/>
        <v/>
      </c>
      <c r="AL50" s="565" t="str">
        <f t="shared" si="19"/>
        <v/>
      </c>
      <c r="AM50" s="565"/>
      <c r="AN50" s="565"/>
      <c r="AO50" s="565"/>
      <c r="AP50" s="565"/>
      <c r="AQ50" s="565"/>
      <c r="AR50" s="566"/>
      <c r="AS50" s="565"/>
      <c r="AT50" s="565"/>
      <c r="AU50" s="565"/>
      <c r="AV50" s="566"/>
      <c r="AW50" s="565"/>
      <c r="AX50" s="565"/>
      <c r="AY50" s="565"/>
      <c r="AZ50" s="566"/>
      <c r="BA50" s="565"/>
      <c r="BB50" s="565"/>
      <c r="BC50" s="565"/>
      <c r="BD50" s="565"/>
      <c r="BE50" s="565"/>
      <c r="BF50" s="565"/>
      <c r="BG50" s="565"/>
      <c r="BH50" s="566"/>
      <c r="BI50" s="565"/>
      <c r="BJ50" s="565"/>
      <c r="BK50" s="565"/>
      <c r="BL50" s="565"/>
      <c r="BM50" s="565"/>
      <c r="BN50" s="565"/>
      <c r="BO50" s="565"/>
      <c r="BP50" s="566"/>
      <c r="BQ50" s="565"/>
      <c r="BR50" s="565"/>
      <c r="BS50" s="565"/>
      <c r="BT50" s="565"/>
      <c r="BU50" s="565"/>
      <c r="BV50" s="565"/>
      <c r="BW50" s="565"/>
      <c r="BX50" s="566"/>
      <c r="BY50" s="573"/>
    </row>
    <row r="51" spans="1:77" x14ac:dyDescent="0.25">
      <c r="A51" s="120"/>
      <c r="B51" s="1062"/>
      <c r="C51" s="1062"/>
      <c r="D51" s="1062"/>
      <c r="E51" s="1062"/>
      <c r="F51" s="1062"/>
      <c r="G51" s="1062"/>
      <c r="H51" s="1062"/>
      <c r="I51" s="590"/>
      <c r="J51" s="566">
        <v>15</v>
      </c>
      <c r="K51" s="565" t="str">
        <f t="shared" si="12"/>
        <v/>
      </c>
      <c r="L51" s="565" t="str">
        <f t="shared" si="13"/>
        <v/>
      </c>
      <c r="M51" s="565"/>
      <c r="N51" s="565"/>
      <c r="O51" s="565"/>
      <c r="P51" s="565"/>
      <c r="Q51" s="565"/>
      <c r="R51" s="565"/>
      <c r="S51" s="566">
        <v>15</v>
      </c>
      <c r="T51" s="565" t="str">
        <f t="shared" si="14"/>
        <v/>
      </c>
      <c r="U51" s="565" t="str">
        <f t="shared" si="15"/>
        <v/>
      </c>
      <c r="V51" s="565"/>
      <c r="W51" s="565"/>
      <c r="X51" s="565"/>
      <c r="Y51" s="565"/>
      <c r="Z51" s="565"/>
      <c r="AA51" s="565"/>
      <c r="AB51" s="566">
        <v>15</v>
      </c>
      <c r="AC51" s="565" t="str">
        <f t="shared" si="16"/>
        <v/>
      </c>
      <c r="AD51" s="565" t="str">
        <f t="shared" si="17"/>
        <v/>
      </c>
      <c r="AE51" s="565"/>
      <c r="AF51" s="565"/>
      <c r="AG51" s="565"/>
      <c r="AH51" s="565"/>
      <c r="AI51" s="565"/>
      <c r="AJ51" s="566">
        <v>15</v>
      </c>
      <c r="AK51" s="565" t="str">
        <f t="shared" si="18"/>
        <v/>
      </c>
      <c r="AL51" s="565" t="str">
        <f t="shared" si="19"/>
        <v/>
      </c>
      <c r="AM51" s="565"/>
      <c r="AN51" s="565"/>
      <c r="AO51" s="565"/>
      <c r="AP51" s="565"/>
      <c r="AQ51" s="565"/>
      <c r="AR51" s="566"/>
      <c r="AS51" s="565"/>
      <c r="AT51" s="565"/>
      <c r="AU51" s="565"/>
      <c r="AV51" s="566"/>
      <c r="AW51" s="565"/>
      <c r="AX51" s="565"/>
      <c r="AY51" s="565"/>
      <c r="AZ51" s="566"/>
      <c r="BA51" s="565"/>
      <c r="BB51" s="565"/>
      <c r="BC51" s="565"/>
      <c r="BD51" s="565"/>
      <c r="BE51" s="565"/>
      <c r="BF51" s="565"/>
      <c r="BG51" s="565"/>
      <c r="BH51" s="566"/>
      <c r="BI51" s="565"/>
      <c r="BJ51" s="565"/>
      <c r="BK51" s="565"/>
      <c r="BL51" s="565"/>
      <c r="BM51" s="565"/>
      <c r="BN51" s="565"/>
      <c r="BO51" s="565"/>
      <c r="BP51" s="566"/>
      <c r="BQ51" s="565"/>
      <c r="BR51" s="565"/>
      <c r="BS51" s="565"/>
      <c r="BT51" s="565"/>
      <c r="BU51" s="565"/>
      <c r="BV51" s="565"/>
      <c r="BW51" s="565"/>
      <c r="BX51" s="566"/>
      <c r="BY51" s="573"/>
    </row>
    <row r="52" spans="1:77" x14ac:dyDescent="0.25">
      <c r="A52" s="120"/>
      <c r="B52" s="1062"/>
      <c r="C52" s="1062"/>
      <c r="D52" s="1062"/>
      <c r="E52" s="1062"/>
      <c r="F52" s="1062"/>
      <c r="G52" s="1062"/>
      <c r="H52" s="1062"/>
      <c r="I52" s="590"/>
      <c r="J52" s="566">
        <v>16</v>
      </c>
      <c r="K52" s="565" t="str">
        <f t="shared" si="12"/>
        <v/>
      </c>
      <c r="L52" s="565" t="str">
        <f t="shared" si="13"/>
        <v/>
      </c>
      <c r="M52" s="565"/>
      <c r="N52" s="565"/>
      <c r="O52" s="565"/>
      <c r="P52" s="565"/>
      <c r="Q52" s="565"/>
      <c r="R52" s="565"/>
      <c r="S52" s="566">
        <v>16</v>
      </c>
      <c r="T52" s="565" t="str">
        <f t="shared" si="14"/>
        <v/>
      </c>
      <c r="U52" s="565" t="str">
        <f t="shared" si="15"/>
        <v/>
      </c>
      <c r="V52" s="565"/>
      <c r="W52" s="565"/>
      <c r="X52" s="565"/>
      <c r="Y52" s="565"/>
      <c r="Z52" s="565"/>
      <c r="AA52" s="565"/>
      <c r="AB52" s="566">
        <v>16</v>
      </c>
      <c r="AC52" s="565" t="str">
        <f t="shared" si="16"/>
        <v/>
      </c>
      <c r="AD52" s="565" t="str">
        <f t="shared" si="17"/>
        <v/>
      </c>
      <c r="AE52" s="565"/>
      <c r="AF52" s="565"/>
      <c r="AG52" s="565"/>
      <c r="AH52" s="565"/>
      <c r="AI52" s="565"/>
      <c r="AJ52" s="566">
        <v>16</v>
      </c>
      <c r="AK52" s="565" t="str">
        <f t="shared" si="18"/>
        <v/>
      </c>
      <c r="AL52" s="565" t="str">
        <f t="shared" si="19"/>
        <v/>
      </c>
      <c r="AM52" s="565"/>
      <c r="AN52" s="565"/>
      <c r="AO52" s="565"/>
      <c r="AP52" s="565"/>
      <c r="AQ52" s="565"/>
      <c r="AR52" s="566"/>
      <c r="AS52" s="565"/>
      <c r="AT52" s="565"/>
      <c r="AU52" s="565"/>
      <c r="AV52" s="566"/>
      <c r="AW52" s="565"/>
      <c r="AX52" s="565"/>
      <c r="AY52" s="565"/>
      <c r="AZ52" s="566"/>
      <c r="BA52" s="565"/>
      <c r="BB52" s="565"/>
      <c r="BC52" s="565"/>
      <c r="BD52" s="565"/>
      <c r="BE52" s="565"/>
      <c r="BF52" s="565"/>
      <c r="BG52" s="565"/>
      <c r="BH52" s="566"/>
      <c r="BI52" s="565"/>
      <c r="BJ52" s="565"/>
      <c r="BK52" s="565"/>
      <c r="BL52" s="565"/>
      <c r="BM52" s="565"/>
      <c r="BN52" s="565"/>
      <c r="BO52" s="565"/>
      <c r="BP52" s="566"/>
      <c r="BQ52" s="565"/>
      <c r="BR52" s="565"/>
      <c r="BS52" s="565"/>
      <c r="BT52" s="565"/>
      <c r="BU52" s="565"/>
      <c r="BV52" s="565"/>
      <c r="BW52" s="565"/>
      <c r="BX52" s="566"/>
      <c r="BY52" s="573"/>
    </row>
    <row r="53" spans="1:77" x14ac:dyDescent="0.25">
      <c r="A53" s="120"/>
      <c r="B53" s="1062"/>
      <c r="C53" s="1062"/>
      <c r="D53" s="1062"/>
      <c r="E53" s="1062"/>
      <c r="F53" s="1062"/>
      <c r="G53" s="1062"/>
      <c r="H53" s="1062"/>
      <c r="I53" s="590"/>
      <c r="J53" s="566">
        <v>17</v>
      </c>
      <c r="K53" s="565" t="str">
        <f t="shared" si="12"/>
        <v/>
      </c>
      <c r="L53" s="565" t="str">
        <f t="shared" si="13"/>
        <v/>
      </c>
      <c r="M53" s="565"/>
      <c r="N53" s="565"/>
      <c r="O53" s="565"/>
      <c r="P53" s="565"/>
      <c r="Q53" s="565"/>
      <c r="R53" s="565"/>
      <c r="S53" s="566">
        <v>17</v>
      </c>
      <c r="T53" s="565" t="str">
        <f t="shared" si="14"/>
        <v/>
      </c>
      <c r="U53" s="565" t="str">
        <f t="shared" si="15"/>
        <v/>
      </c>
      <c r="V53" s="565"/>
      <c r="W53" s="565"/>
      <c r="X53" s="565"/>
      <c r="Y53" s="565"/>
      <c r="Z53" s="565"/>
      <c r="AA53" s="565"/>
      <c r="AB53" s="566">
        <v>17</v>
      </c>
      <c r="AC53" s="565" t="str">
        <f t="shared" si="16"/>
        <v/>
      </c>
      <c r="AD53" s="565" t="str">
        <f t="shared" si="17"/>
        <v/>
      </c>
      <c r="AE53" s="565"/>
      <c r="AF53" s="565"/>
      <c r="AG53" s="565"/>
      <c r="AH53" s="565"/>
      <c r="AI53" s="565"/>
      <c r="AJ53" s="566">
        <v>17</v>
      </c>
      <c r="AK53" s="565" t="str">
        <f t="shared" si="18"/>
        <v/>
      </c>
      <c r="AL53" s="565" t="str">
        <f t="shared" si="19"/>
        <v/>
      </c>
      <c r="AM53" s="565"/>
      <c r="AN53" s="565"/>
      <c r="AO53" s="565"/>
      <c r="AP53" s="565"/>
      <c r="AQ53" s="565"/>
      <c r="AR53" s="566"/>
      <c r="AS53" s="565"/>
      <c r="AT53" s="565"/>
      <c r="AU53" s="565"/>
      <c r="AV53" s="566"/>
      <c r="AW53" s="565"/>
      <c r="AX53" s="565"/>
      <c r="AY53" s="565"/>
      <c r="AZ53" s="566"/>
      <c r="BA53" s="565"/>
      <c r="BB53" s="565"/>
      <c r="BC53" s="565"/>
      <c r="BD53" s="565"/>
      <c r="BE53" s="565"/>
      <c r="BF53" s="565"/>
      <c r="BG53" s="565"/>
      <c r="BH53" s="566"/>
      <c r="BI53" s="565"/>
      <c r="BJ53" s="565"/>
      <c r="BK53" s="565"/>
      <c r="BL53" s="565"/>
      <c r="BM53" s="565"/>
      <c r="BN53" s="565"/>
      <c r="BO53" s="565"/>
      <c r="BP53" s="566"/>
      <c r="BQ53" s="565"/>
      <c r="BR53" s="565"/>
      <c r="BS53" s="565"/>
      <c r="BT53" s="565"/>
      <c r="BU53" s="565"/>
      <c r="BV53" s="565"/>
      <c r="BW53" s="565"/>
      <c r="BX53" s="566"/>
      <c r="BY53" s="573"/>
    </row>
    <row r="54" spans="1:77" x14ac:dyDescent="0.25">
      <c r="A54" s="120"/>
      <c r="B54" s="1062"/>
      <c r="C54" s="1062"/>
      <c r="D54" s="1062"/>
      <c r="E54" s="1062"/>
      <c r="F54" s="1062"/>
      <c r="G54" s="1062"/>
      <c r="H54" s="1062"/>
      <c r="I54" s="590"/>
      <c r="J54" s="566">
        <v>18</v>
      </c>
      <c r="K54" s="565" t="str">
        <f t="shared" si="12"/>
        <v/>
      </c>
      <c r="L54" s="565" t="str">
        <f t="shared" si="13"/>
        <v/>
      </c>
      <c r="M54" s="565"/>
      <c r="N54" s="565"/>
      <c r="O54" s="565"/>
      <c r="P54" s="565"/>
      <c r="Q54" s="565"/>
      <c r="R54" s="565"/>
      <c r="S54" s="566">
        <v>18</v>
      </c>
      <c r="T54" s="565" t="str">
        <f t="shared" si="14"/>
        <v/>
      </c>
      <c r="U54" s="565" t="str">
        <f t="shared" si="15"/>
        <v/>
      </c>
      <c r="V54" s="565"/>
      <c r="W54" s="565"/>
      <c r="X54" s="565"/>
      <c r="Y54" s="565"/>
      <c r="Z54" s="565"/>
      <c r="AA54" s="565"/>
      <c r="AB54" s="566">
        <v>18</v>
      </c>
      <c r="AC54" s="565" t="str">
        <f t="shared" si="16"/>
        <v/>
      </c>
      <c r="AD54" s="565" t="str">
        <f t="shared" si="17"/>
        <v/>
      </c>
      <c r="AE54" s="565"/>
      <c r="AF54" s="565"/>
      <c r="AG54" s="565"/>
      <c r="AH54" s="565"/>
      <c r="AI54" s="565"/>
      <c r="AJ54" s="566">
        <v>18</v>
      </c>
      <c r="AK54" s="565" t="str">
        <f t="shared" si="18"/>
        <v/>
      </c>
      <c r="AL54" s="565" t="str">
        <f t="shared" si="19"/>
        <v/>
      </c>
      <c r="AM54" s="565"/>
      <c r="AN54" s="565"/>
      <c r="AO54" s="565"/>
      <c r="AP54" s="565"/>
      <c r="AQ54" s="565"/>
      <c r="AR54" s="566"/>
      <c r="AS54" s="565"/>
      <c r="AT54" s="565"/>
      <c r="AU54" s="565"/>
      <c r="AV54" s="566"/>
      <c r="AW54" s="565"/>
      <c r="AX54" s="565"/>
      <c r="AY54" s="565"/>
      <c r="AZ54" s="566"/>
      <c r="BA54" s="565"/>
      <c r="BB54" s="565"/>
      <c r="BC54" s="565"/>
      <c r="BD54" s="565"/>
      <c r="BE54" s="565"/>
      <c r="BF54" s="565"/>
      <c r="BG54" s="565"/>
      <c r="BH54" s="566"/>
      <c r="BI54" s="565"/>
      <c r="BJ54" s="565"/>
      <c r="BK54" s="565"/>
      <c r="BL54" s="565"/>
      <c r="BM54" s="565"/>
      <c r="BN54" s="565"/>
      <c r="BO54" s="565"/>
      <c r="BP54" s="566"/>
      <c r="BQ54" s="565"/>
      <c r="BR54" s="565"/>
      <c r="BS54" s="565"/>
      <c r="BT54" s="565"/>
      <c r="BU54" s="565"/>
      <c r="BV54" s="565"/>
      <c r="BW54" s="565"/>
      <c r="BX54" s="566"/>
      <c r="BY54" s="573"/>
    </row>
    <row r="55" spans="1:77" x14ac:dyDescent="0.25">
      <c r="A55" s="120"/>
      <c r="B55" s="1062"/>
      <c r="C55" s="1062"/>
      <c r="D55" s="1062"/>
      <c r="E55" s="1062"/>
      <c r="F55" s="1062"/>
      <c r="G55" s="1062"/>
      <c r="H55" s="1062"/>
      <c r="I55" s="590"/>
      <c r="J55" s="566">
        <v>19</v>
      </c>
      <c r="K55" s="565" t="str">
        <f t="shared" si="12"/>
        <v/>
      </c>
      <c r="L55" s="565" t="str">
        <f t="shared" si="13"/>
        <v/>
      </c>
      <c r="M55" s="565"/>
      <c r="N55" s="565"/>
      <c r="O55" s="565"/>
      <c r="P55" s="565"/>
      <c r="Q55" s="565"/>
      <c r="R55" s="565"/>
      <c r="S55" s="566">
        <v>19</v>
      </c>
      <c r="T55" s="565" t="str">
        <f t="shared" si="14"/>
        <v/>
      </c>
      <c r="U55" s="565" t="str">
        <f t="shared" si="15"/>
        <v/>
      </c>
      <c r="V55" s="565"/>
      <c r="W55" s="565"/>
      <c r="X55" s="565"/>
      <c r="Y55" s="565"/>
      <c r="Z55" s="565"/>
      <c r="AA55" s="565"/>
      <c r="AB55" s="566">
        <v>19</v>
      </c>
      <c r="AC55" s="565" t="str">
        <f t="shared" si="16"/>
        <v/>
      </c>
      <c r="AD55" s="565" t="str">
        <f t="shared" si="17"/>
        <v/>
      </c>
      <c r="AE55" s="565"/>
      <c r="AF55" s="565"/>
      <c r="AG55" s="565"/>
      <c r="AH55" s="565"/>
      <c r="AI55" s="565"/>
      <c r="AJ55" s="566">
        <v>19</v>
      </c>
      <c r="AK55" s="565" t="str">
        <f t="shared" si="18"/>
        <v/>
      </c>
      <c r="AL55" s="565" t="str">
        <f t="shared" si="19"/>
        <v/>
      </c>
      <c r="AM55" s="565"/>
      <c r="AN55" s="565"/>
      <c r="AO55" s="565"/>
      <c r="AP55" s="565"/>
      <c r="AQ55" s="565"/>
      <c r="AR55" s="566"/>
      <c r="AS55" s="565"/>
      <c r="AT55" s="565"/>
      <c r="AU55" s="565"/>
      <c r="AV55" s="566"/>
      <c r="AW55" s="565"/>
      <c r="AX55" s="565"/>
      <c r="AY55" s="565"/>
      <c r="AZ55" s="566"/>
      <c r="BA55" s="565"/>
      <c r="BB55" s="565"/>
      <c r="BC55" s="565"/>
      <c r="BD55" s="565"/>
      <c r="BE55" s="565"/>
      <c r="BF55" s="565"/>
      <c r="BG55" s="565"/>
      <c r="BH55" s="566"/>
      <c r="BI55" s="565"/>
      <c r="BJ55" s="565"/>
      <c r="BK55" s="565"/>
      <c r="BL55" s="565"/>
      <c r="BM55" s="565"/>
      <c r="BN55" s="565"/>
      <c r="BO55" s="565"/>
      <c r="BP55" s="566"/>
      <c r="BQ55" s="565"/>
      <c r="BR55" s="565"/>
      <c r="BS55" s="565"/>
      <c r="BT55" s="565"/>
      <c r="BU55" s="565"/>
      <c r="BV55" s="565"/>
      <c r="BW55" s="565"/>
      <c r="BX55" s="566"/>
      <c r="BY55" s="573"/>
    </row>
    <row r="56" spans="1:77" x14ac:dyDescent="0.25">
      <c r="A56" s="120"/>
      <c r="B56" s="1062"/>
      <c r="C56" s="1062"/>
      <c r="D56" s="1062"/>
      <c r="E56" s="1062"/>
      <c r="F56" s="1062"/>
      <c r="G56" s="1062"/>
      <c r="H56" s="1062"/>
      <c r="I56" s="590"/>
      <c r="J56" s="566">
        <v>20</v>
      </c>
      <c r="K56" s="565" t="str">
        <f t="shared" si="12"/>
        <v/>
      </c>
      <c r="L56" s="565" t="str">
        <f t="shared" si="13"/>
        <v/>
      </c>
      <c r="M56" s="565"/>
      <c r="N56" s="565"/>
      <c r="O56" s="565"/>
      <c r="P56" s="565"/>
      <c r="Q56" s="565"/>
      <c r="R56" s="565"/>
      <c r="S56" s="566">
        <v>20</v>
      </c>
      <c r="T56" s="565" t="str">
        <f t="shared" si="14"/>
        <v/>
      </c>
      <c r="U56" s="565" t="str">
        <f t="shared" si="15"/>
        <v/>
      </c>
      <c r="V56" s="565"/>
      <c r="W56" s="565"/>
      <c r="X56" s="565"/>
      <c r="Y56" s="565"/>
      <c r="Z56" s="565"/>
      <c r="AA56" s="565"/>
      <c r="AB56" s="566">
        <v>20</v>
      </c>
      <c r="AC56" s="565" t="str">
        <f t="shared" si="16"/>
        <v/>
      </c>
      <c r="AD56" s="565" t="str">
        <f t="shared" si="17"/>
        <v/>
      </c>
      <c r="AE56" s="565"/>
      <c r="AF56" s="565"/>
      <c r="AG56" s="565"/>
      <c r="AH56" s="565"/>
      <c r="AI56" s="565"/>
      <c r="AJ56" s="566">
        <v>20</v>
      </c>
      <c r="AK56" s="565" t="str">
        <f t="shared" si="18"/>
        <v/>
      </c>
      <c r="AL56" s="565" t="str">
        <f t="shared" si="19"/>
        <v/>
      </c>
      <c r="AM56" s="565"/>
      <c r="AN56" s="565"/>
      <c r="AO56" s="565"/>
      <c r="AP56" s="565"/>
      <c r="AQ56" s="565"/>
      <c r="AR56" s="566"/>
      <c r="AS56" s="565"/>
      <c r="AT56" s="565"/>
      <c r="AU56" s="565"/>
      <c r="AV56" s="566"/>
      <c r="AW56" s="565"/>
      <c r="AX56" s="565"/>
      <c r="AY56" s="565"/>
      <c r="AZ56" s="566"/>
      <c r="BA56" s="565"/>
      <c r="BB56" s="565"/>
      <c r="BC56" s="565"/>
      <c r="BD56" s="565"/>
      <c r="BE56" s="565"/>
      <c r="BF56" s="565"/>
      <c r="BG56" s="565"/>
      <c r="BH56" s="566"/>
      <c r="BI56" s="565"/>
      <c r="BJ56" s="565"/>
      <c r="BK56" s="565"/>
      <c r="BL56" s="565"/>
      <c r="BM56" s="565"/>
      <c r="BN56" s="565"/>
      <c r="BO56" s="565"/>
      <c r="BP56" s="566"/>
      <c r="BQ56" s="565"/>
      <c r="BR56" s="565"/>
      <c r="BS56" s="565"/>
      <c r="BT56" s="565"/>
      <c r="BU56" s="565"/>
      <c r="BV56" s="565"/>
      <c r="BW56" s="565"/>
      <c r="BX56" s="566"/>
      <c r="BY56" s="573"/>
    </row>
    <row r="57" spans="1:77" x14ac:dyDescent="0.25">
      <c r="A57" s="120"/>
      <c r="B57" s="1062"/>
      <c r="C57" s="1062"/>
      <c r="D57" s="1062"/>
      <c r="E57" s="1062"/>
      <c r="F57" s="1062"/>
      <c r="G57" s="1062"/>
      <c r="H57" s="1062"/>
      <c r="I57" s="590"/>
      <c r="J57" s="566">
        <v>21</v>
      </c>
      <c r="K57" s="565" t="str">
        <f t="shared" si="12"/>
        <v/>
      </c>
      <c r="L57" s="565" t="str">
        <f t="shared" si="13"/>
        <v/>
      </c>
      <c r="M57" s="565"/>
      <c r="N57" s="565"/>
      <c r="O57" s="565"/>
      <c r="P57" s="565"/>
      <c r="Q57" s="565"/>
      <c r="R57" s="565"/>
      <c r="S57" s="566">
        <v>21</v>
      </c>
      <c r="T57" s="565" t="str">
        <f t="shared" si="14"/>
        <v/>
      </c>
      <c r="U57" s="565" t="str">
        <f t="shared" si="15"/>
        <v/>
      </c>
      <c r="V57" s="565"/>
      <c r="W57" s="565"/>
      <c r="X57" s="565"/>
      <c r="Y57" s="565"/>
      <c r="Z57" s="565"/>
      <c r="AA57" s="565"/>
      <c r="AB57" s="566">
        <v>21</v>
      </c>
      <c r="AC57" s="565" t="str">
        <f t="shared" si="16"/>
        <v/>
      </c>
      <c r="AD57" s="565" t="str">
        <f t="shared" si="17"/>
        <v/>
      </c>
      <c r="AE57" s="565"/>
      <c r="AF57" s="565"/>
      <c r="AG57" s="565"/>
      <c r="AH57" s="565"/>
      <c r="AI57" s="565"/>
      <c r="AJ57" s="566">
        <v>21</v>
      </c>
      <c r="AK57" s="565" t="str">
        <f t="shared" si="18"/>
        <v/>
      </c>
      <c r="AL57" s="565" t="str">
        <f t="shared" si="19"/>
        <v/>
      </c>
      <c r="AM57" s="565"/>
      <c r="AN57" s="565"/>
      <c r="AO57" s="565"/>
      <c r="AP57" s="565"/>
      <c r="AQ57" s="565"/>
      <c r="AR57" s="566"/>
      <c r="AS57" s="565"/>
      <c r="AT57" s="565"/>
      <c r="AU57" s="565"/>
      <c r="AV57" s="566"/>
      <c r="AW57" s="565"/>
      <c r="AX57" s="565"/>
      <c r="AY57" s="565"/>
      <c r="AZ57" s="566"/>
      <c r="BA57" s="565"/>
      <c r="BB57" s="565"/>
      <c r="BC57" s="565"/>
      <c r="BD57" s="565"/>
      <c r="BE57" s="565"/>
      <c r="BF57" s="565"/>
      <c r="BG57" s="565"/>
      <c r="BH57" s="566"/>
      <c r="BI57" s="565"/>
      <c r="BJ57" s="565"/>
      <c r="BK57" s="565"/>
      <c r="BL57" s="565"/>
      <c r="BM57" s="565"/>
      <c r="BN57" s="565"/>
      <c r="BO57" s="565"/>
      <c r="BP57" s="566"/>
      <c r="BQ57" s="565"/>
      <c r="BR57" s="565"/>
      <c r="BS57" s="565"/>
      <c r="BT57" s="565"/>
      <c r="BU57" s="565"/>
      <c r="BV57" s="565"/>
      <c r="BW57" s="565"/>
      <c r="BX57" s="566"/>
      <c r="BY57" s="573"/>
    </row>
    <row r="58" spans="1:77" x14ac:dyDescent="0.25">
      <c r="A58" s="120"/>
      <c r="B58" s="1062"/>
      <c r="C58" s="1062"/>
      <c r="D58" s="1062"/>
      <c r="E58" s="1062"/>
      <c r="F58" s="1062"/>
      <c r="G58" s="1062"/>
      <c r="H58" s="1062"/>
      <c r="I58" s="590"/>
      <c r="J58" s="566">
        <v>22</v>
      </c>
      <c r="K58" s="565" t="str">
        <f t="shared" si="12"/>
        <v/>
      </c>
      <c r="L58" s="565" t="str">
        <f t="shared" si="13"/>
        <v/>
      </c>
      <c r="M58" s="565"/>
      <c r="N58" s="565"/>
      <c r="O58" s="565"/>
      <c r="P58" s="565"/>
      <c r="Q58" s="565"/>
      <c r="R58" s="565"/>
      <c r="S58" s="566">
        <v>22</v>
      </c>
      <c r="T58" s="565" t="str">
        <f t="shared" si="14"/>
        <v/>
      </c>
      <c r="U58" s="565" t="str">
        <f t="shared" si="15"/>
        <v/>
      </c>
      <c r="V58" s="565"/>
      <c r="W58" s="565"/>
      <c r="X58" s="565"/>
      <c r="Y58" s="565"/>
      <c r="Z58" s="565"/>
      <c r="AA58" s="565"/>
      <c r="AB58" s="566">
        <v>22</v>
      </c>
      <c r="AC58" s="565" t="str">
        <f t="shared" si="16"/>
        <v/>
      </c>
      <c r="AD58" s="565" t="str">
        <f t="shared" si="17"/>
        <v/>
      </c>
      <c r="AE58" s="565"/>
      <c r="AF58" s="565"/>
      <c r="AG58" s="565"/>
      <c r="AH58" s="565"/>
      <c r="AI58" s="565"/>
      <c r="AJ58" s="566">
        <v>22</v>
      </c>
      <c r="AK58" s="565" t="str">
        <f t="shared" si="18"/>
        <v/>
      </c>
      <c r="AL58" s="565" t="str">
        <f t="shared" si="19"/>
        <v/>
      </c>
      <c r="AM58" s="565"/>
      <c r="AN58" s="565"/>
      <c r="AO58" s="565"/>
      <c r="AP58" s="565"/>
      <c r="AQ58" s="565"/>
      <c r="AR58" s="566"/>
      <c r="AS58" s="565"/>
      <c r="AT58" s="565"/>
      <c r="AU58" s="565"/>
      <c r="AV58" s="566"/>
      <c r="AW58" s="565"/>
      <c r="AX58" s="565"/>
      <c r="AY58" s="565"/>
      <c r="AZ58" s="566"/>
      <c r="BA58" s="565"/>
      <c r="BB58" s="565"/>
      <c r="BC58" s="565"/>
      <c r="BD58" s="565"/>
      <c r="BE58" s="565"/>
      <c r="BF58" s="565"/>
      <c r="BG58" s="565"/>
      <c r="BH58" s="566"/>
      <c r="BI58" s="565"/>
      <c r="BJ58" s="565"/>
      <c r="BK58" s="565"/>
      <c r="BL58" s="565"/>
      <c r="BM58" s="565"/>
      <c r="BN58" s="565"/>
      <c r="BO58" s="565"/>
      <c r="BP58" s="566"/>
      <c r="BQ58" s="565"/>
      <c r="BR58" s="565"/>
      <c r="BS58" s="565"/>
      <c r="BT58" s="565"/>
      <c r="BU58" s="565"/>
      <c r="BV58" s="565"/>
      <c r="BW58" s="565"/>
      <c r="BX58" s="566"/>
      <c r="BY58" s="573"/>
    </row>
    <row r="59" spans="1:77" x14ac:dyDescent="0.25">
      <c r="A59" s="120"/>
      <c r="B59" s="1062"/>
      <c r="C59" s="1062"/>
      <c r="D59" s="1062"/>
      <c r="E59" s="1062"/>
      <c r="F59" s="1062"/>
      <c r="G59" s="1062"/>
      <c r="H59" s="1062"/>
      <c r="I59" s="590"/>
      <c r="J59" s="566">
        <v>23</v>
      </c>
      <c r="K59" s="565" t="str">
        <f t="shared" si="12"/>
        <v/>
      </c>
      <c r="L59" s="565" t="str">
        <f t="shared" si="13"/>
        <v/>
      </c>
      <c r="M59" s="565"/>
      <c r="N59" s="565"/>
      <c r="O59" s="565"/>
      <c r="P59" s="565"/>
      <c r="Q59" s="565"/>
      <c r="R59" s="565"/>
      <c r="S59" s="566">
        <v>23</v>
      </c>
      <c r="T59" s="565" t="str">
        <f t="shared" si="14"/>
        <v/>
      </c>
      <c r="U59" s="565" t="str">
        <f t="shared" si="15"/>
        <v/>
      </c>
      <c r="V59" s="565"/>
      <c r="W59" s="565"/>
      <c r="X59" s="565"/>
      <c r="Y59" s="565"/>
      <c r="Z59" s="565"/>
      <c r="AA59" s="565"/>
      <c r="AB59" s="566">
        <v>23</v>
      </c>
      <c r="AC59" s="565" t="str">
        <f t="shared" si="16"/>
        <v/>
      </c>
      <c r="AD59" s="565" t="str">
        <f t="shared" si="17"/>
        <v/>
      </c>
      <c r="AE59" s="565"/>
      <c r="AF59" s="565"/>
      <c r="AG59" s="565"/>
      <c r="AH59" s="565"/>
      <c r="AI59" s="565"/>
      <c r="AJ59" s="566">
        <v>23</v>
      </c>
      <c r="AK59" s="565" t="str">
        <f t="shared" si="18"/>
        <v/>
      </c>
      <c r="AL59" s="565" t="str">
        <f t="shared" si="19"/>
        <v/>
      </c>
      <c r="AM59" s="565"/>
      <c r="AN59" s="565"/>
      <c r="AO59" s="565"/>
      <c r="AP59" s="565"/>
      <c r="AQ59" s="565"/>
      <c r="AR59" s="566"/>
      <c r="AS59" s="565"/>
      <c r="AT59" s="565"/>
      <c r="AU59" s="565"/>
      <c r="AV59" s="566"/>
      <c r="AW59" s="565"/>
      <c r="AX59" s="565"/>
      <c r="AY59" s="565"/>
      <c r="AZ59" s="566"/>
      <c r="BA59" s="565"/>
      <c r="BB59" s="565"/>
      <c r="BC59" s="565"/>
      <c r="BD59" s="565"/>
      <c r="BE59" s="565"/>
      <c r="BF59" s="565"/>
      <c r="BG59" s="565"/>
      <c r="BH59" s="566"/>
      <c r="BI59" s="565"/>
      <c r="BJ59" s="565"/>
      <c r="BK59" s="565"/>
      <c r="BL59" s="565"/>
      <c r="BM59" s="565"/>
      <c r="BN59" s="565"/>
      <c r="BO59" s="565"/>
      <c r="BP59" s="566"/>
      <c r="BQ59" s="565"/>
      <c r="BR59" s="565"/>
      <c r="BS59" s="565"/>
      <c r="BT59" s="565"/>
      <c r="BU59" s="565"/>
      <c r="BV59" s="565"/>
      <c r="BW59" s="565"/>
      <c r="BX59" s="566"/>
      <c r="BY59" s="573"/>
    </row>
    <row r="60" spans="1:77" x14ac:dyDescent="0.25">
      <c r="A60" s="120"/>
      <c r="B60" s="1062"/>
      <c r="C60" s="1062"/>
      <c r="D60" s="1062"/>
      <c r="E60" s="1062"/>
      <c r="F60" s="1062"/>
      <c r="G60" s="1062"/>
      <c r="H60" s="1062"/>
      <c r="I60" s="590"/>
      <c r="J60" s="566">
        <v>24</v>
      </c>
      <c r="K60" s="565" t="str">
        <f t="shared" si="12"/>
        <v/>
      </c>
      <c r="L60" s="565" t="str">
        <f t="shared" si="13"/>
        <v/>
      </c>
      <c r="M60" s="565"/>
      <c r="N60" s="565"/>
      <c r="O60" s="565"/>
      <c r="P60" s="565"/>
      <c r="Q60" s="565"/>
      <c r="R60" s="565"/>
      <c r="S60" s="566">
        <v>24</v>
      </c>
      <c r="T60" s="565" t="str">
        <f t="shared" si="14"/>
        <v/>
      </c>
      <c r="U60" s="565" t="str">
        <f t="shared" si="15"/>
        <v/>
      </c>
      <c r="V60" s="565"/>
      <c r="W60" s="565"/>
      <c r="X60" s="565"/>
      <c r="Y60" s="565"/>
      <c r="Z60" s="565"/>
      <c r="AA60" s="565"/>
      <c r="AB60" s="566">
        <v>24</v>
      </c>
      <c r="AC60" s="565" t="str">
        <f t="shared" si="16"/>
        <v/>
      </c>
      <c r="AD60" s="565" t="str">
        <f t="shared" si="17"/>
        <v/>
      </c>
      <c r="AE60" s="565"/>
      <c r="AF60" s="565"/>
      <c r="AG60" s="565"/>
      <c r="AH60" s="565"/>
      <c r="AI60" s="565"/>
      <c r="AJ60" s="566">
        <v>24</v>
      </c>
      <c r="AK60" s="565" t="str">
        <f t="shared" si="18"/>
        <v/>
      </c>
      <c r="AL60" s="565" t="str">
        <f t="shared" si="19"/>
        <v/>
      </c>
      <c r="AM60" s="565"/>
      <c r="AN60" s="565"/>
      <c r="AO60" s="565"/>
      <c r="AP60" s="565"/>
      <c r="AQ60" s="565"/>
      <c r="AR60" s="566"/>
      <c r="AS60" s="565"/>
      <c r="AT60" s="565"/>
      <c r="AU60" s="565"/>
      <c r="AV60" s="566"/>
      <c r="AW60" s="565"/>
      <c r="AX60" s="565"/>
      <c r="AY60" s="565"/>
      <c r="AZ60" s="566"/>
      <c r="BA60" s="565"/>
      <c r="BB60" s="565"/>
      <c r="BC60" s="565"/>
      <c r="BD60" s="565"/>
      <c r="BE60" s="565"/>
      <c r="BF60" s="565"/>
      <c r="BG60" s="565"/>
      <c r="BH60" s="566"/>
      <c r="BI60" s="565"/>
      <c r="BJ60" s="565"/>
      <c r="BK60" s="565"/>
      <c r="BL60" s="565"/>
      <c r="BM60" s="565"/>
      <c r="BN60" s="565"/>
      <c r="BO60" s="565"/>
      <c r="BP60" s="566"/>
      <c r="BQ60" s="565"/>
      <c r="BR60" s="565"/>
      <c r="BS60" s="565"/>
      <c r="BT60" s="565"/>
      <c r="BU60" s="565"/>
      <c r="BV60" s="565"/>
      <c r="BW60" s="565"/>
      <c r="BX60" s="566"/>
      <c r="BY60" s="573"/>
    </row>
    <row r="61" spans="1:77" x14ac:dyDescent="0.25">
      <c r="A61" s="120"/>
      <c r="B61" s="1062"/>
      <c r="C61" s="1062"/>
      <c r="D61" s="1062"/>
      <c r="E61" s="1062"/>
      <c r="F61" s="1062"/>
      <c r="G61" s="1062"/>
      <c r="H61" s="1062"/>
      <c r="I61" s="590"/>
      <c r="J61" s="566">
        <v>25</v>
      </c>
      <c r="K61" s="565" t="str">
        <f t="shared" si="12"/>
        <v/>
      </c>
      <c r="L61" s="565" t="str">
        <f t="shared" si="13"/>
        <v/>
      </c>
      <c r="M61" s="565"/>
      <c r="N61" s="565"/>
      <c r="O61" s="565"/>
      <c r="P61" s="565"/>
      <c r="Q61" s="565"/>
      <c r="R61" s="565"/>
      <c r="S61" s="566">
        <v>25</v>
      </c>
      <c r="T61" s="565" t="str">
        <f t="shared" si="14"/>
        <v/>
      </c>
      <c r="U61" s="565" t="str">
        <f t="shared" si="15"/>
        <v/>
      </c>
      <c r="V61" s="565"/>
      <c r="W61" s="565"/>
      <c r="X61" s="565"/>
      <c r="Y61" s="565"/>
      <c r="Z61" s="565"/>
      <c r="AA61" s="565"/>
      <c r="AB61" s="566">
        <v>25</v>
      </c>
      <c r="AC61" s="565" t="str">
        <f t="shared" si="16"/>
        <v/>
      </c>
      <c r="AD61" s="565" t="str">
        <f t="shared" si="17"/>
        <v/>
      </c>
      <c r="AE61" s="565"/>
      <c r="AF61" s="565"/>
      <c r="AG61" s="565"/>
      <c r="AH61" s="565"/>
      <c r="AI61" s="565"/>
      <c r="AJ61" s="566">
        <v>25</v>
      </c>
      <c r="AK61" s="565" t="str">
        <f t="shared" si="18"/>
        <v/>
      </c>
      <c r="AL61" s="565" t="str">
        <f t="shared" si="19"/>
        <v/>
      </c>
      <c r="AM61" s="565"/>
      <c r="AN61" s="565"/>
      <c r="AO61" s="565"/>
      <c r="AP61" s="565"/>
      <c r="AQ61" s="565"/>
      <c r="AR61" s="566"/>
      <c r="AS61" s="565"/>
      <c r="AT61" s="565"/>
      <c r="AU61" s="565"/>
      <c r="AV61" s="566"/>
      <c r="AW61" s="565"/>
      <c r="AX61" s="565"/>
      <c r="AY61" s="565"/>
      <c r="AZ61" s="566"/>
      <c r="BA61" s="565"/>
      <c r="BB61" s="565"/>
      <c r="BC61" s="565"/>
      <c r="BD61" s="565"/>
      <c r="BE61" s="565"/>
      <c r="BF61" s="565"/>
      <c r="BG61" s="565"/>
      <c r="BH61" s="566"/>
      <c r="BI61" s="565"/>
      <c r="BJ61" s="565"/>
      <c r="BK61" s="565"/>
      <c r="BL61" s="565"/>
      <c r="BM61" s="565"/>
      <c r="BN61" s="565"/>
      <c r="BO61" s="565"/>
      <c r="BP61" s="566"/>
      <c r="BQ61" s="565"/>
      <c r="BR61" s="565"/>
      <c r="BS61" s="565"/>
      <c r="BT61" s="565"/>
      <c r="BU61" s="565"/>
      <c r="BV61" s="565"/>
      <c r="BW61" s="565"/>
      <c r="BX61" s="566"/>
      <c r="BY61" s="573"/>
    </row>
    <row r="62" spans="1:77" x14ac:dyDescent="0.25">
      <c r="A62" s="120"/>
      <c r="B62" s="1062"/>
      <c r="C62" s="1062"/>
      <c r="D62" s="1062"/>
      <c r="E62" s="1062"/>
      <c r="F62" s="1062"/>
      <c r="G62" s="1062"/>
      <c r="H62" s="1062"/>
      <c r="I62" s="590"/>
      <c r="J62" s="566">
        <v>26</v>
      </c>
      <c r="K62" s="565" t="str">
        <f t="shared" si="12"/>
        <v/>
      </c>
      <c r="L62" s="565" t="str">
        <f t="shared" si="13"/>
        <v/>
      </c>
      <c r="M62" s="565"/>
      <c r="N62" s="565"/>
      <c r="O62" s="565"/>
      <c r="P62" s="565"/>
      <c r="Q62" s="565"/>
      <c r="R62" s="565"/>
      <c r="S62" s="566">
        <v>26</v>
      </c>
      <c r="T62" s="565" t="str">
        <f t="shared" si="14"/>
        <v/>
      </c>
      <c r="U62" s="565" t="str">
        <f t="shared" si="15"/>
        <v/>
      </c>
      <c r="V62" s="565"/>
      <c r="W62" s="565"/>
      <c r="X62" s="565"/>
      <c r="Y62" s="565"/>
      <c r="Z62" s="565"/>
      <c r="AA62" s="565"/>
      <c r="AB62" s="566">
        <v>26</v>
      </c>
      <c r="AC62" s="565" t="str">
        <f t="shared" si="16"/>
        <v/>
      </c>
      <c r="AD62" s="565" t="str">
        <f t="shared" si="17"/>
        <v/>
      </c>
      <c r="AE62" s="565"/>
      <c r="AF62" s="565"/>
      <c r="AG62" s="565"/>
      <c r="AH62" s="565"/>
      <c r="AI62" s="565"/>
      <c r="AJ62" s="566">
        <v>26</v>
      </c>
      <c r="AK62" s="565" t="str">
        <f t="shared" si="18"/>
        <v/>
      </c>
      <c r="AL62" s="565" t="str">
        <f t="shared" si="19"/>
        <v/>
      </c>
      <c r="AM62" s="565"/>
      <c r="AN62" s="565"/>
      <c r="AO62" s="565"/>
      <c r="AP62" s="565"/>
      <c r="AQ62" s="565"/>
      <c r="AR62" s="566"/>
      <c r="AS62" s="565"/>
      <c r="AT62" s="565"/>
      <c r="AU62" s="565"/>
      <c r="AV62" s="566"/>
      <c r="AW62" s="565"/>
      <c r="AX62" s="565"/>
      <c r="AY62" s="565"/>
      <c r="AZ62" s="566"/>
      <c r="BA62" s="565"/>
      <c r="BB62" s="565"/>
      <c r="BC62" s="565"/>
      <c r="BD62" s="565"/>
      <c r="BE62" s="565"/>
      <c r="BF62" s="565"/>
      <c r="BG62" s="565"/>
      <c r="BH62" s="566"/>
      <c r="BI62" s="565"/>
      <c r="BJ62" s="565"/>
      <c r="BK62" s="565"/>
      <c r="BL62" s="565"/>
      <c r="BM62" s="565"/>
      <c r="BN62" s="565"/>
      <c r="BO62" s="565"/>
      <c r="BP62" s="566"/>
      <c r="BQ62" s="565"/>
      <c r="BR62" s="565"/>
      <c r="BS62" s="565"/>
      <c r="BT62" s="565"/>
      <c r="BU62" s="565"/>
      <c r="BV62" s="565"/>
      <c r="BW62" s="565"/>
      <c r="BX62" s="566"/>
      <c r="BY62" s="573"/>
    </row>
    <row r="63" spans="1:77" x14ac:dyDescent="0.25">
      <c r="A63" s="120"/>
      <c r="B63" s="1062"/>
      <c r="C63" s="1062"/>
      <c r="D63" s="1062"/>
      <c r="E63" s="1062"/>
      <c r="F63" s="1062"/>
      <c r="G63" s="1062"/>
      <c r="H63" s="1062"/>
      <c r="I63" s="590"/>
      <c r="J63" s="566">
        <v>27</v>
      </c>
      <c r="K63" s="565" t="str">
        <f t="shared" si="12"/>
        <v/>
      </c>
      <c r="L63" s="565" t="str">
        <f t="shared" si="13"/>
        <v/>
      </c>
      <c r="M63" s="565"/>
      <c r="N63" s="565"/>
      <c r="O63" s="565"/>
      <c r="P63" s="565"/>
      <c r="Q63" s="565"/>
      <c r="R63" s="565"/>
      <c r="S63" s="566">
        <v>27</v>
      </c>
      <c r="T63" s="565" t="str">
        <f t="shared" si="14"/>
        <v/>
      </c>
      <c r="U63" s="565" t="str">
        <f t="shared" si="15"/>
        <v/>
      </c>
      <c r="V63" s="565"/>
      <c r="W63" s="565"/>
      <c r="X63" s="565"/>
      <c r="Y63" s="565"/>
      <c r="Z63" s="565"/>
      <c r="AA63" s="565"/>
      <c r="AB63" s="566">
        <v>27</v>
      </c>
      <c r="AC63" s="565" t="str">
        <f t="shared" si="16"/>
        <v/>
      </c>
      <c r="AD63" s="565" t="str">
        <f t="shared" si="17"/>
        <v/>
      </c>
      <c r="AE63" s="565"/>
      <c r="AF63" s="565"/>
      <c r="AG63" s="565"/>
      <c r="AH63" s="565"/>
      <c r="AI63" s="565"/>
      <c r="AJ63" s="566">
        <v>27</v>
      </c>
      <c r="AK63" s="565" t="str">
        <f t="shared" si="18"/>
        <v/>
      </c>
      <c r="AL63" s="565" t="str">
        <f t="shared" si="19"/>
        <v/>
      </c>
      <c r="AM63" s="565"/>
      <c r="AN63" s="565"/>
      <c r="AO63" s="565"/>
      <c r="AP63" s="565"/>
      <c r="AQ63" s="565"/>
      <c r="AR63" s="566"/>
      <c r="AS63" s="565"/>
      <c r="AT63" s="565"/>
      <c r="AU63" s="565"/>
      <c r="AV63" s="566"/>
      <c r="AW63" s="565"/>
      <c r="AX63" s="565"/>
      <c r="AY63" s="565"/>
      <c r="AZ63" s="566"/>
      <c r="BA63" s="565"/>
      <c r="BB63" s="565"/>
      <c r="BC63" s="565"/>
      <c r="BD63" s="565"/>
      <c r="BE63" s="565"/>
      <c r="BF63" s="565"/>
      <c r="BG63" s="565"/>
      <c r="BH63" s="566"/>
      <c r="BI63" s="565"/>
      <c r="BJ63" s="565"/>
      <c r="BK63" s="565"/>
      <c r="BL63" s="565"/>
      <c r="BM63" s="565"/>
      <c r="BN63" s="565"/>
      <c r="BO63" s="565"/>
      <c r="BP63" s="566"/>
      <c r="BQ63" s="565"/>
      <c r="BR63" s="565"/>
      <c r="BS63" s="565"/>
      <c r="BT63" s="565"/>
      <c r="BU63" s="565"/>
      <c r="BV63" s="565"/>
      <c r="BW63" s="565"/>
      <c r="BX63" s="566"/>
      <c r="BY63" s="573"/>
    </row>
    <row r="64" spans="1:77" x14ac:dyDescent="0.25">
      <c r="A64" s="120"/>
      <c r="B64" s="1062"/>
      <c r="C64" s="1062"/>
      <c r="D64" s="1062"/>
      <c r="E64" s="1062"/>
      <c r="F64" s="1062"/>
      <c r="G64" s="1062"/>
      <c r="H64" s="1062"/>
      <c r="I64" s="590"/>
      <c r="J64" s="566">
        <v>28</v>
      </c>
      <c r="K64" s="565" t="str">
        <f t="shared" si="12"/>
        <v/>
      </c>
      <c r="L64" s="565" t="str">
        <f t="shared" si="13"/>
        <v/>
      </c>
      <c r="M64" s="565"/>
      <c r="N64" s="565"/>
      <c r="O64" s="565"/>
      <c r="P64" s="565"/>
      <c r="Q64" s="565"/>
      <c r="R64" s="565"/>
      <c r="S64" s="566">
        <v>28</v>
      </c>
      <c r="T64" s="565" t="str">
        <f t="shared" si="14"/>
        <v/>
      </c>
      <c r="U64" s="565" t="str">
        <f t="shared" si="15"/>
        <v/>
      </c>
      <c r="V64" s="565"/>
      <c r="W64" s="565"/>
      <c r="X64" s="565"/>
      <c r="Y64" s="565"/>
      <c r="Z64" s="565"/>
      <c r="AA64" s="565"/>
      <c r="AB64" s="566">
        <v>28</v>
      </c>
      <c r="AC64" s="565" t="str">
        <f t="shared" si="16"/>
        <v/>
      </c>
      <c r="AD64" s="565" t="str">
        <f t="shared" si="17"/>
        <v/>
      </c>
      <c r="AE64" s="565"/>
      <c r="AF64" s="565"/>
      <c r="AG64" s="565"/>
      <c r="AH64" s="565"/>
      <c r="AI64" s="565"/>
      <c r="AJ64" s="566">
        <v>28</v>
      </c>
      <c r="AK64" s="565" t="str">
        <f t="shared" si="18"/>
        <v/>
      </c>
      <c r="AL64" s="565" t="str">
        <f t="shared" si="19"/>
        <v/>
      </c>
      <c r="AM64" s="565"/>
      <c r="AN64" s="565"/>
      <c r="AO64" s="565"/>
      <c r="AP64" s="565"/>
      <c r="AQ64" s="565"/>
      <c r="AR64" s="566"/>
      <c r="AS64" s="565"/>
      <c r="AT64" s="565"/>
      <c r="AU64" s="565"/>
      <c r="AV64" s="566"/>
      <c r="AW64" s="565"/>
      <c r="AX64" s="565"/>
      <c r="AY64" s="565"/>
      <c r="AZ64" s="566"/>
      <c r="BA64" s="565"/>
      <c r="BB64" s="565"/>
      <c r="BC64" s="565"/>
      <c r="BD64" s="565"/>
      <c r="BE64" s="565"/>
      <c r="BF64" s="565"/>
      <c r="BG64" s="565"/>
      <c r="BH64" s="566"/>
      <c r="BI64" s="565"/>
      <c r="BJ64" s="565"/>
      <c r="BK64" s="565"/>
      <c r="BL64" s="565"/>
      <c r="BM64" s="565"/>
      <c r="BN64" s="565"/>
      <c r="BO64" s="565"/>
      <c r="BP64" s="566"/>
      <c r="BQ64" s="565"/>
      <c r="BR64" s="565"/>
      <c r="BS64" s="565"/>
      <c r="BT64" s="565"/>
      <c r="BU64" s="565"/>
      <c r="BV64" s="565"/>
      <c r="BW64" s="565"/>
      <c r="BX64" s="566"/>
      <c r="BY64" s="573"/>
    </row>
    <row r="65" spans="1:77" x14ac:dyDescent="0.25">
      <c r="A65" s="120"/>
      <c r="B65" s="1062"/>
      <c r="C65" s="1062"/>
      <c r="D65" s="1062"/>
      <c r="E65" s="1062"/>
      <c r="F65" s="1062"/>
      <c r="G65" s="1062"/>
      <c r="H65" s="1062"/>
      <c r="I65" s="590"/>
      <c r="J65" s="566">
        <v>29</v>
      </c>
      <c r="K65" s="565" t="str">
        <f t="shared" si="12"/>
        <v/>
      </c>
      <c r="L65" s="565" t="str">
        <f t="shared" si="13"/>
        <v/>
      </c>
      <c r="M65" s="565"/>
      <c r="N65" s="565"/>
      <c r="O65" s="565"/>
      <c r="P65" s="565"/>
      <c r="Q65" s="565"/>
      <c r="R65" s="565"/>
      <c r="S65" s="566">
        <v>29</v>
      </c>
      <c r="T65" s="565" t="str">
        <f t="shared" si="14"/>
        <v/>
      </c>
      <c r="U65" s="565" t="str">
        <f t="shared" si="15"/>
        <v/>
      </c>
      <c r="V65" s="565"/>
      <c r="W65" s="565"/>
      <c r="X65" s="565"/>
      <c r="Y65" s="565"/>
      <c r="Z65" s="565"/>
      <c r="AA65" s="565"/>
      <c r="AB65" s="566">
        <v>29</v>
      </c>
      <c r="AC65" s="565" t="str">
        <f t="shared" si="16"/>
        <v/>
      </c>
      <c r="AD65" s="565" t="str">
        <f t="shared" si="17"/>
        <v/>
      </c>
      <c r="AE65" s="565"/>
      <c r="AF65" s="565"/>
      <c r="AG65" s="565"/>
      <c r="AH65" s="565"/>
      <c r="AI65" s="565"/>
      <c r="AJ65" s="566">
        <v>29</v>
      </c>
      <c r="AK65" s="565" t="str">
        <f t="shared" si="18"/>
        <v/>
      </c>
      <c r="AL65" s="565" t="str">
        <f t="shared" si="19"/>
        <v/>
      </c>
      <c r="AM65" s="565"/>
      <c r="AN65" s="565"/>
      <c r="AO65" s="565"/>
      <c r="AP65" s="565"/>
      <c r="AQ65" s="565"/>
      <c r="AR65" s="566"/>
      <c r="AS65" s="565"/>
      <c r="AT65" s="565"/>
      <c r="AU65" s="565"/>
      <c r="AV65" s="566"/>
      <c r="AW65" s="565"/>
      <c r="AX65" s="565"/>
      <c r="AY65" s="565"/>
      <c r="AZ65" s="566"/>
      <c r="BA65" s="565"/>
      <c r="BB65" s="565"/>
      <c r="BC65" s="565"/>
      <c r="BD65" s="565"/>
      <c r="BE65" s="565"/>
      <c r="BF65" s="565"/>
      <c r="BG65" s="565"/>
      <c r="BH65" s="566"/>
      <c r="BI65" s="565"/>
      <c r="BJ65" s="565"/>
      <c r="BK65" s="565"/>
      <c r="BL65" s="565"/>
      <c r="BM65" s="565"/>
      <c r="BN65" s="565"/>
      <c r="BO65" s="565"/>
      <c r="BP65" s="566"/>
      <c r="BQ65" s="565"/>
      <c r="BR65" s="565"/>
      <c r="BS65" s="565"/>
      <c r="BT65" s="565"/>
      <c r="BU65" s="565"/>
      <c r="BV65" s="565"/>
      <c r="BW65" s="565"/>
      <c r="BX65" s="566"/>
      <c r="BY65" s="573"/>
    </row>
    <row r="66" spans="1:77" x14ac:dyDescent="0.25">
      <c r="A66" s="120"/>
      <c r="B66" s="1062"/>
      <c r="C66" s="1062"/>
      <c r="D66" s="1062"/>
      <c r="E66" s="1062"/>
      <c r="F66" s="1062"/>
      <c r="G66" s="1062"/>
      <c r="H66" s="1062"/>
      <c r="I66" s="590"/>
      <c r="J66" s="566">
        <v>30</v>
      </c>
      <c r="K66" s="565" t="str">
        <f t="shared" si="12"/>
        <v/>
      </c>
      <c r="L66" s="565" t="str">
        <f t="shared" si="13"/>
        <v/>
      </c>
      <c r="M66" s="565"/>
      <c r="N66" s="565"/>
      <c r="O66" s="565"/>
      <c r="P66" s="565"/>
      <c r="Q66" s="565"/>
      <c r="R66" s="565"/>
      <c r="S66" s="566">
        <v>30</v>
      </c>
      <c r="T66" s="565" t="str">
        <f t="shared" si="14"/>
        <v/>
      </c>
      <c r="U66" s="565" t="str">
        <f t="shared" si="15"/>
        <v/>
      </c>
      <c r="V66" s="565"/>
      <c r="W66" s="565"/>
      <c r="X66" s="565"/>
      <c r="Y66" s="565"/>
      <c r="Z66" s="565"/>
      <c r="AA66" s="565"/>
      <c r="AB66" s="566">
        <v>30</v>
      </c>
      <c r="AC66" s="565" t="str">
        <f t="shared" si="16"/>
        <v/>
      </c>
      <c r="AD66" s="565" t="str">
        <f t="shared" si="17"/>
        <v/>
      </c>
      <c r="AE66" s="565"/>
      <c r="AF66" s="565"/>
      <c r="AG66" s="565"/>
      <c r="AH66" s="565"/>
      <c r="AI66" s="565"/>
      <c r="AJ66" s="566">
        <v>30</v>
      </c>
      <c r="AK66" s="565" t="str">
        <f t="shared" si="18"/>
        <v/>
      </c>
      <c r="AL66" s="565" t="str">
        <f t="shared" si="19"/>
        <v/>
      </c>
      <c r="AM66" s="565"/>
      <c r="AN66" s="565"/>
      <c r="AO66" s="565"/>
      <c r="AP66" s="565"/>
      <c r="AQ66" s="565"/>
      <c r="AR66" s="566"/>
      <c r="AS66" s="565"/>
      <c r="AT66" s="565"/>
      <c r="AU66" s="565"/>
      <c r="AV66" s="566"/>
      <c r="AW66" s="565"/>
      <c r="AX66" s="565"/>
      <c r="AY66" s="565"/>
      <c r="AZ66" s="566"/>
      <c r="BA66" s="565"/>
      <c r="BB66" s="565"/>
      <c r="BC66" s="565"/>
      <c r="BD66" s="565"/>
      <c r="BE66" s="565"/>
      <c r="BF66" s="565"/>
      <c r="BG66" s="565"/>
      <c r="BH66" s="566"/>
      <c r="BI66" s="565"/>
      <c r="BJ66" s="565"/>
      <c r="BK66" s="565"/>
      <c r="BL66" s="565"/>
      <c r="BM66" s="565"/>
      <c r="BN66" s="565"/>
      <c r="BO66" s="565"/>
      <c r="BP66" s="566"/>
      <c r="BQ66" s="565"/>
      <c r="BR66" s="565"/>
      <c r="BS66" s="565"/>
      <c r="BT66" s="565"/>
      <c r="BU66" s="565"/>
      <c r="BV66" s="565"/>
      <c r="BW66" s="565"/>
      <c r="BX66" s="566"/>
      <c r="BY66" s="573"/>
    </row>
    <row r="67" spans="1:77" x14ac:dyDescent="0.25">
      <c r="A67" s="565"/>
      <c r="B67" s="565"/>
      <c r="C67" s="565"/>
      <c r="D67" s="565"/>
      <c r="E67" s="565"/>
      <c r="F67" s="565"/>
      <c r="G67" s="565"/>
      <c r="H67" s="565"/>
      <c r="I67" s="565"/>
      <c r="J67" s="565"/>
      <c r="K67" s="565"/>
      <c r="L67" s="565"/>
      <c r="M67" s="565"/>
      <c r="N67" s="565"/>
      <c r="O67" s="565"/>
      <c r="P67" s="565"/>
      <c r="Q67" s="565"/>
      <c r="R67" s="565"/>
      <c r="S67" s="565"/>
      <c r="T67" s="565"/>
      <c r="U67" s="565"/>
      <c r="V67" s="565"/>
      <c r="W67" s="565"/>
      <c r="X67" s="565"/>
      <c r="Y67" s="565"/>
      <c r="Z67" s="565"/>
      <c r="AA67" s="565"/>
      <c r="AB67" s="565"/>
      <c r="AC67" s="565"/>
      <c r="AD67" s="565"/>
      <c r="AE67" s="565"/>
      <c r="AF67" s="565"/>
      <c r="AG67" s="565"/>
      <c r="AH67" s="565"/>
      <c r="AI67" s="565"/>
      <c r="AJ67" s="565"/>
      <c r="AK67" s="565"/>
      <c r="AL67" s="565"/>
      <c r="AM67" s="565"/>
      <c r="AN67" s="565"/>
      <c r="AO67" s="565"/>
      <c r="AP67" s="565"/>
      <c r="AQ67" s="565"/>
      <c r="AR67" s="565"/>
      <c r="AS67" s="565"/>
      <c r="AT67" s="565"/>
      <c r="AU67" s="565"/>
      <c r="AV67" s="565"/>
      <c r="AW67" s="565"/>
      <c r="AX67" s="565"/>
      <c r="AY67" s="565"/>
      <c r="AZ67" s="565"/>
      <c r="BA67" s="565"/>
      <c r="BB67" s="565"/>
      <c r="BC67" s="565"/>
      <c r="BD67" s="565"/>
      <c r="BE67" s="565"/>
      <c r="BF67" s="565"/>
      <c r="BG67" s="565"/>
      <c r="BH67" s="565"/>
      <c r="BI67" s="565"/>
      <c r="BJ67" s="565"/>
      <c r="BK67" s="565"/>
      <c r="BL67" s="565"/>
      <c r="BM67" s="565"/>
      <c r="BN67" s="565"/>
      <c r="BO67" s="565"/>
      <c r="BP67" s="565"/>
      <c r="BQ67" s="565"/>
      <c r="BR67" s="565"/>
      <c r="BS67" s="565"/>
      <c r="BT67" s="565"/>
      <c r="BU67" s="565"/>
      <c r="BV67" s="565"/>
      <c r="BW67" s="565"/>
      <c r="BX67" s="565"/>
      <c r="BY67" s="573"/>
    </row>
    <row r="68" spans="1:77" x14ac:dyDescent="0.25">
      <c r="A68" s="565"/>
      <c r="B68" s="565"/>
      <c r="C68" s="565"/>
      <c r="D68" s="600">
        <f>S06_Ranger!E68</f>
        <v>5</v>
      </c>
      <c r="E68" s="600">
        <f>D68+SUM(C69:C98)</f>
        <v>5</v>
      </c>
      <c r="F68" s="565"/>
      <c r="G68" s="565"/>
      <c r="H68" s="565"/>
      <c r="I68" s="565"/>
      <c r="J68" s="565"/>
      <c r="K68" s="565"/>
      <c r="L68" s="565"/>
      <c r="M68" s="600">
        <f>S06_Ranger!N68</f>
        <v>2</v>
      </c>
      <c r="N68" s="600">
        <f>M68+SUM(L69:L98)</f>
        <v>2</v>
      </c>
      <c r="O68" s="565"/>
      <c r="P68" s="565"/>
      <c r="Q68" s="565"/>
      <c r="R68" s="565"/>
      <c r="S68" s="565"/>
      <c r="T68" s="565"/>
      <c r="U68" s="565"/>
      <c r="V68" s="600">
        <f>S06_Ranger!W68</f>
        <v>0</v>
      </c>
      <c r="W68" s="600">
        <f>V68+SUM(U69:U98)</f>
        <v>0</v>
      </c>
      <c r="X68" s="565"/>
      <c r="Y68" s="565"/>
      <c r="Z68" s="565"/>
      <c r="AA68" s="565"/>
      <c r="AB68" s="565"/>
      <c r="AC68" s="565"/>
      <c r="AD68" s="565"/>
      <c r="AE68" s="600">
        <f>S06_Ranger!AF68</f>
        <v>0</v>
      </c>
      <c r="AF68" s="600">
        <f>AE68+SUM(AD69:AD98)</f>
        <v>0</v>
      </c>
      <c r="AG68" s="565"/>
      <c r="AH68" s="565"/>
      <c r="AI68" s="565"/>
      <c r="AJ68" s="565"/>
      <c r="AK68" s="565"/>
      <c r="AL68" s="565"/>
      <c r="AM68" s="565"/>
      <c r="AN68" s="565"/>
      <c r="AO68" s="565"/>
      <c r="AP68" s="565"/>
      <c r="AQ68" s="565"/>
      <c r="AR68" s="565"/>
      <c r="AS68" s="565"/>
      <c r="AT68" s="565"/>
      <c r="AU68" s="565"/>
      <c r="AV68" s="565"/>
      <c r="AW68" s="565"/>
      <c r="AX68" s="565"/>
      <c r="AY68" s="565"/>
      <c r="AZ68" s="565"/>
      <c r="BA68" s="565"/>
      <c r="BB68" s="565"/>
      <c r="BC68" s="565"/>
      <c r="BD68" s="565"/>
      <c r="BE68" s="565"/>
      <c r="BF68" s="565"/>
      <c r="BG68" s="565"/>
      <c r="BH68" s="565"/>
      <c r="BI68" s="565"/>
      <c r="BJ68" s="565"/>
      <c r="BK68" s="565"/>
      <c r="BL68" s="565"/>
      <c r="BM68" s="565"/>
      <c r="BN68" s="565"/>
      <c r="BO68" s="565"/>
      <c r="BP68" s="565"/>
      <c r="BQ68" s="565"/>
      <c r="BR68" s="565"/>
      <c r="BS68" s="565"/>
      <c r="BT68" s="565"/>
      <c r="BU68" s="565"/>
      <c r="BV68" s="565"/>
      <c r="BW68" s="565"/>
      <c r="BX68" s="565"/>
      <c r="BY68" s="573"/>
    </row>
    <row r="69" spans="1:77" x14ac:dyDescent="0.25">
      <c r="B69" s="591">
        <v>1</v>
      </c>
      <c r="C69">
        <f t="shared" ref="C69:C98" si="20">IF(SpellcastingAT&gt;0,IF(C6&lt;&gt;"",1,0),0)</f>
        <v>0</v>
      </c>
      <c r="D69">
        <f>IF(C69=0,0,1)</f>
        <v>0</v>
      </c>
      <c r="E69">
        <f>IF(D69=0,0,D69+D$68)</f>
        <v>0</v>
      </c>
      <c r="F69" t="str">
        <f>IF(C69=1,"Arcane Trickster","")</f>
        <v/>
      </c>
      <c r="G69" t="str">
        <f>IF(C69=1,"P","")</f>
        <v/>
      </c>
      <c r="H69" t="s">
        <v>6545</v>
      </c>
      <c r="I69" t="s">
        <v>6545</v>
      </c>
      <c r="J69" t="s">
        <v>6545</v>
      </c>
      <c r="K69" s="605">
        <v>1</v>
      </c>
      <c r="L69">
        <f t="shared" ref="L69:L98" si="21">IF(SpellcastingAT&gt;0,IF(L6&lt;&gt;"",1,0),0)</f>
        <v>0</v>
      </c>
      <c r="M69">
        <f>IF(L69=0,0,1)</f>
        <v>0</v>
      </c>
      <c r="N69">
        <f>IF(M69=0,0,M69+M$68)</f>
        <v>0</v>
      </c>
      <c r="O69" t="str">
        <f>IF(L69=1,"Arcane Trickster","")</f>
        <v/>
      </c>
      <c r="P69" t="str">
        <f>IF(L69=1,"P","")</f>
        <v/>
      </c>
      <c r="Q69" t="s">
        <v>6545</v>
      </c>
      <c r="R69" t="s">
        <v>6545</v>
      </c>
      <c r="S69" t="s">
        <v>6545</v>
      </c>
      <c r="T69" s="605">
        <v>1</v>
      </c>
      <c r="U69">
        <f t="shared" ref="U69:U98" si="22">IF(SpellcastingAT&gt;0,IF(U6&lt;&gt;"",1,0),0)</f>
        <v>0</v>
      </c>
      <c r="V69">
        <f>IF(U69=0,0,1)</f>
        <v>0</v>
      </c>
      <c r="W69">
        <f>IF(V69=0,0,V69+V$68)</f>
        <v>0</v>
      </c>
      <c r="X69" t="str">
        <f>IF(U69=1,"Arcane Trickster","")</f>
        <v/>
      </c>
      <c r="Y69" t="str">
        <f>IF(U69=1,"P","")</f>
        <v/>
      </c>
      <c r="Z69" t="s">
        <v>6545</v>
      </c>
      <c r="AA69" t="s">
        <v>6545</v>
      </c>
      <c r="AB69" t="s">
        <v>6545</v>
      </c>
      <c r="AC69" s="605">
        <v>1</v>
      </c>
      <c r="AD69">
        <f t="shared" ref="AD69:AD98" si="23">IF(SpellcastingAT&gt;0,IF(AD6&lt;&gt;"",1,0),0)</f>
        <v>0</v>
      </c>
      <c r="AE69">
        <f>IF(AD69=0,0,1)</f>
        <v>0</v>
      </c>
      <c r="AF69">
        <f>IF(AE69=0,0,AE69+AE$68)</f>
        <v>0</v>
      </c>
      <c r="AG69" t="str">
        <f>IF(AD69=1,"Arcane Trickster","")</f>
        <v/>
      </c>
      <c r="AH69" t="str">
        <f>IF(AD69=1,"P","")</f>
        <v/>
      </c>
      <c r="AI69" t="s">
        <v>6545</v>
      </c>
      <c r="AJ69" t="s">
        <v>6545</v>
      </c>
      <c r="AK69" t="s">
        <v>6545</v>
      </c>
    </row>
    <row r="70" spans="1:77" x14ac:dyDescent="0.25">
      <c r="B70" s="591">
        <v>2</v>
      </c>
      <c r="C70">
        <f t="shared" si="20"/>
        <v>0</v>
      </c>
      <c r="D70">
        <f>IF(C70=0,0,1+MAX($D69:D$69))</f>
        <v>0</v>
      </c>
      <c r="E70">
        <f t="shared" ref="E70:E98" si="24">IF(D70=0,0,D70+D$68)</f>
        <v>0</v>
      </c>
      <c r="F70" t="str">
        <f t="shared" ref="F70:F98" si="25">IF(C70=1,"Arcane Trickster","")</f>
        <v/>
      </c>
      <c r="G70" t="str">
        <f t="shared" ref="G70:G98" si="26">IF(C70=1,"P","")</f>
        <v/>
      </c>
      <c r="H70" t="str">
        <f>IF($C70=4,1+COUNTIF(H69:H$69,"&gt;0"),"")</f>
        <v/>
      </c>
      <c r="J70" t="str">
        <f>IF($C70=5,1+COUNTIF(J69:J$69,"&gt;0"),"")</f>
        <v/>
      </c>
      <c r="K70" s="605">
        <v>2</v>
      </c>
      <c r="L70">
        <f t="shared" si="21"/>
        <v>0</v>
      </c>
      <c r="M70">
        <f>IF(L70=0,0,1+MAX(M69:M$69))</f>
        <v>0</v>
      </c>
      <c r="N70">
        <f t="shared" ref="N70:N98" si="27">IF(M70=0,0,M70+M$68)</f>
        <v>0</v>
      </c>
      <c r="O70" t="str">
        <f t="shared" ref="O70:O98" si="28">IF(L70=1,"Arcane Trickster","")</f>
        <v/>
      </c>
      <c r="P70" t="str">
        <f t="shared" ref="P70:P98" si="29">IF(L70=1,"P","")</f>
        <v/>
      </c>
      <c r="Q70" t="str">
        <f>IF($C70=4,1+COUNTIF(Q69:Q$69,"&gt;0"),"")</f>
        <v/>
      </c>
      <c r="S70" t="str">
        <f>IF($C70=5,1+COUNTIF(S69:S$69,"&gt;0"),"")</f>
        <v/>
      </c>
      <c r="T70" s="605">
        <v>2</v>
      </c>
      <c r="U70">
        <f t="shared" si="22"/>
        <v>0</v>
      </c>
      <c r="V70">
        <f>IF(U70=0,0,1+MAX(V69:V$69))</f>
        <v>0</v>
      </c>
      <c r="W70">
        <f t="shared" ref="W70:W98" si="30">IF(V70=0,0,V70+V$68)</f>
        <v>0</v>
      </c>
      <c r="X70" t="str">
        <f t="shared" ref="X70:X98" si="31">IF(U70=1,"Arcane Trickster","")</f>
        <v/>
      </c>
      <c r="Y70" t="str">
        <f t="shared" ref="Y70:Y98" si="32">IF(U70=1,"P","")</f>
        <v/>
      </c>
      <c r="Z70" t="str">
        <f>IF($C70=4,1+COUNTIF(Z69:Z$69,"&gt;0"),"")</f>
        <v/>
      </c>
      <c r="AB70" t="str">
        <f>IF($C70=5,1+COUNTIF(AB69:AB$69,"&gt;0"),"")</f>
        <v/>
      </c>
      <c r="AC70" s="605">
        <v>2</v>
      </c>
      <c r="AD70">
        <f t="shared" si="23"/>
        <v>0</v>
      </c>
      <c r="AE70">
        <f>IF(AD70=0,0,1+MAX(AE69:AE$69))</f>
        <v>0</v>
      </c>
      <c r="AF70">
        <f t="shared" ref="AF70:AF98" si="33">IF(AE70=0,0,AE70+AE$68)</f>
        <v>0</v>
      </c>
      <c r="AG70" t="str">
        <f t="shared" ref="AG70:AG98" si="34">IF(AD70=1,"Arcane Trickster","")</f>
        <v/>
      </c>
      <c r="AH70" t="str">
        <f t="shared" ref="AH70:AH98" si="35">IF(AD70=1,"P","")</f>
        <v/>
      </c>
      <c r="AI70" t="str">
        <f>IF($C70=4,1+COUNTIF(AI69:AI$69,"&gt;0"),"")</f>
        <v/>
      </c>
      <c r="AK70" t="str">
        <f>IF($C70=5,1+COUNTIF(AK69:AK$69,"&gt;0"),"")</f>
        <v/>
      </c>
    </row>
    <row r="71" spans="1:77" x14ac:dyDescent="0.25">
      <c r="A71" t="str">
        <f>IF($C71=3,1+COUNTIF(A$69:A70,"&gt;0"),"")</f>
        <v/>
      </c>
      <c r="B71" s="591">
        <v>3</v>
      </c>
      <c r="C71">
        <f t="shared" si="20"/>
        <v>0</v>
      </c>
      <c r="D71">
        <f>IF(C71=0,0,1+MAX($D$69:D70))</f>
        <v>0</v>
      </c>
      <c r="E71">
        <f t="shared" si="24"/>
        <v>0</v>
      </c>
      <c r="F71" t="str">
        <f t="shared" si="25"/>
        <v/>
      </c>
      <c r="G71" t="str">
        <f t="shared" si="26"/>
        <v/>
      </c>
      <c r="K71" s="605">
        <v>3</v>
      </c>
      <c r="L71">
        <f t="shared" si="21"/>
        <v>0</v>
      </c>
      <c r="M71">
        <f>IF(L71=0,0,1+MAX(M$69:M70))</f>
        <v>0</v>
      </c>
      <c r="N71">
        <f t="shared" si="27"/>
        <v>0</v>
      </c>
      <c r="O71" t="str">
        <f t="shared" si="28"/>
        <v/>
      </c>
      <c r="P71" t="str">
        <f t="shared" si="29"/>
        <v/>
      </c>
      <c r="T71" s="605">
        <v>3</v>
      </c>
      <c r="U71">
        <f t="shared" si="22"/>
        <v>0</v>
      </c>
      <c r="V71">
        <f>IF(U71=0,0,1+MAX(V$69:V70))</f>
        <v>0</v>
      </c>
      <c r="W71">
        <f t="shared" si="30"/>
        <v>0</v>
      </c>
      <c r="X71" t="str">
        <f t="shared" si="31"/>
        <v/>
      </c>
      <c r="Y71" t="str">
        <f t="shared" si="32"/>
        <v/>
      </c>
      <c r="AC71" s="605">
        <v>3</v>
      </c>
      <c r="AD71">
        <f t="shared" si="23"/>
        <v>0</v>
      </c>
      <c r="AE71">
        <f>IF(AD71=0,0,1+MAX(AE$69:AE70))</f>
        <v>0</v>
      </c>
      <c r="AF71">
        <f t="shared" si="33"/>
        <v>0</v>
      </c>
      <c r="AG71" t="str">
        <f t="shared" si="34"/>
        <v/>
      </c>
      <c r="AH71" t="str">
        <f t="shared" si="35"/>
        <v/>
      </c>
    </row>
    <row r="72" spans="1:77" x14ac:dyDescent="0.25">
      <c r="A72" t="str">
        <f>IF($C72=3,1+COUNTIF(A$69:A71,"&gt;0"),"")</f>
        <v/>
      </c>
      <c r="B72" s="591">
        <v>4</v>
      </c>
      <c r="C72">
        <f t="shared" si="20"/>
        <v>0</v>
      </c>
      <c r="D72">
        <f>IF(C72=0,0,1+MAX($D$69:D71))</f>
        <v>0</v>
      </c>
      <c r="E72">
        <f t="shared" si="24"/>
        <v>0</v>
      </c>
      <c r="F72" t="str">
        <f t="shared" si="25"/>
        <v/>
      </c>
      <c r="G72" t="str">
        <f t="shared" si="26"/>
        <v/>
      </c>
      <c r="K72" s="605">
        <v>4</v>
      </c>
      <c r="L72">
        <f t="shared" si="21"/>
        <v>0</v>
      </c>
      <c r="M72">
        <f>IF(L72=0,0,1+MAX(M$69:M71))</f>
        <v>0</v>
      </c>
      <c r="N72">
        <f t="shared" si="27"/>
        <v>0</v>
      </c>
      <c r="O72" t="str">
        <f t="shared" si="28"/>
        <v/>
      </c>
      <c r="P72" t="str">
        <f t="shared" si="29"/>
        <v/>
      </c>
      <c r="T72" s="605">
        <v>4</v>
      </c>
      <c r="U72">
        <f t="shared" si="22"/>
        <v>0</v>
      </c>
      <c r="V72">
        <f>IF(U72=0,0,1+MAX(V$69:V71))</f>
        <v>0</v>
      </c>
      <c r="W72">
        <f t="shared" si="30"/>
        <v>0</v>
      </c>
      <c r="X72" t="str">
        <f t="shared" si="31"/>
        <v/>
      </c>
      <c r="Y72" t="str">
        <f t="shared" si="32"/>
        <v/>
      </c>
      <c r="AC72" s="605">
        <v>4</v>
      </c>
      <c r="AD72">
        <f t="shared" si="23"/>
        <v>0</v>
      </c>
      <c r="AE72">
        <f>IF(AD72=0,0,1+MAX(AE$69:AE71))</f>
        <v>0</v>
      </c>
      <c r="AF72">
        <f t="shared" si="33"/>
        <v>0</v>
      </c>
      <c r="AG72" t="str">
        <f t="shared" si="34"/>
        <v/>
      </c>
      <c r="AH72" t="str">
        <f t="shared" si="35"/>
        <v/>
      </c>
    </row>
    <row r="73" spans="1:77" x14ac:dyDescent="0.25">
      <c r="A73" t="str">
        <f>IF($C73=3,1+COUNTIF(A$69:A72,"&gt;0"),"")</f>
        <v/>
      </c>
      <c r="B73" s="591">
        <v>5</v>
      </c>
      <c r="C73">
        <f t="shared" si="20"/>
        <v>0</v>
      </c>
      <c r="D73">
        <f>IF(C73=0,0,1+MAX($D$69:D72))</f>
        <v>0</v>
      </c>
      <c r="E73">
        <f t="shared" si="24"/>
        <v>0</v>
      </c>
      <c r="F73" t="str">
        <f t="shared" si="25"/>
        <v/>
      </c>
      <c r="G73" t="str">
        <f t="shared" si="26"/>
        <v/>
      </c>
      <c r="K73" s="605">
        <v>5</v>
      </c>
      <c r="L73">
        <f t="shared" si="21"/>
        <v>0</v>
      </c>
      <c r="M73">
        <f>IF(L73=0,0,1+MAX(M$69:M72))</f>
        <v>0</v>
      </c>
      <c r="N73">
        <f t="shared" si="27"/>
        <v>0</v>
      </c>
      <c r="O73" t="str">
        <f t="shared" si="28"/>
        <v/>
      </c>
      <c r="P73" t="str">
        <f t="shared" si="29"/>
        <v/>
      </c>
      <c r="T73" s="605">
        <v>5</v>
      </c>
      <c r="U73">
        <f t="shared" si="22"/>
        <v>0</v>
      </c>
      <c r="V73">
        <f>IF(U73=0,0,1+MAX(V$69:V72))</f>
        <v>0</v>
      </c>
      <c r="W73">
        <f t="shared" si="30"/>
        <v>0</v>
      </c>
      <c r="X73" t="str">
        <f t="shared" si="31"/>
        <v/>
      </c>
      <c r="Y73" t="str">
        <f t="shared" si="32"/>
        <v/>
      </c>
      <c r="AC73" s="605">
        <v>5</v>
      </c>
      <c r="AD73">
        <f t="shared" si="23"/>
        <v>0</v>
      </c>
      <c r="AE73">
        <f>IF(AD73=0,0,1+MAX(AE$69:AE72))</f>
        <v>0</v>
      </c>
      <c r="AF73">
        <f t="shared" si="33"/>
        <v>0</v>
      </c>
      <c r="AG73" t="str">
        <f t="shared" si="34"/>
        <v/>
      </c>
      <c r="AH73" t="str">
        <f t="shared" si="35"/>
        <v/>
      </c>
    </row>
    <row r="74" spans="1:77" x14ac:dyDescent="0.25">
      <c r="A74" t="str">
        <f>IF($C74=3,1+COUNTIF(A$69:A73,"&gt;0"),"")</f>
        <v/>
      </c>
      <c r="B74" s="591">
        <v>6</v>
      </c>
      <c r="C74">
        <f t="shared" si="20"/>
        <v>0</v>
      </c>
      <c r="D74">
        <f>IF(C74=0,0,1+MAX($D$69:D73))</f>
        <v>0</v>
      </c>
      <c r="E74">
        <f t="shared" si="24"/>
        <v>0</v>
      </c>
      <c r="F74" t="str">
        <f t="shared" si="25"/>
        <v/>
      </c>
      <c r="G74" t="str">
        <f t="shared" si="26"/>
        <v/>
      </c>
      <c r="K74" s="605">
        <v>6</v>
      </c>
      <c r="L74">
        <f t="shared" si="21"/>
        <v>0</v>
      </c>
      <c r="M74">
        <f>IF(L74=0,0,1+MAX(M$69:M73))</f>
        <v>0</v>
      </c>
      <c r="N74">
        <f t="shared" si="27"/>
        <v>0</v>
      </c>
      <c r="O74" t="str">
        <f t="shared" si="28"/>
        <v/>
      </c>
      <c r="P74" t="str">
        <f t="shared" si="29"/>
        <v/>
      </c>
      <c r="T74" s="605">
        <v>6</v>
      </c>
      <c r="U74">
        <f t="shared" si="22"/>
        <v>0</v>
      </c>
      <c r="V74">
        <f>IF(U74=0,0,1+MAX(V$69:V73))</f>
        <v>0</v>
      </c>
      <c r="W74">
        <f t="shared" si="30"/>
        <v>0</v>
      </c>
      <c r="X74" t="str">
        <f t="shared" si="31"/>
        <v/>
      </c>
      <c r="Y74" t="str">
        <f t="shared" si="32"/>
        <v/>
      </c>
      <c r="AC74" s="605">
        <v>6</v>
      </c>
      <c r="AD74">
        <f t="shared" si="23"/>
        <v>0</v>
      </c>
      <c r="AE74">
        <f>IF(AD74=0,0,1+MAX(AE$69:AE73))</f>
        <v>0</v>
      </c>
      <c r="AF74">
        <f t="shared" si="33"/>
        <v>0</v>
      </c>
      <c r="AG74" t="str">
        <f t="shared" si="34"/>
        <v/>
      </c>
      <c r="AH74" t="str">
        <f t="shared" si="35"/>
        <v/>
      </c>
    </row>
    <row r="75" spans="1:77" x14ac:dyDescent="0.25">
      <c r="A75" t="str">
        <f>IF($C75=3,1+COUNTIF(A$69:A74,"&gt;0"),"")</f>
        <v/>
      </c>
      <c r="B75" s="591">
        <v>7</v>
      </c>
      <c r="C75">
        <f t="shared" si="20"/>
        <v>0</v>
      </c>
      <c r="D75">
        <f>IF(C75=0,0,1+MAX($D$69:D74))</f>
        <v>0</v>
      </c>
      <c r="E75">
        <f t="shared" si="24"/>
        <v>0</v>
      </c>
      <c r="F75" t="str">
        <f t="shared" si="25"/>
        <v/>
      </c>
      <c r="G75" t="str">
        <f t="shared" si="26"/>
        <v/>
      </c>
      <c r="K75" s="605">
        <v>7</v>
      </c>
      <c r="L75">
        <f t="shared" si="21"/>
        <v>0</v>
      </c>
      <c r="M75">
        <f>IF(L75=0,0,1+MAX(M$69:M74))</f>
        <v>0</v>
      </c>
      <c r="N75">
        <f t="shared" si="27"/>
        <v>0</v>
      </c>
      <c r="O75" t="str">
        <f t="shared" si="28"/>
        <v/>
      </c>
      <c r="P75" t="str">
        <f t="shared" si="29"/>
        <v/>
      </c>
      <c r="T75" s="605">
        <v>7</v>
      </c>
      <c r="U75">
        <f t="shared" si="22"/>
        <v>0</v>
      </c>
      <c r="V75">
        <f>IF(U75=0,0,1+MAX(V$69:V74))</f>
        <v>0</v>
      </c>
      <c r="W75">
        <f t="shared" si="30"/>
        <v>0</v>
      </c>
      <c r="X75" t="str">
        <f t="shared" si="31"/>
        <v/>
      </c>
      <c r="Y75" t="str">
        <f t="shared" si="32"/>
        <v/>
      </c>
      <c r="AC75" s="605">
        <v>7</v>
      </c>
      <c r="AD75">
        <f t="shared" si="23"/>
        <v>0</v>
      </c>
      <c r="AE75">
        <f>IF(AD75=0,0,1+MAX(AE$69:AE74))</f>
        <v>0</v>
      </c>
      <c r="AF75">
        <f t="shared" si="33"/>
        <v>0</v>
      </c>
      <c r="AG75" t="str">
        <f t="shared" si="34"/>
        <v/>
      </c>
      <c r="AH75" t="str">
        <f t="shared" si="35"/>
        <v/>
      </c>
    </row>
    <row r="76" spans="1:77" x14ac:dyDescent="0.25">
      <c r="A76" t="str">
        <f>IF($C76=3,1+COUNTIF(A$69:A75,"&gt;0"),"")</f>
        <v/>
      </c>
      <c r="B76" s="591">
        <v>8</v>
      </c>
      <c r="C76">
        <f t="shared" si="20"/>
        <v>0</v>
      </c>
      <c r="D76">
        <f>IF(C76=0,0,1+MAX($D$69:D75))</f>
        <v>0</v>
      </c>
      <c r="E76">
        <f t="shared" si="24"/>
        <v>0</v>
      </c>
      <c r="F76" t="str">
        <f t="shared" si="25"/>
        <v/>
      </c>
      <c r="G76" t="str">
        <f t="shared" si="26"/>
        <v/>
      </c>
      <c r="K76" s="605">
        <v>8</v>
      </c>
      <c r="L76">
        <f t="shared" si="21"/>
        <v>0</v>
      </c>
      <c r="M76">
        <f>IF(L76=0,0,1+MAX(M$69:M75))</f>
        <v>0</v>
      </c>
      <c r="N76">
        <f t="shared" si="27"/>
        <v>0</v>
      </c>
      <c r="O76" t="str">
        <f t="shared" si="28"/>
        <v/>
      </c>
      <c r="P76" t="str">
        <f t="shared" si="29"/>
        <v/>
      </c>
      <c r="T76" s="605">
        <v>8</v>
      </c>
      <c r="U76">
        <f t="shared" si="22"/>
        <v>0</v>
      </c>
      <c r="V76">
        <f>IF(U76=0,0,1+MAX(V$69:V75))</f>
        <v>0</v>
      </c>
      <c r="W76">
        <f t="shared" si="30"/>
        <v>0</v>
      </c>
      <c r="X76" t="str">
        <f t="shared" si="31"/>
        <v/>
      </c>
      <c r="Y76" t="str">
        <f t="shared" si="32"/>
        <v/>
      </c>
      <c r="AC76" s="605">
        <v>8</v>
      </c>
      <c r="AD76">
        <f t="shared" si="23"/>
        <v>0</v>
      </c>
      <c r="AE76">
        <f>IF(AD76=0,0,1+MAX(AE$69:AE75))</f>
        <v>0</v>
      </c>
      <c r="AF76">
        <f t="shared" si="33"/>
        <v>0</v>
      </c>
      <c r="AG76" t="str">
        <f t="shared" si="34"/>
        <v/>
      </c>
      <c r="AH76" t="str">
        <f t="shared" si="35"/>
        <v/>
      </c>
    </row>
    <row r="77" spans="1:77" x14ac:dyDescent="0.25">
      <c r="A77" t="str">
        <f>IF($C77=3,1+COUNTIF(A$69:A76,"&gt;0"),"")</f>
        <v/>
      </c>
      <c r="B77" s="591">
        <v>9</v>
      </c>
      <c r="C77">
        <f t="shared" si="20"/>
        <v>0</v>
      </c>
      <c r="D77">
        <f>IF(C77=0,0,1+MAX($D$69:D76))</f>
        <v>0</v>
      </c>
      <c r="E77">
        <f t="shared" si="24"/>
        <v>0</v>
      </c>
      <c r="F77" t="str">
        <f t="shared" si="25"/>
        <v/>
      </c>
      <c r="G77" t="str">
        <f t="shared" si="26"/>
        <v/>
      </c>
      <c r="K77" s="605">
        <v>9</v>
      </c>
      <c r="L77">
        <f t="shared" si="21"/>
        <v>0</v>
      </c>
      <c r="M77">
        <f>IF(L77=0,0,1+MAX(M$69:M76))</f>
        <v>0</v>
      </c>
      <c r="N77">
        <f t="shared" si="27"/>
        <v>0</v>
      </c>
      <c r="O77" t="str">
        <f t="shared" si="28"/>
        <v/>
      </c>
      <c r="P77" t="str">
        <f t="shared" si="29"/>
        <v/>
      </c>
      <c r="T77" s="605">
        <v>9</v>
      </c>
      <c r="U77">
        <f t="shared" si="22"/>
        <v>0</v>
      </c>
      <c r="V77">
        <f>IF(U77=0,0,1+MAX(V$69:V76))</f>
        <v>0</v>
      </c>
      <c r="W77">
        <f t="shared" si="30"/>
        <v>0</v>
      </c>
      <c r="X77" t="str">
        <f t="shared" si="31"/>
        <v/>
      </c>
      <c r="Y77" t="str">
        <f t="shared" si="32"/>
        <v/>
      </c>
      <c r="AC77" s="605">
        <v>9</v>
      </c>
      <c r="AD77">
        <f t="shared" si="23"/>
        <v>0</v>
      </c>
      <c r="AE77">
        <f>IF(AD77=0,0,1+MAX(AE$69:AE76))</f>
        <v>0</v>
      </c>
      <c r="AF77">
        <f t="shared" si="33"/>
        <v>0</v>
      </c>
      <c r="AG77" t="str">
        <f t="shared" si="34"/>
        <v/>
      </c>
      <c r="AH77" t="str">
        <f t="shared" si="35"/>
        <v/>
      </c>
    </row>
    <row r="78" spans="1:77" x14ac:dyDescent="0.25">
      <c r="A78" t="str">
        <f>IF($C78=3,1+COUNTIF(A$69:A77,"&gt;0"),"")</f>
        <v/>
      </c>
      <c r="B78" s="591">
        <v>10</v>
      </c>
      <c r="C78">
        <f t="shared" si="20"/>
        <v>0</v>
      </c>
      <c r="D78">
        <f>IF(C78=0,0,1+MAX($D$69:D77))</f>
        <v>0</v>
      </c>
      <c r="E78">
        <f t="shared" si="24"/>
        <v>0</v>
      </c>
      <c r="F78" t="str">
        <f t="shared" si="25"/>
        <v/>
      </c>
      <c r="G78" t="str">
        <f t="shared" si="26"/>
        <v/>
      </c>
      <c r="K78" s="605">
        <v>10</v>
      </c>
      <c r="L78">
        <f t="shared" si="21"/>
        <v>0</v>
      </c>
      <c r="M78">
        <f>IF(L78=0,0,1+MAX(M$69:M77))</f>
        <v>0</v>
      </c>
      <c r="N78">
        <f t="shared" si="27"/>
        <v>0</v>
      </c>
      <c r="O78" t="str">
        <f t="shared" si="28"/>
        <v/>
      </c>
      <c r="P78" t="str">
        <f t="shared" si="29"/>
        <v/>
      </c>
      <c r="T78" s="605">
        <v>10</v>
      </c>
      <c r="U78">
        <f t="shared" si="22"/>
        <v>0</v>
      </c>
      <c r="V78">
        <f>IF(U78=0,0,1+MAX(V$69:V77))</f>
        <v>0</v>
      </c>
      <c r="W78">
        <f t="shared" si="30"/>
        <v>0</v>
      </c>
      <c r="X78" t="str">
        <f t="shared" si="31"/>
        <v/>
      </c>
      <c r="Y78" t="str">
        <f t="shared" si="32"/>
        <v/>
      </c>
      <c r="AC78" s="605">
        <v>10</v>
      </c>
      <c r="AD78">
        <f t="shared" si="23"/>
        <v>0</v>
      </c>
      <c r="AE78">
        <f>IF(AD78=0,0,1+MAX(AE$69:AE77))</f>
        <v>0</v>
      </c>
      <c r="AF78">
        <f t="shared" si="33"/>
        <v>0</v>
      </c>
      <c r="AG78" t="str">
        <f t="shared" si="34"/>
        <v/>
      </c>
      <c r="AH78" t="str">
        <f t="shared" si="35"/>
        <v/>
      </c>
    </row>
    <row r="79" spans="1:77" x14ac:dyDescent="0.25">
      <c r="A79" t="str">
        <f>IF($C79=3,1+COUNTIF(A$69:A78,"&gt;0"),"")</f>
        <v/>
      </c>
      <c r="B79" s="591">
        <v>11</v>
      </c>
      <c r="C79">
        <f t="shared" si="20"/>
        <v>0</v>
      </c>
      <c r="D79">
        <f>IF(C79=0,0,1+MAX($D$69:D78))</f>
        <v>0</v>
      </c>
      <c r="E79">
        <f t="shared" si="24"/>
        <v>0</v>
      </c>
      <c r="F79" t="str">
        <f t="shared" si="25"/>
        <v/>
      </c>
      <c r="G79" t="str">
        <f t="shared" si="26"/>
        <v/>
      </c>
      <c r="K79" s="605">
        <v>11</v>
      </c>
      <c r="L79">
        <f t="shared" si="21"/>
        <v>0</v>
      </c>
      <c r="M79">
        <f>IF(L79=0,0,1+MAX(M$69:M78))</f>
        <v>0</v>
      </c>
      <c r="N79">
        <f t="shared" si="27"/>
        <v>0</v>
      </c>
      <c r="O79" t="str">
        <f t="shared" si="28"/>
        <v/>
      </c>
      <c r="P79" t="str">
        <f t="shared" si="29"/>
        <v/>
      </c>
      <c r="T79" s="605">
        <v>11</v>
      </c>
      <c r="U79">
        <f t="shared" si="22"/>
        <v>0</v>
      </c>
      <c r="V79">
        <f>IF(U79=0,0,1+MAX(V$69:V78))</f>
        <v>0</v>
      </c>
      <c r="W79">
        <f t="shared" si="30"/>
        <v>0</v>
      </c>
      <c r="X79" t="str">
        <f t="shared" si="31"/>
        <v/>
      </c>
      <c r="Y79" t="str">
        <f t="shared" si="32"/>
        <v/>
      </c>
      <c r="AC79" s="605">
        <v>11</v>
      </c>
      <c r="AD79">
        <f t="shared" si="23"/>
        <v>0</v>
      </c>
      <c r="AE79">
        <f>IF(AD79=0,0,1+MAX(AE$69:AE78))</f>
        <v>0</v>
      </c>
      <c r="AF79">
        <f t="shared" si="33"/>
        <v>0</v>
      </c>
      <c r="AG79" t="str">
        <f t="shared" si="34"/>
        <v/>
      </c>
      <c r="AH79" t="str">
        <f t="shared" si="35"/>
        <v/>
      </c>
    </row>
    <row r="80" spans="1:77" x14ac:dyDescent="0.25">
      <c r="B80" s="591">
        <v>12</v>
      </c>
      <c r="C80">
        <f t="shared" si="20"/>
        <v>0</v>
      </c>
      <c r="D80">
        <f>IF(C80=0,0,1+MAX($D$69:D79))</f>
        <v>0</v>
      </c>
      <c r="E80">
        <f t="shared" si="24"/>
        <v>0</v>
      </c>
      <c r="F80" t="str">
        <f t="shared" si="25"/>
        <v/>
      </c>
      <c r="G80" t="str">
        <f t="shared" si="26"/>
        <v/>
      </c>
      <c r="K80" s="605">
        <v>12</v>
      </c>
      <c r="L80">
        <f t="shared" si="21"/>
        <v>0</v>
      </c>
      <c r="M80">
        <f>IF(L80=0,0,1+MAX(M$69:M79))</f>
        <v>0</v>
      </c>
      <c r="N80">
        <f t="shared" si="27"/>
        <v>0</v>
      </c>
      <c r="O80" t="str">
        <f t="shared" si="28"/>
        <v/>
      </c>
      <c r="P80" t="str">
        <f t="shared" si="29"/>
        <v/>
      </c>
      <c r="T80" s="605">
        <v>12</v>
      </c>
      <c r="U80">
        <f t="shared" si="22"/>
        <v>0</v>
      </c>
      <c r="V80">
        <f>IF(U80=0,0,1+MAX(V$69:V79))</f>
        <v>0</v>
      </c>
      <c r="W80">
        <f t="shared" si="30"/>
        <v>0</v>
      </c>
      <c r="X80" t="str">
        <f t="shared" si="31"/>
        <v/>
      </c>
      <c r="Y80" t="str">
        <f t="shared" si="32"/>
        <v/>
      </c>
      <c r="AC80" s="605">
        <v>12</v>
      </c>
      <c r="AD80">
        <f t="shared" si="23"/>
        <v>0</v>
      </c>
      <c r="AE80">
        <f>IF(AD80=0,0,1+MAX(AE$69:AE79))</f>
        <v>0</v>
      </c>
      <c r="AF80">
        <f t="shared" si="33"/>
        <v>0</v>
      </c>
      <c r="AG80" t="str">
        <f t="shared" si="34"/>
        <v/>
      </c>
      <c r="AH80" t="str">
        <f t="shared" si="35"/>
        <v/>
      </c>
    </row>
    <row r="81" spans="2:34" x14ac:dyDescent="0.25">
      <c r="B81" s="591">
        <v>13</v>
      </c>
      <c r="C81">
        <f t="shared" si="20"/>
        <v>0</v>
      </c>
      <c r="D81">
        <f>IF(C81=0,0,1+MAX($D$69:D80))</f>
        <v>0</v>
      </c>
      <c r="E81">
        <f t="shared" si="24"/>
        <v>0</v>
      </c>
      <c r="F81" t="str">
        <f t="shared" si="25"/>
        <v/>
      </c>
      <c r="G81" t="str">
        <f t="shared" si="26"/>
        <v/>
      </c>
      <c r="K81" s="605">
        <v>13</v>
      </c>
      <c r="L81">
        <f t="shared" si="21"/>
        <v>0</v>
      </c>
      <c r="M81">
        <f>IF(L81=0,0,1+MAX(M$69:M80))</f>
        <v>0</v>
      </c>
      <c r="N81">
        <f t="shared" si="27"/>
        <v>0</v>
      </c>
      <c r="O81" t="str">
        <f t="shared" si="28"/>
        <v/>
      </c>
      <c r="P81" t="str">
        <f t="shared" si="29"/>
        <v/>
      </c>
      <c r="T81" s="605">
        <v>13</v>
      </c>
      <c r="U81">
        <f t="shared" si="22"/>
        <v>0</v>
      </c>
      <c r="V81">
        <f>IF(U81=0,0,1+MAX(V$69:V80))</f>
        <v>0</v>
      </c>
      <c r="W81">
        <f t="shared" si="30"/>
        <v>0</v>
      </c>
      <c r="X81" t="str">
        <f t="shared" si="31"/>
        <v/>
      </c>
      <c r="Y81" t="str">
        <f t="shared" si="32"/>
        <v/>
      </c>
      <c r="AC81" s="605">
        <v>13</v>
      </c>
      <c r="AD81">
        <f t="shared" si="23"/>
        <v>0</v>
      </c>
      <c r="AE81">
        <f>IF(AD81=0,0,1+MAX(AE$69:AE80))</f>
        <v>0</v>
      </c>
      <c r="AF81">
        <f t="shared" si="33"/>
        <v>0</v>
      </c>
      <c r="AG81" t="str">
        <f t="shared" si="34"/>
        <v/>
      </c>
      <c r="AH81" t="str">
        <f t="shared" si="35"/>
        <v/>
      </c>
    </row>
    <row r="82" spans="2:34" x14ac:dyDescent="0.25">
      <c r="B82" s="591">
        <v>14</v>
      </c>
      <c r="C82">
        <f t="shared" si="20"/>
        <v>0</v>
      </c>
      <c r="D82">
        <f>IF(C82=0,0,1+MAX($D$69:D81))</f>
        <v>0</v>
      </c>
      <c r="E82">
        <f t="shared" si="24"/>
        <v>0</v>
      </c>
      <c r="F82" t="str">
        <f t="shared" si="25"/>
        <v/>
      </c>
      <c r="G82" t="str">
        <f t="shared" si="26"/>
        <v/>
      </c>
      <c r="K82" s="605">
        <v>14</v>
      </c>
      <c r="L82">
        <f t="shared" si="21"/>
        <v>0</v>
      </c>
      <c r="M82">
        <f>IF(L82=0,0,1+MAX(M$69:M81))</f>
        <v>0</v>
      </c>
      <c r="N82">
        <f t="shared" si="27"/>
        <v>0</v>
      </c>
      <c r="O82" t="str">
        <f t="shared" si="28"/>
        <v/>
      </c>
      <c r="P82" t="str">
        <f t="shared" si="29"/>
        <v/>
      </c>
      <c r="T82" s="605">
        <v>14</v>
      </c>
      <c r="U82">
        <f t="shared" si="22"/>
        <v>0</v>
      </c>
      <c r="V82">
        <f>IF(U82=0,0,1+MAX(V$69:V81))</f>
        <v>0</v>
      </c>
      <c r="W82">
        <f t="shared" si="30"/>
        <v>0</v>
      </c>
      <c r="X82" t="str">
        <f t="shared" si="31"/>
        <v/>
      </c>
      <c r="Y82" t="str">
        <f t="shared" si="32"/>
        <v/>
      </c>
      <c r="AC82" s="605">
        <v>14</v>
      </c>
      <c r="AD82">
        <f t="shared" si="23"/>
        <v>0</v>
      </c>
      <c r="AE82">
        <f>IF(AD82=0,0,1+MAX(AE$69:AE81))</f>
        <v>0</v>
      </c>
      <c r="AF82">
        <f t="shared" si="33"/>
        <v>0</v>
      </c>
      <c r="AG82" t="str">
        <f t="shared" si="34"/>
        <v/>
      </c>
      <c r="AH82" t="str">
        <f t="shared" si="35"/>
        <v/>
      </c>
    </row>
    <row r="83" spans="2:34" x14ac:dyDescent="0.25">
      <c r="B83" s="591">
        <v>15</v>
      </c>
      <c r="C83">
        <f t="shared" si="20"/>
        <v>0</v>
      </c>
      <c r="D83">
        <f>IF(C83=0,0,1+MAX($D$69:D82))</f>
        <v>0</v>
      </c>
      <c r="E83">
        <f t="shared" si="24"/>
        <v>0</v>
      </c>
      <c r="F83" t="str">
        <f t="shared" si="25"/>
        <v/>
      </c>
      <c r="G83" t="str">
        <f t="shared" si="26"/>
        <v/>
      </c>
      <c r="K83" s="605">
        <v>15</v>
      </c>
      <c r="L83">
        <f t="shared" si="21"/>
        <v>0</v>
      </c>
      <c r="M83">
        <f>IF(L83=0,0,1+MAX(M$69:M82))</f>
        <v>0</v>
      </c>
      <c r="N83">
        <f t="shared" si="27"/>
        <v>0</v>
      </c>
      <c r="O83" t="str">
        <f t="shared" si="28"/>
        <v/>
      </c>
      <c r="P83" t="str">
        <f t="shared" si="29"/>
        <v/>
      </c>
      <c r="T83" s="605">
        <v>15</v>
      </c>
      <c r="U83">
        <f t="shared" si="22"/>
        <v>0</v>
      </c>
      <c r="V83">
        <f>IF(U83=0,0,1+MAX(V$69:V82))</f>
        <v>0</v>
      </c>
      <c r="W83">
        <f t="shared" si="30"/>
        <v>0</v>
      </c>
      <c r="X83" t="str">
        <f t="shared" si="31"/>
        <v/>
      </c>
      <c r="Y83" t="str">
        <f t="shared" si="32"/>
        <v/>
      </c>
      <c r="AC83" s="605">
        <v>15</v>
      </c>
      <c r="AD83">
        <f t="shared" si="23"/>
        <v>0</v>
      </c>
      <c r="AE83">
        <f>IF(AD83=0,0,1+MAX(AE$69:AE82))</f>
        <v>0</v>
      </c>
      <c r="AF83">
        <f t="shared" si="33"/>
        <v>0</v>
      </c>
      <c r="AG83" t="str">
        <f t="shared" si="34"/>
        <v/>
      </c>
      <c r="AH83" t="str">
        <f t="shared" si="35"/>
        <v/>
      </c>
    </row>
    <row r="84" spans="2:34" x14ac:dyDescent="0.25">
      <c r="B84" s="591">
        <v>16</v>
      </c>
      <c r="C84">
        <f t="shared" si="20"/>
        <v>0</v>
      </c>
      <c r="D84">
        <f>IF(C84=0,0,1+MAX($D$69:D83))</f>
        <v>0</v>
      </c>
      <c r="E84">
        <f t="shared" si="24"/>
        <v>0</v>
      </c>
      <c r="F84" t="str">
        <f t="shared" si="25"/>
        <v/>
      </c>
      <c r="G84" t="str">
        <f t="shared" si="26"/>
        <v/>
      </c>
      <c r="K84" s="605">
        <v>16</v>
      </c>
      <c r="L84">
        <f t="shared" si="21"/>
        <v>0</v>
      </c>
      <c r="M84">
        <f>IF(L84=0,0,1+MAX(M$69:M83))</f>
        <v>0</v>
      </c>
      <c r="N84">
        <f t="shared" si="27"/>
        <v>0</v>
      </c>
      <c r="O84" t="str">
        <f t="shared" si="28"/>
        <v/>
      </c>
      <c r="P84" t="str">
        <f t="shared" si="29"/>
        <v/>
      </c>
      <c r="T84" s="605">
        <v>16</v>
      </c>
      <c r="U84">
        <f t="shared" si="22"/>
        <v>0</v>
      </c>
      <c r="V84">
        <f>IF(U84=0,0,1+MAX(V$69:V83))</f>
        <v>0</v>
      </c>
      <c r="W84">
        <f t="shared" si="30"/>
        <v>0</v>
      </c>
      <c r="X84" t="str">
        <f t="shared" si="31"/>
        <v/>
      </c>
      <c r="Y84" t="str">
        <f t="shared" si="32"/>
        <v/>
      </c>
      <c r="AC84" s="605">
        <v>16</v>
      </c>
      <c r="AD84">
        <f t="shared" si="23"/>
        <v>0</v>
      </c>
      <c r="AE84">
        <f>IF(AD84=0,0,1+MAX(AE$69:AE83))</f>
        <v>0</v>
      </c>
      <c r="AF84">
        <f t="shared" si="33"/>
        <v>0</v>
      </c>
      <c r="AG84" t="str">
        <f t="shared" si="34"/>
        <v/>
      </c>
      <c r="AH84" t="str">
        <f t="shared" si="35"/>
        <v/>
      </c>
    </row>
    <row r="85" spans="2:34" x14ac:dyDescent="0.25">
      <c r="B85" s="591">
        <v>17</v>
      </c>
      <c r="C85">
        <f t="shared" si="20"/>
        <v>0</v>
      </c>
      <c r="D85">
        <f>IF(C85=0,0,1+MAX($D$69:D84))</f>
        <v>0</v>
      </c>
      <c r="E85">
        <f t="shared" si="24"/>
        <v>0</v>
      </c>
      <c r="F85" t="str">
        <f t="shared" si="25"/>
        <v/>
      </c>
      <c r="G85" t="str">
        <f t="shared" si="26"/>
        <v/>
      </c>
      <c r="K85" s="605">
        <v>17</v>
      </c>
      <c r="L85">
        <f t="shared" si="21"/>
        <v>0</v>
      </c>
      <c r="M85">
        <f>IF(L85=0,0,1+MAX(M$69:M84))</f>
        <v>0</v>
      </c>
      <c r="N85">
        <f t="shared" si="27"/>
        <v>0</v>
      </c>
      <c r="O85" t="str">
        <f t="shared" si="28"/>
        <v/>
      </c>
      <c r="P85" t="str">
        <f t="shared" si="29"/>
        <v/>
      </c>
      <c r="T85" s="605">
        <v>17</v>
      </c>
      <c r="U85">
        <f t="shared" si="22"/>
        <v>0</v>
      </c>
      <c r="V85">
        <f>IF(U85=0,0,1+MAX(V$69:V84))</f>
        <v>0</v>
      </c>
      <c r="W85">
        <f t="shared" si="30"/>
        <v>0</v>
      </c>
      <c r="X85" t="str">
        <f t="shared" si="31"/>
        <v/>
      </c>
      <c r="Y85" t="str">
        <f t="shared" si="32"/>
        <v/>
      </c>
      <c r="AC85" s="605">
        <v>17</v>
      </c>
      <c r="AD85">
        <f t="shared" si="23"/>
        <v>0</v>
      </c>
      <c r="AE85">
        <f>IF(AD85=0,0,1+MAX(AE$69:AE84))</f>
        <v>0</v>
      </c>
      <c r="AF85">
        <f t="shared" si="33"/>
        <v>0</v>
      </c>
      <c r="AG85" t="str">
        <f t="shared" si="34"/>
        <v/>
      </c>
      <c r="AH85" t="str">
        <f t="shared" si="35"/>
        <v/>
      </c>
    </row>
    <row r="86" spans="2:34" x14ac:dyDescent="0.25">
      <c r="B86" s="591">
        <v>18</v>
      </c>
      <c r="C86">
        <f t="shared" si="20"/>
        <v>0</v>
      </c>
      <c r="D86">
        <f>IF(C86=0,0,1+MAX($D$69:D85))</f>
        <v>0</v>
      </c>
      <c r="E86">
        <f t="shared" si="24"/>
        <v>0</v>
      </c>
      <c r="F86" t="str">
        <f t="shared" si="25"/>
        <v/>
      </c>
      <c r="G86" t="str">
        <f t="shared" si="26"/>
        <v/>
      </c>
      <c r="K86" s="605">
        <v>18</v>
      </c>
      <c r="L86">
        <f t="shared" si="21"/>
        <v>0</v>
      </c>
      <c r="M86">
        <f>IF(L86=0,0,1+MAX(M$69:M85))</f>
        <v>0</v>
      </c>
      <c r="N86">
        <f t="shared" si="27"/>
        <v>0</v>
      </c>
      <c r="O86" t="str">
        <f t="shared" si="28"/>
        <v/>
      </c>
      <c r="P86" t="str">
        <f t="shared" si="29"/>
        <v/>
      </c>
      <c r="T86" s="605">
        <v>18</v>
      </c>
      <c r="U86">
        <f t="shared" si="22"/>
        <v>0</v>
      </c>
      <c r="V86">
        <f>IF(U86=0,0,1+MAX(V$69:V85))</f>
        <v>0</v>
      </c>
      <c r="W86">
        <f t="shared" si="30"/>
        <v>0</v>
      </c>
      <c r="X86" t="str">
        <f t="shared" si="31"/>
        <v/>
      </c>
      <c r="Y86" t="str">
        <f t="shared" si="32"/>
        <v/>
      </c>
      <c r="AC86" s="605">
        <v>18</v>
      </c>
      <c r="AD86">
        <f t="shared" si="23"/>
        <v>0</v>
      </c>
      <c r="AE86">
        <f>IF(AD86=0,0,1+MAX(AE$69:AE85))</f>
        <v>0</v>
      </c>
      <c r="AF86">
        <f t="shared" si="33"/>
        <v>0</v>
      </c>
      <c r="AG86" t="str">
        <f t="shared" si="34"/>
        <v/>
      </c>
      <c r="AH86" t="str">
        <f t="shared" si="35"/>
        <v/>
      </c>
    </row>
    <row r="87" spans="2:34" x14ac:dyDescent="0.25">
      <c r="B87" s="591">
        <v>19</v>
      </c>
      <c r="C87">
        <f t="shared" si="20"/>
        <v>0</v>
      </c>
      <c r="D87">
        <f>IF(C87=0,0,1+MAX($D$69:D86))</f>
        <v>0</v>
      </c>
      <c r="E87">
        <f t="shared" si="24"/>
        <v>0</v>
      </c>
      <c r="F87" t="str">
        <f t="shared" si="25"/>
        <v/>
      </c>
      <c r="G87" t="str">
        <f t="shared" si="26"/>
        <v/>
      </c>
      <c r="K87" s="605">
        <v>19</v>
      </c>
      <c r="L87">
        <f t="shared" si="21"/>
        <v>0</v>
      </c>
      <c r="M87">
        <f>IF(L87=0,0,1+MAX(M$69:M86))</f>
        <v>0</v>
      </c>
      <c r="N87">
        <f t="shared" si="27"/>
        <v>0</v>
      </c>
      <c r="O87" t="str">
        <f t="shared" si="28"/>
        <v/>
      </c>
      <c r="P87" t="str">
        <f t="shared" si="29"/>
        <v/>
      </c>
      <c r="T87" s="605">
        <v>19</v>
      </c>
      <c r="U87">
        <f t="shared" si="22"/>
        <v>0</v>
      </c>
      <c r="V87">
        <f>IF(U87=0,0,1+MAX(V$69:V86))</f>
        <v>0</v>
      </c>
      <c r="W87">
        <f t="shared" si="30"/>
        <v>0</v>
      </c>
      <c r="X87" t="str">
        <f t="shared" si="31"/>
        <v/>
      </c>
      <c r="Y87" t="str">
        <f t="shared" si="32"/>
        <v/>
      </c>
      <c r="AC87" s="605">
        <v>19</v>
      </c>
      <c r="AD87">
        <f t="shared" si="23"/>
        <v>0</v>
      </c>
      <c r="AE87">
        <f>IF(AD87=0,0,1+MAX(AE$69:AE86))</f>
        <v>0</v>
      </c>
      <c r="AF87">
        <f t="shared" si="33"/>
        <v>0</v>
      </c>
      <c r="AG87" t="str">
        <f t="shared" si="34"/>
        <v/>
      </c>
      <c r="AH87" t="str">
        <f t="shared" si="35"/>
        <v/>
      </c>
    </row>
    <row r="88" spans="2:34" x14ac:dyDescent="0.25">
      <c r="B88" s="591">
        <v>20</v>
      </c>
      <c r="C88">
        <f t="shared" si="20"/>
        <v>0</v>
      </c>
      <c r="D88">
        <f>IF(C88=0,0,1+MAX($D$69:D87))</f>
        <v>0</v>
      </c>
      <c r="E88">
        <f t="shared" si="24"/>
        <v>0</v>
      </c>
      <c r="F88" t="str">
        <f t="shared" si="25"/>
        <v/>
      </c>
      <c r="G88" t="str">
        <f t="shared" si="26"/>
        <v/>
      </c>
      <c r="K88" s="605">
        <v>20</v>
      </c>
      <c r="L88">
        <f t="shared" si="21"/>
        <v>0</v>
      </c>
      <c r="M88">
        <f>IF(L88=0,0,1+MAX(M$69:M87))</f>
        <v>0</v>
      </c>
      <c r="N88">
        <f t="shared" si="27"/>
        <v>0</v>
      </c>
      <c r="O88" t="str">
        <f t="shared" si="28"/>
        <v/>
      </c>
      <c r="P88" t="str">
        <f t="shared" si="29"/>
        <v/>
      </c>
      <c r="T88" s="605">
        <v>20</v>
      </c>
      <c r="U88">
        <f t="shared" si="22"/>
        <v>0</v>
      </c>
      <c r="V88">
        <f>IF(U88=0,0,1+MAX(V$69:V87))</f>
        <v>0</v>
      </c>
      <c r="W88">
        <f t="shared" si="30"/>
        <v>0</v>
      </c>
      <c r="X88" t="str">
        <f t="shared" si="31"/>
        <v/>
      </c>
      <c r="Y88" t="str">
        <f t="shared" si="32"/>
        <v/>
      </c>
      <c r="AC88" s="605">
        <v>20</v>
      </c>
      <c r="AD88">
        <f t="shared" si="23"/>
        <v>0</v>
      </c>
      <c r="AE88">
        <f>IF(AD88=0,0,1+MAX(AE$69:AE87))</f>
        <v>0</v>
      </c>
      <c r="AF88">
        <f t="shared" si="33"/>
        <v>0</v>
      </c>
      <c r="AG88" t="str">
        <f t="shared" si="34"/>
        <v/>
      </c>
      <c r="AH88" t="str">
        <f t="shared" si="35"/>
        <v/>
      </c>
    </row>
    <row r="89" spans="2:34" x14ac:dyDescent="0.25">
      <c r="B89" s="591">
        <v>21</v>
      </c>
      <c r="C89">
        <f t="shared" si="20"/>
        <v>0</v>
      </c>
      <c r="D89">
        <f>IF(C89=0,0,1+MAX($D$69:D88))</f>
        <v>0</v>
      </c>
      <c r="E89">
        <f t="shared" si="24"/>
        <v>0</v>
      </c>
      <c r="F89" t="str">
        <f t="shared" si="25"/>
        <v/>
      </c>
      <c r="G89" t="str">
        <f t="shared" si="26"/>
        <v/>
      </c>
      <c r="K89" s="605">
        <v>21</v>
      </c>
      <c r="L89">
        <f t="shared" si="21"/>
        <v>0</v>
      </c>
      <c r="M89">
        <f>IF(L89=0,0,1+MAX(M$69:M88))</f>
        <v>0</v>
      </c>
      <c r="N89">
        <f t="shared" si="27"/>
        <v>0</v>
      </c>
      <c r="O89" t="str">
        <f t="shared" si="28"/>
        <v/>
      </c>
      <c r="P89" t="str">
        <f t="shared" si="29"/>
        <v/>
      </c>
      <c r="T89" s="605">
        <v>21</v>
      </c>
      <c r="U89">
        <f t="shared" si="22"/>
        <v>0</v>
      </c>
      <c r="V89">
        <f>IF(U89=0,0,1+MAX(V$69:V88))</f>
        <v>0</v>
      </c>
      <c r="W89">
        <f t="shared" si="30"/>
        <v>0</v>
      </c>
      <c r="X89" t="str">
        <f t="shared" si="31"/>
        <v/>
      </c>
      <c r="Y89" t="str">
        <f t="shared" si="32"/>
        <v/>
      </c>
      <c r="AC89" s="605">
        <v>21</v>
      </c>
      <c r="AD89">
        <f t="shared" si="23"/>
        <v>0</v>
      </c>
      <c r="AE89">
        <f>IF(AD89=0,0,1+MAX(AE$69:AE88))</f>
        <v>0</v>
      </c>
      <c r="AF89">
        <f t="shared" si="33"/>
        <v>0</v>
      </c>
      <c r="AG89" t="str">
        <f t="shared" si="34"/>
        <v/>
      </c>
      <c r="AH89" t="str">
        <f t="shared" si="35"/>
        <v/>
      </c>
    </row>
    <row r="90" spans="2:34" x14ac:dyDescent="0.25">
      <c r="B90" s="591">
        <v>22</v>
      </c>
      <c r="C90">
        <f t="shared" si="20"/>
        <v>0</v>
      </c>
      <c r="D90">
        <f>IF(C90=0,0,1+MAX($D$69:D89))</f>
        <v>0</v>
      </c>
      <c r="E90">
        <f t="shared" si="24"/>
        <v>0</v>
      </c>
      <c r="F90" t="str">
        <f t="shared" si="25"/>
        <v/>
      </c>
      <c r="G90" t="str">
        <f t="shared" si="26"/>
        <v/>
      </c>
      <c r="K90" s="605">
        <v>22</v>
      </c>
      <c r="L90">
        <f t="shared" si="21"/>
        <v>0</v>
      </c>
      <c r="M90">
        <f>IF(L90=0,0,1+MAX(M$69:M89))</f>
        <v>0</v>
      </c>
      <c r="N90">
        <f t="shared" si="27"/>
        <v>0</v>
      </c>
      <c r="O90" t="str">
        <f t="shared" si="28"/>
        <v/>
      </c>
      <c r="P90" t="str">
        <f t="shared" si="29"/>
        <v/>
      </c>
      <c r="T90" s="605">
        <v>22</v>
      </c>
      <c r="U90">
        <f t="shared" si="22"/>
        <v>0</v>
      </c>
      <c r="V90">
        <f>IF(U90=0,0,1+MAX(V$69:V89))</f>
        <v>0</v>
      </c>
      <c r="W90">
        <f t="shared" si="30"/>
        <v>0</v>
      </c>
      <c r="X90" t="str">
        <f t="shared" si="31"/>
        <v/>
      </c>
      <c r="Y90" t="str">
        <f t="shared" si="32"/>
        <v/>
      </c>
      <c r="AC90" s="605">
        <v>22</v>
      </c>
      <c r="AD90">
        <f t="shared" si="23"/>
        <v>0</v>
      </c>
      <c r="AE90">
        <f>IF(AD90=0,0,1+MAX(AE$69:AE89))</f>
        <v>0</v>
      </c>
      <c r="AF90">
        <f t="shared" si="33"/>
        <v>0</v>
      </c>
      <c r="AG90" t="str">
        <f t="shared" si="34"/>
        <v/>
      </c>
      <c r="AH90" t="str">
        <f t="shared" si="35"/>
        <v/>
      </c>
    </row>
    <row r="91" spans="2:34" x14ac:dyDescent="0.25">
      <c r="B91" s="591">
        <v>23</v>
      </c>
      <c r="C91">
        <f t="shared" si="20"/>
        <v>0</v>
      </c>
      <c r="D91">
        <f>IF(C91=0,0,1+MAX($D$69:D90))</f>
        <v>0</v>
      </c>
      <c r="E91">
        <f t="shared" si="24"/>
        <v>0</v>
      </c>
      <c r="F91" t="str">
        <f t="shared" si="25"/>
        <v/>
      </c>
      <c r="G91" t="str">
        <f t="shared" si="26"/>
        <v/>
      </c>
      <c r="K91" s="605">
        <v>23</v>
      </c>
      <c r="L91">
        <f t="shared" si="21"/>
        <v>0</v>
      </c>
      <c r="M91">
        <f>IF(L91=0,0,1+MAX(M$69:M90))</f>
        <v>0</v>
      </c>
      <c r="N91">
        <f t="shared" si="27"/>
        <v>0</v>
      </c>
      <c r="O91" t="str">
        <f t="shared" si="28"/>
        <v/>
      </c>
      <c r="P91" t="str">
        <f t="shared" si="29"/>
        <v/>
      </c>
      <c r="T91" s="605">
        <v>23</v>
      </c>
      <c r="U91">
        <f t="shared" si="22"/>
        <v>0</v>
      </c>
      <c r="V91">
        <f>IF(U91=0,0,1+MAX(V$69:V90))</f>
        <v>0</v>
      </c>
      <c r="W91">
        <f t="shared" si="30"/>
        <v>0</v>
      </c>
      <c r="X91" t="str">
        <f t="shared" si="31"/>
        <v/>
      </c>
      <c r="Y91" t="str">
        <f t="shared" si="32"/>
        <v/>
      </c>
      <c r="AC91" s="605">
        <v>23</v>
      </c>
      <c r="AD91">
        <f t="shared" si="23"/>
        <v>0</v>
      </c>
      <c r="AE91">
        <f>IF(AD91=0,0,1+MAX(AE$69:AE90))</f>
        <v>0</v>
      </c>
      <c r="AF91">
        <f t="shared" si="33"/>
        <v>0</v>
      </c>
      <c r="AG91" t="str">
        <f t="shared" si="34"/>
        <v/>
      </c>
      <c r="AH91" t="str">
        <f t="shared" si="35"/>
        <v/>
      </c>
    </row>
    <row r="92" spans="2:34" x14ac:dyDescent="0.25">
      <c r="B92" s="591">
        <v>24</v>
      </c>
      <c r="C92">
        <f t="shared" si="20"/>
        <v>0</v>
      </c>
      <c r="D92">
        <f>IF(C92=0,0,1+MAX($D$69:D91))</f>
        <v>0</v>
      </c>
      <c r="E92">
        <f t="shared" si="24"/>
        <v>0</v>
      </c>
      <c r="F92" t="str">
        <f t="shared" si="25"/>
        <v/>
      </c>
      <c r="G92" t="str">
        <f t="shared" si="26"/>
        <v/>
      </c>
      <c r="K92" s="605">
        <v>24</v>
      </c>
      <c r="L92">
        <f t="shared" si="21"/>
        <v>0</v>
      </c>
      <c r="M92">
        <f>IF(L92=0,0,1+MAX(M$69:M91))</f>
        <v>0</v>
      </c>
      <c r="N92">
        <f t="shared" si="27"/>
        <v>0</v>
      </c>
      <c r="O92" t="str">
        <f t="shared" si="28"/>
        <v/>
      </c>
      <c r="P92" t="str">
        <f t="shared" si="29"/>
        <v/>
      </c>
      <c r="T92" s="605">
        <v>24</v>
      </c>
      <c r="U92">
        <f t="shared" si="22"/>
        <v>0</v>
      </c>
      <c r="V92">
        <f>IF(U92=0,0,1+MAX(V$69:V91))</f>
        <v>0</v>
      </c>
      <c r="W92">
        <f t="shared" si="30"/>
        <v>0</v>
      </c>
      <c r="X92" t="str">
        <f t="shared" si="31"/>
        <v/>
      </c>
      <c r="Y92" t="str">
        <f t="shared" si="32"/>
        <v/>
      </c>
      <c r="AC92" s="605">
        <v>24</v>
      </c>
      <c r="AD92">
        <f t="shared" si="23"/>
        <v>0</v>
      </c>
      <c r="AE92">
        <f>IF(AD92=0,0,1+MAX(AE$69:AE91))</f>
        <v>0</v>
      </c>
      <c r="AF92">
        <f t="shared" si="33"/>
        <v>0</v>
      </c>
      <c r="AG92" t="str">
        <f t="shared" si="34"/>
        <v/>
      </c>
      <c r="AH92" t="str">
        <f t="shared" si="35"/>
        <v/>
      </c>
    </row>
    <row r="93" spans="2:34" x14ac:dyDescent="0.25">
      <c r="B93" s="591">
        <v>25</v>
      </c>
      <c r="C93">
        <f t="shared" si="20"/>
        <v>0</v>
      </c>
      <c r="D93">
        <f>IF(C93=0,0,1+MAX($D$69:D92))</f>
        <v>0</v>
      </c>
      <c r="E93">
        <f t="shared" si="24"/>
        <v>0</v>
      </c>
      <c r="F93" t="str">
        <f t="shared" si="25"/>
        <v/>
      </c>
      <c r="G93" t="str">
        <f t="shared" si="26"/>
        <v/>
      </c>
      <c r="K93" s="605">
        <v>25</v>
      </c>
      <c r="L93">
        <f t="shared" si="21"/>
        <v>0</v>
      </c>
      <c r="M93">
        <f>IF(L93=0,0,1+MAX(M$69:M92))</f>
        <v>0</v>
      </c>
      <c r="N93">
        <f t="shared" si="27"/>
        <v>0</v>
      </c>
      <c r="O93" t="str">
        <f t="shared" si="28"/>
        <v/>
      </c>
      <c r="P93" t="str">
        <f t="shared" si="29"/>
        <v/>
      </c>
      <c r="T93" s="605">
        <v>25</v>
      </c>
      <c r="U93">
        <f t="shared" si="22"/>
        <v>0</v>
      </c>
      <c r="V93">
        <f>IF(U93=0,0,1+MAX(V$69:V92))</f>
        <v>0</v>
      </c>
      <c r="W93">
        <f t="shared" si="30"/>
        <v>0</v>
      </c>
      <c r="X93" t="str">
        <f t="shared" si="31"/>
        <v/>
      </c>
      <c r="Y93" t="str">
        <f t="shared" si="32"/>
        <v/>
      </c>
      <c r="AC93" s="605">
        <v>25</v>
      </c>
      <c r="AD93">
        <f t="shared" si="23"/>
        <v>0</v>
      </c>
      <c r="AE93">
        <f>IF(AD93=0,0,1+MAX(AE$69:AE92))</f>
        <v>0</v>
      </c>
      <c r="AF93">
        <f t="shared" si="33"/>
        <v>0</v>
      </c>
      <c r="AG93" t="str">
        <f t="shared" si="34"/>
        <v/>
      </c>
      <c r="AH93" t="str">
        <f t="shared" si="35"/>
        <v/>
      </c>
    </row>
    <row r="94" spans="2:34" x14ac:dyDescent="0.25">
      <c r="B94" s="591">
        <v>26</v>
      </c>
      <c r="C94">
        <f t="shared" si="20"/>
        <v>0</v>
      </c>
      <c r="D94">
        <f>IF(C94=0,0,1+MAX($D$69:D93))</f>
        <v>0</v>
      </c>
      <c r="E94">
        <f t="shared" si="24"/>
        <v>0</v>
      </c>
      <c r="F94" t="str">
        <f t="shared" si="25"/>
        <v/>
      </c>
      <c r="G94" t="str">
        <f t="shared" si="26"/>
        <v/>
      </c>
      <c r="K94" s="605">
        <v>26</v>
      </c>
      <c r="L94">
        <f t="shared" si="21"/>
        <v>0</v>
      </c>
      <c r="M94">
        <f>IF(L94=0,0,1+MAX(M$69:M93))</f>
        <v>0</v>
      </c>
      <c r="N94">
        <f t="shared" si="27"/>
        <v>0</v>
      </c>
      <c r="O94" t="str">
        <f t="shared" si="28"/>
        <v/>
      </c>
      <c r="P94" t="str">
        <f t="shared" si="29"/>
        <v/>
      </c>
      <c r="T94" s="605">
        <v>26</v>
      </c>
      <c r="U94">
        <f t="shared" si="22"/>
        <v>0</v>
      </c>
      <c r="V94">
        <f>IF(U94=0,0,1+MAX(V$69:V93))</f>
        <v>0</v>
      </c>
      <c r="W94">
        <f t="shared" si="30"/>
        <v>0</v>
      </c>
      <c r="X94" t="str">
        <f t="shared" si="31"/>
        <v/>
      </c>
      <c r="Y94" t="str">
        <f t="shared" si="32"/>
        <v/>
      </c>
      <c r="AC94" s="605">
        <v>26</v>
      </c>
      <c r="AD94">
        <f t="shared" si="23"/>
        <v>0</v>
      </c>
      <c r="AE94">
        <f>IF(AD94=0,0,1+MAX(AE$69:AE93))</f>
        <v>0</v>
      </c>
      <c r="AF94">
        <f t="shared" si="33"/>
        <v>0</v>
      </c>
      <c r="AG94" t="str">
        <f t="shared" si="34"/>
        <v/>
      </c>
      <c r="AH94" t="str">
        <f t="shared" si="35"/>
        <v/>
      </c>
    </row>
    <row r="95" spans="2:34" x14ac:dyDescent="0.25">
      <c r="B95" s="591">
        <v>27</v>
      </c>
      <c r="C95">
        <f t="shared" si="20"/>
        <v>0</v>
      </c>
      <c r="D95">
        <f>IF(C95=0,0,1+MAX($D$69:D94))</f>
        <v>0</v>
      </c>
      <c r="E95">
        <f t="shared" si="24"/>
        <v>0</v>
      </c>
      <c r="F95" t="str">
        <f t="shared" si="25"/>
        <v/>
      </c>
      <c r="G95" t="str">
        <f t="shared" si="26"/>
        <v/>
      </c>
      <c r="K95" s="605">
        <v>27</v>
      </c>
      <c r="L95">
        <f t="shared" si="21"/>
        <v>0</v>
      </c>
      <c r="M95">
        <f>IF(L95=0,0,1+MAX(M$69:M94))</f>
        <v>0</v>
      </c>
      <c r="N95">
        <f t="shared" si="27"/>
        <v>0</v>
      </c>
      <c r="O95" t="str">
        <f t="shared" si="28"/>
        <v/>
      </c>
      <c r="P95" t="str">
        <f t="shared" si="29"/>
        <v/>
      </c>
      <c r="T95" s="605">
        <v>27</v>
      </c>
      <c r="U95">
        <f t="shared" si="22"/>
        <v>0</v>
      </c>
      <c r="V95">
        <f>IF(U95=0,0,1+MAX(V$69:V94))</f>
        <v>0</v>
      </c>
      <c r="W95">
        <f t="shared" si="30"/>
        <v>0</v>
      </c>
      <c r="X95" t="str">
        <f t="shared" si="31"/>
        <v/>
      </c>
      <c r="Y95" t="str">
        <f t="shared" si="32"/>
        <v/>
      </c>
      <c r="AC95" s="605">
        <v>27</v>
      </c>
      <c r="AD95">
        <f t="shared" si="23"/>
        <v>0</v>
      </c>
      <c r="AE95">
        <f>IF(AD95=0,0,1+MAX(AE$69:AE94))</f>
        <v>0</v>
      </c>
      <c r="AF95">
        <f t="shared" si="33"/>
        <v>0</v>
      </c>
      <c r="AG95" t="str">
        <f t="shared" si="34"/>
        <v/>
      </c>
      <c r="AH95" t="str">
        <f t="shared" si="35"/>
        <v/>
      </c>
    </row>
    <row r="96" spans="2:34" x14ac:dyDescent="0.25">
      <c r="B96" s="591">
        <v>28</v>
      </c>
      <c r="C96">
        <f t="shared" si="20"/>
        <v>0</v>
      </c>
      <c r="D96">
        <f>IF(C96=0,0,1+MAX($D$69:D95))</f>
        <v>0</v>
      </c>
      <c r="E96">
        <f t="shared" si="24"/>
        <v>0</v>
      </c>
      <c r="F96" t="str">
        <f t="shared" si="25"/>
        <v/>
      </c>
      <c r="G96" t="str">
        <f t="shared" si="26"/>
        <v/>
      </c>
      <c r="K96" s="605">
        <v>28</v>
      </c>
      <c r="L96">
        <f t="shared" si="21"/>
        <v>0</v>
      </c>
      <c r="M96">
        <f>IF(L96=0,0,1+MAX(M$69:M95))</f>
        <v>0</v>
      </c>
      <c r="N96">
        <f t="shared" si="27"/>
        <v>0</v>
      </c>
      <c r="O96" t="str">
        <f t="shared" si="28"/>
        <v/>
      </c>
      <c r="P96" t="str">
        <f t="shared" si="29"/>
        <v/>
      </c>
      <c r="T96" s="605">
        <v>28</v>
      </c>
      <c r="U96">
        <f t="shared" si="22"/>
        <v>0</v>
      </c>
      <c r="V96">
        <f>IF(U96=0,0,1+MAX(V$69:V95))</f>
        <v>0</v>
      </c>
      <c r="W96">
        <f t="shared" si="30"/>
        <v>0</v>
      </c>
      <c r="X96" t="str">
        <f t="shared" si="31"/>
        <v/>
      </c>
      <c r="Y96" t="str">
        <f t="shared" si="32"/>
        <v/>
      </c>
      <c r="AC96" s="605">
        <v>28</v>
      </c>
      <c r="AD96">
        <f t="shared" si="23"/>
        <v>0</v>
      </c>
      <c r="AE96">
        <f>IF(AD96=0,0,1+MAX(AE$69:AE95))</f>
        <v>0</v>
      </c>
      <c r="AF96">
        <f t="shared" si="33"/>
        <v>0</v>
      </c>
      <c r="AG96" t="str">
        <f t="shared" si="34"/>
        <v/>
      </c>
      <c r="AH96" t="str">
        <f t="shared" si="35"/>
        <v/>
      </c>
    </row>
    <row r="97" spans="2:34" x14ac:dyDescent="0.25">
      <c r="B97" s="591">
        <v>29</v>
      </c>
      <c r="C97">
        <f t="shared" si="20"/>
        <v>0</v>
      </c>
      <c r="D97">
        <f>IF(C97=0,0,1+MAX($D$69:D96))</f>
        <v>0</v>
      </c>
      <c r="E97">
        <f t="shared" si="24"/>
        <v>0</v>
      </c>
      <c r="F97" t="str">
        <f t="shared" si="25"/>
        <v/>
      </c>
      <c r="G97" t="str">
        <f t="shared" si="26"/>
        <v/>
      </c>
      <c r="K97" s="605">
        <v>29</v>
      </c>
      <c r="L97">
        <f t="shared" si="21"/>
        <v>0</v>
      </c>
      <c r="M97">
        <f>IF(L97=0,0,1+MAX(M$69:M96))</f>
        <v>0</v>
      </c>
      <c r="N97">
        <f t="shared" si="27"/>
        <v>0</v>
      </c>
      <c r="O97" t="str">
        <f t="shared" si="28"/>
        <v/>
      </c>
      <c r="P97" t="str">
        <f t="shared" si="29"/>
        <v/>
      </c>
      <c r="T97" s="605">
        <v>29</v>
      </c>
      <c r="U97">
        <f t="shared" si="22"/>
        <v>0</v>
      </c>
      <c r="V97">
        <f>IF(U97=0,0,1+MAX(V$69:V96))</f>
        <v>0</v>
      </c>
      <c r="W97">
        <f t="shared" si="30"/>
        <v>0</v>
      </c>
      <c r="X97" t="str">
        <f t="shared" si="31"/>
        <v/>
      </c>
      <c r="Y97" t="str">
        <f t="shared" si="32"/>
        <v/>
      </c>
      <c r="AC97" s="605">
        <v>29</v>
      </c>
      <c r="AD97">
        <f t="shared" si="23"/>
        <v>0</v>
      </c>
      <c r="AE97">
        <f>IF(AD97=0,0,1+MAX(AE$69:AE96))</f>
        <v>0</v>
      </c>
      <c r="AF97">
        <f t="shared" si="33"/>
        <v>0</v>
      </c>
      <c r="AG97" t="str">
        <f t="shared" si="34"/>
        <v/>
      </c>
      <c r="AH97" t="str">
        <f t="shared" si="35"/>
        <v/>
      </c>
    </row>
    <row r="98" spans="2:34" x14ac:dyDescent="0.25">
      <c r="B98" s="591">
        <v>30</v>
      </c>
      <c r="C98">
        <f t="shared" si="20"/>
        <v>0</v>
      </c>
      <c r="D98">
        <f>IF(C98=0,0,1+MAX($D$69:D97))</f>
        <v>0</v>
      </c>
      <c r="E98">
        <f t="shared" si="24"/>
        <v>0</v>
      </c>
      <c r="F98" t="str">
        <f t="shared" si="25"/>
        <v/>
      </c>
      <c r="G98" t="str">
        <f t="shared" si="26"/>
        <v/>
      </c>
      <c r="K98" s="605">
        <v>30</v>
      </c>
      <c r="L98">
        <f t="shared" si="21"/>
        <v>0</v>
      </c>
      <c r="M98">
        <f>IF(L98=0,0,1+MAX(M$69:M97))</f>
        <v>0</v>
      </c>
      <c r="N98">
        <f t="shared" si="27"/>
        <v>0</v>
      </c>
      <c r="O98" t="str">
        <f t="shared" si="28"/>
        <v/>
      </c>
      <c r="P98" t="str">
        <f t="shared" si="29"/>
        <v/>
      </c>
      <c r="T98" s="605">
        <v>30</v>
      </c>
      <c r="U98">
        <f t="shared" si="22"/>
        <v>0</v>
      </c>
      <c r="V98">
        <f>IF(U98=0,0,1+MAX(V$69:V97))</f>
        <v>0</v>
      </c>
      <c r="W98">
        <f t="shared" si="30"/>
        <v>0</v>
      </c>
      <c r="X98" t="str">
        <f t="shared" si="31"/>
        <v/>
      </c>
      <c r="Y98" t="str">
        <f t="shared" si="32"/>
        <v/>
      </c>
      <c r="AC98" s="605">
        <v>30</v>
      </c>
      <c r="AD98">
        <f t="shared" si="23"/>
        <v>0</v>
      </c>
      <c r="AE98">
        <f>IF(AD98=0,0,1+MAX(AE$69:AE97))</f>
        <v>0</v>
      </c>
      <c r="AF98">
        <f t="shared" si="33"/>
        <v>0</v>
      </c>
      <c r="AG98" t="str">
        <f t="shared" si="34"/>
        <v/>
      </c>
      <c r="AH98" t="str">
        <f t="shared" si="35"/>
        <v/>
      </c>
    </row>
  </sheetData>
  <mergeCells count="144">
    <mergeCell ref="B37:H66"/>
    <mergeCell ref="C33:G33"/>
    <mergeCell ref="L33:P33"/>
    <mergeCell ref="U33:Y33"/>
    <mergeCell ref="AD33:AH33"/>
    <mergeCell ref="C34:G34"/>
    <mergeCell ref="L34:P34"/>
    <mergeCell ref="U34:Y34"/>
    <mergeCell ref="AD34:AH34"/>
    <mergeCell ref="C31:G31"/>
    <mergeCell ref="L31:P31"/>
    <mergeCell ref="U31:Y31"/>
    <mergeCell ref="AD31:AH31"/>
    <mergeCell ref="C32:G32"/>
    <mergeCell ref="L32:P32"/>
    <mergeCell ref="U32:Y32"/>
    <mergeCell ref="AD32:AH32"/>
    <mergeCell ref="C35:G35"/>
    <mergeCell ref="L35:P35"/>
    <mergeCell ref="U35:Y35"/>
    <mergeCell ref="AD35:AH35"/>
    <mergeCell ref="C28:G28"/>
    <mergeCell ref="L28:P28"/>
    <mergeCell ref="U28:Y28"/>
    <mergeCell ref="AD28:AH28"/>
    <mergeCell ref="C29:G29"/>
    <mergeCell ref="L29:P29"/>
    <mergeCell ref="U29:Y29"/>
    <mergeCell ref="AD29:AH29"/>
    <mergeCell ref="C30:G30"/>
    <mergeCell ref="L30:P30"/>
    <mergeCell ref="U30:Y30"/>
    <mergeCell ref="AD30:AH30"/>
    <mergeCell ref="C25:G25"/>
    <mergeCell ref="L25:P25"/>
    <mergeCell ref="U25:Y25"/>
    <mergeCell ref="AD25:AH25"/>
    <mergeCell ref="C26:G26"/>
    <mergeCell ref="L26:P26"/>
    <mergeCell ref="U26:Y26"/>
    <mergeCell ref="AD26:AH26"/>
    <mergeCell ref="C27:G27"/>
    <mergeCell ref="L27:P27"/>
    <mergeCell ref="U27:Y27"/>
    <mergeCell ref="AD27:AH27"/>
    <mergeCell ref="C22:G22"/>
    <mergeCell ref="L22:P22"/>
    <mergeCell ref="U22:Y22"/>
    <mergeCell ref="AD22:AH22"/>
    <mergeCell ref="C23:G23"/>
    <mergeCell ref="L23:P23"/>
    <mergeCell ref="U23:Y23"/>
    <mergeCell ref="AD23:AH23"/>
    <mergeCell ref="C24:G24"/>
    <mergeCell ref="L24:P24"/>
    <mergeCell ref="U24:Y24"/>
    <mergeCell ref="AD24:AH24"/>
    <mergeCell ref="C19:G19"/>
    <mergeCell ref="L19:P19"/>
    <mergeCell ref="U19:Y19"/>
    <mergeCell ref="AD19:AH19"/>
    <mergeCell ref="C20:G20"/>
    <mergeCell ref="L20:P20"/>
    <mergeCell ref="U20:Y20"/>
    <mergeCell ref="AD20:AH20"/>
    <mergeCell ref="C21:G21"/>
    <mergeCell ref="L21:P21"/>
    <mergeCell ref="U21:Y21"/>
    <mergeCell ref="AD21:AH21"/>
    <mergeCell ref="C16:G16"/>
    <mergeCell ref="L16:P16"/>
    <mergeCell ref="U16:Y16"/>
    <mergeCell ref="AD16:AH16"/>
    <mergeCell ref="C17:G17"/>
    <mergeCell ref="L17:P17"/>
    <mergeCell ref="U17:Y17"/>
    <mergeCell ref="AD17:AH17"/>
    <mergeCell ref="C18:G18"/>
    <mergeCell ref="L18:P18"/>
    <mergeCell ref="U18:Y18"/>
    <mergeCell ref="AD18:AH18"/>
    <mergeCell ref="C13:G13"/>
    <mergeCell ref="L13:P13"/>
    <mergeCell ref="U13:Y13"/>
    <mergeCell ref="AD13:AH13"/>
    <mergeCell ref="C14:G14"/>
    <mergeCell ref="L14:P14"/>
    <mergeCell ref="U14:Y14"/>
    <mergeCell ref="AD14:AH14"/>
    <mergeCell ref="C15:G15"/>
    <mergeCell ref="L15:P15"/>
    <mergeCell ref="U15:Y15"/>
    <mergeCell ref="AD15:AH15"/>
    <mergeCell ref="C10:G10"/>
    <mergeCell ref="L10:P10"/>
    <mergeCell ref="U10:Y10"/>
    <mergeCell ref="AD10:AH10"/>
    <mergeCell ref="C11:G11"/>
    <mergeCell ref="L11:P11"/>
    <mergeCell ref="U11:Y11"/>
    <mergeCell ref="AD11:AH11"/>
    <mergeCell ref="C12:G12"/>
    <mergeCell ref="L12:P12"/>
    <mergeCell ref="U12:Y12"/>
    <mergeCell ref="AD12:AH12"/>
    <mergeCell ref="C7:G7"/>
    <mergeCell ref="L7:P7"/>
    <mergeCell ref="U7:Y7"/>
    <mergeCell ref="AD7:AH7"/>
    <mergeCell ref="C8:G8"/>
    <mergeCell ref="L8:P8"/>
    <mergeCell ref="U8:Y8"/>
    <mergeCell ref="AD8:AH8"/>
    <mergeCell ref="C9:G9"/>
    <mergeCell ref="L9:P9"/>
    <mergeCell ref="U9:Y9"/>
    <mergeCell ref="AD9:AH9"/>
    <mergeCell ref="W3:X3"/>
    <mergeCell ref="CO5:CP5"/>
    <mergeCell ref="CQ5:CR5"/>
    <mergeCell ref="CS5:CT5"/>
    <mergeCell ref="CU5:CV5"/>
    <mergeCell ref="CW5:CX5"/>
    <mergeCell ref="C6:G6"/>
    <mergeCell ref="L6:P6"/>
    <mergeCell ref="U6:Y6"/>
    <mergeCell ref="AD6:AH6"/>
    <mergeCell ref="AC5:AH5"/>
    <mergeCell ref="CG5:CH5"/>
    <mergeCell ref="CI5:CJ5"/>
    <mergeCell ref="CK5:CL5"/>
    <mergeCell ref="CM5:CN5"/>
    <mergeCell ref="B5:G5"/>
    <mergeCell ref="K5:P5"/>
    <mergeCell ref="T5:Y5"/>
    <mergeCell ref="B1:F1"/>
    <mergeCell ref="G1:K1"/>
    <mergeCell ref="L1:P1"/>
    <mergeCell ref="Q1:U1"/>
    <mergeCell ref="B2:G3"/>
    <mergeCell ref="K3:L3"/>
    <mergeCell ref="M3:O3"/>
    <mergeCell ref="P3:S3"/>
    <mergeCell ref="T3:V3"/>
  </mergeCells>
  <hyperlinks>
    <hyperlink ref="B1:D1" location="LinkSpellsKnown" display="Back to Spellcasting" xr:uid="{00000000-0004-0000-0F00-000000000000}"/>
    <hyperlink ref="G1:I1" location="LinkSpellsKnown" display="Back to Spellcasting" xr:uid="{00000000-0004-0000-0F00-000001000000}"/>
    <hyperlink ref="G1:K1" location="SpellsKnownAT" display="to Sorcerer Spells Known" xr:uid="{00000000-0004-0000-0F00-000002000000}"/>
    <hyperlink ref="L1:N1" location="LinkSpellsKnown" display="Back to Spellcasting" xr:uid="{00000000-0004-0000-0F00-000003000000}"/>
    <hyperlink ref="L1:P1" location="SheetSpellBook" display="to Wizard Spells Known" xr:uid="{00000000-0004-0000-0F00-000004000000}"/>
    <hyperlink ref="Q1:S1" location="LinkSpellsKnown" display="Back to Spellcasting" xr:uid="{00000000-0004-0000-0F00-000005000000}"/>
    <hyperlink ref="Q1:U1" location="SpellCastingIndex" display="to Spellcasting Index" xr:uid="{00000000-0004-0000-0F00-000006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40">
    <tabColor theme="4" tint="0.39997558519241921"/>
  </sheetPr>
  <dimension ref="A1:DF98"/>
  <sheetViews>
    <sheetView topLeftCell="A13" workbookViewId="0">
      <selection activeCell="B5" sqref="B5:G5"/>
    </sheetView>
  </sheetViews>
  <sheetFormatPr defaultColWidth="4.7109375" defaultRowHeight="15" x14ac:dyDescent="0.25"/>
  <sheetData>
    <row r="1" spans="1:110" ht="17.25" thickTop="1" thickBot="1" x14ac:dyDescent="0.3">
      <c r="A1" s="120"/>
      <c r="B1" s="1049" t="s">
        <v>6626</v>
      </c>
      <c r="C1" s="1049"/>
      <c r="D1" s="1049"/>
      <c r="E1" s="1049"/>
      <c r="F1" s="1049"/>
      <c r="G1" s="1049" t="s">
        <v>6651</v>
      </c>
      <c r="H1" s="1049"/>
      <c r="I1" s="1049"/>
      <c r="J1" s="1049"/>
      <c r="K1" s="1049"/>
      <c r="L1" s="1049" t="s">
        <v>6648</v>
      </c>
      <c r="M1" s="1049"/>
      <c r="N1" s="1049"/>
      <c r="O1" s="1049"/>
      <c r="P1" s="1049"/>
      <c r="Q1" s="1049" t="s">
        <v>6657</v>
      </c>
      <c r="R1" s="1049"/>
      <c r="S1" s="1049"/>
      <c r="T1" s="1049"/>
      <c r="U1" s="1049"/>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c r="CD1" s="565"/>
      <c r="CE1" s="565"/>
      <c r="CF1" s="565"/>
      <c r="CG1" s="565"/>
      <c r="CH1" s="565"/>
      <c r="CI1" s="565"/>
      <c r="CJ1" s="565"/>
      <c r="CK1" s="565"/>
      <c r="CL1" s="565"/>
      <c r="CM1" s="565"/>
      <c r="CN1" s="565"/>
      <c r="CO1" s="565"/>
      <c r="CP1" s="565"/>
      <c r="CQ1" s="565"/>
      <c r="CR1" s="565"/>
      <c r="CS1" s="565"/>
      <c r="CT1" s="565"/>
      <c r="CU1" s="565"/>
      <c r="CV1" s="565"/>
      <c r="CW1" s="565"/>
      <c r="CX1" s="565"/>
      <c r="CY1" s="565"/>
      <c r="CZ1" s="565"/>
      <c r="DA1" s="565"/>
      <c r="DB1" s="565"/>
      <c r="DC1" s="565"/>
      <c r="DD1" s="565"/>
      <c r="DE1" s="565"/>
      <c r="DF1" s="565"/>
    </row>
    <row r="2" spans="1:110" ht="15.75" thickTop="1" x14ac:dyDescent="0.25">
      <c r="A2" s="120"/>
      <c r="B2" s="1075" t="s">
        <v>6475</v>
      </c>
      <c r="C2" s="1076"/>
      <c r="D2" s="1077"/>
      <c r="E2" s="1073" t="str">
        <f>IFERROR(INDEX(T041_ClassFeatures!$G$2:$G$1000,MATCH(FavoredSoul_Domain,T041_ClassFeatures!$B$2:$B$1000,0),1),"")</f>
        <v/>
      </c>
      <c r="F2" s="1074"/>
      <c r="G2" s="1074"/>
      <c r="H2" s="1074"/>
      <c r="I2" s="1074"/>
      <c r="J2" s="1074"/>
      <c r="K2" s="1074"/>
      <c r="L2" s="1074"/>
      <c r="M2" s="1074"/>
      <c r="N2" s="1074"/>
      <c r="O2" s="1074"/>
      <c r="P2" s="1074"/>
      <c r="Q2" s="1074"/>
      <c r="R2" s="1074"/>
      <c r="S2" s="1074"/>
      <c r="T2" s="1074"/>
      <c r="U2" s="1074"/>
      <c r="V2" s="1074"/>
      <c r="W2" s="1074"/>
      <c r="X2" s="1074"/>
      <c r="Y2" s="1074"/>
      <c r="Z2" s="1074"/>
      <c r="AA2" s="1074"/>
      <c r="AB2" s="1074"/>
      <c r="AC2" s="1074"/>
      <c r="AD2" s="1074"/>
      <c r="AE2" s="1074"/>
      <c r="AF2" s="1074"/>
      <c r="AG2" s="1074"/>
      <c r="AH2" s="1074"/>
      <c r="AI2" s="1074"/>
      <c r="AJ2" s="1074"/>
      <c r="AK2" s="1074"/>
      <c r="AL2" s="120"/>
      <c r="AM2" s="120"/>
      <c r="AN2" s="120"/>
      <c r="AO2" s="120"/>
      <c r="AP2" s="120"/>
      <c r="AQ2" s="120"/>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c r="BY2" s="120"/>
      <c r="BZ2" s="120"/>
      <c r="CA2" s="120"/>
      <c r="CB2" s="120"/>
      <c r="CC2" s="120"/>
      <c r="CD2" s="565"/>
      <c r="CE2" s="565"/>
      <c r="CF2" s="565"/>
      <c r="CG2" s="565"/>
      <c r="CH2" s="565"/>
      <c r="CI2" s="565"/>
      <c r="CJ2" s="565"/>
      <c r="CK2" s="565"/>
      <c r="CL2" s="565"/>
      <c r="CM2" s="565"/>
      <c r="CN2" s="565"/>
      <c r="CO2" s="565"/>
      <c r="CP2" s="565"/>
      <c r="CQ2" s="565"/>
      <c r="CR2" s="565"/>
      <c r="CS2" s="565"/>
      <c r="CT2" s="565"/>
      <c r="CU2" s="565"/>
      <c r="CV2" s="565"/>
      <c r="CW2" s="565"/>
      <c r="CX2" s="565"/>
      <c r="CY2" s="565"/>
      <c r="CZ2" s="565"/>
      <c r="DA2" s="565"/>
      <c r="DB2" s="565"/>
      <c r="DC2" s="565"/>
      <c r="DD2" s="565"/>
      <c r="DE2" s="565"/>
      <c r="DF2" s="565"/>
    </row>
    <row r="3" spans="1:110" ht="15.75" thickBot="1" x14ac:dyDescent="0.3">
      <c r="A3" s="120"/>
      <c r="B3" s="1056"/>
      <c r="C3" s="1057"/>
      <c r="D3" s="1058"/>
      <c r="E3" s="1059" t="s">
        <v>62</v>
      </c>
      <c r="F3" s="1052"/>
      <c r="G3" s="1052">
        <f>SorcererLevel</f>
        <v>0</v>
      </c>
      <c r="H3" s="1052"/>
      <c r="I3" s="588"/>
      <c r="J3" s="1052" t="s">
        <v>4536</v>
      </c>
      <c r="K3" s="1052"/>
      <c r="L3" s="1052"/>
      <c r="M3" s="1051">
        <f>SorcererSpellsKnown</f>
        <v>0</v>
      </c>
      <c r="N3" s="1051"/>
      <c r="O3" s="1051"/>
      <c r="P3" s="1052" t="s">
        <v>6383</v>
      </c>
      <c r="Q3" s="1052"/>
      <c r="R3" s="588"/>
      <c r="S3" s="1051">
        <f>SorcererMaxSpellLevel</f>
        <v>0</v>
      </c>
      <c r="T3" s="1051"/>
      <c r="U3" s="1051"/>
      <c r="V3" s="120"/>
      <c r="W3" s="120"/>
      <c r="X3" s="120"/>
      <c r="Y3" s="120"/>
      <c r="Z3" s="120"/>
      <c r="AA3" s="120"/>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120"/>
      <c r="BV3" s="120"/>
      <c r="BW3" s="120"/>
      <c r="BX3" s="120"/>
      <c r="BY3" s="120"/>
      <c r="BZ3" s="120"/>
      <c r="CA3" s="120"/>
      <c r="CB3" s="120"/>
      <c r="CC3" s="120"/>
      <c r="CD3" s="565"/>
      <c r="CE3" s="565"/>
      <c r="CF3" s="565"/>
      <c r="CG3" s="565"/>
      <c r="CH3" s="565"/>
      <c r="CI3" s="565"/>
      <c r="CJ3" s="565"/>
      <c r="CK3" s="565"/>
      <c r="CL3" s="565"/>
      <c r="CM3" s="565"/>
      <c r="CN3" s="565"/>
      <c r="CO3" s="565"/>
      <c r="CP3" s="565"/>
      <c r="CQ3" s="565"/>
      <c r="CR3" s="565"/>
      <c r="CS3" s="565"/>
      <c r="CT3" s="565"/>
      <c r="CU3" s="565"/>
      <c r="CV3" s="565"/>
      <c r="CW3" s="565"/>
      <c r="CX3" s="565"/>
      <c r="CY3" s="565"/>
      <c r="CZ3" s="565"/>
      <c r="DA3" s="565"/>
      <c r="DB3" s="565"/>
      <c r="DC3" s="565"/>
      <c r="DD3" s="565"/>
      <c r="DE3" s="565"/>
      <c r="DF3" s="565"/>
    </row>
    <row r="4" spans="1:110" x14ac:dyDescent="0.25">
      <c r="A4" s="120"/>
      <c r="B4" s="120"/>
      <c r="C4" s="120"/>
      <c r="D4" s="120"/>
      <c r="E4" s="120"/>
      <c r="F4" s="120"/>
      <c r="G4" s="120"/>
      <c r="H4" s="120"/>
      <c r="I4" s="120"/>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120"/>
      <c r="AT4" s="120"/>
      <c r="AU4" s="120"/>
      <c r="AV4" s="120"/>
      <c r="AW4" s="120"/>
      <c r="AX4" s="120"/>
      <c r="AY4" s="120"/>
      <c r="AZ4" s="120"/>
      <c r="BA4" s="120"/>
      <c r="BB4" s="120"/>
      <c r="BC4" s="120"/>
      <c r="BD4" s="120"/>
      <c r="BE4" s="120"/>
      <c r="BF4" s="120"/>
      <c r="BG4" s="120"/>
      <c r="BH4" s="120"/>
      <c r="BI4" s="120"/>
      <c r="BJ4" s="120"/>
      <c r="BK4" s="120"/>
      <c r="BL4" s="120"/>
      <c r="BM4" s="120"/>
      <c r="BN4" s="120"/>
      <c r="BO4" s="120"/>
      <c r="BP4" s="120"/>
      <c r="BQ4" s="120"/>
      <c r="BR4" s="120"/>
      <c r="BS4" s="120"/>
      <c r="BT4" s="120"/>
      <c r="BU4" s="120"/>
      <c r="BV4" s="120"/>
      <c r="BW4" s="120"/>
      <c r="BX4" s="120"/>
      <c r="BY4" s="120"/>
      <c r="BZ4" s="120"/>
      <c r="CA4" s="120"/>
      <c r="CB4" s="120"/>
      <c r="CC4" s="120"/>
      <c r="CD4" s="565"/>
      <c r="CE4" s="565"/>
      <c r="CF4" s="565"/>
      <c r="CG4" s="565"/>
      <c r="CH4" s="565"/>
      <c r="CI4" s="565"/>
      <c r="CJ4" s="565"/>
      <c r="CK4" s="565"/>
      <c r="CL4" s="565"/>
      <c r="CM4" s="565"/>
      <c r="CN4" s="565"/>
      <c r="CO4" s="565"/>
      <c r="CP4" s="565"/>
      <c r="CQ4" s="565"/>
      <c r="CR4" s="565"/>
      <c r="CS4" s="565"/>
      <c r="CT4" s="565"/>
      <c r="CU4" s="565"/>
      <c r="CV4" s="565"/>
      <c r="CW4" s="565"/>
      <c r="CX4" s="565"/>
      <c r="CY4" s="565"/>
      <c r="CZ4" s="565"/>
      <c r="DA4" s="565"/>
      <c r="DB4" s="565"/>
      <c r="DC4" s="565"/>
      <c r="DD4" s="565"/>
      <c r="DE4" s="565"/>
      <c r="DF4" s="565"/>
    </row>
    <row r="5" spans="1:110" x14ac:dyDescent="0.25">
      <c r="A5" s="120"/>
      <c r="B5" s="1052" t="s">
        <v>6359</v>
      </c>
      <c r="C5" s="1052"/>
      <c r="D5" s="1052"/>
      <c r="E5" s="1052"/>
      <c r="F5" s="1052"/>
      <c r="G5" s="1052"/>
      <c r="H5" s="565"/>
      <c r="I5" s="565"/>
      <c r="J5" s="565"/>
      <c r="K5" s="1052" t="s">
        <v>6277</v>
      </c>
      <c r="L5" s="1052"/>
      <c r="M5" s="1052"/>
      <c r="N5" s="1052"/>
      <c r="O5" s="1052"/>
      <c r="P5" s="1052"/>
      <c r="Q5" s="565"/>
      <c r="R5" s="565"/>
      <c r="S5" s="565"/>
      <c r="T5" s="1052" t="s">
        <v>6279</v>
      </c>
      <c r="U5" s="1052"/>
      <c r="V5" s="1052"/>
      <c r="W5" s="1052"/>
      <c r="X5" s="1052"/>
      <c r="Y5" s="1052"/>
      <c r="Z5" s="565" t="s">
        <v>6251</v>
      </c>
      <c r="AA5" s="565"/>
      <c r="AB5" s="565"/>
      <c r="AC5" s="1052" t="s">
        <v>6280</v>
      </c>
      <c r="AD5" s="1052"/>
      <c r="AE5" s="1052"/>
      <c r="AF5" s="1052"/>
      <c r="AG5" s="1052"/>
      <c r="AH5" s="1052"/>
      <c r="AI5" s="565"/>
      <c r="AJ5" s="565"/>
      <c r="AK5" s="120"/>
      <c r="AL5" s="1052" t="s">
        <v>6281</v>
      </c>
      <c r="AM5" s="1052"/>
      <c r="AN5" s="1052"/>
      <c r="AO5" s="1052"/>
      <c r="AP5" s="1052"/>
      <c r="AQ5" s="1052"/>
      <c r="AR5" s="565"/>
      <c r="AS5" s="565"/>
      <c r="AT5" s="120"/>
      <c r="AU5" s="1052" t="s">
        <v>6282</v>
      </c>
      <c r="AV5" s="1052"/>
      <c r="AW5" s="1052"/>
      <c r="AX5" s="1052"/>
      <c r="AY5" s="1052"/>
      <c r="AZ5" s="1052"/>
      <c r="BA5" s="565"/>
      <c r="BB5" s="565"/>
      <c r="BC5" s="120"/>
      <c r="BD5" s="1052" t="s">
        <v>6283</v>
      </c>
      <c r="BE5" s="1052"/>
      <c r="BF5" s="1052"/>
      <c r="BG5" s="1052"/>
      <c r="BH5" s="1052"/>
      <c r="BI5" s="1052"/>
      <c r="BJ5" s="565"/>
      <c r="BK5" s="565"/>
      <c r="BL5" s="120"/>
      <c r="BM5" s="1052" t="s">
        <v>6284</v>
      </c>
      <c r="BN5" s="1052"/>
      <c r="BO5" s="1052"/>
      <c r="BP5" s="1052"/>
      <c r="BQ5" s="1052"/>
      <c r="BR5" s="1052"/>
      <c r="BS5" s="565"/>
      <c r="BT5" s="565"/>
      <c r="BU5" s="120"/>
      <c r="BV5" s="1052" t="s">
        <v>6285</v>
      </c>
      <c r="BW5" s="1052"/>
      <c r="BX5" s="1052"/>
      <c r="BY5" s="1052"/>
      <c r="BZ5" s="1052"/>
      <c r="CA5" s="1052"/>
      <c r="CB5" s="565"/>
      <c r="CC5" s="120"/>
      <c r="CD5" s="565"/>
      <c r="CE5" s="565"/>
      <c r="CF5" s="565"/>
      <c r="CG5" s="565"/>
      <c r="CH5" s="565"/>
      <c r="CI5" s="565"/>
      <c r="CJ5" s="565"/>
      <c r="CK5" s="565"/>
      <c r="CL5" s="1060">
        <v>1</v>
      </c>
      <c r="CM5" s="1060"/>
      <c r="CN5" s="1060">
        <v>2</v>
      </c>
      <c r="CO5" s="1060"/>
      <c r="CP5" s="1060">
        <v>3</v>
      </c>
      <c r="CQ5" s="1060"/>
      <c r="CR5" s="1060">
        <v>4</v>
      </c>
      <c r="CS5" s="1060"/>
      <c r="CT5" s="1060">
        <v>5</v>
      </c>
      <c r="CU5" s="1060"/>
      <c r="CV5" s="1060">
        <v>6</v>
      </c>
      <c r="CW5" s="1060"/>
      <c r="CX5" s="1060">
        <v>7</v>
      </c>
      <c r="CY5" s="1060"/>
      <c r="CZ5" s="1060"/>
      <c r="DA5" s="1060"/>
      <c r="DB5" s="1060"/>
      <c r="DC5" s="1060"/>
      <c r="DD5" s="565"/>
      <c r="DE5" s="565"/>
      <c r="DF5" s="565"/>
    </row>
    <row r="6" spans="1:110" x14ac:dyDescent="0.25">
      <c r="A6" s="120"/>
      <c r="B6" s="5">
        <v>1</v>
      </c>
      <c r="C6" s="1061" t="str">
        <f t="shared" ref="C6:C35" si="0">IFERROR(INDEX($CJ$6:$CJ$31,MATCH(B6,$CM$6:$CM$35,0),1),"")</f>
        <v>Alarm</v>
      </c>
      <c r="D6" s="1061"/>
      <c r="E6" s="1061"/>
      <c r="F6" s="1061"/>
      <c r="G6" s="1061"/>
      <c r="H6" s="565"/>
      <c r="I6" s="565"/>
      <c r="J6" s="565" t="str">
        <f>IF(C6="","",C6&amp;", ")</f>
        <v xml:space="preserve">Alarm, </v>
      </c>
      <c r="K6" s="5">
        <v>1</v>
      </c>
      <c r="L6" s="1061" t="str">
        <f t="shared" ref="L6:L35" si="1">IFERROR(INDEX($CJ$6:$CJ$31,MATCH(K6,$CO$6:$CO$35,0),1),"")</f>
        <v>Aid</v>
      </c>
      <c r="M6" s="1061"/>
      <c r="N6" s="1061"/>
      <c r="O6" s="1061"/>
      <c r="P6" s="1061"/>
      <c r="Q6" s="565"/>
      <c r="R6" s="565"/>
      <c r="S6" s="565" t="str">
        <f>IF(L6="","",L6&amp;", ")</f>
        <v xml:space="preserve">Aid, </v>
      </c>
      <c r="T6" s="5">
        <v>1</v>
      </c>
      <c r="U6" s="1061" t="str">
        <f t="shared" ref="U6:U35" si="2">IFERROR(INDEX($CJ$6:$CJ$31,MATCH(T6,$CQ$6:$CQ$35,0),1),"")</f>
        <v>Animate Dead</v>
      </c>
      <c r="V6" s="1061"/>
      <c r="W6" s="1061"/>
      <c r="X6" s="1061"/>
      <c r="Y6" s="1061"/>
      <c r="Z6" s="565" t="str">
        <f t="shared" ref="Z6:Z35" si="3">IF(1&lt;=$Y$3,IF(U6&lt;&gt;"",IF(IFERROR(SEARCH(U6,$M$2,1),0)&gt;0,"●",""),""),"")</f>
        <v/>
      </c>
      <c r="AA6" s="565"/>
      <c r="AB6" s="565" t="str">
        <f>IF(U6="","",U6&amp;", ")</f>
        <v xml:space="preserve">Animate Dead, </v>
      </c>
      <c r="AC6" s="5">
        <v>1</v>
      </c>
      <c r="AD6" s="1061" t="str">
        <f t="shared" ref="AD6:AD35" si="4">IFERROR(INDEX($CJ$6:$CJ$31,MATCH(AC6,$CS$6:$CS$35,0),1),"")</f>
        <v/>
      </c>
      <c r="AE6" s="1061"/>
      <c r="AF6" s="1061"/>
      <c r="AG6" s="1061"/>
      <c r="AH6" s="1061"/>
      <c r="AI6" s="565" t="s">
        <v>3034</v>
      </c>
      <c r="AJ6" s="565"/>
      <c r="AK6" s="565" t="str">
        <f>IF(AD6="","",AD6&amp;", ")</f>
        <v/>
      </c>
      <c r="AL6" s="5">
        <v>1</v>
      </c>
      <c r="AM6" s="1061" t="str">
        <f t="shared" ref="AM6:AM35" si="5">IFERROR(INDEX($CJ$6:$CJ$31,MATCH(AL6,$CU$6:$CU$35,0),1),"")</f>
        <v>Animate Objects</v>
      </c>
      <c r="AN6" s="1061"/>
      <c r="AO6" s="1061"/>
      <c r="AP6" s="1061"/>
      <c r="AQ6" s="1061"/>
      <c r="AR6" s="565"/>
      <c r="AS6" s="565"/>
      <c r="AT6" s="565" t="str">
        <f>IF(AM6="","",AM6&amp;", ")</f>
        <v xml:space="preserve">Animate Objects, </v>
      </c>
      <c r="AU6" s="5">
        <v>1</v>
      </c>
      <c r="AV6" s="1061" t="str">
        <f t="shared" ref="AV6:AV35" si="6">IFERROR(INDEX($CJ$6:$CJ$31,MATCH(AU6,$CW$6:$CW$35,0),1),"")</f>
        <v/>
      </c>
      <c r="AW6" s="1061"/>
      <c r="AX6" s="1061"/>
      <c r="AY6" s="1061"/>
      <c r="AZ6" s="1061"/>
      <c r="BA6" s="565"/>
      <c r="BB6" s="565"/>
      <c r="BC6" s="565" t="str">
        <f>IF(AV6="","",AV6&amp;", ")</f>
        <v/>
      </c>
      <c r="BD6" s="5">
        <v>1</v>
      </c>
      <c r="BE6" s="1061" t="str">
        <f t="shared" ref="BE6:BE35" si="7">IFERROR(INDEX($CJ$6:$CJ$31,MATCH(BD6,$CY$6:$CY$35,0),1),"")</f>
        <v/>
      </c>
      <c r="BF6" s="1061"/>
      <c r="BG6" s="1061"/>
      <c r="BH6" s="1061"/>
      <c r="BI6" s="1061"/>
      <c r="BJ6" s="565"/>
      <c r="BK6" s="565"/>
      <c r="BL6" s="565" t="str">
        <f>IF(BE6="","",BE6&amp;", ")</f>
        <v/>
      </c>
      <c r="BM6" s="5">
        <v>1</v>
      </c>
      <c r="BN6" s="1061" t="str">
        <f t="shared" ref="BN6:BN35" si="8">IFERROR(INDEX($CJ$6:$CJ$31,MATCH(BM6,$DA$6:$DA$35,0),1),"")</f>
        <v>Animal Shapes</v>
      </c>
      <c r="BO6" s="1061"/>
      <c r="BP6" s="1061"/>
      <c r="BQ6" s="1061"/>
      <c r="BR6" s="1061"/>
      <c r="BS6" s="565"/>
      <c r="BT6" s="565"/>
      <c r="BU6" s="565" t="str">
        <f>IF(BN6="","",BN6&amp;", ")</f>
        <v xml:space="preserve">Animal Shapes, </v>
      </c>
      <c r="BV6" s="5">
        <v>1</v>
      </c>
      <c r="BW6" s="1061" t="str">
        <f t="shared" ref="BW6:BW35" si="9">IFERROR(INDEX($CJ$6:$CJ$31,MATCH(BV6,$DC$6:$DC$35,0),1),"")</f>
        <v/>
      </c>
      <c r="BX6" s="1061"/>
      <c r="BY6" s="1061"/>
      <c r="BZ6" s="1061"/>
      <c r="CA6" s="1061"/>
      <c r="CB6" s="565"/>
      <c r="CC6" s="565" t="str">
        <f>IF(BW6="","",BW6&amp;", ")</f>
        <v/>
      </c>
      <c r="CD6" s="565"/>
      <c r="CE6" s="565"/>
      <c r="CF6" s="565">
        <v>1</v>
      </c>
      <c r="CG6" s="566" t="str">
        <f t="shared" ref="CG6:CG14" si="10">IF(CF6&lt;=DruidMaxSpellLevel,"●","")</f>
        <v/>
      </c>
      <c r="CH6" s="565"/>
      <c r="CI6" s="564">
        <v>1</v>
      </c>
      <c r="CJ6" s="564">
        <f>Character_Creation!J380</f>
        <v>0</v>
      </c>
      <c r="CK6" s="564" t="str">
        <f>IFERROR(INDEX(T08_Spells!$C$3:$C$1000,MATCH($CJ6,T08_Spells!$B$3:$B$1000,0),1),"")</f>
        <v/>
      </c>
      <c r="CL6" s="564">
        <f>IF(AND($CJ6&lt;&gt;0,$CJ6&lt;&gt;""),1,0)*IF($CK6=1,1,0)</f>
        <v>0</v>
      </c>
      <c r="CM6" s="564">
        <f>IF(CL6=0,0,1)</f>
        <v>0</v>
      </c>
      <c r="CN6" s="564">
        <f>IF(AND($CJ6&lt;&gt;0,$CJ6&lt;&gt;""),1,0)*IF($CK6=2,1,0)</f>
        <v>0</v>
      </c>
      <c r="CO6" s="564">
        <f>IF(CN6=0,0,1)</f>
        <v>0</v>
      </c>
      <c r="CP6" s="564">
        <f>IF(AND($CJ6&lt;&gt;0,$CJ6&lt;&gt;""),1,0)*IF($CK6=3,1,0)</f>
        <v>0</v>
      </c>
      <c r="CQ6" s="564">
        <f>IF(CP6=0,0,1)</f>
        <v>0</v>
      </c>
      <c r="CR6" s="564">
        <f>IF(AND($CJ6&lt;&gt;0,$CJ6&lt;&gt;""),1,0)*IF($CK6=4,1,0)</f>
        <v>0</v>
      </c>
      <c r="CS6" s="564">
        <f>IF(CR6=0,0,1)</f>
        <v>0</v>
      </c>
      <c r="CT6" s="564">
        <f>IF(AND($CJ6&lt;&gt;0,$CJ6&lt;&gt;""),1,0)*IF($CK6=5,1,0)</f>
        <v>0</v>
      </c>
      <c r="CU6" s="564">
        <f>IF(CT6=0,0,1)</f>
        <v>0</v>
      </c>
      <c r="CV6" s="564">
        <f>IF(AND($CJ6&lt;&gt;0,$CJ6&lt;&gt;""),1,0)*IF($CK6=6,1,0)</f>
        <v>0</v>
      </c>
      <c r="CW6" s="564">
        <f>IF(CV6=0,0,1)</f>
        <v>0</v>
      </c>
      <c r="CX6" s="564">
        <f>IF(AND($CJ6&lt;&gt;0,$CJ6&lt;&gt;""),1,0)*IF($CK6=7,1,0)</f>
        <v>0</v>
      </c>
      <c r="CY6" s="564">
        <f>IF(CX6=0,0,1)</f>
        <v>0</v>
      </c>
      <c r="CZ6" s="564">
        <f>IF(AND($CJ6&lt;&gt;0,$CJ6&lt;&gt;""),1,0)*IF($CK6=8,1,0)</f>
        <v>0</v>
      </c>
      <c r="DA6" s="564">
        <f>IF(CZ6=0,0,1)</f>
        <v>0</v>
      </c>
      <c r="DB6" s="564">
        <f>IF(AND($CJ6&lt;&gt;0,$CJ6&lt;&gt;""),1,0)*IF($CK6=9,1,0)</f>
        <v>0</v>
      </c>
      <c r="DC6" s="564">
        <f>IF(DB6=0,0,1)</f>
        <v>0</v>
      </c>
      <c r="DD6" s="565"/>
      <c r="DE6" s="565"/>
      <c r="DF6" s="565"/>
    </row>
    <row r="7" spans="1:110" x14ac:dyDescent="0.25">
      <c r="A7" s="120"/>
      <c r="B7" s="5">
        <v>2</v>
      </c>
      <c r="C7" s="1061" t="str">
        <f t="shared" si="0"/>
        <v>Animal Friendship</v>
      </c>
      <c r="D7" s="1061"/>
      <c r="E7" s="1061"/>
      <c r="F7" s="1061"/>
      <c r="G7" s="1061"/>
      <c r="H7" s="565"/>
      <c r="I7" s="565"/>
      <c r="J7" s="565" t="str">
        <f t="shared" ref="J7:J35" si="11">IF(C7="","",C7&amp;", ")</f>
        <v xml:space="preserve">Animal Friendship, </v>
      </c>
      <c r="K7" s="5">
        <v>2</v>
      </c>
      <c r="L7" s="1061" t="str">
        <f t="shared" si="1"/>
        <v>Alter Self</v>
      </c>
      <c r="M7" s="1061"/>
      <c r="N7" s="1061"/>
      <c r="O7" s="1061"/>
      <c r="P7" s="1061"/>
      <c r="Q7" s="565"/>
      <c r="R7" s="565"/>
      <c r="S7" s="565" t="str">
        <f t="shared" ref="S7:S35" si="12">IF(L7="","",L7&amp;", ")</f>
        <v xml:space="preserve">Alter Self, </v>
      </c>
      <c r="T7" s="5">
        <v>2</v>
      </c>
      <c r="U7" s="1061" t="str">
        <f t="shared" si="2"/>
        <v/>
      </c>
      <c r="V7" s="1061"/>
      <c r="W7" s="1061"/>
      <c r="X7" s="1061"/>
      <c r="Y7" s="1061"/>
      <c r="Z7" s="565" t="str">
        <f t="shared" si="3"/>
        <v/>
      </c>
      <c r="AA7" s="565"/>
      <c r="AB7" s="565" t="str">
        <f t="shared" ref="AB7:AB35" si="13">IF(U7="","",U7&amp;", ")</f>
        <v/>
      </c>
      <c r="AC7" s="5">
        <v>2</v>
      </c>
      <c r="AD7" s="1061" t="str">
        <f t="shared" si="4"/>
        <v/>
      </c>
      <c r="AE7" s="1061"/>
      <c r="AF7" s="1061"/>
      <c r="AG7" s="1061"/>
      <c r="AH7" s="1061"/>
      <c r="AI7" s="565" t="s">
        <v>3034</v>
      </c>
      <c r="AJ7" s="565"/>
      <c r="AK7" s="565" t="str">
        <f t="shared" ref="AK7:AK35" si="14">IF(AD7="","",AD7&amp;", ")</f>
        <v/>
      </c>
      <c r="AL7" s="5">
        <v>2</v>
      </c>
      <c r="AM7" s="1061" t="str">
        <f t="shared" si="5"/>
        <v>Antilife Shell</v>
      </c>
      <c r="AN7" s="1061"/>
      <c r="AO7" s="1061"/>
      <c r="AP7" s="1061"/>
      <c r="AQ7" s="1061"/>
      <c r="AR7" s="565"/>
      <c r="AS7" s="565"/>
      <c r="AT7" s="565" t="str">
        <f t="shared" ref="AT7:AT35" si="15">IF(AM7="","",AM7&amp;", ")</f>
        <v xml:space="preserve">Antilife Shell, </v>
      </c>
      <c r="AU7" s="5">
        <v>2</v>
      </c>
      <c r="AV7" s="1061" t="str">
        <f t="shared" si="6"/>
        <v/>
      </c>
      <c r="AW7" s="1061"/>
      <c r="AX7" s="1061"/>
      <c r="AY7" s="1061"/>
      <c r="AZ7" s="1061"/>
      <c r="BA7" s="565"/>
      <c r="BB7" s="565"/>
      <c r="BC7" s="565" t="str">
        <f t="shared" ref="BC7:BC35" si="16">IF(AV7="","",AV7&amp;", ")</f>
        <v/>
      </c>
      <c r="BD7" s="5">
        <v>2</v>
      </c>
      <c r="BE7" s="1061" t="str">
        <f t="shared" si="7"/>
        <v/>
      </c>
      <c r="BF7" s="1061"/>
      <c r="BG7" s="1061"/>
      <c r="BH7" s="1061"/>
      <c r="BI7" s="1061"/>
      <c r="BJ7" s="565"/>
      <c r="BK7" s="565"/>
      <c r="BL7" s="565" t="str">
        <f t="shared" ref="BL7:BL35" si="17">IF(BE7="","",BE7&amp;", ")</f>
        <v/>
      </c>
      <c r="BM7" s="5">
        <v>2</v>
      </c>
      <c r="BN7" s="1061" t="str">
        <f t="shared" si="8"/>
        <v/>
      </c>
      <c r="BO7" s="1061"/>
      <c r="BP7" s="1061"/>
      <c r="BQ7" s="1061"/>
      <c r="BR7" s="1061"/>
      <c r="BS7" s="565"/>
      <c r="BT7" s="565"/>
      <c r="BU7" s="565" t="str">
        <f t="shared" ref="BU7:BU35" si="18">IF(BN7="","",BN7&amp;", ")</f>
        <v/>
      </c>
      <c r="BV7" s="5">
        <v>2</v>
      </c>
      <c r="BW7" s="1061" t="str">
        <f t="shared" si="9"/>
        <v/>
      </c>
      <c r="BX7" s="1061"/>
      <c r="BY7" s="1061"/>
      <c r="BZ7" s="1061"/>
      <c r="CA7" s="1061"/>
      <c r="CB7" s="565"/>
      <c r="CC7" s="565" t="str">
        <f t="shared" ref="CC7:CC35" si="19">IF(BW7="","",BW7&amp;", ")</f>
        <v/>
      </c>
      <c r="CD7" s="565"/>
      <c r="CE7" s="565"/>
      <c r="CF7" s="565">
        <v>2</v>
      </c>
      <c r="CG7" s="566" t="str">
        <f t="shared" si="10"/>
        <v/>
      </c>
      <c r="CH7" s="565"/>
      <c r="CI7" s="564">
        <v>2</v>
      </c>
      <c r="CJ7" s="564">
        <f>Character_Creation!J381</f>
        <v>0</v>
      </c>
      <c r="CK7" s="564" t="str">
        <f>IFERROR(INDEX(T08_Spells!$C$3:$C$1000,MATCH($CJ7,T08_Spells!$B$3:$B$1000,0),1),"")</f>
        <v/>
      </c>
      <c r="CL7" s="564">
        <f t="shared" ref="CL7:CL31" si="20">IF(AND($CJ7&lt;&gt;0,$CJ7&lt;&gt;""),1,0)*IF($CK7=1,1,0)</f>
        <v>0</v>
      </c>
      <c r="CM7" s="564">
        <f>IF(CL7=0,0,1+COUNTIF(CM6:CM$6,"&gt;0"))</f>
        <v>0</v>
      </c>
      <c r="CN7" s="564">
        <f t="shared" ref="CN7:CN31" si="21">IF(AND($CJ7&lt;&gt;0,$CJ7&lt;&gt;""),1,0)*IF($CK7=2,1,0)</f>
        <v>0</v>
      </c>
      <c r="CO7" s="564">
        <f>IF(CN7=0,0,1+COUNTIF(CO6:CO$6,"&gt;0"))</f>
        <v>0</v>
      </c>
      <c r="CP7" s="564">
        <f t="shared" ref="CP7:CP31" si="22">IF(AND($CJ7&lt;&gt;0,$CJ7&lt;&gt;""),1,0)*IF($CK7=3,1,0)</f>
        <v>0</v>
      </c>
      <c r="CQ7" s="564">
        <f>IF(CP7=0,0,1+COUNTIF(CQ6:CQ$6,"&gt;0"))</f>
        <v>0</v>
      </c>
      <c r="CR7" s="564">
        <f t="shared" ref="CR7:CR31" si="23">IF(AND($CJ7&lt;&gt;0,$CJ7&lt;&gt;""),1,0)*IF($CK7=4,1,0)</f>
        <v>0</v>
      </c>
      <c r="CS7" s="564">
        <f>IF(CR7=0,0,1+COUNTIF(CS6:CS$6,"&gt;0"))</f>
        <v>0</v>
      </c>
      <c r="CT7" s="564">
        <f t="shared" ref="CT7:CT31" si="24">IF(AND($CJ7&lt;&gt;0,$CJ7&lt;&gt;""),1,0)*IF($CK7=5,1,0)</f>
        <v>0</v>
      </c>
      <c r="CU7" s="564">
        <f>IF(CT7=0,0,1+COUNTIF(CU6:CU$6,"&gt;0"))</f>
        <v>0</v>
      </c>
      <c r="CV7" s="564">
        <f t="shared" ref="CV7:CV31" si="25">IF(AND($CJ7&lt;&gt;0,$CJ7&lt;&gt;""),1,0)*IF($CK7=6,1,0)</f>
        <v>0</v>
      </c>
      <c r="CW7" s="564">
        <f>IF(CV7=0,0,1+COUNTIF(CW6:CW$6,"&gt;0"))</f>
        <v>0</v>
      </c>
      <c r="CX7" s="564">
        <f t="shared" ref="CX7:CX31" si="26">IF(AND($CJ7&lt;&gt;0,$CJ7&lt;&gt;""),1,0)*IF($CK7=7,1,0)</f>
        <v>0</v>
      </c>
      <c r="CY7" s="564">
        <f>IF(CX7=0,0,1+COUNTIF(CY6:CY$6,"&gt;0"))</f>
        <v>0</v>
      </c>
      <c r="CZ7" s="564">
        <f t="shared" ref="CZ7:CZ31" si="27">IF(AND($CJ7&lt;&gt;0,$CJ7&lt;&gt;""),1,0)*IF($CK7=8,1,0)</f>
        <v>0</v>
      </c>
      <c r="DA7" s="564">
        <f>IF(CZ7=0,0,1+COUNTIF(DA6:DA$6,"&gt;0"))</f>
        <v>0</v>
      </c>
      <c r="DB7" s="564">
        <f t="shared" ref="DB7:DB31" si="28">IF(AND($CJ7&lt;&gt;0,$CJ7&lt;&gt;""),1,0)*IF($CK7=9,1,0)</f>
        <v>0</v>
      </c>
      <c r="DC7" s="564">
        <f>IF(DB7=0,0,1+COUNTIF(DC6:DC$6,"&gt;0"))</f>
        <v>0</v>
      </c>
      <c r="DD7" s="565"/>
      <c r="DE7" s="565"/>
      <c r="DF7" s="565"/>
    </row>
    <row r="8" spans="1:110" x14ac:dyDescent="0.25">
      <c r="A8" s="120"/>
      <c r="B8" s="5">
        <v>3</v>
      </c>
      <c r="C8" s="1061" t="str">
        <f t="shared" si="0"/>
        <v/>
      </c>
      <c r="D8" s="1061"/>
      <c r="E8" s="1061"/>
      <c r="F8" s="1061"/>
      <c r="G8" s="1061"/>
      <c r="H8" s="565"/>
      <c r="I8" s="565"/>
      <c r="J8" s="565" t="str">
        <f t="shared" si="11"/>
        <v/>
      </c>
      <c r="K8" s="5">
        <v>3</v>
      </c>
      <c r="L8" s="1061" t="str">
        <f t="shared" si="1"/>
        <v>Animal Messenger</v>
      </c>
      <c r="M8" s="1061"/>
      <c r="N8" s="1061"/>
      <c r="O8" s="1061"/>
      <c r="P8" s="1061"/>
      <c r="Q8" s="565"/>
      <c r="R8" s="565"/>
      <c r="S8" s="565" t="str">
        <f t="shared" si="12"/>
        <v xml:space="preserve">Animal Messenger, </v>
      </c>
      <c r="T8" s="5">
        <v>3</v>
      </c>
      <c r="U8" s="1061" t="str">
        <f t="shared" si="2"/>
        <v/>
      </c>
      <c r="V8" s="1061"/>
      <c r="W8" s="1061"/>
      <c r="X8" s="1061"/>
      <c r="Y8" s="1061"/>
      <c r="Z8" s="565" t="str">
        <f t="shared" si="3"/>
        <v/>
      </c>
      <c r="AA8" s="565"/>
      <c r="AB8" s="565" t="str">
        <f t="shared" si="13"/>
        <v/>
      </c>
      <c r="AC8" s="5">
        <v>3</v>
      </c>
      <c r="AD8" s="1061" t="str">
        <f t="shared" si="4"/>
        <v/>
      </c>
      <c r="AE8" s="1061"/>
      <c r="AF8" s="1061"/>
      <c r="AG8" s="1061"/>
      <c r="AH8" s="1061"/>
      <c r="AI8" s="565" t="s">
        <v>3034</v>
      </c>
      <c r="AJ8" s="565"/>
      <c r="AK8" s="565" t="str">
        <f t="shared" si="14"/>
        <v/>
      </c>
      <c r="AL8" s="5">
        <v>3</v>
      </c>
      <c r="AM8" s="1061" t="str">
        <f t="shared" si="5"/>
        <v/>
      </c>
      <c r="AN8" s="1061"/>
      <c r="AO8" s="1061"/>
      <c r="AP8" s="1061"/>
      <c r="AQ8" s="1061"/>
      <c r="AR8" s="565"/>
      <c r="AS8" s="565"/>
      <c r="AT8" s="565" t="str">
        <f t="shared" si="15"/>
        <v/>
      </c>
      <c r="AU8" s="5">
        <v>3</v>
      </c>
      <c r="AV8" s="1061" t="str">
        <f t="shared" si="6"/>
        <v/>
      </c>
      <c r="AW8" s="1061"/>
      <c r="AX8" s="1061"/>
      <c r="AY8" s="1061"/>
      <c r="AZ8" s="1061"/>
      <c r="BA8" s="565"/>
      <c r="BB8" s="565"/>
      <c r="BC8" s="565" t="str">
        <f t="shared" si="16"/>
        <v/>
      </c>
      <c r="BD8" s="5">
        <v>3</v>
      </c>
      <c r="BE8" s="1061" t="str">
        <f t="shared" si="7"/>
        <v/>
      </c>
      <c r="BF8" s="1061"/>
      <c r="BG8" s="1061"/>
      <c r="BH8" s="1061"/>
      <c r="BI8" s="1061"/>
      <c r="BJ8" s="565"/>
      <c r="BK8" s="565"/>
      <c r="BL8" s="565" t="str">
        <f t="shared" si="17"/>
        <v/>
      </c>
      <c r="BM8" s="5">
        <v>3</v>
      </c>
      <c r="BN8" s="1061" t="str">
        <f t="shared" si="8"/>
        <v/>
      </c>
      <c r="BO8" s="1061"/>
      <c r="BP8" s="1061"/>
      <c r="BQ8" s="1061"/>
      <c r="BR8" s="1061"/>
      <c r="BS8" s="565"/>
      <c r="BT8" s="565"/>
      <c r="BU8" s="565" t="str">
        <f t="shared" si="18"/>
        <v/>
      </c>
      <c r="BV8" s="5">
        <v>3</v>
      </c>
      <c r="BW8" s="1061" t="str">
        <f t="shared" si="9"/>
        <v/>
      </c>
      <c r="BX8" s="1061"/>
      <c r="BY8" s="1061"/>
      <c r="BZ8" s="1061"/>
      <c r="CA8" s="1061"/>
      <c r="CB8" s="565"/>
      <c r="CC8" s="565" t="str">
        <f t="shared" si="19"/>
        <v/>
      </c>
      <c r="CD8" s="565"/>
      <c r="CE8" s="565"/>
      <c r="CF8" s="565">
        <v>3</v>
      </c>
      <c r="CG8" s="566" t="str">
        <f t="shared" si="10"/>
        <v/>
      </c>
      <c r="CH8" s="565"/>
      <c r="CI8" s="564">
        <v>3</v>
      </c>
      <c r="CJ8" s="564">
        <f>Character_Creation!J382</f>
        <v>0</v>
      </c>
      <c r="CK8" s="564" t="str">
        <f>IFERROR(INDEX(T08_Spells!$C$3:$C$1000,MATCH($CJ8,T08_Spells!$B$3:$B$1000,0),1),"")</f>
        <v/>
      </c>
      <c r="CL8" s="564">
        <f t="shared" si="20"/>
        <v>0</v>
      </c>
      <c r="CM8" s="564">
        <f>IF(CL8=0,0,1+COUNTIF(CM$6:CM7,"&gt;0"))</f>
        <v>0</v>
      </c>
      <c r="CN8" s="564">
        <f t="shared" si="21"/>
        <v>0</v>
      </c>
      <c r="CO8" s="564">
        <f>IF(CN8=0,0,1+COUNTIF(CO$6:CO7,"&gt;0"))</f>
        <v>0</v>
      </c>
      <c r="CP8" s="564">
        <f t="shared" si="22"/>
        <v>0</v>
      </c>
      <c r="CQ8" s="564">
        <f>IF(CP8=0,0,1+COUNTIF(CQ$6:CQ7,"&gt;0"))</f>
        <v>0</v>
      </c>
      <c r="CR8" s="564">
        <f t="shared" si="23"/>
        <v>0</v>
      </c>
      <c r="CS8" s="564">
        <f>IF(CR8=0,0,1+COUNTIF(CS$6:CS7,"&gt;0"))</f>
        <v>0</v>
      </c>
      <c r="CT8" s="564">
        <f t="shared" si="24"/>
        <v>0</v>
      </c>
      <c r="CU8" s="564">
        <f>IF(CT8=0,0,1+COUNTIF(CU$6:CU7,"&gt;0"))</f>
        <v>0</v>
      </c>
      <c r="CV8" s="564">
        <f t="shared" si="25"/>
        <v>0</v>
      </c>
      <c r="CW8" s="564">
        <f>IF(CV8=0,0,1+COUNTIF(CW$6:CW7,"&gt;0"))</f>
        <v>0</v>
      </c>
      <c r="CX8" s="564">
        <f t="shared" si="26"/>
        <v>0</v>
      </c>
      <c r="CY8" s="564">
        <f>IF(CX8=0,0,1+COUNTIF(CY$6:CY7,"&gt;0"))</f>
        <v>0</v>
      </c>
      <c r="CZ8" s="564">
        <f t="shared" si="27"/>
        <v>0</v>
      </c>
      <c r="DA8" s="564">
        <f>IF(CZ8=0,0,1+COUNTIF(DA$6:DA7,"&gt;0"))</f>
        <v>0</v>
      </c>
      <c r="DB8" s="564">
        <f t="shared" si="28"/>
        <v>0</v>
      </c>
      <c r="DC8" s="564">
        <f>IF(DB8=0,0,1+COUNTIF(DC$6:DC7,"&gt;0"))</f>
        <v>0</v>
      </c>
      <c r="DD8" s="565"/>
      <c r="DE8" s="565"/>
      <c r="DF8" s="565"/>
    </row>
    <row r="9" spans="1:110" x14ac:dyDescent="0.25">
      <c r="A9" s="120"/>
      <c r="B9" s="5">
        <v>4</v>
      </c>
      <c r="C9" s="1061" t="str">
        <f t="shared" si="0"/>
        <v/>
      </c>
      <c r="D9" s="1061"/>
      <c r="E9" s="1061"/>
      <c r="F9" s="1061"/>
      <c r="G9" s="1061"/>
      <c r="H9" s="565"/>
      <c r="I9" s="565"/>
      <c r="J9" s="565" t="str">
        <f t="shared" si="11"/>
        <v/>
      </c>
      <c r="K9" s="5">
        <v>4</v>
      </c>
      <c r="L9" s="1061" t="str">
        <f t="shared" si="1"/>
        <v/>
      </c>
      <c r="M9" s="1061"/>
      <c r="N9" s="1061"/>
      <c r="O9" s="1061"/>
      <c r="P9" s="1061"/>
      <c r="Q9" s="565"/>
      <c r="R9" s="565"/>
      <c r="S9" s="565" t="str">
        <f t="shared" si="12"/>
        <v/>
      </c>
      <c r="T9" s="5">
        <v>4</v>
      </c>
      <c r="U9" s="1061" t="str">
        <f t="shared" si="2"/>
        <v/>
      </c>
      <c r="V9" s="1061"/>
      <c r="W9" s="1061"/>
      <c r="X9" s="1061"/>
      <c r="Y9" s="1061"/>
      <c r="Z9" s="565" t="str">
        <f t="shared" si="3"/>
        <v/>
      </c>
      <c r="AA9" s="565"/>
      <c r="AB9" s="565" t="str">
        <f t="shared" si="13"/>
        <v/>
      </c>
      <c r="AC9" s="5">
        <v>4</v>
      </c>
      <c r="AD9" s="1061" t="str">
        <f t="shared" si="4"/>
        <v/>
      </c>
      <c r="AE9" s="1061"/>
      <c r="AF9" s="1061"/>
      <c r="AG9" s="1061"/>
      <c r="AH9" s="1061"/>
      <c r="AI9" s="565" t="s">
        <v>3034</v>
      </c>
      <c r="AJ9" s="565"/>
      <c r="AK9" s="565" t="str">
        <f t="shared" si="14"/>
        <v/>
      </c>
      <c r="AL9" s="5">
        <v>4</v>
      </c>
      <c r="AM9" s="1061" t="str">
        <f t="shared" si="5"/>
        <v/>
      </c>
      <c r="AN9" s="1061"/>
      <c r="AO9" s="1061"/>
      <c r="AP9" s="1061"/>
      <c r="AQ9" s="1061"/>
      <c r="AR9" s="565"/>
      <c r="AS9" s="565"/>
      <c r="AT9" s="565" t="str">
        <f t="shared" si="15"/>
        <v/>
      </c>
      <c r="AU9" s="5">
        <v>4</v>
      </c>
      <c r="AV9" s="1061" t="str">
        <f t="shared" si="6"/>
        <v/>
      </c>
      <c r="AW9" s="1061"/>
      <c r="AX9" s="1061"/>
      <c r="AY9" s="1061"/>
      <c r="AZ9" s="1061"/>
      <c r="BA9" s="565"/>
      <c r="BB9" s="565"/>
      <c r="BC9" s="565" t="str">
        <f t="shared" si="16"/>
        <v/>
      </c>
      <c r="BD9" s="5">
        <v>4</v>
      </c>
      <c r="BE9" s="1061" t="str">
        <f t="shared" si="7"/>
        <v/>
      </c>
      <c r="BF9" s="1061"/>
      <c r="BG9" s="1061"/>
      <c r="BH9" s="1061"/>
      <c r="BI9" s="1061"/>
      <c r="BJ9" s="565"/>
      <c r="BK9" s="565"/>
      <c r="BL9" s="565" t="str">
        <f t="shared" si="17"/>
        <v/>
      </c>
      <c r="BM9" s="5">
        <v>4</v>
      </c>
      <c r="BN9" s="1061" t="str">
        <f t="shared" si="8"/>
        <v/>
      </c>
      <c r="BO9" s="1061"/>
      <c r="BP9" s="1061"/>
      <c r="BQ9" s="1061"/>
      <c r="BR9" s="1061"/>
      <c r="BS9" s="565"/>
      <c r="BT9" s="565"/>
      <c r="BU9" s="565" t="str">
        <f t="shared" si="18"/>
        <v/>
      </c>
      <c r="BV9" s="5">
        <v>4</v>
      </c>
      <c r="BW9" s="1061" t="str">
        <f t="shared" si="9"/>
        <v/>
      </c>
      <c r="BX9" s="1061"/>
      <c r="BY9" s="1061"/>
      <c r="BZ9" s="1061"/>
      <c r="CA9" s="1061"/>
      <c r="CB9" s="565"/>
      <c r="CC9" s="565" t="str">
        <f t="shared" si="19"/>
        <v/>
      </c>
      <c r="CD9" s="565"/>
      <c r="CE9" s="565"/>
      <c r="CF9" s="565">
        <v>4</v>
      </c>
      <c r="CG9" s="566" t="str">
        <f t="shared" si="10"/>
        <v/>
      </c>
      <c r="CH9" s="565"/>
      <c r="CI9" s="564">
        <v>4</v>
      </c>
      <c r="CJ9" s="564">
        <f>Character_Creation!J383</f>
        <v>0</v>
      </c>
      <c r="CK9" s="564" t="str">
        <f>IFERROR(INDEX(T08_Spells!$C$3:$C$1000,MATCH($CJ9,T08_Spells!$B$3:$B$1000,0),1),"")</f>
        <v/>
      </c>
      <c r="CL9" s="564">
        <f t="shared" si="20"/>
        <v>0</v>
      </c>
      <c r="CM9" s="564">
        <f>IF(CL9=0,0,1+COUNTIF(CM$6:CM8,"&gt;0"))</f>
        <v>0</v>
      </c>
      <c r="CN9" s="564">
        <f t="shared" si="21"/>
        <v>0</v>
      </c>
      <c r="CO9" s="564">
        <f>IF(CN9=0,0,1+COUNTIF(CO$6:CO8,"&gt;0"))</f>
        <v>0</v>
      </c>
      <c r="CP9" s="564">
        <f t="shared" si="22"/>
        <v>0</v>
      </c>
      <c r="CQ9" s="564">
        <f>IF(CP9=0,0,1+COUNTIF(CQ$6:CQ8,"&gt;0"))</f>
        <v>0</v>
      </c>
      <c r="CR9" s="564">
        <f t="shared" si="23"/>
        <v>0</v>
      </c>
      <c r="CS9" s="564">
        <f>IF(CR9=0,0,1+COUNTIF(CS$6:CS8,"&gt;0"))</f>
        <v>0</v>
      </c>
      <c r="CT9" s="564">
        <f t="shared" si="24"/>
        <v>0</v>
      </c>
      <c r="CU9" s="564">
        <f>IF(CT9=0,0,1+COUNTIF(CU$6:CU8,"&gt;0"))</f>
        <v>0</v>
      </c>
      <c r="CV9" s="564">
        <f t="shared" si="25"/>
        <v>0</v>
      </c>
      <c r="CW9" s="564">
        <f>IF(CV9=0,0,1+COUNTIF(CW$6:CW8,"&gt;0"))</f>
        <v>0</v>
      </c>
      <c r="CX9" s="564">
        <f t="shared" si="26"/>
        <v>0</v>
      </c>
      <c r="CY9" s="564">
        <f>IF(CX9=0,0,1+COUNTIF(CY$6:CY8,"&gt;0"))</f>
        <v>0</v>
      </c>
      <c r="CZ9" s="564">
        <f t="shared" si="27"/>
        <v>0</v>
      </c>
      <c r="DA9" s="564">
        <f>IF(CZ9=0,0,1+COUNTIF(DA$6:DA8,"&gt;0"))</f>
        <v>0</v>
      </c>
      <c r="DB9" s="564">
        <f t="shared" si="28"/>
        <v>0</v>
      </c>
      <c r="DC9" s="564">
        <f>IF(DB9=0,0,1+COUNTIF(DC$6:DC8,"&gt;0"))</f>
        <v>0</v>
      </c>
      <c r="DD9" s="565"/>
      <c r="DE9" s="565"/>
      <c r="DF9" s="565"/>
    </row>
    <row r="10" spans="1:110" x14ac:dyDescent="0.25">
      <c r="A10" s="120"/>
      <c r="B10" s="5">
        <v>5</v>
      </c>
      <c r="C10" s="1061" t="str">
        <f t="shared" si="0"/>
        <v/>
      </c>
      <c r="D10" s="1061"/>
      <c r="E10" s="1061"/>
      <c r="F10" s="1061"/>
      <c r="G10" s="1061"/>
      <c r="H10" s="565"/>
      <c r="I10" s="565"/>
      <c r="J10" s="565" t="str">
        <f t="shared" si="11"/>
        <v/>
      </c>
      <c r="K10" s="5">
        <v>5</v>
      </c>
      <c r="L10" s="1061" t="str">
        <f t="shared" si="1"/>
        <v/>
      </c>
      <c r="M10" s="1061"/>
      <c r="N10" s="1061"/>
      <c r="O10" s="1061"/>
      <c r="P10" s="1061"/>
      <c r="Q10" s="565"/>
      <c r="R10" s="565"/>
      <c r="S10" s="565" t="str">
        <f t="shared" si="12"/>
        <v/>
      </c>
      <c r="T10" s="5">
        <v>5</v>
      </c>
      <c r="U10" s="1061" t="str">
        <f t="shared" si="2"/>
        <v/>
      </c>
      <c r="V10" s="1061"/>
      <c r="W10" s="1061"/>
      <c r="X10" s="1061"/>
      <c r="Y10" s="1061"/>
      <c r="Z10" s="565" t="str">
        <f t="shared" si="3"/>
        <v/>
      </c>
      <c r="AA10" s="565"/>
      <c r="AB10" s="565" t="str">
        <f t="shared" si="13"/>
        <v/>
      </c>
      <c r="AC10" s="5">
        <v>5</v>
      </c>
      <c r="AD10" s="1061" t="str">
        <f t="shared" si="4"/>
        <v/>
      </c>
      <c r="AE10" s="1061"/>
      <c r="AF10" s="1061"/>
      <c r="AG10" s="1061"/>
      <c r="AH10" s="1061"/>
      <c r="AI10" s="565" t="s">
        <v>3034</v>
      </c>
      <c r="AJ10" s="565"/>
      <c r="AK10" s="565" t="str">
        <f t="shared" si="14"/>
        <v/>
      </c>
      <c r="AL10" s="5">
        <v>5</v>
      </c>
      <c r="AM10" s="1061" t="str">
        <f t="shared" si="5"/>
        <v/>
      </c>
      <c r="AN10" s="1061"/>
      <c r="AO10" s="1061"/>
      <c r="AP10" s="1061"/>
      <c r="AQ10" s="1061"/>
      <c r="AR10" s="565"/>
      <c r="AS10" s="565"/>
      <c r="AT10" s="565" t="str">
        <f t="shared" si="15"/>
        <v/>
      </c>
      <c r="AU10" s="5">
        <v>5</v>
      </c>
      <c r="AV10" s="1061" t="str">
        <f t="shared" si="6"/>
        <v/>
      </c>
      <c r="AW10" s="1061"/>
      <c r="AX10" s="1061"/>
      <c r="AY10" s="1061"/>
      <c r="AZ10" s="1061"/>
      <c r="BA10" s="565"/>
      <c r="BB10" s="565"/>
      <c r="BC10" s="565" t="str">
        <f t="shared" si="16"/>
        <v/>
      </c>
      <c r="BD10" s="5">
        <v>5</v>
      </c>
      <c r="BE10" s="1061" t="str">
        <f t="shared" si="7"/>
        <v/>
      </c>
      <c r="BF10" s="1061"/>
      <c r="BG10" s="1061"/>
      <c r="BH10" s="1061"/>
      <c r="BI10" s="1061"/>
      <c r="BJ10" s="565"/>
      <c r="BK10" s="565"/>
      <c r="BL10" s="565" t="str">
        <f t="shared" si="17"/>
        <v/>
      </c>
      <c r="BM10" s="5">
        <v>5</v>
      </c>
      <c r="BN10" s="1061" t="str">
        <f t="shared" si="8"/>
        <v/>
      </c>
      <c r="BO10" s="1061"/>
      <c r="BP10" s="1061"/>
      <c r="BQ10" s="1061"/>
      <c r="BR10" s="1061"/>
      <c r="BS10" s="565"/>
      <c r="BT10" s="565"/>
      <c r="BU10" s="565" t="str">
        <f t="shared" si="18"/>
        <v/>
      </c>
      <c r="BV10" s="5">
        <v>5</v>
      </c>
      <c r="BW10" s="1061" t="str">
        <f t="shared" si="9"/>
        <v/>
      </c>
      <c r="BX10" s="1061"/>
      <c r="BY10" s="1061"/>
      <c r="BZ10" s="1061"/>
      <c r="CA10" s="1061"/>
      <c r="CB10" s="565"/>
      <c r="CC10" s="565" t="str">
        <f t="shared" si="19"/>
        <v/>
      </c>
      <c r="CD10" s="565"/>
      <c r="CE10" s="565"/>
      <c r="CF10" s="565">
        <v>5</v>
      </c>
      <c r="CG10" s="566" t="str">
        <f t="shared" si="10"/>
        <v/>
      </c>
      <c r="CH10" s="565"/>
      <c r="CI10" s="564">
        <v>5</v>
      </c>
      <c r="CJ10" s="564">
        <f>Character_Creation!J384</f>
        <v>0</v>
      </c>
      <c r="CK10" s="564" t="str">
        <f>IFERROR(INDEX(T08_Spells!$C$3:$C$1000,MATCH($CJ10,T08_Spells!$B$3:$B$1000,0),1),"")</f>
        <v/>
      </c>
      <c r="CL10" s="564">
        <f t="shared" si="20"/>
        <v>0</v>
      </c>
      <c r="CM10" s="564">
        <f>IF(CL10=0,0,1+COUNTIF(CM$6:CM9,"&gt;0"))</f>
        <v>0</v>
      </c>
      <c r="CN10" s="564">
        <f t="shared" si="21"/>
        <v>0</v>
      </c>
      <c r="CO10" s="564">
        <f>IF(CN10=0,0,1+COUNTIF(CO$6:CO9,"&gt;0"))</f>
        <v>0</v>
      </c>
      <c r="CP10" s="564">
        <f t="shared" si="22"/>
        <v>0</v>
      </c>
      <c r="CQ10" s="564">
        <f>IF(CP10=0,0,1+COUNTIF(CQ$6:CQ9,"&gt;0"))</f>
        <v>0</v>
      </c>
      <c r="CR10" s="564">
        <f t="shared" si="23"/>
        <v>0</v>
      </c>
      <c r="CS10" s="564">
        <f>IF(CR10=0,0,1+COUNTIF(CS$6:CS9,"&gt;0"))</f>
        <v>0</v>
      </c>
      <c r="CT10" s="564">
        <f t="shared" si="24"/>
        <v>0</v>
      </c>
      <c r="CU10" s="564">
        <f>IF(CT10=0,0,1+COUNTIF(CU$6:CU9,"&gt;0"))</f>
        <v>0</v>
      </c>
      <c r="CV10" s="564">
        <f t="shared" si="25"/>
        <v>0</v>
      </c>
      <c r="CW10" s="564">
        <f>IF(CV10=0,0,1+COUNTIF(CW$6:CW9,"&gt;0"))</f>
        <v>0</v>
      </c>
      <c r="CX10" s="564">
        <f t="shared" si="26"/>
        <v>0</v>
      </c>
      <c r="CY10" s="564">
        <f>IF(CX10=0,0,1+COUNTIF(CY$6:CY9,"&gt;0"))</f>
        <v>0</v>
      </c>
      <c r="CZ10" s="564">
        <f t="shared" si="27"/>
        <v>0</v>
      </c>
      <c r="DA10" s="564">
        <f>IF(CZ10=0,0,1+COUNTIF(DA$6:DA9,"&gt;0"))</f>
        <v>0</v>
      </c>
      <c r="DB10" s="564">
        <f t="shared" si="28"/>
        <v>0</v>
      </c>
      <c r="DC10" s="564">
        <f>IF(DB10=0,0,1+COUNTIF(DC$6:DC9,"&gt;0"))</f>
        <v>0</v>
      </c>
      <c r="DD10" s="565"/>
      <c r="DE10" s="565"/>
      <c r="DF10" s="565"/>
    </row>
    <row r="11" spans="1:110" x14ac:dyDescent="0.25">
      <c r="A11" s="120"/>
      <c r="B11" s="5">
        <v>6</v>
      </c>
      <c r="C11" s="1061" t="str">
        <f t="shared" si="0"/>
        <v/>
      </c>
      <c r="D11" s="1061"/>
      <c r="E11" s="1061"/>
      <c r="F11" s="1061"/>
      <c r="G11" s="1061"/>
      <c r="H11" s="565"/>
      <c r="I11" s="565"/>
      <c r="J11" s="565" t="str">
        <f t="shared" si="11"/>
        <v/>
      </c>
      <c r="K11" s="5">
        <v>6</v>
      </c>
      <c r="L11" s="1061" t="str">
        <f t="shared" si="1"/>
        <v/>
      </c>
      <c r="M11" s="1061"/>
      <c r="N11" s="1061"/>
      <c r="O11" s="1061"/>
      <c r="P11" s="1061"/>
      <c r="Q11" s="565"/>
      <c r="R11" s="565"/>
      <c r="S11" s="565" t="str">
        <f t="shared" si="12"/>
        <v/>
      </c>
      <c r="T11" s="5">
        <v>6</v>
      </c>
      <c r="U11" s="1061" t="str">
        <f t="shared" si="2"/>
        <v/>
      </c>
      <c r="V11" s="1061"/>
      <c r="W11" s="1061"/>
      <c r="X11" s="1061"/>
      <c r="Y11" s="1061"/>
      <c r="Z11" s="565" t="str">
        <f t="shared" si="3"/>
        <v/>
      </c>
      <c r="AA11" s="565"/>
      <c r="AB11" s="565" t="str">
        <f t="shared" si="13"/>
        <v/>
      </c>
      <c r="AC11" s="5">
        <v>6</v>
      </c>
      <c r="AD11" s="1061" t="str">
        <f t="shared" si="4"/>
        <v/>
      </c>
      <c r="AE11" s="1061"/>
      <c r="AF11" s="1061"/>
      <c r="AG11" s="1061"/>
      <c r="AH11" s="1061"/>
      <c r="AI11" s="565" t="s">
        <v>3034</v>
      </c>
      <c r="AJ11" s="565"/>
      <c r="AK11" s="565" t="str">
        <f t="shared" si="14"/>
        <v/>
      </c>
      <c r="AL11" s="5">
        <v>6</v>
      </c>
      <c r="AM11" s="1061" t="str">
        <f t="shared" si="5"/>
        <v/>
      </c>
      <c r="AN11" s="1061"/>
      <c r="AO11" s="1061"/>
      <c r="AP11" s="1061"/>
      <c r="AQ11" s="1061"/>
      <c r="AR11" s="565"/>
      <c r="AS11" s="565"/>
      <c r="AT11" s="565" t="str">
        <f t="shared" si="15"/>
        <v/>
      </c>
      <c r="AU11" s="5">
        <v>6</v>
      </c>
      <c r="AV11" s="1061" t="str">
        <f t="shared" si="6"/>
        <v/>
      </c>
      <c r="AW11" s="1061"/>
      <c r="AX11" s="1061"/>
      <c r="AY11" s="1061"/>
      <c r="AZ11" s="1061"/>
      <c r="BA11" s="565"/>
      <c r="BB11" s="565"/>
      <c r="BC11" s="565" t="str">
        <f t="shared" si="16"/>
        <v/>
      </c>
      <c r="BD11" s="5">
        <v>6</v>
      </c>
      <c r="BE11" s="1061" t="str">
        <f t="shared" si="7"/>
        <v/>
      </c>
      <c r="BF11" s="1061"/>
      <c r="BG11" s="1061"/>
      <c r="BH11" s="1061"/>
      <c r="BI11" s="1061"/>
      <c r="BJ11" s="565"/>
      <c r="BK11" s="565"/>
      <c r="BL11" s="565" t="str">
        <f t="shared" si="17"/>
        <v/>
      </c>
      <c r="BM11" s="5">
        <v>6</v>
      </c>
      <c r="BN11" s="1061" t="str">
        <f t="shared" si="8"/>
        <v/>
      </c>
      <c r="BO11" s="1061"/>
      <c r="BP11" s="1061"/>
      <c r="BQ11" s="1061"/>
      <c r="BR11" s="1061"/>
      <c r="BS11" s="565"/>
      <c r="BT11" s="565"/>
      <c r="BU11" s="565" t="str">
        <f t="shared" si="18"/>
        <v/>
      </c>
      <c r="BV11" s="5">
        <v>6</v>
      </c>
      <c r="BW11" s="1061" t="str">
        <f t="shared" si="9"/>
        <v/>
      </c>
      <c r="BX11" s="1061"/>
      <c r="BY11" s="1061"/>
      <c r="BZ11" s="1061"/>
      <c r="CA11" s="1061"/>
      <c r="CB11" s="565"/>
      <c r="CC11" s="565" t="str">
        <f t="shared" si="19"/>
        <v/>
      </c>
      <c r="CD11" s="565"/>
      <c r="CE11" s="565"/>
      <c r="CF11" s="565">
        <v>6</v>
      </c>
      <c r="CG11" s="566" t="str">
        <f t="shared" si="10"/>
        <v/>
      </c>
      <c r="CH11" s="565"/>
      <c r="CI11" s="564">
        <v>6</v>
      </c>
      <c r="CJ11" s="564">
        <f>Character_Creation!J385</f>
        <v>0</v>
      </c>
      <c r="CK11" s="564" t="str">
        <f>IFERROR(INDEX(T08_Spells!$C$3:$C$1000,MATCH($CJ11,T08_Spells!$B$3:$B$1000,0),1),"")</f>
        <v/>
      </c>
      <c r="CL11" s="564">
        <f t="shared" si="20"/>
        <v>0</v>
      </c>
      <c r="CM11" s="564">
        <f>IF(CL11=0,0,1+COUNTIF(CM$6:CM10,"&gt;0"))</f>
        <v>0</v>
      </c>
      <c r="CN11" s="564">
        <f t="shared" si="21"/>
        <v>0</v>
      </c>
      <c r="CO11" s="564">
        <f>IF(CN11=0,0,1+COUNTIF(CO$6:CO10,"&gt;0"))</f>
        <v>0</v>
      </c>
      <c r="CP11" s="564">
        <f t="shared" si="22"/>
        <v>0</v>
      </c>
      <c r="CQ11" s="564">
        <f>IF(CP11=0,0,1+COUNTIF(CQ$6:CQ10,"&gt;0"))</f>
        <v>0</v>
      </c>
      <c r="CR11" s="564">
        <f t="shared" si="23"/>
        <v>0</v>
      </c>
      <c r="CS11" s="564">
        <f>IF(CR11=0,0,1+COUNTIF(CS$6:CS10,"&gt;0"))</f>
        <v>0</v>
      </c>
      <c r="CT11" s="564">
        <f t="shared" si="24"/>
        <v>0</v>
      </c>
      <c r="CU11" s="564">
        <f>IF(CT11=0,0,1+COUNTIF(CU$6:CU10,"&gt;0"))</f>
        <v>0</v>
      </c>
      <c r="CV11" s="564">
        <f t="shared" si="25"/>
        <v>0</v>
      </c>
      <c r="CW11" s="564">
        <f>IF(CV11=0,0,1+COUNTIF(CW$6:CW10,"&gt;0"))</f>
        <v>0</v>
      </c>
      <c r="CX11" s="564">
        <f t="shared" si="26"/>
        <v>0</v>
      </c>
      <c r="CY11" s="564">
        <f>IF(CX11=0,0,1+COUNTIF(CY$6:CY10,"&gt;0"))</f>
        <v>0</v>
      </c>
      <c r="CZ11" s="564">
        <f t="shared" si="27"/>
        <v>0</v>
      </c>
      <c r="DA11" s="564">
        <f>IF(CZ11=0,0,1+COUNTIF(DA$6:DA10,"&gt;0"))</f>
        <v>0</v>
      </c>
      <c r="DB11" s="564">
        <f t="shared" si="28"/>
        <v>0</v>
      </c>
      <c r="DC11" s="564">
        <f>IF(DB11=0,0,1+COUNTIF(DC$6:DC10,"&gt;0"))</f>
        <v>0</v>
      </c>
      <c r="DD11" s="565"/>
      <c r="DE11" s="565"/>
      <c r="DF11" s="565"/>
    </row>
    <row r="12" spans="1:110" x14ac:dyDescent="0.25">
      <c r="A12" s="120"/>
      <c r="B12" s="5">
        <v>7</v>
      </c>
      <c r="C12" s="1061" t="str">
        <f t="shared" si="0"/>
        <v/>
      </c>
      <c r="D12" s="1061"/>
      <c r="E12" s="1061"/>
      <c r="F12" s="1061"/>
      <c r="G12" s="1061"/>
      <c r="H12" s="565"/>
      <c r="I12" s="565"/>
      <c r="J12" s="565" t="str">
        <f t="shared" si="11"/>
        <v/>
      </c>
      <c r="K12" s="5">
        <v>7</v>
      </c>
      <c r="L12" s="1061" t="str">
        <f t="shared" si="1"/>
        <v/>
      </c>
      <c r="M12" s="1061"/>
      <c r="N12" s="1061"/>
      <c r="O12" s="1061"/>
      <c r="P12" s="1061"/>
      <c r="Q12" s="565"/>
      <c r="R12" s="565"/>
      <c r="S12" s="565" t="str">
        <f t="shared" si="12"/>
        <v/>
      </c>
      <c r="T12" s="5">
        <v>7</v>
      </c>
      <c r="U12" s="1061" t="str">
        <f t="shared" si="2"/>
        <v/>
      </c>
      <c r="V12" s="1061"/>
      <c r="W12" s="1061"/>
      <c r="X12" s="1061"/>
      <c r="Y12" s="1061"/>
      <c r="Z12" s="565" t="str">
        <f t="shared" si="3"/>
        <v/>
      </c>
      <c r="AA12" s="565"/>
      <c r="AB12" s="565" t="str">
        <f t="shared" si="13"/>
        <v/>
      </c>
      <c r="AC12" s="5">
        <v>7</v>
      </c>
      <c r="AD12" s="1061" t="str">
        <f t="shared" si="4"/>
        <v/>
      </c>
      <c r="AE12" s="1061"/>
      <c r="AF12" s="1061"/>
      <c r="AG12" s="1061"/>
      <c r="AH12" s="1061"/>
      <c r="AI12" s="565" t="s">
        <v>3034</v>
      </c>
      <c r="AJ12" s="565"/>
      <c r="AK12" s="565" t="str">
        <f t="shared" si="14"/>
        <v/>
      </c>
      <c r="AL12" s="5">
        <v>7</v>
      </c>
      <c r="AM12" s="1061" t="str">
        <f t="shared" si="5"/>
        <v/>
      </c>
      <c r="AN12" s="1061"/>
      <c r="AO12" s="1061"/>
      <c r="AP12" s="1061"/>
      <c r="AQ12" s="1061"/>
      <c r="AR12" s="565"/>
      <c r="AS12" s="565"/>
      <c r="AT12" s="565" t="str">
        <f t="shared" si="15"/>
        <v/>
      </c>
      <c r="AU12" s="5">
        <v>7</v>
      </c>
      <c r="AV12" s="1061" t="str">
        <f t="shared" si="6"/>
        <v/>
      </c>
      <c r="AW12" s="1061"/>
      <c r="AX12" s="1061"/>
      <c r="AY12" s="1061"/>
      <c r="AZ12" s="1061"/>
      <c r="BA12" s="565"/>
      <c r="BB12" s="565"/>
      <c r="BC12" s="565" t="str">
        <f t="shared" si="16"/>
        <v/>
      </c>
      <c r="BD12" s="5">
        <v>7</v>
      </c>
      <c r="BE12" s="1061" t="str">
        <f t="shared" si="7"/>
        <v/>
      </c>
      <c r="BF12" s="1061"/>
      <c r="BG12" s="1061"/>
      <c r="BH12" s="1061"/>
      <c r="BI12" s="1061"/>
      <c r="BJ12" s="565"/>
      <c r="BK12" s="565"/>
      <c r="BL12" s="565" t="str">
        <f t="shared" si="17"/>
        <v/>
      </c>
      <c r="BM12" s="5">
        <v>7</v>
      </c>
      <c r="BN12" s="1061" t="str">
        <f t="shared" si="8"/>
        <v/>
      </c>
      <c r="BO12" s="1061"/>
      <c r="BP12" s="1061"/>
      <c r="BQ12" s="1061"/>
      <c r="BR12" s="1061"/>
      <c r="BS12" s="565"/>
      <c r="BT12" s="565"/>
      <c r="BU12" s="565" t="str">
        <f t="shared" si="18"/>
        <v/>
      </c>
      <c r="BV12" s="5">
        <v>7</v>
      </c>
      <c r="BW12" s="1061" t="str">
        <f t="shared" si="9"/>
        <v/>
      </c>
      <c r="BX12" s="1061"/>
      <c r="BY12" s="1061"/>
      <c r="BZ12" s="1061"/>
      <c r="CA12" s="1061"/>
      <c r="CB12" s="565"/>
      <c r="CC12" s="565" t="str">
        <f t="shared" si="19"/>
        <v/>
      </c>
      <c r="CD12" s="565"/>
      <c r="CE12" s="565"/>
      <c r="CF12" s="565">
        <v>7</v>
      </c>
      <c r="CG12" s="566" t="str">
        <f t="shared" si="10"/>
        <v/>
      </c>
      <c r="CH12" s="565"/>
      <c r="CI12" s="564">
        <v>7</v>
      </c>
      <c r="CJ12" s="564">
        <f>Character_Creation!J386</f>
        <v>0</v>
      </c>
      <c r="CK12" s="564" t="str">
        <f>IFERROR(INDEX(T08_Spells!$C$3:$C$1000,MATCH($CJ12,T08_Spells!$B$3:$B$1000,0),1),"")</f>
        <v/>
      </c>
      <c r="CL12" s="564">
        <f t="shared" si="20"/>
        <v>0</v>
      </c>
      <c r="CM12" s="564">
        <f>IF(CL12=0,0,1+COUNTIF(CM$6:CM11,"&gt;0"))</f>
        <v>0</v>
      </c>
      <c r="CN12" s="564">
        <f t="shared" si="21"/>
        <v>0</v>
      </c>
      <c r="CO12" s="564">
        <f>IF(CN12=0,0,1+COUNTIF(CO$6:CO11,"&gt;0"))</f>
        <v>0</v>
      </c>
      <c r="CP12" s="564">
        <f t="shared" si="22"/>
        <v>0</v>
      </c>
      <c r="CQ12" s="564">
        <f>IF(CP12=0,0,1+COUNTIF(CQ$6:CQ11,"&gt;0"))</f>
        <v>0</v>
      </c>
      <c r="CR12" s="564">
        <f t="shared" si="23"/>
        <v>0</v>
      </c>
      <c r="CS12" s="564">
        <f>IF(CR12=0,0,1+COUNTIF(CS$6:CS11,"&gt;0"))</f>
        <v>0</v>
      </c>
      <c r="CT12" s="564">
        <f t="shared" si="24"/>
        <v>0</v>
      </c>
      <c r="CU12" s="564">
        <f>IF(CT12=0,0,1+COUNTIF(CU$6:CU11,"&gt;0"))</f>
        <v>0</v>
      </c>
      <c r="CV12" s="564">
        <f t="shared" si="25"/>
        <v>0</v>
      </c>
      <c r="CW12" s="564">
        <f>IF(CV12=0,0,1+COUNTIF(CW$6:CW11,"&gt;0"))</f>
        <v>0</v>
      </c>
      <c r="CX12" s="564">
        <f t="shared" si="26"/>
        <v>0</v>
      </c>
      <c r="CY12" s="564">
        <f>IF(CX12=0,0,1+COUNTIF(CY$6:CY11,"&gt;0"))</f>
        <v>0</v>
      </c>
      <c r="CZ12" s="564">
        <f t="shared" si="27"/>
        <v>0</v>
      </c>
      <c r="DA12" s="564">
        <f>IF(CZ12=0,0,1+COUNTIF(DA$6:DA11,"&gt;0"))</f>
        <v>0</v>
      </c>
      <c r="DB12" s="564">
        <f t="shared" si="28"/>
        <v>0</v>
      </c>
      <c r="DC12" s="564">
        <f>IF(DB12=0,0,1+COUNTIF(DC$6:DC11,"&gt;0"))</f>
        <v>0</v>
      </c>
      <c r="DD12" s="565"/>
      <c r="DE12" s="565"/>
      <c r="DF12" s="565"/>
    </row>
    <row r="13" spans="1:110" x14ac:dyDescent="0.25">
      <c r="A13" s="120"/>
      <c r="B13" s="5">
        <v>8</v>
      </c>
      <c r="C13" s="1061" t="str">
        <f t="shared" si="0"/>
        <v/>
      </c>
      <c r="D13" s="1061"/>
      <c r="E13" s="1061"/>
      <c r="F13" s="1061"/>
      <c r="G13" s="1061"/>
      <c r="H13" s="565"/>
      <c r="I13" s="565"/>
      <c r="J13" s="565" t="str">
        <f t="shared" si="11"/>
        <v/>
      </c>
      <c r="K13" s="5">
        <v>8</v>
      </c>
      <c r="L13" s="1061" t="str">
        <f t="shared" si="1"/>
        <v/>
      </c>
      <c r="M13" s="1061"/>
      <c r="N13" s="1061"/>
      <c r="O13" s="1061"/>
      <c r="P13" s="1061"/>
      <c r="Q13" s="565"/>
      <c r="R13" s="565"/>
      <c r="S13" s="565" t="str">
        <f t="shared" si="12"/>
        <v/>
      </c>
      <c r="T13" s="5">
        <v>8</v>
      </c>
      <c r="U13" s="1061" t="str">
        <f t="shared" si="2"/>
        <v/>
      </c>
      <c r="V13" s="1061"/>
      <c r="W13" s="1061"/>
      <c r="X13" s="1061"/>
      <c r="Y13" s="1061"/>
      <c r="Z13" s="565" t="str">
        <f t="shared" si="3"/>
        <v/>
      </c>
      <c r="AA13" s="565"/>
      <c r="AB13" s="565" t="str">
        <f t="shared" si="13"/>
        <v/>
      </c>
      <c r="AC13" s="5">
        <v>8</v>
      </c>
      <c r="AD13" s="1061" t="str">
        <f t="shared" si="4"/>
        <v/>
      </c>
      <c r="AE13" s="1061"/>
      <c r="AF13" s="1061"/>
      <c r="AG13" s="1061"/>
      <c r="AH13" s="1061"/>
      <c r="AI13" s="565" t="s">
        <v>3034</v>
      </c>
      <c r="AJ13" s="565"/>
      <c r="AK13" s="565" t="str">
        <f t="shared" si="14"/>
        <v/>
      </c>
      <c r="AL13" s="5">
        <v>8</v>
      </c>
      <c r="AM13" s="1061" t="str">
        <f t="shared" si="5"/>
        <v/>
      </c>
      <c r="AN13" s="1061"/>
      <c r="AO13" s="1061"/>
      <c r="AP13" s="1061"/>
      <c r="AQ13" s="1061"/>
      <c r="AR13" s="565"/>
      <c r="AS13" s="565"/>
      <c r="AT13" s="565" t="str">
        <f t="shared" si="15"/>
        <v/>
      </c>
      <c r="AU13" s="5">
        <v>8</v>
      </c>
      <c r="AV13" s="1061" t="str">
        <f t="shared" si="6"/>
        <v/>
      </c>
      <c r="AW13" s="1061"/>
      <c r="AX13" s="1061"/>
      <c r="AY13" s="1061"/>
      <c r="AZ13" s="1061"/>
      <c r="BA13" s="565"/>
      <c r="BB13" s="565"/>
      <c r="BC13" s="565" t="str">
        <f t="shared" si="16"/>
        <v/>
      </c>
      <c r="BD13" s="5">
        <v>8</v>
      </c>
      <c r="BE13" s="1061" t="str">
        <f t="shared" si="7"/>
        <v/>
      </c>
      <c r="BF13" s="1061"/>
      <c r="BG13" s="1061"/>
      <c r="BH13" s="1061"/>
      <c r="BI13" s="1061"/>
      <c r="BJ13" s="565"/>
      <c r="BK13" s="565"/>
      <c r="BL13" s="565" t="str">
        <f t="shared" si="17"/>
        <v/>
      </c>
      <c r="BM13" s="5">
        <v>8</v>
      </c>
      <c r="BN13" s="1061" t="str">
        <f t="shared" si="8"/>
        <v/>
      </c>
      <c r="BO13" s="1061"/>
      <c r="BP13" s="1061"/>
      <c r="BQ13" s="1061"/>
      <c r="BR13" s="1061"/>
      <c r="BS13" s="565"/>
      <c r="BT13" s="565"/>
      <c r="BU13" s="565" t="str">
        <f t="shared" si="18"/>
        <v/>
      </c>
      <c r="BV13" s="5">
        <v>8</v>
      </c>
      <c r="BW13" s="1061" t="str">
        <f t="shared" si="9"/>
        <v/>
      </c>
      <c r="BX13" s="1061"/>
      <c r="BY13" s="1061"/>
      <c r="BZ13" s="1061"/>
      <c r="CA13" s="1061"/>
      <c r="CB13" s="565"/>
      <c r="CC13" s="565" t="str">
        <f t="shared" si="19"/>
        <v/>
      </c>
      <c r="CD13" s="565"/>
      <c r="CE13" s="565"/>
      <c r="CF13" s="565">
        <v>8</v>
      </c>
      <c r="CG13" s="566" t="str">
        <f t="shared" si="10"/>
        <v/>
      </c>
      <c r="CH13" s="565"/>
      <c r="CI13" s="564">
        <v>8</v>
      </c>
      <c r="CJ13" s="564">
        <f>Character_Creation!J387</f>
        <v>0</v>
      </c>
      <c r="CK13" s="564" t="str">
        <f>IFERROR(INDEX(T08_Spells!$C$3:$C$1000,MATCH($CJ13,T08_Spells!$B$3:$B$1000,0),1),"")</f>
        <v/>
      </c>
      <c r="CL13" s="564">
        <f t="shared" si="20"/>
        <v>0</v>
      </c>
      <c r="CM13" s="564">
        <f>IF(CL13=0,0,1+COUNTIF(CM$6:CM12,"&gt;0"))</f>
        <v>0</v>
      </c>
      <c r="CN13" s="564">
        <f t="shared" si="21"/>
        <v>0</v>
      </c>
      <c r="CO13" s="564">
        <f>IF(CN13=0,0,1+COUNTIF(CO$6:CO12,"&gt;0"))</f>
        <v>0</v>
      </c>
      <c r="CP13" s="564">
        <f t="shared" si="22"/>
        <v>0</v>
      </c>
      <c r="CQ13" s="564">
        <f>IF(CP13=0,0,1+COUNTIF(CQ$6:CQ12,"&gt;0"))</f>
        <v>0</v>
      </c>
      <c r="CR13" s="564">
        <f t="shared" si="23"/>
        <v>0</v>
      </c>
      <c r="CS13" s="564">
        <f>IF(CR13=0,0,1+COUNTIF(CS$6:CS12,"&gt;0"))</f>
        <v>0</v>
      </c>
      <c r="CT13" s="564">
        <f t="shared" si="24"/>
        <v>0</v>
      </c>
      <c r="CU13" s="564">
        <f>IF(CT13=0,0,1+COUNTIF(CU$6:CU12,"&gt;0"))</f>
        <v>0</v>
      </c>
      <c r="CV13" s="564">
        <f t="shared" si="25"/>
        <v>0</v>
      </c>
      <c r="CW13" s="564">
        <f>IF(CV13=0,0,1+COUNTIF(CW$6:CW12,"&gt;0"))</f>
        <v>0</v>
      </c>
      <c r="CX13" s="564">
        <f t="shared" si="26"/>
        <v>0</v>
      </c>
      <c r="CY13" s="564">
        <f>IF(CX13=0,0,1+COUNTIF(CY$6:CY12,"&gt;0"))</f>
        <v>0</v>
      </c>
      <c r="CZ13" s="564">
        <f t="shared" si="27"/>
        <v>0</v>
      </c>
      <c r="DA13" s="564">
        <f>IF(CZ13=0,0,1+COUNTIF(DA$6:DA12,"&gt;0"))</f>
        <v>0</v>
      </c>
      <c r="DB13" s="564">
        <f t="shared" si="28"/>
        <v>0</v>
      </c>
      <c r="DC13" s="564">
        <f>IF(DB13=0,0,1+COUNTIF(DC$6:DC12,"&gt;0"))</f>
        <v>0</v>
      </c>
      <c r="DD13" s="565"/>
      <c r="DE13" s="565"/>
      <c r="DF13" s="565"/>
    </row>
    <row r="14" spans="1:110" x14ac:dyDescent="0.25">
      <c r="A14" s="120"/>
      <c r="B14" s="5">
        <v>9</v>
      </c>
      <c r="C14" s="1061" t="str">
        <f t="shared" si="0"/>
        <v/>
      </c>
      <c r="D14" s="1061"/>
      <c r="E14" s="1061"/>
      <c r="F14" s="1061"/>
      <c r="G14" s="1061"/>
      <c r="H14" s="565"/>
      <c r="I14" s="565"/>
      <c r="J14" s="565" t="str">
        <f t="shared" si="11"/>
        <v/>
      </c>
      <c r="K14" s="5">
        <v>9</v>
      </c>
      <c r="L14" s="1061" t="str">
        <f t="shared" si="1"/>
        <v/>
      </c>
      <c r="M14" s="1061"/>
      <c r="N14" s="1061"/>
      <c r="O14" s="1061"/>
      <c r="P14" s="1061"/>
      <c r="Q14" s="565"/>
      <c r="R14" s="565"/>
      <c r="S14" s="565" t="str">
        <f t="shared" si="12"/>
        <v/>
      </c>
      <c r="T14" s="5">
        <v>9</v>
      </c>
      <c r="U14" s="1061" t="str">
        <f t="shared" si="2"/>
        <v/>
      </c>
      <c r="V14" s="1061"/>
      <c r="W14" s="1061"/>
      <c r="X14" s="1061"/>
      <c r="Y14" s="1061"/>
      <c r="Z14" s="565" t="str">
        <f t="shared" si="3"/>
        <v/>
      </c>
      <c r="AA14" s="565"/>
      <c r="AB14" s="565" t="str">
        <f t="shared" si="13"/>
        <v/>
      </c>
      <c r="AC14" s="5">
        <v>9</v>
      </c>
      <c r="AD14" s="1061" t="str">
        <f t="shared" si="4"/>
        <v/>
      </c>
      <c r="AE14" s="1061"/>
      <c r="AF14" s="1061"/>
      <c r="AG14" s="1061"/>
      <c r="AH14" s="1061"/>
      <c r="AI14" s="565" t="s">
        <v>3034</v>
      </c>
      <c r="AJ14" s="565"/>
      <c r="AK14" s="565" t="str">
        <f t="shared" si="14"/>
        <v/>
      </c>
      <c r="AL14" s="5">
        <v>9</v>
      </c>
      <c r="AM14" s="1061" t="str">
        <f t="shared" si="5"/>
        <v/>
      </c>
      <c r="AN14" s="1061"/>
      <c r="AO14" s="1061"/>
      <c r="AP14" s="1061"/>
      <c r="AQ14" s="1061"/>
      <c r="AR14" s="565"/>
      <c r="AS14" s="565"/>
      <c r="AT14" s="565" t="str">
        <f t="shared" si="15"/>
        <v/>
      </c>
      <c r="AU14" s="5">
        <v>9</v>
      </c>
      <c r="AV14" s="1061" t="str">
        <f t="shared" si="6"/>
        <v/>
      </c>
      <c r="AW14" s="1061"/>
      <c r="AX14" s="1061"/>
      <c r="AY14" s="1061"/>
      <c r="AZ14" s="1061"/>
      <c r="BA14" s="565"/>
      <c r="BB14" s="565"/>
      <c r="BC14" s="565" t="str">
        <f t="shared" si="16"/>
        <v/>
      </c>
      <c r="BD14" s="5">
        <v>9</v>
      </c>
      <c r="BE14" s="1061" t="str">
        <f t="shared" si="7"/>
        <v/>
      </c>
      <c r="BF14" s="1061"/>
      <c r="BG14" s="1061"/>
      <c r="BH14" s="1061"/>
      <c r="BI14" s="1061"/>
      <c r="BJ14" s="565"/>
      <c r="BK14" s="565"/>
      <c r="BL14" s="565" t="str">
        <f t="shared" si="17"/>
        <v/>
      </c>
      <c r="BM14" s="5">
        <v>9</v>
      </c>
      <c r="BN14" s="1061" t="str">
        <f t="shared" si="8"/>
        <v/>
      </c>
      <c r="BO14" s="1061"/>
      <c r="BP14" s="1061"/>
      <c r="BQ14" s="1061"/>
      <c r="BR14" s="1061"/>
      <c r="BS14" s="565"/>
      <c r="BT14" s="565"/>
      <c r="BU14" s="565" t="str">
        <f t="shared" si="18"/>
        <v/>
      </c>
      <c r="BV14" s="5">
        <v>9</v>
      </c>
      <c r="BW14" s="1061" t="str">
        <f t="shared" si="9"/>
        <v/>
      </c>
      <c r="BX14" s="1061"/>
      <c r="BY14" s="1061"/>
      <c r="BZ14" s="1061"/>
      <c r="CA14" s="1061"/>
      <c r="CB14" s="565"/>
      <c r="CC14" s="565" t="str">
        <f t="shared" si="19"/>
        <v/>
      </c>
      <c r="CD14" s="565"/>
      <c r="CE14" s="565"/>
      <c r="CF14" s="565">
        <v>9</v>
      </c>
      <c r="CG14" s="566" t="str">
        <f t="shared" si="10"/>
        <v/>
      </c>
      <c r="CH14" s="565"/>
      <c r="CI14" s="564">
        <v>9</v>
      </c>
      <c r="CJ14" s="564">
        <f>Character_Creation!J388</f>
        <v>0</v>
      </c>
      <c r="CK14" s="564" t="str">
        <f>IFERROR(INDEX(T08_Spells!$C$3:$C$1000,MATCH($CJ14,T08_Spells!$B$3:$B$1000,0),1),"")</f>
        <v/>
      </c>
      <c r="CL14" s="564">
        <f t="shared" si="20"/>
        <v>0</v>
      </c>
      <c r="CM14" s="564">
        <f>IF(CL14=0,0,1+COUNTIF(CM$6:CM13,"&gt;0"))</f>
        <v>0</v>
      </c>
      <c r="CN14" s="564">
        <f t="shared" si="21"/>
        <v>0</v>
      </c>
      <c r="CO14" s="564">
        <f>IF(CN14=0,0,1+COUNTIF(CO$6:CO13,"&gt;0"))</f>
        <v>0</v>
      </c>
      <c r="CP14" s="564">
        <f t="shared" si="22"/>
        <v>0</v>
      </c>
      <c r="CQ14" s="564">
        <f>IF(CP14=0,0,1+COUNTIF(CQ$6:CQ13,"&gt;0"))</f>
        <v>0</v>
      </c>
      <c r="CR14" s="564">
        <f t="shared" si="23"/>
        <v>0</v>
      </c>
      <c r="CS14" s="564">
        <f>IF(CR14=0,0,1+COUNTIF(CS$6:CS13,"&gt;0"))</f>
        <v>0</v>
      </c>
      <c r="CT14" s="564">
        <f t="shared" si="24"/>
        <v>0</v>
      </c>
      <c r="CU14" s="564">
        <f>IF(CT14=0,0,1+COUNTIF(CU$6:CU13,"&gt;0"))</f>
        <v>0</v>
      </c>
      <c r="CV14" s="564">
        <f t="shared" si="25"/>
        <v>0</v>
      </c>
      <c r="CW14" s="564">
        <f>IF(CV14=0,0,1+COUNTIF(CW$6:CW13,"&gt;0"))</f>
        <v>0</v>
      </c>
      <c r="CX14" s="564">
        <f t="shared" si="26"/>
        <v>0</v>
      </c>
      <c r="CY14" s="564">
        <f>IF(CX14=0,0,1+COUNTIF(CY$6:CY13,"&gt;0"))</f>
        <v>0</v>
      </c>
      <c r="CZ14" s="564">
        <f t="shared" si="27"/>
        <v>0</v>
      </c>
      <c r="DA14" s="564">
        <f>IF(CZ14=0,0,1+COUNTIF(DA$6:DA13,"&gt;0"))</f>
        <v>0</v>
      </c>
      <c r="DB14" s="564">
        <f t="shared" si="28"/>
        <v>0</v>
      </c>
      <c r="DC14" s="564">
        <f>IF(DB14=0,0,1+COUNTIF(DC$6:DC13,"&gt;0"))</f>
        <v>0</v>
      </c>
      <c r="DD14" s="565"/>
      <c r="DE14" s="565"/>
      <c r="DF14" s="565"/>
    </row>
    <row r="15" spans="1:110" x14ac:dyDescent="0.25">
      <c r="A15" s="120"/>
      <c r="B15" s="5">
        <v>10</v>
      </c>
      <c r="C15" s="1061" t="str">
        <f t="shared" si="0"/>
        <v/>
      </c>
      <c r="D15" s="1061"/>
      <c r="E15" s="1061"/>
      <c r="F15" s="1061"/>
      <c r="G15" s="1061"/>
      <c r="H15" s="565"/>
      <c r="I15" s="565"/>
      <c r="J15" s="565" t="str">
        <f t="shared" si="11"/>
        <v/>
      </c>
      <c r="K15" s="5">
        <v>10</v>
      </c>
      <c r="L15" s="1061" t="str">
        <f t="shared" si="1"/>
        <v/>
      </c>
      <c r="M15" s="1061"/>
      <c r="N15" s="1061"/>
      <c r="O15" s="1061"/>
      <c r="P15" s="1061"/>
      <c r="Q15" s="565"/>
      <c r="R15" s="565"/>
      <c r="S15" s="565" t="str">
        <f t="shared" si="12"/>
        <v/>
      </c>
      <c r="T15" s="5">
        <v>10</v>
      </c>
      <c r="U15" s="1061" t="str">
        <f t="shared" si="2"/>
        <v/>
      </c>
      <c r="V15" s="1061"/>
      <c r="W15" s="1061"/>
      <c r="X15" s="1061"/>
      <c r="Y15" s="1061"/>
      <c r="Z15" s="565" t="str">
        <f t="shared" si="3"/>
        <v/>
      </c>
      <c r="AA15" s="565"/>
      <c r="AB15" s="565" t="str">
        <f t="shared" si="13"/>
        <v/>
      </c>
      <c r="AC15" s="5">
        <v>10</v>
      </c>
      <c r="AD15" s="1061" t="str">
        <f t="shared" si="4"/>
        <v/>
      </c>
      <c r="AE15" s="1061"/>
      <c r="AF15" s="1061"/>
      <c r="AG15" s="1061"/>
      <c r="AH15" s="1061"/>
      <c r="AI15" s="565" t="s">
        <v>3034</v>
      </c>
      <c r="AJ15" s="565"/>
      <c r="AK15" s="565" t="str">
        <f t="shared" si="14"/>
        <v/>
      </c>
      <c r="AL15" s="5">
        <v>10</v>
      </c>
      <c r="AM15" s="1061" t="str">
        <f t="shared" si="5"/>
        <v/>
      </c>
      <c r="AN15" s="1061"/>
      <c r="AO15" s="1061"/>
      <c r="AP15" s="1061"/>
      <c r="AQ15" s="1061"/>
      <c r="AR15" s="565"/>
      <c r="AS15" s="565"/>
      <c r="AT15" s="565" t="str">
        <f t="shared" si="15"/>
        <v/>
      </c>
      <c r="AU15" s="5">
        <v>10</v>
      </c>
      <c r="AV15" s="1061" t="str">
        <f t="shared" si="6"/>
        <v/>
      </c>
      <c r="AW15" s="1061"/>
      <c r="AX15" s="1061"/>
      <c r="AY15" s="1061"/>
      <c r="AZ15" s="1061"/>
      <c r="BA15" s="565"/>
      <c r="BB15" s="565"/>
      <c r="BC15" s="565" t="str">
        <f t="shared" si="16"/>
        <v/>
      </c>
      <c r="BD15" s="5">
        <v>10</v>
      </c>
      <c r="BE15" s="1061" t="str">
        <f t="shared" si="7"/>
        <v/>
      </c>
      <c r="BF15" s="1061"/>
      <c r="BG15" s="1061"/>
      <c r="BH15" s="1061"/>
      <c r="BI15" s="1061"/>
      <c r="BJ15" s="565"/>
      <c r="BK15" s="565"/>
      <c r="BL15" s="565" t="str">
        <f t="shared" si="17"/>
        <v/>
      </c>
      <c r="BM15" s="5">
        <v>10</v>
      </c>
      <c r="BN15" s="1061" t="str">
        <f t="shared" si="8"/>
        <v/>
      </c>
      <c r="BO15" s="1061"/>
      <c r="BP15" s="1061"/>
      <c r="BQ15" s="1061"/>
      <c r="BR15" s="1061"/>
      <c r="BS15" s="565"/>
      <c r="BT15" s="565"/>
      <c r="BU15" s="565" t="str">
        <f t="shared" si="18"/>
        <v/>
      </c>
      <c r="BV15" s="5">
        <v>10</v>
      </c>
      <c r="BW15" s="1061" t="str">
        <f t="shared" si="9"/>
        <v/>
      </c>
      <c r="BX15" s="1061"/>
      <c r="BY15" s="1061"/>
      <c r="BZ15" s="1061"/>
      <c r="CA15" s="1061"/>
      <c r="CB15" s="565"/>
      <c r="CC15" s="565" t="str">
        <f t="shared" si="19"/>
        <v/>
      </c>
      <c r="CD15" s="565"/>
      <c r="CE15" s="565"/>
      <c r="CF15" s="565"/>
      <c r="CG15" s="565"/>
      <c r="CH15" s="565"/>
      <c r="CI15" s="564">
        <v>10</v>
      </c>
      <c r="CJ15" s="564">
        <f>Character_Creation!J389</f>
        <v>0</v>
      </c>
      <c r="CK15" s="564" t="str">
        <f>IFERROR(INDEX(T08_Spells!$C$3:$C$1000,MATCH($CJ15,T08_Spells!$B$3:$B$1000,0),1),"")</f>
        <v/>
      </c>
      <c r="CL15" s="564">
        <f t="shared" si="20"/>
        <v>0</v>
      </c>
      <c r="CM15" s="564">
        <f>IF(CL15=0,0,1+COUNTIF(CM$6:CM14,"&gt;0"))</f>
        <v>0</v>
      </c>
      <c r="CN15" s="564">
        <f t="shared" si="21"/>
        <v>0</v>
      </c>
      <c r="CO15" s="564">
        <f>IF(CN15=0,0,1+COUNTIF(CO$6:CO14,"&gt;0"))</f>
        <v>0</v>
      </c>
      <c r="CP15" s="564">
        <f t="shared" si="22"/>
        <v>0</v>
      </c>
      <c r="CQ15" s="564">
        <f>IF(CP15=0,0,1+COUNTIF(CQ$6:CQ14,"&gt;0"))</f>
        <v>0</v>
      </c>
      <c r="CR15" s="564">
        <f t="shared" si="23"/>
        <v>0</v>
      </c>
      <c r="CS15" s="564">
        <f>IF(CR15=0,0,1+COUNTIF(CS$6:CS14,"&gt;0"))</f>
        <v>0</v>
      </c>
      <c r="CT15" s="564">
        <f t="shared" si="24"/>
        <v>0</v>
      </c>
      <c r="CU15" s="564">
        <f>IF(CT15=0,0,1+COUNTIF(CU$6:CU14,"&gt;0"))</f>
        <v>0</v>
      </c>
      <c r="CV15" s="564">
        <f t="shared" si="25"/>
        <v>0</v>
      </c>
      <c r="CW15" s="564">
        <f>IF(CV15=0,0,1+COUNTIF(CW$6:CW14,"&gt;0"))</f>
        <v>0</v>
      </c>
      <c r="CX15" s="564">
        <f t="shared" si="26"/>
        <v>0</v>
      </c>
      <c r="CY15" s="564">
        <f>IF(CX15=0,0,1+COUNTIF(CY$6:CY14,"&gt;0"))</f>
        <v>0</v>
      </c>
      <c r="CZ15" s="564">
        <f t="shared" si="27"/>
        <v>0</v>
      </c>
      <c r="DA15" s="564">
        <f>IF(CZ15=0,0,1+COUNTIF(DA$6:DA14,"&gt;0"))</f>
        <v>0</v>
      </c>
      <c r="DB15" s="564">
        <f t="shared" si="28"/>
        <v>0</v>
      </c>
      <c r="DC15" s="564">
        <f>IF(DB15=0,0,1+COUNTIF(DC$6:DC14,"&gt;0"))</f>
        <v>0</v>
      </c>
      <c r="DD15" s="565"/>
      <c r="DE15" s="565"/>
      <c r="DF15" s="565"/>
    </row>
    <row r="16" spans="1:110" x14ac:dyDescent="0.25">
      <c r="A16" s="120"/>
      <c r="B16" s="5">
        <v>11</v>
      </c>
      <c r="C16" s="1061" t="str">
        <f t="shared" si="0"/>
        <v/>
      </c>
      <c r="D16" s="1061"/>
      <c r="E16" s="1061"/>
      <c r="F16" s="1061"/>
      <c r="G16" s="1061"/>
      <c r="H16" s="565"/>
      <c r="I16" s="565"/>
      <c r="J16" s="565" t="str">
        <f t="shared" si="11"/>
        <v/>
      </c>
      <c r="K16" s="5">
        <v>11</v>
      </c>
      <c r="L16" s="1061" t="str">
        <f t="shared" si="1"/>
        <v/>
      </c>
      <c r="M16" s="1061"/>
      <c r="N16" s="1061"/>
      <c r="O16" s="1061"/>
      <c r="P16" s="1061"/>
      <c r="Q16" s="565"/>
      <c r="R16" s="565"/>
      <c r="S16" s="565" t="str">
        <f t="shared" si="12"/>
        <v/>
      </c>
      <c r="T16" s="5">
        <v>11</v>
      </c>
      <c r="U16" s="1061" t="str">
        <f t="shared" si="2"/>
        <v/>
      </c>
      <c r="V16" s="1061"/>
      <c r="W16" s="1061"/>
      <c r="X16" s="1061"/>
      <c r="Y16" s="1061"/>
      <c r="Z16" s="565" t="str">
        <f t="shared" si="3"/>
        <v/>
      </c>
      <c r="AA16" s="565"/>
      <c r="AB16" s="565" t="str">
        <f t="shared" si="13"/>
        <v/>
      </c>
      <c r="AC16" s="5">
        <v>11</v>
      </c>
      <c r="AD16" s="1061" t="str">
        <f t="shared" si="4"/>
        <v/>
      </c>
      <c r="AE16" s="1061"/>
      <c r="AF16" s="1061"/>
      <c r="AG16" s="1061"/>
      <c r="AH16" s="1061"/>
      <c r="AI16" s="565" t="s">
        <v>3034</v>
      </c>
      <c r="AJ16" s="565"/>
      <c r="AK16" s="565" t="str">
        <f t="shared" si="14"/>
        <v/>
      </c>
      <c r="AL16" s="5">
        <v>11</v>
      </c>
      <c r="AM16" s="1061" t="str">
        <f t="shared" si="5"/>
        <v/>
      </c>
      <c r="AN16" s="1061"/>
      <c r="AO16" s="1061"/>
      <c r="AP16" s="1061"/>
      <c r="AQ16" s="1061"/>
      <c r="AR16" s="565"/>
      <c r="AS16" s="565"/>
      <c r="AT16" s="565" t="str">
        <f t="shared" si="15"/>
        <v/>
      </c>
      <c r="AU16" s="5">
        <v>11</v>
      </c>
      <c r="AV16" s="1061" t="str">
        <f t="shared" si="6"/>
        <v/>
      </c>
      <c r="AW16" s="1061"/>
      <c r="AX16" s="1061"/>
      <c r="AY16" s="1061"/>
      <c r="AZ16" s="1061"/>
      <c r="BA16" s="565"/>
      <c r="BB16" s="565"/>
      <c r="BC16" s="565" t="str">
        <f t="shared" si="16"/>
        <v/>
      </c>
      <c r="BD16" s="5">
        <v>11</v>
      </c>
      <c r="BE16" s="1061" t="str">
        <f t="shared" si="7"/>
        <v/>
      </c>
      <c r="BF16" s="1061"/>
      <c r="BG16" s="1061"/>
      <c r="BH16" s="1061"/>
      <c r="BI16" s="1061"/>
      <c r="BJ16" s="565"/>
      <c r="BK16" s="565"/>
      <c r="BL16" s="565" t="str">
        <f t="shared" si="17"/>
        <v/>
      </c>
      <c r="BM16" s="5">
        <v>11</v>
      </c>
      <c r="BN16" s="1061" t="str">
        <f t="shared" si="8"/>
        <v/>
      </c>
      <c r="BO16" s="1061"/>
      <c r="BP16" s="1061"/>
      <c r="BQ16" s="1061"/>
      <c r="BR16" s="1061"/>
      <c r="BS16" s="565"/>
      <c r="BT16" s="565"/>
      <c r="BU16" s="565" t="str">
        <f t="shared" si="18"/>
        <v/>
      </c>
      <c r="BV16" s="5">
        <v>11</v>
      </c>
      <c r="BW16" s="1061" t="str">
        <f t="shared" si="9"/>
        <v/>
      </c>
      <c r="BX16" s="1061"/>
      <c r="BY16" s="1061"/>
      <c r="BZ16" s="1061"/>
      <c r="CA16" s="1061"/>
      <c r="CB16" s="565"/>
      <c r="CC16" s="565" t="str">
        <f t="shared" si="19"/>
        <v/>
      </c>
      <c r="CD16" s="565"/>
      <c r="CE16" s="565"/>
      <c r="CF16" s="565"/>
      <c r="CG16" s="565"/>
      <c r="CH16" s="565"/>
      <c r="CI16" s="564">
        <v>11</v>
      </c>
      <c r="CJ16" s="564">
        <f>Character_Creation!J390</f>
        <v>0</v>
      </c>
      <c r="CK16" s="564" t="str">
        <f>IFERROR(INDEX(T08_Spells!$C$3:$C$1000,MATCH($CJ16,T08_Spells!$B$3:$B$1000,0),1),"")</f>
        <v/>
      </c>
      <c r="CL16" s="564">
        <f t="shared" si="20"/>
        <v>0</v>
      </c>
      <c r="CM16" s="564">
        <f>IF(CL16=0,0,1+COUNTIF(CM$6:CM15,"&gt;0"))</f>
        <v>0</v>
      </c>
      <c r="CN16" s="564">
        <f t="shared" si="21"/>
        <v>0</v>
      </c>
      <c r="CO16" s="564">
        <f>IF(CN16=0,0,1+COUNTIF(CO$6:CO15,"&gt;0"))</f>
        <v>0</v>
      </c>
      <c r="CP16" s="564">
        <f t="shared" si="22"/>
        <v>0</v>
      </c>
      <c r="CQ16" s="564">
        <f>IF(CP16=0,0,1+COUNTIF(CQ$6:CQ15,"&gt;0"))</f>
        <v>0</v>
      </c>
      <c r="CR16" s="564">
        <f t="shared" si="23"/>
        <v>0</v>
      </c>
      <c r="CS16" s="564">
        <f>IF(CR16=0,0,1+COUNTIF(CS$6:CS15,"&gt;0"))</f>
        <v>0</v>
      </c>
      <c r="CT16" s="564">
        <f t="shared" si="24"/>
        <v>0</v>
      </c>
      <c r="CU16" s="564">
        <f>IF(CT16=0,0,1+COUNTIF(CU$6:CU15,"&gt;0"))</f>
        <v>0</v>
      </c>
      <c r="CV16" s="564">
        <f t="shared" si="25"/>
        <v>0</v>
      </c>
      <c r="CW16" s="564">
        <f>IF(CV16=0,0,1+COUNTIF(CW$6:CW15,"&gt;0"))</f>
        <v>0</v>
      </c>
      <c r="CX16" s="564">
        <f t="shared" si="26"/>
        <v>0</v>
      </c>
      <c r="CY16" s="564">
        <f>IF(CX16=0,0,1+COUNTIF(CY$6:CY15,"&gt;0"))</f>
        <v>0</v>
      </c>
      <c r="CZ16" s="564">
        <f t="shared" si="27"/>
        <v>0</v>
      </c>
      <c r="DA16" s="564">
        <f>IF(CZ16=0,0,1+COUNTIF(DA$6:DA15,"&gt;0"))</f>
        <v>0</v>
      </c>
      <c r="DB16" s="564">
        <f t="shared" si="28"/>
        <v>0</v>
      </c>
      <c r="DC16" s="564">
        <f>IF(DB16=0,0,1+COUNTIF(DC$6:DC15,"&gt;0"))</f>
        <v>0</v>
      </c>
      <c r="DD16" s="565"/>
      <c r="DE16" s="565"/>
      <c r="DF16" s="565"/>
    </row>
    <row r="17" spans="1:110" x14ac:dyDescent="0.25">
      <c r="A17" s="120"/>
      <c r="B17" s="5">
        <v>12</v>
      </c>
      <c r="C17" s="1061" t="str">
        <f t="shared" si="0"/>
        <v/>
      </c>
      <c r="D17" s="1061"/>
      <c r="E17" s="1061"/>
      <c r="F17" s="1061"/>
      <c r="G17" s="1061"/>
      <c r="H17" s="565"/>
      <c r="I17" s="565"/>
      <c r="J17" s="565" t="str">
        <f t="shared" si="11"/>
        <v/>
      </c>
      <c r="K17" s="5">
        <v>12</v>
      </c>
      <c r="L17" s="1061" t="str">
        <f t="shared" si="1"/>
        <v/>
      </c>
      <c r="M17" s="1061"/>
      <c r="N17" s="1061"/>
      <c r="O17" s="1061"/>
      <c r="P17" s="1061"/>
      <c r="Q17" s="565"/>
      <c r="R17" s="565"/>
      <c r="S17" s="565" t="str">
        <f t="shared" si="12"/>
        <v/>
      </c>
      <c r="T17" s="5">
        <v>12</v>
      </c>
      <c r="U17" s="1061" t="str">
        <f t="shared" si="2"/>
        <v/>
      </c>
      <c r="V17" s="1061"/>
      <c r="W17" s="1061"/>
      <c r="X17" s="1061"/>
      <c r="Y17" s="1061"/>
      <c r="Z17" s="565" t="str">
        <f t="shared" si="3"/>
        <v/>
      </c>
      <c r="AA17" s="565"/>
      <c r="AB17" s="565" t="str">
        <f t="shared" si="13"/>
        <v/>
      </c>
      <c r="AC17" s="5">
        <v>12</v>
      </c>
      <c r="AD17" s="1061" t="str">
        <f t="shared" si="4"/>
        <v/>
      </c>
      <c r="AE17" s="1061"/>
      <c r="AF17" s="1061"/>
      <c r="AG17" s="1061"/>
      <c r="AH17" s="1061"/>
      <c r="AI17" s="565" t="s">
        <v>3034</v>
      </c>
      <c r="AJ17" s="565"/>
      <c r="AK17" s="565" t="str">
        <f t="shared" si="14"/>
        <v/>
      </c>
      <c r="AL17" s="5">
        <v>12</v>
      </c>
      <c r="AM17" s="1061" t="str">
        <f t="shared" si="5"/>
        <v/>
      </c>
      <c r="AN17" s="1061"/>
      <c r="AO17" s="1061"/>
      <c r="AP17" s="1061"/>
      <c r="AQ17" s="1061"/>
      <c r="AR17" s="565"/>
      <c r="AS17" s="565"/>
      <c r="AT17" s="565" t="str">
        <f t="shared" si="15"/>
        <v/>
      </c>
      <c r="AU17" s="5">
        <v>12</v>
      </c>
      <c r="AV17" s="1061" t="str">
        <f t="shared" si="6"/>
        <v/>
      </c>
      <c r="AW17" s="1061"/>
      <c r="AX17" s="1061"/>
      <c r="AY17" s="1061"/>
      <c r="AZ17" s="1061"/>
      <c r="BA17" s="565"/>
      <c r="BB17" s="565"/>
      <c r="BC17" s="565" t="str">
        <f t="shared" si="16"/>
        <v/>
      </c>
      <c r="BD17" s="5">
        <v>12</v>
      </c>
      <c r="BE17" s="1061" t="str">
        <f t="shared" si="7"/>
        <v/>
      </c>
      <c r="BF17" s="1061"/>
      <c r="BG17" s="1061"/>
      <c r="BH17" s="1061"/>
      <c r="BI17" s="1061"/>
      <c r="BJ17" s="565"/>
      <c r="BK17" s="565"/>
      <c r="BL17" s="565" t="str">
        <f t="shared" si="17"/>
        <v/>
      </c>
      <c r="BM17" s="5">
        <v>12</v>
      </c>
      <c r="BN17" s="1061" t="str">
        <f t="shared" si="8"/>
        <v/>
      </c>
      <c r="BO17" s="1061"/>
      <c r="BP17" s="1061"/>
      <c r="BQ17" s="1061"/>
      <c r="BR17" s="1061"/>
      <c r="BS17" s="565"/>
      <c r="BT17" s="565"/>
      <c r="BU17" s="565" t="str">
        <f t="shared" si="18"/>
        <v/>
      </c>
      <c r="BV17" s="5">
        <v>12</v>
      </c>
      <c r="BW17" s="1061" t="str">
        <f t="shared" si="9"/>
        <v/>
      </c>
      <c r="BX17" s="1061"/>
      <c r="BY17" s="1061"/>
      <c r="BZ17" s="1061"/>
      <c r="CA17" s="1061"/>
      <c r="CB17" s="565"/>
      <c r="CC17" s="565" t="str">
        <f t="shared" si="19"/>
        <v/>
      </c>
      <c r="CD17" s="565"/>
      <c r="CE17" s="565"/>
      <c r="CF17" s="565"/>
      <c r="CG17" s="565"/>
      <c r="CH17" s="565"/>
      <c r="CI17" s="564">
        <v>12</v>
      </c>
      <c r="CJ17" s="564">
        <f>Character_Creation!J391</f>
        <v>0</v>
      </c>
      <c r="CK17" s="564" t="str">
        <f>IFERROR(INDEX(T08_Spells!$C$3:$C$1000,MATCH($CJ17,T08_Spells!$B$3:$B$1000,0),1),"")</f>
        <v/>
      </c>
      <c r="CL17" s="564">
        <f t="shared" si="20"/>
        <v>0</v>
      </c>
      <c r="CM17" s="564">
        <f>IF(CL17=0,0,1+COUNTIF(CM$6:CM16,"&gt;0"))</f>
        <v>0</v>
      </c>
      <c r="CN17" s="564">
        <f t="shared" si="21"/>
        <v>0</v>
      </c>
      <c r="CO17" s="564">
        <f>IF(CN17=0,0,1+COUNTIF(CO$6:CO16,"&gt;0"))</f>
        <v>0</v>
      </c>
      <c r="CP17" s="564">
        <f t="shared" si="22"/>
        <v>0</v>
      </c>
      <c r="CQ17" s="564">
        <f>IF(CP17=0,0,1+COUNTIF(CQ$6:CQ16,"&gt;0"))</f>
        <v>0</v>
      </c>
      <c r="CR17" s="564">
        <f t="shared" si="23"/>
        <v>0</v>
      </c>
      <c r="CS17" s="564">
        <f>IF(CR17=0,0,1+COUNTIF(CS$6:CS16,"&gt;0"))</f>
        <v>0</v>
      </c>
      <c r="CT17" s="564">
        <f t="shared" si="24"/>
        <v>0</v>
      </c>
      <c r="CU17" s="564">
        <f>IF(CT17=0,0,1+COUNTIF(CU$6:CU16,"&gt;0"))</f>
        <v>0</v>
      </c>
      <c r="CV17" s="564">
        <f t="shared" si="25"/>
        <v>0</v>
      </c>
      <c r="CW17" s="564">
        <f>IF(CV17=0,0,1+COUNTIF(CW$6:CW16,"&gt;0"))</f>
        <v>0</v>
      </c>
      <c r="CX17" s="564">
        <f t="shared" si="26"/>
        <v>0</v>
      </c>
      <c r="CY17" s="564">
        <f>IF(CX17=0,0,1+COUNTIF(CY$6:CY16,"&gt;0"))</f>
        <v>0</v>
      </c>
      <c r="CZ17" s="564">
        <f t="shared" si="27"/>
        <v>0</v>
      </c>
      <c r="DA17" s="564">
        <f>IF(CZ17=0,0,1+COUNTIF(DA$6:DA16,"&gt;0"))</f>
        <v>0</v>
      </c>
      <c r="DB17" s="564">
        <f t="shared" si="28"/>
        <v>0</v>
      </c>
      <c r="DC17" s="564">
        <f>IF(DB17=0,0,1+COUNTIF(DC$6:DC16,"&gt;0"))</f>
        <v>0</v>
      </c>
      <c r="DD17" s="565"/>
      <c r="DE17" s="565"/>
      <c r="DF17" s="565"/>
    </row>
    <row r="18" spans="1:110" x14ac:dyDescent="0.25">
      <c r="A18" s="120"/>
      <c r="B18" s="5">
        <v>13</v>
      </c>
      <c r="C18" s="1061" t="str">
        <f t="shared" si="0"/>
        <v/>
      </c>
      <c r="D18" s="1061"/>
      <c r="E18" s="1061"/>
      <c r="F18" s="1061"/>
      <c r="G18" s="1061"/>
      <c r="H18" s="565"/>
      <c r="I18" s="565"/>
      <c r="J18" s="565" t="str">
        <f t="shared" si="11"/>
        <v/>
      </c>
      <c r="K18" s="5">
        <v>13</v>
      </c>
      <c r="L18" s="1061" t="str">
        <f t="shared" si="1"/>
        <v/>
      </c>
      <c r="M18" s="1061"/>
      <c r="N18" s="1061"/>
      <c r="O18" s="1061"/>
      <c r="P18" s="1061"/>
      <c r="Q18" s="565"/>
      <c r="R18" s="565"/>
      <c r="S18" s="565" t="str">
        <f t="shared" si="12"/>
        <v/>
      </c>
      <c r="T18" s="5">
        <v>13</v>
      </c>
      <c r="U18" s="1061" t="str">
        <f t="shared" si="2"/>
        <v/>
      </c>
      <c r="V18" s="1061"/>
      <c r="W18" s="1061"/>
      <c r="X18" s="1061"/>
      <c r="Y18" s="1061"/>
      <c r="Z18" s="565" t="str">
        <f t="shared" si="3"/>
        <v/>
      </c>
      <c r="AA18" s="565"/>
      <c r="AB18" s="565" t="str">
        <f t="shared" si="13"/>
        <v/>
      </c>
      <c r="AC18" s="5">
        <v>13</v>
      </c>
      <c r="AD18" s="1061" t="str">
        <f t="shared" si="4"/>
        <v/>
      </c>
      <c r="AE18" s="1061"/>
      <c r="AF18" s="1061"/>
      <c r="AG18" s="1061"/>
      <c r="AH18" s="1061"/>
      <c r="AI18" s="565" t="s">
        <v>3034</v>
      </c>
      <c r="AJ18" s="565"/>
      <c r="AK18" s="565" t="str">
        <f t="shared" si="14"/>
        <v/>
      </c>
      <c r="AL18" s="5">
        <v>13</v>
      </c>
      <c r="AM18" s="1061" t="str">
        <f t="shared" si="5"/>
        <v/>
      </c>
      <c r="AN18" s="1061"/>
      <c r="AO18" s="1061"/>
      <c r="AP18" s="1061"/>
      <c r="AQ18" s="1061"/>
      <c r="AR18" s="565"/>
      <c r="AS18" s="565"/>
      <c r="AT18" s="565" t="str">
        <f t="shared" si="15"/>
        <v/>
      </c>
      <c r="AU18" s="5">
        <v>13</v>
      </c>
      <c r="AV18" s="1061" t="str">
        <f t="shared" si="6"/>
        <v/>
      </c>
      <c r="AW18" s="1061"/>
      <c r="AX18" s="1061"/>
      <c r="AY18" s="1061"/>
      <c r="AZ18" s="1061"/>
      <c r="BA18" s="565"/>
      <c r="BB18" s="565"/>
      <c r="BC18" s="565" t="str">
        <f t="shared" si="16"/>
        <v/>
      </c>
      <c r="BD18" s="5">
        <v>13</v>
      </c>
      <c r="BE18" s="1061" t="str">
        <f t="shared" si="7"/>
        <v/>
      </c>
      <c r="BF18" s="1061"/>
      <c r="BG18" s="1061"/>
      <c r="BH18" s="1061"/>
      <c r="BI18" s="1061"/>
      <c r="BJ18" s="565"/>
      <c r="BK18" s="565"/>
      <c r="BL18" s="565" t="str">
        <f t="shared" si="17"/>
        <v/>
      </c>
      <c r="BM18" s="5">
        <v>13</v>
      </c>
      <c r="BN18" s="1061" t="str">
        <f t="shared" si="8"/>
        <v/>
      </c>
      <c r="BO18" s="1061"/>
      <c r="BP18" s="1061"/>
      <c r="BQ18" s="1061"/>
      <c r="BR18" s="1061"/>
      <c r="BS18" s="565"/>
      <c r="BT18" s="565"/>
      <c r="BU18" s="565" t="str">
        <f t="shared" si="18"/>
        <v/>
      </c>
      <c r="BV18" s="5">
        <v>13</v>
      </c>
      <c r="BW18" s="1061" t="str">
        <f t="shared" si="9"/>
        <v/>
      </c>
      <c r="BX18" s="1061"/>
      <c r="BY18" s="1061"/>
      <c r="BZ18" s="1061"/>
      <c r="CA18" s="1061"/>
      <c r="CB18" s="565"/>
      <c r="CC18" s="565" t="str">
        <f t="shared" si="19"/>
        <v/>
      </c>
      <c r="CD18" s="565"/>
      <c r="CE18" s="565"/>
      <c r="CF18" s="565"/>
      <c r="CG18" s="565"/>
      <c r="CH18" s="565"/>
      <c r="CI18" s="564">
        <v>13</v>
      </c>
      <c r="CJ18" s="564">
        <f>Character_Creation!J392</f>
        <v>0</v>
      </c>
      <c r="CK18" s="564" t="str">
        <f>IFERROR(INDEX(T08_Spells!$C$3:$C$1000,MATCH($CJ18,T08_Spells!$B$3:$B$1000,0),1),"")</f>
        <v/>
      </c>
      <c r="CL18" s="564">
        <f t="shared" si="20"/>
        <v>0</v>
      </c>
      <c r="CM18" s="564">
        <f>IF(CL18=0,0,1+COUNTIF(CM$6:CM17,"&gt;0"))</f>
        <v>0</v>
      </c>
      <c r="CN18" s="564">
        <f t="shared" si="21"/>
        <v>0</v>
      </c>
      <c r="CO18" s="564">
        <f>IF(CN18=0,0,1+COUNTIF(CO$6:CO17,"&gt;0"))</f>
        <v>0</v>
      </c>
      <c r="CP18" s="564">
        <f t="shared" si="22"/>
        <v>0</v>
      </c>
      <c r="CQ18" s="564">
        <f>IF(CP18=0,0,1+COUNTIF(CQ$6:CQ17,"&gt;0"))</f>
        <v>0</v>
      </c>
      <c r="CR18" s="564">
        <f t="shared" si="23"/>
        <v>0</v>
      </c>
      <c r="CS18" s="564">
        <f>IF(CR18=0,0,1+COUNTIF(CS$6:CS17,"&gt;0"))</f>
        <v>0</v>
      </c>
      <c r="CT18" s="564">
        <f t="shared" si="24"/>
        <v>0</v>
      </c>
      <c r="CU18" s="564">
        <f>IF(CT18=0,0,1+COUNTIF(CU$6:CU17,"&gt;0"))</f>
        <v>0</v>
      </c>
      <c r="CV18" s="564">
        <f t="shared" si="25"/>
        <v>0</v>
      </c>
      <c r="CW18" s="564">
        <f>IF(CV18=0,0,1+COUNTIF(CW$6:CW17,"&gt;0"))</f>
        <v>0</v>
      </c>
      <c r="CX18" s="564">
        <f t="shared" si="26"/>
        <v>0</v>
      </c>
      <c r="CY18" s="564">
        <f>IF(CX18=0,0,1+COUNTIF(CY$6:CY17,"&gt;0"))</f>
        <v>0</v>
      </c>
      <c r="CZ18" s="564">
        <f t="shared" si="27"/>
        <v>0</v>
      </c>
      <c r="DA18" s="564">
        <f>IF(CZ18=0,0,1+COUNTIF(DA$6:DA17,"&gt;0"))</f>
        <v>0</v>
      </c>
      <c r="DB18" s="564">
        <f t="shared" si="28"/>
        <v>0</v>
      </c>
      <c r="DC18" s="564">
        <f>IF(DB18=0,0,1+COUNTIF(DC$6:DC17,"&gt;0"))</f>
        <v>0</v>
      </c>
      <c r="DD18" s="565"/>
      <c r="DE18" s="565"/>
      <c r="DF18" s="565"/>
    </row>
    <row r="19" spans="1:110" x14ac:dyDescent="0.25">
      <c r="A19" s="120"/>
      <c r="B19" s="5">
        <v>14</v>
      </c>
      <c r="C19" s="1061" t="str">
        <f t="shared" si="0"/>
        <v/>
      </c>
      <c r="D19" s="1061"/>
      <c r="E19" s="1061"/>
      <c r="F19" s="1061"/>
      <c r="G19" s="1061"/>
      <c r="H19" s="565"/>
      <c r="I19" s="565"/>
      <c r="J19" s="565" t="str">
        <f t="shared" si="11"/>
        <v/>
      </c>
      <c r="K19" s="5">
        <v>14</v>
      </c>
      <c r="L19" s="1061" t="str">
        <f t="shared" si="1"/>
        <v/>
      </c>
      <c r="M19" s="1061"/>
      <c r="N19" s="1061"/>
      <c r="O19" s="1061"/>
      <c r="P19" s="1061"/>
      <c r="Q19" s="565"/>
      <c r="R19" s="565"/>
      <c r="S19" s="565" t="str">
        <f t="shared" si="12"/>
        <v/>
      </c>
      <c r="T19" s="5">
        <v>14</v>
      </c>
      <c r="U19" s="1061" t="str">
        <f t="shared" si="2"/>
        <v/>
      </c>
      <c r="V19" s="1061"/>
      <c r="W19" s="1061"/>
      <c r="X19" s="1061"/>
      <c r="Y19" s="1061"/>
      <c r="Z19" s="565" t="str">
        <f t="shared" si="3"/>
        <v/>
      </c>
      <c r="AA19" s="565"/>
      <c r="AB19" s="565" t="str">
        <f t="shared" si="13"/>
        <v/>
      </c>
      <c r="AC19" s="5">
        <v>14</v>
      </c>
      <c r="AD19" s="1061" t="str">
        <f t="shared" si="4"/>
        <v/>
      </c>
      <c r="AE19" s="1061"/>
      <c r="AF19" s="1061"/>
      <c r="AG19" s="1061"/>
      <c r="AH19" s="1061"/>
      <c r="AI19" s="565" t="s">
        <v>3034</v>
      </c>
      <c r="AJ19" s="565"/>
      <c r="AK19" s="565" t="str">
        <f t="shared" si="14"/>
        <v/>
      </c>
      <c r="AL19" s="5">
        <v>14</v>
      </c>
      <c r="AM19" s="1061" t="str">
        <f t="shared" si="5"/>
        <v/>
      </c>
      <c r="AN19" s="1061"/>
      <c r="AO19" s="1061"/>
      <c r="AP19" s="1061"/>
      <c r="AQ19" s="1061"/>
      <c r="AR19" s="565"/>
      <c r="AS19" s="565"/>
      <c r="AT19" s="565" t="str">
        <f t="shared" si="15"/>
        <v/>
      </c>
      <c r="AU19" s="5">
        <v>14</v>
      </c>
      <c r="AV19" s="1061" t="str">
        <f t="shared" si="6"/>
        <v/>
      </c>
      <c r="AW19" s="1061"/>
      <c r="AX19" s="1061"/>
      <c r="AY19" s="1061"/>
      <c r="AZ19" s="1061"/>
      <c r="BA19" s="565"/>
      <c r="BB19" s="565"/>
      <c r="BC19" s="565" t="str">
        <f t="shared" si="16"/>
        <v/>
      </c>
      <c r="BD19" s="5">
        <v>14</v>
      </c>
      <c r="BE19" s="1061" t="str">
        <f t="shared" si="7"/>
        <v/>
      </c>
      <c r="BF19" s="1061"/>
      <c r="BG19" s="1061"/>
      <c r="BH19" s="1061"/>
      <c r="BI19" s="1061"/>
      <c r="BJ19" s="565"/>
      <c r="BK19" s="565"/>
      <c r="BL19" s="565" t="str">
        <f t="shared" si="17"/>
        <v/>
      </c>
      <c r="BM19" s="5">
        <v>14</v>
      </c>
      <c r="BN19" s="1061" t="str">
        <f t="shared" si="8"/>
        <v/>
      </c>
      <c r="BO19" s="1061"/>
      <c r="BP19" s="1061"/>
      <c r="BQ19" s="1061"/>
      <c r="BR19" s="1061"/>
      <c r="BS19" s="565"/>
      <c r="BT19" s="565"/>
      <c r="BU19" s="565" t="str">
        <f t="shared" si="18"/>
        <v/>
      </c>
      <c r="BV19" s="5">
        <v>14</v>
      </c>
      <c r="BW19" s="1061" t="str">
        <f t="shared" si="9"/>
        <v/>
      </c>
      <c r="BX19" s="1061"/>
      <c r="BY19" s="1061"/>
      <c r="BZ19" s="1061"/>
      <c r="CA19" s="1061"/>
      <c r="CB19" s="565"/>
      <c r="CC19" s="565" t="str">
        <f t="shared" si="19"/>
        <v/>
      </c>
      <c r="CD19" s="565"/>
      <c r="CE19" s="565"/>
      <c r="CF19" s="565"/>
      <c r="CG19" s="565"/>
      <c r="CH19" s="565"/>
      <c r="CI19" s="564">
        <v>14</v>
      </c>
      <c r="CJ19" s="564">
        <f>Character_Creation!J393</f>
        <v>0</v>
      </c>
      <c r="CK19" s="564" t="str">
        <f>IFERROR(INDEX(T08_Spells!$C$3:$C$1000,MATCH($CJ19,T08_Spells!$B$3:$B$1000,0),1),"")</f>
        <v/>
      </c>
      <c r="CL19" s="564">
        <f t="shared" si="20"/>
        <v>0</v>
      </c>
      <c r="CM19" s="564">
        <f>IF(CL19=0,0,1+COUNTIF(CM$6:CM18,"&gt;0"))</f>
        <v>0</v>
      </c>
      <c r="CN19" s="564">
        <f t="shared" si="21"/>
        <v>0</v>
      </c>
      <c r="CO19" s="564">
        <f>IF(CN19=0,0,1+COUNTIF(CO$6:CO18,"&gt;0"))</f>
        <v>0</v>
      </c>
      <c r="CP19" s="564">
        <f t="shared" si="22"/>
        <v>0</v>
      </c>
      <c r="CQ19" s="564">
        <f>IF(CP19=0,0,1+COUNTIF(CQ$6:CQ18,"&gt;0"))</f>
        <v>0</v>
      </c>
      <c r="CR19" s="564">
        <f t="shared" si="23"/>
        <v>0</v>
      </c>
      <c r="CS19" s="564">
        <f>IF(CR19=0,0,1+COUNTIF(CS$6:CS18,"&gt;0"))</f>
        <v>0</v>
      </c>
      <c r="CT19" s="564">
        <f t="shared" si="24"/>
        <v>0</v>
      </c>
      <c r="CU19" s="564">
        <f>IF(CT19=0,0,1+COUNTIF(CU$6:CU18,"&gt;0"))</f>
        <v>0</v>
      </c>
      <c r="CV19" s="564">
        <f t="shared" si="25"/>
        <v>0</v>
      </c>
      <c r="CW19" s="564">
        <f>IF(CV19=0,0,1+COUNTIF(CW$6:CW18,"&gt;0"))</f>
        <v>0</v>
      </c>
      <c r="CX19" s="564">
        <f t="shared" si="26"/>
        <v>0</v>
      </c>
      <c r="CY19" s="564">
        <f>IF(CX19=0,0,1+COUNTIF(CY$6:CY18,"&gt;0"))</f>
        <v>0</v>
      </c>
      <c r="CZ19" s="564">
        <f t="shared" si="27"/>
        <v>0</v>
      </c>
      <c r="DA19" s="564">
        <f>IF(CZ19=0,0,1+COUNTIF(DA$6:DA18,"&gt;0"))</f>
        <v>0</v>
      </c>
      <c r="DB19" s="564">
        <f t="shared" si="28"/>
        <v>0</v>
      </c>
      <c r="DC19" s="564">
        <f>IF(DB19=0,0,1+COUNTIF(DC$6:DC18,"&gt;0"))</f>
        <v>0</v>
      </c>
      <c r="DD19" s="565"/>
      <c r="DE19" s="565"/>
      <c r="DF19" s="565"/>
    </row>
    <row r="20" spans="1:110" x14ac:dyDescent="0.25">
      <c r="A20" s="120"/>
      <c r="B20" s="5">
        <v>15</v>
      </c>
      <c r="C20" s="1061" t="str">
        <f t="shared" si="0"/>
        <v/>
      </c>
      <c r="D20" s="1061"/>
      <c r="E20" s="1061"/>
      <c r="F20" s="1061"/>
      <c r="G20" s="1061"/>
      <c r="H20" s="565"/>
      <c r="I20" s="565"/>
      <c r="J20" s="565" t="str">
        <f t="shared" si="11"/>
        <v/>
      </c>
      <c r="K20" s="5">
        <v>15</v>
      </c>
      <c r="L20" s="1061" t="str">
        <f t="shared" si="1"/>
        <v/>
      </c>
      <c r="M20" s="1061"/>
      <c r="N20" s="1061"/>
      <c r="O20" s="1061"/>
      <c r="P20" s="1061"/>
      <c r="Q20" s="565"/>
      <c r="R20" s="565"/>
      <c r="S20" s="565" t="str">
        <f t="shared" si="12"/>
        <v/>
      </c>
      <c r="T20" s="5">
        <v>15</v>
      </c>
      <c r="U20" s="1061" t="str">
        <f t="shared" si="2"/>
        <v/>
      </c>
      <c r="V20" s="1061"/>
      <c r="W20" s="1061"/>
      <c r="X20" s="1061"/>
      <c r="Y20" s="1061"/>
      <c r="Z20" s="565" t="str">
        <f t="shared" si="3"/>
        <v/>
      </c>
      <c r="AA20" s="565"/>
      <c r="AB20" s="565" t="str">
        <f t="shared" si="13"/>
        <v/>
      </c>
      <c r="AC20" s="5">
        <v>15</v>
      </c>
      <c r="AD20" s="1061" t="str">
        <f t="shared" si="4"/>
        <v/>
      </c>
      <c r="AE20" s="1061"/>
      <c r="AF20" s="1061"/>
      <c r="AG20" s="1061"/>
      <c r="AH20" s="1061"/>
      <c r="AI20" s="565" t="s">
        <v>3034</v>
      </c>
      <c r="AJ20" s="565"/>
      <c r="AK20" s="565" t="str">
        <f t="shared" si="14"/>
        <v/>
      </c>
      <c r="AL20" s="5">
        <v>15</v>
      </c>
      <c r="AM20" s="1061" t="str">
        <f t="shared" si="5"/>
        <v/>
      </c>
      <c r="AN20" s="1061"/>
      <c r="AO20" s="1061"/>
      <c r="AP20" s="1061"/>
      <c r="AQ20" s="1061"/>
      <c r="AR20" s="565"/>
      <c r="AS20" s="565"/>
      <c r="AT20" s="565" t="str">
        <f t="shared" si="15"/>
        <v/>
      </c>
      <c r="AU20" s="5">
        <v>15</v>
      </c>
      <c r="AV20" s="1061" t="str">
        <f t="shared" si="6"/>
        <v/>
      </c>
      <c r="AW20" s="1061"/>
      <c r="AX20" s="1061"/>
      <c r="AY20" s="1061"/>
      <c r="AZ20" s="1061"/>
      <c r="BA20" s="565"/>
      <c r="BB20" s="565"/>
      <c r="BC20" s="565" t="str">
        <f t="shared" si="16"/>
        <v/>
      </c>
      <c r="BD20" s="5">
        <v>15</v>
      </c>
      <c r="BE20" s="1061" t="str">
        <f t="shared" si="7"/>
        <v/>
      </c>
      <c r="BF20" s="1061"/>
      <c r="BG20" s="1061"/>
      <c r="BH20" s="1061"/>
      <c r="BI20" s="1061"/>
      <c r="BJ20" s="565"/>
      <c r="BK20" s="565"/>
      <c r="BL20" s="565" t="str">
        <f t="shared" si="17"/>
        <v/>
      </c>
      <c r="BM20" s="5">
        <v>15</v>
      </c>
      <c r="BN20" s="1061" t="str">
        <f t="shared" si="8"/>
        <v/>
      </c>
      <c r="BO20" s="1061"/>
      <c r="BP20" s="1061"/>
      <c r="BQ20" s="1061"/>
      <c r="BR20" s="1061"/>
      <c r="BS20" s="565"/>
      <c r="BT20" s="565"/>
      <c r="BU20" s="565" t="str">
        <f t="shared" si="18"/>
        <v/>
      </c>
      <c r="BV20" s="5">
        <v>15</v>
      </c>
      <c r="BW20" s="1061" t="str">
        <f t="shared" si="9"/>
        <v/>
      </c>
      <c r="BX20" s="1061"/>
      <c r="BY20" s="1061"/>
      <c r="BZ20" s="1061"/>
      <c r="CA20" s="1061"/>
      <c r="CB20" s="565"/>
      <c r="CC20" s="565" t="str">
        <f t="shared" si="19"/>
        <v/>
      </c>
      <c r="CD20" s="565"/>
      <c r="CE20" s="565"/>
      <c r="CF20" s="565"/>
      <c r="CG20" s="565"/>
      <c r="CH20" s="565"/>
      <c r="CI20" s="564">
        <v>15</v>
      </c>
      <c r="CJ20" s="564">
        <f>Character_Creation!J394</f>
        <v>0</v>
      </c>
      <c r="CK20" s="564" t="str">
        <f>IFERROR(INDEX(T08_Spells!$C$3:$C$1000,MATCH($CJ20,T08_Spells!$B$3:$B$1000,0),1),"")</f>
        <v/>
      </c>
      <c r="CL20" s="564">
        <f t="shared" si="20"/>
        <v>0</v>
      </c>
      <c r="CM20" s="564">
        <f>IF(CL20=0,0,1+COUNTIF(CM$6:CM19,"&gt;0"))</f>
        <v>0</v>
      </c>
      <c r="CN20" s="564">
        <f t="shared" si="21"/>
        <v>0</v>
      </c>
      <c r="CO20" s="564">
        <f>IF(CN20=0,0,1+COUNTIF(CO$6:CO19,"&gt;0"))</f>
        <v>0</v>
      </c>
      <c r="CP20" s="564">
        <f t="shared" si="22"/>
        <v>0</v>
      </c>
      <c r="CQ20" s="564">
        <f>IF(CP20=0,0,1+COUNTIF(CQ$6:CQ19,"&gt;0"))</f>
        <v>0</v>
      </c>
      <c r="CR20" s="564">
        <f t="shared" si="23"/>
        <v>0</v>
      </c>
      <c r="CS20" s="564">
        <f>IF(CR20=0,0,1+COUNTIF(CS$6:CS19,"&gt;0"))</f>
        <v>0</v>
      </c>
      <c r="CT20" s="564">
        <f t="shared" si="24"/>
        <v>0</v>
      </c>
      <c r="CU20" s="564">
        <f>IF(CT20=0,0,1+COUNTIF(CU$6:CU19,"&gt;0"))</f>
        <v>0</v>
      </c>
      <c r="CV20" s="564">
        <f t="shared" si="25"/>
        <v>0</v>
      </c>
      <c r="CW20" s="564">
        <f>IF(CV20=0,0,1+COUNTIF(CW$6:CW19,"&gt;0"))</f>
        <v>0</v>
      </c>
      <c r="CX20" s="564">
        <f t="shared" si="26"/>
        <v>0</v>
      </c>
      <c r="CY20" s="564">
        <f>IF(CX20=0,0,1+COUNTIF(CY$6:CY19,"&gt;0"))</f>
        <v>0</v>
      </c>
      <c r="CZ20" s="564">
        <f t="shared" si="27"/>
        <v>0</v>
      </c>
      <c r="DA20" s="564">
        <f>IF(CZ20=0,0,1+COUNTIF(DA$6:DA19,"&gt;0"))</f>
        <v>0</v>
      </c>
      <c r="DB20" s="564">
        <f t="shared" si="28"/>
        <v>0</v>
      </c>
      <c r="DC20" s="564">
        <f>IF(DB20=0,0,1+COUNTIF(DC$6:DC19,"&gt;0"))</f>
        <v>0</v>
      </c>
      <c r="DD20" s="565"/>
      <c r="DE20" s="565"/>
      <c r="DF20" s="565"/>
    </row>
    <row r="21" spans="1:110" x14ac:dyDescent="0.25">
      <c r="A21" s="120"/>
      <c r="B21" s="5">
        <v>16</v>
      </c>
      <c r="C21" s="1061" t="str">
        <f t="shared" si="0"/>
        <v/>
      </c>
      <c r="D21" s="1061"/>
      <c r="E21" s="1061"/>
      <c r="F21" s="1061"/>
      <c r="G21" s="1061"/>
      <c r="H21" s="565"/>
      <c r="I21" s="565"/>
      <c r="J21" s="565" t="str">
        <f t="shared" si="11"/>
        <v/>
      </c>
      <c r="K21" s="5">
        <v>16</v>
      </c>
      <c r="L21" s="1061" t="str">
        <f t="shared" si="1"/>
        <v/>
      </c>
      <c r="M21" s="1061"/>
      <c r="N21" s="1061"/>
      <c r="O21" s="1061"/>
      <c r="P21" s="1061"/>
      <c r="Q21" s="565"/>
      <c r="R21" s="565"/>
      <c r="S21" s="565" t="str">
        <f t="shared" si="12"/>
        <v/>
      </c>
      <c r="T21" s="5">
        <v>16</v>
      </c>
      <c r="U21" s="1061" t="str">
        <f t="shared" si="2"/>
        <v/>
      </c>
      <c r="V21" s="1061"/>
      <c r="W21" s="1061"/>
      <c r="X21" s="1061"/>
      <c r="Y21" s="1061"/>
      <c r="Z21" s="565" t="str">
        <f t="shared" si="3"/>
        <v/>
      </c>
      <c r="AA21" s="565"/>
      <c r="AB21" s="565" t="str">
        <f t="shared" si="13"/>
        <v/>
      </c>
      <c r="AC21" s="5">
        <v>16</v>
      </c>
      <c r="AD21" s="1061" t="str">
        <f t="shared" si="4"/>
        <v/>
      </c>
      <c r="AE21" s="1061"/>
      <c r="AF21" s="1061"/>
      <c r="AG21" s="1061"/>
      <c r="AH21" s="1061"/>
      <c r="AI21" s="565" t="s">
        <v>3034</v>
      </c>
      <c r="AJ21" s="565"/>
      <c r="AK21" s="565" t="str">
        <f t="shared" si="14"/>
        <v/>
      </c>
      <c r="AL21" s="5">
        <v>16</v>
      </c>
      <c r="AM21" s="1061" t="str">
        <f t="shared" si="5"/>
        <v/>
      </c>
      <c r="AN21" s="1061"/>
      <c r="AO21" s="1061"/>
      <c r="AP21" s="1061"/>
      <c r="AQ21" s="1061"/>
      <c r="AR21" s="565"/>
      <c r="AS21" s="565"/>
      <c r="AT21" s="565" t="str">
        <f t="shared" si="15"/>
        <v/>
      </c>
      <c r="AU21" s="5">
        <v>16</v>
      </c>
      <c r="AV21" s="1061" t="str">
        <f t="shared" si="6"/>
        <v/>
      </c>
      <c r="AW21" s="1061"/>
      <c r="AX21" s="1061"/>
      <c r="AY21" s="1061"/>
      <c r="AZ21" s="1061"/>
      <c r="BA21" s="565"/>
      <c r="BB21" s="565"/>
      <c r="BC21" s="565" t="str">
        <f t="shared" si="16"/>
        <v/>
      </c>
      <c r="BD21" s="5">
        <v>16</v>
      </c>
      <c r="BE21" s="1061" t="str">
        <f t="shared" si="7"/>
        <v/>
      </c>
      <c r="BF21" s="1061"/>
      <c r="BG21" s="1061"/>
      <c r="BH21" s="1061"/>
      <c r="BI21" s="1061"/>
      <c r="BJ21" s="565"/>
      <c r="BK21" s="565"/>
      <c r="BL21" s="565" t="str">
        <f t="shared" si="17"/>
        <v/>
      </c>
      <c r="BM21" s="5">
        <v>16</v>
      </c>
      <c r="BN21" s="1061" t="str">
        <f t="shared" si="8"/>
        <v/>
      </c>
      <c r="BO21" s="1061"/>
      <c r="BP21" s="1061"/>
      <c r="BQ21" s="1061"/>
      <c r="BR21" s="1061"/>
      <c r="BS21" s="565"/>
      <c r="BT21" s="565"/>
      <c r="BU21" s="565" t="str">
        <f t="shared" si="18"/>
        <v/>
      </c>
      <c r="BV21" s="5">
        <v>16</v>
      </c>
      <c r="BW21" s="1061" t="str">
        <f t="shared" si="9"/>
        <v/>
      </c>
      <c r="BX21" s="1061"/>
      <c r="BY21" s="1061"/>
      <c r="BZ21" s="1061"/>
      <c r="CA21" s="1061"/>
      <c r="CB21" s="565"/>
      <c r="CC21" s="565" t="str">
        <f t="shared" si="19"/>
        <v/>
      </c>
      <c r="CD21" s="565"/>
      <c r="CE21" s="565"/>
      <c r="CF21" s="565"/>
      <c r="CG21" s="565"/>
      <c r="CH21" s="565"/>
      <c r="CI21" s="564"/>
      <c r="CJ21" s="564"/>
      <c r="CK21" s="564"/>
      <c r="CL21" s="564"/>
      <c r="CM21" s="564"/>
      <c r="CN21" s="564"/>
      <c r="CO21" s="564"/>
      <c r="CP21" s="564"/>
      <c r="CQ21" s="564"/>
      <c r="CR21" s="564"/>
      <c r="CS21" s="564"/>
      <c r="CT21" s="564"/>
      <c r="CU21" s="564"/>
      <c r="CV21" s="564"/>
      <c r="CW21" s="564"/>
      <c r="CX21" s="564"/>
      <c r="CY21" s="564"/>
      <c r="CZ21" s="564"/>
      <c r="DA21" s="564"/>
      <c r="DB21" s="564"/>
      <c r="DC21" s="564"/>
      <c r="DD21" s="565"/>
      <c r="DE21" s="565"/>
      <c r="DF21" s="565"/>
    </row>
    <row r="22" spans="1:110" x14ac:dyDescent="0.25">
      <c r="A22" s="120"/>
      <c r="B22" s="5">
        <v>17</v>
      </c>
      <c r="C22" s="1061" t="str">
        <f t="shared" si="0"/>
        <v/>
      </c>
      <c r="D22" s="1061"/>
      <c r="E22" s="1061"/>
      <c r="F22" s="1061"/>
      <c r="G22" s="1061"/>
      <c r="H22" s="565"/>
      <c r="I22" s="565"/>
      <c r="J22" s="565" t="str">
        <f t="shared" si="11"/>
        <v/>
      </c>
      <c r="K22" s="5">
        <v>17</v>
      </c>
      <c r="L22" s="1061" t="str">
        <f t="shared" si="1"/>
        <v/>
      </c>
      <c r="M22" s="1061"/>
      <c r="N22" s="1061"/>
      <c r="O22" s="1061"/>
      <c r="P22" s="1061"/>
      <c r="Q22" s="565"/>
      <c r="R22" s="565"/>
      <c r="S22" s="565" t="str">
        <f t="shared" si="12"/>
        <v/>
      </c>
      <c r="T22" s="5">
        <v>17</v>
      </c>
      <c r="U22" s="1061" t="str">
        <f t="shared" si="2"/>
        <v/>
      </c>
      <c r="V22" s="1061"/>
      <c r="W22" s="1061"/>
      <c r="X22" s="1061"/>
      <c r="Y22" s="1061"/>
      <c r="Z22" s="565" t="str">
        <f t="shared" si="3"/>
        <v/>
      </c>
      <c r="AA22" s="565"/>
      <c r="AB22" s="565" t="str">
        <f t="shared" si="13"/>
        <v/>
      </c>
      <c r="AC22" s="5">
        <v>17</v>
      </c>
      <c r="AD22" s="1061" t="str">
        <f t="shared" si="4"/>
        <v/>
      </c>
      <c r="AE22" s="1061"/>
      <c r="AF22" s="1061"/>
      <c r="AG22" s="1061"/>
      <c r="AH22" s="1061"/>
      <c r="AI22" s="565" t="s">
        <v>3034</v>
      </c>
      <c r="AJ22" s="565"/>
      <c r="AK22" s="565" t="str">
        <f t="shared" si="14"/>
        <v/>
      </c>
      <c r="AL22" s="5">
        <v>17</v>
      </c>
      <c r="AM22" s="1061" t="str">
        <f t="shared" si="5"/>
        <v/>
      </c>
      <c r="AN22" s="1061"/>
      <c r="AO22" s="1061"/>
      <c r="AP22" s="1061"/>
      <c r="AQ22" s="1061"/>
      <c r="AR22" s="565"/>
      <c r="AS22" s="565"/>
      <c r="AT22" s="565" t="str">
        <f t="shared" si="15"/>
        <v/>
      </c>
      <c r="AU22" s="5">
        <v>17</v>
      </c>
      <c r="AV22" s="1061" t="str">
        <f t="shared" si="6"/>
        <v/>
      </c>
      <c r="AW22" s="1061"/>
      <c r="AX22" s="1061"/>
      <c r="AY22" s="1061"/>
      <c r="AZ22" s="1061"/>
      <c r="BA22" s="565"/>
      <c r="BB22" s="565"/>
      <c r="BC22" s="565" t="str">
        <f t="shared" si="16"/>
        <v/>
      </c>
      <c r="BD22" s="5">
        <v>17</v>
      </c>
      <c r="BE22" s="1061" t="str">
        <f t="shared" si="7"/>
        <v/>
      </c>
      <c r="BF22" s="1061"/>
      <c r="BG22" s="1061"/>
      <c r="BH22" s="1061"/>
      <c r="BI22" s="1061"/>
      <c r="BJ22" s="565"/>
      <c r="BK22" s="565"/>
      <c r="BL22" s="565" t="str">
        <f t="shared" si="17"/>
        <v/>
      </c>
      <c r="BM22" s="5">
        <v>17</v>
      </c>
      <c r="BN22" s="1061" t="str">
        <f t="shared" si="8"/>
        <v/>
      </c>
      <c r="BO22" s="1061"/>
      <c r="BP22" s="1061"/>
      <c r="BQ22" s="1061"/>
      <c r="BR22" s="1061"/>
      <c r="BS22" s="565"/>
      <c r="BT22" s="565"/>
      <c r="BU22" s="565" t="str">
        <f t="shared" si="18"/>
        <v/>
      </c>
      <c r="BV22" s="5">
        <v>17</v>
      </c>
      <c r="BW22" s="1061" t="str">
        <f t="shared" si="9"/>
        <v/>
      </c>
      <c r="BX22" s="1061"/>
      <c r="BY22" s="1061"/>
      <c r="BZ22" s="1061"/>
      <c r="CA22" s="1061"/>
      <c r="CB22" s="565"/>
      <c r="CC22" s="565" t="str">
        <f t="shared" si="19"/>
        <v/>
      </c>
      <c r="CD22" s="565"/>
      <c r="CE22" s="565"/>
      <c r="CF22" s="565"/>
      <c r="CG22" s="565"/>
      <c r="CH22" s="565"/>
      <c r="CI22" s="564">
        <v>1</v>
      </c>
      <c r="CJ22" s="564" t="str">
        <f>IFERROR(INDEX(T08_Spells!$B$3:$B$1000,MATCH(S08_Sorcerer!CI22,T08_Spells!$DZ$3:$DZ$1000,0),1),"")</f>
        <v>Acid Splash</v>
      </c>
      <c r="CK22" s="564" t="str">
        <f>IFERROR(INDEX(T08_Spells!$C$3:$C$1000,MATCH($CJ22,T08_Spells!$B$3:$B$1000,0),1),"")</f>
        <v>CANTRIP</v>
      </c>
      <c r="CL22" s="564">
        <f t="shared" si="20"/>
        <v>0</v>
      </c>
      <c r="CM22" s="564">
        <f>IF(CL22=0,0,1+COUNTIF(CM$6:CM21,"&gt;0"))</f>
        <v>0</v>
      </c>
      <c r="CN22" s="564">
        <f t="shared" si="21"/>
        <v>0</v>
      </c>
      <c r="CO22" s="564">
        <f>IF(CN22=0,0,1+COUNTIF(CO$6:CO21,"&gt;0"))</f>
        <v>0</v>
      </c>
      <c r="CP22" s="564">
        <f t="shared" si="22"/>
        <v>0</v>
      </c>
      <c r="CQ22" s="564">
        <f>IF(CP22=0,0,1+COUNTIF(CQ$6:CQ21,"&gt;0"))</f>
        <v>0</v>
      </c>
      <c r="CR22" s="564">
        <f t="shared" si="23"/>
        <v>0</v>
      </c>
      <c r="CS22" s="564">
        <f>IF(CR22=0,0,1+COUNTIF(CS$6:CS21,"&gt;0"))</f>
        <v>0</v>
      </c>
      <c r="CT22" s="564">
        <f t="shared" si="24"/>
        <v>0</v>
      </c>
      <c r="CU22" s="564">
        <f>IF(CT22=0,0,1+COUNTIF(CU$6:CU21,"&gt;0"))</f>
        <v>0</v>
      </c>
      <c r="CV22" s="564">
        <f t="shared" si="25"/>
        <v>0</v>
      </c>
      <c r="CW22" s="564">
        <f>IF(CV22=0,0,1+COUNTIF(CW$6:CW21,"&gt;0"))</f>
        <v>0</v>
      </c>
      <c r="CX22" s="564">
        <f t="shared" si="26"/>
        <v>0</v>
      </c>
      <c r="CY22" s="564">
        <f>IF(CX22=0,0,1+COUNTIF(CY$6:CY21,"&gt;0"))</f>
        <v>0</v>
      </c>
      <c r="CZ22" s="564">
        <f t="shared" si="27"/>
        <v>0</v>
      </c>
      <c r="DA22" s="564">
        <f>IF(CZ22=0,0,1+COUNTIF(DA$6:DA21,"&gt;0"))</f>
        <v>0</v>
      </c>
      <c r="DB22" s="564">
        <f t="shared" si="28"/>
        <v>0</v>
      </c>
      <c r="DC22" s="564">
        <f>IF(DB22=0,0,1+COUNTIF(DC$6:DC21,"&gt;0"))</f>
        <v>0</v>
      </c>
      <c r="DD22" s="565"/>
      <c r="DE22" s="565"/>
      <c r="DF22" s="565"/>
    </row>
    <row r="23" spans="1:110" x14ac:dyDescent="0.25">
      <c r="A23" s="120"/>
      <c r="B23" s="5">
        <v>18</v>
      </c>
      <c r="C23" s="1061" t="str">
        <f t="shared" si="0"/>
        <v/>
      </c>
      <c r="D23" s="1061"/>
      <c r="E23" s="1061"/>
      <c r="F23" s="1061"/>
      <c r="G23" s="1061"/>
      <c r="H23" s="565"/>
      <c r="I23" s="565"/>
      <c r="J23" s="565" t="str">
        <f t="shared" si="11"/>
        <v/>
      </c>
      <c r="K23" s="5">
        <v>18</v>
      </c>
      <c r="L23" s="1061" t="str">
        <f t="shared" si="1"/>
        <v/>
      </c>
      <c r="M23" s="1061"/>
      <c r="N23" s="1061"/>
      <c r="O23" s="1061"/>
      <c r="P23" s="1061"/>
      <c r="Q23" s="565"/>
      <c r="R23" s="565"/>
      <c r="S23" s="565" t="str">
        <f t="shared" si="12"/>
        <v/>
      </c>
      <c r="T23" s="5">
        <v>18</v>
      </c>
      <c r="U23" s="1061" t="str">
        <f t="shared" si="2"/>
        <v/>
      </c>
      <c r="V23" s="1061"/>
      <c r="W23" s="1061"/>
      <c r="X23" s="1061"/>
      <c r="Y23" s="1061"/>
      <c r="Z23" s="565" t="str">
        <f t="shared" si="3"/>
        <v/>
      </c>
      <c r="AA23" s="565"/>
      <c r="AB23" s="565" t="str">
        <f t="shared" si="13"/>
        <v/>
      </c>
      <c r="AC23" s="5">
        <v>18</v>
      </c>
      <c r="AD23" s="1061" t="str">
        <f t="shared" si="4"/>
        <v/>
      </c>
      <c r="AE23" s="1061"/>
      <c r="AF23" s="1061"/>
      <c r="AG23" s="1061"/>
      <c r="AH23" s="1061"/>
      <c r="AI23" s="565" t="s">
        <v>3034</v>
      </c>
      <c r="AJ23" s="565"/>
      <c r="AK23" s="565" t="str">
        <f t="shared" si="14"/>
        <v/>
      </c>
      <c r="AL23" s="5">
        <v>18</v>
      </c>
      <c r="AM23" s="1061" t="str">
        <f t="shared" si="5"/>
        <v/>
      </c>
      <c r="AN23" s="1061"/>
      <c r="AO23" s="1061"/>
      <c r="AP23" s="1061"/>
      <c r="AQ23" s="1061"/>
      <c r="AR23" s="565"/>
      <c r="AS23" s="565"/>
      <c r="AT23" s="565" t="str">
        <f t="shared" si="15"/>
        <v/>
      </c>
      <c r="AU23" s="5">
        <v>18</v>
      </c>
      <c r="AV23" s="1061" t="str">
        <f t="shared" si="6"/>
        <v/>
      </c>
      <c r="AW23" s="1061"/>
      <c r="AX23" s="1061"/>
      <c r="AY23" s="1061"/>
      <c r="AZ23" s="1061"/>
      <c r="BA23" s="565"/>
      <c r="BB23" s="565"/>
      <c r="BC23" s="565" t="str">
        <f t="shared" si="16"/>
        <v/>
      </c>
      <c r="BD23" s="5">
        <v>18</v>
      </c>
      <c r="BE23" s="1061" t="str">
        <f t="shared" si="7"/>
        <v/>
      </c>
      <c r="BF23" s="1061"/>
      <c r="BG23" s="1061"/>
      <c r="BH23" s="1061"/>
      <c r="BI23" s="1061"/>
      <c r="BJ23" s="565"/>
      <c r="BK23" s="565"/>
      <c r="BL23" s="565" t="str">
        <f t="shared" si="17"/>
        <v/>
      </c>
      <c r="BM23" s="5">
        <v>18</v>
      </c>
      <c r="BN23" s="1061" t="str">
        <f t="shared" si="8"/>
        <v/>
      </c>
      <c r="BO23" s="1061"/>
      <c r="BP23" s="1061"/>
      <c r="BQ23" s="1061"/>
      <c r="BR23" s="1061"/>
      <c r="BS23" s="565"/>
      <c r="BT23" s="565"/>
      <c r="BU23" s="565" t="str">
        <f t="shared" si="18"/>
        <v/>
      </c>
      <c r="BV23" s="5">
        <v>18</v>
      </c>
      <c r="BW23" s="1061" t="str">
        <f t="shared" si="9"/>
        <v/>
      </c>
      <c r="BX23" s="1061"/>
      <c r="BY23" s="1061"/>
      <c r="BZ23" s="1061"/>
      <c r="CA23" s="1061"/>
      <c r="CB23" s="565"/>
      <c r="CC23" s="565" t="str">
        <f t="shared" si="19"/>
        <v/>
      </c>
      <c r="CD23" s="565"/>
      <c r="CE23" s="565"/>
      <c r="CF23" s="565"/>
      <c r="CG23" s="565"/>
      <c r="CH23" s="565"/>
      <c r="CI23" s="564">
        <v>2</v>
      </c>
      <c r="CJ23" s="564" t="str">
        <f>IFERROR(INDEX(T08_Spells!$B$3:$B$1000,MATCH(S08_Sorcerer!CI23,T08_Spells!$DZ$3:$DZ$1000,0),1),"")</f>
        <v>Aid</v>
      </c>
      <c r="CK23" s="564">
        <f>IFERROR(INDEX(T08_Spells!$C$3:$C$1000,MATCH($CJ23,T08_Spells!$B$3:$B$1000,0),1),"")</f>
        <v>2</v>
      </c>
      <c r="CL23" s="564">
        <f t="shared" si="20"/>
        <v>0</v>
      </c>
      <c r="CM23" s="564">
        <f>IF(CL23=0,0,1+COUNTIF(CM$6:CM22,"&gt;0"))</f>
        <v>0</v>
      </c>
      <c r="CN23" s="564">
        <f t="shared" si="21"/>
        <v>1</v>
      </c>
      <c r="CO23" s="564">
        <f>IF(CN23=0,0,1+COUNTIF(CO$6:CO22,"&gt;0"))</f>
        <v>1</v>
      </c>
      <c r="CP23" s="564">
        <f t="shared" si="22"/>
        <v>0</v>
      </c>
      <c r="CQ23" s="564">
        <f>IF(CP23=0,0,1+COUNTIF(CQ$6:CQ22,"&gt;0"))</f>
        <v>0</v>
      </c>
      <c r="CR23" s="564">
        <f t="shared" si="23"/>
        <v>0</v>
      </c>
      <c r="CS23" s="564">
        <f>IF(CR23=0,0,1+COUNTIF(CS$6:CS22,"&gt;0"))</f>
        <v>0</v>
      </c>
      <c r="CT23" s="564">
        <f t="shared" si="24"/>
        <v>0</v>
      </c>
      <c r="CU23" s="564">
        <f>IF(CT23=0,0,1+COUNTIF(CU$6:CU22,"&gt;0"))</f>
        <v>0</v>
      </c>
      <c r="CV23" s="564">
        <f t="shared" si="25"/>
        <v>0</v>
      </c>
      <c r="CW23" s="564">
        <f>IF(CV23=0,0,1+COUNTIF(CW$6:CW22,"&gt;0"))</f>
        <v>0</v>
      </c>
      <c r="CX23" s="564">
        <f t="shared" si="26"/>
        <v>0</v>
      </c>
      <c r="CY23" s="564">
        <f>IF(CX23=0,0,1+COUNTIF(CY$6:CY22,"&gt;0"))</f>
        <v>0</v>
      </c>
      <c r="CZ23" s="564">
        <f t="shared" si="27"/>
        <v>0</v>
      </c>
      <c r="DA23" s="564">
        <f>IF(CZ23=0,0,1+COUNTIF(DA$6:DA22,"&gt;0"))</f>
        <v>0</v>
      </c>
      <c r="DB23" s="564">
        <f t="shared" si="28"/>
        <v>0</v>
      </c>
      <c r="DC23" s="564">
        <f>IF(DB23=0,0,1+COUNTIF(DC$6:DC22,"&gt;0"))</f>
        <v>0</v>
      </c>
      <c r="DD23" s="565"/>
      <c r="DE23" s="565"/>
      <c r="DF23" s="565"/>
    </row>
    <row r="24" spans="1:110" x14ac:dyDescent="0.25">
      <c r="A24" s="120"/>
      <c r="B24" s="5">
        <v>19</v>
      </c>
      <c r="C24" s="1061" t="str">
        <f t="shared" si="0"/>
        <v/>
      </c>
      <c r="D24" s="1061"/>
      <c r="E24" s="1061"/>
      <c r="F24" s="1061"/>
      <c r="G24" s="1061"/>
      <c r="H24" s="565"/>
      <c r="I24" s="565"/>
      <c r="J24" s="565" t="str">
        <f t="shared" si="11"/>
        <v/>
      </c>
      <c r="K24" s="5">
        <v>19</v>
      </c>
      <c r="L24" s="1061" t="str">
        <f t="shared" si="1"/>
        <v/>
      </c>
      <c r="M24" s="1061"/>
      <c r="N24" s="1061"/>
      <c r="O24" s="1061"/>
      <c r="P24" s="1061"/>
      <c r="Q24" s="565"/>
      <c r="R24" s="565"/>
      <c r="S24" s="565" t="str">
        <f t="shared" si="12"/>
        <v/>
      </c>
      <c r="T24" s="5">
        <v>19</v>
      </c>
      <c r="U24" s="1061" t="str">
        <f t="shared" si="2"/>
        <v/>
      </c>
      <c r="V24" s="1061"/>
      <c r="W24" s="1061"/>
      <c r="X24" s="1061"/>
      <c r="Y24" s="1061"/>
      <c r="Z24" s="565" t="str">
        <f t="shared" si="3"/>
        <v/>
      </c>
      <c r="AA24" s="565"/>
      <c r="AB24" s="565" t="str">
        <f t="shared" si="13"/>
        <v/>
      </c>
      <c r="AC24" s="5">
        <v>19</v>
      </c>
      <c r="AD24" s="1061" t="str">
        <f t="shared" si="4"/>
        <v/>
      </c>
      <c r="AE24" s="1061"/>
      <c r="AF24" s="1061"/>
      <c r="AG24" s="1061"/>
      <c r="AH24" s="1061"/>
      <c r="AI24" s="565" t="s">
        <v>3034</v>
      </c>
      <c r="AJ24" s="565"/>
      <c r="AK24" s="565" t="str">
        <f t="shared" si="14"/>
        <v/>
      </c>
      <c r="AL24" s="5">
        <v>19</v>
      </c>
      <c r="AM24" s="1061" t="str">
        <f t="shared" si="5"/>
        <v/>
      </c>
      <c r="AN24" s="1061"/>
      <c r="AO24" s="1061"/>
      <c r="AP24" s="1061"/>
      <c r="AQ24" s="1061"/>
      <c r="AR24" s="565"/>
      <c r="AS24" s="565"/>
      <c r="AT24" s="565" t="str">
        <f t="shared" si="15"/>
        <v/>
      </c>
      <c r="AU24" s="5">
        <v>19</v>
      </c>
      <c r="AV24" s="1061" t="str">
        <f t="shared" si="6"/>
        <v/>
      </c>
      <c r="AW24" s="1061"/>
      <c r="AX24" s="1061"/>
      <c r="AY24" s="1061"/>
      <c r="AZ24" s="1061"/>
      <c r="BA24" s="565"/>
      <c r="BB24" s="565"/>
      <c r="BC24" s="565" t="str">
        <f t="shared" si="16"/>
        <v/>
      </c>
      <c r="BD24" s="5">
        <v>19</v>
      </c>
      <c r="BE24" s="1061" t="str">
        <f t="shared" si="7"/>
        <v/>
      </c>
      <c r="BF24" s="1061"/>
      <c r="BG24" s="1061"/>
      <c r="BH24" s="1061"/>
      <c r="BI24" s="1061"/>
      <c r="BJ24" s="565"/>
      <c r="BK24" s="565"/>
      <c r="BL24" s="565" t="str">
        <f t="shared" si="17"/>
        <v/>
      </c>
      <c r="BM24" s="5">
        <v>19</v>
      </c>
      <c r="BN24" s="1061" t="str">
        <f t="shared" si="8"/>
        <v/>
      </c>
      <c r="BO24" s="1061"/>
      <c r="BP24" s="1061"/>
      <c r="BQ24" s="1061"/>
      <c r="BR24" s="1061"/>
      <c r="BS24" s="565"/>
      <c r="BT24" s="565"/>
      <c r="BU24" s="565" t="str">
        <f t="shared" si="18"/>
        <v/>
      </c>
      <c r="BV24" s="5">
        <v>19</v>
      </c>
      <c r="BW24" s="1061" t="str">
        <f t="shared" si="9"/>
        <v/>
      </c>
      <c r="BX24" s="1061"/>
      <c r="BY24" s="1061"/>
      <c r="BZ24" s="1061"/>
      <c r="CA24" s="1061"/>
      <c r="CB24" s="565"/>
      <c r="CC24" s="565" t="str">
        <f t="shared" si="19"/>
        <v/>
      </c>
      <c r="CD24" s="565"/>
      <c r="CE24" s="565"/>
      <c r="CF24" s="565"/>
      <c r="CG24" s="565"/>
      <c r="CH24" s="565"/>
      <c r="CI24" s="564">
        <v>3</v>
      </c>
      <c r="CJ24" s="564" t="str">
        <f>IFERROR(INDEX(T08_Spells!$B$3:$B$1000,MATCH(S08_Sorcerer!CI24,T08_Spells!$DZ$3:$DZ$1000,0),1),"")</f>
        <v>Alarm</v>
      </c>
      <c r="CK24" s="564">
        <f>IFERROR(INDEX(T08_Spells!$C$3:$C$1000,MATCH($CJ24,T08_Spells!$B$3:$B$1000,0),1),"")</f>
        <v>1</v>
      </c>
      <c r="CL24" s="564">
        <f t="shared" si="20"/>
        <v>1</v>
      </c>
      <c r="CM24" s="564">
        <f>IF(CL24=0,0,1+COUNTIF(CM$6:CM23,"&gt;0"))</f>
        <v>1</v>
      </c>
      <c r="CN24" s="564">
        <f t="shared" si="21"/>
        <v>0</v>
      </c>
      <c r="CO24" s="564">
        <f>IF(CN24=0,0,1+COUNTIF(CO$6:CO23,"&gt;0"))</f>
        <v>0</v>
      </c>
      <c r="CP24" s="564">
        <f t="shared" si="22"/>
        <v>0</v>
      </c>
      <c r="CQ24" s="564">
        <f>IF(CP24=0,0,1+COUNTIF(CQ$6:CQ23,"&gt;0"))</f>
        <v>0</v>
      </c>
      <c r="CR24" s="564">
        <f t="shared" si="23"/>
        <v>0</v>
      </c>
      <c r="CS24" s="564">
        <f>IF(CR24=0,0,1+COUNTIF(CS$6:CS23,"&gt;0"))</f>
        <v>0</v>
      </c>
      <c r="CT24" s="564">
        <f t="shared" si="24"/>
        <v>0</v>
      </c>
      <c r="CU24" s="564">
        <f>IF(CT24=0,0,1+COUNTIF(CU$6:CU23,"&gt;0"))</f>
        <v>0</v>
      </c>
      <c r="CV24" s="564">
        <f t="shared" si="25"/>
        <v>0</v>
      </c>
      <c r="CW24" s="564">
        <f>IF(CV24=0,0,1+COUNTIF(CW$6:CW23,"&gt;0"))</f>
        <v>0</v>
      </c>
      <c r="CX24" s="564">
        <f t="shared" si="26"/>
        <v>0</v>
      </c>
      <c r="CY24" s="564">
        <f>IF(CX24=0,0,1+COUNTIF(CY$6:CY23,"&gt;0"))</f>
        <v>0</v>
      </c>
      <c r="CZ24" s="564">
        <f t="shared" si="27"/>
        <v>0</v>
      </c>
      <c r="DA24" s="564">
        <f>IF(CZ24=0,0,1+COUNTIF(DA$6:DA23,"&gt;0"))</f>
        <v>0</v>
      </c>
      <c r="DB24" s="564">
        <f t="shared" si="28"/>
        <v>0</v>
      </c>
      <c r="DC24" s="564">
        <f>IF(DB24=0,0,1+COUNTIF(DC$6:DC23,"&gt;0"))</f>
        <v>0</v>
      </c>
      <c r="DD24" s="565"/>
      <c r="DE24" s="565"/>
      <c r="DF24" s="565"/>
    </row>
    <row r="25" spans="1:110" x14ac:dyDescent="0.25">
      <c r="A25" s="120"/>
      <c r="B25" s="5">
        <v>20</v>
      </c>
      <c r="C25" s="1061" t="str">
        <f t="shared" si="0"/>
        <v/>
      </c>
      <c r="D25" s="1061"/>
      <c r="E25" s="1061"/>
      <c r="F25" s="1061"/>
      <c r="G25" s="1061"/>
      <c r="H25" s="565"/>
      <c r="I25" s="565"/>
      <c r="J25" s="565" t="str">
        <f t="shared" si="11"/>
        <v/>
      </c>
      <c r="K25" s="5">
        <v>20</v>
      </c>
      <c r="L25" s="1061" t="str">
        <f t="shared" si="1"/>
        <v/>
      </c>
      <c r="M25" s="1061"/>
      <c r="N25" s="1061"/>
      <c r="O25" s="1061"/>
      <c r="P25" s="1061"/>
      <c r="Q25" s="565"/>
      <c r="R25" s="565"/>
      <c r="S25" s="565" t="str">
        <f t="shared" si="12"/>
        <v/>
      </c>
      <c r="T25" s="5">
        <v>20</v>
      </c>
      <c r="U25" s="1061" t="str">
        <f t="shared" si="2"/>
        <v/>
      </c>
      <c r="V25" s="1061"/>
      <c r="W25" s="1061"/>
      <c r="X25" s="1061"/>
      <c r="Y25" s="1061"/>
      <c r="Z25" s="565" t="str">
        <f t="shared" si="3"/>
        <v/>
      </c>
      <c r="AA25" s="565"/>
      <c r="AB25" s="565" t="str">
        <f t="shared" si="13"/>
        <v/>
      </c>
      <c r="AC25" s="5">
        <v>20</v>
      </c>
      <c r="AD25" s="1061" t="str">
        <f t="shared" si="4"/>
        <v/>
      </c>
      <c r="AE25" s="1061"/>
      <c r="AF25" s="1061"/>
      <c r="AG25" s="1061"/>
      <c r="AH25" s="1061"/>
      <c r="AI25" s="565" t="s">
        <v>3034</v>
      </c>
      <c r="AJ25" s="565"/>
      <c r="AK25" s="565" t="str">
        <f t="shared" si="14"/>
        <v/>
      </c>
      <c r="AL25" s="5">
        <v>20</v>
      </c>
      <c r="AM25" s="1061" t="str">
        <f t="shared" si="5"/>
        <v/>
      </c>
      <c r="AN25" s="1061"/>
      <c r="AO25" s="1061"/>
      <c r="AP25" s="1061"/>
      <c r="AQ25" s="1061"/>
      <c r="AR25" s="565"/>
      <c r="AS25" s="565"/>
      <c r="AT25" s="565" t="str">
        <f t="shared" si="15"/>
        <v/>
      </c>
      <c r="AU25" s="5">
        <v>20</v>
      </c>
      <c r="AV25" s="1061" t="str">
        <f t="shared" si="6"/>
        <v/>
      </c>
      <c r="AW25" s="1061"/>
      <c r="AX25" s="1061"/>
      <c r="AY25" s="1061"/>
      <c r="AZ25" s="1061"/>
      <c r="BA25" s="565"/>
      <c r="BB25" s="565"/>
      <c r="BC25" s="565" t="str">
        <f t="shared" si="16"/>
        <v/>
      </c>
      <c r="BD25" s="5">
        <v>20</v>
      </c>
      <c r="BE25" s="1061" t="str">
        <f t="shared" si="7"/>
        <v/>
      </c>
      <c r="BF25" s="1061"/>
      <c r="BG25" s="1061"/>
      <c r="BH25" s="1061"/>
      <c r="BI25" s="1061"/>
      <c r="BJ25" s="565"/>
      <c r="BK25" s="565"/>
      <c r="BL25" s="565" t="str">
        <f t="shared" si="17"/>
        <v/>
      </c>
      <c r="BM25" s="5">
        <v>20</v>
      </c>
      <c r="BN25" s="1061" t="str">
        <f t="shared" si="8"/>
        <v/>
      </c>
      <c r="BO25" s="1061"/>
      <c r="BP25" s="1061"/>
      <c r="BQ25" s="1061"/>
      <c r="BR25" s="1061"/>
      <c r="BS25" s="565"/>
      <c r="BT25" s="565"/>
      <c r="BU25" s="565" t="str">
        <f t="shared" si="18"/>
        <v/>
      </c>
      <c r="BV25" s="5">
        <v>20</v>
      </c>
      <c r="BW25" s="1061" t="str">
        <f t="shared" si="9"/>
        <v/>
      </c>
      <c r="BX25" s="1061"/>
      <c r="BY25" s="1061"/>
      <c r="BZ25" s="1061"/>
      <c r="CA25" s="1061"/>
      <c r="CB25" s="565"/>
      <c r="CC25" s="565" t="str">
        <f t="shared" si="19"/>
        <v/>
      </c>
      <c r="CD25" s="565"/>
      <c r="CE25" s="565"/>
      <c r="CF25" s="565"/>
      <c r="CG25" s="565"/>
      <c r="CH25" s="565"/>
      <c r="CI25" s="564">
        <v>4</v>
      </c>
      <c r="CJ25" s="564" t="str">
        <f>IFERROR(INDEX(T08_Spells!$B$3:$B$1000,MATCH(S08_Sorcerer!CI25,T08_Spells!$DZ$3:$DZ$1000,0),1),"")</f>
        <v>Alter Self</v>
      </c>
      <c r="CK25" s="564">
        <f>IFERROR(INDEX(T08_Spells!$C$3:$C$1000,MATCH($CJ25,T08_Spells!$B$3:$B$1000,0),1),"")</f>
        <v>2</v>
      </c>
      <c r="CL25" s="564">
        <f t="shared" si="20"/>
        <v>0</v>
      </c>
      <c r="CM25" s="564">
        <f>IF(CL25=0,0,1+COUNTIF(CM$6:CM24,"&gt;0"))</f>
        <v>0</v>
      </c>
      <c r="CN25" s="564">
        <f t="shared" si="21"/>
        <v>1</v>
      </c>
      <c r="CO25" s="564">
        <f>IF(CN25=0,0,1+COUNTIF(CO$6:CO24,"&gt;0"))</f>
        <v>2</v>
      </c>
      <c r="CP25" s="564">
        <f t="shared" si="22"/>
        <v>0</v>
      </c>
      <c r="CQ25" s="564">
        <f>IF(CP25=0,0,1+COUNTIF(CQ$6:CQ24,"&gt;0"))</f>
        <v>0</v>
      </c>
      <c r="CR25" s="564">
        <f t="shared" si="23"/>
        <v>0</v>
      </c>
      <c r="CS25" s="564">
        <f>IF(CR25=0,0,1+COUNTIF(CS$6:CS24,"&gt;0"))</f>
        <v>0</v>
      </c>
      <c r="CT25" s="564">
        <f t="shared" si="24"/>
        <v>0</v>
      </c>
      <c r="CU25" s="564">
        <f>IF(CT25=0,0,1+COUNTIF(CU$6:CU24,"&gt;0"))</f>
        <v>0</v>
      </c>
      <c r="CV25" s="564">
        <f t="shared" si="25"/>
        <v>0</v>
      </c>
      <c r="CW25" s="564">
        <f>IF(CV25=0,0,1+COUNTIF(CW$6:CW24,"&gt;0"))</f>
        <v>0</v>
      </c>
      <c r="CX25" s="564">
        <f t="shared" si="26"/>
        <v>0</v>
      </c>
      <c r="CY25" s="564">
        <f>IF(CX25=0,0,1+COUNTIF(CY$6:CY24,"&gt;0"))</f>
        <v>0</v>
      </c>
      <c r="CZ25" s="564">
        <f t="shared" si="27"/>
        <v>0</v>
      </c>
      <c r="DA25" s="564">
        <f>IF(CZ25=0,0,1+COUNTIF(DA$6:DA24,"&gt;0"))</f>
        <v>0</v>
      </c>
      <c r="DB25" s="564">
        <f t="shared" si="28"/>
        <v>0</v>
      </c>
      <c r="DC25" s="564">
        <f>IF(DB25=0,0,1+COUNTIF(DC$6:DC24,"&gt;0"))</f>
        <v>0</v>
      </c>
      <c r="DD25" s="565"/>
      <c r="DE25" s="565"/>
      <c r="DF25" s="565"/>
    </row>
    <row r="26" spans="1:110" x14ac:dyDescent="0.25">
      <c r="A26" s="120"/>
      <c r="B26" s="5">
        <v>21</v>
      </c>
      <c r="C26" s="1061" t="str">
        <f t="shared" si="0"/>
        <v/>
      </c>
      <c r="D26" s="1061"/>
      <c r="E26" s="1061"/>
      <c r="F26" s="1061"/>
      <c r="G26" s="1061"/>
      <c r="H26" s="565"/>
      <c r="I26" s="565"/>
      <c r="J26" s="565" t="str">
        <f t="shared" si="11"/>
        <v/>
      </c>
      <c r="K26" s="5">
        <v>21</v>
      </c>
      <c r="L26" s="1061" t="str">
        <f t="shared" si="1"/>
        <v/>
      </c>
      <c r="M26" s="1061"/>
      <c r="N26" s="1061"/>
      <c r="O26" s="1061"/>
      <c r="P26" s="1061"/>
      <c r="Q26" s="565"/>
      <c r="R26" s="565"/>
      <c r="S26" s="565" t="str">
        <f t="shared" si="12"/>
        <v/>
      </c>
      <c r="T26" s="5">
        <v>21</v>
      </c>
      <c r="U26" s="1061" t="str">
        <f t="shared" si="2"/>
        <v/>
      </c>
      <c r="V26" s="1061"/>
      <c r="W26" s="1061"/>
      <c r="X26" s="1061"/>
      <c r="Y26" s="1061"/>
      <c r="Z26" s="565" t="str">
        <f t="shared" si="3"/>
        <v/>
      </c>
      <c r="AA26" s="565"/>
      <c r="AB26" s="565" t="str">
        <f t="shared" si="13"/>
        <v/>
      </c>
      <c r="AC26" s="5">
        <v>21</v>
      </c>
      <c r="AD26" s="1061" t="str">
        <f t="shared" si="4"/>
        <v/>
      </c>
      <c r="AE26" s="1061"/>
      <c r="AF26" s="1061"/>
      <c r="AG26" s="1061"/>
      <c r="AH26" s="1061"/>
      <c r="AI26" s="565" t="s">
        <v>3034</v>
      </c>
      <c r="AJ26" s="565"/>
      <c r="AK26" s="565" t="str">
        <f t="shared" si="14"/>
        <v/>
      </c>
      <c r="AL26" s="5">
        <v>21</v>
      </c>
      <c r="AM26" s="1061" t="str">
        <f t="shared" si="5"/>
        <v/>
      </c>
      <c r="AN26" s="1061"/>
      <c r="AO26" s="1061"/>
      <c r="AP26" s="1061"/>
      <c r="AQ26" s="1061"/>
      <c r="AR26" s="565"/>
      <c r="AS26" s="565"/>
      <c r="AT26" s="565" t="str">
        <f t="shared" si="15"/>
        <v/>
      </c>
      <c r="AU26" s="5">
        <v>21</v>
      </c>
      <c r="AV26" s="1061" t="str">
        <f t="shared" si="6"/>
        <v/>
      </c>
      <c r="AW26" s="1061"/>
      <c r="AX26" s="1061"/>
      <c r="AY26" s="1061"/>
      <c r="AZ26" s="1061"/>
      <c r="BA26" s="565"/>
      <c r="BB26" s="565"/>
      <c r="BC26" s="565" t="str">
        <f t="shared" si="16"/>
        <v/>
      </c>
      <c r="BD26" s="5">
        <v>21</v>
      </c>
      <c r="BE26" s="1061" t="str">
        <f t="shared" si="7"/>
        <v/>
      </c>
      <c r="BF26" s="1061"/>
      <c r="BG26" s="1061"/>
      <c r="BH26" s="1061"/>
      <c r="BI26" s="1061"/>
      <c r="BJ26" s="565"/>
      <c r="BK26" s="565"/>
      <c r="BL26" s="565" t="str">
        <f t="shared" si="17"/>
        <v/>
      </c>
      <c r="BM26" s="5">
        <v>21</v>
      </c>
      <c r="BN26" s="1061" t="str">
        <f t="shared" si="8"/>
        <v/>
      </c>
      <c r="BO26" s="1061"/>
      <c r="BP26" s="1061"/>
      <c r="BQ26" s="1061"/>
      <c r="BR26" s="1061"/>
      <c r="BS26" s="565"/>
      <c r="BT26" s="565"/>
      <c r="BU26" s="565" t="str">
        <f t="shared" si="18"/>
        <v/>
      </c>
      <c r="BV26" s="5">
        <v>21</v>
      </c>
      <c r="BW26" s="1061" t="str">
        <f t="shared" si="9"/>
        <v/>
      </c>
      <c r="BX26" s="1061"/>
      <c r="BY26" s="1061"/>
      <c r="BZ26" s="1061"/>
      <c r="CA26" s="1061"/>
      <c r="CB26" s="565"/>
      <c r="CC26" s="565" t="str">
        <f t="shared" si="19"/>
        <v/>
      </c>
      <c r="CD26" s="565"/>
      <c r="CE26" s="565"/>
      <c r="CF26" s="565"/>
      <c r="CG26" s="565"/>
      <c r="CH26" s="565"/>
      <c r="CI26" s="564">
        <v>5</v>
      </c>
      <c r="CJ26" s="564" t="str">
        <f>IFERROR(INDEX(T08_Spells!$B$3:$B$1000,MATCH(S08_Sorcerer!CI26,T08_Spells!$DZ$3:$DZ$1000,0),1),"")</f>
        <v>Animal Friendship</v>
      </c>
      <c r="CK26" s="564">
        <f>IFERROR(INDEX(T08_Spells!$C$3:$C$1000,MATCH($CJ26,T08_Spells!$B$3:$B$1000,0),1),"")</f>
        <v>1</v>
      </c>
      <c r="CL26" s="564">
        <f t="shared" si="20"/>
        <v>1</v>
      </c>
      <c r="CM26" s="564">
        <f>IF(CL26=0,0,1+COUNTIF(CM$6:CM25,"&gt;0"))</f>
        <v>2</v>
      </c>
      <c r="CN26" s="564">
        <f t="shared" si="21"/>
        <v>0</v>
      </c>
      <c r="CO26" s="564">
        <f>IF(CN26=0,0,1+COUNTIF(CO$6:CO25,"&gt;0"))</f>
        <v>0</v>
      </c>
      <c r="CP26" s="564">
        <f t="shared" si="22"/>
        <v>0</v>
      </c>
      <c r="CQ26" s="564">
        <f>IF(CP26=0,0,1+COUNTIF(CQ$6:CQ25,"&gt;0"))</f>
        <v>0</v>
      </c>
      <c r="CR26" s="564">
        <f t="shared" si="23"/>
        <v>0</v>
      </c>
      <c r="CS26" s="564">
        <f>IF(CR26=0,0,1+COUNTIF(CS$6:CS25,"&gt;0"))</f>
        <v>0</v>
      </c>
      <c r="CT26" s="564">
        <f t="shared" si="24"/>
        <v>0</v>
      </c>
      <c r="CU26" s="564">
        <f>IF(CT26=0,0,1+COUNTIF(CU$6:CU25,"&gt;0"))</f>
        <v>0</v>
      </c>
      <c r="CV26" s="564">
        <f t="shared" si="25"/>
        <v>0</v>
      </c>
      <c r="CW26" s="564">
        <f>IF(CV26=0,0,1+COUNTIF(CW$6:CW25,"&gt;0"))</f>
        <v>0</v>
      </c>
      <c r="CX26" s="564">
        <f t="shared" si="26"/>
        <v>0</v>
      </c>
      <c r="CY26" s="564">
        <f>IF(CX26=0,0,1+COUNTIF(CY$6:CY25,"&gt;0"))</f>
        <v>0</v>
      </c>
      <c r="CZ26" s="564">
        <f t="shared" si="27"/>
        <v>0</v>
      </c>
      <c r="DA26" s="564">
        <f>IF(CZ26=0,0,1+COUNTIF(DA$6:DA25,"&gt;0"))</f>
        <v>0</v>
      </c>
      <c r="DB26" s="564">
        <f t="shared" si="28"/>
        <v>0</v>
      </c>
      <c r="DC26" s="564">
        <f>IF(DB26=0,0,1+COUNTIF(DC$6:DC25,"&gt;0"))</f>
        <v>0</v>
      </c>
      <c r="DD26" s="565"/>
      <c r="DE26" s="565"/>
      <c r="DF26" s="565"/>
    </row>
    <row r="27" spans="1:110" x14ac:dyDescent="0.25">
      <c r="A27" s="120"/>
      <c r="B27" s="5">
        <v>22</v>
      </c>
      <c r="C27" s="1061" t="str">
        <f t="shared" si="0"/>
        <v/>
      </c>
      <c r="D27" s="1061"/>
      <c r="E27" s="1061"/>
      <c r="F27" s="1061"/>
      <c r="G27" s="1061"/>
      <c r="H27" s="565"/>
      <c r="I27" s="565"/>
      <c r="J27" s="565" t="str">
        <f t="shared" si="11"/>
        <v/>
      </c>
      <c r="K27" s="5">
        <v>22</v>
      </c>
      <c r="L27" s="1061" t="str">
        <f t="shared" si="1"/>
        <v/>
      </c>
      <c r="M27" s="1061"/>
      <c r="N27" s="1061"/>
      <c r="O27" s="1061"/>
      <c r="P27" s="1061"/>
      <c r="Q27" s="565"/>
      <c r="R27" s="565"/>
      <c r="S27" s="565" t="str">
        <f t="shared" si="12"/>
        <v/>
      </c>
      <c r="T27" s="5">
        <v>22</v>
      </c>
      <c r="U27" s="1061" t="str">
        <f t="shared" si="2"/>
        <v/>
      </c>
      <c r="V27" s="1061"/>
      <c r="W27" s="1061"/>
      <c r="X27" s="1061"/>
      <c r="Y27" s="1061"/>
      <c r="Z27" s="565" t="str">
        <f t="shared" si="3"/>
        <v/>
      </c>
      <c r="AA27" s="565"/>
      <c r="AB27" s="565" t="str">
        <f t="shared" si="13"/>
        <v/>
      </c>
      <c r="AC27" s="5">
        <v>22</v>
      </c>
      <c r="AD27" s="1061" t="str">
        <f t="shared" si="4"/>
        <v/>
      </c>
      <c r="AE27" s="1061"/>
      <c r="AF27" s="1061"/>
      <c r="AG27" s="1061"/>
      <c r="AH27" s="1061"/>
      <c r="AI27" s="565" t="s">
        <v>3034</v>
      </c>
      <c r="AJ27" s="565"/>
      <c r="AK27" s="565" t="str">
        <f t="shared" si="14"/>
        <v/>
      </c>
      <c r="AL27" s="5">
        <v>22</v>
      </c>
      <c r="AM27" s="1061" t="str">
        <f t="shared" si="5"/>
        <v/>
      </c>
      <c r="AN27" s="1061"/>
      <c r="AO27" s="1061"/>
      <c r="AP27" s="1061"/>
      <c r="AQ27" s="1061"/>
      <c r="AR27" s="565"/>
      <c r="AS27" s="565"/>
      <c r="AT27" s="565" t="str">
        <f t="shared" si="15"/>
        <v/>
      </c>
      <c r="AU27" s="5">
        <v>22</v>
      </c>
      <c r="AV27" s="1061" t="str">
        <f t="shared" si="6"/>
        <v/>
      </c>
      <c r="AW27" s="1061"/>
      <c r="AX27" s="1061"/>
      <c r="AY27" s="1061"/>
      <c r="AZ27" s="1061"/>
      <c r="BA27" s="565"/>
      <c r="BB27" s="565"/>
      <c r="BC27" s="565" t="str">
        <f t="shared" si="16"/>
        <v/>
      </c>
      <c r="BD27" s="5">
        <v>22</v>
      </c>
      <c r="BE27" s="1061" t="str">
        <f t="shared" si="7"/>
        <v/>
      </c>
      <c r="BF27" s="1061"/>
      <c r="BG27" s="1061"/>
      <c r="BH27" s="1061"/>
      <c r="BI27" s="1061"/>
      <c r="BJ27" s="565"/>
      <c r="BK27" s="565"/>
      <c r="BL27" s="565" t="str">
        <f t="shared" si="17"/>
        <v/>
      </c>
      <c r="BM27" s="5">
        <v>22</v>
      </c>
      <c r="BN27" s="1061" t="str">
        <f t="shared" si="8"/>
        <v/>
      </c>
      <c r="BO27" s="1061"/>
      <c r="BP27" s="1061"/>
      <c r="BQ27" s="1061"/>
      <c r="BR27" s="1061"/>
      <c r="BS27" s="565"/>
      <c r="BT27" s="565"/>
      <c r="BU27" s="565" t="str">
        <f t="shared" si="18"/>
        <v/>
      </c>
      <c r="BV27" s="5">
        <v>22</v>
      </c>
      <c r="BW27" s="1061" t="str">
        <f t="shared" si="9"/>
        <v/>
      </c>
      <c r="BX27" s="1061"/>
      <c r="BY27" s="1061"/>
      <c r="BZ27" s="1061"/>
      <c r="CA27" s="1061"/>
      <c r="CB27" s="565"/>
      <c r="CC27" s="565" t="str">
        <f t="shared" si="19"/>
        <v/>
      </c>
      <c r="CD27" s="565"/>
      <c r="CE27" s="565"/>
      <c r="CF27" s="565"/>
      <c r="CG27" s="565"/>
      <c r="CH27" s="565"/>
      <c r="CI27" s="564">
        <v>6</v>
      </c>
      <c r="CJ27" s="564" t="str">
        <f>IFERROR(INDEX(T08_Spells!$B$3:$B$1000,MATCH(S08_Sorcerer!CI27,T08_Spells!$DZ$3:$DZ$1000,0),1),"")</f>
        <v>Animal Messenger</v>
      </c>
      <c r="CK27" s="564">
        <f>IFERROR(INDEX(T08_Spells!$C$3:$C$1000,MATCH($CJ27,T08_Spells!$B$3:$B$1000,0),1),"")</f>
        <v>2</v>
      </c>
      <c r="CL27" s="564">
        <f t="shared" si="20"/>
        <v>0</v>
      </c>
      <c r="CM27" s="564">
        <f>IF(CL27=0,0,1+COUNTIF(CM$6:CM26,"&gt;0"))</f>
        <v>0</v>
      </c>
      <c r="CN27" s="564">
        <f t="shared" si="21"/>
        <v>1</v>
      </c>
      <c r="CO27" s="564">
        <f>IF(CN27=0,0,1+COUNTIF(CO$6:CO26,"&gt;0"))</f>
        <v>3</v>
      </c>
      <c r="CP27" s="564">
        <f t="shared" si="22"/>
        <v>0</v>
      </c>
      <c r="CQ27" s="564">
        <f>IF(CP27=0,0,1+COUNTIF(CQ$6:CQ26,"&gt;0"))</f>
        <v>0</v>
      </c>
      <c r="CR27" s="564">
        <f t="shared" si="23"/>
        <v>0</v>
      </c>
      <c r="CS27" s="564">
        <f>IF(CR27=0,0,1+COUNTIF(CS$6:CS26,"&gt;0"))</f>
        <v>0</v>
      </c>
      <c r="CT27" s="564">
        <f t="shared" si="24"/>
        <v>0</v>
      </c>
      <c r="CU27" s="564">
        <f>IF(CT27=0,0,1+COUNTIF(CU$6:CU26,"&gt;0"))</f>
        <v>0</v>
      </c>
      <c r="CV27" s="564">
        <f t="shared" si="25"/>
        <v>0</v>
      </c>
      <c r="CW27" s="564">
        <f>IF(CV27=0,0,1+COUNTIF(CW$6:CW26,"&gt;0"))</f>
        <v>0</v>
      </c>
      <c r="CX27" s="564">
        <f t="shared" si="26"/>
        <v>0</v>
      </c>
      <c r="CY27" s="564">
        <f>IF(CX27=0,0,1+COUNTIF(CY$6:CY26,"&gt;0"))</f>
        <v>0</v>
      </c>
      <c r="CZ27" s="564">
        <f t="shared" si="27"/>
        <v>0</v>
      </c>
      <c r="DA27" s="564">
        <f>IF(CZ27=0,0,1+COUNTIF(DA$6:DA26,"&gt;0"))</f>
        <v>0</v>
      </c>
      <c r="DB27" s="564">
        <f t="shared" si="28"/>
        <v>0</v>
      </c>
      <c r="DC27" s="564">
        <f>IF(DB27=0,0,1+COUNTIF(DC$6:DC26,"&gt;0"))</f>
        <v>0</v>
      </c>
      <c r="DD27" s="565"/>
      <c r="DE27" s="565"/>
      <c r="DF27" s="565"/>
    </row>
    <row r="28" spans="1:110" x14ac:dyDescent="0.25">
      <c r="A28" s="120"/>
      <c r="B28" s="5">
        <v>23</v>
      </c>
      <c r="C28" s="1061" t="str">
        <f t="shared" si="0"/>
        <v/>
      </c>
      <c r="D28" s="1061"/>
      <c r="E28" s="1061"/>
      <c r="F28" s="1061"/>
      <c r="G28" s="1061"/>
      <c r="H28" s="565"/>
      <c r="I28" s="565"/>
      <c r="J28" s="565" t="str">
        <f t="shared" si="11"/>
        <v/>
      </c>
      <c r="K28" s="5">
        <v>23</v>
      </c>
      <c r="L28" s="1061" t="str">
        <f t="shared" si="1"/>
        <v/>
      </c>
      <c r="M28" s="1061"/>
      <c r="N28" s="1061"/>
      <c r="O28" s="1061"/>
      <c r="P28" s="1061"/>
      <c r="Q28" s="565"/>
      <c r="R28" s="565"/>
      <c r="S28" s="565" t="str">
        <f t="shared" si="12"/>
        <v/>
      </c>
      <c r="T28" s="5">
        <v>23</v>
      </c>
      <c r="U28" s="1061" t="str">
        <f t="shared" si="2"/>
        <v/>
      </c>
      <c r="V28" s="1061"/>
      <c r="W28" s="1061"/>
      <c r="X28" s="1061"/>
      <c r="Y28" s="1061"/>
      <c r="Z28" s="565" t="str">
        <f t="shared" si="3"/>
        <v/>
      </c>
      <c r="AA28" s="565"/>
      <c r="AB28" s="565" t="str">
        <f t="shared" si="13"/>
        <v/>
      </c>
      <c r="AC28" s="5">
        <v>23</v>
      </c>
      <c r="AD28" s="1061" t="str">
        <f t="shared" si="4"/>
        <v/>
      </c>
      <c r="AE28" s="1061"/>
      <c r="AF28" s="1061"/>
      <c r="AG28" s="1061"/>
      <c r="AH28" s="1061"/>
      <c r="AI28" s="565" t="s">
        <v>3034</v>
      </c>
      <c r="AJ28" s="565"/>
      <c r="AK28" s="565" t="str">
        <f t="shared" si="14"/>
        <v/>
      </c>
      <c r="AL28" s="5">
        <v>23</v>
      </c>
      <c r="AM28" s="1061" t="str">
        <f t="shared" si="5"/>
        <v/>
      </c>
      <c r="AN28" s="1061"/>
      <c r="AO28" s="1061"/>
      <c r="AP28" s="1061"/>
      <c r="AQ28" s="1061"/>
      <c r="AR28" s="565"/>
      <c r="AS28" s="565"/>
      <c r="AT28" s="565" t="str">
        <f t="shared" si="15"/>
        <v/>
      </c>
      <c r="AU28" s="5">
        <v>23</v>
      </c>
      <c r="AV28" s="1061" t="str">
        <f t="shared" si="6"/>
        <v/>
      </c>
      <c r="AW28" s="1061"/>
      <c r="AX28" s="1061"/>
      <c r="AY28" s="1061"/>
      <c r="AZ28" s="1061"/>
      <c r="BA28" s="565"/>
      <c r="BB28" s="565"/>
      <c r="BC28" s="565" t="str">
        <f t="shared" si="16"/>
        <v/>
      </c>
      <c r="BD28" s="5">
        <v>23</v>
      </c>
      <c r="BE28" s="1061" t="str">
        <f t="shared" si="7"/>
        <v/>
      </c>
      <c r="BF28" s="1061"/>
      <c r="BG28" s="1061"/>
      <c r="BH28" s="1061"/>
      <c r="BI28" s="1061"/>
      <c r="BJ28" s="565"/>
      <c r="BK28" s="565"/>
      <c r="BL28" s="565" t="str">
        <f t="shared" si="17"/>
        <v/>
      </c>
      <c r="BM28" s="5">
        <v>23</v>
      </c>
      <c r="BN28" s="1061" t="str">
        <f t="shared" si="8"/>
        <v/>
      </c>
      <c r="BO28" s="1061"/>
      <c r="BP28" s="1061"/>
      <c r="BQ28" s="1061"/>
      <c r="BR28" s="1061"/>
      <c r="BS28" s="565"/>
      <c r="BT28" s="565"/>
      <c r="BU28" s="565" t="str">
        <f t="shared" si="18"/>
        <v/>
      </c>
      <c r="BV28" s="5">
        <v>23</v>
      </c>
      <c r="BW28" s="1061" t="str">
        <f t="shared" si="9"/>
        <v/>
      </c>
      <c r="BX28" s="1061"/>
      <c r="BY28" s="1061"/>
      <c r="BZ28" s="1061"/>
      <c r="CA28" s="1061"/>
      <c r="CB28" s="565"/>
      <c r="CC28" s="565" t="str">
        <f t="shared" si="19"/>
        <v/>
      </c>
      <c r="CD28" s="565"/>
      <c r="CE28" s="565"/>
      <c r="CF28" s="565"/>
      <c r="CG28" s="565"/>
      <c r="CH28" s="565"/>
      <c r="CI28" s="564">
        <v>7</v>
      </c>
      <c r="CJ28" s="564" t="str">
        <f>IFERROR(INDEX(T08_Spells!$B$3:$B$1000,MATCH(S08_Sorcerer!CI28,T08_Spells!$DZ$3:$DZ$1000,0),1),"")</f>
        <v>Animal Shapes</v>
      </c>
      <c r="CK28" s="564">
        <f>IFERROR(INDEX(T08_Spells!$C$3:$C$1000,MATCH($CJ28,T08_Spells!$B$3:$B$1000,0),1),"")</f>
        <v>8</v>
      </c>
      <c r="CL28" s="564">
        <f t="shared" si="20"/>
        <v>0</v>
      </c>
      <c r="CM28" s="564">
        <f>IF(CL28=0,0,1+COUNTIF(CM$6:CM27,"&gt;0"))</f>
        <v>0</v>
      </c>
      <c r="CN28" s="564">
        <f t="shared" si="21"/>
        <v>0</v>
      </c>
      <c r="CO28" s="564">
        <f>IF(CN28=0,0,1+COUNTIF(CO$6:CO27,"&gt;0"))</f>
        <v>0</v>
      </c>
      <c r="CP28" s="564">
        <f t="shared" si="22"/>
        <v>0</v>
      </c>
      <c r="CQ28" s="564">
        <f>IF(CP28=0,0,1+COUNTIF(CQ$6:CQ27,"&gt;0"))</f>
        <v>0</v>
      </c>
      <c r="CR28" s="564">
        <f t="shared" si="23"/>
        <v>0</v>
      </c>
      <c r="CS28" s="564">
        <f>IF(CR28=0,0,1+COUNTIF(CS$6:CS27,"&gt;0"))</f>
        <v>0</v>
      </c>
      <c r="CT28" s="564">
        <f t="shared" si="24"/>
        <v>0</v>
      </c>
      <c r="CU28" s="564">
        <f>IF(CT28=0,0,1+COUNTIF(CU$6:CU27,"&gt;0"))</f>
        <v>0</v>
      </c>
      <c r="CV28" s="564">
        <f t="shared" si="25"/>
        <v>0</v>
      </c>
      <c r="CW28" s="564">
        <f>IF(CV28=0,0,1+COUNTIF(CW$6:CW27,"&gt;0"))</f>
        <v>0</v>
      </c>
      <c r="CX28" s="564">
        <f t="shared" si="26"/>
        <v>0</v>
      </c>
      <c r="CY28" s="564">
        <f>IF(CX28=0,0,1+COUNTIF(CY$6:CY27,"&gt;0"))</f>
        <v>0</v>
      </c>
      <c r="CZ28" s="564">
        <f t="shared" si="27"/>
        <v>1</v>
      </c>
      <c r="DA28" s="564">
        <f>IF(CZ28=0,0,1+COUNTIF(DA$6:DA27,"&gt;0"))</f>
        <v>1</v>
      </c>
      <c r="DB28" s="564">
        <f t="shared" si="28"/>
        <v>0</v>
      </c>
      <c r="DC28" s="564">
        <f>IF(DB28=0,0,1+COUNTIF(DC$6:DC27,"&gt;0"))</f>
        <v>0</v>
      </c>
      <c r="DD28" s="565"/>
      <c r="DE28" s="565"/>
      <c r="DF28" s="565"/>
    </row>
    <row r="29" spans="1:110" x14ac:dyDescent="0.25">
      <c r="A29" s="120"/>
      <c r="B29" s="5">
        <v>24</v>
      </c>
      <c r="C29" s="1061" t="str">
        <f t="shared" si="0"/>
        <v/>
      </c>
      <c r="D29" s="1061"/>
      <c r="E29" s="1061"/>
      <c r="F29" s="1061"/>
      <c r="G29" s="1061"/>
      <c r="H29" s="565"/>
      <c r="I29" s="565"/>
      <c r="J29" s="565" t="str">
        <f t="shared" si="11"/>
        <v/>
      </c>
      <c r="K29" s="5">
        <v>24</v>
      </c>
      <c r="L29" s="1061" t="str">
        <f t="shared" si="1"/>
        <v/>
      </c>
      <c r="M29" s="1061"/>
      <c r="N29" s="1061"/>
      <c r="O29" s="1061"/>
      <c r="P29" s="1061"/>
      <c r="Q29" s="565"/>
      <c r="R29" s="565"/>
      <c r="S29" s="565" t="str">
        <f t="shared" si="12"/>
        <v/>
      </c>
      <c r="T29" s="5">
        <v>24</v>
      </c>
      <c r="U29" s="1061" t="str">
        <f t="shared" si="2"/>
        <v/>
      </c>
      <c r="V29" s="1061"/>
      <c r="W29" s="1061"/>
      <c r="X29" s="1061"/>
      <c r="Y29" s="1061"/>
      <c r="Z29" s="565" t="str">
        <f t="shared" si="3"/>
        <v/>
      </c>
      <c r="AA29" s="565"/>
      <c r="AB29" s="565" t="str">
        <f t="shared" si="13"/>
        <v/>
      </c>
      <c r="AC29" s="5">
        <v>24</v>
      </c>
      <c r="AD29" s="1061" t="str">
        <f t="shared" si="4"/>
        <v/>
      </c>
      <c r="AE29" s="1061"/>
      <c r="AF29" s="1061"/>
      <c r="AG29" s="1061"/>
      <c r="AH29" s="1061"/>
      <c r="AI29" s="565" t="s">
        <v>3034</v>
      </c>
      <c r="AJ29" s="565"/>
      <c r="AK29" s="565" t="str">
        <f t="shared" si="14"/>
        <v/>
      </c>
      <c r="AL29" s="5">
        <v>24</v>
      </c>
      <c r="AM29" s="1061" t="str">
        <f t="shared" si="5"/>
        <v/>
      </c>
      <c r="AN29" s="1061"/>
      <c r="AO29" s="1061"/>
      <c r="AP29" s="1061"/>
      <c r="AQ29" s="1061"/>
      <c r="AR29" s="565"/>
      <c r="AS29" s="565"/>
      <c r="AT29" s="565" t="str">
        <f t="shared" si="15"/>
        <v/>
      </c>
      <c r="AU29" s="5">
        <v>24</v>
      </c>
      <c r="AV29" s="1061" t="str">
        <f t="shared" si="6"/>
        <v/>
      </c>
      <c r="AW29" s="1061"/>
      <c r="AX29" s="1061"/>
      <c r="AY29" s="1061"/>
      <c r="AZ29" s="1061"/>
      <c r="BA29" s="565"/>
      <c r="BB29" s="565"/>
      <c r="BC29" s="565" t="str">
        <f t="shared" si="16"/>
        <v/>
      </c>
      <c r="BD29" s="5">
        <v>24</v>
      </c>
      <c r="BE29" s="1061" t="str">
        <f t="shared" si="7"/>
        <v/>
      </c>
      <c r="BF29" s="1061"/>
      <c r="BG29" s="1061"/>
      <c r="BH29" s="1061"/>
      <c r="BI29" s="1061"/>
      <c r="BJ29" s="565"/>
      <c r="BK29" s="565"/>
      <c r="BL29" s="565" t="str">
        <f t="shared" si="17"/>
        <v/>
      </c>
      <c r="BM29" s="5">
        <v>24</v>
      </c>
      <c r="BN29" s="1061" t="str">
        <f t="shared" si="8"/>
        <v/>
      </c>
      <c r="BO29" s="1061"/>
      <c r="BP29" s="1061"/>
      <c r="BQ29" s="1061"/>
      <c r="BR29" s="1061"/>
      <c r="BS29" s="565"/>
      <c r="BT29" s="565"/>
      <c r="BU29" s="565" t="str">
        <f t="shared" si="18"/>
        <v/>
      </c>
      <c r="BV29" s="5">
        <v>24</v>
      </c>
      <c r="BW29" s="1061" t="str">
        <f t="shared" si="9"/>
        <v/>
      </c>
      <c r="BX29" s="1061"/>
      <c r="BY29" s="1061"/>
      <c r="BZ29" s="1061"/>
      <c r="CA29" s="1061"/>
      <c r="CB29" s="565"/>
      <c r="CC29" s="565" t="str">
        <f t="shared" si="19"/>
        <v/>
      </c>
      <c r="CD29" s="565"/>
      <c r="CE29" s="565"/>
      <c r="CF29" s="565"/>
      <c r="CG29" s="565"/>
      <c r="CH29" s="565"/>
      <c r="CI29" s="564">
        <v>8</v>
      </c>
      <c r="CJ29" s="564" t="str">
        <f>IFERROR(INDEX(T08_Spells!$B$3:$B$1000,MATCH(S08_Sorcerer!CI29,T08_Spells!$DZ$3:$DZ$1000,0),1),"")</f>
        <v>Animate Dead</v>
      </c>
      <c r="CK29" s="564">
        <f>IFERROR(INDEX(T08_Spells!$C$3:$C$1000,MATCH($CJ29,T08_Spells!$B$3:$B$1000,0),1),"")</f>
        <v>3</v>
      </c>
      <c r="CL29" s="564">
        <f t="shared" si="20"/>
        <v>0</v>
      </c>
      <c r="CM29" s="564">
        <f>IF(CL29=0,0,1+COUNTIF(CM$6:CM28,"&gt;0"))</f>
        <v>0</v>
      </c>
      <c r="CN29" s="564">
        <f t="shared" si="21"/>
        <v>0</v>
      </c>
      <c r="CO29" s="564">
        <f>IF(CN29=0,0,1+COUNTIF(CO$6:CO28,"&gt;0"))</f>
        <v>0</v>
      </c>
      <c r="CP29" s="564">
        <f t="shared" si="22"/>
        <v>1</v>
      </c>
      <c r="CQ29" s="564">
        <f>IF(CP29=0,0,1+COUNTIF(CQ$6:CQ28,"&gt;0"))</f>
        <v>1</v>
      </c>
      <c r="CR29" s="564">
        <f t="shared" si="23"/>
        <v>0</v>
      </c>
      <c r="CS29" s="564">
        <f>IF(CR29=0,0,1+COUNTIF(CS$6:CS28,"&gt;0"))</f>
        <v>0</v>
      </c>
      <c r="CT29" s="564">
        <f t="shared" si="24"/>
        <v>0</v>
      </c>
      <c r="CU29" s="564">
        <f>IF(CT29=0,0,1+COUNTIF(CU$6:CU28,"&gt;0"))</f>
        <v>0</v>
      </c>
      <c r="CV29" s="564">
        <f t="shared" si="25"/>
        <v>0</v>
      </c>
      <c r="CW29" s="564">
        <f>IF(CV29=0,0,1+COUNTIF(CW$6:CW28,"&gt;0"))</f>
        <v>0</v>
      </c>
      <c r="CX29" s="564">
        <f t="shared" si="26"/>
        <v>0</v>
      </c>
      <c r="CY29" s="564">
        <f>IF(CX29=0,0,1+COUNTIF(CY$6:CY28,"&gt;0"))</f>
        <v>0</v>
      </c>
      <c r="CZ29" s="564">
        <f t="shared" si="27"/>
        <v>0</v>
      </c>
      <c r="DA29" s="564">
        <f>IF(CZ29=0,0,1+COUNTIF(DA$6:DA28,"&gt;0"))</f>
        <v>0</v>
      </c>
      <c r="DB29" s="564">
        <f t="shared" si="28"/>
        <v>0</v>
      </c>
      <c r="DC29" s="564">
        <f>IF(DB29=0,0,1+COUNTIF(DC$6:DC28,"&gt;0"))</f>
        <v>0</v>
      </c>
      <c r="DD29" s="565"/>
      <c r="DE29" s="565"/>
      <c r="DF29" s="565"/>
    </row>
    <row r="30" spans="1:110" x14ac:dyDescent="0.25">
      <c r="A30" s="120"/>
      <c r="B30" s="5">
        <v>25</v>
      </c>
      <c r="C30" s="1061" t="str">
        <f t="shared" si="0"/>
        <v/>
      </c>
      <c r="D30" s="1061"/>
      <c r="E30" s="1061"/>
      <c r="F30" s="1061"/>
      <c r="G30" s="1061"/>
      <c r="H30" s="565"/>
      <c r="I30" s="565"/>
      <c r="J30" s="565" t="str">
        <f t="shared" si="11"/>
        <v/>
      </c>
      <c r="K30" s="5">
        <v>25</v>
      </c>
      <c r="L30" s="1061" t="str">
        <f t="shared" si="1"/>
        <v/>
      </c>
      <c r="M30" s="1061"/>
      <c r="N30" s="1061"/>
      <c r="O30" s="1061"/>
      <c r="P30" s="1061"/>
      <c r="Q30" s="565"/>
      <c r="R30" s="565"/>
      <c r="S30" s="565" t="str">
        <f t="shared" si="12"/>
        <v/>
      </c>
      <c r="T30" s="5">
        <v>25</v>
      </c>
      <c r="U30" s="1061" t="str">
        <f t="shared" si="2"/>
        <v/>
      </c>
      <c r="V30" s="1061"/>
      <c r="W30" s="1061"/>
      <c r="X30" s="1061"/>
      <c r="Y30" s="1061"/>
      <c r="Z30" s="565" t="str">
        <f t="shared" si="3"/>
        <v/>
      </c>
      <c r="AA30" s="565"/>
      <c r="AB30" s="565" t="str">
        <f t="shared" si="13"/>
        <v/>
      </c>
      <c r="AC30" s="5">
        <v>25</v>
      </c>
      <c r="AD30" s="1061" t="str">
        <f t="shared" si="4"/>
        <v/>
      </c>
      <c r="AE30" s="1061"/>
      <c r="AF30" s="1061"/>
      <c r="AG30" s="1061"/>
      <c r="AH30" s="1061"/>
      <c r="AI30" s="565" t="s">
        <v>3034</v>
      </c>
      <c r="AJ30" s="565"/>
      <c r="AK30" s="565" t="str">
        <f t="shared" si="14"/>
        <v/>
      </c>
      <c r="AL30" s="5">
        <v>25</v>
      </c>
      <c r="AM30" s="1061" t="str">
        <f t="shared" si="5"/>
        <v/>
      </c>
      <c r="AN30" s="1061"/>
      <c r="AO30" s="1061"/>
      <c r="AP30" s="1061"/>
      <c r="AQ30" s="1061"/>
      <c r="AR30" s="565"/>
      <c r="AS30" s="565"/>
      <c r="AT30" s="565" t="str">
        <f t="shared" si="15"/>
        <v/>
      </c>
      <c r="AU30" s="5">
        <v>25</v>
      </c>
      <c r="AV30" s="1061" t="str">
        <f t="shared" si="6"/>
        <v/>
      </c>
      <c r="AW30" s="1061"/>
      <c r="AX30" s="1061"/>
      <c r="AY30" s="1061"/>
      <c r="AZ30" s="1061"/>
      <c r="BA30" s="565"/>
      <c r="BB30" s="565"/>
      <c r="BC30" s="565" t="str">
        <f t="shared" si="16"/>
        <v/>
      </c>
      <c r="BD30" s="5">
        <v>25</v>
      </c>
      <c r="BE30" s="1061" t="str">
        <f t="shared" si="7"/>
        <v/>
      </c>
      <c r="BF30" s="1061"/>
      <c r="BG30" s="1061"/>
      <c r="BH30" s="1061"/>
      <c r="BI30" s="1061"/>
      <c r="BJ30" s="565"/>
      <c r="BK30" s="565"/>
      <c r="BL30" s="565" t="str">
        <f t="shared" si="17"/>
        <v/>
      </c>
      <c r="BM30" s="5">
        <v>25</v>
      </c>
      <c r="BN30" s="1061" t="str">
        <f t="shared" si="8"/>
        <v/>
      </c>
      <c r="BO30" s="1061"/>
      <c r="BP30" s="1061"/>
      <c r="BQ30" s="1061"/>
      <c r="BR30" s="1061"/>
      <c r="BS30" s="565"/>
      <c r="BT30" s="565"/>
      <c r="BU30" s="565" t="str">
        <f t="shared" si="18"/>
        <v/>
      </c>
      <c r="BV30" s="5">
        <v>25</v>
      </c>
      <c r="BW30" s="1061" t="str">
        <f t="shared" si="9"/>
        <v/>
      </c>
      <c r="BX30" s="1061"/>
      <c r="BY30" s="1061"/>
      <c r="BZ30" s="1061"/>
      <c r="CA30" s="1061"/>
      <c r="CB30" s="565"/>
      <c r="CC30" s="565" t="str">
        <f t="shared" si="19"/>
        <v/>
      </c>
      <c r="CD30" s="565"/>
      <c r="CE30" s="565"/>
      <c r="CF30" s="565"/>
      <c r="CG30" s="565"/>
      <c r="CH30" s="565"/>
      <c r="CI30" s="564">
        <v>9</v>
      </c>
      <c r="CJ30" s="564" t="str">
        <f>IFERROR(INDEX(T08_Spells!$B$3:$B$1000,MATCH(S08_Sorcerer!CI30,T08_Spells!$DZ$3:$DZ$1000,0),1),"")</f>
        <v>Animate Objects</v>
      </c>
      <c r="CK30" s="564">
        <f>IFERROR(INDEX(T08_Spells!$C$3:$C$1000,MATCH($CJ30,T08_Spells!$B$3:$B$1000,0),1),"")</f>
        <v>5</v>
      </c>
      <c r="CL30" s="564">
        <f t="shared" si="20"/>
        <v>0</v>
      </c>
      <c r="CM30" s="564">
        <f>IF(CL30=0,0,1+COUNTIF(CM$6:CM29,"&gt;0"))</f>
        <v>0</v>
      </c>
      <c r="CN30" s="564">
        <f t="shared" si="21"/>
        <v>0</v>
      </c>
      <c r="CO30" s="564">
        <f>IF(CN30=0,0,1+COUNTIF(CO$6:CO29,"&gt;0"))</f>
        <v>0</v>
      </c>
      <c r="CP30" s="564">
        <f t="shared" si="22"/>
        <v>0</v>
      </c>
      <c r="CQ30" s="564">
        <f>IF(CP30=0,0,1+COUNTIF(CQ$6:CQ29,"&gt;0"))</f>
        <v>0</v>
      </c>
      <c r="CR30" s="564">
        <f t="shared" si="23"/>
        <v>0</v>
      </c>
      <c r="CS30" s="564">
        <f>IF(CR30=0,0,1+COUNTIF(CS$6:CS29,"&gt;0"))</f>
        <v>0</v>
      </c>
      <c r="CT30" s="564">
        <f t="shared" si="24"/>
        <v>1</v>
      </c>
      <c r="CU30" s="564">
        <f>IF(CT30=0,0,1+COUNTIF(CU$6:CU29,"&gt;0"))</f>
        <v>1</v>
      </c>
      <c r="CV30" s="564">
        <f t="shared" si="25"/>
        <v>0</v>
      </c>
      <c r="CW30" s="564">
        <f>IF(CV30=0,0,1+COUNTIF(CW$6:CW29,"&gt;0"))</f>
        <v>0</v>
      </c>
      <c r="CX30" s="564">
        <f t="shared" si="26"/>
        <v>0</v>
      </c>
      <c r="CY30" s="564">
        <f>IF(CX30=0,0,1+COUNTIF(CY$6:CY29,"&gt;0"))</f>
        <v>0</v>
      </c>
      <c r="CZ30" s="564">
        <f t="shared" si="27"/>
        <v>0</v>
      </c>
      <c r="DA30" s="564">
        <f>IF(CZ30=0,0,1+COUNTIF(DA$6:DA29,"&gt;0"))</f>
        <v>0</v>
      </c>
      <c r="DB30" s="564">
        <f t="shared" si="28"/>
        <v>0</v>
      </c>
      <c r="DC30" s="564">
        <f>IF(DB30=0,0,1+COUNTIF(DC$6:DC29,"&gt;0"))</f>
        <v>0</v>
      </c>
      <c r="DD30" s="565"/>
      <c r="DE30" s="565"/>
      <c r="DF30" s="565"/>
    </row>
    <row r="31" spans="1:110" x14ac:dyDescent="0.25">
      <c r="A31" s="120"/>
      <c r="B31" s="5">
        <v>26</v>
      </c>
      <c r="C31" s="1061" t="str">
        <f t="shared" si="0"/>
        <v/>
      </c>
      <c r="D31" s="1061"/>
      <c r="E31" s="1061"/>
      <c r="F31" s="1061"/>
      <c r="G31" s="1061"/>
      <c r="H31" s="565"/>
      <c r="I31" s="565"/>
      <c r="J31" s="565" t="str">
        <f t="shared" si="11"/>
        <v/>
      </c>
      <c r="K31" s="5">
        <v>26</v>
      </c>
      <c r="L31" s="1061" t="str">
        <f t="shared" si="1"/>
        <v/>
      </c>
      <c r="M31" s="1061"/>
      <c r="N31" s="1061"/>
      <c r="O31" s="1061"/>
      <c r="P31" s="1061"/>
      <c r="Q31" s="565"/>
      <c r="R31" s="565"/>
      <c r="S31" s="565" t="str">
        <f t="shared" si="12"/>
        <v/>
      </c>
      <c r="T31" s="5">
        <v>26</v>
      </c>
      <c r="U31" s="1061" t="str">
        <f t="shared" si="2"/>
        <v/>
      </c>
      <c r="V31" s="1061"/>
      <c r="W31" s="1061"/>
      <c r="X31" s="1061"/>
      <c r="Y31" s="1061"/>
      <c r="Z31" s="565" t="str">
        <f t="shared" si="3"/>
        <v/>
      </c>
      <c r="AA31" s="565"/>
      <c r="AB31" s="565" t="str">
        <f t="shared" si="13"/>
        <v/>
      </c>
      <c r="AC31" s="5">
        <v>26</v>
      </c>
      <c r="AD31" s="1061" t="str">
        <f t="shared" si="4"/>
        <v/>
      </c>
      <c r="AE31" s="1061"/>
      <c r="AF31" s="1061"/>
      <c r="AG31" s="1061"/>
      <c r="AH31" s="1061"/>
      <c r="AI31" s="565" t="s">
        <v>3034</v>
      </c>
      <c r="AJ31" s="565"/>
      <c r="AK31" s="565" t="str">
        <f t="shared" si="14"/>
        <v/>
      </c>
      <c r="AL31" s="5">
        <v>26</v>
      </c>
      <c r="AM31" s="1061" t="str">
        <f t="shared" si="5"/>
        <v/>
      </c>
      <c r="AN31" s="1061"/>
      <c r="AO31" s="1061"/>
      <c r="AP31" s="1061"/>
      <c r="AQ31" s="1061"/>
      <c r="AR31" s="565"/>
      <c r="AS31" s="565"/>
      <c r="AT31" s="565" t="str">
        <f t="shared" si="15"/>
        <v/>
      </c>
      <c r="AU31" s="5">
        <v>26</v>
      </c>
      <c r="AV31" s="1061" t="str">
        <f t="shared" si="6"/>
        <v/>
      </c>
      <c r="AW31" s="1061"/>
      <c r="AX31" s="1061"/>
      <c r="AY31" s="1061"/>
      <c r="AZ31" s="1061"/>
      <c r="BA31" s="565"/>
      <c r="BB31" s="565"/>
      <c r="BC31" s="565" t="str">
        <f t="shared" si="16"/>
        <v/>
      </c>
      <c r="BD31" s="5">
        <v>26</v>
      </c>
      <c r="BE31" s="1061" t="str">
        <f t="shared" si="7"/>
        <v/>
      </c>
      <c r="BF31" s="1061"/>
      <c r="BG31" s="1061"/>
      <c r="BH31" s="1061"/>
      <c r="BI31" s="1061"/>
      <c r="BJ31" s="565"/>
      <c r="BK31" s="565"/>
      <c r="BL31" s="565" t="str">
        <f t="shared" si="17"/>
        <v/>
      </c>
      <c r="BM31" s="5">
        <v>26</v>
      </c>
      <c r="BN31" s="1061" t="str">
        <f t="shared" si="8"/>
        <v/>
      </c>
      <c r="BO31" s="1061"/>
      <c r="BP31" s="1061"/>
      <c r="BQ31" s="1061"/>
      <c r="BR31" s="1061"/>
      <c r="BS31" s="565"/>
      <c r="BT31" s="565"/>
      <c r="BU31" s="565" t="str">
        <f t="shared" si="18"/>
        <v/>
      </c>
      <c r="BV31" s="5">
        <v>26</v>
      </c>
      <c r="BW31" s="1061" t="str">
        <f t="shared" si="9"/>
        <v/>
      </c>
      <c r="BX31" s="1061"/>
      <c r="BY31" s="1061"/>
      <c r="BZ31" s="1061"/>
      <c r="CA31" s="1061"/>
      <c r="CB31" s="565"/>
      <c r="CC31" s="565" t="str">
        <f t="shared" si="19"/>
        <v/>
      </c>
      <c r="CD31" s="565"/>
      <c r="CE31" s="565"/>
      <c r="CF31" s="565"/>
      <c r="CG31" s="565"/>
      <c r="CH31" s="565"/>
      <c r="CI31" s="564">
        <v>10</v>
      </c>
      <c r="CJ31" s="564" t="str">
        <f>IFERROR(INDEX(T08_Spells!$B$3:$B$1000,MATCH(S08_Sorcerer!CI31,T08_Spells!$DZ$3:$DZ$1000,0),1),"")</f>
        <v>Antilife Shell</v>
      </c>
      <c r="CK31" s="564">
        <f>IFERROR(INDEX(T08_Spells!$C$3:$C$1000,MATCH($CJ31,T08_Spells!$B$3:$B$1000,0),1),"")</f>
        <v>5</v>
      </c>
      <c r="CL31" s="564">
        <f t="shared" si="20"/>
        <v>0</v>
      </c>
      <c r="CM31" s="564">
        <f>IF(CL31=0,0,1+COUNTIF(CM$6:CM30,"&gt;0"))</f>
        <v>0</v>
      </c>
      <c r="CN31" s="564">
        <f t="shared" si="21"/>
        <v>0</v>
      </c>
      <c r="CO31" s="564">
        <f>IF(CN31=0,0,1+COUNTIF(CO$6:CO30,"&gt;0"))</f>
        <v>0</v>
      </c>
      <c r="CP31" s="564">
        <f t="shared" si="22"/>
        <v>0</v>
      </c>
      <c r="CQ31" s="564">
        <f>IF(CP31=0,0,1+COUNTIF(CQ$6:CQ30,"&gt;0"))</f>
        <v>0</v>
      </c>
      <c r="CR31" s="564">
        <f t="shared" si="23"/>
        <v>0</v>
      </c>
      <c r="CS31" s="564">
        <f>IF(CR31=0,0,1+COUNTIF(CS$6:CS30,"&gt;0"))</f>
        <v>0</v>
      </c>
      <c r="CT31" s="564">
        <f t="shared" si="24"/>
        <v>1</v>
      </c>
      <c r="CU31" s="564">
        <f>IF(CT31=0,0,1+COUNTIF(CU$6:CU30,"&gt;0"))</f>
        <v>2</v>
      </c>
      <c r="CV31" s="564">
        <f t="shared" si="25"/>
        <v>0</v>
      </c>
      <c r="CW31" s="564">
        <f>IF(CV31=0,0,1+COUNTIF(CW$6:CW30,"&gt;0"))</f>
        <v>0</v>
      </c>
      <c r="CX31" s="564">
        <f t="shared" si="26"/>
        <v>0</v>
      </c>
      <c r="CY31" s="564">
        <f>IF(CX31=0,0,1+COUNTIF(CY$6:CY30,"&gt;0"))</f>
        <v>0</v>
      </c>
      <c r="CZ31" s="564">
        <f t="shared" si="27"/>
        <v>0</v>
      </c>
      <c r="DA31" s="564">
        <f>IF(CZ31=0,0,1+COUNTIF(DA$6:DA30,"&gt;0"))</f>
        <v>0</v>
      </c>
      <c r="DB31" s="564">
        <f t="shared" si="28"/>
        <v>0</v>
      </c>
      <c r="DC31" s="564">
        <f>IF(DB31=0,0,1+COUNTIF(DC$6:DC30,"&gt;0"))</f>
        <v>0</v>
      </c>
      <c r="DD31" s="565"/>
      <c r="DE31" s="565"/>
      <c r="DF31" s="565"/>
    </row>
    <row r="32" spans="1:110" x14ac:dyDescent="0.25">
      <c r="A32" s="120"/>
      <c r="B32" s="5">
        <v>27</v>
      </c>
      <c r="C32" s="1061" t="str">
        <f t="shared" si="0"/>
        <v/>
      </c>
      <c r="D32" s="1061"/>
      <c r="E32" s="1061"/>
      <c r="F32" s="1061"/>
      <c r="G32" s="1061"/>
      <c r="H32" s="565"/>
      <c r="I32" s="565"/>
      <c r="J32" s="565" t="str">
        <f t="shared" si="11"/>
        <v/>
      </c>
      <c r="K32" s="5">
        <v>27</v>
      </c>
      <c r="L32" s="1061" t="str">
        <f t="shared" si="1"/>
        <v/>
      </c>
      <c r="M32" s="1061"/>
      <c r="N32" s="1061"/>
      <c r="O32" s="1061"/>
      <c r="P32" s="1061"/>
      <c r="Q32" s="565"/>
      <c r="R32" s="565"/>
      <c r="S32" s="565" t="str">
        <f t="shared" si="12"/>
        <v/>
      </c>
      <c r="T32" s="5">
        <v>27</v>
      </c>
      <c r="U32" s="1061" t="str">
        <f t="shared" si="2"/>
        <v/>
      </c>
      <c r="V32" s="1061"/>
      <c r="W32" s="1061"/>
      <c r="X32" s="1061"/>
      <c r="Y32" s="1061"/>
      <c r="Z32" s="565" t="str">
        <f t="shared" si="3"/>
        <v/>
      </c>
      <c r="AA32" s="565"/>
      <c r="AB32" s="565" t="str">
        <f t="shared" si="13"/>
        <v/>
      </c>
      <c r="AC32" s="5">
        <v>27</v>
      </c>
      <c r="AD32" s="1061" t="str">
        <f t="shared" si="4"/>
        <v/>
      </c>
      <c r="AE32" s="1061"/>
      <c r="AF32" s="1061"/>
      <c r="AG32" s="1061"/>
      <c r="AH32" s="1061"/>
      <c r="AI32" s="565" t="s">
        <v>3034</v>
      </c>
      <c r="AJ32" s="565"/>
      <c r="AK32" s="565" t="str">
        <f t="shared" si="14"/>
        <v/>
      </c>
      <c r="AL32" s="5">
        <v>27</v>
      </c>
      <c r="AM32" s="1061" t="str">
        <f t="shared" si="5"/>
        <v/>
      </c>
      <c r="AN32" s="1061"/>
      <c r="AO32" s="1061"/>
      <c r="AP32" s="1061"/>
      <c r="AQ32" s="1061"/>
      <c r="AR32" s="565"/>
      <c r="AS32" s="565"/>
      <c r="AT32" s="565" t="str">
        <f t="shared" si="15"/>
        <v/>
      </c>
      <c r="AU32" s="5">
        <v>27</v>
      </c>
      <c r="AV32" s="1061" t="str">
        <f t="shared" si="6"/>
        <v/>
      </c>
      <c r="AW32" s="1061"/>
      <c r="AX32" s="1061"/>
      <c r="AY32" s="1061"/>
      <c r="AZ32" s="1061"/>
      <c r="BA32" s="565"/>
      <c r="BB32" s="565"/>
      <c r="BC32" s="565" t="str">
        <f t="shared" si="16"/>
        <v/>
      </c>
      <c r="BD32" s="5">
        <v>27</v>
      </c>
      <c r="BE32" s="1061" t="str">
        <f t="shared" si="7"/>
        <v/>
      </c>
      <c r="BF32" s="1061"/>
      <c r="BG32" s="1061"/>
      <c r="BH32" s="1061"/>
      <c r="BI32" s="1061"/>
      <c r="BJ32" s="565"/>
      <c r="BK32" s="565"/>
      <c r="BL32" s="565" t="str">
        <f t="shared" si="17"/>
        <v/>
      </c>
      <c r="BM32" s="5">
        <v>27</v>
      </c>
      <c r="BN32" s="1061" t="str">
        <f t="shared" si="8"/>
        <v/>
      </c>
      <c r="BO32" s="1061"/>
      <c r="BP32" s="1061"/>
      <c r="BQ32" s="1061"/>
      <c r="BR32" s="1061"/>
      <c r="BS32" s="565"/>
      <c r="BT32" s="565"/>
      <c r="BU32" s="565" t="str">
        <f t="shared" si="18"/>
        <v/>
      </c>
      <c r="BV32" s="5">
        <v>27</v>
      </c>
      <c r="BW32" s="1061" t="str">
        <f t="shared" si="9"/>
        <v/>
      </c>
      <c r="BX32" s="1061"/>
      <c r="BY32" s="1061"/>
      <c r="BZ32" s="1061"/>
      <c r="CA32" s="1061"/>
      <c r="CB32" s="565"/>
      <c r="CC32" s="565" t="str">
        <f t="shared" si="19"/>
        <v/>
      </c>
      <c r="CD32" s="565"/>
      <c r="CE32" s="565"/>
      <c r="CF32" s="565"/>
      <c r="CG32" s="565"/>
      <c r="CH32" s="565"/>
      <c r="CI32" s="564"/>
      <c r="CJ32" s="564"/>
      <c r="CK32" s="564"/>
      <c r="CL32" s="564"/>
      <c r="CM32" s="564"/>
      <c r="CN32" s="564"/>
      <c r="CO32" s="564"/>
      <c r="CP32" s="564"/>
      <c r="CQ32" s="564"/>
      <c r="CR32" s="564"/>
      <c r="CS32" s="564"/>
      <c r="CT32" s="564"/>
      <c r="CU32" s="564"/>
      <c r="CV32" s="564"/>
      <c r="CW32" s="564"/>
      <c r="CX32" s="564"/>
      <c r="CY32" s="564"/>
      <c r="CZ32" s="564"/>
      <c r="DA32" s="564"/>
      <c r="DB32" s="564"/>
      <c r="DC32" s="564"/>
      <c r="DD32" s="565"/>
      <c r="DE32" s="565"/>
      <c r="DF32" s="565"/>
    </row>
    <row r="33" spans="1:110" x14ac:dyDescent="0.25">
      <c r="A33" s="120"/>
      <c r="B33" s="5">
        <v>28</v>
      </c>
      <c r="C33" s="1061" t="str">
        <f t="shared" si="0"/>
        <v/>
      </c>
      <c r="D33" s="1061"/>
      <c r="E33" s="1061"/>
      <c r="F33" s="1061"/>
      <c r="G33" s="1061"/>
      <c r="H33" s="565"/>
      <c r="I33" s="565"/>
      <c r="J33" s="565" t="str">
        <f t="shared" si="11"/>
        <v/>
      </c>
      <c r="K33" s="5">
        <v>28</v>
      </c>
      <c r="L33" s="1061" t="str">
        <f t="shared" si="1"/>
        <v/>
      </c>
      <c r="M33" s="1061"/>
      <c r="N33" s="1061"/>
      <c r="O33" s="1061"/>
      <c r="P33" s="1061"/>
      <c r="Q33" s="565"/>
      <c r="R33" s="565"/>
      <c r="S33" s="565" t="str">
        <f t="shared" si="12"/>
        <v/>
      </c>
      <c r="T33" s="5">
        <v>28</v>
      </c>
      <c r="U33" s="1061" t="str">
        <f t="shared" si="2"/>
        <v/>
      </c>
      <c r="V33" s="1061"/>
      <c r="W33" s="1061"/>
      <c r="X33" s="1061"/>
      <c r="Y33" s="1061"/>
      <c r="Z33" s="565" t="str">
        <f t="shared" si="3"/>
        <v/>
      </c>
      <c r="AA33" s="565"/>
      <c r="AB33" s="565" t="str">
        <f t="shared" si="13"/>
        <v/>
      </c>
      <c r="AC33" s="5">
        <v>28</v>
      </c>
      <c r="AD33" s="1061" t="str">
        <f t="shared" si="4"/>
        <v/>
      </c>
      <c r="AE33" s="1061"/>
      <c r="AF33" s="1061"/>
      <c r="AG33" s="1061"/>
      <c r="AH33" s="1061"/>
      <c r="AI33" s="565" t="s">
        <v>3034</v>
      </c>
      <c r="AJ33" s="565"/>
      <c r="AK33" s="565" t="str">
        <f t="shared" si="14"/>
        <v/>
      </c>
      <c r="AL33" s="5">
        <v>28</v>
      </c>
      <c r="AM33" s="1061" t="str">
        <f t="shared" si="5"/>
        <v/>
      </c>
      <c r="AN33" s="1061"/>
      <c r="AO33" s="1061"/>
      <c r="AP33" s="1061"/>
      <c r="AQ33" s="1061"/>
      <c r="AR33" s="565"/>
      <c r="AS33" s="565"/>
      <c r="AT33" s="565" t="str">
        <f t="shared" si="15"/>
        <v/>
      </c>
      <c r="AU33" s="5">
        <v>28</v>
      </c>
      <c r="AV33" s="1061" t="str">
        <f t="shared" si="6"/>
        <v/>
      </c>
      <c r="AW33" s="1061"/>
      <c r="AX33" s="1061"/>
      <c r="AY33" s="1061"/>
      <c r="AZ33" s="1061"/>
      <c r="BA33" s="565"/>
      <c r="BB33" s="565"/>
      <c r="BC33" s="565" t="str">
        <f t="shared" si="16"/>
        <v/>
      </c>
      <c r="BD33" s="5">
        <v>28</v>
      </c>
      <c r="BE33" s="1061" t="str">
        <f t="shared" si="7"/>
        <v/>
      </c>
      <c r="BF33" s="1061"/>
      <c r="BG33" s="1061"/>
      <c r="BH33" s="1061"/>
      <c r="BI33" s="1061"/>
      <c r="BJ33" s="565"/>
      <c r="BK33" s="565"/>
      <c r="BL33" s="565" t="str">
        <f t="shared" si="17"/>
        <v/>
      </c>
      <c r="BM33" s="5">
        <v>28</v>
      </c>
      <c r="BN33" s="1061" t="str">
        <f t="shared" si="8"/>
        <v/>
      </c>
      <c r="BO33" s="1061"/>
      <c r="BP33" s="1061"/>
      <c r="BQ33" s="1061"/>
      <c r="BR33" s="1061"/>
      <c r="BS33" s="565"/>
      <c r="BT33" s="565"/>
      <c r="BU33" s="565" t="str">
        <f t="shared" si="18"/>
        <v/>
      </c>
      <c r="BV33" s="5">
        <v>28</v>
      </c>
      <c r="BW33" s="1061" t="str">
        <f t="shared" si="9"/>
        <v/>
      </c>
      <c r="BX33" s="1061"/>
      <c r="BY33" s="1061"/>
      <c r="BZ33" s="1061"/>
      <c r="CA33" s="1061"/>
      <c r="CB33" s="565"/>
      <c r="CC33" s="565" t="str">
        <f t="shared" si="19"/>
        <v/>
      </c>
      <c r="CD33" s="565"/>
      <c r="CE33" s="565"/>
      <c r="CF33" s="565"/>
      <c r="CG33" s="565"/>
      <c r="CH33" s="565"/>
      <c r="CI33" s="564"/>
      <c r="CJ33" s="564"/>
      <c r="CK33" s="564"/>
      <c r="CL33" s="564"/>
      <c r="CM33" s="564"/>
      <c r="CN33" s="564"/>
      <c r="CO33" s="564"/>
      <c r="CP33" s="564"/>
      <c r="CQ33" s="564"/>
      <c r="CR33" s="564"/>
      <c r="CS33" s="564"/>
      <c r="CT33" s="564"/>
      <c r="CU33" s="564"/>
      <c r="CV33" s="564"/>
      <c r="CW33" s="564"/>
      <c r="CX33" s="564"/>
      <c r="CY33" s="564"/>
      <c r="CZ33" s="564"/>
      <c r="DA33" s="564"/>
      <c r="DB33" s="564"/>
      <c r="DC33" s="564"/>
      <c r="DD33" s="565"/>
      <c r="DE33" s="565"/>
      <c r="DF33" s="565"/>
    </row>
    <row r="34" spans="1:110" x14ac:dyDescent="0.25">
      <c r="A34" s="120"/>
      <c r="B34" s="5">
        <v>29</v>
      </c>
      <c r="C34" s="1061" t="str">
        <f t="shared" si="0"/>
        <v/>
      </c>
      <c r="D34" s="1061"/>
      <c r="E34" s="1061"/>
      <c r="F34" s="1061"/>
      <c r="G34" s="1061"/>
      <c r="H34" s="565"/>
      <c r="I34" s="565"/>
      <c r="J34" s="565" t="str">
        <f t="shared" si="11"/>
        <v/>
      </c>
      <c r="K34" s="5">
        <v>29</v>
      </c>
      <c r="L34" s="1061" t="str">
        <f t="shared" si="1"/>
        <v/>
      </c>
      <c r="M34" s="1061"/>
      <c r="N34" s="1061"/>
      <c r="O34" s="1061"/>
      <c r="P34" s="1061"/>
      <c r="Q34" s="565"/>
      <c r="R34" s="565"/>
      <c r="S34" s="565" t="str">
        <f t="shared" si="12"/>
        <v/>
      </c>
      <c r="T34" s="5">
        <v>29</v>
      </c>
      <c r="U34" s="1061" t="str">
        <f t="shared" si="2"/>
        <v/>
      </c>
      <c r="V34" s="1061"/>
      <c r="W34" s="1061"/>
      <c r="X34" s="1061"/>
      <c r="Y34" s="1061"/>
      <c r="Z34" s="565" t="str">
        <f t="shared" si="3"/>
        <v/>
      </c>
      <c r="AA34" s="565"/>
      <c r="AB34" s="565" t="str">
        <f t="shared" si="13"/>
        <v/>
      </c>
      <c r="AC34" s="5">
        <v>29</v>
      </c>
      <c r="AD34" s="1061" t="str">
        <f t="shared" si="4"/>
        <v/>
      </c>
      <c r="AE34" s="1061"/>
      <c r="AF34" s="1061"/>
      <c r="AG34" s="1061"/>
      <c r="AH34" s="1061"/>
      <c r="AI34" s="565" t="s">
        <v>3034</v>
      </c>
      <c r="AJ34" s="565"/>
      <c r="AK34" s="565" t="str">
        <f t="shared" si="14"/>
        <v/>
      </c>
      <c r="AL34" s="5">
        <v>29</v>
      </c>
      <c r="AM34" s="1061" t="str">
        <f t="shared" si="5"/>
        <v/>
      </c>
      <c r="AN34" s="1061"/>
      <c r="AO34" s="1061"/>
      <c r="AP34" s="1061"/>
      <c r="AQ34" s="1061"/>
      <c r="AR34" s="565"/>
      <c r="AS34" s="565"/>
      <c r="AT34" s="565" t="str">
        <f t="shared" si="15"/>
        <v/>
      </c>
      <c r="AU34" s="5">
        <v>29</v>
      </c>
      <c r="AV34" s="1061" t="str">
        <f t="shared" si="6"/>
        <v/>
      </c>
      <c r="AW34" s="1061"/>
      <c r="AX34" s="1061"/>
      <c r="AY34" s="1061"/>
      <c r="AZ34" s="1061"/>
      <c r="BA34" s="565"/>
      <c r="BB34" s="565"/>
      <c r="BC34" s="565" t="str">
        <f t="shared" si="16"/>
        <v/>
      </c>
      <c r="BD34" s="5">
        <v>29</v>
      </c>
      <c r="BE34" s="1061" t="str">
        <f t="shared" si="7"/>
        <v/>
      </c>
      <c r="BF34" s="1061"/>
      <c r="BG34" s="1061"/>
      <c r="BH34" s="1061"/>
      <c r="BI34" s="1061"/>
      <c r="BJ34" s="565"/>
      <c r="BK34" s="565"/>
      <c r="BL34" s="565" t="str">
        <f t="shared" si="17"/>
        <v/>
      </c>
      <c r="BM34" s="5">
        <v>29</v>
      </c>
      <c r="BN34" s="1061" t="str">
        <f t="shared" si="8"/>
        <v/>
      </c>
      <c r="BO34" s="1061"/>
      <c r="BP34" s="1061"/>
      <c r="BQ34" s="1061"/>
      <c r="BR34" s="1061"/>
      <c r="BS34" s="565"/>
      <c r="BT34" s="565"/>
      <c r="BU34" s="565" t="str">
        <f t="shared" si="18"/>
        <v/>
      </c>
      <c r="BV34" s="5">
        <v>29</v>
      </c>
      <c r="BW34" s="1061" t="str">
        <f t="shared" si="9"/>
        <v/>
      </c>
      <c r="BX34" s="1061"/>
      <c r="BY34" s="1061"/>
      <c r="BZ34" s="1061"/>
      <c r="CA34" s="1061"/>
      <c r="CB34" s="565"/>
      <c r="CC34" s="565" t="str">
        <f t="shared" si="19"/>
        <v/>
      </c>
      <c r="CD34" s="565"/>
      <c r="CE34" s="565"/>
      <c r="CF34" s="565"/>
      <c r="CG34" s="565"/>
      <c r="CH34" s="565"/>
      <c r="CI34" s="564"/>
      <c r="CJ34" s="564"/>
      <c r="CK34" s="564"/>
      <c r="CL34" s="564"/>
      <c r="CM34" s="564"/>
      <c r="CN34" s="564"/>
      <c r="CO34" s="564"/>
      <c r="CP34" s="564"/>
      <c r="CQ34" s="564"/>
      <c r="CR34" s="564"/>
      <c r="CS34" s="564"/>
      <c r="CT34" s="564"/>
      <c r="CU34" s="564"/>
      <c r="CV34" s="564"/>
      <c r="CW34" s="564"/>
      <c r="CX34" s="564"/>
      <c r="CY34" s="564"/>
      <c r="CZ34" s="564"/>
      <c r="DA34" s="564"/>
      <c r="DB34" s="564"/>
      <c r="DC34" s="564"/>
      <c r="DD34" s="565"/>
      <c r="DE34" s="565"/>
      <c r="DF34" s="565"/>
    </row>
    <row r="35" spans="1:110" x14ac:dyDescent="0.25">
      <c r="A35" s="120"/>
      <c r="B35" s="5">
        <v>30</v>
      </c>
      <c r="C35" s="1061" t="str">
        <f t="shared" si="0"/>
        <v/>
      </c>
      <c r="D35" s="1061"/>
      <c r="E35" s="1061"/>
      <c r="F35" s="1061"/>
      <c r="G35" s="1061"/>
      <c r="H35" s="565"/>
      <c r="I35" s="565"/>
      <c r="J35" s="565" t="str">
        <f t="shared" si="11"/>
        <v/>
      </c>
      <c r="K35" s="5">
        <v>30</v>
      </c>
      <c r="L35" s="1061" t="str">
        <f t="shared" si="1"/>
        <v/>
      </c>
      <c r="M35" s="1061"/>
      <c r="N35" s="1061"/>
      <c r="O35" s="1061"/>
      <c r="P35" s="1061"/>
      <c r="Q35" s="565"/>
      <c r="R35" s="565"/>
      <c r="S35" s="565" t="str">
        <f t="shared" si="12"/>
        <v/>
      </c>
      <c r="T35" s="5">
        <v>30</v>
      </c>
      <c r="U35" s="1061" t="str">
        <f t="shared" si="2"/>
        <v/>
      </c>
      <c r="V35" s="1061"/>
      <c r="W35" s="1061"/>
      <c r="X35" s="1061"/>
      <c r="Y35" s="1061"/>
      <c r="Z35" s="565" t="str">
        <f t="shared" si="3"/>
        <v/>
      </c>
      <c r="AA35" s="565"/>
      <c r="AB35" s="565" t="str">
        <f t="shared" si="13"/>
        <v/>
      </c>
      <c r="AC35" s="5">
        <v>30</v>
      </c>
      <c r="AD35" s="1061" t="str">
        <f t="shared" si="4"/>
        <v/>
      </c>
      <c r="AE35" s="1061"/>
      <c r="AF35" s="1061"/>
      <c r="AG35" s="1061"/>
      <c r="AH35" s="1061"/>
      <c r="AI35" s="565" t="s">
        <v>3034</v>
      </c>
      <c r="AJ35" s="565"/>
      <c r="AK35" s="565" t="str">
        <f t="shared" si="14"/>
        <v/>
      </c>
      <c r="AL35" s="5">
        <v>30</v>
      </c>
      <c r="AM35" s="1061" t="str">
        <f t="shared" si="5"/>
        <v/>
      </c>
      <c r="AN35" s="1061"/>
      <c r="AO35" s="1061"/>
      <c r="AP35" s="1061"/>
      <c r="AQ35" s="1061"/>
      <c r="AR35" s="565"/>
      <c r="AS35" s="565"/>
      <c r="AT35" s="565" t="str">
        <f t="shared" si="15"/>
        <v/>
      </c>
      <c r="AU35" s="5">
        <v>30</v>
      </c>
      <c r="AV35" s="1061" t="str">
        <f t="shared" si="6"/>
        <v/>
      </c>
      <c r="AW35" s="1061"/>
      <c r="AX35" s="1061"/>
      <c r="AY35" s="1061"/>
      <c r="AZ35" s="1061"/>
      <c r="BA35" s="565"/>
      <c r="BB35" s="565"/>
      <c r="BC35" s="565" t="str">
        <f t="shared" si="16"/>
        <v/>
      </c>
      <c r="BD35" s="5">
        <v>30</v>
      </c>
      <c r="BE35" s="1061" t="str">
        <f t="shared" si="7"/>
        <v/>
      </c>
      <c r="BF35" s="1061"/>
      <c r="BG35" s="1061"/>
      <c r="BH35" s="1061"/>
      <c r="BI35" s="1061"/>
      <c r="BJ35" s="565"/>
      <c r="BK35" s="565"/>
      <c r="BL35" s="565" t="str">
        <f t="shared" si="17"/>
        <v/>
      </c>
      <c r="BM35" s="5">
        <v>30</v>
      </c>
      <c r="BN35" s="1061" t="str">
        <f t="shared" si="8"/>
        <v/>
      </c>
      <c r="BO35" s="1061"/>
      <c r="BP35" s="1061"/>
      <c r="BQ35" s="1061"/>
      <c r="BR35" s="1061"/>
      <c r="BS35" s="565"/>
      <c r="BT35" s="565"/>
      <c r="BU35" s="565" t="str">
        <f t="shared" si="18"/>
        <v/>
      </c>
      <c r="BV35" s="5">
        <v>30</v>
      </c>
      <c r="BW35" s="1061" t="str">
        <f t="shared" si="9"/>
        <v/>
      </c>
      <c r="BX35" s="1061"/>
      <c r="BY35" s="1061"/>
      <c r="BZ35" s="1061"/>
      <c r="CA35" s="1061"/>
      <c r="CB35" s="565"/>
      <c r="CC35" s="565" t="str">
        <f t="shared" si="19"/>
        <v/>
      </c>
      <c r="CD35" s="565"/>
      <c r="CE35" s="565"/>
      <c r="CF35" s="565"/>
      <c r="CG35" s="565"/>
      <c r="CH35" s="565"/>
      <c r="CI35" s="564"/>
      <c r="CJ35" s="564"/>
      <c r="CK35" s="564"/>
      <c r="CL35" s="564"/>
      <c r="CM35" s="564"/>
      <c r="CN35" s="564"/>
      <c r="CO35" s="564"/>
      <c r="CP35" s="564"/>
      <c r="CQ35" s="564"/>
      <c r="CR35" s="564"/>
      <c r="CS35" s="564"/>
      <c r="CT35" s="564"/>
      <c r="CU35" s="564"/>
      <c r="CV35" s="564"/>
      <c r="CW35" s="564"/>
      <c r="CX35" s="564"/>
      <c r="CY35" s="564"/>
      <c r="CZ35" s="564"/>
      <c r="DA35" s="564"/>
      <c r="DB35" s="564"/>
      <c r="DC35" s="564"/>
      <c r="DD35" s="565"/>
      <c r="DE35" s="565"/>
      <c r="DF35" s="565"/>
    </row>
    <row r="36" spans="1:110" x14ac:dyDescent="0.25">
      <c r="A36" s="120"/>
      <c r="B36" s="120"/>
      <c r="C36" s="120"/>
      <c r="D36" s="120"/>
      <c r="E36" s="120"/>
      <c r="F36" s="120"/>
      <c r="G36" s="120"/>
      <c r="H36" s="565"/>
      <c r="I36" s="565"/>
      <c r="J36" s="565"/>
      <c r="K36" s="565"/>
      <c r="L36" s="565"/>
      <c r="M36" s="565"/>
      <c r="N36" s="565"/>
      <c r="O36" s="565"/>
      <c r="P36" s="565"/>
      <c r="Q36" s="565"/>
      <c r="R36" s="565"/>
      <c r="S36" s="565" t="str">
        <f>IF(L36="","",IF(Q36="",L36&amp;", ",L36&amp;" - prep"&amp;", "))</f>
        <v/>
      </c>
      <c r="T36" s="565"/>
      <c r="U36" s="565"/>
      <c r="V36" s="565"/>
      <c r="W36" s="565"/>
      <c r="X36" s="565"/>
      <c r="Y36" s="565"/>
      <c r="Z36" s="565"/>
      <c r="AA36" s="565"/>
      <c r="AB36" s="565" t="str">
        <f>IF(U36="","",IF(Z36="",U36&amp;", ",U36&amp;" - prep"&amp;", "))</f>
        <v/>
      </c>
      <c r="AC36" s="565"/>
      <c r="AD36" s="565"/>
      <c r="AE36" s="565"/>
      <c r="AF36" s="565"/>
      <c r="AG36" s="565"/>
      <c r="AH36" s="565"/>
      <c r="AI36" s="565"/>
      <c r="AJ36" s="565"/>
      <c r="AK36" s="565" t="str">
        <f>IF(AD36="","",IF(AI36="",AD36&amp;", ",AD36&amp;" - prep"&amp;", "))</f>
        <v/>
      </c>
      <c r="AL36" s="565"/>
      <c r="AM36" s="565"/>
      <c r="AN36" s="565"/>
      <c r="AO36" s="565"/>
      <c r="AP36" s="565"/>
      <c r="AQ36" s="565"/>
      <c r="AR36" s="565"/>
      <c r="AS36" s="565"/>
      <c r="AT36" s="565" t="str">
        <f>IF(AM36="","",IF(AR36="",AM36&amp;", ",AM36&amp;" - prep"&amp;", "))</f>
        <v/>
      </c>
      <c r="AU36" s="565"/>
      <c r="AV36" s="565"/>
      <c r="AW36" s="565"/>
      <c r="AX36" s="565"/>
      <c r="AY36" s="565"/>
      <c r="AZ36" s="565"/>
      <c r="BA36" s="565"/>
      <c r="BB36" s="565"/>
      <c r="BC36" s="565" t="str">
        <f>IF(AV36="","",IF(BA36="",AV36&amp;", ",AV36&amp;" - prep"&amp;", "))</f>
        <v/>
      </c>
      <c r="BD36" s="565"/>
      <c r="BE36" s="565"/>
      <c r="BF36" s="565"/>
      <c r="BG36" s="565"/>
      <c r="BH36" s="565"/>
      <c r="BI36" s="565"/>
      <c r="BJ36" s="565"/>
      <c r="BK36" s="565"/>
      <c r="BL36" s="565" t="str">
        <f>IF(BE36="","",IF(BJ36="",BE36&amp;", ",BE36&amp;" - prep"&amp;", "))</f>
        <v/>
      </c>
      <c r="BM36" s="565"/>
      <c r="BN36" s="565"/>
      <c r="BO36" s="565"/>
      <c r="BP36" s="565"/>
      <c r="BQ36" s="565"/>
      <c r="BR36" s="565"/>
      <c r="BS36" s="565"/>
      <c r="BT36" s="565"/>
      <c r="BU36" s="565" t="str">
        <f>IF(BN36="","",IF(BS36="",BN36&amp;", ",BN36&amp;" - prep"&amp;", "))</f>
        <v/>
      </c>
      <c r="BV36" s="565"/>
      <c r="BW36" s="565"/>
      <c r="BX36" s="565"/>
      <c r="BY36" s="565"/>
      <c r="BZ36" s="565"/>
      <c r="CA36" s="565"/>
      <c r="CB36" s="565"/>
      <c r="CC36" s="565" t="str">
        <f>IF(BW36="","",IF(CB36="",BW36&amp;", ",BW36&amp;" - prep"&amp;", "))</f>
        <v/>
      </c>
      <c r="CD36" s="565"/>
      <c r="CE36" s="565"/>
      <c r="CF36" s="565"/>
      <c r="CG36" s="565"/>
      <c r="CH36" s="565"/>
      <c r="CI36" s="564"/>
      <c r="CJ36" s="565"/>
      <c r="CK36" s="565"/>
      <c r="CL36" s="565"/>
      <c r="CM36" s="565"/>
      <c r="CN36" s="565"/>
      <c r="CO36" s="565"/>
      <c r="CP36" s="565"/>
      <c r="CQ36" s="565"/>
      <c r="CR36" s="565"/>
      <c r="CS36" s="565"/>
      <c r="CT36" s="565"/>
      <c r="CU36" s="565"/>
      <c r="CV36" s="565"/>
      <c r="CW36" s="565"/>
      <c r="CX36" s="565"/>
      <c r="CY36" s="565"/>
      <c r="CZ36" s="565"/>
      <c r="DA36" s="565"/>
      <c r="DB36" s="565"/>
      <c r="DC36" s="565"/>
      <c r="DD36" s="565"/>
      <c r="DE36" s="565"/>
      <c r="DF36" s="565"/>
    </row>
    <row r="37" spans="1:110" x14ac:dyDescent="0.25">
      <c r="A37" s="120"/>
      <c r="B37" s="1062" t="str">
        <f>"Sorcerer Spells known"&amp;CHAR(10)&amp;M37&amp;V37&amp;AE37&amp;AN37&amp;AW37&amp;BF37&amp;BO37&amp;BX37&amp;CF37</f>
        <v xml:space="preserve">Sorcerer Spells known
1st level: Alarm, Animal Friendship, 
2nd level: Aid, Alter Self, Animal Messenger, 
3rd level: Animate Dead, 
5th level: Animate Objects, Antilife Shell, 
8th level: Animal Shapes, 
</v>
      </c>
      <c r="C37" s="1062"/>
      <c r="D37" s="1062"/>
      <c r="E37" s="1062"/>
      <c r="F37" s="1062"/>
      <c r="G37" s="1062"/>
      <c r="H37" s="1062"/>
      <c r="I37" s="590"/>
      <c r="J37" s="566">
        <v>1</v>
      </c>
      <c r="K37" s="565" t="str">
        <f>J6</f>
        <v xml:space="preserve">Alarm, </v>
      </c>
      <c r="L37" s="565" t="str">
        <f>K37</f>
        <v xml:space="preserve">Alarm, </v>
      </c>
      <c r="M37" s="565" t="str">
        <f>IF(M38="","","1st level: "&amp;M38&amp;CHAR(10))</f>
        <v xml:space="preserve">1st level: Alarm, Animal Friendship, 
</v>
      </c>
      <c r="N37" s="565"/>
      <c r="O37" s="565"/>
      <c r="P37" s="565"/>
      <c r="Q37" s="565"/>
      <c r="R37" s="565"/>
      <c r="S37" s="566">
        <v>1</v>
      </c>
      <c r="T37" s="565" t="str">
        <f>S6</f>
        <v xml:space="preserve">Aid, </v>
      </c>
      <c r="U37" s="565" t="str">
        <f>T37</f>
        <v xml:space="preserve">Aid, </v>
      </c>
      <c r="V37" s="565" t="str">
        <f>IF(V38="","","2nd level: "&amp;V38&amp;CHAR(10))</f>
        <v xml:space="preserve">2nd level: Aid, Alter Self, Animal Messenger, 
</v>
      </c>
      <c r="W37" s="565"/>
      <c r="X37" s="565"/>
      <c r="Y37" s="565"/>
      <c r="Z37" s="565"/>
      <c r="AA37" s="565"/>
      <c r="AB37" s="566">
        <v>1</v>
      </c>
      <c r="AC37" s="565" t="str">
        <f>AB6</f>
        <v xml:space="preserve">Animate Dead, </v>
      </c>
      <c r="AD37" s="565" t="str">
        <f>AC37</f>
        <v xml:space="preserve">Animate Dead, </v>
      </c>
      <c r="AE37" s="565" t="str">
        <f>IF(AE38="","","3rd level: "&amp;AE38&amp;CHAR(10))</f>
        <v xml:space="preserve">3rd level: Animate Dead, 
</v>
      </c>
      <c r="AF37" s="565"/>
      <c r="AG37" s="565"/>
      <c r="AH37" s="565"/>
      <c r="AI37" s="565"/>
      <c r="AJ37" s="565"/>
      <c r="AK37" s="565">
        <v>1</v>
      </c>
      <c r="AL37" s="565" t="str">
        <f>AK6</f>
        <v/>
      </c>
      <c r="AM37" s="565" t="str">
        <f>AL37</f>
        <v/>
      </c>
      <c r="AN37" s="565" t="str">
        <f>IF(AN38="","","4th level: "&amp;AN38&amp;CHAR(10))</f>
        <v/>
      </c>
      <c r="AO37" s="565"/>
      <c r="AP37" s="565"/>
      <c r="AQ37" s="565"/>
      <c r="AR37" s="565"/>
      <c r="AS37" s="565"/>
      <c r="AT37" s="565">
        <v>1</v>
      </c>
      <c r="AU37" s="565" t="str">
        <f>AT6</f>
        <v xml:space="preserve">Animate Objects, </v>
      </c>
      <c r="AV37" s="565" t="str">
        <f>AU37</f>
        <v xml:space="preserve">Animate Objects, </v>
      </c>
      <c r="AW37" s="565" t="str">
        <f>IF(AW38="","","5th level: "&amp;AW38&amp;CHAR(10))</f>
        <v xml:space="preserve">5th level: Animate Objects, Antilife Shell, 
</v>
      </c>
      <c r="AX37" s="566"/>
      <c r="AY37" s="565"/>
      <c r="AZ37" s="565"/>
      <c r="BA37" s="565"/>
      <c r="BB37" s="565"/>
      <c r="BC37" s="565">
        <v>1</v>
      </c>
      <c r="BD37" s="565" t="str">
        <f>BC6</f>
        <v/>
      </c>
      <c r="BE37" s="565" t="str">
        <f>BD37</f>
        <v/>
      </c>
      <c r="BF37" s="565" t="str">
        <f>IF(BF38="","","6th level: "&amp;BF38&amp;CHAR(10))</f>
        <v/>
      </c>
      <c r="BG37" s="565"/>
      <c r="BH37" s="565"/>
      <c r="BI37" s="565"/>
      <c r="BJ37" s="565"/>
      <c r="BK37" s="565"/>
      <c r="BL37" s="565">
        <v>1</v>
      </c>
      <c r="BM37" s="565" t="str">
        <f>BL6</f>
        <v/>
      </c>
      <c r="BN37" s="565" t="str">
        <f>BM37</f>
        <v/>
      </c>
      <c r="BO37" s="565" t="str">
        <f>IF(BO38="","","7th level: "&amp;BO38&amp;CHAR(10))</f>
        <v/>
      </c>
      <c r="BP37" s="565"/>
      <c r="BQ37" s="565"/>
      <c r="BR37" s="565"/>
      <c r="BS37" s="565"/>
      <c r="BT37" s="565"/>
      <c r="BU37" s="565">
        <v>1</v>
      </c>
      <c r="BV37" s="565" t="str">
        <f>BU6</f>
        <v xml:space="preserve">Animal Shapes, </v>
      </c>
      <c r="BW37" s="565" t="str">
        <f>BV37</f>
        <v xml:space="preserve">Animal Shapes, </v>
      </c>
      <c r="BX37" s="565" t="str">
        <f>IF(BX38="","","8th level: "&amp;BX38&amp;CHAR(10))</f>
        <v xml:space="preserve">8th level: Animal Shapes, 
</v>
      </c>
      <c r="BY37" s="565"/>
      <c r="BZ37" s="565"/>
      <c r="CA37" s="565"/>
      <c r="CB37" s="565"/>
      <c r="CC37" s="565">
        <v>1</v>
      </c>
      <c r="CD37" s="565" t="str">
        <f>CC6</f>
        <v/>
      </c>
      <c r="CE37" s="565" t="str">
        <f>CD37</f>
        <v/>
      </c>
      <c r="CF37" s="565" t="str">
        <f>IF(CF38="","","9th level: "&amp;CF38&amp;CHAR(10))</f>
        <v/>
      </c>
      <c r="CG37" s="565"/>
      <c r="CH37" s="565"/>
      <c r="CI37" s="564"/>
      <c r="CJ37" s="565"/>
      <c r="CK37" s="565"/>
      <c r="CL37" s="565"/>
      <c r="CM37" s="565"/>
      <c r="CN37" s="565"/>
      <c r="CO37" s="565"/>
      <c r="CP37" s="565"/>
      <c r="CQ37" s="565"/>
      <c r="CR37" s="565"/>
      <c r="CS37" s="565"/>
      <c r="CT37" s="565"/>
      <c r="CU37" s="565"/>
      <c r="CV37" s="565"/>
      <c r="CW37" s="565"/>
      <c r="CX37" s="565"/>
      <c r="CY37" s="565"/>
      <c r="CZ37" s="565"/>
      <c r="DA37" s="565"/>
      <c r="DB37" s="565"/>
      <c r="DC37" s="565"/>
      <c r="DD37" s="565"/>
      <c r="DE37" s="565"/>
      <c r="DF37" s="565"/>
    </row>
    <row r="38" spans="1:110" x14ac:dyDescent="0.25">
      <c r="A38" s="120"/>
      <c r="B38" s="1062"/>
      <c r="C38" s="1062"/>
      <c r="D38" s="1062"/>
      <c r="E38" s="1062"/>
      <c r="F38" s="1062"/>
      <c r="G38" s="1062"/>
      <c r="H38" s="1062"/>
      <c r="I38" s="590"/>
      <c r="J38" s="566">
        <v>2</v>
      </c>
      <c r="K38" s="565" t="str">
        <f t="shared" ref="K38:K66" si="29">J7</f>
        <v xml:space="preserve">Animal Friendship, </v>
      </c>
      <c r="L38" s="565" t="str">
        <f t="shared" ref="L38:L66" si="30">K38</f>
        <v xml:space="preserve">Animal Friendship, </v>
      </c>
      <c r="M38" s="565" t="str">
        <f>L37&amp;L38&amp;L39&amp;L40&amp;L41&amp;L42&amp;L43&amp;L44&amp;L45&amp;L46&amp;L48&amp;L47&amp;L49&amp;L50&amp;L51&amp;L52&amp;L54&amp;L55&amp;L53&amp;L56&amp;L57&amp;L58&amp;L59&amp;L60&amp;L61&amp;L62&amp;L63&amp;L64&amp;L65&amp;L66</f>
        <v xml:space="preserve">Alarm, Animal Friendship, </v>
      </c>
      <c r="N38" s="565"/>
      <c r="O38" s="565"/>
      <c r="P38" s="565"/>
      <c r="Q38" s="565"/>
      <c r="R38" s="565"/>
      <c r="S38" s="566">
        <v>2</v>
      </c>
      <c r="T38" s="565" t="str">
        <f t="shared" ref="T38:T66" si="31">S7</f>
        <v xml:space="preserve">Alter Self, </v>
      </c>
      <c r="U38" s="565" t="str">
        <f t="shared" ref="U38:U66" si="32">T38</f>
        <v xml:space="preserve">Alter Self, </v>
      </c>
      <c r="V38" s="565" t="str">
        <f>U37&amp;U38&amp;U39&amp;U40&amp;U41&amp;U42&amp;U43&amp;U44&amp;U45&amp;U46&amp;U48&amp;U47&amp;U49&amp;U50&amp;U51&amp;U52&amp;U54&amp;U55&amp;U53&amp;U56&amp;U57&amp;U58&amp;U59&amp;U60&amp;U61&amp;U62&amp;U63&amp;U64&amp;U65&amp;U66</f>
        <v xml:space="preserve">Aid, Alter Self, Animal Messenger, </v>
      </c>
      <c r="W38" s="565"/>
      <c r="X38" s="565"/>
      <c r="Y38" s="565"/>
      <c r="Z38" s="565"/>
      <c r="AA38" s="565"/>
      <c r="AB38" s="566">
        <v>2</v>
      </c>
      <c r="AC38" s="565" t="str">
        <f t="shared" ref="AC38:AC66" si="33">AB7</f>
        <v/>
      </c>
      <c r="AD38" s="565" t="str">
        <f t="shared" ref="AD38:AD66" si="34">AC38</f>
        <v/>
      </c>
      <c r="AE38" s="565" t="str">
        <f>AD37&amp;AD38&amp;AD39&amp;AD40&amp;AD41&amp;AD42&amp;AD43&amp;AD44&amp;AD45&amp;AD46&amp;AD48&amp;AD47&amp;AD49&amp;AD50&amp;AD51&amp;AD52&amp;AD54&amp;AD55&amp;AD53&amp;AD56&amp;AD57&amp;AD58&amp;AD59&amp;AD60&amp;AD61&amp;AD62&amp;AD63&amp;AD64&amp;AD65&amp;AD66</f>
        <v xml:space="preserve">Animate Dead, </v>
      </c>
      <c r="AF38" s="565"/>
      <c r="AG38" s="565"/>
      <c r="AH38" s="565"/>
      <c r="AI38" s="565"/>
      <c r="AJ38" s="565"/>
      <c r="AK38" s="566">
        <v>2</v>
      </c>
      <c r="AL38" s="565" t="str">
        <f t="shared" ref="AL38:AL66" si="35">AK7</f>
        <v/>
      </c>
      <c r="AM38" s="565" t="str">
        <f t="shared" ref="AM38:AM66" si="36">AL38</f>
        <v/>
      </c>
      <c r="AN38" s="565" t="str">
        <f>AM37&amp;AM38&amp;AM39&amp;AM40&amp;AM41&amp;AM42&amp;AM43&amp;AM44&amp;AM45&amp;AM46&amp;AM48&amp;AM47&amp;AM49&amp;AM50&amp;AM51&amp;AM52&amp;AM54&amp;AM55&amp;AM53&amp;AM56&amp;AM57&amp;AM58&amp;AM59&amp;AM60&amp;AM61&amp;AM62&amp;AM63&amp;AM64&amp;AM65&amp;AM66</f>
        <v/>
      </c>
      <c r="AO38" s="565"/>
      <c r="AP38" s="565"/>
      <c r="AQ38" s="565"/>
      <c r="AR38" s="565"/>
      <c r="AS38" s="565"/>
      <c r="AT38" s="566">
        <v>2</v>
      </c>
      <c r="AU38" s="565" t="str">
        <f t="shared" ref="AU38:AU66" si="37">AT7</f>
        <v xml:space="preserve">Antilife Shell, </v>
      </c>
      <c r="AV38" s="565" t="str">
        <f t="shared" ref="AV38:AV66" si="38">AU38</f>
        <v xml:space="preserve">Antilife Shell, </v>
      </c>
      <c r="AW38" s="565" t="str">
        <f>AV37&amp;AV38&amp;AV39&amp;AV40&amp;AV41&amp;AV42&amp;AV43&amp;AV44&amp;AV45&amp;AV46&amp;AV48&amp;AV47&amp;AV49&amp;AV50&amp;AV51&amp;AV52&amp;AV54&amp;AV55&amp;AV53&amp;AV56&amp;AV57&amp;AV58&amp;AV59&amp;AV60&amp;AV61&amp;AV62&amp;AV63&amp;AV64&amp;AV65&amp;AV66</f>
        <v xml:space="preserve">Animate Objects, Antilife Shell, </v>
      </c>
      <c r="AX38" s="566"/>
      <c r="AY38" s="565"/>
      <c r="AZ38" s="565"/>
      <c r="BA38" s="565"/>
      <c r="BB38" s="565"/>
      <c r="BC38" s="566">
        <v>2</v>
      </c>
      <c r="BD38" s="565" t="str">
        <f t="shared" ref="BD38:BD66" si="39">BC7</f>
        <v/>
      </c>
      <c r="BE38" s="565" t="str">
        <f t="shared" ref="BE38:BE66" si="40">BD38</f>
        <v/>
      </c>
      <c r="BF38" s="565" t="str">
        <f>BE37&amp;BE38&amp;BE39&amp;BE40&amp;BE41&amp;BE42&amp;BE43&amp;BE44&amp;BE45&amp;BE46&amp;BE48&amp;BE47&amp;BE49&amp;BE50&amp;BE51&amp;BE52&amp;BE54&amp;BE55&amp;BE53&amp;BE56&amp;BE57&amp;BE58&amp;BE59&amp;BE60&amp;BE61&amp;BE62&amp;BE63&amp;BE64&amp;BE65&amp;BE66</f>
        <v/>
      </c>
      <c r="BG38" s="565"/>
      <c r="BH38" s="565"/>
      <c r="BI38" s="565"/>
      <c r="BJ38" s="565"/>
      <c r="BK38" s="565"/>
      <c r="BL38" s="566">
        <v>2</v>
      </c>
      <c r="BM38" s="565" t="str">
        <f t="shared" ref="BM38:BM66" si="41">BL7</f>
        <v/>
      </c>
      <c r="BN38" s="565" t="str">
        <f t="shared" ref="BN38:BN66" si="42">BM38</f>
        <v/>
      </c>
      <c r="BO38" s="565" t="str">
        <f>BN37&amp;BN38&amp;BN39&amp;BN40&amp;BN41&amp;BN42&amp;BN43&amp;BN44&amp;BN45&amp;BN46&amp;BN48&amp;BN47&amp;BN49&amp;BN50&amp;BN51&amp;BN52&amp;BN54&amp;BN55&amp;BN53&amp;BN56&amp;BN57&amp;BN58&amp;BN59&amp;BN60&amp;BN61&amp;BN62&amp;BN63&amp;BN64&amp;BN65&amp;BN66</f>
        <v/>
      </c>
      <c r="BP38" s="565"/>
      <c r="BQ38" s="565"/>
      <c r="BR38" s="565"/>
      <c r="BS38" s="565"/>
      <c r="BT38" s="565"/>
      <c r="BU38" s="566">
        <v>2</v>
      </c>
      <c r="BV38" s="565" t="str">
        <f t="shared" ref="BV38:BV66" si="43">BU7</f>
        <v/>
      </c>
      <c r="BW38" s="565" t="str">
        <f t="shared" ref="BW38:BW66" si="44">BV38</f>
        <v/>
      </c>
      <c r="BX38" s="565" t="str">
        <f>BW37&amp;BW38&amp;BW39&amp;BW40&amp;BW41&amp;BW42&amp;BW43&amp;BW44&amp;BW45&amp;BW46&amp;BW48&amp;BW47&amp;BW49&amp;BW50&amp;BW51&amp;BW52&amp;BW54&amp;BW55&amp;BW53&amp;BW56&amp;BW57&amp;BW58&amp;BW59&amp;BW60&amp;BW61&amp;BW62&amp;BW63&amp;BW64&amp;BW65&amp;BW66</f>
        <v xml:space="preserve">Animal Shapes, </v>
      </c>
      <c r="BY38" s="565"/>
      <c r="BZ38" s="565"/>
      <c r="CA38" s="565"/>
      <c r="CB38" s="565"/>
      <c r="CC38" s="566">
        <v>2</v>
      </c>
      <c r="CD38" s="565" t="str">
        <f t="shared" ref="CD38:CD66" si="45">CC7</f>
        <v/>
      </c>
      <c r="CE38" s="565" t="str">
        <f t="shared" ref="CE38:CE66" si="46">CD38</f>
        <v/>
      </c>
      <c r="CF38" s="565" t="str">
        <f>CE37&amp;CE38&amp;CE39&amp;CE40&amp;CE41&amp;CE42&amp;CE43&amp;CE44&amp;CE45&amp;CE46&amp;CE48&amp;CE47&amp;CE49&amp;CE50&amp;CE51&amp;CE52&amp;CE54&amp;CE55&amp;CE53&amp;CE56&amp;CE57&amp;CE58&amp;CE59&amp;CE60&amp;CE61&amp;CE62&amp;CE63&amp;CE64&amp;CE65&amp;CE66</f>
        <v/>
      </c>
      <c r="CG38" s="565"/>
      <c r="CH38" s="565"/>
      <c r="CI38" s="564"/>
      <c r="CJ38" s="565"/>
      <c r="CK38" s="565"/>
      <c r="CL38" s="565"/>
      <c r="CM38" s="565"/>
      <c r="CN38" s="565"/>
      <c r="CO38" s="565"/>
      <c r="CP38" s="565"/>
      <c r="CQ38" s="565"/>
      <c r="CR38" s="565"/>
      <c r="CS38" s="565"/>
      <c r="CT38" s="565"/>
      <c r="CU38" s="565"/>
      <c r="CV38" s="565"/>
      <c r="CW38" s="565"/>
      <c r="CX38" s="565"/>
      <c r="CY38" s="565"/>
      <c r="CZ38" s="565"/>
      <c r="DA38" s="565"/>
      <c r="DB38" s="565"/>
      <c r="DC38" s="565"/>
      <c r="DD38" s="565"/>
      <c r="DE38" s="565"/>
      <c r="DF38" s="565"/>
    </row>
    <row r="39" spans="1:110" x14ac:dyDescent="0.25">
      <c r="A39" s="120"/>
      <c r="B39" s="1062"/>
      <c r="C39" s="1062"/>
      <c r="D39" s="1062"/>
      <c r="E39" s="1062"/>
      <c r="F39" s="1062"/>
      <c r="G39" s="1062"/>
      <c r="H39" s="1062"/>
      <c r="I39" s="590"/>
      <c r="J39" s="566">
        <v>3</v>
      </c>
      <c r="K39" s="565" t="str">
        <f t="shared" si="29"/>
        <v/>
      </c>
      <c r="L39" s="565" t="str">
        <f t="shared" si="30"/>
        <v/>
      </c>
      <c r="M39" s="565"/>
      <c r="N39" s="565"/>
      <c r="O39" s="565"/>
      <c r="P39" s="565"/>
      <c r="Q39" s="565"/>
      <c r="R39" s="565"/>
      <c r="S39" s="566">
        <v>3</v>
      </c>
      <c r="T39" s="565" t="str">
        <f t="shared" si="31"/>
        <v xml:space="preserve">Animal Messenger, </v>
      </c>
      <c r="U39" s="565" t="str">
        <f t="shared" si="32"/>
        <v xml:space="preserve">Animal Messenger, </v>
      </c>
      <c r="V39" s="565"/>
      <c r="W39" s="565"/>
      <c r="X39" s="565"/>
      <c r="Y39" s="565"/>
      <c r="Z39" s="565"/>
      <c r="AA39" s="565"/>
      <c r="AB39" s="566">
        <v>3</v>
      </c>
      <c r="AC39" s="565" t="str">
        <f t="shared" si="33"/>
        <v/>
      </c>
      <c r="AD39" s="565" t="str">
        <f t="shared" si="34"/>
        <v/>
      </c>
      <c r="AE39" s="565"/>
      <c r="AF39" s="565"/>
      <c r="AG39" s="565"/>
      <c r="AH39" s="565"/>
      <c r="AI39" s="565"/>
      <c r="AJ39" s="565"/>
      <c r="AK39" s="566">
        <v>3</v>
      </c>
      <c r="AL39" s="565" t="str">
        <f t="shared" si="35"/>
        <v/>
      </c>
      <c r="AM39" s="565" t="str">
        <f t="shared" si="36"/>
        <v/>
      </c>
      <c r="AN39" s="565"/>
      <c r="AO39" s="565"/>
      <c r="AP39" s="565"/>
      <c r="AQ39" s="565"/>
      <c r="AR39" s="565"/>
      <c r="AS39" s="565"/>
      <c r="AT39" s="566">
        <v>3</v>
      </c>
      <c r="AU39" s="565" t="str">
        <f t="shared" si="37"/>
        <v/>
      </c>
      <c r="AV39" s="565" t="str">
        <f t="shared" si="38"/>
        <v/>
      </c>
      <c r="AW39" s="565"/>
      <c r="AX39" s="566"/>
      <c r="AY39" s="565"/>
      <c r="AZ39" s="565"/>
      <c r="BA39" s="565"/>
      <c r="BB39" s="565"/>
      <c r="BC39" s="566">
        <v>3</v>
      </c>
      <c r="BD39" s="565" t="str">
        <f t="shared" si="39"/>
        <v/>
      </c>
      <c r="BE39" s="565" t="str">
        <f t="shared" si="40"/>
        <v/>
      </c>
      <c r="BF39" s="565"/>
      <c r="BG39" s="565"/>
      <c r="BH39" s="565"/>
      <c r="BI39" s="565"/>
      <c r="BJ39" s="565"/>
      <c r="BK39" s="565"/>
      <c r="BL39" s="566">
        <v>3</v>
      </c>
      <c r="BM39" s="565" t="str">
        <f t="shared" si="41"/>
        <v/>
      </c>
      <c r="BN39" s="565" t="str">
        <f t="shared" si="42"/>
        <v/>
      </c>
      <c r="BO39" s="565"/>
      <c r="BP39" s="565"/>
      <c r="BQ39" s="565"/>
      <c r="BR39" s="565"/>
      <c r="BS39" s="565"/>
      <c r="BT39" s="565"/>
      <c r="BU39" s="566">
        <v>3</v>
      </c>
      <c r="BV39" s="565" t="str">
        <f t="shared" si="43"/>
        <v/>
      </c>
      <c r="BW39" s="565" t="str">
        <f t="shared" si="44"/>
        <v/>
      </c>
      <c r="BX39" s="565"/>
      <c r="BY39" s="565"/>
      <c r="BZ39" s="565"/>
      <c r="CA39" s="565"/>
      <c r="CB39" s="565"/>
      <c r="CC39" s="566">
        <v>3</v>
      </c>
      <c r="CD39" s="565" t="str">
        <f t="shared" si="45"/>
        <v/>
      </c>
      <c r="CE39" s="565" t="str">
        <f t="shared" si="46"/>
        <v/>
      </c>
      <c r="CF39" s="565"/>
      <c r="CG39" s="565"/>
      <c r="CH39" s="565"/>
      <c r="CI39" s="564"/>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row>
    <row r="40" spans="1:110" x14ac:dyDescent="0.25">
      <c r="A40" s="120"/>
      <c r="B40" s="1062"/>
      <c r="C40" s="1062"/>
      <c r="D40" s="1062"/>
      <c r="E40" s="1062"/>
      <c r="F40" s="1062"/>
      <c r="G40" s="1062"/>
      <c r="H40" s="1062"/>
      <c r="I40" s="590"/>
      <c r="J40" s="566">
        <v>4</v>
      </c>
      <c r="K40" s="565" t="str">
        <f t="shared" si="29"/>
        <v/>
      </c>
      <c r="L40" s="565" t="str">
        <f t="shared" si="30"/>
        <v/>
      </c>
      <c r="M40" s="565"/>
      <c r="N40" s="565"/>
      <c r="O40" s="565"/>
      <c r="P40" s="565"/>
      <c r="Q40" s="565"/>
      <c r="R40" s="565"/>
      <c r="S40" s="566">
        <v>4</v>
      </c>
      <c r="T40" s="565" t="str">
        <f t="shared" si="31"/>
        <v/>
      </c>
      <c r="U40" s="565" t="str">
        <f t="shared" si="32"/>
        <v/>
      </c>
      <c r="V40" s="565"/>
      <c r="W40" s="565"/>
      <c r="X40" s="565"/>
      <c r="Y40" s="565"/>
      <c r="Z40" s="565"/>
      <c r="AA40" s="565"/>
      <c r="AB40" s="566">
        <v>4</v>
      </c>
      <c r="AC40" s="565" t="str">
        <f t="shared" si="33"/>
        <v/>
      </c>
      <c r="AD40" s="565" t="str">
        <f t="shared" si="34"/>
        <v/>
      </c>
      <c r="AE40" s="565"/>
      <c r="AF40" s="565"/>
      <c r="AG40" s="565"/>
      <c r="AH40" s="565"/>
      <c r="AI40" s="565"/>
      <c r="AJ40" s="565"/>
      <c r="AK40" s="566">
        <v>4</v>
      </c>
      <c r="AL40" s="565" t="str">
        <f t="shared" si="35"/>
        <v/>
      </c>
      <c r="AM40" s="565" t="str">
        <f t="shared" si="36"/>
        <v/>
      </c>
      <c r="AN40" s="565"/>
      <c r="AO40" s="565"/>
      <c r="AP40" s="565"/>
      <c r="AQ40" s="565"/>
      <c r="AR40" s="565"/>
      <c r="AS40" s="565"/>
      <c r="AT40" s="566">
        <v>4</v>
      </c>
      <c r="AU40" s="565" t="str">
        <f t="shared" si="37"/>
        <v/>
      </c>
      <c r="AV40" s="565" t="str">
        <f t="shared" si="38"/>
        <v/>
      </c>
      <c r="AW40" s="565"/>
      <c r="AX40" s="566"/>
      <c r="AY40" s="565"/>
      <c r="AZ40" s="565"/>
      <c r="BA40" s="565"/>
      <c r="BB40" s="565"/>
      <c r="BC40" s="566">
        <v>4</v>
      </c>
      <c r="BD40" s="565" t="str">
        <f t="shared" si="39"/>
        <v/>
      </c>
      <c r="BE40" s="565" t="str">
        <f t="shared" si="40"/>
        <v/>
      </c>
      <c r="BF40" s="565"/>
      <c r="BG40" s="565"/>
      <c r="BH40" s="565"/>
      <c r="BI40" s="565"/>
      <c r="BJ40" s="565"/>
      <c r="BK40" s="565"/>
      <c r="BL40" s="566">
        <v>4</v>
      </c>
      <c r="BM40" s="565" t="str">
        <f t="shared" si="41"/>
        <v/>
      </c>
      <c r="BN40" s="565" t="str">
        <f t="shared" si="42"/>
        <v/>
      </c>
      <c r="BO40" s="565"/>
      <c r="BP40" s="565"/>
      <c r="BQ40" s="565"/>
      <c r="BR40" s="565"/>
      <c r="BS40" s="565"/>
      <c r="BT40" s="565"/>
      <c r="BU40" s="566">
        <v>4</v>
      </c>
      <c r="BV40" s="565" t="str">
        <f t="shared" si="43"/>
        <v/>
      </c>
      <c r="BW40" s="565" t="str">
        <f t="shared" si="44"/>
        <v/>
      </c>
      <c r="BX40" s="565"/>
      <c r="BY40" s="565"/>
      <c r="BZ40" s="565"/>
      <c r="CA40" s="565"/>
      <c r="CB40" s="565"/>
      <c r="CC40" s="566">
        <v>4</v>
      </c>
      <c r="CD40" s="565" t="str">
        <f t="shared" si="45"/>
        <v/>
      </c>
      <c r="CE40" s="565" t="str">
        <f t="shared" si="46"/>
        <v/>
      </c>
      <c r="CF40" s="565"/>
      <c r="CG40" s="565"/>
      <c r="CH40" s="565"/>
      <c r="CI40" s="564"/>
      <c r="CJ40" s="565"/>
      <c r="CK40" s="565"/>
      <c r="CL40" s="565"/>
      <c r="CM40" s="565"/>
      <c r="CN40" s="565"/>
      <c r="CO40" s="565"/>
      <c r="CP40" s="565"/>
      <c r="CQ40" s="565"/>
      <c r="CR40" s="565"/>
      <c r="CS40" s="565"/>
      <c r="CT40" s="565"/>
      <c r="CU40" s="565"/>
      <c r="CV40" s="565"/>
      <c r="CW40" s="565"/>
      <c r="CX40" s="565"/>
      <c r="CY40" s="565"/>
      <c r="CZ40" s="565"/>
      <c r="DA40" s="565"/>
      <c r="DB40" s="565"/>
      <c r="DC40" s="565"/>
      <c r="DD40" s="565"/>
      <c r="DE40" s="565"/>
      <c r="DF40" s="565"/>
    </row>
    <row r="41" spans="1:110" x14ac:dyDescent="0.25">
      <c r="A41" s="120"/>
      <c r="B41" s="1062"/>
      <c r="C41" s="1062"/>
      <c r="D41" s="1062"/>
      <c r="E41" s="1062"/>
      <c r="F41" s="1062"/>
      <c r="G41" s="1062"/>
      <c r="H41" s="1062"/>
      <c r="I41" s="590"/>
      <c r="J41" s="566">
        <v>5</v>
      </c>
      <c r="K41" s="565" t="str">
        <f t="shared" si="29"/>
        <v/>
      </c>
      <c r="L41" s="565" t="str">
        <f t="shared" si="30"/>
        <v/>
      </c>
      <c r="M41" s="565"/>
      <c r="N41" s="565"/>
      <c r="O41" s="565"/>
      <c r="P41" s="565"/>
      <c r="Q41" s="565"/>
      <c r="R41" s="565"/>
      <c r="S41" s="566">
        <v>5</v>
      </c>
      <c r="T41" s="565" t="str">
        <f t="shared" si="31"/>
        <v/>
      </c>
      <c r="U41" s="565" t="str">
        <f t="shared" si="32"/>
        <v/>
      </c>
      <c r="V41" s="565"/>
      <c r="W41" s="565"/>
      <c r="X41" s="565"/>
      <c r="Y41" s="565"/>
      <c r="Z41" s="565"/>
      <c r="AA41" s="565"/>
      <c r="AB41" s="566">
        <v>5</v>
      </c>
      <c r="AC41" s="565" t="str">
        <f t="shared" si="33"/>
        <v/>
      </c>
      <c r="AD41" s="565" t="str">
        <f t="shared" si="34"/>
        <v/>
      </c>
      <c r="AE41" s="565"/>
      <c r="AF41" s="565"/>
      <c r="AG41" s="565"/>
      <c r="AH41" s="565"/>
      <c r="AI41" s="565"/>
      <c r="AJ41" s="565"/>
      <c r="AK41" s="566">
        <v>5</v>
      </c>
      <c r="AL41" s="565" t="str">
        <f t="shared" si="35"/>
        <v/>
      </c>
      <c r="AM41" s="565" t="str">
        <f t="shared" si="36"/>
        <v/>
      </c>
      <c r="AN41" s="565"/>
      <c r="AO41" s="565"/>
      <c r="AP41" s="565"/>
      <c r="AQ41" s="565"/>
      <c r="AR41" s="565"/>
      <c r="AS41" s="565"/>
      <c r="AT41" s="566">
        <v>5</v>
      </c>
      <c r="AU41" s="565" t="str">
        <f t="shared" si="37"/>
        <v/>
      </c>
      <c r="AV41" s="565" t="str">
        <f t="shared" si="38"/>
        <v/>
      </c>
      <c r="AW41" s="565"/>
      <c r="AX41" s="566"/>
      <c r="AY41" s="565"/>
      <c r="AZ41" s="565"/>
      <c r="BA41" s="565"/>
      <c r="BB41" s="565"/>
      <c r="BC41" s="566">
        <v>5</v>
      </c>
      <c r="BD41" s="565" t="str">
        <f t="shared" si="39"/>
        <v/>
      </c>
      <c r="BE41" s="565" t="str">
        <f t="shared" si="40"/>
        <v/>
      </c>
      <c r="BF41" s="565"/>
      <c r="BG41" s="565"/>
      <c r="BH41" s="565"/>
      <c r="BI41" s="565"/>
      <c r="BJ41" s="565"/>
      <c r="BK41" s="565"/>
      <c r="BL41" s="566">
        <v>5</v>
      </c>
      <c r="BM41" s="565" t="str">
        <f t="shared" si="41"/>
        <v/>
      </c>
      <c r="BN41" s="565" t="str">
        <f t="shared" si="42"/>
        <v/>
      </c>
      <c r="BO41" s="565"/>
      <c r="BP41" s="565"/>
      <c r="BQ41" s="565"/>
      <c r="BR41" s="565"/>
      <c r="BS41" s="565"/>
      <c r="BT41" s="565"/>
      <c r="BU41" s="566">
        <v>5</v>
      </c>
      <c r="BV41" s="565" t="str">
        <f t="shared" si="43"/>
        <v/>
      </c>
      <c r="BW41" s="565" t="str">
        <f t="shared" si="44"/>
        <v/>
      </c>
      <c r="BX41" s="565"/>
      <c r="BY41" s="565"/>
      <c r="BZ41" s="565"/>
      <c r="CA41" s="565"/>
      <c r="CB41" s="565"/>
      <c r="CC41" s="566">
        <v>5</v>
      </c>
      <c r="CD41" s="565" t="str">
        <f t="shared" si="45"/>
        <v/>
      </c>
      <c r="CE41" s="565" t="str">
        <f t="shared" si="46"/>
        <v/>
      </c>
      <c r="CF41" s="565"/>
      <c r="CG41" s="565"/>
      <c r="CH41" s="565"/>
      <c r="CI41" s="564"/>
      <c r="CJ41" s="565"/>
      <c r="CK41" s="565"/>
      <c r="CL41" s="565"/>
      <c r="CM41" s="565"/>
      <c r="CN41" s="565"/>
      <c r="CO41" s="565"/>
      <c r="CP41" s="565"/>
      <c r="CQ41" s="565"/>
      <c r="CR41" s="565"/>
      <c r="CS41" s="565"/>
      <c r="CT41" s="565"/>
      <c r="CU41" s="565"/>
      <c r="CV41" s="565"/>
      <c r="CW41" s="565"/>
      <c r="CX41" s="565"/>
      <c r="CY41" s="565"/>
      <c r="CZ41" s="565"/>
      <c r="DA41" s="565"/>
      <c r="DB41" s="565"/>
      <c r="DC41" s="565"/>
      <c r="DD41" s="565"/>
      <c r="DE41" s="565"/>
      <c r="DF41" s="565"/>
    </row>
    <row r="42" spans="1:110" x14ac:dyDescent="0.25">
      <c r="A42" s="120"/>
      <c r="B42" s="1062"/>
      <c r="C42" s="1062"/>
      <c r="D42" s="1062"/>
      <c r="E42" s="1062"/>
      <c r="F42" s="1062"/>
      <c r="G42" s="1062"/>
      <c r="H42" s="1062"/>
      <c r="I42" s="590"/>
      <c r="J42" s="566">
        <v>6</v>
      </c>
      <c r="K42" s="565" t="str">
        <f t="shared" si="29"/>
        <v/>
      </c>
      <c r="L42" s="565" t="str">
        <f t="shared" si="30"/>
        <v/>
      </c>
      <c r="M42" s="565"/>
      <c r="N42" s="565"/>
      <c r="O42" s="565"/>
      <c r="P42" s="565"/>
      <c r="Q42" s="565"/>
      <c r="R42" s="565"/>
      <c r="S42" s="566">
        <v>6</v>
      </c>
      <c r="T42" s="565" t="str">
        <f t="shared" si="31"/>
        <v/>
      </c>
      <c r="U42" s="565" t="str">
        <f t="shared" si="32"/>
        <v/>
      </c>
      <c r="V42" s="565"/>
      <c r="W42" s="565"/>
      <c r="X42" s="565"/>
      <c r="Y42" s="565"/>
      <c r="Z42" s="565"/>
      <c r="AA42" s="565"/>
      <c r="AB42" s="566">
        <v>6</v>
      </c>
      <c r="AC42" s="565" t="str">
        <f t="shared" si="33"/>
        <v/>
      </c>
      <c r="AD42" s="565" t="str">
        <f t="shared" si="34"/>
        <v/>
      </c>
      <c r="AE42" s="565"/>
      <c r="AF42" s="565"/>
      <c r="AG42" s="565"/>
      <c r="AH42" s="565"/>
      <c r="AI42" s="565"/>
      <c r="AJ42" s="565"/>
      <c r="AK42" s="566">
        <v>6</v>
      </c>
      <c r="AL42" s="565" t="str">
        <f t="shared" si="35"/>
        <v/>
      </c>
      <c r="AM42" s="565" t="str">
        <f t="shared" si="36"/>
        <v/>
      </c>
      <c r="AN42" s="565"/>
      <c r="AO42" s="565"/>
      <c r="AP42" s="565"/>
      <c r="AQ42" s="565"/>
      <c r="AR42" s="565"/>
      <c r="AS42" s="565"/>
      <c r="AT42" s="566">
        <v>6</v>
      </c>
      <c r="AU42" s="565" t="str">
        <f t="shared" si="37"/>
        <v/>
      </c>
      <c r="AV42" s="565" t="str">
        <f t="shared" si="38"/>
        <v/>
      </c>
      <c r="AW42" s="565"/>
      <c r="AX42" s="566"/>
      <c r="AY42" s="565"/>
      <c r="AZ42" s="565"/>
      <c r="BA42" s="565"/>
      <c r="BB42" s="565"/>
      <c r="BC42" s="566">
        <v>6</v>
      </c>
      <c r="BD42" s="565" t="str">
        <f t="shared" si="39"/>
        <v/>
      </c>
      <c r="BE42" s="565" t="str">
        <f t="shared" si="40"/>
        <v/>
      </c>
      <c r="BF42" s="565"/>
      <c r="BG42" s="565"/>
      <c r="BH42" s="565"/>
      <c r="BI42" s="565"/>
      <c r="BJ42" s="565"/>
      <c r="BK42" s="565"/>
      <c r="BL42" s="566">
        <v>6</v>
      </c>
      <c r="BM42" s="565" t="str">
        <f t="shared" si="41"/>
        <v/>
      </c>
      <c r="BN42" s="565" t="str">
        <f t="shared" si="42"/>
        <v/>
      </c>
      <c r="BO42" s="565"/>
      <c r="BP42" s="565"/>
      <c r="BQ42" s="565"/>
      <c r="BR42" s="565"/>
      <c r="BS42" s="565"/>
      <c r="BT42" s="565"/>
      <c r="BU42" s="566">
        <v>6</v>
      </c>
      <c r="BV42" s="565" t="str">
        <f t="shared" si="43"/>
        <v/>
      </c>
      <c r="BW42" s="565" t="str">
        <f t="shared" si="44"/>
        <v/>
      </c>
      <c r="BX42" s="565"/>
      <c r="BY42" s="565"/>
      <c r="BZ42" s="565"/>
      <c r="CA42" s="565"/>
      <c r="CB42" s="565"/>
      <c r="CC42" s="566">
        <v>6</v>
      </c>
      <c r="CD42" s="565" t="str">
        <f t="shared" si="45"/>
        <v/>
      </c>
      <c r="CE42" s="565" t="str">
        <f t="shared" si="46"/>
        <v/>
      </c>
      <c r="CF42" s="565"/>
      <c r="CG42" s="565"/>
      <c r="CH42" s="565"/>
      <c r="CI42" s="565"/>
      <c r="CJ42" s="565"/>
      <c r="CK42" s="565"/>
      <c r="CL42" s="565"/>
      <c r="CM42" s="565"/>
      <c r="CN42" s="565"/>
      <c r="CO42" s="565"/>
      <c r="CP42" s="565"/>
      <c r="CQ42" s="565"/>
      <c r="CR42" s="565"/>
      <c r="CS42" s="565"/>
      <c r="CT42" s="565"/>
      <c r="CU42" s="565"/>
      <c r="CV42" s="565"/>
      <c r="CW42" s="565"/>
      <c r="CX42" s="565"/>
      <c r="CY42" s="565"/>
      <c r="CZ42" s="565"/>
      <c r="DA42" s="565"/>
      <c r="DB42" s="565"/>
      <c r="DC42" s="565"/>
      <c r="DD42" s="565"/>
      <c r="DE42" s="565"/>
      <c r="DF42" s="565"/>
    </row>
    <row r="43" spans="1:110" x14ac:dyDescent="0.25">
      <c r="A43" s="120"/>
      <c r="B43" s="1062"/>
      <c r="C43" s="1062"/>
      <c r="D43" s="1062"/>
      <c r="E43" s="1062"/>
      <c r="F43" s="1062"/>
      <c r="G43" s="1062"/>
      <c r="H43" s="1062"/>
      <c r="I43" s="590"/>
      <c r="J43" s="566">
        <v>7</v>
      </c>
      <c r="K43" s="565" t="str">
        <f t="shared" si="29"/>
        <v/>
      </c>
      <c r="L43" s="565" t="str">
        <f t="shared" si="30"/>
        <v/>
      </c>
      <c r="M43" s="565"/>
      <c r="N43" s="565"/>
      <c r="O43" s="565"/>
      <c r="P43" s="565"/>
      <c r="Q43" s="565"/>
      <c r="R43" s="565"/>
      <c r="S43" s="566">
        <v>7</v>
      </c>
      <c r="T43" s="565" t="str">
        <f t="shared" si="31"/>
        <v/>
      </c>
      <c r="U43" s="565" t="str">
        <f t="shared" si="32"/>
        <v/>
      </c>
      <c r="V43" s="565"/>
      <c r="W43" s="565"/>
      <c r="X43" s="565"/>
      <c r="Y43" s="565"/>
      <c r="Z43" s="565"/>
      <c r="AA43" s="565"/>
      <c r="AB43" s="566">
        <v>7</v>
      </c>
      <c r="AC43" s="565" t="str">
        <f t="shared" si="33"/>
        <v/>
      </c>
      <c r="AD43" s="565" t="str">
        <f t="shared" si="34"/>
        <v/>
      </c>
      <c r="AE43" s="565"/>
      <c r="AF43" s="565"/>
      <c r="AG43" s="565"/>
      <c r="AH43" s="565"/>
      <c r="AI43" s="565"/>
      <c r="AJ43" s="565"/>
      <c r="AK43" s="566">
        <v>7</v>
      </c>
      <c r="AL43" s="565" t="str">
        <f t="shared" si="35"/>
        <v/>
      </c>
      <c r="AM43" s="565" t="str">
        <f t="shared" si="36"/>
        <v/>
      </c>
      <c r="AN43" s="565"/>
      <c r="AO43" s="565"/>
      <c r="AP43" s="565"/>
      <c r="AQ43" s="565"/>
      <c r="AR43" s="565"/>
      <c r="AS43" s="565"/>
      <c r="AT43" s="566">
        <v>7</v>
      </c>
      <c r="AU43" s="565" t="str">
        <f t="shared" si="37"/>
        <v/>
      </c>
      <c r="AV43" s="565" t="str">
        <f t="shared" si="38"/>
        <v/>
      </c>
      <c r="AW43" s="565"/>
      <c r="AX43" s="566"/>
      <c r="AY43" s="565"/>
      <c r="AZ43" s="565"/>
      <c r="BA43" s="565"/>
      <c r="BB43" s="565"/>
      <c r="BC43" s="566">
        <v>7</v>
      </c>
      <c r="BD43" s="565" t="str">
        <f t="shared" si="39"/>
        <v/>
      </c>
      <c r="BE43" s="565" t="str">
        <f t="shared" si="40"/>
        <v/>
      </c>
      <c r="BF43" s="565"/>
      <c r="BG43" s="565"/>
      <c r="BH43" s="565"/>
      <c r="BI43" s="565"/>
      <c r="BJ43" s="565"/>
      <c r="BK43" s="565"/>
      <c r="BL43" s="566">
        <v>7</v>
      </c>
      <c r="BM43" s="565" t="str">
        <f t="shared" si="41"/>
        <v/>
      </c>
      <c r="BN43" s="565" t="str">
        <f t="shared" si="42"/>
        <v/>
      </c>
      <c r="BO43" s="565"/>
      <c r="BP43" s="565"/>
      <c r="BQ43" s="565"/>
      <c r="BR43" s="565"/>
      <c r="BS43" s="565"/>
      <c r="BT43" s="565"/>
      <c r="BU43" s="566">
        <v>7</v>
      </c>
      <c r="BV43" s="565" t="str">
        <f t="shared" si="43"/>
        <v/>
      </c>
      <c r="BW43" s="565" t="str">
        <f t="shared" si="44"/>
        <v/>
      </c>
      <c r="BX43" s="565"/>
      <c r="BY43" s="565"/>
      <c r="BZ43" s="565"/>
      <c r="CA43" s="565"/>
      <c r="CB43" s="565"/>
      <c r="CC43" s="566">
        <v>7</v>
      </c>
      <c r="CD43" s="565" t="str">
        <f t="shared" si="45"/>
        <v/>
      </c>
      <c r="CE43" s="565" t="str">
        <f t="shared" si="46"/>
        <v/>
      </c>
      <c r="CF43" s="565"/>
      <c r="CG43" s="565"/>
      <c r="CH43" s="565"/>
      <c r="CI43" s="565"/>
      <c r="CJ43" s="565"/>
      <c r="CK43" s="565"/>
      <c r="CL43" s="565"/>
      <c r="CM43" s="565"/>
      <c r="CN43" s="565"/>
      <c r="CO43" s="565"/>
      <c r="CP43" s="565"/>
      <c r="CQ43" s="565"/>
      <c r="CR43" s="565"/>
      <c r="CS43" s="565"/>
      <c r="CT43" s="565"/>
      <c r="CU43" s="565"/>
      <c r="CV43" s="565"/>
      <c r="CW43" s="565"/>
      <c r="CX43" s="565"/>
      <c r="CY43" s="565"/>
      <c r="CZ43" s="565"/>
      <c r="DA43" s="565"/>
      <c r="DB43" s="565"/>
      <c r="DC43" s="565"/>
      <c r="DD43" s="565"/>
      <c r="DE43" s="565"/>
      <c r="DF43" s="565"/>
    </row>
    <row r="44" spans="1:110" x14ac:dyDescent="0.25">
      <c r="A44" s="120"/>
      <c r="B44" s="1062"/>
      <c r="C44" s="1062"/>
      <c r="D44" s="1062"/>
      <c r="E44" s="1062"/>
      <c r="F44" s="1062"/>
      <c r="G44" s="1062"/>
      <c r="H44" s="1062"/>
      <c r="I44" s="590"/>
      <c r="J44" s="566">
        <v>8</v>
      </c>
      <c r="K44" s="565" t="str">
        <f t="shared" si="29"/>
        <v/>
      </c>
      <c r="L44" s="565" t="str">
        <f t="shared" si="30"/>
        <v/>
      </c>
      <c r="M44" s="565"/>
      <c r="N44" s="565"/>
      <c r="O44" s="565"/>
      <c r="P44" s="565"/>
      <c r="Q44" s="565"/>
      <c r="R44" s="565"/>
      <c r="S44" s="566">
        <v>8</v>
      </c>
      <c r="T44" s="565" t="str">
        <f t="shared" si="31"/>
        <v/>
      </c>
      <c r="U44" s="565" t="str">
        <f t="shared" si="32"/>
        <v/>
      </c>
      <c r="V44" s="565"/>
      <c r="W44" s="565"/>
      <c r="X44" s="565"/>
      <c r="Y44" s="565"/>
      <c r="Z44" s="565"/>
      <c r="AA44" s="565"/>
      <c r="AB44" s="566">
        <v>8</v>
      </c>
      <c r="AC44" s="565" t="str">
        <f t="shared" si="33"/>
        <v/>
      </c>
      <c r="AD44" s="565" t="str">
        <f t="shared" si="34"/>
        <v/>
      </c>
      <c r="AE44" s="565"/>
      <c r="AF44" s="565"/>
      <c r="AG44" s="565"/>
      <c r="AH44" s="565"/>
      <c r="AI44" s="565"/>
      <c r="AJ44" s="565"/>
      <c r="AK44" s="566">
        <v>8</v>
      </c>
      <c r="AL44" s="565" t="str">
        <f t="shared" si="35"/>
        <v/>
      </c>
      <c r="AM44" s="565" t="str">
        <f t="shared" si="36"/>
        <v/>
      </c>
      <c r="AN44" s="565"/>
      <c r="AO44" s="565"/>
      <c r="AP44" s="565"/>
      <c r="AQ44" s="565"/>
      <c r="AR44" s="565"/>
      <c r="AS44" s="565"/>
      <c r="AT44" s="566">
        <v>8</v>
      </c>
      <c r="AU44" s="565" t="str">
        <f t="shared" si="37"/>
        <v/>
      </c>
      <c r="AV44" s="565" t="str">
        <f t="shared" si="38"/>
        <v/>
      </c>
      <c r="AW44" s="565"/>
      <c r="AX44" s="566"/>
      <c r="AY44" s="565"/>
      <c r="AZ44" s="565"/>
      <c r="BA44" s="565"/>
      <c r="BB44" s="565"/>
      <c r="BC44" s="566">
        <v>8</v>
      </c>
      <c r="BD44" s="565" t="str">
        <f t="shared" si="39"/>
        <v/>
      </c>
      <c r="BE44" s="565" t="str">
        <f t="shared" si="40"/>
        <v/>
      </c>
      <c r="BF44" s="565"/>
      <c r="BG44" s="565"/>
      <c r="BH44" s="565"/>
      <c r="BI44" s="565"/>
      <c r="BJ44" s="565"/>
      <c r="BK44" s="565"/>
      <c r="BL44" s="566">
        <v>8</v>
      </c>
      <c r="BM44" s="565" t="str">
        <f t="shared" si="41"/>
        <v/>
      </c>
      <c r="BN44" s="565" t="str">
        <f t="shared" si="42"/>
        <v/>
      </c>
      <c r="BO44" s="565"/>
      <c r="BP44" s="565"/>
      <c r="BQ44" s="565"/>
      <c r="BR44" s="565"/>
      <c r="BS44" s="565"/>
      <c r="BT44" s="565"/>
      <c r="BU44" s="566">
        <v>8</v>
      </c>
      <c r="BV44" s="565" t="str">
        <f t="shared" si="43"/>
        <v/>
      </c>
      <c r="BW44" s="565" t="str">
        <f t="shared" si="44"/>
        <v/>
      </c>
      <c r="BX44" s="565"/>
      <c r="BY44" s="565"/>
      <c r="BZ44" s="565"/>
      <c r="CA44" s="565"/>
      <c r="CB44" s="565"/>
      <c r="CC44" s="566">
        <v>8</v>
      </c>
      <c r="CD44" s="565" t="str">
        <f t="shared" si="45"/>
        <v/>
      </c>
      <c r="CE44" s="565" t="str">
        <f t="shared" si="46"/>
        <v/>
      </c>
      <c r="CF44" s="565"/>
      <c r="CG44" s="565"/>
      <c r="CH44" s="565"/>
      <c r="CI44" s="565"/>
      <c r="CJ44" s="565"/>
      <c r="CK44" s="565"/>
      <c r="CL44" s="565"/>
      <c r="CM44" s="565"/>
      <c r="CN44" s="565"/>
      <c r="CO44" s="565"/>
      <c r="CP44" s="565"/>
      <c r="CQ44" s="565"/>
      <c r="CR44" s="565"/>
      <c r="CS44" s="565"/>
      <c r="CT44" s="565"/>
      <c r="CU44" s="565"/>
      <c r="CV44" s="565"/>
      <c r="CW44" s="565"/>
      <c r="CX44" s="565"/>
      <c r="CY44" s="565"/>
      <c r="CZ44" s="565"/>
      <c r="DA44" s="565"/>
      <c r="DB44" s="565"/>
      <c r="DC44" s="565"/>
      <c r="DD44" s="565"/>
      <c r="DE44" s="565"/>
      <c r="DF44" s="565"/>
    </row>
    <row r="45" spans="1:110" x14ac:dyDescent="0.25">
      <c r="A45" s="120"/>
      <c r="B45" s="1062"/>
      <c r="C45" s="1062"/>
      <c r="D45" s="1062"/>
      <c r="E45" s="1062"/>
      <c r="F45" s="1062"/>
      <c r="G45" s="1062"/>
      <c r="H45" s="1062"/>
      <c r="I45" s="590"/>
      <c r="J45" s="566">
        <v>9</v>
      </c>
      <c r="K45" s="565" t="str">
        <f t="shared" si="29"/>
        <v/>
      </c>
      <c r="L45" s="565" t="str">
        <f t="shared" si="30"/>
        <v/>
      </c>
      <c r="M45" s="565"/>
      <c r="N45" s="565"/>
      <c r="O45" s="565"/>
      <c r="P45" s="565"/>
      <c r="Q45" s="565"/>
      <c r="R45" s="565"/>
      <c r="S45" s="566">
        <v>9</v>
      </c>
      <c r="T45" s="565" t="str">
        <f t="shared" si="31"/>
        <v/>
      </c>
      <c r="U45" s="565" t="str">
        <f t="shared" si="32"/>
        <v/>
      </c>
      <c r="V45" s="565"/>
      <c r="W45" s="565"/>
      <c r="X45" s="565"/>
      <c r="Y45" s="565"/>
      <c r="Z45" s="565"/>
      <c r="AA45" s="565"/>
      <c r="AB45" s="566">
        <v>9</v>
      </c>
      <c r="AC45" s="565" t="str">
        <f t="shared" si="33"/>
        <v/>
      </c>
      <c r="AD45" s="565" t="str">
        <f t="shared" si="34"/>
        <v/>
      </c>
      <c r="AE45" s="565"/>
      <c r="AF45" s="565"/>
      <c r="AG45" s="565"/>
      <c r="AH45" s="565"/>
      <c r="AI45" s="565"/>
      <c r="AJ45" s="565"/>
      <c r="AK45" s="566">
        <v>9</v>
      </c>
      <c r="AL45" s="565" t="str">
        <f t="shared" si="35"/>
        <v/>
      </c>
      <c r="AM45" s="565" t="str">
        <f t="shared" si="36"/>
        <v/>
      </c>
      <c r="AN45" s="565"/>
      <c r="AO45" s="565"/>
      <c r="AP45" s="565"/>
      <c r="AQ45" s="565"/>
      <c r="AR45" s="565"/>
      <c r="AS45" s="565"/>
      <c r="AT45" s="566">
        <v>9</v>
      </c>
      <c r="AU45" s="565" t="str">
        <f t="shared" si="37"/>
        <v/>
      </c>
      <c r="AV45" s="565" t="str">
        <f t="shared" si="38"/>
        <v/>
      </c>
      <c r="AW45" s="565"/>
      <c r="AX45" s="566"/>
      <c r="AY45" s="565"/>
      <c r="AZ45" s="565"/>
      <c r="BA45" s="565"/>
      <c r="BB45" s="565"/>
      <c r="BC45" s="566">
        <v>9</v>
      </c>
      <c r="BD45" s="565" t="str">
        <f t="shared" si="39"/>
        <v/>
      </c>
      <c r="BE45" s="565" t="str">
        <f t="shared" si="40"/>
        <v/>
      </c>
      <c r="BF45" s="565"/>
      <c r="BG45" s="565"/>
      <c r="BH45" s="565"/>
      <c r="BI45" s="565"/>
      <c r="BJ45" s="565"/>
      <c r="BK45" s="565"/>
      <c r="BL45" s="566">
        <v>9</v>
      </c>
      <c r="BM45" s="565" t="str">
        <f t="shared" si="41"/>
        <v/>
      </c>
      <c r="BN45" s="565" t="str">
        <f t="shared" si="42"/>
        <v/>
      </c>
      <c r="BO45" s="565"/>
      <c r="BP45" s="565"/>
      <c r="BQ45" s="565"/>
      <c r="BR45" s="565"/>
      <c r="BS45" s="565"/>
      <c r="BT45" s="565"/>
      <c r="BU45" s="566">
        <v>9</v>
      </c>
      <c r="BV45" s="565" t="str">
        <f t="shared" si="43"/>
        <v/>
      </c>
      <c r="BW45" s="565" t="str">
        <f t="shared" si="44"/>
        <v/>
      </c>
      <c r="BX45" s="565"/>
      <c r="BY45" s="565"/>
      <c r="BZ45" s="565"/>
      <c r="CA45" s="565"/>
      <c r="CB45" s="565"/>
      <c r="CC45" s="566">
        <v>9</v>
      </c>
      <c r="CD45" s="565" t="str">
        <f t="shared" si="45"/>
        <v/>
      </c>
      <c r="CE45" s="565" t="str">
        <f t="shared" si="46"/>
        <v/>
      </c>
      <c r="CF45" s="565"/>
      <c r="CG45" s="565"/>
      <c r="CH45" s="565"/>
      <c r="CI45" s="565"/>
      <c r="CJ45" s="565"/>
      <c r="CK45" s="565"/>
      <c r="CL45" s="565"/>
      <c r="CM45" s="565"/>
      <c r="CN45" s="565"/>
      <c r="CO45" s="565"/>
      <c r="CP45" s="565"/>
      <c r="CQ45" s="565"/>
      <c r="CR45" s="565"/>
      <c r="CS45" s="565"/>
      <c r="CT45" s="565"/>
      <c r="CU45" s="565"/>
      <c r="CV45" s="565"/>
      <c r="CW45" s="565"/>
      <c r="CX45" s="565"/>
      <c r="CY45" s="565"/>
      <c r="CZ45" s="565"/>
      <c r="DA45" s="565"/>
      <c r="DB45" s="565"/>
      <c r="DC45" s="565"/>
      <c r="DD45" s="565"/>
      <c r="DE45" s="565"/>
      <c r="DF45" s="565"/>
    </row>
    <row r="46" spans="1:110" x14ac:dyDescent="0.25">
      <c r="A46" s="120"/>
      <c r="B46" s="1062"/>
      <c r="C46" s="1062"/>
      <c r="D46" s="1062"/>
      <c r="E46" s="1062"/>
      <c r="F46" s="1062"/>
      <c r="G46" s="1062"/>
      <c r="H46" s="1062"/>
      <c r="I46" s="590"/>
      <c r="J46" s="566">
        <v>10</v>
      </c>
      <c r="K46" s="565" t="str">
        <f t="shared" si="29"/>
        <v/>
      </c>
      <c r="L46" s="565" t="str">
        <f t="shared" si="30"/>
        <v/>
      </c>
      <c r="M46" s="565"/>
      <c r="N46" s="565"/>
      <c r="O46" s="565"/>
      <c r="P46" s="565"/>
      <c r="Q46" s="565"/>
      <c r="R46" s="565"/>
      <c r="S46" s="566">
        <v>10</v>
      </c>
      <c r="T46" s="565" t="str">
        <f t="shared" si="31"/>
        <v/>
      </c>
      <c r="U46" s="565" t="str">
        <f t="shared" si="32"/>
        <v/>
      </c>
      <c r="V46" s="565"/>
      <c r="W46" s="565"/>
      <c r="X46" s="565"/>
      <c r="Y46" s="565"/>
      <c r="Z46" s="565"/>
      <c r="AA46" s="565"/>
      <c r="AB46" s="566">
        <v>10</v>
      </c>
      <c r="AC46" s="565" t="str">
        <f t="shared" si="33"/>
        <v/>
      </c>
      <c r="AD46" s="565" t="str">
        <f t="shared" si="34"/>
        <v/>
      </c>
      <c r="AE46" s="565"/>
      <c r="AF46" s="565"/>
      <c r="AG46" s="565"/>
      <c r="AH46" s="565"/>
      <c r="AI46" s="565"/>
      <c r="AJ46" s="565"/>
      <c r="AK46" s="566">
        <v>10</v>
      </c>
      <c r="AL46" s="565" t="str">
        <f t="shared" si="35"/>
        <v/>
      </c>
      <c r="AM46" s="565" t="str">
        <f t="shared" si="36"/>
        <v/>
      </c>
      <c r="AN46" s="565"/>
      <c r="AO46" s="565"/>
      <c r="AP46" s="565"/>
      <c r="AQ46" s="565"/>
      <c r="AR46" s="565"/>
      <c r="AS46" s="565"/>
      <c r="AT46" s="566">
        <v>10</v>
      </c>
      <c r="AU46" s="565" t="str">
        <f t="shared" si="37"/>
        <v/>
      </c>
      <c r="AV46" s="565" t="str">
        <f t="shared" si="38"/>
        <v/>
      </c>
      <c r="AW46" s="565"/>
      <c r="AX46" s="566"/>
      <c r="AY46" s="565"/>
      <c r="AZ46" s="565"/>
      <c r="BA46" s="565"/>
      <c r="BB46" s="565"/>
      <c r="BC46" s="566">
        <v>10</v>
      </c>
      <c r="BD46" s="565" t="str">
        <f t="shared" si="39"/>
        <v/>
      </c>
      <c r="BE46" s="565" t="str">
        <f t="shared" si="40"/>
        <v/>
      </c>
      <c r="BF46" s="565"/>
      <c r="BG46" s="565"/>
      <c r="BH46" s="565"/>
      <c r="BI46" s="565"/>
      <c r="BJ46" s="565"/>
      <c r="BK46" s="565"/>
      <c r="BL46" s="566">
        <v>10</v>
      </c>
      <c r="BM46" s="565" t="str">
        <f t="shared" si="41"/>
        <v/>
      </c>
      <c r="BN46" s="565" t="str">
        <f t="shared" si="42"/>
        <v/>
      </c>
      <c r="BO46" s="565"/>
      <c r="BP46" s="565"/>
      <c r="BQ46" s="565"/>
      <c r="BR46" s="565"/>
      <c r="BS46" s="565"/>
      <c r="BT46" s="565"/>
      <c r="BU46" s="566">
        <v>10</v>
      </c>
      <c r="BV46" s="565" t="str">
        <f t="shared" si="43"/>
        <v/>
      </c>
      <c r="BW46" s="565" t="str">
        <f t="shared" si="44"/>
        <v/>
      </c>
      <c r="BX46" s="565"/>
      <c r="BY46" s="565"/>
      <c r="BZ46" s="565"/>
      <c r="CA46" s="565"/>
      <c r="CB46" s="565"/>
      <c r="CC46" s="566">
        <v>10</v>
      </c>
      <c r="CD46" s="565" t="str">
        <f t="shared" si="45"/>
        <v/>
      </c>
      <c r="CE46" s="565" t="str">
        <f t="shared" si="46"/>
        <v/>
      </c>
      <c r="CF46" s="565"/>
      <c r="CG46" s="565"/>
      <c r="CH46" s="565"/>
      <c r="CI46" s="565"/>
      <c r="CJ46" s="565"/>
      <c r="CK46" s="565"/>
      <c r="CL46" s="565"/>
      <c r="CM46" s="565"/>
      <c r="CN46" s="565"/>
      <c r="CO46" s="565"/>
      <c r="CP46" s="565"/>
      <c r="CQ46" s="565"/>
      <c r="CR46" s="565"/>
      <c r="CS46" s="565"/>
      <c r="CT46" s="565"/>
      <c r="CU46" s="565"/>
      <c r="CV46" s="565"/>
      <c r="CW46" s="565"/>
      <c r="CX46" s="565"/>
      <c r="CY46" s="565"/>
      <c r="CZ46" s="565"/>
      <c r="DA46" s="565"/>
      <c r="DB46" s="565"/>
      <c r="DC46" s="565"/>
      <c r="DD46" s="565"/>
      <c r="DE46" s="565"/>
      <c r="DF46" s="565"/>
    </row>
    <row r="47" spans="1:110" x14ac:dyDescent="0.25">
      <c r="A47" s="120"/>
      <c r="B47" s="1062"/>
      <c r="C47" s="1062"/>
      <c r="D47" s="1062"/>
      <c r="E47" s="1062"/>
      <c r="F47" s="1062"/>
      <c r="G47" s="1062"/>
      <c r="H47" s="1062"/>
      <c r="I47" s="590"/>
      <c r="J47" s="566">
        <v>11</v>
      </c>
      <c r="K47" s="565" t="str">
        <f t="shared" si="29"/>
        <v/>
      </c>
      <c r="L47" s="565" t="str">
        <f t="shared" si="30"/>
        <v/>
      </c>
      <c r="M47" s="565"/>
      <c r="N47" s="565"/>
      <c r="O47" s="565"/>
      <c r="P47" s="565"/>
      <c r="Q47" s="565"/>
      <c r="R47" s="565"/>
      <c r="S47" s="566">
        <v>11</v>
      </c>
      <c r="T47" s="565" t="str">
        <f t="shared" si="31"/>
        <v/>
      </c>
      <c r="U47" s="565" t="str">
        <f t="shared" si="32"/>
        <v/>
      </c>
      <c r="V47" s="565"/>
      <c r="W47" s="565"/>
      <c r="X47" s="565"/>
      <c r="Y47" s="565"/>
      <c r="Z47" s="565"/>
      <c r="AA47" s="565"/>
      <c r="AB47" s="566">
        <v>11</v>
      </c>
      <c r="AC47" s="565" t="str">
        <f t="shared" si="33"/>
        <v/>
      </c>
      <c r="AD47" s="565" t="str">
        <f t="shared" si="34"/>
        <v/>
      </c>
      <c r="AE47" s="565"/>
      <c r="AF47" s="565"/>
      <c r="AG47" s="565"/>
      <c r="AH47" s="565"/>
      <c r="AI47" s="565"/>
      <c r="AJ47" s="565"/>
      <c r="AK47" s="566">
        <v>11</v>
      </c>
      <c r="AL47" s="565" t="str">
        <f t="shared" si="35"/>
        <v/>
      </c>
      <c r="AM47" s="565" t="str">
        <f t="shared" si="36"/>
        <v/>
      </c>
      <c r="AN47" s="565"/>
      <c r="AO47" s="565"/>
      <c r="AP47" s="565"/>
      <c r="AQ47" s="565"/>
      <c r="AR47" s="565"/>
      <c r="AS47" s="565"/>
      <c r="AT47" s="566">
        <v>11</v>
      </c>
      <c r="AU47" s="565" t="str">
        <f t="shared" si="37"/>
        <v/>
      </c>
      <c r="AV47" s="565" t="str">
        <f t="shared" si="38"/>
        <v/>
      </c>
      <c r="AW47" s="565"/>
      <c r="AX47" s="566"/>
      <c r="AY47" s="565"/>
      <c r="AZ47" s="565"/>
      <c r="BA47" s="565"/>
      <c r="BB47" s="565"/>
      <c r="BC47" s="566">
        <v>11</v>
      </c>
      <c r="BD47" s="565" t="str">
        <f t="shared" si="39"/>
        <v/>
      </c>
      <c r="BE47" s="565" t="str">
        <f t="shared" si="40"/>
        <v/>
      </c>
      <c r="BF47" s="565"/>
      <c r="BG47" s="565"/>
      <c r="BH47" s="565"/>
      <c r="BI47" s="565"/>
      <c r="BJ47" s="565"/>
      <c r="BK47" s="565"/>
      <c r="BL47" s="566">
        <v>11</v>
      </c>
      <c r="BM47" s="565" t="str">
        <f t="shared" si="41"/>
        <v/>
      </c>
      <c r="BN47" s="565" t="str">
        <f t="shared" si="42"/>
        <v/>
      </c>
      <c r="BO47" s="565"/>
      <c r="BP47" s="565"/>
      <c r="BQ47" s="565"/>
      <c r="BR47" s="565"/>
      <c r="BS47" s="565"/>
      <c r="BT47" s="565"/>
      <c r="BU47" s="566">
        <v>11</v>
      </c>
      <c r="BV47" s="565" t="str">
        <f t="shared" si="43"/>
        <v/>
      </c>
      <c r="BW47" s="565" t="str">
        <f t="shared" si="44"/>
        <v/>
      </c>
      <c r="BX47" s="565"/>
      <c r="BY47" s="565"/>
      <c r="BZ47" s="565"/>
      <c r="CA47" s="565"/>
      <c r="CB47" s="565"/>
      <c r="CC47" s="566">
        <v>11</v>
      </c>
      <c r="CD47" s="565" t="str">
        <f t="shared" si="45"/>
        <v/>
      </c>
      <c r="CE47" s="565" t="str">
        <f t="shared" si="46"/>
        <v/>
      </c>
      <c r="CF47" s="565"/>
      <c r="CG47" s="565"/>
      <c r="CH47" s="565"/>
      <c r="CI47" s="565"/>
      <c r="CJ47" s="565"/>
      <c r="CK47" s="565"/>
      <c r="CL47" s="565"/>
      <c r="CM47" s="565"/>
      <c r="CN47" s="565"/>
      <c r="CO47" s="565"/>
      <c r="CP47" s="565"/>
      <c r="CQ47" s="565"/>
      <c r="CR47" s="565"/>
      <c r="CS47" s="565"/>
      <c r="CT47" s="565"/>
      <c r="CU47" s="565"/>
      <c r="CV47" s="565"/>
      <c r="CW47" s="565"/>
      <c r="CX47" s="565"/>
      <c r="CY47" s="565"/>
      <c r="CZ47" s="565"/>
      <c r="DA47" s="565"/>
      <c r="DB47" s="565"/>
      <c r="DC47" s="565"/>
      <c r="DD47" s="565"/>
      <c r="DE47" s="565"/>
      <c r="DF47" s="565"/>
    </row>
    <row r="48" spans="1:110" x14ac:dyDescent="0.25">
      <c r="A48" s="120"/>
      <c r="B48" s="1062"/>
      <c r="C48" s="1062"/>
      <c r="D48" s="1062"/>
      <c r="E48" s="1062"/>
      <c r="F48" s="1062"/>
      <c r="G48" s="1062"/>
      <c r="H48" s="1062"/>
      <c r="I48" s="590"/>
      <c r="J48" s="566">
        <v>12</v>
      </c>
      <c r="K48" s="565" t="str">
        <f t="shared" si="29"/>
        <v/>
      </c>
      <c r="L48" s="565" t="str">
        <f t="shared" si="30"/>
        <v/>
      </c>
      <c r="M48" s="565"/>
      <c r="N48" s="565"/>
      <c r="O48" s="565"/>
      <c r="P48" s="565"/>
      <c r="Q48" s="565"/>
      <c r="R48" s="565"/>
      <c r="S48" s="566">
        <v>12</v>
      </c>
      <c r="T48" s="565" t="str">
        <f t="shared" si="31"/>
        <v/>
      </c>
      <c r="U48" s="565" t="str">
        <f t="shared" si="32"/>
        <v/>
      </c>
      <c r="V48" s="565"/>
      <c r="W48" s="565"/>
      <c r="X48" s="565"/>
      <c r="Y48" s="565"/>
      <c r="Z48" s="565"/>
      <c r="AA48" s="565"/>
      <c r="AB48" s="566">
        <v>12</v>
      </c>
      <c r="AC48" s="565" t="str">
        <f t="shared" si="33"/>
        <v/>
      </c>
      <c r="AD48" s="565" t="str">
        <f t="shared" si="34"/>
        <v/>
      </c>
      <c r="AE48" s="565"/>
      <c r="AF48" s="565"/>
      <c r="AG48" s="565"/>
      <c r="AH48" s="565"/>
      <c r="AI48" s="565"/>
      <c r="AJ48" s="565"/>
      <c r="AK48" s="566">
        <v>12</v>
      </c>
      <c r="AL48" s="565" t="str">
        <f t="shared" si="35"/>
        <v/>
      </c>
      <c r="AM48" s="565" t="str">
        <f t="shared" si="36"/>
        <v/>
      </c>
      <c r="AN48" s="565"/>
      <c r="AO48" s="565"/>
      <c r="AP48" s="565"/>
      <c r="AQ48" s="565"/>
      <c r="AR48" s="565"/>
      <c r="AS48" s="565"/>
      <c r="AT48" s="566">
        <v>12</v>
      </c>
      <c r="AU48" s="565" t="str">
        <f t="shared" si="37"/>
        <v/>
      </c>
      <c r="AV48" s="565" t="str">
        <f t="shared" si="38"/>
        <v/>
      </c>
      <c r="AW48" s="565"/>
      <c r="AX48" s="566"/>
      <c r="AY48" s="565"/>
      <c r="AZ48" s="565"/>
      <c r="BA48" s="565"/>
      <c r="BB48" s="565"/>
      <c r="BC48" s="566">
        <v>12</v>
      </c>
      <c r="BD48" s="565" t="str">
        <f t="shared" si="39"/>
        <v/>
      </c>
      <c r="BE48" s="565" t="str">
        <f t="shared" si="40"/>
        <v/>
      </c>
      <c r="BF48" s="565"/>
      <c r="BG48" s="565"/>
      <c r="BH48" s="565"/>
      <c r="BI48" s="565"/>
      <c r="BJ48" s="565"/>
      <c r="BK48" s="565"/>
      <c r="BL48" s="566">
        <v>12</v>
      </c>
      <c r="BM48" s="565" t="str">
        <f t="shared" si="41"/>
        <v/>
      </c>
      <c r="BN48" s="565" t="str">
        <f t="shared" si="42"/>
        <v/>
      </c>
      <c r="BO48" s="565"/>
      <c r="BP48" s="565"/>
      <c r="BQ48" s="565"/>
      <c r="BR48" s="565"/>
      <c r="BS48" s="565"/>
      <c r="BT48" s="565"/>
      <c r="BU48" s="566">
        <v>12</v>
      </c>
      <c r="BV48" s="565" t="str">
        <f t="shared" si="43"/>
        <v/>
      </c>
      <c r="BW48" s="565" t="str">
        <f t="shared" si="44"/>
        <v/>
      </c>
      <c r="BX48" s="565"/>
      <c r="BY48" s="565"/>
      <c r="BZ48" s="565"/>
      <c r="CA48" s="565"/>
      <c r="CB48" s="565"/>
      <c r="CC48" s="566">
        <v>12</v>
      </c>
      <c r="CD48" s="565" t="str">
        <f t="shared" si="45"/>
        <v/>
      </c>
      <c r="CE48" s="565" t="str">
        <f t="shared" si="46"/>
        <v/>
      </c>
      <c r="CF48" s="565"/>
      <c r="CG48" s="565"/>
      <c r="CH48" s="565"/>
      <c r="CI48" s="565"/>
      <c r="CJ48" s="565"/>
      <c r="CK48" s="565"/>
      <c r="CL48" s="565"/>
      <c r="CM48" s="565"/>
      <c r="CN48" s="565"/>
      <c r="CO48" s="565"/>
      <c r="CP48" s="565"/>
      <c r="CQ48" s="565"/>
      <c r="CR48" s="565"/>
      <c r="CS48" s="565"/>
      <c r="CT48" s="565"/>
      <c r="CU48" s="565"/>
      <c r="CV48" s="565"/>
      <c r="CW48" s="565"/>
      <c r="CX48" s="565"/>
      <c r="CY48" s="565"/>
      <c r="CZ48" s="565"/>
      <c r="DA48" s="565"/>
      <c r="DB48" s="565"/>
      <c r="DC48" s="565"/>
      <c r="DD48" s="565"/>
      <c r="DE48" s="565"/>
      <c r="DF48" s="565"/>
    </row>
    <row r="49" spans="1:110" x14ac:dyDescent="0.25">
      <c r="A49" s="120"/>
      <c r="B49" s="1062"/>
      <c r="C49" s="1062"/>
      <c r="D49" s="1062"/>
      <c r="E49" s="1062"/>
      <c r="F49" s="1062"/>
      <c r="G49" s="1062"/>
      <c r="H49" s="1062"/>
      <c r="I49" s="590"/>
      <c r="J49" s="566">
        <v>13</v>
      </c>
      <c r="K49" s="565" t="str">
        <f t="shared" si="29"/>
        <v/>
      </c>
      <c r="L49" s="565" t="str">
        <f t="shared" si="30"/>
        <v/>
      </c>
      <c r="M49" s="565"/>
      <c r="N49" s="565"/>
      <c r="O49" s="565"/>
      <c r="P49" s="565"/>
      <c r="Q49" s="565"/>
      <c r="R49" s="565"/>
      <c r="S49" s="566">
        <v>13</v>
      </c>
      <c r="T49" s="565" t="str">
        <f t="shared" si="31"/>
        <v/>
      </c>
      <c r="U49" s="565" t="str">
        <f t="shared" si="32"/>
        <v/>
      </c>
      <c r="V49" s="565"/>
      <c r="W49" s="565"/>
      <c r="X49" s="565"/>
      <c r="Y49" s="565"/>
      <c r="Z49" s="565"/>
      <c r="AA49" s="565"/>
      <c r="AB49" s="566">
        <v>13</v>
      </c>
      <c r="AC49" s="565" t="str">
        <f t="shared" si="33"/>
        <v/>
      </c>
      <c r="AD49" s="565" t="str">
        <f t="shared" si="34"/>
        <v/>
      </c>
      <c r="AE49" s="565"/>
      <c r="AF49" s="565"/>
      <c r="AG49" s="565"/>
      <c r="AH49" s="565"/>
      <c r="AI49" s="565"/>
      <c r="AJ49" s="565"/>
      <c r="AK49" s="566">
        <v>13</v>
      </c>
      <c r="AL49" s="565" t="str">
        <f t="shared" si="35"/>
        <v/>
      </c>
      <c r="AM49" s="565" t="str">
        <f t="shared" si="36"/>
        <v/>
      </c>
      <c r="AN49" s="565"/>
      <c r="AO49" s="565"/>
      <c r="AP49" s="565"/>
      <c r="AQ49" s="565"/>
      <c r="AR49" s="565"/>
      <c r="AS49" s="565"/>
      <c r="AT49" s="566">
        <v>13</v>
      </c>
      <c r="AU49" s="565" t="str">
        <f t="shared" si="37"/>
        <v/>
      </c>
      <c r="AV49" s="565" t="str">
        <f t="shared" si="38"/>
        <v/>
      </c>
      <c r="AW49" s="565"/>
      <c r="AX49" s="566"/>
      <c r="AY49" s="565"/>
      <c r="AZ49" s="565"/>
      <c r="BA49" s="565"/>
      <c r="BB49" s="565"/>
      <c r="BC49" s="566">
        <v>13</v>
      </c>
      <c r="BD49" s="565" t="str">
        <f t="shared" si="39"/>
        <v/>
      </c>
      <c r="BE49" s="565" t="str">
        <f t="shared" si="40"/>
        <v/>
      </c>
      <c r="BF49" s="565"/>
      <c r="BG49" s="565"/>
      <c r="BH49" s="565"/>
      <c r="BI49" s="565"/>
      <c r="BJ49" s="565"/>
      <c r="BK49" s="565"/>
      <c r="BL49" s="566">
        <v>13</v>
      </c>
      <c r="BM49" s="565" t="str">
        <f t="shared" si="41"/>
        <v/>
      </c>
      <c r="BN49" s="565" t="str">
        <f t="shared" si="42"/>
        <v/>
      </c>
      <c r="BO49" s="565"/>
      <c r="BP49" s="565"/>
      <c r="BQ49" s="565"/>
      <c r="BR49" s="565"/>
      <c r="BS49" s="565"/>
      <c r="BT49" s="565"/>
      <c r="BU49" s="566">
        <v>13</v>
      </c>
      <c r="BV49" s="565" t="str">
        <f t="shared" si="43"/>
        <v/>
      </c>
      <c r="BW49" s="565" t="str">
        <f t="shared" si="44"/>
        <v/>
      </c>
      <c r="BX49" s="565"/>
      <c r="BY49" s="565"/>
      <c r="BZ49" s="565"/>
      <c r="CA49" s="565"/>
      <c r="CB49" s="565"/>
      <c r="CC49" s="566">
        <v>13</v>
      </c>
      <c r="CD49" s="565" t="str">
        <f t="shared" si="45"/>
        <v/>
      </c>
      <c r="CE49" s="565" t="str">
        <f t="shared" si="46"/>
        <v/>
      </c>
      <c r="CF49" s="565"/>
      <c r="CG49" s="565"/>
      <c r="CH49" s="565"/>
      <c r="CI49" s="565"/>
      <c r="CJ49" s="565"/>
      <c r="CK49" s="565"/>
      <c r="CL49" s="565"/>
      <c r="CM49" s="565"/>
      <c r="CN49" s="565"/>
      <c r="CO49" s="565"/>
      <c r="CP49" s="565"/>
      <c r="CQ49" s="565"/>
      <c r="CR49" s="565"/>
      <c r="CS49" s="565"/>
      <c r="CT49" s="565"/>
      <c r="CU49" s="565"/>
      <c r="CV49" s="565"/>
      <c r="CW49" s="565"/>
      <c r="CX49" s="565"/>
      <c r="CY49" s="565"/>
      <c r="CZ49" s="565"/>
      <c r="DA49" s="565"/>
      <c r="DB49" s="565"/>
      <c r="DC49" s="565"/>
      <c r="DD49" s="565"/>
      <c r="DE49" s="565"/>
      <c r="DF49" s="565"/>
    </row>
    <row r="50" spans="1:110" x14ac:dyDescent="0.25">
      <c r="A50" s="120"/>
      <c r="B50" s="1062"/>
      <c r="C50" s="1062"/>
      <c r="D50" s="1062"/>
      <c r="E50" s="1062"/>
      <c r="F50" s="1062"/>
      <c r="G50" s="1062"/>
      <c r="H50" s="1062"/>
      <c r="I50" s="590"/>
      <c r="J50" s="566">
        <v>14</v>
      </c>
      <c r="K50" s="565" t="str">
        <f t="shared" si="29"/>
        <v/>
      </c>
      <c r="L50" s="565" t="str">
        <f t="shared" si="30"/>
        <v/>
      </c>
      <c r="M50" s="565"/>
      <c r="N50" s="565"/>
      <c r="O50" s="565"/>
      <c r="P50" s="565"/>
      <c r="Q50" s="565"/>
      <c r="R50" s="565"/>
      <c r="S50" s="566">
        <v>14</v>
      </c>
      <c r="T50" s="565" t="str">
        <f t="shared" si="31"/>
        <v/>
      </c>
      <c r="U50" s="565" t="str">
        <f t="shared" si="32"/>
        <v/>
      </c>
      <c r="V50" s="565"/>
      <c r="W50" s="565"/>
      <c r="X50" s="565"/>
      <c r="Y50" s="565"/>
      <c r="Z50" s="565"/>
      <c r="AA50" s="565"/>
      <c r="AB50" s="566">
        <v>14</v>
      </c>
      <c r="AC50" s="565" t="str">
        <f t="shared" si="33"/>
        <v/>
      </c>
      <c r="AD50" s="565" t="str">
        <f t="shared" si="34"/>
        <v/>
      </c>
      <c r="AE50" s="565"/>
      <c r="AF50" s="565"/>
      <c r="AG50" s="565"/>
      <c r="AH50" s="565"/>
      <c r="AI50" s="565"/>
      <c r="AJ50" s="565"/>
      <c r="AK50" s="566">
        <v>14</v>
      </c>
      <c r="AL50" s="565" t="str">
        <f t="shared" si="35"/>
        <v/>
      </c>
      <c r="AM50" s="565" t="str">
        <f t="shared" si="36"/>
        <v/>
      </c>
      <c r="AN50" s="565"/>
      <c r="AO50" s="565"/>
      <c r="AP50" s="565"/>
      <c r="AQ50" s="565"/>
      <c r="AR50" s="565"/>
      <c r="AS50" s="565"/>
      <c r="AT50" s="566">
        <v>14</v>
      </c>
      <c r="AU50" s="565" t="str">
        <f t="shared" si="37"/>
        <v/>
      </c>
      <c r="AV50" s="565" t="str">
        <f t="shared" si="38"/>
        <v/>
      </c>
      <c r="AW50" s="565"/>
      <c r="AX50" s="566"/>
      <c r="AY50" s="565"/>
      <c r="AZ50" s="565"/>
      <c r="BA50" s="565"/>
      <c r="BB50" s="565"/>
      <c r="BC50" s="566">
        <v>14</v>
      </c>
      <c r="BD50" s="565" t="str">
        <f t="shared" si="39"/>
        <v/>
      </c>
      <c r="BE50" s="565" t="str">
        <f t="shared" si="40"/>
        <v/>
      </c>
      <c r="BF50" s="565"/>
      <c r="BG50" s="565"/>
      <c r="BH50" s="565"/>
      <c r="BI50" s="565"/>
      <c r="BJ50" s="565"/>
      <c r="BK50" s="565"/>
      <c r="BL50" s="566">
        <v>14</v>
      </c>
      <c r="BM50" s="565" t="str">
        <f t="shared" si="41"/>
        <v/>
      </c>
      <c r="BN50" s="565" t="str">
        <f t="shared" si="42"/>
        <v/>
      </c>
      <c r="BO50" s="565"/>
      <c r="BP50" s="565"/>
      <c r="BQ50" s="565"/>
      <c r="BR50" s="565"/>
      <c r="BS50" s="565"/>
      <c r="BT50" s="565"/>
      <c r="BU50" s="566">
        <v>14</v>
      </c>
      <c r="BV50" s="565" t="str">
        <f t="shared" si="43"/>
        <v/>
      </c>
      <c r="BW50" s="565" t="str">
        <f t="shared" si="44"/>
        <v/>
      </c>
      <c r="BX50" s="565"/>
      <c r="BY50" s="565"/>
      <c r="BZ50" s="565"/>
      <c r="CA50" s="565"/>
      <c r="CB50" s="565"/>
      <c r="CC50" s="566">
        <v>14</v>
      </c>
      <c r="CD50" s="565" t="str">
        <f t="shared" si="45"/>
        <v/>
      </c>
      <c r="CE50" s="565" t="str">
        <f t="shared" si="46"/>
        <v/>
      </c>
      <c r="CF50" s="565"/>
      <c r="CG50" s="565"/>
      <c r="CH50" s="565"/>
      <c r="CI50" s="565"/>
      <c r="CJ50" s="565"/>
      <c r="CK50" s="565"/>
      <c r="CL50" s="565"/>
      <c r="CM50" s="565"/>
      <c r="CN50" s="565"/>
      <c r="CO50" s="565"/>
      <c r="CP50" s="565"/>
      <c r="CQ50" s="565"/>
      <c r="CR50" s="565"/>
      <c r="CS50" s="565"/>
      <c r="CT50" s="565"/>
      <c r="CU50" s="565"/>
      <c r="CV50" s="565"/>
      <c r="CW50" s="565"/>
      <c r="CX50" s="565"/>
      <c r="CY50" s="565"/>
      <c r="CZ50" s="565"/>
      <c r="DA50" s="565"/>
      <c r="DB50" s="565"/>
      <c r="DC50" s="565"/>
      <c r="DD50" s="565"/>
      <c r="DE50" s="565"/>
      <c r="DF50" s="565"/>
    </row>
    <row r="51" spans="1:110" x14ac:dyDescent="0.25">
      <c r="A51" s="120"/>
      <c r="B51" s="1062"/>
      <c r="C51" s="1062"/>
      <c r="D51" s="1062"/>
      <c r="E51" s="1062"/>
      <c r="F51" s="1062"/>
      <c r="G51" s="1062"/>
      <c r="H51" s="1062"/>
      <c r="I51" s="590"/>
      <c r="J51" s="566">
        <v>15</v>
      </c>
      <c r="K51" s="565" t="str">
        <f t="shared" si="29"/>
        <v/>
      </c>
      <c r="L51" s="565" t="str">
        <f t="shared" si="30"/>
        <v/>
      </c>
      <c r="M51" s="565"/>
      <c r="N51" s="565"/>
      <c r="O51" s="565"/>
      <c r="P51" s="565"/>
      <c r="Q51" s="565"/>
      <c r="R51" s="565"/>
      <c r="S51" s="566">
        <v>15</v>
      </c>
      <c r="T51" s="565" t="str">
        <f t="shared" si="31"/>
        <v/>
      </c>
      <c r="U51" s="565" t="str">
        <f t="shared" si="32"/>
        <v/>
      </c>
      <c r="V51" s="565"/>
      <c r="W51" s="565"/>
      <c r="X51" s="565"/>
      <c r="Y51" s="565"/>
      <c r="Z51" s="565"/>
      <c r="AA51" s="565"/>
      <c r="AB51" s="566">
        <v>15</v>
      </c>
      <c r="AC51" s="565" t="str">
        <f t="shared" si="33"/>
        <v/>
      </c>
      <c r="AD51" s="565" t="str">
        <f t="shared" si="34"/>
        <v/>
      </c>
      <c r="AE51" s="565"/>
      <c r="AF51" s="565"/>
      <c r="AG51" s="565"/>
      <c r="AH51" s="565"/>
      <c r="AI51" s="565"/>
      <c r="AJ51" s="565"/>
      <c r="AK51" s="566">
        <v>15</v>
      </c>
      <c r="AL51" s="565" t="str">
        <f t="shared" si="35"/>
        <v/>
      </c>
      <c r="AM51" s="565" t="str">
        <f t="shared" si="36"/>
        <v/>
      </c>
      <c r="AN51" s="565"/>
      <c r="AO51" s="565"/>
      <c r="AP51" s="565"/>
      <c r="AQ51" s="565"/>
      <c r="AR51" s="565"/>
      <c r="AS51" s="565"/>
      <c r="AT51" s="566">
        <v>15</v>
      </c>
      <c r="AU51" s="565" t="str">
        <f t="shared" si="37"/>
        <v/>
      </c>
      <c r="AV51" s="565" t="str">
        <f t="shared" si="38"/>
        <v/>
      </c>
      <c r="AW51" s="565"/>
      <c r="AX51" s="566"/>
      <c r="AY51" s="565"/>
      <c r="AZ51" s="565"/>
      <c r="BA51" s="565"/>
      <c r="BB51" s="565"/>
      <c r="BC51" s="566">
        <v>15</v>
      </c>
      <c r="BD51" s="565" t="str">
        <f t="shared" si="39"/>
        <v/>
      </c>
      <c r="BE51" s="565" t="str">
        <f t="shared" si="40"/>
        <v/>
      </c>
      <c r="BF51" s="565"/>
      <c r="BG51" s="565"/>
      <c r="BH51" s="565"/>
      <c r="BI51" s="565"/>
      <c r="BJ51" s="565"/>
      <c r="BK51" s="565"/>
      <c r="BL51" s="566">
        <v>15</v>
      </c>
      <c r="BM51" s="565" t="str">
        <f t="shared" si="41"/>
        <v/>
      </c>
      <c r="BN51" s="565" t="str">
        <f t="shared" si="42"/>
        <v/>
      </c>
      <c r="BO51" s="565"/>
      <c r="BP51" s="565"/>
      <c r="BQ51" s="565"/>
      <c r="BR51" s="565"/>
      <c r="BS51" s="565"/>
      <c r="BT51" s="565"/>
      <c r="BU51" s="566">
        <v>15</v>
      </c>
      <c r="BV51" s="565" t="str">
        <f t="shared" si="43"/>
        <v/>
      </c>
      <c r="BW51" s="565" t="str">
        <f t="shared" si="44"/>
        <v/>
      </c>
      <c r="BX51" s="565"/>
      <c r="BY51" s="565"/>
      <c r="BZ51" s="565"/>
      <c r="CA51" s="565"/>
      <c r="CB51" s="565"/>
      <c r="CC51" s="566">
        <v>15</v>
      </c>
      <c r="CD51" s="565" t="str">
        <f t="shared" si="45"/>
        <v/>
      </c>
      <c r="CE51" s="565" t="str">
        <f t="shared" si="46"/>
        <v/>
      </c>
      <c r="CF51" s="565"/>
      <c r="CG51" s="565"/>
      <c r="CH51" s="565"/>
      <c r="CI51" s="565"/>
      <c r="CJ51" s="565"/>
      <c r="CK51" s="565"/>
      <c r="CL51" s="565"/>
      <c r="CM51" s="565"/>
      <c r="CN51" s="565"/>
      <c r="CO51" s="565"/>
      <c r="CP51" s="565"/>
      <c r="CQ51" s="565"/>
      <c r="CR51" s="565"/>
      <c r="CS51" s="565"/>
      <c r="CT51" s="565"/>
      <c r="CU51" s="565"/>
      <c r="CV51" s="565"/>
      <c r="CW51" s="565"/>
      <c r="CX51" s="565"/>
      <c r="CY51" s="565"/>
      <c r="CZ51" s="565"/>
      <c r="DA51" s="565"/>
      <c r="DB51" s="565"/>
      <c r="DC51" s="565"/>
      <c r="DD51" s="565"/>
      <c r="DE51" s="565"/>
      <c r="DF51" s="565"/>
    </row>
    <row r="52" spans="1:110" x14ac:dyDescent="0.25">
      <c r="A52" s="120"/>
      <c r="B52" s="1062"/>
      <c r="C52" s="1062"/>
      <c r="D52" s="1062"/>
      <c r="E52" s="1062"/>
      <c r="F52" s="1062"/>
      <c r="G52" s="1062"/>
      <c r="H52" s="1062"/>
      <c r="I52" s="590"/>
      <c r="J52" s="566">
        <v>16</v>
      </c>
      <c r="K52" s="565" t="str">
        <f t="shared" si="29"/>
        <v/>
      </c>
      <c r="L52" s="565" t="str">
        <f t="shared" si="30"/>
        <v/>
      </c>
      <c r="M52" s="565"/>
      <c r="N52" s="565"/>
      <c r="O52" s="565"/>
      <c r="P52" s="565"/>
      <c r="Q52" s="565"/>
      <c r="R52" s="565"/>
      <c r="S52" s="566">
        <v>16</v>
      </c>
      <c r="T52" s="565" t="str">
        <f t="shared" si="31"/>
        <v/>
      </c>
      <c r="U52" s="565" t="str">
        <f t="shared" si="32"/>
        <v/>
      </c>
      <c r="V52" s="565"/>
      <c r="W52" s="565"/>
      <c r="X52" s="565"/>
      <c r="Y52" s="565"/>
      <c r="Z52" s="565"/>
      <c r="AA52" s="565"/>
      <c r="AB52" s="566">
        <v>16</v>
      </c>
      <c r="AC52" s="565" t="str">
        <f t="shared" si="33"/>
        <v/>
      </c>
      <c r="AD52" s="565" t="str">
        <f t="shared" si="34"/>
        <v/>
      </c>
      <c r="AE52" s="565"/>
      <c r="AF52" s="565"/>
      <c r="AG52" s="565"/>
      <c r="AH52" s="565"/>
      <c r="AI52" s="565"/>
      <c r="AJ52" s="565"/>
      <c r="AK52" s="566">
        <v>16</v>
      </c>
      <c r="AL52" s="565" t="str">
        <f t="shared" si="35"/>
        <v/>
      </c>
      <c r="AM52" s="565" t="str">
        <f t="shared" si="36"/>
        <v/>
      </c>
      <c r="AN52" s="565"/>
      <c r="AO52" s="565"/>
      <c r="AP52" s="565"/>
      <c r="AQ52" s="565"/>
      <c r="AR52" s="565"/>
      <c r="AS52" s="565"/>
      <c r="AT52" s="566">
        <v>16</v>
      </c>
      <c r="AU52" s="565" t="str">
        <f t="shared" si="37"/>
        <v/>
      </c>
      <c r="AV52" s="565" t="str">
        <f t="shared" si="38"/>
        <v/>
      </c>
      <c r="AW52" s="565"/>
      <c r="AX52" s="566"/>
      <c r="AY52" s="565"/>
      <c r="AZ52" s="565"/>
      <c r="BA52" s="565"/>
      <c r="BB52" s="565"/>
      <c r="BC52" s="566">
        <v>16</v>
      </c>
      <c r="BD52" s="565" t="str">
        <f t="shared" si="39"/>
        <v/>
      </c>
      <c r="BE52" s="565" t="str">
        <f t="shared" si="40"/>
        <v/>
      </c>
      <c r="BF52" s="565"/>
      <c r="BG52" s="565"/>
      <c r="BH52" s="565"/>
      <c r="BI52" s="565"/>
      <c r="BJ52" s="565"/>
      <c r="BK52" s="565"/>
      <c r="BL52" s="566">
        <v>16</v>
      </c>
      <c r="BM52" s="565" t="str">
        <f t="shared" si="41"/>
        <v/>
      </c>
      <c r="BN52" s="565" t="str">
        <f t="shared" si="42"/>
        <v/>
      </c>
      <c r="BO52" s="565"/>
      <c r="BP52" s="565"/>
      <c r="BQ52" s="565"/>
      <c r="BR52" s="565"/>
      <c r="BS52" s="565"/>
      <c r="BT52" s="565"/>
      <c r="BU52" s="566">
        <v>16</v>
      </c>
      <c r="BV52" s="565" t="str">
        <f t="shared" si="43"/>
        <v/>
      </c>
      <c r="BW52" s="565" t="str">
        <f t="shared" si="44"/>
        <v/>
      </c>
      <c r="BX52" s="565"/>
      <c r="BY52" s="565"/>
      <c r="BZ52" s="565"/>
      <c r="CA52" s="565"/>
      <c r="CB52" s="565"/>
      <c r="CC52" s="566">
        <v>16</v>
      </c>
      <c r="CD52" s="565" t="str">
        <f t="shared" si="45"/>
        <v/>
      </c>
      <c r="CE52" s="565" t="str">
        <f t="shared" si="46"/>
        <v/>
      </c>
      <c r="CF52" s="565"/>
      <c r="CG52" s="565"/>
      <c r="CH52" s="565"/>
      <c r="CI52" s="565"/>
      <c r="CJ52" s="565"/>
      <c r="CK52" s="565"/>
      <c r="CL52" s="565"/>
      <c r="CM52" s="565"/>
      <c r="CN52" s="565"/>
      <c r="CO52" s="565"/>
      <c r="CP52" s="565"/>
      <c r="CQ52" s="565"/>
      <c r="CR52" s="565"/>
      <c r="CS52" s="565"/>
      <c r="CT52" s="565"/>
      <c r="CU52" s="565"/>
      <c r="CV52" s="565"/>
      <c r="CW52" s="565"/>
      <c r="CX52" s="565"/>
      <c r="CY52" s="565"/>
      <c r="CZ52" s="565"/>
      <c r="DA52" s="565"/>
      <c r="DB52" s="565"/>
      <c r="DC52" s="565"/>
      <c r="DD52" s="565"/>
      <c r="DE52" s="565"/>
      <c r="DF52" s="565"/>
    </row>
    <row r="53" spans="1:110" x14ac:dyDescent="0.25">
      <c r="A53" s="120"/>
      <c r="B53" s="1062"/>
      <c r="C53" s="1062"/>
      <c r="D53" s="1062"/>
      <c r="E53" s="1062"/>
      <c r="F53" s="1062"/>
      <c r="G53" s="1062"/>
      <c r="H53" s="1062"/>
      <c r="I53" s="590"/>
      <c r="J53" s="566">
        <v>17</v>
      </c>
      <c r="K53" s="565" t="str">
        <f t="shared" si="29"/>
        <v/>
      </c>
      <c r="L53" s="565" t="str">
        <f t="shared" si="30"/>
        <v/>
      </c>
      <c r="M53" s="565"/>
      <c r="N53" s="565"/>
      <c r="O53" s="565"/>
      <c r="P53" s="565"/>
      <c r="Q53" s="565"/>
      <c r="R53" s="565"/>
      <c r="S53" s="566">
        <v>17</v>
      </c>
      <c r="T53" s="565" t="str">
        <f t="shared" si="31"/>
        <v/>
      </c>
      <c r="U53" s="565" t="str">
        <f t="shared" si="32"/>
        <v/>
      </c>
      <c r="V53" s="565"/>
      <c r="W53" s="565"/>
      <c r="X53" s="565"/>
      <c r="Y53" s="565"/>
      <c r="Z53" s="565"/>
      <c r="AA53" s="565"/>
      <c r="AB53" s="566">
        <v>17</v>
      </c>
      <c r="AC53" s="565" t="str">
        <f t="shared" si="33"/>
        <v/>
      </c>
      <c r="AD53" s="565" t="str">
        <f t="shared" si="34"/>
        <v/>
      </c>
      <c r="AE53" s="565"/>
      <c r="AF53" s="565"/>
      <c r="AG53" s="565"/>
      <c r="AH53" s="565"/>
      <c r="AI53" s="565"/>
      <c r="AJ53" s="565"/>
      <c r="AK53" s="566">
        <v>17</v>
      </c>
      <c r="AL53" s="565" t="str">
        <f t="shared" si="35"/>
        <v/>
      </c>
      <c r="AM53" s="565" t="str">
        <f t="shared" si="36"/>
        <v/>
      </c>
      <c r="AN53" s="565"/>
      <c r="AO53" s="565"/>
      <c r="AP53" s="565"/>
      <c r="AQ53" s="565"/>
      <c r="AR53" s="565"/>
      <c r="AS53" s="565"/>
      <c r="AT53" s="566">
        <v>17</v>
      </c>
      <c r="AU53" s="565" t="str">
        <f t="shared" si="37"/>
        <v/>
      </c>
      <c r="AV53" s="565" t="str">
        <f t="shared" si="38"/>
        <v/>
      </c>
      <c r="AW53" s="565"/>
      <c r="AX53" s="566"/>
      <c r="AY53" s="565"/>
      <c r="AZ53" s="565"/>
      <c r="BA53" s="565"/>
      <c r="BB53" s="565"/>
      <c r="BC53" s="566">
        <v>17</v>
      </c>
      <c r="BD53" s="565" t="str">
        <f t="shared" si="39"/>
        <v/>
      </c>
      <c r="BE53" s="565" t="str">
        <f t="shared" si="40"/>
        <v/>
      </c>
      <c r="BF53" s="565"/>
      <c r="BG53" s="565"/>
      <c r="BH53" s="565"/>
      <c r="BI53" s="565"/>
      <c r="BJ53" s="565"/>
      <c r="BK53" s="565"/>
      <c r="BL53" s="566">
        <v>17</v>
      </c>
      <c r="BM53" s="565" t="str">
        <f t="shared" si="41"/>
        <v/>
      </c>
      <c r="BN53" s="565" t="str">
        <f t="shared" si="42"/>
        <v/>
      </c>
      <c r="BO53" s="565"/>
      <c r="BP53" s="565"/>
      <c r="BQ53" s="565"/>
      <c r="BR53" s="565"/>
      <c r="BS53" s="565"/>
      <c r="BT53" s="565"/>
      <c r="BU53" s="566">
        <v>17</v>
      </c>
      <c r="BV53" s="565" t="str">
        <f t="shared" si="43"/>
        <v/>
      </c>
      <c r="BW53" s="565" t="str">
        <f t="shared" si="44"/>
        <v/>
      </c>
      <c r="BX53" s="565"/>
      <c r="BY53" s="565"/>
      <c r="BZ53" s="565"/>
      <c r="CA53" s="565"/>
      <c r="CB53" s="565"/>
      <c r="CC53" s="566">
        <v>17</v>
      </c>
      <c r="CD53" s="565" t="str">
        <f t="shared" si="45"/>
        <v/>
      </c>
      <c r="CE53" s="565" t="str">
        <f t="shared" si="46"/>
        <v/>
      </c>
      <c r="CF53" s="565"/>
      <c r="CG53" s="565"/>
      <c r="CH53" s="565"/>
      <c r="CI53" s="565"/>
      <c r="CJ53" s="565"/>
      <c r="CK53" s="565"/>
      <c r="CL53" s="565"/>
      <c r="CM53" s="565"/>
      <c r="CN53" s="565"/>
      <c r="CO53" s="565"/>
      <c r="CP53" s="565"/>
      <c r="CQ53" s="565"/>
      <c r="CR53" s="565"/>
      <c r="CS53" s="565"/>
      <c r="CT53" s="565"/>
      <c r="CU53" s="565"/>
      <c r="CV53" s="565"/>
      <c r="CW53" s="565"/>
      <c r="CX53" s="565"/>
      <c r="CY53" s="565"/>
      <c r="CZ53" s="565"/>
      <c r="DA53" s="565"/>
      <c r="DB53" s="565"/>
      <c r="DC53" s="565"/>
      <c r="DD53" s="565"/>
      <c r="DE53" s="565"/>
      <c r="DF53" s="565"/>
    </row>
    <row r="54" spans="1:110" x14ac:dyDescent="0.25">
      <c r="A54" s="120"/>
      <c r="B54" s="1062"/>
      <c r="C54" s="1062"/>
      <c r="D54" s="1062"/>
      <c r="E54" s="1062"/>
      <c r="F54" s="1062"/>
      <c r="G54" s="1062"/>
      <c r="H54" s="1062"/>
      <c r="I54" s="590"/>
      <c r="J54" s="566">
        <v>18</v>
      </c>
      <c r="K54" s="565" t="str">
        <f t="shared" si="29"/>
        <v/>
      </c>
      <c r="L54" s="565" t="str">
        <f t="shared" si="30"/>
        <v/>
      </c>
      <c r="M54" s="565"/>
      <c r="N54" s="565"/>
      <c r="O54" s="565"/>
      <c r="P54" s="565"/>
      <c r="Q54" s="565"/>
      <c r="R54" s="565"/>
      <c r="S54" s="566">
        <v>18</v>
      </c>
      <c r="T54" s="565" t="str">
        <f t="shared" si="31"/>
        <v/>
      </c>
      <c r="U54" s="565" t="str">
        <f t="shared" si="32"/>
        <v/>
      </c>
      <c r="V54" s="565"/>
      <c r="W54" s="565"/>
      <c r="X54" s="565"/>
      <c r="Y54" s="565"/>
      <c r="Z54" s="565"/>
      <c r="AA54" s="565"/>
      <c r="AB54" s="566">
        <v>18</v>
      </c>
      <c r="AC54" s="565" t="str">
        <f t="shared" si="33"/>
        <v/>
      </c>
      <c r="AD54" s="565" t="str">
        <f t="shared" si="34"/>
        <v/>
      </c>
      <c r="AE54" s="565"/>
      <c r="AF54" s="565"/>
      <c r="AG54" s="565"/>
      <c r="AH54" s="565"/>
      <c r="AI54" s="565"/>
      <c r="AJ54" s="565"/>
      <c r="AK54" s="566">
        <v>18</v>
      </c>
      <c r="AL54" s="565" t="str">
        <f t="shared" si="35"/>
        <v/>
      </c>
      <c r="AM54" s="565" t="str">
        <f t="shared" si="36"/>
        <v/>
      </c>
      <c r="AN54" s="565"/>
      <c r="AO54" s="565"/>
      <c r="AP54" s="565"/>
      <c r="AQ54" s="565"/>
      <c r="AR54" s="565"/>
      <c r="AS54" s="565"/>
      <c r="AT54" s="566">
        <v>18</v>
      </c>
      <c r="AU54" s="565" t="str">
        <f t="shared" si="37"/>
        <v/>
      </c>
      <c r="AV54" s="565" t="str">
        <f t="shared" si="38"/>
        <v/>
      </c>
      <c r="AW54" s="565"/>
      <c r="AX54" s="566"/>
      <c r="AY54" s="565"/>
      <c r="AZ54" s="565"/>
      <c r="BA54" s="565"/>
      <c r="BB54" s="565"/>
      <c r="BC54" s="566">
        <v>18</v>
      </c>
      <c r="BD54" s="565" t="str">
        <f t="shared" si="39"/>
        <v/>
      </c>
      <c r="BE54" s="565" t="str">
        <f t="shared" si="40"/>
        <v/>
      </c>
      <c r="BF54" s="565"/>
      <c r="BG54" s="565"/>
      <c r="BH54" s="565"/>
      <c r="BI54" s="565"/>
      <c r="BJ54" s="565"/>
      <c r="BK54" s="565"/>
      <c r="BL54" s="566">
        <v>18</v>
      </c>
      <c r="BM54" s="565" t="str">
        <f t="shared" si="41"/>
        <v/>
      </c>
      <c r="BN54" s="565" t="str">
        <f t="shared" si="42"/>
        <v/>
      </c>
      <c r="BO54" s="565"/>
      <c r="BP54" s="565"/>
      <c r="BQ54" s="565"/>
      <c r="BR54" s="565"/>
      <c r="BS54" s="565"/>
      <c r="BT54" s="565"/>
      <c r="BU54" s="566">
        <v>18</v>
      </c>
      <c r="BV54" s="565" t="str">
        <f t="shared" si="43"/>
        <v/>
      </c>
      <c r="BW54" s="565" t="str">
        <f t="shared" si="44"/>
        <v/>
      </c>
      <c r="BX54" s="565"/>
      <c r="BY54" s="565"/>
      <c r="BZ54" s="565"/>
      <c r="CA54" s="565"/>
      <c r="CB54" s="565"/>
      <c r="CC54" s="566">
        <v>18</v>
      </c>
      <c r="CD54" s="565" t="str">
        <f t="shared" si="45"/>
        <v/>
      </c>
      <c r="CE54" s="565" t="str">
        <f t="shared" si="46"/>
        <v/>
      </c>
      <c r="CF54" s="565"/>
      <c r="CG54" s="565"/>
      <c r="CH54" s="565"/>
      <c r="CI54" s="565"/>
      <c r="CJ54" s="565"/>
      <c r="CK54" s="565"/>
      <c r="CL54" s="565"/>
      <c r="CM54" s="565"/>
      <c r="CN54" s="565"/>
      <c r="CO54" s="565"/>
      <c r="CP54" s="565"/>
      <c r="CQ54" s="565"/>
      <c r="CR54" s="565"/>
      <c r="CS54" s="565"/>
      <c r="CT54" s="565"/>
      <c r="CU54" s="565"/>
      <c r="CV54" s="565"/>
      <c r="CW54" s="565"/>
      <c r="CX54" s="565"/>
      <c r="CY54" s="565"/>
      <c r="CZ54" s="565"/>
      <c r="DA54" s="565"/>
      <c r="DB54" s="565"/>
      <c r="DC54" s="565"/>
      <c r="DD54" s="565"/>
      <c r="DE54" s="565"/>
      <c r="DF54" s="565"/>
    </row>
    <row r="55" spans="1:110" x14ac:dyDescent="0.25">
      <c r="A55" s="120"/>
      <c r="B55" s="1062"/>
      <c r="C55" s="1062"/>
      <c r="D55" s="1062"/>
      <c r="E55" s="1062"/>
      <c r="F55" s="1062"/>
      <c r="G55" s="1062"/>
      <c r="H55" s="1062"/>
      <c r="I55" s="590"/>
      <c r="J55" s="566">
        <v>19</v>
      </c>
      <c r="K55" s="565" t="str">
        <f t="shared" si="29"/>
        <v/>
      </c>
      <c r="L55" s="565" t="str">
        <f t="shared" si="30"/>
        <v/>
      </c>
      <c r="M55" s="565"/>
      <c r="N55" s="565"/>
      <c r="O55" s="565"/>
      <c r="P55" s="565"/>
      <c r="Q55" s="565"/>
      <c r="R55" s="565"/>
      <c r="S55" s="566">
        <v>19</v>
      </c>
      <c r="T55" s="565" t="str">
        <f t="shared" si="31"/>
        <v/>
      </c>
      <c r="U55" s="565" t="str">
        <f t="shared" si="32"/>
        <v/>
      </c>
      <c r="V55" s="565"/>
      <c r="W55" s="565"/>
      <c r="X55" s="565"/>
      <c r="Y55" s="565"/>
      <c r="Z55" s="565"/>
      <c r="AA55" s="565"/>
      <c r="AB55" s="566">
        <v>19</v>
      </c>
      <c r="AC55" s="565" t="str">
        <f t="shared" si="33"/>
        <v/>
      </c>
      <c r="AD55" s="565" t="str">
        <f t="shared" si="34"/>
        <v/>
      </c>
      <c r="AE55" s="565"/>
      <c r="AF55" s="565"/>
      <c r="AG55" s="565"/>
      <c r="AH55" s="565"/>
      <c r="AI55" s="565"/>
      <c r="AJ55" s="565"/>
      <c r="AK55" s="566">
        <v>19</v>
      </c>
      <c r="AL55" s="565" t="str">
        <f t="shared" si="35"/>
        <v/>
      </c>
      <c r="AM55" s="565" t="str">
        <f t="shared" si="36"/>
        <v/>
      </c>
      <c r="AN55" s="565"/>
      <c r="AO55" s="565"/>
      <c r="AP55" s="565"/>
      <c r="AQ55" s="565"/>
      <c r="AR55" s="565"/>
      <c r="AS55" s="565"/>
      <c r="AT55" s="566">
        <v>19</v>
      </c>
      <c r="AU55" s="565" t="str">
        <f t="shared" si="37"/>
        <v/>
      </c>
      <c r="AV55" s="565" t="str">
        <f t="shared" si="38"/>
        <v/>
      </c>
      <c r="AW55" s="565"/>
      <c r="AX55" s="566"/>
      <c r="AY55" s="565"/>
      <c r="AZ55" s="565"/>
      <c r="BA55" s="565"/>
      <c r="BB55" s="565"/>
      <c r="BC55" s="566">
        <v>19</v>
      </c>
      <c r="BD55" s="565" t="str">
        <f t="shared" si="39"/>
        <v/>
      </c>
      <c r="BE55" s="565" t="str">
        <f t="shared" si="40"/>
        <v/>
      </c>
      <c r="BF55" s="565"/>
      <c r="BG55" s="565"/>
      <c r="BH55" s="565"/>
      <c r="BI55" s="565"/>
      <c r="BJ55" s="565"/>
      <c r="BK55" s="565"/>
      <c r="BL55" s="566">
        <v>19</v>
      </c>
      <c r="BM55" s="565" t="str">
        <f t="shared" si="41"/>
        <v/>
      </c>
      <c r="BN55" s="565" t="str">
        <f t="shared" si="42"/>
        <v/>
      </c>
      <c r="BO55" s="565"/>
      <c r="BP55" s="565"/>
      <c r="BQ55" s="565"/>
      <c r="BR55" s="565"/>
      <c r="BS55" s="565"/>
      <c r="BT55" s="565"/>
      <c r="BU55" s="566">
        <v>19</v>
      </c>
      <c r="BV55" s="565" t="str">
        <f t="shared" si="43"/>
        <v/>
      </c>
      <c r="BW55" s="565" t="str">
        <f t="shared" si="44"/>
        <v/>
      </c>
      <c r="BX55" s="565"/>
      <c r="BY55" s="565"/>
      <c r="BZ55" s="565"/>
      <c r="CA55" s="565"/>
      <c r="CB55" s="565"/>
      <c r="CC55" s="566">
        <v>19</v>
      </c>
      <c r="CD55" s="565" t="str">
        <f t="shared" si="45"/>
        <v/>
      </c>
      <c r="CE55" s="565" t="str">
        <f t="shared" si="46"/>
        <v/>
      </c>
      <c r="CF55" s="565"/>
      <c r="CG55" s="565"/>
      <c r="CH55" s="565"/>
      <c r="CI55" s="565"/>
      <c r="CJ55" s="565"/>
      <c r="CK55" s="565"/>
      <c r="CL55" s="565"/>
      <c r="CM55" s="565"/>
      <c r="CN55" s="565"/>
      <c r="CO55" s="565"/>
      <c r="CP55" s="565"/>
      <c r="CQ55" s="565"/>
      <c r="CR55" s="565"/>
      <c r="CS55" s="565"/>
      <c r="CT55" s="565"/>
      <c r="CU55" s="565"/>
      <c r="CV55" s="565"/>
      <c r="CW55" s="565"/>
      <c r="CX55" s="565"/>
      <c r="CY55" s="565"/>
      <c r="CZ55" s="565"/>
      <c r="DA55" s="565"/>
      <c r="DB55" s="565"/>
      <c r="DC55" s="565"/>
      <c r="DD55" s="565"/>
      <c r="DE55" s="565"/>
      <c r="DF55" s="565"/>
    </row>
    <row r="56" spans="1:110" x14ac:dyDescent="0.25">
      <c r="A56" s="120"/>
      <c r="B56" s="1062"/>
      <c r="C56" s="1062"/>
      <c r="D56" s="1062"/>
      <c r="E56" s="1062"/>
      <c r="F56" s="1062"/>
      <c r="G56" s="1062"/>
      <c r="H56" s="1062"/>
      <c r="I56" s="590"/>
      <c r="J56" s="566">
        <v>20</v>
      </c>
      <c r="K56" s="565" t="str">
        <f t="shared" si="29"/>
        <v/>
      </c>
      <c r="L56" s="565" t="str">
        <f t="shared" si="30"/>
        <v/>
      </c>
      <c r="M56" s="565"/>
      <c r="N56" s="565"/>
      <c r="O56" s="565"/>
      <c r="P56" s="565"/>
      <c r="Q56" s="565"/>
      <c r="R56" s="565"/>
      <c r="S56" s="566">
        <v>20</v>
      </c>
      <c r="T56" s="565" t="str">
        <f t="shared" si="31"/>
        <v/>
      </c>
      <c r="U56" s="565" t="str">
        <f t="shared" si="32"/>
        <v/>
      </c>
      <c r="V56" s="565"/>
      <c r="W56" s="565"/>
      <c r="X56" s="565"/>
      <c r="Y56" s="565"/>
      <c r="Z56" s="565"/>
      <c r="AA56" s="565"/>
      <c r="AB56" s="566">
        <v>20</v>
      </c>
      <c r="AC56" s="565" t="str">
        <f t="shared" si="33"/>
        <v/>
      </c>
      <c r="AD56" s="565" t="str">
        <f t="shared" si="34"/>
        <v/>
      </c>
      <c r="AE56" s="565"/>
      <c r="AF56" s="565"/>
      <c r="AG56" s="565"/>
      <c r="AH56" s="565"/>
      <c r="AI56" s="565"/>
      <c r="AJ56" s="565"/>
      <c r="AK56" s="566">
        <v>20</v>
      </c>
      <c r="AL56" s="565" t="str">
        <f t="shared" si="35"/>
        <v/>
      </c>
      <c r="AM56" s="565" t="str">
        <f t="shared" si="36"/>
        <v/>
      </c>
      <c r="AN56" s="565"/>
      <c r="AO56" s="565"/>
      <c r="AP56" s="565"/>
      <c r="AQ56" s="565"/>
      <c r="AR56" s="565"/>
      <c r="AS56" s="565"/>
      <c r="AT56" s="566">
        <v>20</v>
      </c>
      <c r="AU56" s="565" t="str">
        <f t="shared" si="37"/>
        <v/>
      </c>
      <c r="AV56" s="565" t="str">
        <f t="shared" si="38"/>
        <v/>
      </c>
      <c r="AW56" s="565"/>
      <c r="AX56" s="566"/>
      <c r="AY56" s="565"/>
      <c r="AZ56" s="565"/>
      <c r="BA56" s="565"/>
      <c r="BB56" s="565"/>
      <c r="BC56" s="566">
        <v>20</v>
      </c>
      <c r="BD56" s="565" t="str">
        <f t="shared" si="39"/>
        <v/>
      </c>
      <c r="BE56" s="565" t="str">
        <f t="shared" si="40"/>
        <v/>
      </c>
      <c r="BF56" s="565"/>
      <c r="BG56" s="565"/>
      <c r="BH56" s="565"/>
      <c r="BI56" s="565"/>
      <c r="BJ56" s="565"/>
      <c r="BK56" s="565"/>
      <c r="BL56" s="566">
        <v>20</v>
      </c>
      <c r="BM56" s="565" t="str">
        <f t="shared" si="41"/>
        <v/>
      </c>
      <c r="BN56" s="565" t="str">
        <f t="shared" si="42"/>
        <v/>
      </c>
      <c r="BO56" s="565"/>
      <c r="BP56" s="565"/>
      <c r="BQ56" s="565"/>
      <c r="BR56" s="565"/>
      <c r="BS56" s="565"/>
      <c r="BT56" s="565"/>
      <c r="BU56" s="566">
        <v>20</v>
      </c>
      <c r="BV56" s="565" t="str">
        <f t="shared" si="43"/>
        <v/>
      </c>
      <c r="BW56" s="565" t="str">
        <f t="shared" si="44"/>
        <v/>
      </c>
      <c r="BX56" s="565"/>
      <c r="BY56" s="565"/>
      <c r="BZ56" s="565"/>
      <c r="CA56" s="565"/>
      <c r="CB56" s="565"/>
      <c r="CC56" s="566">
        <v>20</v>
      </c>
      <c r="CD56" s="565" t="str">
        <f t="shared" si="45"/>
        <v/>
      </c>
      <c r="CE56" s="565" t="str">
        <f t="shared" si="46"/>
        <v/>
      </c>
      <c r="CF56" s="565"/>
      <c r="CG56" s="565"/>
      <c r="CH56" s="565"/>
      <c r="CI56" s="565"/>
      <c r="CJ56" s="565"/>
      <c r="CK56" s="565"/>
      <c r="CL56" s="565"/>
      <c r="CM56" s="565"/>
      <c r="CN56" s="565"/>
      <c r="CO56" s="565"/>
      <c r="CP56" s="565"/>
      <c r="CQ56" s="565"/>
      <c r="CR56" s="565"/>
      <c r="CS56" s="565"/>
      <c r="CT56" s="565"/>
      <c r="CU56" s="565"/>
      <c r="CV56" s="565"/>
      <c r="CW56" s="565"/>
      <c r="CX56" s="565"/>
      <c r="CY56" s="565"/>
      <c r="CZ56" s="565"/>
      <c r="DA56" s="565"/>
      <c r="DB56" s="565"/>
      <c r="DC56" s="565"/>
      <c r="DD56" s="565"/>
      <c r="DE56" s="565"/>
      <c r="DF56" s="565"/>
    </row>
    <row r="57" spans="1:110" x14ac:dyDescent="0.25">
      <c r="A57" s="120"/>
      <c r="B57" s="1062"/>
      <c r="C57" s="1062"/>
      <c r="D57" s="1062"/>
      <c r="E57" s="1062"/>
      <c r="F57" s="1062"/>
      <c r="G57" s="1062"/>
      <c r="H57" s="1062"/>
      <c r="I57" s="590"/>
      <c r="J57" s="566">
        <v>21</v>
      </c>
      <c r="K57" s="565" t="str">
        <f t="shared" si="29"/>
        <v/>
      </c>
      <c r="L57" s="565" t="str">
        <f t="shared" si="30"/>
        <v/>
      </c>
      <c r="M57" s="565"/>
      <c r="N57" s="565"/>
      <c r="O57" s="565"/>
      <c r="P57" s="565"/>
      <c r="Q57" s="565"/>
      <c r="R57" s="565"/>
      <c r="S57" s="566">
        <v>21</v>
      </c>
      <c r="T57" s="565" t="str">
        <f t="shared" si="31"/>
        <v/>
      </c>
      <c r="U57" s="565" t="str">
        <f t="shared" si="32"/>
        <v/>
      </c>
      <c r="V57" s="565"/>
      <c r="W57" s="565"/>
      <c r="X57" s="565"/>
      <c r="Y57" s="565"/>
      <c r="Z57" s="565"/>
      <c r="AA57" s="565"/>
      <c r="AB57" s="566">
        <v>21</v>
      </c>
      <c r="AC57" s="565" t="str">
        <f t="shared" si="33"/>
        <v/>
      </c>
      <c r="AD57" s="565" t="str">
        <f t="shared" si="34"/>
        <v/>
      </c>
      <c r="AE57" s="565"/>
      <c r="AF57" s="565"/>
      <c r="AG57" s="565"/>
      <c r="AH57" s="565"/>
      <c r="AI57" s="565"/>
      <c r="AJ57" s="565"/>
      <c r="AK57" s="566">
        <v>21</v>
      </c>
      <c r="AL57" s="565" t="str">
        <f t="shared" si="35"/>
        <v/>
      </c>
      <c r="AM57" s="565" t="str">
        <f t="shared" si="36"/>
        <v/>
      </c>
      <c r="AN57" s="565"/>
      <c r="AO57" s="565"/>
      <c r="AP57" s="565"/>
      <c r="AQ57" s="565"/>
      <c r="AR57" s="565"/>
      <c r="AS57" s="565"/>
      <c r="AT57" s="566">
        <v>21</v>
      </c>
      <c r="AU57" s="565" t="str">
        <f t="shared" si="37"/>
        <v/>
      </c>
      <c r="AV57" s="565" t="str">
        <f t="shared" si="38"/>
        <v/>
      </c>
      <c r="AW57" s="565"/>
      <c r="AX57" s="566"/>
      <c r="AY57" s="565"/>
      <c r="AZ57" s="565"/>
      <c r="BA57" s="565"/>
      <c r="BB57" s="565"/>
      <c r="BC57" s="566">
        <v>21</v>
      </c>
      <c r="BD57" s="565" t="str">
        <f t="shared" si="39"/>
        <v/>
      </c>
      <c r="BE57" s="565" t="str">
        <f t="shared" si="40"/>
        <v/>
      </c>
      <c r="BF57" s="565"/>
      <c r="BG57" s="565"/>
      <c r="BH57" s="565"/>
      <c r="BI57" s="565"/>
      <c r="BJ57" s="565"/>
      <c r="BK57" s="565"/>
      <c r="BL57" s="566">
        <v>21</v>
      </c>
      <c r="BM57" s="565" t="str">
        <f t="shared" si="41"/>
        <v/>
      </c>
      <c r="BN57" s="565" t="str">
        <f t="shared" si="42"/>
        <v/>
      </c>
      <c r="BO57" s="565"/>
      <c r="BP57" s="565"/>
      <c r="BQ57" s="565"/>
      <c r="BR57" s="565"/>
      <c r="BS57" s="565"/>
      <c r="BT57" s="565"/>
      <c r="BU57" s="566">
        <v>21</v>
      </c>
      <c r="BV57" s="565" t="str">
        <f t="shared" si="43"/>
        <v/>
      </c>
      <c r="BW57" s="565" t="str">
        <f t="shared" si="44"/>
        <v/>
      </c>
      <c r="BX57" s="565"/>
      <c r="BY57" s="565"/>
      <c r="BZ57" s="565"/>
      <c r="CA57" s="565"/>
      <c r="CB57" s="565"/>
      <c r="CC57" s="566">
        <v>21</v>
      </c>
      <c r="CD57" s="565" t="str">
        <f t="shared" si="45"/>
        <v/>
      </c>
      <c r="CE57" s="565" t="str">
        <f t="shared" si="46"/>
        <v/>
      </c>
      <c r="CF57" s="565"/>
      <c r="CG57" s="565"/>
      <c r="CH57" s="565"/>
      <c r="CI57" s="565"/>
      <c r="CJ57" s="565"/>
      <c r="CK57" s="565"/>
      <c r="CL57" s="565"/>
      <c r="CM57" s="565"/>
      <c r="CN57" s="565"/>
      <c r="CO57" s="565"/>
      <c r="CP57" s="565"/>
      <c r="CQ57" s="565"/>
      <c r="CR57" s="565"/>
      <c r="CS57" s="565"/>
      <c r="CT57" s="565"/>
      <c r="CU57" s="565"/>
      <c r="CV57" s="565"/>
      <c r="CW57" s="565"/>
      <c r="CX57" s="565"/>
      <c r="CY57" s="565"/>
      <c r="CZ57" s="565"/>
      <c r="DA57" s="565"/>
      <c r="DB57" s="565"/>
      <c r="DC57" s="565"/>
      <c r="DD57" s="565"/>
      <c r="DE57" s="565"/>
      <c r="DF57" s="565"/>
    </row>
    <row r="58" spans="1:110" x14ac:dyDescent="0.25">
      <c r="A58" s="120"/>
      <c r="B58" s="1062"/>
      <c r="C58" s="1062"/>
      <c r="D58" s="1062"/>
      <c r="E58" s="1062"/>
      <c r="F58" s="1062"/>
      <c r="G58" s="1062"/>
      <c r="H58" s="1062"/>
      <c r="I58" s="590"/>
      <c r="J58" s="566">
        <v>22</v>
      </c>
      <c r="K58" s="565" t="str">
        <f t="shared" si="29"/>
        <v/>
      </c>
      <c r="L58" s="565" t="str">
        <f t="shared" si="30"/>
        <v/>
      </c>
      <c r="M58" s="565"/>
      <c r="N58" s="565"/>
      <c r="O58" s="565"/>
      <c r="P58" s="565"/>
      <c r="Q58" s="565"/>
      <c r="R58" s="565"/>
      <c r="S58" s="566">
        <v>22</v>
      </c>
      <c r="T58" s="565" t="str">
        <f t="shared" si="31"/>
        <v/>
      </c>
      <c r="U58" s="565" t="str">
        <f t="shared" si="32"/>
        <v/>
      </c>
      <c r="V58" s="565"/>
      <c r="W58" s="565"/>
      <c r="X58" s="565"/>
      <c r="Y58" s="565"/>
      <c r="Z58" s="565"/>
      <c r="AA58" s="565"/>
      <c r="AB58" s="566">
        <v>22</v>
      </c>
      <c r="AC58" s="565" t="str">
        <f t="shared" si="33"/>
        <v/>
      </c>
      <c r="AD58" s="565" t="str">
        <f t="shared" si="34"/>
        <v/>
      </c>
      <c r="AE58" s="565"/>
      <c r="AF58" s="565"/>
      <c r="AG58" s="565"/>
      <c r="AH58" s="565"/>
      <c r="AI58" s="565"/>
      <c r="AJ58" s="565"/>
      <c r="AK58" s="566">
        <v>22</v>
      </c>
      <c r="AL58" s="565" t="str">
        <f t="shared" si="35"/>
        <v/>
      </c>
      <c r="AM58" s="565" t="str">
        <f t="shared" si="36"/>
        <v/>
      </c>
      <c r="AN58" s="565"/>
      <c r="AO58" s="565"/>
      <c r="AP58" s="565"/>
      <c r="AQ58" s="565"/>
      <c r="AR58" s="565"/>
      <c r="AS58" s="565"/>
      <c r="AT58" s="566">
        <v>22</v>
      </c>
      <c r="AU58" s="565" t="str">
        <f t="shared" si="37"/>
        <v/>
      </c>
      <c r="AV58" s="565" t="str">
        <f t="shared" si="38"/>
        <v/>
      </c>
      <c r="AW58" s="565"/>
      <c r="AX58" s="566"/>
      <c r="AY58" s="565"/>
      <c r="AZ58" s="565"/>
      <c r="BA58" s="565"/>
      <c r="BB58" s="565"/>
      <c r="BC58" s="566">
        <v>22</v>
      </c>
      <c r="BD58" s="565" t="str">
        <f t="shared" si="39"/>
        <v/>
      </c>
      <c r="BE58" s="565" t="str">
        <f t="shared" si="40"/>
        <v/>
      </c>
      <c r="BF58" s="565"/>
      <c r="BG58" s="565"/>
      <c r="BH58" s="565"/>
      <c r="BI58" s="565"/>
      <c r="BJ58" s="565"/>
      <c r="BK58" s="565"/>
      <c r="BL58" s="566">
        <v>22</v>
      </c>
      <c r="BM58" s="565" t="str">
        <f t="shared" si="41"/>
        <v/>
      </c>
      <c r="BN58" s="565" t="str">
        <f t="shared" si="42"/>
        <v/>
      </c>
      <c r="BO58" s="565"/>
      <c r="BP58" s="565"/>
      <c r="BQ58" s="565"/>
      <c r="BR58" s="565"/>
      <c r="BS58" s="565"/>
      <c r="BT58" s="565"/>
      <c r="BU58" s="566">
        <v>22</v>
      </c>
      <c r="BV58" s="565" t="str">
        <f t="shared" si="43"/>
        <v/>
      </c>
      <c r="BW58" s="565" t="str">
        <f t="shared" si="44"/>
        <v/>
      </c>
      <c r="BX58" s="565"/>
      <c r="BY58" s="565"/>
      <c r="BZ58" s="565"/>
      <c r="CA58" s="565"/>
      <c r="CB58" s="565"/>
      <c r="CC58" s="566">
        <v>22</v>
      </c>
      <c r="CD58" s="565" t="str">
        <f t="shared" si="45"/>
        <v/>
      </c>
      <c r="CE58" s="565" t="str">
        <f t="shared" si="46"/>
        <v/>
      </c>
      <c r="CF58" s="565"/>
      <c r="CG58" s="565"/>
      <c r="CH58" s="565"/>
      <c r="CI58" s="565"/>
      <c r="CJ58" s="565"/>
      <c r="CK58" s="565"/>
      <c r="CL58" s="565"/>
      <c r="CM58" s="565"/>
      <c r="CN58" s="565"/>
      <c r="CO58" s="565"/>
      <c r="CP58" s="565"/>
      <c r="CQ58" s="565"/>
      <c r="CR58" s="565"/>
      <c r="CS58" s="565"/>
      <c r="CT58" s="565"/>
      <c r="CU58" s="565"/>
      <c r="CV58" s="565"/>
      <c r="CW58" s="565"/>
      <c r="CX58" s="565"/>
      <c r="CY58" s="565"/>
      <c r="CZ58" s="565"/>
      <c r="DA58" s="565"/>
      <c r="DB58" s="565"/>
      <c r="DC58" s="565"/>
      <c r="DD58" s="565"/>
      <c r="DE58" s="565"/>
      <c r="DF58" s="565"/>
    </row>
    <row r="59" spans="1:110" x14ac:dyDescent="0.25">
      <c r="A59" s="120"/>
      <c r="B59" s="1062"/>
      <c r="C59" s="1062"/>
      <c r="D59" s="1062"/>
      <c r="E59" s="1062"/>
      <c r="F59" s="1062"/>
      <c r="G59" s="1062"/>
      <c r="H59" s="1062"/>
      <c r="I59" s="590"/>
      <c r="J59" s="566">
        <v>23</v>
      </c>
      <c r="K59" s="565" t="str">
        <f t="shared" si="29"/>
        <v/>
      </c>
      <c r="L59" s="565" t="str">
        <f t="shared" si="30"/>
        <v/>
      </c>
      <c r="M59" s="565"/>
      <c r="N59" s="565"/>
      <c r="O59" s="565"/>
      <c r="P59" s="565"/>
      <c r="Q59" s="565"/>
      <c r="R59" s="565"/>
      <c r="S59" s="566">
        <v>23</v>
      </c>
      <c r="T59" s="565" t="str">
        <f t="shared" si="31"/>
        <v/>
      </c>
      <c r="U59" s="565" t="str">
        <f t="shared" si="32"/>
        <v/>
      </c>
      <c r="V59" s="565"/>
      <c r="W59" s="565"/>
      <c r="X59" s="565"/>
      <c r="Y59" s="565"/>
      <c r="Z59" s="565"/>
      <c r="AA59" s="565"/>
      <c r="AB59" s="566">
        <v>23</v>
      </c>
      <c r="AC59" s="565" t="str">
        <f t="shared" si="33"/>
        <v/>
      </c>
      <c r="AD59" s="565" t="str">
        <f t="shared" si="34"/>
        <v/>
      </c>
      <c r="AE59" s="565"/>
      <c r="AF59" s="565"/>
      <c r="AG59" s="565"/>
      <c r="AH59" s="565"/>
      <c r="AI59" s="565"/>
      <c r="AJ59" s="565"/>
      <c r="AK59" s="566">
        <v>23</v>
      </c>
      <c r="AL59" s="565" t="str">
        <f t="shared" si="35"/>
        <v/>
      </c>
      <c r="AM59" s="565" t="str">
        <f t="shared" si="36"/>
        <v/>
      </c>
      <c r="AN59" s="565"/>
      <c r="AO59" s="565"/>
      <c r="AP59" s="565"/>
      <c r="AQ59" s="565"/>
      <c r="AR59" s="565"/>
      <c r="AS59" s="565"/>
      <c r="AT59" s="566">
        <v>23</v>
      </c>
      <c r="AU59" s="565" t="str">
        <f t="shared" si="37"/>
        <v/>
      </c>
      <c r="AV59" s="565" t="str">
        <f t="shared" si="38"/>
        <v/>
      </c>
      <c r="AW59" s="565"/>
      <c r="AX59" s="566"/>
      <c r="AY59" s="565"/>
      <c r="AZ59" s="565"/>
      <c r="BA59" s="565"/>
      <c r="BB59" s="565"/>
      <c r="BC59" s="566">
        <v>23</v>
      </c>
      <c r="BD59" s="565" t="str">
        <f t="shared" si="39"/>
        <v/>
      </c>
      <c r="BE59" s="565" t="str">
        <f t="shared" si="40"/>
        <v/>
      </c>
      <c r="BF59" s="565"/>
      <c r="BG59" s="565"/>
      <c r="BH59" s="565"/>
      <c r="BI59" s="565"/>
      <c r="BJ59" s="565"/>
      <c r="BK59" s="565"/>
      <c r="BL59" s="566">
        <v>23</v>
      </c>
      <c r="BM59" s="565" t="str">
        <f t="shared" si="41"/>
        <v/>
      </c>
      <c r="BN59" s="565" t="str">
        <f t="shared" si="42"/>
        <v/>
      </c>
      <c r="BO59" s="565"/>
      <c r="BP59" s="565"/>
      <c r="BQ59" s="565"/>
      <c r="BR59" s="565"/>
      <c r="BS59" s="565"/>
      <c r="BT59" s="565"/>
      <c r="BU59" s="566">
        <v>23</v>
      </c>
      <c r="BV59" s="565" t="str">
        <f t="shared" si="43"/>
        <v/>
      </c>
      <c r="BW59" s="565" t="str">
        <f t="shared" si="44"/>
        <v/>
      </c>
      <c r="BX59" s="565"/>
      <c r="BY59" s="565"/>
      <c r="BZ59" s="565"/>
      <c r="CA59" s="565"/>
      <c r="CB59" s="565"/>
      <c r="CC59" s="566">
        <v>23</v>
      </c>
      <c r="CD59" s="565" t="str">
        <f t="shared" si="45"/>
        <v/>
      </c>
      <c r="CE59" s="565" t="str">
        <f t="shared" si="46"/>
        <v/>
      </c>
      <c r="CF59" s="565"/>
      <c r="CG59" s="565"/>
      <c r="CH59" s="565"/>
      <c r="CI59" s="565"/>
      <c r="CJ59" s="565"/>
      <c r="CK59" s="565"/>
      <c r="CL59" s="565"/>
      <c r="CM59" s="565"/>
      <c r="CN59" s="565"/>
      <c r="CO59" s="565"/>
      <c r="CP59" s="565"/>
      <c r="CQ59" s="565"/>
      <c r="CR59" s="565"/>
      <c r="CS59" s="565"/>
      <c r="CT59" s="565"/>
      <c r="CU59" s="565"/>
      <c r="CV59" s="565"/>
      <c r="CW59" s="565"/>
      <c r="CX59" s="565"/>
      <c r="CY59" s="565"/>
      <c r="CZ59" s="565"/>
      <c r="DA59" s="565"/>
      <c r="DB59" s="565"/>
      <c r="DC59" s="565"/>
      <c r="DD59" s="565"/>
      <c r="DE59" s="565"/>
      <c r="DF59" s="565"/>
    </row>
    <row r="60" spans="1:110" x14ac:dyDescent="0.25">
      <c r="A60" s="120"/>
      <c r="B60" s="1062"/>
      <c r="C60" s="1062"/>
      <c r="D60" s="1062"/>
      <c r="E60" s="1062"/>
      <c r="F60" s="1062"/>
      <c r="G60" s="1062"/>
      <c r="H60" s="1062"/>
      <c r="I60" s="590"/>
      <c r="J60" s="566">
        <v>24</v>
      </c>
      <c r="K60" s="565" t="str">
        <f t="shared" si="29"/>
        <v/>
      </c>
      <c r="L60" s="565" t="str">
        <f t="shared" si="30"/>
        <v/>
      </c>
      <c r="M60" s="565"/>
      <c r="N60" s="565"/>
      <c r="O60" s="565"/>
      <c r="P60" s="565"/>
      <c r="Q60" s="565"/>
      <c r="R60" s="565"/>
      <c r="S60" s="566">
        <v>24</v>
      </c>
      <c r="T60" s="565" t="str">
        <f t="shared" si="31"/>
        <v/>
      </c>
      <c r="U60" s="565" t="str">
        <f t="shared" si="32"/>
        <v/>
      </c>
      <c r="V60" s="565"/>
      <c r="W60" s="565"/>
      <c r="X60" s="565"/>
      <c r="Y60" s="565"/>
      <c r="Z60" s="565"/>
      <c r="AA60" s="565"/>
      <c r="AB60" s="566">
        <v>24</v>
      </c>
      <c r="AC60" s="565" t="str">
        <f t="shared" si="33"/>
        <v/>
      </c>
      <c r="AD60" s="565" t="str">
        <f t="shared" si="34"/>
        <v/>
      </c>
      <c r="AE60" s="565"/>
      <c r="AF60" s="565"/>
      <c r="AG60" s="565"/>
      <c r="AH60" s="565"/>
      <c r="AI60" s="565"/>
      <c r="AJ60" s="565"/>
      <c r="AK60" s="566">
        <v>24</v>
      </c>
      <c r="AL60" s="565" t="str">
        <f t="shared" si="35"/>
        <v/>
      </c>
      <c r="AM60" s="565" t="str">
        <f t="shared" si="36"/>
        <v/>
      </c>
      <c r="AN60" s="565"/>
      <c r="AO60" s="565"/>
      <c r="AP60" s="565"/>
      <c r="AQ60" s="565"/>
      <c r="AR60" s="565"/>
      <c r="AS60" s="565"/>
      <c r="AT60" s="566">
        <v>24</v>
      </c>
      <c r="AU60" s="565" t="str">
        <f t="shared" si="37"/>
        <v/>
      </c>
      <c r="AV60" s="565" t="str">
        <f t="shared" si="38"/>
        <v/>
      </c>
      <c r="AW60" s="565"/>
      <c r="AX60" s="566"/>
      <c r="AY60" s="565"/>
      <c r="AZ60" s="565"/>
      <c r="BA60" s="565"/>
      <c r="BB60" s="565"/>
      <c r="BC60" s="566">
        <v>24</v>
      </c>
      <c r="BD60" s="565" t="str">
        <f t="shared" si="39"/>
        <v/>
      </c>
      <c r="BE60" s="565" t="str">
        <f t="shared" si="40"/>
        <v/>
      </c>
      <c r="BF60" s="565"/>
      <c r="BG60" s="565"/>
      <c r="BH60" s="565"/>
      <c r="BI60" s="565"/>
      <c r="BJ60" s="565"/>
      <c r="BK60" s="565"/>
      <c r="BL60" s="566">
        <v>24</v>
      </c>
      <c r="BM60" s="565" t="str">
        <f t="shared" si="41"/>
        <v/>
      </c>
      <c r="BN60" s="565" t="str">
        <f t="shared" si="42"/>
        <v/>
      </c>
      <c r="BO60" s="565"/>
      <c r="BP60" s="565"/>
      <c r="BQ60" s="565"/>
      <c r="BR60" s="565"/>
      <c r="BS60" s="565"/>
      <c r="BT60" s="565"/>
      <c r="BU60" s="566">
        <v>24</v>
      </c>
      <c r="BV60" s="565" t="str">
        <f t="shared" si="43"/>
        <v/>
      </c>
      <c r="BW60" s="565" t="str">
        <f t="shared" si="44"/>
        <v/>
      </c>
      <c r="BX60" s="565"/>
      <c r="BY60" s="565"/>
      <c r="BZ60" s="565"/>
      <c r="CA60" s="565"/>
      <c r="CB60" s="565"/>
      <c r="CC60" s="566">
        <v>24</v>
      </c>
      <c r="CD60" s="565" t="str">
        <f t="shared" si="45"/>
        <v/>
      </c>
      <c r="CE60" s="565" t="str">
        <f t="shared" si="46"/>
        <v/>
      </c>
      <c r="CF60" s="565"/>
      <c r="CG60" s="565"/>
      <c r="CH60" s="565"/>
      <c r="CI60" s="565"/>
      <c r="CJ60" s="565"/>
      <c r="CK60" s="565"/>
      <c r="CL60" s="565"/>
      <c r="CM60" s="565"/>
      <c r="CN60" s="565"/>
      <c r="CO60" s="565"/>
      <c r="CP60" s="565"/>
      <c r="CQ60" s="565"/>
      <c r="CR60" s="565"/>
      <c r="CS60" s="565"/>
      <c r="CT60" s="565"/>
      <c r="CU60" s="565"/>
      <c r="CV60" s="565"/>
      <c r="CW60" s="565"/>
      <c r="CX60" s="565"/>
      <c r="CY60" s="565"/>
      <c r="CZ60" s="565"/>
      <c r="DA60" s="565"/>
      <c r="DB60" s="565"/>
      <c r="DC60" s="565"/>
      <c r="DD60" s="565"/>
      <c r="DE60" s="565"/>
      <c r="DF60" s="565"/>
    </row>
    <row r="61" spans="1:110" x14ac:dyDescent="0.25">
      <c r="A61" s="120"/>
      <c r="B61" s="1062"/>
      <c r="C61" s="1062"/>
      <c r="D61" s="1062"/>
      <c r="E61" s="1062"/>
      <c r="F61" s="1062"/>
      <c r="G61" s="1062"/>
      <c r="H61" s="1062"/>
      <c r="I61" s="590"/>
      <c r="J61" s="566">
        <v>25</v>
      </c>
      <c r="K61" s="565" t="str">
        <f t="shared" si="29"/>
        <v/>
      </c>
      <c r="L61" s="565" t="str">
        <f t="shared" si="30"/>
        <v/>
      </c>
      <c r="M61" s="565"/>
      <c r="N61" s="565"/>
      <c r="O61" s="565"/>
      <c r="P61" s="565"/>
      <c r="Q61" s="565"/>
      <c r="R61" s="565"/>
      <c r="S61" s="566">
        <v>25</v>
      </c>
      <c r="T61" s="565" t="str">
        <f t="shared" si="31"/>
        <v/>
      </c>
      <c r="U61" s="565" t="str">
        <f t="shared" si="32"/>
        <v/>
      </c>
      <c r="V61" s="565"/>
      <c r="W61" s="565"/>
      <c r="X61" s="565"/>
      <c r="Y61" s="565"/>
      <c r="Z61" s="565"/>
      <c r="AA61" s="565"/>
      <c r="AB61" s="566">
        <v>25</v>
      </c>
      <c r="AC61" s="565" t="str">
        <f t="shared" si="33"/>
        <v/>
      </c>
      <c r="AD61" s="565" t="str">
        <f t="shared" si="34"/>
        <v/>
      </c>
      <c r="AE61" s="565"/>
      <c r="AF61" s="565"/>
      <c r="AG61" s="565"/>
      <c r="AH61" s="565"/>
      <c r="AI61" s="565"/>
      <c r="AJ61" s="565"/>
      <c r="AK61" s="566">
        <v>25</v>
      </c>
      <c r="AL61" s="565" t="str">
        <f t="shared" si="35"/>
        <v/>
      </c>
      <c r="AM61" s="565" t="str">
        <f t="shared" si="36"/>
        <v/>
      </c>
      <c r="AN61" s="565"/>
      <c r="AO61" s="565"/>
      <c r="AP61" s="565"/>
      <c r="AQ61" s="565"/>
      <c r="AR61" s="565"/>
      <c r="AS61" s="565"/>
      <c r="AT61" s="566">
        <v>25</v>
      </c>
      <c r="AU61" s="565" t="str">
        <f t="shared" si="37"/>
        <v/>
      </c>
      <c r="AV61" s="565" t="str">
        <f t="shared" si="38"/>
        <v/>
      </c>
      <c r="AW61" s="565"/>
      <c r="AX61" s="566"/>
      <c r="AY61" s="565"/>
      <c r="AZ61" s="565"/>
      <c r="BA61" s="565"/>
      <c r="BB61" s="565"/>
      <c r="BC61" s="566">
        <v>25</v>
      </c>
      <c r="BD61" s="565" t="str">
        <f t="shared" si="39"/>
        <v/>
      </c>
      <c r="BE61" s="565" t="str">
        <f t="shared" si="40"/>
        <v/>
      </c>
      <c r="BF61" s="565"/>
      <c r="BG61" s="565"/>
      <c r="BH61" s="565"/>
      <c r="BI61" s="565"/>
      <c r="BJ61" s="565"/>
      <c r="BK61" s="565"/>
      <c r="BL61" s="566">
        <v>25</v>
      </c>
      <c r="BM61" s="565" t="str">
        <f t="shared" si="41"/>
        <v/>
      </c>
      <c r="BN61" s="565" t="str">
        <f t="shared" si="42"/>
        <v/>
      </c>
      <c r="BO61" s="565"/>
      <c r="BP61" s="565"/>
      <c r="BQ61" s="565"/>
      <c r="BR61" s="565"/>
      <c r="BS61" s="565"/>
      <c r="BT61" s="565"/>
      <c r="BU61" s="566">
        <v>25</v>
      </c>
      <c r="BV61" s="565" t="str">
        <f t="shared" si="43"/>
        <v/>
      </c>
      <c r="BW61" s="565" t="str">
        <f t="shared" si="44"/>
        <v/>
      </c>
      <c r="BX61" s="565"/>
      <c r="BY61" s="565"/>
      <c r="BZ61" s="565"/>
      <c r="CA61" s="565"/>
      <c r="CB61" s="565"/>
      <c r="CC61" s="566">
        <v>25</v>
      </c>
      <c r="CD61" s="565" t="str">
        <f t="shared" si="45"/>
        <v/>
      </c>
      <c r="CE61" s="565" t="str">
        <f t="shared" si="46"/>
        <v/>
      </c>
      <c r="CF61" s="565"/>
      <c r="CG61" s="565"/>
      <c r="CH61" s="565"/>
      <c r="CI61" s="565"/>
      <c r="CJ61" s="565"/>
      <c r="CK61" s="565"/>
      <c r="CL61" s="565"/>
      <c r="CM61" s="565"/>
      <c r="CN61" s="565"/>
      <c r="CO61" s="565"/>
      <c r="CP61" s="565"/>
      <c r="CQ61" s="565"/>
      <c r="CR61" s="565"/>
      <c r="CS61" s="565"/>
      <c r="CT61" s="565"/>
      <c r="CU61" s="565"/>
      <c r="CV61" s="565"/>
      <c r="CW61" s="565"/>
      <c r="CX61" s="565"/>
      <c r="CY61" s="565"/>
      <c r="CZ61" s="565"/>
      <c r="DA61" s="565"/>
      <c r="DB61" s="565"/>
      <c r="DC61" s="565"/>
      <c r="DD61" s="565"/>
      <c r="DE61" s="565"/>
      <c r="DF61" s="565"/>
    </row>
    <row r="62" spans="1:110" x14ac:dyDescent="0.25">
      <c r="A62" s="120"/>
      <c r="B62" s="1062"/>
      <c r="C62" s="1062"/>
      <c r="D62" s="1062"/>
      <c r="E62" s="1062"/>
      <c r="F62" s="1062"/>
      <c r="G62" s="1062"/>
      <c r="H62" s="1062"/>
      <c r="I62" s="590"/>
      <c r="J62" s="566">
        <v>26</v>
      </c>
      <c r="K62" s="565" t="str">
        <f t="shared" si="29"/>
        <v/>
      </c>
      <c r="L62" s="565" t="str">
        <f t="shared" si="30"/>
        <v/>
      </c>
      <c r="M62" s="565"/>
      <c r="N62" s="565"/>
      <c r="O62" s="565"/>
      <c r="P62" s="565"/>
      <c r="Q62" s="565"/>
      <c r="R62" s="565"/>
      <c r="S62" s="566">
        <v>26</v>
      </c>
      <c r="T62" s="565" t="str">
        <f t="shared" si="31"/>
        <v/>
      </c>
      <c r="U62" s="565" t="str">
        <f t="shared" si="32"/>
        <v/>
      </c>
      <c r="V62" s="565"/>
      <c r="W62" s="565"/>
      <c r="X62" s="565"/>
      <c r="Y62" s="565"/>
      <c r="Z62" s="565"/>
      <c r="AA62" s="565"/>
      <c r="AB62" s="566">
        <v>26</v>
      </c>
      <c r="AC62" s="565" t="str">
        <f t="shared" si="33"/>
        <v/>
      </c>
      <c r="AD62" s="565" t="str">
        <f t="shared" si="34"/>
        <v/>
      </c>
      <c r="AE62" s="565"/>
      <c r="AF62" s="565"/>
      <c r="AG62" s="565"/>
      <c r="AH62" s="565"/>
      <c r="AI62" s="565"/>
      <c r="AJ62" s="565"/>
      <c r="AK62" s="566">
        <v>26</v>
      </c>
      <c r="AL62" s="565" t="str">
        <f t="shared" si="35"/>
        <v/>
      </c>
      <c r="AM62" s="565" t="str">
        <f t="shared" si="36"/>
        <v/>
      </c>
      <c r="AN62" s="565"/>
      <c r="AO62" s="565"/>
      <c r="AP62" s="565"/>
      <c r="AQ62" s="565"/>
      <c r="AR62" s="565"/>
      <c r="AS62" s="565"/>
      <c r="AT62" s="566">
        <v>26</v>
      </c>
      <c r="AU62" s="565" t="str">
        <f t="shared" si="37"/>
        <v/>
      </c>
      <c r="AV62" s="565" t="str">
        <f t="shared" si="38"/>
        <v/>
      </c>
      <c r="AW62" s="565"/>
      <c r="AX62" s="566"/>
      <c r="AY62" s="565"/>
      <c r="AZ62" s="565"/>
      <c r="BA62" s="565"/>
      <c r="BB62" s="565"/>
      <c r="BC62" s="566">
        <v>26</v>
      </c>
      <c r="BD62" s="565" t="str">
        <f t="shared" si="39"/>
        <v/>
      </c>
      <c r="BE62" s="565" t="str">
        <f t="shared" si="40"/>
        <v/>
      </c>
      <c r="BF62" s="565"/>
      <c r="BG62" s="565"/>
      <c r="BH62" s="565"/>
      <c r="BI62" s="565"/>
      <c r="BJ62" s="565"/>
      <c r="BK62" s="565"/>
      <c r="BL62" s="566">
        <v>26</v>
      </c>
      <c r="BM62" s="565" t="str">
        <f t="shared" si="41"/>
        <v/>
      </c>
      <c r="BN62" s="565" t="str">
        <f t="shared" si="42"/>
        <v/>
      </c>
      <c r="BO62" s="565"/>
      <c r="BP62" s="565"/>
      <c r="BQ62" s="565"/>
      <c r="BR62" s="565"/>
      <c r="BS62" s="565"/>
      <c r="BT62" s="565"/>
      <c r="BU62" s="566">
        <v>26</v>
      </c>
      <c r="BV62" s="565" t="str">
        <f t="shared" si="43"/>
        <v/>
      </c>
      <c r="BW62" s="565" t="str">
        <f t="shared" si="44"/>
        <v/>
      </c>
      <c r="BX62" s="565"/>
      <c r="BY62" s="565"/>
      <c r="BZ62" s="565"/>
      <c r="CA62" s="565"/>
      <c r="CB62" s="565"/>
      <c r="CC62" s="566">
        <v>26</v>
      </c>
      <c r="CD62" s="565" t="str">
        <f t="shared" si="45"/>
        <v/>
      </c>
      <c r="CE62" s="565" t="str">
        <f t="shared" si="46"/>
        <v/>
      </c>
      <c r="CF62" s="565"/>
      <c r="CG62" s="565"/>
      <c r="CH62" s="565"/>
      <c r="CI62" s="565"/>
      <c r="CJ62" s="565"/>
      <c r="CK62" s="565"/>
      <c r="CL62" s="565"/>
      <c r="CM62" s="565"/>
      <c r="CN62" s="565"/>
      <c r="CO62" s="565"/>
      <c r="CP62" s="565"/>
      <c r="CQ62" s="565"/>
      <c r="CR62" s="565"/>
      <c r="CS62" s="565"/>
      <c r="CT62" s="565"/>
      <c r="CU62" s="565"/>
      <c r="CV62" s="565"/>
      <c r="CW62" s="565"/>
      <c r="CX62" s="565"/>
      <c r="CY62" s="565"/>
      <c r="CZ62" s="565"/>
      <c r="DA62" s="565"/>
      <c r="DB62" s="565"/>
      <c r="DC62" s="565"/>
      <c r="DD62" s="565"/>
      <c r="DE62" s="565"/>
      <c r="DF62" s="565"/>
    </row>
    <row r="63" spans="1:110" x14ac:dyDescent="0.25">
      <c r="A63" s="120"/>
      <c r="B63" s="1062"/>
      <c r="C63" s="1062"/>
      <c r="D63" s="1062"/>
      <c r="E63" s="1062"/>
      <c r="F63" s="1062"/>
      <c r="G63" s="1062"/>
      <c r="H63" s="1062"/>
      <c r="I63" s="590"/>
      <c r="J63" s="566">
        <v>27</v>
      </c>
      <c r="K63" s="565" t="str">
        <f t="shared" si="29"/>
        <v/>
      </c>
      <c r="L63" s="565" t="str">
        <f t="shared" si="30"/>
        <v/>
      </c>
      <c r="M63" s="565"/>
      <c r="N63" s="565"/>
      <c r="O63" s="565"/>
      <c r="P63" s="565"/>
      <c r="Q63" s="565"/>
      <c r="R63" s="565"/>
      <c r="S63" s="566">
        <v>27</v>
      </c>
      <c r="T63" s="565" t="str">
        <f t="shared" si="31"/>
        <v/>
      </c>
      <c r="U63" s="565" t="str">
        <f t="shared" si="32"/>
        <v/>
      </c>
      <c r="V63" s="565"/>
      <c r="W63" s="565"/>
      <c r="X63" s="565"/>
      <c r="Y63" s="565"/>
      <c r="Z63" s="565"/>
      <c r="AA63" s="565"/>
      <c r="AB63" s="566">
        <v>27</v>
      </c>
      <c r="AC63" s="565" t="str">
        <f t="shared" si="33"/>
        <v/>
      </c>
      <c r="AD63" s="565" t="str">
        <f t="shared" si="34"/>
        <v/>
      </c>
      <c r="AE63" s="565"/>
      <c r="AF63" s="565"/>
      <c r="AG63" s="565"/>
      <c r="AH63" s="565"/>
      <c r="AI63" s="565"/>
      <c r="AJ63" s="565"/>
      <c r="AK63" s="566">
        <v>27</v>
      </c>
      <c r="AL63" s="565" t="str">
        <f t="shared" si="35"/>
        <v/>
      </c>
      <c r="AM63" s="565" t="str">
        <f t="shared" si="36"/>
        <v/>
      </c>
      <c r="AN63" s="565"/>
      <c r="AO63" s="565"/>
      <c r="AP63" s="565"/>
      <c r="AQ63" s="565"/>
      <c r="AR63" s="565"/>
      <c r="AS63" s="565"/>
      <c r="AT63" s="566">
        <v>27</v>
      </c>
      <c r="AU63" s="565" t="str">
        <f t="shared" si="37"/>
        <v/>
      </c>
      <c r="AV63" s="565" t="str">
        <f t="shared" si="38"/>
        <v/>
      </c>
      <c r="AW63" s="565"/>
      <c r="AX63" s="566"/>
      <c r="AY63" s="565"/>
      <c r="AZ63" s="565"/>
      <c r="BA63" s="565"/>
      <c r="BB63" s="565"/>
      <c r="BC63" s="566">
        <v>27</v>
      </c>
      <c r="BD63" s="565" t="str">
        <f t="shared" si="39"/>
        <v/>
      </c>
      <c r="BE63" s="565" t="str">
        <f t="shared" si="40"/>
        <v/>
      </c>
      <c r="BF63" s="565"/>
      <c r="BG63" s="565"/>
      <c r="BH63" s="565"/>
      <c r="BI63" s="565"/>
      <c r="BJ63" s="565"/>
      <c r="BK63" s="565"/>
      <c r="BL63" s="566">
        <v>27</v>
      </c>
      <c r="BM63" s="565" t="str">
        <f t="shared" si="41"/>
        <v/>
      </c>
      <c r="BN63" s="565" t="str">
        <f t="shared" si="42"/>
        <v/>
      </c>
      <c r="BO63" s="565"/>
      <c r="BP63" s="565"/>
      <c r="BQ63" s="565"/>
      <c r="BR63" s="565"/>
      <c r="BS63" s="565"/>
      <c r="BT63" s="565"/>
      <c r="BU63" s="566">
        <v>27</v>
      </c>
      <c r="BV63" s="565" t="str">
        <f t="shared" si="43"/>
        <v/>
      </c>
      <c r="BW63" s="565" t="str">
        <f t="shared" si="44"/>
        <v/>
      </c>
      <c r="BX63" s="565"/>
      <c r="BY63" s="565"/>
      <c r="BZ63" s="565"/>
      <c r="CA63" s="565"/>
      <c r="CB63" s="565"/>
      <c r="CC63" s="566">
        <v>27</v>
      </c>
      <c r="CD63" s="565" t="str">
        <f t="shared" si="45"/>
        <v/>
      </c>
      <c r="CE63" s="565" t="str">
        <f t="shared" si="46"/>
        <v/>
      </c>
      <c r="CF63" s="565"/>
      <c r="CG63" s="565"/>
      <c r="CH63" s="565"/>
      <c r="CI63" s="565"/>
      <c r="CJ63" s="565"/>
      <c r="CK63" s="565"/>
      <c r="CL63" s="565"/>
      <c r="CM63" s="565"/>
      <c r="CN63" s="565"/>
      <c r="CO63" s="565"/>
      <c r="CP63" s="565"/>
      <c r="CQ63" s="565"/>
      <c r="CR63" s="565"/>
      <c r="CS63" s="565"/>
      <c r="CT63" s="565"/>
      <c r="CU63" s="565"/>
      <c r="CV63" s="565"/>
      <c r="CW63" s="565"/>
      <c r="CX63" s="565"/>
      <c r="CY63" s="565"/>
      <c r="CZ63" s="565"/>
      <c r="DA63" s="565"/>
      <c r="DB63" s="565"/>
      <c r="DC63" s="565"/>
      <c r="DD63" s="565"/>
      <c r="DE63" s="565"/>
      <c r="DF63" s="565"/>
    </row>
    <row r="64" spans="1:110" x14ac:dyDescent="0.25">
      <c r="A64" s="120"/>
      <c r="B64" s="1062"/>
      <c r="C64" s="1062"/>
      <c r="D64" s="1062"/>
      <c r="E64" s="1062"/>
      <c r="F64" s="1062"/>
      <c r="G64" s="1062"/>
      <c r="H64" s="1062"/>
      <c r="I64" s="590"/>
      <c r="J64" s="566">
        <v>28</v>
      </c>
      <c r="K64" s="565" t="str">
        <f t="shared" si="29"/>
        <v/>
      </c>
      <c r="L64" s="565" t="str">
        <f t="shared" si="30"/>
        <v/>
      </c>
      <c r="M64" s="565"/>
      <c r="N64" s="565"/>
      <c r="O64" s="565"/>
      <c r="P64" s="565"/>
      <c r="Q64" s="565"/>
      <c r="R64" s="565"/>
      <c r="S64" s="566">
        <v>28</v>
      </c>
      <c r="T64" s="565" t="str">
        <f t="shared" si="31"/>
        <v/>
      </c>
      <c r="U64" s="565" t="str">
        <f t="shared" si="32"/>
        <v/>
      </c>
      <c r="V64" s="565"/>
      <c r="W64" s="565"/>
      <c r="X64" s="565"/>
      <c r="Y64" s="565"/>
      <c r="Z64" s="565"/>
      <c r="AA64" s="565"/>
      <c r="AB64" s="566">
        <v>28</v>
      </c>
      <c r="AC64" s="565" t="str">
        <f t="shared" si="33"/>
        <v/>
      </c>
      <c r="AD64" s="565" t="str">
        <f t="shared" si="34"/>
        <v/>
      </c>
      <c r="AE64" s="565"/>
      <c r="AF64" s="565"/>
      <c r="AG64" s="565"/>
      <c r="AH64" s="565"/>
      <c r="AI64" s="565"/>
      <c r="AJ64" s="565"/>
      <c r="AK64" s="566">
        <v>28</v>
      </c>
      <c r="AL64" s="565" t="str">
        <f t="shared" si="35"/>
        <v/>
      </c>
      <c r="AM64" s="565" t="str">
        <f t="shared" si="36"/>
        <v/>
      </c>
      <c r="AN64" s="565"/>
      <c r="AO64" s="565"/>
      <c r="AP64" s="565"/>
      <c r="AQ64" s="565"/>
      <c r="AR64" s="565"/>
      <c r="AS64" s="565"/>
      <c r="AT64" s="566">
        <v>28</v>
      </c>
      <c r="AU64" s="565" t="str">
        <f t="shared" si="37"/>
        <v/>
      </c>
      <c r="AV64" s="565" t="str">
        <f t="shared" si="38"/>
        <v/>
      </c>
      <c r="AW64" s="565"/>
      <c r="AX64" s="566"/>
      <c r="AY64" s="565"/>
      <c r="AZ64" s="565"/>
      <c r="BA64" s="565"/>
      <c r="BB64" s="565"/>
      <c r="BC64" s="566">
        <v>28</v>
      </c>
      <c r="BD64" s="565" t="str">
        <f t="shared" si="39"/>
        <v/>
      </c>
      <c r="BE64" s="565" t="str">
        <f t="shared" si="40"/>
        <v/>
      </c>
      <c r="BF64" s="565"/>
      <c r="BG64" s="565"/>
      <c r="BH64" s="565"/>
      <c r="BI64" s="565"/>
      <c r="BJ64" s="565"/>
      <c r="BK64" s="565"/>
      <c r="BL64" s="566">
        <v>28</v>
      </c>
      <c r="BM64" s="565" t="str">
        <f t="shared" si="41"/>
        <v/>
      </c>
      <c r="BN64" s="565" t="str">
        <f t="shared" si="42"/>
        <v/>
      </c>
      <c r="BO64" s="565"/>
      <c r="BP64" s="565"/>
      <c r="BQ64" s="565"/>
      <c r="BR64" s="565"/>
      <c r="BS64" s="565"/>
      <c r="BT64" s="565"/>
      <c r="BU64" s="566">
        <v>28</v>
      </c>
      <c r="BV64" s="565" t="str">
        <f t="shared" si="43"/>
        <v/>
      </c>
      <c r="BW64" s="565" t="str">
        <f t="shared" si="44"/>
        <v/>
      </c>
      <c r="BX64" s="565"/>
      <c r="BY64" s="565"/>
      <c r="BZ64" s="565"/>
      <c r="CA64" s="565"/>
      <c r="CB64" s="565"/>
      <c r="CC64" s="566">
        <v>28</v>
      </c>
      <c r="CD64" s="565" t="str">
        <f t="shared" si="45"/>
        <v/>
      </c>
      <c r="CE64" s="565" t="str">
        <f t="shared" si="46"/>
        <v/>
      </c>
      <c r="CF64" s="565"/>
      <c r="CG64" s="565"/>
      <c r="CH64" s="565"/>
      <c r="CI64" s="565"/>
      <c r="CJ64" s="565"/>
      <c r="CK64" s="565"/>
      <c r="CL64" s="565"/>
      <c r="CM64" s="565"/>
      <c r="CN64" s="565"/>
      <c r="CO64" s="565"/>
      <c r="CP64" s="565"/>
      <c r="CQ64" s="565"/>
      <c r="CR64" s="565"/>
      <c r="CS64" s="565"/>
      <c r="CT64" s="565"/>
      <c r="CU64" s="565"/>
      <c r="CV64" s="565"/>
      <c r="CW64" s="565"/>
      <c r="CX64" s="565"/>
      <c r="CY64" s="565"/>
      <c r="CZ64" s="565"/>
      <c r="DA64" s="565"/>
      <c r="DB64" s="565"/>
      <c r="DC64" s="565"/>
      <c r="DD64" s="565"/>
      <c r="DE64" s="565"/>
      <c r="DF64" s="565"/>
    </row>
    <row r="65" spans="1:110" x14ac:dyDescent="0.25">
      <c r="A65" s="120"/>
      <c r="B65" s="1062"/>
      <c r="C65" s="1062"/>
      <c r="D65" s="1062"/>
      <c r="E65" s="1062"/>
      <c r="F65" s="1062"/>
      <c r="G65" s="1062"/>
      <c r="H65" s="1062"/>
      <c r="I65" s="590"/>
      <c r="J65" s="566">
        <v>29</v>
      </c>
      <c r="K65" s="565" t="str">
        <f t="shared" si="29"/>
        <v/>
      </c>
      <c r="L65" s="565" t="str">
        <f t="shared" si="30"/>
        <v/>
      </c>
      <c r="M65" s="565"/>
      <c r="N65" s="565"/>
      <c r="O65" s="565"/>
      <c r="P65" s="565"/>
      <c r="Q65" s="565"/>
      <c r="R65" s="565"/>
      <c r="S65" s="566">
        <v>29</v>
      </c>
      <c r="T65" s="565" t="str">
        <f t="shared" si="31"/>
        <v/>
      </c>
      <c r="U65" s="565" t="str">
        <f t="shared" si="32"/>
        <v/>
      </c>
      <c r="V65" s="565"/>
      <c r="W65" s="565"/>
      <c r="X65" s="565"/>
      <c r="Y65" s="565"/>
      <c r="Z65" s="565"/>
      <c r="AA65" s="565"/>
      <c r="AB65" s="566">
        <v>29</v>
      </c>
      <c r="AC65" s="565" t="str">
        <f t="shared" si="33"/>
        <v/>
      </c>
      <c r="AD65" s="565" t="str">
        <f t="shared" si="34"/>
        <v/>
      </c>
      <c r="AE65" s="565"/>
      <c r="AF65" s="565"/>
      <c r="AG65" s="565"/>
      <c r="AH65" s="565"/>
      <c r="AI65" s="565"/>
      <c r="AJ65" s="565"/>
      <c r="AK65" s="566">
        <v>29</v>
      </c>
      <c r="AL65" s="565" t="str">
        <f t="shared" si="35"/>
        <v/>
      </c>
      <c r="AM65" s="565" t="str">
        <f t="shared" si="36"/>
        <v/>
      </c>
      <c r="AN65" s="565"/>
      <c r="AO65" s="565"/>
      <c r="AP65" s="565"/>
      <c r="AQ65" s="565"/>
      <c r="AR65" s="565"/>
      <c r="AS65" s="565"/>
      <c r="AT65" s="566">
        <v>29</v>
      </c>
      <c r="AU65" s="565" t="str">
        <f t="shared" si="37"/>
        <v/>
      </c>
      <c r="AV65" s="565" t="str">
        <f t="shared" si="38"/>
        <v/>
      </c>
      <c r="AW65" s="565"/>
      <c r="AX65" s="566"/>
      <c r="AY65" s="565"/>
      <c r="AZ65" s="565"/>
      <c r="BA65" s="565"/>
      <c r="BB65" s="565"/>
      <c r="BC65" s="566">
        <v>29</v>
      </c>
      <c r="BD65" s="565" t="str">
        <f t="shared" si="39"/>
        <v/>
      </c>
      <c r="BE65" s="565" t="str">
        <f t="shared" si="40"/>
        <v/>
      </c>
      <c r="BF65" s="565"/>
      <c r="BG65" s="565"/>
      <c r="BH65" s="565"/>
      <c r="BI65" s="565"/>
      <c r="BJ65" s="565"/>
      <c r="BK65" s="565"/>
      <c r="BL65" s="566">
        <v>29</v>
      </c>
      <c r="BM65" s="565" t="str">
        <f t="shared" si="41"/>
        <v/>
      </c>
      <c r="BN65" s="565" t="str">
        <f t="shared" si="42"/>
        <v/>
      </c>
      <c r="BO65" s="565"/>
      <c r="BP65" s="565"/>
      <c r="BQ65" s="565"/>
      <c r="BR65" s="565"/>
      <c r="BS65" s="565"/>
      <c r="BT65" s="565"/>
      <c r="BU65" s="566">
        <v>29</v>
      </c>
      <c r="BV65" s="565" t="str">
        <f t="shared" si="43"/>
        <v/>
      </c>
      <c r="BW65" s="565" t="str">
        <f t="shared" si="44"/>
        <v/>
      </c>
      <c r="BX65" s="565"/>
      <c r="BY65" s="565"/>
      <c r="BZ65" s="565"/>
      <c r="CA65" s="565"/>
      <c r="CB65" s="565"/>
      <c r="CC65" s="566">
        <v>29</v>
      </c>
      <c r="CD65" s="565" t="str">
        <f t="shared" si="45"/>
        <v/>
      </c>
      <c r="CE65" s="565" t="str">
        <f t="shared" si="46"/>
        <v/>
      </c>
      <c r="CF65" s="565"/>
      <c r="CG65" s="565"/>
      <c r="CH65" s="565"/>
      <c r="CI65" s="565"/>
      <c r="CJ65" s="565"/>
      <c r="CK65" s="565"/>
      <c r="CL65" s="565"/>
      <c r="CM65" s="565"/>
      <c r="CN65" s="565"/>
      <c r="CO65" s="565"/>
      <c r="CP65" s="565"/>
      <c r="CQ65" s="565"/>
      <c r="CR65" s="565"/>
      <c r="CS65" s="565"/>
      <c r="CT65" s="565"/>
      <c r="CU65" s="565"/>
      <c r="CV65" s="565"/>
      <c r="CW65" s="565"/>
      <c r="CX65" s="565"/>
      <c r="CY65" s="565"/>
      <c r="CZ65" s="565"/>
      <c r="DA65" s="565"/>
      <c r="DB65" s="565"/>
      <c r="DC65" s="565"/>
      <c r="DD65" s="565"/>
      <c r="DE65" s="565"/>
      <c r="DF65" s="565"/>
    </row>
    <row r="66" spans="1:110" x14ac:dyDescent="0.25">
      <c r="A66" s="120"/>
      <c r="B66" s="1062"/>
      <c r="C66" s="1062"/>
      <c r="D66" s="1062"/>
      <c r="E66" s="1062"/>
      <c r="F66" s="1062"/>
      <c r="G66" s="1062"/>
      <c r="H66" s="1062"/>
      <c r="I66" s="590"/>
      <c r="J66" s="566">
        <v>30</v>
      </c>
      <c r="K66" s="565" t="str">
        <f t="shared" si="29"/>
        <v/>
      </c>
      <c r="L66" s="565" t="str">
        <f t="shared" si="30"/>
        <v/>
      </c>
      <c r="M66" s="565"/>
      <c r="N66" s="565"/>
      <c r="O66" s="565"/>
      <c r="P66" s="565"/>
      <c r="Q66" s="565"/>
      <c r="R66" s="565"/>
      <c r="S66" s="566">
        <v>30</v>
      </c>
      <c r="T66" s="565" t="str">
        <f t="shared" si="31"/>
        <v/>
      </c>
      <c r="U66" s="565" t="str">
        <f t="shared" si="32"/>
        <v/>
      </c>
      <c r="V66" s="565"/>
      <c r="W66" s="565"/>
      <c r="X66" s="565"/>
      <c r="Y66" s="565"/>
      <c r="Z66" s="565"/>
      <c r="AA66" s="565"/>
      <c r="AB66" s="566">
        <v>30</v>
      </c>
      <c r="AC66" s="565" t="str">
        <f t="shared" si="33"/>
        <v/>
      </c>
      <c r="AD66" s="565" t="str">
        <f t="shared" si="34"/>
        <v/>
      </c>
      <c r="AE66" s="565"/>
      <c r="AF66" s="565"/>
      <c r="AG66" s="565"/>
      <c r="AH66" s="565"/>
      <c r="AI66" s="565"/>
      <c r="AJ66" s="565"/>
      <c r="AK66" s="566">
        <v>30</v>
      </c>
      <c r="AL66" s="565" t="str">
        <f t="shared" si="35"/>
        <v/>
      </c>
      <c r="AM66" s="565" t="str">
        <f t="shared" si="36"/>
        <v/>
      </c>
      <c r="AN66" s="565"/>
      <c r="AO66" s="565"/>
      <c r="AP66" s="565"/>
      <c r="AQ66" s="565"/>
      <c r="AR66" s="565"/>
      <c r="AS66" s="565"/>
      <c r="AT66" s="566">
        <v>30</v>
      </c>
      <c r="AU66" s="565" t="str">
        <f t="shared" si="37"/>
        <v/>
      </c>
      <c r="AV66" s="565" t="str">
        <f t="shared" si="38"/>
        <v/>
      </c>
      <c r="AW66" s="565"/>
      <c r="AX66" s="566"/>
      <c r="AY66" s="565"/>
      <c r="AZ66" s="565"/>
      <c r="BA66" s="565"/>
      <c r="BB66" s="565"/>
      <c r="BC66" s="566">
        <v>30</v>
      </c>
      <c r="BD66" s="565" t="str">
        <f t="shared" si="39"/>
        <v/>
      </c>
      <c r="BE66" s="565" t="str">
        <f t="shared" si="40"/>
        <v/>
      </c>
      <c r="BF66" s="565"/>
      <c r="BG66" s="565"/>
      <c r="BH66" s="565"/>
      <c r="BI66" s="565"/>
      <c r="BJ66" s="565"/>
      <c r="BK66" s="565"/>
      <c r="BL66" s="566">
        <v>30</v>
      </c>
      <c r="BM66" s="565" t="str">
        <f t="shared" si="41"/>
        <v/>
      </c>
      <c r="BN66" s="565" t="str">
        <f t="shared" si="42"/>
        <v/>
      </c>
      <c r="BO66" s="565"/>
      <c r="BP66" s="565"/>
      <c r="BQ66" s="565"/>
      <c r="BR66" s="565"/>
      <c r="BS66" s="565"/>
      <c r="BT66" s="565"/>
      <c r="BU66" s="566">
        <v>30</v>
      </c>
      <c r="BV66" s="565" t="str">
        <f t="shared" si="43"/>
        <v/>
      </c>
      <c r="BW66" s="565" t="str">
        <f t="shared" si="44"/>
        <v/>
      </c>
      <c r="BX66" s="565"/>
      <c r="BY66" s="565"/>
      <c r="BZ66" s="565"/>
      <c r="CA66" s="565"/>
      <c r="CB66" s="565"/>
      <c r="CC66" s="566">
        <v>30</v>
      </c>
      <c r="CD66" s="565" t="str">
        <f t="shared" si="45"/>
        <v/>
      </c>
      <c r="CE66" s="565" t="str">
        <f t="shared" si="46"/>
        <v/>
      </c>
      <c r="CF66" s="565"/>
      <c r="CG66" s="565"/>
      <c r="CH66" s="565"/>
      <c r="CI66" s="565"/>
      <c r="CJ66" s="565"/>
      <c r="CK66" s="565"/>
      <c r="CL66" s="565"/>
      <c r="CM66" s="565"/>
      <c r="CN66" s="565"/>
      <c r="CO66" s="565"/>
      <c r="CP66" s="565"/>
      <c r="CQ66" s="565"/>
      <c r="CR66" s="565"/>
      <c r="CS66" s="565"/>
      <c r="CT66" s="565"/>
      <c r="CU66" s="565"/>
      <c r="CV66" s="565"/>
      <c r="CW66" s="565"/>
      <c r="CX66" s="565"/>
      <c r="CY66" s="565"/>
      <c r="CZ66" s="565"/>
      <c r="DA66" s="565"/>
      <c r="DB66" s="565"/>
      <c r="DC66" s="565"/>
      <c r="DD66" s="565"/>
      <c r="DE66" s="565"/>
      <c r="DF66" s="565"/>
    </row>
    <row r="67" spans="1:110" x14ac:dyDescent="0.25">
      <c r="A67" s="565"/>
      <c r="B67" s="565"/>
      <c r="C67" s="120"/>
      <c r="D67" s="120">
        <v>1</v>
      </c>
      <c r="E67" s="120"/>
      <c r="F67" s="120"/>
      <c r="G67" s="120"/>
      <c r="H67" s="120"/>
      <c r="I67" s="120"/>
      <c r="J67" s="565"/>
      <c r="K67" s="565"/>
      <c r="L67" s="565"/>
      <c r="M67" s="120">
        <v>2</v>
      </c>
      <c r="N67" s="565"/>
      <c r="O67" s="565"/>
      <c r="P67" s="565"/>
      <c r="Q67" s="565"/>
      <c r="R67" s="565"/>
      <c r="S67" s="565"/>
      <c r="T67" s="565"/>
      <c r="U67" s="565"/>
      <c r="V67" s="600">
        <v>3</v>
      </c>
      <c r="W67" s="565"/>
      <c r="X67" s="565"/>
      <c r="Y67" s="565"/>
      <c r="Z67" s="565"/>
      <c r="AA67" s="565"/>
      <c r="AB67" s="565"/>
      <c r="AC67" s="565"/>
      <c r="AD67" s="565"/>
      <c r="AE67" s="600">
        <v>4</v>
      </c>
      <c r="AF67" s="565"/>
      <c r="AG67" s="565"/>
      <c r="AH67" s="565"/>
      <c r="AI67" s="565"/>
      <c r="AJ67" s="565"/>
      <c r="AK67" s="565"/>
      <c r="AL67" s="565"/>
      <c r="AM67" s="565"/>
      <c r="AN67" s="565"/>
      <c r="AO67" s="565"/>
      <c r="AP67" s="565"/>
      <c r="AQ67" s="565"/>
      <c r="AR67" s="565"/>
      <c r="AS67" s="565"/>
      <c r="AT67" s="565"/>
      <c r="AU67" s="565"/>
      <c r="AV67" s="565"/>
      <c r="AW67" s="565"/>
      <c r="AX67" s="565"/>
      <c r="AY67" s="565"/>
      <c r="AZ67" s="565"/>
      <c r="BA67" s="565"/>
      <c r="BB67" s="565"/>
      <c r="BC67" s="565"/>
      <c r="BD67" s="565"/>
      <c r="BE67" s="565"/>
      <c r="BF67" s="565"/>
      <c r="BG67" s="565"/>
      <c r="BH67" s="565"/>
      <c r="BI67" s="565"/>
      <c r="BJ67" s="565"/>
      <c r="BK67" s="565"/>
      <c r="BL67" s="565"/>
      <c r="BM67" s="565"/>
      <c r="BN67" s="565"/>
      <c r="BO67" s="565"/>
      <c r="BP67" s="565"/>
      <c r="BQ67" s="565"/>
      <c r="BR67" s="565"/>
      <c r="BS67" s="565"/>
      <c r="BT67" s="565"/>
      <c r="BU67" s="565"/>
      <c r="BV67" s="565"/>
      <c r="BW67" s="565"/>
      <c r="BX67" s="565"/>
      <c r="BY67" s="565"/>
      <c r="BZ67" s="565"/>
      <c r="CA67" s="565"/>
      <c r="CB67" s="565"/>
      <c r="CC67" s="565"/>
      <c r="CD67" s="565"/>
      <c r="CE67" s="565"/>
      <c r="CF67" s="565"/>
      <c r="CG67" s="565"/>
      <c r="CH67" s="565"/>
      <c r="CI67" s="565"/>
      <c r="CJ67" s="565"/>
      <c r="CK67" s="565"/>
      <c r="CL67" s="565"/>
      <c r="CM67" s="565"/>
      <c r="CN67" s="565"/>
      <c r="CO67" s="565"/>
      <c r="CP67" s="565"/>
      <c r="CQ67" s="565"/>
      <c r="CR67" s="565"/>
      <c r="CS67" s="565"/>
      <c r="CT67" s="565"/>
      <c r="CU67" s="565"/>
      <c r="CV67" s="565"/>
      <c r="CW67" s="565"/>
      <c r="CX67" s="565"/>
      <c r="CY67" s="565"/>
      <c r="CZ67" s="565"/>
      <c r="DA67" s="565"/>
      <c r="DB67" s="565"/>
      <c r="DC67" s="565"/>
      <c r="DD67" s="565"/>
      <c r="DE67" s="565"/>
      <c r="DF67" s="565"/>
    </row>
    <row r="68" spans="1:110" x14ac:dyDescent="0.25">
      <c r="A68" s="565"/>
      <c r="B68" s="565"/>
      <c r="C68" s="565"/>
      <c r="D68" s="600">
        <f>S07_ArcaneTrickster!E68</f>
        <v>5</v>
      </c>
      <c r="E68" s="600">
        <f>D68+SUM(C69:C98)</f>
        <v>5</v>
      </c>
      <c r="F68" s="120"/>
      <c r="G68" s="120"/>
      <c r="H68" s="120"/>
      <c r="I68" s="120"/>
      <c r="J68" s="565"/>
      <c r="K68" s="565"/>
      <c r="L68" s="565"/>
      <c r="M68" s="600">
        <f>S07_ArcaneTrickster!N68</f>
        <v>2</v>
      </c>
      <c r="N68" s="600">
        <f>M68+SUM(L69:L98)</f>
        <v>2</v>
      </c>
      <c r="O68" s="120"/>
      <c r="P68" s="120"/>
      <c r="Q68" s="120"/>
      <c r="R68" s="120"/>
      <c r="S68" s="565"/>
      <c r="T68" s="565"/>
      <c r="U68" s="565"/>
      <c r="V68" s="600">
        <f>S07_ArcaneTrickster!W68</f>
        <v>0</v>
      </c>
      <c r="W68" s="600">
        <f>V68+SUM(U69:U98)</f>
        <v>0</v>
      </c>
      <c r="X68" s="120"/>
      <c r="Y68" s="120"/>
      <c r="Z68" s="120"/>
      <c r="AA68" s="120"/>
      <c r="AB68" s="565"/>
      <c r="AC68" s="565"/>
      <c r="AD68" s="565"/>
      <c r="AE68" s="600">
        <f>S07_ArcaneTrickster!AF68</f>
        <v>0</v>
      </c>
      <c r="AF68" s="600">
        <f>AE68+SUM(AD69:AD98)</f>
        <v>0</v>
      </c>
      <c r="AG68" s="120"/>
      <c r="AH68" s="120"/>
      <c r="AI68" s="120"/>
      <c r="AJ68" s="120"/>
      <c r="AK68" s="565"/>
      <c r="AL68" s="565"/>
      <c r="AM68" s="565"/>
      <c r="AN68" s="600">
        <f>S06_Ranger!AO68</f>
        <v>0</v>
      </c>
      <c r="AO68" s="600">
        <f>AN68+SUM(AM69:AM98)</f>
        <v>0</v>
      </c>
      <c r="AP68" s="120"/>
      <c r="AQ68" s="120"/>
      <c r="AR68" s="120"/>
      <c r="AS68" s="120"/>
      <c r="AT68" s="565"/>
      <c r="AU68" s="565"/>
      <c r="AV68" s="565"/>
      <c r="AW68" s="600">
        <f>S03_Druid!AX68</f>
        <v>0</v>
      </c>
      <c r="AX68" s="600">
        <f>AW68+SUM(AV69:AV98)</f>
        <v>0</v>
      </c>
      <c r="AY68" s="120"/>
      <c r="AZ68" s="120"/>
      <c r="BA68" s="120"/>
      <c r="BB68" s="120"/>
      <c r="BC68" s="565"/>
      <c r="BD68" s="565"/>
      <c r="BE68" s="565"/>
      <c r="BF68" s="600">
        <f>S03_Druid!BG68</f>
        <v>0</v>
      </c>
      <c r="BG68" s="600">
        <f>BF68+SUM(BE69:BE98)</f>
        <v>0</v>
      </c>
      <c r="BH68" s="120"/>
      <c r="BI68" s="120"/>
      <c r="BJ68" s="120"/>
      <c r="BK68" s="120"/>
      <c r="BL68" s="565"/>
      <c r="BM68" s="565"/>
      <c r="BN68" s="565"/>
      <c r="BO68" s="600">
        <f>S03_Druid!BP68</f>
        <v>0</v>
      </c>
      <c r="BP68" s="600">
        <f>BO68+SUM(BN69:BN98)</f>
        <v>0</v>
      </c>
      <c r="BQ68" s="120"/>
      <c r="BR68" s="120"/>
      <c r="BS68" s="120"/>
      <c r="BT68" s="120"/>
      <c r="BU68" s="565"/>
      <c r="BV68" s="565"/>
      <c r="BW68" s="565"/>
      <c r="BX68" s="600">
        <f>S03_Druid!BY68</f>
        <v>0</v>
      </c>
      <c r="BY68" s="600">
        <f>BX68+SUM(BW69:BW98)</f>
        <v>0</v>
      </c>
      <c r="BZ68" s="120"/>
      <c r="CA68" s="120"/>
      <c r="CB68" s="120"/>
      <c r="CC68" s="120"/>
      <c r="CD68" s="565"/>
      <c r="CE68" s="565"/>
      <c r="CF68" s="565"/>
      <c r="CG68" s="565"/>
      <c r="CH68" s="565"/>
      <c r="CI68" s="565"/>
      <c r="CJ68" s="565"/>
      <c r="CK68" s="565"/>
      <c r="CL68" s="565"/>
      <c r="CM68" s="565"/>
      <c r="CN68" s="565"/>
      <c r="CO68" s="565"/>
      <c r="CP68" s="565"/>
      <c r="CQ68" s="565"/>
      <c r="CR68" s="565"/>
      <c r="CS68" s="565"/>
      <c r="CT68" s="565"/>
      <c r="CU68" s="565"/>
      <c r="CV68" s="565"/>
      <c r="CW68" s="565"/>
      <c r="CX68" s="565"/>
      <c r="CY68" s="565"/>
      <c r="CZ68" s="565"/>
      <c r="DA68" s="565"/>
      <c r="DB68" s="565"/>
      <c r="DC68" s="565"/>
      <c r="DD68" s="565"/>
      <c r="DE68" s="565"/>
      <c r="DF68" s="565"/>
    </row>
    <row r="69" spans="1:110" x14ac:dyDescent="0.25">
      <c r="B69" s="591">
        <v>1</v>
      </c>
      <c r="C69">
        <f t="shared" ref="C69:C98" si="47">IF(SpellcastingSorcerer&gt;0,IF(C5&lt;&gt;"",1,0),0)</f>
        <v>0</v>
      </c>
      <c r="D69">
        <f>IF(C69=0,0,1)</f>
        <v>0</v>
      </c>
      <c r="E69">
        <f>IF(D69=0,0,D69+D$68)</f>
        <v>0</v>
      </c>
      <c r="F69" t="str">
        <f>IF(C69=1,"Sorcerer","")</f>
        <v/>
      </c>
      <c r="G69" t="s">
        <v>6545</v>
      </c>
      <c r="H69" t="s">
        <v>6545</v>
      </c>
      <c r="I69" t="s">
        <v>6545</v>
      </c>
      <c r="J69" t="s">
        <v>6545</v>
      </c>
      <c r="K69" s="605">
        <v>1</v>
      </c>
      <c r="L69">
        <f t="shared" ref="L69:L98" si="48">IF(SpellcastingSorcerer&gt;0,IF(L5&lt;&gt;"",1,0),0)</f>
        <v>0</v>
      </c>
      <c r="M69">
        <f>IF(L69=0,0,1)</f>
        <v>0</v>
      </c>
      <c r="N69">
        <f>IF(M69=0,0,M69+M$68)</f>
        <v>0</v>
      </c>
      <c r="O69" t="str">
        <f>IF(L69=1,"Sorcerer","")</f>
        <v/>
      </c>
      <c r="P69" t="s">
        <v>6545</v>
      </c>
      <c r="Q69" t="s">
        <v>6545</v>
      </c>
      <c r="R69" t="s">
        <v>6545</v>
      </c>
      <c r="S69" t="s">
        <v>6545</v>
      </c>
      <c r="T69" s="605">
        <v>1</v>
      </c>
      <c r="U69">
        <f t="shared" ref="U69:U98" si="49">IF(SpellcastingSorcerer&gt;0,IF(U5&lt;&gt;"",1,0),0)</f>
        <v>0</v>
      </c>
      <c r="V69">
        <f>IF(U69=0,0,1)</f>
        <v>0</v>
      </c>
      <c r="W69">
        <f>IF(V69=0,0,V69+V$68)</f>
        <v>0</v>
      </c>
      <c r="X69" t="str">
        <f>IF(U69=1,"Sorcerer","")</f>
        <v/>
      </c>
      <c r="Y69" t="s">
        <v>6545</v>
      </c>
      <c r="Z69" t="s">
        <v>6545</v>
      </c>
      <c r="AA69" t="s">
        <v>6545</v>
      </c>
      <c r="AB69" t="s">
        <v>6545</v>
      </c>
      <c r="AC69" s="605">
        <v>1</v>
      </c>
      <c r="AD69">
        <f t="shared" ref="AD69:AD98" si="50">IF(SpellcastingSorcerer&gt;0,IF(AD5&lt;&gt;"",1,0),0)</f>
        <v>0</v>
      </c>
      <c r="AE69">
        <f>IF(AD69=0,0,1)</f>
        <v>0</v>
      </c>
      <c r="AF69">
        <f>IF(AE69=0,0,AE69+AE$68)</f>
        <v>0</v>
      </c>
      <c r="AG69" t="str">
        <f>IF(AD69=1,"Sorcerer","")</f>
        <v/>
      </c>
      <c r="AH69" t="s">
        <v>6545</v>
      </c>
      <c r="AI69" t="s">
        <v>6545</v>
      </c>
      <c r="AJ69" t="s">
        <v>6545</v>
      </c>
      <c r="AK69" t="s">
        <v>6545</v>
      </c>
      <c r="AL69" s="605">
        <v>1</v>
      </c>
      <c r="AM69">
        <f t="shared" ref="AM69:AM98" si="51">IF(SpellcastingSorcerer&gt;0,IF(AM5&lt;&gt;"",1,0),0)</f>
        <v>0</v>
      </c>
      <c r="AN69">
        <f>IF(AM69=0,0,1)</f>
        <v>0</v>
      </c>
      <c r="AO69">
        <f>IF(AN69=0,0,AN69+AN$68)</f>
        <v>0</v>
      </c>
      <c r="AP69" t="str">
        <f>IF(AM69=1,"Sorcerer","")</f>
        <v/>
      </c>
      <c r="AQ69" t="s">
        <v>6545</v>
      </c>
      <c r="AR69" t="s">
        <v>6545</v>
      </c>
      <c r="AS69" t="s">
        <v>6545</v>
      </c>
      <c r="AT69" t="s">
        <v>6545</v>
      </c>
      <c r="AU69" s="605">
        <v>1</v>
      </c>
      <c r="AV69">
        <f t="shared" ref="AV69:AV98" si="52">IF(SpellcastingSorcerer&gt;0,IF(AV5&lt;&gt;"",1,0),0)</f>
        <v>0</v>
      </c>
      <c r="AW69">
        <f>IF(AV69=0,0,1)</f>
        <v>0</v>
      </c>
      <c r="AX69">
        <f>IF(AW69=0,0,AW69+AW$68)</f>
        <v>0</v>
      </c>
      <c r="AY69" t="str">
        <f>IF(AV69=1,"Sorcerer","")</f>
        <v/>
      </c>
      <c r="AZ69" t="s">
        <v>6545</v>
      </c>
      <c r="BA69" t="s">
        <v>6545</v>
      </c>
      <c r="BB69" t="s">
        <v>6545</v>
      </c>
      <c r="BC69" t="s">
        <v>6545</v>
      </c>
      <c r="BD69" s="605">
        <v>1</v>
      </c>
      <c r="BE69">
        <f t="shared" ref="BE69:BE98" si="53">IF(SpellcastingSorcerer&gt;0,IF(BE5&lt;&gt;"",1,0),0)</f>
        <v>0</v>
      </c>
      <c r="BF69">
        <f>IF(BE69=0,0,1)</f>
        <v>0</v>
      </c>
      <c r="BG69">
        <f>IF(BF69=0,0,BF69+BF$68)</f>
        <v>0</v>
      </c>
      <c r="BH69" t="str">
        <f>IF(BE69=1,"Sorcerer","")</f>
        <v/>
      </c>
      <c r="BI69" t="s">
        <v>6545</v>
      </c>
      <c r="BJ69" t="s">
        <v>6545</v>
      </c>
      <c r="BK69" t="s">
        <v>6545</v>
      </c>
      <c r="BL69" t="s">
        <v>6545</v>
      </c>
      <c r="BM69" s="605">
        <v>1</v>
      </c>
      <c r="BN69">
        <f t="shared" ref="BN69:BN98" si="54">IF(SpellcastingSorcerer&gt;0,IF(BN5&lt;&gt;"",1,0),0)</f>
        <v>0</v>
      </c>
      <c r="BO69">
        <f>IF(BN69=0,0,1)</f>
        <v>0</v>
      </c>
      <c r="BP69">
        <f>IF(BO69=0,0,BO69+BO$68)</f>
        <v>0</v>
      </c>
      <c r="BQ69" t="str">
        <f>IF(BN69=1,"Sorcerer","")</f>
        <v/>
      </c>
      <c r="BR69" t="s">
        <v>6545</v>
      </c>
      <c r="BS69" t="s">
        <v>6545</v>
      </c>
      <c r="BT69" t="s">
        <v>6545</v>
      </c>
      <c r="BU69" t="s">
        <v>6545</v>
      </c>
      <c r="BV69" s="609">
        <v>1</v>
      </c>
      <c r="BW69">
        <f t="shared" ref="BW69:BW98" si="55">IF(SpellcastingSorcerer&gt;0,IF(BW5&lt;&gt;"",1,0),0)</f>
        <v>0</v>
      </c>
      <c r="BX69">
        <f>IF(BW69=0,0,1)</f>
        <v>0</v>
      </c>
      <c r="BY69">
        <f>IF(BX69=0,0,BX69+BX$68)</f>
        <v>0</v>
      </c>
      <c r="BZ69" t="str">
        <f>IF(BW69=1,"Sorcerer","")</f>
        <v/>
      </c>
      <c r="CA69" t="s">
        <v>6545</v>
      </c>
      <c r="CB69" t="s">
        <v>6545</v>
      </c>
      <c r="CC69" t="s">
        <v>6545</v>
      </c>
      <c r="CD69" t="s">
        <v>6545</v>
      </c>
    </row>
    <row r="70" spans="1:110" x14ac:dyDescent="0.25">
      <c r="B70" s="591">
        <v>2</v>
      </c>
      <c r="C70">
        <f t="shared" si="47"/>
        <v>0</v>
      </c>
      <c r="D70">
        <f>IF(C70=0,0,1+MAX($D69:D$69))</f>
        <v>0</v>
      </c>
      <c r="E70">
        <f t="shared" ref="E70:E98" si="56">IF(D70=0,0,D70+D$68)</f>
        <v>0</v>
      </c>
      <c r="F70" t="str">
        <f t="shared" ref="F70:F98" si="57">IF(C70=1,"Sorcerer","")</f>
        <v/>
      </c>
      <c r="G70" t="str">
        <f t="shared" ref="G70:G98" si="58">IF(C70=1,"P","")</f>
        <v/>
      </c>
      <c r="K70" s="605">
        <v>2</v>
      </c>
      <c r="L70">
        <f t="shared" si="48"/>
        <v>0</v>
      </c>
      <c r="M70">
        <f>IF(L70=0,0,1+MAX(M69:M$69))</f>
        <v>0</v>
      </c>
      <c r="N70">
        <f t="shared" ref="N70:N98" si="59">IF(M70=0,0,M70+M$68)</f>
        <v>0</v>
      </c>
      <c r="O70" t="str">
        <f t="shared" ref="O70:O98" si="60">IF(L70=1,"Sorcerer","")</f>
        <v/>
      </c>
      <c r="P70" t="str">
        <f t="shared" ref="P70:P98" si="61">IF(L70=1,"P","")</f>
        <v/>
      </c>
      <c r="T70" s="605">
        <v>2</v>
      </c>
      <c r="U70">
        <f t="shared" si="49"/>
        <v>0</v>
      </c>
      <c r="V70">
        <f>IF(U70=0,0,1+MAX(V69:V$69))</f>
        <v>0</v>
      </c>
      <c r="W70">
        <f t="shared" ref="W70:W98" si="62">IF(V70=0,0,V70+V$68)</f>
        <v>0</v>
      </c>
      <c r="X70" t="str">
        <f t="shared" ref="X70:X98" si="63">IF(U70=1,"Sorcerer","")</f>
        <v/>
      </c>
      <c r="Y70" t="str">
        <f t="shared" ref="Y70:Y98" si="64">IF(U70=1,"P","")</f>
        <v/>
      </c>
      <c r="AC70" s="605">
        <v>2</v>
      </c>
      <c r="AD70">
        <f t="shared" si="50"/>
        <v>0</v>
      </c>
      <c r="AE70">
        <f>IF(AD70=0,0,1+MAX(AE69:AE$69))</f>
        <v>0</v>
      </c>
      <c r="AF70">
        <f t="shared" ref="AF70:AF98" si="65">IF(AE70=0,0,AE70+AE$68)</f>
        <v>0</v>
      </c>
      <c r="AG70" t="str">
        <f t="shared" ref="AG70:AG98" si="66">IF(AD70=1,"Sorcerer","")</f>
        <v/>
      </c>
      <c r="AH70" t="str">
        <f t="shared" ref="AH70:AH98" si="67">IF(AD70=1,"P","")</f>
        <v/>
      </c>
      <c r="AL70" s="605">
        <v>2</v>
      </c>
      <c r="AM70">
        <f t="shared" si="51"/>
        <v>0</v>
      </c>
      <c r="AN70">
        <f>IF(AM70=0,0,1+MAX(AN69:AN$69))</f>
        <v>0</v>
      </c>
      <c r="AO70">
        <f t="shared" ref="AO70:AO98" si="68">IF(AN70=0,0,AN70+AN$68)</f>
        <v>0</v>
      </c>
      <c r="AP70" t="str">
        <f t="shared" ref="AP70:AP98" si="69">IF(AM70=1,"Sorcerer","")</f>
        <v/>
      </c>
      <c r="AQ70" t="str">
        <f t="shared" ref="AQ70:AQ98" si="70">IF(AM70=1,"P","")</f>
        <v/>
      </c>
      <c r="AU70" s="605">
        <v>2</v>
      </c>
      <c r="AV70">
        <f t="shared" si="52"/>
        <v>0</v>
      </c>
      <c r="AW70">
        <f>IF(AV70=0,0,1+MAX(AW69:AW$69))</f>
        <v>0</v>
      </c>
      <c r="AX70">
        <f t="shared" ref="AX70:AX98" si="71">IF(AW70=0,0,AW70+AW$68)</f>
        <v>0</v>
      </c>
      <c r="AY70" t="str">
        <f t="shared" ref="AY70:AY98" si="72">IF(AV70=1,"Sorcerer","")</f>
        <v/>
      </c>
      <c r="AZ70" t="str">
        <f t="shared" ref="AZ70:AZ98" si="73">IF(AV70=1,"P","")</f>
        <v/>
      </c>
      <c r="BD70" s="605">
        <v>2</v>
      </c>
      <c r="BE70">
        <f t="shared" si="53"/>
        <v>0</v>
      </c>
      <c r="BF70">
        <f>IF(BE70=0,0,1+MAX(BF69:BF$69))</f>
        <v>0</v>
      </c>
      <c r="BG70">
        <f t="shared" ref="BG70:BG98" si="74">IF(BF70=0,0,BF70+BF$68)</f>
        <v>0</v>
      </c>
      <c r="BH70" t="str">
        <f t="shared" ref="BH70:BH98" si="75">IF(BE70=1,"Sorcerer","")</f>
        <v/>
      </c>
      <c r="BI70" t="str">
        <f t="shared" ref="BI70:BI98" si="76">IF(BE70=1,"P","")</f>
        <v/>
      </c>
      <c r="BM70" s="605">
        <v>2</v>
      </c>
      <c r="BN70">
        <f t="shared" si="54"/>
        <v>0</v>
      </c>
      <c r="BO70">
        <f>IF(BN70=0,0,1+MAX(BO69:BO$69))</f>
        <v>0</v>
      </c>
      <c r="BP70">
        <f t="shared" ref="BP70:BP98" si="77">IF(BO70=0,0,BO70+BO$68)</f>
        <v>0</v>
      </c>
      <c r="BQ70" t="str">
        <f t="shared" ref="BQ70:BQ98" si="78">IF(BN70=1,"Sorcerer","")</f>
        <v/>
      </c>
      <c r="BR70" t="str">
        <f t="shared" ref="BR70:BR98" si="79">IF(BN70=1,"P","")</f>
        <v/>
      </c>
      <c r="BV70" s="609">
        <v>2</v>
      </c>
      <c r="BW70">
        <f t="shared" si="55"/>
        <v>0</v>
      </c>
      <c r="BX70">
        <f>IF(BW70=0,0,1+MAX(BX69:BX$69))</f>
        <v>0</v>
      </c>
      <c r="BY70">
        <f t="shared" ref="BY70:BY98" si="80">IF(BX70=0,0,BX70+BX$68)</f>
        <v>0</v>
      </c>
      <c r="BZ70" t="str">
        <f t="shared" ref="BZ70:BZ98" si="81">IF(BW70=1,"Sorcerer","")</f>
        <v/>
      </c>
      <c r="CA70" t="str">
        <f t="shared" ref="CA70:CA98" si="82">IF(BW70=1,"P","")</f>
        <v/>
      </c>
    </row>
    <row r="71" spans="1:110" x14ac:dyDescent="0.25">
      <c r="B71" s="591">
        <v>3</v>
      </c>
      <c r="C71">
        <f t="shared" si="47"/>
        <v>0</v>
      </c>
      <c r="D71">
        <f>IF(C71=0,0,1+MAX($D$69:D70))</f>
        <v>0</v>
      </c>
      <c r="E71">
        <f t="shared" si="56"/>
        <v>0</v>
      </c>
      <c r="F71" t="str">
        <f t="shared" si="57"/>
        <v/>
      </c>
      <c r="G71" t="str">
        <f t="shared" si="58"/>
        <v/>
      </c>
      <c r="K71" s="605">
        <v>3</v>
      </c>
      <c r="L71">
        <f t="shared" si="48"/>
        <v>0</v>
      </c>
      <c r="M71">
        <f>IF(L71=0,0,1+MAX(M$69:M70))</f>
        <v>0</v>
      </c>
      <c r="N71">
        <f t="shared" si="59"/>
        <v>0</v>
      </c>
      <c r="O71" t="str">
        <f t="shared" si="60"/>
        <v/>
      </c>
      <c r="P71" t="str">
        <f t="shared" si="61"/>
        <v/>
      </c>
      <c r="T71" s="605">
        <v>3</v>
      </c>
      <c r="U71">
        <f t="shared" si="49"/>
        <v>0</v>
      </c>
      <c r="V71">
        <f>IF(U71=0,0,1+MAX(V$69:V70))</f>
        <v>0</v>
      </c>
      <c r="W71">
        <f t="shared" si="62"/>
        <v>0</v>
      </c>
      <c r="X71" t="str">
        <f t="shared" si="63"/>
        <v/>
      </c>
      <c r="Y71" t="str">
        <f t="shared" si="64"/>
        <v/>
      </c>
      <c r="AC71" s="605">
        <v>3</v>
      </c>
      <c r="AD71">
        <f t="shared" si="50"/>
        <v>0</v>
      </c>
      <c r="AE71">
        <f>IF(AD71=0,0,1+MAX(AE$69:AE70))</f>
        <v>0</v>
      </c>
      <c r="AF71">
        <f t="shared" si="65"/>
        <v>0</v>
      </c>
      <c r="AG71" t="str">
        <f t="shared" si="66"/>
        <v/>
      </c>
      <c r="AH71" t="str">
        <f t="shared" si="67"/>
        <v/>
      </c>
      <c r="AL71" s="605">
        <v>3</v>
      </c>
      <c r="AM71">
        <f t="shared" si="51"/>
        <v>0</v>
      </c>
      <c r="AN71">
        <f>IF(AM71=0,0,1+MAX(AN$69:AN70))</f>
        <v>0</v>
      </c>
      <c r="AO71">
        <f t="shared" si="68"/>
        <v>0</v>
      </c>
      <c r="AP71" t="str">
        <f t="shared" si="69"/>
        <v/>
      </c>
      <c r="AQ71" t="str">
        <f t="shared" si="70"/>
        <v/>
      </c>
      <c r="AU71" s="605">
        <v>3</v>
      </c>
      <c r="AV71">
        <f t="shared" si="52"/>
        <v>0</v>
      </c>
      <c r="AW71">
        <f>IF(AV71=0,0,1+MAX(AW$69:AW70))</f>
        <v>0</v>
      </c>
      <c r="AX71">
        <f t="shared" si="71"/>
        <v>0</v>
      </c>
      <c r="AY71" t="str">
        <f t="shared" si="72"/>
        <v/>
      </c>
      <c r="AZ71" t="str">
        <f t="shared" si="73"/>
        <v/>
      </c>
      <c r="BD71" s="605">
        <v>3</v>
      </c>
      <c r="BE71">
        <f t="shared" si="53"/>
        <v>0</v>
      </c>
      <c r="BF71">
        <f>IF(BE71=0,0,1+MAX(BF$69:BF70))</f>
        <v>0</v>
      </c>
      <c r="BG71">
        <f t="shared" si="74"/>
        <v>0</v>
      </c>
      <c r="BH71" t="str">
        <f t="shared" si="75"/>
        <v/>
      </c>
      <c r="BI71" t="str">
        <f t="shared" si="76"/>
        <v/>
      </c>
      <c r="BM71" s="605">
        <v>3</v>
      </c>
      <c r="BN71">
        <f t="shared" si="54"/>
        <v>0</v>
      </c>
      <c r="BO71">
        <f>IF(BN71=0,0,1+MAX(BO$69:BO70))</f>
        <v>0</v>
      </c>
      <c r="BP71">
        <f t="shared" si="77"/>
        <v>0</v>
      </c>
      <c r="BQ71" t="str">
        <f t="shared" si="78"/>
        <v/>
      </c>
      <c r="BR71" t="str">
        <f t="shared" si="79"/>
        <v/>
      </c>
      <c r="BV71" s="609">
        <v>3</v>
      </c>
      <c r="BW71">
        <f t="shared" si="55"/>
        <v>0</v>
      </c>
      <c r="BX71">
        <f>IF(BW71=0,0,1+MAX(BX$69:BX70))</f>
        <v>0</v>
      </c>
      <c r="BY71">
        <f t="shared" si="80"/>
        <v>0</v>
      </c>
      <c r="BZ71" t="str">
        <f t="shared" si="81"/>
        <v/>
      </c>
      <c r="CA71" t="str">
        <f t="shared" si="82"/>
        <v/>
      </c>
    </row>
    <row r="72" spans="1:110" x14ac:dyDescent="0.25">
      <c r="B72" s="591">
        <v>4</v>
      </c>
      <c r="C72">
        <f t="shared" si="47"/>
        <v>0</v>
      </c>
      <c r="D72">
        <f>IF(C72=0,0,1+MAX($D$69:D71))</f>
        <v>0</v>
      </c>
      <c r="E72">
        <f t="shared" si="56"/>
        <v>0</v>
      </c>
      <c r="F72" t="str">
        <f t="shared" si="57"/>
        <v/>
      </c>
      <c r="G72" t="str">
        <f t="shared" si="58"/>
        <v/>
      </c>
      <c r="K72" s="605">
        <v>4</v>
      </c>
      <c r="L72">
        <f t="shared" si="48"/>
        <v>0</v>
      </c>
      <c r="M72">
        <f>IF(L72=0,0,1+MAX(M$69:M71))</f>
        <v>0</v>
      </c>
      <c r="N72">
        <f t="shared" si="59"/>
        <v>0</v>
      </c>
      <c r="O72" t="str">
        <f t="shared" si="60"/>
        <v/>
      </c>
      <c r="P72" t="str">
        <f t="shared" si="61"/>
        <v/>
      </c>
      <c r="T72" s="605">
        <v>4</v>
      </c>
      <c r="U72">
        <f t="shared" si="49"/>
        <v>0</v>
      </c>
      <c r="V72">
        <f>IF(U72=0,0,1+MAX(V$69:V71))</f>
        <v>0</v>
      </c>
      <c r="W72">
        <f t="shared" si="62"/>
        <v>0</v>
      </c>
      <c r="X72" t="str">
        <f t="shared" si="63"/>
        <v/>
      </c>
      <c r="Y72" t="str">
        <f t="shared" si="64"/>
        <v/>
      </c>
      <c r="AC72" s="605">
        <v>4</v>
      </c>
      <c r="AD72">
        <f t="shared" si="50"/>
        <v>0</v>
      </c>
      <c r="AE72">
        <f>IF(AD72=0,0,1+MAX(AE$69:AE71))</f>
        <v>0</v>
      </c>
      <c r="AF72">
        <f t="shared" si="65"/>
        <v>0</v>
      </c>
      <c r="AG72" t="str">
        <f t="shared" si="66"/>
        <v/>
      </c>
      <c r="AH72" t="str">
        <f t="shared" si="67"/>
        <v/>
      </c>
      <c r="AL72" s="605">
        <v>4</v>
      </c>
      <c r="AM72">
        <f t="shared" si="51"/>
        <v>0</v>
      </c>
      <c r="AN72">
        <f>IF(AM72=0,0,1+MAX(AN$69:AN71))</f>
        <v>0</v>
      </c>
      <c r="AO72">
        <f t="shared" si="68"/>
        <v>0</v>
      </c>
      <c r="AP72" t="str">
        <f t="shared" si="69"/>
        <v/>
      </c>
      <c r="AQ72" t="str">
        <f t="shared" si="70"/>
        <v/>
      </c>
      <c r="AU72" s="605">
        <v>4</v>
      </c>
      <c r="AV72">
        <f t="shared" si="52"/>
        <v>0</v>
      </c>
      <c r="AW72">
        <f>IF(AV72=0,0,1+MAX(AW$69:AW71))</f>
        <v>0</v>
      </c>
      <c r="AX72">
        <f t="shared" si="71"/>
        <v>0</v>
      </c>
      <c r="AY72" t="str">
        <f t="shared" si="72"/>
        <v/>
      </c>
      <c r="AZ72" t="str">
        <f t="shared" si="73"/>
        <v/>
      </c>
      <c r="BD72" s="605">
        <v>4</v>
      </c>
      <c r="BE72">
        <f t="shared" si="53"/>
        <v>0</v>
      </c>
      <c r="BF72">
        <f>IF(BE72=0,0,1+MAX(BF$69:BF71))</f>
        <v>0</v>
      </c>
      <c r="BG72">
        <f t="shared" si="74"/>
        <v>0</v>
      </c>
      <c r="BH72" t="str">
        <f t="shared" si="75"/>
        <v/>
      </c>
      <c r="BI72" t="str">
        <f t="shared" si="76"/>
        <v/>
      </c>
      <c r="BM72" s="605">
        <v>4</v>
      </c>
      <c r="BN72">
        <f t="shared" si="54"/>
        <v>0</v>
      </c>
      <c r="BO72">
        <f>IF(BN72=0,0,1+MAX(BO$69:BO71))</f>
        <v>0</v>
      </c>
      <c r="BP72">
        <f t="shared" si="77"/>
        <v>0</v>
      </c>
      <c r="BQ72" t="str">
        <f t="shared" si="78"/>
        <v/>
      </c>
      <c r="BR72" t="str">
        <f t="shared" si="79"/>
        <v/>
      </c>
      <c r="BV72" s="609">
        <v>4</v>
      </c>
      <c r="BW72">
        <f t="shared" si="55"/>
        <v>0</v>
      </c>
      <c r="BX72">
        <f>IF(BW72=0,0,1+MAX(BX$69:BX71))</f>
        <v>0</v>
      </c>
      <c r="BY72">
        <f t="shared" si="80"/>
        <v>0</v>
      </c>
      <c r="BZ72" t="str">
        <f t="shared" si="81"/>
        <v/>
      </c>
      <c r="CA72" t="str">
        <f t="shared" si="82"/>
        <v/>
      </c>
    </row>
    <row r="73" spans="1:110" x14ac:dyDescent="0.25">
      <c r="B73" s="591">
        <v>5</v>
      </c>
      <c r="C73">
        <f t="shared" si="47"/>
        <v>0</v>
      </c>
      <c r="D73">
        <f>IF(C73=0,0,1+MAX($D$69:D72))</f>
        <v>0</v>
      </c>
      <c r="E73">
        <f t="shared" si="56"/>
        <v>0</v>
      </c>
      <c r="F73" t="str">
        <f t="shared" si="57"/>
        <v/>
      </c>
      <c r="G73" t="str">
        <f t="shared" si="58"/>
        <v/>
      </c>
      <c r="K73" s="605">
        <v>5</v>
      </c>
      <c r="L73">
        <f t="shared" si="48"/>
        <v>0</v>
      </c>
      <c r="M73">
        <f>IF(L73=0,0,1+MAX(M$69:M72))</f>
        <v>0</v>
      </c>
      <c r="N73">
        <f t="shared" si="59"/>
        <v>0</v>
      </c>
      <c r="O73" t="str">
        <f t="shared" si="60"/>
        <v/>
      </c>
      <c r="P73" t="str">
        <f t="shared" si="61"/>
        <v/>
      </c>
      <c r="T73" s="605">
        <v>5</v>
      </c>
      <c r="U73">
        <f t="shared" si="49"/>
        <v>0</v>
      </c>
      <c r="V73">
        <f>IF(U73=0,0,1+MAX(V$69:V72))</f>
        <v>0</v>
      </c>
      <c r="W73">
        <f t="shared" si="62"/>
        <v>0</v>
      </c>
      <c r="X73" t="str">
        <f t="shared" si="63"/>
        <v/>
      </c>
      <c r="Y73" t="str">
        <f t="shared" si="64"/>
        <v/>
      </c>
      <c r="AC73" s="605">
        <v>5</v>
      </c>
      <c r="AD73">
        <f t="shared" si="50"/>
        <v>0</v>
      </c>
      <c r="AE73">
        <f>IF(AD73=0,0,1+MAX(AE$69:AE72))</f>
        <v>0</v>
      </c>
      <c r="AF73">
        <f t="shared" si="65"/>
        <v>0</v>
      </c>
      <c r="AG73" t="str">
        <f t="shared" si="66"/>
        <v/>
      </c>
      <c r="AH73" t="str">
        <f t="shared" si="67"/>
        <v/>
      </c>
      <c r="AL73" s="605">
        <v>5</v>
      </c>
      <c r="AM73">
        <f t="shared" si="51"/>
        <v>0</v>
      </c>
      <c r="AN73">
        <f>IF(AM73=0,0,1+MAX(AN$69:AN72))</f>
        <v>0</v>
      </c>
      <c r="AO73">
        <f t="shared" si="68"/>
        <v>0</v>
      </c>
      <c r="AP73" t="str">
        <f t="shared" si="69"/>
        <v/>
      </c>
      <c r="AQ73" t="str">
        <f t="shared" si="70"/>
        <v/>
      </c>
      <c r="AU73" s="605">
        <v>5</v>
      </c>
      <c r="AV73">
        <f t="shared" si="52"/>
        <v>0</v>
      </c>
      <c r="AW73">
        <f>IF(AV73=0,0,1+MAX(AW$69:AW72))</f>
        <v>0</v>
      </c>
      <c r="AX73">
        <f t="shared" si="71"/>
        <v>0</v>
      </c>
      <c r="AY73" t="str">
        <f t="shared" si="72"/>
        <v/>
      </c>
      <c r="AZ73" t="str">
        <f t="shared" si="73"/>
        <v/>
      </c>
      <c r="BD73" s="605">
        <v>5</v>
      </c>
      <c r="BE73">
        <f t="shared" si="53"/>
        <v>0</v>
      </c>
      <c r="BF73">
        <f>IF(BE73=0,0,1+MAX(BF$69:BF72))</f>
        <v>0</v>
      </c>
      <c r="BG73">
        <f t="shared" si="74"/>
        <v>0</v>
      </c>
      <c r="BH73" t="str">
        <f t="shared" si="75"/>
        <v/>
      </c>
      <c r="BI73" t="str">
        <f t="shared" si="76"/>
        <v/>
      </c>
      <c r="BM73" s="605">
        <v>5</v>
      </c>
      <c r="BN73">
        <f t="shared" si="54"/>
        <v>0</v>
      </c>
      <c r="BO73">
        <f>IF(BN73=0,0,1+MAX(BO$69:BO72))</f>
        <v>0</v>
      </c>
      <c r="BP73">
        <f t="shared" si="77"/>
        <v>0</v>
      </c>
      <c r="BQ73" t="str">
        <f t="shared" si="78"/>
        <v/>
      </c>
      <c r="BR73" t="str">
        <f t="shared" si="79"/>
        <v/>
      </c>
      <c r="BV73" s="609">
        <v>5</v>
      </c>
      <c r="BW73">
        <f t="shared" si="55"/>
        <v>0</v>
      </c>
      <c r="BX73">
        <f>IF(BW73=0,0,1+MAX(BX$69:BX72))</f>
        <v>0</v>
      </c>
      <c r="BY73">
        <f t="shared" si="80"/>
        <v>0</v>
      </c>
      <c r="BZ73" t="str">
        <f t="shared" si="81"/>
        <v/>
      </c>
      <c r="CA73" t="str">
        <f t="shared" si="82"/>
        <v/>
      </c>
    </row>
    <row r="74" spans="1:110" x14ac:dyDescent="0.25">
      <c r="B74" s="591">
        <v>6</v>
      </c>
      <c r="C74">
        <f t="shared" si="47"/>
        <v>0</v>
      </c>
      <c r="D74">
        <f>IF(C74=0,0,1+MAX($D$69:D73))</f>
        <v>0</v>
      </c>
      <c r="E74">
        <f t="shared" si="56"/>
        <v>0</v>
      </c>
      <c r="F74" t="str">
        <f t="shared" si="57"/>
        <v/>
      </c>
      <c r="G74" t="str">
        <f t="shared" si="58"/>
        <v/>
      </c>
      <c r="K74" s="605">
        <v>6</v>
      </c>
      <c r="L74">
        <f t="shared" si="48"/>
        <v>0</v>
      </c>
      <c r="M74">
        <f>IF(L74=0,0,1+MAX(M$69:M73))</f>
        <v>0</v>
      </c>
      <c r="N74">
        <f t="shared" si="59"/>
        <v>0</v>
      </c>
      <c r="O74" t="str">
        <f t="shared" si="60"/>
        <v/>
      </c>
      <c r="P74" t="str">
        <f t="shared" si="61"/>
        <v/>
      </c>
      <c r="T74" s="605">
        <v>6</v>
      </c>
      <c r="U74">
        <f t="shared" si="49"/>
        <v>0</v>
      </c>
      <c r="V74">
        <f>IF(U74=0,0,1+MAX(V$69:V73))</f>
        <v>0</v>
      </c>
      <c r="W74">
        <f t="shared" si="62"/>
        <v>0</v>
      </c>
      <c r="X74" t="str">
        <f t="shared" si="63"/>
        <v/>
      </c>
      <c r="Y74" t="str">
        <f t="shared" si="64"/>
        <v/>
      </c>
      <c r="AC74" s="605">
        <v>6</v>
      </c>
      <c r="AD74">
        <f t="shared" si="50"/>
        <v>0</v>
      </c>
      <c r="AE74">
        <f>IF(AD74=0,0,1+MAX(AE$69:AE73))</f>
        <v>0</v>
      </c>
      <c r="AF74">
        <f t="shared" si="65"/>
        <v>0</v>
      </c>
      <c r="AG74" t="str">
        <f t="shared" si="66"/>
        <v/>
      </c>
      <c r="AH74" t="str">
        <f t="shared" si="67"/>
        <v/>
      </c>
      <c r="AL74" s="605">
        <v>6</v>
      </c>
      <c r="AM74">
        <f t="shared" si="51"/>
        <v>0</v>
      </c>
      <c r="AN74">
        <f>IF(AM74=0,0,1+MAX(AN$69:AN73))</f>
        <v>0</v>
      </c>
      <c r="AO74">
        <f t="shared" si="68"/>
        <v>0</v>
      </c>
      <c r="AP74" t="str">
        <f t="shared" si="69"/>
        <v/>
      </c>
      <c r="AQ74" t="str">
        <f t="shared" si="70"/>
        <v/>
      </c>
      <c r="AU74" s="605">
        <v>6</v>
      </c>
      <c r="AV74">
        <f t="shared" si="52"/>
        <v>0</v>
      </c>
      <c r="AW74">
        <f>IF(AV74=0,0,1+MAX(AW$69:AW73))</f>
        <v>0</v>
      </c>
      <c r="AX74">
        <f t="shared" si="71"/>
        <v>0</v>
      </c>
      <c r="AY74" t="str">
        <f t="shared" si="72"/>
        <v/>
      </c>
      <c r="AZ74" t="str">
        <f t="shared" si="73"/>
        <v/>
      </c>
      <c r="BD74" s="605">
        <v>6</v>
      </c>
      <c r="BE74">
        <f t="shared" si="53"/>
        <v>0</v>
      </c>
      <c r="BF74">
        <f>IF(BE74=0,0,1+MAX(BF$69:BF73))</f>
        <v>0</v>
      </c>
      <c r="BG74">
        <f t="shared" si="74"/>
        <v>0</v>
      </c>
      <c r="BH74" t="str">
        <f t="shared" si="75"/>
        <v/>
      </c>
      <c r="BI74" t="str">
        <f t="shared" si="76"/>
        <v/>
      </c>
      <c r="BM74" s="605">
        <v>6</v>
      </c>
      <c r="BN74">
        <f t="shared" si="54"/>
        <v>0</v>
      </c>
      <c r="BO74">
        <f>IF(BN74=0,0,1+MAX(BO$69:BO73))</f>
        <v>0</v>
      </c>
      <c r="BP74">
        <f t="shared" si="77"/>
        <v>0</v>
      </c>
      <c r="BQ74" t="str">
        <f t="shared" si="78"/>
        <v/>
      </c>
      <c r="BR74" t="str">
        <f t="shared" si="79"/>
        <v/>
      </c>
      <c r="BV74" s="609">
        <v>6</v>
      </c>
      <c r="BW74">
        <f t="shared" si="55"/>
        <v>0</v>
      </c>
      <c r="BX74">
        <f>IF(BW74=0,0,1+MAX(BX$69:BX73))</f>
        <v>0</v>
      </c>
      <c r="BY74">
        <f t="shared" si="80"/>
        <v>0</v>
      </c>
      <c r="BZ74" t="str">
        <f t="shared" si="81"/>
        <v/>
      </c>
      <c r="CA74" t="str">
        <f t="shared" si="82"/>
        <v/>
      </c>
    </row>
    <row r="75" spans="1:110" x14ac:dyDescent="0.25">
      <c r="B75" s="591">
        <v>7</v>
      </c>
      <c r="C75">
        <f t="shared" si="47"/>
        <v>0</v>
      </c>
      <c r="D75">
        <f>IF(C75=0,0,1+MAX($D$69:D74))</f>
        <v>0</v>
      </c>
      <c r="E75">
        <f t="shared" si="56"/>
        <v>0</v>
      </c>
      <c r="F75" t="str">
        <f t="shared" si="57"/>
        <v/>
      </c>
      <c r="G75" t="str">
        <f t="shared" si="58"/>
        <v/>
      </c>
      <c r="K75" s="605">
        <v>7</v>
      </c>
      <c r="L75">
        <f t="shared" si="48"/>
        <v>0</v>
      </c>
      <c r="M75">
        <f>IF(L75=0,0,1+MAX(M$69:M74))</f>
        <v>0</v>
      </c>
      <c r="N75">
        <f t="shared" si="59"/>
        <v>0</v>
      </c>
      <c r="O75" t="str">
        <f t="shared" si="60"/>
        <v/>
      </c>
      <c r="P75" t="str">
        <f t="shared" si="61"/>
        <v/>
      </c>
      <c r="T75" s="605">
        <v>7</v>
      </c>
      <c r="U75">
        <f t="shared" si="49"/>
        <v>0</v>
      </c>
      <c r="V75">
        <f>IF(U75=0,0,1+MAX(V$69:V74))</f>
        <v>0</v>
      </c>
      <c r="W75">
        <f t="shared" si="62"/>
        <v>0</v>
      </c>
      <c r="X75" t="str">
        <f t="shared" si="63"/>
        <v/>
      </c>
      <c r="Y75" t="str">
        <f t="shared" si="64"/>
        <v/>
      </c>
      <c r="AC75" s="605">
        <v>7</v>
      </c>
      <c r="AD75">
        <f t="shared" si="50"/>
        <v>0</v>
      </c>
      <c r="AE75">
        <f>IF(AD75=0,0,1+MAX(AE$69:AE74))</f>
        <v>0</v>
      </c>
      <c r="AF75">
        <f t="shared" si="65"/>
        <v>0</v>
      </c>
      <c r="AG75" t="str">
        <f t="shared" si="66"/>
        <v/>
      </c>
      <c r="AH75" t="str">
        <f t="shared" si="67"/>
        <v/>
      </c>
      <c r="AL75" s="605">
        <v>7</v>
      </c>
      <c r="AM75">
        <f t="shared" si="51"/>
        <v>0</v>
      </c>
      <c r="AN75">
        <f>IF(AM75=0,0,1+MAX(AN$69:AN74))</f>
        <v>0</v>
      </c>
      <c r="AO75">
        <f t="shared" si="68"/>
        <v>0</v>
      </c>
      <c r="AP75" t="str">
        <f t="shared" si="69"/>
        <v/>
      </c>
      <c r="AQ75" t="str">
        <f t="shared" si="70"/>
        <v/>
      </c>
      <c r="AU75" s="605">
        <v>7</v>
      </c>
      <c r="AV75">
        <f t="shared" si="52"/>
        <v>0</v>
      </c>
      <c r="AW75">
        <f>IF(AV75=0,0,1+MAX(AW$69:AW74))</f>
        <v>0</v>
      </c>
      <c r="AX75">
        <f t="shared" si="71"/>
        <v>0</v>
      </c>
      <c r="AY75" t="str">
        <f t="shared" si="72"/>
        <v/>
      </c>
      <c r="AZ75" t="str">
        <f t="shared" si="73"/>
        <v/>
      </c>
      <c r="BD75" s="605">
        <v>7</v>
      </c>
      <c r="BE75">
        <f t="shared" si="53"/>
        <v>0</v>
      </c>
      <c r="BF75">
        <f>IF(BE75=0,0,1+MAX(BF$69:BF74))</f>
        <v>0</v>
      </c>
      <c r="BG75">
        <f t="shared" si="74"/>
        <v>0</v>
      </c>
      <c r="BH75" t="str">
        <f t="shared" si="75"/>
        <v/>
      </c>
      <c r="BI75" t="str">
        <f t="shared" si="76"/>
        <v/>
      </c>
      <c r="BM75" s="605">
        <v>7</v>
      </c>
      <c r="BN75">
        <f t="shared" si="54"/>
        <v>0</v>
      </c>
      <c r="BO75">
        <f>IF(BN75=0,0,1+MAX(BO$69:BO74))</f>
        <v>0</v>
      </c>
      <c r="BP75">
        <f t="shared" si="77"/>
        <v>0</v>
      </c>
      <c r="BQ75" t="str">
        <f t="shared" si="78"/>
        <v/>
      </c>
      <c r="BR75" t="str">
        <f t="shared" si="79"/>
        <v/>
      </c>
      <c r="BV75" s="609">
        <v>7</v>
      </c>
      <c r="BW75">
        <f t="shared" si="55"/>
        <v>0</v>
      </c>
      <c r="BX75">
        <f>IF(BW75=0,0,1+MAX(BX$69:BX74))</f>
        <v>0</v>
      </c>
      <c r="BY75">
        <f t="shared" si="80"/>
        <v>0</v>
      </c>
      <c r="BZ75" t="str">
        <f t="shared" si="81"/>
        <v/>
      </c>
      <c r="CA75" t="str">
        <f t="shared" si="82"/>
        <v/>
      </c>
    </row>
    <row r="76" spans="1:110" x14ac:dyDescent="0.25">
      <c r="B76" s="591">
        <v>8</v>
      </c>
      <c r="C76">
        <f t="shared" si="47"/>
        <v>0</v>
      </c>
      <c r="D76">
        <f>IF(C76=0,0,1+MAX($D$69:D75))</f>
        <v>0</v>
      </c>
      <c r="E76">
        <f t="shared" si="56"/>
        <v>0</v>
      </c>
      <c r="F76" t="str">
        <f t="shared" si="57"/>
        <v/>
      </c>
      <c r="G76" t="str">
        <f t="shared" si="58"/>
        <v/>
      </c>
      <c r="K76" s="605">
        <v>8</v>
      </c>
      <c r="L76">
        <f t="shared" si="48"/>
        <v>0</v>
      </c>
      <c r="M76">
        <f>IF(L76=0,0,1+MAX(M$69:M75))</f>
        <v>0</v>
      </c>
      <c r="N76">
        <f t="shared" si="59"/>
        <v>0</v>
      </c>
      <c r="O76" t="str">
        <f t="shared" si="60"/>
        <v/>
      </c>
      <c r="P76" t="str">
        <f t="shared" si="61"/>
        <v/>
      </c>
      <c r="T76" s="605">
        <v>8</v>
      </c>
      <c r="U76">
        <f t="shared" si="49"/>
        <v>0</v>
      </c>
      <c r="V76">
        <f>IF(U76=0,0,1+MAX(V$69:V75))</f>
        <v>0</v>
      </c>
      <c r="W76">
        <f t="shared" si="62"/>
        <v>0</v>
      </c>
      <c r="X76" t="str">
        <f t="shared" si="63"/>
        <v/>
      </c>
      <c r="Y76" t="str">
        <f t="shared" si="64"/>
        <v/>
      </c>
      <c r="AC76" s="605">
        <v>8</v>
      </c>
      <c r="AD76">
        <f t="shared" si="50"/>
        <v>0</v>
      </c>
      <c r="AE76">
        <f>IF(AD76=0,0,1+MAX(AE$69:AE75))</f>
        <v>0</v>
      </c>
      <c r="AF76">
        <f t="shared" si="65"/>
        <v>0</v>
      </c>
      <c r="AG76" t="str">
        <f t="shared" si="66"/>
        <v/>
      </c>
      <c r="AH76" t="str">
        <f t="shared" si="67"/>
        <v/>
      </c>
      <c r="AL76" s="605">
        <v>8</v>
      </c>
      <c r="AM76">
        <f t="shared" si="51"/>
        <v>0</v>
      </c>
      <c r="AN76">
        <f>IF(AM76=0,0,1+MAX(AN$69:AN75))</f>
        <v>0</v>
      </c>
      <c r="AO76">
        <f t="shared" si="68"/>
        <v>0</v>
      </c>
      <c r="AP76" t="str">
        <f t="shared" si="69"/>
        <v/>
      </c>
      <c r="AQ76" t="str">
        <f t="shared" si="70"/>
        <v/>
      </c>
      <c r="AU76" s="605">
        <v>8</v>
      </c>
      <c r="AV76">
        <f t="shared" si="52"/>
        <v>0</v>
      </c>
      <c r="AW76">
        <f>IF(AV76=0,0,1+MAX(AW$69:AW75))</f>
        <v>0</v>
      </c>
      <c r="AX76">
        <f t="shared" si="71"/>
        <v>0</v>
      </c>
      <c r="AY76" t="str">
        <f t="shared" si="72"/>
        <v/>
      </c>
      <c r="AZ76" t="str">
        <f t="shared" si="73"/>
        <v/>
      </c>
      <c r="BD76" s="605">
        <v>8</v>
      </c>
      <c r="BE76">
        <f t="shared" si="53"/>
        <v>0</v>
      </c>
      <c r="BF76">
        <f>IF(BE76=0,0,1+MAX(BF$69:BF75))</f>
        <v>0</v>
      </c>
      <c r="BG76">
        <f t="shared" si="74"/>
        <v>0</v>
      </c>
      <c r="BH76" t="str">
        <f t="shared" si="75"/>
        <v/>
      </c>
      <c r="BI76" t="str">
        <f t="shared" si="76"/>
        <v/>
      </c>
      <c r="BM76" s="605">
        <v>8</v>
      </c>
      <c r="BN76">
        <f t="shared" si="54"/>
        <v>0</v>
      </c>
      <c r="BO76">
        <f>IF(BN76=0,0,1+MAX(BO$69:BO75))</f>
        <v>0</v>
      </c>
      <c r="BP76">
        <f t="shared" si="77"/>
        <v>0</v>
      </c>
      <c r="BQ76" t="str">
        <f t="shared" si="78"/>
        <v/>
      </c>
      <c r="BR76" t="str">
        <f t="shared" si="79"/>
        <v/>
      </c>
      <c r="BV76" s="609">
        <v>8</v>
      </c>
      <c r="BW76">
        <f t="shared" si="55"/>
        <v>0</v>
      </c>
      <c r="BX76">
        <f>IF(BW76=0,0,1+MAX(BX$69:BX75))</f>
        <v>0</v>
      </c>
      <c r="BY76">
        <f t="shared" si="80"/>
        <v>0</v>
      </c>
      <c r="BZ76" t="str">
        <f t="shared" si="81"/>
        <v/>
      </c>
      <c r="CA76" t="str">
        <f t="shared" si="82"/>
        <v/>
      </c>
    </row>
    <row r="77" spans="1:110" x14ac:dyDescent="0.25">
      <c r="B77" s="591">
        <v>9</v>
      </c>
      <c r="C77">
        <f t="shared" si="47"/>
        <v>0</v>
      </c>
      <c r="D77">
        <f>IF(C77=0,0,1+MAX($D$69:D76))</f>
        <v>0</v>
      </c>
      <c r="E77">
        <f t="shared" si="56"/>
        <v>0</v>
      </c>
      <c r="F77" t="str">
        <f t="shared" si="57"/>
        <v/>
      </c>
      <c r="G77" t="str">
        <f t="shared" si="58"/>
        <v/>
      </c>
      <c r="K77" s="605">
        <v>9</v>
      </c>
      <c r="L77">
        <f t="shared" si="48"/>
        <v>0</v>
      </c>
      <c r="M77">
        <f>IF(L77=0,0,1+MAX(M$69:M76))</f>
        <v>0</v>
      </c>
      <c r="N77">
        <f t="shared" si="59"/>
        <v>0</v>
      </c>
      <c r="O77" t="str">
        <f t="shared" si="60"/>
        <v/>
      </c>
      <c r="P77" t="str">
        <f t="shared" si="61"/>
        <v/>
      </c>
      <c r="T77" s="605">
        <v>9</v>
      </c>
      <c r="U77">
        <f t="shared" si="49"/>
        <v>0</v>
      </c>
      <c r="V77">
        <f>IF(U77=0,0,1+MAX(V$69:V76))</f>
        <v>0</v>
      </c>
      <c r="W77">
        <f t="shared" si="62"/>
        <v>0</v>
      </c>
      <c r="X77" t="str">
        <f t="shared" si="63"/>
        <v/>
      </c>
      <c r="Y77" t="str">
        <f t="shared" si="64"/>
        <v/>
      </c>
      <c r="AC77" s="605">
        <v>9</v>
      </c>
      <c r="AD77">
        <f t="shared" si="50"/>
        <v>0</v>
      </c>
      <c r="AE77">
        <f>IF(AD77=0,0,1+MAX(AE$69:AE76))</f>
        <v>0</v>
      </c>
      <c r="AF77">
        <f t="shared" si="65"/>
        <v>0</v>
      </c>
      <c r="AG77" t="str">
        <f t="shared" si="66"/>
        <v/>
      </c>
      <c r="AH77" t="str">
        <f t="shared" si="67"/>
        <v/>
      </c>
      <c r="AL77" s="605">
        <v>9</v>
      </c>
      <c r="AM77">
        <f t="shared" si="51"/>
        <v>0</v>
      </c>
      <c r="AN77">
        <f>IF(AM77=0,0,1+MAX(AN$69:AN76))</f>
        <v>0</v>
      </c>
      <c r="AO77">
        <f t="shared" si="68"/>
        <v>0</v>
      </c>
      <c r="AP77" t="str">
        <f t="shared" si="69"/>
        <v/>
      </c>
      <c r="AQ77" t="str">
        <f t="shared" si="70"/>
        <v/>
      </c>
      <c r="AU77" s="605">
        <v>9</v>
      </c>
      <c r="AV77">
        <f t="shared" si="52"/>
        <v>0</v>
      </c>
      <c r="AW77">
        <f>IF(AV77=0,0,1+MAX(AW$69:AW76))</f>
        <v>0</v>
      </c>
      <c r="AX77">
        <f t="shared" si="71"/>
        <v>0</v>
      </c>
      <c r="AY77" t="str">
        <f t="shared" si="72"/>
        <v/>
      </c>
      <c r="AZ77" t="str">
        <f t="shared" si="73"/>
        <v/>
      </c>
      <c r="BD77" s="605">
        <v>9</v>
      </c>
      <c r="BE77">
        <f t="shared" si="53"/>
        <v>0</v>
      </c>
      <c r="BF77">
        <f>IF(BE77=0,0,1+MAX(BF$69:BF76))</f>
        <v>0</v>
      </c>
      <c r="BG77">
        <f t="shared" si="74"/>
        <v>0</v>
      </c>
      <c r="BH77" t="str">
        <f t="shared" si="75"/>
        <v/>
      </c>
      <c r="BI77" t="str">
        <f t="shared" si="76"/>
        <v/>
      </c>
      <c r="BM77" s="605">
        <v>9</v>
      </c>
      <c r="BN77">
        <f t="shared" si="54"/>
        <v>0</v>
      </c>
      <c r="BO77">
        <f>IF(BN77=0,0,1+MAX(BO$69:BO76))</f>
        <v>0</v>
      </c>
      <c r="BP77">
        <f t="shared" si="77"/>
        <v>0</v>
      </c>
      <c r="BQ77" t="str">
        <f t="shared" si="78"/>
        <v/>
      </c>
      <c r="BR77" t="str">
        <f t="shared" si="79"/>
        <v/>
      </c>
      <c r="BV77" s="609">
        <v>9</v>
      </c>
      <c r="BW77">
        <f t="shared" si="55"/>
        <v>0</v>
      </c>
      <c r="BX77">
        <f>IF(BW77=0,0,1+MAX(BX$69:BX76))</f>
        <v>0</v>
      </c>
      <c r="BY77">
        <f t="shared" si="80"/>
        <v>0</v>
      </c>
      <c r="BZ77" t="str">
        <f t="shared" si="81"/>
        <v/>
      </c>
      <c r="CA77" t="str">
        <f t="shared" si="82"/>
        <v/>
      </c>
    </row>
    <row r="78" spans="1:110" x14ac:dyDescent="0.25">
      <c r="B78" s="591">
        <v>10</v>
      </c>
      <c r="C78">
        <f t="shared" si="47"/>
        <v>0</v>
      </c>
      <c r="D78">
        <f>IF(C78=0,0,1+MAX($D$69:D77))</f>
        <v>0</v>
      </c>
      <c r="E78">
        <f t="shared" si="56"/>
        <v>0</v>
      </c>
      <c r="F78" t="str">
        <f t="shared" si="57"/>
        <v/>
      </c>
      <c r="G78" t="str">
        <f t="shared" si="58"/>
        <v/>
      </c>
      <c r="K78" s="605">
        <v>10</v>
      </c>
      <c r="L78">
        <f t="shared" si="48"/>
        <v>0</v>
      </c>
      <c r="M78">
        <f>IF(L78=0,0,1+MAX(M$69:M77))</f>
        <v>0</v>
      </c>
      <c r="N78">
        <f t="shared" si="59"/>
        <v>0</v>
      </c>
      <c r="O78" t="str">
        <f t="shared" si="60"/>
        <v/>
      </c>
      <c r="P78" t="str">
        <f t="shared" si="61"/>
        <v/>
      </c>
      <c r="T78" s="605">
        <v>10</v>
      </c>
      <c r="U78">
        <f t="shared" si="49"/>
        <v>0</v>
      </c>
      <c r="V78">
        <f>IF(U78=0,0,1+MAX(V$69:V77))</f>
        <v>0</v>
      </c>
      <c r="W78">
        <f t="shared" si="62"/>
        <v>0</v>
      </c>
      <c r="X78" t="str">
        <f t="shared" si="63"/>
        <v/>
      </c>
      <c r="Y78" t="str">
        <f t="shared" si="64"/>
        <v/>
      </c>
      <c r="AC78" s="605">
        <v>10</v>
      </c>
      <c r="AD78">
        <f t="shared" si="50"/>
        <v>0</v>
      </c>
      <c r="AE78">
        <f>IF(AD78=0,0,1+MAX(AE$69:AE77))</f>
        <v>0</v>
      </c>
      <c r="AF78">
        <f t="shared" si="65"/>
        <v>0</v>
      </c>
      <c r="AG78" t="str">
        <f t="shared" si="66"/>
        <v/>
      </c>
      <c r="AH78" t="str">
        <f t="shared" si="67"/>
        <v/>
      </c>
      <c r="AL78" s="605">
        <v>10</v>
      </c>
      <c r="AM78">
        <f t="shared" si="51"/>
        <v>0</v>
      </c>
      <c r="AN78">
        <f>IF(AM78=0,0,1+MAX(AN$69:AN77))</f>
        <v>0</v>
      </c>
      <c r="AO78">
        <f t="shared" si="68"/>
        <v>0</v>
      </c>
      <c r="AP78" t="str">
        <f t="shared" si="69"/>
        <v/>
      </c>
      <c r="AQ78" t="str">
        <f t="shared" si="70"/>
        <v/>
      </c>
      <c r="AU78" s="605">
        <v>10</v>
      </c>
      <c r="AV78">
        <f t="shared" si="52"/>
        <v>0</v>
      </c>
      <c r="AW78">
        <f>IF(AV78=0,0,1+MAX(AW$69:AW77))</f>
        <v>0</v>
      </c>
      <c r="AX78">
        <f t="shared" si="71"/>
        <v>0</v>
      </c>
      <c r="AY78" t="str">
        <f t="shared" si="72"/>
        <v/>
      </c>
      <c r="AZ78" t="str">
        <f t="shared" si="73"/>
        <v/>
      </c>
      <c r="BD78" s="605">
        <v>10</v>
      </c>
      <c r="BE78">
        <f t="shared" si="53"/>
        <v>0</v>
      </c>
      <c r="BF78">
        <f>IF(BE78=0,0,1+MAX(BF$69:BF77))</f>
        <v>0</v>
      </c>
      <c r="BG78">
        <f t="shared" si="74"/>
        <v>0</v>
      </c>
      <c r="BH78" t="str">
        <f t="shared" si="75"/>
        <v/>
      </c>
      <c r="BI78" t="str">
        <f t="shared" si="76"/>
        <v/>
      </c>
      <c r="BM78" s="605">
        <v>10</v>
      </c>
      <c r="BN78">
        <f t="shared" si="54"/>
        <v>0</v>
      </c>
      <c r="BO78">
        <f>IF(BN78=0,0,1+MAX(BO$69:BO77))</f>
        <v>0</v>
      </c>
      <c r="BP78">
        <f t="shared" si="77"/>
        <v>0</v>
      </c>
      <c r="BQ78" t="str">
        <f t="shared" si="78"/>
        <v/>
      </c>
      <c r="BR78" t="str">
        <f t="shared" si="79"/>
        <v/>
      </c>
      <c r="BV78" s="609">
        <v>10</v>
      </c>
      <c r="BW78">
        <f t="shared" si="55"/>
        <v>0</v>
      </c>
      <c r="BX78">
        <f>IF(BW78=0,0,1+MAX(BX$69:BX77))</f>
        <v>0</v>
      </c>
      <c r="BY78">
        <f t="shared" si="80"/>
        <v>0</v>
      </c>
      <c r="BZ78" t="str">
        <f t="shared" si="81"/>
        <v/>
      </c>
      <c r="CA78" t="str">
        <f t="shared" si="82"/>
        <v/>
      </c>
    </row>
    <row r="79" spans="1:110" x14ac:dyDescent="0.25">
      <c r="B79" s="591">
        <v>11</v>
      </c>
      <c r="C79">
        <f t="shared" si="47"/>
        <v>0</v>
      </c>
      <c r="D79">
        <f>IF(C79=0,0,1+MAX($D$69:D78))</f>
        <v>0</v>
      </c>
      <c r="E79">
        <f t="shared" si="56"/>
        <v>0</v>
      </c>
      <c r="F79" t="str">
        <f t="shared" si="57"/>
        <v/>
      </c>
      <c r="G79" t="str">
        <f t="shared" si="58"/>
        <v/>
      </c>
      <c r="K79" s="605">
        <v>11</v>
      </c>
      <c r="L79">
        <f t="shared" si="48"/>
        <v>0</v>
      </c>
      <c r="M79">
        <f>IF(L79=0,0,1+MAX(M$69:M78))</f>
        <v>0</v>
      </c>
      <c r="N79">
        <f t="shared" si="59"/>
        <v>0</v>
      </c>
      <c r="O79" t="str">
        <f t="shared" si="60"/>
        <v/>
      </c>
      <c r="P79" t="str">
        <f t="shared" si="61"/>
        <v/>
      </c>
      <c r="T79" s="605">
        <v>11</v>
      </c>
      <c r="U79">
        <f t="shared" si="49"/>
        <v>0</v>
      </c>
      <c r="V79">
        <f>IF(U79=0,0,1+MAX(V$69:V78))</f>
        <v>0</v>
      </c>
      <c r="W79">
        <f t="shared" si="62"/>
        <v>0</v>
      </c>
      <c r="X79" t="str">
        <f t="shared" si="63"/>
        <v/>
      </c>
      <c r="Y79" t="str">
        <f t="shared" si="64"/>
        <v/>
      </c>
      <c r="AC79" s="605">
        <v>11</v>
      </c>
      <c r="AD79">
        <f t="shared" si="50"/>
        <v>0</v>
      </c>
      <c r="AE79">
        <f>IF(AD79=0,0,1+MAX(AE$69:AE78))</f>
        <v>0</v>
      </c>
      <c r="AF79">
        <f t="shared" si="65"/>
        <v>0</v>
      </c>
      <c r="AG79" t="str">
        <f t="shared" si="66"/>
        <v/>
      </c>
      <c r="AH79" t="str">
        <f t="shared" si="67"/>
        <v/>
      </c>
      <c r="AL79" s="605">
        <v>11</v>
      </c>
      <c r="AM79">
        <f t="shared" si="51"/>
        <v>0</v>
      </c>
      <c r="AN79">
        <f>IF(AM79=0,0,1+MAX(AN$69:AN78))</f>
        <v>0</v>
      </c>
      <c r="AO79">
        <f t="shared" si="68"/>
        <v>0</v>
      </c>
      <c r="AP79" t="str">
        <f t="shared" si="69"/>
        <v/>
      </c>
      <c r="AQ79" t="str">
        <f t="shared" si="70"/>
        <v/>
      </c>
      <c r="AU79" s="605">
        <v>11</v>
      </c>
      <c r="AV79">
        <f t="shared" si="52"/>
        <v>0</v>
      </c>
      <c r="AW79">
        <f>IF(AV79=0,0,1+MAX(AW$69:AW78))</f>
        <v>0</v>
      </c>
      <c r="AX79">
        <f t="shared" si="71"/>
        <v>0</v>
      </c>
      <c r="AY79" t="str">
        <f t="shared" si="72"/>
        <v/>
      </c>
      <c r="AZ79" t="str">
        <f t="shared" si="73"/>
        <v/>
      </c>
      <c r="BD79" s="605">
        <v>11</v>
      </c>
      <c r="BE79">
        <f t="shared" si="53"/>
        <v>0</v>
      </c>
      <c r="BF79">
        <f>IF(BE79=0,0,1+MAX(BF$69:BF78))</f>
        <v>0</v>
      </c>
      <c r="BG79">
        <f t="shared" si="74"/>
        <v>0</v>
      </c>
      <c r="BH79" t="str">
        <f t="shared" si="75"/>
        <v/>
      </c>
      <c r="BI79" t="str">
        <f t="shared" si="76"/>
        <v/>
      </c>
      <c r="BM79" s="605">
        <v>11</v>
      </c>
      <c r="BN79">
        <f t="shared" si="54"/>
        <v>0</v>
      </c>
      <c r="BO79">
        <f>IF(BN79=0,0,1+MAX(BO$69:BO78))</f>
        <v>0</v>
      </c>
      <c r="BP79">
        <f t="shared" si="77"/>
        <v>0</v>
      </c>
      <c r="BQ79" t="str">
        <f t="shared" si="78"/>
        <v/>
      </c>
      <c r="BR79" t="str">
        <f t="shared" si="79"/>
        <v/>
      </c>
      <c r="BV79" s="609">
        <v>11</v>
      </c>
      <c r="BW79">
        <f t="shared" si="55"/>
        <v>0</v>
      </c>
      <c r="BX79">
        <f>IF(BW79=0,0,1+MAX(BX$69:BX78))</f>
        <v>0</v>
      </c>
      <c r="BY79">
        <f t="shared" si="80"/>
        <v>0</v>
      </c>
      <c r="BZ79" t="str">
        <f t="shared" si="81"/>
        <v/>
      </c>
      <c r="CA79" t="str">
        <f t="shared" si="82"/>
        <v/>
      </c>
    </row>
    <row r="80" spans="1:110" x14ac:dyDescent="0.25">
      <c r="B80" s="591">
        <v>12</v>
      </c>
      <c r="C80">
        <f t="shared" si="47"/>
        <v>0</v>
      </c>
      <c r="D80">
        <f>IF(C80=0,0,1+MAX($D$69:D79))</f>
        <v>0</v>
      </c>
      <c r="E80">
        <f t="shared" si="56"/>
        <v>0</v>
      </c>
      <c r="F80" t="str">
        <f t="shared" si="57"/>
        <v/>
      </c>
      <c r="G80" t="str">
        <f t="shared" si="58"/>
        <v/>
      </c>
      <c r="K80" s="605">
        <v>12</v>
      </c>
      <c r="L80">
        <f t="shared" si="48"/>
        <v>0</v>
      </c>
      <c r="M80">
        <f>IF(L80=0,0,1+MAX(M$69:M79))</f>
        <v>0</v>
      </c>
      <c r="N80">
        <f t="shared" si="59"/>
        <v>0</v>
      </c>
      <c r="O80" t="str">
        <f t="shared" si="60"/>
        <v/>
      </c>
      <c r="P80" t="str">
        <f t="shared" si="61"/>
        <v/>
      </c>
      <c r="T80" s="605">
        <v>12</v>
      </c>
      <c r="U80">
        <f t="shared" si="49"/>
        <v>0</v>
      </c>
      <c r="V80">
        <f>IF(U80=0,0,1+MAX(V$69:V79))</f>
        <v>0</v>
      </c>
      <c r="W80">
        <f t="shared" si="62"/>
        <v>0</v>
      </c>
      <c r="X80" t="str">
        <f t="shared" si="63"/>
        <v/>
      </c>
      <c r="Y80" t="str">
        <f t="shared" si="64"/>
        <v/>
      </c>
      <c r="AC80" s="605">
        <v>12</v>
      </c>
      <c r="AD80">
        <f t="shared" si="50"/>
        <v>0</v>
      </c>
      <c r="AE80">
        <f>IF(AD80=0,0,1+MAX(AE$69:AE79))</f>
        <v>0</v>
      </c>
      <c r="AF80">
        <f t="shared" si="65"/>
        <v>0</v>
      </c>
      <c r="AG80" t="str">
        <f t="shared" si="66"/>
        <v/>
      </c>
      <c r="AH80" t="str">
        <f t="shared" si="67"/>
        <v/>
      </c>
      <c r="AL80" s="605">
        <v>12</v>
      </c>
      <c r="AM80">
        <f t="shared" si="51"/>
        <v>0</v>
      </c>
      <c r="AN80">
        <f>IF(AM80=0,0,1+MAX(AN$69:AN79))</f>
        <v>0</v>
      </c>
      <c r="AO80">
        <f t="shared" si="68"/>
        <v>0</v>
      </c>
      <c r="AP80" t="str">
        <f t="shared" si="69"/>
        <v/>
      </c>
      <c r="AQ80" t="str">
        <f t="shared" si="70"/>
        <v/>
      </c>
      <c r="AU80" s="605">
        <v>12</v>
      </c>
      <c r="AV80">
        <f t="shared" si="52"/>
        <v>0</v>
      </c>
      <c r="AW80">
        <f>IF(AV80=0,0,1+MAX(AW$69:AW79))</f>
        <v>0</v>
      </c>
      <c r="AX80">
        <f t="shared" si="71"/>
        <v>0</v>
      </c>
      <c r="AY80" t="str">
        <f t="shared" si="72"/>
        <v/>
      </c>
      <c r="AZ80" t="str">
        <f t="shared" si="73"/>
        <v/>
      </c>
      <c r="BD80" s="605">
        <v>12</v>
      </c>
      <c r="BE80">
        <f t="shared" si="53"/>
        <v>0</v>
      </c>
      <c r="BF80">
        <f>IF(BE80=0,0,1+MAX(BF$69:BF79))</f>
        <v>0</v>
      </c>
      <c r="BG80">
        <f t="shared" si="74"/>
        <v>0</v>
      </c>
      <c r="BH80" t="str">
        <f t="shared" si="75"/>
        <v/>
      </c>
      <c r="BI80" t="str">
        <f t="shared" si="76"/>
        <v/>
      </c>
      <c r="BM80" s="605">
        <v>12</v>
      </c>
      <c r="BN80">
        <f t="shared" si="54"/>
        <v>0</v>
      </c>
      <c r="BO80">
        <f>IF(BN80=0,0,1+MAX(BO$69:BO79))</f>
        <v>0</v>
      </c>
      <c r="BP80">
        <f t="shared" si="77"/>
        <v>0</v>
      </c>
      <c r="BQ80" t="str">
        <f t="shared" si="78"/>
        <v/>
      </c>
      <c r="BR80" t="str">
        <f t="shared" si="79"/>
        <v/>
      </c>
      <c r="BV80" s="609">
        <v>12</v>
      </c>
      <c r="BW80">
        <f t="shared" si="55"/>
        <v>0</v>
      </c>
      <c r="BX80">
        <f>IF(BW80=0,0,1+MAX(BX$69:BX79))</f>
        <v>0</v>
      </c>
      <c r="BY80">
        <f t="shared" si="80"/>
        <v>0</v>
      </c>
      <c r="BZ80" t="str">
        <f t="shared" si="81"/>
        <v/>
      </c>
      <c r="CA80" t="str">
        <f t="shared" si="82"/>
        <v/>
      </c>
    </row>
    <row r="81" spans="2:79" x14ac:dyDescent="0.25">
      <c r="B81" s="591">
        <v>13</v>
      </c>
      <c r="C81">
        <f t="shared" si="47"/>
        <v>0</v>
      </c>
      <c r="D81">
        <f>IF(C81=0,0,1+MAX($D$69:D80))</f>
        <v>0</v>
      </c>
      <c r="E81">
        <f t="shared" si="56"/>
        <v>0</v>
      </c>
      <c r="F81" t="str">
        <f t="shared" si="57"/>
        <v/>
      </c>
      <c r="G81" t="str">
        <f t="shared" si="58"/>
        <v/>
      </c>
      <c r="K81" s="605">
        <v>13</v>
      </c>
      <c r="L81">
        <f t="shared" si="48"/>
        <v>0</v>
      </c>
      <c r="M81">
        <f>IF(L81=0,0,1+MAX(M$69:M80))</f>
        <v>0</v>
      </c>
      <c r="N81">
        <f t="shared" si="59"/>
        <v>0</v>
      </c>
      <c r="O81" t="str">
        <f t="shared" si="60"/>
        <v/>
      </c>
      <c r="P81" t="str">
        <f t="shared" si="61"/>
        <v/>
      </c>
      <c r="T81" s="605">
        <v>13</v>
      </c>
      <c r="U81">
        <f t="shared" si="49"/>
        <v>0</v>
      </c>
      <c r="V81">
        <f>IF(U81=0,0,1+MAX(V$69:V80))</f>
        <v>0</v>
      </c>
      <c r="W81">
        <f t="shared" si="62"/>
        <v>0</v>
      </c>
      <c r="X81" t="str">
        <f t="shared" si="63"/>
        <v/>
      </c>
      <c r="Y81" t="str">
        <f t="shared" si="64"/>
        <v/>
      </c>
      <c r="AC81" s="605">
        <v>13</v>
      </c>
      <c r="AD81">
        <f t="shared" si="50"/>
        <v>0</v>
      </c>
      <c r="AE81">
        <f>IF(AD81=0,0,1+MAX(AE$69:AE80))</f>
        <v>0</v>
      </c>
      <c r="AF81">
        <f t="shared" si="65"/>
        <v>0</v>
      </c>
      <c r="AG81" t="str">
        <f t="shared" si="66"/>
        <v/>
      </c>
      <c r="AH81" t="str">
        <f t="shared" si="67"/>
        <v/>
      </c>
      <c r="AL81" s="605">
        <v>13</v>
      </c>
      <c r="AM81">
        <f t="shared" si="51"/>
        <v>0</v>
      </c>
      <c r="AN81">
        <f>IF(AM81=0,0,1+MAX(AN$69:AN80))</f>
        <v>0</v>
      </c>
      <c r="AO81">
        <f t="shared" si="68"/>
        <v>0</v>
      </c>
      <c r="AP81" t="str">
        <f t="shared" si="69"/>
        <v/>
      </c>
      <c r="AQ81" t="str">
        <f t="shared" si="70"/>
        <v/>
      </c>
      <c r="AU81" s="605">
        <v>13</v>
      </c>
      <c r="AV81">
        <f t="shared" si="52"/>
        <v>0</v>
      </c>
      <c r="AW81">
        <f>IF(AV81=0,0,1+MAX(AW$69:AW80))</f>
        <v>0</v>
      </c>
      <c r="AX81">
        <f t="shared" si="71"/>
        <v>0</v>
      </c>
      <c r="AY81" t="str">
        <f t="shared" si="72"/>
        <v/>
      </c>
      <c r="AZ81" t="str">
        <f t="shared" si="73"/>
        <v/>
      </c>
      <c r="BD81" s="605">
        <v>13</v>
      </c>
      <c r="BE81">
        <f t="shared" si="53"/>
        <v>0</v>
      </c>
      <c r="BF81">
        <f>IF(BE81=0,0,1+MAX(BF$69:BF80))</f>
        <v>0</v>
      </c>
      <c r="BG81">
        <f t="shared" si="74"/>
        <v>0</v>
      </c>
      <c r="BH81" t="str">
        <f t="shared" si="75"/>
        <v/>
      </c>
      <c r="BI81" t="str">
        <f t="shared" si="76"/>
        <v/>
      </c>
      <c r="BM81" s="605">
        <v>13</v>
      </c>
      <c r="BN81">
        <f t="shared" si="54"/>
        <v>0</v>
      </c>
      <c r="BO81">
        <f>IF(BN81=0,0,1+MAX(BO$69:BO80))</f>
        <v>0</v>
      </c>
      <c r="BP81">
        <f t="shared" si="77"/>
        <v>0</v>
      </c>
      <c r="BQ81" t="str">
        <f t="shared" si="78"/>
        <v/>
      </c>
      <c r="BR81" t="str">
        <f t="shared" si="79"/>
        <v/>
      </c>
      <c r="BV81" s="609">
        <v>13</v>
      </c>
      <c r="BW81">
        <f t="shared" si="55"/>
        <v>0</v>
      </c>
      <c r="BX81">
        <f>IF(BW81=0,0,1+MAX(BX$69:BX80))</f>
        <v>0</v>
      </c>
      <c r="BY81">
        <f t="shared" si="80"/>
        <v>0</v>
      </c>
      <c r="BZ81" t="str">
        <f t="shared" si="81"/>
        <v/>
      </c>
      <c r="CA81" t="str">
        <f t="shared" si="82"/>
        <v/>
      </c>
    </row>
    <row r="82" spans="2:79" x14ac:dyDescent="0.25">
      <c r="B82" s="591">
        <v>14</v>
      </c>
      <c r="C82">
        <f t="shared" si="47"/>
        <v>0</v>
      </c>
      <c r="D82">
        <f>IF(C82=0,0,1+MAX($D$69:D81))</f>
        <v>0</v>
      </c>
      <c r="E82">
        <f t="shared" si="56"/>
        <v>0</v>
      </c>
      <c r="F82" t="str">
        <f t="shared" si="57"/>
        <v/>
      </c>
      <c r="G82" t="str">
        <f t="shared" si="58"/>
        <v/>
      </c>
      <c r="K82" s="605">
        <v>14</v>
      </c>
      <c r="L82">
        <f t="shared" si="48"/>
        <v>0</v>
      </c>
      <c r="M82">
        <f>IF(L82=0,0,1+MAX(M$69:M81))</f>
        <v>0</v>
      </c>
      <c r="N82">
        <f t="shared" si="59"/>
        <v>0</v>
      </c>
      <c r="O82" t="str">
        <f t="shared" si="60"/>
        <v/>
      </c>
      <c r="P82" t="str">
        <f t="shared" si="61"/>
        <v/>
      </c>
      <c r="T82" s="605">
        <v>14</v>
      </c>
      <c r="U82">
        <f t="shared" si="49"/>
        <v>0</v>
      </c>
      <c r="V82">
        <f>IF(U82=0,0,1+MAX(V$69:V81))</f>
        <v>0</v>
      </c>
      <c r="W82">
        <f t="shared" si="62"/>
        <v>0</v>
      </c>
      <c r="X82" t="str">
        <f t="shared" si="63"/>
        <v/>
      </c>
      <c r="Y82" t="str">
        <f t="shared" si="64"/>
        <v/>
      </c>
      <c r="AC82" s="605">
        <v>14</v>
      </c>
      <c r="AD82">
        <f t="shared" si="50"/>
        <v>0</v>
      </c>
      <c r="AE82">
        <f>IF(AD82=0,0,1+MAX(AE$69:AE81))</f>
        <v>0</v>
      </c>
      <c r="AF82">
        <f t="shared" si="65"/>
        <v>0</v>
      </c>
      <c r="AG82" t="str">
        <f t="shared" si="66"/>
        <v/>
      </c>
      <c r="AH82" t="str">
        <f t="shared" si="67"/>
        <v/>
      </c>
      <c r="AL82" s="605">
        <v>14</v>
      </c>
      <c r="AM82">
        <f t="shared" si="51"/>
        <v>0</v>
      </c>
      <c r="AN82">
        <f>IF(AM82=0,0,1+MAX(AN$69:AN81))</f>
        <v>0</v>
      </c>
      <c r="AO82">
        <f t="shared" si="68"/>
        <v>0</v>
      </c>
      <c r="AP82" t="str">
        <f t="shared" si="69"/>
        <v/>
      </c>
      <c r="AQ82" t="str">
        <f t="shared" si="70"/>
        <v/>
      </c>
      <c r="AU82" s="605">
        <v>14</v>
      </c>
      <c r="AV82">
        <f t="shared" si="52"/>
        <v>0</v>
      </c>
      <c r="AW82">
        <f>IF(AV82=0,0,1+MAX(AW$69:AW81))</f>
        <v>0</v>
      </c>
      <c r="AX82">
        <f t="shared" si="71"/>
        <v>0</v>
      </c>
      <c r="AY82" t="str">
        <f t="shared" si="72"/>
        <v/>
      </c>
      <c r="AZ82" t="str">
        <f t="shared" si="73"/>
        <v/>
      </c>
      <c r="BD82" s="605">
        <v>14</v>
      </c>
      <c r="BE82">
        <f t="shared" si="53"/>
        <v>0</v>
      </c>
      <c r="BF82">
        <f>IF(BE82=0,0,1+MAX(BF$69:BF81))</f>
        <v>0</v>
      </c>
      <c r="BG82">
        <f t="shared" si="74"/>
        <v>0</v>
      </c>
      <c r="BH82" t="str">
        <f t="shared" si="75"/>
        <v/>
      </c>
      <c r="BI82" t="str">
        <f t="shared" si="76"/>
        <v/>
      </c>
      <c r="BM82" s="605">
        <v>14</v>
      </c>
      <c r="BN82">
        <f t="shared" si="54"/>
        <v>0</v>
      </c>
      <c r="BO82">
        <f>IF(BN82=0,0,1+MAX(BO$69:BO81))</f>
        <v>0</v>
      </c>
      <c r="BP82">
        <f t="shared" si="77"/>
        <v>0</v>
      </c>
      <c r="BQ82" t="str">
        <f t="shared" si="78"/>
        <v/>
      </c>
      <c r="BR82" t="str">
        <f t="shared" si="79"/>
        <v/>
      </c>
      <c r="BV82" s="609">
        <v>14</v>
      </c>
      <c r="BW82">
        <f t="shared" si="55"/>
        <v>0</v>
      </c>
      <c r="BX82">
        <f>IF(BW82=0,0,1+MAX(BX$69:BX81))</f>
        <v>0</v>
      </c>
      <c r="BY82">
        <f t="shared" si="80"/>
        <v>0</v>
      </c>
      <c r="BZ82" t="str">
        <f t="shared" si="81"/>
        <v/>
      </c>
      <c r="CA82" t="str">
        <f t="shared" si="82"/>
        <v/>
      </c>
    </row>
    <row r="83" spans="2:79" x14ac:dyDescent="0.25">
      <c r="B83" s="591">
        <v>15</v>
      </c>
      <c r="C83">
        <f t="shared" si="47"/>
        <v>0</v>
      </c>
      <c r="D83">
        <f>IF(C83=0,0,1+MAX($D$69:D82))</f>
        <v>0</v>
      </c>
      <c r="E83">
        <f t="shared" si="56"/>
        <v>0</v>
      </c>
      <c r="F83" t="str">
        <f t="shared" si="57"/>
        <v/>
      </c>
      <c r="G83" t="str">
        <f t="shared" si="58"/>
        <v/>
      </c>
      <c r="K83" s="605">
        <v>15</v>
      </c>
      <c r="L83">
        <f t="shared" si="48"/>
        <v>0</v>
      </c>
      <c r="M83">
        <f>IF(L83=0,0,1+MAX(M$69:M82))</f>
        <v>0</v>
      </c>
      <c r="N83">
        <f t="shared" si="59"/>
        <v>0</v>
      </c>
      <c r="O83" t="str">
        <f t="shared" si="60"/>
        <v/>
      </c>
      <c r="P83" t="str">
        <f t="shared" si="61"/>
        <v/>
      </c>
      <c r="T83" s="605">
        <v>15</v>
      </c>
      <c r="U83">
        <f t="shared" si="49"/>
        <v>0</v>
      </c>
      <c r="V83">
        <f>IF(U83=0,0,1+MAX(V$69:V82))</f>
        <v>0</v>
      </c>
      <c r="W83">
        <f t="shared" si="62"/>
        <v>0</v>
      </c>
      <c r="X83" t="str">
        <f t="shared" si="63"/>
        <v/>
      </c>
      <c r="Y83" t="str">
        <f t="shared" si="64"/>
        <v/>
      </c>
      <c r="AC83" s="605">
        <v>15</v>
      </c>
      <c r="AD83">
        <f t="shared" si="50"/>
        <v>0</v>
      </c>
      <c r="AE83">
        <f>IF(AD83=0,0,1+MAX(AE$69:AE82))</f>
        <v>0</v>
      </c>
      <c r="AF83">
        <f t="shared" si="65"/>
        <v>0</v>
      </c>
      <c r="AG83" t="str">
        <f t="shared" si="66"/>
        <v/>
      </c>
      <c r="AH83" t="str">
        <f t="shared" si="67"/>
        <v/>
      </c>
      <c r="AL83" s="605">
        <v>15</v>
      </c>
      <c r="AM83">
        <f t="shared" si="51"/>
        <v>0</v>
      </c>
      <c r="AN83">
        <f>IF(AM83=0,0,1+MAX(AN$69:AN82))</f>
        <v>0</v>
      </c>
      <c r="AO83">
        <f t="shared" si="68"/>
        <v>0</v>
      </c>
      <c r="AP83" t="str">
        <f t="shared" si="69"/>
        <v/>
      </c>
      <c r="AQ83" t="str">
        <f t="shared" si="70"/>
        <v/>
      </c>
      <c r="AU83" s="605">
        <v>15</v>
      </c>
      <c r="AV83">
        <f t="shared" si="52"/>
        <v>0</v>
      </c>
      <c r="AW83">
        <f>IF(AV83=0,0,1+MAX(AW$69:AW82))</f>
        <v>0</v>
      </c>
      <c r="AX83">
        <f t="shared" si="71"/>
        <v>0</v>
      </c>
      <c r="AY83" t="str">
        <f t="shared" si="72"/>
        <v/>
      </c>
      <c r="AZ83" t="str">
        <f t="shared" si="73"/>
        <v/>
      </c>
      <c r="BD83" s="605">
        <v>15</v>
      </c>
      <c r="BE83">
        <f t="shared" si="53"/>
        <v>0</v>
      </c>
      <c r="BF83">
        <f>IF(BE83=0,0,1+MAX(BF$69:BF82))</f>
        <v>0</v>
      </c>
      <c r="BG83">
        <f t="shared" si="74"/>
        <v>0</v>
      </c>
      <c r="BH83" t="str">
        <f t="shared" si="75"/>
        <v/>
      </c>
      <c r="BI83" t="str">
        <f t="shared" si="76"/>
        <v/>
      </c>
      <c r="BM83" s="605">
        <v>15</v>
      </c>
      <c r="BN83">
        <f t="shared" si="54"/>
        <v>0</v>
      </c>
      <c r="BO83">
        <f>IF(BN83=0,0,1+MAX(BO$69:BO82))</f>
        <v>0</v>
      </c>
      <c r="BP83">
        <f t="shared" si="77"/>
        <v>0</v>
      </c>
      <c r="BQ83" t="str">
        <f t="shared" si="78"/>
        <v/>
      </c>
      <c r="BR83" t="str">
        <f t="shared" si="79"/>
        <v/>
      </c>
      <c r="BV83" s="609">
        <v>15</v>
      </c>
      <c r="BW83">
        <f t="shared" si="55"/>
        <v>0</v>
      </c>
      <c r="BX83">
        <f>IF(BW83=0,0,1+MAX(BX$69:BX82))</f>
        <v>0</v>
      </c>
      <c r="BY83">
        <f t="shared" si="80"/>
        <v>0</v>
      </c>
      <c r="BZ83" t="str">
        <f t="shared" si="81"/>
        <v/>
      </c>
      <c r="CA83" t="str">
        <f t="shared" si="82"/>
        <v/>
      </c>
    </row>
    <row r="84" spans="2:79" x14ac:dyDescent="0.25">
      <c r="B84" s="591">
        <v>16</v>
      </c>
      <c r="C84">
        <f t="shared" si="47"/>
        <v>0</v>
      </c>
      <c r="D84">
        <f>IF(C84=0,0,1+MAX($D$69:D83))</f>
        <v>0</v>
      </c>
      <c r="E84">
        <f t="shared" si="56"/>
        <v>0</v>
      </c>
      <c r="F84" t="str">
        <f t="shared" si="57"/>
        <v/>
      </c>
      <c r="G84" t="str">
        <f t="shared" si="58"/>
        <v/>
      </c>
      <c r="K84" s="605">
        <v>16</v>
      </c>
      <c r="L84">
        <f t="shared" si="48"/>
        <v>0</v>
      </c>
      <c r="M84">
        <f>IF(L84=0,0,1+MAX(M$69:M83))</f>
        <v>0</v>
      </c>
      <c r="N84">
        <f t="shared" si="59"/>
        <v>0</v>
      </c>
      <c r="O84" t="str">
        <f t="shared" si="60"/>
        <v/>
      </c>
      <c r="P84" t="str">
        <f t="shared" si="61"/>
        <v/>
      </c>
      <c r="T84" s="605">
        <v>16</v>
      </c>
      <c r="U84">
        <f t="shared" si="49"/>
        <v>0</v>
      </c>
      <c r="V84">
        <f>IF(U84=0,0,1+MAX(V$69:V83))</f>
        <v>0</v>
      </c>
      <c r="W84">
        <f t="shared" si="62"/>
        <v>0</v>
      </c>
      <c r="X84" t="str">
        <f t="shared" si="63"/>
        <v/>
      </c>
      <c r="Y84" t="str">
        <f t="shared" si="64"/>
        <v/>
      </c>
      <c r="AC84" s="605">
        <v>16</v>
      </c>
      <c r="AD84">
        <f t="shared" si="50"/>
        <v>0</v>
      </c>
      <c r="AE84">
        <f>IF(AD84=0,0,1+MAX(AE$69:AE83))</f>
        <v>0</v>
      </c>
      <c r="AF84">
        <f t="shared" si="65"/>
        <v>0</v>
      </c>
      <c r="AG84" t="str">
        <f t="shared" si="66"/>
        <v/>
      </c>
      <c r="AH84" t="str">
        <f t="shared" si="67"/>
        <v/>
      </c>
      <c r="AL84" s="605">
        <v>16</v>
      </c>
      <c r="AM84">
        <f t="shared" si="51"/>
        <v>0</v>
      </c>
      <c r="AN84">
        <f>IF(AM84=0,0,1+MAX(AN$69:AN83))</f>
        <v>0</v>
      </c>
      <c r="AO84">
        <f t="shared" si="68"/>
        <v>0</v>
      </c>
      <c r="AP84" t="str">
        <f t="shared" si="69"/>
        <v/>
      </c>
      <c r="AQ84" t="str">
        <f t="shared" si="70"/>
        <v/>
      </c>
      <c r="AU84" s="605">
        <v>16</v>
      </c>
      <c r="AV84">
        <f t="shared" si="52"/>
        <v>0</v>
      </c>
      <c r="AW84">
        <f>IF(AV84=0,0,1+MAX(AW$69:AW83))</f>
        <v>0</v>
      </c>
      <c r="AX84">
        <f t="shared" si="71"/>
        <v>0</v>
      </c>
      <c r="AY84" t="str">
        <f t="shared" si="72"/>
        <v/>
      </c>
      <c r="AZ84" t="str">
        <f t="shared" si="73"/>
        <v/>
      </c>
      <c r="BD84" s="605">
        <v>16</v>
      </c>
      <c r="BE84">
        <f t="shared" si="53"/>
        <v>0</v>
      </c>
      <c r="BF84">
        <f>IF(BE84=0,0,1+MAX(BF$69:BF83))</f>
        <v>0</v>
      </c>
      <c r="BG84">
        <f t="shared" si="74"/>
        <v>0</v>
      </c>
      <c r="BH84" t="str">
        <f t="shared" si="75"/>
        <v/>
      </c>
      <c r="BI84" t="str">
        <f t="shared" si="76"/>
        <v/>
      </c>
      <c r="BM84" s="605">
        <v>16</v>
      </c>
      <c r="BN84">
        <f t="shared" si="54"/>
        <v>0</v>
      </c>
      <c r="BO84">
        <f>IF(BN84=0,0,1+MAX(BO$69:BO83))</f>
        <v>0</v>
      </c>
      <c r="BP84">
        <f t="shared" si="77"/>
        <v>0</v>
      </c>
      <c r="BQ84" t="str">
        <f t="shared" si="78"/>
        <v/>
      </c>
      <c r="BR84" t="str">
        <f t="shared" si="79"/>
        <v/>
      </c>
      <c r="BV84" s="609">
        <v>16</v>
      </c>
      <c r="BW84">
        <f t="shared" si="55"/>
        <v>0</v>
      </c>
      <c r="BX84">
        <f>IF(BW84=0,0,1+MAX(BX$69:BX83))</f>
        <v>0</v>
      </c>
      <c r="BY84">
        <f t="shared" si="80"/>
        <v>0</v>
      </c>
      <c r="BZ84" t="str">
        <f t="shared" si="81"/>
        <v/>
      </c>
      <c r="CA84" t="str">
        <f t="shared" si="82"/>
        <v/>
      </c>
    </row>
    <row r="85" spans="2:79" x14ac:dyDescent="0.25">
      <c r="B85" s="591">
        <v>17</v>
      </c>
      <c r="C85">
        <f t="shared" si="47"/>
        <v>0</v>
      </c>
      <c r="D85">
        <f>IF(C85=0,0,1+MAX($D$69:D84))</f>
        <v>0</v>
      </c>
      <c r="E85">
        <f t="shared" si="56"/>
        <v>0</v>
      </c>
      <c r="F85" t="str">
        <f t="shared" si="57"/>
        <v/>
      </c>
      <c r="G85" t="str">
        <f t="shared" si="58"/>
        <v/>
      </c>
      <c r="K85" s="605">
        <v>17</v>
      </c>
      <c r="L85">
        <f t="shared" si="48"/>
        <v>0</v>
      </c>
      <c r="M85">
        <f>IF(L85=0,0,1+MAX(M$69:M84))</f>
        <v>0</v>
      </c>
      <c r="N85">
        <f t="shared" si="59"/>
        <v>0</v>
      </c>
      <c r="O85" t="str">
        <f t="shared" si="60"/>
        <v/>
      </c>
      <c r="P85" t="str">
        <f t="shared" si="61"/>
        <v/>
      </c>
      <c r="T85" s="605">
        <v>17</v>
      </c>
      <c r="U85">
        <f t="shared" si="49"/>
        <v>0</v>
      </c>
      <c r="V85">
        <f>IF(U85=0,0,1+MAX(V$69:V84))</f>
        <v>0</v>
      </c>
      <c r="W85">
        <f t="shared" si="62"/>
        <v>0</v>
      </c>
      <c r="X85" t="str">
        <f t="shared" si="63"/>
        <v/>
      </c>
      <c r="Y85" t="str">
        <f t="shared" si="64"/>
        <v/>
      </c>
      <c r="AC85" s="605">
        <v>17</v>
      </c>
      <c r="AD85">
        <f t="shared" si="50"/>
        <v>0</v>
      </c>
      <c r="AE85">
        <f>IF(AD85=0,0,1+MAX(AE$69:AE84))</f>
        <v>0</v>
      </c>
      <c r="AF85">
        <f t="shared" si="65"/>
        <v>0</v>
      </c>
      <c r="AG85" t="str">
        <f t="shared" si="66"/>
        <v/>
      </c>
      <c r="AH85" t="str">
        <f t="shared" si="67"/>
        <v/>
      </c>
      <c r="AL85" s="605">
        <v>17</v>
      </c>
      <c r="AM85">
        <f t="shared" si="51"/>
        <v>0</v>
      </c>
      <c r="AN85">
        <f>IF(AM85=0,0,1+MAX(AN$69:AN84))</f>
        <v>0</v>
      </c>
      <c r="AO85">
        <f t="shared" si="68"/>
        <v>0</v>
      </c>
      <c r="AP85" t="str">
        <f t="shared" si="69"/>
        <v/>
      </c>
      <c r="AQ85" t="str">
        <f t="shared" si="70"/>
        <v/>
      </c>
      <c r="AU85" s="605">
        <v>17</v>
      </c>
      <c r="AV85">
        <f t="shared" si="52"/>
        <v>0</v>
      </c>
      <c r="AW85">
        <f>IF(AV85=0,0,1+MAX(AW$69:AW84))</f>
        <v>0</v>
      </c>
      <c r="AX85">
        <f t="shared" si="71"/>
        <v>0</v>
      </c>
      <c r="AY85" t="str">
        <f t="shared" si="72"/>
        <v/>
      </c>
      <c r="AZ85" t="str">
        <f t="shared" si="73"/>
        <v/>
      </c>
      <c r="BD85" s="605">
        <v>17</v>
      </c>
      <c r="BE85">
        <f t="shared" si="53"/>
        <v>0</v>
      </c>
      <c r="BF85">
        <f>IF(BE85=0,0,1+MAX(BF$69:BF84))</f>
        <v>0</v>
      </c>
      <c r="BG85">
        <f t="shared" si="74"/>
        <v>0</v>
      </c>
      <c r="BH85" t="str">
        <f t="shared" si="75"/>
        <v/>
      </c>
      <c r="BI85" t="str">
        <f t="shared" si="76"/>
        <v/>
      </c>
      <c r="BM85" s="605">
        <v>17</v>
      </c>
      <c r="BN85">
        <f t="shared" si="54"/>
        <v>0</v>
      </c>
      <c r="BO85">
        <f>IF(BN85=0,0,1+MAX(BO$69:BO84))</f>
        <v>0</v>
      </c>
      <c r="BP85">
        <f t="shared" si="77"/>
        <v>0</v>
      </c>
      <c r="BQ85" t="str">
        <f t="shared" si="78"/>
        <v/>
      </c>
      <c r="BR85" t="str">
        <f t="shared" si="79"/>
        <v/>
      </c>
      <c r="BV85" s="609">
        <v>17</v>
      </c>
      <c r="BW85">
        <f t="shared" si="55"/>
        <v>0</v>
      </c>
      <c r="BX85">
        <f>IF(BW85=0,0,1+MAX(BX$69:BX84))</f>
        <v>0</v>
      </c>
      <c r="BY85">
        <f t="shared" si="80"/>
        <v>0</v>
      </c>
      <c r="BZ85" t="str">
        <f t="shared" si="81"/>
        <v/>
      </c>
      <c r="CA85" t="str">
        <f t="shared" si="82"/>
        <v/>
      </c>
    </row>
    <row r="86" spans="2:79" x14ac:dyDescent="0.25">
      <c r="B86" s="591">
        <v>18</v>
      </c>
      <c r="C86">
        <f t="shared" si="47"/>
        <v>0</v>
      </c>
      <c r="D86">
        <f>IF(C86=0,0,1+MAX($D$69:D85))</f>
        <v>0</v>
      </c>
      <c r="E86">
        <f t="shared" si="56"/>
        <v>0</v>
      </c>
      <c r="F86" t="str">
        <f t="shared" si="57"/>
        <v/>
      </c>
      <c r="G86" t="str">
        <f t="shared" si="58"/>
        <v/>
      </c>
      <c r="K86" s="605">
        <v>18</v>
      </c>
      <c r="L86">
        <f t="shared" si="48"/>
        <v>0</v>
      </c>
      <c r="M86">
        <f>IF(L86=0,0,1+MAX(M$69:M85))</f>
        <v>0</v>
      </c>
      <c r="N86">
        <f t="shared" si="59"/>
        <v>0</v>
      </c>
      <c r="O86" t="str">
        <f t="shared" si="60"/>
        <v/>
      </c>
      <c r="P86" t="str">
        <f t="shared" si="61"/>
        <v/>
      </c>
      <c r="T86" s="605">
        <v>18</v>
      </c>
      <c r="U86">
        <f t="shared" si="49"/>
        <v>0</v>
      </c>
      <c r="V86">
        <f>IF(U86=0,0,1+MAX(V$69:V85))</f>
        <v>0</v>
      </c>
      <c r="W86">
        <f t="shared" si="62"/>
        <v>0</v>
      </c>
      <c r="X86" t="str">
        <f t="shared" si="63"/>
        <v/>
      </c>
      <c r="Y86" t="str">
        <f t="shared" si="64"/>
        <v/>
      </c>
      <c r="AC86" s="605">
        <v>18</v>
      </c>
      <c r="AD86">
        <f t="shared" si="50"/>
        <v>0</v>
      </c>
      <c r="AE86">
        <f>IF(AD86=0,0,1+MAX(AE$69:AE85))</f>
        <v>0</v>
      </c>
      <c r="AF86">
        <f t="shared" si="65"/>
        <v>0</v>
      </c>
      <c r="AG86" t="str">
        <f t="shared" si="66"/>
        <v/>
      </c>
      <c r="AH86" t="str">
        <f t="shared" si="67"/>
        <v/>
      </c>
      <c r="AL86" s="605">
        <v>18</v>
      </c>
      <c r="AM86">
        <f t="shared" si="51"/>
        <v>0</v>
      </c>
      <c r="AN86">
        <f>IF(AM86=0,0,1+MAX(AN$69:AN85))</f>
        <v>0</v>
      </c>
      <c r="AO86">
        <f t="shared" si="68"/>
        <v>0</v>
      </c>
      <c r="AP86" t="str">
        <f t="shared" si="69"/>
        <v/>
      </c>
      <c r="AQ86" t="str">
        <f t="shared" si="70"/>
        <v/>
      </c>
      <c r="AU86" s="605">
        <v>18</v>
      </c>
      <c r="AV86">
        <f t="shared" si="52"/>
        <v>0</v>
      </c>
      <c r="AW86">
        <f>IF(AV86=0,0,1+MAX(AW$69:AW85))</f>
        <v>0</v>
      </c>
      <c r="AX86">
        <f t="shared" si="71"/>
        <v>0</v>
      </c>
      <c r="AY86" t="str">
        <f t="shared" si="72"/>
        <v/>
      </c>
      <c r="AZ86" t="str">
        <f t="shared" si="73"/>
        <v/>
      </c>
      <c r="BD86" s="605">
        <v>18</v>
      </c>
      <c r="BE86">
        <f t="shared" si="53"/>
        <v>0</v>
      </c>
      <c r="BF86">
        <f>IF(BE86=0,0,1+MAX(BF$69:BF85))</f>
        <v>0</v>
      </c>
      <c r="BG86">
        <f t="shared" si="74"/>
        <v>0</v>
      </c>
      <c r="BH86" t="str">
        <f t="shared" si="75"/>
        <v/>
      </c>
      <c r="BI86" t="str">
        <f t="shared" si="76"/>
        <v/>
      </c>
      <c r="BM86" s="605">
        <v>18</v>
      </c>
      <c r="BN86">
        <f t="shared" si="54"/>
        <v>0</v>
      </c>
      <c r="BO86">
        <f>IF(BN86=0,0,1+MAX(BO$69:BO85))</f>
        <v>0</v>
      </c>
      <c r="BP86">
        <f t="shared" si="77"/>
        <v>0</v>
      </c>
      <c r="BQ86" t="str">
        <f t="shared" si="78"/>
        <v/>
      </c>
      <c r="BR86" t="str">
        <f t="shared" si="79"/>
        <v/>
      </c>
      <c r="BV86" s="609">
        <v>18</v>
      </c>
      <c r="BW86">
        <f t="shared" si="55"/>
        <v>0</v>
      </c>
      <c r="BX86">
        <f>IF(BW86=0,0,1+MAX(BX$69:BX85))</f>
        <v>0</v>
      </c>
      <c r="BY86">
        <f t="shared" si="80"/>
        <v>0</v>
      </c>
      <c r="BZ86" t="str">
        <f t="shared" si="81"/>
        <v/>
      </c>
      <c r="CA86" t="str">
        <f t="shared" si="82"/>
        <v/>
      </c>
    </row>
    <row r="87" spans="2:79" x14ac:dyDescent="0.25">
      <c r="B87" s="591">
        <v>19</v>
      </c>
      <c r="C87">
        <f t="shared" si="47"/>
        <v>0</v>
      </c>
      <c r="D87">
        <f>IF(C87=0,0,1+MAX($D$69:D86))</f>
        <v>0</v>
      </c>
      <c r="E87">
        <f t="shared" si="56"/>
        <v>0</v>
      </c>
      <c r="F87" t="str">
        <f t="shared" si="57"/>
        <v/>
      </c>
      <c r="G87" t="str">
        <f t="shared" si="58"/>
        <v/>
      </c>
      <c r="K87" s="605">
        <v>19</v>
      </c>
      <c r="L87">
        <f t="shared" si="48"/>
        <v>0</v>
      </c>
      <c r="M87">
        <f>IF(L87=0,0,1+MAX(M$69:M86))</f>
        <v>0</v>
      </c>
      <c r="N87">
        <f t="shared" si="59"/>
        <v>0</v>
      </c>
      <c r="O87" t="str">
        <f t="shared" si="60"/>
        <v/>
      </c>
      <c r="P87" t="str">
        <f t="shared" si="61"/>
        <v/>
      </c>
      <c r="T87" s="605">
        <v>19</v>
      </c>
      <c r="U87">
        <f t="shared" si="49"/>
        <v>0</v>
      </c>
      <c r="V87">
        <f>IF(U87=0,0,1+MAX(V$69:V86))</f>
        <v>0</v>
      </c>
      <c r="W87">
        <f t="shared" si="62"/>
        <v>0</v>
      </c>
      <c r="X87" t="str">
        <f t="shared" si="63"/>
        <v/>
      </c>
      <c r="Y87" t="str">
        <f t="shared" si="64"/>
        <v/>
      </c>
      <c r="AC87" s="605">
        <v>19</v>
      </c>
      <c r="AD87">
        <f t="shared" si="50"/>
        <v>0</v>
      </c>
      <c r="AE87">
        <f>IF(AD87=0,0,1+MAX(AE$69:AE86))</f>
        <v>0</v>
      </c>
      <c r="AF87">
        <f t="shared" si="65"/>
        <v>0</v>
      </c>
      <c r="AG87" t="str">
        <f t="shared" si="66"/>
        <v/>
      </c>
      <c r="AH87" t="str">
        <f t="shared" si="67"/>
        <v/>
      </c>
      <c r="AL87" s="605">
        <v>19</v>
      </c>
      <c r="AM87">
        <f t="shared" si="51"/>
        <v>0</v>
      </c>
      <c r="AN87">
        <f>IF(AM87=0,0,1+MAX(AN$69:AN86))</f>
        <v>0</v>
      </c>
      <c r="AO87">
        <f t="shared" si="68"/>
        <v>0</v>
      </c>
      <c r="AP87" t="str">
        <f t="shared" si="69"/>
        <v/>
      </c>
      <c r="AQ87" t="str">
        <f t="shared" si="70"/>
        <v/>
      </c>
      <c r="AU87" s="605">
        <v>19</v>
      </c>
      <c r="AV87">
        <f t="shared" si="52"/>
        <v>0</v>
      </c>
      <c r="AW87">
        <f>IF(AV87=0,0,1+MAX(AW$69:AW86))</f>
        <v>0</v>
      </c>
      <c r="AX87">
        <f t="shared" si="71"/>
        <v>0</v>
      </c>
      <c r="AY87" t="str">
        <f t="shared" si="72"/>
        <v/>
      </c>
      <c r="AZ87" t="str">
        <f t="shared" si="73"/>
        <v/>
      </c>
      <c r="BD87" s="605">
        <v>19</v>
      </c>
      <c r="BE87">
        <f t="shared" si="53"/>
        <v>0</v>
      </c>
      <c r="BF87">
        <f>IF(BE87=0,0,1+MAX(BF$69:BF86))</f>
        <v>0</v>
      </c>
      <c r="BG87">
        <f t="shared" si="74"/>
        <v>0</v>
      </c>
      <c r="BH87" t="str">
        <f t="shared" si="75"/>
        <v/>
      </c>
      <c r="BI87" t="str">
        <f t="shared" si="76"/>
        <v/>
      </c>
      <c r="BM87" s="605">
        <v>19</v>
      </c>
      <c r="BN87">
        <f t="shared" si="54"/>
        <v>0</v>
      </c>
      <c r="BO87">
        <f>IF(BN87=0,0,1+MAX(BO$69:BO86))</f>
        <v>0</v>
      </c>
      <c r="BP87">
        <f t="shared" si="77"/>
        <v>0</v>
      </c>
      <c r="BQ87" t="str">
        <f t="shared" si="78"/>
        <v/>
      </c>
      <c r="BR87" t="str">
        <f t="shared" si="79"/>
        <v/>
      </c>
      <c r="BV87" s="609">
        <v>19</v>
      </c>
      <c r="BW87">
        <f t="shared" si="55"/>
        <v>0</v>
      </c>
      <c r="BX87">
        <f>IF(BW87=0,0,1+MAX(BX$69:BX86))</f>
        <v>0</v>
      </c>
      <c r="BY87">
        <f t="shared" si="80"/>
        <v>0</v>
      </c>
      <c r="BZ87" t="str">
        <f t="shared" si="81"/>
        <v/>
      </c>
      <c r="CA87" t="str">
        <f t="shared" si="82"/>
        <v/>
      </c>
    </row>
    <row r="88" spans="2:79" x14ac:dyDescent="0.25">
      <c r="B88" s="591">
        <v>20</v>
      </c>
      <c r="C88">
        <f t="shared" si="47"/>
        <v>0</v>
      </c>
      <c r="D88">
        <f>IF(C88=0,0,1+MAX($D$69:D87))</f>
        <v>0</v>
      </c>
      <c r="E88">
        <f t="shared" si="56"/>
        <v>0</v>
      </c>
      <c r="F88" t="str">
        <f t="shared" si="57"/>
        <v/>
      </c>
      <c r="G88" t="str">
        <f t="shared" si="58"/>
        <v/>
      </c>
      <c r="K88" s="605">
        <v>20</v>
      </c>
      <c r="L88">
        <f t="shared" si="48"/>
        <v>0</v>
      </c>
      <c r="M88">
        <f>IF(L88=0,0,1+MAX(M$69:M87))</f>
        <v>0</v>
      </c>
      <c r="N88">
        <f t="shared" si="59"/>
        <v>0</v>
      </c>
      <c r="O88" t="str">
        <f t="shared" si="60"/>
        <v/>
      </c>
      <c r="P88" t="str">
        <f t="shared" si="61"/>
        <v/>
      </c>
      <c r="T88" s="605">
        <v>20</v>
      </c>
      <c r="U88">
        <f t="shared" si="49"/>
        <v>0</v>
      </c>
      <c r="V88">
        <f>IF(U88=0,0,1+MAX(V$69:V87))</f>
        <v>0</v>
      </c>
      <c r="W88">
        <f t="shared" si="62"/>
        <v>0</v>
      </c>
      <c r="X88" t="str">
        <f t="shared" si="63"/>
        <v/>
      </c>
      <c r="Y88" t="str">
        <f t="shared" si="64"/>
        <v/>
      </c>
      <c r="AC88" s="605">
        <v>20</v>
      </c>
      <c r="AD88">
        <f t="shared" si="50"/>
        <v>0</v>
      </c>
      <c r="AE88">
        <f>IF(AD88=0,0,1+MAX(AE$69:AE87))</f>
        <v>0</v>
      </c>
      <c r="AF88">
        <f t="shared" si="65"/>
        <v>0</v>
      </c>
      <c r="AG88" t="str">
        <f t="shared" si="66"/>
        <v/>
      </c>
      <c r="AH88" t="str">
        <f t="shared" si="67"/>
        <v/>
      </c>
      <c r="AL88" s="605">
        <v>20</v>
      </c>
      <c r="AM88">
        <f t="shared" si="51"/>
        <v>0</v>
      </c>
      <c r="AN88">
        <f>IF(AM88=0,0,1+MAX(AN$69:AN87))</f>
        <v>0</v>
      </c>
      <c r="AO88">
        <f t="shared" si="68"/>
        <v>0</v>
      </c>
      <c r="AP88" t="str">
        <f t="shared" si="69"/>
        <v/>
      </c>
      <c r="AQ88" t="str">
        <f t="shared" si="70"/>
        <v/>
      </c>
      <c r="AU88" s="605">
        <v>20</v>
      </c>
      <c r="AV88">
        <f t="shared" si="52"/>
        <v>0</v>
      </c>
      <c r="AW88">
        <f>IF(AV88=0,0,1+MAX(AW$69:AW87))</f>
        <v>0</v>
      </c>
      <c r="AX88">
        <f t="shared" si="71"/>
        <v>0</v>
      </c>
      <c r="AY88" t="str">
        <f t="shared" si="72"/>
        <v/>
      </c>
      <c r="AZ88" t="str">
        <f t="shared" si="73"/>
        <v/>
      </c>
      <c r="BD88" s="605">
        <v>20</v>
      </c>
      <c r="BE88">
        <f t="shared" si="53"/>
        <v>0</v>
      </c>
      <c r="BF88">
        <f>IF(BE88=0,0,1+MAX(BF$69:BF87))</f>
        <v>0</v>
      </c>
      <c r="BG88">
        <f t="shared" si="74"/>
        <v>0</v>
      </c>
      <c r="BH88" t="str">
        <f t="shared" si="75"/>
        <v/>
      </c>
      <c r="BI88" t="str">
        <f t="shared" si="76"/>
        <v/>
      </c>
      <c r="BM88" s="605">
        <v>20</v>
      </c>
      <c r="BN88">
        <f t="shared" si="54"/>
        <v>0</v>
      </c>
      <c r="BO88">
        <f>IF(BN88=0,0,1+MAX(BO$69:BO87))</f>
        <v>0</v>
      </c>
      <c r="BP88">
        <f t="shared" si="77"/>
        <v>0</v>
      </c>
      <c r="BQ88" t="str">
        <f t="shared" si="78"/>
        <v/>
      </c>
      <c r="BR88" t="str">
        <f t="shared" si="79"/>
        <v/>
      </c>
      <c r="BV88" s="609">
        <v>20</v>
      </c>
      <c r="BW88">
        <f t="shared" si="55"/>
        <v>0</v>
      </c>
      <c r="BX88">
        <f>IF(BW88=0,0,1+MAX(BX$69:BX87))</f>
        <v>0</v>
      </c>
      <c r="BY88">
        <f t="shared" si="80"/>
        <v>0</v>
      </c>
      <c r="BZ88" t="str">
        <f t="shared" si="81"/>
        <v/>
      </c>
      <c r="CA88" t="str">
        <f t="shared" si="82"/>
        <v/>
      </c>
    </row>
    <row r="89" spans="2:79" x14ac:dyDescent="0.25">
      <c r="B89" s="591">
        <v>21</v>
      </c>
      <c r="C89">
        <f t="shared" si="47"/>
        <v>0</v>
      </c>
      <c r="D89">
        <f>IF(C89=0,0,1+MAX($D$69:D88))</f>
        <v>0</v>
      </c>
      <c r="E89">
        <f t="shared" si="56"/>
        <v>0</v>
      </c>
      <c r="F89" t="str">
        <f t="shared" si="57"/>
        <v/>
      </c>
      <c r="G89" t="str">
        <f t="shared" si="58"/>
        <v/>
      </c>
      <c r="K89" s="605">
        <v>21</v>
      </c>
      <c r="L89">
        <f t="shared" si="48"/>
        <v>0</v>
      </c>
      <c r="M89">
        <f>IF(L89=0,0,1+MAX(M$69:M88))</f>
        <v>0</v>
      </c>
      <c r="N89">
        <f t="shared" si="59"/>
        <v>0</v>
      </c>
      <c r="O89" t="str">
        <f t="shared" si="60"/>
        <v/>
      </c>
      <c r="P89" t="str">
        <f t="shared" si="61"/>
        <v/>
      </c>
      <c r="T89" s="605">
        <v>21</v>
      </c>
      <c r="U89">
        <f t="shared" si="49"/>
        <v>0</v>
      </c>
      <c r="V89">
        <f>IF(U89=0,0,1+MAX(V$69:V88))</f>
        <v>0</v>
      </c>
      <c r="W89">
        <f t="shared" si="62"/>
        <v>0</v>
      </c>
      <c r="X89" t="str">
        <f t="shared" si="63"/>
        <v/>
      </c>
      <c r="Y89" t="str">
        <f t="shared" si="64"/>
        <v/>
      </c>
      <c r="AC89" s="605">
        <v>21</v>
      </c>
      <c r="AD89">
        <f t="shared" si="50"/>
        <v>0</v>
      </c>
      <c r="AE89">
        <f>IF(AD89=0,0,1+MAX(AE$69:AE88))</f>
        <v>0</v>
      </c>
      <c r="AF89">
        <f t="shared" si="65"/>
        <v>0</v>
      </c>
      <c r="AG89" t="str">
        <f t="shared" si="66"/>
        <v/>
      </c>
      <c r="AH89" t="str">
        <f t="shared" si="67"/>
        <v/>
      </c>
      <c r="AL89" s="605">
        <v>21</v>
      </c>
      <c r="AM89">
        <f t="shared" si="51"/>
        <v>0</v>
      </c>
      <c r="AN89">
        <f>IF(AM89=0,0,1+MAX(AN$69:AN88))</f>
        <v>0</v>
      </c>
      <c r="AO89">
        <f t="shared" si="68"/>
        <v>0</v>
      </c>
      <c r="AP89" t="str">
        <f t="shared" si="69"/>
        <v/>
      </c>
      <c r="AQ89" t="str">
        <f t="shared" si="70"/>
        <v/>
      </c>
      <c r="AU89" s="605">
        <v>21</v>
      </c>
      <c r="AV89">
        <f t="shared" si="52"/>
        <v>0</v>
      </c>
      <c r="AW89">
        <f>IF(AV89=0,0,1+MAX(AW$69:AW88))</f>
        <v>0</v>
      </c>
      <c r="AX89">
        <f t="shared" si="71"/>
        <v>0</v>
      </c>
      <c r="AY89" t="str">
        <f t="shared" si="72"/>
        <v/>
      </c>
      <c r="AZ89" t="str">
        <f t="shared" si="73"/>
        <v/>
      </c>
      <c r="BD89" s="605">
        <v>21</v>
      </c>
      <c r="BE89">
        <f t="shared" si="53"/>
        <v>0</v>
      </c>
      <c r="BF89">
        <f>IF(BE89=0,0,1+MAX(BF$69:BF88))</f>
        <v>0</v>
      </c>
      <c r="BG89">
        <f t="shared" si="74"/>
        <v>0</v>
      </c>
      <c r="BH89" t="str">
        <f t="shared" si="75"/>
        <v/>
      </c>
      <c r="BI89" t="str">
        <f t="shared" si="76"/>
        <v/>
      </c>
      <c r="BM89" s="605">
        <v>21</v>
      </c>
      <c r="BN89">
        <f t="shared" si="54"/>
        <v>0</v>
      </c>
      <c r="BO89">
        <f>IF(BN89=0,0,1+MAX(BO$69:BO88))</f>
        <v>0</v>
      </c>
      <c r="BP89">
        <f t="shared" si="77"/>
        <v>0</v>
      </c>
      <c r="BQ89" t="str">
        <f t="shared" si="78"/>
        <v/>
      </c>
      <c r="BR89" t="str">
        <f t="shared" si="79"/>
        <v/>
      </c>
      <c r="BV89" s="609">
        <v>21</v>
      </c>
      <c r="BW89">
        <f t="shared" si="55"/>
        <v>0</v>
      </c>
      <c r="BX89">
        <f>IF(BW89=0,0,1+MAX(BX$69:BX88))</f>
        <v>0</v>
      </c>
      <c r="BY89">
        <f t="shared" si="80"/>
        <v>0</v>
      </c>
      <c r="BZ89" t="str">
        <f t="shared" si="81"/>
        <v/>
      </c>
      <c r="CA89" t="str">
        <f t="shared" si="82"/>
        <v/>
      </c>
    </row>
    <row r="90" spans="2:79" x14ac:dyDescent="0.25">
      <c r="B90" s="591">
        <v>22</v>
      </c>
      <c r="C90">
        <f t="shared" si="47"/>
        <v>0</v>
      </c>
      <c r="D90">
        <f>IF(C90=0,0,1+MAX($D$69:D89))</f>
        <v>0</v>
      </c>
      <c r="E90">
        <f t="shared" si="56"/>
        <v>0</v>
      </c>
      <c r="F90" t="str">
        <f t="shared" si="57"/>
        <v/>
      </c>
      <c r="G90" t="str">
        <f t="shared" si="58"/>
        <v/>
      </c>
      <c r="K90" s="605">
        <v>22</v>
      </c>
      <c r="L90">
        <f t="shared" si="48"/>
        <v>0</v>
      </c>
      <c r="M90">
        <f>IF(L90=0,0,1+MAX(M$69:M89))</f>
        <v>0</v>
      </c>
      <c r="N90">
        <f t="shared" si="59"/>
        <v>0</v>
      </c>
      <c r="O90" t="str">
        <f t="shared" si="60"/>
        <v/>
      </c>
      <c r="P90" t="str">
        <f t="shared" si="61"/>
        <v/>
      </c>
      <c r="T90" s="605">
        <v>22</v>
      </c>
      <c r="U90">
        <f t="shared" si="49"/>
        <v>0</v>
      </c>
      <c r="V90">
        <f>IF(U90=0,0,1+MAX(V$69:V89))</f>
        <v>0</v>
      </c>
      <c r="W90">
        <f t="shared" si="62"/>
        <v>0</v>
      </c>
      <c r="X90" t="str">
        <f t="shared" si="63"/>
        <v/>
      </c>
      <c r="Y90" t="str">
        <f t="shared" si="64"/>
        <v/>
      </c>
      <c r="AC90" s="605">
        <v>22</v>
      </c>
      <c r="AD90">
        <f t="shared" si="50"/>
        <v>0</v>
      </c>
      <c r="AE90">
        <f>IF(AD90=0,0,1+MAX(AE$69:AE89))</f>
        <v>0</v>
      </c>
      <c r="AF90">
        <f t="shared" si="65"/>
        <v>0</v>
      </c>
      <c r="AG90" t="str">
        <f t="shared" si="66"/>
        <v/>
      </c>
      <c r="AH90" t="str">
        <f t="shared" si="67"/>
        <v/>
      </c>
      <c r="AL90" s="605">
        <v>22</v>
      </c>
      <c r="AM90">
        <f t="shared" si="51"/>
        <v>0</v>
      </c>
      <c r="AN90">
        <f>IF(AM90=0,0,1+MAX(AN$69:AN89))</f>
        <v>0</v>
      </c>
      <c r="AO90">
        <f t="shared" si="68"/>
        <v>0</v>
      </c>
      <c r="AP90" t="str">
        <f t="shared" si="69"/>
        <v/>
      </c>
      <c r="AQ90" t="str">
        <f t="shared" si="70"/>
        <v/>
      </c>
      <c r="AU90" s="605">
        <v>22</v>
      </c>
      <c r="AV90">
        <f t="shared" si="52"/>
        <v>0</v>
      </c>
      <c r="AW90">
        <f>IF(AV90=0,0,1+MAX(AW$69:AW89))</f>
        <v>0</v>
      </c>
      <c r="AX90">
        <f t="shared" si="71"/>
        <v>0</v>
      </c>
      <c r="AY90" t="str">
        <f t="shared" si="72"/>
        <v/>
      </c>
      <c r="AZ90" t="str">
        <f t="shared" si="73"/>
        <v/>
      </c>
      <c r="BD90" s="605">
        <v>22</v>
      </c>
      <c r="BE90">
        <f t="shared" si="53"/>
        <v>0</v>
      </c>
      <c r="BF90">
        <f>IF(BE90=0,0,1+MAX(BF$69:BF89))</f>
        <v>0</v>
      </c>
      <c r="BG90">
        <f t="shared" si="74"/>
        <v>0</v>
      </c>
      <c r="BH90" t="str">
        <f t="shared" si="75"/>
        <v/>
      </c>
      <c r="BI90" t="str">
        <f t="shared" si="76"/>
        <v/>
      </c>
      <c r="BM90" s="605">
        <v>22</v>
      </c>
      <c r="BN90">
        <f t="shared" si="54"/>
        <v>0</v>
      </c>
      <c r="BO90">
        <f>IF(BN90=0,0,1+MAX(BO$69:BO89))</f>
        <v>0</v>
      </c>
      <c r="BP90">
        <f t="shared" si="77"/>
        <v>0</v>
      </c>
      <c r="BQ90" t="str">
        <f t="shared" si="78"/>
        <v/>
      </c>
      <c r="BR90" t="str">
        <f t="shared" si="79"/>
        <v/>
      </c>
      <c r="BV90" s="609">
        <v>22</v>
      </c>
      <c r="BW90">
        <f t="shared" si="55"/>
        <v>0</v>
      </c>
      <c r="BX90">
        <f>IF(BW90=0,0,1+MAX(BX$69:BX89))</f>
        <v>0</v>
      </c>
      <c r="BY90">
        <f t="shared" si="80"/>
        <v>0</v>
      </c>
      <c r="BZ90" t="str">
        <f t="shared" si="81"/>
        <v/>
      </c>
      <c r="CA90" t="str">
        <f t="shared" si="82"/>
        <v/>
      </c>
    </row>
    <row r="91" spans="2:79" x14ac:dyDescent="0.25">
      <c r="B91" s="591">
        <v>23</v>
      </c>
      <c r="C91">
        <f t="shared" si="47"/>
        <v>0</v>
      </c>
      <c r="D91">
        <f>IF(C91=0,0,1+MAX($D$69:D90))</f>
        <v>0</v>
      </c>
      <c r="E91">
        <f t="shared" si="56"/>
        <v>0</v>
      </c>
      <c r="F91" t="str">
        <f t="shared" si="57"/>
        <v/>
      </c>
      <c r="G91" t="str">
        <f t="shared" si="58"/>
        <v/>
      </c>
      <c r="K91" s="605">
        <v>23</v>
      </c>
      <c r="L91">
        <f t="shared" si="48"/>
        <v>0</v>
      </c>
      <c r="M91">
        <f>IF(L91=0,0,1+MAX(M$69:M90))</f>
        <v>0</v>
      </c>
      <c r="N91">
        <f t="shared" si="59"/>
        <v>0</v>
      </c>
      <c r="O91" t="str">
        <f t="shared" si="60"/>
        <v/>
      </c>
      <c r="P91" t="str">
        <f t="shared" si="61"/>
        <v/>
      </c>
      <c r="T91" s="605">
        <v>23</v>
      </c>
      <c r="U91">
        <f t="shared" si="49"/>
        <v>0</v>
      </c>
      <c r="V91">
        <f>IF(U91=0,0,1+MAX(V$69:V90))</f>
        <v>0</v>
      </c>
      <c r="W91">
        <f t="shared" si="62"/>
        <v>0</v>
      </c>
      <c r="X91" t="str">
        <f t="shared" si="63"/>
        <v/>
      </c>
      <c r="Y91" t="str">
        <f t="shared" si="64"/>
        <v/>
      </c>
      <c r="AC91" s="605">
        <v>23</v>
      </c>
      <c r="AD91">
        <f t="shared" si="50"/>
        <v>0</v>
      </c>
      <c r="AE91">
        <f>IF(AD91=0,0,1+MAX(AE$69:AE90))</f>
        <v>0</v>
      </c>
      <c r="AF91">
        <f t="shared" si="65"/>
        <v>0</v>
      </c>
      <c r="AG91" t="str">
        <f t="shared" si="66"/>
        <v/>
      </c>
      <c r="AH91" t="str">
        <f t="shared" si="67"/>
        <v/>
      </c>
      <c r="AL91" s="605">
        <v>23</v>
      </c>
      <c r="AM91">
        <f t="shared" si="51"/>
        <v>0</v>
      </c>
      <c r="AN91">
        <f>IF(AM91=0,0,1+MAX(AN$69:AN90))</f>
        <v>0</v>
      </c>
      <c r="AO91">
        <f t="shared" si="68"/>
        <v>0</v>
      </c>
      <c r="AP91" t="str">
        <f t="shared" si="69"/>
        <v/>
      </c>
      <c r="AQ91" t="str">
        <f t="shared" si="70"/>
        <v/>
      </c>
      <c r="AU91" s="605">
        <v>23</v>
      </c>
      <c r="AV91">
        <f t="shared" si="52"/>
        <v>0</v>
      </c>
      <c r="AW91">
        <f>IF(AV91=0,0,1+MAX(AW$69:AW90))</f>
        <v>0</v>
      </c>
      <c r="AX91">
        <f t="shared" si="71"/>
        <v>0</v>
      </c>
      <c r="AY91" t="str">
        <f t="shared" si="72"/>
        <v/>
      </c>
      <c r="AZ91" t="str">
        <f t="shared" si="73"/>
        <v/>
      </c>
      <c r="BD91" s="605">
        <v>23</v>
      </c>
      <c r="BE91">
        <f t="shared" si="53"/>
        <v>0</v>
      </c>
      <c r="BF91">
        <f>IF(BE91=0,0,1+MAX(BF$69:BF90))</f>
        <v>0</v>
      </c>
      <c r="BG91">
        <f t="shared" si="74"/>
        <v>0</v>
      </c>
      <c r="BH91" t="str">
        <f t="shared" si="75"/>
        <v/>
      </c>
      <c r="BI91" t="str">
        <f t="shared" si="76"/>
        <v/>
      </c>
      <c r="BM91" s="605">
        <v>23</v>
      </c>
      <c r="BN91">
        <f t="shared" si="54"/>
        <v>0</v>
      </c>
      <c r="BO91">
        <f>IF(BN91=0,0,1+MAX(BO$69:BO90))</f>
        <v>0</v>
      </c>
      <c r="BP91">
        <f t="shared" si="77"/>
        <v>0</v>
      </c>
      <c r="BQ91" t="str">
        <f t="shared" si="78"/>
        <v/>
      </c>
      <c r="BR91" t="str">
        <f t="shared" si="79"/>
        <v/>
      </c>
      <c r="BV91" s="609">
        <v>23</v>
      </c>
      <c r="BW91">
        <f t="shared" si="55"/>
        <v>0</v>
      </c>
      <c r="BX91">
        <f>IF(BW91=0,0,1+MAX(BX$69:BX90))</f>
        <v>0</v>
      </c>
      <c r="BY91">
        <f t="shared" si="80"/>
        <v>0</v>
      </c>
      <c r="BZ91" t="str">
        <f t="shared" si="81"/>
        <v/>
      </c>
      <c r="CA91" t="str">
        <f t="shared" si="82"/>
        <v/>
      </c>
    </row>
    <row r="92" spans="2:79" x14ac:dyDescent="0.25">
      <c r="B92" s="591">
        <v>24</v>
      </c>
      <c r="C92">
        <f t="shared" si="47"/>
        <v>0</v>
      </c>
      <c r="D92">
        <f>IF(C92=0,0,1+MAX($D$69:D91))</f>
        <v>0</v>
      </c>
      <c r="E92">
        <f t="shared" si="56"/>
        <v>0</v>
      </c>
      <c r="F92" t="str">
        <f t="shared" si="57"/>
        <v/>
      </c>
      <c r="G92" t="str">
        <f t="shared" si="58"/>
        <v/>
      </c>
      <c r="K92" s="605">
        <v>24</v>
      </c>
      <c r="L92">
        <f t="shared" si="48"/>
        <v>0</v>
      </c>
      <c r="M92">
        <f>IF(L92=0,0,1+MAX(M$69:M91))</f>
        <v>0</v>
      </c>
      <c r="N92">
        <f t="shared" si="59"/>
        <v>0</v>
      </c>
      <c r="O92" t="str">
        <f t="shared" si="60"/>
        <v/>
      </c>
      <c r="P92" t="str">
        <f t="shared" si="61"/>
        <v/>
      </c>
      <c r="T92" s="605">
        <v>24</v>
      </c>
      <c r="U92">
        <f t="shared" si="49"/>
        <v>0</v>
      </c>
      <c r="V92">
        <f>IF(U92=0,0,1+MAX(V$69:V91))</f>
        <v>0</v>
      </c>
      <c r="W92">
        <f t="shared" si="62"/>
        <v>0</v>
      </c>
      <c r="X92" t="str">
        <f t="shared" si="63"/>
        <v/>
      </c>
      <c r="Y92" t="str">
        <f t="shared" si="64"/>
        <v/>
      </c>
      <c r="AC92" s="605">
        <v>24</v>
      </c>
      <c r="AD92">
        <f t="shared" si="50"/>
        <v>0</v>
      </c>
      <c r="AE92">
        <f>IF(AD92=0,0,1+MAX(AE$69:AE91))</f>
        <v>0</v>
      </c>
      <c r="AF92">
        <f t="shared" si="65"/>
        <v>0</v>
      </c>
      <c r="AG92" t="str">
        <f t="shared" si="66"/>
        <v/>
      </c>
      <c r="AH92" t="str">
        <f t="shared" si="67"/>
        <v/>
      </c>
      <c r="AL92" s="605">
        <v>24</v>
      </c>
      <c r="AM92">
        <f t="shared" si="51"/>
        <v>0</v>
      </c>
      <c r="AN92">
        <f>IF(AM92=0,0,1+MAX(AN$69:AN91))</f>
        <v>0</v>
      </c>
      <c r="AO92">
        <f t="shared" si="68"/>
        <v>0</v>
      </c>
      <c r="AP92" t="str">
        <f t="shared" si="69"/>
        <v/>
      </c>
      <c r="AQ92" t="str">
        <f t="shared" si="70"/>
        <v/>
      </c>
      <c r="AU92" s="605">
        <v>24</v>
      </c>
      <c r="AV92">
        <f t="shared" si="52"/>
        <v>0</v>
      </c>
      <c r="AW92">
        <f>IF(AV92=0,0,1+MAX(AW$69:AW91))</f>
        <v>0</v>
      </c>
      <c r="AX92">
        <f t="shared" si="71"/>
        <v>0</v>
      </c>
      <c r="AY92" t="str">
        <f t="shared" si="72"/>
        <v/>
      </c>
      <c r="AZ92" t="str">
        <f t="shared" si="73"/>
        <v/>
      </c>
      <c r="BD92" s="605">
        <v>24</v>
      </c>
      <c r="BE92">
        <f t="shared" si="53"/>
        <v>0</v>
      </c>
      <c r="BF92">
        <f>IF(BE92=0,0,1+MAX(BF$69:BF91))</f>
        <v>0</v>
      </c>
      <c r="BG92">
        <f t="shared" si="74"/>
        <v>0</v>
      </c>
      <c r="BH92" t="str">
        <f t="shared" si="75"/>
        <v/>
      </c>
      <c r="BI92" t="str">
        <f t="shared" si="76"/>
        <v/>
      </c>
      <c r="BM92" s="605">
        <v>24</v>
      </c>
      <c r="BN92">
        <f t="shared" si="54"/>
        <v>0</v>
      </c>
      <c r="BO92">
        <f>IF(BN92=0,0,1+MAX(BO$69:BO91))</f>
        <v>0</v>
      </c>
      <c r="BP92">
        <f t="shared" si="77"/>
        <v>0</v>
      </c>
      <c r="BQ92" t="str">
        <f t="shared" si="78"/>
        <v/>
      </c>
      <c r="BR92" t="str">
        <f t="shared" si="79"/>
        <v/>
      </c>
      <c r="BV92" s="609">
        <v>24</v>
      </c>
      <c r="BW92">
        <f t="shared" si="55"/>
        <v>0</v>
      </c>
      <c r="BX92">
        <f>IF(BW92=0,0,1+MAX(BX$69:BX91))</f>
        <v>0</v>
      </c>
      <c r="BY92">
        <f t="shared" si="80"/>
        <v>0</v>
      </c>
      <c r="BZ92" t="str">
        <f t="shared" si="81"/>
        <v/>
      </c>
      <c r="CA92" t="str">
        <f t="shared" si="82"/>
        <v/>
      </c>
    </row>
    <row r="93" spans="2:79" x14ac:dyDescent="0.25">
      <c r="B93" s="591">
        <v>25</v>
      </c>
      <c r="C93">
        <f t="shared" si="47"/>
        <v>0</v>
      </c>
      <c r="D93">
        <f>IF(C93=0,0,1+MAX($D$69:D92))</f>
        <v>0</v>
      </c>
      <c r="E93">
        <f t="shared" si="56"/>
        <v>0</v>
      </c>
      <c r="F93" t="str">
        <f t="shared" si="57"/>
        <v/>
      </c>
      <c r="G93" t="str">
        <f t="shared" si="58"/>
        <v/>
      </c>
      <c r="K93" s="605">
        <v>25</v>
      </c>
      <c r="L93">
        <f t="shared" si="48"/>
        <v>0</v>
      </c>
      <c r="M93">
        <f>IF(L93=0,0,1+MAX(M$69:M92))</f>
        <v>0</v>
      </c>
      <c r="N93">
        <f t="shared" si="59"/>
        <v>0</v>
      </c>
      <c r="O93" t="str">
        <f t="shared" si="60"/>
        <v/>
      </c>
      <c r="P93" t="str">
        <f t="shared" si="61"/>
        <v/>
      </c>
      <c r="T93" s="605">
        <v>25</v>
      </c>
      <c r="U93">
        <f t="shared" si="49"/>
        <v>0</v>
      </c>
      <c r="V93">
        <f>IF(U93=0,0,1+MAX(V$69:V92))</f>
        <v>0</v>
      </c>
      <c r="W93">
        <f t="shared" si="62"/>
        <v>0</v>
      </c>
      <c r="X93" t="str">
        <f t="shared" si="63"/>
        <v/>
      </c>
      <c r="Y93" t="str">
        <f t="shared" si="64"/>
        <v/>
      </c>
      <c r="AC93" s="605">
        <v>25</v>
      </c>
      <c r="AD93">
        <f t="shared" si="50"/>
        <v>0</v>
      </c>
      <c r="AE93">
        <f>IF(AD93=0,0,1+MAX(AE$69:AE92))</f>
        <v>0</v>
      </c>
      <c r="AF93">
        <f t="shared" si="65"/>
        <v>0</v>
      </c>
      <c r="AG93" t="str">
        <f t="shared" si="66"/>
        <v/>
      </c>
      <c r="AH93" t="str">
        <f t="shared" si="67"/>
        <v/>
      </c>
      <c r="AL93" s="605">
        <v>25</v>
      </c>
      <c r="AM93">
        <f t="shared" si="51"/>
        <v>0</v>
      </c>
      <c r="AN93">
        <f>IF(AM93=0,0,1+MAX(AN$69:AN92))</f>
        <v>0</v>
      </c>
      <c r="AO93">
        <f t="shared" si="68"/>
        <v>0</v>
      </c>
      <c r="AP93" t="str">
        <f t="shared" si="69"/>
        <v/>
      </c>
      <c r="AQ93" t="str">
        <f t="shared" si="70"/>
        <v/>
      </c>
      <c r="AU93" s="605">
        <v>25</v>
      </c>
      <c r="AV93">
        <f t="shared" si="52"/>
        <v>0</v>
      </c>
      <c r="AW93">
        <f>IF(AV93=0,0,1+MAX(AW$69:AW92))</f>
        <v>0</v>
      </c>
      <c r="AX93">
        <f t="shared" si="71"/>
        <v>0</v>
      </c>
      <c r="AY93" t="str">
        <f t="shared" si="72"/>
        <v/>
      </c>
      <c r="AZ93" t="str">
        <f t="shared" si="73"/>
        <v/>
      </c>
      <c r="BD93" s="605">
        <v>25</v>
      </c>
      <c r="BE93">
        <f t="shared" si="53"/>
        <v>0</v>
      </c>
      <c r="BF93">
        <f>IF(BE93=0,0,1+MAX(BF$69:BF92))</f>
        <v>0</v>
      </c>
      <c r="BG93">
        <f t="shared" si="74"/>
        <v>0</v>
      </c>
      <c r="BH93" t="str">
        <f t="shared" si="75"/>
        <v/>
      </c>
      <c r="BI93" t="str">
        <f t="shared" si="76"/>
        <v/>
      </c>
      <c r="BM93" s="605">
        <v>25</v>
      </c>
      <c r="BN93">
        <f t="shared" si="54"/>
        <v>0</v>
      </c>
      <c r="BO93">
        <f>IF(BN93=0,0,1+MAX(BO$69:BO92))</f>
        <v>0</v>
      </c>
      <c r="BP93">
        <f t="shared" si="77"/>
        <v>0</v>
      </c>
      <c r="BQ93" t="str">
        <f t="shared" si="78"/>
        <v/>
      </c>
      <c r="BR93" t="str">
        <f t="shared" si="79"/>
        <v/>
      </c>
      <c r="BV93" s="609">
        <v>25</v>
      </c>
      <c r="BW93">
        <f t="shared" si="55"/>
        <v>0</v>
      </c>
      <c r="BX93">
        <f>IF(BW93=0,0,1+MAX(BX$69:BX92))</f>
        <v>0</v>
      </c>
      <c r="BY93">
        <f t="shared" si="80"/>
        <v>0</v>
      </c>
      <c r="BZ93" t="str">
        <f t="shared" si="81"/>
        <v/>
      </c>
      <c r="CA93" t="str">
        <f t="shared" si="82"/>
        <v/>
      </c>
    </row>
    <row r="94" spans="2:79" x14ac:dyDescent="0.25">
      <c r="B94" s="591">
        <v>26</v>
      </c>
      <c r="C94">
        <f t="shared" si="47"/>
        <v>0</v>
      </c>
      <c r="D94">
        <f>IF(C94=0,0,1+MAX($D$69:D93))</f>
        <v>0</v>
      </c>
      <c r="E94">
        <f t="shared" si="56"/>
        <v>0</v>
      </c>
      <c r="F94" t="str">
        <f t="shared" si="57"/>
        <v/>
      </c>
      <c r="G94" t="str">
        <f t="shared" si="58"/>
        <v/>
      </c>
      <c r="K94" s="605">
        <v>26</v>
      </c>
      <c r="L94">
        <f t="shared" si="48"/>
        <v>0</v>
      </c>
      <c r="M94">
        <f>IF(L94=0,0,1+MAX(M$69:M93))</f>
        <v>0</v>
      </c>
      <c r="N94">
        <f t="shared" si="59"/>
        <v>0</v>
      </c>
      <c r="O94" t="str">
        <f t="shared" si="60"/>
        <v/>
      </c>
      <c r="P94" t="str">
        <f t="shared" si="61"/>
        <v/>
      </c>
      <c r="T94" s="605">
        <v>26</v>
      </c>
      <c r="U94">
        <f t="shared" si="49"/>
        <v>0</v>
      </c>
      <c r="V94">
        <f>IF(U94=0,0,1+MAX(V$69:V93))</f>
        <v>0</v>
      </c>
      <c r="W94">
        <f t="shared" si="62"/>
        <v>0</v>
      </c>
      <c r="X94" t="str">
        <f t="shared" si="63"/>
        <v/>
      </c>
      <c r="Y94" t="str">
        <f t="shared" si="64"/>
        <v/>
      </c>
      <c r="AC94" s="605">
        <v>26</v>
      </c>
      <c r="AD94">
        <f t="shared" si="50"/>
        <v>0</v>
      </c>
      <c r="AE94">
        <f>IF(AD94=0,0,1+MAX(AE$69:AE93))</f>
        <v>0</v>
      </c>
      <c r="AF94">
        <f t="shared" si="65"/>
        <v>0</v>
      </c>
      <c r="AG94" t="str">
        <f t="shared" si="66"/>
        <v/>
      </c>
      <c r="AH94" t="str">
        <f t="shared" si="67"/>
        <v/>
      </c>
      <c r="AL94" s="605">
        <v>26</v>
      </c>
      <c r="AM94">
        <f t="shared" si="51"/>
        <v>0</v>
      </c>
      <c r="AN94">
        <f>IF(AM94=0,0,1+MAX(AN$69:AN93))</f>
        <v>0</v>
      </c>
      <c r="AO94">
        <f t="shared" si="68"/>
        <v>0</v>
      </c>
      <c r="AP94" t="str">
        <f t="shared" si="69"/>
        <v/>
      </c>
      <c r="AQ94" t="str">
        <f t="shared" si="70"/>
        <v/>
      </c>
      <c r="AU94" s="605">
        <v>26</v>
      </c>
      <c r="AV94">
        <f t="shared" si="52"/>
        <v>0</v>
      </c>
      <c r="AW94">
        <f>IF(AV94=0,0,1+MAX(AW$69:AW93))</f>
        <v>0</v>
      </c>
      <c r="AX94">
        <f t="shared" si="71"/>
        <v>0</v>
      </c>
      <c r="AY94" t="str">
        <f t="shared" si="72"/>
        <v/>
      </c>
      <c r="AZ94" t="str">
        <f t="shared" si="73"/>
        <v/>
      </c>
      <c r="BD94" s="605">
        <v>26</v>
      </c>
      <c r="BE94">
        <f t="shared" si="53"/>
        <v>0</v>
      </c>
      <c r="BF94">
        <f>IF(BE94=0,0,1+MAX(BF$69:BF93))</f>
        <v>0</v>
      </c>
      <c r="BG94">
        <f t="shared" si="74"/>
        <v>0</v>
      </c>
      <c r="BH94" t="str">
        <f t="shared" si="75"/>
        <v/>
      </c>
      <c r="BI94" t="str">
        <f t="shared" si="76"/>
        <v/>
      </c>
      <c r="BM94" s="605">
        <v>26</v>
      </c>
      <c r="BN94">
        <f t="shared" si="54"/>
        <v>0</v>
      </c>
      <c r="BO94">
        <f>IF(BN94=0,0,1+MAX(BO$69:BO93))</f>
        <v>0</v>
      </c>
      <c r="BP94">
        <f t="shared" si="77"/>
        <v>0</v>
      </c>
      <c r="BQ94" t="str">
        <f t="shared" si="78"/>
        <v/>
      </c>
      <c r="BR94" t="str">
        <f t="shared" si="79"/>
        <v/>
      </c>
      <c r="BV94" s="609">
        <v>26</v>
      </c>
      <c r="BW94">
        <f t="shared" si="55"/>
        <v>0</v>
      </c>
      <c r="BX94">
        <f>IF(BW94=0,0,1+MAX(BX$69:BX93))</f>
        <v>0</v>
      </c>
      <c r="BY94">
        <f t="shared" si="80"/>
        <v>0</v>
      </c>
      <c r="BZ94" t="str">
        <f t="shared" si="81"/>
        <v/>
      </c>
      <c r="CA94" t="str">
        <f t="shared" si="82"/>
        <v/>
      </c>
    </row>
    <row r="95" spans="2:79" x14ac:dyDescent="0.25">
      <c r="B95" s="591">
        <v>27</v>
      </c>
      <c r="C95">
        <f t="shared" si="47"/>
        <v>0</v>
      </c>
      <c r="D95">
        <f>IF(C95=0,0,1+MAX($D$69:D94))</f>
        <v>0</v>
      </c>
      <c r="E95">
        <f t="shared" si="56"/>
        <v>0</v>
      </c>
      <c r="F95" t="str">
        <f t="shared" si="57"/>
        <v/>
      </c>
      <c r="G95" t="str">
        <f t="shared" si="58"/>
        <v/>
      </c>
      <c r="K95" s="605">
        <v>27</v>
      </c>
      <c r="L95">
        <f t="shared" si="48"/>
        <v>0</v>
      </c>
      <c r="M95">
        <f>IF(L95=0,0,1+MAX(M$69:M94))</f>
        <v>0</v>
      </c>
      <c r="N95">
        <f t="shared" si="59"/>
        <v>0</v>
      </c>
      <c r="O95" t="str">
        <f t="shared" si="60"/>
        <v/>
      </c>
      <c r="P95" t="str">
        <f t="shared" si="61"/>
        <v/>
      </c>
      <c r="T95" s="605">
        <v>27</v>
      </c>
      <c r="U95">
        <f t="shared" si="49"/>
        <v>0</v>
      </c>
      <c r="V95">
        <f>IF(U95=0,0,1+MAX(V$69:V94))</f>
        <v>0</v>
      </c>
      <c r="W95">
        <f t="shared" si="62"/>
        <v>0</v>
      </c>
      <c r="X95" t="str">
        <f t="shared" si="63"/>
        <v/>
      </c>
      <c r="Y95" t="str">
        <f t="shared" si="64"/>
        <v/>
      </c>
      <c r="AC95" s="605">
        <v>27</v>
      </c>
      <c r="AD95">
        <f t="shared" si="50"/>
        <v>0</v>
      </c>
      <c r="AE95">
        <f>IF(AD95=0,0,1+MAX(AE$69:AE94))</f>
        <v>0</v>
      </c>
      <c r="AF95">
        <f t="shared" si="65"/>
        <v>0</v>
      </c>
      <c r="AG95" t="str">
        <f t="shared" si="66"/>
        <v/>
      </c>
      <c r="AH95" t="str">
        <f t="shared" si="67"/>
        <v/>
      </c>
      <c r="AL95" s="605">
        <v>27</v>
      </c>
      <c r="AM95">
        <f t="shared" si="51"/>
        <v>0</v>
      </c>
      <c r="AN95">
        <f>IF(AM95=0,0,1+MAX(AN$69:AN94))</f>
        <v>0</v>
      </c>
      <c r="AO95">
        <f t="shared" si="68"/>
        <v>0</v>
      </c>
      <c r="AP95" t="str">
        <f t="shared" si="69"/>
        <v/>
      </c>
      <c r="AQ95" t="str">
        <f t="shared" si="70"/>
        <v/>
      </c>
      <c r="AU95" s="605">
        <v>27</v>
      </c>
      <c r="AV95">
        <f t="shared" si="52"/>
        <v>0</v>
      </c>
      <c r="AW95">
        <f>IF(AV95=0,0,1+MAX(AW$69:AW94))</f>
        <v>0</v>
      </c>
      <c r="AX95">
        <f t="shared" si="71"/>
        <v>0</v>
      </c>
      <c r="AY95" t="str">
        <f t="shared" si="72"/>
        <v/>
      </c>
      <c r="AZ95" t="str">
        <f t="shared" si="73"/>
        <v/>
      </c>
      <c r="BD95" s="605">
        <v>27</v>
      </c>
      <c r="BE95">
        <f t="shared" si="53"/>
        <v>0</v>
      </c>
      <c r="BF95">
        <f>IF(BE95=0,0,1+MAX(BF$69:BF94))</f>
        <v>0</v>
      </c>
      <c r="BG95">
        <f t="shared" si="74"/>
        <v>0</v>
      </c>
      <c r="BH95" t="str">
        <f t="shared" si="75"/>
        <v/>
      </c>
      <c r="BI95" t="str">
        <f t="shared" si="76"/>
        <v/>
      </c>
      <c r="BM95" s="605">
        <v>27</v>
      </c>
      <c r="BN95">
        <f t="shared" si="54"/>
        <v>0</v>
      </c>
      <c r="BO95">
        <f>IF(BN95=0,0,1+MAX(BO$69:BO94))</f>
        <v>0</v>
      </c>
      <c r="BP95">
        <f t="shared" si="77"/>
        <v>0</v>
      </c>
      <c r="BQ95" t="str">
        <f t="shared" si="78"/>
        <v/>
      </c>
      <c r="BR95" t="str">
        <f t="shared" si="79"/>
        <v/>
      </c>
      <c r="BV95" s="609">
        <v>27</v>
      </c>
      <c r="BW95">
        <f t="shared" si="55"/>
        <v>0</v>
      </c>
      <c r="BX95">
        <f>IF(BW95=0,0,1+MAX(BX$69:BX94))</f>
        <v>0</v>
      </c>
      <c r="BY95">
        <f t="shared" si="80"/>
        <v>0</v>
      </c>
      <c r="BZ95" t="str">
        <f t="shared" si="81"/>
        <v/>
      </c>
      <c r="CA95" t="str">
        <f t="shared" si="82"/>
        <v/>
      </c>
    </row>
    <row r="96" spans="2:79" x14ac:dyDescent="0.25">
      <c r="B96" s="591">
        <v>28</v>
      </c>
      <c r="C96">
        <f t="shared" si="47"/>
        <v>0</v>
      </c>
      <c r="D96">
        <f>IF(C96=0,0,1+MAX($D$69:D95))</f>
        <v>0</v>
      </c>
      <c r="E96">
        <f t="shared" si="56"/>
        <v>0</v>
      </c>
      <c r="F96" t="str">
        <f t="shared" si="57"/>
        <v/>
      </c>
      <c r="G96" t="str">
        <f t="shared" si="58"/>
        <v/>
      </c>
      <c r="K96" s="605">
        <v>28</v>
      </c>
      <c r="L96">
        <f t="shared" si="48"/>
        <v>0</v>
      </c>
      <c r="M96">
        <f>IF(L96=0,0,1+MAX(M$69:M95))</f>
        <v>0</v>
      </c>
      <c r="N96">
        <f t="shared" si="59"/>
        <v>0</v>
      </c>
      <c r="O96" t="str">
        <f t="shared" si="60"/>
        <v/>
      </c>
      <c r="P96" t="str">
        <f t="shared" si="61"/>
        <v/>
      </c>
      <c r="T96" s="605">
        <v>28</v>
      </c>
      <c r="U96">
        <f t="shared" si="49"/>
        <v>0</v>
      </c>
      <c r="V96">
        <f>IF(U96=0,0,1+MAX(V$69:V95))</f>
        <v>0</v>
      </c>
      <c r="W96">
        <f t="shared" si="62"/>
        <v>0</v>
      </c>
      <c r="X96" t="str">
        <f t="shared" si="63"/>
        <v/>
      </c>
      <c r="Y96" t="str">
        <f t="shared" si="64"/>
        <v/>
      </c>
      <c r="AC96" s="605">
        <v>28</v>
      </c>
      <c r="AD96">
        <f t="shared" si="50"/>
        <v>0</v>
      </c>
      <c r="AE96">
        <f>IF(AD96=0,0,1+MAX(AE$69:AE95))</f>
        <v>0</v>
      </c>
      <c r="AF96">
        <f t="shared" si="65"/>
        <v>0</v>
      </c>
      <c r="AG96" t="str">
        <f t="shared" si="66"/>
        <v/>
      </c>
      <c r="AH96" t="str">
        <f t="shared" si="67"/>
        <v/>
      </c>
      <c r="AL96" s="605">
        <v>28</v>
      </c>
      <c r="AM96">
        <f t="shared" si="51"/>
        <v>0</v>
      </c>
      <c r="AN96">
        <f>IF(AM96=0,0,1+MAX(AN$69:AN95))</f>
        <v>0</v>
      </c>
      <c r="AO96">
        <f t="shared" si="68"/>
        <v>0</v>
      </c>
      <c r="AP96" t="str">
        <f t="shared" si="69"/>
        <v/>
      </c>
      <c r="AQ96" t="str">
        <f t="shared" si="70"/>
        <v/>
      </c>
      <c r="AU96" s="605">
        <v>28</v>
      </c>
      <c r="AV96">
        <f t="shared" si="52"/>
        <v>0</v>
      </c>
      <c r="AW96">
        <f>IF(AV96=0,0,1+MAX(AW$69:AW95))</f>
        <v>0</v>
      </c>
      <c r="AX96">
        <f t="shared" si="71"/>
        <v>0</v>
      </c>
      <c r="AY96" t="str">
        <f t="shared" si="72"/>
        <v/>
      </c>
      <c r="AZ96" t="str">
        <f t="shared" si="73"/>
        <v/>
      </c>
      <c r="BD96" s="605">
        <v>28</v>
      </c>
      <c r="BE96">
        <f t="shared" si="53"/>
        <v>0</v>
      </c>
      <c r="BF96">
        <f>IF(BE96=0,0,1+MAX(BF$69:BF95))</f>
        <v>0</v>
      </c>
      <c r="BG96">
        <f t="shared" si="74"/>
        <v>0</v>
      </c>
      <c r="BH96" t="str">
        <f t="shared" si="75"/>
        <v/>
      </c>
      <c r="BI96" t="str">
        <f t="shared" si="76"/>
        <v/>
      </c>
      <c r="BM96" s="605">
        <v>28</v>
      </c>
      <c r="BN96">
        <f t="shared" si="54"/>
        <v>0</v>
      </c>
      <c r="BO96">
        <f>IF(BN96=0,0,1+MAX(BO$69:BO95))</f>
        <v>0</v>
      </c>
      <c r="BP96">
        <f t="shared" si="77"/>
        <v>0</v>
      </c>
      <c r="BQ96" t="str">
        <f t="shared" si="78"/>
        <v/>
      </c>
      <c r="BR96" t="str">
        <f t="shared" si="79"/>
        <v/>
      </c>
      <c r="BV96" s="609">
        <v>28</v>
      </c>
      <c r="BW96">
        <f t="shared" si="55"/>
        <v>0</v>
      </c>
      <c r="BX96">
        <f>IF(BW96=0,0,1+MAX(BX$69:BX95))</f>
        <v>0</v>
      </c>
      <c r="BY96">
        <f t="shared" si="80"/>
        <v>0</v>
      </c>
      <c r="BZ96" t="str">
        <f t="shared" si="81"/>
        <v/>
      </c>
      <c r="CA96" t="str">
        <f t="shared" si="82"/>
        <v/>
      </c>
    </row>
    <row r="97" spans="2:79" x14ac:dyDescent="0.25">
      <c r="B97" s="591">
        <v>29</v>
      </c>
      <c r="C97">
        <f t="shared" si="47"/>
        <v>0</v>
      </c>
      <c r="D97">
        <f>IF(C97=0,0,1+MAX($D$69:D96))</f>
        <v>0</v>
      </c>
      <c r="E97">
        <f t="shared" si="56"/>
        <v>0</v>
      </c>
      <c r="F97" t="str">
        <f t="shared" si="57"/>
        <v/>
      </c>
      <c r="G97" t="str">
        <f t="shared" si="58"/>
        <v/>
      </c>
      <c r="K97" s="605">
        <v>29</v>
      </c>
      <c r="L97">
        <f t="shared" si="48"/>
        <v>0</v>
      </c>
      <c r="M97">
        <f>IF(L97=0,0,1+MAX(M$69:M96))</f>
        <v>0</v>
      </c>
      <c r="N97">
        <f t="shared" si="59"/>
        <v>0</v>
      </c>
      <c r="O97" t="str">
        <f t="shared" si="60"/>
        <v/>
      </c>
      <c r="P97" t="str">
        <f t="shared" si="61"/>
        <v/>
      </c>
      <c r="T97" s="605">
        <v>29</v>
      </c>
      <c r="U97">
        <f t="shared" si="49"/>
        <v>0</v>
      </c>
      <c r="V97">
        <f>IF(U97=0,0,1+MAX(V$69:V96))</f>
        <v>0</v>
      </c>
      <c r="W97">
        <f t="shared" si="62"/>
        <v>0</v>
      </c>
      <c r="X97" t="str">
        <f t="shared" si="63"/>
        <v/>
      </c>
      <c r="Y97" t="str">
        <f t="shared" si="64"/>
        <v/>
      </c>
      <c r="AC97" s="605">
        <v>29</v>
      </c>
      <c r="AD97">
        <f t="shared" si="50"/>
        <v>0</v>
      </c>
      <c r="AE97">
        <f>IF(AD97=0,0,1+MAX(AE$69:AE96))</f>
        <v>0</v>
      </c>
      <c r="AF97">
        <f t="shared" si="65"/>
        <v>0</v>
      </c>
      <c r="AG97" t="str">
        <f t="shared" si="66"/>
        <v/>
      </c>
      <c r="AH97" t="str">
        <f t="shared" si="67"/>
        <v/>
      </c>
      <c r="AL97" s="605">
        <v>29</v>
      </c>
      <c r="AM97">
        <f t="shared" si="51"/>
        <v>0</v>
      </c>
      <c r="AN97">
        <f>IF(AM97=0,0,1+MAX(AN$69:AN96))</f>
        <v>0</v>
      </c>
      <c r="AO97">
        <f t="shared" si="68"/>
        <v>0</v>
      </c>
      <c r="AP97" t="str">
        <f t="shared" si="69"/>
        <v/>
      </c>
      <c r="AQ97" t="str">
        <f t="shared" si="70"/>
        <v/>
      </c>
      <c r="AU97" s="605">
        <v>29</v>
      </c>
      <c r="AV97">
        <f t="shared" si="52"/>
        <v>0</v>
      </c>
      <c r="AW97">
        <f>IF(AV97=0,0,1+MAX(AW$69:AW96))</f>
        <v>0</v>
      </c>
      <c r="AX97">
        <f t="shared" si="71"/>
        <v>0</v>
      </c>
      <c r="AY97" t="str">
        <f t="shared" si="72"/>
        <v/>
      </c>
      <c r="AZ97" t="str">
        <f t="shared" si="73"/>
        <v/>
      </c>
      <c r="BD97" s="605">
        <v>29</v>
      </c>
      <c r="BE97">
        <f t="shared" si="53"/>
        <v>0</v>
      </c>
      <c r="BF97">
        <f>IF(BE97=0,0,1+MAX(BF$69:BF96))</f>
        <v>0</v>
      </c>
      <c r="BG97">
        <f t="shared" si="74"/>
        <v>0</v>
      </c>
      <c r="BH97" t="str">
        <f t="shared" si="75"/>
        <v/>
      </c>
      <c r="BI97" t="str">
        <f t="shared" si="76"/>
        <v/>
      </c>
      <c r="BM97" s="605">
        <v>29</v>
      </c>
      <c r="BN97">
        <f t="shared" si="54"/>
        <v>0</v>
      </c>
      <c r="BO97">
        <f>IF(BN97=0,0,1+MAX(BO$69:BO96))</f>
        <v>0</v>
      </c>
      <c r="BP97">
        <f t="shared" si="77"/>
        <v>0</v>
      </c>
      <c r="BQ97" t="str">
        <f t="shared" si="78"/>
        <v/>
      </c>
      <c r="BR97" t="str">
        <f t="shared" si="79"/>
        <v/>
      </c>
      <c r="BV97" s="609">
        <v>29</v>
      </c>
      <c r="BW97">
        <f t="shared" si="55"/>
        <v>0</v>
      </c>
      <c r="BX97">
        <f>IF(BW97=0,0,1+MAX(BX$69:BX96))</f>
        <v>0</v>
      </c>
      <c r="BY97">
        <f t="shared" si="80"/>
        <v>0</v>
      </c>
      <c r="BZ97" t="str">
        <f t="shared" si="81"/>
        <v/>
      </c>
      <c r="CA97" t="str">
        <f t="shared" si="82"/>
        <v/>
      </c>
    </row>
    <row r="98" spans="2:79" x14ac:dyDescent="0.25">
      <c r="B98" s="591">
        <v>30</v>
      </c>
      <c r="C98">
        <f t="shared" si="47"/>
        <v>0</v>
      </c>
      <c r="D98">
        <f>IF(C98=0,0,1+MAX($D$69:D97))</f>
        <v>0</v>
      </c>
      <c r="E98">
        <f t="shared" si="56"/>
        <v>0</v>
      </c>
      <c r="F98" t="str">
        <f t="shared" si="57"/>
        <v/>
      </c>
      <c r="G98" t="str">
        <f t="shared" si="58"/>
        <v/>
      </c>
      <c r="K98" s="605">
        <v>30</v>
      </c>
      <c r="L98">
        <f t="shared" si="48"/>
        <v>0</v>
      </c>
      <c r="M98">
        <f>IF(L98=0,0,1+MAX(M$69:M97))</f>
        <v>0</v>
      </c>
      <c r="N98">
        <f t="shared" si="59"/>
        <v>0</v>
      </c>
      <c r="O98" t="str">
        <f t="shared" si="60"/>
        <v/>
      </c>
      <c r="P98" t="str">
        <f t="shared" si="61"/>
        <v/>
      </c>
      <c r="T98" s="605">
        <v>30</v>
      </c>
      <c r="U98">
        <f t="shared" si="49"/>
        <v>0</v>
      </c>
      <c r="V98">
        <f>IF(U98=0,0,1+MAX(V$69:V97))</f>
        <v>0</v>
      </c>
      <c r="W98">
        <f t="shared" si="62"/>
        <v>0</v>
      </c>
      <c r="X98" t="str">
        <f t="shared" si="63"/>
        <v/>
      </c>
      <c r="Y98" t="str">
        <f t="shared" si="64"/>
        <v/>
      </c>
      <c r="AC98" s="605">
        <v>30</v>
      </c>
      <c r="AD98">
        <f t="shared" si="50"/>
        <v>0</v>
      </c>
      <c r="AE98">
        <f>IF(AD98=0,0,1+MAX(AE$69:AE97))</f>
        <v>0</v>
      </c>
      <c r="AF98">
        <f t="shared" si="65"/>
        <v>0</v>
      </c>
      <c r="AG98" t="str">
        <f t="shared" si="66"/>
        <v/>
      </c>
      <c r="AH98" t="str">
        <f t="shared" si="67"/>
        <v/>
      </c>
      <c r="AL98" s="605">
        <v>30</v>
      </c>
      <c r="AM98">
        <f t="shared" si="51"/>
        <v>0</v>
      </c>
      <c r="AN98">
        <f>IF(AM98=0,0,1+MAX(AN$69:AN97))</f>
        <v>0</v>
      </c>
      <c r="AO98">
        <f t="shared" si="68"/>
        <v>0</v>
      </c>
      <c r="AP98" t="str">
        <f t="shared" si="69"/>
        <v/>
      </c>
      <c r="AQ98" t="str">
        <f t="shared" si="70"/>
        <v/>
      </c>
      <c r="AU98" s="605">
        <v>30</v>
      </c>
      <c r="AV98">
        <f t="shared" si="52"/>
        <v>0</v>
      </c>
      <c r="AW98">
        <f>IF(AV98=0,0,1+MAX(AW$69:AW97))</f>
        <v>0</v>
      </c>
      <c r="AX98">
        <f t="shared" si="71"/>
        <v>0</v>
      </c>
      <c r="AY98" t="str">
        <f t="shared" si="72"/>
        <v/>
      </c>
      <c r="AZ98" t="str">
        <f t="shared" si="73"/>
        <v/>
      </c>
      <c r="BD98" s="605">
        <v>30</v>
      </c>
      <c r="BE98">
        <f t="shared" si="53"/>
        <v>0</v>
      </c>
      <c r="BF98">
        <f>IF(BE98=0,0,1+MAX(BF$69:BF97))</f>
        <v>0</v>
      </c>
      <c r="BG98">
        <f t="shared" si="74"/>
        <v>0</v>
      </c>
      <c r="BH98" t="str">
        <f t="shared" si="75"/>
        <v/>
      </c>
      <c r="BI98" t="str">
        <f t="shared" si="76"/>
        <v/>
      </c>
      <c r="BM98" s="605">
        <v>30</v>
      </c>
      <c r="BN98">
        <f t="shared" si="54"/>
        <v>0</v>
      </c>
      <c r="BO98">
        <f>IF(BN98=0,0,1+MAX(BO$69:BO97))</f>
        <v>0</v>
      </c>
      <c r="BP98">
        <f t="shared" si="77"/>
        <v>0</v>
      </c>
      <c r="BQ98" t="str">
        <f t="shared" si="78"/>
        <v/>
      </c>
      <c r="BR98" t="str">
        <f t="shared" si="79"/>
        <v/>
      </c>
      <c r="BV98" s="609">
        <v>30</v>
      </c>
      <c r="BW98">
        <f t="shared" si="55"/>
        <v>0</v>
      </c>
      <c r="BX98">
        <f>IF(BW98=0,0,1+MAX(BX$69:BX97))</f>
        <v>0</v>
      </c>
      <c r="BY98">
        <f t="shared" si="80"/>
        <v>0</v>
      </c>
      <c r="BZ98" t="str">
        <f t="shared" si="81"/>
        <v/>
      </c>
      <c r="CA98" t="str">
        <f t="shared" si="82"/>
        <v/>
      </c>
    </row>
  </sheetData>
  <mergeCells count="301">
    <mergeCell ref="BW35:CA35"/>
    <mergeCell ref="B37:H66"/>
    <mergeCell ref="BN34:BR34"/>
    <mergeCell ref="BW34:CA34"/>
    <mergeCell ref="C35:G35"/>
    <mergeCell ref="L35:P35"/>
    <mergeCell ref="U35:Y35"/>
    <mergeCell ref="AD35:AH35"/>
    <mergeCell ref="AM35:AQ35"/>
    <mergeCell ref="AV35:AZ35"/>
    <mergeCell ref="BE35:BI35"/>
    <mergeCell ref="BN35:BR35"/>
    <mergeCell ref="BE33:BI33"/>
    <mergeCell ref="BN33:BR33"/>
    <mergeCell ref="BW33:CA33"/>
    <mergeCell ref="C34:G34"/>
    <mergeCell ref="L34:P34"/>
    <mergeCell ref="U34:Y34"/>
    <mergeCell ref="AD34:AH34"/>
    <mergeCell ref="AM34:AQ34"/>
    <mergeCell ref="AV34:AZ34"/>
    <mergeCell ref="BE34:BI34"/>
    <mergeCell ref="C33:G33"/>
    <mergeCell ref="L33:P33"/>
    <mergeCell ref="U33:Y33"/>
    <mergeCell ref="AD33:AH33"/>
    <mergeCell ref="AM33:AQ33"/>
    <mergeCell ref="AV33:AZ33"/>
    <mergeCell ref="C32:G32"/>
    <mergeCell ref="L32:P32"/>
    <mergeCell ref="U32:Y32"/>
    <mergeCell ref="AD32:AH32"/>
    <mergeCell ref="AM32:AQ32"/>
    <mergeCell ref="AV32:AZ32"/>
    <mergeCell ref="BE32:BI32"/>
    <mergeCell ref="BN32:BR32"/>
    <mergeCell ref="BW32:CA32"/>
    <mergeCell ref="C31:G31"/>
    <mergeCell ref="L31:P31"/>
    <mergeCell ref="U31:Y31"/>
    <mergeCell ref="AD31:AH31"/>
    <mergeCell ref="AM31:AQ31"/>
    <mergeCell ref="AV31:AZ31"/>
    <mergeCell ref="BE31:BI31"/>
    <mergeCell ref="BN31:BR31"/>
    <mergeCell ref="BW31:CA31"/>
    <mergeCell ref="BE29:BI29"/>
    <mergeCell ref="BN29:BR29"/>
    <mergeCell ref="BW29:CA29"/>
    <mergeCell ref="C30:G30"/>
    <mergeCell ref="L30:P30"/>
    <mergeCell ref="U30:Y30"/>
    <mergeCell ref="AD30:AH30"/>
    <mergeCell ref="AM30:AQ30"/>
    <mergeCell ref="AV30:AZ30"/>
    <mergeCell ref="BE30:BI30"/>
    <mergeCell ref="C29:G29"/>
    <mergeCell ref="L29:P29"/>
    <mergeCell ref="U29:Y29"/>
    <mergeCell ref="AD29:AH29"/>
    <mergeCell ref="AM29:AQ29"/>
    <mergeCell ref="AV29:AZ29"/>
    <mergeCell ref="BN30:BR30"/>
    <mergeCell ref="BW30:CA30"/>
    <mergeCell ref="C28:G28"/>
    <mergeCell ref="L28:P28"/>
    <mergeCell ref="U28:Y28"/>
    <mergeCell ref="AD28:AH28"/>
    <mergeCell ref="AM28:AQ28"/>
    <mergeCell ref="AV28:AZ28"/>
    <mergeCell ref="BE28:BI28"/>
    <mergeCell ref="BN28:BR28"/>
    <mergeCell ref="BW28:CA28"/>
    <mergeCell ref="C27:G27"/>
    <mergeCell ref="L27:P27"/>
    <mergeCell ref="U27:Y27"/>
    <mergeCell ref="AD27:AH27"/>
    <mergeCell ref="AM27:AQ27"/>
    <mergeCell ref="AV27:AZ27"/>
    <mergeCell ref="BE27:BI27"/>
    <mergeCell ref="BN27:BR27"/>
    <mergeCell ref="BW27:CA27"/>
    <mergeCell ref="BE25:BI25"/>
    <mergeCell ref="BN25:BR25"/>
    <mergeCell ref="BW25:CA25"/>
    <mergeCell ref="C26:G26"/>
    <mergeCell ref="L26:P26"/>
    <mergeCell ref="U26:Y26"/>
    <mergeCell ref="AD26:AH26"/>
    <mergeCell ref="AM26:AQ26"/>
    <mergeCell ref="AV26:AZ26"/>
    <mergeCell ref="BE26:BI26"/>
    <mergeCell ref="C25:G25"/>
    <mergeCell ref="L25:P25"/>
    <mergeCell ref="U25:Y25"/>
    <mergeCell ref="AD25:AH25"/>
    <mergeCell ref="AM25:AQ25"/>
    <mergeCell ref="AV25:AZ25"/>
    <mergeCell ref="BN26:BR26"/>
    <mergeCell ref="BW26:CA26"/>
    <mergeCell ref="C24:G24"/>
    <mergeCell ref="L24:P24"/>
    <mergeCell ref="U24:Y24"/>
    <mergeCell ref="AD24:AH24"/>
    <mergeCell ref="AM24:AQ24"/>
    <mergeCell ref="AV24:AZ24"/>
    <mergeCell ref="BE24:BI24"/>
    <mergeCell ref="BN24:BR24"/>
    <mergeCell ref="BW24:CA24"/>
    <mergeCell ref="C23:G23"/>
    <mergeCell ref="L23:P23"/>
    <mergeCell ref="U23:Y23"/>
    <mergeCell ref="AD23:AH23"/>
    <mergeCell ref="AM23:AQ23"/>
    <mergeCell ref="AV23:AZ23"/>
    <mergeCell ref="BE23:BI23"/>
    <mergeCell ref="BN23:BR23"/>
    <mergeCell ref="BW23:CA23"/>
    <mergeCell ref="BE21:BI21"/>
    <mergeCell ref="BN21:BR21"/>
    <mergeCell ref="BW21:CA21"/>
    <mergeCell ref="C22:G22"/>
    <mergeCell ref="L22:P22"/>
    <mergeCell ref="U22:Y22"/>
    <mergeCell ref="AD22:AH22"/>
    <mergeCell ref="AM22:AQ22"/>
    <mergeCell ref="AV22:AZ22"/>
    <mergeCell ref="BE22:BI22"/>
    <mergeCell ref="C21:G21"/>
    <mergeCell ref="L21:P21"/>
    <mergeCell ref="U21:Y21"/>
    <mergeCell ref="AD21:AH21"/>
    <mergeCell ref="AM21:AQ21"/>
    <mergeCell ref="AV21:AZ21"/>
    <mergeCell ref="BN22:BR22"/>
    <mergeCell ref="BW22:CA22"/>
    <mergeCell ref="C20:G20"/>
    <mergeCell ref="L20:P20"/>
    <mergeCell ref="U20:Y20"/>
    <mergeCell ref="AD20:AH20"/>
    <mergeCell ref="AM20:AQ20"/>
    <mergeCell ref="AV20:AZ20"/>
    <mergeCell ref="BE20:BI20"/>
    <mergeCell ref="BN20:BR20"/>
    <mergeCell ref="BW20:CA20"/>
    <mergeCell ref="C19:G19"/>
    <mergeCell ref="L19:P19"/>
    <mergeCell ref="U19:Y19"/>
    <mergeCell ref="AD19:AH19"/>
    <mergeCell ref="AM19:AQ19"/>
    <mergeCell ref="AV19:AZ19"/>
    <mergeCell ref="BE19:BI19"/>
    <mergeCell ref="BN19:BR19"/>
    <mergeCell ref="BW19:CA19"/>
    <mergeCell ref="BE17:BI17"/>
    <mergeCell ref="BN17:BR17"/>
    <mergeCell ref="BW17:CA17"/>
    <mergeCell ref="C18:G18"/>
    <mergeCell ref="L18:P18"/>
    <mergeCell ref="U18:Y18"/>
    <mergeCell ref="AD18:AH18"/>
    <mergeCell ref="AM18:AQ18"/>
    <mergeCell ref="AV18:AZ18"/>
    <mergeCell ref="BE18:BI18"/>
    <mergeCell ref="C17:G17"/>
    <mergeCell ref="L17:P17"/>
    <mergeCell ref="U17:Y17"/>
    <mergeCell ref="AD17:AH17"/>
    <mergeCell ref="AM17:AQ17"/>
    <mergeCell ref="AV17:AZ17"/>
    <mergeCell ref="BN18:BR18"/>
    <mergeCell ref="BW18:CA18"/>
    <mergeCell ref="C16:G16"/>
    <mergeCell ref="L16:P16"/>
    <mergeCell ref="U16:Y16"/>
    <mergeCell ref="AD16:AH16"/>
    <mergeCell ref="AM16:AQ16"/>
    <mergeCell ref="AV16:AZ16"/>
    <mergeCell ref="BE16:BI16"/>
    <mergeCell ref="BN16:BR16"/>
    <mergeCell ref="BW16:CA16"/>
    <mergeCell ref="C15:G15"/>
    <mergeCell ref="L15:P15"/>
    <mergeCell ref="U15:Y15"/>
    <mergeCell ref="AD15:AH15"/>
    <mergeCell ref="AM15:AQ15"/>
    <mergeCell ref="AV15:AZ15"/>
    <mergeCell ref="BE15:BI15"/>
    <mergeCell ref="BN15:BR15"/>
    <mergeCell ref="BW15:CA15"/>
    <mergeCell ref="BE13:BI13"/>
    <mergeCell ref="BN13:BR13"/>
    <mergeCell ref="BW13:CA13"/>
    <mergeCell ref="C14:G14"/>
    <mergeCell ref="L14:P14"/>
    <mergeCell ref="U14:Y14"/>
    <mergeCell ref="AD14:AH14"/>
    <mergeCell ref="AM14:AQ14"/>
    <mergeCell ref="AV14:AZ14"/>
    <mergeCell ref="BE14:BI14"/>
    <mergeCell ref="C13:G13"/>
    <mergeCell ref="L13:P13"/>
    <mergeCell ref="U13:Y13"/>
    <mergeCell ref="AD13:AH13"/>
    <mergeCell ref="AM13:AQ13"/>
    <mergeCell ref="AV13:AZ13"/>
    <mergeCell ref="BN14:BR14"/>
    <mergeCell ref="BW14:CA14"/>
    <mergeCell ref="C12:G12"/>
    <mergeCell ref="L12:P12"/>
    <mergeCell ref="U12:Y12"/>
    <mergeCell ref="AD12:AH12"/>
    <mergeCell ref="AM12:AQ12"/>
    <mergeCell ref="AV12:AZ12"/>
    <mergeCell ref="BE12:BI12"/>
    <mergeCell ref="BN12:BR12"/>
    <mergeCell ref="BW12:CA12"/>
    <mergeCell ref="C11:G11"/>
    <mergeCell ref="L11:P11"/>
    <mergeCell ref="U11:Y11"/>
    <mergeCell ref="AD11:AH11"/>
    <mergeCell ref="AM11:AQ11"/>
    <mergeCell ref="AV11:AZ11"/>
    <mergeCell ref="BE11:BI11"/>
    <mergeCell ref="BN11:BR11"/>
    <mergeCell ref="BW11:CA11"/>
    <mergeCell ref="BE9:BI9"/>
    <mergeCell ref="BN9:BR9"/>
    <mergeCell ref="BW9:CA9"/>
    <mergeCell ref="C10:G10"/>
    <mergeCell ref="L10:P10"/>
    <mergeCell ref="U10:Y10"/>
    <mergeCell ref="AD10:AH10"/>
    <mergeCell ref="AM10:AQ10"/>
    <mergeCell ref="AV10:AZ10"/>
    <mergeCell ref="BE10:BI10"/>
    <mergeCell ref="C9:G9"/>
    <mergeCell ref="L9:P9"/>
    <mergeCell ref="U9:Y9"/>
    <mergeCell ref="AD9:AH9"/>
    <mergeCell ref="AM9:AQ9"/>
    <mergeCell ref="AV9:AZ9"/>
    <mergeCell ref="BN10:BR10"/>
    <mergeCell ref="BW10:CA10"/>
    <mergeCell ref="C8:G8"/>
    <mergeCell ref="L8:P8"/>
    <mergeCell ref="U8:Y8"/>
    <mergeCell ref="AD8:AH8"/>
    <mergeCell ref="AM8:AQ8"/>
    <mergeCell ref="AV8:AZ8"/>
    <mergeCell ref="BE8:BI8"/>
    <mergeCell ref="BN8:BR8"/>
    <mergeCell ref="BW8:CA8"/>
    <mergeCell ref="C7:G7"/>
    <mergeCell ref="L7:P7"/>
    <mergeCell ref="U7:Y7"/>
    <mergeCell ref="AD7:AH7"/>
    <mergeCell ref="AM7:AQ7"/>
    <mergeCell ref="AV7:AZ7"/>
    <mergeCell ref="BE7:BI7"/>
    <mergeCell ref="BN7:BR7"/>
    <mergeCell ref="BW7:CA7"/>
    <mergeCell ref="CX5:CY5"/>
    <mergeCell ref="CZ5:DA5"/>
    <mergeCell ref="DB5:DC5"/>
    <mergeCell ref="C6:G6"/>
    <mergeCell ref="L6:P6"/>
    <mergeCell ref="U6:Y6"/>
    <mergeCell ref="AD6:AH6"/>
    <mergeCell ref="AM6:AQ6"/>
    <mergeCell ref="AV6:AZ6"/>
    <mergeCell ref="BE6:BI6"/>
    <mergeCell ref="CL5:CM5"/>
    <mergeCell ref="CN5:CO5"/>
    <mergeCell ref="CP5:CQ5"/>
    <mergeCell ref="CR5:CS5"/>
    <mergeCell ref="CT5:CU5"/>
    <mergeCell ref="CV5:CW5"/>
    <mergeCell ref="AC5:AH5"/>
    <mergeCell ref="AL5:AQ5"/>
    <mergeCell ref="BN6:BR6"/>
    <mergeCell ref="BW6:CA6"/>
    <mergeCell ref="AU5:AZ5"/>
    <mergeCell ref="BD5:BI5"/>
    <mergeCell ref="BM5:BR5"/>
    <mergeCell ref="BV5:CA5"/>
    <mergeCell ref="B1:F1"/>
    <mergeCell ref="G1:K1"/>
    <mergeCell ref="L1:P1"/>
    <mergeCell ref="Q1:U1"/>
    <mergeCell ref="E2:AK2"/>
    <mergeCell ref="S3:U3"/>
    <mergeCell ref="B5:G5"/>
    <mergeCell ref="T5:Y5"/>
    <mergeCell ref="B2:D3"/>
    <mergeCell ref="E3:F3"/>
    <mergeCell ref="G3:H3"/>
    <mergeCell ref="J3:L3"/>
    <mergeCell ref="M3:O3"/>
    <mergeCell ref="P3:Q3"/>
    <mergeCell ref="K5:P5"/>
  </mergeCells>
  <dataValidations count="6">
    <dataValidation type="list" allowBlank="1" showInputMessage="1" showErrorMessage="1" sqref="CB6:CB35" xr:uid="{00000000-0002-0000-1000-000000000000}">
      <formula1>$CH$12</formula1>
    </dataValidation>
    <dataValidation type="list" allowBlank="1" showInputMessage="1" showErrorMessage="1" sqref="AI6:AJ35" xr:uid="{00000000-0002-0000-1000-000001000000}">
      <formula1>$CH$7</formula1>
    </dataValidation>
    <dataValidation type="list" allowBlank="1" showInputMessage="1" showErrorMessage="1" sqref="AR6:AS35" xr:uid="{00000000-0002-0000-1000-000002000000}">
      <formula1>$CH$8</formula1>
    </dataValidation>
    <dataValidation type="list" allowBlank="1" showInputMessage="1" showErrorMessage="1" sqref="BA6:BB35" xr:uid="{00000000-0002-0000-1000-000003000000}">
      <formula1>$CH$9</formula1>
    </dataValidation>
    <dataValidation type="list" allowBlank="1" showInputMessage="1" showErrorMessage="1" sqref="BJ6:BK35" xr:uid="{00000000-0002-0000-1000-000004000000}">
      <formula1>$CH$10</formula1>
    </dataValidation>
    <dataValidation type="list" allowBlank="1" showInputMessage="1" showErrorMessage="1" sqref="BS6:BT35" xr:uid="{00000000-0002-0000-1000-000005000000}">
      <formula1>$CH$11</formula1>
    </dataValidation>
  </dataValidations>
  <hyperlinks>
    <hyperlink ref="B1:D1" location="LinkSpellsKnown" display="Back to Spellcasting" xr:uid="{00000000-0004-0000-1000-000000000000}"/>
    <hyperlink ref="G1:I1" location="LinkSpellsKnown" display="Back to Spellcasting" xr:uid="{00000000-0004-0000-1000-000001000000}"/>
    <hyperlink ref="G1:K1" location="SpellsKnownSorcerer" display="to Sorcerer Spells Known" xr:uid="{00000000-0004-0000-1000-000002000000}"/>
    <hyperlink ref="L1:N1" location="LinkSpellsKnown" display="Back to Spellcasting" xr:uid="{00000000-0004-0000-1000-000003000000}"/>
    <hyperlink ref="L1:P1" location="SheetSpellBook" display="to Wizard Spells Known" xr:uid="{00000000-0004-0000-1000-000004000000}"/>
    <hyperlink ref="Q1:S1" location="LinkSpellsKnown" display="Back to Spellcasting" xr:uid="{00000000-0004-0000-1000-000005000000}"/>
    <hyperlink ref="Q1:U1" location="SpellCastingIndex" display="to Spellcasting Index" xr:uid="{00000000-0004-0000-1000-000006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41">
    <tabColor theme="4" tint="0.39997558519241921"/>
  </sheetPr>
  <dimension ref="A1:DC98"/>
  <sheetViews>
    <sheetView workbookViewId="0">
      <selection activeCell="B5" sqref="B5:G35"/>
    </sheetView>
  </sheetViews>
  <sheetFormatPr defaultColWidth="4.7109375" defaultRowHeight="15" x14ac:dyDescent="0.25"/>
  <sheetData>
    <row r="1" spans="1:107" ht="17.25" thickTop="1" thickBot="1" x14ac:dyDescent="0.3">
      <c r="A1" s="120"/>
      <c r="B1" s="1049" t="s">
        <v>6626</v>
      </c>
      <c r="C1" s="1049"/>
      <c r="D1" s="1049"/>
      <c r="E1" s="1049"/>
      <c r="F1" s="1049"/>
      <c r="G1" s="1049" t="s">
        <v>6650</v>
      </c>
      <c r="H1" s="1049"/>
      <c r="I1" s="1049"/>
      <c r="J1" s="1049"/>
      <c r="K1" s="1049"/>
      <c r="L1" s="1049" t="s">
        <v>6648</v>
      </c>
      <c r="M1" s="1049"/>
      <c r="N1" s="1049"/>
      <c r="O1" s="1049"/>
      <c r="P1" s="1049"/>
      <c r="Q1" s="1049" t="s">
        <v>6657</v>
      </c>
      <c r="R1" s="1049"/>
      <c r="S1" s="1049"/>
      <c r="T1" s="1049"/>
      <c r="U1" s="1049"/>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row>
    <row r="2" spans="1:107" ht="15.75" thickTop="1" x14ac:dyDescent="0.25">
      <c r="A2" s="120"/>
      <c r="B2" s="1064" t="s">
        <v>3071</v>
      </c>
      <c r="C2" s="1064"/>
      <c r="D2" s="1064"/>
      <c r="E2" s="120"/>
      <c r="F2" s="120"/>
      <c r="G2" s="120"/>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c r="BY2" s="120"/>
      <c r="BZ2" s="120"/>
      <c r="CA2" s="120"/>
      <c r="CB2" s="120"/>
      <c r="CC2" s="120"/>
    </row>
    <row r="3" spans="1:107" x14ac:dyDescent="0.25">
      <c r="A3" s="120"/>
      <c r="B3" s="1064"/>
      <c r="C3" s="1064"/>
      <c r="D3" s="1064"/>
      <c r="E3" s="1046" t="s">
        <v>62</v>
      </c>
      <c r="F3" s="1046"/>
      <c r="G3" s="1046">
        <f>BardLevel</f>
        <v>0</v>
      </c>
      <c r="H3" s="1046"/>
      <c r="I3" s="587"/>
      <c r="J3" s="1046" t="s">
        <v>6381</v>
      </c>
      <c r="K3" s="1046"/>
      <c r="L3" s="1046"/>
      <c r="M3" s="1072">
        <f>G3+IF(ChaMOD&gt;0,ChaMOD,0)</f>
        <v>0</v>
      </c>
      <c r="N3" s="1072"/>
      <c r="O3" s="1072"/>
      <c r="P3" s="1046"/>
      <c r="Q3" s="1046"/>
      <c r="R3" s="587"/>
      <c r="S3" s="1072"/>
      <c r="T3" s="1072"/>
      <c r="U3" s="1072"/>
      <c r="V3" s="1046" t="s">
        <v>6383</v>
      </c>
      <c r="W3" s="1046"/>
      <c r="X3" s="1046"/>
      <c r="Y3" s="1072">
        <f>WizardMaxSpellLevel</f>
        <v>4</v>
      </c>
      <c r="Z3" s="1072"/>
      <c r="AA3" s="592"/>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120"/>
      <c r="BV3" s="120"/>
      <c r="BW3" s="120"/>
      <c r="BX3" s="120"/>
      <c r="BY3" s="120"/>
      <c r="BZ3" s="120"/>
      <c r="CA3" s="120"/>
      <c r="CB3" s="120"/>
      <c r="CC3" s="120"/>
    </row>
    <row r="4" spans="1:107" x14ac:dyDescent="0.25">
      <c r="A4" s="120"/>
      <c r="B4" s="120"/>
      <c r="C4" s="120"/>
      <c r="D4" s="120"/>
      <c r="E4" s="120"/>
      <c r="F4" s="120"/>
      <c r="G4" s="120"/>
      <c r="H4" s="120"/>
      <c r="I4" s="120"/>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120"/>
      <c r="AT4" s="120"/>
      <c r="AU4" s="120"/>
      <c r="AV4" s="120"/>
      <c r="AW4" s="120"/>
      <c r="AX4" s="120"/>
      <c r="AY4" s="120"/>
      <c r="AZ4" s="120"/>
      <c r="BA4" s="120"/>
      <c r="BB4" s="120"/>
      <c r="BC4" s="120"/>
      <c r="BD4" s="120"/>
      <c r="BE4" s="120"/>
      <c r="BF4" s="120"/>
      <c r="BG4" s="120"/>
      <c r="BH4" s="120"/>
      <c r="BI4" s="120"/>
      <c r="BJ4" s="120"/>
      <c r="BK4" s="120"/>
      <c r="BL4" s="120"/>
      <c r="BM4" s="120"/>
      <c r="BN4" s="120"/>
      <c r="BO4" s="120"/>
      <c r="BP4" s="120"/>
      <c r="BQ4" s="120"/>
      <c r="BR4" s="120"/>
      <c r="BS4" s="120"/>
      <c r="BT4" s="120"/>
      <c r="BU4" s="120"/>
      <c r="BV4" s="120"/>
      <c r="BW4" s="120"/>
      <c r="BX4" s="120"/>
      <c r="BY4" s="120"/>
      <c r="BZ4" s="120"/>
      <c r="CA4" s="120"/>
      <c r="CB4" s="120"/>
      <c r="CC4" s="120"/>
    </row>
    <row r="5" spans="1:107" x14ac:dyDescent="0.25">
      <c r="A5" s="120"/>
      <c r="B5" s="1046" t="s">
        <v>6359</v>
      </c>
      <c r="C5" s="1046"/>
      <c r="D5" s="1046"/>
      <c r="E5" s="1046"/>
      <c r="F5" s="1046"/>
      <c r="G5" s="1046"/>
      <c r="H5" s="120"/>
      <c r="I5" s="120"/>
      <c r="J5" s="120"/>
      <c r="K5" s="1046" t="s">
        <v>6277</v>
      </c>
      <c r="L5" s="1046"/>
      <c r="M5" s="1046"/>
      <c r="N5" s="1046"/>
      <c r="O5" s="1046"/>
      <c r="P5" s="1046"/>
      <c r="Q5" s="1046"/>
      <c r="R5" s="587"/>
      <c r="S5" s="120"/>
      <c r="T5" s="1046" t="s">
        <v>6279</v>
      </c>
      <c r="U5" s="1046"/>
      <c r="V5" s="1046"/>
      <c r="W5" s="1046"/>
      <c r="X5" s="1046"/>
      <c r="Y5" s="1046"/>
      <c r="Z5" s="558" t="s">
        <v>6251</v>
      </c>
      <c r="AA5" s="593"/>
      <c r="AB5" s="120"/>
      <c r="AC5" s="1046" t="s">
        <v>6280</v>
      </c>
      <c r="AD5" s="1046"/>
      <c r="AE5" s="1046"/>
      <c r="AF5" s="1046"/>
      <c r="AG5" s="1046"/>
      <c r="AH5" s="1046"/>
      <c r="AI5" s="1046"/>
      <c r="AJ5" s="587"/>
      <c r="AK5" s="120"/>
      <c r="AL5" s="1046" t="s">
        <v>6281</v>
      </c>
      <c r="AM5" s="1046"/>
      <c r="AN5" s="1046"/>
      <c r="AO5" s="1046"/>
      <c r="AP5" s="1046"/>
      <c r="AQ5" s="1046"/>
      <c r="AR5" s="1046"/>
      <c r="AS5" s="587"/>
      <c r="AT5" s="120"/>
      <c r="AU5" s="1046" t="s">
        <v>6282</v>
      </c>
      <c r="AV5" s="1046"/>
      <c r="AW5" s="1046"/>
      <c r="AX5" s="1046"/>
      <c r="AY5" s="1046"/>
      <c r="AZ5" s="1046"/>
      <c r="BA5" s="1046"/>
      <c r="BB5" s="587"/>
      <c r="BC5" s="120"/>
      <c r="BD5" s="1046" t="s">
        <v>6283</v>
      </c>
      <c r="BE5" s="1046"/>
      <c r="BF5" s="1046"/>
      <c r="BG5" s="1046"/>
      <c r="BH5" s="1046"/>
      <c r="BI5" s="1046"/>
      <c r="BJ5" s="1046"/>
      <c r="BK5" s="587"/>
      <c r="BL5" s="120"/>
      <c r="BM5" s="1046" t="s">
        <v>6284</v>
      </c>
      <c r="BN5" s="1046"/>
      <c r="BO5" s="1046"/>
      <c r="BP5" s="1046"/>
      <c r="BQ5" s="1046"/>
      <c r="BR5" s="1046"/>
      <c r="BS5" s="1046"/>
      <c r="BT5" s="587"/>
      <c r="BU5" s="120"/>
      <c r="BV5" s="1046" t="s">
        <v>6285</v>
      </c>
      <c r="BW5" s="1046"/>
      <c r="BX5" s="1046"/>
      <c r="BY5" s="1046"/>
      <c r="BZ5" s="1046"/>
      <c r="CA5" s="1046"/>
      <c r="CB5" s="1046"/>
      <c r="CC5" s="120"/>
      <c r="CL5" s="1046">
        <v>1</v>
      </c>
      <c r="CM5" s="1046"/>
      <c r="CN5" s="1046">
        <v>2</v>
      </c>
      <c r="CO5" s="1046"/>
      <c r="CP5" s="1046">
        <v>3</v>
      </c>
      <c r="CQ5" s="1046"/>
      <c r="CR5" s="1046">
        <v>4</v>
      </c>
      <c r="CS5" s="1046"/>
      <c r="CT5" s="1046">
        <v>5</v>
      </c>
      <c r="CU5" s="1046"/>
      <c r="CV5" s="1046">
        <v>6</v>
      </c>
      <c r="CW5" s="1046"/>
      <c r="CX5" s="1046">
        <v>7</v>
      </c>
      <c r="CY5" s="1046"/>
      <c r="CZ5" s="1046"/>
      <c r="DA5" s="1046"/>
      <c r="DB5" s="1046"/>
      <c r="DC5" s="1046"/>
    </row>
    <row r="6" spans="1:107" ht="21" x14ac:dyDescent="0.25">
      <c r="A6" s="120"/>
      <c r="B6" s="558">
        <v>1</v>
      </c>
      <c r="C6" s="1078" t="str">
        <f t="shared" ref="C6:C35" si="0">IFERROR(INDEX($CJ$6:$CJ$65,MATCH(B6,$CM$6:$CM$65,0),1),"")</f>
        <v/>
      </c>
      <c r="D6" s="1078"/>
      <c r="E6" s="1078"/>
      <c r="F6" s="1078"/>
      <c r="G6" s="1078"/>
      <c r="H6" s="120"/>
      <c r="I6" s="120"/>
      <c r="J6" s="120" t="str">
        <f>IF(C6="","",C6&amp;", ")</f>
        <v/>
      </c>
      <c r="K6" s="558">
        <v>1</v>
      </c>
      <c r="L6" s="1078" t="str">
        <f t="shared" ref="L6:L35" si="1">IFERROR(INDEX($CJ$6:$CJ$65,MATCH(K6,$CO$6:$CO$65,0),1),"")</f>
        <v/>
      </c>
      <c r="M6" s="1078"/>
      <c r="N6" s="1078"/>
      <c r="O6" s="1078"/>
      <c r="P6" s="1078"/>
      <c r="Q6" s="120"/>
      <c r="R6" s="120"/>
      <c r="S6" s="120" t="str">
        <f>IF(L6="","",L6&amp;", ")</f>
        <v/>
      </c>
      <c r="T6" s="558">
        <v>1</v>
      </c>
      <c r="U6" s="1078" t="str">
        <f t="shared" ref="U6:U35" si="2">IFERROR(INDEX($CJ$6:$CJ$65,MATCH(T6,$CQ$6:$CQ$65,0),1),"")</f>
        <v/>
      </c>
      <c r="V6" s="1078"/>
      <c r="W6" s="1078"/>
      <c r="X6" s="1078"/>
      <c r="Y6" s="1078"/>
      <c r="Z6" s="544" t="str">
        <f t="shared" ref="Z6:Z35" si="3">IF(1&lt;=$Y$3,IF(U6&lt;&gt;"",IF(IFERROR(SEARCH(U6,$M$2,1),0)&gt;0,"●",""),""),"")</f>
        <v/>
      </c>
      <c r="AA6" s="544"/>
      <c r="AB6" s="120" t="str">
        <f t="shared" ref="AB6:AB35" si="4">IF(U6="","",U6&amp;", ")</f>
        <v/>
      </c>
      <c r="AC6" s="558">
        <v>1</v>
      </c>
      <c r="AD6" s="1078" t="str">
        <f t="shared" ref="AD6:AD35" si="5">IFERROR(INDEX($CJ$6:$CJ$65,MATCH(AC6,$CS$6:$CS$65,0),1),"")</f>
        <v/>
      </c>
      <c r="AE6" s="1078"/>
      <c r="AF6" s="1078"/>
      <c r="AG6" s="1078"/>
      <c r="AH6" s="1078"/>
      <c r="AI6" s="544" t="s">
        <v>3034</v>
      </c>
      <c r="AJ6" s="544"/>
      <c r="AK6" s="120" t="str">
        <f>IF(AD6="","",AD6&amp;", ")</f>
        <v/>
      </c>
      <c r="AL6" s="558">
        <v>1</v>
      </c>
      <c r="AM6" s="1078" t="str">
        <f t="shared" ref="AM6:AM35" si="6">IFERROR(INDEX($CJ$6:$CJ$65,MATCH(AL6,$CU$6:$CU$65,0),1),"")</f>
        <v/>
      </c>
      <c r="AN6" s="1078"/>
      <c r="AO6" s="1078"/>
      <c r="AP6" s="1078"/>
      <c r="AQ6" s="1078"/>
      <c r="AR6" s="544"/>
      <c r="AS6" s="544"/>
      <c r="AT6" s="120" t="str">
        <f>IF(AM6="","",AM6&amp;", ")</f>
        <v/>
      </c>
      <c r="AU6" s="558">
        <v>1</v>
      </c>
      <c r="AV6" s="1078" t="str">
        <f t="shared" ref="AV6:AV35" si="7">IFERROR(INDEX($CJ$6:$CJ$65,MATCH(AU6,$CW$6:$CW$65,0),1),"")</f>
        <v/>
      </c>
      <c r="AW6" s="1078"/>
      <c r="AX6" s="1078"/>
      <c r="AY6" s="1078"/>
      <c r="AZ6" s="1078"/>
      <c r="BA6" s="544"/>
      <c r="BB6" s="544"/>
      <c r="BC6" s="120" t="str">
        <f>IF(AV6="","",AV6&amp;", ")</f>
        <v/>
      </c>
      <c r="BD6" s="558">
        <v>1</v>
      </c>
      <c r="BE6" s="1078" t="str">
        <f t="shared" ref="BE6:BE35" si="8">IFERROR(INDEX($CJ$6:$CJ$65,MATCH(BD6,$CY$6:$CY$65,0),1),"")</f>
        <v/>
      </c>
      <c r="BF6" s="1078"/>
      <c r="BG6" s="1078"/>
      <c r="BH6" s="1078"/>
      <c r="BI6" s="1078"/>
      <c r="BJ6" s="544"/>
      <c r="BK6" s="544"/>
      <c r="BL6" s="120" t="str">
        <f>IF(BE6="","",BE6&amp;", ")</f>
        <v/>
      </c>
      <c r="BM6" s="558">
        <v>1</v>
      </c>
      <c r="BN6" s="1078" t="str">
        <f t="shared" ref="BN6:BN35" si="9">IFERROR(INDEX($CJ$6:$CJ$65,MATCH(BM6,$DA$6:$DA$65,0),1),"")</f>
        <v/>
      </c>
      <c r="BO6" s="1078"/>
      <c r="BP6" s="1078"/>
      <c r="BQ6" s="1078"/>
      <c r="BR6" s="1078"/>
      <c r="BS6" s="544"/>
      <c r="BT6" s="544"/>
      <c r="BU6" s="120" t="str">
        <f>IF(BN6="","",BN6&amp;", ")</f>
        <v/>
      </c>
      <c r="BV6" s="558">
        <v>1</v>
      </c>
      <c r="BW6" s="1078" t="str">
        <f t="shared" ref="BW6:BW35" si="10">IFERROR(INDEX($CJ$6:$CJ$65,MATCH(BV6,$DC$6:$DC$65,0),1),"")</f>
        <v/>
      </c>
      <c r="BX6" s="1078"/>
      <c r="BY6" s="1078"/>
      <c r="BZ6" s="1078"/>
      <c r="CA6" s="1078"/>
      <c r="CB6" s="544"/>
      <c r="CC6" s="120" t="str">
        <f>IF(BW6="","",BW6&amp;", ")</f>
        <v/>
      </c>
      <c r="CF6">
        <v>1</v>
      </c>
      <c r="CG6" s="558" t="str">
        <f t="shared" ref="CG6:CG14" si="11">IF(CF6&lt;=DruidMaxSpellLevel,"●","")</f>
        <v/>
      </c>
      <c r="CI6">
        <v>1</v>
      </c>
      <c r="CJ6">
        <f>Character_Creation!C341</f>
        <v>0</v>
      </c>
      <c r="CL6">
        <f>IF(AND($CJ6&lt;&gt;0,$CJ6&lt;&gt;""),1,0)*IF($CK6=1,1,0)</f>
        <v>0</v>
      </c>
      <c r="CM6">
        <f>IF(CL6=0,0,1)</f>
        <v>0</v>
      </c>
      <c r="CN6">
        <f>IF(AND($CJ6&lt;&gt;0,$CJ6&lt;&gt;""),1,0)*IF($CK6=2,1,0)</f>
        <v>0</v>
      </c>
      <c r="CO6">
        <f>IF(CN6=0,0,1)</f>
        <v>0</v>
      </c>
      <c r="CP6">
        <f>IF(AND($CJ6&lt;&gt;0,$CJ6&lt;&gt;""),1,0)*IF($CK6=3,1,0)</f>
        <v>0</v>
      </c>
      <c r="CQ6">
        <f>IF(CP6=0,0,1)</f>
        <v>0</v>
      </c>
      <c r="CR6">
        <f>IF(AND($CJ6&lt;&gt;0,$CJ6&lt;&gt;""),1,0)*IF($CK6=4,1,0)</f>
        <v>0</v>
      </c>
      <c r="CS6">
        <f>IF(CR6=0,0,1)</f>
        <v>0</v>
      </c>
      <c r="CT6">
        <f>IF(AND($CJ6&lt;&gt;0,$CJ6&lt;&gt;""),1,0)*IF($CK6=5,1,0)</f>
        <v>0</v>
      </c>
      <c r="CU6">
        <f>IF(CT6=0,0,1)</f>
        <v>0</v>
      </c>
      <c r="CV6">
        <f>IF(AND($CJ6&lt;&gt;0,$CJ6&lt;&gt;""),1,0)*IF($CK6=6,1,0)</f>
        <v>0</v>
      </c>
      <c r="CW6">
        <f>IF(CV6=0,0,1)</f>
        <v>0</v>
      </c>
      <c r="CX6">
        <f>IF(AND($CJ6&lt;&gt;0,$CJ6&lt;&gt;""),1,0)*IF($CK6=7,1,0)</f>
        <v>0</v>
      </c>
      <c r="CY6">
        <f>IF(CX6=0,0,1)</f>
        <v>0</v>
      </c>
      <c r="CZ6">
        <f>IF(AND($CJ6&lt;&gt;0,$CJ6&lt;&gt;""),1,0)*IF($CK6=8,1,0)</f>
        <v>0</v>
      </c>
      <c r="DA6">
        <f>IF(CZ6=0,0,1)</f>
        <v>0</v>
      </c>
      <c r="DB6">
        <f>IF(AND($CJ6&lt;&gt;0,$CJ6&lt;&gt;""),1,0)*IF($CK6=9,1,0)</f>
        <v>0</v>
      </c>
      <c r="DC6">
        <f>IF(DB6=0,0,1)</f>
        <v>0</v>
      </c>
    </row>
    <row r="7" spans="1:107" ht="21" x14ac:dyDescent="0.25">
      <c r="A7" s="120"/>
      <c r="B7" s="558">
        <v>2</v>
      </c>
      <c r="C7" s="1078" t="str">
        <f t="shared" si="0"/>
        <v/>
      </c>
      <c r="D7" s="1078"/>
      <c r="E7" s="1078"/>
      <c r="F7" s="1078"/>
      <c r="G7" s="1078"/>
      <c r="H7" s="120"/>
      <c r="I7" s="120"/>
      <c r="J7" s="120" t="str">
        <f t="shared" ref="J7:J35" si="12">IF(C7="","",C7&amp;", ")</f>
        <v/>
      </c>
      <c r="K7" s="558">
        <v>2</v>
      </c>
      <c r="L7" s="1078" t="str">
        <f t="shared" si="1"/>
        <v/>
      </c>
      <c r="M7" s="1078"/>
      <c r="N7" s="1078"/>
      <c r="O7" s="1078"/>
      <c r="P7" s="1078"/>
      <c r="Q7" s="120"/>
      <c r="R7" s="120"/>
      <c r="S7" s="120" t="str">
        <f t="shared" ref="S7:S35" si="13">IF(L7="","",L7&amp;", ")</f>
        <v/>
      </c>
      <c r="T7" s="558">
        <v>2</v>
      </c>
      <c r="U7" s="1078" t="str">
        <f t="shared" si="2"/>
        <v/>
      </c>
      <c r="V7" s="1078"/>
      <c r="W7" s="1078"/>
      <c r="X7" s="1078"/>
      <c r="Y7" s="1078"/>
      <c r="Z7" s="544" t="str">
        <f t="shared" si="3"/>
        <v/>
      </c>
      <c r="AA7" s="544"/>
      <c r="AB7" s="120" t="str">
        <f t="shared" si="4"/>
        <v/>
      </c>
      <c r="AC7" s="558">
        <v>2</v>
      </c>
      <c r="AD7" s="1078" t="str">
        <f t="shared" si="5"/>
        <v/>
      </c>
      <c r="AE7" s="1078"/>
      <c r="AF7" s="1078"/>
      <c r="AG7" s="1078"/>
      <c r="AH7" s="1078"/>
      <c r="AI7" s="544" t="s">
        <v>3034</v>
      </c>
      <c r="AJ7" s="544"/>
      <c r="AK7" s="120" t="str">
        <f t="shared" ref="AK7:AK35" si="14">IF(AD7="","",AD7&amp;", ")</f>
        <v/>
      </c>
      <c r="AL7" s="558">
        <v>2</v>
      </c>
      <c r="AM7" s="1078" t="str">
        <f t="shared" si="6"/>
        <v/>
      </c>
      <c r="AN7" s="1078"/>
      <c r="AO7" s="1078"/>
      <c r="AP7" s="1078"/>
      <c r="AQ7" s="1078"/>
      <c r="AR7" s="544"/>
      <c r="AS7" s="544"/>
      <c r="AT7" s="120" t="str">
        <f t="shared" ref="AT7:AT35" si="15">IF(AM7="","",AM7&amp;", ")</f>
        <v/>
      </c>
      <c r="AU7" s="558">
        <v>2</v>
      </c>
      <c r="AV7" s="1078" t="str">
        <f t="shared" si="7"/>
        <v/>
      </c>
      <c r="AW7" s="1078"/>
      <c r="AX7" s="1078"/>
      <c r="AY7" s="1078"/>
      <c r="AZ7" s="1078"/>
      <c r="BA7" s="544"/>
      <c r="BB7" s="544"/>
      <c r="BC7" s="120" t="str">
        <f t="shared" ref="BC7:BC35" si="16">IF(AV7="","",AV7&amp;", ")</f>
        <v/>
      </c>
      <c r="BD7" s="558">
        <v>2</v>
      </c>
      <c r="BE7" s="1078" t="str">
        <f t="shared" si="8"/>
        <v/>
      </c>
      <c r="BF7" s="1078"/>
      <c r="BG7" s="1078"/>
      <c r="BH7" s="1078"/>
      <c r="BI7" s="1078"/>
      <c r="BJ7" s="544"/>
      <c r="BK7" s="544"/>
      <c r="BL7" s="120" t="str">
        <f t="shared" ref="BL7:BL35" si="17">IF(BE7="","",BE7&amp;", ")</f>
        <v/>
      </c>
      <c r="BM7" s="558">
        <v>2</v>
      </c>
      <c r="BN7" s="1078" t="str">
        <f t="shared" si="9"/>
        <v/>
      </c>
      <c r="BO7" s="1078"/>
      <c r="BP7" s="1078"/>
      <c r="BQ7" s="1078"/>
      <c r="BR7" s="1078"/>
      <c r="BS7" s="544"/>
      <c r="BT7" s="544"/>
      <c r="BU7" s="120" t="str">
        <f t="shared" ref="BU7:BU35" si="18">IF(BN7="","",BN7&amp;", ")</f>
        <v/>
      </c>
      <c r="BV7" s="558">
        <v>2</v>
      </c>
      <c r="BW7" s="1078" t="str">
        <f t="shared" si="10"/>
        <v/>
      </c>
      <c r="BX7" s="1078"/>
      <c r="BY7" s="1078"/>
      <c r="BZ7" s="1078"/>
      <c r="CA7" s="1078"/>
      <c r="CB7" s="544"/>
      <c r="CC7" s="120" t="str">
        <f t="shared" ref="CC7:CC35" si="19">IF(BW7="","",BW7&amp;", ")</f>
        <v/>
      </c>
      <c r="CF7">
        <v>2</v>
      </c>
      <c r="CG7" s="558" t="str">
        <f t="shared" si="11"/>
        <v/>
      </c>
      <c r="CI7">
        <v>2</v>
      </c>
      <c r="CJ7">
        <f>Character_Creation!C342</f>
        <v>0</v>
      </c>
      <c r="CL7">
        <f t="shared" ref="CL7:CL65" si="20">IF(AND($CJ7&lt;&gt;0,$CJ7&lt;&gt;""),1,0)*IF($CK7=1,1,0)</f>
        <v>0</v>
      </c>
      <c r="CM7">
        <f>IF(CL7=0,0,1+COUNTIF(CM6:CM$6,"&gt;0"))</f>
        <v>0</v>
      </c>
      <c r="CN7">
        <f t="shared" ref="CN7:CN65" si="21">IF(AND($CJ7&lt;&gt;0,$CJ7&lt;&gt;""),1,0)*IF($CK7=2,1,0)</f>
        <v>0</v>
      </c>
      <c r="CO7">
        <f>IF(CN7=0,0,1+COUNTIF(CO6:CO$6,"&gt;0"))</f>
        <v>0</v>
      </c>
      <c r="CP7">
        <f t="shared" ref="CP7:CP65" si="22">IF(AND($CJ7&lt;&gt;0,$CJ7&lt;&gt;""),1,0)*IF($CK7=3,1,0)</f>
        <v>0</v>
      </c>
      <c r="CQ7">
        <f>IF(CP7=0,0,1+COUNTIF(CQ6:CQ$6,"&gt;0"))</f>
        <v>0</v>
      </c>
      <c r="CR7">
        <f t="shared" ref="CR7:CR65" si="23">IF(AND($CJ7&lt;&gt;0,$CJ7&lt;&gt;""),1,0)*IF($CK7=4,1,0)</f>
        <v>0</v>
      </c>
      <c r="CS7">
        <f>IF(CR7=0,0,1+COUNTIF(CS6:CS$6,"&gt;0"))</f>
        <v>0</v>
      </c>
      <c r="CT7">
        <f t="shared" ref="CT7:CT65" si="24">IF(AND($CJ7&lt;&gt;0,$CJ7&lt;&gt;""),1,0)*IF($CK7=5,1,0)</f>
        <v>0</v>
      </c>
      <c r="CU7">
        <f>IF(CT7=0,0,1+COUNTIF(CU6:CU$6,"&gt;0"))</f>
        <v>0</v>
      </c>
      <c r="CV7">
        <f t="shared" ref="CV7:CV65" si="25">IF(AND($CJ7&lt;&gt;0,$CJ7&lt;&gt;""),1,0)*IF($CK7=6,1,0)</f>
        <v>0</v>
      </c>
      <c r="CW7">
        <f>IF(CV7=0,0,1+COUNTIF(CW6:CW$6,"&gt;0"))</f>
        <v>0</v>
      </c>
      <c r="CX7">
        <f t="shared" ref="CX7:CX65" si="26">IF(AND($CJ7&lt;&gt;0,$CJ7&lt;&gt;""),1,0)*IF($CK7=7,1,0)</f>
        <v>0</v>
      </c>
      <c r="CY7">
        <f>IF(CX7=0,0,1+COUNTIF(CY6:CY$6,"&gt;0"))</f>
        <v>0</v>
      </c>
      <c r="CZ7">
        <f t="shared" ref="CZ7:CZ65" si="27">IF(AND($CJ7&lt;&gt;0,$CJ7&lt;&gt;""),1,0)*IF($CK7=8,1,0)</f>
        <v>0</v>
      </c>
      <c r="DA7">
        <f>IF(CZ7=0,0,1+COUNTIF(DA6:DA$6,"&gt;0"))</f>
        <v>0</v>
      </c>
      <c r="DB7">
        <f t="shared" ref="DB7:DB65" si="28">IF(AND($CJ7&lt;&gt;0,$CJ7&lt;&gt;""),1,0)*IF($CK7=9,1,0)</f>
        <v>0</v>
      </c>
      <c r="DC7">
        <f>IF(DB7=0,0,1+COUNTIF(DC6:DC$6,"&gt;0"))</f>
        <v>0</v>
      </c>
    </row>
    <row r="8" spans="1:107" ht="21" x14ac:dyDescent="0.25">
      <c r="A8" s="120"/>
      <c r="B8" s="558">
        <v>3</v>
      </c>
      <c r="C8" s="1078" t="str">
        <f t="shared" si="0"/>
        <v/>
      </c>
      <c r="D8" s="1078"/>
      <c r="E8" s="1078"/>
      <c r="F8" s="1078"/>
      <c r="G8" s="1078"/>
      <c r="H8" s="120"/>
      <c r="I8" s="120"/>
      <c r="J8" s="120" t="str">
        <f t="shared" si="12"/>
        <v/>
      </c>
      <c r="K8" s="558">
        <v>3</v>
      </c>
      <c r="L8" s="1078" t="str">
        <f t="shared" si="1"/>
        <v/>
      </c>
      <c r="M8" s="1078"/>
      <c r="N8" s="1078"/>
      <c r="O8" s="1078"/>
      <c r="P8" s="1078"/>
      <c r="Q8" s="120"/>
      <c r="R8" s="120"/>
      <c r="S8" s="120" t="str">
        <f t="shared" si="13"/>
        <v/>
      </c>
      <c r="T8" s="558">
        <v>3</v>
      </c>
      <c r="U8" s="1078" t="str">
        <f t="shared" si="2"/>
        <v/>
      </c>
      <c r="V8" s="1078"/>
      <c r="W8" s="1078"/>
      <c r="X8" s="1078"/>
      <c r="Y8" s="1078"/>
      <c r="Z8" s="544" t="str">
        <f t="shared" si="3"/>
        <v/>
      </c>
      <c r="AA8" s="544"/>
      <c r="AB8" s="120" t="str">
        <f t="shared" si="4"/>
        <v/>
      </c>
      <c r="AC8" s="558">
        <v>3</v>
      </c>
      <c r="AD8" s="1078" t="str">
        <f t="shared" si="5"/>
        <v/>
      </c>
      <c r="AE8" s="1078"/>
      <c r="AF8" s="1078"/>
      <c r="AG8" s="1078"/>
      <c r="AH8" s="1078"/>
      <c r="AI8" s="544" t="s">
        <v>3034</v>
      </c>
      <c r="AJ8" s="544"/>
      <c r="AK8" s="120" t="str">
        <f t="shared" si="14"/>
        <v/>
      </c>
      <c r="AL8" s="558">
        <v>3</v>
      </c>
      <c r="AM8" s="1078" t="str">
        <f t="shared" si="6"/>
        <v/>
      </c>
      <c r="AN8" s="1078"/>
      <c r="AO8" s="1078"/>
      <c r="AP8" s="1078"/>
      <c r="AQ8" s="1078"/>
      <c r="AR8" s="544"/>
      <c r="AS8" s="544"/>
      <c r="AT8" s="120" t="str">
        <f t="shared" si="15"/>
        <v/>
      </c>
      <c r="AU8" s="558">
        <v>3</v>
      </c>
      <c r="AV8" s="1078" t="str">
        <f t="shared" si="7"/>
        <v/>
      </c>
      <c r="AW8" s="1078"/>
      <c r="AX8" s="1078"/>
      <c r="AY8" s="1078"/>
      <c r="AZ8" s="1078"/>
      <c r="BA8" s="544"/>
      <c r="BB8" s="544"/>
      <c r="BC8" s="120" t="str">
        <f t="shared" si="16"/>
        <v/>
      </c>
      <c r="BD8" s="558">
        <v>3</v>
      </c>
      <c r="BE8" s="1078" t="str">
        <f t="shared" si="8"/>
        <v/>
      </c>
      <c r="BF8" s="1078"/>
      <c r="BG8" s="1078"/>
      <c r="BH8" s="1078"/>
      <c r="BI8" s="1078"/>
      <c r="BJ8" s="544"/>
      <c r="BK8" s="544"/>
      <c r="BL8" s="120" t="str">
        <f t="shared" si="17"/>
        <v/>
      </c>
      <c r="BM8" s="558">
        <v>3</v>
      </c>
      <c r="BN8" s="1078" t="str">
        <f t="shared" si="9"/>
        <v/>
      </c>
      <c r="BO8" s="1078"/>
      <c r="BP8" s="1078"/>
      <c r="BQ8" s="1078"/>
      <c r="BR8" s="1078"/>
      <c r="BS8" s="544"/>
      <c r="BT8" s="544"/>
      <c r="BU8" s="120" t="str">
        <f t="shared" si="18"/>
        <v/>
      </c>
      <c r="BV8" s="558">
        <v>3</v>
      </c>
      <c r="BW8" s="1078" t="str">
        <f t="shared" si="10"/>
        <v/>
      </c>
      <c r="BX8" s="1078"/>
      <c r="BY8" s="1078"/>
      <c r="BZ8" s="1078"/>
      <c r="CA8" s="1078"/>
      <c r="CB8" s="544"/>
      <c r="CC8" s="120" t="str">
        <f t="shared" si="19"/>
        <v/>
      </c>
      <c r="CF8">
        <v>3</v>
      </c>
      <c r="CG8" s="558" t="str">
        <f t="shared" si="11"/>
        <v/>
      </c>
      <c r="CI8">
        <v>3</v>
      </c>
      <c r="CJ8">
        <f>Character_Creation!C343</f>
        <v>0</v>
      </c>
      <c r="CL8">
        <f t="shared" si="20"/>
        <v>0</v>
      </c>
      <c r="CM8">
        <f>IF(CL8=0,0,1+COUNTIF(CM$6:CM7,"&gt;0"))</f>
        <v>0</v>
      </c>
      <c r="CN8">
        <f t="shared" si="21"/>
        <v>0</v>
      </c>
      <c r="CO8">
        <f>IF(CN8=0,0,1+COUNTIF(CO$6:CO7,"&gt;0"))</f>
        <v>0</v>
      </c>
      <c r="CP8">
        <f t="shared" si="22"/>
        <v>0</v>
      </c>
      <c r="CQ8">
        <f>IF(CP8=0,0,1+COUNTIF(CQ$6:CQ7,"&gt;0"))</f>
        <v>0</v>
      </c>
      <c r="CR8">
        <f t="shared" si="23"/>
        <v>0</v>
      </c>
      <c r="CS8">
        <f>IF(CR8=0,0,1+COUNTIF(CS$6:CS7,"&gt;0"))</f>
        <v>0</v>
      </c>
      <c r="CT8">
        <f t="shared" si="24"/>
        <v>0</v>
      </c>
      <c r="CU8">
        <f>IF(CT8=0,0,1+COUNTIF(CU$6:CU7,"&gt;0"))</f>
        <v>0</v>
      </c>
      <c r="CV8">
        <f t="shared" si="25"/>
        <v>0</v>
      </c>
      <c r="CW8">
        <f>IF(CV8=0,0,1+COUNTIF(CW$6:CW7,"&gt;0"))</f>
        <v>0</v>
      </c>
      <c r="CX8">
        <f t="shared" si="26"/>
        <v>0</v>
      </c>
      <c r="CY8">
        <f>IF(CX8=0,0,1+COUNTIF(CY$6:CY7,"&gt;0"))</f>
        <v>0</v>
      </c>
      <c r="CZ8">
        <f t="shared" si="27"/>
        <v>0</v>
      </c>
      <c r="DA8">
        <f>IF(CZ8=0,0,1+COUNTIF(DA$6:DA7,"&gt;0"))</f>
        <v>0</v>
      </c>
      <c r="DB8">
        <f t="shared" si="28"/>
        <v>0</v>
      </c>
      <c r="DC8">
        <f>IF(DB8=0,0,1+COUNTIF(DC$6:DC7,"&gt;0"))</f>
        <v>0</v>
      </c>
    </row>
    <row r="9" spans="1:107" ht="21" x14ac:dyDescent="0.25">
      <c r="A9" s="120"/>
      <c r="B9" s="558">
        <v>4</v>
      </c>
      <c r="C9" s="1078" t="str">
        <f t="shared" si="0"/>
        <v/>
      </c>
      <c r="D9" s="1078"/>
      <c r="E9" s="1078"/>
      <c r="F9" s="1078"/>
      <c r="G9" s="1078"/>
      <c r="H9" s="120"/>
      <c r="I9" s="120"/>
      <c r="J9" s="120" t="str">
        <f t="shared" si="12"/>
        <v/>
      </c>
      <c r="K9" s="558">
        <v>4</v>
      </c>
      <c r="L9" s="1078" t="str">
        <f t="shared" si="1"/>
        <v/>
      </c>
      <c r="M9" s="1078"/>
      <c r="N9" s="1078"/>
      <c r="O9" s="1078"/>
      <c r="P9" s="1078"/>
      <c r="Q9" s="120"/>
      <c r="R9" s="120"/>
      <c r="S9" s="120" t="str">
        <f t="shared" si="13"/>
        <v/>
      </c>
      <c r="T9" s="558">
        <v>4</v>
      </c>
      <c r="U9" s="1078" t="str">
        <f t="shared" si="2"/>
        <v/>
      </c>
      <c r="V9" s="1078"/>
      <c r="W9" s="1078"/>
      <c r="X9" s="1078"/>
      <c r="Y9" s="1078"/>
      <c r="Z9" s="544" t="str">
        <f t="shared" si="3"/>
        <v/>
      </c>
      <c r="AA9" s="544"/>
      <c r="AB9" s="120" t="str">
        <f t="shared" si="4"/>
        <v/>
      </c>
      <c r="AC9" s="558">
        <v>4</v>
      </c>
      <c r="AD9" s="1078" t="str">
        <f t="shared" si="5"/>
        <v/>
      </c>
      <c r="AE9" s="1078"/>
      <c r="AF9" s="1078"/>
      <c r="AG9" s="1078"/>
      <c r="AH9" s="1078"/>
      <c r="AI9" s="544" t="s">
        <v>3034</v>
      </c>
      <c r="AJ9" s="544"/>
      <c r="AK9" s="120" t="str">
        <f t="shared" si="14"/>
        <v/>
      </c>
      <c r="AL9" s="558">
        <v>4</v>
      </c>
      <c r="AM9" s="1078" t="str">
        <f t="shared" si="6"/>
        <v/>
      </c>
      <c r="AN9" s="1078"/>
      <c r="AO9" s="1078"/>
      <c r="AP9" s="1078"/>
      <c r="AQ9" s="1078"/>
      <c r="AR9" s="544"/>
      <c r="AS9" s="544"/>
      <c r="AT9" s="120" t="str">
        <f t="shared" si="15"/>
        <v/>
      </c>
      <c r="AU9" s="558">
        <v>4</v>
      </c>
      <c r="AV9" s="1078" t="str">
        <f t="shared" si="7"/>
        <v/>
      </c>
      <c r="AW9" s="1078"/>
      <c r="AX9" s="1078"/>
      <c r="AY9" s="1078"/>
      <c r="AZ9" s="1078"/>
      <c r="BA9" s="544"/>
      <c r="BB9" s="544"/>
      <c r="BC9" s="120" t="str">
        <f t="shared" si="16"/>
        <v/>
      </c>
      <c r="BD9" s="558">
        <v>4</v>
      </c>
      <c r="BE9" s="1078" t="str">
        <f t="shared" si="8"/>
        <v/>
      </c>
      <c r="BF9" s="1078"/>
      <c r="BG9" s="1078"/>
      <c r="BH9" s="1078"/>
      <c r="BI9" s="1078"/>
      <c r="BJ9" s="544"/>
      <c r="BK9" s="544"/>
      <c r="BL9" s="120" t="str">
        <f t="shared" si="17"/>
        <v/>
      </c>
      <c r="BM9" s="558">
        <v>4</v>
      </c>
      <c r="BN9" s="1078" t="str">
        <f t="shared" si="9"/>
        <v/>
      </c>
      <c r="BO9" s="1078"/>
      <c r="BP9" s="1078"/>
      <c r="BQ9" s="1078"/>
      <c r="BR9" s="1078"/>
      <c r="BS9" s="544"/>
      <c r="BT9" s="544"/>
      <c r="BU9" s="120" t="str">
        <f t="shared" si="18"/>
        <v/>
      </c>
      <c r="BV9" s="558">
        <v>4</v>
      </c>
      <c r="BW9" s="1078" t="str">
        <f t="shared" si="10"/>
        <v/>
      </c>
      <c r="BX9" s="1078"/>
      <c r="BY9" s="1078"/>
      <c r="BZ9" s="1078"/>
      <c r="CA9" s="1078"/>
      <c r="CB9" s="544"/>
      <c r="CC9" s="120" t="str">
        <f t="shared" si="19"/>
        <v/>
      </c>
      <c r="CF9">
        <v>4</v>
      </c>
      <c r="CG9" s="558" t="str">
        <f t="shared" si="11"/>
        <v/>
      </c>
      <c r="CI9">
        <v>4</v>
      </c>
      <c r="CJ9">
        <f>Character_Creation!C344</f>
        <v>0</v>
      </c>
      <c r="CL9">
        <f t="shared" si="20"/>
        <v>0</v>
      </c>
      <c r="CM9">
        <f>IF(CL9=0,0,1+COUNTIF(CM$6:CM8,"&gt;0"))</f>
        <v>0</v>
      </c>
      <c r="CN9">
        <f t="shared" si="21"/>
        <v>0</v>
      </c>
      <c r="CO9">
        <f>IF(CN9=0,0,1+COUNTIF(CO$6:CO8,"&gt;0"))</f>
        <v>0</v>
      </c>
      <c r="CP9">
        <f t="shared" si="22"/>
        <v>0</v>
      </c>
      <c r="CQ9">
        <f>IF(CP9=0,0,1+COUNTIF(CQ$6:CQ8,"&gt;0"))</f>
        <v>0</v>
      </c>
      <c r="CR9">
        <f t="shared" si="23"/>
        <v>0</v>
      </c>
      <c r="CS9">
        <f>IF(CR9=0,0,1+COUNTIF(CS$6:CS8,"&gt;0"))</f>
        <v>0</v>
      </c>
      <c r="CT9">
        <f t="shared" si="24"/>
        <v>0</v>
      </c>
      <c r="CU9">
        <f>IF(CT9=0,0,1+COUNTIF(CU$6:CU8,"&gt;0"))</f>
        <v>0</v>
      </c>
      <c r="CV9">
        <f t="shared" si="25"/>
        <v>0</v>
      </c>
      <c r="CW9">
        <f>IF(CV9=0,0,1+COUNTIF(CW$6:CW8,"&gt;0"))</f>
        <v>0</v>
      </c>
      <c r="CX9">
        <f t="shared" si="26"/>
        <v>0</v>
      </c>
      <c r="CY9">
        <f>IF(CX9=0,0,1+COUNTIF(CY$6:CY8,"&gt;0"))</f>
        <v>0</v>
      </c>
      <c r="CZ9">
        <f t="shared" si="27"/>
        <v>0</v>
      </c>
      <c r="DA9">
        <f>IF(CZ9=0,0,1+COUNTIF(DA$6:DA8,"&gt;0"))</f>
        <v>0</v>
      </c>
      <c r="DB9">
        <f t="shared" si="28"/>
        <v>0</v>
      </c>
      <c r="DC9">
        <f>IF(DB9=0,0,1+COUNTIF(DC$6:DC8,"&gt;0"))</f>
        <v>0</v>
      </c>
    </row>
    <row r="10" spans="1:107" ht="21" x14ac:dyDescent="0.25">
      <c r="A10" s="120"/>
      <c r="B10" s="558">
        <v>5</v>
      </c>
      <c r="C10" s="1078" t="str">
        <f t="shared" si="0"/>
        <v/>
      </c>
      <c r="D10" s="1078"/>
      <c r="E10" s="1078"/>
      <c r="F10" s="1078"/>
      <c r="G10" s="1078"/>
      <c r="H10" s="120"/>
      <c r="I10" s="120"/>
      <c r="J10" s="120" t="str">
        <f t="shared" si="12"/>
        <v/>
      </c>
      <c r="K10" s="558">
        <v>5</v>
      </c>
      <c r="L10" s="1078" t="str">
        <f t="shared" si="1"/>
        <v/>
      </c>
      <c r="M10" s="1078"/>
      <c r="N10" s="1078"/>
      <c r="O10" s="1078"/>
      <c r="P10" s="1078"/>
      <c r="Q10" s="120"/>
      <c r="R10" s="120"/>
      <c r="S10" s="120" t="str">
        <f t="shared" si="13"/>
        <v/>
      </c>
      <c r="T10" s="558">
        <v>5</v>
      </c>
      <c r="U10" s="1078" t="str">
        <f t="shared" si="2"/>
        <v/>
      </c>
      <c r="V10" s="1078"/>
      <c r="W10" s="1078"/>
      <c r="X10" s="1078"/>
      <c r="Y10" s="1078"/>
      <c r="Z10" s="544" t="str">
        <f t="shared" si="3"/>
        <v/>
      </c>
      <c r="AA10" s="544"/>
      <c r="AB10" s="120" t="str">
        <f t="shared" si="4"/>
        <v/>
      </c>
      <c r="AC10" s="558">
        <v>5</v>
      </c>
      <c r="AD10" s="1078" t="str">
        <f t="shared" si="5"/>
        <v/>
      </c>
      <c r="AE10" s="1078"/>
      <c r="AF10" s="1078"/>
      <c r="AG10" s="1078"/>
      <c r="AH10" s="1078"/>
      <c r="AI10" s="544" t="s">
        <v>3034</v>
      </c>
      <c r="AJ10" s="544"/>
      <c r="AK10" s="120" t="str">
        <f t="shared" si="14"/>
        <v/>
      </c>
      <c r="AL10" s="558">
        <v>5</v>
      </c>
      <c r="AM10" s="1078" t="str">
        <f t="shared" si="6"/>
        <v/>
      </c>
      <c r="AN10" s="1078"/>
      <c r="AO10" s="1078"/>
      <c r="AP10" s="1078"/>
      <c r="AQ10" s="1078"/>
      <c r="AR10" s="544"/>
      <c r="AS10" s="544"/>
      <c r="AT10" s="120" t="str">
        <f t="shared" si="15"/>
        <v/>
      </c>
      <c r="AU10" s="558">
        <v>5</v>
      </c>
      <c r="AV10" s="1078" t="str">
        <f t="shared" si="7"/>
        <v/>
      </c>
      <c r="AW10" s="1078"/>
      <c r="AX10" s="1078"/>
      <c r="AY10" s="1078"/>
      <c r="AZ10" s="1078"/>
      <c r="BA10" s="544"/>
      <c r="BB10" s="544"/>
      <c r="BC10" s="120" t="str">
        <f t="shared" si="16"/>
        <v/>
      </c>
      <c r="BD10" s="558">
        <v>5</v>
      </c>
      <c r="BE10" s="1078" t="str">
        <f t="shared" si="8"/>
        <v/>
      </c>
      <c r="BF10" s="1078"/>
      <c r="BG10" s="1078"/>
      <c r="BH10" s="1078"/>
      <c r="BI10" s="1078"/>
      <c r="BJ10" s="544"/>
      <c r="BK10" s="544"/>
      <c r="BL10" s="120" t="str">
        <f t="shared" si="17"/>
        <v/>
      </c>
      <c r="BM10" s="558">
        <v>5</v>
      </c>
      <c r="BN10" s="1078" t="str">
        <f t="shared" si="9"/>
        <v/>
      </c>
      <c r="BO10" s="1078"/>
      <c r="BP10" s="1078"/>
      <c r="BQ10" s="1078"/>
      <c r="BR10" s="1078"/>
      <c r="BS10" s="544"/>
      <c r="BT10" s="544"/>
      <c r="BU10" s="120" t="str">
        <f t="shared" si="18"/>
        <v/>
      </c>
      <c r="BV10" s="558">
        <v>5</v>
      </c>
      <c r="BW10" s="1078" t="str">
        <f t="shared" si="10"/>
        <v/>
      </c>
      <c r="BX10" s="1078"/>
      <c r="BY10" s="1078"/>
      <c r="BZ10" s="1078"/>
      <c r="CA10" s="1078"/>
      <c r="CB10" s="544"/>
      <c r="CC10" s="120" t="str">
        <f t="shared" si="19"/>
        <v/>
      </c>
      <c r="CF10">
        <v>5</v>
      </c>
      <c r="CG10" s="558" t="str">
        <f t="shared" si="11"/>
        <v/>
      </c>
      <c r="CI10">
        <v>5</v>
      </c>
      <c r="CJ10">
        <f>Character_Creation!C345</f>
        <v>0</v>
      </c>
      <c r="CL10">
        <f t="shared" si="20"/>
        <v>0</v>
      </c>
      <c r="CM10">
        <f>IF(CL10=0,0,1+COUNTIF(CM$6:CM9,"&gt;0"))</f>
        <v>0</v>
      </c>
      <c r="CN10">
        <f t="shared" si="21"/>
        <v>0</v>
      </c>
      <c r="CO10">
        <f>IF(CN10=0,0,1+COUNTIF(CO$6:CO9,"&gt;0"))</f>
        <v>0</v>
      </c>
      <c r="CP10">
        <f t="shared" si="22"/>
        <v>0</v>
      </c>
      <c r="CQ10">
        <f>IF(CP10=0,0,1+COUNTIF(CQ$6:CQ9,"&gt;0"))</f>
        <v>0</v>
      </c>
      <c r="CR10">
        <f t="shared" si="23"/>
        <v>0</v>
      </c>
      <c r="CS10">
        <f>IF(CR10=0,0,1+COUNTIF(CS$6:CS9,"&gt;0"))</f>
        <v>0</v>
      </c>
      <c r="CT10">
        <f t="shared" si="24"/>
        <v>0</v>
      </c>
      <c r="CU10">
        <f>IF(CT10=0,0,1+COUNTIF(CU$6:CU9,"&gt;0"))</f>
        <v>0</v>
      </c>
      <c r="CV10">
        <f t="shared" si="25"/>
        <v>0</v>
      </c>
      <c r="CW10">
        <f>IF(CV10=0,0,1+COUNTIF(CW$6:CW9,"&gt;0"))</f>
        <v>0</v>
      </c>
      <c r="CX10">
        <f t="shared" si="26"/>
        <v>0</v>
      </c>
      <c r="CY10">
        <f>IF(CX10=0,0,1+COUNTIF(CY$6:CY9,"&gt;0"))</f>
        <v>0</v>
      </c>
      <c r="CZ10">
        <f t="shared" si="27"/>
        <v>0</v>
      </c>
      <c r="DA10">
        <f>IF(CZ10=0,0,1+COUNTIF(DA$6:DA9,"&gt;0"))</f>
        <v>0</v>
      </c>
      <c r="DB10">
        <f t="shared" si="28"/>
        <v>0</v>
      </c>
      <c r="DC10">
        <f>IF(DB10=0,0,1+COUNTIF(DC$6:DC9,"&gt;0"))</f>
        <v>0</v>
      </c>
    </row>
    <row r="11" spans="1:107" ht="21" x14ac:dyDescent="0.25">
      <c r="A11" s="120"/>
      <c r="B11" s="558">
        <v>6</v>
      </c>
      <c r="C11" s="1078" t="str">
        <f t="shared" si="0"/>
        <v/>
      </c>
      <c r="D11" s="1078"/>
      <c r="E11" s="1078"/>
      <c r="F11" s="1078"/>
      <c r="G11" s="1078"/>
      <c r="H11" s="120"/>
      <c r="I11" s="120"/>
      <c r="J11" s="120" t="str">
        <f t="shared" si="12"/>
        <v/>
      </c>
      <c r="K11" s="558">
        <v>6</v>
      </c>
      <c r="L11" s="1078" t="str">
        <f t="shared" si="1"/>
        <v/>
      </c>
      <c r="M11" s="1078"/>
      <c r="N11" s="1078"/>
      <c r="O11" s="1078"/>
      <c r="P11" s="1078"/>
      <c r="Q11" s="120"/>
      <c r="R11" s="120"/>
      <c r="S11" s="120" t="str">
        <f t="shared" si="13"/>
        <v/>
      </c>
      <c r="T11" s="558">
        <v>6</v>
      </c>
      <c r="U11" s="1078" t="str">
        <f t="shared" si="2"/>
        <v/>
      </c>
      <c r="V11" s="1078"/>
      <c r="W11" s="1078"/>
      <c r="X11" s="1078"/>
      <c r="Y11" s="1078"/>
      <c r="Z11" s="544" t="str">
        <f t="shared" si="3"/>
        <v/>
      </c>
      <c r="AA11" s="544"/>
      <c r="AB11" s="120" t="str">
        <f t="shared" si="4"/>
        <v/>
      </c>
      <c r="AC11" s="558">
        <v>6</v>
      </c>
      <c r="AD11" s="1078" t="str">
        <f t="shared" si="5"/>
        <v/>
      </c>
      <c r="AE11" s="1078"/>
      <c r="AF11" s="1078"/>
      <c r="AG11" s="1078"/>
      <c r="AH11" s="1078"/>
      <c r="AI11" s="544" t="s">
        <v>3034</v>
      </c>
      <c r="AJ11" s="544"/>
      <c r="AK11" s="120" t="str">
        <f t="shared" si="14"/>
        <v/>
      </c>
      <c r="AL11" s="558">
        <v>6</v>
      </c>
      <c r="AM11" s="1078" t="str">
        <f t="shared" si="6"/>
        <v/>
      </c>
      <c r="AN11" s="1078"/>
      <c r="AO11" s="1078"/>
      <c r="AP11" s="1078"/>
      <c r="AQ11" s="1078"/>
      <c r="AR11" s="544"/>
      <c r="AS11" s="544"/>
      <c r="AT11" s="120" t="str">
        <f t="shared" si="15"/>
        <v/>
      </c>
      <c r="AU11" s="558">
        <v>6</v>
      </c>
      <c r="AV11" s="1078" t="str">
        <f t="shared" si="7"/>
        <v/>
      </c>
      <c r="AW11" s="1078"/>
      <c r="AX11" s="1078"/>
      <c r="AY11" s="1078"/>
      <c r="AZ11" s="1078"/>
      <c r="BA11" s="544"/>
      <c r="BB11" s="544"/>
      <c r="BC11" s="120" t="str">
        <f t="shared" si="16"/>
        <v/>
      </c>
      <c r="BD11" s="558">
        <v>6</v>
      </c>
      <c r="BE11" s="1078" t="str">
        <f t="shared" si="8"/>
        <v/>
      </c>
      <c r="BF11" s="1078"/>
      <c r="BG11" s="1078"/>
      <c r="BH11" s="1078"/>
      <c r="BI11" s="1078"/>
      <c r="BJ11" s="544"/>
      <c r="BK11" s="544"/>
      <c r="BL11" s="120" t="str">
        <f t="shared" si="17"/>
        <v/>
      </c>
      <c r="BM11" s="558">
        <v>6</v>
      </c>
      <c r="BN11" s="1078" t="str">
        <f t="shared" si="9"/>
        <v/>
      </c>
      <c r="BO11" s="1078"/>
      <c r="BP11" s="1078"/>
      <c r="BQ11" s="1078"/>
      <c r="BR11" s="1078"/>
      <c r="BS11" s="544"/>
      <c r="BT11" s="544"/>
      <c r="BU11" s="120" t="str">
        <f t="shared" si="18"/>
        <v/>
      </c>
      <c r="BV11" s="558">
        <v>6</v>
      </c>
      <c r="BW11" s="1078" t="str">
        <f t="shared" si="10"/>
        <v/>
      </c>
      <c r="BX11" s="1078"/>
      <c r="BY11" s="1078"/>
      <c r="BZ11" s="1078"/>
      <c r="CA11" s="1078"/>
      <c r="CB11" s="544"/>
      <c r="CC11" s="120" t="str">
        <f t="shared" si="19"/>
        <v/>
      </c>
      <c r="CF11">
        <v>6</v>
      </c>
      <c r="CG11" s="558" t="str">
        <f t="shared" si="11"/>
        <v/>
      </c>
      <c r="CI11">
        <v>6</v>
      </c>
      <c r="CJ11">
        <f>Character_Creation!C346</f>
        <v>0</v>
      </c>
      <c r="CL11">
        <f t="shared" si="20"/>
        <v>0</v>
      </c>
      <c r="CM11">
        <f>IF(CL11=0,0,1+COUNTIF(CM$6:CM10,"&gt;0"))</f>
        <v>0</v>
      </c>
      <c r="CN11">
        <f t="shared" si="21"/>
        <v>0</v>
      </c>
      <c r="CO11">
        <f>IF(CN11=0,0,1+COUNTIF(CO$6:CO10,"&gt;0"))</f>
        <v>0</v>
      </c>
      <c r="CP11">
        <f t="shared" si="22"/>
        <v>0</v>
      </c>
      <c r="CQ11">
        <f>IF(CP11=0,0,1+COUNTIF(CQ$6:CQ10,"&gt;0"))</f>
        <v>0</v>
      </c>
      <c r="CR11">
        <f t="shared" si="23"/>
        <v>0</v>
      </c>
      <c r="CS11">
        <f>IF(CR11=0,0,1+COUNTIF(CS$6:CS10,"&gt;0"))</f>
        <v>0</v>
      </c>
      <c r="CT11">
        <f t="shared" si="24"/>
        <v>0</v>
      </c>
      <c r="CU11">
        <f>IF(CT11=0,0,1+COUNTIF(CU$6:CU10,"&gt;0"))</f>
        <v>0</v>
      </c>
      <c r="CV11">
        <f t="shared" si="25"/>
        <v>0</v>
      </c>
      <c r="CW11">
        <f>IF(CV11=0,0,1+COUNTIF(CW$6:CW10,"&gt;0"))</f>
        <v>0</v>
      </c>
      <c r="CX11">
        <f t="shared" si="26"/>
        <v>0</v>
      </c>
      <c r="CY11">
        <f>IF(CX11=0,0,1+COUNTIF(CY$6:CY10,"&gt;0"))</f>
        <v>0</v>
      </c>
      <c r="CZ11">
        <f t="shared" si="27"/>
        <v>0</v>
      </c>
      <c r="DA11">
        <f>IF(CZ11=0,0,1+COUNTIF(DA$6:DA10,"&gt;0"))</f>
        <v>0</v>
      </c>
      <c r="DB11">
        <f t="shared" si="28"/>
        <v>0</v>
      </c>
      <c r="DC11">
        <f>IF(DB11=0,0,1+COUNTIF(DC$6:DC10,"&gt;0"))</f>
        <v>0</v>
      </c>
    </row>
    <row r="12" spans="1:107" ht="21" x14ac:dyDescent="0.25">
      <c r="A12" s="120"/>
      <c r="B12" s="558">
        <v>7</v>
      </c>
      <c r="C12" s="1078" t="str">
        <f t="shared" si="0"/>
        <v/>
      </c>
      <c r="D12" s="1078"/>
      <c r="E12" s="1078"/>
      <c r="F12" s="1078"/>
      <c r="G12" s="1078"/>
      <c r="H12" s="120"/>
      <c r="I12" s="120"/>
      <c r="J12" s="120" t="str">
        <f t="shared" si="12"/>
        <v/>
      </c>
      <c r="K12" s="558">
        <v>7</v>
      </c>
      <c r="L12" s="1078" t="str">
        <f t="shared" si="1"/>
        <v/>
      </c>
      <c r="M12" s="1078"/>
      <c r="N12" s="1078"/>
      <c r="O12" s="1078"/>
      <c r="P12" s="1078"/>
      <c r="Q12" s="120"/>
      <c r="R12" s="120"/>
      <c r="S12" s="120" t="str">
        <f t="shared" si="13"/>
        <v/>
      </c>
      <c r="T12" s="558">
        <v>7</v>
      </c>
      <c r="U12" s="1078" t="str">
        <f t="shared" si="2"/>
        <v/>
      </c>
      <c r="V12" s="1078"/>
      <c r="W12" s="1078"/>
      <c r="X12" s="1078"/>
      <c r="Y12" s="1078"/>
      <c r="Z12" s="544" t="str">
        <f t="shared" si="3"/>
        <v/>
      </c>
      <c r="AA12" s="544"/>
      <c r="AB12" s="120" t="str">
        <f t="shared" si="4"/>
        <v/>
      </c>
      <c r="AC12" s="558">
        <v>7</v>
      </c>
      <c r="AD12" s="1078" t="str">
        <f t="shared" si="5"/>
        <v/>
      </c>
      <c r="AE12" s="1078"/>
      <c r="AF12" s="1078"/>
      <c r="AG12" s="1078"/>
      <c r="AH12" s="1078"/>
      <c r="AI12" s="544" t="s">
        <v>3034</v>
      </c>
      <c r="AJ12" s="544"/>
      <c r="AK12" s="120" t="str">
        <f t="shared" si="14"/>
        <v/>
      </c>
      <c r="AL12" s="558">
        <v>7</v>
      </c>
      <c r="AM12" s="1078" t="str">
        <f t="shared" si="6"/>
        <v/>
      </c>
      <c r="AN12" s="1078"/>
      <c r="AO12" s="1078"/>
      <c r="AP12" s="1078"/>
      <c r="AQ12" s="1078"/>
      <c r="AR12" s="544"/>
      <c r="AS12" s="544"/>
      <c r="AT12" s="120" t="str">
        <f t="shared" si="15"/>
        <v/>
      </c>
      <c r="AU12" s="558">
        <v>7</v>
      </c>
      <c r="AV12" s="1078" t="str">
        <f t="shared" si="7"/>
        <v/>
      </c>
      <c r="AW12" s="1078"/>
      <c r="AX12" s="1078"/>
      <c r="AY12" s="1078"/>
      <c r="AZ12" s="1078"/>
      <c r="BA12" s="544"/>
      <c r="BB12" s="544"/>
      <c r="BC12" s="120" t="str">
        <f t="shared" si="16"/>
        <v/>
      </c>
      <c r="BD12" s="558">
        <v>7</v>
      </c>
      <c r="BE12" s="1078" t="str">
        <f t="shared" si="8"/>
        <v/>
      </c>
      <c r="BF12" s="1078"/>
      <c r="BG12" s="1078"/>
      <c r="BH12" s="1078"/>
      <c r="BI12" s="1078"/>
      <c r="BJ12" s="544"/>
      <c r="BK12" s="544"/>
      <c r="BL12" s="120" t="str">
        <f t="shared" si="17"/>
        <v/>
      </c>
      <c r="BM12" s="558">
        <v>7</v>
      </c>
      <c r="BN12" s="1078" t="str">
        <f t="shared" si="9"/>
        <v/>
      </c>
      <c r="BO12" s="1078"/>
      <c r="BP12" s="1078"/>
      <c r="BQ12" s="1078"/>
      <c r="BR12" s="1078"/>
      <c r="BS12" s="544"/>
      <c r="BT12" s="544"/>
      <c r="BU12" s="120" t="str">
        <f t="shared" si="18"/>
        <v/>
      </c>
      <c r="BV12" s="558">
        <v>7</v>
      </c>
      <c r="BW12" s="1078" t="str">
        <f t="shared" si="10"/>
        <v/>
      </c>
      <c r="BX12" s="1078"/>
      <c r="BY12" s="1078"/>
      <c r="BZ12" s="1078"/>
      <c r="CA12" s="1078"/>
      <c r="CB12" s="544"/>
      <c r="CC12" s="120" t="str">
        <f t="shared" si="19"/>
        <v/>
      </c>
      <c r="CF12">
        <v>7</v>
      </c>
      <c r="CG12" s="558" t="str">
        <f t="shared" si="11"/>
        <v/>
      </c>
      <c r="CI12">
        <v>7</v>
      </c>
      <c r="CJ12">
        <f>Character_Creation!C347</f>
        <v>0</v>
      </c>
      <c r="CL12">
        <f t="shared" si="20"/>
        <v>0</v>
      </c>
      <c r="CM12">
        <f>IF(CL12=0,0,1+COUNTIF(CM$6:CM11,"&gt;0"))</f>
        <v>0</v>
      </c>
      <c r="CN12">
        <f t="shared" si="21"/>
        <v>0</v>
      </c>
      <c r="CO12">
        <f>IF(CN12=0,0,1+COUNTIF(CO$6:CO11,"&gt;0"))</f>
        <v>0</v>
      </c>
      <c r="CP12">
        <f t="shared" si="22"/>
        <v>0</v>
      </c>
      <c r="CQ12">
        <f>IF(CP12=0,0,1+COUNTIF(CQ$6:CQ11,"&gt;0"))</f>
        <v>0</v>
      </c>
      <c r="CR12">
        <f t="shared" si="23"/>
        <v>0</v>
      </c>
      <c r="CS12">
        <f>IF(CR12=0,0,1+COUNTIF(CS$6:CS11,"&gt;0"))</f>
        <v>0</v>
      </c>
      <c r="CT12">
        <f t="shared" si="24"/>
        <v>0</v>
      </c>
      <c r="CU12">
        <f>IF(CT12=0,0,1+COUNTIF(CU$6:CU11,"&gt;0"))</f>
        <v>0</v>
      </c>
      <c r="CV12">
        <f t="shared" si="25"/>
        <v>0</v>
      </c>
      <c r="CW12">
        <f>IF(CV12=0,0,1+COUNTIF(CW$6:CW11,"&gt;0"))</f>
        <v>0</v>
      </c>
      <c r="CX12">
        <f t="shared" si="26"/>
        <v>0</v>
      </c>
      <c r="CY12">
        <f>IF(CX12=0,0,1+COUNTIF(CY$6:CY11,"&gt;0"))</f>
        <v>0</v>
      </c>
      <c r="CZ12">
        <f t="shared" si="27"/>
        <v>0</v>
      </c>
      <c r="DA12">
        <f>IF(CZ12=0,0,1+COUNTIF(DA$6:DA11,"&gt;0"))</f>
        <v>0</v>
      </c>
      <c r="DB12">
        <f t="shared" si="28"/>
        <v>0</v>
      </c>
      <c r="DC12">
        <f>IF(DB12=0,0,1+COUNTIF(DC$6:DC11,"&gt;0"))</f>
        <v>0</v>
      </c>
    </row>
    <row r="13" spans="1:107" ht="21" x14ac:dyDescent="0.25">
      <c r="A13" s="120"/>
      <c r="B13" s="558">
        <v>8</v>
      </c>
      <c r="C13" s="1078" t="str">
        <f t="shared" si="0"/>
        <v/>
      </c>
      <c r="D13" s="1078"/>
      <c r="E13" s="1078"/>
      <c r="F13" s="1078"/>
      <c r="G13" s="1078"/>
      <c r="H13" s="120"/>
      <c r="I13" s="120"/>
      <c r="J13" s="120" t="str">
        <f t="shared" si="12"/>
        <v/>
      </c>
      <c r="K13" s="558">
        <v>8</v>
      </c>
      <c r="L13" s="1078" t="str">
        <f t="shared" si="1"/>
        <v/>
      </c>
      <c r="M13" s="1078"/>
      <c r="N13" s="1078"/>
      <c r="O13" s="1078"/>
      <c r="P13" s="1078"/>
      <c r="Q13" s="120"/>
      <c r="R13" s="120"/>
      <c r="S13" s="120" t="str">
        <f t="shared" si="13"/>
        <v/>
      </c>
      <c r="T13" s="558">
        <v>8</v>
      </c>
      <c r="U13" s="1078" t="str">
        <f t="shared" si="2"/>
        <v/>
      </c>
      <c r="V13" s="1078"/>
      <c r="W13" s="1078"/>
      <c r="X13" s="1078"/>
      <c r="Y13" s="1078"/>
      <c r="Z13" s="544" t="str">
        <f t="shared" si="3"/>
        <v/>
      </c>
      <c r="AA13" s="544"/>
      <c r="AB13" s="120" t="str">
        <f t="shared" si="4"/>
        <v/>
      </c>
      <c r="AC13" s="558">
        <v>8</v>
      </c>
      <c r="AD13" s="1078" t="str">
        <f t="shared" si="5"/>
        <v/>
      </c>
      <c r="AE13" s="1078"/>
      <c r="AF13" s="1078"/>
      <c r="AG13" s="1078"/>
      <c r="AH13" s="1078"/>
      <c r="AI13" s="544" t="s">
        <v>3034</v>
      </c>
      <c r="AJ13" s="544"/>
      <c r="AK13" s="120" t="str">
        <f t="shared" si="14"/>
        <v/>
      </c>
      <c r="AL13" s="558">
        <v>8</v>
      </c>
      <c r="AM13" s="1078" t="str">
        <f t="shared" si="6"/>
        <v/>
      </c>
      <c r="AN13" s="1078"/>
      <c r="AO13" s="1078"/>
      <c r="AP13" s="1078"/>
      <c r="AQ13" s="1078"/>
      <c r="AR13" s="544"/>
      <c r="AS13" s="544"/>
      <c r="AT13" s="120" t="str">
        <f t="shared" si="15"/>
        <v/>
      </c>
      <c r="AU13" s="558">
        <v>8</v>
      </c>
      <c r="AV13" s="1078" t="str">
        <f t="shared" si="7"/>
        <v/>
      </c>
      <c r="AW13" s="1078"/>
      <c r="AX13" s="1078"/>
      <c r="AY13" s="1078"/>
      <c r="AZ13" s="1078"/>
      <c r="BA13" s="544"/>
      <c r="BB13" s="544"/>
      <c r="BC13" s="120" t="str">
        <f t="shared" si="16"/>
        <v/>
      </c>
      <c r="BD13" s="558">
        <v>8</v>
      </c>
      <c r="BE13" s="1078" t="str">
        <f t="shared" si="8"/>
        <v/>
      </c>
      <c r="BF13" s="1078"/>
      <c r="BG13" s="1078"/>
      <c r="BH13" s="1078"/>
      <c r="BI13" s="1078"/>
      <c r="BJ13" s="544"/>
      <c r="BK13" s="544"/>
      <c r="BL13" s="120" t="str">
        <f t="shared" si="17"/>
        <v/>
      </c>
      <c r="BM13" s="558">
        <v>8</v>
      </c>
      <c r="BN13" s="1078" t="str">
        <f t="shared" si="9"/>
        <v/>
      </c>
      <c r="BO13" s="1078"/>
      <c r="BP13" s="1078"/>
      <c r="BQ13" s="1078"/>
      <c r="BR13" s="1078"/>
      <c r="BS13" s="544"/>
      <c r="BT13" s="544"/>
      <c r="BU13" s="120" t="str">
        <f t="shared" si="18"/>
        <v/>
      </c>
      <c r="BV13" s="558">
        <v>8</v>
      </c>
      <c r="BW13" s="1078" t="str">
        <f t="shared" si="10"/>
        <v/>
      </c>
      <c r="BX13" s="1078"/>
      <c r="BY13" s="1078"/>
      <c r="BZ13" s="1078"/>
      <c r="CA13" s="1078"/>
      <c r="CB13" s="544"/>
      <c r="CC13" s="120" t="str">
        <f t="shared" si="19"/>
        <v/>
      </c>
      <c r="CF13">
        <v>8</v>
      </c>
      <c r="CG13" s="558" t="str">
        <f t="shared" si="11"/>
        <v/>
      </c>
      <c r="CI13">
        <v>8</v>
      </c>
      <c r="CJ13">
        <f>Character_Creation!C348</f>
        <v>0</v>
      </c>
      <c r="CL13">
        <f t="shared" si="20"/>
        <v>0</v>
      </c>
      <c r="CM13">
        <f>IF(CL13=0,0,1+COUNTIF(CM$6:CM12,"&gt;0"))</f>
        <v>0</v>
      </c>
      <c r="CN13">
        <f t="shared" si="21"/>
        <v>0</v>
      </c>
      <c r="CO13">
        <f>IF(CN13=0,0,1+COUNTIF(CO$6:CO12,"&gt;0"))</f>
        <v>0</v>
      </c>
      <c r="CP13">
        <f t="shared" si="22"/>
        <v>0</v>
      </c>
      <c r="CQ13">
        <f>IF(CP13=0,0,1+COUNTIF(CQ$6:CQ12,"&gt;0"))</f>
        <v>0</v>
      </c>
      <c r="CR13">
        <f t="shared" si="23"/>
        <v>0</v>
      </c>
      <c r="CS13">
        <f>IF(CR13=0,0,1+COUNTIF(CS$6:CS12,"&gt;0"))</f>
        <v>0</v>
      </c>
      <c r="CT13">
        <f t="shared" si="24"/>
        <v>0</v>
      </c>
      <c r="CU13">
        <f>IF(CT13=0,0,1+COUNTIF(CU$6:CU12,"&gt;0"))</f>
        <v>0</v>
      </c>
      <c r="CV13">
        <f t="shared" si="25"/>
        <v>0</v>
      </c>
      <c r="CW13">
        <f>IF(CV13=0,0,1+COUNTIF(CW$6:CW12,"&gt;0"))</f>
        <v>0</v>
      </c>
      <c r="CX13">
        <f t="shared" si="26"/>
        <v>0</v>
      </c>
      <c r="CY13">
        <f>IF(CX13=0,0,1+COUNTIF(CY$6:CY12,"&gt;0"))</f>
        <v>0</v>
      </c>
      <c r="CZ13">
        <f t="shared" si="27"/>
        <v>0</v>
      </c>
      <c r="DA13">
        <f>IF(CZ13=0,0,1+COUNTIF(DA$6:DA12,"&gt;0"))</f>
        <v>0</v>
      </c>
      <c r="DB13">
        <f t="shared" si="28"/>
        <v>0</v>
      </c>
      <c r="DC13">
        <f>IF(DB13=0,0,1+COUNTIF(DC$6:DC12,"&gt;0"))</f>
        <v>0</v>
      </c>
    </row>
    <row r="14" spans="1:107" ht="21" x14ac:dyDescent="0.25">
      <c r="A14" s="120"/>
      <c r="B14" s="558">
        <v>9</v>
      </c>
      <c r="C14" s="1078" t="str">
        <f t="shared" si="0"/>
        <v/>
      </c>
      <c r="D14" s="1078"/>
      <c r="E14" s="1078"/>
      <c r="F14" s="1078"/>
      <c r="G14" s="1078"/>
      <c r="H14" s="120"/>
      <c r="I14" s="120"/>
      <c r="J14" s="120" t="str">
        <f t="shared" si="12"/>
        <v/>
      </c>
      <c r="K14" s="558">
        <v>9</v>
      </c>
      <c r="L14" s="1078" t="str">
        <f t="shared" si="1"/>
        <v/>
      </c>
      <c r="M14" s="1078"/>
      <c r="N14" s="1078"/>
      <c r="O14" s="1078"/>
      <c r="P14" s="1078"/>
      <c r="Q14" s="120"/>
      <c r="R14" s="120"/>
      <c r="S14" s="120" t="str">
        <f t="shared" si="13"/>
        <v/>
      </c>
      <c r="T14" s="558">
        <v>9</v>
      </c>
      <c r="U14" s="1078" t="str">
        <f t="shared" si="2"/>
        <v/>
      </c>
      <c r="V14" s="1078"/>
      <c r="W14" s="1078"/>
      <c r="X14" s="1078"/>
      <c r="Y14" s="1078"/>
      <c r="Z14" s="544" t="str">
        <f t="shared" si="3"/>
        <v/>
      </c>
      <c r="AA14" s="544"/>
      <c r="AB14" s="120" t="str">
        <f t="shared" si="4"/>
        <v/>
      </c>
      <c r="AC14" s="558">
        <v>9</v>
      </c>
      <c r="AD14" s="1078" t="str">
        <f t="shared" si="5"/>
        <v/>
      </c>
      <c r="AE14" s="1078"/>
      <c r="AF14" s="1078"/>
      <c r="AG14" s="1078"/>
      <c r="AH14" s="1078"/>
      <c r="AI14" s="544" t="s">
        <v>3034</v>
      </c>
      <c r="AJ14" s="544"/>
      <c r="AK14" s="120" t="str">
        <f t="shared" si="14"/>
        <v/>
      </c>
      <c r="AL14" s="558">
        <v>9</v>
      </c>
      <c r="AM14" s="1078" t="str">
        <f t="shared" si="6"/>
        <v/>
      </c>
      <c r="AN14" s="1078"/>
      <c r="AO14" s="1078"/>
      <c r="AP14" s="1078"/>
      <c r="AQ14" s="1078"/>
      <c r="AR14" s="544"/>
      <c r="AS14" s="544"/>
      <c r="AT14" s="120" t="str">
        <f t="shared" si="15"/>
        <v/>
      </c>
      <c r="AU14" s="558">
        <v>9</v>
      </c>
      <c r="AV14" s="1078" t="str">
        <f t="shared" si="7"/>
        <v/>
      </c>
      <c r="AW14" s="1078"/>
      <c r="AX14" s="1078"/>
      <c r="AY14" s="1078"/>
      <c r="AZ14" s="1078"/>
      <c r="BA14" s="544"/>
      <c r="BB14" s="544"/>
      <c r="BC14" s="120" t="str">
        <f t="shared" si="16"/>
        <v/>
      </c>
      <c r="BD14" s="558">
        <v>9</v>
      </c>
      <c r="BE14" s="1078" t="str">
        <f t="shared" si="8"/>
        <v/>
      </c>
      <c r="BF14" s="1078"/>
      <c r="BG14" s="1078"/>
      <c r="BH14" s="1078"/>
      <c r="BI14" s="1078"/>
      <c r="BJ14" s="544"/>
      <c r="BK14" s="544"/>
      <c r="BL14" s="120" t="str">
        <f t="shared" si="17"/>
        <v/>
      </c>
      <c r="BM14" s="558">
        <v>9</v>
      </c>
      <c r="BN14" s="1078" t="str">
        <f t="shared" si="9"/>
        <v/>
      </c>
      <c r="BO14" s="1078"/>
      <c r="BP14" s="1078"/>
      <c r="BQ14" s="1078"/>
      <c r="BR14" s="1078"/>
      <c r="BS14" s="544"/>
      <c r="BT14" s="544"/>
      <c r="BU14" s="120" t="str">
        <f t="shared" si="18"/>
        <v/>
      </c>
      <c r="BV14" s="558">
        <v>9</v>
      </c>
      <c r="BW14" s="1078" t="str">
        <f t="shared" si="10"/>
        <v/>
      </c>
      <c r="BX14" s="1078"/>
      <c r="BY14" s="1078"/>
      <c r="BZ14" s="1078"/>
      <c r="CA14" s="1078"/>
      <c r="CB14" s="544"/>
      <c r="CC14" s="120" t="str">
        <f t="shared" si="19"/>
        <v/>
      </c>
      <c r="CF14">
        <v>9</v>
      </c>
      <c r="CG14" s="558" t="str">
        <f t="shared" si="11"/>
        <v/>
      </c>
      <c r="CI14">
        <v>9</v>
      </c>
      <c r="CJ14">
        <f>Character_Creation!C349</f>
        <v>0</v>
      </c>
      <c r="CL14">
        <f t="shared" si="20"/>
        <v>0</v>
      </c>
      <c r="CM14">
        <f>IF(CL14=0,0,1+COUNTIF(CM$6:CM13,"&gt;0"))</f>
        <v>0</v>
      </c>
      <c r="CN14">
        <f t="shared" si="21"/>
        <v>0</v>
      </c>
      <c r="CO14">
        <f>IF(CN14=0,0,1+COUNTIF(CO$6:CO13,"&gt;0"))</f>
        <v>0</v>
      </c>
      <c r="CP14">
        <f t="shared" si="22"/>
        <v>0</v>
      </c>
      <c r="CQ14">
        <f>IF(CP14=0,0,1+COUNTIF(CQ$6:CQ13,"&gt;0"))</f>
        <v>0</v>
      </c>
      <c r="CR14">
        <f t="shared" si="23"/>
        <v>0</v>
      </c>
      <c r="CS14">
        <f>IF(CR14=0,0,1+COUNTIF(CS$6:CS13,"&gt;0"))</f>
        <v>0</v>
      </c>
      <c r="CT14">
        <f t="shared" si="24"/>
        <v>0</v>
      </c>
      <c r="CU14">
        <f>IF(CT14=0,0,1+COUNTIF(CU$6:CU13,"&gt;0"))</f>
        <v>0</v>
      </c>
      <c r="CV14">
        <f t="shared" si="25"/>
        <v>0</v>
      </c>
      <c r="CW14">
        <f>IF(CV14=0,0,1+COUNTIF(CW$6:CW13,"&gt;0"))</f>
        <v>0</v>
      </c>
      <c r="CX14">
        <f t="shared" si="26"/>
        <v>0</v>
      </c>
      <c r="CY14">
        <f>IF(CX14=0,0,1+COUNTIF(CY$6:CY13,"&gt;0"))</f>
        <v>0</v>
      </c>
      <c r="CZ14">
        <f t="shared" si="27"/>
        <v>0</v>
      </c>
      <c r="DA14">
        <f>IF(CZ14=0,0,1+COUNTIF(DA$6:DA13,"&gt;0"))</f>
        <v>0</v>
      </c>
      <c r="DB14">
        <f t="shared" si="28"/>
        <v>0</v>
      </c>
      <c r="DC14">
        <f>IF(DB14=0,0,1+COUNTIF(DC$6:DC13,"&gt;0"))</f>
        <v>0</v>
      </c>
    </row>
    <row r="15" spans="1:107" ht="21" x14ac:dyDescent="0.25">
      <c r="A15" s="120"/>
      <c r="B15" s="558">
        <v>10</v>
      </c>
      <c r="C15" s="1078" t="str">
        <f t="shared" si="0"/>
        <v/>
      </c>
      <c r="D15" s="1078"/>
      <c r="E15" s="1078"/>
      <c r="F15" s="1078"/>
      <c r="G15" s="1078"/>
      <c r="H15" s="120"/>
      <c r="I15" s="120"/>
      <c r="J15" s="120" t="str">
        <f t="shared" si="12"/>
        <v/>
      </c>
      <c r="K15" s="558">
        <v>10</v>
      </c>
      <c r="L15" s="1078" t="str">
        <f t="shared" si="1"/>
        <v/>
      </c>
      <c r="M15" s="1078"/>
      <c r="N15" s="1078"/>
      <c r="O15" s="1078"/>
      <c r="P15" s="1078"/>
      <c r="Q15" s="120"/>
      <c r="R15" s="120"/>
      <c r="S15" s="120" t="str">
        <f t="shared" si="13"/>
        <v/>
      </c>
      <c r="T15" s="558">
        <v>10</v>
      </c>
      <c r="U15" s="1078" t="str">
        <f t="shared" si="2"/>
        <v/>
      </c>
      <c r="V15" s="1078"/>
      <c r="W15" s="1078"/>
      <c r="X15" s="1078"/>
      <c r="Y15" s="1078"/>
      <c r="Z15" s="544" t="str">
        <f t="shared" si="3"/>
        <v/>
      </c>
      <c r="AA15" s="544"/>
      <c r="AB15" s="120" t="str">
        <f t="shared" si="4"/>
        <v/>
      </c>
      <c r="AC15" s="558">
        <v>10</v>
      </c>
      <c r="AD15" s="1078" t="str">
        <f t="shared" si="5"/>
        <v/>
      </c>
      <c r="AE15" s="1078"/>
      <c r="AF15" s="1078"/>
      <c r="AG15" s="1078"/>
      <c r="AH15" s="1078"/>
      <c r="AI15" s="544" t="s">
        <v>3034</v>
      </c>
      <c r="AJ15" s="544"/>
      <c r="AK15" s="120" t="str">
        <f t="shared" si="14"/>
        <v/>
      </c>
      <c r="AL15" s="558">
        <v>10</v>
      </c>
      <c r="AM15" s="1078" t="str">
        <f t="shared" si="6"/>
        <v/>
      </c>
      <c r="AN15" s="1078"/>
      <c r="AO15" s="1078"/>
      <c r="AP15" s="1078"/>
      <c r="AQ15" s="1078"/>
      <c r="AR15" s="544"/>
      <c r="AS15" s="544"/>
      <c r="AT15" s="120" t="str">
        <f t="shared" si="15"/>
        <v/>
      </c>
      <c r="AU15" s="558">
        <v>10</v>
      </c>
      <c r="AV15" s="1078" t="str">
        <f t="shared" si="7"/>
        <v/>
      </c>
      <c r="AW15" s="1078"/>
      <c r="AX15" s="1078"/>
      <c r="AY15" s="1078"/>
      <c r="AZ15" s="1078"/>
      <c r="BA15" s="544"/>
      <c r="BB15" s="544"/>
      <c r="BC15" s="120" t="str">
        <f t="shared" si="16"/>
        <v/>
      </c>
      <c r="BD15" s="558">
        <v>10</v>
      </c>
      <c r="BE15" s="1078" t="str">
        <f t="shared" si="8"/>
        <v/>
      </c>
      <c r="BF15" s="1078"/>
      <c r="BG15" s="1078"/>
      <c r="BH15" s="1078"/>
      <c r="BI15" s="1078"/>
      <c r="BJ15" s="544"/>
      <c r="BK15" s="544"/>
      <c r="BL15" s="120" t="str">
        <f t="shared" si="17"/>
        <v/>
      </c>
      <c r="BM15" s="558">
        <v>10</v>
      </c>
      <c r="BN15" s="1078" t="str">
        <f t="shared" si="9"/>
        <v/>
      </c>
      <c r="BO15" s="1078"/>
      <c r="BP15" s="1078"/>
      <c r="BQ15" s="1078"/>
      <c r="BR15" s="1078"/>
      <c r="BS15" s="544"/>
      <c r="BT15" s="544"/>
      <c r="BU15" s="120" t="str">
        <f t="shared" si="18"/>
        <v/>
      </c>
      <c r="BV15" s="558">
        <v>10</v>
      </c>
      <c r="BW15" s="1078" t="str">
        <f t="shared" si="10"/>
        <v/>
      </c>
      <c r="BX15" s="1078"/>
      <c r="BY15" s="1078"/>
      <c r="BZ15" s="1078"/>
      <c r="CA15" s="1078"/>
      <c r="CB15" s="544"/>
      <c r="CC15" s="120" t="str">
        <f t="shared" si="19"/>
        <v/>
      </c>
      <c r="CI15">
        <v>10</v>
      </c>
      <c r="CJ15">
        <f>Character_Creation!C350</f>
        <v>0</v>
      </c>
      <c r="CL15">
        <f t="shared" si="20"/>
        <v>0</v>
      </c>
      <c r="CM15">
        <f>IF(CL15=0,0,1+COUNTIF(CM$6:CM14,"&gt;0"))</f>
        <v>0</v>
      </c>
      <c r="CN15">
        <f t="shared" si="21"/>
        <v>0</v>
      </c>
      <c r="CO15">
        <f>IF(CN15=0,0,1+COUNTIF(CO$6:CO14,"&gt;0"))</f>
        <v>0</v>
      </c>
      <c r="CP15">
        <f t="shared" si="22"/>
        <v>0</v>
      </c>
      <c r="CQ15">
        <f>IF(CP15=0,0,1+COUNTIF(CQ$6:CQ14,"&gt;0"))</f>
        <v>0</v>
      </c>
      <c r="CR15">
        <f t="shared" si="23"/>
        <v>0</v>
      </c>
      <c r="CS15">
        <f>IF(CR15=0,0,1+COUNTIF(CS$6:CS14,"&gt;0"))</f>
        <v>0</v>
      </c>
      <c r="CT15">
        <f t="shared" si="24"/>
        <v>0</v>
      </c>
      <c r="CU15">
        <f>IF(CT15=0,0,1+COUNTIF(CU$6:CU14,"&gt;0"))</f>
        <v>0</v>
      </c>
      <c r="CV15">
        <f t="shared" si="25"/>
        <v>0</v>
      </c>
      <c r="CW15">
        <f>IF(CV15=0,0,1+COUNTIF(CW$6:CW14,"&gt;0"))</f>
        <v>0</v>
      </c>
      <c r="CX15">
        <f t="shared" si="26"/>
        <v>0</v>
      </c>
      <c r="CY15">
        <f>IF(CX15=0,0,1+COUNTIF(CY$6:CY14,"&gt;0"))</f>
        <v>0</v>
      </c>
      <c r="CZ15">
        <f t="shared" si="27"/>
        <v>0</v>
      </c>
      <c r="DA15">
        <f>IF(CZ15=0,0,1+COUNTIF(DA$6:DA14,"&gt;0"))</f>
        <v>0</v>
      </c>
      <c r="DB15">
        <f t="shared" si="28"/>
        <v>0</v>
      </c>
      <c r="DC15">
        <f>IF(DB15=0,0,1+COUNTIF(DC$6:DC14,"&gt;0"))</f>
        <v>0</v>
      </c>
    </row>
    <row r="16" spans="1:107" ht="21" x14ac:dyDescent="0.25">
      <c r="A16" s="120"/>
      <c r="B16" s="558">
        <v>11</v>
      </c>
      <c r="C16" s="1078" t="str">
        <f t="shared" si="0"/>
        <v/>
      </c>
      <c r="D16" s="1078"/>
      <c r="E16" s="1078"/>
      <c r="F16" s="1078"/>
      <c r="G16" s="1078"/>
      <c r="H16" s="120"/>
      <c r="I16" s="120"/>
      <c r="J16" s="120" t="str">
        <f t="shared" si="12"/>
        <v/>
      </c>
      <c r="K16" s="558">
        <v>11</v>
      </c>
      <c r="L16" s="1078" t="str">
        <f t="shared" si="1"/>
        <v/>
      </c>
      <c r="M16" s="1078"/>
      <c r="N16" s="1078"/>
      <c r="O16" s="1078"/>
      <c r="P16" s="1078"/>
      <c r="Q16" s="120"/>
      <c r="R16" s="120"/>
      <c r="S16" s="120" t="str">
        <f t="shared" si="13"/>
        <v/>
      </c>
      <c r="T16" s="558">
        <v>11</v>
      </c>
      <c r="U16" s="1078" t="str">
        <f t="shared" si="2"/>
        <v/>
      </c>
      <c r="V16" s="1078"/>
      <c r="W16" s="1078"/>
      <c r="X16" s="1078"/>
      <c r="Y16" s="1078"/>
      <c r="Z16" s="544" t="str">
        <f t="shared" si="3"/>
        <v/>
      </c>
      <c r="AA16" s="544"/>
      <c r="AB16" s="120" t="str">
        <f t="shared" si="4"/>
        <v/>
      </c>
      <c r="AC16" s="558">
        <v>11</v>
      </c>
      <c r="AD16" s="1078" t="str">
        <f t="shared" si="5"/>
        <v/>
      </c>
      <c r="AE16" s="1078"/>
      <c r="AF16" s="1078"/>
      <c r="AG16" s="1078"/>
      <c r="AH16" s="1078"/>
      <c r="AI16" s="544" t="s">
        <v>3034</v>
      </c>
      <c r="AJ16" s="544"/>
      <c r="AK16" s="120" t="str">
        <f t="shared" si="14"/>
        <v/>
      </c>
      <c r="AL16" s="558">
        <v>11</v>
      </c>
      <c r="AM16" s="1078" t="str">
        <f t="shared" si="6"/>
        <v/>
      </c>
      <c r="AN16" s="1078"/>
      <c r="AO16" s="1078"/>
      <c r="AP16" s="1078"/>
      <c r="AQ16" s="1078"/>
      <c r="AR16" s="544"/>
      <c r="AS16" s="544"/>
      <c r="AT16" s="120" t="str">
        <f t="shared" si="15"/>
        <v/>
      </c>
      <c r="AU16" s="558">
        <v>11</v>
      </c>
      <c r="AV16" s="1078" t="str">
        <f t="shared" si="7"/>
        <v/>
      </c>
      <c r="AW16" s="1078"/>
      <c r="AX16" s="1078"/>
      <c r="AY16" s="1078"/>
      <c r="AZ16" s="1078"/>
      <c r="BA16" s="544"/>
      <c r="BB16" s="544"/>
      <c r="BC16" s="120" t="str">
        <f t="shared" si="16"/>
        <v/>
      </c>
      <c r="BD16" s="558">
        <v>11</v>
      </c>
      <c r="BE16" s="1078" t="str">
        <f t="shared" si="8"/>
        <v/>
      </c>
      <c r="BF16" s="1078"/>
      <c r="BG16" s="1078"/>
      <c r="BH16" s="1078"/>
      <c r="BI16" s="1078"/>
      <c r="BJ16" s="544"/>
      <c r="BK16" s="544"/>
      <c r="BL16" s="120" t="str">
        <f t="shared" si="17"/>
        <v/>
      </c>
      <c r="BM16" s="558">
        <v>11</v>
      </c>
      <c r="BN16" s="1078" t="str">
        <f t="shared" si="9"/>
        <v/>
      </c>
      <c r="BO16" s="1078"/>
      <c r="BP16" s="1078"/>
      <c r="BQ16" s="1078"/>
      <c r="BR16" s="1078"/>
      <c r="BS16" s="544"/>
      <c r="BT16" s="544"/>
      <c r="BU16" s="120" t="str">
        <f t="shared" si="18"/>
        <v/>
      </c>
      <c r="BV16" s="558">
        <v>11</v>
      </c>
      <c r="BW16" s="1078" t="str">
        <f t="shared" si="10"/>
        <v/>
      </c>
      <c r="BX16" s="1078"/>
      <c r="BY16" s="1078"/>
      <c r="BZ16" s="1078"/>
      <c r="CA16" s="1078"/>
      <c r="CB16" s="544"/>
      <c r="CC16" s="120" t="str">
        <f t="shared" si="19"/>
        <v/>
      </c>
      <c r="CI16">
        <v>11</v>
      </c>
      <c r="CJ16">
        <f>Character_Creation!C351</f>
        <v>0</v>
      </c>
      <c r="CL16">
        <f t="shared" si="20"/>
        <v>0</v>
      </c>
      <c r="CM16">
        <f>IF(CL16=0,0,1+COUNTIF(CM$6:CM15,"&gt;0"))</f>
        <v>0</v>
      </c>
      <c r="CN16">
        <f t="shared" si="21"/>
        <v>0</v>
      </c>
      <c r="CO16">
        <f>IF(CN16=0,0,1+COUNTIF(CO$6:CO15,"&gt;0"))</f>
        <v>0</v>
      </c>
      <c r="CP16">
        <f t="shared" si="22"/>
        <v>0</v>
      </c>
      <c r="CQ16">
        <f>IF(CP16=0,0,1+COUNTIF(CQ$6:CQ15,"&gt;0"))</f>
        <v>0</v>
      </c>
      <c r="CR16">
        <f t="shared" si="23"/>
        <v>0</v>
      </c>
      <c r="CS16">
        <f>IF(CR16=0,0,1+COUNTIF(CS$6:CS15,"&gt;0"))</f>
        <v>0</v>
      </c>
      <c r="CT16">
        <f t="shared" si="24"/>
        <v>0</v>
      </c>
      <c r="CU16">
        <f>IF(CT16=0,0,1+COUNTIF(CU$6:CU15,"&gt;0"))</f>
        <v>0</v>
      </c>
      <c r="CV16">
        <f t="shared" si="25"/>
        <v>0</v>
      </c>
      <c r="CW16">
        <f>IF(CV16=0,0,1+COUNTIF(CW$6:CW15,"&gt;0"))</f>
        <v>0</v>
      </c>
      <c r="CX16">
        <f t="shared" si="26"/>
        <v>0</v>
      </c>
      <c r="CY16">
        <f>IF(CX16=0,0,1+COUNTIF(CY$6:CY15,"&gt;0"))</f>
        <v>0</v>
      </c>
      <c r="CZ16">
        <f t="shared" si="27"/>
        <v>0</v>
      </c>
      <c r="DA16">
        <f>IF(CZ16=0,0,1+COUNTIF(DA$6:DA15,"&gt;0"))</f>
        <v>0</v>
      </c>
      <c r="DB16">
        <f t="shared" si="28"/>
        <v>0</v>
      </c>
      <c r="DC16">
        <f>IF(DB16=0,0,1+COUNTIF(DC$6:DC15,"&gt;0"))</f>
        <v>0</v>
      </c>
    </row>
    <row r="17" spans="1:107" ht="21" x14ac:dyDescent="0.25">
      <c r="A17" s="120"/>
      <c r="B17" s="558">
        <v>12</v>
      </c>
      <c r="C17" s="1078" t="str">
        <f t="shared" si="0"/>
        <v/>
      </c>
      <c r="D17" s="1078"/>
      <c r="E17" s="1078"/>
      <c r="F17" s="1078"/>
      <c r="G17" s="1078"/>
      <c r="H17" s="120"/>
      <c r="I17" s="120"/>
      <c r="J17" s="120" t="str">
        <f t="shared" si="12"/>
        <v/>
      </c>
      <c r="K17" s="558">
        <v>12</v>
      </c>
      <c r="L17" s="1078" t="str">
        <f t="shared" si="1"/>
        <v/>
      </c>
      <c r="M17" s="1078"/>
      <c r="N17" s="1078"/>
      <c r="O17" s="1078"/>
      <c r="P17" s="1078"/>
      <c r="Q17" s="120"/>
      <c r="R17" s="120"/>
      <c r="S17" s="120" t="str">
        <f t="shared" si="13"/>
        <v/>
      </c>
      <c r="T17" s="558">
        <v>12</v>
      </c>
      <c r="U17" s="1078" t="str">
        <f t="shared" si="2"/>
        <v/>
      </c>
      <c r="V17" s="1078"/>
      <c r="W17" s="1078"/>
      <c r="X17" s="1078"/>
      <c r="Y17" s="1078"/>
      <c r="Z17" s="544" t="str">
        <f t="shared" si="3"/>
        <v/>
      </c>
      <c r="AA17" s="544"/>
      <c r="AB17" s="120" t="str">
        <f t="shared" si="4"/>
        <v/>
      </c>
      <c r="AC17" s="558">
        <v>12</v>
      </c>
      <c r="AD17" s="1078" t="str">
        <f t="shared" si="5"/>
        <v/>
      </c>
      <c r="AE17" s="1078"/>
      <c r="AF17" s="1078"/>
      <c r="AG17" s="1078"/>
      <c r="AH17" s="1078"/>
      <c r="AI17" s="544" t="s">
        <v>3034</v>
      </c>
      <c r="AJ17" s="544"/>
      <c r="AK17" s="120" t="str">
        <f t="shared" si="14"/>
        <v/>
      </c>
      <c r="AL17" s="558">
        <v>12</v>
      </c>
      <c r="AM17" s="1078" t="str">
        <f t="shared" si="6"/>
        <v/>
      </c>
      <c r="AN17" s="1078"/>
      <c r="AO17" s="1078"/>
      <c r="AP17" s="1078"/>
      <c r="AQ17" s="1078"/>
      <c r="AR17" s="544"/>
      <c r="AS17" s="544"/>
      <c r="AT17" s="120" t="str">
        <f t="shared" si="15"/>
        <v/>
      </c>
      <c r="AU17" s="558">
        <v>12</v>
      </c>
      <c r="AV17" s="1078" t="str">
        <f t="shared" si="7"/>
        <v/>
      </c>
      <c r="AW17" s="1078"/>
      <c r="AX17" s="1078"/>
      <c r="AY17" s="1078"/>
      <c r="AZ17" s="1078"/>
      <c r="BA17" s="544"/>
      <c r="BB17" s="544"/>
      <c r="BC17" s="120" t="str">
        <f t="shared" si="16"/>
        <v/>
      </c>
      <c r="BD17" s="558">
        <v>12</v>
      </c>
      <c r="BE17" s="1078" t="str">
        <f t="shared" si="8"/>
        <v/>
      </c>
      <c r="BF17" s="1078"/>
      <c r="BG17" s="1078"/>
      <c r="BH17" s="1078"/>
      <c r="BI17" s="1078"/>
      <c r="BJ17" s="544"/>
      <c r="BK17" s="544"/>
      <c r="BL17" s="120" t="str">
        <f t="shared" si="17"/>
        <v/>
      </c>
      <c r="BM17" s="558">
        <v>12</v>
      </c>
      <c r="BN17" s="1078" t="str">
        <f t="shared" si="9"/>
        <v/>
      </c>
      <c r="BO17" s="1078"/>
      <c r="BP17" s="1078"/>
      <c r="BQ17" s="1078"/>
      <c r="BR17" s="1078"/>
      <c r="BS17" s="544"/>
      <c r="BT17" s="544"/>
      <c r="BU17" s="120" t="str">
        <f t="shared" si="18"/>
        <v/>
      </c>
      <c r="BV17" s="558">
        <v>12</v>
      </c>
      <c r="BW17" s="1078" t="str">
        <f t="shared" si="10"/>
        <v/>
      </c>
      <c r="BX17" s="1078"/>
      <c r="BY17" s="1078"/>
      <c r="BZ17" s="1078"/>
      <c r="CA17" s="1078"/>
      <c r="CB17" s="544"/>
      <c r="CC17" s="120" t="str">
        <f t="shared" si="19"/>
        <v/>
      </c>
      <c r="CI17">
        <v>12</v>
      </c>
      <c r="CJ17">
        <f>Character_Creation!C352</f>
        <v>0</v>
      </c>
      <c r="CL17">
        <f t="shared" si="20"/>
        <v>0</v>
      </c>
      <c r="CM17">
        <f>IF(CL17=0,0,1+COUNTIF(CM$6:CM16,"&gt;0"))</f>
        <v>0</v>
      </c>
      <c r="CN17">
        <f t="shared" si="21"/>
        <v>0</v>
      </c>
      <c r="CO17">
        <f>IF(CN17=0,0,1+COUNTIF(CO$6:CO16,"&gt;0"))</f>
        <v>0</v>
      </c>
      <c r="CP17">
        <f t="shared" si="22"/>
        <v>0</v>
      </c>
      <c r="CQ17">
        <f>IF(CP17=0,0,1+COUNTIF(CQ$6:CQ16,"&gt;0"))</f>
        <v>0</v>
      </c>
      <c r="CR17">
        <f t="shared" si="23"/>
        <v>0</v>
      </c>
      <c r="CS17">
        <f>IF(CR17=0,0,1+COUNTIF(CS$6:CS16,"&gt;0"))</f>
        <v>0</v>
      </c>
      <c r="CT17">
        <f t="shared" si="24"/>
        <v>0</v>
      </c>
      <c r="CU17">
        <f>IF(CT17=0,0,1+COUNTIF(CU$6:CU16,"&gt;0"))</f>
        <v>0</v>
      </c>
      <c r="CV17">
        <f t="shared" si="25"/>
        <v>0</v>
      </c>
      <c r="CW17">
        <f>IF(CV17=0,0,1+COUNTIF(CW$6:CW16,"&gt;0"))</f>
        <v>0</v>
      </c>
      <c r="CX17">
        <f t="shared" si="26"/>
        <v>0</v>
      </c>
      <c r="CY17">
        <f>IF(CX17=0,0,1+COUNTIF(CY$6:CY16,"&gt;0"))</f>
        <v>0</v>
      </c>
      <c r="CZ17">
        <f t="shared" si="27"/>
        <v>0</v>
      </c>
      <c r="DA17">
        <f>IF(CZ17=0,0,1+COUNTIF(DA$6:DA16,"&gt;0"))</f>
        <v>0</v>
      </c>
      <c r="DB17">
        <f t="shared" si="28"/>
        <v>0</v>
      </c>
      <c r="DC17">
        <f>IF(DB17=0,0,1+COUNTIF(DC$6:DC16,"&gt;0"))</f>
        <v>0</v>
      </c>
    </row>
    <row r="18" spans="1:107" ht="21" x14ac:dyDescent="0.25">
      <c r="A18" s="120"/>
      <c r="B18" s="558">
        <v>13</v>
      </c>
      <c r="C18" s="1078" t="str">
        <f t="shared" si="0"/>
        <v/>
      </c>
      <c r="D18" s="1078"/>
      <c r="E18" s="1078"/>
      <c r="F18" s="1078"/>
      <c r="G18" s="1078"/>
      <c r="H18" s="120"/>
      <c r="I18" s="120"/>
      <c r="J18" s="120" t="str">
        <f t="shared" si="12"/>
        <v/>
      </c>
      <c r="K18" s="558">
        <v>13</v>
      </c>
      <c r="L18" s="1078" t="str">
        <f t="shared" si="1"/>
        <v/>
      </c>
      <c r="M18" s="1078"/>
      <c r="N18" s="1078"/>
      <c r="O18" s="1078"/>
      <c r="P18" s="1078"/>
      <c r="Q18" s="120"/>
      <c r="R18" s="120"/>
      <c r="S18" s="120" t="str">
        <f t="shared" si="13"/>
        <v/>
      </c>
      <c r="T18" s="558">
        <v>13</v>
      </c>
      <c r="U18" s="1078" t="str">
        <f t="shared" si="2"/>
        <v/>
      </c>
      <c r="V18" s="1078"/>
      <c r="W18" s="1078"/>
      <c r="X18" s="1078"/>
      <c r="Y18" s="1078"/>
      <c r="Z18" s="544" t="str">
        <f t="shared" si="3"/>
        <v/>
      </c>
      <c r="AA18" s="544"/>
      <c r="AB18" s="120" t="str">
        <f t="shared" si="4"/>
        <v/>
      </c>
      <c r="AC18" s="558">
        <v>13</v>
      </c>
      <c r="AD18" s="1078" t="str">
        <f t="shared" si="5"/>
        <v/>
      </c>
      <c r="AE18" s="1078"/>
      <c r="AF18" s="1078"/>
      <c r="AG18" s="1078"/>
      <c r="AH18" s="1078"/>
      <c r="AI18" s="544" t="s">
        <v>3034</v>
      </c>
      <c r="AJ18" s="544"/>
      <c r="AK18" s="120" t="str">
        <f t="shared" si="14"/>
        <v/>
      </c>
      <c r="AL18" s="558">
        <v>13</v>
      </c>
      <c r="AM18" s="1078" t="str">
        <f t="shared" si="6"/>
        <v/>
      </c>
      <c r="AN18" s="1078"/>
      <c r="AO18" s="1078"/>
      <c r="AP18" s="1078"/>
      <c r="AQ18" s="1078"/>
      <c r="AR18" s="544"/>
      <c r="AS18" s="544"/>
      <c r="AT18" s="120" t="str">
        <f t="shared" si="15"/>
        <v/>
      </c>
      <c r="AU18" s="558">
        <v>13</v>
      </c>
      <c r="AV18" s="1078" t="str">
        <f t="shared" si="7"/>
        <v/>
      </c>
      <c r="AW18" s="1078"/>
      <c r="AX18" s="1078"/>
      <c r="AY18" s="1078"/>
      <c r="AZ18" s="1078"/>
      <c r="BA18" s="544"/>
      <c r="BB18" s="544"/>
      <c r="BC18" s="120" t="str">
        <f t="shared" si="16"/>
        <v/>
      </c>
      <c r="BD18" s="558">
        <v>13</v>
      </c>
      <c r="BE18" s="1078" t="str">
        <f t="shared" si="8"/>
        <v/>
      </c>
      <c r="BF18" s="1078"/>
      <c r="BG18" s="1078"/>
      <c r="BH18" s="1078"/>
      <c r="BI18" s="1078"/>
      <c r="BJ18" s="544"/>
      <c r="BK18" s="544"/>
      <c r="BL18" s="120" t="str">
        <f t="shared" si="17"/>
        <v/>
      </c>
      <c r="BM18" s="558">
        <v>13</v>
      </c>
      <c r="BN18" s="1078" t="str">
        <f t="shared" si="9"/>
        <v/>
      </c>
      <c r="BO18" s="1078"/>
      <c r="BP18" s="1078"/>
      <c r="BQ18" s="1078"/>
      <c r="BR18" s="1078"/>
      <c r="BS18" s="544"/>
      <c r="BT18" s="544"/>
      <c r="BU18" s="120" t="str">
        <f t="shared" si="18"/>
        <v/>
      </c>
      <c r="BV18" s="558">
        <v>13</v>
      </c>
      <c r="BW18" s="1078" t="str">
        <f t="shared" si="10"/>
        <v/>
      </c>
      <c r="BX18" s="1078"/>
      <c r="BY18" s="1078"/>
      <c r="BZ18" s="1078"/>
      <c r="CA18" s="1078"/>
      <c r="CB18" s="544"/>
      <c r="CC18" s="120" t="str">
        <f t="shared" si="19"/>
        <v/>
      </c>
      <c r="CI18">
        <v>13</v>
      </c>
      <c r="CJ18">
        <f>Character_Creation!C353</f>
        <v>0</v>
      </c>
      <c r="CL18">
        <f t="shared" si="20"/>
        <v>0</v>
      </c>
      <c r="CM18">
        <f>IF(CL18=0,0,1+COUNTIF(CM$6:CM17,"&gt;0"))</f>
        <v>0</v>
      </c>
      <c r="CN18">
        <f t="shared" si="21"/>
        <v>0</v>
      </c>
      <c r="CO18">
        <f>IF(CN18=0,0,1+COUNTIF(CO$6:CO17,"&gt;0"))</f>
        <v>0</v>
      </c>
      <c r="CP18">
        <f t="shared" si="22"/>
        <v>0</v>
      </c>
      <c r="CQ18">
        <f>IF(CP18=0,0,1+COUNTIF(CQ$6:CQ17,"&gt;0"))</f>
        <v>0</v>
      </c>
      <c r="CR18">
        <f t="shared" si="23"/>
        <v>0</v>
      </c>
      <c r="CS18">
        <f>IF(CR18=0,0,1+COUNTIF(CS$6:CS17,"&gt;0"))</f>
        <v>0</v>
      </c>
      <c r="CT18">
        <f t="shared" si="24"/>
        <v>0</v>
      </c>
      <c r="CU18">
        <f>IF(CT18=0,0,1+COUNTIF(CU$6:CU17,"&gt;0"))</f>
        <v>0</v>
      </c>
      <c r="CV18">
        <f t="shared" si="25"/>
        <v>0</v>
      </c>
      <c r="CW18">
        <f>IF(CV18=0,0,1+COUNTIF(CW$6:CW17,"&gt;0"))</f>
        <v>0</v>
      </c>
      <c r="CX18">
        <f t="shared" si="26"/>
        <v>0</v>
      </c>
      <c r="CY18">
        <f>IF(CX18=0,0,1+COUNTIF(CY$6:CY17,"&gt;0"))</f>
        <v>0</v>
      </c>
      <c r="CZ18">
        <f t="shared" si="27"/>
        <v>0</v>
      </c>
      <c r="DA18">
        <f>IF(CZ18=0,0,1+COUNTIF(DA$6:DA17,"&gt;0"))</f>
        <v>0</v>
      </c>
      <c r="DB18">
        <f t="shared" si="28"/>
        <v>0</v>
      </c>
      <c r="DC18">
        <f>IF(DB18=0,0,1+COUNTIF(DC$6:DC17,"&gt;0"))</f>
        <v>0</v>
      </c>
    </row>
    <row r="19" spans="1:107" ht="21" x14ac:dyDescent="0.25">
      <c r="A19" s="120"/>
      <c r="B19" s="558">
        <v>14</v>
      </c>
      <c r="C19" s="1078" t="str">
        <f t="shared" si="0"/>
        <v/>
      </c>
      <c r="D19" s="1078"/>
      <c r="E19" s="1078"/>
      <c r="F19" s="1078"/>
      <c r="G19" s="1078"/>
      <c r="H19" s="120"/>
      <c r="I19" s="120"/>
      <c r="J19" s="120" t="str">
        <f t="shared" si="12"/>
        <v/>
      </c>
      <c r="K19" s="558">
        <v>14</v>
      </c>
      <c r="L19" s="1078" t="str">
        <f t="shared" si="1"/>
        <v/>
      </c>
      <c r="M19" s="1078"/>
      <c r="N19" s="1078"/>
      <c r="O19" s="1078"/>
      <c r="P19" s="1078"/>
      <c r="Q19" s="120"/>
      <c r="R19" s="120"/>
      <c r="S19" s="120" t="str">
        <f t="shared" si="13"/>
        <v/>
      </c>
      <c r="T19" s="558">
        <v>14</v>
      </c>
      <c r="U19" s="1078" t="str">
        <f t="shared" si="2"/>
        <v/>
      </c>
      <c r="V19" s="1078"/>
      <c r="W19" s="1078"/>
      <c r="X19" s="1078"/>
      <c r="Y19" s="1078"/>
      <c r="Z19" s="544" t="str">
        <f t="shared" si="3"/>
        <v/>
      </c>
      <c r="AA19" s="544"/>
      <c r="AB19" s="120" t="str">
        <f t="shared" si="4"/>
        <v/>
      </c>
      <c r="AC19" s="558">
        <v>14</v>
      </c>
      <c r="AD19" s="1078" t="str">
        <f t="shared" si="5"/>
        <v/>
      </c>
      <c r="AE19" s="1078"/>
      <c r="AF19" s="1078"/>
      <c r="AG19" s="1078"/>
      <c r="AH19" s="1078"/>
      <c r="AI19" s="544" t="s">
        <v>3034</v>
      </c>
      <c r="AJ19" s="544"/>
      <c r="AK19" s="120" t="str">
        <f t="shared" si="14"/>
        <v/>
      </c>
      <c r="AL19" s="558">
        <v>14</v>
      </c>
      <c r="AM19" s="1078" t="str">
        <f t="shared" si="6"/>
        <v/>
      </c>
      <c r="AN19" s="1078"/>
      <c r="AO19" s="1078"/>
      <c r="AP19" s="1078"/>
      <c r="AQ19" s="1078"/>
      <c r="AR19" s="544"/>
      <c r="AS19" s="544"/>
      <c r="AT19" s="120" t="str">
        <f t="shared" si="15"/>
        <v/>
      </c>
      <c r="AU19" s="558">
        <v>14</v>
      </c>
      <c r="AV19" s="1078" t="str">
        <f t="shared" si="7"/>
        <v/>
      </c>
      <c r="AW19" s="1078"/>
      <c r="AX19" s="1078"/>
      <c r="AY19" s="1078"/>
      <c r="AZ19" s="1078"/>
      <c r="BA19" s="544"/>
      <c r="BB19" s="544"/>
      <c r="BC19" s="120" t="str">
        <f t="shared" si="16"/>
        <v/>
      </c>
      <c r="BD19" s="558">
        <v>14</v>
      </c>
      <c r="BE19" s="1078" t="str">
        <f t="shared" si="8"/>
        <v/>
      </c>
      <c r="BF19" s="1078"/>
      <c r="BG19" s="1078"/>
      <c r="BH19" s="1078"/>
      <c r="BI19" s="1078"/>
      <c r="BJ19" s="544"/>
      <c r="BK19" s="544"/>
      <c r="BL19" s="120" t="str">
        <f t="shared" si="17"/>
        <v/>
      </c>
      <c r="BM19" s="558">
        <v>14</v>
      </c>
      <c r="BN19" s="1078" t="str">
        <f t="shared" si="9"/>
        <v/>
      </c>
      <c r="BO19" s="1078"/>
      <c r="BP19" s="1078"/>
      <c r="BQ19" s="1078"/>
      <c r="BR19" s="1078"/>
      <c r="BS19" s="544"/>
      <c r="BT19" s="544"/>
      <c r="BU19" s="120" t="str">
        <f t="shared" si="18"/>
        <v/>
      </c>
      <c r="BV19" s="558">
        <v>14</v>
      </c>
      <c r="BW19" s="1078" t="str">
        <f t="shared" si="10"/>
        <v/>
      </c>
      <c r="BX19" s="1078"/>
      <c r="BY19" s="1078"/>
      <c r="BZ19" s="1078"/>
      <c r="CA19" s="1078"/>
      <c r="CB19" s="544"/>
      <c r="CC19" s="120" t="str">
        <f t="shared" si="19"/>
        <v/>
      </c>
      <c r="CI19">
        <v>14</v>
      </c>
      <c r="CJ19">
        <f>Character_Creation!C354</f>
        <v>0</v>
      </c>
      <c r="CL19">
        <f t="shared" si="20"/>
        <v>0</v>
      </c>
      <c r="CM19">
        <f>IF(CL19=0,0,1+COUNTIF(CM$6:CM18,"&gt;0"))</f>
        <v>0</v>
      </c>
      <c r="CN19">
        <f t="shared" si="21"/>
        <v>0</v>
      </c>
      <c r="CO19">
        <f>IF(CN19=0,0,1+COUNTIF(CO$6:CO18,"&gt;0"))</f>
        <v>0</v>
      </c>
      <c r="CP19">
        <f t="shared" si="22"/>
        <v>0</v>
      </c>
      <c r="CQ19">
        <f>IF(CP19=0,0,1+COUNTIF(CQ$6:CQ18,"&gt;0"))</f>
        <v>0</v>
      </c>
      <c r="CR19">
        <f t="shared" si="23"/>
        <v>0</v>
      </c>
      <c r="CS19">
        <f>IF(CR19=0,0,1+COUNTIF(CS$6:CS18,"&gt;0"))</f>
        <v>0</v>
      </c>
      <c r="CT19">
        <f t="shared" si="24"/>
        <v>0</v>
      </c>
      <c r="CU19">
        <f>IF(CT19=0,0,1+COUNTIF(CU$6:CU18,"&gt;0"))</f>
        <v>0</v>
      </c>
      <c r="CV19">
        <f t="shared" si="25"/>
        <v>0</v>
      </c>
      <c r="CW19">
        <f>IF(CV19=0,0,1+COUNTIF(CW$6:CW18,"&gt;0"))</f>
        <v>0</v>
      </c>
      <c r="CX19">
        <f t="shared" si="26"/>
        <v>0</v>
      </c>
      <c r="CY19">
        <f>IF(CX19=0,0,1+COUNTIF(CY$6:CY18,"&gt;0"))</f>
        <v>0</v>
      </c>
      <c r="CZ19">
        <f t="shared" si="27"/>
        <v>0</v>
      </c>
      <c r="DA19">
        <f>IF(CZ19=0,0,1+COUNTIF(DA$6:DA18,"&gt;0"))</f>
        <v>0</v>
      </c>
      <c r="DB19">
        <f t="shared" si="28"/>
        <v>0</v>
      </c>
      <c r="DC19">
        <f>IF(DB19=0,0,1+COUNTIF(DC$6:DC18,"&gt;0"))</f>
        <v>0</v>
      </c>
    </row>
    <row r="20" spans="1:107" ht="21" x14ac:dyDescent="0.25">
      <c r="A20" s="120"/>
      <c r="B20" s="558">
        <v>15</v>
      </c>
      <c r="C20" s="1078" t="str">
        <f t="shared" si="0"/>
        <v/>
      </c>
      <c r="D20" s="1078"/>
      <c r="E20" s="1078"/>
      <c r="F20" s="1078"/>
      <c r="G20" s="1078"/>
      <c r="H20" s="120"/>
      <c r="I20" s="120"/>
      <c r="J20" s="120" t="str">
        <f t="shared" si="12"/>
        <v/>
      </c>
      <c r="K20" s="558">
        <v>15</v>
      </c>
      <c r="L20" s="1078" t="str">
        <f t="shared" si="1"/>
        <v/>
      </c>
      <c r="M20" s="1078"/>
      <c r="N20" s="1078"/>
      <c r="O20" s="1078"/>
      <c r="P20" s="1078"/>
      <c r="Q20" s="120"/>
      <c r="R20" s="120"/>
      <c r="S20" s="120" t="str">
        <f t="shared" si="13"/>
        <v/>
      </c>
      <c r="T20" s="558">
        <v>15</v>
      </c>
      <c r="U20" s="1078" t="str">
        <f t="shared" si="2"/>
        <v/>
      </c>
      <c r="V20" s="1078"/>
      <c r="W20" s="1078"/>
      <c r="X20" s="1078"/>
      <c r="Y20" s="1078"/>
      <c r="Z20" s="544" t="str">
        <f t="shared" si="3"/>
        <v/>
      </c>
      <c r="AA20" s="544"/>
      <c r="AB20" s="120" t="str">
        <f t="shared" si="4"/>
        <v/>
      </c>
      <c r="AC20" s="558">
        <v>15</v>
      </c>
      <c r="AD20" s="1078" t="str">
        <f t="shared" si="5"/>
        <v/>
      </c>
      <c r="AE20" s="1078"/>
      <c r="AF20" s="1078"/>
      <c r="AG20" s="1078"/>
      <c r="AH20" s="1078"/>
      <c r="AI20" s="544" t="s">
        <v>3034</v>
      </c>
      <c r="AJ20" s="544"/>
      <c r="AK20" s="120" t="str">
        <f t="shared" si="14"/>
        <v/>
      </c>
      <c r="AL20" s="558">
        <v>15</v>
      </c>
      <c r="AM20" s="1078" t="str">
        <f t="shared" si="6"/>
        <v/>
      </c>
      <c r="AN20" s="1078"/>
      <c r="AO20" s="1078"/>
      <c r="AP20" s="1078"/>
      <c r="AQ20" s="1078"/>
      <c r="AR20" s="544"/>
      <c r="AS20" s="544"/>
      <c r="AT20" s="120" t="str">
        <f t="shared" si="15"/>
        <v/>
      </c>
      <c r="AU20" s="558">
        <v>15</v>
      </c>
      <c r="AV20" s="1078" t="str">
        <f t="shared" si="7"/>
        <v/>
      </c>
      <c r="AW20" s="1078"/>
      <c r="AX20" s="1078"/>
      <c r="AY20" s="1078"/>
      <c r="AZ20" s="1078"/>
      <c r="BA20" s="544"/>
      <c r="BB20" s="544"/>
      <c r="BC20" s="120" t="str">
        <f t="shared" si="16"/>
        <v/>
      </c>
      <c r="BD20" s="558">
        <v>15</v>
      </c>
      <c r="BE20" s="1078" t="str">
        <f t="shared" si="8"/>
        <v/>
      </c>
      <c r="BF20" s="1078"/>
      <c r="BG20" s="1078"/>
      <c r="BH20" s="1078"/>
      <c r="BI20" s="1078"/>
      <c r="BJ20" s="544"/>
      <c r="BK20" s="544"/>
      <c r="BL20" s="120" t="str">
        <f t="shared" si="17"/>
        <v/>
      </c>
      <c r="BM20" s="558">
        <v>15</v>
      </c>
      <c r="BN20" s="1078" t="str">
        <f t="shared" si="9"/>
        <v/>
      </c>
      <c r="BO20" s="1078"/>
      <c r="BP20" s="1078"/>
      <c r="BQ20" s="1078"/>
      <c r="BR20" s="1078"/>
      <c r="BS20" s="544"/>
      <c r="BT20" s="544"/>
      <c r="BU20" s="120" t="str">
        <f t="shared" si="18"/>
        <v/>
      </c>
      <c r="BV20" s="558">
        <v>15</v>
      </c>
      <c r="BW20" s="1078" t="str">
        <f t="shared" si="10"/>
        <v/>
      </c>
      <c r="BX20" s="1078"/>
      <c r="BY20" s="1078"/>
      <c r="BZ20" s="1078"/>
      <c r="CA20" s="1078"/>
      <c r="CB20" s="544"/>
      <c r="CC20" s="120" t="str">
        <f t="shared" si="19"/>
        <v/>
      </c>
      <c r="CI20">
        <v>15</v>
      </c>
      <c r="CJ20">
        <f>Character_Creation!C355</f>
        <v>0</v>
      </c>
      <c r="CL20">
        <f t="shared" si="20"/>
        <v>0</v>
      </c>
      <c r="CM20">
        <f>IF(CL20=0,0,1+COUNTIF(CM$6:CM19,"&gt;0"))</f>
        <v>0</v>
      </c>
      <c r="CN20">
        <f t="shared" si="21"/>
        <v>0</v>
      </c>
      <c r="CO20">
        <f>IF(CN20=0,0,1+COUNTIF(CO$6:CO19,"&gt;0"))</f>
        <v>0</v>
      </c>
      <c r="CP20">
        <f t="shared" si="22"/>
        <v>0</v>
      </c>
      <c r="CQ20">
        <f>IF(CP20=0,0,1+COUNTIF(CQ$6:CQ19,"&gt;0"))</f>
        <v>0</v>
      </c>
      <c r="CR20">
        <f t="shared" si="23"/>
        <v>0</v>
      </c>
      <c r="CS20">
        <f>IF(CR20=0,0,1+COUNTIF(CS$6:CS19,"&gt;0"))</f>
        <v>0</v>
      </c>
      <c r="CT20">
        <f t="shared" si="24"/>
        <v>0</v>
      </c>
      <c r="CU20">
        <f>IF(CT20=0,0,1+COUNTIF(CU$6:CU19,"&gt;0"))</f>
        <v>0</v>
      </c>
      <c r="CV20">
        <f t="shared" si="25"/>
        <v>0</v>
      </c>
      <c r="CW20">
        <f>IF(CV20=0,0,1+COUNTIF(CW$6:CW19,"&gt;0"))</f>
        <v>0</v>
      </c>
      <c r="CX20">
        <f t="shared" si="26"/>
        <v>0</v>
      </c>
      <c r="CY20">
        <f>IF(CX20=0,0,1+COUNTIF(CY$6:CY19,"&gt;0"))</f>
        <v>0</v>
      </c>
      <c r="CZ20">
        <f t="shared" si="27"/>
        <v>0</v>
      </c>
      <c r="DA20">
        <f>IF(CZ20=0,0,1+COUNTIF(DA$6:DA19,"&gt;0"))</f>
        <v>0</v>
      </c>
      <c r="DB20">
        <f t="shared" si="28"/>
        <v>0</v>
      </c>
      <c r="DC20">
        <f>IF(DB20=0,0,1+COUNTIF(DC$6:DC19,"&gt;0"))</f>
        <v>0</v>
      </c>
    </row>
    <row r="21" spans="1:107" ht="21" x14ac:dyDescent="0.25">
      <c r="A21" s="120"/>
      <c r="B21" s="558">
        <v>16</v>
      </c>
      <c r="C21" s="1078" t="str">
        <f t="shared" si="0"/>
        <v/>
      </c>
      <c r="D21" s="1078"/>
      <c r="E21" s="1078"/>
      <c r="F21" s="1078"/>
      <c r="G21" s="1078"/>
      <c r="H21" s="120"/>
      <c r="I21" s="120"/>
      <c r="J21" s="120" t="str">
        <f t="shared" si="12"/>
        <v/>
      </c>
      <c r="K21" s="558">
        <v>16</v>
      </c>
      <c r="L21" s="1078" t="str">
        <f t="shared" si="1"/>
        <v/>
      </c>
      <c r="M21" s="1078"/>
      <c r="N21" s="1078"/>
      <c r="O21" s="1078"/>
      <c r="P21" s="1078"/>
      <c r="Q21" s="120"/>
      <c r="R21" s="120"/>
      <c r="S21" s="120" t="str">
        <f t="shared" si="13"/>
        <v/>
      </c>
      <c r="T21" s="558">
        <v>16</v>
      </c>
      <c r="U21" s="1078" t="str">
        <f t="shared" si="2"/>
        <v/>
      </c>
      <c r="V21" s="1078"/>
      <c r="W21" s="1078"/>
      <c r="X21" s="1078"/>
      <c r="Y21" s="1078"/>
      <c r="Z21" s="544" t="str">
        <f t="shared" si="3"/>
        <v/>
      </c>
      <c r="AA21" s="544"/>
      <c r="AB21" s="120" t="str">
        <f t="shared" si="4"/>
        <v/>
      </c>
      <c r="AC21" s="558">
        <v>16</v>
      </c>
      <c r="AD21" s="1078" t="str">
        <f t="shared" si="5"/>
        <v/>
      </c>
      <c r="AE21" s="1078"/>
      <c r="AF21" s="1078"/>
      <c r="AG21" s="1078"/>
      <c r="AH21" s="1078"/>
      <c r="AI21" s="544" t="s">
        <v>3034</v>
      </c>
      <c r="AJ21" s="544"/>
      <c r="AK21" s="120" t="str">
        <f t="shared" si="14"/>
        <v/>
      </c>
      <c r="AL21" s="558">
        <v>16</v>
      </c>
      <c r="AM21" s="1078" t="str">
        <f t="shared" si="6"/>
        <v/>
      </c>
      <c r="AN21" s="1078"/>
      <c r="AO21" s="1078"/>
      <c r="AP21" s="1078"/>
      <c r="AQ21" s="1078"/>
      <c r="AR21" s="544"/>
      <c r="AS21" s="544"/>
      <c r="AT21" s="120" t="str">
        <f t="shared" si="15"/>
        <v/>
      </c>
      <c r="AU21" s="558">
        <v>16</v>
      </c>
      <c r="AV21" s="1078" t="str">
        <f t="shared" si="7"/>
        <v/>
      </c>
      <c r="AW21" s="1078"/>
      <c r="AX21" s="1078"/>
      <c r="AY21" s="1078"/>
      <c r="AZ21" s="1078"/>
      <c r="BA21" s="544"/>
      <c r="BB21" s="544"/>
      <c r="BC21" s="120" t="str">
        <f t="shared" si="16"/>
        <v/>
      </c>
      <c r="BD21" s="558">
        <v>16</v>
      </c>
      <c r="BE21" s="1078" t="str">
        <f t="shared" si="8"/>
        <v/>
      </c>
      <c r="BF21" s="1078"/>
      <c r="BG21" s="1078"/>
      <c r="BH21" s="1078"/>
      <c r="BI21" s="1078"/>
      <c r="BJ21" s="544"/>
      <c r="BK21" s="544"/>
      <c r="BL21" s="120" t="str">
        <f t="shared" si="17"/>
        <v/>
      </c>
      <c r="BM21" s="558">
        <v>16</v>
      </c>
      <c r="BN21" s="1078" t="str">
        <f t="shared" si="9"/>
        <v/>
      </c>
      <c r="BO21" s="1078"/>
      <c r="BP21" s="1078"/>
      <c r="BQ21" s="1078"/>
      <c r="BR21" s="1078"/>
      <c r="BS21" s="544"/>
      <c r="BT21" s="544"/>
      <c r="BU21" s="120" t="str">
        <f t="shared" si="18"/>
        <v/>
      </c>
      <c r="BV21" s="558">
        <v>16</v>
      </c>
      <c r="BW21" s="1078" t="str">
        <f t="shared" si="10"/>
        <v/>
      </c>
      <c r="BX21" s="1078"/>
      <c r="BY21" s="1078"/>
      <c r="BZ21" s="1078"/>
      <c r="CA21" s="1078"/>
      <c r="CB21" s="544"/>
      <c r="CC21" s="120" t="str">
        <f t="shared" si="19"/>
        <v/>
      </c>
      <c r="CI21">
        <v>16</v>
      </c>
      <c r="CJ21">
        <f>Character_Creation!C356</f>
        <v>0</v>
      </c>
      <c r="CL21">
        <f t="shared" si="20"/>
        <v>0</v>
      </c>
      <c r="CM21">
        <f>IF(CL21=0,0,1+COUNTIF(CM$6:CM20,"&gt;0"))</f>
        <v>0</v>
      </c>
      <c r="CN21">
        <f t="shared" si="21"/>
        <v>0</v>
      </c>
      <c r="CO21">
        <f>IF(CN21=0,0,1+COUNTIF(CO$6:CO20,"&gt;0"))</f>
        <v>0</v>
      </c>
      <c r="CP21">
        <f t="shared" si="22"/>
        <v>0</v>
      </c>
      <c r="CQ21">
        <f>IF(CP21=0,0,1+COUNTIF(CQ$6:CQ20,"&gt;0"))</f>
        <v>0</v>
      </c>
      <c r="CR21">
        <f t="shared" si="23"/>
        <v>0</v>
      </c>
      <c r="CS21">
        <f>IF(CR21=0,0,1+COUNTIF(CS$6:CS20,"&gt;0"))</f>
        <v>0</v>
      </c>
      <c r="CT21">
        <f t="shared" si="24"/>
        <v>0</v>
      </c>
      <c r="CU21">
        <f>IF(CT21=0,0,1+COUNTIF(CU$6:CU20,"&gt;0"))</f>
        <v>0</v>
      </c>
      <c r="CV21">
        <f t="shared" si="25"/>
        <v>0</v>
      </c>
      <c r="CW21">
        <f>IF(CV21=0,0,1+COUNTIF(CW$6:CW20,"&gt;0"))</f>
        <v>0</v>
      </c>
      <c r="CX21">
        <f t="shared" si="26"/>
        <v>0</v>
      </c>
      <c r="CY21">
        <f>IF(CX21=0,0,1+COUNTIF(CY$6:CY20,"&gt;0"))</f>
        <v>0</v>
      </c>
      <c r="CZ21">
        <f t="shared" si="27"/>
        <v>0</v>
      </c>
      <c r="DA21">
        <f>IF(CZ21=0,0,1+COUNTIF(DA$6:DA20,"&gt;0"))</f>
        <v>0</v>
      </c>
      <c r="DB21">
        <f t="shared" si="28"/>
        <v>0</v>
      </c>
      <c r="DC21">
        <f>IF(DB21=0,0,1+COUNTIF(DC$6:DC20,"&gt;0"))</f>
        <v>0</v>
      </c>
    </row>
    <row r="22" spans="1:107" ht="21" x14ac:dyDescent="0.25">
      <c r="A22" s="120"/>
      <c r="B22" s="558">
        <v>17</v>
      </c>
      <c r="C22" s="1078" t="str">
        <f t="shared" si="0"/>
        <v/>
      </c>
      <c r="D22" s="1078"/>
      <c r="E22" s="1078"/>
      <c r="F22" s="1078"/>
      <c r="G22" s="1078"/>
      <c r="H22" s="120"/>
      <c r="I22" s="120"/>
      <c r="J22" s="120" t="str">
        <f t="shared" si="12"/>
        <v/>
      </c>
      <c r="K22" s="558">
        <v>17</v>
      </c>
      <c r="L22" s="1078" t="str">
        <f t="shared" si="1"/>
        <v/>
      </c>
      <c r="M22" s="1078"/>
      <c r="N22" s="1078"/>
      <c r="O22" s="1078"/>
      <c r="P22" s="1078"/>
      <c r="Q22" s="120"/>
      <c r="R22" s="120"/>
      <c r="S22" s="120" t="str">
        <f t="shared" si="13"/>
        <v/>
      </c>
      <c r="T22" s="558">
        <v>17</v>
      </c>
      <c r="U22" s="1078" t="str">
        <f t="shared" si="2"/>
        <v/>
      </c>
      <c r="V22" s="1078"/>
      <c r="W22" s="1078"/>
      <c r="X22" s="1078"/>
      <c r="Y22" s="1078"/>
      <c r="Z22" s="544" t="str">
        <f t="shared" si="3"/>
        <v/>
      </c>
      <c r="AA22" s="544"/>
      <c r="AB22" s="120" t="str">
        <f t="shared" si="4"/>
        <v/>
      </c>
      <c r="AC22" s="558">
        <v>17</v>
      </c>
      <c r="AD22" s="1078" t="str">
        <f t="shared" si="5"/>
        <v/>
      </c>
      <c r="AE22" s="1078"/>
      <c r="AF22" s="1078"/>
      <c r="AG22" s="1078"/>
      <c r="AH22" s="1078"/>
      <c r="AI22" s="544" t="s">
        <v>3034</v>
      </c>
      <c r="AJ22" s="544"/>
      <c r="AK22" s="120" t="str">
        <f t="shared" si="14"/>
        <v/>
      </c>
      <c r="AL22" s="558">
        <v>17</v>
      </c>
      <c r="AM22" s="1078" t="str">
        <f t="shared" si="6"/>
        <v/>
      </c>
      <c r="AN22" s="1078"/>
      <c r="AO22" s="1078"/>
      <c r="AP22" s="1078"/>
      <c r="AQ22" s="1078"/>
      <c r="AR22" s="544"/>
      <c r="AS22" s="544"/>
      <c r="AT22" s="120" t="str">
        <f t="shared" si="15"/>
        <v/>
      </c>
      <c r="AU22" s="558">
        <v>17</v>
      </c>
      <c r="AV22" s="1078" t="str">
        <f t="shared" si="7"/>
        <v/>
      </c>
      <c r="AW22" s="1078"/>
      <c r="AX22" s="1078"/>
      <c r="AY22" s="1078"/>
      <c r="AZ22" s="1078"/>
      <c r="BA22" s="544"/>
      <c r="BB22" s="544"/>
      <c r="BC22" s="120" t="str">
        <f t="shared" si="16"/>
        <v/>
      </c>
      <c r="BD22" s="558">
        <v>17</v>
      </c>
      <c r="BE22" s="1078" t="str">
        <f t="shared" si="8"/>
        <v/>
      </c>
      <c r="BF22" s="1078"/>
      <c r="BG22" s="1078"/>
      <c r="BH22" s="1078"/>
      <c r="BI22" s="1078"/>
      <c r="BJ22" s="544"/>
      <c r="BK22" s="544"/>
      <c r="BL22" s="120" t="str">
        <f t="shared" si="17"/>
        <v/>
      </c>
      <c r="BM22" s="558">
        <v>17</v>
      </c>
      <c r="BN22" s="1078" t="str">
        <f t="shared" si="9"/>
        <v/>
      </c>
      <c r="BO22" s="1078"/>
      <c r="BP22" s="1078"/>
      <c r="BQ22" s="1078"/>
      <c r="BR22" s="1078"/>
      <c r="BS22" s="544"/>
      <c r="BT22" s="544"/>
      <c r="BU22" s="120" t="str">
        <f t="shared" si="18"/>
        <v/>
      </c>
      <c r="BV22" s="558">
        <v>17</v>
      </c>
      <c r="BW22" s="1078" t="str">
        <f t="shared" si="10"/>
        <v/>
      </c>
      <c r="BX22" s="1078"/>
      <c r="BY22" s="1078"/>
      <c r="BZ22" s="1078"/>
      <c r="CA22" s="1078"/>
      <c r="CB22" s="544"/>
      <c r="CC22" s="120" t="str">
        <f t="shared" si="19"/>
        <v/>
      </c>
      <c r="CI22">
        <v>17</v>
      </c>
      <c r="CJ22">
        <f>Character_Creation!C357</f>
        <v>0</v>
      </c>
      <c r="CL22">
        <f t="shared" si="20"/>
        <v>0</v>
      </c>
      <c r="CM22">
        <f>IF(CL22=0,0,1+COUNTIF(CM$6:CM21,"&gt;0"))</f>
        <v>0</v>
      </c>
      <c r="CN22">
        <f t="shared" si="21"/>
        <v>0</v>
      </c>
      <c r="CO22">
        <f>IF(CN22=0,0,1+COUNTIF(CO$6:CO21,"&gt;0"))</f>
        <v>0</v>
      </c>
      <c r="CP22">
        <f t="shared" si="22"/>
        <v>0</v>
      </c>
      <c r="CQ22">
        <f>IF(CP22=0,0,1+COUNTIF(CQ$6:CQ21,"&gt;0"))</f>
        <v>0</v>
      </c>
      <c r="CR22">
        <f t="shared" si="23"/>
        <v>0</v>
      </c>
      <c r="CS22">
        <f>IF(CR22=0,0,1+COUNTIF(CS$6:CS21,"&gt;0"))</f>
        <v>0</v>
      </c>
      <c r="CT22">
        <f t="shared" si="24"/>
        <v>0</v>
      </c>
      <c r="CU22">
        <f>IF(CT22=0,0,1+COUNTIF(CU$6:CU21,"&gt;0"))</f>
        <v>0</v>
      </c>
      <c r="CV22">
        <f t="shared" si="25"/>
        <v>0</v>
      </c>
      <c r="CW22">
        <f>IF(CV22=0,0,1+COUNTIF(CW$6:CW21,"&gt;0"))</f>
        <v>0</v>
      </c>
      <c r="CX22">
        <f t="shared" si="26"/>
        <v>0</v>
      </c>
      <c r="CY22">
        <f>IF(CX22=0,0,1+COUNTIF(CY$6:CY21,"&gt;0"))</f>
        <v>0</v>
      </c>
      <c r="CZ22">
        <f t="shared" si="27"/>
        <v>0</v>
      </c>
      <c r="DA22">
        <f>IF(CZ22=0,0,1+COUNTIF(DA$6:DA21,"&gt;0"))</f>
        <v>0</v>
      </c>
      <c r="DB22">
        <f t="shared" si="28"/>
        <v>0</v>
      </c>
      <c r="DC22">
        <f>IF(DB22=0,0,1+COUNTIF(DC$6:DC21,"&gt;0"))</f>
        <v>0</v>
      </c>
    </row>
    <row r="23" spans="1:107" ht="21" x14ac:dyDescent="0.25">
      <c r="A23" s="120"/>
      <c r="B23" s="558">
        <v>18</v>
      </c>
      <c r="C23" s="1078" t="str">
        <f t="shared" si="0"/>
        <v/>
      </c>
      <c r="D23" s="1078"/>
      <c r="E23" s="1078"/>
      <c r="F23" s="1078"/>
      <c r="G23" s="1078"/>
      <c r="H23" s="120"/>
      <c r="I23" s="120"/>
      <c r="J23" s="120" t="str">
        <f t="shared" si="12"/>
        <v/>
      </c>
      <c r="K23" s="558">
        <v>18</v>
      </c>
      <c r="L23" s="1078" t="str">
        <f t="shared" si="1"/>
        <v/>
      </c>
      <c r="M23" s="1078"/>
      <c r="N23" s="1078"/>
      <c r="O23" s="1078"/>
      <c r="P23" s="1078"/>
      <c r="Q23" s="120"/>
      <c r="R23" s="120"/>
      <c r="S23" s="120" t="str">
        <f t="shared" si="13"/>
        <v/>
      </c>
      <c r="T23" s="558">
        <v>18</v>
      </c>
      <c r="U23" s="1078" t="str">
        <f t="shared" si="2"/>
        <v/>
      </c>
      <c r="V23" s="1078"/>
      <c r="W23" s="1078"/>
      <c r="X23" s="1078"/>
      <c r="Y23" s="1078"/>
      <c r="Z23" s="544" t="str">
        <f t="shared" si="3"/>
        <v/>
      </c>
      <c r="AA23" s="544"/>
      <c r="AB23" s="120" t="str">
        <f t="shared" si="4"/>
        <v/>
      </c>
      <c r="AC23" s="558">
        <v>18</v>
      </c>
      <c r="AD23" s="1078" t="str">
        <f t="shared" si="5"/>
        <v/>
      </c>
      <c r="AE23" s="1078"/>
      <c r="AF23" s="1078"/>
      <c r="AG23" s="1078"/>
      <c r="AH23" s="1078"/>
      <c r="AI23" s="544" t="s">
        <v>3034</v>
      </c>
      <c r="AJ23" s="544"/>
      <c r="AK23" s="120" t="str">
        <f t="shared" si="14"/>
        <v/>
      </c>
      <c r="AL23" s="558">
        <v>18</v>
      </c>
      <c r="AM23" s="1078" t="str">
        <f t="shared" si="6"/>
        <v/>
      </c>
      <c r="AN23" s="1078"/>
      <c r="AO23" s="1078"/>
      <c r="AP23" s="1078"/>
      <c r="AQ23" s="1078"/>
      <c r="AR23" s="544"/>
      <c r="AS23" s="544"/>
      <c r="AT23" s="120" t="str">
        <f t="shared" si="15"/>
        <v/>
      </c>
      <c r="AU23" s="558">
        <v>18</v>
      </c>
      <c r="AV23" s="1078" t="str">
        <f t="shared" si="7"/>
        <v/>
      </c>
      <c r="AW23" s="1078"/>
      <c r="AX23" s="1078"/>
      <c r="AY23" s="1078"/>
      <c r="AZ23" s="1078"/>
      <c r="BA23" s="544"/>
      <c r="BB23" s="544"/>
      <c r="BC23" s="120" t="str">
        <f t="shared" si="16"/>
        <v/>
      </c>
      <c r="BD23" s="558">
        <v>18</v>
      </c>
      <c r="BE23" s="1078" t="str">
        <f t="shared" si="8"/>
        <v/>
      </c>
      <c r="BF23" s="1078"/>
      <c r="BG23" s="1078"/>
      <c r="BH23" s="1078"/>
      <c r="BI23" s="1078"/>
      <c r="BJ23" s="544"/>
      <c r="BK23" s="544"/>
      <c r="BL23" s="120" t="str">
        <f t="shared" si="17"/>
        <v/>
      </c>
      <c r="BM23" s="558">
        <v>18</v>
      </c>
      <c r="BN23" s="1078" t="str">
        <f t="shared" si="9"/>
        <v/>
      </c>
      <c r="BO23" s="1078"/>
      <c r="BP23" s="1078"/>
      <c r="BQ23" s="1078"/>
      <c r="BR23" s="1078"/>
      <c r="BS23" s="544"/>
      <c r="BT23" s="544"/>
      <c r="BU23" s="120" t="str">
        <f t="shared" si="18"/>
        <v/>
      </c>
      <c r="BV23" s="558">
        <v>18</v>
      </c>
      <c r="BW23" s="1078" t="str">
        <f t="shared" si="10"/>
        <v/>
      </c>
      <c r="BX23" s="1078"/>
      <c r="BY23" s="1078"/>
      <c r="BZ23" s="1078"/>
      <c r="CA23" s="1078"/>
      <c r="CB23" s="544"/>
      <c r="CC23" s="120" t="str">
        <f t="shared" si="19"/>
        <v/>
      </c>
      <c r="CI23">
        <v>18</v>
      </c>
      <c r="CJ23">
        <f>Character_Creation!C358</f>
        <v>0</v>
      </c>
      <c r="CL23">
        <f t="shared" si="20"/>
        <v>0</v>
      </c>
      <c r="CM23">
        <f>IF(CL23=0,0,1+COUNTIF(CM$6:CM22,"&gt;0"))</f>
        <v>0</v>
      </c>
      <c r="CN23">
        <f t="shared" si="21"/>
        <v>0</v>
      </c>
      <c r="CO23">
        <f>IF(CN23=0,0,1+COUNTIF(CO$6:CO22,"&gt;0"))</f>
        <v>0</v>
      </c>
      <c r="CP23">
        <f t="shared" si="22"/>
        <v>0</v>
      </c>
      <c r="CQ23">
        <f>IF(CP23=0,0,1+COUNTIF(CQ$6:CQ22,"&gt;0"))</f>
        <v>0</v>
      </c>
      <c r="CR23">
        <f t="shared" si="23"/>
        <v>0</v>
      </c>
      <c r="CS23">
        <f>IF(CR23=0,0,1+COUNTIF(CS$6:CS22,"&gt;0"))</f>
        <v>0</v>
      </c>
      <c r="CT23">
        <f t="shared" si="24"/>
        <v>0</v>
      </c>
      <c r="CU23">
        <f>IF(CT23=0,0,1+COUNTIF(CU$6:CU22,"&gt;0"))</f>
        <v>0</v>
      </c>
      <c r="CV23">
        <f t="shared" si="25"/>
        <v>0</v>
      </c>
      <c r="CW23">
        <f>IF(CV23=0,0,1+COUNTIF(CW$6:CW22,"&gt;0"))</f>
        <v>0</v>
      </c>
      <c r="CX23">
        <f t="shared" si="26"/>
        <v>0</v>
      </c>
      <c r="CY23">
        <f>IF(CX23=0,0,1+COUNTIF(CY$6:CY22,"&gt;0"))</f>
        <v>0</v>
      </c>
      <c r="CZ23">
        <f t="shared" si="27"/>
        <v>0</v>
      </c>
      <c r="DA23">
        <f>IF(CZ23=0,0,1+COUNTIF(DA$6:DA22,"&gt;0"))</f>
        <v>0</v>
      </c>
      <c r="DB23">
        <f t="shared" si="28"/>
        <v>0</v>
      </c>
      <c r="DC23">
        <f>IF(DB23=0,0,1+COUNTIF(DC$6:DC22,"&gt;0"))</f>
        <v>0</v>
      </c>
    </row>
    <row r="24" spans="1:107" ht="21" x14ac:dyDescent="0.25">
      <c r="A24" s="120"/>
      <c r="B24" s="558">
        <v>19</v>
      </c>
      <c r="C24" s="1078" t="str">
        <f t="shared" si="0"/>
        <v/>
      </c>
      <c r="D24" s="1078"/>
      <c r="E24" s="1078"/>
      <c r="F24" s="1078"/>
      <c r="G24" s="1078"/>
      <c r="H24" s="120"/>
      <c r="I24" s="120"/>
      <c r="J24" s="120" t="str">
        <f t="shared" si="12"/>
        <v/>
      </c>
      <c r="K24" s="558">
        <v>19</v>
      </c>
      <c r="L24" s="1078" t="str">
        <f t="shared" si="1"/>
        <v/>
      </c>
      <c r="M24" s="1078"/>
      <c r="N24" s="1078"/>
      <c r="O24" s="1078"/>
      <c r="P24" s="1078"/>
      <c r="Q24" s="120"/>
      <c r="R24" s="120"/>
      <c r="S24" s="120" t="str">
        <f t="shared" si="13"/>
        <v/>
      </c>
      <c r="T24" s="558">
        <v>19</v>
      </c>
      <c r="U24" s="1078" t="str">
        <f t="shared" si="2"/>
        <v/>
      </c>
      <c r="V24" s="1078"/>
      <c r="W24" s="1078"/>
      <c r="X24" s="1078"/>
      <c r="Y24" s="1078"/>
      <c r="Z24" s="544" t="str">
        <f t="shared" si="3"/>
        <v/>
      </c>
      <c r="AA24" s="544"/>
      <c r="AB24" s="120" t="str">
        <f t="shared" si="4"/>
        <v/>
      </c>
      <c r="AC24" s="558">
        <v>19</v>
      </c>
      <c r="AD24" s="1078" t="str">
        <f t="shared" si="5"/>
        <v/>
      </c>
      <c r="AE24" s="1078"/>
      <c r="AF24" s="1078"/>
      <c r="AG24" s="1078"/>
      <c r="AH24" s="1078"/>
      <c r="AI24" s="544" t="s">
        <v>3034</v>
      </c>
      <c r="AJ24" s="544"/>
      <c r="AK24" s="120" t="str">
        <f t="shared" si="14"/>
        <v/>
      </c>
      <c r="AL24" s="558">
        <v>19</v>
      </c>
      <c r="AM24" s="1078" t="str">
        <f t="shared" si="6"/>
        <v/>
      </c>
      <c r="AN24" s="1078"/>
      <c r="AO24" s="1078"/>
      <c r="AP24" s="1078"/>
      <c r="AQ24" s="1078"/>
      <c r="AR24" s="544"/>
      <c r="AS24" s="544"/>
      <c r="AT24" s="120" t="str">
        <f t="shared" si="15"/>
        <v/>
      </c>
      <c r="AU24" s="558">
        <v>19</v>
      </c>
      <c r="AV24" s="1078" t="str">
        <f t="shared" si="7"/>
        <v/>
      </c>
      <c r="AW24" s="1078"/>
      <c r="AX24" s="1078"/>
      <c r="AY24" s="1078"/>
      <c r="AZ24" s="1078"/>
      <c r="BA24" s="544"/>
      <c r="BB24" s="544"/>
      <c r="BC24" s="120" t="str">
        <f t="shared" si="16"/>
        <v/>
      </c>
      <c r="BD24" s="558">
        <v>19</v>
      </c>
      <c r="BE24" s="1078" t="str">
        <f t="shared" si="8"/>
        <v/>
      </c>
      <c r="BF24" s="1078"/>
      <c r="BG24" s="1078"/>
      <c r="BH24" s="1078"/>
      <c r="BI24" s="1078"/>
      <c r="BJ24" s="544"/>
      <c r="BK24" s="544"/>
      <c r="BL24" s="120" t="str">
        <f t="shared" si="17"/>
        <v/>
      </c>
      <c r="BM24" s="558">
        <v>19</v>
      </c>
      <c r="BN24" s="1078" t="str">
        <f t="shared" si="9"/>
        <v/>
      </c>
      <c r="BO24" s="1078"/>
      <c r="BP24" s="1078"/>
      <c r="BQ24" s="1078"/>
      <c r="BR24" s="1078"/>
      <c r="BS24" s="544"/>
      <c r="BT24" s="544"/>
      <c r="BU24" s="120" t="str">
        <f t="shared" si="18"/>
        <v/>
      </c>
      <c r="BV24" s="558">
        <v>19</v>
      </c>
      <c r="BW24" s="1078" t="str">
        <f t="shared" si="10"/>
        <v/>
      </c>
      <c r="BX24" s="1078"/>
      <c r="BY24" s="1078"/>
      <c r="BZ24" s="1078"/>
      <c r="CA24" s="1078"/>
      <c r="CB24" s="544"/>
      <c r="CC24" s="120" t="str">
        <f t="shared" si="19"/>
        <v/>
      </c>
      <c r="CI24">
        <v>19</v>
      </c>
      <c r="CJ24">
        <f>Character_Creation!C359</f>
        <v>0</v>
      </c>
      <c r="CL24">
        <f t="shared" si="20"/>
        <v>0</v>
      </c>
      <c r="CM24">
        <f>IF(CL24=0,0,1+COUNTIF(CM$6:CM23,"&gt;0"))</f>
        <v>0</v>
      </c>
      <c r="CN24">
        <f t="shared" si="21"/>
        <v>0</v>
      </c>
      <c r="CO24">
        <f>IF(CN24=0,0,1+COUNTIF(CO$6:CO23,"&gt;0"))</f>
        <v>0</v>
      </c>
      <c r="CP24">
        <f t="shared" si="22"/>
        <v>0</v>
      </c>
      <c r="CQ24">
        <f>IF(CP24=0,0,1+COUNTIF(CQ$6:CQ23,"&gt;0"))</f>
        <v>0</v>
      </c>
      <c r="CR24">
        <f t="shared" si="23"/>
        <v>0</v>
      </c>
      <c r="CS24">
        <f>IF(CR24=0,0,1+COUNTIF(CS$6:CS23,"&gt;0"))</f>
        <v>0</v>
      </c>
      <c r="CT24">
        <f t="shared" si="24"/>
        <v>0</v>
      </c>
      <c r="CU24">
        <f>IF(CT24=0,0,1+COUNTIF(CU$6:CU23,"&gt;0"))</f>
        <v>0</v>
      </c>
      <c r="CV24">
        <f t="shared" si="25"/>
        <v>0</v>
      </c>
      <c r="CW24">
        <f>IF(CV24=0,0,1+COUNTIF(CW$6:CW23,"&gt;0"))</f>
        <v>0</v>
      </c>
      <c r="CX24">
        <f t="shared" si="26"/>
        <v>0</v>
      </c>
      <c r="CY24">
        <f>IF(CX24=0,0,1+COUNTIF(CY$6:CY23,"&gt;0"))</f>
        <v>0</v>
      </c>
      <c r="CZ24">
        <f t="shared" si="27"/>
        <v>0</v>
      </c>
      <c r="DA24">
        <f>IF(CZ24=0,0,1+COUNTIF(DA$6:DA23,"&gt;0"))</f>
        <v>0</v>
      </c>
      <c r="DB24">
        <f t="shared" si="28"/>
        <v>0</v>
      </c>
      <c r="DC24">
        <f>IF(DB24=0,0,1+COUNTIF(DC$6:DC23,"&gt;0"))</f>
        <v>0</v>
      </c>
    </row>
    <row r="25" spans="1:107" ht="21" x14ac:dyDescent="0.25">
      <c r="A25" s="120"/>
      <c r="B25" s="558">
        <v>20</v>
      </c>
      <c r="C25" s="1078" t="str">
        <f t="shared" si="0"/>
        <v/>
      </c>
      <c r="D25" s="1078"/>
      <c r="E25" s="1078"/>
      <c r="F25" s="1078"/>
      <c r="G25" s="1078"/>
      <c r="H25" s="120"/>
      <c r="I25" s="120"/>
      <c r="J25" s="120" t="str">
        <f t="shared" si="12"/>
        <v/>
      </c>
      <c r="K25" s="558">
        <v>20</v>
      </c>
      <c r="L25" s="1078" t="str">
        <f t="shared" si="1"/>
        <v/>
      </c>
      <c r="M25" s="1078"/>
      <c r="N25" s="1078"/>
      <c r="O25" s="1078"/>
      <c r="P25" s="1078"/>
      <c r="Q25" s="120"/>
      <c r="R25" s="120"/>
      <c r="S25" s="120" t="str">
        <f t="shared" si="13"/>
        <v/>
      </c>
      <c r="T25" s="558">
        <v>20</v>
      </c>
      <c r="U25" s="1078" t="str">
        <f t="shared" si="2"/>
        <v/>
      </c>
      <c r="V25" s="1078"/>
      <c r="W25" s="1078"/>
      <c r="X25" s="1078"/>
      <c r="Y25" s="1078"/>
      <c r="Z25" s="544" t="str">
        <f t="shared" si="3"/>
        <v/>
      </c>
      <c r="AA25" s="544"/>
      <c r="AB25" s="120" t="str">
        <f t="shared" si="4"/>
        <v/>
      </c>
      <c r="AC25" s="558">
        <v>20</v>
      </c>
      <c r="AD25" s="1078" t="str">
        <f t="shared" si="5"/>
        <v/>
      </c>
      <c r="AE25" s="1078"/>
      <c r="AF25" s="1078"/>
      <c r="AG25" s="1078"/>
      <c r="AH25" s="1078"/>
      <c r="AI25" s="544" t="s">
        <v>3034</v>
      </c>
      <c r="AJ25" s="544"/>
      <c r="AK25" s="120" t="str">
        <f t="shared" si="14"/>
        <v/>
      </c>
      <c r="AL25" s="558">
        <v>20</v>
      </c>
      <c r="AM25" s="1078" t="str">
        <f t="shared" si="6"/>
        <v/>
      </c>
      <c r="AN25" s="1078"/>
      <c r="AO25" s="1078"/>
      <c r="AP25" s="1078"/>
      <c r="AQ25" s="1078"/>
      <c r="AR25" s="544"/>
      <c r="AS25" s="544"/>
      <c r="AT25" s="120" t="str">
        <f t="shared" si="15"/>
        <v/>
      </c>
      <c r="AU25" s="558">
        <v>20</v>
      </c>
      <c r="AV25" s="1078" t="str">
        <f t="shared" si="7"/>
        <v/>
      </c>
      <c r="AW25" s="1078"/>
      <c r="AX25" s="1078"/>
      <c r="AY25" s="1078"/>
      <c r="AZ25" s="1078"/>
      <c r="BA25" s="544"/>
      <c r="BB25" s="544"/>
      <c r="BC25" s="120" t="str">
        <f t="shared" si="16"/>
        <v/>
      </c>
      <c r="BD25" s="558">
        <v>20</v>
      </c>
      <c r="BE25" s="1078" t="str">
        <f t="shared" si="8"/>
        <v/>
      </c>
      <c r="BF25" s="1078"/>
      <c r="BG25" s="1078"/>
      <c r="BH25" s="1078"/>
      <c r="BI25" s="1078"/>
      <c r="BJ25" s="544"/>
      <c r="BK25" s="544"/>
      <c r="BL25" s="120" t="str">
        <f t="shared" si="17"/>
        <v/>
      </c>
      <c r="BM25" s="558">
        <v>20</v>
      </c>
      <c r="BN25" s="1078" t="str">
        <f t="shared" si="9"/>
        <v/>
      </c>
      <c r="BO25" s="1078"/>
      <c r="BP25" s="1078"/>
      <c r="BQ25" s="1078"/>
      <c r="BR25" s="1078"/>
      <c r="BS25" s="544"/>
      <c r="BT25" s="544"/>
      <c r="BU25" s="120" t="str">
        <f t="shared" si="18"/>
        <v/>
      </c>
      <c r="BV25" s="558">
        <v>20</v>
      </c>
      <c r="BW25" s="1078" t="str">
        <f t="shared" si="10"/>
        <v/>
      </c>
      <c r="BX25" s="1078"/>
      <c r="BY25" s="1078"/>
      <c r="BZ25" s="1078"/>
      <c r="CA25" s="1078"/>
      <c r="CB25" s="544"/>
      <c r="CC25" s="120" t="str">
        <f t="shared" si="19"/>
        <v/>
      </c>
      <c r="CI25">
        <v>20</v>
      </c>
      <c r="CJ25">
        <f>Character_Creation!C360</f>
        <v>0</v>
      </c>
      <c r="CL25">
        <f t="shared" si="20"/>
        <v>0</v>
      </c>
      <c r="CM25">
        <f>IF(CL25=0,0,1+COUNTIF(CM$6:CM24,"&gt;0"))</f>
        <v>0</v>
      </c>
      <c r="CN25">
        <f t="shared" si="21"/>
        <v>0</v>
      </c>
      <c r="CO25">
        <f>IF(CN25=0,0,1+COUNTIF(CO$6:CO24,"&gt;0"))</f>
        <v>0</v>
      </c>
      <c r="CP25">
        <f t="shared" si="22"/>
        <v>0</v>
      </c>
      <c r="CQ25">
        <f>IF(CP25=0,0,1+COUNTIF(CQ$6:CQ24,"&gt;0"))</f>
        <v>0</v>
      </c>
      <c r="CR25">
        <f t="shared" si="23"/>
        <v>0</v>
      </c>
      <c r="CS25">
        <f>IF(CR25=0,0,1+COUNTIF(CS$6:CS24,"&gt;0"))</f>
        <v>0</v>
      </c>
      <c r="CT25">
        <f t="shared" si="24"/>
        <v>0</v>
      </c>
      <c r="CU25">
        <f>IF(CT25=0,0,1+COUNTIF(CU$6:CU24,"&gt;0"))</f>
        <v>0</v>
      </c>
      <c r="CV25">
        <f t="shared" si="25"/>
        <v>0</v>
      </c>
      <c r="CW25">
        <f>IF(CV25=0,0,1+COUNTIF(CW$6:CW24,"&gt;0"))</f>
        <v>0</v>
      </c>
      <c r="CX25">
        <f t="shared" si="26"/>
        <v>0</v>
      </c>
      <c r="CY25">
        <f>IF(CX25=0,0,1+COUNTIF(CY$6:CY24,"&gt;0"))</f>
        <v>0</v>
      </c>
      <c r="CZ25">
        <f t="shared" si="27"/>
        <v>0</v>
      </c>
      <c r="DA25">
        <f>IF(CZ25=0,0,1+COUNTIF(DA$6:DA24,"&gt;0"))</f>
        <v>0</v>
      </c>
      <c r="DB25">
        <f t="shared" si="28"/>
        <v>0</v>
      </c>
      <c r="DC25">
        <f>IF(DB25=0,0,1+COUNTIF(DC$6:DC24,"&gt;0"))</f>
        <v>0</v>
      </c>
    </row>
    <row r="26" spans="1:107" ht="21" x14ac:dyDescent="0.25">
      <c r="A26" s="120"/>
      <c r="B26" s="558">
        <v>21</v>
      </c>
      <c r="C26" s="1078" t="str">
        <f t="shared" si="0"/>
        <v/>
      </c>
      <c r="D26" s="1078"/>
      <c r="E26" s="1078"/>
      <c r="F26" s="1078"/>
      <c r="G26" s="1078"/>
      <c r="H26" s="120"/>
      <c r="I26" s="120"/>
      <c r="J26" s="120" t="str">
        <f t="shared" si="12"/>
        <v/>
      </c>
      <c r="K26" s="558">
        <v>21</v>
      </c>
      <c r="L26" s="1078" t="str">
        <f t="shared" si="1"/>
        <v/>
      </c>
      <c r="M26" s="1078"/>
      <c r="N26" s="1078"/>
      <c r="O26" s="1078"/>
      <c r="P26" s="1078"/>
      <c r="Q26" s="120"/>
      <c r="R26" s="120"/>
      <c r="S26" s="120" t="str">
        <f t="shared" si="13"/>
        <v/>
      </c>
      <c r="T26" s="558">
        <v>21</v>
      </c>
      <c r="U26" s="1078" t="str">
        <f t="shared" si="2"/>
        <v/>
      </c>
      <c r="V26" s="1078"/>
      <c r="W26" s="1078"/>
      <c r="X26" s="1078"/>
      <c r="Y26" s="1078"/>
      <c r="Z26" s="544" t="str">
        <f t="shared" si="3"/>
        <v/>
      </c>
      <c r="AA26" s="544"/>
      <c r="AB26" s="120" t="str">
        <f t="shared" si="4"/>
        <v/>
      </c>
      <c r="AC26" s="558">
        <v>21</v>
      </c>
      <c r="AD26" s="1078" t="str">
        <f t="shared" si="5"/>
        <v/>
      </c>
      <c r="AE26" s="1078"/>
      <c r="AF26" s="1078"/>
      <c r="AG26" s="1078"/>
      <c r="AH26" s="1078"/>
      <c r="AI26" s="544" t="s">
        <v>3034</v>
      </c>
      <c r="AJ26" s="544"/>
      <c r="AK26" s="120" t="str">
        <f t="shared" si="14"/>
        <v/>
      </c>
      <c r="AL26" s="558">
        <v>21</v>
      </c>
      <c r="AM26" s="1078" t="str">
        <f t="shared" si="6"/>
        <v/>
      </c>
      <c r="AN26" s="1078"/>
      <c r="AO26" s="1078"/>
      <c r="AP26" s="1078"/>
      <c r="AQ26" s="1078"/>
      <c r="AR26" s="544"/>
      <c r="AS26" s="544"/>
      <c r="AT26" s="120" t="str">
        <f t="shared" si="15"/>
        <v/>
      </c>
      <c r="AU26" s="558">
        <v>21</v>
      </c>
      <c r="AV26" s="1078" t="str">
        <f t="shared" si="7"/>
        <v/>
      </c>
      <c r="AW26" s="1078"/>
      <c r="AX26" s="1078"/>
      <c r="AY26" s="1078"/>
      <c r="AZ26" s="1078"/>
      <c r="BA26" s="544"/>
      <c r="BB26" s="544"/>
      <c r="BC26" s="120" t="str">
        <f t="shared" si="16"/>
        <v/>
      </c>
      <c r="BD26" s="558">
        <v>21</v>
      </c>
      <c r="BE26" s="1078" t="str">
        <f t="shared" si="8"/>
        <v/>
      </c>
      <c r="BF26" s="1078"/>
      <c r="BG26" s="1078"/>
      <c r="BH26" s="1078"/>
      <c r="BI26" s="1078"/>
      <c r="BJ26" s="544"/>
      <c r="BK26" s="544"/>
      <c r="BL26" s="120" t="str">
        <f t="shared" si="17"/>
        <v/>
      </c>
      <c r="BM26" s="558">
        <v>21</v>
      </c>
      <c r="BN26" s="1078" t="str">
        <f t="shared" si="9"/>
        <v/>
      </c>
      <c r="BO26" s="1078"/>
      <c r="BP26" s="1078"/>
      <c r="BQ26" s="1078"/>
      <c r="BR26" s="1078"/>
      <c r="BS26" s="544"/>
      <c r="BT26" s="544"/>
      <c r="BU26" s="120" t="str">
        <f t="shared" si="18"/>
        <v/>
      </c>
      <c r="BV26" s="558">
        <v>21</v>
      </c>
      <c r="BW26" s="1078" t="str">
        <f t="shared" si="10"/>
        <v/>
      </c>
      <c r="BX26" s="1078"/>
      <c r="BY26" s="1078"/>
      <c r="BZ26" s="1078"/>
      <c r="CA26" s="1078"/>
      <c r="CB26" s="544"/>
      <c r="CC26" s="120" t="str">
        <f t="shared" si="19"/>
        <v/>
      </c>
      <c r="CI26">
        <v>21</v>
      </c>
      <c r="CJ26">
        <f>Character_Creation!C361</f>
        <v>0</v>
      </c>
      <c r="CL26">
        <f t="shared" si="20"/>
        <v>0</v>
      </c>
      <c r="CM26">
        <f>IF(CL26=0,0,1+COUNTIF(CM$6:CM25,"&gt;0"))</f>
        <v>0</v>
      </c>
      <c r="CN26">
        <f t="shared" si="21"/>
        <v>0</v>
      </c>
      <c r="CO26">
        <f>IF(CN26=0,0,1+COUNTIF(CO$6:CO25,"&gt;0"))</f>
        <v>0</v>
      </c>
      <c r="CP26">
        <f t="shared" si="22"/>
        <v>0</v>
      </c>
      <c r="CQ26">
        <f>IF(CP26=0,0,1+COUNTIF(CQ$6:CQ25,"&gt;0"))</f>
        <v>0</v>
      </c>
      <c r="CR26">
        <f t="shared" si="23"/>
        <v>0</v>
      </c>
      <c r="CS26">
        <f>IF(CR26=0,0,1+COUNTIF(CS$6:CS25,"&gt;0"))</f>
        <v>0</v>
      </c>
      <c r="CT26">
        <f t="shared" si="24"/>
        <v>0</v>
      </c>
      <c r="CU26">
        <f>IF(CT26=0,0,1+COUNTIF(CU$6:CU25,"&gt;0"))</f>
        <v>0</v>
      </c>
      <c r="CV26">
        <f t="shared" si="25"/>
        <v>0</v>
      </c>
      <c r="CW26">
        <f>IF(CV26=0,0,1+COUNTIF(CW$6:CW25,"&gt;0"))</f>
        <v>0</v>
      </c>
      <c r="CX26">
        <f t="shared" si="26"/>
        <v>0</v>
      </c>
      <c r="CY26">
        <f>IF(CX26=0,0,1+COUNTIF(CY$6:CY25,"&gt;0"))</f>
        <v>0</v>
      </c>
      <c r="CZ26">
        <f t="shared" si="27"/>
        <v>0</v>
      </c>
      <c r="DA26">
        <f>IF(CZ26=0,0,1+COUNTIF(DA$6:DA25,"&gt;0"))</f>
        <v>0</v>
      </c>
      <c r="DB26">
        <f t="shared" si="28"/>
        <v>0</v>
      </c>
      <c r="DC26">
        <f>IF(DB26=0,0,1+COUNTIF(DC$6:DC25,"&gt;0"))</f>
        <v>0</v>
      </c>
    </row>
    <row r="27" spans="1:107" ht="21" x14ac:dyDescent="0.25">
      <c r="A27" s="120"/>
      <c r="B27" s="558">
        <v>22</v>
      </c>
      <c r="C27" s="1078" t="str">
        <f t="shared" si="0"/>
        <v/>
      </c>
      <c r="D27" s="1078"/>
      <c r="E27" s="1078"/>
      <c r="F27" s="1078"/>
      <c r="G27" s="1078"/>
      <c r="H27" s="120"/>
      <c r="I27" s="120"/>
      <c r="J27" s="120" t="str">
        <f t="shared" si="12"/>
        <v/>
      </c>
      <c r="K27" s="558">
        <v>22</v>
      </c>
      <c r="L27" s="1078" t="str">
        <f t="shared" si="1"/>
        <v/>
      </c>
      <c r="M27" s="1078"/>
      <c r="N27" s="1078"/>
      <c r="O27" s="1078"/>
      <c r="P27" s="1078"/>
      <c r="Q27" s="120"/>
      <c r="R27" s="120"/>
      <c r="S27" s="120" t="str">
        <f t="shared" si="13"/>
        <v/>
      </c>
      <c r="T27" s="558">
        <v>22</v>
      </c>
      <c r="U27" s="1078" t="str">
        <f t="shared" si="2"/>
        <v/>
      </c>
      <c r="V27" s="1078"/>
      <c r="W27" s="1078"/>
      <c r="X27" s="1078"/>
      <c r="Y27" s="1078"/>
      <c r="Z27" s="544" t="str">
        <f t="shared" si="3"/>
        <v/>
      </c>
      <c r="AA27" s="544"/>
      <c r="AB27" s="120" t="str">
        <f t="shared" si="4"/>
        <v/>
      </c>
      <c r="AC27" s="558">
        <v>22</v>
      </c>
      <c r="AD27" s="1078" t="str">
        <f t="shared" si="5"/>
        <v/>
      </c>
      <c r="AE27" s="1078"/>
      <c r="AF27" s="1078"/>
      <c r="AG27" s="1078"/>
      <c r="AH27" s="1078"/>
      <c r="AI27" s="544" t="s">
        <v>3034</v>
      </c>
      <c r="AJ27" s="544"/>
      <c r="AK27" s="120" t="str">
        <f t="shared" si="14"/>
        <v/>
      </c>
      <c r="AL27" s="558">
        <v>22</v>
      </c>
      <c r="AM27" s="1078" t="str">
        <f t="shared" si="6"/>
        <v/>
      </c>
      <c r="AN27" s="1078"/>
      <c r="AO27" s="1078"/>
      <c r="AP27" s="1078"/>
      <c r="AQ27" s="1078"/>
      <c r="AR27" s="544"/>
      <c r="AS27" s="544"/>
      <c r="AT27" s="120" t="str">
        <f t="shared" si="15"/>
        <v/>
      </c>
      <c r="AU27" s="558">
        <v>22</v>
      </c>
      <c r="AV27" s="1078" t="str">
        <f t="shared" si="7"/>
        <v/>
      </c>
      <c r="AW27" s="1078"/>
      <c r="AX27" s="1078"/>
      <c r="AY27" s="1078"/>
      <c r="AZ27" s="1078"/>
      <c r="BA27" s="544"/>
      <c r="BB27" s="544"/>
      <c r="BC27" s="120" t="str">
        <f t="shared" si="16"/>
        <v/>
      </c>
      <c r="BD27" s="558">
        <v>22</v>
      </c>
      <c r="BE27" s="1078" t="str">
        <f t="shared" si="8"/>
        <v/>
      </c>
      <c r="BF27" s="1078"/>
      <c r="BG27" s="1078"/>
      <c r="BH27" s="1078"/>
      <c r="BI27" s="1078"/>
      <c r="BJ27" s="544"/>
      <c r="BK27" s="544"/>
      <c r="BL27" s="120" t="str">
        <f t="shared" si="17"/>
        <v/>
      </c>
      <c r="BM27" s="558">
        <v>22</v>
      </c>
      <c r="BN27" s="1078" t="str">
        <f t="shared" si="9"/>
        <v/>
      </c>
      <c r="BO27" s="1078"/>
      <c r="BP27" s="1078"/>
      <c r="BQ27" s="1078"/>
      <c r="BR27" s="1078"/>
      <c r="BS27" s="544"/>
      <c r="BT27" s="544"/>
      <c r="BU27" s="120" t="str">
        <f t="shared" si="18"/>
        <v/>
      </c>
      <c r="BV27" s="558">
        <v>22</v>
      </c>
      <c r="BW27" s="1078" t="str">
        <f t="shared" si="10"/>
        <v/>
      </c>
      <c r="BX27" s="1078"/>
      <c r="BY27" s="1078"/>
      <c r="BZ27" s="1078"/>
      <c r="CA27" s="1078"/>
      <c r="CB27" s="544"/>
      <c r="CC27" s="120" t="str">
        <f t="shared" si="19"/>
        <v/>
      </c>
      <c r="CI27">
        <v>22</v>
      </c>
      <c r="CJ27">
        <f>Character_Creation!C362</f>
        <v>0</v>
      </c>
      <c r="CL27">
        <f t="shared" si="20"/>
        <v>0</v>
      </c>
      <c r="CM27">
        <f>IF(CL27=0,0,1+COUNTIF(CM$6:CM26,"&gt;0"))</f>
        <v>0</v>
      </c>
      <c r="CN27">
        <f t="shared" si="21"/>
        <v>0</v>
      </c>
      <c r="CO27">
        <f>IF(CN27=0,0,1+COUNTIF(CO$6:CO26,"&gt;0"))</f>
        <v>0</v>
      </c>
      <c r="CP27">
        <f t="shared" si="22"/>
        <v>0</v>
      </c>
      <c r="CQ27">
        <f>IF(CP27=0,0,1+COUNTIF(CQ$6:CQ26,"&gt;0"))</f>
        <v>0</v>
      </c>
      <c r="CR27">
        <f t="shared" si="23"/>
        <v>0</v>
      </c>
      <c r="CS27">
        <f>IF(CR27=0,0,1+COUNTIF(CS$6:CS26,"&gt;0"))</f>
        <v>0</v>
      </c>
      <c r="CT27">
        <f t="shared" si="24"/>
        <v>0</v>
      </c>
      <c r="CU27">
        <f>IF(CT27=0,0,1+COUNTIF(CU$6:CU26,"&gt;0"))</f>
        <v>0</v>
      </c>
      <c r="CV27">
        <f t="shared" si="25"/>
        <v>0</v>
      </c>
      <c r="CW27">
        <f>IF(CV27=0,0,1+COUNTIF(CW$6:CW26,"&gt;0"))</f>
        <v>0</v>
      </c>
      <c r="CX27">
        <f t="shared" si="26"/>
        <v>0</v>
      </c>
      <c r="CY27">
        <f>IF(CX27=0,0,1+COUNTIF(CY$6:CY26,"&gt;0"))</f>
        <v>0</v>
      </c>
      <c r="CZ27">
        <f t="shared" si="27"/>
        <v>0</v>
      </c>
      <c r="DA27">
        <f>IF(CZ27=0,0,1+COUNTIF(DA$6:DA26,"&gt;0"))</f>
        <v>0</v>
      </c>
      <c r="DB27">
        <f t="shared" si="28"/>
        <v>0</v>
      </c>
      <c r="DC27">
        <f>IF(DB27=0,0,1+COUNTIF(DC$6:DC26,"&gt;0"))</f>
        <v>0</v>
      </c>
    </row>
    <row r="28" spans="1:107" ht="21" x14ac:dyDescent="0.25">
      <c r="A28" s="120"/>
      <c r="B28" s="558">
        <v>23</v>
      </c>
      <c r="C28" s="1078" t="str">
        <f t="shared" si="0"/>
        <v/>
      </c>
      <c r="D28" s="1078"/>
      <c r="E28" s="1078"/>
      <c r="F28" s="1078"/>
      <c r="G28" s="1078"/>
      <c r="H28" s="120"/>
      <c r="I28" s="120"/>
      <c r="J28" s="120" t="str">
        <f t="shared" si="12"/>
        <v/>
      </c>
      <c r="K28" s="558">
        <v>23</v>
      </c>
      <c r="L28" s="1078" t="str">
        <f t="shared" si="1"/>
        <v/>
      </c>
      <c r="M28" s="1078"/>
      <c r="N28" s="1078"/>
      <c r="O28" s="1078"/>
      <c r="P28" s="1078"/>
      <c r="Q28" s="120"/>
      <c r="R28" s="120"/>
      <c r="S28" s="120" t="str">
        <f t="shared" si="13"/>
        <v/>
      </c>
      <c r="T28" s="558">
        <v>23</v>
      </c>
      <c r="U28" s="1078" t="str">
        <f t="shared" si="2"/>
        <v/>
      </c>
      <c r="V28" s="1078"/>
      <c r="W28" s="1078"/>
      <c r="X28" s="1078"/>
      <c r="Y28" s="1078"/>
      <c r="Z28" s="544" t="str">
        <f t="shared" si="3"/>
        <v/>
      </c>
      <c r="AA28" s="544"/>
      <c r="AB28" s="120" t="str">
        <f t="shared" si="4"/>
        <v/>
      </c>
      <c r="AC28" s="558">
        <v>23</v>
      </c>
      <c r="AD28" s="1078" t="str">
        <f t="shared" si="5"/>
        <v/>
      </c>
      <c r="AE28" s="1078"/>
      <c r="AF28" s="1078"/>
      <c r="AG28" s="1078"/>
      <c r="AH28" s="1078"/>
      <c r="AI28" s="544" t="s">
        <v>3034</v>
      </c>
      <c r="AJ28" s="544"/>
      <c r="AK28" s="120" t="str">
        <f t="shared" si="14"/>
        <v/>
      </c>
      <c r="AL28" s="558">
        <v>23</v>
      </c>
      <c r="AM28" s="1078" t="str">
        <f t="shared" si="6"/>
        <v/>
      </c>
      <c r="AN28" s="1078"/>
      <c r="AO28" s="1078"/>
      <c r="AP28" s="1078"/>
      <c r="AQ28" s="1078"/>
      <c r="AR28" s="544"/>
      <c r="AS28" s="544"/>
      <c r="AT28" s="120" t="str">
        <f t="shared" si="15"/>
        <v/>
      </c>
      <c r="AU28" s="558">
        <v>23</v>
      </c>
      <c r="AV28" s="1078" t="str">
        <f t="shared" si="7"/>
        <v/>
      </c>
      <c r="AW28" s="1078"/>
      <c r="AX28" s="1078"/>
      <c r="AY28" s="1078"/>
      <c r="AZ28" s="1078"/>
      <c r="BA28" s="544"/>
      <c r="BB28" s="544"/>
      <c r="BC28" s="120" t="str">
        <f t="shared" si="16"/>
        <v/>
      </c>
      <c r="BD28" s="558">
        <v>23</v>
      </c>
      <c r="BE28" s="1078" t="str">
        <f t="shared" si="8"/>
        <v/>
      </c>
      <c r="BF28" s="1078"/>
      <c r="BG28" s="1078"/>
      <c r="BH28" s="1078"/>
      <c r="BI28" s="1078"/>
      <c r="BJ28" s="544"/>
      <c r="BK28" s="544"/>
      <c r="BL28" s="120" t="str">
        <f t="shared" si="17"/>
        <v/>
      </c>
      <c r="BM28" s="558">
        <v>23</v>
      </c>
      <c r="BN28" s="1078" t="str">
        <f t="shared" si="9"/>
        <v/>
      </c>
      <c r="BO28" s="1078"/>
      <c r="BP28" s="1078"/>
      <c r="BQ28" s="1078"/>
      <c r="BR28" s="1078"/>
      <c r="BS28" s="544"/>
      <c r="BT28" s="544"/>
      <c r="BU28" s="120" t="str">
        <f t="shared" si="18"/>
        <v/>
      </c>
      <c r="BV28" s="558">
        <v>23</v>
      </c>
      <c r="BW28" s="1078" t="str">
        <f t="shared" si="10"/>
        <v/>
      </c>
      <c r="BX28" s="1078"/>
      <c r="BY28" s="1078"/>
      <c r="BZ28" s="1078"/>
      <c r="CA28" s="1078"/>
      <c r="CB28" s="544"/>
      <c r="CC28" s="120" t="str">
        <f t="shared" si="19"/>
        <v/>
      </c>
      <c r="CL28">
        <f t="shared" si="20"/>
        <v>0</v>
      </c>
      <c r="CM28">
        <f>IF(CL28=0,0,1+COUNTIF(CM$6:CM27,"&gt;0"))</f>
        <v>0</v>
      </c>
      <c r="CN28">
        <f t="shared" si="21"/>
        <v>0</v>
      </c>
      <c r="CO28">
        <f>IF(CN28=0,0,1+COUNTIF(CO$6:CO27,"&gt;0"))</f>
        <v>0</v>
      </c>
      <c r="CP28">
        <f t="shared" si="22"/>
        <v>0</v>
      </c>
      <c r="CQ28">
        <f>IF(CP28=0,0,1+COUNTIF(CQ$6:CQ27,"&gt;0"))</f>
        <v>0</v>
      </c>
      <c r="CR28">
        <f t="shared" si="23"/>
        <v>0</v>
      </c>
      <c r="CS28">
        <f>IF(CR28=0,0,1+COUNTIF(CS$6:CS27,"&gt;0"))</f>
        <v>0</v>
      </c>
      <c r="CT28">
        <f t="shared" si="24"/>
        <v>0</v>
      </c>
      <c r="CU28">
        <f>IF(CT28=0,0,1+COUNTIF(CU$6:CU27,"&gt;0"))</f>
        <v>0</v>
      </c>
      <c r="CV28">
        <f t="shared" si="25"/>
        <v>0</v>
      </c>
      <c r="CW28">
        <f>IF(CV28=0,0,1+COUNTIF(CW$6:CW27,"&gt;0"))</f>
        <v>0</v>
      </c>
      <c r="CX28">
        <f t="shared" si="26"/>
        <v>0</v>
      </c>
      <c r="CY28">
        <f>IF(CX28=0,0,1+COUNTIF(CY$6:CY27,"&gt;0"))</f>
        <v>0</v>
      </c>
      <c r="CZ28">
        <f t="shared" si="27"/>
        <v>0</v>
      </c>
      <c r="DA28">
        <f>IF(CZ28=0,0,1+COUNTIF(DA$6:DA27,"&gt;0"))</f>
        <v>0</v>
      </c>
      <c r="DB28">
        <f t="shared" si="28"/>
        <v>0</v>
      </c>
      <c r="DC28">
        <f>IF(DB28=0,0,1+COUNTIF(DC$6:DC27,"&gt;0"))</f>
        <v>0</v>
      </c>
    </row>
    <row r="29" spans="1:107" ht="21" x14ac:dyDescent="0.25">
      <c r="A29" s="120"/>
      <c r="B29" s="558">
        <v>24</v>
      </c>
      <c r="C29" s="1078" t="str">
        <f t="shared" si="0"/>
        <v/>
      </c>
      <c r="D29" s="1078"/>
      <c r="E29" s="1078"/>
      <c r="F29" s="1078"/>
      <c r="G29" s="1078"/>
      <c r="H29" s="120"/>
      <c r="I29" s="120"/>
      <c r="J29" s="120" t="str">
        <f t="shared" si="12"/>
        <v/>
      </c>
      <c r="K29" s="558">
        <v>24</v>
      </c>
      <c r="L29" s="1078" t="str">
        <f t="shared" si="1"/>
        <v/>
      </c>
      <c r="M29" s="1078"/>
      <c r="N29" s="1078"/>
      <c r="O29" s="1078"/>
      <c r="P29" s="1078"/>
      <c r="Q29" s="120"/>
      <c r="R29" s="120"/>
      <c r="S29" s="120" t="str">
        <f t="shared" si="13"/>
        <v/>
      </c>
      <c r="T29" s="558">
        <v>24</v>
      </c>
      <c r="U29" s="1078" t="str">
        <f t="shared" si="2"/>
        <v/>
      </c>
      <c r="V29" s="1078"/>
      <c r="W29" s="1078"/>
      <c r="X29" s="1078"/>
      <c r="Y29" s="1078"/>
      <c r="Z29" s="544" t="str">
        <f t="shared" si="3"/>
        <v/>
      </c>
      <c r="AA29" s="544"/>
      <c r="AB29" s="120" t="str">
        <f t="shared" si="4"/>
        <v/>
      </c>
      <c r="AC29" s="558">
        <v>24</v>
      </c>
      <c r="AD29" s="1078" t="str">
        <f t="shared" si="5"/>
        <v/>
      </c>
      <c r="AE29" s="1078"/>
      <c r="AF29" s="1078"/>
      <c r="AG29" s="1078"/>
      <c r="AH29" s="1078"/>
      <c r="AI29" s="544" t="s">
        <v>3034</v>
      </c>
      <c r="AJ29" s="544"/>
      <c r="AK29" s="120" t="str">
        <f t="shared" si="14"/>
        <v/>
      </c>
      <c r="AL29" s="558">
        <v>24</v>
      </c>
      <c r="AM29" s="1078" t="str">
        <f t="shared" si="6"/>
        <v/>
      </c>
      <c r="AN29" s="1078"/>
      <c r="AO29" s="1078"/>
      <c r="AP29" s="1078"/>
      <c r="AQ29" s="1078"/>
      <c r="AR29" s="544"/>
      <c r="AS29" s="544"/>
      <c r="AT29" s="120" t="str">
        <f t="shared" si="15"/>
        <v/>
      </c>
      <c r="AU29" s="558">
        <v>24</v>
      </c>
      <c r="AV29" s="1078" t="str">
        <f t="shared" si="7"/>
        <v/>
      </c>
      <c r="AW29" s="1078"/>
      <c r="AX29" s="1078"/>
      <c r="AY29" s="1078"/>
      <c r="AZ29" s="1078"/>
      <c r="BA29" s="544"/>
      <c r="BB29" s="544"/>
      <c r="BC29" s="120" t="str">
        <f t="shared" si="16"/>
        <v/>
      </c>
      <c r="BD29" s="558">
        <v>24</v>
      </c>
      <c r="BE29" s="1078" t="str">
        <f t="shared" si="8"/>
        <v/>
      </c>
      <c r="BF29" s="1078"/>
      <c r="BG29" s="1078"/>
      <c r="BH29" s="1078"/>
      <c r="BI29" s="1078"/>
      <c r="BJ29" s="544"/>
      <c r="BK29" s="544"/>
      <c r="BL29" s="120" t="str">
        <f t="shared" si="17"/>
        <v/>
      </c>
      <c r="BM29" s="558">
        <v>24</v>
      </c>
      <c r="BN29" s="1078" t="str">
        <f t="shared" si="9"/>
        <v/>
      </c>
      <c r="BO29" s="1078"/>
      <c r="BP29" s="1078"/>
      <c r="BQ29" s="1078"/>
      <c r="BR29" s="1078"/>
      <c r="BS29" s="544"/>
      <c r="BT29" s="544"/>
      <c r="BU29" s="120" t="str">
        <f t="shared" si="18"/>
        <v/>
      </c>
      <c r="BV29" s="558">
        <v>24</v>
      </c>
      <c r="BW29" s="1078" t="str">
        <f t="shared" si="10"/>
        <v/>
      </c>
      <c r="BX29" s="1078"/>
      <c r="BY29" s="1078"/>
      <c r="BZ29" s="1078"/>
      <c r="CA29" s="1078"/>
      <c r="CB29" s="544"/>
      <c r="CC29" s="120" t="str">
        <f t="shared" si="19"/>
        <v/>
      </c>
      <c r="CL29">
        <f t="shared" si="20"/>
        <v>0</v>
      </c>
      <c r="CM29">
        <f>IF(CL29=0,0,1+COUNTIF(CM$6:CM28,"&gt;0"))</f>
        <v>0</v>
      </c>
      <c r="CN29">
        <f t="shared" si="21"/>
        <v>0</v>
      </c>
      <c r="CO29">
        <f>IF(CN29=0,0,1+COUNTIF(CO$6:CO28,"&gt;0"))</f>
        <v>0</v>
      </c>
      <c r="CP29">
        <f t="shared" si="22"/>
        <v>0</v>
      </c>
      <c r="CQ29">
        <f>IF(CP29=0,0,1+COUNTIF(CQ$6:CQ28,"&gt;0"))</f>
        <v>0</v>
      </c>
      <c r="CR29">
        <f t="shared" si="23"/>
        <v>0</v>
      </c>
      <c r="CS29">
        <f>IF(CR29=0,0,1+COUNTIF(CS$6:CS28,"&gt;0"))</f>
        <v>0</v>
      </c>
      <c r="CT29">
        <f t="shared" si="24"/>
        <v>0</v>
      </c>
      <c r="CU29">
        <f>IF(CT29=0,0,1+COUNTIF(CU$6:CU28,"&gt;0"))</f>
        <v>0</v>
      </c>
      <c r="CV29">
        <f t="shared" si="25"/>
        <v>0</v>
      </c>
      <c r="CW29">
        <f>IF(CV29=0,0,1+COUNTIF(CW$6:CW28,"&gt;0"))</f>
        <v>0</v>
      </c>
      <c r="CX29">
        <f t="shared" si="26"/>
        <v>0</v>
      </c>
      <c r="CY29">
        <f>IF(CX29=0,0,1+COUNTIF(CY$6:CY28,"&gt;0"))</f>
        <v>0</v>
      </c>
      <c r="CZ29">
        <f t="shared" si="27"/>
        <v>0</v>
      </c>
      <c r="DA29">
        <f>IF(CZ29=0,0,1+COUNTIF(DA$6:DA28,"&gt;0"))</f>
        <v>0</v>
      </c>
      <c r="DB29">
        <f t="shared" si="28"/>
        <v>0</v>
      </c>
      <c r="DC29">
        <f>IF(DB29=0,0,1+COUNTIF(DC$6:DC28,"&gt;0"))</f>
        <v>0</v>
      </c>
    </row>
    <row r="30" spans="1:107" ht="21" x14ac:dyDescent="0.25">
      <c r="A30" s="120"/>
      <c r="B30" s="558">
        <v>25</v>
      </c>
      <c r="C30" s="1078" t="str">
        <f t="shared" si="0"/>
        <v/>
      </c>
      <c r="D30" s="1078"/>
      <c r="E30" s="1078"/>
      <c r="F30" s="1078"/>
      <c r="G30" s="1078"/>
      <c r="H30" s="120"/>
      <c r="I30" s="120"/>
      <c r="J30" s="120" t="str">
        <f t="shared" si="12"/>
        <v/>
      </c>
      <c r="K30" s="558">
        <v>25</v>
      </c>
      <c r="L30" s="1078" t="str">
        <f t="shared" si="1"/>
        <v/>
      </c>
      <c r="M30" s="1078"/>
      <c r="N30" s="1078"/>
      <c r="O30" s="1078"/>
      <c r="P30" s="1078"/>
      <c r="Q30" s="120"/>
      <c r="R30" s="120"/>
      <c r="S30" s="120" t="str">
        <f t="shared" si="13"/>
        <v/>
      </c>
      <c r="T30" s="558">
        <v>25</v>
      </c>
      <c r="U30" s="1078" t="str">
        <f t="shared" si="2"/>
        <v/>
      </c>
      <c r="V30" s="1078"/>
      <c r="W30" s="1078"/>
      <c r="X30" s="1078"/>
      <c r="Y30" s="1078"/>
      <c r="Z30" s="544" t="str">
        <f t="shared" si="3"/>
        <v/>
      </c>
      <c r="AA30" s="544"/>
      <c r="AB30" s="120" t="str">
        <f t="shared" si="4"/>
        <v/>
      </c>
      <c r="AC30" s="558">
        <v>25</v>
      </c>
      <c r="AD30" s="1078" t="str">
        <f t="shared" si="5"/>
        <v/>
      </c>
      <c r="AE30" s="1078"/>
      <c r="AF30" s="1078"/>
      <c r="AG30" s="1078"/>
      <c r="AH30" s="1078"/>
      <c r="AI30" s="544" t="s">
        <v>3034</v>
      </c>
      <c r="AJ30" s="544"/>
      <c r="AK30" s="120" t="str">
        <f t="shared" si="14"/>
        <v/>
      </c>
      <c r="AL30" s="558">
        <v>25</v>
      </c>
      <c r="AM30" s="1078" t="str">
        <f t="shared" si="6"/>
        <v/>
      </c>
      <c r="AN30" s="1078"/>
      <c r="AO30" s="1078"/>
      <c r="AP30" s="1078"/>
      <c r="AQ30" s="1078"/>
      <c r="AR30" s="544"/>
      <c r="AS30" s="544"/>
      <c r="AT30" s="120" t="str">
        <f t="shared" si="15"/>
        <v/>
      </c>
      <c r="AU30" s="558">
        <v>25</v>
      </c>
      <c r="AV30" s="1078" t="str">
        <f t="shared" si="7"/>
        <v/>
      </c>
      <c r="AW30" s="1078"/>
      <c r="AX30" s="1078"/>
      <c r="AY30" s="1078"/>
      <c r="AZ30" s="1078"/>
      <c r="BA30" s="544"/>
      <c r="BB30" s="544"/>
      <c r="BC30" s="120" t="str">
        <f t="shared" si="16"/>
        <v/>
      </c>
      <c r="BD30" s="558">
        <v>25</v>
      </c>
      <c r="BE30" s="1078" t="str">
        <f t="shared" si="8"/>
        <v/>
      </c>
      <c r="BF30" s="1078"/>
      <c r="BG30" s="1078"/>
      <c r="BH30" s="1078"/>
      <c r="BI30" s="1078"/>
      <c r="BJ30" s="544"/>
      <c r="BK30" s="544"/>
      <c r="BL30" s="120" t="str">
        <f t="shared" si="17"/>
        <v/>
      </c>
      <c r="BM30" s="558">
        <v>25</v>
      </c>
      <c r="BN30" s="1078" t="str">
        <f t="shared" si="9"/>
        <v/>
      </c>
      <c r="BO30" s="1078"/>
      <c r="BP30" s="1078"/>
      <c r="BQ30" s="1078"/>
      <c r="BR30" s="1078"/>
      <c r="BS30" s="544"/>
      <c r="BT30" s="544"/>
      <c r="BU30" s="120" t="str">
        <f t="shared" si="18"/>
        <v/>
      </c>
      <c r="BV30" s="558">
        <v>25</v>
      </c>
      <c r="BW30" s="1078" t="str">
        <f t="shared" si="10"/>
        <v/>
      </c>
      <c r="BX30" s="1078"/>
      <c r="BY30" s="1078"/>
      <c r="BZ30" s="1078"/>
      <c r="CA30" s="1078"/>
      <c r="CB30" s="544"/>
      <c r="CC30" s="120" t="str">
        <f t="shared" si="19"/>
        <v/>
      </c>
      <c r="CL30">
        <f t="shared" si="20"/>
        <v>0</v>
      </c>
      <c r="CM30">
        <f>IF(CL30=0,0,1+COUNTIF(CM$6:CM29,"&gt;0"))</f>
        <v>0</v>
      </c>
      <c r="CN30">
        <f t="shared" si="21"/>
        <v>0</v>
      </c>
      <c r="CO30">
        <f>IF(CN30=0,0,1+COUNTIF(CO$6:CO29,"&gt;0"))</f>
        <v>0</v>
      </c>
      <c r="CP30">
        <f t="shared" si="22"/>
        <v>0</v>
      </c>
      <c r="CQ30">
        <f>IF(CP30=0,0,1+COUNTIF(CQ$6:CQ29,"&gt;0"))</f>
        <v>0</v>
      </c>
      <c r="CR30">
        <f t="shared" si="23"/>
        <v>0</v>
      </c>
      <c r="CS30">
        <f>IF(CR30=0,0,1+COUNTIF(CS$6:CS29,"&gt;0"))</f>
        <v>0</v>
      </c>
      <c r="CT30">
        <f t="shared" si="24"/>
        <v>0</v>
      </c>
      <c r="CU30">
        <f>IF(CT30=0,0,1+COUNTIF(CU$6:CU29,"&gt;0"))</f>
        <v>0</v>
      </c>
      <c r="CV30">
        <f t="shared" si="25"/>
        <v>0</v>
      </c>
      <c r="CW30">
        <f>IF(CV30=0,0,1+COUNTIF(CW$6:CW29,"&gt;0"))</f>
        <v>0</v>
      </c>
      <c r="CX30">
        <f t="shared" si="26"/>
        <v>0</v>
      </c>
      <c r="CY30">
        <f>IF(CX30=0,0,1+COUNTIF(CY$6:CY29,"&gt;0"))</f>
        <v>0</v>
      </c>
      <c r="CZ30">
        <f t="shared" si="27"/>
        <v>0</v>
      </c>
      <c r="DA30">
        <f>IF(CZ30=0,0,1+COUNTIF(DA$6:DA29,"&gt;0"))</f>
        <v>0</v>
      </c>
      <c r="DB30">
        <f t="shared" si="28"/>
        <v>0</v>
      </c>
      <c r="DC30">
        <f>IF(DB30=0,0,1+COUNTIF(DC$6:DC29,"&gt;0"))</f>
        <v>0</v>
      </c>
    </row>
    <row r="31" spans="1:107" ht="21" x14ac:dyDescent="0.25">
      <c r="A31" s="120"/>
      <c r="B31" s="558">
        <v>26</v>
      </c>
      <c r="C31" s="1078" t="str">
        <f t="shared" si="0"/>
        <v/>
      </c>
      <c r="D31" s="1078"/>
      <c r="E31" s="1078"/>
      <c r="F31" s="1078"/>
      <c r="G31" s="1078"/>
      <c r="H31" s="120"/>
      <c r="I31" s="120"/>
      <c r="J31" s="120" t="str">
        <f t="shared" si="12"/>
        <v/>
      </c>
      <c r="K31" s="558">
        <v>26</v>
      </c>
      <c r="L31" s="1078" t="str">
        <f t="shared" si="1"/>
        <v/>
      </c>
      <c r="M31" s="1078"/>
      <c r="N31" s="1078"/>
      <c r="O31" s="1078"/>
      <c r="P31" s="1078"/>
      <c r="Q31" s="120"/>
      <c r="R31" s="120"/>
      <c r="S31" s="120" t="str">
        <f t="shared" si="13"/>
        <v/>
      </c>
      <c r="T31" s="558">
        <v>26</v>
      </c>
      <c r="U31" s="1078" t="str">
        <f t="shared" si="2"/>
        <v/>
      </c>
      <c r="V31" s="1078"/>
      <c r="W31" s="1078"/>
      <c r="X31" s="1078"/>
      <c r="Y31" s="1078"/>
      <c r="Z31" s="544" t="str">
        <f t="shared" si="3"/>
        <v/>
      </c>
      <c r="AA31" s="544"/>
      <c r="AB31" s="120" t="str">
        <f t="shared" si="4"/>
        <v/>
      </c>
      <c r="AC31" s="558">
        <v>26</v>
      </c>
      <c r="AD31" s="1078" t="str">
        <f t="shared" si="5"/>
        <v/>
      </c>
      <c r="AE31" s="1078"/>
      <c r="AF31" s="1078"/>
      <c r="AG31" s="1078"/>
      <c r="AH31" s="1078"/>
      <c r="AI31" s="544" t="s">
        <v>3034</v>
      </c>
      <c r="AJ31" s="544"/>
      <c r="AK31" s="120" t="str">
        <f t="shared" si="14"/>
        <v/>
      </c>
      <c r="AL31" s="558">
        <v>26</v>
      </c>
      <c r="AM31" s="1078" t="str">
        <f t="shared" si="6"/>
        <v/>
      </c>
      <c r="AN31" s="1078"/>
      <c r="AO31" s="1078"/>
      <c r="AP31" s="1078"/>
      <c r="AQ31" s="1078"/>
      <c r="AR31" s="544"/>
      <c r="AS31" s="544"/>
      <c r="AT31" s="120" t="str">
        <f t="shared" si="15"/>
        <v/>
      </c>
      <c r="AU31" s="558">
        <v>26</v>
      </c>
      <c r="AV31" s="1078" t="str">
        <f t="shared" si="7"/>
        <v/>
      </c>
      <c r="AW31" s="1078"/>
      <c r="AX31" s="1078"/>
      <c r="AY31" s="1078"/>
      <c r="AZ31" s="1078"/>
      <c r="BA31" s="544"/>
      <c r="BB31" s="544"/>
      <c r="BC31" s="120" t="str">
        <f t="shared" si="16"/>
        <v/>
      </c>
      <c r="BD31" s="558">
        <v>26</v>
      </c>
      <c r="BE31" s="1078" t="str">
        <f t="shared" si="8"/>
        <v/>
      </c>
      <c r="BF31" s="1078"/>
      <c r="BG31" s="1078"/>
      <c r="BH31" s="1078"/>
      <c r="BI31" s="1078"/>
      <c r="BJ31" s="544"/>
      <c r="BK31" s="544"/>
      <c r="BL31" s="120" t="str">
        <f t="shared" si="17"/>
        <v/>
      </c>
      <c r="BM31" s="558">
        <v>26</v>
      </c>
      <c r="BN31" s="1078" t="str">
        <f t="shared" si="9"/>
        <v/>
      </c>
      <c r="BO31" s="1078"/>
      <c r="BP31" s="1078"/>
      <c r="BQ31" s="1078"/>
      <c r="BR31" s="1078"/>
      <c r="BS31" s="544"/>
      <c r="BT31" s="544"/>
      <c r="BU31" s="120" t="str">
        <f t="shared" si="18"/>
        <v/>
      </c>
      <c r="BV31" s="558">
        <v>26</v>
      </c>
      <c r="BW31" s="1078" t="str">
        <f t="shared" si="10"/>
        <v/>
      </c>
      <c r="BX31" s="1078"/>
      <c r="BY31" s="1078"/>
      <c r="BZ31" s="1078"/>
      <c r="CA31" s="1078"/>
      <c r="CB31" s="544"/>
      <c r="CC31" s="120" t="str">
        <f t="shared" si="19"/>
        <v/>
      </c>
      <c r="CL31">
        <f t="shared" si="20"/>
        <v>0</v>
      </c>
      <c r="CM31">
        <f>IF(CL31=0,0,1+COUNTIF(CM$6:CM30,"&gt;0"))</f>
        <v>0</v>
      </c>
      <c r="CN31">
        <f t="shared" si="21"/>
        <v>0</v>
      </c>
      <c r="CO31">
        <f>IF(CN31=0,0,1+COUNTIF(CO$6:CO30,"&gt;0"))</f>
        <v>0</v>
      </c>
      <c r="CP31">
        <f t="shared" si="22"/>
        <v>0</v>
      </c>
      <c r="CQ31">
        <f>IF(CP31=0,0,1+COUNTIF(CQ$6:CQ30,"&gt;0"))</f>
        <v>0</v>
      </c>
      <c r="CR31">
        <f t="shared" si="23"/>
        <v>0</v>
      </c>
      <c r="CS31">
        <f>IF(CR31=0,0,1+COUNTIF(CS$6:CS30,"&gt;0"))</f>
        <v>0</v>
      </c>
      <c r="CT31">
        <f t="shared" si="24"/>
        <v>0</v>
      </c>
      <c r="CU31">
        <f>IF(CT31=0,0,1+COUNTIF(CU$6:CU30,"&gt;0"))</f>
        <v>0</v>
      </c>
      <c r="CV31">
        <f t="shared" si="25"/>
        <v>0</v>
      </c>
      <c r="CW31">
        <f>IF(CV31=0,0,1+COUNTIF(CW$6:CW30,"&gt;0"))</f>
        <v>0</v>
      </c>
      <c r="CX31">
        <f t="shared" si="26"/>
        <v>0</v>
      </c>
      <c r="CY31">
        <f>IF(CX31=0,0,1+COUNTIF(CY$6:CY30,"&gt;0"))</f>
        <v>0</v>
      </c>
      <c r="CZ31">
        <f t="shared" si="27"/>
        <v>0</v>
      </c>
      <c r="DA31">
        <f>IF(CZ31=0,0,1+COUNTIF(DA$6:DA30,"&gt;0"))</f>
        <v>0</v>
      </c>
      <c r="DB31">
        <f t="shared" si="28"/>
        <v>0</v>
      </c>
      <c r="DC31">
        <f>IF(DB31=0,0,1+COUNTIF(DC$6:DC30,"&gt;0"))</f>
        <v>0</v>
      </c>
    </row>
    <row r="32" spans="1:107" ht="21" x14ac:dyDescent="0.25">
      <c r="A32" s="120"/>
      <c r="B32" s="558">
        <v>27</v>
      </c>
      <c r="C32" s="1078" t="str">
        <f t="shared" si="0"/>
        <v/>
      </c>
      <c r="D32" s="1078"/>
      <c r="E32" s="1078"/>
      <c r="F32" s="1078"/>
      <c r="G32" s="1078"/>
      <c r="H32" s="120"/>
      <c r="I32" s="120"/>
      <c r="J32" s="120" t="str">
        <f t="shared" si="12"/>
        <v/>
      </c>
      <c r="K32" s="558">
        <v>27</v>
      </c>
      <c r="L32" s="1078" t="str">
        <f t="shared" si="1"/>
        <v/>
      </c>
      <c r="M32" s="1078"/>
      <c r="N32" s="1078"/>
      <c r="O32" s="1078"/>
      <c r="P32" s="1078"/>
      <c r="Q32" s="120"/>
      <c r="R32" s="120"/>
      <c r="S32" s="120" t="str">
        <f t="shared" si="13"/>
        <v/>
      </c>
      <c r="T32" s="558">
        <v>27</v>
      </c>
      <c r="U32" s="1078" t="str">
        <f t="shared" si="2"/>
        <v/>
      </c>
      <c r="V32" s="1078"/>
      <c r="W32" s="1078"/>
      <c r="X32" s="1078"/>
      <c r="Y32" s="1078"/>
      <c r="Z32" s="544" t="str">
        <f t="shared" si="3"/>
        <v/>
      </c>
      <c r="AA32" s="544"/>
      <c r="AB32" s="120" t="str">
        <f t="shared" si="4"/>
        <v/>
      </c>
      <c r="AC32" s="558">
        <v>27</v>
      </c>
      <c r="AD32" s="1078" t="str">
        <f t="shared" si="5"/>
        <v/>
      </c>
      <c r="AE32" s="1078"/>
      <c r="AF32" s="1078"/>
      <c r="AG32" s="1078"/>
      <c r="AH32" s="1078"/>
      <c r="AI32" s="544" t="s">
        <v>3034</v>
      </c>
      <c r="AJ32" s="544"/>
      <c r="AK32" s="120" t="str">
        <f t="shared" si="14"/>
        <v/>
      </c>
      <c r="AL32" s="558">
        <v>27</v>
      </c>
      <c r="AM32" s="1078" t="str">
        <f t="shared" si="6"/>
        <v/>
      </c>
      <c r="AN32" s="1078"/>
      <c r="AO32" s="1078"/>
      <c r="AP32" s="1078"/>
      <c r="AQ32" s="1078"/>
      <c r="AR32" s="544"/>
      <c r="AS32" s="544"/>
      <c r="AT32" s="120" t="str">
        <f t="shared" si="15"/>
        <v/>
      </c>
      <c r="AU32" s="558">
        <v>27</v>
      </c>
      <c r="AV32" s="1078" t="str">
        <f t="shared" si="7"/>
        <v/>
      </c>
      <c r="AW32" s="1078"/>
      <c r="AX32" s="1078"/>
      <c r="AY32" s="1078"/>
      <c r="AZ32" s="1078"/>
      <c r="BA32" s="544"/>
      <c r="BB32" s="544"/>
      <c r="BC32" s="120" t="str">
        <f t="shared" si="16"/>
        <v/>
      </c>
      <c r="BD32" s="558">
        <v>27</v>
      </c>
      <c r="BE32" s="1078" t="str">
        <f t="shared" si="8"/>
        <v/>
      </c>
      <c r="BF32" s="1078"/>
      <c r="BG32" s="1078"/>
      <c r="BH32" s="1078"/>
      <c r="BI32" s="1078"/>
      <c r="BJ32" s="544"/>
      <c r="BK32" s="544"/>
      <c r="BL32" s="120" t="str">
        <f t="shared" si="17"/>
        <v/>
      </c>
      <c r="BM32" s="558">
        <v>27</v>
      </c>
      <c r="BN32" s="1078" t="str">
        <f t="shared" si="9"/>
        <v/>
      </c>
      <c r="BO32" s="1078"/>
      <c r="BP32" s="1078"/>
      <c r="BQ32" s="1078"/>
      <c r="BR32" s="1078"/>
      <c r="BS32" s="544"/>
      <c r="BT32" s="544"/>
      <c r="BU32" s="120" t="str">
        <f t="shared" si="18"/>
        <v/>
      </c>
      <c r="BV32" s="558">
        <v>27</v>
      </c>
      <c r="BW32" s="1078" t="str">
        <f t="shared" si="10"/>
        <v/>
      </c>
      <c r="BX32" s="1078"/>
      <c r="BY32" s="1078"/>
      <c r="BZ32" s="1078"/>
      <c r="CA32" s="1078"/>
      <c r="CB32" s="544"/>
      <c r="CC32" s="120" t="str">
        <f t="shared" si="19"/>
        <v/>
      </c>
      <c r="CL32">
        <f t="shared" si="20"/>
        <v>0</v>
      </c>
      <c r="CM32">
        <f>IF(CL32=0,0,1+COUNTIF(CM$6:CM31,"&gt;0"))</f>
        <v>0</v>
      </c>
      <c r="CN32">
        <f t="shared" si="21"/>
        <v>0</v>
      </c>
      <c r="CO32">
        <f>IF(CN32=0,0,1+COUNTIF(CO$6:CO31,"&gt;0"))</f>
        <v>0</v>
      </c>
      <c r="CP32">
        <f t="shared" si="22"/>
        <v>0</v>
      </c>
      <c r="CQ32">
        <f>IF(CP32=0,0,1+COUNTIF(CQ$6:CQ31,"&gt;0"))</f>
        <v>0</v>
      </c>
      <c r="CR32">
        <f t="shared" si="23"/>
        <v>0</v>
      </c>
      <c r="CS32">
        <f>IF(CR32=0,0,1+COUNTIF(CS$6:CS31,"&gt;0"))</f>
        <v>0</v>
      </c>
      <c r="CT32">
        <f t="shared" si="24"/>
        <v>0</v>
      </c>
      <c r="CU32">
        <f>IF(CT32=0,0,1+COUNTIF(CU$6:CU31,"&gt;0"))</f>
        <v>0</v>
      </c>
      <c r="CV32">
        <f t="shared" si="25"/>
        <v>0</v>
      </c>
      <c r="CW32">
        <f>IF(CV32=0,0,1+COUNTIF(CW$6:CW31,"&gt;0"))</f>
        <v>0</v>
      </c>
      <c r="CX32">
        <f t="shared" si="26"/>
        <v>0</v>
      </c>
      <c r="CY32">
        <f>IF(CX32=0,0,1+COUNTIF(CY$6:CY31,"&gt;0"))</f>
        <v>0</v>
      </c>
      <c r="CZ32">
        <f t="shared" si="27"/>
        <v>0</v>
      </c>
      <c r="DA32">
        <f>IF(CZ32=0,0,1+COUNTIF(DA$6:DA31,"&gt;0"))</f>
        <v>0</v>
      </c>
      <c r="DB32">
        <f t="shared" si="28"/>
        <v>0</v>
      </c>
      <c r="DC32">
        <f>IF(DB32=0,0,1+COUNTIF(DC$6:DC31,"&gt;0"))</f>
        <v>0</v>
      </c>
    </row>
    <row r="33" spans="1:107" ht="21" x14ac:dyDescent="0.25">
      <c r="A33" s="120"/>
      <c r="B33" s="558">
        <v>28</v>
      </c>
      <c r="C33" s="1078" t="str">
        <f t="shared" si="0"/>
        <v/>
      </c>
      <c r="D33" s="1078"/>
      <c r="E33" s="1078"/>
      <c r="F33" s="1078"/>
      <c r="G33" s="1078"/>
      <c r="H33" s="120"/>
      <c r="I33" s="120"/>
      <c r="J33" s="120" t="str">
        <f t="shared" si="12"/>
        <v/>
      </c>
      <c r="K33" s="558">
        <v>28</v>
      </c>
      <c r="L33" s="1078" t="str">
        <f t="shared" si="1"/>
        <v/>
      </c>
      <c r="M33" s="1078"/>
      <c r="N33" s="1078"/>
      <c r="O33" s="1078"/>
      <c r="P33" s="1078"/>
      <c r="Q33" s="120"/>
      <c r="R33" s="120"/>
      <c r="S33" s="120" t="str">
        <f t="shared" si="13"/>
        <v/>
      </c>
      <c r="T33" s="558">
        <v>28</v>
      </c>
      <c r="U33" s="1078" t="str">
        <f t="shared" si="2"/>
        <v/>
      </c>
      <c r="V33" s="1078"/>
      <c r="W33" s="1078"/>
      <c r="X33" s="1078"/>
      <c r="Y33" s="1078"/>
      <c r="Z33" s="544" t="str">
        <f t="shared" si="3"/>
        <v/>
      </c>
      <c r="AA33" s="544"/>
      <c r="AB33" s="120" t="str">
        <f t="shared" si="4"/>
        <v/>
      </c>
      <c r="AC33" s="558">
        <v>28</v>
      </c>
      <c r="AD33" s="1078" t="str">
        <f t="shared" si="5"/>
        <v/>
      </c>
      <c r="AE33" s="1078"/>
      <c r="AF33" s="1078"/>
      <c r="AG33" s="1078"/>
      <c r="AH33" s="1078"/>
      <c r="AI33" s="544" t="s">
        <v>3034</v>
      </c>
      <c r="AJ33" s="544"/>
      <c r="AK33" s="120" t="str">
        <f t="shared" si="14"/>
        <v/>
      </c>
      <c r="AL33" s="558">
        <v>28</v>
      </c>
      <c r="AM33" s="1078" t="str">
        <f t="shared" si="6"/>
        <v/>
      </c>
      <c r="AN33" s="1078"/>
      <c r="AO33" s="1078"/>
      <c r="AP33" s="1078"/>
      <c r="AQ33" s="1078"/>
      <c r="AR33" s="544"/>
      <c r="AS33" s="544"/>
      <c r="AT33" s="120" t="str">
        <f t="shared" si="15"/>
        <v/>
      </c>
      <c r="AU33" s="558">
        <v>28</v>
      </c>
      <c r="AV33" s="1078" t="str">
        <f t="shared" si="7"/>
        <v/>
      </c>
      <c r="AW33" s="1078"/>
      <c r="AX33" s="1078"/>
      <c r="AY33" s="1078"/>
      <c r="AZ33" s="1078"/>
      <c r="BA33" s="544"/>
      <c r="BB33" s="544"/>
      <c r="BC33" s="120" t="str">
        <f t="shared" si="16"/>
        <v/>
      </c>
      <c r="BD33" s="558">
        <v>28</v>
      </c>
      <c r="BE33" s="1078" t="str">
        <f t="shared" si="8"/>
        <v/>
      </c>
      <c r="BF33" s="1078"/>
      <c r="BG33" s="1078"/>
      <c r="BH33" s="1078"/>
      <c r="BI33" s="1078"/>
      <c r="BJ33" s="544"/>
      <c r="BK33" s="544"/>
      <c r="BL33" s="120" t="str">
        <f t="shared" si="17"/>
        <v/>
      </c>
      <c r="BM33" s="558">
        <v>28</v>
      </c>
      <c r="BN33" s="1078" t="str">
        <f t="shared" si="9"/>
        <v/>
      </c>
      <c r="BO33" s="1078"/>
      <c r="BP33" s="1078"/>
      <c r="BQ33" s="1078"/>
      <c r="BR33" s="1078"/>
      <c r="BS33" s="544"/>
      <c r="BT33" s="544"/>
      <c r="BU33" s="120" t="str">
        <f t="shared" si="18"/>
        <v/>
      </c>
      <c r="BV33" s="558">
        <v>28</v>
      </c>
      <c r="BW33" s="1078" t="str">
        <f t="shared" si="10"/>
        <v/>
      </c>
      <c r="BX33" s="1078"/>
      <c r="BY33" s="1078"/>
      <c r="BZ33" s="1078"/>
      <c r="CA33" s="1078"/>
      <c r="CB33" s="544"/>
      <c r="CC33" s="120" t="str">
        <f t="shared" si="19"/>
        <v/>
      </c>
      <c r="CL33">
        <f t="shared" si="20"/>
        <v>0</v>
      </c>
      <c r="CM33">
        <f>IF(CL33=0,0,1+COUNTIF(CM$6:CM32,"&gt;0"))</f>
        <v>0</v>
      </c>
      <c r="CN33">
        <f t="shared" si="21"/>
        <v>0</v>
      </c>
      <c r="CO33">
        <f>IF(CN33=0,0,1+COUNTIF(CO$6:CO32,"&gt;0"))</f>
        <v>0</v>
      </c>
      <c r="CP33">
        <f t="shared" si="22"/>
        <v>0</v>
      </c>
      <c r="CQ33">
        <f>IF(CP33=0,0,1+COUNTIF(CQ$6:CQ32,"&gt;0"))</f>
        <v>0</v>
      </c>
      <c r="CR33">
        <f t="shared" si="23"/>
        <v>0</v>
      </c>
      <c r="CS33">
        <f>IF(CR33=0,0,1+COUNTIF(CS$6:CS32,"&gt;0"))</f>
        <v>0</v>
      </c>
      <c r="CT33">
        <f t="shared" si="24"/>
        <v>0</v>
      </c>
      <c r="CU33">
        <f>IF(CT33=0,0,1+COUNTIF(CU$6:CU32,"&gt;0"))</f>
        <v>0</v>
      </c>
      <c r="CV33">
        <f t="shared" si="25"/>
        <v>0</v>
      </c>
      <c r="CW33">
        <f>IF(CV33=0,0,1+COUNTIF(CW$6:CW32,"&gt;0"))</f>
        <v>0</v>
      </c>
      <c r="CX33">
        <f t="shared" si="26"/>
        <v>0</v>
      </c>
      <c r="CY33">
        <f>IF(CX33=0,0,1+COUNTIF(CY$6:CY32,"&gt;0"))</f>
        <v>0</v>
      </c>
      <c r="CZ33">
        <f t="shared" si="27"/>
        <v>0</v>
      </c>
      <c r="DA33">
        <f>IF(CZ33=0,0,1+COUNTIF(DA$6:DA32,"&gt;0"))</f>
        <v>0</v>
      </c>
      <c r="DB33">
        <f t="shared" si="28"/>
        <v>0</v>
      </c>
      <c r="DC33">
        <f>IF(DB33=0,0,1+COUNTIF(DC$6:DC32,"&gt;0"))</f>
        <v>0</v>
      </c>
    </row>
    <row r="34" spans="1:107" ht="21" x14ac:dyDescent="0.25">
      <c r="A34" s="120"/>
      <c r="B34" s="558">
        <v>29</v>
      </c>
      <c r="C34" s="1078" t="str">
        <f t="shared" si="0"/>
        <v/>
      </c>
      <c r="D34" s="1078"/>
      <c r="E34" s="1078"/>
      <c r="F34" s="1078"/>
      <c r="G34" s="1078"/>
      <c r="H34" s="120"/>
      <c r="I34" s="120"/>
      <c r="J34" s="120" t="str">
        <f t="shared" si="12"/>
        <v/>
      </c>
      <c r="K34" s="558">
        <v>29</v>
      </c>
      <c r="L34" s="1078" t="str">
        <f t="shared" si="1"/>
        <v/>
      </c>
      <c r="M34" s="1078"/>
      <c r="N34" s="1078"/>
      <c r="O34" s="1078"/>
      <c r="P34" s="1078"/>
      <c r="Q34" s="120"/>
      <c r="R34" s="120"/>
      <c r="S34" s="120" t="str">
        <f t="shared" si="13"/>
        <v/>
      </c>
      <c r="T34" s="558">
        <v>29</v>
      </c>
      <c r="U34" s="1078" t="str">
        <f t="shared" si="2"/>
        <v/>
      </c>
      <c r="V34" s="1078"/>
      <c r="W34" s="1078"/>
      <c r="X34" s="1078"/>
      <c r="Y34" s="1078"/>
      <c r="Z34" s="544" t="str">
        <f t="shared" si="3"/>
        <v/>
      </c>
      <c r="AA34" s="544"/>
      <c r="AB34" s="120" t="str">
        <f t="shared" si="4"/>
        <v/>
      </c>
      <c r="AC34" s="558">
        <v>29</v>
      </c>
      <c r="AD34" s="1078" t="str">
        <f t="shared" si="5"/>
        <v/>
      </c>
      <c r="AE34" s="1078"/>
      <c r="AF34" s="1078"/>
      <c r="AG34" s="1078"/>
      <c r="AH34" s="1078"/>
      <c r="AI34" s="544" t="s">
        <v>3034</v>
      </c>
      <c r="AJ34" s="544"/>
      <c r="AK34" s="120" t="str">
        <f t="shared" si="14"/>
        <v/>
      </c>
      <c r="AL34" s="558">
        <v>29</v>
      </c>
      <c r="AM34" s="1078" t="str">
        <f t="shared" si="6"/>
        <v/>
      </c>
      <c r="AN34" s="1078"/>
      <c r="AO34" s="1078"/>
      <c r="AP34" s="1078"/>
      <c r="AQ34" s="1078"/>
      <c r="AR34" s="544"/>
      <c r="AS34" s="544"/>
      <c r="AT34" s="120" t="str">
        <f t="shared" si="15"/>
        <v/>
      </c>
      <c r="AU34" s="558">
        <v>29</v>
      </c>
      <c r="AV34" s="1078" t="str">
        <f t="shared" si="7"/>
        <v/>
      </c>
      <c r="AW34" s="1078"/>
      <c r="AX34" s="1078"/>
      <c r="AY34" s="1078"/>
      <c r="AZ34" s="1078"/>
      <c r="BA34" s="544"/>
      <c r="BB34" s="544"/>
      <c r="BC34" s="120" t="str">
        <f t="shared" si="16"/>
        <v/>
      </c>
      <c r="BD34" s="558">
        <v>29</v>
      </c>
      <c r="BE34" s="1078" t="str">
        <f t="shared" si="8"/>
        <v/>
      </c>
      <c r="BF34" s="1078"/>
      <c r="BG34" s="1078"/>
      <c r="BH34" s="1078"/>
      <c r="BI34" s="1078"/>
      <c r="BJ34" s="544"/>
      <c r="BK34" s="544"/>
      <c r="BL34" s="120" t="str">
        <f t="shared" si="17"/>
        <v/>
      </c>
      <c r="BM34" s="558">
        <v>29</v>
      </c>
      <c r="BN34" s="1078" t="str">
        <f t="shared" si="9"/>
        <v/>
      </c>
      <c r="BO34" s="1078"/>
      <c r="BP34" s="1078"/>
      <c r="BQ34" s="1078"/>
      <c r="BR34" s="1078"/>
      <c r="BS34" s="544"/>
      <c r="BT34" s="544"/>
      <c r="BU34" s="120" t="str">
        <f t="shared" si="18"/>
        <v/>
      </c>
      <c r="BV34" s="558">
        <v>29</v>
      </c>
      <c r="BW34" s="1078" t="str">
        <f t="shared" si="10"/>
        <v/>
      </c>
      <c r="BX34" s="1078"/>
      <c r="BY34" s="1078"/>
      <c r="BZ34" s="1078"/>
      <c r="CA34" s="1078"/>
      <c r="CB34" s="544"/>
      <c r="CC34" s="120" t="str">
        <f t="shared" si="19"/>
        <v/>
      </c>
      <c r="CL34">
        <f t="shared" si="20"/>
        <v>0</v>
      </c>
      <c r="CM34">
        <f>IF(CL34=0,0,1+COUNTIF(CM$6:CM33,"&gt;0"))</f>
        <v>0</v>
      </c>
      <c r="CN34">
        <f t="shared" si="21"/>
        <v>0</v>
      </c>
      <c r="CO34">
        <f>IF(CN34=0,0,1+COUNTIF(CO$6:CO33,"&gt;0"))</f>
        <v>0</v>
      </c>
      <c r="CP34">
        <f t="shared" si="22"/>
        <v>0</v>
      </c>
      <c r="CQ34">
        <f>IF(CP34=0,0,1+COUNTIF(CQ$6:CQ33,"&gt;0"))</f>
        <v>0</v>
      </c>
      <c r="CR34">
        <f t="shared" si="23"/>
        <v>0</v>
      </c>
      <c r="CS34">
        <f>IF(CR34=0,0,1+COUNTIF(CS$6:CS33,"&gt;0"))</f>
        <v>0</v>
      </c>
      <c r="CT34">
        <f t="shared" si="24"/>
        <v>0</v>
      </c>
      <c r="CU34">
        <f>IF(CT34=0,0,1+COUNTIF(CU$6:CU33,"&gt;0"))</f>
        <v>0</v>
      </c>
      <c r="CV34">
        <f t="shared" si="25"/>
        <v>0</v>
      </c>
      <c r="CW34">
        <f>IF(CV34=0,0,1+COUNTIF(CW$6:CW33,"&gt;0"))</f>
        <v>0</v>
      </c>
      <c r="CX34">
        <f t="shared" si="26"/>
        <v>0</v>
      </c>
      <c r="CY34">
        <f>IF(CX34=0,0,1+COUNTIF(CY$6:CY33,"&gt;0"))</f>
        <v>0</v>
      </c>
      <c r="CZ34">
        <f t="shared" si="27"/>
        <v>0</v>
      </c>
      <c r="DA34">
        <f>IF(CZ34=0,0,1+COUNTIF(DA$6:DA33,"&gt;0"))</f>
        <v>0</v>
      </c>
      <c r="DB34">
        <f t="shared" si="28"/>
        <v>0</v>
      </c>
      <c r="DC34">
        <f>IF(DB34=0,0,1+COUNTIF(DC$6:DC33,"&gt;0"))</f>
        <v>0</v>
      </c>
    </row>
    <row r="35" spans="1:107" ht="21" x14ac:dyDescent="0.25">
      <c r="A35" s="120"/>
      <c r="B35" s="558">
        <v>30</v>
      </c>
      <c r="C35" s="1078" t="str">
        <f t="shared" si="0"/>
        <v/>
      </c>
      <c r="D35" s="1078"/>
      <c r="E35" s="1078"/>
      <c r="F35" s="1078"/>
      <c r="G35" s="1078"/>
      <c r="H35" s="120"/>
      <c r="I35" s="120"/>
      <c r="J35" s="120" t="str">
        <f t="shared" si="12"/>
        <v/>
      </c>
      <c r="K35" s="558">
        <v>30</v>
      </c>
      <c r="L35" s="1078" t="str">
        <f t="shared" si="1"/>
        <v/>
      </c>
      <c r="M35" s="1078"/>
      <c r="N35" s="1078"/>
      <c r="O35" s="1078"/>
      <c r="P35" s="1078"/>
      <c r="Q35" s="120"/>
      <c r="R35" s="120"/>
      <c r="S35" s="120" t="str">
        <f t="shared" si="13"/>
        <v/>
      </c>
      <c r="T35" s="558">
        <v>30</v>
      </c>
      <c r="U35" s="1078" t="str">
        <f t="shared" si="2"/>
        <v/>
      </c>
      <c r="V35" s="1078"/>
      <c r="W35" s="1078"/>
      <c r="X35" s="1078"/>
      <c r="Y35" s="1078"/>
      <c r="Z35" s="544" t="str">
        <f t="shared" si="3"/>
        <v/>
      </c>
      <c r="AA35" s="544"/>
      <c r="AB35" s="120" t="str">
        <f t="shared" si="4"/>
        <v/>
      </c>
      <c r="AC35" s="558">
        <v>30</v>
      </c>
      <c r="AD35" s="1078" t="str">
        <f t="shared" si="5"/>
        <v/>
      </c>
      <c r="AE35" s="1078"/>
      <c r="AF35" s="1078"/>
      <c r="AG35" s="1078"/>
      <c r="AH35" s="1078"/>
      <c r="AI35" s="544" t="s">
        <v>3034</v>
      </c>
      <c r="AJ35" s="544"/>
      <c r="AK35" s="120" t="str">
        <f t="shared" si="14"/>
        <v/>
      </c>
      <c r="AL35" s="558">
        <v>30</v>
      </c>
      <c r="AM35" s="1078" t="str">
        <f t="shared" si="6"/>
        <v/>
      </c>
      <c r="AN35" s="1078"/>
      <c r="AO35" s="1078"/>
      <c r="AP35" s="1078"/>
      <c r="AQ35" s="1078"/>
      <c r="AR35" s="544"/>
      <c r="AS35" s="544"/>
      <c r="AT35" s="120" t="str">
        <f t="shared" si="15"/>
        <v/>
      </c>
      <c r="AU35" s="558">
        <v>30</v>
      </c>
      <c r="AV35" s="1078" t="str">
        <f t="shared" si="7"/>
        <v/>
      </c>
      <c r="AW35" s="1078"/>
      <c r="AX35" s="1078"/>
      <c r="AY35" s="1078"/>
      <c r="AZ35" s="1078"/>
      <c r="BA35" s="544"/>
      <c r="BB35" s="544"/>
      <c r="BC35" s="120" t="str">
        <f t="shared" si="16"/>
        <v/>
      </c>
      <c r="BD35" s="558">
        <v>30</v>
      </c>
      <c r="BE35" s="1078" t="str">
        <f t="shared" si="8"/>
        <v/>
      </c>
      <c r="BF35" s="1078"/>
      <c r="BG35" s="1078"/>
      <c r="BH35" s="1078"/>
      <c r="BI35" s="1078"/>
      <c r="BJ35" s="544"/>
      <c r="BK35" s="544"/>
      <c r="BL35" s="120" t="str">
        <f t="shared" si="17"/>
        <v/>
      </c>
      <c r="BM35" s="558">
        <v>30</v>
      </c>
      <c r="BN35" s="1078" t="str">
        <f t="shared" si="9"/>
        <v/>
      </c>
      <c r="BO35" s="1078"/>
      <c r="BP35" s="1078"/>
      <c r="BQ35" s="1078"/>
      <c r="BR35" s="1078"/>
      <c r="BS35" s="544"/>
      <c r="BT35" s="544"/>
      <c r="BU35" s="120" t="str">
        <f t="shared" si="18"/>
        <v/>
      </c>
      <c r="BV35" s="558">
        <v>30</v>
      </c>
      <c r="BW35" s="1078" t="str">
        <f t="shared" si="10"/>
        <v/>
      </c>
      <c r="BX35" s="1078"/>
      <c r="BY35" s="1078"/>
      <c r="BZ35" s="1078"/>
      <c r="CA35" s="1078"/>
      <c r="CB35" s="544"/>
      <c r="CC35" s="120" t="str">
        <f t="shared" si="19"/>
        <v/>
      </c>
      <c r="CL35">
        <f t="shared" si="20"/>
        <v>0</v>
      </c>
      <c r="CM35">
        <f>IF(CL35=0,0,1+COUNTIF(CM$6:CM34,"&gt;0"))</f>
        <v>0</v>
      </c>
      <c r="CN35">
        <f t="shared" si="21"/>
        <v>0</v>
      </c>
      <c r="CO35">
        <f>IF(CN35=0,0,1+COUNTIF(CO$6:CO34,"&gt;0"))</f>
        <v>0</v>
      </c>
      <c r="CP35">
        <f t="shared" si="22"/>
        <v>0</v>
      </c>
      <c r="CQ35">
        <f>IF(CP35=0,0,1+COUNTIF(CQ$6:CQ34,"&gt;0"))</f>
        <v>0</v>
      </c>
      <c r="CR35">
        <f t="shared" si="23"/>
        <v>0</v>
      </c>
      <c r="CS35">
        <f>IF(CR35=0,0,1+COUNTIF(CS$6:CS34,"&gt;0"))</f>
        <v>0</v>
      </c>
      <c r="CT35">
        <f t="shared" si="24"/>
        <v>0</v>
      </c>
      <c r="CU35">
        <f>IF(CT35=0,0,1+COUNTIF(CU$6:CU34,"&gt;0"))</f>
        <v>0</v>
      </c>
      <c r="CV35">
        <f t="shared" si="25"/>
        <v>0</v>
      </c>
      <c r="CW35">
        <f>IF(CV35=0,0,1+COUNTIF(CW$6:CW34,"&gt;0"))</f>
        <v>0</v>
      </c>
      <c r="CX35">
        <f t="shared" si="26"/>
        <v>0</v>
      </c>
      <c r="CY35">
        <f>IF(CX35=0,0,1+COUNTIF(CY$6:CY34,"&gt;0"))</f>
        <v>0</v>
      </c>
      <c r="CZ35">
        <f t="shared" si="27"/>
        <v>0</v>
      </c>
      <c r="DA35">
        <f>IF(CZ35=0,0,1+COUNTIF(DA$6:DA34,"&gt;0"))</f>
        <v>0</v>
      </c>
      <c r="DB35">
        <f t="shared" si="28"/>
        <v>0</v>
      </c>
      <c r="DC35">
        <f>IF(DB35=0,0,1+COUNTIF(DC$6:DC34,"&gt;0"))</f>
        <v>0</v>
      </c>
    </row>
    <row r="36" spans="1:107" x14ac:dyDescent="0.25">
      <c r="A36" s="120"/>
      <c r="B36" s="120"/>
      <c r="C36" s="120"/>
      <c r="D36" s="120"/>
      <c r="E36" s="120"/>
      <c r="F36" s="120"/>
      <c r="G36" s="120"/>
      <c r="H36" s="120"/>
      <c r="I36" s="120"/>
      <c r="J36" s="120"/>
      <c r="K36" s="120"/>
      <c r="L36" s="120"/>
      <c r="M36" s="120"/>
      <c r="N36" s="120"/>
      <c r="O36" s="120"/>
      <c r="P36" s="120"/>
      <c r="Q36" s="120"/>
      <c r="R36" s="120"/>
      <c r="S36" s="120" t="str">
        <f>IF(L36="","",IF(Q36="",L36&amp;", ",L36&amp;" - prep"&amp;", "))</f>
        <v/>
      </c>
      <c r="T36" s="120"/>
      <c r="U36" s="120"/>
      <c r="V36" s="120"/>
      <c r="W36" s="120"/>
      <c r="X36" s="120"/>
      <c r="Y36" s="120"/>
      <c r="Z36" s="120"/>
      <c r="AA36" s="120"/>
      <c r="AB36" s="120" t="str">
        <f>IF(U36="","",IF(Z36="",U36&amp;", ",U36&amp;" - prep"&amp;", "))</f>
        <v/>
      </c>
      <c r="AC36" s="120"/>
      <c r="AD36" s="120"/>
      <c r="AE36" s="120"/>
      <c r="AF36" s="120"/>
      <c r="AG36" s="120"/>
      <c r="AH36" s="120"/>
      <c r="AI36" s="120"/>
      <c r="AJ36" s="120"/>
      <c r="AK36" s="120" t="str">
        <f>IF(AD36="","",IF(AI36="",AD36&amp;", ",AD36&amp;" - prep"&amp;", "))</f>
        <v/>
      </c>
      <c r="AL36" s="120"/>
      <c r="AM36" s="120"/>
      <c r="AN36" s="120"/>
      <c r="AO36" s="120"/>
      <c r="AP36" s="120"/>
      <c r="AQ36" s="120"/>
      <c r="AR36" s="120"/>
      <c r="AS36" s="120"/>
      <c r="AT36" s="120" t="str">
        <f>IF(AM36="","",IF(AR36="",AM36&amp;", ",AM36&amp;" - prep"&amp;", "))</f>
        <v/>
      </c>
      <c r="AU36" s="120"/>
      <c r="AV36" s="120"/>
      <c r="AW36" s="120"/>
      <c r="AX36" s="120"/>
      <c r="AY36" s="120"/>
      <c r="AZ36" s="120"/>
      <c r="BA36" s="120"/>
      <c r="BB36" s="120"/>
      <c r="BC36" s="120" t="str">
        <f>IF(AV36="","",IF(BA36="",AV36&amp;", ",AV36&amp;" - prep"&amp;", "))</f>
        <v/>
      </c>
      <c r="BD36" s="120"/>
      <c r="BE36" s="120"/>
      <c r="BF36" s="120"/>
      <c r="BG36" s="120"/>
      <c r="BH36" s="120"/>
      <c r="BI36" s="120"/>
      <c r="BJ36" s="120"/>
      <c r="BK36" s="120"/>
      <c r="BL36" s="120" t="str">
        <f>IF(BE36="","",IF(BJ36="",BE36&amp;", ",BE36&amp;" - prep"&amp;", "))</f>
        <v/>
      </c>
      <c r="BM36" s="120"/>
      <c r="BN36" s="120"/>
      <c r="BO36" s="120"/>
      <c r="BP36" s="120"/>
      <c r="BQ36" s="120"/>
      <c r="BR36" s="120"/>
      <c r="BS36" s="120"/>
      <c r="BT36" s="120"/>
      <c r="BU36" s="120" t="str">
        <f>IF(BN36="","",IF(BS36="",BN36&amp;", ",BN36&amp;" - prep"&amp;", "))</f>
        <v/>
      </c>
      <c r="BV36" s="120"/>
      <c r="BW36" s="120"/>
      <c r="BX36" s="120"/>
      <c r="BY36" s="120"/>
      <c r="BZ36" s="120"/>
      <c r="CA36" s="120"/>
      <c r="CB36" s="120"/>
      <c r="CC36" s="120" t="str">
        <f>IF(BW36="","",IF(CB36="",BW36&amp;", ",BW36&amp;" - prep"&amp;", "))</f>
        <v/>
      </c>
      <c r="CI36">
        <v>31</v>
      </c>
      <c r="CJ36">
        <f>Character_Creation!C367</f>
        <v>0</v>
      </c>
      <c r="CL36">
        <f t="shared" si="20"/>
        <v>0</v>
      </c>
      <c r="CM36">
        <f>IF(CL36=0,0,1+COUNTIF(CM$6:CM35,"&gt;0"))</f>
        <v>0</v>
      </c>
      <c r="CN36">
        <f t="shared" si="21"/>
        <v>0</v>
      </c>
      <c r="CO36">
        <f>IF(CN36=0,0,1+COUNTIF(CO$6:CO35,"&gt;0"))</f>
        <v>0</v>
      </c>
      <c r="CP36">
        <f t="shared" si="22"/>
        <v>0</v>
      </c>
      <c r="CQ36">
        <f>IF(CP36=0,0,1+COUNTIF(CQ$6:CQ35,"&gt;0"))</f>
        <v>0</v>
      </c>
      <c r="CR36">
        <f t="shared" si="23"/>
        <v>0</v>
      </c>
      <c r="CS36">
        <f>IF(CR36=0,0,1+COUNTIF(CS$6:CS35,"&gt;0"))</f>
        <v>0</v>
      </c>
      <c r="CT36">
        <f t="shared" si="24"/>
        <v>0</v>
      </c>
      <c r="CU36">
        <f>IF(CT36=0,0,1+COUNTIF(CU$6:CU35,"&gt;0"))</f>
        <v>0</v>
      </c>
      <c r="CV36">
        <f t="shared" si="25"/>
        <v>0</v>
      </c>
      <c r="CW36">
        <f>IF(CV36=0,0,1+COUNTIF(CW$6:CW35,"&gt;0"))</f>
        <v>0</v>
      </c>
      <c r="CX36">
        <f t="shared" si="26"/>
        <v>0</v>
      </c>
      <c r="CY36">
        <f>IF(CX36=0,0,1+COUNTIF(CY$6:CY35,"&gt;0"))</f>
        <v>0</v>
      </c>
      <c r="CZ36">
        <f t="shared" si="27"/>
        <v>0</v>
      </c>
      <c r="DA36">
        <f>IF(CZ36=0,0,1+COUNTIF(DA$6:DA35,"&gt;0"))</f>
        <v>0</v>
      </c>
      <c r="DB36">
        <f t="shared" si="28"/>
        <v>0</v>
      </c>
      <c r="DC36">
        <f>IF(DB36=0,0,1+COUNTIF(DC$6:DC35,"&gt;0"))</f>
        <v>0</v>
      </c>
    </row>
    <row r="37" spans="1:107" x14ac:dyDescent="0.25">
      <c r="A37" s="120"/>
      <c r="B37" s="1062" t="str">
        <f>"Bard Spells"&amp;CHAR(10)&amp;M37&amp;V37&amp;AE37&amp;AN37&amp;AW37&amp;BF37&amp;BO37&amp;BX37&amp;CF37</f>
        <v xml:space="preserve">Bard Spells
</v>
      </c>
      <c r="C37" s="1062"/>
      <c r="D37" s="1062"/>
      <c r="E37" s="1062"/>
      <c r="F37" s="1062"/>
      <c r="G37" s="1062"/>
      <c r="H37" s="1062"/>
      <c r="I37" s="590"/>
      <c r="J37" s="558">
        <v>1</v>
      </c>
      <c r="K37" s="120" t="str">
        <f>J6</f>
        <v/>
      </c>
      <c r="L37" t="str">
        <f>K37</f>
        <v/>
      </c>
      <c r="M37" t="str">
        <f>IF(M38="","","1st level: "&amp;M38&amp;CHAR(10))</f>
        <v/>
      </c>
      <c r="S37" s="558">
        <v>1</v>
      </c>
      <c r="T37" s="120" t="str">
        <f>S6</f>
        <v/>
      </c>
      <c r="U37" t="str">
        <f>T37</f>
        <v/>
      </c>
      <c r="V37" t="str">
        <f>IF(V38="","","2nd level: "&amp;V38&amp;CHAR(10))</f>
        <v/>
      </c>
      <c r="AB37" s="558">
        <v>1</v>
      </c>
      <c r="AC37" s="120" t="str">
        <f>AB6</f>
        <v/>
      </c>
      <c r="AD37" t="str">
        <f>AC37</f>
        <v/>
      </c>
      <c r="AE37" t="str">
        <f>IF(AE38="","","3rd level: "&amp;AE38&amp;CHAR(10))</f>
        <v/>
      </c>
      <c r="AK37" s="558">
        <v>1</v>
      </c>
      <c r="AL37" s="120" t="str">
        <f>AK6</f>
        <v/>
      </c>
      <c r="AM37" t="str">
        <f>AL37</f>
        <v/>
      </c>
      <c r="AN37" t="str">
        <f>IF(AN38="","","4th level: "&amp;AN38&amp;CHAR(10))</f>
        <v/>
      </c>
      <c r="AO37" s="120"/>
      <c r="AT37" s="558">
        <v>1</v>
      </c>
      <c r="AU37" s="120" t="str">
        <f>AT6</f>
        <v/>
      </c>
      <c r="AV37" t="str">
        <f>AU37</f>
        <v/>
      </c>
      <c r="AW37" t="str">
        <f>IF(AW38="","","5th level: "&amp;AW38&amp;CHAR(10))</f>
        <v/>
      </c>
      <c r="AX37" s="558"/>
      <c r="AY37" s="120"/>
      <c r="BC37" s="558">
        <v>1</v>
      </c>
      <c r="BD37" s="120" t="str">
        <f>BC6</f>
        <v/>
      </c>
      <c r="BE37" t="str">
        <f>BD37</f>
        <v/>
      </c>
      <c r="BF37" t="str">
        <f>IF(BF38="","","6th level: "&amp;BF38&amp;CHAR(10))</f>
        <v/>
      </c>
      <c r="BH37" s="120"/>
      <c r="BI37" s="120"/>
      <c r="BJ37" s="120"/>
      <c r="BK37" s="120"/>
      <c r="BL37" s="558">
        <v>1</v>
      </c>
      <c r="BM37" s="120" t="str">
        <f>BL6</f>
        <v/>
      </c>
      <c r="BN37" t="str">
        <f>BM37</f>
        <v/>
      </c>
      <c r="BO37" t="str">
        <f>IF(BO38="","","7th level: "&amp;BO38&amp;CHAR(10))</f>
        <v/>
      </c>
      <c r="BP37" s="120"/>
      <c r="BQ37" s="120"/>
      <c r="BR37" s="120"/>
      <c r="BS37" s="120"/>
      <c r="BT37" s="120"/>
      <c r="BU37" s="558">
        <v>1</v>
      </c>
      <c r="BV37" s="120" t="str">
        <f>BU6</f>
        <v/>
      </c>
      <c r="BW37" t="str">
        <f>BV37</f>
        <v/>
      </c>
      <c r="BX37" t="str">
        <f>IF(BX38="","","8th level: "&amp;BX38&amp;CHAR(10))</f>
        <v/>
      </c>
      <c r="BY37" s="120"/>
      <c r="BZ37" s="120"/>
      <c r="CA37" s="120"/>
      <c r="CB37" s="120"/>
      <c r="CC37" s="558">
        <v>1</v>
      </c>
      <c r="CD37" s="120" t="str">
        <f>CC6</f>
        <v/>
      </c>
      <c r="CE37" t="str">
        <f>CD37</f>
        <v/>
      </c>
      <c r="CF37" t="str">
        <f>IF(CF38="","","9th level: "&amp;CF38&amp;CHAR(10))</f>
        <v/>
      </c>
      <c r="CI37">
        <v>32</v>
      </c>
      <c r="CJ37">
        <f>Character_Creation!C368</f>
        <v>0</v>
      </c>
      <c r="CL37">
        <f t="shared" si="20"/>
        <v>0</v>
      </c>
      <c r="CM37">
        <f>IF(CL37=0,0,1+COUNTIF(CM$6:CM36,"&gt;0"))</f>
        <v>0</v>
      </c>
      <c r="CN37">
        <f t="shared" si="21"/>
        <v>0</v>
      </c>
      <c r="CO37">
        <f>IF(CN37=0,0,1+COUNTIF(CO$6:CO36,"&gt;0"))</f>
        <v>0</v>
      </c>
      <c r="CP37">
        <f t="shared" si="22"/>
        <v>0</v>
      </c>
      <c r="CQ37">
        <f>IF(CP37=0,0,1+COUNTIF(CQ$6:CQ36,"&gt;0"))</f>
        <v>0</v>
      </c>
      <c r="CR37">
        <f t="shared" si="23"/>
        <v>0</v>
      </c>
      <c r="CS37">
        <f>IF(CR37=0,0,1+COUNTIF(CS$6:CS36,"&gt;0"))</f>
        <v>0</v>
      </c>
      <c r="CT37">
        <f t="shared" si="24"/>
        <v>0</v>
      </c>
      <c r="CU37">
        <f>IF(CT37=0,0,1+COUNTIF(CU$6:CU36,"&gt;0"))</f>
        <v>0</v>
      </c>
      <c r="CV37">
        <f t="shared" si="25"/>
        <v>0</v>
      </c>
      <c r="CW37">
        <f>IF(CV37=0,0,1+COUNTIF(CW$6:CW36,"&gt;0"))</f>
        <v>0</v>
      </c>
      <c r="CX37">
        <f t="shared" si="26"/>
        <v>0</v>
      </c>
      <c r="CY37">
        <f>IF(CX37=0,0,1+COUNTIF(CY$6:CY36,"&gt;0"))</f>
        <v>0</v>
      </c>
      <c r="CZ37">
        <f t="shared" si="27"/>
        <v>0</v>
      </c>
      <c r="DA37">
        <f>IF(CZ37=0,0,1+COUNTIF(DA$6:DA36,"&gt;0"))</f>
        <v>0</v>
      </c>
      <c r="DB37">
        <f t="shared" si="28"/>
        <v>0</v>
      </c>
      <c r="DC37">
        <f>IF(DB37=0,0,1+COUNTIF(DC$6:DC36,"&gt;0"))</f>
        <v>0</v>
      </c>
    </row>
    <row r="38" spans="1:107" x14ac:dyDescent="0.25">
      <c r="B38" s="1062"/>
      <c r="C38" s="1062"/>
      <c r="D38" s="1062"/>
      <c r="E38" s="1062"/>
      <c r="F38" s="1062"/>
      <c r="G38" s="1062"/>
      <c r="H38" s="1062"/>
      <c r="I38" s="590"/>
      <c r="J38" s="558">
        <v>2</v>
      </c>
      <c r="K38" s="120" t="str">
        <f t="shared" ref="K38:K66" si="29">J7</f>
        <v/>
      </c>
      <c r="L38" t="str">
        <f t="shared" ref="L38:L66" si="30">K38</f>
        <v/>
      </c>
      <c r="M38" t="str">
        <f>L37&amp;L38&amp;L39&amp;L40&amp;L41&amp;L42&amp;L43&amp;L44&amp;L45&amp;L46&amp;L48&amp;L47&amp;L49&amp;L50&amp;L51&amp;L52&amp;L54&amp;L55&amp;L53&amp;L56&amp;L57&amp;L58&amp;L59&amp;L60&amp;L61&amp;L62&amp;L63&amp;L64&amp;L65&amp;L66</f>
        <v/>
      </c>
      <c r="S38" s="558">
        <v>2</v>
      </c>
      <c r="T38" s="120" t="str">
        <f t="shared" ref="T38:T66" si="31">S7</f>
        <v/>
      </c>
      <c r="U38" t="str">
        <f t="shared" ref="U38:U66" si="32">T38</f>
        <v/>
      </c>
      <c r="V38" t="str">
        <f>U37&amp;U38&amp;U39&amp;U40&amp;U41&amp;U42&amp;U43&amp;U44&amp;U45&amp;U46&amp;U48&amp;U47&amp;U49&amp;U50&amp;U51&amp;U52&amp;U54&amp;U55&amp;U53&amp;U56&amp;U57&amp;U58&amp;U59&amp;U60&amp;U61&amp;U62&amp;U63&amp;U64&amp;U65&amp;U66</f>
        <v/>
      </c>
      <c r="AB38" s="558">
        <v>2</v>
      </c>
      <c r="AC38" s="120" t="str">
        <f t="shared" ref="AC38:AC66" si="33">AB7</f>
        <v/>
      </c>
      <c r="AD38" t="str">
        <f t="shared" ref="AD38:AD66" si="34">AC38</f>
        <v/>
      </c>
      <c r="AE38" t="str">
        <f>AD37&amp;AD38&amp;AD39&amp;AD40&amp;AD41&amp;AD42&amp;AD43&amp;AD44&amp;AD45&amp;AD46&amp;AD48&amp;AD47&amp;AD49&amp;AD50&amp;AD51&amp;AD52&amp;AD54&amp;AD55&amp;AD53&amp;AD56&amp;AD57&amp;AD58&amp;AD59&amp;AD60&amp;AD61&amp;AD62&amp;AD63&amp;AD64&amp;AD65&amp;AD66</f>
        <v/>
      </c>
      <c r="AK38" s="558">
        <v>2</v>
      </c>
      <c r="AL38" s="120" t="str">
        <f t="shared" ref="AL38:AL66" si="35">AK7</f>
        <v/>
      </c>
      <c r="AM38" t="str">
        <f t="shared" ref="AM38:AM66" si="36">AL38</f>
        <v/>
      </c>
      <c r="AN38" t="str">
        <f>AM37&amp;AM38&amp;AM39&amp;AM40&amp;AM41&amp;AM42&amp;AM43&amp;AM44&amp;AM45&amp;AM46&amp;AM48&amp;AM47&amp;AM49&amp;AM50&amp;AM51&amp;AM52&amp;AM54&amp;AM55&amp;AM53&amp;AM56&amp;AM57&amp;AM58&amp;AM59&amp;AM60&amp;AM61&amp;AM62&amp;AM63&amp;AM64&amp;AM65&amp;AM66</f>
        <v/>
      </c>
      <c r="AO38" s="120"/>
      <c r="AT38" s="558">
        <v>2</v>
      </c>
      <c r="AU38" s="120" t="str">
        <f t="shared" ref="AU38:AU66" si="37">AT7</f>
        <v/>
      </c>
      <c r="AV38" t="str">
        <f t="shared" ref="AV38:AV66" si="38">AU38</f>
        <v/>
      </c>
      <c r="AW38" t="str">
        <f>AV37&amp;AV38&amp;AV39&amp;AV40&amp;AV41&amp;AV42&amp;AV43&amp;AV44&amp;AV45&amp;AV46&amp;AV48&amp;AV47&amp;AV49&amp;AV50&amp;AV51&amp;AV52&amp;AV54&amp;AV55&amp;AV53&amp;AV56&amp;AV57&amp;AV58&amp;AV59&amp;AV60&amp;AV61&amp;AV62&amp;AV63&amp;AV64&amp;AV65&amp;AV66</f>
        <v/>
      </c>
      <c r="AX38" s="558"/>
      <c r="AY38" s="120"/>
      <c r="BC38" s="558">
        <v>2</v>
      </c>
      <c r="BD38" s="120" t="str">
        <f t="shared" ref="BD38:BD66" si="39">BC7</f>
        <v/>
      </c>
      <c r="BE38" t="str">
        <f t="shared" ref="BE38:BE66" si="40">BD38</f>
        <v/>
      </c>
      <c r="BF38" t="str">
        <f>BE37&amp;BE38&amp;BE39&amp;BE40&amp;BE41&amp;BE42&amp;BE43&amp;BE44&amp;BE45&amp;BE46&amp;BE48&amp;BE47&amp;BE49&amp;BE50&amp;BE51&amp;BE52&amp;BE54&amp;BE55&amp;BE53&amp;BE56&amp;BE57&amp;BE58&amp;BE59&amp;BE60&amp;BE61&amp;BE62&amp;BE63&amp;BE64&amp;BE65&amp;BE66</f>
        <v/>
      </c>
      <c r="BL38" s="558">
        <v>2</v>
      </c>
      <c r="BM38" s="120" t="str">
        <f t="shared" ref="BM38:BM66" si="41">BL7</f>
        <v/>
      </c>
      <c r="BN38" t="str">
        <f t="shared" ref="BN38:BN66" si="42">BM38</f>
        <v/>
      </c>
      <c r="BO38" t="str">
        <f>BN37&amp;BN38&amp;BN39&amp;BN40&amp;BN41&amp;BN42&amp;BN43&amp;BN44&amp;BN45&amp;BN46&amp;BN48&amp;BN47&amp;BN49&amp;BN50&amp;BN51&amp;BN52&amp;BN54&amp;BN55&amp;BN53&amp;BN56&amp;BN57&amp;BN58&amp;BN59&amp;BN60&amp;BN61&amp;BN62&amp;BN63&amp;BN64&amp;BN65&amp;BN66</f>
        <v/>
      </c>
      <c r="BU38" s="558">
        <v>2</v>
      </c>
      <c r="BV38" s="120" t="str">
        <f t="shared" ref="BV38:BV66" si="43">BU7</f>
        <v/>
      </c>
      <c r="BW38" t="str">
        <f t="shared" ref="BW38:BW66" si="44">BV38</f>
        <v/>
      </c>
      <c r="BX38" t="str">
        <f>BW37&amp;BW38&amp;BW39&amp;BW40&amp;BW41&amp;BW42&amp;BW43&amp;BW44&amp;BW45&amp;BW46&amp;BW48&amp;BW47&amp;BW49&amp;BW50&amp;BW51&amp;BW52&amp;BW54&amp;BW55&amp;BW53&amp;BW56&amp;BW57&amp;BW58&amp;BW59&amp;BW60&amp;BW61&amp;BW62&amp;BW63&amp;BW64&amp;BW65&amp;BW66</f>
        <v/>
      </c>
      <c r="CC38" s="558">
        <v>2</v>
      </c>
      <c r="CD38" s="120" t="str">
        <f t="shared" ref="CD38:CD66" si="45">CC7</f>
        <v/>
      </c>
      <c r="CE38" t="str">
        <f t="shared" ref="CE38:CE66" si="46">CD38</f>
        <v/>
      </c>
      <c r="CF38" t="str">
        <f>CE37&amp;CE38&amp;CE39&amp;CE40&amp;CE41&amp;CE42&amp;CE43&amp;CE44&amp;CE45&amp;CE46&amp;CE48&amp;CE47&amp;CE49&amp;CE50&amp;CE51&amp;CE52&amp;CE54&amp;CE55&amp;CE53&amp;CE56&amp;CE57&amp;CE58&amp;CE59&amp;CE60&amp;CE61&amp;CE62&amp;CE63&amp;CE64&amp;CE65&amp;CE66</f>
        <v/>
      </c>
      <c r="CI38">
        <v>33</v>
      </c>
      <c r="CJ38">
        <f>Character_Creation!C369</f>
        <v>0</v>
      </c>
      <c r="CL38">
        <f t="shared" si="20"/>
        <v>0</v>
      </c>
      <c r="CM38">
        <f>IF(CL38=0,0,1+COUNTIF(CM$6:CM37,"&gt;0"))</f>
        <v>0</v>
      </c>
      <c r="CN38">
        <f t="shared" si="21"/>
        <v>0</v>
      </c>
      <c r="CO38">
        <f>IF(CN38=0,0,1+COUNTIF(CO$6:CO37,"&gt;0"))</f>
        <v>0</v>
      </c>
      <c r="CP38">
        <f t="shared" si="22"/>
        <v>0</v>
      </c>
      <c r="CQ38">
        <f>IF(CP38=0,0,1+COUNTIF(CQ$6:CQ37,"&gt;0"))</f>
        <v>0</v>
      </c>
      <c r="CR38">
        <f t="shared" si="23"/>
        <v>0</v>
      </c>
      <c r="CS38">
        <f>IF(CR38=0,0,1+COUNTIF(CS$6:CS37,"&gt;0"))</f>
        <v>0</v>
      </c>
      <c r="CT38">
        <f t="shared" si="24"/>
        <v>0</v>
      </c>
      <c r="CU38">
        <f>IF(CT38=0,0,1+COUNTIF(CU$6:CU37,"&gt;0"))</f>
        <v>0</v>
      </c>
      <c r="CV38">
        <f t="shared" si="25"/>
        <v>0</v>
      </c>
      <c r="CW38">
        <f>IF(CV38=0,0,1+COUNTIF(CW$6:CW37,"&gt;0"))</f>
        <v>0</v>
      </c>
      <c r="CX38">
        <f t="shared" si="26"/>
        <v>0</v>
      </c>
      <c r="CY38">
        <f>IF(CX38=0,0,1+COUNTIF(CY$6:CY37,"&gt;0"))</f>
        <v>0</v>
      </c>
      <c r="CZ38">
        <f t="shared" si="27"/>
        <v>0</v>
      </c>
      <c r="DA38">
        <f>IF(CZ38=0,0,1+COUNTIF(DA$6:DA37,"&gt;0"))</f>
        <v>0</v>
      </c>
      <c r="DB38">
        <f t="shared" si="28"/>
        <v>0</v>
      </c>
      <c r="DC38">
        <f>IF(DB38=0,0,1+COUNTIF(DC$6:DC37,"&gt;0"))</f>
        <v>0</v>
      </c>
    </row>
    <row r="39" spans="1:107" x14ac:dyDescent="0.25">
      <c r="B39" s="1062"/>
      <c r="C39" s="1062"/>
      <c r="D39" s="1062"/>
      <c r="E39" s="1062"/>
      <c r="F39" s="1062"/>
      <c r="G39" s="1062"/>
      <c r="H39" s="1062"/>
      <c r="I39" s="590"/>
      <c r="J39" s="558">
        <v>3</v>
      </c>
      <c r="K39" s="120" t="str">
        <f t="shared" si="29"/>
        <v/>
      </c>
      <c r="L39" t="str">
        <f t="shared" si="30"/>
        <v/>
      </c>
      <c r="S39" s="558">
        <v>3</v>
      </c>
      <c r="T39" s="120" t="str">
        <f t="shared" si="31"/>
        <v/>
      </c>
      <c r="U39" t="str">
        <f t="shared" si="32"/>
        <v/>
      </c>
      <c r="AB39" s="558">
        <v>3</v>
      </c>
      <c r="AC39" s="120" t="str">
        <f t="shared" si="33"/>
        <v/>
      </c>
      <c r="AD39" t="str">
        <f t="shared" si="34"/>
        <v/>
      </c>
      <c r="AK39" s="558">
        <v>3</v>
      </c>
      <c r="AL39" s="120" t="str">
        <f t="shared" si="35"/>
        <v/>
      </c>
      <c r="AM39" t="str">
        <f t="shared" si="36"/>
        <v/>
      </c>
      <c r="AO39" s="120"/>
      <c r="AT39" s="558">
        <v>3</v>
      </c>
      <c r="AU39" s="120" t="str">
        <f t="shared" si="37"/>
        <v/>
      </c>
      <c r="AV39" t="str">
        <f t="shared" si="38"/>
        <v/>
      </c>
      <c r="AX39" s="558"/>
      <c r="AY39" s="120"/>
      <c r="BC39" s="558">
        <v>3</v>
      </c>
      <c r="BD39" s="120" t="str">
        <f t="shared" si="39"/>
        <v/>
      </c>
      <c r="BE39" t="str">
        <f t="shared" si="40"/>
        <v/>
      </c>
      <c r="BL39" s="558">
        <v>3</v>
      </c>
      <c r="BM39" s="120" t="str">
        <f t="shared" si="41"/>
        <v/>
      </c>
      <c r="BN39" t="str">
        <f t="shared" si="42"/>
        <v/>
      </c>
      <c r="BU39" s="558">
        <v>3</v>
      </c>
      <c r="BV39" s="120" t="str">
        <f t="shared" si="43"/>
        <v/>
      </c>
      <c r="BW39" t="str">
        <f t="shared" si="44"/>
        <v/>
      </c>
      <c r="CC39" s="558">
        <v>3</v>
      </c>
      <c r="CD39" s="120" t="str">
        <f t="shared" si="45"/>
        <v/>
      </c>
      <c r="CE39" t="str">
        <f t="shared" si="46"/>
        <v/>
      </c>
      <c r="CI39">
        <v>34</v>
      </c>
      <c r="CJ39">
        <f>Character_Creation!C370</f>
        <v>0</v>
      </c>
      <c r="CL39">
        <f t="shared" si="20"/>
        <v>0</v>
      </c>
      <c r="CM39">
        <f>IF(CL39=0,0,1+COUNTIF(CM$6:CM38,"&gt;0"))</f>
        <v>0</v>
      </c>
      <c r="CN39">
        <f t="shared" si="21"/>
        <v>0</v>
      </c>
      <c r="CO39">
        <f>IF(CN39=0,0,1+COUNTIF(CO$6:CO38,"&gt;0"))</f>
        <v>0</v>
      </c>
      <c r="CP39">
        <f t="shared" si="22"/>
        <v>0</v>
      </c>
      <c r="CQ39">
        <f>IF(CP39=0,0,1+COUNTIF(CQ$6:CQ38,"&gt;0"))</f>
        <v>0</v>
      </c>
      <c r="CR39">
        <f t="shared" si="23"/>
        <v>0</v>
      </c>
      <c r="CS39">
        <f>IF(CR39=0,0,1+COUNTIF(CS$6:CS38,"&gt;0"))</f>
        <v>0</v>
      </c>
      <c r="CT39">
        <f t="shared" si="24"/>
        <v>0</v>
      </c>
      <c r="CU39">
        <f>IF(CT39=0,0,1+COUNTIF(CU$6:CU38,"&gt;0"))</f>
        <v>0</v>
      </c>
      <c r="CV39">
        <f t="shared" si="25"/>
        <v>0</v>
      </c>
      <c r="CW39">
        <f>IF(CV39=0,0,1+COUNTIF(CW$6:CW38,"&gt;0"))</f>
        <v>0</v>
      </c>
      <c r="CX39">
        <f t="shared" si="26"/>
        <v>0</v>
      </c>
      <c r="CY39">
        <f>IF(CX39=0,0,1+COUNTIF(CY$6:CY38,"&gt;0"))</f>
        <v>0</v>
      </c>
      <c r="CZ39">
        <f t="shared" si="27"/>
        <v>0</v>
      </c>
      <c r="DA39">
        <f>IF(CZ39=0,0,1+COUNTIF(DA$6:DA38,"&gt;0"))</f>
        <v>0</v>
      </c>
      <c r="DB39">
        <f t="shared" si="28"/>
        <v>0</v>
      </c>
      <c r="DC39">
        <f>IF(DB39=0,0,1+COUNTIF(DC$6:DC38,"&gt;0"))</f>
        <v>0</v>
      </c>
    </row>
    <row r="40" spans="1:107" x14ac:dyDescent="0.25">
      <c r="B40" s="1062"/>
      <c r="C40" s="1062"/>
      <c r="D40" s="1062"/>
      <c r="E40" s="1062"/>
      <c r="F40" s="1062"/>
      <c r="G40" s="1062"/>
      <c r="H40" s="1062"/>
      <c r="I40" s="590"/>
      <c r="J40" s="558">
        <v>4</v>
      </c>
      <c r="K40" s="120" t="str">
        <f t="shared" si="29"/>
        <v/>
      </c>
      <c r="L40" t="str">
        <f t="shared" si="30"/>
        <v/>
      </c>
      <c r="S40" s="558">
        <v>4</v>
      </c>
      <c r="T40" s="120" t="str">
        <f t="shared" si="31"/>
        <v/>
      </c>
      <c r="U40" t="str">
        <f t="shared" si="32"/>
        <v/>
      </c>
      <c r="AB40" s="558">
        <v>4</v>
      </c>
      <c r="AC40" s="120" t="str">
        <f t="shared" si="33"/>
        <v/>
      </c>
      <c r="AD40" t="str">
        <f t="shared" si="34"/>
        <v/>
      </c>
      <c r="AK40" s="558">
        <v>4</v>
      </c>
      <c r="AL40" s="120" t="str">
        <f t="shared" si="35"/>
        <v/>
      </c>
      <c r="AM40" t="str">
        <f t="shared" si="36"/>
        <v/>
      </c>
      <c r="AO40" s="120"/>
      <c r="AT40" s="558">
        <v>4</v>
      </c>
      <c r="AU40" s="120" t="str">
        <f t="shared" si="37"/>
        <v/>
      </c>
      <c r="AV40" t="str">
        <f t="shared" si="38"/>
        <v/>
      </c>
      <c r="AX40" s="558"/>
      <c r="AY40" s="120"/>
      <c r="BC40" s="558">
        <v>4</v>
      </c>
      <c r="BD40" s="120" t="str">
        <f t="shared" si="39"/>
        <v/>
      </c>
      <c r="BE40" t="str">
        <f t="shared" si="40"/>
        <v/>
      </c>
      <c r="BL40" s="558">
        <v>4</v>
      </c>
      <c r="BM40" s="120" t="str">
        <f t="shared" si="41"/>
        <v/>
      </c>
      <c r="BN40" t="str">
        <f t="shared" si="42"/>
        <v/>
      </c>
      <c r="BU40" s="558">
        <v>4</v>
      </c>
      <c r="BV40" s="120" t="str">
        <f t="shared" si="43"/>
        <v/>
      </c>
      <c r="BW40" t="str">
        <f t="shared" si="44"/>
        <v/>
      </c>
      <c r="CC40" s="558">
        <v>4</v>
      </c>
      <c r="CD40" s="120" t="str">
        <f t="shared" si="45"/>
        <v/>
      </c>
      <c r="CE40" t="str">
        <f t="shared" si="46"/>
        <v/>
      </c>
      <c r="CI40">
        <v>35</v>
      </c>
      <c r="CJ40">
        <f>Character_Creation!C371</f>
        <v>0</v>
      </c>
      <c r="CL40">
        <f t="shared" si="20"/>
        <v>0</v>
      </c>
      <c r="CM40">
        <f>IF(CL40=0,0,1+COUNTIF(CM$6:CM39,"&gt;0"))</f>
        <v>0</v>
      </c>
      <c r="CN40">
        <f t="shared" si="21"/>
        <v>0</v>
      </c>
      <c r="CO40">
        <f>IF(CN40=0,0,1+COUNTIF(CO$6:CO39,"&gt;0"))</f>
        <v>0</v>
      </c>
      <c r="CP40">
        <f t="shared" si="22"/>
        <v>0</v>
      </c>
      <c r="CQ40">
        <f>IF(CP40=0,0,1+COUNTIF(CQ$6:CQ39,"&gt;0"))</f>
        <v>0</v>
      </c>
      <c r="CR40">
        <f t="shared" si="23"/>
        <v>0</v>
      </c>
      <c r="CS40">
        <f>IF(CR40=0,0,1+COUNTIF(CS$6:CS39,"&gt;0"))</f>
        <v>0</v>
      </c>
      <c r="CT40">
        <f t="shared" si="24"/>
        <v>0</v>
      </c>
      <c r="CU40">
        <f>IF(CT40=0,0,1+COUNTIF(CU$6:CU39,"&gt;0"))</f>
        <v>0</v>
      </c>
      <c r="CV40">
        <f t="shared" si="25"/>
        <v>0</v>
      </c>
      <c r="CW40">
        <f>IF(CV40=0,0,1+COUNTIF(CW$6:CW39,"&gt;0"))</f>
        <v>0</v>
      </c>
      <c r="CX40">
        <f t="shared" si="26"/>
        <v>0</v>
      </c>
      <c r="CY40">
        <f>IF(CX40=0,0,1+COUNTIF(CY$6:CY39,"&gt;0"))</f>
        <v>0</v>
      </c>
      <c r="CZ40">
        <f t="shared" si="27"/>
        <v>0</v>
      </c>
      <c r="DA40">
        <f>IF(CZ40=0,0,1+COUNTIF(DA$6:DA39,"&gt;0"))</f>
        <v>0</v>
      </c>
      <c r="DB40">
        <f t="shared" si="28"/>
        <v>0</v>
      </c>
      <c r="DC40">
        <f>IF(DB40=0,0,1+COUNTIF(DC$6:DC39,"&gt;0"))</f>
        <v>0</v>
      </c>
    </row>
    <row r="41" spans="1:107" x14ac:dyDescent="0.25">
      <c r="B41" s="1062"/>
      <c r="C41" s="1062"/>
      <c r="D41" s="1062"/>
      <c r="E41" s="1062"/>
      <c r="F41" s="1062"/>
      <c r="G41" s="1062"/>
      <c r="H41" s="1062"/>
      <c r="I41" s="590"/>
      <c r="J41" s="558">
        <v>5</v>
      </c>
      <c r="K41" s="120" t="str">
        <f t="shared" si="29"/>
        <v/>
      </c>
      <c r="L41" t="str">
        <f t="shared" si="30"/>
        <v/>
      </c>
      <c r="S41" s="558">
        <v>5</v>
      </c>
      <c r="T41" s="120" t="str">
        <f t="shared" si="31"/>
        <v/>
      </c>
      <c r="U41" t="str">
        <f t="shared" si="32"/>
        <v/>
      </c>
      <c r="AB41" s="558">
        <v>5</v>
      </c>
      <c r="AC41" s="120" t="str">
        <f t="shared" si="33"/>
        <v/>
      </c>
      <c r="AD41" t="str">
        <f t="shared" si="34"/>
        <v/>
      </c>
      <c r="AK41" s="558">
        <v>5</v>
      </c>
      <c r="AL41" s="120" t="str">
        <f t="shared" si="35"/>
        <v/>
      </c>
      <c r="AM41" t="str">
        <f t="shared" si="36"/>
        <v/>
      </c>
      <c r="AO41" s="120"/>
      <c r="AT41" s="558">
        <v>5</v>
      </c>
      <c r="AU41" s="120" t="str">
        <f t="shared" si="37"/>
        <v/>
      </c>
      <c r="AV41" t="str">
        <f t="shared" si="38"/>
        <v/>
      </c>
      <c r="AX41" s="558"/>
      <c r="AY41" s="120"/>
      <c r="BC41" s="558">
        <v>5</v>
      </c>
      <c r="BD41" s="120" t="str">
        <f t="shared" si="39"/>
        <v/>
      </c>
      <c r="BE41" t="str">
        <f t="shared" si="40"/>
        <v/>
      </c>
      <c r="BL41" s="558">
        <v>5</v>
      </c>
      <c r="BM41" s="120" t="str">
        <f t="shared" si="41"/>
        <v/>
      </c>
      <c r="BN41" t="str">
        <f t="shared" si="42"/>
        <v/>
      </c>
      <c r="BU41" s="558">
        <v>5</v>
      </c>
      <c r="BV41" s="120" t="str">
        <f t="shared" si="43"/>
        <v/>
      </c>
      <c r="BW41" t="str">
        <f t="shared" si="44"/>
        <v/>
      </c>
      <c r="CC41" s="558">
        <v>5</v>
      </c>
      <c r="CD41" s="120" t="str">
        <f t="shared" si="45"/>
        <v/>
      </c>
      <c r="CE41" t="str">
        <f t="shared" si="46"/>
        <v/>
      </c>
      <c r="CI41">
        <v>36</v>
      </c>
      <c r="CJ41">
        <f>Character_Creation!C372</f>
        <v>0</v>
      </c>
      <c r="CL41">
        <f t="shared" si="20"/>
        <v>0</v>
      </c>
      <c r="CM41">
        <f>IF(CL41=0,0,1+COUNTIF(CM$6:CM40,"&gt;0"))</f>
        <v>0</v>
      </c>
      <c r="CN41">
        <f t="shared" si="21"/>
        <v>0</v>
      </c>
      <c r="CO41">
        <f>IF(CN41=0,0,1+COUNTIF(CO$6:CO40,"&gt;0"))</f>
        <v>0</v>
      </c>
      <c r="CP41">
        <f t="shared" si="22"/>
        <v>0</v>
      </c>
      <c r="CQ41">
        <f>IF(CP41=0,0,1+COUNTIF(CQ$6:CQ40,"&gt;0"))</f>
        <v>0</v>
      </c>
      <c r="CR41">
        <f t="shared" si="23"/>
        <v>0</v>
      </c>
      <c r="CS41">
        <f>IF(CR41=0,0,1+COUNTIF(CS$6:CS40,"&gt;0"))</f>
        <v>0</v>
      </c>
      <c r="CT41">
        <f t="shared" si="24"/>
        <v>0</v>
      </c>
      <c r="CU41">
        <f>IF(CT41=0,0,1+COUNTIF(CU$6:CU40,"&gt;0"))</f>
        <v>0</v>
      </c>
      <c r="CV41">
        <f t="shared" si="25"/>
        <v>0</v>
      </c>
      <c r="CW41">
        <f>IF(CV41=0,0,1+COUNTIF(CW$6:CW40,"&gt;0"))</f>
        <v>0</v>
      </c>
      <c r="CX41">
        <f t="shared" si="26"/>
        <v>0</v>
      </c>
      <c r="CY41">
        <f>IF(CX41=0,0,1+COUNTIF(CY$6:CY40,"&gt;0"))</f>
        <v>0</v>
      </c>
      <c r="CZ41">
        <f t="shared" si="27"/>
        <v>0</v>
      </c>
      <c r="DA41">
        <f>IF(CZ41=0,0,1+COUNTIF(DA$6:DA40,"&gt;0"))</f>
        <v>0</v>
      </c>
      <c r="DB41">
        <f t="shared" si="28"/>
        <v>0</v>
      </c>
      <c r="DC41">
        <f>IF(DB41=0,0,1+COUNTIF(DC$6:DC40,"&gt;0"))</f>
        <v>0</v>
      </c>
    </row>
    <row r="42" spans="1:107" x14ac:dyDescent="0.25">
      <c r="B42" s="1062"/>
      <c r="C42" s="1062"/>
      <c r="D42" s="1062"/>
      <c r="E42" s="1062"/>
      <c r="F42" s="1062"/>
      <c r="G42" s="1062"/>
      <c r="H42" s="1062"/>
      <c r="I42" s="590"/>
      <c r="J42" s="558">
        <v>6</v>
      </c>
      <c r="K42" s="120" t="str">
        <f t="shared" si="29"/>
        <v/>
      </c>
      <c r="L42" t="str">
        <f t="shared" si="30"/>
        <v/>
      </c>
      <c r="S42" s="558">
        <v>6</v>
      </c>
      <c r="T42" s="120" t="str">
        <f t="shared" si="31"/>
        <v/>
      </c>
      <c r="U42" t="str">
        <f t="shared" si="32"/>
        <v/>
      </c>
      <c r="AB42" s="558">
        <v>6</v>
      </c>
      <c r="AC42" s="120" t="str">
        <f t="shared" si="33"/>
        <v/>
      </c>
      <c r="AD42" t="str">
        <f t="shared" si="34"/>
        <v/>
      </c>
      <c r="AK42" s="558">
        <v>6</v>
      </c>
      <c r="AL42" s="120" t="str">
        <f t="shared" si="35"/>
        <v/>
      </c>
      <c r="AM42" t="str">
        <f t="shared" si="36"/>
        <v/>
      </c>
      <c r="AO42" s="120"/>
      <c r="AT42" s="558">
        <v>6</v>
      </c>
      <c r="AU42" s="120" t="str">
        <f t="shared" si="37"/>
        <v/>
      </c>
      <c r="AV42" t="str">
        <f t="shared" si="38"/>
        <v/>
      </c>
      <c r="AX42" s="558"/>
      <c r="AY42" s="120"/>
      <c r="BC42" s="558">
        <v>6</v>
      </c>
      <c r="BD42" s="120" t="str">
        <f t="shared" si="39"/>
        <v/>
      </c>
      <c r="BE42" t="str">
        <f t="shared" si="40"/>
        <v/>
      </c>
      <c r="BL42" s="558">
        <v>6</v>
      </c>
      <c r="BM42" s="120" t="str">
        <f t="shared" si="41"/>
        <v/>
      </c>
      <c r="BN42" t="str">
        <f t="shared" si="42"/>
        <v/>
      </c>
      <c r="BU42" s="558">
        <v>6</v>
      </c>
      <c r="BV42" s="120" t="str">
        <f t="shared" si="43"/>
        <v/>
      </c>
      <c r="BW42" t="str">
        <f t="shared" si="44"/>
        <v/>
      </c>
      <c r="CC42" s="558">
        <v>6</v>
      </c>
      <c r="CD42" s="120" t="str">
        <f t="shared" si="45"/>
        <v/>
      </c>
      <c r="CE42" t="str">
        <f t="shared" si="46"/>
        <v/>
      </c>
      <c r="CI42">
        <v>37</v>
      </c>
      <c r="CJ42">
        <f>Character_Creation!C373</f>
        <v>0</v>
      </c>
      <c r="CL42">
        <f t="shared" si="20"/>
        <v>0</v>
      </c>
      <c r="CM42">
        <f>IF(CL42=0,0,1+COUNTIF(CM$6:CM41,"&gt;0"))</f>
        <v>0</v>
      </c>
      <c r="CN42">
        <f t="shared" si="21"/>
        <v>0</v>
      </c>
      <c r="CO42">
        <f>IF(CN42=0,0,1+COUNTIF(CO$6:CO41,"&gt;0"))</f>
        <v>0</v>
      </c>
      <c r="CP42">
        <f t="shared" si="22"/>
        <v>0</v>
      </c>
      <c r="CQ42">
        <f>IF(CP42=0,0,1+COUNTIF(CQ$6:CQ41,"&gt;0"))</f>
        <v>0</v>
      </c>
      <c r="CR42">
        <f t="shared" si="23"/>
        <v>0</v>
      </c>
      <c r="CS42">
        <f>IF(CR42=0,0,1+COUNTIF(CS$6:CS41,"&gt;0"))</f>
        <v>0</v>
      </c>
      <c r="CT42">
        <f t="shared" si="24"/>
        <v>0</v>
      </c>
      <c r="CU42">
        <f>IF(CT42=0,0,1+COUNTIF(CU$6:CU41,"&gt;0"))</f>
        <v>0</v>
      </c>
      <c r="CV42">
        <f t="shared" si="25"/>
        <v>0</v>
      </c>
      <c r="CW42">
        <f>IF(CV42=0,0,1+COUNTIF(CW$6:CW41,"&gt;0"))</f>
        <v>0</v>
      </c>
      <c r="CX42">
        <f t="shared" si="26"/>
        <v>0</v>
      </c>
      <c r="CY42">
        <f>IF(CX42=0,0,1+COUNTIF(CY$6:CY41,"&gt;0"))</f>
        <v>0</v>
      </c>
      <c r="CZ42">
        <f t="shared" si="27"/>
        <v>0</v>
      </c>
      <c r="DA42">
        <f>IF(CZ42=0,0,1+COUNTIF(DA$6:DA41,"&gt;0"))</f>
        <v>0</v>
      </c>
      <c r="DB42">
        <f t="shared" si="28"/>
        <v>0</v>
      </c>
      <c r="DC42">
        <f>IF(DB42=0,0,1+COUNTIF(DC$6:DC41,"&gt;0"))</f>
        <v>0</v>
      </c>
    </row>
    <row r="43" spans="1:107" x14ac:dyDescent="0.25">
      <c r="B43" s="1062"/>
      <c r="C43" s="1062"/>
      <c r="D43" s="1062"/>
      <c r="E43" s="1062"/>
      <c r="F43" s="1062"/>
      <c r="G43" s="1062"/>
      <c r="H43" s="1062"/>
      <c r="I43" s="590"/>
      <c r="J43" s="558">
        <v>7</v>
      </c>
      <c r="K43" s="120" t="str">
        <f t="shared" si="29"/>
        <v/>
      </c>
      <c r="L43" t="str">
        <f t="shared" si="30"/>
        <v/>
      </c>
      <c r="S43" s="558">
        <v>7</v>
      </c>
      <c r="T43" s="120" t="str">
        <f t="shared" si="31"/>
        <v/>
      </c>
      <c r="U43" t="str">
        <f t="shared" si="32"/>
        <v/>
      </c>
      <c r="AB43" s="558">
        <v>7</v>
      </c>
      <c r="AC43" s="120" t="str">
        <f t="shared" si="33"/>
        <v/>
      </c>
      <c r="AD43" t="str">
        <f t="shared" si="34"/>
        <v/>
      </c>
      <c r="AK43" s="558">
        <v>7</v>
      </c>
      <c r="AL43" s="120" t="str">
        <f t="shared" si="35"/>
        <v/>
      </c>
      <c r="AM43" t="str">
        <f t="shared" si="36"/>
        <v/>
      </c>
      <c r="AO43" s="120"/>
      <c r="AT43" s="558">
        <v>7</v>
      </c>
      <c r="AU43" s="120" t="str">
        <f t="shared" si="37"/>
        <v/>
      </c>
      <c r="AV43" t="str">
        <f t="shared" si="38"/>
        <v/>
      </c>
      <c r="AX43" s="558"/>
      <c r="AY43" s="120"/>
      <c r="BC43" s="558">
        <v>7</v>
      </c>
      <c r="BD43" s="120" t="str">
        <f t="shared" si="39"/>
        <v/>
      </c>
      <c r="BE43" t="str">
        <f t="shared" si="40"/>
        <v/>
      </c>
      <c r="BL43" s="558">
        <v>7</v>
      </c>
      <c r="BM43" s="120" t="str">
        <f t="shared" si="41"/>
        <v/>
      </c>
      <c r="BN43" t="str">
        <f t="shared" si="42"/>
        <v/>
      </c>
      <c r="BU43" s="558">
        <v>7</v>
      </c>
      <c r="BV43" s="120" t="str">
        <f t="shared" si="43"/>
        <v/>
      </c>
      <c r="BW43" t="str">
        <f t="shared" si="44"/>
        <v/>
      </c>
      <c r="CC43" s="558">
        <v>7</v>
      </c>
      <c r="CD43" s="120" t="str">
        <f t="shared" si="45"/>
        <v/>
      </c>
      <c r="CE43" t="str">
        <f t="shared" si="46"/>
        <v/>
      </c>
      <c r="CI43">
        <v>38</v>
      </c>
      <c r="CJ43">
        <f>Character_Creation!C374</f>
        <v>0</v>
      </c>
      <c r="CL43">
        <f t="shared" si="20"/>
        <v>0</v>
      </c>
      <c r="CM43">
        <f>IF(CL43=0,0,1+COUNTIF(CM$6:CM42,"&gt;0"))</f>
        <v>0</v>
      </c>
      <c r="CN43">
        <f t="shared" si="21"/>
        <v>0</v>
      </c>
      <c r="CO43">
        <f>IF(CN43=0,0,1+COUNTIF(CO$6:CO42,"&gt;0"))</f>
        <v>0</v>
      </c>
      <c r="CP43">
        <f t="shared" si="22"/>
        <v>0</v>
      </c>
      <c r="CQ43">
        <f>IF(CP43=0,0,1+COUNTIF(CQ$6:CQ42,"&gt;0"))</f>
        <v>0</v>
      </c>
      <c r="CR43">
        <f t="shared" si="23"/>
        <v>0</v>
      </c>
      <c r="CS43">
        <f>IF(CR43=0,0,1+COUNTIF(CS$6:CS42,"&gt;0"))</f>
        <v>0</v>
      </c>
      <c r="CT43">
        <f t="shared" si="24"/>
        <v>0</v>
      </c>
      <c r="CU43">
        <f>IF(CT43=0,0,1+COUNTIF(CU$6:CU42,"&gt;0"))</f>
        <v>0</v>
      </c>
      <c r="CV43">
        <f t="shared" si="25"/>
        <v>0</v>
      </c>
      <c r="CW43">
        <f>IF(CV43=0,0,1+COUNTIF(CW$6:CW42,"&gt;0"))</f>
        <v>0</v>
      </c>
      <c r="CX43">
        <f t="shared" si="26"/>
        <v>0</v>
      </c>
      <c r="CY43">
        <f>IF(CX43=0,0,1+COUNTIF(CY$6:CY42,"&gt;0"))</f>
        <v>0</v>
      </c>
      <c r="CZ43">
        <f t="shared" si="27"/>
        <v>0</v>
      </c>
      <c r="DA43">
        <f>IF(CZ43=0,0,1+COUNTIF(DA$6:DA42,"&gt;0"))</f>
        <v>0</v>
      </c>
      <c r="DB43">
        <f t="shared" si="28"/>
        <v>0</v>
      </c>
      <c r="DC43">
        <f>IF(DB43=0,0,1+COUNTIF(DC$6:DC42,"&gt;0"))</f>
        <v>0</v>
      </c>
    </row>
    <row r="44" spans="1:107" x14ac:dyDescent="0.25">
      <c r="B44" s="1062"/>
      <c r="C44" s="1062"/>
      <c r="D44" s="1062"/>
      <c r="E44" s="1062"/>
      <c r="F44" s="1062"/>
      <c r="G44" s="1062"/>
      <c r="H44" s="1062"/>
      <c r="I44" s="590"/>
      <c r="J44" s="558">
        <v>8</v>
      </c>
      <c r="K44" s="120" t="str">
        <f t="shared" si="29"/>
        <v/>
      </c>
      <c r="L44" t="str">
        <f t="shared" si="30"/>
        <v/>
      </c>
      <c r="S44" s="558">
        <v>8</v>
      </c>
      <c r="T44" s="120" t="str">
        <f t="shared" si="31"/>
        <v/>
      </c>
      <c r="U44" t="str">
        <f t="shared" si="32"/>
        <v/>
      </c>
      <c r="AB44" s="558">
        <v>8</v>
      </c>
      <c r="AC44" s="120" t="str">
        <f t="shared" si="33"/>
        <v/>
      </c>
      <c r="AD44" t="str">
        <f t="shared" si="34"/>
        <v/>
      </c>
      <c r="AK44" s="558">
        <v>8</v>
      </c>
      <c r="AL44" s="120" t="str">
        <f t="shared" si="35"/>
        <v/>
      </c>
      <c r="AM44" t="str">
        <f t="shared" si="36"/>
        <v/>
      </c>
      <c r="AO44" s="120"/>
      <c r="AT44" s="558">
        <v>8</v>
      </c>
      <c r="AU44" s="120" t="str">
        <f t="shared" si="37"/>
        <v/>
      </c>
      <c r="AV44" t="str">
        <f t="shared" si="38"/>
        <v/>
      </c>
      <c r="AX44" s="558"/>
      <c r="AY44" s="120"/>
      <c r="BC44" s="558">
        <v>8</v>
      </c>
      <c r="BD44" s="120" t="str">
        <f t="shared" si="39"/>
        <v/>
      </c>
      <c r="BE44" t="str">
        <f t="shared" si="40"/>
        <v/>
      </c>
      <c r="BL44" s="558">
        <v>8</v>
      </c>
      <c r="BM44" s="120" t="str">
        <f t="shared" si="41"/>
        <v/>
      </c>
      <c r="BN44" t="str">
        <f t="shared" si="42"/>
        <v/>
      </c>
      <c r="BU44" s="558">
        <v>8</v>
      </c>
      <c r="BV44" s="120" t="str">
        <f t="shared" si="43"/>
        <v/>
      </c>
      <c r="BW44" t="str">
        <f t="shared" si="44"/>
        <v/>
      </c>
      <c r="CC44" s="558">
        <v>8</v>
      </c>
      <c r="CD44" s="120" t="str">
        <f t="shared" si="45"/>
        <v/>
      </c>
      <c r="CE44" t="str">
        <f t="shared" si="46"/>
        <v/>
      </c>
      <c r="CL44">
        <f t="shared" si="20"/>
        <v>0</v>
      </c>
      <c r="CM44">
        <f>IF(CL44=0,0,1+COUNTIF(CM$6:CM43,"&gt;0"))</f>
        <v>0</v>
      </c>
      <c r="CN44">
        <f t="shared" si="21"/>
        <v>0</v>
      </c>
      <c r="CO44">
        <f>IF(CN44=0,0,1+COUNTIF(CO$6:CO43,"&gt;0"))</f>
        <v>0</v>
      </c>
      <c r="CP44">
        <f t="shared" si="22"/>
        <v>0</v>
      </c>
      <c r="CQ44">
        <f>IF(CP44=0,0,1+COUNTIF(CQ$6:CQ43,"&gt;0"))</f>
        <v>0</v>
      </c>
      <c r="CR44">
        <f t="shared" si="23"/>
        <v>0</v>
      </c>
      <c r="CS44">
        <f>IF(CR44=0,0,1+COUNTIF(CS$6:CS43,"&gt;0"))</f>
        <v>0</v>
      </c>
      <c r="CT44">
        <f t="shared" si="24"/>
        <v>0</v>
      </c>
      <c r="CU44">
        <f>IF(CT44=0,0,1+COUNTIF(CU$6:CU43,"&gt;0"))</f>
        <v>0</v>
      </c>
      <c r="CV44">
        <f t="shared" si="25"/>
        <v>0</v>
      </c>
      <c r="CW44">
        <f>IF(CV44=0,0,1+COUNTIF(CW$6:CW43,"&gt;0"))</f>
        <v>0</v>
      </c>
      <c r="CX44">
        <f t="shared" si="26"/>
        <v>0</v>
      </c>
      <c r="CY44">
        <f>IF(CX44=0,0,1+COUNTIF(CY$6:CY43,"&gt;0"))</f>
        <v>0</v>
      </c>
      <c r="CZ44">
        <f t="shared" si="27"/>
        <v>0</v>
      </c>
      <c r="DA44">
        <f>IF(CZ44=0,0,1+COUNTIF(DA$6:DA43,"&gt;0"))</f>
        <v>0</v>
      </c>
      <c r="DB44">
        <f t="shared" si="28"/>
        <v>0</v>
      </c>
      <c r="DC44">
        <f>IF(DB44=0,0,1+COUNTIF(DC$6:DC43,"&gt;0"))</f>
        <v>0</v>
      </c>
    </row>
    <row r="45" spans="1:107" x14ac:dyDescent="0.25">
      <c r="B45" s="1062"/>
      <c r="C45" s="1062"/>
      <c r="D45" s="1062"/>
      <c r="E45" s="1062"/>
      <c r="F45" s="1062"/>
      <c r="G45" s="1062"/>
      <c r="H45" s="1062"/>
      <c r="I45" s="590"/>
      <c r="J45" s="558">
        <v>9</v>
      </c>
      <c r="K45" s="120" t="str">
        <f t="shared" si="29"/>
        <v/>
      </c>
      <c r="L45" t="str">
        <f t="shared" si="30"/>
        <v/>
      </c>
      <c r="S45" s="558">
        <v>9</v>
      </c>
      <c r="T45" s="120" t="str">
        <f t="shared" si="31"/>
        <v/>
      </c>
      <c r="U45" t="str">
        <f t="shared" si="32"/>
        <v/>
      </c>
      <c r="AB45" s="558">
        <v>9</v>
      </c>
      <c r="AC45" s="120" t="str">
        <f t="shared" si="33"/>
        <v/>
      </c>
      <c r="AD45" t="str">
        <f t="shared" si="34"/>
        <v/>
      </c>
      <c r="AK45" s="558">
        <v>9</v>
      </c>
      <c r="AL45" s="120" t="str">
        <f t="shared" si="35"/>
        <v/>
      </c>
      <c r="AM45" t="str">
        <f t="shared" si="36"/>
        <v/>
      </c>
      <c r="AO45" s="120"/>
      <c r="AT45" s="558">
        <v>9</v>
      </c>
      <c r="AU45" s="120" t="str">
        <f t="shared" si="37"/>
        <v/>
      </c>
      <c r="AV45" t="str">
        <f t="shared" si="38"/>
        <v/>
      </c>
      <c r="AX45" s="558"/>
      <c r="AY45" s="120"/>
      <c r="BC45" s="558">
        <v>9</v>
      </c>
      <c r="BD45" s="120" t="str">
        <f t="shared" si="39"/>
        <v/>
      </c>
      <c r="BE45" t="str">
        <f t="shared" si="40"/>
        <v/>
      </c>
      <c r="BL45" s="558">
        <v>9</v>
      </c>
      <c r="BM45" s="120" t="str">
        <f t="shared" si="41"/>
        <v/>
      </c>
      <c r="BN45" t="str">
        <f t="shared" si="42"/>
        <v/>
      </c>
      <c r="BU45" s="558">
        <v>9</v>
      </c>
      <c r="BV45" s="120" t="str">
        <f t="shared" si="43"/>
        <v/>
      </c>
      <c r="BW45" t="str">
        <f t="shared" si="44"/>
        <v/>
      </c>
      <c r="CC45" s="558">
        <v>9</v>
      </c>
      <c r="CD45" s="120" t="str">
        <f t="shared" si="45"/>
        <v/>
      </c>
      <c r="CE45" t="str">
        <f t="shared" si="46"/>
        <v/>
      </c>
      <c r="CL45">
        <f t="shared" si="20"/>
        <v>0</v>
      </c>
      <c r="CM45">
        <f>IF(CL45=0,0,1+COUNTIF(CM$6:CM44,"&gt;0"))</f>
        <v>0</v>
      </c>
      <c r="CN45">
        <f t="shared" si="21"/>
        <v>0</v>
      </c>
      <c r="CO45">
        <f>IF(CN45=0,0,1+COUNTIF(CO$6:CO44,"&gt;0"))</f>
        <v>0</v>
      </c>
      <c r="CP45">
        <f t="shared" si="22"/>
        <v>0</v>
      </c>
      <c r="CQ45">
        <f>IF(CP45=0,0,1+COUNTIF(CQ$6:CQ44,"&gt;0"))</f>
        <v>0</v>
      </c>
      <c r="CR45">
        <f t="shared" si="23"/>
        <v>0</v>
      </c>
      <c r="CS45">
        <f>IF(CR45=0,0,1+COUNTIF(CS$6:CS44,"&gt;0"))</f>
        <v>0</v>
      </c>
      <c r="CT45">
        <f t="shared" si="24"/>
        <v>0</v>
      </c>
      <c r="CU45">
        <f>IF(CT45=0,0,1+COUNTIF(CU$6:CU44,"&gt;0"))</f>
        <v>0</v>
      </c>
      <c r="CV45">
        <f t="shared" si="25"/>
        <v>0</v>
      </c>
      <c r="CW45">
        <f>IF(CV45=0,0,1+COUNTIF(CW$6:CW44,"&gt;0"))</f>
        <v>0</v>
      </c>
      <c r="CX45">
        <f t="shared" si="26"/>
        <v>0</v>
      </c>
      <c r="CY45">
        <f>IF(CX45=0,0,1+COUNTIF(CY$6:CY44,"&gt;0"))</f>
        <v>0</v>
      </c>
      <c r="CZ45">
        <f t="shared" si="27"/>
        <v>0</v>
      </c>
      <c r="DA45">
        <f>IF(CZ45=0,0,1+COUNTIF(DA$6:DA44,"&gt;0"))</f>
        <v>0</v>
      </c>
      <c r="DB45">
        <f t="shared" si="28"/>
        <v>0</v>
      </c>
      <c r="DC45">
        <f>IF(DB45=0,0,1+COUNTIF(DC$6:DC44,"&gt;0"))</f>
        <v>0</v>
      </c>
    </row>
    <row r="46" spans="1:107" x14ac:dyDescent="0.25">
      <c r="B46" s="1062"/>
      <c r="C46" s="1062"/>
      <c r="D46" s="1062"/>
      <c r="E46" s="1062"/>
      <c r="F46" s="1062"/>
      <c r="G46" s="1062"/>
      <c r="H46" s="1062"/>
      <c r="I46" s="590"/>
      <c r="J46" s="558">
        <v>10</v>
      </c>
      <c r="K46" s="120" t="str">
        <f t="shared" si="29"/>
        <v/>
      </c>
      <c r="L46" t="str">
        <f t="shared" si="30"/>
        <v/>
      </c>
      <c r="S46" s="558">
        <v>10</v>
      </c>
      <c r="T46" s="120" t="str">
        <f t="shared" si="31"/>
        <v/>
      </c>
      <c r="U46" t="str">
        <f t="shared" si="32"/>
        <v/>
      </c>
      <c r="AB46" s="558">
        <v>10</v>
      </c>
      <c r="AC46" s="120" t="str">
        <f t="shared" si="33"/>
        <v/>
      </c>
      <c r="AD46" t="str">
        <f t="shared" si="34"/>
        <v/>
      </c>
      <c r="AK46" s="558">
        <v>10</v>
      </c>
      <c r="AL46" s="120" t="str">
        <f t="shared" si="35"/>
        <v/>
      </c>
      <c r="AM46" t="str">
        <f t="shared" si="36"/>
        <v/>
      </c>
      <c r="AO46" s="120"/>
      <c r="AT46" s="558">
        <v>10</v>
      </c>
      <c r="AU46" s="120" t="str">
        <f t="shared" si="37"/>
        <v/>
      </c>
      <c r="AV46" t="str">
        <f t="shared" si="38"/>
        <v/>
      </c>
      <c r="AX46" s="558"/>
      <c r="AY46" s="120"/>
      <c r="BC46" s="558">
        <v>10</v>
      </c>
      <c r="BD46" s="120" t="str">
        <f t="shared" si="39"/>
        <v/>
      </c>
      <c r="BE46" t="str">
        <f t="shared" si="40"/>
        <v/>
      </c>
      <c r="BL46" s="558">
        <v>10</v>
      </c>
      <c r="BM46" s="120" t="str">
        <f t="shared" si="41"/>
        <v/>
      </c>
      <c r="BN46" t="str">
        <f t="shared" si="42"/>
        <v/>
      </c>
      <c r="BU46" s="558">
        <v>10</v>
      </c>
      <c r="BV46" s="120" t="str">
        <f t="shared" si="43"/>
        <v/>
      </c>
      <c r="BW46" t="str">
        <f t="shared" si="44"/>
        <v/>
      </c>
      <c r="CC46" s="558">
        <v>10</v>
      </c>
      <c r="CD46" s="120" t="str">
        <f t="shared" si="45"/>
        <v/>
      </c>
      <c r="CE46" t="str">
        <f t="shared" si="46"/>
        <v/>
      </c>
      <c r="CL46">
        <f t="shared" si="20"/>
        <v>0</v>
      </c>
      <c r="CM46">
        <f>IF(CL46=0,0,1+COUNTIF(CM$6:CM45,"&gt;0"))</f>
        <v>0</v>
      </c>
      <c r="CN46">
        <f t="shared" si="21"/>
        <v>0</v>
      </c>
      <c r="CO46">
        <f>IF(CN46=0,0,1+COUNTIF(CO$6:CO45,"&gt;0"))</f>
        <v>0</v>
      </c>
      <c r="CP46">
        <f t="shared" si="22"/>
        <v>0</v>
      </c>
      <c r="CQ46">
        <f>IF(CP46=0,0,1+COUNTIF(CQ$6:CQ45,"&gt;0"))</f>
        <v>0</v>
      </c>
      <c r="CR46">
        <f t="shared" si="23"/>
        <v>0</v>
      </c>
      <c r="CS46">
        <f>IF(CR46=0,0,1+COUNTIF(CS$6:CS45,"&gt;0"))</f>
        <v>0</v>
      </c>
      <c r="CT46">
        <f t="shared" si="24"/>
        <v>0</v>
      </c>
      <c r="CU46">
        <f>IF(CT46=0,0,1+COUNTIF(CU$6:CU45,"&gt;0"))</f>
        <v>0</v>
      </c>
      <c r="CV46">
        <f t="shared" si="25"/>
        <v>0</v>
      </c>
      <c r="CW46">
        <f>IF(CV46=0,0,1+COUNTIF(CW$6:CW45,"&gt;0"))</f>
        <v>0</v>
      </c>
      <c r="CX46">
        <f t="shared" si="26"/>
        <v>0</v>
      </c>
      <c r="CY46">
        <f>IF(CX46=0,0,1+COUNTIF(CY$6:CY45,"&gt;0"))</f>
        <v>0</v>
      </c>
      <c r="CZ46">
        <f t="shared" si="27"/>
        <v>0</v>
      </c>
      <c r="DA46">
        <f>IF(CZ46=0,0,1+COUNTIF(DA$6:DA45,"&gt;0"))</f>
        <v>0</v>
      </c>
      <c r="DB46">
        <f t="shared" si="28"/>
        <v>0</v>
      </c>
      <c r="DC46">
        <f>IF(DB46=0,0,1+COUNTIF(DC$6:DC45,"&gt;0"))</f>
        <v>0</v>
      </c>
    </row>
    <row r="47" spans="1:107" x14ac:dyDescent="0.25">
      <c r="B47" s="1062"/>
      <c r="C47" s="1062"/>
      <c r="D47" s="1062"/>
      <c r="E47" s="1062"/>
      <c r="F47" s="1062"/>
      <c r="G47" s="1062"/>
      <c r="H47" s="1062"/>
      <c r="I47" s="590"/>
      <c r="J47" s="558">
        <v>11</v>
      </c>
      <c r="K47" s="120" t="str">
        <f t="shared" si="29"/>
        <v/>
      </c>
      <c r="L47" t="str">
        <f t="shared" si="30"/>
        <v/>
      </c>
      <c r="S47" s="558">
        <v>11</v>
      </c>
      <c r="T47" s="120" t="str">
        <f t="shared" si="31"/>
        <v/>
      </c>
      <c r="U47" t="str">
        <f t="shared" si="32"/>
        <v/>
      </c>
      <c r="AB47" s="558">
        <v>11</v>
      </c>
      <c r="AC47" s="120" t="str">
        <f t="shared" si="33"/>
        <v/>
      </c>
      <c r="AD47" t="str">
        <f t="shared" si="34"/>
        <v/>
      </c>
      <c r="AK47" s="558">
        <v>11</v>
      </c>
      <c r="AL47" s="120" t="str">
        <f t="shared" si="35"/>
        <v/>
      </c>
      <c r="AM47" t="str">
        <f t="shared" si="36"/>
        <v/>
      </c>
      <c r="AO47" s="120"/>
      <c r="AT47" s="558">
        <v>11</v>
      </c>
      <c r="AU47" s="120" t="str">
        <f t="shared" si="37"/>
        <v/>
      </c>
      <c r="AV47" t="str">
        <f t="shared" si="38"/>
        <v/>
      </c>
      <c r="AX47" s="558"/>
      <c r="AY47" s="120"/>
      <c r="BC47" s="558">
        <v>11</v>
      </c>
      <c r="BD47" s="120" t="str">
        <f t="shared" si="39"/>
        <v/>
      </c>
      <c r="BE47" t="str">
        <f t="shared" si="40"/>
        <v/>
      </c>
      <c r="BL47" s="558">
        <v>11</v>
      </c>
      <c r="BM47" s="120" t="str">
        <f t="shared" si="41"/>
        <v/>
      </c>
      <c r="BN47" t="str">
        <f t="shared" si="42"/>
        <v/>
      </c>
      <c r="BU47" s="558">
        <v>11</v>
      </c>
      <c r="BV47" s="120" t="str">
        <f t="shared" si="43"/>
        <v/>
      </c>
      <c r="BW47" t="str">
        <f t="shared" si="44"/>
        <v/>
      </c>
      <c r="CC47" s="558">
        <v>11</v>
      </c>
      <c r="CD47" s="120" t="str">
        <f t="shared" si="45"/>
        <v/>
      </c>
      <c r="CE47" t="str">
        <f t="shared" si="46"/>
        <v/>
      </c>
      <c r="CL47">
        <f t="shared" si="20"/>
        <v>0</v>
      </c>
      <c r="CM47">
        <f>IF(CL47=0,0,1+COUNTIF(CM$6:CM46,"&gt;0"))</f>
        <v>0</v>
      </c>
      <c r="CN47">
        <f t="shared" si="21"/>
        <v>0</v>
      </c>
      <c r="CO47">
        <f>IF(CN47=0,0,1+COUNTIF(CO$6:CO46,"&gt;0"))</f>
        <v>0</v>
      </c>
      <c r="CP47">
        <f t="shared" si="22"/>
        <v>0</v>
      </c>
      <c r="CQ47">
        <f>IF(CP47=0,0,1+COUNTIF(CQ$6:CQ46,"&gt;0"))</f>
        <v>0</v>
      </c>
      <c r="CR47">
        <f t="shared" si="23"/>
        <v>0</v>
      </c>
      <c r="CS47">
        <f>IF(CR47=0,0,1+COUNTIF(CS$6:CS46,"&gt;0"))</f>
        <v>0</v>
      </c>
      <c r="CT47">
        <f t="shared" si="24"/>
        <v>0</v>
      </c>
      <c r="CU47">
        <f>IF(CT47=0,0,1+COUNTIF(CU$6:CU46,"&gt;0"))</f>
        <v>0</v>
      </c>
      <c r="CV47">
        <f t="shared" si="25"/>
        <v>0</v>
      </c>
      <c r="CW47">
        <f>IF(CV47=0,0,1+COUNTIF(CW$6:CW46,"&gt;0"))</f>
        <v>0</v>
      </c>
      <c r="CX47">
        <f t="shared" si="26"/>
        <v>0</v>
      </c>
      <c r="CY47">
        <f>IF(CX47=0,0,1+COUNTIF(CY$6:CY46,"&gt;0"))</f>
        <v>0</v>
      </c>
      <c r="CZ47">
        <f t="shared" si="27"/>
        <v>0</v>
      </c>
      <c r="DA47">
        <f>IF(CZ47=0,0,1+COUNTIF(DA$6:DA46,"&gt;0"))</f>
        <v>0</v>
      </c>
      <c r="DB47">
        <f t="shared" si="28"/>
        <v>0</v>
      </c>
      <c r="DC47">
        <f>IF(DB47=0,0,1+COUNTIF(DC$6:DC46,"&gt;0"))</f>
        <v>0</v>
      </c>
    </row>
    <row r="48" spans="1:107" x14ac:dyDescent="0.25">
      <c r="B48" s="1062"/>
      <c r="C48" s="1062"/>
      <c r="D48" s="1062"/>
      <c r="E48" s="1062"/>
      <c r="F48" s="1062"/>
      <c r="G48" s="1062"/>
      <c r="H48" s="1062"/>
      <c r="I48" s="590"/>
      <c r="J48" s="558">
        <v>12</v>
      </c>
      <c r="K48" s="120" t="str">
        <f t="shared" si="29"/>
        <v/>
      </c>
      <c r="L48" t="str">
        <f t="shared" si="30"/>
        <v/>
      </c>
      <c r="S48" s="558">
        <v>12</v>
      </c>
      <c r="T48" s="120" t="str">
        <f t="shared" si="31"/>
        <v/>
      </c>
      <c r="U48" t="str">
        <f t="shared" si="32"/>
        <v/>
      </c>
      <c r="AB48" s="558">
        <v>12</v>
      </c>
      <c r="AC48" s="120" t="str">
        <f t="shared" si="33"/>
        <v/>
      </c>
      <c r="AD48" t="str">
        <f t="shared" si="34"/>
        <v/>
      </c>
      <c r="AK48" s="558">
        <v>12</v>
      </c>
      <c r="AL48" s="120" t="str">
        <f t="shared" si="35"/>
        <v/>
      </c>
      <c r="AM48" t="str">
        <f t="shared" si="36"/>
        <v/>
      </c>
      <c r="AO48" s="120"/>
      <c r="AT48" s="558">
        <v>12</v>
      </c>
      <c r="AU48" s="120" t="str">
        <f t="shared" si="37"/>
        <v/>
      </c>
      <c r="AV48" t="str">
        <f t="shared" si="38"/>
        <v/>
      </c>
      <c r="AX48" s="558"/>
      <c r="AY48" s="120"/>
      <c r="BC48" s="558">
        <v>12</v>
      </c>
      <c r="BD48" s="120" t="str">
        <f t="shared" si="39"/>
        <v/>
      </c>
      <c r="BE48" t="str">
        <f t="shared" si="40"/>
        <v/>
      </c>
      <c r="BL48" s="558">
        <v>12</v>
      </c>
      <c r="BM48" s="120" t="str">
        <f t="shared" si="41"/>
        <v/>
      </c>
      <c r="BN48" t="str">
        <f t="shared" si="42"/>
        <v/>
      </c>
      <c r="BU48" s="558">
        <v>12</v>
      </c>
      <c r="BV48" s="120" t="str">
        <f t="shared" si="43"/>
        <v/>
      </c>
      <c r="BW48" t="str">
        <f t="shared" si="44"/>
        <v/>
      </c>
      <c r="CC48" s="558">
        <v>12</v>
      </c>
      <c r="CD48" s="120" t="str">
        <f t="shared" si="45"/>
        <v/>
      </c>
      <c r="CE48" t="str">
        <f t="shared" si="46"/>
        <v/>
      </c>
      <c r="CL48">
        <f t="shared" si="20"/>
        <v>0</v>
      </c>
      <c r="CM48">
        <f>IF(CL48=0,0,1+COUNTIF(CM$6:CM47,"&gt;0"))</f>
        <v>0</v>
      </c>
      <c r="CN48">
        <f t="shared" si="21"/>
        <v>0</v>
      </c>
      <c r="CO48">
        <f>IF(CN48=0,0,1+COUNTIF(CO$6:CO47,"&gt;0"))</f>
        <v>0</v>
      </c>
      <c r="CP48">
        <f t="shared" si="22"/>
        <v>0</v>
      </c>
      <c r="CQ48">
        <f>IF(CP48=0,0,1+COUNTIF(CQ$6:CQ47,"&gt;0"))</f>
        <v>0</v>
      </c>
      <c r="CR48">
        <f t="shared" si="23"/>
        <v>0</v>
      </c>
      <c r="CS48">
        <f>IF(CR48=0,0,1+COUNTIF(CS$6:CS47,"&gt;0"))</f>
        <v>0</v>
      </c>
      <c r="CT48">
        <f t="shared" si="24"/>
        <v>0</v>
      </c>
      <c r="CU48">
        <f>IF(CT48=0,0,1+COUNTIF(CU$6:CU47,"&gt;0"))</f>
        <v>0</v>
      </c>
      <c r="CV48">
        <f t="shared" si="25"/>
        <v>0</v>
      </c>
      <c r="CW48">
        <f>IF(CV48=0,0,1+COUNTIF(CW$6:CW47,"&gt;0"))</f>
        <v>0</v>
      </c>
      <c r="CX48">
        <f t="shared" si="26"/>
        <v>0</v>
      </c>
      <c r="CY48">
        <f>IF(CX48=0,0,1+COUNTIF(CY$6:CY47,"&gt;0"))</f>
        <v>0</v>
      </c>
      <c r="CZ48">
        <f t="shared" si="27"/>
        <v>0</v>
      </c>
      <c r="DA48">
        <f>IF(CZ48=0,0,1+COUNTIF(DA$6:DA47,"&gt;0"))</f>
        <v>0</v>
      </c>
      <c r="DB48">
        <f t="shared" si="28"/>
        <v>0</v>
      </c>
      <c r="DC48">
        <f>IF(DB48=0,0,1+COUNTIF(DC$6:DC47,"&gt;0"))</f>
        <v>0</v>
      </c>
    </row>
    <row r="49" spans="2:107" x14ac:dyDescent="0.25">
      <c r="B49" s="1062"/>
      <c r="C49" s="1062"/>
      <c r="D49" s="1062"/>
      <c r="E49" s="1062"/>
      <c r="F49" s="1062"/>
      <c r="G49" s="1062"/>
      <c r="H49" s="1062"/>
      <c r="I49" s="590"/>
      <c r="J49" s="558">
        <v>13</v>
      </c>
      <c r="K49" s="120" t="str">
        <f t="shared" si="29"/>
        <v/>
      </c>
      <c r="L49" t="str">
        <f t="shared" si="30"/>
        <v/>
      </c>
      <c r="S49" s="558">
        <v>13</v>
      </c>
      <c r="T49" s="120" t="str">
        <f t="shared" si="31"/>
        <v/>
      </c>
      <c r="U49" t="str">
        <f t="shared" si="32"/>
        <v/>
      </c>
      <c r="AB49" s="558">
        <v>13</v>
      </c>
      <c r="AC49" s="120" t="str">
        <f t="shared" si="33"/>
        <v/>
      </c>
      <c r="AD49" t="str">
        <f t="shared" si="34"/>
        <v/>
      </c>
      <c r="AK49" s="558">
        <v>13</v>
      </c>
      <c r="AL49" s="120" t="str">
        <f t="shared" si="35"/>
        <v/>
      </c>
      <c r="AM49" t="str">
        <f t="shared" si="36"/>
        <v/>
      </c>
      <c r="AO49" s="120"/>
      <c r="AT49" s="558">
        <v>13</v>
      </c>
      <c r="AU49" s="120" t="str">
        <f t="shared" si="37"/>
        <v/>
      </c>
      <c r="AV49" t="str">
        <f t="shared" si="38"/>
        <v/>
      </c>
      <c r="AX49" s="558"/>
      <c r="AY49" s="120"/>
      <c r="BC49" s="558">
        <v>13</v>
      </c>
      <c r="BD49" s="120" t="str">
        <f t="shared" si="39"/>
        <v/>
      </c>
      <c r="BE49" t="str">
        <f t="shared" si="40"/>
        <v/>
      </c>
      <c r="BL49" s="558">
        <v>13</v>
      </c>
      <c r="BM49" s="120" t="str">
        <f t="shared" si="41"/>
        <v/>
      </c>
      <c r="BN49" t="str">
        <f t="shared" si="42"/>
        <v/>
      </c>
      <c r="BU49" s="558">
        <v>13</v>
      </c>
      <c r="BV49" s="120" t="str">
        <f t="shared" si="43"/>
        <v/>
      </c>
      <c r="BW49" t="str">
        <f t="shared" si="44"/>
        <v/>
      </c>
      <c r="CC49" s="558">
        <v>13</v>
      </c>
      <c r="CD49" s="120" t="str">
        <f t="shared" si="45"/>
        <v/>
      </c>
      <c r="CE49" t="str">
        <f t="shared" si="46"/>
        <v/>
      </c>
      <c r="CL49">
        <f t="shared" si="20"/>
        <v>0</v>
      </c>
      <c r="CM49">
        <f>IF(CL49=0,0,1+COUNTIF(CM$6:CM48,"&gt;0"))</f>
        <v>0</v>
      </c>
      <c r="CN49">
        <f t="shared" si="21"/>
        <v>0</v>
      </c>
      <c r="CO49">
        <f>IF(CN49=0,0,1+COUNTIF(CO$6:CO48,"&gt;0"))</f>
        <v>0</v>
      </c>
      <c r="CP49">
        <f t="shared" si="22"/>
        <v>0</v>
      </c>
      <c r="CQ49">
        <f>IF(CP49=0,0,1+COUNTIF(CQ$6:CQ48,"&gt;0"))</f>
        <v>0</v>
      </c>
      <c r="CR49">
        <f t="shared" si="23"/>
        <v>0</v>
      </c>
      <c r="CS49">
        <f>IF(CR49=0,0,1+COUNTIF(CS$6:CS48,"&gt;0"))</f>
        <v>0</v>
      </c>
      <c r="CT49">
        <f t="shared" si="24"/>
        <v>0</v>
      </c>
      <c r="CU49">
        <f>IF(CT49=0,0,1+COUNTIF(CU$6:CU48,"&gt;0"))</f>
        <v>0</v>
      </c>
      <c r="CV49">
        <f t="shared" si="25"/>
        <v>0</v>
      </c>
      <c r="CW49">
        <f>IF(CV49=0,0,1+COUNTIF(CW$6:CW48,"&gt;0"))</f>
        <v>0</v>
      </c>
      <c r="CX49">
        <f t="shared" si="26"/>
        <v>0</v>
      </c>
      <c r="CY49">
        <f>IF(CX49=0,0,1+COUNTIF(CY$6:CY48,"&gt;0"))</f>
        <v>0</v>
      </c>
      <c r="CZ49">
        <f t="shared" si="27"/>
        <v>0</v>
      </c>
      <c r="DA49">
        <f>IF(CZ49=0,0,1+COUNTIF(DA$6:DA48,"&gt;0"))</f>
        <v>0</v>
      </c>
      <c r="DB49">
        <f t="shared" si="28"/>
        <v>0</v>
      </c>
      <c r="DC49">
        <f>IF(DB49=0,0,1+COUNTIF(DC$6:DC48,"&gt;0"))</f>
        <v>0</v>
      </c>
    </row>
    <row r="50" spans="2:107" x14ac:dyDescent="0.25">
      <c r="B50" s="1062"/>
      <c r="C50" s="1062"/>
      <c r="D50" s="1062"/>
      <c r="E50" s="1062"/>
      <c r="F50" s="1062"/>
      <c r="G50" s="1062"/>
      <c r="H50" s="1062"/>
      <c r="I50" s="590"/>
      <c r="J50" s="558">
        <v>14</v>
      </c>
      <c r="K50" s="120" t="str">
        <f t="shared" si="29"/>
        <v/>
      </c>
      <c r="L50" t="str">
        <f t="shared" si="30"/>
        <v/>
      </c>
      <c r="S50" s="558">
        <v>14</v>
      </c>
      <c r="T50" s="120" t="str">
        <f t="shared" si="31"/>
        <v/>
      </c>
      <c r="U50" t="str">
        <f t="shared" si="32"/>
        <v/>
      </c>
      <c r="AB50" s="558">
        <v>14</v>
      </c>
      <c r="AC50" s="120" t="str">
        <f t="shared" si="33"/>
        <v/>
      </c>
      <c r="AD50" t="str">
        <f t="shared" si="34"/>
        <v/>
      </c>
      <c r="AK50" s="558">
        <v>14</v>
      </c>
      <c r="AL50" s="120" t="str">
        <f t="shared" si="35"/>
        <v/>
      </c>
      <c r="AM50" t="str">
        <f t="shared" si="36"/>
        <v/>
      </c>
      <c r="AO50" s="120"/>
      <c r="AT50" s="558">
        <v>14</v>
      </c>
      <c r="AU50" s="120" t="str">
        <f t="shared" si="37"/>
        <v/>
      </c>
      <c r="AV50" t="str">
        <f t="shared" si="38"/>
        <v/>
      </c>
      <c r="AX50" s="558"/>
      <c r="AY50" s="120"/>
      <c r="BC50" s="558">
        <v>14</v>
      </c>
      <c r="BD50" s="120" t="str">
        <f t="shared" si="39"/>
        <v/>
      </c>
      <c r="BE50" t="str">
        <f t="shared" si="40"/>
        <v/>
      </c>
      <c r="BL50" s="558">
        <v>14</v>
      </c>
      <c r="BM50" s="120" t="str">
        <f t="shared" si="41"/>
        <v/>
      </c>
      <c r="BN50" t="str">
        <f t="shared" si="42"/>
        <v/>
      </c>
      <c r="BU50" s="558">
        <v>14</v>
      </c>
      <c r="BV50" s="120" t="str">
        <f t="shared" si="43"/>
        <v/>
      </c>
      <c r="BW50" t="str">
        <f t="shared" si="44"/>
        <v/>
      </c>
      <c r="CC50" s="558">
        <v>14</v>
      </c>
      <c r="CD50" s="120" t="str">
        <f t="shared" si="45"/>
        <v/>
      </c>
      <c r="CE50" t="str">
        <f t="shared" si="46"/>
        <v/>
      </c>
      <c r="CL50">
        <f t="shared" si="20"/>
        <v>0</v>
      </c>
      <c r="CM50">
        <f>IF(CL50=0,0,1+COUNTIF(CM$6:CM49,"&gt;0"))</f>
        <v>0</v>
      </c>
      <c r="CN50">
        <f t="shared" si="21"/>
        <v>0</v>
      </c>
      <c r="CO50">
        <f>IF(CN50=0,0,1+COUNTIF(CO$6:CO49,"&gt;0"))</f>
        <v>0</v>
      </c>
      <c r="CP50">
        <f t="shared" si="22"/>
        <v>0</v>
      </c>
      <c r="CQ50">
        <f>IF(CP50=0,0,1+COUNTIF(CQ$6:CQ49,"&gt;0"))</f>
        <v>0</v>
      </c>
      <c r="CR50">
        <f t="shared" si="23"/>
        <v>0</v>
      </c>
      <c r="CS50">
        <f>IF(CR50=0,0,1+COUNTIF(CS$6:CS49,"&gt;0"))</f>
        <v>0</v>
      </c>
      <c r="CT50">
        <f t="shared" si="24"/>
        <v>0</v>
      </c>
      <c r="CU50">
        <f>IF(CT50=0,0,1+COUNTIF(CU$6:CU49,"&gt;0"))</f>
        <v>0</v>
      </c>
      <c r="CV50">
        <f t="shared" si="25"/>
        <v>0</v>
      </c>
      <c r="CW50">
        <f>IF(CV50=0,0,1+COUNTIF(CW$6:CW49,"&gt;0"))</f>
        <v>0</v>
      </c>
      <c r="CX50">
        <f t="shared" si="26"/>
        <v>0</v>
      </c>
      <c r="CY50">
        <f>IF(CX50=0,0,1+COUNTIF(CY$6:CY49,"&gt;0"))</f>
        <v>0</v>
      </c>
      <c r="CZ50">
        <f t="shared" si="27"/>
        <v>0</v>
      </c>
      <c r="DA50">
        <f>IF(CZ50=0,0,1+COUNTIF(DA$6:DA49,"&gt;0"))</f>
        <v>0</v>
      </c>
      <c r="DB50">
        <f t="shared" si="28"/>
        <v>0</v>
      </c>
      <c r="DC50">
        <f>IF(DB50=0,0,1+COUNTIF(DC$6:DC49,"&gt;0"))</f>
        <v>0</v>
      </c>
    </row>
    <row r="51" spans="2:107" x14ac:dyDescent="0.25">
      <c r="B51" s="1062"/>
      <c r="C51" s="1062"/>
      <c r="D51" s="1062"/>
      <c r="E51" s="1062"/>
      <c r="F51" s="1062"/>
      <c r="G51" s="1062"/>
      <c r="H51" s="1062"/>
      <c r="I51" s="590"/>
      <c r="J51" s="558">
        <v>15</v>
      </c>
      <c r="K51" s="120" t="str">
        <f t="shared" si="29"/>
        <v/>
      </c>
      <c r="L51" t="str">
        <f t="shared" si="30"/>
        <v/>
      </c>
      <c r="S51" s="558">
        <v>15</v>
      </c>
      <c r="T51" s="120" t="str">
        <f t="shared" si="31"/>
        <v/>
      </c>
      <c r="U51" t="str">
        <f t="shared" si="32"/>
        <v/>
      </c>
      <c r="AB51" s="558">
        <v>15</v>
      </c>
      <c r="AC51" s="120" t="str">
        <f t="shared" si="33"/>
        <v/>
      </c>
      <c r="AD51" t="str">
        <f t="shared" si="34"/>
        <v/>
      </c>
      <c r="AK51" s="558">
        <v>15</v>
      </c>
      <c r="AL51" s="120" t="str">
        <f t="shared" si="35"/>
        <v/>
      </c>
      <c r="AM51" t="str">
        <f t="shared" si="36"/>
        <v/>
      </c>
      <c r="AO51" s="120"/>
      <c r="AT51" s="558">
        <v>15</v>
      </c>
      <c r="AU51" s="120" t="str">
        <f t="shared" si="37"/>
        <v/>
      </c>
      <c r="AV51" t="str">
        <f t="shared" si="38"/>
        <v/>
      </c>
      <c r="AX51" s="558"/>
      <c r="AY51" s="120"/>
      <c r="BC51" s="558">
        <v>15</v>
      </c>
      <c r="BD51" s="120" t="str">
        <f t="shared" si="39"/>
        <v/>
      </c>
      <c r="BE51" t="str">
        <f t="shared" si="40"/>
        <v/>
      </c>
      <c r="BL51" s="558">
        <v>15</v>
      </c>
      <c r="BM51" s="120" t="str">
        <f t="shared" si="41"/>
        <v/>
      </c>
      <c r="BN51" t="str">
        <f t="shared" si="42"/>
        <v/>
      </c>
      <c r="BU51" s="558">
        <v>15</v>
      </c>
      <c r="BV51" s="120" t="str">
        <f t="shared" si="43"/>
        <v/>
      </c>
      <c r="BW51" t="str">
        <f t="shared" si="44"/>
        <v/>
      </c>
      <c r="CC51" s="558">
        <v>15</v>
      </c>
      <c r="CD51" s="120" t="str">
        <f t="shared" si="45"/>
        <v/>
      </c>
      <c r="CE51" t="str">
        <f t="shared" si="46"/>
        <v/>
      </c>
      <c r="CL51">
        <f t="shared" si="20"/>
        <v>0</v>
      </c>
      <c r="CM51">
        <f>IF(CL51=0,0,1+COUNTIF(CM$6:CM50,"&gt;0"))</f>
        <v>0</v>
      </c>
      <c r="CN51">
        <f t="shared" si="21"/>
        <v>0</v>
      </c>
      <c r="CO51">
        <f>IF(CN51=0,0,1+COUNTIF(CO$6:CO50,"&gt;0"))</f>
        <v>0</v>
      </c>
      <c r="CP51">
        <f t="shared" si="22"/>
        <v>0</v>
      </c>
      <c r="CQ51">
        <f>IF(CP51=0,0,1+COUNTIF(CQ$6:CQ50,"&gt;0"))</f>
        <v>0</v>
      </c>
      <c r="CR51">
        <f t="shared" si="23"/>
        <v>0</v>
      </c>
      <c r="CS51">
        <f>IF(CR51=0,0,1+COUNTIF(CS$6:CS50,"&gt;0"))</f>
        <v>0</v>
      </c>
      <c r="CT51">
        <f t="shared" si="24"/>
        <v>0</v>
      </c>
      <c r="CU51">
        <f>IF(CT51=0,0,1+COUNTIF(CU$6:CU50,"&gt;0"))</f>
        <v>0</v>
      </c>
      <c r="CV51">
        <f t="shared" si="25"/>
        <v>0</v>
      </c>
      <c r="CW51">
        <f>IF(CV51=0,0,1+COUNTIF(CW$6:CW50,"&gt;0"))</f>
        <v>0</v>
      </c>
      <c r="CX51">
        <f t="shared" si="26"/>
        <v>0</v>
      </c>
      <c r="CY51">
        <f>IF(CX51=0,0,1+COUNTIF(CY$6:CY50,"&gt;0"))</f>
        <v>0</v>
      </c>
      <c r="CZ51">
        <f t="shared" si="27"/>
        <v>0</v>
      </c>
      <c r="DA51">
        <f>IF(CZ51=0,0,1+COUNTIF(DA$6:DA50,"&gt;0"))</f>
        <v>0</v>
      </c>
      <c r="DB51">
        <f t="shared" si="28"/>
        <v>0</v>
      </c>
      <c r="DC51">
        <f>IF(DB51=0,0,1+COUNTIF(DC$6:DC50,"&gt;0"))</f>
        <v>0</v>
      </c>
    </row>
    <row r="52" spans="2:107" x14ac:dyDescent="0.25">
      <c r="B52" s="1062"/>
      <c r="C52" s="1062"/>
      <c r="D52" s="1062"/>
      <c r="E52" s="1062"/>
      <c r="F52" s="1062"/>
      <c r="G52" s="1062"/>
      <c r="H52" s="1062"/>
      <c r="I52" s="590"/>
      <c r="J52" s="558">
        <v>16</v>
      </c>
      <c r="K52" s="120" t="str">
        <f t="shared" si="29"/>
        <v/>
      </c>
      <c r="L52" t="str">
        <f t="shared" si="30"/>
        <v/>
      </c>
      <c r="S52" s="558">
        <v>16</v>
      </c>
      <c r="T52" s="120" t="str">
        <f t="shared" si="31"/>
        <v/>
      </c>
      <c r="U52" t="str">
        <f t="shared" si="32"/>
        <v/>
      </c>
      <c r="AB52" s="558">
        <v>16</v>
      </c>
      <c r="AC52" s="120" t="str">
        <f t="shared" si="33"/>
        <v/>
      </c>
      <c r="AD52" t="str">
        <f t="shared" si="34"/>
        <v/>
      </c>
      <c r="AK52" s="558">
        <v>16</v>
      </c>
      <c r="AL52" s="120" t="str">
        <f t="shared" si="35"/>
        <v/>
      </c>
      <c r="AM52" t="str">
        <f t="shared" si="36"/>
        <v/>
      </c>
      <c r="AO52" s="120"/>
      <c r="AT52" s="558">
        <v>16</v>
      </c>
      <c r="AU52" s="120" t="str">
        <f t="shared" si="37"/>
        <v/>
      </c>
      <c r="AV52" t="str">
        <f t="shared" si="38"/>
        <v/>
      </c>
      <c r="AX52" s="558"/>
      <c r="AY52" s="120"/>
      <c r="BC52" s="558">
        <v>16</v>
      </c>
      <c r="BD52" s="120" t="str">
        <f t="shared" si="39"/>
        <v/>
      </c>
      <c r="BE52" t="str">
        <f t="shared" si="40"/>
        <v/>
      </c>
      <c r="BL52" s="558">
        <v>16</v>
      </c>
      <c r="BM52" s="120" t="str">
        <f t="shared" si="41"/>
        <v/>
      </c>
      <c r="BN52" t="str">
        <f t="shared" si="42"/>
        <v/>
      </c>
      <c r="BU52" s="558">
        <v>16</v>
      </c>
      <c r="BV52" s="120" t="str">
        <f t="shared" si="43"/>
        <v/>
      </c>
      <c r="BW52" t="str">
        <f t="shared" si="44"/>
        <v/>
      </c>
      <c r="CC52" s="558">
        <v>16</v>
      </c>
      <c r="CD52" s="120" t="str">
        <f t="shared" si="45"/>
        <v/>
      </c>
      <c r="CE52" t="str">
        <f t="shared" si="46"/>
        <v/>
      </c>
      <c r="CL52">
        <f t="shared" si="20"/>
        <v>0</v>
      </c>
      <c r="CM52">
        <f>IF(CL52=0,0,1+COUNTIF(CM$6:CM51,"&gt;0"))</f>
        <v>0</v>
      </c>
      <c r="CN52">
        <f t="shared" si="21"/>
        <v>0</v>
      </c>
      <c r="CO52">
        <f>IF(CN52=0,0,1+COUNTIF(CO$6:CO51,"&gt;0"))</f>
        <v>0</v>
      </c>
      <c r="CP52">
        <f t="shared" si="22"/>
        <v>0</v>
      </c>
      <c r="CQ52">
        <f>IF(CP52=0,0,1+COUNTIF(CQ$6:CQ51,"&gt;0"))</f>
        <v>0</v>
      </c>
      <c r="CR52">
        <f t="shared" si="23"/>
        <v>0</v>
      </c>
      <c r="CS52">
        <f>IF(CR52=0,0,1+COUNTIF(CS$6:CS51,"&gt;0"))</f>
        <v>0</v>
      </c>
      <c r="CT52">
        <f t="shared" si="24"/>
        <v>0</v>
      </c>
      <c r="CU52">
        <f>IF(CT52=0,0,1+COUNTIF(CU$6:CU51,"&gt;0"))</f>
        <v>0</v>
      </c>
      <c r="CV52">
        <f t="shared" si="25"/>
        <v>0</v>
      </c>
      <c r="CW52">
        <f>IF(CV52=0,0,1+COUNTIF(CW$6:CW51,"&gt;0"))</f>
        <v>0</v>
      </c>
      <c r="CX52">
        <f t="shared" si="26"/>
        <v>0</v>
      </c>
      <c r="CY52">
        <f>IF(CX52=0,0,1+COUNTIF(CY$6:CY51,"&gt;0"))</f>
        <v>0</v>
      </c>
      <c r="CZ52">
        <f t="shared" si="27"/>
        <v>0</v>
      </c>
      <c r="DA52">
        <f>IF(CZ52=0,0,1+COUNTIF(DA$6:DA51,"&gt;0"))</f>
        <v>0</v>
      </c>
      <c r="DB52">
        <f t="shared" si="28"/>
        <v>0</v>
      </c>
      <c r="DC52">
        <f>IF(DB52=0,0,1+COUNTIF(DC$6:DC51,"&gt;0"))</f>
        <v>0</v>
      </c>
    </row>
    <row r="53" spans="2:107" x14ac:dyDescent="0.25">
      <c r="B53" s="1062"/>
      <c r="C53" s="1062"/>
      <c r="D53" s="1062"/>
      <c r="E53" s="1062"/>
      <c r="F53" s="1062"/>
      <c r="G53" s="1062"/>
      <c r="H53" s="1062"/>
      <c r="I53" s="590"/>
      <c r="J53" s="558">
        <v>17</v>
      </c>
      <c r="K53" s="120" t="str">
        <f t="shared" si="29"/>
        <v/>
      </c>
      <c r="L53" t="str">
        <f t="shared" si="30"/>
        <v/>
      </c>
      <c r="S53" s="558">
        <v>17</v>
      </c>
      <c r="T53" s="120" t="str">
        <f t="shared" si="31"/>
        <v/>
      </c>
      <c r="U53" t="str">
        <f t="shared" si="32"/>
        <v/>
      </c>
      <c r="AB53" s="558">
        <v>17</v>
      </c>
      <c r="AC53" s="120" t="str">
        <f t="shared" si="33"/>
        <v/>
      </c>
      <c r="AD53" t="str">
        <f t="shared" si="34"/>
        <v/>
      </c>
      <c r="AK53" s="558">
        <v>17</v>
      </c>
      <c r="AL53" s="120" t="str">
        <f t="shared" si="35"/>
        <v/>
      </c>
      <c r="AM53" t="str">
        <f t="shared" si="36"/>
        <v/>
      </c>
      <c r="AO53" s="120"/>
      <c r="AT53" s="558">
        <v>17</v>
      </c>
      <c r="AU53" s="120" t="str">
        <f t="shared" si="37"/>
        <v/>
      </c>
      <c r="AV53" t="str">
        <f t="shared" si="38"/>
        <v/>
      </c>
      <c r="AX53" s="558"/>
      <c r="AY53" s="120"/>
      <c r="BC53" s="558">
        <v>17</v>
      </c>
      <c r="BD53" s="120" t="str">
        <f t="shared" si="39"/>
        <v/>
      </c>
      <c r="BE53" t="str">
        <f t="shared" si="40"/>
        <v/>
      </c>
      <c r="BL53" s="558">
        <v>17</v>
      </c>
      <c r="BM53" s="120" t="str">
        <f t="shared" si="41"/>
        <v/>
      </c>
      <c r="BN53" t="str">
        <f t="shared" si="42"/>
        <v/>
      </c>
      <c r="BU53" s="558">
        <v>17</v>
      </c>
      <c r="BV53" s="120" t="str">
        <f t="shared" si="43"/>
        <v/>
      </c>
      <c r="BW53" t="str">
        <f t="shared" si="44"/>
        <v/>
      </c>
      <c r="CC53" s="558">
        <v>17</v>
      </c>
      <c r="CD53" s="120" t="str">
        <f t="shared" si="45"/>
        <v/>
      </c>
      <c r="CE53" t="str">
        <f t="shared" si="46"/>
        <v/>
      </c>
      <c r="CL53">
        <f t="shared" si="20"/>
        <v>0</v>
      </c>
      <c r="CM53">
        <f>IF(CL53=0,0,1+COUNTIF(CM$6:CM52,"&gt;0"))</f>
        <v>0</v>
      </c>
      <c r="CN53">
        <f t="shared" si="21"/>
        <v>0</v>
      </c>
      <c r="CO53">
        <f>IF(CN53=0,0,1+COUNTIF(CO$6:CO52,"&gt;0"))</f>
        <v>0</v>
      </c>
      <c r="CP53">
        <f t="shared" si="22"/>
        <v>0</v>
      </c>
      <c r="CQ53">
        <f>IF(CP53=0,0,1+COUNTIF(CQ$6:CQ52,"&gt;0"))</f>
        <v>0</v>
      </c>
      <c r="CR53">
        <f t="shared" si="23"/>
        <v>0</v>
      </c>
      <c r="CS53">
        <f>IF(CR53=0,0,1+COUNTIF(CS$6:CS52,"&gt;0"))</f>
        <v>0</v>
      </c>
      <c r="CT53">
        <f t="shared" si="24"/>
        <v>0</v>
      </c>
      <c r="CU53">
        <f>IF(CT53=0,0,1+COUNTIF(CU$6:CU52,"&gt;0"))</f>
        <v>0</v>
      </c>
      <c r="CV53">
        <f t="shared" si="25"/>
        <v>0</v>
      </c>
      <c r="CW53">
        <f>IF(CV53=0,0,1+COUNTIF(CW$6:CW52,"&gt;0"))</f>
        <v>0</v>
      </c>
      <c r="CX53">
        <f t="shared" si="26"/>
        <v>0</v>
      </c>
      <c r="CY53">
        <f>IF(CX53=0,0,1+COUNTIF(CY$6:CY52,"&gt;0"))</f>
        <v>0</v>
      </c>
      <c r="CZ53">
        <f t="shared" si="27"/>
        <v>0</v>
      </c>
      <c r="DA53">
        <f>IF(CZ53=0,0,1+COUNTIF(DA$6:DA52,"&gt;0"))</f>
        <v>0</v>
      </c>
      <c r="DB53">
        <f t="shared" si="28"/>
        <v>0</v>
      </c>
      <c r="DC53">
        <f>IF(DB53=0,0,1+COUNTIF(DC$6:DC52,"&gt;0"))</f>
        <v>0</v>
      </c>
    </row>
    <row r="54" spans="2:107" x14ac:dyDescent="0.25">
      <c r="B54" s="1062"/>
      <c r="C54" s="1062"/>
      <c r="D54" s="1062"/>
      <c r="E54" s="1062"/>
      <c r="F54" s="1062"/>
      <c r="G54" s="1062"/>
      <c r="H54" s="1062"/>
      <c r="I54" s="590"/>
      <c r="J54" s="558">
        <v>18</v>
      </c>
      <c r="K54" s="120" t="str">
        <f t="shared" si="29"/>
        <v/>
      </c>
      <c r="L54" t="str">
        <f t="shared" si="30"/>
        <v/>
      </c>
      <c r="S54" s="558">
        <v>18</v>
      </c>
      <c r="T54" s="120" t="str">
        <f t="shared" si="31"/>
        <v/>
      </c>
      <c r="U54" t="str">
        <f t="shared" si="32"/>
        <v/>
      </c>
      <c r="AB54" s="558">
        <v>18</v>
      </c>
      <c r="AC54" s="120" t="str">
        <f t="shared" si="33"/>
        <v/>
      </c>
      <c r="AD54" t="str">
        <f t="shared" si="34"/>
        <v/>
      </c>
      <c r="AK54" s="558">
        <v>18</v>
      </c>
      <c r="AL54" s="120" t="str">
        <f t="shared" si="35"/>
        <v/>
      </c>
      <c r="AM54" t="str">
        <f t="shared" si="36"/>
        <v/>
      </c>
      <c r="AO54" s="120"/>
      <c r="AT54" s="558">
        <v>18</v>
      </c>
      <c r="AU54" s="120" t="str">
        <f t="shared" si="37"/>
        <v/>
      </c>
      <c r="AV54" t="str">
        <f t="shared" si="38"/>
        <v/>
      </c>
      <c r="AX54" s="558"/>
      <c r="AY54" s="120"/>
      <c r="BC54" s="558">
        <v>18</v>
      </c>
      <c r="BD54" s="120" t="str">
        <f t="shared" si="39"/>
        <v/>
      </c>
      <c r="BE54" t="str">
        <f t="shared" si="40"/>
        <v/>
      </c>
      <c r="BL54" s="558">
        <v>18</v>
      </c>
      <c r="BM54" s="120" t="str">
        <f t="shared" si="41"/>
        <v/>
      </c>
      <c r="BN54" t="str">
        <f t="shared" si="42"/>
        <v/>
      </c>
      <c r="BU54" s="558">
        <v>18</v>
      </c>
      <c r="BV54" s="120" t="str">
        <f t="shared" si="43"/>
        <v/>
      </c>
      <c r="BW54" t="str">
        <f t="shared" si="44"/>
        <v/>
      </c>
      <c r="CC54" s="558">
        <v>18</v>
      </c>
      <c r="CD54" s="120" t="str">
        <f t="shared" si="45"/>
        <v/>
      </c>
      <c r="CE54" t="str">
        <f t="shared" si="46"/>
        <v/>
      </c>
      <c r="CL54">
        <f t="shared" si="20"/>
        <v>0</v>
      </c>
      <c r="CM54">
        <f>IF(CL54=0,0,1+COUNTIF(CM$6:CM53,"&gt;0"))</f>
        <v>0</v>
      </c>
      <c r="CN54">
        <f t="shared" si="21"/>
        <v>0</v>
      </c>
      <c r="CO54">
        <f>IF(CN54=0,0,1+COUNTIF(CO$6:CO53,"&gt;0"))</f>
        <v>0</v>
      </c>
      <c r="CP54">
        <f t="shared" si="22"/>
        <v>0</v>
      </c>
      <c r="CQ54">
        <f>IF(CP54=0,0,1+COUNTIF(CQ$6:CQ53,"&gt;0"))</f>
        <v>0</v>
      </c>
      <c r="CR54">
        <f t="shared" si="23"/>
        <v>0</v>
      </c>
      <c r="CS54">
        <f>IF(CR54=0,0,1+COUNTIF(CS$6:CS53,"&gt;0"))</f>
        <v>0</v>
      </c>
      <c r="CT54">
        <f t="shared" si="24"/>
        <v>0</v>
      </c>
      <c r="CU54">
        <f>IF(CT54=0,0,1+COUNTIF(CU$6:CU53,"&gt;0"))</f>
        <v>0</v>
      </c>
      <c r="CV54">
        <f t="shared" si="25"/>
        <v>0</v>
      </c>
      <c r="CW54">
        <f>IF(CV54=0,0,1+COUNTIF(CW$6:CW53,"&gt;0"))</f>
        <v>0</v>
      </c>
      <c r="CX54">
        <f t="shared" si="26"/>
        <v>0</v>
      </c>
      <c r="CY54">
        <f>IF(CX54=0,0,1+COUNTIF(CY$6:CY53,"&gt;0"))</f>
        <v>0</v>
      </c>
      <c r="CZ54">
        <f t="shared" si="27"/>
        <v>0</v>
      </c>
      <c r="DA54">
        <f>IF(CZ54=0,0,1+COUNTIF(DA$6:DA53,"&gt;0"))</f>
        <v>0</v>
      </c>
      <c r="DB54">
        <f t="shared" si="28"/>
        <v>0</v>
      </c>
      <c r="DC54">
        <f>IF(DB54=0,0,1+COUNTIF(DC$6:DC53,"&gt;0"))</f>
        <v>0</v>
      </c>
    </row>
    <row r="55" spans="2:107" x14ac:dyDescent="0.25">
      <c r="B55" s="1062"/>
      <c r="C55" s="1062"/>
      <c r="D55" s="1062"/>
      <c r="E55" s="1062"/>
      <c r="F55" s="1062"/>
      <c r="G55" s="1062"/>
      <c r="H55" s="1062"/>
      <c r="I55" s="590"/>
      <c r="J55" s="558">
        <v>19</v>
      </c>
      <c r="K55" s="120" t="str">
        <f t="shared" si="29"/>
        <v/>
      </c>
      <c r="L55" t="str">
        <f t="shared" si="30"/>
        <v/>
      </c>
      <c r="S55" s="558">
        <v>19</v>
      </c>
      <c r="T55" s="120" t="str">
        <f t="shared" si="31"/>
        <v/>
      </c>
      <c r="U55" t="str">
        <f t="shared" si="32"/>
        <v/>
      </c>
      <c r="AB55" s="558">
        <v>19</v>
      </c>
      <c r="AC55" s="120" t="str">
        <f t="shared" si="33"/>
        <v/>
      </c>
      <c r="AD55" t="str">
        <f t="shared" si="34"/>
        <v/>
      </c>
      <c r="AK55" s="558">
        <v>19</v>
      </c>
      <c r="AL55" s="120" t="str">
        <f t="shared" si="35"/>
        <v/>
      </c>
      <c r="AM55" t="str">
        <f t="shared" si="36"/>
        <v/>
      </c>
      <c r="AO55" s="120"/>
      <c r="AT55" s="558">
        <v>19</v>
      </c>
      <c r="AU55" s="120" t="str">
        <f t="shared" si="37"/>
        <v/>
      </c>
      <c r="AV55" t="str">
        <f t="shared" si="38"/>
        <v/>
      </c>
      <c r="AX55" s="558"/>
      <c r="AY55" s="120"/>
      <c r="BC55" s="558">
        <v>19</v>
      </c>
      <c r="BD55" s="120" t="str">
        <f t="shared" si="39"/>
        <v/>
      </c>
      <c r="BE55" t="str">
        <f t="shared" si="40"/>
        <v/>
      </c>
      <c r="BL55" s="558">
        <v>19</v>
      </c>
      <c r="BM55" s="120" t="str">
        <f t="shared" si="41"/>
        <v/>
      </c>
      <c r="BN55" t="str">
        <f t="shared" si="42"/>
        <v/>
      </c>
      <c r="BU55" s="558">
        <v>19</v>
      </c>
      <c r="BV55" s="120" t="str">
        <f t="shared" si="43"/>
        <v/>
      </c>
      <c r="BW55" t="str">
        <f t="shared" si="44"/>
        <v/>
      </c>
      <c r="CC55" s="558">
        <v>19</v>
      </c>
      <c r="CD55" s="120" t="str">
        <f t="shared" si="45"/>
        <v/>
      </c>
      <c r="CE55" t="str">
        <f t="shared" si="46"/>
        <v/>
      </c>
      <c r="CL55">
        <f t="shared" si="20"/>
        <v>0</v>
      </c>
      <c r="CM55">
        <f>IF(CL55=0,0,1+COUNTIF(CM$6:CM54,"&gt;0"))</f>
        <v>0</v>
      </c>
      <c r="CN55">
        <f t="shared" si="21"/>
        <v>0</v>
      </c>
      <c r="CO55">
        <f>IF(CN55=0,0,1+COUNTIF(CO$6:CO54,"&gt;0"))</f>
        <v>0</v>
      </c>
      <c r="CP55">
        <f t="shared" si="22"/>
        <v>0</v>
      </c>
      <c r="CQ55">
        <f>IF(CP55=0,0,1+COUNTIF(CQ$6:CQ54,"&gt;0"))</f>
        <v>0</v>
      </c>
      <c r="CR55">
        <f t="shared" si="23"/>
        <v>0</v>
      </c>
      <c r="CS55">
        <f>IF(CR55=0,0,1+COUNTIF(CS$6:CS54,"&gt;0"))</f>
        <v>0</v>
      </c>
      <c r="CT55">
        <f t="shared" si="24"/>
        <v>0</v>
      </c>
      <c r="CU55">
        <f>IF(CT55=0,0,1+COUNTIF(CU$6:CU54,"&gt;0"))</f>
        <v>0</v>
      </c>
      <c r="CV55">
        <f t="shared" si="25"/>
        <v>0</v>
      </c>
      <c r="CW55">
        <f>IF(CV55=0,0,1+COUNTIF(CW$6:CW54,"&gt;0"))</f>
        <v>0</v>
      </c>
      <c r="CX55">
        <f t="shared" si="26"/>
        <v>0</v>
      </c>
      <c r="CY55">
        <f>IF(CX55=0,0,1+COUNTIF(CY$6:CY54,"&gt;0"))</f>
        <v>0</v>
      </c>
      <c r="CZ55">
        <f t="shared" si="27"/>
        <v>0</v>
      </c>
      <c r="DA55">
        <f>IF(CZ55=0,0,1+COUNTIF(DA$6:DA54,"&gt;0"))</f>
        <v>0</v>
      </c>
      <c r="DB55">
        <f t="shared" si="28"/>
        <v>0</v>
      </c>
      <c r="DC55">
        <f>IF(DB55=0,0,1+COUNTIF(DC$6:DC54,"&gt;0"))</f>
        <v>0</v>
      </c>
    </row>
    <row r="56" spans="2:107" x14ac:dyDescent="0.25">
      <c r="B56" s="1062"/>
      <c r="C56" s="1062"/>
      <c r="D56" s="1062"/>
      <c r="E56" s="1062"/>
      <c r="F56" s="1062"/>
      <c r="G56" s="1062"/>
      <c r="H56" s="1062"/>
      <c r="I56" s="590"/>
      <c r="J56" s="558">
        <v>20</v>
      </c>
      <c r="K56" s="120" t="str">
        <f t="shared" si="29"/>
        <v/>
      </c>
      <c r="L56" t="str">
        <f t="shared" si="30"/>
        <v/>
      </c>
      <c r="S56" s="558">
        <v>20</v>
      </c>
      <c r="T56" s="120" t="str">
        <f t="shared" si="31"/>
        <v/>
      </c>
      <c r="U56" t="str">
        <f t="shared" si="32"/>
        <v/>
      </c>
      <c r="AB56" s="558">
        <v>20</v>
      </c>
      <c r="AC56" s="120" t="str">
        <f t="shared" si="33"/>
        <v/>
      </c>
      <c r="AD56" t="str">
        <f t="shared" si="34"/>
        <v/>
      </c>
      <c r="AK56" s="558">
        <v>20</v>
      </c>
      <c r="AL56" s="120" t="str">
        <f t="shared" si="35"/>
        <v/>
      </c>
      <c r="AM56" t="str">
        <f t="shared" si="36"/>
        <v/>
      </c>
      <c r="AO56" s="120"/>
      <c r="AT56" s="558">
        <v>20</v>
      </c>
      <c r="AU56" s="120" t="str">
        <f t="shared" si="37"/>
        <v/>
      </c>
      <c r="AV56" t="str">
        <f t="shared" si="38"/>
        <v/>
      </c>
      <c r="AX56" s="558"/>
      <c r="AY56" s="120"/>
      <c r="BC56" s="558">
        <v>20</v>
      </c>
      <c r="BD56" s="120" t="str">
        <f t="shared" si="39"/>
        <v/>
      </c>
      <c r="BE56" t="str">
        <f t="shared" si="40"/>
        <v/>
      </c>
      <c r="BL56" s="558">
        <v>20</v>
      </c>
      <c r="BM56" s="120" t="str">
        <f t="shared" si="41"/>
        <v/>
      </c>
      <c r="BN56" t="str">
        <f t="shared" si="42"/>
        <v/>
      </c>
      <c r="BU56" s="558">
        <v>20</v>
      </c>
      <c r="BV56" s="120" t="str">
        <f t="shared" si="43"/>
        <v/>
      </c>
      <c r="BW56" t="str">
        <f t="shared" si="44"/>
        <v/>
      </c>
      <c r="CC56" s="558">
        <v>20</v>
      </c>
      <c r="CD56" s="120" t="str">
        <f t="shared" si="45"/>
        <v/>
      </c>
      <c r="CE56" t="str">
        <f t="shared" si="46"/>
        <v/>
      </c>
      <c r="CL56">
        <f t="shared" si="20"/>
        <v>0</v>
      </c>
      <c r="CM56">
        <f>IF(CL56=0,0,1+COUNTIF(CM$6:CM55,"&gt;0"))</f>
        <v>0</v>
      </c>
      <c r="CN56">
        <f t="shared" si="21"/>
        <v>0</v>
      </c>
      <c r="CO56">
        <f>IF(CN56=0,0,1+COUNTIF(CO$6:CO55,"&gt;0"))</f>
        <v>0</v>
      </c>
      <c r="CP56">
        <f t="shared" si="22"/>
        <v>0</v>
      </c>
      <c r="CQ56">
        <f>IF(CP56=0,0,1+COUNTIF(CQ$6:CQ55,"&gt;0"))</f>
        <v>0</v>
      </c>
      <c r="CR56">
        <f t="shared" si="23"/>
        <v>0</v>
      </c>
      <c r="CS56">
        <f>IF(CR56=0,0,1+COUNTIF(CS$6:CS55,"&gt;0"))</f>
        <v>0</v>
      </c>
      <c r="CT56">
        <f t="shared" si="24"/>
        <v>0</v>
      </c>
      <c r="CU56">
        <f>IF(CT56=0,0,1+COUNTIF(CU$6:CU55,"&gt;0"))</f>
        <v>0</v>
      </c>
      <c r="CV56">
        <f t="shared" si="25"/>
        <v>0</v>
      </c>
      <c r="CW56">
        <f>IF(CV56=0,0,1+COUNTIF(CW$6:CW55,"&gt;0"))</f>
        <v>0</v>
      </c>
      <c r="CX56">
        <f t="shared" si="26"/>
        <v>0</v>
      </c>
      <c r="CY56">
        <f>IF(CX56=0,0,1+COUNTIF(CY$6:CY55,"&gt;0"))</f>
        <v>0</v>
      </c>
      <c r="CZ56">
        <f t="shared" si="27"/>
        <v>0</v>
      </c>
      <c r="DA56">
        <f>IF(CZ56=0,0,1+COUNTIF(DA$6:DA55,"&gt;0"))</f>
        <v>0</v>
      </c>
      <c r="DB56">
        <f t="shared" si="28"/>
        <v>0</v>
      </c>
      <c r="DC56">
        <f>IF(DB56=0,0,1+COUNTIF(DC$6:DC55,"&gt;0"))</f>
        <v>0</v>
      </c>
    </row>
    <row r="57" spans="2:107" x14ac:dyDescent="0.25">
      <c r="B57" s="1062"/>
      <c r="C57" s="1062"/>
      <c r="D57" s="1062"/>
      <c r="E57" s="1062"/>
      <c r="F57" s="1062"/>
      <c r="G57" s="1062"/>
      <c r="H57" s="1062"/>
      <c r="I57" s="590"/>
      <c r="J57" s="558">
        <v>21</v>
      </c>
      <c r="K57" s="120" t="str">
        <f t="shared" si="29"/>
        <v/>
      </c>
      <c r="L57" t="str">
        <f t="shared" si="30"/>
        <v/>
      </c>
      <c r="S57" s="558">
        <v>21</v>
      </c>
      <c r="T57" s="120" t="str">
        <f t="shared" si="31"/>
        <v/>
      </c>
      <c r="U57" t="str">
        <f t="shared" si="32"/>
        <v/>
      </c>
      <c r="AB57" s="558">
        <v>21</v>
      </c>
      <c r="AC57" s="120" t="str">
        <f t="shared" si="33"/>
        <v/>
      </c>
      <c r="AD57" t="str">
        <f t="shared" si="34"/>
        <v/>
      </c>
      <c r="AK57" s="558">
        <v>21</v>
      </c>
      <c r="AL57" s="120" t="str">
        <f t="shared" si="35"/>
        <v/>
      </c>
      <c r="AM57" t="str">
        <f t="shared" si="36"/>
        <v/>
      </c>
      <c r="AO57" s="120"/>
      <c r="AT57" s="558">
        <v>21</v>
      </c>
      <c r="AU57" s="120" t="str">
        <f t="shared" si="37"/>
        <v/>
      </c>
      <c r="AV57" t="str">
        <f t="shared" si="38"/>
        <v/>
      </c>
      <c r="AX57" s="558"/>
      <c r="AY57" s="120"/>
      <c r="BC57" s="558">
        <v>21</v>
      </c>
      <c r="BD57" s="120" t="str">
        <f t="shared" si="39"/>
        <v/>
      </c>
      <c r="BE57" t="str">
        <f t="shared" si="40"/>
        <v/>
      </c>
      <c r="BL57" s="558">
        <v>21</v>
      </c>
      <c r="BM57" s="120" t="str">
        <f t="shared" si="41"/>
        <v/>
      </c>
      <c r="BN57" t="str">
        <f t="shared" si="42"/>
        <v/>
      </c>
      <c r="BU57" s="558">
        <v>21</v>
      </c>
      <c r="BV57" s="120" t="str">
        <f t="shared" si="43"/>
        <v/>
      </c>
      <c r="BW57" t="str">
        <f t="shared" si="44"/>
        <v/>
      </c>
      <c r="CC57" s="558">
        <v>21</v>
      </c>
      <c r="CD57" s="120" t="str">
        <f t="shared" si="45"/>
        <v/>
      </c>
      <c r="CE57" t="str">
        <f t="shared" si="46"/>
        <v/>
      </c>
      <c r="CL57">
        <f t="shared" si="20"/>
        <v>0</v>
      </c>
      <c r="CM57">
        <f>IF(CL57=0,0,1+COUNTIF(CM$6:CM56,"&gt;0"))</f>
        <v>0</v>
      </c>
      <c r="CN57">
        <f t="shared" si="21"/>
        <v>0</v>
      </c>
      <c r="CO57">
        <f>IF(CN57=0,0,1+COUNTIF(CO$6:CO56,"&gt;0"))</f>
        <v>0</v>
      </c>
      <c r="CP57">
        <f t="shared" si="22"/>
        <v>0</v>
      </c>
      <c r="CQ57">
        <f>IF(CP57=0,0,1+COUNTIF(CQ$6:CQ56,"&gt;0"))</f>
        <v>0</v>
      </c>
      <c r="CR57">
        <f t="shared" si="23"/>
        <v>0</v>
      </c>
      <c r="CS57">
        <f>IF(CR57=0,0,1+COUNTIF(CS$6:CS56,"&gt;0"))</f>
        <v>0</v>
      </c>
      <c r="CT57">
        <f t="shared" si="24"/>
        <v>0</v>
      </c>
      <c r="CU57">
        <f>IF(CT57=0,0,1+COUNTIF(CU$6:CU56,"&gt;0"))</f>
        <v>0</v>
      </c>
      <c r="CV57">
        <f t="shared" si="25"/>
        <v>0</v>
      </c>
      <c r="CW57">
        <f>IF(CV57=0,0,1+COUNTIF(CW$6:CW56,"&gt;0"))</f>
        <v>0</v>
      </c>
      <c r="CX57">
        <f t="shared" si="26"/>
        <v>0</v>
      </c>
      <c r="CY57">
        <f>IF(CX57=0,0,1+COUNTIF(CY$6:CY56,"&gt;0"))</f>
        <v>0</v>
      </c>
      <c r="CZ57">
        <f t="shared" si="27"/>
        <v>0</v>
      </c>
      <c r="DA57">
        <f>IF(CZ57=0,0,1+COUNTIF(DA$6:DA56,"&gt;0"))</f>
        <v>0</v>
      </c>
      <c r="DB57">
        <f t="shared" si="28"/>
        <v>0</v>
      </c>
      <c r="DC57">
        <f>IF(DB57=0,0,1+COUNTIF(DC$6:DC56,"&gt;0"))</f>
        <v>0</v>
      </c>
    </row>
    <row r="58" spans="2:107" x14ac:dyDescent="0.25">
      <c r="B58" s="1062"/>
      <c r="C58" s="1062"/>
      <c r="D58" s="1062"/>
      <c r="E58" s="1062"/>
      <c r="F58" s="1062"/>
      <c r="G58" s="1062"/>
      <c r="H58" s="1062"/>
      <c r="I58" s="590"/>
      <c r="J58" s="558">
        <v>22</v>
      </c>
      <c r="K58" s="120" t="str">
        <f t="shared" si="29"/>
        <v/>
      </c>
      <c r="L58" t="str">
        <f t="shared" si="30"/>
        <v/>
      </c>
      <c r="S58" s="558">
        <v>22</v>
      </c>
      <c r="T58" s="120" t="str">
        <f t="shared" si="31"/>
        <v/>
      </c>
      <c r="U58" t="str">
        <f t="shared" si="32"/>
        <v/>
      </c>
      <c r="AB58" s="558">
        <v>22</v>
      </c>
      <c r="AC58" s="120" t="str">
        <f t="shared" si="33"/>
        <v/>
      </c>
      <c r="AD58" t="str">
        <f t="shared" si="34"/>
        <v/>
      </c>
      <c r="AK58" s="558">
        <v>22</v>
      </c>
      <c r="AL58" s="120" t="str">
        <f t="shared" si="35"/>
        <v/>
      </c>
      <c r="AM58" t="str">
        <f t="shared" si="36"/>
        <v/>
      </c>
      <c r="AO58" s="120"/>
      <c r="AT58" s="558">
        <v>22</v>
      </c>
      <c r="AU58" s="120" t="str">
        <f t="shared" si="37"/>
        <v/>
      </c>
      <c r="AV58" t="str">
        <f t="shared" si="38"/>
        <v/>
      </c>
      <c r="AX58" s="558"/>
      <c r="AY58" s="120"/>
      <c r="BC58" s="558">
        <v>22</v>
      </c>
      <c r="BD58" s="120" t="str">
        <f t="shared" si="39"/>
        <v/>
      </c>
      <c r="BE58" t="str">
        <f t="shared" si="40"/>
        <v/>
      </c>
      <c r="BL58" s="558">
        <v>22</v>
      </c>
      <c r="BM58" s="120" t="str">
        <f t="shared" si="41"/>
        <v/>
      </c>
      <c r="BN58" t="str">
        <f t="shared" si="42"/>
        <v/>
      </c>
      <c r="BU58" s="558">
        <v>22</v>
      </c>
      <c r="BV58" s="120" t="str">
        <f t="shared" si="43"/>
        <v/>
      </c>
      <c r="BW58" t="str">
        <f t="shared" si="44"/>
        <v/>
      </c>
      <c r="CC58" s="558">
        <v>22</v>
      </c>
      <c r="CD58" s="120" t="str">
        <f t="shared" si="45"/>
        <v/>
      </c>
      <c r="CE58" t="str">
        <f t="shared" si="46"/>
        <v/>
      </c>
      <c r="CL58">
        <f t="shared" si="20"/>
        <v>0</v>
      </c>
      <c r="CM58">
        <f>IF(CL58=0,0,1+COUNTIF(CM$6:CM57,"&gt;0"))</f>
        <v>0</v>
      </c>
      <c r="CN58">
        <f t="shared" si="21"/>
        <v>0</v>
      </c>
      <c r="CO58">
        <f>IF(CN58=0,0,1+COUNTIF(CO$6:CO57,"&gt;0"))</f>
        <v>0</v>
      </c>
      <c r="CP58">
        <f t="shared" si="22"/>
        <v>0</v>
      </c>
      <c r="CQ58">
        <f>IF(CP58=0,0,1+COUNTIF(CQ$6:CQ57,"&gt;0"))</f>
        <v>0</v>
      </c>
      <c r="CR58">
        <f t="shared" si="23"/>
        <v>0</v>
      </c>
      <c r="CS58">
        <f>IF(CR58=0,0,1+COUNTIF(CS$6:CS57,"&gt;0"))</f>
        <v>0</v>
      </c>
      <c r="CT58">
        <f t="shared" si="24"/>
        <v>0</v>
      </c>
      <c r="CU58">
        <f>IF(CT58=0,0,1+COUNTIF(CU$6:CU57,"&gt;0"))</f>
        <v>0</v>
      </c>
      <c r="CV58">
        <f t="shared" si="25"/>
        <v>0</v>
      </c>
      <c r="CW58">
        <f>IF(CV58=0,0,1+COUNTIF(CW$6:CW57,"&gt;0"))</f>
        <v>0</v>
      </c>
      <c r="CX58">
        <f t="shared" si="26"/>
        <v>0</v>
      </c>
      <c r="CY58">
        <f>IF(CX58=0,0,1+COUNTIF(CY$6:CY57,"&gt;0"))</f>
        <v>0</v>
      </c>
      <c r="CZ58">
        <f t="shared" si="27"/>
        <v>0</v>
      </c>
      <c r="DA58">
        <f>IF(CZ58=0,0,1+COUNTIF(DA$6:DA57,"&gt;0"))</f>
        <v>0</v>
      </c>
      <c r="DB58">
        <f t="shared" si="28"/>
        <v>0</v>
      </c>
      <c r="DC58">
        <f>IF(DB58=0,0,1+COUNTIF(DC$6:DC57,"&gt;0"))</f>
        <v>0</v>
      </c>
    </row>
    <row r="59" spans="2:107" x14ac:dyDescent="0.25">
      <c r="B59" s="1062"/>
      <c r="C59" s="1062"/>
      <c r="D59" s="1062"/>
      <c r="E59" s="1062"/>
      <c r="F59" s="1062"/>
      <c r="G59" s="1062"/>
      <c r="H59" s="1062"/>
      <c r="I59" s="590"/>
      <c r="J59" s="558">
        <v>23</v>
      </c>
      <c r="K59" s="120" t="str">
        <f t="shared" si="29"/>
        <v/>
      </c>
      <c r="L59" t="str">
        <f t="shared" si="30"/>
        <v/>
      </c>
      <c r="S59" s="558">
        <v>23</v>
      </c>
      <c r="T59" s="120" t="str">
        <f t="shared" si="31"/>
        <v/>
      </c>
      <c r="U59" t="str">
        <f t="shared" si="32"/>
        <v/>
      </c>
      <c r="AB59" s="558">
        <v>23</v>
      </c>
      <c r="AC59" s="120" t="str">
        <f t="shared" si="33"/>
        <v/>
      </c>
      <c r="AD59" t="str">
        <f t="shared" si="34"/>
        <v/>
      </c>
      <c r="AK59" s="558">
        <v>23</v>
      </c>
      <c r="AL59" s="120" t="str">
        <f t="shared" si="35"/>
        <v/>
      </c>
      <c r="AM59" t="str">
        <f t="shared" si="36"/>
        <v/>
      </c>
      <c r="AO59" s="120"/>
      <c r="AT59" s="558">
        <v>23</v>
      </c>
      <c r="AU59" s="120" t="str">
        <f t="shared" si="37"/>
        <v/>
      </c>
      <c r="AV59" t="str">
        <f t="shared" si="38"/>
        <v/>
      </c>
      <c r="AX59" s="558"/>
      <c r="AY59" s="120"/>
      <c r="BC59" s="558">
        <v>23</v>
      </c>
      <c r="BD59" s="120" t="str">
        <f t="shared" si="39"/>
        <v/>
      </c>
      <c r="BE59" t="str">
        <f t="shared" si="40"/>
        <v/>
      </c>
      <c r="BL59" s="558">
        <v>23</v>
      </c>
      <c r="BM59" s="120" t="str">
        <f t="shared" si="41"/>
        <v/>
      </c>
      <c r="BN59" t="str">
        <f t="shared" si="42"/>
        <v/>
      </c>
      <c r="BU59" s="558">
        <v>23</v>
      </c>
      <c r="BV59" s="120" t="str">
        <f t="shared" si="43"/>
        <v/>
      </c>
      <c r="BW59" t="str">
        <f t="shared" si="44"/>
        <v/>
      </c>
      <c r="CC59" s="558">
        <v>23</v>
      </c>
      <c r="CD59" s="120" t="str">
        <f t="shared" si="45"/>
        <v/>
      </c>
      <c r="CE59" t="str">
        <f t="shared" si="46"/>
        <v/>
      </c>
      <c r="CL59">
        <f t="shared" si="20"/>
        <v>0</v>
      </c>
      <c r="CM59">
        <f>IF(CL59=0,0,1+COUNTIF(CM$6:CM58,"&gt;0"))</f>
        <v>0</v>
      </c>
      <c r="CN59">
        <f t="shared" si="21"/>
        <v>0</v>
      </c>
      <c r="CO59">
        <f>IF(CN59=0,0,1+COUNTIF(CO$6:CO58,"&gt;0"))</f>
        <v>0</v>
      </c>
      <c r="CP59">
        <f t="shared" si="22"/>
        <v>0</v>
      </c>
      <c r="CQ59">
        <f>IF(CP59=0,0,1+COUNTIF(CQ$6:CQ58,"&gt;0"))</f>
        <v>0</v>
      </c>
      <c r="CR59">
        <f t="shared" si="23"/>
        <v>0</v>
      </c>
      <c r="CS59">
        <f>IF(CR59=0,0,1+COUNTIF(CS$6:CS58,"&gt;0"))</f>
        <v>0</v>
      </c>
      <c r="CT59">
        <f t="shared" si="24"/>
        <v>0</v>
      </c>
      <c r="CU59">
        <f>IF(CT59=0,0,1+COUNTIF(CU$6:CU58,"&gt;0"))</f>
        <v>0</v>
      </c>
      <c r="CV59">
        <f t="shared" si="25"/>
        <v>0</v>
      </c>
      <c r="CW59">
        <f>IF(CV59=0,0,1+COUNTIF(CW$6:CW58,"&gt;0"))</f>
        <v>0</v>
      </c>
      <c r="CX59">
        <f t="shared" si="26"/>
        <v>0</v>
      </c>
      <c r="CY59">
        <f>IF(CX59=0,0,1+COUNTIF(CY$6:CY58,"&gt;0"))</f>
        <v>0</v>
      </c>
      <c r="CZ59">
        <f t="shared" si="27"/>
        <v>0</v>
      </c>
      <c r="DA59">
        <f>IF(CZ59=0,0,1+COUNTIF(DA$6:DA58,"&gt;0"))</f>
        <v>0</v>
      </c>
      <c r="DB59">
        <f t="shared" si="28"/>
        <v>0</v>
      </c>
      <c r="DC59">
        <f>IF(DB59=0,0,1+COUNTIF(DC$6:DC58,"&gt;0"))</f>
        <v>0</v>
      </c>
    </row>
    <row r="60" spans="2:107" x14ac:dyDescent="0.25">
      <c r="B60" s="1062"/>
      <c r="C60" s="1062"/>
      <c r="D60" s="1062"/>
      <c r="E60" s="1062"/>
      <c r="F60" s="1062"/>
      <c r="G60" s="1062"/>
      <c r="H60" s="1062"/>
      <c r="I60" s="590"/>
      <c r="J60" s="558">
        <v>24</v>
      </c>
      <c r="K60" s="120" t="str">
        <f t="shared" si="29"/>
        <v/>
      </c>
      <c r="L60" t="str">
        <f t="shared" si="30"/>
        <v/>
      </c>
      <c r="S60" s="558">
        <v>24</v>
      </c>
      <c r="T60" s="120" t="str">
        <f t="shared" si="31"/>
        <v/>
      </c>
      <c r="U60" t="str">
        <f t="shared" si="32"/>
        <v/>
      </c>
      <c r="AB60" s="558">
        <v>24</v>
      </c>
      <c r="AC60" s="120" t="str">
        <f t="shared" si="33"/>
        <v/>
      </c>
      <c r="AD60" t="str">
        <f t="shared" si="34"/>
        <v/>
      </c>
      <c r="AK60" s="558">
        <v>24</v>
      </c>
      <c r="AL60" s="120" t="str">
        <f t="shared" si="35"/>
        <v/>
      </c>
      <c r="AM60" t="str">
        <f t="shared" si="36"/>
        <v/>
      </c>
      <c r="AO60" s="120"/>
      <c r="AT60" s="558">
        <v>24</v>
      </c>
      <c r="AU60" s="120" t="str">
        <f t="shared" si="37"/>
        <v/>
      </c>
      <c r="AV60" t="str">
        <f t="shared" si="38"/>
        <v/>
      </c>
      <c r="AX60" s="558"/>
      <c r="AY60" s="120"/>
      <c r="BC60" s="558">
        <v>24</v>
      </c>
      <c r="BD60" s="120" t="str">
        <f t="shared" si="39"/>
        <v/>
      </c>
      <c r="BE60" t="str">
        <f t="shared" si="40"/>
        <v/>
      </c>
      <c r="BL60" s="558">
        <v>24</v>
      </c>
      <c r="BM60" s="120" t="str">
        <f t="shared" si="41"/>
        <v/>
      </c>
      <c r="BN60" t="str">
        <f t="shared" si="42"/>
        <v/>
      </c>
      <c r="BU60" s="558">
        <v>24</v>
      </c>
      <c r="BV60" s="120" t="str">
        <f t="shared" si="43"/>
        <v/>
      </c>
      <c r="BW60" t="str">
        <f t="shared" si="44"/>
        <v/>
      </c>
      <c r="CC60" s="558">
        <v>24</v>
      </c>
      <c r="CD60" s="120" t="str">
        <f t="shared" si="45"/>
        <v/>
      </c>
      <c r="CE60" t="str">
        <f t="shared" si="46"/>
        <v/>
      </c>
      <c r="CL60">
        <f t="shared" si="20"/>
        <v>0</v>
      </c>
      <c r="CM60">
        <f>IF(CL60=0,0,1+COUNTIF(CM$6:CM59,"&gt;0"))</f>
        <v>0</v>
      </c>
      <c r="CN60">
        <f t="shared" si="21"/>
        <v>0</v>
      </c>
      <c r="CO60">
        <f>IF(CN60=0,0,1+COUNTIF(CO$6:CO59,"&gt;0"))</f>
        <v>0</v>
      </c>
      <c r="CP60">
        <f t="shared" si="22"/>
        <v>0</v>
      </c>
      <c r="CQ60">
        <f>IF(CP60=0,0,1+COUNTIF(CQ$6:CQ59,"&gt;0"))</f>
        <v>0</v>
      </c>
      <c r="CR60">
        <f t="shared" si="23"/>
        <v>0</v>
      </c>
      <c r="CS60">
        <f>IF(CR60=0,0,1+COUNTIF(CS$6:CS59,"&gt;0"))</f>
        <v>0</v>
      </c>
      <c r="CT60">
        <f t="shared" si="24"/>
        <v>0</v>
      </c>
      <c r="CU60">
        <f>IF(CT60=0,0,1+COUNTIF(CU$6:CU59,"&gt;0"))</f>
        <v>0</v>
      </c>
      <c r="CV60">
        <f t="shared" si="25"/>
        <v>0</v>
      </c>
      <c r="CW60">
        <f>IF(CV60=0,0,1+COUNTIF(CW$6:CW59,"&gt;0"))</f>
        <v>0</v>
      </c>
      <c r="CX60">
        <f t="shared" si="26"/>
        <v>0</v>
      </c>
      <c r="CY60">
        <f>IF(CX60=0,0,1+COUNTIF(CY$6:CY59,"&gt;0"))</f>
        <v>0</v>
      </c>
      <c r="CZ60">
        <f t="shared" si="27"/>
        <v>0</v>
      </c>
      <c r="DA60">
        <f>IF(CZ60=0,0,1+COUNTIF(DA$6:DA59,"&gt;0"))</f>
        <v>0</v>
      </c>
      <c r="DB60">
        <f t="shared" si="28"/>
        <v>0</v>
      </c>
      <c r="DC60">
        <f>IF(DB60=0,0,1+COUNTIF(DC$6:DC59,"&gt;0"))</f>
        <v>0</v>
      </c>
    </row>
    <row r="61" spans="2:107" x14ac:dyDescent="0.25">
      <c r="B61" s="1062"/>
      <c r="C61" s="1062"/>
      <c r="D61" s="1062"/>
      <c r="E61" s="1062"/>
      <c r="F61" s="1062"/>
      <c r="G61" s="1062"/>
      <c r="H61" s="1062"/>
      <c r="I61" s="590"/>
      <c r="J61" s="558">
        <v>25</v>
      </c>
      <c r="K61" s="120" t="str">
        <f t="shared" si="29"/>
        <v/>
      </c>
      <c r="L61" t="str">
        <f t="shared" si="30"/>
        <v/>
      </c>
      <c r="S61" s="558">
        <v>25</v>
      </c>
      <c r="T61" s="120" t="str">
        <f t="shared" si="31"/>
        <v/>
      </c>
      <c r="U61" t="str">
        <f t="shared" si="32"/>
        <v/>
      </c>
      <c r="AB61" s="558">
        <v>25</v>
      </c>
      <c r="AC61" s="120" t="str">
        <f t="shared" si="33"/>
        <v/>
      </c>
      <c r="AD61" t="str">
        <f t="shared" si="34"/>
        <v/>
      </c>
      <c r="AK61" s="558">
        <v>25</v>
      </c>
      <c r="AL61" s="120" t="str">
        <f t="shared" si="35"/>
        <v/>
      </c>
      <c r="AM61" t="str">
        <f t="shared" si="36"/>
        <v/>
      </c>
      <c r="AO61" s="120"/>
      <c r="AT61" s="558">
        <v>25</v>
      </c>
      <c r="AU61" s="120" t="str">
        <f t="shared" si="37"/>
        <v/>
      </c>
      <c r="AV61" t="str">
        <f t="shared" si="38"/>
        <v/>
      </c>
      <c r="AX61" s="558"/>
      <c r="AY61" s="120"/>
      <c r="BC61" s="558">
        <v>25</v>
      </c>
      <c r="BD61" s="120" t="str">
        <f t="shared" si="39"/>
        <v/>
      </c>
      <c r="BE61" t="str">
        <f t="shared" si="40"/>
        <v/>
      </c>
      <c r="BL61" s="558">
        <v>25</v>
      </c>
      <c r="BM61" s="120" t="str">
        <f t="shared" si="41"/>
        <v/>
      </c>
      <c r="BN61" t="str">
        <f t="shared" si="42"/>
        <v/>
      </c>
      <c r="BU61" s="558">
        <v>25</v>
      </c>
      <c r="BV61" s="120" t="str">
        <f t="shared" si="43"/>
        <v/>
      </c>
      <c r="BW61" t="str">
        <f t="shared" si="44"/>
        <v/>
      </c>
      <c r="CC61" s="558">
        <v>25</v>
      </c>
      <c r="CD61" s="120" t="str">
        <f t="shared" si="45"/>
        <v/>
      </c>
      <c r="CE61" t="str">
        <f t="shared" si="46"/>
        <v/>
      </c>
      <c r="CL61">
        <f t="shared" si="20"/>
        <v>0</v>
      </c>
      <c r="CM61">
        <f>IF(CL61=0,0,1+COUNTIF(CM$6:CM60,"&gt;0"))</f>
        <v>0</v>
      </c>
      <c r="CN61">
        <f t="shared" si="21"/>
        <v>0</v>
      </c>
      <c r="CO61">
        <f>IF(CN61=0,0,1+COUNTIF(CO$6:CO60,"&gt;0"))</f>
        <v>0</v>
      </c>
      <c r="CP61">
        <f t="shared" si="22"/>
        <v>0</v>
      </c>
      <c r="CQ61">
        <f>IF(CP61=0,0,1+COUNTIF(CQ$6:CQ60,"&gt;0"))</f>
        <v>0</v>
      </c>
      <c r="CR61">
        <f t="shared" si="23"/>
        <v>0</v>
      </c>
      <c r="CS61">
        <f>IF(CR61=0,0,1+COUNTIF(CS$6:CS60,"&gt;0"))</f>
        <v>0</v>
      </c>
      <c r="CT61">
        <f t="shared" si="24"/>
        <v>0</v>
      </c>
      <c r="CU61">
        <f>IF(CT61=0,0,1+COUNTIF(CU$6:CU60,"&gt;0"))</f>
        <v>0</v>
      </c>
      <c r="CV61">
        <f t="shared" si="25"/>
        <v>0</v>
      </c>
      <c r="CW61">
        <f>IF(CV61=0,0,1+COUNTIF(CW$6:CW60,"&gt;0"))</f>
        <v>0</v>
      </c>
      <c r="CX61">
        <f t="shared" si="26"/>
        <v>0</v>
      </c>
      <c r="CY61">
        <f>IF(CX61=0,0,1+COUNTIF(CY$6:CY60,"&gt;0"))</f>
        <v>0</v>
      </c>
      <c r="CZ61">
        <f t="shared" si="27"/>
        <v>0</v>
      </c>
      <c r="DA61">
        <f>IF(CZ61=0,0,1+COUNTIF(DA$6:DA60,"&gt;0"))</f>
        <v>0</v>
      </c>
      <c r="DB61">
        <f t="shared" si="28"/>
        <v>0</v>
      </c>
      <c r="DC61">
        <f>IF(DB61=0,0,1+COUNTIF(DC$6:DC60,"&gt;0"))</f>
        <v>0</v>
      </c>
    </row>
    <row r="62" spans="2:107" x14ac:dyDescent="0.25">
      <c r="B62" s="1062"/>
      <c r="C62" s="1062"/>
      <c r="D62" s="1062"/>
      <c r="E62" s="1062"/>
      <c r="F62" s="1062"/>
      <c r="G62" s="1062"/>
      <c r="H62" s="1062"/>
      <c r="I62" s="590"/>
      <c r="J62" s="558">
        <v>26</v>
      </c>
      <c r="K62" s="120" t="str">
        <f t="shared" si="29"/>
        <v/>
      </c>
      <c r="L62" t="str">
        <f t="shared" si="30"/>
        <v/>
      </c>
      <c r="S62" s="558">
        <v>26</v>
      </c>
      <c r="T62" s="120" t="str">
        <f t="shared" si="31"/>
        <v/>
      </c>
      <c r="U62" t="str">
        <f t="shared" si="32"/>
        <v/>
      </c>
      <c r="AB62" s="558">
        <v>26</v>
      </c>
      <c r="AC62" s="120" t="str">
        <f t="shared" si="33"/>
        <v/>
      </c>
      <c r="AD62" t="str">
        <f t="shared" si="34"/>
        <v/>
      </c>
      <c r="AK62" s="558">
        <v>26</v>
      </c>
      <c r="AL62" s="120" t="str">
        <f t="shared" si="35"/>
        <v/>
      </c>
      <c r="AM62" t="str">
        <f t="shared" si="36"/>
        <v/>
      </c>
      <c r="AO62" s="120"/>
      <c r="AT62" s="558">
        <v>26</v>
      </c>
      <c r="AU62" s="120" t="str">
        <f t="shared" si="37"/>
        <v/>
      </c>
      <c r="AV62" t="str">
        <f t="shared" si="38"/>
        <v/>
      </c>
      <c r="AX62" s="558"/>
      <c r="AY62" s="120"/>
      <c r="BC62" s="558">
        <v>26</v>
      </c>
      <c r="BD62" s="120" t="str">
        <f t="shared" si="39"/>
        <v/>
      </c>
      <c r="BE62" t="str">
        <f t="shared" si="40"/>
        <v/>
      </c>
      <c r="BL62" s="558">
        <v>26</v>
      </c>
      <c r="BM62" s="120" t="str">
        <f t="shared" si="41"/>
        <v/>
      </c>
      <c r="BN62" t="str">
        <f t="shared" si="42"/>
        <v/>
      </c>
      <c r="BU62" s="558">
        <v>26</v>
      </c>
      <c r="BV62" s="120" t="str">
        <f t="shared" si="43"/>
        <v/>
      </c>
      <c r="BW62" t="str">
        <f t="shared" si="44"/>
        <v/>
      </c>
      <c r="CC62" s="558">
        <v>26</v>
      </c>
      <c r="CD62" s="120" t="str">
        <f t="shared" si="45"/>
        <v/>
      </c>
      <c r="CE62" t="str">
        <f t="shared" si="46"/>
        <v/>
      </c>
      <c r="CL62">
        <f t="shared" si="20"/>
        <v>0</v>
      </c>
      <c r="CM62">
        <f>IF(CL62=0,0,1+COUNTIF(CM$6:CM61,"&gt;0"))</f>
        <v>0</v>
      </c>
      <c r="CN62">
        <f t="shared" si="21"/>
        <v>0</v>
      </c>
      <c r="CO62">
        <f>IF(CN62=0,0,1+COUNTIF(CO$6:CO61,"&gt;0"))</f>
        <v>0</v>
      </c>
      <c r="CP62">
        <f t="shared" si="22"/>
        <v>0</v>
      </c>
      <c r="CQ62">
        <f>IF(CP62=0,0,1+COUNTIF(CQ$6:CQ61,"&gt;0"))</f>
        <v>0</v>
      </c>
      <c r="CR62">
        <f t="shared" si="23"/>
        <v>0</v>
      </c>
      <c r="CS62">
        <f>IF(CR62=0,0,1+COUNTIF(CS$6:CS61,"&gt;0"))</f>
        <v>0</v>
      </c>
      <c r="CT62">
        <f t="shared" si="24"/>
        <v>0</v>
      </c>
      <c r="CU62">
        <f>IF(CT62=0,0,1+COUNTIF(CU$6:CU61,"&gt;0"))</f>
        <v>0</v>
      </c>
      <c r="CV62">
        <f t="shared" si="25"/>
        <v>0</v>
      </c>
      <c r="CW62">
        <f>IF(CV62=0,0,1+COUNTIF(CW$6:CW61,"&gt;0"))</f>
        <v>0</v>
      </c>
      <c r="CX62">
        <f t="shared" si="26"/>
        <v>0</v>
      </c>
      <c r="CY62">
        <f>IF(CX62=0,0,1+COUNTIF(CY$6:CY61,"&gt;0"))</f>
        <v>0</v>
      </c>
      <c r="CZ62">
        <f t="shared" si="27"/>
        <v>0</v>
      </c>
      <c r="DA62">
        <f>IF(CZ62=0,0,1+COUNTIF(DA$6:DA61,"&gt;0"))</f>
        <v>0</v>
      </c>
      <c r="DB62">
        <f t="shared" si="28"/>
        <v>0</v>
      </c>
      <c r="DC62">
        <f>IF(DB62=0,0,1+COUNTIF(DC$6:DC61,"&gt;0"))</f>
        <v>0</v>
      </c>
    </row>
    <row r="63" spans="2:107" x14ac:dyDescent="0.25">
      <c r="B63" s="1062"/>
      <c r="C63" s="1062"/>
      <c r="D63" s="1062"/>
      <c r="E63" s="1062"/>
      <c r="F63" s="1062"/>
      <c r="G63" s="1062"/>
      <c r="H63" s="1062"/>
      <c r="I63" s="590"/>
      <c r="J63" s="558">
        <v>27</v>
      </c>
      <c r="K63" s="120" t="str">
        <f t="shared" si="29"/>
        <v/>
      </c>
      <c r="L63" t="str">
        <f t="shared" si="30"/>
        <v/>
      </c>
      <c r="S63" s="558">
        <v>27</v>
      </c>
      <c r="T63" s="120" t="str">
        <f t="shared" si="31"/>
        <v/>
      </c>
      <c r="U63" t="str">
        <f t="shared" si="32"/>
        <v/>
      </c>
      <c r="AB63" s="558">
        <v>27</v>
      </c>
      <c r="AC63" s="120" t="str">
        <f t="shared" si="33"/>
        <v/>
      </c>
      <c r="AD63" t="str">
        <f t="shared" si="34"/>
        <v/>
      </c>
      <c r="AK63" s="558">
        <v>27</v>
      </c>
      <c r="AL63" s="120" t="str">
        <f t="shared" si="35"/>
        <v/>
      </c>
      <c r="AM63" t="str">
        <f t="shared" si="36"/>
        <v/>
      </c>
      <c r="AO63" s="120"/>
      <c r="AT63" s="558">
        <v>27</v>
      </c>
      <c r="AU63" s="120" t="str">
        <f t="shared" si="37"/>
        <v/>
      </c>
      <c r="AV63" t="str">
        <f t="shared" si="38"/>
        <v/>
      </c>
      <c r="AX63" s="558"/>
      <c r="AY63" s="120"/>
      <c r="BC63" s="558">
        <v>27</v>
      </c>
      <c r="BD63" s="120" t="str">
        <f t="shared" si="39"/>
        <v/>
      </c>
      <c r="BE63" t="str">
        <f t="shared" si="40"/>
        <v/>
      </c>
      <c r="BL63" s="558">
        <v>27</v>
      </c>
      <c r="BM63" s="120" t="str">
        <f t="shared" si="41"/>
        <v/>
      </c>
      <c r="BN63" t="str">
        <f t="shared" si="42"/>
        <v/>
      </c>
      <c r="BU63" s="558">
        <v>27</v>
      </c>
      <c r="BV63" s="120" t="str">
        <f t="shared" si="43"/>
        <v/>
      </c>
      <c r="BW63" t="str">
        <f t="shared" si="44"/>
        <v/>
      </c>
      <c r="CC63" s="558">
        <v>27</v>
      </c>
      <c r="CD63" s="120" t="str">
        <f t="shared" si="45"/>
        <v/>
      </c>
      <c r="CE63" t="str">
        <f t="shared" si="46"/>
        <v/>
      </c>
      <c r="CL63">
        <f t="shared" si="20"/>
        <v>0</v>
      </c>
      <c r="CM63">
        <f>IF(CL63=0,0,1+COUNTIF(CM$6:CM62,"&gt;0"))</f>
        <v>0</v>
      </c>
      <c r="CN63">
        <f t="shared" si="21"/>
        <v>0</v>
      </c>
      <c r="CO63">
        <f>IF(CN63=0,0,1+COUNTIF(CO$6:CO62,"&gt;0"))</f>
        <v>0</v>
      </c>
      <c r="CP63">
        <f t="shared" si="22"/>
        <v>0</v>
      </c>
      <c r="CQ63">
        <f>IF(CP63=0,0,1+COUNTIF(CQ$6:CQ62,"&gt;0"))</f>
        <v>0</v>
      </c>
      <c r="CR63">
        <f t="shared" si="23"/>
        <v>0</v>
      </c>
      <c r="CS63">
        <f>IF(CR63=0,0,1+COUNTIF(CS$6:CS62,"&gt;0"))</f>
        <v>0</v>
      </c>
      <c r="CT63">
        <f t="shared" si="24"/>
        <v>0</v>
      </c>
      <c r="CU63">
        <f>IF(CT63=0,0,1+COUNTIF(CU$6:CU62,"&gt;0"))</f>
        <v>0</v>
      </c>
      <c r="CV63">
        <f t="shared" si="25"/>
        <v>0</v>
      </c>
      <c r="CW63">
        <f>IF(CV63=0,0,1+COUNTIF(CW$6:CW62,"&gt;0"))</f>
        <v>0</v>
      </c>
      <c r="CX63">
        <f t="shared" si="26"/>
        <v>0</v>
      </c>
      <c r="CY63">
        <f>IF(CX63=0,0,1+COUNTIF(CY$6:CY62,"&gt;0"))</f>
        <v>0</v>
      </c>
      <c r="CZ63">
        <f t="shared" si="27"/>
        <v>0</v>
      </c>
      <c r="DA63">
        <f>IF(CZ63=0,0,1+COUNTIF(DA$6:DA62,"&gt;0"))</f>
        <v>0</v>
      </c>
      <c r="DB63">
        <f t="shared" si="28"/>
        <v>0</v>
      </c>
      <c r="DC63">
        <f>IF(DB63=0,0,1+COUNTIF(DC$6:DC62,"&gt;0"))</f>
        <v>0</v>
      </c>
    </row>
    <row r="64" spans="2:107" x14ac:dyDescent="0.25">
      <c r="B64" s="1062"/>
      <c r="C64" s="1062"/>
      <c r="D64" s="1062"/>
      <c r="E64" s="1062"/>
      <c r="F64" s="1062"/>
      <c r="G64" s="1062"/>
      <c r="H64" s="1062"/>
      <c r="I64" s="590"/>
      <c r="J64" s="558">
        <v>28</v>
      </c>
      <c r="K64" s="120" t="str">
        <f t="shared" si="29"/>
        <v/>
      </c>
      <c r="L64" t="str">
        <f t="shared" si="30"/>
        <v/>
      </c>
      <c r="S64" s="558">
        <v>28</v>
      </c>
      <c r="T64" s="120" t="str">
        <f t="shared" si="31"/>
        <v/>
      </c>
      <c r="U64" t="str">
        <f t="shared" si="32"/>
        <v/>
      </c>
      <c r="AB64" s="558">
        <v>28</v>
      </c>
      <c r="AC64" s="120" t="str">
        <f t="shared" si="33"/>
        <v/>
      </c>
      <c r="AD64" t="str">
        <f t="shared" si="34"/>
        <v/>
      </c>
      <c r="AK64" s="558">
        <v>28</v>
      </c>
      <c r="AL64" s="120" t="str">
        <f t="shared" si="35"/>
        <v/>
      </c>
      <c r="AM64" t="str">
        <f t="shared" si="36"/>
        <v/>
      </c>
      <c r="AO64" s="120"/>
      <c r="AT64" s="558">
        <v>28</v>
      </c>
      <c r="AU64" s="120" t="str">
        <f t="shared" si="37"/>
        <v/>
      </c>
      <c r="AV64" t="str">
        <f t="shared" si="38"/>
        <v/>
      </c>
      <c r="AX64" s="558"/>
      <c r="AY64" s="120"/>
      <c r="BC64" s="558">
        <v>28</v>
      </c>
      <c r="BD64" s="120" t="str">
        <f t="shared" si="39"/>
        <v/>
      </c>
      <c r="BE64" t="str">
        <f t="shared" si="40"/>
        <v/>
      </c>
      <c r="BL64" s="558">
        <v>28</v>
      </c>
      <c r="BM64" s="120" t="str">
        <f t="shared" si="41"/>
        <v/>
      </c>
      <c r="BN64" t="str">
        <f t="shared" si="42"/>
        <v/>
      </c>
      <c r="BU64" s="558">
        <v>28</v>
      </c>
      <c r="BV64" s="120" t="str">
        <f t="shared" si="43"/>
        <v/>
      </c>
      <c r="BW64" t="str">
        <f t="shared" si="44"/>
        <v/>
      </c>
      <c r="CC64" s="558">
        <v>28</v>
      </c>
      <c r="CD64" s="120" t="str">
        <f t="shared" si="45"/>
        <v/>
      </c>
      <c r="CE64" t="str">
        <f t="shared" si="46"/>
        <v/>
      </c>
      <c r="CL64">
        <f t="shared" si="20"/>
        <v>0</v>
      </c>
      <c r="CM64">
        <f>IF(CL64=0,0,1+COUNTIF(CM$6:CM63,"&gt;0"))</f>
        <v>0</v>
      </c>
      <c r="CN64">
        <f t="shared" si="21"/>
        <v>0</v>
      </c>
      <c r="CO64">
        <f>IF(CN64=0,0,1+COUNTIF(CO$6:CO63,"&gt;0"))</f>
        <v>0</v>
      </c>
      <c r="CP64">
        <f t="shared" si="22"/>
        <v>0</v>
      </c>
      <c r="CQ64">
        <f>IF(CP64=0,0,1+COUNTIF(CQ$6:CQ63,"&gt;0"))</f>
        <v>0</v>
      </c>
      <c r="CR64">
        <f t="shared" si="23"/>
        <v>0</v>
      </c>
      <c r="CS64">
        <f>IF(CR64=0,0,1+COUNTIF(CS$6:CS63,"&gt;0"))</f>
        <v>0</v>
      </c>
      <c r="CT64">
        <f t="shared" si="24"/>
        <v>0</v>
      </c>
      <c r="CU64">
        <f>IF(CT64=0,0,1+COUNTIF(CU$6:CU63,"&gt;0"))</f>
        <v>0</v>
      </c>
      <c r="CV64">
        <f t="shared" si="25"/>
        <v>0</v>
      </c>
      <c r="CW64">
        <f>IF(CV64=0,0,1+COUNTIF(CW$6:CW63,"&gt;0"))</f>
        <v>0</v>
      </c>
      <c r="CX64">
        <f t="shared" si="26"/>
        <v>0</v>
      </c>
      <c r="CY64">
        <f>IF(CX64=0,0,1+COUNTIF(CY$6:CY63,"&gt;0"))</f>
        <v>0</v>
      </c>
      <c r="CZ64">
        <f t="shared" si="27"/>
        <v>0</v>
      </c>
      <c r="DA64">
        <f>IF(CZ64=0,0,1+COUNTIF(DA$6:DA63,"&gt;0"))</f>
        <v>0</v>
      </c>
      <c r="DB64">
        <f t="shared" si="28"/>
        <v>0</v>
      </c>
      <c r="DC64">
        <f>IF(DB64=0,0,1+COUNTIF(DC$6:DC63,"&gt;0"))</f>
        <v>0</v>
      </c>
    </row>
    <row r="65" spans="2:107" x14ac:dyDescent="0.25">
      <c r="B65" s="1062"/>
      <c r="C65" s="1062"/>
      <c r="D65" s="1062"/>
      <c r="E65" s="1062"/>
      <c r="F65" s="1062"/>
      <c r="G65" s="1062"/>
      <c r="H65" s="1062"/>
      <c r="I65" s="590"/>
      <c r="J65" s="558">
        <v>29</v>
      </c>
      <c r="K65" s="120" t="str">
        <f t="shared" si="29"/>
        <v/>
      </c>
      <c r="L65" t="str">
        <f t="shared" si="30"/>
        <v/>
      </c>
      <c r="S65" s="558">
        <v>29</v>
      </c>
      <c r="T65" s="120" t="str">
        <f t="shared" si="31"/>
        <v/>
      </c>
      <c r="U65" t="str">
        <f t="shared" si="32"/>
        <v/>
      </c>
      <c r="AB65" s="558">
        <v>29</v>
      </c>
      <c r="AC65" s="120" t="str">
        <f t="shared" si="33"/>
        <v/>
      </c>
      <c r="AD65" t="str">
        <f t="shared" si="34"/>
        <v/>
      </c>
      <c r="AK65" s="558">
        <v>29</v>
      </c>
      <c r="AL65" s="120" t="str">
        <f t="shared" si="35"/>
        <v/>
      </c>
      <c r="AM65" t="str">
        <f t="shared" si="36"/>
        <v/>
      </c>
      <c r="AO65" s="120"/>
      <c r="AT65" s="558">
        <v>29</v>
      </c>
      <c r="AU65" s="120" t="str">
        <f t="shared" si="37"/>
        <v/>
      </c>
      <c r="AV65" t="str">
        <f t="shared" si="38"/>
        <v/>
      </c>
      <c r="AX65" s="558"/>
      <c r="AY65" s="120"/>
      <c r="BC65" s="558">
        <v>29</v>
      </c>
      <c r="BD65" s="120" t="str">
        <f t="shared" si="39"/>
        <v/>
      </c>
      <c r="BE65" t="str">
        <f t="shared" si="40"/>
        <v/>
      </c>
      <c r="BL65" s="558">
        <v>29</v>
      </c>
      <c r="BM65" s="120" t="str">
        <f t="shared" si="41"/>
        <v/>
      </c>
      <c r="BN65" t="str">
        <f t="shared" si="42"/>
        <v/>
      </c>
      <c r="BU65" s="558">
        <v>29</v>
      </c>
      <c r="BV65" s="120" t="str">
        <f t="shared" si="43"/>
        <v/>
      </c>
      <c r="BW65" t="str">
        <f t="shared" si="44"/>
        <v/>
      </c>
      <c r="CC65" s="558">
        <v>29</v>
      </c>
      <c r="CD65" s="120" t="str">
        <f t="shared" si="45"/>
        <v/>
      </c>
      <c r="CE65" t="str">
        <f t="shared" si="46"/>
        <v/>
      </c>
      <c r="CL65">
        <f t="shared" si="20"/>
        <v>0</v>
      </c>
      <c r="CM65">
        <f>IF(CL65=0,0,1+COUNTIF(CM$6:CM64,"&gt;0"))</f>
        <v>0</v>
      </c>
      <c r="CN65">
        <f t="shared" si="21"/>
        <v>0</v>
      </c>
      <c r="CO65">
        <f>IF(CN65=0,0,1+COUNTIF(CO$6:CO64,"&gt;0"))</f>
        <v>0</v>
      </c>
      <c r="CP65">
        <f t="shared" si="22"/>
        <v>0</v>
      </c>
      <c r="CQ65">
        <f>IF(CP65=0,0,1+COUNTIF(CQ$6:CQ64,"&gt;0"))</f>
        <v>0</v>
      </c>
      <c r="CR65">
        <f t="shared" si="23"/>
        <v>0</v>
      </c>
      <c r="CS65">
        <f>IF(CR65=0,0,1+COUNTIF(CS$6:CS64,"&gt;0"))</f>
        <v>0</v>
      </c>
      <c r="CT65">
        <f t="shared" si="24"/>
        <v>0</v>
      </c>
      <c r="CU65">
        <f>IF(CT65=0,0,1+COUNTIF(CU$6:CU64,"&gt;0"))</f>
        <v>0</v>
      </c>
      <c r="CV65">
        <f t="shared" si="25"/>
        <v>0</v>
      </c>
      <c r="CW65">
        <f>IF(CV65=0,0,1+COUNTIF(CW$6:CW64,"&gt;0"))</f>
        <v>0</v>
      </c>
      <c r="CX65">
        <f t="shared" si="26"/>
        <v>0</v>
      </c>
      <c r="CY65">
        <f>IF(CX65=0,0,1+COUNTIF(CY$6:CY64,"&gt;0"))</f>
        <v>0</v>
      </c>
      <c r="CZ65">
        <f t="shared" si="27"/>
        <v>0</v>
      </c>
      <c r="DA65">
        <f>IF(CZ65=0,0,1+COUNTIF(DA$6:DA64,"&gt;0"))</f>
        <v>0</v>
      </c>
      <c r="DB65">
        <f t="shared" si="28"/>
        <v>0</v>
      </c>
      <c r="DC65">
        <f>IF(DB65=0,0,1+COUNTIF(DC$6:DC64,"&gt;0"))</f>
        <v>0</v>
      </c>
    </row>
    <row r="66" spans="2:107" x14ac:dyDescent="0.25">
      <c r="B66" s="1062"/>
      <c r="C66" s="1062"/>
      <c r="D66" s="1062"/>
      <c r="E66" s="1062"/>
      <c r="F66" s="1062"/>
      <c r="G66" s="1062"/>
      <c r="H66" s="1062"/>
      <c r="I66" s="590"/>
      <c r="J66" s="558">
        <v>30</v>
      </c>
      <c r="K66" s="120" t="str">
        <f t="shared" si="29"/>
        <v/>
      </c>
      <c r="L66" t="str">
        <f t="shared" si="30"/>
        <v/>
      </c>
      <c r="S66" s="558">
        <v>30</v>
      </c>
      <c r="T66" s="120" t="str">
        <f t="shared" si="31"/>
        <v/>
      </c>
      <c r="U66" t="str">
        <f t="shared" si="32"/>
        <v/>
      </c>
      <c r="AB66" s="558">
        <v>30</v>
      </c>
      <c r="AC66" s="120" t="str">
        <f t="shared" si="33"/>
        <v/>
      </c>
      <c r="AD66" t="str">
        <f t="shared" si="34"/>
        <v/>
      </c>
      <c r="AK66" s="558">
        <v>30</v>
      </c>
      <c r="AL66" s="120" t="str">
        <f t="shared" si="35"/>
        <v/>
      </c>
      <c r="AM66" t="str">
        <f t="shared" si="36"/>
        <v/>
      </c>
      <c r="AO66" s="120"/>
      <c r="AT66" s="558">
        <v>30</v>
      </c>
      <c r="AU66" s="120" t="str">
        <f t="shared" si="37"/>
        <v/>
      </c>
      <c r="AV66" t="str">
        <f t="shared" si="38"/>
        <v/>
      </c>
      <c r="AX66" s="558"/>
      <c r="AY66" s="120"/>
      <c r="BC66" s="558">
        <v>30</v>
      </c>
      <c r="BD66" s="120" t="str">
        <f t="shared" si="39"/>
        <v/>
      </c>
      <c r="BE66" t="str">
        <f t="shared" si="40"/>
        <v/>
      </c>
      <c r="BL66" s="558">
        <v>30</v>
      </c>
      <c r="BM66" s="120" t="str">
        <f t="shared" si="41"/>
        <v/>
      </c>
      <c r="BN66" t="str">
        <f t="shared" si="42"/>
        <v/>
      </c>
      <c r="BU66" s="558">
        <v>30</v>
      </c>
      <c r="BV66" s="120" t="str">
        <f t="shared" si="43"/>
        <v/>
      </c>
      <c r="BW66" t="str">
        <f t="shared" si="44"/>
        <v/>
      </c>
      <c r="CC66" s="558">
        <v>30</v>
      </c>
      <c r="CD66" s="120" t="str">
        <f t="shared" si="45"/>
        <v/>
      </c>
      <c r="CE66" t="str">
        <f t="shared" si="46"/>
        <v/>
      </c>
    </row>
    <row r="68" spans="2:107" x14ac:dyDescent="0.25">
      <c r="B68" s="565"/>
      <c r="C68" s="565"/>
      <c r="D68" s="600">
        <f>S08_Sorcerer!E68</f>
        <v>5</v>
      </c>
      <c r="E68" s="600">
        <f>D68+SUM(C69:C98)</f>
        <v>5</v>
      </c>
      <c r="F68" t="s">
        <v>6545</v>
      </c>
      <c r="G68" t="s">
        <v>6545</v>
      </c>
      <c r="H68" t="s">
        <v>6545</v>
      </c>
      <c r="I68" t="s">
        <v>6545</v>
      </c>
      <c r="J68" t="s">
        <v>6545</v>
      </c>
      <c r="K68" s="565"/>
      <c r="L68" s="565"/>
      <c r="M68" s="600">
        <f>S08_Sorcerer!N68</f>
        <v>2</v>
      </c>
      <c r="N68" s="600">
        <f>M68+SUM(L69:L98)</f>
        <v>2</v>
      </c>
      <c r="O68" t="s">
        <v>6545</v>
      </c>
      <c r="P68" t="s">
        <v>6545</v>
      </c>
      <c r="Q68" t="s">
        <v>6545</v>
      </c>
      <c r="R68" t="s">
        <v>6545</v>
      </c>
      <c r="S68" t="s">
        <v>6545</v>
      </c>
      <c r="T68" s="565"/>
      <c r="U68" s="565"/>
      <c r="V68" s="600">
        <f>S08_Sorcerer!W68</f>
        <v>0</v>
      </c>
      <c r="W68" s="600">
        <f>V68+SUM(U69:U98)</f>
        <v>0</v>
      </c>
      <c r="X68" t="s">
        <v>6545</v>
      </c>
      <c r="Y68" t="s">
        <v>6545</v>
      </c>
      <c r="Z68" t="s">
        <v>6545</v>
      </c>
      <c r="AA68" t="s">
        <v>6545</v>
      </c>
      <c r="AB68" t="s">
        <v>6545</v>
      </c>
      <c r="AC68" s="565"/>
      <c r="AD68" s="565"/>
      <c r="AE68" s="600">
        <f>S08_Sorcerer!AF68</f>
        <v>0</v>
      </c>
      <c r="AF68" s="600">
        <f>AE68+SUM(AD69:AD98)</f>
        <v>0</v>
      </c>
      <c r="AG68" t="s">
        <v>6545</v>
      </c>
      <c r="AH68" t="s">
        <v>6545</v>
      </c>
      <c r="AI68" t="s">
        <v>6545</v>
      </c>
      <c r="AJ68" t="s">
        <v>6545</v>
      </c>
      <c r="AK68" t="s">
        <v>6545</v>
      </c>
      <c r="AL68" s="565"/>
      <c r="AM68" s="565"/>
      <c r="AN68" s="600">
        <f>S08_Sorcerer!AO68</f>
        <v>0</v>
      </c>
      <c r="AO68" s="600">
        <f>AN68+SUM(AM69:AM98)</f>
        <v>0</v>
      </c>
      <c r="AP68" t="s">
        <v>6545</v>
      </c>
      <c r="AQ68" t="s">
        <v>6545</v>
      </c>
      <c r="AR68" t="s">
        <v>6545</v>
      </c>
      <c r="AS68" t="s">
        <v>6545</v>
      </c>
      <c r="AT68" t="s">
        <v>6545</v>
      </c>
      <c r="AU68" s="565"/>
      <c r="AV68" s="565"/>
      <c r="AW68" s="600">
        <f>S08_Sorcerer!AX68</f>
        <v>0</v>
      </c>
      <c r="AX68" s="600">
        <f>AW68+SUM(AV69:AV98)</f>
        <v>0</v>
      </c>
      <c r="AY68" t="s">
        <v>6545</v>
      </c>
      <c r="AZ68" t="s">
        <v>6545</v>
      </c>
      <c r="BA68" t="s">
        <v>6545</v>
      </c>
      <c r="BB68" t="s">
        <v>6545</v>
      </c>
      <c r="BC68" t="s">
        <v>6545</v>
      </c>
      <c r="BD68" s="565"/>
      <c r="BE68" s="565"/>
      <c r="BF68" s="600">
        <f>S08_Sorcerer!BG68</f>
        <v>0</v>
      </c>
      <c r="BG68" s="600">
        <f>BF68+SUM(BE69:BE98)</f>
        <v>0</v>
      </c>
      <c r="BH68" t="s">
        <v>6545</v>
      </c>
      <c r="BI68" t="s">
        <v>6545</v>
      </c>
      <c r="BJ68" t="s">
        <v>6545</v>
      </c>
      <c r="BK68" t="s">
        <v>6545</v>
      </c>
      <c r="BL68" t="s">
        <v>6545</v>
      </c>
      <c r="BM68" s="565"/>
      <c r="BN68" s="565"/>
      <c r="BO68" s="600">
        <f>S08_Sorcerer!BP68</f>
        <v>0</v>
      </c>
      <c r="BP68" s="600">
        <f>BO68+SUM(BN69:BN98)</f>
        <v>0</v>
      </c>
      <c r="BQ68" t="s">
        <v>6545</v>
      </c>
      <c r="BR68" t="s">
        <v>6545</v>
      </c>
      <c r="BS68" t="s">
        <v>6545</v>
      </c>
      <c r="BT68" t="s">
        <v>6545</v>
      </c>
      <c r="BU68" t="s">
        <v>6545</v>
      </c>
      <c r="BV68" s="565"/>
      <c r="BW68" s="565"/>
      <c r="BX68" s="600">
        <f>S08_Sorcerer!BY68</f>
        <v>0</v>
      </c>
      <c r="BY68" s="600">
        <f>BX68+SUM(BW69:BW98)</f>
        <v>0</v>
      </c>
      <c r="BZ68" t="s">
        <v>6545</v>
      </c>
      <c r="CA68" t="s">
        <v>6545</v>
      </c>
      <c r="CB68" t="s">
        <v>6545</v>
      </c>
      <c r="CC68" t="s">
        <v>6545</v>
      </c>
      <c r="CD68" t="s">
        <v>6545</v>
      </c>
      <c r="CE68" s="565"/>
      <c r="CF68" s="565"/>
      <c r="CG68" s="600">
        <f>S08_Sorcerer!CH68</f>
        <v>0</v>
      </c>
      <c r="CH68" s="600">
        <f>CG68+SUM(CF69:CF98)</f>
        <v>0</v>
      </c>
      <c r="CI68" t="s">
        <v>6545</v>
      </c>
      <c r="CJ68" t="s">
        <v>6545</v>
      </c>
      <c r="CK68" t="s">
        <v>6545</v>
      </c>
      <c r="CL68" t="s">
        <v>6545</v>
      </c>
      <c r="CM68" t="s">
        <v>6545</v>
      </c>
    </row>
    <row r="69" spans="2:107" x14ac:dyDescent="0.25">
      <c r="B69" s="591">
        <v>1</v>
      </c>
      <c r="C69">
        <f t="shared" ref="C69:C98" si="47">IF(SpellcastingWarlock&gt;0,IF(C5&lt;&gt;"",1,0),0)</f>
        <v>0</v>
      </c>
      <c r="D69">
        <f>IF(C69=0,0,1)</f>
        <v>0</v>
      </c>
      <c r="E69">
        <f>IF(D69=0,0,D69+D$68)</f>
        <v>0</v>
      </c>
      <c r="F69" t="str">
        <f>IF(C69=1,"Warlock","")</f>
        <v/>
      </c>
      <c r="G69" t="str">
        <f>IF(C69=1,"P","")</f>
        <v/>
      </c>
      <c r="K69" s="609">
        <v>1</v>
      </c>
      <c r="L69">
        <f t="shared" ref="L69:L98" si="48">IF(SpellcastingWarlock&gt;0,IF(L5&lt;&gt;"",1,0),0)</f>
        <v>0</v>
      </c>
      <c r="M69">
        <f>IF(L69=0,0,1)</f>
        <v>0</v>
      </c>
      <c r="N69">
        <f>IF(M69=0,0,M69+M$68)</f>
        <v>0</v>
      </c>
      <c r="O69" t="str">
        <f>IF(L69=1,"Warlock","")</f>
        <v/>
      </c>
      <c r="P69" t="str">
        <f>IF(L69=1,"P","")</f>
        <v/>
      </c>
      <c r="T69" s="609">
        <v>1</v>
      </c>
      <c r="U69">
        <f t="shared" ref="U69:U98" si="49">IF(SpellcastingWarlock&gt;0,IF(U5&lt;&gt;"",1,0),0)</f>
        <v>0</v>
      </c>
      <c r="V69">
        <f>IF(U69=0,0,1)</f>
        <v>0</v>
      </c>
      <c r="W69">
        <f>IF(V69=0,0,V69+V$68)</f>
        <v>0</v>
      </c>
      <c r="X69" t="str">
        <f>IF(U69=1,"Warlock","")</f>
        <v/>
      </c>
      <c r="Y69" t="str">
        <f>IF(U69=1,"P","")</f>
        <v/>
      </c>
      <c r="AC69" s="609">
        <v>1</v>
      </c>
      <c r="AD69">
        <f t="shared" ref="AD69:AD98" si="50">IF(SpellcastingWarlock&gt;0,IF(AD5&lt;&gt;"",1,0),0)</f>
        <v>0</v>
      </c>
      <c r="AE69">
        <f>IF(AD69=0,0,1)</f>
        <v>0</v>
      </c>
      <c r="AF69">
        <f>IF(AE69=0,0,AE69+AE$68)</f>
        <v>0</v>
      </c>
      <c r="AG69" t="str">
        <f>IF(AD69=1,"Warlock","")</f>
        <v/>
      </c>
      <c r="AH69" t="str">
        <f>IF(AD69=1,"P","")</f>
        <v/>
      </c>
      <c r="AL69" s="609">
        <v>1</v>
      </c>
      <c r="AM69">
        <f t="shared" ref="AM69:AM98" si="51">IF(SpellcastingWarlock&gt;0,IF(AM5&lt;&gt;"",1,0),0)</f>
        <v>0</v>
      </c>
      <c r="AN69">
        <f>IF(AM69=0,0,1)</f>
        <v>0</v>
      </c>
      <c r="AO69">
        <f>IF(AN69=0,0,AN69+AN$68)</f>
        <v>0</v>
      </c>
      <c r="AP69" t="str">
        <f>IF(AM69=1,"Warlock","")</f>
        <v/>
      </c>
      <c r="AQ69" t="str">
        <f>IF(AM69=1,"P","")</f>
        <v/>
      </c>
      <c r="AU69" s="609">
        <v>1</v>
      </c>
      <c r="AV69">
        <f t="shared" ref="AV69:AV98" si="52">IF(SpellcastingWarlock&gt;0,IF(AV5&lt;&gt;"",1,0),0)</f>
        <v>0</v>
      </c>
      <c r="AW69">
        <f>IF(AV69=0,0,1)</f>
        <v>0</v>
      </c>
      <c r="AX69">
        <f>IF(AW69=0,0,AW69+AW$68)</f>
        <v>0</v>
      </c>
      <c r="AY69" t="str">
        <f>IF(AV69=1,"Warlock","")</f>
        <v/>
      </c>
      <c r="AZ69" t="str">
        <f>IF(AV69=1,"P","")</f>
        <v/>
      </c>
      <c r="BD69" s="609">
        <v>1</v>
      </c>
      <c r="BE69">
        <f t="shared" ref="BE69:BE98" si="53">IF(SpellcastingWarlock&gt;0,IF(BE5&lt;&gt;"",1,0),0)</f>
        <v>0</v>
      </c>
      <c r="BF69">
        <f>IF(BE69=0,0,1)</f>
        <v>0</v>
      </c>
      <c r="BG69">
        <f>IF(BF69=0,0,BF69+BF$68)</f>
        <v>0</v>
      </c>
      <c r="BH69" t="str">
        <f>IF(BE69=1,"Warlock","")</f>
        <v/>
      </c>
      <c r="BI69" t="str">
        <f>IF(BE69=1,"P","")</f>
        <v/>
      </c>
      <c r="BM69" s="609">
        <v>1</v>
      </c>
      <c r="BN69">
        <f t="shared" ref="BN69:BN98" si="54">IF(SpellcastingWarlock&gt;0,IF(BN5&lt;&gt;"",1,0),0)</f>
        <v>0</v>
      </c>
      <c r="BO69">
        <f>IF(BN69=0,0,1)</f>
        <v>0</v>
      </c>
      <c r="BP69">
        <f>IF(BO69=0,0,BO69+BO$68)</f>
        <v>0</v>
      </c>
      <c r="BQ69" t="str">
        <f>IF(BN69=1,"Warlock","")</f>
        <v/>
      </c>
      <c r="BR69" t="str">
        <f>IF(BN69=1,"P","")</f>
        <v/>
      </c>
      <c r="BV69" s="609">
        <v>1</v>
      </c>
      <c r="BW69">
        <f t="shared" ref="BW69:BW98" si="55">IF(SpellcastingWarlock&gt;0,IF(BW5&lt;&gt;"",1,0),0)</f>
        <v>0</v>
      </c>
      <c r="BX69">
        <f>IF(BW69=0,0,1)</f>
        <v>0</v>
      </c>
      <c r="BY69">
        <f>IF(BX69=0,0,BX69+BX$68)</f>
        <v>0</v>
      </c>
      <c r="BZ69" t="str">
        <f>IF(BW69=1,"Warlock","")</f>
        <v/>
      </c>
      <c r="CA69" t="str">
        <f>IF(BW69=1,"P","")</f>
        <v/>
      </c>
      <c r="CE69" s="609">
        <v>1</v>
      </c>
      <c r="CF69">
        <f t="shared" ref="CF69:CF98" si="56">IF(SpellcastingWarlock&gt;0,IF(CF5&lt;&gt;"",1,0),0)</f>
        <v>0</v>
      </c>
      <c r="CG69">
        <f>IF(CF69=0,0,1)</f>
        <v>0</v>
      </c>
      <c r="CH69">
        <f>IF(CG69=0,0,CG69+CG$68)</f>
        <v>0</v>
      </c>
      <c r="CI69" t="str">
        <f>IF(CF69=1,"Warlock","")</f>
        <v/>
      </c>
      <c r="CJ69" t="str">
        <f>IF(CF69=1,"P","")</f>
        <v/>
      </c>
    </row>
    <row r="70" spans="2:107" x14ac:dyDescent="0.25">
      <c r="B70" s="591">
        <v>2</v>
      </c>
      <c r="C70">
        <f t="shared" si="47"/>
        <v>0</v>
      </c>
      <c r="D70">
        <f>IF(C70=0,0,1+MAX(D69:D$69))</f>
        <v>0</v>
      </c>
      <c r="E70">
        <f t="shared" ref="E70:E98" si="57">IF(D70=0,0,D70+D$68)</f>
        <v>0</v>
      </c>
      <c r="F70" t="str">
        <f t="shared" ref="F70:F98" si="58">IF(C70=1,"Warlock","")</f>
        <v/>
      </c>
      <c r="G70" t="str">
        <f t="shared" ref="G70:G98" si="59">IF(C70=1,"P","")</f>
        <v/>
      </c>
      <c r="K70" s="609">
        <v>2</v>
      </c>
      <c r="L70">
        <f t="shared" si="48"/>
        <v>0</v>
      </c>
      <c r="M70">
        <f>IF(L70=0,0,1+MAX(M69:M$69))</f>
        <v>0</v>
      </c>
      <c r="N70">
        <f t="shared" ref="N70:N98" si="60">IF(M70=0,0,M70+M$68)</f>
        <v>0</v>
      </c>
      <c r="O70" t="str">
        <f t="shared" ref="O70:O98" si="61">IF(L70=1,"Warlock","")</f>
        <v/>
      </c>
      <c r="P70" t="str">
        <f t="shared" ref="P70:P98" si="62">IF(L70=1,"P","")</f>
        <v/>
      </c>
      <c r="T70" s="609">
        <v>2</v>
      </c>
      <c r="U70">
        <f t="shared" si="49"/>
        <v>0</v>
      </c>
      <c r="V70">
        <f>IF(U70=0,0,1+MAX(V69:V$69))</f>
        <v>0</v>
      </c>
      <c r="W70">
        <f t="shared" ref="W70:W98" si="63">IF(V70=0,0,V70+V$68)</f>
        <v>0</v>
      </c>
      <c r="X70" t="str">
        <f t="shared" ref="X70:X98" si="64">IF(U70=1,"Warlock","")</f>
        <v/>
      </c>
      <c r="Y70" t="str">
        <f t="shared" ref="Y70:Y98" si="65">IF(U70=1,"P","")</f>
        <v/>
      </c>
      <c r="AC70" s="609">
        <v>2</v>
      </c>
      <c r="AD70">
        <f t="shared" si="50"/>
        <v>0</v>
      </c>
      <c r="AE70">
        <f>IF(AD70=0,0,1+MAX(AE69:AE$69))</f>
        <v>0</v>
      </c>
      <c r="AF70">
        <f t="shared" ref="AF70:AF98" si="66">IF(AE70=0,0,AE70+AE$68)</f>
        <v>0</v>
      </c>
      <c r="AG70" t="str">
        <f t="shared" ref="AG70:AG98" si="67">IF(AD70=1,"Warlock","")</f>
        <v/>
      </c>
      <c r="AH70" t="str">
        <f t="shared" ref="AH70:AH98" si="68">IF(AD70=1,"P","")</f>
        <v/>
      </c>
      <c r="AL70" s="609">
        <v>2</v>
      </c>
      <c r="AM70">
        <f t="shared" si="51"/>
        <v>0</v>
      </c>
      <c r="AN70">
        <f>IF(AM70=0,0,1+MAX(AN69:AN$69))</f>
        <v>0</v>
      </c>
      <c r="AO70">
        <f t="shared" ref="AO70:AO98" si="69">IF(AN70=0,0,AN70+AN$68)</f>
        <v>0</v>
      </c>
      <c r="AP70" t="str">
        <f t="shared" ref="AP70:AP98" si="70">IF(AM70=1,"Warlock","")</f>
        <v/>
      </c>
      <c r="AQ70" t="str">
        <f t="shared" ref="AQ70:AQ98" si="71">IF(AM70=1,"P","")</f>
        <v/>
      </c>
      <c r="AU70" s="609">
        <v>2</v>
      </c>
      <c r="AV70">
        <f t="shared" si="52"/>
        <v>0</v>
      </c>
      <c r="AW70">
        <f>IF(AV70=0,0,1+MAX(AW69:AW$69))</f>
        <v>0</v>
      </c>
      <c r="AX70">
        <f t="shared" ref="AX70:AX98" si="72">IF(AW70=0,0,AW70+AW$68)</f>
        <v>0</v>
      </c>
      <c r="AY70" t="str">
        <f t="shared" ref="AY70:AY98" si="73">IF(AV70=1,"Warlock","")</f>
        <v/>
      </c>
      <c r="AZ70" t="str">
        <f t="shared" ref="AZ70:AZ98" si="74">IF(AV70=1,"P","")</f>
        <v/>
      </c>
      <c r="BD70" s="609">
        <v>2</v>
      </c>
      <c r="BE70">
        <f t="shared" si="53"/>
        <v>0</v>
      </c>
      <c r="BF70">
        <f>IF(BE70=0,0,1+MAX(BF69:BF$69))</f>
        <v>0</v>
      </c>
      <c r="BG70">
        <f t="shared" ref="BG70:BG98" si="75">IF(BF70=0,0,BF70+BF$68)</f>
        <v>0</v>
      </c>
      <c r="BH70" t="str">
        <f t="shared" ref="BH70:BH98" si="76">IF(BE70=1,"Warlock","")</f>
        <v/>
      </c>
      <c r="BI70" t="str">
        <f t="shared" ref="BI70:BI98" si="77">IF(BE70=1,"P","")</f>
        <v/>
      </c>
      <c r="BM70" s="609">
        <v>2</v>
      </c>
      <c r="BN70">
        <f t="shared" si="54"/>
        <v>0</v>
      </c>
      <c r="BO70">
        <f>IF(BN70=0,0,1+MAX(BO69:BO$69))</f>
        <v>0</v>
      </c>
      <c r="BP70">
        <f t="shared" ref="BP70:BP98" si="78">IF(BO70=0,0,BO70+BO$68)</f>
        <v>0</v>
      </c>
      <c r="BQ70" t="str">
        <f t="shared" ref="BQ70:BQ98" si="79">IF(BN70=1,"Warlock","")</f>
        <v/>
      </c>
      <c r="BR70" t="str">
        <f t="shared" ref="BR70:BR98" si="80">IF(BN70=1,"P","")</f>
        <v/>
      </c>
      <c r="BV70" s="609">
        <v>2</v>
      </c>
      <c r="BW70">
        <f t="shared" si="55"/>
        <v>0</v>
      </c>
      <c r="BX70">
        <f>IF(BW70=0,0,1+MAX(BX69:BX$69))</f>
        <v>0</v>
      </c>
      <c r="BY70">
        <f t="shared" ref="BY70:BY98" si="81">IF(BX70=0,0,BX70+BX$68)</f>
        <v>0</v>
      </c>
      <c r="BZ70" t="str">
        <f t="shared" ref="BZ70:BZ98" si="82">IF(BW70=1,"Warlock","")</f>
        <v/>
      </c>
      <c r="CA70" t="str">
        <f t="shared" ref="CA70:CA98" si="83">IF(BW70=1,"P","")</f>
        <v/>
      </c>
      <c r="CE70" s="609">
        <v>2</v>
      </c>
      <c r="CF70">
        <f t="shared" si="56"/>
        <v>0</v>
      </c>
      <c r="CG70">
        <f>IF(CF70=0,0,1+MAX(CG69:CG$69))</f>
        <v>0</v>
      </c>
      <c r="CH70">
        <f t="shared" ref="CH70:CH98" si="84">IF(CG70=0,0,CG70+CG$68)</f>
        <v>0</v>
      </c>
      <c r="CI70" t="str">
        <f t="shared" ref="CI70:CI98" si="85">IF(CF70=1,"Warlock","")</f>
        <v/>
      </c>
      <c r="CJ70" t="str">
        <f t="shared" ref="CJ70:CJ98" si="86">IF(CF70=1,"P","")</f>
        <v/>
      </c>
    </row>
    <row r="71" spans="2:107" x14ac:dyDescent="0.25">
      <c r="B71" s="591">
        <v>3</v>
      </c>
      <c r="C71">
        <f t="shared" si="47"/>
        <v>0</v>
      </c>
      <c r="D71">
        <f>IF(C71=0,0,1+MAX(D$69:D70))</f>
        <v>0</v>
      </c>
      <c r="E71">
        <f t="shared" si="57"/>
        <v>0</v>
      </c>
      <c r="F71" t="str">
        <f t="shared" si="58"/>
        <v/>
      </c>
      <c r="G71" t="str">
        <f t="shared" si="59"/>
        <v/>
      </c>
      <c r="K71" s="609">
        <v>3</v>
      </c>
      <c r="L71">
        <f t="shared" si="48"/>
        <v>0</v>
      </c>
      <c r="M71">
        <f>IF(L71=0,0,1+MAX(M$69:M70))</f>
        <v>0</v>
      </c>
      <c r="N71">
        <f t="shared" si="60"/>
        <v>0</v>
      </c>
      <c r="O71" t="str">
        <f t="shared" si="61"/>
        <v/>
      </c>
      <c r="P71" t="str">
        <f t="shared" si="62"/>
        <v/>
      </c>
      <c r="T71" s="609">
        <v>3</v>
      </c>
      <c r="U71">
        <f t="shared" si="49"/>
        <v>0</v>
      </c>
      <c r="V71">
        <f>IF(U71=0,0,1+MAX(V$69:V70))</f>
        <v>0</v>
      </c>
      <c r="W71">
        <f t="shared" si="63"/>
        <v>0</v>
      </c>
      <c r="X71" t="str">
        <f t="shared" si="64"/>
        <v/>
      </c>
      <c r="Y71" t="str">
        <f t="shared" si="65"/>
        <v/>
      </c>
      <c r="AC71" s="609">
        <v>3</v>
      </c>
      <c r="AD71">
        <f t="shared" si="50"/>
        <v>0</v>
      </c>
      <c r="AE71">
        <f>IF(AD71=0,0,1+MAX(AE$69:AE70))</f>
        <v>0</v>
      </c>
      <c r="AF71">
        <f t="shared" si="66"/>
        <v>0</v>
      </c>
      <c r="AG71" t="str">
        <f t="shared" si="67"/>
        <v/>
      </c>
      <c r="AH71" t="str">
        <f t="shared" si="68"/>
        <v/>
      </c>
      <c r="AL71" s="609">
        <v>3</v>
      </c>
      <c r="AM71">
        <f t="shared" si="51"/>
        <v>0</v>
      </c>
      <c r="AN71">
        <f>IF(AM71=0,0,1+MAX(AN$69:AN70))</f>
        <v>0</v>
      </c>
      <c r="AO71">
        <f t="shared" si="69"/>
        <v>0</v>
      </c>
      <c r="AP71" t="str">
        <f t="shared" si="70"/>
        <v/>
      </c>
      <c r="AQ71" t="str">
        <f t="shared" si="71"/>
        <v/>
      </c>
      <c r="AU71" s="609">
        <v>3</v>
      </c>
      <c r="AV71">
        <f t="shared" si="52"/>
        <v>0</v>
      </c>
      <c r="AW71">
        <f>IF(AV71=0,0,1+MAX(AW$69:AW70))</f>
        <v>0</v>
      </c>
      <c r="AX71">
        <f t="shared" si="72"/>
        <v>0</v>
      </c>
      <c r="AY71" t="str">
        <f t="shared" si="73"/>
        <v/>
      </c>
      <c r="AZ71" t="str">
        <f t="shared" si="74"/>
        <v/>
      </c>
      <c r="BD71" s="609">
        <v>3</v>
      </c>
      <c r="BE71">
        <f t="shared" si="53"/>
        <v>0</v>
      </c>
      <c r="BF71">
        <f>IF(BE71=0,0,1+MAX(BF$69:BF70))</f>
        <v>0</v>
      </c>
      <c r="BG71">
        <f t="shared" si="75"/>
        <v>0</v>
      </c>
      <c r="BH71" t="str">
        <f t="shared" si="76"/>
        <v/>
      </c>
      <c r="BI71" t="str">
        <f t="shared" si="77"/>
        <v/>
      </c>
      <c r="BM71" s="609">
        <v>3</v>
      </c>
      <c r="BN71">
        <f t="shared" si="54"/>
        <v>0</v>
      </c>
      <c r="BO71">
        <f>IF(BN71=0,0,1+MAX(BO$69:BO70))</f>
        <v>0</v>
      </c>
      <c r="BP71">
        <f t="shared" si="78"/>
        <v>0</v>
      </c>
      <c r="BQ71" t="str">
        <f t="shared" si="79"/>
        <v/>
      </c>
      <c r="BR71" t="str">
        <f t="shared" si="80"/>
        <v/>
      </c>
      <c r="BV71" s="609">
        <v>3</v>
      </c>
      <c r="BW71">
        <f t="shared" si="55"/>
        <v>0</v>
      </c>
      <c r="BX71">
        <f>IF(BW71=0,0,1+MAX(BX$69:BX70))</f>
        <v>0</v>
      </c>
      <c r="BY71">
        <f t="shared" si="81"/>
        <v>0</v>
      </c>
      <c r="BZ71" t="str">
        <f t="shared" si="82"/>
        <v/>
      </c>
      <c r="CA71" t="str">
        <f t="shared" si="83"/>
        <v/>
      </c>
      <c r="CE71" s="609">
        <v>3</v>
      </c>
      <c r="CF71">
        <f t="shared" si="56"/>
        <v>0</v>
      </c>
      <c r="CG71">
        <f>IF(CF71=0,0,1+MAX(CG$69:CG70))</f>
        <v>0</v>
      </c>
      <c r="CH71">
        <f t="shared" si="84"/>
        <v>0</v>
      </c>
      <c r="CI71" t="str">
        <f t="shared" si="85"/>
        <v/>
      </c>
      <c r="CJ71" t="str">
        <f t="shared" si="86"/>
        <v/>
      </c>
    </row>
    <row r="72" spans="2:107" x14ac:dyDescent="0.25">
      <c r="B72" s="591">
        <v>4</v>
      </c>
      <c r="C72">
        <f t="shared" si="47"/>
        <v>0</v>
      </c>
      <c r="D72">
        <f>IF(C72=0,0,1+MAX(D$69:D71))</f>
        <v>0</v>
      </c>
      <c r="E72">
        <f t="shared" si="57"/>
        <v>0</v>
      </c>
      <c r="F72" t="str">
        <f t="shared" si="58"/>
        <v/>
      </c>
      <c r="G72" t="str">
        <f t="shared" si="59"/>
        <v/>
      </c>
      <c r="K72" s="609">
        <v>4</v>
      </c>
      <c r="L72">
        <f t="shared" si="48"/>
        <v>0</v>
      </c>
      <c r="M72">
        <f>IF(L72=0,0,1+MAX(M$69:M71))</f>
        <v>0</v>
      </c>
      <c r="N72">
        <f t="shared" si="60"/>
        <v>0</v>
      </c>
      <c r="O72" t="str">
        <f t="shared" si="61"/>
        <v/>
      </c>
      <c r="P72" t="str">
        <f t="shared" si="62"/>
        <v/>
      </c>
      <c r="T72" s="609">
        <v>4</v>
      </c>
      <c r="U72">
        <f t="shared" si="49"/>
        <v>0</v>
      </c>
      <c r="V72">
        <f>IF(U72=0,0,1+MAX(V$69:V71))</f>
        <v>0</v>
      </c>
      <c r="W72">
        <f t="shared" si="63"/>
        <v>0</v>
      </c>
      <c r="X72" t="str">
        <f t="shared" si="64"/>
        <v/>
      </c>
      <c r="Y72" t="str">
        <f t="shared" si="65"/>
        <v/>
      </c>
      <c r="AC72" s="609">
        <v>4</v>
      </c>
      <c r="AD72">
        <f t="shared" si="50"/>
        <v>0</v>
      </c>
      <c r="AE72">
        <f>IF(AD72=0,0,1+MAX(AE$69:AE71))</f>
        <v>0</v>
      </c>
      <c r="AF72">
        <f t="shared" si="66"/>
        <v>0</v>
      </c>
      <c r="AG72" t="str">
        <f t="shared" si="67"/>
        <v/>
      </c>
      <c r="AH72" t="str">
        <f t="shared" si="68"/>
        <v/>
      </c>
      <c r="AL72" s="609">
        <v>4</v>
      </c>
      <c r="AM72">
        <f t="shared" si="51"/>
        <v>0</v>
      </c>
      <c r="AN72">
        <f>IF(AM72=0,0,1+MAX(AN$69:AN71))</f>
        <v>0</v>
      </c>
      <c r="AO72">
        <f t="shared" si="69"/>
        <v>0</v>
      </c>
      <c r="AP72" t="str">
        <f t="shared" si="70"/>
        <v/>
      </c>
      <c r="AQ72" t="str">
        <f t="shared" si="71"/>
        <v/>
      </c>
      <c r="AU72" s="609">
        <v>4</v>
      </c>
      <c r="AV72">
        <f t="shared" si="52"/>
        <v>0</v>
      </c>
      <c r="AW72">
        <f>IF(AV72=0,0,1+MAX(AW$69:AW71))</f>
        <v>0</v>
      </c>
      <c r="AX72">
        <f t="shared" si="72"/>
        <v>0</v>
      </c>
      <c r="AY72" t="str">
        <f t="shared" si="73"/>
        <v/>
      </c>
      <c r="AZ72" t="str">
        <f t="shared" si="74"/>
        <v/>
      </c>
      <c r="BD72" s="609">
        <v>4</v>
      </c>
      <c r="BE72">
        <f t="shared" si="53"/>
        <v>0</v>
      </c>
      <c r="BF72">
        <f>IF(BE72=0,0,1+MAX(BF$69:BF71))</f>
        <v>0</v>
      </c>
      <c r="BG72">
        <f t="shared" si="75"/>
        <v>0</v>
      </c>
      <c r="BH72" t="str">
        <f t="shared" si="76"/>
        <v/>
      </c>
      <c r="BI72" t="str">
        <f t="shared" si="77"/>
        <v/>
      </c>
      <c r="BM72" s="609">
        <v>4</v>
      </c>
      <c r="BN72">
        <f t="shared" si="54"/>
        <v>0</v>
      </c>
      <c r="BO72">
        <f>IF(BN72=0,0,1+MAX(BO$69:BO71))</f>
        <v>0</v>
      </c>
      <c r="BP72">
        <f t="shared" si="78"/>
        <v>0</v>
      </c>
      <c r="BQ72" t="str">
        <f t="shared" si="79"/>
        <v/>
      </c>
      <c r="BR72" t="str">
        <f t="shared" si="80"/>
        <v/>
      </c>
      <c r="BV72" s="609">
        <v>4</v>
      </c>
      <c r="BW72">
        <f t="shared" si="55"/>
        <v>0</v>
      </c>
      <c r="BX72">
        <f>IF(BW72=0,0,1+MAX(BX$69:BX71))</f>
        <v>0</v>
      </c>
      <c r="BY72">
        <f t="shared" si="81"/>
        <v>0</v>
      </c>
      <c r="BZ72" t="str">
        <f t="shared" si="82"/>
        <v/>
      </c>
      <c r="CA72" t="str">
        <f t="shared" si="83"/>
        <v/>
      </c>
      <c r="CE72" s="609">
        <v>4</v>
      </c>
      <c r="CF72">
        <f t="shared" si="56"/>
        <v>0</v>
      </c>
      <c r="CG72">
        <f>IF(CF72=0,0,1+MAX(CG$69:CG71))</f>
        <v>0</v>
      </c>
      <c r="CH72">
        <f t="shared" si="84"/>
        <v>0</v>
      </c>
      <c r="CI72" t="str">
        <f t="shared" si="85"/>
        <v/>
      </c>
      <c r="CJ72" t="str">
        <f t="shared" si="86"/>
        <v/>
      </c>
    </row>
    <row r="73" spans="2:107" x14ac:dyDescent="0.25">
      <c r="B73" s="591">
        <v>5</v>
      </c>
      <c r="C73">
        <f t="shared" si="47"/>
        <v>0</v>
      </c>
      <c r="D73">
        <f>IF(C73=0,0,1+MAX(D$69:D72))</f>
        <v>0</v>
      </c>
      <c r="E73">
        <f t="shared" si="57"/>
        <v>0</v>
      </c>
      <c r="F73" t="str">
        <f t="shared" si="58"/>
        <v/>
      </c>
      <c r="G73" t="str">
        <f t="shared" si="59"/>
        <v/>
      </c>
      <c r="K73" s="609">
        <v>5</v>
      </c>
      <c r="L73">
        <f t="shared" si="48"/>
        <v>0</v>
      </c>
      <c r="M73">
        <f>IF(L73=0,0,1+MAX(M$69:M72))</f>
        <v>0</v>
      </c>
      <c r="N73">
        <f t="shared" si="60"/>
        <v>0</v>
      </c>
      <c r="O73" t="str">
        <f t="shared" si="61"/>
        <v/>
      </c>
      <c r="P73" t="str">
        <f t="shared" si="62"/>
        <v/>
      </c>
      <c r="T73" s="609">
        <v>5</v>
      </c>
      <c r="U73">
        <f t="shared" si="49"/>
        <v>0</v>
      </c>
      <c r="V73">
        <f>IF(U73=0,0,1+MAX(V$69:V72))</f>
        <v>0</v>
      </c>
      <c r="W73">
        <f t="shared" si="63"/>
        <v>0</v>
      </c>
      <c r="X73" t="str">
        <f t="shared" si="64"/>
        <v/>
      </c>
      <c r="Y73" t="str">
        <f t="shared" si="65"/>
        <v/>
      </c>
      <c r="AC73" s="609">
        <v>5</v>
      </c>
      <c r="AD73">
        <f t="shared" si="50"/>
        <v>0</v>
      </c>
      <c r="AE73">
        <f>IF(AD73=0,0,1+MAX(AE$69:AE72))</f>
        <v>0</v>
      </c>
      <c r="AF73">
        <f t="shared" si="66"/>
        <v>0</v>
      </c>
      <c r="AG73" t="str">
        <f t="shared" si="67"/>
        <v/>
      </c>
      <c r="AH73" t="str">
        <f t="shared" si="68"/>
        <v/>
      </c>
      <c r="AL73" s="609">
        <v>5</v>
      </c>
      <c r="AM73">
        <f t="shared" si="51"/>
        <v>0</v>
      </c>
      <c r="AN73">
        <f>IF(AM73=0,0,1+MAX(AN$69:AN72))</f>
        <v>0</v>
      </c>
      <c r="AO73">
        <f t="shared" si="69"/>
        <v>0</v>
      </c>
      <c r="AP73" t="str">
        <f t="shared" si="70"/>
        <v/>
      </c>
      <c r="AQ73" t="str">
        <f t="shared" si="71"/>
        <v/>
      </c>
      <c r="AU73" s="609">
        <v>5</v>
      </c>
      <c r="AV73">
        <f t="shared" si="52"/>
        <v>0</v>
      </c>
      <c r="AW73">
        <f>IF(AV73=0,0,1+MAX(AW$69:AW72))</f>
        <v>0</v>
      </c>
      <c r="AX73">
        <f t="shared" si="72"/>
        <v>0</v>
      </c>
      <c r="AY73" t="str">
        <f t="shared" si="73"/>
        <v/>
      </c>
      <c r="AZ73" t="str">
        <f t="shared" si="74"/>
        <v/>
      </c>
      <c r="BD73" s="609">
        <v>5</v>
      </c>
      <c r="BE73">
        <f t="shared" si="53"/>
        <v>0</v>
      </c>
      <c r="BF73">
        <f>IF(BE73=0,0,1+MAX(BF$69:BF72))</f>
        <v>0</v>
      </c>
      <c r="BG73">
        <f t="shared" si="75"/>
        <v>0</v>
      </c>
      <c r="BH73" t="str">
        <f t="shared" si="76"/>
        <v/>
      </c>
      <c r="BI73" t="str">
        <f t="shared" si="77"/>
        <v/>
      </c>
      <c r="BM73" s="609">
        <v>5</v>
      </c>
      <c r="BN73">
        <f t="shared" si="54"/>
        <v>0</v>
      </c>
      <c r="BO73">
        <f>IF(BN73=0,0,1+MAX(BO$69:BO72))</f>
        <v>0</v>
      </c>
      <c r="BP73">
        <f t="shared" si="78"/>
        <v>0</v>
      </c>
      <c r="BQ73" t="str">
        <f t="shared" si="79"/>
        <v/>
      </c>
      <c r="BR73" t="str">
        <f t="shared" si="80"/>
        <v/>
      </c>
      <c r="BV73" s="609">
        <v>5</v>
      </c>
      <c r="BW73">
        <f t="shared" si="55"/>
        <v>0</v>
      </c>
      <c r="BX73">
        <f>IF(BW73=0,0,1+MAX(BX$69:BX72))</f>
        <v>0</v>
      </c>
      <c r="BY73">
        <f t="shared" si="81"/>
        <v>0</v>
      </c>
      <c r="BZ73" t="str">
        <f t="shared" si="82"/>
        <v/>
      </c>
      <c r="CA73" t="str">
        <f t="shared" si="83"/>
        <v/>
      </c>
      <c r="CE73" s="609">
        <v>5</v>
      </c>
      <c r="CF73">
        <f t="shared" si="56"/>
        <v>0</v>
      </c>
      <c r="CG73">
        <f>IF(CF73=0,0,1+MAX(CG$69:CG72))</f>
        <v>0</v>
      </c>
      <c r="CH73">
        <f t="shared" si="84"/>
        <v>0</v>
      </c>
      <c r="CI73" t="str">
        <f t="shared" si="85"/>
        <v/>
      </c>
      <c r="CJ73" t="str">
        <f t="shared" si="86"/>
        <v/>
      </c>
    </row>
    <row r="74" spans="2:107" x14ac:dyDescent="0.25">
      <c r="B74" s="591">
        <v>6</v>
      </c>
      <c r="C74">
        <f t="shared" si="47"/>
        <v>0</v>
      </c>
      <c r="D74">
        <f>IF(C74=0,0,1+MAX(D$69:D73))</f>
        <v>0</v>
      </c>
      <c r="E74">
        <f t="shared" si="57"/>
        <v>0</v>
      </c>
      <c r="F74" t="str">
        <f t="shared" si="58"/>
        <v/>
      </c>
      <c r="G74" t="str">
        <f t="shared" si="59"/>
        <v/>
      </c>
      <c r="K74" s="609">
        <v>6</v>
      </c>
      <c r="L74">
        <f t="shared" si="48"/>
        <v>0</v>
      </c>
      <c r="M74">
        <f>IF(L74=0,0,1+MAX(M$69:M73))</f>
        <v>0</v>
      </c>
      <c r="N74">
        <f t="shared" si="60"/>
        <v>0</v>
      </c>
      <c r="O74" t="str">
        <f t="shared" si="61"/>
        <v/>
      </c>
      <c r="P74" t="str">
        <f t="shared" si="62"/>
        <v/>
      </c>
      <c r="T74" s="609">
        <v>6</v>
      </c>
      <c r="U74">
        <f t="shared" si="49"/>
        <v>0</v>
      </c>
      <c r="V74">
        <f>IF(U74=0,0,1+MAX(V$69:V73))</f>
        <v>0</v>
      </c>
      <c r="W74">
        <f t="shared" si="63"/>
        <v>0</v>
      </c>
      <c r="X74" t="str">
        <f t="shared" si="64"/>
        <v/>
      </c>
      <c r="Y74" t="str">
        <f t="shared" si="65"/>
        <v/>
      </c>
      <c r="AC74" s="609">
        <v>6</v>
      </c>
      <c r="AD74">
        <f t="shared" si="50"/>
        <v>0</v>
      </c>
      <c r="AE74">
        <f>IF(AD74=0,0,1+MAX(AE$69:AE73))</f>
        <v>0</v>
      </c>
      <c r="AF74">
        <f t="shared" si="66"/>
        <v>0</v>
      </c>
      <c r="AG74" t="str">
        <f t="shared" si="67"/>
        <v/>
      </c>
      <c r="AH74" t="str">
        <f t="shared" si="68"/>
        <v/>
      </c>
      <c r="AL74" s="609">
        <v>6</v>
      </c>
      <c r="AM74">
        <f t="shared" si="51"/>
        <v>0</v>
      </c>
      <c r="AN74">
        <f>IF(AM74=0,0,1+MAX(AN$69:AN73))</f>
        <v>0</v>
      </c>
      <c r="AO74">
        <f t="shared" si="69"/>
        <v>0</v>
      </c>
      <c r="AP74" t="str">
        <f t="shared" si="70"/>
        <v/>
      </c>
      <c r="AQ74" t="str">
        <f t="shared" si="71"/>
        <v/>
      </c>
      <c r="AU74" s="609">
        <v>6</v>
      </c>
      <c r="AV74">
        <f t="shared" si="52"/>
        <v>0</v>
      </c>
      <c r="AW74">
        <f>IF(AV74=0,0,1+MAX(AW$69:AW73))</f>
        <v>0</v>
      </c>
      <c r="AX74">
        <f t="shared" si="72"/>
        <v>0</v>
      </c>
      <c r="AY74" t="str">
        <f t="shared" si="73"/>
        <v/>
      </c>
      <c r="AZ74" t="str">
        <f t="shared" si="74"/>
        <v/>
      </c>
      <c r="BD74" s="609">
        <v>6</v>
      </c>
      <c r="BE74">
        <f t="shared" si="53"/>
        <v>0</v>
      </c>
      <c r="BF74">
        <f>IF(BE74=0,0,1+MAX(BF$69:BF73))</f>
        <v>0</v>
      </c>
      <c r="BG74">
        <f t="shared" si="75"/>
        <v>0</v>
      </c>
      <c r="BH74" t="str">
        <f t="shared" si="76"/>
        <v/>
      </c>
      <c r="BI74" t="str">
        <f t="shared" si="77"/>
        <v/>
      </c>
      <c r="BM74" s="609">
        <v>6</v>
      </c>
      <c r="BN74">
        <f t="shared" si="54"/>
        <v>0</v>
      </c>
      <c r="BO74">
        <f>IF(BN74=0,0,1+MAX(BO$69:BO73))</f>
        <v>0</v>
      </c>
      <c r="BP74">
        <f t="shared" si="78"/>
        <v>0</v>
      </c>
      <c r="BQ74" t="str">
        <f t="shared" si="79"/>
        <v/>
      </c>
      <c r="BR74" t="str">
        <f t="shared" si="80"/>
        <v/>
      </c>
      <c r="BV74" s="609">
        <v>6</v>
      </c>
      <c r="BW74">
        <f t="shared" si="55"/>
        <v>0</v>
      </c>
      <c r="BX74">
        <f>IF(BW74=0,0,1+MAX(BX$69:BX73))</f>
        <v>0</v>
      </c>
      <c r="BY74">
        <f t="shared" si="81"/>
        <v>0</v>
      </c>
      <c r="BZ74" t="str">
        <f t="shared" si="82"/>
        <v/>
      </c>
      <c r="CA74" t="str">
        <f t="shared" si="83"/>
        <v/>
      </c>
      <c r="CE74" s="609">
        <v>6</v>
      </c>
      <c r="CF74">
        <f t="shared" si="56"/>
        <v>0</v>
      </c>
      <c r="CG74">
        <f>IF(CF74=0,0,1+MAX(CG$69:CG73))</f>
        <v>0</v>
      </c>
      <c r="CH74">
        <f t="shared" si="84"/>
        <v>0</v>
      </c>
      <c r="CI74" t="str">
        <f t="shared" si="85"/>
        <v/>
      </c>
      <c r="CJ74" t="str">
        <f t="shared" si="86"/>
        <v/>
      </c>
    </row>
    <row r="75" spans="2:107" x14ac:dyDescent="0.25">
      <c r="B75" s="591">
        <v>7</v>
      </c>
      <c r="C75">
        <f t="shared" si="47"/>
        <v>0</v>
      </c>
      <c r="D75">
        <f>IF(C75=0,0,1+MAX(D$69:D74))</f>
        <v>0</v>
      </c>
      <c r="E75">
        <f t="shared" si="57"/>
        <v>0</v>
      </c>
      <c r="F75" t="str">
        <f t="shared" si="58"/>
        <v/>
      </c>
      <c r="G75" t="str">
        <f t="shared" si="59"/>
        <v/>
      </c>
      <c r="K75" s="609">
        <v>7</v>
      </c>
      <c r="L75">
        <f t="shared" si="48"/>
        <v>0</v>
      </c>
      <c r="M75">
        <f>IF(L75=0,0,1+MAX(M$69:M74))</f>
        <v>0</v>
      </c>
      <c r="N75">
        <f t="shared" si="60"/>
        <v>0</v>
      </c>
      <c r="O75" t="str">
        <f t="shared" si="61"/>
        <v/>
      </c>
      <c r="P75" t="str">
        <f t="shared" si="62"/>
        <v/>
      </c>
      <c r="T75" s="609">
        <v>7</v>
      </c>
      <c r="U75">
        <f t="shared" si="49"/>
        <v>0</v>
      </c>
      <c r="V75">
        <f>IF(U75=0,0,1+MAX(V$69:V74))</f>
        <v>0</v>
      </c>
      <c r="W75">
        <f t="shared" si="63"/>
        <v>0</v>
      </c>
      <c r="X75" t="str">
        <f t="shared" si="64"/>
        <v/>
      </c>
      <c r="Y75" t="str">
        <f t="shared" si="65"/>
        <v/>
      </c>
      <c r="AC75" s="609">
        <v>7</v>
      </c>
      <c r="AD75">
        <f t="shared" si="50"/>
        <v>0</v>
      </c>
      <c r="AE75">
        <f>IF(AD75=0,0,1+MAX(AE$69:AE74))</f>
        <v>0</v>
      </c>
      <c r="AF75">
        <f t="shared" si="66"/>
        <v>0</v>
      </c>
      <c r="AG75" t="str">
        <f t="shared" si="67"/>
        <v/>
      </c>
      <c r="AH75" t="str">
        <f t="shared" si="68"/>
        <v/>
      </c>
      <c r="AL75" s="609">
        <v>7</v>
      </c>
      <c r="AM75">
        <f t="shared" si="51"/>
        <v>0</v>
      </c>
      <c r="AN75">
        <f>IF(AM75=0,0,1+MAX(AN$69:AN74))</f>
        <v>0</v>
      </c>
      <c r="AO75">
        <f t="shared" si="69"/>
        <v>0</v>
      </c>
      <c r="AP75" t="str">
        <f t="shared" si="70"/>
        <v/>
      </c>
      <c r="AQ75" t="str">
        <f t="shared" si="71"/>
        <v/>
      </c>
      <c r="AU75" s="609">
        <v>7</v>
      </c>
      <c r="AV75">
        <f t="shared" si="52"/>
        <v>0</v>
      </c>
      <c r="AW75">
        <f>IF(AV75=0,0,1+MAX(AW$69:AW74))</f>
        <v>0</v>
      </c>
      <c r="AX75">
        <f t="shared" si="72"/>
        <v>0</v>
      </c>
      <c r="AY75" t="str">
        <f t="shared" si="73"/>
        <v/>
      </c>
      <c r="AZ75" t="str">
        <f t="shared" si="74"/>
        <v/>
      </c>
      <c r="BD75" s="609">
        <v>7</v>
      </c>
      <c r="BE75">
        <f t="shared" si="53"/>
        <v>0</v>
      </c>
      <c r="BF75">
        <f>IF(BE75=0,0,1+MAX(BF$69:BF74))</f>
        <v>0</v>
      </c>
      <c r="BG75">
        <f t="shared" si="75"/>
        <v>0</v>
      </c>
      <c r="BH75" t="str">
        <f t="shared" si="76"/>
        <v/>
      </c>
      <c r="BI75" t="str">
        <f t="shared" si="77"/>
        <v/>
      </c>
      <c r="BM75" s="609">
        <v>7</v>
      </c>
      <c r="BN75">
        <f t="shared" si="54"/>
        <v>0</v>
      </c>
      <c r="BO75">
        <f>IF(BN75=0,0,1+MAX(BO$69:BO74))</f>
        <v>0</v>
      </c>
      <c r="BP75">
        <f t="shared" si="78"/>
        <v>0</v>
      </c>
      <c r="BQ75" t="str">
        <f t="shared" si="79"/>
        <v/>
      </c>
      <c r="BR75" t="str">
        <f t="shared" si="80"/>
        <v/>
      </c>
      <c r="BV75" s="609">
        <v>7</v>
      </c>
      <c r="BW75">
        <f t="shared" si="55"/>
        <v>0</v>
      </c>
      <c r="BX75">
        <f>IF(BW75=0,0,1+MAX(BX$69:BX74))</f>
        <v>0</v>
      </c>
      <c r="BY75">
        <f t="shared" si="81"/>
        <v>0</v>
      </c>
      <c r="BZ75" t="str">
        <f t="shared" si="82"/>
        <v/>
      </c>
      <c r="CA75" t="str">
        <f t="shared" si="83"/>
        <v/>
      </c>
      <c r="CE75" s="609">
        <v>7</v>
      </c>
      <c r="CF75">
        <f t="shared" si="56"/>
        <v>0</v>
      </c>
      <c r="CG75">
        <f>IF(CF75=0,0,1+MAX(CG$69:CG74))</f>
        <v>0</v>
      </c>
      <c r="CH75">
        <f t="shared" si="84"/>
        <v>0</v>
      </c>
      <c r="CI75" t="str">
        <f t="shared" si="85"/>
        <v/>
      </c>
      <c r="CJ75" t="str">
        <f t="shared" si="86"/>
        <v/>
      </c>
    </row>
    <row r="76" spans="2:107" x14ac:dyDescent="0.25">
      <c r="B76" s="591">
        <v>8</v>
      </c>
      <c r="C76">
        <f t="shared" si="47"/>
        <v>0</v>
      </c>
      <c r="D76">
        <f>IF(C76=0,0,1+MAX(D$69:D75))</f>
        <v>0</v>
      </c>
      <c r="E76">
        <f t="shared" si="57"/>
        <v>0</v>
      </c>
      <c r="F76" t="str">
        <f t="shared" si="58"/>
        <v/>
      </c>
      <c r="G76" t="str">
        <f t="shared" si="59"/>
        <v/>
      </c>
      <c r="K76" s="609">
        <v>8</v>
      </c>
      <c r="L76">
        <f t="shared" si="48"/>
        <v>0</v>
      </c>
      <c r="M76">
        <f>IF(L76=0,0,1+MAX(M$69:M75))</f>
        <v>0</v>
      </c>
      <c r="N76">
        <f t="shared" si="60"/>
        <v>0</v>
      </c>
      <c r="O76" t="str">
        <f t="shared" si="61"/>
        <v/>
      </c>
      <c r="P76" t="str">
        <f t="shared" si="62"/>
        <v/>
      </c>
      <c r="T76" s="609">
        <v>8</v>
      </c>
      <c r="U76">
        <f t="shared" si="49"/>
        <v>0</v>
      </c>
      <c r="V76">
        <f>IF(U76=0,0,1+MAX(V$69:V75))</f>
        <v>0</v>
      </c>
      <c r="W76">
        <f t="shared" si="63"/>
        <v>0</v>
      </c>
      <c r="X76" t="str">
        <f t="shared" si="64"/>
        <v/>
      </c>
      <c r="Y76" t="str">
        <f t="shared" si="65"/>
        <v/>
      </c>
      <c r="AC76" s="609">
        <v>8</v>
      </c>
      <c r="AD76">
        <f t="shared" si="50"/>
        <v>0</v>
      </c>
      <c r="AE76">
        <f>IF(AD76=0,0,1+MAX(AE$69:AE75))</f>
        <v>0</v>
      </c>
      <c r="AF76">
        <f t="shared" si="66"/>
        <v>0</v>
      </c>
      <c r="AG76" t="str">
        <f t="shared" si="67"/>
        <v/>
      </c>
      <c r="AH76" t="str">
        <f t="shared" si="68"/>
        <v/>
      </c>
      <c r="AL76" s="609">
        <v>8</v>
      </c>
      <c r="AM76">
        <f t="shared" si="51"/>
        <v>0</v>
      </c>
      <c r="AN76">
        <f>IF(AM76=0,0,1+MAX(AN$69:AN75))</f>
        <v>0</v>
      </c>
      <c r="AO76">
        <f t="shared" si="69"/>
        <v>0</v>
      </c>
      <c r="AP76" t="str">
        <f t="shared" si="70"/>
        <v/>
      </c>
      <c r="AQ76" t="str">
        <f t="shared" si="71"/>
        <v/>
      </c>
      <c r="AU76" s="609">
        <v>8</v>
      </c>
      <c r="AV76">
        <f t="shared" si="52"/>
        <v>0</v>
      </c>
      <c r="AW76">
        <f>IF(AV76=0,0,1+MAX(AW$69:AW75))</f>
        <v>0</v>
      </c>
      <c r="AX76">
        <f t="shared" si="72"/>
        <v>0</v>
      </c>
      <c r="AY76" t="str">
        <f t="shared" si="73"/>
        <v/>
      </c>
      <c r="AZ76" t="str">
        <f t="shared" si="74"/>
        <v/>
      </c>
      <c r="BD76" s="609">
        <v>8</v>
      </c>
      <c r="BE76">
        <f t="shared" si="53"/>
        <v>0</v>
      </c>
      <c r="BF76">
        <f>IF(BE76=0,0,1+MAX(BF$69:BF75))</f>
        <v>0</v>
      </c>
      <c r="BG76">
        <f t="shared" si="75"/>
        <v>0</v>
      </c>
      <c r="BH76" t="str">
        <f t="shared" si="76"/>
        <v/>
      </c>
      <c r="BI76" t="str">
        <f t="shared" si="77"/>
        <v/>
      </c>
      <c r="BM76" s="609">
        <v>8</v>
      </c>
      <c r="BN76">
        <f t="shared" si="54"/>
        <v>0</v>
      </c>
      <c r="BO76">
        <f>IF(BN76=0,0,1+MAX(BO$69:BO75))</f>
        <v>0</v>
      </c>
      <c r="BP76">
        <f t="shared" si="78"/>
        <v>0</v>
      </c>
      <c r="BQ76" t="str">
        <f t="shared" si="79"/>
        <v/>
      </c>
      <c r="BR76" t="str">
        <f t="shared" si="80"/>
        <v/>
      </c>
      <c r="BV76" s="609">
        <v>8</v>
      </c>
      <c r="BW76">
        <f t="shared" si="55"/>
        <v>0</v>
      </c>
      <c r="BX76">
        <f>IF(BW76=0,0,1+MAX(BX$69:BX75))</f>
        <v>0</v>
      </c>
      <c r="BY76">
        <f t="shared" si="81"/>
        <v>0</v>
      </c>
      <c r="BZ76" t="str">
        <f t="shared" si="82"/>
        <v/>
      </c>
      <c r="CA76" t="str">
        <f t="shared" si="83"/>
        <v/>
      </c>
      <c r="CE76" s="609">
        <v>8</v>
      </c>
      <c r="CF76">
        <f t="shared" si="56"/>
        <v>0</v>
      </c>
      <c r="CG76">
        <f>IF(CF76=0,0,1+MAX(CG$69:CG75))</f>
        <v>0</v>
      </c>
      <c r="CH76">
        <f t="shared" si="84"/>
        <v>0</v>
      </c>
      <c r="CI76" t="str">
        <f t="shared" si="85"/>
        <v/>
      </c>
      <c r="CJ76" t="str">
        <f t="shared" si="86"/>
        <v/>
      </c>
    </row>
    <row r="77" spans="2:107" x14ac:dyDescent="0.25">
      <c r="B77" s="591">
        <v>9</v>
      </c>
      <c r="C77">
        <f t="shared" si="47"/>
        <v>0</v>
      </c>
      <c r="D77">
        <f>IF(C77=0,0,1+MAX(D$69:D76))</f>
        <v>0</v>
      </c>
      <c r="E77">
        <f t="shared" si="57"/>
        <v>0</v>
      </c>
      <c r="F77" t="str">
        <f t="shared" si="58"/>
        <v/>
      </c>
      <c r="G77" t="str">
        <f t="shared" si="59"/>
        <v/>
      </c>
      <c r="K77" s="609">
        <v>9</v>
      </c>
      <c r="L77">
        <f t="shared" si="48"/>
        <v>0</v>
      </c>
      <c r="M77">
        <f>IF(L77=0,0,1+MAX(M$69:M76))</f>
        <v>0</v>
      </c>
      <c r="N77">
        <f t="shared" si="60"/>
        <v>0</v>
      </c>
      <c r="O77" t="str">
        <f t="shared" si="61"/>
        <v/>
      </c>
      <c r="P77" t="str">
        <f t="shared" si="62"/>
        <v/>
      </c>
      <c r="T77" s="609">
        <v>9</v>
      </c>
      <c r="U77">
        <f t="shared" si="49"/>
        <v>0</v>
      </c>
      <c r="V77">
        <f>IF(U77=0,0,1+MAX(V$69:V76))</f>
        <v>0</v>
      </c>
      <c r="W77">
        <f t="shared" si="63"/>
        <v>0</v>
      </c>
      <c r="X77" t="str">
        <f t="shared" si="64"/>
        <v/>
      </c>
      <c r="Y77" t="str">
        <f t="shared" si="65"/>
        <v/>
      </c>
      <c r="AC77" s="609">
        <v>9</v>
      </c>
      <c r="AD77">
        <f t="shared" si="50"/>
        <v>0</v>
      </c>
      <c r="AE77">
        <f>IF(AD77=0,0,1+MAX(AE$69:AE76))</f>
        <v>0</v>
      </c>
      <c r="AF77">
        <f t="shared" si="66"/>
        <v>0</v>
      </c>
      <c r="AG77" t="str">
        <f t="shared" si="67"/>
        <v/>
      </c>
      <c r="AH77" t="str">
        <f t="shared" si="68"/>
        <v/>
      </c>
      <c r="AL77" s="609">
        <v>9</v>
      </c>
      <c r="AM77">
        <f t="shared" si="51"/>
        <v>0</v>
      </c>
      <c r="AN77">
        <f>IF(AM77=0,0,1+MAX(AN$69:AN76))</f>
        <v>0</v>
      </c>
      <c r="AO77">
        <f t="shared" si="69"/>
        <v>0</v>
      </c>
      <c r="AP77" t="str">
        <f t="shared" si="70"/>
        <v/>
      </c>
      <c r="AQ77" t="str">
        <f t="shared" si="71"/>
        <v/>
      </c>
      <c r="AU77" s="609">
        <v>9</v>
      </c>
      <c r="AV77">
        <f t="shared" si="52"/>
        <v>0</v>
      </c>
      <c r="AW77">
        <f>IF(AV77=0,0,1+MAX(AW$69:AW76))</f>
        <v>0</v>
      </c>
      <c r="AX77">
        <f t="shared" si="72"/>
        <v>0</v>
      </c>
      <c r="AY77" t="str">
        <f t="shared" si="73"/>
        <v/>
      </c>
      <c r="AZ77" t="str">
        <f t="shared" si="74"/>
        <v/>
      </c>
      <c r="BD77" s="609">
        <v>9</v>
      </c>
      <c r="BE77">
        <f t="shared" si="53"/>
        <v>0</v>
      </c>
      <c r="BF77">
        <f>IF(BE77=0,0,1+MAX(BF$69:BF76))</f>
        <v>0</v>
      </c>
      <c r="BG77">
        <f t="shared" si="75"/>
        <v>0</v>
      </c>
      <c r="BH77" t="str">
        <f t="shared" si="76"/>
        <v/>
      </c>
      <c r="BI77" t="str">
        <f t="shared" si="77"/>
        <v/>
      </c>
      <c r="BM77" s="609">
        <v>9</v>
      </c>
      <c r="BN77">
        <f t="shared" si="54"/>
        <v>0</v>
      </c>
      <c r="BO77">
        <f>IF(BN77=0,0,1+MAX(BO$69:BO76))</f>
        <v>0</v>
      </c>
      <c r="BP77">
        <f t="shared" si="78"/>
        <v>0</v>
      </c>
      <c r="BQ77" t="str">
        <f t="shared" si="79"/>
        <v/>
      </c>
      <c r="BR77" t="str">
        <f t="shared" si="80"/>
        <v/>
      </c>
      <c r="BV77" s="609">
        <v>9</v>
      </c>
      <c r="BW77">
        <f t="shared" si="55"/>
        <v>0</v>
      </c>
      <c r="BX77">
        <f>IF(BW77=0,0,1+MAX(BX$69:BX76))</f>
        <v>0</v>
      </c>
      <c r="BY77">
        <f t="shared" si="81"/>
        <v>0</v>
      </c>
      <c r="BZ77" t="str">
        <f t="shared" si="82"/>
        <v/>
      </c>
      <c r="CA77" t="str">
        <f t="shared" si="83"/>
        <v/>
      </c>
      <c r="CE77" s="609">
        <v>9</v>
      </c>
      <c r="CF77">
        <f t="shared" si="56"/>
        <v>0</v>
      </c>
      <c r="CG77">
        <f>IF(CF77=0,0,1+MAX(CG$69:CG76))</f>
        <v>0</v>
      </c>
      <c r="CH77">
        <f t="shared" si="84"/>
        <v>0</v>
      </c>
      <c r="CI77" t="str">
        <f t="shared" si="85"/>
        <v/>
      </c>
      <c r="CJ77" t="str">
        <f t="shared" si="86"/>
        <v/>
      </c>
    </row>
    <row r="78" spans="2:107" x14ac:dyDescent="0.25">
      <c r="B78" s="591">
        <v>10</v>
      </c>
      <c r="C78">
        <f t="shared" si="47"/>
        <v>0</v>
      </c>
      <c r="D78">
        <f>IF(C78=0,0,1+MAX(D$69:D77))</f>
        <v>0</v>
      </c>
      <c r="E78">
        <f t="shared" si="57"/>
        <v>0</v>
      </c>
      <c r="F78" t="str">
        <f t="shared" si="58"/>
        <v/>
      </c>
      <c r="G78" t="str">
        <f t="shared" si="59"/>
        <v/>
      </c>
      <c r="K78" s="609">
        <v>10</v>
      </c>
      <c r="L78">
        <f t="shared" si="48"/>
        <v>0</v>
      </c>
      <c r="M78">
        <f>IF(L78=0,0,1+MAX(M$69:M77))</f>
        <v>0</v>
      </c>
      <c r="N78">
        <f t="shared" si="60"/>
        <v>0</v>
      </c>
      <c r="O78" t="str">
        <f t="shared" si="61"/>
        <v/>
      </c>
      <c r="P78" t="str">
        <f t="shared" si="62"/>
        <v/>
      </c>
      <c r="T78" s="609">
        <v>10</v>
      </c>
      <c r="U78">
        <f t="shared" si="49"/>
        <v>0</v>
      </c>
      <c r="V78">
        <f>IF(U78=0,0,1+MAX(V$69:V77))</f>
        <v>0</v>
      </c>
      <c r="W78">
        <f t="shared" si="63"/>
        <v>0</v>
      </c>
      <c r="X78" t="str">
        <f t="shared" si="64"/>
        <v/>
      </c>
      <c r="Y78" t="str">
        <f t="shared" si="65"/>
        <v/>
      </c>
      <c r="AC78" s="609">
        <v>10</v>
      </c>
      <c r="AD78">
        <f t="shared" si="50"/>
        <v>0</v>
      </c>
      <c r="AE78">
        <f>IF(AD78=0,0,1+MAX(AE$69:AE77))</f>
        <v>0</v>
      </c>
      <c r="AF78">
        <f t="shared" si="66"/>
        <v>0</v>
      </c>
      <c r="AG78" t="str">
        <f t="shared" si="67"/>
        <v/>
      </c>
      <c r="AH78" t="str">
        <f t="shared" si="68"/>
        <v/>
      </c>
      <c r="AL78" s="609">
        <v>10</v>
      </c>
      <c r="AM78">
        <f t="shared" si="51"/>
        <v>0</v>
      </c>
      <c r="AN78">
        <f>IF(AM78=0,0,1+MAX(AN$69:AN77))</f>
        <v>0</v>
      </c>
      <c r="AO78">
        <f t="shared" si="69"/>
        <v>0</v>
      </c>
      <c r="AP78" t="str">
        <f t="shared" si="70"/>
        <v/>
      </c>
      <c r="AQ78" t="str">
        <f t="shared" si="71"/>
        <v/>
      </c>
      <c r="AU78" s="609">
        <v>10</v>
      </c>
      <c r="AV78">
        <f t="shared" si="52"/>
        <v>0</v>
      </c>
      <c r="AW78">
        <f>IF(AV78=0,0,1+MAX(AW$69:AW77))</f>
        <v>0</v>
      </c>
      <c r="AX78">
        <f t="shared" si="72"/>
        <v>0</v>
      </c>
      <c r="AY78" t="str">
        <f t="shared" si="73"/>
        <v/>
      </c>
      <c r="AZ78" t="str">
        <f t="shared" si="74"/>
        <v/>
      </c>
      <c r="BD78" s="609">
        <v>10</v>
      </c>
      <c r="BE78">
        <f t="shared" si="53"/>
        <v>0</v>
      </c>
      <c r="BF78">
        <f>IF(BE78=0,0,1+MAX(BF$69:BF77))</f>
        <v>0</v>
      </c>
      <c r="BG78">
        <f t="shared" si="75"/>
        <v>0</v>
      </c>
      <c r="BH78" t="str">
        <f t="shared" si="76"/>
        <v/>
      </c>
      <c r="BI78" t="str">
        <f t="shared" si="77"/>
        <v/>
      </c>
      <c r="BM78" s="609">
        <v>10</v>
      </c>
      <c r="BN78">
        <f t="shared" si="54"/>
        <v>0</v>
      </c>
      <c r="BO78">
        <f>IF(BN78=0,0,1+MAX(BO$69:BO77))</f>
        <v>0</v>
      </c>
      <c r="BP78">
        <f t="shared" si="78"/>
        <v>0</v>
      </c>
      <c r="BQ78" t="str">
        <f t="shared" si="79"/>
        <v/>
      </c>
      <c r="BR78" t="str">
        <f t="shared" si="80"/>
        <v/>
      </c>
      <c r="BV78" s="609">
        <v>10</v>
      </c>
      <c r="BW78">
        <f t="shared" si="55"/>
        <v>0</v>
      </c>
      <c r="BX78">
        <f>IF(BW78=0,0,1+MAX(BX$69:BX77))</f>
        <v>0</v>
      </c>
      <c r="BY78">
        <f t="shared" si="81"/>
        <v>0</v>
      </c>
      <c r="BZ78" t="str">
        <f t="shared" si="82"/>
        <v/>
      </c>
      <c r="CA78" t="str">
        <f t="shared" si="83"/>
        <v/>
      </c>
      <c r="CE78" s="609">
        <v>10</v>
      </c>
      <c r="CF78">
        <f t="shared" si="56"/>
        <v>0</v>
      </c>
      <c r="CG78">
        <f>IF(CF78=0,0,1+MAX(CG$69:CG77))</f>
        <v>0</v>
      </c>
      <c r="CH78">
        <f t="shared" si="84"/>
        <v>0</v>
      </c>
      <c r="CI78" t="str">
        <f t="shared" si="85"/>
        <v/>
      </c>
      <c r="CJ78" t="str">
        <f t="shared" si="86"/>
        <v/>
      </c>
    </row>
    <row r="79" spans="2:107" x14ac:dyDescent="0.25">
      <c r="B79" s="591">
        <v>11</v>
      </c>
      <c r="C79">
        <f t="shared" si="47"/>
        <v>0</v>
      </c>
      <c r="D79">
        <f>IF(C79=0,0,1+MAX(D$69:D78))</f>
        <v>0</v>
      </c>
      <c r="E79">
        <f t="shared" si="57"/>
        <v>0</v>
      </c>
      <c r="F79" t="str">
        <f t="shared" si="58"/>
        <v/>
      </c>
      <c r="G79" t="str">
        <f t="shared" si="59"/>
        <v/>
      </c>
      <c r="K79" s="609">
        <v>11</v>
      </c>
      <c r="L79">
        <f t="shared" si="48"/>
        <v>0</v>
      </c>
      <c r="M79">
        <f>IF(L79=0,0,1+MAX(M$69:M78))</f>
        <v>0</v>
      </c>
      <c r="N79">
        <f t="shared" si="60"/>
        <v>0</v>
      </c>
      <c r="O79" t="str">
        <f t="shared" si="61"/>
        <v/>
      </c>
      <c r="P79" t="str">
        <f t="shared" si="62"/>
        <v/>
      </c>
      <c r="T79" s="609">
        <v>11</v>
      </c>
      <c r="U79">
        <f t="shared" si="49"/>
        <v>0</v>
      </c>
      <c r="V79">
        <f>IF(U79=0,0,1+MAX(V$69:V78))</f>
        <v>0</v>
      </c>
      <c r="W79">
        <f t="shared" si="63"/>
        <v>0</v>
      </c>
      <c r="X79" t="str">
        <f t="shared" si="64"/>
        <v/>
      </c>
      <c r="Y79" t="str">
        <f t="shared" si="65"/>
        <v/>
      </c>
      <c r="AC79" s="609">
        <v>11</v>
      </c>
      <c r="AD79">
        <f t="shared" si="50"/>
        <v>0</v>
      </c>
      <c r="AE79">
        <f>IF(AD79=0,0,1+MAX(AE$69:AE78))</f>
        <v>0</v>
      </c>
      <c r="AF79">
        <f t="shared" si="66"/>
        <v>0</v>
      </c>
      <c r="AG79" t="str">
        <f t="shared" si="67"/>
        <v/>
      </c>
      <c r="AH79" t="str">
        <f t="shared" si="68"/>
        <v/>
      </c>
      <c r="AL79" s="609">
        <v>11</v>
      </c>
      <c r="AM79">
        <f t="shared" si="51"/>
        <v>0</v>
      </c>
      <c r="AN79">
        <f>IF(AM79=0,0,1+MAX(AN$69:AN78))</f>
        <v>0</v>
      </c>
      <c r="AO79">
        <f t="shared" si="69"/>
        <v>0</v>
      </c>
      <c r="AP79" t="str">
        <f t="shared" si="70"/>
        <v/>
      </c>
      <c r="AQ79" t="str">
        <f t="shared" si="71"/>
        <v/>
      </c>
      <c r="AU79" s="609">
        <v>11</v>
      </c>
      <c r="AV79">
        <f t="shared" si="52"/>
        <v>0</v>
      </c>
      <c r="AW79">
        <f>IF(AV79=0,0,1+MAX(AW$69:AW78))</f>
        <v>0</v>
      </c>
      <c r="AX79">
        <f t="shared" si="72"/>
        <v>0</v>
      </c>
      <c r="AY79" t="str">
        <f t="shared" si="73"/>
        <v/>
      </c>
      <c r="AZ79" t="str">
        <f t="shared" si="74"/>
        <v/>
      </c>
      <c r="BD79" s="609">
        <v>11</v>
      </c>
      <c r="BE79">
        <f t="shared" si="53"/>
        <v>0</v>
      </c>
      <c r="BF79">
        <f>IF(BE79=0,0,1+MAX(BF$69:BF78))</f>
        <v>0</v>
      </c>
      <c r="BG79">
        <f t="shared" si="75"/>
        <v>0</v>
      </c>
      <c r="BH79" t="str">
        <f t="shared" si="76"/>
        <v/>
      </c>
      <c r="BI79" t="str">
        <f t="shared" si="77"/>
        <v/>
      </c>
      <c r="BM79" s="609">
        <v>11</v>
      </c>
      <c r="BN79">
        <f t="shared" si="54"/>
        <v>0</v>
      </c>
      <c r="BO79">
        <f>IF(BN79=0,0,1+MAX(BO$69:BO78))</f>
        <v>0</v>
      </c>
      <c r="BP79">
        <f t="shared" si="78"/>
        <v>0</v>
      </c>
      <c r="BQ79" t="str">
        <f t="shared" si="79"/>
        <v/>
      </c>
      <c r="BR79" t="str">
        <f t="shared" si="80"/>
        <v/>
      </c>
      <c r="BV79" s="609">
        <v>11</v>
      </c>
      <c r="BW79">
        <f t="shared" si="55"/>
        <v>0</v>
      </c>
      <c r="BX79">
        <f>IF(BW79=0,0,1+MAX(BX$69:BX78))</f>
        <v>0</v>
      </c>
      <c r="BY79">
        <f t="shared" si="81"/>
        <v>0</v>
      </c>
      <c r="BZ79" t="str">
        <f t="shared" si="82"/>
        <v/>
      </c>
      <c r="CA79" t="str">
        <f t="shared" si="83"/>
        <v/>
      </c>
      <c r="CE79" s="609">
        <v>11</v>
      </c>
      <c r="CF79">
        <f t="shared" si="56"/>
        <v>0</v>
      </c>
      <c r="CG79">
        <f>IF(CF79=0,0,1+MAX(CG$69:CG78))</f>
        <v>0</v>
      </c>
      <c r="CH79">
        <f t="shared" si="84"/>
        <v>0</v>
      </c>
      <c r="CI79" t="str">
        <f t="shared" si="85"/>
        <v/>
      </c>
      <c r="CJ79" t="str">
        <f t="shared" si="86"/>
        <v/>
      </c>
    </row>
    <row r="80" spans="2:107" x14ac:dyDescent="0.25">
      <c r="B80" s="591">
        <v>12</v>
      </c>
      <c r="C80">
        <f t="shared" si="47"/>
        <v>0</v>
      </c>
      <c r="D80">
        <f>IF(C80=0,0,1+MAX(D$69:D79))</f>
        <v>0</v>
      </c>
      <c r="E80">
        <f t="shared" si="57"/>
        <v>0</v>
      </c>
      <c r="F80" t="str">
        <f t="shared" si="58"/>
        <v/>
      </c>
      <c r="G80" t="str">
        <f t="shared" si="59"/>
        <v/>
      </c>
      <c r="K80" s="609">
        <v>12</v>
      </c>
      <c r="L80">
        <f t="shared" si="48"/>
        <v>0</v>
      </c>
      <c r="M80">
        <f>IF(L80=0,0,1+MAX(M$69:M79))</f>
        <v>0</v>
      </c>
      <c r="N80">
        <f t="shared" si="60"/>
        <v>0</v>
      </c>
      <c r="O80" t="str">
        <f t="shared" si="61"/>
        <v/>
      </c>
      <c r="P80" t="str">
        <f t="shared" si="62"/>
        <v/>
      </c>
      <c r="T80" s="609">
        <v>12</v>
      </c>
      <c r="U80">
        <f t="shared" si="49"/>
        <v>0</v>
      </c>
      <c r="V80">
        <f>IF(U80=0,0,1+MAX(V$69:V79))</f>
        <v>0</v>
      </c>
      <c r="W80">
        <f t="shared" si="63"/>
        <v>0</v>
      </c>
      <c r="X80" t="str">
        <f t="shared" si="64"/>
        <v/>
      </c>
      <c r="Y80" t="str">
        <f t="shared" si="65"/>
        <v/>
      </c>
      <c r="AC80" s="609">
        <v>12</v>
      </c>
      <c r="AD80">
        <f t="shared" si="50"/>
        <v>0</v>
      </c>
      <c r="AE80">
        <f>IF(AD80=0,0,1+MAX(AE$69:AE79))</f>
        <v>0</v>
      </c>
      <c r="AF80">
        <f t="shared" si="66"/>
        <v>0</v>
      </c>
      <c r="AG80" t="str">
        <f t="shared" si="67"/>
        <v/>
      </c>
      <c r="AH80" t="str">
        <f t="shared" si="68"/>
        <v/>
      </c>
      <c r="AL80" s="609">
        <v>12</v>
      </c>
      <c r="AM80">
        <f t="shared" si="51"/>
        <v>0</v>
      </c>
      <c r="AN80">
        <f>IF(AM80=0,0,1+MAX(AN$69:AN79))</f>
        <v>0</v>
      </c>
      <c r="AO80">
        <f t="shared" si="69"/>
        <v>0</v>
      </c>
      <c r="AP80" t="str">
        <f t="shared" si="70"/>
        <v/>
      </c>
      <c r="AQ80" t="str">
        <f t="shared" si="71"/>
        <v/>
      </c>
      <c r="AU80" s="609">
        <v>12</v>
      </c>
      <c r="AV80">
        <f t="shared" si="52"/>
        <v>0</v>
      </c>
      <c r="AW80">
        <f>IF(AV80=0,0,1+MAX(AW$69:AW79))</f>
        <v>0</v>
      </c>
      <c r="AX80">
        <f t="shared" si="72"/>
        <v>0</v>
      </c>
      <c r="AY80" t="str">
        <f t="shared" si="73"/>
        <v/>
      </c>
      <c r="AZ80" t="str">
        <f t="shared" si="74"/>
        <v/>
      </c>
      <c r="BD80" s="609">
        <v>12</v>
      </c>
      <c r="BE80">
        <f t="shared" si="53"/>
        <v>0</v>
      </c>
      <c r="BF80">
        <f>IF(BE80=0,0,1+MAX(BF$69:BF79))</f>
        <v>0</v>
      </c>
      <c r="BG80">
        <f t="shared" si="75"/>
        <v>0</v>
      </c>
      <c r="BH80" t="str">
        <f t="shared" si="76"/>
        <v/>
      </c>
      <c r="BI80" t="str">
        <f t="shared" si="77"/>
        <v/>
      </c>
      <c r="BM80" s="609">
        <v>12</v>
      </c>
      <c r="BN80">
        <f t="shared" si="54"/>
        <v>0</v>
      </c>
      <c r="BO80">
        <f>IF(BN80=0,0,1+MAX(BO$69:BO79))</f>
        <v>0</v>
      </c>
      <c r="BP80">
        <f t="shared" si="78"/>
        <v>0</v>
      </c>
      <c r="BQ80" t="str">
        <f t="shared" si="79"/>
        <v/>
      </c>
      <c r="BR80" t="str">
        <f t="shared" si="80"/>
        <v/>
      </c>
      <c r="BV80" s="609">
        <v>12</v>
      </c>
      <c r="BW80">
        <f t="shared" si="55"/>
        <v>0</v>
      </c>
      <c r="BX80">
        <f>IF(BW80=0,0,1+MAX(BX$69:BX79))</f>
        <v>0</v>
      </c>
      <c r="BY80">
        <f t="shared" si="81"/>
        <v>0</v>
      </c>
      <c r="BZ80" t="str">
        <f t="shared" si="82"/>
        <v/>
      </c>
      <c r="CA80" t="str">
        <f t="shared" si="83"/>
        <v/>
      </c>
      <c r="CE80" s="609">
        <v>12</v>
      </c>
      <c r="CF80">
        <f t="shared" si="56"/>
        <v>0</v>
      </c>
      <c r="CG80">
        <f>IF(CF80=0,0,1+MAX(CG$69:CG79))</f>
        <v>0</v>
      </c>
      <c r="CH80">
        <f t="shared" si="84"/>
        <v>0</v>
      </c>
      <c r="CI80" t="str">
        <f t="shared" si="85"/>
        <v/>
      </c>
      <c r="CJ80" t="str">
        <f t="shared" si="86"/>
        <v/>
      </c>
    </row>
    <row r="81" spans="2:88" x14ac:dyDescent="0.25">
      <c r="B81" s="591">
        <v>13</v>
      </c>
      <c r="C81">
        <f t="shared" si="47"/>
        <v>0</v>
      </c>
      <c r="D81">
        <f>IF(C81=0,0,1+MAX(D$69:D80))</f>
        <v>0</v>
      </c>
      <c r="E81">
        <f t="shared" si="57"/>
        <v>0</v>
      </c>
      <c r="F81" t="str">
        <f t="shared" si="58"/>
        <v/>
      </c>
      <c r="G81" t="str">
        <f t="shared" si="59"/>
        <v/>
      </c>
      <c r="K81" s="609">
        <v>13</v>
      </c>
      <c r="L81">
        <f t="shared" si="48"/>
        <v>0</v>
      </c>
      <c r="M81">
        <f>IF(L81=0,0,1+MAX(M$69:M80))</f>
        <v>0</v>
      </c>
      <c r="N81">
        <f t="shared" si="60"/>
        <v>0</v>
      </c>
      <c r="O81" t="str">
        <f t="shared" si="61"/>
        <v/>
      </c>
      <c r="P81" t="str">
        <f t="shared" si="62"/>
        <v/>
      </c>
      <c r="T81" s="609">
        <v>13</v>
      </c>
      <c r="U81">
        <f t="shared" si="49"/>
        <v>0</v>
      </c>
      <c r="V81">
        <f>IF(U81=0,0,1+MAX(V$69:V80))</f>
        <v>0</v>
      </c>
      <c r="W81">
        <f t="shared" si="63"/>
        <v>0</v>
      </c>
      <c r="X81" t="str">
        <f t="shared" si="64"/>
        <v/>
      </c>
      <c r="Y81" t="str">
        <f t="shared" si="65"/>
        <v/>
      </c>
      <c r="AC81" s="609">
        <v>13</v>
      </c>
      <c r="AD81">
        <f t="shared" si="50"/>
        <v>0</v>
      </c>
      <c r="AE81">
        <f>IF(AD81=0,0,1+MAX(AE$69:AE80))</f>
        <v>0</v>
      </c>
      <c r="AF81">
        <f t="shared" si="66"/>
        <v>0</v>
      </c>
      <c r="AG81" t="str">
        <f t="shared" si="67"/>
        <v/>
      </c>
      <c r="AH81" t="str">
        <f t="shared" si="68"/>
        <v/>
      </c>
      <c r="AL81" s="609">
        <v>13</v>
      </c>
      <c r="AM81">
        <f t="shared" si="51"/>
        <v>0</v>
      </c>
      <c r="AN81">
        <f>IF(AM81=0,0,1+MAX(AN$69:AN80))</f>
        <v>0</v>
      </c>
      <c r="AO81">
        <f t="shared" si="69"/>
        <v>0</v>
      </c>
      <c r="AP81" t="str">
        <f t="shared" si="70"/>
        <v/>
      </c>
      <c r="AQ81" t="str">
        <f t="shared" si="71"/>
        <v/>
      </c>
      <c r="AU81" s="609">
        <v>13</v>
      </c>
      <c r="AV81">
        <f t="shared" si="52"/>
        <v>0</v>
      </c>
      <c r="AW81">
        <f>IF(AV81=0,0,1+MAX(AW$69:AW80))</f>
        <v>0</v>
      </c>
      <c r="AX81">
        <f t="shared" si="72"/>
        <v>0</v>
      </c>
      <c r="AY81" t="str">
        <f t="shared" si="73"/>
        <v/>
      </c>
      <c r="AZ81" t="str">
        <f t="shared" si="74"/>
        <v/>
      </c>
      <c r="BD81" s="609">
        <v>13</v>
      </c>
      <c r="BE81">
        <f t="shared" si="53"/>
        <v>0</v>
      </c>
      <c r="BF81">
        <f>IF(BE81=0,0,1+MAX(BF$69:BF80))</f>
        <v>0</v>
      </c>
      <c r="BG81">
        <f t="shared" si="75"/>
        <v>0</v>
      </c>
      <c r="BH81" t="str">
        <f t="shared" si="76"/>
        <v/>
      </c>
      <c r="BI81" t="str">
        <f t="shared" si="77"/>
        <v/>
      </c>
      <c r="BM81" s="609">
        <v>13</v>
      </c>
      <c r="BN81">
        <f t="shared" si="54"/>
        <v>0</v>
      </c>
      <c r="BO81">
        <f>IF(BN81=0,0,1+MAX(BO$69:BO80))</f>
        <v>0</v>
      </c>
      <c r="BP81">
        <f t="shared" si="78"/>
        <v>0</v>
      </c>
      <c r="BQ81" t="str">
        <f t="shared" si="79"/>
        <v/>
      </c>
      <c r="BR81" t="str">
        <f t="shared" si="80"/>
        <v/>
      </c>
      <c r="BV81" s="609">
        <v>13</v>
      </c>
      <c r="BW81">
        <f t="shared" si="55"/>
        <v>0</v>
      </c>
      <c r="BX81">
        <f>IF(BW81=0,0,1+MAX(BX$69:BX80))</f>
        <v>0</v>
      </c>
      <c r="BY81">
        <f t="shared" si="81"/>
        <v>0</v>
      </c>
      <c r="BZ81" t="str">
        <f t="shared" si="82"/>
        <v/>
      </c>
      <c r="CA81" t="str">
        <f t="shared" si="83"/>
        <v/>
      </c>
      <c r="CE81" s="609">
        <v>13</v>
      </c>
      <c r="CF81">
        <f t="shared" si="56"/>
        <v>0</v>
      </c>
      <c r="CG81">
        <f>IF(CF81=0,0,1+MAX(CG$69:CG80))</f>
        <v>0</v>
      </c>
      <c r="CH81">
        <f t="shared" si="84"/>
        <v>0</v>
      </c>
      <c r="CI81" t="str">
        <f t="shared" si="85"/>
        <v/>
      </c>
      <c r="CJ81" t="str">
        <f t="shared" si="86"/>
        <v/>
      </c>
    </row>
    <row r="82" spans="2:88" x14ac:dyDescent="0.25">
      <c r="B82" s="591">
        <v>14</v>
      </c>
      <c r="C82">
        <f t="shared" si="47"/>
        <v>0</v>
      </c>
      <c r="D82">
        <f>IF(C82=0,0,1+MAX(D$69:D81))</f>
        <v>0</v>
      </c>
      <c r="E82">
        <f t="shared" si="57"/>
        <v>0</v>
      </c>
      <c r="F82" t="str">
        <f t="shared" si="58"/>
        <v/>
      </c>
      <c r="G82" t="str">
        <f t="shared" si="59"/>
        <v/>
      </c>
      <c r="K82" s="609">
        <v>14</v>
      </c>
      <c r="L82">
        <f t="shared" si="48"/>
        <v>0</v>
      </c>
      <c r="M82">
        <f>IF(L82=0,0,1+MAX(M$69:M81))</f>
        <v>0</v>
      </c>
      <c r="N82">
        <f t="shared" si="60"/>
        <v>0</v>
      </c>
      <c r="O82" t="str">
        <f t="shared" si="61"/>
        <v/>
      </c>
      <c r="P82" t="str">
        <f t="shared" si="62"/>
        <v/>
      </c>
      <c r="T82" s="609">
        <v>14</v>
      </c>
      <c r="U82">
        <f t="shared" si="49"/>
        <v>0</v>
      </c>
      <c r="V82">
        <f>IF(U82=0,0,1+MAX(V$69:V81))</f>
        <v>0</v>
      </c>
      <c r="W82">
        <f t="shared" si="63"/>
        <v>0</v>
      </c>
      <c r="X82" t="str">
        <f t="shared" si="64"/>
        <v/>
      </c>
      <c r="Y82" t="str">
        <f t="shared" si="65"/>
        <v/>
      </c>
      <c r="AC82" s="609">
        <v>14</v>
      </c>
      <c r="AD82">
        <f t="shared" si="50"/>
        <v>0</v>
      </c>
      <c r="AE82">
        <f>IF(AD82=0,0,1+MAX(AE$69:AE81))</f>
        <v>0</v>
      </c>
      <c r="AF82">
        <f t="shared" si="66"/>
        <v>0</v>
      </c>
      <c r="AG82" t="str">
        <f t="shared" si="67"/>
        <v/>
      </c>
      <c r="AH82" t="str">
        <f t="shared" si="68"/>
        <v/>
      </c>
      <c r="AL82" s="609">
        <v>14</v>
      </c>
      <c r="AM82">
        <f t="shared" si="51"/>
        <v>0</v>
      </c>
      <c r="AN82">
        <f>IF(AM82=0,0,1+MAX(AN$69:AN81))</f>
        <v>0</v>
      </c>
      <c r="AO82">
        <f t="shared" si="69"/>
        <v>0</v>
      </c>
      <c r="AP82" t="str">
        <f t="shared" si="70"/>
        <v/>
      </c>
      <c r="AQ82" t="str">
        <f t="shared" si="71"/>
        <v/>
      </c>
      <c r="AU82" s="609">
        <v>14</v>
      </c>
      <c r="AV82">
        <f t="shared" si="52"/>
        <v>0</v>
      </c>
      <c r="AW82">
        <f>IF(AV82=0,0,1+MAX(AW$69:AW81))</f>
        <v>0</v>
      </c>
      <c r="AX82">
        <f t="shared" si="72"/>
        <v>0</v>
      </c>
      <c r="AY82" t="str">
        <f t="shared" si="73"/>
        <v/>
      </c>
      <c r="AZ82" t="str">
        <f t="shared" si="74"/>
        <v/>
      </c>
      <c r="BD82" s="609">
        <v>14</v>
      </c>
      <c r="BE82">
        <f t="shared" si="53"/>
        <v>0</v>
      </c>
      <c r="BF82">
        <f>IF(BE82=0,0,1+MAX(BF$69:BF81))</f>
        <v>0</v>
      </c>
      <c r="BG82">
        <f t="shared" si="75"/>
        <v>0</v>
      </c>
      <c r="BH82" t="str">
        <f t="shared" si="76"/>
        <v/>
      </c>
      <c r="BI82" t="str">
        <f t="shared" si="77"/>
        <v/>
      </c>
      <c r="BM82" s="609">
        <v>14</v>
      </c>
      <c r="BN82">
        <f t="shared" si="54"/>
        <v>0</v>
      </c>
      <c r="BO82">
        <f>IF(BN82=0,0,1+MAX(BO$69:BO81))</f>
        <v>0</v>
      </c>
      <c r="BP82">
        <f t="shared" si="78"/>
        <v>0</v>
      </c>
      <c r="BQ82" t="str">
        <f t="shared" si="79"/>
        <v/>
      </c>
      <c r="BR82" t="str">
        <f t="shared" si="80"/>
        <v/>
      </c>
      <c r="BV82" s="609">
        <v>14</v>
      </c>
      <c r="BW82">
        <f t="shared" si="55"/>
        <v>0</v>
      </c>
      <c r="BX82">
        <f>IF(BW82=0,0,1+MAX(BX$69:BX81))</f>
        <v>0</v>
      </c>
      <c r="BY82">
        <f t="shared" si="81"/>
        <v>0</v>
      </c>
      <c r="BZ82" t="str">
        <f t="shared" si="82"/>
        <v/>
      </c>
      <c r="CA82" t="str">
        <f t="shared" si="83"/>
        <v/>
      </c>
      <c r="CE82" s="609">
        <v>14</v>
      </c>
      <c r="CF82">
        <f t="shared" si="56"/>
        <v>0</v>
      </c>
      <c r="CG82">
        <f>IF(CF82=0,0,1+MAX(CG$69:CG81))</f>
        <v>0</v>
      </c>
      <c r="CH82">
        <f t="shared" si="84"/>
        <v>0</v>
      </c>
      <c r="CI82" t="str">
        <f t="shared" si="85"/>
        <v/>
      </c>
      <c r="CJ82" t="str">
        <f t="shared" si="86"/>
        <v/>
      </c>
    </row>
    <row r="83" spans="2:88" x14ac:dyDescent="0.25">
      <c r="B83" s="591">
        <v>15</v>
      </c>
      <c r="C83">
        <f t="shared" si="47"/>
        <v>0</v>
      </c>
      <c r="D83">
        <f>IF(C83=0,0,1+MAX(D$69:D82))</f>
        <v>0</v>
      </c>
      <c r="E83">
        <f t="shared" si="57"/>
        <v>0</v>
      </c>
      <c r="F83" t="str">
        <f t="shared" si="58"/>
        <v/>
      </c>
      <c r="G83" t="str">
        <f t="shared" si="59"/>
        <v/>
      </c>
      <c r="K83" s="609">
        <v>15</v>
      </c>
      <c r="L83">
        <f t="shared" si="48"/>
        <v>0</v>
      </c>
      <c r="M83">
        <f>IF(L83=0,0,1+MAX(M$69:M82))</f>
        <v>0</v>
      </c>
      <c r="N83">
        <f t="shared" si="60"/>
        <v>0</v>
      </c>
      <c r="O83" t="str">
        <f t="shared" si="61"/>
        <v/>
      </c>
      <c r="P83" t="str">
        <f t="shared" si="62"/>
        <v/>
      </c>
      <c r="T83" s="609">
        <v>15</v>
      </c>
      <c r="U83">
        <f t="shared" si="49"/>
        <v>0</v>
      </c>
      <c r="V83">
        <f>IF(U83=0,0,1+MAX(V$69:V82))</f>
        <v>0</v>
      </c>
      <c r="W83">
        <f t="shared" si="63"/>
        <v>0</v>
      </c>
      <c r="X83" t="str">
        <f t="shared" si="64"/>
        <v/>
      </c>
      <c r="Y83" t="str">
        <f t="shared" si="65"/>
        <v/>
      </c>
      <c r="AC83" s="609">
        <v>15</v>
      </c>
      <c r="AD83">
        <f t="shared" si="50"/>
        <v>0</v>
      </c>
      <c r="AE83">
        <f>IF(AD83=0,0,1+MAX(AE$69:AE82))</f>
        <v>0</v>
      </c>
      <c r="AF83">
        <f t="shared" si="66"/>
        <v>0</v>
      </c>
      <c r="AG83" t="str">
        <f t="shared" si="67"/>
        <v/>
      </c>
      <c r="AH83" t="str">
        <f t="shared" si="68"/>
        <v/>
      </c>
      <c r="AL83" s="609">
        <v>15</v>
      </c>
      <c r="AM83">
        <f t="shared" si="51"/>
        <v>0</v>
      </c>
      <c r="AN83">
        <f>IF(AM83=0,0,1+MAX(AN$69:AN82))</f>
        <v>0</v>
      </c>
      <c r="AO83">
        <f t="shared" si="69"/>
        <v>0</v>
      </c>
      <c r="AP83" t="str">
        <f t="shared" si="70"/>
        <v/>
      </c>
      <c r="AQ83" t="str">
        <f t="shared" si="71"/>
        <v/>
      </c>
      <c r="AU83" s="609">
        <v>15</v>
      </c>
      <c r="AV83">
        <f t="shared" si="52"/>
        <v>0</v>
      </c>
      <c r="AW83">
        <f>IF(AV83=0,0,1+MAX(AW$69:AW82))</f>
        <v>0</v>
      </c>
      <c r="AX83">
        <f t="shared" si="72"/>
        <v>0</v>
      </c>
      <c r="AY83" t="str">
        <f t="shared" si="73"/>
        <v/>
      </c>
      <c r="AZ83" t="str">
        <f t="shared" si="74"/>
        <v/>
      </c>
      <c r="BD83" s="609">
        <v>15</v>
      </c>
      <c r="BE83">
        <f t="shared" si="53"/>
        <v>0</v>
      </c>
      <c r="BF83">
        <f>IF(BE83=0,0,1+MAX(BF$69:BF82))</f>
        <v>0</v>
      </c>
      <c r="BG83">
        <f t="shared" si="75"/>
        <v>0</v>
      </c>
      <c r="BH83" t="str">
        <f t="shared" si="76"/>
        <v/>
      </c>
      <c r="BI83" t="str">
        <f t="shared" si="77"/>
        <v/>
      </c>
      <c r="BM83" s="609">
        <v>15</v>
      </c>
      <c r="BN83">
        <f t="shared" si="54"/>
        <v>0</v>
      </c>
      <c r="BO83">
        <f>IF(BN83=0,0,1+MAX(BO$69:BO82))</f>
        <v>0</v>
      </c>
      <c r="BP83">
        <f t="shared" si="78"/>
        <v>0</v>
      </c>
      <c r="BQ83" t="str">
        <f t="shared" si="79"/>
        <v/>
      </c>
      <c r="BR83" t="str">
        <f t="shared" si="80"/>
        <v/>
      </c>
      <c r="BV83" s="609">
        <v>15</v>
      </c>
      <c r="BW83">
        <f t="shared" si="55"/>
        <v>0</v>
      </c>
      <c r="BX83">
        <f>IF(BW83=0,0,1+MAX(BX$69:BX82))</f>
        <v>0</v>
      </c>
      <c r="BY83">
        <f t="shared" si="81"/>
        <v>0</v>
      </c>
      <c r="BZ83" t="str">
        <f t="shared" si="82"/>
        <v/>
      </c>
      <c r="CA83" t="str">
        <f t="shared" si="83"/>
        <v/>
      </c>
      <c r="CE83" s="609">
        <v>15</v>
      </c>
      <c r="CF83">
        <f t="shared" si="56"/>
        <v>0</v>
      </c>
      <c r="CG83">
        <f>IF(CF83=0,0,1+MAX(CG$69:CG82))</f>
        <v>0</v>
      </c>
      <c r="CH83">
        <f t="shared" si="84"/>
        <v>0</v>
      </c>
      <c r="CI83" t="str">
        <f t="shared" si="85"/>
        <v/>
      </c>
      <c r="CJ83" t="str">
        <f t="shared" si="86"/>
        <v/>
      </c>
    </row>
    <row r="84" spans="2:88" x14ac:dyDescent="0.25">
      <c r="B84" s="591">
        <v>16</v>
      </c>
      <c r="C84">
        <f t="shared" si="47"/>
        <v>0</v>
      </c>
      <c r="D84">
        <f>IF(C84=0,0,1+MAX(D$69:D83))</f>
        <v>0</v>
      </c>
      <c r="E84">
        <f t="shared" si="57"/>
        <v>0</v>
      </c>
      <c r="F84" t="str">
        <f t="shared" si="58"/>
        <v/>
      </c>
      <c r="G84" t="str">
        <f t="shared" si="59"/>
        <v/>
      </c>
      <c r="K84" s="609">
        <v>16</v>
      </c>
      <c r="L84">
        <f t="shared" si="48"/>
        <v>0</v>
      </c>
      <c r="M84">
        <f>IF(L84=0,0,1+MAX(M$69:M83))</f>
        <v>0</v>
      </c>
      <c r="N84">
        <f t="shared" si="60"/>
        <v>0</v>
      </c>
      <c r="O84" t="str">
        <f t="shared" si="61"/>
        <v/>
      </c>
      <c r="P84" t="str">
        <f t="shared" si="62"/>
        <v/>
      </c>
      <c r="T84" s="609">
        <v>16</v>
      </c>
      <c r="U84">
        <f t="shared" si="49"/>
        <v>0</v>
      </c>
      <c r="V84">
        <f>IF(U84=0,0,1+MAX(V$69:V83))</f>
        <v>0</v>
      </c>
      <c r="W84">
        <f t="shared" si="63"/>
        <v>0</v>
      </c>
      <c r="X84" t="str">
        <f t="shared" si="64"/>
        <v/>
      </c>
      <c r="Y84" t="str">
        <f t="shared" si="65"/>
        <v/>
      </c>
      <c r="AC84" s="609">
        <v>16</v>
      </c>
      <c r="AD84">
        <f t="shared" si="50"/>
        <v>0</v>
      </c>
      <c r="AE84">
        <f>IF(AD84=0,0,1+MAX(AE$69:AE83))</f>
        <v>0</v>
      </c>
      <c r="AF84">
        <f t="shared" si="66"/>
        <v>0</v>
      </c>
      <c r="AG84" t="str">
        <f t="shared" si="67"/>
        <v/>
      </c>
      <c r="AH84" t="str">
        <f t="shared" si="68"/>
        <v/>
      </c>
      <c r="AL84" s="609">
        <v>16</v>
      </c>
      <c r="AM84">
        <f t="shared" si="51"/>
        <v>0</v>
      </c>
      <c r="AN84">
        <f>IF(AM84=0,0,1+MAX(AN$69:AN83))</f>
        <v>0</v>
      </c>
      <c r="AO84">
        <f t="shared" si="69"/>
        <v>0</v>
      </c>
      <c r="AP84" t="str">
        <f t="shared" si="70"/>
        <v/>
      </c>
      <c r="AQ84" t="str">
        <f t="shared" si="71"/>
        <v/>
      </c>
      <c r="AU84" s="609">
        <v>16</v>
      </c>
      <c r="AV84">
        <f t="shared" si="52"/>
        <v>0</v>
      </c>
      <c r="AW84">
        <f>IF(AV84=0,0,1+MAX(AW$69:AW83))</f>
        <v>0</v>
      </c>
      <c r="AX84">
        <f t="shared" si="72"/>
        <v>0</v>
      </c>
      <c r="AY84" t="str">
        <f t="shared" si="73"/>
        <v/>
      </c>
      <c r="AZ84" t="str">
        <f t="shared" si="74"/>
        <v/>
      </c>
      <c r="BD84" s="609">
        <v>16</v>
      </c>
      <c r="BE84">
        <f t="shared" si="53"/>
        <v>0</v>
      </c>
      <c r="BF84">
        <f>IF(BE84=0,0,1+MAX(BF$69:BF83))</f>
        <v>0</v>
      </c>
      <c r="BG84">
        <f t="shared" si="75"/>
        <v>0</v>
      </c>
      <c r="BH84" t="str">
        <f t="shared" si="76"/>
        <v/>
      </c>
      <c r="BI84" t="str">
        <f t="shared" si="77"/>
        <v/>
      </c>
      <c r="BM84" s="609">
        <v>16</v>
      </c>
      <c r="BN84">
        <f t="shared" si="54"/>
        <v>0</v>
      </c>
      <c r="BO84">
        <f>IF(BN84=0,0,1+MAX(BO$69:BO83))</f>
        <v>0</v>
      </c>
      <c r="BP84">
        <f t="shared" si="78"/>
        <v>0</v>
      </c>
      <c r="BQ84" t="str">
        <f t="shared" si="79"/>
        <v/>
      </c>
      <c r="BR84" t="str">
        <f t="shared" si="80"/>
        <v/>
      </c>
      <c r="BV84" s="609">
        <v>16</v>
      </c>
      <c r="BW84">
        <f t="shared" si="55"/>
        <v>0</v>
      </c>
      <c r="BX84">
        <f>IF(BW84=0,0,1+MAX(BX$69:BX83))</f>
        <v>0</v>
      </c>
      <c r="BY84">
        <f t="shared" si="81"/>
        <v>0</v>
      </c>
      <c r="BZ84" t="str">
        <f t="shared" si="82"/>
        <v/>
      </c>
      <c r="CA84" t="str">
        <f t="shared" si="83"/>
        <v/>
      </c>
      <c r="CE84" s="609">
        <v>16</v>
      </c>
      <c r="CF84">
        <f t="shared" si="56"/>
        <v>0</v>
      </c>
      <c r="CG84">
        <f>IF(CF84=0,0,1+MAX(CG$69:CG83))</f>
        <v>0</v>
      </c>
      <c r="CH84">
        <f t="shared" si="84"/>
        <v>0</v>
      </c>
      <c r="CI84" t="str">
        <f t="shared" si="85"/>
        <v/>
      </c>
      <c r="CJ84" t="str">
        <f t="shared" si="86"/>
        <v/>
      </c>
    </row>
    <row r="85" spans="2:88" x14ac:dyDescent="0.25">
      <c r="B85" s="591">
        <v>17</v>
      </c>
      <c r="C85">
        <f t="shared" si="47"/>
        <v>0</v>
      </c>
      <c r="D85">
        <f>IF(C85=0,0,1+MAX(D$69:D84))</f>
        <v>0</v>
      </c>
      <c r="E85">
        <f t="shared" si="57"/>
        <v>0</v>
      </c>
      <c r="F85" t="str">
        <f t="shared" si="58"/>
        <v/>
      </c>
      <c r="G85" t="str">
        <f t="shared" si="59"/>
        <v/>
      </c>
      <c r="K85" s="609">
        <v>17</v>
      </c>
      <c r="L85">
        <f t="shared" si="48"/>
        <v>0</v>
      </c>
      <c r="M85">
        <f>IF(L85=0,0,1+MAX(M$69:M84))</f>
        <v>0</v>
      </c>
      <c r="N85">
        <f t="shared" si="60"/>
        <v>0</v>
      </c>
      <c r="O85" t="str">
        <f t="shared" si="61"/>
        <v/>
      </c>
      <c r="P85" t="str">
        <f t="shared" si="62"/>
        <v/>
      </c>
      <c r="T85" s="609">
        <v>17</v>
      </c>
      <c r="U85">
        <f t="shared" si="49"/>
        <v>0</v>
      </c>
      <c r="V85">
        <f>IF(U85=0,0,1+MAX(V$69:V84))</f>
        <v>0</v>
      </c>
      <c r="W85">
        <f t="shared" si="63"/>
        <v>0</v>
      </c>
      <c r="X85" t="str">
        <f t="shared" si="64"/>
        <v/>
      </c>
      <c r="Y85" t="str">
        <f t="shared" si="65"/>
        <v/>
      </c>
      <c r="AC85" s="609">
        <v>17</v>
      </c>
      <c r="AD85">
        <f t="shared" si="50"/>
        <v>0</v>
      </c>
      <c r="AE85">
        <f>IF(AD85=0,0,1+MAX(AE$69:AE84))</f>
        <v>0</v>
      </c>
      <c r="AF85">
        <f t="shared" si="66"/>
        <v>0</v>
      </c>
      <c r="AG85" t="str">
        <f t="shared" si="67"/>
        <v/>
      </c>
      <c r="AH85" t="str">
        <f t="shared" si="68"/>
        <v/>
      </c>
      <c r="AL85" s="609">
        <v>17</v>
      </c>
      <c r="AM85">
        <f t="shared" si="51"/>
        <v>0</v>
      </c>
      <c r="AN85">
        <f>IF(AM85=0,0,1+MAX(AN$69:AN84))</f>
        <v>0</v>
      </c>
      <c r="AO85">
        <f t="shared" si="69"/>
        <v>0</v>
      </c>
      <c r="AP85" t="str">
        <f t="shared" si="70"/>
        <v/>
      </c>
      <c r="AQ85" t="str">
        <f t="shared" si="71"/>
        <v/>
      </c>
      <c r="AU85" s="609">
        <v>17</v>
      </c>
      <c r="AV85">
        <f t="shared" si="52"/>
        <v>0</v>
      </c>
      <c r="AW85">
        <f>IF(AV85=0,0,1+MAX(AW$69:AW84))</f>
        <v>0</v>
      </c>
      <c r="AX85">
        <f t="shared" si="72"/>
        <v>0</v>
      </c>
      <c r="AY85" t="str">
        <f t="shared" si="73"/>
        <v/>
      </c>
      <c r="AZ85" t="str">
        <f t="shared" si="74"/>
        <v/>
      </c>
      <c r="BD85" s="609">
        <v>17</v>
      </c>
      <c r="BE85">
        <f t="shared" si="53"/>
        <v>0</v>
      </c>
      <c r="BF85">
        <f>IF(BE85=0,0,1+MAX(BF$69:BF84))</f>
        <v>0</v>
      </c>
      <c r="BG85">
        <f t="shared" si="75"/>
        <v>0</v>
      </c>
      <c r="BH85" t="str">
        <f t="shared" si="76"/>
        <v/>
      </c>
      <c r="BI85" t="str">
        <f t="shared" si="77"/>
        <v/>
      </c>
      <c r="BM85" s="609">
        <v>17</v>
      </c>
      <c r="BN85">
        <f t="shared" si="54"/>
        <v>0</v>
      </c>
      <c r="BO85">
        <f>IF(BN85=0,0,1+MAX(BO$69:BO84))</f>
        <v>0</v>
      </c>
      <c r="BP85">
        <f t="shared" si="78"/>
        <v>0</v>
      </c>
      <c r="BQ85" t="str">
        <f t="shared" si="79"/>
        <v/>
      </c>
      <c r="BR85" t="str">
        <f t="shared" si="80"/>
        <v/>
      </c>
      <c r="BV85" s="609">
        <v>17</v>
      </c>
      <c r="BW85">
        <f t="shared" si="55"/>
        <v>0</v>
      </c>
      <c r="BX85">
        <f>IF(BW85=0,0,1+MAX(BX$69:BX84))</f>
        <v>0</v>
      </c>
      <c r="BY85">
        <f t="shared" si="81"/>
        <v>0</v>
      </c>
      <c r="BZ85" t="str">
        <f t="shared" si="82"/>
        <v/>
      </c>
      <c r="CA85" t="str">
        <f t="shared" si="83"/>
        <v/>
      </c>
      <c r="CE85" s="609">
        <v>17</v>
      </c>
      <c r="CF85">
        <f t="shared" si="56"/>
        <v>0</v>
      </c>
      <c r="CG85">
        <f>IF(CF85=0,0,1+MAX(CG$69:CG84))</f>
        <v>0</v>
      </c>
      <c r="CH85">
        <f t="shared" si="84"/>
        <v>0</v>
      </c>
      <c r="CI85" t="str">
        <f t="shared" si="85"/>
        <v/>
      </c>
      <c r="CJ85" t="str">
        <f t="shared" si="86"/>
        <v/>
      </c>
    </row>
    <row r="86" spans="2:88" x14ac:dyDescent="0.25">
      <c r="B86" s="591">
        <v>18</v>
      </c>
      <c r="C86">
        <f t="shared" si="47"/>
        <v>0</v>
      </c>
      <c r="D86">
        <f>IF(C86=0,0,1+MAX(D$69:D85))</f>
        <v>0</v>
      </c>
      <c r="E86">
        <f t="shared" si="57"/>
        <v>0</v>
      </c>
      <c r="F86" t="str">
        <f t="shared" si="58"/>
        <v/>
      </c>
      <c r="G86" t="str">
        <f t="shared" si="59"/>
        <v/>
      </c>
      <c r="K86" s="609">
        <v>18</v>
      </c>
      <c r="L86">
        <f t="shared" si="48"/>
        <v>0</v>
      </c>
      <c r="M86">
        <f>IF(L86=0,0,1+MAX(M$69:M85))</f>
        <v>0</v>
      </c>
      <c r="N86">
        <f t="shared" si="60"/>
        <v>0</v>
      </c>
      <c r="O86" t="str">
        <f t="shared" si="61"/>
        <v/>
      </c>
      <c r="P86" t="str">
        <f t="shared" si="62"/>
        <v/>
      </c>
      <c r="T86" s="609">
        <v>18</v>
      </c>
      <c r="U86">
        <f t="shared" si="49"/>
        <v>0</v>
      </c>
      <c r="V86">
        <f>IF(U86=0,0,1+MAX(V$69:V85))</f>
        <v>0</v>
      </c>
      <c r="W86">
        <f t="shared" si="63"/>
        <v>0</v>
      </c>
      <c r="X86" t="str">
        <f t="shared" si="64"/>
        <v/>
      </c>
      <c r="Y86" t="str">
        <f t="shared" si="65"/>
        <v/>
      </c>
      <c r="AC86" s="609">
        <v>18</v>
      </c>
      <c r="AD86">
        <f t="shared" si="50"/>
        <v>0</v>
      </c>
      <c r="AE86">
        <f>IF(AD86=0,0,1+MAX(AE$69:AE85))</f>
        <v>0</v>
      </c>
      <c r="AF86">
        <f t="shared" si="66"/>
        <v>0</v>
      </c>
      <c r="AG86" t="str">
        <f t="shared" si="67"/>
        <v/>
      </c>
      <c r="AH86" t="str">
        <f t="shared" si="68"/>
        <v/>
      </c>
      <c r="AL86" s="609">
        <v>18</v>
      </c>
      <c r="AM86">
        <f t="shared" si="51"/>
        <v>0</v>
      </c>
      <c r="AN86">
        <f>IF(AM86=0,0,1+MAX(AN$69:AN85))</f>
        <v>0</v>
      </c>
      <c r="AO86">
        <f t="shared" si="69"/>
        <v>0</v>
      </c>
      <c r="AP86" t="str">
        <f t="shared" si="70"/>
        <v/>
      </c>
      <c r="AQ86" t="str">
        <f t="shared" si="71"/>
        <v/>
      </c>
      <c r="AU86" s="609">
        <v>18</v>
      </c>
      <c r="AV86">
        <f t="shared" si="52"/>
        <v>0</v>
      </c>
      <c r="AW86">
        <f>IF(AV86=0,0,1+MAX(AW$69:AW85))</f>
        <v>0</v>
      </c>
      <c r="AX86">
        <f t="shared" si="72"/>
        <v>0</v>
      </c>
      <c r="AY86" t="str">
        <f t="shared" si="73"/>
        <v/>
      </c>
      <c r="AZ86" t="str">
        <f t="shared" si="74"/>
        <v/>
      </c>
      <c r="BD86" s="609">
        <v>18</v>
      </c>
      <c r="BE86">
        <f t="shared" si="53"/>
        <v>0</v>
      </c>
      <c r="BF86">
        <f>IF(BE86=0,0,1+MAX(BF$69:BF85))</f>
        <v>0</v>
      </c>
      <c r="BG86">
        <f t="shared" si="75"/>
        <v>0</v>
      </c>
      <c r="BH86" t="str">
        <f t="shared" si="76"/>
        <v/>
      </c>
      <c r="BI86" t="str">
        <f t="shared" si="77"/>
        <v/>
      </c>
      <c r="BM86" s="609">
        <v>18</v>
      </c>
      <c r="BN86">
        <f t="shared" si="54"/>
        <v>0</v>
      </c>
      <c r="BO86">
        <f>IF(BN86=0,0,1+MAX(BO$69:BO85))</f>
        <v>0</v>
      </c>
      <c r="BP86">
        <f t="shared" si="78"/>
        <v>0</v>
      </c>
      <c r="BQ86" t="str">
        <f t="shared" si="79"/>
        <v/>
      </c>
      <c r="BR86" t="str">
        <f t="shared" si="80"/>
        <v/>
      </c>
      <c r="BV86" s="609">
        <v>18</v>
      </c>
      <c r="BW86">
        <f t="shared" si="55"/>
        <v>0</v>
      </c>
      <c r="BX86">
        <f>IF(BW86=0,0,1+MAX(BX$69:BX85))</f>
        <v>0</v>
      </c>
      <c r="BY86">
        <f t="shared" si="81"/>
        <v>0</v>
      </c>
      <c r="BZ86" t="str">
        <f t="shared" si="82"/>
        <v/>
      </c>
      <c r="CA86" t="str">
        <f t="shared" si="83"/>
        <v/>
      </c>
      <c r="CE86" s="609">
        <v>18</v>
      </c>
      <c r="CF86">
        <f t="shared" si="56"/>
        <v>0</v>
      </c>
      <c r="CG86">
        <f>IF(CF86=0,0,1+MAX(CG$69:CG85))</f>
        <v>0</v>
      </c>
      <c r="CH86">
        <f t="shared" si="84"/>
        <v>0</v>
      </c>
      <c r="CI86" t="str">
        <f t="shared" si="85"/>
        <v/>
      </c>
      <c r="CJ86" t="str">
        <f t="shared" si="86"/>
        <v/>
      </c>
    </row>
    <row r="87" spans="2:88" x14ac:dyDescent="0.25">
      <c r="B87" s="591">
        <v>19</v>
      </c>
      <c r="C87">
        <f t="shared" si="47"/>
        <v>0</v>
      </c>
      <c r="D87">
        <f>IF(C87=0,0,1+MAX(D$69:D86))</f>
        <v>0</v>
      </c>
      <c r="E87">
        <f t="shared" si="57"/>
        <v>0</v>
      </c>
      <c r="F87" t="str">
        <f t="shared" si="58"/>
        <v/>
      </c>
      <c r="G87" t="str">
        <f t="shared" si="59"/>
        <v/>
      </c>
      <c r="K87" s="609">
        <v>19</v>
      </c>
      <c r="L87">
        <f t="shared" si="48"/>
        <v>0</v>
      </c>
      <c r="M87">
        <f>IF(L87=0,0,1+MAX(M$69:M86))</f>
        <v>0</v>
      </c>
      <c r="N87">
        <f t="shared" si="60"/>
        <v>0</v>
      </c>
      <c r="O87" t="str">
        <f t="shared" si="61"/>
        <v/>
      </c>
      <c r="P87" t="str">
        <f t="shared" si="62"/>
        <v/>
      </c>
      <c r="T87" s="609">
        <v>19</v>
      </c>
      <c r="U87">
        <f t="shared" si="49"/>
        <v>0</v>
      </c>
      <c r="V87">
        <f>IF(U87=0,0,1+MAX(V$69:V86))</f>
        <v>0</v>
      </c>
      <c r="W87">
        <f t="shared" si="63"/>
        <v>0</v>
      </c>
      <c r="X87" t="str">
        <f t="shared" si="64"/>
        <v/>
      </c>
      <c r="Y87" t="str">
        <f t="shared" si="65"/>
        <v/>
      </c>
      <c r="AC87" s="609">
        <v>19</v>
      </c>
      <c r="AD87">
        <f t="shared" si="50"/>
        <v>0</v>
      </c>
      <c r="AE87">
        <f>IF(AD87=0,0,1+MAX(AE$69:AE86))</f>
        <v>0</v>
      </c>
      <c r="AF87">
        <f t="shared" si="66"/>
        <v>0</v>
      </c>
      <c r="AG87" t="str">
        <f t="shared" si="67"/>
        <v/>
      </c>
      <c r="AH87" t="str">
        <f t="shared" si="68"/>
        <v/>
      </c>
      <c r="AL87" s="609">
        <v>19</v>
      </c>
      <c r="AM87">
        <f t="shared" si="51"/>
        <v>0</v>
      </c>
      <c r="AN87">
        <f>IF(AM87=0,0,1+MAX(AN$69:AN86))</f>
        <v>0</v>
      </c>
      <c r="AO87">
        <f t="shared" si="69"/>
        <v>0</v>
      </c>
      <c r="AP87" t="str">
        <f t="shared" si="70"/>
        <v/>
      </c>
      <c r="AQ87" t="str">
        <f t="shared" si="71"/>
        <v/>
      </c>
      <c r="AU87" s="609">
        <v>19</v>
      </c>
      <c r="AV87">
        <f t="shared" si="52"/>
        <v>0</v>
      </c>
      <c r="AW87">
        <f>IF(AV87=0,0,1+MAX(AW$69:AW86))</f>
        <v>0</v>
      </c>
      <c r="AX87">
        <f t="shared" si="72"/>
        <v>0</v>
      </c>
      <c r="AY87" t="str">
        <f t="shared" si="73"/>
        <v/>
      </c>
      <c r="AZ87" t="str">
        <f t="shared" si="74"/>
        <v/>
      </c>
      <c r="BD87" s="609">
        <v>19</v>
      </c>
      <c r="BE87">
        <f t="shared" si="53"/>
        <v>0</v>
      </c>
      <c r="BF87">
        <f>IF(BE87=0,0,1+MAX(BF$69:BF86))</f>
        <v>0</v>
      </c>
      <c r="BG87">
        <f t="shared" si="75"/>
        <v>0</v>
      </c>
      <c r="BH87" t="str">
        <f t="shared" si="76"/>
        <v/>
      </c>
      <c r="BI87" t="str">
        <f t="shared" si="77"/>
        <v/>
      </c>
      <c r="BM87" s="609">
        <v>19</v>
      </c>
      <c r="BN87">
        <f t="shared" si="54"/>
        <v>0</v>
      </c>
      <c r="BO87">
        <f>IF(BN87=0,0,1+MAX(BO$69:BO86))</f>
        <v>0</v>
      </c>
      <c r="BP87">
        <f t="shared" si="78"/>
        <v>0</v>
      </c>
      <c r="BQ87" t="str">
        <f t="shared" si="79"/>
        <v/>
      </c>
      <c r="BR87" t="str">
        <f t="shared" si="80"/>
        <v/>
      </c>
      <c r="BV87" s="609">
        <v>19</v>
      </c>
      <c r="BW87">
        <f t="shared" si="55"/>
        <v>0</v>
      </c>
      <c r="BX87">
        <f>IF(BW87=0,0,1+MAX(BX$69:BX86))</f>
        <v>0</v>
      </c>
      <c r="BY87">
        <f t="shared" si="81"/>
        <v>0</v>
      </c>
      <c r="BZ87" t="str">
        <f t="shared" si="82"/>
        <v/>
      </c>
      <c r="CA87" t="str">
        <f t="shared" si="83"/>
        <v/>
      </c>
      <c r="CE87" s="609">
        <v>19</v>
      </c>
      <c r="CF87">
        <f t="shared" si="56"/>
        <v>0</v>
      </c>
      <c r="CG87">
        <f>IF(CF87=0,0,1+MAX(CG$69:CG86))</f>
        <v>0</v>
      </c>
      <c r="CH87">
        <f t="shared" si="84"/>
        <v>0</v>
      </c>
      <c r="CI87" t="str">
        <f t="shared" si="85"/>
        <v/>
      </c>
      <c r="CJ87" t="str">
        <f t="shared" si="86"/>
        <v/>
      </c>
    </row>
    <row r="88" spans="2:88" x14ac:dyDescent="0.25">
      <c r="B88" s="591">
        <v>20</v>
      </c>
      <c r="C88">
        <f t="shared" si="47"/>
        <v>0</v>
      </c>
      <c r="D88">
        <f>IF(C88=0,0,1+MAX(D$69:D87))</f>
        <v>0</v>
      </c>
      <c r="E88">
        <f t="shared" si="57"/>
        <v>0</v>
      </c>
      <c r="F88" t="str">
        <f t="shared" si="58"/>
        <v/>
      </c>
      <c r="G88" t="str">
        <f t="shared" si="59"/>
        <v/>
      </c>
      <c r="K88" s="609">
        <v>20</v>
      </c>
      <c r="L88">
        <f t="shared" si="48"/>
        <v>0</v>
      </c>
      <c r="M88">
        <f>IF(L88=0,0,1+MAX(M$69:M87))</f>
        <v>0</v>
      </c>
      <c r="N88">
        <f t="shared" si="60"/>
        <v>0</v>
      </c>
      <c r="O88" t="str">
        <f t="shared" si="61"/>
        <v/>
      </c>
      <c r="P88" t="str">
        <f t="shared" si="62"/>
        <v/>
      </c>
      <c r="T88" s="609">
        <v>20</v>
      </c>
      <c r="U88">
        <f t="shared" si="49"/>
        <v>0</v>
      </c>
      <c r="V88">
        <f>IF(U88=0,0,1+MAX(V$69:V87))</f>
        <v>0</v>
      </c>
      <c r="W88">
        <f t="shared" si="63"/>
        <v>0</v>
      </c>
      <c r="X88" t="str">
        <f t="shared" si="64"/>
        <v/>
      </c>
      <c r="Y88" t="str">
        <f t="shared" si="65"/>
        <v/>
      </c>
      <c r="AC88" s="609">
        <v>20</v>
      </c>
      <c r="AD88">
        <f t="shared" si="50"/>
        <v>0</v>
      </c>
      <c r="AE88">
        <f>IF(AD88=0,0,1+MAX(AE$69:AE87))</f>
        <v>0</v>
      </c>
      <c r="AF88">
        <f t="shared" si="66"/>
        <v>0</v>
      </c>
      <c r="AG88" t="str">
        <f t="shared" si="67"/>
        <v/>
      </c>
      <c r="AH88" t="str">
        <f t="shared" si="68"/>
        <v/>
      </c>
      <c r="AL88" s="609">
        <v>20</v>
      </c>
      <c r="AM88">
        <f t="shared" si="51"/>
        <v>0</v>
      </c>
      <c r="AN88">
        <f>IF(AM88=0,0,1+MAX(AN$69:AN87))</f>
        <v>0</v>
      </c>
      <c r="AO88">
        <f t="shared" si="69"/>
        <v>0</v>
      </c>
      <c r="AP88" t="str">
        <f t="shared" si="70"/>
        <v/>
      </c>
      <c r="AQ88" t="str">
        <f t="shared" si="71"/>
        <v/>
      </c>
      <c r="AU88" s="609">
        <v>20</v>
      </c>
      <c r="AV88">
        <f t="shared" si="52"/>
        <v>0</v>
      </c>
      <c r="AW88">
        <f>IF(AV88=0,0,1+MAX(AW$69:AW87))</f>
        <v>0</v>
      </c>
      <c r="AX88">
        <f t="shared" si="72"/>
        <v>0</v>
      </c>
      <c r="AY88" t="str">
        <f t="shared" si="73"/>
        <v/>
      </c>
      <c r="AZ88" t="str">
        <f t="shared" si="74"/>
        <v/>
      </c>
      <c r="BD88" s="609">
        <v>20</v>
      </c>
      <c r="BE88">
        <f t="shared" si="53"/>
        <v>0</v>
      </c>
      <c r="BF88">
        <f>IF(BE88=0,0,1+MAX(BF$69:BF87))</f>
        <v>0</v>
      </c>
      <c r="BG88">
        <f t="shared" si="75"/>
        <v>0</v>
      </c>
      <c r="BH88" t="str">
        <f t="shared" si="76"/>
        <v/>
      </c>
      <c r="BI88" t="str">
        <f t="shared" si="77"/>
        <v/>
      </c>
      <c r="BM88" s="609">
        <v>20</v>
      </c>
      <c r="BN88">
        <f t="shared" si="54"/>
        <v>0</v>
      </c>
      <c r="BO88">
        <f>IF(BN88=0,0,1+MAX(BO$69:BO87))</f>
        <v>0</v>
      </c>
      <c r="BP88">
        <f t="shared" si="78"/>
        <v>0</v>
      </c>
      <c r="BQ88" t="str">
        <f t="shared" si="79"/>
        <v/>
      </c>
      <c r="BR88" t="str">
        <f t="shared" si="80"/>
        <v/>
      </c>
      <c r="BV88" s="609">
        <v>20</v>
      </c>
      <c r="BW88">
        <f t="shared" si="55"/>
        <v>0</v>
      </c>
      <c r="BX88">
        <f>IF(BW88=0,0,1+MAX(BX$69:BX87))</f>
        <v>0</v>
      </c>
      <c r="BY88">
        <f t="shared" si="81"/>
        <v>0</v>
      </c>
      <c r="BZ88" t="str">
        <f t="shared" si="82"/>
        <v/>
      </c>
      <c r="CA88" t="str">
        <f t="shared" si="83"/>
        <v/>
      </c>
      <c r="CE88" s="609">
        <v>20</v>
      </c>
      <c r="CF88">
        <f t="shared" si="56"/>
        <v>0</v>
      </c>
      <c r="CG88">
        <f>IF(CF88=0,0,1+MAX(CG$69:CG87))</f>
        <v>0</v>
      </c>
      <c r="CH88">
        <f t="shared" si="84"/>
        <v>0</v>
      </c>
      <c r="CI88" t="str">
        <f t="shared" si="85"/>
        <v/>
      </c>
      <c r="CJ88" t="str">
        <f t="shared" si="86"/>
        <v/>
      </c>
    </row>
    <row r="89" spans="2:88" x14ac:dyDescent="0.25">
      <c r="B89" s="591">
        <v>21</v>
      </c>
      <c r="C89">
        <f t="shared" si="47"/>
        <v>0</v>
      </c>
      <c r="D89">
        <f>IF(C89=0,0,1+MAX(D$69:D88))</f>
        <v>0</v>
      </c>
      <c r="E89">
        <f t="shared" si="57"/>
        <v>0</v>
      </c>
      <c r="F89" t="str">
        <f t="shared" si="58"/>
        <v/>
      </c>
      <c r="G89" t="str">
        <f t="shared" si="59"/>
        <v/>
      </c>
      <c r="K89" s="609">
        <v>21</v>
      </c>
      <c r="L89">
        <f t="shared" si="48"/>
        <v>0</v>
      </c>
      <c r="M89">
        <f>IF(L89=0,0,1+MAX(M$69:M88))</f>
        <v>0</v>
      </c>
      <c r="N89">
        <f t="shared" si="60"/>
        <v>0</v>
      </c>
      <c r="O89" t="str">
        <f t="shared" si="61"/>
        <v/>
      </c>
      <c r="P89" t="str">
        <f t="shared" si="62"/>
        <v/>
      </c>
      <c r="T89" s="609">
        <v>21</v>
      </c>
      <c r="U89">
        <f t="shared" si="49"/>
        <v>0</v>
      </c>
      <c r="V89">
        <f>IF(U89=0,0,1+MAX(V$69:V88))</f>
        <v>0</v>
      </c>
      <c r="W89">
        <f t="shared" si="63"/>
        <v>0</v>
      </c>
      <c r="X89" t="str">
        <f t="shared" si="64"/>
        <v/>
      </c>
      <c r="Y89" t="str">
        <f t="shared" si="65"/>
        <v/>
      </c>
      <c r="AC89" s="609">
        <v>21</v>
      </c>
      <c r="AD89">
        <f t="shared" si="50"/>
        <v>0</v>
      </c>
      <c r="AE89">
        <f>IF(AD89=0,0,1+MAX(AE$69:AE88))</f>
        <v>0</v>
      </c>
      <c r="AF89">
        <f t="shared" si="66"/>
        <v>0</v>
      </c>
      <c r="AG89" t="str">
        <f t="shared" si="67"/>
        <v/>
      </c>
      <c r="AH89" t="str">
        <f t="shared" si="68"/>
        <v/>
      </c>
      <c r="AL89" s="609">
        <v>21</v>
      </c>
      <c r="AM89">
        <f t="shared" si="51"/>
        <v>0</v>
      </c>
      <c r="AN89">
        <f>IF(AM89=0,0,1+MAX(AN$69:AN88))</f>
        <v>0</v>
      </c>
      <c r="AO89">
        <f t="shared" si="69"/>
        <v>0</v>
      </c>
      <c r="AP89" t="str">
        <f t="shared" si="70"/>
        <v/>
      </c>
      <c r="AQ89" t="str">
        <f t="shared" si="71"/>
        <v/>
      </c>
      <c r="AU89" s="609">
        <v>21</v>
      </c>
      <c r="AV89">
        <f t="shared" si="52"/>
        <v>0</v>
      </c>
      <c r="AW89">
        <f>IF(AV89=0,0,1+MAX(AW$69:AW88))</f>
        <v>0</v>
      </c>
      <c r="AX89">
        <f t="shared" si="72"/>
        <v>0</v>
      </c>
      <c r="AY89" t="str">
        <f t="shared" si="73"/>
        <v/>
      </c>
      <c r="AZ89" t="str">
        <f t="shared" si="74"/>
        <v/>
      </c>
      <c r="BD89" s="609">
        <v>21</v>
      </c>
      <c r="BE89">
        <f t="shared" si="53"/>
        <v>0</v>
      </c>
      <c r="BF89">
        <f>IF(BE89=0,0,1+MAX(BF$69:BF88))</f>
        <v>0</v>
      </c>
      <c r="BG89">
        <f t="shared" si="75"/>
        <v>0</v>
      </c>
      <c r="BH89" t="str">
        <f t="shared" si="76"/>
        <v/>
      </c>
      <c r="BI89" t="str">
        <f t="shared" si="77"/>
        <v/>
      </c>
      <c r="BM89" s="609">
        <v>21</v>
      </c>
      <c r="BN89">
        <f t="shared" si="54"/>
        <v>0</v>
      </c>
      <c r="BO89">
        <f>IF(BN89=0,0,1+MAX(BO$69:BO88))</f>
        <v>0</v>
      </c>
      <c r="BP89">
        <f t="shared" si="78"/>
        <v>0</v>
      </c>
      <c r="BQ89" t="str">
        <f t="shared" si="79"/>
        <v/>
      </c>
      <c r="BR89" t="str">
        <f t="shared" si="80"/>
        <v/>
      </c>
      <c r="BV89" s="609">
        <v>21</v>
      </c>
      <c r="BW89">
        <f t="shared" si="55"/>
        <v>0</v>
      </c>
      <c r="BX89">
        <f>IF(BW89=0,0,1+MAX(BX$69:BX88))</f>
        <v>0</v>
      </c>
      <c r="BY89">
        <f t="shared" si="81"/>
        <v>0</v>
      </c>
      <c r="BZ89" t="str">
        <f t="shared" si="82"/>
        <v/>
      </c>
      <c r="CA89" t="str">
        <f t="shared" si="83"/>
        <v/>
      </c>
      <c r="CE89" s="609">
        <v>21</v>
      </c>
      <c r="CF89">
        <f t="shared" si="56"/>
        <v>0</v>
      </c>
      <c r="CG89">
        <f>IF(CF89=0,0,1+MAX(CG$69:CG88))</f>
        <v>0</v>
      </c>
      <c r="CH89">
        <f t="shared" si="84"/>
        <v>0</v>
      </c>
      <c r="CI89" t="str">
        <f t="shared" si="85"/>
        <v/>
      </c>
      <c r="CJ89" t="str">
        <f t="shared" si="86"/>
        <v/>
      </c>
    </row>
    <row r="90" spans="2:88" x14ac:dyDescent="0.25">
      <c r="B90" s="591">
        <v>22</v>
      </c>
      <c r="C90">
        <f t="shared" si="47"/>
        <v>0</v>
      </c>
      <c r="D90">
        <f>IF(C90=0,0,1+MAX(D$69:D89))</f>
        <v>0</v>
      </c>
      <c r="E90">
        <f t="shared" si="57"/>
        <v>0</v>
      </c>
      <c r="F90" t="str">
        <f t="shared" si="58"/>
        <v/>
      </c>
      <c r="G90" t="str">
        <f t="shared" si="59"/>
        <v/>
      </c>
      <c r="K90" s="609">
        <v>22</v>
      </c>
      <c r="L90">
        <f t="shared" si="48"/>
        <v>0</v>
      </c>
      <c r="M90">
        <f>IF(L90=0,0,1+MAX(M$69:M89))</f>
        <v>0</v>
      </c>
      <c r="N90">
        <f t="shared" si="60"/>
        <v>0</v>
      </c>
      <c r="O90" t="str">
        <f t="shared" si="61"/>
        <v/>
      </c>
      <c r="P90" t="str">
        <f t="shared" si="62"/>
        <v/>
      </c>
      <c r="T90" s="609">
        <v>22</v>
      </c>
      <c r="U90">
        <f t="shared" si="49"/>
        <v>0</v>
      </c>
      <c r="V90">
        <f>IF(U90=0,0,1+MAX(V$69:V89))</f>
        <v>0</v>
      </c>
      <c r="W90">
        <f t="shared" si="63"/>
        <v>0</v>
      </c>
      <c r="X90" t="str">
        <f t="shared" si="64"/>
        <v/>
      </c>
      <c r="Y90" t="str">
        <f t="shared" si="65"/>
        <v/>
      </c>
      <c r="AC90" s="609">
        <v>22</v>
      </c>
      <c r="AD90">
        <f t="shared" si="50"/>
        <v>0</v>
      </c>
      <c r="AE90">
        <f>IF(AD90=0,0,1+MAX(AE$69:AE89))</f>
        <v>0</v>
      </c>
      <c r="AF90">
        <f t="shared" si="66"/>
        <v>0</v>
      </c>
      <c r="AG90" t="str">
        <f t="shared" si="67"/>
        <v/>
      </c>
      <c r="AH90" t="str">
        <f t="shared" si="68"/>
        <v/>
      </c>
      <c r="AL90" s="609">
        <v>22</v>
      </c>
      <c r="AM90">
        <f t="shared" si="51"/>
        <v>0</v>
      </c>
      <c r="AN90">
        <f>IF(AM90=0,0,1+MAX(AN$69:AN89))</f>
        <v>0</v>
      </c>
      <c r="AO90">
        <f t="shared" si="69"/>
        <v>0</v>
      </c>
      <c r="AP90" t="str">
        <f t="shared" si="70"/>
        <v/>
      </c>
      <c r="AQ90" t="str">
        <f t="shared" si="71"/>
        <v/>
      </c>
      <c r="AU90" s="609">
        <v>22</v>
      </c>
      <c r="AV90">
        <f t="shared" si="52"/>
        <v>0</v>
      </c>
      <c r="AW90">
        <f>IF(AV90=0,0,1+MAX(AW$69:AW89))</f>
        <v>0</v>
      </c>
      <c r="AX90">
        <f t="shared" si="72"/>
        <v>0</v>
      </c>
      <c r="AY90" t="str">
        <f t="shared" si="73"/>
        <v/>
      </c>
      <c r="AZ90" t="str">
        <f t="shared" si="74"/>
        <v/>
      </c>
      <c r="BD90" s="609">
        <v>22</v>
      </c>
      <c r="BE90">
        <f t="shared" si="53"/>
        <v>0</v>
      </c>
      <c r="BF90">
        <f>IF(BE90=0,0,1+MAX(BF$69:BF89))</f>
        <v>0</v>
      </c>
      <c r="BG90">
        <f t="shared" si="75"/>
        <v>0</v>
      </c>
      <c r="BH90" t="str">
        <f t="shared" si="76"/>
        <v/>
      </c>
      <c r="BI90" t="str">
        <f t="shared" si="77"/>
        <v/>
      </c>
      <c r="BM90" s="609">
        <v>22</v>
      </c>
      <c r="BN90">
        <f t="shared" si="54"/>
        <v>0</v>
      </c>
      <c r="BO90">
        <f>IF(BN90=0,0,1+MAX(BO$69:BO89))</f>
        <v>0</v>
      </c>
      <c r="BP90">
        <f t="shared" si="78"/>
        <v>0</v>
      </c>
      <c r="BQ90" t="str">
        <f t="shared" si="79"/>
        <v/>
      </c>
      <c r="BR90" t="str">
        <f t="shared" si="80"/>
        <v/>
      </c>
      <c r="BV90" s="609">
        <v>22</v>
      </c>
      <c r="BW90">
        <f t="shared" si="55"/>
        <v>0</v>
      </c>
      <c r="BX90">
        <f>IF(BW90=0,0,1+MAX(BX$69:BX89))</f>
        <v>0</v>
      </c>
      <c r="BY90">
        <f t="shared" si="81"/>
        <v>0</v>
      </c>
      <c r="BZ90" t="str">
        <f t="shared" si="82"/>
        <v/>
      </c>
      <c r="CA90" t="str">
        <f t="shared" si="83"/>
        <v/>
      </c>
      <c r="CE90" s="609">
        <v>22</v>
      </c>
      <c r="CF90">
        <f t="shared" si="56"/>
        <v>0</v>
      </c>
      <c r="CG90">
        <f>IF(CF90=0,0,1+MAX(CG$69:CG89))</f>
        <v>0</v>
      </c>
      <c r="CH90">
        <f t="shared" si="84"/>
        <v>0</v>
      </c>
      <c r="CI90" t="str">
        <f t="shared" si="85"/>
        <v/>
      </c>
      <c r="CJ90" t="str">
        <f t="shared" si="86"/>
        <v/>
      </c>
    </row>
    <row r="91" spans="2:88" x14ac:dyDescent="0.25">
      <c r="B91" s="591">
        <v>23</v>
      </c>
      <c r="C91">
        <f t="shared" si="47"/>
        <v>0</v>
      </c>
      <c r="D91">
        <f>IF(C91=0,0,1+MAX(D$69:D90))</f>
        <v>0</v>
      </c>
      <c r="E91">
        <f t="shared" si="57"/>
        <v>0</v>
      </c>
      <c r="F91" t="str">
        <f t="shared" si="58"/>
        <v/>
      </c>
      <c r="G91" t="str">
        <f t="shared" si="59"/>
        <v/>
      </c>
      <c r="K91" s="609">
        <v>23</v>
      </c>
      <c r="L91">
        <f t="shared" si="48"/>
        <v>0</v>
      </c>
      <c r="M91">
        <f>IF(L91=0,0,1+MAX(M$69:M90))</f>
        <v>0</v>
      </c>
      <c r="N91">
        <f t="shared" si="60"/>
        <v>0</v>
      </c>
      <c r="O91" t="str">
        <f t="shared" si="61"/>
        <v/>
      </c>
      <c r="P91" t="str">
        <f t="shared" si="62"/>
        <v/>
      </c>
      <c r="T91" s="609">
        <v>23</v>
      </c>
      <c r="U91">
        <f t="shared" si="49"/>
        <v>0</v>
      </c>
      <c r="V91">
        <f>IF(U91=0,0,1+MAX(V$69:V90))</f>
        <v>0</v>
      </c>
      <c r="W91">
        <f t="shared" si="63"/>
        <v>0</v>
      </c>
      <c r="X91" t="str">
        <f t="shared" si="64"/>
        <v/>
      </c>
      <c r="Y91" t="str">
        <f t="shared" si="65"/>
        <v/>
      </c>
      <c r="AC91" s="609">
        <v>23</v>
      </c>
      <c r="AD91">
        <f t="shared" si="50"/>
        <v>0</v>
      </c>
      <c r="AE91">
        <f>IF(AD91=0,0,1+MAX(AE$69:AE90))</f>
        <v>0</v>
      </c>
      <c r="AF91">
        <f t="shared" si="66"/>
        <v>0</v>
      </c>
      <c r="AG91" t="str">
        <f t="shared" si="67"/>
        <v/>
      </c>
      <c r="AH91" t="str">
        <f t="shared" si="68"/>
        <v/>
      </c>
      <c r="AL91" s="609">
        <v>23</v>
      </c>
      <c r="AM91">
        <f t="shared" si="51"/>
        <v>0</v>
      </c>
      <c r="AN91">
        <f>IF(AM91=0,0,1+MAX(AN$69:AN90))</f>
        <v>0</v>
      </c>
      <c r="AO91">
        <f t="shared" si="69"/>
        <v>0</v>
      </c>
      <c r="AP91" t="str">
        <f t="shared" si="70"/>
        <v/>
      </c>
      <c r="AQ91" t="str">
        <f t="shared" si="71"/>
        <v/>
      </c>
      <c r="AU91" s="609">
        <v>23</v>
      </c>
      <c r="AV91">
        <f t="shared" si="52"/>
        <v>0</v>
      </c>
      <c r="AW91">
        <f>IF(AV91=0,0,1+MAX(AW$69:AW90))</f>
        <v>0</v>
      </c>
      <c r="AX91">
        <f t="shared" si="72"/>
        <v>0</v>
      </c>
      <c r="AY91" t="str">
        <f t="shared" si="73"/>
        <v/>
      </c>
      <c r="AZ91" t="str">
        <f t="shared" si="74"/>
        <v/>
      </c>
      <c r="BD91" s="609">
        <v>23</v>
      </c>
      <c r="BE91">
        <f t="shared" si="53"/>
        <v>0</v>
      </c>
      <c r="BF91">
        <f>IF(BE91=0,0,1+MAX(BF$69:BF90))</f>
        <v>0</v>
      </c>
      <c r="BG91">
        <f t="shared" si="75"/>
        <v>0</v>
      </c>
      <c r="BH91" t="str">
        <f t="shared" si="76"/>
        <v/>
      </c>
      <c r="BI91" t="str">
        <f t="shared" si="77"/>
        <v/>
      </c>
      <c r="BM91" s="609">
        <v>23</v>
      </c>
      <c r="BN91">
        <f t="shared" si="54"/>
        <v>0</v>
      </c>
      <c r="BO91">
        <f>IF(BN91=0,0,1+MAX(BO$69:BO90))</f>
        <v>0</v>
      </c>
      <c r="BP91">
        <f t="shared" si="78"/>
        <v>0</v>
      </c>
      <c r="BQ91" t="str">
        <f t="shared" si="79"/>
        <v/>
      </c>
      <c r="BR91" t="str">
        <f t="shared" si="80"/>
        <v/>
      </c>
      <c r="BV91" s="609">
        <v>23</v>
      </c>
      <c r="BW91">
        <f t="shared" si="55"/>
        <v>0</v>
      </c>
      <c r="BX91">
        <f>IF(BW91=0,0,1+MAX(BX$69:BX90))</f>
        <v>0</v>
      </c>
      <c r="BY91">
        <f t="shared" si="81"/>
        <v>0</v>
      </c>
      <c r="BZ91" t="str">
        <f t="shared" si="82"/>
        <v/>
      </c>
      <c r="CA91" t="str">
        <f t="shared" si="83"/>
        <v/>
      </c>
      <c r="CE91" s="609">
        <v>23</v>
      </c>
      <c r="CF91">
        <f t="shared" si="56"/>
        <v>0</v>
      </c>
      <c r="CG91">
        <f>IF(CF91=0,0,1+MAX(CG$69:CG90))</f>
        <v>0</v>
      </c>
      <c r="CH91">
        <f t="shared" si="84"/>
        <v>0</v>
      </c>
      <c r="CI91" t="str">
        <f t="shared" si="85"/>
        <v/>
      </c>
      <c r="CJ91" t="str">
        <f t="shared" si="86"/>
        <v/>
      </c>
    </row>
    <row r="92" spans="2:88" x14ac:dyDescent="0.25">
      <c r="B92" s="591">
        <v>24</v>
      </c>
      <c r="C92">
        <f t="shared" si="47"/>
        <v>0</v>
      </c>
      <c r="D92">
        <f>IF(C92=0,0,1+MAX(D$69:D91))</f>
        <v>0</v>
      </c>
      <c r="E92">
        <f t="shared" si="57"/>
        <v>0</v>
      </c>
      <c r="F92" t="str">
        <f t="shared" si="58"/>
        <v/>
      </c>
      <c r="G92" t="str">
        <f t="shared" si="59"/>
        <v/>
      </c>
      <c r="K92" s="609">
        <v>24</v>
      </c>
      <c r="L92">
        <f t="shared" si="48"/>
        <v>0</v>
      </c>
      <c r="M92">
        <f>IF(L92=0,0,1+MAX(M$69:M91))</f>
        <v>0</v>
      </c>
      <c r="N92">
        <f t="shared" si="60"/>
        <v>0</v>
      </c>
      <c r="O92" t="str">
        <f t="shared" si="61"/>
        <v/>
      </c>
      <c r="P92" t="str">
        <f t="shared" si="62"/>
        <v/>
      </c>
      <c r="T92" s="609">
        <v>24</v>
      </c>
      <c r="U92">
        <f t="shared" si="49"/>
        <v>0</v>
      </c>
      <c r="V92">
        <f>IF(U92=0,0,1+MAX(V$69:V91))</f>
        <v>0</v>
      </c>
      <c r="W92">
        <f t="shared" si="63"/>
        <v>0</v>
      </c>
      <c r="X92" t="str">
        <f t="shared" si="64"/>
        <v/>
      </c>
      <c r="Y92" t="str">
        <f t="shared" si="65"/>
        <v/>
      </c>
      <c r="AC92" s="609">
        <v>24</v>
      </c>
      <c r="AD92">
        <f t="shared" si="50"/>
        <v>0</v>
      </c>
      <c r="AE92">
        <f>IF(AD92=0,0,1+MAX(AE$69:AE91))</f>
        <v>0</v>
      </c>
      <c r="AF92">
        <f t="shared" si="66"/>
        <v>0</v>
      </c>
      <c r="AG92" t="str">
        <f t="shared" si="67"/>
        <v/>
      </c>
      <c r="AH92" t="str">
        <f t="shared" si="68"/>
        <v/>
      </c>
      <c r="AL92" s="609">
        <v>24</v>
      </c>
      <c r="AM92">
        <f t="shared" si="51"/>
        <v>0</v>
      </c>
      <c r="AN92">
        <f>IF(AM92=0,0,1+MAX(AN$69:AN91))</f>
        <v>0</v>
      </c>
      <c r="AO92">
        <f t="shared" si="69"/>
        <v>0</v>
      </c>
      <c r="AP92" t="str">
        <f t="shared" si="70"/>
        <v/>
      </c>
      <c r="AQ92" t="str">
        <f t="shared" si="71"/>
        <v/>
      </c>
      <c r="AU92" s="609">
        <v>24</v>
      </c>
      <c r="AV92">
        <f t="shared" si="52"/>
        <v>0</v>
      </c>
      <c r="AW92">
        <f>IF(AV92=0,0,1+MAX(AW$69:AW91))</f>
        <v>0</v>
      </c>
      <c r="AX92">
        <f t="shared" si="72"/>
        <v>0</v>
      </c>
      <c r="AY92" t="str">
        <f t="shared" si="73"/>
        <v/>
      </c>
      <c r="AZ92" t="str">
        <f t="shared" si="74"/>
        <v/>
      </c>
      <c r="BD92" s="609">
        <v>24</v>
      </c>
      <c r="BE92">
        <f t="shared" si="53"/>
        <v>0</v>
      </c>
      <c r="BF92">
        <f>IF(BE92=0,0,1+MAX(BF$69:BF91))</f>
        <v>0</v>
      </c>
      <c r="BG92">
        <f t="shared" si="75"/>
        <v>0</v>
      </c>
      <c r="BH92" t="str">
        <f t="shared" si="76"/>
        <v/>
      </c>
      <c r="BI92" t="str">
        <f t="shared" si="77"/>
        <v/>
      </c>
      <c r="BM92" s="609">
        <v>24</v>
      </c>
      <c r="BN92">
        <f t="shared" si="54"/>
        <v>0</v>
      </c>
      <c r="BO92">
        <f>IF(BN92=0,0,1+MAX(BO$69:BO91))</f>
        <v>0</v>
      </c>
      <c r="BP92">
        <f t="shared" si="78"/>
        <v>0</v>
      </c>
      <c r="BQ92" t="str">
        <f t="shared" si="79"/>
        <v/>
      </c>
      <c r="BR92" t="str">
        <f t="shared" si="80"/>
        <v/>
      </c>
      <c r="BV92" s="609">
        <v>24</v>
      </c>
      <c r="BW92">
        <f t="shared" si="55"/>
        <v>0</v>
      </c>
      <c r="BX92">
        <f>IF(BW92=0,0,1+MAX(BX$69:BX91))</f>
        <v>0</v>
      </c>
      <c r="BY92">
        <f t="shared" si="81"/>
        <v>0</v>
      </c>
      <c r="BZ92" t="str">
        <f t="shared" si="82"/>
        <v/>
      </c>
      <c r="CA92" t="str">
        <f t="shared" si="83"/>
        <v/>
      </c>
      <c r="CE92" s="609">
        <v>24</v>
      </c>
      <c r="CF92">
        <f t="shared" si="56"/>
        <v>0</v>
      </c>
      <c r="CG92">
        <f>IF(CF92=0,0,1+MAX(CG$69:CG91))</f>
        <v>0</v>
      </c>
      <c r="CH92">
        <f t="shared" si="84"/>
        <v>0</v>
      </c>
      <c r="CI92" t="str">
        <f t="shared" si="85"/>
        <v/>
      </c>
      <c r="CJ92" t="str">
        <f t="shared" si="86"/>
        <v/>
      </c>
    </row>
    <row r="93" spans="2:88" x14ac:dyDescent="0.25">
      <c r="B93" s="591">
        <v>25</v>
      </c>
      <c r="C93">
        <f t="shared" si="47"/>
        <v>0</v>
      </c>
      <c r="D93">
        <f>IF(C93=0,0,1+MAX(D$69:D92))</f>
        <v>0</v>
      </c>
      <c r="E93">
        <f t="shared" si="57"/>
        <v>0</v>
      </c>
      <c r="F93" t="str">
        <f t="shared" si="58"/>
        <v/>
      </c>
      <c r="G93" t="str">
        <f t="shared" si="59"/>
        <v/>
      </c>
      <c r="K93" s="609">
        <v>25</v>
      </c>
      <c r="L93">
        <f t="shared" si="48"/>
        <v>0</v>
      </c>
      <c r="M93">
        <f>IF(L93=0,0,1+MAX(M$69:M92))</f>
        <v>0</v>
      </c>
      <c r="N93">
        <f t="shared" si="60"/>
        <v>0</v>
      </c>
      <c r="O93" t="str">
        <f t="shared" si="61"/>
        <v/>
      </c>
      <c r="P93" t="str">
        <f t="shared" si="62"/>
        <v/>
      </c>
      <c r="T93" s="609">
        <v>25</v>
      </c>
      <c r="U93">
        <f t="shared" si="49"/>
        <v>0</v>
      </c>
      <c r="V93">
        <f>IF(U93=0,0,1+MAX(V$69:V92))</f>
        <v>0</v>
      </c>
      <c r="W93">
        <f t="shared" si="63"/>
        <v>0</v>
      </c>
      <c r="X93" t="str">
        <f t="shared" si="64"/>
        <v/>
      </c>
      <c r="Y93" t="str">
        <f t="shared" si="65"/>
        <v/>
      </c>
      <c r="AC93" s="609">
        <v>25</v>
      </c>
      <c r="AD93">
        <f t="shared" si="50"/>
        <v>0</v>
      </c>
      <c r="AE93">
        <f>IF(AD93=0,0,1+MAX(AE$69:AE92))</f>
        <v>0</v>
      </c>
      <c r="AF93">
        <f t="shared" si="66"/>
        <v>0</v>
      </c>
      <c r="AG93" t="str">
        <f t="shared" si="67"/>
        <v/>
      </c>
      <c r="AH93" t="str">
        <f t="shared" si="68"/>
        <v/>
      </c>
      <c r="AL93" s="609">
        <v>25</v>
      </c>
      <c r="AM93">
        <f t="shared" si="51"/>
        <v>0</v>
      </c>
      <c r="AN93">
        <f>IF(AM93=0,0,1+MAX(AN$69:AN92))</f>
        <v>0</v>
      </c>
      <c r="AO93">
        <f t="shared" si="69"/>
        <v>0</v>
      </c>
      <c r="AP93" t="str">
        <f t="shared" si="70"/>
        <v/>
      </c>
      <c r="AQ93" t="str">
        <f t="shared" si="71"/>
        <v/>
      </c>
      <c r="AU93" s="609">
        <v>25</v>
      </c>
      <c r="AV93">
        <f t="shared" si="52"/>
        <v>0</v>
      </c>
      <c r="AW93">
        <f>IF(AV93=0,0,1+MAX(AW$69:AW92))</f>
        <v>0</v>
      </c>
      <c r="AX93">
        <f t="shared" si="72"/>
        <v>0</v>
      </c>
      <c r="AY93" t="str">
        <f t="shared" si="73"/>
        <v/>
      </c>
      <c r="AZ93" t="str">
        <f t="shared" si="74"/>
        <v/>
      </c>
      <c r="BD93" s="609">
        <v>25</v>
      </c>
      <c r="BE93">
        <f t="shared" si="53"/>
        <v>0</v>
      </c>
      <c r="BF93">
        <f>IF(BE93=0,0,1+MAX(BF$69:BF92))</f>
        <v>0</v>
      </c>
      <c r="BG93">
        <f t="shared" si="75"/>
        <v>0</v>
      </c>
      <c r="BH93" t="str">
        <f t="shared" si="76"/>
        <v/>
      </c>
      <c r="BI93" t="str">
        <f t="shared" si="77"/>
        <v/>
      </c>
      <c r="BM93" s="609">
        <v>25</v>
      </c>
      <c r="BN93">
        <f t="shared" si="54"/>
        <v>0</v>
      </c>
      <c r="BO93">
        <f>IF(BN93=0,0,1+MAX(BO$69:BO92))</f>
        <v>0</v>
      </c>
      <c r="BP93">
        <f t="shared" si="78"/>
        <v>0</v>
      </c>
      <c r="BQ93" t="str">
        <f t="shared" si="79"/>
        <v/>
      </c>
      <c r="BR93" t="str">
        <f t="shared" si="80"/>
        <v/>
      </c>
      <c r="BV93" s="609">
        <v>25</v>
      </c>
      <c r="BW93">
        <f t="shared" si="55"/>
        <v>0</v>
      </c>
      <c r="BX93">
        <f>IF(BW93=0,0,1+MAX(BX$69:BX92))</f>
        <v>0</v>
      </c>
      <c r="BY93">
        <f t="shared" si="81"/>
        <v>0</v>
      </c>
      <c r="BZ93" t="str">
        <f t="shared" si="82"/>
        <v/>
      </c>
      <c r="CA93" t="str">
        <f t="shared" si="83"/>
        <v/>
      </c>
      <c r="CE93" s="609">
        <v>25</v>
      </c>
      <c r="CF93">
        <f t="shared" si="56"/>
        <v>0</v>
      </c>
      <c r="CG93">
        <f>IF(CF93=0,0,1+MAX(CG$69:CG92))</f>
        <v>0</v>
      </c>
      <c r="CH93">
        <f t="shared" si="84"/>
        <v>0</v>
      </c>
      <c r="CI93" t="str">
        <f t="shared" si="85"/>
        <v/>
      </c>
      <c r="CJ93" t="str">
        <f t="shared" si="86"/>
        <v/>
      </c>
    </row>
    <row r="94" spans="2:88" x14ac:dyDescent="0.25">
      <c r="B94" s="591">
        <v>26</v>
      </c>
      <c r="C94">
        <f t="shared" si="47"/>
        <v>0</v>
      </c>
      <c r="D94">
        <f>IF(C94=0,0,1+MAX(D$69:D93))</f>
        <v>0</v>
      </c>
      <c r="E94">
        <f t="shared" si="57"/>
        <v>0</v>
      </c>
      <c r="F94" t="str">
        <f t="shared" si="58"/>
        <v/>
      </c>
      <c r="G94" t="str">
        <f t="shared" si="59"/>
        <v/>
      </c>
      <c r="K94" s="609">
        <v>26</v>
      </c>
      <c r="L94">
        <f t="shared" si="48"/>
        <v>0</v>
      </c>
      <c r="M94">
        <f>IF(L94=0,0,1+MAX(M$69:M93))</f>
        <v>0</v>
      </c>
      <c r="N94">
        <f t="shared" si="60"/>
        <v>0</v>
      </c>
      <c r="O94" t="str">
        <f t="shared" si="61"/>
        <v/>
      </c>
      <c r="P94" t="str">
        <f t="shared" si="62"/>
        <v/>
      </c>
      <c r="T94" s="609">
        <v>26</v>
      </c>
      <c r="U94">
        <f t="shared" si="49"/>
        <v>0</v>
      </c>
      <c r="V94">
        <f>IF(U94=0,0,1+MAX(V$69:V93))</f>
        <v>0</v>
      </c>
      <c r="W94">
        <f t="shared" si="63"/>
        <v>0</v>
      </c>
      <c r="X94" t="str">
        <f t="shared" si="64"/>
        <v/>
      </c>
      <c r="Y94" t="str">
        <f t="shared" si="65"/>
        <v/>
      </c>
      <c r="AC94" s="609">
        <v>26</v>
      </c>
      <c r="AD94">
        <f t="shared" si="50"/>
        <v>0</v>
      </c>
      <c r="AE94">
        <f>IF(AD94=0,0,1+MAX(AE$69:AE93))</f>
        <v>0</v>
      </c>
      <c r="AF94">
        <f t="shared" si="66"/>
        <v>0</v>
      </c>
      <c r="AG94" t="str">
        <f t="shared" si="67"/>
        <v/>
      </c>
      <c r="AH94" t="str">
        <f t="shared" si="68"/>
        <v/>
      </c>
      <c r="AL94" s="609">
        <v>26</v>
      </c>
      <c r="AM94">
        <f t="shared" si="51"/>
        <v>0</v>
      </c>
      <c r="AN94">
        <f>IF(AM94=0,0,1+MAX(AN$69:AN93))</f>
        <v>0</v>
      </c>
      <c r="AO94">
        <f t="shared" si="69"/>
        <v>0</v>
      </c>
      <c r="AP94" t="str">
        <f t="shared" si="70"/>
        <v/>
      </c>
      <c r="AQ94" t="str">
        <f t="shared" si="71"/>
        <v/>
      </c>
      <c r="AU94" s="609">
        <v>26</v>
      </c>
      <c r="AV94">
        <f t="shared" si="52"/>
        <v>0</v>
      </c>
      <c r="AW94">
        <f>IF(AV94=0,0,1+MAX(AW$69:AW93))</f>
        <v>0</v>
      </c>
      <c r="AX94">
        <f t="shared" si="72"/>
        <v>0</v>
      </c>
      <c r="AY94" t="str">
        <f t="shared" si="73"/>
        <v/>
      </c>
      <c r="AZ94" t="str">
        <f t="shared" si="74"/>
        <v/>
      </c>
      <c r="BD94" s="609">
        <v>26</v>
      </c>
      <c r="BE94">
        <f t="shared" si="53"/>
        <v>0</v>
      </c>
      <c r="BF94">
        <f>IF(BE94=0,0,1+MAX(BF$69:BF93))</f>
        <v>0</v>
      </c>
      <c r="BG94">
        <f t="shared" si="75"/>
        <v>0</v>
      </c>
      <c r="BH94" t="str">
        <f t="shared" si="76"/>
        <v/>
      </c>
      <c r="BI94" t="str">
        <f t="shared" si="77"/>
        <v/>
      </c>
      <c r="BM94" s="609">
        <v>26</v>
      </c>
      <c r="BN94">
        <f t="shared" si="54"/>
        <v>0</v>
      </c>
      <c r="BO94">
        <f>IF(BN94=0,0,1+MAX(BO$69:BO93))</f>
        <v>0</v>
      </c>
      <c r="BP94">
        <f t="shared" si="78"/>
        <v>0</v>
      </c>
      <c r="BQ94" t="str">
        <f t="shared" si="79"/>
        <v/>
      </c>
      <c r="BR94" t="str">
        <f t="shared" si="80"/>
        <v/>
      </c>
      <c r="BV94" s="609">
        <v>26</v>
      </c>
      <c r="BW94">
        <f t="shared" si="55"/>
        <v>0</v>
      </c>
      <c r="BX94">
        <f>IF(BW94=0,0,1+MAX(BX$69:BX93))</f>
        <v>0</v>
      </c>
      <c r="BY94">
        <f t="shared" si="81"/>
        <v>0</v>
      </c>
      <c r="BZ94" t="str">
        <f t="shared" si="82"/>
        <v/>
      </c>
      <c r="CA94" t="str">
        <f t="shared" si="83"/>
        <v/>
      </c>
      <c r="CE94" s="609">
        <v>26</v>
      </c>
      <c r="CF94">
        <f t="shared" si="56"/>
        <v>0</v>
      </c>
      <c r="CG94">
        <f>IF(CF94=0,0,1+MAX(CG$69:CG93))</f>
        <v>0</v>
      </c>
      <c r="CH94">
        <f t="shared" si="84"/>
        <v>0</v>
      </c>
      <c r="CI94" t="str">
        <f t="shared" si="85"/>
        <v/>
      </c>
      <c r="CJ94" t="str">
        <f t="shared" si="86"/>
        <v/>
      </c>
    </row>
    <row r="95" spans="2:88" x14ac:dyDescent="0.25">
      <c r="B95" s="591">
        <v>27</v>
      </c>
      <c r="C95">
        <f t="shared" si="47"/>
        <v>0</v>
      </c>
      <c r="D95">
        <f>IF(C95=0,0,1+MAX(D$69:D94))</f>
        <v>0</v>
      </c>
      <c r="E95">
        <f t="shared" si="57"/>
        <v>0</v>
      </c>
      <c r="F95" t="str">
        <f t="shared" si="58"/>
        <v/>
      </c>
      <c r="G95" t="str">
        <f t="shared" si="59"/>
        <v/>
      </c>
      <c r="K95" s="609">
        <v>27</v>
      </c>
      <c r="L95">
        <f t="shared" si="48"/>
        <v>0</v>
      </c>
      <c r="M95">
        <f>IF(L95=0,0,1+MAX(M$69:M94))</f>
        <v>0</v>
      </c>
      <c r="N95">
        <f t="shared" si="60"/>
        <v>0</v>
      </c>
      <c r="O95" t="str">
        <f t="shared" si="61"/>
        <v/>
      </c>
      <c r="P95" t="str">
        <f t="shared" si="62"/>
        <v/>
      </c>
      <c r="T95" s="609">
        <v>27</v>
      </c>
      <c r="U95">
        <f t="shared" si="49"/>
        <v>0</v>
      </c>
      <c r="V95">
        <f>IF(U95=0,0,1+MAX(V$69:V94))</f>
        <v>0</v>
      </c>
      <c r="W95">
        <f t="shared" si="63"/>
        <v>0</v>
      </c>
      <c r="X95" t="str">
        <f t="shared" si="64"/>
        <v/>
      </c>
      <c r="Y95" t="str">
        <f t="shared" si="65"/>
        <v/>
      </c>
      <c r="AC95" s="609">
        <v>27</v>
      </c>
      <c r="AD95">
        <f t="shared" si="50"/>
        <v>0</v>
      </c>
      <c r="AE95">
        <f>IF(AD95=0,0,1+MAX(AE$69:AE94))</f>
        <v>0</v>
      </c>
      <c r="AF95">
        <f t="shared" si="66"/>
        <v>0</v>
      </c>
      <c r="AG95" t="str">
        <f t="shared" si="67"/>
        <v/>
      </c>
      <c r="AH95" t="str">
        <f t="shared" si="68"/>
        <v/>
      </c>
      <c r="AL95" s="609">
        <v>27</v>
      </c>
      <c r="AM95">
        <f t="shared" si="51"/>
        <v>0</v>
      </c>
      <c r="AN95">
        <f>IF(AM95=0,0,1+MAX(AN$69:AN94))</f>
        <v>0</v>
      </c>
      <c r="AO95">
        <f t="shared" si="69"/>
        <v>0</v>
      </c>
      <c r="AP95" t="str">
        <f t="shared" si="70"/>
        <v/>
      </c>
      <c r="AQ95" t="str">
        <f t="shared" si="71"/>
        <v/>
      </c>
      <c r="AU95" s="609">
        <v>27</v>
      </c>
      <c r="AV95">
        <f t="shared" si="52"/>
        <v>0</v>
      </c>
      <c r="AW95">
        <f>IF(AV95=0,0,1+MAX(AW$69:AW94))</f>
        <v>0</v>
      </c>
      <c r="AX95">
        <f t="shared" si="72"/>
        <v>0</v>
      </c>
      <c r="AY95" t="str">
        <f t="shared" si="73"/>
        <v/>
      </c>
      <c r="AZ95" t="str">
        <f t="shared" si="74"/>
        <v/>
      </c>
      <c r="BD95" s="609">
        <v>27</v>
      </c>
      <c r="BE95">
        <f t="shared" si="53"/>
        <v>0</v>
      </c>
      <c r="BF95">
        <f>IF(BE95=0,0,1+MAX(BF$69:BF94))</f>
        <v>0</v>
      </c>
      <c r="BG95">
        <f t="shared" si="75"/>
        <v>0</v>
      </c>
      <c r="BH95" t="str">
        <f t="shared" si="76"/>
        <v/>
      </c>
      <c r="BI95" t="str">
        <f t="shared" si="77"/>
        <v/>
      </c>
      <c r="BM95" s="609">
        <v>27</v>
      </c>
      <c r="BN95">
        <f t="shared" si="54"/>
        <v>0</v>
      </c>
      <c r="BO95">
        <f>IF(BN95=0,0,1+MAX(BO$69:BO94))</f>
        <v>0</v>
      </c>
      <c r="BP95">
        <f t="shared" si="78"/>
        <v>0</v>
      </c>
      <c r="BQ95" t="str">
        <f t="shared" si="79"/>
        <v/>
      </c>
      <c r="BR95" t="str">
        <f t="shared" si="80"/>
        <v/>
      </c>
      <c r="BV95" s="609">
        <v>27</v>
      </c>
      <c r="BW95">
        <f t="shared" si="55"/>
        <v>0</v>
      </c>
      <c r="BX95">
        <f>IF(BW95=0,0,1+MAX(BX$69:BX94))</f>
        <v>0</v>
      </c>
      <c r="BY95">
        <f t="shared" si="81"/>
        <v>0</v>
      </c>
      <c r="BZ95" t="str">
        <f t="shared" si="82"/>
        <v/>
      </c>
      <c r="CA95" t="str">
        <f t="shared" si="83"/>
        <v/>
      </c>
      <c r="CE95" s="609">
        <v>27</v>
      </c>
      <c r="CF95">
        <f t="shared" si="56"/>
        <v>0</v>
      </c>
      <c r="CG95">
        <f>IF(CF95=0,0,1+MAX(CG$69:CG94))</f>
        <v>0</v>
      </c>
      <c r="CH95">
        <f t="shared" si="84"/>
        <v>0</v>
      </c>
      <c r="CI95" t="str">
        <f t="shared" si="85"/>
        <v/>
      </c>
      <c r="CJ95" t="str">
        <f t="shared" si="86"/>
        <v/>
      </c>
    </row>
    <row r="96" spans="2:88" x14ac:dyDescent="0.25">
      <c r="B96" s="591">
        <v>28</v>
      </c>
      <c r="C96">
        <f t="shared" si="47"/>
        <v>0</v>
      </c>
      <c r="D96">
        <f>IF(C96=0,0,1+MAX(D$69:D95))</f>
        <v>0</v>
      </c>
      <c r="E96">
        <f t="shared" si="57"/>
        <v>0</v>
      </c>
      <c r="F96" t="str">
        <f t="shared" si="58"/>
        <v/>
      </c>
      <c r="G96" t="str">
        <f t="shared" si="59"/>
        <v/>
      </c>
      <c r="K96" s="609">
        <v>28</v>
      </c>
      <c r="L96">
        <f t="shared" si="48"/>
        <v>0</v>
      </c>
      <c r="M96">
        <f>IF(L96=0,0,1+MAX(M$69:M95))</f>
        <v>0</v>
      </c>
      <c r="N96">
        <f t="shared" si="60"/>
        <v>0</v>
      </c>
      <c r="O96" t="str">
        <f t="shared" si="61"/>
        <v/>
      </c>
      <c r="P96" t="str">
        <f t="shared" si="62"/>
        <v/>
      </c>
      <c r="T96" s="609">
        <v>28</v>
      </c>
      <c r="U96">
        <f t="shared" si="49"/>
        <v>0</v>
      </c>
      <c r="V96">
        <f>IF(U96=0,0,1+MAX(V$69:V95))</f>
        <v>0</v>
      </c>
      <c r="W96">
        <f t="shared" si="63"/>
        <v>0</v>
      </c>
      <c r="X96" t="str">
        <f t="shared" si="64"/>
        <v/>
      </c>
      <c r="Y96" t="str">
        <f t="shared" si="65"/>
        <v/>
      </c>
      <c r="AC96" s="609">
        <v>28</v>
      </c>
      <c r="AD96">
        <f t="shared" si="50"/>
        <v>0</v>
      </c>
      <c r="AE96">
        <f>IF(AD96=0,0,1+MAX(AE$69:AE95))</f>
        <v>0</v>
      </c>
      <c r="AF96">
        <f t="shared" si="66"/>
        <v>0</v>
      </c>
      <c r="AG96" t="str">
        <f t="shared" si="67"/>
        <v/>
      </c>
      <c r="AH96" t="str">
        <f t="shared" si="68"/>
        <v/>
      </c>
      <c r="AL96" s="609">
        <v>28</v>
      </c>
      <c r="AM96">
        <f t="shared" si="51"/>
        <v>0</v>
      </c>
      <c r="AN96">
        <f>IF(AM96=0,0,1+MAX(AN$69:AN95))</f>
        <v>0</v>
      </c>
      <c r="AO96">
        <f t="shared" si="69"/>
        <v>0</v>
      </c>
      <c r="AP96" t="str">
        <f t="shared" si="70"/>
        <v/>
      </c>
      <c r="AQ96" t="str">
        <f t="shared" si="71"/>
        <v/>
      </c>
      <c r="AU96" s="609">
        <v>28</v>
      </c>
      <c r="AV96">
        <f t="shared" si="52"/>
        <v>0</v>
      </c>
      <c r="AW96">
        <f>IF(AV96=0,0,1+MAX(AW$69:AW95))</f>
        <v>0</v>
      </c>
      <c r="AX96">
        <f t="shared" si="72"/>
        <v>0</v>
      </c>
      <c r="AY96" t="str">
        <f t="shared" si="73"/>
        <v/>
      </c>
      <c r="AZ96" t="str">
        <f t="shared" si="74"/>
        <v/>
      </c>
      <c r="BD96" s="609">
        <v>28</v>
      </c>
      <c r="BE96">
        <f t="shared" si="53"/>
        <v>0</v>
      </c>
      <c r="BF96">
        <f>IF(BE96=0,0,1+MAX(BF$69:BF95))</f>
        <v>0</v>
      </c>
      <c r="BG96">
        <f t="shared" si="75"/>
        <v>0</v>
      </c>
      <c r="BH96" t="str">
        <f t="shared" si="76"/>
        <v/>
      </c>
      <c r="BI96" t="str">
        <f t="shared" si="77"/>
        <v/>
      </c>
      <c r="BM96" s="609">
        <v>28</v>
      </c>
      <c r="BN96">
        <f t="shared" si="54"/>
        <v>0</v>
      </c>
      <c r="BO96">
        <f>IF(BN96=0,0,1+MAX(BO$69:BO95))</f>
        <v>0</v>
      </c>
      <c r="BP96">
        <f t="shared" si="78"/>
        <v>0</v>
      </c>
      <c r="BQ96" t="str">
        <f t="shared" si="79"/>
        <v/>
      </c>
      <c r="BR96" t="str">
        <f t="shared" si="80"/>
        <v/>
      </c>
      <c r="BV96" s="609">
        <v>28</v>
      </c>
      <c r="BW96">
        <f t="shared" si="55"/>
        <v>0</v>
      </c>
      <c r="BX96">
        <f>IF(BW96=0,0,1+MAX(BX$69:BX95))</f>
        <v>0</v>
      </c>
      <c r="BY96">
        <f t="shared" si="81"/>
        <v>0</v>
      </c>
      <c r="BZ96" t="str">
        <f t="shared" si="82"/>
        <v/>
      </c>
      <c r="CA96" t="str">
        <f t="shared" si="83"/>
        <v/>
      </c>
      <c r="CE96" s="609">
        <v>28</v>
      </c>
      <c r="CF96">
        <f t="shared" si="56"/>
        <v>0</v>
      </c>
      <c r="CG96">
        <f>IF(CF96=0,0,1+MAX(CG$69:CG95))</f>
        <v>0</v>
      </c>
      <c r="CH96">
        <f t="shared" si="84"/>
        <v>0</v>
      </c>
      <c r="CI96" t="str">
        <f t="shared" si="85"/>
        <v/>
      </c>
      <c r="CJ96" t="str">
        <f t="shared" si="86"/>
        <v/>
      </c>
    </row>
    <row r="97" spans="2:88" x14ac:dyDescent="0.25">
      <c r="B97" s="591">
        <v>29</v>
      </c>
      <c r="C97">
        <f t="shared" si="47"/>
        <v>0</v>
      </c>
      <c r="D97">
        <f>IF(C97=0,0,1+MAX(D$69:D96))</f>
        <v>0</v>
      </c>
      <c r="E97">
        <f t="shared" si="57"/>
        <v>0</v>
      </c>
      <c r="F97" t="str">
        <f t="shared" si="58"/>
        <v/>
      </c>
      <c r="G97" t="str">
        <f t="shared" si="59"/>
        <v/>
      </c>
      <c r="K97" s="609">
        <v>29</v>
      </c>
      <c r="L97">
        <f t="shared" si="48"/>
        <v>0</v>
      </c>
      <c r="M97">
        <f>IF(L97=0,0,1+MAX(M$69:M96))</f>
        <v>0</v>
      </c>
      <c r="N97">
        <f t="shared" si="60"/>
        <v>0</v>
      </c>
      <c r="O97" t="str">
        <f t="shared" si="61"/>
        <v/>
      </c>
      <c r="P97" t="str">
        <f t="shared" si="62"/>
        <v/>
      </c>
      <c r="T97" s="609">
        <v>29</v>
      </c>
      <c r="U97">
        <f t="shared" si="49"/>
        <v>0</v>
      </c>
      <c r="V97">
        <f>IF(U97=0,0,1+MAX(V$69:V96))</f>
        <v>0</v>
      </c>
      <c r="W97">
        <f t="shared" si="63"/>
        <v>0</v>
      </c>
      <c r="X97" t="str">
        <f t="shared" si="64"/>
        <v/>
      </c>
      <c r="Y97" t="str">
        <f t="shared" si="65"/>
        <v/>
      </c>
      <c r="AC97" s="609">
        <v>29</v>
      </c>
      <c r="AD97">
        <f t="shared" si="50"/>
        <v>0</v>
      </c>
      <c r="AE97">
        <f>IF(AD97=0,0,1+MAX(AE$69:AE96))</f>
        <v>0</v>
      </c>
      <c r="AF97">
        <f t="shared" si="66"/>
        <v>0</v>
      </c>
      <c r="AG97" t="str">
        <f t="shared" si="67"/>
        <v/>
      </c>
      <c r="AH97" t="str">
        <f t="shared" si="68"/>
        <v/>
      </c>
      <c r="AL97" s="609">
        <v>29</v>
      </c>
      <c r="AM97">
        <f t="shared" si="51"/>
        <v>0</v>
      </c>
      <c r="AN97">
        <f>IF(AM97=0,0,1+MAX(AN$69:AN96))</f>
        <v>0</v>
      </c>
      <c r="AO97">
        <f t="shared" si="69"/>
        <v>0</v>
      </c>
      <c r="AP97" t="str">
        <f t="shared" si="70"/>
        <v/>
      </c>
      <c r="AQ97" t="str">
        <f t="shared" si="71"/>
        <v/>
      </c>
      <c r="AU97" s="609">
        <v>29</v>
      </c>
      <c r="AV97">
        <f t="shared" si="52"/>
        <v>0</v>
      </c>
      <c r="AW97">
        <f>IF(AV97=0,0,1+MAX(AW$69:AW96))</f>
        <v>0</v>
      </c>
      <c r="AX97">
        <f t="shared" si="72"/>
        <v>0</v>
      </c>
      <c r="AY97" t="str">
        <f t="shared" si="73"/>
        <v/>
      </c>
      <c r="AZ97" t="str">
        <f t="shared" si="74"/>
        <v/>
      </c>
      <c r="BD97" s="609">
        <v>29</v>
      </c>
      <c r="BE97">
        <f t="shared" si="53"/>
        <v>0</v>
      </c>
      <c r="BF97">
        <f>IF(BE97=0,0,1+MAX(BF$69:BF96))</f>
        <v>0</v>
      </c>
      <c r="BG97">
        <f t="shared" si="75"/>
        <v>0</v>
      </c>
      <c r="BH97" t="str">
        <f t="shared" si="76"/>
        <v/>
      </c>
      <c r="BI97" t="str">
        <f t="shared" si="77"/>
        <v/>
      </c>
      <c r="BM97" s="609">
        <v>29</v>
      </c>
      <c r="BN97">
        <f t="shared" si="54"/>
        <v>0</v>
      </c>
      <c r="BO97">
        <f>IF(BN97=0,0,1+MAX(BO$69:BO96))</f>
        <v>0</v>
      </c>
      <c r="BP97">
        <f t="shared" si="78"/>
        <v>0</v>
      </c>
      <c r="BQ97" t="str">
        <f t="shared" si="79"/>
        <v/>
      </c>
      <c r="BR97" t="str">
        <f t="shared" si="80"/>
        <v/>
      </c>
      <c r="BV97" s="609">
        <v>29</v>
      </c>
      <c r="BW97">
        <f t="shared" si="55"/>
        <v>0</v>
      </c>
      <c r="BX97">
        <f>IF(BW97=0,0,1+MAX(BX$69:BX96))</f>
        <v>0</v>
      </c>
      <c r="BY97">
        <f t="shared" si="81"/>
        <v>0</v>
      </c>
      <c r="BZ97" t="str">
        <f t="shared" si="82"/>
        <v/>
      </c>
      <c r="CA97" t="str">
        <f t="shared" si="83"/>
        <v/>
      </c>
      <c r="CE97" s="609">
        <v>29</v>
      </c>
      <c r="CF97">
        <f t="shared" si="56"/>
        <v>0</v>
      </c>
      <c r="CG97">
        <f>IF(CF97=0,0,1+MAX(CG$69:CG96))</f>
        <v>0</v>
      </c>
      <c r="CH97">
        <f t="shared" si="84"/>
        <v>0</v>
      </c>
      <c r="CI97" t="str">
        <f t="shared" si="85"/>
        <v/>
      </c>
      <c r="CJ97" t="str">
        <f t="shared" si="86"/>
        <v/>
      </c>
    </row>
    <row r="98" spans="2:88" x14ac:dyDescent="0.25">
      <c r="B98" s="591">
        <v>30</v>
      </c>
      <c r="C98">
        <f t="shared" si="47"/>
        <v>0</v>
      </c>
      <c r="D98">
        <f>IF(C98=0,0,1+MAX(D$69:D97))</f>
        <v>0</v>
      </c>
      <c r="E98">
        <f t="shared" si="57"/>
        <v>0</v>
      </c>
      <c r="F98" t="str">
        <f t="shared" si="58"/>
        <v/>
      </c>
      <c r="G98" t="str">
        <f t="shared" si="59"/>
        <v/>
      </c>
      <c r="K98" s="609">
        <v>30</v>
      </c>
      <c r="L98">
        <f t="shared" si="48"/>
        <v>0</v>
      </c>
      <c r="M98">
        <f>IF(L98=0,0,1+MAX(M$69:M97))</f>
        <v>0</v>
      </c>
      <c r="N98">
        <f t="shared" si="60"/>
        <v>0</v>
      </c>
      <c r="O98" t="str">
        <f t="shared" si="61"/>
        <v/>
      </c>
      <c r="P98" t="str">
        <f t="shared" si="62"/>
        <v/>
      </c>
      <c r="T98" s="609">
        <v>30</v>
      </c>
      <c r="U98">
        <f t="shared" si="49"/>
        <v>0</v>
      </c>
      <c r="V98">
        <f>IF(U98=0,0,1+MAX(V$69:V97))</f>
        <v>0</v>
      </c>
      <c r="W98">
        <f t="shared" si="63"/>
        <v>0</v>
      </c>
      <c r="X98" t="str">
        <f t="shared" si="64"/>
        <v/>
      </c>
      <c r="Y98" t="str">
        <f t="shared" si="65"/>
        <v/>
      </c>
      <c r="AC98" s="609">
        <v>30</v>
      </c>
      <c r="AD98">
        <f t="shared" si="50"/>
        <v>0</v>
      </c>
      <c r="AE98">
        <f>IF(AD98=0,0,1+MAX(AE$69:AE97))</f>
        <v>0</v>
      </c>
      <c r="AF98">
        <f t="shared" si="66"/>
        <v>0</v>
      </c>
      <c r="AG98" t="str">
        <f t="shared" si="67"/>
        <v/>
      </c>
      <c r="AH98" t="str">
        <f t="shared" si="68"/>
        <v/>
      </c>
      <c r="AL98" s="609">
        <v>30</v>
      </c>
      <c r="AM98">
        <f t="shared" si="51"/>
        <v>0</v>
      </c>
      <c r="AN98">
        <f>IF(AM98=0,0,1+MAX(AN$69:AN97))</f>
        <v>0</v>
      </c>
      <c r="AO98">
        <f t="shared" si="69"/>
        <v>0</v>
      </c>
      <c r="AP98" t="str">
        <f t="shared" si="70"/>
        <v/>
      </c>
      <c r="AQ98" t="str">
        <f t="shared" si="71"/>
        <v/>
      </c>
      <c r="AU98" s="609">
        <v>30</v>
      </c>
      <c r="AV98">
        <f t="shared" si="52"/>
        <v>0</v>
      </c>
      <c r="AW98">
        <f>IF(AV98=0,0,1+MAX(AW$69:AW97))</f>
        <v>0</v>
      </c>
      <c r="AX98">
        <f t="shared" si="72"/>
        <v>0</v>
      </c>
      <c r="AY98" t="str">
        <f t="shared" si="73"/>
        <v/>
      </c>
      <c r="AZ98" t="str">
        <f t="shared" si="74"/>
        <v/>
      </c>
      <c r="BD98" s="609">
        <v>30</v>
      </c>
      <c r="BE98">
        <f t="shared" si="53"/>
        <v>0</v>
      </c>
      <c r="BF98">
        <f>IF(BE98=0,0,1+MAX(BF$69:BF97))</f>
        <v>0</v>
      </c>
      <c r="BG98">
        <f t="shared" si="75"/>
        <v>0</v>
      </c>
      <c r="BH98" t="str">
        <f t="shared" si="76"/>
        <v/>
      </c>
      <c r="BI98" t="str">
        <f t="shared" si="77"/>
        <v/>
      </c>
      <c r="BM98" s="609">
        <v>30</v>
      </c>
      <c r="BN98">
        <f t="shared" si="54"/>
        <v>0</v>
      </c>
      <c r="BO98">
        <f>IF(BN98=0,0,1+MAX(BO$69:BO97))</f>
        <v>0</v>
      </c>
      <c r="BP98">
        <f t="shared" si="78"/>
        <v>0</v>
      </c>
      <c r="BQ98" t="str">
        <f t="shared" si="79"/>
        <v/>
      </c>
      <c r="BR98" t="str">
        <f t="shared" si="80"/>
        <v/>
      </c>
      <c r="BV98" s="609">
        <v>30</v>
      </c>
      <c r="BW98">
        <f t="shared" si="55"/>
        <v>0</v>
      </c>
      <c r="BX98">
        <f>IF(BW98=0,0,1+MAX(BX$69:BX97))</f>
        <v>0</v>
      </c>
      <c r="BY98">
        <f t="shared" si="81"/>
        <v>0</v>
      </c>
      <c r="BZ98" t="str">
        <f t="shared" si="82"/>
        <v/>
      </c>
      <c r="CA98" t="str">
        <f t="shared" si="83"/>
        <v/>
      </c>
      <c r="CE98" s="609">
        <v>30</v>
      </c>
      <c r="CF98">
        <f t="shared" si="56"/>
        <v>0</v>
      </c>
      <c r="CG98">
        <f>IF(CF98=0,0,1+MAX(CG$69:CG97))</f>
        <v>0</v>
      </c>
      <c r="CH98">
        <f t="shared" si="84"/>
        <v>0</v>
      </c>
      <c r="CI98" t="str">
        <f t="shared" si="85"/>
        <v/>
      </c>
      <c r="CJ98" t="str">
        <f t="shared" si="86"/>
        <v/>
      </c>
    </row>
  </sheetData>
  <mergeCells count="302">
    <mergeCell ref="BW35:CA35"/>
    <mergeCell ref="B37:H66"/>
    <mergeCell ref="BN34:BR34"/>
    <mergeCell ref="BW34:CA34"/>
    <mergeCell ref="C35:G35"/>
    <mergeCell ref="L35:P35"/>
    <mergeCell ref="U35:Y35"/>
    <mergeCell ref="AD35:AH35"/>
    <mergeCell ref="AM35:AQ35"/>
    <mergeCell ref="AV35:AZ35"/>
    <mergeCell ref="BE35:BI35"/>
    <mergeCell ref="BN35:BR35"/>
    <mergeCell ref="BE33:BI33"/>
    <mergeCell ref="BN33:BR33"/>
    <mergeCell ref="BW33:CA33"/>
    <mergeCell ref="C34:G34"/>
    <mergeCell ref="L34:P34"/>
    <mergeCell ref="U34:Y34"/>
    <mergeCell ref="AD34:AH34"/>
    <mergeCell ref="AM34:AQ34"/>
    <mergeCell ref="AV34:AZ34"/>
    <mergeCell ref="BE34:BI34"/>
    <mergeCell ref="C33:G33"/>
    <mergeCell ref="L33:P33"/>
    <mergeCell ref="U33:Y33"/>
    <mergeCell ref="AD33:AH33"/>
    <mergeCell ref="AM33:AQ33"/>
    <mergeCell ref="AV33:AZ33"/>
    <mergeCell ref="C32:G32"/>
    <mergeCell ref="L32:P32"/>
    <mergeCell ref="U32:Y32"/>
    <mergeCell ref="AD32:AH32"/>
    <mergeCell ref="AM32:AQ32"/>
    <mergeCell ref="AV32:AZ32"/>
    <mergeCell ref="BE32:BI32"/>
    <mergeCell ref="BN32:BR32"/>
    <mergeCell ref="BW32:CA32"/>
    <mergeCell ref="C31:G31"/>
    <mergeCell ref="L31:P31"/>
    <mergeCell ref="U31:Y31"/>
    <mergeCell ref="AD31:AH31"/>
    <mergeCell ref="AM31:AQ31"/>
    <mergeCell ref="AV31:AZ31"/>
    <mergeCell ref="BE31:BI31"/>
    <mergeCell ref="BN31:BR31"/>
    <mergeCell ref="BW31:CA31"/>
    <mergeCell ref="BE29:BI29"/>
    <mergeCell ref="BN29:BR29"/>
    <mergeCell ref="BW29:CA29"/>
    <mergeCell ref="C30:G30"/>
    <mergeCell ref="L30:P30"/>
    <mergeCell ref="U30:Y30"/>
    <mergeCell ref="AD30:AH30"/>
    <mergeCell ref="AM30:AQ30"/>
    <mergeCell ref="AV30:AZ30"/>
    <mergeCell ref="BE30:BI30"/>
    <mergeCell ref="C29:G29"/>
    <mergeCell ref="L29:P29"/>
    <mergeCell ref="U29:Y29"/>
    <mergeCell ref="AD29:AH29"/>
    <mergeCell ref="AM29:AQ29"/>
    <mergeCell ref="AV29:AZ29"/>
    <mergeCell ref="BN30:BR30"/>
    <mergeCell ref="BW30:CA30"/>
    <mergeCell ref="C28:G28"/>
    <mergeCell ref="L28:P28"/>
    <mergeCell ref="U28:Y28"/>
    <mergeCell ref="AD28:AH28"/>
    <mergeCell ref="AM28:AQ28"/>
    <mergeCell ref="AV28:AZ28"/>
    <mergeCell ref="BE28:BI28"/>
    <mergeCell ref="BN28:BR28"/>
    <mergeCell ref="BW28:CA28"/>
    <mergeCell ref="C27:G27"/>
    <mergeCell ref="L27:P27"/>
    <mergeCell ref="U27:Y27"/>
    <mergeCell ref="AD27:AH27"/>
    <mergeCell ref="AM27:AQ27"/>
    <mergeCell ref="AV27:AZ27"/>
    <mergeCell ref="BE27:BI27"/>
    <mergeCell ref="BN27:BR27"/>
    <mergeCell ref="BW27:CA27"/>
    <mergeCell ref="BE25:BI25"/>
    <mergeCell ref="BN25:BR25"/>
    <mergeCell ref="BW25:CA25"/>
    <mergeCell ref="C26:G26"/>
    <mergeCell ref="L26:P26"/>
    <mergeCell ref="U26:Y26"/>
    <mergeCell ref="AD26:AH26"/>
    <mergeCell ref="AM26:AQ26"/>
    <mergeCell ref="AV26:AZ26"/>
    <mergeCell ref="BE26:BI26"/>
    <mergeCell ref="C25:G25"/>
    <mergeCell ref="L25:P25"/>
    <mergeCell ref="U25:Y25"/>
    <mergeCell ref="AD25:AH25"/>
    <mergeCell ref="AM25:AQ25"/>
    <mergeCell ref="AV25:AZ25"/>
    <mergeCell ref="BN26:BR26"/>
    <mergeCell ref="BW26:CA26"/>
    <mergeCell ref="C24:G24"/>
    <mergeCell ref="L24:P24"/>
    <mergeCell ref="U24:Y24"/>
    <mergeCell ref="AD24:AH24"/>
    <mergeCell ref="AM24:AQ24"/>
    <mergeCell ref="AV24:AZ24"/>
    <mergeCell ref="BE24:BI24"/>
    <mergeCell ref="BN24:BR24"/>
    <mergeCell ref="BW24:CA24"/>
    <mergeCell ref="C23:G23"/>
    <mergeCell ref="L23:P23"/>
    <mergeCell ref="U23:Y23"/>
    <mergeCell ref="AD23:AH23"/>
    <mergeCell ref="AM23:AQ23"/>
    <mergeCell ref="AV23:AZ23"/>
    <mergeCell ref="BE23:BI23"/>
    <mergeCell ref="BN23:BR23"/>
    <mergeCell ref="BW23:CA23"/>
    <mergeCell ref="BE21:BI21"/>
    <mergeCell ref="BN21:BR21"/>
    <mergeCell ref="BW21:CA21"/>
    <mergeCell ref="C22:G22"/>
    <mergeCell ref="L22:P22"/>
    <mergeCell ref="U22:Y22"/>
    <mergeCell ref="AD22:AH22"/>
    <mergeCell ref="AM22:AQ22"/>
    <mergeCell ref="AV22:AZ22"/>
    <mergeCell ref="BE22:BI22"/>
    <mergeCell ref="C21:G21"/>
    <mergeCell ref="L21:P21"/>
    <mergeCell ref="U21:Y21"/>
    <mergeCell ref="AD21:AH21"/>
    <mergeCell ref="AM21:AQ21"/>
    <mergeCell ref="AV21:AZ21"/>
    <mergeCell ref="BN22:BR22"/>
    <mergeCell ref="BW22:CA22"/>
    <mergeCell ref="C20:G20"/>
    <mergeCell ref="L20:P20"/>
    <mergeCell ref="U20:Y20"/>
    <mergeCell ref="AD20:AH20"/>
    <mergeCell ref="AM20:AQ20"/>
    <mergeCell ref="AV20:AZ20"/>
    <mergeCell ref="BE20:BI20"/>
    <mergeCell ref="BN20:BR20"/>
    <mergeCell ref="BW20:CA20"/>
    <mergeCell ref="C19:G19"/>
    <mergeCell ref="L19:P19"/>
    <mergeCell ref="U19:Y19"/>
    <mergeCell ref="AD19:AH19"/>
    <mergeCell ref="AM19:AQ19"/>
    <mergeCell ref="AV19:AZ19"/>
    <mergeCell ref="BE19:BI19"/>
    <mergeCell ref="BN19:BR19"/>
    <mergeCell ref="BW19:CA19"/>
    <mergeCell ref="BE17:BI17"/>
    <mergeCell ref="BN17:BR17"/>
    <mergeCell ref="BW17:CA17"/>
    <mergeCell ref="C18:G18"/>
    <mergeCell ref="L18:P18"/>
    <mergeCell ref="U18:Y18"/>
    <mergeCell ref="AD18:AH18"/>
    <mergeCell ref="AM18:AQ18"/>
    <mergeCell ref="AV18:AZ18"/>
    <mergeCell ref="BE18:BI18"/>
    <mergeCell ref="C17:G17"/>
    <mergeCell ref="L17:P17"/>
    <mergeCell ref="U17:Y17"/>
    <mergeCell ref="AD17:AH17"/>
    <mergeCell ref="AM17:AQ17"/>
    <mergeCell ref="AV17:AZ17"/>
    <mergeCell ref="BN18:BR18"/>
    <mergeCell ref="BW18:CA18"/>
    <mergeCell ref="C16:G16"/>
    <mergeCell ref="L16:P16"/>
    <mergeCell ref="U16:Y16"/>
    <mergeCell ref="AD16:AH16"/>
    <mergeCell ref="AM16:AQ16"/>
    <mergeCell ref="AV16:AZ16"/>
    <mergeCell ref="BE16:BI16"/>
    <mergeCell ref="BN16:BR16"/>
    <mergeCell ref="BW16:CA16"/>
    <mergeCell ref="C15:G15"/>
    <mergeCell ref="L15:P15"/>
    <mergeCell ref="U15:Y15"/>
    <mergeCell ref="AD15:AH15"/>
    <mergeCell ref="AM15:AQ15"/>
    <mergeCell ref="AV15:AZ15"/>
    <mergeCell ref="BE15:BI15"/>
    <mergeCell ref="BN15:BR15"/>
    <mergeCell ref="BW15:CA15"/>
    <mergeCell ref="BE13:BI13"/>
    <mergeCell ref="BN13:BR13"/>
    <mergeCell ref="BW13:CA13"/>
    <mergeCell ref="C14:G14"/>
    <mergeCell ref="L14:P14"/>
    <mergeCell ref="U14:Y14"/>
    <mergeCell ref="AD14:AH14"/>
    <mergeCell ref="AM14:AQ14"/>
    <mergeCell ref="AV14:AZ14"/>
    <mergeCell ref="BE14:BI14"/>
    <mergeCell ref="C13:G13"/>
    <mergeCell ref="L13:P13"/>
    <mergeCell ref="U13:Y13"/>
    <mergeCell ref="AD13:AH13"/>
    <mergeCell ref="AM13:AQ13"/>
    <mergeCell ref="AV13:AZ13"/>
    <mergeCell ref="BN14:BR14"/>
    <mergeCell ref="BW14:CA14"/>
    <mergeCell ref="C12:G12"/>
    <mergeCell ref="L12:P12"/>
    <mergeCell ref="U12:Y12"/>
    <mergeCell ref="AD12:AH12"/>
    <mergeCell ref="AM12:AQ12"/>
    <mergeCell ref="AV12:AZ12"/>
    <mergeCell ref="BE12:BI12"/>
    <mergeCell ref="BN12:BR12"/>
    <mergeCell ref="BW12:CA12"/>
    <mergeCell ref="C11:G11"/>
    <mergeCell ref="L11:P11"/>
    <mergeCell ref="U11:Y11"/>
    <mergeCell ref="AD11:AH11"/>
    <mergeCell ref="AM11:AQ11"/>
    <mergeCell ref="AV11:AZ11"/>
    <mergeCell ref="BE11:BI11"/>
    <mergeCell ref="BN11:BR11"/>
    <mergeCell ref="BW11:CA11"/>
    <mergeCell ref="BE9:BI9"/>
    <mergeCell ref="BN9:BR9"/>
    <mergeCell ref="BW9:CA9"/>
    <mergeCell ref="C10:G10"/>
    <mergeCell ref="L10:P10"/>
    <mergeCell ref="U10:Y10"/>
    <mergeCell ref="AD10:AH10"/>
    <mergeCell ref="AM10:AQ10"/>
    <mergeCell ref="AV10:AZ10"/>
    <mergeCell ref="BE10:BI10"/>
    <mergeCell ref="C9:G9"/>
    <mergeCell ref="L9:P9"/>
    <mergeCell ref="U9:Y9"/>
    <mergeCell ref="AD9:AH9"/>
    <mergeCell ref="AM9:AQ9"/>
    <mergeCell ref="AV9:AZ9"/>
    <mergeCell ref="BN10:BR10"/>
    <mergeCell ref="BW10:CA10"/>
    <mergeCell ref="C8:G8"/>
    <mergeCell ref="L8:P8"/>
    <mergeCell ref="U8:Y8"/>
    <mergeCell ref="AD8:AH8"/>
    <mergeCell ref="AM8:AQ8"/>
    <mergeCell ref="AV8:AZ8"/>
    <mergeCell ref="BE8:BI8"/>
    <mergeCell ref="BN8:BR8"/>
    <mergeCell ref="BW8:CA8"/>
    <mergeCell ref="C7:G7"/>
    <mergeCell ref="L7:P7"/>
    <mergeCell ref="U7:Y7"/>
    <mergeCell ref="AD7:AH7"/>
    <mergeCell ref="AM7:AQ7"/>
    <mergeCell ref="AV7:AZ7"/>
    <mergeCell ref="BE7:BI7"/>
    <mergeCell ref="BN7:BR7"/>
    <mergeCell ref="BW7:CA7"/>
    <mergeCell ref="CX5:CY5"/>
    <mergeCell ref="CZ5:DA5"/>
    <mergeCell ref="DB5:DC5"/>
    <mergeCell ref="C6:G6"/>
    <mergeCell ref="L6:P6"/>
    <mergeCell ref="U6:Y6"/>
    <mergeCell ref="AD6:AH6"/>
    <mergeCell ref="AM6:AQ6"/>
    <mergeCell ref="AV6:AZ6"/>
    <mergeCell ref="BE6:BI6"/>
    <mergeCell ref="CL5:CM5"/>
    <mergeCell ref="CN5:CO5"/>
    <mergeCell ref="CP5:CQ5"/>
    <mergeCell ref="CR5:CS5"/>
    <mergeCell ref="CT5:CU5"/>
    <mergeCell ref="CV5:CW5"/>
    <mergeCell ref="AC5:AI5"/>
    <mergeCell ref="AL5:AR5"/>
    <mergeCell ref="AU5:BA5"/>
    <mergeCell ref="BD5:BJ5"/>
    <mergeCell ref="BM5:BS5"/>
    <mergeCell ref="BV5:CB5"/>
    <mergeCell ref="BN6:BR6"/>
    <mergeCell ref="BW6:CA6"/>
    <mergeCell ref="B1:F1"/>
    <mergeCell ref="G1:K1"/>
    <mergeCell ref="L1:P1"/>
    <mergeCell ref="Q1:U1"/>
    <mergeCell ref="S3:U3"/>
    <mergeCell ref="V3:X3"/>
    <mergeCell ref="Y3:Z3"/>
    <mergeCell ref="B5:G5"/>
    <mergeCell ref="K5:Q5"/>
    <mergeCell ref="T5:Y5"/>
    <mergeCell ref="B2:D3"/>
    <mergeCell ref="E3:F3"/>
    <mergeCell ref="G3:H3"/>
    <mergeCell ref="J3:L3"/>
    <mergeCell ref="M3:O3"/>
    <mergeCell ref="P3:Q3"/>
  </mergeCells>
  <dataValidations count="6">
    <dataValidation type="list" allowBlank="1" showInputMessage="1" showErrorMessage="1" sqref="CB6:CB35" xr:uid="{00000000-0002-0000-1100-000000000000}">
      <formula1>$CH$12</formula1>
    </dataValidation>
    <dataValidation type="list" allowBlank="1" showInputMessage="1" showErrorMessage="1" sqref="AI6:AJ35" xr:uid="{00000000-0002-0000-1100-000001000000}">
      <formula1>$CH$7</formula1>
    </dataValidation>
    <dataValidation type="list" allowBlank="1" showInputMessage="1" showErrorMessage="1" sqref="AR6:AS35" xr:uid="{00000000-0002-0000-1100-000002000000}">
      <formula1>$CH$8</formula1>
    </dataValidation>
    <dataValidation type="list" allowBlank="1" showInputMessage="1" showErrorMessage="1" sqref="BA6:BB35" xr:uid="{00000000-0002-0000-1100-000003000000}">
      <formula1>$CH$9</formula1>
    </dataValidation>
    <dataValidation type="list" allowBlank="1" showInputMessage="1" showErrorMessage="1" sqref="BJ6:BK35" xr:uid="{00000000-0002-0000-1100-000004000000}">
      <formula1>$CH$10</formula1>
    </dataValidation>
    <dataValidation type="list" allowBlank="1" showInputMessage="1" showErrorMessage="1" sqref="BS6:BT35" xr:uid="{00000000-0002-0000-1100-000005000000}">
      <formula1>$CH$11</formula1>
    </dataValidation>
  </dataValidations>
  <hyperlinks>
    <hyperlink ref="B1:D1" location="LinkSpellsKnown" display="Back to Spellcasting" xr:uid="{00000000-0004-0000-1100-000000000000}"/>
    <hyperlink ref="G1:I1" location="LinkSpellsKnown" display="Back to Spellcasting" xr:uid="{00000000-0004-0000-1100-000001000000}"/>
    <hyperlink ref="G1:K1" location="SpellsKnownWarlock" display="to Rituals Known" xr:uid="{00000000-0004-0000-1100-000002000000}"/>
    <hyperlink ref="L1:N1" location="LinkSpellsKnown" display="Back to Spellcasting" xr:uid="{00000000-0004-0000-1100-000003000000}"/>
    <hyperlink ref="L1:P1" location="SheetSpellBook" display="to Wizard Spells Known" xr:uid="{00000000-0004-0000-1100-000004000000}"/>
    <hyperlink ref="Q1:S1" location="LinkSpellsKnown" display="Back to Spellcasting" xr:uid="{00000000-0004-0000-1100-000005000000}"/>
    <hyperlink ref="Q1:U1" location="SpellCastingIndex" display="to Spellcasting Index" xr:uid="{00000000-0004-0000-1100-000006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2">
    <tabColor theme="4" tint="0.39997558519241921"/>
  </sheetPr>
  <dimension ref="A1:DF98"/>
  <sheetViews>
    <sheetView zoomScale="85" zoomScaleNormal="85" workbookViewId="0">
      <selection activeCell="I5" sqref="I5:I35"/>
    </sheetView>
  </sheetViews>
  <sheetFormatPr defaultColWidth="4.7109375" defaultRowHeight="15" x14ac:dyDescent="0.25"/>
  <sheetData>
    <row r="1" spans="1:110" ht="17.25" thickTop="1" thickBot="1" x14ac:dyDescent="0.3">
      <c r="A1" s="120"/>
      <c r="B1" s="1049" t="s">
        <v>6626</v>
      </c>
      <c r="C1" s="1049"/>
      <c r="D1" s="1049"/>
      <c r="E1" s="1049"/>
      <c r="F1" s="1049"/>
      <c r="G1" s="1049" t="s">
        <v>6647</v>
      </c>
      <c r="H1" s="1049"/>
      <c r="I1" s="1049"/>
      <c r="J1" s="1049"/>
      <c r="K1" s="1049"/>
      <c r="L1" s="1049" t="s">
        <v>6648</v>
      </c>
      <c r="M1" s="1049"/>
      <c r="N1" s="1049"/>
      <c r="O1" s="1049"/>
      <c r="P1" s="1049"/>
      <c r="Q1" s="1049" t="s">
        <v>6657</v>
      </c>
      <c r="R1" s="1049"/>
      <c r="S1" s="1049"/>
      <c r="T1" s="1049"/>
      <c r="U1" s="1049"/>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c r="CD1" s="565"/>
      <c r="CE1" s="565"/>
      <c r="CF1" s="565"/>
      <c r="CG1" s="565"/>
      <c r="CH1" s="565"/>
      <c r="CI1" s="565"/>
      <c r="CJ1" s="565"/>
      <c r="CK1" s="565"/>
      <c r="CL1" s="565"/>
      <c r="CM1" s="565"/>
      <c r="CN1" s="565"/>
      <c r="CO1" s="565"/>
      <c r="CP1" s="565"/>
      <c r="CQ1" s="565"/>
      <c r="CR1" s="565"/>
      <c r="CS1" s="565"/>
      <c r="CT1" s="565"/>
      <c r="CU1" s="565"/>
      <c r="CV1" s="565"/>
      <c r="CW1" s="565"/>
      <c r="CX1" s="565"/>
      <c r="CY1" s="565"/>
      <c r="CZ1" s="565"/>
      <c r="DA1" s="565"/>
      <c r="DB1" s="565"/>
      <c r="DC1" s="565"/>
      <c r="DD1" s="565"/>
      <c r="DE1" s="565"/>
      <c r="DF1" s="565"/>
    </row>
    <row r="2" spans="1:110" ht="15.75" thickTop="1" x14ac:dyDescent="0.25">
      <c r="A2" s="120"/>
      <c r="B2" s="1064" t="s">
        <v>6410</v>
      </c>
      <c r="C2" s="1064"/>
      <c r="D2" s="1064"/>
      <c r="E2" s="120"/>
      <c r="F2" s="120"/>
      <c r="G2" s="120"/>
      <c r="H2" s="120"/>
      <c r="I2" s="120"/>
      <c r="J2" s="120"/>
      <c r="K2" s="120"/>
      <c r="L2" s="120"/>
      <c r="M2" s="120"/>
      <c r="N2" s="120"/>
      <c r="O2" s="120"/>
      <c r="P2" s="120"/>
      <c r="Q2" s="120"/>
      <c r="R2" s="120"/>
      <c r="S2" s="120"/>
      <c r="T2" s="120"/>
      <c r="U2" s="120"/>
      <c r="V2" s="120"/>
      <c r="W2" s="120"/>
      <c r="X2" s="120"/>
      <c r="Y2" s="120"/>
      <c r="Z2" s="120"/>
      <c r="AA2" s="120"/>
      <c r="AB2" s="120"/>
      <c r="AC2" s="120"/>
      <c r="AD2" s="120"/>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c r="BY2" s="120"/>
      <c r="BZ2" s="120"/>
      <c r="CA2" s="120"/>
      <c r="CB2" s="120"/>
      <c r="CC2" s="120"/>
      <c r="CD2" s="565"/>
      <c r="CE2" s="565"/>
      <c r="CF2" s="565"/>
      <c r="CG2" s="565"/>
      <c r="CH2" s="565"/>
      <c r="CI2" s="565"/>
      <c r="CJ2" s="565"/>
      <c r="CK2" s="565"/>
      <c r="CL2" s="565"/>
      <c r="CM2" s="565"/>
      <c r="CN2" s="565"/>
      <c r="CO2" s="565"/>
      <c r="CP2" s="565"/>
      <c r="CQ2" s="565"/>
      <c r="CR2" s="565"/>
      <c r="CS2" s="565"/>
      <c r="CT2" s="565"/>
      <c r="CU2" s="565"/>
      <c r="CV2" s="565"/>
      <c r="CW2" s="565"/>
      <c r="CX2" s="565"/>
      <c r="CY2" s="565"/>
      <c r="CZ2" s="565"/>
      <c r="DA2" s="565"/>
      <c r="DB2" s="565"/>
      <c r="DC2" s="565"/>
      <c r="DD2" s="565"/>
      <c r="DE2" s="565"/>
      <c r="DF2" s="565"/>
    </row>
    <row r="3" spans="1:110" x14ac:dyDescent="0.25">
      <c r="A3" s="120"/>
      <c r="B3" s="1064"/>
      <c r="C3" s="1064"/>
      <c r="D3" s="1064"/>
      <c r="E3" s="1046" t="s">
        <v>62</v>
      </c>
      <c r="F3" s="1046"/>
      <c r="G3" s="1046">
        <f>WizardLevel</f>
        <v>8</v>
      </c>
      <c r="H3" s="1046"/>
      <c r="I3" s="587"/>
      <c r="J3" s="1046" t="s">
        <v>6381</v>
      </c>
      <c r="K3" s="1046"/>
      <c r="L3" s="1046"/>
      <c r="M3" s="1072">
        <f>G3+IntMOD</f>
        <v>13</v>
      </c>
      <c r="N3" s="1072"/>
      <c r="O3" s="1072"/>
      <c r="P3" s="1046" t="s">
        <v>6382</v>
      </c>
      <c r="Q3" s="1046"/>
      <c r="R3" s="587"/>
      <c r="S3" s="1072">
        <f>COUNTIF(S02_Cleric!$H$6:$H$35,"●")+COUNTIF(S02_Cleric!$Q$6:$Q$35,"●")+COUNTIF(S02_Cleric!$Z$6:$Z$35,"●")+COUNTIF(S02_Cleric!$AI$6:$AI$35,"●")+COUNTIF(S02_Cleric!$AR$6:$AR$35,"●")+COUNTIF(S02_Cleric!$BA$6:$BA$35,"●")+COUNTIF(S02_Cleric!$AR$6:$BJ$35,"●")++COUNTIF(S02_Cleric!$BS$6:$BS$35,"●")+COUNTIF(S02_Cleric!$CB$6:$CB$35,"●")</f>
        <v>9</v>
      </c>
      <c r="T3" s="1072"/>
      <c r="U3" s="1072"/>
      <c r="V3" s="1046" t="s">
        <v>6383</v>
      </c>
      <c r="W3" s="1046"/>
      <c r="X3" s="1046"/>
      <c r="Y3" s="1072">
        <f>WizardMaxSpellLevel</f>
        <v>4</v>
      </c>
      <c r="Z3" s="1072"/>
      <c r="AA3" s="592"/>
      <c r="AB3" s="120"/>
      <c r="AC3" s="120"/>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120"/>
      <c r="BV3" s="120"/>
      <c r="BW3" s="120"/>
      <c r="BX3" s="120"/>
      <c r="BY3" s="120"/>
      <c r="BZ3" s="120"/>
      <c r="CA3" s="120"/>
      <c r="CB3" s="120"/>
      <c r="CC3" s="120"/>
      <c r="CD3" s="565"/>
      <c r="CE3" s="565"/>
      <c r="CF3" s="565"/>
      <c r="CG3" s="565"/>
      <c r="CH3" s="565"/>
      <c r="CI3" s="565"/>
      <c r="CJ3" s="565"/>
      <c r="CK3" s="565"/>
      <c r="CL3" s="565"/>
      <c r="CM3" s="565"/>
      <c r="CN3" s="565"/>
      <c r="CO3" s="565"/>
      <c r="CP3" s="565"/>
      <c r="CQ3" s="565"/>
      <c r="CR3" s="565"/>
      <c r="CS3" s="565"/>
      <c r="CT3" s="565"/>
      <c r="CU3" s="565"/>
      <c r="CV3" s="565"/>
      <c r="CW3" s="565"/>
      <c r="CX3" s="565"/>
      <c r="CY3" s="565"/>
      <c r="CZ3" s="565"/>
      <c r="DA3" s="565"/>
      <c r="DB3" s="565"/>
      <c r="DC3" s="565"/>
      <c r="DD3" s="565"/>
      <c r="DE3" s="565"/>
      <c r="DF3" s="565"/>
    </row>
    <row r="4" spans="1:110" x14ac:dyDescent="0.25">
      <c r="A4" s="120"/>
      <c r="B4" s="120"/>
      <c r="C4" s="120"/>
      <c r="D4" s="120"/>
      <c r="E4" s="120"/>
      <c r="F4" s="120"/>
      <c r="G4" s="120"/>
      <c r="H4" s="120"/>
      <c r="I4" s="120"/>
      <c r="J4" s="120"/>
      <c r="K4" s="120"/>
      <c r="L4" s="120"/>
      <c r="M4" s="120"/>
      <c r="N4" s="120"/>
      <c r="O4" s="120"/>
      <c r="P4" s="120"/>
      <c r="Q4" s="120"/>
      <c r="R4" s="120"/>
      <c r="S4" s="120"/>
      <c r="T4" s="120"/>
      <c r="U4" s="120"/>
      <c r="V4" s="120"/>
      <c r="W4" s="120"/>
      <c r="X4" s="120"/>
      <c r="Y4" s="120"/>
      <c r="Z4" s="120"/>
      <c r="AA4" s="120"/>
      <c r="AB4" s="120"/>
      <c r="AC4" s="120"/>
      <c r="AD4" s="120"/>
      <c r="AE4" s="120"/>
      <c r="AF4" s="120"/>
      <c r="AG4" s="120"/>
      <c r="AH4" s="120"/>
      <c r="AI4" s="120"/>
      <c r="AJ4" s="120"/>
      <c r="AK4" s="120"/>
      <c r="AL4" s="120"/>
      <c r="AM4" s="120"/>
      <c r="AN4" s="120"/>
      <c r="AO4" s="120"/>
      <c r="AP4" s="120"/>
      <c r="AQ4" s="120"/>
      <c r="AR4" s="120"/>
      <c r="AS4" s="120"/>
      <c r="AT4" s="120"/>
      <c r="AU4" s="120"/>
      <c r="AV4" s="120"/>
      <c r="AW4" s="120"/>
      <c r="AX4" s="120"/>
      <c r="AY4" s="120"/>
      <c r="AZ4" s="120"/>
      <c r="BA4" s="120"/>
      <c r="BB4" s="120"/>
      <c r="BC4" s="120"/>
      <c r="BD4" s="120"/>
      <c r="BE4" s="120"/>
      <c r="BF4" s="120"/>
      <c r="BG4" s="120"/>
      <c r="BH4" s="120"/>
      <c r="BI4" s="120"/>
      <c r="BJ4" s="120"/>
      <c r="BK4" s="120"/>
      <c r="BL4" s="120"/>
      <c r="BM4" s="120"/>
      <c r="BN4" s="120"/>
      <c r="BO4" s="120"/>
      <c r="BP4" s="120"/>
      <c r="BQ4" s="120"/>
      <c r="BR4" s="120"/>
      <c r="BS4" s="120"/>
      <c r="BT4" s="120"/>
      <c r="BU4" s="120"/>
      <c r="BV4" s="120"/>
      <c r="BW4" s="120"/>
      <c r="BX4" s="120"/>
      <c r="BY4" s="120"/>
      <c r="BZ4" s="120"/>
      <c r="CA4" s="120"/>
      <c r="CB4" s="120"/>
      <c r="CC4" s="120"/>
      <c r="CD4" s="565"/>
      <c r="CE4" s="565"/>
      <c r="CF4" s="565"/>
      <c r="CG4" s="565"/>
      <c r="CH4" s="565"/>
      <c r="CI4" s="565"/>
      <c r="CJ4" s="565"/>
      <c r="CK4" s="565"/>
      <c r="CL4" s="565"/>
      <c r="CM4" s="565"/>
      <c r="CN4" s="565"/>
      <c r="CO4" s="565"/>
      <c r="CP4" s="565"/>
      <c r="CQ4" s="565"/>
      <c r="CR4" s="565"/>
      <c r="CS4" s="565"/>
      <c r="CT4" s="565"/>
      <c r="CU4" s="565"/>
      <c r="CV4" s="565"/>
      <c r="CW4" s="565"/>
      <c r="CX4" s="565"/>
      <c r="CY4" s="565"/>
      <c r="CZ4" s="565"/>
      <c r="DA4" s="565"/>
      <c r="DB4" s="565"/>
      <c r="DC4" s="565"/>
      <c r="DD4" s="565"/>
      <c r="DE4" s="565"/>
      <c r="DF4" s="565"/>
    </row>
    <row r="5" spans="1:110" x14ac:dyDescent="0.25">
      <c r="A5" s="120"/>
      <c r="B5" s="1052" t="s">
        <v>6359</v>
      </c>
      <c r="C5" s="1052"/>
      <c r="D5" s="1052"/>
      <c r="E5" s="1052"/>
      <c r="F5" s="1052"/>
      <c r="G5" s="1052"/>
      <c r="H5" s="1052"/>
      <c r="I5" s="565"/>
      <c r="J5" s="565"/>
      <c r="K5" s="1052" t="s">
        <v>6277</v>
      </c>
      <c r="L5" s="1052"/>
      <c r="M5" s="1052"/>
      <c r="N5" s="1052"/>
      <c r="O5" s="1052"/>
      <c r="P5" s="1052"/>
      <c r="Q5" s="1052"/>
      <c r="R5" s="594"/>
      <c r="S5" s="565"/>
      <c r="T5" s="1052" t="s">
        <v>6279</v>
      </c>
      <c r="U5" s="1052"/>
      <c r="V5" s="1052"/>
      <c r="W5" s="1052"/>
      <c r="X5" s="1052"/>
      <c r="Y5" s="1052"/>
      <c r="Z5" s="1052" t="s">
        <v>6251</v>
      </c>
      <c r="AA5" s="594"/>
      <c r="AB5" s="565"/>
      <c r="AC5" s="1052" t="s">
        <v>6280</v>
      </c>
      <c r="AD5" s="1052"/>
      <c r="AE5" s="1052"/>
      <c r="AF5" s="1052"/>
      <c r="AG5" s="1052"/>
      <c r="AH5" s="1052"/>
      <c r="AI5" s="1052"/>
      <c r="AJ5" s="594"/>
      <c r="AK5" s="565"/>
      <c r="AL5" s="1052" t="s">
        <v>6281</v>
      </c>
      <c r="AM5" s="1052"/>
      <c r="AN5" s="1052"/>
      <c r="AO5" s="1052"/>
      <c r="AP5" s="1052"/>
      <c r="AQ5" s="1052"/>
      <c r="AR5" s="1052"/>
      <c r="AS5" s="594"/>
      <c r="AT5" s="565"/>
      <c r="AU5" s="1052" t="s">
        <v>6282</v>
      </c>
      <c r="AV5" s="1052"/>
      <c r="AW5" s="1052"/>
      <c r="AX5" s="1052"/>
      <c r="AY5" s="1052"/>
      <c r="AZ5" s="1052"/>
      <c r="BA5" s="1052"/>
      <c r="BB5" s="594"/>
      <c r="BC5" s="565"/>
      <c r="BD5" s="1052" t="s">
        <v>6283</v>
      </c>
      <c r="BE5" s="1052"/>
      <c r="BF5" s="1052"/>
      <c r="BG5" s="1052"/>
      <c r="BH5" s="1052"/>
      <c r="BI5" s="1052"/>
      <c r="BJ5" s="1052"/>
      <c r="BK5" s="594"/>
      <c r="BL5" s="565"/>
      <c r="BM5" s="1052" t="s">
        <v>6284</v>
      </c>
      <c r="BN5" s="1052"/>
      <c r="BO5" s="1052"/>
      <c r="BP5" s="1052"/>
      <c r="BQ5" s="1052"/>
      <c r="BR5" s="1052"/>
      <c r="BS5" s="1052"/>
      <c r="BT5" s="594"/>
      <c r="BU5" s="565"/>
      <c r="BV5" s="1052" t="s">
        <v>6285</v>
      </c>
      <c r="BW5" s="1052"/>
      <c r="BX5" s="1052"/>
      <c r="BY5" s="1052"/>
      <c r="BZ5" s="1052"/>
      <c r="CA5" s="1052"/>
      <c r="CB5" s="1052"/>
      <c r="CC5" s="565"/>
      <c r="CD5" s="565"/>
      <c r="CE5" s="565"/>
      <c r="CF5" s="565"/>
      <c r="CG5" s="565"/>
      <c r="CH5" s="565"/>
      <c r="CI5" s="565"/>
      <c r="CJ5" s="565"/>
      <c r="CK5" s="565"/>
      <c r="CL5" s="1060">
        <v>1</v>
      </c>
      <c r="CM5" s="1060"/>
      <c r="CN5" s="1060">
        <v>2</v>
      </c>
      <c r="CO5" s="1060"/>
      <c r="CP5" s="1060">
        <v>3</v>
      </c>
      <c r="CQ5" s="1060"/>
      <c r="CR5" s="1060">
        <v>4</v>
      </c>
      <c r="CS5" s="1060"/>
      <c r="CT5" s="1060">
        <v>5</v>
      </c>
      <c r="CU5" s="1060"/>
      <c r="CV5" s="1060">
        <v>6</v>
      </c>
      <c r="CW5" s="1060"/>
      <c r="CX5" s="1060">
        <v>7</v>
      </c>
      <c r="CY5" s="1060"/>
      <c r="CZ5" s="1060"/>
      <c r="DA5" s="1060"/>
      <c r="DB5" s="1060"/>
      <c r="DC5" s="1060"/>
      <c r="DD5" s="565"/>
      <c r="DE5" s="565"/>
      <c r="DF5" s="565"/>
    </row>
    <row r="6" spans="1:110" ht="21" x14ac:dyDescent="0.25">
      <c r="A6" s="120"/>
      <c r="B6" s="5">
        <v>1</v>
      </c>
      <c r="C6" s="1061" t="str">
        <f t="shared" ref="C6:C35" si="0">IFERROR(INDEX($CJ$6:$CJ$65,MATCH(B6,$CM$6:$CM$65,0),1),"")</f>
        <v>Find Familiar</v>
      </c>
      <c r="D6" s="1061"/>
      <c r="E6" s="1061"/>
      <c r="F6" s="1061"/>
      <c r="G6" s="1061"/>
      <c r="H6" s="567"/>
      <c r="I6" s="565"/>
      <c r="J6" s="565" t="str">
        <f>IF(C6="","",IF(H6="",C6&amp;", ",C6&amp;" - prep"&amp;", "))</f>
        <v xml:space="preserve">Find Familiar, </v>
      </c>
      <c r="K6" s="5">
        <v>1</v>
      </c>
      <c r="L6" s="1061" t="str">
        <f t="shared" ref="L6:L35" si="1">IFERROR(INDEX($CJ$6:$CJ$65,MATCH(K6,$CO$6:$CO$65,0),1),"")</f>
        <v/>
      </c>
      <c r="M6" s="1061"/>
      <c r="N6" s="1061"/>
      <c r="O6" s="1061"/>
      <c r="P6" s="1061"/>
      <c r="Q6" s="567"/>
      <c r="R6" s="601"/>
      <c r="S6" s="565" t="str">
        <f>IF(L6="","",IF(Q6="",L6&amp;", ",L6&amp;" - prep"&amp;", "))</f>
        <v/>
      </c>
      <c r="T6" s="5">
        <v>1</v>
      </c>
      <c r="U6" s="1061" t="str">
        <f t="shared" ref="U6:U35" si="2">IFERROR(INDEX($CJ$6:$CJ$65,MATCH(T6,$CQ$6:$CQ$65,0),1),"")</f>
        <v>Fly</v>
      </c>
      <c r="V6" s="1061"/>
      <c r="W6" s="1061"/>
      <c r="X6" s="1061"/>
      <c r="Y6" s="1061"/>
      <c r="Z6" s="567" t="str">
        <f t="shared" ref="Z6:Z35" si="3">IF(1&lt;=$Y$3,IF(U6&lt;&gt;"",IF(IFERROR(SEARCH(U6,$M$2,1),0)&gt;0,"●",""),""),"")</f>
        <v/>
      </c>
      <c r="AA6" s="601"/>
      <c r="AB6" s="565" t="str">
        <f>IF(U6="","",IF(Z6="",U6&amp;", ",U6&amp;" - prep"&amp;", "))</f>
        <v xml:space="preserve">Fly, </v>
      </c>
      <c r="AC6" s="5">
        <v>1</v>
      </c>
      <c r="AD6" s="1061" t="str">
        <f t="shared" ref="AD6:AD35" si="4">IFERROR(INDEX($CJ$6:$CJ$65,MATCH(AC6,$CS$6:$CS$65,0),1),"")</f>
        <v/>
      </c>
      <c r="AE6" s="1061"/>
      <c r="AF6" s="1061"/>
      <c r="AG6" s="1061"/>
      <c r="AH6" s="1061"/>
      <c r="AI6" s="567" t="s">
        <v>3034</v>
      </c>
      <c r="AJ6" s="601"/>
      <c r="AK6" s="565" t="str">
        <f>IF(AD6="","",IF(AI6="",AD6&amp;", ",AD6&amp;" - prep"&amp;", "))</f>
        <v/>
      </c>
      <c r="AL6" s="5">
        <v>1</v>
      </c>
      <c r="AM6" s="1061" t="str">
        <f t="shared" ref="AM6:AM35" si="5">IFERROR(INDEX($CJ$6:$CJ$65,MATCH(AL6,$CU$6:$CU$65,0),1),"")</f>
        <v/>
      </c>
      <c r="AN6" s="1061"/>
      <c r="AO6" s="1061"/>
      <c r="AP6" s="1061"/>
      <c r="AQ6" s="1061"/>
      <c r="AR6" s="567"/>
      <c r="AS6" s="601"/>
      <c r="AT6" s="565" t="str">
        <f>IF(AM6="","",IF(AR6="",AM6&amp;", ",AM6&amp;" - prep"&amp;", "))</f>
        <v/>
      </c>
      <c r="AU6" s="5">
        <v>1</v>
      </c>
      <c r="AV6" s="1061" t="str">
        <f t="shared" ref="AV6:AV35" si="6">IFERROR(INDEX($CJ$6:$CJ$65,MATCH(AU6,$CW$6:$CW$65,0),1),"")</f>
        <v/>
      </c>
      <c r="AW6" s="1061"/>
      <c r="AX6" s="1061"/>
      <c r="AY6" s="1061"/>
      <c r="AZ6" s="1061"/>
      <c r="BA6" s="567"/>
      <c r="BB6" s="601"/>
      <c r="BC6" s="565" t="str">
        <f>IF(AV6="","",IF(BA6="",AV6&amp;", ",AV6&amp;" - prep"&amp;", "))</f>
        <v/>
      </c>
      <c r="BD6" s="5">
        <v>1</v>
      </c>
      <c r="BE6" s="1061" t="str">
        <f t="shared" ref="BE6:BE35" si="7">IFERROR(INDEX($CJ$6:$CJ$65,MATCH(BD6,$CY$6:$CY$65,0),1),"")</f>
        <v/>
      </c>
      <c r="BF6" s="1061"/>
      <c r="BG6" s="1061"/>
      <c r="BH6" s="1061"/>
      <c r="BI6" s="1061"/>
      <c r="BJ6" s="567"/>
      <c r="BK6" s="601"/>
      <c r="BL6" s="565" t="str">
        <f>IF(BE6="","",IF(BJ6="",BE6&amp;", ",BE6&amp;" - prep"&amp;", "))</f>
        <v/>
      </c>
      <c r="BM6" s="5">
        <v>1</v>
      </c>
      <c r="BN6" s="1061" t="str">
        <f t="shared" ref="BN6:BN35" si="8">IFERROR(INDEX($CJ$6:$CJ$65,MATCH(BM6,$DA$6:$DA$65,0),1),"")</f>
        <v/>
      </c>
      <c r="BO6" s="1061"/>
      <c r="BP6" s="1061"/>
      <c r="BQ6" s="1061"/>
      <c r="BR6" s="1061"/>
      <c r="BS6" s="567"/>
      <c r="BT6" s="601"/>
      <c r="BU6" s="565" t="str">
        <f>IF(BN6="","",IF(BS6="",BN6&amp;", ",BN6&amp;" - prep"&amp;", "))</f>
        <v/>
      </c>
      <c r="BV6" s="5">
        <v>1</v>
      </c>
      <c r="BW6" s="1061" t="str">
        <f t="shared" ref="BW6:BW35" si="9">IFERROR(INDEX($CJ$6:$CJ$65,MATCH(BV6,$DC$6:$DC$65,0),1),"")</f>
        <v/>
      </c>
      <c r="BX6" s="1061"/>
      <c r="BY6" s="1061"/>
      <c r="BZ6" s="1061"/>
      <c r="CA6" s="1061"/>
      <c r="CB6" s="567"/>
      <c r="CC6" s="565" t="str">
        <f>IF(BW6="","",IF(CB6="",BW6&amp;", ",BW6&amp;" - prep"&amp;", "))</f>
        <v/>
      </c>
      <c r="CD6" s="565"/>
      <c r="CE6" s="565"/>
      <c r="CF6" s="565">
        <v>1</v>
      </c>
      <c r="CG6" s="566" t="str">
        <f t="shared" ref="CG6:CG14" si="10">IF(CF6&lt;=DruidMaxSpellLevel,"●","")</f>
        <v/>
      </c>
      <c r="CH6" s="565"/>
      <c r="CI6" s="565">
        <v>1</v>
      </c>
      <c r="CJ6" s="565" t="str">
        <f>Character_Creation!X341</f>
        <v>Find Familiar</v>
      </c>
      <c r="CK6" s="565">
        <f>Character_Creation!AB341</f>
        <v>1</v>
      </c>
      <c r="CL6" s="565">
        <f>IF(AND($CJ6&lt;&gt;0,$CJ6&lt;&gt;""),1,0)*IF($CK6=1,1,0)</f>
        <v>1</v>
      </c>
      <c r="CM6" s="565">
        <f>IF(CL6=0,0,1)</f>
        <v>1</v>
      </c>
      <c r="CN6" s="565">
        <f>IF(AND($CJ6&lt;&gt;0,$CJ6&lt;&gt;""),1,0)*IF($CK6=2,1,0)</f>
        <v>0</v>
      </c>
      <c r="CO6" s="565">
        <f>IF(CN6=0,0,1)</f>
        <v>0</v>
      </c>
      <c r="CP6" s="565">
        <f>IF(AND($CJ6&lt;&gt;0,$CJ6&lt;&gt;""),1,0)*IF($CK6=3,1,0)</f>
        <v>0</v>
      </c>
      <c r="CQ6" s="565">
        <f>IF(CP6=0,0,1)</f>
        <v>0</v>
      </c>
      <c r="CR6" s="565">
        <f>IF(AND($CJ6&lt;&gt;0,$CJ6&lt;&gt;""),1,0)*IF($CK6=4,1,0)</f>
        <v>0</v>
      </c>
      <c r="CS6" s="565">
        <f>IF(CR6=0,0,1)</f>
        <v>0</v>
      </c>
      <c r="CT6" s="565">
        <f>IF(AND($CJ6&lt;&gt;0,$CJ6&lt;&gt;""),1,0)*IF($CK6=5,1,0)</f>
        <v>0</v>
      </c>
      <c r="CU6" s="565">
        <f>IF(CT6=0,0,1)</f>
        <v>0</v>
      </c>
      <c r="CV6" s="565">
        <f>IF(AND($CJ6&lt;&gt;0,$CJ6&lt;&gt;""),1,0)*IF($CK6=6,1,0)</f>
        <v>0</v>
      </c>
      <c r="CW6" s="565">
        <f>IF(CV6=0,0,1)</f>
        <v>0</v>
      </c>
      <c r="CX6" s="565">
        <f>IF(AND($CJ6&lt;&gt;0,$CJ6&lt;&gt;""),1,0)*IF($CK6=7,1,0)</f>
        <v>0</v>
      </c>
      <c r="CY6" s="565">
        <f>IF(CX6=0,0,1)</f>
        <v>0</v>
      </c>
      <c r="CZ6" s="565">
        <f>IF(AND($CJ6&lt;&gt;0,$CJ6&lt;&gt;""),1,0)*IF($CK6=8,1,0)</f>
        <v>0</v>
      </c>
      <c r="DA6" s="565">
        <f>IF(CZ6=0,0,1)</f>
        <v>0</v>
      </c>
      <c r="DB6" s="565">
        <f>IF(AND($CJ6&lt;&gt;0,$CJ6&lt;&gt;""),1,0)*IF($CK6=9,1,0)</f>
        <v>0</v>
      </c>
      <c r="DC6" s="565">
        <f>IF(DB6=0,0,1)</f>
        <v>0</v>
      </c>
      <c r="DD6" s="565"/>
      <c r="DE6" s="565"/>
      <c r="DF6" s="565"/>
    </row>
    <row r="7" spans="1:110" ht="21" x14ac:dyDescent="0.25">
      <c r="A7" s="120"/>
      <c r="B7" s="5">
        <v>2</v>
      </c>
      <c r="C7" s="1061" t="str">
        <f t="shared" si="0"/>
        <v/>
      </c>
      <c r="D7" s="1061"/>
      <c r="E7" s="1061"/>
      <c r="F7" s="1061"/>
      <c r="G7" s="1061"/>
      <c r="H7" s="567"/>
      <c r="I7" s="565"/>
      <c r="J7" s="565" t="str">
        <f t="shared" ref="J7:J35" si="11">IF(C7="","",IF(H7="",C7&amp;", ",C7&amp;" - prep"&amp;", "))</f>
        <v/>
      </c>
      <c r="K7" s="5">
        <v>2</v>
      </c>
      <c r="L7" s="1061" t="str">
        <f t="shared" si="1"/>
        <v/>
      </c>
      <c r="M7" s="1061"/>
      <c r="N7" s="1061"/>
      <c r="O7" s="1061"/>
      <c r="P7" s="1061"/>
      <c r="Q7" s="567"/>
      <c r="R7" s="601"/>
      <c r="S7" s="565" t="str">
        <f t="shared" ref="S7:S36" si="12">IF(L7="","",IF(Q7="",L7&amp;", ",L7&amp;" - prep"&amp;", "))</f>
        <v/>
      </c>
      <c r="T7" s="5">
        <v>2</v>
      </c>
      <c r="U7" s="1061" t="str">
        <f t="shared" si="2"/>
        <v>Haste</v>
      </c>
      <c r="V7" s="1061"/>
      <c r="W7" s="1061"/>
      <c r="X7" s="1061"/>
      <c r="Y7" s="1061"/>
      <c r="Z7" s="567" t="str">
        <f t="shared" si="3"/>
        <v/>
      </c>
      <c r="AA7" s="601"/>
      <c r="AB7" s="565" t="str">
        <f t="shared" ref="AB7:AB36" si="13">IF(U7="","",IF(Z7="",U7&amp;", ",U7&amp;" - prep"&amp;", "))</f>
        <v xml:space="preserve">Haste, </v>
      </c>
      <c r="AC7" s="5">
        <v>2</v>
      </c>
      <c r="AD7" s="1061" t="str">
        <f t="shared" si="4"/>
        <v/>
      </c>
      <c r="AE7" s="1061"/>
      <c r="AF7" s="1061"/>
      <c r="AG7" s="1061"/>
      <c r="AH7" s="1061"/>
      <c r="AI7" s="567" t="s">
        <v>3034</v>
      </c>
      <c r="AJ7" s="601"/>
      <c r="AK7" s="565" t="str">
        <f t="shared" ref="AK7:AK36" si="14">IF(AD7="","",IF(AI7="",AD7&amp;", ",AD7&amp;" - prep"&amp;", "))</f>
        <v/>
      </c>
      <c r="AL7" s="5">
        <v>2</v>
      </c>
      <c r="AM7" s="1061" t="str">
        <f t="shared" si="5"/>
        <v/>
      </c>
      <c r="AN7" s="1061"/>
      <c r="AO7" s="1061"/>
      <c r="AP7" s="1061"/>
      <c r="AQ7" s="1061"/>
      <c r="AR7" s="567"/>
      <c r="AS7" s="601"/>
      <c r="AT7" s="565" t="str">
        <f t="shared" ref="AT7:AT36" si="15">IF(AM7="","",IF(AR7="",AM7&amp;", ",AM7&amp;" - prep"&amp;", "))</f>
        <v/>
      </c>
      <c r="AU7" s="5">
        <v>2</v>
      </c>
      <c r="AV7" s="1061" t="str">
        <f t="shared" si="6"/>
        <v/>
      </c>
      <c r="AW7" s="1061"/>
      <c r="AX7" s="1061"/>
      <c r="AY7" s="1061"/>
      <c r="AZ7" s="1061"/>
      <c r="BA7" s="567"/>
      <c r="BB7" s="601"/>
      <c r="BC7" s="565" t="str">
        <f t="shared" ref="BC7:BC36" si="16">IF(AV7="","",IF(BA7="",AV7&amp;", ",AV7&amp;" - prep"&amp;", "))</f>
        <v/>
      </c>
      <c r="BD7" s="5">
        <v>2</v>
      </c>
      <c r="BE7" s="1061" t="str">
        <f t="shared" si="7"/>
        <v/>
      </c>
      <c r="BF7" s="1061"/>
      <c r="BG7" s="1061"/>
      <c r="BH7" s="1061"/>
      <c r="BI7" s="1061"/>
      <c r="BJ7" s="567"/>
      <c r="BK7" s="601"/>
      <c r="BL7" s="565" t="str">
        <f t="shared" ref="BL7:BL36" si="17">IF(BE7="","",IF(BJ7="",BE7&amp;", ",BE7&amp;" - prep"&amp;", "))</f>
        <v/>
      </c>
      <c r="BM7" s="5">
        <v>2</v>
      </c>
      <c r="BN7" s="1061" t="str">
        <f t="shared" si="8"/>
        <v/>
      </c>
      <c r="BO7" s="1061"/>
      <c r="BP7" s="1061"/>
      <c r="BQ7" s="1061"/>
      <c r="BR7" s="1061"/>
      <c r="BS7" s="567"/>
      <c r="BT7" s="601"/>
      <c r="BU7" s="565" t="str">
        <f t="shared" ref="BU7:BU36" si="18">IF(BN7="","",IF(BS7="",BN7&amp;", ",BN7&amp;" - prep"&amp;", "))</f>
        <v/>
      </c>
      <c r="BV7" s="5">
        <v>2</v>
      </c>
      <c r="BW7" s="1061" t="str">
        <f t="shared" si="9"/>
        <v/>
      </c>
      <c r="BX7" s="1061"/>
      <c r="BY7" s="1061"/>
      <c r="BZ7" s="1061"/>
      <c r="CA7" s="1061"/>
      <c r="CB7" s="567"/>
      <c r="CC7" s="565" t="str">
        <f t="shared" ref="CC7:CC36" si="19">IF(BW7="","",IF(CB7="",BW7&amp;", ",BW7&amp;" - prep"&amp;", "))</f>
        <v/>
      </c>
      <c r="CD7" s="565"/>
      <c r="CE7" s="565"/>
      <c r="CF7" s="565">
        <v>2</v>
      </c>
      <c r="CG7" s="566" t="str">
        <f t="shared" si="10"/>
        <v/>
      </c>
      <c r="CH7" s="565"/>
      <c r="CI7" s="565">
        <v>2</v>
      </c>
      <c r="CJ7" s="565" t="str">
        <f>Character_Creation!X342</f>
        <v>Fly</v>
      </c>
      <c r="CK7" s="565">
        <f>Character_Creation!AB342</f>
        <v>3</v>
      </c>
      <c r="CL7" s="565">
        <f t="shared" ref="CL7:CL65" si="20">IF(AND($CJ7&lt;&gt;0,$CJ7&lt;&gt;""),1,0)*IF($CK7=1,1,0)</f>
        <v>0</v>
      </c>
      <c r="CM7" s="565">
        <f>IF(CL7=0,0,1+COUNTIF(CM6:CM$6,"&gt;0"))</f>
        <v>0</v>
      </c>
      <c r="CN7" s="565">
        <f t="shared" ref="CN7:CN65" si="21">IF(AND($CJ7&lt;&gt;0,$CJ7&lt;&gt;""),1,0)*IF($CK7=2,1,0)</f>
        <v>0</v>
      </c>
      <c r="CO7" s="565">
        <f>IF(CN7=0,0,1+COUNTIF(CO6:CO$6,"&gt;0"))</f>
        <v>0</v>
      </c>
      <c r="CP7" s="565">
        <f t="shared" ref="CP7:CP65" si="22">IF(AND($CJ7&lt;&gt;0,$CJ7&lt;&gt;""),1,0)*IF($CK7=3,1,0)</f>
        <v>1</v>
      </c>
      <c r="CQ7" s="565">
        <f>IF(CP7=0,0,1+COUNTIF(CQ6:CQ$6,"&gt;0"))</f>
        <v>1</v>
      </c>
      <c r="CR7" s="565">
        <f t="shared" ref="CR7:CR65" si="23">IF(AND($CJ7&lt;&gt;0,$CJ7&lt;&gt;""),1,0)*IF($CK7=4,1,0)</f>
        <v>0</v>
      </c>
      <c r="CS7" s="565">
        <f>IF(CR7=0,0,1+COUNTIF(CS6:CS$6,"&gt;0"))</f>
        <v>0</v>
      </c>
      <c r="CT7" s="565">
        <f t="shared" ref="CT7:CT65" si="24">IF(AND($CJ7&lt;&gt;0,$CJ7&lt;&gt;""),1,0)*IF($CK7=5,1,0)</f>
        <v>0</v>
      </c>
      <c r="CU7" s="565">
        <f>IF(CT7=0,0,1+COUNTIF(CU6:CU$6,"&gt;0"))</f>
        <v>0</v>
      </c>
      <c r="CV7" s="565">
        <f t="shared" ref="CV7:CV65" si="25">IF(AND($CJ7&lt;&gt;0,$CJ7&lt;&gt;""),1,0)*IF($CK7=6,1,0)</f>
        <v>0</v>
      </c>
      <c r="CW7" s="565">
        <f>IF(CV7=0,0,1+COUNTIF(CW6:CW$6,"&gt;0"))</f>
        <v>0</v>
      </c>
      <c r="CX7" s="565">
        <f t="shared" ref="CX7:CX65" si="26">IF(AND($CJ7&lt;&gt;0,$CJ7&lt;&gt;""),1,0)*IF($CK7=7,1,0)</f>
        <v>0</v>
      </c>
      <c r="CY7" s="565">
        <f>IF(CX7=0,0,1+COUNTIF(CY6:CY$6,"&gt;0"))</f>
        <v>0</v>
      </c>
      <c r="CZ7" s="565">
        <f t="shared" ref="CZ7:CZ65" si="27">IF(AND($CJ7&lt;&gt;0,$CJ7&lt;&gt;""),1,0)*IF($CK7=8,1,0)</f>
        <v>0</v>
      </c>
      <c r="DA7" s="565">
        <f>IF(CZ7=0,0,1+COUNTIF(DA6:DA$6,"&gt;0"))</f>
        <v>0</v>
      </c>
      <c r="DB7" s="565">
        <f t="shared" ref="DB7:DB65" si="28">IF(AND($CJ7&lt;&gt;0,$CJ7&lt;&gt;""),1,0)*IF($CK7=9,1,0)</f>
        <v>0</v>
      </c>
      <c r="DC7" s="565">
        <f>IF(DB7=0,0,1+COUNTIF(DC6:DC$6,"&gt;0"))</f>
        <v>0</v>
      </c>
      <c r="DD7" s="565"/>
      <c r="DE7" s="565"/>
      <c r="DF7" s="565"/>
    </row>
    <row r="8" spans="1:110" ht="21" x14ac:dyDescent="0.25">
      <c r="A8" s="120"/>
      <c r="B8" s="5">
        <v>3</v>
      </c>
      <c r="C8" s="1061" t="str">
        <f t="shared" si="0"/>
        <v/>
      </c>
      <c r="D8" s="1061"/>
      <c r="E8" s="1061"/>
      <c r="F8" s="1061"/>
      <c r="G8" s="1061"/>
      <c r="H8" s="567"/>
      <c r="I8" s="565"/>
      <c r="J8" s="565" t="str">
        <f t="shared" si="11"/>
        <v/>
      </c>
      <c r="K8" s="5">
        <v>3</v>
      </c>
      <c r="L8" s="1061" t="str">
        <f t="shared" si="1"/>
        <v/>
      </c>
      <c r="M8" s="1061"/>
      <c r="N8" s="1061"/>
      <c r="O8" s="1061"/>
      <c r="P8" s="1061"/>
      <c r="Q8" s="567"/>
      <c r="R8" s="601"/>
      <c r="S8" s="565" t="str">
        <f t="shared" si="12"/>
        <v/>
      </c>
      <c r="T8" s="5">
        <v>3</v>
      </c>
      <c r="U8" s="1061" t="str">
        <f t="shared" si="2"/>
        <v/>
      </c>
      <c r="V8" s="1061"/>
      <c r="W8" s="1061"/>
      <c r="X8" s="1061"/>
      <c r="Y8" s="1061"/>
      <c r="Z8" s="567" t="str">
        <f t="shared" si="3"/>
        <v/>
      </c>
      <c r="AA8" s="601"/>
      <c r="AB8" s="565" t="str">
        <f t="shared" si="13"/>
        <v/>
      </c>
      <c r="AC8" s="5">
        <v>3</v>
      </c>
      <c r="AD8" s="1061" t="str">
        <f t="shared" si="4"/>
        <v/>
      </c>
      <c r="AE8" s="1061"/>
      <c r="AF8" s="1061"/>
      <c r="AG8" s="1061"/>
      <c r="AH8" s="1061"/>
      <c r="AI8" s="567" t="s">
        <v>3034</v>
      </c>
      <c r="AJ8" s="601"/>
      <c r="AK8" s="565" t="str">
        <f t="shared" si="14"/>
        <v/>
      </c>
      <c r="AL8" s="5">
        <v>3</v>
      </c>
      <c r="AM8" s="1061" t="str">
        <f t="shared" si="5"/>
        <v/>
      </c>
      <c r="AN8" s="1061"/>
      <c r="AO8" s="1061"/>
      <c r="AP8" s="1061"/>
      <c r="AQ8" s="1061"/>
      <c r="AR8" s="567"/>
      <c r="AS8" s="601"/>
      <c r="AT8" s="565" t="str">
        <f t="shared" si="15"/>
        <v/>
      </c>
      <c r="AU8" s="5">
        <v>3</v>
      </c>
      <c r="AV8" s="1061" t="str">
        <f t="shared" si="6"/>
        <v/>
      </c>
      <c r="AW8" s="1061"/>
      <c r="AX8" s="1061"/>
      <c r="AY8" s="1061"/>
      <c r="AZ8" s="1061"/>
      <c r="BA8" s="567"/>
      <c r="BB8" s="601"/>
      <c r="BC8" s="565" t="str">
        <f t="shared" si="16"/>
        <v/>
      </c>
      <c r="BD8" s="5">
        <v>3</v>
      </c>
      <c r="BE8" s="1061" t="str">
        <f t="shared" si="7"/>
        <v/>
      </c>
      <c r="BF8" s="1061"/>
      <c r="BG8" s="1061"/>
      <c r="BH8" s="1061"/>
      <c r="BI8" s="1061"/>
      <c r="BJ8" s="567"/>
      <c r="BK8" s="601"/>
      <c r="BL8" s="565" t="str">
        <f t="shared" si="17"/>
        <v/>
      </c>
      <c r="BM8" s="5">
        <v>3</v>
      </c>
      <c r="BN8" s="1061" t="str">
        <f t="shared" si="8"/>
        <v/>
      </c>
      <c r="BO8" s="1061"/>
      <c r="BP8" s="1061"/>
      <c r="BQ8" s="1061"/>
      <c r="BR8" s="1061"/>
      <c r="BS8" s="567"/>
      <c r="BT8" s="601"/>
      <c r="BU8" s="565" t="str">
        <f t="shared" si="18"/>
        <v/>
      </c>
      <c r="BV8" s="5">
        <v>3</v>
      </c>
      <c r="BW8" s="1061" t="str">
        <f t="shared" si="9"/>
        <v/>
      </c>
      <c r="BX8" s="1061"/>
      <c r="BY8" s="1061"/>
      <c r="BZ8" s="1061"/>
      <c r="CA8" s="1061"/>
      <c r="CB8" s="567"/>
      <c r="CC8" s="565" t="str">
        <f t="shared" si="19"/>
        <v/>
      </c>
      <c r="CD8" s="565"/>
      <c r="CE8" s="565"/>
      <c r="CF8" s="565">
        <v>3</v>
      </c>
      <c r="CG8" s="566" t="str">
        <f t="shared" si="10"/>
        <v/>
      </c>
      <c r="CH8" s="565"/>
      <c r="CI8" s="565">
        <v>3</v>
      </c>
      <c r="CJ8" s="565" t="str">
        <f>Character_Creation!X343</f>
        <v>Haste</v>
      </c>
      <c r="CK8" s="565">
        <f>Character_Creation!AB343</f>
        <v>3</v>
      </c>
      <c r="CL8" s="565">
        <f t="shared" si="20"/>
        <v>0</v>
      </c>
      <c r="CM8" s="565">
        <f>IF(CL8=0,0,1+COUNTIF(CM$6:CM7,"&gt;0"))</f>
        <v>0</v>
      </c>
      <c r="CN8" s="565">
        <f t="shared" si="21"/>
        <v>0</v>
      </c>
      <c r="CO8" s="565">
        <f>IF(CN8=0,0,1+COUNTIF(CO$6:CO7,"&gt;0"))</f>
        <v>0</v>
      </c>
      <c r="CP8" s="565">
        <f t="shared" si="22"/>
        <v>1</v>
      </c>
      <c r="CQ8" s="565">
        <f>IF(CP8=0,0,1+COUNTIF(CQ$6:CQ7,"&gt;0"))</f>
        <v>2</v>
      </c>
      <c r="CR8" s="565">
        <f t="shared" si="23"/>
        <v>0</v>
      </c>
      <c r="CS8" s="565">
        <f>IF(CR8=0,0,1+COUNTIF(CS$6:CS7,"&gt;0"))</f>
        <v>0</v>
      </c>
      <c r="CT8" s="565">
        <f t="shared" si="24"/>
        <v>0</v>
      </c>
      <c r="CU8" s="565">
        <f>IF(CT8=0,0,1+COUNTIF(CU$6:CU7,"&gt;0"))</f>
        <v>0</v>
      </c>
      <c r="CV8" s="565">
        <f t="shared" si="25"/>
        <v>0</v>
      </c>
      <c r="CW8" s="565">
        <f>IF(CV8=0,0,1+COUNTIF(CW$6:CW7,"&gt;0"))</f>
        <v>0</v>
      </c>
      <c r="CX8" s="565">
        <f t="shared" si="26"/>
        <v>0</v>
      </c>
      <c r="CY8" s="565">
        <f>IF(CX8=0,0,1+COUNTIF(CY$6:CY7,"&gt;0"))</f>
        <v>0</v>
      </c>
      <c r="CZ8" s="565">
        <f t="shared" si="27"/>
        <v>0</v>
      </c>
      <c r="DA8" s="565">
        <f>IF(CZ8=0,0,1+COUNTIF(DA$6:DA7,"&gt;0"))</f>
        <v>0</v>
      </c>
      <c r="DB8" s="565">
        <f t="shared" si="28"/>
        <v>0</v>
      </c>
      <c r="DC8" s="565">
        <f>IF(DB8=0,0,1+COUNTIF(DC$6:DC7,"&gt;0"))</f>
        <v>0</v>
      </c>
      <c r="DD8" s="565"/>
      <c r="DE8" s="565"/>
      <c r="DF8" s="565"/>
    </row>
    <row r="9" spans="1:110" ht="21" x14ac:dyDescent="0.25">
      <c r="A9" s="120"/>
      <c r="B9" s="5">
        <v>4</v>
      </c>
      <c r="C9" s="1061" t="str">
        <f t="shared" si="0"/>
        <v/>
      </c>
      <c r="D9" s="1061"/>
      <c r="E9" s="1061"/>
      <c r="F9" s="1061"/>
      <c r="G9" s="1061"/>
      <c r="H9" s="567"/>
      <c r="I9" s="565"/>
      <c r="J9" s="565" t="str">
        <f t="shared" si="11"/>
        <v/>
      </c>
      <c r="K9" s="5">
        <v>4</v>
      </c>
      <c r="L9" s="1061" t="str">
        <f t="shared" si="1"/>
        <v/>
      </c>
      <c r="M9" s="1061"/>
      <c r="N9" s="1061"/>
      <c r="O9" s="1061"/>
      <c r="P9" s="1061"/>
      <c r="Q9" s="567"/>
      <c r="R9" s="601"/>
      <c r="S9" s="565" t="str">
        <f t="shared" si="12"/>
        <v/>
      </c>
      <c r="T9" s="5">
        <v>4</v>
      </c>
      <c r="U9" s="1061" t="str">
        <f t="shared" si="2"/>
        <v/>
      </c>
      <c r="V9" s="1061"/>
      <c r="W9" s="1061"/>
      <c r="X9" s="1061"/>
      <c r="Y9" s="1061"/>
      <c r="Z9" s="567" t="str">
        <f t="shared" si="3"/>
        <v/>
      </c>
      <c r="AA9" s="601"/>
      <c r="AB9" s="565" t="str">
        <f t="shared" si="13"/>
        <v/>
      </c>
      <c r="AC9" s="5">
        <v>4</v>
      </c>
      <c r="AD9" s="1061" t="str">
        <f t="shared" si="4"/>
        <v/>
      </c>
      <c r="AE9" s="1061"/>
      <c r="AF9" s="1061"/>
      <c r="AG9" s="1061"/>
      <c r="AH9" s="1061"/>
      <c r="AI9" s="567" t="s">
        <v>3034</v>
      </c>
      <c r="AJ9" s="601"/>
      <c r="AK9" s="565" t="str">
        <f t="shared" si="14"/>
        <v/>
      </c>
      <c r="AL9" s="5">
        <v>4</v>
      </c>
      <c r="AM9" s="1061" t="str">
        <f t="shared" si="5"/>
        <v/>
      </c>
      <c r="AN9" s="1061"/>
      <c r="AO9" s="1061"/>
      <c r="AP9" s="1061"/>
      <c r="AQ9" s="1061"/>
      <c r="AR9" s="567"/>
      <c r="AS9" s="601"/>
      <c r="AT9" s="565" t="str">
        <f t="shared" si="15"/>
        <v/>
      </c>
      <c r="AU9" s="5">
        <v>4</v>
      </c>
      <c r="AV9" s="1061" t="str">
        <f t="shared" si="6"/>
        <v/>
      </c>
      <c r="AW9" s="1061"/>
      <c r="AX9" s="1061"/>
      <c r="AY9" s="1061"/>
      <c r="AZ9" s="1061"/>
      <c r="BA9" s="567"/>
      <c r="BB9" s="601"/>
      <c r="BC9" s="565" t="str">
        <f t="shared" si="16"/>
        <v/>
      </c>
      <c r="BD9" s="5">
        <v>4</v>
      </c>
      <c r="BE9" s="1061" t="str">
        <f t="shared" si="7"/>
        <v/>
      </c>
      <c r="BF9" s="1061"/>
      <c r="BG9" s="1061"/>
      <c r="BH9" s="1061"/>
      <c r="BI9" s="1061"/>
      <c r="BJ9" s="567"/>
      <c r="BK9" s="601"/>
      <c r="BL9" s="565" t="str">
        <f t="shared" si="17"/>
        <v/>
      </c>
      <c r="BM9" s="5">
        <v>4</v>
      </c>
      <c r="BN9" s="1061" t="str">
        <f t="shared" si="8"/>
        <v/>
      </c>
      <c r="BO9" s="1061"/>
      <c r="BP9" s="1061"/>
      <c r="BQ9" s="1061"/>
      <c r="BR9" s="1061"/>
      <c r="BS9" s="567"/>
      <c r="BT9" s="601"/>
      <c r="BU9" s="565" t="str">
        <f t="shared" si="18"/>
        <v/>
      </c>
      <c r="BV9" s="5">
        <v>4</v>
      </c>
      <c r="BW9" s="1061" t="str">
        <f t="shared" si="9"/>
        <v/>
      </c>
      <c r="BX9" s="1061"/>
      <c r="BY9" s="1061"/>
      <c r="BZ9" s="1061"/>
      <c r="CA9" s="1061"/>
      <c r="CB9" s="567"/>
      <c r="CC9" s="565" t="str">
        <f t="shared" si="19"/>
        <v/>
      </c>
      <c r="CD9" s="565"/>
      <c r="CE9" s="565"/>
      <c r="CF9" s="565">
        <v>4</v>
      </c>
      <c r="CG9" s="566" t="str">
        <f t="shared" si="10"/>
        <v/>
      </c>
      <c r="CH9" s="565"/>
      <c r="CI9" s="565">
        <v>4</v>
      </c>
      <c r="CJ9" s="565">
        <f>Character_Creation!X344</f>
        <v>0</v>
      </c>
      <c r="CK9" s="565" t="str">
        <f>Character_Creation!AB344</f>
        <v/>
      </c>
      <c r="CL9" s="565">
        <f t="shared" si="20"/>
        <v>0</v>
      </c>
      <c r="CM9" s="565">
        <f>IF(CL9=0,0,1+COUNTIF(CM$6:CM8,"&gt;0"))</f>
        <v>0</v>
      </c>
      <c r="CN9" s="565">
        <f t="shared" si="21"/>
        <v>0</v>
      </c>
      <c r="CO9" s="565">
        <f>IF(CN9=0,0,1+COUNTIF(CO$6:CO8,"&gt;0"))</f>
        <v>0</v>
      </c>
      <c r="CP9" s="565">
        <f t="shared" si="22"/>
        <v>0</v>
      </c>
      <c r="CQ9" s="565">
        <f>IF(CP9=0,0,1+COUNTIF(CQ$6:CQ8,"&gt;0"))</f>
        <v>0</v>
      </c>
      <c r="CR9" s="565">
        <f t="shared" si="23"/>
        <v>0</v>
      </c>
      <c r="CS9" s="565">
        <f>IF(CR9=0,0,1+COUNTIF(CS$6:CS8,"&gt;0"))</f>
        <v>0</v>
      </c>
      <c r="CT9" s="565">
        <f t="shared" si="24"/>
        <v>0</v>
      </c>
      <c r="CU9" s="565">
        <f>IF(CT9=0,0,1+COUNTIF(CU$6:CU8,"&gt;0"))</f>
        <v>0</v>
      </c>
      <c r="CV9" s="565">
        <f t="shared" si="25"/>
        <v>0</v>
      </c>
      <c r="CW9" s="565">
        <f>IF(CV9=0,0,1+COUNTIF(CW$6:CW8,"&gt;0"))</f>
        <v>0</v>
      </c>
      <c r="CX9" s="565">
        <f t="shared" si="26"/>
        <v>0</v>
      </c>
      <c r="CY9" s="565">
        <f>IF(CX9=0,0,1+COUNTIF(CY$6:CY8,"&gt;0"))</f>
        <v>0</v>
      </c>
      <c r="CZ9" s="565">
        <f t="shared" si="27"/>
        <v>0</v>
      </c>
      <c r="DA9" s="565">
        <f>IF(CZ9=0,0,1+COUNTIF(DA$6:DA8,"&gt;0"))</f>
        <v>0</v>
      </c>
      <c r="DB9" s="565">
        <f t="shared" si="28"/>
        <v>0</v>
      </c>
      <c r="DC9" s="565">
        <f>IF(DB9=0,0,1+COUNTIF(DC$6:DC8,"&gt;0"))</f>
        <v>0</v>
      </c>
      <c r="DD9" s="565"/>
      <c r="DE9" s="565"/>
      <c r="DF9" s="565"/>
    </row>
    <row r="10" spans="1:110" ht="21" x14ac:dyDescent="0.25">
      <c r="A10" s="120"/>
      <c r="B10" s="5">
        <v>5</v>
      </c>
      <c r="C10" s="1061" t="str">
        <f t="shared" si="0"/>
        <v/>
      </c>
      <c r="D10" s="1061"/>
      <c r="E10" s="1061"/>
      <c r="F10" s="1061"/>
      <c r="G10" s="1061"/>
      <c r="H10" s="567"/>
      <c r="I10" s="565"/>
      <c r="J10" s="565" t="str">
        <f t="shared" si="11"/>
        <v/>
      </c>
      <c r="K10" s="5">
        <v>5</v>
      </c>
      <c r="L10" s="1061" t="str">
        <f t="shared" si="1"/>
        <v/>
      </c>
      <c r="M10" s="1061"/>
      <c r="N10" s="1061"/>
      <c r="O10" s="1061"/>
      <c r="P10" s="1061"/>
      <c r="Q10" s="567"/>
      <c r="R10" s="601"/>
      <c r="S10" s="565" t="str">
        <f t="shared" si="12"/>
        <v/>
      </c>
      <c r="T10" s="5">
        <v>5</v>
      </c>
      <c r="U10" s="1061" t="str">
        <f t="shared" si="2"/>
        <v/>
      </c>
      <c r="V10" s="1061"/>
      <c r="W10" s="1061"/>
      <c r="X10" s="1061"/>
      <c r="Y10" s="1061"/>
      <c r="Z10" s="567" t="str">
        <f t="shared" si="3"/>
        <v/>
      </c>
      <c r="AA10" s="601"/>
      <c r="AB10" s="565" t="str">
        <f t="shared" si="13"/>
        <v/>
      </c>
      <c r="AC10" s="5">
        <v>5</v>
      </c>
      <c r="AD10" s="1061" t="str">
        <f t="shared" si="4"/>
        <v/>
      </c>
      <c r="AE10" s="1061"/>
      <c r="AF10" s="1061"/>
      <c r="AG10" s="1061"/>
      <c r="AH10" s="1061"/>
      <c r="AI10" s="567" t="s">
        <v>3034</v>
      </c>
      <c r="AJ10" s="601"/>
      <c r="AK10" s="565" t="str">
        <f t="shared" si="14"/>
        <v/>
      </c>
      <c r="AL10" s="5">
        <v>5</v>
      </c>
      <c r="AM10" s="1061" t="str">
        <f t="shared" si="5"/>
        <v/>
      </c>
      <c r="AN10" s="1061"/>
      <c r="AO10" s="1061"/>
      <c r="AP10" s="1061"/>
      <c r="AQ10" s="1061"/>
      <c r="AR10" s="567"/>
      <c r="AS10" s="601"/>
      <c r="AT10" s="565" t="str">
        <f t="shared" si="15"/>
        <v/>
      </c>
      <c r="AU10" s="5">
        <v>5</v>
      </c>
      <c r="AV10" s="1061" t="str">
        <f t="shared" si="6"/>
        <v/>
      </c>
      <c r="AW10" s="1061"/>
      <c r="AX10" s="1061"/>
      <c r="AY10" s="1061"/>
      <c r="AZ10" s="1061"/>
      <c r="BA10" s="567"/>
      <c r="BB10" s="601"/>
      <c r="BC10" s="565" t="str">
        <f t="shared" si="16"/>
        <v/>
      </c>
      <c r="BD10" s="5">
        <v>5</v>
      </c>
      <c r="BE10" s="1061" t="str">
        <f t="shared" si="7"/>
        <v/>
      </c>
      <c r="BF10" s="1061"/>
      <c r="BG10" s="1061"/>
      <c r="BH10" s="1061"/>
      <c r="BI10" s="1061"/>
      <c r="BJ10" s="567"/>
      <c r="BK10" s="601"/>
      <c r="BL10" s="565" t="str">
        <f t="shared" si="17"/>
        <v/>
      </c>
      <c r="BM10" s="5">
        <v>5</v>
      </c>
      <c r="BN10" s="1061" t="str">
        <f t="shared" si="8"/>
        <v/>
      </c>
      <c r="BO10" s="1061"/>
      <c r="BP10" s="1061"/>
      <c r="BQ10" s="1061"/>
      <c r="BR10" s="1061"/>
      <c r="BS10" s="567"/>
      <c r="BT10" s="601"/>
      <c r="BU10" s="565" t="str">
        <f t="shared" si="18"/>
        <v/>
      </c>
      <c r="BV10" s="5">
        <v>5</v>
      </c>
      <c r="BW10" s="1061" t="str">
        <f t="shared" si="9"/>
        <v/>
      </c>
      <c r="BX10" s="1061"/>
      <c r="BY10" s="1061"/>
      <c r="BZ10" s="1061"/>
      <c r="CA10" s="1061"/>
      <c r="CB10" s="567"/>
      <c r="CC10" s="565" t="str">
        <f t="shared" si="19"/>
        <v/>
      </c>
      <c r="CD10" s="565"/>
      <c r="CE10" s="565"/>
      <c r="CF10" s="565">
        <v>5</v>
      </c>
      <c r="CG10" s="566" t="str">
        <f t="shared" si="10"/>
        <v/>
      </c>
      <c r="CH10" s="565"/>
      <c r="CI10" s="565">
        <v>5</v>
      </c>
      <c r="CJ10" s="565">
        <f>Character_Creation!X345</f>
        <v>0</v>
      </c>
      <c r="CK10" s="565" t="str">
        <f>Character_Creation!AB345</f>
        <v/>
      </c>
      <c r="CL10" s="565">
        <f t="shared" si="20"/>
        <v>0</v>
      </c>
      <c r="CM10" s="565">
        <f>IF(CL10=0,0,1+COUNTIF(CM$6:CM9,"&gt;0"))</f>
        <v>0</v>
      </c>
      <c r="CN10" s="565">
        <f t="shared" si="21"/>
        <v>0</v>
      </c>
      <c r="CO10" s="565">
        <f>IF(CN10=0,0,1+COUNTIF(CO$6:CO9,"&gt;0"))</f>
        <v>0</v>
      </c>
      <c r="CP10" s="565">
        <f t="shared" si="22"/>
        <v>0</v>
      </c>
      <c r="CQ10" s="565">
        <f>IF(CP10=0,0,1+COUNTIF(CQ$6:CQ9,"&gt;0"))</f>
        <v>0</v>
      </c>
      <c r="CR10" s="565">
        <f t="shared" si="23"/>
        <v>0</v>
      </c>
      <c r="CS10" s="565">
        <f>IF(CR10=0,0,1+COUNTIF(CS$6:CS9,"&gt;0"))</f>
        <v>0</v>
      </c>
      <c r="CT10" s="565">
        <f t="shared" si="24"/>
        <v>0</v>
      </c>
      <c r="CU10" s="565">
        <f>IF(CT10=0,0,1+COUNTIF(CU$6:CU9,"&gt;0"))</f>
        <v>0</v>
      </c>
      <c r="CV10" s="565">
        <f t="shared" si="25"/>
        <v>0</v>
      </c>
      <c r="CW10" s="565">
        <f>IF(CV10=0,0,1+COUNTIF(CW$6:CW9,"&gt;0"))</f>
        <v>0</v>
      </c>
      <c r="CX10" s="565">
        <f t="shared" si="26"/>
        <v>0</v>
      </c>
      <c r="CY10" s="565">
        <f>IF(CX10=0,0,1+COUNTIF(CY$6:CY9,"&gt;0"))</f>
        <v>0</v>
      </c>
      <c r="CZ10" s="565">
        <f t="shared" si="27"/>
        <v>0</v>
      </c>
      <c r="DA10" s="565">
        <f>IF(CZ10=0,0,1+COUNTIF(DA$6:DA9,"&gt;0"))</f>
        <v>0</v>
      </c>
      <c r="DB10" s="565">
        <f t="shared" si="28"/>
        <v>0</v>
      </c>
      <c r="DC10" s="565">
        <f>IF(DB10=0,0,1+COUNTIF(DC$6:DC9,"&gt;0"))</f>
        <v>0</v>
      </c>
      <c r="DD10" s="565"/>
      <c r="DE10" s="565"/>
      <c r="DF10" s="565"/>
    </row>
    <row r="11" spans="1:110" ht="21" x14ac:dyDescent="0.25">
      <c r="A11" s="120"/>
      <c r="B11" s="5">
        <v>6</v>
      </c>
      <c r="C11" s="1061" t="str">
        <f t="shared" si="0"/>
        <v/>
      </c>
      <c r="D11" s="1061"/>
      <c r="E11" s="1061"/>
      <c r="F11" s="1061"/>
      <c r="G11" s="1061"/>
      <c r="H11" s="567"/>
      <c r="I11" s="565"/>
      <c r="J11" s="565" t="str">
        <f t="shared" si="11"/>
        <v/>
      </c>
      <c r="K11" s="5">
        <v>6</v>
      </c>
      <c r="L11" s="1061" t="str">
        <f t="shared" si="1"/>
        <v/>
      </c>
      <c r="M11" s="1061"/>
      <c r="N11" s="1061"/>
      <c r="O11" s="1061"/>
      <c r="P11" s="1061"/>
      <c r="Q11" s="567"/>
      <c r="R11" s="601"/>
      <c r="S11" s="565" t="str">
        <f t="shared" si="12"/>
        <v/>
      </c>
      <c r="T11" s="5">
        <v>6</v>
      </c>
      <c r="U11" s="1061" t="str">
        <f t="shared" si="2"/>
        <v/>
      </c>
      <c r="V11" s="1061"/>
      <c r="W11" s="1061"/>
      <c r="X11" s="1061"/>
      <c r="Y11" s="1061"/>
      <c r="Z11" s="567" t="str">
        <f t="shared" si="3"/>
        <v/>
      </c>
      <c r="AA11" s="601"/>
      <c r="AB11" s="565" t="str">
        <f t="shared" si="13"/>
        <v/>
      </c>
      <c r="AC11" s="5">
        <v>6</v>
      </c>
      <c r="AD11" s="1061" t="str">
        <f t="shared" si="4"/>
        <v/>
      </c>
      <c r="AE11" s="1061"/>
      <c r="AF11" s="1061"/>
      <c r="AG11" s="1061"/>
      <c r="AH11" s="1061"/>
      <c r="AI11" s="567" t="s">
        <v>3034</v>
      </c>
      <c r="AJ11" s="601"/>
      <c r="AK11" s="565" t="str">
        <f t="shared" si="14"/>
        <v/>
      </c>
      <c r="AL11" s="5">
        <v>6</v>
      </c>
      <c r="AM11" s="1061" t="str">
        <f t="shared" si="5"/>
        <v/>
      </c>
      <c r="AN11" s="1061"/>
      <c r="AO11" s="1061"/>
      <c r="AP11" s="1061"/>
      <c r="AQ11" s="1061"/>
      <c r="AR11" s="567"/>
      <c r="AS11" s="601"/>
      <c r="AT11" s="565" t="str">
        <f t="shared" si="15"/>
        <v/>
      </c>
      <c r="AU11" s="5">
        <v>6</v>
      </c>
      <c r="AV11" s="1061" t="str">
        <f t="shared" si="6"/>
        <v/>
      </c>
      <c r="AW11" s="1061"/>
      <c r="AX11" s="1061"/>
      <c r="AY11" s="1061"/>
      <c r="AZ11" s="1061"/>
      <c r="BA11" s="567"/>
      <c r="BB11" s="601"/>
      <c r="BC11" s="565" t="str">
        <f t="shared" si="16"/>
        <v/>
      </c>
      <c r="BD11" s="5">
        <v>6</v>
      </c>
      <c r="BE11" s="1061" t="str">
        <f t="shared" si="7"/>
        <v/>
      </c>
      <c r="BF11" s="1061"/>
      <c r="BG11" s="1061"/>
      <c r="BH11" s="1061"/>
      <c r="BI11" s="1061"/>
      <c r="BJ11" s="567"/>
      <c r="BK11" s="601"/>
      <c r="BL11" s="565" t="str">
        <f t="shared" si="17"/>
        <v/>
      </c>
      <c r="BM11" s="5">
        <v>6</v>
      </c>
      <c r="BN11" s="1061" t="str">
        <f t="shared" si="8"/>
        <v/>
      </c>
      <c r="BO11" s="1061"/>
      <c r="BP11" s="1061"/>
      <c r="BQ11" s="1061"/>
      <c r="BR11" s="1061"/>
      <c r="BS11" s="567"/>
      <c r="BT11" s="601"/>
      <c r="BU11" s="565" t="str">
        <f t="shared" si="18"/>
        <v/>
      </c>
      <c r="BV11" s="5">
        <v>6</v>
      </c>
      <c r="BW11" s="1061" t="str">
        <f t="shared" si="9"/>
        <v/>
      </c>
      <c r="BX11" s="1061"/>
      <c r="BY11" s="1061"/>
      <c r="BZ11" s="1061"/>
      <c r="CA11" s="1061"/>
      <c r="CB11" s="567"/>
      <c r="CC11" s="565" t="str">
        <f t="shared" si="19"/>
        <v/>
      </c>
      <c r="CD11" s="565"/>
      <c r="CE11" s="565"/>
      <c r="CF11" s="565">
        <v>6</v>
      </c>
      <c r="CG11" s="566" t="str">
        <f t="shared" si="10"/>
        <v/>
      </c>
      <c r="CH11" s="565"/>
      <c r="CI11" s="565">
        <v>6</v>
      </c>
      <c r="CJ11" s="565">
        <f>Character_Creation!X346</f>
        <v>0</v>
      </c>
      <c r="CK11" s="565" t="str">
        <f>Character_Creation!AB346</f>
        <v/>
      </c>
      <c r="CL11" s="565">
        <f t="shared" si="20"/>
        <v>0</v>
      </c>
      <c r="CM11" s="565">
        <f>IF(CL11=0,0,1+COUNTIF(CM$6:CM10,"&gt;0"))</f>
        <v>0</v>
      </c>
      <c r="CN11" s="565">
        <f t="shared" si="21"/>
        <v>0</v>
      </c>
      <c r="CO11" s="565">
        <f>IF(CN11=0,0,1+COUNTIF(CO$6:CO10,"&gt;0"))</f>
        <v>0</v>
      </c>
      <c r="CP11" s="565">
        <f t="shared" si="22"/>
        <v>0</v>
      </c>
      <c r="CQ11" s="565">
        <f>IF(CP11=0,0,1+COUNTIF(CQ$6:CQ10,"&gt;0"))</f>
        <v>0</v>
      </c>
      <c r="CR11" s="565">
        <f t="shared" si="23"/>
        <v>0</v>
      </c>
      <c r="CS11" s="565">
        <f>IF(CR11=0,0,1+COUNTIF(CS$6:CS10,"&gt;0"))</f>
        <v>0</v>
      </c>
      <c r="CT11" s="565">
        <f t="shared" si="24"/>
        <v>0</v>
      </c>
      <c r="CU11" s="565">
        <f>IF(CT11=0,0,1+COUNTIF(CU$6:CU10,"&gt;0"))</f>
        <v>0</v>
      </c>
      <c r="CV11" s="565">
        <f t="shared" si="25"/>
        <v>0</v>
      </c>
      <c r="CW11" s="565">
        <f>IF(CV11=0,0,1+COUNTIF(CW$6:CW10,"&gt;0"))</f>
        <v>0</v>
      </c>
      <c r="CX11" s="565">
        <f t="shared" si="26"/>
        <v>0</v>
      </c>
      <c r="CY11" s="565">
        <f>IF(CX11=0,0,1+COUNTIF(CY$6:CY10,"&gt;0"))</f>
        <v>0</v>
      </c>
      <c r="CZ11" s="565">
        <f t="shared" si="27"/>
        <v>0</v>
      </c>
      <c r="DA11" s="565">
        <f>IF(CZ11=0,0,1+COUNTIF(DA$6:DA10,"&gt;0"))</f>
        <v>0</v>
      </c>
      <c r="DB11" s="565">
        <f t="shared" si="28"/>
        <v>0</v>
      </c>
      <c r="DC11" s="565">
        <f>IF(DB11=0,0,1+COUNTIF(DC$6:DC10,"&gt;0"))</f>
        <v>0</v>
      </c>
      <c r="DD11" s="565"/>
      <c r="DE11" s="565"/>
      <c r="DF11" s="565"/>
    </row>
    <row r="12" spans="1:110" ht="21" x14ac:dyDescent="0.25">
      <c r="A12" s="120"/>
      <c r="B12" s="5">
        <v>7</v>
      </c>
      <c r="C12" s="1061" t="str">
        <f t="shared" si="0"/>
        <v/>
      </c>
      <c r="D12" s="1061"/>
      <c r="E12" s="1061"/>
      <c r="F12" s="1061"/>
      <c r="G12" s="1061"/>
      <c r="H12" s="567"/>
      <c r="I12" s="565"/>
      <c r="J12" s="565" t="str">
        <f t="shared" si="11"/>
        <v/>
      </c>
      <c r="K12" s="5">
        <v>7</v>
      </c>
      <c r="L12" s="1061" t="str">
        <f t="shared" si="1"/>
        <v/>
      </c>
      <c r="M12" s="1061"/>
      <c r="N12" s="1061"/>
      <c r="O12" s="1061"/>
      <c r="P12" s="1061"/>
      <c r="Q12" s="567"/>
      <c r="R12" s="601"/>
      <c r="S12" s="565" t="str">
        <f t="shared" si="12"/>
        <v/>
      </c>
      <c r="T12" s="5">
        <v>7</v>
      </c>
      <c r="U12" s="1061" t="str">
        <f t="shared" si="2"/>
        <v/>
      </c>
      <c r="V12" s="1061"/>
      <c r="W12" s="1061"/>
      <c r="X12" s="1061"/>
      <c r="Y12" s="1061"/>
      <c r="Z12" s="567" t="str">
        <f t="shared" si="3"/>
        <v/>
      </c>
      <c r="AA12" s="601"/>
      <c r="AB12" s="565" t="str">
        <f t="shared" si="13"/>
        <v/>
      </c>
      <c r="AC12" s="5">
        <v>7</v>
      </c>
      <c r="AD12" s="1061" t="str">
        <f t="shared" si="4"/>
        <v/>
      </c>
      <c r="AE12" s="1061"/>
      <c r="AF12" s="1061"/>
      <c r="AG12" s="1061"/>
      <c r="AH12" s="1061"/>
      <c r="AI12" s="567" t="s">
        <v>3034</v>
      </c>
      <c r="AJ12" s="601"/>
      <c r="AK12" s="565" t="str">
        <f t="shared" si="14"/>
        <v/>
      </c>
      <c r="AL12" s="5">
        <v>7</v>
      </c>
      <c r="AM12" s="1061" t="str">
        <f t="shared" si="5"/>
        <v/>
      </c>
      <c r="AN12" s="1061"/>
      <c r="AO12" s="1061"/>
      <c r="AP12" s="1061"/>
      <c r="AQ12" s="1061"/>
      <c r="AR12" s="567"/>
      <c r="AS12" s="601"/>
      <c r="AT12" s="565" t="str">
        <f t="shared" si="15"/>
        <v/>
      </c>
      <c r="AU12" s="5">
        <v>7</v>
      </c>
      <c r="AV12" s="1061" t="str">
        <f t="shared" si="6"/>
        <v/>
      </c>
      <c r="AW12" s="1061"/>
      <c r="AX12" s="1061"/>
      <c r="AY12" s="1061"/>
      <c r="AZ12" s="1061"/>
      <c r="BA12" s="567"/>
      <c r="BB12" s="601"/>
      <c r="BC12" s="565" t="str">
        <f t="shared" si="16"/>
        <v/>
      </c>
      <c r="BD12" s="5">
        <v>7</v>
      </c>
      <c r="BE12" s="1061" t="str">
        <f t="shared" si="7"/>
        <v/>
      </c>
      <c r="BF12" s="1061"/>
      <c r="BG12" s="1061"/>
      <c r="BH12" s="1061"/>
      <c r="BI12" s="1061"/>
      <c r="BJ12" s="567"/>
      <c r="BK12" s="601"/>
      <c r="BL12" s="565" t="str">
        <f t="shared" si="17"/>
        <v/>
      </c>
      <c r="BM12" s="5">
        <v>7</v>
      </c>
      <c r="BN12" s="1061" t="str">
        <f t="shared" si="8"/>
        <v/>
      </c>
      <c r="BO12" s="1061"/>
      <c r="BP12" s="1061"/>
      <c r="BQ12" s="1061"/>
      <c r="BR12" s="1061"/>
      <c r="BS12" s="567"/>
      <c r="BT12" s="601"/>
      <c r="BU12" s="565" t="str">
        <f t="shared" si="18"/>
        <v/>
      </c>
      <c r="BV12" s="5">
        <v>7</v>
      </c>
      <c r="BW12" s="1061" t="str">
        <f t="shared" si="9"/>
        <v/>
      </c>
      <c r="BX12" s="1061"/>
      <c r="BY12" s="1061"/>
      <c r="BZ12" s="1061"/>
      <c r="CA12" s="1061"/>
      <c r="CB12" s="567"/>
      <c r="CC12" s="565" t="str">
        <f t="shared" si="19"/>
        <v/>
      </c>
      <c r="CD12" s="565"/>
      <c r="CE12" s="565"/>
      <c r="CF12" s="565">
        <v>7</v>
      </c>
      <c r="CG12" s="566" t="str">
        <f t="shared" si="10"/>
        <v/>
      </c>
      <c r="CH12" s="565"/>
      <c r="CI12" s="565">
        <v>7</v>
      </c>
      <c r="CJ12" s="565">
        <f>Character_Creation!X347</f>
        <v>0</v>
      </c>
      <c r="CK12" s="565" t="str">
        <f>Character_Creation!AB347</f>
        <v/>
      </c>
      <c r="CL12" s="565">
        <f t="shared" si="20"/>
        <v>0</v>
      </c>
      <c r="CM12" s="565">
        <f>IF(CL12=0,0,1+COUNTIF(CM$6:CM11,"&gt;0"))</f>
        <v>0</v>
      </c>
      <c r="CN12" s="565">
        <f t="shared" si="21"/>
        <v>0</v>
      </c>
      <c r="CO12" s="565">
        <f>IF(CN12=0,0,1+COUNTIF(CO$6:CO11,"&gt;0"))</f>
        <v>0</v>
      </c>
      <c r="CP12" s="565">
        <f t="shared" si="22"/>
        <v>0</v>
      </c>
      <c r="CQ12" s="565">
        <f>IF(CP12=0,0,1+COUNTIF(CQ$6:CQ11,"&gt;0"))</f>
        <v>0</v>
      </c>
      <c r="CR12" s="565">
        <f t="shared" si="23"/>
        <v>0</v>
      </c>
      <c r="CS12" s="565">
        <f>IF(CR12=0,0,1+COUNTIF(CS$6:CS11,"&gt;0"))</f>
        <v>0</v>
      </c>
      <c r="CT12" s="565">
        <f t="shared" si="24"/>
        <v>0</v>
      </c>
      <c r="CU12" s="565">
        <f>IF(CT12=0,0,1+COUNTIF(CU$6:CU11,"&gt;0"))</f>
        <v>0</v>
      </c>
      <c r="CV12" s="565">
        <f t="shared" si="25"/>
        <v>0</v>
      </c>
      <c r="CW12" s="565">
        <f>IF(CV12=0,0,1+COUNTIF(CW$6:CW11,"&gt;0"))</f>
        <v>0</v>
      </c>
      <c r="CX12" s="565">
        <f t="shared" si="26"/>
        <v>0</v>
      </c>
      <c r="CY12" s="565">
        <f>IF(CX12=0,0,1+COUNTIF(CY$6:CY11,"&gt;0"))</f>
        <v>0</v>
      </c>
      <c r="CZ12" s="565">
        <f t="shared" si="27"/>
        <v>0</v>
      </c>
      <c r="DA12" s="565">
        <f>IF(CZ12=0,0,1+COUNTIF(DA$6:DA11,"&gt;0"))</f>
        <v>0</v>
      </c>
      <c r="DB12" s="565">
        <f t="shared" si="28"/>
        <v>0</v>
      </c>
      <c r="DC12" s="565">
        <f>IF(DB12=0,0,1+COUNTIF(DC$6:DC11,"&gt;0"))</f>
        <v>0</v>
      </c>
      <c r="DD12" s="565"/>
      <c r="DE12" s="565"/>
      <c r="DF12" s="565"/>
    </row>
    <row r="13" spans="1:110" ht="21" x14ac:dyDescent="0.25">
      <c r="A13" s="120"/>
      <c r="B13" s="5">
        <v>8</v>
      </c>
      <c r="C13" s="1061" t="str">
        <f t="shared" si="0"/>
        <v/>
      </c>
      <c r="D13" s="1061"/>
      <c r="E13" s="1061"/>
      <c r="F13" s="1061"/>
      <c r="G13" s="1061"/>
      <c r="H13" s="567"/>
      <c r="I13" s="565"/>
      <c r="J13" s="565" t="str">
        <f t="shared" si="11"/>
        <v/>
      </c>
      <c r="K13" s="5">
        <v>8</v>
      </c>
      <c r="L13" s="1061" t="str">
        <f t="shared" si="1"/>
        <v/>
      </c>
      <c r="M13" s="1061"/>
      <c r="N13" s="1061"/>
      <c r="O13" s="1061"/>
      <c r="P13" s="1061"/>
      <c r="Q13" s="567"/>
      <c r="R13" s="601"/>
      <c r="S13" s="565" t="str">
        <f t="shared" si="12"/>
        <v/>
      </c>
      <c r="T13" s="5">
        <v>8</v>
      </c>
      <c r="U13" s="1061" t="str">
        <f t="shared" si="2"/>
        <v/>
      </c>
      <c r="V13" s="1061"/>
      <c r="W13" s="1061"/>
      <c r="X13" s="1061"/>
      <c r="Y13" s="1061"/>
      <c r="Z13" s="567" t="str">
        <f t="shared" si="3"/>
        <v/>
      </c>
      <c r="AA13" s="601"/>
      <c r="AB13" s="565" t="str">
        <f t="shared" si="13"/>
        <v/>
      </c>
      <c r="AC13" s="5">
        <v>8</v>
      </c>
      <c r="AD13" s="1061" t="str">
        <f t="shared" si="4"/>
        <v/>
      </c>
      <c r="AE13" s="1061"/>
      <c r="AF13" s="1061"/>
      <c r="AG13" s="1061"/>
      <c r="AH13" s="1061"/>
      <c r="AI13" s="567" t="s">
        <v>3034</v>
      </c>
      <c r="AJ13" s="601"/>
      <c r="AK13" s="565" t="str">
        <f t="shared" si="14"/>
        <v/>
      </c>
      <c r="AL13" s="5">
        <v>8</v>
      </c>
      <c r="AM13" s="1061" t="str">
        <f t="shared" si="5"/>
        <v/>
      </c>
      <c r="AN13" s="1061"/>
      <c r="AO13" s="1061"/>
      <c r="AP13" s="1061"/>
      <c r="AQ13" s="1061"/>
      <c r="AR13" s="567"/>
      <c r="AS13" s="601"/>
      <c r="AT13" s="565" t="str">
        <f t="shared" si="15"/>
        <v/>
      </c>
      <c r="AU13" s="5">
        <v>8</v>
      </c>
      <c r="AV13" s="1061" t="str">
        <f t="shared" si="6"/>
        <v/>
      </c>
      <c r="AW13" s="1061"/>
      <c r="AX13" s="1061"/>
      <c r="AY13" s="1061"/>
      <c r="AZ13" s="1061"/>
      <c r="BA13" s="567"/>
      <c r="BB13" s="601"/>
      <c r="BC13" s="565" t="str">
        <f t="shared" si="16"/>
        <v/>
      </c>
      <c r="BD13" s="5">
        <v>8</v>
      </c>
      <c r="BE13" s="1061" t="str">
        <f t="shared" si="7"/>
        <v/>
      </c>
      <c r="BF13" s="1061"/>
      <c r="BG13" s="1061"/>
      <c r="BH13" s="1061"/>
      <c r="BI13" s="1061"/>
      <c r="BJ13" s="567"/>
      <c r="BK13" s="601"/>
      <c r="BL13" s="565" t="str">
        <f t="shared" si="17"/>
        <v/>
      </c>
      <c r="BM13" s="5">
        <v>8</v>
      </c>
      <c r="BN13" s="1061" t="str">
        <f t="shared" si="8"/>
        <v/>
      </c>
      <c r="BO13" s="1061"/>
      <c r="BP13" s="1061"/>
      <c r="BQ13" s="1061"/>
      <c r="BR13" s="1061"/>
      <c r="BS13" s="567"/>
      <c r="BT13" s="601"/>
      <c r="BU13" s="565" t="str">
        <f t="shared" si="18"/>
        <v/>
      </c>
      <c r="BV13" s="5">
        <v>8</v>
      </c>
      <c r="BW13" s="1061" t="str">
        <f t="shared" si="9"/>
        <v/>
      </c>
      <c r="BX13" s="1061"/>
      <c r="BY13" s="1061"/>
      <c r="BZ13" s="1061"/>
      <c r="CA13" s="1061"/>
      <c r="CB13" s="567"/>
      <c r="CC13" s="565" t="str">
        <f t="shared" si="19"/>
        <v/>
      </c>
      <c r="CD13" s="565"/>
      <c r="CE13" s="565"/>
      <c r="CF13" s="565">
        <v>8</v>
      </c>
      <c r="CG13" s="566" t="str">
        <f t="shared" si="10"/>
        <v/>
      </c>
      <c r="CH13" s="565"/>
      <c r="CI13" s="565">
        <v>8</v>
      </c>
      <c r="CJ13" s="565">
        <f>Character_Creation!X348</f>
        <v>0</v>
      </c>
      <c r="CK13" s="565" t="str">
        <f>Character_Creation!AB348</f>
        <v/>
      </c>
      <c r="CL13" s="565">
        <f t="shared" si="20"/>
        <v>0</v>
      </c>
      <c r="CM13" s="565">
        <f>IF(CL13=0,0,1+COUNTIF(CM$6:CM12,"&gt;0"))</f>
        <v>0</v>
      </c>
      <c r="CN13" s="565">
        <f t="shared" si="21"/>
        <v>0</v>
      </c>
      <c r="CO13" s="565">
        <f>IF(CN13=0,0,1+COUNTIF(CO$6:CO12,"&gt;0"))</f>
        <v>0</v>
      </c>
      <c r="CP13" s="565">
        <f t="shared" si="22"/>
        <v>0</v>
      </c>
      <c r="CQ13" s="565">
        <f>IF(CP13=0,0,1+COUNTIF(CQ$6:CQ12,"&gt;0"))</f>
        <v>0</v>
      </c>
      <c r="CR13" s="565">
        <f t="shared" si="23"/>
        <v>0</v>
      </c>
      <c r="CS13" s="565">
        <f>IF(CR13=0,0,1+COUNTIF(CS$6:CS12,"&gt;0"))</f>
        <v>0</v>
      </c>
      <c r="CT13" s="565">
        <f t="shared" si="24"/>
        <v>0</v>
      </c>
      <c r="CU13" s="565">
        <f>IF(CT13=0,0,1+COUNTIF(CU$6:CU12,"&gt;0"))</f>
        <v>0</v>
      </c>
      <c r="CV13" s="565">
        <f t="shared" si="25"/>
        <v>0</v>
      </c>
      <c r="CW13" s="565">
        <f>IF(CV13=0,0,1+COUNTIF(CW$6:CW12,"&gt;0"))</f>
        <v>0</v>
      </c>
      <c r="CX13" s="565">
        <f t="shared" si="26"/>
        <v>0</v>
      </c>
      <c r="CY13" s="565">
        <f>IF(CX13=0,0,1+COUNTIF(CY$6:CY12,"&gt;0"))</f>
        <v>0</v>
      </c>
      <c r="CZ13" s="565">
        <f t="shared" si="27"/>
        <v>0</v>
      </c>
      <c r="DA13" s="565">
        <f>IF(CZ13=0,0,1+COUNTIF(DA$6:DA12,"&gt;0"))</f>
        <v>0</v>
      </c>
      <c r="DB13" s="565">
        <f t="shared" si="28"/>
        <v>0</v>
      </c>
      <c r="DC13" s="565">
        <f>IF(DB13=0,0,1+COUNTIF(DC$6:DC12,"&gt;0"))</f>
        <v>0</v>
      </c>
      <c r="DD13" s="565"/>
      <c r="DE13" s="565"/>
      <c r="DF13" s="565"/>
    </row>
    <row r="14" spans="1:110" ht="21" x14ac:dyDescent="0.25">
      <c r="A14" s="120"/>
      <c r="B14" s="5">
        <v>9</v>
      </c>
      <c r="C14" s="1061" t="str">
        <f t="shared" si="0"/>
        <v/>
      </c>
      <c r="D14" s="1061"/>
      <c r="E14" s="1061"/>
      <c r="F14" s="1061"/>
      <c r="G14" s="1061"/>
      <c r="H14" s="567"/>
      <c r="I14" s="565"/>
      <c r="J14" s="565" t="str">
        <f t="shared" si="11"/>
        <v/>
      </c>
      <c r="K14" s="5">
        <v>9</v>
      </c>
      <c r="L14" s="1061" t="str">
        <f t="shared" si="1"/>
        <v/>
      </c>
      <c r="M14" s="1061"/>
      <c r="N14" s="1061"/>
      <c r="O14" s="1061"/>
      <c r="P14" s="1061"/>
      <c r="Q14" s="567"/>
      <c r="R14" s="601"/>
      <c r="S14" s="565" t="str">
        <f t="shared" si="12"/>
        <v/>
      </c>
      <c r="T14" s="5">
        <v>9</v>
      </c>
      <c r="U14" s="1061" t="str">
        <f t="shared" si="2"/>
        <v/>
      </c>
      <c r="V14" s="1061"/>
      <c r="W14" s="1061"/>
      <c r="X14" s="1061"/>
      <c r="Y14" s="1061"/>
      <c r="Z14" s="567" t="str">
        <f t="shared" si="3"/>
        <v/>
      </c>
      <c r="AA14" s="601"/>
      <c r="AB14" s="565" t="str">
        <f t="shared" si="13"/>
        <v/>
      </c>
      <c r="AC14" s="5">
        <v>9</v>
      </c>
      <c r="AD14" s="1061" t="str">
        <f t="shared" si="4"/>
        <v/>
      </c>
      <c r="AE14" s="1061"/>
      <c r="AF14" s="1061"/>
      <c r="AG14" s="1061"/>
      <c r="AH14" s="1061"/>
      <c r="AI14" s="567" t="s">
        <v>3034</v>
      </c>
      <c r="AJ14" s="601"/>
      <c r="AK14" s="565" t="str">
        <f t="shared" si="14"/>
        <v/>
      </c>
      <c r="AL14" s="5">
        <v>9</v>
      </c>
      <c r="AM14" s="1061" t="str">
        <f t="shared" si="5"/>
        <v/>
      </c>
      <c r="AN14" s="1061"/>
      <c r="AO14" s="1061"/>
      <c r="AP14" s="1061"/>
      <c r="AQ14" s="1061"/>
      <c r="AR14" s="567"/>
      <c r="AS14" s="601"/>
      <c r="AT14" s="565" t="str">
        <f t="shared" si="15"/>
        <v/>
      </c>
      <c r="AU14" s="5">
        <v>9</v>
      </c>
      <c r="AV14" s="1061" t="str">
        <f t="shared" si="6"/>
        <v/>
      </c>
      <c r="AW14" s="1061"/>
      <c r="AX14" s="1061"/>
      <c r="AY14" s="1061"/>
      <c r="AZ14" s="1061"/>
      <c r="BA14" s="567"/>
      <c r="BB14" s="601"/>
      <c r="BC14" s="565" t="str">
        <f t="shared" si="16"/>
        <v/>
      </c>
      <c r="BD14" s="5">
        <v>9</v>
      </c>
      <c r="BE14" s="1061" t="str">
        <f t="shared" si="7"/>
        <v/>
      </c>
      <c r="BF14" s="1061"/>
      <c r="BG14" s="1061"/>
      <c r="BH14" s="1061"/>
      <c r="BI14" s="1061"/>
      <c r="BJ14" s="567"/>
      <c r="BK14" s="601"/>
      <c r="BL14" s="565" t="str">
        <f t="shared" si="17"/>
        <v/>
      </c>
      <c r="BM14" s="5">
        <v>9</v>
      </c>
      <c r="BN14" s="1061" t="str">
        <f t="shared" si="8"/>
        <v/>
      </c>
      <c r="BO14" s="1061"/>
      <c r="BP14" s="1061"/>
      <c r="BQ14" s="1061"/>
      <c r="BR14" s="1061"/>
      <c r="BS14" s="567"/>
      <c r="BT14" s="601"/>
      <c r="BU14" s="565" t="str">
        <f t="shared" si="18"/>
        <v/>
      </c>
      <c r="BV14" s="5">
        <v>9</v>
      </c>
      <c r="BW14" s="1061" t="str">
        <f t="shared" si="9"/>
        <v/>
      </c>
      <c r="BX14" s="1061"/>
      <c r="BY14" s="1061"/>
      <c r="BZ14" s="1061"/>
      <c r="CA14" s="1061"/>
      <c r="CB14" s="567"/>
      <c r="CC14" s="565" t="str">
        <f t="shared" si="19"/>
        <v/>
      </c>
      <c r="CD14" s="565"/>
      <c r="CE14" s="565"/>
      <c r="CF14" s="565">
        <v>9</v>
      </c>
      <c r="CG14" s="566" t="str">
        <f t="shared" si="10"/>
        <v/>
      </c>
      <c r="CH14" s="565"/>
      <c r="CI14" s="565">
        <v>9</v>
      </c>
      <c r="CJ14" s="565">
        <f>Character_Creation!X349</f>
        <v>0</v>
      </c>
      <c r="CK14" s="565" t="str">
        <f>Character_Creation!AB349</f>
        <v/>
      </c>
      <c r="CL14" s="565">
        <f t="shared" si="20"/>
        <v>0</v>
      </c>
      <c r="CM14" s="565">
        <f>IF(CL14=0,0,1+COUNTIF(CM$6:CM13,"&gt;0"))</f>
        <v>0</v>
      </c>
      <c r="CN14" s="565">
        <f t="shared" si="21"/>
        <v>0</v>
      </c>
      <c r="CO14" s="565">
        <f>IF(CN14=0,0,1+COUNTIF(CO$6:CO13,"&gt;0"))</f>
        <v>0</v>
      </c>
      <c r="CP14" s="565">
        <f t="shared" si="22"/>
        <v>0</v>
      </c>
      <c r="CQ14" s="565">
        <f>IF(CP14=0,0,1+COUNTIF(CQ$6:CQ13,"&gt;0"))</f>
        <v>0</v>
      </c>
      <c r="CR14" s="565">
        <f t="shared" si="23"/>
        <v>0</v>
      </c>
      <c r="CS14" s="565">
        <f>IF(CR14=0,0,1+COUNTIF(CS$6:CS13,"&gt;0"))</f>
        <v>0</v>
      </c>
      <c r="CT14" s="565">
        <f t="shared" si="24"/>
        <v>0</v>
      </c>
      <c r="CU14" s="565">
        <f>IF(CT14=0,0,1+COUNTIF(CU$6:CU13,"&gt;0"))</f>
        <v>0</v>
      </c>
      <c r="CV14" s="565">
        <f t="shared" si="25"/>
        <v>0</v>
      </c>
      <c r="CW14" s="565">
        <f>IF(CV14=0,0,1+COUNTIF(CW$6:CW13,"&gt;0"))</f>
        <v>0</v>
      </c>
      <c r="CX14" s="565">
        <f t="shared" si="26"/>
        <v>0</v>
      </c>
      <c r="CY14" s="565">
        <f>IF(CX14=0,0,1+COUNTIF(CY$6:CY13,"&gt;0"))</f>
        <v>0</v>
      </c>
      <c r="CZ14" s="565">
        <f t="shared" si="27"/>
        <v>0</v>
      </c>
      <c r="DA14" s="565">
        <f>IF(CZ14=0,0,1+COUNTIF(DA$6:DA13,"&gt;0"))</f>
        <v>0</v>
      </c>
      <c r="DB14" s="565">
        <f t="shared" si="28"/>
        <v>0</v>
      </c>
      <c r="DC14" s="565">
        <f>IF(DB14=0,0,1+COUNTIF(DC$6:DC13,"&gt;0"))</f>
        <v>0</v>
      </c>
      <c r="DD14" s="565"/>
      <c r="DE14" s="565"/>
      <c r="DF14" s="565"/>
    </row>
    <row r="15" spans="1:110" ht="21" x14ac:dyDescent="0.25">
      <c r="A15" s="120"/>
      <c r="B15" s="5">
        <v>10</v>
      </c>
      <c r="C15" s="1061" t="str">
        <f t="shared" si="0"/>
        <v/>
      </c>
      <c r="D15" s="1061"/>
      <c r="E15" s="1061"/>
      <c r="F15" s="1061"/>
      <c r="G15" s="1061"/>
      <c r="H15" s="567"/>
      <c r="I15" s="565"/>
      <c r="J15" s="565" t="str">
        <f t="shared" si="11"/>
        <v/>
      </c>
      <c r="K15" s="5">
        <v>10</v>
      </c>
      <c r="L15" s="1061" t="str">
        <f t="shared" si="1"/>
        <v/>
      </c>
      <c r="M15" s="1061"/>
      <c r="N15" s="1061"/>
      <c r="O15" s="1061"/>
      <c r="P15" s="1061"/>
      <c r="Q15" s="567"/>
      <c r="R15" s="601"/>
      <c r="S15" s="565" t="str">
        <f t="shared" si="12"/>
        <v/>
      </c>
      <c r="T15" s="5">
        <v>10</v>
      </c>
      <c r="U15" s="1061" t="str">
        <f t="shared" si="2"/>
        <v/>
      </c>
      <c r="V15" s="1061"/>
      <c r="W15" s="1061"/>
      <c r="X15" s="1061"/>
      <c r="Y15" s="1061"/>
      <c r="Z15" s="567" t="str">
        <f t="shared" si="3"/>
        <v/>
      </c>
      <c r="AA15" s="601"/>
      <c r="AB15" s="565" t="str">
        <f t="shared" si="13"/>
        <v/>
      </c>
      <c r="AC15" s="5">
        <v>10</v>
      </c>
      <c r="AD15" s="1061" t="str">
        <f t="shared" si="4"/>
        <v/>
      </c>
      <c r="AE15" s="1061"/>
      <c r="AF15" s="1061"/>
      <c r="AG15" s="1061"/>
      <c r="AH15" s="1061"/>
      <c r="AI15" s="567" t="s">
        <v>3034</v>
      </c>
      <c r="AJ15" s="601"/>
      <c r="AK15" s="565" t="str">
        <f t="shared" si="14"/>
        <v/>
      </c>
      <c r="AL15" s="5">
        <v>10</v>
      </c>
      <c r="AM15" s="1061" t="str">
        <f t="shared" si="5"/>
        <v/>
      </c>
      <c r="AN15" s="1061"/>
      <c r="AO15" s="1061"/>
      <c r="AP15" s="1061"/>
      <c r="AQ15" s="1061"/>
      <c r="AR15" s="567"/>
      <c r="AS15" s="601"/>
      <c r="AT15" s="565" t="str">
        <f t="shared" si="15"/>
        <v/>
      </c>
      <c r="AU15" s="5">
        <v>10</v>
      </c>
      <c r="AV15" s="1061" t="str">
        <f t="shared" si="6"/>
        <v/>
      </c>
      <c r="AW15" s="1061"/>
      <c r="AX15" s="1061"/>
      <c r="AY15" s="1061"/>
      <c r="AZ15" s="1061"/>
      <c r="BA15" s="567"/>
      <c r="BB15" s="601"/>
      <c r="BC15" s="565" t="str">
        <f t="shared" si="16"/>
        <v/>
      </c>
      <c r="BD15" s="5">
        <v>10</v>
      </c>
      <c r="BE15" s="1061" t="str">
        <f t="shared" si="7"/>
        <v/>
      </c>
      <c r="BF15" s="1061"/>
      <c r="BG15" s="1061"/>
      <c r="BH15" s="1061"/>
      <c r="BI15" s="1061"/>
      <c r="BJ15" s="567"/>
      <c r="BK15" s="601"/>
      <c r="BL15" s="565" t="str">
        <f t="shared" si="17"/>
        <v/>
      </c>
      <c r="BM15" s="5">
        <v>10</v>
      </c>
      <c r="BN15" s="1061" t="str">
        <f t="shared" si="8"/>
        <v/>
      </c>
      <c r="BO15" s="1061"/>
      <c r="BP15" s="1061"/>
      <c r="BQ15" s="1061"/>
      <c r="BR15" s="1061"/>
      <c r="BS15" s="567"/>
      <c r="BT15" s="601"/>
      <c r="BU15" s="565" t="str">
        <f t="shared" si="18"/>
        <v/>
      </c>
      <c r="BV15" s="5">
        <v>10</v>
      </c>
      <c r="BW15" s="1061" t="str">
        <f t="shared" si="9"/>
        <v/>
      </c>
      <c r="BX15" s="1061"/>
      <c r="BY15" s="1061"/>
      <c r="BZ15" s="1061"/>
      <c r="CA15" s="1061"/>
      <c r="CB15" s="567"/>
      <c r="CC15" s="565" t="str">
        <f t="shared" si="19"/>
        <v/>
      </c>
      <c r="CD15" s="565"/>
      <c r="CE15" s="565"/>
      <c r="CF15" s="565"/>
      <c r="CG15" s="565"/>
      <c r="CH15" s="565"/>
      <c r="CI15" s="565">
        <v>10</v>
      </c>
      <c r="CJ15" s="565">
        <f>Character_Creation!X350</f>
        <v>0</v>
      </c>
      <c r="CK15" s="565" t="str">
        <f>Character_Creation!AB350</f>
        <v/>
      </c>
      <c r="CL15" s="565">
        <f t="shared" si="20"/>
        <v>0</v>
      </c>
      <c r="CM15" s="565">
        <f>IF(CL15=0,0,1+COUNTIF(CM$6:CM14,"&gt;0"))</f>
        <v>0</v>
      </c>
      <c r="CN15" s="565">
        <f t="shared" si="21"/>
        <v>0</v>
      </c>
      <c r="CO15" s="565">
        <f>IF(CN15=0,0,1+COUNTIF(CO$6:CO14,"&gt;0"))</f>
        <v>0</v>
      </c>
      <c r="CP15" s="565">
        <f t="shared" si="22"/>
        <v>0</v>
      </c>
      <c r="CQ15" s="565">
        <f>IF(CP15=0,0,1+COUNTIF(CQ$6:CQ14,"&gt;0"))</f>
        <v>0</v>
      </c>
      <c r="CR15" s="565">
        <f t="shared" si="23"/>
        <v>0</v>
      </c>
      <c r="CS15" s="565">
        <f>IF(CR15=0,0,1+COUNTIF(CS$6:CS14,"&gt;0"))</f>
        <v>0</v>
      </c>
      <c r="CT15" s="565">
        <f t="shared" si="24"/>
        <v>0</v>
      </c>
      <c r="CU15" s="565">
        <f>IF(CT15=0,0,1+COUNTIF(CU$6:CU14,"&gt;0"))</f>
        <v>0</v>
      </c>
      <c r="CV15" s="565">
        <f t="shared" si="25"/>
        <v>0</v>
      </c>
      <c r="CW15" s="565">
        <f>IF(CV15=0,0,1+COUNTIF(CW$6:CW14,"&gt;0"))</f>
        <v>0</v>
      </c>
      <c r="CX15" s="565">
        <f t="shared" si="26"/>
        <v>0</v>
      </c>
      <c r="CY15" s="565">
        <f>IF(CX15=0,0,1+COUNTIF(CY$6:CY14,"&gt;0"))</f>
        <v>0</v>
      </c>
      <c r="CZ15" s="565">
        <f t="shared" si="27"/>
        <v>0</v>
      </c>
      <c r="DA15" s="565">
        <f>IF(CZ15=0,0,1+COUNTIF(DA$6:DA14,"&gt;0"))</f>
        <v>0</v>
      </c>
      <c r="DB15" s="565">
        <f t="shared" si="28"/>
        <v>0</v>
      </c>
      <c r="DC15" s="565">
        <f>IF(DB15=0,0,1+COUNTIF(DC$6:DC14,"&gt;0"))</f>
        <v>0</v>
      </c>
      <c r="DD15" s="565"/>
      <c r="DE15" s="565"/>
      <c r="DF15" s="565"/>
    </row>
    <row r="16" spans="1:110" ht="21" x14ac:dyDescent="0.25">
      <c r="A16" s="120"/>
      <c r="B16" s="5">
        <v>11</v>
      </c>
      <c r="C16" s="1061" t="str">
        <f t="shared" si="0"/>
        <v/>
      </c>
      <c r="D16" s="1061"/>
      <c r="E16" s="1061"/>
      <c r="F16" s="1061"/>
      <c r="G16" s="1061"/>
      <c r="H16" s="567"/>
      <c r="I16" s="565"/>
      <c r="J16" s="565" t="str">
        <f t="shared" si="11"/>
        <v/>
      </c>
      <c r="K16" s="5">
        <v>11</v>
      </c>
      <c r="L16" s="1061" t="str">
        <f t="shared" si="1"/>
        <v/>
      </c>
      <c r="M16" s="1061"/>
      <c r="N16" s="1061"/>
      <c r="O16" s="1061"/>
      <c r="P16" s="1061"/>
      <c r="Q16" s="567"/>
      <c r="R16" s="601"/>
      <c r="S16" s="565" t="str">
        <f t="shared" si="12"/>
        <v/>
      </c>
      <c r="T16" s="5">
        <v>11</v>
      </c>
      <c r="U16" s="1061" t="str">
        <f t="shared" si="2"/>
        <v/>
      </c>
      <c r="V16" s="1061"/>
      <c r="W16" s="1061"/>
      <c r="X16" s="1061"/>
      <c r="Y16" s="1061"/>
      <c r="Z16" s="567" t="str">
        <f t="shared" si="3"/>
        <v/>
      </c>
      <c r="AA16" s="601"/>
      <c r="AB16" s="565" t="str">
        <f t="shared" si="13"/>
        <v/>
      </c>
      <c r="AC16" s="5">
        <v>11</v>
      </c>
      <c r="AD16" s="1061" t="str">
        <f t="shared" si="4"/>
        <v/>
      </c>
      <c r="AE16" s="1061"/>
      <c r="AF16" s="1061"/>
      <c r="AG16" s="1061"/>
      <c r="AH16" s="1061"/>
      <c r="AI16" s="567" t="s">
        <v>3034</v>
      </c>
      <c r="AJ16" s="601"/>
      <c r="AK16" s="565" t="str">
        <f t="shared" si="14"/>
        <v/>
      </c>
      <c r="AL16" s="5">
        <v>11</v>
      </c>
      <c r="AM16" s="1061" t="str">
        <f t="shared" si="5"/>
        <v/>
      </c>
      <c r="AN16" s="1061"/>
      <c r="AO16" s="1061"/>
      <c r="AP16" s="1061"/>
      <c r="AQ16" s="1061"/>
      <c r="AR16" s="567"/>
      <c r="AS16" s="601"/>
      <c r="AT16" s="565" t="str">
        <f t="shared" si="15"/>
        <v/>
      </c>
      <c r="AU16" s="5">
        <v>11</v>
      </c>
      <c r="AV16" s="1061" t="str">
        <f t="shared" si="6"/>
        <v/>
      </c>
      <c r="AW16" s="1061"/>
      <c r="AX16" s="1061"/>
      <c r="AY16" s="1061"/>
      <c r="AZ16" s="1061"/>
      <c r="BA16" s="567"/>
      <c r="BB16" s="601"/>
      <c r="BC16" s="565" t="str">
        <f t="shared" si="16"/>
        <v/>
      </c>
      <c r="BD16" s="5">
        <v>11</v>
      </c>
      <c r="BE16" s="1061" t="str">
        <f t="shared" si="7"/>
        <v/>
      </c>
      <c r="BF16" s="1061"/>
      <c r="BG16" s="1061"/>
      <c r="BH16" s="1061"/>
      <c r="BI16" s="1061"/>
      <c r="BJ16" s="567"/>
      <c r="BK16" s="601"/>
      <c r="BL16" s="565" t="str">
        <f t="shared" si="17"/>
        <v/>
      </c>
      <c r="BM16" s="5">
        <v>11</v>
      </c>
      <c r="BN16" s="1061" t="str">
        <f t="shared" si="8"/>
        <v/>
      </c>
      <c r="BO16" s="1061"/>
      <c r="BP16" s="1061"/>
      <c r="BQ16" s="1061"/>
      <c r="BR16" s="1061"/>
      <c r="BS16" s="567"/>
      <c r="BT16" s="601"/>
      <c r="BU16" s="565" t="str">
        <f t="shared" si="18"/>
        <v/>
      </c>
      <c r="BV16" s="5">
        <v>11</v>
      </c>
      <c r="BW16" s="1061" t="str">
        <f t="shared" si="9"/>
        <v/>
      </c>
      <c r="BX16" s="1061"/>
      <c r="BY16" s="1061"/>
      <c r="BZ16" s="1061"/>
      <c r="CA16" s="1061"/>
      <c r="CB16" s="567"/>
      <c r="CC16" s="565" t="str">
        <f t="shared" si="19"/>
        <v/>
      </c>
      <c r="CD16" s="565"/>
      <c r="CE16" s="565"/>
      <c r="CF16" s="565"/>
      <c r="CG16" s="565"/>
      <c r="CH16" s="565"/>
      <c r="CI16" s="565">
        <v>11</v>
      </c>
      <c r="CJ16" s="565">
        <f>Character_Creation!X351</f>
        <v>0</v>
      </c>
      <c r="CK16" s="565" t="str">
        <f>Character_Creation!AB351</f>
        <v/>
      </c>
      <c r="CL16" s="565">
        <f t="shared" si="20"/>
        <v>0</v>
      </c>
      <c r="CM16" s="565">
        <f>IF(CL16=0,0,1+COUNTIF(CM$6:CM15,"&gt;0"))</f>
        <v>0</v>
      </c>
      <c r="CN16" s="565">
        <f t="shared" si="21"/>
        <v>0</v>
      </c>
      <c r="CO16" s="565">
        <f>IF(CN16=0,0,1+COUNTIF(CO$6:CO15,"&gt;0"))</f>
        <v>0</v>
      </c>
      <c r="CP16" s="565">
        <f t="shared" si="22"/>
        <v>0</v>
      </c>
      <c r="CQ16" s="565">
        <f>IF(CP16=0,0,1+COUNTIF(CQ$6:CQ15,"&gt;0"))</f>
        <v>0</v>
      </c>
      <c r="CR16" s="565">
        <f t="shared" si="23"/>
        <v>0</v>
      </c>
      <c r="CS16" s="565">
        <f>IF(CR16=0,0,1+COUNTIF(CS$6:CS15,"&gt;0"))</f>
        <v>0</v>
      </c>
      <c r="CT16" s="565">
        <f t="shared" si="24"/>
        <v>0</v>
      </c>
      <c r="CU16" s="565">
        <f>IF(CT16=0,0,1+COUNTIF(CU$6:CU15,"&gt;0"))</f>
        <v>0</v>
      </c>
      <c r="CV16" s="565">
        <f t="shared" si="25"/>
        <v>0</v>
      </c>
      <c r="CW16" s="565">
        <f>IF(CV16=0,0,1+COUNTIF(CW$6:CW15,"&gt;0"))</f>
        <v>0</v>
      </c>
      <c r="CX16" s="565">
        <f t="shared" si="26"/>
        <v>0</v>
      </c>
      <c r="CY16" s="565">
        <f>IF(CX16=0,0,1+COUNTIF(CY$6:CY15,"&gt;0"))</f>
        <v>0</v>
      </c>
      <c r="CZ16" s="565">
        <f t="shared" si="27"/>
        <v>0</v>
      </c>
      <c r="DA16" s="565">
        <f>IF(CZ16=0,0,1+COUNTIF(DA$6:DA15,"&gt;0"))</f>
        <v>0</v>
      </c>
      <c r="DB16" s="565">
        <f t="shared" si="28"/>
        <v>0</v>
      </c>
      <c r="DC16" s="565">
        <f>IF(DB16=0,0,1+COUNTIF(DC$6:DC15,"&gt;0"))</f>
        <v>0</v>
      </c>
      <c r="DD16" s="565"/>
      <c r="DE16" s="565"/>
      <c r="DF16" s="565"/>
    </row>
    <row r="17" spans="1:110" ht="21" x14ac:dyDescent="0.25">
      <c r="A17" s="120"/>
      <c r="B17" s="5">
        <v>12</v>
      </c>
      <c r="C17" s="1061" t="str">
        <f t="shared" si="0"/>
        <v/>
      </c>
      <c r="D17" s="1061"/>
      <c r="E17" s="1061"/>
      <c r="F17" s="1061"/>
      <c r="G17" s="1061"/>
      <c r="H17" s="567"/>
      <c r="I17" s="565"/>
      <c r="J17" s="565" t="str">
        <f t="shared" si="11"/>
        <v/>
      </c>
      <c r="K17" s="5">
        <v>12</v>
      </c>
      <c r="L17" s="1061" t="str">
        <f t="shared" si="1"/>
        <v/>
      </c>
      <c r="M17" s="1061"/>
      <c r="N17" s="1061"/>
      <c r="O17" s="1061"/>
      <c r="P17" s="1061"/>
      <c r="Q17" s="567"/>
      <c r="R17" s="601"/>
      <c r="S17" s="565" t="str">
        <f t="shared" si="12"/>
        <v/>
      </c>
      <c r="T17" s="5">
        <v>12</v>
      </c>
      <c r="U17" s="1061" t="str">
        <f t="shared" si="2"/>
        <v/>
      </c>
      <c r="V17" s="1061"/>
      <c r="W17" s="1061"/>
      <c r="X17" s="1061"/>
      <c r="Y17" s="1061"/>
      <c r="Z17" s="567" t="str">
        <f t="shared" si="3"/>
        <v/>
      </c>
      <c r="AA17" s="601"/>
      <c r="AB17" s="565" t="str">
        <f t="shared" si="13"/>
        <v/>
      </c>
      <c r="AC17" s="5">
        <v>12</v>
      </c>
      <c r="AD17" s="1061" t="str">
        <f t="shared" si="4"/>
        <v/>
      </c>
      <c r="AE17" s="1061"/>
      <c r="AF17" s="1061"/>
      <c r="AG17" s="1061"/>
      <c r="AH17" s="1061"/>
      <c r="AI17" s="567" t="s">
        <v>3034</v>
      </c>
      <c r="AJ17" s="601"/>
      <c r="AK17" s="565" t="str">
        <f t="shared" si="14"/>
        <v/>
      </c>
      <c r="AL17" s="5">
        <v>12</v>
      </c>
      <c r="AM17" s="1061" t="str">
        <f t="shared" si="5"/>
        <v/>
      </c>
      <c r="AN17" s="1061"/>
      <c r="AO17" s="1061"/>
      <c r="AP17" s="1061"/>
      <c r="AQ17" s="1061"/>
      <c r="AR17" s="567"/>
      <c r="AS17" s="601"/>
      <c r="AT17" s="565" t="str">
        <f t="shared" si="15"/>
        <v/>
      </c>
      <c r="AU17" s="5">
        <v>12</v>
      </c>
      <c r="AV17" s="1061" t="str">
        <f t="shared" si="6"/>
        <v/>
      </c>
      <c r="AW17" s="1061"/>
      <c r="AX17" s="1061"/>
      <c r="AY17" s="1061"/>
      <c r="AZ17" s="1061"/>
      <c r="BA17" s="567"/>
      <c r="BB17" s="601"/>
      <c r="BC17" s="565" t="str">
        <f t="shared" si="16"/>
        <v/>
      </c>
      <c r="BD17" s="5">
        <v>12</v>
      </c>
      <c r="BE17" s="1061" t="str">
        <f t="shared" si="7"/>
        <v/>
      </c>
      <c r="BF17" s="1061"/>
      <c r="BG17" s="1061"/>
      <c r="BH17" s="1061"/>
      <c r="BI17" s="1061"/>
      <c r="BJ17" s="567"/>
      <c r="BK17" s="601"/>
      <c r="BL17" s="565" t="str">
        <f t="shared" si="17"/>
        <v/>
      </c>
      <c r="BM17" s="5">
        <v>12</v>
      </c>
      <c r="BN17" s="1061" t="str">
        <f t="shared" si="8"/>
        <v/>
      </c>
      <c r="BO17" s="1061"/>
      <c r="BP17" s="1061"/>
      <c r="BQ17" s="1061"/>
      <c r="BR17" s="1061"/>
      <c r="BS17" s="567"/>
      <c r="BT17" s="601"/>
      <c r="BU17" s="565" t="str">
        <f t="shared" si="18"/>
        <v/>
      </c>
      <c r="BV17" s="5">
        <v>12</v>
      </c>
      <c r="BW17" s="1061" t="str">
        <f t="shared" si="9"/>
        <v/>
      </c>
      <c r="BX17" s="1061"/>
      <c r="BY17" s="1061"/>
      <c r="BZ17" s="1061"/>
      <c r="CA17" s="1061"/>
      <c r="CB17" s="567"/>
      <c r="CC17" s="565" t="str">
        <f t="shared" si="19"/>
        <v/>
      </c>
      <c r="CD17" s="565"/>
      <c r="CE17" s="565"/>
      <c r="CF17" s="565"/>
      <c r="CG17" s="565"/>
      <c r="CH17" s="565"/>
      <c r="CI17" s="565">
        <v>12</v>
      </c>
      <c r="CJ17" s="565">
        <f>Character_Creation!X352</f>
        <v>0</v>
      </c>
      <c r="CK17" s="565" t="str">
        <f>Character_Creation!AB352</f>
        <v/>
      </c>
      <c r="CL17" s="565">
        <f t="shared" si="20"/>
        <v>0</v>
      </c>
      <c r="CM17" s="565">
        <f>IF(CL17=0,0,1+COUNTIF(CM$6:CM16,"&gt;0"))</f>
        <v>0</v>
      </c>
      <c r="CN17" s="565">
        <f t="shared" si="21"/>
        <v>0</v>
      </c>
      <c r="CO17" s="565">
        <f>IF(CN17=0,0,1+COUNTIF(CO$6:CO16,"&gt;0"))</f>
        <v>0</v>
      </c>
      <c r="CP17" s="565">
        <f t="shared" si="22"/>
        <v>0</v>
      </c>
      <c r="CQ17" s="565">
        <f>IF(CP17=0,0,1+COUNTIF(CQ$6:CQ16,"&gt;0"))</f>
        <v>0</v>
      </c>
      <c r="CR17" s="565">
        <f t="shared" si="23"/>
        <v>0</v>
      </c>
      <c r="CS17" s="565">
        <f>IF(CR17=0,0,1+COUNTIF(CS$6:CS16,"&gt;0"))</f>
        <v>0</v>
      </c>
      <c r="CT17" s="565">
        <f t="shared" si="24"/>
        <v>0</v>
      </c>
      <c r="CU17" s="565">
        <f>IF(CT17=0,0,1+COUNTIF(CU$6:CU16,"&gt;0"))</f>
        <v>0</v>
      </c>
      <c r="CV17" s="565">
        <f t="shared" si="25"/>
        <v>0</v>
      </c>
      <c r="CW17" s="565">
        <f>IF(CV17=0,0,1+COUNTIF(CW$6:CW16,"&gt;0"))</f>
        <v>0</v>
      </c>
      <c r="CX17" s="565">
        <f t="shared" si="26"/>
        <v>0</v>
      </c>
      <c r="CY17" s="565">
        <f>IF(CX17=0,0,1+COUNTIF(CY$6:CY16,"&gt;0"))</f>
        <v>0</v>
      </c>
      <c r="CZ17" s="565">
        <f t="shared" si="27"/>
        <v>0</v>
      </c>
      <c r="DA17" s="565">
        <f>IF(CZ17=0,0,1+COUNTIF(DA$6:DA16,"&gt;0"))</f>
        <v>0</v>
      </c>
      <c r="DB17" s="565">
        <f t="shared" si="28"/>
        <v>0</v>
      </c>
      <c r="DC17" s="565">
        <f>IF(DB17=0,0,1+COUNTIF(DC$6:DC16,"&gt;0"))</f>
        <v>0</v>
      </c>
      <c r="DD17" s="565"/>
      <c r="DE17" s="565"/>
      <c r="DF17" s="565"/>
    </row>
    <row r="18" spans="1:110" ht="21" x14ac:dyDescent="0.25">
      <c r="A18" s="120"/>
      <c r="B18" s="5">
        <v>13</v>
      </c>
      <c r="C18" s="1061" t="str">
        <f t="shared" si="0"/>
        <v/>
      </c>
      <c r="D18" s="1061"/>
      <c r="E18" s="1061"/>
      <c r="F18" s="1061"/>
      <c r="G18" s="1061"/>
      <c r="H18" s="567"/>
      <c r="I18" s="565"/>
      <c r="J18" s="565" t="str">
        <f t="shared" si="11"/>
        <v/>
      </c>
      <c r="K18" s="5">
        <v>13</v>
      </c>
      <c r="L18" s="1061" t="str">
        <f t="shared" si="1"/>
        <v/>
      </c>
      <c r="M18" s="1061"/>
      <c r="N18" s="1061"/>
      <c r="O18" s="1061"/>
      <c r="P18" s="1061"/>
      <c r="Q18" s="567"/>
      <c r="R18" s="601"/>
      <c r="S18" s="565" t="str">
        <f t="shared" si="12"/>
        <v/>
      </c>
      <c r="T18" s="5">
        <v>13</v>
      </c>
      <c r="U18" s="1061" t="str">
        <f t="shared" si="2"/>
        <v/>
      </c>
      <c r="V18" s="1061"/>
      <c r="W18" s="1061"/>
      <c r="X18" s="1061"/>
      <c r="Y18" s="1061"/>
      <c r="Z18" s="567" t="str">
        <f t="shared" si="3"/>
        <v/>
      </c>
      <c r="AA18" s="601"/>
      <c r="AB18" s="565" t="str">
        <f t="shared" si="13"/>
        <v/>
      </c>
      <c r="AC18" s="5">
        <v>13</v>
      </c>
      <c r="AD18" s="1061" t="str">
        <f t="shared" si="4"/>
        <v/>
      </c>
      <c r="AE18" s="1061"/>
      <c r="AF18" s="1061"/>
      <c r="AG18" s="1061"/>
      <c r="AH18" s="1061"/>
      <c r="AI18" s="567" t="s">
        <v>3034</v>
      </c>
      <c r="AJ18" s="601"/>
      <c r="AK18" s="565" t="str">
        <f t="shared" si="14"/>
        <v/>
      </c>
      <c r="AL18" s="5">
        <v>13</v>
      </c>
      <c r="AM18" s="1061" t="str">
        <f t="shared" si="5"/>
        <v/>
      </c>
      <c r="AN18" s="1061"/>
      <c r="AO18" s="1061"/>
      <c r="AP18" s="1061"/>
      <c r="AQ18" s="1061"/>
      <c r="AR18" s="567"/>
      <c r="AS18" s="601"/>
      <c r="AT18" s="565" t="str">
        <f t="shared" si="15"/>
        <v/>
      </c>
      <c r="AU18" s="5">
        <v>13</v>
      </c>
      <c r="AV18" s="1061" t="str">
        <f t="shared" si="6"/>
        <v/>
      </c>
      <c r="AW18" s="1061"/>
      <c r="AX18" s="1061"/>
      <c r="AY18" s="1061"/>
      <c r="AZ18" s="1061"/>
      <c r="BA18" s="567"/>
      <c r="BB18" s="601"/>
      <c r="BC18" s="565" t="str">
        <f t="shared" si="16"/>
        <v/>
      </c>
      <c r="BD18" s="5">
        <v>13</v>
      </c>
      <c r="BE18" s="1061" t="str">
        <f t="shared" si="7"/>
        <v/>
      </c>
      <c r="BF18" s="1061"/>
      <c r="BG18" s="1061"/>
      <c r="BH18" s="1061"/>
      <c r="BI18" s="1061"/>
      <c r="BJ18" s="567"/>
      <c r="BK18" s="601"/>
      <c r="BL18" s="565" t="str">
        <f t="shared" si="17"/>
        <v/>
      </c>
      <c r="BM18" s="5">
        <v>13</v>
      </c>
      <c r="BN18" s="1061" t="str">
        <f t="shared" si="8"/>
        <v/>
      </c>
      <c r="BO18" s="1061"/>
      <c r="BP18" s="1061"/>
      <c r="BQ18" s="1061"/>
      <c r="BR18" s="1061"/>
      <c r="BS18" s="567"/>
      <c r="BT18" s="601"/>
      <c r="BU18" s="565" t="str">
        <f t="shared" si="18"/>
        <v/>
      </c>
      <c r="BV18" s="5">
        <v>13</v>
      </c>
      <c r="BW18" s="1061" t="str">
        <f t="shared" si="9"/>
        <v/>
      </c>
      <c r="BX18" s="1061"/>
      <c r="BY18" s="1061"/>
      <c r="BZ18" s="1061"/>
      <c r="CA18" s="1061"/>
      <c r="CB18" s="567"/>
      <c r="CC18" s="565" t="str">
        <f t="shared" si="19"/>
        <v/>
      </c>
      <c r="CD18" s="565"/>
      <c r="CE18" s="565"/>
      <c r="CF18" s="565"/>
      <c r="CG18" s="565"/>
      <c r="CH18" s="565"/>
      <c r="CI18" s="565">
        <v>13</v>
      </c>
      <c r="CJ18" s="565">
        <f>Character_Creation!X353</f>
        <v>0</v>
      </c>
      <c r="CK18" s="565" t="str">
        <f>Character_Creation!AB353</f>
        <v/>
      </c>
      <c r="CL18" s="565">
        <f t="shared" si="20"/>
        <v>0</v>
      </c>
      <c r="CM18" s="565">
        <f>IF(CL18=0,0,1+COUNTIF(CM$6:CM17,"&gt;0"))</f>
        <v>0</v>
      </c>
      <c r="CN18" s="565">
        <f t="shared" si="21"/>
        <v>0</v>
      </c>
      <c r="CO18" s="565">
        <f>IF(CN18=0,0,1+COUNTIF(CO$6:CO17,"&gt;0"))</f>
        <v>0</v>
      </c>
      <c r="CP18" s="565">
        <f t="shared" si="22"/>
        <v>0</v>
      </c>
      <c r="CQ18" s="565">
        <f>IF(CP18=0,0,1+COUNTIF(CQ$6:CQ17,"&gt;0"))</f>
        <v>0</v>
      </c>
      <c r="CR18" s="565">
        <f t="shared" si="23"/>
        <v>0</v>
      </c>
      <c r="CS18" s="565">
        <f>IF(CR18=0,0,1+COUNTIF(CS$6:CS17,"&gt;0"))</f>
        <v>0</v>
      </c>
      <c r="CT18" s="565">
        <f t="shared" si="24"/>
        <v>0</v>
      </c>
      <c r="CU18" s="565">
        <f>IF(CT18=0,0,1+COUNTIF(CU$6:CU17,"&gt;0"))</f>
        <v>0</v>
      </c>
      <c r="CV18" s="565">
        <f t="shared" si="25"/>
        <v>0</v>
      </c>
      <c r="CW18" s="565">
        <f>IF(CV18=0,0,1+COUNTIF(CW$6:CW17,"&gt;0"))</f>
        <v>0</v>
      </c>
      <c r="CX18" s="565">
        <f t="shared" si="26"/>
        <v>0</v>
      </c>
      <c r="CY18" s="565">
        <f>IF(CX18=0,0,1+COUNTIF(CY$6:CY17,"&gt;0"))</f>
        <v>0</v>
      </c>
      <c r="CZ18" s="565">
        <f t="shared" si="27"/>
        <v>0</v>
      </c>
      <c r="DA18" s="565">
        <f>IF(CZ18=0,0,1+COUNTIF(DA$6:DA17,"&gt;0"))</f>
        <v>0</v>
      </c>
      <c r="DB18" s="565">
        <f t="shared" si="28"/>
        <v>0</v>
      </c>
      <c r="DC18" s="565">
        <f>IF(DB18=0,0,1+COUNTIF(DC$6:DC17,"&gt;0"))</f>
        <v>0</v>
      </c>
      <c r="DD18" s="565"/>
      <c r="DE18" s="565"/>
      <c r="DF18" s="565"/>
    </row>
    <row r="19" spans="1:110" ht="21" x14ac:dyDescent="0.25">
      <c r="A19" s="120"/>
      <c r="B19" s="5">
        <v>14</v>
      </c>
      <c r="C19" s="1061" t="str">
        <f t="shared" si="0"/>
        <v/>
      </c>
      <c r="D19" s="1061"/>
      <c r="E19" s="1061"/>
      <c r="F19" s="1061"/>
      <c r="G19" s="1061"/>
      <c r="H19" s="567"/>
      <c r="I19" s="565"/>
      <c r="J19" s="565" t="str">
        <f t="shared" si="11"/>
        <v/>
      </c>
      <c r="K19" s="5">
        <v>14</v>
      </c>
      <c r="L19" s="1061" t="str">
        <f t="shared" si="1"/>
        <v/>
      </c>
      <c r="M19" s="1061"/>
      <c r="N19" s="1061"/>
      <c r="O19" s="1061"/>
      <c r="P19" s="1061"/>
      <c r="Q19" s="567"/>
      <c r="R19" s="601"/>
      <c r="S19" s="565" t="str">
        <f t="shared" si="12"/>
        <v/>
      </c>
      <c r="T19" s="5">
        <v>14</v>
      </c>
      <c r="U19" s="1061" t="str">
        <f t="shared" si="2"/>
        <v/>
      </c>
      <c r="V19" s="1061"/>
      <c r="W19" s="1061"/>
      <c r="X19" s="1061"/>
      <c r="Y19" s="1061"/>
      <c r="Z19" s="567" t="str">
        <f t="shared" si="3"/>
        <v/>
      </c>
      <c r="AA19" s="601"/>
      <c r="AB19" s="565" t="str">
        <f t="shared" si="13"/>
        <v/>
      </c>
      <c r="AC19" s="5">
        <v>14</v>
      </c>
      <c r="AD19" s="1061" t="str">
        <f t="shared" si="4"/>
        <v/>
      </c>
      <c r="AE19" s="1061"/>
      <c r="AF19" s="1061"/>
      <c r="AG19" s="1061"/>
      <c r="AH19" s="1061"/>
      <c r="AI19" s="567" t="s">
        <v>3034</v>
      </c>
      <c r="AJ19" s="601"/>
      <c r="AK19" s="565" t="str">
        <f t="shared" si="14"/>
        <v/>
      </c>
      <c r="AL19" s="5">
        <v>14</v>
      </c>
      <c r="AM19" s="1061" t="str">
        <f t="shared" si="5"/>
        <v/>
      </c>
      <c r="AN19" s="1061"/>
      <c r="AO19" s="1061"/>
      <c r="AP19" s="1061"/>
      <c r="AQ19" s="1061"/>
      <c r="AR19" s="567"/>
      <c r="AS19" s="601"/>
      <c r="AT19" s="565" t="str">
        <f t="shared" si="15"/>
        <v/>
      </c>
      <c r="AU19" s="5">
        <v>14</v>
      </c>
      <c r="AV19" s="1061" t="str">
        <f t="shared" si="6"/>
        <v/>
      </c>
      <c r="AW19" s="1061"/>
      <c r="AX19" s="1061"/>
      <c r="AY19" s="1061"/>
      <c r="AZ19" s="1061"/>
      <c r="BA19" s="567"/>
      <c r="BB19" s="601"/>
      <c r="BC19" s="565" t="str">
        <f t="shared" si="16"/>
        <v/>
      </c>
      <c r="BD19" s="5">
        <v>14</v>
      </c>
      <c r="BE19" s="1061" t="str">
        <f t="shared" si="7"/>
        <v/>
      </c>
      <c r="BF19" s="1061"/>
      <c r="BG19" s="1061"/>
      <c r="BH19" s="1061"/>
      <c r="BI19" s="1061"/>
      <c r="BJ19" s="567"/>
      <c r="BK19" s="601"/>
      <c r="BL19" s="565" t="str">
        <f t="shared" si="17"/>
        <v/>
      </c>
      <c r="BM19" s="5">
        <v>14</v>
      </c>
      <c r="BN19" s="1061" t="str">
        <f t="shared" si="8"/>
        <v/>
      </c>
      <c r="BO19" s="1061"/>
      <c r="BP19" s="1061"/>
      <c r="BQ19" s="1061"/>
      <c r="BR19" s="1061"/>
      <c r="BS19" s="567"/>
      <c r="BT19" s="601"/>
      <c r="BU19" s="565" t="str">
        <f t="shared" si="18"/>
        <v/>
      </c>
      <c r="BV19" s="5">
        <v>14</v>
      </c>
      <c r="BW19" s="1061" t="str">
        <f t="shared" si="9"/>
        <v/>
      </c>
      <c r="BX19" s="1061"/>
      <c r="BY19" s="1061"/>
      <c r="BZ19" s="1061"/>
      <c r="CA19" s="1061"/>
      <c r="CB19" s="567"/>
      <c r="CC19" s="565" t="str">
        <f t="shared" si="19"/>
        <v/>
      </c>
      <c r="CD19" s="565"/>
      <c r="CE19" s="565"/>
      <c r="CF19" s="565"/>
      <c r="CG19" s="565"/>
      <c r="CH19" s="565"/>
      <c r="CI19" s="565">
        <v>14</v>
      </c>
      <c r="CJ19" s="565">
        <f>Character_Creation!X354</f>
        <v>0</v>
      </c>
      <c r="CK19" s="565" t="str">
        <f>Character_Creation!AB354</f>
        <v/>
      </c>
      <c r="CL19" s="565">
        <f t="shared" si="20"/>
        <v>0</v>
      </c>
      <c r="CM19" s="565">
        <f>IF(CL19=0,0,1+COUNTIF(CM$6:CM18,"&gt;0"))</f>
        <v>0</v>
      </c>
      <c r="CN19" s="565">
        <f t="shared" si="21"/>
        <v>0</v>
      </c>
      <c r="CO19" s="565">
        <f>IF(CN19=0,0,1+COUNTIF(CO$6:CO18,"&gt;0"))</f>
        <v>0</v>
      </c>
      <c r="CP19" s="565">
        <f t="shared" si="22"/>
        <v>0</v>
      </c>
      <c r="CQ19" s="565">
        <f>IF(CP19=0,0,1+COUNTIF(CQ$6:CQ18,"&gt;0"))</f>
        <v>0</v>
      </c>
      <c r="CR19" s="565">
        <f t="shared" si="23"/>
        <v>0</v>
      </c>
      <c r="CS19" s="565">
        <f>IF(CR19=0,0,1+COUNTIF(CS$6:CS18,"&gt;0"))</f>
        <v>0</v>
      </c>
      <c r="CT19" s="565">
        <f t="shared" si="24"/>
        <v>0</v>
      </c>
      <c r="CU19" s="565">
        <f>IF(CT19=0,0,1+COUNTIF(CU$6:CU18,"&gt;0"))</f>
        <v>0</v>
      </c>
      <c r="CV19" s="565">
        <f t="shared" si="25"/>
        <v>0</v>
      </c>
      <c r="CW19" s="565">
        <f>IF(CV19=0,0,1+COUNTIF(CW$6:CW18,"&gt;0"))</f>
        <v>0</v>
      </c>
      <c r="CX19" s="565">
        <f t="shared" si="26"/>
        <v>0</v>
      </c>
      <c r="CY19" s="565">
        <f>IF(CX19=0,0,1+COUNTIF(CY$6:CY18,"&gt;0"))</f>
        <v>0</v>
      </c>
      <c r="CZ19" s="565">
        <f t="shared" si="27"/>
        <v>0</v>
      </c>
      <c r="DA19" s="565">
        <f>IF(CZ19=0,0,1+COUNTIF(DA$6:DA18,"&gt;0"))</f>
        <v>0</v>
      </c>
      <c r="DB19" s="565">
        <f t="shared" si="28"/>
        <v>0</v>
      </c>
      <c r="DC19" s="565">
        <f>IF(DB19=0,0,1+COUNTIF(DC$6:DC18,"&gt;0"))</f>
        <v>0</v>
      </c>
      <c r="DD19" s="565"/>
      <c r="DE19" s="565"/>
      <c r="DF19" s="565"/>
    </row>
    <row r="20" spans="1:110" ht="21" x14ac:dyDescent="0.25">
      <c r="A20" s="120"/>
      <c r="B20" s="5">
        <v>15</v>
      </c>
      <c r="C20" s="1061" t="str">
        <f t="shared" si="0"/>
        <v/>
      </c>
      <c r="D20" s="1061"/>
      <c r="E20" s="1061"/>
      <c r="F20" s="1061"/>
      <c r="G20" s="1061"/>
      <c r="H20" s="567"/>
      <c r="I20" s="565"/>
      <c r="J20" s="565" t="str">
        <f t="shared" si="11"/>
        <v/>
      </c>
      <c r="K20" s="5">
        <v>15</v>
      </c>
      <c r="L20" s="1061" t="str">
        <f t="shared" si="1"/>
        <v/>
      </c>
      <c r="M20" s="1061"/>
      <c r="N20" s="1061"/>
      <c r="O20" s="1061"/>
      <c r="P20" s="1061"/>
      <c r="Q20" s="567"/>
      <c r="R20" s="601"/>
      <c r="S20" s="565" t="str">
        <f t="shared" si="12"/>
        <v/>
      </c>
      <c r="T20" s="5">
        <v>15</v>
      </c>
      <c r="U20" s="1061" t="str">
        <f t="shared" si="2"/>
        <v/>
      </c>
      <c r="V20" s="1061"/>
      <c r="W20" s="1061"/>
      <c r="X20" s="1061"/>
      <c r="Y20" s="1061"/>
      <c r="Z20" s="567" t="str">
        <f t="shared" si="3"/>
        <v/>
      </c>
      <c r="AA20" s="601"/>
      <c r="AB20" s="565" t="str">
        <f t="shared" si="13"/>
        <v/>
      </c>
      <c r="AC20" s="5">
        <v>15</v>
      </c>
      <c r="AD20" s="1061" t="str">
        <f t="shared" si="4"/>
        <v/>
      </c>
      <c r="AE20" s="1061"/>
      <c r="AF20" s="1061"/>
      <c r="AG20" s="1061"/>
      <c r="AH20" s="1061"/>
      <c r="AI20" s="567" t="s">
        <v>3034</v>
      </c>
      <c r="AJ20" s="601"/>
      <c r="AK20" s="565" t="str">
        <f t="shared" si="14"/>
        <v/>
      </c>
      <c r="AL20" s="5">
        <v>15</v>
      </c>
      <c r="AM20" s="1061" t="str">
        <f t="shared" si="5"/>
        <v/>
      </c>
      <c r="AN20" s="1061"/>
      <c r="AO20" s="1061"/>
      <c r="AP20" s="1061"/>
      <c r="AQ20" s="1061"/>
      <c r="AR20" s="567"/>
      <c r="AS20" s="601"/>
      <c r="AT20" s="565" t="str">
        <f t="shared" si="15"/>
        <v/>
      </c>
      <c r="AU20" s="5">
        <v>15</v>
      </c>
      <c r="AV20" s="1061" t="str">
        <f t="shared" si="6"/>
        <v/>
      </c>
      <c r="AW20" s="1061"/>
      <c r="AX20" s="1061"/>
      <c r="AY20" s="1061"/>
      <c r="AZ20" s="1061"/>
      <c r="BA20" s="567"/>
      <c r="BB20" s="601"/>
      <c r="BC20" s="565" t="str">
        <f t="shared" si="16"/>
        <v/>
      </c>
      <c r="BD20" s="5">
        <v>15</v>
      </c>
      <c r="BE20" s="1061" t="str">
        <f t="shared" si="7"/>
        <v/>
      </c>
      <c r="BF20" s="1061"/>
      <c r="BG20" s="1061"/>
      <c r="BH20" s="1061"/>
      <c r="BI20" s="1061"/>
      <c r="BJ20" s="567"/>
      <c r="BK20" s="601"/>
      <c r="BL20" s="565" t="str">
        <f t="shared" si="17"/>
        <v/>
      </c>
      <c r="BM20" s="5">
        <v>15</v>
      </c>
      <c r="BN20" s="1061" t="str">
        <f t="shared" si="8"/>
        <v/>
      </c>
      <c r="BO20" s="1061"/>
      <c r="BP20" s="1061"/>
      <c r="BQ20" s="1061"/>
      <c r="BR20" s="1061"/>
      <c r="BS20" s="567"/>
      <c r="BT20" s="601"/>
      <c r="BU20" s="565" t="str">
        <f t="shared" si="18"/>
        <v/>
      </c>
      <c r="BV20" s="5">
        <v>15</v>
      </c>
      <c r="BW20" s="1061" t="str">
        <f t="shared" si="9"/>
        <v/>
      </c>
      <c r="BX20" s="1061"/>
      <c r="BY20" s="1061"/>
      <c r="BZ20" s="1061"/>
      <c r="CA20" s="1061"/>
      <c r="CB20" s="567"/>
      <c r="CC20" s="565" t="str">
        <f t="shared" si="19"/>
        <v/>
      </c>
      <c r="CD20" s="565"/>
      <c r="CE20" s="565"/>
      <c r="CF20" s="565"/>
      <c r="CG20" s="565"/>
      <c r="CH20" s="565"/>
      <c r="CI20" s="565">
        <v>15</v>
      </c>
      <c r="CJ20" s="565">
        <f>Character_Creation!X355</f>
        <v>0</v>
      </c>
      <c r="CK20" s="565" t="str">
        <f>Character_Creation!AB355</f>
        <v/>
      </c>
      <c r="CL20" s="565">
        <f t="shared" si="20"/>
        <v>0</v>
      </c>
      <c r="CM20" s="565">
        <f>IF(CL20=0,0,1+COUNTIF(CM$6:CM19,"&gt;0"))</f>
        <v>0</v>
      </c>
      <c r="CN20" s="565">
        <f t="shared" si="21"/>
        <v>0</v>
      </c>
      <c r="CO20" s="565">
        <f>IF(CN20=0,0,1+COUNTIF(CO$6:CO19,"&gt;0"))</f>
        <v>0</v>
      </c>
      <c r="CP20" s="565">
        <f t="shared" si="22"/>
        <v>0</v>
      </c>
      <c r="CQ20" s="565">
        <f>IF(CP20=0,0,1+COUNTIF(CQ$6:CQ19,"&gt;0"))</f>
        <v>0</v>
      </c>
      <c r="CR20" s="565">
        <f t="shared" si="23"/>
        <v>0</v>
      </c>
      <c r="CS20" s="565">
        <f>IF(CR20=0,0,1+COUNTIF(CS$6:CS19,"&gt;0"))</f>
        <v>0</v>
      </c>
      <c r="CT20" s="565">
        <f t="shared" si="24"/>
        <v>0</v>
      </c>
      <c r="CU20" s="565">
        <f>IF(CT20=0,0,1+COUNTIF(CU$6:CU19,"&gt;0"))</f>
        <v>0</v>
      </c>
      <c r="CV20" s="565">
        <f t="shared" si="25"/>
        <v>0</v>
      </c>
      <c r="CW20" s="565">
        <f>IF(CV20=0,0,1+COUNTIF(CW$6:CW19,"&gt;0"))</f>
        <v>0</v>
      </c>
      <c r="CX20" s="565">
        <f t="shared" si="26"/>
        <v>0</v>
      </c>
      <c r="CY20" s="565">
        <f>IF(CX20=0,0,1+COUNTIF(CY$6:CY19,"&gt;0"))</f>
        <v>0</v>
      </c>
      <c r="CZ20" s="565">
        <f t="shared" si="27"/>
        <v>0</v>
      </c>
      <c r="DA20" s="565">
        <f>IF(CZ20=0,0,1+COUNTIF(DA$6:DA19,"&gt;0"))</f>
        <v>0</v>
      </c>
      <c r="DB20" s="565">
        <f t="shared" si="28"/>
        <v>0</v>
      </c>
      <c r="DC20" s="565">
        <f>IF(DB20=0,0,1+COUNTIF(DC$6:DC19,"&gt;0"))</f>
        <v>0</v>
      </c>
      <c r="DD20" s="565"/>
      <c r="DE20" s="565"/>
      <c r="DF20" s="565"/>
    </row>
    <row r="21" spans="1:110" ht="21" x14ac:dyDescent="0.25">
      <c r="A21" s="120"/>
      <c r="B21" s="5">
        <v>16</v>
      </c>
      <c r="C21" s="1061" t="str">
        <f t="shared" si="0"/>
        <v/>
      </c>
      <c r="D21" s="1061"/>
      <c r="E21" s="1061"/>
      <c r="F21" s="1061"/>
      <c r="G21" s="1061"/>
      <c r="H21" s="567"/>
      <c r="I21" s="565"/>
      <c r="J21" s="565" t="str">
        <f t="shared" si="11"/>
        <v/>
      </c>
      <c r="K21" s="5">
        <v>16</v>
      </c>
      <c r="L21" s="1061" t="str">
        <f t="shared" si="1"/>
        <v/>
      </c>
      <c r="M21" s="1061"/>
      <c r="N21" s="1061"/>
      <c r="O21" s="1061"/>
      <c r="P21" s="1061"/>
      <c r="Q21" s="567"/>
      <c r="R21" s="601"/>
      <c r="S21" s="565" t="str">
        <f t="shared" si="12"/>
        <v/>
      </c>
      <c r="T21" s="5">
        <v>16</v>
      </c>
      <c r="U21" s="1061" t="str">
        <f t="shared" si="2"/>
        <v/>
      </c>
      <c r="V21" s="1061"/>
      <c r="W21" s="1061"/>
      <c r="X21" s="1061"/>
      <c r="Y21" s="1061"/>
      <c r="Z21" s="567" t="str">
        <f t="shared" si="3"/>
        <v/>
      </c>
      <c r="AA21" s="601"/>
      <c r="AB21" s="565" t="str">
        <f t="shared" si="13"/>
        <v/>
      </c>
      <c r="AC21" s="5">
        <v>16</v>
      </c>
      <c r="AD21" s="1061" t="str">
        <f t="shared" si="4"/>
        <v/>
      </c>
      <c r="AE21" s="1061"/>
      <c r="AF21" s="1061"/>
      <c r="AG21" s="1061"/>
      <c r="AH21" s="1061"/>
      <c r="AI21" s="567" t="s">
        <v>3034</v>
      </c>
      <c r="AJ21" s="601"/>
      <c r="AK21" s="565" t="str">
        <f t="shared" si="14"/>
        <v/>
      </c>
      <c r="AL21" s="5">
        <v>16</v>
      </c>
      <c r="AM21" s="1061" t="str">
        <f t="shared" si="5"/>
        <v/>
      </c>
      <c r="AN21" s="1061"/>
      <c r="AO21" s="1061"/>
      <c r="AP21" s="1061"/>
      <c r="AQ21" s="1061"/>
      <c r="AR21" s="567"/>
      <c r="AS21" s="601"/>
      <c r="AT21" s="565" t="str">
        <f t="shared" si="15"/>
        <v/>
      </c>
      <c r="AU21" s="5">
        <v>16</v>
      </c>
      <c r="AV21" s="1061" t="str">
        <f t="shared" si="6"/>
        <v/>
      </c>
      <c r="AW21" s="1061"/>
      <c r="AX21" s="1061"/>
      <c r="AY21" s="1061"/>
      <c r="AZ21" s="1061"/>
      <c r="BA21" s="567"/>
      <c r="BB21" s="601"/>
      <c r="BC21" s="565" t="str">
        <f t="shared" si="16"/>
        <v/>
      </c>
      <c r="BD21" s="5">
        <v>16</v>
      </c>
      <c r="BE21" s="1061" t="str">
        <f t="shared" si="7"/>
        <v/>
      </c>
      <c r="BF21" s="1061"/>
      <c r="BG21" s="1061"/>
      <c r="BH21" s="1061"/>
      <c r="BI21" s="1061"/>
      <c r="BJ21" s="567"/>
      <c r="BK21" s="601"/>
      <c r="BL21" s="565" t="str">
        <f t="shared" si="17"/>
        <v/>
      </c>
      <c r="BM21" s="5">
        <v>16</v>
      </c>
      <c r="BN21" s="1061" t="str">
        <f t="shared" si="8"/>
        <v/>
      </c>
      <c r="BO21" s="1061"/>
      <c r="BP21" s="1061"/>
      <c r="BQ21" s="1061"/>
      <c r="BR21" s="1061"/>
      <c r="BS21" s="567"/>
      <c r="BT21" s="601"/>
      <c r="BU21" s="565" t="str">
        <f t="shared" si="18"/>
        <v/>
      </c>
      <c r="BV21" s="5">
        <v>16</v>
      </c>
      <c r="BW21" s="1061" t="str">
        <f t="shared" si="9"/>
        <v/>
      </c>
      <c r="BX21" s="1061"/>
      <c r="BY21" s="1061"/>
      <c r="BZ21" s="1061"/>
      <c r="CA21" s="1061"/>
      <c r="CB21" s="567"/>
      <c r="CC21" s="565" t="str">
        <f t="shared" si="19"/>
        <v/>
      </c>
      <c r="CD21" s="565"/>
      <c r="CE21" s="565"/>
      <c r="CF21" s="565"/>
      <c r="CG21" s="565"/>
      <c r="CH21" s="565"/>
      <c r="CI21" s="565">
        <v>16</v>
      </c>
      <c r="CJ21" s="565">
        <f>Character_Creation!X356</f>
        <v>0</v>
      </c>
      <c r="CK21" s="565" t="str">
        <f>Character_Creation!AB356</f>
        <v/>
      </c>
      <c r="CL21" s="565">
        <f t="shared" si="20"/>
        <v>0</v>
      </c>
      <c r="CM21" s="565">
        <f>IF(CL21=0,0,1+COUNTIF(CM$6:CM20,"&gt;0"))</f>
        <v>0</v>
      </c>
      <c r="CN21" s="565">
        <f t="shared" si="21"/>
        <v>0</v>
      </c>
      <c r="CO21" s="565">
        <f>IF(CN21=0,0,1+COUNTIF(CO$6:CO20,"&gt;0"))</f>
        <v>0</v>
      </c>
      <c r="CP21" s="565">
        <f t="shared" si="22"/>
        <v>0</v>
      </c>
      <c r="CQ21" s="565">
        <f>IF(CP21=0,0,1+COUNTIF(CQ$6:CQ20,"&gt;0"))</f>
        <v>0</v>
      </c>
      <c r="CR21" s="565">
        <f t="shared" si="23"/>
        <v>0</v>
      </c>
      <c r="CS21" s="565">
        <f>IF(CR21=0,0,1+COUNTIF(CS$6:CS20,"&gt;0"))</f>
        <v>0</v>
      </c>
      <c r="CT21" s="565">
        <f t="shared" si="24"/>
        <v>0</v>
      </c>
      <c r="CU21" s="565">
        <f>IF(CT21=0,0,1+COUNTIF(CU$6:CU20,"&gt;0"))</f>
        <v>0</v>
      </c>
      <c r="CV21" s="565">
        <f t="shared" si="25"/>
        <v>0</v>
      </c>
      <c r="CW21" s="565">
        <f>IF(CV21=0,0,1+COUNTIF(CW$6:CW20,"&gt;0"))</f>
        <v>0</v>
      </c>
      <c r="CX21" s="565">
        <f t="shared" si="26"/>
        <v>0</v>
      </c>
      <c r="CY21" s="565">
        <f>IF(CX21=0,0,1+COUNTIF(CY$6:CY20,"&gt;0"))</f>
        <v>0</v>
      </c>
      <c r="CZ21" s="565">
        <f t="shared" si="27"/>
        <v>0</v>
      </c>
      <c r="DA21" s="565">
        <f>IF(CZ21=0,0,1+COUNTIF(DA$6:DA20,"&gt;0"))</f>
        <v>0</v>
      </c>
      <c r="DB21" s="565">
        <f t="shared" si="28"/>
        <v>0</v>
      </c>
      <c r="DC21" s="565">
        <f>IF(DB21=0,0,1+COUNTIF(DC$6:DC20,"&gt;0"))</f>
        <v>0</v>
      </c>
      <c r="DD21" s="565"/>
      <c r="DE21" s="565"/>
      <c r="DF21" s="565"/>
    </row>
    <row r="22" spans="1:110" ht="21" x14ac:dyDescent="0.25">
      <c r="A22" s="120"/>
      <c r="B22" s="5">
        <v>17</v>
      </c>
      <c r="C22" s="1061" t="str">
        <f t="shared" si="0"/>
        <v/>
      </c>
      <c r="D22" s="1061"/>
      <c r="E22" s="1061"/>
      <c r="F22" s="1061"/>
      <c r="G22" s="1061"/>
      <c r="H22" s="567"/>
      <c r="I22" s="565"/>
      <c r="J22" s="565" t="str">
        <f t="shared" si="11"/>
        <v/>
      </c>
      <c r="K22" s="5">
        <v>17</v>
      </c>
      <c r="L22" s="1061" t="str">
        <f t="shared" si="1"/>
        <v/>
      </c>
      <c r="M22" s="1061"/>
      <c r="N22" s="1061"/>
      <c r="O22" s="1061"/>
      <c r="P22" s="1061"/>
      <c r="Q22" s="567"/>
      <c r="R22" s="601"/>
      <c r="S22" s="565" t="str">
        <f t="shared" si="12"/>
        <v/>
      </c>
      <c r="T22" s="5">
        <v>17</v>
      </c>
      <c r="U22" s="1061" t="str">
        <f t="shared" si="2"/>
        <v/>
      </c>
      <c r="V22" s="1061"/>
      <c r="W22" s="1061"/>
      <c r="X22" s="1061"/>
      <c r="Y22" s="1061"/>
      <c r="Z22" s="567" t="str">
        <f t="shared" si="3"/>
        <v/>
      </c>
      <c r="AA22" s="601"/>
      <c r="AB22" s="565" t="str">
        <f t="shared" si="13"/>
        <v/>
      </c>
      <c r="AC22" s="5">
        <v>17</v>
      </c>
      <c r="AD22" s="1061" t="str">
        <f t="shared" si="4"/>
        <v/>
      </c>
      <c r="AE22" s="1061"/>
      <c r="AF22" s="1061"/>
      <c r="AG22" s="1061"/>
      <c r="AH22" s="1061"/>
      <c r="AI22" s="567" t="s">
        <v>3034</v>
      </c>
      <c r="AJ22" s="601"/>
      <c r="AK22" s="565" t="str">
        <f t="shared" si="14"/>
        <v/>
      </c>
      <c r="AL22" s="5">
        <v>17</v>
      </c>
      <c r="AM22" s="1061" t="str">
        <f t="shared" si="5"/>
        <v/>
      </c>
      <c r="AN22" s="1061"/>
      <c r="AO22" s="1061"/>
      <c r="AP22" s="1061"/>
      <c r="AQ22" s="1061"/>
      <c r="AR22" s="567"/>
      <c r="AS22" s="601"/>
      <c r="AT22" s="565" t="str">
        <f t="shared" si="15"/>
        <v/>
      </c>
      <c r="AU22" s="5">
        <v>17</v>
      </c>
      <c r="AV22" s="1061" t="str">
        <f t="shared" si="6"/>
        <v/>
      </c>
      <c r="AW22" s="1061"/>
      <c r="AX22" s="1061"/>
      <c r="AY22" s="1061"/>
      <c r="AZ22" s="1061"/>
      <c r="BA22" s="567"/>
      <c r="BB22" s="601"/>
      <c r="BC22" s="565" t="str">
        <f t="shared" si="16"/>
        <v/>
      </c>
      <c r="BD22" s="5">
        <v>17</v>
      </c>
      <c r="BE22" s="1061" t="str">
        <f t="shared" si="7"/>
        <v/>
      </c>
      <c r="BF22" s="1061"/>
      <c r="BG22" s="1061"/>
      <c r="BH22" s="1061"/>
      <c r="BI22" s="1061"/>
      <c r="BJ22" s="567"/>
      <c r="BK22" s="601"/>
      <c r="BL22" s="565" t="str">
        <f t="shared" si="17"/>
        <v/>
      </c>
      <c r="BM22" s="5">
        <v>17</v>
      </c>
      <c r="BN22" s="1061" t="str">
        <f t="shared" si="8"/>
        <v/>
      </c>
      <c r="BO22" s="1061"/>
      <c r="BP22" s="1061"/>
      <c r="BQ22" s="1061"/>
      <c r="BR22" s="1061"/>
      <c r="BS22" s="567"/>
      <c r="BT22" s="601"/>
      <c r="BU22" s="565" t="str">
        <f t="shared" si="18"/>
        <v/>
      </c>
      <c r="BV22" s="5">
        <v>17</v>
      </c>
      <c r="BW22" s="1061" t="str">
        <f t="shared" si="9"/>
        <v/>
      </c>
      <c r="BX22" s="1061"/>
      <c r="BY22" s="1061"/>
      <c r="BZ22" s="1061"/>
      <c r="CA22" s="1061"/>
      <c r="CB22" s="567"/>
      <c r="CC22" s="565" t="str">
        <f t="shared" si="19"/>
        <v/>
      </c>
      <c r="CD22" s="565"/>
      <c r="CE22" s="565"/>
      <c r="CF22" s="565"/>
      <c r="CG22" s="565"/>
      <c r="CH22" s="565"/>
      <c r="CI22" s="565">
        <v>17</v>
      </c>
      <c r="CJ22" s="565">
        <f>Character_Creation!X357</f>
        <v>0</v>
      </c>
      <c r="CK22" s="565" t="str">
        <f>Character_Creation!AB357</f>
        <v/>
      </c>
      <c r="CL22" s="565">
        <f t="shared" si="20"/>
        <v>0</v>
      </c>
      <c r="CM22" s="565">
        <f>IF(CL22=0,0,1+COUNTIF(CM$6:CM21,"&gt;0"))</f>
        <v>0</v>
      </c>
      <c r="CN22" s="565">
        <f t="shared" si="21"/>
        <v>0</v>
      </c>
      <c r="CO22" s="565">
        <f>IF(CN22=0,0,1+COUNTIF(CO$6:CO21,"&gt;0"))</f>
        <v>0</v>
      </c>
      <c r="CP22" s="565">
        <f t="shared" si="22"/>
        <v>0</v>
      </c>
      <c r="CQ22" s="565">
        <f>IF(CP22=0,0,1+COUNTIF(CQ$6:CQ21,"&gt;0"))</f>
        <v>0</v>
      </c>
      <c r="CR22" s="565">
        <f t="shared" si="23"/>
        <v>0</v>
      </c>
      <c r="CS22" s="565">
        <f>IF(CR22=0,0,1+COUNTIF(CS$6:CS21,"&gt;0"))</f>
        <v>0</v>
      </c>
      <c r="CT22" s="565">
        <f t="shared" si="24"/>
        <v>0</v>
      </c>
      <c r="CU22" s="565">
        <f>IF(CT22=0,0,1+COUNTIF(CU$6:CU21,"&gt;0"))</f>
        <v>0</v>
      </c>
      <c r="CV22" s="565">
        <f t="shared" si="25"/>
        <v>0</v>
      </c>
      <c r="CW22" s="565">
        <f>IF(CV22=0,0,1+COUNTIF(CW$6:CW21,"&gt;0"))</f>
        <v>0</v>
      </c>
      <c r="CX22" s="565">
        <f t="shared" si="26"/>
        <v>0</v>
      </c>
      <c r="CY22" s="565">
        <f>IF(CX22=0,0,1+COUNTIF(CY$6:CY21,"&gt;0"))</f>
        <v>0</v>
      </c>
      <c r="CZ22" s="565">
        <f t="shared" si="27"/>
        <v>0</v>
      </c>
      <c r="DA22" s="565">
        <f>IF(CZ22=0,0,1+COUNTIF(DA$6:DA21,"&gt;0"))</f>
        <v>0</v>
      </c>
      <c r="DB22" s="565">
        <f t="shared" si="28"/>
        <v>0</v>
      </c>
      <c r="DC22" s="565">
        <f>IF(DB22=0,0,1+COUNTIF(DC$6:DC21,"&gt;0"))</f>
        <v>0</v>
      </c>
      <c r="DD22" s="565"/>
      <c r="DE22" s="565"/>
      <c r="DF22" s="565"/>
    </row>
    <row r="23" spans="1:110" ht="21" x14ac:dyDescent="0.25">
      <c r="A23" s="120"/>
      <c r="B23" s="5">
        <v>18</v>
      </c>
      <c r="C23" s="1061" t="str">
        <f t="shared" si="0"/>
        <v/>
      </c>
      <c r="D23" s="1061"/>
      <c r="E23" s="1061"/>
      <c r="F23" s="1061"/>
      <c r="G23" s="1061"/>
      <c r="H23" s="567"/>
      <c r="I23" s="565"/>
      <c r="J23" s="565" t="str">
        <f t="shared" si="11"/>
        <v/>
      </c>
      <c r="K23" s="5">
        <v>18</v>
      </c>
      <c r="L23" s="1061" t="str">
        <f t="shared" si="1"/>
        <v/>
      </c>
      <c r="M23" s="1061"/>
      <c r="N23" s="1061"/>
      <c r="O23" s="1061"/>
      <c r="P23" s="1061"/>
      <c r="Q23" s="567"/>
      <c r="R23" s="601"/>
      <c r="S23" s="565" t="str">
        <f t="shared" si="12"/>
        <v/>
      </c>
      <c r="T23" s="5">
        <v>18</v>
      </c>
      <c r="U23" s="1061" t="str">
        <f t="shared" si="2"/>
        <v/>
      </c>
      <c r="V23" s="1061"/>
      <c r="W23" s="1061"/>
      <c r="X23" s="1061"/>
      <c r="Y23" s="1061"/>
      <c r="Z23" s="567" t="str">
        <f t="shared" si="3"/>
        <v/>
      </c>
      <c r="AA23" s="601"/>
      <c r="AB23" s="565" t="str">
        <f t="shared" si="13"/>
        <v/>
      </c>
      <c r="AC23" s="5">
        <v>18</v>
      </c>
      <c r="AD23" s="1061" t="str">
        <f t="shared" si="4"/>
        <v/>
      </c>
      <c r="AE23" s="1061"/>
      <c r="AF23" s="1061"/>
      <c r="AG23" s="1061"/>
      <c r="AH23" s="1061"/>
      <c r="AI23" s="567" t="s">
        <v>3034</v>
      </c>
      <c r="AJ23" s="601"/>
      <c r="AK23" s="565" t="str">
        <f t="shared" si="14"/>
        <v/>
      </c>
      <c r="AL23" s="5">
        <v>18</v>
      </c>
      <c r="AM23" s="1061" t="str">
        <f t="shared" si="5"/>
        <v/>
      </c>
      <c r="AN23" s="1061"/>
      <c r="AO23" s="1061"/>
      <c r="AP23" s="1061"/>
      <c r="AQ23" s="1061"/>
      <c r="AR23" s="567"/>
      <c r="AS23" s="601"/>
      <c r="AT23" s="565" t="str">
        <f t="shared" si="15"/>
        <v/>
      </c>
      <c r="AU23" s="5">
        <v>18</v>
      </c>
      <c r="AV23" s="1061" t="str">
        <f t="shared" si="6"/>
        <v/>
      </c>
      <c r="AW23" s="1061"/>
      <c r="AX23" s="1061"/>
      <c r="AY23" s="1061"/>
      <c r="AZ23" s="1061"/>
      <c r="BA23" s="567"/>
      <c r="BB23" s="601"/>
      <c r="BC23" s="565" t="str">
        <f t="shared" si="16"/>
        <v/>
      </c>
      <c r="BD23" s="5">
        <v>18</v>
      </c>
      <c r="BE23" s="1061" t="str">
        <f t="shared" si="7"/>
        <v/>
      </c>
      <c r="BF23" s="1061"/>
      <c r="BG23" s="1061"/>
      <c r="BH23" s="1061"/>
      <c r="BI23" s="1061"/>
      <c r="BJ23" s="567"/>
      <c r="BK23" s="601"/>
      <c r="BL23" s="565" t="str">
        <f t="shared" si="17"/>
        <v/>
      </c>
      <c r="BM23" s="5">
        <v>18</v>
      </c>
      <c r="BN23" s="1061" t="str">
        <f t="shared" si="8"/>
        <v/>
      </c>
      <c r="BO23" s="1061"/>
      <c r="BP23" s="1061"/>
      <c r="BQ23" s="1061"/>
      <c r="BR23" s="1061"/>
      <c r="BS23" s="567"/>
      <c r="BT23" s="601"/>
      <c r="BU23" s="565" t="str">
        <f t="shared" si="18"/>
        <v/>
      </c>
      <c r="BV23" s="5">
        <v>18</v>
      </c>
      <c r="BW23" s="1061" t="str">
        <f t="shared" si="9"/>
        <v/>
      </c>
      <c r="BX23" s="1061"/>
      <c r="BY23" s="1061"/>
      <c r="BZ23" s="1061"/>
      <c r="CA23" s="1061"/>
      <c r="CB23" s="567"/>
      <c r="CC23" s="565" t="str">
        <f t="shared" si="19"/>
        <v/>
      </c>
      <c r="CD23" s="565"/>
      <c r="CE23" s="565"/>
      <c r="CF23" s="565"/>
      <c r="CG23" s="565"/>
      <c r="CH23" s="565"/>
      <c r="CI23" s="565">
        <v>18</v>
      </c>
      <c r="CJ23" s="565">
        <f>Character_Creation!X358</f>
        <v>0</v>
      </c>
      <c r="CK23" s="565" t="str">
        <f>Character_Creation!AB358</f>
        <v/>
      </c>
      <c r="CL23" s="565">
        <f t="shared" si="20"/>
        <v>0</v>
      </c>
      <c r="CM23" s="565">
        <f>IF(CL23=0,0,1+COUNTIF(CM$6:CM22,"&gt;0"))</f>
        <v>0</v>
      </c>
      <c r="CN23" s="565">
        <f t="shared" si="21"/>
        <v>0</v>
      </c>
      <c r="CO23" s="565">
        <f>IF(CN23=0,0,1+COUNTIF(CO$6:CO22,"&gt;0"))</f>
        <v>0</v>
      </c>
      <c r="CP23" s="565">
        <f t="shared" si="22"/>
        <v>0</v>
      </c>
      <c r="CQ23" s="565">
        <f>IF(CP23=0,0,1+COUNTIF(CQ$6:CQ22,"&gt;0"))</f>
        <v>0</v>
      </c>
      <c r="CR23" s="565">
        <f t="shared" si="23"/>
        <v>0</v>
      </c>
      <c r="CS23" s="565">
        <f>IF(CR23=0,0,1+COUNTIF(CS$6:CS22,"&gt;0"))</f>
        <v>0</v>
      </c>
      <c r="CT23" s="565">
        <f t="shared" si="24"/>
        <v>0</v>
      </c>
      <c r="CU23" s="565">
        <f>IF(CT23=0,0,1+COUNTIF(CU$6:CU22,"&gt;0"))</f>
        <v>0</v>
      </c>
      <c r="CV23" s="565">
        <f t="shared" si="25"/>
        <v>0</v>
      </c>
      <c r="CW23" s="565">
        <f>IF(CV23=0,0,1+COUNTIF(CW$6:CW22,"&gt;0"))</f>
        <v>0</v>
      </c>
      <c r="CX23" s="565">
        <f t="shared" si="26"/>
        <v>0</v>
      </c>
      <c r="CY23" s="565">
        <f>IF(CX23=0,0,1+COUNTIF(CY$6:CY22,"&gt;0"))</f>
        <v>0</v>
      </c>
      <c r="CZ23" s="565">
        <f t="shared" si="27"/>
        <v>0</v>
      </c>
      <c r="DA23" s="565">
        <f>IF(CZ23=0,0,1+COUNTIF(DA$6:DA22,"&gt;0"))</f>
        <v>0</v>
      </c>
      <c r="DB23" s="565">
        <f t="shared" si="28"/>
        <v>0</v>
      </c>
      <c r="DC23" s="565">
        <f>IF(DB23=0,0,1+COUNTIF(DC$6:DC22,"&gt;0"))</f>
        <v>0</v>
      </c>
      <c r="DD23" s="565"/>
      <c r="DE23" s="565"/>
      <c r="DF23" s="565"/>
    </row>
    <row r="24" spans="1:110" ht="21" x14ac:dyDescent="0.25">
      <c r="A24" s="120"/>
      <c r="B24" s="5">
        <v>19</v>
      </c>
      <c r="C24" s="1061" t="str">
        <f t="shared" si="0"/>
        <v/>
      </c>
      <c r="D24" s="1061"/>
      <c r="E24" s="1061"/>
      <c r="F24" s="1061"/>
      <c r="G24" s="1061"/>
      <c r="H24" s="567"/>
      <c r="I24" s="565"/>
      <c r="J24" s="565" t="str">
        <f t="shared" si="11"/>
        <v/>
      </c>
      <c r="K24" s="5">
        <v>19</v>
      </c>
      <c r="L24" s="1061" t="str">
        <f t="shared" si="1"/>
        <v/>
      </c>
      <c r="M24" s="1061"/>
      <c r="N24" s="1061"/>
      <c r="O24" s="1061"/>
      <c r="P24" s="1061"/>
      <c r="Q24" s="567"/>
      <c r="R24" s="601"/>
      <c r="S24" s="565" t="str">
        <f t="shared" si="12"/>
        <v/>
      </c>
      <c r="T24" s="5">
        <v>19</v>
      </c>
      <c r="U24" s="1061" t="str">
        <f t="shared" si="2"/>
        <v/>
      </c>
      <c r="V24" s="1061"/>
      <c r="W24" s="1061"/>
      <c r="X24" s="1061"/>
      <c r="Y24" s="1061"/>
      <c r="Z24" s="567" t="str">
        <f t="shared" si="3"/>
        <v/>
      </c>
      <c r="AA24" s="601"/>
      <c r="AB24" s="565" t="str">
        <f t="shared" si="13"/>
        <v/>
      </c>
      <c r="AC24" s="5">
        <v>19</v>
      </c>
      <c r="AD24" s="1061" t="str">
        <f t="shared" si="4"/>
        <v/>
      </c>
      <c r="AE24" s="1061"/>
      <c r="AF24" s="1061"/>
      <c r="AG24" s="1061"/>
      <c r="AH24" s="1061"/>
      <c r="AI24" s="567" t="s">
        <v>3034</v>
      </c>
      <c r="AJ24" s="601"/>
      <c r="AK24" s="565" t="str">
        <f t="shared" si="14"/>
        <v/>
      </c>
      <c r="AL24" s="5">
        <v>19</v>
      </c>
      <c r="AM24" s="1061" t="str">
        <f t="shared" si="5"/>
        <v/>
      </c>
      <c r="AN24" s="1061"/>
      <c r="AO24" s="1061"/>
      <c r="AP24" s="1061"/>
      <c r="AQ24" s="1061"/>
      <c r="AR24" s="567"/>
      <c r="AS24" s="601"/>
      <c r="AT24" s="565" t="str">
        <f t="shared" si="15"/>
        <v/>
      </c>
      <c r="AU24" s="5">
        <v>19</v>
      </c>
      <c r="AV24" s="1061" t="str">
        <f t="shared" si="6"/>
        <v/>
      </c>
      <c r="AW24" s="1061"/>
      <c r="AX24" s="1061"/>
      <c r="AY24" s="1061"/>
      <c r="AZ24" s="1061"/>
      <c r="BA24" s="567"/>
      <c r="BB24" s="601"/>
      <c r="BC24" s="565" t="str">
        <f t="shared" si="16"/>
        <v/>
      </c>
      <c r="BD24" s="5">
        <v>19</v>
      </c>
      <c r="BE24" s="1061" t="str">
        <f t="shared" si="7"/>
        <v/>
      </c>
      <c r="BF24" s="1061"/>
      <c r="BG24" s="1061"/>
      <c r="BH24" s="1061"/>
      <c r="BI24" s="1061"/>
      <c r="BJ24" s="567"/>
      <c r="BK24" s="601"/>
      <c r="BL24" s="565" t="str">
        <f t="shared" si="17"/>
        <v/>
      </c>
      <c r="BM24" s="5">
        <v>19</v>
      </c>
      <c r="BN24" s="1061" t="str">
        <f t="shared" si="8"/>
        <v/>
      </c>
      <c r="BO24" s="1061"/>
      <c r="BP24" s="1061"/>
      <c r="BQ24" s="1061"/>
      <c r="BR24" s="1061"/>
      <c r="BS24" s="567"/>
      <c r="BT24" s="601"/>
      <c r="BU24" s="565" t="str">
        <f t="shared" si="18"/>
        <v/>
      </c>
      <c r="BV24" s="5">
        <v>19</v>
      </c>
      <c r="BW24" s="1061" t="str">
        <f t="shared" si="9"/>
        <v/>
      </c>
      <c r="BX24" s="1061"/>
      <c r="BY24" s="1061"/>
      <c r="BZ24" s="1061"/>
      <c r="CA24" s="1061"/>
      <c r="CB24" s="567"/>
      <c r="CC24" s="565" t="str">
        <f t="shared" si="19"/>
        <v/>
      </c>
      <c r="CD24" s="565"/>
      <c r="CE24" s="565"/>
      <c r="CF24" s="565"/>
      <c r="CG24" s="565"/>
      <c r="CH24" s="565"/>
      <c r="CI24" s="565">
        <v>19</v>
      </c>
      <c r="CJ24" s="565">
        <f>Character_Creation!X359</f>
        <v>0</v>
      </c>
      <c r="CK24" s="565" t="str">
        <f>Character_Creation!AB359</f>
        <v/>
      </c>
      <c r="CL24" s="565">
        <f t="shared" si="20"/>
        <v>0</v>
      </c>
      <c r="CM24" s="565">
        <f>IF(CL24=0,0,1+COUNTIF(CM$6:CM23,"&gt;0"))</f>
        <v>0</v>
      </c>
      <c r="CN24" s="565">
        <f t="shared" si="21"/>
        <v>0</v>
      </c>
      <c r="CO24" s="565">
        <f>IF(CN24=0,0,1+COUNTIF(CO$6:CO23,"&gt;0"))</f>
        <v>0</v>
      </c>
      <c r="CP24" s="565">
        <f t="shared" si="22"/>
        <v>0</v>
      </c>
      <c r="CQ24" s="565">
        <f>IF(CP24=0,0,1+COUNTIF(CQ$6:CQ23,"&gt;0"))</f>
        <v>0</v>
      </c>
      <c r="CR24" s="565">
        <f t="shared" si="23"/>
        <v>0</v>
      </c>
      <c r="CS24" s="565">
        <f>IF(CR24=0,0,1+COUNTIF(CS$6:CS23,"&gt;0"))</f>
        <v>0</v>
      </c>
      <c r="CT24" s="565">
        <f t="shared" si="24"/>
        <v>0</v>
      </c>
      <c r="CU24" s="565">
        <f>IF(CT24=0,0,1+COUNTIF(CU$6:CU23,"&gt;0"))</f>
        <v>0</v>
      </c>
      <c r="CV24" s="565">
        <f t="shared" si="25"/>
        <v>0</v>
      </c>
      <c r="CW24" s="565">
        <f>IF(CV24=0,0,1+COUNTIF(CW$6:CW23,"&gt;0"))</f>
        <v>0</v>
      </c>
      <c r="CX24" s="565">
        <f t="shared" si="26"/>
        <v>0</v>
      </c>
      <c r="CY24" s="565">
        <f>IF(CX24=0,0,1+COUNTIF(CY$6:CY23,"&gt;0"))</f>
        <v>0</v>
      </c>
      <c r="CZ24" s="565">
        <f t="shared" si="27"/>
        <v>0</v>
      </c>
      <c r="DA24" s="565">
        <f>IF(CZ24=0,0,1+COUNTIF(DA$6:DA23,"&gt;0"))</f>
        <v>0</v>
      </c>
      <c r="DB24" s="565">
        <f t="shared" si="28"/>
        <v>0</v>
      </c>
      <c r="DC24" s="565">
        <f>IF(DB24=0,0,1+COUNTIF(DC$6:DC23,"&gt;0"))</f>
        <v>0</v>
      </c>
      <c r="DD24" s="565"/>
      <c r="DE24" s="565"/>
      <c r="DF24" s="565"/>
    </row>
    <row r="25" spans="1:110" ht="21" x14ac:dyDescent="0.25">
      <c r="A25" s="120"/>
      <c r="B25" s="5">
        <v>20</v>
      </c>
      <c r="C25" s="1061" t="str">
        <f t="shared" si="0"/>
        <v/>
      </c>
      <c r="D25" s="1061"/>
      <c r="E25" s="1061"/>
      <c r="F25" s="1061"/>
      <c r="G25" s="1061"/>
      <c r="H25" s="567"/>
      <c r="I25" s="565"/>
      <c r="J25" s="565" t="str">
        <f t="shared" si="11"/>
        <v/>
      </c>
      <c r="K25" s="5">
        <v>20</v>
      </c>
      <c r="L25" s="1061" t="str">
        <f t="shared" si="1"/>
        <v/>
      </c>
      <c r="M25" s="1061"/>
      <c r="N25" s="1061"/>
      <c r="O25" s="1061"/>
      <c r="P25" s="1061"/>
      <c r="Q25" s="567"/>
      <c r="R25" s="601"/>
      <c r="S25" s="565" t="str">
        <f t="shared" si="12"/>
        <v/>
      </c>
      <c r="T25" s="5">
        <v>20</v>
      </c>
      <c r="U25" s="1061" t="str">
        <f t="shared" si="2"/>
        <v/>
      </c>
      <c r="V25" s="1061"/>
      <c r="W25" s="1061"/>
      <c r="X25" s="1061"/>
      <c r="Y25" s="1061"/>
      <c r="Z25" s="567" t="str">
        <f t="shared" si="3"/>
        <v/>
      </c>
      <c r="AA25" s="601"/>
      <c r="AB25" s="565" t="str">
        <f t="shared" si="13"/>
        <v/>
      </c>
      <c r="AC25" s="5">
        <v>20</v>
      </c>
      <c r="AD25" s="1061" t="str">
        <f t="shared" si="4"/>
        <v/>
      </c>
      <c r="AE25" s="1061"/>
      <c r="AF25" s="1061"/>
      <c r="AG25" s="1061"/>
      <c r="AH25" s="1061"/>
      <c r="AI25" s="567" t="s">
        <v>3034</v>
      </c>
      <c r="AJ25" s="601"/>
      <c r="AK25" s="565" t="str">
        <f t="shared" si="14"/>
        <v/>
      </c>
      <c r="AL25" s="5">
        <v>20</v>
      </c>
      <c r="AM25" s="1061" t="str">
        <f t="shared" si="5"/>
        <v/>
      </c>
      <c r="AN25" s="1061"/>
      <c r="AO25" s="1061"/>
      <c r="AP25" s="1061"/>
      <c r="AQ25" s="1061"/>
      <c r="AR25" s="567"/>
      <c r="AS25" s="601"/>
      <c r="AT25" s="565" t="str">
        <f t="shared" si="15"/>
        <v/>
      </c>
      <c r="AU25" s="5">
        <v>20</v>
      </c>
      <c r="AV25" s="1061" t="str">
        <f t="shared" si="6"/>
        <v/>
      </c>
      <c r="AW25" s="1061"/>
      <c r="AX25" s="1061"/>
      <c r="AY25" s="1061"/>
      <c r="AZ25" s="1061"/>
      <c r="BA25" s="567"/>
      <c r="BB25" s="601"/>
      <c r="BC25" s="565" t="str">
        <f t="shared" si="16"/>
        <v/>
      </c>
      <c r="BD25" s="5">
        <v>20</v>
      </c>
      <c r="BE25" s="1061" t="str">
        <f t="shared" si="7"/>
        <v/>
      </c>
      <c r="BF25" s="1061"/>
      <c r="BG25" s="1061"/>
      <c r="BH25" s="1061"/>
      <c r="BI25" s="1061"/>
      <c r="BJ25" s="567"/>
      <c r="BK25" s="601"/>
      <c r="BL25" s="565" t="str">
        <f t="shared" si="17"/>
        <v/>
      </c>
      <c r="BM25" s="5">
        <v>20</v>
      </c>
      <c r="BN25" s="1061" t="str">
        <f t="shared" si="8"/>
        <v/>
      </c>
      <c r="BO25" s="1061"/>
      <c r="BP25" s="1061"/>
      <c r="BQ25" s="1061"/>
      <c r="BR25" s="1061"/>
      <c r="BS25" s="567"/>
      <c r="BT25" s="601"/>
      <c r="BU25" s="565" t="str">
        <f t="shared" si="18"/>
        <v/>
      </c>
      <c r="BV25" s="5">
        <v>20</v>
      </c>
      <c r="BW25" s="1061" t="str">
        <f t="shared" si="9"/>
        <v/>
      </c>
      <c r="BX25" s="1061"/>
      <c r="BY25" s="1061"/>
      <c r="BZ25" s="1061"/>
      <c r="CA25" s="1061"/>
      <c r="CB25" s="567"/>
      <c r="CC25" s="565" t="str">
        <f t="shared" si="19"/>
        <v/>
      </c>
      <c r="CD25" s="565"/>
      <c r="CE25" s="565"/>
      <c r="CF25" s="565"/>
      <c r="CG25" s="565"/>
      <c r="CH25" s="565"/>
      <c r="CI25" s="565">
        <v>20</v>
      </c>
      <c r="CJ25" s="565">
        <f>Character_Creation!X360</f>
        <v>0</v>
      </c>
      <c r="CK25" s="565" t="str">
        <f>Character_Creation!AB360</f>
        <v/>
      </c>
      <c r="CL25" s="565">
        <f t="shared" si="20"/>
        <v>0</v>
      </c>
      <c r="CM25" s="565">
        <f>IF(CL25=0,0,1+COUNTIF(CM$6:CM24,"&gt;0"))</f>
        <v>0</v>
      </c>
      <c r="CN25" s="565">
        <f t="shared" si="21"/>
        <v>0</v>
      </c>
      <c r="CO25" s="565">
        <f>IF(CN25=0,0,1+COUNTIF(CO$6:CO24,"&gt;0"))</f>
        <v>0</v>
      </c>
      <c r="CP25" s="565">
        <f t="shared" si="22"/>
        <v>0</v>
      </c>
      <c r="CQ25" s="565">
        <f>IF(CP25=0,0,1+COUNTIF(CQ$6:CQ24,"&gt;0"))</f>
        <v>0</v>
      </c>
      <c r="CR25" s="565">
        <f t="shared" si="23"/>
        <v>0</v>
      </c>
      <c r="CS25" s="565">
        <f>IF(CR25=0,0,1+COUNTIF(CS$6:CS24,"&gt;0"))</f>
        <v>0</v>
      </c>
      <c r="CT25" s="565">
        <f t="shared" si="24"/>
        <v>0</v>
      </c>
      <c r="CU25" s="565">
        <f>IF(CT25=0,0,1+COUNTIF(CU$6:CU24,"&gt;0"))</f>
        <v>0</v>
      </c>
      <c r="CV25" s="565">
        <f t="shared" si="25"/>
        <v>0</v>
      </c>
      <c r="CW25" s="565">
        <f>IF(CV25=0,0,1+COUNTIF(CW$6:CW24,"&gt;0"))</f>
        <v>0</v>
      </c>
      <c r="CX25" s="565">
        <f t="shared" si="26"/>
        <v>0</v>
      </c>
      <c r="CY25" s="565">
        <f>IF(CX25=0,0,1+COUNTIF(CY$6:CY24,"&gt;0"))</f>
        <v>0</v>
      </c>
      <c r="CZ25" s="565">
        <f t="shared" si="27"/>
        <v>0</v>
      </c>
      <c r="DA25" s="565">
        <f>IF(CZ25=0,0,1+COUNTIF(DA$6:DA24,"&gt;0"))</f>
        <v>0</v>
      </c>
      <c r="DB25" s="565">
        <f t="shared" si="28"/>
        <v>0</v>
      </c>
      <c r="DC25" s="565">
        <f>IF(DB25=0,0,1+COUNTIF(DC$6:DC24,"&gt;0"))</f>
        <v>0</v>
      </c>
      <c r="DD25" s="565"/>
      <c r="DE25" s="565"/>
      <c r="DF25" s="565"/>
    </row>
    <row r="26" spans="1:110" ht="21" x14ac:dyDescent="0.25">
      <c r="A26" s="120"/>
      <c r="B26" s="5">
        <v>21</v>
      </c>
      <c r="C26" s="1061" t="str">
        <f t="shared" si="0"/>
        <v/>
      </c>
      <c r="D26" s="1061"/>
      <c r="E26" s="1061"/>
      <c r="F26" s="1061"/>
      <c r="G26" s="1061"/>
      <c r="H26" s="567"/>
      <c r="I26" s="565"/>
      <c r="J26" s="565" t="str">
        <f t="shared" si="11"/>
        <v/>
      </c>
      <c r="K26" s="5">
        <v>21</v>
      </c>
      <c r="L26" s="1061" t="str">
        <f t="shared" si="1"/>
        <v/>
      </c>
      <c r="M26" s="1061"/>
      <c r="N26" s="1061"/>
      <c r="O26" s="1061"/>
      <c r="P26" s="1061"/>
      <c r="Q26" s="567"/>
      <c r="R26" s="601"/>
      <c r="S26" s="565" t="str">
        <f t="shared" si="12"/>
        <v/>
      </c>
      <c r="T26" s="5">
        <v>21</v>
      </c>
      <c r="U26" s="1061" t="str">
        <f t="shared" si="2"/>
        <v/>
      </c>
      <c r="V26" s="1061"/>
      <c r="W26" s="1061"/>
      <c r="X26" s="1061"/>
      <c r="Y26" s="1061"/>
      <c r="Z26" s="567" t="str">
        <f t="shared" si="3"/>
        <v/>
      </c>
      <c r="AA26" s="601"/>
      <c r="AB26" s="565" t="str">
        <f t="shared" si="13"/>
        <v/>
      </c>
      <c r="AC26" s="5">
        <v>21</v>
      </c>
      <c r="AD26" s="1061" t="str">
        <f t="shared" si="4"/>
        <v/>
      </c>
      <c r="AE26" s="1061"/>
      <c r="AF26" s="1061"/>
      <c r="AG26" s="1061"/>
      <c r="AH26" s="1061"/>
      <c r="AI26" s="567" t="s">
        <v>3034</v>
      </c>
      <c r="AJ26" s="601"/>
      <c r="AK26" s="565" t="str">
        <f t="shared" si="14"/>
        <v/>
      </c>
      <c r="AL26" s="5">
        <v>21</v>
      </c>
      <c r="AM26" s="1061" t="str">
        <f t="shared" si="5"/>
        <v/>
      </c>
      <c r="AN26" s="1061"/>
      <c r="AO26" s="1061"/>
      <c r="AP26" s="1061"/>
      <c r="AQ26" s="1061"/>
      <c r="AR26" s="567"/>
      <c r="AS26" s="601"/>
      <c r="AT26" s="565" t="str">
        <f t="shared" si="15"/>
        <v/>
      </c>
      <c r="AU26" s="5">
        <v>21</v>
      </c>
      <c r="AV26" s="1061" t="str">
        <f t="shared" si="6"/>
        <v/>
      </c>
      <c r="AW26" s="1061"/>
      <c r="AX26" s="1061"/>
      <c r="AY26" s="1061"/>
      <c r="AZ26" s="1061"/>
      <c r="BA26" s="567"/>
      <c r="BB26" s="601"/>
      <c r="BC26" s="565" t="str">
        <f t="shared" si="16"/>
        <v/>
      </c>
      <c r="BD26" s="5">
        <v>21</v>
      </c>
      <c r="BE26" s="1061" t="str">
        <f t="shared" si="7"/>
        <v/>
      </c>
      <c r="BF26" s="1061"/>
      <c r="BG26" s="1061"/>
      <c r="BH26" s="1061"/>
      <c r="BI26" s="1061"/>
      <c r="BJ26" s="567"/>
      <c r="BK26" s="601"/>
      <c r="BL26" s="565" t="str">
        <f t="shared" si="17"/>
        <v/>
      </c>
      <c r="BM26" s="5">
        <v>21</v>
      </c>
      <c r="BN26" s="1061" t="str">
        <f t="shared" si="8"/>
        <v/>
      </c>
      <c r="BO26" s="1061"/>
      <c r="BP26" s="1061"/>
      <c r="BQ26" s="1061"/>
      <c r="BR26" s="1061"/>
      <c r="BS26" s="567"/>
      <c r="BT26" s="601"/>
      <c r="BU26" s="565" t="str">
        <f t="shared" si="18"/>
        <v/>
      </c>
      <c r="BV26" s="5">
        <v>21</v>
      </c>
      <c r="BW26" s="1061" t="str">
        <f t="shared" si="9"/>
        <v/>
      </c>
      <c r="BX26" s="1061"/>
      <c r="BY26" s="1061"/>
      <c r="BZ26" s="1061"/>
      <c r="CA26" s="1061"/>
      <c r="CB26" s="567"/>
      <c r="CC26" s="565" t="str">
        <f t="shared" si="19"/>
        <v/>
      </c>
      <c r="CD26" s="565"/>
      <c r="CE26" s="565"/>
      <c r="CF26" s="565"/>
      <c r="CG26" s="565"/>
      <c r="CH26" s="565"/>
      <c r="CI26" s="565">
        <v>21</v>
      </c>
      <c r="CJ26" s="565">
        <f>Character_Creation!X361</f>
        <v>0</v>
      </c>
      <c r="CK26" s="565" t="str">
        <f>Character_Creation!AB361</f>
        <v/>
      </c>
      <c r="CL26" s="565">
        <f t="shared" si="20"/>
        <v>0</v>
      </c>
      <c r="CM26" s="565">
        <f>IF(CL26=0,0,1+COUNTIF(CM$6:CM25,"&gt;0"))</f>
        <v>0</v>
      </c>
      <c r="CN26" s="565">
        <f t="shared" si="21"/>
        <v>0</v>
      </c>
      <c r="CO26" s="565">
        <f>IF(CN26=0,0,1+COUNTIF(CO$6:CO25,"&gt;0"))</f>
        <v>0</v>
      </c>
      <c r="CP26" s="565">
        <f t="shared" si="22"/>
        <v>0</v>
      </c>
      <c r="CQ26" s="565">
        <f>IF(CP26=0,0,1+COUNTIF(CQ$6:CQ25,"&gt;0"))</f>
        <v>0</v>
      </c>
      <c r="CR26" s="565">
        <f t="shared" si="23"/>
        <v>0</v>
      </c>
      <c r="CS26" s="565">
        <f>IF(CR26=0,0,1+COUNTIF(CS$6:CS25,"&gt;0"))</f>
        <v>0</v>
      </c>
      <c r="CT26" s="565">
        <f t="shared" si="24"/>
        <v>0</v>
      </c>
      <c r="CU26" s="565">
        <f>IF(CT26=0,0,1+COUNTIF(CU$6:CU25,"&gt;0"))</f>
        <v>0</v>
      </c>
      <c r="CV26" s="565">
        <f t="shared" si="25"/>
        <v>0</v>
      </c>
      <c r="CW26" s="565">
        <f>IF(CV26=0,0,1+COUNTIF(CW$6:CW25,"&gt;0"))</f>
        <v>0</v>
      </c>
      <c r="CX26" s="565">
        <f t="shared" si="26"/>
        <v>0</v>
      </c>
      <c r="CY26" s="565">
        <f>IF(CX26=0,0,1+COUNTIF(CY$6:CY25,"&gt;0"))</f>
        <v>0</v>
      </c>
      <c r="CZ26" s="565">
        <f t="shared" si="27"/>
        <v>0</v>
      </c>
      <c r="DA26" s="565">
        <f>IF(CZ26=0,0,1+COUNTIF(DA$6:DA25,"&gt;0"))</f>
        <v>0</v>
      </c>
      <c r="DB26" s="565">
        <f t="shared" si="28"/>
        <v>0</v>
      </c>
      <c r="DC26" s="565">
        <f>IF(DB26=0,0,1+COUNTIF(DC$6:DC25,"&gt;0"))</f>
        <v>0</v>
      </c>
      <c r="DD26" s="565"/>
      <c r="DE26" s="565"/>
      <c r="DF26" s="565"/>
    </row>
    <row r="27" spans="1:110" ht="21" x14ac:dyDescent="0.25">
      <c r="A27" s="120"/>
      <c r="B27" s="5">
        <v>22</v>
      </c>
      <c r="C27" s="1061" t="str">
        <f t="shared" si="0"/>
        <v/>
      </c>
      <c r="D27" s="1061"/>
      <c r="E27" s="1061"/>
      <c r="F27" s="1061"/>
      <c r="G27" s="1061"/>
      <c r="H27" s="567"/>
      <c r="I27" s="565"/>
      <c r="J27" s="565" t="str">
        <f t="shared" si="11"/>
        <v/>
      </c>
      <c r="K27" s="5">
        <v>22</v>
      </c>
      <c r="L27" s="1061" t="str">
        <f t="shared" si="1"/>
        <v/>
      </c>
      <c r="M27" s="1061"/>
      <c r="N27" s="1061"/>
      <c r="O27" s="1061"/>
      <c r="P27" s="1061"/>
      <c r="Q27" s="567"/>
      <c r="R27" s="601"/>
      <c r="S27" s="565" t="str">
        <f t="shared" si="12"/>
        <v/>
      </c>
      <c r="T27" s="5">
        <v>22</v>
      </c>
      <c r="U27" s="1061" t="str">
        <f t="shared" si="2"/>
        <v/>
      </c>
      <c r="V27" s="1061"/>
      <c r="W27" s="1061"/>
      <c r="X27" s="1061"/>
      <c r="Y27" s="1061"/>
      <c r="Z27" s="567" t="str">
        <f t="shared" si="3"/>
        <v/>
      </c>
      <c r="AA27" s="601"/>
      <c r="AB27" s="565" t="str">
        <f t="shared" si="13"/>
        <v/>
      </c>
      <c r="AC27" s="5">
        <v>22</v>
      </c>
      <c r="AD27" s="1061" t="str">
        <f t="shared" si="4"/>
        <v/>
      </c>
      <c r="AE27" s="1061"/>
      <c r="AF27" s="1061"/>
      <c r="AG27" s="1061"/>
      <c r="AH27" s="1061"/>
      <c r="AI27" s="567" t="s">
        <v>3034</v>
      </c>
      <c r="AJ27" s="601"/>
      <c r="AK27" s="565" t="str">
        <f t="shared" si="14"/>
        <v/>
      </c>
      <c r="AL27" s="5">
        <v>22</v>
      </c>
      <c r="AM27" s="1061" t="str">
        <f t="shared" si="5"/>
        <v/>
      </c>
      <c r="AN27" s="1061"/>
      <c r="AO27" s="1061"/>
      <c r="AP27" s="1061"/>
      <c r="AQ27" s="1061"/>
      <c r="AR27" s="567"/>
      <c r="AS27" s="601"/>
      <c r="AT27" s="565" t="str">
        <f t="shared" si="15"/>
        <v/>
      </c>
      <c r="AU27" s="5">
        <v>22</v>
      </c>
      <c r="AV27" s="1061" t="str">
        <f t="shared" si="6"/>
        <v/>
      </c>
      <c r="AW27" s="1061"/>
      <c r="AX27" s="1061"/>
      <c r="AY27" s="1061"/>
      <c r="AZ27" s="1061"/>
      <c r="BA27" s="567"/>
      <c r="BB27" s="601"/>
      <c r="BC27" s="565" t="str">
        <f t="shared" si="16"/>
        <v/>
      </c>
      <c r="BD27" s="5">
        <v>22</v>
      </c>
      <c r="BE27" s="1061" t="str">
        <f t="shared" si="7"/>
        <v/>
      </c>
      <c r="BF27" s="1061"/>
      <c r="BG27" s="1061"/>
      <c r="BH27" s="1061"/>
      <c r="BI27" s="1061"/>
      <c r="BJ27" s="567"/>
      <c r="BK27" s="601"/>
      <c r="BL27" s="565" t="str">
        <f t="shared" si="17"/>
        <v/>
      </c>
      <c r="BM27" s="5">
        <v>22</v>
      </c>
      <c r="BN27" s="1061" t="str">
        <f t="shared" si="8"/>
        <v/>
      </c>
      <c r="BO27" s="1061"/>
      <c r="BP27" s="1061"/>
      <c r="BQ27" s="1061"/>
      <c r="BR27" s="1061"/>
      <c r="BS27" s="567"/>
      <c r="BT27" s="601"/>
      <c r="BU27" s="565" t="str">
        <f t="shared" si="18"/>
        <v/>
      </c>
      <c r="BV27" s="5">
        <v>22</v>
      </c>
      <c r="BW27" s="1061" t="str">
        <f t="shared" si="9"/>
        <v/>
      </c>
      <c r="BX27" s="1061"/>
      <c r="BY27" s="1061"/>
      <c r="BZ27" s="1061"/>
      <c r="CA27" s="1061"/>
      <c r="CB27" s="567"/>
      <c r="CC27" s="565" t="str">
        <f t="shared" si="19"/>
        <v/>
      </c>
      <c r="CD27" s="565"/>
      <c r="CE27" s="565"/>
      <c r="CF27" s="565"/>
      <c r="CG27" s="565"/>
      <c r="CH27" s="565"/>
      <c r="CI27" s="565">
        <v>22</v>
      </c>
      <c r="CJ27" s="565">
        <f>Character_Creation!X362</f>
        <v>0</v>
      </c>
      <c r="CK27" s="565" t="str">
        <f>Character_Creation!AB362</f>
        <v/>
      </c>
      <c r="CL27" s="565">
        <f t="shared" si="20"/>
        <v>0</v>
      </c>
      <c r="CM27" s="565">
        <f>IF(CL27=0,0,1+COUNTIF(CM$6:CM26,"&gt;0"))</f>
        <v>0</v>
      </c>
      <c r="CN27" s="565">
        <f t="shared" si="21"/>
        <v>0</v>
      </c>
      <c r="CO27" s="565">
        <f>IF(CN27=0,0,1+COUNTIF(CO$6:CO26,"&gt;0"))</f>
        <v>0</v>
      </c>
      <c r="CP27" s="565">
        <f t="shared" si="22"/>
        <v>0</v>
      </c>
      <c r="CQ27" s="565">
        <f>IF(CP27=0,0,1+COUNTIF(CQ$6:CQ26,"&gt;0"))</f>
        <v>0</v>
      </c>
      <c r="CR27" s="565">
        <f t="shared" si="23"/>
        <v>0</v>
      </c>
      <c r="CS27" s="565">
        <f>IF(CR27=0,0,1+COUNTIF(CS$6:CS26,"&gt;0"))</f>
        <v>0</v>
      </c>
      <c r="CT27" s="565">
        <f t="shared" si="24"/>
        <v>0</v>
      </c>
      <c r="CU27" s="565">
        <f>IF(CT27=0,0,1+COUNTIF(CU$6:CU26,"&gt;0"))</f>
        <v>0</v>
      </c>
      <c r="CV27" s="565">
        <f t="shared" si="25"/>
        <v>0</v>
      </c>
      <c r="CW27" s="565">
        <f>IF(CV27=0,0,1+COUNTIF(CW$6:CW26,"&gt;0"))</f>
        <v>0</v>
      </c>
      <c r="CX27" s="565">
        <f t="shared" si="26"/>
        <v>0</v>
      </c>
      <c r="CY27" s="565">
        <f>IF(CX27=0,0,1+COUNTIF(CY$6:CY26,"&gt;0"))</f>
        <v>0</v>
      </c>
      <c r="CZ27" s="565">
        <f t="shared" si="27"/>
        <v>0</v>
      </c>
      <c r="DA27" s="565">
        <f>IF(CZ27=0,0,1+COUNTIF(DA$6:DA26,"&gt;0"))</f>
        <v>0</v>
      </c>
      <c r="DB27" s="565">
        <f t="shared" si="28"/>
        <v>0</v>
      </c>
      <c r="DC27" s="565">
        <f>IF(DB27=0,0,1+COUNTIF(DC$6:DC26,"&gt;0"))</f>
        <v>0</v>
      </c>
      <c r="DD27" s="565"/>
      <c r="DE27" s="565"/>
      <c r="DF27" s="565"/>
    </row>
    <row r="28" spans="1:110" ht="21" x14ac:dyDescent="0.25">
      <c r="A28" s="120"/>
      <c r="B28" s="5">
        <v>23</v>
      </c>
      <c r="C28" s="1061" t="str">
        <f t="shared" si="0"/>
        <v/>
      </c>
      <c r="D28" s="1061"/>
      <c r="E28" s="1061"/>
      <c r="F28" s="1061"/>
      <c r="G28" s="1061"/>
      <c r="H28" s="567"/>
      <c r="I28" s="565"/>
      <c r="J28" s="565" t="str">
        <f t="shared" si="11"/>
        <v/>
      </c>
      <c r="K28" s="5">
        <v>23</v>
      </c>
      <c r="L28" s="1061" t="str">
        <f t="shared" si="1"/>
        <v/>
      </c>
      <c r="M28" s="1061"/>
      <c r="N28" s="1061"/>
      <c r="O28" s="1061"/>
      <c r="P28" s="1061"/>
      <c r="Q28" s="567"/>
      <c r="R28" s="601"/>
      <c r="S28" s="565" t="str">
        <f t="shared" si="12"/>
        <v/>
      </c>
      <c r="T28" s="5">
        <v>23</v>
      </c>
      <c r="U28" s="1061" t="str">
        <f t="shared" si="2"/>
        <v/>
      </c>
      <c r="V28" s="1061"/>
      <c r="W28" s="1061"/>
      <c r="X28" s="1061"/>
      <c r="Y28" s="1061"/>
      <c r="Z28" s="567" t="str">
        <f t="shared" si="3"/>
        <v/>
      </c>
      <c r="AA28" s="601"/>
      <c r="AB28" s="565" t="str">
        <f t="shared" si="13"/>
        <v/>
      </c>
      <c r="AC28" s="5">
        <v>23</v>
      </c>
      <c r="AD28" s="1061" t="str">
        <f t="shared" si="4"/>
        <v/>
      </c>
      <c r="AE28" s="1061"/>
      <c r="AF28" s="1061"/>
      <c r="AG28" s="1061"/>
      <c r="AH28" s="1061"/>
      <c r="AI28" s="567" t="s">
        <v>3034</v>
      </c>
      <c r="AJ28" s="601"/>
      <c r="AK28" s="565" t="str">
        <f t="shared" si="14"/>
        <v/>
      </c>
      <c r="AL28" s="5">
        <v>23</v>
      </c>
      <c r="AM28" s="1061" t="str">
        <f t="shared" si="5"/>
        <v/>
      </c>
      <c r="AN28" s="1061"/>
      <c r="AO28" s="1061"/>
      <c r="AP28" s="1061"/>
      <c r="AQ28" s="1061"/>
      <c r="AR28" s="567"/>
      <c r="AS28" s="601"/>
      <c r="AT28" s="565" t="str">
        <f t="shared" si="15"/>
        <v/>
      </c>
      <c r="AU28" s="5">
        <v>23</v>
      </c>
      <c r="AV28" s="1061" t="str">
        <f t="shared" si="6"/>
        <v/>
      </c>
      <c r="AW28" s="1061"/>
      <c r="AX28" s="1061"/>
      <c r="AY28" s="1061"/>
      <c r="AZ28" s="1061"/>
      <c r="BA28" s="567"/>
      <c r="BB28" s="601"/>
      <c r="BC28" s="565" t="str">
        <f t="shared" si="16"/>
        <v/>
      </c>
      <c r="BD28" s="5">
        <v>23</v>
      </c>
      <c r="BE28" s="1061" t="str">
        <f t="shared" si="7"/>
        <v/>
      </c>
      <c r="BF28" s="1061"/>
      <c r="BG28" s="1061"/>
      <c r="BH28" s="1061"/>
      <c r="BI28" s="1061"/>
      <c r="BJ28" s="567"/>
      <c r="BK28" s="601"/>
      <c r="BL28" s="565" t="str">
        <f t="shared" si="17"/>
        <v/>
      </c>
      <c r="BM28" s="5">
        <v>23</v>
      </c>
      <c r="BN28" s="1061" t="str">
        <f t="shared" si="8"/>
        <v/>
      </c>
      <c r="BO28" s="1061"/>
      <c r="BP28" s="1061"/>
      <c r="BQ28" s="1061"/>
      <c r="BR28" s="1061"/>
      <c r="BS28" s="567"/>
      <c r="BT28" s="601"/>
      <c r="BU28" s="565" t="str">
        <f t="shared" si="18"/>
        <v/>
      </c>
      <c r="BV28" s="5">
        <v>23</v>
      </c>
      <c r="BW28" s="1061" t="str">
        <f t="shared" si="9"/>
        <v/>
      </c>
      <c r="BX28" s="1061"/>
      <c r="BY28" s="1061"/>
      <c r="BZ28" s="1061"/>
      <c r="CA28" s="1061"/>
      <c r="CB28" s="567"/>
      <c r="CC28" s="565" t="str">
        <f t="shared" si="19"/>
        <v/>
      </c>
      <c r="CD28" s="565"/>
      <c r="CE28" s="565"/>
      <c r="CF28" s="565"/>
      <c r="CG28" s="565"/>
      <c r="CH28" s="565"/>
      <c r="CI28" s="565">
        <v>23</v>
      </c>
      <c r="CJ28" s="565">
        <f>Character_Creation!X363</f>
        <v>0</v>
      </c>
      <c r="CK28" s="565" t="str">
        <f>Character_Creation!AB363</f>
        <v/>
      </c>
      <c r="CL28" s="565">
        <f t="shared" si="20"/>
        <v>0</v>
      </c>
      <c r="CM28" s="565">
        <f>IF(CL28=0,0,1+COUNTIF(CM$6:CM27,"&gt;0"))</f>
        <v>0</v>
      </c>
      <c r="CN28" s="565">
        <f t="shared" si="21"/>
        <v>0</v>
      </c>
      <c r="CO28" s="565">
        <f>IF(CN28=0,0,1+COUNTIF(CO$6:CO27,"&gt;0"))</f>
        <v>0</v>
      </c>
      <c r="CP28" s="565">
        <f t="shared" si="22"/>
        <v>0</v>
      </c>
      <c r="CQ28" s="565">
        <f>IF(CP28=0,0,1+COUNTIF(CQ$6:CQ27,"&gt;0"))</f>
        <v>0</v>
      </c>
      <c r="CR28" s="565">
        <f t="shared" si="23"/>
        <v>0</v>
      </c>
      <c r="CS28" s="565">
        <f>IF(CR28=0,0,1+COUNTIF(CS$6:CS27,"&gt;0"))</f>
        <v>0</v>
      </c>
      <c r="CT28" s="565">
        <f t="shared" si="24"/>
        <v>0</v>
      </c>
      <c r="CU28" s="565">
        <f>IF(CT28=0,0,1+COUNTIF(CU$6:CU27,"&gt;0"))</f>
        <v>0</v>
      </c>
      <c r="CV28" s="565">
        <f t="shared" si="25"/>
        <v>0</v>
      </c>
      <c r="CW28" s="565">
        <f>IF(CV28=0,0,1+COUNTIF(CW$6:CW27,"&gt;0"))</f>
        <v>0</v>
      </c>
      <c r="CX28" s="565">
        <f t="shared" si="26"/>
        <v>0</v>
      </c>
      <c r="CY28" s="565">
        <f>IF(CX28=0,0,1+COUNTIF(CY$6:CY27,"&gt;0"))</f>
        <v>0</v>
      </c>
      <c r="CZ28" s="565">
        <f t="shared" si="27"/>
        <v>0</v>
      </c>
      <c r="DA28" s="565">
        <f>IF(CZ28=0,0,1+COUNTIF(DA$6:DA27,"&gt;0"))</f>
        <v>0</v>
      </c>
      <c r="DB28" s="565">
        <f t="shared" si="28"/>
        <v>0</v>
      </c>
      <c r="DC28" s="565">
        <f>IF(DB28=0,0,1+COUNTIF(DC$6:DC27,"&gt;0"))</f>
        <v>0</v>
      </c>
      <c r="DD28" s="565"/>
      <c r="DE28" s="565"/>
      <c r="DF28" s="565"/>
    </row>
    <row r="29" spans="1:110" ht="21" x14ac:dyDescent="0.25">
      <c r="A29" s="120"/>
      <c r="B29" s="5">
        <v>24</v>
      </c>
      <c r="C29" s="1061" t="str">
        <f t="shared" si="0"/>
        <v/>
      </c>
      <c r="D29" s="1061"/>
      <c r="E29" s="1061"/>
      <c r="F29" s="1061"/>
      <c r="G29" s="1061"/>
      <c r="H29" s="567"/>
      <c r="I29" s="565"/>
      <c r="J29" s="565" t="str">
        <f t="shared" si="11"/>
        <v/>
      </c>
      <c r="K29" s="5">
        <v>24</v>
      </c>
      <c r="L29" s="1061" t="str">
        <f t="shared" si="1"/>
        <v/>
      </c>
      <c r="M29" s="1061"/>
      <c r="N29" s="1061"/>
      <c r="O29" s="1061"/>
      <c r="P29" s="1061"/>
      <c r="Q29" s="567"/>
      <c r="R29" s="601"/>
      <c r="S29" s="565" t="str">
        <f t="shared" si="12"/>
        <v/>
      </c>
      <c r="T29" s="5">
        <v>24</v>
      </c>
      <c r="U29" s="1061" t="str">
        <f t="shared" si="2"/>
        <v/>
      </c>
      <c r="V29" s="1061"/>
      <c r="W29" s="1061"/>
      <c r="X29" s="1061"/>
      <c r="Y29" s="1061"/>
      <c r="Z29" s="567" t="str">
        <f t="shared" si="3"/>
        <v/>
      </c>
      <c r="AA29" s="601"/>
      <c r="AB29" s="565" t="str">
        <f t="shared" si="13"/>
        <v/>
      </c>
      <c r="AC29" s="5">
        <v>24</v>
      </c>
      <c r="AD29" s="1061" t="str">
        <f t="shared" si="4"/>
        <v/>
      </c>
      <c r="AE29" s="1061"/>
      <c r="AF29" s="1061"/>
      <c r="AG29" s="1061"/>
      <c r="AH29" s="1061"/>
      <c r="AI29" s="567" t="s">
        <v>3034</v>
      </c>
      <c r="AJ29" s="601"/>
      <c r="AK29" s="565" t="str">
        <f t="shared" si="14"/>
        <v/>
      </c>
      <c r="AL29" s="5">
        <v>24</v>
      </c>
      <c r="AM29" s="1061" t="str">
        <f t="shared" si="5"/>
        <v/>
      </c>
      <c r="AN29" s="1061"/>
      <c r="AO29" s="1061"/>
      <c r="AP29" s="1061"/>
      <c r="AQ29" s="1061"/>
      <c r="AR29" s="567"/>
      <c r="AS29" s="601"/>
      <c r="AT29" s="565" t="str">
        <f t="shared" si="15"/>
        <v/>
      </c>
      <c r="AU29" s="5">
        <v>24</v>
      </c>
      <c r="AV29" s="1061" t="str">
        <f t="shared" si="6"/>
        <v/>
      </c>
      <c r="AW29" s="1061"/>
      <c r="AX29" s="1061"/>
      <c r="AY29" s="1061"/>
      <c r="AZ29" s="1061"/>
      <c r="BA29" s="567"/>
      <c r="BB29" s="601"/>
      <c r="BC29" s="565" t="str">
        <f t="shared" si="16"/>
        <v/>
      </c>
      <c r="BD29" s="5">
        <v>24</v>
      </c>
      <c r="BE29" s="1061" t="str">
        <f t="shared" si="7"/>
        <v/>
      </c>
      <c r="BF29" s="1061"/>
      <c r="BG29" s="1061"/>
      <c r="BH29" s="1061"/>
      <c r="BI29" s="1061"/>
      <c r="BJ29" s="567"/>
      <c r="BK29" s="601"/>
      <c r="BL29" s="565" t="str">
        <f t="shared" si="17"/>
        <v/>
      </c>
      <c r="BM29" s="5">
        <v>24</v>
      </c>
      <c r="BN29" s="1061" t="str">
        <f t="shared" si="8"/>
        <v/>
      </c>
      <c r="BO29" s="1061"/>
      <c r="BP29" s="1061"/>
      <c r="BQ29" s="1061"/>
      <c r="BR29" s="1061"/>
      <c r="BS29" s="567"/>
      <c r="BT29" s="601"/>
      <c r="BU29" s="565" t="str">
        <f t="shared" si="18"/>
        <v/>
      </c>
      <c r="BV29" s="5">
        <v>24</v>
      </c>
      <c r="BW29" s="1061" t="str">
        <f t="shared" si="9"/>
        <v/>
      </c>
      <c r="BX29" s="1061"/>
      <c r="BY29" s="1061"/>
      <c r="BZ29" s="1061"/>
      <c r="CA29" s="1061"/>
      <c r="CB29" s="567"/>
      <c r="CC29" s="565" t="str">
        <f t="shared" si="19"/>
        <v/>
      </c>
      <c r="CD29" s="565"/>
      <c r="CE29" s="565"/>
      <c r="CF29" s="565"/>
      <c r="CG29" s="565"/>
      <c r="CH29" s="565"/>
      <c r="CI29" s="565">
        <v>24</v>
      </c>
      <c r="CJ29" s="565">
        <f>Character_Creation!X364</f>
        <v>0</v>
      </c>
      <c r="CK29" s="565" t="str">
        <f>Character_Creation!AB364</f>
        <v/>
      </c>
      <c r="CL29" s="565">
        <f t="shared" si="20"/>
        <v>0</v>
      </c>
      <c r="CM29" s="565">
        <f>IF(CL29=0,0,1+COUNTIF(CM$6:CM28,"&gt;0"))</f>
        <v>0</v>
      </c>
      <c r="CN29" s="565">
        <f t="shared" si="21"/>
        <v>0</v>
      </c>
      <c r="CO29" s="565">
        <f>IF(CN29=0,0,1+COUNTIF(CO$6:CO28,"&gt;0"))</f>
        <v>0</v>
      </c>
      <c r="CP29" s="565">
        <f t="shared" si="22"/>
        <v>0</v>
      </c>
      <c r="CQ29" s="565">
        <f>IF(CP29=0,0,1+COUNTIF(CQ$6:CQ28,"&gt;0"))</f>
        <v>0</v>
      </c>
      <c r="CR29" s="565">
        <f t="shared" si="23"/>
        <v>0</v>
      </c>
      <c r="CS29" s="565">
        <f>IF(CR29=0,0,1+COUNTIF(CS$6:CS28,"&gt;0"))</f>
        <v>0</v>
      </c>
      <c r="CT29" s="565">
        <f t="shared" si="24"/>
        <v>0</v>
      </c>
      <c r="CU29" s="565">
        <f>IF(CT29=0,0,1+COUNTIF(CU$6:CU28,"&gt;0"))</f>
        <v>0</v>
      </c>
      <c r="CV29" s="565">
        <f t="shared" si="25"/>
        <v>0</v>
      </c>
      <c r="CW29" s="565">
        <f>IF(CV29=0,0,1+COUNTIF(CW$6:CW28,"&gt;0"))</f>
        <v>0</v>
      </c>
      <c r="CX29" s="565">
        <f t="shared" si="26"/>
        <v>0</v>
      </c>
      <c r="CY29" s="565">
        <f>IF(CX29=0,0,1+COUNTIF(CY$6:CY28,"&gt;0"))</f>
        <v>0</v>
      </c>
      <c r="CZ29" s="565">
        <f t="shared" si="27"/>
        <v>0</v>
      </c>
      <c r="DA29" s="565">
        <f>IF(CZ29=0,0,1+COUNTIF(DA$6:DA28,"&gt;0"))</f>
        <v>0</v>
      </c>
      <c r="DB29" s="565">
        <f t="shared" si="28"/>
        <v>0</v>
      </c>
      <c r="DC29" s="565">
        <f>IF(DB29=0,0,1+COUNTIF(DC$6:DC28,"&gt;0"))</f>
        <v>0</v>
      </c>
      <c r="DD29" s="565"/>
      <c r="DE29" s="565"/>
      <c r="DF29" s="565"/>
    </row>
    <row r="30" spans="1:110" ht="21" x14ac:dyDescent="0.25">
      <c r="A30" s="120"/>
      <c r="B30" s="5">
        <v>25</v>
      </c>
      <c r="C30" s="1061" t="str">
        <f t="shared" si="0"/>
        <v/>
      </c>
      <c r="D30" s="1061"/>
      <c r="E30" s="1061"/>
      <c r="F30" s="1061"/>
      <c r="G30" s="1061"/>
      <c r="H30" s="567"/>
      <c r="I30" s="565"/>
      <c r="J30" s="565" t="str">
        <f t="shared" si="11"/>
        <v/>
      </c>
      <c r="K30" s="5">
        <v>25</v>
      </c>
      <c r="L30" s="1061" t="str">
        <f t="shared" si="1"/>
        <v/>
      </c>
      <c r="M30" s="1061"/>
      <c r="N30" s="1061"/>
      <c r="O30" s="1061"/>
      <c r="P30" s="1061"/>
      <c r="Q30" s="567"/>
      <c r="R30" s="601"/>
      <c r="S30" s="565" t="str">
        <f t="shared" si="12"/>
        <v/>
      </c>
      <c r="T30" s="5">
        <v>25</v>
      </c>
      <c r="U30" s="1061" t="str">
        <f t="shared" si="2"/>
        <v/>
      </c>
      <c r="V30" s="1061"/>
      <c r="W30" s="1061"/>
      <c r="X30" s="1061"/>
      <c r="Y30" s="1061"/>
      <c r="Z30" s="567" t="str">
        <f t="shared" si="3"/>
        <v/>
      </c>
      <c r="AA30" s="601"/>
      <c r="AB30" s="565" t="str">
        <f t="shared" si="13"/>
        <v/>
      </c>
      <c r="AC30" s="5">
        <v>25</v>
      </c>
      <c r="AD30" s="1061" t="str">
        <f t="shared" si="4"/>
        <v/>
      </c>
      <c r="AE30" s="1061"/>
      <c r="AF30" s="1061"/>
      <c r="AG30" s="1061"/>
      <c r="AH30" s="1061"/>
      <c r="AI30" s="567" t="s">
        <v>3034</v>
      </c>
      <c r="AJ30" s="601"/>
      <c r="AK30" s="565" t="str">
        <f t="shared" si="14"/>
        <v/>
      </c>
      <c r="AL30" s="5">
        <v>25</v>
      </c>
      <c r="AM30" s="1061" t="str">
        <f t="shared" si="5"/>
        <v/>
      </c>
      <c r="AN30" s="1061"/>
      <c r="AO30" s="1061"/>
      <c r="AP30" s="1061"/>
      <c r="AQ30" s="1061"/>
      <c r="AR30" s="567"/>
      <c r="AS30" s="601"/>
      <c r="AT30" s="565" t="str">
        <f t="shared" si="15"/>
        <v/>
      </c>
      <c r="AU30" s="5">
        <v>25</v>
      </c>
      <c r="AV30" s="1061" t="str">
        <f t="shared" si="6"/>
        <v/>
      </c>
      <c r="AW30" s="1061"/>
      <c r="AX30" s="1061"/>
      <c r="AY30" s="1061"/>
      <c r="AZ30" s="1061"/>
      <c r="BA30" s="567"/>
      <c r="BB30" s="601"/>
      <c r="BC30" s="565" t="str">
        <f t="shared" si="16"/>
        <v/>
      </c>
      <c r="BD30" s="5">
        <v>25</v>
      </c>
      <c r="BE30" s="1061" t="str">
        <f t="shared" si="7"/>
        <v/>
      </c>
      <c r="BF30" s="1061"/>
      <c r="BG30" s="1061"/>
      <c r="BH30" s="1061"/>
      <c r="BI30" s="1061"/>
      <c r="BJ30" s="567"/>
      <c r="BK30" s="601"/>
      <c r="BL30" s="565" t="str">
        <f t="shared" si="17"/>
        <v/>
      </c>
      <c r="BM30" s="5">
        <v>25</v>
      </c>
      <c r="BN30" s="1061" t="str">
        <f t="shared" si="8"/>
        <v/>
      </c>
      <c r="BO30" s="1061"/>
      <c r="BP30" s="1061"/>
      <c r="BQ30" s="1061"/>
      <c r="BR30" s="1061"/>
      <c r="BS30" s="567"/>
      <c r="BT30" s="601"/>
      <c r="BU30" s="565" t="str">
        <f t="shared" si="18"/>
        <v/>
      </c>
      <c r="BV30" s="5">
        <v>25</v>
      </c>
      <c r="BW30" s="1061" t="str">
        <f t="shared" si="9"/>
        <v/>
      </c>
      <c r="BX30" s="1061"/>
      <c r="BY30" s="1061"/>
      <c r="BZ30" s="1061"/>
      <c r="CA30" s="1061"/>
      <c r="CB30" s="567"/>
      <c r="CC30" s="565" t="str">
        <f t="shared" si="19"/>
        <v/>
      </c>
      <c r="CD30" s="565"/>
      <c r="CE30" s="565"/>
      <c r="CF30" s="565"/>
      <c r="CG30" s="565"/>
      <c r="CH30" s="565"/>
      <c r="CI30" s="565">
        <v>25</v>
      </c>
      <c r="CJ30" s="565">
        <f>Character_Creation!X365</f>
        <v>0</v>
      </c>
      <c r="CK30" s="565" t="str">
        <f>Character_Creation!AB365</f>
        <v/>
      </c>
      <c r="CL30" s="565">
        <f t="shared" si="20"/>
        <v>0</v>
      </c>
      <c r="CM30" s="565">
        <f>IF(CL30=0,0,1+COUNTIF(CM$6:CM29,"&gt;0"))</f>
        <v>0</v>
      </c>
      <c r="CN30" s="565">
        <f t="shared" si="21"/>
        <v>0</v>
      </c>
      <c r="CO30" s="565">
        <f>IF(CN30=0,0,1+COUNTIF(CO$6:CO29,"&gt;0"))</f>
        <v>0</v>
      </c>
      <c r="CP30" s="565">
        <f t="shared" si="22"/>
        <v>0</v>
      </c>
      <c r="CQ30" s="565">
        <f>IF(CP30=0,0,1+COUNTIF(CQ$6:CQ29,"&gt;0"))</f>
        <v>0</v>
      </c>
      <c r="CR30" s="565">
        <f t="shared" si="23"/>
        <v>0</v>
      </c>
      <c r="CS30" s="565">
        <f>IF(CR30=0,0,1+COUNTIF(CS$6:CS29,"&gt;0"))</f>
        <v>0</v>
      </c>
      <c r="CT30" s="565">
        <f t="shared" si="24"/>
        <v>0</v>
      </c>
      <c r="CU30" s="565">
        <f>IF(CT30=0,0,1+COUNTIF(CU$6:CU29,"&gt;0"))</f>
        <v>0</v>
      </c>
      <c r="CV30" s="565">
        <f t="shared" si="25"/>
        <v>0</v>
      </c>
      <c r="CW30" s="565">
        <f>IF(CV30=0,0,1+COUNTIF(CW$6:CW29,"&gt;0"))</f>
        <v>0</v>
      </c>
      <c r="CX30" s="565">
        <f t="shared" si="26"/>
        <v>0</v>
      </c>
      <c r="CY30" s="565">
        <f>IF(CX30=0,0,1+COUNTIF(CY$6:CY29,"&gt;0"))</f>
        <v>0</v>
      </c>
      <c r="CZ30" s="565">
        <f t="shared" si="27"/>
        <v>0</v>
      </c>
      <c r="DA30" s="565">
        <f>IF(CZ30=0,0,1+COUNTIF(DA$6:DA29,"&gt;0"))</f>
        <v>0</v>
      </c>
      <c r="DB30" s="565">
        <f t="shared" si="28"/>
        <v>0</v>
      </c>
      <c r="DC30" s="565">
        <f>IF(DB30=0,0,1+COUNTIF(DC$6:DC29,"&gt;0"))</f>
        <v>0</v>
      </c>
      <c r="DD30" s="565"/>
      <c r="DE30" s="565"/>
      <c r="DF30" s="565"/>
    </row>
    <row r="31" spans="1:110" ht="21" x14ac:dyDescent="0.25">
      <c r="A31" s="120"/>
      <c r="B31" s="5">
        <v>26</v>
      </c>
      <c r="C31" s="1061" t="str">
        <f t="shared" si="0"/>
        <v/>
      </c>
      <c r="D31" s="1061"/>
      <c r="E31" s="1061"/>
      <c r="F31" s="1061"/>
      <c r="G31" s="1061"/>
      <c r="H31" s="567"/>
      <c r="I31" s="565"/>
      <c r="J31" s="565" t="str">
        <f t="shared" si="11"/>
        <v/>
      </c>
      <c r="K31" s="5">
        <v>26</v>
      </c>
      <c r="L31" s="1061" t="str">
        <f t="shared" si="1"/>
        <v/>
      </c>
      <c r="M31" s="1061"/>
      <c r="N31" s="1061"/>
      <c r="O31" s="1061"/>
      <c r="P31" s="1061"/>
      <c r="Q31" s="567"/>
      <c r="R31" s="601"/>
      <c r="S31" s="565" t="str">
        <f t="shared" si="12"/>
        <v/>
      </c>
      <c r="T31" s="5">
        <v>26</v>
      </c>
      <c r="U31" s="1061" t="str">
        <f t="shared" si="2"/>
        <v/>
      </c>
      <c r="V31" s="1061"/>
      <c r="W31" s="1061"/>
      <c r="X31" s="1061"/>
      <c r="Y31" s="1061"/>
      <c r="Z31" s="567" t="str">
        <f t="shared" si="3"/>
        <v/>
      </c>
      <c r="AA31" s="601"/>
      <c r="AB31" s="565" t="str">
        <f t="shared" si="13"/>
        <v/>
      </c>
      <c r="AC31" s="5">
        <v>26</v>
      </c>
      <c r="AD31" s="1061" t="str">
        <f t="shared" si="4"/>
        <v/>
      </c>
      <c r="AE31" s="1061"/>
      <c r="AF31" s="1061"/>
      <c r="AG31" s="1061"/>
      <c r="AH31" s="1061"/>
      <c r="AI31" s="567" t="s">
        <v>3034</v>
      </c>
      <c r="AJ31" s="601"/>
      <c r="AK31" s="565" t="str">
        <f t="shared" si="14"/>
        <v/>
      </c>
      <c r="AL31" s="5">
        <v>26</v>
      </c>
      <c r="AM31" s="1061" t="str">
        <f t="shared" si="5"/>
        <v/>
      </c>
      <c r="AN31" s="1061"/>
      <c r="AO31" s="1061"/>
      <c r="AP31" s="1061"/>
      <c r="AQ31" s="1061"/>
      <c r="AR31" s="567"/>
      <c r="AS31" s="601"/>
      <c r="AT31" s="565" t="str">
        <f t="shared" si="15"/>
        <v/>
      </c>
      <c r="AU31" s="5">
        <v>26</v>
      </c>
      <c r="AV31" s="1061" t="str">
        <f t="shared" si="6"/>
        <v/>
      </c>
      <c r="AW31" s="1061"/>
      <c r="AX31" s="1061"/>
      <c r="AY31" s="1061"/>
      <c r="AZ31" s="1061"/>
      <c r="BA31" s="567"/>
      <c r="BB31" s="601"/>
      <c r="BC31" s="565" t="str">
        <f t="shared" si="16"/>
        <v/>
      </c>
      <c r="BD31" s="5">
        <v>26</v>
      </c>
      <c r="BE31" s="1061" t="str">
        <f t="shared" si="7"/>
        <v/>
      </c>
      <c r="BF31" s="1061"/>
      <c r="BG31" s="1061"/>
      <c r="BH31" s="1061"/>
      <c r="BI31" s="1061"/>
      <c r="BJ31" s="567"/>
      <c r="BK31" s="601"/>
      <c r="BL31" s="565" t="str">
        <f t="shared" si="17"/>
        <v/>
      </c>
      <c r="BM31" s="5">
        <v>26</v>
      </c>
      <c r="BN31" s="1061" t="str">
        <f t="shared" si="8"/>
        <v/>
      </c>
      <c r="BO31" s="1061"/>
      <c r="BP31" s="1061"/>
      <c r="BQ31" s="1061"/>
      <c r="BR31" s="1061"/>
      <c r="BS31" s="567"/>
      <c r="BT31" s="601"/>
      <c r="BU31" s="565" t="str">
        <f t="shared" si="18"/>
        <v/>
      </c>
      <c r="BV31" s="5">
        <v>26</v>
      </c>
      <c r="BW31" s="1061" t="str">
        <f t="shared" si="9"/>
        <v/>
      </c>
      <c r="BX31" s="1061"/>
      <c r="BY31" s="1061"/>
      <c r="BZ31" s="1061"/>
      <c r="CA31" s="1061"/>
      <c r="CB31" s="567"/>
      <c r="CC31" s="565" t="str">
        <f t="shared" si="19"/>
        <v/>
      </c>
      <c r="CD31" s="565"/>
      <c r="CE31" s="565"/>
      <c r="CF31" s="565"/>
      <c r="CG31" s="565"/>
      <c r="CH31" s="565"/>
      <c r="CI31" s="565">
        <v>26</v>
      </c>
      <c r="CJ31" s="565">
        <f>Character_Creation!X366</f>
        <v>0</v>
      </c>
      <c r="CK31" s="565" t="str">
        <f>Character_Creation!AB366</f>
        <v/>
      </c>
      <c r="CL31" s="565">
        <f t="shared" si="20"/>
        <v>0</v>
      </c>
      <c r="CM31" s="565">
        <f>IF(CL31=0,0,1+COUNTIF(CM$6:CM30,"&gt;0"))</f>
        <v>0</v>
      </c>
      <c r="CN31" s="565">
        <f t="shared" si="21"/>
        <v>0</v>
      </c>
      <c r="CO31" s="565">
        <f>IF(CN31=0,0,1+COUNTIF(CO$6:CO30,"&gt;0"))</f>
        <v>0</v>
      </c>
      <c r="CP31" s="565">
        <f t="shared" si="22"/>
        <v>0</v>
      </c>
      <c r="CQ31" s="565">
        <f>IF(CP31=0,0,1+COUNTIF(CQ$6:CQ30,"&gt;0"))</f>
        <v>0</v>
      </c>
      <c r="CR31" s="565">
        <f t="shared" si="23"/>
        <v>0</v>
      </c>
      <c r="CS31" s="565">
        <f>IF(CR31=0,0,1+COUNTIF(CS$6:CS30,"&gt;0"))</f>
        <v>0</v>
      </c>
      <c r="CT31" s="565">
        <f t="shared" si="24"/>
        <v>0</v>
      </c>
      <c r="CU31" s="565">
        <f>IF(CT31=0,0,1+COUNTIF(CU$6:CU30,"&gt;0"))</f>
        <v>0</v>
      </c>
      <c r="CV31" s="565">
        <f t="shared" si="25"/>
        <v>0</v>
      </c>
      <c r="CW31" s="565">
        <f>IF(CV31=0,0,1+COUNTIF(CW$6:CW30,"&gt;0"))</f>
        <v>0</v>
      </c>
      <c r="CX31" s="565">
        <f t="shared" si="26"/>
        <v>0</v>
      </c>
      <c r="CY31" s="565">
        <f>IF(CX31=0,0,1+COUNTIF(CY$6:CY30,"&gt;0"))</f>
        <v>0</v>
      </c>
      <c r="CZ31" s="565">
        <f t="shared" si="27"/>
        <v>0</v>
      </c>
      <c r="DA31" s="565">
        <f>IF(CZ31=0,0,1+COUNTIF(DA$6:DA30,"&gt;0"))</f>
        <v>0</v>
      </c>
      <c r="DB31" s="565">
        <f t="shared" si="28"/>
        <v>0</v>
      </c>
      <c r="DC31" s="565">
        <f>IF(DB31=0,0,1+COUNTIF(DC$6:DC30,"&gt;0"))</f>
        <v>0</v>
      </c>
      <c r="DD31" s="565"/>
      <c r="DE31" s="565"/>
      <c r="DF31" s="565"/>
    </row>
    <row r="32" spans="1:110" ht="21" x14ac:dyDescent="0.25">
      <c r="A32" s="120"/>
      <c r="B32" s="5">
        <v>27</v>
      </c>
      <c r="C32" s="1061" t="str">
        <f t="shared" si="0"/>
        <v/>
      </c>
      <c r="D32" s="1061"/>
      <c r="E32" s="1061"/>
      <c r="F32" s="1061"/>
      <c r="G32" s="1061"/>
      <c r="H32" s="567"/>
      <c r="I32" s="565"/>
      <c r="J32" s="565" t="str">
        <f t="shared" si="11"/>
        <v/>
      </c>
      <c r="K32" s="5">
        <v>27</v>
      </c>
      <c r="L32" s="1061" t="str">
        <f t="shared" si="1"/>
        <v/>
      </c>
      <c r="M32" s="1061"/>
      <c r="N32" s="1061"/>
      <c r="O32" s="1061"/>
      <c r="P32" s="1061"/>
      <c r="Q32" s="567"/>
      <c r="R32" s="601"/>
      <c r="S32" s="565" t="str">
        <f t="shared" si="12"/>
        <v/>
      </c>
      <c r="T32" s="5">
        <v>27</v>
      </c>
      <c r="U32" s="1061" t="str">
        <f t="shared" si="2"/>
        <v/>
      </c>
      <c r="V32" s="1061"/>
      <c r="W32" s="1061"/>
      <c r="X32" s="1061"/>
      <c r="Y32" s="1061"/>
      <c r="Z32" s="567" t="str">
        <f t="shared" si="3"/>
        <v/>
      </c>
      <c r="AA32" s="601"/>
      <c r="AB32" s="565" t="str">
        <f t="shared" si="13"/>
        <v/>
      </c>
      <c r="AC32" s="5">
        <v>27</v>
      </c>
      <c r="AD32" s="1061" t="str">
        <f t="shared" si="4"/>
        <v/>
      </c>
      <c r="AE32" s="1061"/>
      <c r="AF32" s="1061"/>
      <c r="AG32" s="1061"/>
      <c r="AH32" s="1061"/>
      <c r="AI32" s="567" t="s">
        <v>3034</v>
      </c>
      <c r="AJ32" s="601"/>
      <c r="AK32" s="565" t="str">
        <f t="shared" si="14"/>
        <v/>
      </c>
      <c r="AL32" s="5">
        <v>27</v>
      </c>
      <c r="AM32" s="1061" t="str">
        <f t="shared" si="5"/>
        <v/>
      </c>
      <c r="AN32" s="1061"/>
      <c r="AO32" s="1061"/>
      <c r="AP32" s="1061"/>
      <c r="AQ32" s="1061"/>
      <c r="AR32" s="567"/>
      <c r="AS32" s="601"/>
      <c r="AT32" s="565" t="str">
        <f t="shared" si="15"/>
        <v/>
      </c>
      <c r="AU32" s="5">
        <v>27</v>
      </c>
      <c r="AV32" s="1061" t="str">
        <f t="shared" si="6"/>
        <v/>
      </c>
      <c r="AW32" s="1061"/>
      <c r="AX32" s="1061"/>
      <c r="AY32" s="1061"/>
      <c r="AZ32" s="1061"/>
      <c r="BA32" s="567"/>
      <c r="BB32" s="601"/>
      <c r="BC32" s="565" t="str">
        <f t="shared" si="16"/>
        <v/>
      </c>
      <c r="BD32" s="5">
        <v>27</v>
      </c>
      <c r="BE32" s="1061" t="str">
        <f t="shared" si="7"/>
        <v/>
      </c>
      <c r="BF32" s="1061"/>
      <c r="BG32" s="1061"/>
      <c r="BH32" s="1061"/>
      <c r="BI32" s="1061"/>
      <c r="BJ32" s="567"/>
      <c r="BK32" s="601"/>
      <c r="BL32" s="565" t="str">
        <f t="shared" si="17"/>
        <v/>
      </c>
      <c r="BM32" s="5">
        <v>27</v>
      </c>
      <c r="BN32" s="1061" t="str">
        <f t="shared" si="8"/>
        <v/>
      </c>
      <c r="BO32" s="1061"/>
      <c r="BP32" s="1061"/>
      <c r="BQ32" s="1061"/>
      <c r="BR32" s="1061"/>
      <c r="BS32" s="567"/>
      <c r="BT32" s="601"/>
      <c r="BU32" s="565" t="str">
        <f t="shared" si="18"/>
        <v/>
      </c>
      <c r="BV32" s="5">
        <v>27</v>
      </c>
      <c r="BW32" s="1061" t="str">
        <f t="shared" si="9"/>
        <v/>
      </c>
      <c r="BX32" s="1061"/>
      <c r="BY32" s="1061"/>
      <c r="BZ32" s="1061"/>
      <c r="CA32" s="1061"/>
      <c r="CB32" s="567"/>
      <c r="CC32" s="565" t="str">
        <f t="shared" si="19"/>
        <v/>
      </c>
      <c r="CD32" s="565"/>
      <c r="CE32" s="565"/>
      <c r="CF32" s="565"/>
      <c r="CG32" s="565"/>
      <c r="CH32" s="565"/>
      <c r="CI32" s="565">
        <v>27</v>
      </c>
      <c r="CJ32" s="565">
        <f>Character_Creation!X367</f>
        <v>0</v>
      </c>
      <c r="CK32" s="565" t="str">
        <f>Character_Creation!AB367</f>
        <v/>
      </c>
      <c r="CL32" s="565">
        <f t="shared" si="20"/>
        <v>0</v>
      </c>
      <c r="CM32" s="565">
        <f>IF(CL32=0,0,1+COUNTIF(CM$6:CM31,"&gt;0"))</f>
        <v>0</v>
      </c>
      <c r="CN32" s="565">
        <f t="shared" si="21"/>
        <v>0</v>
      </c>
      <c r="CO32" s="565">
        <f>IF(CN32=0,0,1+COUNTIF(CO$6:CO31,"&gt;0"))</f>
        <v>0</v>
      </c>
      <c r="CP32" s="565">
        <f t="shared" si="22"/>
        <v>0</v>
      </c>
      <c r="CQ32" s="565">
        <f>IF(CP32=0,0,1+COUNTIF(CQ$6:CQ31,"&gt;0"))</f>
        <v>0</v>
      </c>
      <c r="CR32" s="565">
        <f t="shared" si="23"/>
        <v>0</v>
      </c>
      <c r="CS32" s="565">
        <f>IF(CR32=0,0,1+COUNTIF(CS$6:CS31,"&gt;0"))</f>
        <v>0</v>
      </c>
      <c r="CT32" s="565">
        <f t="shared" si="24"/>
        <v>0</v>
      </c>
      <c r="CU32" s="565">
        <f>IF(CT32=0,0,1+COUNTIF(CU$6:CU31,"&gt;0"))</f>
        <v>0</v>
      </c>
      <c r="CV32" s="565">
        <f t="shared" si="25"/>
        <v>0</v>
      </c>
      <c r="CW32" s="565">
        <f>IF(CV32=0,0,1+COUNTIF(CW$6:CW31,"&gt;0"))</f>
        <v>0</v>
      </c>
      <c r="CX32" s="565">
        <f t="shared" si="26"/>
        <v>0</v>
      </c>
      <c r="CY32" s="565">
        <f>IF(CX32=0,0,1+COUNTIF(CY$6:CY31,"&gt;0"))</f>
        <v>0</v>
      </c>
      <c r="CZ32" s="565">
        <f t="shared" si="27"/>
        <v>0</v>
      </c>
      <c r="DA32" s="565">
        <f>IF(CZ32=0,0,1+COUNTIF(DA$6:DA31,"&gt;0"))</f>
        <v>0</v>
      </c>
      <c r="DB32" s="565">
        <f t="shared" si="28"/>
        <v>0</v>
      </c>
      <c r="DC32" s="565">
        <f>IF(DB32=0,0,1+COUNTIF(DC$6:DC31,"&gt;0"))</f>
        <v>0</v>
      </c>
      <c r="DD32" s="565"/>
      <c r="DE32" s="565"/>
      <c r="DF32" s="565"/>
    </row>
    <row r="33" spans="1:110" ht="21" x14ac:dyDescent="0.25">
      <c r="A33" s="120"/>
      <c r="B33" s="5">
        <v>28</v>
      </c>
      <c r="C33" s="1061" t="str">
        <f t="shared" si="0"/>
        <v/>
      </c>
      <c r="D33" s="1061"/>
      <c r="E33" s="1061"/>
      <c r="F33" s="1061"/>
      <c r="G33" s="1061"/>
      <c r="H33" s="567"/>
      <c r="I33" s="565"/>
      <c r="J33" s="565" t="str">
        <f t="shared" si="11"/>
        <v/>
      </c>
      <c r="K33" s="5">
        <v>28</v>
      </c>
      <c r="L33" s="1061" t="str">
        <f t="shared" si="1"/>
        <v/>
      </c>
      <c r="M33" s="1061"/>
      <c r="N33" s="1061"/>
      <c r="O33" s="1061"/>
      <c r="P33" s="1061"/>
      <c r="Q33" s="567"/>
      <c r="R33" s="601"/>
      <c r="S33" s="565" t="str">
        <f t="shared" si="12"/>
        <v/>
      </c>
      <c r="T33" s="5">
        <v>28</v>
      </c>
      <c r="U33" s="1061" t="str">
        <f t="shared" si="2"/>
        <v/>
      </c>
      <c r="V33" s="1061"/>
      <c r="W33" s="1061"/>
      <c r="X33" s="1061"/>
      <c r="Y33" s="1061"/>
      <c r="Z33" s="567" t="str">
        <f t="shared" si="3"/>
        <v/>
      </c>
      <c r="AA33" s="601"/>
      <c r="AB33" s="565" t="str">
        <f t="shared" si="13"/>
        <v/>
      </c>
      <c r="AC33" s="5">
        <v>28</v>
      </c>
      <c r="AD33" s="1061" t="str">
        <f t="shared" si="4"/>
        <v/>
      </c>
      <c r="AE33" s="1061"/>
      <c r="AF33" s="1061"/>
      <c r="AG33" s="1061"/>
      <c r="AH33" s="1061"/>
      <c r="AI33" s="567" t="s">
        <v>3034</v>
      </c>
      <c r="AJ33" s="601"/>
      <c r="AK33" s="565" t="str">
        <f t="shared" si="14"/>
        <v/>
      </c>
      <c r="AL33" s="5">
        <v>28</v>
      </c>
      <c r="AM33" s="1061" t="str">
        <f t="shared" si="5"/>
        <v/>
      </c>
      <c r="AN33" s="1061"/>
      <c r="AO33" s="1061"/>
      <c r="AP33" s="1061"/>
      <c r="AQ33" s="1061"/>
      <c r="AR33" s="567"/>
      <c r="AS33" s="601"/>
      <c r="AT33" s="565" t="str">
        <f t="shared" si="15"/>
        <v/>
      </c>
      <c r="AU33" s="5">
        <v>28</v>
      </c>
      <c r="AV33" s="1061" t="str">
        <f t="shared" si="6"/>
        <v/>
      </c>
      <c r="AW33" s="1061"/>
      <c r="AX33" s="1061"/>
      <c r="AY33" s="1061"/>
      <c r="AZ33" s="1061"/>
      <c r="BA33" s="567"/>
      <c r="BB33" s="601"/>
      <c r="BC33" s="565" t="str">
        <f t="shared" si="16"/>
        <v/>
      </c>
      <c r="BD33" s="5">
        <v>28</v>
      </c>
      <c r="BE33" s="1061" t="str">
        <f t="shared" si="7"/>
        <v/>
      </c>
      <c r="BF33" s="1061"/>
      <c r="BG33" s="1061"/>
      <c r="BH33" s="1061"/>
      <c r="BI33" s="1061"/>
      <c r="BJ33" s="567"/>
      <c r="BK33" s="601"/>
      <c r="BL33" s="565" t="str">
        <f t="shared" si="17"/>
        <v/>
      </c>
      <c r="BM33" s="5">
        <v>28</v>
      </c>
      <c r="BN33" s="1061" t="str">
        <f t="shared" si="8"/>
        <v/>
      </c>
      <c r="BO33" s="1061"/>
      <c r="BP33" s="1061"/>
      <c r="BQ33" s="1061"/>
      <c r="BR33" s="1061"/>
      <c r="BS33" s="567"/>
      <c r="BT33" s="601"/>
      <c r="BU33" s="565" t="str">
        <f t="shared" si="18"/>
        <v/>
      </c>
      <c r="BV33" s="5">
        <v>28</v>
      </c>
      <c r="BW33" s="1061" t="str">
        <f t="shared" si="9"/>
        <v/>
      </c>
      <c r="BX33" s="1061"/>
      <c r="BY33" s="1061"/>
      <c r="BZ33" s="1061"/>
      <c r="CA33" s="1061"/>
      <c r="CB33" s="567"/>
      <c r="CC33" s="565" t="str">
        <f t="shared" si="19"/>
        <v/>
      </c>
      <c r="CD33" s="565"/>
      <c r="CE33" s="565"/>
      <c r="CF33" s="565"/>
      <c r="CG33" s="565"/>
      <c r="CH33" s="565"/>
      <c r="CI33" s="565">
        <v>28</v>
      </c>
      <c r="CJ33" s="565">
        <f>Character_Creation!X368</f>
        <v>0</v>
      </c>
      <c r="CK33" s="565" t="str">
        <f>Character_Creation!AB368</f>
        <v/>
      </c>
      <c r="CL33" s="565">
        <f t="shared" si="20"/>
        <v>0</v>
      </c>
      <c r="CM33" s="565">
        <f>IF(CL33=0,0,1+COUNTIF(CM$6:CM32,"&gt;0"))</f>
        <v>0</v>
      </c>
      <c r="CN33" s="565">
        <f t="shared" si="21"/>
        <v>0</v>
      </c>
      <c r="CO33" s="565">
        <f>IF(CN33=0,0,1+COUNTIF(CO$6:CO32,"&gt;0"))</f>
        <v>0</v>
      </c>
      <c r="CP33" s="565">
        <f t="shared" si="22"/>
        <v>0</v>
      </c>
      <c r="CQ33" s="565">
        <f>IF(CP33=0,0,1+COUNTIF(CQ$6:CQ32,"&gt;0"))</f>
        <v>0</v>
      </c>
      <c r="CR33" s="565">
        <f t="shared" si="23"/>
        <v>0</v>
      </c>
      <c r="CS33" s="565">
        <f>IF(CR33=0,0,1+COUNTIF(CS$6:CS32,"&gt;0"))</f>
        <v>0</v>
      </c>
      <c r="CT33" s="565">
        <f t="shared" si="24"/>
        <v>0</v>
      </c>
      <c r="CU33" s="565">
        <f>IF(CT33=0,0,1+COUNTIF(CU$6:CU32,"&gt;0"))</f>
        <v>0</v>
      </c>
      <c r="CV33" s="565">
        <f t="shared" si="25"/>
        <v>0</v>
      </c>
      <c r="CW33" s="565">
        <f>IF(CV33=0,0,1+COUNTIF(CW$6:CW32,"&gt;0"))</f>
        <v>0</v>
      </c>
      <c r="CX33" s="565">
        <f t="shared" si="26"/>
        <v>0</v>
      </c>
      <c r="CY33" s="565">
        <f>IF(CX33=0,0,1+COUNTIF(CY$6:CY32,"&gt;0"))</f>
        <v>0</v>
      </c>
      <c r="CZ33" s="565">
        <f t="shared" si="27"/>
        <v>0</v>
      </c>
      <c r="DA33" s="565">
        <f>IF(CZ33=0,0,1+COUNTIF(DA$6:DA32,"&gt;0"))</f>
        <v>0</v>
      </c>
      <c r="DB33" s="565">
        <f t="shared" si="28"/>
        <v>0</v>
      </c>
      <c r="DC33" s="565">
        <f>IF(DB33=0,0,1+COUNTIF(DC$6:DC32,"&gt;0"))</f>
        <v>0</v>
      </c>
      <c r="DD33" s="565"/>
      <c r="DE33" s="565"/>
      <c r="DF33" s="565"/>
    </row>
    <row r="34" spans="1:110" ht="21" x14ac:dyDescent="0.25">
      <c r="A34" s="120"/>
      <c r="B34" s="5">
        <v>29</v>
      </c>
      <c r="C34" s="1061" t="str">
        <f t="shared" si="0"/>
        <v/>
      </c>
      <c r="D34" s="1061"/>
      <c r="E34" s="1061"/>
      <c r="F34" s="1061"/>
      <c r="G34" s="1061"/>
      <c r="H34" s="567"/>
      <c r="I34" s="565"/>
      <c r="J34" s="565" t="str">
        <f t="shared" si="11"/>
        <v/>
      </c>
      <c r="K34" s="5">
        <v>29</v>
      </c>
      <c r="L34" s="1061" t="str">
        <f t="shared" si="1"/>
        <v/>
      </c>
      <c r="M34" s="1061"/>
      <c r="N34" s="1061"/>
      <c r="O34" s="1061"/>
      <c r="P34" s="1061"/>
      <c r="Q34" s="567"/>
      <c r="R34" s="601"/>
      <c r="S34" s="565" t="str">
        <f t="shared" si="12"/>
        <v/>
      </c>
      <c r="T34" s="5">
        <v>29</v>
      </c>
      <c r="U34" s="1061" t="str">
        <f t="shared" si="2"/>
        <v/>
      </c>
      <c r="V34" s="1061"/>
      <c r="W34" s="1061"/>
      <c r="X34" s="1061"/>
      <c r="Y34" s="1061"/>
      <c r="Z34" s="567" t="str">
        <f t="shared" si="3"/>
        <v/>
      </c>
      <c r="AA34" s="601"/>
      <c r="AB34" s="565" t="str">
        <f t="shared" si="13"/>
        <v/>
      </c>
      <c r="AC34" s="5">
        <v>29</v>
      </c>
      <c r="AD34" s="1061" t="str">
        <f t="shared" si="4"/>
        <v/>
      </c>
      <c r="AE34" s="1061"/>
      <c r="AF34" s="1061"/>
      <c r="AG34" s="1061"/>
      <c r="AH34" s="1061"/>
      <c r="AI34" s="567" t="s">
        <v>3034</v>
      </c>
      <c r="AJ34" s="601"/>
      <c r="AK34" s="565" t="str">
        <f t="shared" si="14"/>
        <v/>
      </c>
      <c r="AL34" s="5">
        <v>29</v>
      </c>
      <c r="AM34" s="1061" t="str">
        <f t="shared" si="5"/>
        <v/>
      </c>
      <c r="AN34" s="1061"/>
      <c r="AO34" s="1061"/>
      <c r="AP34" s="1061"/>
      <c r="AQ34" s="1061"/>
      <c r="AR34" s="567"/>
      <c r="AS34" s="601"/>
      <c r="AT34" s="565" t="str">
        <f t="shared" si="15"/>
        <v/>
      </c>
      <c r="AU34" s="5">
        <v>29</v>
      </c>
      <c r="AV34" s="1061" t="str">
        <f t="shared" si="6"/>
        <v/>
      </c>
      <c r="AW34" s="1061"/>
      <c r="AX34" s="1061"/>
      <c r="AY34" s="1061"/>
      <c r="AZ34" s="1061"/>
      <c r="BA34" s="567"/>
      <c r="BB34" s="601"/>
      <c r="BC34" s="565" t="str">
        <f t="shared" si="16"/>
        <v/>
      </c>
      <c r="BD34" s="5">
        <v>29</v>
      </c>
      <c r="BE34" s="1061" t="str">
        <f t="shared" si="7"/>
        <v/>
      </c>
      <c r="BF34" s="1061"/>
      <c r="BG34" s="1061"/>
      <c r="BH34" s="1061"/>
      <c r="BI34" s="1061"/>
      <c r="BJ34" s="567"/>
      <c r="BK34" s="601"/>
      <c r="BL34" s="565" t="str">
        <f t="shared" si="17"/>
        <v/>
      </c>
      <c r="BM34" s="5">
        <v>29</v>
      </c>
      <c r="BN34" s="1061" t="str">
        <f t="shared" si="8"/>
        <v/>
      </c>
      <c r="BO34" s="1061"/>
      <c r="BP34" s="1061"/>
      <c r="BQ34" s="1061"/>
      <c r="BR34" s="1061"/>
      <c r="BS34" s="567"/>
      <c r="BT34" s="601"/>
      <c r="BU34" s="565" t="str">
        <f t="shared" si="18"/>
        <v/>
      </c>
      <c r="BV34" s="5">
        <v>29</v>
      </c>
      <c r="BW34" s="1061" t="str">
        <f t="shared" si="9"/>
        <v/>
      </c>
      <c r="BX34" s="1061"/>
      <c r="BY34" s="1061"/>
      <c r="BZ34" s="1061"/>
      <c r="CA34" s="1061"/>
      <c r="CB34" s="567"/>
      <c r="CC34" s="565" t="str">
        <f t="shared" si="19"/>
        <v/>
      </c>
      <c r="CD34" s="565"/>
      <c r="CE34" s="565"/>
      <c r="CF34" s="565"/>
      <c r="CG34" s="565"/>
      <c r="CH34" s="565"/>
      <c r="CI34" s="565">
        <v>29</v>
      </c>
      <c r="CJ34" s="565">
        <f>Character_Creation!X369</f>
        <v>0</v>
      </c>
      <c r="CK34" s="565" t="str">
        <f>Character_Creation!AB369</f>
        <v/>
      </c>
      <c r="CL34" s="565">
        <f t="shared" si="20"/>
        <v>0</v>
      </c>
      <c r="CM34" s="565">
        <f>IF(CL34=0,0,1+COUNTIF(CM$6:CM33,"&gt;0"))</f>
        <v>0</v>
      </c>
      <c r="CN34" s="565">
        <f t="shared" si="21"/>
        <v>0</v>
      </c>
      <c r="CO34" s="565">
        <f>IF(CN34=0,0,1+COUNTIF(CO$6:CO33,"&gt;0"))</f>
        <v>0</v>
      </c>
      <c r="CP34" s="565">
        <f t="shared" si="22"/>
        <v>0</v>
      </c>
      <c r="CQ34" s="565">
        <f>IF(CP34=0,0,1+COUNTIF(CQ$6:CQ33,"&gt;0"))</f>
        <v>0</v>
      </c>
      <c r="CR34" s="565">
        <f t="shared" si="23"/>
        <v>0</v>
      </c>
      <c r="CS34" s="565">
        <f>IF(CR34=0,0,1+COUNTIF(CS$6:CS33,"&gt;0"))</f>
        <v>0</v>
      </c>
      <c r="CT34" s="565">
        <f t="shared" si="24"/>
        <v>0</v>
      </c>
      <c r="CU34" s="565">
        <f>IF(CT34=0,0,1+COUNTIF(CU$6:CU33,"&gt;0"))</f>
        <v>0</v>
      </c>
      <c r="CV34" s="565">
        <f t="shared" si="25"/>
        <v>0</v>
      </c>
      <c r="CW34" s="565">
        <f>IF(CV34=0,0,1+COUNTIF(CW$6:CW33,"&gt;0"))</f>
        <v>0</v>
      </c>
      <c r="CX34" s="565">
        <f t="shared" si="26"/>
        <v>0</v>
      </c>
      <c r="CY34" s="565">
        <f>IF(CX34=0,0,1+COUNTIF(CY$6:CY33,"&gt;0"))</f>
        <v>0</v>
      </c>
      <c r="CZ34" s="565">
        <f t="shared" si="27"/>
        <v>0</v>
      </c>
      <c r="DA34" s="565">
        <f>IF(CZ34=0,0,1+COUNTIF(DA$6:DA33,"&gt;0"))</f>
        <v>0</v>
      </c>
      <c r="DB34" s="565">
        <f t="shared" si="28"/>
        <v>0</v>
      </c>
      <c r="DC34" s="565">
        <f>IF(DB34=0,0,1+COUNTIF(DC$6:DC33,"&gt;0"))</f>
        <v>0</v>
      </c>
      <c r="DD34" s="565"/>
      <c r="DE34" s="565"/>
      <c r="DF34" s="565"/>
    </row>
    <row r="35" spans="1:110" ht="21" x14ac:dyDescent="0.25">
      <c r="A35" s="120"/>
      <c r="B35" s="5">
        <v>30</v>
      </c>
      <c r="C35" s="1061" t="str">
        <f t="shared" si="0"/>
        <v/>
      </c>
      <c r="D35" s="1061"/>
      <c r="E35" s="1061"/>
      <c r="F35" s="1061"/>
      <c r="G35" s="1061"/>
      <c r="H35" s="567"/>
      <c r="I35" s="565"/>
      <c r="J35" s="565" t="str">
        <f t="shared" si="11"/>
        <v/>
      </c>
      <c r="K35" s="5">
        <v>30</v>
      </c>
      <c r="L35" s="1061" t="str">
        <f t="shared" si="1"/>
        <v/>
      </c>
      <c r="M35" s="1061"/>
      <c r="N35" s="1061"/>
      <c r="O35" s="1061"/>
      <c r="P35" s="1061"/>
      <c r="Q35" s="567"/>
      <c r="R35" s="601"/>
      <c r="S35" s="565" t="str">
        <f t="shared" si="12"/>
        <v/>
      </c>
      <c r="T35" s="5">
        <v>30</v>
      </c>
      <c r="U35" s="1061" t="str">
        <f t="shared" si="2"/>
        <v/>
      </c>
      <c r="V35" s="1061"/>
      <c r="W35" s="1061"/>
      <c r="X35" s="1061"/>
      <c r="Y35" s="1061"/>
      <c r="Z35" s="567" t="str">
        <f t="shared" si="3"/>
        <v/>
      </c>
      <c r="AA35" s="601"/>
      <c r="AB35" s="565" t="str">
        <f t="shared" si="13"/>
        <v/>
      </c>
      <c r="AC35" s="5">
        <v>30</v>
      </c>
      <c r="AD35" s="1061" t="str">
        <f t="shared" si="4"/>
        <v/>
      </c>
      <c r="AE35" s="1061"/>
      <c r="AF35" s="1061"/>
      <c r="AG35" s="1061"/>
      <c r="AH35" s="1061"/>
      <c r="AI35" s="567" t="s">
        <v>3034</v>
      </c>
      <c r="AJ35" s="601"/>
      <c r="AK35" s="565" t="str">
        <f t="shared" si="14"/>
        <v/>
      </c>
      <c r="AL35" s="5">
        <v>30</v>
      </c>
      <c r="AM35" s="1061" t="str">
        <f t="shared" si="5"/>
        <v/>
      </c>
      <c r="AN35" s="1061"/>
      <c r="AO35" s="1061"/>
      <c r="AP35" s="1061"/>
      <c r="AQ35" s="1061"/>
      <c r="AR35" s="567"/>
      <c r="AS35" s="601"/>
      <c r="AT35" s="565" t="str">
        <f t="shared" si="15"/>
        <v/>
      </c>
      <c r="AU35" s="5">
        <v>30</v>
      </c>
      <c r="AV35" s="1061" t="str">
        <f t="shared" si="6"/>
        <v/>
      </c>
      <c r="AW35" s="1061"/>
      <c r="AX35" s="1061"/>
      <c r="AY35" s="1061"/>
      <c r="AZ35" s="1061"/>
      <c r="BA35" s="567"/>
      <c r="BB35" s="601"/>
      <c r="BC35" s="565" t="str">
        <f t="shared" si="16"/>
        <v/>
      </c>
      <c r="BD35" s="5">
        <v>30</v>
      </c>
      <c r="BE35" s="1061" t="str">
        <f t="shared" si="7"/>
        <v/>
      </c>
      <c r="BF35" s="1061"/>
      <c r="BG35" s="1061"/>
      <c r="BH35" s="1061"/>
      <c r="BI35" s="1061"/>
      <c r="BJ35" s="567"/>
      <c r="BK35" s="601"/>
      <c r="BL35" s="565" t="str">
        <f t="shared" si="17"/>
        <v/>
      </c>
      <c r="BM35" s="5">
        <v>30</v>
      </c>
      <c r="BN35" s="1061" t="str">
        <f t="shared" si="8"/>
        <v/>
      </c>
      <c r="BO35" s="1061"/>
      <c r="BP35" s="1061"/>
      <c r="BQ35" s="1061"/>
      <c r="BR35" s="1061"/>
      <c r="BS35" s="567"/>
      <c r="BT35" s="601"/>
      <c r="BU35" s="565" t="str">
        <f t="shared" si="18"/>
        <v/>
      </c>
      <c r="BV35" s="5">
        <v>30</v>
      </c>
      <c r="BW35" s="1061" t="str">
        <f t="shared" si="9"/>
        <v/>
      </c>
      <c r="BX35" s="1061"/>
      <c r="BY35" s="1061"/>
      <c r="BZ35" s="1061"/>
      <c r="CA35" s="1061"/>
      <c r="CB35" s="567"/>
      <c r="CC35" s="565" t="str">
        <f t="shared" si="19"/>
        <v/>
      </c>
      <c r="CD35" s="565"/>
      <c r="CE35" s="565"/>
      <c r="CF35" s="565"/>
      <c r="CG35" s="565"/>
      <c r="CH35" s="565"/>
      <c r="CI35" s="565">
        <v>30</v>
      </c>
      <c r="CJ35" s="565">
        <f>Character_Creation!X370</f>
        <v>0</v>
      </c>
      <c r="CK35" s="565" t="str">
        <f>Character_Creation!AB370</f>
        <v/>
      </c>
      <c r="CL35" s="565">
        <f t="shared" si="20"/>
        <v>0</v>
      </c>
      <c r="CM35" s="565">
        <f>IF(CL35=0,0,1+COUNTIF(CM$6:CM34,"&gt;0"))</f>
        <v>0</v>
      </c>
      <c r="CN35" s="565">
        <f t="shared" si="21"/>
        <v>0</v>
      </c>
      <c r="CO35" s="565">
        <f>IF(CN35=0,0,1+COUNTIF(CO$6:CO34,"&gt;0"))</f>
        <v>0</v>
      </c>
      <c r="CP35" s="565">
        <f t="shared" si="22"/>
        <v>0</v>
      </c>
      <c r="CQ35" s="565">
        <f>IF(CP35=0,0,1+COUNTIF(CQ$6:CQ34,"&gt;0"))</f>
        <v>0</v>
      </c>
      <c r="CR35" s="565">
        <f t="shared" si="23"/>
        <v>0</v>
      </c>
      <c r="CS35" s="565">
        <f>IF(CR35=0,0,1+COUNTIF(CS$6:CS34,"&gt;0"))</f>
        <v>0</v>
      </c>
      <c r="CT35" s="565">
        <f t="shared" si="24"/>
        <v>0</v>
      </c>
      <c r="CU35" s="565">
        <f>IF(CT35=0,0,1+COUNTIF(CU$6:CU34,"&gt;0"))</f>
        <v>0</v>
      </c>
      <c r="CV35" s="565">
        <f t="shared" si="25"/>
        <v>0</v>
      </c>
      <c r="CW35" s="565">
        <f>IF(CV35=0,0,1+COUNTIF(CW$6:CW34,"&gt;0"))</f>
        <v>0</v>
      </c>
      <c r="CX35" s="565">
        <f t="shared" si="26"/>
        <v>0</v>
      </c>
      <c r="CY35" s="565">
        <f>IF(CX35=0,0,1+COUNTIF(CY$6:CY34,"&gt;0"))</f>
        <v>0</v>
      </c>
      <c r="CZ35" s="565">
        <f t="shared" si="27"/>
        <v>0</v>
      </c>
      <c r="DA35" s="565">
        <f>IF(CZ35=0,0,1+COUNTIF(DA$6:DA34,"&gt;0"))</f>
        <v>0</v>
      </c>
      <c r="DB35" s="565">
        <f t="shared" si="28"/>
        <v>0</v>
      </c>
      <c r="DC35" s="565">
        <f>IF(DB35=0,0,1+COUNTIF(DC$6:DC34,"&gt;0"))</f>
        <v>0</v>
      </c>
      <c r="DD35" s="565"/>
      <c r="DE35" s="565"/>
      <c r="DF35" s="565"/>
    </row>
    <row r="36" spans="1:110" x14ac:dyDescent="0.25">
      <c r="A36" s="120"/>
      <c r="B36" s="120"/>
      <c r="C36" s="120"/>
      <c r="D36" s="120"/>
      <c r="E36" s="120"/>
      <c r="F36" s="120"/>
      <c r="G36" s="120"/>
      <c r="H36" s="120"/>
      <c r="I36" s="120"/>
      <c r="J36" s="565"/>
      <c r="K36" s="565"/>
      <c r="L36" s="565"/>
      <c r="M36" s="565"/>
      <c r="N36" s="565"/>
      <c r="O36" s="565"/>
      <c r="P36" s="565"/>
      <c r="Q36" s="565"/>
      <c r="R36" s="565"/>
      <c r="S36" s="565" t="str">
        <f t="shared" si="12"/>
        <v/>
      </c>
      <c r="T36" s="565"/>
      <c r="U36" s="565"/>
      <c r="V36" s="565"/>
      <c r="W36" s="565"/>
      <c r="X36" s="565"/>
      <c r="Y36" s="565"/>
      <c r="Z36" s="565"/>
      <c r="AA36" s="565"/>
      <c r="AB36" s="565" t="str">
        <f t="shared" si="13"/>
        <v/>
      </c>
      <c r="AC36" s="565"/>
      <c r="AD36" s="565"/>
      <c r="AE36" s="565"/>
      <c r="AF36" s="565"/>
      <c r="AG36" s="565"/>
      <c r="AH36" s="565"/>
      <c r="AI36" s="565"/>
      <c r="AJ36" s="565"/>
      <c r="AK36" s="565" t="str">
        <f t="shared" si="14"/>
        <v/>
      </c>
      <c r="AL36" s="565"/>
      <c r="AM36" s="565"/>
      <c r="AN36" s="565"/>
      <c r="AO36" s="565"/>
      <c r="AP36" s="565"/>
      <c r="AQ36" s="565"/>
      <c r="AR36" s="565"/>
      <c r="AS36" s="565"/>
      <c r="AT36" s="565" t="str">
        <f t="shared" si="15"/>
        <v/>
      </c>
      <c r="AU36" s="565"/>
      <c r="AV36" s="565"/>
      <c r="AW36" s="565"/>
      <c r="AX36" s="565"/>
      <c r="AY36" s="565"/>
      <c r="AZ36" s="565"/>
      <c r="BA36" s="565"/>
      <c r="BB36" s="565"/>
      <c r="BC36" s="565" t="str">
        <f t="shared" si="16"/>
        <v/>
      </c>
      <c r="BD36" s="565"/>
      <c r="BE36" s="565"/>
      <c r="BF36" s="565"/>
      <c r="BG36" s="565"/>
      <c r="BH36" s="565"/>
      <c r="BI36" s="565"/>
      <c r="BJ36" s="565"/>
      <c r="BK36" s="565"/>
      <c r="BL36" s="565" t="str">
        <f t="shared" si="17"/>
        <v/>
      </c>
      <c r="BM36" s="565"/>
      <c r="BN36" s="565"/>
      <c r="BO36" s="565"/>
      <c r="BP36" s="565"/>
      <c r="BQ36" s="565"/>
      <c r="BR36" s="565"/>
      <c r="BS36" s="565"/>
      <c r="BT36" s="565"/>
      <c r="BU36" s="565" t="str">
        <f t="shared" si="18"/>
        <v/>
      </c>
      <c r="BV36" s="565"/>
      <c r="BW36" s="565"/>
      <c r="BX36" s="565"/>
      <c r="BY36" s="565"/>
      <c r="BZ36" s="565"/>
      <c r="CA36" s="565"/>
      <c r="CB36" s="565"/>
      <c r="CC36" s="565" t="str">
        <f t="shared" si="19"/>
        <v/>
      </c>
      <c r="CD36" s="565"/>
      <c r="CE36" s="565"/>
      <c r="CF36" s="565"/>
      <c r="CG36" s="565"/>
      <c r="CH36" s="565"/>
      <c r="CI36" s="565">
        <v>31</v>
      </c>
      <c r="CJ36" s="565">
        <f>Character_Creation!X371</f>
        <v>0</v>
      </c>
      <c r="CK36" s="565" t="str">
        <f>Character_Creation!AB371</f>
        <v/>
      </c>
      <c r="CL36" s="565">
        <f t="shared" si="20"/>
        <v>0</v>
      </c>
      <c r="CM36" s="565">
        <f>IF(CL36=0,0,1+COUNTIF(CM$6:CM35,"&gt;0"))</f>
        <v>0</v>
      </c>
      <c r="CN36" s="565">
        <f t="shared" si="21"/>
        <v>0</v>
      </c>
      <c r="CO36" s="565">
        <f>IF(CN36=0,0,1+COUNTIF(CO$6:CO35,"&gt;0"))</f>
        <v>0</v>
      </c>
      <c r="CP36" s="565">
        <f t="shared" si="22"/>
        <v>0</v>
      </c>
      <c r="CQ36" s="565">
        <f>IF(CP36=0,0,1+COUNTIF(CQ$6:CQ35,"&gt;0"))</f>
        <v>0</v>
      </c>
      <c r="CR36" s="565">
        <f t="shared" si="23"/>
        <v>0</v>
      </c>
      <c r="CS36" s="565">
        <f>IF(CR36=0,0,1+COUNTIF(CS$6:CS35,"&gt;0"))</f>
        <v>0</v>
      </c>
      <c r="CT36" s="565">
        <f t="shared" si="24"/>
        <v>0</v>
      </c>
      <c r="CU36" s="565">
        <f>IF(CT36=0,0,1+COUNTIF(CU$6:CU35,"&gt;0"))</f>
        <v>0</v>
      </c>
      <c r="CV36" s="565">
        <f t="shared" si="25"/>
        <v>0</v>
      </c>
      <c r="CW36" s="565">
        <f>IF(CV36=0,0,1+COUNTIF(CW$6:CW35,"&gt;0"))</f>
        <v>0</v>
      </c>
      <c r="CX36" s="565">
        <f t="shared" si="26"/>
        <v>0</v>
      </c>
      <c r="CY36" s="565">
        <f>IF(CX36=0,0,1+COUNTIF(CY$6:CY35,"&gt;0"))</f>
        <v>0</v>
      </c>
      <c r="CZ36" s="565">
        <f t="shared" si="27"/>
        <v>0</v>
      </c>
      <c r="DA36" s="565">
        <f>IF(CZ36=0,0,1+COUNTIF(DA$6:DA35,"&gt;0"))</f>
        <v>0</v>
      </c>
      <c r="DB36" s="565">
        <f t="shared" si="28"/>
        <v>0</v>
      </c>
      <c r="DC36" s="565">
        <f>IF(DB36=0,0,1+COUNTIF(DC$6:DC35,"&gt;0"))</f>
        <v>0</v>
      </c>
      <c r="DD36" s="565"/>
      <c r="DE36" s="565"/>
      <c r="DF36" s="565"/>
    </row>
    <row r="37" spans="1:110" x14ac:dyDescent="0.25">
      <c r="A37" s="120"/>
      <c r="B37" s="1062" t="str">
        <f>"Wizard Spells (known&amp;prepared)"&amp;CHAR(10)&amp;M37&amp;V37&amp;AE37&amp;AN37&amp;AW37&amp;BF37&amp;BO37&amp;BX37&amp;CF37</f>
        <v xml:space="preserve">Wizard Spells (known&amp;prepared)
1st level: Find Familiar, 
3rd level: Fly, Haste, 
</v>
      </c>
      <c r="C37" s="1062"/>
      <c r="D37" s="1062"/>
      <c r="E37" s="1062"/>
      <c r="F37" s="1062"/>
      <c r="G37" s="1062"/>
      <c r="H37" s="1062"/>
      <c r="I37" s="590"/>
      <c r="J37" s="566">
        <v>1</v>
      </c>
      <c r="K37" s="565" t="str">
        <f>J6</f>
        <v xml:space="preserve">Find Familiar, </v>
      </c>
      <c r="L37" s="565" t="str">
        <f>K37</f>
        <v xml:space="preserve">Find Familiar, </v>
      </c>
      <c r="M37" s="565" t="str">
        <f>IF(M38="","","1st level: "&amp;M38&amp;CHAR(10))</f>
        <v xml:space="preserve">1st level: Find Familiar, 
</v>
      </c>
      <c r="N37" s="565"/>
      <c r="O37" s="565"/>
      <c r="P37" s="565"/>
      <c r="Q37" s="565"/>
      <c r="R37" s="565"/>
      <c r="S37" s="566">
        <v>1</v>
      </c>
      <c r="T37" s="565" t="str">
        <f>S6</f>
        <v/>
      </c>
      <c r="U37" s="565" t="str">
        <f>T37</f>
        <v/>
      </c>
      <c r="V37" s="565" t="str">
        <f>IF(V38="","","2nd level: "&amp;V38&amp;CHAR(10))</f>
        <v/>
      </c>
      <c r="W37" s="565"/>
      <c r="X37" s="565"/>
      <c r="Y37" s="565"/>
      <c r="Z37" s="565"/>
      <c r="AA37" s="565"/>
      <c r="AB37" s="566">
        <v>1</v>
      </c>
      <c r="AC37" s="565" t="str">
        <f>AB6</f>
        <v xml:space="preserve">Fly, </v>
      </c>
      <c r="AD37" s="565" t="str">
        <f>AC37</f>
        <v xml:space="preserve">Fly, </v>
      </c>
      <c r="AE37" s="565" t="str">
        <f>IF(AE38="","","3rd level: "&amp;AE38&amp;CHAR(10))</f>
        <v xml:space="preserve">3rd level: Fly, Haste, 
</v>
      </c>
      <c r="AF37" s="565"/>
      <c r="AG37" s="565"/>
      <c r="AH37" s="565"/>
      <c r="AI37" s="565"/>
      <c r="AJ37" s="565"/>
      <c r="AK37" s="566">
        <v>1</v>
      </c>
      <c r="AL37" s="565" t="str">
        <f>AK6</f>
        <v/>
      </c>
      <c r="AM37" s="565" t="str">
        <f>AL37</f>
        <v/>
      </c>
      <c r="AN37" s="565" t="str">
        <f>IF(AN38="","","4th level: "&amp;AN38&amp;CHAR(10))</f>
        <v/>
      </c>
      <c r="AO37" s="565"/>
      <c r="AP37" s="565"/>
      <c r="AQ37" s="565"/>
      <c r="AR37" s="565"/>
      <c r="AS37" s="565"/>
      <c r="AT37" s="566">
        <v>1</v>
      </c>
      <c r="AU37" s="565" t="str">
        <f>AT6</f>
        <v/>
      </c>
      <c r="AV37" s="565" t="str">
        <f>AU37</f>
        <v/>
      </c>
      <c r="AW37" s="565" t="str">
        <f>IF(AW38="","","5th level: "&amp;AW38&amp;CHAR(10))</f>
        <v/>
      </c>
      <c r="AX37" s="566"/>
      <c r="AY37" s="565"/>
      <c r="AZ37" s="565"/>
      <c r="BA37" s="565"/>
      <c r="BB37" s="565"/>
      <c r="BC37" s="566">
        <v>1</v>
      </c>
      <c r="BD37" s="565" t="str">
        <f>BC6</f>
        <v/>
      </c>
      <c r="BE37" s="565" t="str">
        <f>BD37</f>
        <v/>
      </c>
      <c r="BF37" s="565" t="str">
        <f>IF(BF38="","","6th level: "&amp;BF38&amp;CHAR(10))</f>
        <v/>
      </c>
      <c r="BG37" s="565"/>
      <c r="BH37" s="565"/>
      <c r="BI37" s="565"/>
      <c r="BJ37" s="565"/>
      <c r="BK37" s="565"/>
      <c r="BL37" s="566">
        <v>1</v>
      </c>
      <c r="BM37" s="565" t="str">
        <f>BL6</f>
        <v/>
      </c>
      <c r="BN37" s="565" t="str">
        <f>BM37</f>
        <v/>
      </c>
      <c r="BO37" s="565" t="str">
        <f>IF(BO38="","","7th level: "&amp;BO38&amp;CHAR(10))</f>
        <v/>
      </c>
      <c r="BP37" s="565"/>
      <c r="BQ37" s="565"/>
      <c r="BR37" s="565"/>
      <c r="BS37" s="565"/>
      <c r="BT37" s="565"/>
      <c r="BU37" s="566">
        <v>1</v>
      </c>
      <c r="BV37" s="565" t="str">
        <f>BU6</f>
        <v/>
      </c>
      <c r="BW37" s="565" t="str">
        <f>BV37</f>
        <v/>
      </c>
      <c r="BX37" s="565" t="str">
        <f>IF(BX38="","","8th level: "&amp;BX38&amp;CHAR(10))</f>
        <v/>
      </c>
      <c r="BY37" s="565"/>
      <c r="BZ37" s="565"/>
      <c r="CA37" s="565"/>
      <c r="CB37" s="565"/>
      <c r="CC37" s="566">
        <v>1</v>
      </c>
      <c r="CD37" s="565" t="str">
        <f>CC6</f>
        <v/>
      </c>
      <c r="CE37" s="565" t="str">
        <f>CD37</f>
        <v/>
      </c>
      <c r="CF37" s="565" t="str">
        <f>IF(CF38="","","9th level: "&amp;CF38&amp;CHAR(10))</f>
        <v/>
      </c>
      <c r="CG37" s="565"/>
      <c r="CH37" s="565"/>
      <c r="CI37" s="565">
        <v>32</v>
      </c>
      <c r="CJ37" s="565">
        <f>Character_Creation!X372</f>
        <v>0</v>
      </c>
      <c r="CK37" s="565" t="str">
        <f>Character_Creation!AB372</f>
        <v/>
      </c>
      <c r="CL37" s="565">
        <f t="shared" si="20"/>
        <v>0</v>
      </c>
      <c r="CM37" s="565">
        <f>IF(CL37=0,0,1+COUNTIF(CM$6:CM36,"&gt;0"))</f>
        <v>0</v>
      </c>
      <c r="CN37" s="565">
        <f t="shared" si="21"/>
        <v>0</v>
      </c>
      <c r="CO37" s="565">
        <f>IF(CN37=0,0,1+COUNTIF(CO$6:CO36,"&gt;0"))</f>
        <v>0</v>
      </c>
      <c r="CP37" s="565">
        <f t="shared" si="22"/>
        <v>0</v>
      </c>
      <c r="CQ37" s="565">
        <f>IF(CP37=0,0,1+COUNTIF(CQ$6:CQ36,"&gt;0"))</f>
        <v>0</v>
      </c>
      <c r="CR37" s="565">
        <f t="shared" si="23"/>
        <v>0</v>
      </c>
      <c r="CS37" s="565">
        <f>IF(CR37=0,0,1+COUNTIF(CS$6:CS36,"&gt;0"))</f>
        <v>0</v>
      </c>
      <c r="CT37" s="565">
        <f t="shared" si="24"/>
        <v>0</v>
      </c>
      <c r="CU37" s="565">
        <f>IF(CT37=0,0,1+COUNTIF(CU$6:CU36,"&gt;0"))</f>
        <v>0</v>
      </c>
      <c r="CV37" s="565">
        <f t="shared" si="25"/>
        <v>0</v>
      </c>
      <c r="CW37" s="565">
        <f>IF(CV37=0,0,1+COUNTIF(CW$6:CW36,"&gt;0"))</f>
        <v>0</v>
      </c>
      <c r="CX37" s="565">
        <f t="shared" si="26"/>
        <v>0</v>
      </c>
      <c r="CY37" s="565">
        <f>IF(CX37=0,0,1+COUNTIF(CY$6:CY36,"&gt;0"))</f>
        <v>0</v>
      </c>
      <c r="CZ37" s="565">
        <f t="shared" si="27"/>
        <v>0</v>
      </c>
      <c r="DA37" s="565">
        <f>IF(CZ37=0,0,1+COUNTIF(DA$6:DA36,"&gt;0"))</f>
        <v>0</v>
      </c>
      <c r="DB37" s="565">
        <f t="shared" si="28"/>
        <v>0</v>
      </c>
      <c r="DC37" s="565">
        <f>IF(DB37=0,0,1+COUNTIF(DC$6:DC36,"&gt;0"))</f>
        <v>0</v>
      </c>
      <c r="DD37" s="565"/>
      <c r="DE37" s="565"/>
      <c r="DF37" s="565"/>
    </row>
    <row r="38" spans="1:110" x14ac:dyDescent="0.25">
      <c r="A38" s="120"/>
      <c r="B38" s="1062"/>
      <c r="C38" s="1062"/>
      <c r="D38" s="1062"/>
      <c r="E38" s="1062"/>
      <c r="F38" s="1062"/>
      <c r="G38" s="1062"/>
      <c r="H38" s="1062"/>
      <c r="I38" s="590"/>
      <c r="J38" s="566">
        <v>2</v>
      </c>
      <c r="K38" s="565" t="str">
        <f t="shared" ref="K38:K66" si="29">J7</f>
        <v/>
      </c>
      <c r="L38" s="565" t="str">
        <f t="shared" ref="L38:L66" si="30">K38</f>
        <v/>
      </c>
      <c r="M38" s="565" t="str">
        <f>L37&amp;L38&amp;L39&amp;L40&amp;L41&amp;L42&amp;L43&amp;L44&amp;L45&amp;L46&amp;L48&amp;L47&amp;L49&amp;L50&amp;L51&amp;L52&amp;L54&amp;L55&amp;L53&amp;L56&amp;L57&amp;L58&amp;L59&amp;L60&amp;L61&amp;L62&amp;L63&amp;L64&amp;L65&amp;L66</f>
        <v xml:space="preserve">Find Familiar, </v>
      </c>
      <c r="N38" s="565"/>
      <c r="O38" s="565"/>
      <c r="P38" s="565"/>
      <c r="Q38" s="565"/>
      <c r="R38" s="565"/>
      <c r="S38" s="566">
        <v>2</v>
      </c>
      <c r="T38" s="565" t="str">
        <f t="shared" ref="T38:T66" si="31">S7</f>
        <v/>
      </c>
      <c r="U38" s="565" t="str">
        <f t="shared" ref="U38:U66" si="32">T38</f>
        <v/>
      </c>
      <c r="V38" s="565" t="str">
        <f>U37&amp;U38&amp;U39&amp;U40&amp;U41&amp;U42&amp;U43&amp;U44&amp;U45&amp;U46&amp;U48&amp;U47&amp;U49&amp;U50&amp;U51&amp;U52&amp;U54&amp;U55&amp;U53&amp;U56&amp;U57&amp;U58&amp;U59&amp;U60&amp;U61&amp;U62&amp;U63&amp;U64&amp;U65&amp;U66</f>
        <v/>
      </c>
      <c r="W38" s="565"/>
      <c r="X38" s="565"/>
      <c r="Y38" s="565"/>
      <c r="Z38" s="565"/>
      <c r="AA38" s="565"/>
      <c r="AB38" s="566">
        <v>2</v>
      </c>
      <c r="AC38" s="565" t="str">
        <f t="shared" ref="AC38:AC66" si="33">AB7</f>
        <v xml:space="preserve">Haste, </v>
      </c>
      <c r="AD38" s="565" t="str">
        <f t="shared" ref="AD38:AD66" si="34">AC38</f>
        <v xml:space="preserve">Haste, </v>
      </c>
      <c r="AE38" s="565" t="str">
        <f>AD37&amp;AD38&amp;AD39&amp;AD40&amp;AD41&amp;AD42&amp;AD43&amp;AD44&amp;AD45&amp;AD46&amp;AD48&amp;AD47&amp;AD49&amp;AD50&amp;AD51&amp;AD52&amp;AD54&amp;AD55&amp;AD53&amp;AD56&amp;AD57&amp;AD58&amp;AD59&amp;AD60&amp;AD61&amp;AD62&amp;AD63&amp;AD64&amp;AD65&amp;AD66</f>
        <v xml:space="preserve">Fly, Haste, </v>
      </c>
      <c r="AF38" s="565"/>
      <c r="AG38" s="565"/>
      <c r="AH38" s="565"/>
      <c r="AI38" s="565"/>
      <c r="AJ38" s="565"/>
      <c r="AK38" s="566">
        <v>2</v>
      </c>
      <c r="AL38" s="565" t="str">
        <f t="shared" ref="AL38:AL66" si="35">AK7</f>
        <v/>
      </c>
      <c r="AM38" s="565" t="str">
        <f t="shared" ref="AM38:AM66" si="36">AL38</f>
        <v/>
      </c>
      <c r="AN38" s="565" t="str">
        <f>AM37&amp;AM38&amp;AM39&amp;AM40&amp;AM41&amp;AM42&amp;AM43&amp;AM44&amp;AM45&amp;AM46&amp;AM48&amp;AM47&amp;AM49&amp;AM50&amp;AM51&amp;AM52&amp;AM54&amp;AM55&amp;AM53&amp;AM56&amp;AM57&amp;AM58&amp;AM59&amp;AM60&amp;AM61&amp;AM62&amp;AM63&amp;AM64&amp;AM65&amp;AM66</f>
        <v/>
      </c>
      <c r="AO38" s="565"/>
      <c r="AP38" s="565"/>
      <c r="AQ38" s="565"/>
      <c r="AR38" s="565"/>
      <c r="AS38" s="565"/>
      <c r="AT38" s="566">
        <v>2</v>
      </c>
      <c r="AU38" s="565" t="str">
        <f t="shared" ref="AU38:AU66" si="37">AT7</f>
        <v/>
      </c>
      <c r="AV38" s="565" t="str">
        <f t="shared" ref="AV38:AV66" si="38">AU38</f>
        <v/>
      </c>
      <c r="AW38" s="565" t="str">
        <f>AV37&amp;AV38&amp;AV39&amp;AV40&amp;AV41&amp;AV42&amp;AV43&amp;AV44&amp;AV45&amp;AV46&amp;AV48&amp;AV47&amp;AV49&amp;AV50&amp;AV51&amp;AV52&amp;AV54&amp;AV55&amp;AV53&amp;AV56&amp;AV57&amp;AV58&amp;AV59&amp;AV60&amp;AV61&amp;AV62&amp;AV63&amp;AV64&amp;AV65&amp;AV66</f>
        <v/>
      </c>
      <c r="AX38" s="566"/>
      <c r="AY38" s="565"/>
      <c r="AZ38" s="565"/>
      <c r="BA38" s="565"/>
      <c r="BB38" s="565"/>
      <c r="BC38" s="566">
        <v>2</v>
      </c>
      <c r="BD38" s="565" t="str">
        <f t="shared" ref="BD38:BD66" si="39">BC7</f>
        <v/>
      </c>
      <c r="BE38" s="565" t="str">
        <f t="shared" ref="BE38:BE66" si="40">BD38</f>
        <v/>
      </c>
      <c r="BF38" s="565" t="str">
        <f>BE37&amp;BE38&amp;BE39&amp;BE40&amp;BE41&amp;BE42&amp;BE43&amp;BE44&amp;BE45&amp;BE46&amp;BE48&amp;BE47&amp;BE49&amp;BE50&amp;BE51&amp;BE52&amp;BE54&amp;BE55&amp;BE53&amp;BE56&amp;BE57&amp;BE58&amp;BE59&amp;BE60&amp;BE61&amp;BE62&amp;BE63&amp;BE64&amp;BE65&amp;BE66</f>
        <v/>
      </c>
      <c r="BG38" s="565"/>
      <c r="BH38" s="565"/>
      <c r="BI38" s="565"/>
      <c r="BJ38" s="565"/>
      <c r="BK38" s="565"/>
      <c r="BL38" s="566">
        <v>2</v>
      </c>
      <c r="BM38" s="565" t="str">
        <f t="shared" ref="BM38:BM66" si="41">BL7</f>
        <v/>
      </c>
      <c r="BN38" s="565" t="str">
        <f t="shared" ref="BN38:BN66" si="42">BM38</f>
        <v/>
      </c>
      <c r="BO38" s="565" t="str">
        <f>BN37&amp;BN38&amp;BN39&amp;BN40&amp;BN41&amp;BN42&amp;BN43&amp;BN44&amp;BN45&amp;BN46&amp;BN48&amp;BN47&amp;BN49&amp;BN50&amp;BN51&amp;BN52&amp;BN54&amp;BN55&amp;BN53&amp;BN56&amp;BN57&amp;BN58&amp;BN59&amp;BN60&amp;BN61&amp;BN62&amp;BN63&amp;BN64&amp;BN65&amp;BN66</f>
        <v/>
      </c>
      <c r="BP38" s="565"/>
      <c r="BQ38" s="565"/>
      <c r="BR38" s="565"/>
      <c r="BS38" s="565"/>
      <c r="BT38" s="565"/>
      <c r="BU38" s="566">
        <v>2</v>
      </c>
      <c r="BV38" s="565" t="str">
        <f t="shared" ref="BV38:BV66" si="43">BU7</f>
        <v/>
      </c>
      <c r="BW38" s="565" t="str">
        <f t="shared" ref="BW38:BW66" si="44">BV38</f>
        <v/>
      </c>
      <c r="BX38" s="565" t="str">
        <f>BW37&amp;BW38&amp;BW39&amp;BW40&amp;BW41&amp;BW42&amp;BW43&amp;BW44&amp;BW45&amp;BW46&amp;BW48&amp;BW47&amp;BW49&amp;BW50&amp;BW51&amp;BW52&amp;BW54&amp;BW55&amp;BW53&amp;BW56&amp;BW57&amp;BW58&amp;BW59&amp;BW60&amp;BW61&amp;BW62&amp;BW63&amp;BW64&amp;BW65&amp;BW66</f>
        <v/>
      </c>
      <c r="BY38" s="565"/>
      <c r="BZ38" s="565"/>
      <c r="CA38" s="565"/>
      <c r="CB38" s="565"/>
      <c r="CC38" s="566">
        <v>2</v>
      </c>
      <c r="CD38" s="565" t="str">
        <f t="shared" ref="CD38:CD66" si="45">CC7</f>
        <v/>
      </c>
      <c r="CE38" s="565" t="str">
        <f t="shared" ref="CE38:CE66" si="46">CD38</f>
        <v/>
      </c>
      <c r="CF38" s="565" t="str">
        <f>CE37&amp;CE38&amp;CE39&amp;CE40&amp;CE41&amp;CE42&amp;CE43&amp;CE44&amp;CE45&amp;CE46&amp;CE48&amp;CE47&amp;CE49&amp;CE50&amp;CE51&amp;CE52&amp;CE54&amp;CE55&amp;CE53&amp;CE56&amp;CE57&amp;CE58&amp;CE59&amp;CE60&amp;CE61&amp;CE62&amp;CE63&amp;CE64&amp;CE65&amp;CE66</f>
        <v/>
      </c>
      <c r="CG38" s="565"/>
      <c r="CH38" s="565"/>
      <c r="CI38" s="565">
        <v>33</v>
      </c>
      <c r="CJ38" s="565">
        <f>Character_Creation!X373</f>
        <v>0</v>
      </c>
      <c r="CK38" s="565" t="str">
        <f>Character_Creation!AB373</f>
        <v/>
      </c>
      <c r="CL38" s="565">
        <f t="shared" si="20"/>
        <v>0</v>
      </c>
      <c r="CM38" s="565">
        <f>IF(CL38=0,0,1+COUNTIF(CM$6:CM37,"&gt;0"))</f>
        <v>0</v>
      </c>
      <c r="CN38" s="565">
        <f t="shared" si="21"/>
        <v>0</v>
      </c>
      <c r="CO38" s="565">
        <f>IF(CN38=0,0,1+COUNTIF(CO$6:CO37,"&gt;0"))</f>
        <v>0</v>
      </c>
      <c r="CP38" s="565">
        <f t="shared" si="22"/>
        <v>0</v>
      </c>
      <c r="CQ38" s="565">
        <f>IF(CP38=0,0,1+COUNTIF(CQ$6:CQ37,"&gt;0"))</f>
        <v>0</v>
      </c>
      <c r="CR38" s="565">
        <f t="shared" si="23"/>
        <v>0</v>
      </c>
      <c r="CS38" s="565">
        <f>IF(CR38=0,0,1+COUNTIF(CS$6:CS37,"&gt;0"))</f>
        <v>0</v>
      </c>
      <c r="CT38" s="565">
        <f t="shared" si="24"/>
        <v>0</v>
      </c>
      <c r="CU38" s="565">
        <f>IF(CT38=0,0,1+COUNTIF(CU$6:CU37,"&gt;0"))</f>
        <v>0</v>
      </c>
      <c r="CV38" s="565">
        <f t="shared" si="25"/>
        <v>0</v>
      </c>
      <c r="CW38" s="565">
        <f>IF(CV38=0,0,1+COUNTIF(CW$6:CW37,"&gt;0"))</f>
        <v>0</v>
      </c>
      <c r="CX38" s="565">
        <f t="shared" si="26"/>
        <v>0</v>
      </c>
      <c r="CY38" s="565">
        <f>IF(CX38=0,0,1+COUNTIF(CY$6:CY37,"&gt;0"))</f>
        <v>0</v>
      </c>
      <c r="CZ38" s="565">
        <f t="shared" si="27"/>
        <v>0</v>
      </c>
      <c r="DA38" s="565">
        <f>IF(CZ38=0,0,1+COUNTIF(DA$6:DA37,"&gt;0"))</f>
        <v>0</v>
      </c>
      <c r="DB38" s="565">
        <f t="shared" si="28"/>
        <v>0</v>
      </c>
      <c r="DC38" s="565">
        <f>IF(DB38=0,0,1+COUNTIF(DC$6:DC37,"&gt;0"))</f>
        <v>0</v>
      </c>
      <c r="DD38" s="565"/>
      <c r="DE38" s="565"/>
      <c r="DF38" s="565"/>
    </row>
    <row r="39" spans="1:110" x14ac:dyDescent="0.25">
      <c r="A39" s="120"/>
      <c r="B39" s="1062"/>
      <c r="C39" s="1062"/>
      <c r="D39" s="1062"/>
      <c r="E39" s="1062"/>
      <c r="F39" s="1062"/>
      <c r="G39" s="1062"/>
      <c r="H39" s="1062"/>
      <c r="I39" s="590"/>
      <c r="J39" s="566">
        <v>3</v>
      </c>
      <c r="K39" s="565" t="str">
        <f t="shared" si="29"/>
        <v/>
      </c>
      <c r="L39" s="565" t="str">
        <f t="shared" si="30"/>
        <v/>
      </c>
      <c r="M39" s="565"/>
      <c r="N39" s="565"/>
      <c r="O39" s="565"/>
      <c r="P39" s="565"/>
      <c r="Q39" s="565"/>
      <c r="R39" s="565"/>
      <c r="S39" s="566">
        <v>3</v>
      </c>
      <c r="T39" s="565" t="str">
        <f t="shared" si="31"/>
        <v/>
      </c>
      <c r="U39" s="565" t="str">
        <f t="shared" si="32"/>
        <v/>
      </c>
      <c r="V39" s="565"/>
      <c r="W39" s="565"/>
      <c r="X39" s="565"/>
      <c r="Y39" s="565"/>
      <c r="Z39" s="565"/>
      <c r="AA39" s="565"/>
      <c r="AB39" s="566">
        <v>3</v>
      </c>
      <c r="AC39" s="565" t="str">
        <f t="shared" si="33"/>
        <v/>
      </c>
      <c r="AD39" s="565" t="str">
        <f t="shared" si="34"/>
        <v/>
      </c>
      <c r="AE39" s="565"/>
      <c r="AF39" s="565"/>
      <c r="AG39" s="565"/>
      <c r="AH39" s="565"/>
      <c r="AI39" s="565"/>
      <c r="AJ39" s="565"/>
      <c r="AK39" s="566">
        <v>3</v>
      </c>
      <c r="AL39" s="565" t="str">
        <f t="shared" si="35"/>
        <v/>
      </c>
      <c r="AM39" s="565" t="str">
        <f t="shared" si="36"/>
        <v/>
      </c>
      <c r="AN39" s="565"/>
      <c r="AO39" s="565"/>
      <c r="AP39" s="565"/>
      <c r="AQ39" s="565"/>
      <c r="AR39" s="565"/>
      <c r="AS39" s="565"/>
      <c r="AT39" s="566">
        <v>3</v>
      </c>
      <c r="AU39" s="565" t="str">
        <f t="shared" si="37"/>
        <v/>
      </c>
      <c r="AV39" s="565" t="str">
        <f t="shared" si="38"/>
        <v/>
      </c>
      <c r="AW39" s="565"/>
      <c r="AX39" s="566"/>
      <c r="AY39" s="565"/>
      <c r="AZ39" s="565"/>
      <c r="BA39" s="565"/>
      <c r="BB39" s="565"/>
      <c r="BC39" s="566">
        <v>3</v>
      </c>
      <c r="BD39" s="565" t="str">
        <f t="shared" si="39"/>
        <v/>
      </c>
      <c r="BE39" s="565" t="str">
        <f t="shared" si="40"/>
        <v/>
      </c>
      <c r="BF39" s="565"/>
      <c r="BG39" s="565"/>
      <c r="BH39" s="565"/>
      <c r="BI39" s="565"/>
      <c r="BJ39" s="565"/>
      <c r="BK39" s="565"/>
      <c r="BL39" s="566">
        <v>3</v>
      </c>
      <c r="BM39" s="565" t="str">
        <f t="shared" si="41"/>
        <v/>
      </c>
      <c r="BN39" s="565" t="str">
        <f t="shared" si="42"/>
        <v/>
      </c>
      <c r="BO39" s="565"/>
      <c r="BP39" s="565"/>
      <c r="BQ39" s="565"/>
      <c r="BR39" s="565"/>
      <c r="BS39" s="565"/>
      <c r="BT39" s="565"/>
      <c r="BU39" s="566">
        <v>3</v>
      </c>
      <c r="BV39" s="565" t="str">
        <f t="shared" si="43"/>
        <v/>
      </c>
      <c r="BW39" s="565" t="str">
        <f t="shared" si="44"/>
        <v/>
      </c>
      <c r="BX39" s="565"/>
      <c r="BY39" s="565"/>
      <c r="BZ39" s="565"/>
      <c r="CA39" s="565"/>
      <c r="CB39" s="565"/>
      <c r="CC39" s="566">
        <v>3</v>
      </c>
      <c r="CD39" s="565" t="str">
        <f t="shared" si="45"/>
        <v/>
      </c>
      <c r="CE39" s="565" t="str">
        <f t="shared" si="46"/>
        <v/>
      </c>
      <c r="CF39" s="565"/>
      <c r="CG39" s="565"/>
      <c r="CH39" s="565"/>
      <c r="CI39" s="565">
        <v>34</v>
      </c>
      <c r="CJ39" s="565">
        <f>Character_Creation!X374</f>
        <v>0</v>
      </c>
      <c r="CK39" s="565" t="str">
        <f>Character_Creation!AB374</f>
        <v/>
      </c>
      <c r="CL39" s="565">
        <f t="shared" si="20"/>
        <v>0</v>
      </c>
      <c r="CM39" s="565">
        <f>IF(CL39=0,0,1+COUNTIF(CM$6:CM38,"&gt;0"))</f>
        <v>0</v>
      </c>
      <c r="CN39" s="565">
        <f t="shared" si="21"/>
        <v>0</v>
      </c>
      <c r="CO39" s="565">
        <f>IF(CN39=0,0,1+COUNTIF(CO$6:CO38,"&gt;0"))</f>
        <v>0</v>
      </c>
      <c r="CP39" s="565">
        <f t="shared" si="22"/>
        <v>0</v>
      </c>
      <c r="CQ39" s="565">
        <f>IF(CP39=0,0,1+COUNTIF(CQ$6:CQ38,"&gt;0"))</f>
        <v>0</v>
      </c>
      <c r="CR39" s="565">
        <f t="shared" si="23"/>
        <v>0</v>
      </c>
      <c r="CS39" s="565">
        <f>IF(CR39=0,0,1+COUNTIF(CS$6:CS38,"&gt;0"))</f>
        <v>0</v>
      </c>
      <c r="CT39" s="565">
        <f t="shared" si="24"/>
        <v>0</v>
      </c>
      <c r="CU39" s="565">
        <f>IF(CT39=0,0,1+COUNTIF(CU$6:CU38,"&gt;0"))</f>
        <v>0</v>
      </c>
      <c r="CV39" s="565">
        <f t="shared" si="25"/>
        <v>0</v>
      </c>
      <c r="CW39" s="565">
        <f>IF(CV39=0,0,1+COUNTIF(CW$6:CW38,"&gt;0"))</f>
        <v>0</v>
      </c>
      <c r="CX39" s="565">
        <f t="shared" si="26"/>
        <v>0</v>
      </c>
      <c r="CY39" s="565">
        <f>IF(CX39=0,0,1+COUNTIF(CY$6:CY38,"&gt;0"))</f>
        <v>0</v>
      </c>
      <c r="CZ39" s="565">
        <f t="shared" si="27"/>
        <v>0</v>
      </c>
      <c r="DA39" s="565">
        <f>IF(CZ39=0,0,1+COUNTIF(DA$6:DA38,"&gt;0"))</f>
        <v>0</v>
      </c>
      <c r="DB39" s="565">
        <f t="shared" si="28"/>
        <v>0</v>
      </c>
      <c r="DC39" s="565">
        <f>IF(DB39=0,0,1+COUNTIF(DC$6:DC38,"&gt;0"))</f>
        <v>0</v>
      </c>
      <c r="DD39" s="565"/>
      <c r="DE39" s="565"/>
      <c r="DF39" s="565"/>
    </row>
    <row r="40" spans="1:110" x14ac:dyDescent="0.25">
      <c r="A40" s="120"/>
      <c r="B40" s="1062"/>
      <c r="C40" s="1062"/>
      <c r="D40" s="1062"/>
      <c r="E40" s="1062"/>
      <c r="F40" s="1062"/>
      <c r="G40" s="1062"/>
      <c r="H40" s="1062"/>
      <c r="I40" s="590"/>
      <c r="J40" s="566">
        <v>4</v>
      </c>
      <c r="K40" s="565" t="str">
        <f t="shared" si="29"/>
        <v/>
      </c>
      <c r="L40" s="565" t="str">
        <f t="shared" si="30"/>
        <v/>
      </c>
      <c r="M40" s="565"/>
      <c r="N40" s="565"/>
      <c r="O40" s="565"/>
      <c r="P40" s="565"/>
      <c r="Q40" s="565"/>
      <c r="R40" s="565"/>
      <c r="S40" s="566">
        <v>4</v>
      </c>
      <c r="T40" s="565" t="str">
        <f t="shared" si="31"/>
        <v/>
      </c>
      <c r="U40" s="565" t="str">
        <f t="shared" si="32"/>
        <v/>
      </c>
      <c r="V40" s="565"/>
      <c r="W40" s="565"/>
      <c r="X40" s="565"/>
      <c r="Y40" s="565"/>
      <c r="Z40" s="565"/>
      <c r="AA40" s="565"/>
      <c r="AB40" s="566">
        <v>4</v>
      </c>
      <c r="AC40" s="565" t="str">
        <f t="shared" si="33"/>
        <v/>
      </c>
      <c r="AD40" s="565" t="str">
        <f t="shared" si="34"/>
        <v/>
      </c>
      <c r="AE40" s="565"/>
      <c r="AF40" s="565"/>
      <c r="AG40" s="565"/>
      <c r="AH40" s="565"/>
      <c r="AI40" s="565"/>
      <c r="AJ40" s="565"/>
      <c r="AK40" s="566">
        <v>4</v>
      </c>
      <c r="AL40" s="565" t="str">
        <f t="shared" si="35"/>
        <v/>
      </c>
      <c r="AM40" s="565" t="str">
        <f t="shared" si="36"/>
        <v/>
      </c>
      <c r="AN40" s="565"/>
      <c r="AO40" s="565"/>
      <c r="AP40" s="565"/>
      <c r="AQ40" s="565"/>
      <c r="AR40" s="565"/>
      <c r="AS40" s="565"/>
      <c r="AT40" s="566">
        <v>4</v>
      </c>
      <c r="AU40" s="565" t="str">
        <f t="shared" si="37"/>
        <v/>
      </c>
      <c r="AV40" s="565" t="str">
        <f t="shared" si="38"/>
        <v/>
      </c>
      <c r="AW40" s="565"/>
      <c r="AX40" s="566"/>
      <c r="AY40" s="565"/>
      <c r="AZ40" s="565"/>
      <c r="BA40" s="565"/>
      <c r="BB40" s="565"/>
      <c r="BC40" s="566">
        <v>4</v>
      </c>
      <c r="BD40" s="565" t="str">
        <f t="shared" si="39"/>
        <v/>
      </c>
      <c r="BE40" s="565" t="str">
        <f t="shared" si="40"/>
        <v/>
      </c>
      <c r="BF40" s="565"/>
      <c r="BG40" s="565"/>
      <c r="BH40" s="565"/>
      <c r="BI40" s="565"/>
      <c r="BJ40" s="565"/>
      <c r="BK40" s="565"/>
      <c r="BL40" s="566">
        <v>4</v>
      </c>
      <c r="BM40" s="565" t="str">
        <f t="shared" si="41"/>
        <v/>
      </c>
      <c r="BN40" s="565" t="str">
        <f t="shared" si="42"/>
        <v/>
      </c>
      <c r="BO40" s="565"/>
      <c r="BP40" s="565"/>
      <c r="BQ40" s="565"/>
      <c r="BR40" s="565"/>
      <c r="BS40" s="565"/>
      <c r="BT40" s="565"/>
      <c r="BU40" s="566">
        <v>4</v>
      </c>
      <c r="BV40" s="565" t="str">
        <f t="shared" si="43"/>
        <v/>
      </c>
      <c r="BW40" s="565" t="str">
        <f t="shared" si="44"/>
        <v/>
      </c>
      <c r="BX40" s="565"/>
      <c r="BY40" s="565"/>
      <c r="BZ40" s="565"/>
      <c r="CA40" s="565"/>
      <c r="CB40" s="565"/>
      <c r="CC40" s="566">
        <v>4</v>
      </c>
      <c r="CD40" s="565" t="str">
        <f t="shared" si="45"/>
        <v/>
      </c>
      <c r="CE40" s="565" t="str">
        <f t="shared" si="46"/>
        <v/>
      </c>
      <c r="CF40" s="565"/>
      <c r="CG40" s="565"/>
      <c r="CH40" s="565"/>
      <c r="CI40" s="565">
        <v>35</v>
      </c>
      <c r="CJ40" s="565">
        <f>Character_Creation!X375</f>
        <v>0</v>
      </c>
      <c r="CK40" s="565" t="str">
        <f>Character_Creation!AB375</f>
        <v/>
      </c>
      <c r="CL40" s="565">
        <f t="shared" si="20"/>
        <v>0</v>
      </c>
      <c r="CM40" s="565">
        <f>IF(CL40=0,0,1+COUNTIF(CM$6:CM39,"&gt;0"))</f>
        <v>0</v>
      </c>
      <c r="CN40" s="565">
        <f t="shared" si="21"/>
        <v>0</v>
      </c>
      <c r="CO40" s="565">
        <f>IF(CN40=0,0,1+COUNTIF(CO$6:CO39,"&gt;0"))</f>
        <v>0</v>
      </c>
      <c r="CP40" s="565">
        <f t="shared" si="22"/>
        <v>0</v>
      </c>
      <c r="CQ40" s="565">
        <f>IF(CP40=0,0,1+COUNTIF(CQ$6:CQ39,"&gt;0"))</f>
        <v>0</v>
      </c>
      <c r="CR40" s="565">
        <f t="shared" si="23"/>
        <v>0</v>
      </c>
      <c r="CS40" s="565">
        <f>IF(CR40=0,0,1+COUNTIF(CS$6:CS39,"&gt;0"))</f>
        <v>0</v>
      </c>
      <c r="CT40" s="565">
        <f t="shared" si="24"/>
        <v>0</v>
      </c>
      <c r="CU40" s="565">
        <f>IF(CT40=0,0,1+COUNTIF(CU$6:CU39,"&gt;0"))</f>
        <v>0</v>
      </c>
      <c r="CV40" s="565">
        <f t="shared" si="25"/>
        <v>0</v>
      </c>
      <c r="CW40" s="565">
        <f>IF(CV40=0,0,1+COUNTIF(CW$6:CW39,"&gt;0"))</f>
        <v>0</v>
      </c>
      <c r="CX40" s="565">
        <f t="shared" si="26"/>
        <v>0</v>
      </c>
      <c r="CY40" s="565">
        <f>IF(CX40=0,0,1+COUNTIF(CY$6:CY39,"&gt;0"))</f>
        <v>0</v>
      </c>
      <c r="CZ40" s="565">
        <f t="shared" si="27"/>
        <v>0</v>
      </c>
      <c r="DA40" s="565">
        <f>IF(CZ40=0,0,1+COUNTIF(DA$6:DA39,"&gt;0"))</f>
        <v>0</v>
      </c>
      <c r="DB40" s="565">
        <f t="shared" si="28"/>
        <v>0</v>
      </c>
      <c r="DC40" s="565">
        <f>IF(DB40=0,0,1+COUNTIF(DC$6:DC39,"&gt;0"))</f>
        <v>0</v>
      </c>
      <c r="DD40" s="565"/>
      <c r="DE40" s="565"/>
      <c r="DF40" s="565"/>
    </row>
    <row r="41" spans="1:110" x14ac:dyDescent="0.25">
      <c r="A41" s="120"/>
      <c r="B41" s="1062"/>
      <c r="C41" s="1062"/>
      <c r="D41" s="1062"/>
      <c r="E41" s="1062"/>
      <c r="F41" s="1062"/>
      <c r="G41" s="1062"/>
      <c r="H41" s="1062"/>
      <c r="I41" s="590"/>
      <c r="J41" s="566">
        <v>5</v>
      </c>
      <c r="K41" s="565" t="str">
        <f t="shared" si="29"/>
        <v/>
      </c>
      <c r="L41" s="565" t="str">
        <f t="shared" si="30"/>
        <v/>
      </c>
      <c r="M41" s="565"/>
      <c r="N41" s="565"/>
      <c r="O41" s="565"/>
      <c r="P41" s="565"/>
      <c r="Q41" s="565"/>
      <c r="R41" s="565"/>
      <c r="S41" s="566">
        <v>5</v>
      </c>
      <c r="T41" s="565" t="str">
        <f t="shared" si="31"/>
        <v/>
      </c>
      <c r="U41" s="565" t="str">
        <f t="shared" si="32"/>
        <v/>
      </c>
      <c r="V41" s="565"/>
      <c r="W41" s="565"/>
      <c r="X41" s="565"/>
      <c r="Y41" s="565"/>
      <c r="Z41" s="565"/>
      <c r="AA41" s="565"/>
      <c r="AB41" s="566">
        <v>5</v>
      </c>
      <c r="AC41" s="565" t="str">
        <f t="shared" si="33"/>
        <v/>
      </c>
      <c r="AD41" s="565" t="str">
        <f t="shared" si="34"/>
        <v/>
      </c>
      <c r="AE41" s="565"/>
      <c r="AF41" s="565"/>
      <c r="AG41" s="565"/>
      <c r="AH41" s="565"/>
      <c r="AI41" s="565"/>
      <c r="AJ41" s="565"/>
      <c r="AK41" s="566">
        <v>5</v>
      </c>
      <c r="AL41" s="565" t="str">
        <f t="shared" si="35"/>
        <v/>
      </c>
      <c r="AM41" s="565" t="str">
        <f t="shared" si="36"/>
        <v/>
      </c>
      <c r="AN41" s="565"/>
      <c r="AO41" s="565"/>
      <c r="AP41" s="565"/>
      <c r="AQ41" s="565"/>
      <c r="AR41" s="565"/>
      <c r="AS41" s="565"/>
      <c r="AT41" s="566">
        <v>5</v>
      </c>
      <c r="AU41" s="565" t="str">
        <f t="shared" si="37"/>
        <v/>
      </c>
      <c r="AV41" s="565" t="str">
        <f t="shared" si="38"/>
        <v/>
      </c>
      <c r="AW41" s="565"/>
      <c r="AX41" s="566"/>
      <c r="AY41" s="565"/>
      <c r="AZ41" s="565"/>
      <c r="BA41" s="565"/>
      <c r="BB41" s="565"/>
      <c r="BC41" s="566">
        <v>5</v>
      </c>
      <c r="BD41" s="565" t="str">
        <f t="shared" si="39"/>
        <v/>
      </c>
      <c r="BE41" s="565" t="str">
        <f t="shared" si="40"/>
        <v/>
      </c>
      <c r="BF41" s="565"/>
      <c r="BG41" s="565"/>
      <c r="BH41" s="565"/>
      <c r="BI41" s="565"/>
      <c r="BJ41" s="565"/>
      <c r="BK41" s="565"/>
      <c r="BL41" s="566">
        <v>5</v>
      </c>
      <c r="BM41" s="565" t="str">
        <f t="shared" si="41"/>
        <v/>
      </c>
      <c r="BN41" s="565" t="str">
        <f t="shared" si="42"/>
        <v/>
      </c>
      <c r="BO41" s="565"/>
      <c r="BP41" s="565"/>
      <c r="BQ41" s="565"/>
      <c r="BR41" s="565"/>
      <c r="BS41" s="565"/>
      <c r="BT41" s="565"/>
      <c r="BU41" s="566">
        <v>5</v>
      </c>
      <c r="BV41" s="565" t="str">
        <f t="shared" si="43"/>
        <v/>
      </c>
      <c r="BW41" s="565" t="str">
        <f t="shared" si="44"/>
        <v/>
      </c>
      <c r="BX41" s="565"/>
      <c r="BY41" s="565"/>
      <c r="BZ41" s="565"/>
      <c r="CA41" s="565"/>
      <c r="CB41" s="565"/>
      <c r="CC41" s="566">
        <v>5</v>
      </c>
      <c r="CD41" s="565" t="str">
        <f t="shared" si="45"/>
        <v/>
      </c>
      <c r="CE41" s="565" t="str">
        <f t="shared" si="46"/>
        <v/>
      </c>
      <c r="CF41" s="565"/>
      <c r="CG41" s="565"/>
      <c r="CH41" s="565"/>
      <c r="CI41" s="565">
        <v>36</v>
      </c>
      <c r="CJ41" s="565">
        <f>Character_Creation!X376</f>
        <v>0</v>
      </c>
      <c r="CK41" s="565" t="str">
        <f>Character_Creation!AB376</f>
        <v/>
      </c>
      <c r="CL41" s="565">
        <f t="shared" si="20"/>
        <v>0</v>
      </c>
      <c r="CM41" s="565">
        <f>IF(CL41=0,0,1+COUNTIF(CM$6:CM40,"&gt;0"))</f>
        <v>0</v>
      </c>
      <c r="CN41" s="565">
        <f t="shared" si="21"/>
        <v>0</v>
      </c>
      <c r="CO41" s="565">
        <f>IF(CN41=0,0,1+COUNTIF(CO$6:CO40,"&gt;0"))</f>
        <v>0</v>
      </c>
      <c r="CP41" s="565">
        <f t="shared" si="22"/>
        <v>0</v>
      </c>
      <c r="CQ41" s="565">
        <f>IF(CP41=0,0,1+COUNTIF(CQ$6:CQ40,"&gt;0"))</f>
        <v>0</v>
      </c>
      <c r="CR41" s="565">
        <f t="shared" si="23"/>
        <v>0</v>
      </c>
      <c r="CS41" s="565">
        <f>IF(CR41=0,0,1+COUNTIF(CS$6:CS40,"&gt;0"))</f>
        <v>0</v>
      </c>
      <c r="CT41" s="565">
        <f t="shared" si="24"/>
        <v>0</v>
      </c>
      <c r="CU41" s="565">
        <f>IF(CT41=0,0,1+COUNTIF(CU$6:CU40,"&gt;0"))</f>
        <v>0</v>
      </c>
      <c r="CV41" s="565">
        <f t="shared" si="25"/>
        <v>0</v>
      </c>
      <c r="CW41" s="565">
        <f>IF(CV41=0,0,1+COUNTIF(CW$6:CW40,"&gt;0"))</f>
        <v>0</v>
      </c>
      <c r="CX41" s="565">
        <f t="shared" si="26"/>
        <v>0</v>
      </c>
      <c r="CY41" s="565">
        <f>IF(CX41=0,0,1+COUNTIF(CY$6:CY40,"&gt;0"))</f>
        <v>0</v>
      </c>
      <c r="CZ41" s="565">
        <f t="shared" si="27"/>
        <v>0</v>
      </c>
      <c r="DA41" s="565">
        <f>IF(CZ41=0,0,1+COUNTIF(DA$6:DA40,"&gt;0"))</f>
        <v>0</v>
      </c>
      <c r="DB41" s="565">
        <f t="shared" si="28"/>
        <v>0</v>
      </c>
      <c r="DC41" s="565">
        <f>IF(DB41=0,0,1+COUNTIF(DC$6:DC40,"&gt;0"))</f>
        <v>0</v>
      </c>
      <c r="DD41" s="565"/>
      <c r="DE41" s="565"/>
      <c r="DF41" s="565"/>
    </row>
    <row r="42" spans="1:110" x14ac:dyDescent="0.25">
      <c r="A42" s="120"/>
      <c r="B42" s="1062"/>
      <c r="C42" s="1062"/>
      <c r="D42" s="1062"/>
      <c r="E42" s="1062"/>
      <c r="F42" s="1062"/>
      <c r="G42" s="1062"/>
      <c r="H42" s="1062"/>
      <c r="I42" s="590"/>
      <c r="J42" s="566">
        <v>6</v>
      </c>
      <c r="K42" s="565" t="str">
        <f t="shared" si="29"/>
        <v/>
      </c>
      <c r="L42" s="565" t="str">
        <f t="shared" si="30"/>
        <v/>
      </c>
      <c r="M42" s="565"/>
      <c r="N42" s="565"/>
      <c r="O42" s="565"/>
      <c r="P42" s="565"/>
      <c r="Q42" s="565"/>
      <c r="R42" s="565"/>
      <c r="S42" s="566">
        <v>6</v>
      </c>
      <c r="T42" s="565" t="str">
        <f t="shared" si="31"/>
        <v/>
      </c>
      <c r="U42" s="565" t="str">
        <f t="shared" si="32"/>
        <v/>
      </c>
      <c r="V42" s="565"/>
      <c r="W42" s="565"/>
      <c r="X42" s="565"/>
      <c r="Y42" s="565"/>
      <c r="Z42" s="565"/>
      <c r="AA42" s="565"/>
      <c r="AB42" s="566">
        <v>6</v>
      </c>
      <c r="AC42" s="565" t="str">
        <f t="shared" si="33"/>
        <v/>
      </c>
      <c r="AD42" s="565" t="str">
        <f t="shared" si="34"/>
        <v/>
      </c>
      <c r="AE42" s="565"/>
      <c r="AF42" s="565"/>
      <c r="AG42" s="565"/>
      <c r="AH42" s="565"/>
      <c r="AI42" s="565"/>
      <c r="AJ42" s="565"/>
      <c r="AK42" s="566">
        <v>6</v>
      </c>
      <c r="AL42" s="565" t="str">
        <f t="shared" si="35"/>
        <v/>
      </c>
      <c r="AM42" s="565" t="str">
        <f t="shared" si="36"/>
        <v/>
      </c>
      <c r="AN42" s="565"/>
      <c r="AO42" s="565"/>
      <c r="AP42" s="565"/>
      <c r="AQ42" s="565"/>
      <c r="AR42" s="565"/>
      <c r="AS42" s="565"/>
      <c r="AT42" s="566">
        <v>6</v>
      </c>
      <c r="AU42" s="565" t="str">
        <f t="shared" si="37"/>
        <v/>
      </c>
      <c r="AV42" s="565" t="str">
        <f t="shared" si="38"/>
        <v/>
      </c>
      <c r="AW42" s="565"/>
      <c r="AX42" s="566"/>
      <c r="AY42" s="565"/>
      <c r="AZ42" s="565"/>
      <c r="BA42" s="565"/>
      <c r="BB42" s="565"/>
      <c r="BC42" s="566">
        <v>6</v>
      </c>
      <c r="BD42" s="565" t="str">
        <f t="shared" si="39"/>
        <v/>
      </c>
      <c r="BE42" s="565" t="str">
        <f t="shared" si="40"/>
        <v/>
      </c>
      <c r="BF42" s="565"/>
      <c r="BG42" s="565"/>
      <c r="BH42" s="565"/>
      <c r="BI42" s="565"/>
      <c r="BJ42" s="565"/>
      <c r="BK42" s="565"/>
      <c r="BL42" s="566">
        <v>6</v>
      </c>
      <c r="BM42" s="565" t="str">
        <f t="shared" si="41"/>
        <v/>
      </c>
      <c r="BN42" s="565" t="str">
        <f t="shared" si="42"/>
        <v/>
      </c>
      <c r="BO42" s="565"/>
      <c r="BP42" s="565"/>
      <c r="BQ42" s="565"/>
      <c r="BR42" s="565"/>
      <c r="BS42" s="565"/>
      <c r="BT42" s="565"/>
      <c r="BU42" s="566">
        <v>6</v>
      </c>
      <c r="BV42" s="565" t="str">
        <f t="shared" si="43"/>
        <v/>
      </c>
      <c r="BW42" s="565" t="str">
        <f t="shared" si="44"/>
        <v/>
      </c>
      <c r="BX42" s="565"/>
      <c r="BY42" s="565"/>
      <c r="BZ42" s="565"/>
      <c r="CA42" s="565"/>
      <c r="CB42" s="565"/>
      <c r="CC42" s="566">
        <v>6</v>
      </c>
      <c r="CD42" s="565" t="str">
        <f t="shared" si="45"/>
        <v/>
      </c>
      <c r="CE42" s="565" t="str">
        <f t="shared" si="46"/>
        <v/>
      </c>
      <c r="CF42" s="565"/>
      <c r="CG42" s="565"/>
      <c r="CH42" s="565"/>
      <c r="CI42" s="565">
        <v>37</v>
      </c>
      <c r="CJ42" s="565">
        <f>Character_Creation!X377</f>
        <v>0</v>
      </c>
      <c r="CK42" s="565" t="str">
        <f>Character_Creation!AB377</f>
        <v/>
      </c>
      <c r="CL42" s="565">
        <f t="shared" si="20"/>
        <v>0</v>
      </c>
      <c r="CM42" s="565">
        <f>IF(CL42=0,0,1+COUNTIF(CM$6:CM41,"&gt;0"))</f>
        <v>0</v>
      </c>
      <c r="CN42" s="565">
        <f t="shared" si="21"/>
        <v>0</v>
      </c>
      <c r="CO42" s="565">
        <f>IF(CN42=0,0,1+COUNTIF(CO$6:CO41,"&gt;0"))</f>
        <v>0</v>
      </c>
      <c r="CP42" s="565">
        <f t="shared" si="22"/>
        <v>0</v>
      </c>
      <c r="CQ42" s="565">
        <f>IF(CP42=0,0,1+COUNTIF(CQ$6:CQ41,"&gt;0"))</f>
        <v>0</v>
      </c>
      <c r="CR42" s="565">
        <f t="shared" si="23"/>
        <v>0</v>
      </c>
      <c r="CS42" s="565">
        <f>IF(CR42=0,0,1+COUNTIF(CS$6:CS41,"&gt;0"))</f>
        <v>0</v>
      </c>
      <c r="CT42" s="565">
        <f t="shared" si="24"/>
        <v>0</v>
      </c>
      <c r="CU42" s="565">
        <f>IF(CT42=0,0,1+COUNTIF(CU$6:CU41,"&gt;0"))</f>
        <v>0</v>
      </c>
      <c r="CV42" s="565">
        <f t="shared" si="25"/>
        <v>0</v>
      </c>
      <c r="CW42" s="565">
        <f>IF(CV42=0,0,1+COUNTIF(CW$6:CW41,"&gt;0"))</f>
        <v>0</v>
      </c>
      <c r="CX42" s="565">
        <f t="shared" si="26"/>
        <v>0</v>
      </c>
      <c r="CY42" s="565">
        <f>IF(CX42=0,0,1+COUNTIF(CY$6:CY41,"&gt;0"))</f>
        <v>0</v>
      </c>
      <c r="CZ42" s="565">
        <f t="shared" si="27"/>
        <v>0</v>
      </c>
      <c r="DA42" s="565">
        <f>IF(CZ42=0,0,1+COUNTIF(DA$6:DA41,"&gt;0"))</f>
        <v>0</v>
      </c>
      <c r="DB42" s="565">
        <f t="shared" si="28"/>
        <v>0</v>
      </c>
      <c r="DC42" s="565">
        <f>IF(DB42=0,0,1+COUNTIF(DC$6:DC41,"&gt;0"))</f>
        <v>0</v>
      </c>
      <c r="DD42" s="565"/>
      <c r="DE42" s="565"/>
      <c r="DF42" s="565"/>
    </row>
    <row r="43" spans="1:110" x14ac:dyDescent="0.25">
      <c r="A43" s="120"/>
      <c r="B43" s="1062"/>
      <c r="C43" s="1062"/>
      <c r="D43" s="1062"/>
      <c r="E43" s="1062"/>
      <c r="F43" s="1062"/>
      <c r="G43" s="1062"/>
      <c r="H43" s="1062"/>
      <c r="I43" s="590"/>
      <c r="J43" s="566">
        <v>7</v>
      </c>
      <c r="K43" s="565" t="str">
        <f t="shared" si="29"/>
        <v/>
      </c>
      <c r="L43" s="565" t="str">
        <f t="shared" si="30"/>
        <v/>
      </c>
      <c r="M43" s="565"/>
      <c r="N43" s="565"/>
      <c r="O43" s="565"/>
      <c r="P43" s="565"/>
      <c r="Q43" s="565"/>
      <c r="R43" s="565"/>
      <c r="S43" s="566">
        <v>7</v>
      </c>
      <c r="T43" s="565" t="str">
        <f t="shared" si="31"/>
        <v/>
      </c>
      <c r="U43" s="565" t="str">
        <f t="shared" si="32"/>
        <v/>
      </c>
      <c r="V43" s="565"/>
      <c r="W43" s="565"/>
      <c r="X43" s="565"/>
      <c r="Y43" s="565"/>
      <c r="Z43" s="565"/>
      <c r="AA43" s="565"/>
      <c r="AB43" s="566">
        <v>7</v>
      </c>
      <c r="AC43" s="565" t="str">
        <f t="shared" si="33"/>
        <v/>
      </c>
      <c r="AD43" s="565" t="str">
        <f t="shared" si="34"/>
        <v/>
      </c>
      <c r="AE43" s="565"/>
      <c r="AF43" s="565"/>
      <c r="AG43" s="565"/>
      <c r="AH43" s="565"/>
      <c r="AI43" s="565"/>
      <c r="AJ43" s="565"/>
      <c r="AK43" s="566">
        <v>7</v>
      </c>
      <c r="AL43" s="565" t="str">
        <f t="shared" si="35"/>
        <v/>
      </c>
      <c r="AM43" s="565" t="str">
        <f t="shared" si="36"/>
        <v/>
      </c>
      <c r="AN43" s="565"/>
      <c r="AO43" s="565"/>
      <c r="AP43" s="565"/>
      <c r="AQ43" s="565"/>
      <c r="AR43" s="565"/>
      <c r="AS43" s="565"/>
      <c r="AT43" s="566">
        <v>7</v>
      </c>
      <c r="AU43" s="565" t="str">
        <f t="shared" si="37"/>
        <v/>
      </c>
      <c r="AV43" s="565" t="str">
        <f t="shared" si="38"/>
        <v/>
      </c>
      <c r="AW43" s="565"/>
      <c r="AX43" s="566"/>
      <c r="AY43" s="565"/>
      <c r="AZ43" s="565"/>
      <c r="BA43" s="565"/>
      <c r="BB43" s="565"/>
      <c r="BC43" s="566">
        <v>7</v>
      </c>
      <c r="BD43" s="565" t="str">
        <f t="shared" si="39"/>
        <v/>
      </c>
      <c r="BE43" s="565" t="str">
        <f t="shared" si="40"/>
        <v/>
      </c>
      <c r="BF43" s="565"/>
      <c r="BG43" s="565"/>
      <c r="BH43" s="565"/>
      <c r="BI43" s="565"/>
      <c r="BJ43" s="565"/>
      <c r="BK43" s="565"/>
      <c r="BL43" s="566">
        <v>7</v>
      </c>
      <c r="BM43" s="565" t="str">
        <f t="shared" si="41"/>
        <v/>
      </c>
      <c r="BN43" s="565" t="str">
        <f t="shared" si="42"/>
        <v/>
      </c>
      <c r="BO43" s="565"/>
      <c r="BP43" s="565"/>
      <c r="BQ43" s="565"/>
      <c r="BR43" s="565"/>
      <c r="BS43" s="565"/>
      <c r="BT43" s="565"/>
      <c r="BU43" s="566">
        <v>7</v>
      </c>
      <c r="BV43" s="565" t="str">
        <f t="shared" si="43"/>
        <v/>
      </c>
      <c r="BW43" s="565" t="str">
        <f t="shared" si="44"/>
        <v/>
      </c>
      <c r="BX43" s="565"/>
      <c r="BY43" s="565"/>
      <c r="BZ43" s="565"/>
      <c r="CA43" s="565"/>
      <c r="CB43" s="565"/>
      <c r="CC43" s="566">
        <v>7</v>
      </c>
      <c r="CD43" s="565" t="str">
        <f t="shared" si="45"/>
        <v/>
      </c>
      <c r="CE43" s="565" t="str">
        <f t="shared" si="46"/>
        <v/>
      </c>
      <c r="CF43" s="565"/>
      <c r="CG43" s="565"/>
      <c r="CH43" s="565"/>
      <c r="CI43" s="565">
        <v>38</v>
      </c>
      <c r="CJ43" s="565">
        <f>Character_Creation!X378</f>
        <v>0</v>
      </c>
      <c r="CK43" s="565" t="str">
        <f>Character_Creation!AB378</f>
        <v/>
      </c>
      <c r="CL43" s="565">
        <f t="shared" si="20"/>
        <v>0</v>
      </c>
      <c r="CM43" s="565">
        <f>IF(CL43=0,0,1+COUNTIF(CM$6:CM42,"&gt;0"))</f>
        <v>0</v>
      </c>
      <c r="CN43" s="565">
        <f t="shared" si="21"/>
        <v>0</v>
      </c>
      <c r="CO43" s="565">
        <f>IF(CN43=0,0,1+COUNTIF(CO$6:CO42,"&gt;0"))</f>
        <v>0</v>
      </c>
      <c r="CP43" s="565">
        <f t="shared" si="22"/>
        <v>0</v>
      </c>
      <c r="CQ43" s="565">
        <f>IF(CP43=0,0,1+COUNTIF(CQ$6:CQ42,"&gt;0"))</f>
        <v>0</v>
      </c>
      <c r="CR43" s="565">
        <f t="shared" si="23"/>
        <v>0</v>
      </c>
      <c r="CS43" s="565">
        <f>IF(CR43=0,0,1+COUNTIF(CS$6:CS42,"&gt;0"))</f>
        <v>0</v>
      </c>
      <c r="CT43" s="565">
        <f t="shared" si="24"/>
        <v>0</v>
      </c>
      <c r="CU43" s="565">
        <f>IF(CT43=0,0,1+COUNTIF(CU$6:CU42,"&gt;0"))</f>
        <v>0</v>
      </c>
      <c r="CV43" s="565">
        <f t="shared" si="25"/>
        <v>0</v>
      </c>
      <c r="CW43" s="565">
        <f>IF(CV43=0,0,1+COUNTIF(CW$6:CW42,"&gt;0"))</f>
        <v>0</v>
      </c>
      <c r="CX43" s="565">
        <f t="shared" si="26"/>
        <v>0</v>
      </c>
      <c r="CY43" s="565">
        <f>IF(CX43=0,0,1+COUNTIF(CY$6:CY42,"&gt;0"))</f>
        <v>0</v>
      </c>
      <c r="CZ43" s="565">
        <f t="shared" si="27"/>
        <v>0</v>
      </c>
      <c r="DA43" s="565">
        <f>IF(CZ43=0,0,1+COUNTIF(DA$6:DA42,"&gt;0"))</f>
        <v>0</v>
      </c>
      <c r="DB43" s="565">
        <f t="shared" si="28"/>
        <v>0</v>
      </c>
      <c r="DC43" s="565">
        <f>IF(DB43=0,0,1+COUNTIF(DC$6:DC42,"&gt;0"))</f>
        <v>0</v>
      </c>
      <c r="DD43" s="565"/>
      <c r="DE43" s="565"/>
      <c r="DF43" s="565"/>
    </row>
    <row r="44" spans="1:110" x14ac:dyDescent="0.25">
      <c r="A44" s="120"/>
      <c r="B44" s="1062"/>
      <c r="C44" s="1062"/>
      <c r="D44" s="1062"/>
      <c r="E44" s="1062"/>
      <c r="F44" s="1062"/>
      <c r="G44" s="1062"/>
      <c r="H44" s="1062"/>
      <c r="I44" s="590"/>
      <c r="J44" s="566">
        <v>8</v>
      </c>
      <c r="K44" s="565" t="str">
        <f t="shared" si="29"/>
        <v/>
      </c>
      <c r="L44" s="565" t="str">
        <f t="shared" si="30"/>
        <v/>
      </c>
      <c r="M44" s="565"/>
      <c r="N44" s="565"/>
      <c r="O44" s="565"/>
      <c r="P44" s="565"/>
      <c r="Q44" s="565"/>
      <c r="R44" s="565"/>
      <c r="S44" s="566">
        <v>8</v>
      </c>
      <c r="T44" s="565" t="str">
        <f t="shared" si="31"/>
        <v/>
      </c>
      <c r="U44" s="565" t="str">
        <f t="shared" si="32"/>
        <v/>
      </c>
      <c r="V44" s="565"/>
      <c r="W44" s="565"/>
      <c r="X44" s="565"/>
      <c r="Y44" s="565"/>
      <c r="Z44" s="565"/>
      <c r="AA44" s="565"/>
      <c r="AB44" s="566">
        <v>8</v>
      </c>
      <c r="AC44" s="565" t="str">
        <f t="shared" si="33"/>
        <v/>
      </c>
      <c r="AD44" s="565" t="str">
        <f t="shared" si="34"/>
        <v/>
      </c>
      <c r="AE44" s="565"/>
      <c r="AF44" s="565"/>
      <c r="AG44" s="565"/>
      <c r="AH44" s="565"/>
      <c r="AI44" s="565"/>
      <c r="AJ44" s="565"/>
      <c r="AK44" s="566">
        <v>8</v>
      </c>
      <c r="AL44" s="565" t="str">
        <f t="shared" si="35"/>
        <v/>
      </c>
      <c r="AM44" s="565" t="str">
        <f t="shared" si="36"/>
        <v/>
      </c>
      <c r="AN44" s="565"/>
      <c r="AO44" s="565"/>
      <c r="AP44" s="565"/>
      <c r="AQ44" s="565"/>
      <c r="AR44" s="565"/>
      <c r="AS44" s="565"/>
      <c r="AT44" s="566">
        <v>8</v>
      </c>
      <c r="AU44" s="565" t="str">
        <f t="shared" si="37"/>
        <v/>
      </c>
      <c r="AV44" s="565" t="str">
        <f t="shared" si="38"/>
        <v/>
      </c>
      <c r="AW44" s="565"/>
      <c r="AX44" s="566"/>
      <c r="AY44" s="565"/>
      <c r="AZ44" s="565"/>
      <c r="BA44" s="565"/>
      <c r="BB44" s="565"/>
      <c r="BC44" s="566">
        <v>8</v>
      </c>
      <c r="BD44" s="565" t="str">
        <f t="shared" si="39"/>
        <v/>
      </c>
      <c r="BE44" s="565" t="str">
        <f t="shared" si="40"/>
        <v/>
      </c>
      <c r="BF44" s="565"/>
      <c r="BG44" s="565"/>
      <c r="BH44" s="565"/>
      <c r="BI44" s="565"/>
      <c r="BJ44" s="565"/>
      <c r="BK44" s="565"/>
      <c r="BL44" s="566">
        <v>8</v>
      </c>
      <c r="BM44" s="565" t="str">
        <f t="shared" si="41"/>
        <v/>
      </c>
      <c r="BN44" s="565" t="str">
        <f t="shared" si="42"/>
        <v/>
      </c>
      <c r="BO44" s="565"/>
      <c r="BP44" s="565"/>
      <c r="BQ44" s="565"/>
      <c r="BR44" s="565"/>
      <c r="BS44" s="565"/>
      <c r="BT44" s="565"/>
      <c r="BU44" s="566">
        <v>8</v>
      </c>
      <c r="BV44" s="565" t="str">
        <f t="shared" si="43"/>
        <v/>
      </c>
      <c r="BW44" s="565" t="str">
        <f t="shared" si="44"/>
        <v/>
      </c>
      <c r="BX44" s="565"/>
      <c r="BY44" s="565"/>
      <c r="BZ44" s="565"/>
      <c r="CA44" s="565"/>
      <c r="CB44" s="565"/>
      <c r="CC44" s="566">
        <v>8</v>
      </c>
      <c r="CD44" s="565" t="str">
        <f t="shared" si="45"/>
        <v/>
      </c>
      <c r="CE44" s="565" t="str">
        <f t="shared" si="46"/>
        <v/>
      </c>
      <c r="CF44" s="565"/>
      <c r="CG44" s="565"/>
      <c r="CH44" s="565"/>
      <c r="CI44" s="565">
        <v>39</v>
      </c>
      <c r="CJ44" s="565">
        <f>Character_Creation!X379</f>
        <v>0</v>
      </c>
      <c r="CK44" s="565" t="str">
        <f>Character_Creation!AB379</f>
        <v/>
      </c>
      <c r="CL44" s="565">
        <f t="shared" si="20"/>
        <v>0</v>
      </c>
      <c r="CM44" s="565">
        <f>IF(CL44=0,0,1+COUNTIF(CM$6:CM43,"&gt;0"))</f>
        <v>0</v>
      </c>
      <c r="CN44" s="565">
        <f t="shared" si="21"/>
        <v>0</v>
      </c>
      <c r="CO44" s="565">
        <f>IF(CN44=0,0,1+COUNTIF(CO$6:CO43,"&gt;0"))</f>
        <v>0</v>
      </c>
      <c r="CP44" s="565">
        <f t="shared" si="22"/>
        <v>0</v>
      </c>
      <c r="CQ44" s="565">
        <f>IF(CP44=0,0,1+COUNTIF(CQ$6:CQ43,"&gt;0"))</f>
        <v>0</v>
      </c>
      <c r="CR44" s="565">
        <f t="shared" si="23"/>
        <v>0</v>
      </c>
      <c r="CS44" s="565">
        <f>IF(CR44=0,0,1+COUNTIF(CS$6:CS43,"&gt;0"))</f>
        <v>0</v>
      </c>
      <c r="CT44" s="565">
        <f t="shared" si="24"/>
        <v>0</v>
      </c>
      <c r="CU44" s="565">
        <f>IF(CT44=0,0,1+COUNTIF(CU$6:CU43,"&gt;0"))</f>
        <v>0</v>
      </c>
      <c r="CV44" s="565">
        <f t="shared" si="25"/>
        <v>0</v>
      </c>
      <c r="CW44" s="565">
        <f>IF(CV44=0,0,1+COUNTIF(CW$6:CW43,"&gt;0"))</f>
        <v>0</v>
      </c>
      <c r="CX44" s="565">
        <f t="shared" si="26"/>
        <v>0</v>
      </c>
      <c r="CY44" s="565">
        <f>IF(CX44=0,0,1+COUNTIF(CY$6:CY43,"&gt;0"))</f>
        <v>0</v>
      </c>
      <c r="CZ44" s="565">
        <f t="shared" si="27"/>
        <v>0</v>
      </c>
      <c r="DA44" s="565">
        <f>IF(CZ44=0,0,1+COUNTIF(DA$6:DA43,"&gt;0"))</f>
        <v>0</v>
      </c>
      <c r="DB44" s="565">
        <f t="shared" si="28"/>
        <v>0</v>
      </c>
      <c r="DC44" s="565">
        <f>IF(DB44=0,0,1+COUNTIF(DC$6:DC43,"&gt;0"))</f>
        <v>0</v>
      </c>
      <c r="DD44" s="565"/>
      <c r="DE44" s="565"/>
      <c r="DF44" s="565"/>
    </row>
    <row r="45" spans="1:110" x14ac:dyDescent="0.25">
      <c r="A45" s="120"/>
      <c r="B45" s="1062"/>
      <c r="C45" s="1062"/>
      <c r="D45" s="1062"/>
      <c r="E45" s="1062"/>
      <c r="F45" s="1062"/>
      <c r="G45" s="1062"/>
      <c r="H45" s="1062"/>
      <c r="I45" s="590"/>
      <c r="J45" s="566">
        <v>9</v>
      </c>
      <c r="K45" s="565" t="str">
        <f t="shared" si="29"/>
        <v/>
      </c>
      <c r="L45" s="565" t="str">
        <f t="shared" si="30"/>
        <v/>
      </c>
      <c r="M45" s="565"/>
      <c r="N45" s="565"/>
      <c r="O45" s="565"/>
      <c r="P45" s="565"/>
      <c r="Q45" s="565"/>
      <c r="R45" s="565"/>
      <c r="S45" s="566">
        <v>9</v>
      </c>
      <c r="T45" s="565" t="str">
        <f t="shared" si="31"/>
        <v/>
      </c>
      <c r="U45" s="565" t="str">
        <f t="shared" si="32"/>
        <v/>
      </c>
      <c r="V45" s="565"/>
      <c r="W45" s="565"/>
      <c r="X45" s="565"/>
      <c r="Y45" s="565"/>
      <c r="Z45" s="565"/>
      <c r="AA45" s="565"/>
      <c r="AB45" s="566">
        <v>9</v>
      </c>
      <c r="AC45" s="565" t="str">
        <f t="shared" si="33"/>
        <v/>
      </c>
      <c r="AD45" s="565" t="str">
        <f t="shared" si="34"/>
        <v/>
      </c>
      <c r="AE45" s="565"/>
      <c r="AF45" s="565"/>
      <c r="AG45" s="565"/>
      <c r="AH45" s="565"/>
      <c r="AI45" s="565"/>
      <c r="AJ45" s="565"/>
      <c r="AK45" s="566">
        <v>9</v>
      </c>
      <c r="AL45" s="565" t="str">
        <f t="shared" si="35"/>
        <v/>
      </c>
      <c r="AM45" s="565" t="str">
        <f t="shared" si="36"/>
        <v/>
      </c>
      <c r="AN45" s="565"/>
      <c r="AO45" s="565"/>
      <c r="AP45" s="565"/>
      <c r="AQ45" s="565"/>
      <c r="AR45" s="565"/>
      <c r="AS45" s="565"/>
      <c r="AT45" s="566">
        <v>9</v>
      </c>
      <c r="AU45" s="565" t="str">
        <f t="shared" si="37"/>
        <v/>
      </c>
      <c r="AV45" s="565" t="str">
        <f t="shared" si="38"/>
        <v/>
      </c>
      <c r="AW45" s="565"/>
      <c r="AX45" s="566"/>
      <c r="AY45" s="565"/>
      <c r="AZ45" s="565"/>
      <c r="BA45" s="565"/>
      <c r="BB45" s="565"/>
      <c r="BC45" s="566">
        <v>9</v>
      </c>
      <c r="BD45" s="565" t="str">
        <f t="shared" si="39"/>
        <v/>
      </c>
      <c r="BE45" s="565" t="str">
        <f t="shared" si="40"/>
        <v/>
      </c>
      <c r="BF45" s="565"/>
      <c r="BG45" s="565"/>
      <c r="BH45" s="565"/>
      <c r="BI45" s="565"/>
      <c r="BJ45" s="565"/>
      <c r="BK45" s="565"/>
      <c r="BL45" s="566">
        <v>9</v>
      </c>
      <c r="BM45" s="565" t="str">
        <f t="shared" si="41"/>
        <v/>
      </c>
      <c r="BN45" s="565" t="str">
        <f t="shared" si="42"/>
        <v/>
      </c>
      <c r="BO45" s="565"/>
      <c r="BP45" s="565"/>
      <c r="BQ45" s="565"/>
      <c r="BR45" s="565"/>
      <c r="BS45" s="565"/>
      <c r="BT45" s="565"/>
      <c r="BU45" s="566">
        <v>9</v>
      </c>
      <c r="BV45" s="565" t="str">
        <f t="shared" si="43"/>
        <v/>
      </c>
      <c r="BW45" s="565" t="str">
        <f t="shared" si="44"/>
        <v/>
      </c>
      <c r="BX45" s="565"/>
      <c r="BY45" s="565"/>
      <c r="BZ45" s="565"/>
      <c r="CA45" s="565"/>
      <c r="CB45" s="565"/>
      <c r="CC45" s="566">
        <v>9</v>
      </c>
      <c r="CD45" s="565" t="str">
        <f t="shared" si="45"/>
        <v/>
      </c>
      <c r="CE45" s="565" t="str">
        <f t="shared" si="46"/>
        <v/>
      </c>
      <c r="CF45" s="565"/>
      <c r="CG45" s="565"/>
      <c r="CH45" s="565"/>
      <c r="CI45" s="565">
        <v>40</v>
      </c>
      <c r="CJ45" s="565">
        <f>Character_Creation!X380</f>
        <v>0</v>
      </c>
      <c r="CK45" s="565" t="str">
        <f>Character_Creation!AB380</f>
        <v/>
      </c>
      <c r="CL45" s="565">
        <f t="shared" si="20"/>
        <v>0</v>
      </c>
      <c r="CM45" s="565">
        <f>IF(CL45=0,0,1+COUNTIF(CM$6:CM44,"&gt;0"))</f>
        <v>0</v>
      </c>
      <c r="CN45" s="565">
        <f t="shared" si="21"/>
        <v>0</v>
      </c>
      <c r="CO45" s="565">
        <f>IF(CN45=0,0,1+COUNTIF(CO$6:CO44,"&gt;0"))</f>
        <v>0</v>
      </c>
      <c r="CP45" s="565">
        <f t="shared" si="22"/>
        <v>0</v>
      </c>
      <c r="CQ45" s="565">
        <f>IF(CP45=0,0,1+COUNTIF(CQ$6:CQ44,"&gt;0"))</f>
        <v>0</v>
      </c>
      <c r="CR45" s="565">
        <f t="shared" si="23"/>
        <v>0</v>
      </c>
      <c r="CS45" s="565">
        <f>IF(CR45=0,0,1+COUNTIF(CS$6:CS44,"&gt;0"))</f>
        <v>0</v>
      </c>
      <c r="CT45" s="565">
        <f t="shared" si="24"/>
        <v>0</v>
      </c>
      <c r="CU45" s="565">
        <f>IF(CT45=0,0,1+COUNTIF(CU$6:CU44,"&gt;0"))</f>
        <v>0</v>
      </c>
      <c r="CV45" s="565">
        <f t="shared" si="25"/>
        <v>0</v>
      </c>
      <c r="CW45" s="565">
        <f>IF(CV45=0,0,1+COUNTIF(CW$6:CW44,"&gt;0"))</f>
        <v>0</v>
      </c>
      <c r="CX45" s="565">
        <f t="shared" si="26"/>
        <v>0</v>
      </c>
      <c r="CY45" s="565">
        <f>IF(CX45=0,0,1+COUNTIF(CY$6:CY44,"&gt;0"))</f>
        <v>0</v>
      </c>
      <c r="CZ45" s="565">
        <f t="shared" si="27"/>
        <v>0</v>
      </c>
      <c r="DA45" s="565">
        <f>IF(CZ45=0,0,1+COUNTIF(DA$6:DA44,"&gt;0"))</f>
        <v>0</v>
      </c>
      <c r="DB45" s="565">
        <f t="shared" si="28"/>
        <v>0</v>
      </c>
      <c r="DC45" s="565">
        <f>IF(DB45=0,0,1+COUNTIF(DC$6:DC44,"&gt;0"))</f>
        <v>0</v>
      </c>
      <c r="DD45" s="565"/>
      <c r="DE45" s="565"/>
      <c r="DF45" s="565"/>
    </row>
    <row r="46" spans="1:110" x14ac:dyDescent="0.25">
      <c r="A46" s="120"/>
      <c r="B46" s="1062"/>
      <c r="C46" s="1062"/>
      <c r="D46" s="1062"/>
      <c r="E46" s="1062"/>
      <c r="F46" s="1062"/>
      <c r="G46" s="1062"/>
      <c r="H46" s="1062"/>
      <c r="I46" s="590"/>
      <c r="J46" s="566">
        <v>10</v>
      </c>
      <c r="K46" s="565" t="str">
        <f t="shared" si="29"/>
        <v/>
      </c>
      <c r="L46" s="565" t="str">
        <f t="shared" si="30"/>
        <v/>
      </c>
      <c r="M46" s="565"/>
      <c r="N46" s="565"/>
      <c r="O46" s="565"/>
      <c r="P46" s="565"/>
      <c r="Q46" s="565"/>
      <c r="R46" s="565"/>
      <c r="S46" s="566">
        <v>10</v>
      </c>
      <c r="T46" s="565" t="str">
        <f t="shared" si="31"/>
        <v/>
      </c>
      <c r="U46" s="565" t="str">
        <f t="shared" si="32"/>
        <v/>
      </c>
      <c r="V46" s="565"/>
      <c r="W46" s="565"/>
      <c r="X46" s="565"/>
      <c r="Y46" s="565"/>
      <c r="Z46" s="565"/>
      <c r="AA46" s="565"/>
      <c r="AB46" s="566">
        <v>10</v>
      </c>
      <c r="AC46" s="565" t="str">
        <f t="shared" si="33"/>
        <v/>
      </c>
      <c r="AD46" s="565" t="str">
        <f t="shared" si="34"/>
        <v/>
      </c>
      <c r="AE46" s="565"/>
      <c r="AF46" s="565"/>
      <c r="AG46" s="565"/>
      <c r="AH46" s="565"/>
      <c r="AI46" s="565"/>
      <c r="AJ46" s="565"/>
      <c r="AK46" s="566">
        <v>10</v>
      </c>
      <c r="AL46" s="565" t="str">
        <f t="shared" si="35"/>
        <v/>
      </c>
      <c r="AM46" s="565" t="str">
        <f t="shared" si="36"/>
        <v/>
      </c>
      <c r="AN46" s="565"/>
      <c r="AO46" s="565"/>
      <c r="AP46" s="565"/>
      <c r="AQ46" s="565"/>
      <c r="AR46" s="565"/>
      <c r="AS46" s="565"/>
      <c r="AT46" s="566">
        <v>10</v>
      </c>
      <c r="AU46" s="565" t="str">
        <f t="shared" si="37"/>
        <v/>
      </c>
      <c r="AV46" s="565" t="str">
        <f t="shared" si="38"/>
        <v/>
      </c>
      <c r="AW46" s="565"/>
      <c r="AX46" s="566"/>
      <c r="AY46" s="565"/>
      <c r="AZ46" s="565"/>
      <c r="BA46" s="565"/>
      <c r="BB46" s="565"/>
      <c r="BC46" s="566">
        <v>10</v>
      </c>
      <c r="BD46" s="565" t="str">
        <f t="shared" si="39"/>
        <v/>
      </c>
      <c r="BE46" s="565" t="str">
        <f t="shared" si="40"/>
        <v/>
      </c>
      <c r="BF46" s="565"/>
      <c r="BG46" s="565"/>
      <c r="BH46" s="565"/>
      <c r="BI46" s="565"/>
      <c r="BJ46" s="565"/>
      <c r="BK46" s="565"/>
      <c r="BL46" s="566">
        <v>10</v>
      </c>
      <c r="BM46" s="565" t="str">
        <f t="shared" si="41"/>
        <v/>
      </c>
      <c r="BN46" s="565" t="str">
        <f t="shared" si="42"/>
        <v/>
      </c>
      <c r="BO46" s="565"/>
      <c r="BP46" s="565"/>
      <c r="BQ46" s="565"/>
      <c r="BR46" s="565"/>
      <c r="BS46" s="565"/>
      <c r="BT46" s="565"/>
      <c r="BU46" s="566">
        <v>10</v>
      </c>
      <c r="BV46" s="565" t="str">
        <f t="shared" si="43"/>
        <v/>
      </c>
      <c r="BW46" s="565" t="str">
        <f t="shared" si="44"/>
        <v/>
      </c>
      <c r="BX46" s="565"/>
      <c r="BY46" s="565"/>
      <c r="BZ46" s="565"/>
      <c r="CA46" s="565"/>
      <c r="CB46" s="565"/>
      <c r="CC46" s="566">
        <v>10</v>
      </c>
      <c r="CD46" s="565" t="str">
        <f t="shared" si="45"/>
        <v/>
      </c>
      <c r="CE46" s="565" t="str">
        <f t="shared" si="46"/>
        <v/>
      </c>
      <c r="CF46" s="565"/>
      <c r="CG46" s="565"/>
      <c r="CH46" s="565"/>
      <c r="CI46" s="565">
        <v>41</v>
      </c>
      <c r="CJ46" s="565">
        <f>Character_Creation!X381</f>
        <v>0</v>
      </c>
      <c r="CK46" s="565" t="str">
        <f>Character_Creation!AB381</f>
        <v/>
      </c>
      <c r="CL46" s="565">
        <f t="shared" si="20"/>
        <v>0</v>
      </c>
      <c r="CM46" s="565">
        <f>IF(CL46=0,0,1+COUNTIF(CM$6:CM45,"&gt;0"))</f>
        <v>0</v>
      </c>
      <c r="CN46" s="565">
        <f t="shared" si="21"/>
        <v>0</v>
      </c>
      <c r="CO46" s="565">
        <f>IF(CN46=0,0,1+COUNTIF(CO$6:CO45,"&gt;0"))</f>
        <v>0</v>
      </c>
      <c r="CP46" s="565">
        <f t="shared" si="22"/>
        <v>0</v>
      </c>
      <c r="CQ46" s="565">
        <f>IF(CP46=0,0,1+COUNTIF(CQ$6:CQ45,"&gt;0"))</f>
        <v>0</v>
      </c>
      <c r="CR46" s="565">
        <f t="shared" si="23"/>
        <v>0</v>
      </c>
      <c r="CS46" s="565">
        <f>IF(CR46=0,0,1+COUNTIF(CS$6:CS45,"&gt;0"))</f>
        <v>0</v>
      </c>
      <c r="CT46" s="565">
        <f t="shared" si="24"/>
        <v>0</v>
      </c>
      <c r="CU46" s="565">
        <f>IF(CT46=0,0,1+COUNTIF(CU$6:CU45,"&gt;0"))</f>
        <v>0</v>
      </c>
      <c r="CV46" s="565">
        <f t="shared" si="25"/>
        <v>0</v>
      </c>
      <c r="CW46" s="565">
        <f>IF(CV46=0,0,1+COUNTIF(CW$6:CW45,"&gt;0"))</f>
        <v>0</v>
      </c>
      <c r="CX46" s="565">
        <f t="shared" si="26"/>
        <v>0</v>
      </c>
      <c r="CY46" s="565">
        <f>IF(CX46=0,0,1+COUNTIF(CY$6:CY45,"&gt;0"))</f>
        <v>0</v>
      </c>
      <c r="CZ46" s="565">
        <f t="shared" si="27"/>
        <v>0</v>
      </c>
      <c r="DA46" s="565">
        <f>IF(CZ46=0,0,1+COUNTIF(DA$6:DA45,"&gt;0"))</f>
        <v>0</v>
      </c>
      <c r="DB46" s="565">
        <f t="shared" si="28"/>
        <v>0</v>
      </c>
      <c r="DC46" s="565">
        <f>IF(DB46=0,0,1+COUNTIF(DC$6:DC45,"&gt;0"))</f>
        <v>0</v>
      </c>
      <c r="DD46" s="565"/>
      <c r="DE46" s="565"/>
      <c r="DF46" s="565"/>
    </row>
    <row r="47" spans="1:110" x14ac:dyDescent="0.25">
      <c r="A47" s="120"/>
      <c r="B47" s="1062"/>
      <c r="C47" s="1062"/>
      <c r="D47" s="1062"/>
      <c r="E47" s="1062"/>
      <c r="F47" s="1062"/>
      <c r="G47" s="1062"/>
      <c r="H47" s="1062"/>
      <c r="I47" s="590"/>
      <c r="J47" s="566">
        <v>11</v>
      </c>
      <c r="K47" s="565" t="str">
        <f t="shared" si="29"/>
        <v/>
      </c>
      <c r="L47" s="565" t="str">
        <f t="shared" si="30"/>
        <v/>
      </c>
      <c r="M47" s="565"/>
      <c r="N47" s="565"/>
      <c r="O47" s="565"/>
      <c r="P47" s="565"/>
      <c r="Q47" s="565"/>
      <c r="R47" s="565"/>
      <c r="S47" s="566">
        <v>11</v>
      </c>
      <c r="T47" s="565" t="str">
        <f t="shared" si="31"/>
        <v/>
      </c>
      <c r="U47" s="565" t="str">
        <f t="shared" si="32"/>
        <v/>
      </c>
      <c r="V47" s="565"/>
      <c r="W47" s="565"/>
      <c r="X47" s="565"/>
      <c r="Y47" s="565"/>
      <c r="Z47" s="565"/>
      <c r="AA47" s="565"/>
      <c r="AB47" s="566">
        <v>11</v>
      </c>
      <c r="AC47" s="565" t="str">
        <f t="shared" si="33"/>
        <v/>
      </c>
      <c r="AD47" s="565" t="str">
        <f t="shared" si="34"/>
        <v/>
      </c>
      <c r="AE47" s="565"/>
      <c r="AF47" s="565"/>
      <c r="AG47" s="565"/>
      <c r="AH47" s="565"/>
      <c r="AI47" s="565"/>
      <c r="AJ47" s="565"/>
      <c r="AK47" s="566">
        <v>11</v>
      </c>
      <c r="AL47" s="565" t="str">
        <f t="shared" si="35"/>
        <v/>
      </c>
      <c r="AM47" s="565" t="str">
        <f t="shared" si="36"/>
        <v/>
      </c>
      <c r="AN47" s="565"/>
      <c r="AO47" s="565"/>
      <c r="AP47" s="565"/>
      <c r="AQ47" s="565"/>
      <c r="AR47" s="565"/>
      <c r="AS47" s="565"/>
      <c r="AT47" s="566">
        <v>11</v>
      </c>
      <c r="AU47" s="565" t="str">
        <f t="shared" si="37"/>
        <v/>
      </c>
      <c r="AV47" s="565" t="str">
        <f t="shared" si="38"/>
        <v/>
      </c>
      <c r="AW47" s="565"/>
      <c r="AX47" s="566"/>
      <c r="AY47" s="565"/>
      <c r="AZ47" s="565"/>
      <c r="BA47" s="565"/>
      <c r="BB47" s="565"/>
      <c r="BC47" s="566">
        <v>11</v>
      </c>
      <c r="BD47" s="565" t="str">
        <f t="shared" si="39"/>
        <v/>
      </c>
      <c r="BE47" s="565" t="str">
        <f t="shared" si="40"/>
        <v/>
      </c>
      <c r="BF47" s="565"/>
      <c r="BG47" s="565"/>
      <c r="BH47" s="565"/>
      <c r="BI47" s="565"/>
      <c r="BJ47" s="565"/>
      <c r="BK47" s="565"/>
      <c r="BL47" s="566">
        <v>11</v>
      </c>
      <c r="BM47" s="565" t="str">
        <f t="shared" si="41"/>
        <v/>
      </c>
      <c r="BN47" s="565" t="str">
        <f t="shared" si="42"/>
        <v/>
      </c>
      <c r="BO47" s="565"/>
      <c r="BP47" s="565"/>
      <c r="BQ47" s="565"/>
      <c r="BR47" s="565"/>
      <c r="BS47" s="565"/>
      <c r="BT47" s="565"/>
      <c r="BU47" s="566">
        <v>11</v>
      </c>
      <c r="BV47" s="565" t="str">
        <f t="shared" si="43"/>
        <v/>
      </c>
      <c r="BW47" s="565" t="str">
        <f t="shared" si="44"/>
        <v/>
      </c>
      <c r="BX47" s="565"/>
      <c r="BY47" s="565"/>
      <c r="BZ47" s="565"/>
      <c r="CA47" s="565"/>
      <c r="CB47" s="565"/>
      <c r="CC47" s="566">
        <v>11</v>
      </c>
      <c r="CD47" s="565" t="str">
        <f t="shared" si="45"/>
        <v/>
      </c>
      <c r="CE47" s="565" t="str">
        <f t="shared" si="46"/>
        <v/>
      </c>
      <c r="CF47" s="565"/>
      <c r="CG47" s="565"/>
      <c r="CH47" s="565"/>
      <c r="CI47" s="565">
        <v>42</v>
      </c>
      <c r="CJ47" s="565">
        <f>Character_Creation!X382</f>
        <v>0</v>
      </c>
      <c r="CK47" s="565" t="str">
        <f>Character_Creation!AB382</f>
        <v/>
      </c>
      <c r="CL47" s="565">
        <f t="shared" si="20"/>
        <v>0</v>
      </c>
      <c r="CM47" s="565">
        <f>IF(CL47=0,0,1+COUNTIF(CM$6:CM46,"&gt;0"))</f>
        <v>0</v>
      </c>
      <c r="CN47" s="565">
        <f t="shared" si="21"/>
        <v>0</v>
      </c>
      <c r="CO47" s="565">
        <f>IF(CN47=0,0,1+COUNTIF(CO$6:CO46,"&gt;0"))</f>
        <v>0</v>
      </c>
      <c r="CP47" s="565">
        <f t="shared" si="22"/>
        <v>0</v>
      </c>
      <c r="CQ47" s="565">
        <f>IF(CP47=0,0,1+COUNTIF(CQ$6:CQ46,"&gt;0"))</f>
        <v>0</v>
      </c>
      <c r="CR47" s="565">
        <f t="shared" si="23"/>
        <v>0</v>
      </c>
      <c r="CS47" s="565">
        <f>IF(CR47=0,0,1+COUNTIF(CS$6:CS46,"&gt;0"))</f>
        <v>0</v>
      </c>
      <c r="CT47" s="565">
        <f t="shared" si="24"/>
        <v>0</v>
      </c>
      <c r="CU47" s="565">
        <f>IF(CT47=0,0,1+COUNTIF(CU$6:CU46,"&gt;0"))</f>
        <v>0</v>
      </c>
      <c r="CV47" s="565">
        <f t="shared" si="25"/>
        <v>0</v>
      </c>
      <c r="CW47" s="565">
        <f>IF(CV47=0,0,1+COUNTIF(CW$6:CW46,"&gt;0"))</f>
        <v>0</v>
      </c>
      <c r="CX47" s="565">
        <f t="shared" si="26"/>
        <v>0</v>
      </c>
      <c r="CY47" s="565">
        <f>IF(CX47=0,0,1+COUNTIF(CY$6:CY46,"&gt;0"))</f>
        <v>0</v>
      </c>
      <c r="CZ47" s="565">
        <f t="shared" si="27"/>
        <v>0</v>
      </c>
      <c r="DA47" s="565">
        <f>IF(CZ47=0,0,1+COUNTIF(DA$6:DA46,"&gt;0"))</f>
        <v>0</v>
      </c>
      <c r="DB47" s="565">
        <f t="shared" si="28"/>
        <v>0</v>
      </c>
      <c r="DC47" s="565">
        <f>IF(DB47=0,0,1+COUNTIF(DC$6:DC46,"&gt;0"))</f>
        <v>0</v>
      </c>
      <c r="DD47" s="565"/>
      <c r="DE47" s="565"/>
      <c r="DF47" s="565"/>
    </row>
    <row r="48" spans="1:110" x14ac:dyDescent="0.25">
      <c r="A48" s="120"/>
      <c r="B48" s="1062"/>
      <c r="C48" s="1062"/>
      <c r="D48" s="1062"/>
      <c r="E48" s="1062"/>
      <c r="F48" s="1062"/>
      <c r="G48" s="1062"/>
      <c r="H48" s="1062"/>
      <c r="I48" s="590"/>
      <c r="J48" s="566">
        <v>12</v>
      </c>
      <c r="K48" s="565" t="str">
        <f t="shared" si="29"/>
        <v/>
      </c>
      <c r="L48" s="565" t="str">
        <f t="shared" si="30"/>
        <v/>
      </c>
      <c r="M48" s="565"/>
      <c r="N48" s="565"/>
      <c r="O48" s="565"/>
      <c r="P48" s="565"/>
      <c r="Q48" s="565"/>
      <c r="R48" s="565"/>
      <c r="S48" s="566">
        <v>12</v>
      </c>
      <c r="T48" s="565" t="str">
        <f t="shared" si="31"/>
        <v/>
      </c>
      <c r="U48" s="565" t="str">
        <f t="shared" si="32"/>
        <v/>
      </c>
      <c r="V48" s="565"/>
      <c r="W48" s="565"/>
      <c r="X48" s="565"/>
      <c r="Y48" s="565"/>
      <c r="Z48" s="565"/>
      <c r="AA48" s="565"/>
      <c r="AB48" s="566">
        <v>12</v>
      </c>
      <c r="AC48" s="565" t="str">
        <f t="shared" si="33"/>
        <v/>
      </c>
      <c r="AD48" s="565" t="str">
        <f t="shared" si="34"/>
        <v/>
      </c>
      <c r="AE48" s="565"/>
      <c r="AF48" s="565"/>
      <c r="AG48" s="565"/>
      <c r="AH48" s="565"/>
      <c r="AI48" s="565"/>
      <c r="AJ48" s="565"/>
      <c r="AK48" s="566">
        <v>12</v>
      </c>
      <c r="AL48" s="565" t="str">
        <f t="shared" si="35"/>
        <v/>
      </c>
      <c r="AM48" s="565" t="str">
        <f t="shared" si="36"/>
        <v/>
      </c>
      <c r="AN48" s="565"/>
      <c r="AO48" s="565"/>
      <c r="AP48" s="565"/>
      <c r="AQ48" s="565"/>
      <c r="AR48" s="565"/>
      <c r="AS48" s="565"/>
      <c r="AT48" s="566">
        <v>12</v>
      </c>
      <c r="AU48" s="565" t="str">
        <f t="shared" si="37"/>
        <v/>
      </c>
      <c r="AV48" s="565" t="str">
        <f t="shared" si="38"/>
        <v/>
      </c>
      <c r="AW48" s="565"/>
      <c r="AX48" s="566"/>
      <c r="AY48" s="565"/>
      <c r="AZ48" s="565"/>
      <c r="BA48" s="565"/>
      <c r="BB48" s="565"/>
      <c r="BC48" s="566">
        <v>12</v>
      </c>
      <c r="BD48" s="565" t="str">
        <f t="shared" si="39"/>
        <v/>
      </c>
      <c r="BE48" s="565" t="str">
        <f t="shared" si="40"/>
        <v/>
      </c>
      <c r="BF48" s="565"/>
      <c r="BG48" s="565"/>
      <c r="BH48" s="565"/>
      <c r="BI48" s="565"/>
      <c r="BJ48" s="565"/>
      <c r="BK48" s="565"/>
      <c r="BL48" s="566">
        <v>12</v>
      </c>
      <c r="BM48" s="565" t="str">
        <f t="shared" si="41"/>
        <v/>
      </c>
      <c r="BN48" s="565" t="str">
        <f t="shared" si="42"/>
        <v/>
      </c>
      <c r="BO48" s="565"/>
      <c r="BP48" s="565"/>
      <c r="BQ48" s="565"/>
      <c r="BR48" s="565"/>
      <c r="BS48" s="565"/>
      <c r="BT48" s="565"/>
      <c r="BU48" s="566">
        <v>12</v>
      </c>
      <c r="BV48" s="565" t="str">
        <f t="shared" si="43"/>
        <v/>
      </c>
      <c r="BW48" s="565" t="str">
        <f t="shared" si="44"/>
        <v/>
      </c>
      <c r="BX48" s="565"/>
      <c r="BY48" s="565"/>
      <c r="BZ48" s="565"/>
      <c r="CA48" s="565"/>
      <c r="CB48" s="565"/>
      <c r="CC48" s="566">
        <v>12</v>
      </c>
      <c r="CD48" s="565" t="str">
        <f t="shared" si="45"/>
        <v/>
      </c>
      <c r="CE48" s="565" t="str">
        <f t="shared" si="46"/>
        <v/>
      </c>
      <c r="CF48" s="565"/>
      <c r="CG48" s="565"/>
      <c r="CH48" s="565"/>
      <c r="CI48" s="565">
        <v>43</v>
      </c>
      <c r="CJ48" s="565">
        <f>Character_Creation!X383</f>
        <v>0</v>
      </c>
      <c r="CK48" s="565" t="str">
        <f>Character_Creation!AB383</f>
        <v/>
      </c>
      <c r="CL48" s="565">
        <f t="shared" si="20"/>
        <v>0</v>
      </c>
      <c r="CM48" s="565">
        <f>IF(CL48=0,0,1+COUNTIF(CM$6:CM47,"&gt;0"))</f>
        <v>0</v>
      </c>
      <c r="CN48" s="565">
        <f t="shared" si="21"/>
        <v>0</v>
      </c>
      <c r="CO48" s="565">
        <f>IF(CN48=0,0,1+COUNTIF(CO$6:CO47,"&gt;0"))</f>
        <v>0</v>
      </c>
      <c r="CP48" s="565">
        <f t="shared" si="22"/>
        <v>0</v>
      </c>
      <c r="CQ48" s="565">
        <f>IF(CP48=0,0,1+COUNTIF(CQ$6:CQ47,"&gt;0"))</f>
        <v>0</v>
      </c>
      <c r="CR48" s="565">
        <f t="shared" si="23"/>
        <v>0</v>
      </c>
      <c r="CS48" s="565">
        <f>IF(CR48=0,0,1+COUNTIF(CS$6:CS47,"&gt;0"))</f>
        <v>0</v>
      </c>
      <c r="CT48" s="565">
        <f t="shared" si="24"/>
        <v>0</v>
      </c>
      <c r="CU48" s="565">
        <f>IF(CT48=0,0,1+COUNTIF(CU$6:CU47,"&gt;0"))</f>
        <v>0</v>
      </c>
      <c r="CV48" s="565">
        <f t="shared" si="25"/>
        <v>0</v>
      </c>
      <c r="CW48" s="565">
        <f>IF(CV48=0,0,1+COUNTIF(CW$6:CW47,"&gt;0"))</f>
        <v>0</v>
      </c>
      <c r="CX48" s="565">
        <f t="shared" si="26"/>
        <v>0</v>
      </c>
      <c r="CY48" s="565">
        <f>IF(CX48=0,0,1+COUNTIF(CY$6:CY47,"&gt;0"))</f>
        <v>0</v>
      </c>
      <c r="CZ48" s="565">
        <f t="shared" si="27"/>
        <v>0</v>
      </c>
      <c r="DA48" s="565">
        <f>IF(CZ48=0,0,1+COUNTIF(DA$6:DA47,"&gt;0"))</f>
        <v>0</v>
      </c>
      <c r="DB48" s="565">
        <f t="shared" si="28"/>
        <v>0</v>
      </c>
      <c r="DC48" s="565">
        <f>IF(DB48=0,0,1+COUNTIF(DC$6:DC47,"&gt;0"))</f>
        <v>0</v>
      </c>
      <c r="DD48" s="565"/>
      <c r="DE48" s="565"/>
      <c r="DF48" s="565"/>
    </row>
    <row r="49" spans="1:110" x14ac:dyDescent="0.25">
      <c r="A49" s="120"/>
      <c r="B49" s="1062"/>
      <c r="C49" s="1062"/>
      <c r="D49" s="1062"/>
      <c r="E49" s="1062"/>
      <c r="F49" s="1062"/>
      <c r="G49" s="1062"/>
      <c r="H49" s="1062"/>
      <c r="I49" s="590"/>
      <c r="J49" s="566">
        <v>13</v>
      </c>
      <c r="K49" s="565" t="str">
        <f t="shared" si="29"/>
        <v/>
      </c>
      <c r="L49" s="565" t="str">
        <f t="shared" si="30"/>
        <v/>
      </c>
      <c r="M49" s="565"/>
      <c r="N49" s="565"/>
      <c r="O49" s="565"/>
      <c r="P49" s="565"/>
      <c r="Q49" s="565"/>
      <c r="R49" s="565"/>
      <c r="S49" s="566">
        <v>13</v>
      </c>
      <c r="T49" s="565" t="str">
        <f t="shared" si="31"/>
        <v/>
      </c>
      <c r="U49" s="565" t="str">
        <f t="shared" si="32"/>
        <v/>
      </c>
      <c r="V49" s="565"/>
      <c r="W49" s="565"/>
      <c r="X49" s="565"/>
      <c r="Y49" s="565"/>
      <c r="Z49" s="565"/>
      <c r="AA49" s="565"/>
      <c r="AB49" s="566">
        <v>13</v>
      </c>
      <c r="AC49" s="565" t="str">
        <f t="shared" si="33"/>
        <v/>
      </c>
      <c r="AD49" s="565" t="str">
        <f t="shared" si="34"/>
        <v/>
      </c>
      <c r="AE49" s="565"/>
      <c r="AF49" s="565"/>
      <c r="AG49" s="565"/>
      <c r="AH49" s="565"/>
      <c r="AI49" s="565"/>
      <c r="AJ49" s="565"/>
      <c r="AK49" s="566">
        <v>13</v>
      </c>
      <c r="AL49" s="565" t="str">
        <f t="shared" si="35"/>
        <v/>
      </c>
      <c r="AM49" s="565" t="str">
        <f t="shared" si="36"/>
        <v/>
      </c>
      <c r="AN49" s="565"/>
      <c r="AO49" s="565"/>
      <c r="AP49" s="565"/>
      <c r="AQ49" s="565"/>
      <c r="AR49" s="565"/>
      <c r="AS49" s="565"/>
      <c r="AT49" s="566">
        <v>13</v>
      </c>
      <c r="AU49" s="565" t="str">
        <f t="shared" si="37"/>
        <v/>
      </c>
      <c r="AV49" s="565" t="str">
        <f t="shared" si="38"/>
        <v/>
      </c>
      <c r="AW49" s="565"/>
      <c r="AX49" s="566"/>
      <c r="AY49" s="565"/>
      <c r="AZ49" s="565"/>
      <c r="BA49" s="565"/>
      <c r="BB49" s="565"/>
      <c r="BC49" s="566">
        <v>13</v>
      </c>
      <c r="BD49" s="565" t="str">
        <f t="shared" si="39"/>
        <v/>
      </c>
      <c r="BE49" s="565" t="str">
        <f t="shared" si="40"/>
        <v/>
      </c>
      <c r="BF49" s="565"/>
      <c r="BG49" s="565"/>
      <c r="BH49" s="565"/>
      <c r="BI49" s="565"/>
      <c r="BJ49" s="565"/>
      <c r="BK49" s="565"/>
      <c r="BL49" s="566">
        <v>13</v>
      </c>
      <c r="BM49" s="565" t="str">
        <f t="shared" si="41"/>
        <v/>
      </c>
      <c r="BN49" s="565" t="str">
        <f t="shared" si="42"/>
        <v/>
      </c>
      <c r="BO49" s="565"/>
      <c r="BP49" s="565"/>
      <c r="BQ49" s="565"/>
      <c r="BR49" s="565"/>
      <c r="BS49" s="565"/>
      <c r="BT49" s="565"/>
      <c r="BU49" s="566">
        <v>13</v>
      </c>
      <c r="BV49" s="565" t="str">
        <f t="shared" si="43"/>
        <v/>
      </c>
      <c r="BW49" s="565" t="str">
        <f t="shared" si="44"/>
        <v/>
      </c>
      <c r="BX49" s="565"/>
      <c r="BY49" s="565"/>
      <c r="BZ49" s="565"/>
      <c r="CA49" s="565"/>
      <c r="CB49" s="565"/>
      <c r="CC49" s="566">
        <v>13</v>
      </c>
      <c r="CD49" s="565" t="str">
        <f t="shared" si="45"/>
        <v/>
      </c>
      <c r="CE49" s="565" t="str">
        <f t="shared" si="46"/>
        <v/>
      </c>
      <c r="CF49" s="565"/>
      <c r="CG49" s="565"/>
      <c r="CH49" s="565"/>
      <c r="CI49" s="565">
        <v>44</v>
      </c>
      <c r="CJ49" s="565">
        <f>Character_Creation!X384</f>
        <v>0</v>
      </c>
      <c r="CK49" s="565" t="str">
        <f>Character_Creation!AB384</f>
        <v/>
      </c>
      <c r="CL49" s="565">
        <f t="shared" si="20"/>
        <v>0</v>
      </c>
      <c r="CM49" s="565">
        <f>IF(CL49=0,0,1+COUNTIF(CM$6:CM48,"&gt;0"))</f>
        <v>0</v>
      </c>
      <c r="CN49" s="565">
        <f t="shared" si="21"/>
        <v>0</v>
      </c>
      <c r="CO49" s="565">
        <f>IF(CN49=0,0,1+COUNTIF(CO$6:CO48,"&gt;0"))</f>
        <v>0</v>
      </c>
      <c r="CP49" s="565">
        <f t="shared" si="22"/>
        <v>0</v>
      </c>
      <c r="CQ49" s="565">
        <f>IF(CP49=0,0,1+COUNTIF(CQ$6:CQ48,"&gt;0"))</f>
        <v>0</v>
      </c>
      <c r="CR49" s="565">
        <f t="shared" si="23"/>
        <v>0</v>
      </c>
      <c r="CS49" s="565">
        <f>IF(CR49=0,0,1+COUNTIF(CS$6:CS48,"&gt;0"))</f>
        <v>0</v>
      </c>
      <c r="CT49" s="565">
        <f t="shared" si="24"/>
        <v>0</v>
      </c>
      <c r="CU49" s="565">
        <f>IF(CT49=0,0,1+COUNTIF(CU$6:CU48,"&gt;0"))</f>
        <v>0</v>
      </c>
      <c r="CV49" s="565">
        <f t="shared" si="25"/>
        <v>0</v>
      </c>
      <c r="CW49" s="565">
        <f>IF(CV49=0,0,1+COUNTIF(CW$6:CW48,"&gt;0"))</f>
        <v>0</v>
      </c>
      <c r="CX49" s="565">
        <f t="shared" si="26"/>
        <v>0</v>
      </c>
      <c r="CY49" s="565">
        <f>IF(CX49=0,0,1+COUNTIF(CY$6:CY48,"&gt;0"))</f>
        <v>0</v>
      </c>
      <c r="CZ49" s="565">
        <f t="shared" si="27"/>
        <v>0</v>
      </c>
      <c r="DA49" s="565">
        <f>IF(CZ49=0,0,1+COUNTIF(DA$6:DA48,"&gt;0"))</f>
        <v>0</v>
      </c>
      <c r="DB49" s="565">
        <f t="shared" si="28"/>
        <v>0</v>
      </c>
      <c r="DC49" s="565">
        <f>IF(DB49=0,0,1+COUNTIF(DC$6:DC48,"&gt;0"))</f>
        <v>0</v>
      </c>
      <c r="DD49" s="565"/>
      <c r="DE49" s="565"/>
      <c r="DF49" s="565"/>
    </row>
    <row r="50" spans="1:110" x14ac:dyDescent="0.25">
      <c r="A50" s="120"/>
      <c r="B50" s="1062"/>
      <c r="C50" s="1062"/>
      <c r="D50" s="1062"/>
      <c r="E50" s="1062"/>
      <c r="F50" s="1062"/>
      <c r="G50" s="1062"/>
      <c r="H50" s="1062"/>
      <c r="I50" s="590"/>
      <c r="J50" s="566">
        <v>14</v>
      </c>
      <c r="K50" s="565" t="str">
        <f t="shared" si="29"/>
        <v/>
      </c>
      <c r="L50" s="565" t="str">
        <f t="shared" si="30"/>
        <v/>
      </c>
      <c r="M50" s="565"/>
      <c r="N50" s="565"/>
      <c r="O50" s="565"/>
      <c r="P50" s="565"/>
      <c r="Q50" s="565"/>
      <c r="R50" s="565"/>
      <c r="S50" s="566">
        <v>14</v>
      </c>
      <c r="T50" s="565" t="str">
        <f t="shared" si="31"/>
        <v/>
      </c>
      <c r="U50" s="565" t="str">
        <f t="shared" si="32"/>
        <v/>
      </c>
      <c r="V50" s="565"/>
      <c r="W50" s="565"/>
      <c r="X50" s="565"/>
      <c r="Y50" s="565"/>
      <c r="Z50" s="565"/>
      <c r="AA50" s="565"/>
      <c r="AB50" s="566">
        <v>14</v>
      </c>
      <c r="AC50" s="565" t="str">
        <f t="shared" si="33"/>
        <v/>
      </c>
      <c r="AD50" s="565" t="str">
        <f t="shared" si="34"/>
        <v/>
      </c>
      <c r="AE50" s="565"/>
      <c r="AF50" s="565"/>
      <c r="AG50" s="565"/>
      <c r="AH50" s="565"/>
      <c r="AI50" s="565"/>
      <c r="AJ50" s="565"/>
      <c r="AK50" s="566">
        <v>14</v>
      </c>
      <c r="AL50" s="565" t="str">
        <f t="shared" si="35"/>
        <v/>
      </c>
      <c r="AM50" s="565" t="str">
        <f t="shared" si="36"/>
        <v/>
      </c>
      <c r="AN50" s="565"/>
      <c r="AO50" s="565"/>
      <c r="AP50" s="565"/>
      <c r="AQ50" s="565"/>
      <c r="AR50" s="565"/>
      <c r="AS50" s="565"/>
      <c r="AT50" s="566">
        <v>14</v>
      </c>
      <c r="AU50" s="565" t="str">
        <f t="shared" si="37"/>
        <v/>
      </c>
      <c r="AV50" s="565" t="str">
        <f t="shared" si="38"/>
        <v/>
      </c>
      <c r="AW50" s="565"/>
      <c r="AX50" s="566"/>
      <c r="AY50" s="565"/>
      <c r="AZ50" s="565"/>
      <c r="BA50" s="565"/>
      <c r="BB50" s="565"/>
      <c r="BC50" s="566">
        <v>14</v>
      </c>
      <c r="BD50" s="565" t="str">
        <f t="shared" si="39"/>
        <v/>
      </c>
      <c r="BE50" s="565" t="str">
        <f t="shared" si="40"/>
        <v/>
      </c>
      <c r="BF50" s="565"/>
      <c r="BG50" s="565"/>
      <c r="BH50" s="565"/>
      <c r="BI50" s="565"/>
      <c r="BJ50" s="565"/>
      <c r="BK50" s="565"/>
      <c r="BL50" s="566">
        <v>14</v>
      </c>
      <c r="BM50" s="565" t="str">
        <f t="shared" si="41"/>
        <v/>
      </c>
      <c r="BN50" s="565" t="str">
        <f t="shared" si="42"/>
        <v/>
      </c>
      <c r="BO50" s="565"/>
      <c r="BP50" s="565"/>
      <c r="BQ50" s="565"/>
      <c r="BR50" s="565"/>
      <c r="BS50" s="565"/>
      <c r="BT50" s="565"/>
      <c r="BU50" s="566">
        <v>14</v>
      </c>
      <c r="BV50" s="565" t="str">
        <f t="shared" si="43"/>
        <v/>
      </c>
      <c r="BW50" s="565" t="str">
        <f t="shared" si="44"/>
        <v/>
      </c>
      <c r="BX50" s="565"/>
      <c r="BY50" s="565"/>
      <c r="BZ50" s="565"/>
      <c r="CA50" s="565"/>
      <c r="CB50" s="565"/>
      <c r="CC50" s="566">
        <v>14</v>
      </c>
      <c r="CD50" s="565" t="str">
        <f t="shared" si="45"/>
        <v/>
      </c>
      <c r="CE50" s="565" t="str">
        <f t="shared" si="46"/>
        <v/>
      </c>
      <c r="CF50" s="565"/>
      <c r="CG50" s="565"/>
      <c r="CH50" s="565"/>
      <c r="CI50" s="565">
        <v>45</v>
      </c>
      <c r="CJ50" s="565">
        <f>Character_Creation!X385</f>
        <v>0</v>
      </c>
      <c r="CK50" s="565" t="str">
        <f>Character_Creation!AB385</f>
        <v/>
      </c>
      <c r="CL50" s="565">
        <f t="shared" si="20"/>
        <v>0</v>
      </c>
      <c r="CM50" s="565">
        <f>IF(CL50=0,0,1+COUNTIF(CM$6:CM49,"&gt;0"))</f>
        <v>0</v>
      </c>
      <c r="CN50" s="565">
        <f t="shared" si="21"/>
        <v>0</v>
      </c>
      <c r="CO50" s="565">
        <f>IF(CN50=0,0,1+COUNTIF(CO$6:CO49,"&gt;0"))</f>
        <v>0</v>
      </c>
      <c r="CP50" s="565">
        <f t="shared" si="22"/>
        <v>0</v>
      </c>
      <c r="CQ50" s="565">
        <f>IF(CP50=0,0,1+COUNTIF(CQ$6:CQ49,"&gt;0"))</f>
        <v>0</v>
      </c>
      <c r="CR50" s="565">
        <f t="shared" si="23"/>
        <v>0</v>
      </c>
      <c r="CS50" s="565">
        <f>IF(CR50=0,0,1+COUNTIF(CS$6:CS49,"&gt;0"))</f>
        <v>0</v>
      </c>
      <c r="CT50" s="565">
        <f t="shared" si="24"/>
        <v>0</v>
      </c>
      <c r="CU50" s="565">
        <f>IF(CT50=0,0,1+COUNTIF(CU$6:CU49,"&gt;0"))</f>
        <v>0</v>
      </c>
      <c r="CV50" s="565">
        <f t="shared" si="25"/>
        <v>0</v>
      </c>
      <c r="CW50" s="565">
        <f>IF(CV50=0,0,1+COUNTIF(CW$6:CW49,"&gt;0"))</f>
        <v>0</v>
      </c>
      <c r="CX50" s="565">
        <f t="shared" si="26"/>
        <v>0</v>
      </c>
      <c r="CY50" s="565">
        <f>IF(CX50=0,0,1+COUNTIF(CY$6:CY49,"&gt;0"))</f>
        <v>0</v>
      </c>
      <c r="CZ50" s="565">
        <f t="shared" si="27"/>
        <v>0</v>
      </c>
      <c r="DA50" s="565">
        <f>IF(CZ50=0,0,1+COUNTIF(DA$6:DA49,"&gt;0"))</f>
        <v>0</v>
      </c>
      <c r="DB50" s="565">
        <f t="shared" si="28"/>
        <v>0</v>
      </c>
      <c r="DC50" s="565">
        <f>IF(DB50=0,0,1+COUNTIF(DC$6:DC49,"&gt;0"))</f>
        <v>0</v>
      </c>
      <c r="DD50" s="565"/>
      <c r="DE50" s="565"/>
      <c r="DF50" s="565"/>
    </row>
    <row r="51" spans="1:110" x14ac:dyDescent="0.25">
      <c r="A51" s="120"/>
      <c r="B51" s="1062"/>
      <c r="C51" s="1062"/>
      <c r="D51" s="1062"/>
      <c r="E51" s="1062"/>
      <c r="F51" s="1062"/>
      <c r="G51" s="1062"/>
      <c r="H51" s="1062"/>
      <c r="I51" s="590"/>
      <c r="J51" s="566">
        <v>15</v>
      </c>
      <c r="K51" s="565" t="str">
        <f t="shared" si="29"/>
        <v/>
      </c>
      <c r="L51" s="565" t="str">
        <f t="shared" si="30"/>
        <v/>
      </c>
      <c r="M51" s="565"/>
      <c r="N51" s="565"/>
      <c r="O51" s="565"/>
      <c r="P51" s="565"/>
      <c r="Q51" s="565"/>
      <c r="R51" s="565"/>
      <c r="S51" s="566">
        <v>15</v>
      </c>
      <c r="T51" s="565" t="str">
        <f t="shared" si="31"/>
        <v/>
      </c>
      <c r="U51" s="565" t="str">
        <f t="shared" si="32"/>
        <v/>
      </c>
      <c r="V51" s="565"/>
      <c r="W51" s="565"/>
      <c r="X51" s="565"/>
      <c r="Y51" s="565"/>
      <c r="Z51" s="565"/>
      <c r="AA51" s="565"/>
      <c r="AB51" s="566">
        <v>15</v>
      </c>
      <c r="AC51" s="565" t="str">
        <f t="shared" si="33"/>
        <v/>
      </c>
      <c r="AD51" s="565" t="str">
        <f t="shared" si="34"/>
        <v/>
      </c>
      <c r="AE51" s="565"/>
      <c r="AF51" s="565"/>
      <c r="AG51" s="565"/>
      <c r="AH51" s="565"/>
      <c r="AI51" s="565"/>
      <c r="AJ51" s="565"/>
      <c r="AK51" s="566">
        <v>15</v>
      </c>
      <c r="AL51" s="565" t="str">
        <f t="shared" si="35"/>
        <v/>
      </c>
      <c r="AM51" s="565" t="str">
        <f t="shared" si="36"/>
        <v/>
      </c>
      <c r="AN51" s="565"/>
      <c r="AO51" s="565"/>
      <c r="AP51" s="565"/>
      <c r="AQ51" s="565"/>
      <c r="AR51" s="565"/>
      <c r="AS51" s="565"/>
      <c r="AT51" s="566">
        <v>15</v>
      </c>
      <c r="AU51" s="565" t="str">
        <f t="shared" si="37"/>
        <v/>
      </c>
      <c r="AV51" s="565" t="str">
        <f t="shared" si="38"/>
        <v/>
      </c>
      <c r="AW51" s="565"/>
      <c r="AX51" s="566"/>
      <c r="AY51" s="565"/>
      <c r="AZ51" s="565"/>
      <c r="BA51" s="565"/>
      <c r="BB51" s="565"/>
      <c r="BC51" s="566">
        <v>15</v>
      </c>
      <c r="BD51" s="565" t="str">
        <f t="shared" si="39"/>
        <v/>
      </c>
      <c r="BE51" s="565" t="str">
        <f t="shared" si="40"/>
        <v/>
      </c>
      <c r="BF51" s="565"/>
      <c r="BG51" s="565"/>
      <c r="BH51" s="565"/>
      <c r="BI51" s="565"/>
      <c r="BJ51" s="565"/>
      <c r="BK51" s="565"/>
      <c r="BL51" s="566">
        <v>15</v>
      </c>
      <c r="BM51" s="565" t="str">
        <f t="shared" si="41"/>
        <v/>
      </c>
      <c r="BN51" s="565" t="str">
        <f t="shared" si="42"/>
        <v/>
      </c>
      <c r="BO51" s="565"/>
      <c r="BP51" s="565"/>
      <c r="BQ51" s="565"/>
      <c r="BR51" s="565"/>
      <c r="BS51" s="565"/>
      <c r="BT51" s="565"/>
      <c r="BU51" s="566">
        <v>15</v>
      </c>
      <c r="BV51" s="565" t="str">
        <f t="shared" si="43"/>
        <v/>
      </c>
      <c r="BW51" s="565" t="str">
        <f t="shared" si="44"/>
        <v/>
      </c>
      <c r="BX51" s="565"/>
      <c r="BY51" s="565"/>
      <c r="BZ51" s="565"/>
      <c r="CA51" s="565"/>
      <c r="CB51" s="565"/>
      <c r="CC51" s="566">
        <v>15</v>
      </c>
      <c r="CD51" s="565" t="str">
        <f t="shared" si="45"/>
        <v/>
      </c>
      <c r="CE51" s="565" t="str">
        <f t="shared" si="46"/>
        <v/>
      </c>
      <c r="CF51" s="565"/>
      <c r="CG51" s="565"/>
      <c r="CH51" s="565"/>
      <c r="CI51" s="565">
        <v>46</v>
      </c>
      <c r="CJ51" s="565">
        <f>Character_Creation!X386</f>
        <v>0</v>
      </c>
      <c r="CK51" s="565" t="str">
        <f>Character_Creation!AB386</f>
        <v/>
      </c>
      <c r="CL51" s="565">
        <f t="shared" si="20"/>
        <v>0</v>
      </c>
      <c r="CM51" s="565">
        <f>IF(CL51=0,0,1+COUNTIF(CM$6:CM50,"&gt;0"))</f>
        <v>0</v>
      </c>
      <c r="CN51" s="565">
        <f t="shared" si="21"/>
        <v>0</v>
      </c>
      <c r="CO51" s="565">
        <f>IF(CN51=0,0,1+COUNTIF(CO$6:CO50,"&gt;0"))</f>
        <v>0</v>
      </c>
      <c r="CP51" s="565">
        <f t="shared" si="22"/>
        <v>0</v>
      </c>
      <c r="CQ51" s="565">
        <f>IF(CP51=0,0,1+COUNTIF(CQ$6:CQ50,"&gt;0"))</f>
        <v>0</v>
      </c>
      <c r="CR51" s="565">
        <f t="shared" si="23"/>
        <v>0</v>
      </c>
      <c r="CS51" s="565">
        <f>IF(CR51=0,0,1+COUNTIF(CS$6:CS50,"&gt;0"))</f>
        <v>0</v>
      </c>
      <c r="CT51" s="565">
        <f t="shared" si="24"/>
        <v>0</v>
      </c>
      <c r="CU51" s="565">
        <f>IF(CT51=0,0,1+COUNTIF(CU$6:CU50,"&gt;0"))</f>
        <v>0</v>
      </c>
      <c r="CV51" s="565">
        <f t="shared" si="25"/>
        <v>0</v>
      </c>
      <c r="CW51" s="565">
        <f>IF(CV51=0,0,1+COUNTIF(CW$6:CW50,"&gt;0"))</f>
        <v>0</v>
      </c>
      <c r="CX51" s="565">
        <f t="shared" si="26"/>
        <v>0</v>
      </c>
      <c r="CY51" s="565">
        <f>IF(CX51=0,0,1+COUNTIF(CY$6:CY50,"&gt;0"))</f>
        <v>0</v>
      </c>
      <c r="CZ51" s="565">
        <f t="shared" si="27"/>
        <v>0</v>
      </c>
      <c r="DA51" s="565">
        <f>IF(CZ51=0,0,1+COUNTIF(DA$6:DA50,"&gt;0"))</f>
        <v>0</v>
      </c>
      <c r="DB51" s="565">
        <f t="shared" si="28"/>
        <v>0</v>
      </c>
      <c r="DC51" s="565">
        <f>IF(DB51=0,0,1+COUNTIF(DC$6:DC50,"&gt;0"))</f>
        <v>0</v>
      </c>
      <c r="DD51" s="565"/>
      <c r="DE51" s="565"/>
      <c r="DF51" s="565"/>
    </row>
    <row r="52" spans="1:110" x14ac:dyDescent="0.25">
      <c r="A52" s="120"/>
      <c r="B52" s="1062"/>
      <c r="C52" s="1062"/>
      <c r="D52" s="1062"/>
      <c r="E52" s="1062"/>
      <c r="F52" s="1062"/>
      <c r="G52" s="1062"/>
      <c r="H52" s="1062"/>
      <c r="I52" s="590"/>
      <c r="J52" s="566">
        <v>16</v>
      </c>
      <c r="K52" s="565" t="str">
        <f t="shared" si="29"/>
        <v/>
      </c>
      <c r="L52" s="565" t="str">
        <f t="shared" si="30"/>
        <v/>
      </c>
      <c r="M52" s="565"/>
      <c r="N52" s="565"/>
      <c r="O52" s="565"/>
      <c r="P52" s="565"/>
      <c r="Q52" s="565"/>
      <c r="R52" s="565"/>
      <c r="S52" s="566">
        <v>16</v>
      </c>
      <c r="T52" s="565" t="str">
        <f t="shared" si="31"/>
        <v/>
      </c>
      <c r="U52" s="565" t="str">
        <f t="shared" si="32"/>
        <v/>
      </c>
      <c r="V52" s="565"/>
      <c r="W52" s="565"/>
      <c r="X52" s="565"/>
      <c r="Y52" s="565"/>
      <c r="Z52" s="565"/>
      <c r="AA52" s="565"/>
      <c r="AB52" s="566">
        <v>16</v>
      </c>
      <c r="AC52" s="565" t="str">
        <f t="shared" si="33"/>
        <v/>
      </c>
      <c r="AD52" s="565" t="str">
        <f t="shared" si="34"/>
        <v/>
      </c>
      <c r="AE52" s="565"/>
      <c r="AF52" s="565"/>
      <c r="AG52" s="565"/>
      <c r="AH52" s="565"/>
      <c r="AI52" s="565"/>
      <c r="AJ52" s="565"/>
      <c r="AK52" s="566">
        <v>16</v>
      </c>
      <c r="AL52" s="565" t="str">
        <f t="shared" si="35"/>
        <v/>
      </c>
      <c r="AM52" s="565" t="str">
        <f t="shared" si="36"/>
        <v/>
      </c>
      <c r="AN52" s="565"/>
      <c r="AO52" s="565"/>
      <c r="AP52" s="565"/>
      <c r="AQ52" s="565"/>
      <c r="AR52" s="565"/>
      <c r="AS52" s="565"/>
      <c r="AT52" s="566">
        <v>16</v>
      </c>
      <c r="AU52" s="565" t="str">
        <f t="shared" si="37"/>
        <v/>
      </c>
      <c r="AV52" s="565" t="str">
        <f t="shared" si="38"/>
        <v/>
      </c>
      <c r="AW52" s="565"/>
      <c r="AX52" s="566"/>
      <c r="AY52" s="565"/>
      <c r="AZ52" s="565"/>
      <c r="BA52" s="565"/>
      <c r="BB52" s="565"/>
      <c r="BC52" s="566">
        <v>16</v>
      </c>
      <c r="BD52" s="565" t="str">
        <f t="shared" si="39"/>
        <v/>
      </c>
      <c r="BE52" s="565" t="str">
        <f t="shared" si="40"/>
        <v/>
      </c>
      <c r="BF52" s="565"/>
      <c r="BG52" s="565"/>
      <c r="BH52" s="565"/>
      <c r="BI52" s="565"/>
      <c r="BJ52" s="565"/>
      <c r="BK52" s="565"/>
      <c r="BL52" s="566">
        <v>16</v>
      </c>
      <c r="BM52" s="565" t="str">
        <f t="shared" si="41"/>
        <v/>
      </c>
      <c r="BN52" s="565" t="str">
        <f t="shared" si="42"/>
        <v/>
      </c>
      <c r="BO52" s="565"/>
      <c r="BP52" s="565"/>
      <c r="BQ52" s="565"/>
      <c r="BR52" s="565"/>
      <c r="BS52" s="565"/>
      <c r="BT52" s="565"/>
      <c r="BU52" s="566">
        <v>16</v>
      </c>
      <c r="BV52" s="565" t="str">
        <f t="shared" si="43"/>
        <v/>
      </c>
      <c r="BW52" s="565" t="str">
        <f t="shared" si="44"/>
        <v/>
      </c>
      <c r="BX52" s="565"/>
      <c r="BY52" s="565"/>
      <c r="BZ52" s="565"/>
      <c r="CA52" s="565"/>
      <c r="CB52" s="565"/>
      <c r="CC52" s="566">
        <v>16</v>
      </c>
      <c r="CD52" s="565" t="str">
        <f t="shared" si="45"/>
        <v/>
      </c>
      <c r="CE52" s="565" t="str">
        <f t="shared" si="46"/>
        <v/>
      </c>
      <c r="CF52" s="565"/>
      <c r="CG52" s="565"/>
      <c r="CH52" s="565"/>
      <c r="CI52" s="565">
        <v>47</v>
      </c>
      <c r="CJ52" s="565">
        <f>Character_Creation!X387</f>
        <v>0</v>
      </c>
      <c r="CK52" s="565" t="str">
        <f>Character_Creation!AB387</f>
        <v/>
      </c>
      <c r="CL52" s="565">
        <f t="shared" si="20"/>
        <v>0</v>
      </c>
      <c r="CM52" s="565">
        <f>IF(CL52=0,0,1+COUNTIF(CM$6:CM51,"&gt;0"))</f>
        <v>0</v>
      </c>
      <c r="CN52" s="565">
        <f t="shared" si="21"/>
        <v>0</v>
      </c>
      <c r="CO52" s="565">
        <f>IF(CN52=0,0,1+COUNTIF(CO$6:CO51,"&gt;0"))</f>
        <v>0</v>
      </c>
      <c r="CP52" s="565">
        <f t="shared" si="22"/>
        <v>0</v>
      </c>
      <c r="CQ52" s="565">
        <f>IF(CP52=0,0,1+COUNTIF(CQ$6:CQ51,"&gt;0"))</f>
        <v>0</v>
      </c>
      <c r="CR52" s="565">
        <f t="shared" si="23"/>
        <v>0</v>
      </c>
      <c r="CS52" s="565">
        <f>IF(CR52=0,0,1+COUNTIF(CS$6:CS51,"&gt;0"))</f>
        <v>0</v>
      </c>
      <c r="CT52" s="565">
        <f t="shared" si="24"/>
        <v>0</v>
      </c>
      <c r="CU52" s="565">
        <f>IF(CT52=0,0,1+COUNTIF(CU$6:CU51,"&gt;0"))</f>
        <v>0</v>
      </c>
      <c r="CV52" s="565">
        <f t="shared" si="25"/>
        <v>0</v>
      </c>
      <c r="CW52" s="565">
        <f>IF(CV52=0,0,1+COUNTIF(CW$6:CW51,"&gt;0"))</f>
        <v>0</v>
      </c>
      <c r="CX52" s="565">
        <f t="shared" si="26"/>
        <v>0</v>
      </c>
      <c r="CY52" s="565">
        <f>IF(CX52=0,0,1+COUNTIF(CY$6:CY51,"&gt;0"))</f>
        <v>0</v>
      </c>
      <c r="CZ52" s="565">
        <f t="shared" si="27"/>
        <v>0</v>
      </c>
      <c r="DA52" s="565">
        <f>IF(CZ52=0,0,1+COUNTIF(DA$6:DA51,"&gt;0"))</f>
        <v>0</v>
      </c>
      <c r="DB52" s="565">
        <f t="shared" si="28"/>
        <v>0</v>
      </c>
      <c r="DC52" s="565">
        <f>IF(DB52=0,0,1+COUNTIF(DC$6:DC51,"&gt;0"))</f>
        <v>0</v>
      </c>
      <c r="DD52" s="565"/>
      <c r="DE52" s="565"/>
      <c r="DF52" s="565"/>
    </row>
    <row r="53" spans="1:110" x14ac:dyDescent="0.25">
      <c r="A53" s="120"/>
      <c r="B53" s="1062"/>
      <c r="C53" s="1062"/>
      <c r="D53" s="1062"/>
      <c r="E53" s="1062"/>
      <c r="F53" s="1062"/>
      <c r="G53" s="1062"/>
      <c r="H53" s="1062"/>
      <c r="I53" s="590"/>
      <c r="J53" s="566">
        <v>17</v>
      </c>
      <c r="K53" s="565" t="str">
        <f t="shared" si="29"/>
        <v/>
      </c>
      <c r="L53" s="565" t="str">
        <f t="shared" si="30"/>
        <v/>
      </c>
      <c r="M53" s="565"/>
      <c r="N53" s="565"/>
      <c r="O53" s="565"/>
      <c r="P53" s="565"/>
      <c r="Q53" s="565"/>
      <c r="R53" s="565"/>
      <c r="S53" s="566">
        <v>17</v>
      </c>
      <c r="T53" s="565" t="str">
        <f t="shared" si="31"/>
        <v/>
      </c>
      <c r="U53" s="565" t="str">
        <f t="shared" si="32"/>
        <v/>
      </c>
      <c r="V53" s="565"/>
      <c r="W53" s="565"/>
      <c r="X53" s="565"/>
      <c r="Y53" s="565"/>
      <c r="Z53" s="565"/>
      <c r="AA53" s="565"/>
      <c r="AB53" s="566">
        <v>17</v>
      </c>
      <c r="AC53" s="565" t="str">
        <f t="shared" si="33"/>
        <v/>
      </c>
      <c r="AD53" s="565" t="str">
        <f t="shared" si="34"/>
        <v/>
      </c>
      <c r="AE53" s="565"/>
      <c r="AF53" s="565"/>
      <c r="AG53" s="565"/>
      <c r="AH53" s="565"/>
      <c r="AI53" s="565"/>
      <c r="AJ53" s="565"/>
      <c r="AK53" s="566">
        <v>17</v>
      </c>
      <c r="AL53" s="565" t="str">
        <f t="shared" si="35"/>
        <v/>
      </c>
      <c r="AM53" s="565" t="str">
        <f t="shared" si="36"/>
        <v/>
      </c>
      <c r="AN53" s="565"/>
      <c r="AO53" s="565"/>
      <c r="AP53" s="565"/>
      <c r="AQ53" s="565"/>
      <c r="AR53" s="565"/>
      <c r="AS53" s="565"/>
      <c r="AT53" s="566">
        <v>17</v>
      </c>
      <c r="AU53" s="565" t="str">
        <f t="shared" si="37"/>
        <v/>
      </c>
      <c r="AV53" s="565" t="str">
        <f t="shared" si="38"/>
        <v/>
      </c>
      <c r="AW53" s="565"/>
      <c r="AX53" s="566"/>
      <c r="AY53" s="565"/>
      <c r="AZ53" s="565"/>
      <c r="BA53" s="565"/>
      <c r="BB53" s="565"/>
      <c r="BC53" s="566">
        <v>17</v>
      </c>
      <c r="BD53" s="565" t="str">
        <f t="shared" si="39"/>
        <v/>
      </c>
      <c r="BE53" s="565" t="str">
        <f t="shared" si="40"/>
        <v/>
      </c>
      <c r="BF53" s="565"/>
      <c r="BG53" s="565"/>
      <c r="BH53" s="565"/>
      <c r="BI53" s="565"/>
      <c r="BJ53" s="565"/>
      <c r="BK53" s="565"/>
      <c r="BL53" s="566">
        <v>17</v>
      </c>
      <c r="BM53" s="565" t="str">
        <f t="shared" si="41"/>
        <v/>
      </c>
      <c r="BN53" s="565" t="str">
        <f t="shared" si="42"/>
        <v/>
      </c>
      <c r="BO53" s="565"/>
      <c r="BP53" s="565"/>
      <c r="BQ53" s="565"/>
      <c r="BR53" s="565"/>
      <c r="BS53" s="565"/>
      <c r="BT53" s="565"/>
      <c r="BU53" s="566">
        <v>17</v>
      </c>
      <c r="BV53" s="565" t="str">
        <f t="shared" si="43"/>
        <v/>
      </c>
      <c r="BW53" s="565" t="str">
        <f t="shared" si="44"/>
        <v/>
      </c>
      <c r="BX53" s="565"/>
      <c r="BY53" s="565"/>
      <c r="BZ53" s="565"/>
      <c r="CA53" s="565"/>
      <c r="CB53" s="565"/>
      <c r="CC53" s="566">
        <v>17</v>
      </c>
      <c r="CD53" s="565" t="str">
        <f t="shared" si="45"/>
        <v/>
      </c>
      <c r="CE53" s="565" t="str">
        <f t="shared" si="46"/>
        <v/>
      </c>
      <c r="CF53" s="565"/>
      <c r="CG53" s="565"/>
      <c r="CH53" s="565"/>
      <c r="CI53" s="565">
        <v>48</v>
      </c>
      <c r="CJ53" s="565">
        <f>Character_Creation!X388</f>
        <v>0</v>
      </c>
      <c r="CK53" s="565" t="str">
        <f>Character_Creation!AB388</f>
        <v/>
      </c>
      <c r="CL53" s="565">
        <f t="shared" si="20"/>
        <v>0</v>
      </c>
      <c r="CM53" s="565">
        <f>IF(CL53=0,0,1+COUNTIF(CM$6:CM52,"&gt;0"))</f>
        <v>0</v>
      </c>
      <c r="CN53" s="565">
        <f t="shared" si="21"/>
        <v>0</v>
      </c>
      <c r="CO53" s="565">
        <f>IF(CN53=0,0,1+COUNTIF(CO$6:CO52,"&gt;0"))</f>
        <v>0</v>
      </c>
      <c r="CP53" s="565">
        <f t="shared" si="22"/>
        <v>0</v>
      </c>
      <c r="CQ53" s="565">
        <f>IF(CP53=0,0,1+COUNTIF(CQ$6:CQ52,"&gt;0"))</f>
        <v>0</v>
      </c>
      <c r="CR53" s="565">
        <f t="shared" si="23"/>
        <v>0</v>
      </c>
      <c r="CS53" s="565">
        <f>IF(CR53=0,0,1+COUNTIF(CS$6:CS52,"&gt;0"))</f>
        <v>0</v>
      </c>
      <c r="CT53" s="565">
        <f t="shared" si="24"/>
        <v>0</v>
      </c>
      <c r="CU53" s="565">
        <f>IF(CT53=0,0,1+COUNTIF(CU$6:CU52,"&gt;0"))</f>
        <v>0</v>
      </c>
      <c r="CV53" s="565">
        <f t="shared" si="25"/>
        <v>0</v>
      </c>
      <c r="CW53" s="565">
        <f>IF(CV53=0,0,1+COUNTIF(CW$6:CW52,"&gt;0"))</f>
        <v>0</v>
      </c>
      <c r="CX53" s="565">
        <f t="shared" si="26"/>
        <v>0</v>
      </c>
      <c r="CY53" s="565">
        <f>IF(CX53=0,0,1+COUNTIF(CY$6:CY52,"&gt;0"))</f>
        <v>0</v>
      </c>
      <c r="CZ53" s="565">
        <f t="shared" si="27"/>
        <v>0</v>
      </c>
      <c r="DA53" s="565">
        <f>IF(CZ53=0,0,1+COUNTIF(DA$6:DA52,"&gt;0"))</f>
        <v>0</v>
      </c>
      <c r="DB53" s="565">
        <f t="shared" si="28"/>
        <v>0</v>
      </c>
      <c r="DC53" s="565">
        <f>IF(DB53=0,0,1+COUNTIF(DC$6:DC52,"&gt;0"))</f>
        <v>0</v>
      </c>
      <c r="DD53" s="565"/>
      <c r="DE53" s="565"/>
      <c r="DF53" s="565"/>
    </row>
    <row r="54" spans="1:110" x14ac:dyDescent="0.25">
      <c r="A54" s="120"/>
      <c r="B54" s="1062"/>
      <c r="C54" s="1062"/>
      <c r="D54" s="1062"/>
      <c r="E54" s="1062"/>
      <c r="F54" s="1062"/>
      <c r="G54" s="1062"/>
      <c r="H54" s="1062"/>
      <c r="I54" s="590"/>
      <c r="J54" s="566">
        <v>18</v>
      </c>
      <c r="K54" s="565" t="str">
        <f t="shared" si="29"/>
        <v/>
      </c>
      <c r="L54" s="565" t="str">
        <f t="shared" si="30"/>
        <v/>
      </c>
      <c r="M54" s="565"/>
      <c r="N54" s="565"/>
      <c r="O54" s="565"/>
      <c r="P54" s="565"/>
      <c r="Q54" s="565"/>
      <c r="R54" s="565"/>
      <c r="S54" s="566">
        <v>18</v>
      </c>
      <c r="T54" s="565" t="str">
        <f t="shared" si="31"/>
        <v/>
      </c>
      <c r="U54" s="565" t="str">
        <f t="shared" si="32"/>
        <v/>
      </c>
      <c r="V54" s="565"/>
      <c r="W54" s="565"/>
      <c r="X54" s="565"/>
      <c r="Y54" s="565"/>
      <c r="Z54" s="565"/>
      <c r="AA54" s="565"/>
      <c r="AB54" s="566">
        <v>18</v>
      </c>
      <c r="AC54" s="565" t="str">
        <f t="shared" si="33"/>
        <v/>
      </c>
      <c r="AD54" s="565" t="str">
        <f t="shared" si="34"/>
        <v/>
      </c>
      <c r="AE54" s="565"/>
      <c r="AF54" s="565"/>
      <c r="AG54" s="565"/>
      <c r="AH54" s="565"/>
      <c r="AI54" s="565"/>
      <c r="AJ54" s="565"/>
      <c r="AK54" s="566">
        <v>18</v>
      </c>
      <c r="AL54" s="565" t="str">
        <f t="shared" si="35"/>
        <v/>
      </c>
      <c r="AM54" s="565" t="str">
        <f t="shared" si="36"/>
        <v/>
      </c>
      <c r="AN54" s="565"/>
      <c r="AO54" s="565"/>
      <c r="AP54" s="565"/>
      <c r="AQ54" s="565"/>
      <c r="AR54" s="565"/>
      <c r="AS54" s="565"/>
      <c r="AT54" s="566">
        <v>18</v>
      </c>
      <c r="AU54" s="565" t="str">
        <f t="shared" si="37"/>
        <v/>
      </c>
      <c r="AV54" s="565" t="str">
        <f t="shared" si="38"/>
        <v/>
      </c>
      <c r="AW54" s="565"/>
      <c r="AX54" s="566"/>
      <c r="AY54" s="565"/>
      <c r="AZ54" s="565"/>
      <c r="BA54" s="565"/>
      <c r="BB54" s="565"/>
      <c r="BC54" s="566">
        <v>18</v>
      </c>
      <c r="BD54" s="565" t="str">
        <f t="shared" si="39"/>
        <v/>
      </c>
      <c r="BE54" s="565" t="str">
        <f t="shared" si="40"/>
        <v/>
      </c>
      <c r="BF54" s="565"/>
      <c r="BG54" s="565"/>
      <c r="BH54" s="565"/>
      <c r="BI54" s="565"/>
      <c r="BJ54" s="565"/>
      <c r="BK54" s="565"/>
      <c r="BL54" s="566">
        <v>18</v>
      </c>
      <c r="BM54" s="565" t="str">
        <f t="shared" si="41"/>
        <v/>
      </c>
      <c r="BN54" s="565" t="str">
        <f t="shared" si="42"/>
        <v/>
      </c>
      <c r="BO54" s="565"/>
      <c r="BP54" s="565"/>
      <c r="BQ54" s="565"/>
      <c r="BR54" s="565"/>
      <c r="BS54" s="565"/>
      <c r="BT54" s="565"/>
      <c r="BU54" s="566">
        <v>18</v>
      </c>
      <c r="BV54" s="565" t="str">
        <f t="shared" si="43"/>
        <v/>
      </c>
      <c r="BW54" s="565" t="str">
        <f t="shared" si="44"/>
        <v/>
      </c>
      <c r="BX54" s="565"/>
      <c r="BY54" s="565"/>
      <c r="BZ54" s="565"/>
      <c r="CA54" s="565"/>
      <c r="CB54" s="565"/>
      <c r="CC54" s="566">
        <v>18</v>
      </c>
      <c r="CD54" s="565" t="str">
        <f t="shared" si="45"/>
        <v/>
      </c>
      <c r="CE54" s="565" t="str">
        <f t="shared" si="46"/>
        <v/>
      </c>
      <c r="CF54" s="565"/>
      <c r="CG54" s="565"/>
      <c r="CH54" s="565"/>
      <c r="CI54" s="565">
        <v>49</v>
      </c>
      <c r="CJ54" s="565">
        <f>Character_Creation!X389</f>
        <v>0</v>
      </c>
      <c r="CK54" s="565" t="str">
        <f>Character_Creation!AB389</f>
        <v/>
      </c>
      <c r="CL54" s="565">
        <f t="shared" si="20"/>
        <v>0</v>
      </c>
      <c r="CM54" s="565">
        <f>IF(CL54=0,0,1+COUNTIF(CM$6:CM53,"&gt;0"))</f>
        <v>0</v>
      </c>
      <c r="CN54" s="565">
        <f t="shared" si="21"/>
        <v>0</v>
      </c>
      <c r="CO54" s="565">
        <f>IF(CN54=0,0,1+COUNTIF(CO$6:CO53,"&gt;0"))</f>
        <v>0</v>
      </c>
      <c r="CP54" s="565">
        <f t="shared" si="22"/>
        <v>0</v>
      </c>
      <c r="CQ54" s="565">
        <f>IF(CP54=0,0,1+COUNTIF(CQ$6:CQ53,"&gt;0"))</f>
        <v>0</v>
      </c>
      <c r="CR54" s="565">
        <f t="shared" si="23"/>
        <v>0</v>
      </c>
      <c r="CS54" s="565">
        <f>IF(CR54=0,0,1+COUNTIF(CS$6:CS53,"&gt;0"))</f>
        <v>0</v>
      </c>
      <c r="CT54" s="565">
        <f t="shared" si="24"/>
        <v>0</v>
      </c>
      <c r="CU54" s="565">
        <f>IF(CT54=0,0,1+COUNTIF(CU$6:CU53,"&gt;0"))</f>
        <v>0</v>
      </c>
      <c r="CV54" s="565">
        <f t="shared" si="25"/>
        <v>0</v>
      </c>
      <c r="CW54" s="565">
        <f>IF(CV54=0,0,1+COUNTIF(CW$6:CW53,"&gt;0"))</f>
        <v>0</v>
      </c>
      <c r="CX54" s="565">
        <f t="shared" si="26"/>
        <v>0</v>
      </c>
      <c r="CY54" s="565">
        <f>IF(CX54=0,0,1+COUNTIF(CY$6:CY53,"&gt;0"))</f>
        <v>0</v>
      </c>
      <c r="CZ54" s="565">
        <f t="shared" si="27"/>
        <v>0</v>
      </c>
      <c r="DA54" s="565">
        <f>IF(CZ54=0,0,1+COUNTIF(DA$6:DA53,"&gt;0"))</f>
        <v>0</v>
      </c>
      <c r="DB54" s="565">
        <f t="shared" si="28"/>
        <v>0</v>
      </c>
      <c r="DC54" s="565">
        <f>IF(DB54=0,0,1+COUNTIF(DC$6:DC53,"&gt;0"))</f>
        <v>0</v>
      </c>
      <c r="DD54" s="565"/>
      <c r="DE54" s="565"/>
      <c r="DF54" s="565"/>
    </row>
    <row r="55" spans="1:110" x14ac:dyDescent="0.25">
      <c r="A55" s="120"/>
      <c r="B55" s="1062"/>
      <c r="C55" s="1062"/>
      <c r="D55" s="1062"/>
      <c r="E55" s="1062"/>
      <c r="F55" s="1062"/>
      <c r="G55" s="1062"/>
      <c r="H55" s="1062"/>
      <c r="I55" s="590"/>
      <c r="J55" s="566">
        <v>19</v>
      </c>
      <c r="K55" s="565" t="str">
        <f t="shared" si="29"/>
        <v/>
      </c>
      <c r="L55" s="565" t="str">
        <f t="shared" si="30"/>
        <v/>
      </c>
      <c r="M55" s="565"/>
      <c r="N55" s="565"/>
      <c r="O55" s="565"/>
      <c r="P55" s="565"/>
      <c r="Q55" s="565"/>
      <c r="R55" s="565"/>
      <c r="S55" s="566">
        <v>19</v>
      </c>
      <c r="T55" s="565" t="str">
        <f t="shared" si="31"/>
        <v/>
      </c>
      <c r="U55" s="565" t="str">
        <f t="shared" si="32"/>
        <v/>
      </c>
      <c r="V55" s="565"/>
      <c r="W55" s="565"/>
      <c r="X55" s="565"/>
      <c r="Y55" s="565"/>
      <c r="Z55" s="565"/>
      <c r="AA55" s="565"/>
      <c r="AB55" s="566">
        <v>19</v>
      </c>
      <c r="AC55" s="565" t="str">
        <f t="shared" si="33"/>
        <v/>
      </c>
      <c r="AD55" s="565" t="str">
        <f t="shared" si="34"/>
        <v/>
      </c>
      <c r="AE55" s="565"/>
      <c r="AF55" s="565"/>
      <c r="AG55" s="565"/>
      <c r="AH55" s="565"/>
      <c r="AI55" s="565"/>
      <c r="AJ55" s="565"/>
      <c r="AK55" s="566">
        <v>19</v>
      </c>
      <c r="AL55" s="565" t="str">
        <f t="shared" si="35"/>
        <v/>
      </c>
      <c r="AM55" s="565" t="str">
        <f t="shared" si="36"/>
        <v/>
      </c>
      <c r="AN55" s="565"/>
      <c r="AO55" s="565"/>
      <c r="AP55" s="565"/>
      <c r="AQ55" s="565"/>
      <c r="AR55" s="565"/>
      <c r="AS55" s="565"/>
      <c r="AT55" s="566">
        <v>19</v>
      </c>
      <c r="AU55" s="565" t="str">
        <f t="shared" si="37"/>
        <v/>
      </c>
      <c r="AV55" s="565" t="str">
        <f t="shared" si="38"/>
        <v/>
      </c>
      <c r="AW55" s="565"/>
      <c r="AX55" s="566"/>
      <c r="AY55" s="565"/>
      <c r="AZ55" s="565"/>
      <c r="BA55" s="565"/>
      <c r="BB55" s="565"/>
      <c r="BC55" s="566">
        <v>19</v>
      </c>
      <c r="BD55" s="565" t="str">
        <f t="shared" si="39"/>
        <v/>
      </c>
      <c r="BE55" s="565" t="str">
        <f t="shared" si="40"/>
        <v/>
      </c>
      <c r="BF55" s="565"/>
      <c r="BG55" s="565"/>
      <c r="BH55" s="565"/>
      <c r="BI55" s="565"/>
      <c r="BJ55" s="565"/>
      <c r="BK55" s="565"/>
      <c r="BL55" s="566">
        <v>19</v>
      </c>
      <c r="BM55" s="565" t="str">
        <f t="shared" si="41"/>
        <v/>
      </c>
      <c r="BN55" s="565" t="str">
        <f t="shared" si="42"/>
        <v/>
      </c>
      <c r="BO55" s="565"/>
      <c r="BP55" s="565"/>
      <c r="BQ55" s="565"/>
      <c r="BR55" s="565"/>
      <c r="BS55" s="565"/>
      <c r="BT55" s="565"/>
      <c r="BU55" s="566">
        <v>19</v>
      </c>
      <c r="BV55" s="565" t="str">
        <f t="shared" si="43"/>
        <v/>
      </c>
      <c r="BW55" s="565" t="str">
        <f t="shared" si="44"/>
        <v/>
      </c>
      <c r="BX55" s="565"/>
      <c r="BY55" s="565"/>
      <c r="BZ55" s="565"/>
      <c r="CA55" s="565"/>
      <c r="CB55" s="565"/>
      <c r="CC55" s="566">
        <v>19</v>
      </c>
      <c r="CD55" s="565" t="str">
        <f t="shared" si="45"/>
        <v/>
      </c>
      <c r="CE55" s="565" t="str">
        <f t="shared" si="46"/>
        <v/>
      </c>
      <c r="CF55" s="565"/>
      <c r="CG55" s="565"/>
      <c r="CH55" s="565"/>
      <c r="CI55" s="565">
        <v>50</v>
      </c>
      <c r="CJ55" s="565">
        <f>Character_Creation!X390</f>
        <v>0</v>
      </c>
      <c r="CK55" s="565" t="str">
        <f>Character_Creation!AB390</f>
        <v/>
      </c>
      <c r="CL55" s="565">
        <f t="shared" si="20"/>
        <v>0</v>
      </c>
      <c r="CM55" s="565">
        <f>IF(CL55=0,0,1+COUNTIF(CM$6:CM54,"&gt;0"))</f>
        <v>0</v>
      </c>
      <c r="CN55" s="565">
        <f t="shared" si="21"/>
        <v>0</v>
      </c>
      <c r="CO55" s="565">
        <f>IF(CN55=0,0,1+COUNTIF(CO$6:CO54,"&gt;0"))</f>
        <v>0</v>
      </c>
      <c r="CP55" s="565">
        <f t="shared" si="22"/>
        <v>0</v>
      </c>
      <c r="CQ55" s="565">
        <f>IF(CP55=0,0,1+COUNTIF(CQ$6:CQ54,"&gt;0"))</f>
        <v>0</v>
      </c>
      <c r="CR55" s="565">
        <f t="shared" si="23"/>
        <v>0</v>
      </c>
      <c r="CS55" s="565">
        <f>IF(CR55=0,0,1+COUNTIF(CS$6:CS54,"&gt;0"))</f>
        <v>0</v>
      </c>
      <c r="CT55" s="565">
        <f t="shared" si="24"/>
        <v>0</v>
      </c>
      <c r="CU55" s="565">
        <f>IF(CT55=0,0,1+COUNTIF(CU$6:CU54,"&gt;0"))</f>
        <v>0</v>
      </c>
      <c r="CV55" s="565">
        <f t="shared" si="25"/>
        <v>0</v>
      </c>
      <c r="CW55" s="565">
        <f>IF(CV55=0,0,1+COUNTIF(CW$6:CW54,"&gt;0"))</f>
        <v>0</v>
      </c>
      <c r="CX55" s="565">
        <f t="shared" si="26"/>
        <v>0</v>
      </c>
      <c r="CY55" s="565">
        <f>IF(CX55=0,0,1+COUNTIF(CY$6:CY54,"&gt;0"))</f>
        <v>0</v>
      </c>
      <c r="CZ55" s="565">
        <f t="shared" si="27"/>
        <v>0</v>
      </c>
      <c r="DA55" s="565">
        <f>IF(CZ55=0,0,1+COUNTIF(DA$6:DA54,"&gt;0"))</f>
        <v>0</v>
      </c>
      <c r="DB55" s="565">
        <f t="shared" si="28"/>
        <v>0</v>
      </c>
      <c r="DC55" s="565">
        <f>IF(DB55=0,0,1+COUNTIF(DC$6:DC54,"&gt;0"))</f>
        <v>0</v>
      </c>
      <c r="DD55" s="565"/>
      <c r="DE55" s="565"/>
      <c r="DF55" s="565"/>
    </row>
    <row r="56" spans="1:110" x14ac:dyDescent="0.25">
      <c r="A56" s="120"/>
      <c r="B56" s="1062"/>
      <c r="C56" s="1062"/>
      <c r="D56" s="1062"/>
      <c r="E56" s="1062"/>
      <c r="F56" s="1062"/>
      <c r="G56" s="1062"/>
      <c r="H56" s="1062"/>
      <c r="I56" s="590"/>
      <c r="J56" s="566">
        <v>20</v>
      </c>
      <c r="K56" s="565" t="str">
        <f t="shared" si="29"/>
        <v/>
      </c>
      <c r="L56" s="565" t="str">
        <f t="shared" si="30"/>
        <v/>
      </c>
      <c r="M56" s="565"/>
      <c r="N56" s="565"/>
      <c r="O56" s="565"/>
      <c r="P56" s="565"/>
      <c r="Q56" s="565"/>
      <c r="R56" s="565"/>
      <c r="S56" s="566">
        <v>20</v>
      </c>
      <c r="T56" s="565" t="str">
        <f t="shared" si="31"/>
        <v/>
      </c>
      <c r="U56" s="565" t="str">
        <f t="shared" si="32"/>
        <v/>
      </c>
      <c r="V56" s="565"/>
      <c r="W56" s="565"/>
      <c r="X56" s="565"/>
      <c r="Y56" s="565"/>
      <c r="Z56" s="565"/>
      <c r="AA56" s="565"/>
      <c r="AB56" s="566">
        <v>20</v>
      </c>
      <c r="AC56" s="565" t="str">
        <f t="shared" si="33"/>
        <v/>
      </c>
      <c r="AD56" s="565" t="str">
        <f t="shared" si="34"/>
        <v/>
      </c>
      <c r="AE56" s="565"/>
      <c r="AF56" s="565"/>
      <c r="AG56" s="565"/>
      <c r="AH56" s="565"/>
      <c r="AI56" s="565"/>
      <c r="AJ56" s="565"/>
      <c r="AK56" s="566">
        <v>20</v>
      </c>
      <c r="AL56" s="565" t="str">
        <f t="shared" si="35"/>
        <v/>
      </c>
      <c r="AM56" s="565" t="str">
        <f t="shared" si="36"/>
        <v/>
      </c>
      <c r="AN56" s="565"/>
      <c r="AO56" s="565"/>
      <c r="AP56" s="565"/>
      <c r="AQ56" s="565"/>
      <c r="AR56" s="565"/>
      <c r="AS56" s="565"/>
      <c r="AT56" s="566">
        <v>20</v>
      </c>
      <c r="AU56" s="565" t="str">
        <f t="shared" si="37"/>
        <v/>
      </c>
      <c r="AV56" s="565" t="str">
        <f t="shared" si="38"/>
        <v/>
      </c>
      <c r="AW56" s="565"/>
      <c r="AX56" s="566"/>
      <c r="AY56" s="565"/>
      <c r="AZ56" s="565"/>
      <c r="BA56" s="565"/>
      <c r="BB56" s="565"/>
      <c r="BC56" s="566">
        <v>20</v>
      </c>
      <c r="BD56" s="565" t="str">
        <f t="shared" si="39"/>
        <v/>
      </c>
      <c r="BE56" s="565" t="str">
        <f t="shared" si="40"/>
        <v/>
      </c>
      <c r="BF56" s="565"/>
      <c r="BG56" s="565"/>
      <c r="BH56" s="565"/>
      <c r="BI56" s="565"/>
      <c r="BJ56" s="565"/>
      <c r="BK56" s="565"/>
      <c r="BL56" s="566">
        <v>20</v>
      </c>
      <c r="BM56" s="565" t="str">
        <f t="shared" si="41"/>
        <v/>
      </c>
      <c r="BN56" s="565" t="str">
        <f t="shared" si="42"/>
        <v/>
      </c>
      <c r="BO56" s="565"/>
      <c r="BP56" s="565"/>
      <c r="BQ56" s="565"/>
      <c r="BR56" s="565"/>
      <c r="BS56" s="565"/>
      <c r="BT56" s="565"/>
      <c r="BU56" s="566">
        <v>20</v>
      </c>
      <c r="BV56" s="565" t="str">
        <f t="shared" si="43"/>
        <v/>
      </c>
      <c r="BW56" s="565" t="str">
        <f t="shared" si="44"/>
        <v/>
      </c>
      <c r="BX56" s="565"/>
      <c r="BY56" s="565"/>
      <c r="BZ56" s="565"/>
      <c r="CA56" s="565"/>
      <c r="CB56" s="565"/>
      <c r="CC56" s="566">
        <v>20</v>
      </c>
      <c r="CD56" s="565" t="str">
        <f t="shared" si="45"/>
        <v/>
      </c>
      <c r="CE56" s="565" t="str">
        <f t="shared" si="46"/>
        <v/>
      </c>
      <c r="CF56" s="565"/>
      <c r="CG56" s="565"/>
      <c r="CH56" s="565"/>
      <c r="CI56" s="565">
        <v>51</v>
      </c>
      <c r="CJ56" s="565">
        <f>Character_Creation!X391</f>
        <v>0</v>
      </c>
      <c r="CK56" s="565" t="str">
        <f>Character_Creation!AB391</f>
        <v/>
      </c>
      <c r="CL56" s="565">
        <f t="shared" si="20"/>
        <v>0</v>
      </c>
      <c r="CM56" s="565">
        <f>IF(CL56=0,0,1+COUNTIF(CM$6:CM55,"&gt;0"))</f>
        <v>0</v>
      </c>
      <c r="CN56" s="565">
        <f t="shared" si="21"/>
        <v>0</v>
      </c>
      <c r="CO56" s="565">
        <f>IF(CN56=0,0,1+COUNTIF(CO$6:CO55,"&gt;0"))</f>
        <v>0</v>
      </c>
      <c r="CP56" s="565">
        <f t="shared" si="22"/>
        <v>0</v>
      </c>
      <c r="CQ56" s="565">
        <f>IF(CP56=0,0,1+COUNTIF(CQ$6:CQ55,"&gt;0"))</f>
        <v>0</v>
      </c>
      <c r="CR56" s="565">
        <f t="shared" si="23"/>
        <v>0</v>
      </c>
      <c r="CS56" s="565">
        <f>IF(CR56=0,0,1+COUNTIF(CS$6:CS55,"&gt;0"))</f>
        <v>0</v>
      </c>
      <c r="CT56" s="565">
        <f t="shared" si="24"/>
        <v>0</v>
      </c>
      <c r="CU56" s="565">
        <f>IF(CT56=0,0,1+COUNTIF(CU$6:CU55,"&gt;0"))</f>
        <v>0</v>
      </c>
      <c r="CV56" s="565">
        <f t="shared" si="25"/>
        <v>0</v>
      </c>
      <c r="CW56" s="565">
        <f>IF(CV56=0,0,1+COUNTIF(CW$6:CW55,"&gt;0"))</f>
        <v>0</v>
      </c>
      <c r="CX56" s="565">
        <f t="shared" si="26"/>
        <v>0</v>
      </c>
      <c r="CY56" s="565">
        <f>IF(CX56=0,0,1+COUNTIF(CY$6:CY55,"&gt;0"))</f>
        <v>0</v>
      </c>
      <c r="CZ56" s="565">
        <f t="shared" si="27"/>
        <v>0</v>
      </c>
      <c r="DA56" s="565">
        <f>IF(CZ56=0,0,1+COUNTIF(DA$6:DA55,"&gt;0"))</f>
        <v>0</v>
      </c>
      <c r="DB56" s="565">
        <f t="shared" si="28"/>
        <v>0</v>
      </c>
      <c r="DC56" s="565">
        <f>IF(DB56=0,0,1+COUNTIF(DC$6:DC55,"&gt;0"))</f>
        <v>0</v>
      </c>
      <c r="DD56" s="565"/>
      <c r="DE56" s="565"/>
      <c r="DF56" s="565"/>
    </row>
    <row r="57" spans="1:110" x14ac:dyDescent="0.25">
      <c r="A57" s="120"/>
      <c r="B57" s="1062"/>
      <c r="C57" s="1062"/>
      <c r="D57" s="1062"/>
      <c r="E57" s="1062"/>
      <c r="F57" s="1062"/>
      <c r="G57" s="1062"/>
      <c r="H57" s="1062"/>
      <c r="I57" s="590"/>
      <c r="J57" s="566">
        <v>21</v>
      </c>
      <c r="K57" s="565" t="str">
        <f t="shared" si="29"/>
        <v/>
      </c>
      <c r="L57" s="565" t="str">
        <f t="shared" si="30"/>
        <v/>
      </c>
      <c r="M57" s="565"/>
      <c r="N57" s="565"/>
      <c r="O57" s="565"/>
      <c r="P57" s="565"/>
      <c r="Q57" s="565"/>
      <c r="R57" s="565"/>
      <c r="S57" s="566">
        <v>21</v>
      </c>
      <c r="T57" s="565" t="str">
        <f t="shared" si="31"/>
        <v/>
      </c>
      <c r="U57" s="565" t="str">
        <f t="shared" si="32"/>
        <v/>
      </c>
      <c r="V57" s="565"/>
      <c r="W57" s="565"/>
      <c r="X57" s="565"/>
      <c r="Y57" s="565"/>
      <c r="Z57" s="565"/>
      <c r="AA57" s="565"/>
      <c r="AB57" s="566">
        <v>21</v>
      </c>
      <c r="AC57" s="565" t="str">
        <f t="shared" si="33"/>
        <v/>
      </c>
      <c r="AD57" s="565" t="str">
        <f t="shared" si="34"/>
        <v/>
      </c>
      <c r="AE57" s="565"/>
      <c r="AF57" s="565"/>
      <c r="AG57" s="565"/>
      <c r="AH57" s="565"/>
      <c r="AI57" s="565"/>
      <c r="AJ57" s="565"/>
      <c r="AK57" s="566">
        <v>21</v>
      </c>
      <c r="AL57" s="565" t="str">
        <f t="shared" si="35"/>
        <v/>
      </c>
      <c r="AM57" s="565" t="str">
        <f t="shared" si="36"/>
        <v/>
      </c>
      <c r="AN57" s="565"/>
      <c r="AO57" s="565"/>
      <c r="AP57" s="565"/>
      <c r="AQ57" s="565"/>
      <c r="AR57" s="565"/>
      <c r="AS57" s="565"/>
      <c r="AT57" s="566">
        <v>21</v>
      </c>
      <c r="AU57" s="565" t="str">
        <f t="shared" si="37"/>
        <v/>
      </c>
      <c r="AV57" s="565" t="str">
        <f t="shared" si="38"/>
        <v/>
      </c>
      <c r="AW57" s="565"/>
      <c r="AX57" s="566"/>
      <c r="AY57" s="565"/>
      <c r="AZ57" s="565"/>
      <c r="BA57" s="565"/>
      <c r="BB57" s="565"/>
      <c r="BC57" s="566">
        <v>21</v>
      </c>
      <c r="BD57" s="565" t="str">
        <f t="shared" si="39"/>
        <v/>
      </c>
      <c r="BE57" s="565" t="str">
        <f t="shared" si="40"/>
        <v/>
      </c>
      <c r="BF57" s="565"/>
      <c r="BG57" s="565"/>
      <c r="BH57" s="565"/>
      <c r="BI57" s="565"/>
      <c r="BJ57" s="565"/>
      <c r="BK57" s="565"/>
      <c r="BL57" s="566">
        <v>21</v>
      </c>
      <c r="BM57" s="565" t="str">
        <f t="shared" si="41"/>
        <v/>
      </c>
      <c r="BN57" s="565" t="str">
        <f t="shared" si="42"/>
        <v/>
      </c>
      <c r="BO57" s="565"/>
      <c r="BP57" s="565"/>
      <c r="BQ57" s="565"/>
      <c r="BR57" s="565"/>
      <c r="BS57" s="565"/>
      <c r="BT57" s="565"/>
      <c r="BU57" s="566">
        <v>21</v>
      </c>
      <c r="BV57" s="565" t="str">
        <f t="shared" si="43"/>
        <v/>
      </c>
      <c r="BW57" s="565" t="str">
        <f t="shared" si="44"/>
        <v/>
      </c>
      <c r="BX57" s="565"/>
      <c r="BY57" s="565"/>
      <c r="BZ57" s="565"/>
      <c r="CA57" s="565"/>
      <c r="CB57" s="565"/>
      <c r="CC57" s="566">
        <v>21</v>
      </c>
      <c r="CD57" s="565" t="str">
        <f t="shared" si="45"/>
        <v/>
      </c>
      <c r="CE57" s="565" t="str">
        <f t="shared" si="46"/>
        <v/>
      </c>
      <c r="CF57" s="565"/>
      <c r="CG57" s="565"/>
      <c r="CH57" s="565"/>
      <c r="CI57" s="565">
        <v>52</v>
      </c>
      <c r="CJ57" s="565">
        <f>Character_Creation!X392</f>
        <v>0</v>
      </c>
      <c r="CK57" s="565" t="str">
        <f>Character_Creation!AB392</f>
        <v/>
      </c>
      <c r="CL57" s="565">
        <f t="shared" si="20"/>
        <v>0</v>
      </c>
      <c r="CM57" s="565">
        <f>IF(CL57=0,0,1+COUNTIF(CM$6:CM56,"&gt;0"))</f>
        <v>0</v>
      </c>
      <c r="CN57" s="565">
        <f t="shared" si="21"/>
        <v>0</v>
      </c>
      <c r="CO57" s="565">
        <f>IF(CN57=0,0,1+COUNTIF(CO$6:CO56,"&gt;0"))</f>
        <v>0</v>
      </c>
      <c r="CP57" s="565">
        <f t="shared" si="22"/>
        <v>0</v>
      </c>
      <c r="CQ57" s="565">
        <f>IF(CP57=0,0,1+COUNTIF(CQ$6:CQ56,"&gt;0"))</f>
        <v>0</v>
      </c>
      <c r="CR57" s="565">
        <f t="shared" si="23"/>
        <v>0</v>
      </c>
      <c r="CS57" s="565">
        <f>IF(CR57=0,0,1+COUNTIF(CS$6:CS56,"&gt;0"))</f>
        <v>0</v>
      </c>
      <c r="CT57" s="565">
        <f t="shared" si="24"/>
        <v>0</v>
      </c>
      <c r="CU57" s="565">
        <f>IF(CT57=0,0,1+COUNTIF(CU$6:CU56,"&gt;0"))</f>
        <v>0</v>
      </c>
      <c r="CV57" s="565">
        <f t="shared" si="25"/>
        <v>0</v>
      </c>
      <c r="CW57" s="565">
        <f>IF(CV57=0,0,1+COUNTIF(CW$6:CW56,"&gt;0"))</f>
        <v>0</v>
      </c>
      <c r="CX57" s="565">
        <f t="shared" si="26"/>
        <v>0</v>
      </c>
      <c r="CY57" s="565">
        <f>IF(CX57=0,0,1+COUNTIF(CY$6:CY56,"&gt;0"))</f>
        <v>0</v>
      </c>
      <c r="CZ57" s="565">
        <f t="shared" si="27"/>
        <v>0</v>
      </c>
      <c r="DA57" s="565">
        <f>IF(CZ57=0,0,1+COUNTIF(DA$6:DA56,"&gt;0"))</f>
        <v>0</v>
      </c>
      <c r="DB57" s="565">
        <f t="shared" si="28"/>
        <v>0</v>
      </c>
      <c r="DC57" s="565">
        <f>IF(DB57=0,0,1+COUNTIF(DC$6:DC56,"&gt;0"))</f>
        <v>0</v>
      </c>
      <c r="DD57" s="565"/>
      <c r="DE57" s="565"/>
      <c r="DF57" s="565"/>
    </row>
    <row r="58" spans="1:110" x14ac:dyDescent="0.25">
      <c r="A58" s="120"/>
      <c r="B58" s="1062"/>
      <c r="C58" s="1062"/>
      <c r="D58" s="1062"/>
      <c r="E58" s="1062"/>
      <c r="F58" s="1062"/>
      <c r="G58" s="1062"/>
      <c r="H58" s="1062"/>
      <c r="I58" s="590"/>
      <c r="J58" s="566">
        <v>22</v>
      </c>
      <c r="K58" s="565" t="str">
        <f t="shared" si="29"/>
        <v/>
      </c>
      <c r="L58" s="565" t="str">
        <f t="shared" si="30"/>
        <v/>
      </c>
      <c r="M58" s="565"/>
      <c r="N58" s="565"/>
      <c r="O58" s="565"/>
      <c r="P58" s="565"/>
      <c r="Q58" s="565"/>
      <c r="R58" s="565"/>
      <c r="S58" s="566">
        <v>22</v>
      </c>
      <c r="T58" s="565" t="str">
        <f t="shared" si="31"/>
        <v/>
      </c>
      <c r="U58" s="565" t="str">
        <f t="shared" si="32"/>
        <v/>
      </c>
      <c r="V58" s="565"/>
      <c r="W58" s="565"/>
      <c r="X58" s="565"/>
      <c r="Y58" s="565"/>
      <c r="Z58" s="565"/>
      <c r="AA58" s="565"/>
      <c r="AB58" s="566">
        <v>22</v>
      </c>
      <c r="AC58" s="565" t="str">
        <f t="shared" si="33"/>
        <v/>
      </c>
      <c r="AD58" s="565" t="str">
        <f t="shared" si="34"/>
        <v/>
      </c>
      <c r="AE58" s="565"/>
      <c r="AF58" s="565"/>
      <c r="AG58" s="565"/>
      <c r="AH58" s="565"/>
      <c r="AI58" s="565"/>
      <c r="AJ58" s="565"/>
      <c r="AK58" s="566">
        <v>22</v>
      </c>
      <c r="AL58" s="565" t="str">
        <f t="shared" si="35"/>
        <v/>
      </c>
      <c r="AM58" s="565" t="str">
        <f t="shared" si="36"/>
        <v/>
      </c>
      <c r="AN58" s="565"/>
      <c r="AO58" s="565"/>
      <c r="AP58" s="565"/>
      <c r="AQ58" s="565"/>
      <c r="AR58" s="565"/>
      <c r="AS58" s="565"/>
      <c r="AT58" s="566">
        <v>22</v>
      </c>
      <c r="AU58" s="565" t="str">
        <f t="shared" si="37"/>
        <v/>
      </c>
      <c r="AV58" s="565" t="str">
        <f t="shared" si="38"/>
        <v/>
      </c>
      <c r="AW58" s="565"/>
      <c r="AX58" s="566"/>
      <c r="AY58" s="565"/>
      <c r="AZ58" s="565"/>
      <c r="BA58" s="565"/>
      <c r="BB58" s="565"/>
      <c r="BC58" s="566">
        <v>22</v>
      </c>
      <c r="BD58" s="565" t="str">
        <f t="shared" si="39"/>
        <v/>
      </c>
      <c r="BE58" s="565" t="str">
        <f t="shared" si="40"/>
        <v/>
      </c>
      <c r="BF58" s="565"/>
      <c r="BG58" s="565"/>
      <c r="BH58" s="565"/>
      <c r="BI58" s="565"/>
      <c r="BJ58" s="565"/>
      <c r="BK58" s="565"/>
      <c r="BL58" s="566">
        <v>22</v>
      </c>
      <c r="BM58" s="565" t="str">
        <f t="shared" si="41"/>
        <v/>
      </c>
      <c r="BN58" s="565" t="str">
        <f t="shared" si="42"/>
        <v/>
      </c>
      <c r="BO58" s="565"/>
      <c r="BP58" s="565"/>
      <c r="BQ58" s="565"/>
      <c r="BR58" s="565"/>
      <c r="BS58" s="565"/>
      <c r="BT58" s="565"/>
      <c r="BU58" s="566">
        <v>22</v>
      </c>
      <c r="BV58" s="565" t="str">
        <f t="shared" si="43"/>
        <v/>
      </c>
      <c r="BW58" s="565" t="str">
        <f t="shared" si="44"/>
        <v/>
      </c>
      <c r="BX58" s="565"/>
      <c r="BY58" s="565"/>
      <c r="BZ58" s="565"/>
      <c r="CA58" s="565"/>
      <c r="CB58" s="565"/>
      <c r="CC58" s="566">
        <v>22</v>
      </c>
      <c r="CD58" s="565" t="str">
        <f t="shared" si="45"/>
        <v/>
      </c>
      <c r="CE58" s="565" t="str">
        <f t="shared" si="46"/>
        <v/>
      </c>
      <c r="CF58" s="565"/>
      <c r="CG58" s="565"/>
      <c r="CH58" s="565"/>
      <c r="CI58" s="565">
        <v>53</v>
      </c>
      <c r="CJ58" s="565">
        <f>Character_Creation!X393</f>
        <v>0</v>
      </c>
      <c r="CK58" s="565" t="str">
        <f>Character_Creation!AB393</f>
        <v/>
      </c>
      <c r="CL58" s="565">
        <f t="shared" si="20"/>
        <v>0</v>
      </c>
      <c r="CM58" s="565">
        <f>IF(CL58=0,0,1+COUNTIF(CM$6:CM57,"&gt;0"))</f>
        <v>0</v>
      </c>
      <c r="CN58" s="565">
        <f t="shared" si="21"/>
        <v>0</v>
      </c>
      <c r="CO58" s="565">
        <f>IF(CN58=0,0,1+COUNTIF(CO$6:CO57,"&gt;0"))</f>
        <v>0</v>
      </c>
      <c r="CP58" s="565">
        <f t="shared" si="22"/>
        <v>0</v>
      </c>
      <c r="CQ58" s="565">
        <f>IF(CP58=0,0,1+COUNTIF(CQ$6:CQ57,"&gt;0"))</f>
        <v>0</v>
      </c>
      <c r="CR58" s="565">
        <f t="shared" si="23"/>
        <v>0</v>
      </c>
      <c r="CS58" s="565">
        <f>IF(CR58=0,0,1+COUNTIF(CS$6:CS57,"&gt;0"))</f>
        <v>0</v>
      </c>
      <c r="CT58" s="565">
        <f t="shared" si="24"/>
        <v>0</v>
      </c>
      <c r="CU58" s="565">
        <f>IF(CT58=0,0,1+COUNTIF(CU$6:CU57,"&gt;0"))</f>
        <v>0</v>
      </c>
      <c r="CV58" s="565">
        <f t="shared" si="25"/>
        <v>0</v>
      </c>
      <c r="CW58" s="565">
        <f>IF(CV58=0,0,1+COUNTIF(CW$6:CW57,"&gt;0"))</f>
        <v>0</v>
      </c>
      <c r="CX58" s="565">
        <f t="shared" si="26"/>
        <v>0</v>
      </c>
      <c r="CY58" s="565">
        <f>IF(CX58=0,0,1+COUNTIF(CY$6:CY57,"&gt;0"))</f>
        <v>0</v>
      </c>
      <c r="CZ58" s="565">
        <f t="shared" si="27"/>
        <v>0</v>
      </c>
      <c r="DA58" s="565">
        <f>IF(CZ58=0,0,1+COUNTIF(DA$6:DA57,"&gt;0"))</f>
        <v>0</v>
      </c>
      <c r="DB58" s="565">
        <f t="shared" si="28"/>
        <v>0</v>
      </c>
      <c r="DC58" s="565">
        <f>IF(DB58=0,0,1+COUNTIF(DC$6:DC57,"&gt;0"))</f>
        <v>0</v>
      </c>
      <c r="DD58" s="565"/>
      <c r="DE58" s="565"/>
      <c r="DF58" s="565"/>
    </row>
    <row r="59" spans="1:110" x14ac:dyDescent="0.25">
      <c r="A59" s="120"/>
      <c r="B59" s="1062"/>
      <c r="C59" s="1062"/>
      <c r="D59" s="1062"/>
      <c r="E59" s="1062"/>
      <c r="F59" s="1062"/>
      <c r="G59" s="1062"/>
      <c r="H59" s="1062"/>
      <c r="I59" s="590"/>
      <c r="J59" s="566">
        <v>23</v>
      </c>
      <c r="K59" s="565" t="str">
        <f t="shared" si="29"/>
        <v/>
      </c>
      <c r="L59" s="565" t="str">
        <f t="shared" si="30"/>
        <v/>
      </c>
      <c r="M59" s="565"/>
      <c r="N59" s="565"/>
      <c r="O59" s="565"/>
      <c r="P59" s="565"/>
      <c r="Q59" s="565"/>
      <c r="R59" s="565"/>
      <c r="S59" s="566">
        <v>23</v>
      </c>
      <c r="T59" s="565" t="str">
        <f t="shared" si="31"/>
        <v/>
      </c>
      <c r="U59" s="565" t="str">
        <f t="shared" si="32"/>
        <v/>
      </c>
      <c r="V59" s="565"/>
      <c r="W59" s="565"/>
      <c r="X59" s="565"/>
      <c r="Y59" s="565"/>
      <c r="Z59" s="565"/>
      <c r="AA59" s="565"/>
      <c r="AB59" s="566">
        <v>23</v>
      </c>
      <c r="AC59" s="565" t="str">
        <f t="shared" si="33"/>
        <v/>
      </c>
      <c r="AD59" s="565" t="str">
        <f t="shared" si="34"/>
        <v/>
      </c>
      <c r="AE59" s="565"/>
      <c r="AF59" s="565"/>
      <c r="AG59" s="565"/>
      <c r="AH59" s="565"/>
      <c r="AI59" s="565"/>
      <c r="AJ59" s="565"/>
      <c r="AK59" s="566">
        <v>23</v>
      </c>
      <c r="AL59" s="565" t="str">
        <f t="shared" si="35"/>
        <v/>
      </c>
      <c r="AM59" s="565" t="str">
        <f t="shared" si="36"/>
        <v/>
      </c>
      <c r="AN59" s="565"/>
      <c r="AO59" s="565"/>
      <c r="AP59" s="565"/>
      <c r="AQ59" s="565"/>
      <c r="AR59" s="565"/>
      <c r="AS59" s="565"/>
      <c r="AT59" s="566">
        <v>23</v>
      </c>
      <c r="AU59" s="565" t="str">
        <f t="shared" si="37"/>
        <v/>
      </c>
      <c r="AV59" s="565" t="str">
        <f t="shared" si="38"/>
        <v/>
      </c>
      <c r="AW59" s="565"/>
      <c r="AX59" s="566"/>
      <c r="AY59" s="565"/>
      <c r="AZ59" s="565"/>
      <c r="BA59" s="565"/>
      <c r="BB59" s="565"/>
      <c r="BC59" s="566">
        <v>23</v>
      </c>
      <c r="BD59" s="565" t="str">
        <f t="shared" si="39"/>
        <v/>
      </c>
      <c r="BE59" s="565" t="str">
        <f t="shared" si="40"/>
        <v/>
      </c>
      <c r="BF59" s="565"/>
      <c r="BG59" s="565"/>
      <c r="BH59" s="565"/>
      <c r="BI59" s="565"/>
      <c r="BJ59" s="565"/>
      <c r="BK59" s="565"/>
      <c r="BL59" s="566">
        <v>23</v>
      </c>
      <c r="BM59" s="565" t="str">
        <f t="shared" si="41"/>
        <v/>
      </c>
      <c r="BN59" s="565" t="str">
        <f t="shared" si="42"/>
        <v/>
      </c>
      <c r="BO59" s="565"/>
      <c r="BP59" s="565"/>
      <c r="BQ59" s="565"/>
      <c r="BR59" s="565"/>
      <c r="BS59" s="565"/>
      <c r="BT59" s="565"/>
      <c r="BU59" s="566">
        <v>23</v>
      </c>
      <c r="BV59" s="565" t="str">
        <f t="shared" si="43"/>
        <v/>
      </c>
      <c r="BW59" s="565" t="str">
        <f t="shared" si="44"/>
        <v/>
      </c>
      <c r="BX59" s="565"/>
      <c r="BY59" s="565"/>
      <c r="BZ59" s="565"/>
      <c r="CA59" s="565"/>
      <c r="CB59" s="565"/>
      <c r="CC59" s="566">
        <v>23</v>
      </c>
      <c r="CD59" s="565" t="str">
        <f t="shared" si="45"/>
        <v/>
      </c>
      <c r="CE59" s="565" t="str">
        <f t="shared" si="46"/>
        <v/>
      </c>
      <c r="CF59" s="565"/>
      <c r="CG59" s="565"/>
      <c r="CH59" s="565"/>
      <c r="CI59" s="565">
        <v>54</v>
      </c>
      <c r="CJ59" s="565">
        <f>Character_Creation!X394</f>
        <v>0</v>
      </c>
      <c r="CK59" s="565" t="str">
        <f>Character_Creation!AB394</f>
        <v/>
      </c>
      <c r="CL59" s="565">
        <f t="shared" si="20"/>
        <v>0</v>
      </c>
      <c r="CM59" s="565">
        <f>IF(CL59=0,0,1+COUNTIF(CM$6:CM58,"&gt;0"))</f>
        <v>0</v>
      </c>
      <c r="CN59" s="565">
        <f t="shared" si="21"/>
        <v>0</v>
      </c>
      <c r="CO59" s="565">
        <f>IF(CN59=0,0,1+COUNTIF(CO$6:CO58,"&gt;0"))</f>
        <v>0</v>
      </c>
      <c r="CP59" s="565">
        <f t="shared" si="22"/>
        <v>0</v>
      </c>
      <c r="CQ59" s="565">
        <f>IF(CP59=0,0,1+COUNTIF(CQ$6:CQ58,"&gt;0"))</f>
        <v>0</v>
      </c>
      <c r="CR59" s="565">
        <f t="shared" si="23"/>
        <v>0</v>
      </c>
      <c r="CS59" s="565">
        <f>IF(CR59=0,0,1+COUNTIF(CS$6:CS58,"&gt;0"))</f>
        <v>0</v>
      </c>
      <c r="CT59" s="565">
        <f t="shared" si="24"/>
        <v>0</v>
      </c>
      <c r="CU59" s="565">
        <f>IF(CT59=0,0,1+COUNTIF(CU$6:CU58,"&gt;0"))</f>
        <v>0</v>
      </c>
      <c r="CV59" s="565">
        <f t="shared" si="25"/>
        <v>0</v>
      </c>
      <c r="CW59" s="565">
        <f>IF(CV59=0,0,1+COUNTIF(CW$6:CW58,"&gt;0"))</f>
        <v>0</v>
      </c>
      <c r="CX59" s="565">
        <f t="shared" si="26"/>
        <v>0</v>
      </c>
      <c r="CY59" s="565">
        <f>IF(CX59=0,0,1+COUNTIF(CY$6:CY58,"&gt;0"))</f>
        <v>0</v>
      </c>
      <c r="CZ59" s="565">
        <f t="shared" si="27"/>
        <v>0</v>
      </c>
      <c r="DA59" s="565">
        <f>IF(CZ59=0,0,1+COUNTIF(DA$6:DA58,"&gt;0"))</f>
        <v>0</v>
      </c>
      <c r="DB59" s="565">
        <f t="shared" si="28"/>
        <v>0</v>
      </c>
      <c r="DC59" s="565">
        <f>IF(DB59=0,0,1+COUNTIF(DC$6:DC58,"&gt;0"))</f>
        <v>0</v>
      </c>
      <c r="DD59" s="565"/>
      <c r="DE59" s="565"/>
      <c r="DF59" s="565"/>
    </row>
    <row r="60" spans="1:110" x14ac:dyDescent="0.25">
      <c r="A60" s="120"/>
      <c r="B60" s="1062"/>
      <c r="C60" s="1062"/>
      <c r="D60" s="1062"/>
      <c r="E60" s="1062"/>
      <c r="F60" s="1062"/>
      <c r="G60" s="1062"/>
      <c r="H60" s="1062"/>
      <c r="I60" s="590"/>
      <c r="J60" s="566">
        <v>24</v>
      </c>
      <c r="K60" s="565" t="str">
        <f t="shared" si="29"/>
        <v/>
      </c>
      <c r="L60" s="565" t="str">
        <f t="shared" si="30"/>
        <v/>
      </c>
      <c r="M60" s="565"/>
      <c r="N60" s="565"/>
      <c r="O60" s="565"/>
      <c r="P60" s="565"/>
      <c r="Q60" s="565"/>
      <c r="R60" s="565"/>
      <c r="S60" s="566">
        <v>24</v>
      </c>
      <c r="T60" s="565" t="str">
        <f t="shared" si="31"/>
        <v/>
      </c>
      <c r="U60" s="565" t="str">
        <f t="shared" si="32"/>
        <v/>
      </c>
      <c r="V60" s="565"/>
      <c r="W60" s="565"/>
      <c r="X60" s="565"/>
      <c r="Y60" s="565"/>
      <c r="Z60" s="565"/>
      <c r="AA60" s="565"/>
      <c r="AB60" s="566">
        <v>24</v>
      </c>
      <c r="AC60" s="565" t="str">
        <f t="shared" si="33"/>
        <v/>
      </c>
      <c r="AD60" s="565" t="str">
        <f t="shared" si="34"/>
        <v/>
      </c>
      <c r="AE60" s="565"/>
      <c r="AF60" s="565"/>
      <c r="AG60" s="565"/>
      <c r="AH60" s="565"/>
      <c r="AI60" s="565"/>
      <c r="AJ60" s="565"/>
      <c r="AK60" s="566">
        <v>24</v>
      </c>
      <c r="AL60" s="565" t="str">
        <f t="shared" si="35"/>
        <v/>
      </c>
      <c r="AM60" s="565" t="str">
        <f t="shared" si="36"/>
        <v/>
      </c>
      <c r="AN60" s="565"/>
      <c r="AO60" s="565"/>
      <c r="AP60" s="565"/>
      <c r="AQ60" s="565"/>
      <c r="AR60" s="565"/>
      <c r="AS60" s="565"/>
      <c r="AT60" s="566">
        <v>24</v>
      </c>
      <c r="AU60" s="565" t="str">
        <f t="shared" si="37"/>
        <v/>
      </c>
      <c r="AV60" s="565" t="str">
        <f t="shared" si="38"/>
        <v/>
      </c>
      <c r="AW60" s="565"/>
      <c r="AX60" s="566"/>
      <c r="AY60" s="565"/>
      <c r="AZ60" s="565"/>
      <c r="BA60" s="565"/>
      <c r="BB60" s="565"/>
      <c r="BC60" s="566">
        <v>24</v>
      </c>
      <c r="BD60" s="565" t="str">
        <f t="shared" si="39"/>
        <v/>
      </c>
      <c r="BE60" s="565" t="str">
        <f t="shared" si="40"/>
        <v/>
      </c>
      <c r="BF60" s="565"/>
      <c r="BG60" s="565"/>
      <c r="BH60" s="565"/>
      <c r="BI60" s="565"/>
      <c r="BJ60" s="565"/>
      <c r="BK60" s="565"/>
      <c r="BL60" s="566">
        <v>24</v>
      </c>
      <c r="BM60" s="565" t="str">
        <f t="shared" si="41"/>
        <v/>
      </c>
      <c r="BN60" s="565" t="str">
        <f t="shared" si="42"/>
        <v/>
      </c>
      <c r="BO60" s="565"/>
      <c r="BP60" s="565"/>
      <c r="BQ60" s="565"/>
      <c r="BR60" s="565"/>
      <c r="BS60" s="565"/>
      <c r="BT60" s="565"/>
      <c r="BU60" s="566">
        <v>24</v>
      </c>
      <c r="BV60" s="565" t="str">
        <f t="shared" si="43"/>
        <v/>
      </c>
      <c r="BW60" s="565" t="str">
        <f t="shared" si="44"/>
        <v/>
      </c>
      <c r="BX60" s="565"/>
      <c r="BY60" s="565"/>
      <c r="BZ60" s="565"/>
      <c r="CA60" s="565"/>
      <c r="CB60" s="565"/>
      <c r="CC60" s="566">
        <v>24</v>
      </c>
      <c r="CD60" s="565" t="str">
        <f t="shared" si="45"/>
        <v/>
      </c>
      <c r="CE60" s="565" t="str">
        <f t="shared" si="46"/>
        <v/>
      </c>
      <c r="CF60" s="565"/>
      <c r="CG60" s="565"/>
      <c r="CH60" s="565"/>
      <c r="CI60" s="565">
        <v>55</v>
      </c>
      <c r="CJ60" s="565">
        <f>Character_Creation!X395</f>
        <v>0</v>
      </c>
      <c r="CK60" s="565" t="str">
        <f>Character_Creation!AB395</f>
        <v/>
      </c>
      <c r="CL60" s="565">
        <f t="shared" si="20"/>
        <v>0</v>
      </c>
      <c r="CM60" s="565">
        <f>IF(CL60=0,0,1+COUNTIF(CM$6:CM59,"&gt;0"))</f>
        <v>0</v>
      </c>
      <c r="CN60" s="565">
        <f t="shared" si="21"/>
        <v>0</v>
      </c>
      <c r="CO60" s="565">
        <f>IF(CN60=0,0,1+COUNTIF(CO$6:CO59,"&gt;0"))</f>
        <v>0</v>
      </c>
      <c r="CP60" s="565">
        <f t="shared" si="22"/>
        <v>0</v>
      </c>
      <c r="CQ60" s="565">
        <f>IF(CP60=0,0,1+COUNTIF(CQ$6:CQ59,"&gt;0"))</f>
        <v>0</v>
      </c>
      <c r="CR60" s="565">
        <f t="shared" si="23"/>
        <v>0</v>
      </c>
      <c r="CS60" s="565">
        <f>IF(CR60=0,0,1+COUNTIF(CS$6:CS59,"&gt;0"))</f>
        <v>0</v>
      </c>
      <c r="CT60" s="565">
        <f t="shared" si="24"/>
        <v>0</v>
      </c>
      <c r="CU60" s="565">
        <f>IF(CT60=0,0,1+COUNTIF(CU$6:CU59,"&gt;0"))</f>
        <v>0</v>
      </c>
      <c r="CV60" s="565">
        <f t="shared" si="25"/>
        <v>0</v>
      </c>
      <c r="CW60" s="565">
        <f>IF(CV60=0,0,1+COUNTIF(CW$6:CW59,"&gt;0"))</f>
        <v>0</v>
      </c>
      <c r="CX60" s="565">
        <f t="shared" si="26"/>
        <v>0</v>
      </c>
      <c r="CY60" s="565">
        <f>IF(CX60=0,0,1+COUNTIF(CY$6:CY59,"&gt;0"))</f>
        <v>0</v>
      </c>
      <c r="CZ60" s="565">
        <f t="shared" si="27"/>
        <v>0</v>
      </c>
      <c r="DA60" s="565">
        <f>IF(CZ60=0,0,1+COUNTIF(DA$6:DA59,"&gt;0"))</f>
        <v>0</v>
      </c>
      <c r="DB60" s="565">
        <f t="shared" si="28"/>
        <v>0</v>
      </c>
      <c r="DC60" s="565">
        <f>IF(DB60=0,0,1+COUNTIF(DC$6:DC59,"&gt;0"))</f>
        <v>0</v>
      </c>
      <c r="DD60" s="565"/>
      <c r="DE60" s="565"/>
      <c r="DF60" s="565"/>
    </row>
    <row r="61" spans="1:110" x14ac:dyDescent="0.25">
      <c r="A61" s="120"/>
      <c r="B61" s="1062"/>
      <c r="C61" s="1062"/>
      <c r="D61" s="1062"/>
      <c r="E61" s="1062"/>
      <c r="F61" s="1062"/>
      <c r="G61" s="1062"/>
      <c r="H61" s="1062"/>
      <c r="I61" s="590"/>
      <c r="J61" s="566">
        <v>25</v>
      </c>
      <c r="K61" s="565" t="str">
        <f t="shared" si="29"/>
        <v/>
      </c>
      <c r="L61" s="565" t="str">
        <f t="shared" si="30"/>
        <v/>
      </c>
      <c r="M61" s="565"/>
      <c r="N61" s="565"/>
      <c r="O61" s="565"/>
      <c r="P61" s="565"/>
      <c r="Q61" s="565"/>
      <c r="R61" s="565"/>
      <c r="S61" s="566">
        <v>25</v>
      </c>
      <c r="T61" s="565" t="str">
        <f t="shared" si="31"/>
        <v/>
      </c>
      <c r="U61" s="565" t="str">
        <f t="shared" si="32"/>
        <v/>
      </c>
      <c r="V61" s="565"/>
      <c r="W61" s="565"/>
      <c r="X61" s="565"/>
      <c r="Y61" s="565"/>
      <c r="Z61" s="565"/>
      <c r="AA61" s="565"/>
      <c r="AB61" s="566">
        <v>25</v>
      </c>
      <c r="AC61" s="565" t="str">
        <f t="shared" si="33"/>
        <v/>
      </c>
      <c r="AD61" s="565" t="str">
        <f t="shared" si="34"/>
        <v/>
      </c>
      <c r="AE61" s="565"/>
      <c r="AF61" s="565"/>
      <c r="AG61" s="565"/>
      <c r="AH61" s="565"/>
      <c r="AI61" s="565"/>
      <c r="AJ61" s="565"/>
      <c r="AK61" s="566">
        <v>25</v>
      </c>
      <c r="AL61" s="565" t="str">
        <f t="shared" si="35"/>
        <v/>
      </c>
      <c r="AM61" s="565" t="str">
        <f t="shared" si="36"/>
        <v/>
      </c>
      <c r="AN61" s="565"/>
      <c r="AO61" s="565"/>
      <c r="AP61" s="565"/>
      <c r="AQ61" s="565"/>
      <c r="AR61" s="565"/>
      <c r="AS61" s="565"/>
      <c r="AT61" s="566">
        <v>25</v>
      </c>
      <c r="AU61" s="565" t="str">
        <f t="shared" si="37"/>
        <v/>
      </c>
      <c r="AV61" s="565" t="str">
        <f t="shared" si="38"/>
        <v/>
      </c>
      <c r="AW61" s="565"/>
      <c r="AX61" s="566"/>
      <c r="AY61" s="565"/>
      <c r="AZ61" s="565"/>
      <c r="BA61" s="565"/>
      <c r="BB61" s="565"/>
      <c r="BC61" s="566">
        <v>25</v>
      </c>
      <c r="BD61" s="565" t="str">
        <f t="shared" si="39"/>
        <v/>
      </c>
      <c r="BE61" s="565" t="str">
        <f t="shared" si="40"/>
        <v/>
      </c>
      <c r="BF61" s="565"/>
      <c r="BG61" s="565"/>
      <c r="BH61" s="565"/>
      <c r="BI61" s="565"/>
      <c r="BJ61" s="565"/>
      <c r="BK61" s="565"/>
      <c r="BL61" s="566">
        <v>25</v>
      </c>
      <c r="BM61" s="565" t="str">
        <f t="shared" si="41"/>
        <v/>
      </c>
      <c r="BN61" s="565" t="str">
        <f t="shared" si="42"/>
        <v/>
      </c>
      <c r="BO61" s="565"/>
      <c r="BP61" s="565"/>
      <c r="BQ61" s="565"/>
      <c r="BR61" s="565"/>
      <c r="BS61" s="565"/>
      <c r="BT61" s="565"/>
      <c r="BU61" s="566">
        <v>25</v>
      </c>
      <c r="BV61" s="565" t="str">
        <f t="shared" si="43"/>
        <v/>
      </c>
      <c r="BW61" s="565" t="str">
        <f t="shared" si="44"/>
        <v/>
      </c>
      <c r="BX61" s="565"/>
      <c r="BY61" s="565"/>
      <c r="BZ61" s="565"/>
      <c r="CA61" s="565"/>
      <c r="CB61" s="565"/>
      <c r="CC61" s="566">
        <v>25</v>
      </c>
      <c r="CD61" s="565" t="str">
        <f t="shared" si="45"/>
        <v/>
      </c>
      <c r="CE61" s="565" t="str">
        <f t="shared" si="46"/>
        <v/>
      </c>
      <c r="CF61" s="565"/>
      <c r="CG61" s="565"/>
      <c r="CH61" s="565"/>
      <c r="CI61" s="565">
        <v>56</v>
      </c>
      <c r="CJ61" s="565">
        <f>Character_Creation!X396</f>
        <v>0</v>
      </c>
      <c r="CK61" s="565" t="str">
        <f>Character_Creation!AB396</f>
        <v/>
      </c>
      <c r="CL61" s="565">
        <f t="shared" si="20"/>
        <v>0</v>
      </c>
      <c r="CM61" s="565">
        <f>IF(CL61=0,0,1+COUNTIF(CM$6:CM60,"&gt;0"))</f>
        <v>0</v>
      </c>
      <c r="CN61" s="565">
        <f t="shared" si="21"/>
        <v>0</v>
      </c>
      <c r="CO61" s="565">
        <f>IF(CN61=0,0,1+COUNTIF(CO$6:CO60,"&gt;0"))</f>
        <v>0</v>
      </c>
      <c r="CP61" s="565">
        <f t="shared" si="22"/>
        <v>0</v>
      </c>
      <c r="CQ61" s="565">
        <f>IF(CP61=0,0,1+COUNTIF(CQ$6:CQ60,"&gt;0"))</f>
        <v>0</v>
      </c>
      <c r="CR61" s="565">
        <f t="shared" si="23"/>
        <v>0</v>
      </c>
      <c r="CS61" s="565">
        <f>IF(CR61=0,0,1+COUNTIF(CS$6:CS60,"&gt;0"))</f>
        <v>0</v>
      </c>
      <c r="CT61" s="565">
        <f t="shared" si="24"/>
        <v>0</v>
      </c>
      <c r="CU61" s="565">
        <f>IF(CT61=0,0,1+COUNTIF(CU$6:CU60,"&gt;0"))</f>
        <v>0</v>
      </c>
      <c r="CV61" s="565">
        <f t="shared" si="25"/>
        <v>0</v>
      </c>
      <c r="CW61" s="565">
        <f>IF(CV61=0,0,1+COUNTIF(CW$6:CW60,"&gt;0"))</f>
        <v>0</v>
      </c>
      <c r="CX61" s="565">
        <f t="shared" si="26"/>
        <v>0</v>
      </c>
      <c r="CY61" s="565">
        <f>IF(CX61=0,0,1+COUNTIF(CY$6:CY60,"&gt;0"))</f>
        <v>0</v>
      </c>
      <c r="CZ61" s="565">
        <f t="shared" si="27"/>
        <v>0</v>
      </c>
      <c r="DA61" s="565">
        <f>IF(CZ61=0,0,1+COUNTIF(DA$6:DA60,"&gt;0"))</f>
        <v>0</v>
      </c>
      <c r="DB61" s="565">
        <f t="shared" si="28"/>
        <v>0</v>
      </c>
      <c r="DC61" s="565">
        <f>IF(DB61=0,0,1+COUNTIF(DC$6:DC60,"&gt;0"))</f>
        <v>0</v>
      </c>
      <c r="DD61" s="565"/>
      <c r="DE61" s="565"/>
      <c r="DF61" s="565"/>
    </row>
    <row r="62" spans="1:110" x14ac:dyDescent="0.25">
      <c r="A62" s="120"/>
      <c r="B62" s="1062"/>
      <c r="C62" s="1062"/>
      <c r="D62" s="1062"/>
      <c r="E62" s="1062"/>
      <c r="F62" s="1062"/>
      <c r="G62" s="1062"/>
      <c r="H62" s="1062"/>
      <c r="I62" s="590"/>
      <c r="J62" s="566">
        <v>26</v>
      </c>
      <c r="K62" s="565" t="str">
        <f t="shared" si="29"/>
        <v/>
      </c>
      <c r="L62" s="565" t="str">
        <f t="shared" si="30"/>
        <v/>
      </c>
      <c r="M62" s="565"/>
      <c r="N62" s="565"/>
      <c r="O62" s="565"/>
      <c r="P62" s="565"/>
      <c r="Q62" s="565"/>
      <c r="R62" s="565"/>
      <c r="S62" s="566">
        <v>26</v>
      </c>
      <c r="T62" s="565" t="str">
        <f t="shared" si="31"/>
        <v/>
      </c>
      <c r="U62" s="565" t="str">
        <f t="shared" si="32"/>
        <v/>
      </c>
      <c r="V62" s="565"/>
      <c r="W62" s="565"/>
      <c r="X62" s="565"/>
      <c r="Y62" s="565"/>
      <c r="Z62" s="565"/>
      <c r="AA62" s="565"/>
      <c r="AB62" s="566">
        <v>26</v>
      </c>
      <c r="AC62" s="565" t="str">
        <f t="shared" si="33"/>
        <v/>
      </c>
      <c r="AD62" s="565" t="str">
        <f t="shared" si="34"/>
        <v/>
      </c>
      <c r="AE62" s="565"/>
      <c r="AF62" s="565"/>
      <c r="AG62" s="565"/>
      <c r="AH62" s="565"/>
      <c r="AI62" s="565"/>
      <c r="AJ62" s="565"/>
      <c r="AK62" s="566">
        <v>26</v>
      </c>
      <c r="AL62" s="565" t="str">
        <f t="shared" si="35"/>
        <v/>
      </c>
      <c r="AM62" s="565" t="str">
        <f t="shared" si="36"/>
        <v/>
      </c>
      <c r="AN62" s="565"/>
      <c r="AO62" s="565"/>
      <c r="AP62" s="565"/>
      <c r="AQ62" s="565"/>
      <c r="AR62" s="565"/>
      <c r="AS62" s="565"/>
      <c r="AT62" s="566">
        <v>26</v>
      </c>
      <c r="AU62" s="565" t="str">
        <f t="shared" si="37"/>
        <v/>
      </c>
      <c r="AV62" s="565" t="str">
        <f t="shared" si="38"/>
        <v/>
      </c>
      <c r="AW62" s="565"/>
      <c r="AX62" s="566"/>
      <c r="AY62" s="565"/>
      <c r="AZ62" s="565"/>
      <c r="BA62" s="565"/>
      <c r="BB62" s="565"/>
      <c r="BC62" s="566">
        <v>26</v>
      </c>
      <c r="BD62" s="565" t="str">
        <f t="shared" si="39"/>
        <v/>
      </c>
      <c r="BE62" s="565" t="str">
        <f t="shared" si="40"/>
        <v/>
      </c>
      <c r="BF62" s="565"/>
      <c r="BG62" s="565"/>
      <c r="BH62" s="565"/>
      <c r="BI62" s="565"/>
      <c r="BJ62" s="565"/>
      <c r="BK62" s="565"/>
      <c r="BL62" s="566">
        <v>26</v>
      </c>
      <c r="BM62" s="565" t="str">
        <f t="shared" si="41"/>
        <v/>
      </c>
      <c r="BN62" s="565" t="str">
        <f t="shared" si="42"/>
        <v/>
      </c>
      <c r="BO62" s="565"/>
      <c r="BP62" s="565"/>
      <c r="BQ62" s="565"/>
      <c r="BR62" s="565"/>
      <c r="BS62" s="565"/>
      <c r="BT62" s="565"/>
      <c r="BU62" s="566">
        <v>26</v>
      </c>
      <c r="BV62" s="565" t="str">
        <f t="shared" si="43"/>
        <v/>
      </c>
      <c r="BW62" s="565" t="str">
        <f t="shared" si="44"/>
        <v/>
      </c>
      <c r="BX62" s="565"/>
      <c r="BY62" s="565"/>
      <c r="BZ62" s="565"/>
      <c r="CA62" s="565"/>
      <c r="CB62" s="565"/>
      <c r="CC62" s="566">
        <v>26</v>
      </c>
      <c r="CD62" s="565" t="str">
        <f t="shared" si="45"/>
        <v/>
      </c>
      <c r="CE62" s="565" t="str">
        <f t="shared" si="46"/>
        <v/>
      </c>
      <c r="CF62" s="565"/>
      <c r="CG62" s="565"/>
      <c r="CH62" s="565"/>
      <c r="CI62" s="565">
        <v>57</v>
      </c>
      <c r="CJ62" s="565">
        <f>Character_Creation!X397</f>
        <v>0</v>
      </c>
      <c r="CK62" s="565" t="str">
        <f>Character_Creation!AB397</f>
        <v/>
      </c>
      <c r="CL62" s="565">
        <f t="shared" si="20"/>
        <v>0</v>
      </c>
      <c r="CM62" s="565">
        <f>IF(CL62=0,0,1+COUNTIF(CM$6:CM61,"&gt;0"))</f>
        <v>0</v>
      </c>
      <c r="CN62" s="565">
        <f t="shared" si="21"/>
        <v>0</v>
      </c>
      <c r="CO62" s="565">
        <f>IF(CN62=0,0,1+COUNTIF(CO$6:CO61,"&gt;0"))</f>
        <v>0</v>
      </c>
      <c r="CP62" s="565">
        <f t="shared" si="22"/>
        <v>0</v>
      </c>
      <c r="CQ62" s="565">
        <f>IF(CP62=0,0,1+COUNTIF(CQ$6:CQ61,"&gt;0"))</f>
        <v>0</v>
      </c>
      <c r="CR62" s="565">
        <f t="shared" si="23"/>
        <v>0</v>
      </c>
      <c r="CS62" s="565">
        <f>IF(CR62=0,0,1+COUNTIF(CS$6:CS61,"&gt;0"))</f>
        <v>0</v>
      </c>
      <c r="CT62" s="565">
        <f t="shared" si="24"/>
        <v>0</v>
      </c>
      <c r="CU62" s="565">
        <f>IF(CT62=0,0,1+COUNTIF(CU$6:CU61,"&gt;0"))</f>
        <v>0</v>
      </c>
      <c r="CV62" s="565">
        <f t="shared" si="25"/>
        <v>0</v>
      </c>
      <c r="CW62" s="565">
        <f>IF(CV62=0,0,1+COUNTIF(CW$6:CW61,"&gt;0"))</f>
        <v>0</v>
      </c>
      <c r="CX62" s="565">
        <f t="shared" si="26"/>
        <v>0</v>
      </c>
      <c r="CY62" s="565">
        <f>IF(CX62=0,0,1+COUNTIF(CY$6:CY61,"&gt;0"))</f>
        <v>0</v>
      </c>
      <c r="CZ62" s="565">
        <f t="shared" si="27"/>
        <v>0</v>
      </c>
      <c r="DA62" s="565">
        <f>IF(CZ62=0,0,1+COUNTIF(DA$6:DA61,"&gt;0"))</f>
        <v>0</v>
      </c>
      <c r="DB62" s="565">
        <f t="shared" si="28"/>
        <v>0</v>
      </c>
      <c r="DC62" s="565">
        <f>IF(DB62=0,0,1+COUNTIF(DC$6:DC61,"&gt;0"))</f>
        <v>0</v>
      </c>
      <c r="DD62" s="565"/>
      <c r="DE62" s="565"/>
      <c r="DF62" s="565"/>
    </row>
    <row r="63" spans="1:110" x14ac:dyDescent="0.25">
      <c r="A63" s="120"/>
      <c r="B63" s="1062"/>
      <c r="C63" s="1062"/>
      <c r="D63" s="1062"/>
      <c r="E63" s="1062"/>
      <c r="F63" s="1062"/>
      <c r="G63" s="1062"/>
      <c r="H63" s="1062"/>
      <c r="I63" s="590"/>
      <c r="J63" s="566">
        <v>27</v>
      </c>
      <c r="K63" s="565" t="str">
        <f t="shared" si="29"/>
        <v/>
      </c>
      <c r="L63" s="565" t="str">
        <f t="shared" si="30"/>
        <v/>
      </c>
      <c r="M63" s="565"/>
      <c r="N63" s="565"/>
      <c r="O63" s="565"/>
      <c r="P63" s="565"/>
      <c r="Q63" s="565"/>
      <c r="R63" s="565"/>
      <c r="S63" s="566">
        <v>27</v>
      </c>
      <c r="T63" s="565" t="str">
        <f t="shared" si="31"/>
        <v/>
      </c>
      <c r="U63" s="565" t="str">
        <f t="shared" si="32"/>
        <v/>
      </c>
      <c r="V63" s="565"/>
      <c r="W63" s="565"/>
      <c r="X63" s="565"/>
      <c r="Y63" s="565"/>
      <c r="Z63" s="565"/>
      <c r="AA63" s="565"/>
      <c r="AB63" s="566">
        <v>27</v>
      </c>
      <c r="AC63" s="565" t="str">
        <f t="shared" si="33"/>
        <v/>
      </c>
      <c r="AD63" s="565" t="str">
        <f t="shared" si="34"/>
        <v/>
      </c>
      <c r="AE63" s="565"/>
      <c r="AF63" s="565"/>
      <c r="AG63" s="565"/>
      <c r="AH63" s="565"/>
      <c r="AI63" s="565"/>
      <c r="AJ63" s="565"/>
      <c r="AK63" s="566">
        <v>27</v>
      </c>
      <c r="AL63" s="565" t="str">
        <f t="shared" si="35"/>
        <v/>
      </c>
      <c r="AM63" s="565" t="str">
        <f t="shared" si="36"/>
        <v/>
      </c>
      <c r="AN63" s="565"/>
      <c r="AO63" s="565"/>
      <c r="AP63" s="565"/>
      <c r="AQ63" s="565"/>
      <c r="AR63" s="565"/>
      <c r="AS63" s="565"/>
      <c r="AT63" s="566">
        <v>27</v>
      </c>
      <c r="AU63" s="565" t="str">
        <f t="shared" si="37"/>
        <v/>
      </c>
      <c r="AV63" s="565" t="str">
        <f t="shared" si="38"/>
        <v/>
      </c>
      <c r="AW63" s="565"/>
      <c r="AX63" s="566"/>
      <c r="AY63" s="565"/>
      <c r="AZ63" s="565"/>
      <c r="BA63" s="565"/>
      <c r="BB63" s="565"/>
      <c r="BC63" s="566">
        <v>27</v>
      </c>
      <c r="BD63" s="565" t="str">
        <f t="shared" si="39"/>
        <v/>
      </c>
      <c r="BE63" s="565" t="str">
        <f t="shared" si="40"/>
        <v/>
      </c>
      <c r="BF63" s="565"/>
      <c r="BG63" s="565"/>
      <c r="BH63" s="565"/>
      <c r="BI63" s="565"/>
      <c r="BJ63" s="565"/>
      <c r="BK63" s="565"/>
      <c r="BL63" s="566">
        <v>27</v>
      </c>
      <c r="BM63" s="565" t="str">
        <f t="shared" si="41"/>
        <v/>
      </c>
      <c r="BN63" s="565" t="str">
        <f t="shared" si="42"/>
        <v/>
      </c>
      <c r="BO63" s="565"/>
      <c r="BP63" s="565"/>
      <c r="BQ63" s="565"/>
      <c r="BR63" s="565"/>
      <c r="BS63" s="565"/>
      <c r="BT63" s="565"/>
      <c r="BU63" s="566">
        <v>27</v>
      </c>
      <c r="BV63" s="565" t="str">
        <f t="shared" si="43"/>
        <v/>
      </c>
      <c r="BW63" s="565" t="str">
        <f t="shared" si="44"/>
        <v/>
      </c>
      <c r="BX63" s="565"/>
      <c r="BY63" s="565"/>
      <c r="BZ63" s="565"/>
      <c r="CA63" s="565"/>
      <c r="CB63" s="565"/>
      <c r="CC63" s="566">
        <v>27</v>
      </c>
      <c r="CD63" s="565" t="str">
        <f t="shared" si="45"/>
        <v/>
      </c>
      <c r="CE63" s="565" t="str">
        <f t="shared" si="46"/>
        <v/>
      </c>
      <c r="CF63" s="565"/>
      <c r="CG63" s="565"/>
      <c r="CH63" s="565"/>
      <c r="CI63" s="565">
        <v>58</v>
      </c>
      <c r="CJ63" s="565">
        <f>Character_Creation!X398</f>
        <v>0</v>
      </c>
      <c r="CK63" s="565" t="str">
        <f>Character_Creation!AB398</f>
        <v/>
      </c>
      <c r="CL63" s="565">
        <f t="shared" si="20"/>
        <v>0</v>
      </c>
      <c r="CM63" s="565">
        <f>IF(CL63=0,0,1+COUNTIF(CM$6:CM62,"&gt;0"))</f>
        <v>0</v>
      </c>
      <c r="CN63" s="565">
        <f t="shared" si="21"/>
        <v>0</v>
      </c>
      <c r="CO63" s="565">
        <f>IF(CN63=0,0,1+COUNTIF(CO$6:CO62,"&gt;0"))</f>
        <v>0</v>
      </c>
      <c r="CP63" s="565">
        <f t="shared" si="22"/>
        <v>0</v>
      </c>
      <c r="CQ63" s="565">
        <f>IF(CP63=0,0,1+COUNTIF(CQ$6:CQ62,"&gt;0"))</f>
        <v>0</v>
      </c>
      <c r="CR63" s="565">
        <f t="shared" si="23"/>
        <v>0</v>
      </c>
      <c r="CS63" s="565">
        <f>IF(CR63=0,0,1+COUNTIF(CS$6:CS62,"&gt;0"))</f>
        <v>0</v>
      </c>
      <c r="CT63" s="565">
        <f t="shared" si="24"/>
        <v>0</v>
      </c>
      <c r="CU63" s="565">
        <f>IF(CT63=0,0,1+COUNTIF(CU$6:CU62,"&gt;0"))</f>
        <v>0</v>
      </c>
      <c r="CV63" s="565">
        <f t="shared" si="25"/>
        <v>0</v>
      </c>
      <c r="CW63" s="565">
        <f>IF(CV63=0,0,1+COUNTIF(CW$6:CW62,"&gt;0"))</f>
        <v>0</v>
      </c>
      <c r="CX63" s="565">
        <f t="shared" si="26"/>
        <v>0</v>
      </c>
      <c r="CY63" s="565">
        <f>IF(CX63=0,0,1+COUNTIF(CY$6:CY62,"&gt;0"))</f>
        <v>0</v>
      </c>
      <c r="CZ63" s="565">
        <f t="shared" si="27"/>
        <v>0</v>
      </c>
      <c r="DA63" s="565">
        <f>IF(CZ63=0,0,1+COUNTIF(DA$6:DA62,"&gt;0"))</f>
        <v>0</v>
      </c>
      <c r="DB63" s="565">
        <f t="shared" si="28"/>
        <v>0</v>
      </c>
      <c r="DC63" s="565">
        <f>IF(DB63=0,0,1+COUNTIF(DC$6:DC62,"&gt;0"))</f>
        <v>0</v>
      </c>
      <c r="DD63" s="565"/>
      <c r="DE63" s="565"/>
      <c r="DF63" s="565"/>
    </row>
    <row r="64" spans="1:110" x14ac:dyDescent="0.25">
      <c r="A64" s="120"/>
      <c r="B64" s="1062"/>
      <c r="C64" s="1062"/>
      <c r="D64" s="1062"/>
      <c r="E64" s="1062"/>
      <c r="F64" s="1062"/>
      <c r="G64" s="1062"/>
      <c r="H64" s="1062"/>
      <c r="I64" s="590"/>
      <c r="J64" s="566">
        <v>28</v>
      </c>
      <c r="K64" s="565" t="str">
        <f t="shared" si="29"/>
        <v/>
      </c>
      <c r="L64" s="565" t="str">
        <f t="shared" si="30"/>
        <v/>
      </c>
      <c r="M64" s="565"/>
      <c r="N64" s="565"/>
      <c r="O64" s="565"/>
      <c r="P64" s="565"/>
      <c r="Q64" s="565"/>
      <c r="R64" s="565"/>
      <c r="S64" s="566">
        <v>28</v>
      </c>
      <c r="T64" s="565" t="str">
        <f t="shared" si="31"/>
        <v/>
      </c>
      <c r="U64" s="565" t="str">
        <f t="shared" si="32"/>
        <v/>
      </c>
      <c r="V64" s="565"/>
      <c r="W64" s="565"/>
      <c r="X64" s="565"/>
      <c r="Y64" s="565"/>
      <c r="Z64" s="565"/>
      <c r="AA64" s="565"/>
      <c r="AB64" s="566">
        <v>28</v>
      </c>
      <c r="AC64" s="565" t="str">
        <f t="shared" si="33"/>
        <v/>
      </c>
      <c r="AD64" s="565" t="str">
        <f t="shared" si="34"/>
        <v/>
      </c>
      <c r="AE64" s="565"/>
      <c r="AF64" s="565"/>
      <c r="AG64" s="565"/>
      <c r="AH64" s="565"/>
      <c r="AI64" s="565"/>
      <c r="AJ64" s="565"/>
      <c r="AK64" s="566">
        <v>28</v>
      </c>
      <c r="AL64" s="565" t="str">
        <f t="shared" si="35"/>
        <v/>
      </c>
      <c r="AM64" s="565" t="str">
        <f t="shared" si="36"/>
        <v/>
      </c>
      <c r="AN64" s="565"/>
      <c r="AO64" s="565"/>
      <c r="AP64" s="565"/>
      <c r="AQ64" s="565"/>
      <c r="AR64" s="565"/>
      <c r="AS64" s="565"/>
      <c r="AT64" s="566">
        <v>28</v>
      </c>
      <c r="AU64" s="565" t="str">
        <f t="shared" si="37"/>
        <v/>
      </c>
      <c r="AV64" s="565" t="str">
        <f t="shared" si="38"/>
        <v/>
      </c>
      <c r="AW64" s="565"/>
      <c r="AX64" s="566"/>
      <c r="AY64" s="565"/>
      <c r="AZ64" s="565"/>
      <c r="BA64" s="565"/>
      <c r="BB64" s="565"/>
      <c r="BC64" s="566">
        <v>28</v>
      </c>
      <c r="BD64" s="565" t="str">
        <f t="shared" si="39"/>
        <v/>
      </c>
      <c r="BE64" s="565" t="str">
        <f t="shared" si="40"/>
        <v/>
      </c>
      <c r="BF64" s="565"/>
      <c r="BG64" s="565"/>
      <c r="BH64" s="565"/>
      <c r="BI64" s="565"/>
      <c r="BJ64" s="565"/>
      <c r="BK64" s="565"/>
      <c r="BL64" s="566">
        <v>28</v>
      </c>
      <c r="BM64" s="565" t="str">
        <f t="shared" si="41"/>
        <v/>
      </c>
      <c r="BN64" s="565" t="str">
        <f t="shared" si="42"/>
        <v/>
      </c>
      <c r="BO64" s="565"/>
      <c r="BP64" s="565"/>
      <c r="BQ64" s="565"/>
      <c r="BR64" s="565"/>
      <c r="BS64" s="565"/>
      <c r="BT64" s="565"/>
      <c r="BU64" s="566">
        <v>28</v>
      </c>
      <c r="BV64" s="565" t="str">
        <f t="shared" si="43"/>
        <v/>
      </c>
      <c r="BW64" s="565" t="str">
        <f t="shared" si="44"/>
        <v/>
      </c>
      <c r="BX64" s="565"/>
      <c r="BY64" s="565"/>
      <c r="BZ64" s="565"/>
      <c r="CA64" s="565"/>
      <c r="CB64" s="565"/>
      <c r="CC64" s="566">
        <v>28</v>
      </c>
      <c r="CD64" s="565" t="str">
        <f t="shared" si="45"/>
        <v/>
      </c>
      <c r="CE64" s="565" t="str">
        <f t="shared" si="46"/>
        <v/>
      </c>
      <c r="CF64" s="565"/>
      <c r="CG64" s="565"/>
      <c r="CH64" s="565"/>
      <c r="CI64" s="565">
        <v>59</v>
      </c>
      <c r="CJ64" s="565">
        <f>Character_Creation!X399</f>
        <v>0</v>
      </c>
      <c r="CK64" s="565" t="str">
        <f>Character_Creation!AB399</f>
        <v/>
      </c>
      <c r="CL64" s="565">
        <f t="shared" si="20"/>
        <v>0</v>
      </c>
      <c r="CM64" s="565">
        <f>IF(CL64=0,0,1+COUNTIF(CM$6:CM63,"&gt;0"))</f>
        <v>0</v>
      </c>
      <c r="CN64" s="565">
        <f t="shared" si="21"/>
        <v>0</v>
      </c>
      <c r="CO64" s="565">
        <f>IF(CN64=0,0,1+COUNTIF(CO$6:CO63,"&gt;0"))</f>
        <v>0</v>
      </c>
      <c r="CP64" s="565">
        <f t="shared" si="22"/>
        <v>0</v>
      </c>
      <c r="CQ64" s="565">
        <f>IF(CP64=0,0,1+COUNTIF(CQ$6:CQ63,"&gt;0"))</f>
        <v>0</v>
      </c>
      <c r="CR64" s="565">
        <f t="shared" si="23"/>
        <v>0</v>
      </c>
      <c r="CS64" s="565">
        <f>IF(CR64=0,0,1+COUNTIF(CS$6:CS63,"&gt;0"))</f>
        <v>0</v>
      </c>
      <c r="CT64" s="565">
        <f t="shared" si="24"/>
        <v>0</v>
      </c>
      <c r="CU64" s="565">
        <f>IF(CT64=0,0,1+COUNTIF(CU$6:CU63,"&gt;0"))</f>
        <v>0</v>
      </c>
      <c r="CV64" s="565">
        <f t="shared" si="25"/>
        <v>0</v>
      </c>
      <c r="CW64" s="565">
        <f>IF(CV64=0,0,1+COUNTIF(CW$6:CW63,"&gt;0"))</f>
        <v>0</v>
      </c>
      <c r="CX64" s="565">
        <f t="shared" si="26"/>
        <v>0</v>
      </c>
      <c r="CY64" s="565">
        <f>IF(CX64=0,0,1+COUNTIF(CY$6:CY63,"&gt;0"))</f>
        <v>0</v>
      </c>
      <c r="CZ64" s="565">
        <f t="shared" si="27"/>
        <v>0</v>
      </c>
      <c r="DA64" s="565">
        <f>IF(CZ64=0,0,1+COUNTIF(DA$6:DA63,"&gt;0"))</f>
        <v>0</v>
      </c>
      <c r="DB64" s="565">
        <f t="shared" si="28"/>
        <v>0</v>
      </c>
      <c r="DC64" s="565">
        <f>IF(DB64=0,0,1+COUNTIF(DC$6:DC63,"&gt;0"))</f>
        <v>0</v>
      </c>
      <c r="DD64" s="565"/>
      <c r="DE64" s="565"/>
      <c r="DF64" s="565"/>
    </row>
    <row r="65" spans="1:110" x14ac:dyDescent="0.25">
      <c r="A65" s="120"/>
      <c r="B65" s="1062"/>
      <c r="C65" s="1062"/>
      <c r="D65" s="1062"/>
      <c r="E65" s="1062"/>
      <c r="F65" s="1062"/>
      <c r="G65" s="1062"/>
      <c r="H65" s="1062"/>
      <c r="I65" s="590"/>
      <c r="J65" s="566">
        <v>29</v>
      </c>
      <c r="K65" s="565" t="str">
        <f t="shared" si="29"/>
        <v/>
      </c>
      <c r="L65" s="565" t="str">
        <f t="shared" si="30"/>
        <v/>
      </c>
      <c r="M65" s="565"/>
      <c r="N65" s="565"/>
      <c r="O65" s="565"/>
      <c r="P65" s="565"/>
      <c r="Q65" s="565"/>
      <c r="R65" s="565"/>
      <c r="S65" s="566">
        <v>29</v>
      </c>
      <c r="T65" s="565" t="str">
        <f t="shared" si="31"/>
        <v/>
      </c>
      <c r="U65" s="565" t="str">
        <f t="shared" si="32"/>
        <v/>
      </c>
      <c r="V65" s="565"/>
      <c r="W65" s="565"/>
      <c r="X65" s="565"/>
      <c r="Y65" s="565"/>
      <c r="Z65" s="565"/>
      <c r="AA65" s="565"/>
      <c r="AB65" s="566">
        <v>29</v>
      </c>
      <c r="AC65" s="565" t="str">
        <f t="shared" si="33"/>
        <v/>
      </c>
      <c r="AD65" s="565" t="str">
        <f t="shared" si="34"/>
        <v/>
      </c>
      <c r="AE65" s="565"/>
      <c r="AF65" s="565"/>
      <c r="AG65" s="565"/>
      <c r="AH65" s="565"/>
      <c r="AI65" s="565"/>
      <c r="AJ65" s="565"/>
      <c r="AK65" s="566">
        <v>29</v>
      </c>
      <c r="AL65" s="565" t="str">
        <f t="shared" si="35"/>
        <v/>
      </c>
      <c r="AM65" s="565" t="str">
        <f t="shared" si="36"/>
        <v/>
      </c>
      <c r="AN65" s="565"/>
      <c r="AO65" s="565"/>
      <c r="AP65" s="565"/>
      <c r="AQ65" s="565"/>
      <c r="AR65" s="565"/>
      <c r="AS65" s="565"/>
      <c r="AT65" s="566">
        <v>29</v>
      </c>
      <c r="AU65" s="565" t="str">
        <f t="shared" si="37"/>
        <v/>
      </c>
      <c r="AV65" s="565" t="str">
        <f t="shared" si="38"/>
        <v/>
      </c>
      <c r="AW65" s="565"/>
      <c r="AX65" s="566"/>
      <c r="AY65" s="565"/>
      <c r="AZ65" s="565"/>
      <c r="BA65" s="565"/>
      <c r="BB65" s="565"/>
      <c r="BC65" s="566">
        <v>29</v>
      </c>
      <c r="BD65" s="565" t="str">
        <f t="shared" si="39"/>
        <v/>
      </c>
      <c r="BE65" s="565" t="str">
        <f t="shared" si="40"/>
        <v/>
      </c>
      <c r="BF65" s="565"/>
      <c r="BG65" s="565"/>
      <c r="BH65" s="565"/>
      <c r="BI65" s="565"/>
      <c r="BJ65" s="565"/>
      <c r="BK65" s="565"/>
      <c r="BL65" s="566">
        <v>29</v>
      </c>
      <c r="BM65" s="565" t="str">
        <f t="shared" si="41"/>
        <v/>
      </c>
      <c r="BN65" s="565" t="str">
        <f t="shared" si="42"/>
        <v/>
      </c>
      <c r="BO65" s="565"/>
      <c r="BP65" s="565"/>
      <c r="BQ65" s="565"/>
      <c r="BR65" s="565"/>
      <c r="BS65" s="565"/>
      <c r="BT65" s="565"/>
      <c r="BU65" s="566">
        <v>29</v>
      </c>
      <c r="BV65" s="565" t="str">
        <f t="shared" si="43"/>
        <v/>
      </c>
      <c r="BW65" s="565" t="str">
        <f t="shared" si="44"/>
        <v/>
      </c>
      <c r="BX65" s="565"/>
      <c r="BY65" s="565"/>
      <c r="BZ65" s="565"/>
      <c r="CA65" s="565"/>
      <c r="CB65" s="565"/>
      <c r="CC65" s="566">
        <v>29</v>
      </c>
      <c r="CD65" s="565" t="str">
        <f t="shared" si="45"/>
        <v/>
      </c>
      <c r="CE65" s="565" t="str">
        <f t="shared" si="46"/>
        <v/>
      </c>
      <c r="CF65" s="565"/>
      <c r="CG65" s="565"/>
      <c r="CH65" s="565"/>
      <c r="CI65" s="565">
        <v>60</v>
      </c>
      <c r="CJ65" s="565">
        <f>Character_Creation!X400</f>
        <v>0</v>
      </c>
      <c r="CK65" s="565" t="str">
        <f>Character_Creation!AB400</f>
        <v/>
      </c>
      <c r="CL65" s="565">
        <f t="shared" si="20"/>
        <v>0</v>
      </c>
      <c r="CM65" s="565">
        <f>IF(CL65=0,0,1+COUNTIF(CM$6:CM64,"&gt;0"))</f>
        <v>0</v>
      </c>
      <c r="CN65" s="565">
        <f t="shared" si="21"/>
        <v>0</v>
      </c>
      <c r="CO65" s="565">
        <f>IF(CN65=0,0,1+COUNTIF(CO$6:CO64,"&gt;0"))</f>
        <v>0</v>
      </c>
      <c r="CP65" s="565">
        <f t="shared" si="22"/>
        <v>0</v>
      </c>
      <c r="CQ65" s="565">
        <f>IF(CP65=0,0,1+COUNTIF(CQ$6:CQ64,"&gt;0"))</f>
        <v>0</v>
      </c>
      <c r="CR65" s="565">
        <f t="shared" si="23"/>
        <v>0</v>
      </c>
      <c r="CS65" s="565">
        <f>IF(CR65=0,0,1+COUNTIF(CS$6:CS64,"&gt;0"))</f>
        <v>0</v>
      </c>
      <c r="CT65" s="565">
        <f t="shared" si="24"/>
        <v>0</v>
      </c>
      <c r="CU65" s="565">
        <f>IF(CT65=0,0,1+COUNTIF(CU$6:CU64,"&gt;0"))</f>
        <v>0</v>
      </c>
      <c r="CV65" s="565">
        <f t="shared" si="25"/>
        <v>0</v>
      </c>
      <c r="CW65" s="565">
        <f>IF(CV65=0,0,1+COUNTIF(CW$6:CW64,"&gt;0"))</f>
        <v>0</v>
      </c>
      <c r="CX65" s="565">
        <f t="shared" si="26"/>
        <v>0</v>
      </c>
      <c r="CY65" s="565">
        <f>IF(CX65=0,0,1+COUNTIF(CY$6:CY64,"&gt;0"))</f>
        <v>0</v>
      </c>
      <c r="CZ65" s="565">
        <f t="shared" si="27"/>
        <v>0</v>
      </c>
      <c r="DA65" s="565">
        <f>IF(CZ65=0,0,1+COUNTIF(DA$6:DA64,"&gt;0"))</f>
        <v>0</v>
      </c>
      <c r="DB65" s="565">
        <f t="shared" si="28"/>
        <v>0</v>
      </c>
      <c r="DC65" s="565">
        <f>IF(DB65=0,0,1+COUNTIF(DC$6:DC64,"&gt;0"))</f>
        <v>0</v>
      </c>
      <c r="DD65" s="565"/>
      <c r="DE65" s="565"/>
      <c r="DF65" s="565"/>
    </row>
    <row r="66" spans="1:110" x14ac:dyDescent="0.25">
      <c r="A66" s="120"/>
      <c r="B66" s="1062"/>
      <c r="C66" s="1062"/>
      <c r="D66" s="1062"/>
      <c r="E66" s="1062"/>
      <c r="F66" s="1062"/>
      <c r="G66" s="1062"/>
      <c r="H66" s="1062"/>
      <c r="I66" s="590"/>
      <c r="J66" s="566">
        <v>30</v>
      </c>
      <c r="K66" s="565" t="str">
        <f t="shared" si="29"/>
        <v/>
      </c>
      <c r="L66" s="565" t="str">
        <f t="shared" si="30"/>
        <v/>
      </c>
      <c r="M66" s="565"/>
      <c r="N66" s="565"/>
      <c r="O66" s="565"/>
      <c r="P66" s="565"/>
      <c r="Q66" s="565"/>
      <c r="R66" s="565"/>
      <c r="S66" s="566">
        <v>30</v>
      </c>
      <c r="T66" s="565" t="str">
        <f t="shared" si="31"/>
        <v/>
      </c>
      <c r="U66" s="565" t="str">
        <f t="shared" si="32"/>
        <v/>
      </c>
      <c r="V66" s="565"/>
      <c r="W66" s="565"/>
      <c r="X66" s="565"/>
      <c r="Y66" s="565"/>
      <c r="Z66" s="565"/>
      <c r="AA66" s="565"/>
      <c r="AB66" s="566">
        <v>30</v>
      </c>
      <c r="AC66" s="565" t="str">
        <f t="shared" si="33"/>
        <v/>
      </c>
      <c r="AD66" s="565" t="str">
        <f t="shared" si="34"/>
        <v/>
      </c>
      <c r="AE66" s="565"/>
      <c r="AF66" s="565"/>
      <c r="AG66" s="565"/>
      <c r="AH66" s="565"/>
      <c r="AI66" s="565"/>
      <c r="AJ66" s="565"/>
      <c r="AK66" s="566">
        <v>30</v>
      </c>
      <c r="AL66" s="565" t="str">
        <f t="shared" si="35"/>
        <v/>
      </c>
      <c r="AM66" s="565" t="str">
        <f t="shared" si="36"/>
        <v/>
      </c>
      <c r="AN66" s="565"/>
      <c r="AO66" s="565"/>
      <c r="AP66" s="565"/>
      <c r="AQ66" s="565"/>
      <c r="AR66" s="565"/>
      <c r="AS66" s="565"/>
      <c r="AT66" s="566">
        <v>30</v>
      </c>
      <c r="AU66" s="565" t="str">
        <f t="shared" si="37"/>
        <v/>
      </c>
      <c r="AV66" s="565" t="str">
        <f t="shared" si="38"/>
        <v/>
      </c>
      <c r="AW66" s="565"/>
      <c r="AX66" s="566"/>
      <c r="AY66" s="565"/>
      <c r="AZ66" s="565"/>
      <c r="BA66" s="565"/>
      <c r="BB66" s="565"/>
      <c r="BC66" s="566">
        <v>30</v>
      </c>
      <c r="BD66" s="565" t="str">
        <f t="shared" si="39"/>
        <v/>
      </c>
      <c r="BE66" s="565" t="str">
        <f t="shared" si="40"/>
        <v/>
      </c>
      <c r="BF66" s="565"/>
      <c r="BG66" s="565"/>
      <c r="BH66" s="565"/>
      <c r="BI66" s="565"/>
      <c r="BJ66" s="565"/>
      <c r="BK66" s="565"/>
      <c r="BL66" s="566">
        <v>30</v>
      </c>
      <c r="BM66" s="565" t="str">
        <f t="shared" si="41"/>
        <v/>
      </c>
      <c r="BN66" s="565" t="str">
        <f t="shared" si="42"/>
        <v/>
      </c>
      <c r="BO66" s="565"/>
      <c r="BP66" s="565"/>
      <c r="BQ66" s="565"/>
      <c r="BR66" s="565"/>
      <c r="BS66" s="565"/>
      <c r="BT66" s="565"/>
      <c r="BU66" s="566">
        <v>30</v>
      </c>
      <c r="BV66" s="565" t="str">
        <f t="shared" si="43"/>
        <v/>
      </c>
      <c r="BW66" s="565" t="str">
        <f t="shared" si="44"/>
        <v/>
      </c>
      <c r="BX66" s="565"/>
      <c r="BY66" s="565"/>
      <c r="BZ66" s="565"/>
      <c r="CA66" s="565"/>
      <c r="CB66" s="565"/>
      <c r="CC66" s="566">
        <v>30</v>
      </c>
      <c r="CD66" s="565" t="str">
        <f t="shared" si="45"/>
        <v/>
      </c>
      <c r="CE66" s="565" t="str">
        <f t="shared" si="46"/>
        <v/>
      </c>
      <c r="CF66" s="565"/>
      <c r="CG66" s="565"/>
      <c r="CH66" s="565"/>
      <c r="CI66" s="565"/>
      <c r="CJ66" s="565"/>
      <c r="CK66" s="565"/>
      <c r="CL66" s="565"/>
      <c r="CM66" s="565"/>
      <c r="CN66" s="565"/>
      <c r="CO66" s="565"/>
      <c r="CP66" s="565"/>
      <c r="CQ66" s="565"/>
      <c r="CR66" s="565"/>
      <c r="CS66" s="565"/>
      <c r="CT66" s="565"/>
      <c r="CU66" s="565"/>
      <c r="CV66" s="565"/>
      <c r="CW66" s="565"/>
      <c r="CX66" s="565"/>
      <c r="CY66" s="565"/>
      <c r="CZ66" s="565"/>
      <c r="DA66" s="565"/>
      <c r="DB66" s="565"/>
      <c r="DC66" s="565"/>
      <c r="DD66" s="565"/>
      <c r="DE66" s="565"/>
      <c r="DF66" s="565"/>
    </row>
    <row r="67" spans="1:110" x14ac:dyDescent="0.25">
      <c r="A67" s="565"/>
      <c r="B67" s="565"/>
      <c r="C67" s="565"/>
      <c r="D67" s="565"/>
      <c r="E67" s="565"/>
      <c r="F67" s="565"/>
      <c r="G67" s="565"/>
      <c r="H67" s="565"/>
      <c r="I67" s="565"/>
      <c r="J67" s="565"/>
      <c r="K67" s="565"/>
      <c r="L67" s="565"/>
      <c r="M67" s="565"/>
      <c r="N67" s="565"/>
      <c r="O67" s="565"/>
      <c r="P67" s="565"/>
      <c r="Q67" s="565"/>
      <c r="R67" s="565"/>
      <c r="S67" s="565"/>
      <c r="T67" s="565"/>
      <c r="U67" s="565"/>
      <c r="V67" s="565"/>
      <c r="W67" s="565"/>
      <c r="X67" s="565"/>
      <c r="Y67" s="565"/>
      <c r="Z67" s="565"/>
      <c r="AA67" s="565"/>
      <c r="AB67" s="565"/>
      <c r="AC67" s="565"/>
      <c r="AD67" s="565"/>
      <c r="AE67" s="565"/>
      <c r="AF67" s="565"/>
      <c r="AG67" s="565"/>
      <c r="AH67" s="565"/>
      <c r="AI67" s="565"/>
      <c r="AJ67" s="565"/>
      <c r="AK67" s="565"/>
      <c r="AL67" s="565"/>
      <c r="AM67" s="565"/>
      <c r="AN67" s="565"/>
      <c r="AO67" s="565"/>
      <c r="AP67" s="565"/>
      <c r="AQ67" s="565"/>
      <c r="AR67" s="565"/>
      <c r="AS67" s="565"/>
      <c r="AT67" s="565"/>
      <c r="AU67" s="565"/>
      <c r="AV67" s="565"/>
      <c r="AW67" s="565"/>
      <c r="AX67" s="565"/>
      <c r="AY67" s="565"/>
      <c r="AZ67" s="565"/>
      <c r="BA67" s="565"/>
      <c r="BB67" s="565"/>
      <c r="BC67" s="565"/>
      <c r="BD67" s="565"/>
      <c r="BE67" s="565"/>
      <c r="BF67" s="565"/>
      <c r="BG67" s="565"/>
      <c r="BH67" s="565"/>
      <c r="BI67" s="565"/>
      <c r="BJ67" s="565"/>
      <c r="BK67" s="565"/>
      <c r="BL67" s="565"/>
      <c r="BM67" s="565"/>
      <c r="BN67" s="565"/>
      <c r="BO67" s="565"/>
      <c r="BP67" s="565"/>
      <c r="BQ67" s="565"/>
      <c r="BR67" s="565"/>
      <c r="BS67" s="565"/>
      <c r="BT67" s="565"/>
      <c r="BU67" s="565"/>
      <c r="BV67" s="565"/>
      <c r="BW67" s="565"/>
      <c r="BX67" s="565"/>
      <c r="BY67" s="565"/>
      <c r="BZ67" s="565"/>
      <c r="CA67" s="565"/>
      <c r="CB67" s="565"/>
      <c r="CC67" s="565"/>
      <c r="CD67" s="565"/>
      <c r="CE67" s="565"/>
      <c r="CF67" s="565"/>
      <c r="CG67" s="565"/>
      <c r="CH67" s="565"/>
      <c r="CI67" s="565"/>
      <c r="CJ67" s="565"/>
      <c r="CK67" s="565"/>
      <c r="CL67" s="565"/>
      <c r="CM67" s="565"/>
      <c r="CN67" s="565"/>
      <c r="CO67" s="565"/>
      <c r="CP67" s="565"/>
      <c r="CQ67" s="565"/>
      <c r="CR67" s="565"/>
      <c r="CS67" s="565"/>
      <c r="CT67" s="565"/>
      <c r="CU67" s="565"/>
      <c r="CV67" s="565"/>
      <c r="CW67" s="565"/>
      <c r="CX67" s="565"/>
      <c r="CY67" s="565"/>
      <c r="CZ67" s="565"/>
      <c r="DA67" s="565"/>
      <c r="DB67" s="565"/>
      <c r="DC67" s="565"/>
      <c r="DD67" s="565"/>
      <c r="DE67" s="565"/>
      <c r="DF67" s="565"/>
    </row>
    <row r="68" spans="1:110" x14ac:dyDescent="0.25">
      <c r="A68" s="565"/>
      <c r="B68" s="565"/>
      <c r="C68" s="565"/>
      <c r="D68" s="600">
        <f>S09_Warlock!E68</f>
        <v>5</v>
      </c>
      <c r="E68" s="600">
        <f>D68+SUM(C69:C98)</f>
        <v>6</v>
      </c>
      <c r="F68" s="565"/>
      <c r="G68" s="565"/>
      <c r="H68" s="565"/>
      <c r="I68" s="565"/>
      <c r="J68" s="565"/>
      <c r="K68" s="565"/>
      <c r="L68" s="565"/>
      <c r="M68" s="600">
        <f>S09_Warlock!N68</f>
        <v>2</v>
      </c>
      <c r="N68" s="600">
        <f>M68+SUM(L69:L98)</f>
        <v>2</v>
      </c>
      <c r="O68" s="565"/>
      <c r="P68" s="565"/>
      <c r="Q68" s="565"/>
      <c r="R68" s="565"/>
      <c r="S68" s="565"/>
      <c r="T68" s="565"/>
      <c r="U68" s="565"/>
      <c r="V68" s="600">
        <f>S09_Warlock!W68</f>
        <v>0</v>
      </c>
      <c r="W68" s="600">
        <f>V68+SUM(U69:U98)</f>
        <v>2</v>
      </c>
      <c r="X68" s="565"/>
      <c r="Y68" s="565"/>
      <c r="Z68" s="565"/>
      <c r="AA68" s="565"/>
      <c r="AB68" s="565"/>
      <c r="AC68" s="565"/>
      <c r="AD68" s="565"/>
      <c r="AE68" s="600">
        <f>S09_Warlock!AF68</f>
        <v>0</v>
      </c>
      <c r="AF68" s="600">
        <f>AE68+SUM(AD69:AD98)</f>
        <v>0</v>
      </c>
      <c r="AG68" s="565"/>
      <c r="AH68" s="565"/>
      <c r="AI68" s="565"/>
      <c r="AJ68" s="565"/>
      <c r="AK68" s="565"/>
      <c r="AL68" s="565"/>
      <c r="AM68" s="565"/>
      <c r="AN68" s="600">
        <f>S09_Warlock!AO68</f>
        <v>0</v>
      </c>
      <c r="AO68" s="600">
        <f>AN68+SUM(AM69:AM98)</f>
        <v>0</v>
      </c>
      <c r="AP68" s="565"/>
      <c r="AQ68" s="565"/>
      <c r="AR68" s="565"/>
      <c r="AS68" s="565"/>
      <c r="AT68" s="565"/>
      <c r="AU68" s="565"/>
      <c r="AV68" s="565"/>
      <c r="AW68" s="600">
        <f>S09_Warlock!AX68</f>
        <v>0</v>
      </c>
      <c r="AX68" s="600">
        <f>AW68+SUM(AV69:AV98)</f>
        <v>0</v>
      </c>
      <c r="AY68" s="565"/>
      <c r="AZ68" s="565"/>
      <c r="BA68" s="565"/>
      <c r="BB68" s="565"/>
      <c r="BC68" s="565"/>
      <c r="BD68" s="565"/>
      <c r="BE68" s="565"/>
      <c r="BF68" s="600">
        <f>S09_Warlock!BG68</f>
        <v>0</v>
      </c>
      <c r="BG68" s="600">
        <f>BF68+SUM(BE69:BE98)</f>
        <v>0</v>
      </c>
      <c r="BH68" s="565"/>
      <c r="BI68" s="565"/>
      <c r="BJ68" s="565"/>
      <c r="BK68" s="565"/>
      <c r="BL68" s="565"/>
      <c r="BM68" s="565"/>
      <c r="BN68" s="565"/>
      <c r="BO68" s="600">
        <f>S09_Warlock!BP68</f>
        <v>0</v>
      </c>
      <c r="BP68" s="600">
        <f>BO68+SUM(BN69:BN98)</f>
        <v>0</v>
      </c>
      <c r="BQ68" s="565"/>
      <c r="BR68" s="565"/>
      <c r="BS68" s="565"/>
      <c r="BT68" s="565"/>
      <c r="BU68" s="565"/>
      <c r="BV68" s="565"/>
      <c r="BW68" s="565"/>
      <c r="BX68" s="600">
        <f>S09_Warlock!BY68</f>
        <v>0</v>
      </c>
      <c r="BY68" s="600">
        <f>BX68+SUM(BW69:BW98)</f>
        <v>0</v>
      </c>
      <c r="BZ68" s="565"/>
      <c r="CA68" s="565"/>
      <c r="CB68" s="565"/>
      <c r="CC68" s="565"/>
      <c r="CD68" s="565"/>
      <c r="CE68" s="565"/>
      <c r="CF68" s="565"/>
      <c r="CG68" s="600"/>
      <c r="CH68" s="600"/>
      <c r="CI68" s="565"/>
      <c r="CJ68" s="565"/>
      <c r="CK68" s="565"/>
      <c r="CL68" s="565"/>
      <c r="CM68" s="565"/>
      <c r="CN68" s="565"/>
      <c r="CO68" s="565"/>
      <c r="CP68" s="565"/>
      <c r="CQ68" s="565"/>
      <c r="CR68" s="565"/>
      <c r="CS68" s="565"/>
      <c r="CT68" s="565"/>
      <c r="CU68" s="565"/>
      <c r="CV68" s="565"/>
      <c r="CW68" s="565"/>
      <c r="CX68" s="565"/>
      <c r="CY68" s="565"/>
      <c r="CZ68" s="565"/>
      <c r="DA68" s="565"/>
      <c r="DB68" s="565"/>
      <c r="DC68" s="565"/>
      <c r="DD68" s="565"/>
      <c r="DE68" s="565"/>
      <c r="DF68" s="565"/>
    </row>
    <row r="69" spans="1:110" x14ac:dyDescent="0.25">
      <c r="B69" s="591">
        <v>1</v>
      </c>
      <c r="C69">
        <f t="shared" ref="C69:C98" si="47">IF(SpellcastingWizard&gt;0,IF(C6&lt;&gt;"",1,0),0)</f>
        <v>1</v>
      </c>
      <c r="D69">
        <f>IF(C69=0,0,1)</f>
        <v>1</v>
      </c>
      <c r="E69">
        <f>IF(D69=0,0,D69+D$68)</f>
        <v>6</v>
      </c>
      <c r="F69" t="str">
        <f>IF(C69=1,"Wizard","")</f>
        <v>Wizard</v>
      </c>
      <c r="G69" t="str">
        <f>IF(H6="●","P","")</f>
        <v/>
      </c>
      <c r="H69" t="s">
        <v>6545</v>
      </c>
      <c r="I69" t="s">
        <v>6545</v>
      </c>
      <c r="J69" t="s">
        <v>6545</v>
      </c>
      <c r="K69" s="609">
        <v>1</v>
      </c>
      <c r="L69">
        <f t="shared" ref="L69:L98" si="48">IF(SpellcastingWizard&gt;0,IF(L6&lt;&gt;"",1,0),0)</f>
        <v>0</v>
      </c>
      <c r="M69">
        <f>IF(L69=0,0,1)</f>
        <v>0</v>
      </c>
      <c r="N69">
        <f>IF(M69=0,0,M69+M$68)</f>
        <v>0</v>
      </c>
      <c r="O69" t="str">
        <f>IF(L69=1,"Wizard","")</f>
        <v/>
      </c>
      <c r="P69" t="str">
        <f>IF(Q6="●","P","")</f>
        <v/>
      </c>
      <c r="Q69" t="s">
        <v>6545</v>
      </c>
      <c r="R69" t="s">
        <v>6545</v>
      </c>
      <c r="S69" t="s">
        <v>6545</v>
      </c>
      <c r="T69" s="609">
        <v>1</v>
      </c>
      <c r="U69">
        <f t="shared" ref="U69:U98" si="49">IF(SpellcastingWizard&gt;0,IF(U6&lt;&gt;"",1,0),0)</f>
        <v>1</v>
      </c>
      <c r="V69">
        <f>IF(U69=0,0,1)</f>
        <v>1</v>
      </c>
      <c r="W69">
        <f>IF(V69=0,0,V69+V$68)</f>
        <v>1</v>
      </c>
      <c r="X69" t="str">
        <f>IF(U69=1,"Wizard","")</f>
        <v>Wizard</v>
      </c>
      <c r="Y69" t="str">
        <f>IF(Z6="●","P","")</f>
        <v/>
      </c>
      <c r="Z69" t="s">
        <v>6545</v>
      </c>
      <c r="AA69" t="s">
        <v>6545</v>
      </c>
      <c r="AB69" t="s">
        <v>6545</v>
      </c>
      <c r="AC69" s="609">
        <v>1</v>
      </c>
      <c r="AD69">
        <f t="shared" ref="AD69:AD98" si="50">IF(SpellcastingWizard&gt;0,IF(AD6&lt;&gt;"",1,0),0)</f>
        <v>0</v>
      </c>
      <c r="AE69">
        <f>IF(AD69=0,0,1)</f>
        <v>0</v>
      </c>
      <c r="AF69">
        <f>IF(AE69=0,0,AE69+AE$68)</f>
        <v>0</v>
      </c>
      <c r="AG69" t="str">
        <f>IF(AD69=1,"Wizard","")</f>
        <v/>
      </c>
      <c r="AH69" t="str">
        <f>IF(AI6="●","P","")</f>
        <v/>
      </c>
      <c r="AI69" t="s">
        <v>6545</v>
      </c>
      <c r="AJ69" t="s">
        <v>6545</v>
      </c>
      <c r="AK69" t="s">
        <v>6545</v>
      </c>
      <c r="AL69" s="609">
        <v>1</v>
      </c>
      <c r="AM69">
        <f t="shared" ref="AM69:AM98" si="51">IF(SpellcastingWizard&gt;0,IF(AM6&lt;&gt;"",1,0),0)</f>
        <v>0</v>
      </c>
      <c r="AN69">
        <f>IF(AM69=0,0,1)</f>
        <v>0</v>
      </c>
      <c r="AO69">
        <f>IF(AN69=0,0,AN69+AN$68)</f>
        <v>0</v>
      </c>
      <c r="AP69" t="str">
        <f>IF(AM69=1,"Wizard","")</f>
        <v/>
      </c>
      <c r="AQ69" t="str">
        <f>IF(AR6="●","P","")</f>
        <v/>
      </c>
      <c r="AR69" t="s">
        <v>6545</v>
      </c>
      <c r="AS69" t="s">
        <v>6545</v>
      </c>
      <c r="AT69" t="s">
        <v>6545</v>
      </c>
      <c r="AU69" s="609">
        <v>1</v>
      </c>
      <c r="AV69">
        <f t="shared" ref="AV69:AV98" si="52">IF(SpellcastingWizard&gt;0,IF(AV6&lt;&gt;"",1,0),0)</f>
        <v>0</v>
      </c>
      <c r="AW69">
        <f>IF(AV69=0,0,1)</f>
        <v>0</v>
      </c>
      <c r="AX69">
        <f>IF(AW69=0,0,AW69+AW$68)</f>
        <v>0</v>
      </c>
      <c r="AY69" t="str">
        <f>IF(AV69=1,"Wizard","")</f>
        <v/>
      </c>
      <c r="AZ69" t="str">
        <f>IF(BA6="●","P","")</f>
        <v/>
      </c>
      <c r="BA69" t="s">
        <v>6545</v>
      </c>
      <c r="BB69" t="s">
        <v>6545</v>
      </c>
      <c r="BC69" t="s">
        <v>6545</v>
      </c>
      <c r="BD69" s="609">
        <v>1</v>
      </c>
      <c r="BE69">
        <f t="shared" ref="BE69:BE98" si="53">IF(SpellcastingWizard&gt;0,IF(BE6&lt;&gt;"",1,0),0)</f>
        <v>0</v>
      </c>
      <c r="BF69">
        <f>IF(BE69=0,0,1)</f>
        <v>0</v>
      </c>
      <c r="BG69">
        <f>IF(BF69=0,0,BF69+BF$68)</f>
        <v>0</v>
      </c>
      <c r="BH69" t="str">
        <f>IF(BE69=1,"Wizard","")</f>
        <v/>
      </c>
      <c r="BI69" t="str">
        <f>IF(BJ6="●","P","")</f>
        <v/>
      </c>
      <c r="BJ69" t="s">
        <v>6545</v>
      </c>
      <c r="BK69" t="s">
        <v>6545</v>
      </c>
      <c r="BL69" t="s">
        <v>6545</v>
      </c>
      <c r="BM69" s="609">
        <v>1</v>
      </c>
      <c r="BN69">
        <f t="shared" ref="BN69:BN98" si="54">IF(SpellcastingWizard&gt;0,IF(BN6&lt;&gt;"",1,0),0)</f>
        <v>0</v>
      </c>
      <c r="BO69">
        <f>IF(BN69=0,0,1)</f>
        <v>0</v>
      </c>
      <c r="BP69">
        <f>IF(BO69=0,0,BO69+BO$68)</f>
        <v>0</v>
      </c>
      <c r="BQ69" t="str">
        <f>IF(BN69=1,"Wizard","")</f>
        <v/>
      </c>
      <c r="BR69" t="str">
        <f>IF(BS6="●","P","")</f>
        <v/>
      </c>
      <c r="BS69" t="s">
        <v>6545</v>
      </c>
      <c r="BT69" t="s">
        <v>6545</v>
      </c>
      <c r="BU69" t="s">
        <v>6545</v>
      </c>
      <c r="BV69" s="609">
        <v>1</v>
      </c>
      <c r="BW69">
        <f t="shared" ref="BW69:BW98" si="55">IF(SpellcastingWizard&gt;0,IF(BW6&lt;&gt;"",1,0),0)</f>
        <v>0</v>
      </c>
      <c r="BX69">
        <f>IF(BW69=0,0,1)</f>
        <v>0</v>
      </c>
      <c r="BY69">
        <f>IF(BX69=0,0,BX69+BX$68)</f>
        <v>0</v>
      </c>
      <c r="BZ69" t="str">
        <f>IF(BW69=1,"Wizard","")</f>
        <v/>
      </c>
      <c r="CA69" t="str">
        <f>IF(CB6="●","P","")</f>
        <v/>
      </c>
      <c r="CB69" t="s">
        <v>6545</v>
      </c>
      <c r="CC69" t="s">
        <v>6545</v>
      </c>
      <c r="CD69" t="s">
        <v>6545</v>
      </c>
      <c r="CE69" s="609"/>
    </row>
    <row r="70" spans="1:110" x14ac:dyDescent="0.25">
      <c r="B70" s="591">
        <v>2</v>
      </c>
      <c r="C70">
        <f t="shared" si="47"/>
        <v>0</v>
      </c>
      <c r="D70">
        <f>IF(C70=0,0,1+MAX(D69:D$69))</f>
        <v>0</v>
      </c>
      <c r="E70">
        <f t="shared" ref="E70:E98" si="56">IF(D70=0,0,D70+D$68)</f>
        <v>0</v>
      </c>
      <c r="F70" t="str">
        <f t="shared" ref="F70:F98" si="57">IF(C70=1,"Wizard","")</f>
        <v/>
      </c>
      <c r="G70" t="str">
        <f t="shared" ref="G70:G98" si="58">IF(H7="●","P","")</f>
        <v/>
      </c>
      <c r="K70" s="609">
        <v>2</v>
      </c>
      <c r="L70">
        <f t="shared" si="48"/>
        <v>0</v>
      </c>
      <c r="M70">
        <f>IF(L70=0,0,1+MAX(M69:M$69))</f>
        <v>0</v>
      </c>
      <c r="N70">
        <f t="shared" ref="N70:N98" si="59">IF(M70=0,0,M70+M$68)</f>
        <v>0</v>
      </c>
      <c r="O70" t="str">
        <f t="shared" ref="O70:O98" si="60">IF(L70=1,"Wizard","")</f>
        <v/>
      </c>
      <c r="P70" t="str">
        <f t="shared" ref="P70:P98" si="61">IF(Q7="●","P","")</f>
        <v/>
      </c>
      <c r="T70" s="609">
        <v>2</v>
      </c>
      <c r="U70">
        <f t="shared" si="49"/>
        <v>1</v>
      </c>
      <c r="V70">
        <f>IF(U70=0,0,1+MAX(V69:V$69))</f>
        <v>2</v>
      </c>
      <c r="W70">
        <f t="shared" ref="W70:W98" si="62">IF(V70=0,0,V70+V$68)</f>
        <v>2</v>
      </c>
      <c r="X70" t="str">
        <f t="shared" ref="X70:X98" si="63">IF(U70=1,"Wizard","")</f>
        <v>Wizard</v>
      </c>
      <c r="Y70" t="str">
        <f t="shared" ref="Y70:Y98" si="64">IF(Z7="●","P","")</f>
        <v/>
      </c>
      <c r="AC70" s="609">
        <v>2</v>
      </c>
      <c r="AD70">
        <f t="shared" si="50"/>
        <v>0</v>
      </c>
      <c r="AE70">
        <f>IF(AD70=0,0,1+MAX(AE69:AE$69))</f>
        <v>0</v>
      </c>
      <c r="AF70">
        <f t="shared" ref="AF70:AF98" si="65">IF(AE70=0,0,AE70+AE$68)</f>
        <v>0</v>
      </c>
      <c r="AG70" t="str">
        <f t="shared" ref="AG70:AG98" si="66">IF(AD70=1,"Wizard","")</f>
        <v/>
      </c>
      <c r="AH70" t="str">
        <f t="shared" ref="AH70:AH98" si="67">IF(AI7="●","P","")</f>
        <v/>
      </c>
      <c r="AL70" s="609">
        <v>2</v>
      </c>
      <c r="AM70">
        <f t="shared" si="51"/>
        <v>0</v>
      </c>
      <c r="AN70">
        <f>IF(AM70=0,0,1+MAX(AN69:AN$69))</f>
        <v>0</v>
      </c>
      <c r="AO70">
        <f t="shared" ref="AO70:AO98" si="68">IF(AN70=0,0,AN70+AN$68)</f>
        <v>0</v>
      </c>
      <c r="AP70" t="str">
        <f t="shared" ref="AP70:AP98" si="69">IF(AM70=1,"Wizard","")</f>
        <v/>
      </c>
      <c r="AQ70" t="str">
        <f t="shared" ref="AQ70:AQ98" si="70">IF(AR7="●","P","")</f>
        <v/>
      </c>
      <c r="AU70" s="609">
        <v>2</v>
      </c>
      <c r="AV70">
        <f t="shared" si="52"/>
        <v>0</v>
      </c>
      <c r="AW70">
        <f>IF(AV70=0,0,1+MAX(AW69:AW$69))</f>
        <v>0</v>
      </c>
      <c r="AX70">
        <f t="shared" ref="AX70:AX98" si="71">IF(AW70=0,0,AW70+AW$68)</f>
        <v>0</v>
      </c>
      <c r="AY70" t="str">
        <f t="shared" ref="AY70:AY98" si="72">IF(AV70=1,"Wizard","")</f>
        <v/>
      </c>
      <c r="AZ70" t="str">
        <f t="shared" ref="AZ70:AZ98" si="73">IF(BA7="●","P","")</f>
        <v/>
      </c>
      <c r="BD70" s="609">
        <v>2</v>
      </c>
      <c r="BE70">
        <f t="shared" si="53"/>
        <v>0</v>
      </c>
      <c r="BF70">
        <f>IF(BE70=0,0,1+MAX(BF69:BF$69))</f>
        <v>0</v>
      </c>
      <c r="BG70">
        <f t="shared" ref="BG70:BG98" si="74">IF(BF70=0,0,BF70+BF$68)</f>
        <v>0</v>
      </c>
      <c r="BH70" t="str">
        <f t="shared" ref="BH70:BH98" si="75">IF(BE70=1,"Wizard","")</f>
        <v/>
      </c>
      <c r="BI70" t="str">
        <f t="shared" ref="BI70:BI98" si="76">IF(BJ7="●","P","")</f>
        <v/>
      </c>
      <c r="BM70" s="609">
        <v>2</v>
      </c>
      <c r="BN70">
        <f t="shared" si="54"/>
        <v>0</v>
      </c>
      <c r="BO70">
        <f>IF(BN70=0,0,1+MAX(BO69:BO$69))</f>
        <v>0</v>
      </c>
      <c r="BP70">
        <f t="shared" ref="BP70:BP98" si="77">IF(BO70=0,0,BO70+BO$68)</f>
        <v>0</v>
      </c>
      <c r="BQ70" t="str">
        <f t="shared" ref="BQ70:BQ98" si="78">IF(BN70=1,"Wizard","")</f>
        <v/>
      </c>
      <c r="BR70" t="str">
        <f t="shared" ref="BR70:BR98" si="79">IF(BS7="●","P","")</f>
        <v/>
      </c>
      <c r="BV70" s="609">
        <v>2</v>
      </c>
      <c r="BW70">
        <f t="shared" si="55"/>
        <v>0</v>
      </c>
      <c r="BX70">
        <f>IF(BW70=0,0,1+MAX(BX69:BX$69))</f>
        <v>0</v>
      </c>
      <c r="BY70">
        <f t="shared" ref="BY70:BY98" si="80">IF(BX70=0,0,BX70+BX$68)</f>
        <v>0</v>
      </c>
      <c r="BZ70" t="str">
        <f t="shared" ref="BZ70:BZ98" si="81">IF(BW70=1,"Wizard","")</f>
        <v/>
      </c>
      <c r="CA70" t="str">
        <f t="shared" ref="CA70:CA98" si="82">IF(CB7="●","P","")</f>
        <v/>
      </c>
      <c r="CE70" s="609"/>
    </row>
    <row r="71" spans="1:110" x14ac:dyDescent="0.25">
      <c r="B71" s="591">
        <v>3</v>
      </c>
      <c r="C71">
        <f t="shared" si="47"/>
        <v>0</v>
      </c>
      <c r="D71">
        <f>IF(C71=0,0,1+MAX(D$69:D70))</f>
        <v>0</v>
      </c>
      <c r="E71">
        <f t="shared" si="56"/>
        <v>0</v>
      </c>
      <c r="F71" t="str">
        <f t="shared" si="57"/>
        <v/>
      </c>
      <c r="G71" t="str">
        <f t="shared" si="58"/>
        <v/>
      </c>
      <c r="K71" s="609">
        <v>3</v>
      </c>
      <c r="L71">
        <f t="shared" si="48"/>
        <v>0</v>
      </c>
      <c r="M71">
        <f>IF(L71=0,0,1+MAX(M$69:M70))</f>
        <v>0</v>
      </c>
      <c r="N71">
        <f t="shared" si="59"/>
        <v>0</v>
      </c>
      <c r="O71" t="str">
        <f t="shared" si="60"/>
        <v/>
      </c>
      <c r="P71" t="str">
        <f t="shared" si="61"/>
        <v/>
      </c>
      <c r="T71" s="609">
        <v>3</v>
      </c>
      <c r="U71">
        <f t="shared" si="49"/>
        <v>0</v>
      </c>
      <c r="V71">
        <f>IF(U71=0,0,1+MAX(V$69:V70))</f>
        <v>0</v>
      </c>
      <c r="W71">
        <f t="shared" si="62"/>
        <v>0</v>
      </c>
      <c r="X71" t="str">
        <f t="shared" si="63"/>
        <v/>
      </c>
      <c r="Y71" t="str">
        <f t="shared" si="64"/>
        <v/>
      </c>
      <c r="AC71" s="609">
        <v>3</v>
      </c>
      <c r="AD71">
        <f t="shared" si="50"/>
        <v>0</v>
      </c>
      <c r="AE71">
        <f>IF(AD71=0,0,1+MAX(AE$69:AE70))</f>
        <v>0</v>
      </c>
      <c r="AF71">
        <f t="shared" si="65"/>
        <v>0</v>
      </c>
      <c r="AG71" t="str">
        <f t="shared" si="66"/>
        <v/>
      </c>
      <c r="AH71" t="str">
        <f t="shared" si="67"/>
        <v/>
      </c>
      <c r="AL71" s="609">
        <v>3</v>
      </c>
      <c r="AM71">
        <f t="shared" si="51"/>
        <v>0</v>
      </c>
      <c r="AN71">
        <f>IF(AM71=0,0,1+MAX(AN$69:AN70))</f>
        <v>0</v>
      </c>
      <c r="AO71">
        <f t="shared" si="68"/>
        <v>0</v>
      </c>
      <c r="AP71" t="str">
        <f t="shared" si="69"/>
        <v/>
      </c>
      <c r="AQ71" t="str">
        <f t="shared" si="70"/>
        <v/>
      </c>
      <c r="AU71" s="609">
        <v>3</v>
      </c>
      <c r="AV71">
        <f t="shared" si="52"/>
        <v>0</v>
      </c>
      <c r="AW71">
        <f>IF(AV71=0,0,1+MAX(AW$69:AW70))</f>
        <v>0</v>
      </c>
      <c r="AX71">
        <f t="shared" si="71"/>
        <v>0</v>
      </c>
      <c r="AY71" t="str">
        <f t="shared" si="72"/>
        <v/>
      </c>
      <c r="AZ71" t="str">
        <f t="shared" si="73"/>
        <v/>
      </c>
      <c r="BD71" s="609">
        <v>3</v>
      </c>
      <c r="BE71">
        <f t="shared" si="53"/>
        <v>0</v>
      </c>
      <c r="BF71">
        <f>IF(BE71=0,0,1+MAX(BF$69:BF70))</f>
        <v>0</v>
      </c>
      <c r="BG71">
        <f t="shared" si="74"/>
        <v>0</v>
      </c>
      <c r="BH71" t="str">
        <f t="shared" si="75"/>
        <v/>
      </c>
      <c r="BI71" t="str">
        <f t="shared" si="76"/>
        <v/>
      </c>
      <c r="BM71" s="609">
        <v>3</v>
      </c>
      <c r="BN71">
        <f t="shared" si="54"/>
        <v>0</v>
      </c>
      <c r="BO71">
        <f>IF(BN71=0,0,1+MAX(BO$69:BO70))</f>
        <v>0</v>
      </c>
      <c r="BP71">
        <f t="shared" si="77"/>
        <v>0</v>
      </c>
      <c r="BQ71" t="str">
        <f t="shared" si="78"/>
        <v/>
      </c>
      <c r="BR71" t="str">
        <f t="shared" si="79"/>
        <v/>
      </c>
      <c r="BV71" s="609">
        <v>3</v>
      </c>
      <c r="BW71">
        <f t="shared" si="55"/>
        <v>0</v>
      </c>
      <c r="BX71">
        <f>IF(BW71=0,0,1+MAX(BX$69:BX70))</f>
        <v>0</v>
      </c>
      <c r="BY71">
        <f t="shared" si="80"/>
        <v>0</v>
      </c>
      <c r="BZ71" t="str">
        <f t="shared" si="81"/>
        <v/>
      </c>
      <c r="CA71" t="str">
        <f t="shared" si="82"/>
        <v/>
      </c>
      <c r="CE71" s="609"/>
    </row>
    <row r="72" spans="1:110" x14ac:dyDescent="0.25">
      <c r="B72" s="591">
        <v>4</v>
      </c>
      <c r="C72">
        <f t="shared" si="47"/>
        <v>0</v>
      </c>
      <c r="D72">
        <f>IF(C72=0,0,1+MAX(D$69:D71))</f>
        <v>0</v>
      </c>
      <c r="E72">
        <f t="shared" si="56"/>
        <v>0</v>
      </c>
      <c r="F72" t="str">
        <f t="shared" si="57"/>
        <v/>
      </c>
      <c r="G72" t="str">
        <f t="shared" si="58"/>
        <v/>
      </c>
      <c r="K72" s="609">
        <v>4</v>
      </c>
      <c r="L72">
        <f t="shared" si="48"/>
        <v>0</v>
      </c>
      <c r="M72">
        <f>IF(L72=0,0,1+MAX(M$69:M71))</f>
        <v>0</v>
      </c>
      <c r="N72">
        <f t="shared" si="59"/>
        <v>0</v>
      </c>
      <c r="O72" t="str">
        <f t="shared" si="60"/>
        <v/>
      </c>
      <c r="P72" t="str">
        <f t="shared" si="61"/>
        <v/>
      </c>
      <c r="T72" s="609">
        <v>4</v>
      </c>
      <c r="U72">
        <f t="shared" si="49"/>
        <v>0</v>
      </c>
      <c r="V72">
        <f>IF(U72=0,0,1+MAX(V$69:V71))</f>
        <v>0</v>
      </c>
      <c r="W72">
        <f t="shared" si="62"/>
        <v>0</v>
      </c>
      <c r="X72" t="str">
        <f t="shared" si="63"/>
        <v/>
      </c>
      <c r="Y72" t="str">
        <f t="shared" si="64"/>
        <v/>
      </c>
      <c r="AC72" s="609">
        <v>4</v>
      </c>
      <c r="AD72">
        <f t="shared" si="50"/>
        <v>0</v>
      </c>
      <c r="AE72">
        <f>IF(AD72=0,0,1+MAX(AE$69:AE71))</f>
        <v>0</v>
      </c>
      <c r="AF72">
        <f t="shared" si="65"/>
        <v>0</v>
      </c>
      <c r="AG72" t="str">
        <f t="shared" si="66"/>
        <v/>
      </c>
      <c r="AH72" t="str">
        <f t="shared" si="67"/>
        <v/>
      </c>
      <c r="AL72" s="609">
        <v>4</v>
      </c>
      <c r="AM72">
        <f t="shared" si="51"/>
        <v>0</v>
      </c>
      <c r="AN72">
        <f>IF(AM72=0,0,1+MAX(AN$69:AN71))</f>
        <v>0</v>
      </c>
      <c r="AO72">
        <f t="shared" si="68"/>
        <v>0</v>
      </c>
      <c r="AP72" t="str">
        <f t="shared" si="69"/>
        <v/>
      </c>
      <c r="AQ72" t="str">
        <f t="shared" si="70"/>
        <v/>
      </c>
      <c r="AU72" s="609">
        <v>4</v>
      </c>
      <c r="AV72">
        <f t="shared" si="52"/>
        <v>0</v>
      </c>
      <c r="AW72">
        <f>IF(AV72=0,0,1+MAX(AW$69:AW71))</f>
        <v>0</v>
      </c>
      <c r="AX72">
        <f t="shared" si="71"/>
        <v>0</v>
      </c>
      <c r="AY72" t="str">
        <f t="shared" si="72"/>
        <v/>
      </c>
      <c r="AZ72" t="str">
        <f t="shared" si="73"/>
        <v/>
      </c>
      <c r="BD72" s="609">
        <v>4</v>
      </c>
      <c r="BE72">
        <f t="shared" si="53"/>
        <v>0</v>
      </c>
      <c r="BF72">
        <f>IF(BE72=0,0,1+MAX(BF$69:BF71))</f>
        <v>0</v>
      </c>
      <c r="BG72">
        <f t="shared" si="74"/>
        <v>0</v>
      </c>
      <c r="BH72" t="str">
        <f t="shared" si="75"/>
        <v/>
      </c>
      <c r="BI72" t="str">
        <f t="shared" si="76"/>
        <v/>
      </c>
      <c r="BM72" s="609">
        <v>4</v>
      </c>
      <c r="BN72">
        <f t="shared" si="54"/>
        <v>0</v>
      </c>
      <c r="BO72">
        <f>IF(BN72=0,0,1+MAX(BO$69:BO71))</f>
        <v>0</v>
      </c>
      <c r="BP72">
        <f t="shared" si="77"/>
        <v>0</v>
      </c>
      <c r="BQ72" t="str">
        <f t="shared" si="78"/>
        <v/>
      </c>
      <c r="BR72" t="str">
        <f t="shared" si="79"/>
        <v/>
      </c>
      <c r="BV72" s="609">
        <v>4</v>
      </c>
      <c r="BW72">
        <f t="shared" si="55"/>
        <v>0</v>
      </c>
      <c r="BX72">
        <f>IF(BW72=0,0,1+MAX(BX$69:BX71))</f>
        <v>0</v>
      </c>
      <c r="BY72">
        <f t="shared" si="80"/>
        <v>0</v>
      </c>
      <c r="BZ72" t="str">
        <f t="shared" si="81"/>
        <v/>
      </c>
      <c r="CA72" t="str">
        <f t="shared" si="82"/>
        <v/>
      </c>
      <c r="CE72" s="609"/>
    </row>
    <row r="73" spans="1:110" x14ac:dyDescent="0.25">
      <c r="B73" s="591">
        <v>5</v>
      </c>
      <c r="C73">
        <f t="shared" si="47"/>
        <v>0</v>
      </c>
      <c r="D73">
        <f>IF(C73=0,0,1+MAX(D$69:D72))</f>
        <v>0</v>
      </c>
      <c r="E73">
        <f t="shared" si="56"/>
        <v>0</v>
      </c>
      <c r="F73" t="str">
        <f t="shared" si="57"/>
        <v/>
      </c>
      <c r="G73" t="str">
        <f t="shared" si="58"/>
        <v/>
      </c>
      <c r="K73" s="609">
        <v>5</v>
      </c>
      <c r="L73">
        <f t="shared" si="48"/>
        <v>0</v>
      </c>
      <c r="M73">
        <f>IF(L73=0,0,1+MAX(M$69:M72))</f>
        <v>0</v>
      </c>
      <c r="N73">
        <f t="shared" si="59"/>
        <v>0</v>
      </c>
      <c r="O73" t="str">
        <f t="shared" si="60"/>
        <v/>
      </c>
      <c r="P73" t="str">
        <f t="shared" si="61"/>
        <v/>
      </c>
      <c r="T73" s="609">
        <v>5</v>
      </c>
      <c r="U73">
        <f t="shared" si="49"/>
        <v>0</v>
      </c>
      <c r="V73">
        <f>IF(U73=0,0,1+MAX(V$69:V72))</f>
        <v>0</v>
      </c>
      <c r="W73">
        <f t="shared" si="62"/>
        <v>0</v>
      </c>
      <c r="X73" t="str">
        <f t="shared" si="63"/>
        <v/>
      </c>
      <c r="Y73" t="str">
        <f t="shared" si="64"/>
        <v/>
      </c>
      <c r="AC73" s="609">
        <v>5</v>
      </c>
      <c r="AD73">
        <f t="shared" si="50"/>
        <v>0</v>
      </c>
      <c r="AE73">
        <f>IF(AD73=0,0,1+MAX(AE$69:AE72))</f>
        <v>0</v>
      </c>
      <c r="AF73">
        <f t="shared" si="65"/>
        <v>0</v>
      </c>
      <c r="AG73" t="str">
        <f t="shared" si="66"/>
        <v/>
      </c>
      <c r="AH73" t="str">
        <f t="shared" si="67"/>
        <v/>
      </c>
      <c r="AL73" s="609">
        <v>5</v>
      </c>
      <c r="AM73">
        <f t="shared" si="51"/>
        <v>0</v>
      </c>
      <c r="AN73">
        <f>IF(AM73=0,0,1+MAX(AN$69:AN72))</f>
        <v>0</v>
      </c>
      <c r="AO73">
        <f t="shared" si="68"/>
        <v>0</v>
      </c>
      <c r="AP73" t="str">
        <f t="shared" si="69"/>
        <v/>
      </c>
      <c r="AQ73" t="str">
        <f t="shared" si="70"/>
        <v/>
      </c>
      <c r="AU73" s="609">
        <v>5</v>
      </c>
      <c r="AV73">
        <f t="shared" si="52"/>
        <v>0</v>
      </c>
      <c r="AW73">
        <f>IF(AV73=0,0,1+MAX(AW$69:AW72))</f>
        <v>0</v>
      </c>
      <c r="AX73">
        <f t="shared" si="71"/>
        <v>0</v>
      </c>
      <c r="AY73" t="str">
        <f t="shared" si="72"/>
        <v/>
      </c>
      <c r="AZ73" t="str">
        <f t="shared" si="73"/>
        <v/>
      </c>
      <c r="BD73" s="609">
        <v>5</v>
      </c>
      <c r="BE73">
        <f t="shared" si="53"/>
        <v>0</v>
      </c>
      <c r="BF73">
        <f>IF(BE73=0,0,1+MAX(BF$69:BF72))</f>
        <v>0</v>
      </c>
      <c r="BG73">
        <f t="shared" si="74"/>
        <v>0</v>
      </c>
      <c r="BH73" t="str">
        <f t="shared" si="75"/>
        <v/>
      </c>
      <c r="BI73" t="str">
        <f t="shared" si="76"/>
        <v/>
      </c>
      <c r="BM73" s="609">
        <v>5</v>
      </c>
      <c r="BN73">
        <f t="shared" si="54"/>
        <v>0</v>
      </c>
      <c r="BO73">
        <f>IF(BN73=0,0,1+MAX(BO$69:BO72))</f>
        <v>0</v>
      </c>
      <c r="BP73">
        <f t="shared" si="77"/>
        <v>0</v>
      </c>
      <c r="BQ73" t="str">
        <f t="shared" si="78"/>
        <v/>
      </c>
      <c r="BR73" t="str">
        <f t="shared" si="79"/>
        <v/>
      </c>
      <c r="BV73" s="609">
        <v>5</v>
      </c>
      <c r="BW73">
        <f t="shared" si="55"/>
        <v>0</v>
      </c>
      <c r="BX73">
        <f>IF(BW73=0,0,1+MAX(BX$69:BX72))</f>
        <v>0</v>
      </c>
      <c r="BY73">
        <f t="shared" si="80"/>
        <v>0</v>
      </c>
      <c r="BZ73" t="str">
        <f t="shared" si="81"/>
        <v/>
      </c>
      <c r="CA73" t="str">
        <f t="shared" si="82"/>
        <v/>
      </c>
      <c r="CE73" s="609"/>
    </row>
    <row r="74" spans="1:110" x14ac:dyDescent="0.25">
      <c r="B74" s="591">
        <v>6</v>
      </c>
      <c r="C74">
        <f t="shared" si="47"/>
        <v>0</v>
      </c>
      <c r="D74">
        <f>IF(C74=0,0,1+MAX(D$69:D73))</f>
        <v>0</v>
      </c>
      <c r="E74">
        <f t="shared" si="56"/>
        <v>0</v>
      </c>
      <c r="F74" t="str">
        <f t="shared" si="57"/>
        <v/>
      </c>
      <c r="G74" t="str">
        <f t="shared" si="58"/>
        <v/>
      </c>
      <c r="K74" s="609">
        <v>6</v>
      </c>
      <c r="L74">
        <f t="shared" si="48"/>
        <v>0</v>
      </c>
      <c r="M74">
        <f>IF(L74=0,0,1+MAX(M$69:M73))</f>
        <v>0</v>
      </c>
      <c r="N74">
        <f t="shared" si="59"/>
        <v>0</v>
      </c>
      <c r="O74" t="str">
        <f t="shared" si="60"/>
        <v/>
      </c>
      <c r="P74" t="str">
        <f t="shared" si="61"/>
        <v/>
      </c>
      <c r="T74" s="609">
        <v>6</v>
      </c>
      <c r="U74">
        <f t="shared" si="49"/>
        <v>0</v>
      </c>
      <c r="V74">
        <f>IF(U74=0,0,1+MAX(V$69:V73))</f>
        <v>0</v>
      </c>
      <c r="W74">
        <f t="shared" si="62"/>
        <v>0</v>
      </c>
      <c r="X74" t="str">
        <f t="shared" si="63"/>
        <v/>
      </c>
      <c r="Y74" t="str">
        <f t="shared" si="64"/>
        <v/>
      </c>
      <c r="AC74" s="609">
        <v>6</v>
      </c>
      <c r="AD74">
        <f t="shared" si="50"/>
        <v>0</v>
      </c>
      <c r="AE74">
        <f>IF(AD74=0,0,1+MAX(AE$69:AE73))</f>
        <v>0</v>
      </c>
      <c r="AF74">
        <f t="shared" si="65"/>
        <v>0</v>
      </c>
      <c r="AG74" t="str">
        <f t="shared" si="66"/>
        <v/>
      </c>
      <c r="AH74" t="str">
        <f t="shared" si="67"/>
        <v/>
      </c>
      <c r="AL74" s="609">
        <v>6</v>
      </c>
      <c r="AM74">
        <f t="shared" si="51"/>
        <v>0</v>
      </c>
      <c r="AN74">
        <f>IF(AM74=0,0,1+MAX(AN$69:AN73))</f>
        <v>0</v>
      </c>
      <c r="AO74">
        <f t="shared" si="68"/>
        <v>0</v>
      </c>
      <c r="AP74" t="str">
        <f t="shared" si="69"/>
        <v/>
      </c>
      <c r="AQ74" t="str">
        <f t="shared" si="70"/>
        <v/>
      </c>
      <c r="AU74" s="609">
        <v>6</v>
      </c>
      <c r="AV74">
        <f t="shared" si="52"/>
        <v>0</v>
      </c>
      <c r="AW74">
        <f>IF(AV74=0,0,1+MAX(AW$69:AW73))</f>
        <v>0</v>
      </c>
      <c r="AX74">
        <f t="shared" si="71"/>
        <v>0</v>
      </c>
      <c r="AY74" t="str">
        <f t="shared" si="72"/>
        <v/>
      </c>
      <c r="AZ74" t="str">
        <f t="shared" si="73"/>
        <v/>
      </c>
      <c r="BD74" s="609">
        <v>6</v>
      </c>
      <c r="BE74">
        <f t="shared" si="53"/>
        <v>0</v>
      </c>
      <c r="BF74">
        <f>IF(BE74=0,0,1+MAX(BF$69:BF73))</f>
        <v>0</v>
      </c>
      <c r="BG74">
        <f t="shared" si="74"/>
        <v>0</v>
      </c>
      <c r="BH74" t="str">
        <f t="shared" si="75"/>
        <v/>
      </c>
      <c r="BI74" t="str">
        <f t="shared" si="76"/>
        <v/>
      </c>
      <c r="BM74" s="609">
        <v>6</v>
      </c>
      <c r="BN74">
        <f t="shared" si="54"/>
        <v>0</v>
      </c>
      <c r="BO74">
        <f>IF(BN74=0,0,1+MAX(BO$69:BO73))</f>
        <v>0</v>
      </c>
      <c r="BP74">
        <f t="shared" si="77"/>
        <v>0</v>
      </c>
      <c r="BQ74" t="str">
        <f t="shared" si="78"/>
        <v/>
      </c>
      <c r="BR74" t="str">
        <f t="shared" si="79"/>
        <v/>
      </c>
      <c r="BV74" s="609">
        <v>6</v>
      </c>
      <c r="BW74">
        <f t="shared" si="55"/>
        <v>0</v>
      </c>
      <c r="BX74">
        <f>IF(BW74=0,0,1+MAX(BX$69:BX73))</f>
        <v>0</v>
      </c>
      <c r="BY74">
        <f t="shared" si="80"/>
        <v>0</v>
      </c>
      <c r="BZ74" t="str">
        <f t="shared" si="81"/>
        <v/>
      </c>
      <c r="CA74" t="str">
        <f t="shared" si="82"/>
        <v/>
      </c>
      <c r="CE74" s="609"/>
    </row>
    <row r="75" spans="1:110" x14ac:dyDescent="0.25">
      <c r="B75" s="591">
        <v>7</v>
      </c>
      <c r="C75">
        <f t="shared" si="47"/>
        <v>0</v>
      </c>
      <c r="D75">
        <f>IF(C75=0,0,1+MAX(D$69:D74))</f>
        <v>0</v>
      </c>
      <c r="E75">
        <f t="shared" si="56"/>
        <v>0</v>
      </c>
      <c r="F75" t="str">
        <f t="shared" si="57"/>
        <v/>
      </c>
      <c r="G75" t="str">
        <f t="shared" si="58"/>
        <v/>
      </c>
      <c r="K75" s="609">
        <v>7</v>
      </c>
      <c r="L75">
        <f t="shared" si="48"/>
        <v>0</v>
      </c>
      <c r="M75">
        <f>IF(L75=0,0,1+MAX(M$69:M74))</f>
        <v>0</v>
      </c>
      <c r="N75">
        <f t="shared" si="59"/>
        <v>0</v>
      </c>
      <c r="O75" t="str">
        <f t="shared" si="60"/>
        <v/>
      </c>
      <c r="P75" t="str">
        <f t="shared" si="61"/>
        <v/>
      </c>
      <c r="T75" s="609">
        <v>7</v>
      </c>
      <c r="U75">
        <f t="shared" si="49"/>
        <v>0</v>
      </c>
      <c r="V75">
        <f>IF(U75=0,0,1+MAX(V$69:V74))</f>
        <v>0</v>
      </c>
      <c r="W75">
        <f t="shared" si="62"/>
        <v>0</v>
      </c>
      <c r="X75" t="str">
        <f t="shared" si="63"/>
        <v/>
      </c>
      <c r="Y75" t="str">
        <f t="shared" si="64"/>
        <v/>
      </c>
      <c r="AC75" s="609">
        <v>7</v>
      </c>
      <c r="AD75">
        <f t="shared" si="50"/>
        <v>0</v>
      </c>
      <c r="AE75">
        <f>IF(AD75=0,0,1+MAX(AE$69:AE74))</f>
        <v>0</v>
      </c>
      <c r="AF75">
        <f t="shared" si="65"/>
        <v>0</v>
      </c>
      <c r="AG75" t="str">
        <f t="shared" si="66"/>
        <v/>
      </c>
      <c r="AH75" t="str">
        <f t="shared" si="67"/>
        <v/>
      </c>
      <c r="AL75" s="609">
        <v>7</v>
      </c>
      <c r="AM75">
        <f t="shared" si="51"/>
        <v>0</v>
      </c>
      <c r="AN75">
        <f>IF(AM75=0,0,1+MAX(AN$69:AN74))</f>
        <v>0</v>
      </c>
      <c r="AO75">
        <f t="shared" si="68"/>
        <v>0</v>
      </c>
      <c r="AP75" t="str">
        <f t="shared" si="69"/>
        <v/>
      </c>
      <c r="AQ75" t="str">
        <f t="shared" si="70"/>
        <v/>
      </c>
      <c r="AU75" s="609">
        <v>7</v>
      </c>
      <c r="AV75">
        <f t="shared" si="52"/>
        <v>0</v>
      </c>
      <c r="AW75">
        <f>IF(AV75=0,0,1+MAX(AW$69:AW74))</f>
        <v>0</v>
      </c>
      <c r="AX75">
        <f t="shared" si="71"/>
        <v>0</v>
      </c>
      <c r="AY75" t="str">
        <f t="shared" si="72"/>
        <v/>
      </c>
      <c r="AZ75" t="str">
        <f t="shared" si="73"/>
        <v/>
      </c>
      <c r="BD75" s="609">
        <v>7</v>
      </c>
      <c r="BE75">
        <f t="shared" si="53"/>
        <v>0</v>
      </c>
      <c r="BF75">
        <f>IF(BE75=0,0,1+MAX(BF$69:BF74))</f>
        <v>0</v>
      </c>
      <c r="BG75">
        <f t="shared" si="74"/>
        <v>0</v>
      </c>
      <c r="BH75" t="str">
        <f t="shared" si="75"/>
        <v/>
      </c>
      <c r="BI75" t="str">
        <f t="shared" si="76"/>
        <v/>
      </c>
      <c r="BM75" s="609">
        <v>7</v>
      </c>
      <c r="BN75">
        <f t="shared" si="54"/>
        <v>0</v>
      </c>
      <c r="BO75">
        <f>IF(BN75=0,0,1+MAX(BO$69:BO74))</f>
        <v>0</v>
      </c>
      <c r="BP75">
        <f t="shared" si="77"/>
        <v>0</v>
      </c>
      <c r="BQ75" t="str">
        <f t="shared" si="78"/>
        <v/>
      </c>
      <c r="BR75" t="str">
        <f t="shared" si="79"/>
        <v/>
      </c>
      <c r="BV75" s="609">
        <v>7</v>
      </c>
      <c r="BW75">
        <f t="shared" si="55"/>
        <v>0</v>
      </c>
      <c r="BX75">
        <f>IF(BW75=0,0,1+MAX(BX$69:BX74))</f>
        <v>0</v>
      </c>
      <c r="BY75">
        <f t="shared" si="80"/>
        <v>0</v>
      </c>
      <c r="BZ75" t="str">
        <f t="shared" si="81"/>
        <v/>
      </c>
      <c r="CA75" t="str">
        <f t="shared" si="82"/>
        <v/>
      </c>
      <c r="CE75" s="609"/>
    </row>
    <row r="76" spans="1:110" x14ac:dyDescent="0.25">
      <c r="B76" s="591">
        <v>8</v>
      </c>
      <c r="C76">
        <f t="shared" si="47"/>
        <v>0</v>
      </c>
      <c r="D76">
        <f>IF(C76=0,0,1+MAX(D$69:D75))</f>
        <v>0</v>
      </c>
      <c r="E76">
        <f t="shared" si="56"/>
        <v>0</v>
      </c>
      <c r="F76" t="str">
        <f t="shared" si="57"/>
        <v/>
      </c>
      <c r="G76" t="str">
        <f t="shared" si="58"/>
        <v/>
      </c>
      <c r="K76" s="609">
        <v>8</v>
      </c>
      <c r="L76">
        <f t="shared" si="48"/>
        <v>0</v>
      </c>
      <c r="M76">
        <f>IF(L76=0,0,1+MAX(M$69:M75))</f>
        <v>0</v>
      </c>
      <c r="N76">
        <f t="shared" si="59"/>
        <v>0</v>
      </c>
      <c r="O76" t="str">
        <f t="shared" si="60"/>
        <v/>
      </c>
      <c r="P76" t="str">
        <f t="shared" si="61"/>
        <v/>
      </c>
      <c r="T76" s="609">
        <v>8</v>
      </c>
      <c r="U76">
        <f t="shared" si="49"/>
        <v>0</v>
      </c>
      <c r="V76">
        <f>IF(U76=0,0,1+MAX(V$69:V75))</f>
        <v>0</v>
      </c>
      <c r="W76">
        <f t="shared" si="62"/>
        <v>0</v>
      </c>
      <c r="X76" t="str">
        <f t="shared" si="63"/>
        <v/>
      </c>
      <c r="Y76" t="str">
        <f t="shared" si="64"/>
        <v/>
      </c>
      <c r="AC76" s="609">
        <v>8</v>
      </c>
      <c r="AD76">
        <f t="shared" si="50"/>
        <v>0</v>
      </c>
      <c r="AE76">
        <f>IF(AD76=0,0,1+MAX(AE$69:AE75))</f>
        <v>0</v>
      </c>
      <c r="AF76">
        <f t="shared" si="65"/>
        <v>0</v>
      </c>
      <c r="AG76" t="str">
        <f t="shared" si="66"/>
        <v/>
      </c>
      <c r="AH76" t="str">
        <f t="shared" si="67"/>
        <v/>
      </c>
      <c r="AL76" s="609">
        <v>8</v>
      </c>
      <c r="AM76">
        <f t="shared" si="51"/>
        <v>0</v>
      </c>
      <c r="AN76">
        <f>IF(AM76=0,0,1+MAX(AN$69:AN75))</f>
        <v>0</v>
      </c>
      <c r="AO76">
        <f t="shared" si="68"/>
        <v>0</v>
      </c>
      <c r="AP76" t="str">
        <f t="shared" si="69"/>
        <v/>
      </c>
      <c r="AQ76" t="str">
        <f t="shared" si="70"/>
        <v/>
      </c>
      <c r="AU76" s="609">
        <v>8</v>
      </c>
      <c r="AV76">
        <f t="shared" si="52"/>
        <v>0</v>
      </c>
      <c r="AW76">
        <f>IF(AV76=0,0,1+MAX(AW$69:AW75))</f>
        <v>0</v>
      </c>
      <c r="AX76">
        <f t="shared" si="71"/>
        <v>0</v>
      </c>
      <c r="AY76" t="str">
        <f t="shared" si="72"/>
        <v/>
      </c>
      <c r="AZ76" t="str">
        <f t="shared" si="73"/>
        <v/>
      </c>
      <c r="BD76" s="609">
        <v>8</v>
      </c>
      <c r="BE76">
        <f t="shared" si="53"/>
        <v>0</v>
      </c>
      <c r="BF76">
        <f>IF(BE76=0,0,1+MAX(BF$69:BF75))</f>
        <v>0</v>
      </c>
      <c r="BG76">
        <f t="shared" si="74"/>
        <v>0</v>
      </c>
      <c r="BH76" t="str">
        <f t="shared" si="75"/>
        <v/>
      </c>
      <c r="BI76" t="str">
        <f t="shared" si="76"/>
        <v/>
      </c>
      <c r="BM76" s="609">
        <v>8</v>
      </c>
      <c r="BN76">
        <f t="shared" si="54"/>
        <v>0</v>
      </c>
      <c r="BO76">
        <f>IF(BN76=0,0,1+MAX(BO$69:BO75))</f>
        <v>0</v>
      </c>
      <c r="BP76">
        <f t="shared" si="77"/>
        <v>0</v>
      </c>
      <c r="BQ76" t="str">
        <f t="shared" si="78"/>
        <v/>
      </c>
      <c r="BR76" t="str">
        <f t="shared" si="79"/>
        <v/>
      </c>
      <c r="BV76" s="609">
        <v>8</v>
      </c>
      <c r="BW76">
        <f t="shared" si="55"/>
        <v>0</v>
      </c>
      <c r="BX76">
        <f>IF(BW76=0,0,1+MAX(BX$69:BX75))</f>
        <v>0</v>
      </c>
      <c r="BY76">
        <f t="shared" si="80"/>
        <v>0</v>
      </c>
      <c r="BZ76" t="str">
        <f t="shared" si="81"/>
        <v/>
      </c>
      <c r="CA76" t="str">
        <f t="shared" si="82"/>
        <v/>
      </c>
      <c r="CE76" s="609"/>
    </row>
    <row r="77" spans="1:110" x14ac:dyDescent="0.25">
      <c r="B77" s="591">
        <v>9</v>
      </c>
      <c r="C77">
        <f t="shared" si="47"/>
        <v>0</v>
      </c>
      <c r="D77">
        <f>IF(C77=0,0,1+MAX(D$69:D76))</f>
        <v>0</v>
      </c>
      <c r="E77">
        <f t="shared" si="56"/>
        <v>0</v>
      </c>
      <c r="F77" t="str">
        <f t="shared" si="57"/>
        <v/>
      </c>
      <c r="G77" t="str">
        <f t="shared" si="58"/>
        <v/>
      </c>
      <c r="K77" s="609">
        <v>9</v>
      </c>
      <c r="L77">
        <f t="shared" si="48"/>
        <v>0</v>
      </c>
      <c r="M77">
        <f>IF(L77=0,0,1+MAX(M$69:M76))</f>
        <v>0</v>
      </c>
      <c r="N77">
        <f t="shared" si="59"/>
        <v>0</v>
      </c>
      <c r="O77" t="str">
        <f t="shared" si="60"/>
        <v/>
      </c>
      <c r="P77" t="str">
        <f t="shared" si="61"/>
        <v/>
      </c>
      <c r="T77" s="609">
        <v>9</v>
      </c>
      <c r="U77">
        <f t="shared" si="49"/>
        <v>0</v>
      </c>
      <c r="V77">
        <f>IF(U77=0,0,1+MAX(V$69:V76))</f>
        <v>0</v>
      </c>
      <c r="W77">
        <f t="shared" si="62"/>
        <v>0</v>
      </c>
      <c r="X77" t="str">
        <f t="shared" si="63"/>
        <v/>
      </c>
      <c r="Y77" t="str">
        <f t="shared" si="64"/>
        <v/>
      </c>
      <c r="AC77" s="609">
        <v>9</v>
      </c>
      <c r="AD77">
        <f t="shared" si="50"/>
        <v>0</v>
      </c>
      <c r="AE77">
        <f>IF(AD77=0,0,1+MAX(AE$69:AE76))</f>
        <v>0</v>
      </c>
      <c r="AF77">
        <f t="shared" si="65"/>
        <v>0</v>
      </c>
      <c r="AG77" t="str">
        <f t="shared" si="66"/>
        <v/>
      </c>
      <c r="AH77" t="str">
        <f t="shared" si="67"/>
        <v/>
      </c>
      <c r="AL77" s="609">
        <v>9</v>
      </c>
      <c r="AM77">
        <f t="shared" si="51"/>
        <v>0</v>
      </c>
      <c r="AN77">
        <f>IF(AM77=0,0,1+MAX(AN$69:AN76))</f>
        <v>0</v>
      </c>
      <c r="AO77">
        <f t="shared" si="68"/>
        <v>0</v>
      </c>
      <c r="AP77" t="str">
        <f t="shared" si="69"/>
        <v/>
      </c>
      <c r="AQ77" t="str">
        <f t="shared" si="70"/>
        <v/>
      </c>
      <c r="AU77" s="609">
        <v>9</v>
      </c>
      <c r="AV77">
        <f t="shared" si="52"/>
        <v>0</v>
      </c>
      <c r="AW77">
        <f>IF(AV77=0,0,1+MAX(AW$69:AW76))</f>
        <v>0</v>
      </c>
      <c r="AX77">
        <f t="shared" si="71"/>
        <v>0</v>
      </c>
      <c r="AY77" t="str">
        <f t="shared" si="72"/>
        <v/>
      </c>
      <c r="AZ77" t="str">
        <f t="shared" si="73"/>
        <v/>
      </c>
      <c r="BD77" s="609">
        <v>9</v>
      </c>
      <c r="BE77">
        <f t="shared" si="53"/>
        <v>0</v>
      </c>
      <c r="BF77">
        <f>IF(BE77=0,0,1+MAX(BF$69:BF76))</f>
        <v>0</v>
      </c>
      <c r="BG77">
        <f t="shared" si="74"/>
        <v>0</v>
      </c>
      <c r="BH77" t="str">
        <f t="shared" si="75"/>
        <v/>
      </c>
      <c r="BI77" t="str">
        <f t="shared" si="76"/>
        <v/>
      </c>
      <c r="BM77" s="609">
        <v>9</v>
      </c>
      <c r="BN77">
        <f t="shared" si="54"/>
        <v>0</v>
      </c>
      <c r="BO77">
        <f>IF(BN77=0,0,1+MAX(BO$69:BO76))</f>
        <v>0</v>
      </c>
      <c r="BP77">
        <f t="shared" si="77"/>
        <v>0</v>
      </c>
      <c r="BQ77" t="str">
        <f t="shared" si="78"/>
        <v/>
      </c>
      <c r="BR77" t="str">
        <f t="shared" si="79"/>
        <v/>
      </c>
      <c r="BV77" s="609">
        <v>9</v>
      </c>
      <c r="BW77">
        <f t="shared" si="55"/>
        <v>0</v>
      </c>
      <c r="BX77">
        <f>IF(BW77=0,0,1+MAX(BX$69:BX76))</f>
        <v>0</v>
      </c>
      <c r="BY77">
        <f t="shared" si="80"/>
        <v>0</v>
      </c>
      <c r="BZ77" t="str">
        <f t="shared" si="81"/>
        <v/>
      </c>
      <c r="CA77" t="str">
        <f t="shared" si="82"/>
        <v/>
      </c>
      <c r="CE77" s="609"/>
    </row>
    <row r="78" spans="1:110" x14ac:dyDescent="0.25">
      <c r="B78" s="591">
        <v>10</v>
      </c>
      <c r="C78">
        <f t="shared" si="47"/>
        <v>0</v>
      </c>
      <c r="D78">
        <f>IF(C78=0,0,1+MAX(D$69:D77))</f>
        <v>0</v>
      </c>
      <c r="E78">
        <f t="shared" si="56"/>
        <v>0</v>
      </c>
      <c r="F78" t="str">
        <f t="shared" si="57"/>
        <v/>
      </c>
      <c r="G78" t="str">
        <f t="shared" si="58"/>
        <v/>
      </c>
      <c r="K78" s="609">
        <v>10</v>
      </c>
      <c r="L78">
        <f t="shared" si="48"/>
        <v>0</v>
      </c>
      <c r="M78">
        <f>IF(L78=0,0,1+MAX(M$69:M77))</f>
        <v>0</v>
      </c>
      <c r="N78">
        <f t="shared" si="59"/>
        <v>0</v>
      </c>
      <c r="O78" t="str">
        <f t="shared" si="60"/>
        <v/>
      </c>
      <c r="P78" t="str">
        <f t="shared" si="61"/>
        <v/>
      </c>
      <c r="T78" s="609">
        <v>10</v>
      </c>
      <c r="U78">
        <f t="shared" si="49"/>
        <v>0</v>
      </c>
      <c r="V78">
        <f>IF(U78=0,0,1+MAX(V$69:V77))</f>
        <v>0</v>
      </c>
      <c r="W78">
        <f t="shared" si="62"/>
        <v>0</v>
      </c>
      <c r="X78" t="str">
        <f t="shared" si="63"/>
        <v/>
      </c>
      <c r="Y78" t="str">
        <f t="shared" si="64"/>
        <v/>
      </c>
      <c r="AC78" s="609">
        <v>10</v>
      </c>
      <c r="AD78">
        <f t="shared" si="50"/>
        <v>0</v>
      </c>
      <c r="AE78">
        <f>IF(AD78=0,0,1+MAX(AE$69:AE77))</f>
        <v>0</v>
      </c>
      <c r="AF78">
        <f t="shared" si="65"/>
        <v>0</v>
      </c>
      <c r="AG78" t="str">
        <f t="shared" si="66"/>
        <v/>
      </c>
      <c r="AH78" t="str">
        <f t="shared" si="67"/>
        <v/>
      </c>
      <c r="AL78" s="609">
        <v>10</v>
      </c>
      <c r="AM78">
        <f t="shared" si="51"/>
        <v>0</v>
      </c>
      <c r="AN78">
        <f>IF(AM78=0,0,1+MAX(AN$69:AN77))</f>
        <v>0</v>
      </c>
      <c r="AO78">
        <f t="shared" si="68"/>
        <v>0</v>
      </c>
      <c r="AP78" t="str">
        <f t="shared" si="69"/>
        <v/>
      </c>
      <c r="AQ78" t="str">
        <f t="shared" si="70"/>
        <v/>
      </c>
      <c r="AU78" s="609">
        <v>10</v>
      </c>
      <c r="AV78">
        <f t="shared" si="52"/>
        <v>0</v>
      </c>
      <c r="AW78">
        <f>IF(AV78=0,0,1+MAX(AW$69:AW77))</f>
        <v>0</v>
      </c>
      <c r="AX78">
        <f t="shared" si="71"/>
        <v>0</v>
      </c>
      <c r="AY78" t="str">
        <f t="shared" si="72"/>
        <v/>
      </c>
      <c r="AZ78" t="str">
        <f t="shared" si="73"/>
        <v/>
      </c>
      <c r="BD78" s="609">
        <v>10</v>
      </c>
      <c r="BE78">
        <f t="shared" si="53"/>
        <v>0</v>
      </c>
      <c r="BF78">
        <f>IF(BE78=0,0,1+MAX(BF$69:BF77))</f>
        <v>0</v>
      </c>
      <c r="BG78">
        <f t="shared" si="74"/>
        <v>0</v>
      </c>
      <c r="BH78" t="str">
        <f t="shared" si="75"/>
        <v/>
      </c>
      <c r="BI78" t="str">
        <f t="shared" si="76"/>
        <v/>
      </c>
      <c r="BM78" s="609">
        <v>10</v>
      </c>
      <c r="BN78">
        <f t="shared" si="54"/>
        <v>0</v>
      </c>
      <c r="BO78">
        <f>IF(BN78=0,0,1+MAX(BO$69:BO77))</f>
        <v>0</v>
      </c>
      <c r="BP78">
        <f t="shared" si="77"/>
        <v>0</v>
      </c>
      <c r="BQ78" t="str">
        <f t="shared" si="78"/>
        <v/>
      </c>
      <c r="BR78" t="str">
        <f t="shared" si="79"/>
        <v/>
      </c>
      <c r="BV78" s="609">
        <v>10</v>
      </c>
      <c r="BW78">
        <f t="shared" si="55"/>
        <v>0</v>
      </c>
      <c r="BX78">
        <f>IF(BW78=0,0,1+MAX(BX$69:BX77))</f>
        <v>0</v>
      </c>
      <c r="BY78">
        <f t="shared" si="80"/>
        <v>0</v>
      </c>
      <c r="BZ78" t="str">
        <f t="shared" si="81"/>
        <v/>
      </c>
      <c r="CA78" t="str">
        <f t="shared" si="82"/>
        <v/>
      </c>
      <c r="CE78" s="609"/>
    </row>
    <row r="79" spans="1:110" x14ac:dyDescent="0.25">
      <c r="B79" s="591">
        <v>11</v>
      </c>
      <c r="C79">
        <f t="shared" si="47"/>
        <v>0</v>
      </c>
      <c r="D79">
        <f>IF(C79=0,0,1+MAX(D$69:D78))</f>
        <v>0</v>
      </c>
      <c r="E79">
        <f t="shared" si="56"/>
        <v>0</v>
      </c>
      <c r="F79" t="str">
        <f t="shared" si="57"/>
        <v/>
      </c>
      <c r="G79" t="str">
        <f t="shared" si="58"/>
        <v/>
      </c>
      <c r="K79" s="609">
        <v>11</v>
      </c>
      <c r="L79">
        <f t="shared" si="48"/>
        <v>0</v>
      </c>
      <c r="M79">
        <f>IF(L79=0,0,1+MAX(M$69:M78))</f>
        <v>0</v>
      </c>
      <c r="N79">
        <f t="shared" si="59"/>
        <v>0</v>
      </c>
      <c r="O79" t="str">
        <f t="shared" si="60"/>
        <v/>
      </c>
      <c r="P79" t="str">
        <f t="shared" si="61"/>
        <v/>
      </c>
      <c r="T79" s="609">
        <v>11</v>
      </c>
      <c r="U79">
        <f t="shared" si="49"/>
        <v>0</v>
      </c>
      <c r="V79">
        <f>IF(U79=0,0,1+MAX(V$69:V78))</f>
        <v>0</v>
      </c>
      <c r="W79">
        <f t="shared" si="62"/>
        <v>0</v>
      </c>
      <c r="X79" t="str">
        <f t="shared" si="63"/>
        <v/>
      </c>
      <c r="Y79" t="str">
        <f t="shared" si="64"/>
        <v/>
      </c>
      <c r="AC79" s="609">
        <v>11</v>
      </c>
      <c r="AD79">
        <f t="shared" si="50"/>
        <v>0</v>
      </c>
      <c r="AE79">
        <f>IF(AD79=0,0,1+MAX(AE$69:AE78))</f>
        <v>0</v>
      </c>
      <c r="AF79">
        <f t="shared" si="65"/>
        <v>0</v>
      </c>
      <c r="AG79" t="str">
        <f t="shared" si="66"/>
        <v/>
      </c>
      <c r="AH79" t="str">
        <f t="shared" si="67"/>
        <v/>
      </c>
      <c r="AL79" s="609">
        <v>11</v>
      </c>
      <c r="AM79">
        <f t="shared" si="51"/>
        <v>0</v>
      </c>
      <c r="AN79">
        <f>IF(AM79=0,0,1+MAX(AN$69:AN78))</f>
        <v>0</v>
      </c>
      <c r="AO79">
        <f t="shared" si="68"/>
        <v>0</v>
      </c>
      <c r="AP79" t="str">
        <f t="shared" si="69"/>
        <v/>
      </c>
      <c r="AQ79" t="str">
        <f t="shared" si="70"/>
        <v/>
      </c>
      <c r="AU79" s="609">
        <v>11</v>
      </c>
      <c r="AV79">
        <f t="shared" si="52"/>
        <v>0</v>
      </c>
      <c r="AW79">
        <f>IF(AV79=0,0,1+MAX(AW$69:AW78))</f>
        <v>0</v>
      </c>
      <c r="AX79">
        <f t="shared" si="71"/>
        <v>0</v>
      </c>
      <c r="AY79" t="str">
        <f t="shared" si="72"/>
        <v/>
      </c>
      <c r="AZ79" t="str">
        <f t="shared" si="73"/>
        <v/>
      </c>
      <c r="BD79" s="609">
        <v>11</v>
      </c>
      <c r="BE79">
        <f t="shared" si="53"/>
        <v>0</v>
      </c>
      <c r="BF79">
        <f>IF(BE79=0,0,1+MAX(BF$69:BF78))</f>
        <v>0</v>
      </c>
      <c r="BG79">
        <f t="shared" si="74"/>
        <v>0</v>
      </c>
      <c r="BH79" t="str">
        <f t="shared" si="75"/>
        <v/>
      </c>
      <c r="BI79" t="str">
        <f t="shared" si="76"/>
        <v/>
      </c>
      <c r="BM79" s="609">
        <v>11</v>
      </c>
      <c r="BN79">
        <f t="shared" si="54"/>
        <v>0</v>
      </c>
      <c r="BO79">
        <f>IF(BN79=0,0,1+MAX(BO$69:BO78))</f>
        <v>0</v>
      </c>
      <c r="BP79">
        <f t="shared" si="77"/>
        <v>0</v>
      </c>
      <c r="BQ79" t="str">
        <f t="shared" si="78"/>
        <v/>
      </c>
      <c r="BR79" t="str">
        <f t="shared" si="79"/>
        <v/>
      </c>
      <c r="BV79" s="609">
        <v>11</v>
      </c>
      <c r="BW79">
        <f t="shared" si="55"/>
        <v>0</v>
      </c>
      <c r="BX79">
        <f>IF(BW79=0,0,1+MAX(BX$69:BX78))</f>
        <v>0</v>
      </c>
      <c r="BY79">
        <f t="shared" si="80"/>
        <v>0</v>
      </c>
      <c r="BZ79" t="str">
        <f t="shared" si="81"/>
        <v/>
      </c>
      <c r="CA79" t="str">
        <f t="shared" si="82"/>
        <v/>
      </c>
      <c r="CE79" s="609"/>
    </row>
    <row r="80" spans="1:110" x14ac:dyDescent="0.25">
      <c r="B80" s="591">
        <v>12</v>
      </c>
      <c r="C80">
        <f t="shared" si="47"/>
        <v>0</v>
      </c>
      <c r="D80">
        <f>IF(C80=0,0,1+MAX(D$69:D79))</f>
        <v>0</v>
      </c>
      <c r="E80">
        <f t="shared" si="56"/>
        <v>0</v>
      </c>
      <c r="F80" t="str">
        <f t="shared" si="57"/>
        <v/>
      </c>
      <c r="G80" t="str">
        <f t="shared" si="58"/>
        <v/>
      </c>
      <c r="K80" s="609">
        <v>12</v>
      </c>
      <c r="L80">
        <f t="shared" si="48"/>
        <v>0</v>
      </c>
      <c r="M80">
        <f>IF(L80=0,0,1+MAX(M$69:M79))</f>
        <v>0</v>
      </c>
      <c r="N80">
        <f t="shared" si="59"/>
        <v>0</v>
      </c>
      <c r="O80" t="str">
        <f t="shared" si="60"/>
        <v/>
      </c>
      <c r="P80" t="str">
        <f t="shared" si="61"/>
        <v/>
      </c>
      <c r="T80" s="609">
        <v>12</v>
      </c>
      <c r="U80">
        <f t="shared" si="49"/>
        <v>0</v>
      </c>
      <c r="V80">
        <f>IF(U80=0,0,1+MAX(V$69:V79))</f>
        <v>0</v>
      </c>
      <c r="W80">
        <f t="shared" si="62"/>
        <v>0</v>
      </c>
      <c r="X80" t="str">
        <f t="shared" si="63"/>
        <v/>
      </c>
      <c r="Y80" t="str">
        <f t="shared" si="64"/>
        <v/>
      </c>
      <c r="AC80" s="609">
        <v>12</v>
      </c>
      <c r="AD80">
        <f t="shared" si="50"/>
        <v>0</v>
      </c>
      <c r="AE80">
        <f>IF(AD80=0,0,1+MAX(AE$69:AE79))</f>
        <v>0</v>
      </c>
      <c r="AF80">
        <f t="shared" si="65"/>
        <v>0</v>
      </c>
      <c r="AG80" t="str">
        <f t="shared" si="66"/>
        <v/>
      </c>
      <c r="AH80" t="str">
        <f t="shared" si="67"/>
        <v/>
      </c>
      <c r="AL80" s="609">
        <v>12</v>
      </c>
      <c r="AM80">
        <f t="shared" si="51"/>
        <v>0</v>
      </c>
      <c r="AN80">
        <f>IF(AM80=0,0,1+MAX(AN$69:AN79))</f>
        <v>0</v>
      </c>
      <c r="AO80">
        <f t="shared" si="68"/>
        <v>0</v>
      </c>
      <c r="AP80" t="str">
        <f t="shared" si="69"/>
        <v/>
      </c>
      <c r="AQ80" t="str">
        <f t="shared" si="70"/>
        <v/>
      </c>
      <c r="AU80" s="609">
        <v>12</v>
      </c>
      <c r="AV80">
        <f t="shared" si="52"/>
        <v>0</v>
      </c>
      <c r="AW80">
        <f>IF(AV80=0,0,1+MAX(AW$69:AW79))</f>
        <v>0</v>
      </c>
      <c r="AX80">
        <f t="shared" si="71"/>
        <v>0</v>
      </c>
      <c r="AY80" t="str">
        <f t="shared" si="72"/>
        <v/>
      </c>
      <c r="AZ80" t="str">
        <f t="shared" si="73"/>
        <v/>
      </c>
      <c r="BD80" s="609">
        <v>12</v>
      </c>
      <c r="BE80">
        <f t="shared" si="53"/>
        <v>0</v>
      </c>
      <c r="BF80">
        <f>IF(BE80=0,0,1+MAX(BF$69:BF79))</f>
        <v>0</v>
      </c>
      <c r="BG80">
        <f t="shared" si="74"/>
        <v>0</v>
      </c>
      <c r="BH80" t="str">
        <f t="shared" si="75"/>
        <v/>
      </c>
      <c r="BI80" t="str">
        <f t="shared" si="76"/>
        <v/>
      </c>
      <c r="BM80" s="609">
        <v>12</v>
      </c>
      <c r="BN80">
        <f t="shared" si="54"/>
        <v>0</v>
      </c>
      <c r="BO80">
        <f>IF(BN80=0,0,1+MAX(BO$69:BO79))</f>
        <v>0</v>
      </c>
      <c r="BP80">
        <f t="shared" si="77"/>
        <v>0</v>
      </c>
      <c r="BQ80" t="str">
        <f t="shared" si="78"/>
        <v/>
      </c>
      <c r="BR80" t="str">
        <f t="shared" si="79"/>
        <v/>
      </c>
      <c r="BV80" s="609">
        <v>12</v>
      </c>
      <c r="BW80">
        <f t="shared" si="55"/>
        <v>0</v>
      </c>
      <c r="BX80">
        <f>IF(BW80=0,0,1+MAX(BX$69:BX79))</f>
        <v>0</v>
      </c>
      <c r="BY80">
        <f t="shared" si="80"/>
        <v>0</v>
      </c>
      <c r="BZ80" t="str">
        <f t="shared" si="81"/>
        <v/>
      </c>
      <c r="CA80" t="str">
        <f t="shared" si="82"/>
        <v/>
      </c>
      <c r="CE80" s="609"/>
    </row>
    <row r="81" spans="2:83" x14ac:dyDescent="0.25">
      <c r="B81" s="591">
        <v>13</v>
      </c>
      <c r="C81">
        <f t="shared" si="47"/>
        <v>0</v>
      </c>
      <c r="D81">
        <f>IF(C81=0,0,1+MAX(D$69:D80))</f>
        <v>0</v>
      </c>
      <c r="E81">
        <f t="shared" si="56"/>
        <v>0</v>
      </c>
      <c r="F81" t="str">
        <f t="shared" si="57"/>
        <v/>
      </c>
      <c r="G81" t="str">
        <f t="shared" si="58"/>
        <v/>
      </c>
      <c r="K81" s="609">
        <v>13</v>
      </c>
      <c r="L81">
        <f t="shared" si="48"/>
        <v>0</v>
      </c>
      <c r="M81">
        <f>IF(L81=0,0,1+MAX(M$69:M80))</f>
        <v>0</v>
      </c>
      <c r="N81">
        <f t="shared" si="59"/>
        <v>0</v>
      </c>
      <c r="O81" t="str">
        <f t="shared" si="60"/>
        <v/>
      </c>
      <c r="P81" t="str">
        <f t="shared" si="61"/>
        <v/>
      </c>
      <c r="T81" s="609">
        <v>13</v>
      </c>
      <c r="U81">
        <f t="shared" si="49"/>
        <v>0</v>
      </c>
      <c r="V81">
        <f>IF(U81=0,0,1+MAX(V$69:V80))</f>
        <v>0</v>
      </c>
      <c r="W81">
        <f t="shared" si="62"/>
        <v>0</v>
      </c>
      <c r="X81" t="str">
        <f t="shared" si="63"/>
        <v/>
      </c>
      <c r="Y81" t="str">
        <f t="shared" si="64"/>
        <v/>
      </c>
      <c r="AC81" s="609">
        <v>13</v>
      </c>
      <c r="AD81">
        <f t="shared" si="50"/>
        <v>0</v>
      </c>
      <c r="AE81">
        <f>IF(AD81=0,0,1+MAX(AE$69:AE80))</f>
        <v>0</v>
      </c>
      <c r="AF81">
        <f t="shared" si="65"/>
        <v>0</v>
      </c>
      <c r="AG81" t="str">
        <f t="shared" si="66"/>
        <v/>
      </c>
      <c r="AH81" t="str">
        <f t="shared" si="67"/>
        <v/>
      </c>
      <c r="AL81" s="609">
        <v>13</v>
      </c>
      <c r="AM81">
        <f t="shared" si="51"/>
        <v>0</v>
      </c>
      <c r="AN81">
        <f>IF(AM81=0,0,1+MAX(AN$69:AN80))</f>
        <v>0</v>
      </c>
      <c r="AO81">
        <f t="shared" si="68"/>
        <v>0</v>
      </c>
      <c r="AP81" t="str">
        <f t="shared" si="69"/>
        <v/>
      </c>
      <c r="AQ81" t="str">
        <f t="shared" si="70"/>
        <v/>
      </c>
      <c r="AU81" s="609">
        <v>13</v>
      </c>
      <c r="AV81">
        <f t="shared" si="52"/>
        <v>0</v>
      </c>
      <c r="AW81">
        <f>IF(AV81=0,0,1+MAX(AW$69:AW80))</f>
        <v>0</v>
      </c>
      <c r="AX81">
        <f t="shared" si="71"/>
        <v>0</v>
      </c>
      <c r="AY81" t="str">
        <f t="shared" si="72"/>
        <v/>
      </c>
      <c r="AZ81" t="str">
        <f t="shared" si="73"/>
        <v/>
      </c>
      <c r="BD81" s="609">
        <v>13</v>
      </c>
      <c r="BE81">
        <f t="shared" si="53"/>
        <v>0</v>
      </c>
      <c r="BF81">
        <f>IF(BE81=0,0,1+MAX(BF$69:BF80))</f>
        <v>0</v>
      </c>
      <c r="BG81">
        <f t="shared" si="74"/>
        <v>0</v>
      </c>
      <c r="BH81" t="str">
        <f t="shared" si="75"/>
        <v/>
      </c>
      <c r="BI81" t="str">
        <f t="shared" si="76"/>
        <v/>
      </c>
      <c r="BM81" s="609">
        <v>13</v>
      </c>
      <c r="BN81">
        <f t="shared" si="54"/>
        <v>0</v>
      </c>
      <c r="BO81">
        <f>IF(BN81=0,0,1+MAX(BO$69:BO80))</f>
        <v>0</v>
      </c>
      <c r="BP81">
        <f t="shared" si="77"/>
        <v>0</v>
      </c>
      <c r="BQ81" t="str">
        <f t="shared" si="78"/>
        <v/>
      </c>
      <c r="BR81" t="str">
        <f t="shared" si="79"/>
        <v/>
      </c>
      <c r="BV81" s="609">
        <v>13</v>
      </c>
      <c r="BW81">
        <f t="shared" si="55"/>
        <v>0</v>
      </c>
      <c r="BX81">
        <f>IF(BW81=0,0,1+MAX(BX$69:BX80))</f>
        <v>0</v>
      </c>
      <c r="BY81">
        <f t="shared" si="80"/>
        <v>0</v>
      </c>
      <c r="BZ81" t="str">
        <f t="shared" si="81"/>
        <v/>
      </c>
      <c r="CA81" t="str">
        <f t="shared" si="82"/>
        <v/>
      </c>
      <c r="CE81" s="609"/>
    </row>
    <row r="82" spans="2:83" x14ac:dyDescent="0.25">
      <c r="B82" s="591">
        <v>14</v>
      </c>
      <c r="C82">
        <f t="shared" si="47"/>
        <v>0</v>
      </c>
      <c r="D82">
        <f>IF(C82=0,0,1+MAX(D$69:D81))</f>
        <v>0</v>
      </c>
      <c r="E82">
        <f t="shared" si="56"/>
        <v>0</v>
      </c>
      <c r="F82" t="str">
        <f t="shared" si="57"/>
        <v/>
      </c>
      <c r="G82" t="str">
        <f t="shared" si="58"/>
        <v/>
      </c>
      <c r="K82" s="609">
        <v>14</v>
      </c>
      <c r="L82">
        <f t="shared" si="48"/>
        <v>0</v>
      </c>
      <c r="M82">
        <f>IF(L82=0,0,1+MAX(M$69:M81))</f>
        <v>0</v>
      </c>
      <c r="N82">
        <f t="shared" si="59"/>
        <v>0</v>
      </c>
      <c r="O82" t="str">
        <f t="shared" si="60"/>
        <v/>
      </c>
      <c r="P82" t="str">
        <f t="shared" si="61"/>
        <v/>
      </c>
      <c r="T82" s="609">
        <v>14</v>
      </c>
      <c r="U82">
        <f t="shared" si="49"/>
        <v>0</v>
      </c>
      <c r="V82">
        <f>IF(U82=0,0,1+MAX(V$69:V81))</f>
        <v>0</v>
      </c>
      <c r="W82">
        <f t="shared" si="62"/>
        <v>0</v>
      </c>
      <c r="X82" t="str">
        <f t="shared" si="63"/>
        <v/>
      </c>
      <c r="Y82" t="str">
        <f t="shared" si="64"/>
        <v/>
      </c>
      <c r="AC82" s="609">
        <v>14</v>
      </c>
      <c r="AD82">
        <f t="shared" si="50"/>
        <v>0</v>
      </c>
      <c r="AE82">
        <f>IF(AD82=0,0,1+MAX(AE$69:AE81))</f>
        <v>0</v>
      </c>
      <c r="AF82">
        <f t="shared" si="65"/>
        <v>0</v>
      </c>
      <c r="AG82" t="str">
        <f t="shared" si="66"/>
        <v/>
      </c>
      <c r="AH82" t="str">
        <f t="shared" si="67"/>
        <v/>
      </c>
      <c r="AL82" s="609">
        <v>14</v>
      </c>
      <c r="AM82">
        <f t="shared" si="51"/>
        <v>0</v>
      </c>
      <c r="AN82">
        <f>IF(AM82=0,0,1+MAX(AN$69:AN81))</f>
        <v>0</v>
      </c>
      <c r="AO82">
        <f t="shared" si="68"/>
        <v>0</v>
      </c>
      <c r="AP82" t="str">
        <f t="shared" si="69"/>
        <v/>
      </c>
      <c r="AQ82" t="str">
        <f t="shared" si="70"/>
        <v/>
      </c>
      <c r="AU82" s="609">
        <v>14</v>
      </c>
      <c r="AV82">
        <f t="shared" si="52"/>
        <v>0</v>
      </c>
      <c r="AW82">
        <f>IF(AV82=0,0,1+MAX(AW$69:AW81))</f>
        <v>0</v>
      </c>
      <c r="AX82">
        <f t="shared" si="71"/>
        <v>0</v>
      </c>
      <c r="AY82" t="str">
        <f t="shared" si="72"/>
        <v/>
      </c>
      <c r="AZ82" t="str">
        <f t="shared" si="73"/>
        <v/>
      </c>
      <c r="BD82" s="609">
        <v>14</v>
      </c>
      <c r="BE82">
        <f t="shared" si="53"/>
        <v>0</v>
      </c>
      <c r="BF82">
        <f>IF(BE82=0,0,1+MAX(BF$69:BF81))</f>
        <v>0</v>
      </c>
      <c r="BG82">
        <f t="shared" si="74"/>
        <v>0</v>
      </c>
      <c r="BH82" t="str">
        <f t="shared" si="75"/>
        <v/>
      </c>
      <c r="BI82" t="str">
        <f t="shared" si="76"/>
        <v/>
      </c>
      <c r="BM82" s="609">
        <v>14</v>
      </c>
      <c r="BN82">
        <f t="shared" si="54"/>
        <v>0</v>
      </c>
      <c r="BO82">
        <f>IF(BN82=0,0,1+MAX(BO$69:BO81))</f>
        <v>0</v>
      </c>
      <c r="BP82">
        <f t="shared" si="77"/>
        <v>0</v>
      </c>
      <c r="BQ82" t="str">
        <f t="shared" si="78"/>
        <v/>
      </c>
      <c r="BR82" t="str">
        <f t="shared" si="79"/>
        <v/>
      </c>
      <c r="BV82" s="609">
        <v>14</v>
      </c>
      <c r="BW82">
        <f t="shared" si="55"/>
        <v>0</v>
      </c>
      <c r="BX82">
        <f>IF(BW82=0,0,1+MAX(BX$69:BX81))</f>
        <v>0</v>
      </c>
      <c r="BY82">
        <f t="shared" si="80"/>
        <v>0</v>
      </c>
      <c r="BZ82" t="str">
        <f t="shared" si="81"/>
        <v/>
      </c>
      <c r="CA82" t="str">
        <f t="shared" si="82"/>
        <v/>
      </c>
      <c r="CE82" s="609"/>
    </row>
    <row r="83" spans="2:83" x14ac:dyDescent="0.25">
      <c r="B83" s="591">
        <v>15</v>
      </c>
      <c r="C83">
        <f t="shared" si="47"/>
        <v>0</v>
      </c>
      <c r="D83">
        <f>IF(C83=0,0,1+MAX(D$69:D82))</f>
        <v>0</v>
      </c>
      <c r="E83">
        <f t="shared" si="56"/>
        <v>0</v>
      </c>
      <c r="F83" t="str">
        <f t="shared" si="57"/>
        <v/>
      </c>
      <c r="G83" t="str">
        <f t="shared" si="58"/>
        <v/>
      </c>
      <c r="K83" s="609">
        <v>15</v>
      </c>
      <c r="L83">
        <f t="shared" si="48"/>
        <v>0</v>
      </c>
      <c r="M83">
        <f>IF(L83=0,0,1+MAX(M$69:M82))</f>
        <v>0</v>
      </c>
      <c r="N83">
        <f t="shared" si="59"/>
        <v>0</v>
      </c>
      <c r="O83" t="str">
        <f t="shared" si="60"/>
        <v/>
      </c>
      <c r="P83" t="str">
        <f t="shared" si="61"/>
        <v/>
      </c>
      <c r="T83" s="609">
        <v>15</v>
      </c>
      <c r="U83">
        <f t="shared" si="49"/>
        <v>0</v>
      </c>
      <c r="V83">
        <f>IF(U83=0,0,1+MAX(V$69:V82))</f>
        <v>0</v>
      </c>
      <c r="W83">
        <f t="shared" si="62"/>
        <v>0</v>
      </c>
      <c r="X83" t="str">
        <f t="shared" si="63"/>
        <v/>
      </c>
      <c r="Y83" t="str">
        <f t="shared" si="64"/>
        <v/>
      </c>
      <c r="AC83" s="609">
        <v>15</v>
      </c>
      <c r="AD83">
        <f t="shared" si="50"/>
        <v>0</v>
      </c>
      <c r="AE83">
        <f>IF(AD83=0,0,1+MAX(AE$69:AE82))</f>
        <v>0</v>
      </c>
      <c r="AF83">
        <f t="shared" si="65"/>
        <v>0</v>
      </c>
      <c r="AG83" t="str">
        <f t="shared" si="66"/>
        <v/>
      </c>
      <c r="AH83" t="str">
        <f t="shared" si="67"/>
        <v/>
      </c>
      <c r="AL83" s="609">
        <v>15</v>
      </c>
      <c r="AM83">
        <f t="shared" si="51"/>
        <v>0</v>
      </c>
      <c r="AN83">
        <f>IF(AM83=0,0,1+MAX(AN$69:AN82))</f>
        <v>0</v>
      </c>
      <c r="AO83">
        <f t="shared" si="68"/>
        <v>0</v>
      </c>
      <c r="AP83" t="str">
        <f t="shared" si="69"/>
        <v/>
      </c>
      <c r="AQ83" t="str">
        <f t="shared" si="70"/>
        <v/>
      </c>
      <c r="AU83" s="609">
        <v>15</v>
      </c>
      <c r="AV83">
        <f t="shared" si="52"/>
        <v>0</v>
      </c>
      <c r="AW83">
        <f>IF(AV83=0,0,1+MAX(AW$69:AW82))</f>
        <v>0</v>
      </c>
      <c r="AX83">
        <f t="shared" si="71"/>
        <v>0</v>
      </c>
      <c r="AY83" t="str">
        <f t="shared" si="72"/>
        <v/>
      </c>
      <c r="AZ83" t="str">
        <f t="shared" si="73"/>
        <v/>
      </c>
      <c r="BD83" s="609">
        <v>15</v>
      </c>
      <c r="BE83">
        <f t="shared" si="53"/>
        <v>0</v>
      </c>
      <c r="BF83">
        <f>IF(BE83=0,0,1+MAX(BF$69:BF82))</f>
        <v>0</v>
      </c>
      <c r="BG83">
        <f t="shared" si="74"/>
        <v>0</v>
      </c>
      <c r="BH83" t="str">
        <f t="shared" si="75"/>
        <v/>
      </c>
      <c r="BI83" t="str">
        <f t="shared" si="76"/>
        <v/>
      </c>
      <c r="BM83" s="609">
        <v>15</v>
      </c>
      <c r="BN83">
        <f t="shared" si="54"/>
        <v>0</v>
      </c>
      <c r="BO83">
        <f>IF(BN83=0,0,1+MAX(BO$69:BO82))</f>
        <v>0</v>
      </c>
      <c r="BP83">
        <f t="shared" si="77"/>
        <v>0</v>
      </c>
      <c r="BQ83" t="str">
        <f t="shared" si="78"/>
        <v/>
      </c>
      <c r="BR83" t="str">
        <f t="shared" si="79"/>
        <v/>
      </c>
      <c r="BV83" s="609">
        <v>15</v>
      </c>
      <c r="BW83">
        <f t="shared" si="55"/>
        <v>0</v>
      </c>
      <c r="BX83">
        <f>IF(BW83=0,0,1+MAX(BX$69:BX82))</f>
        <v>0</v>
      </c>
      <c r="BY83">
        <f t="shared" si="80"/>
        <v>0</v>
      </c>
      <c r="BZ83" t="str">
        <f t="shared" si="81"/>
        <v/>
      </c>
      <c r="CA83" t="str">
        <f t="shared" si="82"/>
        <v/>
      </c>
      <c r="CE83" s="609"/>
    </row>
    <row r="84" spans="2:83" x14ac:dyDescent="0.25">
      <c r="B84" s="591">
        <v>16</v>
      </c>
      <c r="C84">
        <f t="shared" si="47"/>
        <v>0</v>
      </c>
      <c r="D84">
        <f>IF(C84=0,0,1+MAX(D$69:D83))</f>
        <v>0</v>
      </c>
      <c r="E84">
        <f t="shared" si="56"/>
        <v>0</v>
      </c>
      <c r="F84" t="str">
        <f t="shared" si="57"/>
        <v/>
      </c>
      <c r="G84" t="str">
        <f t="shared" si="58"/>
        <v/>
      </c>
      <c r="K84" s="609">
        <v>16</v>
      </c>
      <c r="L84">
        <f t="shared" si="48"/>
        <v>0</v>
      </c>
      <c r="M84">
        <f>IF(L84=0,0,1+MAX(M$69:M83))</f>
        <v>0</v>
      </c>
      <c r="N84">
        <f t="shared" si="59"/>
        <v>0</v>
      </c>
      <c r="O84" t="str">
        <f t="shared" si="60"/>
        <v/>
      </c>
      <c r="P84" t="str">
        <f t="shared" si="61"/>
        <v/>
      </c>
      <c r="T84" s="609">
        <v>16</v>
      </c>
      <c r="U84">
        <f t="shared" si="49"/>
        <v>0</v>
      </c>
      <c r="V84">
        <f>IF(U84=0,0,1+MAX(V$69:V83))</f>
        <v>0</v>
      </c>
      <c r="W84">
        <f t="shared" si="62"/>
        <v>0</v>
      </c>
      <c r="X84" t="str">
        <f t="shared" si="63"/>
        <v/>
      </c>
      <c r="Y84" t="str">
        <f t="shared" si="64"/>
        <v/>
      </c>
      <c r="AC84" s="609">
        <v>16</v>
      </c>
      <c r="AD84">
        <f t="shared" si="50"/>
        <v>0</v>
      </c>
      <c r="AE84">
        <f>IF(AD84=0,0,1+MAX(AE$69:AE83))</f>
        <v>0</v>
      </c>
      <c r="AF84">
        <f t="shared" si="65"/>
        <v>0</v>
      </c>
      <c r="AG84" t="str">
        <f t="shared" si="66"/>
        <v/>
      </c>
      <c r="AH84" t="str">
        <f t="shared" si="67"/>
        <v/>
      </c>
      <c r="AL84" s="609">
        <v>16</v>
      </c>
      <c r="AM84">
        <f t="shared" si="51"/>
        <v>0</v>
      </c>
      <c r="AN84">
        <f>IF(AM84=0,0,1+MAX(AN$69:AN83))</f>
        <v>0</v>
      </c>
      <c r="AO84">
        <f t="shared" si="68"/>
        <v>0</v>
      </c>
      <c r="AP84" t="str">
        <f t="shared" si="69"/>
        <v/>
      </c>
      <c r="AQ84" t="str">
        <f t="shared" si="70"/>
        <v/>
      </c>
      <c r="AU84" s="609">
        <v>16</v>
      </c>
      <c r="AV84">
        <f t="shared" si="52"/>
        <v>0</v>
      </c>
      <c r="AW84">
        <f>IF(AV84=0,0,1+MAX(AW$69:AW83))</f>
        <v>0</v>
      </c>
      <c r="AX84">
        <f t="shared" si="71"/>
        <v>0</v>
      </c>
      <c r="AY84" t="str">
        <f t="shared" si="72"/>
        <v/>
      </c>
      <c r="AZ84" t="str">
        <f t="shared" si="73"/>
        <v/>
      </c>
      <c r="BD84" s="609">
        <v>16</v>
      </c>
      <c r="BE84">
        <f t="shared" si="53"/>
        <v>0</v>
      </c>
      <c r="BF84">
        <f>IF(BE84=0,0,1+MAX(BF$69:BF83))</f>
        <v>0</v>
      </c>
      <c r="BG84">
        <f t="shared" si="74"/>
        <v>0</v>
      </c>
      <c r="BH84" t="str">
        <f t="shared" si="75"/>
        <v/>
      </c>
      <c r="BI84" t="str">
        <f t="shared" si="76"/>
        <v/>
      </c>
      <c r="BM84" s="609">
        <v>16</v>
      </c>
      <c r="BN84">
        <f t="shared" si="54"/>
        <v>0</v>
      </c>
      <c r="BO84">
        <f>IF(BN84=0,0,1+MAX(BO$69:BO83))</f>
        <v>0</v>
      </c>
      <c r="BP84">
        <f t="shared" si="77"/>
        <v>0</v>
      </c>
      <c r="BQ84" t="str">
        <f t="shared" si="78"/>
        <v/>
      </c>
      <c r="BR84" t="str">
        <f t="shared" si="79"/>
        <v/>
      </c>
      <c r="BV84" s="609">
        <v>16</v>
      </c>
      <c r="BW84">
        <f t="shared" si="55"/>
        <v>0</v>
      </c>
      <c r="BX84">
        <f>IF(BW84=0,0,1+MAX(BX$69:BX83))</f>
        <v>0</v>
      </c>
      <c r="BY84">
        <f t="shared" si="80"/>
        <v>0</v>
      </c>
      <c r="BZ84" t="str">
        <f t="shared" si="81"/>
        <v/>
      </c>
      <c r="CA84" t="str">
        <f t="shared" si="82"/>
        <v/>
      </c>
      <c r="CE84" s="609"/>
    </row>
    <row r="85" spans="2:83" x14ac:dyDescent="0.25">
      <c r="B85" s="591">
        <v>17</v>
      </c>
      <c r="C85">
        <f t="shared" si="47"/>
        <v>0</v>
      </c>
      <c r="D85">
        <f>IF(C85=0,0,1+MAX(D$69:D84))</f>
        <v>0</v>
      </c>
      <c r="E85">
        <f t="shared" si="56"/>
        <v>0</v>
      </c>
      <c r="F85" t="str">
        <f t="shared" si="57"/>
        <v/>
      </c>
      <c r="G85" t="str">
        <f t="shared" si="58"/>
        <v/>
      </c>
      <c r="K85" s="609">
        <v>17</v>
      </c>
      <c r="L85">
        <f t="shared" si="48"/>
        <v>0</v>
      </c>
      <c r="M85">
        <f>IF(L85=0,0,1+MAX(M$69:M84))</f>
        <v>0</v>
      </c>
      <c r="N85">
        <f t="shared" si="59"/>
        <v>0</v>
      </c>
      <c r="O85" t="str">
        <f t="shared" si="60"/>
        <v/>
      </c>
      <c r="P85" t="str">
        <f t="shared" si="61"/>
        <v/>
      </c>
      <c r="T85" s="609">
        <v>17</v>
      </c>
      <c r="U85">
        <f t="shared" si="49"/>
        <v>0</v>
      </c>
      <c r="V85">
        <f>IF(U85=0,0,1+MAX(V$69:V84))</f>
        <v>0</v>
      </c>
      <c r="W85">
        <f t="shared" si="62"/>
        <v>0</v>
      </c>
      <c r="X85" t="str">
        <f t="shared" si="63"/>
        <v/>
      </c>
      <c r="Y85" t="str">
        <f t="shared" si="64"/>
        <v/>
      </c>
      <c r="AC85" s="609">
        <v>17</v>
      </c>
      <c r="AD85">
        <f t="shared" si="50"/>
        <v>0</v>
      </c>
      <c r="AE85">
        <f>IF(AD85=0,0,1+MAX(AE$69:AE84))</f>
        <v>0</v>
      </c>
      <c r="AF85">
        <f t="shared" si="65"/>
        <v>0</v>
      </c>
      <c r="AG85" t="str">
        <f t="shared" si="66"/>
        <v/>
      </c>
      <c r="AH85" t="str">
        <f t="shared" si="67"/>
        <v/>
      </c>
      <c r="AL85" s="609">
        <v>17</v>
      </c>
      <c r="AM85">
        <f t="shared" si="51"/>
        <v>0</v>
      </c>
      <c r="AN85">
        <f>IF(AM85=0,0,1+MAX(AN$69:AN84))</f>
        <v>0</v>
      </c>
      <c r="AO85">
        <f t="shared" si="68"/>
        <v>0</v>
      </c>
      <c r="AP85" t="str">
        <f t="shared" si="69"/>
        <v/>
      </c>
      <c r="AQ85" t="str">
        <f t="shared" si="70"/>
        <v/>
      </c>
      <c r="AU85" s="609">
        <v>17</v>
      </c>
      <c r="AV85">
        <f t="shared" si="52"/>
        <v>0</v>
      </c>
      <c r="AW85">
        <f>IF(AV85=0,0,1+MAX(AW$69:AW84))</f>
        <v>0</v>
      </c>
      <c r="AX85">
        <f t="shared" si="71"/>
        <v>0</v>
      </c>
      <c r="AY85" t="str">
        <f t="shared" si="72"/>
        <v/>
      </c>
      <c r="AZ85" t="str">
        <f t="shared" si="73"/>
        <v/>
      </c>
      <c r="BD85" s="609">
        <v>17</v>
      </c>
      <c r="BE85">
        <f t="shared" si="53"/>
        <v>0</v>
      </c>
      <c r="BF85">
        <f>IF(BE85=0,0,1+MAX(BF$69:BF84))</f>
        <v>0</v>
      </c>
      <c r="BG85">
        <f t="shared" si="74"/>
        <v>0</v>
      </c>
      <c r="BH85" t="str">
        <f t="shared" si="75"/>
        <v/>
      </c>
      <c r="BI85" t="str">
        <f t="shared" si="76"/>
        <v/>
      </c>
      <c r="BM85" s="609">
        <v>17</v>
      </c>
      <c r="BN85">
        <f t="shared" si="54"/>
        <v>0</v>
      </c>
      <c r="BO85">
        <f>IF(BN85=0,0,1+MAX(BO$69:BO84))</f>
        <v>0</v>
      </c>
      <c r="BP85">
        <f t="shared" si="77"/>
        <v>0</v>
      </c>
      <c r="BQ85" t="str">
        <f t="shared" si="78"/>
        <v/>
      </c>
      <c r="BR85" t="str">
        <f t="shared" si="79"/>
        <v/>
      </c>
      <c r="BV85" s="609">
        <v>17</v>
      </c>
      <c r="BW85">
        <f t="shared" si="55"/>
        <v>0</v>
      </c>
      <c r="BX85">
        <f>IF(BW85=0,0,1+MAX(BX$69:BX84))</f>
        <v>0</v>
      </c>
      <c r="BY85">
        <f t="shared" si="80"/>
        <v>0</v>
      </c>
      <c r="BZ85" t="str">
        <f t="shared" si="81"/>
        <v/>
      </c>
      <c r="CA85" t="str">
        <f t="shared" si="82"/>
        <v/>
      </c>
      <c r="CE85" s="609"/>
    </row>
    <row r="86" spans="2:83" x14ac:dyDescent="0.25">
      <c r="B86" s="591">
        <v>18</v>
      </c>
      <c r="C86">
        <f t="shared" si="47"/>
        <v>0</v>
      </c>
      <c r="D86">
        <f>IF(C86=0,0,1+MAX(D$69:D85))</f>
        <v>0</v>
      </c>
      <c r="E86">
        <f t="shared" si="56"/>
        <v>0</v>
      </c>
      <c r="F86" t="str">
        <f t="shared" si="57"/>
        <v/>
      </c>
      <c r="G86" t="str">
        <f t="shared" si="58"/>
        <v/>
      </c>
      <c r="K86" s="609">
        <v>18</v>
      </c>
      <c r="L86">
        <f t="shared" si="48"/>
        <v>0</v>
      </c>
      <c r="M86">
        <f>IF(L86=0,0,1+MAX(M$69:M85))</f>
        <v>0</v>
      </c>
      <c r="N86">
        <f t="shared" si="59"/>
        <v>0</v>
      </c>
      <c r="O86" t="str">
        <f t="shared" si="60"/>
        <v/>
      </c>
      <c r="P86" t="str">
        <f t="shared" si="61"/>
        <v/>
      </c>
      <c r="T86" s="609">
        <v>18</v>
      </c>
      <c r="U86">
        <f t="shared" si="49"/>
        <v>0</v>
      </c>
      <c r="V86">
        <f>IF(U86=0,0,1+MAX(V$69:V85))</f>
        <v>0</v>
      </c>
      <c r="W86">
        <f t="shared" si="62"/>
        <v>0</v>
      </c>
      <c r="X86" t="str">
        <f t="shared" si="63"/>
        <v/>
      </c>
      <c r="Y86" t="str">
        <f t="shared" si="64"/>
        <v/>
      </c>
      <c r="AC86" s="609">
        <v>18</v>
      </c>
      <c r="AD86">
        <f t="shared" si="50"/>
        <v>0</v>
      </c>
      <c r="AE86">
        <f>IF(AD86=0,0,1+MAX(AE$69:AE85))</f>
        <v>0</v>
      </c>
      <c r="AF86">
        <f t="shared" si="65"/>
        <v>0</v>
      </c>
      <c r="AG86" t="str">
        <f t="shared" si="66"/>
        <v/>
      </c>
      <c r="AH86" t="str">
        <f t="shared" si="67"/>
        <v/>
      </c>
      <c r="AL86" s="609">
        <v>18</v>
      </c>
      <c r="AM86">
        <f t="shared" si="51"/>
        <v>0</v>
      </c>
      <c r="AN86">
        <f>IF(AM86=0,0,1+MAX(AN$69:AN85))</f>
        <v>0</v>
      </c>
      <c r="AO86">
        <f t="shared" si="68"/>
        <v>0</v>
      </c>
      <c r="AP86" t="str">
        <f t="shared" si="69"/>
        <v/>
      </c>
      <c r="AQ86" t="str">
        <f t="shared" si="70"/>
        <v/>
      </c>
      <c r="AU86" s="609">
        <v>18</v>
      </c>
      <c r="AV86">
        <f t="shared" si="52"/>
        <v>0</v>
      </c>
      <c r="AW86">
        <f>IF(AV86=0,0,1+MAX(AW$69:AW85))</f>
        <v>0</v>
      </c>
      <c r="AX86">
        <f t="shared" si="71"/>
        <v>0</v>
      </c>
      <c r="AY86" t="str">
        <f t="shared" si="72"/>
        <v/>
      </c>
      <c r="AZ86" t="str">
        <f t="shared" si="73"/>
        <v/>
      </c>
      <c r="BD86" s="609">
        <v>18</v>
      </c>
      <c r="BE86">
        <f t="shared" si="53"/>
        <v>0</v>
      </c>
      <c r="BF86">
        <f>IF(BE86=0,0,1+MAX(BF$69:BF85))</f>
        <v>0</v>
      </c>
      <c r="BG86">
        <f t="shared" si="74"/>
        <v>0</v>
      </c>
      <c r="BH86" t="str">
        <f t="shared" si="75"/>
        <v/>
      </c>
      <c r="BI86" t="str">
        <f t="shared" si="76"/>
        <v/>
      </c>
      <c r="BM86" s="609">
        <v>18</v>
      </c>
      <c r="BN86">
        <f t="shared" si="54"/>
        <v>0</v>
      </c>
      <c r="BO86">
        <f>IF(BN86=0,0,1+MAX(BO$69:BO85))</f>
        <v>0</v>
      </c>
      <c r="BP86">
        <f t="shared" si="77"/>
        <v>0</v>
      </c>
      <c r="BQ86" t="str">
        <f t="shared" si="78"/>
        <v/>
      </c>
      <c r="BR86" t="str">
        <f t="shared" si="79"/>
        <v/>
      </c>
      <c r="BV86" s="609">
        <v>18</v>
      </c>
      <c r="BW86">
        <f t="shared" si="55"/>
        <v>0</v>
      </c>
      <c r="BX86">
        <f>IF(BW86=0,0,1+MAX(BX$69:BX85))</f>
        <v>0</v>
      </c>
      <c r="BY86">
        <f t="shared" si="80"/>
        <v>0</v>
      </c>
      <c r="BZ86" t="str">
        <f t="shared" si="81"/>
        <v/>
      </c>
      <c r="CA86" t="str">
        <f t="shared" si="82"/>
        <v/>
      </c>
      <c r="CE86" s="609"/>
    </row>
    <row r="87" spans="2:83" x14ac:dyDescent="0.25">
      <c r="B87" s="591">
        <v>19</v>
      </c>
      <c r="C87">
        <f t="shared" si="47"/>
        <v>0</v>
      </c>
      <c r="D87">
        <f>IF(C87=0,0,1+MAX(D$69:D86))</f>
        <v>0</v>
      </c>
      <c r="E87">
        <f t="shared" si="56"/>
        <v>0</v>
      </c>
      <c r="F87" t="str">
        <f t="shared" si="57"/>
        <v/>
      </c>
      <c r="G87" t="str">
        <f t="shared" si="58"/>
        <v/>
      </c>
      <c r="K87" s="609">
        <v>19</v>
      </c>
      <c r="L87">
        <f t="shared" si="48"/>
        <v>0</v>
      </c>
      <c r="M87">
        <f>IF(L87=0,0,1+MAX(M$69:M86))</f>
        <v>0</v>
      </c>
      <c r="N87">
        <f t="shared" si="59"/>
        <v>0</v>
      </c>
      <c r="O87" t="str">
        <f t="shared" si="60"/>
        <v/>
      </c>
      <c r="P87" t="str">
        <f t="shared" si="61"/>
        <v/>
      </c>
      <c r="T87" s="609">
        <v>19</v>
      </c>
      <c r="U87">
        <f t="shared" si="49"/>
        <v>0</v>
      </c>
      <c r="V87">
        <f>IF(U87=0,0,1+MAX(V$69:V86))</f>
        <v>0</v>
      </c>
      <c r="W87">
        <f t="shared" si="62"/>
        <v>0</v>
      </c>
      <c r="X87" t="str">
        <f t="shared" si="63"/>
        <v/>
      </c>
      <c r="Y87" t="str">
        <f t="shared" si="64"/>
        <v/>
      </c>
      <c r="AC87" s="609">
        <v>19</v>
      </c>
      <c r="AD87">
        <f t="shared" si="50"/>
        <v>0</v>
      </c>
      <c r="AE87">
        <f>IF(AD87=0,0,1+MAX(AE$69:AE86))</f>
        <v>0</v>
      </c>
      <c r="AF87">
        <f t="shared" si="65"/>
        <v>0</v>
      </c>
      <c r="AG87" t="str">
        <f t="shared" si="66"/>
        <v/>
      </c>
      <c r="AH87" t="str">
        <f t="shared" si="67"/>
        <v/>
      </c>
      <c r="AL87" s="609">
        <v>19</v>
      </c>
      <c r="AM87">
        <f t="shared" si="51"/>
        <v>0</v>
      </c>
      <c r="AN87">
        <f>IF(AM87=0,0,1+MAX(AN$69:AN86))</f>
        <v>0</v>
      </c>
      <c r="AO87">
        <f t="shared" si="68"/>
        <v>0</v>
      </c>
      <c r="AP87" t="str">
        <f t="shared" si="69"/>
        <v/>
      </c>
      <c r="AQ87" t="str">
        <f t="shared" si="70"/>
        <v/>
      </c>
      <c r="AU87" s="609">
        <v>19</v>
      </c>
      <c r="AV87">
        <f t="shared" si="52"/>
        <v>0</v>
      </c>
      <c r="AW87">
        <f>IF(AV87=0,0,1+MAX(AW$69:AW86))</f>
        <v>0</v>
      </c>
      <c r="AX87">
        <f t="shared" si="71"/>
        <v>0</v>
      </c>
      <c r="AY87" t="str">
        <f t="shared" si="72"/>
        <v/>
      </c>
      <c r="AZ87" t="str">
        <f t="shared" si="73"/>
        <v/>
      </c>
      <c r="BD87" s="609">
        <v>19</v>
      </c>
      <c r="BE87">
        <f t="shared" si="53"/>
        <v>0</v>
      </c>
      <c r="BF87">
        <f>IF(BE87=0,0,1+MAX(BF$69:BF86))</f>
        <v>0</v>
      </c>
      <c r="BG87">
        <f t="shared" si="74"/>
        <v>0</v>
      </c>
      <c r="BH87" t="str">
        <f t="shared" si="75"/>
        <v/>
      </c>
      <c r="BI87" t="str">
        <f t="shared" si="76"/>
        <v/>
      </c>
      <c r="BM87" s="609">
        <v>19</v>
      </c>
      <c r="BN87">
        <f t="shared" si="54"/>
        <v>0</v>
      </c>
      <c r="BO87">
        <f>IF(BN87=0,0,1+MAX(BO$69:BO86))</f>
        <v>0</v>
      </c>
      <c r="BP87">
        <f t="shared" si="77"/>
        <v>0</v>
      </c>
      <c r="BQ87" t="str">
        <f t="shared" si="78"/>
        <v/>
      </c>
      <c r="BR87" t="str">
        <f t="shared" si="79"/>
        <v/>
      </c>
      <c r="BV87" s="609">
        <v>19</v>
      </c>
      <c r="BW87">
        <f t="shared" si="55"/>
        <v>0</v>
      </c>
      <c r="BX87">
        <f>IF(BW87=0,0,1+MAX(BX$69:BX86))</f>
        <v>0</v>
      </c>
      <c r="BY87">
        <f t="shared" si="80"/>
        <v>0</v>
      </c>
      <c r="BZ87" t="str">
        <f t="shared" si="81"/>
        <v/>
      </c>
      <c r="CA87" t="str">
        <f t="shared" si="82"/>
        <v/>
      </c>
      <c r="CE87" s="609"/>
    </row>
    <row r="88" spans="2:83" x14ac:dyDescent="0.25">
      <c r="B88" s="591">
        <v>20</v>
      </c>
      <c r="C88">
        <f t="shared" si="47"/>
        <v>0</v>
      </c>
      <c r="D88">
        <f>IF(C88=0,0,1+MAX(D$69:D87))</f>
        <v>0</v>
      </c>
      <c r="E88">
        <f t="shared" si="56"/>
        <v>0</v>
      </c>
      <c r="F88" t="str">
        <f t="shared" si="57"/>
        <v/>
      </c>
      <c r="G88" t="str">
        <f t="shared" si="58"/>
        <v/>
      </c>
      <c r="K88" s="609">
        <v>20</v>
      </c>
      <c r="L88">
        <f t="shared" si="48"/>
        <v>0</v>
      </c>
      <c r="M88">
        <f>IF(L88=0,0,1+MAX(M$69:M87))</f>
        <v>0</v>
      </c>
      <c r="N88">
        <f t="shared" si="59"/>
        <v>0</v>
      </c>
      <c r="O88" t="str">
        <f t="shared" si="60"/>
        <v/>
      </c>
      <c r="P88" t="str">
        <f t="shared" si="61"/>
        <v/>
      </c>
      <c r="T88" s="609">
        <v>20</v>
      </c>
      <c r="U88">
        <f t="shared" si="49"/>
        <v>0</v>
      </c>
      <c r="V88">
        <f>IF(U88=0,0,1+MAX(V$69:V87))</f>
        <v>0</v>
      </c>
      <c r="W88">
        <f t="shared" si="62"/>
        <v>0</v>
      </c>
      <c r="X88" t="str">
        <f t="shared" si="63"/>
        <v/>
      </c>
      <c r="Y88" t="str">
        <f t="shared" si="64"/>
        <v/>
      </c>
      <c r="AC88" s="609">
        <v>20</v>
      </c>
      <c r="AD88">
        <f t="shared" si="50"/>
        <v>0</v>
      </c>
      <c r="AE88">
        <f>IF(AD88=0,0,1+MAX(AE$69:AE87))</f>
        <v>0</v>
      </c>
      <c r="AF88">
        <f t="shared" si="65"/>
        <v>0</v>
      </c>
      <c r="AG88" t="str">
        <f t="shared" si="66"/>
        <v/>
      </c>
      <c r="AH88" t="str">
        <f t="shared" si="67"/>
        <v/>
      </c>
      <c r="AL88" s="609">
        <v>20</v>
      </c>
      <c r="AM88">
        <f t="shared" si="51"/>
        <v>0</v>
      </c>
      <c r="AN88">
        <f>IF(AM88=0,0,1+MAX(AN$69:AN87))</f>
        <v>0</v>
      </c>
      <c r="AO88">
        <f t="shared" si="68"/>
        <v>0</v>
      </c>
      <c r="AP88" t="str">
        <f t="shared" si="69"/>
        <v/>
      </c>
      <c r="AQ88" t="str">
        <f t="shared" si="70"/>
        <v/>
      </c>
      <c r="AU88" s="609">
        <v>20</v>
      </c>
      <c r="AV88">
        <f t="shared" si="52"/>
        <v>0</v>
      </c>
      <c r="AW88">
        <f>IF(AV88=0,0,1+MAX(AW$69:AW87))</f>
        <v>0</v>
      </c>
      <c r="AX88">
        <f t="shared" si="71"/>
        <v>0</v>
      </c>
      <c r="AY88" t="str">
        <f t="shared" si="72"/>
        <v/>
      </c>
      <c r="AZ88" t="str">
        <f t="shared" si="73"/>
        <v/>
      </c>
      <c r="BD88" s="609">
        <v>20</v>
      </c>
      <c r="BE88">
        <f t="shared" si="53"/>
        <v>0</v>
      </c>
      <c r="BF88">
        <f>IF(BE88=0,0,1+MAX(BF$69:BF87))</f>
        <v>0</v>
      </c>
      <c r="BG88">
        <f t="shared" si="74"/>
        <v>0</v>
      </c>
      <c r="BH88" t="str">
        <f t="shared" si="75"/>
        <v/>
      </c>
      <c r="BI88" t="str">
        <f t="shared" si="76"/>
        <v/>
      </c>
      <c r="BM88" s="609">
        <v>20</v>
      </c>
      <c r="BN88">
        <f t="shared" si="54"/>
        <v>0</v>
      </c>
      <c r="BO88">
        <f>IF(BN88=0,0,1+MAX(BO$69:BO87))</f>
        <v>0</v>
      </c>
      <c r="BP88">
        <f t="shared" si="77"/>
        <v>0</v>
      </c>
      <c r="BQ88" t="str">
        <f t="shared" si="78"/>
        <v/>
      </c>
      <c r="BR88" t="str">
        <f t="shared" si="79"/>
        <v/>
      </c>
      <c r="BV88" s="609">
        <v>20</v>
      </c>
      <c r="BW88">
        <f t="shared" si="55"/>
        <v>0</v>
      </c>
      <c r="BX88">
        <f>IF(BW88=0,0,1+MAX(BX$69:BX87))</f>
        <v>0</v>
      </c>
      <c r="BY88">
        <f t="shared" si="80"/>
        <v>0</v>
      </c>
      <c r="BZ88" t="str">
        <f t="shared" si="81"/>
        <v/>
      </c>
      <c r="CA88" t="str">
        <f t="shared" si="82"/>
        <v/>
      </c>
      <c r="CE88" s="609"/>
    </row>
    <row r="89" spans="2:83" x14ac:dyDescent="0.25">
      <c r="B89" s="591">
        <v>21</v>
      </c>
      <c r="C89">
        <f t="shared" si="47"/>
        <v>0</v>
      </c>
      <c r="D89">
        <f>IF(C89=0,0,1+MAX(D$69:D88))</f>
        <v>0</v>
      </c>
      <c r="E89">
        <f t="shared" si="56"/>
        <v>0</v>
      </c>
      <c r="F89" t="str">
        <f t="shared" si="57"/>
        <v/>
      </c>
      <c r="G89" t="str">
        <f t="shared" si="58"/>
        <v/>
      </c>
      <c r="K89" s="609">
        <v>21</v>
      </c>
      <c r="L89">
        <f t="shared" si="48"/>
        <v>0</v>
      </c>
      <c r="M89">
        <f>IF(L89=0,0,1+MAX(M$69:M88))</f>
        <v>0</v>
      </c>
      <c r="N89">
        <f t="shared" si="59"/>
        <v>0</v>
      </c>
      <c r="O89" t="str">
        <f t="shared" si="60"/>
        <v/>
      </c>
      <c r="P89" t="str">
        <f t="shared" si="61"/>
        <v/>
      </c>
      <c r="T89" s="609">
        <v>21</v>
      </c>
      <c r="U89">
        <f t="shared" si="49"/>
        <v>0</v>
      </c>
      <c r="V89">
        <f>IF(U89=0,0,1+MAX(V$69:V88))</f>
        <v>0</v>
      </c>
      <c r="W89">
        <f t="shared" si="62"/>
        <v>0</v>
      </c>
      <c r="X89" t="str">
        <f t="shared" si="63"/>
        <v/>
      </c>
      <c r="Y89" t="str">
        <f t="shared" si="64"/>
        <v/>
      </c>
      <c r="AC89" s="609">
        <v>21</v>
      </c>
      <c r="AD89">
        <f t="shared" si="50"/>
        <v>0</v>
      </c>
      <c r="AE89">
        <f>IF(AD89=0,0,1+MAX(AE$69:AE88))</f>
        <v>0</v>
      </c>
      <c r="AF89">
        <f t="shared" si="65"/>
        <v>0</v>
      </c>
      <c r="AG89" t="str">
        <f t="shared" si="66"/>
        <v/>
      </c>
      <c r="AH89" t="str">
        <f t="shared" si="67"/>
        <v/>
      </c>
      <c r="AL89" s="609">
        <v>21</v>
      </c>
      <c r="AM89">
        <f t="shared" si="51"/>
        <v>0</v>
      </c>
      <c r="AN89">
        <f>IF(AM89=0,0,1+MAX(AN$69:AN88))</f>
        <v>0</v>
      </c>
      <c r="AO89">
        <f t="shared" si="68"/>
        <v>0</v>
      </c>
      <c r="AP89" t="str">
        <f t="shared" si="69"/>
        <v/>
      </c>
      <c r="AQ89" t="str">
        <f t="shared" si="70"/>
        <v/>
      </c>
      <c r="AU89" s="609">
        <v>21</v>
      </c>
      <c r="AV89">
        <f t="shared" si="52"/>
        <v>0</v>
      </c>
      <c r="AW89">
        <f>IF(AV89=0,0,1+MAX(AW$69:AW88))</f>
        <v>0</v>
      </c>
      <c r="AX89">
        <f t="shared" si="71"/>
        <v>0</v>
      </c>
      <c r="AY89" t="str">
        <f t="shared" si="72"/>
        <v/>
      </c>
      <c r="AZ89" t="str">
        <f t="shared" si="73"/>
        <v/>
      </c>
      <c r="BD89" s="609">
        <v>21</v>
      </c>
      <c r="BE89">
        <f t="shared" si="53"/>
        <v>0</v>
      </c>
      <c r="BF89">
        <f>IF(BE89=0,0,1+MAX(BF$69:BF88))</f>
        <v>0</v>
      </c>
      <c r="BG89">
        <f t="shared" si="74"/>
        <v>0</v>
      </c>
      <c r="BH89" t="str">
        <f t="shared" si="75"/>
        <v/>
      </c>
      <c r="BI89" t="str">
        <f t="shared" si="76"/>
        <v/>
      </c>
      <c r="BM89" s="609">
        <v>21</v>
      </c>
      <c r="BN89">
        <f t="shared" si="54"/>
        <v>0</v>
      </c>
      <c r="BO89">
        <f>IF(BN89=0,0,1+MAX(BO$69:BO88))</f>
        <v>0</v>
      </c>
      <c r="BP89">
        <f t="shared" si="77"/>
        <v>0</v>
      </c>
      <c r="BQ89" t="str">
        <f t="shared" si="78"/>
        <v/>
      </c>
      <c r="BR89" t="str">
        <f t="shared" si="79"/>
        <v/>
      </c>
      <c r="BV89" s="609">
        <v>21</v>
      </c>
      <c r="BW89">
        <f t="shared" si="55"/>
        <v>0</v>
      </c>
      <c r="BX89">
        <f>IF(BW89=0,0,1+MAX(BX$69:BX88))</f>
        <v>0</v>
      </c>
      <c r="BY89">
        <f t="shared" si="80"/>
        <v>0</v>
      </c>
      <c r="BZ89" t="str">
        <f t="shared" si="81"/>
        <v/>
      </c>
      <c r="CA89" t="str">
        <f t="shared" si="82"/>
        <v/>
      </c>
      <c r="CE89" s="609"/>
    </row>
    <row r="90" spans="2:83" x14ac:dyDescent="0.25">
      <c r="B90" s="591">
        <v>22</v>
      </c>
      <c r="C90">
        <f t="shared" si="47"/>
        <v>0</v>
      </c>
      <c r="D90">
        <f>IF(C90=0,0,1+MAX(D$69:D89))</f>
        <v>0</v>
      </c>
      <c r="E90">
        <f t="shared" si="56"/>
        <v>0</v>
      </c>
      <c r="F90" t="str">
        <f t="shared" si="57"/>
        <v/>
      </c>
      <c r="G90" t="str">
        <f t="shared" si="58"/>
        <v/>
      </c>
      <c r="K90" s="609">
        <v>22</v>
      </c>
      <c r="L90">
        <f t="shared" si="48"/>
        <v>0</v>
      </c>
      <c r="M90">
        <f>IF(L90=0,0,1+MAX(M$69:M89))</f>
        <v>0</v>
      </c>
      <c r="N90">
        <f t="shared" si="59"/>
        <v>0</v>
      </c>
      <c r="O90" t="str">
        <f t="shared" si="60"/>
        <v/>
      </c>
      <c r="P90" t="str">
        <f t="shared" si="61"/>
        <v/>
      </c>
      <c r="T90" s="609">
        <v>22</v>
      </c>
      <c r="U90">
        <f t="shared" si="49"/>
        <v>0</v>
      </c>
      <c r="V90">
        <f>IF(U90=0,0,1+MAX(V$69:V89))</f>
        <v>0</v>
      </c>
      <c r="W90">
        <f t="shared" si="62"/>
        <v>0</v>
      </c>
      <c r="X90" t="str">
        <f t="shared" si="63"/>
        <v/>
      </c>
      <c r="Y90" t="str">
        <f t="shared" si="64"/>
        <v/>
      </c>
      <c r="AC90" s="609">
        <v>22</v>
      </c>
      <c r="AD90">
        <f t="shared" si="50"/>
        <v>0</v>
      </c>
      <c r="AE90">
        <f>IF(AD90=0,0,1+MAX(AE$69:AE89))</f>
        <v>0</v>
      </c>
      <c r="AF90">
        <f t="shared" si="65"/>
        <v>0</v>
      </c>
      <c r="AG90" t="str">
        <f t="shared" si="66"/>
        <v/>
      </c>
      <c r="AH90" t="str">
        <f t="shared" si="67"/>
        <v/>
      </c>
      <c r="AL90" s="609">
        <v>22</v>
      </c>
      <c r="AM90">
        <f t="shared" si="51"/>
        <v>0</v>
      </c>
      <c r="AN90">
        <f>IF(AM90=0,0,1+MAX(AN$69:AN89))</f>
        <v>0</v>
      </c>
      <c r="AO90">
        <f t="shared" si="68"/>
        <v>0</v>
      </c>
      <c r="AP90" t="str">
        <f t="shared" si="69"/>
        <v/>
      </c>
      <c r="AQ90" t="str">
        <f t="shared" si="70"/>
        <v/>
      </c>
      <c r="AU90" s="609">
        <v>22</v>
      </c>
      <c r="AV90">
        <f t="shared" si="52"/>
        <v>0</v>
      </c>
      <c r="AW90">
        <f>IF(AV90=0,0,1+MAX(AW$69:AW89))</f>
        <v>0</v>
      </c>
      <c r="AX90">
        <f t="shared" si="71"/>
        <v>0</v>
      </c>
      <c r="AY90" t="str">
        <f t="shared" si="72"/>
        <v/>
      </c>
      <c r="AZ90" t="str">
        <f t="shared" si="73"/>
        <v/>
      </c>
      <c r="BD90" s="609">
        <v>22</v>
      </c>
      <c r="BE90">
        <f t="shared" si="53"/>
        <v>0</v>
      </c>
      <c r="BF90">
        <f>IF(BE90=0,0,1+MAX(BF$69:BF89))</f>
        <v>0</v>
      </c>
      <c r="BG90">
        <f t="shared" si="74"/>
        <v>0</v>
      </c>
      <c r="BH90" t="str">
        <f t="shared" si="75"/>
        <v/>
      </c>
      <c r="BI90" t="str">
        <f t="shared" si="76"/>
        <v/>
      </c>
      <c r="BM90" s="609">
        <v>22</v>
      </c>
      <c r="BN90">
        <f t="shared" si="54"/>
        <v>0</v>
      </c>
      <c r="BO90">
        <f>IF(BN90=0,0,1+MAX(BO$69:BO89))</f>
        <v>0</v>
      </c>
      <c r="BP90">
        <f t="shared" si="77"/>
        <v>0</v>
      </c>
      <c r="BQ90" t="str">
        <f t="shared" si="78"/>
        <v/>
      </c>
      <c r="BR90" t="str">
        <f t="shared" si="79"/>
        <v/>
      </c>
      <c r="BV90" s="609">
        <v>22</v>
      </c>
      <c r="BW90">
        <f t="shared" si="55"/>
        <v>0</v>
      </c>
      <c r="BX90">
        <f>IF(BW90=0,0,1+MAX(BX$69:BX89))</f>
        <v>0</v>
      </c>
      <c r="BY90">
        <f t="shared" si="80"/>
        <v>0</v>
      </c>
      <c r="BZ90" t="str">
        <f t="shared" si="81"/>
        <v/>
      </c>
      <c r="CA90" t="str">
        <f t="shared" si="82"/>
        <v/>
      </c>
      <c r="CE90" s="609"/>
    </row>
    <row r="91" spans="2:83" x14ac:dyDescent="0.25">
      <c r="B91" s="591">
        <v>23</v>
      </c>
      <c r="C91">
        <f t="shared" si="47"/>
        <v>0</v>
      </c>
      <c r="D91">
        <f>IF(C91=0,0,1+MAX(D$69:D90))</f>
        <v>0</v>
      </c>
      <c r="E91">
        <f t="shared" si="56"/>
        <v>0</v>
      </c>
      <c r="F91" t="str">
        <f t="shared" si="57"/>
        <v/>
      </c>
      <c r="G91" t="str">
        <f t="shared" si="58"/>
        <v/>
      </c>
      <c r="K91" s="609">
        <v>23</v>
      </c>
      <c r="L91">
        <f t="shared" si="48"/>
        <v>0</v>
      </c>
      <c r="M91">
        <f>IF(L91=0,0,1+MAX(M$69:M90))</f>
        <v>0</v>
      </c>
      <c r="N91">
        <f t="shared" si="59"/>
        <v>0</v>
      </c>
      <c r="O91" t="str">
        <f t="shared" si="60"/>
        <v/>
      </c>
      <c r="P91" t="str">
        <f t="shared" si="61"/>
        <v/>
      </c>
      <c r="T91" s="609">
        <v>23</v>
      </c>
      <c r="U91">
        <f t="shared" si="49"/>
        <v>0</v>
      </c>
      <c r="V91">
        <f>IF(U91=0,0,1+MAX(V$69:V90))</f>
        <v>0</v>
      </c>
      <c r="W91">
        <f t="shared" si="62"/>
        <v>0</v>
      </c>
      <c r="X91" t="str">
        <f t="shared" si="63"/>
        <v/>
      </c>
      <c r="Y91" t="str">
        <f t="shared" si="64"/>
        <v/>
      </c>
      <c r="AC91" s="609">
        <v>23</v>
      </c>
      <c r="AD91">
        <f t="shared" si="50"/>
        <v>0</v>
      </c>
      <c r="AE91">
        <f>IF(AD91=0,0,1+MAX(AE$69:AE90))</f>
        <v>0</v>
      </c>
      <c r="AF91">
        <f t="shared" si="65"/>
        <v>0</v>
      </c>
      <c r="AG91" t="str">
        <f t="shared" si="66"/>
        <v/>
      </c>
      <c r="AH91" t="str">
        <f t="shared" si="67"/>
        <v/>
      </c>
      <c r="AL91" s="609">
        <v>23</v>
      </c>
      <c r="AM91">
        <f t="shared" si="51"/>
        <v>0</v>
      </c>
      <c r="AN91">
        <f>IF(AM91=0,0,1+MAX(AN$69:AN90))</f>
        <v>0</v>
      </c>
      <c r="AO91">
        <f t="shared" si="68"/>
        <v>0</v>
      </c>
      <c r="AP91" t="str">
        <f t="shared" si="69"/>
        <v/>
      </c>
      <c r="AQ91" t="str">
        <f t="shared" si="70"/>
        <v/>
      </c>
      <c r="AU91" s="609">
        <v>23</v>
      </c>
      <c r="AV91">
        <f t="shared" si="52"/>
        <v>0</v>
      </c>
      <c r="AW91">
        <f>IF(AV91=0,0,1+MAX(AW$69:AW90))</f>
        <v>0</v>
      </c>
      <c r="AX91">
        <f t="shared" si="71"/>
        <v>0</v>
      </c>
      <c r="AY91" t="str">
        <f t="shared" si="72"/>
        <v/>
      </c>
      <c r="AZ91" t="str">
        <f t="shared" si="73"/>
        <v/>
      </c>
      <c r="BD91" s="609">
        <v>23</v>
      </c>
      <c r="BE91">
        <f t="shared" si="53"/>
        <v>0</v>
      </c>
      <c r="BF91">
        <f>IF(BE91=0,0,1+MAX(BF$69:BF90))</f>
        <v>0</v>
      </c>
      <c r="BG91">
        <f t="shared" si="74"/>
        <v>0</v>
      </c>
      <c r="BH91" t="str">
        <f t="shared" si="75"/>
        <v/>
      </c>
      <c r="BI91" t="str">
        <f t="shared" si="76"/>
        <v/>
      </c>
      <c r="BM91" s="609">
        <v>23</v>
      </c>
      <c r="BN91">
        <f t="shared" si="54"/>
        <v>0</v>
      </c>
      <c r="BO91">
        <f>IF(BN91=0,0,1+MAX(BO$69:BO90))</f>
        <v>0</v>
      </c>
      <c r="BP91">
        <f t="shared" si="77"/>
        <v>0</v>
      </c>
      <c r="BQ91" t="str">
        <f t="shared" si="78"/>
        <v/>
      </c>
      <c r="BR91" t="str">
        <f t="shared" si="79"/>
        <v/>
      </c>
      <c r="BV91" s="609">
        <v>23</v>
      </c>
      <c r="BW91">
        <f t="shared" si="55"/>
        <v>0</v>
      </c>
      <c r="BX91">
        <f>IF(BW91=0,0,1+MAX(BX$69:BX90))</f>
        <v>0</v>
      </c>
      <c r="BY91">
        <f t="shared" si="80"/>
        <v>0</v>
      </c>
      <c r="BZ91" t="str">
        <f t="shared" si="81"/>
        <v/>
      </c>
      <c r="CA91" t="str">
        <f t="shared" si="82"/>
        <v/>
      </c>
      <c r="CE91" s="609"/>
    </row>
    <row r="92" spans="2:83" x14ac:dyDescent="0.25">
      <c r="B92" s="591">
        <v>24</v>
      </c>
      <c r="C92">
        <f t="shared" si="47"/>
        <v>0</v>
      </c>
      <c r="D92">
        <f>IF(C92=0,0,1+MAX(D$69:D91))</f>
        <v>0</v>
      </c>
      <c r="E92">
        <f t="shared" si="56"/>
        <v>0</v>
      </c>
      <c r="F92" t="str">
        <f t="shared" si="57"/>
        <v/>
      </c>
      <c r="G92" t="str">
        <f t="shared" si="58"/>
        <v/>
      </c>
      <c r="K92" s="609">
        <v>24</v>
      </c>
      <c r="L92">
        <f t="shared" si="48"/>
        <v>0</v>
      </c>
      <c r="M92">
        <f>IF(L92=0,0,1+MAX(M$69:M91))</f>
        <v>0</v>
      </c>
      <c r="N92">
        <f t="shared" si="59"/>
        <v>0</v>
      </c>
      <c r="O92" t="str">
        <f t="shared" si="60"/>
        <v/>
      </c>
      <c r="P92" t="str">
        <f t="shared" si="61"/>
        <v/>
      </c>
      <c r="T92" s="609">
        <v>24</v>
      </c>
      <c r="U92">
        <f t="shared" si="49"/>
        <v>0</v>
      </c>
      <c r="V92">
        <f>IF(U92=0,0,1+MAX(V$69:V91))</f>
        <v>0</v>
      </c>
      <c r="W92">
        <f t="shared" si="62"/>
        <v>0</v>
      </c>
      <c r="X92" t="str">
        <f t="shared" si="63"/>
        <v/>
      </c>
      <c r="Y92" t="str">
        <f t="shared" si="64"/>
        <v/>
      </c>
      <c r="AC92" s="609">
        <v>24</v>
      </c>
      <c r="AD92">
        <f t="shared" si="50"/>
        <v>0</v>
      </c>
      <c r="AE92">
        <f>IF(AD92=0,0,1+MAX(AE$69:AE91))</f>
        <v>0</v>
      </c>
      <c r="AF92">
        <f t="shared" si="65"/>
        <v>0</v>
      </c>
      <c r="AG92" t="str">
        <f t="shared" si="66"/>
        <v/>
      </c>
      <c r="AH92" t="str">
        <f t="shared" si="67"/>
        <v/>
      </c>
      <c r="AL92" s="609">
        <v>24</v>
      </c>
      <c r="AM92">
        <f t="shared" si="51"/>
        <v>0</v>
      </c>
      <c r="AN92">
        <f>IF(AM92=0,0,1+MAX(AN$69:AN91))</f>
        <v>0</v>
      </c>
      <c r="AO92">
        <f t="shared" si="68"/>
        <v>0</v>
      </c>
      <c r="AP92" t="str">
        <f t="shared" si="69"/>
        <v/>
      </c>
      <c r="AQ92" t="str">
        <f t="shared" si="70"/>
        <v/>
      </c>
      <c r="AU92" s="609">
        <v>24</v>
      </c>
      <c r="AV92">
        <f t="shared" si="52"/>
        <v>0</v>
      </c>
      <c r="AW92">
        <f>IF(AV92=0,0,1+MAX(AW$69:AW91))</f>
        <v>0</v>
      </c>
      <c r="AX92">
        <f t="shared" si="71"/>
        <v>0</v>
      </c>
      <c r="AY92" t="str">
        <f t="shared" si="72"/>
        <v/>
      </c>
      <c r="AZ92" t="str">
        <f t="shared" si="73"/>
        <v/>
      </c>
      <c r="BD92" s="609">
        <v>24</v>
      </c>
      <c r="BE92">
        <f t="shared" si="53"/>
        <v>0</v>
      </c>
      <c r="BF92">
        <f>IF(BE92=0,0,1+MAX(BF$69:BF91))</f>
        <v>0</v>
      </c>
      <c r="BG92">
        <f t="shared" si="74"/>
        <v>0</v>
      </c>
      <c r="BH92" t="str">
        <f t="shared" si="75"/>
        <v/>
      </c>
      <c r="BI92" t="str">
        <f t="shared" si="76"/>
        <v/>
      </c>
      <c r="BM92" s="609">
        <v>24</v>
      </c>
      <c r="BN92">
        <f t="shared" si="54"/>
        <v>0</v>
      </c>
      <c r="BO92">
        <f>IF(BN92=0,0,1+MAX(BO$69:BO91))</f>
        <v>0</v>
      </c>
      <c r="BP92">
        <f t="shared" si="77"/>
        <v>0</v>
      </c>
      <c r="BQ92" t="str">
        <f t="shared" si="78"/>
        <v/>
      </c>
      <c r="BR92" t="str">
        <f t="shared" si="79"/>
        <v/>
      </c>
      <c r="BV92" s="609">
        <v>24</v>
      </c>
      <c r="BW92">
        <f t="shared" si="55"/>
        <v>0</v>
      </c>
      <c r="BX92">
        <f>IF(BW92=0,0,1+MAX(BX$69:BX91))</f>
        <v>0</v>
      </c>
      <c r="BY92">
        <f t="shared" si="80"/>
        <v>0</v>
      </c>
      <c r="BZ92" t="str">
        <f t="shared" si="81"/>
        <v/>
      </c>
      <c r="CA92" t="str">
        <f t="shared" si="82"/>
        <v/>
      </c>
      <c r="CE92" s="609"/>
    </row>
    <row r="93" spans="2:83" x14ac:dyDescent="0.25">
      <c r="B93" s="591">
        <v>25</v>
      </c>
      <c r="C93">
        <f t="shared" si="47"/>
        <v>0</v>
      </c>
      <c r="D93">
        <f>IF(C93=0,0,1+MAX(D$69:D92))</f>
        <v>0</v>
      </c>
      <c r="E93">
        <f t="shared" si="56"/>
        <v>0</v>
      </c>
      <c r="F93" t="str">
        <f t="shared" si="57"/>
        <v/>
      </c>
      <c r="G93" t="str">
        <f t="shared" si="58"/>
        <v/>
      </c>
      <c r="K93" s="609">
        <v>25</v>
      </c>
      <c r="L93">
        <f t="shared" si="48"/>
        <v>0</v>
      </c>
      <c r="M93">
        <f>IF(L93=0,0,1+MAX(M$69:M92))</f>
        <v>0</v>
      </c>
      <c r="N93">
        <f t="shared" si="59"/>
        <v>0</v>
      </c>
      <c r="O93" t="str">
        <f t="shared" si="60"/>
        <v/>
      </c>
      <c r="P93" t="str">
        <f t="shared" si="61"/>
        <v/>
      </c>
      <c r="T93" s="609">
        <v>25</v>
      </c>
      <c r="U93">
        <f t="shared" si="49"/>
        <v>0</v>
      </c>
      <c r="V93">
        <f>IF(U93=0,0,1+MAX(V$69:V92))</f>
        <v>0</v>
      </c>
      <c r="W93">
        <f t="shared" si="62"/>
        <v>0</v>
      </c>
      <c r="X93" t="str">
        <f t="shared" si="63"/>
        <v/>
      </c>
      <c r="Y93" t="str">
        <f t="shared" si="64"/>
        <v/>
      </c>
      <c r="AC93" s="609">
        <v>25</v>
      </c>
      <c r="AD93">
        <f t="shared" si="50"/>
        <v>0</v>
      </c>
      <c r="AE93">
        <f>IF(AD93=0,0,1+MAX(AE$69:AE92))</f>
        <v>0</v>
      </c>
      <c r="AF93">
        <f t="shared" si="65"/>
        <v>0</v>
      </c>
      <c r="AG93" t="str">
        <f t="shared" si="66"/>
        <v/>
      </c>
      <c r="AH93" t="str">
        <f t="shared" si="67"/>
        <v/>
      </c>
      <c r="AL93" s="609">
        <v>25</v>
      </c>
      <c r="AM93">
        <f t="shared" si="51"/>
        <v>0</v>
      </c>
      <c r="AN93">
        <f>IF(AM93=0,0,1+MAX(AN$69:AN92))</f>
        <v>0</v>
      </c>
      <c r="AO93">
        <f t="shared" si="68"/>
        <v>0</v>
      </c>
      <c r="AP93" t="str">
        <f t="shared" si="69"/>
        <v/>
      </c>
      <c r="AQ93" t="str">
        <f t="shared" si="70"/>
        <v/>
      </c>
      <c r="AU93" s="609">
        <v>25</v>
      </c>
      <c r="AV93">
        <f t="shared" si="52"/>
        <v>0</v>
      </c>
      <c r="AW93">
        <f>IF(AV93=0,0,1+MAX(AW$69:AW92))</f>
        <v>0</v>
      </c>
      <c r="AX93">
        <f t="shared" si="71"/>
        <v>0</v>
      </c>
      <c r="AY93" t="str">
        <f t="shared" si="72"/>
        <v/>
      </c>
      <c r="AZ93" t="str">
        <f t="shared" si="73"/>
        <v/>
      </c>
      <c r="BD93" s="609">
        <v>25</v>
      </c>
      <c r="BE93">
        <f t="shared" si="53"/>
        <v>0</v>
      </c>
      <c r="BF93">
        <f>IF(BE93=0,0,1+MAX(BF$69:BF92))</f>
        <v>0</v>
      </c>
      <c r="BG93">
        <f t="shared" si="74"/>
        <v>0</v>
      </c>
      <c r="BH93" t="str">
        <f t="shared" si="75"/>
        <v/>
      </c>
      <c r="BI93" t="str">
        <f t="shared" si="76"/>
        <v/>
      </c>
      <c r="BM93" s="609">
        <v>25</v>
      </c>
      <c r="BN93">
        <f t="shared" si="54"/>
        <v>0</v>
      </c>
      <c r="BO93">
        <f>IF(BN93=0,0,1+MAX(BO$69:BO92))</f>
        <v>0</v>
      </c>
      <c r="BP93">
        <f t="shared" si="77"/>
        <v>0</v>
      </c>
      <c r="BQ93" t="str">
        <f t="shared" si="78"/>
        <v/>
      </c>
      <c r="BR93" t="str">
        <f t="shared" si="79"/>
        <v/>
      </c>
      <c r="BV93" s="609">
        <v>25</v>
      </c>
      <c r="BW93">
        <f t="shared" si="55"/>
        <v>0</v>
      </c>
      <c r="BX93">
        <f>IF(BW93=0,0,1+MAX(BX$69:BX92))</f>
        <v>0</v>
      </c>
      <c r="BY93">
        <f t="shared" si="80"/>
        <v>0</v>
      </c>
      <c r="BZ93" t="str">
        <f t="shared" si="81"/>
        <v/>
      </c>
      <c r="CA93" t="str">
        <f t="shared" si="82"/>
        <v/>
      </c>
      <c r="CE93" s="609"/>
    </row>
    <row r="94" spans="2:83" x14ac:dyDescent="0.25">
      <c r="B94" s="591">
        <v>26</v>
      </c>
      <c r="C94">
        <f t="shared" si="47"/>
        <v>0</v>
      </c>
      <c r="D94">
        <f>IF(C94=0,0,1+MAX(D$69:D93))</f>
        <v>0</v>
      </c>
      <c r="E94">
        <f t="shared" si="56"/>
        <v>0</v>
      </c>
      <c r="F94" t="str">
        <f t="shared" si="57"/>
        <v/>
      </c>
      <c r="G94" t="str">
        <f t="shared" si="58"/>
        <v/>
      </c>
      <c r="K94" s="609">
        <v>26</v>
      </c>
      <c r="L94">
        <f t="shared" si="48"/>
        <v>0</v>
      </c>
      <c r="M94">
        <f>IF(L94=0,0,1+MAX(M$69:M93))</f>
        <v>0</v>
      </c>
      <c r="N94">
        <f t="shared" si="59"/>
        <v>0</v>
      </c>
      <c r="O94" t="str">
        <f t="shared" si="60"/>
        <v/>
      </c>
      <c r="P94" t="str">
        <f t="shared" si="61"/>
        <v/>
      </c>
      <c r="T94" s="609">
        <v>26</v>
      </c>
      <c r="U94">
        <f t="shared" si="49"/>
        <v>0</v>
      </c>
      <c r="V94">
        <f>IF(U94=0,0,1+MAX(V$69:V93))</f>
        <v>0</v>
      </c>
      <c r="W94">
        <f t="shared" si="62"/>
        <v>0</v>
      </c>
      <c r="X94" t="str">
        <f t="shared" si="63"/>
        <v/>
      </c>
      <c r="Y94" t="str">
        <f t="shared" si="64"/>
        <v/>
      </c>
      <c r="AC94" s="609">
        <v>26</v>
      </c>
      <c r="AD94">
        <f t="shared" si="50"/>
        <v>0</v>
      </c>
      <c r="AE94">
        <f>IF(AD94=0,0,1+MAX(AE$69:AE93))</f>
        <v>0</v>
      </c>
      <c r="AF94">
        <f t="shared" si="65"/>
        <v>0</v>
      </c>
      <c r="AG94" t="str">
        <f t="shared" si="66"/>
        <v/>
      </c>
      <c r="AH94" t="str">
        <f t="shared" si="67"/>
        <v/>
      </c>
      <c r="AL94" s="609">
        <v>26</v>
      </c>
      <c r="AM94">
        <f t="shared" si="51"/>
        <v>0</v>
      </c>
      <c r="AN94">
        <f>IF(AM94=0,0,1+MAX(AN$69:AN93))</f>
        <v>0</v>
      </c>
      <c r="AO94">
        <f t="shared" si="68"/>
        <v>0</v>
      </c>
      <c r="AP94" t="str">
        <f t="shared" si="69"/>
        <v/>
      </c>
      <c r="AQ94" t="str">
        <f t="shared" si="70"/>
        <v/>
      </c>
      <c r="AU94" s="609">
        <v>26</v>
      </c>
      <c r="AV94">
        <f t="shared" si="52"/>
        <v>0</v>
      </c>
      <c r="AW94">
        <f>IF(AV94=0,0,1+MAX(AW$69:AW93))</f>
        <v>0</v>
      </c>
      <c r="AX94">
        <f t="shared" si="71"/>
        <v>0</v>
      </c>
      <c r="AY94" t="str">
        <f t="shared" si="72"/>
        <v/>
      </c>
      <c r="AZ94" t="str">
        <f t="shared" si="73"/>
        <v/>
      </c>
      <c r="BD94" s="609">
        <v>26</v>
      </c>
      <c r="BE94">
        <f t="shared" si="53"/>
        <v>0</v>
      </c>
      <c r="BF94">
        <f>IF(BE94=0,0,1+MAX(BF$69:BF93))</f>
        <v>0</v>
      </c>
      <c r="BG94">
        <f t="shared" si="74"/>
        <v>0</v>
      </c>
      <c r="BH94" t="str">
        <f t="shared" si="75"/>
        <v/>
      </c>
      <c r="BI94" t="str">
        <f t="shared" si="76"/>
        <v/>
      </c>
      <c r="BM94" s="609">
        <v>26</v>
      </c>
      <c r="BN94">
        <f t="shared" si="54"/>
        <v>0</v>
      </c>
      <c r="BO94">
        <f>IF(BN94=0,0,1+MAX(BO$69:BO93))</f>
        <v>0</v>
      </c>
      <c r="BP94">
        <f t="shared" si="77"/>
        <v>0</v>
      </c>
      <c r="BQ94" t="str">
        <f t="shared" si="78"/>
        <v/>
      </c>
      <c r="BR94" t="str">
        <f t="shared" si="79"/>
        <v/>
      </c>
      <c r="BV94" s="609">
        <v>26</v>
      </c>
      <c r="BW94">
        <f t="shared" si="55"/>
        <v>0</v>
      </c>
      <c r="BX94">
        <f>IF(BW94=0,0,1+MAX(BX$69:BX93))</f>
        <v>0</v>
      </c>
      <c r="BY94">
        <f t="shared" si="80"/>
        <v>0</v>
      </c>
      <c r="BZ94" t="str">
        <f t="shared" si="81"/>
        <v/>
      </c>
      <c r="CA94" t="str">
        <f t="shared" si="82"/>
        <v/>
      </c>
      <c r="CE94" s="609"/>
    </row>
    <row r="95" spans="2:83" x14ac:dyDescent="0.25">
      <c r="B95" s="591">
        <v>27</v>
      </c>
      <c r="C95">
        <f t="shared" si="47"/>
        <v>0</v>
      </c>
      <c r="D95">
        <f>IF(C95=0,0,1+MAX(D$69:D94))</f>
        <v>0</v>
      </c>
      <c r="E95">
        <f t="shared" si="56"/>
        <v>0</v>
      </c>
      <c r="F95" t="str">
        <f t="shared" si="57"/>
        <v/>
      </c>
      <c r="G95" t="str">
        <f t="shared" si="58"/>
        <v/>
      </c>
      <c r="K95" s="609">
        <v>27</v>
      </c>
      <c r="L95">
        <f t="shared" si="48"/>
        <v>0</v>
      </c>
      <c r="M95">
        <f>IF(L95=0,0,1+MAX(M$69:M94))</f>
        <v>0</v>
      </c>
      <c r="N95">
        <f t="shared" si="59"/>
        <v>0</v>
      </c>
      <c r="O95" t="str">
        <f t="shared" si="60"/>
        <v/>
      </c>
      <c r="P95" t="str">
        <f t="shared" si="61"/>
        <v/>
      </c>
      <c r="T95" s="609">
        <v>27</v>
      </c>
      <c r="U95">
        <f t="shared" si="49"/>
        <v>0</v>
      </c>
      <c r="V95">
        <f>IF(U95=0,0,1+MAX(V$69:V94))</f>
        <v>0</v>
      </c>
      <c r="W95">
        <f t="shared" si="62"/>
        <v>0</v>
      </c>
      <c r="X95" t="str">
        <f t="shared" si="63"/>
        <v/>
      </c>
      <c r="Y95" t="str">
        <f t="shared" si="64"/>
        <v/>
      </c>
      <c r="AC95" s="609">
        <v>27</v>
      </c>
      <c r="AD95">
        <f t="shared" si="50"/>
        <v>0</v>
      </c>
      <c r="AE95">
        <f>IF(AD95=0,0,1+MAX(AE$69:AE94))</f>
        <v>0</v>
      </c>
      <c r="AF95">
        <f t="shared" si="65"/>
        <v>0</v>
      </c>
      <c r="AG95" t="str">
        <f t="shared" si="66"/>
        <v/>
      </c>
      <c r="AH95" t="str">
        <f t="shared" si="67"/>
        <v/>
      </c>
      <c r="AL95" s="609">
        <v>27</v>
      </c>
      <c r="AM95">
        <f t="shared" si="51"/>
        <v>0</v>
      </c>
      <c r="AN95">
        <f>IF(AM95=0,0,1+MAX(AN$69:AN94))</f>
        <v>0</v>
      </c>
      <c r="AO95">
        <f t="shared" si="68"/>
        <v>0</v>
      </c>
      <c r="AP95" t="str">
        <f t="shared" si="69"/>
        <v/>
      </c>
      <c r="AQ95" t="str">
        <f t="shared" si="70"/>
        <v/>
      </c>
      <c r="AU95" s="609">
        <v>27</v>
      </c>
      <c r="AV95">
        <f t="shared" si="52"/>
        <v>0</v>
      </c>
      <c r="AW95">
        <f>IF(AV95=0,0,1+MAX(AW$69:AW94))</f>
        <v>0</v>
      </c>
      <c r="AX95">
        <f t="shared" si="71"/>
        <v>0</v>
      </c>
      <c r="AY95" t="str">
        <f t="shared" si="72"/>
        <v/>
      </c>
      <c r="AZ95" t="str">
        <f t="shared" si="73"/>
        <v/>
      </c>
      <c r="BD95" s="609">
        <v>27</v>
      </c>
      <c r="BE95">
        <f t="shared" si="53"/>
        <v>0</v>
      </c>
      <c r="BF95">
        <f>IF(BE95=0,0,1+MAX(BF$69:BF94))</f>
        <v>0</v>
      </c>
      <c r="BG95">
        <f t="shared" si="74"/>
        <v>0</v>
      </c>
      <c r="BH95" t="str">
        <f t="shared" si="75"/>
        <v/>
      </c>
      <c r="BI95" t="str">
        <f t="shared" si="76"/>
        <v/>
      </c>
      <c r="BM95" s="609">
        <v>27</v>
      </c>
      <c r="BN95">
        <f t="shared" si="54"/>
        <v>0</v>
      </c>
      <c r="BO95">
        <f>IF(BN95=0,0,1+MAX(BO$69:BO94))</f>
        <v>0</v>
      </c>
      <c r="BP95">
        <f t="shared" si="77"/>
        <v>0</v>
      </c>
      <c r="BQ95" t="str">
        <f t="shared" si="78"/>
        <v/>
      </c>
      <c r="BR95" t="str">
        <f t="shared" si="79"/>
        <v/>
      </c>
      <c r="BV95" s="609">
        <v>27</v>
      </c>
      <c r="BW95">
        <f t="shared" si="55"/>
        <v>0</v>
      </c>
      <c r="BX95">
        <f>IF(BW95=0,0,1+MAX(BX$69:BX94))</f>
        <v>0</v>
      </c>
      <c r="BY95">
        <f t="shared" si="80"/>
        <v>0</v>
      </c>
      <c r="BZ95" t="str">
        <f t="shared" si="81"/>
        <v/>
      </c>
      <c r="CA95" t="str">
        <f t="shared" si="82"/>
        <v/>
      </c>
      <c r="CE95" s="609"/>
    </row>
    <row r="96" spans="2:83" x14ac:dyDescent="0.25">
      <c r="B96" s="591">
        <v>28</v>
      </c>
      <c r="C96">
        <f t="shared" si="47"/>
        <v>0</v>
      </c>
      <c r="D96">
        <f>IF(C96=0,0,1+MAX(D$69:D95))</f>
        <v>0</v>
      </c>
      <c r="E96">
        <f t="shared" si="56"/>
        <v>0</v>
      </c>
      <c r="F96" t="str">
        <f t="shared" si="57"/>
        <v/>
      </c>
      <c r="G96" t="str">
        <f t="shared" si="58"/>
        <v/>
      </c>
      <c r="K96" s="609">
        <v>28</v>
      </c>
      <c r="L96">
        <f t="shared" si="48"/>
        <v>0</v>
      </c>
      <c r="M96">
        <f>IF(L96=0,0,1+MAX(M$69:M95))</f>
        <v>0</v>
      </c>
      <c r="N96">
        <f t="shared" si="59"/>
        <v>0</v>
      </c>
      <c r="O96" t="str">
        <f t="shared" si="60"/>
        <v/>
      </c>
      <c r="P96" t="str">
        <f t="shared" si="61"/>
        <v/>
      </c>
      <c r="T96" s="609">
        <v>28</v>
      </c>
      <c r="U96">
        <f t="shared" si="49"/>
        <v>0</v>
      </c>
      <c r="V96">
        <f>IF(U96=0,0,1+MAX(V$69:V95))</f>
        <v>0</v>
      </c>
      <c r="W96">
        <f t="shared" si="62"/>
        <v>0</v>
      </c>
      <c r="X96" t="str">
        <f t="shared" si="63"/>
        <v/>
      </c>
      <c r="Y96" t="str">
        <f t="shared" si="64"/>
        <v/>
      </c>
      <c r="AC96" s="609">
        <v>28</v>
      </c>
      <c r="AD96">
        <f t="shared" si="50"/>
        <v>0</v>
      </c>
      <c r="AE96">
        <f>IF(AD96=0,0,1+MAX(AE$69:AE95))</f>
        <v>0</v>
      </c>
      <c r="AF96">
        <f t="shared" si="65"/>
        <v>0</v>
      </c>
      <c r="AG96" t="str">
        <f t="shared" si="66"/>
        <v/>
      </c>
      <c r="AH96" t="str">
        <f t="shared" si="67"/>
        <v/>
      </c>
      <c r="AL96" s="609">
        <v>28</v>
      </c>
      <c r="AM96">
        <f t="shared" si="51"/>
        <v>0</v>
      </c>
      <c r="AN96">
        <f>IF(AM96=0,0,1+MAX(AN$69:AN95))</f>
        <v>0</v>
      </c>
      <c r="AO96">
        <f t="shared" si="68"/>
        <v>0</v>
      </c>
      <c r="AP96" t="str">
        <f t="shared" si="69"/>
        <v/>
      </c>
      <c r="AQ96" t="str">
        <f t="shared" si="70"/>
        <v/>
      </c>
      <c r="AU96" s="609">
        <v>28</v>
      </c>
      <c r="AV96">
        <f t="shared" si="52"/>
        <v>0</v>
      </c>
      <c r="AW96">
        <f>IF(AV96=0,0,1+MAX(AW$69:AW95))</f>
        <v>0</v>
      </c>
      <c r="AX96">
        <f t="shared" si="71"/>
        <v>0</v>
      </c>
      <c r="AY96" t="str">
        <f t="shared" si="72"/>
        <v/>
      </c>
      <c r="AZ96" t="str">
        <f t="shared" si="73"/>
        <v/>
      </c>
      <c r="BD96" s="609">
        <v>28</v>
      </c>
      <c r="BE96">
        <f t="shared" si="53"/>
        <v>0</v>
      </c>
      <c r="BF96">
        <f>IF(BE96=0,0,1+MAX(BF$69:BF95))</f>
        <v>0</v>
      </c>
      <c r="BG96">
        <f t="shared" si="74"/>
        <v>0</v>
      </c>
      <c r="BH96" t="str">
        <f t="shared" si="75"/>
        <v/>
      </c>
      <c r="BI96" t="str">
        <f t="shared" si="76"/>
        <v/>
      </c>
      <c r="BM96" s="609">
        <v>28</v>
      </c>
      <c r="BN96">
        <f t="shared" si="54"/>
        <v>0</v>
      </c>
      <c r="BO96">
        <f>IF(BN96=0,0,1+MAX(BO$69:BO95))</f>
        <v>0</v>
      </c>
      <c r="BP96">
        <f t="shared" si="77"/>
        <v>0</v>
      </c>
      <c r="BQ96" t="str">
        <f t="shared" si="78"/>
        <v/>
      </c>
      <c r="BR96" t="str">
        <f t="shared" si="79"/>
        <v/>
      </c>
      <c r="BV96" s="609">
        <v>28</v>
      </c>
      <c r="BW96">
        <f t="shared" si="55"/>
        <v>0</v>
      </c>
      <c r="BX96">
        <f>IF(BW96=0,0,1+MAX(BX$69:BX95))</f>
        <v>0</v>
      </c>
      <c r="BY96">
        <f t="shared" si="80"/>
        <v>0</v>
      </c>
      <c r="BZ96" t="str">
        <f t="shared" si="81"/>
        <v/>
      </c>
      <c r="CA96" t="str">
        <f t="shared" si="82"/>
        <v/>
      </c>
      <c r="CE96" s="609"/>
    </row>
    <row r="97" spans="2:83" x14ac:dyDescent="0.25">
      <c r="B97" s="591">
        <v>29</v>
      </c>
      <c r="C97">
        <f t="shared" si="47"/>
        <v>0</v>
      </c>
      <c r="D97">
        <f>IF(C97=0,0,1+MAX(D$69:D96))</f>
        <v>0</v>
      </c>
      <c r="E97">
        <f t="shared" si="56"/>
        <v>0</v>
      </c>
      <c r="F97" t="str">
        <f t="shared" si="57"/>
        <v/>
      </c>
      <c r="G97" t="str">
        <f t="shared" si="58"/>
        <v/>
      </c>
      <c r="K97" s="609">
        <v>29</v>
      </c>
      <c r="L97">
        <f t="shared" si="48"/>
        <v>0</v>
      </c>
      <c r="M97">
        <f>IF(L97=0,0,1+MAX(M$69:M96))</f>
        <v>0</v>
      </c>
      <c r="N97">
        <f t="shared" si="59"/>
        <v>0</v>
      </c>
      <c r="O97" t="str">
        <f t="shared" si="60"/>
        <v/>
      </c>
      <c r="P97" t="str">
        <f t="shared" si="61"/>
        <v/>
      </c>
      <c r="T97" s="609">
        <v>29</v>
      </c>
      <c r="U97">
        <f t="shared" si="49"/>
        <v>0</v>
      </c>
      <c r="V97">
        <f>IF(U97=0,0,1+MAX(V$69:V96))</f>
        <v>0</v>
      </c>
      <c r="W97">
        <f t="shared" si="62"/>
        <v>0</v>
      </c>
      <c r="X97" t="str">
        <f t="shared" si="63"/>
        <v/>
      </c>
      <c r="Y97" t="str">
        <f t="shared" si="64"/>
        <v/>
      </c>
      <c r="AC97" s="609">
        <v>29</v>
      </c>
      <c r="AD97">
        <f t="shared" si="50"/>
        <v>0</v>
      </c>
      <c r="AE97">
        <f>IF(AD97=0,0,1+MAX(AE$69:AE96))</f>
        <v>0</v>
      </c>
      <c r="AF97">
        <f t="shared" si="65"/>
        <v>0</v>
      </c>
      <c r="AG97" t="str">
        <f t="shared" si="66"/>
        <v/>
      </c>
      <c r="AH97" t="str">
        <f t="shared" si="67"/>
        <v/>
      </c>
      <c r="AL97" s="609">
        <v>29</v>
      </c>
      <c r="AM97">
        <f t="shared" si="51"/>
        <v>0</v>
      </c>
      <c r="AN97">
        <f>IF(AM97=0,0,1+MAX(AN$69:AN96))</f>
        <v>0</v>
      </c>
      <c r="AO97">
        <f t="shared" si="68"/>
        <v>0</v>
      </c>
      <c r="AP97" t="str">
        <f t="shared" si="69"/>
        <v/>
      </c>
      <c r="AQ97" t="str">
        <f t="shared" si="70"/>
        <v/>
      </c>
      <c r="AU97" s="609">
        <v>29</v>
      </c>
      <c r="AV97">
        <f t="shared" si="52"/>
        <v>0</v>
      </c>
      <c r="AW97">
        <f>IF(AV97=0,0,1+MAX(AW$69:AW96))</f>
        <v>0</v>
      </c>
      <c r="AX97">
        <f t="shared" si="71"/>
        <v>0</v>
      </c>
      <c r="AY97" t="str">
        <f t="shared" si="72"/>
        <v/>
      </c>
      <c r="AZ97" t="str">
        <f t="shared" si="73"/>
        <v/>
      </c>
      <c r="BD97" s="609">
        <v>29</v>
      </c>
      <c r="BE97">
        <f t="shared" si="53"/>
        <v>0</v>
      </c>
      <c r="BF97">
        <f>IF(BE97=0,0,1+MAX(BF$69:BF96))</f>
        <v>0</v>
      </c>
      <c r="BG97">
        <f t="shared" si="74"/>
        <v>0</v>
      </c>
      <c r="BH97" t="str">
        <f t="shared" si="75"/>
        <v/>
      </c>
      <c r="BI97" t="str">
        <f t="shared" si="76"/>
        <v/>
      </c>
      <c r="BM97" s="609">
        <v>29</v>
      </c>
      <c r="BN97">
        <f t="shared" si="54"/>
        <v>0</v>
      </c>
      <c r="BO97">
        <f>IF(BN97=0,0,1+MAX(BO$69:BO96))</f>
        <v>0</v>
      </c>
      <c r="BP97">
        <f t="shared" si="77"/>
        <v>0</v>
      </c>
      <c r="BQ97" t="str">
        <f t="shared" si="78"/>
        <v/>
      </c>
      <c r="BR97" t="str">
        <f t="shared" si="79"/>
        <v/>
      </c>
      <c r="BV97" s="609">
        <v>29</v>
      </c>
      <c r="BW97">
        <f t="shared" si="55"/>
        <v>0</v>
      </c>
      <c r="BX97">
        <f>IF(BW97=0,0,1+MAX(BX$69:BX96))</f>
        <v>0</v>
      </c>
      <c r="BY97">
        <f t="shared" si="80"/>
        <v>0</v>
      </c>
      <c r="BZ97" t="str">
        <f t="shared" si="81"/>
        <v/>
      </c>
      <c r="CA97" t="str">
        <f t="shared" si="82"/>
        <v/>
      </c>
      <c r="CE97" s="609"/>
    </row>
    <row r="98" spans="2:83" x14ac:dyDescent="0.25">
      <c r="B98" s="591">
        <v>30</v>
      </c>
      <c r="C98">
        <f t="shared" si="47"/>
        <v>0</v>
      </c>
      <c r="D98">
        <f>IF(C98=0,0,1+MAX(D$69:D97))</f>
        <v>0</v>
      </c>
      <c r="E98">
        <f t="shared" si="56"/>
        <v>0</v>
      </c>
      <c r="F98" t="str">
        <f t="shared" si="57"/>
        <v/>
      </c>
      <c r="G98" t="str">
        <f t="shared" si="58"/>
        <v/>
      </c>
      <c r="K98" s="609">
        <v>30</v>
      </c>
      <c r="L98">
        <f t="shared" si="48"/>
        <v>0</v>
      </c>
      <c r="M98">
        <f>IF(L98=0,0,1+MAX(M$69:M97))</f>
        <v>0</v>
      </c>
      <c r="N98">
        <f t="shared" si="59"/>
        <v>0</v>
      </c>
      <c r="O98" t="str">
        <f t="shared" si="60"/>
        <v/>
      </c>
      <c r="P98" t="str">
        <f t="shared" si="61"/>
        <v/>
      </c>
      <c r="T98" s="609">
        <v>30</v>
      </c>
      <c r="U98">
        <f t="shared" si="49"/>
        <v>0</v>
      </c>
      <c r="V98">
        <f>IF(U98=0,0,1+MAX(V$69:V97))</f>
        <v>0</v>
      </c>
      <c r="W98">
        <f t="shared" si="62"/>
        <v>0</v>
      </c>
      <c r="X98" t="str">
        <f t="shared" si="63"/>
        <v/>
      </c>
      <c r="Y98" t="str">
        <f t="shared" si="64"/>
        <v/>
      </c>
      <c r="AC98" s="609">
        <v>30</v>
      </c>
      <c r="AD98">
        <f t="shared" si="50"/>
        <v>0</v>
      </c>
      <c r="AE98">
        <f>IF(AD98=0,0,1+MAX(AE$69:AE97))</f>
        <v>0</v>
      </c>
      <c r="AF98">
        <f t="shared" si="65"/>
        <v>0</v>
      </c>
      <c r="AG98" t="str">
        <f t="shared" si="66"/>
        <v/>
      </c>
      <c r="AH98" t="str">
        <f t="shared" si="67"/>
        <v/>
      </c>
      <c r="AL98" s="609">
        <v>30</v>
      </c>
      <c r="AM98">
        <f t="shared" si="51"/>
        <v>0</v>
      </c>
      <c r="AN98">
        <f>IF(AM98=0,0,1+MAX(AN$69:AN97))</f>
        <v>0</v>
      </c>
      <c r="AO98">
        <f t="shared" si="68"/>
        <v>0</v>
      </c>
      <c r="AP98" t="str">
        <f t="shared" si="69"/>
        <v/>
      </c>
      <c r="AQ98" t="str">
        <f t="shared" si="70"/>
        <v/>
      </c>
      <c r="AU98" s="609">
        <v>30</v>
      </c>
      <c r="AV98">
        <f t="shared" si="52"/>
        <v>0</v>
      </c>
      <c r="AW98">
        <f>IF(AV98=0,0,1+MAX(AW$69:AW97))</f>
        <v>0</v>
      </c>
      <c r="AX98">
        <f t="shared" si="71"/>
        <v>0</v>
      </c>
      <c r="AY98" t="str">
        <f t="shared" si="72"/>
        <v/>
      </c>
      <c r="AZ98" t="str">
        <f t="shared" si="73"/>
        <v/>
      </c>
      <c r="BD98" s="609">
        <v>30</v>
      </c>
      <c r="BE98">
        <f t="shared" si="53"/>
        <v>0</v>
      </c>
      <c r="BF98">
        <f>IF(BE98=0,0,1+MAX(BF$69:BF97))</f>
        <v>0</v>
      </c>
      <c r="BG98">
        <f t="shared" si="74"/>
        <v>0</v>
      </c>
      <c r="BH98" t="str">
        <f t="shared" si="75"/>
        <v/>
      </c>
      <c r="BI98" t="str">
        <f t="shared" si="76"/>
        <v/>
      </c>
      <c r="BM98" s="609">
        <v>30</v>
      </c>
      <c r="BN98">
        <f t="shared" si="54"/>
        <v>0</v>
      </c>
      <c r="BO98">
        <f>IF(BN98=0,0,1+MAX(BO$69:BO97))</f>
        <v>0</v>
      </c>
      <c r="BP98">
        <f t="shared" si="77"/>
        <v>0</v>
      </c>
      <c r="BQ98" t="str">
        <f t="shared" si="78"/>
        <v/>
      </c>
      <c r="BR98" t="str">
        <f t="shared" si="79"/>
        <v/>
      </c>
      <c r="BV98" s="609">
        <v>30</v>
      </c>
      <c r="BW98">
        <f t="shared" si="55"/>
        <v>0</v>
      </c>
      <c r="BX98">
        <f>IF(BW98=0,0,1+MAX(BX$69:BX97))</f>
        <v>0</v>
      </c>
      <c r="BY98">
        <f t="shared" si="80"/>
        <v>0</v>
      </c>
      <c r="BZ98" t="str">
        <f t="shared" si="81"/>
        <v/>
      </c>
      <c r="CA98" t="str">
        <f t="shared" si="82"/>
        <v/>
      </c>
      <c r="CE98" s="609"/>
    </row>
  </sheetData>
  <mergeCells count="302">
    <mergeCell ref="B37:H66"/>
    <mergeCell ref="BN35:BR35"/>
    <mergeCell ref="BW35:CA35"/>
    <mergeCell ref="BE34:BI34"/>
    <mergeCell ref="BN34:BR34"/>
    <mergeCell ref="BW34:CA34"/>
    <mergeCell ref="C35:G35"/>
    <mergeCell ref="L35:P35"/>
    <mergeCell ref="U35:Y35"/>
    <mergeCell ref="AD35:AH35"/>
    <mergeCell ref="AM35:AQ35"/>
    <mergeCell ref="AV35:AZ35"/>
    <mergeCell ref="BE35:BI35"/>
    <mergeCell ref="C34:G34"/>
    <mergeCell ref="L34:P34"/>
    <mergeCell ref="U34:Y34"/>
    <mergeCell ref="AD34:AH34"/>
    <mergeCell ref="AM34:AQ34"/>
    <mergeCell ref="AV34:AZ34"/>
    <mergeCell ref="C33:G33"/>
    <mergeCell ref="L33:P33"/>
    <mergeCell ref="U33:Y33"/>
    <mergeCell ref="AD33:AH33"/>
    <mergeCell ref="AM33:AQ33"/>
    <mergeCell ref="AV33:AZ33"/>
    <mergeCell ref="BE33:BI33"/>
    <mergeCell ref="BN33:BR33"/>
    <mergeCell ref="BW33:CA33"/>
    <mergeCell ref="C32:G32"/>
    <mergeCell ref="L32:P32"/>
    <mergeCell ref="U32:Y32"/>
    <mergeCell ref="AD32:AH32"/>
    <mergeCell ref="AM32:AQ32"/>
    <mergeCell ref="AV32:AZ32"/>
    <mergeCell ref="BE32:BI32"/>
    <mergeCell ref="BN32:BR32"/>
    <mergeCell ref="BW32:CA32"/>
    <mergeCell ref="BE30:BI30"/>
    <mergeCell ref="BN30:BR30"/>
    <mergeCell ref="BW30:CA30"/>
    <mergeCell ref="C31:G31"/>
    <mergeCell ref="L31:P31"/>
    <mergeCell ref="U31:Y31"/>
    <mergeCell ref="AD31:AH31"/>
    <mergeCell ref="AM31:AQ31"/>
    <mergeCell ref="AV31:AZ31"/>
    <mergeCell ref="BE31:BI31"/>
    <mergeCell ref="C30:G30"/>
    <mergeCell ref="L30:P30"/>
    <mergeCell ref="U30:Y30"/>
    <mergeCell ref="AD30:AH30"/>
    <mergeCell ref="AM30:AQ30"/>
    <mergeCell ref="AV30:AZ30"/>
    <mergeCell ref="BN31:BR31"/>
    <mergeCell ref="BW31:CA31"/>
    <mergeCell ref="C29:G29"/>
    <mergeCell ref="L29:P29"/>
    <mergeCell ref="U29:Y29"/>
    <mergeCell ref="AD29:AH29"/>
    <mergeCell ref="AM29:AQ29"/>
    <mergeCell ref="AV29:AZ29"/>
    <mergeCell ref="BE29:BI29"/>
    <mergeCell ref="BN29:BR29"/>
    <mergeCell ref="BW29:CA29"/>
    <mergeCell ref="C28:G28"/>
    <mergeCell ref="L28:P28"/>
    <mergeCell ref="U28:Y28"/>
    <mergeCell ref="AD28:AH28"/>
    <mergeCell ref="AM28:AQ28"/>
    <mergeCell ref="AV28:AZ28"/>
    <mergeCell ref="BE28:BI28"/>
    <mergeCell ref="BN28:BR28"/>
    <mergeCell ref="BW28:CA28"/>
    <mergeCell ref="BE26:BI26"/>
    <mergeCell ref="BN26:BR26"/>
    <mergeCell ref="BW26:CA26"/>
    <mergeCell ref="C27:G27"/>
    <mergeCell ref="L27:P27"/>
    <mergeCell ref="U27:Y27"/>
    <mergeCell ref="AD27:AH27"/>
    <mergeCell ref="AM27:AQ27"/>
    <mergeCell ref="AV27:AZ27"/>
    <mergeCell ref="BE27:BI27"/>
    <mergeCell ref="C26:G26"/>
    <mergeCell ref="L26:P26"/>
    <mergeCell ref="U26:Y26"/>
    <mergeCell ref="AD26:AH26"/>
    <mergeCell ref="AM26:AQ26"/>
    <mergeCell ref="AV26:AZ26"/>
    <mergeCell ref="BN27:BR27"/>
    <mergeCell ref="BW27:CA27"/>
    <mergeCell ref="C25:G25"/>
    <mergeCell ref="L25:P25"/>
    <mergeCell ref="U25:Y25"/>
    <mergeCell ref="AD25:AH25"/>
    <mergeCell ref="AM25:AQ25"/>
    <mergeCell ref="AV25:AZ25"/>
    <mergeCell ref="BE25:BI25"/>
    <mergeCell ref="BN25:BR25"/>
    <mergeCell ref="BW25:CA25"/>
    <mergeCell ref="C24:G24"/>
    <mergeCell ref="L24:P24"/>
    <mergeCell ref="U24:Y24"/>
    <mergeCell ref="AD24:AH24"/>
    <mergeCell ref="AM24:AQ24"/>
    <mergeCell ref="AV24:AZ24"/>
    <mergeCell ref="BE24:BI24"/>
    <mergeCell ref="BN24:BR24"/>
    <mergeCell ref="BW24:CA24"/>
    <mergeCell ref="BE22:BI22"/>
    <mergeCell ref="BN22:BR22"/>
    <mergeCell ref="BW22:CA22"/>
    <mergeCell ref="C23:G23"/>
    <mergeCell ref="L23:P23"/>
    <mergeCell ref="U23:Y23"/>
    <mergeCell ref="AD23:AH23"/>
    <mergeCell ref="AM23:AQ23"/>
    <mergeCell ref="AV23:AZ23"/>
    <mergeCell ref="BE23:BI23"/>
    <mergeCell ref="C22:G22"/>
    <mergeCell ref="L22:P22"/>
    <mergeCell ref="U22:Y22"/>
    <mergeCell ref="AD22:AH22"/>
    <mergeCell ref="AM22:AQ22"/>
    <mergeCell ref="AV22:AZ22"/>
    <mergeCell ref="BN23:BR23"/>
    <mergeCell ref="BW23:CA23"/>
    <mergeCell ref="C21:G21"/>
    <mergeCell ref="L21:P21"/>
    <mergeCell ref="U21:Y21"/>
    <mergeCell ref="AD21:AH21"/>
    <mergeCell ref="AM21:AQ21"/>
    <mergeCell ref="AV21:AZ21"/>
    <mergeCell ref="BE21:BI21"/>
    <mergeCell ref="BN21:BR21"/>
    <mergeCell ref="BW21:CA21"/>
    <mergeCell ref="C20:G20"/>
    <mergeCell ref="L20:P20"/>
    <mergeCell ref="U20:Y20"/>
    <mergeCell ref="AD20:AH20"/>
    <mergeCell ref="AM20:AQ20"/>
    <mergeCell ref="AV20:AZ20"/>
    <mergeCell ref="BE20:BI20"/>
    <mergeCell ref="BN20:BR20"/>
    <mergeCell ref="BW20:CA20"/>
    <mergeCell ref="BE18:BI18"/>
    <mergeCell ref="BN18:BR18"/>
    <mergeCell ref="BW18:CA18"/>
    <mergeCell ref="C19:G19"/>
    <mergeCell ref="L19:P19"/>
    <mergeCell ref="U19:Y19"/>
    <mergeCell ref="AD19:AH19"/>
    <mergeCell ref="AM19:AQ19"/>
    <mergeCell ref="AV19:AZ19"/>
    <mergeCell ref="BE19:BI19"/>
    <mergeCell ref="C18:G18"/>
    <mergeCell ref="L18:P18"/>
    <mergeCell ref="U18:Y18"/>
    <mergeCell ref="AD18:AH18"/>
    <mergeCell ref="AM18:AQ18"/>
    <mergeCell ref="AV18:AZ18"/>
    <mergeCell ref="BN19:BR19"/>
    <mergeCell ref="BW19:CA19"/>
    <mergeCell ref="C17:G17"/>
    <mergeCell ref="L17:P17"/>
    <mergeCell ref="U17:Y17"/>
    <mergeCell ref="AD17:AH17"/>
    <mergeCell ref="AM17:AQ17"/>
    <mergeCell ref="AV17:AZ17"/>
    <mergeCell ref="BE17:BI17"/>
    <mergeCell ref="BN17:BR17"/>
    <mergeCell ref="BW17:CA17"/>
    <mergeCell ref="C16:G16"/>
    <mergeCell ref="L16:P16"/>
    <mergeCell ref="U16:Y16"/>
    <mergeCell ref="AD16:AH16"/>
    <mergeCell ref="AM16:AQ16"/>
    <mergeCell ref="AV16:AZ16"/>
    <mergeCell ref="BE16:BI16"/>
    <mergeCell ref="BN16:BR16"/>
    <mergeCell ref="BW16:CA16"/>
    <mergeCell ref="BE14:BI14"/>
    <mergeCell ref="BN14:BR14"/>
    <mergeCell ref="BW14:CA14"/>
    <mergeCell ref="C15:G15"/>
    <mergeCell ref="L15:P15"/>
    <mergeCell ref="U15:Y15"/>
    <mergeCell ref="AD15:AH15"/>
    <mergeCell ref="AM15:AQ15"/>
    <mergeCell ref="AV15:AZ15"/>
    <mergeCell ref="BE15:BI15"/>
    <mergeCell ref="C14:G14"/>
    <mergeCell ref="L14:P14"/>
    <mergeCell ref="U14:Y14"/>
    <mergeCell ref="AD14:AH14"/>
    <mergeCell ref="AM14:AQ14"/>
    <mergeCell ref="AV14:AZ14"/>
    <mergeCell ref="BN15:BR15"/>
    <mergeCell ref="BW15:CA15"/>
    <mergeCell ref="C13:G13"/>
    <mergeCell ref="L13:P13"/>
    <mergeCell ref="U13:Y13"/>
    <mergeCell ref="AD13:AH13"/>
    <mergeCell ref="AM13:AQ13"/>
    <mergeCell ref="AV13:AZ13"/>
    <mergeCell ref="BE13:BI13"/>
    <mergeCell ref="BN13:BR13"/>
    <mergeCell ref="BW13:CA13"/>
    <mergeCell ref="C12:G12"/>
    <mergeCell ref="L12:P12"/>
    <mergeCell ref="U12:Y12"/>
    <mergeCell ref="AD12:AH12"/>
    <mergeCell ref="AM12:AQ12"/>
    <mergeCell ref="AV12:AZ12"/>
    <mergeCell ref="BE12:BI12"/>
    <mergeCell ref="BN12:BR12"/>
    <mergeCell ref="BW12:CA12"/>
    <mergeCell ref="BE10:BI10"/>
    <mergeCell ref="BN10:BR10"/>
    <mergeCell ref="BW10:CA10"/>
    <mergeCell ref="C11:G11"/>
    <mergeCell ref="L11:P11"/>
    <mergeCell ref="U11:Y11"/>
    <mergeCell ref="AD11:AH11"/>
    <mergeCell ref="AM11:AQ11"/>
    <mergeCell ref="AV11:AZ11"/>
    <mergeCell ref="BE11:BI11"/>
    <mergeCell ref="C10:G10"/>
    <mergeCell ref="L10:P10"/>
    <mergeCell ref="U10:Y10"/>
    <mergeCell ref="AD10:AH10"/>
    <mergeCell ref="AM10:AQ10"/>
    <mergeCell ref="AV10:AZ10"/>
    <mergeCell ref="BN11:BR11"/>
    <mergeCell ref="BW11:CA11"/>
    <mergeCell ref="C9:G9"/>
    <mergeCell ref="L9:P9"/>
    <mergeCell ref="U9:Y9"/>
    <mergeCell ref="AD9:AH9"/>
    <mergeCell ref="AM9:AQ9"/>
    <mergeCell ref="AV9:AZ9"/>
    <mergeCell ref="BE9:BI9"/>
    <mergeCell ref="BN9:BR9"/>
    <mergeCell ref="BW9:CA9"/>
    <mergeCell ref="C8:G8"/>
    <mergeCell ref="L8:P8"/>
    <mergeCell ref="U8:Y8"/>
    <mergeCell ref="AD8:AH8"/>
    <mergeCell ref="AM8:AQ8"/>
    <mergeCell ref="AV8:AZ8"/>
    <mergeCell ref="BE8:BI8"/>
    <mergeCell ref="BN8:BR8"/>
    <mergeCell ref="BW8:CA8"/>
    <mergeCell ref="BE6:BI6"/>
    <mergeCell ref="BN6:BR6"/>
    <mergeCell ref="BW6:CA6"/>
    <mergeCell ref="C7:G7"/>
    <mergeCell ref="L7:P7"/>
    <mergeCell ref="U7:Y7"/>
    <mergeCell ref="AD7:AH7"/>
    <mergeCell ref="AM7:AQ7"/>
    <mergeCell ref="AV7:AZ7"/>
    <mergeCell ref="BE7:BI7"/>
    <mergeCell ref="C6:G6"/>
    <mergeCell ref="L6:P6"/>
    <mergeCell ref="U6:Y6"/>
    <mergeCell ref="AD6:AH6"/>
    <mergeCell ref="AM6:AQ6"/>
    <mergeCell ref="AV6:AZ6"/>
    <mergeCell ref="BN7:BR7"/>
    <mergeCell ref="BW7:CA7"/>
    <mergeCell ref="CZ5:DA5"/>
    <mergeCell ref="DB5:DC5"/>
    <mergeCell ref="B5:H5"/>
    <mergeCell ref="K5:Q5"/>
    <mergeCell ref="T5:Z5"/>
    <mergeCell ref="B2:D3"/>
    <mergeCell ref="E3:F3"/>
    <mergeCell ref="G3:H3"/>
    <mergeCell ref="J3:L3"/>
    <mergeCell ref="CL5:CM5"/>
    <mergeCell ref="CN5:CO5"/>
    <mergeCell ref="AC5:AI5"/>
    <mergeCell ref="AL5:AR5"/>
    <mergeCell ref="AU5:BA5"/>
    <mergeCell ref="BD5:BJ5"/>
    <mergeCell ref="BM5:BS5"/>
    <mergeCell ref="BV5:CB5"/>
    <mergeCell ref="M3:O3"/>
    <mergeCell ref="P3:Q3"/>
    <mergeCell ref="S3:U3"/>
    <mergeCell ref="V3:X3"/>
    <mergeCell ref="Y3:Z3"/>
    <mergeCell ref="B1:F1"/>
    <mergeCell ref="G1:K1"/>
    <mergeCell ref="L1:P1"/>
    <mergeCell ref="Q1:U1"/>
    <mergeCell ref="CP5:CQ5"/>
    <mergeCell ref="CR5:CS5"/>
    <mergeCell ref="CT5:CU5"/>
    <mergeCell ref="CV5:CW5"/>
    <mergeCell ref="CX5:CY5"/>
  </mergeCells>
  <dataValidations count="8">
    <dataValidation type="list" allowBlank="1" showInputMessage="1" showErrorMessage="1" sqref="CB6:CB35" xr:uid="{00000000-0002-0000-1200-000000000000}">
      <formula1>$CH$12</formula1>
    </dataValidation>
    <dataValidation type="list" allowBlank="1" showInputMessage="1" showErrorMessage="1" sqref="AI6:AJ35" xr:uid="{00000000-0002-0000-1200-000001000000}">
      <formula1>$CH$7</formula1>
    </dataValidation>
    <dataValidation type="list" allowBlank="1" showInputMessage="1" showErrorMessage="1" sqref="AR6:AS35" xr:uid="{00000000-0002-0000-1200-000002000000}">
      <formula1>$CH$8</formula1>
    </dataValidation>
    <dataValidation type="list" allowBlank="1" showInputMessage="1" showErrorMessage="1" sqref="BA6:BB35" xr:uid="{00000000-0002-0000-1200-000003000000}">
      <formula1>$CH$9</formula1>
    </dataValidation>
    <dataValidation type="list" allowBlank="1" showInputMessage="1" showErrorMessage="1" sqref="BJ6:BK35" xr:uid="{00000000-0002-0000-1200-000004000000}">
      <formula1>$CH$10</formula1>
    </dataValidation>
    <dataValidation type="list" allowBlank="1" showInputMessage="1" showErrorMessage="1" sqref="BS6:BT35" xr:uid="{00000000-0002-0000-1200-000005000000}">
      <formula1>$CH$11</formula1>
    </dataValidation>
    <dataValidation type="list" allowBlank="1" showInputMessage="1" showErrorMessage="1" sqref="Q6:Q35 H6:H35" xr:uid="{00000000-0002-0000-1200-000006000000}">
      <formula1>$CH$41</formula1>
    </dataValidation>
    <dataValidation type="list" allowBlank="1" showInputMessage="1" showErrorMessage="1" sqref="R6:R35" xr:uid="{00000000-0002-0000-1200-000007000000}">
      <formula1>$CH$42</formula1>
    </dataValidation>
  </dataValidations>
  <hyperlinks>
    <hyperlink ref="B1:D1" location="LinkSpellsKnown" display="Back to Spellcasting" xr:uid="{00000000-0004-0000-1200-000000000000}"/>
    <hyperlink ref="G1:I1" location="LinkSpellsKnown" display="Back to Spellcasting" xr:uid="{00000000-0004-0000-1200-000001000000}"/>
    <hyperlink ref="G1:K1" location="SpellsKnownWizard" display="to Wizard Spells Known" xr:uid="{00000000-0004-0000-1200-000002000000}"/>
    <hyperlink ref="L1:N1" location="LinkSpellsKnown" display="Back to Spellcasting" xr:uid="{00000000-0004-0000-1200-000003000000}"/>
    <hyperlink ref="L1:P1" location="SheetSpellBook" display="to Wizard Spells Known" xr:uid="{00000000-0004-0000-1200-000004000000}"/>
    <hyperlink ref="Q1:S1" location="LinkSpellsKnown" display="Back to Spellcasting" xr:uid="{00000000-0004-0000-1200-000005000000}"/>
    <hyperlink ref="Q1:U1" location="SpellCastingIndex" display="to Spellcasting Index" xr:uid="{00000000-0004-0000-1200-000006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1">
    <tabColor theme="4" tint="0.39997558519241921"/>
  </sheetPr>
  <dimension ref="A1:DF98"/>
  <sheetViews>
    <sheetView workbookViewId="0">
      <selection activeCell="B2" sqref="B2:AK3"/>
    </sheetView>
  </sheetViews>
  <sheetFormatPr defaultColWidth="4.7109375" defaultRowHeight="15" x14ac:dyDescent="0.25"/>
  <cols>
    <col min="1" max="16384" width="4.7109375" style="165"/>
  </cols>
  <sheetData>
    <row r="1" spans="1:110" ht="17.25" thickTop="1" thickBot="1" x14ac:dyDescent="0.3">
      <c r="A1" s="600"/>
      <c r="B1" s="1049" t="s">
        <v>6626</v>
      </c>
      <c r="C1" s="1049"/>
      <c r="D1" s="1049"/>
      <c r="E1" s="1049"/>
      <c r="F1" s="1049"/>
      <c r="G1" s="1049" t="s">
        <v>6649</v>
      </c>
      <c r="H1" s="1049"/>
      <c r="I1" s="1049"/>
      <c r="J1" s="1049"/>
      <c r="K1" s="1049"/>
      <c r="L1" s="1049" t="s">
        <v>6648</v>
      </c>
      <c r="M1" s="1049"/>
      <c r="N1" s="1049"/>
      <c r="O1" s="1049"/>
      <c r="P1" s="1049"/>
      <c r="Q1" s="1049" t="s">
        <v>6657</v>
      </c>
      <c r="R1" s="1049"/>
      <c r="S1" s="1049"/>
      <c r="T1" s="1049"/>
      <c r="U1" s="1049"/>
      <c r="V1" s="600"/>
      <c r="W1" s="600"/>
      <c r="X1" s="600"/>
      <c r="Y1" s="600"/>
      <c r="Z1" s="600"/>
      <c r="AA1" s="600"/>
      <c r="AB1" s="600"/>
      <c r="AC1" s="600"/>
      <c r="AD1" s="600"/>
      <c r="AE1" s="600"/>
      <c r="AF1" s="600"/>
      <c r="AG1" s="600"/>
      <c r="AH1" s="600"/>
      <c r="AI1" s="600"/>
      <c r="AJ1" s="600"/>
      <c r="AK1" s="600"/>
      <c r="AL1" s="600"/>
      <c r="AM1" s="600"/>
      <c r="AN1" s="600"/>
      <c r="AO1" s="600"/>
      <c r="AP1" s="600"/>
      <c r="AQ1" s="600"/>
      <c r="AR1" s="600"/>
      <c r="AS1" s="600"/>
      <c r="AT1" s="600"/>
      <c r="AU1" s="600"/>
      <c r="AV1" s="600"/>
      <c r="AW1" s="600"/>
      <c r="AX1" s="600"/>
      <c r="AY1" s="600"/>
      <c r="AZ1" s="600"/>
      <c r="BA1" s="600"/>
      <c r="BB1" s="600"/>
      <c r="BC1" s="600"/>
      <c r="BD1" s="600"/>
      <c r="BE1" s="600"/>
      <c r="BF1" s="600"/>
      <c r="BG1" s="600"/>
      <c r="BH1" s="600"/>
      <c r="BI1" s="600"/>
      <c r="BJ1" s="600"/>
      <c r="BK1" s="600"/>
      <c r="BL1" s="600"/>
      <c r="BM1" s="600"/>
      <c r="BN1" s="600"/>
      <c r="BO1" s="600"/>
      <c r="BP1" s="600"/>
      <c r="BQ1" s="600"/>
      <c r="BR1" s="600"/>
      <c r="BS1" s="600"/>
      <c r="BT1" s="600"/>
      <c r="BU1" s="600"/>
      <c r="BV1" s="600"/>
      <c r="BW1" s="600"/>
      <c r="BX1" s="600"/>
      <c r="BY1" s="600"/>
      <c r="BZ1" s="600"/>
      <c r="CA1" s="600"/>
      <c r="CB1" s="600"/>
      <c r="CC1" s="600"/>
      <c r="CD1" s="600"/>
      <c r="CE1" s="600"/>
      <c r="CF1" s="600"/>
      <c r="CG1" s="600"/>
      <c r="CH1" s="600"/>
      <c r="CI1" s="600"/>
      <c r="CJ1" s="600"/>
      <c r="CK1" s="600"/>
      <c r="CL1" s="600"/>
      <c r="CM1" s="600"/>
      <c r="CN1" s="600"/>
      <c r="CO1" s="600"/>
      <c r="CP1" s="600"/>
      <c r="CQ1" s="600"/>
      <c r="CR1" s="600"/>
      <c r="CS1" s="600"/>
      <c r="CT1" s="600"/>
      <c r="CU1" s="600"/>
      <c r="CV1" s="600"/>
      <c r="CW1" s="600"/>
      <c r="CX1" s="600"/>
      <c r="CY1" s="600"/>
      <c r="CZ1" s="600"/>
      <c r="DA1" s="600"/>
      <c r="DB1" s="600"/>
      <c r="DC1" s="600"/>
      <c r="DD1" s="600"/>
      <c r="DE1" s="600"/>
      <c r="DF1" s="600"/>
    </row>
    <row r="2" spans="1:110" ht="15.75" thickTop="1" x14ac:dyDescent="0.25">
      <c r="A2" s="600"/>
      <c r="B2" s="1086" t="s">
        <v>5111</v>
      </c>
      <c r="C2" s="1087"/>
      <c r="D2" s="1088"/>
      <c r="E2" s="1081" t="str">
        <f>IFERROR(INDEX(T041_ClassFeatures!$G$2:$G$1000,MATCH(FavoredSoul_Domain,T041_ClassFeatures!$B$2:$B$1000,0),1),"")</f>
        <v/>
      </c>
      <c r="F2" s="1082"/>
      <c r="G2" s="1082"/>
      <c r="H2" s="1082"/>
      <c r="I2" s="1082"/>
      <c r="J2" s="1082"/>
      <c r="K2" s="1082"/>
      <c r="L2" s="1082"/>
      <c r="M2" s="1082"/>
      <c r="N2" s="1082"/>
      <c r="O2" s="1082"/>
      <c r="P2" s="1082"/>
      <c r="Q2" s="1082"/>
      <c r="R2" s="1082"/>
      <c r="S2" s="1082"/>
      <c r="T2" s="1082"/>
      <c r="U2" s="1082"/>
      <c r="V2" s="1082"/>
      <c r="W2" s="1082"/>
      <c r="X2" s="1082"/>
      <c r="Y2" s="1082"/>
      <c r="Z2" s="1082"/>
      <c r="AA2" s="1082"/>
      <c r="AB2" s="1082"/>
      <c r="AC2" s="1082"/>
      <c r="AD2" s="1082"/>
      <c r="AE2" s="1082"/>
      <c r="AF2" s="1082"/>
      <c r="AG2" s="1082"/>
      <c r="AH2" s="1082"/>
      <c r="AI2" s="1082"/>
      <c r="AJ2" s="1082"/>
      <c r="AK2" s="1082"/>
      <c r="AL2" s="600"/>
      <c r="AM2" s="600"/>
      <c r="AN2" s="600"/>
      <c r="AO2" s="600"/>
      <c r="AP2" s="600"/>
      <c r="AQ2" s="600"/>
      <c r="AR2" s="600"/>
      <c r="AS2" s="600"/>
      <c r="AT2" s="600"/>
      <c r="AU2" s="600"/>
      <c r="AV2" s="600"/>
      <c r="AW2" s="600"/>
      <c r="AX2" s="600"/>
      <c r="AY2" s="600"/>
      <c r="AZ2" s="600"/>
      <c r="BA2" s="600"/>
      <c r="BB2" s="600"/>
      <c r="BC2" s="600"/>
      <c r="BD2" s="600"/>
      <c r="BE2" s="600"/>
      <c r="BF2" s="600"/>
      <c r="BG2" s="600"/>
      <c r="BH2" s="600"/>
      <c r="BI2" s="600"/>
      <c r="BJ2" s="600"/>
      <c r="BK2" s="600"/>
      <c r="BL2" s="600"/>
      <c r="BM2" s="600"/>
      <c r="BN2" s="600"/>
      <c r="BO2" s="600"/>
      <c r="BP2" s="600"/>
      <c r="BQ2" s="600"/>
      <c r="BR2" s="600"/>
      <c r="BS2" s="600"/>
      <c r="BT2" s="600"/>
      <c r="BU2" s="600"/>
      <c r="BV2" s="600"/>
      <c r="BW2" s="600"/>
      <c r="BX2" s="600"/>
      <c r="BY2" s="600"/>
      <c r="BZ2" s="600"/>
      <c r="CA2" s="600"/>
      <c r="CB2" s="600"/>
      <c r="CC2" s="600"/>
      <c r="CD2" s="600"/>
      <c r="CE2" s="600"/>
      <c r="CF2" s="600"/>
      <c r="CG2" s="600"/>
      <c r="CH2" s="600"/>
      <c r="CI2" s="600"/>
      <c r="CJ2" s="600"/>
      <c r="CK2" s="600"/>
      <c r="CL2" s="600"/>
      <c r="CM2" s="600"/>
      <c r="CN2" s="600"/>
      <c r="CO2" s="600"/>
      <c r="CP2" s="600"/>
      <c r="CQ2" s="600"/>
      <c r="CR2" s="600"/>
      <c r="CS2" s="600"/>
      <c r="CT2" s="600"/>
      <c r="CU2" s="600"/>
      <c r="CV2" s="600"/>
      <c r="CW2" s="600"/>
      <c r="CX2" s="600"/>
      <c r="CY2" s="600"/>
      <c r="CZ2" s="600"/>
      <c r="DA2" s="600"/>
      <c r="DB2" s="600"/>
      <c r="DC2" s="600"/>
      <c r="DD2" s="600"/>
      <c r="DE2" s="600"/>
      <c r="DF2" s="600"/>
    </row>
    <row r="3" spans="1:110" ht="15.75" thickBot="1" x14ac:dyDescent="0.3">
      <c r="A3" s="600"/>
      <c r="B3" s="1089"/>
      <c r="C3" s="1090"/>
      <c r="D3" s="1091"/>
      <c r="E3" s="1092" t="s">
        <v>62</v>
      </c>
      <c r="F3" s="1083"/>
      <c r="G3" s="1083">
        <f>SorcererLevel</f>
        <v>0</v>
      </c>
      <c r="H3" s="1083"/>
      <c r="I3" s="617"/>
      <c r="J3" s="1083" t="s">
        <v>4536</v>
      </c>
      <c r="K3" s="1083"/>
      <c r="L3" s="1083"/>
      <c r="M3" s="1085">
        <f>SorcererSpellsKnown</f>
        <v>0</v>
      </c>
      <c r="N3" s="1085"/>
      <c r="O3" s="1085"/>
      <c r="P3" s="1083" t="s">
        <v>6383</v>
      </c>
      <c r="Q3" s="1083"/>
      <c r="R3" s="617"/>
      <c r="S3" s="1085">
        <f>SorcererMaxSpellLevel</f>
        <v>0</v>
      </c>
      <c r="T3" s="1085"/>
      <c r="U3" s="1085"/>
      <c r="V3" s="600"/>
      <c r="W3" s="600"/>
      <c r="X3" s="600"/>
      <c r="Y3" s="600"/>
      <c r="Z3" s="600"/>
      <c r="AA3" s="600"/>
      <c r="AB3" s="600"/>
      <c r="AC3" s="600"/>
      <c r="AD3" s="600"/>
      <c r="AE3" s="600"/>
      <c r="AF3" s="600"/>
      <c r="AG3" s="600"/>
      <c r="AH3" s="600"/>
      <c r="AI3" s="600"/>
      <c r="AJ3" s="600"/>
      <c r="AK3" s="600"/>
      <c r="AL3" s="600"/>
      <c r="AM3" s="600"/>
      <c r="AN3" s="600"/>
      <c r="AO3" s="600"/>
      <c r="AP3" s="600"/>
      <c r="AQ3" s="600"/>
      <c r="AR3" s="600"/>
      <c r="AS3" s="600"/>
      <c r="AT3" s="600"/>
      <c r="AU3" s="600"/>
      <c r="AV3" s="600"/>
      <c r="AW3" s="600"/>
      <c r="AX3" s="600"/>
      <c r="AY3" s="600"/>
      <c r="AZ3" s="600"/>
      <c r="BA3" s="600"/>
      <c r="BB3" s="600"/>
      <c r="BC3" s="600"/>
      <c r="BD3" s="600"/>
      <c r="BE3" s="600"/>
      <c r="BF3" s="600"/>
      <c r="BG3" s="600"/>
      <c r="BH3" s="600"/>
      <c r="BI3" s="600"/>
      <c r="BJ3" s="600"/>
      <c r="BK3" s="600"/>
      <c r="BL3" s="600"/>
      <c r="BM3" s="600"/>
      <c r="BN3" s="600"/>
      <c r="BO3" s="600"/>
      <c r="BP3" s="600"/>
      <c r="BQ3" s="600"/>
      <c r="BR3" s="600"/>
      <c r="BS3" s="600"/>
      <c r="BT3" s="600"/>
      <c r="BU3" s="600"/>
      <c r="BV3" s="600"/>
      <c r="BW3" s="600"/>
      <c r="BX3" s="600"/>
      <c r="BY3" s="600"/>
      <c r="BZ3" s="600"/>
      <c r="CA3" s="600"/>
      <c r="CB3" s="600"/>
      <c r="CC3" s="600"/>
      <c r="CD3" s="600"/>
      <c r="CE3" s="600"/>
      <c r="CF3" s="600"/>
      <c r="CG3" s="600"/>
      <c r="CH3" s="600"/>
      <c r="CI3" s="600"/>
      <c r="CJ3" s="600"/>
      <c r="CK3" s="600"/>
      <c r="CL3" s="600"/>
      <c r="CM3" s="600"/>
      <c r="CN3" s="600"/>
      <c r="CO3" s="600"/>
      <c r="CP3" s="600"/>
      <c r="CQ3" s="600"/>
      <c r="CR3" s="600"/>
      <c r="CS3" s="600"/>
      <c r="CT3" s="600"/>
      <c r="CU3" s="600"/>
      <c r="CV3" s="600"/>
      <c r="CW3" s="600"/>
      <c r="CX3" s="600"/>
      <c r="CY3" s="600"/>
      <c r="CZ3" s="600"/>
      <c r="DA3" s="600"/>
      <c r="DB3" s="600"/>
      <c r="DC3" s="600"/>
      <c r="DD3" s="600"/>
      <c r="DE3" s="600"/>
      <c r="DF3" s="600"/>
    </row>
    <row r="4" spans="1:110" x14ac:dyDescent="0.25">
      <c r="A4" s="600"/>
      <c r="B4" s="600"/>
      <c r="C4" s="600"/>
      <c r="D4" s="600"/>
      <c r="E4" s="600"/>
      <c r="F4" s="600"/>
      <c r="G4" s="600"/>
      <c r="H4" s="600"/>
      <c r="I4" s="600"/>
      <c r="J4" s="600"/>
      <c r="K4" s="600"/>
      <c r="L4" s="600"/>
      <c r="M4" s="600"/>
      <c r="N4" s="600"/>
      <c r="O4" s="600"/>
      <c r="P4" s="600"/>
      <c r="Q4" s="600"/>
      <c r="R4" s="600"/>
      <c r="S4" s="600"/>
      <c r="T4" s="600"/>
      <c r="U4" s="600"/>
      <c r="V4" s="600"/>
      <c r="W4" s="600"/>
      <c r="X4" s="600"/>
      <c r="Y4" s="600"/>
      <c r="Z4" s="600"/>
      <c r="AA4" s="600"/>
      <c r="AB4" s="600"/>
      <c r="AC4" s="600"/>
      <c r="AD4" s="600"/>
      <c r="AE4" s="600"/>
      <c r="AF4" s="600"/>
      <c r="AG4" s="600"/>
      <c r="AH4" s="600"/>
      <c r="AI4" s="600"/>
      <c r="AJ4" s="600"/>
      <c r="AK4" s="600"/>
      <c r="AL4" s="600"/>
      <c r="AM4" s="600"/>
      <c r="AN4" s="600"/>
      <c r="AO4" s="600"/>
      <c r="AP4" s="600"/>
      <c r="AQ4" s="600"/>
      <c r="AR4" s="600"/>
      <c r="AS4" s="600"/>
      <c r="AT4" s="600"/>
      <c r="AU4" s="600"/>
      <c r="AV4" s="600"/>
      <c r="AW4" s="600"/>
      <c r="AX4" s="600"/>
      <c r="AY4" s="600"/>
      <c r="AZ4" s="600"/>
      <c r="BA4" s="600"/>
      <c r="BB4" s="600"/>
      <c r="BC4" s="600"/>
      <c r="BD4" s="600"/>
      <c r="BE4" s="600"/>
      <c r="BF4" s="600"/>
      <c r="BG4" s="600"/>
      <c r="BH4" s="600"/>
      <c r="BI4" s="600"/>
      <c r="BJ4" s="600"/>
      <c r="BK4" s="600"/>
      <c r="BL4" s="600"/>
      <c r="BM4" s="600"/>
      <c r="BN4" s="600"/>
      <c r="BO4" s="600"/>
      <c r="BP4" s="600"/>
      <c r="BQ4" s="600"/>
      <c r="BR4" s="600"/>
      <c r="BS4" s="600"/>
      <c r="BT4" s="600"/>
      <c r="BU4" s="600"/>
      <c r="BV4" s="600"/>
      <c r="BW4" s="600"/>
      <c r="BX4" s="600"/>
      <c r="BY4" s="600"/>
      <c r="BZ4" s="600"/>
      <c r="CA4" s="600"/>
      <c r="CB4" s="600"/>
      <c r="CC4" s="600"/>
      <c r="CD4" s="600"/>
      <c r="CE4" s="600"/>
      <c r="CF4" s="600"/>
      <c r="CG4" s="600"/>
      <c r="CH4" s="600"/>
      <c r="CI4" s="600"/>
      <c r="CJ4" s="600"/>
      <c r="CK4" s="600"/>
      <c r="CL4" s="600"/>
      <c r="CM4" s="600"/>
      <c r="CN4" s="600"/>
      <c r="CO4" s="600"/>
      <c r="CP4" s="600"/>
      <c r="CQ4" s="600"/>
      <c r="CR4" s="600"/>
      <c r="CS4" s="600"/>
      <c r="CT4" s="600"/>
      <c r="CU4" s="600"/>
      <c r="CV4" s="600"/>
      <c r="CW4" s="600"/>
      <c r="CX4" s="600"/>
      <c r="CY4" s="600"/>
      <c r="CZ4" s="600"/>
      <c r="DA4" s="600"/>
      <c r="DB4" s="600"/>
      <c r="DC4" s="600"/>
      <c r="DD4" s="600"/>
      <c r="DE4" s="600"/>
      <c r="DF4" s="600"/>
    </row>
    <row r="5" spans="1:110" x14ac:dyDescent="0.25">
      <c r="A5" s="600"/>
      <c r="B5" s="1083" t="s">
        <v>6359</v>
      </c>
      <c r="C5" s="1083"/>
      <c r="D5" s="1083"/>
      <c r="E5" s="1083"/>
      <c r="F5" s="1083"/>
      <c r="G5" s="1083"/>
      <c r="H5" s="600"/>
      <c r="I5" s="600"/>
      <c r="J5" s="600"/>
      <c r="K5" s="1083" t="s">
        <v>6277</v>
      </c>
      <c r="L5" s="1083"/>
      <c r="M5" s="1083"/>
      <c r="N5" s="1083"/>
      <c r="O5" s="1083"/>
      <c r="P5" s="1083"/>
      <c r="Q5" s="600"/>
      <c r="R5" s="600"/>
      <c r="S5" s="600"/>
      <c r="T5" s="1083" t="s">
        <v>6279</v>
      </c>
      <c r="U5" s="1083"/>
      <c r="V5" s="1083"/>
      <c r="W5" s="1083"/>
      <c r="X5" s="1083"/>
      <c r="Y5" s="1083"/>
      <c r="Z5" s="600" t="s">
        <v>6251</v>
      </c>
      <c r="AA5" s="600"/>
      <c r="AB5" s="600"/>
      <c r="AC5" s="1083" t="s">
        <v>6280</v>
      </c>
      <c r="AD5" s="1083"/>
      <c r="AE5" s="1083"/>
      <c r="AF5" s="1083"/>
      <c r="AG5" s="1083"/>
      <c r="AH5" s="1083"/>
      <c r="AI5" s="600"/>
      <c r="AJ5" s="600"/>
      <c r="AK5" s="600"/>
      <c r="AL5" s="1083" t="s">
        <v>6281</v>
      </c>
      <c r="AM5" s="1083"/>
      <c r="AN5" s="1083"/>
      <c r="AO5" s="1083"/>
      <c r="AP5" s="1083"/>
      <c r="AQ5" s="1083"/>
      <c r="AR5" s="600"/>
      <c r="AS5" s="600"/>
      <c r="AT5" s="600"/>
      <c r="AU5" s="1083" t="s">
        <v>6282</v>
      </c>
      <c r="AV5" s="1083"/>
      <c r="AW5" s="1083"/>
      <c r="AX5" s="1083"/>
      <c r="AY5" s="1083"/>
      <c r="AZ5" s="1083"/>
      <c r="BA5" s="600"/>
      <c r="BB5" s="600"/>
      <c r="BC5" s="600"/>
      <c r="BD5" s="1083" t="s">
        <v>6283</v>
      </c>
      <c r="BE5" s="1083"/>
      <c r="BF5" s="1083"/>
      <c r="BG5" s="1083"/>
      <c r="BH5" s="1083"/>
      <c r="BI5" s="1083"/>
      <c r="BJ5" s="600"/>
      <c r="BK5" s="600"/>
      <c r="BL5" s="600"/>
      <c r="BM5" s="1083" t="s">
        <v>6284</v>
      </c>
      <c r="BN5" s="1083"/>
      <c r="BO5" s="1083"/>
      <c r="BP5" s="1083"/>
      <c r="BQ5" s="1083"/>
      <c r="BR5" s="1083"/>
      <c r="BS5" s="600"/>
      <c r="BT5" s="600"/>
      <c r="BU5" s="600"/>
      <c r="BV5" s="1083" t="s">
        <v>6285</v>
      </c>
      <c r="BW5" s="1083"/>
      <c r="BX5" s="1083"/>
      <c r="BY5" s="1083"/>
      <c r="BZ5" s="1083"/>
      <c r="CA5" s="1083"/>
      <c r="CB5" s="600"/>
      <c r="CC5" s="600"/>
      <c r="CD5" s="600"/>
      <c r="CE5" s="600"/>
      <c r="CF5" s="600"/>
      <c r="CG5" s="600"/>
      <c r="CH5" s="600"/>
      <c r="CI5" s="600"/>
      <c r="CJ5" s="600"/>
      <c r="CK5" s="600"/>
      <c r="CL5" s="1084">
        <v>1</v>
      </c>
      <c r="CM5" s="1084"/>
      <c r="CN5" s="1084">
        <v>2</v>
      </c>
      <c r="CO5" s="1084"/>
      <c r="CP5" s="1084">
        <v>3</v>
      </c>
      <c r="CQ5" s="1084"/>
      <c r="CR5" s="1084">
        <v>4</v>
      </c>
      <c r="CS5" s="1084"/>
      <c r="CT5" s="1084">
        <v>5</v>
      </c>
      <c r="CU5" s="1084"/>
      <c r="CV5" s="1084">
        <v>6</v>
      </c>
      <c r="CW5" s="1084"/>
      <c r="CX5" s="1084">
        <v>7</v>
      </c>
      <c r="CY5" s="1084"/>
      <c r="CZ5" s="1084"/>
      <c r="DA5" s="1084"/>
      <c r="DB5" s="1084"/>
      <c r="DC5" s="1084"/>
      <c r="DD5" s="600"/>
      <c r="DE5" s="600"/>
      <c r="DF5" s="600"/>
    </row>
    <row r="6" spans="1:110" x14ac:dyDescent="0.25">
      <c r="A6" s="600"/>
      <c r="B6" s="618">
        <v>1</v>
      </c>
      <c r="C6" s="1079" t="str">
        <f t="shared" ref="C6:C35" si="0">IFERROR(INDEX($CJ$6:$CJ$31,MATCH(B6,$CM$6:$CM$35,0),1),"")</f>
        <v/>
      </c>
      <c r="D6" s="1079"/>
      <c r="E6" s="1079"/>
      <c r="F6" s="1079"/>
      <c r="G6" s="1079"/>
      <c r="H6" s="600"/>
      <c r="I6" s="600"/>
      <c r="J6" s="600" t="str">
        <f>IF(C6="","",C6&amp;", ")</f>
        <v/>
      </c>
      <c r="K6" s="618">
        <v>1</v>
      </c>
      <c r="L6" s="1079" t="str">
        <f t="shared" ref="L6:L35" si="1">IFERROR(INDEX($CJ$6:$CJ$31,MATCH(K6,$CO$6:$CO$35,0),1),"")</f>
        <v/>
      </c>
      <c r="M6" s="1079"/>
      <c r="N6" s="1079"/>
      <c r="O6" s="1079"/>
      <c r="P6" s="1079"/>
      <c r="Q6" s="600"/>
      <c r="R6" s="600"/>
      <c r="S6" s="600" t="str">
        <f>IF(L6="","",L6&amp;", ")</f>
        <v/>
      </c>
      <c r="T6" s="618">
        <v>1</v>
      </c>
      <c r="U6" s="1079" t="str">
        <f t="shared" ref="U6:U35" si="2">IFERROR(INDEX($CJ$6:$CJ$31,MATCH(T6,$CQ$6:$CQ$35,0),1),"")</f>
        <v/>
      </c>
      <c r="V6" s="1079"/>
      <c r="W6" s="1079"/>
      <c r="X6" s="1079"/>
      <c r="Y6" s="1079"/>
      <c r="Z6" s="600" t="str">
        <f t="shared" ref="Z6:Z35" si="3">IF(1&lt;=$Y$3,IF(U6&lt;&gt;"",IF(IFERROR(SEARCH(U6,$M$2,1),0)&gt;0,"●",""),""),"")</f>
        <v/>
      </c>
      <c r="AA6" s="600"/>
      <c r="AB6" s="600" t="str">
        <f>IF(U6="","",U6&amp;", ")</f>
        <v/>
      </c>
      <c r="AC6" s="618">
        <v>1</v>
      </c>
      <c r="AD6" s="1079" t="str">
        <f t="shared" ref="AD6:AD35" si="4">IFERROR(INDEX($CJ$6:$CJ$31,MATCH(AC6,$CS$6:$CS$35,0),1),"")</f>
        <v/>
      </c>
      <c r="AE6" s="1079"/>
      <c r="AF6" s="1079"/>
      <c r="AG6" s="1079"/>
      <c r="AH6" s="1079"/>
      <c r="AI6" s="600" t="s">
        <v>3034</v>
      </c>
      <c r="AJ6" s="600"/>
      <c r="AK6" s="600" t="str">
        <f>IF(AD6="","",AD6&amp;", ")</f>
        <v/>
      </c>
      <c r="AL6" s="618">
        <v>1</v>
      </c>
      <c r="AM6" s="1079" t="str">
        <f t="shared" ref="AM6:AM35" si="5">IFERROR(INDEX($CJ$6:$CJ$31,MATCH(AL6,$CU$6:$CU$35,0),1),"")</f>
        <v/>
      </c>
      <c r="AN6" s="1079"/>
      <c r="AO6" s="1079"/>
      <c r="AP6" s="1079"/>
      <c r="AQ6" s="1079"/>
      <c r="AR6" s="600"/>
      <c r="AS6" s="600"/>
      <c r="AT6" s="600" t="str">
        <f>IF(AM6="","",AM6&amp;", ")</f>
        <v/>
      </c>
      <c r="AU6" s="618">
        <v>1</v>
      </c>
      <c r="AV6" s="1079" t="str">
        <f t="shared" ref="AV6:AV35" si="6">IFERROR(INDEX($CJ$6:$CJ$31,MATCH(AU6,$CW$6:$CW$35,0),1),"")</f>
        <v/>
      </c>
      <c r="AW6" s="1079"/>
      <c r="AX6" s="1079"/>
      <c r="AY6" s="1079"/>
      <c r="AZ6" s="1079"/>
      <c r="BA6" s="600"/>
      <c r="BB6" s="600"/>
      <c r="BC6" s="600" t="str">
        <f>IF(AV6="","",AV6&amp;", ")</f>
        <v/>
      </c>
      <c r="BD6" s="618">
        <v>1</v>
      </c>
      <c r="BE6" s="1079" t="str">
        <f t="shared" ref="BE6:BE35" si="7">IFERROR(INDEX($CJ$6:$CJ$31,MATCH(BD6,$CY$6:$CY$35,0),1),"")</f>
        <v/>
      </c>
      <c r="BF6" s="1079"/>
      <c r="BG6" s="1079"/>
      <c r="BH6" s="1079"/>
      <c r="BI6" s="1079"/>
      <c r="BJ6" s="600"/>
      <c r="BK6" s="600"/>
      <c r="BL6" s="600" t="str">
        <f>IF(BE6="","",BE6&amp;", ")</f>
        <v/>
      </c>
      <c r="BM6" s="618">
        <v>1</v>
      </c>
      <c r="BN6" s="1079" t="str">
        <f t="shared" ref="BN6:BN35" si="8">IFERROR(INDEX($CJ$6:$CJ$31,MATCH(BM6,$DA$6:$DA$35,0),1),"")</f>
        <v/>
      </c>
      <c r="BO6" s="1079"/>
      <c r="BP6" s="1079"/>
      <c r="BQ6" s="1079"/>
      <c r="BR6" s="1079"/>
      <c r="BS6" s="600"/>
      <c r="BT6" s="600"/>
      <c r="BU6" s="600" t="str">
        <f>IF(BN6="","",BN6&amp;", ")</f>
        <v/>
      </c>
      <c r="BV6" s="618">
        <v>1</v>
      </c>
      <c r="BW6" s="1079" t="str">
        <f t="shared" ref="BW6:BW35" si="9">IFERROR(INDEX($CJ$6:$CJ$31,MATCH(BV6,$DC$6:$DC$35,0),1),"")</f>
        <v/>
      </c>
      <c r="BX6" s="1079"/>
      <c r="BY6" s="1079"/>
      <c r="BZ6" s="1079"/>
      <c r="CA6" s="1079"/>
      <c r="CB6" s="600"/>
      <c r="CC6" s="600" t="str">
        <f>IF(BW6="","",BW6&amp;", ")</f>
        <v/>
      </c>
      <c r="CD6" s="600"/>
      <c r="CE6" s="600"/>
      <c r="CF6" s="600">
        <v>1</v>
      </c>
      <c r="CG6" s="619" t="str">
        <f t="shared" ref="CG6:CG14" si="10">IF(CF6&lt;=DruidMaxSpellLevel,"●","")</f>
        <v/>
      </c>
      <c r="CH6" s="600"/>
      <c r="CI6" s="600">
        <v>1</v>
      </c>
      <c r="CJ6" s="600">
        <f>Character_Creation!Q368</f>
        <v>0</v>
      </c>
      <c r="CK6" s="600" t="str">
        <f>IFERROR(INDEX(T08_Spells!$C$3:$C$1000,MATCH(S01_Bard!$CJ6,T08_Spells!$B$3:$B$1000,0),1),"")</f>
        <v/>
      </c>
      <c r="CL6" s="600">
        <f>IF(AND($CJ6&lt;&gt;0,$CJ6&lt;&gt;""),1,0)*IF($CK6=1,1,0)</f>
        <v>0</v>
      </c>
      <c r="CM6" s="600">
        <f>IF(CL6=0,0,1)</f>
        <v>0</v>
      </c>
      <c r="CN6" s="600">
        <f>IF(AND($CJ6&lt;&gt;0,$CJ6&lt;&gt;""),1,0)*IF($CK6=2,1,0)</f>
        <v>0</v>
      </c>
      <c r="CO6" s="600">
        <f>IF(CN6=0,0,1)</f>
        <v>0</v>
      </c>
      <c r="CP6" s="600">
        <f>IF(AND($CJ6&lt;&gt;0,$CJ6&lt;&gt;""),1,0)*IF($CK6=3,1,0)</f>
        <v>0</v>
      </c>
      <c r="CQ6" s="600">
        <f>IF(CP6=0,0,1)</f>
        <v>0</v>
      </c>
      <c r="CR6" s="600">
        <f>IF(AND($CJ6&lt;&gt;0,$CJ6&lt;&gt;""),1,0)*IF($CK6=4,1,0)</f>
        <v>0</v>
      </c>
      <c r="CS6" s="600">
        <f>IF(CR6=0,0,1)</f>
        <v>0</v>
      </c>
      <c r="CT6" s="600">
        <f>IF(AND($CJ6&lt;&gt;0,$CJ6&lt;&gt;""),1,0)*IF($CK6=5,1,0)</f>
        <v>0</v>
      </c>
      <c r="CU6" s="600">
        <f>IF(CT6=0,0,1)</f>
        <v>0</v>
      </c>
      <c r="CV6" s="600">
        <f>IF(AND($CJ6&lt;&gt;0,$CJ6&lt;&gt;""),1,0)*IF($CK6=6,1,0)</f>
        <v>0</v>
      </c>
      <c r="CW6" s="600">
        <f>IF(CV6=0,0,1)</f>
        <v>0</v>
      </c>
      <c r="CX6" s="600">
        <f>IF(AND($CJ6&lt;&gt;0,$CJ6&lt;&gt;""),1,0)*IF($CK6=7,1,0)</f>
        <v>0</v>
      </c>
      <c r="CY6" s="600">
        <f>IF(CX6=0,0,1)</f>
        <v>0</v>
      </c>
      <c r="CZ6" s="600">
        <f>IF(AND($CJ6&lt;&gt;0,$CJ6&lt;&gt;""),1,0)*IF($CK6=8,1,0)</f>
        <v>0</v>
      </c>
      <c r="DA6" s="600">
        <f>IF(CZ6=0,0,1)</f>
        <v>0</v>
      </c>
      <c r="DB6" s="600">
        <f>IF(AND($CJ6&lt;&gt;0,$CJ6&lt;&gt;""),1,0)*IF($CK6=9,1,0)</f>
        <v>0</v>
      </c>
      <c r="DC6" s="600">
        <f>IF(DB6=0,0,1)</f>
        <v>0</v>
      </c>
      <c r="DD6" s="600"/>
      <c r="DE6" s="600"/>
      <c r="DF6" s="600"/>
    </row>
    <row r="7" spans="1:110" x14ac:dyDescent="0.25">
      <c r="A7" s="600"/>
      <c r="B7" s="618">
        <v>2</v>
      </c>
      <c r="C7" s="1079" t="str">
        <f t="shared" si="0"/>
        <v/>
      </c>
      <c r="D7" s="1079"/>
      <c r="E7" s="1079"/>
      <c r="F7" s="1079"/>
      <c r="G7" s="1079"/>
      <c r="H7" s="600"/>
      <c r="I7" s="600"/>
      <c r="J7" s="600" t="str">
        <f t="shared" ref="J7:J35" si="11">IF(C7="","",C7&amp;", ")</f>
        <v/>
      </c>
      <c r="K7" s="618">
        <v>2</v>
      </c>
      <c r="L7" s="1079" t="str">
        <f t="shared" si="1"/>
        <v/>
      </c>
      <c r="M7" s="1079"/>
      <c r="N7" s="1079"/>
      <c r="O7" s="1079"/>
      <c r="P7" s="1079"/>
      <c r="Q7" s="600"/>
      <c r="R7" s="600"/>
      <c r="S7" s="600" t="str">
        <f t="shared" ref="S7:S35" si="12">IF(L7="","",L7&amp;", ")</f>
        <v/>
      </c>
      <c r="T7" s="618">
        <v>2</v>
      </c>
      <c r="U7" s="1079" t="str">
        <f t="shared" si="2"/>
        <v/>
      </c>
      <c r="V7" s="1079"/>
      <c r="W7" s="1079"/>
      <c r="X7" s="1079"/>
      <c r="Y7" s="1079"/>
      <c r="Z7" s="600" t="str">
        <f t="shared" si="3"/>
        <v/>
      </c>
      <c r="AA7" s="600"/>
      <c r="AB7" s="600" t="str">
        <f t="shared" ref="AB7:AB35" si="13">IF(U7="","",U7&amp;", ")</f>
        <v/>
      </c>
      <c r="AC7" s="618">
        <v>2</v>
      </c>
      <c r="AD7" s="1079" t="str">
        <f t="shared" si="4"/>
        <v/>
      </c>
      <c r="AE7" s="1079"/>
      <c r="AF7" s="1079"/>
      <c r="AG7" s="1079"/>
      <c r="AH7" s="1079"/>
      <c r="AI7" s="600" t="s">
        <v>3034</v>
      </c>
      <c r="AJ7" s="600"/>
      <c r="AK7" s="600" t="str">
        <f t="shared" ref="AK7:AK35" si="14">IF(AD7="","",AD7&amp;", ")</f>
        <v/>
      </c>
      <c r="AL7" s="618">
        <v>2</v>
      </c>
      <c r="AM7" s="1079" t="str">
        <f t="shared" si="5"/>
        <v/>
      </c>
      <c r="AN7" s="1079"/>
      <c r="AO7" s="1079"/>
      <c r="AP7" s="1079"/>
      <c r="AQ7" s="1079"/>
      <c r="AR7" s="600"/>
      <c r="AS7" s="600"/>
      <c r="AT7" s="600" t="str">
        <f t="shared" ref="AT7:AT35" si="15">IF(AM7="","",AM7&amp;", ")</f>
        <v/>
      </c>
      <c r="AU7" s="618">
        <v>2</v>
      </c>
      <c r="AV7" s="1079" t="str">
        <f t="shared" si="6"/>
        <v/>
      </c>
      <c r="AW7" s="1079"/>
      <c r="AX7" s="1079"/>
      <c r="AY7" s="1079"/>
      <c r="AZ7" s="1079"/>
      <c r="BA7" s="600"/>
      <c r="BB7" s="600"/>
      <c r="BC7" s="600" t="str">
        <f t="shared" ref="BC7:BC35" si="16">IF(AV7="","",AV7&amp;", ")</f>
        <v/>
      </c>
      <c r="BD7" s="618">
        <v>2</v>
      </c>
      <c r="BE7" s="1079" t="str">
        <f t="shared" si="7"/>
        <v/>
      </c>
      <c r="BF7" s="1079"/>
      <c r="BG7" s="1079"/>
      <c r="BH7" s="1079"/>
      <c r="BI7" s="1079"/>
      <c r="BJ7" s="600"/>
      <c r="BK7" s="600"/>
      <c r="BL7" s="600" t="str">
        <f t="shared" ref="BL7:BL35" si="17">IF(BE7="","",BE7&amp;", ")</f>
        <v/>
      </c>
      <c r="BM7" s="618">
        <v>2</v>
      </c>
      <c r="BN7" s="1079" t="str">
        <f t="shared" si="8"/>
        <v/>
      </c>
      <c r="BO7" s="1079"/>
      <c r="BP7" s="1079"/>
      <c r="BQ7" s="1079"/>
      <c r="BR7" s="1079"/>
      <c r="BS7" s="600"/>
      <c r="BT7" s="600"/>
      <c r="BU7" s="600" t="str">
        <f t="shared" ref="BU7:BU35" si="18">IF(BN7="","",BN7&amp;", ")</f>
        <v/>
      </c>
      <c r="BV7" s="618">
        <v>2</v>
      </c>
      <c r="BW7" s="1079" t="str">
        <f t="shared" si="9"/>
        <v/>
      </c>
      <c r="BX7" s="1079"/>
      <c r="BY7" s="1079"/>
      <c r="BZ7" s="1079"/>
      <c r="CA7" s="1079"/>
      <c r="CB7" s="600"/>
      <c r="CC7" s="600" t="str">
        <f t="shared" ref="CC7:CC35" si="19">IF(BW7="","",BW7&amp;", ")</f>
        <v/>
      </c>
      <c r="CD7" s="600"/>
      <c r="CE7" s="600"/>
      <c r="CF7" s="600">
        <v>2</v>
      </c>
      <c r="CG7" s="619" t="str">
        <f t="shared" si="10"/>
        <v/>
      </c>
      <c r="CH7" s="600"/>
      <c r="CI7" s="600">
        <v>2</v>
      </c>
      <c r="CJ7" s="600">
        <f>Character_Creation!Q369</f>
        <v>0</v>
      </c>
      <c r="CK7" s="600" t="str">
        <f>IFERROR(INDEX(T08_Spells!$C$3:$C$1000,MATCH(S01_Bard!$CJ7,T08_Spells!$B$3:$B$1000,0),1),"")</f>
        <v/>
      </c>
      <c r="CL7" s="600">
        <f t="shared" ref="CL7:CL35" si="20">IF(AND($CJ7&lt;&gt;0,$CJ7&lt;&gt;""),1,0)*IF($CK7=1,1,0)</f>
        <v>0</v>
      </c>
      <c r="CM7" s="600">
        <f>IF(CL7=0,0,1+COUNTIF(CM6:CM$6,"&gt;0"))</f>
        <v>0</v>
      </c>
      <c r="CN7" s="600">
        <f t="shared" ref="CN7:CN35" si="21">IF(AND($CJ7&lt;&gt;0,$CJ7&lt;&gt;""),1,0)*IF($CK7=2,1,0)</f>
        <v>0</v>
      </c>
      <c r="CO7" s="600">
        <f>IF(CN7=0,0,1+COUNTIF(CO6:CO$6,"&gt;0"))</f>
        <v>0</v>
      </c>
      <c r="CP7" s="600">
        <f t="shared" ref="CP7:CP35" si="22">IF(AND($CJ7&lt;&gt;0,$CJ7&lt;&gt;""),1,0)*IF($CK7=3,1,0)</f>
        <v>0</v>
      </c>
      <c r="CQ7" s="600">
        <f>IF(CP7=0,0,1+COUNTIF(CQ6:CQ$6,"&gt;0"))</f>
        <v>0</v>
      </c>
      <c r="CR7" s="600">
        <f t="shared" ref="CR7:CR35" si="23">IF(AND($CJ7&lt;&gt;0,$CJ7&lt;&gt;""),1,0)*IF($CK7=4,1,0)</f>
        <v>0</v>
      </c>
      <c r="CS7" s="600">
        <f>IF(CR7=0,0,1+COUNTIF(CS6:CS$6,"&gt;0"))</f>
        <v>0</v>
      </c>
      <c r="CT7" s="600">
        <f t="shared" ref="CT7:CT35" si="24">IF(AND($CJ7&lt;&gt;0,$CJ7&lt;&gt;""),1,0)*IF($CK7=5,1,0)</f>
        <v>0</v>
      </c>
      <c r="CU7" s="600">
        <f>IF(CT7=0,0,1+COUNTIF(CU6:CU$6,"&gt;0"))</f>
        <v>0</v>
      </c>
      <c r="CV7" s="600">
        <f t="shared" ref="CV7:CV35" si="25">IF(AND($CJ7&lt;&gt;0,$CJ7&lt;&gt;""),1,0)*IF($CK7=6,1,0)</f>
        <v>0</v>
      </c>
      <c r="CW7" s="600">
        <f>IF(CV7=0,0,1+COUNTIF(CW6:CW$6,"&gt;0"))</f>
        <v>0</v>
      </c>
      <c r="CX7" s="600">
        <f t="shared" ref="CX7:CX35" si="26">IF(AND($CJ7&lt;&gt;0,$CJ7&lt;&gt;""),1,0)*IF($CK7=7,1,0)</f>
        <v>0</v>
      </c>
      <c r="CY7" s="600">
        <f>IF(CX7=0,0,1+COUNTIF(CY6:CY$6,"&gt;0"))</f>
        <v>0</v>
      </c>
      <c r="CZ7" s="600">
        <f t="shared" ref="CZ7:CZ35" si="27">IF(AND($CJ7&lt;&gt;0,$CJ7&lt;&gt;""),1,0)*IF($CK7=8,1,0)</f>
        <v>0</v>
      </c>
      <c r="DA7" s="600">
        <f>IF(CZ7=0,0,1+COUNTIF(DA6:DA$6,"&gt;0"))</f>
        <v>0</v>
      </c>
      <c r="DB7" s="600">
        <f t="shared" ref="DB7:DB35" si="28">IF(AND($CJ7&lt;&gt;0,$CJ7&lt;&gt;""),1,0)*IF($CK7=9,1,0)</f>
        <v>0</v>
      </c>
      <c r="DC7" s="600">
        <f>IF(DB7=0,0,1+COUNTIF(DC6:DC$6,"&gt;0"))</f>
        <v>0</v>
      </c>
      <c r="DD7" s="600"/>
      <c r="DE7" s="600"/>
      <c r="DF7" s="600"/>
    </row>
    <row r="8" spans="1:110" x14ac:dyDescent="0.25">
      <c r="A8" s="600"/>
      <c r="B8" s="618">
        <v>3</v>
      </c>
      <c r="C8" s="1079" t="str">
        <f t="shared" si="0"/>
        <v/>
      </c>
      <c r="D8" s="1079"/>
      <c r="E8" s="1079"/>
      <c r="F8" s="1079"/>
      <c r="G8" s="1079"/>
      <c r="H8" s="600"/>
      <c r="I8" s="600"/>
      <c r="J8" s="600" t="str">
        <f t="shared" si="11"/>
        <v/>
      </c>
      <c r="K8" s="618">
        <v>3</v>
      </c>
      <c r="L8" s="1079" t="str">
        <f t="shared" si="1"/>
        <v/>
      </c>
      <c r="M8" s="1079"/>
      <c r="N8" s="1079"/>
      <c r="O8" s="1079"/>
      <c r="P8" s="1079"/>
      <c r="Q8" s="600"/>
      <c r="R8" s="600"/>
      <c r="S8" s="600" t="str">
        <f t="shared" si="12"/>
        <v/>
      </c>
      <c r="T8" s="618">
        <v>3</v>
      </c>
      <c r="U8" s="1079" t="str">
        <f t="shared" si="2"/>
        <v/>
      </c>
      <c r="V8" s="1079"/>
      <c r="W8" s="1079"/>
      <c r="X8" s="1079"/>
      <c r="Y8" s="1079"/>
      <c r="Z8" s="600" t="str">
        <f t="shared" si="3"/>
        <v/>
      </c>
      <c r="AA8" s="600"/>
      <c r="AB8" s="600" t="str">
        <f t="shared" si="13"/>
        <v/>
      </c>
      <c r="AC8" s="618">
        <v>3</v>
      </c>
      <c r="AD8" s="1079" t="str">
        <f t="shared" si="4"/>
        <v/>
      </c>
      <c r="AE8" s="1079"/>
      <c r="AF8" s="1079"/>
      <c r="AG8" s="1079"/>
      <c r="AH8" s="1079"/>
      <c r="AI8" s="600" t="s">
        <v>3034</v>
      </c>
      <c r="AJ8" s="600"/>
      <c r="AK8" s="600" t="str">
        <f t="shared" si="14"/>
        <v/>
      </c>
      <c r="AL8" s="618">
        <v>3</v>
      </c>
      <c r="AM8" s="1079" t="str">
        <f t="shared" si="5"/>
        <v/>
      </c>
      <c r="AN8" s="1079"/>
      <c r="AO8" s="1079"/>
      <c r="AP8" s="1079"/>
      <c r="AQ8" s="1079"/>
      <c r="AR8" s="600"/>
      <c r="AS8" s="600"/>
      <c r="AT8" s="600" t="str">
        <f t="shared" si="15"/>
        <v/>
      </c>
      <c r="AU8" s="618">
        <v>3</v>
      </c>
      <c r="AV8" s="1079" t="str">
        <f t="shared" si="6"/>
        <v/>
      </c>
      <c r="AW8" s="1079"/>
      <c r="AX8" s="1079"/>
      <c r="AY8" s="1079"/>
      <c r="AZ8" s="1079"/>
      <c r="BA8" s="600"/>
      <c r="BB8" s="600"/>
      <c r="BC8" s="600" t="str">
        <f t="shared" si="16"/>
        <v/>
      </c>
      <c r="BD8" s="618">
        <v>3</v>
      </c>
      <c r="BE8" s="1079" t="str">
        <f t="shared" si="7"/>
        <v/>
      </c>
      <c r="BF8" s="1079"/>
      <c r="BG8" s="1079"/>
      <c r="BH8" s="1079"/>
      <c r="BI8" s="1079"/>
      <c r="BJ8" s="600"/>
      <c r="BK8" s="600"/>
      <c r="BL8" s="600" t="str">
        <f t="shared" si="17"/>
        <v/>
      </c>
      <c r="BM8" s="618">
        <v>3</v>
      </c>
      <c r="BN8" s="1079" t="str">
        <f t="shared" si="8"/>
        <v/>
      </c>
      <c r="BO8" s="1079"/>
      <c r="BP8" s="1079"/>
      <c r="BQ8" s="1079"/>
      <c r="BR8" s="1079"/>
      <c r="BS8" s="600"/>
      <c r="BT8" s="600"/>
      <c r="BU8" s="600" t="str">
        <f t="shared" si="18"/>
        <v/>
      </c>
      <c r="BV8" s="618">
        <v>3</v>
      </c>
      <c r="BW8" s="1079" t="str">
        <f t="shared" si="9"/>
        <v/>
      </c>
      <c r="BX8" s="1079"/>
      <c r="BY8" s="1079"/>
      <c r="BZ8" s="1079"/>
      <c r="CA8" s="1079"/>
      <c r="CB8" s="600"/>
      <c r="CC8" s="600" t="str">
        <f t="shared" si="19"/>
        <v/>
      </c>
      <c r="CD8" s="600"/>
      <c r="CE8" s="600"/>
      <c r="CF8" s="600">
        <v>3</v>
      </c>
      <c r="CG8" s="619" t="str">
        <f t="shared" si="10"/>
        <v/>
      </c>
      <c r="CH8" s="600"/>
      <c r="CI8" s="600">
        <v>3</v>
      </c>
      <c r="CJ8" s="600">
        <f>Character_Creation!Q370</f>
        <v>0</v>
      </c>
      <c r="CK8" s="600" t="str">
        <f>IFERROR(INDEX(T08_Spells!$C$3:$C$1000,MATCH(S01_Bard!$CJ8,T08_Spells!$B$3:$B$1000,0),1),"")</f>
        <v/>
      </c>
      <c r="CL8" s="600">
        <f t="shared" si="20"/>
        <v>0</v>
      </c>
      <c r="CM8" s="600">
        <f>IF(CL8=0,0,1+COUNTIF(CM$6:CM7,"&gt;0"))</f>
        <v>0</v>
      </c>
      <c r="CN8" s="600">
        <f t="shared" si="21"/>
        <v>0</v>
      </c>
      <c r="CO8" s="600">
        <f>IF(CN8=0,0,1+COUNTIF(CO$6:CO7,"&gt;0"))</f>
        <v>0</v>
      </c>
      <c r="CP8" s="600">
        <f t="shared" si="22"/>
        <v>0</v>
      </c>
      <c r="CQ8" s="600">
        <f>IF(CP8=0,0,1+COUNTIF(CQ$6:CQ7,"&gt;0"))</f>
        <v>0</v>
      </c>
      <c r="CR8" s="600">
        <f t="shared" si="23"/>
        <v>0</v>
      </c>
      <c r="CS8" s="600">
        <f>IF(CR8=0,0,1+COUNTIF(CS$6:CS7,"&gt;0"))</f>
        <v>0</v>
      </c>
      <c r="CT8" s="600">
        <f t="shared" si="24"/>
        <v>0</v>
      </c>
      <c r="CU8" s="600">
        <f>IF(CT8=0,0,1+COUNTIF(CU$6:CU7,"&gt;0"))</f>
        <v>0</v>
      </c>
      <c r="CV8" s="600">
        <f t="shared" si="25"/>
        <v>0</v>
      </c>
      <c r="CW8" s="600">
        <f>IF(CV8=0,0,1+COUNTIF(CW$6:CW7,"&gt;0"))</f>
        <v>0</v>
      </c>
      <c r="CX8" s="600">
        <f t="shared" si="26"/>
        <v>0</v>
      </c>
      <c r="CY8" s="600">
        <f>IF(CX8=0,0,1+COUNTIF(CY$6:CY7,"&gt;0"))</f>
        <v>0</v>
      </c>
      <c r="CZ8" s="600">
        <f t="shared" si="27"/>
        <v>0</v>
      </c>
      <c r="DA8" s="600">
        <f>IF(CZ8=0,0,1+COUNTIF(DA$6:DA7,"&gt;0"))</f>
        <v>0</v>
      </c>
      <c r="DB8" s="600">
        <f t="shared" si="28"/>
        <v>0</v>
      </c>
      <c r="DC8" s="600">
        <f>IF(DB8=0,0,1+COUNTIF(DC$6:DC7,"&gt;0"))</f>
        <v>0</v>
      </c>
      <c r="DD8" s="600"/>
      <c r="DE8" s="600"/>
      <c r="DF8" s="600"/>
    </row>
    <row r="9" spans="1:110" x14ac:dyDescent="0.25">
      <c r="A9" s="600"/>
      <c r="B9" s="618">
        <v>4</v>
      </c>
      <c r="C9" s="1079" t="str">
        <f t="shared" si="0"/>
        <v/>
      </c>
      <c r="D9" s="1079"/>
      <c r="E9" s="1079"/>
      <c r="F9" s="1079"/>
      <c r="G9" s="1079"/>
      <c r="H9" s="600"/>
      <c r="I9" s="600"/>
      <c r="J9" s="600" t="str">
        <f t="shared" si="11"/>
        <v/>
      </c>
      <c r="K9" s="618">
        <v>4</v>
      </c>
      <c r="L9" s="1079" t="str">
        <f t="shared" si="1"/>
        <v/>
      </c>
      <c r="M9" s="1079"/>
      <c r="N9" s="1079"/>
      <c r="O9" s="1079"/>
      <c r="P9" s="1079"/>
      <c r="Q9" s="600"/>
      <c r="R9" s="600"/>
      <c r="S9" s="600" t="str">
        <f t="shared" si="12"/>
        <v/>
      </c>
      <c r="T9" s="618">
        <v>4</v>
      </c>
      <c r="U9" s="1079" t="str">
        <f t="shared" si="2"/>
        <v/>
      </c>
      <c r="V9" s="1079"/>
      <c r="W9" s="1079"/>
      <c r="X9" s="1079"/>
      <c r="Y9" s="1079"/>
      <c r="Z9" s="600" t="str">
        <f t="shared" si="3"/>
        <v/>
      </c>
      <c r="AA9" s="600"/>
      <c r="AB9" s="600" t="str">
        <f t="shared" si="13"/>
        <v/>
      </c>
      <c r="AC9" s="618">
        <v>4</v>
      </c>
      <c r="AD9" s="1079" t="str">
        <f t="shared" si="4"/>
        <v/>
      </c>
      <c r="AE9" s="1079"/>
      <c r="AF9" s="1079"/>
      <c r="AG9" s="1079"/>
      <c r="AH9" s="1079"/>
      <c r="AI9" s="600" t="s">
        <v>3034</v>
      </c>
      <c r="AJ9" s="600"/>
      <c r="AK9" s="600" t="str">
        <f t="shared" si="14"/>
        <v/>
      </c>
      <c r="AL9" s="618">
        <v>4</v>
      </c>
      <c r="AM9" s="1079" t="str">
        <f t="shared" si="5"/>
        <v/>
      </c>
      <c r="AN9" s="1079"/>
      <c r="AO9" s="1079"/>
      <c r="AP9" s="1079"/>
      <c r="AQ9" s="1079"/>
      <c r="AR9" s="600"/>
      <c r="AS9" s="600"/>
      <c r="AT9" s="600" t="str">
        <f t="shared" si="15"/>
        <v/>
      </c>
      <c r="AU9" s="618">
        <v>4</v>
      </c>
      <c r="AV9" s="1079" t="str">
        <f t="shared" si="6"/>
        <v/>
      </c>
      <c r="AW9" s="1079"/>
      <c r="AX9" s="1079"/>
      <c r="AY9" s="1079"/>
      <c r="AZ9" s="1079"/>
      <c r="BA9" s="600"/>
      <c r="BB9" s="600"/>
      <c r="BC9" s="600" t="str">
        <f t="shared" si="16"/>
        <v/>
      </c>
      <c r="BD9" s="618">
        <v>4</v>
      </c>
      <c r="BE9" s="1079" t="str">
        <f t="shared" si="7"/>
        <v/>
      </c>
      <c r="BF9" s="1079"/>
      <c r="BG9" s="1079"/>
      <c r="BH9" s="1079"/>
      <c r="BI9" s="1079"/>
      <c r="BJ9" s="600"/>
      <c r="BK9" s="600"/>
      <c r="BL9" s="600" t="str">
        <f t="shared" si="17"/>
        <v/>
      </c>
      <c r="BM9" s="618">
        <v>4</v>
      </c>
      <c r="BN9" s="1079" t="str">
        <f t="shared" si="8"/>
        <v/>
      </c>
      <c r="BO9" s="1079"/>
      <c r="BP9" s="1079"/>
      <c r="BQ9" s="1079"/>
      <c r="BR9" s="1079"/>
      <c r="BS9" s="600"/>
      <c r="BT9" s="600"/>
      <c r="BU9" s="600" t="str">
        <f t="shared" si="18"/>
        <v/>
      </c>
      <c r="BV9" s="618">
        <v>4</v>
      </c>
      <c r="BW9" s="1079" t="str">
        <f t="shared" si="9"/>
        <v/>
      </c>
      <c r="BX9" s="1079"/>
      <c r="BY9" s="1079"/>
      <c r="BZ9" s="1079"/>
      <c r="CA9" s="1079"/>
      <c r="CB9" s="600"/>
      <c r="CC9" s="600" t="str">
        <f t="shared" si="19"/>
        <v/>
      </c>
      <c r="CD9" s="600"/>
      <c r="CE9" s="600"/>
      <c r="CF9" s="600">
        <v>4</v>
      </c>
      <c r="CG9" s="619" t="str">
        <f t="shared" si="10"/>
        <v/>
      </c>
      <c r="CH9" s="600"/>
      <c r="CI9" s="600">
        <v>4</v>
      </c>
      <c r="CJ9" s="600">
        <f>Character_Creation!Q371</f>
        <v>0</v>
      </c>
      <c r="CK9" s="600" t="str">
        <f>IFERROR(INDEX(T08_Spells!$C$3:$C$1000,MATCH(S01_Bard!$CJ9,T08_Spells!$B$3:$B$1000,0),1),"")</f>
        <v/>
      </c>
      <c r="CL9" s="600">
        <f t="shared" si="20"/>
        <v>0</v>
      </c>
      <c r="CM9" s="600">
        <f>IF(CL9=0,0,1+COUNTIF(CM$6:CM8,"&gt;0"))</f>
        <v>0</v>
      </c>
      <c r="CN9" s="600">
        <f t="shared" si="21"/>
        <v>0</v>
      </c>
      <c r="CO9" s="600">
        <f>IF(CN9=0,0,1+COUNTIF(CO$6:CO8,"&gt;0"))</f>
        <v>0</v>
      </c>
      <c r="CP9" s="600">
        <f t="shared" si="22"/>
        <v>0</v>
      </c>
      <c r="CQ9" s="600">
        <f>IF(CP9=0,0,1+COUNTIF(CQ$6:CQ8,"&gt;0"))</f>
        <v>0</v>
      </c>
      <c r="CR9" s="600">
        <f t="shared" si="23"/>
        <v>0</v>
      </c>
      <c r="CS9" s="600">
        <f>IF(CR9=0,0,1+COUNTIF(CS$6:CS8,"&gt;0"))</f>
        <v>0</v>
      </c>
      <c r="CT9" s="600">
        <f t="shared" si="24"/>
        <v>0</v>
      </c>
      <c r="CU9" s="600">
        <f>IF(CT9=0,0,1+COUNTIF(CU$6:CU8,"&gt;0"))</f>
        <v>0</v>
      </c>
      <c r="CV9" s="600">
        <f t="shared" si="25"/>
        <v>0</v>
      </c>
      <c r="CW9" s="600">
        <f>IF(CV9=0,0,1+COUNTIF(CW$6:CW8,"&gt;0"))</f>
        <v>0</v>
      </c>
      <c r="CX9" s="600">
        <f t="shared" si="26"/>
        <v>0</v>
      </c>
      <c r="CY9" s="600">
        <f>IF(CX9=0,0,1+COUNTIF(CY$6:CY8,"&gt;0"))</f>
        <v>0</v>
      </c>
      <c r="CZ9" s="600">
        <f t="shared" si="27"/>
        <v>0</v>
      </c>
      <c r="DA9" s="600">
        <f>IF(CZ9=0,0,1+COUNTIF(DA$6:DA8,"&gt;0"))</f>
        <v>0</v>
      </c>
      <c r="DB9" s="600">
        <f t="shared" si="28"/>
        <v>0</v>
      </c>
      <c r="DC9" s="600">
        <f>IF(DB9=0,0,1+COUNTIF(DC$6:DC8,"&gt;0"))</f>
        <v>0</v>
      </c>
      <c r="DD9" s="600"/>
      <c r="DE9" s="600"/>
      <c r="DF9" s="600"/>
    </row>
    <row r="10" spans="1:110" x14ac:dyDescent="0.25">
      <c r="A10" s="600"/>
      <c r="B10" s="618">
        <v>5</v>
      </c>
      <c r="C10" s="1079" t="str">
        <f t="shared" si="0"/>
        <v/>
      </c>
      <c r="D10" s="1079"/>
      <c r="E10" s="1079"/>
      <c r="F10" s="1079"/>
      <c r="G10" s="1079"/>
      <c r="H10" s="600"/>
      <c r="I10" s="600"/>
      <c r="J10" s="600" t="str">
        <f t="shared" si="11"/>
        <v/>
      </c>
      <c r="K10" s="618">
        <v>5</v>
      </c>
      <c r="L10" s="1079" t="str">
        <f t="shared" si="1"/>
        <v/>
      </c>
      <c r="M10" s="1079"/>
      <c r="N10" s="1079"/>
      <c r="O10" s="1079"/>
      <c r="P10" s="1079"/>
      <c r="Q10" s="600"/>
      <c r="R10" s="600"/>
      <c r="S10" s="600" t="str">
        <f t="shared" si="12"/>
        <v/>
      </c>
      <c r="T10" s="618">
        <v>5</v>
      </c>
      <c r="U10" s="1079" t="str">
        <f t="shared" si="2"/>
        <v/>
      </c>
      <c r="V10" s="1079"/>
      <c r="W10" s="1079"/>
      <c r="X10" s="1079"/>
      <c r="Y10" s="1079"/>
      <c r="Z10" s="600" t="str">
        <f t="shared" si="3"/>
        <v/>
      </c>
      <c r="AA10" s="600"/>
      <c r="AB10" s="600" t="str">
        <f t="shared" si="13"/>
        <v/>
      </c>
      <c r="AC10" s="618">
        <v>5</v>
      </c>
      <c r="AD10" s="1079" t="str">
        <f t="shared" si="4"/>
        <v/>
      </c>
      <c r="AE10" s="1079"/>
      <c r="AF10" s="1079"/>
      <c r="AG10" s="1079"/>
      <c r="AH10" s="1079"/>
      <c r="AI10" s="600" t="s">
        <v>3034</v>
      </c>
      <c r="AJ10" s="600"/>
      <c r="AK10" s="600" t="str">
        <f t="shared" si="14"/>
        <v/>
      </c>
      <c r="AL10" s="618">
        <v>5</v>
      </c>
      <c r="AM10" s="1079" t="str">
        <f t="shared" si="5"/>
        <v/>
      </c>
      <c r="AN10" s="1079"/>
      <c r="AO10" s="1079"/>
      <c r="AP10" s="1079"/>
      <c r="AQ10" s="1079"/>
      <c r="AR10" s="600"/>
      <c r="AS10" s="600"/>
      <c r="AT10" s="600" t="str">
        <f t="shared" si="15"/>
        <v/>
      </c>
      <c r="AU10" s="618">
        <v>5</v>
      </c>
      <c r="AV10" s="1079" t="str">
        <f t="shared" si="6"/>
        <v/>
      </c>
      <c r="AW10" s="1079"/>
      <c r="AX10" s="1079"/>
      <c r="AY10" s="1079"/>
      <c r="AZ10" s="1079"/>
      <c r="BA10" s="600"/>
      <c r="BB10" s="600"/>
      <c r="BC10" s="600" t="str">
        <f t="shared" si="16"/>
        <v/>
      </c>
      <c r="BD10" s="618">
        <v>5</v>
      </c>
      <c r="BE10" s="1079" t="str">
        <f t="shared" si="7"/>
        <v/>
      </c>
      <c r="BF10" s="1079"/>
      <c r="BG10" s="1079"/>
      <c r="BH10" s="1079"/>
      <c r="BI10" s="1079"/>
      <c r="BJ10" s="600"/>
      <c r="BK10" s="600"/>
      <c r="BL10" s="600" t="str">
        <f t="shared" si="17"/>
        <v/>
      </c>
      <c r="BM10" s="618">
        <v>5</v>
      </c>
      <c r="BN10" s="1079" t="str">
        <f t="shared" si="8"/>
        <v/>
      </c>
      <c r="BO10" s="1079"/>
      <c r="BP10" s="1079"/>
      <c r="BQ10" s="1079"/>
      <c r="BR10" s="1079"/>
      <c r="BS10" s="600"/>
      <c r="BT10" s="600"/>
      <c r="BU10" s="600" t="str">
        <f t="shared" si="18"/>
        <v/>
      </c>
      <c r="BV10" s="618">
        <v>5</v>
      </c>
      <c r="BW10" s="1079" t="str">
        <f t="shared" si="9"/>
        <v/>
      </c>
      <c r="BX10" s="1079"/>
      <c r="BY10" s="1079"/>
      <c r="BZ10" s="1079"/>
      <c r="CA10" s="1079"/>
      <c r="CB10" s="600"/>
      <c r="CC10" s="600" t="str">
        <f t="shared" si="19"/>
        <v/>
      </c>
      <c r="CD10" s="600"/>
      <c r="CE10" s="600"/>
      <c r="CF10" s="600">
        <v>5</v>
      </c>
      <c r="CG10" s="619" t="str">
        <f t="shared" si="10"/>
        <v/>
      </c>
      <c r="CH10" s="600"/>
      <c r="CI10" s="600">
        <v>5</v>
      </c>
      <c r="CJ10" s="600">
        <f>Character_Creation!Q372</f>
        <v>0</v>
      </c>
      <c r="CK10" s="600" t="str">
        <f>IFERROR(INDEX(T08_Spells!$C$3:$C$1000,MATCH(S01_Bard!$CJ10,T08_Spells!$B$3:$B$1000,0),1),"")</f>
        <v/>
      </c>
      <c r="CL10" s="600">
        <f t="shared" si="20"/>
        <v>0</v>
      </c>
      <c r="CM10" s="600">
        <f>IF(CL10=0,0,1+COUNTIF(CM$6:CM9,"&gt;0"))</f>
        <v>0</v>
      </c>
      <c r="CN10" s="600">
        <f t="shared" si="21"/>
        <v>0</v>
      </c>
      <c r="CO10" s="600">
        <f>IF(CN10=0,0,1+COUNTIF(CO$6:CO9,"&gt;0"))</f>
        <v>0</v>
      </c>
      <c r="CP10" s="600">
        <f t="shared" si="22"/>
        <v>0</v>
      </c>
      <c r="CQ10" s="600">
        <f>IF(CP10=0,0,1+COUNTIF(CQ$6:CQ9,"&gt;0"))</f>
        <v>0</v>
      </c>
      <c r="CR10" s="600">
        <f t="shared" si="23"/>
        <v>0</v>
      </c>
      <c r="CS10" s="600">
        <f>IF(CR10=0,0,1+COUNTIF(CS$6:CS9,"&gt;0"))</f>
        <v>0</v>
      </c>
      <c r="CT10" s="600">
        <f t="shared" si="24"/>
        <v>0</v>
      </c>
      <c r="CU10" s="600">
        <f>IF(CT10=0,0,1+COUNTIF(CU$6:CU9,"&gt;0"))</f>
        <v>0</v>
      </c>
      <c r="CV10" s="600">
        <f t="shared" si="25"/>
        <v>0</v>
      </c>
      <c r="CW10" s="600">
        <f>IF(CV10=0,0,1+COUNTIF(CW$6:CW9,"&gt;0"))</f>
        <v>0</v>
      </c>
      <c r="CX10" s="600">
        <f t="shared" si="26"/>
        <v>0</v>
      </c>
      <c r="CY10" s="600">
        <f>IF(CX10=0,0,1+COUNTIF(CY$6:CY9,"&gt;0"))</f>
        <v>0</v>
      </c>
      <c r="CZ10" s="600">
        <f t="shared" si="27"/>
        <v>0</v>
      </c>
      <c r="DA10" s="600">
        <f>IF(CZ10=0,0,1+COUNTIF(DA$6:DA9,"&gt;0"))</f>
        <v>0</v>
      </c>
      <c r="DB10" s="600">
        <f t="shared" si="28"/>
        <v>0</v>
      </c>
      <c r="DC10" s="600">
        <f>IF(DB10=0,0,1+COUNTIF(DC$6:DC9,"&gt;0"))</f>
        <v>0</v>
      </c>
      <c r="DD10" s="600"/>
      <c r="DE10" s="600"/>
      <c r="DF10" s="600"/>
    </row>
    <row r="11" spans="1:110" x14ac:dyDescent="0.25">
      <c r="A11" s="600"/>
      <c r="B11" s="618">
        <v>6</v>
      </c>
      <c r="C11" s="1079" t="str">
        <f t="shared" si="0"/>
        <v/>
      </c>
      <c r="D11" s="1079"/>
      <c r="E11" s="1079"/>
      <c r="F11" s="1079"/>
      <c r="G11" s="1079"/>
      <c r="H11" s="600"/>
      <c r="I11" s="600"/>
      <c r="J11" s="600" t="str">
        <f t="shared" si="11"/>
        <v/>
      </c>
      <c r="K11" s="618">
        <v>6</v>
      </c>
      <c r="L11" s="1079" t="str">
        <f t="shared" si="1"/>
        <v/>
      </c>
      <c r="M11" s="1079"/>
      <c r="N11" s="1079"/>
      <c r="O11" s="1079"/>
      <c r="P11" s="1079"/>
      <c r="Q11" s="600"/>
      <c r="R11" s="600"/>
      <c r="S11" s="600" t="str">
        <f t="shared" si="12"/>
        <v/>
      </c>
      <c r="T11" s="618">
        <v>6</v>
      </c>
      <c r="U11" s="1079" t="str">
        <f t="shared" si="2"/>
        <v/>
      </c>
      <c r="V11" s="1079"/>
      <c r="W11" s="1079"/>
      <c r="X11" s="1079"/>
      <c r="Y11" s="1079"/>
      <c r="Z11" s="600" t="str">
        <f t="shared" si="3"/>
        <v/>
      </c>
      <c r="AA11" s="600"/>
      <c r="AB11" s="600" t="str">
        <f t="shared" si="13"/>
        <v/>
      </c>
      <c r="AC11" s="618">
        <v>6</v>
      </c>
      <c r="AD11" s="1079" t="str">
        <f t="shared" si="4"/>
        <v/>
      </c>
      <c r="AE11" s="1079"/>
      <c r="AF11" s="1079"/>
      <c r="AG11" s="1079"/>
      <c r="AH11" s="1079"/>
      <c r="AI11" s="600" t="s">
        <v>3034</v>
      </c>
      <c r="AJ11" s="600"/>
      <c r="AK11" s="600" t="str">
        <f t="shared" si="14"/>
        <v/>
      </c>
      <c r="AL11" s="618">
        <v>6</v>
      </c>
      <c r="AM11" s="1079" t="str">
        <f t="shared" si="5"/>
        <v/>
      </c>
      <c r="AN11" s="1079"/>
      <c r="AO11" s="1079"/>
      <c r="AP11" s="1079"/>
      <c r="AQ11" s="1079"/>
      <c r="AR11" s="600"/>
      <c r="AS11" s="600"/>
      <c r="AT11" s="600" t="str">
        <f t="shared" si="15"/>
        <v/>
      </c>
      <c r="AU11" s="618">
        <v>6</v>
      </c>
      <c r="AV11" s="1079" t="str">
        <f t="shared" si="6"/>
        <v/>
      </c>
      <c r="AW11" s="1079"/>
      <c r="AX11" s="1079"/>
      <c r="AY11" s="1079"/>
      <c r="AZ11" s="1079"/>
      <c r="BA11" s="600"/>
      <c r="BB11" s="600"/>
      <c r="BC11" s="600" t="str">
        <f t="shared" si="16"/>
        <v/>
      </c>
      <c r="BD11" s="618">
        <v>6</v>
      </c>
      <c r="BE11" s="1079" t="str">
        <f t="shared" si="7"/>
        <v/>
      </c>
      <c r="BF11" s="1079"/>
      <c r="BG11" s="1079"/>
      <c r="BH11" s="1079"/>
      <c r="BI11" s="1079"/>
      <c r="BJ11" s="600"/>
      <c r="BK11" s="600"/>
      <c r="BL11" s="600" t="str">
        <f t="shared" si="17"/>
        <v/>
      </c>
      <c r="BM11" s="618">
        <v>6</v>
      </c>
      <c r="BN11" s="1079" t="str">
        <f t="shared" si="8"/>
        <v/>
      </c>
      <c r="BO11" s="1079"/>
      <c r="BP11" s="1079"/>
      <c r="BQ11" s="1079"/>
      <c r="BR11" s="1079"/>
      <c r="BS11" s="600"/>
      <c r="BT11" s="600"/>
      <c r="BU11" s="600" t="str">
        <f t="shared" si="18"/>
        <v/>
      </c>
      <c r="BV11" s="618">
        <v>6</v>
      </c>
      <c r="BW11" s="1079" t="str">
        <f t="shared" si="9"/>
        <v/>
      </c>
      <c r="BX11" s="1079"/>
      <c r="BY11" s="1079"/>
      <c r="BZ11" s="1079"/>
      <c r="CA11" s="1079"/>
      <c r="CB11" s="600"/>
      <c r="CC11" s="600" t="str">
        <f t="shared" si="19"/>
        <v/>
      </c>
      <c r="CD11" s="600"/>
      <c r="CE11" s="600"/>
      <c r="CF11" s="600">
        <v>6</v>
      </c>
      <c r="CG11" s="619" t="str">
        <f t="shared" si="10"/>
        <v/>
      </c>
      <c r="CH11" s="600"/>
      <c r="CI11" s="600">
        <v>6</v>
      </c>
      <c r="CJ11" s="600">
        <f>Character_Creation!Q373</f>
        <v>0</v>
      </c>
      <c r="CK11" s="600" t="str">
        <f>IFERROR(INDEX(T08_Spells!$C$3:$C$1000,MATCH(S01_Bard!$CJ11,T08_Spells!$B$3:$B$1000,0),1),"")</f>
        <v/>
      </c>
      <c r="CL11" s="600">
        <f t="shared" si="20"/>
        <v>0</v>
      </c>
      <c r="CM11" s="600">
        <f>IF(CL11=0,0,1+COUNTIF(CM$6:CM10,"&gt;0"))</f>
        <v>0</v>
      </c>
      <c r="CN11" s="600">
        <f t="shared" si="21"/>
        <v>0</v>
      </c>
      <c r="CO11" s="600">
        <f>IF(CN11=0,0,1+COUNTIF(CO$6:CO10,"&gt;0"))</f>
        <v>0</v>
      </c>
      <c r="CP11" s="600">
        <f t="shared" si="22"/>
        <v>0</v>
      </c>
      <c r="CQ11" s="600">
        <f>IF(CP11=0,0,1+COUNTIF(CQ$6:CQ10,"&gt;0"))</f>
        <v>0</v>
      </c>
      <c r="CR11" s="600">
        <f t="shared" si="23"/>
        <v>0</v>
      </c>
      <c r="CS11" s="600">
        <f>IF(CR11=0,0,1+COUNTIF(CS$6:CS10,"&gt;0"))</f>
        <v>0</v>
      </c>
      <c r="CT11" s="600">
        <f t="shared" si="24"/>
        <v>0</v>
      </c>
      <c r="CU11" s="600">
        <f>IF(CT11=0,0,1+COUNTIF(CU$6:CU10,"&gt;0"))</f>
        <v>0</v>
      </c>
      <c r="CV11" s="600">
        <f t="shared" si="25"/>
        <v>0</v>
      </c>
      <c r="CW11" s="600">
        <f>IF(CV11=0,0,1+COUNTIF(CW$6:CW10,"&gt;0"))</f>
        <v>0</v>
      </c>
      <c r="CX11" s="600">
        <f t="shared" si="26"/>
        <v>0</v>
      </c>
      <c r="CY11" s="600">
        <f>IF(CX11=0,0,1+COUNTIF(CY$6:CY10,"&gt;0"))</f>
        <v>0</v>
      </c>
      <c r="CZ11" s="600">
        <f t="shared" si="27"/>
        <v>0</v>
      </c>
      <c r="DA11" s="600">
        <f>IF(CZ11=0,0,1+COUNTIF(DA$6:DA10,"&gt;0"))</f>
        <v>0</v>
      </c>
      <c r="DB11" s="600">
        <f t="shared" si="28"/>
        <v>0</v>
      </c>
      <c r="DC11" s="600">
        <f>IF(DB11=0,0,1+COUNTIF(DC$6:DC10,"&gt;0"))</f>
        <v>0</v>
      </c>
      <c r="DD11" s="600"/>
      <c r="DE11" s="600"/>
      <c r="DF11" s="600"/>
    </row>
    <row r="12" spans="1:110" x14ac:dyDescent="0.25">
      <c r="A12" s="600"/>
      <c r="B12" s="618">
        <v>7</v>
      </c>
      <c r="C12" s="1079" t="str">
        <f t="shared" si="0"/>
        <v/>
      </c>
      <c r="D12" s="1079"/>
      <c r="E12" s="1079"/>
      <c r="F12" s="1079"/>
      <c r="G12" s="1079"/>
      <c r="H12" s="600"/>
      <c r="I12" s="600"/>
      <c r="J12" s="600" t="str">
        <f t="shared" si="11"/>
        <v/>
      </c>
      <c r="K12" s="618">
        <v>7</v>
      </c>
      <c r="L12" s="1079" t="str">
        <f t="shared" si="1"/>
        <v/>
      </c>
      <c r="M12" s="1079"/>
      <c r="N12" s="1079"/>
      <c r="O12" s="1079"/>
      <c r="P12" s="1079"/>
      <c r="Q12" s="600"/>
      <c r="R12" s="600"/>
      <c r="S12" s="600" t="str">
        <f t="shared" si="12"/>
        <v/>
      </c>
      <c r="T12" s="618">
        <v>7</v>
      </c>
      <c r="U12" s="1079" t="str">
        <f t="shared" si="2"/>
        <v/>
      </c>
      <c r="V12" s="1079"/>
      <c r="W12" s="1079"/>
      <c r="X12" s="1079"/>
      <c r="Y12" s="1079"/>
      <c r="Z12" s="600" t="str">
        <f t="shared" si="3"/>
        <v/>
      </c>
      <c r="AA12" s="600"/>
      <c r="AB12" s="600" t="str">
        <f t="shared" si="13"/>
        <v/>
      </c>
      <c r="AC12" s="618">
        <v>7</v>
      </c>
      <c r="AD12" s="1079" t="str">
        <f t="shared" si="4"/>
        <v/>
      </c>
      <c r="AE12" s="1079"/>
      <c r="AF12" s="1079"/>
      <c r="AG12" s="1079"/>
      <c r="AH12" s="1079"/>
      <c r="AI12" s="600" t="s">
        <v>3034</v>
      </c>
      <c r="AJ12" s="600"/>
      <c r="AK12" s="600" t="str">
        <f t="shared" si="14"/>
        <v/>
      </c>
      <c r="AL12" s="618">
        <v>7</v>
      </c>
      <c r="AM12" s="1079" t="str">
        <f t="shared" si="5"/>
        <v/>
      </c>
      <c r="AN12" s="1079"/>
      <c r="AO12" s="1079"/>
      <c r="AP12" s="1079"/>
      <c r="AQ12" s="1079"/>
      <c r="AR12" s="600"/>
      <c r="AS12" s="600"/>
      <c r="AT12" s="600" t="str">
        <f t="shared" si="15"/>
        <v/>
      </c>
      <c r="AU12" s="618">
        <v>7</v>
      </c>
      <c r="AV12" s="1079" t="str">
        <f t="shared" si="6"/>
        <v/>
      </c>
      <c r="AW12" s="1079"/>
      <c r="AX12" s="1079"/>
      <c r="AY12" s="1079"/>
      <c r="AZ12" s="1079"/>
      <c r="BA12" s="600"/>
      <c r="BB12" s="600"/>
      <c r="BC12" s="600" t="str">
        <f t="shared" si="16"/>
        <v/>
      </c>
      <c r="BD12" s="618">
        <v>7</v>
      </c>
      <c r="BE12" s="1079" t="str">
        <f t="shared" si="7"/>
        <v/>
      </c>
      <c r="BF12" s="1079"/>
      <c r="BG12" s="1079"/>
      <c r="BH12" s="1079"/>
      <c r="BI12" s="1079"/>
      <c r="BJ12" s="600"/>
      <c r="BK12" s="600"/>
      <c r="BL12" s="600" t="str">
        <f t="shared" si="17"/>
        <v/>
      </c>
      <c r="BM12" s="618">
        <v>7</v>
      </c>
      <c r="BN12" s="1079" t="str">
        <f t="shared" si="8"/>
        <v/>
      </c>
      <c r="BO12" s="1079"/>
      <c r="BP12" s="1079"/>
      <c r="BQ12" s="1079"/>
      <c r="BR12" s="1079"/>
      <c r="BS12" s="600"/>
      <c r="BT12" s="600"/>
      <c r="BU12" s="600" t="str">
        <f t="shared" si="18"/>
        <v/>
      </c>
      <c r="BV12" s="618">
        <v>7</v>
      </c>
      <c r="BW12" s="1079" t="str">
        <f t="shared" si="9"/>
        <v/>
      </c>
      <c r="BX12" s="1079"/>
      <c r="BY12" s="1079"/>
      <c r="BZ12" s="1079"/>
      <c r="CA12" s="1079"/>
      <c r="CB12" s="600"/>
      <c r="CC12" s="600" t="str">
        <f t="shared" si="19"/>
        <v/>
      </c>
      <c r="CD12" s="600"/>
      <c r="CE12" s="600"/>
      <c r="CF12" s="600">
        <v>7</v>
      </c>
      <c r="CG12" s="619" t="str">
        <f t="shared" si="10"/>
        <v/>
      </c>
      <c r="CH12" s="600"/>
      <c r="CI12" s="600">
        <v>7</v>
      </c>
      <c r="CJ12" s="600">
        <f>Character_Creation!Q374</f>
        <v>0</v>
      </c>
      <c r="CK12" s="600" t="str">
        <f>IFERROR(INDEX(T08_Spells!$C$3:$C$1000,MATCH(S01_Bard!$CJ12,T08_Spells!$B$3:$B$1000,0),1),"")</f>
        <v/>
      </c>
      <c r="CL12" s="600">
        <f t="shared" si="20"/>
        <v>0</v>
      </c>
      <c r="CM12" s="600">
        <f>IF(CL12=0,0,1+COUNTIF(CM$6:CM11,"&gt;0"))</f>
        <v>0</v>
      </c>
      <c r="CN12" s="600">
        <f t="shared" si="21"/>
        <v>0</v>
      </c>
      <c r="CO12" s="600">
        <f>IF(CN12=0,0,1+COUNTIF(CO$6:CO11,"&gt;0"))</f>
        <v>0</v>
      </c>
      <c r="CP12" s="600">
        <f t="shared" si="22"/>
        <v>0</v>
      </c>
      <c r="CQ12" s="600">
        <f>IF(CP12=0,0,1+COUNTIF(CQ$6:CQ11,"&gt;0"))</f>
        <v>0</v>
      </c>
      <c r="CR12" s="600">
        <f t="shared" si="23"/>
        <v>0</v>
      </c>
      <c r="CS12" s="600">
        <f>IF(CR12=0,0,1+COUNTIF(CS$6:CS11,"&gt;0"))</f>
        <v>0</v>
      </c>
      <c r="CT12" s="600">
        <f t="shared" si="24"/>
        <v>0</v>
      </c>
      <c r="CU12" s="600">
        <f>IF(CT12=0,0,1+COUNTIF(CU$6:CU11,"&gt;0"))</f>
        <v>0</v>
      </c>
      <c r="CV12" s="600">
        <f t="shared" si="25"/>
        <v>0</v>
      </c>
      <c r="CW12" s="600">
        <f>IF(CV12=0,0,1+COUNTIF(CW$6:CW11,"&gt;0"))</f>
        <v>0</v>
      </c>
      <c r="CX12" s="600">
        <f t="shared" si="26"/>
        <v>0</v>
      </c>
      <c r="CY12" s="600">
        <f>IF(CX12=0,0,1+COUNTIF(CY$6:CY11,"&gt;0"))</f>
        <v>0</v>
      </c>
      <c r="CZ12" s="600">
        <f t="shared" si="27"/>
        <v>0</v>
      </c>
      <c r="DA12" s="600">
        <f>IF(CZ12=0,0,1+COUNTIF(DA$6:DA11,"&gt;0"))</f>
        <v>0</v>
      </c>
      <c r="DB12" s="600">
        <f t="shared" si="28"/>
        <v>0</v>
      </c>
      <c r="DC12" s="600">
        <f>IF(DB12=0,0,1+COUNTIF(DC$6:DC11,"&gt;0"))</f>
        <v>0</v>
      </c>
      <c r="DD12" s="600"/>
      <c r="DE12" s="600"/>
      <c r="DF12" s="600"/>
    </row>
    <row r="13" spans="1:110" x14ac:dyDescent="0.25">
      <c r="A13" s="600"/>
      <c r="B13" s="618">
        <v>8</v>
      </c>
      <c r="C13" s="1079" t="str">
        <f t="shared" si="0"/>
        <v/>
      </c>
      <c r="D13" s="1079"/>
      <c r="E13" s="1079"/>
      <c r="F13" s="1079"/>
      <c r="G13" s="1079"/>
      <c r="H13" s="600"/>
      <c r="I13" s="600"/>
      <c r="J13" s="600" t="str">
        <f t="shared" si="11"/>
        <v/>
      </c>
      <c r="K13" s="618">
        <v>8</v>
      </c>
      <c r="L13" s="1079" t="str">
        <f t="shared" si="1"/>
        <v/>
      </c>
      <c r="M13" s="1079"/>
      <c r="N13" s="1079"/>
      <c r="O13" s="1079"/>
      <c r="P13" s="1079"/>
      <c r="Q13" s="600"/>
      <c r="R13" s="600"/>
      <c r="S13" s="600" t="str">
        <f t="shared" si="12"/>
        <v/>
      </c>
      <c r="T13" s="618">
        <v>8</v>
      </c>
      <c r="U13" s="1079" t="str">
        <f t="shared" si="2"/>
        <v/>
      </c>
      <c r="V13" s="1079"/>
      <c r="W13" s="1079"/>
      <c r="X13" s="1079"/>
      <c r="Y13" s="1079"/>
      <c r="Z13" s="600" t="str">
        <f t="shared" si="3"/>
        <v/>
      </c>
      <c r="AA13" s="600"/>
      <c r="AB13" s="600" t="str">
        <f t="shared" si="13"/>
        <v/>
      </c>
      <c r="AC13" s="618">
        <v>8</v>
      </c>
      <c r="AD13" s="1079" t="str">
        <f t="shared" si="4"/>
        <v/>
      </c>
      <c r="AE13" s="1079"/>
      <c r="AF13" s="1079"/>
      <c r="AG13" s="1079"/>
      <c r="AH13" s="1079"/>
      <c r="AI13" s="600" t="s">
        <v>3034</v>
      </c>
      <c r="AJ13" s="600"/>
      <c r="AK13" s="600" t="str">
        <f t="shared" si="14"/>
        <v/>
      </c>
      <c r="AL13" s="618">
        <v>8</v>
      </c>
      <c r="AM13" s="1079" t="str">
        <f t="shared" si="5"/>
        <v/>
      </c>
      <c r="AN13" s="1079"/>
      <c r="AO13" s="1079"/>
      <c r="AP13" s="1079"/>
      <c r="AQ13" s="1079"/>
      <c r="AR13" s="600"/>
      <c r="AS13" s="600"/>
      <c r="AT13" s="600" t="str">
        <f t="shared" si="15"/>
        <v/>
      </c>
      <c r="AU13" s="618">
        <v>8</v>
      </c>
      <c r="AV13" s="1079" t="str">
        <f t="shared" si="6"/>
        <v/>
      </c>
      <c r="AW13" s="1079"/>
      <c r="AX13" s="1079"/>
      <c r="AY13" s="1079"/>
      <c r="AZ13" s="1079"/>
      <c r="BA13" s="600"/>
      <c r="BB13" s="600"/>
      <c r="BC13" s="600" t="str">
        <f t="shared" si="16"/>
        <v/>
      </c>
      <c r="BD13" s="618">
        <v>8</v>
      </c>
      <c r="BE13" s="1079" t="str">
        <f t="shared" si="7"/>
        <v/>
      </c>
      <c r="BF13" s="1079"/>
      <c r="BG13" s="1079"/>
      <c r="BH13" s="1079"/>
      <c r="BI13" s="1079"/>
      <c r="BJ13" s="600"/>
      <c r="BK13" s="600"/>
      <c r="BL13" s="600" t="str">
        <f t="shared" si="17"/>
        <v/>
      </c>
      <c r="BM13" s="618">
        <v>8</v>
      </c>
      <c r="BN13" s="1079" t="str">
        <f t="shared" si="8"/>
        <v/>
      </c>
      <c r="BO13" s="1079"/>
      <c r="BP13" s="1079"/>
      <c r="BQ13" s="1079"/>
      <c r="BR13" s="1079"/>
      <c r="BS13" s="600"/>
      <c r="BT13" s="600"/>
      <c r="BU13" s="600" t="str">
        <f t="shared" si="18"/>
        <v/>
      </c>
      <c r="BV13" s="618">
        <v>8</v>
      </c>
      <c r="BW13" s="1079" t="str">
        <f t="shared" si="9"/>
        <v/>
      </c>
      <c r="BX13" s="1079"/>
      <c r="BY13" s="1079"/>
      <c r="BZ13" s="1079"/>
      <c r="CA13" s="1079"/>
      <c r="CB13" s="600"/>
      <c r="CC13" s="600" t="str">
        <f t="shared" si="19"/>
        <v/>
      </c>
      <c r="CD13" s="600"/>
      <c r="CE13" s="600"/>
      <c r="CF13" s="600">
        <v>8</v>
      </c>
      <c r="CG13" s="619" t="str">
        <f t="shared" si="10"/>
        <v/>
      </c>
      <c r="CH13" s="600"/>
      <c r="CI13" s="600">
        <v>8</v>
      </c>
      <c r="CJ13" s="600">
        <f>Character_Creation!Q375</f>
        <v>0</v>
      </c>
      <c r="CK13" s="600" t="str">
        <f>IFERROR(INDEX(T08_Spells!$C$3:$C$1000,MATCH(S01_Bard!$CJ13,T08_Spells!$B$3:$B$1000,0),1),"")</f>
        <v/>
      </c>
      <c r="CL13" s="600">
        <f t="shared" si="20"/>
        <v>0</v>
      </c>
      <c r="CM13" s="600">
        <f>IF(CL13=0,0,1+COUNTIF(CM$6:CM12,"&gt;0"))</f>
        <v>0</v>
      </c>
      <c r="CN13" s="600">
        <f t="shared" si="21"/>
        <v>0</v>
      </c>
      <c r="CO13" s="600">
        <f>IF(CN13=0,0,1+COUNTIF(CO$6:CO12,"&gt;0"))</f>
        <v>0</v>
      </c>
      <c r="CP13" s="600">
        <f t="shared" si="22"/>
        <v>0</v>
      </c>
      <c r="CQ13" s="600">
        <f>IF(CP13=0,0,1+COUNTIF(CQ$6:CQ12,"&gt;0"))</f>
        <v>0</v>
      </c>
      <c r="CR13" s="600">
        <f t="shared" si="23"/>
        <v>0</v>
      </c>
      <c r="CS13" s="600">
        <f>IF(CR13=0,0,1+COUNTIF(CS$6:CS12,"&gt;0"))</f>
        <v>0</v>
      </c>
      <c r="CT13" s="600">
        <f t="shared" si="24"/>
        <v>0</v>
      </c>
      <c r="CU13" s="600">
        <f>IF(CT13=0,0,1+COUNTIF(CU$6:CU12,"&gt;0"))</f>
        <v>0</v>
      </c>
      <c r="CV13" s="600">
        <f t="shared" si="25"/>
        <v>0</v>
      </c>
      <c r="CW13" s="600">
        <f>IF(CV13=0,0,1+COUNTIF(CW$6:CW12,"&gt;0"))</f>
        <v>0</v>
      </c>
      <c r="CX13" s="600">
        <f t="shared" si="26"/>
        <v>0</v>
      </c>
      <c r="CY13" s="600">
        <f>IF(CX13=0,0,1+COUNTIF(CY$6:CY12,"&gt;0"))</f>
        <v>0</v>
      </c>
      <c r="CZ13" s="600">
        <f t="shared" si="27"/>
        <v>0</v>
      </c>
      <c r="DA13" s="600">
        <f>IF(CZ13=0,0,1+COUNTIF(DA$6:DA12,"&gt;0"))</f>
        <v>0</v>
      </c>
      <c r="DB13" s="600">
        <f t="shared" si="28"/>
        <v>0</v>
      </c>
      <c r="DC13" s="600">
        <f>IF(DB13=0,0,1+COUNTIF(DC$6:DC12,"&gt;0"))</f>
        <v>0</v>
      </c>
      <c r="DD13" s="600"/>
      <c r="DE13" s="600"/>
      <c r="DF13" s="600"/>
    </row>
    <row r="14" spans="1:110" x14ac:dyDescent="0.25">
      <c r="A14" s="600"/>
      <c r="B14" s="618">
        <v>9</v>
      </c>
      <c r="C14" s="1079" t="str">
        <f t="shared" si="0"/>
        <v/>
      </c>
      <c r="D14" s="1079"/>
      <c r="E14" s="1079"/>
      <c r="F14" s="1079"/>
      <c r="G14" s="1079"/>
      <c r="H14" s="600"/>
      <c r="I14" s="600"/>
      <c r="J14" s="600" t="str">
        <f t="shared" si="11"/>
        <v/>
      </c>
      <c r="K14" s="618">
        <v>9</v>
      </c>
      <c r="L14" s="1079" t="str">
        <f t="shared" si="1"/>
        <v/>
      </c>
      <c r="M14" s="1079"/>
      <c r="N14" s="1079"/>
      <c r="O14" s="1079"/>
      <c r="P14" s="1079"/>
      <c r="Q14" s="600"/>
      <c r="R14" s="600"/>
      <c r="S14" s="600" t="str">
        <f t="shared" si="12"/>
        <v/>
      </c>
      <c r="T14" s="618">
        <v>9</v>
      </c>
      <c r="U14" s="1079" t="str">
        <f t="shared" si="2"/>
        <v/>
      </c>
      <c r="V14" s="1079"/>
      <c r="W14" s="1079"/>
      <c r="X14" s="1079"/>
      <c r="Y14" s="1079"/>
      <c r="Z14" s="600" t="str">
        <f t="shared" si="3"/>
        <v/>
      </c>
      <c r="AA14" s="600"/>
      <c r="AB14" s="600" t="str">
        <f t="shared" si="13"/>
        <v/>
      </c>
      <c r="AC14" s="618">
        <v>9</v>
      </c>
      <c r="AD14" s="1079" t="str">
        <f t="shared" si="4"/>
        <v/>
      </c>
      <c r="AE14" s="1079"/>
      <c r="AF14" s="1079"/>
      <c r="AG14" s="1079"/>
      <c r="AH14" s="1079"/>
      <c r="AI14" s="600" t="s">
        <v>3034</v>
      </c>
      <c r="AJ14" s="600"/>
      <c r="AK14" s="600" t="str">
        <f t="shared" si="14"/>
        <v/>
      </c>
      <c r="AL14" s="618">
        <v>9</v>
      </c>
      <c r="AM14" s="1079" t="str">
        <f t="shared" si="5"/>
        <v/>
      </c>
      <c r="AN14" s="1079"/>
      <c r="AO14" s="1079"/>
      <c r="AP14" s="1079"/>
      <c r="AQ14" s="1079"/>
      <c r="AR14" s="600"/>
      <c r="AS14" s="600"/>
      <c r="AT14" s="600" t="str">
        <f t="shared" si="15"/>
        <v/>
      </c>
      <c r="AU14" s="618">
        <v>9</v>
      </c>
      <c r="AV14" s="1079" t="str">
        <f t="shared" si="6"/>
        <v/>
      </c>
      <c r="AW14" s="1079"/>
      <c r="AX14" s="1079"/>
      <c r="AY14" s="1079"/>
      <c r="AZ14" s="1079"/>
      <c r="BA14" s="600"/>
      <c r="BB14" s="600"/>
      <c r="BC14" s="600" t="str">
        <f t="shared" si="16"/>
        <v/>
      </c>
      <c r="BD14" s="618">
        <v>9</v>
      </c>
      <c r="BE14" s="1079" t="str">
        <f t="shared" si="7"/>
        <v/>
      </c>
      <c r="BF14" s="1079"/>
      <c r="BG14" s="1079"/>
      <c r="BH14" s="1079"/>
      <c r="BI14" s="1079"/>
      <c r="BJ14" s="600"/>
      <c r="BK14" s="600"/>
      <c r="BL14" s="600" t="str">
        <f t="shared" si="17"/>
        <v/>
      </c>
      <c r="BM14" s="618">
        <v>9</v>
      </c>
      <c r="BN14" s="1079" t="str">
        <f t="shared" si="8"/>
        <v/>
      </c>
      <c r="BO14" s="1079"/>
      <c r="BP14" s="1079"/>
      <c r="BQ14" s="1079"/>
      <c r="BR14" s="1079"/>
      <c r="BS14" s="600"/>
      <c r="BT14" s="600"/>
      <c r="BU14" s="600" t="str">
        <f t="shared" si="18"/>
        <v/>
      </c>
      <c r="BV14" s="618">
        <v>9</v>
      </c>
      <c r="BW14" s="1079" t="str">
        <f t="shared" si="9"/>
        <v/>
      </c>
      <c r="BX14" s="1079"/>
      <c r="BY14" s="1079"/>
      <c r="BZ14" s="1079"/>
      <c r="CA14" s="1079"/>
      <c r="CB14" s="600"/>
      <c r="CC14" s="600" t="str">
        <f t="shared" si="19"/>
        <v/>
      </c>
      <c r="CD14" s="600"/>
      <c r="CE14" s="600"/>
      <c r="CF14" s="600">
        <v>9</v>
      </c>
      <c r="CG14" s="619" t="str">
        <f t="shared" si="10"/>
        <v/>
      </c>
      <c r="CH14" s="600"/>
      <c r="CI14" s="600">
        <v>9</v>
      </c>
      <c r="CJ14" s="600">
        <f>Character_Creation!Q376</f>
        <v>0</v>
      </c>
      <c r="CK14" s="600" t="str">
        <f>IFERROR(INDEX(T08_Spells!$C$3:$C$1000,MATCH(S01_Bard!$CJ14,T08_Spells!$B$3:$B$1000,0),1),"")</f>
        <v/>
      </c>
      <c r="CL14" s="600">
        <f t="shared" si="20"/>
        <v>0</v>
      </c>
      <c r="CM14" s="600">
        <f>IF(CL14=0,0,1+COUNTIF(CM$6:CM13,"&gt;0"))</f>
        <v>0</v>
      </c>
      <c r="CN14" s="600">
        <f t="shared" si="21"/>
        <v>0</v>
      </c>
      <c r="CO14" s="600">
        <f>IF(CN14=0,0,1+COUNTIF(CO$6:CO13,"&gt;0"))</f>
        <v>0</v>
      </c>
      <c r="CP14" s="600">
        <f t="shared" si="22"/>
        <v>0</v>
      </c>
      <c r="CQ14" s="600">
        <f>IF(CP14=0,0,1+COUNTIF(CQ$6:CQ13,"&gt;0"))</f>
        <v>0</v>
      </c>
      <c r="CR14" s="600">
        <f t="shared" si="23"/>
        <v>0</v>
      </c>
      <c r="CS14" s="600">
        <f>IF(CR14=0,0,1+COUNTIF(CS$6:CS13,"&gt;0"))</f>
        <v>0</v>
      </c>
      <c r="CT14" s="600">
        <f t="shared" si="24"/>
        <v>0</v>
      </c>
      <c r="CU14" s="600">
        <f>IF(CT14=0,0,1+COUNTIF(CU$6:CU13,"&gt;0"))</f>
        <v>0</v>
      </c>
      <c r="CV14" s="600">
        <f t="shared" si="25"/>
        <v>0</v>
      </c>
      <c r="CW14" s="600">
        <f>IF(CV14=0,0,1+COUNTIF(CW$6:CW13,"&gt;0"))</f>
        <v>0</v>
      </c>
      <c r="CX14" s="600">
        <f t="shared" si="26"/>
        <v>0</v>
      </c>
      <c r="CY14" s="600">
        <f>IF(CX14=0,0,1+COUNTIF(CY$6:CY13,"&gt;0"))</f>
        <v>0</v>
      </c>
      <c r="CZ14" s="600">
        <f t="shared" si="27"/>
        <v>0</v>
      </c>
      <c r="DA14" s="600">
        <f>IF(CZ14=0,0,1+COUNTIF(DA$6:DA13,"&gt;0"))</f>
        <v>0</v>
      </c>
      <c r="DB14" s="600">
        <f t="shared" si="28"/>
        <v>0</v>
      </c>
      <c r="DC14" s="600">
        <f>IF(DB14=0,0,1+COUNTIF(DC$6:DC13,"&gt;0"))</f>
        <v>0</v>
      </c>
      <c r="DD14" s="600"/>
      <c r="DE14" s="600"/>
      <c r="DF14" s="600"/>
    </row>
    <row r="15" spans="1:110" x14ac:dyDescent="0.25">
      <c r="A15" s="600"/>
      <c r="B15" s="618">
        <v>10</v>
      </c>
      <c r="C15" s="1079" t="str">
        <f t="shared" si="0"/>
        <v/>
      </c>
      <c r="D15" s="1079"/>
      <c r="E15" s="1079"/>
      <c r="F15" s="1079"/>
      <c r="G15" s="1079"/>
      <c r="H15" s="600"/>
      <c r="I15" s="600"/>
      <c r="J15" s="600" t="str">
        <f t="shared" si="11"/>
        <v/>
      </c>
      <c r="K15" s="618">
        <v>10</v>
      </c>
      <c r="L15" s="1079" t="str">
        <f t="shared" si="1"/>
        <v/>
      </c>
      <c r="M15" s="1079"/>
      <c r="N15" s="1079"/>
      <c r="O15" s="1079"/>
      <c r="P15" s="1079"/>
      <c r="Q15" s="600"/>
      <c r="R15" s="600"/>
      <c r="S15" s="600" t="str">
        <f t="shared" si="12"/>
        <v/>
      </c>
      <c r="T15" s="618">
        <v>10</v>
      </c>
      <c r="U15" s="1079" t="str">
        <f t="shared" si="2"/>
        <v/>
      </c>
      <c r="V15" s="1079"/>
      <c r="W15" s="1079"/>
      <c r="X15" s="1079"/>
      <c r="Y15" s="1079"/>
      <c r="Z15" s="600" t="str">
        <f t="shared" si="3"/>
        <v/>
      </c>
      <c r="AA15" s="600"/>
      <c r="AB15" s="600" t="str">
        <f t="shared" si="13"/>
        <v/>
      </c>
      <c r="AC15" s="618">
        <v>10</v>
      </c>
      <c r="AD15" s="1079" t="str">
        <f t="shared" si="4"/>
        <v/>
      </c>
      <c r="AE15" s="1079"/>
      <c r="AF15" s="1079"/>
      <c r="AG15" s="1079"/>
      <c r="AH15" s="1079"/>
      <c r="AI15" s="600" t="s">
        <v>3034</v>
      </c>
      <c r="AJ15" s="600"/>
      <c r="AK15" s="600" t="str">
        <f t="shared" si="14"/>
        <v/>
      </c>
      <c r="AL15" s="618">
        <v>10</v>
      </c>
      <c r="AM15" s="1079" t="str">
        <f t="shared" si="5"/>
        <v/>
      </c>
      <c r="AN15" s="1079"/>
      <c r="AO15" s="1079"/>
      <c r="AP15" s="1079"/>
      <c r="AQ15" s="1079"/>
      <c r="AR15" s="600"/>
      <c r="AS15" s="600"/>
      <c r="AT15" s="600" t="str">
        <f t="shared" si="15"/>
        <v/>
      </c>
      <c r="AU15" s="618">
        <v>10</v>
      </c>
      <c r="AV15" s="1079" t="str">
        <f t="shared" si="6"/>
        <v/>
      </c>
      <c r="AW15" s="1079"/>
      <c r="AX15" s="1079"/>
      <c r="AY15" s="1079"/>
      <c r="AZ15" s="1079"/>
      <c r="BA15" s="600"/>
      <c r="BB15" s="600"/>
      <c r="BC15" s="600" t="str">
        <f t="shared" si="16"/>
        <v/>
      </c>
      <c r="BD15" s="618">
        <v>10</v>
      </c>
      <c r="BE15" s="1079" t="str">
        <f t="shared" si="7"/>
        <v/>
      </c>
      <c r="BF15" s="1079"/>
      <c r="BG15" s="1079"/>
      <c r="BH15" s="1079"/>
      <c r="BI15" s="1079"/>
      <c r="BJ15" s="600"/>
      <c r="BK15" s="600"/>
      <c r="BL15" s="600" t="str">
        <f t="shared" si="17"/>
        <v/>
      </c>
      <c r="BM15" s="618">
        <v>10</v>
      </c>
      <c r="BN15" s="1079" t="str">
        <f t="shared" si="8"/>
        <v/>
      </c>
      <c r="BO15" s="1079"/>
      <c r="BP15" s="1079"/>
      <c r="BQ15" s="1079"/>
      <c r="BR15" s="1079"/>
      <c r="BS15" s="600"/>
      <c r="BT15" s="600"/>
      <c r="BU15" s="600" t="str">
        <f t="shared" si="18"/>
        <v/>
      </c>
      <c r="BV15" s="618">
        <v>10</v>
      </c>
      <c r="BW15" s="1079" t="str">
        <f t="shared" si="9"/>
        <v/>
      </c>
      <c r="BX15" s="1079"/>
      <c r="BY15" s="1079"/>
      <c r="BZ15" s="1079"/>
      <c r="CA15" s="1079"/>
      <c r="CB15" s="600"/>
      <c r="CC15" s="600" t="str">
        <f t="shared" si="19"/>
        <v/>
      </c>
      <c r="CD15" s="600"/>
      <c r="CE15" s="600"/>
      <c r="CF15" s="600"/>
      <c r="CG15" s="600"/>
      <c r="CH15" s="600"/>
      <c r="CI15" s="600">
        <v>10</v>
      </c>
      <c r="CJ15" s="600">
        <f>Character_Creation!Q377</f>
        <v>0</v>
      </c>
      <c r="CK15" s="600" t="str">
        <f>IFERROR(INDEX(T08_Spells!$C$3:$C$1000,MATCH(S01_Bard!$CJ15,T08_Spells!$B$3:$B$1000,0),1),"")</f>
        <v/>
      </c>
      <c r="CL15" s="600">
        <f t="shared" si="20"/>
        <v>0</v>
      </c>
      <c r="CM15" s="600">
        <f>IF(CL15=0,0,1+COUNTIF(CM$6:CM14,"&gt;0"))</f>
        <v>0</v>
      </c>
      <c r="CN15" s="600">
        <f t="shared" si="21"/>
        <v>0</v>
      </c>
      <c r="CO15" s="600">
        <f>IF(CN15=0,0,1+COUNTIF(CO$6:CO14,"&gt;0"))</f>
        <v>0</v>
      </c>
      <c r="CP15" s="600">
        <f t="shared" si="22"/>
        <v>0</v>
      </c>
      <c r="CQ15" s="600">
        <f>IF(CP15=0,0,1+COUNTIF(CQ$6:CQ14,"&gt;0"))</f>
        <v>0</v>
      </c>
      <c r="CR15" s="600">
        <f t="shared" si="23"/>
        <v>0</v>
      </c>
      <c r="CS15" s="600">
        <f>IF(CR15=0,0,1+COUNTIF(CS$6:CS14,"&gt;0"))</f>
        <v>0</v>
      </c>
      <c r="CT15" s="600">
        <f t="shared" si="24"/>
        <v>0</v>
      </c>
      <c r="CU15" s="600">
        <f>IF(CT15=0,0,1+COUNTIF(CU$6:CU14,"&gt;0"))</f>
        <v>0</v>
      </c>
      <c r="CV15" s="600">
        <f t="shared" si="25"/>
        <v>0</v>
      </c>
      <c r="CW15" s="600">
        <f>IF(CV15=0,0,1+COUNTIF(CW$6:CW14,"&gt;0"))</f>
        <v>0</v>
      </c>
      <c r="CX15" s="600">
        <f t="shared" si="26"/>
        <v>0</v>
      </c>
      <c r="CY15" s="600">
        <f>IF(CX15=0,0,1+COUNTIF(CY$6:CY14,"&gt;0"))</f>
        <v>0</v>
      </c>
      <c r="CZ15" s="600">
        <f t="shared" si="27"/>
        <v>0</v>
      </c>
      <c r="DA15" s="600">
        <f>IF(CZ15=0,0,1+COUNTIF(DA$6:DA14,"&gt;0"))</f>
        <v>0</v>
      </c>
      <c r="DB15" s="600">
        <f t="shared" si="28"/>
        <v>0</v>
      </c>
      <c r="DC15" s="600">
        <f>IF(DB15=0,0,1+COUNTIF(DC$6:DC14,"&gt;0"))</f>
        <v>0</v>
      </c>
      <c r="DD15" s="600"/>
      <c r="DE15" s="600"/>
      <c r="DF15" s="600"/>
    </row>
    <row r="16" spans="1:110" x14ac:dyDescent="0.25">
      <c r="A16" s="600"/>
      <c r="B16" s="618">
        <v>11</v>
      </c>
      <c r="C16" s="1079" t="str">
        <f t="shared" si="0"/>
        <v/>
      </c>
      <c r="D16" s="1079"/>
      <c r="E16" s="1079"/>
      <c r="F16" s="1079"/>
      <c r="G16" s="1079"/>
      <c r="H16" s="600"/>
      <c r="I16" s="600"/>
      <c r="J16" s="600" t="str">
        <f t="shared" si="11"/>
        <v/>
      </c>
      <c r="K16" s="618">
        <v>11</v>
      </c>
      <c r="L16" s="1079" t="str">
        <f t="shared" si="1"/>
        <v/>
      </c>
      <c r="M16" s="1079"/>
      <c r="N16" s="1079"/>
      <c r="O16" s="1079"/>
      <c r="P16" s="1079"/>
      <c r="Q16" s="600"/>
      <c r="R16" s="600"/>
      <c r="S16" s="600" t="str">
        <f t="shared" si="12"/>
        <v/>
      </c>
      <c r="T16" s="618">
        <v>11</v>
      </c>
      <c r="U16" s="1079" t="str">
        <f t="shared" si="2"/>
        <v/>
      </c>
      <c r="V16" s="1079"/>
      <c r="W16" s="1079"/>
      <c r="X16" s="1079"/>
      <c r="Y16" s="1079"/>
      <c r="Z16" s="600" t="str">
        <f t="shared" si="3"/>
        <v/>
      </c>
      <c r="AA16" s="600"/>
      <c r="AB16" s="600" t="str">
        <f t="shared" si="13"/>
        <v/>
      </c>
      <c r="AC16" s="618">
        <v>11</v>
      </c>
      <c r="AD16" s="1079" t="str">
        <f t="shared" si="4"/>
        <v/>
      </c>
      <c r="AE16" s="1079"/>
      <c r="AF16" s="1079"/>
      <c r="AG16" s="1079"/>
      <c r="AH16" s="1079"/>
      <c r="AI16" s="600" t="s">
        <v>3034</v>
      </c>
      <c r="AJ16" s="600"/>
      <c r="AK16" s="600" t="str">
        <f t="shared" si="14"/>
        <v/>
      </c>
      <c r="AL16" s="618">
        <v>11</v>
      </c>
      <c r="AM16" s="1079" t="str">
        <f t="shared" si="5"/>
        <v/>
      </c>
      <c r="AN16" s="1079"/>
      <c r="AO16" s="1079"/>
      <c r="AP16" s="1079"/>
      <c r="AQ16" s="1079"/>
      <c r="AR16" s="600"/>
      <c r="AS16" s="600"/>
      <c r="AT16" s="600" t="str">
        <f t="shared" si="15"/>
        <v/>
      </c>
      <c r="AU16" s="618">
        <v>11</v>
      </c>
      <c r="AV16" s="1079" t="str">
        <f t="shared" si="6"/>
        <v/>
      </c>
      <c r="AW16" s="1079"/>
      <c r="AX16" s="1079"/>
      <c r="AY16" s="1079"/>
      <c r="AZ16" s="1079"/>
      <c r="BA16" s="600"/>
      <c r="BB16" s="600"/>
      <c r="BC16" s="600" t="str">
        <f t="shared" si="16"/>
        <v/>
      </c>
      <c r="BD16" s="618">
        <v>11</v>
      </c>
      <c r="BE16" s="1079" t="str">
        <f t="shared" si="7"/>
        <v/>
      </c>
      <c r="BF16" s="1079"/>
      <c r="BG16" s="1079"/>
      <c r="BH16" s="1079"/>
      <c r="BI16" s="1079"/>
      <c r="BJ16" s="600"/>
      <c r="BK16" s="600"/>
      <c r="BL16" s="600" t="str">
        <f t="shared" si="17"/>
        <v/>
      </c>
      <c r="BM16" s="618">
        <v>11</v>
      </c>
      <c r="BN16" s="1079" t="str">
        <f t="shared" si="8"/>
        <v/>
      </c>
      <c r="BO16" s="1079"/>
      <c r="BP16" s="1079"/>
      <c r="BQ16" s="1079"/>
      <c r="BR16" s="1079"/>
      <c r="BS16" s="600"/>
      <c r="BT16" s="600"/>
      <c r="BU16" s="600" t="str">
        <f t="shared" si="18"/>
        <v/>
      </c>
      <c r="BV16" s="618">
        <v>11</v>
      </c>
      <c r="BW16" s="1079" t="str">
        <f t="shared" si="9"/>
        <v/>
      </c>
      <c r="BX16" s="1079"/>
      <c r="BY16" s="1079"/>
      <c r="BZ16" s="1079"/>
      <c r="CA16" s="1079"/>
      <c r="CB16" s="600"/>
      <c r="CC16" s="600" t="str">
        <f t="shared" si="19"/>
        <v/>
      </c>
      <c r="CD16" s="600"/>
      <c r="CE16" s="600"/>
      <c r="CF16" s="600"/>
      <c r="CG16" s="600"/>
      <c r="CH16" s="600"/>
      <c r="CI16" s="600">
        <v>11</v>
      </c>
      <c r="CJ16" s="600">
        <f>Character_Creation!Q378</f>
        <v>0</v>
      </c>
      <c r="CK16" s="600" t="str">
        <f>IFERROR(INDEX(T08_Spells!$C$3:$C$1000,MATCH(S01_Bard!$CJ16,T08_Spells!$B$3:$B$1000,0),1),"")</f>
        <v/>
      </c>
      <c r="CL16" s="600">
        <f t="shared" si="20"/>
        <v>0</v>
      </c>
      <c r="CM16" s="600">
        <f>IF(CL16=0,0,1+COUNTIF(CM$6:CM15,"&gt;0"))</f>
        <v>0</v>
      </c>
      <c r="CN16" s="600">
        <f t="shared" si="21"/>
        <v>0</v>
      </c>
      <c r="CO16" s="600">
        <f>IF(CN16=0,0,1+COUNTIF(CO$6:CO15,"&gt;0"))</f>
        <v>0</v>
      </c>
      <c r="CP16" s="600">
        <f t="shared" si="22"/>
        <v>0</v>
      </c>
      <c r="CQ16" s="600">
        <f>IF(CP16=0,0,1+COUNTIF(CQ$6:CQ15,"&gt;0"))</f>
        <v>0</v>
      </c>
      <c r="CR16" s="600">
        <f t="shared" si="23"/>
        <v>0</v>
      </c>
      <c r="CS16" s="600">
        <f>IF(CR16=0,0,1+COUNTIF(CS$6:CS15,"&gt;0"))</f>
        <v>0</v>
      </c>
      <c r="CT16" s="600">
        <f t="shared" si="24"/>
        <v>0</v>
      </c>
      <c r="CU16" s="600">
        <f>IF(CT16=0,0,1+COUNTIF(CU$6:CU15,"&gt;0"))</f>
        <v>0</v>
      </c>
      <c r="CV16" s="600">
        <f t="shared" si="25"/>
        <v>0</v>
      </c>
      <c r="CW16" s="600">
        <f>IF(CV16=0,0,1+COUNTIF(CW$6:CW15,"&gt;0"))</f>
        <v>0</v>
      </c>
      <c r="CX16" s="600">
        <f t="shared" si="26"/>
        <v>0</v>
      </c>
      <c r="CY16" s="600">
        <f>IF(CX16=0,0,1+COUNTIF(CY$6:CY15,"&gt;0"))</f>
        <v>0</v>
      </c>
      <c r="CZ16" s="600">
        <f t="shared" si="27"/>
        <v>0</v>
      </c>
      <c r="DA16" s="600">
        <f>IF(CZ16=0,0,1+COUNTIF(DA$6:DA15,"&gt;0"))</f>
        <v>0</v>
      </c>
      <c r="DB16" s="600">
        <f t="shared" si="28"/>
        <v>0</v>
      </c>
      <c r="DC16" s="600">
        <f>IF(DB16=0,0,1+COUNTIF(DC$6:DC15,"&gt;0"))</f>
        <v>0</v>
      </c>
      <c r="DD16" s="600"/>
      <c r="DE16" s="600"/>
      <c r="DF16" s="600"/>
    </row>
    <row r="17" spans="1:110" x14ac:dyDescent="0.25">
      <c r="A17" s="600"/>
      <c r="B17" s="618">
        <v>12</v>
      </c>
      <c r="C17" s="1079" t="str">
        <f t="shared" si="0"/>
        <v/>
      </c>
      <c r="D17" s="1079"/>
      <c r="E17" s="1079"/>
      <c r="F17" s="1079"/>
      <c r="G17" s="1079"/>
      <c r="H17" s="600"/>
      <c r="I17" s="600"/>
      <c r="J17" s="600" t="str">
        <f t="shared" si="11"/>
        <v/>
      </c>
      <c r="K17" s="618">
        <v>12</v>
      </c>
      <c r="L17" s="1079" t="str">
        <f t="shared" si="1"/>
        <v/>
      </c>
      <c r="M17" s="1079"/>
      <c r="N17" s="1079"/>
      <c r="O17" s="1079"/>
      <c r="P17" s="1079"/>
      <c r="Q17" s="600"/>
      <c r="R17" s="600"/>
      <c r="S17" s="600" t="str">
        <f t="shared" si="12"/>
        <v/>
      </c>
      <c r="T17" s="618">
        <v>12</v>
      </c>
      <c r="U17" s="1079" t="str">
        <f t="shared" si="2"/>
        <v/>
      </c>
      <c r="V17" s="1079"/>
      <c r="W17" s="1079"/>
      <c r="X17" s="1079"/>
      <c r="Y17" s="1079"/>
      <c r="Z17" s="600" t="str">
        <f t="shared" si="3"/>
        <v/>
      </c>
      <c r="AA17" s="600"/>
      <c r="AB17" s="600" t="str">
        <f t="shared" si="13"/>
        <v/>
      </c>
      <c r="AC17" s="618">
        <v>12</v>
      </c>
      <c r="AD17" s="1079" t="str">
        <f t="shared" si="4"/>
        <v/>
      </c>
      <c r="AE17" s="1079"/>
      <c r="AF17" s="1079"/>
      <c r="AG17" s="1079"/>
      <c r="AH17" s="1079"/>
      <c r="AI17" s="600" t="s">
        <v>3034</v>
      </c>
      <c r="AJ17" s="600"/>
      <c r="AK17" s="600" t="str">
        <f t="shared" si="14"/>
        <v/>
      </c>
      <c r="AL17" s="618">
        <v>12</v>
      </c>
      <c r="AM17" s="1079" t="str">
        <f t="shared" si="5"/>
        <v/>
      </c>
      <c r="AN17" s="1079"/>
      <c r="AO17" s="1079"/>
      <c r="AP17" s="1079"/>
      <c r="AQ17" s="1079"/>
      <c r="AR17" s="600"/>
      <c r="AS17" s="600"/>
      <c r="AT17" s="600" t="str">
        <f t="shared" si="15"/>
        <v/>
      </c>
      <c r="AU17" s="618">
        <v>12</v>
      </c>
      <c r="AV17" s="1079" t="str">
        <f t="shared" si="6"/>
        <v/>
      </c>
      <c r="AW17" s="1079"/>
      <c r="AX17" s="1079"/>
      <c r="AY17" s="1079"/>
      <c r="AZ17" s="1079"/>
      <c r="BA17" s="600"/>
      <c r="BB17" s="600"/>
      <c r="BC17" s="600" t="str">
        <f t="shared" si="16"/>
        <v/>
      </c>
      <c r="BD17" s="618">
        <v>12</v>
      </c>
      <c r="BE17" s="1079" t="str">
        <f t="shared" si="7"/>
        <v/>
      </c>
      <c r="BF17" s="1079"/>
      <c r="BG17" s="1079"/>
      <c r="BH17" s="1079"/>
      <c r="BI17" s="1079"/>
      <c r="BJ17" s="600"/>
      <c r="BK17" s="600"/>
      <c r="BL17" s="600" t="str">
        <f t="shared" si="17"/>
        <v/>
      </c>
      <c r="BM17" s="618">
        <v>12</v>
      </c>
      <c r="BN17" s="1079" t="str">
        <f t="shared" si="8"/>
        <v/>
      </c>
      <c r="BO17" s="1079"/>
      <c r="BP17" s="1079"/>
      <c r="BQ17" s="1079"/>
      <c r="BR17" s="1079"/>
      <c r="BS17" s="600"/>
      <c r="BT17" s="600"/>
      <c r="BU17" s="600" t="str">
        <f t="shared" si="18"/>
        <v/>
      </c>
      <c r="BV17" s="618">
        <v>12</v>
      </c>
      <c r="BW17" s="1079" t="str">
        <f t="shared" si="9"/>
        <v/>
      </c>
      <c r="BX17" s="1079"/>
      <c r="BY17" s="1079"/>
      <c r="BZ17" s="1079"/>
      <c r="CA17" s="1079"/>
      <c r="CB17" s="600"/>
      <c r="CC17" s="600" t="str">
        <f t="shared" si="19"/>
        <v/>
      </c>
      <c r="CD17" s="600"/>
      <c r="CE17" s="600"/>
      <c r="CF17" s="600"/>
      <c r="CG17" s="600"/>
      <c r="CH17" s="600"/>
      <c r="CI17" s="600">
        <v>12</v>
      </c>
      <c r="CJ17" s="600">
        <f>Character_Creation!Q379</f>
        <v>0</v>
      </c>
      <c r="CK17" s="600" t="str">
        <f>IFERROR(INDEX(T08_Spells!$C$3:$C$1000,MATCH(S01_Bard!$CJ17,T08_Spells!$B$3:$B$1000,0),1),"")</f>
        <v/>
      </c>
      <c r="CL17" s="600">
        <f t="shared" si="20"/>
        <v>0</v>
      </c>
      <c r="CM17" s="600">
        <f>IF(CL17=0,0,1+COUNTIF(CM$6:CM16,"&gt;0"))</f>
        <v>0</v>
      </c>
      <c r="CN17" s="600">
        <f t="shared" si="21"/>
        <v>0</v>
      </c>
      <c r="CO17" s="600">
        <f>IF(CN17=0,0,1+COUNTIF(CO$6:CO16,"&gt;0"))</f>
        <v>0</v>
      </c>
      <c r="CP17" s="600">
        <f t="shared" si="22"/>
        <v>0</v>
      </c>
      <c r="CQ17" s="600">
        <f>IF(CP17=0,0,1+COUNTIF(CQ$6:CQ16,"&gt;0"))</f>
        <v>0</v>
      </c>
      <c r="CR17" s="600">
        <f t="shared" si="23"/>
        <v>0</v>
      </c>
      <c r="CS17" s="600">
        <f>IF(CR17=0,0,1+COUNTIF(CS$6:CS16,"&gt;0"))</f>
        <v>0</v>
      </c>
      <c r="CT17" s="600">
        <f t="shared" si="24"/>
        <v>0</v>
      </c>
      <c r="CU17" s="600">
        <f>IF(CT17=0,0,1+COUNTIF(CU$6:CU16,"&gt;0"))</f>
        <v>0</v>
      </c>
      <c r="CV17" s="600">
        <f t="shared" si="25"/>
        <v>0</v>
      </c>
      <c r="CW17" s="600">
        <f>IF(CV17=0,0,1+COUNTIF(CW$6:CW16,"&gt;0"))</f>
        <v>0</v>
      </c>
      <c r="CX17" s="600">
        <f t="shared" si="26"/>
        <v>0</v>
      </c>
      <c r="CY17" s="600">
        <f>IF(CX17=0,0,1+COUNTIF(CY$6:CY16,"&gt;0"))</f>
        <v>0</v>
      </c>
      <c r="CZ17" s="600">
        <f t="shared" si="27"/>
        <v>0</v>
      </c>
      <c r="DA17" s="600">
        <f>IF(CZ17=0,0,1+COUNTIF(DA$6:DA16,"&gt;0"))</f>
        <v>0</v>
      </c>
      <c r="DB17" s="600">
        <f t="shared" si="28"/>
        <v>0</v>
      </c>
      <c r="DC17" s="600">
        <f>IF(DB17=0,0,1+COUNTIF(DC$6:DC16,"&gt;0"))</f>
        <v>0</v>
      </c>
      <c r="DD17" s="600"/>
      <c r="DE17" s="600"/>
      <c r="DF17" s="600"/>
    </row>
    <row r="18" spans="1:110" x14ac:dyDescent="0.25">
      <c r="A18" s="600"/>
      <c r="B18" s="618">
        <v>13</v>
      </c>
      <c r="C18" s="1079" t="str">
        <f t="shared" si="0"/>
        <v/>
      </c>
      <c r="D18" s="1079"/>
      <c r="E18" s="1079"/>
      <c r="F18" s="1079"/>
      <c r="G18" s="1079"/>
      <c r="H18" s="600"/>
      <c r="I18" s="600"/>
      <c r="J18" s="600" t="str">
        <f t="shared" si="11"/>
        <v/>
      </c>
      <c r="K18" s="618">
        <v>13</v>
      </c>
      <c r="L18" s="1079" t="str">
        <f t="shared" si="1"/>
        <v/>
      </c>
      <c r="M18" s="1079"/>
      <c r="N18" s="1079"/>
      <c r="O18" s="1079"/>
      <c r="P18" s="1079"/>
      <c r="Q18" s="600"/>
      <c r="R18" s="600"/>
      <c r="S18" s="600" t="str">
        <f t="shared" si="12"/>
        <v/>
      </c>
      <c r="T18" s="618">
        <v>13</v>
      </c>
      <c r="U18" s="1079" t="str">
        <f t="shared" si="2"/>
        <v/>
      </c>
      <c r="V18" s="1079"/>
      <c r="W18" s="1079"/>
      <c r="X18" s="1079"/>
      <c r="Y18" s="1079"/>
      <c r="Z18" s="600" t="str">
        <f t="shared" si="3"/>
        <v/>
      </c>
      <c r="AA18" s="600"/>
      <c r="AB18" s="600" t="str">
        <f t="shared" si="13"/>
        <v/>
      </c>
      <c r="AC18" s="618">
        <v>13</v>
      </c>
      <c r="AD18" s="1079" t="str">
        <f t="shared" si="4"/>
        <v/>
      </c>
      <c r="AE18" s="1079"/>
      <c r="AF18" s="1079"/>
      <c r="AG18" s="1079"/>
      <c r="AH18" s="1079"/>
      <c r="AI18" s="600" t="s">
        <v>3034</v>
      </c>
      <c r="AJ18" s="600"/>
      <c r="AK18" s="600" t="str">
        <f t="shared" si="14"/>
        <v/>
      </c>
      <c r="AL18" s="618">
        <v>13</v>
      </c>
      <c r="AM18" s="1079" t="str">
        <f t="shared" si="5"/>
        <v/>
      </c>
      <c r="AN18" s="1079"/>
      <c r="AO18" s="1079"/>
      <c r="AP18" s="1079"/>
      <c r="AQ18" s="1079"/>
      <c r="AR18" s="600"/>
      <c r="AS18" s="600"/>
      <c r="AT18" s="600" t="str">
        <f t="shared" si="15"/>
        <v/>
      </c>
      <c r="AU18" s="618">
        <v>13</v>
      </c>
      <c r="AV18" s="1079" t="str">
        <f t="shared" si="6"/>
        <v/>
      </c>
      <c r="AW18" s="1079"/>
      <c r="AX18" s="1079"/>
      <c r="AY18" s="1079"/>
      <c r="AZ18" s="1079"/>
      <c r="BA18" s="600"/>
      <c r="BB18" s="600"/>
      <c r="BC18" s="600" t="str">
        <f t="shared" si="16"/>
        <v/>
      </c>
      <c r="BD18" s="618">
        <v>13</v>
      </c>
      <c r="BE18" s="1079" t="str">
        <f t="shared" si="7"/>
        <v/>
      </c>
      <c r="BF18" s="1079"/>
      <c r="BG18" s="1079"/>
      <c r="BH18" s="1079"/>
      <c r="BI18" s="1079"/>
      <c r="BJ18" s="600"/>
      <c r="BK18" s="600"/>
      <c r="BL18" s="600" t="str">
        <f t="shared" si="17"/>
        <v/>
      </c>
      <c r="BM18" s="618">
        <v>13</v>
      </c>
      <c r="BN18" s="1079" t="str">
        <f t="shared" si="8"/>
        <v/>
      </c>
      <c r="BO18" s="1079"/>
      <c r="BP18" s="1079"/>
      <c r="BQ18" s="1079"/>
      <c r="BR18" s="1079"/>
      <c r="BS18" s="600"/>
      <c r="BT18" s="600"/>
      <c r="BU18" s="600" t="str">
        <f t="shared" si="18"/>
        <v/>
      </c>
      <c r="BV18" s="618">
        <v>13</v>
      </c>
      <c r="BW18" s="1079" t="str">
        <f t="shared" si="9"/>
        <v/>
      </c>
      <c r="BX18" s="1079"/>
      <c r="BY18" s="1079"/>
      <c r="BZ18" s="1079"/>
      <c r="CA18" s="1079"/>
      <c r="CB18" s="600"/>
      <c r="CC18" s="600" t="str">
        <f t="shared" si="19"/>
        <v/>
      </c>
      <c r="CD18" s="600"/>
      <c r="CE18" s="600"/>
      <c r="CF18" s="600"/>
      <c r="CG18" s="600"/>
      <c r="CH18" s="600"/>
      <c r="CI18" s="600">
        <v>13</v>
      </c>
      <c r="CJ18" s="600">
        <f>Character_Creation!Q380</f>
        <v>0</v>
      </c>
      <c r="CK18" s="600" t="str">
        <f>IFERROR(INDEX(T08_Spells!$C$3:$C$1000,MATCH(S01_Bard!$CJ18,T08_Spells!$B$3:$B$1000,0),1),"")</f>
        <v/>
      </c>
      <c r="CL18" s="600">
        <f t="shared" si="20"/>
        <v>0</v>
      </c>
      <c r="CM18" s="600">
        <f>IF(CL18=0,0,1+COUNTIF(CM$6:CM17,"&gt;0"))</f>
        <v>0</v>
      </c>
      <c r="CN18" s="600">
        <f t="shared" si="21"/>
        <v>0</v>
      </c>
      <c r="CO18" s="600">
        <f>IF(CN18=0,0,1+COUNTIF(CO$6:CO17,"&gt;0"))</f>
        <v>0</v>
      </c>
      <c r="CP18" s="600">
        <f t="shared" si="22"/>
        <v>0</v>
      </c>
      <c r="CQ18" s="600">
        <f>IF(CP18=0,0,1+COUNTIF(CQ$6:CQ17,"&gt;0"))</f>
        <v>0</v>
      </c>
      <c r="CR18" s="600">
        <f t="shared" si="23"/>
        <v>0</v>
      </c>
      <c r="CS18" s="600">
        <f>IF(CR18=0,0,1+COUNTIF(CS$6:CS17,"&gt;0"))</f>
        <v>0</v>
      </c>
      <c r="CT18" s="600">
        <f t="shared" si="24"/>
        <v>0</v>
      </c>
      <c r="CU18" s="600">
        <f>IF(CT18=0,0,1+COUNTIF(CU$6:CU17,"&gt;0"))</f>
        <v>0</v>
      </c>
      <c r="CV18" s="600">
        <f t="shared" si="25"/>
        <v>0</v>
      </c>
      <c r="CW18" s="600">
        <f>IF(CV18=0,0,1+COUNTIF(CW$6:CW17,"&gt;0"))</f>
        <v>0</v>
      </c>
      <c r="CX18" s="600">
        <f t="shared" si="26"/>
        <v>0</v>
      </c>
      <c r="CY18" s="600">
        <f>IF(CX18=0,0,1+COUNTIF(CY$6:CY17,"&gt;0"))</f>
        <v>0</v>
      </c>
      <c r="CZ18" s="600">
        <f t="shared" si="27"/>
        <v>0</v>
      </c>
      <c r="DA18" s="600">
        <f>IF(CZ18=0,0,1+COUNTIF(DA$6:DA17,"&gt;0"))</f>
        <v>0</v>
      </c>
      <c r="DB18" s="600">
        <f t="shared" si="28"/>
        <v>0</v>
      </c>
      <c r="DC18" s="600">
        <f>IF(DB18=0,0,1+COUNTIF(DC$6:DC17,"&gt;0"))</f>
        <v>0</v>
      </c>
      <c r="DD18" s="600"/>
      <c r="DE18" s="600"/>
      <c r="DF18" s="600"/>
    </row>
    <row r="19" spans="1:110" x14ac:dyDescent="0.25">
      <c r="A19" s="600"/>
      <c r="B19" s="618">
        <v>14</v>
      </c>
      <c r="C19" s="1079" t="str">
        <f t="shared" si="0"/>
        <v/>
      </c>
      <c r="D19" s="1079"/>
      <c r="E19" s="1079"/>
      <c r="F19" s="1079"/>
      <c r="G19" s="1079"/>
      <c r="H19" s="600"/>
      <c r="I19" s="600"/>
      <c r="J19" s="600" t="str">
        <f t="shared" si="11"/>
        <v/>
      </c>
      <c r="K19" s="618">
        <v>14</v>
      </c>
      <c r="L19" s="1079" t="str">
        <f t="shared" si="1"/>
        <v/>
      </c>
      <c r="M19" s="1079"/>
      <c r="N19" s="1079"/>
      <c r="O19" s="1079"/>
      <c r="P19" s="1079"/>
      <c r="Q19" s="600"/>
      <c r="R19" s="600"/>
      <c r="S19" s="600" t="str">
        <f t="shared" si="12"/>
        <v/>
      </c>
      <c r="T19" s="618">
        <v>14</v>
      </c>
      <c r="U19" s="1079" t="str">
        <f t="shared" si="2"/>
        <v/>
      </c>
      <c r="V19" s="1079"/>
      <c r="W19" s="1079"/>
      <c r="X19" s="1079"/>
      <c r="Y19" s="1079"/>
      <c r="Z19" s="600" t="str">
        <f t="shared" si="3"/>
        <v/>
      </c>
      <c r="AA19" s="600"/>
      <c r="AB19" s="600" t="str">
        <f t="shared" si="13"/>
        <v/>
      </c>
      <c r="AC19" s="618">
        <v>14</v>
      </c>
      <c r="AD19" s="1079" t="str">
        <f t="shared" si="4"/>
        <v/>
      </c>
      <c r="AE19" s="1079"/>
      <c r="AF19" s="1079"/>
      <c r="AG19" s="1079"/>
      <c r="AH19" s="1079"/>
      <c r="AI19" s="600" t="s">
        <v>3034</v>
      </c>
      <c r="AJ19" s="600"/>
      <c r="AK19" s="600" t="str">
        <f t="shared" si="14"/>
        <v/>
      </c>
      <c r="AL19" s="618">
        <v>14</v>
      </c>
      <c r="AM19" s="1079" t="str">
        <f t="shared" si="5"/>
        <v/>
      </c>
      <c r="AN19" s="1079"/>
      <c r="AO19" s="1079"/>
      <c r="AP19" s="1079"/>
      <c r="AQ19" s="1079"/>
      <c r="AR19" s="600"/>
      <c r="AS19" s="600"/>
      <c r="AT19" s="600" t="str">
        <f t="shared" si="15"/>
        <v/>
      </c>
      <c r="AU19" s="618">
        <v>14</v>
      </c>
      <c r="AV19" s="1079" t="str">
        <f t="shared" si="6"/>
        <v/>
      </c>
      <c r="AW19" s="1079"/>
      <c r="AX19" s="1079"/>
      <c r="AY19" s="1079"/>
      <c r="AZ19" s="1079"/>
      <c r="BA19" s="600"/>
      <c r="BB19" s="600"/>
      <c r="BC19" s="600" t="str">
        <f t="shared" si="16"/>
        <v/>
      </c>
      <c r="BD19" s="618">
        <v>14</v>
      </c>
      <c r="BE19" s="1079" t="str">
        <f t="shared" si="7"/>
        <v/>
      </c>
      <c r="BF19" s="1079"/>
      <c r="BG19" s="1079"/>
      <c r="BH19" s="1079"/>
      <c r="BI19" s="1079"/>
      <c r="BJ19" s="600"/>
      <c r="BK19" s="600"/>
      <c r="BL19" s="600" t="str">
        <f t="shared" si="17"/>
        <v/>
      </c>
      <c r="BM19" s="618">
        <v>14</v>
      </c>
      <c r="BN19" s="1079" t="str">
        <f t="shared" si="8"/>
        <v/>
      </c>
      <c r="BO19" s="1079"/>
      <c r="BP19" s="1079"/>
      <c r="BQ19" s="1079"/>
      <c r="BR19" s="1079"/>
      <c r="BS19" s="600"/>
      <c r="BT19" s="600"/>
      <c r="BU19" s="600" t="str">
        <f t="shared" si="18"/>
        <v/>
      </c>
      <c r="BV19" s="618">
        <v>14</v>
      </c>
      <c r="BW19" s="1079" t="str">
        <f t="shared" si="9"/>
        <v/>
      </c>
      <c r="BX19" s="1079"/>
      <c r="BY19" s="1079"/>
      <c r="BZ19" s="1079"/>
      <c r="CA19" s="1079"/>
      <c r="CB19" s="600"/>
      <c r="CC19" s="600" t="str">
        <f t="shared" si="19"/>
        <v/>
      </c>
      <c r="CD19" s="600"/>
      <c r="CE19" s="600"/>
      <c r="CF19" s="600"/>
      <c r="CG19" s="600"/>
      <c r="CH19" s="600"/>
      <c r="CI19" s="600">
        <v>14</v>
      </c>
      <c r="CJ19" s="600">
        <f>Character_Creation!Q381</f>
        <v>0</v>
      </c>
      <c r="CK19" s="600" t="str">
        <f>IFERROR(INDEX(T08_Spells!$C$3:$C$1000,MATCH(S01_Bard!$CJ19,T08_Spells!$B$3:$B$1000,0),1),"")</f>
        <v/>
      </c>
      <c r="CL19" s="600">
        <f t="shared" si="20"/>
        <v>0</v>
      </c>
      <c r="CM19" s="600">
        <f>IF(CL19=0,0,1+COUNTIF(CM$6:CM18,"&gt;0"))</f>
        <v>0</v>
      </c>
      <c r="CN19" s="600">
        <f t="shared" si="21"/>
        <v>0</v>
      </c>
      <c r="CO19" s="600">
        <f>IF(CN19=0,0,1+COUNTIF(CO$6:CO18,"&gt;0"))</f>
        <v>0</v>
      </c>
      <c r="CP19" s="600">
        <f t="shared" si="22"/>
        <v>0</v>
      </c>
      <c r="CQ19" s="600">
        <f>IF(CP19=0,0,1+COUNTIF(CQ$6:CQ18,"&gt;0"))</f>
        <v>0</v>
      </c>
      <c r="CR19" s="600">
        <f t="shared" si="23"/>
        <v>0</v>
      </c>
      <c r="CS19" s="600">
        <f>IF(CR19=0,0,1+COUNTIF(CS$6:CS18,"&gt;0"))</f>
        <v>0</v>
      </c>
      <c r="CT19" s="600">
        <f t="shared" si="24"/>
        <v>0</v>
      </c>
      <c r="CU19" s="600">
        <f>IF(CT19=0,0,1+COUNTIF(CU$6:CU18,"&gt;0"))</f>
        <v>0</v>
      </c>
      <c r="CV19" s="600">
        <f t="shared" si="25"/>
        <v>0</v>
      </c>
      <c r="CW19" s="600">
        <f>IF(CV19=0,0,1+COUNTIF(CW$6:CW18,"&gt;0"))</f>
        <v>0</v>
      </c>
      <c r="CX19" s="600">
        <f t="shared" si="26"/>
        <v>0</v>
      </c>
      <c r="CY19" s="600">
        <f>IF(CX19=0,0,1+COUNTIF(CY$6:CY18,"&gt;0"))</f>
        <v>0</v>
      </c>
      <c r="CZ19" s="600">
        <f t="shared" si="27"/>
        <v>0</v>
      </c>
      <c r="DA19" s="600">
        <f>IF(CZ19=0,0,1+COUNTIF(DA$6:DA18,"&gt;0"))</f>
        <v>0</v>
      </c>
      <c r="DB19" s="600">
        <f t="shared" si="28"/>
        <v>0</v>
      </c>
      <c r="DC19" s="600">
        <f>IF(DB19=0,0,1+COUNTIF(DC$6:DC18,"&gt;0"))</f>
        <v>0</v>
      </c>
      <c r="DD19" s="600"/>
      <c r="DE19" s="600"/>
      <c r="DF19" s="600"/>
    </row>
    <row r="20" spans="1:110" x14ac:dyDescent="0.25">
      <c r="A20" s="600"/>
      <c r="B20" s="618">
        <v>15</v>
      </c>
      <c r="C20" s="1079" t="str">
        <f t="shared" si="0"/>
        <v/>
      </c>
      <c r="D20" s="1079"/>
      <c r="E20" s="1079"/>
      <c r="F20" s="1079"/>
      <c r="G20" s="1079"/>
      <c r="H20" s="600"/>
      <c r="I20" s="600"/>
      <c r="J20" s="600" t="str">
        <f t="shared" si="11"/>
        <v/>
      </c>
      <c r="K20" s="618">
        <v>15</v>
      </c>
      <c r="L20" s="1079" t="str">
        <f t="shared" si="1"/>
        <v/>
      </c>
      <c r="M20" s="1079"/>
      <c r="N20" s="1079"/>
      <c r="O20" s="1079"/>
      <c r="P20" s="1079"/>
      <c r="Q20" s="600"/>
      <c r="R20" s="600"/>
      <c r="S20" s="600" t="str">
        <f t="shared" si="12"/>
        <v/>
      </c>
      <c r="T20" s="618">
        <v>15</v>
      </c>
      <c r="U20" s="1079" t="str">
        <f t="shared" si="2"/>
        <v/>
      </c>
      <c r="V20" s="1079"/>
      <c r="W20" s="1079"/>
      <c r="X20" s="1079"/>
      <c r="Y20" s="1079"/>
      <c r="Z20" s="600" t="str">
        <f t="shared" si="3"/>
        <v/>
      </c>
      <c r="AA20" s="600"/>
      <c r="AB20" s="600" t="str">
        <f t="shared" si="13"/>
        <v/>
      </c>
      <c r="AC20" s="618">
        <v>15</v>
      </c>
      <c r="AD20" s="1079" t="str">
        <f t="shared" si="4"/>
        <v/>
      </c>
      <c r="AE20" s="1079"/>
      <c r="AF20" s="1079"/>
      <c r="AG20" s="1079"/>
      <c r="AH20" s="1079"/>
      <c r="AI20" s="600" t="s">
        <v>3034</v>
      </c>
      <c r="AJ20" s="600"/>
      <c r="AK20" s="600" t="str">
        <f t="shared" si="14"/>
        <v/>
      </c>
      <c r="AL20" s="618">
        <v>15</v>
      </c>
      <c r="AM20" s="1079" t="str">
        <f t="shared" si="5"/>
        <v/>
      </c>
      <c r="AN20" s="1079"/>
      <c r="AO20" s="1079"/>
      <c r="AP20" s="1079"/>
      <c r="AQ20" s="1079"/>
      <c r="AR20" s="600"/>
      <c r="AS20" s="600"/>
      <c r="AT20" s="600" t="str">
        <f t="shared" si="15"/>
        <v/>
      </c>
      <c r="AU20" s="618">
        <v>15</v>
      </c>
      <c r="AV20" s="1079" t="str">
        <f t="shared" si="6"/>
        <v/>
      </c>
      <c r="AW20" s="1079"/>
      <c r="AX20" s="1079"/>
      <c r="AY20" s="1079"/>
      <c r="AZ20" s="1079"/>
      <c r="BA20" s="600"/>
      <c r="BB20" s="600"/>
      <c r="BC20" s="600" t="str">
        <f t="shared" si="16"/>
        <v/>
      </c>
      <c r="BD20" s="618">
        <v>15</v>
      </c>
      <c r="BE20" s="1079" t="str">
        <f t="shared" si="7"/>
        <v/>
      </c>
      <c r="BF20" s="1079"/>
      <c r="BG20" s="1079"/>
      <c r="BH20" s="1079"/>
      <c r="BI20" s="1079"/>
      <c r="BJ20" s="600"/>
      <c r="BK20" s="600"/>
      <c r="BL20" s="600" t="str">
        <f t="shared" si="17"/>
        <v/>
      </c>
      <c r="BM20" s="618">
        <v>15</v>
      </c>
      <c r="BN20" s="1079" t="str">
        <f t="shared" si="8"/>
        <v/>
      </c>
      <c r="BO20" s="1079"/>
      <c r="BP20" s="1079"/>
      <c r="BQ20" s="1079"/>
      <c r="BR20" s="1079"/>
      <c r="BS20" s="600"/>
      <c r="BT20" s="600"/>
      <c r="BU20" s="600" t="str">
        <f t="shared" si="18"/>
        <v/>
      </c>
      <c r="BV20" s="618">
        <v>15</v>
      </c>
      <c r="BW20" s="1079" t="str">
        <f t="shared" si="9"/>
        <v/>
      </c>
      <c r="BX20" s="1079"/>
      <c r="BY20" s="1079"/>
      <c r="BZ20" s="1079"/>
      <c r="CA20" s="1079"/>
      <c r="CB20" s="600"/>
      <c r="CC20" s="600" t="str">
        <f t="shared" si="19"/>
        <v/>
      </c>
      <c r="CD20" s="600"/>
      <c r="CE20" s="600"/>
      <c r="CF20" s="600"/>
      <c r="CG20" s="600"/>
      <c r="CH20" s="600"/>
      <c r="CI20" s="600">
        <v>15</v>
      </c>
      <c r="CJ20" s="600">
        <f>Character_Creation!Q382</f>
        <v>0</v>
      </c>
      <c r="CK20" s="600" t="str">
        <f>IFERROR(INDEX(T08_Spells!$C$3:$C$1000,MATCH(S01_Bard!$CJ20,T08_Spells!$B$3:$B$1000,0),1),"")</f>
        <v/>
      </c>
      <c r="CL20" s="600">
        <f t="shared" si="20"/>
        <v>0</v>
      </c>
      <c r="CM20" s="600">
        <f>IF(CL20=0,0,1+COUNTIF(CM$6:CM19,"&gt;0"))</f>
        <v>0</v>
      </c>
      <c r="CN20" s="600">
        <f t="shared" si="21"/>
        <v>0</v>
      </c>
      <c r="CO20" s="600">
        <f>IF(CN20=0,0,1+COUNTIF(CO$6:CO19,"&gt;0"))</f>
        <v>0</v>
      </c>
      <c r="CP20" s="600">
        <f t="shared" si="22"/>
        <v>0</v>
      </c>
      <c r="CQ20" s="600">
        <f>IF(CP20=0,0,1+COUNTIF(CQ$6:CQ19,"&gt;0"))</f>
        <v>0</v>
      </c>
      <c r="CR20" s="600">
        <f t="shared" si="23"/>
        <v>0</v>
      </c>
      <c r="CS20" s="600">
        <f>IF(CR20=0,0,1+COUNTIF(CS$6:CS19,"&gt;0"))</f>
        <v>0</v>
      </c>
      <c r="CT20" s="600">
        <f t="shared" si="24"/>
        <v>0</v>
      </c>
      <c r="CU20" s="600">
        <f>IF(CT20=0,0,1+COUNTIF(CU$6:CU19,"&gt;0"))</f>
        <v>0</v>
      </c>
      <c r="CV20" s="600">
        <f t="shared" si="25"/>
        <v>0</v>
      </c>
      <c r="CW20" s="600">
        <f>IF(CV20=0,0,1+COUNTIF(CW$6:CW19,"&gt;0"))</f>
        <v>0</v>
      </c>
      <c r="CX20" s="600">
        <f t="shared" si="26"/>
        <v>0</v>
      </c>
      <c r="CY20" s="600">
        <f>IF(CX20=0,0,1+COUNTIF(CY$6:CY19,"&gt;0"))</f>
        <v>0</v>
      </c>
      <c r="CZ20" s="600">
        <f t="shared" si="27"/>
        <v>0</v>
      </c>
      <c r="DA20" s="600">
        <f>IF(CZ20=0,0,1+COUNTIF(DA$6:DA19,"&gt;0"))</f>
        <v>0</v>
      </c>
      <c r="DB20" s="600">
        <f t="shared" si="28"/>
        <v>0</v>
      </c>
      <c r="DC20" s="600">
        <f>IF(DB20=0,0,1+COUNTIF(DC$6:DC19,"&gt;0"))</f>
        <v>0</v>
      </c>
      <c r="DD20" s="600"/>
      <c r="DE20" s="600"/>
      <c r="DF20" s="600"/>
    </row>
    <row r="21" spans="1:110" x14ac:dyDescent="0.25">
      <c r="A21" s="600"/>
      <c r="B21" s="618">
        <v>16</v>
      </c>
      <c r="C21" s="1079" t="str">
        <f t="shared" si="0"/>
        <v/>
      </c>
      <c r="D21" s="1079"/>
      <c r="E21" s="1079"/>
      <c r="F21" s="1079"/>
      <c r="G21" s="1079"/>
      <c r="H21" s="600"/>
      <c r="I21" s="600"/>
      <c r="J21" s="600" t="str">
        <f t="shared" si="11"/>
        <v/>
      </c>
      <c r="K21" s="618">
        <v>16</v>
      </c>
      <c r="L21" s="1079" t="str">
        <f t="shared" si="1"/>
        <v/>
      </c>
      <c r="M21" s="1079"/>
      <c r="N21" s="1079"/>
      <c r="O21" s="1079"/>
      <c r="P21" s="1079"/>
      <c r="Q21" s="600"/>
      <c r="R21" s="600"/>
      <c r="S21" s="600" t="str">
        <f t="shared" si="12"/>
        <v/>
      </c>
      <c r="T21" s="618">
        <v>16</v>
      </c>
      <c r="U21" s="1079" t="str">
        <f t="shared" si="2"/>
        <v/>
      </c>
      <c r="V21" s="1079"/>
      <c r="W21" s="1079"/>
      <c r="X21" s="1079"/>
      <c r="Y21" s="1079"/>
      <c r="Z21" s="600" t="str">
        <f t="shared" si="3"/>
        <v/>
      </c>
      <c r="AA21" s="600"/>
      <c r="AB21" s="600" t="str">
        <f t="shared" si="13"/>
        <v/>
      </c>
      <c r="AC21" s="618">
        <v>16</v>
      </c>
      <c r="AD21" s="1079" t="str">
        <f t="shared" si="4"/>
        <v/>
      </c>
      <c r="AE21" s="1079"/>
      <c r="AF21" s="1079"/>
      <c r="AG21" s="1079"/>
      <c r="AH21" s="1079"/>
      <c r="AI21" s="600" t="s">
        <v>3034</v>
      </c>
      <c r="AJ21" s="600"/>
      <c r="AK21" s="600" t="str">
        <f t="shared" si="14"/>
        <v/>
      </c>
      <c r="AL21" s="618">
        <v>16</v>
      </c>
      <c r="AM21" s="1079" t="str">
        <f t="shared" si="5"/>
        <v/>
      </c>
      <c r="AN21" s="1079"/>
      <c r="AO21" s="1079"/>
      <c r="AP21" s="1079"/>
      <c r="AQ21" s="1079"/>
      <c r="AR21" s="600"/>
      <c r="AS21" s="600"/>
      <c r="AT21" s="600" t="str">
        <f t="shared" si="15"/>
        <v/>
      </c>
      <c r="AU21" s="618">
        <v>16</v>
      </c>
      <c r="AV21" s="1079" t="str">
        <f t="shared" si="6"/>
        <v/>
      </c>
      <c r="AW21" s="1079"/>
      <c r="AX21" s="1079"/>
      <c r="AY21" s="1079"/>
      <c r="AZ21" s="1079"/>
      <c r="BA21" s="600"/>
      <c r="BB21" s="600"/>
      <c r="BC21" s="600" t="str">
        <f t="shared" si="16"/>
        <v/>
      </c>
      <c r="BD21" s="618">
        <v>16</v>
      </c>
      <c r="BE21" s="1079" t="str">
        <f t="shared" si="7"/>
        <v/>
      </c>
      <c r="BF21" s="1079"/>
      <c r="BG21" s="1079"/>
      <c r="BH21" s="1079"/>
      <c r="BI21" s="1079"/>
      <c r="BJ21" s="600"/>
      <c r="BK21" s="600"/>
      <c r="BL21" s="600" t="str">
        <f t="shared" si="17"/>
        <v/>
      </c>
      <c r="BM21" s="618">
        <v>16</v>
      </c>
      <c r="BN21" s="1079" t="str">
        <f t="shared" si="8"/>
        <v/>
      </c>
      <c r="BO21" s="1079"/>
      <c r="BP21" s="1079"/>
      <c r="BQ21" s="1079"/>
      <c r="BR21" s="1079"/>
      <c r="BS21" s="600"/>
      <c r="BT21" s="600"/>
      <c r="BU21" s="600" t="str">
        <f t="shared" si="18"/>
        <v/>
      </c>
      <c r="BV21" s="618">
        <v>16</v>
      </c>
      <c r="BW21" s="1079" t="str">
        <f t="shared" si="9"/>
        <v/>
      </c>
      <c r="BX21" s="1079"/>
      <c r="BY21" s="1079"/>
      <c r="BZ21" s="1079"/>
      <c r="CA21" s="1079"/>
      <c r="CB21" s="600"/>
      <c r="CC21" s="600" t="str">
        <f t="shared" si="19"/>
        <v/>
      </c>
      <c r="CD21" s="600"/>
      <c r="CE21" s="600"/>
      <c r="CF21" s="600"/>
      <c r="CG21" s="600"/>
      <c r="CH21" s="600"/>
      <c r="CI21" s="600">
        <v>16</v>
      </c>
      <c r="CJ21" s="600">
        <f>Character_Creation!Q383</f>
        <v>0</v>
      </c>
      <c r="CK21" s="600"/>
      <c r="CL21" s="600"/>
      <c r="CM21" s="600"/>
      <c r="CN21" s="600"/>
      <c r="CO21" s="600"/>
      <c r="CP21" s="600"/>
      <c r="CQ21" s="600"/>
      <c r="CR21" s="600"/>
      <c r="CS21" s="600"/>
      <c r="CT21" s="600"/>
      <c r="CU21" s="600"/>
      <c r="CV21" s="600"/>
      <c r="CW21" s="600"/>
      <c r="CX21" s="600"/>
      <c r="CY21" s="600"/>
      <c r="CZ21" s="600"/>
      <c r="DA21" s="600"/>
      <c r="DB21" s="600"/>
      <c r="DC21" s="600"/>
      <c r="DD21" s="600"/>
      <c r="DE21" s="600"/>
      <c r="DF21" s="600"/>
    </row>
    <row r="22" spans="1:110" x14ac:dyDescent="0.25">
      <c r="A22" s="600"/>
      <c r="B22" s="618">
        <v>17</v>
      </c>
      <c r="C22" s="1079" t="str">
        <f t="shared" si="0"/>
        <v/>
      </c>
      <c r="D22" s="1079"/>
      <c r="E22" s="1079"/>
      <c r="F22" s="1079"/>
      <c r="G22" s="1079"/>
      <c r="H22" s="600"/>
      <c r="I22" s="600"/>
      <c r="J22" s="600" t="str">
        <f t="shared" si="11"/>
        <v/>
      </c>
      <c r="K22" s="618">
        <v>17</v>
      </c>
      <c r="L22" s="1079" t="str">
        <f t="shared" si="1"/>
        <v/>
      </c>
      <c r="M22" s="1079"/>
      <c r="N22" s="1079"/>
      <c r="O22" s="1079"/>
      <c r="P22" s="1079"/>
      <c r="Q22" s="600"/>
      <c r="R22" s="600"/>
      <c r="S22" s="600" t="str">
        <f t="shared" si="12"/>
        <v/>
      </c>
      <c r="T22" s="618">
        <v>17</v>
      </c>
      <c r="U22" s="1079" t="str">
        <f t="shared" si="2"/>
        <v/>
      </c>
      <c r="V22" s="1079"/>
      <c r="W22" s="1079"/>
      <c r="X22" s="1079"/>
      <c r="Y22" s="1079"/>
      <c r="Z22" s="600" t="str">
        <f t="shared" si="3"/>
        <v/>
      </c>
      <c r="AA22" s="600"/>
      <c r="AB22" s="600" t="str">
        <f t="shared" si="13"/>
        <v/>
      </c>
      <c r="AC22" s="618">
        <v>17</v>
      </c>
      <c r="AD22" s="1079" t="str">
        <f t="shared" si="4"/>
        <v/>
      </c>
      <c r="AE22" s="1079"/>
      <c r="AF22" s="1079"/>
      <c r="AG22" s="1079"/>
      <c r="AH22" s="1079"/>
      <c r="AI22" s="600" t="s">
        <v>3034</v>
      </c>
      <c r="AJ22" s="600"/>
      <c r="AK22" s="600" t="str">
        <f t="shared" si="14"/>
        <v/>
      </c>
      <c r="AL22" s="618">
        <v>17</v>
      </c>
      <c r="AM22" s="1079" t="str">
        <f t="shared" si="5"/>
        <v/>
      </c>
      <c r="AN22" s="1079"/>
      <c r="AO22" s="1079"/>
      <c r="AP22" s="1079"/>
      <c r="AQ22" s="1079"/>
      <c r="AR22" s="600"/>
      <c r="AS22" s="600"/>
      <c r="AT22" s="600" t="str">
        <f t="shared" si="15"/>
        <v/>
      </c>
      <c r="AU22" s="618">
        <v>17</v>
      </c>
      <c r="AV22" s="1079" t="str">
        <f t="shared" si="6"/>
        <v/>
      </c>
      <c r="AW22" s="1079"/>
      <c r="AX22" s="1079"/>
      <c r="AY22" s="1079"/>
      <c r="AZ22" s="1079"/>
      <c r="BA22" s="600"/>
      <c r="BB22" s="600"/>
      <c r="BC22" s="600" t="str">
        <f t="shared" si="16"/>
        <v/>
      </c>
      <c r="BD22" s="618">
        <v>17</v>
      </c>
      <c r="BE22" s="1079" t="str">
        <f t="shared" si="7"/>
        <v/>
      </c>
      <c r="BF22" s="1079"/>
      <c r="BG22" s="1079"/>
      <c r="BH22" s="1079"/>
      <c r="BI22" s="1079"/>
      <c r="BJ22" s="600"/>
      <c r="BK22" s="600"/>
      <c r="BL22" s="600" t="str">
        <f t="shared" si="17"/>
        <v/>
      </c>
      <c r="BM22" s="618">
        <v>17</v>
      </c>
      <c r="BN22" s="1079" t="str">
        <f t="shared" si="8"/>
        <v/>
      </c>
      <c r="BO22" s="1079"/>
      <c r="BP22" s="1079"/>
      <c r="BQ22" s="1079"/>
      <c r="BR22" s="1079"/>
      <c r="BS22" s="600"/>
      <c r="BT22" s="600"/>
      <c r="BU22" s="600" t="str">
        <f t="shared" si="18"/>
        <v/>
      </c>
      <c r="BV22" s="618">
        <v>17</v>
      </c>
      <c r="BW22" s="1079" t="str">
        <f t="shared" si="9"/>
        <v/>
      </c>
      <c r="BX22" s="1079"/>
      <c r="BY22" s="1079"/>
      <c r="BZ22" s="1079"/>
      <c r="CA22" s="1079"/>
      <c r="CB22" s="600"/>
      <c r="CC22" s="600" t="str">
        <f t="shared" si="19"/>
        <v/>
      </c>
      <c r="CD22" s="600"/>
      <c r="CE22" s="600"/>
      <c r="CF22" s="600"/>
      <c r="CG22" s="600"/>
      <c r="CH22" s="600"/>
      <c r="CI22" s="600">
        <v>17</v>
      </c>
      <c r="CJ22" s="600">
        <f>Character_Creation!Q384</f>
        <v>0</v>
      </c>
      <c r="CK22" s="600" t="str">
        <f>IFERROR(INDEX(T08_Spells!$C$3:$C$1000,MATCH(S01_Bard!$CJ22,T08_Spells!$B$3:$B$1000,0),1),"")</f>
        <v/>
      </c>
      <c r="CL22" s="600">
        <f t="shared" si="20"/>
        <v>0</v>
      </c>
      <c r="CM22" s="600">
        <f>IF(CL22=0,0,1+COUNTIF(CM$6:CM21,"&gt;0"))</f>
        <v>0</v>
      </c>
      <c r="CN22" s="600">
        <f t="shared" si="21"/>
        <v>0</v>
      </c>
      <c r="CO22" s="600">
        <f>IF(CN22=0,0,1+COUNTIF(CO$6:CO21,"&gt;0"))</f>
        <v>0</v>
      </c>
      <c r="CP22" s="600">
        <f t="shared" si="22"/>
        <v>0</v>
      </c>
      <c r="CQ22" s="600">
        <f>IF(CP22=0,0,1+COUNTIF(CQ$6:CQ21,"&gt;0"))</f>
        <v>0</v>
      </c>
      <c r="CR22" s="600">
        <f t="shared" si="23"/>
        <v>0</v>
      </c>
      <c r="CS22" s="600">
        <f>IF(CR22=0,0,1+COUNTIF(CS$6:CS21,"&gt;0"))</f>
        <v>0</v>
      </c>
      <c r="CT22" s="600">
        <f t="shared" si="24"/>
        <v>0</v>
      </c>
      <c r="CU22" s="600">
        <f>IF(CT22=0,0,1+COUNTIF(CU$6:CU21,"&gt;0"))</f>
        <v>0</v>
      </c>
      <c r="CV22" s="600">
        <f t="shared" si="25"/>
        <v>0</v>
      </c>
      <c r="CW22" s="600">
        <f>IF(CV22=0,0,1+COUNTIF(CW$6:CW21,"&gt;0"))</f>
        <v>0</v>
      </c>
      <c r="CX22" s="600">
        <f t="shared" si="26"/>
        <v>0</v>
      </c>
      <c r="CY22" s="600">
        <f>IF(CX22=0,0,1+COUNTIF(CY$6:CY21,"&gt;0"))</f>
        <v>0</v>
      </c>
      <c r="CZ22" s="600">
        <f t="shared" si="27"/>
        <v>0</v>
      </c>
      <c r="DA22" s="600">
        <f>IF(CZ22=0,0,1+COUNTIF(DA$6:DA21,"&gt;0"))</f>
        <v>0</v>
      </c>
      <c r="DB22" s="600">
        <f t="shared" si="28"/>
        <v>0</v>
      </c>
      <c r="DC22" s="600">
        <f>IF(DB22=0,0,1+COUNTIF(DC$6:DC21,"&gt;0"))</f>
        <v>0</v>
      </c>
      <c r="DD22" s="600"/>
      <c r="DE22" s="600"/>
      <c r="DF22" s="600"/>
    </row>
    <row r="23" spans="1:110" x14ac:dyDescent="0.25">
      <c r="A23" s="600"/>
      <c r="B23" s="618">
        <v>18</v>
      </c>
      <c r="C23" s="1079" t="str">
        <f t="shared" si="0"/>
        <v/>
      </c>
      <c r="D23" s="1079"/>
      <c r="E23" s="1079"/>
      <c r="F23" s="1079"/>
      <c r="G23" s="1079"/>
      <c r="H23" s="600"/>
      <c r="I23" s="600"/>
      <c r="J23" s="600" t="str">
        <f t="shared" si="11"/>
        <v/>
      </c>
      <c r="K23" s="618">
        <v>18</v>
      </c>
      <c r="L23" s="1079" t="str">
        <f t="shared" si="1"/>
        <v/>
      </c>
      <c r="M23" s="1079"/>
      <c r="N23" s="1079"/>
      <c r="O23" s="1079"/>
      <c r="P23" s="1079"/>
      <c r="Q23" s="600"/>
      <c r="R23" s="600"/>
      <c r="S23" s="600" t="str">
        <f t="shared" si="12"/>
        <v/>
      </c>
      <c r="T23" s="618">
        <v>18</v>
      </c>
      <c r="U23" s="1079" t="str">
        <f t="shared" si="2"/>
        <v/>
      </c>
      <c r="V23" s="1079"/>
      <c r="W23" s="1079"/>
      <c r="X23" s="1079"/>
      <c r="Y23" s="1079"/>
      <c r="Z23" s="600" t="str">
        <f t="shared" si="3"/>
        <v/>
      </c>
      <c r="AA23" s="600"/>
      <c r="AB23" s="600" t="str">
        <f t="shared" si="13"/>
        <v/>
      </c>
      <c r="AC23" s="618">
        <v>18</v>
      </c>
      <c r="AD23" s="1079" t="str">
        <f t="shared" si="4"/>
        <v/>
      </c>
      <c r="AE23" s="1079"/>
      <c r="AF23" s="1079"/>
      <c r="AG23" s="1079"/>
      <c r="AH23" s="1079"/>
      <c r="AI23" s="600" t="s">
        <v>3034</v>
      </c>
      <c r="AJ23" s="600"/>
      <c r="AK23" s="600" t="str">
        <f t="shared" si="14"/>
        <v/>
      </c>
      <c r="AL23" s="618">
        <v>18</v>
      </c>
      <c r="AM23" s="1079" t="str">
        <f t="shared" si="5"/>
        <v/>
      </c>
      <c r="AN23" s="1079"/>
      <c r="AO23" s="1079"/>
      <c r="AP23" s="1079"/>
      <c r="AQ23" s="1079"/>
      <c r="AR23" s="600"/>
      <c r="AS23" s="600"/>
      <c r="AT23" s="600" t="str">
        <f t="shared" si="15"/>
        <v/>
      </c>
      <c r="AU23" s="618">
        <v>18</v>
      </c>
      <c r="AV23" s="1079" t="str">
        <f t="shared" si="6"/>
        <v/>
      </c>
      <c r="AW23" s="1079"/>
      <c r="AX23" s="1079"/>
      <c r="AY23" s="1079"/>
      <c r="AZ23" s="1079"/>
      <c r="BA23" s="600"/>
      <c r="BB23" s="600"/>
      <c r="BC23" s="600" t="str">
        <f t="shared" si="16"/>
        <v/>
      </c>
      <c r="BD23" s="618">
        <v>18</v>
      </c>
      <c r="BE23" s="1079" t="str">
        <f t="shared" si="7"/>
        <v/>
      </c>
      <c r="BF23" s="1079"/>
      <c r="BG23" s="1079"/>
      <c r="BH23" s="1079"/>
      <c r="BI23" s="1079"/>
      <c r="BJ23" s="600"/>
      <c r="BK23" s="600"/>
      <c r="BL23" s="600" t="str">
        <f t="shared" si="17"/>
        <v/>
      </c>
      <c r="BM23" s="618">
        <v>18</v>
      </c>
      <c r="BN23" s="1079" t="str">
        <f t="shared" si="8"/>
        <v/>
      </c>
      <c r="BO23" s="1079"/>
      <c r="BP23" s="1079"/>
      <c r="BQ23" s="1079"/>
      <c r="BR23" s="1079"/>
      <c r="BS23" s="600"/>
      <c r="BT23" s="600"/>
      <c r="BU23" s="600" t="str">
        <f t="shared" si="18"/>
        <v/>
      </c>
      <c r="BV23" s="618">
        <v>18</v>
      </c>
      <c r="BW23" s="1079" t="str">
        <f t="shared" si="9"/>
        <v/>
      </c>
      <c r="BX23" s="1079"/>
      <c r="BY23" s="1079"/>
      <c r="BZ23" s="1079"/>
      <c r="CA23" s="1079"/>
      <c r="CB23" s="600"/>
      <c r="CC23" s="600" t="str">
        <f t="shared" si="19"/>
        <v/>
      </c>
      <c r="CD23" s="600"/>
      <c r="CE23" s="600"/>
      <c r="CF23" s="600"/>
      <c r="CG23" s="600"/>
      <c r="CH23" s="600"/>
      <c r="CI23" s="600">
        <v>18</v>
      </c>
      <c r="CJ23" s="600">
        <f>Character_Creation!Q385</f>
        <v>0</v>
      </c>
      <c r="CK23" s="600" t="str">
        <f>IFERROR(INDEX(T08_Spells!$C$3:$C$1000,MATCH(S01_Bard!$CJ23,T08_Spells!$B$3:$B$1000,0),1),"")</f>
        <v/>
      </c>
      <c r="CL23" s="600">
        <f t="shared" si="20"/>
        <v>0</v>
      </c>
      <c r="CM23" s="600">
        <f>IF(CL23=0,0,1+COUNTIF(CM$6:CM22,"&gt;0"))</f>
        <v>0</v>
      </c>
      <c r="CN23" s="600">
        <f t="shared" si="21"/>
        <v>0</v>
      </c>
      <c r="CO23" s="600">
        <f>IF(CN23=0,0,1+COUNTIF(CO$6:CO22,"&gt;0"))</f>
        <v>0</v>
      </c>
      <c r="CP23" s="600">
        <f t="shared" si="22"/>
        <v>0</v>
      </c>
      <c r="CQ23" s="600">
        <f>IF(CP23=0,0,1+COUNTIF(CQ$6:CQ22,"&gt;0"))</f>
        <v>0</v>
      </c>
      <c r="CR23" s="600">
        <f t="shared" si="23"/>
        <v>0</v>
      </c>
      <c r="CS23" s="600">
        <f>IF(CR23=0,0,1+COUNTIF(CS$6:CS22,"&gt;0"))</f>
        <v>0</v>
      </c>
      <c r="CT23" s="600">
        <f t="shared" si="24"/>
        <v>0</v>
      </c>
      <c r="CU23" s="600">
        <f>IF(CT23=0,0,1+COUNTIF(CU$6:CU22,"&gt;0"))</f>
        <v>0</v>
      </c>
      <c r="CV23" s="600">
        <f t="shared" si="25"/>
        <v>0</v>
      </c>
      <c r="CW23" s="600">
        <f>IF(CV23=0,0,1+COUNTIF(CW$6:CW22,"&gt;0"))</f>
        <v>0</v>
      </c>
      <c r="CX23" s="600">
        <f t="shared" si="26"/>
        <v>0</v>
      </c>
      <c r="CY23" s="600">
        <f>IF(CX23=0,0,1+COUNTIF(CY$6:CY22,"&gt;0"))</f>
        <v>0</v>
      </c>
      <c r="CZ23" s="600">
        <f t="shared" si="27"/>
        <v>0</v>
      </c>
      <c r="DA23" s="600">
        <f>IF(CZ23=0,0,1+COUNTIF(DA$6:DA22,"&gt;0"))</f>
        <v>0</v>
      </c>
      <c r="DB23" s="600">
        <f t="shared" si="28"/>
        <v>0</v>
      </c>
      <c r="DC23" s="600">
        <f>IF(DB23=0,0,1+COUNTIF(DC$6:DC22,"&gt;0"))</f>
        <v>0</v>
      </c>
      <c r="DD23" s="600"/>
      <c r="DE23" s="600"/>
      <c r="DF23" s="600"/>
    </row>
    <row r="24" spans="1:110" x14ac:dyDescent="0.25">
      <c r="A24" s="600"/>
      <c r="B24" s="618">
        <v>19</v>
      </c>
      <c r="C24" s="1079" t="str">
        <f t="shared" si="0"/>
        <v/>
      </c>
      <c r="D24" s="1079"/>
      <c r="E24" s="1079"/>
      <c r="F24" s="1079"/>
      <c r="G24" s="1079"/>
      <c r="H24" s="600"/>
      <c r="I24" s="600"/>
      <c r="J24" s="600" t="str">
        <f t="shared" si="11"/>
        <v/>
      </c>
      <c r="K24" s="618">
        <v>19</v>
      </c>
      <c r="L24" s="1079" t="str">
        <f t="shared" si="1"/>
        <v/>
      </c>
      <c r="M24" s="1079"/>
      <c r="N24" s="1079"/>
      <c r="O24" s="1079"/>
      <c r="P24" s="1079"/>
      <c r="Q24" s="600"/>
      <c r="R24" s="600"/>
      <c r="S24" s="600" t="str">
        <f t="shared" si="12"/>
        <v/>
      </c>
      <c r="T24" s="618">
        <v>19</v>
      </c>
      <c r="U24" s="1079" t="str">
        <f t="shared" si="2"/>
        <v/>
      </c>
      <c r="V24" s="1079"/>
      <c r="W24" s="1079"/>
      <c r="X24" s="1079"/>
      <c r="Y24" s="1079"/>
      <c r="Z24" s="600" t="str">
        <f t="shared" si="3"/>
        <v/>
      </c>
      <c r="AA24" s="600"/>
      <c r="AB24" s="600" t="str">
        <f t="shared" si="13"/>
        <v/>
      </c>
      <c r="AC24" s="618">
        <v>19</v>
      </c>
      <c r="AD24" s="1079" t="str">
        <f t="shared" si="4"/>
        <v/>
      </c>
      <c r="AE24" s="1079"/>
      <c r="AF24" s="1079"/>
      <c r="AG24" s="1079"/>
      <c r="AH24" s="1079"/>
      <c r="AI24" s="600" t="s">
        <v>3034</v>
      </c>
      <c r="AJ24" s="600"/>
      <c r="AK24" s="600" t="str">
        <f t="shared" si="14"/>
        <v/>
      </c>
      <c r="AL24" s="618">
        <v>19</v>
      </c>
      <c r="AM24" s="1079" t="str">
        <f t="shared" si="5"/>
        <v/>
      </c>
      <c r="AN24" s="1079"/>
      <c r="AO24" s="1079"/>
      <c r="AP24" s="1079"/>
      <c r="AQ24" s="1079"/>
      <c r="AR24" s="600"/>
      <c r="AS24" s="600"/>
      <c r="AT24" s="600" t="str">
        <f t="shared" si="15"/>
        <v/>
      </c>
      <c r="AU24" s="618">
        <v>19</v>
      </c>
      <c r="AV24" s="1079" t="str">
        <f t="shared" si="6"/>
        <v/>
      </c>
      <c r="AW24" s="1079"/>
      <c r="AX24" s="1079"/>
      <c r="AY24" s="1079"/>
      <c r="AZ24" s="1079"/>
      <c r="BA24" s="600"/>
      <c r="BB24" s="600"/>
      <c r="BC24" s="600" t="str">
        <f t="shared" si="16"/>
        <v/>
      </c>
      <c r="BD24" s="618">
        <v>19</v>
      </c>
      <c r="BE24" s="1079" t="str">
        <f t="shared" si="7"/>
        <v/>
      </c>
      <c r="BF24" s="1079"/>
      <c r="BG24" s="1079"/>
      <c r="BH24" s="1079"/>
      <c r="BI24" s="1079"/>
      <c r="BJ24" s="600"/>
      <c r="BK24" s="600"/>
      <c r="BL24" s="600" t="str">
        <f t="shared" si="17"/>
        <v/>
      </c>
      <c r="BM24" s="618">
        <v>19</v>
      </c>
      <c r="BN24" s="1079" t="str">
        <f t="shared" si="8"/>
        <v/>
      </c>
      <c r="BO24" s="1079"/>
      <c r="BP24" s="1079"/>
      <c r="BQ24" s="1079"/>
      <c r="BR24" s="1079"/>
      <c r="BS24" s="600"/>
      <c r="BT24" s="600"/>
      <c r="BU24" s="600" t="str">
        <f t="shared" si="18"/>
        <v/>
      </c>
      <c r="BV24" s="618">
        <v>19</v>
      </c>
      <c r="BW24" s="1079" t="str">
        <f t="shared" si="9"/>
        <v/>
      </c>
      <c r="BX24" s="1079"/>
      <c r="BY24" s="1079"/>
      <c r="BZ24" s="1079"/>
      <c r="CA24" s="1079"/>
      <c r="CB24" s="600"/>
      <c r="CC24" s="600" t="str">
        <f t="shared" si="19"/>
        <v/>
      </c>
      <c r="CD24" s="600"/>
      <c r="CE24" s="600"/>
      <c r="CF24" s="600"/>
      <c r="CG24" s="600"/>
      <c r="CH24" s="600"/>
      <c r="CI24" s="600">
        <v>19</v>
      </c>
      <c r="CJ24" s="600">
        <f>Character_Creation!Q386</f>
        <v>0</v>
      </c>
      <c r="CK24" s="600" t="str">
        <f>IFERROR(INDEX(T08_Spells!$C$3:$C$1000,MATCH(S01_Bard!$CJ24,T08_Spells!$B$3:$B$1000,0),1),"")</f>
        <v/>
      </c>
      <c r="CL24" s="600">
        <f t="shared" si="20"/>
        <v>0</v>
      </c>
      <c r="CM24" s="600">
        <f>IF(CL24=0,0,1+COUNTIF(CM$6:CM23,"&gt;0"))</f>
        <v>0</v>
      </c>
      <c r="CN24" s="600">
        <f t="shared" si="21"/>
        <v>0</v>
      </c>
      <c r="CO24" s="600">
        <f>IF(CN24=0,0,1+COUNTIF(CO$6:CO23,"&gt;0"))</f>
        <v>0</v>
      </c>
      <c r="CP24" s="600">
        <f t="shared" si="22"/>
        <v>0</v>
      </c>
      <c r="CQ24" s="600">
        <f>IF(CP24=0,0,1+COUNTIF(CQ$6:CQ23,"&gt;0"))</f>
        <v>0</v>
      </c>
      <c r="CR24" s="600">
        <f t="shared" si="23"/>
        <v>0</v>
      </c>
      <c r="CS24" s="600">
        <f>IF(CR24=0,0,1+COUNTIF(CS$6:CS23,"&gt;0"))</f>
        <v>0</v>
      </c>
      <c r="CT24" s="600">
        <f t="shared" si="24"/>
        <v>0</v>
      </c>
      <c r="CU24" s="600">
        <f>IF(CT24=0,0,1+COUNTIF(CU$6:CU23,"&gt;0"))</f>
        <v>0</v>
      </c>
      <c r="CV24" s="600">
        <f t="shared" si="25"/>
        <v>0</v>
      </c>
      <c r="CW24" s="600">
        <f>IF(CV24=0,0,1+COUNTIF(CW$6:CW23,"&gt;0"))</f>
        <v>0</v>
      </c>
      <c r="CX24" s="600">
        <f t="shared" si="26"/>
        <v>0</v>
      </c>
      <c r="CY24" s="600">
        <f>IF(CX24=0,0,1+COUNTIF(CY$6:CY23,"&gt;0"))</f>
        <v>0</v>
      </c>
      <c r="CZ24" s="600">
        <f t="shared" si="27"/>
        <v>0</v>
      </c>
      <c r="DA24" s="600">
        <f>IF(CZ24=0,0,1+COUNTIF(DA$6:DA23,"&gt;0"))</f>
        <v>0</v>
      </c>
      <c r="DB24" s="600">
        <f t="shared" si="28"/>
        <v>0</v>
      </c>
      <c r="DC24" s="600">
        <f>IF(DB24=0,0,1+COUNTIF(DC$6:DC23,"&gt;0"))</f>
        <v>0</v>
      </c>
      <c r="DD24" s="600"/>
      <c r="DE24" s="600"/>
      <c r="DF24" s="600"/>
    </row>
    <row r="25" spans="1:110" x14ac:dyDescent="0.25">
      <c r="A25" s="600"/>
      <c r="B25" s="618">
        <v>20</v>
      </c>
      <c r="C25" s="1079" t="str">
        <f t="shared" si="0"/>
        <v/>
      </c>
      <c r="D25" s="1079"/>
      <c r="E25" s="1079"/>
      <c r="F25" s="1079"/>
      <c r="G25" s="1079"/>
      <c r="H25" s="600"/>
      <c r="I25" s="600"/>
      <c r="J25" s="600" t="str">
        <f t="shared" si="11"/>
        <v/>
      </c>
      <c r="K25" s="618">
        <v>20</v>
      </c>
      <c r="L25" s="1079" t="str">
        <f t="shared" si="1"/>
        <v/>
      </c>
      <c r="M25" s="1079"/>
      <c r="N25" s="1079"/>
      <c r="O25" s="1079"/>
      <c r="P25" s="1079"/>
      <c r="Q25" s="600"/>
      <c r="R25" s="600"/>
      <c r="S25" s="600" t="str">
        <f t="shared" si="12"/>
        <v/>
      </c>
      <c r="T25" s="618">
        <v>20</v>
      </c>
      <c r="U25" s="1079" t="str">
        <f t="shared" si="2"/>
        <v/>
      </c>
      <c r="V25" s="1079"/>
      <c r="W25" s="1079"/>
      <c r="X25" s="1079"/>
      <c r="Y25" s="1079"/>
      <c r="Z25" s="600" t="str">
        <f t="shared" si="3"/>
        <v/>
      </c>
      <c r="AA25" s="600"/>
      <c r="AB25" s="600" t="str">
        <f t="shared" si="13"/>
        <v/>
      </c>
      <c r="AC25" s="618">
        <v>20</v>
      </c>
      <c r="AD25" s="1079" t="str">
        <f t="shared" si="4"/>
        <v/>
      </c>
      <c r="AE25" s="1079"/>
      <c r="AF25" s="1079"/>
      <c r="AG25" s="1079"/>
      <c r="AH25" s="1079"/>
      <c r="AI25" s="600" t="s">
        <v>3034</v>
      </c>
      <c r="AJ25" s="600"/>
      <c r="AK25" s="600" t="str">
        <f t="shared" si="14"/>
        <v/>
      </c>
      <c r="AL25" s="618">
        <v>20</v>
      </c>
      <c r="AM25" s="1079" t="str">
        <f t="shared" si="5"/>
        <v/>
      </c>
      <c r="AN25" s="1079"/>
      <c r="AO25" s="1079"/>
      <c r="AP25" s="1079"/>
      <c r="AQ25" s="1079"/>
      <c r="AR25" s="600"/>
      <c r="AS25" s="600"/>
      <c r="AT25" s="600" t="str">
        <f t="shared" si="15"/>
        <v/>
      </c>
      <c r="AU25" s="618">
        <v>20</v>
      </c>
      <c r="AV25" s="1079" t="str">
        <f t="shared" si="6"/>
        <v/>
      </c>
      <c r="AW25" s="1079"/>
      <c r="AX25" s="1079"/>
      <c r="AY25" s="1079"/>
      <c r="AZ25" s="1079"/>
      <c r="BA25" s="600"/>
      <c r="BB25" s="600"/>
      <c r="BC25" s="600" t="str">
        <f t="shared" si="16"/>
        <v/>
      </c>
      <c r="BD25" s="618">
        <v>20</v>
      </c>
      <c r="BE25" s="1079" t="str">
        <f t="shared" si="7"/>
        <v/>
      </c>
      <c r="BF25" s="1079"/>
      <c r="BG25" s="1079"/>
      <c r="BH25" s="1079"/>
      <c r="BI25" s="1079"/>
      <c r="BJ25" s="600"/>
      <c r="BK25" s="600"/>
      <c r="BL25" s="600" t="str">
        <f t="shared" si="17"/>
        <v/>
      </c>
      <c r="BM25" s="618">
        <v>20</v>
      </c>
      <c r="BN25" s="1079" t="str">
        <f t="shared" si="8"/>
        <v/>
      </c>
      <c r="BO25" s="1079"/>
      <c r="BP25" s="1079"/>
      <c r="BQ25" s="1079"/>
      <c r="BR25" s="1079"/>
      <c r="BS25" s="600"/>
      <c r="BT25" s="600"/>
      <c r="BU25" s="600" t="str">
        <f t="shared" si="18"/>
        <v/>
      </c>
      <c r="BV25" s="618">
        <v>20</v>
      </c>
      <c r="BW25" s="1079" t="str">
        <f t="shared" si="9"/>
        <v/>
      </c>
      <c r="BX25" s="1079"/>
      <c r="BY25" s="1079"/>
      <c r="BZ25" s="1079"/>
      <c r="CA25" s="1079"/>
      <c r="CB25" s="600"/>
      <c r="CC25" s="600" t="str">
        <f t="shared" si="19"/>
        <v/>
      </c>
      <c r="CD25" s="600"/>
      <c r="CE25" s="600"/>
      <c r="CF25" s="600"/>
      <c r="CG25" s="600"/>
      <c r="CH25" s="600"/>
      <c r="CI25" s="600">
        <v>20</v>
      </c>
      <c r="CJ25" s="600">
        <f>Character_Creation!Q387</f>
        <v>0</v>
      </c>
      <c r="CK25" s="600" t="str">
        <f>IFERROR(INDEX(T08_Spells!$C$3:$C$1000,MATCH(S01_Bard!$CJ25,T08_Spells!$B$3:$B$1000,0),1),"")</f>
        <v/>
      </c>
      <c r="CL25" s="600">
        <f t="shared" si="20"/>
        <v>0</v>
      </c>
      <c r="CM25" s="600">
        <f>IF(CL25=0,0,1+COUNTIF(CM$6:CM24,"&gt;0"))</f>
        <v>0</v>
      </c>
      <c r="CN25" s="600">
        <f t="shared" si="21"/>
        <v>0</v>
      </c>
      <c r="CO25" s="600">
        <f>IF(CN25=0,0,1+COUNTIF(CO$6:CO24,"&gt;0"))</f>
        <v>0</v>
      </c>
      <c r="CP25" s="600">
        <f t="shared" si="22"/>
        <v>0</v>
      </c>
      <c r="CQ25" s="600">
        <f>IF(CP25=0,0,1+COUNTIF(CQ$6:CQ24,"&gt;0"))</f>
        <v>0</v>
      </c>
      <c r="CR25" s="600">
        <f t="shared" si="23"/>
        <v>0</v>
      </c>
      <c r="CS25" s="600">
        <f>IF(CR25=0,0,1+COUNTIF(CS$6:CS24,"&gt;0"))</f>
        <v>0</v>
      </c>
      <c r="CT25" s="600">
        <f t="shared" si="24"/>
        <v>0</v>
      </c>
      <c r="CU25" s="600">
        <f>IF(CT25=0,0,1+COUNTIF(CU$6:CU24,"&gt;0"))</f>
        <v>0</v>
      </c>
      <c r="CV25" s="600">
        <f t="shared" si="25"/>
        <v>0</v>
      </c>
      <c r="CW25" s="600">
        <f>IF(CV25=0,0,1+COUNTIF(CW$6:CW24,"&gt;0"))</f>
        <v>0</v>
      </c>
      <c r="CX25" s="600">
        <f t="shared" si="26"/>
        <v>0</v>
      </c>
      <c r="CY25" s="600">
        <f>IF(CX25=0,0,1+COUNTIF(CY$6:CY24,"&gt;0"))</f>
        <v>0</v>
      </c>
      <c r="CZ25" s="600">
        <f t="shared" si="27"/>
        <v>0</v>
      </c>
      <c r="DA25" s="600">
        <f>IF(CZ25=0,0,1+COUNTIF(DA$6:DA24,"&gt;0"))</f>
        <v>0</v>
      </c>
      <c r="DB25" s="600">
        <f t="shared" si="28"/>
        <v>0</v>
      </c>
      <c r="DC25" s="600">
        <f>IF(DB25=0,0,1+COUNTIF(DC$6:DC24,"&gt;0"))</f>
        <v>0</v>
      </c>
      <c r="DD25" s="600"/>
      <c r="DE25" s="600"/>
      <c r="DF25" s="600"/>
    </row>
    <row r="26" spans="1:110" x14ac:dyDescent="0.25">
      <c r="A26" s="600"/>
      <c r="B26" s="618">
        <v>21</v>
      </c>
      <c r="C26" s="1079" t="str">
        <f t="shared" si="0"/>
        <v/>
      </c>
      <c r="D26" s="1079"/>
      <c r="E26" s="1079"/>
      <c r="F26" s="1079"/>
      <c r="G26" s="1079"/>
      <c r="H26" s="600"/>
      <c r="I26" s="600"/>
      <c r="J26" s="600" t="str">
        <f t="shared" si="11"/>
        <v/>
      </c>
      <c r="K26" s="618">
        <v>21</v>
      </c>
      <c r="L26" s="1079" t="str">
        <f t="shared" si="1"/>
        <v/>
      </c>
      <c r="M26" s="1079"/>
      <c r="N26" s="1079"/>
      <c r="O26" s="1079"/>
      <c r="P26" s="1079"/>
      <c r="Q26" s="600"/>
      <c r="R26" s="600"/>
      <c r="S26" s="600" t="str">
        <f t="shared" si="12"/>
        <v/>
      </c>
      <c r="T26" s="618">
        <v>21</v>
      </c>
      <c r="U26" s="1079" t="str">
        <f t="shared" si="2"/>
        <v/>
      </c>
      <c r="V26" s="1079"/>
      <c r="W26" s="1079"/>
      <c r="X26" s="1079"/>
      <c r="Y26" s="1079"/>
      <c r="Z26" s="600" t="str">
        <f t="shared" si="3"/>
        <v/>
      </c>
      <c r="AA26" s="600"/>
      <c r="AB26" s="600" t="str">
        <f t="shared" si="13"/>
        <v/>
      </c>
      <c r="AC26" s="618">
        <v>21</v>
      </c>
      <c r="AD26" s="1079" t="str">
        <f t="shared" si="4"/>
        <v/>
      </c>
      <c r="AE26" s="1079"/>
      <c r="AF26" s="1079"/>
      <c r="AG26" s="1079"/>
      <c r="AH26" s="1079"/>
      <c r="AI26" s="600" t="s">
        <v>3034</v>
      </c>
      <c r="AJ26" s="600"/>
      <c r="AK26" s="600" t="str">
        <f t="shared" si="14"/>
        <v/>
      </c>
      <c r="AL26" s="618">
        <v>21</v>
      </c>
      <c r="AM26" s="1079" t="str">
        <f t="shared" si="5"/>
        <v/>
      </c>
      <c r="AN26" s="1079"/>
      <c r="AO26" s="1079"/>
      <c r="AP26" s="1079"/>
      <c r="AQ26" s="1079"/>
      <c r="AR26" s="600"/>
      <c r="AS26" s="600"/>
      <c r="AT26" s="600" t="str">
        <f t="shared" si="15"/>
        <v/>
      </c>
      <c r="AU26" s="618">
        <v>21</v>
      </c>
      <c r="AV26" s="1079" t="str">
        <f t="shared" si="6"/>
        <v/>
      </c>
      <c r="AW26" s="1079"/>
      <c r="AX26" s="1079"/>
      <c r="AY26" s="1079"/>
      <c r="AZ26" s="1079"/>
      <c r="BA26" s="600"/>
      <c r="BB26" s="600"/>
      <c r="BC26" s="600" t="str">
        <f t="shared" si="16"/>
        <v/>
      </c>
      <c r="BD26" s="618">
        <v>21</v>
      </c>
      <c r="BE26" s="1079" t="str">
        <f t="shared" si="7"/>
        <v/>
      </c>
      <c r="BF26" s="1079"/>
      <c r="BG26" s="1079"/>
      <c r="BH26" s="1079"/>
      <c r="BI26" s="1079"/>
      <c r="BJ26" s="600"/>
      <c r="BK26" s="600"/>
      <c r="BL26" s="600" t="str">
        <f t="shared" si="17"/>
        <v/>
      </c>
      <c r="BM26" s="618">
        <v>21</v>
      </c>
      <c r="BN26" s="1079" t="str">
        <f t="shared" si="8"/>
        <v/>
      </c>
      <c r="BO26" s="1079"/>
      <c r="BP26" s="1079"/>
      <c r="BQ26" s="1079"/>
      <c r="BR26" s="1079"/>
      <c r="BS26" s="600"/>
      <c r="BT26" s="600"/>
      <c r="BU26" s="600" t="str">
        <f t="shared" si="18"/>
        <v/>
      </c>
      <c r="BV26" s="618">
        <v>21</v>
      </c>
      <c r="BW26" s="1079" t="str">
        <f t="shared" si="9"/>
        <v/>
      </c>
      <c r="BX26" s="1079"/>
      <c r="BY26" s="1079"/>
      <c r="BZ26" s="1079"/>
      <c r="CA26" s="1079"/>
      <c r="CB26" s="600"/>
      <c r="CC26" s="600" t="str">
        <f t="shared" si="19"/>
        <v/>
      </c>
      <c r="CD26" s="600"/>
      <c r="CE26" s="600"/>
      <c r="CF26" s="600"/>
      <c r="CG26" s="600"/>
      <c r="CH26" s="600"/>
      <c r="CI26" s="600">
        <v>21</v>
      </c>
      <c r="CJ26" s="600">
        <f>Character_Creation!Q388</f>
        <v>0</v>
      </c>
      <c r="CK26" s="600" t="str">
        <f>IFERROR(INDEX(T08_Spells!$C$3:$C$1000,MATCH(S01_Bard!$CJ26,T08_Spells!$B$3:$B$1000,0),1),"")</f>
        <v/>
      </c>
      <c r="CL26" s="600">
        <f t="shared" si="20"/>
        <v>0</v>
      </c>
      <c r="CM26" s="600">
        <f>IF(CL26=0,0,1+COUNTIF(CM$6:CM25,"&gt;0"))</f>
        <v>0</v>
      </c>
      <c r="CN26" s="600">
        <f t="shared" si="21"/>
        <v>0</v>
      </c>
      <c r="CO26" s="600">
        <f>IF(CN26=0,0,1+COUNTIF(CO$6:CO25,"&gt;0"))</f>
        <v>0</v>
      </c>
      <c r="CP26" s="600">
        <f t="shared" si="22"/>
        <v>0</v>
      </c>
      <c r="CQ26" s="600">
        <f>IF(CP26=0,0,1+COUNTIF(CQ$6:CQ25,"&gt;0"))</f>
        <v>0</v>
      </c>
      <c r="CR26" s="600">
        <f t="shared" si="23"/>
        <v>0</v>
      </c>
      <c r="CS26" s="600">
        <f>IF(CR26=0,0,1+COUNTIF(CS$6:CS25,"&gt;0"))</f>
        <v>0</v>
      </c>
      <c r="CT26" s="600">
        <f t="shared" si="24"/>
        <v>0</v>
      </c>
      <c r="CU26" s="600">
        <f>IF(CT26=0,0,1+COUNTIF(CU$6:CU25,"&gt;0"))</f>
        <v>0</v>
      </c>
      <c r="CV26" s="600">
        <f t="shared" si="25"/>
        <v>0</v>
      </c>
      <c r="CW26" s="600">
        <f>IF(CV26=0,0,1+COUNTIF(CW$6:CW25,"&gt;0"))</f>
        <v>0</v>
      </c>
      <c r="CX26" s="600">
        <f t="shared" si="26"/>
        <v>0</v>
      </c>
      <c r="CY26" s="600">
        <f>IF(CX26=0,0,1+COUNTIF(CY$6:CY25,"&gt;0"))</f>
        <v>0</v>
      </c>
      <c r="CZ26" s="600">
        <f t="shared" si="27"/>
        <v>0</v>
      </c>
      <c r="DA26" s="600">
        <f>IF(CZ26=0,0,1+COUNTIF(DA$6:DA25,"&gt;0"))</f>
        <v>0</v>
      </c>
      <c r="DB26" s="600">
        <f t="shared" si="28"/>
        <v>0</v>
      </c>
      <c r="DC26" s="600">
        <f>IF(DB26=0,0,1+COUNTIF(DC$6:DC25,"&gt;0"))</f>
        <v>0</v>
      </c>
      <c r="DD26" s="600"/>
      <c r="DE26" s="600"/>
      <c r="DF26" s="600"/>
    </row>
    <row r="27" spans="1:110" x14ac:dyDescent="0.25">
      <c r="A27" s="600"/>
      <c r="B27" s="618">
        <v>22</v>
      </c>
      <c r="C27" s="1079" t="str">
        <f t="shared" si="0"/>
        <v/>
      </c>
      <c r="D27" s="1079"/>
      <c r="E27" s="1079"/>
      <c r="F27" s="1079"/>
      <c r="G27" s="1079"/>
      <c r="H27" s="600"/>
      <c r="I27" s="600"/>
      <c r="J27" s="600" t="str">
        <f t="shared" si="11"/>
        <v/>
      </c>
      <c r="K27" s="618">
        <v>22</v>
      </c>
      <c r="L27" s="1079" t="str">
        <f t="shared" si="1"/>
        <v/>
      </c>
      <c r="M27" s="1079"/>
      <c r="N27" s="1079"/>
      <c r="O27" s="1079"/>
      <c r="P27" s="1079"/>
      <c r="Q27" s="600"/>
      <c r="R27" s="600"/>
      <c r="S27" s="600" t="str">
        <f t="shared" si="12"/>
        <v/>
      </c>
      <c r="T27" s="618">
        <v>22</v>
      </c>
      <c r="U27" s="1079" t="str">
        <f t="shared" si="2"/>
        <v/>
      </c>
      <c r="V27" s="1079"/>
      <c r="W27" s="1079"/>
      <c r="X27" s="1079"/>
      <c r="Y27" s="1079"/>
      <c r="Z27" s="600" t="str">
        <f t="shared" si="3"/>
        <v/>
      </c>
      <c r="AA27" s="600"/>
      <c r="AB27" s="600" t="str">
        <f t="shared" si="13"/>
        <v/>
      </c>
      <c r="AC27" s="618">
        <v>22</v>
      </c>
      <c r="AD27" s="1079" t="str">
        <f t="shared" si="4"/>
        <v/>
      </c>
      <c r="AE27" s="1079"/>
      <c r="AF27" s="1079"/>
      <c r="AG27" s="1079"/>
      <c r="AH27" s="1079"/>
      <c r="AI27" s="600" t="s">
        <v>3034</v>
      </c>
      <c r="AJ27" s="600"/>
      <c r="AK27" s="600" t="str">
        <f t="shared" si="14"/>
        <v/>
      </c>
      <c r="AL27" s="618">
        <v>22</v>
      </c>
      <c r="AM27" s="1079" t="str">
        <f t="shared" si="5"/>
        <v/>
      </c>
      <c r="AN27" s="1079"/>
      <c r="AO27" s="1079"/>
      <c r="AP27" s="1079"/>
      <c r="AQ27" s="1079"/>
      <c r="AR27" s="600"/>
      <c r="AS27" s="600"/>
      <c r="AT27" s="600" t="str">
        <f t="shared" si="15"/>
        <v/>
      </c>
      <c r="AU27" s="618">
        <v>22</v>
      </c>
      <c r="AV27" s="1079" t="str">
        <f t="shared" si="6"/>
        <v/>
      </c>
      <c r="AW27" s="1079"/>
      <c r="AX27" s="1079"/>
      <c r="AY27" s="1079"/>
      <c r="AZ27" s="1079"/>
      <c r="BA27" s="600"/>
      <c r="BB27" s="600"/>
      <c r="BC27" s="600" t="str">
        <f t="shared" si="16"/>
        <v/>
      </c>
      <c r="BD27" s="618">
        <v>22</v>
      </c>
      <c r="BE27" s="1079" t="str">
        <f t="shared" si="7"/>
        <v/>
      </c>
      <c r="BF27" s="1079"/>
      <c r="BG27" s="1079"/>
      <c r="BH27" s="1079"/>
      <c r="BI27" s="1079"/>
      <c r="BJ27" s="600"/>
      <c r="BK27" s="600"/>
      <c r="BL27" s="600" t="str">
        <f t="shared" si="17"/>
        <v/>
      </c>
      <c r="BM27" s="618">
        <v>22</v>
      </c>
      <c r="BN27" s="1079" t="str">
        <f t="shared" si="8"/>
        <v/>
      </c>
      <c r="BO27" s="1079"/>
      <c r="BP27" s="1079"/>
      <c r="BQ27" s="1079"/>
      <c r="BR27" s="1079"/>
      <c r="BS27" s="600"/>
      <c r="BT27" s="600"/>
      <c r="BU27" s="600" t="str">
        <f t="shared" si="18"/>
        <v/>
      </c>
      <c r="BV27" s="618">
        <v>22</v>
      </c>
      <c r="BW27" s="1079" t="str">
        <f t="shared" si="9"/>
        <v/>
      </c>
      <c r="BX27" s="1079"/>
      <c r="BY27" s="1079"/>
      <c r="BZ27" s="1079"/>
      <c r="CA27" s="1079"/>
      <c r="CB27" s="600"/>
      <c r="CC27" s="600" t="str">
        <f t="shared" si="19"/>
        <v/>
      </c>
      <c r="CD27" s="600"/>
      <c r="CE27" s="600"/>
      <c r="CF27" s="600"/>
      <c r="CG27" s="600"/>
      <c r="CH27" s="600"/>
      <c r="CI27" s="600">
        <v>22</v>
      </c>
      <c r="CJ27" s="600">
        <f>Character_Creation!Q389</f>
        <v>0</v>
      </c>
      <c r="CK27" s="600" t="str">
        <f>IFERROR(INDEX(T08_Spells!$C$3:$C$1000,MATCH(S01_Bard!$CJ27,T08_Spells!$B$3:$B$1000,0),1),"")</f>
        <v/>
      </c>
      <c r="CL27" s="600">
        <f t="shared" si="20"/>
        <v>0</v>
      </c>
      <c r="CM27" s="600">
        <f>IF(CL27=0,0,1+COUNTIF(CM$6:CM26,"&gt;0"))</f>
        <v>0</v>
      </c>
      <c r="CN27" s="600">
        <f t="shared" si="21"/>
        <v>0</v>
      </c>
      <c r="CO27" s="600">
        <f>IF(CN27=0,0,1+COUNTIF(CO$6:CO26,"&gt;0"))</f>
        <v>0</v>
      </c>
      <c r="CP27" s="600">
        <f t="shared" si="22"/>
        <v>0</v>
      </c>
      <c r="CQ27" s="600">
        <f>IF(CP27=0,0,1+COUNTIF(CQ$6:CQ26,"&gt;0"))</f>
        <v>0</v>
      </c>
      <c r="CR27" s="600">
        <f t="shared" si="23"/>
        <v>0</v>
      </c>
      <c r="CS27" s="600">
        <f>IF(CR27=0,0,1+COUNTIF(CS$6:CS26,"&gt;0"))</f>
        <v>0</v>
      </c>
      <c r="CT27" s="600">
        <f t="shared" si="24"/>
        <v>0</v>
      </c>
      <c r="CU27" s="600">
        <f>IF(CT27=0,0,1+COUNTIF(CU$6:CU26,"&gt;0"))</f>
        <v>0</v>
      </c>
      <c r="CV27" s="600">
        <f t="shared" si="25"/>
        <v>0</v>
      </c>
      <c r="CW27" s="600">
        <f>IF(CV27=0,0,1+COUNTIF(CW$6:CW26,"&gt;0"))</f>
        <v>0</v>
      </c>
      <c r="CX27" s="600">
        <f t="shared" si="26"/>
        <v>0</v>
      </c>
      <c r="CY27" s="600">
        <f>IF(CX27=0,0,1+COUNTIF(CY$6:CY26,"&gt;0"))</f>
        <v>0</v>
      </c>
      <c r="CZ27" s="600">
        <f t="shared" si="27"/>
        <v>0</v>
      </c>
      <c r="DA27" s="600">
        <f>IF(CZ27=0,0,1+COUNTIF(DA$6:DA26,"&gt;0"))</f>
        <v>0</v>
      </c>
      <c r="DB27" s="600">
        <f t="shared" si="28"/>
        <v>0</v>
      </c>
      <c r="DC27" s="600">
        <f>IF(DB27=0,0,1+COUNTIF(DC$6:DC26,"&gt;0"))</f>
        <v>0</v>
      </c>
      <c r="DD27" s="600"/>
      <c r="DE27" s="600"/>
      <c r="DF27" s="600"/>
    </row>
    <row r="28" spans="1:110" x14ac:dyDescent="0.25">
      <c r="A28" s="600"/>
      <c r="B28" s="618">
        <v>23</v>
      </c>
      <c r="C28" s="1079" t="str">
        <f t="shared" si="0"/>
        <v/>
      </c>
      <c r="D28" s="1079"/>
      <c r="E28" s="1079"/>
      <c r="F28" s="1079"/>
      <c r="G28" s="1079"/>
      <c r="H28" s="600"/>
      <c r="I28" s="600"/>
      <c r="J28" s="600" t="str">
        <f t="shared" si="11"/>
        <v/>
      </c>
      <c r="K28" s="618">
        <v>23</v>
      </c>
      <c r="L28" s="1079" t="str">
        <f t="shared" si="1"/>
        <v/>
      </c>
      <c r="M28" s="1079"/>
      <c r="N28" s="1079"/>
      <c r="O28" s="1079"/>
      <c r="P28" s="1079"/>
      <c r="Q28" s="600"/>
      <c r="R28" s="600"/>
      <c r="S28" s="600" t="str">
        <f t="shared" si="12"/>
        <v/>
      </c>
      <c r="T28" s="618">
        <v>23</v>
      </c>
      <c r="U28" s="1079" t="str">
        <f t="shared" si="2"/>
        <v/>
      </c>
      <c r="V28" s="1079"/>
      <c r="W28" s="1079"/>
      <c r="X28" s="1079"/>
      <c r="Y28" s="1079"/>
      <c r="Z28" s="600" t="str">
        <f t="shared" si="3"/>
        <v/>
      </c>
      <c r="AA28" s="600"/>
      <c r="AB28" s="600" t="str">
        <f t="shared" si="13"/>
        <v/>
      </c>
      <c r="AC28" s="618">
        <v>23</v>
      </c>
      <c r="AD28" s="1079" t="str">
        <f t="shared" si="4"/>
        <v/>
      </c>
      <c r="AE28" s="1079"/>
      <c r="AF28" s="1079"/>
      <c r="AG28" s="1079"/>
      <c r="AH28" s="1079"/>
      <c r="AI28" s="600" t="s">
        <v>3034</v>
      </c>
      <c r="AJ28" s="600"/>
      <c r="AK28" s="600" t="str">
        <f t="shared" si="14"/>
        <v/>
      </c>
      <c r="AL28" s="618">
        <v>23</v>
      </c>
      <c r="AM28" s="1079" t="str">
        <f t="shared" si="5"/>
        <v/>
      </c>
      <c r="AN28" s="1079"/>
      <c r="AO28" s="1079"/>
      <c r="AP28" s="1079"/>
      <c r="AQ28" s="1079"/>
      <c r="AR28" s="600"/>
      <c r="AS28" s="600"/>
      <c r="AT28" s="600" t="str">
        <f t="shared" si="15"/>
        <v/>
      </c>
      <c r="AU28" s="618">
        <v>23</v>
      </c>
      <c r="AV28" s="1079" t="str">
        <f t="shared" si="6"/>
        <v/>
      </c>
      <c r="AW28" s="1079"/>
      <c r="AX28" s="1079"/>
      <c r="AY28" s="1079"/>
      <c r="AZ28" s="1079"/>
      <c r="BA28" s="600"/>
      <c r="BB28" s="600"/>
      <c r="BC28" s="600" t="str">
        <f t="shared" si="16"/>
        <v/>
      </c>
      <c r="BD28" s="618">
        <v>23</v>
      </c>
      <c r="BE28" s="1079" t="str">
        <f t="shared" si="7"/>
        <v/>
      </c>
      <c r="BF28" s="1079"/>
      <c r="BG28" s="1079"/>
      <c r="BH28" s="1079"/>
      <c r="BI28" s="1079"/>
      <c r="BJ28" s="600"/>
      <c r="BK28" s="600"/>
      <c r="BL28" s="600" t="str">
        <f t="shared" si="17"/>
        <v/>
      </c>
      <c r="BM28" s="618">
        <v>23</v>
      </c>
      <c r="BN28" s="1079" t="str">
        <f t="shared" si="8"/>
        <v/>
      </c>
      <c r="BO28" s="1079"/>
      <c r="BP28" s="1079"/>
      <c r="BQ28" s="1079"/>
      <c r="BR28" s="1079"/>
      <c r="BS28" s="600"/>
      <c r="BT28" s="600"/>
      <c r="BU28" s="600" t="str">
        <f t="shared" si="18"/>
        <v/>
      </c>
      <c r="BV28" s="618">
        <v>23</v>
      </c>
      <c r="BW28" s="1079" t="str">
        <f t="shared" si="9"/>
        <v/>
      </c>
      <c r="BX28" s="1079"/>
      <c r="BY28" s="1079"/>
      <c r="BZ28" s="1079"/>
      <c r="CA28" s="1079"/>
      <c r="CB28" s="600"/>
      <c r="CC28" s="600" t="str">
        <f t="shared" si="19"/>
        <v/>
      </c>
      <c r="CD28" s="600"/>
      <c r="CE28" s="600"/>
      <c r="CF28" s="600"/>
      <c r="CG28" s="600"/>
      <c r="CH28" s="600"/>
      <c r="CI28" s="600">
        <v>23</v>
      </c>
      <c r="CJ28" s="600">
        <f>Character_Creation!Q390</f>
        <v>0</v>
      </c>
      <c r="CK28" s="600" t="str">
        <f>IFERROR(INDEX(T08_Spells!$C$3:$C$1000,MATCH(S01_Bard!$CJ28,T08_Spells!$B$3:$B$1000,0),1),"")</f>
        <v/>
      </c>
      <c r="CL28" s="600">
        <f t="shared" si="20"/>
        <v>0</v>
      </c>
      <c r="CM28" s="600">
        <f>IF(CL28=0,0,1+COUNTIF(CM$6:CM27,"&gt;0"))</f>
        <v>0</v>
      </c>
      <c r="CN28" s="600">
        <f t="shared" si="21"/>
        <v>0</v>
      </c>
      <c r="CO28" s="600">
        <f>IF(CN28=0,0,1+COUNTIF(CO$6:CO27,"&gt;0"))</f>
        <v>0</v>
      </c>
      <c r="CP28" s="600">
        <f t="shared" si="22"/>
        <v>0</v>
      </c>
      <c r="CQ28" s="600">
        <f>IF(CP28=0,0,1+COUNTIF(CQ$6:CQ27,"&gt;0"))</f>
        <v>0</v>
      </c>
      <c r="CR28" s="600">
        <f t="shared" si="23"/>
        <v>0</v>
      </c>
      <c r="CS28" s="600">
        <f>IF(CR28=0,0,1+COUNTIF(CS$6:CS27,"&gt;0"))</f>
        <v>0</v>
      </c>
      <c r="CT28" s="600">
        <f t="shared" si="24"/>
        <v>0</v>
      </c>
      <c r="CU28" s="600">
        <f>IF(CT28=0,0,1+COUNTIF(CU$6:CU27,"&gt;0"))</f>
        <v>0</v>
      </c>
      <c r="CV28" s="600">
        <f t="shared" si="25"/>
        <v>0</v>
      </c>
      <c r="CW28" s="600">
        <f>IF(CV28=0,0,1+COUNTIF(CW$6:CW27,"&gt;0"))</f>
        <v>0</v>
      </c>
      <c r="CX28" s="600">
        <f t="shared" si="26"/>
        <v>0</v>
      </c>
      <c r="CY28" s="600">
        <f>IF(CX28=0,0,1+COUNTIF(CY$6:CY27,"&gt;0"))</f>
        <v>0</v>
      </c>
      <c r="CZ28" s="600">
        <f t="shared" si="27"/>
        <v>0</v>
      </c>
      <c r="DA28" s="600">
        <f>IF(CZ28=0,0,1+COUNTIF(DA$6:DA27,"&gt;0"))</f>
        <v>0</v>
      </c>
      <c r="DB28" s="600">
        <f t="shared" si="28"/>
        <v>0</v>
      </c>
      <c r="DC28" s="600">
        <f>IF(DB28=0,0,1+COUNTIF(DC$6:DC27,"&gt;0"))</f>
        <v>0</v>
      </c>
      <c r="DD28" s="600"/>
      <c r="DE28" s="600"/>
      <c r="DF28" s="600"/>
    </row>
    <row r="29" spans="1:110" x14ac:dyDescent="0.25">
      <c r="A29" s="600"/>
      <c r="B29" s="618">
        <v>24</v>
      </c>
      <c r="C29" s="1079" t="str">
        <f t="shared" si="0"/>
        <v/>
      </c>
      <c r="D29" s="1079"/>
      <c r="E29" s="1079"/>
      <c r="F29" s="1079"/>
      <c r="G29" s="1079"/>
      <c r="H29" s="600"/>
      <c r="I29" s="600"/>
      <c r="J29" s="600" t="str">
        <f t="shared" si="11"/>
        <v/>
      </c>
      <c r="K29" s="618">
        <v>24</v>
      </c>
      <c r="L29" s="1079" t="str">
        <f t="shared" si="1"/>
        <v/>
      </c>
      <c r="M29" s="1079"/>
      <c r="N29" s="1079"/>
      <c r="O29" s="1079"/>
      <c r="P29" s="1079"/>
      <c r="Q29" s="600"/>
      <c r="R29" s="600"/>
      <c r="S29" s="600" t="str">
        <f t="shared" si="12"/>
        <v/>
      </c>
      <c r="T29" s="618">
        <v>24</v>
      </c>
      <c r="U29" s="1079" t="str">
        <f t="shared" si="2"/>
        <v/>
      </c>
      <c r="V29" s="1079"/>
      <c r="W29" s="1079"/>
      <c r="X29" s="1079"/>
      <c r="Y29" s="1079"/>
      <c r="Z29" s="600" t="str">
        <f t="shared" si="3"/>
        <v/>
      </c>
      <c r="AA29" s="600"/>
      <c r="AB29" s="600" t="str">
        <f t="shared" si="13"/>
        <v/>
      </c>
      <c r="AC29" s="618">
        <v>24</v>
      </c>
      <c r="AD29" s="1079" t="str">
        <f t="shared" si="4"/>
        <v/>
      </c>
      <c r="AE29" s="1079"/>
      <c r="AF29" s="1079"/>
      <c r="AG29" s="1079"/>
      <c r="AH29" s="1079"/>
      <c r="AI29" s="600" t="s">
        <v>3034</v>
      </c>
      <c r="AJ29" s="600"/>
      <c r="AK29" s="600" t="str">
        <f t="shared" si="14"/>
        <v/>
      </c>
      <c r="AL29" s="618">
        <v>24</v>
      </c>
      <c r="AM29" s="1079" t="str">
        <f t="shared" si="5"/>
        <v/>
      </c>
      <c r="AN29" s="1079"/>
      <c r="AO29" s="1079"/>
      <c r="AP29" s="1079"/>
      <c r="AQ29" s="1079"/>
      <c r="AR29" s="600"/>
      <c r="AS29" s="600"/>
      <c r="AT29" s="600" t="str">
        <f t="shared" si="15"/>
        <v/>
      </c>
      <c r="AU29" s="618">
        <v>24</v>
      </c>
      <c r="AV29" s="1079" t="str">
        <f t="shared" si="6"/>
        <v/>
      </c>
      <c r="AW29" s="1079"/>
      <c r="AX29" s="1079"/>
      <c r="AY29" s="1079"/>
      <c r="AZ29" s="1079"/>
      <c r="BA29" s="600"/>
      <c r="BB29" s="600"/>
      <c r="BC29" s="600" t="str">
        <f t="shared" si="16"/>
        <v/>
      </c>
      <c r="BD29" s="618">
        <v>24</v>
      </c>
      <c r="BE29" s="1079" t="str">
        <f t="shared" si="7"/>
        <v/>
      </c>
      <c r="BF29" s="1079"/>
      <c r="BG29" s="1079"/>
      <c r="BH29" s="1079"/>
      <c r="BI29" s="1079"/>
      <c r="BJ29" s="600"/>
      <c r="BK29" s="600"/>
      <c r="BL29" s="600" t="str">
        <f t="shared" si="17"/>
        <v/>
      </c>
      <c r="BM29" s="618">
        <v>24</v>
      </c>
      <c r="BN29" s="1079" t="str">
        <f t="shared" si="8"/>
        <v/>
      </c>
      <c r="BO29" s="1079"/>
      <c r="BP29" s="1079"/>
      <c r="BQ29" s="1079"/>
      <c r="BR29" s="1079"/>
      <c r="BS29" s="600"/>
      <c r="BT29" s="600"/>
      <c r="BU29" s="600" t="str">
        <f t="shared" si="18"/>
        <v/>
      </c>
      <c r="BV29" s="618">
        <v>24</v>
      </c>
      <c r="BW29" s="1079" t="str">
        <f t="shared" si="9"/>
        <v/>
      </c>
      <c r="BX29" s="1079"/>
      <c r="BY29" s="1079"/>
      <c r="BZ29" s="1079"/>
      <c r="CA29" s="1079"/>
      <c r="CB29" s="600"/>
      <c r="CC29" s="600" t="str">
        <f t="shared" si="19"/>
        <v/>
      </c>
      <c r="CD29" s="600"/>
      <c r="CE29" s="600"/>
      <c r="CF29" s="600"/>
      <c r="CG29" s="600"/>
      <c r="CH29" s="600"/>
      <c r="CI29" s="600">
        <v>24</v>
      </c>
      <c r="CJ29" s="600">
        <f>Character_Creation!Q391</f>
        <v>0</v>
      </c>
      <c r="CK29" s="600" t="str">
        <f>IFERROR(INDEX(T08_Spells!$C$3:$C$1000,MATCH(S01_Bard!$CJ29,T08_Spells!$B$3:$B$1000,0),1),"")</f>
        <v/>
      </c>
      <c r="CL29" s="600">
        <f t="shared" si="20"/>
        <v>0</v>
      </c>
      <c r="CM29" s="600">
        <f>IF(CL29=0,0,1+COUNTIF(CM$6:CM28,"&gt;0"))</f>
        <v>0</v>
      </c>
      <c r="CN29" s="600">
        <f t="shared" si="21"/>
        <v>0</v>
      </c>
      <c r="CO29" s="600">
        <f>IF(CN29=0,0,1+COUNTIF(CO$6:CO28,"&gt;0"))</f>
        <v>0</v>
      </c>
      <c r="CP29" s="600">
        <f t="shared" si="22"/>
        <v>0</v>
      </c>
      <c r="CQ29" s="600">
        <f>IF(CP29=0,0,1+COUNTIF(CQ$6:CQ28,"&gt;0"))</f>
        <v>0</v>
      </c>
      <c r="CR29" s="600">
        <f t="shared" si="23"/>
        <v>0</v>
      </c>
      <c r="CS29" s="600">
        <f>IF(CR29=0,0,1+COUNTIF(CS$6:CS28,"&gt;0"))</f>
        <v>0</v>
      </c>
      <c r="CT29" s="600">
        <f t="shared" si="24"/>
        <v>0</v>
      </c>
      <c r="CU29" s="600">
        <f>IF(CT29=0,0,1+COUNTIF(CU$6:CU28,"&gt;0"))</f>
        <v>0</v>
      </c>
      <c r="CV29" s="600">
        <f t="shared" si="25"/>
        <v>0</v>
      </c>
      <c r="CW29" s="600">
        <f>IF(CV29=0,0,1+COUNTIF(CW$6:CW28,"&gt;0"))</f>
        <v>0</v>
      </c>
      <c r="CX29" s="600">
        <f t="shared" si="26"/>
        <v>0</v>
      </c>
      <c r="CY29" s="600">
        <f>IF(CX29=0,0,1+COUNTIF(CY$6:CY28,"&gt;0"))</f>
        <v>0</v>
      </c>
      <c r="CZ29" s="600">
        <f t="shared" si="27"/>
        <v>0</v>
      </c>
      <c r="DA29" s="600">
        <f>IF(CZ29=0,0,1+COUNTIF(DA$6:DA28,"&gt;0"))</f>
        <v>0</v>
      </c>
      <c r="DB29" s="600">
        <f t="shared" si="28"/>
        <v>0</v>
      </c>
      <c r="DC29" s="600">
        <f>IF(DB29=0,0,1+COUNTIF(DC$6:DC28,"&gt;0"))</f>
        <v>0</v>
      </c>
      <c r="DD29" s="600"/>
      <c r="DE29" s="600"/>
      <c r="DF29" s="600"/>
    </row>
    <row r="30" spans="1:110" x14ac:dyDescent="0.25">
      <c r="A30" s="600"/>
      <c r="B30" s="618">
        <v>25</v>
      </c>
      <c r="C30" s="1079" t="str">
        <f t="shared" si="0"/>
        <v/>
      </c>
      <c r="D30" s="1079"/>
      <c r="E30" s="1079"/>
      <c r="F30" s="1079"/>
      <c r="G30" s="1079"/>
      <c r="H30" s="600"/>
      <c r="I30" s="600"/>
      <c r="J30" s="600" t="str">
        <f t="shared" si="11"/>
        <v/>
      </c>
      <c r="K30" s="618">
        <v>25</v>
      </c>
      <c r="L30" s="1079" t="str">
        <f t="shared" si="1"/>
        <v/>
      </c>
      <c r="M30" s="1079"/>
      <c r="N30" s="1079"/>
      <c r="O30" s="1079"/>
      <c r="P30" s="1079"/>
      <c r="Q30" s="600"/>
      <c r="R30" s="600"/>
      <c r="S30" s="600" t="str">
        <f t="shared" si="12"/>
        <v/>
      </c>
      <c r="T30" s="618">
        <v>25</v>
      </c>
      <c r="U30" s="1079" t="str">
        <f t="shared" si="2"/>
        <v/>
      </c>
      <c r="V30" s="1079"/>
      <c r="W30" s="1079"/>
      <c r="X30" s="1079"/>
      <c r="Y30" s="1079"/>
      <c r="Z30" s="600" t="str">
        <f t="shared" si="3"/>
        <v/>
      </c>
      <c r="AA30" s="600"/>
      <c r="AB30" s="600" t="str">
        <f t="shared" si="13"/>
        <v/>
      </c>
      <c r="AC30" s="618">
        <v>25</v>
      </c>
      <c r="AD30" s="1079" t="str">
        <f t="shared" si="4"/>
        <v/>
      </c>
      <c r="AE30" s="1079"/>
      <c r="AF30" s="1079"/>
      <c r="AG30" s="1079"/>
      <c r="AH30" s="1079"/>
      <c r="AI30" s="600" t="s">
        <v>3034</v>
      </c>
      <c r="AJ30" s="600"/>
      <c r="AK30" s="600" t="str">
        <f t="shared" si="14"/>
        <v/>
      </c>
      <c r="AL30" s="618">
        <v>25</v>
      </c>
      <c r="AM30" s="1079" t="str">
        <f t="shared" si="5"/>
        <v/>
      </c>
      <c r="AN30" s="1079"/>
      <c r="AO30" s="1079"/>
      <c r="AP30" s="1079"/>
      <c r="AQ30" s="1079"/>
      <c r="AR30" s="600"/>
      <c r="AS30" s="600"/>
      <c r="AT30" s="600" t="str">
        <f t="shared" si="15"/>
        <v/>
      </c>
      <c r="AU30" s="618">
        <v>25</v>
      </c>
      <c r="AV30" s="1079" t="str">
        <f t="shared" si="6"/>
        <v/>
      </c>
      <c r="AW30" s="1079"/>
      <c r="AX30" s="1079"/>
      <c r="AY30" s="1079"/>
      <c r="AZ30" s="1079"/>
      <c r="BA30" s="600"/>
      <c r="BB30" s="600"/>
      <c r="BC30" s="600" t="str">
        <f t="shared" si="16"/>
        <v/>
      </c>
      <c r="BD30" s="618">
        <v>25</v>
      </c>
      <c r="BE30" s="1079" t="str">
        <f t="shared" si="7"/>
        <v/>
      </c>
      <c r="BF30" s="1079"/>
      <c r="BG30" s="1079"/>
      <c r="BH30" s="1079"/>
      <c r="BI30" s="1079"/>
      <c r="BJ30" s="600"/>
      <c r="BK30" s="600"/>
      <c r="BL30" s="600" t="str">
        <f t="shared" si="17"/>
        <v/>
      </c>
      <c r="BM30" s="618">
        <v>25</v>
      </c>
      <c r="BN30" s="1079" t="str">
        <f t="shared" si="8"/>
        <v/>
      </c>
      <c r="BO30" s="1079"/>
      <c r="BP30" s="1079"/>
      <c r="BQ30" s="1079"/>
      <c r="BR30" s="1079"/>
      <c r="BS30" s="600"/>
      <c r="BT30" s="600"/>
      <c r="BU30" s="600" t="str">
        <f t="shared" si="18"/>
        <v/>
      </c>
      <c r="BV30" s="618">
        <v>25</v>
      </c>
      <c r="BW30" s="1079" t="str">
        <f t="shared" si="9"/>
        <v/>
      </c>
      <c r="BX30" s="1079"/>
      <c r="BY30" s="1079"/>
      <c r="BZ30" s="1079"/>
      <c r="CA30" s="1079"/>
      <c r="CB30" s="600"/>
      <c r="CC30" s="600" t="str">
        <f t="shared" si="19"/>
        <v/>
      </c>
      <c r="CD30" s="600"/>
      <c r="CE30" s="600"/>
      <c r="CF30" s="600"/>
      <c r="CG30" s="600"/>
      <c r="CH30" s="600"/>
      <c r="CI30" s="600">
        <v>25</v>
      </c>
      <c r="CJ30" s="600">
        <f>Character_Creation!Q392</f>
        <v>0</v>
      </c>
      <c r="CK30" s="600" t="str">
        <f>IFERROR(INDEX(T08_Spells!$C$3:$C$1000,MATCH(S01_Bard!$CJ30,T08_Spells!$B$3:$B$1000,0),1),"")</f>
        <v/>
      </c>
      <c r="CL30" s="600">
        <f t="shared" si="20"/>
        <v>0</v>
      </c>
      <c r="CM30" s="600">
        <f>IF(CL30=0,0,1+COUNTIF(CM$6:CM29,"&gt;0"))</f>
        <v>0</v>
      </c>
      <c r="CN30" s="600">
        <f t="shared" si="21"/>
        <v>0</v>
      </c>
      <c r="CO30" s="600">
        <f>IF(CN30=0,0,1+COUNTIF(CO$6:CO29,"&gt;0"))</f>
        <v>0</v>
      </c>
      <c r="CP30" s="600">
        <f t="shared" si="22"/>
        <v>0</v>
      </c>
      <c r="CQ30" s="600">
        <f>IF(CP30=0,0,1+COUNTIF(CQ$6:CQ29,"&gt;0"))</f>
        <v>0</v>
      </c>
      <c r="CR30" s="600">
        <f t="shared" si="23"/>
        <v>0</v>
      </c>
      <c r="CS30" s="600">
        <f>IF(CR30=0,0,1+COUNTIF(CS$6:CS29,"&gt;0"))</f>
        <v>0</v>
      </c>
      <c r="CT30" s="600">
        <f t="shared" si="24"/>
        <v>0</v>
      </c>
      <c r="CU30" s="600">
        <f>IF(CT30=0,0,1+COUNTIF(CU$6:CU29,"&gt;0"))</f>
        <v>0</v>
      </c>
      <c r="CV30" s="600">
        <f t="shared" si="25"/>
        <v>0</v>
      </c>
      <c r="CW30" s="600">
        <f>IF(CV30=0,0,1+COUNTIF(CW$6:CW29,"&gt;0"))</f>
        <v>0</v>
      </c>
      <c r="CX30" s="600">
        <f t="shared" si="26"/>
        <v>0</v>
      </c>
      <c r="CY30" s="600">
        <f>IF(CX30=0,0,1+COUNTIF(CY$6:CY29,"&gt;0"))</f>
        <v>0</v>
      </c>
      <c r="CZ30" s="600">
        <f t="shared" si="27"/>
        <v>0</v>
      </c>
      <c r="DA30" s="600">
        <f>IF(CZ30=0,0,1+COUNTIF(DA$6:DA29,"&gt;0"))</f>
        <v>0</v>
      </c>
      <c r="DB30" s="600">
        <f t="shared" si="28"/>
        <v>0</v>
      </c>
      <c r="DC30" s="600">
        <f>IF(DB30=0,0,1+COUNTIF(DC$6:DC29,"&gt;0"))</f>
        <v>0</v>
      </c>
      <c r="DD30" s="600"/>
      <c r="DE30" s="600"/>
      <c r="DF30" s="600"/>
    </row>
    <row r="31" spans="1:110" x14ac:dyDescent="0.25">
      <c r="A31" s="600"/>
      <c r="B31" s="618">
        <v>26</v>
      </c>
      <c r="C31" s="1079" t="str">
        <f t="shared" si="0"/>
        <v/>
      </c>
      <c r="D31" s="1079"/>
      <c r="E31" s="1079"/>
      <c r="F31" s="1079"/>
      <c r="G31" s="1079"/>
      <c r="H31" s="600"/>
      <c r="I31" s="600"/>
      <c r="J31" s="600" t="str">
        <f t="shared" si="11"/>
        <v/>
      </c>
      <c r="K31" s="618">
        <v>26</v>
      </c>
      <c r="L31" s="1079" t="str">
        <f t="shared" si="1"/>
        <v/>
      </c>
      <c r="M31" s="1079"/>
      <c r="N31" s="1079"/>
      <c r="O31" s="1079"/>
      <c r="P31" s="1079"/>
      <c r="Q31" s="600"/>
      <c r="R31" s="600"/>
      <c r="S31" s="600" t="str">
        <f t="shared" si="12"/>
        <v/>
      </c>
      <c r="T31" s="618">
        <v>26</v>
      </c>
      <c r="U31" s="1079" t="str">
        <f t="shared" si="2"/>
        <v/>
      </c>
      <c r="V31" s="1079"/>
      <c r="W31" s="1079"/>
      <c r="X31" s="1079"/>
      <c r="Y31" s="1079"/>
      <c r="Z31" s="600" t="str">
        <f t="shared" si="3"/>
        <v/>
      </c>
      <c r="AA31" s="600"/>
      <c r="AB31" s="600" t="str">
        <f t="shared" si="13"/>
        <v/>
      </c>
      <c r="AC31" s="618">
        <v>26</v>
      </c>
      <c r="AD31" s="1079" t="str">
        <f t="shared" si="4"/>
        <v/>
      </c>
      <c r="AE31" s="1079"/>
      <c r="AF31" s="1079"/>
      <c r="AG31" s="1079"/>
      <c r="AH31" s="1079"/>
      <c r="AI31" s="600" t="s">
        <v>3034</v>
      </c>
      <c r="AJ31" s="600"/>
      <c r="AK31" s="600" t="str">
        <f t="shared" si="14"/>
        <v/>
      </c>
      <c r="AL31" s="618">
        <v>26</v>
      </c>
      <c r="AM31" s="1079" t="str">
        <f t="shared" si="5"/>
        <v/>
      </c>
      <c r="AN31" s="1079"/>
      <c r="AO31" s="1079"/>
      <c r="AP31" s="1079"/>
      <c r="AQ31" s="1079"/>
      <c r="AR31" s="600"/>
      <c r="AS31" s="600"/>
      <c r="AT31" s="600" t="str">
        <f t="shared" si="15"/>
        <v/>
      </c>
      <c r="AU31" s="618">
        <v>26</v>
      </c>
      <c r="AV31" s="1079" t="str">
        <f t="shared" si="6"/>
        <v/>
      </c>
      <c r="AW31" s="1079"/>
      <c r="AX31" s="1079"/>
      <c r="AY31" s="1079"/>
      <c r="AZ31" s="1079"/>
      <c r="BA31" s="600"/>
      <c r="BB31" s="600"/>
      <c r="BC31" s="600" t="str">
        <f t="shared" si="16"/>
        <v/>
      </c>
      <c r="BD31" s="618">
        <v>26</v>
      </c>
      <c r="BE31" s="1079" t="str">
        <f t="shared" si="7"/>
        <v/>
      </c>
      <c r="BF31" s="1079"/>
      <c r="BG31" s="1079"/>
      <c r="BH31" s="1079"/>
      <c r="BI31" s="1079"/>
      <c r="BJ31" s="600"/>
      <c r="BK31" s="600"/>
      <c r="BL31" s="600" t="str">
        <f t="shared" si="17"/>
        <v/>
      </c>
      <c r="BM31" s="618">
        <v>26</v>
      </c>
      <c r="BN31" s="1079" t="str">
        <f t="shared" si="8"/>
        <v/>
      </c>
      <c r="BO31" s="1079"/>
      <c r="BP31" s="1079"/>
      <c r="BQ31" s="1079"/>
      <c r="BR31" s="1079"/>
      <c r="BS31" s="600"/>
      <c r="BT31" s="600"/>
      <c r="BU31" s="600" t="str">
        <f t="shared" si="18"/>
        <v/>
      </c>
      <c r="BV31" s="618">
        <v>26</v>
      </c>
      <c r="BW31" s="1079" t="str">
        <f t="shared" si="9"/>
        <v/>
      </c>
      <c r="BX31" s="1079"/>
      <c r="BY31" s="1079"/>
      <c r="BZ31" s="1079"/>
      <c r="CA31" s="1079"/>
      <c r="CB31" s="600"/>
      <c r="CC31" s="600" t="str">
        <f t="shared" si="19"/>
        <v/>
      </c>
      <c r="CD31" s="600"/>
      <c r="CE31" s="600"/>
      <c r="CF31" s="600"/>
      <c r="CG31" s="600"/>
      <c r="CH31" s="600"/>
      <c r="CI31" s="600">
        <v>26</v>
      </c>
      <c r="CJ31" s="600">
        <f>Character_Creation!Q393</f>
        <v>0</v>
      </c>
      <c r="CK31" s="600" t="str">
        <f>IFERROR(INDEX(T08_Spells!$C$3:$C$1000,MATCH(S01_Bard!$CJ31,T08_Spells!$B$3:$B$1000,0),1),"")</f>
        <v/>
      </c>
      <c r="CL31" s="600">
        <f t="shared" si="20"/>
        <v>0</v>
      </c>
      <c r="CM31" s="600">
        <f>IF(CL31=0,0,1+COUNTIF(CM$6:CM30,"&gt;0"))</f>
        <v>0</v>
      </c>
      <c r="CN31" s="600">
        <f t="shared" si="21"/>
        <v>0</v>
      </c>
      <c r="CO31" s="600">
        <f>IF(CN31=0,0,1+COUNTIF(CO$6:CO30,"&gt;0"))</f>
        <v>0</v>
      </c>
      <c r="CP31" s="600">
        <f t="shared" si="22"/>
        <v>0</v>
      </c>
      <c r="CQ31" s="600">
        <f>IF(CP31=0,0,1+COUNTIF(CQ$6:CQ30,"&gt;0"))</f>
        <v>0</v>
      </c>
      <c r="CR31" s="600">
        <f t="shared" si="23"/>
        <v>0</v>
      </c>
      <c r="CS31" s="600">
        <f>IF(CR31=0,0,1+COUNTIF(CS$6:CS30,"&gt;0"))</f>
        <v>0</v>
      </c>
      <c r="CT31" s="600">
        <f t="shared" si="24"/>
        <v>0</v>
      </c>
      <c r="CU31" s="600">
        <f>IF(CT31=0,0,1+COUNTIF(CU$6:CU30,"&gt;0"))</f>
        <v>0</v>
      </c>
      <c r="CV31" s="600">
        <f t="shared" si="25"/>
        <v>0</v>
      </c>
      <c r="CW31" s="600">
        <f>IF(CV31=0,0,1+COUNTIF(CW$6:CW30,"&gt;0"))</f>
        <v>0</v>
      </c>
      <c r="CX31" s="600">
        <f t="shared" si="26"/>
        <v>0</v>
      </c>
      <c r="CY31" s="600">
        <f>IF(CX31=0,0,1+COUNTIF(CY$6:CY30,"&gt;0"))</f>
        <v>0</v>
      </c>
      <c r="CZ31" s="600">
        <f t="shared" si="27"/>
        <v>0</v>
      </c>
      <c r="DA31" s="600">
        <f>IF(CZ31=0,0,1+COUNTIF(DA$6:DA30,"&gt;0"))</f>
        <v>0</v>
      </c>
      <c r="DB31" s="600">
        <f t="shared" si="28"/>
        <v>0</v>
      </c>
      <c r="DC31" s="600">
        <f>IF(DB31=0,0,1+COUNTIF(DC$6:DC30,"&gt;0"))</f>
        <v>0</v>
      </c>
      <c r="DD31" s="600"/>
      <c r="DE31" s="600"/>
      <c r="DF31" s="600"/>
    </row>
    <row r="32" spans="1:110" x14ac:dyDescent="0.25">
      <c r="A32" s="600"/>
      <c r="B32" s="618">
        <v>27</v>
      </c>
      <c r="C32" s="1079" t="str">
        <f t="shared" si="0"/>
        <v/>
      </c>
      <c r="D32" s="1079"/>
      <c r="E32" s="1079"/>
      <c r="F32" s="1079"/>
      <c r="G32" s="1079"/>
      <c r="H32" s="600"/>
      <c r="I32" s="600"/>
      <c r="J32" s="600" t="str">
        <f t="shared" si="11"/>
        <v/>
      </c>
      <c r="K32" s="618">
        <v>27</v>
      </c>
      <c r="L32" s="1079" t="str">
        <f t="shared" si="1"/>
        <v/>
      </c>
      <c r="M32" s="1079"/>
      <c r="N32" s="1079"/>
      <c r="O32" s="1079"/>
      <c r="P32" s="1079"/>
      <c r="Q32" s="600"/>
      <c r="R32" s="600"/>
      <c r="S32" s="600" t="str">
        <f t="shared" si="12"/>
        <v/>
      </c>
      <c r="T32" s="618">
        <v>27</v>
      </c>
      <c r="U32" s="1079" t="str">
        <f t="shared" si="2"/>
        <v/>
      </c>
      <c r="V32" s="1079"/>
      <c r="W32" s="1079"/>
      <c r="X32" s="1079"/>
      <c r="Y32" s="1079"/>
      <c r="Z32" s="600" t="str">
        <f t="shared" si="3"/>
        <v/>
      </c>
      <c r="AA32" s="600"/>
      <c r="AB32" s="600" t="str">
        <f t="shared" si="13"/>
        <v/>
      </c>
      <c r="AC32" s="618">
        <v>27</v>
      </c>
      <c r="AD32" s="1079" t="str">
        <f t="shared" si="4"/>
        <v/>
      </c>
      <c r="AE32" s="1079"/>
      <c r="AF32" s="1079"/>
      <c r="AG32" s="1079"/>
      <c r="AH32" s="1079"/>
      <c r="AI32" s="600" t="s">
        <v>3034</v>
      </c>
      <c r="AJ32" s="600"/>
      <c r="AK32" s="600" t="str">
        <f t="shared" si="14"/>
        <v/>
      </c>
      <c r="AL32" s="618">
        <v>27</v>
      </c>
      <c r="AM32" s="1079" t="str">
        <f t="shared" si="5"/>
        <v/>
      </c>
      <c r="AN32" s="1079"/>
      <c r="AO32" s="1079"/>
      <c r="AP32" s="1079"/>
      <c r="AQ32" s="1079"/>
      <c r="AR32" s="600"/>
      <c r="AS32" s="600"/>
      <c r="AT32" s="600" t="str">
        <f t="shared" si="15"/>
        <v/>
      </c>
      <c r="AU32" s="618">
        <v>27</v>
      </c>
      <c r="AV32" s="1079" t="str">
        <f t="shared" si="6"/>
        <v/>
      </c>
      <c r="AW32" s="1079"/>
      <c r="AX32" s="1079"/>
      <c r="AY32" s="1079"/>
      <c r="AZ32" s="1079"/>
      <c r="BA32" s="600"/>
      <c r="BB32" s="600"/>
      <c r="BC32" s="600" t="str">
        <f t="shared" si="16"/>
        <v/>
      </c>
      <c r="BD32" s="618">
        <v>27</v>
      </c>
      <c r="BE32" s="1079" t="str">
        <f t="shared" si="7"/>
        <v/>
      </c>
      <c r="BF32" s="1079"/>
      <c r="BG32" s="1079"/>
      <c r="BH32" s="1079"/>
      <c r="BI32" s="1079"/>
      <c r="BJ32" s="600"/>
      <c r="BK32" s="600"/>
      <c r="BL32" s="600" t="str">
        <f t="shared" si="17"/>
        <v/>
      </c>
      <c r="BM32" s="618">
        <v>27</v>
      </c>
      <c r="BN32" s="1079" t="str">
        <f t="shared" si="8"/>
        <v/>
      </c>
      <c r="BO32" s="1079"/>
      <c r="BP32" s="1079"/>
      <c r="BQ32" s="1079"/>
      <c r="BR32" s="1079"/>
      <c r="BS32" s="600"/>
      <c r="BT32" s="600"/>
      <c r="BU32" s="600" t="str">
        <f t="shared" si="18"/>
        <v/>
      </c>
      <c r="BV32" s="618">
        <v>27</v>
      </c>
      <c r="BW32" s="1079" t="str">
        <f t="shared" si="9"/>
        <v/>
      </c>
      <c r="BX32" s="1079"/>
      <c r="BY32" s="1079"/>
      <c r="BZ32" s="1079"/>
      <c r="CA32" s="1079"/>
      <c r="CB32" s="600"/>
      <c r="CC32" s="600" t="str">
        <f t="shared" si="19"/>
        <v/>
      </c>
      <c r="CD32" s="600"/>
      <c r="CE32" s="600"/>
      <c r="CF32" s="600"/>
      <c r="CG32" s="600"/>
      <c r="CH32" s="600"/>
      <c r="CI32" s="600">
        <v>27</v>
      </c>
      <c r="CJ32" s="600">
        <f>Character_Creation!Q394</f>
        <v>0</v>
      </c>
      <c r="CK32" s="600" t="str">
        <f>IFERROR(INDEX(T08_Spells!$C$3:$C$1000,MATCH(S01_Bard!$CJ32,T08_Spells!$B$3:$B$1000,0),1),"")</f>
        <v/>
      </c>
      <c r="CL32" s="600">
        <f t="shared" si="20"/>
        <v>0</v>
      </c>
      <c r="CM32" s="600">
        <f>IF(CL32=0,0,1+COUNTIF(CM$6:CM31,"&gt;0"))</f>
        <v>0</v>
      </c>
      <c r="CN32" s="600">
        <f t="shared" si="21"/>
        <v>0</v>
      </c>
      <c r="CO32" s="600">
        <f>IF(CN32=0,0,1+COUNTIF(CO$6:CO31,"&gt;0"))</f>
        <v>0</v>
      </c>
      <c r="CP32" s="600">
        <f t="shared" si="22"/>
        <v>0</v>
      </c>
      <c r="CQ32" s="600">
        <f>IF(CP32=0,0,1+COUNTIF(CQ$6:CQ31,"&gt;0"))</f>
        <v>0</v>
      </c>
      <c r="CR32" s="600">
        <f t="shared" si="23"/>
        <v>0</v>
      </c>
      <c r="CS32" s="600">
        <f>IF(CR32=0,0,1+COUNTIF(CS$6:CS31,"&gt;0"))</f>
        <v>0</v>
      </c>
      <c r="CT32" s="600">
        <f t="shared" si="24"/>
        <v>0</v>
      </c>
      <c r="CU32" s="600">
        <f>IF(CT32=0,0,1+COUNTIF(CU$6:CU31,"&gt;0"))</f>
        <v>0</v>
      </c>
      <c r="CV32" s="600">
        <f t="shared" si="25"/>
        <v>0</v>
      </c>
      <c r="CW32" s="600">
        <f>IF(CV32=0,0,1+COUNTIF(CW$6:CW31,"&gt;0"))</f>
        <v>0</v>
      </c>
      <c r="CX32" s="600">
        <f t="shared" si="26"/>
        <v>0</v>
      </c>
      <c r="CY32" s="600">
        <f>IF(CX32=0,0,1+COUNTIF(CY$6:CY31,"&gt;0"))</f>
        <v>0</v>
      </c>
      <c r="CZ32" s="600">
        <f t="shared" si="27"/>
        <v>0</v>
      </c>
      <c r="DA32" s="600">
        <f>IF(CZ32=0,0,1+COUNTIF(DA$6:DA31,"&gt;0"))</f>
        <v>0</v>
      </c>
      <c r="DB32" s="600">
        <f t="shared" si="28"/>
        <v>0</v>
      </c>
      <c r="DC32" s="600">
        <f>IF(DB32=0,0,1+COUNTIF(DC$6:DC31,"&gt;0"))</f>
        <v>0</v>
      </c>
      <c r="DD32" s="600"/>
      <c r="DE32" s="600"/>
      <c r="DF32" s="600"/>
    </row>
    <row r="33" spans="1:110" x14ac:dyDescent="0.25">
      <c r="A33" s="600"/>
      <c r="B33" s="618">
        <v>28</v>
      </c>
      <c r="C33" s="1079" t="str">
        <f t="shared" si="0"/>
        <v/>
      </c>
      <c r="D33" s="1079"/>
      <c r="E33" s="1079"/>
      <c r="F33" s="1079"/>
      <c r="G33" s="1079"/>
      <c r="H33" s="600"/>
      <c r="I33" s="600"/>
      <c r="J33" s="600" t="str">
        <f t="shared" si="11"/>
        <v/>
      </c>
      <c r="K33" s="618">
        <v>28</v>
      </c>
      <c r="L33" s="1079" t="str">
        <f t="shared" si="1"/>
        <v/>
      </c>
      <c r="M33" s="1079"/>
      <c r="N33" s="1079"/>
      <c r="O33" s="1079"/>
      <c r="P33" s="1079"/>
      <c r="Q33" s="600"/>
      <c r="R33" s="600"/>
      <c r="S33" s="600" t="str">
        <f t="shared" si="12"/>
        <v/>
      </c>
      <c r="T33" s="618">
        <v>28</v>
      </c>
      <c r="U33" s="1079" t="str">
        <f t="shared" si="2"/>
        <v/>
      </c>
      <c r="V33" s="1079"/>
      <c r="W33" s="1079"/>
      <c r="X33" s="1079"/>
      <c r="Y33" s="1079"/>
      <c r="Z33" s="600" t="str">
        <f t="shared" si="3"/>
        <v/>
      </c>
      <c r="AA33" s="600"/>
      <c r="AB33" s="600" t="str">
        <f t="shared" si="13"/>
        <v/>
      </c>
      <c r="AC33" s="618">
        <v>28</v>
      </c>
      <c r="AD33" s="1079" t="str">
        <f t="shared" si="4"/>
        <v/>
      </c>
      <c r="AE33" s="1079"/>
      <c r="AF33" s="1079"/>
      <c r="AG33" s="1079"/>
      <c r="AH33" s="1079"/>
      <c r="AI33" s="600" t="s">
        <v>3034</v>
      </c>
      <c r="AJ33" s="600"/>
      <c r="AK33" s="600" t="str">
        <f t="shared" si="14"/>
        <v/>
      </c>
      <c r="AL33" s="618">
        <v>28</v>
      </c>
      <c r="AM33" s="1079" t="str">
        <f t="shared" si="5"/>
        <v/>
      </c>
      <c r="AN33" s="1079"/>
      <c r="AO33" s="1079"/>
      <c r="AP33" s="1079"/>
      <c r="AQ33" s="1079"/>
      <c r="AR33" s="600"/>
      <c r="AS33" s="600"/>
      <c r="AT33" s="600" t="str">
        <f t="shared" si="15"/>
        <v/>
      </c>
      <c r="AU33" s="618">
        <v>28</v>
      </c>
      <c r="AV33" s="1079" t="str">
        <f t="shared" si="6"/>
        <v/>
      </c>
      <c r="AW33" s="1079"/>
      <c r="AX33" s="1079"/>
      <c r="AY33" s="1079"/>
      <c r="AZ33" s="1079"/>
      <c r="BA33" s="600"/>
      <c r="BB33" s="600"/>
      <c r="BC33" s="600" t="str">
        <f t="shared" si="16"/>
        <v/>
      </c>
      <c r="BD33" s="618">
        <v>28</v>
      </c>
      <c r="BE33" s="1079" t="str">
        <f t="shared" si="7"/>
        <v/>
      </c>
      <c r="BF33" s="1079"/>
      <c r="BG33" s="1079"/>
      <c r="BH33" s="1079"/>
      <c r="BI33" s="1079"/>
      <c r="BJ33" s="600"/>
      <c r="BK33" s="600"/>
      <c r="BL33" s="600" t="str">
        <f t="shared" si="17"/>
        <v/>
      </c>
      <c r="BM33" s="618">
        <v>28</v>
      </c>
      <c r="BN33" s="1079" t="str">
        <f t="shared" si="8"/>
        <v/>
      </c>
      <c r="BO33" s="1079"/>
      <c r="BP33" s="1079"/>
      <c r="BQ33" s="1079"/>
      <c r="BR33" s="1079"/>
      <c r="BS33" s="600"/>
      <c r="BT33" s="600"/>
      <c r="BU33" s="600" t="str">
        <f t="shared" si="18"/>
        <v/>
      </c>
      <c r="BV33" s="618">
        <v>28</v>
      </c>
      <c r="BW33" s="1079" t="str">
        <f t="shared" si="9"/>
        <v/>
      </c>
      <c r="BX33" s="1079"/>
      <c r="BY33" s="1079"/>
      <c r="BZ33" s="1079"/>
      <c r="CA33" s="1079"/>
      <c r="CB33" s="600"/>
      <c r="CC33" s="600" t="str">
        <f t="shared" si="19"/>
        <v/>
      </c>
      <c r="CD33" s="600"/>
      <c r="CE33" s="600"/>
      <c r="CF33" s="600"/>
      <c r="CG33" s="600"/>
      <c r="CH33" s="600"/>
      <c r="CI33" s="600">
        <v>28</v>
      </c>
      <c r="CJ33" s="600">
        <f>Character_Creation!Q395</f>
        <v>0</v>
      </c>
      <c r="CK33" s="600" t="str">
        <f>IFERROR(INDEX(T08_Spells!$C$3:$C$1000,MATCH(S01_Bard!$CJ33,T08_Spells!$B$3:$B$1000,0),1),"")</f>
        <v/>
      </c>
      <c r="CL33" s="600">
        <f t="shared" si="20"/>
        <v>0</v>
      </c>
      <c r="CM33" s="600">
        <f>IF(CL33=0,0,1+COUNTIF(CM$6:CM32,"&gt;0"))</f>
        <v>0</v>
      </c>
      <c r="CN33" s="600">
        <f t="shared" si="21"/>
        <v>0</v>
      </c>
      <c r="CO33" s="600">
        <f>IF(CN33=0,0,1+COUNTIF(CO$6:CO32,"&gt;0"))</f>
        <v>0</v>
      </c>
      <c r="CP33" s="600">
        <f t="shared" si="22"/>
        <v>0</v>
      </c>
      <c r="CQ33" s="600">
        <f>IF(CP33=0,0,1+COUNTIF(CQ$6:CQ32,"&gt;0"))</f>
        <v>0</v>
      </c>
      <c r="CR33" s="600">
        <f t="shared" si="23"/>
        <v>0</v>
      </c>
      <c r="CS33" s="600">
        <f>IF(CR33=0,0,1+COUNTIF(CS$6:CS32,"&gt;0"))</f>
        <v>0</v>
      </c>
      <c r="CT33" s="600">
        <f t="shared" si="24"/>
        <v>0</v>
      </c>
      <c r="CU33" s="600">
        <f>IF(CT33=0,0,1+COUNTIF(CU$6:CU32,"&gt;0"))</f>
        <v>0</v>
      </c>
      <c r="CV33" s="600">
        <f t="shared" si="25"/>
        <v>0</v>
      </c>
      <c r="CW33" s="600">
        <f>IF(CV33=0,0,1+COUNTIF(CW$6:CW32,"&gt;0"))</f>
        <v>0</v>
      </c>
      <c r="CX33" s="600">
        <f t="shared" si="26"/>
        <v>0</v>
      </c>
      <c r="CY33" s="600">
        <f>IF(CX33=0,0,1+COUNTIF(CY$6:CY32,"&gt;0"))</f>
        <v>0</v>
      </c>
      <c r="CZ33" s="600">
        <f t="shared" si="27"/>
        <v>0</v>
      </c>
      <c r="DA33" s="600">
        <f>IF(CZ33=0,0,1+COUNTIF(DA$6:DA32,"&gt;0"))</f>
        <v>0</v>
      </c>
      <c r="DB33" s="600">
        <f t="shared" si="28"/>
        <v>0</v>
      </c>
      <c r="DC33" s="600">
        <f>IF(DB33=0,0,1+COUNTIF(DC$6:DC32,"&gt;0"))</f>
        <v>0</v>
      </c>
      <c r="DD33" s="600"/>
      <c r="DE33" s="600"/>
      <c r="DF33" s="600"/>
    </row>
    <row r="34" spans="1:110" x14ac:dyDescent="0.25">
      <c r="A34" s="600"/>
      <c r="B34" s="618">
        <v>29</v>
      </c>
      <c r="C34" s="1079" t="str">
        <f t="shared" si="0"/>
        <v/>
      </c>
      <c r="D34" s="1079"/>
      <c r="E34" s="1079"/>
      <c r="F34" s="1079"/>
      <c r="G34" s="1079"/>
      <c r="H34" s="600"/>
      <c r="I34" s="600"/>
      <c r="J34" s="600" t="str">
        <f t="shared" si="11"/>
        <v/>
      </c>
      <c r="K34" s="618">
        <v>29</v>
      </c>
      <c r="L34" s="1079" t="str">
        <f t="shared" si="1"/>
        <v/>
      </c>
      <c r="M34" s="1079"/>
      <c r="N34" s="1079"/>
      <c r="O34" s="1079"/>
      <c r="P34" s="1079"/>
      <c r="Q34" s="600"/>
      <c r="R34" s="600"/>
      <c r="S34" s="600" t="str">
        <f t="shared" si="12"/>
        <v/>
      </c>
      <c r="T34" s="618">
        <v>29</v>
      </c>
      <c r="U34" s="1079" t="str">
        <f t="shared" si="2"/>
        <v/>
      </c>
      <c r="V34" s="1079"/>
      <c r="W34" s="1079"/>
      <c r="X34" s="1079"/>
      <c r="Y34" s="1079"/>
      <c r="Z34" s="600" t="str">
        <f t="shared" si="3"/>
        <v/>
      </c>
      <c r="AA34" s="600"/>
      <c r="AB34" s="600" t="str">
        <f t="shared" si="13"/>
        <v/>
      </c>
      <c r="AC34" s="618">
        <v>29</v>
      </c>
      <c r="AD34" s="1079" t="str">
        <f t="shared" si="4"/>
        <v/>
      </c>
      <c r="AE34" s="1079"/>
      <c r="AF34" s="1079"/>
      <c r="AG34" s="1079"/>
      <c r="AH34" s="1079"/>
      <c r="AI34" s="600" t="s">
        <v>3034</v>
      </c>
      <c r="AJ34" s="600"/>
      <c r="AK34" s="600" t="str">
        <f t="shared" si="14"/>
        <v/>
      </c>
      <c r="AL34" s="618">
        <v>29</v>
      </c>
      <c r="AM34" s="1079" t="str">
        <f t="shared" si="5"/>
        <v/>
      </c>
      <c r="AN34" s="1079"/>
      <c r="AO34" s="1079"/>
      <c r="AP34" s="1079"/>
      <c r="AQ34" s="1079"/>
      <c r="AR34" s="600"/>
      <c r="AS34" s="600"/>
      <c r="AT34" s="600" t="str">
        <f t="shared" si="15"/>
        <v/>
      </c>
      <c r="AU34" s="618">
        <v>29</v>
      </c>
      <c r="AV34" s="1079" t="str">
        <f t="shared" si="6"/>
        <v/>
      </c>
      <c r="AW34" s="1079"/>
      <c r="AX34" s="1079"/>
      <c r="AY34" s="1079"/>
      <c r="AZ34" s="1079"/>
      <c r="BA34" s="600"/>
      <c r="BB34" s="600"/>
      <c r="BC34" s="600" t="str">
        <f t="shared" si="16"/>
        <v/>
      </c>
      <c r="BD34" s="618">
        <v>29</v>
      </c>
      <c r="BE34" s="1079" t="str">
        <f t="shared" si="7"/>
        <v/>
      </c>
      <c r="BF34" s="1079"/>
      <c r="BG34" s="1079"/>
      <c r="BH34" s="1079"/>
      <c r="BI34" s="1079"/>
      <c r="BJ34" s="600"/>
      <c r="BK34" s="600"/>
      <c r="BL34" s="600" t="str">
        <f t="shared" si="17"/>
        <v/>
      </c>
      <c r="BM34" s="618">
        <v>29</v>
      </c>
      <c r="BN34" s="1079" t="str">
        <f t="shared" si="8"/>
        <v/>
      </c>
      <c r="BO34" s="1079"/>
      <c r="BP34" s="1079"/>
      <c r="BQ34" s="1079"/>
      <c r="BR34" s="1079"/>
      <c r="BS34" s="600"/>
      <c r="BT34" s="600"/>
      <c r="BU34" s="600" t="str">
        <f t="shared" si="18"/>
        <v/>
      </c>
      <c r="BV34" s="618">
        <v>29</v>
      </c>
      <c r="BW34" s="1079" t="str">
        <f t="shared" si="9"/>
        <v/>
      </c>
      <c r="BX34" s="1079"/>
      <c r="BY34" s="1079"/>
      <c r="BZ34" s="1079"/>
      <c r="CA34" s="1079"/>
      <c r="CB34" s="600"/>
      <c r="CC34" s="600" t="str">
        <f t="shared" si="19"/>
        <v/>
      </c>
      <c r="CD34" s="600"/>
      <c r="CE34" s="600"/>
      <c r="CF34" s="600"/>
      <c r="CG34" s="600"/>
      <c r="CH34" s="600"/>
      <c r="CI34" s="600">
        <v>29</v>
      </c>
      <c r="CJ34" s="600">
        <f>Character_Creation!Q396</f>
        <v>0</v>
      </c>
      <c r="CK34" s="600" t="str">
        <f>IFERROR(INDEX(T08_Spells!$C$3:$C$1000,MATCH(S01_Bard!$CJ34,T08_Spells!$B$3:$B$1000,0),1),"")</f>
        <v/>
      </c>
      <c r="CL34" s="600">
        <f t="shared" si="20"/>
        <v>0</v>
      </c>
      <c r="CM34" s="600">
        <f>IF(CL34=0,0,1+COUNTIF(CM$6:CM33,"&gt;0"))</f>
        <v>0</v>
      </c>
      <c r="CN34" s="600">
        <f t="shared" si="21"/>
        <v>0</v>
      </c>
      <c r="CO34" s="600">
        <f>IF(CN34=0,0,1+COUNTIF(CO$6:CO33,"&gt;0"))</f>
        <v>0</v>
      </c>
      <c r="CP34" s="600">
        <f t="shared" si="22"/>
        <v>0</v>
      </c>
      <c r="CQ34" s="600">
        <f>IF(CP34=0,0,1+COUNTIF(CQ$6:CQ33,"&gt;0"))</f>
        <v>0</v>
      </c>
      <c r="CR34" s="600">
        <f t="shared" si="23"/>
        <v>0</v>
      </c>
      <c r="CS34" s="600">
        <f>IF(CR34=0,0,1+COUNTIF(CS$6:CS33,"&gt;0"))</f>
        <v>0</v>
      </c>
      <c r="CT34" s="600">
        <f t="shared" si="24"/>
        <v>0</v>
      </c>
      <c r="CU34" s="600">
        <f>IF(CT34=0,0,1+COUNTIF(CU$6:CU33,"&gt;0"))</f>
        <v>0</v>
      </c>
      <c r="CV34" s="600">
        <f t="shared" si="25"/>
        <v>0</v>
      </c>
      <c r="CW34" s="600">
        <f>IF(CV34=0,0,1+COUNTIF(CW$6:CW33,"&gt;0"))</f>
        <v>0</v>
      </c>
      <c r="CX34" s="600">
        <f t="shared" si="26"/>
        <v>0</v>
      </c>
      <c r="CY34" s="600">
        <f>IF(CX34=0,0,1+COUNTIF(CY$6:CY33,"&gt;0"))</f>
        <v>0</v>
      </c>
      <c r="CZ34" s="600">
        <f t="shared" si="27"/>
        <v>0</v>
      </c>
      <c r="DA34" s="600">
        <f>IF(CZ34=0,0,1+COUNTIF(DA$6:DA33,"&gt;0"))</f>
        <v>0</v>
      </c>
      <c r="DB34" s="600">
        <f t="shared" si="28"/>
        <v>0</v>
      </c>
      <c r="DC34" s="600">
        <f>IF(DB34=0,0,1+COUNTIF(DC$6:DC33,"&gt;0"))</f>
        <v>0</v>
      </c>
      <c r="DD34" s="600"/>
      <c r="DE34" s="600"/>
      <c r="DF34" s="600"/>
    </row>
    <row r="35" spans="1:110" x14ac:dyDescent="0.25">
      <c r="A35" s="600"/>
      <c r="B35" s="618">
        <v>30</v>
      </c>
      <c r="C35" s="1079" t="str">
        <f t="shared" si="0"/>
        <v/>
      </c>
      <c r="D35" s="1079"/>
      <c r="E35" s="1079"/>
      <c r="F35" s="1079"/>
      <c r="G35" s="1079"/>
      <c r="H35" s="600"/>
      <c r="I35" s="600"/>
      <c r="J35" s="600" t="str">
        <f t="shared" si="11"/>
        <v/>
      </c>
      <c r="K35" s="618">
        <v>30</v>
      </c>
      <c r="L35" s="1079" t="str">
        <f t="shared" si="1"/>
        <v/>
      </c>
      <c r="M35" s="1079"/>
      <c r="N35" s="1079"/>
      <c r="O35" s="1079"/>
      <c r="P35" s="1079"/>
      <c r="Q35" s="600"/>
      <c r="R35" s="600"/>
      <c r="S35" s="600" t="str">
        <f t="shared" si="12"/>
        <v/>
      </c>
      <c r="T35" s="618">
        <v>30</v>
      </c>
      <c r="U35" s="1079" t="str">
        <f t="shared" si="2"/>
        <v/>
      </c>
      <c r="V35" s="1079"/>
      <c r="W35" s="1079"/>
      <c r="X35" s="1079"/>
      <c r="Y35" s="1079"/>
      <c r="Z35" s="600" t="str">
        <f t="shared" si="3"/>
        <v/>
      </c>
      <c r="AA35" s="600"/>
      <c r="AB35" s="600" t="str">
        <f t="shared" si="13"/>
        <v/>
      </c>
      <c r="AC35" s="618">
        <v>30</v>
      </c>
      <c r="AD35" s="1079" t="str">
        <f t="shared" si="4"/>
        <v/>
      </c>
      <c r="AE35" s="1079"/>
      <c r="AF35" s="1079"/>
      <c r="AG35" s="1079"/>
      <c r="AH35" s="1079"/>
      <c r="AI35" s="600" t="s">
        <v>3034</v>
      </c>
      <c r="AJ35" s="600"/>
      <c r="AK35" s="600" t="str">
        <f t="shared" si="14"/>
        <v/>
      </c>
      <c r="AL35" s="618">
        <v>30</v>
      </c>
      <c r="AM35" s="1079" t="str">
        <f t="shared" si="5"/>
        <v/>
      </c>
      <c r="AN35" s="1079"/>
      <c r="AO35" s="1079"/>
      <c r="AP35" s="1079"/>
      <c r="AQ35" s="1079"/>
      <c r="AR35" s="600"/>
      <c r="AS35" s="600"/>
      <c r="AT35" s="600" t="str">
        <f t="shared" si="15"/>
        <v/>
      </c>
      <c r="AU35" s="618">
        <v>30</v>
      </c>
      <c r="AV35" s="1079" t="str">
        <f t="shared" si="6"/>
        <v/>
      </c>
      <c r="AW35" s="1079"/>
      <c r="AX35" s="1079"/>
      <c r="AY35" s="1079"/>
      <c r="AZ35" s="1079"/>
      <c r="BA35" s="600"/>
      <c r="BB35" s="600"/>
      <c r="BC35" s="600" t="str">
        <f t="shared" si="16"/>
        <v/>
      </c>
      <c r="BD35" s="618">
        <v>30</v>
      </c>
      <c r="BE35" s="1079" t="str">
        <f t="shared" si="7"/>
        <v/>
      </c>
      <c r="BF35" s="1079"/>
      <c r="BG35" s="1079"/>
      <c r="BH35" s="1079"/>
      <c r="BI35" s="1079"/>
      <c r="BJ35" s="600"/>
      <c r="BK35" s="600"/>
      <c r="BL35" s="600" t="str">
        <f t="shared" si="17"/>
        <v/>
      </c>
      <c r="BM35" s="618">
        <v>30</v>
      </c>
      <c r="BN35" s="1079" t="str">
        <f t="shared" si="8"/>
        <v/>
      </c>
      <c r="BO35" s="1079"/>
      <c r="BP35" s="1079"/>
      <c r="BQ35" s="1079"/>
      <c r="BR35" s="1079"/>
      <c r="BS35" s="600"/>
      <c r="BT35" s="600"/>
      <c r="BU35" s="600" t="str">
        <f t="shared" si="18"/>
        <v/>
      </c>
      <c r="BV35" s="618">
        <v>30</v>
      </c>
      <c r="BW35" s="1079" t="str">
        <f t="shared" si="9"/>
        <v/>
      </c>
      <c r="BX35" s="1079"/>
      <c r="BY35" s="1079"/>
      <c r="BZ35" s="1079"/>
      <c r="CA35" s="1079"/>
      <c r="CB35" s="600"/>
      <c r="CC35" s="600" t="str">
        <f t="shared" si="19"/>
        <v/>
      </c>
      <c r="CD35" s="600"/>
      <c r="CE35" s="600"/>
      <c r="CF35" s="600"/>
      <c r="CG35" s="600"/>
      <c r="CH35" s="600"/>
      <c r="CI35" s="600">
        <v>30</v>
      </c>
      <c r="CJ35" s="600">
        <f>Character_Creation!Q397</f>
        <v>0</v>
      </c>
      <c r="CK35" s="600" t="str">
        <f>IFERROR(INDEX(T08_Spells!$C$3:$C$1000,MATCH(S01_Bard!$CJ35,T08_Spells!$B$3:$B$1000,0),1),"")</f>
        <v/>
      </c>
      <c r="CL35" s="600">
        <f t="shared" si="20"/>
        <v>0</v>
      </c>
      <c r="CM35" s="600">
        <f>IF(CL35=0,0,1+COUNTIF(CM$6:CM34,"&gt;0"))</f>
        <v>0</v>
      </c>
      <c r="CN35" s="600">
        <f t="shared" si="21"/>
        <v>0</v>
      </c>
      <c r="CO35" s="600">
        <f>IF(CN35=0,0,1+COUNTIF(CO$6:CO34,"&gt;0"))</f>
        <v>0</v>
      </c>
      <c r="CP35" s="600">
        <f t="shared" si="22"/>
        <v>0</v>
      </c>
      <c r="CQ35" s="600">
        <f>IF(CP35=0,0,1+COUNTIF(CQ$6:CQ34,"&gt;0"))</f>
        <v>0</v>
      </c>
      <c r="CR35" s="600">
        <f t="shared" si="23"/>
        <v>0</v>
      </c>
      <c r="CS35" s="600">
        <f>IF(CR35=0,0,1+COUNTIF(CS$6:CS34,"&gt;0"))</f>
        <v>0</v>
      </c>
      <c r="CT35" s="600">
        <f t="shared" si="24"/>
        <v>0</v>
      </c>
      <c r="CU35" s="600">
        <f>IF(CT35=0,0,1+COUNTIF(CU$6:CU34,"&gt;0"))</f>
        <v>0</v>
      </c>
      <c r="CV35" s="600">
        <f t="shared" si="25"/>
        <v>0</v>
      </c>
      <c r="CW35" s="600">
        <f>IF(CV35=0,0,1+COUNTIF(CW$6:CW34,"&gt;0"))</f>
        <v>0</v>
      </c>
      <c r="CX35" s="600">
        <f t="shared" si="26"/>
        <v>0</v>
      </c>
      <c r="CY35" s="600">
        <f>IF(CX35=0,0,1+COUNTIF(CY$6:CY34,"&gt;0"))</f>
        <v>0</v>
      </c>
      <c r="CZ35" s="600">
        <f t="shared" si="27"/>
        <v>0</v>
      </c>
      <c r="DA35" s="600">
        <f>IF(CZ35=0,0,1+COUNTIF(DA$6:DA34,"&gt;0"))</f>
        <v>0</v>
      </c>
      <c r="DB35" s="600">
        <f t="shared" si="28"/>
        <v>0</v>
      </c>
      <c r="DC35" s="600">
        <f>IF(DB35=0,0,1+COUNTIF(DC$6:DC34,"&gt;0"))</f>
        <v>0</v>
      </c>
      <c r="DD35" s="600"/>
      <c r="DE35" s="600"/>
      <c r="DF35" s="600"/>
    </row>
    <row r="36" spans="1:110" x14ac:dyDescent="0.25">
      <c r="A36" s="600"/>
      <c r="B36" s="600"/>
      <c r="C36" s="600"/>
      <c r="D36" s="600"/>
      <c r="E36" s="600"/>
      <c r="F36" s="600"/>
      <c r="G36" s="600"/>
      <c r="H36" s="600"/>
      <c r="I36" s="600"/>
      <c r="J36" s="600"/>
      <c r="K36" s="600"/>
      <c r="L36" s="600"/>
      <c r="M36" s="600"/>
      <c r="N36" s="600"/>
      <c r="O36" s="600"/>
      <c r="P36" s="600"/>
      <c r="Q36" s="600"/>
      <c r="R36" s="600"/>
      <c r="S36" s="600" t="str">
        <f>IF(L36="","",IF(Q36="",L36&amp;", ",L36&amp;" - prep"&amp;", "))</f>
        <v/>
      </c>
      <c r="T36" s="600"/>
      <c r="U36" s="600"/>
      <c r="V36" s="600"/>
      <c r="W36" s="600"/>
      <c r="X36" s="600"/>
      <c r="Y36" s="600"/>
      <c r="Z36" s="600"/>
      <c r="AA36" s="600"/>
      <c r="AB36" s="600" t="str">
        <f>IF(U36="","",IF(Z36="",U36&amp;", ",U36&amp;" - prep"&amp;", "))</f>
        <v/>
      </c>
      <c r="AC36" s="600"/>
      <c r="AD36" s="600"/>
      <c r="AE36" s="600"/>
      <c r="AF36" s="600"/>
      <c r="AG36" s="600"/>
      <c r="AH36" s="600"/>
      <c r="AI36" s="600"/>
      <c r="AJ36" s="600"/>
      <c r="AK36" s="600" t="str">
        <f>IF(AD36="","",IF(AI36="",AD36&amp;", ",AD36&amp;" - prep"&amp;", "))</f>
        <v/>
      </c>
      <c r="AL36" s="600"/>
      <c r="AM36" s="600"/>
      <c r="AN36" s="600"/>
      <c r="AO36" s="600"/>
      <c r="AP36" s="600"/>
      <c r="AQ36" s="600"/>
      <c r="AR36" s="600"/>
      <c r="AS36" s="600"/>
      <c r="AT36" s="600" t="str">
        <f>IF(AM36="","",IF(AR36="",AM36&amp;", ",AM36&amp;" - prep"&amp;", "))</f>
        <v/>
      </c>
      <c r="AU36" s="600"/>
      <c r="AV36" s="600"/>
      <c r="AW36" s="600"/>
      <c r="AX36" s="600"/>
      <c r="AY36" s="600"/>
      <c r="AZ36" s="600"/>
      <c r="BA36" s="600"/>
      <c r="BB36" s="600"/>
      <c r="BC36" s="600" t="str">
        <f>IF(AV36="","",IF(BA36="",AV36&amp;", ",AV36&amp;" - prep"&amp;", "))</f>
        <v/>
      </c>
      <c r="BD36" s="600"/>
      <c r="BE36" s="600"/>
      <c r="BF36" s="600"/>
      <c r="BG36" s="600"/>
      <c r="BH36" s="600"/>
      <c r="BI36" s="600"/>
      <c r="BJ36" s="600"/>
      <c r="BK36" s="600"/>
      <c r="BL36" s="600" t="str">
        <f>IF(BE36="","",IF(BJ36="",BE36&amp;", ",BE36&amp;" - prep"&amp;", "))</f>
        <v/>
      </c>
      <c r="BM36" s="600"/>
      <c r="BN36" s="600"/>
      <c r="BO36" s="600"/>
      <c r="BP36" s="600"/>
      <c r="BQ36" s="600"/>
      <c r="BR36" s="600"/>
      <c r="BS36" s="600"/>
      <c r="BT36" s="600"/>
      <c r="BU36" s="600" t="str">
        <f>IF(BN36="","",IF(BS36="",BN36&amp;", ",BN36&amp;" - prep"&amp;", "))</f>
        <v/>
      </c>
      <c r="BV36" s="600"/>
      <c r="BW36" s="600"/>
      <c r="BX36" s="600"/>
      <c r="BY36" s="600"/>
      <c r="BZ36" s="600"/>
      <c r="CA36" s="600"/>
      <c r="CB36" s="600"/>
      <c r="CC36" s="600" t="str">
        <f>IF(BW36="","",IF(CB36="",BW36&amp;", ",BW36&amp;" - prep"&amp;", "))</f>
        <v/>
      </c>
      <c r="CD36" s="600"/>
      <c r="CE36" s="600"/>
      <c r="CF36" s="600"/>
      <c r="CG36" s="600"/>
      <c r="CH36" s="600"/>
      <c r="CI36" s="600"/>
      <c r="CJ36" s="600"/>
      <c r="CK36" s="600"/>
      <c r="CL36" s="600"/>
      <c r="CM36" s="600"/>
      <c r="CN36" s="600"/>
      <c r="CO36" s="600"/>
      <c r="CP36" s="600"/>
      <c r="CQ36" s="600"/>
      <c r="CR36" s="600"/>
      <c r="CS36" s="600"/>
      <c r="CT36" s="600"/>
      <c r="CU36" s="600"/>
      <c r="CV36" s="600"/>
      <c r="CW36" s="600"/>
      <c r="CX36" s="600"/>
      <c r="CY36" s="600"/>
      <c r="CZ36" s="600"/>
      <c r="DA36" s="600"/>
      <c r="DB36" s="600"/>
      <c r="DC36" s="600"/>
      <c r="DD36" s="600"/>
      <c r="DE36" s="600"/>
      <c r="DF36" s="600"/>
    </row>
    <row r="37" spans="1:110" x14ac:dyDescent="0.25">
      <c r="A37" s="600"/>
      <c r="B37" s="1080" t="str">
        <f>"Sorcerer Spells known"&amp;CHAR(10)&amp;M37&amp;V37&amp;AE37&amp;AN37&amp;AW37&amp;BF37&amp;BO37&amp;BX37&amp;CF37</f>
        <v xml:space="preserve">Sorcerer Spells known
</v>
      </c>
      <c r="C37" s="1080"/>
      <c r="D37" s="1080"/>
      <c r="E37" s="1080"/>
      <c r="F37" s="1080"/>
      <c r="G37" s="1080"/>
      <c r="H37" s="1080"/>
      <c r="I37" s="620"/>
      <c r="J37" s="619">
        <v>1</v>
      </c>
      <c r="K37" s="600" t="str">
        <f>J6</f>
        <v/>
      </c>
      <c r="L37" s="600" t="str">
        <f>K37</f>
        <v/>
      </c>
      <c r="M37" s="600" t="str">
        <f>IF(M38="","","1st level: "&amp;M38&amp;CHAR(10))</f>
        <v/>
      </c>
      <c r="N37" s="600"/>
      <c r="O37" s="600"/>
      <c r="P37" s="600"/>
      <c r="Q37" s="600"/>
      <c r="R37" s="600"/>
      <c r="S37" s="619">
        <v>1</v>
      </c>
      <c r="T37" s="600" t="str">
        <f>S6</f>
        <v/>
      </c>
      <c r="U37" s="600" t="str">
        <f>T37</f>
        <v/>
      </c>
      <c r="V37" s="600" t="str">
        <f>IF(V38="","","2nd level: "&amp;V38&amp;CHAR(10))</f>
        <v/>
      </c>
      <c r="W37" s="600"/>
      <c r="X37" s="600"/>
      <c r="Y37" s="600"/>
      <c r="Z37" s="600"/>
      <c r="AA37" s="600"/>
      <c r="AB37" s="619">
        <v>1</v>
      </c>
      <c r="AC37" s="600" t="str">
        <f>AB6</f>
        <v/>
      </c>
      <c r="AD37" s="600" t="str">
        <f>AC37</f>
        <v/>
      </c>
      <c r="AE37" s="600" t="str">
        <f>IF(AE38="","","3rd level: "&amp;AE38&amp;CHAR(10))</f>
        <v/>
      </c>
      <c r="AF37" s="600"/>
      <c r="AG37" s="600"/>
      <c r="AH37" s="600"/>
      <c r="AI37" s="600"/>
      <c r="AJ37" s="600"/>
      <c r="AK37" s="600">
        <v>1</v>
      </c>
      <c r="AL37" s="600" t="str">
        <f>AK6</f>
        <v/>
      </c>
      <c r="AM37" s="600" t="str">
        <f>AL37</f>
        <v/>
      </c>
      <c r="AN37" s="600" t="str">
        <f>IF(AN38="","","4th level: "&amp;AN38&amp;CHAR(10))</f>
        <v/>
      </c>
      <c r="AO37" s="600"/>
      <c r="AP37" s="600"/>
      <c r="AQ37" s="600"/>
      <c r="AR37" s="600"/>
      <c r="AS37" s="600"/>
      <c r="AT37" s="600">
        <v>1</v>
      </c>
      <c r="AU37" s="600" t="str">
        <f>AT6</f>
        <v/>
      </c>
      <c r="AV37" s="600" t="str">
        <f>AU37</f>
        <v/>
      </c>
      <c r="AW37" s="600" t="str">
        <f>IF(AW38="","","5th level: "&amp;AW38&amp;CHAR(10))</f>
        <v/>
      </c>
      <c r="AX37" s="619"/>
      <c r="AY37" s="600"/>
      <c r="AZ37" s="600"/>
      <c r="BA37" s="600"/>
      <c r="BB37" s="600"/>
      <c r="BC37" s="600">
        <v>1</v>
      </c>
      <c r="BD37" s="600" t="str">
        <f>BC6</f>
        <v/>
      </c>
      <c r="BE37" s="600" t="str">
        <f>BD37</f>
        <v/>
      </c>
      <c r="BF37" s="600" t="str">
        <f>IF(BF38="","","6th level: "&amp;BF38&amp;CHAR(10))</f>
        <v/>
      </c>
      <c r="BG37" s="600"/>
      <c r="BH37" s="600"/>
      <c r="BI37" s="600"/>
      <c r="BJ37" s="600"/>
      <c r="BK37" s="600"/>
      <c r="BL37" s="600">
        <v>1</v>
      </c>
      <c r="BM37" s="600" t="str">
        <f>BL6</f>
        <v/>
      </c>
      <c r="BN37" s="600" t="str">
        <f>BM37</f>
        <v/>
      </c>
      <c r="BO37" s="600" t="str">
        <f>IF(BO38="","","7th level: "&amp;BO38&amp;CHAR(10))</f>
        <v/>
      </c>
      <c r="BP37" s="600"/>
      <c r="BQ37" s="600"/>
      <c r="BR37" s="600"/>
      <c r="BS37" s="600"/>
      <c r="BT37" s="600"/>
      <c r="BU37" s="600">
        <v>1</v>
      </c>
      <c r="BV37" s="600" t="str">
        <f>BU6</f>
        <v/>
      </c>
      <c r="BW37" s="600" t="str">
        <f>BV37</f>
        <v/>
      </c>
      <c r="BX37" s="600" t="str">
        <f>IF(BX38="","","8th level: "&amp;BX38&amp;CHAR(10))</f>
        <v/>
      </c>
      <c r="BY37" s="600"/>
      <c r="BZ37" s="600"/>
      <c r="CA37" s="600"/>
      <c r="CB37" s="600"/>
      <c r="CC37" s="600">
        <v>1</v>
      </c>
      <c r="CD37" s="600" t="str">
        <f>CC6</f>
        <v/>
      </c>
      <c r="CE37" s="600" t="str">
        <f>CD37</f>
        <v/>
      </c>
      <c r="CF37" s="600" t="str">
        <f>IF(CF38="","","9th level: "&amp;CF38&amp;CHAR(10))</f>
        <v/>
      </c>
      <c r="CG37" s="600"/>
      <c r="CH37" s="600"/>
      <c r="CI37" s="600"/>
      <c r="CJ37" s="600"/>
      <c r="CK37" s="600"/>
      <c r="CL37" s="600"/>
      <c r="CM37" s="600"/>
      <c r="CN37" s="600"/>
      <c r="CO37" s="600"/>
      <c r="CP37" s="600"/>
      <c r="CQ37" s="600"/>
      <c r="CR37" s="600"/>
      <c r="CS37" s="600"/>
      <c r="CT37" s="600"/>
      <c r="CU37" s="600"/>
      <c r="CV37" s="600"/>
      <c r="CW37" s="600"/>
      <c r="CX37" s="600"/>
      <c r="CY37" s="600"/>
      <c r="CZ37" s="600"/>
      <c r="DA37" s="600"/>
      <c r="DB37" s="600"/>
      <c r="DC37" s="600"/>
      <c r="DD37" s="600"/>
      <c r="DE37" s="600"/>
      <c r="DF37" s="600"/>
    </row>
    <row r="38" spans="1:110" x14ac:dyDescent="0.25">
      <c r="A38" s="600"/>
      <c r="B38" s="1080"/>
      <c r="C38" s="1080"/>
      <c r="D38" s="1080"/>
      <c r="E38" s="1080"/>
      <c r="F38" s="1080"/>
      <c r="G38" s="1080"/>
      <c r="H38" s="1080"/>
      <c r="I38" s="620"/>
      <c r="J38" s="619">
        <v>2</v>
      </c>
      <c r="K38" s="600" t="str">
        <f t="shared" ref="K38:K66" si="29">J7</f>
        <v/>
      </c>
      <c r="L38" s="600" t="str">
        <f t="shared" ref="L38:L66" si="30">K38</f>
        <v/>
      </c>
      <c r="M38" s="600" t="str">
        <f>L37&amp;L38&amp;L39&amp;L40&amp;L41&amp;L42&amp;L43&amp;L44&amp;L45&amp;L46&amp;L48&amp;L47&amp;L49&amp;L50&amp;L51&amp;L52&amp;L54&amp;L55&amp;L53&amp;L56&amp;L57&amp;L58&amp;L59&amp;L60&amp;L61&amp;L62&amp;L63&amp;L64&amp;L65&amp;L66</f>
        <v/>
      </c>
      <c r="N38" s="600"/>
      <c r="O38" s="600"/>
      <c r="P38" s="600"/>
      <c r="Q38" s="600"/>
      <c r="R38" s="600"/>
      <c r="S38" s="619">
        <v>2</v>
      </c>
      <c r="T38" s="600" t="str">
        <f t="shared" ref="T38:T66" si="31">S7</f>
        <v/>
      </c>
      <c r="U38" s="600" t="str">
        <f t="shared" ref="U38:U66" si="32">T38</f>
        <v/>
      </c>
      <c r="V38" s="600" t="str">
        <f>U37&amp;U38&amp;U39&amp;U40&amp;U41&amp;U42&amp;U43&amp;U44&amp;U45&amp;U46&amp;U48&amp;U47&amp;U49&amp;U50&amp;U51&amp;U52&amp;U54&amp;U55&amp;U53&amp;U56&amp;U57&amp;U58&amp;U59&amp;U60&amp;U61&amp;U62&amp;U63&amp;U64&amp;U65&amp;U66</f>
        <v/>
      </c>
      <c r="W38" s="600"/>
      <c r="X38" s="600"/>
      <c r="Y38" s="600"/>
      <c r="Z38" s="600"/>
      <c r="AA38" s="600"/>
      <c r="AB38" s="619">
        <v>2</v>
      </c>
      <c r="AC38" s="600" t="str">
        <f t="shared" ref="AC38:AC66" si="33">AB7</f>
        <v/>
      </c>
      <c r="AD38" s="600" t="str">
        <f t="shared" ref="AD38:AD66" si="34">AC38</f>
        <v/>
      </c>
      <c r="AE38" s="600" t="str">
        <f>AD37&amp;AD38&amp;AD39&amp;AD40&amp;AD41&amp;AD42&amp;AD43&amp;AD44&amp;AD45&amp;AD46&amp;AD48&amp;AD47&amp;AD49&amp;AD50&amp;AD51&amp;AD52&amp;AD54&amp;AD55&amp;AD53&amp;AD56&amp;AD57&amp;AD58&amp;AD59&amp;AD60&amp;AD61&amp;AD62&amp;AD63&amp;AD64&amp;AD65&amp;AD66</f>
        <v/>
      </c>
      <c r="AF38" s="600"/>
      <c r="AG38" s="600"/>
      <c r="AH38" s="600"/>
      <c r="AI38" s="600"/>
      <c r="AJ38" s="600"/>
      <c r="AK38" s="619">
        <v>2</v>
      </c>
      <c r="AL38" s="600" t="str">
        <f t="shared" ref="AL38:AL66" si="35">AK7</f>
        <v/>
      </c>
      <c r="AM38" s="600" t="str">
        <f t="shared" ref="AM38:AM66" si="36">AL38</f>
        <v/>
      </c>
      <c r="AN38" s="600" t="str">
        <f>AM37&amp;AM38&amp;AM39&amp;AM40&amp;AM41&amp;AM42&amp;AM43&amp;AM44&amp;AM45&amp;AM46&amp;AM48&amp;AM47&amp;AM49&amp;AM50&amp;AM51&amp;AM52&amp;AM54&amp;AM55&amp;AM53&amp;AM56&amp;AM57&amp;AM58&amp;AM59&amp;AM60&amp;AM61&amp;AM62&amp;AM63&amp;AM64&amp;AM65&amp;AM66</f>
        <v/>
      </c>
      <c r="AO38" s="600"/>
      <c r="AP38" s="600"/>
      <c r="AQ38" s="600"/>
      <c r="AR38" s="600"/>
      <c r="AS38" s="600"/>
      <c r="AT38" s="619">
        <v>2</v>
      </c>
      <c r="AU38" s="600" t="str">
        <f t="shared" ref="AU38:AU66" si="37">AT7</f>
        <v/>
      </c>
      <c r="AV38" s="600" t="str">
        <f t="shared" ref="AV38:AV66" si="38">AU38</f>
        <v/>
      </c>
      <c r="AW38" s="600" t="str">
        <f>AV37&amp;AV38&amp;AV39&amp;AV40&amp;AV41&amp;AV42&amp;AV43&amp;AV44&amp;AV45&amp;AV46&amp;AV48&amp;AV47&amp;AV49&amp;AV50&amp;AV51&amp;AV52&amp;AV54&amp;AV55&amp;AV53&amp;AV56&amp;AV57&amp;AV58&amp;AV59&amp;AV60&amp;AV61&amp;AV62&amp;AV63&amp;AV64&amp;AV65&amp;AV66</f>
        <v/>
      </c>
      <c r="AX38" s="619"/>
      <c r="AY38" s="600"/>
      <c r="AZ38" s="600"/>
      <c r="BA38" s="600"/>
      <c r="BB38" s="600"/>
      <c r="BC38" s="619">
        <v>2</v>
      </c>
      <c r="BD38" s="600" t="str">
        <f t="shared" ref="BD38:BD66" si="39">BC7</f>
        <v/>
      </c>
      <c r="BE38" s="600" t="str">
        <f t="shared" ref="BE38:BE66" si="40">BD38</f>
        <v/>
      </c>
      <c r="BF38" s="600" t="str">
        <f>BE37&amp;BE38&amp;BE39&amp;BE40&amp;BE41&amp;BE42&amp;BE43&amp;BE44&amp;BE45&amp;BE46&amp;BE48&amp;BE47&amp;BE49&amp;BE50&amp;BE51&amp;BE52&amp;BE54&amp;BE55&amp;BE53&amp;BE56&amp;BE57&amp;BE58&amp;BE59&amp;BE60&amp;BE61&amp;BE62&amp;BE63&amp;BE64&amp;BE65&amp;BE66</f>
        <v/>
      </c>
      <c r="BG38" s="600"/>
      <c r="BH38" s="600"/>
      <c r="BI38" s="600"/>
      <c r="BJ38" s="600"/>
      <c r="BK38" s="600"/>
      <c r="BL38" s="619">
        <v>2</v>
      </c>
      <c r="BM38" s="600" t="str">
        <f t="shared" ref="BM38:BM66" si="41">BL7</f>
        <v/>
      </c>
      <c r="BN38" s="600" t="str">
        <f t="shared" ref="BN38:BN66" si="42">BM38</f>
        <v/>
      </c>
      <c r="BO38" s="600" t="str">
        <f>BN37&amp;BN38&amp;BN39&amp;BN40&amp;BN41&amp;BN42&amp;BN43&amp;BN44&amp;BN45&amp;BN46&amp;BN48&amp;BN47&amp;BN49&amp;BN50&amp;BN51&amp;BN52&amp;BN54&amp;BN55&amp;BN53&amp;BN56&amp;BN57&amp;BN58&amp;BN59&amp;BN60&amp;BN61&amp;BN62&amp;BN63&amp;BN64&amp;BN65&amp;BN66</f>
        <v/>
      </c>
      <c r="BP38" s="600"/>
      <c r="BQ38" s="600"/>
      <c r="BR38" s="600"/>
      <c r="BS38" s="600"/>
      <c r="BT38" s="600"/>
      <c r="BU38" s="619">
        <v>2</v>
      </c>
      <c r="BV38" s="600" t="str">
        <f t="shared" ref="BV38:BV66" si="43">BU7</f>
        <v/>
      </c>
      <c r="BW38" s="600" t="str">
        <f t="shared" ref="BW38:BW66" si="44">BV38</f>
        <v/>
      </c>
      <c r="BX38" s="600" t="str">
        <f>BW37&amp;BW38&amp;BW39&amp;BW40&amp;BW41&amp;BW42&amp;BW43&amp;BW44&amp;BW45&amp;BW46&amp;BW48&amp;BW47&amp;BW49&amp;BW50&amp;BW51&amp;BW52&amp;BW54&amp;BW55&amp;BW53&amp;BW56&amp;BW57&amp;BW58&amp;BW59&amp;BW60&amp;BW61&amp;BW62&amp;BW63&amp;BW64&amp;BW65&amp;BW66</f>
        <v/>
      </c>
      <c r="BY38" s="600"/>
      <c r="BZ38" s="600"/>
      <c r="CA38" s="600"/>
      <c r="CB38" s="600"/>
      <c r="CC38" s="619">
        <v>2</v>
      </c>
      <c r="CD38" s="600" t="str">
        <f t="shared" ref="CD38:CD66" si="45">CC7</f>
        <v/>
      </c>
      <c r="CE38" s="600" t="str">
        <f t="shared" ref="CE38:CE66" si="46">CD38</f>
        <v/>
      </c>
      <c r="CF38" s="600" t="str">
        <f>CE37&amp;CE38&amp;CE39&amp;CE40&amp;CE41&amp;CE42&amp;CE43&amp;CE44&amp;CE45&amp;CE46&amp;CE48&amp;CE47&amp;CE49&amp;CE50&amp;CE51&amp;CE52&amp;CE54&amp;CE55&amp;CE53&amp;CE56&amp;CE57&amp;CE58&amp;CE59&amp;CE60&amp;CE61&amp;CE62&amp;CE63&amp;CE64&amp;CE65&amp;CE66</f>
        <v/>
      </c>
      <c r="CG38" s="600"/>
      <c r="CH38" s="600"/>
      <c r="CI38" s="600"/>
      <c r="CJ38" s="600"/>
      <c r="CK38" s="600"/>
      <c r="CL38" s="600"/>
      <c r="CM38" s="600"/>
      <c r="CN38" s="600"/>
      <c r="CO38" s="600"/>
      <c r="CP38" s="600"/>
      <c r="CQ38" s="600"/>
      <c r="CR38" s="600"/>
      <c r="CS38" s="600"/>
      <c r="CT38" s="600"/>
      <c r="CU38" s="600"/>
      <c r="CV38" s="600"/>
      <c r="CW38" s="600"/>
      <c r="CX38" s="600"/>
      <c r="CY38" s="600"/>
      <c r="CZ38" s="600"/>
      <c r="DA38" s="600"/>
      <c r="DB38" s="600"/>
      <c r="DC38" s="600"/>
      <c r="DD38" s="600"/>
      <c r="DE38" s="600"/>
      <c r="DF38" s="600"/>
    </row>
    <row r="39" spans="1:110" x14ac:dyDescent="0.25">
      <c r="A39" s="600"/>
      <c r="B39" s="1080"/>
      <c r="C39" s="1080"/>
      <c r="D39" s="1080"/>
      <c r="E39" s="1080"/>
      <c r="F39" s="1080"/>
      <c r="G39" s="1080"/>
      <c r="H39" s="1080"/>
      <c r="I39" s="620"/>
      <c r="J39" s="619">
        <v>3</v>
      </c>
      <c r="K39" s="600" t="str">
        <f t="shared" si="29"/>
        <v/>
      </c>
      <c r="L39" s="600" t="str">
        <f t="shared" si="30"/>
        <v/>
      </c>
      <c r="M39" s="600"/>
      <c r="N39" s="600"/>
      <c r="O39" s="600"/>
      <c r="P39" s="600"/>
      <c r="Q39" s="600"/>
      <c r="R39" s="600"/>
      <c r="S39" s="619">
        <v>3</v>
      </c>
      <c r="T39" s="600" t="str">
        <f t="shared" si="31"/>
        <v/>
      </c>
      <c r="U39" s="600" t="str">
        <f t="shared" si="32"/>
        <v/>
      </c>
      <c r="V39" s="600"/>
      <c r="W39" s="600"/>
      <c r="X39" s="600"/>
      <c r="Y39" s="600"/>
      <c r="Z39" s="600"/>
      <c r="AA39" s="600"/>
      <c r="AB39" s="619">
        <v>3</v>
      </c>
      <c r="AC39" s="600" t="str">
        <f t="shared" si="33"/>
        <v/>
      </c>
      <c r="AD39" s="600" t="str">
        <f t="shared" si="34"/>
        <v/>
      </c>
      <c r="AE39" s="600"/>
      <c r="AF39" s="600"/>
      <c r="AG39" s="600"/>
      <c r="AH39" s="600"/>
      <c r="AI39" s="600"/>
      <c r="AJ39" s="600"/>
      <c r="AK39" s="619">
        <v>3</v>
      </c>
      <c r="AL39" s="600" t="str">
        <f t="shared" si="35"/>
        <v/>
      </c>
      <c r="AM39" s="600" t="str">
        <f t="shared" si="36"/>
        <v/>
      </c>
      <c r="AN39" s="600"/>
      <c r="AO39" s="600"/>
      <c r="AP39" s="600"/>
      <c r="AQ39" s="600"/>
      <c r="AR39" s="600"/>
      <c r="AS39" s="600"/>
      <c r="AT39" s="619">
        <v>3</v>
      </c>
      <c r="AU39" s="600" t="str">
        <f t="shared" si="37"/>
        <v/>
      </c>
      <c r="AV39" s="600" t="str">
        <f t="shared" si="38"/>
        <v/>
      </c>
      <c r="AW39" s="600"/>
      <c r="AX39" s="619"/>
      <c r="AY39" s="600"/>
      <c r="AZ39" s="600"/>
      <c r="BA39" s="600"/>
      <c r="BB39" s="600"/>
      <c r="BC39" s="619">
        <v>3</v>
      </c>
      <c r="BD39" s="600" t="str">
        <f t="shared" si="39"/>
        <v/>
      </c>
      <c r="BE39" s="600" t="str">
        <f t="shared" si="40"/>
        <v/>
      </c>
      <c r="BF39" s="600"/>
      <c r="BG39" s="600"/>
      <c r="BH39" s="600"/>
      <c r="BI39" s="600"/>
      <c r="BJ39" s="600"/>
      <c r="BK39" s="600"/>
      <c r="BL39" s="619">
        <v>3</v>
      </c>
      <c r="BM39" s="600" t="str">
        <f t="shared" si="41"/>
        <v/>
      </c>
      <c r="BN39" s="600" t="str">
        <f t="shared" si="42"/>
        <v/>
      </c>
      <c r="BO39" s="600"/>
      <c r="BP39" s="600"/>
      <c r="BQ39" s="600"/>
      <c r="BR39" s="600"/>
      <c r="BS39" s="600"/>
      <c r="BT39" s="600"/>
      <c r="BU39" s="619">
        <v>3</v>
      </c>
      <c r="BV39" s="600" t="str">
        <f t="shared" si="43"/>
        <v/>
      </c>
      <c r="BW39" s="600" t="str">
        <f t="shared" si="44"/>
        <v/>
      </c>
      <c r="BX39" s="600"/>
      <c r="BY39" s="600"/>
      <c r="BZ39" s="600"/>
      <c r="CA39" s="600"/>
      <c r="CB39" s="600"/>
      <c r="CC39" s="619">
        <v>3</v>
      </c>
      <c r="CD39" s="600" t="str">
        <f t="shared" si="45"/>
        <v/>
      </c>
      <c r="CE39" s="600" t="str">
        <f t="shared" si="46"/>
        <v/>
      </c>
      <c r="CF39" s="600"/>
      <c r="CG39" s="600"/>
      <c r="CH39" s="600"/>
      <c r="CI39" s="600"/>
      <c r="CJ39" s="600"/>
      <c r="CK39" s="600"/>
      <c r="CL39" s="600"/>
      <c r="CM39" s="600"/>
      <c r="CN39" s="600"/>
      <c r="CO39" s="600"/>
      <c r="CP39" s="600"/>
      <c r="CQ39" s="600"/>
      <c r="CR39" s="600"/>
      <c r="CS39" s="600"/>
      <c r="CT39" s="600"/>
      <c r="CU39" s="600"/>
      <c r="CV39" s="600"/>
      <c r="CW39" s="600"/>
      <c r="CX39" s="600"/>
      <c r="CY39" s="600"/>
      <c r="CZ39" s="600"/>
      <c r="DA39" s="600"/>
      <c r="DB39" s="600"/>
      <c r="DC39" s="600"/>
      <c r="DD39" s="600"/>
      <c r="DE39" s="600"/>
      <c r="DF39" s="600"/>
    </row>
    <row r="40" spans="1:110" x14ac:dyDescent="0.25">
      <c r="A40" s="600"/>
      <c r="B40" s="1080"/>
      <c r="C40" s="1080"/>
      <c r="D40" s="1080"/>
      <c r="E40" s="1080"/>
      <c r="F40" s="1080"/>
      <c r="G40" s="1080"/>
      <c r="H40" s="1080"/>
      <c r="I40" s="620"/>
      <c r="J40" s="619">
        <v>4</v>
      </c>
      <c r="K40" s="600" t="str">
        <f t="shared" si="29"/>
        <v/>
      </c>
      <c r="L40" s="600" t="str">
        <f t="shared" si="30"/>
        <v/>
      </c>
      <c r="M40" s="600"/>
      <c r="N40" s="600"/>
      <c r="O40" s="600"/>
      <c r="P40" s="600"/>
      <c r="Q40" s="600"/>
      <c r="R40" s="600"/>
      <c r="S40" s="619">
        <v>4</v>
      </c>
      <c r="T40" s="600" t="str">
        <f t="shared" si="31"/>
        <v/>
      </c>
      <c r="U40" s="600" t="str">
        <f t="shared" si="32"/>
        <v/>
      </c>
      <c r="V40" s="600"/>
      <c r="W40" s="600"/>
      <c r="X40" s="600"/>
      <c r="Y40" s="600"/>
      <c r="Z40" s="600"/>
      <c r="AA40" s="600"/>
      <c r="AB40" s="619">
        <v>4</v>
      </c>
      <c r="AC40" s="600" t="str">
        <f t="shared" si="33"/>
        <v/>
      </c>
      <c r="AD40" s="600" t="str">
        <f t="shared" si="34"/>
        <v/>
      </c>
      <c r="AE40" s="600"/>
      <c r="AF40" s="600"/>
      <c r="AG40" s="600"/>
      <c r="AH40" s="600"/>
      <c r="AI40" s="600"/>
      <c r="AJ40" s="600"/>
      <c r="AK40" s="619">
        <v>4</v>
      </c>
      <c r="AL40" s="600" t="str">
        <f t="shared" si="35"/>
        <v/>
      </c>
      <c r="AM40" s="600" t="str">
        <f t="shared" si="36"/>
        <v/>
      </c>
      <c r="AN40" s="600"/>
      <c r="AO40" s="600"/>
      <c r="AP40" s="600"/>
      <c r="AQ40" s="600"/>
      <c r="AR40" s="600"/>
      <c r="AS40" s="600"/>
      <c r="AT40" s="619">
        <v>4</v>
      </c>
      <c r="AU40" s="600" t="str">
        <f t="shared" si="37"/>
        <v/>
      </c>
      <c r="AV40" s="600" t="str">
        <f t="shared" si="38"/>
        <v/>
      </c>
      <c r="AW40" s="600"/>
      <c r="AX40" s="619"/>
      <c r="AY40" s="600"/>
      <c r="AZ40" s="600"/>
      <c r="BA40" s="600"/>
      <c r="BB40" s="600"/>
      <c r="BC40" s="619">
        <v>4</v>
      </c>
      <c r="BD40" s="600" t="str">
        <f t="shared" si="39"/>
        <v/>
      </c>
      <c r="BE40" s="600" t="str">
        <f t="shared" si="40"/>
        <v/>
      </c>
      <c r="BF40" s="600"/>
      <c r="BG40" s="600"/>
      <c r="BH40" s="600"/>
      <c r="BI40" s="600"/>
      <c r="BJ40" s="600"/>
      <c r="BK40" s="600"/>
      <c r="BL40" s="619">
        <v>4</v>
      </c>
      <c r="BM40" s="600" t="str">
        <f t="shared" si="41"/>
        <v/>
      </c>
      <c r="BN40" s="600" t="str">
        <f t="shared" si="42"/>
        <v/>
      </c>
      <c r="BO40" s="600"/>
      <c r="BP40" s="600"/>
      <c r="BQ40" s="600"/>
      <c r="BR40" s="600"/>
      <c r="BS40" s="600"/>
      <c r="BT40" s="600"/>
      <c r="BU40" s="619">
        <v>4</v>
      </c>
      <c r="BV40" s="600" t="str">
        <f t="shared" si="43"/>
        <v/>
      </c>
      <c r="BW40" s="600" t="str">
        <f t="shared" si="44"/>
        <v/>
      </c>
      <c r="BX40" s="600"/>
      <c r="BY40" s="600"/>
      <c r="BZ40" s="600"/>
      <c r="CA40" s="600"/>
      <c r="CB40" s="600"/>
      <c r="CC40" s="619">
        <v>4</v>
      </c>
      <c r="CD40" s="600" t="str">
        <f t="shared" si="45"/>
        <v/>
      </c>
      <c r="CE40" s="600" t="str">
        <f t="shared" si="46"/>
        <v/>
      </c>
      <c r="CF40" s="600"/>
      <c r="CG40" s="600"/>
      <c r="CH40" s="600"/>
      <c r="CI40" s="600"/>
      <c r="CJ40" s="600"/>
      <c r="CK40" s="600"/>
      <c r="CL40" s="600"/>
      <c r="CM40" s="600"/>
      <c r="CN40" s="600"/>
      <c r="CO40" s="600"/>
      <c r="CP40" s="600"/>
      <c r="CQ40" s="600"/>
      <c r="CR40" s="600"/>
      <c r="CS40" s="600"/>
      <c r="CT40" s="600"/>
      <c r="CU40" s="600"/>
      <c r="CV40" s="600"/>
      <c r="CW40" s="600"/>
      <c r="CX40" s="600"/>
      <c r="CY40" s="600"/>
      <c r="CZ40" s="600"/>
      <c r="DA40" s="600"/>
      <c r="DB40" s="600"/>
      <c r="DC40" s="600"/>
      <c r="DD40" s="600"/>
      <c r="DE40" s="600"/>
      <c r="DF40" s="600"/>
    </row>
    <row r="41" spans="1:110" x14ac:dyDescent="0.25">
      <c r="A41" s="600"/>
      <c r="B41" s="1080"/>
      <c r="C41" s="1080"/>
      <c r="D41" s="1080"/>
      <c r="E41" s="1080"/>
      <c r="F41" s="1080"/>
      <c r="G41" s="1080"/>
      <c r="H41" s="1080"/>
      <c r="I41" s="620"/>
      <c r="J41" s="619">
        <v>5</v>
      </c>
      <c r="K41" s="600" t="str">
        <f t="shared" si="29"/>
        <v/>
      </c>
      <c r="L41" s="600" t="str">
        <f t="shared" si="30"/>
        <v/>
      </c>
      <c r="M41" s="600"/>
      <c r="N41" s="600"/>
      <c r="O41" s="600"/>
      <c r="P41" s="600"/>
      <c r="Q41" s="600"/>
      <c r="R41" s="600"/>
      <c r="S41" s="619">
        <v>5</v>
      </c>
      <c r="T41" s="600" t="str">
        <f t="shared" si="31"/>
        <v/>
      </c>
      <c r="U41" s="600" t="str">
        <f t="shared" si="32"/>
        <v/>
      </c>
      <c r="V41" s="600"/>
      <c r="W41" s="600"/>
      <c r="X41" s="600"/>
      <c r="Y41" s="600"/>
      <c r="Z41" s="600"/>
      <c r="AA41" s="600"/>
      <c r="AB41" s="619">
        <v>5</v>
      </c>
      <c r="AC41" s="600" t="str">
        <f t="shared" si="33"/>
        <v/>
      </c>
      <c r="AD41" s="600" t="str">
        <f t="shared" si="34"/>
        <v/>
      </c>
      <c r="AE41" s="600"/>
      <c r="AF41" s="600"/>
      <c r="AG41" s="600"/>
      <c r="AH41" s="600"/>
      <c r="AI41" s="600"/>
      <c r="AJ41" s="600"/>
      <c r="AK41" s="619">
        <v>5</v>
      </c>
      <c r="AL41" s="600" t="str">
        <f t="shared" si="35"/>
        <v/>
      </c>
      <c r="AM41" s="600" t="str">
        <f t="shared" si="36"/>
        <v/>
      </c>
      <c r="AN41" s="600"/>
      <c r="AO41" s="600"/>
      <c r="AP41" s="600"/>
      <c r="AQ41" s="600"/>
      <c r="AR41" s="600"/>
      <c r="AS41" s="600"/>
      <c r="AT41" s="619">
        <v>5</v>
      </c>
      <c r="AU41" s="600" t="str">
        <f t="shared" si="37"/>
        <v/>
      </c>
      <c r="AV41" s="600" t="str">
        <f t="shared" si="38"/>
        <v/>
      </c>
      <c r="AW41" s="600"/>
      <c r="AX41" s="619"/>
      <c r="AY41" s="600"/>
      <c r="AZ41" s="600"/>
      <c r="BA41" s="600"/>
      <c r="BB41" s="600"/>
      <c r="BC41" s="619">
        <v>5</v>
      </c>
      <c r="BD41" s="600" t="str">
        <f t="shared" si="39"/>
        <v/>
      </c>
      <c r="BE41" s="600" t="str">
        <f t="shared" si="40"/>
        <v/>
      </c>
      <c r="BF41" s="600"/>
      <c r="BG41" s="600"/>
      <c r="BH41" s="600"/>
      <c r="BI41" s="600"/>
      <c r="BJ41" s="600"/>
      <c r="BK41" s="600"/>
      <c r="BL41" s="619">
        <v>5</v>
      </c>
      <c r="BM41" s="600" t="str">
        <f t="shared" si="41"/>
        <v/>
      </c>
      <c r="BN41" s="600" t="str">
        <f t="shared" si="42"/>
        <v/>
      </c>
      <c r="BO41" s="600"/>
      <c r="BP41" s="600"/>
      <c r="BQ41" s="600"/>
      <c r="BR41" s="600"/>
      <c r="BS41" s="600"/>
      <c r="BT41" s="600"/>
      <c r="BU41" s="619">
        <v>5</v>
      </c>
      <c r="BV41" s="600" t="str">
        <f t="shared" si="43"/>
        <v/>
      </c>
      <c r="BW41" s="600" t="str">
        <f t="shared" si="44"/>
        <v/>
      </c>
      <c r="BX41" s="600"/>
      <c r="BY41" s="600"/>
      <c r="BZ41" s="600"/>
      <c r="CA41" s="600"/>
      <c r="CB41" s="600"/>
      <c r="CC41" s="619">
        <v>5</v>
      </c>
      <c r="CD41" s="600" t="str">
        <f t="shared" si="45"/>
        <v/>
      </c>
      <c r="CE41" s="600" t="str">
        <f t="shared" si="46"/>
        <v/>
      </c>
      <c r="CF41" s="600"/>
      <c r="CG41" s="600"/>
      <c r="CH41" s="600"/>
      <c r="CI41" s="600"/>
      <c r="CJ41" s="600"/>
      <c r="CK41" s="600"/>
      <c r="CL41" s="600"/>
      <c r="CM41" s="600"/>
      <c r="CN41" s="600"/>
      <c r="CO41" s="600"/>
      <c r="CP41" s="600"/>
      <c r="CQ41" s="600"/>
      <c r="CR41" s="600"/>
      <c r="CS41" s="600"/>
      <c r="CT41" s="600"/>
      <c r="CU41" s="600"/>
      <c r="CV41" s="600"/>
      <c r="CW41" s="600"/>
      <c r="CX41" s="600"/>
      <c r="CY41" s="600"/>
      <c r="CZ41" s="600"/>
      <c r="DA41" s="600"/>
      <c r="DB41" s="600"/>
      <c r="DC41" s="600"/>
      <c r="DD41" s="600"/>
      <c r="DE41" s="600"/>
      <c r="DF41" s="600"/>
    </row>
    <row r="42" spans="1:110" x14ac:dyDescent="0.25">
      <c r="A42" s="600"/>
      <c r="B42" s="1080"/>
      <c r="C42" s="1080"/>
      <c r="D42" s="1080"/>
      <c r="E42" s="1080"/>
      <c r="F42" s="1080"/>
      <c r="G42" s="1080"/>
      <c r="H42" s="1080"/>
      <c r="I42" s="620"/>
      <c r="J42" s="619">
        <v>6</v>
      </c>
      <c r="K42" s="600" t="str">
        <f t="shared" si="29"/>
        <v/>
      </c>
      <c r="L42" s="600" t="str">
        <f t="shared" si="30"/>
        <v/>
      </c>
      <c r="M42" s="600"/>
      <c r="N42" s="600"/>
      <c r="O42" s="600"/>
      <c r="P42" s="600"/>
      <c r="Q42" s="600"/>
      <c r="R42" s="600"/>
      <c r="S42" s="619">
        <v>6</v>
      </c>
      <c r="T42" s="600" t="str">
        <f t="shared" si="31"/>
        <v/>
      </c>
      <c r="U42" s="600" t="str">
        <f t="shared" si="32"/>
        <v/>
      </c>
      <c r="V42" s="600"/>
      <c r="W42" s="600"/>
      <c r="X42" s="600"/>
      <c r="Y42" s="600"/>
      <c r="Z42" s="600"/>
      <c r="AA42" s="600"/>
      <c r="AB42" s="619">
        <v>6</v>
      </c>
      <c r="AC42" s="600" t="str">
        <f t="shared" si="33"/>
        <v/>
      </c>
      <c r="AD42" s="600" t="str">
        <f t="shared" si="34"/>
        <v/>
      </c>
      <c r="AE42" s="600"/>
      <c r="AF42" s="600"/>
      <c r="AG42" s="600"/>
      <c r="AH42" s="600"/>
      <c r="AI42" s="600"/>
      <c r="AJ42" s="600"/>
      <c r="AK42" s="619">
        <v>6</v>
      </c>
      <c r="AL42" s="600" t="str">
        <f t="shared" si="35"/>
        <v/>
      </c>
      <c r="AM42" s="600" t="str">
        <f t="shared" si="36"/>
        <v/>
      </c>
      <c r="AN42" s="600"/>
      <c r="AO42" s="600"/>
      <c r="AP42" s="600"/>
      <c r="AQ42" s="600"/>
      <c r="AR42" s="600"/>
      <c r="AS42" s="600"/>
      <c r="AT42" s="619">
        <v>6</v>
      </c>
      <c r="AU42" s="600" t="str">
        <f t="shared" si="37"/>
        <v/>
      </c>
      <c r="AV42" s="600" t="str">
        <f t="shared" si="38"/>
        <v/>
      </c>
      <c r="AW42" s="600"/>
      <c r="AX42" s="619"/>
      <c r="AY42" s="600"/>
      <c r="AZ42" s="600"/>
      <c r="BA42" s="600"/>
      <c r="BB42" s="600"/>
      <c r="BC42" s="619">
        <v>6</v>
      </c>
      <c r="BD42" s="600" t="str">
        <f t="shared" si="39"/>
        <v/>
      </c>
      <c r="BE42" s="600" t="str">
        <f t="shared" si="40"/>
        <v/>
      </c>
      <c r="BF42" s="600"/>
      <c r="BG42" s="600"/>
      <c r="BH42" s="600"/>
      <c r="BI42" s="600"/>
      <c r="BJ42" s="600"/>
      <c r="BK42" s="600"/>
      <c r="BL42" s="619">
        <v>6</v>
      </c>
      <c r="BM42" s="600" t="str">
        <f t="shared" si="41"/>
        <v/>
      </c>
      <c r="BN42" s="600" t="str">
        <f t="shared" si="42"/>
        <v/>
      </c>
      <c r="BO42" s="600"/>
      <c r="BP42" s="600"/>
      <c r="BQ42" s="600"/>
      <c r="BR42" s="600"/>
      <c r="BS42" s="600"/>
      <c r="BT42" s="600"/>
      <c r="BU42" s="619">
        <v>6</v>
      </c>
      <c r="BV42" s="600" t="str">
        <f t="shared" si="43"/>
        <v/>
      </c>
      <c r="BW42" s="600" t="str">
        <f t="shared" si="44"/>
        <v/>
      </c>
      <c r="BX42" s="600"/>
      <c r="BY42" s="600"/>
      <c r="BZ42" s="600"/>
      <c r="CA42" s="600"/>
      <c r="CB42" s="600"/>
      <c r="CC42" s="619">
        <v>6</v>
      </c>
      <c r="CD42" s="600" t="str">
        <f t="shared" si="45"/>
        <v/>
      </c>
      <c r="CE42" s="600" t="str">
        <f t="shared" si="46"/>
        <v/>
      </c>
      <c r="CF42" s="600"/>
      <c r="CG42" s="600"/>
      <c r="CH42" s="600"/>
      <c r="CI42" s="600"/>
      <c r="CJ42" s="600"/>
      <c r="CK42" s="600"/>
      <c r="CL42" s="600"/>
      <c r="CM42" s="600"/>
      <c r="CN42" s="600"/>
      <c r="CO42" s="600"/>
      <c r="CP42" s="600"/>
      <c r="CQ42" s="600"/>
      <c r="CR42" s="600"/>
      <c r="CS42" s="600"/>
      <c r="CT42" s="600"/>
      <c r="CU42" s="600"/>
      <c r="CV42" s="600"/>
      <c r="CW42" s="600"/>
      <c r="CX42" s="600"/>
      <c r="CY42" s="600"/>
      <c r="CZ42" s="600"/>
      <c r="DA42" s="600"/>
      <c r="DB42" s="600"/>
      <c r="DC42" s="600"/>
      <c r="DD42" s="600"/>
      <c r="DE42" s="600"/>
      <c r="DF42" s="600"/>
    </row>
    <row r="43" spans="1:110" x14ac:dyDescent="0.25">
      <c r="A43" s="600"/>
      <c r="B43" s="1080"/>
      <c r="C43" s="1080"/>
      <c r="D43" s="1080"/>
      <c r="E43" s="1080"/>
      <c r="F43" s="1080"/>
      <c r="G43" s="1080"/>
      <c r="H43" s="1080"/>
      <c r="I43" s="620"/>
      <c r="J43" s="619">
        <v>7</v>
      </c>
      <c r="K43" s="600" t="str">
        <f t="shared" si="29"/>
        <v/>
      </c>
      <c r="L43" s="600" t="str">
        <f t="shared" si="30"/>
        <v/>
      </c>
      <c r="M43" s="600"/>
      <c r="N43" s="600"/>
      <c r="O43" s="600"/>
      <c r="P43" s="600"/>
      <c r="Q43" s="600"/>
      <c r="R43" s="600"/>
      <c r="S43" s="619">
        <v>7</v>
      </c>
      <c r="T43" s="600" t="str">
        <f t="shared" si="31"/>
        <v/>
      </c>
      <c r="U43" s="600" t="str">
        <f t="shared" si="32"/>
        <v/>
      </c>
      <c r="V43" s="600"/>
      <c r="W43" s="600"/>
      <c r="X43" s="600"/>
      <c r="Y43" s="600"/>
      <c r="Z43" s="600"/>
      <c r="AA43" s="600"/>
      <c r="AB43" s="619">
        <v>7</v>
      </c>
      <c r="AC43" s="600" t="str">
        <f t="shared" si="33"/>
        <v/>
      </c>
      <c r="AD43" s="600" t="str">
        <f t="shared" si="34"/>
        <v/>
      </c>
      <c r="AE43" s="600"/>
      <c r="AF43" s="600"/>
      <c r="AG43" s="600"/>
      <c r="AH43" s="600"/>
      <c r="AI43" s="600"/>
      <c r="AJ43" s="600"/>
      <c r="AK43" s="619">
        <v>7</v>
      </c>
      <c r="AL43" s="600" t="str">
        <f t="shared" si="35"/>
        <v/>
      </c>
      <c r="AM43" s="600" t="str">
        <f t="shared" si="36"/>
        <v/>
      </c>
      <c r="AN43" s="600"/>
      <c r="AO43" s="600"/>
      <c r="AP43" s="600"/>
      <c r="AQ43" s="600"/>
      <c r="AR43" s="600"/>
      <c r="AS43" s="600"/>
      <c r="AT43" s="619">
        <v>7</v>
      </c>
      <c r="AU43" s="600" t="str">
        <f t="shared" si="37"/>
        <v/>
      </c>
      <c r="AV43" s="600" t="str">
        <f t="shared" si="38"/>
        <v/>
      </c>
      <c r="AW43" s="600"/>
      <c r="AX43" s="619"/>
      <c r="AY43" s="600"/>
      <c r="AZ43" s="600"/>
      <c r="BA43" s="600"/>
      <c r="BB43" s="600"/>
      <c r="BC43" s="619">
        <v>7</v>
      </c>
      <c r="BD43" s="600" t="str">
        <f t="shared" si="39"/>
        <v/>
      </c>
      <c r="BE43" s="600" t="str">
        <f t="shared" si="40"/>
        <v/>
      </c>
      <c r="BF43" s="600"/>
      <c r="BG43" s="600"/>
      <c r="BH43" s="600"/>
      <c r="BI43" s="600"/>
      <c r="BJ43" s="600"/>
      <c r="BK43" s="600"/>
      <c r="BL43" s="619">
        <v>7</v>
      </c>
      <c r="BM43" s="600" t="str">
        <f t="shared" si="41"/>
        <v/>
      </c>
      <c r="BN43" s="600" t="str">
        <f t="shared" si="42"/>
        <v/>
      </c>
      <c r="BO43" s="600"/>
      <c r="BP43" s="600"/>
      <c r="BQ43" s="600"/>
      <c r="BR43" s="600"/>
      <c r="BS43" s="600"/>
      <c r="BT43" s="600"/>
      <c r="BU43" s="619">
        <v>7</v>
      </c>
      <c r="BV43" s="600" t="str">
        <f t="shared" si="43"/>
        <v/>
      </c>
      <c r="BW43" s="600" t="str">
        <f t="shared" si="44"/>
        <v/>
      </c>
      <c r="BX43" s="600"/>
      <c r="BY43" s="600"/>
      <c r="BZ43" s="600"/>
      <c r="CA43" s="600"/>
      <c r="CB43" s="600"/>
      <c r="CC43" s="619">
        <v>7</v>
      </c>
      <c r="CD43" s="600" t="str">
        <f t="shared" si="45"/>
        <v/>
      </c>
      <c r="CE43" s="600" t="str">
        <f t="shared" si="46"/>
        <v/>
      </c>
      <c r="CF43" s="600"/>
      <c r="CG43" s="600"/>
      <c r="CH43" s="600"/>
      <c r="CI43" s="600"/>
      <c r="CJ43" s="600"/>
      <c r="CK43" s="600"/>
      <c r="CL43" s="600"/>
      <c r="CM43" s="600"/>
      <c r="CN43" s="600"/>
      <c r="CO43" s="600"/>
      <c r="CP43" s="600"/>
      <c r="CQ43" s="600"/>
      <c r="CR43" s="600"/>
      <c r="CS43" s="600"/>
      <c r="CT43" s="600"/>
      <c r="CU43" s="600"/>
      <c r="CV43" s="600"/>
      <c r="CW43" s="600"/>
      <c r="CX43" s="600"/>
      <c r="CY43" s="600"/>
      <c r="CZ43" s="600"/>
      <c r="DA43" s="600"/>
      <c r="DB43" s="600"/>
      <c r="DC43" s="600"/>
      <c r="DD43" s="600"/>
      <c r="DE43" s="600"/>
      <c r="DF43" s="600"/>
    </row>
    <row r="44" spans="1:110" x14ac:dyDescent="0.25">
      <c r="A44" s="600"/>
      <c r="B44" s="1080"/>
      <c r="C44" s="1080"/>
      <c r="D44" s="1080"/>
      <c r="E44" s="1080"/>
      <c r="F44" s="1080"/>
      <c r="G44" s="1080"/>
      <c r="H44" s="1080"/>
      <c r="I44" s="620"/>
      <c r="J44" s="619">
        <v>8</v>
      </c>
      <c r="K44" s="600" t="str">
        <f t="shared" si="29"/>
        <v/>
      </c>
      <c r="L44" s="600" t="str">
        <f t="shared" si="30"/>
        <v/>
      </c>
      <c r="M44" s="600"/>
      <c r="N44" s="600"/>
      <c r="O44" s="600"/>
      <c r="P44" s="600"/>
      <c r="Q44" s="600"/>
      <c r="R44" s="600"/>
      <c r="S44" s="619">
        <v>8</v>
      </c>
      <c r="T44" s="600" t="str">
        <f t="shared" si="31"/>
        <v/>
      </c>
      <c r="U44" s="600" t="str">
        <f t="shared" si="32"/>
        <v/>
      </c>
      <c r="V44" s="600"/>
      <c r="W44" s="600"/>
      <c r="X44" s="600"/>
      <c r="Y44" s="600"/>
      <c r="Z44" s="600"/>
      <c r="AA44" s="600"/>
      <c r="AB44" s="619">
        <v>8</v>
      </c>
      <c r="AC44" s="600" t="str">
        <f t="shared" si="33"/>
        <v/>
      </c>
      <c r="AD44" s="600" t="str">
        <f t="shared" si="34"/>
        <v/>
      </c>
      <c r="AE44" s="600"/>
      <c r="AF44" s="600"/>
      <c r="AG44" s="600"/>
      <c r="AH44" s="600"/>
      <c r="AI44" s="600"/>
      <c r="AJ44" s="600"/>
      <c r="AK44" s="619">
        <v>8</v>
      </c>
      <c r="AL44" s="600" t="str">
        <f t="shared" si="35"/>
        <v/>
      </c>
      <c r="AM44" s="600" t="str">
        <f t="shared" si="36"/>
        <v/>
      </c>
      <c r="AN44" s="600"/>
      <c r="AO44" s="600"/>
      <c r="AP44" s="600"/>
      <c r="AQ44" s="600"/>
      <c r="AR44" s="600"/>
      <c r="AS44" s="600"/>
      <c r="AT44" s="619">
        <v>8</v>
      </c>
      <c r="AU44" s="600" t="str">
        <f t="shared" si="37"/>
        <v/>
      </c>
      <c r="AV44" s="600" t="str">
        <f t="shared" si="38"/>
        <v/>
      </c>
      <c r="AW44" s="600"/>
      <c r="AX44" s="619"/>
      <c r="AY44" s="600"/>
      <c r="AZ44" s="600"/>
      <c r="BA44" s="600"/>
      <c r="BB44" s="600"/>
      <c r="BC44" s="619">
        <v>8</v>
      </c>
      <c r="BD44" s="600" t="str">
        <f t="shared" si="39"/>
        <v/>
      </c>
      <c r="BE44" s="600" t="str">
        <f t="shared" si="40"/>
        <v/>
      </c>
      <c r="BF44" s="600"/>
      <c r="BG44" s="600"/>
      <c r="BH44" s="600"/>
      <c r="BI44" s="600"/>
      <c r="BJ44" s="600"/>
      <c r="BK44" s="600"/>
      <c r="BL44" s="619">
        <v>8</v>
      </c>
      <c r="BM44" s="600" t="str">
        <f t="shared" si="41"/>
        <v/>
      </c>
      <c r="BN44" s="600" t="str">
        <f t="shared" si="42"/>
        <v/>
      </c>
      <c r="BO44" s="600"/>
      <c r="BP44" s="600"/>
      <c r="BQ44" s="600"/>
      <c r="BR44" s="600"/>
      <c r="BS44" s="600"/>
      <c r="BT44" s="600"/>
      <c r="BU44" s="619">
        <v>8</v>
      </c>
      <c r="BV44" s="600" t="str">
        <f t="shared" si="43"/>
        <v/>
      </c>
      <c r="BW44" s="600" t="str">
        <f t="shared" si="44"/>
        <v/>
      </c>
      <c r="BX44" s="600"/>
      <c r="BY44" s="600"/>
      <c r="BZ44" s="600"/>
      <c r="CA44" s="600"/>
      <c r="CB44" s="600"/>
      <c r="CC44" s="619">
        <v>8</v>
      </c>
      <c r="CD44" s="600" t="str">
        <f t="shared" si="45"/>
        <v/>
      </c>
      <c r="CE44" s="600" t="str">
        <f t="shared" si="46"/>
        <v/>
      </c>
      <c r="CF44" s="600"/>
      <c r="CG44" s="600"/>
      <c r="CH44" s="600"/>
      <c r="CI44" s="600"/>
      <c r="CJ44" s="600"/>
      <c r="CK44" s="600"/>
      <c r="CL44" s="600"/>
      <c r="CM44" s="600"/>
      <c r="CN44" s="600"/>
      <c r="CO44" s="600"/>
      <c r="CP44" s="600"/>
      <c r="CQ44" s="600"/>
      <c r="CR44" s="600"/>
      <c r="CS44" s="600"/>
      <c r="CT44" s="600"/>
      <c r="CU44" s="600"/>
      <c r="CV44" s="600"/>
      <c r="CW44" s="600"/>
      <c r="CX44" s="600"/>
      <c r="CY44" s="600"/>
      <c r="CZ44" s="600"/>
      <c r="DA44" s="600"/>
      <c r="DB44" s="600"/>
      <c r="DC44" s="600"/>
      <c r="DD44" s="600"/>
      <c r="DE44" s="600"/>
      <c r="DF44" s="600"/>
    </row>
    <row r="45" spans="1:110" x14ac:dyDescent="0.25">
      <c r="A45" s="600"/>
      <c r="B45" s="1080"/>
      <c r="C45" s="1080"/>
      <c r="D45" s="1080"/>
      <c r="E45" s="1080"/>
      <c r="F45" s="1080"/>
      <c r="G45" s="1080"/>
      <c r="H45" s="1080"/>
      <c r="I45" s="620"/>
      <c r="J45" s="619">
        <v>9</v>
      </c>
      <c r="K45" s="600" t="str">
        <f t="shared" si="29"/>
        <v/>
      </c>
      <c r="L45" s="600" t="str">
        <f t="shared" si="30"/>
        <v/>
      </c>
      <c r="M45" s="600"/>
      <c r="N45" s="600"/>
      <c r="O45" s="600"/>
      <c r="P45" s="600"/>
      <c r="Q45" s="600"/>
      <c r="R45" s="600"/>
      <c r="S45" s="619">
        <v>9</v>
      </c>
      <c r="T45" s="600" t="str">
        <f t="shared" si="31"/>
        <v/>
      </c>
      <c r="U45" s="600" t="str">
        <f t="shared" si="32"/>
        <v/>
      </c>
      <c r="V45" s="600"/>
      <c r="W45" s="600"/>
      <c r="X45" s="600"/>
      <c r="Y45" s="600"/>
      <c r="Z45" s="600"/>
      <c r="AA45" s="600"/>
      <c r="AB45" s="619">
        <v>9</v>
      </c>
      <c r="AC45" s="600" t="str">
        <f t="shared" si="33"/>
        <v/>
      </c>
      <c r="AD45" s="600" t="str">
        <f t="shared" si="34"/>
        <v/>
      </c>
      <c r="AE45" s="600"/>
      <c r="AF45" s="600"/>
      <c r="AG45" s="600"/>
      <c r="AH45" s="600"/>
      <c r="AI45" s="600"/>
      <c r="AJ45" s="600"/>
      <c r="AK45" s="619">
        <v>9</v>
      </c>
      <c r="AL45" s="600" t="str">
        <f t="shared" si="35"/>
        <v/>
      </c>
      <c r="AM45" s="600" t="str">
        <f t="shared" si="36"/>
        <v/>
      </c>
      <c r="AN45" s="600"/>
      <c r="AO45" s="600"/>
      <c r="AP45" s="600"/>
      <c r="AQ45" s="600"/>
      <c r="AR45" s="600"/>
      <c r="AS45" s="600"/>
      <c r="AT45" s="619">
        <v>9</v>
      </c>
      <c r="AU45" s="600" t="str">
        <f t="shared" si="37"/>
        <v/>
      </c>
      <c r="AV45" s="600" t="str">
        <f t="shared" si="38"/>
        <v/>
      </c>
      <c r="AW45" s="600"/>
      <c r="AX45" s="619"/>
      <c r="AY45" s="600"/>
      <c r="AZ45" s="600"/>
      <c r="BA45" s="600"/>
      <c r="BB45" s="600"/>
      <c r="BC45" s="619">
        <v>9</v>
      </c>
      <c r="BD45" s="600" t="str">
        <f t="shared" si="39"/>
        <v/>
      </c>
      <c r="BE45" s="600" t="str">
        <f t="shared" si="40"/>
        <v/>
      </c>
      <c r="BF45" s="600"/>
      <c r="BG45" s="600"/>
      <c r="BH45" s="600"/>
      <c r="BI45" s="600"/>
      <c r="BJ45" s="600"/>
      <c r="BK45" s="600"/>
      <c r="BL45" s="619">
        <v>9</v>
      </c>
      <c r="BM45" s="600" t="str">
        <f t="shared" si="41"/>
        <v/>
      </c>
      <c r="BN45" s="600" t="str">
        <f t="shared" si="42"/>
        <v/>
      </c>
      <c r="BO45" s="600"/>
      <c r="BP45" s="600"/>
      <c r="BQ45" s="600"/>
      <c r="BR45" s="600"/>
      <c r="BS45" s="600"/>
      <c r="BT45" s="600"/>
      <c r="BU45" s="619">
        <v>9</v>
      </c>
      <c r="BV45" s="600" t="str">
        <f t="shared" si="43"/>
        <v/>
      </c>
      <c r="BW45" s="600" t="str">
        <f t="shared" si="44"/>
        <v/>
      </c>
      <c r="BX45" s="600"/>
      <c r="BY45" s="600"/>
      <c r="BZ45" s="600"/>
      <c r="CA45" s="600"/>
      <c r="CB45" s="600"/>
      <c r="CC45" s="619">
        <v>9</v>
      </c>
      <c r="CD45" s="600" t="str">
        <f t="shared" si="45"/>
        <v/>
      </c>
      <c r="CE45" s="600" t="str">
        <f t="shared" si="46"/>
        <v/>
      </c>
      <c r="CF45" s="600"/>
      <c r="CG45" s="600"/>
      <c r="CH45" s="600"/>
      <c r="CI45" s="600"/>
      <c r="CJ45" s="600"/>
      <c r="CK45" s="600"/>
      <c r="CL45" s="600"/>
      <c r="CM45" s="600"/>
      <c r="CN45" s="600"/>
      <c r="CO45" s="600"/>
      <c r="CP45" s="600"/>
      <c r="CQ45" s="600"/>
      <c r="CR45" s="600"/>
      <c r="CS45" s="600"/>
      <c r="CT45" s="600"/>
      <c r="CU45" s="600"/>
      <c r="CV45" s="600"/>
      <c r="CW45" s="600"/>
      <c r="CX45" s="600"/>
      <c r="CY45" s="600"/>
      <c r="CZ45" s="600"/>
      <c r="DA45" s="600"/>
      <c r="DB45" s="600"/>
      <c r="DC45" s="600"/>
      <c r="DD45" s="600"/>
      <c r="DE45" s="600"/>
      <c r="DF45" s="600"/>
    </row>
    <row r="46" spans="1:110" x14ac:dyDescent="0.25">
      <c r="A46" s="600"/>
      <c r="B46" s="1080"/>
      <c r="C46" s="1080"/>
      <c r="D46" s="1080"/>
      <c r="E46" s="1080"/>
      <c r="F46" s="1080"/>
      <c r="G46" s="1080"/>
      <c r="H46" s="1080"/>
      <c r="I46" s="620"/>
      <c r="J46" s="619">
        <v>10</v>
      </c>
      <c r="K46" s="600" t="str">
        <f t="shared" si="29"/>
        <v/>
      </c>
      <c r="L46" s="600" t="str">
        <f t="shared" si="30"/>
        <v/>
      </c>
      <c r="M46" s="600"/>
      <c r="N46" s="600"/>
      <c r="O46" s="600"/>
      <c r="P46" s="600"/>
      <c r="Q46" s="600"/>
      <c r="R46" s="600"/>
      <c r="S46" s="619">
        <v>10</v>
      </c>
      <c r="T46" s="600" t="str">
        <f t="shared" si="31"/>
        <v/>
      </c>
      <c r="U46" s="600" t="str">
        <f t="shared" si="32"/>
        <v/>
      </c>
      <c r="V46" s="600"/>
      <c r="W46" s="600"/>
      <c r="X46" s="600"/>
      <c r="Y46" s="600"/>
      <c r="Z46" s="600"/>
      <c r="AA46" s="600"/>
      <c r="AB46" s="619">
        <v>10</v>
      </c>
      <c r="AC46" s="600" t="str">
        <f t="shared" si="33"/>
        <v/>
      </c>
      <c r="AD46" s="600" t="str">
        <f t="shared" si="34"/>
        <v/>
      </c>
      <c r="AE46" s="600"/>
      <c r="AF46" s="600"/>
      <c r="AG46" s="600"/>
      <c r="AH46" s="600"/>
      <c r="AI46" s="600"/>
      <c r="AJ46" s="600"/>
      <c r="AK46" s="619">
        <v>10</v>
      </c>
      <c r="AL46" s="600" t="str">
        <f t="shared" si="35"/>
        <v/>
      </c>
      <c r="AM46" s="600" t="str">
        <f t="shared" si="36"/>
        <v/>
      </c>
      <c r="AN46" s="600"/>
      <c r="AO46" s="600"/>
      <c r="AP46" s="600"/>
      <c r="AQ46" s="600"/>
      <c r="AR46" s="600"/>
      <c r="AS46" s="600"/>
      <c r="AT46" s="619">
        <v>10</v>
      </c>
      <c r="AU46" s="600" t="str">
        <f t="shared" si="37"/>
        <v/>
      </c>
      <c r="AV46" s="600" t="str">
        <f t="shared" si="38"/>
        <v/>
      </c>
      <c r="AW46" s="600"/>
      <c r="AX46" s="619"/>
      <c r="AY46" s="600"/>
      <c r="AZ46" s="600"/>
      <c r="BA46" s="600"/>
      <c r="BB46" s="600"/>
      <c r="BC46" s="619">
        <v>10</v>
      </c>
      <c r="BD46" s="600" t="str">
        <f t="shared" si="39"/>
        <v/>
      </c>
      <c r="BE46" s="600" t="str">
        <f t="shared" si="40"/>
        <v/>
      </c>
      <c r="BF46" s="600"/>
      <c r="BG46" s="600"/>
      <c r="BH46" s="600"/>
      <c r="BI46" s="600"/>
      <c r="BJ46" s="600"/>
      <c r="BK46" s="600"/>
      <c r="BL46" s="619">
        <v>10</v>
      </c>
      <c r="BM46" s="600" t="str">
        <f t="shared" si="41"/>
        <v/>
      </c>
      <c r="BN46" s="600" t="str">
        <f t="shared" si="42"/>
        <v/>
      </c>
      <c r="BO46" s="600"/>
      <c r="BP46" s="600"/>
      <c r="BQ46" s="600"/>
      <c r="BR46" s="600"/>
      <c r="BS46" s="600"/>
      <c r="BT46" s="600"/>
      <c r="BU46" s="619">
        <v>10</v>
      </c>
      <c r="BV46" s="600" t="str">
        <f t="shared" si="43"/>
        <v/>
      </c>
      <c r="BW46" s="600" t="str">
        <f t="shared" si="44"/>
        <v/>
      </c>
      <c r="BX46" s="600"/>
      <c r="BY46" s="600"/>
      <c r="BZ46" s="600"/>
      <c r="CA46" s="600"/>
      <c r="CB46" s="600"/>
      <c r="CC46" s="619">
        <v>10</v>
      </c>
      <c r="CD46" s="600" t="str">
        <f t="shared" si="45"/>
        <v/>
      </c>
      <c r="CE46" s="600" t="str">
        <f t="shared" si="46"/>
        <v/>
      </c>
      <c r="CF46" s="600"/>
      <c r="CG46" s="600"/>
      <c r="CH46" s="600"/>
      <c r="CI46" s="600"/>
      <c r="CJ46" s="600"/>
      <c r="CK46" s="600"/>
      <c r="CL46" s="600"/>
      <c r="CM46" s="600"/>
      <c r="CN46" s="600"/>
      <c r="CO46" s="600"/>
      <c r="CP46" s="600"/>
      <c r="CQ46" s="600"/>
      <c r="CR46" s="600"/>
      <c r="CS46" s="600"/>
      <c r="CT46" s="600"/>
      <c r="CU46" s="600"/>
      <c r="CV46" s="600"/>
      <c r="CW46" s="600"/>
      <c r="CX46" s="600"/>
      <c r="CY46" s="600"/>
      <c r="CZ46" s="600"/>
      <c r="DA46" s="600"/>
      <c r="DB46" s="600"/>
      <c r="DC46" s="600"/>
      <c r="DD46" s="600"/>
      <c r="DE46" s="600"/>
      <c r="DF46" s="600"/>
    </row>
    <row r="47" spans="1:110" x14ac:dyDescent="0.25">
      <c r="A47" s="600"/>
      <c r="B47" s="1080"/>
      <c r="C47" s="1080"/>
      <c r="D47" s="1080"/>
      <c r="E47" s="1080"/>
      <c r="F47" s="1080"/>
      <c r="G47" s="1080"/>
      <c r="H47" s="1080"/>
      <c r="I47" s="620"/>
      <c r="J47" s="619">
        <v>11</v>
      </c>
      <c r="K47" s="600" t="str">
        <f t="shared" si="29"/>
        <v/>
      </c>
      <c r="L47" s="600" t="str">
        <f t="shared" si="30"/>
        <v/>
      </c>
      <c r="M47" s="600"/>
      <c r="N47" s="600"/>
      <c r="O47" s="600"/>
      <c r="P47" s="600"/>
      <c r="Q47" s="600"/>
      <c r="R47" s="600"/>
      <c r="S47" s="619">
        <v>11</v>
      </c>
      <c r="T47" s="600" t="str">
        <f t="shared" si="31"/>
        <v/>
      </c>
      <c r="U47" s="600" t="str">
        <f t="shared" si="32"/>
        <v/>
      </c>
      <c r="V47" s="600"/>
      <c r="W47" s="600"/>
      <c r="X47" s="600"/>
      <c r="Y47" s="600"/>
      <c r="Z47" s="600"/>
      <c r="AA47" s="600"/>
      <c r="AB47" s="619">
        <v>11</v>
      </c>
      <c r="AC47" s="600" t="str">
        <f t="shared" si="33"/>
        <v/>
      </c>
      <c r="AD47" s="600" t="str">
        <f t="shared" si="34"/>
        <v/>
      </c>
      <c r="AE47" s="600"/>
      <c r="AF47" s="600"/>
      <c r="AG47" s="600"/>
      <c r="AH47" s="600"/>
      <c r="AI47" s="600"/>
      <c r="AJ47" s="600"/>
      <c r="AK47" s="619">
        <v>11</v>
      </c>
      <c r="AL47" s="600" t="str">
        <f t="shared" si="35"/>
        <v/>
      </c>
      <c r="AM47" s="600" t="str">
        <f t="shared" si="36"/>
        <v/>
      </c>
      <c r="AN47" s="600"/>
      <c r="AO47" s="600"/>
      <c r="AP47" s="600"/>
      <c r="AQ47" s="600"/>
      <c r="AR47" s="600"/>
      <c r="AS47" s="600"/>
      <c r="AT47" s="619">
        <v>11</v>
      </c>
      <c r="AU47" s="600" t="str">
        <f t="shared" si="37"/>
        <v/>
      </c>
      <c r="AV47" s="600" t="str">
        <f t="shared" si="38"/>
        <v/>
      </c>
      <c r="AW47" s="600"/>
      <c r="AX47" s="619"/>
      <c r="AY47" s="600"/>
      <c r="AZ47" s="600"/>
      <c r="BA47" s="600"/>
      <c r="BB47" s="600"/>
      <c r="BC47" s="619">
        <v>11</v>
      </c>
      <c r="BD47" s="600" t="str">
        <f t="shared" si="39"/>
        <v/>
      </c>
      <c r="BE47" s="600" t="str">
        <f t="shared" si="40"/>
        <v/>
      </c>
      <c r="BF47" s="600"/>
      <c r="BG47" s="600"/>
      <c r="BH47" s="600"/>
      <c r="BI47" s="600"/>
      <c r="BJ47" s="600"/>
      <c r="BK47" s="600"/>
      <c r="BL47" s="619">
        <v>11</v>
      </c>
      <c r="BM47" s="600" t="str">
        <f t="shared" si="41"/>
        <v/>
      </c>
      <c r="BN47" s="600" t="str">
        <f t="shared" si="42"/>
        <v/>
      </c>
      <c r="BO47" s="600"/>
      <c r="BP47" s="600"/>
      <c r="BQ47" s="600"/>
      <c r="BR47" s="600"/>
      <c r="BS47" s="600"/>
      <c r="BT47" s="600"/>
      <c r="BU47" s="619">
        <v>11</v>
      </c>
      <c r="BV47" s="600" t="str">
        <f t="shared" si="43"/>
        <v/>
      </c>
      <c r="BW47" s="600" t="str">
        <f t="shared" si="44"/>
        <v/>
      </c>
      <c r="BX47" s="600"/>
      <c r="BY47" s="600"/>
      <c r="BZ47" s="600"/>
      <c r="CA47" s="600"/>
      <c r="CB47" s="600"/>
      <c r="CC47" s="619">
        <v>11</v>
      </c>
      <c r="CD47" s="600" t="str">
        <f t="shared" si="45"/>
        <v/>
      </c>
      <c r="CE47" s="600" t="str">
        <f t="shared" si="46"/>
        <v/>
      </c>
      <c r="CF47" s="600"/>
      <c r="CG47" s="600"/>
      <c r="CH47" s="600"/>
      <c r="CI47" s="600"/>
      <c r="CJ47" s="600"/>
      <c r="CK47" s="600"/>
      <c r="CL47" s="600"/>
      <c r="CM47" s="600"/>
      <c r="CN47" s="600"/>
      <c r="CO47" s="600"/>
      <c r="CP47" s="600"/>
      <c r="CQ47" s="600"/>
      <c r="CR47" s="600"/>
      <c r="CS47" s="600"/>
      <c r="CT47" s="600"/>
      <c r="CU47" s="600"/>
      <c r="CV47" s="600"/>
      <c r="CW47" s="600"/>
      <c r="CX47" s="600"/>
      <c r="CY47" s="600"/>
      <c r="CZ47" s="600"/>
      <c r="DA47" s="600"/>
      <c r="DB47" s="600"/>
      <c r="DC47" s="600"/>
      <c r="DD47" s="600"/>
      <c r="DE47" s="600"/>
      <c r="DF47" s="600"/>
    </row>
    <row r="48" spans="1:110" x14ac:dyDescent="0.25">
      <c r="A48" s="600"/>
      <c r="B48" s="1080"/>
      <c r="C48" s="1080"/>
      <c r="D48" s="1080"/>
      <c r="E48" s="1080"/>
      <c r="F48" s="1080"/>
      <c r="G48" s="1080"/>
      <c r="H48" s="1080"/>
      <c r="I48" s="620"/>
      <c r="J48" s="619">
        <v>12</v>
      </c>
      <c r="K48" s="600" t="str">
        <f t="shared" si="29"/>
        <v/>
      </c>
      <c r="L48" s="600" t="str">
        <f t="shared" si="30"/>
        <v/>
      </c>
      <c r="M48" s="600"/>
      <c r="N48" s="600"/>
      <c r="O48" s="600"/>
      <c r="P48" s="600"/>
      <c r="Q48" s="600"/>
      <c r="R48" s="600"/>
      <c r="S48" s="619">
        <v>12</v>
      </c>
      <c r="T48" s="600" t="str">
        <f t="shared" si="31"/>
        <v/>
      </c>
      <c r="U48" s="600" t="str">
        <f t="shared" si="32"/>
        <v/>
      </c>
      <c r="V48" s="600"/>
      <c r="W48" s="600"/>
      <c r="X48" s="600"/>
      <c r="Y48" s="600"/>
      <c r="Z48" s="600"/>
      <c r="AA48" s="600"/>
      <c r="AB48" s="619">
        <v>12</v>
      </c>
      <c r="AC48" s="600" t="str">
        <f t="shared" si="33"/>
        <v/>
      </c>
      <c r="AD48" s="600" t="str">
        <f t="shared" si="34"/>
        <v/>
      </c>
      <c r="AE48" s="600"/>
      <c r="AF48" s="600"/>
      <c r="AG48" s="600"/>
      <c r="AH48" s="600"/>
      <c r="AI48" s="600"/>
      <c r="AJ48" s="600"/>
      <c r="AK48" s="619">
        <v>12</v>
      </c>
      <c r="AL48" s="600" t="str">
        <f t="shared" si="35"/>
        <v/>
      </c>
      <c r="AM48" s="600" t="str">
        <f t="shared" si="36"/>
        <v/>
      </c>
      <c r="AN48" s="600"/>
      <c r="AO48" s="600"/>
      <c r="AP48" s="600"/>
      <c r="AQ48" s="600"/>
      <c r="AR48" s="600"/>
      <c r="AS48" s="600"/>
      <c r="AT48" s="619">
        <v>12</v>
      </c>
      <c r="AU48" s="600" t="str">
        <f t="shared" si="37"/>
        <v/>
      </c>
      <c r="AV48" s="600" t="str">
        <f t="shared" si="38"/>
        <v/>
      </c>
      <c r="AW48" s="600"/>
      <c r="AX48" s="619"/>
      <c r="AY48" s="600"/>
      <c r="AZ48" s="600"/>
      <c r="BA48" s="600"/>
      <c r="BB48" s="600"/>
      <c r="BC48" s="619">
        <v>12</v>
      </c>
      <c r="BD48" s="600" t="str">
        <f t="shared" si="39"/>
        <v/>
      </c>
      <c r="BE48" s="600" t="str">
        <f t="shared" si="40"/>
        <v/>
      </c>
      <c r="BF48" s="600"/>
      <c r="BG48" s="600"/>
      <c r="BH48" s="600"/>
      <c r="BI48" s="600"/>
      <c r="BJ48" s="600"/>
      <c r="BK48" s="600"/>
      <c r="BL48" s="619">
        <v>12</v>
      </c>
      <c r="BM48" s="600" t="str">
        <f t="shared" si="41"/>
        <v/>
      </c>
      <c r="BN48" s="600" t="str">
        <f t="shared" si="42"/>
        <v/>
      </c>
      <c r="BO48" s="600"/>
      <c r="BP48" s="600"/>
      <c r="BQ48" s="600"/>
      <c r="BR48" s="600"/>
      <c r="BS48" s="600"/>
      <c r="BT48" s="600"/>
      <c r="BU48" s="619">
        <v>12</v>
      </c>
      <c r="BV48" s="600" t="str">
        <f t="shared" si="43"/>
        <v/>
      </c>
      <c r="BW48" s="600" t="str">
        <f t="shared" si="44"/>
        <v/>
      </c>
      <c r="BX48" s="600"/>
      <c r="BY48" s="600"/>
      <c r="BZ48" s="600"/>
      <c r="CA48" s="600"/>
      <c r="CB48" s="600"/>
      <c r="CC48" s="619">
        <v>12</v>
      </c>
      <c r="CD48" s="600" t="str">
        <f t="shared" si="45"/>
        <v/>
      </c>
      <c r="CE48" s="600" t="str">
        <f t="shared" si="46"/>
        <v/>
      </c>
      <c r="CF48" s="600"/>
      <c r="CG48" s="600"/>
      <c r="CH48" s="600"/>
      <c r="CI48" s="600"/>
      <c r="CJ48" s="600"/>
      <c r="CK48" s="600"/>
      <c r="CL48" s="600"/>
      <c r="CM48" s="600"/>
      <c r="CN48" s="600"/>
      <c r="CO48" s="600"/>
      <c r="CP48" s="600"/>
      <c r="CQ48" s="600"/>
      <c r="CR48" s="600"/>
      <c r="CS48" s="600"/>
      <c r="CT48" s="600"/>
      <c r="CU48" s="600"/>
      <c r="CV48" s="600"/>
      <c r="CW48" s="600"/>
      <c r="CX48" s="600"/>
      <c r="CY48" s="600"/>
      <c r="CZ48" s="600"/>
      <c r="DA48" s="600"/>
      <c r="DB48" s="600"/>
      <c r="DC48" s="600"/>
      <c r="DD48" s="600"/>
      <c r="DE48" s="600"/>
      <c r="DF48" s="600"/>
    </row>
    <row r="49" spans="1:110" x14ac:dyDescent="0.25">
      <c r="A49" s="600"/>
      <c r="B49" s="1080"/>
      <c r="C49" s="1080"/>
      <c r="D49" s="1080"/>
      <c r="E49" s="1080"/>
      <c r="F49" s="1080"/>
      <c r="G49" s="1080"/>
      <c r="H49" s="1080"/>
      <c r="I49" s="620"/>
      <c r="J49" s="619">
        <v>13</v>
      </c>
      <c r="K49" s="600" t="str">
        <f t="shared" si="29"/>
        <v/>
      </c>
      <c r="L49" s="600" t="str">
        <f t="shared" si="30"/>
        <v/>
      </c>
      <c r="M49" s="600"/>
      <c r="N49" s="600"/>
      <c r="O49" s="600"/>
      <c r="P49" s="600"/>
      <c r="Q49" s="600"/>
      <c r="R49" s="600"/>
      <c r="S49" s="619">
        <v>13</v>
      </c>
      <c r="T49" s="600" t="str">
        <f t="shared" si="31"/>
        <v/>
      </c>
      <c r="U49" s="600" t="str">
        <f t="shared" si="32"/>
        <v/>
      </c>
      <c r="V49" s="600"/>
      <c r="W49" s="600"/>
      <c r="X49" s="600"/>
      <c r="Y49" s="600"/>
      <c r="Z49" s="600"/>
      <c r="AA49" s="600"/>
      <c r="AB49" s="619">
        <v>13</v>
      </c>
      <c r="AC49" s="600" t="str">
        <f t="shared" si="33"/>
        <v/>
      </c>
      <c r="AD49" s="600" t="str">
        <f t="shared" si="34"/>
        <v/>
      </c>
      <c r="AE49" s="600"/>
      <c r="AF49" s="600"/>
      <c r="AG49" s="600"/>
      <c r="AH49" s="600"/>
      <c r="AI49" s="600"/>
      <c r="AJ49" s="600"/>
      <c r="AK49" s="619">
        <v>13</v>
      </c>
      <c r="AL49" s="600" t="str">
        <f t="shared" si="35"/>
        <v/>
      </c>
      <c r="AM49" s="600" t="str">
        <f t="shared" si="36"/>
        <v/>
      </c>
      <c r="AN49" s="600"/>
      <c r="AO49" s="600"/>
      <c r="AP49" s="600"/>
      <c r="AQ49" s="600"/>
      <c r="AR49" s="600"/>
      <c r="AS49" s="600"/>
      <c r="AT49" s="619">
        <v>13</v>
      </c>
      <c r="AU49" s="600" t="str">
        <f t="shared" si="37"/>
        <v/>
      </c>
      <c r="AV49" s="600" t="str">
        <f t="shared" si="38"/>
        <v/>
      </c>
      <c r="AW49" s="600"/>
      <c r="AX49" s="619"/>
      <c r="AY49" s="600"/>
      <c r="AZ49" s="600"/>
      <c r="BA49" s="600"/>
      <c r="BB49" s="600"/>
      <c r="BC49" s="619">
        <v>13</v>
      </c>
      <c r="BD49" s="600" t="str">
        <f t="shared" si="39"/>
        <v/>
      </c>
      <c r="BE49" s="600" t="str">
        <f t="shared" si="40"/>
        <v/>
      </c>
      <c r="BF49" s="600"/>
      <c r="BG49" s="600"/>
      <c r="BH49" s="600"/>
      <c r="BI49" s="600"/>
      <c r="BJ49" s="600"/>
      <c r="BK49" s="600"/>
      <c r="BL49" s="619">
        <v>13</v>
      </c>
      <c r="BM49" s="600" t="str">
        <f t="shared" si="41"/>
        <v/>
      </c>
      <c r="BN49" s="600" t="str">
        <f t="shared" si="42"/>
        <v/>
      </c>
      <c r="BO49" s="600"/>
      <c r="BP49" s="600"/>
      <c r="BQ49" s="600"/>
      <c r="BR49" s="600"/>
      <c r="BS49" s="600"/>
      <c r="BT49" s="600"/>
      <c r="BU49" s="619">
        <v>13</v>
      </c>
      <c r="BV49" s="600" t="str">
        <f t="shared" si="43"/>
        <v/>
      </c>
      <c r="BW49" s="600" t="str">
        <f t="shared" si="44"/>
        <v/>
      </c>
      <c r="BX49" s="600"/>
      <c r="BY49" s="600"/>
      <c r="BZ49" s="600"/>
      <c r="CA49" s="600"/>
      <c r="CB49" s="600"/>
      <c r="CC49" s="619">
        <v>13</v>
      </c>
      <c r="CD49" s="600" t="str">
        <f t="shared" si="45"/>
        <v/>
      </c>
      <c r="CE49" s="600" t="str">
        <f t="shared" si="46"/>
        <v/>
      </c>
      <c r="CF49" s="600"/>
      <c r="CG49" s="600"/>
      <c r="CH49" s="600"/>
      <c r="CI49" s="600"/>
      <c r="CJ49" s="600"/>
      <c r="CK49" s="600"/>
      <c r="CL49" s="600"/>
      <c r="CM49" s="600"/>
      <c r="CN49" s="600"/>
      <c r="CO49" s="600"/>
      <c r="CP49" s="600"/>
      <c r="CQ49" s="600"/>
      <c r="CR49" s="600"/>
      <c r="CS49" s="600"/>
      <c r="CT49" s="600"/>
      <c r="CU49" s="600"/>
      <c r="CV49" s="600"/>
      <c r="CW49" s="600"/>
      <c r="CX49" s="600"/>
      <c r="CY49" s="600"/>
      <c r="CZ49" s="600"/>
      <c r="DA49" s="600"/>
      <c r="DB49" s="600"/>
      <c r="DC49" s="600"/>
      <c r="DD49" s="600"/>
      <c r="DE49" s="600"/>
      <c r="DF49" s="600"/>
    </row>
    <row r="50" spans="1:110" x14ac:dyDescent="0.25">
      <c r="A50" s="600"/>
      <c r="B50" s="1080"/>
      <c r="C50" s="1080"/>
      <c r="D50" s="1080"/>
      <c r="E50" s="1080"/>
      <c r="F50" s="1080"/>
      <c r="G50" s="1080"/>
      <c r="H50" s="1080"/>
      <c r="I50" s="620"/>
      <c r="J50" s="619">
        <v>14</v>
      </c>
      <c r="K50" s="600" t="str">
        <f t="shared" si="29"/>
        <v/>
      </c>
      <c r="L50" s="600" t="str">
        <f t="shared" si="30"/>
        <v/>
      </c>
      <c r="M50" s="600"/>
      <c r="N50" s="600"/>
      <c r="O50" s="600"/>
      <c r="P50" s="600"/>
      <c r="Q50" s="600"/>
      <c r="R50" s="600"/>
      <c r="S50" s="619">
        <v>14</v>
      </c>
      <c r="T50" s="600" t="str">
        <f t="shared" si="31"/>
        <v/>
      </c>
      <c r="U50" s="600" t="str">
        <f t="shared" si="32"/>
        <v/>
      </c>
      <c r="V50" s="600"/>
      <c r="W50" s="600"/>
      <c r="X50" s="600"/>
      <c r="Y50" s="600"/>
      <c r="Z50" s="600"/>
      <c r="AA50" s="600"/>
      <c r="AB50" s="619">
        <v>14</v>
      </c>
      <c r="AC50" s="600" t="str">
        <f t="shared" si="33"/>
        <v/>
      </c>
      <c r="AD50" s="600" t="str">
        <f t="shared" si="34"/>
        <v/>
      </c>
      <c r="AE50" s="600"/>
      <c r="AF50" s="600"/>
      <c r="AG50" s="600"/>
      <c r="AH50" s="600"/>
      <c r="AI50" s="600"/>
      <c r="AJ50" s="600"/>
      <c r="AK50" s="619">
        <v>14</v>
      </c>
      <c r="AL50" s="600" t="str">
        <f t="shared" si="35"/>
        <v/>
      </c>
      <c r="AM50" s="600" t="str">
        <f t="shared" si="36"/>
        <v/>
      </c>
      <c r="AN50" s="600"/>
      <c r="AO50" s="600"/>
      <c r="AP50" s="600"/>
      <c r="AQ50" s="600"/>
      <c r="AR50" s="600"/>
      <c r="AS50" s="600"/>
      <c r="AT50" s="619">
        <v>14</v>
      </c>
      <c r="AU50" s="600" t="str">
        <f t="shared" si="37"/>
        <v/>
      </c>
      <c r="AV50" s="600" t="str">
        <f t="shared" si="38"/>
        <v/>
      </c>
      <c r="AW50" s="600"/>
      <c r="AX50" s="619"/>
      <c r="AY50" s="600"/>
      <c r="AZ50" s="600"/>
      <c r="BA50" s="600"/>
      <c r="BB50" s="600"/>
      <c r="BC50" s="619">
        <v>14</v>
      </c>
      <c r="BD50" s="600" t="str">
        <f t="shared" si="39"/>
        <v/>
      </c>
      <c r="BE50" s="600" t="str">
        <f t="shared" si="40"/>
        <v/>
      </c>
      <c r="BF50" s="600"/>
      <c r="BG50" s="600"/>
      <c r="BH50" s="600"/>
      <c r="BI50" s="600"/>
      <c r="BJ50" s="600"/>
      <c r="BK50" s="600"/>
      <c r="BL50" s="619">
        <v>14</v>
      </c>
      <c r="BM50" s="600" t="str">
        <f t="shared" si="41"/>
        <v/>
      </c>
      <c r="BN50" s="600" t="str">
        <f t="shared" si="42"/>
        <v/>
      </c>
      <c r="BO50" s="600"/>
      <c r="BP50" s="600"/>
      <c r="BQ50" s="600"/>
      <c r="BR50" s="600"/>
      <c r="BS50" s="600"/>
      <c r="BT50" s="600"/>
      <c r="BU50" s="619">
        <v>14</v>
      </c>
      <c r="BV50" s="600" t="str">
        <f t="shared" si="43"/>
        <v/>
      </c>
      <c r="BW50" s="600" t="str">
        <f t="shared" si="44"/>
        <v/>
      </c>
      <c r="BX50" s="600"/>
      <c r="BY50" s="600"/>
      <c r="BZ50" s="600"/>
      <c r="CA50" s="600"/>
      <c r="CB50" s="600"/>
      <c r="CC50" s="619">
        <v>14</v>
      </c>
      <c r="CD50" s="600" t="str">
        <f t="shared" si="45"/>
        <v/>
      </c>
      <c r="CE50" s="600" t="str">
        <f t="shared" si="46"/>
        <v/>
      </c>
      <c r="CF50" s="600"/>
      <c r="CG50" s="600"/>
      <c r="CH50" s="600"/>
      <c r="CI50" s="600"/>
      <c r="CJ50" s="600"/>
      <c r="CK50" s="600"/>
      <c r="CL50" s="600"/>
      <c r="CM50" s="600"/>
      <c r="CN50" s="600"/>
      <c r="CO50" s="600"/>
      <c r="CP50" s="600"/>
      <c r="CQ50" s="600"/>
      <c r="CR50" s="600"/>
      <c r="CS50" s="600"/>
      <c r="CT50" s="600"/>
      <c r="CU50" s="600"/>
      <c r="CV50" s="600"/>
      <c r="CW50" s="600"/>
      <c r="CX50" s="600"/>
      <c r="CY50" s="600"/>
      <c r="CZ50" s="600"/>
      <c r="DA50" s="600"/>
      <c r="DB50" s="600"/>
      <c r="DC50" s="600"/>
      <c r="DD50" s="600"/>
      <c r="DE50" s="600"/>
      <c r="DF50" s="600"/>
    </row>
    <row r="51" spans="1:110" x14ac:dyDescent="0.25">
      <c r="A51" s="600"/>
      <c r="B51" s="1080"/>
      <c r="C51" s="1080"/>
      <c r="D51" s="1080"/>
      <c r="E51" s="1080"/>
      <c r="F51" s="1080"/>
      <c r="G51" s="1080"/>
      <c r="H51" s="1080"/>
      <c r="I51" s="620"/>
      <c r="J51" s="619">
        <v>15</v>
      </c>
      <c r="K51" s="600" t="str">
        <f t="shared" si="29"/>
        <v/>
      </c>
      <c r="L51" s="600" t="str">
        <f t="shared" si="30"/>
        <v/>
      </c>
      <c r="M51" s="600"/>
      <c r="N51" s="600"/>
      <c r="O51" s="600"/>
      <c r="P51" s="600"/>
      <c r="Q51" s="600"/>
      <c r="R51" s="600"/>
      <c r="S51" s="619">
        <v>15</v>
      </c>
      <c r="T51" s="600" t="str">
        <f t="shared" si="31"/>
        <v/>
      </c>
      <c r="U51" s="600" t="str">
        <f t="shared" si="32"/>
        <v/>
      </c>
      <c r="V51" s="600"/>
      <c r="W51" s="600"/>
      <c r="X51" s="600"/>
      <c r="Y51" s="600"/>
      <c r="Z51" s="600"/>
      <c r="AA51" s="600"/>
      <c r="AB51" s="619">
        <v>15</v>
      </c>
      <c r="AC51" s="600" t="str">
        <f t="shared" si="33"/>
        <v/>
      </c>
      <c r="AD51" s="600" t="str">
        <f t="shared" si="34"/>
        <v/>
      </c>
      <c r="AE51" s="600"/>
      <c r="AF51" s="600"/>
      <c r="AG51" s="600"/>
      <c r="AH51" s="600"/>
      <c r="AI51" s="600"/>
      <c r="AJ51" s="600"/>
      <c r="AK51" s="619">
        <v>15</v>
      </c>
      <c r="AL51" s="600" t="str">
        <f t="shared" si="35"/>
        <v/>
      </c>
      <c r="AM51" s="600" t="str">
        <f t="shared" si="36"/>
        <v/>
      </c>
      <c r="AN51" s="600"/>
      <c r="AO51" s="600"/>
      <c r="AP51" s="600"/>
      <c r="AQ51" s="600"/>
      <c r="AR51" s="600"/>
      <c r="AS51" s="600"/>
      <c r="AT51" s="619">
        <v>15</v>
      </c>
      <c r="AU51" s="600" t="str">
        <f t="shared" si="37"/>
        <v/>
      </c>
      <c r="AV51" s="600" t="str">
        <f t="shared" si="38"/>
        <v/>
      </c>
      <c r="AW51" s="600"/>
      <c r="AX51" s="619"/>
      <c r="AY51" s="600"/>
      <c r="AZ51" s="600"/>
      <c r="BA51" s="600"/>
      <c r="BB51" s="600"/>
      <c r="BC51" s="619">
        <v>15</v>
      </c>
      <c r="BD51" s="600" t="str">
        <f t="shared" si="39"/>
        <v/>
      </c>
      <c r="BE51" s="600" t="str">
        <f t="shared" si="40"/>
        <v/>
      </c>
      <c r="BF51" s="600"/>
      <c r="BG51" s="600"/>
      <c r="BH51" s="600"/>
      <c r="BI51" s="600"/>
      <c r="BJ51" s="600"/>
      <c r="BK51" s="600"/>
      <c r="BL51" s="619">
        <v>15</v>
      </c>
      <c r="BM51" s="600" t="str">
        <f t="shared" si="41"/>
        <v/>
      </c>
      <c r="BN51" s="600" t="str">
        <f t="shared" si="42"/>
        <v/>
      </c>
      <c r="BO51" s="600"/>
      <c r="BP51" s="600"/>
      <c r="BQ51" s="600"/>
      <c r="BR51" s="600"/>
      <c r="BS51" s="600"/>
      <c r="BT51" s="600"/>
      <c r="BU51" s="619">
        <v>15</v>
      </c>
      <c r="BV51" s="600" t="str">
        <f t="shared" si="43"/>
        <v/>
      </c>
      <c r="BW51" s="600" t="str">
        <f t="shared" si="44"/>
        <v/>
      </c>
      <c r="BX51" s="600"/>
      <c r="BY51" s="600"/>
      <c r="BZ51" s="600"/>
      <c r="CA51" s="600"/>
      <c r="CB51" s="600"/>
      <c r="CC51" s="619">
        <v>15</v>
      </c>
      <c r="CD51" s="600" t="str">
        <f t="shared" si="45"/>
        <v/>
      </c>
      <c r="CE51" s="600" t="str">
        <f t="shared" si="46"/>
        <v/>
      </c>
      <c r="CF51" s="600"/>
      <c r="CG51" s="600"/>
      <c r="CH51" s="600"/>
      <c r="CI51" s="600"/>
      <c r="CJ51" s="600"/>
      <c r="CK51" s="600"/>
      <c r="CL51" s="600"/>
      <c r="CM51" s="600"/>
      <c r="CN51" s="600"/>
      <c r="CO51" s="600"/>
      <c r="CP51" s="600"/>
      <c r="CQ51" s="600"/>
      <c r="CR51" s="600"/>
      <c r="CS51" s="600"/>
      <c r="CT51" s="600"/>
      <c r="CU51" s="600"/>
      <c r="CV51" s="600"/>
      <c r="CW51" s="600"/>
      <c r="CX51" s="600"/>
      <c r="CY51" s="600"/>
      <c r="CZ51" s="600"/>
      <c r="DA51" s="600"/>
      <c r="DB51" s="600"/>
      <c r="DC51" s="600"/>
      <c r="DD51" s="600"/>
      <c r="DE51" s="600"/>
      <c r="DF51" s="600"/>
    </row>
    <row r="52" spans="1:110" x14ac:dyDescent="0.25">
      <c r="A52" s="600"/>
      <c r="B52" s="1080"/>
      <c r="C52" s="1080"/>
      <c r="D52" s="1080"/>
      <c r="E52" s="1080"/>
      <c r="F52" s="1080"/>
      <c r="G52" s="1080"/>
      <c r="H52" s="1080"/>
      <c r="I52" s="620"/>
      <c r="J52" s="619">
        <v>16</v>
      </c>
      <c r="K52" s="600" t="str">
        <f t="shared" si="29"/>
        <v/>
      </c>
      <c r="L52" s="600" t="str">
        <f t="shared" si="30"/>
        <v/>
      </c>
      <c r="M52" s="600"/>
      <c r="N52" s="600"/>
      <c r="O52" s="600"/>
      <c r="P52" s="600"/>
      <c r="Q52" s="600"/>
      <c r="R52" s="600"/>
      <c r="S52" s="619">
        <v>16</v>
      </c>
      <c r="T52" s="600" t="str">
        <f t="shared" si="31"/>
        <v/>
      </c>
      <c r="U52" s="600" t="str">
        <f t="shared" si="32"/>
        <v/>
      </c>
      <c r="V52" s="600"/>
      <c r="W52" s="600"/>
      <c r="X52" s="600"/>
      <c r="Y52" s="600"/>
      <c r="Z52" s="600"/>
      <c r="AA52" s="600"/>
      <c r="AB52" s="619">
        <v>16</v>
      </c>
      <c r="AC52" s="600" t="str">
        <f t="shared" si="33"/>
        <v/>
      </c>
      <c r="AD52" s="600" t="str">
        <f t="shared" si="34"/>
        <v/>
      </c>
      <c r="AE52" s="600"/>
      <c r="AF52" s="600"/>
      <c r="AG52" s="600"/>
      <c r="AH52" s="600"/>
      <c r="AI52" s="600"/>
      <c r="AJ52" s="600"/>
      <c r="AK52" s="619">
        <v>16</v>
      </c>
      <c r="AL52" s="600" t="str">
        <f t="shared" si="35"/>
        <v/>
      </c>
      <c r="AM52" s="600" t="str">
        <f t="shared" si="36"/>
        <v/>
      </c>
      <c r="AN52" s="600"/>
      <c r="AO52" s="600"/>
      <c r="AP52" s="600"/>
      <c r="AQ52" s="600"/>
      <c r="AR52" s="600"/>
      <c r="AS52" s="600"/>
      <c r="AT52" s="619">
        <v>16</v>
      </c>
      <c r="AU52" s="600" t="str">
        <f t="shared" si="37"/>
        <v/>
      </c>
      <c r="AV52" s="600" t="str">
        <f t="shared" si="38"/>
        <v/>
      </c>
      <c r="AW52" s="600"/>
      <c r="AX52" s="619"/>
      <c r="AY52" s="600"/>
      <c r="AZ52" s="600"/>
      <c r="BA52" s="600"/>
      <c r="BB52" s="600"/>
      <c r="BC52" s="619">
        <v>16</v>
      </c>
      <c r="BD52" s="600" t="str">
        <f t="shared" si="39"/>
        <v/>
      </c>
      <c r="BE52" s="600" t="str">
        <f t="shared" si="40"/>
        <v/>
      </c>
      <c r="BF52" s="600"/>
      <c r="BG52" s="600"/>
      <c r="BH52" s="600"/>
      <c r="BI52" s="600"/>
      <c r="BJ52" s="600"/>
      <c r="BK52" s="600"/>
      <c r="BL52" s="619">
        <v>16</v>
      </c>
      <c r="BM52" s="600" t="str">
        <f t="shared" si="41"/>
        <v/>
      </c>
      <c r="BN52" s="600" t="str">
        <f t="shared" si="42"/>
        <v/>
      </c>
      <c r="BO52" s="600"/>
      <c r="BP52" s="600"/>
      <c r="BQ52" s="600"/>
      <c r="BR52" s="600"/>
      <c r="BS52" s="600"/>
      <c r="BT52" s="600"/>
      <c r="BU52" s="619">
        <v>16</v>
      </c>
      <c r="BV52" s="600" t="str">
        <f t="shared" si="43"/>
        <v/>
      </c>
      <c r="BW52" s="600" t="str">
        <f t="shared" si="44"/>
        <v/>
      </c>
      <c r="BX52" s="600"/>
      <c r="BY52" s="600"/>
      <c r="BZ52" s="600"/>
      <c r="CA52" s="600"/>
      <c r="CB52" s="600"/>
      <c r="CC52" s="619">
        <v>16</v>
      </c>
      <c r="CD52" s="600" t="str">
        <f t="shared" si="45"/>
        <v/>
      </c>
      <c r="CE52" s="600" t="str">
        <f t="shared" si="46"/>
        <v/>
      </c>
      <c r="CF52" s="600"/>
      <c r="CG52" s="600"/>
      <c r="CH52" s="600"/>
      <c r="CI52" s="600"/>
      <c r="CJ52" s="600"/>
      <c r="CK52" s="600"/>
      <c r="CL52" s="600"/>
      <c r="CM52" s="600"/>
      <c r="CN52" s="600"/>
      <c r="CO52" s="600"/>
      <c r="CP52" s="600"/>
      <c r="CQ52" s="600"/>
      <c r="CR52" s="600"/>
      <c r="CS52" s="600"/>
      <c r="CT52" s="600"/>
      <c r="CU52" s="600"/>
      <c r="CV52" s="600"/>
      <c r="CW52" s="600"/>
      <c r="CX52" s="600"/>
      <c r="CY52" s="600"/>
      <c r="CZ52" s="600"/>
      <c r="DA52" s="600"/>
      <c r="DB52" s="600"/>
      <c r="DC52" s="600"/>
      <c r="DD52" s="600"/>
      <c r="DE52" s="600"/>
      <c r="DF52" s="600"/>
    </row>
    <row r="53" spans="1:110" x14ac:dyDescent="0.25">
      <c r="A53" s="600"/>
      <c r="B53" s="1080"/>
      <c r="C53" s="1080"/>
      <c r="D53" s="1080"/>
      <c r="E53" s="1080"/>
      <c r="F53" s="1080"/>
      <c r="G53" s="1080"/>
      <c r="H53" s="1080"/>
      <c r="I53" s="620"/>
      <c r="J53" s="619">
        <v>17</v>
      </c>
      <c r="K53" s="600" t="str">
        <f t="shared" si="29"/>
        <v/>
      </c>
      <c r="L53" s="600" t="str">
        <f t="shared" si="30"/>
        <v/>
      </c>
      <c r="M53" s="600"/>
      <c r="N53" s="600"/>
      <c r="O53" s="600"/>
      <c r="P53" s="600"/>
      <c r="Q53" s="600"/>
      <c r="R53" s="600"/>
      <c r="S53" s="619">
        <v>17</v>
      </c>
      <c r="T53" s="600" t="str">
        <f t="shared" si="31"/>
        <v/>
      </c>
      <c r="U53" s="600" t="str">
        <f t="shared" si="32"/>
        <v/>
      </c>
      <c r="V53" s="600"/>
      <c r="W53" s="600"/>
      <c r="X53" s="600"/>
      <c r="Y53" s="600"/>
      <c r="Z53" s="600"/>
      <c r="AA53" s="600"/>
      <c r="AB53" s="619">
        <v>17</v>
      </c>
      <c r="AC53" s="600" t="str">
        <f t="shared" si="33"/>
        <v/>
      </c>
      <c r="AD53" s="600" t="str">
        <f t="shared" si="34"/>
        <v/>
      </c>
      <c r="AE53" s="600"/>
      <c r="AF53" s="600"/>
      <c r="AG53" s="600"/>
      <c r="AH53" s="600"/>
      <c r="AI53" s="600"/>
      <c r="AJ53" s="600"/>
      <c r="AK53" s="619">
        <v>17</v>
      </c>
      <c r="AL53" s="600" t="str">
        <f t="shared" si="35"/>
        <v/>
      </c>
      <c r="AM53" s="600" t="str">
        <f t="shared" si="36"/>
        <v/>
      </c>
      <c r="AN53" s="600"/>
      <c r="AO53" s="600"/>
      <c r="AP53" s="600"/>
      <c r="AQ53" s="600"/>
      <c r="AR53" s="600"/>
      <c r="AS53" s="600"/>
      <c r="AT53" s="619">
        <v>17</v>
      </c>
      <c r="AU53" s="600" t="str">
        <f t="shared" si="37"/>
        <v/>
      </c>
      <c r="AV53" s="600" t="str">
        <f t="shared" si="38"/>
        <v/>
      </c>
      <c r="AW53" s="600"/>
      <c r="AX53" s="619"/>
      <c r="AY53" s="600"/>
      <c r="AZ53" s="600"/>
      <c r="BA53" s="600"/>
      <c r="BB53" s="600"/>
      <c r="BC53" s="619">
        <v>17</v>
      </c>
      <c r="BD53" s="600" t="str">
        <f t="shared" si="39"/>
        <v/>
      </c>
      <c r="BE53" s="600" t="str">
        <f t="shared" si="40"/>
        <v/>
      </c>
      <c r="BF53" s="600"/>
      <c r="BG53" s="600"/>
      <c r="BH53" s="600"/>
      <c r="BI53" s="600"/>
      <c r="BJ53" s="600"/>
      <c r="BK53" s="600"/>
      <c r="BL53" s="619">
        <v>17</v>
      </c>
      <c r="BM53" s="600" t="str">
        <f t="shared" si="41"/>
        <v/>
      </c>
      <c r="BN53" s="600" t="str">
        <f t="shared" si="42"/>
        <v/>
      </c>
      <c r="BO53" s="600"/>
      <c r="BP53" s="600"/>
      <c r="BQ53" s="600"/>
      <c r="BR53" s="600"/>
      <c r="BS53" s="600"/>
      <c r="BT53" s="600"/>
      <c r="BU53" s="619">
        <v>17</v>
      </c>
      <c r="BV53" s="600" t="str">
        <f t="shared" si="43"/>
        <v/>
      </c>
      <c r="BW53" s="600" t="str">
        <f t="shared" si="44"/>
        <v/>
      </c>
      <c r="BX53" s="600"/>
      <c r="BY53" s="600"/>
      <c r="BZ53" s="600"/>
      <c r="CA53" s="600"/>
      <c r="CB53" s="600"/>
      <c r="CC53" s="619">
        <v>17</v>
      </c>
      <c r="CD53" s="600" t="str">
        <f t="shared" si="45"/>
        <v/>
      </c>
      <c r="CE53" s="600" t="str">
        <f t="shared" si="46"/>
        <v/>
      </c>
      <c r="CF53" s="600"/>
      <c r="CG53" s="600"/>
      <c r="CH53" s="600"/>
      <c r="CI53" s="600"/>
      <c r="CJ53" s="600"/>
      <c r="CK53" s="600"/>
      <c r="CL53" s="600"/>
      <c r="CM53" s="600"/>
      <c r="CN53" s="600"/>
      <c r="CO53" s="600"/>
      <c r="CP53" s="600"/>
      <c r="CQ53" s="600"/>
      <c r="CR53" s="600"/>
      <c r="CS53" s="600"/>
      <c r="CT53" s="600"/>
      <c r="CU53" s="600"/>
      <c r="CV53" s="600"/>
      <c r="CW53" s="600"/>
      <c r="CX53" s="600"/>
      <c r="CY53" s="600"/>
      <c r="CZ53" s="600"/>
      <c r="DA53" s="600"/>
      <c r="DB53" s="600"/>
      <c r="DC53" s="600"/>
      <c r="DD53" s="600"/>
      <c r="DE53" s="600"/>
      <c r="DF53" s="600"/>
    </row>
    <row r="54" spans="1:110" x14ac:dyDescent="0.25">
      <c r="A54" s="600"/>
      <c r="B54" s="1080"/>
      <c r="C54" s="1080"/>
      <c r="D54" s="1080"/>
      <c r="E54" s="1080"/>
      <c r="F54" s="1080"/>
      <c r="G54" s="1080"/>
      <c r="H54" s="1080"/>
      <c r="I54" s="620"/>
      <c r="J54" s="619">
        <v>18</v>
      </c>
      <c r="K54" s="600" t="str">
        <f t="shared" si="29"/>
        <v/>
      </c>
      <c r="L54" s="600" t="str">
        <f t="shared" si="30"/>
        <v/>
      </c>
      <c r="M54" s="600"/>
      <c r="N54" s="600"/>
      <c r="O54" s="600"/>
      <c r="P54" s="600"/>
      <c r="Q54" s="600"/>
      <c r="R54" s="600"/>
      <c r="S54" s="619">
        <v>18</v>
      </c>
      <c r="T54" s="600" t="str">
        <f t="shared" si="31"/>
        <v/>
      </c>
      <c r="U54" s="600" t="str">
        <f t="shared" si="32"/>
        <v/>
      </c>
      <c r="V54" s="600"/>
      <c r="W54" s="600"/>
      <c r="X54" s="600"/>
      <c r="Y54" s="600"/>
      <c r="Z54" s="600"/>
      <c r="AA54" s="600"/>
      <c r="AB54" s="619">
        <v>18</v>
      </c>
      <c r="AC54" s="600" t="str">
        <f t="shared" si="33"/>
        <v/>
      </c>
      <c r="AD54" s="600" t="str">
        <f t="shared" si="34"/>
        <v/>
      </c>
      <c r="AE54" s="600"/>
      <c r="AF54" s="600"/>
      <c r="AG54" s="600"/>
      <c r="AH54" s="600"/>
      <c r="AI54" s="600"/>
      <c r="AJ54" s="600"/>
      <c r="AK54" s="619">
        <v>18</v>
      </c>
      <c r="AL54" s="600" t="str">
        <f t="shared" si="35"/>
        <v/>
      </c>
      <c r="AM54" s="600" t="str">
        <f t="shared" si="36"/>
        <v/>
      </c>
      <c r="AN54" s="600"/>
      <c r="AO54" s="600"/>
      <c r="AP54" s="600"/>
      <c r="AQ54" s="600"/>
      <c r="AR54" s="600"/>
      <c r="AS54" s="600"/>
      <c r="AT54" s="619">
        <v>18</v>
      </c>
      <c r="AU54" s="600" t="str">
        <f t="shared" si="37"/>
        <v/>
      </c>
      <c r="AV54" s="600" t="str">
        <f t="shared" si="38"/>
        <v/>
      </c>
      <c r="AW54" s="600"/>
      <c r="AX54" s="619"/>
      <c r="AY54" s="600"/>
      <c r="AZ54" s="600"/>
      <c r="BA54" s="600"/>
      <c r="BB54" s="600"/>
      <c r="BC54" s="619">
        <v>18</v>
      </c>
      <c r="BD54" s="600" t="str">
        <f t="shared" si="39"/>
        <v/>
      </c>
      <c r="BE54" s="600" t="str">
        <f t="shared" si="40"/>
        <v/>
      </c>
      <c r="BF54" s="600"/>
      <c r="BG54" s="600"/>
      <c r="BH54" s="600"/>
      <c r="BI54" s="600"/>
      <c r="BJ54" s="600"/>
      <c r="BK54" s="600"/>
      <c r="BL54" s="619">
        <v>18</v>
      </c>
      <c r="BM54" s="600" t="str">
        <f t="shared" si="41"/>
        <v/>
      </c>
      <c r="BN54" s="600" t="str">
        <f t="shared" si="42"/>
        <v/>
      </c>
      <c r="BO54" s="600"/>
      <c r="BP54" s="600"/>
      <c r="BQ54" s="600"/>
      <c r="BR54" s="600"/>
      <c r="BS54" s="600"/>
      <c r="BT54" s="600"/>
      <c r="BU54" s="619">
        <v>18</v>
      </c>
      <c r="BV54" s="600" t="str">
        <f t="shared" si="43"/>
        <v/>
      </c>
      <c r="BW54" s="600" t="str">
        <f t="shared" si="44"/>
        <v/>
      </c>
      <c r="BX54" s="600"/>
      <c r="BY54" s="600"/>
      <c r="BZ54" s="600"/>
      <c r="CA54" s="600"/>
      <c r="CB54" s="600"/>
      <c r="CC54" s="619">
        <v>18</v>
      </c>
      <c r="CD54" s="600" t="str">
        <f t="shared" si="45"/>
        <v/>
      </c>
      <c r="CE54" s="600" t="str">
        <f t="shared" si="46"/>
        <v/>
      </c>
      <c r="CF54" s="600"/>
      <c r="CG54" s="600"/>
      <c r="CH54" s="600"/>
      <c r="CI54" s="600"/>
      <c r="CJ54" s="600"/>
      <c r="CK54" s="600"/>
      <c r="CL54" s="600"/>
      <c r="CM54" s="600"/>
      <c r="CN54" s="600"/>
      <c r="CO54" s="600"/>
      <c r="CP54" s="600"/>
      <c r="CQ54" s="600"/>
      <c r="CR54" s="600"/>
      <c r="CS54" s="600"/>
      <c r="CT54" s="600"/>
      <c r="CU54" s="600"/>
      <c r="CV54" s="600"/>
      <c r="CW54" s="600"/>
      <c r="CX54" s="600"/>
      <c r="CY54" s="600"/>
      <c r="CZ54" s="600"/>
      <c r="DA54" s="600"/>
      <c r="DB54" s="600"/>
      <c r="DC54" s="600"/>
      <c r="DD54" s="600"/>
      <c r="DE54" s="600"/>
      <c r="DF54" s="600"/>
    </row>
    <row r="55" spans="1:110" x14ac:dyDescent="0.25">
      <c r="A55" s="600"/>
      <c r="B55" s="1080"/>
      <c r="C55" s="1080"/>
      <c r="D55" s="1080"/>
      <c r="E55" s="1080"/>
      <c r="F55" s="1080"/>
      <c r="G55" s="1080"/>
      <c r="H55" s="1080"/>
      <c r="I55" s="620"/>
      <c r="J55" s="619">
        <v>19</v>
      </c>
      <c r="K55" s="600" t="str">
        <f t="shared" si="29"/>
        <v/>
      </c>
      <c r="L55" s="600" t="str">
        <f t="shared" si="30"/>
        <v/>
      </c>
      <c r="M55" s="600"/>
      <c r="N55" s="600"/>
      <c r="O55" s="600"/>
      <c r="P55" s="600"/>
      <c r="Q55" s="600"/>
      <c r="R55" s="600"/>
      <c r="S55" s="619">
        <v>19</v>
      </c>
      <c r="T55" s="600" t="str">
        <f t="shared" si="31"/>
        <v/>
      </c>
      <c r="U55" s="600" t="str">
        <f t="shared" si="32"/>
        <v/>
      </c>
      <c r="V55" s="600"/>
      <c r="W55" s="600"/>
      <c r="X55" s="600"/>
      <c r="Y55" s="600"/>
      <c r="Z55" s="600"/>
      <c r="AA55" s="600"/>
      <c r="AB55" s="619">
        <v>19</v>
      </c>
      <c r="AC55" s="600" t="str">
        <f t="shared" si="33"/>
        <v/>
      </c>
      <c r="AD55" s="600" t="str">
        <f t="shared" si="34"/>
        <v/>
      </c>
      <c r="AE55" s="600"/>
      <c r="AF55" s="600"/>
      <c r="AG55" s="600"/>
      <c r="AH55" s="600"/>
      <c r="AI55" s="600"/>
      <c r="AJ55" s="600"/>
      <c r="AK55" s="619">
        <v>19</v>
      </c>
      <c r="AL55" s="600" t="str">
        <f t="shared" si="35"/>
        <v/>
      </c>
      <c r="AM55" s="600" t="str">
        <f t="shared" si="36"/>
        <v/>
      </c>
      <c r="AN55" s="600"/>
      <c r="AO55" s="600"/>
      <c r="AP55" s="600"/>
      <c r="AQ55" s="600"/>
      <c r="AR55" s="600"/>
      <c r="AS55" s="600"/>
      <c r="AT55" s="619">
        <v>19</v>
      </c>
      <c r="AU55" s="600" t="str">
        <f t="shared" si="37"/>
        <v/>
      </c>
      <c r="AV55" s="600" t="str">
        <f t="shared" si="38"/>
        <v/>
      </c>
      <c r="AW55" s="600"/>
      <c r="AX55" s="619"/>
      <c r="AY55" s="600"/>
      <c r="AZ55" s="600"/>
      <c r="BA55" s="600"/>
      <c r="BB55" s="600"/>
      <c r="BC55" s="619">
        <v>19</v>
      </c>
      <c r="BD55" s="600" t="str">
        <f t="shared" si="39"/>
        <v/>
      </c>
      <c r="BE55" s="600" t="str">
        <f t="shared" si="40"/>
        <v/>
      </c>
      <c r="BF55" s="600"/>
      <c r="BG55" s="600"/>
      <c r="BH55" s="600"/>
      <c r="BI55" s="600"/>
      <c r="BJ55" s="600"/>
      <c r="BK55" s="600"/>
      <c r="BL55" s="619">
        <v>19</v>
      </c>
      <c r="BM55" s="600" t="str">
        <f t="shared" si="41"/>
        <v/>
      </c>
      <c r="BN55" s="600" t="str">
        <f t="shared" si="42"/>
        <v/>
      </c>
      <c r="BO55" s="600"/>
      <c r="BP55" s="600"/>
      <c r="BQ55" s="600"/>
      <c r="BR55" s="600"/>
      <c r="BS55" s="600"/>
      <c r="BT55" s="600"/>
      <c r="BU55" s="619">
        <v>19</v>
      </c>
      <c r="BV55" s="600" t="str">
        <f t="shared" si="43"/>
        <v/>
      </c>
      <c r="BW55" s="600" t="str">
        <f t="shared" si="44"/>
        <v/>
      </c>
      <c r="BX55" s="600"/>
      <c r="BY55" s="600"/>
      <c r="BZ55" s="600"/>
      <c r="CA55" s="600"/>
      <c r="CB55" s="600"/>
      <c r="CC55" s="619">
        <v>19</v>
      </c>
      <c r="CD55" s="600" t="str">
        <f t="shared" si="45"/>
        <v/>
      </c>
      <c r="CE55" s="600" t="str">
        <f t="shared" si="46"/>
        <v/>
      </c>
      <c r="CF55" s="600"/>
      <c r="CG55" s="600"/>
      <c r="CH55" s="600"/>
      <c r="CI55" s="600"/>
      <c r="CJ55" s="600"/>
      <c r="CK55" s="600"/>
      <c r="CL55" s="600"/>
      <c r="CM55" s="600"/>
      <c r="CN55" s="600"/>
      <c r="CO55" s="600"/>
      <c r="CP55" s="600"/>
      <c r="CQ55" s="600"/>
      <c r="CR55" s="600"/>
      <c r="CS55" s="600"/>
      <c r="CT55" s="600"/>
      <c r="CU55" s="600"/>
      <c r="CV55" s="600"/>
      <c r="CW55" s="600"/>
      <c r="CX55" s="600"/>
      <c r="CY55" s="600"/>
      <c r="CZ55" s="600"/>
      <c r="DA55" s="600"/>
      <c r="DB55" s="600"/>
      <c r="DC55" s="600"/>
      <c r="DD55" s="600"/>
      <c r="DE55" s="600"/>
      <c r="DF55" s="600"/>
    </row>
    <row r="56" spans="1:110" x14ac:dyDescent="0.25">
      <c r="A56" s="600"/>
      <c r="B56" s="1080"/>
      <c r="C56" s="1080"/>
      <c r="D56" s="1080"/>
      <c r="E56" s="1080"/>
      <c r="F56" s="1080"/>
      <c r="G56" s="1080"/>
      <c r="H56" s="1080"/>
      <c r="I56" s="620"/>
      <c r="J56" s="619">
        <v>20</v>
      </c>
      <c r="K56" s="600" t="str">
        <f t="shared" si="29"/>
        <v/>
      </c>
      <c r="L56" s="600" t="str">
        <f t="shared" si="30"/>
        <v/>
      </c>
      <c r="M56" s="600"/>
      <c r="N56" s="600"/>
      <c r="O56" s="600"/>
      <c r="P56" s="600"/>
      <c r="Q56" s="600"/>
      <c r="R56" s="600"/>
      <c r="S56" s="619">
        <v>20</v>
      </c>
      <c r="T56" s="600" t="str">
        <f t="shared" si="31"/>
        <v/>
      </c>
      <c r="U56" s="600" t="str">
        <f t="shared" si="32"/>
        <v/>
      </c>
      <c r="V56" s="600"/>
      <c r="W56" s="600"/>
      <c r="X56" s="600"/>
      <c r="Y56" s="600"/>
      <c r="Z56" s="600"/>
      <c r="AA56" s="600"/>
      <c r="AB56" s="619">
        <v>20</v>
      </c>
      <c r="AC56" s="600" t="str">
        <f t="shared" si="33"/>
        <v/>
      </c>
      <c r="AD56" s="600" t="str">
        <f t="shared" si="34"/>
        <v/>
      </c>
      <c r="AE56" s="600"/>
      <c r="AF56" s="600"/>
      <c r="AG56" s="600"/>
      <c r="AH56" s="600"/>
      <c r="AI56" s="600"/>
      <c r="AJ56" s="600"/>
      <c r="AK56" s="619">
        <v>20</v>
      </c>
      <c r="AL56" s="600" t="str">
        <f t="shared" si="35"/>
        <v/>
      </c>
      <c r="AM56" s="600" t="str">
        <f t="shared" si="36"/>
        <v/>
      </c>
      <c r="AN56" s="600"/>
      <c r="AO56" s="600"/>
      <c r="AP56" s="600"/>
      <c r="AQ56" s="600"/>
      <c r="AR56" s="600"/>
      <c r="AS56" s="600"/>
      <c r="AT56" s="619">
        <v>20</v>
      </c>
      <c r="AU56" s="600" t="str">
        <f t="shared" si="37"/>
        <v/>
      </c>
      <c r="AV56" s="600" t="str">
        <f t="shared" si="38"/>
        <v/>
      </c>
      <c r="AW56" s="600"/>
      <c r="AX56" s="619"/>
      <c r="AY56" s="600"/>
      <c r="AZ56" s="600"/>
      <c r="BA56" s="600"/>
      <c r="BB56" s="600"/>
      <c r="BC56" s="619">
        <v>20</v>
      </c>
      <c r="BD56" s="600" t="str">
        <f t="shared" si="39"/>
        <v/>
      </c>
      <c r="BE56" s="600" t="str">
        <f t="shared" si="40"/>
        <v/>
      </c>
      <c r="BF56" s="600"/>
      <c r="BG56" s="600"/>
      <c r="BH56" s="600"/>
      <c r="BI56" s="600"/>
      <c r="BJ56" s="600"/>
      <c r="BK56" s="600"/>
      <c r="BL56" s="619">
        <v>20</v>
      </c>
      <c r="BM56" s="600" t="str">
        <f t="shared" si="41"/>
        <v/>
      </c>
      <c r="BN56" s="600" t="str">
        <f t="shared" si="42"/>
        <v/>
      </c>
      <c r="BO56" s="600"/>
      <c r="BP56" s="600"/>
      <c r="BQ56" s="600"/>
      <c r="BR56" s="600"/>
      <c r="BS56" s="600"/>
      <c r="BT56" s="600"/>
      <c r="BU56" s="619">
        <v>20</v>
      </c>
      <c r="BV56" s="600" t="str">
        <f t="shared" si="43"/>
        <v/>
      </c>
      <c r="BW56" s="600" t="str">
        <f t="shared" si="44"/>
        <v/>
      </c>
      <c r="BX56" s="600"/>
      <c r="BY56" s="600"/>
      <c r="BZ56" s="600"/>
      <c r="CA56" s="600"/>
      <c r="CB56" s="600"/>
      <c r="CC56" s="619">
        <v>20</v>
      </c>
      <c r="CD56" s="600" t="str">
        <f t="shared" si="45"/>
        <v/>
      </c>
      <c r="CE56" s="600" t="str">
        <f t="shared" si="46"/>
        <v/>
      </c>
      <c r="CF56" s="600"/>
      <c r="CG56" s="600"/>
      <c r="CH56" s="600"/>
      <c r="CI56" s="600"/>
      <c r="CJ56" s="600"/>
      <c r="CK56" s="600"/>
      <c r="CL56" s="600"/>
      <c r="CM56" s="600"/>
      <c r="CN56" s="600"/>
      <c r="CO56" s="600"/>
      <c r="CP56" s="600"/>
      <c r="CQ56" s="600"/>
      <c r="CR56" s="600"/>
      <c r="CS56" s="600"/>
      <c r="CT56" s="600"/>
      <c r="CU56" s="600"/>
      <c r="CV56" s="600"/>
      <c r="CW56" s="600"/>
      <c r="CX56" s="600"/>
      <c r="CY56" s="600"/>
      <c r="CZ56" s="600"/>
      <c r="DA56" s="600"/>
      <c r="DB56" s="600"/>
      <c r="DC56" s="600"/>
      <c r="DD56" s="600"/>
      <c r="DE56" s="600"/>
      <c r="DF56" s="600"/>
    </row>
    <row r="57" spans="1:110" x14ac:dyDescent="0.25">
      <c r="A57" s="600"/>
      <c r="B57" s="1080"/>
      <c r="C57" s="1080"/>
      <c r="D57" s="1080"/>
      <c r="E57" s="1080"/>
      <c r="F57" s="1080"/>
      <c r="G57" s="1080"/>
      <c r="H57" s="1080"/>
      <c r="I57" s="620"/>
      <c r="J57" s="619">
        <v>21</v>
      </c>
      <c r="K57" s="600" t="str">
        <f t="shared" si="29"/>
        <v/>
      </c>
      <c r="L57" s="600" t="str">
        <f t="shared" si="30"/>
        <v/>
      </c>
      <c r="M57" s="600"/>
      <c r="N57" s="600"/>
      <c r="O57" s="600"/>
      <c r="P57" s="600"/>
      <c r="Q57" s="600"/>
      <c r="R57" s="600"/>
      <c r="S57" s="619">
        <v>21</v>
      </c>
      <c r="T57" s="600" t="str">
        <f t="shared" si="31"/>
        <v/>
      </c>
      <c r="U57" s="600" t="str">
        <f t="shared" si="32"/>
        <v/>
      </c>
      <c r="V57" s="600"/>
      <c r="W57" s="600"/>
      <c r="X57" s="600"/>
      <c r="Y57" s="600"/>
      <c r="Z57" s="600"/>
      <c r="AA57" s="600"/>
      <c r="AB57" s="619">
        <v>21</v>
      </c>
      <c r="AC57" s="600" t="str">
        <f t="shared" si="33"/>
        <v/>
      </c>
      <c r="AD57" s="600" t="str">
        <f t="shared" si="34"/>
        <v/>
      </c>
      <c r="AE57" s="600"/>
      <c r="AF57" s="600"/>
      <c r="AG57" s="600"/>
      <c r="AH57" s="600"/>
      <c r="AI57" s="600"/>
      <c r="AJ57" s="600"/>
      <c r="AK57" s="619">
        <v>21</v>
      </c>
      <c r="AL57" s="600" t="str">
        <f t="shared" si="35"/>
        <v/>
      </c>
      <c r="AM57" s="600" t="str">
        <f t="shared" si="36"/>
        <v/>
      </c>
      <c r="AN57" s="600"/>
      <c r="AO57" s="600"/>
      <c r="AP57" s="600"/>
      <c r="AQ57" s="600"/>
      <c r="AR57" s="600"/>
      <c r="AS57" s="600"/>
      <c r="AT57" s="619">
        <v>21</v>
      </c>
      <c r="AU57" s="600" t="str">
        <f t="shared" si="37"/>
        <v/>
      </c>
      <c r="AV57" s="600" t="str">
        <f t="shared" si="38"/>
        <v/>
      </c>
      <c r="AW57" s="600"/>
      <c r="AX57" s="619"/>
      <c r="AY57" s="600"/>
      <c r="AZ57" s="600"/>
      <c r="BA57" s="600"/>
      <c r="BB57" s="600"/>
      <c r="BC57" s="619">
        <v>21</v>
      </c>
      <c r="BD57" s="600" t="str">
        <f t="shared" si="39"/>
        <v/>
      </c>
      <c r="BE57" s="600" t="str">
        <f t="shared" si="40"/>
        <v/>
      </c>
      <c r="BF57" s="600"/>
      <c r="BG57" s="600"/>
      <c r="BH57" s="600"/>
      <c r="BI57" s="600"/>
      <c r="BJ57" s="600"/>
      <c r="BK57" s="600"/>
      <c r="BL57" s="619">
        <v>21</v>
      </c>
      <c r="BM57" s="600" t="str">
        <f t="shared" si="41"/>
        <v/>
      </c>
      <c r="BN57" s="600" t="str">
        <f t="shared" si="42"/>
        <v/>
      </c>
      <c r="BO57" s="600"/>
      <c r="BP57" s="600"/>
      <c r="BQ57" s="600"/>
      <c r="BR57" s="600"/>
      <c r="BS57" s="600"/>
      <c r="BT57" s="600"/>
      <c r="BU57" s="619">
        <v>21</v>
      </c>
      <c r="BV57" s="600" t="str">
        <f t="shared" si="43"/>
        <v/>
      </c>
      <c r="BW57" s="600" t="str">
        <f t="shared" si="44"/>
        <v/>
      </c>
      <c r="BX57" s="600"/>
      <c r="BY57" s="600"/>
      <c r="BZ57" s="600"/>
      <c r="CA57" s="600"/>
      <c r="CB57" s="600"/>
      <c r="CC57" s="619">
        <v>21</v>
      </c>
      <c r="CD57" s="600" t="str">
        <f t="shared" si="45"/>
        <v/>
      </c>
      <c r="CE57" s="600" t="str">
        <f t="shared" si="46"/>
        <v/>
      </c>
      <c r="CF57" s="600"/>
      <c r="CG57" s="600"/>
      <c r="CH57" s="600"/>
      <c r="CI57" s="600"/>
      <c r="CJ57" s="600"/>
      <c r="CK57" s="600"/>
      <c r="CL57" s="600"/>
      <c r="CM57" s="600"/>
      <c r="CN57" s="600"/>
      <c r="CO57" s="600"/>
      <c r="CP57" s="600"/>
      <c r="CQ57" s="600"/>
      <c r="CR57" s="600"/>
      <c r="CS57" s="600"/>
      <c r="CT57" s="600"/>
      <c r="CU57" s="600"/>
      <c r="CV57" s="600"/>
      <c r="CW57" s="600"/>
      <c r="CX57" s="600"/>
      <c r="CY57" s="600"/>
      <c r="CZ57" s="600"/>
      <c r="DA57" s="600"/>
      <c r="DB57" s="600"/>
      <c r="DC57" s="600"/>
      <c r="DD57" s="600"/>
      <c r="DE57" s="600"/>
      <c r="DF57" s="600"/>
    </row>
    <row r="58" spans="1:110" x14ac:dyDescent="0.25">
      <c r="A58" s="600"/>
      <c r="B58" s="1080"/>
      <c r="C58" s="1080"/>
      <c r="D58" s="1080"/>
      <c r="E58" s="1080"/>
      <c r="F58" s="1080"/>
      <c r="G58" s="1080"/>
      <c r="H58" s="1080"/>
      <c r="I58" s="620"/>
      <c r="J58" s="619">
        <v>22</v>
      </c>
      <c r="K58" s="600" t="str">
        <f t="shared" si="29"/>
        <v/>
      </c>
      <c r="L58" s="600" t="str">
        <f t="shared" si="30"/>
        <v/>
      </c>
      <c r="M58" s="600"/>
      <c r="N58" s="600"/>
      <c r="O58" s="600"/>
      <c r="P58" s="600"/>
      <c r="Q58" s="600"/>
      <c r="R58" s="600"/>
      <c r="S58" s="619">
        <v>22</v>
      </c>
      <c r="T58" s="600" t="str">
        <f t="shared" si="31"/>
        <v/>
      </c>
      <c r="U58" s="600" t="str">
        <f t="shared" si="32"/>
        <v/>
      </c>
      <c r="V58" s="600"/>
      <c r="W58" s="600"/>
      <c r="X58" s="600"/>
      <c r="Y58" s="600"/>
      <c r="Z58" s="600"/>
      <c r="AA58" s="600"/>
      <c r="AB58" s="619">
        <v>22</v>
      </c>
      <c r="AC58" s="600" t="str">
        <f t="shared" si="33"/>
        <v/>
      </c>
      <c r="AD58" s="600" t="str">
        <f t="shared" si="34"/>
        <v/>
      </c>
      <c r="AE58" s="600"/>
      <c r="AF58" s="600"/>
      <c r="AG58" s="600"/>
      <c r="AH58" s="600"/>
      <c r="AI58" s="600"/>
      <c r="AJ58" s="600"/>
      <c r="AK58" s="619">
        <v>22</v>
      </c>
      <c r="AL58" s="600" t="str">
        <f t="shared" si="35"/>
        <v/>
      </c>
      <c r="AM58" s="600" t="str">
        <f t="shared" si="36"/>
        <v/>
      </c>
      <c r="AN58" s="600"/>
      <c r="AO58" s="600"/>
      <c r="AP58" s="600"/>
      <c r="AQ58" s="600"/>
      <c r="AR58" s="600"/>
      <c r="AS58" s="600"/>
      <c r="AT58" s="619">
        <v>22</v>
      </c>
      <c r="AU58" s="600" t="str">
        <f t="shared" si="37"/>
        <v/>
      </c>
      <c r="AV58" s="600" t="str">
        <f t="shared" si="38"/>
        <v/>
      </c>
      <c r="AW58" s="600"/>
      <c r="AX58" s="619"/>
      <c r="AY58" s="600"/>
      <c r="AZ58" s="600"/>
      <c r="BA58" s="600"/>
      <c r="BB58" s="600"/>
      <c r="BC58" s="619">
        <v>22</v>
      </c>
      <c r="BD58" s="600" t="str">
        <f t="shared" si="39"/>
        <v/>
      </c>
      <c r="BE58" s="600" t="str">
        <f t="shared" si="40"/>
        <v/>
      </c>
      <c r="BF58" s="600"/>
      <c r="BG58" s="600"/>
      <c r="BH58" s="600"/>
      <c r="BI58" s="600"/>
      <c r="BJ58" s="600"/>
      <c r="BK58" s="600"/>
      <c r="BL58" s="619">
        <v>22</v>
      </c>
      <c r="BM58" s="600" t="str">
        <f t="shared" si="41"/>
        <v/>
      </c>
      <c r="BN58" s="600" t="str">
        <f t="shared" si="42"/>
        <v/>
      </c>
      <c r="BO58" s="600"/>
      <c r="BP58" s="600"/>
      <c r="BQ58" s="600"/>
      <c r="BR58" s="600"/>
      <c r="BS58" s="600"/>
      <c r="BT58" s="600"/>
      <c r="BU58" s="619">
        <v>22</v>
      </c>
      <c r="BV58" s="600" t="str">
        <f t="shared" si="43"/>
        <v/>
      </c>
      <c r="BW58" s="600" t="str">
        <f t="shared" si="44"/>
        <v/>
      </c>
      <c r="BX58" s="600"/>
      <c r="BY58" s="600"/>
      <c r="BZ58" s="600"/>
      <c r="CA58" s="600"/>
      <c r="CB58" s="600"/>
      <c r="CC58" s="619">
        <v>22</v>
      </c>
      <c r="CD58" s="600" t="str">
        <f t="shared" si="45"/>
        <v/>
      </c>
      <c r="CE58" s="600" t="str">
        <f t="shared" si="46"/>
        <v/>
      </c>
      <c r="CF58" s="600"/>
      <c r="CG58" s="600"/>
      <c r="CH58" s="600"/>
      <c r="CI58" s="600"/>
      <c r="CJ58" s="600"/>
      <c r="CK58" s="600"/>
      <c r="CL58" s="600"/>
      <c r="CM58" s="600"/>
      <c r="CN58" s="600"/>
      <c r="CO58" s="600"/>
      <c r="CP58" s="600"/>
      <c r="CQ58" s="600"/>
      <c r="CR58" s="600"/>
      <c r="CS58" s="600"/>
      <c r="CT58" s="600"/>
      <c r="CU58" s="600"/>
      <c r="CV58" s="600"/>
      <c r="CW58" s="600"/>
      <c r="CX58" s="600"/>
      <c r="CY58" s="600"/>
      <c r="CZ58" s="600"/>
      <c r="DA58" s="600"/>
      <c r="DB58" s="600"/>
      <c r="DC58" s="600"/>
      <c r="DD58" s="600"/>
      <c r="DE58" s="600"/>
      <c r="DF58" s="600"/>
    </row>
    <row r="59" spans="1:110" x14ac:dyDescent="0.25">
      <c r="A59" s="600"/>
      <c r="B59" s="1080"/>
      <c r="C59" s="1080"/>
      <c r="D59" s="1080"/>
      <c r="E59" s="1080"/>
      <c r="F59" s="1080"/>
      <c r="G59" s="1080"/>
      <c r="H59" s="1080"/>
      <c r="I59" s="620"/>
      <c r="J59" s="619">
        <v>23</v>
      </c>
      <c r="K59" s="600" t="str">
        <f t="shared" si="29"/>
        <v/>
      </c>
      <c r="L59" s="600" t="str">
        <f t="shared" si="30"/>
        <v/>
      </c>
      <c r="M59" s="600"/>
      <c r="N59" s="600"/>
      <c r="O59" s="600"/>
      <c r="P59" s="600"/>
      <c r="Q59" s="600"/>
      <c r="R59" s="600"/>
      <c r="S59" s="619">
        <v>23</v>
      </c>
      <c r="T59" s="600" t="str">
        <f t="shared" si="31"/>
        <v/>
      </c>
      <c r="U59" s="600" t="str">
        <f t="shared" si="32"/>
        <v/>
      </c>
      <c r="V59" s="600"/>
      <c r="W59" s="600"/>
      <c r="X59" s="600"/>
      <c r="Y59" s="600"/>
      <c r="Z59" s="600"/>
      <c r="AA59" s="600"/>
      <c r="AB59" s="619">
        <v>23</v>
      </c>
      <c r="AC59" s="600" t="str">
        <f t="shared" si="33"/>
        <v/>
      </c>
      <c r="AD59" s="600" t="str">
        <f t="shared" si="34"/>
        <v/>
      </c>
      <c r="AE59" s="600"/>
      <c r="AF59" s="600"/>
      <c r="AG59" s="600"/>
      <c r="AH59" s="600"/>
      <c r="AI59" s="600"/>
      <c r="AJ59" s="600"/>
      <c r="AK59" s="619">
        <v>23</v>
      </c>
      <c r="AL59" s="600" t="str">
        <f t="shared" si="35"/>
        <v/>
      </c>
      <c r="AM59" s="600" t="str">
        <f t="shared" si="36"/>
        <v/>
      </c>
      <c r="AN59" s="600"/>
      <c r="AO59" s="600"/>
      <c r="AP59" s="600"/>
      <c r="AQ59" s="600"/>
      <c r="AR59" s="600"/>
      <c r="AS59" s="600"/>
      <c r="AT59" s="619">
        <v>23</v>
      </c>
      <c r="AU59" s="600" t="str">
        <f t="shared" si="37"/>
        <v/>
      </c>
      <c r="AV59" s="600" t="str">
        <f t="shared" si="38"/>
        <v/>
      </c>
      <c r="AW59" s="600"/>
      <c r="AX59" s="619"/>
      <c r="AY59" s="600"/>
      <c r="AZ59" s="600"/>
      <c r="BA59" s="600"/>
      <c r="BB59" s="600"/>
      <c r="BC59" s="619">
        <v>23</v>
      </c>
      <c r="BD59" s="600" t="str">
        <f t="shared" si="39"/>
        <v/>
      </c>
      <c r="BE59" s="600" t="str">
        <f t="shared" si="40"/>
        <v/>
      </c>
      <c r="BF59" s="600"/>
      <c r="BG59" s="600"/>
      <c r="BH59" s="600"/>
      <c r="BI59" s="600"/>
      <c r="BJ59" s="600"/>
      <c r="BK59" s="600"/>
      <c r="BL59" s="619">
        <v>23</v>
      </c>
      <c r="BM59" s="600" t="str">
        <f t="shared" si="41"/>
        <v/>
      </c>
      <c r="BN59" s="600" t="str">
        <f t="shared" si="42"/>
        <v/>
      </c>
      <c r="BO59" s="600"/>
      <c r="BP59" s="600"/>
      <c r="BQ59" s="600"/>
      <c r="BR59" s="600"/>
      <c r="BS59" s="600"/>
      <c r="BT59" s="600"/>
      <c r="BU59" s="619">
        <v>23</v>
      </c>
      <c r="BV59" s="600" t="str">
        <f t="shared" si="43"/>
        <v/>
      </c>
      <c r="BW59" s="600" t="str">
        <f t="shared" si="44"/>
        <v/>
      </c>
      <c r="BX59" s="600"/>
      <c r="BY59" s="600"/>
      <c r="BZ59" s="600"/>
      <c r="CA59" s="600"/>
      <c r="CB59" s="600"/>
      <c r="CC59" s="619">
        <v>23</v>
      </c>
      <c r="CD59" s="600" t="str">
        <f t="shared" si="45"/>
        <v/>
      </c>
      <c r="CE59" s="600" t="str">
        <f t="shared" si="46"/>
        <v/>
      </c>
      <c r="CF59" s="600"/>
      <c r="CG59" s="600"/>
      <c r="CH59" s="600"/>
      <c r="CI59" s="600"/>
      <c r="CJ59" s="600"/>
      <c r="CK59" s="600"/>
      <c r="CL59" s="600"/>
      <c r="CM59" s="600"/>
      <c r="CN59" s="600"/>
      <c r="CO59" s="600"/>
      <c r="CP59" s="600"/>
      <c r="CQ59" s="600"/>
      <c r="CR59" s="600"/>
      <c r="CS59" s="600"/>
      <c r="CT59" s="600"/>
      <c r="CU59" s="600"/>
      <c r="CV59" s="600"/>
      <c r="CW59" s="600"/>
      <c r="CX59" s="600"/>
      <c r="CY59" s="600"/>
      <c r="CZ59" s="600"/>
      <c r="DA59" s="600"/>
      <c r="DB59" s="600"/>
      <c r="DC59" s="600"/>
      <c r="DD59" s="600"/>
      <c r="DE59" s="600"/>
      <c r="DF59" s="600"/>
    </row>
    <row r="60" spans="1:110" x14ac:dyDescent="0.25">
      <c r="A60" s="600"/>
      <c r="B60" s="1080"/>
      <c r="C60" s="1080"/>
      <c r="D60" s="1080"/>
      <c r="E60" s="1080"/>
      <c r="F60" s="1080"/>
      <c r="G60" s="1080"/>
      <c r="H60" s="1080"/>
      <c r="I60" s="620"/>
      <c r="J60" s="619">
        <v>24</v>
      </c>
      <c r="K60" s="600" t="str">
        <f t="shared" si="29"/>
        <v/>
      </c>
      <c r="L60" s="600" t="str">
        <f t="shared" si="30"/>
        <v/>
      </c>
      <c r="M60" s="600"/>
      <c r="N60" s="600"/>
      <c r="O60" s="600"/>
      <c r="P60" s="600"/>
      <c r="Q60" s="600"/>
      <c r="R60" s="600"/>
      <c r="S60" s="619">
        <v>24</v>
      </c>
      <c r="T60" s="600" t="str">
        <f t="shared" si="31"/>
        <v/>
      </c>
      <c r="U60" s="600" t="str">
        <f t="shared" si="32"/>
        <v/>
      </c>
      <c r="V60" s="600"/>
      <c r="W60" s="600"/>
      <c r="X60" s="600"/>
      <c r="Y60" s="600"/>
      <c r="Z60" s="600"/>
      <c r="AA60" s="600"/>
      <c r="AB60" s="619">
        <v>24</v>
      </c>
      <c r="AC60" s="600" t="str">
        <f t="shared" si="33"/>
        <v/>
      </c>
      <c r="AD60" s="600" t="str">
        <f t="shared" si="34"/>
        <v/>
      </c>
      <c r="AE60" s="600"/>
      <c r="AF60" s="600"/>
      <c r="AG60" s="600"/>
      <c r="AH60" s="600"/>
      <c r="AI60" s="600"/>
      <c r="AJ60" s="600"/>
      <c r="AK60" s="619">
        <v>24</v>
      </c>
      <c r="AL60" s="600" t="str">
        <f t="shared" si="35"/>
        <v/>
      </c>
      <c r="AM60" s="600" t="str">
        <f t="shared" si="36"/>
        <v/>
      </c>
      <c r="AN60" s="600"/>
      <c r="AO60" s="600"/>
      <c r="AP60" s="600"/>
      <c r="AQ60" s="600"/>
      <c r="AR60" s="600"/>
      <c r="AS60" s="600"/>
      <c r="AT60" s="619">
        <v>24</v>
      </c>
      <c r="AU60" s="600" t="str">
        <f t="shared" si="37"/>
        <v/>
      </c>
      <c r="AV60" s="600" t="str">
        <f t="shared" si="38"/>
        <v/>
      </c>
      <c r="AW60" s="600"/>
      <c r="AX60" s="619"/>
      <c r="AY60" s="600"/>
      <c r="AZ60" s="600"/>
      <c r="BA60" s="600"/>
      <c r="BB60" s="600"/>
      <c r="BC60" s="619">
        <v>24</v>
      </c>
      <c r="BD60" s="600" t="str">
        <f t="shared" si="39"/>
        <v/>
      </c>
      <c r="BE60" s="600" t="str">
        <f t="shared" si="40"/>
        <v/>
      </c>
      <c r="BF60" s="600"/>
      <c r="BG60" s="600"/>
      <c r="BH60" s="600"/>
      <c r="BI60" s="600"/>
      <c r="BJ60" s="600"/>
      <c r="BK60" s="600"/>
      <c r="BL60" s="619">
        <v>24</v>
      </c>
      <c r="BM60" s="600" t="str">
        <f t="shared" si="41"/>
        <v/>
      </c>
      <c r="BN60" s="600" t="str">
        <f t="shared" si="42"/>
        <v/>
      </c>
      <c r="BO60" s="600"/>
      <c r="BP60" s="600"/>
      <c r="BQ60" s="600"/>
      <c r="BR60" s="600"/>
      <c r="BS60" s="600"/>
      <c r="BT60" s="600"/>
      <c r="BU60" s="619">
        <v>24</v>
      </c>
      <c r="BV60" s="600" t="str">
        <f t="shared" si="43"/>
        <v/>
      </c>
      <c r="BW60" s="600" t="str">
        <f t="shared" si="44"/>
        <v/>
      </c>
      <c r="BX60" s="600"/>
      <c r="BY60" s="600"/>
      <c r="BZ60" s="600"/>
      <c r="CA60" s="600"/>
      <c r="CB60" s="600"/>
      <c r="CC60" s="619">
        <v>24</v>
      </c>
      <c r="CD60" s="600" t="str">
        <f t="shared" si="45"/>
        <v/>
      </c>
      <c r="CE60" s="600" t="str">
        <f t="shared" si="46"/>
        <v/>
      </c>
      <c r="CF60" s="600"/>
      <c r="CG60" s="600"/>
      <c r="CH60" s="600"/>
      <c r="CI60" s="600"/>
      <c r="CJ60" s="600"/>
      <c r="CK60" s="600"/>
      <c r="CL60" s="600"/>
      <c r="CM60" s="600"/>
      <c r="CN60" s="600"/>
      <c r="CO60" s="600"/>
      <c r="CP60" s="600"/>
      <c r="CQ60" s="600"/>
      <c r="CR60" s="600"/>
      <c r="CS60" s="600"/>
      <c r="CT60" s="600"/>
      <c r="CU60" s="600"/>
      <c r="CV60" s="600"/>
      <c r="CW60" s="600"/>
      <c r="CX60" s="600"/>
      <c r="CY60" s="600"/>
      <c r="CZ60" s="600"/>
      <c r="DA60" s="600"/>
      <c r="DB60" s="600"/>
      <c r="DC60" s="600"/>
      <c r="DD60" s="600"/>
      <c r="DE60" s="600"/>
      <c r="DF60" s="600"/>
    </row>
    <row r="61" spans="1:110" x14ac:dyDescent="0.25">
      <c r="A61" s="600"/>
      <c r="B61" s="1080"/>
      <c r="C61" s="1080"/>
      <c r="D61" s="1080"/>
      <c r="E61" s="1080"/>
      <c r="F61" s="1080"/>
      <c r="G61" s="1080"/>
      <c r="H61" s="1080"/>
      <c r="I61" s="620"/>
      <c r="J61" s="619">
        <v>25</v>
      </c>
      <c r="K61" s="600" t="str">
        <f t="shared" si="29"/>
        <v/>
      </c>
      <c r="L61" s="600" t="str">
        <f t="shared" si="30"/>
        <v/>
      </c>
      <c r="M61" s="600"/>
      <c r="N61" s="600"/>
      <c r="O61" s="600"/>
      <c r="P61" s="600"/>
      <c r="Q61" s="600"/>
      <c r="R61" s="600"/>
      <c r="S61" s="619">
        <v>25</v>
      </c>
      <c r="T61" s="600" t="str">
        <f t="shared" si="31"/>
        <v/>
      </c>
      <c r="U61" s="600" t="str">
        <f t="shared" si="32"/>
        <v/>
      </c>
      <c r="V61" s="600"/>
      <c r="W61" s="600"/>
      <c r="X61" s="600"/>
      <c r="Y61" s="600"/>
      <c r="Z61" s="600"/>
      <c r="AA61" s="600"/>
      <c r="AB61" s="619">
        <v>25</v>
      </c>
      <c r="AC61" s="600" t="str">
        <f t="shared" si="33"/>
        <v/>
      </c>
      <c r="AD61" s="600" t="str">
        <f t="shared" si="34"/>
        <v/>
      </c>
      <c r="AE61" s="600"/>
      <c r="AF61" s="600"/>
      <c r="AG61" s="600"/>
      <c r="AH61" s="600"/>
      <c r="AI61" s="600"/>
      <c r="AJ61" s="600"/>
      <c r="AK61" s="619">
        <v>25</v>
      </c>
      <c r="AL61" s="600" t="str">
        <f t="shared" si="35"/>
        <v/>
      </c>
      <c r="AM61" s="600" t="str">
        <f t="shared" si="36"/>
        <v/>
      </c>
      <c r="AN61" s="600"/>
      <c r="AO61" s="600"/>
      <c r="AP61" s="600"/>
      <c r="AQ61" s="600"/>
      <c r="AR61" s="600"/>
      <c r="AS61" s="600"/>
      <c r="AT61" s="619">
        <v>25</v>
      </c>
      <c r="AU61" s="600" t="str">
        <f t="shared" si="37"/>
        <v/>
      </c>
      <c r="AV61" s="600" t="str">
        <f t="shared" si="38"/>
        <v/>
      </c>
      <c r="AW61" s="600"/>
      <c r="AX61" s="619"/>
      <c r="AY61" s="600"/>
      <c r="AZ61" s="600"/>
      <c r="BA61" s="600"/>
      <c r="BB61" s="600"/>
      <c r="BC61" s="619">
        <v>25</v>
      </c>
      <c r="BD61" s="600" t="str">
        <f t="shared" si="39"/>
        <v/>
      </c>
      <c r="BE61" s="600" t="str">
        <f t="shared" si="40"/>
        <v/>
      </c>
      <c r="BF61" s="600"/>
      <c r="BG61" s="600"/>
      <c r="BH61" s="600"/>
      <c r="BI61" s="600"/>
      <c r="BJ61" s="600"/>
      <c r="BK61" s="600"/>
      <c r="BL61" s="619">
        <v>25</v>
      </c>
      <c r="BM61" s="600" t="str">
        <f t="shared" si="41"/>
        <v/>
      </c>
      <c r="BN61" s="600" t="str">
        <f t="shared" si="42"/>
        <v/>
      </c>
      <c r="BO61" s="600"/>
      <c r="BP61" s="600"/>
      <c r="BQ61" s="600"/>
      <c r="BR61" s="600"/>
      <c r="BS61" s="600"/>
      <c r="BT61" s="600"/>
      <c r="BU61" s="619">
        <v>25</v>
      </c>
      <c r="BV61" s="600" t="str">
        <f t="shared" si="43"/>
        <v/>
      </c>
      <c r="BW61" s="600" t="str">
        <f t="shared" si="44"/>
        <v/>
      </c>
      <c r="BX61" s="600"/>
      <c r="BY61" s="600"/>
      <c r="BZ61" s="600"/>
      <c r="CA61" s="600"/>
      <c r="CB61" s="600"/>
      <c r="CC61" s="619">
        <v>25</v>
      </c>
      <c r="CD61" s="600" t="str">
        <f t="shared" si="45"/>
        <v/>
      </c>
      <c r="CE61" s="600" t="str">
        <f t="shared" si="46"/>
        <v/>
      </c>
      <c r="CF61" s="600"/>
      <c r="CG61" s="600"/>
      <c r="CH61" s="600"/>
      <c r="CI61" s="600"/>
      <c r="CJ61" s="600"/>
      <c r="CK61" s="600"/>
      <c r="CL61" s="600"/>
      <c r="CM61" s="600"/>
      <c r="CN61" s="600"/>
      <c r="CO61" s="600"/>
      <c r="CP61" s="600"/>
      <c r="CQ61" s="600"/>
      <c r="CR61" s="600"/>
      <c r="CS61" s="600"/>
      <c r="CT61" s="600"/>
      <c r="CU61" s="600"/>
      <c r="CV61" s="600"/>
      <c r="CW61" s="600"/>
      <c r="CX61" s="600"/>
      <c r="CY61" s="600"/>
      <c r="CZ61" s="600"/>
      <c r="DA61" s="600"/>
      <c r="DB61" s="600"/>
      <c r="DC61" s="600"/>
      <c r="DD61" s="600"/>
      <c r="DE61" s="600"/>
      <c r="DF61" s="600"/>
    </row>
    <row r="62" spans="1:110" x14ac:dyDescent="0.25">
      <c r="A62" s="600"/>
      <c r="B62" s="1080"/>
      <c r="C62" s="1080"/>
      <c r="D62" s="1080"/>
      <c r="E62" s="1080"/>
      <c r="F62" s="1080"/>
      <c r="G62" s="1080"/>
      <c r="H62" s="1080"/>
      <c r="I62" s="620"/>
      <c r="J62" s="619">
        <v>26</v>
      </c>
      <c r="K62" s="600" t="str">
        <f t="shared" si="29"/>
        <v/>
      </c>
      <c r="L62" s="600" t="str">
        <f t="shared" si="30"/>
        <v/>
      </c>
      <c r="M62" s="600"/>
      <c r="N62" s="600"/>
      <c r="O62" s="600"/>
      <c r="P62" s="600"/>
      <c r="Q62" s="600"/>
      <c r="R62" s="600"/>
      <c r="S62" s="619">
        <v>26</v>
      </c>
      <c r="T62" s="600" t="str">
        <f t="shared" si="31"/>
        <v/>
      </c>
      <c r="U62" s="600" t="str">
        <f t="shared" si="32"/>
        <v/>
      </c>
      <c r="V62" s="600"/>
      <c r="W62" s="600"/>
      <c r="X62" s="600"/>
      <c r="Y62" s="600"/>
      <c r="Z62" s="600"/>
      <c r="AA62" s="600"/>
      <c r="AB62" s="619">
        <v>26</v>
      </c>
      <c r="AC62" s="600" t="str">
        <f t="shared" si="33"/>
        <v/>
      </c>
      <c r="AD62" s="600" t="str">
        <f t="shared" si="34"/>
        <v/>
      </c>
      <c r="AE62" s="600"/>
      <c r="AF62" s="600"/>
      <c r="AG62" s="600"/>
      <c r="AH62" s="600"/>
      <c r="AI62" s="600"/>
      <c r="AJ62" s="600"/>
      <c r="AK62" s="619">
        <v>26</v>
      </c>
      <c r="AL62" s="600" t="str">
        <f t="shared" si="35"/>
        <v/>
      </c>
      <c r="AM62" s="600" t="str">
        <f t="shared" si="36"/>
        <v/>
      </c>
      <c r="AN62" s="600"/>
      <c r="AO62" s="600"/>
      <c r="AP62" s="600"/>
      <c r="AQ62" s="600"/>
      <c r="AR62" s="600"/>
      <c r="AS62" s="600"/>
      <c r="AT62" s="619">
        <v>26</v>
      </c>
      <c r="AU62" s="600" t="str">
        <f t="shared" si="37"/>
        <v/>
      </c>
      <c r="AV62" s="600" t="str">
        <f t="shared" si="38"/>
        <v/>
      </c>
      <c r="AW62" s="600"/>
      <c r="AX62" s="619"/>
      <c r="AY62" s="600"/>
      <c r="AZ62" s="600"/>
      <c r="BA62" s="600"/>
      <c r="BB62" s="600"/>
      <c r="BC62" s="619">
        <v>26</v>
      </c>
      <c r="BD62" s="600" t="str">
        <f t="shared" si="39"/>
        <v/>
      </c>
      <c r="BE62" s="600" t="str">
        <f t="shared" si="40"/>
        <v/>
      </c>
      <c r="BF62" s="600"/>
      <c r="BG62" s="600"/>
      <c r="BH62" s="600"/>
      <c r="BI62" s="600"/>
      <c r="BJ62" s="600"/>
      <c r="BK62" s="600"/>
      <c r="BL62" s="619">
        <v>26</v>
      </c>
      <c r="BM62" s="600" t="str">
        <f t="shared" si="41"/>
        <v/>
      </c>
      <c r="BN62" s="600" t="str">
        <f t="shared" si="42"/>
        <v/>
      </c>
      <c r="BO62" s="600"/>
      <c r="BP62" s="600"/>
      <c r="BQ62" s="600"/>
      <c r="BR62" s="600"/>
      <c r="BS62" s="600"/>
      <c r="BT62" s="600"/>
      <c r="BU62" s="619">
        <v>26</v>
      </c>
      <c r="BV62" s="600" t="str">
        <f t="shared" si="43"/>
        <v/>
      </c>
      <c r="BW62" s="600" t="str">
        <f t="shared" si="44"/>
        <v/>
      </c>
      <c r="BX62" s="600"/>
      <c r="BY62" s="600"/>
      <c r="BZ62" s="600"/>
      <c r="CA62" s="600"/>
      <c r="CB62" s="600"/>
      <c r="CC62" s="619">
        <v>26</v>
      </c>
      <c r="CD62" s="600" t="str">
        <f t="shared" si="45"/>
        <v/>
      </c>
      <c r="CE62" s="600" t="str">
        <f t="shared" si="46"/>
        <v/>
      </c>
      <c r="CF62" s="600"/>
      <c r="CG62" s="600"/>
      <c r="CH62" s="600"/>
      <c r="CI62" s="600"/>
      <c r="CJ62" s="600"/>
      <c r="CK62" s="600"/>
      <c r="CL62" s="600"/>
      <c r="CM62" s="600"/>
      <c r="CN62" s="600"/>
      <c r="CO62" s="600"/>
      <c r="CP62" s="600"/>
      <c r="CQ62" s="600"/>
      <c r="CR62" s="600"/>
      <c r="CS62" s="600"/>
      <c r="CT62" s="600"/>
      <c r="CU62" s="600"/>
      <c r="CV62" s="600"/>
      <c r="CW62" s="600"/>
      <c r="CX62" s="600"/>
      <c r="CY62" s="600"/>
      <c r="CZ62" s="600"/>
      <c r="DA62" s="600"/>
      <c r="DB62" s="600"/>
      <c r="DC62" s="600"/>
      <c r="DD62" s="600"/>
      <c r="DE62" s="600"/>
      <c r="DF62" s="600"/>
    </row>
    <row r="63" spans="1:110" x14ac:dyDescent="0.25">
      <c r="A63" s="600"/>
      <c r="B63" s="1080"/>
      <c r="C63" s="1080"/>
      <c r="D63" s="1080"/>
      <c r="E63" s="1080"/>
      <c r="F63" s="1080"/>
      <c r="G63" s="1080"/>
      <c r="H63" s="1080"/>
      <c r="I63" s="620"/>
      <c r="J63" s="619">
        <v>27</v>
      </c>
      <c r="K63" s="600" t="str">
        <f t="shared" si="29"/>
        <v/>
      </c>
      <c r="L63" s="600" t="str">
        <f t="shared" si="30"/>
        <v/>
      </c>
      <c r="M63" s="600"/>
      <c r="N63" s="600"/>
      <c r="O63" s="600"/>
      <c r="P63" s="600"/>
      <c r="Q63" s="600"/>
      <c r="R63" s="600"/>
      <c r="S63" s="619">
        <v>27</v>
      </c>
      <c r="T63" s="600" t="str">
        <f t="shared" si="31"/>
        <v/>
      </c>
      <c r="U63" s="600" t="str">
        <f t="shared" si="32"/>
        <v/>
      </c>
      <c r="V63" s="600"/>
      <c r="W63" s="600"/>
      <c r="X63" s="600"/>
      <c r="Y63" s="600"/>
      <c r="Z63" s="600"/>
      <c r="AA63" s="600"/>
      <c r="AB63" s="619">
        <v>27</v>
      </c>
      <c r="AC63" s="600" t="str">
        <f t="shared" si="33"/>
        <v/>
      </c>
      <c r="AD63" s="600" t="str">
        <f t="shared" si="34"/>
        <v/>
      </c>
      <c r="AE63" s="600"/>
      <c r="AF63" s="600"/>
      <c r="AG63" s="600"/>
      <c r="AH63" s="600"/>
      <c r="AI63" s="600"/>
      <c r="AJ63" s="600"/>
      <c r="AK63" s="619">
        <v>27</v>
      </c>
      <c r="AL63" s="600" t="str">
        <f t="shared" si="35"/>
        <v/>
      </c>
      <c r="AM63" s="600" t="str">
        <f t="shared" si="36"/>
        <v/>
      </c>
      <c r="AN63" s="600"/>
      <c r="AO63" s="600"/>
      <c r="AP63" s="600"/>
      <c r="AQ63" s="600"/>
      <c r="AR63" s="600"/>
      <c r="AS63" s="600"/>
      <c r="AT63" s="619">
        <v>27</v>
      </c>
      <c r="AU63" s="600" t="str">
        <f t="shared" si="37"/>
        <v/>
      </c>
      <c r="AV63" s="600" t="str">
        <f t="shared" si="38"/>
        <v/>
      </c>
      <c r="AW63" s="600"/>
      <c r="AX63" s="619"/>
      <c r="AY63" s="600"/>
      <c r="AZ63" s="600"/>
      <c r="BA63" s="600"/>
      <c r="BB63" s="600"/>
      <c r="BC63" s="619">
        <v>27</v>
      </c>
      <c r="BD63" s="600" t="str">
        <f t="shared" si="39"/>
        <v/>
      </c>
      <c r="BE63" s="600" t="str">
        <f t="shared" si="40"/>
        <v/>
      </c>
      <c r="BF63" s="600"/>
      <c r="BG63" s="600"/>
      <c r="BH63" s="600"/>
      <c r="BI63" s="600"/>
      <c r="BJ63" s="600"/>
      <c r="BK63" s="600"/>
      <c r="BL63" s="619">
        <v>27</v>
      </c>
      <c r="BM63" s="600" t="str">
        <f t="shared" si="41"/>
        <v/>
      </c>
      <c r="BN63" s="600" t="str">
        <f t="shared" si="42"/>
        <v/>
      </c>
      <c r="BO63" s="600"/>
      <c r="BP63" s="600"/>
      <c r="BQ63" s="600"/>
      <c r="BR63" s="600"/>
      <c r="BS63" s="600"/>
      <c r="BT63" s="600"/>
      <c r="BU63" s="619">
        <v>27</v>
      </c>
      <c r="BV63" s="600" t="str">
        <f t="shared" si="43"/>
        <v/>
      </c>
      <c r="BW63" s="600" t="str">
        <f t="shared" si="44"/>
        <v/>
      </c>
      <c r="BX63" s="600"/>
      <c r="BY63" s="600"/>
      <c r="BZ63" s="600"/>
      <c r="CA63" s="600"/>
      <c r="CB63" s="600"/>
      <c r="CC63" s="619">
        <v>27</v>
      </c>
      <c r="CD63" s="600" t="str">
        <f t="shared" si="45"/>
        <v/>
      </c>
      <c r="CE63" s="600" t="str">
        <f t="shared" si="46"/>
        <v/>
      </c>
      <c r="CF63" s="600"/>
      <c r="CG63" s="600"/>
      <c r="CH63" s="600"/>
      <c r="CI63" s="600"/>
      <c r="CJ63" s="600"/>
      <c r="CK63" s="600"/>
      <c r="CL63" s="600"/>
      <c r="CM63" s="600"/>
      <c r="CN63" s="600"/>
      <c r="CO63" s="600"/>
      <c r="CP63" s="600"/>
      <c r="CQ63" s="600"/>
      <c r="CR63" s="600"/>
      <c r="CS63" s="600"/>
      <c r="CT63" s="600"/>
      <c r="CU63" s="600"/>
      <c r="CV63" s="600"/>
      <c r="CW63" s="600"/>
      <c r="CX63" s="600"/>
      <c r="CY63" s="600"/>
      <c r="CZ63" s="600"/>
      <c r="DA63" s="600"/>
      <c r="DB63" s="600"/>
      <c r="DC63" s="600"/>
      <c r="DD63" s="600"/>
      <c r="DE63" s="600"/>
      <c r="DF63" s="600"/>
    </row>
    <row r="64" spans="1:110" x14ac:dyDescent="0.25">
      <c r="A64" s="600"/>
      <c r="B64" s="1080"/>
      <c r="C64" s="1080"/>
      <c r="D64" s="1080"/>
      <c r="E64" s="1080"/>
      <c r="F64" s="1080"/>
      <c r="G64" s="1080"/>
      <c r="H64" s="1080"/>
      <c r="I64" s="620"/>
      <c r="J64" s="619">
        <v>28</v>
      </c>
      <c r="K64" s="600" t="str">
        <f t="shared" si="29"/>
        <v/>
      </c>
      <c r="L64" s="600" t="str">
        <f t="shared" si="30"/>
        <v/>
      </c>
      <c r="M64" s="600"/>
      <c r="N64" s="600"/>
      <c r="O64" s="600"/>
      <c r="P64" s="600"/>
      <c r="Q64" s="600"/>
      <c r="R64" s="600"/>
      <c r="S64" s="619">
        <v>28</v>
      </c>
      <c r="T64" s="600" t="str">
        <f t="shared" si="31"/>
        <v/>
      </c>
      <c r="U64" s="600" t="str">
        <f t="shared" si="32"/>
        <v/>
      </c>
      <c r="V64" s="600"/>
      <c r="W64" s="600"/>
      <c r="X64" s="600"/>
      <c r="Y64" s="600"/>
      <c r="Z64" s="600"/>
      <c r="AA64" s="600"/>
      <c r="AB64" s="619">
        <v>28</v>
      </c>
      <c r="AC64" s="600" t="str">
        <f t="shared" si="33"/>
        <v/>
      </c>
      <c r="AD64" s="600" t="str">
        <f t="shared" si="34"/>
        <v/>
      </c>
      <c r="AE64" s="600"/>
      <c r="AF64" s="600"/>
      <c r="AG64" s="600"/>
      <c r="AH64" s="600"/>
      <c r="AI64" s="600"/>
      <c r="AJ64" s="600"/>
      <c r="AK64" s="619">
        <v>28</v>
      </c>
      <c r="AL64" s="600" t="str">
        <f t="shared" si="35"/>
        <v/>
      </c>
      <c r="AM64" s="600" t="str">
        <f t="shared" si="36"/>
        <v/>
      </c>
      <c r="AN64" s="600"/>
      <c r="AO64" s="600"/>
      <c r="AP64" s="600"/>
      <c r="AQ64" s="600"/>
      <c r="AR64" s="600"/>
      <c r="AS64" s="600"/>
      <c r="AT64" s="619">
        <v>28</v>
      </c>
      <c r="AU64" s="600" t="str">
        <f t="shared" si="37"/>
        <v/>
      </c>
      <c r="AV64" s="600" t="str">
        <f t="shared" si="38"/>
        <v/>
      </c>
      <c r="AW64" s="600"/>
      <c r="AX64" s="619"/>
      <c r="AY64" s="600"/>
      <c r="AZ64" s="600"/>
      <c r="BA64" s="600"/>
      <c r="BB64" s="600"/>
      <c r="BC64" s="619">
        <v>28</v>
      </c>
      <c r="BD64" s="600" t="str">
        <f t="shared" si="39"/>
        <v/>
      </c>
      <c r="BE64" s="600" t="str">
        <f t="shared" si="40"/>
        <v/>
      </c>
      <c r="BF64" s="600"/>
      <c r="BG64" s="600"/>
      <c r="BH64" s="600"/>
      <c r="BI64" s="600"/>
      <c r="BJ64" s="600"/>
      <c r="BK64" s="600"/>
      <c r="BL64" s="619">
        <v>28</v>
      </c>
      <c r="BM64" s="600" t="str">
        <f t="shared" si="41"/>
        <v/>
      </c>
      <c r="BN64" s="600" t="str">
        <f t="shared" si="42"/>
        <v/>
      </c>
      <c r="BO64" s="600"/>
      <c r="BP64" s="600"/>
      <c r="BQ64" s="600"/>
      <c r="BR64" s="600"/>
      <c r="BS64" s="600"/>
      <c r="BT64" s="600"/>
      <c r="BU64" s="619">
        <v>28</v>
      </c>
      <c r="BV64" s="600" t="str">
        <f t="shared" si="43"/>
        <v/>
      </c>
      <c r="BW64" s="600" t="str">
        <f t="shared" si="44"/>
        <v/>
      </c>
      <c r="BX64" s="600"/>
      <c r="BY64" s="600"/>
      <c r="BZ64" s="600"/>
      <c r="CA64" s="600"/>
      <c r="CB64" s="600"/>
      <c r="CC64" s="619">
        <v>28</v>
      </c>
      <c r="CD64" s="600" t="str">
        <f t="shared" si="45"/>
        <v/>
      </c>
      <c r="CE64" s="600" t="str">
        <f t="shared" si="46"/>
        <v/>
      </c>
      <c r="CF64" s="600"/>
      <c r="CG64" s="600"/>
      <c r="CH64" s="600"/>
      <c r="CI64" s="600"/>
      <c r="CJ64" s="600"/>
      <c r="CK64" s="600"/>
      <c r="CL64" s="600"/>
      <c r="CM64" s="600"/>
      <c r="CN64" s="600"/>
      <c r="CO64" s="600"/>
      <c r="CP64" s="600"/>
      <c r="CQ64" s="600"/>
      <c r="CR64" s="600"/>
      <c r="CS64" s="600"/>
      <c r="CT64" s="600"/>
      <c r="CU64" s="600"/>
      <c r="CV64" s="600"/>
      <c r="CW64" s="600"/>
      <c r="CX64" s="600"/>
      <c r="CY64" s="600"/>
      <c r="CZ64" s="600"/>
      <c r="DA64" s="600"/>
      <c r="DB64" s="600"/>
      <c r="DC64" s="600"/>
      <c r="DD64" s="600"/>
      <c r="DE64" s="600"/>
      <c r="DF64" s="600"/>
    </row>
    <row r="65" spans="1:110" x14ac:dyDescent="0.25">
      <c r="A65" s="600"/>
      <c r="B65" s="1080"/>
      <c r="C65" s="1080"/>
      <c r="D65" s="1080"/>
      <c r="E65" s="1080"/>
      <c r="F65" s="1080"/>
      <c r="G65" s="1080"/>
      <c r="H65" s="1080"/>
      <c r="I65" s="620"/>
      <c r="J65" s="619">
        <v>29</v>
      </c>
      <c r="K65" s="600" t="str">
        <f t="shared" si="29"/>
        <v/>
      </c>
      <c r="L65" s="600" t="str">
        <f t="shared" si="30"/>
        <v/>
      </c>
      <c r="M65" s="600"/>
      <c r="N65" s="600"/>
      <c r="O65" s="600"/>
      <c r="P65" s="600"/>
      <c r="Q65" s="600"/>
      <c r="R65" s="600"/>
      <c r="S65" s="619">
        <v>29</v>
      </c>
      <c r="T65" s="600" t="str">
        <f t="shared" si="31"/>
        <v/>
      </c>
      <c r="U65" s="600" t="str">
        <f t="shared" si="32"/>
        <v/>
      </c>
      <c r="V65" s="600"/>
      <c r="W65" s="600"/>
      <c r="X65" s="600"/>
      <c r="Y65" s="600"/>
      <c r="Z65" s="600"/>
      <c r="AA65" s="600"/>
      <c r="AB65" s="619">
        <v>29</v>
      </c>
      <c r="AC65" s="600" t="str">
        <f t="shared" si="33"/>
        <v/>
      </c>
      <c r="AD65" s="600" t="str">
        <f t="shared" si="34"/>
        <v/>
      </c>
      <c r="AE65" s="600"/>
      <c r="AF65" s="600"/>
      <c r="AG65" s="600"/>
      <c r="AH65" s="600"/>
      <c r="AI65" s="600"/>
      <c r="AJ65" s="600"/>
      <c r="AK65" s="619">
        <v>29</v>
      </c>
      <c r="AL65" s="600" t="str">
        <f t="shared" si="35"/>
        <v/>
      </c>
      <c r="AM65" s="600" t="str">
        <f t="shared" si="36"/>
        <v/>
      </c>
      <c r="AN65" s="600"/>
      <c r="AO65" s="600"/>
      <c r="AP65" s="600"/>
      <c r="AQ65" s="600"/>
      <c r="AR65" s="600"/>
      <c r="AS65" s="600"/>
      <c r="AT65" s="619">
        <v>29</v>
      </c>
      <c r="AU65" s="600" t="str">
        <f t="shared" si="37"/>
        <v/>
      </c>
      <c r="AV65" s="600" t="str">
        <f t="shared" si="38"/>
        <v/>
      </c>
      <c r="AW65" s="600"/>
      <c r="AX65" s="619"/>
      <c r="AY65" s="600"/>
      <c r="AZ65" s="600"/>
      <c r="BA65" s="600"/>
      <c r="BB65" s="600"/>
      <c r="BC65" s="619">
        <v>29</v>
      </c>
      <c r="BD65" s="600" t="str">
        <f t="shared" si="39"/>
        <v/>
      </c>
      <c r="BE65" s="600" t="str">
        <f t="shared" si="40"/>
        <v/>
      </c>
      <c r="BF65" s="600"/>
      <c r="BG65" s="600"/>
      <c r="BH65" s="600"/>
      <c r="BI65" s="600"/>
      <c r="BJ65" s="600"/>
      <c r="BK65" s="600"/>
      <c r="BL65" s="619">
        <v>29</v>
      </c>
      <c r="BM65" s="600" t="str">
        <f t="shared" si="41"/>
        <v/>
      </c>
      <c r="BN65" s="600" t="str">
        <f t="shared" si="42"/>
        <v/>
      </c>
      <c r="BO65" s="600"/>
      <c r="BP65" s="600"/>
      <c r="BQ65" s="600"/>
      <c r="BR65" s="600"/>
      <c r="BS65" s="600"/>
      <c r="BT65" s="600"/>
      <c r="BU65" s="619">
        <v>29</v>
      </c>
      <c r="BV65" s="600" t="str">
        <f t="shared" si="43"/>
        <v/>
      </c>
      <c r="BW65" s="600" t="str">
        <f t="shared" si="44"/>
        <v/>
      </c>
      <c r="BX65" s="600"/>
      <c r="BY65" s="600"/>
      <c r="BZ65" s="600"/>
      <c r="CA65" s="600"/>
      <c r="CB65" s="600"/>
      <c r="CC65" s="619">
        <v>29</v>
      </c>
      <c r="CD65" s="600" t="str">
        <f t="shared" si="45"/>
        <v/>
      </c>
      <c r="CE65" s="600" t="str">
        <f t="shared" si="46"/>
        <v/>
      </c>
      <c r="CF65" s="600"/>
      <c r="CG65" s="600"/>
      <c r="CH65" s="600"/>
      <c r="CI65" s="600"/>
      <c r="CJ65" s="600"/>
      <c r="CK65" s="600"/>
      <c r="CL65" s="600"/>
      <c r="CM65" s="600"/>
      <c r="CN65" s="600"/>
      <c r="CO65" s="600"/>
      <c r="CP65" s="600"/>
      <c r="CQ65" s="600"/>
      <c r="CR65" s="600"/>
      <c r="CS65" s="600"/>
      <c r="CT65" s="600"/>
      <c r="CU65" s="600"/>
      <c r="CV65" s="600"/>
      <c r="CW65" s="600"/>
      <c r="CX65" s="600"/>
      <c r="CY65" s="600"/>
      <c r="CZ65" s="600"/>
      <c r="DA65" s="600"/>
      <c r="DB65" s="600"/>
      <c r="DC65" s="600"/>
      <c r="DD65" s="600"/>
      <c r="DE65" s="600"/>
      <c r="DF65" s="600"/>
    </row>
    <row r="66" spans="1:110" x14ac:dyDescent="0.25">
      <c r="A66" s="600"/>
      <c r="B66" s="1080"/>
      <c r="C66" s="1080"/>
      <c r="D66" s="1080"/>
      <c r="E66" s="1080"/>
      <c r="F66" s="1080"/>
      <c r="G66" s="1080"/>
      <c r="H66" s="1080"/>
      <c r="I66" s="620"/>
      <c r="J66" s="619">
        <v>30</v>
      </c>
      <c r="K66" s="600" t="str">
        <f t="shared" si="29"/>
        <v/>
      </c>
      <c r="L66" s="600" t="str">
        <f t="shared" si="30"/>
        <v/>
      </c>
      <c r="M66" s="600"/>
      <c r="N66" s="600"/>
      <c r="O66" s="600"/>
      <c r="P66" s="600"/>
      <c r="Q66" s="600"/>
      <c r="R66" s="600"/>
      <c r="S66" s="619">
        <v>30</v>
      </c>
      <c r="T66" s="600" t="str">
        <f t="shared" si="31"/>
        <v/>
      </c>
      <c r="U66" s="600" t="str">
        <f t="shared" si="32"/>
        <v/>
      </c>
      <c r="V66" s="600"/>
      <c r="W66" s="600"/>
      <c r="X66" s="600"/>
      <c r="Y66" s="600"/>
      <c r="Z66" s="600"/>
      <c r="AA66" s="600"/>
      <c r="AB66" s="619">
        <v>30</v>
      </c>
      <c r="AC66" s="600" t="str">
        <f t="shared" si="33"/>
        <v/>
      </c>
      <c r="AD66" s="600" t="str">
        <f t="shared" si="34"/>
        <v/>
      </c>
      <c r="AE66" s="600"/>
      <c r="AF66" s="600"/>
      <c r="AG66" s="600"/>
      <c r="AH66" s="600"/>
      <c r="AI66" s="600"/>
      <c r="AJ66" s="600"/>
      <c r="AK66" s="619">
        <v>30</v>
      </c>
      <c r="AL66" s="600" t="str">
        <f t="shared" si="35"/>
        <v/>
      </c>
      <c r="AM66" s="600" t="str">
        <f t="shared" si="36"/>
        <v/>
      </c>
      <c r="AN66" s="600"/>
      <c r="AO66" s="600"/>
      <c r="AP66" s="600"/>
      <c r="AQ66" s="600"/>
      <c r="AR66" s="600"/>
      <c r="AS66" s="600"/>
      <c r="AT66" s="619">
        <v>30</v>
      </c>
      <c r="AU66" s="600" t="str">
        <f t="shared" si="37"/>
        <v/>
      </c>
      <c r="AV66" s="600" t="str">
        <f t="shared" si="38"/>
        <v/>
      </c>
      <c r="AW66" s="600"/>
      <c r="AX66" s="619"/>
      <c r="AY66" s="600"/>
      <c r="AZ66" s="600"/>
      <c r="BA66" s="600"/>
      <c r="BB66" s="600"/>
      <c r="BC66" s="619">
        <v>30</v>
      </c>
      <c r="BD66" s="600" t="str">
        <f t="shared" si="39"/>
        <v/>
      </c>
      <c r="BE66" s="600" t="str">
        <f t="shared" si="40"/>
        <v/>
      </c>
      <c r="BF66" s="600"/>
      <c r="BG66" s="600"/>
      <c r="BH66" s="600"/>
      <c r="BI66" s="600"/>
      <c r="BJ66" s="600"/>
      <c r="BK66" s="600"/>
      <c r="BL66" s="619">
        <v>30</v>
      </c>
      <c r="BM66" s="600" t="str">
        <f t="shared" si="41"/>
        <v/>
      </c>
      <c r="BN66" s="600" t="str">
        <f t="shared" si="42"/>
        <v/>
      </c>
      <c r="BO66" s="600"/>
      <c r="BP66" s="600"/>
      <c r="BQ66" s="600"/>
      <c r="BR66" s="600"/>
      <c r="BS66" s="600"/>
      <c r="BT66" s="600"/>
      <c r="BU66" s="619">
        <v>30</v>
      </c>
      <c r="BV66" s="600" t="str">
        <f t="shared" si="43"/>
        <v/>
      </c>
      <c r="BW66" s="600" t="str">
        <f t="shared" si="44"/>
        <v/>
      </c>
      <c r="BX66" s="600"/>
      <c r="BY66" s="600"/>
      <c r="BZ66" s="600"/>
      <c r="CA66" s="600"/>
      <c r="CB66" s="600"/>
      <c r="CC66" s="619">
        <v>30</v>
      </c>
      <c r="CD66" s="600" t="str">
        <f t="shared" si="45"/>
        <v/>
      </c>
      <c r="CE66" s="600" t="str">
        <f t="shared" si="46"/>
        <v/>
      </c>
      <c r="CF66" s="600"/>
      <c r="CG66" s="600"/>
      <c r="CH66" s="600"/>
      <c r="CI66" s="600"/>
      <c r="CJ66" s="600"/>
      <c r="CK66" s="600"/>
      <c r="CL66" s="600"/>
      <c r="CM66" s="600"/>
      <c r="CN66" s="600"/>
      <c r="CO66" s="600"/>
      <c r="CP66" s="600"/>
      <c r="CQ66" s="600"/>
      <c r="CR66" s="600"/>
      <c r="CS66" s="600"/>
      <c r="CT66" s="600"/>
      <c r="CU66" s="600"/>
      <c r="CV66" s="600"/>
      <c r="CW66" s="600"/>
      <c r="CX66" s="600"/>
      <c r="CY66" s="600"/>
      <c r="CZ66" s="600"/>
      <c r="DA66" s="600"/>
      <c r="DB66" s="600"/>
      <c r="DC66" s="600"/>
      <c r="DD66" s="600"/>
      <c r="DE66" s="600"/>
      <c r="DF66" s="600"/>
    </row>
    <row r="67" spans="1:110" x14ac:dyDescent="0.25">
      <c r="A67" s="600"/>
      <c r="B67" s="600"/>
      <c r="C67" s="600"/>
      <c r="D67" s="600">
        <v>1</v>
      </c>
      <c r="E67" s="600"/>
      <c r="F67" s="600"/>
      <c r="G67" s="600"/>
      <c r="H67" s="600"/>
      <c r="I67" s="600"/>
      <c r="J67" s="600"/>
      <c r="K67" s="600"/>
      <c r="L67" s="600"/>
      <c r="M67" s="600">
        <v>2</v>
      </c>
      <c r="N67" s="600"/>
      <c r="O67" s="600"/>
      <c r="P67" s="600"/>
      <c r="Q67" s="600"/>
      <c r="R67" s="600"/>
      <c r="S67" s="600"/>
      <c r="T67" s="600"/>
      <c r="U67" s="600"/>
      <c r="V67" s="600">
        <v>3</v>
      </c>
      <c r="W67" s="600"/>
      <c r="X67" s="600"/>
      <c r="Y67" s="600"/>
      <c r="Z67" s="600"/>
      <c r="AA67" s="600"/>
      <c r="AB67" s="600"/>
      <c r="AC67" s="600"/>
      <c r="AD67" s="600"/>
      <c r="AE67" s="600">
        <v>4</v>
      </c>
      <c r="AF67" s="600"/>
      <c r="AG67" s="600"/>
      <c r="AH67" s="600"/>
      <c r="AI67" s="600"/>
      <c r="AJ67" s="600"/>
      <c r="AK67" s="600"/>
      <c r="AL67" s="600"/>
      <c r="AM67" s="600"/>
      <c r="AN67" s="600"/>
      <c r="AO67" s="600"/>
      <c r="AP67" s="600"/>
      <c r="AQ67" s="600"/>
      <c r="AR67" s="600"/>
      <c r="AS67" s="600"/>
      <c r="AT67" s="600"/>
      <c r="AU67" s="600"/>
      <c r="AV67" s="600"/>
      <c r="AW67" s="600"/>
      <c r="AX67" s="600"/>
      <c r="AY67" s="600"/>
      <c r="AZ67" s="600"/>
      <c r="BA67" s="600"/>
      <c r="BB67" s="600"/>
      <c r="BC67" s="600"/>
      <c r="BD67" s="600"/>
      <c r="BE67" s="600"/>
      <c r="BF67" s="600"/>
      <c r="BG67" s="600"/>
      <c r="BH67" s="600"/>
      <c r="BI67" s="600"/>
      <c r="BJ67" s="600"/>
      <c r="BK67" s="600"/>
      <c r="BL67" s="600"/>
      <c r="BM67" s="600"/>
      <c r="BN67" s="600"/>
      <c r="BO67" s="600"/>
      <c r="BP67" s="600"/>
      <c r="BQ67" s="600"/>
      <c r="BR67" s="600"/>
      <c r="BS67" s="600"/>
      <c r="BT67" s="600"/>
      <c r="BU67" s="600"/>
      <c r="BV67" s="600"/>
      <c r="BW67" s="600"/>
      <c r="BX67" s="600"/>
      <c r="BY67" s="600"/>
      <c r="BZ67" s="600"/>
      <c r="CA67" s="600"/>
      <c r="CB67" s="600"/>
      <c r="CC67" s="600"/>
      <c r="CD67" s="600"/>
      <c r="CE67" s="600"/>
      <c r="CF67" s="600"/>
      <c r="CG67" s="600"/>
      <c r="CH67" s="600"/>
      <c r="CI67" s="600"/>
      <c r="CJ67" s="600"/>
      <c r="CK67" s="600"/>
      <c r="CL67" s="600"/>
      <c r="CM67" s="600"/>
      <c r="CN67" s="600"/>
      <c r="CO67" s="600"/>
      <c r="CP67" s="600"/>
      <c r="CQ67" s="600"/>
      <c r="CR67" s="600"/>
      <c r="CS67" s="600"/>
      <c r="CT67" s="600"/>
      <c r="CU67" s="600"/>
      <c r="CV67" s="600"/>
      <c r="CW67" s="600"/>
      <c r="CX67" s="600"/>
      <c r="CY67" s="600"/>
      <c r="CZ67" s="600"/>
      <c r="DA67" s="600"/>
      <c r="DB67" s="600"/>
      <c r="DC67" s="600"/>
      <c r="DD67" s="600"/>
      <c r="DE67" s="600"/>
      <c r="DF67" s="600"/>
    </row>
    <row r="68" spans="1:110" x14ac:dyDescent="0.25">
      <c r="A68" s="600"/>
      <c r="B68" s="600"/>
      <c r="C68" s="600"/>
      <c r="D68" s="600">
        <f>S07_ArcaneTrickster!E68</f>
        <v>5</v>
      </c>
      <c r="E68" s="600">
        <f>D68+SUM(C69:C98)</f>
        <v>5</v>
      </c>
      <c r="F68" s="600"/>
      <c r="G68" s="600"/>
      <c r="H68" s="600"/>
      <c r="I68" s="600"/>
      <c r="J68" s="600"/>
      <c r="K68" s="600"/>
      <c r="L68" s="600"/>
      <c r="M68" s="600">
        <f>S07_ArcaneTrickster!N68</f>
        <v>2</v>
      </c>
      <c r="N68" s="600">
        <f>M68+SUM(L69:L98)</f>
        <v>2</v>
      </c>
      <c r="O68" s="600"/>
      <c r="P68" s="600"/>
      <c r="Q68" s="600"/>
      <c r="R68" s="600"/>
      <c r="S68" s="600"/>
      <c r="T68" s="600"/>
      <c r="U68" s="600"/>
      <c r="V68" s="600">
        <f>S07_ArcaneTrickster!W68</f>
        <v>0</v>
      </c>
      <c r="W68" s="600">
        <f>V68+SUM(U69:U98)</f>
        <v>0</v>
      </c>
      <c r="X68" s="600"/>
      <c r="Y68" s="600"/>
      <c r="Z68" s="600"/>
      <c r="AA68" s="600"/>
      <c r="AB68" s="600"/>
      <c r="AC68" s="600"/>
      <c r="AD68" s="600"/>
      <c r="AE68" s="600">
        <f>S07_ArcaneTrickster!AF68</f>
        <v>0</v>
      </c>
      <c r="AF68" s="600">
        <f>AE68+SUM(AD69:AD98)</f>
        <v>0</v>
      </c>
      <c r="AG68" s="600"/>
      <c r="AH68" s="600"/>
      <c r="AI68" s="600"/>
      <c r="AJ68" s="600"/>
      <c r="AK68" s="600"/>
      <c r="AL68" s="600"/>
      <c r="AM68" s="600"/>
      <c r="AN68" s="600">
        <f>S06_Ranger!AO68</f>
        <v>0</v>
      </c>
      <c r="AO68" s="600">
        <f>AN68+SUM(AM69:AM98)</f>
        <v>0</v>
      </c>
      <c r="AP68" s="600"/>
      <c r="AQ68" s="600"/>
      <c r="AR68" s="600"/>
      <c r="AS68" s="600"/>
      <c r="AT68" s="600"/>
      <c r="AU68" s="600"/>
      <c r="AV68" s="600"/>
      <c r="AW68" s="600">
        <f>S03_Druid!AX68</f>
        <v>0</v>
      </c>
      <c r="AX68" s="600">
        <f>AW68+SUM(AV69:AV98)</f>
        <v>0</v>
      </c>
      <c r="AY68" s="600"/>
      <c r="AZ68" s="600"/>
      <c r="BA68" s="600"/>
      <c r="BB68" s="600"/>
      <c r="BC68" s="600"/>
      <c r="BD68" s="600"/>
      <c r="BE68" s="600"/>
      <c r="BF68" s="600">
        <f>S03_Druid!BG68</f>
        <v>0</v>
      </c>
      <c r="BG68" s="600">
        <f>BF68+SUM(BE69:BE98)</f>
        <v>0</v>
      </c>
      <c r="BH68" s="600"/>
      <c r="BI68" s="600"/>
      <c r="BJ68" s="600"/>
      <c r="BK68" s="600"/>
      <c r="BL68" s="600"/>
      <c r="BM68" s="600"/>
      <c r="BN68" s="600"/>
      <c r="BO68" s="600">
        <f>S03_Druid!BP68</f>
        <v>0</v>
      </c>
      <c r="BP68" s="600">
        <f>BO68+SUM(BN69:BN98)</f>
        <v>0</v>
      </c>
      <c r="BQ68" s="600"/>
      <c r="BR68" s="600"/>
      <c r="BS68" s="600"/>
      <c r="BT68" s="600"/>
      <c r="BU68" s="600"/>
      <c r="BV68" s="600"/>
      <c r="BW68" s="600"/>
      <c r="BX68" s="600">
        <f>S03_Druid!BY68</f>
        <v>0</v>
      </c>
      <c r="BY68" s="600">
        <f>BX68+SUM(BW69:BW98)</f>
        <v>0</v>
      </c>
      <c r="BZ68" s="600"/>
      <c r="CA68" s="600"/>
      <c r="CB68" s="600"/>
      <c r="CC68" s="600"/>
      <c r="CD68" s="600"/>
      <c r="CE68" s="600"/>
      <c r="CF68" s="600"/>
      <c r="CG68" s="600"/>
      <c r="CH68" s="600"/>
      <c r="CI68" s="600"/>
      <c r="CJ68" s="600"/>
      <c r="CK68" s="600"/>
      <c r="CL68" s="600"/>
      <c r="CM68" s="600"/>
      <c r="CN68" s="600"/>
      <c r="CO68" s="600"/>
      <c r="CP68" s="600"/>
      <c r="CQ68" s="600"/>
      <c r="CR68" s="600"/>
      <c r="CS68" s="600"/>
      <c r="CT68" s="600"/>
      <c r="CU68" s="600"/>
      <c r="CV68" s="600"/>
      <c r="CW68" s="600"/>
      <c r="CX68" s="600"/>
      <c r="CY68" s="600"/>
      <c r="CZ68" s="600"/>
      <c r="DA68" s="600"/>
      <c r="DB68" s="600"/>
      <c r="DC68" s="600"/>
      <c r="DD68" s="600"/>
      <c r="DE68" s="600"/>
      <c r="DF68" s="600"/>
    </row>
    <row r="69" spans="1:110" x14ac:dyDescent="0.25">
      <c r="B69" s="618">
        <v>1</v>
      </c>
      <c r="C69" s="165">
        <f t="shared" ref="C69:C98" si="47">IF(SpellcastingSorcerer&gt;0,IF(C5&lt;&gt;"",1,0),0)</f>
        <v>0</v>
      </c>
      <c r="D69" s="165">
        <f>IF(C69=0,0,1)</f>
        <v>0</v>
      </c>
      <c r="E69" s="165">
        <f>IF(D69=0,0,D69+D$68)</f>
        <v>0</v>
      </c>
      <c r="F69" s="165" t="str">
        <f>IF(C69=1,"Sorcerer","")</f>
        <v/>
      </c>
      <c r="G69" s="165" t="s">
        <v>6545</v>
      </c>
      <c r="H69" s="165" t="s">
        <v>6545</v>
      </c>
      <c r="I69" s="165" t="s">
        <v>6545</v>
      </c>
      <c r="J69" s="165" t="s">
        <v>6545</v>
      </c>
      <c r="K69" s="618">
        <v>1</v>
      </c>
      <c r="L69" s="165">
        <f t="shared" ref="L69:L98" si="48">IF(SpellcastingSorcerer&gt;0,IF(L5&lt;&gt;"",1,0),0)</f>
        <v>0</v>
      </c>
      <c r="M69" s="165">
        <f>IF(L69=0,0,1)</f>
        <v>0</v>
      </c>
      <c r="N69" s="165">
        <f>IF(M69=0,0,M69+M$68)</f>
        <v>0</v>
      </c>
      <c r="O69" s="165" t="str">
        <f>IF(L69=1,"Sorcerer","")</f>
        <v/>
      </c>
      <c r="P69" s="165" t="s">
        <v>6545</v>
      </c>
      <c r="Q69" s="165" t="s">
        <v>6545</v>
      </c>
      <c r="R69" s="165" t="s">
        <v>6545</v>
      </c>
      <c r="S69" s="165" t="s">
        <v>6545</v>
      </c>
      <c r="T69" s="618">
        <v>1</v>
      </c>
      <c r="U69" s="165">
        <f t="shared" ref="U69:U98" si="49">IF(SpellcastingSorcerer&gt;0,IF(U5&lt;&gt;"",1,0),0)</f>
        <v>0</v>
      </c>
      <c r="V69" s="165">
        <f>IF(U69=0,0,1)</f>
        <v>0</v>
      </c>
      <c r="W69" s="165">
        <f>IF(V69=0,0,V69+V$68)</f>
        <v>0</v>
      </c>
      <c r="X69" s="165" t="str">
        <f>IF(U69=1,"Sorcerer","")</f>
        <v/>
      </c>
      <c r="Y69" s="165" t="s">
        <v>6545</v>
      </c>
      <c r="Z69" s="165" t="s">
        <v>6545</v>
      </c>
      <c r="AA69" s="165" t="s">
        <v>6545</v>
      </c>
      <c r="AB69" s="165" t="s">
        <v>6545</v>
      </c>
      <c r="AC69" s="618">
        <v>1</v>
      </c>
      <c r="AD69" s="165">
        <f t="shared" ref="AD69:AD98" si="50">IF(SpellcastingSorcerer&gt;0,IF(AD5&lt;&gt;"",1,0),0)</f>
        <v>0</v>
      </c>
      <c r="AE69" s="165">
        <f>IF(AD69=0,0,1)</f>
        <v>0</v>
      </c>
      <c r="AF69" s="165">
        <f>IF(AE69=0,0,AE69+AE$68)</f>
        <v>0</v>
      </c>
      <c r="AG69" s="165" t="str">
        <f>IF(AD69=1,"Sorcerer","")</f>
        <v/>
      </c>
      <c r="AH69" s="165" t="s">
        <v>6545</v>
      </c>
      <c r="AI69" s="165" t="s">
        <v>6545</v>
      </c>
      <c r="AJ69" s="165" t="s">
        <v>6545</v>
      </c>
      <c r="AK69" s="165" t="s">
        <v>6545</v>
      </c>
      <c r="AL69" s="618">
        <v>1</v>
      </c>
      <c r="AM69" s="165">
        <f t="shared" ref="AM69:AM98" si="51">IF(SpellcastingSorcerer&gt;0,IF(AM5&lt;&gt;"",1,0),0)</f>
        <v>0</v>
      </c>
      <c r="AN69" s="165">
        <f>IF(AM69=0,0,1)</f>
        <v>0</v>
      </c>
      <c r="AO69" s="165">
        <f>IF(AN69=0,0,AN69+AN$68)</f>
        <v>0</v>
      </c>
      <c r="AP69" s="165" t="str">
        <f>IF(AM69=1,"Sorcerer","")</f>
        <v/>
      </c>
      <c r="AQ69" s="165" t="s">
        <v>6545</v>
      </c>
      <c r="AR69" s="165" t="s">
        <v>6545</v>
      </c>
      <c r="AS69" s="165" t="s">
        <v>6545</v>
      </c>
      <c r="AT69" s="165" t="s">
        <v>6545</v>
      </c>
      <c r="AU69" s="618">
        <v>1</v>
      </c>
      <c r="AV69" s="165">
        <f t="shared" ref="AV69:AV98" si="52">IF(SpellcastingSorcerer&gt;0,IF(AV5&lt;&gt;"",1,0),0)</f>
        <v>0</v>
      </c>
      <c r="AW69" s="165">
        <f>IF(AV69=0,0,1)</f>
        <v>0</v>
      </c>
      <c r="AX69" s="165">
        <f>IF(AW69=0,0,AW69+AW$68)</f>
        <v>0</v>
      </c>
      <c r="AY69" s="165" t="str">
        <f>IF(AV69=1,"Sorcerer","")</f>
        <v/>
      </c>
      <c r="AZ69" s="165" t="s">
        <v>6545</v>
      </c>
      <c r="BA69" s="165" t="s">
        <v>6545</v>
      </c>
      <c r="BB69" s="165" t="s">
        <v>6545</v>
      </c>
      <c r="BC69" s="165" t="s">
        <v>6545</v>
      </c>
      <c r="BD69" s="618">
        <v>1</v>
      </c>
      <c r="BE69" s="165">
        <f t="shared" ref="BE69:BE98" si="53">IF(SpellcastingSorcerer&gt;0,IF(BE5&lt;&gt;"",1,0),0)</f>
        <v>0</v>
      </c>
      <c r="BF69" s="165">
        <f>IF(BE69=0,0,1)</f>
        <v>0</v>
      </c>
      <c r="BG69" s="165">
        <f>IF(BF69=0,0,BF69+BF$68)</f>
        <v>0</v>
      </c>
      <c r="BH69" s="165" t="str">
        <f>IF(BE69=1,"Sorcerer","")</f>
        <v/>
      </c>
      <c r="BI69" s="165" t="s">
        <v>6545</v>
      </c>
      <c r="BJ69" s="165" t="s">
        <v>6545</v>
      </c>
      <c r="BK69" s="165" t="s">
        <v>6545</v>
      </c>
      <c r="BL69" s="165" t="s">
        <v>6545</v>
      </c>
      <c r="BM69" s="618">
        <v>1</v>
      </c>
      <c r="BN69" s="165">
        <f t="shared" ref="BN69:BN98" si="54">IF(SpellcastingSorcerer&gt;0,IF(BN5&lt;&gt;"",1,0),0)</f>
        <v>0</v>
      </c>
      <c r="BO69" s="165">
        <f>IF(BN69=0,0,1)</f>
        <v>0</v>
      </c>
      <c r="BP69" s="165">
        <f>IF(BO69=0,0,BO69+BO$68)</f>
        <v>0</v>
      </c>
      <c r="BQ69" s="165" t="str">
        <f>IF(BN69=1,"Sorcerer","")</f>
        <v/>
      </c>
      <c r="BR69" s="165" t="s">
        <v>6545</v>
      </c>
      <c r="BS69" s="165" t="s">
        <v>6545</v>
      </c>
      <c r="BT69" s="165" t="s">
        <v>6545</v>
      </c>
      <c r="BU69" s="165" t="s">
        <v>6545</v>
      </c>
      <c r="BV69" s="618">
        <v>1</v>
      </c>
      <c r="BW69" s="165">
        <f t="shared" ref="BW69:BW98" si="55">IF(SpellcastingSorcerer&gt;0,IF(BW5&lt;&gt;"",1,0),0)</f>
        <v>0</v>
      </c>
      <c r="BX69" s="165">
        <f>IF(BW69=0,0,1)</f>
        <v>0</v>
      </c>
      <c r="BY69" s="165">
        <f>IF(BX69=0,0,BX69+BX$68)</f>
        <v>0</v>
      </c>
      <c r="BZ69" s="165" t="str">
        <f>IF(BW69=1,"Sorcerer","")</f>
        <v/>
      </c>
      <c r="CA69" s="165" t="s">
        <v>6545</v>
      </c>
      <c r="CB69" s="165" t="s">
        <v>6545</v>
      </c>
      <c r="CC69" s="165" t="s">
        <v>6545</v>
      </c>
      <c r="CD69" s="165" t="s">
        <v>6545</v>
      </c>
    </row>
    <row r="70" spans="1:110" x14ac:dyDescent="0.25">
      <c r="B70" s="618">
        <v>2</v>
      </c>
      <c r="C70" s="165">
        <f t="shared" si="47"/>
        <v>0</v>
      </c>
      <c r="D70" s="165">
        <f>IF(C70=0,0,1+MAX($D69:D$69))</f>
        <v>0</v>
      </c>
      <c r="E70" s="165">
        <f t="shared" ref="E70:E98" si="56">IF(D70=0,0,D70+D$68)</f>
        <v>0</v>
      </c>
      <c r="F70" s="165" t="str">
        <f t="shared" ref="F70:F98" si="57">IF(C70=1,"Sorcerer","")</f>
        <v/>
      </c>
      <c r="G70" s="165" t="str">
        <f t="shared" ref="G70:G98" si="58">IF(C70=1,"P","")</f>
        <v/>
      </c>
      <c r="K70" s="618">
        <v>2</v>
      </c>
      <c r="L70" s="165">
        <f t="shared" si="48"/>
        <v>0</v>
      </c>
      <c r="M70" s="165">
        <f>IF(L70=0,0,1+MAX(M69:M$69))</f>
        <v>0</v>
      </c>
      <c r="N70" s="165">
        <f t="shared" ref="N70:N98" si="59">IF(M70=0,0,M70+M$68)</f>
        <v>0</v>
      </c>
      <c r="O70" s="165" t="str">
        <f t="shared" ref="O70:O98" si="60">IF(L70=1,"Sorcerer","")</f>
        <v/>
      </c>
      <c r="P70" s="165" t="str">
        <f t="shared" ref="P70:P98" si="61">IF(L70=1,"P","")</f>
        <v/>
      </c>
      <c r="T70" s="618">
        <v>2</v>
      </c>
      <c r="U70" s="165">
        <f t="shared" si="49"/>
        <v>0</v>
      </c>
      <c r="V70" s="165">
        <f>IF(U70=0,0,1+MAX(V69:V$69))</f>
        <v>0</v>
      </c>
      <c r="W70" s="165">
        <f t="shared" ref="W70:W98" si="62">IF(V70=0,0,V70+V$68)</f>
        <v>0</v>
      </c>
      <c r="X70" s="165" t="str">
        <f t="shared" ref="X70:X98" si="63">IF(U70=1,"Sorcerer","")</f>
        <v/>
      </c>
      <c r="Y70" s="165" t="str">
        <f t="shared" ref="Y70:Y98" si="64">IF(U70=1,"P","")</f>
        <v/>
      </c>
      <c r="AC70" s="618">
        <v>2</v>
      </c>
      <c r="AD70" s="165">
        <f t="shared" si="50"/>
        <v>0</v>
      </c>
      <c r="AE70" s="165">
        <f>IF(AD70=0,0,1+MAX(AE69:AE$69))</f>
        <v>0</v>
      </c>
      <c r="AF70" s="165">
        <f t="shared" ref="AF70:AF98" si="65">IF(AE70=0,0,AE70+AE$68)</f>
        <v>0</v>
      </c>
      <c r="AG70" s="165" t="str">
        <f t="shared" ref="AG70:AG98" si="66">IF(AD70=1,"Sorcerer","")</f>
        <v/>
      </c>
      <c r="AH70" s="165" t="str">
        <f t="shared" ref="AH70:AH98" si="67">IF(AD70=1,"P","")</f>
        <v/>
      </c>
      <c r="AL70" s="618">
        <v>2</v>
      </c>
      <c r="AM70" s="165">
        <f t="shared" si="51"/>
        <v>0</v>
      </c>
      <c r="AN70" s="165">
        <f>IF(AM70=0,0,1+MAX(AN69:AN$69))</f>
        <v>0</v>
      </c>
      <c r="AO70" s="165">
        <f t="shared" ref="AO70:AO98" si="68">IF(AN70=0,0,AN70+AN$68)</f>
        <v>0</v>
      </c>
      <c r="AP70" s="165" t="str">
        <f t="shared" ref="AP70:AP98" si="69">IF(AM70=1,"Sorcerer","")</f>
        <v/>
      </c>
      <c r="AQ70" s="165" t="str">
        <f t="shared" ref="AQ70:AQ98" si="70">IF(AM70=1,"P","")</f>
        <v/>
      </c>
      <c r="AU70" s="618">
        <v>2</v>
      </c>
      <c r="AV70" s="165">
        <f t="shared" si="52"/>
        <v>0</v>
      </c>
      <c r="AW70" s="165">
        <f>IF(AV70=0,0,1+MAX(AW69:AW$69))</f>
        <v>0</v>
      </c>
      <c r="AX70" s="165">
        <f t="shared" ref="AX70:AX98" si="71">IF(AW70=0,0,AW70+AW$68)</f>
        <v>0</v>
      </c>
      <c r="AY70" s="165" t="str">
        <f t="shared" ref="AY70:AY98" si="72">IF(AV70=1,"Sorcerer","")</f>
        <v/>
      </c>
      <c r="AZ70" s="165" t="str">
        <f t="shared" ref="AZ70:AZ98" si="73">IF(AV70=1,"P","")</f>
        <v/>
      </c>
      <c r="BD70" s="618">
        <v>2</v>
      </c>
      <c r="BE70" s="165">
        <f t="shared" si="53"/>
        <v>0</v>
      </c>
      <c r="BF70" s="165">
        <f>IF(BE70=0,0,1+MAX(BF69:BF$69))</f>
        <v>0</v>
      </c>
      <c r="BG70" s="165">
        <f t="shared" ref="BG70:BG98" si="74">IF(BF70=0,0,BF70+BF$68)</f>
        <v>0</v>
      </c>
      <c r="BH70" s="165" t="str">
        <f t="shared" ref="BH70:BH98" si="75">IF(BE70=1,"Sorcerer","")</f>
        <v/>
      </c>
      <c r="BI70" s="165" t="str">
        <f t="shared" ref="BI70:BI98" si="76">IF(BE70=1,"P","")</f>
        <v/>
      </c>
      <c r="BM70" s="618">
        <v>2</v>
      </c>
      <c r="BN70" s="165">
        <f t="shared" si="54"/>
        <v>0</v>
      </c>
      <c r="BO70" s="165">
        <f>IF(BN70=0,0,1+MAX(BO69:BO$69))</f>
        <v>0</v>
      </c>
      <c r="BP70" s="165">
        <f t="shared" ref="BP70:BP98" si="77">IF(BO70=0,0,BO70+BO$68)</f>
        <v>0</v>
      </c>
      <c r="BQ70" s="165" t="str">
        <f t="shared" ref="BQ70:BQ98" si="78">IF(BN70=1,"Sorcerer","")</f>
        <v/>
      </c>
      <c r="BR70" s="165" t="str">
        <f t="shared" ref="BR70:BR98" si="79">IF(BN70=1,"P","")</f>
        <v/>
      </c>
      <c r="BV70" s="618">
        <v>2</v>
      </c>
      <c r="BW70" s="165">
        <f t="shared" si="55"/>
        <v>0</v>
      </c>
      <c r="BX70" s="165">
        <f>IF(BW70=0,0,1+MAX(BX69:BX$69))</f>
        <v>0</v>
      </c>
      <c r="BY70" s="165">
        <f t="shared" ref="BY70:BY98" si="80">IF(BX70=0,0,BX70+BX$68)</f>
        <v>0</v>
      </c>
      <c r="BZ70" s="165" t="str">
        <f t="shared" ref="BZ70:BZ98" si="81">IF(BW70=1,"Sorcerer","")</f>
        <v/>
      </c>
      <c r="CA70" s="165" t="str">
        <f t="shared" ref="CA70:CA98" si="82">IF(BW70=1,"P","")</f>
        <v/>
      </c>
    </row>
    <row r="71" spans="1:110" x14ac:dyDescent="0.25">
      <c r="B71" s="618">
        <v>3</v>
      </c>
      <c r="C71" s="165">
        <f t="shared" si="47"/>
        <v>0</v>
      </c>
      <c r="D71" s="165">
        <f>IF(C71=0,0,1+MAX($D$69:D70))</f>
        <v>0</v>
      </c>
      <c r="E71" s="165">
        <f t="shared" si="56"/>
        <v>0</v>
      </c>
      <c r="F71" s="165" t="str">
        <f t="shared" si="57"/>
        <v/>
      </c>
      <c r="G71" s="165" t="str">
        <f t="shared" si="58"/>
        <v/>
      </c>
      <c r="K71" s="618">
        <v>3</v>
      </c>
      <c r="L71" s="165">
        <f t="shared" si="48"/>
        <v>0</v>
      </c>
      <c r="M71" s="165">
        <f>IF(L71=0,0,1+MAX(M$69:M70))</f>
        <v>0</v>
      </c>
      <c r="N71" s="165">
        <f t="shared" si="59"/>
        <v>0</v>
      </c>
      <c r="O71" s="165" t="str">
        <f t="shared" si="60"/>
        <v/>
      </c>
      <c r="P71" s="165" t="str">
        <f t="shared" si="61"/>
        <v/>
      </c>
      <c r="T71" s="618">
        <v>3</v>
      </c>
      <c r="U71" s="165">
        <f t="shared" si="49"/>
        <v>0</v>
      </c>
      <c r="V71" s="165">
        <f>IF(U71=0,0,1+MAX(V$69:V70))</f>
        <v>0</v>
      </c>
      <c r="W71" s="165">
        <f t="shared" si="62"/>
        <v>0</v>
      </c>
      <c r="X71" s="165" t="str">
        <f t="shared" si="63"/>
        <v/>
      </c>
      <c r="Y71" s="165" t="str">
        <f t="shared" si="64"/>
        <v/>
      </c>
      <c r="AC71" s="618">
        <v>3</v>
      </c>
      <c r="AD71" s="165">
        <f t="shared" si="50"/>
        <v>0</v>
      </c>
      <c r="AE71" s="165">
        <f>IF(AD71=0,0,1+MAX(AE$69:AE70))</f>
        <v>0</v>
      </c>
      <c r="AF71" s="165">
        <f t="shared" si="65"/>
        <v>0</v>
      </c>
      <c r="AG71" s="165" t="str">
        <f t="shared" si="66"/>
        <v/>
      </c>
      <c r="AH71" s="165" t="str">
        <f t="shared" si="67"/>
        <v/>
      </c>
      <c r="AL71" s="618">
        <v>3</v>
      </c>
      <c r="AM71" s="165">
        <f t="shared" si="51"/>
        <v>0</v>
      </c>
      <c r="AN71" s="165">
        <f>IF(AM71=0,0,1+MAX(AN$69:AN70))</f>
        <v>0</v>
      </c>
      <c r="AO71" s="165">
        <f t="shared" si="68"/>
        <v>0</v>
      </c>
      <c r="AP71" s="165" t="str">
        <f t="shared" si="69"/>
        <v/>
      </c>
      <c r="AQ71" s="165" t="str">
        <f t="shared" si="70"/>
        <v/>
      </c>
      <c r="AU71" s="618">
        <v>3</v>
      </c>
      <c r="AV71" s="165">
        <f t="shared" si="52"/>
        <v>0</v>
      </c>
      <c r="AW71" s="165">
        <f>IF(AV71=0,0,1+MAX(AW$69:AW70))</f>
        <v>0</v>
      </c>
      <c r="AX71" s="165">
        <f t="shared" si="71"/>
        <v>0</v>
      </c>
      <c r="AY71" s="165" t="str">
        <f t="shared" si="72"/>
        <v/>
      </c>
      <c r="AZ71" s="165" t="str">
        <f t="shared" si="73"/>
        <v/>
      </c>
      <c r="BD71" s="618">
        <v>3</v>
      </c>
      <c r="BE71" s="165">
        <f t="shared" si="53"/>
        <v>0</v>
      </c>
      <c r="BF71" s="165">
        <f>IF(BE71=0,0,1+MAX(BF$69:BF70))</f>
        <v>0</v>
      </c>
      <c r="BG71" s="165">
        <f t="shared" si="74"/>
        <v>0</v>
      </c>
      <c r="BH71" s="165" t="str">
        <f t="shared" si="75"/>
        <v/>
      </c>
      <c r="BI71" s="165" t="str">
        <f t="shared" si="76"/>
        <v/>
      </c>
      <c r="BM71" s="618">
        <v>3</v>
      </c>
      <c r="BN71" s="165">
        <f t="shared" si="54"/>
        <v>0</v>
      </c>
      <c r="BO71" s="165">
        <f>IF(BN71=0,0,1+MAX(BO$69:BO70))</f>
        <v>0</v>
      </c>
      <c r="BP71" s="165">
        <f t="shared" si="77"/>
        <v>0</v>
      </c>
      <c r="BQ71" s="165" t="str">
        <f t="shared" si="78"/>
        <v/>
      </c>
      <c r="BR71" s="165" t="str">
        <f t="shared" si="79"/>
        <v/>
      </c>
      <c r="BV71" s="618">
        <v>3</v>
      </c>
      <c r="BW71" s="165">
        <f t="shared" si="55"/>
        <v>0</v>
      </c>
      <c r="BX71" s="165">
        <f>IF(BW71=0,0,1+MAX(BX$69:BX70))</f>
        <v>0</v>
      </c>
      <c r="BY71" s="165">
        <f t="shared" si="80"/>
        <v>0</v>
      </c>
      <c r="BZ71" s="165" t="str">
        <f t="shared" si="81"/>
        <v/>
      </c>
      <c r="CA71" s="165" t="str">
        <f t="shared" si="82"/>
        <v/>
      </c>
    </row>
    <row r="72" spans="1:110" x14ac:dyDescent="0.25">
      <c r="B72" s="618">
        <v>4</v>
      </c>
      <c r="C72" s="165">
        <f t="shared" si="47"/>
        <v>0</v>
      </c>
      <c r="D72" s="165">
        <f>IF(C72=0,0,1+MAX($D$69:D71))</f>
        <v>0</v>
      </c>
      <c r="E72" s="165">
        <f t="shared" si="56"/>
        <v>0</v>
      </c>
      <c r="F72" s="165" t="str">
        <f t="shared" si="57"/>
        <v/>
      </c>
      <c r="G72" s="165" t="str">
        <f t="shared" si="58"/>
        <v/>
      </c>
      <c r="K72" s="618">
        <v>4</v>
      </c>
      <c r="L72" s="165">
        <f t="shared" si="48"/>
        <v>0</v>
      </c>
      <c r="M72" s="165">
        <f>IF(L72=0,0,1+MAX(M$69:M71))</f>
        <v>0</v>
      </c>
      <c r="N72" s="165">
        <f t="shared" si="59"/>
        <v>0</v>
      </c>
      <c r="O72" s="165" t="str">
        <f t="shared" si="60"/>
        <v/>
      </c>
      <c r="P72" s="165" t="str">
        <f t="shared" si="61"/>
        <v/>
      </c>
      <c r="T72" s="618">
        <v>4</v>
      </c>
      <c r="U72" s="165">
        <f t="shared" si="49"/>
        <v>0</v>
      </c>
      <c r="V72" s="165">
        <f>IF(U72=0,0,1+MAX(V$69:V71))</f>
        <v>0</v>
      </c>
      <c r="W72" s="165">
        <f t="shared" si="62"/>
        <v>0</v>
      </c>
      <c r="X72" s="165" t="str">
        <f t="shared" si="63"/>
        <v/>
      </c>
      <c r="Y72" s="165" t="str">
        <f t="shared" si="64"/>
        <v/>
      </c>
      <c r="AC72" s="618">
        <v>4</v>
      </c>
      <c r="AD72" s="165">
        <f t="shared" si="50"/>
        <v>0</v>
      </c>
      <c r="AE72" s="165">
        <f>IF(AD72=0,0,1+MAX(AE$69:AE71))</f>
        <v>0</v>
      </c>
      <c r="AF72" s="165">
        <f t="shared" si="65"/>
        <v>0</v>
      </c>
      <c r="AG72" s="165" t="str">
        <f t="shared" si="66"/>
        <v/>
      </c>
      <c r="AH72" s="165" t="str">
        <f t="shared" si="67"/>
        <v/>
      </c>
      <c r="AL72" s="618">
        <v>4</v>
      </c>
      <c r="AM72" s="165">
        <f t="shared" si="51"/>
        <v>0</v>
      </c>
      <c r="AN72" s="165">
        <f>IF(AM72=0,0,1+MAX(AN$69:AN71))</f>
        <v>0</v>
      </c>
      <c r="AO72" s="165">
        <f t="shared" si="68"/>
        <v>0</v>
      </c>
      <c r="AP72" s="165" t="str">
        <f t="shared" si="69"/>
        <v/>
      </c>
      <c r="AQ72" s="165" t="str">
        <f t="shared" si="70"/>
        <v/>
      </c>
      <c r="AU72" s="618">
        <v>4</v>
      </c>
      <c r="AV72" s="165">
        <f t="shared" si="52"/>
        <v>0</v>
      </c>
      <c r="AW72" s="165">
        <f>IF(AV72=0,0,1+MAX(AW$69:AW71))</f>
        <v>0</v>
      </c>
      <c r="AX72" s="165">
        <f t="shared" si="71"/>
        <v>0</v>
      </c>
      <c r="AY72" s="165" t="str">
        <f t="shared" si="72"/>
        <v/>
      </c>
      <c r="AZ72" s="165" t="str">
        <f t="shared" si="73"/>
        <v/>
      </c>
      <c r="BD72" s="618">
        <v>4</v>
      </c>
      <c r="BE72" s="165">
        <f t="shared" si="53"/>
        <v>0</v>
      </c>
      <c r="BF72" s="165">
        <f>IF(BE72=0,0,1+MAX(BF$69:BF71))</f>
        <v>0</v>
      </c>
      <c r="BG72" s="165">
        <f t="shared" si="74"/>
        <v>0</v>
      </c>
      <c r="BH72" s="165" t="str">
        <f t="shared" si="75"/>
        <v/>
      </c>
      <c r="BI72" s="165" t="str">
        <f t="shared" si="76"/>
        <v/>
      </c>
      <c r="BM72" s="618">
        <v>4</v>
      </c>
      <c r="BN72" s="165">
        <f t="shared" si="54"/>
        <v>0</v>
      </c>
      <c r="BO72" s="165">
        <f>IF(BN72=0,0,1+MAX(BO$69:BO71))</f>
        <v>0</v>
      </c>
      <c r="BP72" s="165">
        <f t="shared" si="77"/>
        <v>0</v>
      </c>
      <c r="BQ72" s="165" t="str">
        <f t="shared" si="78"/>
        <v/>
      </c>
      <c r="BR72" s="165" t="str">
        <f t="shared" si="79"/>
        <v/>
      </c>
      <c r="BV72" s="618">
        <v>4</v>
      </c>
      <c r="BW72" s="165">
        <f t="shared" si="55"/>
        <v>0</v>
      </c>
      <c r="BX72" s="165">
        <f>IF(BW72=0,0,1+MAX(BX$69:BX71))</f>
        <v>0</v>
      </c>
      <c r="BY72" s="165">
        <f t="shared" si="80"/>
        <v>0</v>
      </c>
      <c r="BZ72" s="165" t="str">
        <f t="shared" si="81"/>
        <v/>
      </c>
      <c r="CA72" s="165" t="str">
        <f t="shared" si="82"/>
        <v/>
      </c>
    </row>
    <row r="73" spans="1:110" x14ac:dyDescent="0.25">
      <c r="B73" s="618">
        <v>5</v>
      </c>
      <c r="C73" s="165">
        <f t="shared" si="47"/>
        <v>0</v>
      </c>
      <c r="D73" s="165">
        <f>IF(C73=0,0,1+MAX($D$69:D72))</f>
        <v>0</v>
      </c>
      <c r="E73" s="165">
        <f t="shared" si="56"/>
        <v>0</v>
      </c>
      <c r="F73" s="165" t="str">
        <f t="shared" si="57"/>
        <v/>
      </c>
      <c r="G73" s="165" t="str">
        <f t="shared" si="58"/>
        <v/>
      </c>
      <c r="K73" s="618">
        <v>5</v>
      </c>
      <c r="L73" s="165">
        <f t="shared" si="48"/>
        <v>0</v>
      </c>
      <c r="M73" s="165">
        <f>IF(L73=0,0,1+MAX(M$69:M72))</f>
        <v>0</v>
      </c>
      <c r="N73" s="165">
        <f t="shared" si="59"/>
        <v>0</v>
      </c>
      <c r="O73" s="165" t="str">
        <f t="shared" si="60"/>
        <v/>
      </c>
      <c r="P73" s="165" t="str">
        <f t="shared" si="61"/>
        <v/>
      </c>
      <c r="T73" s="618">
        <v>5</v>
      </c>
      <c r="U73" s="165">
        <f t="shared" si="49"/>
        <v>0</v>
      </c>
      <c r="V73" s="165">
        <f>IF(U73=0,0,1+MAX(V$69:V72))</f>
        <v>0</v>
      </c>
      <c r="W73" s="165">
        <f t="shared" si="62"/>
        <v>0</v>
      </c>
      <c r="X73" s="165" t="str">
        <f t="shared" si="63"/>
        <v/>
      </c>
      <c r="Y73" s="165" t="str">
        <f t="shared" si="64"/>
        <v/>
      </c>
      <c r="AC73" s="618">
        <v>5</v>
      </c>
      <c r="AD73" s="165">
        <f t="shared" si="50"/>
        <v>0</v>
      </c>
      <c r="AE73" s="165">
        <f>IF(AD73=0,0,1+MAX(AE$69:AE72))</f>
        <v>0</v>
      </c>
      <c r="AF73" s="165">
        <f t="shared" si="65"/>
        <v>0</v>
      </c>
      <c r="AG73" s="165" t="str">
        <f t="shared" si="66"/>
        <v/>
      </c>
      <c r="AH73" s="165" t="str">
        <f t="shared" si="67"/>
        <v/>
      </c>
      <c r="AL73" s="618">
        <v>5</v>
      </c>
      <c r="AM73" s="165">
        <f t="shared" si="51"/>
        <v>0</v>
      </c>
      <c r="AN73" s="165">
        <f>IF(AM73=0,0,1+MAX(AN$69:AN72))</f>
        <v>0</v>
      </c>
      <c r="AO73" s="165">
        <f t="shared" si="68"/>
        <v>0</v>
      </c>
      <c r="AP73" s="165" t="str">
        <f t="shared" si="69"/>
        <v/>
      </c>
      <c r="AQ73" s="165" t="str">
        <f t="shared" si="70"/>
        <v/>
      </c>
      <c r="AU73" s="618">
        <v>5</v>
      </c>
      <c r="AV73" s="165">
        <f t="shared" si="52"/>
        <v>0</v>
      </c>
      <c r="AW73" s="165">
        <f>IF(AV73=0,0,1+MAX(AW$69:AW72))</f>
        <v>0</v>
      </c>
      <c r="AX73" s="165">
        <f t="shared" si="71"/>
        <v>0</v>
      </c>
      <c r="AY73" s="165" t="str">
        <f t="shared" si="72"/>
        <v/>
      </c>
      <c r="AZ73" s="165" t="str">
        <f t="shared" si="73"/>
        <v/>
      </c>
      <c r="BD73" s="618">
        <v>5</v>
      </c>
      <c r="BE73" s="165">
        <f t="shared" si="53"/>
        <v>0</v>
      </c>
      <c r="BF73" s="165">
        <f>IF(BE73=0,0,1+MAX(BF$69:BF72))</f>
        <v>0</v>
      </c>
      <c r="BG73" s="165">
        <f t="shared" si="74"/>
        <v>0</v>
      </c>
      <c r="BH73" s="165" t="str">
        <f t="shared" si="75"/>
        <v/>
      </c>
      <c r="BI73" s="165" t="str">
        <f t="shared" si="76"/>
        <v/>
      </c>
      <c r="BM73" s="618">
        <v>5</v>
      </c>
      <c r="BN73" s="165">
        <f t="shared" si="54"/>
        <v>0</v>
      </c>
      <c r="BO73" s="165">
        <f>IF(BN73=0,0,1+MAX(BO$69:BO72))</f>
        <v>0</v>
      </c>
      <c r="BP73" s="165">
        <f t="shared" si="77"/>
        <v>0</v>
      </c>
      <c r="BQ73" s="165" t="str">
        <f t="shared" si="78"/>
        <v/>
      </c>
      <c r="BR73" s="165" t="str">
        <f t="shared" si="79"/>
        <v/>
      </c>
      <c r="BV73" s="618">
        <v>5</v>
      </c>
      <c r="BW73" s="165">
        <f t="shared" si="55"/>
        <v>0</v>
      </c>
      <c r="BX73" s="165">
        <f>IF(BW73=0,0,1+MAX(BX$69:BX72))</f>
        <v>0</v>
      </c>
      <c r="BY73" s="165">
        <f t="shared" si="80"/>
        <v>0</v>
      </c>
      <c r="BZ73" s="165" t="str">
        <f t="shared" si="81"/>
        <v/>
      </c>
      <c r="CA73" s="165" t="str">
        <f t="shared" si="82"/>
        <v/>
      </c>
    </row>
    <row r="74" spans="1:110" x14ac:dyDescent="0.25">
      <c r="B74" s="618">
        <v>6</v>
      </c>
      <c r="C74" s="165">
        <f t="shared" si="47"/>
        <v>0</v>
      </c>
      <c r="D74" s="165">
        <f>IF(C74=0,0,1+MAX($D$69:D73))</f>
        <v>0</v>
      </c>
      <c r="E74" s="165">
        <f t="shared" si="56"/>
        <v>0</v>
      </c>
      <c r="F74" s="165" t="str">
        <f t="shared" si="57"/>
        <v/>
      </c>
      <c r="G74" s="165" t="str">
        <f t="shared" si="58"/>
        <v/>
      </c>
      <c r="K74" s="618">
        <v>6</v>
      </c>
      <c r="L74" s="165">
        <f t="shared" si="48"/>
        <v>0</v>
      </c>
      <c r="M74" s="165">
        <f>IF(L74=0,0,1+MAX(M$69:M73))</f>
        <v>0</v>
      </c>
      <c r="N74" s="165">
        <f t="shared" si="59"/>
        <v>0</v>
      </c>
      <c r="O74" s="165" t="str">
        <f t="shared" si="60"/>
        <v/>
      </c>
      <c r="P74" s="165" t="str">
        <f t="shared" si="61"/>
        <v/>
      </c>
      <c r="T74" s="618">
        <v>6</v>
      </c>
      <c r="U74" s="165">
        <f t="shared" si="49"/>
        <v>0</v>
      </c>
      <c r="V74" s="165">
        <f>IF(U74=0,0,1+MAX(V$69:V73))</f>
        <v>0</v>
      </c>
      <c r="W74" s="165">
        <f t="shared" si="62"/>
        <v>0</v>
      </c>
      <c r="X74" s="165" t="str">
        <f t="shared" si="63"/>
        <v/>
      </c>
      <c r="Y74" s="165" t="str">
        <f t="shared" si="64"/>
        <v/>
      </c>
      <c r="AC74" s="618">
        <v>6</v>
      </c>
      <c r="AD74" s="165">
        <f t="shared" si="50"/>
        <v>0</v>
      </c>
      <c r="AE74" s="165">
        <f>IF(AD74=0,0,1+MAX(AE$69:AE73))</f>
        <v>0</v>
      </c>
      <c r="AF74" s="165">
        <f t="shared" si="65"/>
        <v>0</v>
      </c>
      <c r="AG74" s="165" t="str">
        <f t="shared" si="66"/>
        <v/>
      </c>
      <c r="AH74" s="165" t="str">
        <f t="shared" si="67"/>
        <v/>
      </c>
      <c r="AL74" s="618">
        <v>6</v>
      </c>
      <c r="AM74" s="165">
        <f t="shared" si="51"/>
        <v>0</v>
      </c>
      <c r="AN74" s="165">
        <f>IF(AM74=0,0,1+MAX(AN$69:AN73))</f>
        <v>0</v>
      </c>
      <c r="AO74" s="165">
        <f t="shared" si="68"/>
        <v>0</v>
      </c>
      <c r="AP74" s="165" t="str">
        <f t="shared" si="69"/>
        <v/>
      </c>
      <c r="AQ74" s="165" t="str">
        <f t="shared" si="70"/>
        <v/>
      </c>
      <c r="AU74" s="618">
        <v>6</v>
      </c>
      <c r="AV74" s="165">
        <f t="shared" si="52"/>
        <v>0</v>
      </c>
      <c r="AW74" s="165">
        <f>IF(AV74=0,0,1+MAX(AW$69:AW73))</f>
        <v>0</v>
      </c>
      <c r="AX74" s="165">
        <f t="shared" si="71"/>
        <v>0</v>
      </c>
      <c r="AY74" s="165" t="str">
        <f t="shared" si="72"/>
        <v/>
      </c>
      <c r="AZ74" s="165" t="str">
        <f t="shared" si="73"/>
        <v/>
      </c>
      <c r="BD74" s="618">
        <v>6</v>
      </c>
      <c r="BE74" s="165">
        <f t="shared" si="53"/>
        <v>0</v>
      </c>
      <c r="BF74" s="165">
        <f>IF(BE74=0,0,1+MAX(BF$69:BF73))</f>
        <v>0</v>
      </c>
      <c r="BG74" s="165">
        <f t="shared" si="74"/>
        <v>0</v>
      </c>
      <c r="BH74" s="165" t="str">
        <f t="shared" si="75"/>
        <v/>
      </c>
      <c r="BI74" s="165" t="str">
        <f t="shared" si="76"/>
        <v/>
      </c>
      <c r="BM74" s="618">
        <v>6</v>
      </c>
      <c r="BN74" s="165">
        <f t="shared" si="54"/>
        <v>0</v>
      </c>
      <c r="BO74" s="165">
        <f>IF(BN74=0,0,1+MAX(BO$69:BO73))</f>
        <v>0</v>
      </c>
      <c r="BP74" s="165">
        <f t="shared" si="77"/>
        <v>0</v>
      </c>
      <c r="BQ74" s="165" t="str">
        <f t="shared" si="78"/>
        <v/>
      </c>
      <c r="BR74" s="165" t="str">
        <f t="shared" si="79"/>
        <v/>
      </c>
      <c r="BV74" s="618">
        <v>6</v>
      </c>
      <c r="BW74" s="165">
        <f t="shared" si="55"/>
        <v>0</v>
      </c>
      <c r="BX74" s="165">
        <f>IF(BW74=0,0,1+MAX(BX$69:BX73))</f>
        <v>0</v>
      </c>
      <c r="BY74" s="165">
        <f t="shared" si="80"/>
        <v>0</v>
      </c>
      <c r="BZ74" s="165" t="str">
        <f t="shared" si="81"/>
        <v/>
      </c>
      <c r="CA74" s="165" t="str">
        <f t="shared" si="82"/>
        <v/>
      </c>
    </row>
    <row r="75" spans="1:110" x14ac:dyDescent="0.25">
      <c r="B75" s="618">
        <v>7</v>
      </c>
      <c r="C75" s="165">
        <f t="shared" si="47"/>
        <v>0</v>
      </c>
      <c r="D75" s="165">
        <f>IF(C75=0,0,1+MAX($D$69:D74))</f>
        <v>0</v>
      </c>
      <c r="E75" s="165">
        <f t="shared" si="56"/>
        <v>0</v>
      </c>
      <c r="F75" s="165" t="str">
        <f t="shared" si="57"/>
        <v/>
      </c>
      <c r="G75" s="165" t="str">
        <f t="shared" si="58"/>
        <v/>
      </c>
      <c r="K75" s="618">
        <v>7</v>
      </c>
      <c r="L75" s="165">
        <f t="shared" si="48"/>
        <v>0</v>
      </c>
      <c r="M75" s="165">
        <f>IF(L75=0,0,1+MAX(M$69:M74))</f>
        <v>0</v>
      </c>
      <c r="N75" s="165">
        <f t="shared" si="59"/>
        <v>0</v>
      </c>
      <c r="O75" s="165" t="str">
        <f t="shared" si="60"/>
        <v/>
      </c>
      <c r="P75" s="165" t="str">
        <f t="shared" si="61"/>
        <v/>
      </c>
      <c r="T75" s="618">
        <v>7</v>
      </c>
      <c r="U75" s="165">
        <f t="shared" si="49"/>
        <v>0</v>
      </c>
      <c r="V75" s="165">
        <f>IF(U75=0,0,1+MAX(V$69:V74))</f>
        <v>0</v>
      </c>
      <c r="W75" s="165">
        <f t="shared" si="62"/>
        <v>0</v>
      </c>
      <c r="X75" s="165" t="str">
        <f t="shared" si="63"/>
        <v/>
      </c>
      <c r="Y75" s="165" t="str">
        <f t="shared" si="64"/>
        <v/>
      </c>
      <c r="AC75" s="618">
        <v>7</v>
      </c>
      <c r="AD75" s="165">
        <f t="shared" si="50"/>
        <v>0</v>
      </c>
      <c r="AE75" s="165">
        <f>IF(AD75=0,0,1+MAX(AE$69:AE74))</f>
        <v>0</v>
      </c>
      <c r="AF75" s="165">
        <f t="shared" si="65"/>
        <v>0</v>
      </c>
      <c r="AG75" s="165" t="str">
        <f t="shared" si="66"/>
        <v/>
      </c>
      <c r="AH75" s="165" t="str">
        <f t="shared" si="67"/>
        <v/>
      </c>
      <c r="AL75" s="618">
        <v>7</v>
      </c>
      <c r="AM75" s="165">
        <f t="shared" si="51"/>
        <v>0</v>
      </c>
      <c r="AN75" s="165">
        <f>IF(AM75=0,0,1+MAX(AN$69:AN74))</f>
        <v>0</v>
      </c>
      <c r="AO75" s="165">
        <f t="shared" si="68"/>
        <v>0</v>
      </c>
      <c r="AP75" s="165" t="str">
        <f t="shared" si="69"/>
        <v/>
      </c>
      <c r="AQ75" s="165" t="str">
        <f t="shared" si="70"/>
        <v/>
      </c>
      <c r="AU75" s="618">
        <v>7</v>
      </c>
      <c r="AV75" s="165">
        <f t="shared" si="52"/>
        <v>0</v>
      </c>
      <c r="AW75" s="165">
        <f>IF(AV75=0,0,1+MAX(AW$69:AW74))</f>
        <v>0</v>
      </c>
      <c r="AX75" s="165">
        <f t="shared" si="71"/>
        <v>0</v>
      </c>
      <c r="AY75" s="165" t="str">
        <f t="shared" si="72"/>
        <v/>
      </c>
      <c r="AZ75" s="165" t="str">
        <f t="shared" si="73"/>
        <v/>
      </c>
      <c r="BD75" s="618">
        <v>7</v>
      </c>
      <c r="BE75" s="165">
        <f t="shared" si="53"/>
        <v>0</v>
      </c>
      <c r="BF75" s="165">
        <f>IF(BE75=0,0,1+MAX(BF$69:BF74))</f>
        <v>0</v>
      </c>
      <c r="BG75" s="165">
        <f t="shared" si="74"/>
        <v>0</v>
      </c>
      <c r="BH75" s="165" t="str">
        <f t="shared" si="75"/>
        <v/>
      </c>
      <c r="BI75" s="165" t="str">
        <f t="shared" si="76"/>
        <v/>
      </c>
      <c r="BM75" s="618">
        <v>7</v>
      </c>
      <c r="BN75" s="165">
        <f t="shared" si="54"/>
        <v>0</v>
      </c>
      <c r="BO75" s="165">
        <f>IF(BN75=0,0,1+MAX(BO$69:BO74))</f>
        <v>0</v>
      </c>
      <c r="BP75" s="165">
        <f t="shared" si="77"/>
        <v>0</v>
      </c>
      <c r="BQ75" s="165" t="str">
        <f t="shared" si="78"/>
        <v/>
      </c>
      <c r="BR75" s="165" t="str">
        <f t="shared" si="79"/>
        <v/>
      </c>
      <c r="BV75" s="618">
        <v>7</v>
      </c>
      <c r="BW75" s="165">
        <f t="shared" si="55"/>
        <v>0</v>
      </c>
      <c r="BX75" s="165">
        <f>IF(BW75=0,0,1+MAX(BX$69:BX74))</f>
        <v>0</v>
      </c>
      <c r="BY75" s="165">
        <f t="shared" si="80"/>
        <v>0</v>
      </c>
      <c r="BZ75" s="165" t="str">
        <f t="shared" si="81"/>
        <v/>
      </c>
      <c r="CA75" s="165" t="str">
        <f t="shared" si="82"/>
        <v/>
      </c>
    </row>
    <row r="76" spans="1:110" x14ac:dyDescent="0.25">
      <c r="B76" s="618">
        <v>8</v>
      </c>
      <c r="C76" s="165">
        <f t="shared" si="47"/>
        <v>0</v>
      </c>
      <c r="D76" s="165">
        <f>IF(C76=0,0,1+MAX($D$69:D75))</f>
        <v>0</v>
      </c>
      <c r="E76" s="165">
        <f t="shared" si="56"/>
        <v>0</v>
      </c>
      <c r="F76" s="165" t="str">
        <f t="shared" si="57"/>
        <v/>
      </c>
      <c r="G76" s="165" t="str">
        <f t="shared" si="58"/>
        <v/>
      </c>
      <c r="K76" s="618">
        <v>8</v>
      </c>
      <c r="L76" s="165">
        <f t="shared" si="48"/>
        <v>0</v>
      </c>
      <c r="M76" s="165">
        <f>IF(L76=0,0,1+MAX(M$69:M75))</f>
        <v>0</v>
      </c>
      <c r="N76" s="165">
        <f t="shared" si="59"/>
        <v>0</v>
      </c>
      <c r="O76" s="165" t="str">
        <f t="shared" si="60"/>
        <v/>
      </c>
      <c r="P76" s="165" t="str">
        <f t="shared" si="61"/>
        <v/>
      </c>
      <c r="T76" s="618">
        <v>8</v>
      </c>
      <c r="U76" s="165">
        <f t="shared" si="49"/>
        <v>0</v>
      </c>
      <c r="V76" s="165">
        <f>IF(U76=0,0,1+MAX(V$69:V75))</f>
        <v>0</v>
      </c>
      <c r="W76" s="165">
        <f t="shared" si="62"/>
        <v>0</v>
      </c>
      <c r="X76" s="165" t="str">
        <f t="shared" si="63"/>
        <v/>
      </c>
      <c r="Y76" s="165" t="str">
        <f t="shared" si="64"/>
        <v/>
      </c>
      <c r="AC76" s="618">
        <v>8</v>
      </c>
      <c r="AD76" s="165">
        <f t="shared" si="50"/>
        <v>0</v>
      </c>
      <c r="AE76" s="165">
        <f>IF(AD76=0,0,1+MAX(AE$69:AE75))</f>
        <v>0</v>
      </c>
      <c r="AF76" s="165">
        <f t="shared" si="65"/>
        <v>0</v>
      </c>
      <c r="AG76" s="165" t="str">
        <f t="shared" si="66"/>
        <v/>
      </c>
      <c r="AH76" s="165" t="str">
        <f t="shared" si="67"/>
        <v/>
      </c>
      <c r="AL76" s="618">
        <v>8</v>
      </c>
      <c r="AM76" s="165">
        <f t="shared" si="51"/>
        <v>0</v>
      </c>
      <c r="AN76" s="165">
        <f>IF(AM76=0,0,1+MAX(AN$69:AN75))</f>
        <v>0</v>
      </c>
      <c r="AO76" s="165">
        <f t="shared" si="68"/>
        <v>0</v>
      </c>
      <c r="AP76" s="165" t="str">
        <f t="shared" si="69"/>
        <v/>
      </c>
      <c r="AQ76" s="165" t="str">
        <f t="shared" si="70"/>
        <v/>
      </c>
      <c r="AU76" s="618">
        <v>8</v>
      </c>
      <c r="AV76" s="165">
        <f t="shared" si="52"/>
        <v>0</v>
      </c>
      <c r="AW76" s="165">
        <f>IF(AV76=0,0,1+MAX(AW$69:AW75))</f>
        <v>0</v>
      </c>
      <c r="AX76" s="165">
        <f t="shared" si="71"/>
        <v>0</v>
      </c>
      <c r="AY76" s="165" t="str">
        <f t="shared" si="72"/>
        <v/>
      </c>
      <c r="AZ76" s="165" t="str">
        <f t="shared" si="73"/>
        <v/>
      </c>
      <c r="BD76" s="618">
        <v>8</v>
      </c>
      <c r="BE76" s="165">
        <f t="shared" si="53"/>
        <v>0</v>
      </c>
      <c r="BF76" s="165">
        <f>IF(BE76=0,0,1+MAX(BF$69:BF75))</f>
        <v>0</v>
      </c>
      <c r="BG76" s="165">
        <f t="shared" si="74"/>
        <v>0</v>
      </c>
      <c r="BH76" s="165" t="str">
        <f t="shared" si="75"/>
        <v/>
      </c>
      <c r="BI76" s="165" t="str">
        <f t="shared" si="76"/>
        <v/>
      </c>
      <c r="BM76" s="618">
        <v>8</v>
      </c>
      <c r="BN76" s="165">
        <f t="shared" si="54"/>
        <v>0</v>
      </c>
      <c r="BO76" s="165">
        <f>IF(BN76=0,0,1+MAX(BO$69:BO75))</f>
        <v>0</v>
      </c>
      <c r="BP76" s="165">
        <f t="shared" si="77"/>
        <v>0</v>
      </c>
      <c r="BQ76" s="165" t="str">
        <f t="shared" si="78"/>
        <v/>
      </c>
      <c r="BR76" s="165" t="str">
        <f t="shared" si="79"/>
        <v/>
      </c>
      <c r="BV76" s="618">
        <v>8</v>
      </c>
      <c r="BW76" s="165">
        <f t="shared" si="55"/>
        <v>0</v>
      </c>
      <c r="BX76" s="165">
        <f>IF(BW76=0,0,1+MAX(BX$69:BX75))</f>
        <v>0</v>
      </c>
      <c r="BY76" s="165">
        <f t="shared" si="80"/>
        <v>0</v>
      </c>
      <c r="BZ76" s="165" t="str">
        <f t="shared" si="81"/>
        <v/>
      </c>
      <c r="CA76" s="165" t="str">
        <f t="shared" si="82"/>
        <v/>
      </c>
    </row>
    <row r="77" spans="1:110" x14ac:dyDescent="0.25">
      <c r="B77" s="618">
        <v>9</v>
      </c>
      <c r="C77" s="165">
        <f t="shared" si="47"/>
        <v>0</v>
      </c>
      <c r="D77" s="165">
        <f>IF(C77=0,0,1+MAX($D$69:D76))</f>
        <v>0</v>
      </c>
      <c r="E77" s="165">
        <f t="shared" si="56"/>
        <v>0</v>
      </c>
      <c r="F77" s="165" t="str">
        <f t="shared" si="57"/>
        <v/>
      </c>
      <c r="G77" s="165" t="str">
        <f t="shared" si="58"/>
        <v/>
      </c>
      <c r="K77" s="618">
        <v>9</v>
      </c>
      <c r="L77" s="165">
        <f t="shared" si="48"/>
        <v>0</v>
      </c>
      <c r="M77" s="165">
        <f>IF(L77=0,0,1+MAX(M$69:M76))</f>
        <v>0</v>
      </c>
      <c r="N77" s="165">
        <f t="shared" si="59"/>
        <v>0</v>
      </c>
      <c r="O77" s="165" t="str">
        <f t="shared" si="60"/>
        <v/>
      </c>
      <c r="P77" s="165" t="str">
        <f t="shared" si="61"/>
        <v/>
      </c>
      <c r="T77" s="618">
        <v>9</v>
      </c>
      <c r="U77" s="165">
        <f t="shared" si="49"/>
        <v>0</v>
      </c>
      <c r="V77" s="165">
        <f>IF(U77=0,0,1+MAX(V$69:V76))</f>
        <v>0</v>
      </c>
      <c r="W77" s="165">
        <f t="shared" si="62"/>
        <v>0</v>
      </c>
      <c r="X77" s="165" t="str">
        <f t="shared" si="63"/>
        <v/>
      </c>
      <c r="Y77" s="165" t="str">
        <f t="shared" si="64"/>
        <v/>
      </c>
      <c r="AC77" s="618">
        <v>9</v>
      </c>
      <c r="AD77" s="165">
        <f t="shared" si="50"/>
        <v>0</v>
      </c>
      <c r="AE77" s="165">
        <f>IF(AD77=0,0,1+MAX(AE$69:AE76))</f>
        <v>0</v>
      </c>
      <c r="AF77" s="165">
        <f t="shared" si="65"/>
        <v>0</v>
      </c>
      <c r="AG77" s="165" t="str">
        <f t="shared" si="66"/>
        <v/>
      </c>
      <c r="AH77" s="165" t="str">
        <f t="shared" si="67"/>
        <v/>
      </c>
      <c r="AL77" s="618">
        <v>9</v>
      </c>
      <c r="AM77" s="165">
        <f t="shared" si="51"/>
        <v>0</v>
      </c>
      <c r="AN77" s="165">
        <f>IF(AM77=0,0,1+MAX(AN$69:AN76))</f>
        <v>0</v>
      </c>
      <c r="AO77" s="165">
        <f t="shared" si="68"/>
        <v>0</v>
      </c>
      <c r="AP77" s="165" t="str">
        <f t="shared" si="69"/>
        <v/>
      </c>
      <c r="AQ77" s="165" t="str">
        <f t="shared" si="70"/>
        <v/>
      </c>
      <c r="AU77" s="618">
        <v>9</v>
      </c>
      <c r="AV77" s="165">
        <f t="shared" si="52"/>
        <v>0</v>
      </c>
      <c r="AW77" s="165">
        <f>IF(AV77=0,0,1+MAX(AW$69:AW76))</f>
        <v>0</v>
      </c>
      <c r="AX77" s="165">
        <f t="shared" si="71"/>
        <v>0</v>
      </c>
      <c r="AY77" s="165" t="str">
        <f t="shared" si="72"/>
        <v/>
      </c>
      <c r="AZ77" s="165" t="str">
        <f t="shared" si="73"/>
        <v/>
      </c>
      <c r="BD77" s="618">
        <v>9</v>
      </c>
      <c r="BE77" s="165">
        <f t="shared" si="53"/>
        <v>0</v>
      </c>
      <c r="BF77" s="165">
        <f>IF(BE77=0,0,1+MAX(BF$69:BF76))</f>
        <v>0</v>
      </c>
      <c r="BG77" s="165">
        <f t="shared" si="74"/>
        <v>0</v>
      </c>
      <c r="BH77" s="165" t="str">
        <f t="shared" si="75"/>
        <v/>
      </c>
      <c r="BI77" s="165" t="str">
        <f t="shared" si="76"/>
        <v/>
      </c>
      <c r="BM77" s="618">
        <v>9</v>
      </c>
      <c r="BN77" s="165">
        <f t="shared" si="54"/>
        <v>0</v>
      </c>
      <c r="BO77" s="165">
        <f>IF(BN77=0,0,1+MAX(BO$69:BO76))</f>
        <v>0</v>
      </c>
      <c r="BP77" s="165">
        <f t="shared" si="77"/>
        <v>0</v>
      </c>
      <c r="BQ77" s="165" t="str">
        <f t="shared" si="78"/>
        <v/>
      </c>
      <c r="BR77" s="165" t="str">
        <f t="shared" si="79"/>
        <v/>
      </c>
      <c r="BV77" s="618">
        <v>9</v>
      </c>
      <c r="BW77" s="165">
        <f t="shared" si="55"/>
        <v>0</v>
      </c>
      <c r="BX77" s="165">
        <f>IF(BW77=0,0,1+MAX(BX$69:BX76))</f>
        <v>0</v>
      </c>
      <c r="BY77" s="165">
        <f t="shared" si="80"/>
        <v>0</v>
      </c>
      <c r="BZ77" s="165" t="str">
        <f t="shared" si="81"/>
        <v/>
      </c>
      <c r="CA77" s="165" t="str">
        <f t="shared" si="82"/>
        <v/>
      </c>
    </row>
    <row r="78" spans="1:110" x14ac:dyDescent="0.25">
      <c r="B78" s="618">
        <v>10</v>
      </c>
      <c r="C78" s="165">
        <f t="shared" si="47"/>
        <v>0</v>
      </c>
      <c r="D78" s="165">
        <f>IF(C78=0,0,1+MAX($D$69:D77))</f>
        <v>0</v>
      </c>
      <c r="E78" s="165">
        <f t="shared" si="56"/>
        <v>0</v>
      </c>
      <c r="F78" s="165" t="str">
        <f t="shared" si="57"/>
        <v/>
      </c>
      <c r="G78" s="165" t="str">
        <f t="shared" si="58"/>
        <v/>
      </c>
      <c r="K78" s="618">
        <v>10</v>
      </c>
      <c r="L78" s="165">
        <f t="shared" si="48"/>
        <v>0</v>
      </c>
      <c r="M78" s="165">
        <f>IF(L78=0,0,1+MAX(M$69:M77))</f>
        <v>0</v>
      </c>
      <c r="N78" s="165">
        <f t="shared" si="59"/>
        <v>0</v>
      </c>
      <c r="O78" s="165" t="str">
        <f t="shared" si="60"/>
        <v/>
      </c>
      <c r="P78" s="165" t="str">
        <f t="shared" si="61"/>
        <v/>
      </c>
      <c r="T78" s="618">
        <v>10</v>
      </c>
      <c r="U78" s="165">
        <f t="shared" si="49"/>
        <v>0</v>
      </c>
      <c r="V78" s="165">
        <f>IF(U78=0,0,1+MAX(V$69:V77))</f>
        <v>0</v>
      </c>
      <c r="W78" s="165">
        <f t="shared" si="62"/>
        <v>0</v>
      </c>
      <c r="X78" s="165" t="str">
        <f t="shared" si="63"/>
        <v/>
      </c>
      <c r="Y78" s="165" t="str">
        <f t="shared" si="64"/>
        <v/>
      </c>
      <c r="AC78" s="618">
        <v>10</v>
      </c>
      <c r="AD78" s="165">
        <f t="shared" si="50"/>
        <v>0</v>
      </c>
      <c r="AE78" s="165">
        <f>IF(AD78=0,0,1+MAX(AE$69:AE77))</f>
        <v>0</v>
      </c>
      <c r="AF78" s="165">
        <f t="shared" si="65"/>
        <v>0</v>
      </c>
      <c r="AG78" s="165" t="str">
        <f t="shared" si="66"/>
        <v/>
      </c>
      <c r="AH78" s="165" t="str">
        <f t="shared" si="67"/>
        <v/>
      </c>
      <c r="AL78" s="618">
        <v>10</v>
      </c>
      <c r="AM78" s="165">
        <f t="shared" si="51"/>
        <v>0</v>
      </c>
      <c r="AN78" s="165">
        <f>IF(AM78=0,0,1+MAX(AN$69:AN77))</f>
        <v>0</v>
      </c>
      <c r="AO78" s="165">
        <f t="shared" si="68"/>
        <v>0</v>
      </c>
      <c r="AP78" s="165" t="str">
        <f t="shared" si="69"/>
        <v/>
      </c>
      <c r="AQ78" s="165" t="str">
        <f t="shared" si="70"/>
        <v/>
      </c>
      <c r="AU78" s="618">
        <v>10</v>
      </c>
      <c r="AV78" s="165">
        <f t="shared" si="52"/>
        <v>0</v>
      </c>
      <c r="AW78" s="165">
        <f>IF(AV78=0,0,1+MAX(AW$69:AW77))</f>
        <v>0</v>
      </c>
      <c r="AX78" s="165">
        <f t="shared" si="71"/>
        <v>0</v>
      </c>
      <c r="AY78" s="165" t="str">
        <f t="shared" si="72"/>
        <v/>
      </c>
      <c r="AZ78" s="165" t="str">
        <f t="shared" si="73"/>
        <v/>
      </c>
      <c r="BD78" s="618">
        <v>10</v>
      </c>
      <c r="BE78" s="165">
        <f t="shared" si="53"/>
        <v>0</v>
      </c>
      <c r="BF78" s="165">
        <f>IF(BE78=0,0,1+MAX(BF$69:BF77))</f>
        <v>0</v>
      </c>
      <c r="BG78" s="165">
        <f t="shared" si="74"/>
        <v>0</v>
      </c>
      <c r="BH78" s="165" t="str">
        <f t="shared" si="75"/>
        <v/>
      </c>
      <c r="BI78" s="165" t="str">
        <f t="shared" si="76"/>
        <v/>
      </c>
      <c r="BM78" s="618">
        <v>10</v>
      </c>
      <c r="BN78" s="165">
        <f t="shared" si="54"/>
        <v>0</v>
      </c>
      <c r="BO78" s="165">
        <f>IF(BN78=0,0,1+MAX(BO$69:BO77))</f>
        <v>0</v>
      </c>
      <c r="BP78" s="165">
        <f t="shared" si="77"/>
        <v>0</v>
      </c>
      <c r="BQ78" s="165" t="str">
        <f t="shared" si="78"/>
        <v/>
      </c>
      <c r="BR78" s="165" t="str">
        <f t="shared" si="79"/>
        <v/>
      </c>
      <c r="BV78" s="618">
        <v>10</v>
      </c>
      <c r="BW78" s="165">
        <f t="shared" si="55"/>
        <v>0</v>
      </c>
      <c r="BX78" s="165">
        <f>IF(BW78=0,0,1+MAX(BX$69:BX77))</f>
        <v>0</v>
      </c>
      <c r="BY78" s="165">
        <f t="shared" si="80"/>
        <v>0</v>
      </c>
      <c r="BZ78" s="165" t="str">
        <f t="shared" si="81"/>
        <v/>
      </c>
      <c r="CA78" s="165" t="str">
        <f t="shared" si="82"/>
        <v/>
      </c>
    </row>
    <row r="79" spans="1:110" x14ac:dyDescent="0.25">
      <c r="B79" s="618">
        <v>11</v>
      </c>
      <c r="C79" s="165">
        <f t="shared" si="47"/>
        <v>0</v>
      </c>
      <c r="D79" s="165">
        <f>IF(C79=0,0,1+MAX($D$69:D78))</f>
        <v>0</v>
      </c>
      <c r="E79" s="165">
        <f t="shared" si="56"/>
        <v>0</v>
      </c>
      <c r="F79" s="165" t="str">
        <f t="shared" si="57"/>
        <v/>
      </c>
      <c r="G79" s="165" t="str">
        <f t="shared" si="58"/>
        <v/>
      </c>
      <c r="K79" s="618">
        <v>11</v>
      </c>
      <c r="L79" s="165">
        <f t="shared" si="48"/>
        <v>0</v>
      </c>
      <c r="M79" s="165">
        <f>IF(L79=0,0,1+MAX(M$69:M78))</f>
        <v>0</v>
      </c>
      <c r="N79" s="165">
        <f t="shared" si="59"/>
        <v>0</v>
      </c>
      <c r="O79" s="165" t="str">
        <f t="shared" si="60"/>
        <v/>
      </c>
      <c r="P79" s="165" t="str">
        <f t="shared" si="61"/>
        <v/>
      </c>
      <c r="T79" s="618">
        <v>11</v>
      </c>
      <c r="U79" s="165">
        <f t="shared" si="49"/>
        <v>0</v>
      </c>
      <c r="V79" s="165">
        <f>IF(U79=0,0,1+MAX(V$69:V78))</f>
        <v>0</v>
      </c>
      <c r="W79" s="165">
        <f t="shared" si="62"/>
        <v>0</v>
      </c>
      <c r="X79" s="165" t="str">
        <f t="shared" si="63"/>
        <v/>
      </c>
      <c r="Y79" s="165" t="str">
        <f t="shared" si="64"/>
        <v/>
      </c>
      <c r="AC79" s="618">
        <v>11</v>
      </c>
      <c r="AD79" s="165">
        <f t="shared" si="50"/>
        <v>0</v>
      </c>
      <c r="AE79" s="165">
        <f>IF(AD79=0,0,1+MAX(AE$69:AE78))</f>
        <v>0</v>
      </c>
      <c r="AF79" s="165">
        <f t="shared" si="65"/>
        <v>0</v>
      </c>
      <c r="AG79" s="165" t="str">
        <f t="shared" si="66"/>
        <v/>
      </c>
      <c r="AH79" s="165" t="str">
        <f t="shared" si="67"/>
        <v/>
      </c>
      <c r="AL79" s="618">
        <v>11</v>
      </c>
      <c r="AM79" s="165">
        <f t="shared" si="51"/>
        <v>0</v>
      </c>
      <c r="AN79" s="165">
        <f>IF(AM79=0,0,1+MAX(AN$69:AN78))</f>
        <v>0</v>
      </c>
      <c r="AO79" s="165">
        <f t="shared" si="68"/>
        <v>0</v>
      </c>
      <c r="AP79" s="165" t="str">
        <f t="shared" si="69"/>
        <v/>
      </c>
      <c r="AQ79" s="165" t="str">
        <f t="shared" si="70"/>
        <v/>
      </c>
      <c r="AU79" s="618">
        <v>11</v>
      </c>
      <c r="AV79" s="165">
        <f t="shared" si="52"/>
        <v>0</v>
      </c>
      <c r="AW79" s="165">
        <f>IF(AV79=0,0,1+MAX(AW$69:AW78))</f>
        <v>0</v>
      </c>
      <c r="AX79" s="165">
        <f t="shared" si="71"/>
        <v>0</v>
      </c>
      <c r="AY79" s="165" t="str">
        <f t="shared" si="72"/>
        <v/>
      </c>
      <c r="AZ79" s="165" t="str">
        <f t="shared" si="73"/>
        <v/>
      </c>
      <c r="BD79" s="618">
        <v>11</v>
      </c>
      <c r="BE79" s="165">
        <f t="shared" si="53"/>
        <v>0</v>
      </c>
      <c r="BF79" s="165">
        <f>IF(BE79=0,0,1+MAX(BF$69:BF78))</f>
        <v>0</v>
      </c>
      <c r="BG79" s="165">
        <f t="shared" si="74"/>
        <v>0</v>
      </c>
      <c r="BH79" s="165" t="str">
        <f t="shared" si="75"/>
        <v/>
      </c>
      <c r="BI79" s="165" t="str">
        <f t="shared" si="76"/>
        <v/>
      </c>
      <c r="BM79" s="618">
        <v>11</v>
      </c>
      <c r="BN79" s="165">
        <f t="shared" si="54"/>
        <v>0</v>
      </c>
      <c r="BO79" s="165">
        <f>IF(BN79=0,0,1+MAX(BO$69:BO78))</f>
        <v>0</v>
      </c>
      <c r="BP79" s="165">
        <f t="shared" si="77"/>
        <v>0</v>
      </c>
      <c r="BQ79" s="165" t="str">
        <f t="shared" si="78"/>
        <v/>
      </c>
      <c r="BR79" s="165" t="str">
        <f t="shared" si="79"/>
        <v/>
      </c>
      <c r="BV79" s="618">
        <v>11</v>
      </c>
      <c r="BW79" s="165">
        <f t="shared" si="55"/>
        <v>0</v>
      </c>
      <c r="BX79" s="165">
        <f>IF(BW79=0,0,1+MAX(BX$69:BX78))</f>
        <v>0</v>
      </c>
      <c r="BY79" s="165">
        <f t="shared" si="80"/>
        <v>0</v>
      </c>
      <c r="BZ79" s="165" t="str">
        <f t="shared" si="81"/>
        <v/>
      </c>
      <c r="CA79" s="165" t="str">
        <f t="shared" si="82"/>
        <v/>
      </c>
    </row>
    <row r="80" spans="1:110" x14ac:dyDescent="0.25">
      <c r="B80" s="618">
        <v>12</v>
      </c>
      <c r="C80" s="165">
        <f t="shared" si="47"/>
        <v>0</v>
      </c>
      <c r="D80" s="165">
        <f>IF(C80=0,0,1+MAX($D$69:D79))</f>
        <v>0</v>
      </c>
      <c r="E80" s="165">
        <f t="shared" si="56"/>
        <v>0</v>
      </c>
      <c r="F80" s="165" t="str">
        <f t="shared" si="57"/>
        <v/>
      </c>
      <c r="G80" s="165" t="str">
        <f t="shared" si="58"/>
        <v/>
      </c>
      <c r="K80" s="618">
        <v>12</v>
      </c>
      <c r="L80" s="165">
        <f t="shared" si="48"/>
        <v>0</v>
      </c>
      <c r="M80" s="165">
        <f>IF(L80=0,0,1+MAX(M$69:M79))</f>
        <v>0</v>
      </c>
      <c r="N80" s="165">
        <f t="shared" si="59"/>
        <v>0</v>
      </c>
      <c r="O80" s="165" t="str">
        <f t="shared" si="60"/>
        <v/>
      </c>
      <c r="P80" s="165" t="str">
        <f t="shared" si="61"/>
        <v/>
      </c>
      <c r="T80" s="618">
        <v>12</v>
      </c>
      <c r="U80" s="165">
        <f t="shared" si="49"/>
        <v>0</v>
      </c>
      <c r="V80" s="165">
        <f>IF(U80=0,0,1+MAX(V$69:V79))</f>
        <v>0</v>
      </c>
      <c r="W80" s="165">
        <f t="shared" si="62"/>
        <v>0</v>
      </c>
      <c r="X80" s="165" t="str">
        <f t="shared" si="63"/>
        <v/>
      </c>
      <c r="Y80" s="165" t="str">
        <f t="shared" si="64"/>
        <v/>
      </c>
      <c r="AC80" s="618">
        <v>12</v>
      </c>
      <c r="AD80" s="165">
        <f t="shared" si="50"/>
        <v>0</v>
      </c>
      <c r="AE80" s="165">
        <f>IF(AD80=0,0,1+MAX(AE$69:AE79))</f>
        <v>0</v>
      </c>
      <c r="AF80" s="165">
        <f t="shared" si="65"/>
        <v>0</v>
      </c>
      <c r="AG80" s="165" t="str">
        <f t="shared" si="66"/>
        <v/>
      </c>
      <c r="AH80" s="165" t="str">
        <f t="shared" si="67"/>
        <v/>
      </c>
      <c r="AL80" s="618">
        <v>12</v>
      </c>
      <c r="AM80" s="165">
        <f t="shared" si="51"/>
        <v>0</v>
      </c>
      <c r="AN80" s="165">
        <f>IF(AM80=0,0,1+MAX(AN$69:AN79))</f>
        <v>0</v>
      </c>
      <c r="AO80" s="165">
        <f t="shared" si="68"/>
        <v>0</v>
      </c>
      <c r="AP80" s="165" t="str">
        <f t="shared" si="69"/>
        <v/>
      </c>
      <c r="AQ80" s="165" t="str">
        <f t="shared" si="70"/>
        <v/>
      </c>
      <c r="AU80" s="618">
        <v>12</v>
      </c>
      <c r="AV80" s="165">
        <f t="shared" si="52"/>
        <v>0</v>
      </c>
      <c r="AW80" s="165">
        <f>IF(AV80=0,0,1+MAX(AW$69:AW79))</f>
        <v>0</v>
      </c>
      <c r="AX80" s="165">
        <f t="shared" si="71"/>
        <v>0</v>
      </c>
      <c r="AY80" s="165" t="str">
        <f t="shared" si="72"/>
        <v/>
      </c>
      <c r="AZ80" s="165" t="str">
        <f t="shared" si="73"/>
        <v/>
      </c>
      <c r="BD80" s="618">
        <v>12</v>
      </c>
      <c r="BE80" s="165">
        <f t="shared" si="53"/>
        <v>0</v>
      </c>
      <c r="BF80" s="165">
        <f>IF(BE80=0,0,1+MAX(BF$69:BF79))</f>
        <v>0</v>
      </c>
      <c r="BG80" s="165">
        <f t="shared" si="74"/>
        <v>0</v>
      </c>
      <c r="BH80" s="165" t="str">
        <f t="shared" si="75"/>
        <v/>
      </c>
      <c r="BI80" s="165" t="str">
        <f t="shared" si="76"/>
        <v/>
      </c>
      <c r="BM80" s="618">
        <v>12</v>
      </c>
      <c r="BN80" s="165">
        <f t="shared" si="54"/>
        <v>0</v>
      </c>
      <c r="BO80" s="165">
        <f>IF(BN80=0,0,1+MAX(BO$69:BO79))</f>
        <v>0</v>
      </c>
      <c r="BP80" s="165">
        <f t="shared" si="77"/>
        <v>0</v>
      </c>
      <c r="BQ80" s="165" t="str">
        <f t="shared" si="78"/>
        <v/>
      </c>
      <c r="BR80" s="165" t="str">
        <f t="shared" si="79"/>
        <v/>
      </c>
      <c r="BV80" s="618">
        <v>12</v>
      </c>
      <c r="BW80" s="165">
        <f t="shared" si="55"/>
        <v>0</v>
      </c>
      <c r="BX80" s="165">
        <f>IF(BW80=0,0,1+MAX(BX$69:BX79))</f>
        <v>0</v>
      </c>
      <c r="BY80" s="165">
        <f t="shared" si="80"/>
        <v>0</v>
      </c>
      <c r="BZ80" s="165" t="str">
        <f t="shared" si="81"/>
        <v/>
      </c>
      <c r="CA80" s="165" t="str">
        <f t="shared" si="82"/>
        <v/>
      </c>
    </row>
    <row r="81" spans="2:79" x14ac:dyDescent="0.25">
      <c r="B81" s="618">
        <v>13</v>
      </c>
      <c r="C81" s="165">
        <f t="shared" si="47"/>
        <v>0</v>
      </c>
      <c r="D81" s="165">
        <f>IF(C81=0,0,1+MAX($D$69:D80))</f>
        <v>0</v>
      </c>
      <c r="E81" s="165">
        <f t="shared" si="56"/>
        <v>0</v>
      </c>
      <c r="F81" s="165" t="str">
        <f t="shared" si="57"/>
        <v/>
      </c>
      <c r="G81" s="165" t="str">
        <f t="shared" si="58"/>
        <v/>
      </c>
      <c r="K81" s="618">
        <v>13</v>
      </c>
      <c r="L81" s="165">
        <f t="shared" si="48"/>
        <v>0</v>
      </c>
      <c r="M81" s="165">
        <f>IF(L81=0,0,1+MAX(M$69:M80))</f>
        <v>0</v>
      </c>
      <c r="N81" s="165">
        <f t="shared" si="59"/>
        <v>0</v>
      </c>
      <c r="O81" s="165" t="str">
        <f t="shared" si="60"/>
        <v/>
      </c>
      <c r="P81" s="165" t="str">
        <f t="shared" si="61"/>
        <v/>
      </c>
      <c r="T81" s="618">
        <v>13</v>
      </c>
      <c r="U81" s="165">
        <f t="shared" si="49"/>
        <v>0</v>
      </c>
      <c r="V81" s="165">
        <f>IF(U81=0,0,1+MAX(V$69:V80))</f>
        <v>0</v>
      </c>
      <c r="W81" s="165">
        <f t="shared" si="62"/>
        <v>0</v>
      </c>
      <c r="X81" s="165" t="str">
        <f t="shared" si="63"/>
        <v/>
      </c>
      <c r="Y81" s="165" t="str">
        <f t="shared" si="64"/>
        <v/>
      </c>
      <c r="AC81" s="618">
        <v>13</v>
      </c>
      <c r="AD81" s="165">
        <f t="shared" si="50"/>
        <v>0</v>
      </c>
      <c r="AE81" s="165">
        <f>IF(AD81=0,0,1+MAX(AE$69:AE80))</f>
        <v>0</v>
      </c>
      <c r="AF81" s="165">
        <f t="shared" si="65"/>
        <v>0</v>
      </c>
      <c r="AG81" s="165" t="str">
        <f t="shared" si="66"/>
        <v/>
      </c>
      <c r="AH81" s="165" t="str">
        <f t="shared" si="67"/>
        <v/>
      </c>
      <c r="AL81" s="618">
        <v>13</v>
      </c>
      <c r="AM81" s="165">
        <f t="shared" si="51"/>
        <v>0</v>
      </c>
      <c r="AN81" s="165">
        <f>IF(AM81=0,0,1+MAX(AN$69:AN80))</f>
        <v>0</v>
      </c>
      <c r="AO81" s="165">
        <f t="shared" si="68"/>
        <v>0</v>
      </c>
      <c r="AP81" s="165" t="str">
        <f t="shared" si="69"/>
        <v/>
      </c>
      <c r="AQ81" s="165" t="str">
        <f t="shared" si="70"/>
        <v/>
      </c>
      <c r="AU81" s="618">
        <v>13</v>
      </c>
      <c r="AV81" s="165">
        <f t="shared" si="52"/>
        <v>0</v>
      </c>
      <c r="AW81" s="165">
        <f>IF(AV81=0,0,1+MAX(AW$69:AW80))</f>
        <v>0</v>
      </c>
      <c r="AX81" s="165">
        <f t="shared" si="71"/>
        <v>0</v>
      </c>
      <c r="AY81" s="165" t="str">
        <f t="shared" si="72"/>
        <v/>
      </c>
      <c r="AZ81" s="165" t="str">
        <f t="shared" si="73"/>
        <v/>
      </c>
      <c r="BD81" s="618">
        <v>13</v>
      </c>
      <c r="BE81" s="165">
        <f t="shared" si="53"/>
        <v>0</v>
      </c>
      <c r="BF81" s="165">
        <f>IF(BE81=0,0,1+MAX(BF$69:BF80))</f>
        <v>0</v>
      </c>
      <c r="BG81" s="165">
        <f t="shared" si="74"/>
        <v>0</v>
      </c>
      <c r="BH81" s="165" t="str">
        <f t="shared" si="75"/>
        <v/>
      </c>
      <c r="BI81" s="165" t="str">
        <f t="shared" si="76"/>
        <v/>
      </c>
      <c r="BM81" s="618">
        <v>13</v>
      </c>
      <c r="BN81" s="165">
        <f t="shared" si="54"/>
        <v>0</v>
      </c>
      <c r="BO81" s="165">
        <f>IF(BN81=0,0,1+MAX(BO$69:BO80))</f>
        <v>0</v>
      </c>
      <c r="BP81" s="165">
        <f t="shared" si="77"/>
        <v>0</v>
      </c>
      <c r="BQ81" s="165" t="str">
        <f t="shared" si="78"/>
        <v/>
      </c>
      <c r="BR81" s="165" t="str">
        <f t="shared" si="79"/>
        <v/>
      </c>
      <c r="BV81" s="618">
        <v>13</v>
      </c>
      <c r="BW81" s="165">
        <f t="shared" si="55"/>
        <v>0</v>
      </c>
      <c r="BX81" s="165">
        <f>IF(BW81=0,0,1+MAX(BX$69:BX80))</f>
        <v>0</v>
      </c>
      <c r="BY81" s="165">
        <f t="shared" si="80"/>
        <v>0</v>
      </c>
      <c r="BZ81" s="165" t="str">
        <f t="shared" si="81"/>
        <v/>
      </c>
      <c r="CA81" s="165" t="str">
        <f t="shared" si="82"/>
        <v/>
      </c>
    </row>
    <row r="82" spans="2:79" x14ac:dyDescent="0.25">
      <c r="B82" s="618">
        <v>14</v>
      </c>
      <c r="C82" s="165">
        <f t="shared" si="47"/>
        <v>0</v>
      </c>
      <c r="D82" s="165">
        <f>IF(C82=0,0,1+MAX($D$69:D81))</f>
        <v>0</v>
      </c>
      <c r="E82" s="165">
        <f t="shared" si="56"/>
        <v>0</v>
      </c>
      <c r="F82" s="165" t="str">
        <f t="shared" si="57"/>
        <v/>
      </c>
      <c r="G82" s="165" t="str">
        <f t="shared" si="58"/>
        <v/>
      </c>
      <c r="K82" s="618">
        <v>14</v>
      </c>
      <c r="L82" s="165">
        <f t="shared" si="48"/>
        <v>0</v>
      </c>
      <c r="M82" s="165">
        <f>IF(L82=0,0,1+MAX(M$69:M81))</f>
        <v>0</v>
      </c>
      <c r="N82" s="165">
        <f t="shared" si="59"/>
        <v>0</v>
      </c>
      <c r="O82" s="165" t="str">
        <f t="shared" si="60"/>
        <v/>
      </c>
      <c r="P82" s="165" t="str">
        <f t="shared" si="61"/>
        <v/>
      </c>
      <c r="T82" s="618">
        <v>14</v>
      </c>
      <c r="U82" s="165">
        <f t="shared" si="49"/>
        <v>0</v>
      </c>
      <c r="V82" s="165">
        <f>IF(U82=0,0,1+MAX(V$69:V81))</f>
        <v>0</v>
      </c>
      <c r="W82" s="165">
        <f t="shared" si="62"/>
        <v>0</v>
      </c>
      <c r="X82" s="165" t="str">
        <f t="shared" si="63"/>
        <v/>
      </c>
      <c r="Y82" s="165" t="str">
        <f t="shared" si="64"/>
        <v/>
      </c>
      <c r="AC82" s="618">
        <v>14</v>
      </c>
      <c r="AD82" s="165">
        <f t="shared" si="50"/>
        <v>0</v>
      </c>
      <c r="AE82" s="165">
        <f>IF(AD82=0,0,1+MAX(AE$69:AE81))</f>
        <v>0</v>
      </c>
      <c r="AF82" s="165">
        <f t="shared" si="65"/>
        <v>0</v>
      </c>
      <c r="AG82" s="165" t="str">
        <f t="shared" si="66"/>
        <v/>
      </c>
      <c r="AH82" s="165" t="str">
        <f t="shared" si="67"/>
        <v/>
      </c>
      <c r="AL82" s="618">
        <v>14</v>
      </c>
      <c r="AM82" s="165">
        <f t="shared" si="51"/>
        <v>0</v>
      </c>
      <c r="AN82" s="165">
        <f>IF(AM82=0,0,1+MAX(AN$69:AN81))</f>
        <v>0</v>
      </c>
      <c r="AO82" s="165">
        <f t="shared" si="68"/>
        <v>0</v>
      </c>
      <c r="AP82" s="165" t="str">
        <f t="shared" si="69"/>
        <v/>
      </c>
      <c r="AQ82" s="165" t="str">
        <f t="shared" si="70"/>
        <v/>
      </c>
      <c r="AU82" s="618">
        <v>14</v>
      </c>
      <c r="AV82" s="165">
        <f t="shared" si="52"/>
        <v>0</v>
      </c>
      <c r="AW82" s="165">
        <f>IF(AV82=0,0,1+MAX(AW$69:AW81))</f>
        <v>0</v>
      </c>
      <c r="AX82" s="165">
        <f t="shared" si="71"/>
        <v>0</v>
      </c>
      <c r="AY82" s="165" t="str">
        <f t="shared" si="72"/>
        <v/>
      </c>
      <c r="AZ82" s="165" t="str">
        <f t="shared" si="73"/>
        <v/>
      </c>
      <c r="BD82" s="618">
        <v>14</v>
      </c>
      <c r="BE82" s="165">
        <f t="shared" si="53"/>
        <v>0</v>
      </c>
      <c r="BF82" s="165">
        <f>IF(BE82=0,0,1+MAX(BF$69:BF81))</f>
        <v>0</v>
      </c>
      <c r="BG82" s="165">
        <f t="shared" si="74"/>
        <v>0</v>
      </c>
      <c r="BH82" s="165" t="str">
        <f t="shared" si="75"/>
        <v/>
      </c>
      <c r="BI82" s="165" t="str">
        <f t="shared" si="76"/>
        <v/>
      </c>
      <c r="BM82" s="618">
        <v>14</v>
      </c>
      <c r="BN82" s="165">
        <f t="shared" si="54"/>
        <v>0</v>
      </c>
      <c r="BO82" s="165">
        <f>IF(BN82=0,0,1+MAX(BO$69:BO81))</f>
        <v>0</v>
      </c>
      <c r="BP82" s="165">
        <f t="shared" si="77"/>
        <v>0</v>
      </c>
      <c r="BQ82" s="165" t="str">
        <f t="shared" si="78"/>
        <v/>
      </c>
      <c r="BR82" s="165" t="str">
        <f t="shared" si="79"/>
        <v/>
      </c>
      <c r="BV82" s="618">
        <v>14</v>
      </c>
      <c r="BW82" s="165">
        <f t="shared" si="55"/>
        <v>0</v>
      </c>
      <c r="BX82" s="165">
        <f>IF(BW82=0,0,1+MAX(BX$69:BX81))</f>
        <v>0</v>
      </c>
      <c r="BY82" s="165">
        <f t="shared" si="80"/>
        <v>0</v>
      </c>
      <c r="BZ82" s="165" t="str">
        <f t="shared" si="81"/>
        <v/>
      </c>
      <c r="CA82" s="165" t="str">
        <f t="shared" si="82"/>
        <v/>
      </c>
    </row>
    <row r="83" spans="2:79" x14ac:dyDescent="0.25">
      <c r="B83" s="618">
        <v>15</v>
      </c>
      <c r="C83" s="165">
        <f t="shared" si="47"/>
        <v>0</v>
      </c>
      <c r="D83" s="165">
        <f>IF(C83=0,0,1+MAX($D$69:D82))</f>
        <v>0</v>
      </c>
      <c r="E83" s="165">
        <f t="shared" si="56"/>
        <v>0</v>
      </c>
      <c r="F83" s="165" t="str">
        <f t="shared" si="57"/>
        <v/>
      </c>
      <c r="G83" s="165" t="str">
        <f t="shared" si="58"/>
        <v/>
      </c>
      <c r="K83" s="618">
        <v>15</v>
      </c>
      <c r="L83" s="165">
        <f t="shared" si="48"/>
        <v>0</v>
      </c>
      <c r="M83" s="165">
        <f>IF(L83=0,0,1+MAX(M$69:M82))</f>
        <v>0</v>
      </c>
      <c r="N83" s="165">
        <f t="shared" si="59"/>
        <v>0</v>
      </c>
      <c r="O83" s="165" t="str">
        <f t="shared" si="60"/>
        <v/>
      </c>
      <c r="P83" s="165" t="str">
        <f t="shared" si="61"/>
        <v/>
      </c>
      <c r="T83" s="618">
        <v>15</v>
      </c>
      <c r="U83" s="165">
        <f t="shared" si="49"/>
        <v>0</v>
      </c>
      <c r="V83" s="165">
        <f>IF(U83=0,0,1+MAX(V$69:V82))</f>
        <v>0</v>
      </c>
      <c r="W83" s="165">
        <f t="shared" si="62"/>
        <v>0</v>
      </c>
      <c r="X83" s="165" t="str">
        <f t="shared" si="63"/>
        <v/>
      </c>
      <c r="Y83" s="165" t="str">
        <f t="shared" si="64"/>
        <v/>
      </c>
      <c r="AC83" s="618">
        <v>15</v>
      </c>
      <c r="AD83" s="165">
        <f t="shared" si="50"/>
        <v>0</v>
      </c>
      <c r="AE83" s="165">
        <f>IF(AD83=0,0,1+MAX(AE$69:AE82))</f>
        <v>0</v>
      </c>
      <c r="AF83" s="165">
        <f t="shared" si="65"/>
        <v>0</v>
      </c>
      <c r="AG83" s="165" t="str">
        <f t="shared" si="66"/>
        <v/>
      </c>
      <c r="AH83" s="165" t="str">
        <f t="shared" si="67"/>
        <v/>
      </c>
      <c r="AL83" s="618">
        <v>15</v>
      </c>
      <c r="AM83" s="165">
        <f t="shared" si="51"/>
        <v>0</v>
      </c>
      <c r="AN83" s="165">
        <f>IF(AM83=0,0,1+MAX(AN$69:AN82))</f>
        <v>0</v>
      </c>
      <c r="AO83" s="165">
        <f t="shared" si="68"/>
        <v>0</v>
      </c>
      <c r="AP83" s="165" t="str">
        <f t="shared" si="69"/>
        <v/>
      </c>
      <c r="AQ83" s="165" t="str">
        <f t="shared" si="70"/>
        <v/>
      </c>
      <c r="AU83" s="618">
        <v>15</v>
      </c>
      <c r="AV83" s="165">
        <f t="shared" si="52"/>
        <v>0</v>
      </c>
      <c r="AW83" s="165">
        <f>IF(AV83=0,0,1+MAX(AW$69:AW82))</f>
        <v>0</v>
      </c>
      <c r="AX83" s="165">
        <f t="shared" si="71"/>
        <v>0</v>
      </c>
      <c r="AY83" s="165" t="str">
        <f t="shared" si="72"/>
        <v/>
      </c>
      <c r="AZ83" s="165" t="str">
        <f t="shared" si="73"/>
        <v/>
      </c>
      <c r="BD83" s="618">
        <v>15</v>
      </c>
      <c r="BE83" s="165">
        <f t="shared" si="53"/>
        <v>0</v>
      </c>
      <c r="BF83" s="165">
        <f>IF(BE83=0,0,1+MAX(BF$69:BF82))</f>
        <v>0</v>
      </c>
      <c r="BG83" s="165">
        <f t="shared" si="74"/>
        <v>0</v>
      </c>
      <c r="BH83" s="165" t="str">
        <f t="shared" si="75"/>
        <v/>
      </c>
      <c r="BI83" s="165" t="str">
        <f t="shared" si="76"/>
        <v/>
      </c>
      <c r="BM83" s="618">
        <v>15</v>
      </c>
      <c r="BN83" s="165">
        <f t="shared" si="54"/>
        <v>0</v>
      </c>
      <c r="BO83" s="165">
        <f>IF(BN83=0,0,1+MAX(BO$69:BO82))</f>
        <v>0</v>
      </c>
      <c r="BP83" s="165">
        <f t="shared" si="77"/>
        <v>0</v>
      </c>
      <c r="BQ83" s="165" t="str">
        <f t="shared" si="78"/>
        <v/>
      </c>
      <c r="BR83" s="165" t="str">
        <f t="shared" si="79"/>
        <v/>
      </c>
      <c r="BV83" s="618">
        <v>15</v>
      </c>
      <c r="BW83" s="165">
        <f t="shared" si="55"/>
        <v>0</v>
      </c>
      <c r="BX83" s="165">
        <f>IF(BW83=0,0,1+MAX(BX$69:BX82))</f>
        <v>0</v>
      </c>
      <c r="BY83" s="165">
        <f t="shared" si="80"/>
        <v>0</v>
      </c>
      <c r="BZ83" s="165" t="str">
        <f t="shared" si="81"/>
        <v/>
      </c>
      <c r="CA83" s="165" t="str">
        <f t="shared" si="82"/>
        <v/>
      </c>
    </row>
    <row r="84" spans="2:79" x14ac:dyDescent="0.25">
      <c r="B84" s="618">
        <v>16</v>
      </c>
      <c r="C84" s="165">
        <f t="shared" si="47"/>
        <v>0</v>
      </c>
      <c r="D84" s="165">
        <f>IF(C84=0,0,1+MAX($D$69:D83))</f>
        <v>0</v>
      </c>
      <c r="E84" s="165">
        <f t="shared" si="56"/>
        <v>0</v>
      </c>
      <c r="F84" s="165" t="str">
        <f t="shared" si="57"/>
        <v/>
      </c>
      <c r="G84" s="165" t="str">
        <f t="shared" si="58"/>
        <v/>
      </c>
      <c r="K84" s="618">
        <v>16</v>
      </c>
      <c r="L84" s="165">
        <f t="shared" si="48"/>
        <v>0</v>
      </c>
      <c r="M84" s="165">
        <f>IF(L84=0,0,1+MAX(M$69:M83))</f>
        <v>0</v>
      </c>
      <c r="N84" s="165">
        <f t="shared" si="59"/>
        <v>0</v>
      </c>
      <c r="O84" s="165" t="str">
        <f t="shared" si="60"/>
        <v/>
      </c>
      <c r="P84" s="165" t="str">
        <f t="shared" si="61"/>
        <v/>
      </c>
      <c r="T84" s="618">
        <v>16</v>
      </c>
      <c r="U84" s="165">
        <f t="shared" si="49"/>
        <v>0</v>
      </c>
      <c r="V84" s="165">
        <f>IF(U84=0,0,1+MAX(V$69:V83))</f>
        <v>0</v>
      </c>
      <c r="W84" s="165">
        <f t="shared" si="62"/>
        <v>0</v>
      </c>
      <c r="X84" s="165" t="str">
        <f t="shared" si="63"/>
        <v/>
      </c>
      <c r="Y84" s="165" t="str">
        <f t="shared" si="64"/>
        <v/>
      </c>
      <c r="AC84" s="618">
        <v>16</v>
      </c>
      <c r="AD84" s="165">
        <f t="shared" si="50"/>
        <v>0</v>
      </c>
      <c r="AE84" s="165">
        <f>IF(AD84=0,0,1+MAX(AE$69:AE83))</f>
        <v>0</v>
      </c>
      <c r="AF84" s="165">
        <f t="shared" si="65"/>
        <v>0</v>
      </c>
      <c r="AG84" s="165" t="str">
        <f t="shared" si="66"/>
        <v/>
      </c>
      <c r="AH84" s="165" t="str">
        <f t="shared" si="67"/>
        <v/>
      </c>
      <c r="AL84" s="618">
        <v>16</v>
      </c>
      <c r="AM84" s="165">
        <f t="shared" si="51"/>
        <v>0</v>
      </c>
      <c r="AN84" s="165">
        <f>IF(AM84=0,0,1+MAX(AN$69:AN83))</f>
        <v>0</v>
      </c>
      <c r="AO84" s="165">
        <f t="shared" si="68"/>
        <v>0</v>
      </c>
      <c r="AP84" s="165" t="str">
        <f t="shared" si="69"/>
        <v/>
      </c>
      <c r="AQ84" s="165" t="str">
        <f t="shared" si="70"/>
        <v/>
      </c>
      <c r="AU84" s="618">
        <v>16</v>
      </c>
      <c r="AV84" s="165">
        <f t="shared" si="52"/>
        <v>0</v>
      </c>
      <c r="AW84" s="165">
        <f>IF(AV84=0,0,1+MAX(AW$69:AW83))</f>
        <v>0</v>
      </c>
      <c r="AX84" s="165">
        <f t="shared" si="71"/>
        <v>0</v>
      </c>
      <c r="AY84" s="165" t="str">
        <f t="shared" si="72"/>
        <v/>
      </c>
      <c r="AZ84" s="165" t="str">
        <f t="shared" si="73"/>
        <v/>
      </c>
      <c r="BD84" s="618">
        <v>16</v>
      </c>
      <c r="BE84" s="165">
        <f t="shared" si="53"/>
        <v>0</v>
      </c>
      <c r="BF84" s="165">
        <f>IF(BE84=0,0,1+MAX(BF$69:BF83))</f>
        <v>0</v>
      </c>
      <c r="BG84" s="165">
        <f t="shared" si="74"/>
        <v>0</v>
      </c>
      <c r="BH84" s="165" t="str">
        <f t="shared" si="75"/>
        <v/>
      </c>
      <c r="BI84" s="165" t="str">
        <f t="shared" si="76"/>
        <v/>
      </c>
      <c r="BM84" s="618">
        <v>16</v>
      </c>
      <c r="BN84" s="165">
        <f t="shared" si="54"/>
        <v>0</v>
      </c>
      <c r="BO84" s="165">
        <f>IF(BN84=0,0,1+MAX(BO$69:BO83))</f>
        <v>0</v>
      </c>
      <c r="BP84" s="165">
        <f t="shared" si="77"/>
        <v>0</v>
      </c>
      <c r="BQ84" s="165" t="str">
        <f t="shared" si="78"/>
        <v/>
      </c>
      <c r="BR84" s="165" t="str">
        <f t="shared" si="79"/>
        <v/>
      </c>
      <c r="BV84" s="618">
        <v>16</v>
      </c>
      <c r="BW84" s="165">
        <f t="shared" si="55"/>
        <v>0</v>
      </c>
      <c r="BX84" s="165">
        <f>IF(BW84=0,0,1+MAX(BX$69:BX83))</f>
        <v>0</v>
      </c>
      <c r="BY84" s="165">
        <f t="shared" si="80"/>
        <v>0</v>
      </c>
      <c r="BZ84" s="165" t="str">
        <f t="shared" si="81"/>
        <v/>
      </c>
      <c r="CA84" s="165" t="str">
        <f t="shared" si="82"/>
        <v/>
      </c>
    </row>
    <row r="85" spans="2:79" x14ac:dyDescent="0.25">
      <c r="B85" s="618">
        <v>17</v>
      </c>
      <c r="C85" s="165">
        <f t="shared" si="47"/>
        <v>0</v>
      </c>
      <c r="D85" s="165">
        <f>IF(C85=0,0,1+MAX($D$69:D84))</f>
        <v>0</v>
      </c>
      <c r="E85" s="165">
        <f t="shared" si="56"/>
        <v>0</v>
      </c>
      <c r="F85" s="165" t="str">
        <f t="shared" si="57"/>
        <v/>
      </c>
      <c r="G85" s="165" t="str">
        <f t="shared" si="58"/>
        <v/>
      </c>
      <c r="K85" s="618">
        <v>17</v>
      </c>
      <c r="L85" s="165">
        <f t="shared" si="48"/>
        <v>0</v>
      </c>
      <c r="M85" s="165">
        <f>IF(L85=0,0,1+MAX(M$69:M84))</f>
        <v>0</v>
      </c>
      <c r="N85" s="165">
        <f t="shared" si="59"/>
        <v>0</v>
      </c>
      <c r="O85" s="165" t="str">
        <f t="shared" si="60"/>
        <v/>
      </c>
      <c r="P85" s="165" t="str">
        <f t="shared" si="61"/>
        <v/>
      </c>
      <c r="T85" s="618">
        <v>17</v>
      </c>
      <c r="U85" s="165">
        <f t="shared" si="49"/>
        <v>0</v>
      </c>
      <c r="V85" s="165">
        <f>IF(U85=0,0,1+MAX(V$69:V84))</f>
        <v>0</v>
      </c>
      <c r="W85" s="165">
        <f t="shared" si="62"/>
        <v>0</v>
      </c>
      <c r="X85" s="165" t="str">
        <f t="shared" si="63"/>
        <v/>
      </c>
      <c r="Y85" s="165" t="str">
        <f t="shared" si="64"/>
        <v/>
      </c>
      <c r="AC85" s="618">
        <v>17</v>
      </c>
      <c r="AD85" s="165">
        <f t="shared" si="50"/>
        <v>0</v>
      </c>
      <c r="AE85" s="165">
        <f>IF(AD85=0,0,1+MAX(AE$69:AE84))</f>
        <v>0</v>
      </c>
      <c r="AF85" s="165">
        <f t="shared" si="65"/>
        <v>0</v>
      </c>
      <c r="AG85" s="165" t="str">
        <f t="shared" si="66"/>
        <v/>
      </c>
      <c r="AH85" s="165" t="str">
        <f t="shared" si="67"/>
        <v/>
      </c>
      <c r="AL85" s="618">
        <v>17</v>
      </c>
      <c r="AM85" s="165">
        <f t="shared" si="51"/>
        <v>0</v>
      </c>
      <c r="AN85" s="165">
        <f>IF(AM85=0,0,1+MAX(AN$69:AN84))</f>
        <v>0</v>
      </c>
      <c r="AO85" s="165">
        <f t="shared" si="68"/>
        <v>0</v>
      </c>
      <c r="AP85" s="165" t="str">
        <f t="shared" si="69"/>
        <v/>
      </c>
      <c r="AQ85" s="165" t="str">
        <f t="shared" si="70"/>
        <v/>
      </c>
      <c r="AU85" s="618">
        <v>17</v>
      </c>
      <c r="AV85" s="165">
        <f t="shared" si="52"/>
        <v>0</v>
      </c>
      <c r="AW85" s="165">
        <f>IF(AV85=0,0,1+MAX(AW$69:AW84))</f>
        <v>0</v>
      </c>
      <c r="AX85" s="165">
        <f t="shared" si="71"/>
        <v>0</v>
      </c>
      <c r="AY85" s="165" t="str">
        <f t="shared" si="72"/>
        <v/>
      </c>
      <c r="AZ85" s="165" t="str">
        <f t="shared" si="73"/>
        <v/>
      </c>
      <c r="BD85" s="618">
        <v>17</v>
      </c>
      <c r="BE85" s="165">
        <f t="shared" si="53"/>
        <v>0</v>
      </c>
      <c r="BF85" s="165">
        <f>IF(BE85=0,0,1+MAX(BF$69:BF84))</f>
        <v>0</v>
      </c>
      <c r="BG85" s="165">
        <f t="shared" si="74"/>
        <v>0</v>
      </c>
      <c r="BH85" s="165" t="str">
        <f t="shared" si="75"/>
        <v/>
      </c>
      <c r="BI85" s="165" t="str">
        <f t="shared" si="76"/>
        <v/>
      </c>
      <c r="BM85" s="618">
        <v>17</v>
      </c>
      <c r="BN85" s="165">
        <f t="shared" si="54"/>
        <v>0</v>
      </c>
      <c r="BO85" s="165">
        <f>IF(BN85=0,0,1+MAX(BO$69:BO84))</f>
        <v>0</v>
      </c>
      <c r="BP85" s="165">
        <f t="shared" si="77"/>
        <v>0</v>
      </c>
      <c r="BQ85" s="165" t="str">
        <f t="shared" si="78"/>
        <v/>
      </c>
      <c r="BR85" s="165" t="str">
        <f t="shared" si="79"/>
        <v/>
      </c>
      <c r="BV85" s="618">
        <v>17</v>
      </c>
      <c r="BW85" s="165">
        <f t="shared" si="55"/>
        <v>0</v>
      </c>
      <c r="BX85" s="165">
        <f>IF(BW85=0,0,1+MAX(BX$69:BX84))</f>
        <v>0</v>
      </c>
      <c r="BY85" s="165">
        <f t="shared" si="80"/>
        <v>0</v>
      </c>
      <c r="BZ85" s="165" t="str">
        <f t="shared" si="81"/>
        <v/>
      </c>
      <c r="CA85" s="165" t="str">
        <f t="shared" si="82"/>
        <v/>
      </c>
    </row>
    <row r="86" spans="2:79" x14ac:dyDescent="0.25">
      <c r="B86" s="618">
        <v>18</v>
      </c>
      <c r="C86" s="165">
        <f t="shared" si="47"/>
        <v>0</v>
      </c>
      <c r="D86" s="165">
        <f>IF(C86=0,0,1+MAX($D$69:D85))</f>
        <v>0</v>
      </c>
      <c r="E86" s="165">
        <f t="shared" si="56"/>
        <v>0</v>
      </c>
      <c r="F86" s="165" t="str">
        <f t="shared" si="57"/>
        <v/>
      </c>
      <c r="G86" s="165" t="str">
        <f t="shared" si="58"/>
        <v/>
      </c>
      <c r="K86" s="618">
        <v>18</v>
      </c>
      <c r="L86" s="165">
        <f t="shared" si="48"/>
        <v>0</v>
      </c>
      <c r="M86" s="165">
        <f>IF(L86=0,0,1+MAX(M$69:M85))</f>
        <v>0</v>
      </c>
      <c r="N86" s="165">
        <f t="shared" si="59"/>
        <v>0</v>
      </c>
      <c r="O86" s="165" t="str">
        <f t="shared" si="60"/>
        <v/>
      </c>
      <c r="P86" s="165" t="str">
        <f t="shared" si="61"/>
        <v/>
      </c>
      <c r="T86" s="618">
        <v>18</v>
      </c>
      <c r="U86" s="165">
        <f t="shared" si="49"/>
        <v>0</v>
      </c>
      <c r="V86" s="165">
        <f>IF(U86=0,0,1+MAX(V$69:V85))</f>
        <v>0</v>
      </c>
      <c r="W86" s="165">
        <f t="shared" si="62"/>
        <v>0</v>
      </c>
      <c r="X86" s="165" t="str">
        <f t="shared" si="63"/>
        <v/>
      </c>
      <c r="Y86" s="165" t="str">
        <f t="shared" si="64"/>
        <v/>
      </c>
      <c r="AC86" s="618">
        <v>18</v>
      </c>
      <c r="AD86" s="165">
        <f t="shared" si="50"/>
        <v>0</v>
      </c>
      <c r="AE86" s="165">
        <f>IF(AD86=0,0,1+MAX(AE$69:AE85))</f>
        <v>0</v>
      </c>
      <c r="AF86" s="165">
        <f t="shared" si="65"/>
        <v>0</v>
      </c>
      <c r="AG86" s="165" t="str">
        <f t="shared" si="66"/>
        <v/>
      </c>
      <c r="AH86" s="165" t="str">
        <f t="shared" si="67"/>
        <v/>
      </c>
      <c r="AL86" s="618">
        <v>18</v>
      </c>
      <c r="AM86" s="165">
        <f t="shared" si="51"/>
        <v>0</v>
      </c>
      <c r="AN86" s="165">
        <f>IF(AM86=0,0,1+MAX(AN$69:AN85))</f>
        <v>0</v>
      </c>
      <c r="AO86" s="165">
        <f t="shared" si="68"/>
        <v>0</v>
      </c>
      <c r="AP86" s="165" t="str">
        <f t="shared" si="69"/>
        <v/>
      </c>
      <c r="AQ86" s="165" t="str">
        <f t="shared" si="70"/>
        <v/>
      </c>
      <c r="AU86" s="618">
        <v>18</v>
      </c>
      <c r="AV86" s="165">
        <f t="shared" si="52"/>
        <v>0</v>
      </c>
      <c r="AW86" s="165">
        <f>IF(AV86=0,0,1+MAX(AW$69:AW85))</f>
        <v>0</v>
      </c>
      <c r="AX86" s="165">
        <f t="shared" si="71"/>
        <v>0</v>
      </c>
      <c r="AY86" s="165" t="str">
        <f t="shared" si="72"/>
        <v/>
      </c>
      <c r="AZ86" s="165" t="str">
        <f t="shared" si="73"/>
        <v/>
      </c>
      <c r="BD86" s="618">
        <v>18</v>
      </c>
      <c r="BE86" s="165">
        <f t="shared" si="53"/>
        <v>0</v>
      </c>
      <c r="BF86" s="165">
        <f>IF(BE86=0,0,1+MAX(BF$69:BF85))</f>
        <v>0</v>
      </c>
      <c r="BG86" s="165">
        <f t="shared" si="74"/>
        <v>0</v>
      </c>
      <c r="BH86" s="165" t="str">
        <f t="shared" si="75"/>
        <v/>
      </c>
      <c r="BI86" s="165" t="str">
        <f t="shared" si="76"/>
        <v/>
      </c>
      <c r="BM86" s="618">
        <v>18</v>
      </c>
      <c r="BN86" s="165">
        <f t="shared" si="54"/>
        <v>0</v>
      </c>
      <c r="BO86" s="165">
        <f>IF(BN86=0,0,1+MAX(BO$69:BO85))</f>
        <v>0</v>
      </c>
      <c r="BP86" s="165">
        <f t="shared" si="77"/>
        <v>0</v>
      </c>
      <c r="BQ86" s="165" t="str">
        <f t="shared" si="78"/>
        <v/>
      </c>
      <c r="BR86" s="165" t="str">
        <f t="shared" si="79"/>
        <v/>
      </c>
      <c r="BV86" s="618">
        <v>18</v>
      </c>
      <c r="BW86" s="165">
        <f t="shared" si="55"/>
        <v>0</v>
      </c>
      <c r="BX86" s="165">
        <f>IF(BW86=0,0,1+MAX(BX$69:BX85))</f>
        <v>0</v>
      </c>
      <c r="BY86" s="165">
        <f t="shared" si="80"/>
        <v>0</v>
      </c>
      <c r="BZ86" s="165" t="str">
        <f t="shared" si="81"/>
        <v/>
      </c>
      <c r="CA86" s="165" t="str">
        <f t="shared" si="82"/>
        <v/>
      </c>
    </row>
    <row r="87" spans="2:79" x14ac:dyDescent="0.25">
      <c r="B87" s="618">
        <v>19</v>
      </c>
      <c r="C87" s="165">
        <f t="shared" si="47"/>
        <v>0</v>
      </c>
      <c r="D87" s="165">
        <f>IF(C87=0,0,1+MAX($D$69:D86))</f>
        <v>0</v>
      </c>
      <c r="E87" s="165">
        <f t="shared" si="56"/>
        <v>0</v>
      </c>
      <c r="F87" s="165" t="str">
        <f t="shared" si="57"/>
        <v/>
      </c>
      <c r="G87" s="165" t="str">
        <f t="shared" si="58"/>
        <v/>
      </c>
      <c r="K87" s="618">
        <v>19</v>
      </c>
      <c r="L87" s="165">
        <f t="shared" si="48"/>
        <v>0</v>
      </c>
      <c r="M87" s="165">
        <f>IF(L87=0,0,1+MAX(M$69:M86))</f>
        <v>0</v>
      </c>
      <c r="N87" s="165">
        <f t="shared" si="59"/>
        <v>0</v>
      </c>
      <c r="O87" s="165" t="str">
        <f t="shared" si="60"/>
        <v/>
      </c>
      <c r="P87" s="165" t="str">
        <f t="shared" si="61"/>
        <v/>
      </c>
      <c r="T87" s="618">
        <v>19</v>
      </c>
      <c r="U87" s="165">
        <f t="shared" si="49"/>
        <v>0</v>
      </c>
      <c r="V87" s="165">
        <f>IF(U87=0,0,1+MAX(V$69:V86))</f>
        <v>0</v>
      </c>
      <c r="W87" s="165">
        <f t="shared" si="62"/>
        <v>0</v>
      </c>
      <c r="X87" s="165" t="str">
        <f t="shared" si="63"/>
        <v/>
      </c>
      <c r="Y87" s="165" t="str">
        <f t="shared" si="64"/>
        <v/>
      </c>
      <c r="AC87" s="618">
        <v>19</v>
      </c>
      <c r="AD87" s="165">
        <f t="shared" si="50"/>
        <v>0</v>
      </c>
      <c r="AE87" s="165">
        <f>IF(AD87=0,0,1+MAX(AE$69:AE86))</f>
        <v>0</v>
      </c>
      <c r="AF87" s="165">
        <f t="shared" si="65"/>
        <v>0</v>
      </c>
      <c r="AG87" s="165" t="str">
        <f t="shared" si="66"/>
        <v/>
      </c>
      <c r="AH87" s="165" t="str">
        <f t="shared" si="67"/>
        <v/>
      </c>
      <c r="AL87" s="618">
        <v>19</v>
      </c>
      <c r="AM87" s="165">
        <f t="shared" si="51"/>
        <v>0</v>
      </c>
      <c r="AN87" s="165">
        <f>IF(AM87=0,0,1+MAX(AN$69:AN86))</f>
        <v>0</v>
      </c>
      <c r="AO87" s="165">
        <f t="shared" si="68"/>
        <v>0</v>
      </c>
      <c r="AP87" s="165" t="str">
        <f t="shared" si="69"/>
        <v/>
      </c>
      <c r="AQ87" s="165" t="str">
        <f t="shared" si="70"/>
        <v/>
      </c>
      <c r="AU87" s="618">
        <v>19</v>
      </c>
      <c r="AV87" s="165">
        <f t="shared" si="52"/>
        <v>0</v>
      </c>
      <c r="AW87" s="165">
        <f>IF(AV87=0,0,1+MAX(AW$69:AW86))</f>
        <v>0</v>
      </c>
      <c r="AX87" s="165">
        <f t="shared" si="71"/>
        <v>0</v>
      </c>
      <c r="AY87" s="165" t="str">
        <f t="shared" si="72"/>
        <v/>
      </c>
      <c r="AZ87" s="165" t="str">
        <f t="shared" si="73"/>
        <v/>
      </c>
      <c r="BD87" s="618">
        <v>19</v>
      </c>
      <c r="BE87" s="165">
        <f t="shared" si="53"/>
        <v>0</v>
      </c>
      <c r="BF87" s="165">
        <f>IF(BE87=0,0,1+MAX(BF$69:BF86))</f>
        <v>0</v>
      </c>
      <c r="BG87" s="165">
        <f t="shared" si="74"/>
        <v>0</v>
      </c>
      <c r="BH87" s="165" t="str">
        <f t="shared" si="75"/>
        <v/>
      </c>
      <c r="BI87" s="165" t="str">
        <f t="shared" si="76"/>
        <v/>
      </c>
      <c r="BM87" s="618">
        <v>19</v>
      </c>
      <c r="BN87" s="165">
        <f t="shared" si="54"/>
        <v>0</v>
      </c>
      <c r="BO87" s="165">
        <f>IF(BN87=0,0,1+MAX(BO$69:BO86))</f>
        <v>0</v>
      </c>
      <c r="BP87" s="165">
        <f t="shared" si="77"/>
        <v>0</v>
      </c>
      <c r="BQ87" s="165" t="str">
        <f t="shared" si="78"/>
        <v/>
      </c>
      <c r="BR87" s="165" t="str">
        <f t="shared" si="79"/>
        <v/>
      </c>
      <c r="BV87" s="618">
        <v>19</v>
      </c>
      <c r="BW87" s="165">
        <f t="shared" si="55"/>
        <v>0</v>
      </c>
      <c r="BX87" s="165">
        <f>IF(BW87=0,0,1+MAX(BX$69:BX86))</f>
        <v>0</v>
      </c>
      <c r="BY87" s="165">
        <f t="shared" si="80"/>
        <v>0</v>
      </c>
      <c r="BZ87" s="165" t="str">
        <f t="shared" si="81"/>
        <v/>
      </c>
      <c r="CA87" s="165" t="str">
        <f t="shared" si="82"/>
        <v/>
      </c>
    </row>
    <row r="88" spans="2:79" x14ac:dyDescent="0.25">
      <c r="B88" s="618">
        <v>20</v>
      </c>
      <c r="C88" s="165">
        <f t="shared" si="47"/>
        <v>0</v>
      </c>
      <c r="D88" s="165">
        <f>IF(C88=0,0,1+MAX($D$69:D87))</f>
        <v>0</v>
      </c>
      <c r="E88" s="165">
        <f t="shared" si="56"/>
        <v>0</v>
      </c>
      <c r="F88" s="165" t="str">
        <f t="shared" si="57"/>
        <v/>
      </c>
      <c r="G88" s="165" t="str">
        <f t="shared" si="58"/>
        <v/>
      </c>
      <c r="K88" s="618">
        <v>20</v>
      </c>
      <c r="L88" s="165">
        <f t="shared" si="48"/>
        <v>0</v>
      </c>
      <c r="M88" s="165">
        <f>IF(L88=0,0,1+MAX(M$69:M87))</f>
        <v>0</v>
      </c>
      <c r="N88" s="165">
        <f t="shared" si="59"/>
        <v>0</v>
      </c>
      <c r="O88" s="165" t="str">
        <f t="shared" si="60"/>
        <v/>
      </c>
      <c r="P88" s="165" t="str">
        <f t="shared" si="61"/>
        <v/>
      </c>
      <c r="T88" s="618">
        <v>20</v>
      </c>
      <c r="U88" s="165">
        <f t="shared" si="49"/>
        <v>0</v>
      </c>
      <c r="V88" s="165">
        <f>IF(U88=0,0,1+MAX(V$69:V87))</f>
        <v>0</v>
      </c>
      <c r="W88" s="165">
        <f t="shared" si="62"/>
        <v>0</v>
      </c>
      <c r="X88" s="165" t="str">
        <f t="shared" si="63"/>
        <v/>
      </c>
      <c r="Y88" s="165" t="str">
        <f t="shared" si="64"/>
        <v/>
      </c>
      <c r="AC88" s="618">
        <v>20</v>
      </c>
      <c r="AD88" s="165">
        <f t="shared" si="50"/>
        <v>0</v>
      </c>
      <c r="AE88" s="165">
        <f>IF(AD88=0,0,1+MAX(AE$69:AE87))</f>
        <v>0</v>
      </c>
      <c r="AF88" s="165">
        <f t="shared" si="65"/>
        <v>0</v>
      </c>
      <c r="AG88" s="165" t="str">
        <f t="shared" si="66"/>
        <v/>
      </c>
      <c r="AH88" s="165" t="str">
        <f t="shared" si="67"/>
        <v/>
      </c>
      <c r="AL88" s="618">
        <v>20</v>
      </c>
      <c r="AM88" s="165">
        <f t="shared" si="51"/>
        <v>0</v>
      </c>
      <c r="AN88" s="165">
        <f>IF(AM88=0,0,1+MAX(AN$69:AN87))</f>
        <v>0</v>
      </c>
      <c r="AO88" s="165">
        <f t="shared" si="68"/>
        <v>0</v>
      </c>
      <c r="AP88" s="165" t="str">
        <f t="shared" si="69"/>
        <v/>
      </c>
      <c r="AQ88" s="165" t="str">
        <f t="shared" si="70"/>
        <v/>
      </c>
      <c r="AU88" s="618">
        <v>20</v>
      </c>
      <c r="AV88" s="165">
        <f t="shared" si="52"/>
        <v>0</v>
      </c>
      <c r="AW88" s="165">
        <f>IF(AV88=0,0,1+MAX(AW$69:AW87))</f>
        <v>0</v>
      </c>
      <c r="AX88" s="165">
        <f t="shared" si="71"/>
        <v>0</v>
      </c>
      <c r="AY88" s="165" t="str">
        <f t="shared" si="72"/>
        <v/>
      </c>
      <c r="AZ88" s="165" t="str">
        <f t="shared" si="73"/>
        <v/>
      </c>
      <c r="BD88" s="618">
        <v>20</v>
      </c>
      <c r="BE88" s="165">
        <f t="shared" si="53"/>
        <v>0</v>
      </c>
      <c r="BF88" s="165">
        <f>IF(BE88=0,0,1+MAX(BF$69:BF87))</f>
        <v>0</v>
      </c>
      <c r="BG88" s="165">
        <f t="shared" si="74"/>
        <v>0</v>
      </c>
      <c r="BH88" s="165" t="str">
        <f t="shared" si="75"/>
        <v/>
      </c>
      <c r="BI88" s="165" t="str">
        <f t="shared" si="76"/>
        <v/>
      </c>
      <c r="BM88" s="618">
        <v>20</v>
      </c>
      <c r="BN88" s="165">
        <f t="shared" si="54"/>
        <v>0</v>
      </c>
      <c r="BO88" s="165">
        <f>IF(BN88=0,0,1+MAX(BO$69:BO87))</f>
        <v>0</v>
      </c>
      <c r="BP88" s="165">
        <f t="shared" si="77"/>
        <v>0</v>
      </c>
      <c r="BQ88" s="165" t="str">
        <f t="shared" si="78"/>
        <v/>
      </c>
      <c r="BR88" s="165" t="str">
        <f t="shared" si="79"/>
        <v/>
      </c>
      <c r="BV88" s="618">
        <v>20</v>
      </c>
      <c r="BW88" s="165">
        <f t="shared" si="55"/>
        <v>0</v>
      </c>
      <c r="BX88" s="165">
        <f>IF(BW88=0,0,1+MAX(BX$69:BX87))</f>
        <v>0</v>
      </c>
      <c r="BY88" s="165">
        <f t="shared" si="80"/>
        <v>0</v>
      </c>
      <c r="BZ88" s="165" t="str">
        <f t="shared" si="81"/>
        <v/>
      </c>
      <c r="CA88" s="165" t="str">
        <f t="shared" si="82"/>
        <v/>
      </c>
    </row>
    <row r="89" spans="2:79" x14ac:dyDescent="0.25">
      <c r="B89" s="618">
        <v>21</v>
      </c>
      <c r="C89" s="165">
        <f t="shared" si="47"/>
        <v>0</v>
      </c>
      <c r="D89" s="165">
        <f>IF(C89=0,0,1+MAX($D$69:D88))</f>
        <v>0</v>
      </c>
      <c r="E89" s="165">
        <f t="shared" si="56"/>
        <v>0</v>
      </c>
      <c r="F89" s="165" t="str">
        <f t="shared" si="57"/>
        <v/>
      </c>
      <c r="G89" s="165" t="str">
        <f t="shared" si="58"/>
        <v/>
      </c>
      <c r="K89" s="618">
        <v>21</v>
      </c>
      <c r="L89" s="165">
        <f t="shared" si="48"/>
        <v>0</v>
      </c>
      <c r="M89" s="165">
        <f>IF(L89=0,0,1+MAX(M$69:M88))</f>
        <v>0</v>
      </c>
      <c r="N89" s="165">
        <f t="shared" si="59"/>
        <v>0</v>
      </c>
      <c r="O89" s="165" t="str">
        <f t="shared" si="60"/>
        <v/>
      </c>
      <c r="P89" s="165" t="str">
        <f t="shared" si="61"/>
        <v/>
      </c>
      <c r="T89" s="618">
        <v>21</v>
      </c>
      <c r="U89" s="165">
        <f t="shared" si="49"/>
        <v>0</v>
      </c>
      <c r="V89" s="165">
        <f>IF(U89=0,0,1+MAX(V$69:V88))</f>
        <v>0</v>
      </c>
      <c r="W89" s="165">
        <f t="shared" si="62"/>
        <v>0</v>
      </c>
      <c r="X89" s="165" t="str">
        <f t="shared" si="63"/>
        <v/>
      </c>
      <c r="Y89" s="165" t="str">
        <f t="shared" si="64"/>
        <v/>
      </c>
      <c r="AC89" s="618">
        <v>21</v>
      </c>
      <c r="AD89" s="165">
        <f t="shared" si="50"/>
        <v>0</v>
      </c>
      <c r="AE89" s="165">
        <f>IF(AD89=0,0,1+MAX(AE$69:AE88))</f>
        <v>0</v>
      </c>
      <c r="AF89" s="165">
        <f t="shared" si="65"/>
        <v>0</v>
      </c>
      <c r="AG89" s="165" t="str">
        <f t="shared" si="66"/>
        <v/>
      </c>
      <c r="AH89" s="165" t="str">
        <f t="shared" si="67"/>
        <v/>
      </c>
      <c r="AL89" s="618">
        <v>21</v>
      </c>
      <c r="AM89" s="165">
        <f t="shared" si="51"/>
        <v>0</v>
      </c>
      <c r="AN89" s="165">
        <f>IF(AM89=0,0,1+MAX(AN$69:AN88))</f>
        <v>0</v>
      </c>
      <c r="AO89" s="165">
        <f t="shared" si="68"/>
        <v>0</v>
      </c>
      <c r="AP89" s="165" t="str">
        <f t="shared" si="69"/>
        <v/>
      </c>
      <c r="AQ89" s="165" t="str">
        <f t="shared" si="70"/>
        <v/>
      </c>
      <c r="AU89" s="618">
        <v>21</v>
      </c>
      <c r="AV89" s="165">
        <f t="shared" si="52"/>
        <v>0</v>
      </c>
      <c r="AW89" s="165">
        <f>IF(AV89=0,0,1+MAX(AW$69:AW88))</f>
        <v>0</v>
      </c>
      <c r="AX89" s="165">
        <f t="shared" si="71"/>
        <v>0</v>
      </c>
      <c r="AY89" s="165" t="str">
        <f t="shared" si="72"/>
        <v/>
      </c>
      <c r="AZ89" s="165" t="str">
        <f t="shared" si="73"/>
        <v/>
      </c>
      <c r="BD89" s="618">
        <v>21</v>
      </c>
      <c r="BE89" s="165">
        <f t="shared" si="53"/>
        <v>0</v>
      </c>
      <c r="BF89" s="165">
        <f>IF(BE89=0,0,1+MAX(BF$69:BF88))</f>
        <v>0</v>
      </c>
      <c r="BG89" s="165">
        <f t="shared" si="74"/>
        <v>0</v>
      </c>
      <c r="BH89" s="165" t="str">
        <f t="shared" si="75"/>
        <v/>
      </c>
      <c r="BI89" s="165" t="str">
        <f t="shared" si="76"/>
        <v/>
      </c>
      <c r="BM89" s="618">
        <v>21</v>
      </c>
      <c r="BN89" s="165">
        <f t="shared" si="54"/>
        <v>0</v>
      </c>
      <c r="BO89" s="165">
        <f>IF(BN89=0,0,1+MAX(BO$69:BO88))</f>
        <v>0</v>
      </c>
      <c r="BP89" s="165">
        <f t="shared" si="77"/>
        <v>0</v>
      </c>
      <c r="BQ89" s="165" t="str">
        <f t="shared" si="78"/>
        <v/>
      </c>
      <c r="BR89" s="165" t="str">
        <f t="shared" si="79"/>
        <v/>
      </c>
      <c r="BV89" s="618">
        <v>21</v>
      </c>
      <c r="BW89" s="165">
        <f t="shared" si="55"/>
        <v>0</v>
      </c>
      <c r="BX89" s="165">
        <f>IF(BW89=0,0,1+MAX(BX$69:BX88))</f>
        <v>0</v>
      </c>
      <c r="BY89" s="165">
        <f t="shared" si="80"/>
        <v>0</v>
      </c>
      <c r="BZ89" s="165" t="str">
        <f t="shared" si="81"/>
        <v/>
      </c>
      <c r="CA89" s="165" t="str">
        <f t="shared" si="82"/>
        <v/>
      </c>
    </row>
    <row r="90" spans="2:79" x14ac:dyDescent="0.25">
      <c r="B90" s="618">
        <v>22</v>
      </c>
      <c r="C90" s="165">
        <f t="shared" si="47"/>
        <v>0</v>
      </c>
      <c r="D90" s="165">
        <f>IF(C90=0,0,1+MAX($D$69:D89))</f>
        <v>0</v>
      </c>
      <c r="E90" s="165">
        <f t="shared" si="56"/>
        <v>0</v>
      </c>
      <c r="F90" s="165" t="str">
        <f t="shared" si="57"/>
        <v/>
      </c>
      <c r="G90" s="165" t="str">
        <f t="shared" si="58"/>
        <v/>
      </c>
      <c r="K90" s="618">
        <v>22</v>
      </c>
      <c r="L90" s="165">
        <f t="shared" si="48"/>
        <v>0</v>
      </c>
      <c r="M90" s="165">
        <f>IF(L90=0,0,1+MAX(M$69:M89))</f>
        <v>0</v>
      </c>
      <c r="N90" s="165">
        <f t="shared" si="59"/>
        <v>0</v>
      </c>
      <c r="O90" s="165" t="str">
        <f t="shared" si="60"/>
        <v/>
      </c>
      <c r="P90" s="165" t="str">
        <f t="shared" si="61"/>
        <v/>
      </c>
      <c r="T90" s="618">
        <v>22</v>
      </c>
      <c r="U90" s="165">
        <f t="shared" si="49"/>
        <v>0</v>
      </c>
      <c r="V90" s="165">
        <f>IF(U90=0,0,1+MAX(V$69:V89))</f>
        <v>0</v>
      </c>
      <c r="W90" s="165">
        <f t="shared" si="62"/>
        <v>0</v>
      </c>
      <c r="X90" s="165" t="str">
        <f t="shared" si="63"/>
        <v/>
      </c>
      <c r="Y90" s="165" t="str">
        <f t="shared" si="64"/>
        <v/>
      </c>
      <c r="AC90" s="618">
        <v>22</v>
      </c>
      <c r="AD90" s="165">
        <f t="shared" si="50"/>
        <v>0</v>
      </c>
      <c r="AE90" s="165">
        <f>IF(AD90=0,0,1+MAX(AE$69:AE89))</f>
        <v>0</v>
      </c>
      <c r="AF90" s="165">
        <f t="shared" si="65"/>
        <v>0</v>
      </c>
      <c r="AG90" s="165" t="str">
        <f t="shared" si="66"/>
        <v/>
      </c>
      <c r="AH90" s="165" t="str">
        <f t="shared" si="67"/>
        <v/>
      </c>
      <c r="AL90" s="618">
        <v>22</v>
      </c>
      <c r="AM90" s="165">
        <f t="shared" si="51"/>
        <v>0</v>
      </c>
      <c r="AN90" s="165">
        <f>IF(AM90=0,0,1+MAX(AN$69:AN89))</f>
        <v>0</v>
      </c>
      <c r="AO90" s="165">
        <f t="shared" si="68"/>
        <v>0</v>
      </c>
      <c r="AP90" s="165" t="str">
        <f t="shared" si="69"/>
        <v/>
      </c>
      <c r="AQ90" s="165" t="str">
        <f t="shared" si="70"/>
        <v/>
      </c>
      <c r="AU90" s="618">
        <v>22</v>
      </c>
      <c r="AV90" s="165">
        <f t="shared" si="52"/>
        <v>0</v>
      </c>
      <c r="AW90" s="165">
        <f>IF(AV90=0,0,1+MAX(AW$69:AW89))</f>
        <v>0</v>
      </c>
      <c r="AX90" s="165">
        <f t="shared" si="71"/>
        <v>0</v>
      </c>
      <c r="AY90" s="165" t="str">
        <f t="shared" si="72"/>
        <v/>
      </c>
      <c r="AZ90" s="165" t="str">
        <f t="shared" si="73"/>
        <v/>
      </c>
      <c r="BD90" s="618">
        <v>22</v>
      </c>
      <c r="BE90" s="165">
        <f t="shared" si="53"/>
        <v>0</v>
      </c>
      <c r="BF90" s="165">
        <f>IF(BE90=0,0,1+MAX(BF$69:BF89))</f>
        <v>0</v>
      </c>
      <c r="BG90" s="165">
        <f t="shared" si="74"/>
        <v>0</v>
      </c>
      <c r="BH90" s="165" t="str">
        <f t="shared" si="75"/>
        <v/>
      </c>
      <c r="BI90" s="165" t="str">
        <f t="shared" si="76"/>
        <v/>
      </c>
      <c r="BM90" s="618">
        <v>22</v>
      </c>
      <c r="BN90" s="165">
        <f t="shared" si="54"/>
        <v>0</v>
      </c>
      <c r="BO90" s="165">
        <f>IF(BN90=0,0,1+MAX(BO$69:BO89))</f>
        <v>0</v>
      </c>
      <c r="BP90" s="165">
        <f t="shared" si="77"/>
        <v>0</v>
      </c>
      <c r="BQ90" s="165" t="str">
        <f t="shared" si="78"/>
        <v/>
      </c>
      <c r="BR90" s="165" t="str">
        <f t="shared" si="79"/>
        <v/>
      </c>
      <c r="BV90" s="618">
        <v>22</v>
      </c>
      <c r="BW90" s="165">
        <f t="shared" si="55"/>
        <v>0</v>
      </c>
      <c r="BX90" s="165">
        <f>IF(BW90=0,0,1+MAX(BX$69:BX89))</f>
        <v>0</v>
      </c>
      <c r="BY90" s="165">
        <f t="shared" si="80"/>
        <v>0</v>
      </c>
      <c r="BZ90" s="165" t="str">
        <f t="shared" si="81"/>
        <v/>
      </c>
      <c r="CA90" s="165" t="str">
        <f t="shared" si="82"/>
        <v/>
      </c>
    </row>
    <row r="91" spans="2:79" x14ac:dyDescent="0.25">
      <c r="B91" s="618">
        <v>23</v>
      </c>
      <c r="C91" s="165">
        <f t="shared" si="47"/>
        <v>0</v>
      </c>
      <c r="D91" s="165">
        <f>IF(C91=0,0,1+MAX($D$69:D90))</f>
        <v>0</v>
      </c>
      <c r="E91" s="165">
        <f t="shared" si="56"/>
        <v>0</v>
      </c>
      <c r="F91" s="165" t="str">
        <f t="shared" si="57"/>
        <v/>
      </c>
      <c r="G91" s="165" t="str">
        <f t="shared" si="58"/>
        <v/>
      </c>
      <c r="K91" s="618">
        <v>23</v>
      </c>
      <c r="L91" s="165">
        <f t="shared" si="48"/>
        <v>0</v>
      </c>
      <c r="M91" s="165">
        <f>IF(L91=0,0,1+MAX(M$69:M90))</f>
        <v>0</v>
      </c>
      <c r="N91" s="165">
        <f t="shared" si="59"/>
        <v>0</v>
      </c>
      <c r="O91" s="165" t="str">
        <f t="shared" si="60"/>
        <v/>
      </c>
      <c r="P91" s="165" t="str">
        <f t="shared" si="61"/>
        <v/>
      </c>
      <c r="T91" s="618">
        <v>23</v>
      </c>
      <c r="U91" s="165">
        <f t="shared" si="49"/>
        <v>0</v>
      </c>
      <c r="V91" s="165">
        <f>IF(U91=0,0,1+MAX(V$69:V90))</f>
        <v>0</v>
      </c>
      <c r="W91" s="165">
        <f t="shared" si="62"/>
        <v>0</v>
      </c>
      <c r="X91" s="165" t="str">
        <f t="shared" si="63"/>
        <v/>
      </c>
      <c r="Y91" s="165" t="str">
        <f t="shared" si="64"/>
        <v/>
      </c>
      <c r="AC91" s="618">
        <v>23</v>
      </c>
      <c r="AD91" s="165">
        <f t="shared" si="50"/>
        <v>0</v>
      </c>
      <c r="AE91" s="165">
        <f>IF(AD91=0,0,1+MAX(AE$69:AE90))</f>
        <v>0</v>
      </c>
      <c r="AF91" s="165">
        <f t="shared" si="65"/>
        <v>0</v>
      </c>
      <c r="AG91" s="165" t="str">
        <f t="shared" si="66"/>
        <v/>
      </c>
      <c r="AH91" s="165" t="str">
        <f t="shared" si="67"/>
        <v/>
      </c>
      <c r="AL91" s="618">
        <v>23</v>
      </c>
      <c r="AM91" s="165">
        <f t="shared" si="51"/>
        <v>0</v>
      </c>
      <c r="AN91" s="165">
        <f>IF(AM91=0,0,1+MAX(AN$69:AN90))</f>
        <v>0</v>
      </c>
      <c r="AO91" s="165">
        <f t="shared" si="68"/>
        <v>0</v>
      </c>
      <c r="AP91" s="165" t="str">
        <f t="shared" si="69"/>
        <v/>
      </c>
      <c r="AQ91" s="165" t="str">
        <f t="shared" si="70"/>
        <v/>
      </c>
      <c r="AU91" s="618">
        <v>23</v>
      </c>
      <c r="AV91" s="165">
        <f t="shared" si="52"/>
        <v>0</v>
      </c>
      <c r="AW91" s="165">
        <f>IF(AV91=0,0,1+MAX(AW$69:AW90))</f>
        <v>0</v>
      </c>
      <c r="AX91" s="165">
        <f t="shared" si="71"/>
        <v>0</v>
      </c>
      <c r="AY91" s="165" t="str">
        <f t="shared" si="72"/>
        <v/>
      </c>
      <c r="AZ91" s="165" t="str">
        <f t="shared" si="73"/>
        <v/>
      </c>
      <c r="BD91" s="618">
        <v>23</v>
      </c>
      <c r="BE91" s="165">
        <f t="shared" si="53"/>
        <v>0</v>
      </c>
      <c r="BF91" s="165">
        <f>IF(BE91=0,0,1+MAX(BF$69:BF90))</f>
        <v>0</v>
      </c>
      <c r="BG91" s="165">
        <f t="shared" si="74"/>
        <v>0</v>
      </c>
      <c r="BH91" s="165" t="str">
        <f t="shared" si="75"/>
        <v/>
      </c>
      <c r="BI91" s="165" t="str">
        <f t="shared" si="76"/>
        <v/>
      </c>
      <c r="BM91" s="618">
        <v>23</v>
      </c>
      <c r="BN91" s="165">
        <f t="shared" si="54"/>
        <v>0</v>
      </c>
      <c r="BO91" s="165">
        <f>IF(BN91=0,0,1+MAX(BO$69:BO90))</f>
        <v>0</v>
      </c>
      <c r="BP91" s="165">
        <f t="shared" si="77"/>
        <v>0</v>
      </c>
      <c r="BQ91" s="165" t="str">
        <f t="shared" si="78"/>
        <v/>
      </c>
      <c r="BR91" s="165" t="str">
        <f t="shared" si="79"/>
        <v/>
      </c>
      <c r="BV91" s="618">
        <v>23</v>
      </c>
      <c r="BW91" s="165">
        <f t="shared" si="55"/>
        <v>0</v>
      </c>
      <c r="BX91" s="165">
        <f>IF(BW91=0,0,1+MAX(BX$69:BX90))</f>
        <v>0</v>
      </c>
      <c r="BY91" s="165">
        <f t="shared" si="80"/>
        <v>0</v>
      </c>
      <c r="BZ91" s="165" t="str">
        <f t="shared" si="81"/>
        <v/>
      </c>
      <c r="CA91" s="165" t="str">
        <f t="shared" si="82"/>
        <v/>
      </c>
    </row>
    <row r="92" spans="2:79" x14ac:dyDescent="0.25">
      <c r="B92" s="618">
        <v>24</v>
      </c>
      <c r="C92" s="165">
        <f t="shared" si="47"/>
        <v>0</v>
      </c>
      <c r="D92" s="165">
        <f>IF(C92=0,0,1+MAX($D$69:D91))</f>
        <v>0</v>
      </c>
      <c r="E92" s="165">
        <f t="shared" si="56"/>
        <v>0</v>
      </c>
      <c r="F92" s="165" t="str">
        <f t="shared" si="57"/>
        <v/>
      </c>
      <c r="G92" s="165" t="str">
        <f t="shared" si="58"/>
        <v/>
      </c>
      <c r="K92" s="618">
        <v>24</v>
      </c>
      <c r="L92" s="165">
        <f t="shared" si="48"/>
        <v>0</v>
      </c>
      <c r="M92" s="165">
        <f>IF(L92=0,0,1+MAX(M$69:M91))</f>
        <v>0</v>
      </c>
      <c r="N92" s="165">
        <f t="shared" si="59"/>
        <v>0</v>
      </c>
      <c r="O92" s="165" t="str">
        <f t="shared" si="60"/>
        <v/>
      </c>
      <c r="P92" s="165" t="str">
        <f t="shared" si="61"/>
        <v/>
      </c>
      <c r="T92" s="618">
        <v>24</v>
      </c>
      <c r="U92" s="165">
        <f t="shared" si="49"/>
        <v>0</v>
      </c>
      <c r="V92" s="165">
        <f>IF(U92=0,0,1+MAX(V$69:V91))</f>
        <v>0</v>
      </c>
      <c r="W92" s="165">
        <f t="shared" si="62"/>
        <v>0</v>
      </c>
      <c r="X92" s="165" t="str">
        <f t="shared" si="63"/>
        <v/>
      </c>
      <c r="Y92" s="165" t="str">
        <f t="shared" si="64"/>
        <v/>
      </c>
      <c r="AC92" s="618">
        <v>24</v>
      </c>
      <c r="AD92" s="165">
        <f t="shared" si="50"/>
        <v>0</v>
      </c>
      <c r="AE92" s="165">
        <f>IF(AD92=0,0,1+MAX(AE$69:AE91))</f>
        <v>0</v>
      </c>
      <c r="AF92" s="165">
        <f t="shared" si="65"/>
        <v>0</v>
      </c>
      <c r="AG92" s="165" t="str">
        <f t="shared" si="66"/>
        <v/>
      </c>
      <c r="AH92" s="165" t="str">
        <f t="shared" si="67"/>
        <v/>
      </c>
      <c r="AL92" s="618">
        <v>24</v>
      </c>
      <c r="AM92" s="165">
        <f t="shared" si="51"/>
        <v>0</v>
      </c>
      <c r="AN92" s="165">
        <f>IF(AM92=0,0,1+MAX(AN$69:AN91))</f>
        <v>0</v>
      </c>
      <c r="AO92" s="165">
        <f t="shared" si="68"/>
        <v>0</v>
      </c>
      <c r="AP92" s="165" t="str">
        <f t="shared" si="69"/>
        <v/>
      </c>
      <c r="AQ92" s="165" t="str">
        <f t="shared" si="70"/>
        <v/>
      </c>
      <c r="AU92" s="618">
        <v>24</v>
      </c>
      <c r="AV92" s="165">
        <f t="shared" si="52"/>
        <v>0</v>
      </c>
      <c r="AW92" s="165">
        <f>IF(AV92=0,0,1+MAX(AW$69:AW91))</f>
        <v>0</v>
      </c>
      <c r="AX92" s="165">
        <f t="shared" si="71"/>
        <v>0</v>
      </c>
      <c r="AY92" s="165" t="str">
        <f t="shared" si="72"/>
        <v/>
      </c>
      <c r="AZ92" s="165" t="str">
        <f t="shared" si="73"/>
        <v/>
      </c>
      <c r="BD92" s="618">
        <v>24</v>
      </c>
      <c r="BE92" s="165">
        <f t="shared" si="53"/>
        <v>0</v>
      </c>
      <c r="BF92" s="165">
        <f>IF(BE92=0,0,1+MAX(BF$69:BF91))</f>
        <v>0</v>
      </c>
      <c r="BG92" s="165">
        <f t="shared" si="74"/>
        <v>0</v>
      </c>
      <c r="BH92" s="165" t="str">
        <f t="shared" si="75"/>
        <v/>
      </c>
      <c r="BI92" s="165" t="str">
        <f t="shared" si="76"/>
        <v/>
      </c>
      <c r="BM92" s="618">
        <v>24</v>
      </c>
      <c r="BN92" s="165">
        <f t="shared" si="54"/>
        <v>0</v>
      </c>
      <c r="BO92" s="165">
        <f>IF(BN92=0,0,1+MAX(BO$69:BO91))</f>
        <v>0</v>
      </c>
      <c r="BP92" s="165">
        <f t="shared" si="77"/>
        <v>0</v>
      </c>
      <c r="BQ92" s="165" t="str">
        <f t="shared" si="78"/>
        <v/>
      </c>
      <c r="BR92" s="165" t="str">
        <f t="shared" si="79"/>
        <v/>
      </c>
      <c r="BV92" s="618">
        <v>24</v>
      </c>
      <c r="BW92" s="165">
        <f t="shared" si="55"/>
        <v>0</v>
      </c>
      <c r="BX92" s="165">
        <f>IF(BW92=0,0,1+MAX(BX$69:BX91))</f>
        <v>0</v>
      </c>
      <c r="BY92" s="165">
        <f t="shared" si="80"/>
        <v>0</v>
      </c>
      <c r="BZ92" s="165" t="str">
        <f t="shared" si="81"/>
        <v/>
      </c>
      <c r="CA92" s="165" t="str">
        <f t="shared" si="82"/>
        <v/>
      </c>
    </row>
    <row r="93" spans="2:79" x14ac:dyDescent="0.25">
      <c r="B93" s="618">
        <v>25</v>
      </c>
      <c r="C93" s="165">
        <f t="shared" si="47"/>
        <v>0</v>
      </c>
      <c r="D93" s="165">
        <f>IF(C93=0,0,1+MAX($D$69:D92))</f>
        <v>0</v>
      </c>
      <c r="E93" s="165">
        <f t="shared" si="56"/>
        <v>0</v>
      </c>
      <c r="F93" s="165" t="str">
        <f t="shared" si="57"/>
        <v/>
      </c>
      <c r="G93" s="165" t="str">
        <f t="shared" si="58"/>
        <v/>
      </c>
      <c r="K93" s="618">
        <v>25</v>
      </c>
      <c r="L93" s="165">
        <f t="shared" si="48"/>
        <v>0</v>
      </c>
      <c r="M93" s="165">
        <f>IF(L93=0,0,1+MAX(M$69:M92))</f>
        <v>0</v>
      </c>
      <c r="N93" s="165">
        <f t="shared" si="59"/>
        <v>0</v>
      </c>
      <c r="O93" s="165" t="str">
        <f t="shared" si="60"/>
        <v/>
      </c>
      <c r="P93" s="165" t="str">
        <f t="shared" si="61"/>
        <v/>
      </c>
      <c r="T93" s="618">
        <v>25</v>
      </c>
      <c r="U93" s="165">
        <f t="shared" si="49"/>
        <v>0</v>
      </c>
      <c r="V93" s="165">
        <f>IF(U93=0,0,1+MAX(V$69:V92))</f>
        <v>0</v>
      </c>
      <c r="W93" s="165">
        <f t="shared" si="62"/>
        <v>0</v>
      </c>
      <c r="X93" s="165" t="str">
        <f t="shared" si="63"/>
        <v/>
      </c>
      <c r="Y93" s="165" t="str">
        <f t="shared" si="64"/>
        <v/>
      </c>
      <c r="AC93" s="618">
        <v>25</v>
      </c>
      <c r="AD93" s="165">
        <f t="shared" si="50"/>
        <v>0</v>
      </c>
      <c r="AE93" s="165">
        <f>IF(AD93=0,0,1+MAX(AE$69:AE92))</f>
        <v>0</v>
      </c>
      <c r="AF93" s="165">
        <f t="shared" si="65"/>
        <v>0</v>
      </c>
      <c r="AG93" s="165" t="str">
        <f t="shared" si="66"/>
        <v/>
      </c>
      <c r="AH93" s="165" t="str">
        <f t="shared" si="67"/>
        <v/>
      </c>
      <c r="AL93" s="618">
        <v>25</v>
      </c>
      <c r="AM93" s="165">
        <f t="shared" si="51"/>
        <v>0</v>
      </c>
      <c r="AN93" s="165">
        <f>IF(AM93=0,0,1+MAX(AN$69:AN92))</f>
        <v>0</v>
      </c>
      <c r="AO93" s="165">
        <f t="shared" si="68"/>
        <v>0</v>
      </c>
      <c r="AP93" s="165" t="str">
        <f t="shared" si="69"/>
        <v/>
      </c>
      <c r="AQ93" s="165" t="str">
        <f t="shared" si="70"/>
        <v/>
      </c>
      <c r="AU93" s="618">
        <v>25</v>
      </c>
      <c r="AV93" s="165">
        <f t="shared" si="52"/>
        <v>0</v>
      </c>
      <c r="AW93" s="165">
        <f>IF(AV93=0,0,1+MAX(AW$69:AW92))</f>
        <v>0</v>
      </c>
      <c r="AX93" s="165">
        <f t="shared" si="71"/>
        <v>0</v>
      </c>
      <c r="AY93" s="165" t="str">
        <f t="shared" si="72"/>
        <v/>
      </c>
      <c r="AZ93" s="165" t="str">
        <f t="shared" si="73"/>
        <v/>
      </c>
      <c r="BD93" s="618">
        <v>25</v>
      </c>
      <c r="BE93" s="165">
        <f t="shared" si="53"/>
        <v>0</v>
      </c>
      <c r="BF93" s="165">
        <f>IF(BE93=0,0,1+MAX(BF$69:BF92))</f>
        <v>0</v>
      </c>
      <c r="BG93" s="165">
        <f t="shared" si="74"/>
        <v>0</v>
      </c>
      <c r="BH93" s="165" t="str">
        <f t="shared" si="75"/>
        <v/>
      </c>
      <c r="BI93" s="165" t="str">
        <f t="shared" si="76"/>
        <v/>
      </c>
      <c r="BM93" s="618">
        <v>25</v>
      </c>
      <c r="BN93" s="165">
        <f t="shared" si="54"/>
        <v>0</v>
      </c>
      <c r="BO93" s="165">
        <f>IF(BN93=0,0,1+MAX(BO$69:BO92))</f>
        <v>0</v>
      </c>
      <c r="BP93" s="165">
        <f t="shared" si="77"/>
        <v>0</v>
      </c>
      <c r="BQ93" s="165" t="str">
        <f t="shared" si="78"/>
        <v/>
      </c>
      <c r="BR93" s="165" t="str">
        <f t="shared" si="79"/>
        <v/>
      </c>
      <c r="BV93" s="618">
        <v>25</v>
      </c>
      <c r="BW93" s="165">
        <f t="shared" si="55"/>
        <v>0</v>
      </c>
      <c r="BX93" s="165">
        <f>IF(BW93=0,0,1+MAX(BX$69:BX92))</f>
        <v>0</v>
      </c>
      <c r="BY93" s="165">
        <f t="shared" si="80"/>
        <v>0</v>
      </c>
      <c r="BZ93" s="165" t="str">
        <f t="shared" si="81"/>
        <v/>
      </c>
      <c r="CA93" s="165" t="str">
        <f t="shared" si="82"/>
        <v/>
      </c>
    </row>
    <row r="94" spans="2:79" x14ac:dyDescent="0.25">
      <c r="B94" s="618">
        <v>26</v>
      </c>
      <c r="C94" s="165">
        <f t="shared" si="47"/>
        <v>0</v>
      </c>
      <c r="D94" s="165">
        <f>IF(C94=0,0,1+MAX($D$69:D93))</f>
        <v>0</v>
      </c>
      <c r="E94" s="165">
        <f t="shared" si="56"/>
        <v>0</v>
      </c>
      <c r="F94" s="165" t="str">
        <f t="shared" si="57"/>
        <v/>
      </c>
      <c r="G94" s="165" t="str">
        <f t="shared" si="58"/>
        <v/>
      </c>
      <c r="K94" s="618">
        <v>26</v>
      </c>
      <c r="L94" s="165">
        <f t="shared" si="48"/>
        <v>0</v>
      </c>
      <c r="M94" s="165">
        <f>IF(L94=0,0,1+MAX(M$69:M93))</f>
        <v>0</v>
      </c>
      <c r="N94" s="165">
        <f t="shared" si="59"/>
        <v>0</v>
      </c>
      <c r="O94" s="165" t="str">
        <f t="shared" si="60"/>
        <v/>
      </c>
      <c r="P94" s="165" t="str">
        <f t="shared" si="61"/>
        <v/>
      </c>
      <c r="T94" s="618">
        <v>26</v>
      </c>
      <c r="U94" s="165">
        <f t="shared" si="49"/>
        <v>0</v>
      </c>
      <c r="V94" s="165">
        <f>IF(U94=0,0,1+MAX(V$69:V93))</f>
        <v>0</v>
      </c>
      <c r="W94" s="165">
        <f t="shared" si="62"/>
        <v>0</v>
      </c>
      <c r="X94" s="165" t="str">
        <f t="shared" si="63"/>
        <v/>
      </c>
      <c r="Y94" s="165" t="str">
        <f t="shared" si="64"/>
        <v/>
      </c>
      <c r="AC94" s="618">
        <v>26</v>
      </c>
      <c r="AD94" s="165">
        <f t="shared" si="50"/>
        <v>0</v>
      </c>
      <c r="AE94" s="165">
        <f>IF(AD94=0,0,1+MAX(AE$69:AE93))</f>
        <v>0</v>
      </c>
      <c r="AF94" s="165">
        <f t="shared" si="65"/>
        <v>0</v>
      </c>
      <c r="AG94" s="165" t="str">
        <f t="shared" si="66"/>
        <v/>
      </c>
      <c r="AH94" s="165" t="str">
        <f t="shared" si="67"/>
        <v/>
      </c>
      <c r="AL94" s="618">
        <v>26</v>
      </c>
      <c r="AM94" s="165">
        <f t="shared" si="51"/>
        <v>0</v>
      </c>
      <c r="AN94" s="165">
        <f>IF(AM94=0,0,1+MAX(AN$69:AN93))</f>
        <v>0</v>
      </c>
      <c r="AO94" s="165">
        <f t="shared" si="68"/>
        <v>0</v>
      </c>
      <c r="AP94" s="165" t="str">
        <f t="shared" si="69"/>
        <v/>
      </c>
      <c r="AQ94" s="165" t="str">
        <f t="shared" si="70"/>
        <v/>
      </c>
      <c r="AU94" s="618">
        <v>26</v>
      </c>
      <c r="AV94" s="165">
        <f t="shared" si="52"/>
        <v>0</v>
      </c>
      <c r="AW94" s="165">
        <f>IF(AV94=0,0,1+MAX(AW$69:AW93))</f>
        <v>0</v>
      </c>
      <c r="AX94" s="165">
        <f t="shared" si="71"/>
        <v>0</v>
      </c>
      <c r="AY94" s="165" t="str">
        <f t="shared" si="72"/>
        <v/>
      </c>
      <c r="AZ94" s="165" t="str">
        <f t="shared" si="73"/>
        <v/>
      </c>
      <c r="BD94" s="618">
        <v>26</v>
      </c>
      <c r="BE94" s="165">
        <f t="shared" si="53"/>
        <v>0</v>
      </c>
      <c r="BF94" s="165">
        <f>IF(BE94=0,0,1+MAX(BF$69:BF93))</f>
        <v>0</v>
      </c>
      <c r="BG94" s="165">
        <f t="shared" si="74"/>
        <v>0</v>
      </c>
      <c r="BH94" s="165" t="str">
        <f t="shared" si="75"/>
        <v/>
      </c>
      <c r="BI94" s="165" t="str">
        <f t="shared" si="76"/>
        <v/>
      </c>
      <c r="BM94" s="618">
        <v>26</v>
      </c>
      <c r="BN94" s="165">
        <f t="shared" si="54"/>
        <v>0</v>
      </c>
      <c r="BO94" s="165">
        <f>IF(BN94=0,0,1+MAX(BO$69:BO93))</f>
        <v>0</v>
      </c>
      <c r="BP94" s="165">
        <f t="shared" si="77"/>
        <v>0</v>
      </c>
      <c r="BQ94" s="165" t="str">
        <f t="shared" si="78"/>
        <v/>
      </c>
      <c r="BR94" s="165" t="str">
        <f t="shared" si="79"/>
        <v/>
      </c>
      <c r="BV94" s="618">
        <v>26</v>
      </c>
      <c r="BW94" s="165">
        <f t="shared" si="55"/>
        <v>0</v>
      </c>
      <c r="BX94" s="165">
        <f>IF(BW94=0,0,1+MAX(BX$69:BX93))</f>
        <v>0</v>
      </c>
      <c r="BY94" s="165">
        <f t="shared" si="80"/>
        <v>0</v>
      </c>
      <c r="BZ94" s="165" t="str">
        <f t="shared" si="81"/>
        <v/>
      </c>
      <c r="CA94" s="165" t="str">
        <f t="shared" si="82"/>
        <v/>
      </c>
    </row>
    <row r="95" spans="2:79" x14ac:dyDescent="0.25">
      <c r="B95" s="618">
        <v>27</v>
      </c>
      <c r="C95" s="165">
        <f t="shared" si="47"/>
        <v>0</v>
      </c>
      <c r="D95" s="165">
        <f>IF(C95=0,0,1+MAX($D$69:D94))</f>
        <v>0</v>
      </c>
      <c r="E95" s="165">
        <f t="shared" si="56"/>
        <v>0</v>
      </c>
      <c r="F95" s="165" t="str">
        <f t="shared" si="57"/>
        <v/>
      </c>
      <c r="G95" s="165" t="str">
        <f t="shared" si="58"/>
        <v/>
      </c>
      <c r="K95" s="618">
        <v>27</v>
      </c>
      <c r="L95" s="165">
        <f t="shared" si="48"/>
        <v>0</v>
      </c>
      <c r="M95" s="165">
        <f>IF(L95=0,0,1+MAX(M$69:M94))</f>
        <v>0</v>
      </c>
      <c r="N95" s="165">
        <f t="shared" si="59"/>
        <v>0</v>
      </c>
      <c r="O95" s="165" t="str">
        <f t="shared" si="60"/>
        <v/>
      </c>
      <c r="P95" s="165" t="str">
        <f t="shared" si="61"/>
        <v/>
      </c>
      <c r="T95" s="618">
        <v>27</v>
      </c>
      <c r="U95" s="165">
        <f t="shared" si="49"/>
        <v>0</v>
      </c>
      <c r="V95" s="165">
        <f>IF(U95=0,0,1+MAX(V$69:V94))</f>
        <v>0</v>
      </c>
      <c r="W95" s="165">
        <f t="shared" si="62"/>
        <v>0</v>
      </c>
      <c r="X95" s="165" t="str">
        <f t="shared" si="63"/>
        <v/>
      </c>
      <c r="Y95" s="165" t="str">
        <f t="shared" si="64"/>
        <v/>
      </c>
      <c r="AC95" s="618">
        <v>27</v>
      </c>
      <c r="AD95" s="165">
        <f t="shared" si="50"/>
        <v>0</v>
      </c>
      <c r="AE95" s="165">
        <f>IF(AD95=0,0,1+MAX(AE$69:AE94))</f>
        <v>0</v>
      </c>
      <c r="AF95" s="165">
        <f t="shared" si="65"/>
        <v>0</v>
      </c>
      <c r="AG95" s="165" t="str">
        <f t="shared" si="66"/>
        <v/>
      </c>
      <c r="AH95" s="165" t="str">
        <f t="shared" si="67"/>
        <v/>
      </c>
      <c r="AL95" s="618">
        <v>27</v>
      </c>
      <c r="AM95" s="165">
        <f t="shared" si="51"/>
        <v>0</v>
      </c>
      <c r="AN95" s="165">
        <f>IF(AM95=0,0,1+MAX(AN$69:AN94))</f>
        <v>0</v>
      </c>
      <c r="AO95" s="165">
        <f t="shared" si="68"/>
        <v>0</v>
      </c>
      <c r="AP95" s="165" t="str">
        <f t="shared" si="69"/>
        <v/>
      </c>
      <c r="AQ95" s="165" t="str">
        <f t="shared" si="70"/>
        <v/>
      </c>
      <c r="AU95" s="618">
        <v>27</v>
      </c>
      <c r="AV95" s="165">
        <f t="shared" si="52"/>
        <v>0</v>
      </c>
      <c r="AW95" s="165">
        <f>IF(AV95=0,0,1+MAX(AW$69:AW94))</f>
        <v>0</v>
      </c>
      <c r="AX95" s="165">
        <f t="shared" si="71"/>
        <v>0</v>
      </c>
      <c r="AY95" s="165" t="str">
        <f t="shared" si="72"/>
        <v/>
      </c>
      <c r="AZ95" s="165" t="str">
        <f t="shared" si="73"/>
        <v/>
      </c>
      <c r="BD95" s="618">
        <v>27</v>
      </c>
      <c r="BE95" s="165">
        <f t="shared" si="53"/>
        <v>0</v>
      </c>
      <c r="BF95" s="165">
        <f>IF(BE95=0,0,1+MAX(BF$69:BF94))</f>
        <v>0</v>
      </c>
      <c r="BG95" s="165">
        <f t="shared" si="74"/>
        <v>0</v>
      </c>
      <c r="BH95" s="165" t="str">
        <f t="shared" si="75"/>
        <v/>
      </c>
      <c r="BI95" s="165" t="str">
        <f t="shared" si="76"/>
        <v/>
      </c>
      <c r="BM95" s="618">
        <v>27</v>
      </c>
      <c r="BN95" s="165">
        <f t="shared" si="54"/>
        <v>0</v>
      </c>
      <c r="BO95" s="165">
        <f>IF(BN95=0,0,1+MAX(BO$69:BO94))</f>
        <v>0</v>
      </c>
      <c r="BP95" s="165">
        <f t="shared" si="77"/>
        <v>0</v>
      </c>
      <c r="BQ95" s="165" t="str">
        <f t="shared" si="78"/>
        <v/>
      </c>
      <c r="BR95" s="165" t="str">
        <f t="shared" si="79"/>
        <v/>
      </c>
      <c r="BV95" s="618">
        <v>27</v>
      </c>
      <c r="BW95" s="165">
        <f t="shared" si="55"/>
        <v>0</v>
      </c>
      <c r="BX95" s="165">
        <f>IF(BW95=0,0,1+MAX(BX$69:BX94))</f>
        <v>0</v>
      </c>
      <c r="BY95" s="165">
        <f t="shared" si="80"/>
        <v>0</v>
      </c>
      <c r="BZ95" s="165" t="str">
        <f t="shared" si="81"/>
        <v/>
      </c>
      <c r="CA95" s="165" t="str">
        <f t="shared" si="82"/>
        <v/>
      </c>
    </row>
    <row r="96" spans="2:79" x14ac:dyDescent="0.25">
      <c r="B96" s="618">
        <v>28</v>
      </c>
      <c r="C96" s="165">
        <f t="shared" si="47"/>
        <v>0</v>
      </c>
      <c r="D96" s="165">
        <f>IF(C96=0,0,1+MAX($D$69:D95))</f>
        <v>0</v>
      </c>
      <c r="E96" s="165">
        <f t="shared" si="56"/>
        <v>0</v>
      </c>
      <c r="F96" s="165" t="str">
        <f t="shared" si="57"/>
        <v/>
      </c>
      <c r="G96" s="165" t="str">
        <f t="shared" si="58"/>
        <v/>
      </c>
      <c r="K96" s="618">
        <v>28</v>
      </c>
      <c r="L96" s="165">
        <f t="shared" si="48"/>
        <v>0</v>
      </c>
      <c r="M96" s="165">
        <f>IF(L96=0,0,1+MAX(M$69:M95))</f>
        <v>0</v>
      </c>
      <c r="N96" s="165">
        <f t="shared" si="59"/>
        <v>0</v>
      </c>
      <c r="O96" s="165" t="str">
        <f t="shared" si="60"/>
        <v/>
      </c>
      <c r="P96" s="165" t="str">
        <f t="shared" si="61"/>
        <v/>
      </c>
      <c r="T96" s="618">
        <v>28</v>
      </c>
      <c r="U96" s="165">
        <f t="shared" si="49"/>
        <v>0</v>
      </c>
      <c r="V96" s="165">
        <f>IF(U96=0,0,1+MAX(V$69:V95))</f>
        <v>0</v>
      </c>
      <c r="W96" s="165">
        <f t="shared" si="62"/>
        <v>0</v>
      </c>
      <c r="X96" s="165" t="str">
        <f t="shared" si="63"/>
        <v/>
      </c>
      <c r="Y96" s="165" t="str">
        <f t="shared" si="64"/>
        <v/>
      </c>
      <c r="AC96" s="618">
        <v>28</v>
      </c>
      <c r="AD96" s="165">
        <f t="shared" si="50"/>
        <v>0</v>
      </c>
      <c r="AE96" s="165">
        <f>IF(AD96=0,0,1+MAX(AE$69:AE95))</f>
        <v>0</v>
      </c>
      <c r="AF96" s="165">
        <f t="shared" si="65"/>
        <v>0</v>
      </c>
      <c r="AG96" s="165" t="str">
        <f t="shared" si="66"/>
        <v/>
      </c>
      <c r="AH96" s="165" t="str">
        <f t="shared" si="67"/>
        <v/>
      </c>
      <c r="AL96" s="618">
        <v>28</v>
      </c>
      <c r="AM96" s="165">
        <f t="shared" si="51"/>
        <v>0</v>
      </c>
      <c r="AN96" s="165">
        <f>IF(AM96=0,0,1+MAX(AN$69:AN95))</f>
        <v>0</v>
      </c>
      <c r="AO96" s="165">
        <f t="shared" si="68"/>
        <v>0</v>
      </c>
      <c r="AP96" s="165" t="str">
        <f t="shared" si="69"/>
        <v/>
      </c>
      <c r="AQ96" s="165" t="str">
        <f t="shared" si="70"/>
        <v/>
      </c>
      <c r="AU96" s="618">
        <v>28</v>
      </c>
      <c r="AV96" s="165">
        <f t="shared" si="52"/>
        <v>0</v>
      </c>
      <c r="AW96" s="165">
        <f>IF(AV96=0,0,1+MAX(AW$69:AW95))</f>
        <v>0</v>
      </c>
      <c r="AX96" s="165">
        <f t="shared" si="71"/>
        <v>0</v>
      </c>
      <c r="AY96" s="165" t="str">
        <f t="shared" si="72"/>
        <v/>
      </c>
      <c r="AZ96" s="165" t="str">
        <f t="shared" si="73"/>
        <v/>
      </c>
      <c r="BD96" s="618">
        <v>28</v>
      </c>
      <c r="BE96" s="165">
        <f t="shared" si="53"/>
        <v>0</v>
      </c>
      <c r="BF96" s="165">
        <f>IF(BE96=0,0,1+MAX(BF$69:BF95))</f>
        <v>0</v>
      </c>
      <c r="BG96" s="165">
        <f t="shared" si="74"/>
        <v>0</v>
      </c>
      <c r="BH96" s="165" t="str">
        <f t="shared" si="75"/>
        <v/>
      </c>
      <c r="BI96" s="165" t="str">
        <f t="shared" si="76"/>
        <v/>
      </c>
      <c r="BM96" s="618">
        <v>28</v>
      </c>
      <c r="BN96" s="165">
        <f t="shared" si="54"/>
        <v>0</v>
      </c>
      <c r="BO96" s="165">
        <f>IF(BN96=0,0,1+MAX(BO$69:BO95))</f>
        <v>0</v>
      </c>
      <c r="BP96" s="165">
        <f t="shared" si="77"/>
        <v>0</v>
      </c>
      <c r="BQ96" s="165" t="str">
        <f t="shared" si="78"/>
        <v/>
      </c>
      <c r="BR96" s="165" t="str">
        <f t="shared" si="79"/>
        <v/>
      </c>
      <c r="BV96" s="618">
        <v>28</v>
      </c>
      <c r="BW96" s="165">
        <f t="shared" si="55"/>
        <v>0</v>
      </c>
      <c r="BX96" s="165">
        <f>IF(BW96=0,0,1+MAX(BX$69:BX95))</f>
        <v>0</v>
      </c>
      <c r="BY96" s="165">
        <f t="shared" si="80"/>
        <v>0</v>
      </c>
      <c r="BZ96" s="165" t="str">
        <f t="shared" si="81"/>
        <v/>
      </c>
      <c r="CA96" s="165" t="str">
        <f t="shared" si="82"/>
        <v/>
      </c>
    </row>
    <row r="97" spans="2:79" x14ac:dyDescent="0.25">
      <c r="B97" s="618">
        <v>29</v>
      </c>
      <c r="C97" s="165">
        <f t="shared" si="47"/>
        <v>0</v>
      </c>
      <c r="D97" s="165">
        <f>IF(C97=0,0,1+MAX($D$69:D96))</f>
        <v>0</v>
      </c>
      <c r="E97" s="165">
        <f t="shared" si="56"/>
        <v>0</v>
      </c>
      <c r="F97" s="165" t="str">
        <f t="shared" si="57"/>
        <v/>
      </c>
      <c r="G97" s="165" t="str">
        <f t="shared" si="58"/>
        <v/>
      </c>
      <c r="K97" s="618">
        <v>29</v>
      </c>
      <c r="L97" s="165">
        <f t="shared" si="48"/>
        <v>0</v>
      </c>
      <c r="M97" s="165">
        <f>IF(L97=0,0,1+MAX(M$69:M96))</f>
        <v>0</v>
      </c>
      <c r="N97" s="165">
        <f t="shared" si="59"/>
        <v>0</v>
      </c>
      <c r="O97" s="165" t="str">
        <f t="shared" si="60"/>
        <v/>
      </c>
      <c r="P97" s="165" t="str">
        <f t="shared" si="61"/>
        <v/>
      </c>
      <c r="T97" s="618">
        <v>29</v>
      </c>
      <c r="U97" s="165">
        <f t="shared" si="49"/>
        <v>0</v>
      </c>
      <c r="V97" s="165">
        <f>IF(U97=0,0,1+MAX(V$69:V96))</f>
        <v>0</v>
      </c>
      <c r="W97" s="165">
        <f t="shared" si="62"/>
        <v>0</v>
      </c>
      <c r="X97" s="165" t="str">
        <f t="shared" si="63"/>
        <v/>
      </c>
      <c r="Y97" s="165" t="str">
        <f t="shared" si="64"/>
        <v/>
      </c>
      <c r="AC97" s="618">
        <v>29</v>
      </c>
      <c r="AD97" s="165">
        <f t="shared" si="50"/>
        <v>0</v>
      </c>
      <c r="AE97" s="165">
        <f>IF(AD97=0,0,1+MAX(AE$69:AE96))</f>
        <v>0</v>
      </c>
      <c r="AF97" s="165">
        <f t="shared" si="65"/>
        <v>0</v>
      </c>
      <c r="AG97" s="165" t="str">
        <f t="shared" si="66"/>
        <v/>
      </c>
      <c r="AH97" s="165" t="str">
        <f t="shared" si="67"/>
        <v/>
      </c>
      <c r="AL97" s="618">
        <v>29</v>
      </c>
      <c r="AM97" s="165">
        <f t="shared" si="51"/>
        <v>0</v>
      </c>
      <c r="AN97" s="165">
        <f>IF(AM97=0,0,1+MAX(AN$69:AN96))</f>
        <v>0</v>
      </c>
      <c r="AO97" s="165">
        <f t="shared" si="68"/>
        <v>0</v>
      </c>
      <c r="AP97" s="165" t="str">
        <f t="shared" si="69"/>
        <v/>
      </c>
      <c r="AQ97" s="165" t="str">
        <f t="shared" si="70"/>
        <v/>
      </c>
      <c r="AU97" s="618">
        <v>29</v>
      </c>
      <c r="AV97" s="165">
        <f t="shared" si="52"/>
        <v>0</v>
      </c>
      <c r="AW97" s="165">
        <f>IF(AV97=0,0,1+MAX(AW$69:AW96))</f>
        <v>0</v>
      </c>
      <c r="AX97" s="165">
        <f t="shared" si="71"/>
        <v>0</v>
      </c>
      <c r="AY97" s="165" t="str">
        <f t="shared" si="72"/>
        <v/>
      </c>
      <c r="AZ97" s="165" t="str">
        <f t="shared" si="73"/>
        <v/>
      </c>
      <c r="BD97" s="618">
        <v>29</v>
      </c>
      <c r="BE97" s="165">
        <f t="shared" si="53"/>
        <v>0</v>
      </c>
      <c r="BF97" s="165">
        <f>IF(BE97=0,0,1+MAX(BF$69:BF96))</f>
        <v>0</v>
      </c>
      <c r="BG97" s="165">
        <f t="shared" si="74"/>
        <v>0</v>
      </c>
      <c r="BH97" s="165" t="str">
        <f t="shared" si="75"/>
        <v/>
      </c>
      <c r="BI97" s="165" t="str">
        <f t="shared" si="76"/>
        <v/>
      </c>
      <c r="BM97" s="618">
        <v>29</v>
      </c>
      <c r="BN97" s="165">
        <f t="shared" si="54"/>
        <v>0</v>
      </c>
      <c r="BO97" s="165">
        <f>IF(BN97=0,0,1+MAX(BO$69:BO96))</f>
        <v>0</v>
      </c>
      <c r="BP97" s="165">
        <f t="shared" si="77"/>
        <v>0</v>
      </c>
      <c r="BQ97" s="165" t="str">
        <f t="shared" si="78"/>
        <v/>
      </c>
      <c r="BR97" s="165" t="str">
        <f t="shared" si="79"/>
        <v/>
      </c>
      <c r="BV97" s="618">
        <v>29</v>
      </c>
      <c r="BW97" s="165">
        <f t="shared" si="55"/>
        <v>0</v>
      </c>
      <c r="BX97" s="165">
        <f>IF(BW97=0,0,1+MAX(BX$69:BX96))</f>
        <v>0</v>
      </c>
      <c r="BY97" s="165">
        <f t="shared" si="80"/>
        <v>0</v>
      </c>
      <c r="BZ97" s="165" t="str">
        <f t="shared" si="81"/>
        <v/>
      </c>
      <c r="CA97" s="165" t="str">
        <f t="shared" si="82"/>
        <v/>
      </c>
    </row>
    <row r="98" spans="2:79" x14ac:dyDescent="0.25">
      <c r="B98" s="618">
        <v>30</v>
      </c>
      <c r="C98" s="165">
        <f t="shared" si="47"/>
        <v>0</v>
      </c>
      <c r="D98" s="165">
        <f>IF(C98=0,0,1+MAX($D$69:D97))</f>
        <v>0</v>
      </c>
      <c r="E98" s="165">
        <f t="shared" si="56"/>
        <v>0</v>
      </c>
      <c r="F98" s="165" t="str">
        <f t="shared" si="57"/>
        <v/>
      </c>
      <c r="G98" s="165" t="str">
        <f t="shared" si="58"/>
        <v/>
      </c>
      <c r="K98" s="618">
        <v>30</v>
      </c>
      <c r="L98" s="165">
        <f t="shared" si="48"/>
        <v>0</v>
      </c>
      <c r="M98" s="165">
        <f>IF(L98=0,0,1+MAX(M$69:M97))</f>
        <v>0</v>
      </c>
      <c r="N98" s="165">
        <f t="shared" si="59"/>
        <v>0</v>
      </c>
      <c r="O98" s="165" t="str">
        <f t="shared" si="60"/>
        <v/>
      </c>
      <c r="P98" s="165" t="str">
        <f t="shared" si="61"/>
        <v/>
      </c>
      <c r="T98" s="618">
        <v>30</v>
      </c>
      <c r="U98" s="165">
        <f t="shared" si="49"/>
        <v>0</v>
      </c>
      <c r="V98" s="165">
        <f>IF(U98=0,0,1+MAX(V$69:V97))</f>
        <v>0</v>
      </c>
      <c r="W98" s="165">
        <f t="shared" si="62"/>
        <v>0</v>
      </c>
      <c r="X98" s="165" t="str">
        <f t="shared" si="63"/>
        <v/>
      </c>
      <c r="Y98" s="165" t="str">
        <f t="shared" si="64"/>
        <v/>
      </c>
      <c r="AC98" s="618">
        <v>30</v>
      </c>
      <c r="AD98" s="165">
        <f t="shared" si="50"/>
        <v>0</v>
      </c>
      <c r="AE98" s="165">
        <f>IF(AD98=0,0,1+MAX(AE$69:AE97))</f>
        <v>0</v>
      </c>
      <c r="AF98" s="165">
        <f t="shared" si="65"/>
        <v>0</v>
      </c>
      <c r="AG98" s="165" t="str">
        <f t="shared" si="66"/>
        <v/>
      </c>
      <c r="AH98" s="165" t="str">
        <f t="shared" si="67"/>
        <v/>
      </c>
      <c r="AL98" s="618">
        <v>30</v>
      </c>
      <c r="AM98" s="165">
        <f t="shared" si="51"/>
        <v>0</v>
      </c>
      <c r="AN98" s="165">
        <f>IF(AM98=0,0,1+MAX(AN$69:AN97))</f>
        <v>0</v>
      </c>
      <c r="AO98" s="165">
        <f t="shared" si="68"/>
        <v>0</v>
      </c>
      <c r="AP98" s="165" t="str">
        <f t="shared" si="69"/>
        <v/>
      </c>
      <c r="AQ98" s="165" t="str">
        <f t="shared" si="70"/>
        <v/>
      </c>
      <c r="AU98" s="618">
        <v>30</v>
      </c>
      <c r="AV98" s="165">
        <f t="shared" si="52"/>
        <v>0</v>
      </c>
      <c r="AW98" s="165">
        <f>IF(AV98=0,0,1+MAX(AW$69:AW97))</f>
        <v>0</v>
      </c>
      <c r="AX98" s="165">
        <f t="shared" si="71"/>
        <v>0</v>
      </c>
      <c r="AY98" s="165" t="str">
        <f t="shared" si="72"/>
        <v/>
      </c>
      <c r="AZ98" s="165" t="str">
        <f t="shared" si="73"/>
        <v/>
      </c>
      <c r="BD98" s="618">
        <v>30</v>
      </c>
      <c r="BE98" s="165">
        <f t="shared" si="53"/>
        <v>0</v>
      </c>
      <c r="BF98" s="165">
        <f>IF(BE98=0,0,1+MAX(BF$69:BF97))</f>
        <v>0</v>
      </c>
      <c r="BG98" s="165">
        <f t="shared" si="74"/>
        <v>0</v>
      </c>
      <c r="BH98" s="165" t="str">
        <f t="shared" si="75"/>
        <v/>
      </c>
      <c r="BI98" s="165" t="str">
        <f t="shared" si="76"/>
        <v/>
      </c>
      <c r="BM98" s="618">
        <v>30</v>
      </c>
      <c r="BN98" s="165">
        <f t="shared" si="54"/>
        <v>0</v>
      </c>
      <c r="BO98" s="165">
        <f>IF(BN98=0,0,1+MAX(BO$69:BO97))</f>
        <v>0</v>
      </c>
      <c r="BP98" s="165">
        <f t="shared" si="77"/>
        <v>0</v>
      </c>
      <c r="BQ98" s="165" t="str">
        <f t="shared" si="78"/>
        <v/>
      </c>
      <c r="BR98" s="165" t="str">
        <f t="shared" si="79"/>
        <v/>
      </c>
      <c r="BV98" s="618">
        <v>30</v>
      </c>
      <c r="BW98" s="165">
        <f t="shared" si="55"/>
        <v>0</v>
      </c>
      <c r="BX98" s="165">
        <f>IF(BW98=0,0,1+MAX(BX$69:BX97))</f>
        <v>0</v>
      </c>
      <c r="BY98" s="165">
        <f t="shared" si="80"/>
        <v>0</v>
      </c>
      <c r="BZ98" s="165" t="str">
        <f t="shared" si="81"/>
        <v/>
      </c>
      <c r="CA98" s="165" t="str">
        <f t="shared" si="82"/>
        <v/>
      </c>
    </row>
  </sheetData>
  <mergeCells count="301">
    <mergeCell ref="S3:U3"/>
    <mergeCell ref="B2:D3"/>
    <mergeCell ref="E3:F3"/>
    <mergeCell ref="G3:H3"/>
    <mergeCell ref="J3:L3"/>
    <mergeCell ref="M3:O3"/>
    <mergeCell ref="P3:Q3"/>
    <mergeCell ref="CX5:CY5"/>
    <mergeCell ref="CZ5:DA5"/>
    <mergeCell ref="DB5:DC5"/>
    <mergeCell ref="C6:G6"/>
    <mergeCell ref="L6:P6"/>
    <mergeCell ref="U6:Y6"/>
    <mergeCell ref="AD6:AH6"/>
    <mergeCell ref="AM6:AQ6"/>
    <mergeCell ref="AV6:AZ6"/>
    <mergeCell ref="BE6:BI6"/>
    <mergeCell ref="CL5:CM5"/>
    <mergeCell ref="CN5:CO5"/>
    <mergeCell ref="CP5:CQ5"/>
    <mergeCell ref="CR5:CS5"/>
    <mergeCell ref="CT5:CU5"/>
    <mergeCell ref="CV5:CW5"/>
    <mergeCell ref="BM5:BR5"/>
    <mergeCell ref="BV5:CA5"/>
    <mergeCell ref="BN6:BR6"/>
    <mergeCell ref="BW6:CA6"/>
    <mergeCell ref="C7:G7"/>
    <mergeCell ref="L7:P7"/>
    <mergeCell ref="U7:Y7"/>
    <mergeCell ref="AD7:AH7"/>
    <mergeCell ref="AM7:AQ7"/>
    <mergeCell ref="AV7:AZ7"/>
    <mergeCell ref="BE7:BI7"/>
    <mergeCell ref="BN7:BR7"/>
    <mergeCell ref="BW7:CA7"/>
    <mergeCell ref="C8:G8"/>
    <mergeCell ref="L8:P8"/>
    <mergeCell ref="U8:Y8"/>
    <mergeCell ref="AD8:AH8"/>
    <mergeCell ref="AM8:AQ8"/>
    <mergeCell ref="AV8:AZ8"/>
    <mergeCell ref="BE8:BI8"/>
    <mergeCell ref="BN8:BR8"/>
    <mergeCell ref="BW8:CA8"/>
    <mergeCell ref="BE9:BI9"/>
    <mergeCell ref="BN9:BR9"/>
    <mergeCell ref="BW9:CA9"/>
    <mergeCell ref="C10:G10"/>
    <mergeCell ref="L10:P10"/>
    <mergeCell ref="U10:Y10"/>
    <mergeCell ref="AD10:AH10"/>
    <mergeCell ref="AM10:AQ10"/>
    <mergeCell ref="AV10:AZ10"/>
    <mergeCell ref="BE10:BI10"/>
    <mergeCell ref="C9:G9"/>
    <mergeCell ref="L9:P9"/>
    <mergeCell ref="U9:Y9"/>
    <mergeCell ref="AD9:AH9"/>
    <mergeCell ref="AM9:AQ9"/>
    <mergeCell ref="AV9:AZ9"/>
    <mergeCell ref="BN10:BR10"/>
    <mergeCell ref="BW10:CA10"/>
    <mergeCell ref="C11:G11"/>
    <mergeCell ref="L11:P11"/>
    <mergeCell ref="U11:Y11"/>
    <mergeCell ref="AD11:AH11"/>
    <mergeCell ref="AM11:AQ11"/>
    <mergeCell ref="AV11:AZ11"/>
    <mergeCell ref="BE11:BI11"/>
    <mergeCell ref="BN11:BR11"/>
    <mergeCell ref="BW11:CA11"/>
    <mergeCell ref="C12:G12"/>
    <mergeCell ref="L12:P12"/>
    <mergeCell ref="U12:Y12"/>
    <mergeCell ref="AD12:AH12"/>
    <mergeCell ref="AM12:AQ12"/>
    <mergeCell ref="AV12:AZ12"/>
    <mergeCell ref="BE12:BI12"/>
    <mergeCell ref="BN12:BR12"/>
    <mergeCell ref="BW12:CA12"/>
    <mergeCell ref="BE13:BI13"/>
    <mergeCell ref="BN13:BR13"/>
    <mergeCell ref="BW13:CA13"/>
    <mergeCell ref="C14:G14"/>
    <mergeCell ref="L14:P14"/>
    <mergeCell ref="U14:Y14"/>
    <mergeCell ref="AD14:AH14"/>
    <mergeCell ref="AM14:AQ14"/>
    <mergeCell ref="AV14:AZ14"/>
    <mergeCell ref="BE14:BI14"/>
    <mergeCell ref="C13:G13"/>
    <mergeCell ref="L13:P13"/>
    <mergeCell ref="U13:Y13"/>
    <mergeCell ref="AD13:AH13"/>
    <mergeCell ref="AM13:AQ13"/>
    <mergeCell ref="AV13:AZ13"/>
    <mergeCell ref="BN14:BR14"/>
    <mergeCell ref="BW14:CA14"/>
    <mergeCell ref="C15:G15"/>
    <mergeCell ref="L15:P15"/>
    <mergeCell ref="U15:Y15"/>
    <mergeCell ref="AD15:AH15"/>
    <mergeCell ref="AM15:AQ15"/>
    <mergeCell ref="AV15:AZ15"/>
    <mergeCell ref="BE15:BI15"/>
    <mergeCell ref="BN15:BR15"/>
    <mergeCell ref="BW15:CA15"/>
    <mergeCell ref="C16:G16"/>
    <mergeCell ref="L16:P16"/>
    <mergeCell ref="U16:Y16"/>
    <mergeCell ref="AD16:AH16"/>
    <mergeCell ref="AM16:AQ16"/>
    <mergeCell ref="AV16:AZ16"/>
    <mergeCell ref="BE16:BI16"/>
    <mergeCell ref="BN16:BR16"/>
    <mergeCell ref="BW16:CA16"/>
    <mergeCell ref="BE17:BI17"/>
    <mergeCell ref="BN17:BR17"/>
    <mergeCell ref="BW17:CA17"/>
    <mergeCell ref="C18:G18"/>
    <mergeCell ref="L18:P18"/>
    <mergeCell ref="U18:Y18"/>
    <mergeCell ref="AD18:AH18"/>
    <mergeCell ref="AM18:AQ18"/>
    <mergeCell ref="AV18:AZ18"/>
    <mergeCell ref="BE18:BI18"/>
    <mergeCell ref="C17:G17"/>
    <mergeCell ref="L17:P17"/>
    <mergeCell ref="U17:Y17"/>
    <mergeCell ref="AD17:AH17"/>
    <mergeCell ref="AM17:AQ17"/>
    <mergeCell ref="AV17:AZ17"/>
    <mergeCell ref="BN18:BR18"/>
    <mergeCell ref="BW18:CA18"/>
    <mergeCell ref="C19:G19"/>
    <mergeCell ref="L19:P19"/>
    <mergeCell ref="U19:Y19"/>
    <mergeCell ref="AD19:AH19"/>
    <mergeCell ref="AM19:AQ19"/>
    <mergeCell ref="AV19:AZ19"/>
    <mergeCell ref="BE19:BI19"/>
    <mergeCell ref="BN19:BR19"/>
    <mergeCell ref="BW19:CA19"/>
    <mergeCell ref="C20:G20"/>
    <mergeCell ref="L20:P20"/>
    <mergeCell ref="U20:Y20"/>
    <mergeCell ref="AD20:AH20"/>
    <mergeCell ref="AM20:AQ20"/>
    <mergeCell ref="AV20:AZ20"/>
    <mergeCell ref="BE20:BI20"/>
    <mergeCell ref="BN20:BR20"/>
    <mergeCell ref="BW20:CA20"/>
    <mergeCell ref="BE21:BI21"/>
    <mergeCell ref="BN21:BR21"/>
    <mergeCell ref="BW21:CA21"/>
    <mergeCell ref="C22:G22"/>
    <mergeCell ref="L22:P22"/>
    <mergeCell ref="U22:Y22"/>
    <mergeCell ref="AD22:AH22"/>
    <mergeCell ref="AM22:AQ22"/>
    <mergeCell ref="AV22:AZ22"/>
    <mergeCell ref="BE22:BI22"/>
    <mergeCell ref="C21:G21"/>
    <mergeCell ref="L21:P21"/>
    <mergeCell ref="U21:Y21"/>
    <mergeCell ref="AD21:AH21"/>
    <mergeCell ref="AM21:AQ21"/>
    <mergeCell ref="AV21:AZ21"/>
    <mergeCell ref="BN22:BR22"/>
    <mergeCell ref="BW22:CA22"/>
    <mergeCell ref="C23:G23"/>
    <mergeCell ref="L23:P23"/>
    <mergeCell ref="U23:Y23"/>
    <mergeCell ref="AD23:AH23"/>
    <mergeCell ref="AM23:AQ23"/>
    <mergeCell ref="AV23:AZ23"/>
    <mergeCell ref="BE23:BI23"/>
    <mergeCell ref="BN23:BR23"/>
    <mergeCell ref="BW23:CA23"/>
    <mergeCell ref="C24:G24"/>
    <mergeCell ref="L24:P24"/>
    <mergeCell ref="U24:Y24"/>
    <mergeCell ref="AD24:AH24"/>
    <mergeCell ref="AM24:AQ24"/>
    <mergeCell ref="AV24:AZ24"/>
    <mergeCell ref="BE24:BI24"/>
    <mergeCell ref="BN24:BR24"/>
    <mergeCell ref="BW24:CA24"/>
    <mergeCell ref="BE25:BI25"/>
    <mergeCell ref="BN25:BR25"/>
    <mergeCell ref="BW25:CA25"/>
    <mergeCell ref="C26:G26"/>
    <mergeCell ref="L26:P26"/>
    <mergeCell ref="U26:Y26"/>
    <mergeCell ref="AD26:AH26"/>
    <mergeCell ref="AM26:AQ26"/>
    <mergeCell ref="AV26:AZ26"/>
    <mergeCell ref="BE26:BI26"/>
    <mergeCell ref="C25:G25"/>
    <mergeCell ref="L25:P25"/>
    <mergeCell ref="U25:Y25"/>
    <mergeCell ref="AD25:AH25"/>
    <mergeCell ref="AM25:AQ25"/>
    <mergeCell ref="AV25:AZ25"/>
    <mergeCell ref="BN26:BR26"/>
    <mergeCell ref="BW26:CA26"/>
    <mergeCell ref="C27:G27"/>
    <mergeCell ref="L27:P27"/>
    <mergeCell ref="U27:Y27"/>
    <mergeCell ref="AD27:AH27"/>
    <mergeCell ref="AM27:AQ27"/>
    <mergeCell ref="AV27:AZ27"/>
    <mergeCell ref="BE27:BI27"/>
    <mergeCell ref="BN27:BR27"/>
    <mergeCell ref="BW27:CA27"/>
    <mergeCell ref="C28:G28"/>
    <mergeCell ref="L28:P28"/>
    <mergeCell ref="U28:Y28"/>
    <mergeCell ref="AD28:AH28"/>
    <mergeCell ref="AM28:AQ28"/>
    <mergeCell ref="AV28:AZ28"/>
    <mergeCell ref="BE28:BI28"/>
    <mergeCell ref="BN28:BR28"/>
    <mergeCell ref="BW28:CA28"/>
    <mergeCell ref="BE29:BI29"/>
    <mergeCell ref="BN29:BR29"/>
    <mergeCell ref="BW29:CA29"/>
    <mergeCell ref="C30:G30"/>
    <mergeCell ref="L30:P30"/>
    <mergeCell ref="U30:Y30"/>
    <mergeCell ref="AD30:AH30"/>
    <mergeCell ref="AM30:AQ30"/>
    <mergeCell ref="AV30:AZ30"/>
    <mergeCell ref="BE30:BI30"/>
    <mergeCell ref="C29:G29"/>
    <mergeCell ref="L29:P29"/>
    <mergeCell ref="U29:Y29"/>
    <mergeCell ref="AD29:AH29"/>
    <mergeCell ref="AM29:AQ29"/>
    <mergeCell ref="AV29:AZ29"/>
    <mergeCell ref="BN30:BR30"/>
    <mergeCell ref="BW30:CA30"/>
    <mergeCell ref="C31:G31"/>
    <mergeCell ref="L31:P31"/>
    <mergeCell ref="U31:Y31"/>
    <mergeCell ref="AD31:AH31"/>
    <mergeCell ref="AM31:AQ31"/>
    <mergeCell ref="AV31:AZ31"/>
    <mergeCell ref="BE31:BI31"/>
    <mergeCell ref="BN31:BR31"/>
    <mergeCell ref="BW31:CA31"/>
    <mergeCell ref="C32:G32"/>
    <mergeCell ref="L32:P32"/>
    <mergeCell ref="U32:Y32"/>
    <mergeCell ref="AD32:AH32"/>
    <mergeCell ref="AM32:AQ32"/>
    <mergeCell ref="AV32:AZ32"/>
    <mergeCell ref="BE32:BI32"/>
    <mergeCell ref="BN32:BR32"/>
    <mergeCell ref="BW32:CA32"/>
    <mergeCell ref="BE33:BI33"/>
    <mergeCell ref="BN33:BR33"/>
    <mergeCell ref="BW33:CA33"/>
    <mergeCell ref="C34:G34"/>
    <mergeCell ref="L34:P34"/>
    <mergeCell ref="U34:Y34"/>
    <mergeCell ref="AD34:AH34"/>
    <mergeCell ref="AM34:AQ34"/>
    <mergeCell ref="AV34:AZ34"/>
    <mergeCell ref="BE34:BI34"/>
    <mergeCell ref="C33:G33"/>
    <mergeCell ref="L33:P33"/>
    <mergeCell ref="U33:Y33"/>
    <mergeCell ref="AD33:AH33"/>
    <mergeCell ref="AM33:AQ33"/>
    <mergeCell ref="AV33:AZ33"/>
    <mergeCell ref="B1:F1"/>
    <mergeCell ref="G1:K1"/>
    <mergeCell ref="L1:P1"/>
    <mergeCell ref="Q1:U1"/>
    <mergeCell ref="BW35:CA35"/>
    <mergeCell ref="B37:H66"/>
    <mergeCell ref="E2:AK2"/>
    <mergeCell ref="B5:G5"/>
    <mergeCell ref="K5:P5"/>
    <mergeCell ref="T5:Y5"/>
    <mergeCell ref="AC5:AH5"/>
    <mergeCell ref="AL5:AQ5"/>
    <mergeCell ref="AU5:AZ5"/>
    <mergeCell ref="BD5:BI5"/>
    <mergeCell ref="BN34:BR34"/>
    <mergeCell ref="BW34:CA34"/>
    <mergeCell ref="C35:G35"/>
    <mergeCell ref="L35:P35"/>
    <mergeCell ref="U35:Y35"/>
    <mergeCell ref="AD35:AH35"/>
    <mergeCell ref="AM35:AQ35"/>
    <mergeCell ref="AV35:AZ35"/>
    <mergeCell ref="BE35:BI35"/>
    <mergeCell ref="BN35:BR35"/>
  </mergeCells>
  <dataValidations count="6">
    <dataValidation type="list" allowBlank="1" showInputMessage="1" showErrorMessage="1" sqref="BS6:BT35" xr:uid="{00000000-0002-0000-1300-000000000000}">
      <formula1>$CH$11</formula1>
    </dataValidation>
    <dataValidation type="list" allowBlank="1" showInputMessage="1" showErrorMessage="1" sqref="BJ6:BK35" xr:uid="{00000000-0002-0000-1300-000001000000}">
      <formula1>$CH$10</formula1>
    </dataValidation>
    <dataValidation type="list" allowBlank="1" showInputMessage="1" showErrorMessage="1" sqref="BA6:BB35" xr:uid="{00000000-0002-0000-1300-000002000000}">
      <formula1>$CH$9</formula1>
    </dataValidation>
    <dataValidation type="list" allowBlank="1" showInputMessage="1" showErrorMessage="1" sqref="AR6:AS35" xr:uid="{00000000-0002-0000-1300-000003000000}">
      <formula1>$CH$8</formula1>
    </dataValidation>
    <dataValidation type="list" allowBlank="1" showInputMessage="1" showErrorMessage="1" sqref="AI6:AJ35" xr:uid="{00000000-0002-0000-1300-000004000000}">
      <formula1>$CH$7</formula1>
    </dataValidation>
    <dataValidation type="list" allowBlank="1" showInputMessage="1" showErrorMessage="1" sqref="CB6:CB35" xr:uid="{00000000-0002-0000-1300-000005000000}">
      <formula1>$CH$12</formula1>
    </dataValidation>
  </dataValidations>
  <hyperlinks>
    <hyperlink ref="B1:D1" location="LinkSpellsKnown" display="Back to Spellcasting" xr:uid="{00000000-0004-0000-1300-000000000000}"/>
    <hyperlink ref="G1:I1" location="LinkSpellsKnown" display="Back to Spellcasting" xr:uid="{00000000-0004-0000-1300-000001000000}"/>
    <hyperlink ref="G1:K1" location="SpellsKnownRitualCaster" display="to Wizard Spells Known" xr:uid="{00000000-0004-0000-1300-000002000000}"/>
    <hyperlink ref="L1:N1" location="LinkSpellsKnown" display="Back to Spellcasting" xr:uid="{00000000-0004-0000-1300-000003000000}"/>
    <hyperlink ref="L1:P1" location="SheetSpellBook" display="to Wizard Spells Known" xr:uid="{00000000-0004-0000-1300-000004000000}"/>
    <hyperlink ref="Q1:S1" location="LinkSpellsKnown" display="Back to Spellcasting" xr:uid="{00000000-0004-0000-1300-000005000000}"/>
    <hyperlink ref="Q1:U1" location="SpellCastingIndex" display="to Spellcasting Index" xr:uid="{00000000-0004-0000-1300-000006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3">
    <tabColor rgb="FF00FF00"/>
  </sheetPr>
  <dimension ref="A1:DV133"/>
  <sheetViews>
    <sheetView topLeftCell="BT1" zoomScale="85" zoomScaleNormal="85" workbookViewId="0">
      <selection activeCell="DB12" sqref="DB12:DF12"/>
    </sheetView>
  </sheetViews>
  <sheetFormatPr defaultColWidth="4.7109375" defaultRowHeight="15" x14ac:dyDescent="0.25"/>
  <sheetData>
    <row r="1" spans="1:126" ht="15.75" thickBot="1" x14ac:dyDescent="0.3">
      <c r="A1" s="120"/>
      <c r="B1" s="120"/>
      <c r="C1" s="120"/>
      <c r="D1" s="120"/>
      <c r="E1" s="120"/>
      <c r="F1" s="120"/>
      <c r="G1" s="120"/>
      <c r="H1" s="120"/>
      <c r="I1" s="120"/>
      <c r="J1" s="120"/>
      <c r="K1" s="120"/>
      <c r="L1" s="120"/>
      <c r="M1" s="120"/>
      <c r="N1" s="120"/>
      <c r="O1" s="120"/>
      <c r="P1" s="120"/>
      <c r="Q1" s="120"/>
      <c r="R1" s="120"/>
      <c r="S1" s="120"/>
      <c r="T1" s="120"/>
      <c r="U1" s="120"/>
      <c r="V1" s="120"/>
      <c r="W1" s="120"/>
      <c r="X1" s="120"/>
      <c r="Y1" s="120"/>
      <c r="Z1" s="120"/>
      <c r="AA1" s="120"/>
      <c r="AB1" s="120"/>
      <c r="AC1" s="120"/>
      <c r="AD1" s="120"/>
      <c r="AE1" s="120"/>
      <c r="AF1" s="120"/>
      <c r="AG1" s="120"/>
      <c r="AH1" s="120"/>
      <c r="AI1" s="120"/>
      <c r="AJ1" s="120"/>
      <c r="AK1" s="120"/>
      <c r="AL1" s="120"/>
      <c r="AM1" s="120"/>
      <c r="AN1" s="120"/>
      <c r="AO1" s="120"/>
      <c r="AP1" s="120"/>
      <c r="AQ1" s="120"/>
      <c r="AR1" s="120"/>
      <c r="AS1" s="120"/>
      <c r="AT1" s="120"/>
      <c r="AU1" s="120"/>
      <c r="AV1" s="120"/>
      <c r="AW1" s="120"/>
      <c r="AX1" s="120"/>
      <c r="AY1" s="120"/>
      <c r="AZ1" s="120"/>
      <c r="BA1" s="120"/>
      <c r="BB1" s="120"/>
      <c r="BC1" s="120"/>
      <c r="BD1" s="120"/>
      <c r="BE1" s="120"/>
      <c r="BF1" s="120"/>
      <c r="BG1" s="120"/>
      <c r="BH1" s="120"/>
      <c r="BI1" s="120"/>
      <c r="BJ1" s="120"/>
      <c r="BK1" s="120"/>
      <c r="BL1" s="120"/>
      <c r="BM1" s="120"/>
      <c r="BN1" s="120"/>
      <c r="BO1" s="120"/>
      <c r="BP1" s="120"/>
      <c r="BQ1" s="120"/>
      <c r="BR1" s="120"/>
      <c r="BS1" s="120"/>
      <c r="BT1" s="120"/>
      <c r="BU1" s="120"/>
      <c r="BV1" s="120"/>
      <c r="BW1" s="120"/>
      <c r="BX1" s="120"/>
      <c r="BY1" s="120"/>
      <c r="BZ1" s="120"/>
      <c r="CA1" s="120"/>
      <c r="CB1" s="120"/>
      <c r="CC1" s="120"/>
      <c r="CD1" s="120"/>
      <c r="CE1" s="120"/>
      <c r="CF1" s="565"/>
      <c r="CG1" s="565"/>
      <c r="CH1" s="565"/>
      <c r="CI1" s="565"/>
      <c r="CJ1" s="565"/>
      <c r="CK1" s="565"/>
      <c r="CL1" s="565"/>
      <c r="CM1" s="565"/>
      <c r="CN1" s="565"/>
      <c r="CO1" s="565"/>
      <c r="CP1" s="565"/>
      <c r="CQ1" s="565"/>
      <c r="CR1" s="565"/>
      <c r="CS1" s="565"/>
      <c r="CT1" s="565"/>
      <c r="CU1" s="565"/>
      <c r="CV1" s="565"/>
      <c r="CW1" s="565"/>
      <c r="CX1" s="565"/>
      <c r="CY1" s="565"/>
      <c r="CZ1" s="565"/>
      <c r="DA1" s="565"/>
      <c r="DB1" s="565"/>
      <c r="DC1" s="565"/>
      <c r="DD1" s="565"/>
      <c r="DE1" s="565"/>
      <c r="DF1" s="565"/>
      <c r="DG1" s="565"/>
      <c r="DH1" s="565"/>
    </row>
    <row r="2" spans="1:126" ht="15" customHeight="1" thickTop="1" x14ac:dyDescent="0.25">
      <c r="A2" s="120"/>
      <c r="B2" s="1099" t="s">
        <v>6516</v>
      </c>
      <c r="C2" s="1099"/>
      <c r="D2" s="1099"/>
      <c r="E2" s="1099"/>
      <c r="F2" s="1099"/>
      <c r="G2" s="1099"/>
      <c r="H2" s="1099"/>
      <c r="I2" s="1099"/>
      <c r="J2" s="1099"/>
      <c r="K2" s="1099"/>
      <c r="L2" s="1099"/>
      <c r="M2" s="1099"/>
      <c r="N2" s="1099"/>
      <c r="O2" s="1099"/>
      <c r="P2" s="1099"/>
      <c r="Q2" s="1099"/>
      <c r="R2" s="1099"/>
      <c r="S2" s="1099"/>
      <c r="T2" s="1099"/>
      <c r="U2" s="1093" t="s">
        <v>6626</v>
      </c>
      <c r="V2" s="1093"/>
      <c r="W2" s="1093"/>
      <c r="X2" s="1093"/>
      <c r="Y2" s="1093"/>
      <c r="Z2" s="1095" t="s">
        <v>6657</v>
      </c>
      <c r="AA2" s="1095"/>
      <c r="AB2" s="1095"/>
      <c r="AC2" s="1095"/>
      <c r="AD2" s="1095"/>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c r="BD2" s="120"/>
      <c r="BE2" s="120"/>
      <c r="BF2" s="120"/>
      <c r="BG2" s="120"/>
      <c r="BH2" s="120"/>
      <c r="BI2" s="120"/>
      <c r="BJ2" s="120"/>
      <c r="BK2" s="120"/>
      <c r="BL2" s="120"/>
      <c r="BM2" s="120"/>
      <c r="BN2" s="120"/>
      <c r="BO2" s="120"/>
      <c r="BP2" s="120"/>
      <c r="BQ2" s="120"/>
      <c r="BR2" s="120"/>
      <c r="BS2" s="120"/>
      <c r="BT2" s="120"/>
      <c r="BU2" s="120"/>
      <c r="BV2" s="120"/>
      <c r="BW2" s="120"/>
      <c r="BX2" s="120"/>
      <c r="BY2" s="120"/>
      <c r="BZ2" s="120"/>
      <c r="CA2" s="120"/>
      <c r="CB2" s="120"/>
      <c r="CC2" s="120"/>
      <c r="CD2" s="120"/>
      <c r="CE2" s="120"/>
      <c r="CF2" s="565"/>
      <c r="CG2" s="565"/>
      <c r="CH2" s="565"/>
      <c r="CI2" s="565"/>
      <c r="CJ2" s="565"/>
      <c r="CK2" s="565"/>
      <c r="CL2" s="565"/>
      <c r="CM2" s="565"/>
      <c r="CN2" s="565"/>
      <c r="CO2" s="565"/>
      <c r="CP2" s="565"/>
      <c r="CQ2" s="565"/>
      <c r="CR2" s="565"/>
      <c r="CS2" s="565"/>
      <c r="CT2" s="565"/>
      <c r="CU2" s="565"/>
      <c r="CV2" s="565"/>
      <c r="CW2" s="565"/>
      <c r="CX2" s="565"/>
      <c r="CY2" s="565"/>
      <c r="CZ2" s="565"/>
      <c r="DA2" s="565"/>
      <c r="DB2" s="565"/>
      <c r="DC2" s="565"/>
      <c r="DD2" s="565"/>
      <c r="DE2" s="565"/>
      <c r="DF2" s="565"/>
      <c r="DG2" s="565"/>
      <c r="DH2" s="565"/>
      <c r="DI2" s="565"/>
      <c r="DJ2" s="565"/>
      <c r="DK2" s="565"/>
      <c r="DL2" s="565"/>
      <c r="DM2" s="565"/>
      <c r="DN2" s="565"/>
      <c r="DO2" s="565"/>
      <c r="DP2" s="565"/>
      <c r="DQ2" s="565"/>
      <c r="DR2" s="565"/>
      <c r="DS2" s="565"/>
      <c r="DT2" s="565"/>
      <c r="DU2" s="565"/>
      <c r="DV2" s="565"/>
    </row>
    <row r="3" spans="1:126" ht="15" customHeight="1" thickBot="1" x14ac:dyDescent="0.3">
      <c r="A3" s="120"/>
      <c r="B3" s="1099"/>
      <c r="C3" s="1099"/>
      <c r="D3" s="1099"/>
      <c r="E3" s="1099"/>
      <c r="F3" s="1099"/>
      <c r="G3" s="1099"/>
      <c r="H3" s="1099"/>
      <c r="I3" s="1099"/>
      <c r="J3" s="1099"/>
      <c r="K3" s="1099"/>
      <c r="L3" s="1099"/>
      <c r="M3" s="1099"/>
      <c r="N3" s="1099"/>
      <c r="O3" s="1099"/>
      <c r="P3" s="1099"/>
      <c r="Q3" s="1099"/>
      <c r="R3" s="1099"/>
      <c r="S3" s="1099"/>
      <c r="T3" s="1099"/>
      <c r="U3" s="1094"/>
      <c r="V3" s="1094"/>
      <c r="W3" s="1094"/>
      <c r="X3" s="1094"/>
      <c r="Y3" s="1094"/>
      <c r="Z3" s="1094"/>
      <c r="AA3" s="1094"/>
      <c r="AB3" s="1094"/>
      <c r="AC3" s="1094"/>
      <c r="AD3" s="1094"/>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c r="BD3" s="120"/>
      <c r="BE3" s="120"/>
      <c r="BF3" s="120"/>
      <c r="BG3" s="120"/>
      <c r="BH3" s="120"/>
      <c r="BI3" s="120"/>
      <c r="BJ3" s="120"/>
      <c r="BK3" s="120"/>
      <c r="BL3" s="120"/>
      <c r="BM3" s="120"/>
      <c r="BN3" s="120"/>
      <c r="BO3" s="120"/>
      <c r="BP3" s="120"/>
      <c r="BQ3" s="120"/>
      <c r="BR3" s="120"/>
      <c r="BS3" s="120"/>
      <c r="BT3" s="120"/>
      <c r="BU3" s="120"/>
      <c r="BV3" s="120"/>
      <c r="BW3" s="120"/>
      <c r="BX3" s="120"/>
      <c r="BY3" s="120"/>
      <c r="BZ3" s="120"/>
      <c r="CA3" s="120"/>
      <c r="CB3" s="120"/>
      <c r="CC3" s="120"/>
      <c r="CD3" s="120"/>
      <c r="CE3" s="120"/>
      <c r="CF3" s="565"/>
      <c r="CG3" s="565"/>
      <c r="CH3" s="565"/>
      <c r="CI3" s="565"/>
      <c r="CJ3" s="565"/>
      <c r="CK3" s="565"/>
      <c r="CL3" s="565"/>
      <c r="CM3" s="120"/>
      <c r="CN3" s="565"/>
      <c r="CO3" s="565"/>
      <c r="CP3" s="565"/>
      <c r="CQ3" s="565"/>
      <c r="CR3" s="565"/>
      <c r="CS3" s="565"/>
      <c r="CT3" s="565"/>
      <c r="CU3" s="565"/>
      <c r="CV3" s="565"/>
      <c r="CW3" s="565"/>
      <c r="CX3" s="565"/>
      <c r="CY3" s="565"/>
      <c r="CZ3" s="565"/>
      <c r="DA3" s="565"/>
      <c r="DB3" s="565"/>
      <c r="DC3" s="565"/>
      <c r="DD3" s="565"/>
      <c r="DE3" s="565"/>
      <c r="DF3" s="565"/>
      <c r="DG3" s="565"/>
      <c r="DH3" s="565"/>
      <c r="DI3" s="565"/>
      <c r="DJ3" s="565"/>
      <c r="DK3" s="565"/>
      <c r="DL3" s="565"/>
      <c r="DM3" s="565"/>
      <c r="DN3" s="565"/>
      <c r="DO3" s="565"/>
      <c r="DP3" s="565"/>
      <c r="DQ3" s="565"/>
      <c r="DR3" s="565"/>
      <c r="DS3" s="565"/>
      <c r="DT3" s="565"/>
      <c r="DU3" s="565"/>
      <c r="DV3" s="565"/>
    </row>
    <row r="4" spans="1:126" ht="16.5" thickTop="1" thickBot="1" x14ac:dyDescent="0.3">
      <c r="A4" s="120"/>
      <c r="B4" s="120"/>
      <c r="C4" s="120"/>
      <c r="D4" s="120"/>
      <c r="E4" s="120"/>
      <c r="F4" s="120"/>
      <c r="G4" s="120"/>
      <c r="H4" s="120"/>
      <c r="I4" s="120"/>
      <c r="J4" s="120"/>
      <c r="K4" s="120"/>
      <c r="L4" s="120"/>
      <c r="M4" s="120"/>
      <c r="N4" s="120"/>
      <c r="O4" s="120"/>
      <c r="P4" s="120"/>
      <c r="Q4" s="120"/>
      <c r="R4" s="120"/>
      <c r="S4" s="120"/>
      <c r="T4" s="565"/>
      <c r="U4" s="565"/>
      <c r="V4" s="565"/>
      <c r="W4" s="565"/>
      <c r="X4" s="565"/>
      <c r="Y4" s="565"/>
      <c r="Z4" s="565"/>
      <c r="AA4" s="565"/>
      <c r="AB4" s="565"/>
      <c r="AC4" s="565"/>
      <c r="AD4" s="565"/>
      <c r="AE4" s="565"/>
      <c r="AF4" s="565"/>
      <c r="AG4" s="565"/>
      <c r="AH4" s="565"/>
      <c r="AI4" s="565"/>
      <c r="AJ4" s="565"/>
      <c r="AK4" s="565"/>
      <c r="AL4" s="565"/>
      <c r="AM4" s="565"/>
      <c r="AN4" s="565"/>
      <c r="AO4" s="565"/>
      <c r="AP4" s="565"/>
      <c r="AQ4" s="565"/>
      <c r="AR4" s="565"/>
      <c r="AS4" s="565"/>
      <c r="AT4" s="565"/>
      <c r="AU4" s="565"/>
      <c r="AV4" s="565"/>
      <c r="AW4" s="565"/>
      <c r="AX4" s="565"/>
      <c r="AY4" s="565"/>
      <c r="AZ4" s="565"/>
      <c r="BA4" s="565"/>
      <c r="BB4" s="565"/>
      <c r="BC4" s="565"/>
      <c r="BD4" s="565"/>
      <c r="BE4" s="565"/>
      <c r="BF4" s="565"/>
      <c r="BG4" s="565"/>
      <c r="BH4" s="565"/>
      <c r="BI4" s="120"/>
      <c r="BJ4" s="565"/>
      <c r="BK4" s="565"/>
      <c r="BL4" s="565"/>
      <c r="BM4" s="565"/>
      <c r="BN4" s="565"/>
      <c r="BO4" s="565"/>
      <c r="BP4" s="565"/>
      <c r="BQ4" s="565"/>
      <c r="BR4" s="565"/>
      <c r="BS4" s="120"/>
      <c r="BT4" s="565"/>
      <c r="BU4" s="565"/>
      <c r="BV4" s="565"/>
      <c r="BW4" s="565"/>
      <c r="BX4" s="565"/>
      <c r="BY4" s="565"/>
      <c r="BZ4" s="565"/>
      <c r="CA4" s="565"/>
      <c r="CB4" s="565"/>
      <c r="CC4" s="120"/>
      <c r="CD4" s="565"/>
      <c r="CE4" s="565"/>
      <c r="CF4" s="565"/>
      <c r="CG4" s="565"/>
      <c r="CH4" s="565"/>
      <c r="CI4" s="565"/>
      <c r="CJ4" s="565"/>
      <c r="CK4" s="565"/>
      <c r="CL4" s="565"/>
      <c r="CM4" s="120"/>
      <c r="CN4" s="565"/>
      <c r="CO4" s="565"/>
      <c r="CP4" s="565"/>
      <c r="CQ4" s="565"/>
      <c r="CR4" s="565"/>
      <c r="CS4" s="565"/>
      <c r="CT4" s="565"/>
      <c r="CU4" s="565"/>
      <c r="CV4" s="565"/>
      <c r="CW4" s="565"/>
      <c r="CX4" s="565"/>
      <c r="CY4" s="565"/>
      <c r="CZ4" s="565"/>
      <c r="DA4" s="565"/>
      <c r="DB4" s="565"/>
      <c r="DC4" s="565"/>
      <c r="DD4" s="565"/>
      <c r="DE4" s="565"/>
      <c r="DF4" s="565"/>
      <c r="DG4" s="565"/>
      <c r="DH4" s="565"/>
      <c r="DI4" s="565"/>
      <c r="DJ4" s="565"/>
      <c r="DK4" s="565"/>
      <c r="DL4" s="565"/>
      <c r="DM4" s="565"/>
      <c r="DN4" s="565"/>
      <c r="DO4" s="565"/>
      <c r="DP4" s="565"/>
      <c r="DQ4" s="565"/>
      <c r="DR4" s="565"/>
      <c r="DS4" s="565"/>
      <c r="DT4" s="565"/>
      <c r="DU4" s="565"/>
      <c r="DV4" s="565"/>
    </row>
    <row r="5" spans="1:126" ht="16.5" thickTop="1" thickBot="1" x14ac:dyDescent="0.3">
      <c r="A5" s="120"/>
      <c r="B5" s="743" t="s">
        <v>2305</v>
      </c>
      <c r="C5" s="743"/>
      <c r="D5" s="743"/>
      <c r="E5" s="743"/>
      <c r="F5" s="743"/>
      <c r="G5" s="743"/>
      <c r="H5" s="743"/>
      <c r="I5" s="743"/>
      <c r="J5" s="743"/>
      <c r="K5" s="705"/>
      <c r="L5" s="743" t="s">
        <v>6278</v>
      </c>
      <c r="M5" s="743"/>
      <c r="N5" s="743"/>
      <c r="O5" s="743"/>
      <c r="P5" s="743"/>
      <c r="Q5" s="743"/>
      <c r="R5" s="743"/>
      <c r="S5" s="743"/>
      <c r="T5" s="743"/>
      <c r="U5" s="706"/>
      <c r="V5" s="743" t="s">
        <v>6507</v>
      </c>
      <c r="W5" s="743"/>
      <c r="X5" s="743"/>
      <c r="Y5" s="743"/>
      <c r="Z5" s="743"/>
      <c r="AA5" s="743"/>
      <c r="AB5" s="743"/>
      <c r="AC5" s="743"/>
      <c r="AD5" s="743"/>
      <c r="AE5" s="706"/>
      <c r="AF5" s="743" t="s">
        <v>6508</v>
      </c>
      <c r="AG5" s="743"/>
      <c r="AH5" s="743"/>
      <c r="AI5" s="743"/>
      <c r="AJ5" s="743"/>
      <c r="AK5" s="743"/>
      <c r="AL5" s="743"/>
      <c r="AM5" s="743"/>
      <c r="AN5" s="743"/>
      <c r="AO5" s="706"/>
      <c r="AP5" s="743" t="s">
        <v>6509</v>
      </c>
      <c r="AQ5" s="743"/>
      <c r="AR5" s="743"/>
      <c r="AS5" s="743"/>
      <c r="AT5" s="743"/>
      <c r="AU5" s="743"/>
      <c r="AV5" s="743"/>
      <c r="AW5" s="743"/>
      <c r="AX5" s="743"/>
      <c r="AY5" s="706"/>
      <c r="AZ5" s="743" t="s">
        <v>6510</v>
      </c>
      <c r="BA5" s="743"/>
      <c r="BB5" s="743"/>
      <c r="BC5" s="743"/>
      <c r="BD5" s="743"/>
      <c r="BE5" s="743"/>
      <c r="BF5" s="743"/>
      <c r="BG5" s="743"/>
      <c r="BH5" s="743"/>
      <c r="BI5" s="705"/>
      <c r="BJ5" s="743" t="s">
        <v>6511</v>
      </c>
      <c r="BK5" s="743"/>
      <c r="BL5" s="743"/>
      <c r="BM5" s="743"/>
      <c r="BN5" s="743"/>
      <c r="BO5" s="743"/>
      <c r="BP5" s="743"/>
      <c r="BQ5" s="743"/>
      <c r="BR5" s="743"/>
      <c r="BS5" s="705"/>
      <c r="BT5" s="743" t="s">
        <v>6512</v>
      </c>
      <c r="BU5" s="743"/>
      <c r="BV5" s="743"/>
      <c r="BW5" s="743"/>
      <c r="BX5" s="743"/>
      <c r="BY5" s="743"/>
      <c r="BZ5" s="743"/>
      <c r="CA5" s="743"/>
      <c r="CB5" s="743"/>
      <c r="CC5" s="705"/>
      <c r="CD5" s="743" t="s">
        <v>6513</v>
      </c>
      <c r="CE5" s="743"/>
      <c r="CF5" s="743"/>
      <c r="CG5" s="743"/>
      <c r="CH5" s="743"/>
      <c r="CI5" s="743"/>
      <c r="CJ5" s="743"/>
      <c r="CK5" s="743"/>
      <c r="CL5" s="743"/>
      <c r="CM5" s="705"/>
      <c r="CN5" s="743" t="s">
        <v>6514</v>
      </c>
      <c r="CO5" s="743"/>
      <c r="CP5" s="743"/>
      <c r="CQ5" s="743"/>
      <c r="CR5" s="743"/>
      <c r="CS5" s="743"/>
      <c r="CT5" s="743"/>
      <c r="CU5" s="743"/>
      <c r="CV5" s="743"/>
      <c r="CW5" s="565"/>
      <c r="CX5" s="565"/>
      <c r="CY5" s="565"/>
      <c r="CZ5" s="565"/>
      <c r="DA5" s="565"/>
      <c r="DB5" s="565"/>
      <c r="DC5" s="565"/>
      <c r="DD5" s="565"/>
      <c r="DE5" s="565"/>
      <c r="DF5" s="565"/>
      <c r="DG5" s="565"/>
      <c r="DH5" s="565"/>
      <c r="DI5" s="565"/>
      <c r="DJ5" s="565"/>
      <c r="DK5" s="565"/>
      <c r="DL5" s="565"/>
      <c r="DM5" s="565"/>
      <c r="DN5" s="565"/>
      <c r="DO5" s="565"/>
      <c r="DP5" s="565"/>
      <c r="DQ5" s="565"/>
      <c r="DR5" s="565"/>
      <c r="DS5" s="565"/>
      <c r="DT5" s="565"/>
      <c r="DU5" s="565"/>
      <c r="DV5" s="565"/>
    </row>
    <row r="6" spans="1:126" ht="15.75" thickTop="1" x14ac:dyDescent="0.25">
      <c r="A6" s="120"/>
      <c r="B6" s="565"/>
      <c r="C6" s="565"/>
      <c r="D6" s="565"/>
      <c r="E6" s="565"/>
      <c r="F6" s="565"/>
      <c r="G6" s="565"/>
      <c r="H6" s="565"/>
      <c r="I6" s="565"/>
      <c r="J6" s="565"/>
      <c r="K6" s="120"/>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65"/>
      <c r="AK6" s="565"/>
      <c r="AL6" s="565"/>
      <c r="AM6" s="565"/>
      <c r="AN6" s="565"/>
      <c r="AO6" s="565"/>
      <c r="AP6" s="565"/>
      <c r="AQ6" s="565"/>
      <c r="AR6" s="565"/>
      <c r="AS6" s="565"/>
      <c r="AT6" s="565"/>
      <c r="AU6" s="565"/>
      <c r="AV6" s="565"/>
      <c r="AW6" s="565"/>
      <c r="AX6" s="565"/>
      <c r="AY6" s="565"/>
      <c r="AZ6" s="565"/>
      <c r="BA6" s="565"/>
      <c r="BB6" s="565"/>
      <c r="BC6" s="565"/>
      <c r="BD6" s="565"/>
      <c r="BE6" s="565"/>
      <c r="BF6" s="565"/>
      <c r="BG6" s="565"/>
      <c r="BH6" s="565"/>
      <c r="BI6" s="120"/>
      <c r="BJ6" s="565"/>
      <c r="BK6" s="565"/>
      <c r="BL6" s="565"/>
      <c r="BM6" s="565"/>
      <c r="BN6" s="565"/>
      <c r="BO6" s="565"/>
      <c r="BP6" s="565"/>
      <c r="BQ6" s="565"/>
      <c r="BR6" s="565"/>
      <c r="BS6" s="120"/>
      <c r="BT6" s="565"/>
      <c r="BU6" s="565"/>
      <c r="BV6" s="565"/>
      <c r="BW6" s="565"/>
      <c r="BX6" s="565"/>
      <c r="BY6" s="565"/>
      <c r="BZ6" s="565"/>
      <c r="CA6" s="565"/>
      <c r="CB6" s="565"/>
      <c r="CC6" s="120"/>
      <c r="CD6" s="565"/>
      <c r="CE6" s="565"/>
      <c r="CF6" s="565"/>
      <c r="CG6" s="565"/>
      <c r="CH6" s="565"/>
      <c r="CI6" s="565"/>
      <c r="CJ6" s="565"/>
      <c r="CK6" s="565"/>
      <c r="CL6" s="565"/>
      <c r="CM6" s="120"/>
      <c r="CN6" s="565"/>
      <c r="CO6" s="565"/>
      <c r="CP6" s="565"/>
      <c r="CQ6" s="565"/>
      <c r="CR6" s="565"/>
      <c r="CS6" s="565"/>
      <c r="CT6" s="565"/>
      <c r="CU6" s="565"/>
      <c r="CV6" s="565"/>
      <c r="CW6" s="565"/>
      <c r="CX6" s="565"/>
      <c r="CY6" s="565"/>
      <c r="CZ6" s="565"/>
      <c r="DA6" s="565"/>
      <c r="DB6" s="565"/>
      <c r="DC6" s="565"/>
      <c r="DD6" s="565"/>
      <c r="DE6" s="565"/>
      <c r="DF6" s="565"/>
      <c r="DG6" s="565"/>
      <c r="DH6" s="565"/>
      <c r="DI6" s="565"/>
      <c r="DJ6" s="565"/>
      <c r="DK6" s="565"/>
      <c r="DL6" s="565"/>
      <c r="DM6" s="565"/>
      <c r="DN6" s="565"/>
      <c r="DO6" s="565"/>
      <c r="DP6" s="565"/>
      <c r="DQ6" s="565"/>
      <c r="DR6" s="565"/>
      <c r="DS6" s="565"/>
      <c r="DT6" s="565"/>
      <c r="DU6" s="565"/>
      <c r="DV6" s="565"/>
    </row>
    <row r="7" spans="1:126" ht="21" x14ac:dyDescent="0.25">
      <c r="A7" s="120"/>
      <c r="B7" s="610">
        <v>1</v>
      </c>
      <c r="C7" s="1061"/>
      <c r="D7" s="1061"/>
      <c r="E7" s="1061"/>
      <c r="F7" s="1061"/>
      <c r="G7" s="1061"/>
      <c r="H7" s="1096"/>
      <c r="I7" s="1096"/>
      <c r="J7" s="120"/>
      <c r="K7" s="120"/>
      <c r="L7" s="591">
        <v>1</v>
      </c>
      <c r="M7" s="1061" t="str">
        <f>IFERROR(INDEX(S01_Bard!$C$6:$C$35,MATCH(Character_Spellcasting!L7,S01_Bard!$E$69:$E$98,0),1),"")&amp;IFERROR(INDEX(S02_Cleric!$C$6:$C$35,MATCH(Character_Spellcasting!L7,S02_Cleric!$E$69:$E$98,0),1),"")&amp;IFERROR(INDEX(S03_Druid!$C$6:$C$35,MATCH(Character_Spellcasting!L7,S03_Druid!$E$69:$E$98,0),1),"")&amp;IFERROR(INDEX(S04_EldritchKnight!$C$6:$C$35,MATCH(Character_Spellcasting!L7,S04_EldritchKnight!$E$69:$E$98,0),1),"")&amp;IFERROR(INDEX(S05_Paladin!$C$6:$C$35,MATCH(Character_Spellcasting!L7,S05_Paladin!$E$69:$E$98,0),1),"")&amp;IFERROR(INDEX(S06_Ranger!$C$6:$C$35,MATCH(Character_Spellcasting!L7,S06_Ranger!$E$69:$E$988,0),1),"")&amp;IFERROR(INDEX(S07_ArcaneTrickster!$C$6:$C$35,MATCH(Character_Spellcasting!L7,S07_ArcaneTrickster!$E$69:$E$988,0),1),"")&amp;IFERROR(INDEX(S08_Sorcerer!$C$6:$C$35,MATCH(Character_Spellcasting!L7,S08_Sorcerer!$E$69:$E$98,0),1),"")&amp;IFERROR(INDEX(S09_Warlock!$C$6:$C$35,MATCH(Character_Spellcasting!L7,S09_Warlock!$E$69:$E$98,0),1),"")&amp;IFERROR(INDEX(S10_Wizard!$C$6:$C$35,MATCH(Character_Spellcasting!L7,S10_Wizard!$E$69:$E$98,0),1),"")</f>
        <v>Protection from Evil and Good</v>
      </c>
      <c r="N7" s="1061"/>
      <c r="O7" s="1061"/>
      <c r="P7" s="1061"/>
      <c r="Q7" s="1061"/>
      <c r="R7" s="1096" t="str">
        <f>IFERROR(INDEX(S01_Bard!$F$69:$F$98,MATCH(Character_Spellcasting!L7,S01_Bard!$D$69:$D$98,0),1),"")&amp;IFERROR(INDEX(S02_Cleric!$F$69:$F$98,MATCH(Character_Spellcasting!L7,S02_Cleric!$E$69:$E$98,0),1),"")&amp;IFERROR(INDEX(S03_Druid!$F$69:$F$98,MATCH(Character_Spellcasting!L7,S03_Druid!$E$69:$E$98,0),1),"")&amp;IFERROR(INDEX(S04_EldritchKnight!$F$69:$F$98,MATCH(Character_Spellcasting!L7,S04_EldritchKnight!$E$69:$E$98,0),1),"")&amp;IFERROR(INDEX(S05_Paladin!$F$69:$F$98,MATCH(Character_Spellcasting!L7,S05_Paladin!$E$69:$E$98,0),1),"")&amp;IFERROR(INDEX(S06_Ranger!$F$69:$F$98,MATCH(Character_Spellcasting!L7,S06_Ranger!$E$69:$E$988,0),1),"")&amp;IFERROR(INDEX(S07_ArcaneTrickster!$F$69:$F$98,MATCH(Character_Spellcasting!L7,S07_ArcaneTrickster!$E$69:$E$988,0),1),"")&amp;IFERROR(INDEX(S08_Sorcerer!$F$69:$F$98,MATCH(Character_Spellcasting!L7,S08_Sorcerer!$E$69:$E$98,0),1),"")&amp;IFERROR(INDEX(S09_Warlock!$F$69:$F$98,MATCH(Character_Spellcasting!L7,S09_Warlock!$E$69:$E$98,0),1),"")&amp;IFERROR(INDEX(S10_Wizard!$F$69:$F$98,MATCH(Character_Spellcasting!L7,S10_Wizard!$E$69:$E$98,0),1),"")</f>
        <v>Eldritch Knight</v>
      </c>
      <c r="S7" s="1096"/>
      <c r="T7" s="567"/>
      <c r="U7" s="565"/>
      <c r="V7" s="591">
        <v>1</v>
      </c>
      <c r="W7" s="1061" t="str">
        <f>IFERROR(INDEX(S01_Bard!$L$6:$L$35,MATCH(Character_Spellcasting!V7,S01_Bard!$N$69:$N$98,0),1),"")&amp;IFERROR(INDEX(S02_Cleric!$L$6:$L$35,MATCH(Character_Spellcasting!V7,S02_Cleric!$N$69:$N$98,0),1),"")&amp;IFERROR(INDEX(S03_Druid!$L$6:$L$35,MATCH(Character_Spellcasting!V7,S03_Druid!$N$69:$N$98,0),1),"")&amp;IFERROR(INDEX(S04_EldritchKnight!$L$6:$L$35,MATCH(Character_Spellcasting!V7,S04_EldritchKnight!$N$69:$N$98,0),1),"")&amp;IFERROR(INDEX(S05_Paladin!$L$6:$L$35,MATCH(Character_Spellcasting!V7,S05_Paladin!$N$69:$N$98,0),1),"")&amp;IFERROR(INDEX(S06_Ranger!$L$6:$L$35,MATCH(Character_Spellcasting!V7,S06_Ranger!$N$69:$N$988,0),1),"")&amp;IFERROR(INDEX(S07_ArcaneTrickster!$L$6:$L$35,MATCH(Character_Spellcasting!V7,S07_ArcaneTrickster!$N$69:$N$988,0),1),"")&amp;IFERROR(INDEX(S08_Sorcerer!$L$6:$L$35,MATCH(Character_Spellcasting!V7,S08_Sorcerer!$N$69:$N$98,0),1),"")&amp;IFERROR(INDEX(S09_Warlock!$L$6:$L$35,MATCH(Character_Spellcasting!V7,S09_Warlock!$N$69:$N$98,0),1),"")&amp;IFERROR(INDEX(S10_Wizard!$L$6:$L$35,MATCH(Character_Spellcasting!V7,S10_Wizard!$N$69:$N$98,0),1),"")</f>
        <v>Alter Self</v>
      </c>
      <c r="X7" s="1061"/>
      <c r="Y7" s="1061"/>
      <c r="Z7" s="1061"/>
      <c r="AA7" s="1061"/>
      <c r="AB7" s="1096" t="str">
        <f>IFERROR(INDEX(S01_Bard!$O$69:$O$98,MATCH(Character_Spellcasting!V7,S01_Bard!$N$69:$N$98,0),1),"")&amp;IFERROR(INDEX(S02_Cleric!$O$69:$O$98,MATCH(Character_Spellcasting!V7,S02_Cleric!$N$69:$N$98,0),1),"")&amp;IFERROR(INDEX(S03_Druid!$O$69:$O$98,MATCH(Character_Spellcasting!V7,S03_Druid!$N$69:$N$98,0),1),"")&amp;IFERROR(INDEX(S04_EldritchKnight!$O$69:$O$98,MATCH(Character_Spellcasting!V7,S04_EldritchKnight!$N$69:$N$98,0),1),"")&amp;IFERROR(INDEX(S05_Paladin!$O$69:$O$98,MATCH(Character_Spellcasting!V7,S05_Paladin!$N$69:$N$98,0),1),"")&amp;IFERROR(INDEX(S06_Ranger!$O$69:$O$98,MATCH(Character_Spellcasting!V7,S06_Ranger!$N$69:$N$988,0),1),"")&amp;IFERROR(INDEX(S07_ArcaneTrickster!$O$69:$O$98,MATCH(Character_Spellcasting!V7,S07_ArcaneTrickster!$N$69:$N$988,0),1),"")&amp;IFERROR(INDEX(S08_Sorcerer!$O$69:$O$98,MATCH(Character_Spellcasting!V7,S08_Sorcerer!$N$69:$N$98,0),1),"")&amp;IFERROR(INDEX(S09_Warlock!$O$69:$O$98,MATCH(Character_Spellcasting!V7,S09_Warlock!$N$69:$N$98,0),1),"")&amp;IFERROR(INDEX(S10_Wizard!$O$69:$O$98,MATCH(Character_Spellcasting!V7,S10_Wizard!$N$69:$N$98,0),1),"")</f>
        <v>Eldritch Knight</v>
      </c>
      <c r="AC7" s="1098"/>
      <c r="AD7" s="567"/>
      <c r="AE7" s="565"/>
      <c r="AF7" s="609">
        <v>1</v>
      </c>
      <c r="AG7" s="1061" t="str">
        <f>IFERROR(INDEX(S01_Bard!$U$6:$U$35,MATCH(Character_Spellcasting!AF7,S01_Bard!$W$69:$W$98,0),1),"")&amp;IFERROR(INDEX(S02_Cleric!$U$6:$U$35,MATCH(Character_Spellcasting!AF7,S02_Cleric!$W$69:$W$98,0),1),"")&amp;IFERROR(INDEX(S03_Druid!$U$6:$U$35,MATCH(Character_Spellcasting!AF7,S03_Druid!$W$69:$W$98,0),1),"")&amp;IFERROR(INDEX(S04_EldritchKnight!$U$6:$U$35,MATCH(Character_Spellcasting!AF7,S04_EldritchKnight!$W$69:$W$98,0),1),"")&amp;IFERROR(INDEX(S05_Paladin!$U$6:$U$35,MATCH(Character_Spellcasting!AF7,S05_Paladin!$W$69:$W$98,0),1),"")&amp;IFERROR(INDEX(S06_Ranger!$U$6:$U$35,MATCH(Character_Spellcasting!AF7,S06_Ranger!$W$69:$W$988,0),1),"")&amp;IFERROR(INDEX(S07_ArcaneTrickster!$U$6:$U$35,MATCH(Character_Spellcasting!AF7,S07_ArcaneTrickster!$W$69:$W$988,0),1),"")&amp;IFERROR(INDEX(S08_Sorcerer!$U$6:$U$35,MATCH(Character_Spellcasting!AF7,S08_Sorcerer!$W$69:$W$98,0),1),"")&amp;IFERROR(INDEX(S09_Warlock!$U$6:$U$35,MATCH(Character_Spellcasting!AF7,S09_Warlock!$W$69:$W$98,0),1),"")&amp;IFERROR(INDEX(S10_Wizard!$U$6:$U$35,MATCH(Character_Spellcasting!AF7,S10_Wizard!$W$69:$W$98,0),1),"")</f>
        <v>Fly</v>
      </c>
      <c r="AH7" s="1061"/>
      <c r="AI7" s="1061"/>
      <c r="AJ7" s="1061"/>
      <c r="AK7" s="1061"/>
      <c r="AL7" s="1096" t="str">
        <f>IFERROR(INDEX(S01_Bard!$X$69:$X$98,MATCH(Character_Spellcasting!AF7,S01_Bard!$W$69:$W$98,0),1),"")&amp;IFERROR(INDEX(S02_Cleric!$X$69:$X$98,MATCH(Character_Spellcasting!AF7,S02_Cleric!$W$69:$W$98,0),1),"")&amp;IFERROR(INDEX(S03_Druid!$X$69:$X$98,MATCH(Character_Spellcasting!AF7,S03_Druid!$W$69:$W$98,0),1),"")&amp;IFERROR(INDEX(S04_EldritchKnight!$X$69:$X$98,MATCH(Character_Spellcasting!AF7,S04_EldritchKnight!$W$69:$W$98,0),1),"")&amp;IFERROR(INDEX(S05_Paladin!$X$69:$X$98,MATCH(Character_Spellcasting!AF7,S05_Paladin!$W$69:$W$98,0),1),"")&amp;IFERROR(INDEX(S06_Ranger!$X$69:$X$98,MATCH(Character_Spellcasting!AF7,S06_Ranger!$W$69:$W$988,0),1),"")&amp;IFERROR(INDEX(S07_ArcaneTrickster!$X$69:$X$98,MATCH(Character_Spellcasting!AF7,S07_ArcaneTrickster!$W$69:$W$988,0),1),"")&amp;IFERROR(INDEX(S08_Sorcerer!$X$69:$X$98,MATCH(Character_Spellcasting!AF7,S08_Sorcerer!$W$69:$W$98,0),1),"")&amp;IFERROR(INDEX(S09_Warlock!$X$69:$X$98,MATCH(Character_Spellcasting!AF7,S09_Warlock!$W$69:$W$98,0),1),"")&amp;IFERROR(INDEX(S10_Wizard!$X$69:$X$98,MATCH(Character_Spellcasting!AF7,S10_Wizard!$W$69:$W$98,0),1),"")</f>
        <v>Wizard</v>
      </c>
      <c r="AM7" s="1098"/>
      <c r="AN7" s="567"/>
      <c r="AO7" s="565"/>
      <c r="AP7" s="591">
        <v>1</v>
      </c>
      <c r="AQ7" s="1061" t="str">
        <f>IFERROR(INDEX(S01_Bard!$AD$6:$AD$35,MATCH(Character_Spellcasting!AP7,S01_Bard!$AF$69:$AF$98,0),1),"")&amp;IFERROR(INDEX(S02_Cleric!$AD$6:$AD$35,MATCH(Character_Spellcasting!AP7,S02_Cleric!$AF$69:$AF$98,0),1),"")&amp;IFERROR(INDEX(S03_Druid!$AD$6:$AD$35,MATCH(Character_Spellcasting!AP7,S03_Druid!$AF$69:$AF$98,0),1),"")&amp;IFERROR(INDEX(S04_EldritchKnight!$AD$6:$AD$35,MATCH(Character_Spellcasting!AP7,S04_EldritchKnight!$AF$69:$AF$98,0),1),"")&amp;IFERROR(INDEX(S05_Paladin!$AD$6:$AD$35,MATCH(Character_Spellcasting!AP7,S05_Paladin!$AF$69:$AF$98,0),1),"")&amp;IFERROR(INDEX(S06_Ranger!$AD$6:$AD$35,MATCH(Character_Spellcasting!AP7,S06_Ranger!$AF$69:$AF$988,0),1),"")&amp;IFERROR(INDEX(S07_ArcaneTrickster!$AD$6:$AD$35,MATCH(Character_Spellcasting!AP7,S07_ArcaneTrickster!$AF$69:$AF$988,0),1),"")&amp;IFERROR(INDEX(S08_Sorcerer!$AD$6:$AD$35,MATCH(Character_Spellcasting!AP7,S08_Sorcerer!$AF$69:$AF$98,0),1),"")&amp;IFERROR(INDEX(S09_Warlock!$AD$6:$AD$35,MATCH(Character_Spellcasting!AP7,S09_Warlock!$AF$69:$AF$98,0),1),"")&amp;IFERROR(INDEX(S10_Wizard!$AD$6:$AD$35,MATCH(Character_Spellcasting!AP7,S10_Wizard!$AF$69:$AF$98,0),1),"")</f>
        <v/>
      </c>
      <c r="AR7" s="1061"/>
      <c r="AS7" s="1061"/>
      <c r="AT7" s="1061"/>
      <c r="AU7" s="1061"/>
      <c r="AV7" s="1096" t="str">
        <f>IFERROR(INDEX(S01_Bard!$AG$69:$AG$98,MATCH(Character_Spellcasting!AP7,S01_Bard!$D$69:$D$98,0),1),"")&amp;IFERROR(INDEX(S02_Cleric!$AG$69:$AG$98,MATCH(Character_Spellcasting!AP7,S02_Cleric!$AF$69:$AF$98,0),1),"")&amp;IFERROR(INDEX(S03_Druid!$AG$69:$AG$98,MATCH(Character_Spellcasting!AP7,S03_Druid!$AF$69:$AF$98,0),1),"")&amp;IFERROR(INDEX(S04_EldritchKnight!$AG$69:$AG$98,MATCH(Character_Spellcasting!AP7,S04_EldritchKnight!$AF$69:$AF$98,0),1),"")&amp;IFERROR(INDEX(S05_Paladin!$AG$69:$AG$98,MATCH(Character_Spellcasting!AP7,S05_Paladin!$AF$69:$AF$98,0),1),"")&amp;IFERROR(INDEX(S06_Ranger!$AG$69:$AG$98,MATCH(Character_Spellcasting!AP7,S06_Ranger!$AF$69:$AF$988,0),1),"")&amp;IFERROR(INDEX(S07_ArcaneTrickster!$AG$69:$AG$98,MATCH(Character_Spellcasting!AP7,S07_ArcaneTrickster!$AF$69:$AF$988,0),1),"")&amp;IFERROR(INDEX(S08_Sorcerer!$AG$69:$AG$98,MATCH(Character_Spellcasting!AP7,S08_Sorcerer!$AF$69:$AF$98,0),1),"")&amp;IFERROR(INDEX(S09_Warlock!$AG$69:$AG$98,MATCH(Character_Spellcasting!AP7,S09_Warlock!$AF$69:$AF$98,0),1),"")&amp;IFERROR(INDEX(S10_Wizard!$AG$69:$AG$98,MATCH(Character_Spellcasting!AP7,S10_Wizard!$AF$69:$AF$98,0),1),"")</f>
        <v/>
      </c>
      <c r="AW7" s="1096"/>
      <c r="AX7" s="567"/>
      <c r="AY7" s="565"/>
      <c r="AZ7" s="591">
        <v>1</v>
      </c>
      <c r="BA7" s="1061" t="str">
        <f>IFERROR(INDEX(S01_Bard!$AM$6:$AM$35,MATCH(Character_Spellcasting!AZ7,S01_Bard!$AO$69:$AO$98,0),1),"")&amp;IFERROR(INDEX(S02_Cleric!$AM$6:$AM$35,MATCH(Character_Spellcasting!AZ7,S02_Cleric!$AO$69:$AO$98,0),1),"")&amp;IFERROR(INDEX(S03_Druid!$AM$6:$AM$35,MATCH(Character_Spellcasting!AZ7,S03_Druid!$AO$69:$AO$98,0),1),"")&amp;IFERROR(INDEX(S04_EldritchKnight!$AM$6:$AM$35,MATCH(Character_Spellcasting!AZ7,S04_EldritchKnight!$AO$69:$AO$98,0),1),"")&amp;IFERROR(INDEX(S05_Paladin!$AM$6:$AM$35,MATCH(Character_Spellcasting!AZ7,S05_Paladin!$AO$69:$AO$98,0),1),"")&amp;IFERROR(INDEX(S06_Ranger!$AM$6:$AM$35,MATCH(Character_Spellcasting!AZ7,S06_Ranger!$AO$69:$AO$988,0),1),"")&amp;IFERROR(INDEX(S07_ArcaneTrickster!$AM$6:$AM$35,MATCH(Character_Spellcasting!AZ7,S07_ArcaneTrickster!$AO$69:$AO$988,0),1),"")&amp;IFERROR(INDEX(S08_Sorcerer!$AM$6:$AM$35,MATCH(Character_Spellcasting!AZ7,S08_Sorcerer!$AO$69:$AO$98,0),1),"")&amp;IFERROR(INDEX(S09_Warlock!$AM$6:$AM$35,MATCH(Character_Spellcasting!AZ7,S09_Warlock!$AO$69:$AO$98,0),1),"")&amp;IFERROR(INDEX(S10_Wizard!$AM$6:$AM$35,MATCH(Character_Spellcasting!AZ7,S10_Wizard!$AO$69:$AO$98,0),1),"")</f>
        <v/>
      </c>
      <c r="BB7" s="1061"/>
      <c r="BC7" s="1061"/>
      <c r="BD7" s="1061"/>
      <c r="BE7" s="1061"/>
      <c r="BF7" s="1096" t="str">
        <f>IFERROR(INDEX(S01_Bard!$AP$69:$AP$98,MATCH(Character_Spellcasting!AZ7,S01_Bard!$D$69:$D$98,0),1),"")&amp;IFERROR(INDEX(S02_Cleric!$AP$69:$AP$98,MATCH(Character_Spellcasting!AZ7,S02_Cleric!$AO$69:$AO$98,0),1),"")&amp;IFERROR(INDEX(S03_Druid!$AP$69:$AP$98,MATCH(Character_Spellcasting!AZ7,S03_Druid!$AO$69:$AO$98,0),1),"")&amp;IFERROR(INDEX(S04_EldritchKnight!$AP$69:$AP$98,MATCH(Character_Spellcasting!AZ7,S04_EldritchKnight!$AO$69:$AO$98,0),1),"")&amp;IFERROR(INDEX(S05_Paladin!$AP$69:$AP$98,MATCH(Character_Spellcasting!AZ7,S05_Paladin!$AO$69:$AO$98,0),1),"")&amp;IFERROR(INDEX(S06_Ranger!$AP$69:$AP$98,MATCH(Character_Spellcasting!AZ7,S06_Ranger!$AO$69:$AO$988,0),1),"")&amp;IFERROR(INDEX(S07_ArcaneTrickster!$AP$69:$AP$98,MATCH(Character_Spellcasting!AZ7,S07_ArcaneTrickster!$AO$69:$AO$988,0),1),"")&amp;IFERROR(INDEX(S08_Sorcerer!$AP$69:$AP$98,MATCH(Character_Spellcasting!AZ7,S08_Sorcerer!$AO$69:$AO$98,0),1),"")&amp;IFERROR(INDEX(S09_Warlock!$AP$69:$AP$98,MATCH(Character_Spellcasting!AZ7,S09_Warlock!$AO$69:$AO$98,0),1),"")&amp;IFERROR(INDEX(S10_Wizard!$AP$69:$AP$98,MATCH(Character_Spellcasting!AZ7,S10_Wizard!$AO$69:$AO$98,0),1),"")</f>
        <v/>
      </c>
      <c r="BG7" s="1096"/>
      <c r="BH7" s="567"/>
      <c r="BI7" s="120"/>
      <c r="BJ7" s="591">
        <v>1</v>
      </c>
      <c r="BK7" s="1061" t="str">
        <f>IFERROR(INDEX(S01_Bard!$AV$6:$AV$35,MATCH(Character_Spellcasting!BJ7,S01_Bard!$AX$69:$AX$98,0),1),"")&amp;IFERROR(INDEX(S02_Cleric!$AV$6:$AV$35,MATCH(Character_Spellcasting!BJ7,S02_Cleric!$AX$69:$AX$98,0),1),"")&amp;IFERROR(INDEX(S03_Druid!$AV$6:$AV$35,MATCH(Character_Spellcasting!BJ7,S03_Druid!$AX$69:$AX$98,0),1),"")&amp;IFERROR(INDEX(S04_EldritchKnight!$AV$6:$AV$35,MATCH(Character_Spellcasting!BJ7,S04_EldritchKnight!$AX$69:$AX$98,0),1),"")&amp;IFERROR(INDEX(S05_Paladin!$AV$6:$AV$35,MATCH(Character_Spellcasting!BJ7,S05_Paladin!$AX$69:$AX$98,0),1),"")&amp;IFERROR(INDEX(S06_Ranger!$AV$6:$AV$35,MATCH(Character_Spellcasting!BJ7,S06_Ranger!$AX$69:$AX$988,0),1),"")&amp;IFERROR(INDEX(S07_ArcaneTrickster!$AV$6:$AV$35,MATCH(Character_Spellcasting!BJ7,S07_ArcaneTrickster!$AX$69:$AX$988,0),1),"")&amp;IFERROR(INDEX(S08_Sorcerer!$AV$6:$AV$35,MATCH(Character_Spellcasting!BJ7,S08_Sorcerer!$AX$69:$AX$98,0),1),"")&amp;IFERROR(INDEX(S09_Warlock!$AV$6:$AV$35,MATCH(Character_Spellcasting!BJ7,S09_Warlock!$AX$69:$AX$98,0),1),"")&amp;IFERROR(INDEX(S10_Wizard!$AV$6:$AV$35,MATCH(Character_Spellcasting!BJ7,S10_Wizard!$AX$69:$AX$98,0),1),"")</f>
        <v/>
      </c>
      <c r="BL7" s="1061"/>
      <c r="BM7" s="1061"/>
      <c r="BN7" s="1061"/>
      <c r="BO7" s="1061"/>
      <c r="BP7" s="1096" t="str">
        <f>IFERROR(INDEX(S01_Bard!$AY$69:$AY$98,MATCH(Character_Spellcasting!BJ7,S01_Bard!$D$69:$D$98,0),1),"")&amp;IFERROR(INDEX(S02_Cleric!$AY$69:$AY$98,MATCH(Character_Spellcasting!BJ7,S02_Cleric!$AX$69:$AX$98,0),1),"")&amp;IFERROR(INDEX(S03_Druid!$AY$69:$AY$98,MATCH(Character_Spellcasting!BJ7,S03_Druid!$AX$69:$AX$98,0),1),"")&amp;IFERROR(INDEX(S04_EldritchKnight!$AY$69:$AY$98,MATCH(Character_Spellcasting!BJ7,S04_EldritchKnight!$AX$69:$AX$98,0),1),"")&amp;IFERROR(INDEX(S05_Paladin!$AY$69:$AY$98,MATCH(Character_Spellcasting!BJ7,S05_Paladin!$AX$69:$AX$98,0),1),"")&amp;IFERROR(INDEX(S06_Ranger!$AY$69:$AY$98,MATCH(Character_Spellcasting!BJ7,S06_Ranger!$AX$69:$AX$988,0),1),"")&amp;IFERROR(INDEX(S07_ArcaneTrickster!$AY$69:$AY$98,MATCH(Character_Spellcasting!BJ7,S07_ArcaneTrickster!$AX$69:$AX$988,0),1),"")&amp;IFERROR(INDEX(S08_Sorcerer!$AY$69:$AY$98,MATCH(Character_Spellcasting!BJ7,S08_Sorcerer!$AX$69:$AX$98,0),1),"")&amp;IFERROR(INDEX(S09_Warlock!$AY$69:$AY$98,MATCH(Character_Spellcasting!BJ7,S09_Warlock!$AX$69:$AX$98,0),1),"")&amp;IFERROR(INDEX(S10_Wizard!$AY$69:$AY$98,MATCH(Character_Spellcasting!BJ7,S10_Wizard!$AX$69:$AX$98,0),1),"")</f>
        <v/>
      </c>
      <c r="BQ7" s="1096"/>
      <c r="BR7" s="567"/>
      <c r="BS7" s="120"/>
      <c r="BT7" s="591">
        <v>1</v>
      </c>
      <c r="BU7" s="1061" t="str">
        <f>IFERROR(INDEX(S01_Bard!$BE$6:$BE$35,MATCH(Character_Spellcasting!BT7,S01_Bard!$BG$69:$BG$98,0),1),"")&amp;IFERROR(INDEX(S02_Cleric!$BE$6:$BE$35,MATCH(Character_Spellcasting!BT7,S02_Cleric!$BG$69:$BG$98,0),1),"")&amp;IFERROR(INDEX(S03_Druid!$BE$6:$BE$35,MATCH(Character_Spellcasting!BT7,S03_Druid!$BG$69:$BG$98,0),1),"")&amp;IFERROR(INDEX(S04_EldritchKnight!$BE$6:$BE$35,MATCH(Character_Spellcasting!BT7,S04_EldritchKnight!$BG$69:$BG$98,0),1),"")&amp;IFERROR(INDEX(S05_Paladin!$BE$6:$BE$35,MATCH(Character_Spellcasting!BT7,S05_Paladin!$BG$69:$BG$98,0),1),"")&amp;IFERROR(INDEX(S06_Ranger!$BE$6:$BE$35,MATCH(Character_Spellcasting!BT7,S06_Ranger!$BG$69:$BG$988,0),1),"")&amp;IFERROR(INDEX(S07_ArcaneTrickster!$BE$6:$BE$35,MATCH(Character_Spellcasting!BT7,S07_ArcaneTrickster!$BG$69:$BG$988,0),1),"")&amp;IFERROR(INDEX(S08_Sorcerer!$BE$6:$BE$35,MATCH(Character_Spellcasting!BT7,S08_Sorcerer!$BG$69:$BG$98,0),1),"")&amp;IFERROR(INDEX(S09_Warlock!$BE$6:$BE$35,MATCH(Character_Spellcasting!BT7,S09_Warlock!$BG$69:$BG$98,0),1),"")&amp;IFERROR(INDEX(S10_Wizard!$BE$6:$BE$35,MATCH(Character_Spellcasting!BT7,S10_Wizard!$BG$69:$BG$98,0),1),"")</f>
        <v/>
      </c>
      <c r="BV7" s="1061"/>
      <c r="BW7" s="1061"/>
      <c r="BX7" s="1061"/>
      <c r="BY7" s="1061"/>
      <c r="BZ7" s="1096" t="str">
        <f>IFERROR(INDEX(S01_Bard!$BH$69:$BH$98,MATCH(Character_Spellcasting!BT7,S01_Bard!$D$69:$D$98,0),1),"")&amp;IFERROR(INDEX(S02_Cleric!$BH$69:$BH$98,MATCH(Character_Spellcasting!BT7,S02_Cleric!$BG$69:$BG$98,0),1),"")&amp;IFERROR(INDEX(S03_Druid!$BH$69:$BH$98,MATCH(Character_Spellcasting!BT7,S03_Druid!$BG$69:$BG$98,0),1),"")&amp;IFERROR(INDEX(S04_EldritchKnight!$BH$69:$BH$98,MATCH(Character_Spellcasting!BT7,S04_EldritchKnight!$BG$69:$BG$98,0),1),"")&amp;IFERROR(INDEX(S05_Paladin!$BH$69:$BH$98,MATCH(Character_Spellcasting!BT7,S05_Paladin!$BG$69:$BG$98,0),1),"")&amp;IFERROR(INDEX(S06_Ranger!$BH$69:$BH$98,MATCH(Character_Spellcasting!BT7,S06_Ranger!$BG$69:$BG$988,0),1),"")&amp;IFERROR(INDEX(S07_ArcaneTrickster!$BH$69:$BH$98,MATCH(Character_Spellcasting!BT7,S07_ArcaneTrickster!$BG$69:$BG$988,0),1),"")&amp;IFERROR(INDEX(S08_Sorcerer!$BH$69:$BH$98,MATCH(Character_Spellcasting!BT7,S08_Sorcerer!$BG$69:$BG$98,0),1),"")&amp;IFERROR(INDEX(S09_Warlock!$BH$69:$BH$98,MATCH(Character_Spellcasting!BT7,S09_Warlock!$BG$69:$BG$98,0),1),"")&amp;IFERROR(INDEX(S10_Wizard!$BH$69:$BH$98,MATCH(Character_Spellcasting!BT7,S10_Wizard!$BG$69:$BG$98,0),1),"")</f>
        <v/>
      </c>
      <c r="CA7" s="1096"/>
      <c r="CB7" s="567"/>
      <c r="CC7" s="120"/>
      <c r="CD7" s="591">
        <v>1</v>
      </c>
      <c r="CE7" s="1061" t="str">
        <f>IFERROR(INDEX(S01_Bard!$BN$6:$BN$35,MATCH(Character_Spellcasting!CD7,S01_Bard!$BP$69:$BP$98,0),1),"")&amp;IFERROR(INDEX(S02_Cleric!$BN$6:$BN$35,MATCH(Character_Spellcasting!CD7,S02_Cleric!$BP$69:$BP$98,0),1),"")&amp;IFERROR(INDEX(S03_Druid!$BN$6:$BN$35,MATCH(Character_Spellcasting!CD7,S03_Druid!$BP$69:$BP$98,0),1),"")&amp;IFERROR(INDEX(S04_EldritchKnight!$BN$6:$BN$35,MATCH(Character_Spellcasting!CD7,S04_EldritchKnight!$BP$69:$BP$98,0),1),"")&amp;IFERROR(INDEX(S05_Paladin!$BN$6:$BN$35,MATCH(Character_Spellcasting!CD7,S05_Paladin!$BP$69:$BP$98,0),1),"")&amp;IFERROR(INDEX(S06_Ranger!$BN$6:$BN$35,MATCH(Character_Spellcasting!CD7,S06_Ranger!$BP$69:$BP$988,0),1),"")&amp;IFERROR(INDEX(S07_ArcaneTrickster!$BN$6:$BN$35,MATCH(Character_Spellcasting!CD7,S07_ArcaneTrickster!$BP$69:$BP$988,0),1),"")&amp;IFERROR(INDEX(S08_Sorcerer!$BN$6:$BN$35,MATCH(Character_Spellcasting!CD7,S08_Sorcerer!$BP$69:$BP$98,0),1),"")&amp;IFERROR(INDEX(S09_Warlock!$BN$6:$BN$35,MATCH(Character_Spellcasting!CD7,S09_Warlock!$BP$69:$BP$98,0),1),"")&amp;IFERROR(INDEX(S10_Wizard!$BN$6:$BN$35,MATCH(Character_Spellcasting!CD7,S10_Wizard!$BP$69:$BP$98,0),1),"")</f>
        <v/>
      </c>
      <c r="CF7" s="1061"/>
      <c r="CG7" s="1061"/>
      <c r="CH7" s="1061"/>
      <c r="CI7" s="1061"/>
      <c r="CJ7" s="1096" t="str">
        <f>IFERROR(INDEX(S01_Bard!$BQ$69:$BQ$98,MATCH(Character_Spellcasting!CD7,S01_Bard!$D$69:$D$98,0),1),"")&amp;IFERROR(INDEX(S02_Cleric!$BQ$69:$BQ$98,MATCH(Character_Spellcasting!CD7,S02_Cleric!$BP$69:$BP$98,0),1),"")&amp;IFERROR(INDEX(S03_Druid!$BQ$69:$BQ$98,MATCH(Character_Spellcasting!CD7,S03_Druid!$BP$69:$BP$98,0),1),"")&amp;IFERROR(INDEX(S04_EldritchKnight!$BQ$69:$BQ$98,MATCH(Character_Spellcasting!CD7,S04_EldritchKnight!$BP$69:$BP$98,0),1),"")&amp;IFERROR(INDEX(S05_Paladin!$BQ$69:$BQ$98,MATCH(Character_Spellcasting!CD7,S05_Paladin!$BP$69:$BP$98,0),1),"")&amp;IFERROR(INDEX(S06_Ranger!$BQ$69:$BQ$98,MATCH(Character_Spellcasting!CD7,S06_Ranger!$BP$69:$BP$988,0),1),"")&amp;IFERROR(INDEX(S07_ArcaneTrickster!$BQ$69:$BQ$98,MATCH(Character_Spellcasting!CD7,S07_ArcaneTrickster!$BP$69:$BP$988,0),1),"")&amp;IFERROR(INDEX(S08_Sorcerer!$BQ$69:$BQ$98,MATCH(Character_Spellcasting!CD7,S08_Sorcerer!$BP$69:$BP$98,0),1),"")&amp;IFERROR(INDEX(S09_Warlock!$BQ$69:$BQ$98,MATCH(Character_Spellcasting!CD7,S09_Warlock!$BP$69:$BP$98,0),1),"")&amp;IFERROR(INDEX(S10_Wizard!$BQ$69:$BQ$98,MATCH(Character_Spellcasting!CD7,S10_Wizard!$BP$69:$BP$98,0),1),"")</f>
        <v/>
      </c>
      <c r="CK7" s="1096"/>
      <c r="CL7" s="567"/>
      <c r="CM7" s="120"/>
      <c r="CN7" s="591">
        <v>1</v>
      </c>
      <c r="CO7" s="1061" t="str">
        <f>IFERROR(INDEX(S01_Bard!$BW$6:$BW$35,MATCH(Character_Spellcasting!CN7,S01_Bard!$BY$69:$BY$98,0),1),"")&amp;IFERROR(INDEX(S02_Cleric!$BW$6:$BW$35,MATCH(Character_Spellcasting!CN7,S02_Cleric!$BY$69:$BY$98,0),1),"")&amp;IFERROR(INDEX(S03_Druid!$BW$6:$BW$35,MATCH(Character_Spellcasting!CN7,S03_Druid!$BY$69:$BY$98,0),1),"")&amp;IFERROR(INDEX(S04_EldritchKnight!$BW$6:$BW$35,MATCH(Character_Spellcasting!CN7,S04_EldritchKnight!$BY$69:$BY$98,0),1),"")&amp;IFERROR(INDEX(S05_Paladin!$BW$6:$BW$35,MATCH(Character_Spellcasting!CN7,S05_Paladin!$BY$69:$BY$98,0),1),"")&amp;IFERROR(INDEX(S06_Ranger!$BW$6:$BW$35,MATCH(Character_Spellcasting!CN7,S06_Ranger!$BY$69:$BY$988,0),1),"")&amp;IFERROR(INDEX(S07_ArcaneTrickster!$BW$6:$BW$35,MATCH(Character_Spellcasting!CN7,S07_ArcaneTrickster!$BY$69:$BY$988,0),1),"")&amp;IFERROR(INDEX(S08_Sorcerer!$BW$6:$BW$35,MATCH(Character_Spellcasting!CN7,S08_Sorcerer!$BY$69:$BY$98,0),1),"")&amp;IFERROR(INDEX(S09_Warlock!$BW$6:$BW$35,MATCH(Character_Spellcasting!CN7,S09_Warlock!$BY$69:$BY$98,0),1),"")&amp;IFERROR(INDEX(S10_Wizard!$BW$6:$BW$35,MATCH(Character_Spellcasting!CN7,S10_Wizard!$BY$69:$BY$98,0),1),"")</f>
        <v/>
      </c>
      <c r="CP7" s="1061"/>
      <c r="CQ7" s="1061"/>
      <c r="CR7" s="1061"/>
      <c r="CS7" s="1061"/>
      <c r="CT7" s="1096" t="str">
        <f>IFERROR(INDEX(S01_Bard!$BZ$69:$BZ$98,MATCH(Character_Spellcasting!CN7,S01_Bard!$D$69:$D$98,0),1),"")&amp;IFERROR(INDEX(S02_Cleric!$BZ$69:$BZ$98,MATCH(Character_Spellcasting!CN7,S02_Cleric!$BY$69:$BY$98,0),1),"")&amp;IFERROR(INDEX(S03_Druid!$BZ$69:$BZ$98,MATCH(Character_Spellcasting!CN7,S03_Druid!$BY$69:$BY$98,0),1),"")&amp;IFERROR(INDEX(S04_EldritchKnight!$BZ$69:$BZ$98,MATCH(Character_Spellcasting!CN7,S04_EldritchKnight!$BY$69:$BY$98,0),1),"")&amp;IFERROR(INDEX(S05_Paladin!$BZ$69:$BZ$98,MATCH(Character_Spellcasting!CN7,S05_Paladin!$BY$69:$BY$98,0),1),"")&amp;IFERROR(INDEX(S06_Ranger!$BZ$69:$BZ$98,MATCH(Character_Spellcasting!CN7,S06_Ranger!$BY$69:$BY$988,0),1),"")&amp;IFERROR(INDEX(S07_ArcaneTrickster!$BZ$69:$BZ$98,MATCH(Character_Spellcasting!CN7,S07_ArcaneTrickster!$BY$69:$BY$988,0),1),"")&amp;IFERROR(INDEX(S08_Sorcerer!$BZ$69:$BZ$98,MATCH(Character_Spellcasting!CN7,S08_Sorcerer!$BY$69:$BY$98,0),1),"")&amp;IFERROR(INDEX(S09_Warlock!$BZ$69:$BZ$98,MATCH(Character_Spellcasting!CN7,S09_Warlock!$BY$69:$BY$98,0),1),"")&amp;IFERROR(INDEX(S10_Wizard!$BZ$69:$BZ$98,MATCH(Character_Spellcasting!CN7,S10_Wizard!$BY$69:$BY$98,0),1),"")</f>
        <v/>
      </c>
      <c r="CU7" s="1096"/>
      <c r="CV7" s="567"/>
      <c r="CW7" s="565"/>
      <c r="CX7" s="565"/>
      <c r="CY7" s="565"/>
      <c r="CZ7" s="565"/>
      <c r="DA7" s="610">
        <v>1</v>
      </c>
      <c r="DB7" s="1061" t="str">
        <f t="shared" ref="DB7:DB38" si="0">IFERROR(INDEX($C$7:$C$46,MATCH(DA7,$E$48:$E$87,0),1),"")&amp;
IFERROR(INDEX($M$7:$M$46,MATCH(DA7,$O$48:$O$87,0),1),"")&amp;
IFERROR(INDEX($W$7:$W$46,MATCH(DA7,$Y$48:$Y$87,0),1),"")&amp;
IFERROR(INDEX($AG$7:$AG$46,MATCH(DA7,$AI$48:$AI$87,0),1),"")&amp;
IFERROR(INDEX($AQ$7:$AQ$46,MATCH(DA7,$AS$48:$AS$87,0),1),"")&amp;
IFERROR(INDEX($BA$7:$BA$46,MATCH(DA7,$BC$48:$BC$87,0),1),"")&amp;
IFERROR(INDEX($BK$7:$BK$46,MATCH(DA7,$BM$48:$BM$87,0),1),"")&amp;
IFERROR(INDEX($BU$7:$BU$46,MATCH(DA7,$BW$48:$BW$87,0),1),"")&amp;
IFERROR(INDEX($CE$7:$CE$46,MATCH(DA7,$CG$48:$CG$87,0),1),"")&amp;
IFERROR(INDEX($CO$7:$CO$46,MATCH(DA7,$CQ$48:$CQ$87,0),1),"")&amp;
IFERROR(INDEX($B$89:$B$98,MATCH(DA7,$C$89:$C$98,0),1),"")</f>
        <v>1 level</v>
      </c>
      <c r="DC7" s="1061"/>
      <c r="DD7" s="1061"/>
      <c r="DE7" s="1061"/>
      <c r="DF7" s="1061"/>
      <c r="DG7" s="1096" t="str">
        <f t="shared" ref="DG7:DG38" si="1">IFERROR(INDEX($H$7:$H$46,MATCH(DA7,$E$48:$E$87,0),1),"")&amp;
IFERROR(INDEX($R$7:$R$46,MATCH(DA7,$O$48:$O$87,0),1),"")&amp;
IFERROR(INDEX($AB$7:$AB$46,MATCH(DA7,$Y$48:$Y$87,0),1),"")&amp;
IFERROR(INDEX($AL$7:$AL$46,MATCH(DA7,$AI$48:$AI$87,0),1),"")&amp;
IFERROR(INDEX($AV$7:$AV$46,MATCH(DA7,$AS$48:$AS$87,0),1),"")&amp;
IFERROR(INDEX($BF$7:$BF$46,MATCH(DA7,$BC$48:$BC$87,0),1),"")&amp;
IFERROR(INDEX($BP$7:$BP$46,MATCH(DA7,$BM$48:$BM$87,0),1),"")&amp;
IFERROR(INDEX($BZ$7:$BZ$46,MATCH(DA7,$BW$48:$BW$87,0),1),"")&amp;
IFERROR(INDEX($CJ$7:$CJ$46,MATCH(DA7,$CG$48:$CG$87,0),1),"")&amp;
IFERROR(INDEX($CT$7:$CT$46,MATCH(DA7,$CQ$48:$CQ$87,0),1),"")</f>
        <v/>
      </c>
      <c r="DH7" s="1096"/>
      <c r="DI7" s="565"/>
      <c r="DJ7" s="565"/>
      <c r="DK7" s="565"/>
      <c r="DL7" s="565"/>
      <c r="DM7" s="565"/>
      <c r="DN7" s="565"/>
      <c r="DO7" s="565"/>
      <c r="DP7" s="565"/>
      <c r="DQ7" s="565"/>
      <c r="DR7" s="565"/>
      <c r="DS7" s="565"/>
      <c r="DT7" s="565"/>
      <c r="DU7" s="565"/>
      <c r="DV7" s="565"/>
    </row>
    <row r="8" spans="1:126" ht="21" x14ac:dyDescent="0.25">
      <c r="A8" s="120"/>
      <c r="B8" s="610">
        <v>2</v>
      </c>
      <c r="C8" s="1061"/>
      <c r="D8" s="1061"/>
      <c r="E8" s="1061"/>
      <c r="F8" s="1061"/>
      <c r="G8" s="1061"/>
      <c r="H8" s="1096"/>
      <c r="I8" s="1096"/>
      <c r="J8" s="120"/>
      <c r="K8" s="120"/>
      <c r="L8" s="591">
        <v>2</v>
      </c>
      <c r="M8" s="1061" t="str">
        <f>IFERROR(INDEX(S01_Bard!$C$6:$C$35,MATCH(Character_Spellcasting!L8,S01_Bard!$E$69:$E$98,0),1),"")&amp;IFERROR(INDEX(S02_Cleric!$C$6:$C$35,MATCH(Character_Spellcasting!L8,S02_Cleric!$E$69:$E$98,0),1),"")&amp;IFERROR(INDEX(S03_Druid!$C$6:$C$35,MATCH(Character_Spellcasting!L8,S03_Druid!$E$69:$E$98,0),1),"")&amp;IFERROR(INDEX(S04_EldritchKnight!$C$6:$C$35,MATCH(Character_Spellcasting!L8,S04_EldritchKnight!$E$69:$E$98,0),1),"")&amp;IFERROR(INDEX(S05_Paladin!$C$6:$C$35,MATCH(Character_Spellcasting!L8,S05_Paladin!$E$69:$E$98,0),1),"")&amp;IFERROR(INDEX(S06_Ranger!$C$6:$C$35,MATCH(Character_Spellcasting!L8,S06_Ranger!$E$69:$E$988,0),1),"")&amp;IFERROR(INDEX(S07_ArcaneTrickster!$C$6:$C$35,MATCH(Character_Spellcasting!L8,S07_ArcaneTrickster!$E$69:$E$988,0),1),"")&amp;IFERROR(INDEX(S08_Sorcerer!$C$6:$C$35,MATCH(Character_Spellcasting!L8,S08_Sorcerer!$E$69:$E$98,0),1),"")&amp;IFERROR(INDEX(S09_Warlock!$C$6:$C$35,MATCH(Character_Spellcasting!L8,S09_Warlock!$E$69:$E$98,0),1),"")&amp;IFERROR(INDEX(S10_Wizard!$C$6:$C$35,MATCH(Character_Spellcasting!L8,S10_Wizard!$E$69:$E$98,0),1),"")</f>
        <v>Shield</v>
      </c>
      <c r="N8" s="1061"/>
      <c r="O8" s="1061"/>
      <c r="P8" s="1061"/>
      <c r="Q8" s="1061"/>
      <c r="R8" s="1096" t="str">
        <f>IFERROR(INDEX(S01_Bard!$F$69:$F$98,MATCH(Character_Spellcasting!L8,S01_Bard!$D$69:$D$98,0),1),"")&amp;IFERROR(INDEX(S02_Cleric!$F$69:$F$98,MATCH(Character_Spellcasting!L8,S02_Cleric!$E$69:$E$98,0),1),"")&amp;IFERROR(INDEX(S03_Druid!$F$69:$F$98,MATCH(Character_Spellcasting!L8,S03_Druid!$E$69:$E$98,0),1),"")&amp;IFERROR(INDEX(S04_EldritchKnight!$F$69:$F$98,MATCH(Character_Spellcasting!L8,S04_EldritchKnight!$E$69:$E$98,0),1),"")&amp;IFERROR(INDEX(S05_Paladin!$F$69:$F$98,MATCH(Character_Spellcasting!L8,S05_Paladin!$E$69:$E$98,0),1),"")&amp;IFERROR(INDEX(S06_Ranger!$F$69:$F$98,MATCH(Character_Spellcasting!L8,S06_Ranger!$E$69:$E$988,0),1),"")&amp;IFERROR(INDEX(S07_ArcaneTrickster!$F$69:$F$98,MATCH(Character_Spellcasting!L8,S07_ArcaneTrickster!$E$69:$E$988,0),1),"")&amp;IFERROR(INDEX(S08_Sorcerer!$F$69:$F$98,MATCH(Character_Spellcasting!L8,S08_Sorcerer!$E$69:$E$98,0),1),"")&amp;IFERROR(INDEX(S09_Warlock!$F$69:$F$98,MATCH(Character_Spellcasting!L8,S09_Warlock!$E$69:$E$98,0),1),"")&amp;IFERROR(INDEX(S10_Wizard!$F$69:$F$98,MATCH(Character_Spellcasting!L8,S10_Wizard!$E$69:$E$98,0),1),"")</f>
        <v>Eldritch Knight</v>
      </c>
      <c r="S8" s="1096"/>
      <c r="T8" s="567"/>
      <c r="U8" s="565"/>
      <c r="V8" s="591">
        <v>2</v>
      </c>
      <c r="W8" s="1061" t="str">
        <f>IFERROR(INDEX(S01_Bard!$L$6:$L$35,MATCH(Character_Spellcasting!V8,S01_Bard!$N$69:$N$98,0),1),"")&amp;IFERROR(INDEX(S02_Cleric!$L$6:$L$35,MATCH(Character_Spellcasting!V8,S02_Cleric!$N$69:$N$98,0),1),"")&amp;IFERROR(INDEX(S03_Druid!$L$6:$L$35,MATCH(Character_Spellcasting!V8,S03_Druid!$N$69:$N$98,0),1),"")&amp;IFERROR(INDEX(S04_EldritchKnight!$L$6:$L$35,MATCH(Character_Spellcasting!V8,S04_EldritchKnight!$N$69:$N$98,0),1),"")&amp;IFERROR(INDEX(S05_Paladin!$L$6:$L$35,MATCH(Character_Spellcasting!V8,S05_Paladin!$N$69:$N$98,0),1),"")&amp;IFERROR(INDEX(S06_Ranger!$L$6:$L$35,MATCH(Character_Spellcasting!V8,S06_Ranger!$N$69:$N$988,0),1),"")&amp;IFERROR(INDEX(S07_ArcaneTrickster!$L$6:$L$35,MATCH(Character_Spellcasting!V8,S07_ArcaneTrickster!$N$69:$N$988,0),1),"")&amp;IFERROR(INDEX(S08_Sorcerer!$L$6:$L$35,MATCH(Character_Spellcasting!V8,S08_Sorcerer!$N$69:$N$98,0),1),"")&amp;IFERROR(INDEX(S09_Warlock!$L$6:$L$35,MATCH(Character_Spellcasting!V8,S09_Warlock!$N$69:$N$98,0),1),"")&amp;IFERROR(INDEX(S10_Wizard!$L$6:$L$35,MATCH(Character_Spellcasting!V8,S10_Wizard!$N$69:$N$98,0),1),"")</f>
        <v>Misty Step</v>
      </c>
      <c r="X8" s="1061"/>
      <c r="Y8" s="1061"/>
      <c r="Z8" s="1061"/>
      <c r="AA8" s="1061"/>
      <c r="AB8" s="1097" t="str">
        <f>IFERROR(INDEX(S01_Bard!$O$69:$O$98,MATCH(Character_Spellcasting!V8,S01_Bard!$N$69:$N$98,0),1),"")&amp;IFERROR(INDEX(S02_Cleric!$O$69:$O$98,MATCH(Character_Spellcasting!V8,S02_Cleric!$N$69:$N$98,0),1),"")&amp;IFERROR(INDEX(S03_Druid!$O$69:$O$98,MATCH(Character_Spellcasting!V8,S03_Druid!$N$69:$N$98,0),1),"")&amp;IFERROR(INDEX(S04_EldritchKnight!$O$69:$O$98,MATCH(Character_Spellcasting!V8,S04_EldritchKnight!$N$69:$N$98,0),1),"")&amp;IFERROR(INDEX(S05_Paladin!$O$69:$O$98,MATCH(Character_Spellcasting!V8,S05_Paladin!$N$69:$N$98,0),1),"")&amp;IFERROR(INDEX(S06_Ranger!$O$69:$O$98,MATCH(Character_Spellcasting!V8,S06_Ranger!$N$69:$N$988,0),1),"")&amp;IFERROR(INDEX(S07_ArcaneTrickster!$O$69:$O$98,MATCH(Character_Spellcasting!V8,S07_ArcaneTrickster!$N$69:$N$988,0),1),"")&amp;IFERROR(INDEX(S08_Sorcerer!$O$69:$O$98,MATCH(Character_Spellcasting!V8,S08_Sorcerer!$N$69:$N$98,0),1),"")&amp;IFERROR(INDEX(S09_Warlock!$O$69:$O$98,MATCH(Character_Spellcasting!V8,S09_Warlock!$N$69:$N$98,0),1),"")&amp;IFERROR(INDEX(S10_Wizard!$O$69:$O$98,MATCH(Character_Spellcasting!V8,S10_Wizard!$N$69:$N$98,0),1),"")</f>
        <v>Eldritch Knight</v>
      </c>
      <c r="AC8" s="1098"/>
      <c r="AD8" s="567"/>
      <c r="AE8" s="565"/>
      <c r="AF8" s="609">
        <v>2</v>
      </c>
      <c r="AG8" s="1061" t="str">
        <f>IFERROR(INDEX(S01_Bard!$U$6:$U$35,MATCH(Character_Spellcasting!AF8,S01_Bard!$W$69:$W$98,0),1),"")&amp;IFERROR(INDEX(S02_Cleric!$U$6:$U$35,MATCH(Character_Spellcasting!AF8,S02_Cleric!$W$69:$W$98,0),1),"")&amp;IFERROR(INDEX(S03_Druid!$U$6:$U$35,MATCH(Character_Spellcasting!AF8,S03_Druid!$W$69:$W$98,0),1),"")&amp;IFERROR(INDEX(S04_EldritchKnight!$U$6:$U$35,MATCH(Character_Spellcasting!AF8,S04_EldritchKnight!$W$69:$W$98,0),1),"")&amp;IFERROR(INDEX(S05_Paladin!$U$6:$U$35,MATCH(Character_Spellcasting!AF8,S05_Paladin!$W$69:$W$98,0),1),"")&amp;IFERROR(INDEX(S06_Ranger!$U$6:$U$35,MATCH(Character_Spellcasting!AF8,S06_Ranger!$W$69:$W$988,0),1),"")&amp;IFERROR(INDEX(S07_ArcaneTrickster!$U$6:$U$35,MATCH(Character_Spellcasting!AF8,S07_ArcaneTrickster!$W$69:$W$988,0),1),"")&amp;IFERROR(INDEX(S08_Sorcerer!$U$6:$U$35,MATCH(Character_Spellcasting!AF8,S08_Sorcerer!$W$69:$W$98,0),1),"")&amp;IFERROR(INDEX(S09_Warlock!$U$6:$U$35,MATCH(Character_Spellcasting!AF8,S09_Warlock!$W$69:$W$98,0),1),"")&amp;IFERROR(INDEX(S10_Wizard!$U$6:$U$35,MATCH(Character_Spellcasting!AF8,S10_Wizard!$W$69:$W$98,0),1),"")</f>
        <v>Haste</v>
      </c>
      <c r="AH8" s="1061"/>
      <c r="AI8" s="1061"/>
      <c r="AJ8" s="1061"/>
      <c r="AK8" s="1061"/>
      <c r="AL8" s="1097" t="str">
        <f>IFERROR(INDEX(S01_Bard!$X$69:$X$98,MATCH(Character_Spellcasting!AF8,S01_Bard!$W$69:$W$98,0),1),"")&amp;IFERROR(INDEX(S02_Cleric!$X$69:$X$98,MATCH(Character_Spellcasting!AF8,S02_Cleric!$W$69:$W$98,0),1),"")&amp;IFERROR(INDEX(S03_Druid!$X$69:$X$98,MATCH(Character_Spellcasting!AF8,S03_Druid!$W$69:$W$98,0),1),"")&amp;IFERROR(INDEX(S04_EldritchKnight!$X$69:$X$98,MATCH(Character_Spellcasting!AF8,S04_EldritchKnight!$W$69:$W$98,0),1),"")&amp;IFERROR(INDEX(S05_Paladin!$X$69:$X$98,MATCH(Character_Spellcasting!AF8,S05_Paladin!$W$69:$W$98,0),1),"")&amp;IFERROR(INDEX(S06_Ranger!$X$69:$X$98,MATCH(Character_Spellcasting!AF8,S06_Ranger!$W$69:$W$988,0),1),"")&amp;IFERROR(INDEX(S07_ArcaneTrickster!$X$69:$X$98,MATCH(Character_Spellcasting!AF8,S07_ArcaneTrickster!$W$69:$W$988,0),1),"")&amp;IFERROR(INDEX(S08_Sorcerer!$X$69:$X$98,MATCH(Character_Spellcasting!AF8,S08_Sorcerer!$W$69:$W$98,0),1),"")&amp;IFERROR(INDEX(S09_Warlock!$X$69:$X$98,MATCH(Character_Spellcasting!AF8,S09_Warlock!$W$69:$W$98,0),1),"")&amp;IFERROR(INDEX(S10_Wizard!$X$69:$X$98,MATCH(Character_Spellcasting!AF8,S10_Wizard!$W$69:$W$98,0),1),"")</f>
        <v>Wizard</v>
      </c>
      <c r="AM8" s="1098"/>
      <c r="AN8" s="567"/>
      <c r="AO8" s="565"/>
      <c r="AP8" s="591">
        <v>2</v>
      </c>
      <c r="AQ8" s="1061" t="str">
        <f>IFERROR(INDEX(S01_Bard!$AD$6:$AD$35,MATCH(Character_Spellcasting!AP8,S01_Bard!$AF$69:$AF$98,0),1),"")&amp;IFERROR(INDEX(S02_Cleric!$AD$6:$AD$35,MATCH(Character_Spellcasting!AP8,S02_Cleric!$AF$69:$AF$98,0),1),"")&amp;IFERROR(INDEX(S03_Druid!$AD$6:$AD$35,MATCH(Character_Spellcasting!AP8,S03_Druid!$AF$69:$AF$98,0),1),"")&amp;IFERROR(INDEX(S04_EldritchKnight!$AD$6:$AD$35,MATCH(Character_Spellcasting!AP8,S04_EldritchKnight!$AF$69:$AF$98,0),1),"")&amp;IFERROR(INDEX(S05_Paladin!$AD$6:$AD$35,MATCH(Character_Spellcasting!AP8,S05_Paladin!$AF$69:$AF$98,0),1),"")&amp;IFERROR(INDEX(S06_Ranger!$AD$6:$AD$35,MATCH(Character_Spellcasting!AP8,S06_Ranger!$AF$69:$AF$988,0),1),"")&amp;IFERROR(INDEX(S07_ArcaneTrickster!$AD$6:$AD$35,MATCH(Character_Spellcasting!AP8,S07_ArcaneTrickster!$AF$69:$AF$988,0),1),"")&amp;IFERROR(INDEX(S08_Sorcerer!$AD$6:$AD$35,MATCH(Character_Spellcasting!AP8,S08_Sorcerer!$AF$69:$AF$98,0),1),"")&amp;IFERROR(INDEX(S09_Warlock!$AD$6:$AD$35,MATCH(Character_Spellcasting!AP8,S09_Warlock!$AF$69:$AF$98,0),1),"")&amp;IFERROR(INDEX(S10_Wizard!$AD$6:$AD$35,MATCH(Character_Spellcasting!AP8,S10_Wizard!$AF$69:$AF$98,0),1),"")</f>
        <v/>
      </c>
      <c r="AR8" s="1061"/>
      <c r="AS8" s="1061"/>
      <c r="AT8" s="1061"/>
      <c r="AU8" s="1061"/>
      <c r="AV8" s="1096" t="str">
        <f>IFERROR(INDEX(S01_Bard!$AG$69:$AG$98,MATCH(Character_Spellcasting!AP8,S01_Bard!$D$69:$D$98,0),1),"")&amp;IFERROR(INDEX(S02_Cleric!$AG$69:$AG$98,MATCH(Character_Spellcasting!AP8,S02_Cleric!$AF$69:$AF$98,0),1),"")&amp;IFERROR(INDEX(S03_Druid!$AG$69:$AG$98,MATCH(Character_Spellcasting!AP8,S03_Druid!$AF$69:$AF$98,0),1),"")&amp;IFERROR(INDEX(S04_EldritchKnight!$AG$69:$AG$98,MATCH(Character_Spellcasting!AP8,S04_EldritchKnight!$AF$69:$AF$98,0),1),"")&amp;IFERROR(INDEX(S05_Paladin!$AG$69:$AG$98,MATCH(Character_Spellcasting!AP8,S05_Paladin!$AF$69:$AF$98,0),1),"")&amp;IFERROR(INDEX(S06_Ranger!$AG$69:$AG$98,MATCH(Character_Spellcasting!AP8,S06_Ranger!$AF$69:$AF$988,0),1),"")&amp;IFERROR(INDEX(S07_ArcaneTrickster!$AG$69:$AG$98,MATCH(Character_Spellcasting!AP8,S07_ArcaneTrickster!$AF$69:$AF$988,0),1),"")&amp;IFERROR(INDEX(S08_Sorcerer!$AG$69:$AG$98,MATCH(Character_Spellcasting!AP8,S08_Sorcerer!$AF$69:$AF$98,0),1),"")&amp;IFERROR(INDEX(S09_Warlock!$AG$69:$AG$98,MATCH(Character_Spellcasting!AP8,S09_Warlock!$AF$69:$AF$98,0),1),"")&amp;IFERROR(INDEX(S10_Wizard!$AG$69:$AG$98,MATCH(Character_Spellcasting!AP8,S10_Wizard!$AF$69:$AF$98,0),1),"")</f>
        <v/>
      </c>
      <c r="AW8" s="1096"/>
      <c r="AX8" s="567"/>
      <c r="AY8" s="565"/>
      <c r="AZ8" s="591">
        <v>2</v>
      </c>
      <c r="BA8" s="1061" t="str">
        <f>IFERROR(INDEX(S01_Bard!$AM$6:$AM$35,MATCH(Character_Spellcasting!AZ8,S01_Bard!$AO$69:$AO$98,0),1),"")&amp;IFERROR(INDEX(S02_Cleric!$AM$6:$AM$35,MATCH(Character_Spellcasting!AZ8,S02_Cleric!$AO$69:$AO$98,0),1),"")&amp;IFERROR(INDEX(S03_Druid!$AM$6:$AM$35,MATCH(Character_Spellcasting!AZ8,S03_Druid!$AO$69:$AO$98,0),1),"")&amp;IFERROR(INDEX(S04_EldritchKnight!$AM$6:$AM$35,MATCH(Character_Spellcasting!AZ8,S04_EldritchKnight!$AO$69:$AO$98,0),1),"")&amp;IFERROR(INDEX(S05_Paladin!$AM$6:$AM$35,MATCH(Character_Spellcasting!AZ8,S05_Paladin!$AO$69:$AO$98,0),1),"")&amp;IFERROR(INDEX(S06_Ranger!$AM$6:$AM$35,MATCH(Character_Spellcasting!AZ8,S06_Ranger!$AO$69:$AO$988,0),1),"")&amp;IFERROR(INDEX(S07_ArcaneTrickster!$AM$6:$AM$35,MATCH(Character_Spellcasting!AZ8,S07_ArcaneTrickster!$AO$69:$AO$988,0),1),"")&amp;IFERROR(INDEX(S08_Sorcerer!$AM$6:$AM$35,MATCH(Character_Spellcasting!AZ8,S08_Sorcerer!$AO$69:$AO$98,0),1),"")&amp;IFERROR(INDEX(S09_Warlock!$AM$6:$AM$35,MATCH(Character_Spellcasting!AZ8,S09_Warlock!$AO$69:$AO$98,0),1),"")&amp;IFERROR(INDEX(S10_Wizard!$AM$6:$AM$35,MATCH(Character_Spellcasting!AZ8,S10_Wizard!$AO$69:$AO$98,0),1),"")</f>
        <v/>
      </c>
      <c r="BB8" s="1061"/>
      <c r="BC8" s="1061"/>
      <c r="BD8" s="1061"/>
      <c r="BE8" s="1061"/>
      <c r="BF8" s="1096" t="str">
        <f>IFERROR(INDEX(S01_Bard!$AP$69:$AP$98,MATCH(Character_Spellcasting!AZ8,S01_Bard!$D$69:$D$98,0),1),"")&amp;IFERROR(INDEX(S02_Cleric!$AP$69:$AP$98,MATCH(Character_Spellcasting!AZ8,S02_Cleric!$AO$69:$AO$98,0),1),"")&amp;IFERROR(INDEX(S03_Druid!$AP$69:$AP$98,MATCH(Character_Spellcasting!AZ8,S03_Druid!$AO$69:$AO$98,0),1),"")&amp;IFERROR(INDEX(S04_EldritchKnight!$AP$69:$AP$98,MATCH(Character_Spellcasting!AZ8,S04_EldritchKnight!$AO$69:$AO$98,0),1),"")&amp;IFERROR(INDEX(S05_Paladin!$AP$69:$AP$98,MATCH(Character_Spellcasting!AZ8,S05_Paladin!$AO$69:$AO$98,0),1),"")&amp;IFERROR(INDEX(S06_Ranger!$AP$69:$AP$98,MATCH(Character_Spellcasting!AZ8,S06_Ranger!$AO$69:$AO$988,0),1),"")&amp;IFERROR(INDEX(S07_ArcaneTrickster!$AP$69:$AP$98,MATCH(Character_Spellcasting!AZ8,S07_ArcaneTrickster!$AO$69:$AO$988,0),1),"")&amp;IFERROR(INDEX(S08_Sorcerer!$AP$69:$AP$98,MATCH(Character_Spellcasting!AZ8,S08_Sorcerer!$AO$69:$AO$98,0),1),"")&amp;IFERROR(INDEX(S09_Warlock!$AP$69:$AP$98,MATCH(Character_Spellcasting!AZ8,S09_Warlock!$AO$69:$AO$98,0),1),"")&amp;IFERROR(INDEX(S10_Wizard!$AP$69:$AP$98,MATCH(Character_Spellcasting!AZ8,S10_Wizard!$AO$69:$AO$98,0),1),"")</f>
        <v/>
      </c>
      <c r="BG8" s="1096"/>
      <c r="BH8" s="567"/>
      <c r="BI8" s="120"/>
      <c r="BJ8" s="591">
        <v>2</v>
      </c>
      <c r="BK8" s="1061" t="str">
        <f>IFERROR(INDEX(S01_Bard!$AV$6:$AV$35,MATCH(Character_Spellcasting!BJ8,S01_Bard!$AX$69:$AX$98,0),1),"")&amp;IFERROR(INDEX(S02_Cleric!$AV$6:$AV$35,MATCH(Character_Spellcasting!BJ8,S02_Cleric!$AX$69:$AX$98,0),1),"")&amp;IFERROR(INDEX(S03_Druid!$AV$6:$AV$35,MATCH(Character_Spellcasting!BJ8,S03_Druid!$AX$69:$AX$98,0),1),"")&amp;IFERROR(INDEX(S04_EldritchKnight!$AV$6:$AV$35,MATCH(Character_Spellcasting!BJ8,S04_EldritchKnight!$AX$69:$AX$98,0),1),"")&amp;IFERROR(INDEX(S05_Paladin!$AV$6:$AV$35,MATCH(Character_Spellcasting!BJ8,S05_Paladin!$AX$69:$AX$98,0),1),"")&amp;IFERROR(INDEX(S06_Ranger!$AV$6:$AV$35,MATCH(Character_Spellcasting!BJ8,S06_Ranger!$AX$69:$AX$988,0),1),"")&amp;IFERROR(INDEX(S07_ArcaneTrickster!$AV$6:$AV$35,MATCH(Character_Spellcasting!BJ8,S07_ArcaneTrickster!$AX$69:$AX$988,0),1),"")&amp;IFERROR(INDEX(S08_Sorcerer!$AV$6:$AV$35,MATCH(Character_Spellcasting!BJ8,S08_Sorcerer!$AX$69:$AX$98,0),1),"")&amp;IFERROR(INDEX(S09_Warlock!$AV$6:$AV$35,MATCH(Character_Spellcasting!BJ8,S09_Warlock!$AX$69:$AX$98,0),1),"")&amp;IFERROR(INDEX(S10_Wizard!$AV$6:$AV$35,MATCH(Character_Spellcasting!BJ8,S10_Wizard!$AX$69:$AX$98,0),1),"")</f>
        <v/>
      </c>
      <c r="BL8" s="1061"/>
      <c r="BM8" s="1061"/>
      <c r="BN8" s="1061"/>
      <c r="BO8" s="1061"/>
      <c r="BP8" s="1096" t="str">
        <f>IFERROR(INDEX(S01_Bard!$AY$69:$AY$98,MATCH(Character_Spellcasting!BJ8,S01_Bard!$D$69:$D$98,0),1),"")&amp;IFERROR(INDEX(S02_Cleric!$AY$69:$AY$98,MATCH(Character_Spellcasting!BJ8,S02_Cleric!$AX$69:$AX$98,0),1),"")&amp;IFERROR(INDEX(S03_Druid!$AY$69:$AY$98,MATCH(Character_Spellcasting!BJ8,S03_Druid!$AX$69:$AX$98,0),1),"")&amp;IFERROR(INDEX(S04_EldritchKnight!$AY$69:$AY$98,MATCH(Character_Spellcasting!BJ8,S04_EldritchKnight!$AX$69:$AX$98,0),1),"")&amp;IFERROR(INDEX(S05_Paladin!$AY$69:$AY$98,MATCH(Character_Spellcasting!BJ8,S05_Paladin!$AX$69:$AX$98,0),1),"")&amp;IFERROR(INDEX(S06_Ranger!$AY$69:$AY$98,MATCH(Character_Spellcasting!BJ8,S06_Ranger!$AX$69:$AX$988,0),1),"")&amp;IFERROR(INDEX(S07_ArcaneTrickster!$AY$69:$AY$98,MATCH(Character_Spellcasting!BJ8,S07_ArcaneTrickster!$AX$69:$AX$988,0),1),"")&amp;IFERROR(INDEX(S08_Sorcerer!$AY$69:$AY$98,MATCH(Character_Spellcasting!BJ8,S08_Sorcerer!$AX$69:$AX$98,0),1),"")&amp;IFERROR(INDEX(S09_Warlock!$AY$69:$AY$98,MATCH(Character_Spellcasting!BJ8,S09_Warlock!$AX$69:$AX$98,0),1),"")&amp;IFERROR(INDEX(S10_Wizard!$AY$69:$AY$98,MATCH(Character_Spellcasting!BJ8,S10_Wizard!$AX$69:$AX$98,0),1),"")</f>
        <v/>
      </c>
      <c r="BQ8" s="1096"/>
      <c r="BR8" s="567"/>
      <c r="BS8" s="120"/>
      <c r="BT8" s="591">
        <v>2</v>
      </c>
      <c r="BU8" s="1061" t="str">
        <f>IFERROR(INDEX(S01_Bard!$BE$6:$BE$35,MATCH(Character_Spellcasting!BT8,S01_Bard!$BG$69:$BG$98,0),1),"")&amp;IFERROR(INDEX(S02_Cleric!$BE$6:$BE$35,MATCH(Character_Spellcasting!BT8,S02_Cleric!$BG$69:$BG$98,0),1),"")&amp;IFERROR(INDEX(S03_Druid!$BE$6:$BE$35,MATCH(Character_Spellcasting!BT8,S03_Druid!$BG$69:$BG$98,0),1),"")&amp;IFERROR(INDEX(S04_EldritchKnight!$BE$6:$BE$35,MATCH(Character_Spellcasting!BT8,S04_EldritchKnight!$BG$69:$BG$98,0),1),"")&amp;IFERROR(INDEX(S05_Paladin!$BE$6:$BE$35,MATCH(Character_Spellcasting!BT8,S05_Paladin!$BG$69:$BG$98,0),1),"")&amp;IFERROR(INDEX(S06_Ranger!$BE$6:$BE$35,MATCH(Character_Spellcasting!BT8,S06_Ranger!$BG$69:$BG$988,0),1),"")&amp;IFERROR(INDEX(S07_ArcaneTrickster!$BE$6:$BE$35,MATCH(Character_Spellcasting!BT8,S07_ArcaneTrickster!$BG$69:$BG$988,0),1),"")&amp;IFERROR(INDEX(S08_Sorcerer!$BE$6:$BE$35,MATCH(Character_Spellcasting!BT8,S08_Sorcerer!$BG$69:$BG$98,0),1),"")&amp;IFERROR(INDEX(S09_Warlock!$BE$6:$BE$35,MATCH(Character_Spellcasting!BT8,S09_Warlock!$BG$69:$BG$98,0),1),"")&amp;IFERROR(INDEX(S10_Wizard!$BE$6:$BE$35,MATCH(Character_Spellcasting!BT8,S10_Wizard!$BG$69:$BG$98,0),1),"")</f>
        <v/>
      </c>
      <c r="BV8" s="1061"/>
      <c r="BW8" s="1061"/>
      <c r="BX8" s="1061"/>
      <c r="BY8" s="1061"/>
      <c r="BZ8" s="1096" t="str">
        <f>IFERROR(INDEX(S01_Bard!$BH$69:$BH$98,MATCH(Character_Spellcasting!BT8,S01_Bard!$D$69:$D$98,0),1),"")&amp;IFERROR(INDEX(S02_Cleric!$BH$69:$BH$98,MATCH(Character_Spellcasting!BT8,S02_Cleric!$BG$69:$BG$98,0),1),"")&amp;IFERROR(INDEX(S03_Druid!$BH$69:$BH$98,MATCH(Character_Spellcasting!BT8,S03_Druid!$BG$69:$BG$98,0),1),"")&amp;IFERROR(INDEX(S04_EldritchKnight!$BH$69:$BH$98,MATCH(Character_Spellcasting!BT8,S04_EldritchKnight!$BG$69:$BG$98,0),1),"")&amp;IFERROR(INDEX(S05_Paladin!$BH$69:$BH$98,MATCH(Character_Spellcasting!BT8,S05_Paladin!$BG$69:$BG$98,0),1),"")&amp;IFERROR(INDEX(S06_Ranger!$BH$69:$BH$98,MATCH(Character_Spellcasting!BT8,S06_Ranger!$BG$69:$BG$988,0),1),"")&amp;IFERROR(INDEX(S07_ArcaneTrickster!$BH$69:$BH$98,MATCH(Character_Spellcasting!BT8,S07_ArcaneTrickster!$BG$69:$BG$988,0),1),"")&amp;IFERROR(INDEX(S08_Sorcerer!$BH$69:$BH$98,MATCH(Character_Spellcasting!BT8,S08_Sorcerer!$BG$69:$BG$98,0),1),"")&amp;IFERROR(INDEX(S09_Warlock!$BH$69:$BH$98,MATCH(Character_Spellcasting!BT8,S09_Warlock!$BG$69:$BG$98,0),1),"")&amp;IFERROR(INDEX(S10_Wizard!$BH$69:$BH$98,MATCH(Character_Spellcasting!BT8,S10_Wizard!$BG$69:$BG$98,0),1),"")</f>
        <v/>
      </c>
      <c r="CA8" s="1096"/>
      <c r="CB8" s="567"/>
      <c r="CC8" s="120"/>
      <c r="CD8" s="591">
        <v>2</v>
      </c>
      <c r="CE8" s="1061" t="str">
        <f>IFERROR(INDEX(S01_Bard!$BN$6:$BN$35,MATCH(Character_Spellcasting!CD8,S01_Bard!$BP$69:$BP$98,0),1),"")&amp;IFERROR(INDEX(S02_Cleric!$BN$6:$BN$35,MATCH(Character_Spellcasting!CD8,S02_Cleric!$BP$69:$BP$98,0),1),"")&amp;IFERROR(INDEX(S03_Druid!$BN$6:$BN$35,MATCH(Character_Spellcasting!CD8,S03_Druid!$BP$69:$BP$98,0),1),"")&amp;IFERROR(INDEX(S04_EldritchKnight!$BN$6:$BN$35,MATCH(Character_Spellcasting!CD8,S04_EldritchKnight!$BP$69:$BP$98,0),1),"")&amp;IFERROR(INDEX(S05_Paladin!$BN$6:$BN$35,MATCH(Character_Spellcasting!CD8,S05_Paladin!$BP$69:$BP$98,0),1),"")&amp;IFERROR(INDEX(S06_Ranger!$BN$6:$BN$35,MATCH(Character_Spellcasting!CD8,S06_Ranger!$BP$69:$BP$988,0),1),"")&amp;IFERROR(INDEX(S07_ArcaneTrickster!$BN$6:$BN$35,MATCH(Character_Spellcasting!CD8,S07_ArcaneTrickster!$BP$69:$BP$988,0),1),"")&amp;IFERROR(INDEX(S08_Sorcerer!$BN$6:$BN$35,MATCH(Character_Spellcasting!CD8,S08_Sorcerer!$BP$69:$BP$98,0),1),"")&amp;IFERROR(INDEX(S09_Warlock!$BN$6:$BN$35,MATCH(Character_Spellcasting!CD8,S09_Warlock!$BP$69:$BP$98,0),1),"")&amp;IFERROR(INDEX(S10_Wizard!$BN$6:$BN$35,MATCH(Character_Spellcasting!CD8,S10_Wizard!$BP$69:$BP$98,0),1),"")</f>
        <v/>
      </c>
      <c r="CF8" s="1061"/>
      <c r="CG8" s="1061"/>
      <c r="CH8" s="1061"/>
      <c r="CI8" s="1061"/>
      <c r="CJ8" s="1096" t="str">
        <f>IFERROR(INDEX(S01_Bard!$BQ$69:$BQ$98,MATCH(Character_Spellcasting!CD8,S01_Bard!$D$69:$D$98,0),1),"")&amp;IFERROR(INDEX(S02_Cleric!$BQ$69:$BQ$98,MATCH(Character_Spellcasting!CD8,S02_Cleric!$BP$69:$BP$98,0),1),"")&amp;IFERROR(INDEX(S03_Druid!$BQ$69:$BQ$98,MATCH(Character_Spellcasting!CD8,S03_Druid!$BP$69:$BP$98,0),1),"")&amp;IFERROR(INDEX(S04_EldritchKnight!$BQ$69:$BQ$98,MATCH(Character_Spellcasting!CD8,S04_EldritchKnight!$BP$69:$BP$98,0),1),"")&amp;IFERROR(INDEX(S05_Paladin!$BQ$69:$BQ$98,MATCH(Character_Spellcasting!CD8,S05_Paladin!$BP$69:$BP$98,0),1),"")&amp;IFERROR(INDEX(S06_Ranger!$BQ$69:$BQ$98,MATCH(Character_Spellcasting!CD8,S06_Ranger!$BP$69:$BP$988,0),1),"")&amp;IFERROR(INDEX(S07_ArcaneTrickster!$BQ$69:$BQ$98,MATCH(Character_Spellcasting!CD8,S07_ArcaneTrickster!$BP$69:$BP$988,0),1),"")&amp;IFERROR(INDEX(S08_Sorcerer!$BQ$69:$BQ$98,MATCH(Character_Spellcasting!CD8,S08_Sorcerer!$BP$69:$BP$98,0),1),"")&amp;IFERROR(INDEX(S09_Warlock!$BQ$69:$BQ$98,MATCH(Character_Spellcasting!CD8,S09_Warlock!$BP$69:$BP$98,0),1),"")&amp;IFERROR(INDEX(S10_Wizard!$BQ$69:$BQ$98,MATCH(Character_Spellcasting!CD8,S10_Wizard!$BP$69:$BP$98,0),1),"")</f>
        <v/>
      </c>
      <c r="CK8" s="1096"/>
      <c r="CL8" s="567"/>
      <c r="CM8" s="120"/>
      <c r="CN8" s="591">
        <v>2</v>
      </c>
      <c r="CO8" s="1061" t="str">
        <f>IFERROR(INDEX(S01_Bard!$BW$6:$BW$35,MATCH(Character_Spellcasting!CN8,S01_Bard!$BY$69:$BY$98,0),1),"")&amp;IFERROR(INDEX(S02_Cleric!$BW$6:$BW$35,MATCH(Character_Spellcasting!CN8,S02_Cleric!$BY$69:$BY$98,0),1),"")&amp;IFERROR(INDEX(S03_Druid!$BW$6:$BW$35,MATCH(Character_Spellcasting!CN8,S03_Druid!$BY$69:$BY$98,0),1),"")&amp;IFERROR(INDEX(S04_EldritchKnight!$BW$6:$BW$35,MATCH(Character_Spellcasting!CN8,S04_EldritchKnight!$BY$69:$BY$98,0),1),"")&amp;IFERROR(INDEX(S05_Paladin!$BW$6:$BW$35,MATCH(Character_Spellcasting!CN8,S05_Paladin!$BY$69:$BY$98,0),1),"")&amp;IFERROR(INDEX(S06_Ranger!$BW$6:$BW$35,MATCH(Character_Spellcasting!CN8,S06_Ranger!$BY$69:$BY$988,0),1),"")&amp;IFERROR(INDEX(S07_ArcaneTrickster!$BW$6:$BW$35,MATCH(Character_Spellcasting!CN8,S07_ArcaneTrickster!$BY$69:$BY$988,0),1),"")&amp;IFERROR(INDEX(S08_Sorcerer!$BW$6:$BW$35,MATCH(Character_Spellcasting!CN8,S08_Sorcerer!$BY$69:$BY$98,0),1),"")&amp;IFERROR(INDEX(S09_Warlock!$BW$6:$BW$35,MATCH(Character_Spellcasting!CN8,S09_Warlock!$BY$69:$BY$98,0),1),"")&amp;IFERROR(INDEX(S10_Wizard!$BW$6:$BW$35,MATCH(Character_Spellcasting!CN8,S10_Wizard!$BY$69:$BY$98,0),1),"")</f>
        <v/>
      </c>
      <c r="CP8" s="1061"/>
      <c r="CQ8" s="1061"/>
      <c r="CR8" s="1061"/>
      <c r="CS8" s="1061"/>
      <c r="CT8" s="1096" t="str">
        <f>IFERROR(INDEX(S01_Bard!$BZ$69:$BZ$98,MATCH(Character_Spellcasting!CN8,S01_Bard!$D$69:$D$98,0),1),"")&amp;IFERROR(INDEX(S02_Cleric!$BZ$69:$BZ$98,MATCH(Character_Spellcasting!CN8,S02_Cleric!$BY$69:$BY$98,0),1),"")&amp;IFERROR(INDEX(S03_Druid!$BZ$69:$BZ$98,MATCH(Character_Spellcasting!CN8,S03_Druid!$BY$69:$BY$98,0),1),"")&amp;IFERROR(INDEX(S04_EldritchKnight!$BZ$69:$BZ$98,MATCH(Character_Spellcasting!CN8,S04_EldritchKnight!$BY$69:$BY$98,0),1),"")&amp;IFERROR(INDEX(S05_Paladin!$BZ$69:$BZ$98,MATCH(Character_Spellcasting!CN8,S05_Paladin!$BY$69:$BY$98,0),1),"")&amp;IFERROR(INDEX(S06_Ranger!$BZ$69:$BZ$98,MATCH(Character_Spellcasting!CN8,S06_Ranger!$BY$69:$BY$988,0),1),"")&amp;IFERROR(INDEX(S07_ArcaneTrickster!$BZ$69:$BZ$98,MATCH(Character_Spellcasting!CN8,S07_ArcaneTrickster!$BY$69:$BY$988,0),1),"")&amp;IFERROR(INDEX(S08_Sorcerer!$BZ$69:$BZ$98,MATCH(Character_Spellcasting!CN8,S08_Sorcerer!$BY$69:$BY$98,0),1),"")&amp;IFERROR(INDEX(S09_Warlock!$BZ$69:$BZ$98,MATCH(Character_Spellcasting!CN8,S09_Warlock!$BY$69:$BY$98,0),1),"")&amp;IFERROR(INDEX(S10_Wizard!$BZ$69:$BZ$98,MATCH(Character_Spellcasting!CN8,S10_Wizard!$BY$69:$BY$98,0),1),"")</f>
        <v/>
      </c>
      <c r="CU8" s="1096"/>
      <c r="CV8" s="567"/>
      <c r="CW8" s="565"/>
      <c r="CX8" s="565"/>
      <c r="CY8" s="565"/>
      <c r="CZ8" s="565"/>
      <c r="DA8" s="610">
        <v>2</v>
      </c>
      <c r="DB8" s="1061" t="str">
        <f t="shared" si="0"/>
        <v>Protection from Evil and Good</v>
      </c>
      <c r="DC8" s="1061"/>
      <c r="DD8" s="1061"/>
      <c r="DE8" s="1061"/>
      <c r="DF8" s="1061"/>
      <c r="DG8" s="1096" t="str">
        <f t="shared" si="1"/>
        <v>Eldritch Knight</v>
      </c>
      <c r="DH8" s="1096"/>
      <c r="DI8" s="565"/>
      <c r="DJ8" s="565"/>
      <c r="DK8" s="565"/>
      <c r="DL8" s="565"/>
      <c r="DM8" s="565"/>
      <c r="DN8" s="565"/>
      <c r="DO8" s="565"/>
      <c r="DP8" s="565"/>
      <c r="DQ8" s="565"/>
      <c r="DR8" s="565"/>
      <c r="DS8" s="565"/>
      <c r="DT8" s="565"/>
      <c r="DU8" s="565"/>
      <c r="DV8" s="565"/>
    </row>
    <row r="9" spans="1:126" ht="21" x14ac:dyDescent="0.25">
      <c r="A9" s="120"/>
      <c r="B9" s="610">
        <v>3</v>
      </c>
      <c r="C9" s="1061"/>
      <c r="D9" s="1061"/>
      <c r="E9" s="1061"/>
      <c r="F9" s="1061"/>
      <c r="G9" s="1061"/>
      <c r="H9" s="1096"/>
      <c r="I9" s="1096"/>
      <c r="J9" s="120"/>
      <c r="K9" s="120"/>
      <c r="L9" s="591">
        <v>3</v>
      </c>
      <c r="M9" s="1061" t="str">
        <f>IFERROR(INDEX(S01_Bard!$C$6:$C$35,MATCH(Character_Spellcasting!L9,S01_Bard!$E$69:$E$98,0),1),"")&amp;IFERROR(INDEX(S02_Cleric!$C$6:$C$35,MATCH(Character_Spellcasting!L9,S02_Cleric!$E$69:$E$98,0),1),"")&amp;IFERROR(INDEX(S03_Druid!$C$6:$C$35,MATCH(Character_Spellcasting!L9,S03_Druid!$E$69:$E$98,0),1),"")&amp;IFERROR(INDEX(S04_EldritchKnight!$C$6:$C$35,MATCH(Character_Spellcasting!L9,S04_EldritchKnight!$E$69:$E$98,0),1),"")&amp;IFERROR(INDEX(S05_Paladin!$C$6:$C$35,MATCH(Character_Spellcasting!L9,S05_Paladin!$E$69:$E$98,0),1),"")&amp;IFERROR(INDEX(S06_Ranger!$C$6:$C$35,MATCH(Character_Spellcasting!L9,S06_Ranger!$E$69:$E$988,0),1),"")&amp;IFERROR(INDEX(S07_ArcaneTrickster!$C$6:$C$35,MATCH(Character_Spellcasting!L9,S07_ArcaneTrickster!$E$69:$E$988,0),1),"")&amp;IFERROR(INDEX(S08_Sorcerer!$C$6:$C$35,MATCH(Character_Spellcasting!L9,S08_Sorcerer!$E$69:$E$98,0),1),"")&amp;IFERROR(INDEX(S09_Warlock!$C$6:$C$35,MATCH(Character_Spellcasting!L9,S09_Warlock!$E$69:$E$98,0),1),"")&amp;IFERROR(INDEX(S10_Wizard!$C$6:$C$35,MATCH(Character_Spellcasting!L9,S10_Wizard!$E$69:$E$98,0),1),"")</f>
        <v>Absorb Elements</v>
      </c>
      <c r="N9" s="1061"/>
      <c r="O9" s="1061"/>
      <c r="P9" s="1061"/>
      <c r="Q9" s="1061"/>
      <c r="R9" s="1096" t="str">
        <f>IFERROR(INDEX(S01_Bard!$F$69:$F$98,MATCH(Character_Spellcasting!L9,S01_Bard!$D$69:$D$98,0),1),"")&amp;IFERROR(INDEX(S02_Cleric!$F$69:$F$98,MATCH(Character_Spellcasting!L9,S02_Cleric!$E$69:$E$98,0),1),"")&amp;IFERROR(INDEX(S03_Druid!$F$69:$F$98,MATCH(Character_Spellcasting!L9,S03_Druid!$E$69:$E$98,0),1),"")&amp;IFERROR(INDEX(S04_EldritchKnight!$F$69:$F$98,MATCH(Character_Spellcasting!L9,S04_EldritchKnight!$E$69:$E$98,0),1),"")&amp;IFERROR(INDEX(S05_Paladin!$F$69:$F$98,MATCH(Character_Spellcasting!L9,S05_Paladin!$E$69:$E$98,0),1),"")&amp;IFERROR(INDEX(S06_Ranger!$F$69:$F$98,MATCH(Character_Spellcasting!L9,S06_Ranger!$E$69:$E$988,0),1),"")&amp;IFERROR(INDEX(S07_ArcaneTrickster!$F$69:$F$98,MATCH(Character_Spellcasting!L9,S07_ArcaneTrickster!$E$69:$E$988,0),1),"")&amp;IFERROR(INDEX(S08_Sorcerer!$F$69:$F$98,MATCH(Character_Spellcasting!L9,S08_Sorcerer!$E$69:$E$98,0),1),"")&amp;IFERROR(INDEX(S09_Warlock!$F$69:$F$98,MATCH(Character_Spellcasting!L9,S09_Warlock!$E$69:$E$98,0),1),"")&amp;IFERROR(INDEX(S10_Wizard!$F$69:$F$98,MATCH(Character_Spellcasting!L9,S10_Wizard!$E$69:$E$98,0),1),"")</f>
        <v>Eldritch Knight</v>
      </c>
      <c r="S9" s="1096"/>
      <c r="T9" s="567"/>
      <c r="U9" s="565"/>
      <c r="V9" s="591">
        <v>3</v>
      </c>
      <c r="W9" s="1061" t="str">
        <f>IFERROR(INDEX(S01_Bard!$L$6:$L$35,MATCH(Character_Spellcasting!V9,S01_Bard!$N$69:$N$98,0),1),"")&amp;IFERROR(INDEX(S02_Cleric!$L$6:$L$35,MATCH(Character_Spellcasting!V9,S02_Cleric!$N$69:$N$98,0),1),"")&amp;IFERROR(INDEX(S03_Druid!$L$6:$L$35,MATCH(Character_Spellcasting!V9,S03_Druid!$N$69:$N$98,0),1),"")&amp;IFERROR(INDEX(S04_EldritchKnight!$L$6:$L$35,MATCH(Character_Spellcasting!V9,S04_EldritchKnight!$N$69:$N$98,0),1),"")&amp;IFERROR(INDEX(S05_Paladin!$L$6:$L$35,MATCH(Character_Spellcasting!V9,S05_Paladin!$N$69:$N$98,0),1),"")&amp;IFERROR(INDEX(S06_Ranger!$L$6:$L$35,MATCH(Character_Spellcasting!V9,S06_Ranger!$N$69:$N$988,0),1),"")&amp;IFERROR(INDEX(S07_ArcaneTrickster!$L$6:$L$35,MATCH(Character_Spellcasting!V9,S07_ArcaneTrickster!$N$69:$N$988,0),1),"")&amp;IFERROR(INDEX(S08_Sorcerer!$L$6:$L$35,MATCH(Character_Spellcasting!V9,S08_Sorcerer!$N$69:$N$98,0),1),"")&amp;IFERROR(INDEX(S09_Warlock!$L$6:$L$35,MATCH(Character_Spellcasting!V9,S09_Warlock!$N$69:$N$98,0),1),"")&amp;IFERROR(INDEX(S10_Wizard!$L$6:$L$35,MATCH(Character_Spellcasting!V9,S10_Wizard!$N$69:$N$98,0),1),"")</f>
        <v/>
      </c>
      <c r="X9" s="1061"/>
      <c r="Y9" s="1061"/>
      <c r="Z9" s="1061"/>
      <c r="AA9" s="1061"/>
      <c r="AB9" s="1097" t="str">
        <f>IFERROR(INDEX(S01_Bard!$O$69:$O$98,MATCH(Character_Spellcasting!V9,S01_Bard!$N$69:$N$98,0),1),"")&amp;IFERROR(INDEX(S02_Cleric!$O$69:$O$98,MATCH(Character_Spellcasting!V9,S02_Cleric!$N$69:$N$98,0),1),"")&amp;IFERROR(INDEX(S03_Druid!$O$69:$O$98,MATCH(Character_Spellcasting!V9,S03_Druid!$N$69:$N$98,0),1),"")&amp;IFERROR(INDEX(S04_EldritchKnight!$O$69:$O$98,MATCH(Character_Spellcasting!V9,S04_EldritchKnight!$N$69:$N$98,0),1),"")&amp;IFERROR(INDEX(S05_Paladin!$O$69:$O$98,MATCH(Character_Spellcasting!V9,S05_Paladin!$N$69:$N$98,0),1),"")&amp;IFERROR(INDEX(S06_Ranger!$O$69:$O$98,MATCH(Character_Spellcasting!V9,S06_Ranger!$N$69:$N$988,0),1),"")&amp;IFERROR(INDEX(S07_ArcaneTrickster!$O$69:$O$98,MATCH(Character_Spellcasting!V9,S07_ArcaneTrickster!$N$69:$N$988,0),1),"")&amp;IFERROR(INDEX(S08_Sorcerer!$O$69:$O$98,MATCH(Character_Spellcasting!V9,S08_Sorcerer!$N$69:$N$98,0),1),"")&amp;IFERROR(INDEX(S09_Warlock!$O$69:$O$98,MATCH(Character_Spellcasting!V9,S09_Warlock!$N$69:$N$98,0),1),"")&amp;IFERROR(INDEX(S10_Wizard!$O$69:$O$98,MATCH(Character_Spellcasting!V9,S10_Wizard!$N$69:$N$98,0),1),"")</f>
        <v/>
      </c>
      <c r="AC9" s="1098"/>
      <c r="AD9" s="567"/>
      <c r="AE9" s="565"/>
      <c r="AF9" s="609">
        <v>3</v>
      </c>
      <c r="AG9" s="1061" t="str">
        <f>IFERROR(INDEX(S01_Bard!$U$6:$U$35,MATCH(Character_Spellcasting!AF9,S01_Bard!$W$69:$W$98,0),1),"")&amp;IFERROR(INDEX(S02_Cleric!$U$6:$U$35,MATCH(Character_Spellcasting!AF9,S02_Cleric!$W$69:$W$98,0),1),"")&amp;IFERROR(INDEX(S03_Druid!$U$6:$U$35,MATCH(Character_Spellcasting!AF9,S03_Druid!$W$69:$W$98,0),1),"")&amp;IFERROR(INDEX(S04_EldritchKnight!$U$6:$U$35,MATCH(Character_Spellcasting!AF9,S04_EldritchKnight!$W$69:$W$98,0),1),"")&amp;IFERROR(INDEX(S05_Paladin!$U$6:$U$35,MATCH(Character_Spellcasting!AF9,S05_Paladin!$W$69:$W$98,0),1),"")&amp;IFERROR(INDEX(S06_Ranger!$U$6:$U$35,MATCH(Character_Spellcasting!AF9,S06_Ranger!$W$69:$W$988,0),1),"")&amp;IFERROR(INDEX(S07_ArcaneTrickster!$U$6:$U$35,MATCH(Character_Spellcasting!AF9,S07_ArcaneTrickster!$W$69:$W$988,0),1),"")&amp;IFERROR(INDEX(S08_Sorcerer!$U$6:$U$35,MATCH(Character_Spellcasting!AF9,S08_Sorcerer!$W$69:$W$98,0),1),"")&amp;IFERROR(INDEX(S09_Warlock!$U$6:$U$35,MATCH(Character_Spellcasting!AF9,S09_Warlock!$W$69:$W$98,0),1),"")&amp;IFERROR(INDEX(S10_Wizard!$U$6:$U$35,MATCH(Character_Spellcasting!AF9,S10_Wizard!$W$69:$W$98,0),1),"")</f>
        <v/>
      </c>
      <c r="AH9" s="1061"/>
      <c r="AI9" s="1061"/>
      <c r="AJ9" s="1061"/>
      <c r="AK9" s="1061"/>
      <c r="AL9" s="1097" t="str">
        <f>IFERROR(INDEX(S01_Bard!$X$69:$X$98,MATCH(Character_Spellcasting!AF9,S01_Bard!$W$69:$W$98,0),1),"")&amp;IFERROR(INDEX(S02_Cleric!$X$69:$X$98,MATCH(Character_Spellcasting!AF9,S02_Cleric!$W$69:$W$98,0),1),"")&amp;IFERROR(INDEX(S03_Druid!$X$69:$X$98,MATCH(Character_Spellcasting!AF9,S03_Druid!$W$69:$W$98,0),1),"")&amp;IFERROR(INDEX(S04_EldritchKnight!$X$69:$X$98,MATCH(Character_Spellcasting!AF9,S04_EldritchKnight!$W$69:$W$98,0),1),"")&amp;IFERROR(INDEX(S05_Paladin!$X$69:$X$98,MATCH(Character_Spellcasting!AF9,S05_Paladin!$W$69:$W$98,0),1),"")&amp;IFERROR(INDEX(S06_Ranger!$X$69:$X$98,MATCH(Character_Spellcasting!AF9,S06_Ranger!$W$69:$W$988,0),1),"")&amp;IFERROR(INDEX(S07_ArcaneTrickster!$X$69:$X$98,MATCH(Character_Spellcasting!AF9,S07_ArcaneTrickster!$W$69:$W$988,0),1),"")&amp;IFERROR(INDEX(S08_Sorcerer!$X$69:$X$98,MATCH(Character_Spellcasting!AF9,S08_Sorcerer!$W$69:$W$98,0),1),"")&amp;IFERROR(INDEX(S09_Warlock!$X$69:$X$98,MATCH(Character_Spellcasting!AF9,S09_Warlock!$W$69:$W$98,0),1),"")&amp;IFERROR(INDEX(S10_Wizard!$X$69:$X$98,MATCH(Character_Spellcasting!AF9,S10_Wizard!$W$69:$W$98,0),1),"")</f>
        <v/>
      </c>
      <c r="AM9" s="1098"/>
      <c r="AN9" s="567"/>
      <c r="AO9" s="565"/>
      <c r="AP9" s="591">
        <v>3</v>
      </c>
      <c r="AQ9" s="1061" t="str">
        <f>IFERROR(INDEX(S01_Bard!$AD$6:$AD$35,MATCH(Character_Spellcasting!AP9,S01_Bard!$AF$69:$AF$98,0),1),"")&amp;IFERROR(INDEX(S02_Cleric!$AD$6:$AD$35,MATCH(Character_Spellcasting!AP9,S02_Cleric!$AF$69:$AF$98,0),1),"")&amp;IFERROR(INDEX(S03_Druid!$AD$6:$AD$35,MATCH(Character_Spellcasting!AP9,S03_Druid!$AF$69:$AF$98,0),1),"")&amp;IFERROR(INDEX(S04_EldritchKnight!$AD$6:$AD$35,MATCH(Character_Spellcasting!AP9,S04_EldritchKnight!$AF$69:$AF$98,0),1),"")&amp;IFERROR(INDEX(S05_Paladin!$AD$6:$AD$35,MATCH(Character_Spellcasting!AP9,S05_Paladin!$AF$69:$AF$98,0),1),"")&amp;IFERROR(INDEX(S06_Ranger!$AD$6:$AD$35,MATCH(Character_Spellcasting!AP9,S06_Ranger!$AF$69:$AF$988,0),1),"")&amp;IFERROR(INDEX(S07_ArcaneTrickster!$AD$6:$AD$35,MATCH(Character_Spellcasting!AP9,S07_ArcaneTrickster!$AF$69:$AF$988,0),1),"")&amp;IFERROR(INDEX(S08_Sorcerer!$AD$6:$AD$35,MATCH(Character_Spellcasting!AP9,S08_Sorcerer!$AF$69:$AF$98,0),1),"")&amp;IFERROR(INDEX(S09_Warlock!$AD$6:$AD$35,MATCH(Character_Spellcasting!AP9,S09_Warlock!$AF$69:$AF$98,0),1),"")&amp;IFERROR(INDEX(S10_Wizard!$AD$6:$AD$35,MATCH(Character_Spellcasting!AP9,S10_Wizard!$AF$69:$AF$98,0),1),"")</f>
        <v/>
      </c>
      <c r="AR9" s="1061"/>
      <c r="AS9" s="1061"/>
      <c r="AT9" s="1061"/>
      <c r="AU9" s="1061"/>
      <c r="AV9" s="1096" t="str">
        <f>IFERROR(INDEX(S01_Bard!$AG$69:$AG$98,MATCH(Character_Spellcasting!AP9,S01_Bard!$D$69:$D$98,0),1),"")&amp;IFERROR(INDEX(S02_Cleric!$AG$69:$AG$98,MATCH(Character_Spellcasting!AP9,S02_Cleric!$AF$69:$AF$98,0),1),"")&amp;IFERROR(INDEX(S03_Druid!$AG$69:$AG$98,MATCH(Character_Spellcasting!AP9,S03_Druid!$AF$69:$AF$98,0),1),"")&amp;IFERROR(INDEX(S04_EldritchKnight!$AG$69:$AG$98,MATCH(Character_Spellcasting!AP9,S04_EldritchKnight!$AF$69:$AF$98,0),1),"")&amp;IFERROR(INDEX(S05_Paladin!$AG$69:$AG$98,MATCH(Character_Spellcasting!AP9,S05_Paladin!$AF$69:$AF$98,0),1),"")&amp;IFERROR(INDEX(S06_Ranger!$AG$69:$AG$98,MATCH(Character_Spellcasting!AP9,S06_Ranger!$AF$69:$AF$988,0),1),"")&amp;IFERROR(INDEX(S07_ArcaneTrickster!$AG$69:$AG$98,MATCH(Character_Spellcasting!AP9,S07_ArcaneTrickster!$AF$69:$AF$988,0),1),"")&amp;IFERROR(INDEX(S08_Sorcerer!$AG$69:$AG$98,MATCH(Character_Spellcasting!AP9,S08_Sorcerer!$AF$69:$AF$98,0),1),"")&amp;IFERROR(INDEX(S09_Warlock!$AG$69:$AG$98,MATCH(Character_Spellcasting!AP9,S09_Warlock!$AF$69:$AF$98,0),1),"")&amp;IFERROR(INDEX(S10_Wizard!$AG$69:$AG$98,MATCH(Character_Spellcasting!AP9,S10_Wizard!$AF$69:$AF$98,0),1),"")</f>
        <v/>
      </c>
      <c r="AW9" s="1096"/>
      <c r="AX9" s="567"/>
      <c r="AY9" s="565"/>
      <c r="AZ9" s="591">
        <v>3</v>
      </c>
      <c r="BA9" s="1061" t="str">
        <f>IFERROR(INDEX(S01_Bard!$AM$6:$AM$35,MATCH(Character_Spellcasting!AZ9,S01_Bard!$AO$69:$AO$98,0),1),"")&amp;IFERROR(INDEX(S02_Cleric!$AM$6:$AM$35,MATCH(Character_Spellcasting!AZ9,S02_Cleric!$AO$69:$AO$98,0),1),"")&amp;IFERROR(INDEX(S03_Druid!$AM$6:$AM$35,MATCH(Character_Spellcasting!AZ9,S03_Druid!$AO$69:$AO$98,0),1),"")&amp;IFERROR(INDEX(S04_EldritchKnight!$AM$6:$AM$35,MATCH(Character_Spellcasting!AZ9,S04_EldritchKnight!$AO$69:$AO$98,0),1),"")&amp;IFERROR(INDEX(S05_Paladin!$AM$6:$AM$35,MATCH(Character_Spellcasting!AZ9,S05_Paladin!$AO$69:$AO$98,0),1),"")&amp;IFERROR(INDEX(S06_Ranger!$AM$6:$AM$35,MATCH(Character_Spellcasting!AZ9,S06_Ranger!$AO$69:$AO$988,0),1),"")&amp;IFERROR(INDEX(S07_ArcaneTrickster!$AM$6:$AM$35,MATCH(Character_Spellcasting!AZ9,S07_ArcaneTrickster!$AO$69:$AO$988,0),1),"")&amp;IFERROR(INDEX(S08_Sorcerer!$AM$6:$AM$35,MATCH(Character_Spellcasting!AZ9,S08_Sorcerer!$AO$69:$AO$98,0),1),"")&amp;IFERROR(INDEX(S09_Warlock!$AM$6:$AM$35,MATCH(Character_Spellcasting!AZ9,S09_Warlock!$AO$69:$AO$98,0),1),"")&amp;IFERROR(INDEX(S10_Wizard!$AM$6:$AM$35,MATCH(Character_Spellcasting!AZ9,S10_Wizard!$AO$69:$AO$98,0),1),"")</f>
        <v/>
      </c>
      <c r="BB9" s="1061"/>
      <c r="BC9" s="1061"/>
      <c r="BD9" s="1061"/>
      <c r="BE9" s="1061"/>
      <c r="BF9" s="1096" t="str">
        <f>IFERROR(INDEX(S01_Bard!$AP$69:$AP$98,MATCH(Character_Spellcasting!AZ9,S01_Bard!$D$69:$D$98,0),1),"")&amp;IFERROR(INDEX(S02_Cleric!$AP$69:$AP$98,MATCH(Character_Spellcasting!AZ9,S02_Cleric!$AO$69:$AO$98,0),1),"")&amp;IFERROR(INDEX(S03_Druid!$AP$69:$AP$98,MATCH(Character_Spellcasting!AZ9,S03_Druid!$AO$69:$AO$98,0),1),"")&amp;IFERROR(INDEX(S04_EldritchKnight!$AP$69:$AP$98,MATCH(Character_Spellcasting!AZ9,S04_EldritchKnight!$AO$69:$AO$98,0),1),"")&amp;IFERROR(INDEX(S05_Paladin!$AP$69:$AP$98,MATCH(Character_Spellcasting!AZ9,S05_Paladin!$AO$69:$AO$98,0),1),"")&amp;IFERROR(INDEX(S06_Ranger!$AP$69:$AP$98,MATCH(Character_Spellcasting!AZ9,S06_Ranger!$AO$69:$AO$988,0),1),"")&amp;IFERROR(INDEX(S07_ArcaneTrickster!$AP$69:$AP$98,MATCH(Character_Spellcasting!AZ9,S07_ArcaneTrickster!$AO$69:$AO$988,0),1),"")&amp;IFERROR(INDEX(S08_Sorcerer!$AP$69:$AP$98,MATCH(Character_Spellcasting!AZ9,S08_Sorcerer!$AO$69:$AO$98,0),1),"")&amp;IFERROR(INDEX(S09_Warlock!$AP$69:$AP$98,MATCH(Character_Spellcasting!AZ9,S09_Warlock!$AO$69:$AO$98,0),1),"")&amp;IFERROR(INDEX(S10_Wizard!$AP$69:$AP$98,MATCH(Character_Spellcasting!AZ9,S10_Wizard!$AO$69:$AO$98,0),1),"")</f>
        <v/>
      </c>
      <c r="BG9" s="1096"/>
      <c r="BH9" s="567"/>
      <c r="BI9" s="120"/>
      <c r="BJ9" s="591">
        <v>3</v>
      </c>
      <c r="BK9" s="1061" t="str">
        <f>IFERROR(INDEX(S01_Bard!$AV$6:$AV$35,MATCH(Character_Spellcasting!BJ9,S01_Bard!$AX$69:$AX$98,0),1),"")&amp;IFERROR(INDEX(S02_Cleric!$AV$6:$AV$35,MATCH(Character_Spellcasting!BJ9,S02_Cleric!$AX$69:$AX$98,0),1),"")&amp;IFERROR(INDEX(S03_Druid!$AV$6:$AV$35,MATCH(Character_Spellcasting!BJ9,S03_Druid!$AX$69:$AX$98,0),1),"")&amp;IFERROR(INDEX(S04_EldritchKnight!$AV$6:$AV$35,MATCH(Character_Spellcasting!BJ9,S04_EldritchKnight!$AX$69:$AX$98,0),1),"")&amp;IFERROR(INDEX(S05_Paladin!$AV$6:$AV$35,MATCH(Character_Spellcasting!BJ9,S05_Paladin!$AX$69:$AX$98,0),1),"")&amp;IFERROR(INDEX(S06_Ranger!$AV$6:$AV$35,MATCH(Character_Spellcasting!BJ9,S06_Ranger!$AX$69:$AX$988,0),1),"")&amp;IFERROR(INDEX(S07_ArcaneTrickster!$AV$6:$AV$35,MATCH(Character_Spellcasting!BJ9,S07_ArcaneTrickster!$AX$69:$AX$988,0),1),"")&amp;IFERROR(INDEX(S08_Sorcerer!$AV$6:$AV$35,MATCH(Character_Spellcasting!BJ9,S08_Sorcerer!$AX$69:$AX$98,0),1),"")&amp;IFERROR(INDEX(S09_Warlock!$AV$6:$AV$35,MATCH(Character_Spellcasting!BJ9,S09_Warlock!$AX$69:$AX$98,0),1),"")&amp;IFERROR(INDEX(S10_Wizard!$AV$6:$AV$35,MATCH(Character_Spellcasting!BJ9,S10_Wizard!$AX$69:$AX$98,0),1),"")</f>
        <v/>
      </c>
      <c r="BL9" s="1061"/>
      <c r="BM9" s="1061"/>
      <c r="BN9" s="1061"/>
      <c r="BO9" s="1061"/>
      <c r="BP9" s="1096" t="str">
        <f>IFERROR(INDEX(S01_Bard!$AY$69:$AY$98,MATCH(Character_Spellcasting!BJ9,S01_Bard!$D$69:$D$98,0),1),"")&amp;IFERROR(INDEX(S02_Cleric!$AY$69:$AY$98,MATCH(Character_Spellcasting!BJ9,S02_Cleric!$AX$69:$AX$98,0),1),"")&amp;IFERROR(INDEX(S03_Druid!$AY$69:$AY$98,MATCH(Character_Spellcasting!BJ9,S03_Druid!$AX$69:$AX$98,0),1),"")&amp;IFERROR(INDEX(S04_EldritchKnight!$AY$69:$AY$98,MATCH(Character_Spellcasting!BJ9,S04_EldritchKnight!$AX$69:$AX$98,0),1),"")&amp;IFERROR(INDEX(S05_Paladin!$AY$69:$AY$98,MATCH(Character_Spellcasting!BJ9,S05_Paladin!$AX$69:$AX$98,0),1),"")&amp;IFERROR(INDEX(S06_Ranger!$AY$69:$AY$98,MATCH(Character_Spellcasting!BJ9,S06_Ranger!$AX$69:$AX$988,0),1),"")&amp;IFERROR(INDEX(S07_ArcaneTrickster!$AY$69:$AY$98,MATCH(Character_Spellcasting!BJ9,S07_ArcaneTrickster!$AX$69:$AX$988,0),1),"")&amp;IFERROR(INDEX(S08_Sorcerer!$AY$69:$AY$98,MATCH(Character_Spellcasting!BJ9,S08_Sorcerer!$AX$69:$AX$98,0),1),"")&amp;IFERROR(INDEX(S09_Warlock!$AY$69:$AY$98,MATCH(Character_Spellcasting!BJ9,S09_Warlock!$AX$69:$AX$98,0),1),"")&amp;IFERROR(INDEX(S10_Wizard!$AY$69:$AY$98,MATCH(Character_Spellcasting!BJ9,S10_Wizard!$AX$69:$AX$98,0),1),"")</f>
        <v/>
      </c>
      <c r="BQ9" s="1096"/>
      <c r="BR9" s="567"/>
      <c r="BS9" s="120"/>
      <c r="BT9" s="591">
        <v>3</v>
      </c>
      <c r="BU9" s="1061" t="str">
        <f>IFERROR(INDEX(S01_Bard!$BE$6:$BE$35,MATCH(Character_Spellcasting!BT9,S01_Bard!$BG$69:$BG$98,0),1),"")&amp;IFERROR(INDEX(S02_Cleric!$BE$6:$BE$35,MATCH(Character_Spellcasting!BT9,S02_Cleric!$BG$69:$BG$98,0),1),"")&amp;IFERROR(INDEX(S03_Druid!$BE$6:$BE$35,MATCH(Character_Spellcasting!BT9,S03_Druid!$BG$69:$BG$98,0),1),"")&amp;IFERROR(INDEX(S04_EldritchKnight!$BE$6:$BE$35,MATCH(Character_Spellcasting!BT9,S04_EldritchKnight!$BG$69:$BG$98,0),1),"")&amp;IFERROR(INDEX(S05_Paladin!$BE$6:$BE$35,MATCH(Character_Spellcasting!BT9,S05_Paladin!$BG$69:$BG$98,0),1),"")&amp;IFERROR(INDEX(S06_Ranger!$BE$6:$BE$35,MATCH(Character_Spellcasting!BT9,S06_Ranger!$BG$69:$BG$988,0),1),"")&amp;IFERROR(INDEX(S07_ArcaneTrickster!$BE$6:$BE$35,MATCH(Character_Spellcasting!BT9,S07_ArcaneTrickster!$BG$69:$BG$988,0),1),"")&amp;IFERROR(INDEX(S08_Sorcerer!$BE$6:$BE$35,MATCH(Character_Spellcasting!BT9,S08_Sorcerer!$BG$69:$BG$98,0),1),"")&amp;IFERROR(INDEX(S09_Warlock!$BE$6:$BE$35,MATCH(Character_Spellcasting!BT9,S09_Warlock!$BG$69:$BG$98,0),1),"")&amp;IFERROR(INDEX(S10_Wizard!$BE$6:$BE$35,MATCH(Character_Spellcasting!BT9,S10_Wizard!$BG$69:$BG$98,0),1),"")</f>
        <v/>
      </c>
      <c r="BV9" s="1061"/>
      <c r="BW9" s="1061"/>
      <c r="BX9" s="1061"/>
      <c r="BY9" s="1061"/>
      <c r="BZ9" s="1096" t="str">
        <f>IFERROR(INDEX(S01_Bard!$BH$69:$BH$98,MATCH(Character_Spellcasting!BT9,S01_Bard!$D$69:$D$98,0),1),"")&amp;IFERROR(INDEX(S02_Cleric!$BH$69:$BH$98,MATCH(Character_Spellcasting!BT9,S02_Cleric!$BG$69:$BG$98,0),1),"")&amp;IFERROR(INDEX(S03_Druid!$BH$69:$BH$98,MATCH(Character_Spellcasting!BT9,S03_Druid!$BG$69:$BG$98,0),1),"")&amp;IFERROR(INDEX(S04_EldritchKnight!$BH$69:$BH$98,MATCH(Character_Spellcasting!BT9,S04_EldritchKnight!$BG$69:$BG$98,0),1),"")&amp;IFERROR(INDEX(S05_Paladin!$BH$69:$BH$98,MATCH(Character_Spellcasting!BT9,S05_Paladin!$BG$69:$BG$98,0),1),"")&amp;IFERROR(INDEX(S06_Ranger!$BH$69:$BH$98,MATCH(Character_Spellcasting!BT9,S06_Ranger!$BG$69:$BG$988,0),1),"")&amp;IFERROR(INDEX(S07_ArcaneTrickster!$BH$69:$BH$98,MATCH(Character_Spellcasting!BT9,S07_ArcaneTrickster!$BG$69:$BG$988,0),1),"")&amp;IFERROR(INDEX(S08_Sorcerer!$BH$69:$BH$98,MATCH(Character_Spellcasting!BT9,S08_Sorcerer!$BG$69:$BG$98,0),1),"")&amp;IFERROR(INDEX(S09_Warlock!$BH$69:$BH$98,MATCH(Character_Spellcasting!BT9,S09_Warlock!$BG$69:$BG$98,0),1),"")&amp;IFERROR(INDEX(S10_Wizard!$BH$69:$BH$98,MATCH(Character_Spellcasting!BT9,S10_Wizard!$BG$69:$BG$98,0),1),"")</f>
        <v/>
      </c>
      <c r="CA9" s="1096"/>
      <c r="CB9" s="567"/>
      <c r="CC9" s="120"/>
      <c r="CD9" s="591">
        <v>3</v>
      </c>
      <c r="CE9" s="1061" t="str">
        <f>IFERROR(INDEX(S01_Bard!$BN$6:$BN$35,MATCH(Character_Spellcasting!CD9,S01_Bard!$BP$69:$BP$98,0),1),"")&amp;IFERROR(INDEX(S02_Cleric!$BN$6:$BN$35,MATCH(Character_Spellcasting!CD9,S02_Cleric!$BP$69:$BP$98,0),1),"")&amp;IFERROR(INDEX(S03_Druid!$BN$6:$BN$35,MATCH(Character_Spellcasting!CD9,S03_Druid!$BP$69:$BP$98,0),1),"")&amp;IFERROR(INDEX(S04_EldritchKnight!$BN$6:$BN$35,MATCH(Character_Spellcasting!CD9,S04_EldritchKnight!$BP$69:$BP$98,0),1),"")&amp;IFERROR(INDEX(S05_Paladin!$BN$6:$BN$35,MATCH(Character_Spellcasting!CD9,S05_Paladin!$BP$69:$BP$98,0),1),"")&amp;IFERROR(INDEX(S06_Ranger!$BN$6:$BN$35,MATCH(Character_Spellcasting!CD9,S06_Ranger!$BP$69:$BP$988,0),1),"")&amp;IFERROR(INDEX(S07_ArcaneTrickster!$BN$6:$BN$35,MATCH(Character_Spellcasting!CD9,S07_ArcaneTrickster!$BP$69:$BP$988,0),1),"")&amp;IFERROR(INDEX(S08_Sorcerer!$BN$6:$BN$35,MATCH(Character_Spellcasting!CD9,S08_Sorcerer!$BP$69:$BP$98,0),1),"")&amp;IFERROR(INDEX(S09_Warlock!$BN$6:$BN$35,MATCH(Character_Spellcasting!CD9,S09_Warlock!$BP$69:$BP$98,0),1),"")&amp;IFERROR(INDEX(S10_Wizard!$BN$6:$BN$35,MATCH(Character_Spellcasting!CD9,S10_Wizard!$BP$69:$BP$98,0),1),"")</f>
        <v/>
      </c>
      <c r="CF9" s="1061"/>
      <c r="CG9" s="1061"/>
      <c r="CH9" s="1061"/>
      <c r="CI9" s="1061"/>
      <c r="CJ9" s="1096" t="str">
        <f>IFERROR(INDEX(S01_Bard!$BQ$69:$BQ$98,MATCH(Character_Spellcasting!CD9,S01_Bard!$D$69:$D$98,0),1),"")&amp;IFERROR(INDEX(S02_Cleric!$BQ$69:$BQ$98,MATCH(Character_Spellcasting!CD9,S02_Cleric!$BP$69:$BP$98,0),1),"")&amp;IFERROR(INDEX(S03_Druid!$BQ$69:$BQ$98,MATCH(Character_Spellcasting!CD9,S03_Druid!$BP$69:$BP$98,0),1),"")&amp;IFERROR(INDEX(S04_EldritchKnight!$BQ$69:$BQ$98,MATCH(Character_Spellcasting!CD9,S04_EldritchKnight!$BP$69:$BP$98,0),1),"")&amp;IFERROR(INDEX(S05_Paladin!$BQ$69:$BQ$98,MATCH(Character_Spellcasting!CD9,S05_Paladin!$BP$69:$BP$98,0),1),"")&amp;IFERROR(INDEX(S06_Ranger!$BQ$69:$BQ$98,MATCH(Character_Spellcasting!CD9,S06_Ranger!$BP$69:$BP$988,0),1),"")&amp;IFERROR(INDEX(S07_ArcaneTrickster!$BQ$69:$BQ$98,MATCH(Character_Spellcasting!CD9,S07_ArcaneTrickster!$BP$69:$BP$988,0),1),"")&amp;IFERROR(INDEX(S08_Sorcerer!$BQ$69:$BQ$98,MATCH(Character_Spellcasting!CD9,S08_Sorcerer!$BP$69:$BP$98,0),1),"")&amp;IFERROR(INDEX(S09_Warlock!$BQ$69:$BQ$98,MATCH(Character_Spellcasting!CD9,S09_Warlock!$BP$69:$BP$98,0),1),"")&amp;IFERROR(INDEX(S10_Wizard!$BQ$69:$BQ$98,MATCH(Character_Spellcasting!CD9,S10_Wizard!$BP$69:$BP$98,0),1),"")</f>
        <v/>
      </c>
      <c r="CK9" s="1096"/>
      <c r="CL9" s="567"/>
      <c r="CM9" s="120"/>
      <c r="CN9" s="591">
        <v>3</v>
      </c>
      <c r="CO9" s="1061" t="str">
        <f>IFERROR(INDEX(S01_Bard!$BW$6:$BW$35,MATCH(Character_Spellcasting!CN9,S01_Bard!$BY$69:$BY$98,0),1),"")&amp;IFERROR(INDEX(S02_Cleric!$BW$6:$BW$35,MATCH(Character_Spellcasting!CN9,S02_Cleric!$BY$69:$BY$98,0),1),"")&amp;IFERROR(INDEX(S03_Druid!$BW$6:$BW$35,MATCH(Character_Spellcasting!CN9,S03_Druid!$BY$69:$BY$98,0),1),"")&amp;IFERROR(INDEX(S04_EldritchKnight!$BW$6:$BW$35,MATCH(Character_Spellcasting!CN9,S04_EldritchKnight!$BY$69:$BY$98,0),1),"")&amp;IFERROR(INDEX(S05_Paladin!$BW$6:$BW$35,MATCH(Character_Spellcasting!CN9,S05_Paladin!$BY$69:$BY$98,0),1),"")&amp;IFERROR(INDEX(S06_Ranger!$BW$6:$BW$35,MATCH(Character_Spellcasting!CN9,S06_Ranger!$BY$69:$BY$988,0),1),"")&amp;IFERROR(INDEX(S07_ArcaneTrickster!$BW$6:$BW$35,MATCH(Character_Spellcasting!CN9,S07_ArcaneTrickster!$BY$69:$BY$988,0),1),"")&amp;IFERROR(INDEX(S08_Sorcerer!$BW$6:$BW$35,MATCH(Character_Spellcasting!CN9,S08_Sorcerer!$BY$69:$BY$98,0),1),"")&amp;IFERROR(INDEX(S09_Warlock!$BW$6:$BW$35,MATCH(Character_Spellcasting!CN9,S09_Warlock!$BY$69:$BY$98,0),1),"")&amp;IFERROR(INDEX(S10_Wizard!$BW$6:$BW$35,MATCH(Character_Spellcasting!CN9,S10_Wizard!$BY$69:$BY$98,0),1),"")</f>
        <v/>
      </c>
      <c r="CP9" s="1061"/>
      <c r="CQ9" s="1061"/>
      <c r="CR9" s="1061"/>
      <c r="CS9" s="1061"/>
      <c r="CT9" s="1096" t="str">
        <f>IFERROR(INDEX(S01_Bard!$BZ$69:$BZ$98,MATCH(Character_Spellcasting!CN9,S01_Bard!$D$69:$D$98,0),1),"")&amp;IFERROR(INDEX(S02_Cleric!$BZ$69:$BZ$98,MATCH(Character_Spellcasting!CN9,S02_Cleric!$BY$69:$BY$98,0),1),"")&amp;IFERROR(INDEX(S03_Druid!$BZ$69:$BZ$98,MATCH(Character_Spellcasting!CN9,S03_Druid!$BY$69:$BY$98,0),1),"")&amp;IFERROR(INDEX(S04_EldritchKnight!$BZ$69:$BZ$98,MATCH(Character_Spellcasting!CN9,S04_EldritchKnight!$BY$69:$BY$98,0),1),"")&amp;IFERROR(INDEX(S05_Paladin!$BZ$69:$BZ$98,MATCH(Character_Spellcasting!CN9,S05_Paladin!$BY$69:$BY$98,0),1),"")&amp;IFERROR(INDEX(S06_Ranger!$BZ$69:$BZ$98,MATCH(Character_Spellcasting!CN9,S06_Ranger!$BY$69:$BY$988,0),1),"")&amp;IFERROR(INDEX(S07_ArcaneTrickster!$BZ$69:$BZ$98,MATCH(Character_Spellcasting!CN9,S07_ArcaneTrickster!$BY$69:$BY$988,0),1),"")&amp;IFERROR(INDEX(S08_Sorcerer!$BZ$69:$BZ$98,MATCH(Character_Spellcasting!CN9,S08_Sorcerer!$BY$69:$BY$98,0),1),"")&amp;IFERROR(INDEX(S09_Warlock!$BZ$69:$BZ$98,MATCH(Character_Spellcasting!CN9,S09_Warlock!$BY$69:$BY$98,0),1),"")&amp;IFERROR(INDEX(S10_Wizard!$BZ$69:$BZ$98,MATCH(Character_Spellcasting!CN9,S10_Wizard!$BY$69:$BY$98,0),1),"")</f>
        <v/>
      </c>
      <c r="CU9" s="1096"/>
      <c r="CV9" s="567"/>
      <c r="CW9" s="565"/>
      <c r="CX9" s="565"/>
      <c r="CY9" s="565"/>
      <c r="CZ9" s="565"/>
      <c r="DA9" s="610">
        <v>3</v>
      </c>
      <c r="DB9" s="1061" t="str">
        <f t="shared" si="0"/>
        <v>Shield</v>
      </c>
      <c r="DC9" s="1061"/>
      <c r="DD9" s="1061"/>
      <c r="DE9" s="1061"/>
      <c r="DF9" s="1061"/>
      <c r="DG9" s="1096" t="str">
        <f t="shared" si="1"/>
        <v>Eldritch Knight</v>
      </c>
      <c r="DH9" s="1096"/>
      <c r="DI9" s="565"/>
      <c r="DJ9" s="565"/>
      <c r="DK9" s="565"/>
      <c r="DL9" s="565"/>
      <c r="DM9" s="565"/>
      <c r="DN9" s="565"/>
      <c r="DO9" s="565"/>
      <c r="DP9" s="565"/>
      <c r="DQ9" s="565"/>
      <c r="DR9" s="565"/>
      <c r="DS9" s="565"/>
      <c r="DT9" s="565"/>
      <c r="DU9" s="565"/>
      <c r="DV9" s="565"/>
    </row>
    <row r="10" spans="1:126" ht="21" x14ac:dyDescent="0.25">
      <c r="A10" s="120"/>
      <c r="B10" s="610">
        <v>4</v>
      </c>
      <c r="C10" s="1061"/>
      <c r="D10" s="1061"/>
      <c r="E10" s="1061"/>
      <c r="F10" s="1061"/>
      <c r="G10" s="1061"/>
      <c r="H10" s="1096"/>
      <c r="I10" s="1096"/>
      <c r="J10" s="120"/>
      <c r="K10" s="120"/>
      <c r="L10" s="591">
        <v>4</v>
      </c>
      <c r="M10" s="1061" t="str">
        <f>IFERROR(INDEX(S01_Bard!$C$6:$C$35,MATCH(Character_Spellcasting!L10,S01_Bard!$E$69:$E$98,0),1),"")&amp;IFERROR(INDEX(S02_Cleric!$C$6:$C$35,MATCH(Character_Spellcasting!L10,S02_Cleric!$E$69:$E$98,0),1),"")&amp;IFERROR(INDEX(S03_Druid!$C$6:$C$35,MATCH(Character_Spellcasting!L10,S03_Druid!$E$69:$E$98,0),1),"")&amp;IFERROR(INDEX(S04_EldritchKnight!$C$6:$C$35,MATCH(Character_Spellcasting!L10,S04_EldritchKnight!$E$69:$E$98,0),1),"")&amp;IFERROR(INDEX(S05_Paladin!$C$6:$C$35,MATCH(Character_Spellcasting!L10,S05_Paladin!$E$69:$E$98,0),1),"")&amp;IFERROR(INDEX(S06_Ranger!$C$6:$C$35,MATCH(Character_Spellcasting!L10,S06_Ranger!$E$69:$E$988,0),1),"")&amp;IFERROR(INDEX(S07_ArcaneTrickster!$C$6:$C$35,MATCH(Character_Spellcasting!L10,S07_ArcaneTrickster!$E$69:$E$988,0),1),"")&amp;IFERROR(INDEX(S08_Sorcerer!$C$6:$C$35,MATCH(Character_Spellcasting!L10,S08_Sorcerer!$E$69:$E$98,0),1),"")&amp;IFERROR(INDEX(S09_Warlock!$C$6:$C$35,MATCH(Character_Spellcasting!L10,S09_Warlock!$E$69:$E$98,0),1),"")&amp;IFERROR(INDEX(S10_Wizard!$C$6:$C$35,MATCH(Character_Spellcasting!L10,S10_Wizard!$E$69:$E$98,0),1),"")</f>
        <v>Thunderwave</v>
      </c>
      <c r="N10" s="1061"/>
      <c r="O10" s="1061"/>
      <c r="P10" s="1061"/>
      <c r="Q10" s="1061"/>
      <c r="R10" s="1096" t="str">
        <f>IFERROR(INDEX(S01_Bard!$F$69:$F$98,MATCH(Character_Spellcasting!L10,S01_Bard!$D$69:$D$98,0),1),"")&amp;IFERROR(INDEX(S02_Cleric!$F$69:$F$98,MATCH(Character_Spellcasting!L10,S02_Cleric!$E$69:$E$98,0),1),"")&amp;IFERROR(INDEX(S03_Druid!$F$69:$F$98,MATCH(Character_Spellcasting!L10,S03_Druid!$E$69:$E$98,0),1),"")&amp;IFERROR(INDEX(S04_EldritchKnight!$F$69:$F$98,MATCH(Character_Spellcasting!L10,S04_EldritchKnight!$E$69:$E$98,0),1),"")&amp;IFERROR(INDEX(S05_Paladin!$F$69:$F$98,MATCH(Character_Spellcasting!L10,S05_Paladin!$E$69:$E$98,0),1),"")&amp;IFERROR(INDEX(S06_Ranger!$F$69:$F$98,MATCH(Character_Spellcasting!L10,S06_Ranger!$E$69:$E$988,0),1),"")&amp;IFERROR(INDEX(S07_ArcaneTrickster!$F$69:$F$98,MATCH(Character_Spellcasting!L10,S07_ArcaneTrickster!$E$69:$E$988,0),1),"")&amp;IFERROR(INDEX(S08_Sorcerer!$F$69:$F$98,MATCH(Character_Spellcasting!L10,S08_Sorcerer!$E$69:$E$98,0),1),"")&amp;IFERROR(INDEX(S09_Warlock!$F$69:$F$98,MATCH(Character_Spellcasting!L10,S09_Warlock!$E$69:$E$98,0),1),"")&amp;IFERROR(INDEX(S10_Wizard!$F$69:$F$98,MATCH(Character_Spellcasting!L10,S10_Wizard!$E$69:$E$98,0),1),"")</f>
        <v>Eldritch Knight</v>
      </c>
      <c r="S10" s="1096"/>
      <c r="T10" s="567"/>
      <c r="U10" s="565"/>
      <c r="V10" s="591">
        <v>4</v>
      </c>
      <c r="W10" s="1061" t="str">
        <f>IFERROR(INDEX(S01_Bard!$L$6:$L$35,MATCH(Character_Spellcasting!V10,S01_Bard!$N$69:$N$98,0),1),"")&amp;IFERROR(INDEX(S02_Cleric!$L$6:$L$35,MATCH(Character_Spellcasting!V10,S02_Cleric!$N$69:$N$98,0),1),"")&amp;IFERROR(INDEX(S03_Druid!$L$6:$L$35,MATCH(Character_Spellcasting!V10,S03_Druid!$N$69:$N$98,0),1),"")&amp;IFERROR(INDEX(S04_EldritchKnight!$L$6:$L$35,MATCH(Character_Spellcasting!V10,S04_EldritchKnight!$N$69:$N$98,0),1),"")&amp;IFERROR(INDEX(S05_Paladin!$L$6:$L$35,MATCH(Character_Spellcasting!V10,S05_Paladin!$N$69:$N$98,0),1),"")&amp;IFERROR(INDEX(S06_Ranger!$L$6:$L$35,MATCH(Character_Spellcasting!V10,S06_Ranger!$N$69:$N$988,0),1),"")&amp;IFERROR(INDEX(S07_ArcaneTrickster!$L$6:$L$35,MATCH(Character_Spellcasting!V10,S07_ArcaneTrickster!$N$69:$N$988,0),1),"")&amp;IFERROR(INDEX(S08_Sorcerer!$L$6:$L$35,MATCH(Character_Spellcasting!V10,S08_Sorcerer!$N$69:$N$98,0),1),"")&amp;IFERROR(INDEX(S09_Warlock!$L$6:$L$35,MATCH(Character_Spellcasting!V10,S09_Warlock!$N$69:$N$98,0),1),"")&amp;IFERROR(INDEX(S10_Wizard!$L$6:$L$35,MATCH(Character_Spellcasting!V10,S10_Wizard!$N$69:$N$98,0),1),"")</f>
        <v/>
      </c>
      <c r="X10" s="1061"/>
      <c r="Y10" s="1061"/>
      <c r="Z10" s="1061"/>
      <c r="AA10" s="1061"/>
      <c r="AB10" s="1097" t="str">
        <f>IFERROR(INDEX(S01_Bard!$O$69:$O$98,MATCH(Character_Spellcasting!V10,S01_Bard!$N$69:$N$98,0),1),"")&amp;IFERROR(INDEX(S02_Cleric!$O$69:$O$98,MATCH(Character_Spellcasting!V10,S02_Cleric!$N$69:$N$98,0),1),"")&amp;IFERROR(INDEX(S03_Druid!$O$69:$O$98,MATCH(Character_Spellcasting!V10,S03_Druid!$N$69:$N$98,0),1),"")&amp;IFERROR(INDEX(S04_EldritchKnight!$O$69:$O$98,MATCH(Character_Spellcasting!V10,S04_EldritchKnight!$N$69:$N$98,0),1),"")&amp;IFERROR(INDEX(S05_Paladin!$O$69:$O$98,MATCH(Character_Spellcasting!V10,S05_Paladin!$N$69:$N$98,0),1),"")&amp;IFERROR(INDEX(S06_Ranger!$O$69:$O$98,MATCH(Character_Spellcasting!V10,S06_Ranger!$N$69:$N$988,0),1),"")&amp;IFERROR(INDEX(S07_ArcaneTrickster!$O$69:$O$98,MATCH(Character_Spellcasting!V10,S07_ArcaneTrickster!$N$69:$N$988,0),1),"")&amp;IFERROR(INDEX(S08_Sorcerer!$O$69:$O$98,MATCH(Character_Spellcasting!V10,S08_Sorcerer!$N$69:$N$98,0),1),"")&amp;IFERROR(INDEX(S09_Warlock!$O$69:$O$98,MATCH(Character_Spellcasting!V10,S09_Warlock!$N$69:$N$98,0),1),"")&amp;IFERROR(INDEX(S10_Wizard!$O$69:$O$98,MATCH(Character_Spellcasting!V10,S10_Wizard!$N$69:$N$98,0),1),"")</f>
        <v/>
      </c>
      <c r="AC10" s="1098"/>
      <c r="AD10" s="567"/>
      <c r="AE10" s="565"/>
      <c r="AF10" s="609">
        <v>4</v>
      </c>
      <c r="AG10" s="1061" t="str">
        <f>IFERROR(INDEX(S01_Bard!$U$6:$U$35,MATCH(Character_Spellcasting!AF10,S01_Bard!$W$69:$W$98,0),1),"")&amp;IFERROR(INDEX(S02_Cleric!$U$6:$U$35,MATCH(Character_Spellcasting!AF10,S02_Cleric!$W$69:$W$98,0),1),"")&amp;IFERROR(INDEX(S03_Druid!$U$6:$U$35,MATCH(Character_Spellcasting!AF10,S03_Druid!$W$69:$W$98,0),1),"")&amp;IFERROR(INDEX(S04_EldritchKnight!$U$6:$U$35,MATCH(Character_Spellcasting!AF10,S04_EldritchKnight!$W$69:$W$98,0),1),"")&amp;IFERROR(INDEX(S05_Paladin!$U$6:$U$35,MATCH(Character_Spellcasting!AF10,S05_Paladin!$W$69:$W$98,0),1),"")&amp;IFERROR(INDEX(S06_Ranger!$U$6:$U$35,MATCH(Character_Spellcasting!AF10,S06_Ranger!$W$69:$W$988,0),1),"")&amp;IFERROR(INDEX(S07_ArcaneTrickster!$U$6:$U$35,MATCH(Character_Spellcasting!AF10,S07_ArcaneTrickster!$W$69:$W$988,0),1),"")&amp;IFERROR(INDEX(S08_Sorcerer!$U$6:$U$35,MATCH(Character_Spellcasting!AF10,S08_Sorcerer!$W$69:$W$98,0),1),"")&amp;IFERROR(INDEX(S09_Warlock!$U$6:$U$35,MATCH(Character_Spellcasting!AF10,S09_Warlock!$W$69:$W$98,0),1),"")&amp;IFERROR(INDEX(S10_Wizard!$U$6:$U$35,MATCH(Character_Spellcasting!AF10,S10_Wizard!$W$69:$W$98,0),1),"")</f>
        <v/>
      </c>
      <c r="AH10" s="1061"/>
      <c r="AI10" s="1061"/>
      <c r="AJ10" s="1061"/>
      <c r="AK10" s="1061"/>
      <c r="AL10" s="1097" t="str">
        <f>IFERROR(INDEX(S01_Bard!$X$69:$X$98,MATCH(Character_Spellcasting!AF10,S01_Bard!$W$69:$W$98,0),1),"")&amp;IFERROR(INDEX(S02_Cleric!$X$69:$X$98,MATCH(Character_Spellcasting!AF10,S02_Cleric!$W$69:$W$98,0),1),"")&amp;IFERROR(INDEX(S03_Druid!$X$69:$X$98,MATCH(Character_Spellcasting!AF10,S03_Druid!$W$69:$W$98,0),1),"")&amp;IFERROR(INDEX(S04_EldritchKnight!$X$69:$X$98,MATCH(Character_Spellcasting!AF10,S04_EldritchKnight!$W$69:$W$98,0),1),"")&amp;IFERROR(INDEX(S05_Paladin!$X$69:$X$98,MATCH(Character_Spellcasting!AF10,S05_Paladin!$W$69:$W$98,0),1),"")&amp;IFERROR(INDEX(S06_Ranger!$X$69:$X$98,MATCH(Character_Spellcasting!AF10,S06_Ranger!$W$69:$W$988,0),1),"")&amp;IFERROR(INDEX(S07_ArcaneTrickster!$X$69:$X$98,MATCH(Character_Spellcasting!AF10,S07_ArcaneTrickster!$W$69:$W$988,0),1),"")&amp;IFERROR(INDEX(S08_Sorcerer!$X$69:$X$98,MATCH(Character_Spellcasting!AF10,S08_Sorcerer!$W$69:$W$98,0),1),"")&amp;IFERROR(INDEX(S09_Warlock!$X$69:$X$98,MATCH(Character_Spellcasting!AF10,S09_Warlock!$W$69:$W$98,0),1),"")&amp;IFERROR(INDEX(S10_Wizard!$X$69:$X$98,MATCH(Character_Spellcasting!AF10,S10_Wizard!$W$69:$W$98,0),1),"")</f>
        <v/>
      </c>
      <c r="AM10" s="1098"/>
      <c r="AN10" s="567"/>
      <c r="AO10" s="565"/>
      <c r="AP10" s="591">
        <v>4</v>
      </c>
      <c r="AQ10" s="1061" t="str">
        <f>IFERROR(INDEX(S01_Bard!$AD$6:$AD$35,MATCH(Character_Spellcasting!AP10,S01_Bard!$AF$69:$AF$98,0),1),"")&amp;IFERROR(INDEX(S02_Cleric!$AD$6:$AD$35,MATCH(Character_Spellcasting!AP10,S02_Cleric!$AF$69:$AF$98,0),1),"")&amp;IFERROR(INDEX(S03_Druid!$AD$6:$AD$35,MATCH(Character_Spellcasting!AP10,S03_Druid!$AF$69:$AF$98,0),1),"")&amp;IFERROR(INDEX(S04_EldritchKnight!$AD$6:$AD$35,MATCH(Character_Spellcasting!AP10,S04_EldritchKnight!$AF$69:$AF$98,0),1),"")&amp;IFERROR(INDEX(S05_Paladin!$AD$6:$AD$35,MATCH(Character_Spellcasting!AP10,S05_Paladin!$AF$69:$AF$98,0),1),"")&amp;IFERROR(INDEX(S06_Ranger!$AD$6:$AD$35,MATCH(Character_Spellcasting!AP10,S06_Ranger!$AF$69:$AF$988,0),1),"")&amp;IFERROR(INDEX(S07_ArcaneTrickster!$AD$6:$AD$35,MATCH(Character_Spellcasting!AP10,S07_ArcaneTrickster!$AF$69:$AF$988,0),1),"")&amp;IFERROR(INDEX(S08_Sorcerer!$AD$6:$AD$35,MATCH(Character_Spellcasting!AP10,S08_Sorcerer!$AF$69:$AF$98,0),1),"")&amp;IFERROR(INDEX(S09_Warlock!$AD$6:$AD$35,MATCH(Character_Spellcasting!AP10,S09_Warlock!$AF$69:$AF$98,0),1),"")&amp;IFERROR(INDEX(S10_Wizard!$AD$6:$AD$35,MATCH(Character_Spellcasting!AP10,S10_Wizard!$AF$69:$AF$98,0),1),"")</f>
        <v/>
      </c>
      <c r="AR10" s="1061"/>
      <c r="AS10" s="1061"/>
      <c r="AT10" s="1061"/>
      <c r="AU10" s="1061"/>
      <c r="AV10" s="1096" t="str">
        <f>IFERROR(INDEX(S01_Bard!$AG$69:$AG$98,MATCH(Character_Spellcasting!AP10,S01_Bard!$D$69:$D$98,0),1),"")&amp;IFERROR(INDEX(S02_Cleric!$AG$69:$AG$98,MATCH(Character_Spellcasting!AP10,S02_Cleric!$AF$69:$AF$98,0),1),"")&amp;IFERROR(INDEX(S03_Druid!$AG$69:$AG$98,MATCH(Character_Spellcasting!AP10,S03_Druid!$AF$69:$AF$98,0),1),"")&amp;IFERROR(INDEX(S04_EldritchKnight!$AG$69:$AG$98,MATCH(Character_Spellcasting!AP10,S04_EldritchKnight!$AF$69:$AF$98,0),1),"")&amp;IFERROR(INDEX(S05_Paladin!$AG$69:$AG$98,MATCH(Character_Spellcasting!AP10,S05_Paladin!$AF$69:$AF$98,0),1),"")&amp;IFERROR(INDEX(S06_Ranger!$AG$69:$AG$98,MATCH(Character_Spellcasting!AP10,S06_Ranger!$AF$69:$AF$988,0),1),"")&amp;IFERROR(INDEX(S07_ArcaneTrickster!$AG$69:$AG$98,MATCH(Character_Spellcasting!AP10,S07_ArcaneTrickster!$AF$69:$AF$988,0),1),"")&amp;IFERROR(INDEX(S08_Sorcerer!$AG$69:$AG$98,MATCH(Character_Spellcasting!AP10,S08_Sorcerer!$AF$69:$AF$98,0),1),"")&amp;IFERROR(INDEX(S09_Warlock!$AG$69:$AG$98,MATCH(Character_Spellcasting!AP10,S09_Warlock!$AF$69:$AF$98,0),1),"")&amp;IFERROR(INDEX(S10_Wizard!$AG$69:$AG$98,MATCH(Character_Spellcasting!AP10,S10_Wizard!$AF$69:$AF$98,0),1),"")</f>
        <v/>
      </c>
      <c r="AW10" s="1096"/>
      <c r="AX10" s="567"/>
      <c r="AY10" s="565"/>
      <c r="AZ10" s="591">
        <v>4</v>
      </c>
      <c r="BA10" s="1061" t="str">
        <f>IFERROR(INDEX(S01_Bard!$AM$6:$AM$35,MATCH(Character_Spellcasting!AZ10,S01_Bard!$AO$69:$AO$98,0),1),"")&amp;IFERROR(INDEX(S02_Cleric!$AM$6:$AM$35,MATCH(Character_Spellcasting!AZ10,S02_Cleric!$AO$69:$AO$98,0),1),"")&amp;IFERROR(INDEX(S03_Druid!$AM$6:$AM$35,MATCH(Character_Spellcasting!AZ10,S03_Druid!$AO$69:$AO$98,0),1),"")&amp;IFERROR(INDEX(S04_EldritchKnight!$AM$6:$AM$35,MATCH(Character_Spellcasting!AZ10,S04_EldritchKnight!$AO$69:$AO$98,0),1),"")&amp;IFERROR(INDEX(S05_Paladin!$AM$6:$AM$35,MATCH(Character_Spellcasting!AZ10,S05_Paladin!$AO$69:$AO$98,0),1),"")&amp;IFERROR(INDEX(S06_Ranger!$AM$6:$AM$35,MATCH(Character_Spellcasting!AZ10,S06_Ranger!$AO$69:$AO$988,0),1),"")&amp;IFERROR(INDEX(S07_ArcaneTrickster!$AM$6:$AM$35,MATCH(Character_Spellcasting!AZ10,S07_ArcaneTrickster!$AO$69:$AO$988,0),1),"")&amp;IFERROR(INDEX(S08_Sorcerer!$AM$6:$AM$35,MATCH(Character_Spellcasting!AZ10,S08_Sorcerer!$AO$69:$AO$98,0),1),"")&amp;IFERROR(INDEX(S09_Warlock!$AM$6:$AM$35,MATCH(Character_Spellcasting!AZ10,S09_Warlock!$AO$69:$AO$98,0),1),"")&amp;IFERROR(INDEX(S10_Wizard!$AM$6:$AM$35,MATCH(Character_Spellcasting!AZ10,S10_Wizard!$AO$69:$AO$98,0),1),"")</f>
        <v/>
      </c>
      <c r="BB10" s="1061"/>
      <c r="BC10" s="1061"/>
      <c r="BD10" s="1061"/>
      <c r="BE10" s="1061"/>
      <c r="BF10" s="1096" t="str">
        <f>IFERROR(INDEX(S01_Bard!$AP$69:$AP$98,MATCH(Character_Spellcasting!AZ10,S01_Bard!$D$69:$D$98,0),1),"")&amp;IFERROR(INDEX(S02_Cleric!$AP$69:$AP$98,MATCH(Character_Spellcasting!AZ10,S02_Cleric!$AO$69:$AO$98,0),1),"")&amp;IFERROR(INDEX(S03_Druid!$AP$69:$AP$98,MATCH(Character_Spellcasting!AZ10,S03_Druid!$AO$69:$AO$98,0),1),"")&amp;IFERROR(INDEX(S04_EldritchKnight!$AP$69:$AP$98,MATCH(Character_Spellcasting!AZ10,S04_EldritchKnight!$AO$69:$AO$98,0),1),"")&amp;IFERROR(INDEX(S05_Paladin!$AP$69:$AP$98,MATCH(Character_Spellcasting!AZ10,S05_Paladin!$AO$69:$AO$98,0),1),"")&amp;IFERROR(INDEX(S06_Ranger!$AP$69:$AP$98,MATCH(Character_Spellcasting!AZ10,S06_Ranger!$AO$69:$AO$988,0),1),"")&amp;IFERROR(INDEX(S07_ArcaneTrickster!$AP$69:$AP$98,MATCH(Character_Spellcasting!AZ10,S07_ArcaneTrickster!$AO$69:$AO$988,0),1),"")&amp;IFERROR(INDEX(S08_Sorcerer!$AP$69:$AP$98,MATCH(Character_Spellcasting!AZ10,S08_Sorcerer!$AO$69:$AO$98,0),1),"")&amp;IFERROR(INDEX(S09_Warlock!$AP$69:$AP$98,MATCH(Character_Spellcasting!AZ10,S09_Warlock!$AO$69:$AO$98,0),1),"")&amp;IFERROR(INDEX(S10_Wizard!$AP$69:$AP$98,MATCH(Character_Spellcasting!AZ10,S10_Wizard!$AO$69:$AO$98,0),1),"")</f>
        <v/>
      </c>
      <c r="BG10" s="1096"/>
      <c r="BH10" s="567"/>
      <c r="BI10" s="120"/>
      <c r="BJ10" s="591">
        <v>4</v>
      </c>
      <c r="BK10" s="1061" t="str">
        <f>IFERROR(INDEX(S01_Bard!$AV$6:$AV$35,MATCH(Character_Spellcasting!BJ10,S01_Bard!$AX$69:$AX$98,0),1),"")&amp;IFERROR(INDEX(S02_Cleric!$AV$6:$AV$35,MATCH(Character_Spellcasting!BJ10,S02_Cleric!$AX$69:$AX$98,0),1),"")&amp;IFERROR(INDEX(S03_Druid!$AV$6:$AV$35,MATCH(Character_Spellcasting!BJ10,S03_Druid!$AX$69:$AX$98,0),1),"")&amp;IFERROR(INDEX(S04_EldritchKnight!$AV$6:$AV$35,MATCH(Character_Spellcasting!BJ10,S04_EldritchKnight!$AX$69:$AX$98,0),1),"")&amp;IFERROR(INDEX(S05_Paladin!$AV$6:$AV$35,MATCH(Character_Spellcasting!BJ10,S05_Paladin!$AX$69:$AX$98,0),1),"")&amp;IFERROR(INDEX(S06_Ranger!$AV$6:$AV$35,MATCH(Character_Spellcasting!BJ10,S06_Ranger!$AX$69:$AX$988,0),1),"")&amp;IFERROR(INDEX(S07_ArcaneTrickster!$AV$6:$AV$35,MATCH(Character_Spellcasting!BJ10,S07_ArcaneTrickster!$AX$69:$AX$988,0),1),"")&amp;IFERROR(INDEX(S08_Sorcerer!$AV$6:$AV$35,MATCH(Character_Spellcasting!BJ10,S08_Sorcerer!$AX$69:$AX$98,0),1),"")&amp;IFERROR(INDEX(S09_Warlock!$AV$6:$AV$35,MATCH(Character_Spellcasting!BJ10,S09_Warlock!$AX$69:$AX$98,0),1),"")&amp;IFERROR(INDEX(S10_Wizard!$AV$6:$AV$35,MATCH(Character_Spellcasting!BJ10,S10_Wizard!$AX$69:$AX$98,0),1),"")</f>
        <v/>
      </c>
      <c r="BL10" s="1061"/>
      <c r="BM10" s="1061"/>
      <c r="BN10" s="1061"/>
      <c r="BO10" s="1061"/>
      <c r="BP10" s="1096" t="str">
        <f>IFERROR(INDEX(S01_Bard!$AY$69:$AY$98,MATCH(Character_Spellcasting!BJ10,S01_Bard!$D$69:$D$98,0),1),"")&amp;IFERROR(INDEX(S02_Cleric!$AY$69:$AY$98,MATCH(Character_Spellcasting!BJ10,S02_Cleric!$AX$69:$AX$98,0),1),"")&amp;IFERROR(INDEX(S03_Druid!$AY$69:$AY$98,MATCH(Character_Spellcasting!BJ10,S03_Druid!$AX$69:$AX$98,0),1),"")&amp;IFERROR(INDEX(S04_EldritchKnight!$AY$69:$AY$98,MATCH(Character_Spellcasting!BJ10,S04_EldritchKnight!$AX$69:$AX$98,0),1),"")&amp;IFERROR(INDEX(S05_Paladin!$AY$69:$AY$98,MATCH(Character_Spellcasting!BJ10,S05_Paladin!$AX$69:$AX$98,0),1),"")&amp;IFERROR(INDEX(S06_Ranger!$AY$69:$AY$98,MATCH(Character_Spellcasting!BJ10,S06_Ranger!$AX$69:$AX$988,0),1),"")&amp;IFERROR(INDEX(S07_ArcaneTrickster!$AY$69:$AY$98,MATCH(Character_Spellcasting!BJ10,S07_ArcaneTrickster!$AX$69:$AX$988,0),1),"")&amp;IFERROR(INDEX(S08_Sorcerer!$AY$69:$AY$98,MATCH(Character_Spellcasting!BJ10,S08_Sorcerer!$AX$69:$AX$98,0),1),"")&amp;IFERROR(INDEX(S09_Warlock!$AY$69:$AY$98,MATCH(Character_Spellcasting!BJ10,S09_Warlock!$AX$69:$AX$98,0),1),"")&amp;IFERROR(INDEX(S10_Wizard!$AY$69:$AY$98,MATCH(Character_Spellcasting!BJ10,S10_Wizard!$AX$69:$AX$98,0),1),"")</f>
        <v/>
      </c>
      <c r="BQ10" s="1096"/>
      <c r="BR10" s="567"/>
      <c r="BS10" s="120"/>
      <c r="BT10" s="591">
        <v>4</v>
      </c>
      <c r="BU10" s="1061" t="str">
        <f>IFERROR(INDEX(S01_Bard!$BE$6:$BE$35,MATCH(Character_Spellcasting!BT10,S01_Bard!$BG$69:$BG$98,0),1),"")&amp;IFERROR(INDEX(S02_Cleric!$BE$6:$BE$35,MATCH(Character_Spellcasting!BT10,S02_Cleric!$BG$69:$BG$98,0),1),"")&amp;IFERROR(INDEX(S03_Druid!$BE$6:$BE$35,MATCH(Character_Spellcasting!BT10,S03_Druid!$BG$69:$BG$98,0),1),"")&amp;IFERROR(INDEX(S04_EldritchKnight!$BE$6:$BE$35,MATCH(Character_Spellcasting!BT10,S04_EldritchKnight!$BG$69:$BG$98,0),1),"")&amp;IFERROR(INDEX(S05_Paladin!$BE$6:$BE$35,MATCH(Character_Spellcasting!BT10,S05_Paladin!$BG$69:$BG$98,0),1),"")&amp;IFERROR(INDEX(S06_Ranger!$BE$6:$BE$35,MATCH(Character_Spellcasting!BT10,S06_Ranger!$BG$69:$BG$988,0),1),"")&amp;IFERROR(INDEX(S07_ArcaneTrickster!$BE$6:$BE$35,MATCH(Character_Spellcasting!BT10,S07_ArcaneTrickster!$BG$69:$BG$988,0),1),"")&amp;IFERROR(INDEX(S08_Sorcerer!$BE$6:$BE$35,MATCH(Character_Spellcasting!BT10,S08_Sorcerer!$BG$69:$BG$98,0),1),"")&amp;IFERROR(INDEX(S09_Warlock!$BE$6:$BE$35,MATCH(Character_Spellcasting!BT10,S09_Warlock!$BG$69:$BG$98,0),1),"")&amp;IFERROR(INDEX(S10_Wizard!$BE$6:$BE$35,MATCH(Character_Spellcasting!BT10,S10_Wizard!$BG$69:$BG$98,0),1),"")</f>
        <v/>
      </c>
      <c r="BV10" s="1061"/>
      <c r="BW10" s="1061"/>
      <c r="BX10" s="1061"/>
      <c r="BY10" s="1061"/>
      <c r="BZ10" s="1096" t="str">
        <f>IFERROR(INDEX(S01_Bard!$BH$69:$BH$98,MATCH(Character_Spellcasting!BT10,S01_Bard!$D$69:$D$98,0),1),"")&amp;IFERROR(INDEX(S02_Cleric!$BH$69:$BH$98,MATCH(Character_Spellcasting!BT10,S02_Cleric!$BG$69:$BG$98,0),1),"")&amp;IFERROR(INDEX(S03_Druid!$BH$69:$BH$98,MATCH(Character_Spellcasting!BT10,S03_Druid!$BG$69:$BG$98,0),1),"")&amp;IFERROR(INDEX(S04_EldritchKnight!$BH$69:$BH$98,MATCH(Character_Spellcasting!BT10,S04_EldritchKnight!$BG$69:$BG$98,0),1),"")&amp;IFERROR(INDEX(S05_Paladin!$BH$69:$BH$98,MATCH(Character_Spellcasting!BT10,S05_Paladin!$BG$69:$BG$98,0),1),"")&amp;IFERROR(INDEX(S06_Ranger!$BH$69:$BH$98,MATCH(Character_Spellcasting!BT10,S06_Ranger!$BG$69:$BG$988,0),1),"")&amp;IFERROR(INDEX(S07_ArcaneTrickster!$BH$69:$BH$98,MATCH(Character_Spellcasting!BT10,S07_ArcaneTrickster!$BG$69:$BG$988,0),1),"")&amp;IFERROR(INDEX(S08_Sorcerer!$BH$69:$BH$98,MATCH(Character_Spellcasting!BT10,S08_Sorcerer!$BG$69:$BG$98,0),1),"")&amp;IFERROR(INDEX(S09_Warlock!$BH$69:$BH$98,MATCH(Character_Spellcasting!BT10,S09_Warlock!$BG$69:$BG$98,0),1),"")&amp;IFERROR(INDEX(S10_Wizard!$BH$69:$BH$98,MATCH(Character_Spellcasting!BT10,S10_Wizard!$BG$69:$BG$98,0),1),"")</f>
        <v/>
      </c>
      <c r="CA10" s="1096"/>
      <c r="CB10" s="567"/>
      <c r="CC10" s="120"/>
      <c r="CD10" s="591">
        <v>4</v>
      </c>
      <c r="CE10" s="1061" t="str">
        <f>IFERROR(INDEX(S01_Bard!$BN$6:$BN$35,MATCH(Character_Spellcasting!CD10,S01_Bard!$BP$69:$BP$98,0),1),"")&amp;IFERROR(INDEX(S02_Cleric!$BN$6:$BN$35,MATCH(Character_Spellcasting!CD10,S02_Cleric!$BP$69:$BP$98,0),1),"")&amp;IFERROR(INDEX(S03_Druid!$BN$6:$BN$35,MATCH(Character_Spellcasting!CD10,S03_Druid!$BP$69:$BP$98,0),1),"")&amp;IFERROR(INDEX(S04_EldritchKnight!$BN$6:$BN$35,MATCH(Character_Spellcasting!CD10,S04_EldritchKnight!$BP$69:$BP$98,0),1),"")&amp;IFERROR(INDEX(S05_Paladin!$BN$6:$BN$35,MATCH(Character_Spellcasting!CD10,S05_Paladin!$BP$69:$BP$98,0),1),"")&amp;IFERROR(INDEX(S06_Ranger!$BN$6:$BN$35,MATCH(Character_Spellcasting!CD10,S06_Ranger!$BP$69:$BP$988,0),1),"")&amp;IFERROR(INDEX(S07_ArcaneTrickster!$BN$6:$BN$35,MATCH(Character_Spellcasting!CD10,S07_ArcaneTrickster!$BP$69:$BP$988,0),1),"")&amp;IFERROR(INDEX(S08_Sorcerer!$BN$6:$BN$35,MATCH(Character_Spellcasting!CD10,S08_Sorcerer!$BP$69:$BP$98,0),1),"")&amp;IFERROR(INDEX(S09_Warlock!$BN$6:$BN$35,MATCH(Character_Spellcasting!CD10,S09_Warlock!$BP$69:$BP$98,0),1),"")&amp;IFERROR(INDEX(S10_Wizard!$BN$6:$BN$35,MATCH(Character_Spellcasting!CD10,S10_Wizard!$BP$69:$BP$98,0),1),"")</f>
        <v/>
      </c>
      <c r="CF10" s="1061"/>
      <c r="CG10" s="1061"/>
      <c r="CH10" s="1061"/>
      <c r="CI10" s="1061"/>
      <c r="CJ10" s="1096" t="str">
        <f>IFERROR(INDEX(S01_Bard!$BQ$69:$BQ$98,MATCH(Character_Spellcasting!CD10,S01_Bard!$D$69:$D$98,0),1),"")&amp;IFERROR(INDEX(S02_Cleric!$BQ$69:$BQ$98,MATCH(Character_Spellcasting!CD10,S02_Cleric!$BP$69:$BP$98,0),1),"")&amp;IFERROR(INDEX(S03_Druid!$BQ$69:$BQ$98,MATCH(Character_Spellcasting!CD10,S03_Druid!$BP$69:$BP$98,0),1),"")&amp;IFERROR(INDEX(S04_EldritchKnight!$BQ$69:$BQ$98,MATCH(Character_Spellcasting!CD10,S04_EldritchKnight!$BP$69:$BP$98,0),1),"")&amp;IFERROR(INDEX(S05_Paladin!$BQ$69:$BQ$98,MATCH(Character_Spellcasting!CD10,S05_Paladin!$BP$69:$BP$98,0),1),"")&amp;IFERROR(INDEX(S06_Ranger!$BQ$69:$BQ$98,MATCH(Character_Spellcasting!CD10,S06_Ranger!$BP$69:$BP$988,0),1),"")&amp;IFERROR(INDEX(S07_ArcaneTrickster!$BQ$69:$BQ$98,MATCH(Character_Spellcasting!CD10,S07_ArcaneTrickster!$BP$69:$BP$988,0),1),"")&amp;IFERROR(INDEX(S08_Sorcerer!$BQ$69:$BQ$98,MATCH(Character_Spellcasting!CD10,S08_Sorcerer!$BP$69:$BP$98,0),1),"")&amp;IFERROR(INDEX(S09_Warlock!$BQ$69:$BQ$98,MATCH(Character_Spellcasting!CD10,S09_Warlock!$BP$69:$BP$98,0),1),"")&amp;IFERROR(INDEX(S10_Wizard!$BQ$69:$BQ$98,MATCH(Character_Spellcasting!CD10,S10_Wizard!$BP$69:$BP$98,0),1),"")</f>
        <v/>
      </c>
      <c r="CK10" s="1096"/>
      <c r="CL10" s="567"/>
      <c r="CM10" s="120"/>
      <c r="CN10" s="591">
        <v>4</v>
      </c>
      <c r="CO10" s="1061" t="str">
        <f>IFERROR(INDEX(S01_Bard!$BW$6:$BW$35,MATCH(Character_Spellcasting!CN10,S01_Bard!$BY$69:$BY$98,0),1),"")&amp;IFERROR(INDEX(S02_Cleric!$BW$6:$BW$35,MATCH(Character_Spellcasting!CN10,S02_Cleric!$BY$69:$BY$98,0),1),"")&amp;IFERROR(INDEX(S03_Druid!$BW$6:$BW$35,MATCH(Character_Spellcasting!CN10,S03_Druid!$BY$69:$BY$98,0),1),"")&amp;IFERROR(INDEX(S04_EldritchKnight!$BW$6:$BW$35,MATCH(Character_Spellcasting!CN10,S04_EldritchKnight!$BY$69:$BY$98,0),1),"")&amp;IFERROR(INDEX(S05_Paladin!$BW$6:$BW$35,MATCH(Character_Spellcasting!CN10,S05_Paladin!$BY$69:$BY$98,0),1),"")&amp;IFERROR(INDEX(S06_Ranger!$BW$6:$BW$35,MATCH(Character_Spellcasting!CN10,S06_Ranger!$BY$69:$BY$988,0),1),"")&amp;IFERROR(INDEX(S07_ArcaneTrickster!$BW$6:$BW$35,MATCH(Character_Spellcasting!CN10,S07_ArcaneTrickster!$BY$69:$BY$988,0),1),"")&amp;IFERROR(INDEX(S08_Sorcerer!$BW$6:$BW$35,MATCH(Character_Spellcasting!CN10,S08_Sorcerer!$BY$69:$BY$98,0),1),"")&amp;IFERROR(INDEX(S09_Warlock!$BW$6:$BW$35,MATCH(Character_Spellcasting!CN10,S09_Warlock!$BY$69:$BY$98,0),1),"")&amp;IFERROR(INDEX(S10_Wizard!$BW$6:$BW$35,MATCH(Character_Spellcasting!CN10,S10_Wizard!$BY$69:$BY$98,0),1),"")</f>
        <v/>
      </c>
      <c r="CP10" s="1061"/>
      <c r="CQ10" s="1061"/>
      <c r="CR10" s="1061"/>
      <c r="CS10" s="1061"/>
      <c r="CT10" s="1096" t="str">
        <f>IFERROR(INDEX(S01_Bard!$BZ$69:$BZ$98,MATCH(Character_Spellcasting!CN10,S01_Bard!$D$69:$D$98,0),1),"")&amp;IFERROR(INDEX(S02_Cleric!$BZ$69:$BZ$98,MATCH(Character_Spellcasting!CN10,S02_Cleric!$BY$69:$BY$98,0),1),"")&amp;IFERROR(INDEX(S03_Druid!$BZ$69:$BZ$98,MATCH(Character_Spellcasting!CN10,S03_Druid!$BY$69:$BY$98,0),1),"")&amp;IFERROR(INDEX(S04_EldritchKnight!$BZ$69:$BZ$98,MATCH(Character_Spellcasting!CN10,S04_EldritchKnight!$BY$69:$BY$98,0),1),"")&amp;IFERROR(INDEX(S05_Paladin!$BZ$69:$BZ$98,MATCH(Character_Spellcasting!CN10,S05_Paladin!$BY$69:$BY$98,0),1),"")&amp;IFERROR(INDEX(S06_Ranger!$BZ$69:$BZ$98,MATCH(Character_Spellcasting!CN10,S06_Ranger!$BY$69:$BY$988,0),1),"")&amp;IFERROR(INDEX(S07_ArcaneTrickster!$BZ$69:$BZ$98,MATCH(Character_Spellcasting!CN10,S07_ArcaneTrickster!$BY$69:$BY$988,0),1),"")&amp;IFERROR(INDEX(S08_Sorcerer!$BZ$69:$BZ$98,MATCH(Character_Spellcasting!CN10,S08_Sorcerer!$BY$69:$BY$98,0),1),"")&amp;IFERROR(INDEX(S09_Warlock!$BZ$69:$BZ$98,MATCH(Character_Spellcasting!CN10,S09_Warlock!$BY$69:$BY$98,0),1),"")&amp;IFERROR(INDEX(S10_Wizard!$BZ$69:$BZ$98,MATCH(Character_Spellcasting!CN10,S10_Wizard!$BY$69:$BY$98,0),1),"")</f>
        <v/>
      </c>
      <c r="CU10" s="1096"/>
      <c r="CV10" s="567"/>
      <c r="CW10" s="565"/>
      <c r="CX10" s="565"/>
      <c r="CY10" s="565"/>
      <c r="CZ10" s="565"/>
      <c r="DA10" s="610">
        <v>4</v>
      </c>
      <c r="DB10" s="1061" t="str">
        <f t="shared" si="0"/>
        <v>Absorb Elements</v>
      </c>
      <c r="DC10" s="1061"/>
      <c r="DD10" s="1061"/>
      <c r="DE10" s="1061"/>
      <c r="DF10" s="1061"/>
      <c r="DG10" s="1096" t="str">
        <f t="shared" si="1"/>
        <v>Eldritch Knight</v>
      </c>
      <c r="DH10" s="1096"/>
      <c r="DI10" s="565"/>
      <c r="DJ10" s="565"/>
      <c r="DK10" s="565"/>
      <c r="DL10" s="565"/>
      <c r="DM10" s="565"/>
      <c r="DN10" s="565"/>
      <c r="DO10" s="565"/>
      <c r="DP10" s="565"/>
      <c r="DQ10" s="565"/>
      <c r="DR10" s="565"/>
      <c r="DS10" s="565"/>
      <c r="DT10" s="565"/>
      <c r="DU10" s="565"/>
      <c r="DV10" s="565"/>
    </row>
    <row r="11" spans="1:126" ht="21" x14ac:dyDescent="0.25">
      <c r="A11" s="120"/>
      <c r="B11" s="610">
        <v>5</v>
      </c>
      <c r="C11" s="1061"/>
      <c r="D11" s="1061"/>
      <c r="E11" s="1061"/>
      <c r="F11" s="1061"/>
      <c r="G11" s="1061"/>
      <c r="H11" s="1096"/>
      <c r="I11" s="1096"/>
      <c r="J11" s="120"/>
      <c r="K11" s="120"/>
      <c r="L11" s="591">
        <v>5</v>
      </c>
      <c r="M11" s="1061" t="str">
        <f>IFERROR(INDEX(S01_Bard!$C$6:$C$35,MATCH(Character_Spellcasting!L11,S01_Bard!$E$69:$E$98,0),1),"")&amp;IFERROR(INDEX(S02_Cleric!$C$6:$C$35,MATCH(Character_Spellcasting!L11,S02_Cleric!$E$69:$E$98,0),1),"")&amp;IFERROR(INDEX(S03_Druid!$C$6:$C$35,MATCH(Character_Spellcasting!L11,S03_Druid!$E$69:$E$98,0),1),"")&amp;IFERROR(INDEX(S04_EldritchKnight!$C$6:$C$35,MATCH(Character_Spellcasting!L11,S04_EldritchKnight!$E$69:$E$98,0),1),"")&amp;IFERROR(INDEX(S05_Paladin!$C$6:$C$35,MATCH(Character_Spellcasting!L11,S05_Paladin!$E$69:$E$98,0),1),"")&amp;IFERROR(INDEX(S06_Ranger!$C$6:$C$35,MATCH(Character_Spellcasting!L11,S06_Ranger!$E$69:$E$988,0),1),"")&amp;IFERROR(INDEX(S07_ArcaneTrickster!$C$6:$C$35,MATCH(Character_Spellcasting!L11,S07_ArcaneTrickster!$E$69:$E$988,0),1),"")&amp;IFERROR(INDEX(S08_Sorcerer!$C$6:$C$35,MATCH(Character_Spellcasting!L11,S08_Sorcerer!$E$69:$E$98,0),1),"")&amp;IFERROR(INDEX(S09_Warlock!$C$6:$C$35,MATCH(Character_Spellcasting!L11,S09_Warlock!$E$69:$E$98,0),1),"")&amp;IFERROR(INDEX(S10_Wizard!$C$6:$C$35,MATCH(Character_Spellcasting!L11,S10_Wizard!$E$69:$E$98,0),1),"")</f>
        <v>Tenser's Floating Disk</v>
      </c>
      <c r="N11" s="1061"/>
      <c r="O11" s="1061"/>
      <c r="P11" s="1061"/>
      <c r="Q11" s="1061"/>
      <c r="R11" s="1096" t="str">
        <f>IFERROR(INDEX(S01_Bard!$F$69:$F$98,MATCH(Character_Spellcasting!L11,S01_Bard!$D$69:$D$98,0),1),"")&amp;IFERROR(INDEX(S02_Cleric!$F$69:$F$98,MATCH(Character_Spellcasting!L11,S02_Cleric!$E$69:$E$98,0),1),"")&amp;IFERROR(INDEX(S03_Druid!$F$69:$F$98,MATCH(Character_Spellcasting!L11,S03_Druid!$E$69:$E$98,0),1),"")&amp;IFERROR(INDEX(S04_EldritchKnight!$F$69:$F$98,MATCH(Character_Spellcasting!L11,S04_EldritchKnight!$E$69:$E$98,0),1),"")&amp;IFERROR(INDEX(S05_Paladin!$F$69:$F$98,MATCH(Character_Spellcasting!L11,S05_Paladin!$E$69:$E$98,0),1),"")&amp;IFERROR(INDEX(S06_Ranger!$F$69:$F$98,MATCH(Character_Spellcasting!L11,S06_Ranger!$E$69:$E$988,0),1),"")&amp;IFERROR(INDEX(S07_ArcaneTrickster!$F$69:$F$98,MATCH(Character_Spellcasting!L11,S07_ArcaneTrickster!$E$69:$E$988,0),1),"")&amp;IFERROR(INDEX(S08_Sorcerer!$F$69:$F$98,MATCH(Character_Spellcasting!L11,S08_Sorcerer!$E$69:$E$98,0),1),"")&amp;IFERROR(INDEX(S09_Warlock!$F$69:$F$98,MATCH(Character_Spellcasting!L11,S09_Warlock!$E$69:$E$98,0),1),"")&amp;IFERROR(INDEX(S10_Wizard!$F$69:$F$98,MATCH(Character_Spellcasting!L11,S10_Wizard!$E$69:$E$98,0),1),"")</f>
        <v>Eldritch Knight</v>
      </c>
      <c r="S11" s="1096"/>
      <c r="T11" s="567"/>
      <c r="U11" s="565"/>
      <c r="V11" s="591">
        <v>5</v>
      </c>
      <c r="W11" s="1061" t="str">
        <f>IFERROR(INDEX(S01_Bard!$L$6:$L$35,MATCH(Character_Spellcasting!V11,S01_Bard!$N$69:$N$98,0),1),"")&amp;IFERROR(INDEX(S02_Cleric!$L$6:$L$35,MATCH(Character_Spellcasting!V11,S02_Cleric!$N$69:$N$98,0),1),"")&amp;IFERROR(INDEX(S03_Druid!$L$6:$L$35,MATCH(Character_Spellcasting!V11,S03_Druid!$N$69:$N$98,0),1),"")&amp;IFERROR(INDEX(S04_EldritchKnight!$L$6:$L$35,MATCH(Character_Spellcasting!V11,S04_EldritchKnight!$N$69:$N$98,0),1),"")&amp;IFERROR(INDEX(S05_Paladin!$L$6:$L$35,MATCH(Character_Spellcasting!V11,S05_Paladin!$N$69:$N$98,0),1),"")&amp;IFERROR(INDEX(S06_Ranger!$L$6:$L$35,MATCH(Character_Spellcasting!V11,S06_Ranger!$N$69:$N$988,0),1),"")&amp;IFERROR(INDEX(S07_ArcaneTrickster!$L$6:$L$35,MATCH(Character_Spellcasting!V11,S07_ArcaneTrickster!$N$69:$N$988,0),1),"")&amp;IFERROR(INDEX(S08_Sorcerer!$L$6:$L$35,MATCH(Character_Spellcasting!V11,S08_Sorcerer!$N$69:$N$98,0),1),"")&amp;IFERROR(INDEX(S09_Warlock!$L$6:$L$35,MATCH(Character_Spellcasting!V11,S09_Warlock!$N$69:$N$98,0),1),"")&amp;IFERROR(INDEX(S10_Wizard!$L$6:$L$35,MATCH(Character_Spellcasting!V11,S10_Wizard!$N$69:$N$98,0),1),"")</f>
        <v/>
      </c>
      <c r="X11" s="1061"/>
      <c r="Y11" s="1061"/>
      <c r="Z11" s="1061"/>
      <c r="AA11" s="1061"/>
      <c r="AB11" s="1097" t="str">
        <f>IFERROR(INDEX(S01_Bard!$O$69:$O$98,MATCH(Character_Spellcasting!V11,S01_Bard!$N$69:$N$98,0),1),"")&amp;IFERROR(INDEX(S02_Cleric!$O$69:$O$98,MATCH(Character_Spellcasting!V11,S02_Cleric!$N$69:$N$98,0),1),"")&amp;IFERROR(INDEX(S03_Druid!$O$69:$O$98,MATCH(Character_Spellcasting!V11,S03_Druid!$N$69:$N$98,0),1),"")&amp;IFERROR(INDEX(S04_EldritchKnight!$O$69:$O$98,MATCH(Character_Spellcasting!V11,S04_EldritchKnight!$N$69:$N$98,0),1),"")&amp;IFERROR(INDEX(S05_Paladin!$O$69:$O$98,MATCH(Character_Spellcasting!V11,S05_Paladin!$N$69:$N$98,0),1),"")&amp;IFERROR(INDEX(S06_Ranger!$O$69:$O$98,MATCH(Character_Spellcasting!V11,S06_Ranger!$N$69:$N$988,0),1),"")&amp;IFERROR(INDEX(S07_ArcaneTrickster!$O$69:$O$98,MATCH(Character_Spellcasting!V11,S07_ArcaneTrickster!$N$69:$N$988,0),1),"")&amp;IFERROR(INDEX(S08_Sorcerer!$O$69:$O$98,MATCH(Character_Spellcasting!V11,S08_Sorcerer!$N$69:$N$98,0),1),"")&amp;IFERROR(INDEX(S09_Warlock!$O$69:$O$98,MATCH(Character_Spellcasting!V11,S09_Warlock!$N$69:$N$98,0),1),"")&amp;IFERROR(INDEX(S10_Wizard!$O$69:$O$98,MATCH(Character_Spellcasting!V11,S10_Wizard!$N$69:$N$98,0),1),"")</f>
        <v/>
      </c>
      <c r="AC11" s="1098"/>
      <c r="AD11" s="567"/>
      <c r="AE11" s="565"/>
      <c r="AF11" s="609">
        <v>5</v>
      </c>
      <c r="AG11" s="1061" t="str">
        <f>IFERROR(INDEX(S01_Bard!$U$6:$U$35,MATCH(Character_Spellcasting!AF11,S01_Bard!$W$69:$W$98,0),1),"")&amp;IFERROR(INDEX(S02_Cleric!$U$6:$U$35,MATCH(Character_Spellcasting!AF11,S02_Cleric!$W$69:$W$98,0),1),"")&amp;IFERROR(INDEX(S03_Druid!$U$6:$U$35,MATCH(Character_Spellcasting!AF11,S03_Druid!$W$69:$W$98,0),1),"")&amp;IFERROR(INDEX(S04_EldritchKnight!$U$6:$U$35,MATCH(Character_Spellcasting!AF11,S04_EldritchKnight!$W$69:$W$98,0),1),"")&amp;IFERROR(INDEX(S05_Paladin!$U$6:$U$35,MATCH(Character_Spellcasting!AF11,S05_Paladin!$W$69:$W$98,0),1),"")&amp;IFERROR(INDEX(S06_Ranger!$U$6:$U$35,MATCH(Character_Spellcasting!AF11,S06_Ranger!$W$69:$W$988,0),1),"")&amp;IFERROR(INDEX(S07_ArcaneTrickster!$U$6:$U$35,MATCH(Character_Spellcasting!AF11,S07_ArcaneTrickster!$W$69:$W$988,0),1),"")&amp;IFERROR(INDEX(S08_Sorcerer!$U$6:$U$35,MATCH(Character_Spellcasting!AF11,S08_Sorcerer!$W$69:$W$98,0),1),"")&amp;IFERROR(INDEX(S09_Warlock!$U$6:$U$35,MATCH(Character_Spellcasting!AF11,S09_Warlock!$W$69:$W$98,0),1),"")&amp;IFERROR(INDEX(S10_Wizard!$U$6:$U$35,MATCH(Character_Spellcasting!AF11,S10_Wizard!$W$69:$W$98,0),1),"")</f>
        <v/>
      </c>
      <c r="AH11" s="1061"/>
      <c r="AI11" s="1061"/>
      <c r="AJ11" s="1061"/>
      <c r="AK11" s="1061"/>
      <c r="AL11" s="1097" t="str">
        <f>IFERROR(INDEX(S01_Bard!$X$69:$X$98,MATCH(Character_Spellcasting!AF11,S01_Bard!$W$69:$W$98,0),1),"")&amp;IFERROR(INDEX(S02_Cleric!$X$69:$X$98,MATCH(Character_Spellcasting!AF11,S02_Cleric!$W$69:$W$98,0),1),"")&amp;IFERROR(INDEX(S03_Druid!$X$69:$X$98,MATCH(Character_Spellcasting!AF11,S03_Druid!$W$69:$W$98,0),1),"")&amp;IFERROR(INDEX(S04_EldritchKnight!$X$69:$X$98,MATCH(Character_Spellcasting!AF11,S04_EldritchKnight!$W$69:$W$98,0),1),"")&amp;IFERROR(INDEX(S05_Paladin!$X$69:$X$98,MATCH(Character_Spellcasting!AF11,S05_Paladin!$W$69:$W$98,0),1),"")&amp;IFERROR(INDEX(S06_Ranger!$X$69:$X$98,MATCH(Character_Spellcasting!AF11,S06_Ranger!$W$69:$W$988,0),1),"")&amp;IFERROR(INDEX(S07_ArcaneTrickster!$X$69:$X$98,MATCH(Character_Spellcasting!AF11,S07_ArcaneTrickster!$W$69:$W$988,0),1),"")&amp;IFERROR(INDEX(S08_Sorcerer!$X$69:$X$98,MATCH(Character_Spellcasting!AF11,S08_Sorcerer!$W$69:$W$98,0),1),"")&amp;IFERROR(INDEX(S09_Warlock!$X$69:$X$98,MATCH(Character_Spellcasting!AF11,S09_Warlock!$W$69:$W$98,0),1),"")&amp;IFERROR(INDEX(S10_Wizard!$X$69:$X$98,MATCH(Character_Spellcasting!AF11,S10_Wizard!$W$69:$W$98,0),1),"")</f>
        <v/>
      </c>
      <c r="AM11" s="1098"/>
      <c r="AN11" s="567"/>
      <c r="AO11" s="565"/>
      <c r="AP11" s="591">
        <v>5</v>
      </c>
      <c r="AQ11" s="1061" t="str">
        <f>IFERROR(INDEX(S01_Bard!$AD$6:$AD$35,MATCH(Character_Spellcasting!AP11,S01_Bard!$AF$69:$AF$98,0),1),"")&amp;IFERROR(INDEX(S02_Cleric!$AD$6:$AD$35,MATCH(Character_Spellcasting!AP11,S02_Cleric!$AF$69:$AF$98,0),1),"")&amp;IFERROR(INDEX(S03_Druid!$AD$6:$AD$35,MATCH(Character_Spellcasting!AP11,S03_Druid!$AF$69:$AF$98,0),1),"")&amp;IFERROR(INDEX(S04_EldritchKnight!$AD$6:$AD$35,MATCH(Character_Spellcasting!AP11,S04_EldritchKnight!$AF$69:$AF$98,0),1),"")&amp;IFERROR(INDEX(S05_Paladin!$AD$6:$AD$35,MATCH(Character_Spellcasting!AP11,S05_Paladin!$AF$69:$AF$98,0),1),"")&amp;IFERROR(INDEX(S06_Ranger!$AD$6:$AD$35,MATCH(Character_Spellcasting!AP11,S06_Ranger!$AF$69:$AF$988,0),1),"")&amp;IFERROR(INDEX(S07_ArcaneTrickster!$AD$6:$AD$35,MATCH(Character_Spellcasting!AP11,S07_ArcaneTrickster!$AF$69:$AF$988,0),1),"")&amp;IFERROR(INDEX(S08_Sorcerer!$AD$6:$AD$35,MATCH(Character_Spellcasting!AP11,S08_Sorcerer!$AF$69:$AF$98,0),1),"")&amp;IFERROR(INDEX(S09_Warlock!$AD$6:$AD$35,MATCH(Character_Spellcasting!AP11,S09_Warlock!$AF$69:$AF$98,0),1),"")&amp;IFERROR(INDEX(S10_Wizard!$AD$6:$AD$35,MATCH(Character_Spellcasting!AP11,S10_Wizard!$AF$69:$AF$98,0),1),"")</f>
        <v/>
      </c>
      <c r="AR11" s="1061"/>
      <c r="AS11" s="1061"/>
      <c r="AT11" s="1061"/>
      <c r="AU11" s="1061"/>
      <c r="AV11" s="1096" t="str">
        <f>IFERROR(INDEX(S01_Bard!$AG$69:$AG$98,MATCH(Character_Spellcasting!AP11,S01_Bard!$D$69:$D$98,0),1),"")&amp;IFERROR(INDEX(S02_Cleric!$AG$69:$AG$98,MATCH(Character_Spellcasting!AP11,S02_Cleric!$AF$69:$AF$98,0),1),"")&amp;IFERROR(INDEX(S03_Druid!$AG$69:$AG$98,MATCH(Character_Spellcasting!AP11,S03_Druid!$AF$69:$AF$98,0),1),"")&amp;IFERROR(INDEX(S04_EldritchKnight!$AG$69:$AG$98,MATCH(Character_Spellcasting!AP11,S04_EldritchKnight!$AF$69:$AF$98,0),1),"")&amp;IFERROR(INDEX(S05_Paladin!$AG$69:$AG$98,MATCH(Character_Spellcasting!AP11,S05_Paladin!$AF$69:$AF$98,0),1),"")&amp;IFERROR(INDEX(S06_Ranger!$AG$69:$AG$98,MATCH(Character_Spellcasting!AP11,S06_Ranger!$AF$69:$AF$988,0),1),"")&amp;IFERROR(INDEX(S07_ArcaneTrickster!$AG$69:$AG$98,MATCH(Character_Spellcasting!AP11,S07_ArcaneTrickster!$AF$69:$AF$988,0),1),"")&amp;IFERROR(INDEX(S08_Sorcerer!$AG$69:$AG$98,MATCH(Character_Spellcasting!AP11,S08_Sorcerer!$AF$69:$AF$98,0),1),"")&amp;IFERROR(INDEX(S09_Warlock!$AG$69:$AG$98,MATCH(Character_Spellcasting!AP11,S09_Warlock!$AF$69:$AF$98,0),1),"")&amp;IFERROR(INDEX(S10_Wizard!$AG$69:$AG$98,MATCH(Character_Spellcasting!AP11,S10_Wizard!$AF$69:$AF$98,0),1),"")</f>
        <v/>
      </c>
      <c r="AW11" s="1096"/>
      <c r="AX11" s="567"/>
      <c r="AY11" s="565"/>
      <c r="AZ11" s="591">
        <v>5</v>
      </c>
      <c r="BA11" s="1061" t="str">
        <f>IFERROR(INDEX(S01_Bard!$AM$6:$AM$35,MATCH(Character_Spellcasting!AZ11,S01_Bard!$AO$69:$AO$98,0),1),"")&amp;IFERROR(INDEX(S02_Cleric!$AM$6:$AM$35,MATCH(Character_Spellcasting!AZ11,S02_Cleric!$AO$69:$AO$98,0),1),"")&amp;IFERROR(INDEX(S03_Druid!$AM$6:$AM$35,MATCH(Character_Spellcasting!AZ11,S03_Druid!$AO$69:$AO$98,0),1),"")&amp;IFERROR(INDEX(S04_EldritchKnight!$AM$6:$AM$35,MATCH(Character_Spellcasting!AZ11,S04_EldritchKnight!$AO$69:$AO$98,0),1),"")&amp;IFERROR(INDEX(S05_Paladin!$AM$6:$AM$35,MATCH(Character_Spellcasting!AZ11,S05_Paladin!$AO$69:$AO$98,0),1),"")&amp;IFERROR(INDEX(S06_Ranger!$AM$6:$AM$35,MATCH(Character_Spellcasting!AZ11,S06_Ranger!$AO$69:$AO$988,0),1),"")&amp;IFERROR(INDEX(S07_ArcaneTrickster!$AM$6:$AM$35,MATCH(Character_Spellcasting!AZ11,S07_ArcaneTrickster!$AO$69:$AO$988,0),1),"")&amp;IFERROR(INDEX(S08_Sorcerer!$AM$6:$AM$35,MATCH(Character_Spellcasting!AZ11,S08_Sorcerer!$AO$69:$AO$98,0),1),"")&amp;IFERROR(INDEX(S09_Warlock!$AM$6:$AM$35,MATCH(Character_Spellcasting!AZ11,S09_Warlock!$AO$69:$AO$98,0),1),"")&amp;IFERROR(INDEX(S10_Wizard!$AM$6:$AM$35,MATCH(Character_Spellcasting!AZ11,S10_Wizard!$AO$69:$AO$98,0),1),"")</f>
        <v/>
      </c>
      <c r="BB11" s="1061"/>
      <c r="BC11" s="1061"/>
      <c r="BD11" s="1061"/>
      <c r="BE11" s="1061"/>
      <c r="BF11" s="1096" t="str">
        <f>IFERROR(INDEX(S01_Bard!$AP$69:$AP$98,MATCH(Character_Spellcasting!AZ11,S01_Bard!$D$69:$D$98,0),1),"")&amp;IFERROR(INDEX(S02_Cleric!$AP$69:$AP$98,MATCH(Character_Spellcasting!AZ11,S02_Cleric!$AO$69:$AO$98,0),1),"")&amp;IFERROR(INDEX(S03_Druid!$AP$69:$AP$98,MATCH(Character_Spellcasting!AZ11,S03_Druid!$AO$69:$AO$98,0),1),"")&amp;IFERROR(INDEX(S04_EldritchKnight!$AP$69:$AP$98,MATCH(Character_Spellcasting!AZ11,S04_EldritchKnight!$AO$69:$AO$98,0),1),"")&amp;IFERROR(INDEX(S05_Paladin!$AP$69:$AP$98,MATCH(Character_Spellcasting!AZ11,S05_Paladin!$AO$69:$AO$98,0),1),"")&amp;IFERROR(INDEX(S06_Ranger!$AP$69:$AP$98,MATCH(Character_Spellcasting!AZ11,S06_Ranger!$AO$69:$AO$988,0),1),"")&amp;IFERROR(INDEX(S07_ArcaneTrickster!$AP$69:$AP$98,MATCH(Character_Spellcasting!AZ11,S07_ArcaneTrickster!$AO$69:$AO$988,0),1),"")&amp;IFERROR(INDEX(S08_Sorcerer!$AP$69:$AP$98,MATCH(Character_Spellcasting!AZ11,S08_Sorcerer!$AO$69:$AO$98,0),1),"")&amp;IFERROR(INDEX(S09_Warlock!$AP$69:$AP$98,MATCH(Character_Spellcasting!AZ11,S09_Warlock!$AO$69:$AO$98,0),1),"")&amp;IFERROR(INDEX(S10_Wizard!$AP$69:$AP$98,MATCH(Character_Spellcasting!AZ11,S10_Wizard!$AO$69:$AO$98,0),1),"")</f>
        <v/>
      </c>
      <c r="BG11" s="1096"/>
      <c r="BH11" s="567"/>
      <c r="BI11" s="120"/>
      <c r="BJ11" s="591">
        <v>5</v>
      </c>
      <c r="BK11" s="1061" t="str">
        <f>IFERROR(INDEX(S01_Bard!$AV$6:$AV$35,MATCH(Character_Spellcasting!BJ11,S01_Bard!$AX$69:$AX$98,0),1),"")&amp;IFERROR(INDEX(S02_Cleric!$AV$6:$AV$35,MATCH(Character_Spellcasting!BJ11,S02_Cleric!$AX$69:$AX$98,0),1),"")&amp;IFERROR(INDEX(S03_Druid!$AV$6:$AV$35,MATCH(Character_Spellcasting!BJ11,S03_Druid!$AX$69:$AX$98,0),1),"")&amp;IFERROR(INDEX(S04_EldritchKnight!$AV$6:$AV$35,MATCH(Character_Spellcasting!BJ11,S04_EldritchKnight!$AX$69:$AX$98,0),1),"")&amp;IFERROR(INDEX(S05_Paladin!$AV$6:$AV$35,MATCH(Character_Spellcasting!BJ11,S05_Paladin!$AX$69:$AX$98,0),1),"")&amp;IFERROR(INDEX(S06_Ranger!$AV$6:$AV$35,MATCH(Character_Spellcasting!BJ11,S06_Ranger!$AX$69:$AX$988,0),1),"")&amp;IFERROR(INDEX(S07_ArcaneTrickster!$AV$6:$AV$35,MATCH(Character_Spellcasting!BJ11,S07_ArcaneTrickster!$AX$69:$AX$988,0),1),"")&amp;IFERROR(INDEX(S08_Sorcerer!$AV$6:$AV$35,MATCH(Character_Spellcasting!BJ11,S08_Sorcerer!$AX$69:$AX$98,0),1),"")&amp;IFERROR(INDEX(S09_Warlock!$AV$6:$AV$35,MATCH(Character_Spellcasting!BJ11,S09_Warlock!$AX$69:$AX$98,0),1),"")&amp;IFERROR(INDEX(S10_Wizard!$AV$6:$AV$35,MATCH(Character_Spellcasting!BJ11,S10_Wizard!$AX$69:$AX$98,0),1),"")</f>
        <v/>
      </c>
      <c r="BL11" s="1061"/>
      <c r="BM11" s="1061"/>
      <c r="BN11" s="1061"/>
      <c r="BO11" s="1061"/>
      <c r="BP11" s="1096" t="str">
        <f>IFERROR(INDEX(S01_Bard!$AY$69:$AY$98,MATCH(Character_Spellcasting!BJ11,S01_Bard!$D$69:$D$98,0),1),"")&amp;IFERROR(INDEX(S02_Cleric!$AY$69:$AY$98,MATCH(Character_Spellcasting!BJ11,S02_Cleric!$AX$69:$AX$98,0),1),"")&amp;IFERROR(INDEX(S03_Druid!$AY$69:$AY$98,MATCH(Character_Spellcasting!BJ11,S03_Druid!$AX$69:$AX$98,0),1),"")&amp;IFERROR(INDEX(S04_EldritchKnight!$AY$69:$AY$98,MATCH(Character_Spellcasting!BJ11,S04_EldritchKnight!$AX$69:$AX$98,0),1),"")&amp;IFERROR(INDEX(S05_Paladin!$AY$69:$AY$98,MATCH(Character_Spellcasting!BJ11,S05_Paladin!$AX$69:$AX$98,0),1),"")&amp;IFERROR(INDEX(S06_Ranger!$AY$69:$AY$98,MATCH(Character_Spellcasting!BJ11,S06_Ranger!$AX$69:$AX$988,0),1),"")&amp;IFERROR(INDEX(S07_ArcaneTrickster!$AY$69:$AY$98,MATCH(Character_Spellcasting!BJ11,S07_ArcaneTrickster!$AX$69:$AX$988,0),1),"")&amp;IFERROR(INDEX(S08_Sorcerer!$AY$69:$AY$98,MATCH(Character_Spellcasting!BJ11,S08_Sorcerer!$AX$69:$AX$98,0),1),"")&amp;IFERROR(INDEX(S09_Warlock!$AY$69:$AY$98,MATCH(Character_Spellcasting!BJ11,S09_Warlock!$AX$69:$AX$98,0),1),"")&amp;IFERROR(INDEX(S10_Wizard!$AY$69:$AY$98,MATCH(Character_Spellcasting!BJ11,S10_Wizard!$AX$69:$AX$98,0),1),"")</f>
        <v/>
      </c>
      <c r="BQ11" s="1096"/>
      <c r="BR11" s="567"/>
      <c r="BS11" s="120"/>
      <c r="BT11" s="591">
        <v>5</v>
      </c>
      <c r="BU11" s="1061" t="str">
        <f>IFERROR(INDEX(S01_Bard!$BE$6:$BE$35,MATCH(Character_Spellcasting!BT11,S01_Bard!$BG$69:$BG$98,0),1),"")&amp;IFERROR(INDEX(S02_Cleric!$BE$6:$BE$35,MATCH(Character_Spellcasting!BT11,S02_Cleric!$BG$69:$BG$98,0),1),"")&amp;IFERROR(INDEX(S03_Druid!$BE$6:$BE$35,MATCH(Character_Spellcasting!BT11,S03_Druid!$BG$69:$BG$98,0),1),"")&amp;IFERROR(INDEX(S04_EldritchKnight!$BE$6:$BE$35,MATCH(Character_Spellcasting!BT11,S04_EldritchKnight!$BG$69:$BG$98,0),1),"")&amp;IFERROR(INDEX(S05_Paladin!$BE$6:$BE$35,MATCH(Character_Spellcasting!BT11,S05_Paladin!$BG$69:$BG$98,0),1),"")&amp;IFERROR(INDEX(S06_Ranger!$BE$6:$BE$35,MATCH(Character_Spellcasting!BT11,S06_Ranger!$BG$69:$BG$988,0),1),"")&amp;IFERROR(INDEX(S07_ArcaneTrickster!$BE$6:$BE$35,MATCH(Character_Spellcasting!BT11,S07_ArcaneTrickster!$BG$69:$BG$988,0),1),"")&amp;IFERROR(INDEX(S08_Sorcerer!$BE$6:$BE$35,MATCH(Character_Spellcasting!BT11,S08_Sorcerer!$BG$69:$BG$98,0),1),"")&amp;IFERROR(INDEX(S09_Warlock!$BE$6:$BE$35,MATCH(Character_Spellcasting!BT11,S09_Warlock!$BG$69:$BG$98,0),1),"")&amp;IFERROR(INDEX(S10_Wizard!$BE$6:$BE$35,MATCH(Character_Spellcasting!BT11,S10_Wizard!$BG$69:$BG$98,0),1),"")</f>
        <v/>
      </c>
      <c r="BV11" s="1061"/>
      <c r="BW11" s="1061"/>
      <c r="BX11" s="1061"/>
      <c r="BY11" s="1061"/>
      <c r="BZ11" s="1096" t="str">
        <f>IFERROR(INDEX(S01_Bard!$BH$69:$BH$98,MATCH(Character_Spellcasting!BT11,S01_Bard!$D$69:$D$98,0),1),"")&amp;IFERROR(INDEX(S02_Cleric!$BH$69:$BH$98,MATCH(Character_Spellcasting!BT11,S02_Cleric!$BG$69:$BG$98,0),1),"")&amp;IFERROR(INDEX(S03_Druid!$BH$69:$BH$98,MATCH(Character_Spellcasting!BT11,S03_Druid!$BG$69:$BG$98,0),1),"")&amp;IFERROR(INDEX(S04_EldritchKnight!$BH$69:$BH$98,MATCH(Character_Spellcasting!BT11,S04_EldritchKnight!$BG$69:$BG$98,0),1),"")&amp;IFERROR(INDEX(S05_Paladin!$BH$69:$BH$98,MATCH(Character_Spellcasting!BT11,S05_Paladin!$BG$69:$BG$98,0),1),"")&amp;IFERROR(INDEX(S06_Ranger!$BH$69:$BH$98,MATCH(Character_Spellcasting!BT11,S06_Ranger!$BG$69:$BG$988,0),1),"")&amp;IFERROR(INDEX(S07_ArcaneTrickster!$BH$69:$BH$98,MATCH(Character_Spellcasting!BT11,S07_ArcaneTrickster!$BG$69:$BG$988,0),1),"")&amp;IFERROR(INDEX(S08_Sorcerer!$BH$69:$BH$98,MATCH(Character_Spellcasting!BT11,S08_Sorcerer!$BG$69:$BG$98,0),1),"")&amp;IFERROR(INDEX(S09_Warlock!$BH$69:$BH$98,MATCH(Character_Spellcasting!BT11,S09_Warlock!$BG$69:$BG$98,0),1),"")&amp;IFERROR(INDEX(S10_Wizard!$BH$69:$BH$98,MATCH(Character_Spellcasting!BT11,S10_Wizard!$BG$69:$BG$98,0),1),"")</f>
        <v/>
      </c>
      <c r="CA11" s="1096"/>
      <c r="CB11" s="567"/>
      <c r="CC11" s="120"/>
      <c r="CD11" s="591">
        <v>5</v>
      </c>
      <c r="CE11" s="1061" t="str">
        <f>IFERROR(INDEX(S01_Bard!$BN$6:$BN$35,MATCH(Character_Spellcasting!CD11,S01_Bard!$BP$69:$BP$98,0),1),"")&amp;IFERROR(INDEX(S02_Cleric!$BN$6:$BN$35,MATCH(Character_Spellcasting!CD11,S02_Cleric!$BP$69:$BP$98,0),1),"")&amp;IFERROR(INDEX(S03_Druid!$BN$6:$BN$35,MATCH(Character_Spellcasting!CD11,S03_Druid!$BP$69:$BP$98,0),1),"")&amp;IFERROR(INDEX(S04_EldritchKnight!$BN$6:$BN$35,MATCH(Character_Spellcasting!CD11,S04_EldritchKnight!$BP$69:$BP$98,0),1),"")&amp;IFERROR(INDEX(S05_Paladin!$BN$6:$BN$35,MATCH(Character_Spellcasting!CD11,S05_Paladin!$BP$69:$BP$98,0),1),"")&amp;IFERROR(INDEX(S06_Ranger!$BN$6:$BN$35,MATCH(Character_Spellcasting!CD11,S06_Ranger!$BP$69:$BP$988,0),1),"")&amp;IFERROR(INDEX(S07_ArcaneTrickster!$BN$6:$BN$35,MATCH(Character_Spellcasting!CD11,S07_ArcaneTrickster!$BP$69:$BP$988,0),1),"")&amp;IFERROR(INDEX(S08_Sorcerer!$BN$6:$BN$35,MATCH(Character_Spellcasting!CD11,S08_Sorcerer!$BP$69:$BP$98,0),1),"")&amp;IFERROR(INDEX(S09_Warlock!$BN$6:$BN$35,MATCH(Character_Spellcasting!CD11,S09_Warlock!$BP$69:$BP$98,0),1),"")&amp;IFERROR(INDEX(S10_Wizard!$BN$6:$BN$35,MATCH(Character_Spellcasting!CD11,S10_Wizard!$BP$69:$BP$98,0),1),"")</f>
        <v/>
      </c>
      <c r="CF11" s="1061"/>
      <c r="CG11" s="1061"/>
      <c r="CH11" s="1061"/>
      <c r="CI11" s="1061"/>
      <c r="CJ11" s="1096" t="str">
        <f>IFERROR(INDEX(S01_Bard!$BQ$69:$BQ$98,MATCH(Character_Spellcasting!CD11,S01_Bard!$D$69:$D$98,0),1),"")&amp;IFERROR(INDEX(S02_Cleric!$BQ$69:$BQ$98,MATCH(Character_Spellcasting!CD11,S02_Cleric!$BP$69:$BP$98,0),1),"")&amp;IFERROR(INDEX(S03_Druid!$BQ$69:$BQ$98,MATCH(Character_Spellcasting!CD11,S03_Druid!$BP$69:$BP$98,0),1),"")&amp;IFERROR(INDEX(S04_EldritchKnight!$BQ$69:$BQ$98,MATCH(Character_Spellcasting!CD11,S04_EldritchKnight!$BP$69:$BP$98,0),1),"")&amp;IFERROR(INDEX(S05_Paladin!$BQ$69:$BQ$98,MATCH(Character_Spellcasting!CD11,S05_Paladin!$BP$69:$BP$98,0),1),"")&amp;IFERROR(INDEX(S06_Ranger!$BQ$69:$BQ$98,MATCH(Character_Spellcasting!CD11,S06_Ranger!$BP$69:$BP$988,0),1),"")&amp;IFERROR(INDEX(S07_ArcaneTrickster!$BQ$69:$BQ$98,MATCH(Character_Spellcasting!CD11,S07_ArcaneTrickster!$BP$69:$BP$988,0),1),"")&amp;IFERROR(INDEX(S08_Sorcerer!$BQ$69:$BQ$98,MATCH(Character_Spellcasting!CD11,S08_Sorcerer!$BP$69:$BP$98,0),1),"")&amp;IFERROR(INDEX(S09_Warlock!$BQ$69:$BQ$98,MATCH(Character_Spellcasting!CD11,S09_Warlock!$BP$69:$BP$98,0),1),"")&amp;IFERROR(INDEX(S10_Wizard!$BQ$69:$BQ$98,MATCH(Character_Spellcasting!CD11,S10_Wizard!$BP$69:$BP$98,0),1),"")</f>
        <v/>
      </c>
      <c r="CK11" s="1096"/>
      <c r="CL11" s="567"/>
      <c r="CM11" s="120"/>
      <c r="CN11" s="591">
        <v>5</v>
      </c>
      <c r="CO11" s="1061" t="str">
        <f>IFERROR(INDEX(S01_Bard!$BW$6:$BW$35,MATCH(Character_Spellcasting!CN11,S01_Bard!$BY$69:$BY$98,0),1),"")&amp;IFERROR(INDEX(S02_Cleric!$BW$6:$BW$35,MATCH(Character_Spellcasting!CN11,S02_Cleric!$BY$69:$BY$98,0),1),"")&amp;IFERROR(INDEX(S03_Druid!$BW$6:$BW$35,MATCH(Character_Spellcasting!CN11,S03_Druid!$BY$69:$BY$98,0),1),"")&amp;IFERROR(INDEX(S04_EldritchKnight!$BW$6:$BW$35,MATCH(Character_Spellcasting!CN11,S04_EldritchKnight!$BY$69:$BY$98,0),1),"")&amp;IFERROR(INDEX(S05_Paladin!$BW$6:$BW$35,MATCH(Character_Spellcasting!CN11,S05_Paladin!$BY$69:$BY$98,0),1),"")&amp;IFERROR(INDEX(S06_Ranger!$BW$6:$BW$35,MATCH(Character_Spellcasting!CN11,S06_Ranger!$BY$69:$BY$988,0),1),"")&amp;IFERROR(INDEX(S07_ArcaneTrickster!$BW$6:$BW$35,MATCH(Character_Spellcasting!CN11,S07_ArcaneTrickster!$BY$69:$BY$988,0),1),"")&amp;IFERROR(INDEX(S08_Sorcerer!$BW$6:$BW$35,MATCH(Character_Spellcasting!CN11,S08_Sorcerer!$BY$69:$BY$98,0),1),"")&amp;IFERROR(INDEX(S09_Warlock!$BW$6:$BW$35,MATCH(Character_Spellcasting!CN11,S09_Warlock!$BY$69:$BY$98,0),1),"")&amp;IFERROR(INDEX(S10_Wizard!$BW$6:$BW$35,MATCH(Character_Spellcasting!CN11,S10_Wizard!$BY$69:$BY$98,0),1),"")</f>
        <v/>
      </c>
      <c r="CP11" s="1061"/>
      <c r="CQ11" s="1061"/>
      <c r="CR11" s="1061"/>
      <c r="CS11" s="1061"/>
      <c r="CT11" s="1096" t="str">
        <f>IFERROR(INDEX(S01_Bard!$BZ$69:$BZ$98,MATCH(Character_Spellcasting!CN11,S01_Bard!$D$69:$D$98,0),1),"")&amp;IFERROR(INDEX(S02_Cleric!$BZ$69:$BZ$98,MATCH(Character_Spellcasting!CN11,S02_Cleric!$BY$69:$BY$98,0),1),"")&amp;IFERROR(INDEX(S03_Druid!$BZ$69:$BZ$98,MATCH(Character_Spellcasting!CN11,S03_Druid!$BY$69:$BY$98,0),1),"")&amp;IFERROR(INDEX(S04_EldritchKnight!$BZ$69:$BZ$98,MATCH(Character_Spellcasting!CN11,S04_EldritchKnight!$BY$69:$BY$98,0),1),"")&amp;IFERROR(INDEX(S05_Paladin!$BZ$69:$BZ$98,MATCH(Character_Spellcasting!CN11,S05_Paladin!$BY$69:$BY$98,0),1),"")&amp;IFERROR(INDEX(S06_Ranger!$BZ$69:$BZ$98,MATCH(Character_Spellcasting!CN11,S06_Ranger!$BY$69:$BY$988,0),1),"")&amp;IFERROR(INDEX(S07_ArcaneTrickster!$BZ$69:$BZ$98,MATCH(Character_Spellcasting!CN11,S07_ArcaneTrickster!$BY$69:$BY$988,0),1),"")&amp;IFERROR(INDEX(S08_Sorcerer!$BZ$69:$BZ$98,MATCH(Character_Spellcasting!CN11,S08_Sorcerer!$BY$69:$BY$98,0),1),"")&amp;IFERROR(INDEX(S09_Warlock!$BZ$69:$BZ$98,MATCH(Character_Spellcasting!CN11,S09_Warlock!$BY$69:$BY$98,0),1),"")&amp;IFERROR(INDEX(S10_Wizard!$BZ$69:$BZ$98,MATCH(Character_Spellcasting!CN11,S10_Wizard!$BY$69:$BY$98,0),1),"")</f>
        <v/>
      </c>
      <c r="CU11" s="1096"/>
      <c r="CV11" s="567"/>
      <c r="CW11" s="565"/>
      <c r="CX11" s="565"/>
      <c r="CY11" s="565"/>
      <c r="CZ11" s="565"/>
      <c r="DA11" s="610">
        <v>5</v>
      </c>
      <c r="DB11" s="1061" t="str">
        <f t="shared" si="0"/>
        <v>Thunderwave</v>
      </c>
      <c r="DC11" s="1061"/>
      <c r="DD11" s="1061"/>
      <c r="DE11" s="1061"/>
      <c r="DF11" s="1061"/>
      <c r="DG11" s="1096" t="str">
        <f t="shared" si="1"/>
        <v>Eldritch Knight</v>
      </c>
      <c r="DH11" s="1096"/>
      <c r="DI11" s="565"/>
      <c r="DJ11" s="565"/>
      <c r="DK11" s="565"/>
      <c r="DL11" s="565"/>
      <c r="DM11" s="565"/>
      <c r="DN11" s="565"/>
      <c r="DO11" s="565"/>
      <c r="DP11" s="565"/>
      <c r="DQ11" s="565"/>
      <c r="DR11" s="565"/>
      <c r="DS11" s="565"/>
      <c r="DT11" s="565"/>
      <c r="DU11" s="565"/>
      <c r="DV11" s="565"/>
    </row>
    <row r="12" spans="1:126" ht="21" x14ac:dyDescent="0.25">
      <c r="A12" s="120"/>
      <c r="B12" s="610">
        <v>6</v>
      </c>
      <c r="C12" s="1061"/>
      <c r="D12" s="1061"/>
      <c r="E12" s="1061"/>
      <c r="F12" s="1061"/>
      <c r="G12" s="1061"/>
      <c r="H12" s="1096"/>
      <c r="I12" s="1096"/>
      <c r="J12" s="120"/>
      <c r="K12" s="120"/>
      <c r="L12" s="591">
        <v>6</v>
      </c>
      <c r="M12" s="1061" t="str">
        <f>IFERROR(INDEX(S01_Bard!$C$6:$C$35,MATCH(Character_Spellcasting!L12,S01_Bard!$E$69:$E$98,0),1),"")&amp;IFERROR(INDEX(S02_Cleric!$C$6:$C$35,MATCH(Character_Spellcasting!L12,S02_Cleric!$E$69:$E$98,0),1),"")&amp;IFERROR(INDEX(S03_Druid!$C$6:$C$35,MATCH(Character_Spellcasting!L12,S03_Druid!$E$69:$E$98,0),1),"")&amp;IFERROR(INDEX(S04_EldritchKnight!$C$6:$C$35,MATCH(Character_Spellcasting!L12,S04_EldritchKnight!$E$69:$E$98,0),1),"")&amp;IFERROR(INDEX(S05_Paladin!$C$6:$C$35,MATCH(Character_Spellcasting!L12,S05_Paladin!$E$69:$E$98,0),1),"")&amp;IFERROR(INDEX(S06_Ranger!$C$6:$C$35,MATCH(Character_Spellcasting!L12,S06_Ranger!$E$69:$E$988,0),1),"")&amp;IFERROR(INDEX(S07_ArcaneTrickster!$C$6:$C$35,MATCH(Character_Spellcasting!L12,S07_ArcaneTrickster!$E$69:$E$988,0),1),"")&amp;IFERROR(INDEX(S08_Sorcerer!$C$6:$C$35,MATCH(Character_Spellcasting!L12,S08_Sorcerer!$E$69:$E$98,0),1),"")&amp;IFERROR(INDEX(S09_Warlock!$C$6:$C$35,MATCH(Character_Spellcasting!L12,S09_Warlock!$E$69:$E$98,0),1),"")&amp;IFERROR(INDEX(S10_Wizard!$C$6:$C$35,MATCH(Character_Spellcasting!L12,S10_Wizard!$E$69:$E$98,0),1),"")</f>
        <v>Find Familiar</v>
      </c>
      <c r="N12" s="1061"/>
      <c r="O12" s="1061"/>
      <c r="P12" s="1061"/>
      <c r="Q12" s="1061"/>
      <c r="R12" s="1096" t="str">
        <f>IFERROR(INDEX(S01_Bard!$F$69:$F$98,MATCH(Character_Spellcasting!L12,S01_Bard!$D$69:$D$98,0),1),"")&amp;IFERROR(INDEX(S02_Cleric!$F$69:$F$98,MATCH(Character_Spellcasting!L12,S02_Cleric!$E$69:$E$98,0),1),"")&amp;IFERROR(INDEX(S03_Druid!$F$69:$F$98,MATCH(Character_Spellcasting!L12,S03_Druid!$E$69:$E$98,0),1),"")&amp;IFERROR(INDEX(S04_EldritchKnight!$F$69:$F$98,MATCH(Character_Spellcasting!L12,S04_EldritchKnight!$E$69:$E$98,0),1),"")&amp;IFERROR(INDEX(S05_Paladin!$F$69:$F$98,MATCH(Character_Spellcasting!L12,S05_Paladin!$E$69:$E$98,0),1),"")&amp;IFERROR(INDEX(S06_Ranger!$F$69:$F$98,MATCH(Character_Spellcasting!L12,S06_Ranger!$E$69:$E$988,0),1),"")&amp;IFERROR(INDEX(S07_ArcaneTrickster!$F$69:$F$98,MATCH(Character_Spellcasting!L12,S07_ArcaneTrickster!$E$69:$E$988,0),1),"")&amp;IFERROR(INDEX(S08_Sorcerer!$F$69:$F$98,MATCH(Character_Spellcasting!L12,S08_Sorcerer!$E$69:$E$98,0),1),"")&amp;IFERROR(INDEX(S09_Warlock!$F$69:$F$98,MATCH(Character_Spellcasting!L12,S09_Warlock!$E$69:$E$98,0),1),"")&amp;IFERROR(INDEX(S10_Wizard!$F$69:$F$98,MATCH(Character_Spellcasting!L12,S10_Wizard!$E$69:$E$98,0),1),"")</f>
        <v>Wizard</v>
      </c>
      <c r="S12" s="1096"/>
      <c r="T12" s="567"/>
      <c r="U12" s="565"/>
      <c r="V12" s="591">
        <v>6</v>
      </c>
      <c r="W12" s="1061" t="str">
        <f>IFERROR(INDEX(S01_Bard!$L$6:$L$35,MATCH(Character_Spellcasting!V12,S01_Bard!$N$69:$N$98,0),1),"")&amp;IFERROR(INDEX(S02_Cleric!$L$6:$L$35,MATCH(Character_Spellcasting!V12,S02_Cleric!$N$69:$N$98,0),1),"")&amp;IFERROR(INDEX(S03_Druid!$L$6:$L$35,MATCH(Character_Spellcasting!V12,S03_Druid!$N$69:$N$98,0),1),"")&amp;IFERROR(INDEX(S04_EldritchKnight!$L$6:$L$35,MATCH(Character_Spellcasting!V12,S04_EldritchKnight!$N$69:$N$98,0),1),"")&amp;IFERROR(INDEX(S05_Paladin!$L$6:$L$35,MATCH(Character_Spellcasting!V12,S05_Paladin!$N$69:$N$98,0),1),"")&amp;IFERROR(INDEX(S06_Ranger!$L$6:$L$35,MATCH(Character_Spellcasting!V12,S06_Ranger!$N$69:$N$988,0),1),"")&amp;IFERROR(INDEX(S07_ArcaneTrickster!$L$6:$L$35,MATCH(Character_Spellcasting!V12,S07_ArcaneTrickster!$N$69:$N$988,0),1),"")&amp;IFERROR(INDEX(S08_Sorcerer!$L$6:$L$35,MATCH(Character_Spellcasting!V12,S08_Sorcerer!$N$69:$N$98,0),1),"")&amp;IFERROR(INDEX(S09_Warlock!$L$6:$L$35,MATCH(Character_Spellcasting!V12,S09_Warlock!$N$69:$N$98,0),1),"")&amp;IFERROR(INDEX(S10_Wizard!$L$6:$L$35,MATCH(Character_Spellcasting!V12,S10_Wizard!$N$69:$N$98,0),1),"")</f>
        <v/>
      </c>
      <c r="X12" s="1061"/>
      <c r="Y12" s="1061"/>
      <c r="Z12" s="1061"/>
      <c r="AA12" s="1061"/>
      <c r="AB12" s="1097" t="str">
        <f>IFERROR(INDEX(S01_Bard!$O$69:$O$98,MATCH(Character_Spellcasting!V12,S01_Bard!$N$69:$N$98,0),1),"")&amp;IFERROR(INDEX(S02_Cleric!$O$69:$O$98,MATCH(Character_Spellcasting!V12,S02_Cleric!$N$69:$N$98,0),1),"")&amp;IFERROR(INDEX(S03_Druid!$O$69:$O$98,MATCH(Character_Spellcasting!V12,S03_Druid!$N$69:$N$98,0),1),"")&amp;IFERROR(INDEX(S04_EldritchKnight!$O$69:$O$98,MATCH(Character_Spellcasting!V12,S04_EldritchKnight!$N$69:$N$98,0),1),"")&amp;IFERROR(INDEX(S05_Paladin!$O$69:$O$98,MATCH(Character_Spellcasting!V12,S05_Paladin!$N$69:$N$98,0),1),"")&amp;IFERROR(INDEX(S06_Ranger!$O$69:$O$98,MATCH(Character_Spellcasting!V12,S06_Ranger!$N$69:$N$988,0),1),"")&amp;IFERROR(INDEX(S07_ArcaneTrickster!$O$69:$O$98,MATCH(Character_Spellcasting!V12,S07_ArcaneTrickster!$N$69:$N$988,0),1),"")&amp;IFERROR(INDEX(S08_Sorcerer!$O$69:$O$98,MATCH(Character_Spellcasting!V12,S08_Sorcerer!$N$69:$N$98,0),1),"")&amp;IFERROR(INDEX(S09_Warlock!$O$69:$O$98,MATCH(Character_Spellcasting!V12,S09_Warlock!$N$69:$N$98,0),1),"")&amp;IFERROR(INDEX(S10_Wizard!$O$69:$O$98,MATCH(Character_Spellcasting!V12,S10_Wizard!$N$69:$N$98,0),1),"")</f>
        <v/>
      </c>
      <c r="AC12" s="1098"/>
      <c r="AD12" s="567"/>
      <c r="AE12" s="565"/>
      <c r="AF12" s="609">
        <v>6</v>
      </c>
      <c r="AG12" s="1061" t="str">
        <f>IFERROR(INDEX(S01_Bard!$U$6:$U$35,MATCH(Character_Spellcasting!AF12,S01_Bard!$W$69:$W$98,0),1),"")&amp;IFERROR(INDEX(S02_Cleric!$U$6:$U$35,MATCH(Character_Spellcasting!AF12,S02_Cleric!$W$69:$W$98,0),1),"")&amp;IFERROR(INDEX(S03_Druid!$U$6:$U$35,MATCH(Character_Spellcasting!AF12,S03_Druid!$W$69:$W$98,0),1),"")&amp;IFERROR(INDEX(S04_EldritchKnight!$U$6:$U$35,MATCH(Character_Spellcasting!AF12,S04_EldritchKnight!$W$69:$W$98,0),1),"")&amp;IFERROR(INDEX(S05_Paladin!$U$6:$U$35,MATCH(Character_Spellcasting!AF12,S05_Paladin!$W$69:$W$98,0),1),"")&amp;IFERROR(INDEX(S06_Ranger!$U$6:$U$35,MATCH(Character_Spellcasting!AF12,S06_Ranger!$W$69:$W$988,0),1),"")&amp;IFERROR(INDEX(S07_ArcaneTrickster!$U$6:$U$35,MATCH(Character_Spellcasting!AF12,S07_ArcaneTrickster!$W$69:$W$988,0),1),"")&amp;IFERROR(INDEX(S08_Sorcerer!$U$6:$U$35,MATCH(Character_Spellcasting!AF12,S08_Sorcerer!$W$69:$W$98,0),1),"")&amp;IFERROR(INDEX(S09_Warlock!$U$6:$U$35,MATCH(Character_Spellcasting!AF12,S09_Warlock!$W$69:$W$98,0),1),"")&amp;IFERROR(INDEX(S10_Wizard!$U$6:$U$35,MATCH(Character_Spellcasting!AF12,S10_Wizard!$W$69:$W$98,0),1),"")</f>
        <v/>
      </c>
      <c r="AH12" s="1061"/>
      <c r="AI12" s="1061"/>
      <c r="AJ12" s="1061"/>
      <c r="AK12" s="1061"/>
      <c r="AL12" s="1097" t="str">
        <f>IFERROR(INDEX(S01_Bard!$X$69:$X$98,MATCH(Character_Spellcasting!AF12,S01_Bard!$W$69:$W$98,0),1),"")&amp;IFERROR(INDEX(S02_Cleric!$X$69:$X$98,MATCH(Character_Spellcasting!AF12,S02_Cleric!$W$69:$W$98,0),1),"")&amp;IFERROR(INDEX(S03_Druid!$X$69:$X$98,MATCH(Character_Spellcasting!AF12,S03_Druid!$W$69:$W$98,0),1),"")&amp;IFERROR(INDEX(S04_EldritchKnight!$X$69:$X$98,MATCH(Character_Spellcasting!AF12,S04_EldritchKnight!$W$69:$W$98,0),1),"")&amp;IFERROR(INDEX(S05_Paladin!$X$69:$X$98,MATCH(Character_Spellcasting!AF12,S05_Paladin!$W$69:$W$98,0),1),"")&amp;IFERROR(INDEX(S06_Ranger!$X$69:$X$98,MATCH(Character_Spellcasting!AF12,S06_Ranger!$W$69:$W$988,0),1),"")&amp;IFERROR(INDEX(S07_ArcaneTrickster!$X$69:$X$98,MATCH(Character_Spellcasting!AF12,S07_ArcaneTrickster!$W$69:$W$988,0),1),"")&amp;IFERROR(INDEX(S08_Sorcerer!$X$69:$X$98,MATCH(Character_Spellcasting!AF12,S08_Sorcerer!$W$69:$W$98,0),1),"")&amp;IFERROR(INDEX(S09_Warlock!$X$69:$X$98,MATCH(Character_Spellcasting!AF12,S09_Warlock!$W$69:$W$98,0),1),"")&amp;IFERROR(INDEX(S10_Wizard!$X$69:$X$98,MATCH(Character_Spellcasting!AF12,S10_Wizard!$W$69:$W$98,0),1),"")</f>
        <v/>
      </c>
      <c r="AM12" s="1098"/>
      <c r="AN12" s="567"/>
      <c r="AO12" s="565"/>
      <c r="AP12" s="591">
        <v>6</v>
      </c>
      <c r="AQ12" s="1061" t="str">
        <f>IFERROR(INDEX(S01_Bard!$AD$6:$AD$35,MATCH(Character_Spellcasting!AP12,S01_Bard!$AF$69:$AF$98,0),1),"")&amp;IFERROR(INDEX(S02_Cleric!$AD$6:$AD$35,MATCH(Character_Spellcasting!AP12,S02_Cleric!$AF$69:$AF$98,0),1),"")&amp;IFERROR(INDEX(S03_Druid!$AD$6:$AD$35,MATCH(Character_Spellcasting!AP12,S03_Druid!$AF$69:$AF$98,0),1),"")&amp;IFERROR(INDEX(S04_EldritchKnight!$AD$6:$AD$35,MATCH(Character_Spellcasting!AP12,S04_EldritchKnight!$AF$69:$AF$98,0),1),"")&amp;IFERROR(INDEX(S05_Paladin!$AD$6:$AD$35,MATCH(Character_Spellcasting!AP12,S05_Paladin!$AF$69:$AF$98,0),1),"")&amp;IFERROR(INDEX(S06_Ranger!$AD$6:$AD$35,MATCH(Character_Spellcasting!AP12,S06_Ranger!$AF$69:$AF$988,0),1),"")&amp;IFERROR(INDEX(S07_ArcaneTrickster!$AD$6:$AD$35,MATCH(Character_Spellcasting!AP12,S07_ArcaneTrickster!$AF$69:$AF$988,0),1),"")&amp;IFERROR(INDEX(S08_Sorcerer!$AD$6:$AD$35,MATCH(Character_Spellcasting!AP12,S08_Sorcerer!$AF$69:$AF$98,0),1),"")&amp;IFERROR(INDEX(S09_Warlock!$AD$6:$AD$35,MATCH(Character_Spellcasting!AP12,S09_Warlock!$AF$69:$AF$98,0),1),"")&amp;IFERROR(INDEX(S10_Wizard!$AD$6:$AD$35,MATCH(Character_Spellcasting!AP12,S10_Wizard!$AF$69:$AF$98,0),1),"")</f>
        <v/>
      </c>
      <c r="AR12" s="1061"/>
      <c r="AS12" s="1061"/>
      <c r="AT12" s="1061"/>
      <c r="AU12" s="1061"/>
      <c r="AV12" s="1096" t="str">
        <f>IFERROR(INDEX(S01_Bard!$AG$69:$AG$98,MATCH(Character_Spellcasting!AP12,S01_Bard!$D$69:$D$98,0),1),"")&amp;IFERROR(INDEX(S02_Cleric!$AG$69:$AG$98,MATCH(Character_Spellcasting!AP12,S02_Cleric!$AF$69:$AF$98,0),1),"")&amp;IFERROR(INDEX(S03_Druid!$AG$69:$AG$98,MATCH(Character_Spellcasting!AP12,S03_Druid!$AF$69:$AF$98,0),1),"")&amp;IFERROR(INDEX(S04_EldritchKnight!$AG$69:$AG$98,MATCH(Character_Spellcasting!AP12,S04_EldritchKnight!$AF$69:$AF$98,0),1),"")&amp;IFERROR(INDEX(S05_Paladin!$AG$69:$AG$98,MATCH(Character_Spellcasting!AP12,S05_Paladin!$AF$69:$AF$98,0),1),"")&amp;IFERROR(INDEX(S06_Ranger!$AG$69:$AG$98,MATCH(Character_Spellcasting!AP12,S06_Ranger!$AF$69:$AF$988,0),1),"")&amp;IFERROR(INDEX(S07_ArcaneTrickster!$AG$69:$AG$98,MATCH(Character_Spellcasting!AP12,S07_ArcaneTrickster!$AF$69:$AF$988,0),1),"")&amp;IFERROR(INDEX(S08_Sorcerer!$AG$69:$AG$98,MATCH(Character_Spellcasting!AP12,S08_Sorcerer!$AF$69:$AF$98,0),1),"")&amp;IFERROR(INDEX(S09_Warlock!$AG$69:$AG$98,MATCH(Character_Spellcasting!AP12,S09_Warlock!$AF$69:$AF$98,0),1),"")&amp;IFERROR(INDEX(S10_Wizard!$AG$69:$AG$98,MATCH(Character_Spellcasting!AP12,S10_Wizard!$AF$69:$AF$98,0),1),"")</f>
        <v/>
      </c>
      <c r="AW12" s="1096"/>
      <c r="AX12" s="567"/>
      <c r="AY12" s="565"/>
      <c r="AZ12" s="591">
        <v>6</v>
      </c>
      <c r="BA12" s="1061" t="str">
        <f>IFERROR(INDEX(S01_Bard!$AM$6:$AM$35,MATCH(Character_Spellcasting!AZ12,S01_Bard!$AO$69:$AO$98,0),1),"")&amp;IFERROR(INDEX(S02_Cleric!$AM$6:$AM$35,MATCH(Character_Spellcasting!AZ12,S02_Cleric!$AO$69:$AO$98,0),1),"")&amp;IFERROR(INDEX(S03_Druid!$AM$6:$AM$35,MATCH(Character_Spellcasting!AZ12,S03_Druid!$AO$69:$AO$98,0),1),"")&amp;IFERROR(INDEX(S04_EldritchKnight!$AM$6:$AM$35,MATCH(Character_Spellcasting!AZ12,S04_EldritchKnight!$AO$69:$AO$98,0),1),"")&amp;IFERROR(INDEX(S05_Paladin!$AM$6:$AM$35,MATCH(Character_Spellcasting!AZ12,S05_Paladin!$AO$69:$AO$98,0),1),"")&amp;IFERROR(INDEX(S06_Ranger!$AM$6:$AM$35,MATCH(Character_Spellcasting!AZ12,S06_Ranger!$AO$69:$AO$988,0),1),"")&amp;IFERROR(INDEX(S07_ArcaneTrickster!$AM$6:$AM$35,MATCH(Character_Spellcasting!AZ12,S07_ArcaneTrickster!$AO$69:$AO$988,0),1),"")&amp;IFERROR(INDEX(S08_Sorcerer!$AM$6:$AM$35,MATCH(Character_Spellcasting!AZ12,S08_Sorcerer!$AO$69:$AO$98,0),1),"")&amp;IFERROR(INDEX(S09_Warlock!$AM$6:$AM$35,MATCH(Character_Spellcasting!AZ12,S09_Warlock!$AO$69:$AO$98,0),1),"")&amp;IFERROR(INDEX(S10_Wizard!$AM$6:$AM$35,MATCH(Character_Spellcasting!AZ12,S10_Wizard!$AO$69:$AO$98,0),1),"")</f>
        <v/>
      </c>
      <c r="BB12" s="1061"/>
      <c r="BC12" s="1061"/>
      <c r="BD12" s="1061"/>
      <c r="BE12" s="1061"/>
      <c r="BF12" s="1096" t="str">
        <f>IFERROR(INDEX(S01_Bard!$AP$69:$AP$98,MATCH(Character_Spellcasting!AZ12,S01_Bard!$D$69:$D$98,0),1),"")&amp;IFERROR(INDEX(S02_Cleric!$AP$69:$AP$98,MATCH(Character_Spellcasting!AZ12,S02_Cleric!$AO$69:$AO$98,0),1),"")&amp;IFERROR(INDEX(S03_Druid!$AP$69:$AP$98,MATCH(Character_Spellcasting!AZ12,S03_Druid!$AO$69:$AO$98,0),1),"")&amp;IFERROR(INDEX(S04_EldritchKnight!$AP$69:$AP$98,MATCH(Character_Spellcasting!AZ12,S04_EldritchKnight!$AO$69:$AO$98,0),1),"")&amp;IFERROR(INDEX(S05_Paladin!$AP$69:$AP$98,MATCH(Character_Spellcasting!AZ12,S05_Paladin!$AO$69:$AO$98,0),1),"")&amp;IFERROR(INDEX(S06_Ranger!$AP$69:$AP$98,MATCH(Character_Spellcasting!AZ12,S06_Ranger!$AO$69:$AO$988,0),1),"")&amp;IFERROR(INDEX(S07_ArcaneTrickster!$AP$69:$AP$98,MATCH(Character_Spellcasting!AZ12,S07_ArcaneTrickster!$AO$69:$AO$988,0),1),"")&amp;IFERROR(INDEX(S08_Sorcerer!$AP$69:$AP$98,MATCH(Character_Spellcasting!AZ12,S08_Sorcerer!$AO$69:$AO$98,0),1),"")&amp;IFERROR(INDEX(S09_Warlock!$AP$69:$AP$98,MATCH(Character_Spellcasting!AZ12,S09_Warlock!$AO$69:$AO$98,0),1),"")&amp;IFERROR(INDEX(S10_Wizard!$AP$69:$AP$98,MATCH(Character_Spellcasting!AZ12,S10_Wizard!$AO$69:$AO$98,0),1),"")</f>
        <v/>
      </c>
      <c r="BG12" s="1096"/>
      <c r="BH12" s="567"/>
      <c r="BI12" s="120"/>
      <c r="BJ12" s="591">
        <v>6</v>
      </c>
      <c r="BK12" s="1061" t="str">
        <f>IFERROR(INDEX(S01_Bard!$AV$6:$AV$35,MATCH(Character_Spellcasting!BJ12,S01_Bard!$AX$69:$AX$98,0),1),"")&amp;IFERROR(INDEX(S02_Cleric!$AV$6:$AV$35,MATCH(Character_Spellcasting!BJ12,S02_Cleric!$AX$69:$AX$98,0),1),"")&amp;IFERROR(INDEX(S03_Druid!$AV$6:$AV$35,MATCH(Character_Spellcasting!BJ12,S03_Druid!$AX$69:$AX$98,0),1),"")&amp;IFERROR(INDEX(S04_EldritchKnight!$AV$6:$AV$35,MATCH(Character_Spellcasting!BJ12,S04_EldritchKnight!$AX$69:$AX$98,0),1),"")&amp;IFERROR(INDEX(S05_Paladin!$AV$6:$AV$35,MATCH(Character_Spellcasting!BJ12,S05_Paladin!$AX$69:$AX$98,0),1),"")&amp;IFERROR(INDEX(S06_Ranger!$AV$6:$AV$35,MATCH(Character_Spellcasting!BJ12,S06_Ranger!$AX$69:$AX$988,0),1),"")&amp;IFERROR(INDEX(S07_ArcaneTrickster!$AV$6:$AV$35,MATCH(Character_Spellcasting!BJ12,S07_ArcaneTrickster!$AX$69:$AX$988,0),1),"")&amp;IFERROR(INDEX(S08_Sorcerer!$AV$6:$AV$35,MATCH(Character_Spellcasting!BJ12,S08_Sorcerer!$AX$69:$AX$98,0),1),"")&amp;IFERROR(INDEX(S09_Warlock!$AV$6:$AV$35,MATCH(Character_Spellcasting!BJ12,S09_Warlock!$AX$69:$AX$98,0),1),"")&amp;IFERROR(INDEX(S10_Wizard!$AV$6:$AV$35,MATCH(Character_Spellcasting!BJ12,S10_Wizard!$AX$69:$AX$98,0),1),"")</f>
        <v/>
      </c>
      <c r="BL12" s="1061"/>
      <c r="BM12" s="1061"/>
      <c r="BN12" s="1061"/>
      <c r="BO12" s="1061"/>
      <c r="BP12" s="1096" t="str">
        <f>IFERROR(INDEX(S01_Bard!$AY$69:$AY$98,MATCH(Character_Spellcasting!BJ12,S01_Bard!$D$69:$D$98,0),1),"")&amp;IFERROR(INDEX(S02_Cleric!$AY$69:$AY$98,MATCH(Character_Spellcasting!BJ12,S02_Cleric!$AX$69:$AX$98,0),1),"")&amp;IFERROR(INDEX(S03_Druid!$AY$69:$AY$98,MATCH(Character_Spellcasting!BJ12,S03_Druid!$AX$69:$AX$98,0),1),"")&amp;IFERROR(INDEX(S04_EldritchKnight!$AY$69:$AY$98,MATCH(Character_Spellcasting!BJ12,S04_EldritchKnight!$AX$69:$AX$98,0),1),"")&amp;IFERROR(INDEX(S05_Paladin!$AY$69:$AY$98,MATCH(Character_Spellcasting!BJ12,S05_Paladin!$AX$69:$AX$98,0),1),"")&amp;IFERROR(INDEX(S06_Ranger!$AY$69:$AY$98,MATCH(Character_Spellcasting!BJ12,S06_Ranger!$AX$69:$AX$988,0),1),"")&amp;IFERROR(INDEX(S07_ArcaneTrickster!$AY$69:$AY$98,MATCH(Character_Spellcasting!BJ12,S07_ArcaneTrickster!$AX$69:$AX$988,0),1),"")&amp;IFERROR(INDEX(S08_Sorcerer!$AY$69:$AY$98,MATCH(Character_Spellcasting!BJ12,S08_Sorcerer!$AX$69:$AX$98,0),1),"")&amp;IFERROR(INDEX(S09_Warlock!$AY$69:$AY$98,MATCH(Character_Spellcasting!BJ12,S09_Warlock!$AX$69:$AX$98,0),1),"")&amp;IFERROR(INDEX(S10_Wizard!$AY$69:$AY$98,MATCH(Character_Spellcasting!BJ12,S10_Wizard!$AX$69:$AX$98,0),1),"")</f>
        <v/>
      </c>
      <c r="BQ12" s="1096"/>
      <c r="BR12" s="567"/>
      <c r="BS12" s="120"/>
      <c r="BT12" s="591">
        <v>6</v>
      </c>
      <c r="BU12" s="1061" t="str">
        <f>IFERROR(INDEX(S01_Bard!$BE$6:$BE$35,MATCH(Character_Spellcasting!BT12,S01_Bard!$BG$69:$BG$98,0),1),"")&amp;IFERROR(INDEX(S02_Cleric!$BE$6:$BE$35,MATCH(Character_Spellcasting!BT12,S02_Cleric!$BG$69:$BG$98,0),1),"")&amp;IFERROR(INDEX(S03_Druid!$BE$6:$BE$35,MATCH(Character_Spellcasting!BT12,S03_Druid!$BG$69:$BG$98,0),1),"")&amp;IFERROR(INDEX(S04_EldritchKnight!$BE$6:$BE$35,MATCH(Character_Spellcasting!BT12,S04_EldritchKnight!$BG$69:$BG$98,0),1),"")&amp;IFERROR(INDEX(S05_Paladin!$BE$6:$BE$35,MATCH(Character_Spellcasting!BT12,S05_Paladin!$BG$69:$BG$98,0),1),"")&amp;IFERROR(INDEX(S06_Ranger!$BE$6:$BE$35,MATCH(Character_Spellcasting!BT12,S06_Ranger!$BG$69:$BG$988,0),1),"")&amp;IFERROR(INDEX(S07_ArcaneTrickster!$BE$6:$BE$35,MATCH(Character_Spellcasting!BT12,S07_ArcaneTrickster!$BG$69:$BG$988,0),1),"")&amp;IFERROR(INDEX(S08_Sorcerer!$BE$6:$BE$35,MATCH(Character_Spellcasting!BT12,S08_Sorcerer!$BG$69:$BG$98,0),1),"")&amp;IFERROR(INDEX(S09_Warlock!$BE$6:$BE$35,MATCH(Character_Spellcasting!BT12,S09_Warlock!$BG$69:$BG$98,0),1),"")&amp;IFERROR(INDEX(S10_Wizard!$BE$6:$BE$35,MATCH(Character_Spellcasting!BT12,S10_Wizard!$BG$69:$BG$98,0),1),"")</f>
        <v/>
      </c>
      <c r="BV12" s="1061"/>
      <c r="BW12" s="1061"/>
      <c r="BX12" s="1061"/>
      <c r="BY12" s="1061"/>
      <c r="BZ12" s="1096" t="str">
        <f>IFERROR(INDEX(S01_Bard!$BH$69:$BH$98,MATCH(Character_Spellcasting!BT12,S01_Bard!$D$69:$D$98,0),1),"")&amp;IFERROR(INDEX(S02_Cleric!$BH$69:$BH$98,MATCH(Character_Spellcasting!BT12,S02_Cleric!$BG$69:$BG$98,0),1),"")&amp;IFERROR(INDEX(S03_Druid!$BH$69:$BH$98,MATCH(Character_Spellcasting!BT12,S03_Druid!$BG$69:$BG$98,0),1),"")&amp;IFERROR(INDEX(S04_EldritchKnight!$BH$69:$BH$98,MATCH(Character_Spellcasting!BT12,S04_EldritchKnight!$BG$69:$BG$98,0),1),"")&amp;IFERROR(INDEX(S05_Paladin!$BH$69:$BH$98,MATCH(Character_Spellcasting!BT12,S05_Paladin!$BG$69:$BG$98,0),1),"")&amp;IFERROR(INDEX(S06_Ranger!$BH$69:$BH$98,MATCH(Character_Spellcasting!BT12,S06_Ranger!$BG$69:$BG$988,0),1),"")&amp;IFERROR(INDEX(S07_ArcaneTrickster!$BH$69:$BH$98,MATCH(Character_Spellcasting!BT12,S07_ArcaneTrickster!$BG$69:$BG$988,0),1),"")&amp;IFERROR(INDEX(S08_Sorcerer!$BH$69:$BH$98,MATCH(Character_Spellcasting!BT12,S08_Sorcerer!$BG$69:$BG$98,0),1),"")&amp;IFERROR(INDEX(S09_Warlock!$BH$69:$BH$98,MATCH(Character_Spellcasting!BT12,S09_Warlock!$BG$69:$BG$98,0),1),"")&amp;IFERROR(INDEX(S10_Wizard!$BH$69:$BH$98,MATCH(Character_Spellcasting!BT12,S10_Wizard!$BG$69:$BG$98,0),1),"")</f>
        <v/>
      </c>
      <c r="CA12" s="1096"/>
      <c r="CB12" s="567"/>
      <c r="CC12" s="120"/>
      <c r="CD12" s="591">
        <v>6</v>
      </c>
      <c r="CE12" s="1061" t="str">
        <f>IFERROR(INDEX(S01_Bard!$BN$6:$BN$35,MATCH(Character_Spellcasting!CD12,S01_Bard!$BP$69:$BP$98,0),1),"")&amp;IFERROR(INDEX(S02_Cleric!$BN$6:$BN$35,MATCH(Character_Spellcasting!CD12,S02_Cleric!$BP$69:$BP$98,0),1),"")&amp;IFERROR(INDEX(S03_Druid!$BN$6:$BN$35,MATCH(Character_Spellcasting!CD12,S03_Druid!$BP$69:$BP$98,0),1),"")&amp;IFERROR(INDEX(S04_EldritchKnight!$BN$6:$BN$35,MATCH(Character_Spellcasting!CD12,S04_EldritchKnight!$BP$69:$BP$98,0),1),"")&amp;IFERROR(INDEX(S05_Paladin!$BN$6:$BN$35,MATCH(Character_Spellcasting!CD12,S05_Paladin!$BP$69:$BP$98,0),1),"")&amp;IFERROR(INDEX(S06_Ranger!$BN$6:$BN$35,MATCH(Character_Spellcasting!CD12,S06_Ranger!$BP$69:$BP$988,0),1),"")&amp;IFERROR(INDEX(S07_ArcaneTrickster!$BN$6:$BN$35,MATCH(Character_Spellcasting!CD12,S07_ArcaneTrickster!$BP$69:$BP$988,0),1),"")&amp;IFERROR(INDEX(S08_Sorcerer!$BN$6:$BN$35,MATCH(Character_Spellcasting!CD12,S08_Sorcerer!$BP$69:$BP$98,0),1),"")&amp;IFERROR(INDEX(S09_Warlock!$BN$6:$BN$35,MATCH(Character_Spellcasting!CD12,S09_Warlock!$BP$69:$BP$98,0),1),"")&amp;IFERROR(INDEX(S10_Wizard!$BN$6:$BN$35,MATCH(Character_Spellcasting!CD12,S10_Wizard!$BP$69:$BP$98,0),1),"")</f>
        <v/>
      </c>
      <c r="CF12" s="1061"/>
      <c r="CG12" s="1061"/>
      <c r="CH12" s="1061"/>
      <c r="CI12" s="1061"/>
      <c r="CJ12" s="1096" t="str">
        <f>IFERROR(INDEX(S01_Bard!$BQ$69:$BQ$98,MATCH(Character_Spellcasting!CD12,S01_Bard!$D$69:$D$98,0),1),"")&amp;IFERROR(INDEX(S02_Cleric!$BQ$69:$BQ$98,MATCH(Character_Spellcasting!CD12,S02_Cleric!$BP$69:$BP$98,0),1),"")&amp;IFERROR(INDEX(S03_Druid!$BQ$69:$BQ$98,MATCH(Character_Spellcasting!CD12,S03_Druid!$BP$69:$BP$98,0),1),"")&amp;IFERROR(INDEX(S04_EldritchKnight!$BQ$69:$BQ$98,MATCH(Character_Spellcasting!CD12,S04_EldritchKnight!$BP$69:$BP$98,0),1),"")&amp;IFERROR(INDEX(S05_Paladin!$BQ$69:$BQ$98,MATCH(Character_Spellcasting!CD12,S05_Paladin!$BP$69:$BP$98,0),1),"")&amp;IFERROR(INDEX(S06_Ranger!$BQ$69:$BQ$98,MATCH(Character_Spellcasting!CD12,S06_Ranger!$BP$69:$BP$988,0),1),"")&amp;IFERROR(INDEX(S07_ArcaneTrickster!$BQ$69:$BQ$98,MATCH(Character_Spellcasting!CD12,S07_ArcaneTrickster!$BP$69:$BP$988,0),1),"")&amp;IFERROR(INDEX(S08_Sorcerer!$BQ$69:$BQ$98,MATCH(Character_Spellcasting!CD12,S08_Sorcerer!$BP$69:$BP$98,0),1),"")&amp;IFERROR(INDEX(S09_Warlock!$BQ$69:$BQ$98,MATCH(Character_Spellcasting!CD12,S09_Warlock!$BP$69:$BP$98,0),1),"")&amp;IFERROR(INDEX(S10_Wizard!$BQ$69:$BQ$98,MATCH(Character_Spellcasting!CD12,S10_Wizard!$BP$69:$BP$98,0),1),"")</f>
        <v/>
      </c>
      <c r="CK12" s="1096"/>
      <c r="CL12" s="567"/>
      <c r="CM12" s="120"/>
      <c r="CN12" s="591">
        <v>6</v>
      </c>
      <c r="CO12" s="1061" t="str">
        <f>IFERROR(INDEX(S01_Bard!$BW$6:$BW$35,MATCH(Character_Spellcasting!CN12,S01_Bard!$BY$69:$BY$98,0),1),"")&amp;IFERROR(INDEX(S02_Cleric!$BW$6:$BW$35,MATCH(Character_Spellcasting!CN12,S02_Cleric!$BY$69:$BY$98,0),1),"")&amp;IFERROR(INDEX(S03_Druid!$BW$6:$BW$35,MATCH(Character_Spellcasting!CN12,S03_Druid!$BY$69:$BY$98,0),1),"")&amp;IFERROR(INDEX(S04_EldritchKnight!$BW$6:$BW$35,MATCH(Character_Spellcasting!CN12,S04_EldritchKnight!$BY$69:$BY$98,0),1),"")&amp;IFERROR(INDEX(S05_Paladin!$BW$6:$BW$35,MATCH(Character_Spellcasting!CN12,S05_Paladin!$BY$69:$BY$98,0),1),"")&amp;IFERROR(INDEX(S06_Ranger!$BW$6:$BW$35,MATCH(Character_Spellcasting!CN12,S06_Ranger!$BY$69:$BY$988,0),1),"")&amp;IFERROR(INDEX(S07_ArcaneTrickster!$BW$6:$BW$35,MATCH(Character_Spellcasting!CN12,S07_ArcaneTrickster!$BY$69:$BY$988,0),1),"")&amp;IFERROR(INDEX(S08_Sorcerer!$BW$6:$BW$35,MATCH(Character_Spellcasting!CN12,S08_Sorcerer!$BY$69:$BY$98,0),1),"")&amp;IFERROR(INDEX(S09_Warlock!$BW$6:$BW$35,MATCH(Character_Spellcasting!CN12,S09_Warlock!$BY$69:$BY$98,0),1),"")&amp;IFERROR(INDEX(S10_Wizard!$BW$6:$BW$35,MATCH(Character_Spellcasting!CN12,S10_Wizard!$BY$69:$BY$98,0),1),"")</f>
        <v/>
      </c>
      <c r="CP12" s="1061"/>
      <c r="CQ12" s="1061"/>
      <c r="CR12" s="1061"/>
      <c r="CS12" s="1061"/>
      <c r="CT12" s="1096" t="str">
        <f>IFERROR(INDEX(S01_Bard!$BZ$69:$BZ$98,MATCH(Character_Spellcasting!CN12,S01_Bard!$D$69:$D$98,0),1),"")&amp;IFERROR(INDEX(S02_Cleric!$BZ$69:$BZ$98,MATCH(Character_Spellcasting!CN12,S02_Cleric!$BY$69:$BY$98,0),1),"")&amp;IFERROR(INDEX(S03_Druid!$BZ$69:$BZ$98,MATCH(Character_Spellcasting!CN12,S03_Druid!$BY$69:$BY$98,0),1),"")&amp;IFERROR(INDEX(S04_EldritchKnight!$BZ$69:$BZ$98,MATCH(Character_Spellcasting!CN12,S04_EldritchKnight!$BY$69:$BY$98,0),1),"")&amp;IFERROR(INDEX(S05_Paladin!$BZ$69:$BZ$98,MATCH(Character_Spellcasting!CN12,S05_Paladin!$BY$69:$BY$98,0),1),"")&amp;IFERROR(INDEX(S06_Ranger!$BZ$69:$BZ$98,MATCH(Character_Spellcasting!CN12,S06_Ranger!$BY$69:$BY$988,0),1),"")&amp;IFERROR(INDEX(S07_ArcaneTrickster!$BZ$69:$BZ$98,MATCH(Character_Spellcasting!CN12,S07_ArcaneTrickster!$BY$69:$BY$988,0),1),"")&amp;IFERROR(INDEX(S08_Sorcerer!$BZ$69:$BZ$98,MATCH(Character_Spellcasting!CN12,S08_Sorcerer!$BY$69:$BY$98,0),1),"")&amp;IFERROR(INDEX(S09_Warlock!$BZ$69:$BZ$98,MATCH(Character_Spellcasting!CN12,S09_Warlock!$BY$69:$BY$98,0),1),"")&amp;IFERROR(INDEX(S10_Wizard!$BZ$69:$BZ$98,MATCH(Character_Spellcasting!CN12,S10_Wizard!$BY$69:$BY$98,0),1),"")</f>
        <v/>
      </c>
      <c r="CU12" s="1096"/>
      <c r="CV12" s="567"/>
      <c r="CW12" s="565"/>
      <c r="CX12" s="565"/>
      <c r="CY12" s="565"/>
      <c r="CZ12" s="565"/>
      <c r="DA12" s="610">
        <v>6</v>
      </c>
      <c r="DB12" s="1100" t="str">
        <f t="shared" si="0"/>
        <v>Tenser's Floating Disk</v>
      </c>
      <c r="DC12" s="1101"/>
      <c r="DD12" s="1101"/>
      <c r="DE12" s="1101"/>
      <c r="DF12" s="1102"/>
      <c r="DG12" s="1096" t="str">
        <f t="shared" si="1"/>
        <v>Eldritch Knight</v>
      </c>
      <c r="DH12" s="1096"/>
      <c r="DI12" s="565"/>
      <c r="DJ12" s="565"/>
      <c r="DK12" s="565"/>
      <c r="DL12" s="565"/>
      <c r="DM12" s="565"/>
      <c r="DN12" s="565"/>
      <c r="DO12" s="565"/>
      <c r="DP12" s="565"/>
      <c r="DQ12" s="565"/>
      <c r="DR12" s="565"/>
      <c r="DS12" s="565"/>
      <c r="DT12" s="565"/>
      <c r="DU12" s="565"/>
      <c r="DV12" s="565"/>
    </row>
    <row r="13" spans="1:126" ht="21" x14ac:dyDescent="0.25">
      <c r="A13" s="120"/>
      <c r="B13" s="610">
        <v>7</v>
      </c>
      <c r="C13" s="1061"/>
      <c r="D13" s="1061"/>
      <c r="E13" s="1061"/>
      <c r="F13" s="1061"/>
      <c r="G13" s="1061"/>
      <c r="H13" s="1096"/>
      <c r="I13" s="1096"/>
      <c r="J13" s="120"/>
      <c r="K13" s="120"/>
      <c r="L13" s="591">
        <v>7</v>
      </c>
      <c r="M13" s="1061" t="str">
        <f>IFERROR(INDEX(S01_Bard!$C$6:$C$35,MATCH(Character_Spellcasting!L13,S01_Bard!$E$69:$E$98,0),1),"")&amp;IFERROR(INDEX(S02_Cleric!$C$6:$C$35,MATCH(Character_Spellcasting!L13,S02_Cleric!$E$69:$E$98,0),1),"")&amp;IFERROR(INDEX(S03_Druid!$C$6:$C$35,MATCH(Character_Spellcasting!L13,S03_Druid!$E$69:$E$98,0),1),"")&amp;IFERROR(INDEX(S04_EldritchKnight!$C$6:$C$35,MATCH(Character_Spellcasting!L13,S04_EldritchKnight!$E$69:$E$98,0),1),"")&amp;IFERROR(INDEX(S05_Paladin!$C$6:$C$35,MATCH(Character_Spellcasting!L13,S05_Paladin!$E$69:$E$98,0),1),"")&amp;IFERROR(INDEX(S06_Ranger!$C$6:$C$35,MATCH(Character_Spellcasting!L13,S06_Ranger!$E$69:$E$988,0),1),"")&amp;IFERROR(INDEX(S07_ArcaneTrickster!$C$6:$C$35,MATCH(Character_Spellcasting!L13,S07_ArcaneTrickster!$E$69:$E$988,0),1),"")&amp;IFERROR(INDEX(S08_Sorcerer!$C$6:$C$35,MATCH(Character_Spellcasting!L13,S08_Sorcerer!$E$69:$E$98,0),1),"")&amp;IFERROR(INDEX(S09_Warlock!$C$6:$C$35,MATCH(Character_Spellcasting!L13,S09_Warlock!$E$69:$E$98,0),1),"")&amp;IFERROR(INDEX(S10_Wizard!$C$6:$C$35,MATCH(Character_Spellcasting!L13,S10_Wizard!$E$69:$E$98,0),1),"")</f>
        <v/>
      </c>
      <c r="N13" s="1061"/>
      <c r="O13" s="1061"/>
      <c r="P13" s="1061"/>
      <c r="Q13" s="1061"/>
      <c r="R13" s="1096" t="str">
        <f>IFERROR(INDEX(S01_Bard!$F$69:$F$98,MATCH(Character_Spellcasting!L13,S01_Bard!$D$69:$D$98,0),1),"")&amp;IFERROR(INDEX(S02_Cleric!$F$69:$F$98,MATCH(Character_Spellcasting!L13,S02_Cleric!$E$69:$E$98,0),1),"")&amp;IFERROR(INDEX(S03_Druid!$F$69:$F$98,MATCH(Character_Spellcasting!L13,S03_Druid!$E$69:$E$98,0),1),"")&amp;IFERROR(INDEX(S04_EldritchKnight!$F$69:$F$98,MATCH(Character_Spellcasting!L13,S04_EldritchKnight!$E$69:$E$98,0),1),"")&amp;IFERROR(INDEX(S05_Paladin!$F$69:$F$98,MATCH(Character_Spellcasting!L13,S05_Paladin!$E$69:$E$98,0),1),"")&amp;IFERROR(INDEX(S06_Ranger!$F$69:$F$98,MATCH(Character_Spellcasting!L13,S06_Ranger!$E$69:$E$988,0),1),"")&amp;IFERROR(INDEX(S07_ArcaneTrickster!$F$69:$F$98,MATCH(Character_Spellcasting!L13,S07_ArcaneTrickster!$E$69:$E$988,0),1),"")&amp;IFERROR(INDEX(S08_Sorcerer!$F$69:$F$98,MATCH(Character_Spellcasting!L13,S08_Sorcerer!$E$69:$E$98,0),1),"")&amp;IFERROR(INDEX(S09_Warlock!$F$69:$F$98,MATCH(Character_Spellcasting!L13,S09_Warlock!$E$69:$E$98,0),1),"")&amp;IFERROR(INDEX(S10_Wizard!$F$69:$F$98,MATCH(Character_Spellcasting!L13,S10_Wizard!$E$69:$E$98,0),1),"")</f>
        <v/>
      </c>
      <c r="S13" s="1096"/>
      <c r="T13" s="567"/>
      <c r="U13" s="565"/>
      <c r="V13" s="591">
        <v>7</v>
      </c>
      <c r="W13" s="1061" t="str">
        <f>IFERROR(INDEX(S01_Bard!$L$6:$L$35,MATCH(Character_Spellcasting!V13,S01_Bard!$N$69:$N$98,0),1),"")&amp;IFERROR(INDEX(S02_Cleric!$L$6:$L$35,MATCH(Character_Spellcasting!V13,S02_Cleric!$N$69:$N$98,0),1),"")&amp;IFERROR(INDEX(S03_Druid!$L$6:$L$35,MATCH(Character_Spellcasting!V13,S03_Druid!$N$69:$N$98,0),1),"")&amp;IFERROR(INDEX(S04_EldritchKnight!$L$6:$L$35,MATCH(Character_Spellcasting!V13,S04_EldritchKnight!$N$69:$N$98,0),1),"")&amp;IFERROR(INDEX(S05_Paladin!$L$6:$L$35,MATCH(Character_Spellcasting!V13,S05_Paladin!$N$69:$N$98,0),1),"")&amp;IFERROR(INDEX(S06_Ranger!$L$6:$L$35,MATCH(Character_Spellcasting!V13,S06_Ranger!$N$69:$N$988,0),1),"")&amp;IFERROR(INDEX(S07_ArcaneTrickster!$L$6:$L$35,MATCH(Character_Spellcasting!V13,S07_ArcaneTrickster!$N$69:$N$988,0),1),"")&amp;IFERROR(INDEX(S08_Sorcerer!$L$6:$L$35,MATCH(Character_Spellcasting!V13,S08_Sorcerer!$N$69:$N$98,0),1),"")&amp;IFERROR(INDEX(S09_Warlock!$L$6:$L$35,MATCH(Character_Spellcasting!V13,S09_Warlock!$N$69:$N$98,0),1),"")&amp;IFERROR(INDEX(S10_Wizard!$L$6:$L$35,MATCH(Character_Spellcasting!V13,S10_Wizard!$N$69:$N$98,0),1),"")</f>
        <v/>
      </c>
      <c r="X13" s="1061"/>
      <c r="Y13" s="1061"/>
      <c r="Z13" s="1061"/>
      <c r="AA13" s="1061"/>
      <c r="AB13" s="1097" t="str">
        <f>IFERROR(INDEX(S01_Bard!$O$69:$O$98,MATCH(Character_Spellcasting!V13,S01_Bard!$N$69:$N$98,0),1),"")&amp;IFERROR(INDEX(S02_Cleric!$O$69:$O$98,MATCH(Character_Spellcasting!V13,S02_Cleric!$N$69:$N$98,0),1),"")&amp;IFERROR(INDEX(S03_Druid!$O$69:$O$98,MATCH(Character_Spellcasting!V13,S03_Druid!$N$69:$N$98,0),1),"")&amp;IFERROR(INDEX(S04_EldritchKnight!$O$69:$O$98,MATCH(Character_Spellcasting!V13,S04_EldritchKnight!$N$69:$N$98,0),1),"")&amp;IFERROR(INDEX(S05_Paladin!$O$69:$O$98,MATCH(Character_Spellcasting!V13,S05_Paladin!$N$69:$N$98,0),1),"")&amp;IFERROR(INDEX(S06_Ranger!$O$69:$O$98,MATCH(Character_Spellcasting!V13,S06_Ranger!$N$69:$N$988,0),1),"")&amp;IFERROR(INDEX(S07_ArcaneTrickster!$O$69:$O$98,MATCH(Character_Spellcasting!V13,S07_ArcaneTrickster!$N$69:$N$988,0),1),"")&amp;IFERROR(INDEX(S08_Sorcerer!$O$69:$O$98,MATCH(Character_Spellcasting!V13,S08_Sorcerer!$N$69:$N$98,0),1),"")&amp;IFERROR(INDEX(S09_Warlock!$O$69:$O$98,MATCH(Character_Spellcasting!V13,S09_Warlock!$N$69:$N$98,0),1),"")&amp;IFERROR(INDEX(S10_Wizard!$O$69:$O$98,MATCH(Character_Spellcasting!V13,S10_Wizard!$N$69:$N$98,0),1),"")</f>
        <v/>
      </c>
      <c r="AC13" s="1098"/>
      <c r="AD13" s="567"/>
      <c r="AE13" s="565"/>
      <c r="AF13" s="609">
        <v>7</v>
      </c>
      <c r="AG13" s="1061" t="str">
        <f>IFERROR(INDEX(S01_Bard!$U$6:$U$35,MATCH(Character_Spellcasting!AF13,S01_Bard!$W$69:$W$98,0),1),"")&amp;IFERROR(INDEX(S02_Cleric!$U$6:$U$35,MATCH(Character_Spellcasting!AF13,S02_Cleric!$W$69:$W$98,0),1),"")&amp;IFERROR(INDEX(S03_Druid!$U$6:$U$35,MATCH(Character_Spellcasting!AF13,S03_Druid!$W$69:$W$98,0),1),"")&amp;IFERROR(INDEX(S04_EldritchKnight!$U$6:$U$35,MATCH(Character_Spellcasting!AF13,S04_EldritchKnight!$W$69:$W$98,0),1),"")&amp;IFERROR(INDEX(S05_Paladin!$U$6:$U$35,MATCH(Character_Spellcasting!AF13,S05_Paladin!$W$69:$W$98,0),1),"")&amp;IFERROR(INDEX(S06_Ranger!$U$6:$U$35,MATCH(Character_Spellcasting!AF13,S06_Ranger!$W$69:$W$988,0),1),"")&amp;IFERROR(INDEX(S07_ArcaneTrickster!$U$6:$U$35,MATCH(Character_Spellcasting!AF13,S07_ArcaneTrickster!$W$69:$W$988,0),1),"")&amp;IFERROR(INDEX(S08_Sorcerer!$U$6:$U$35,MATCH(Character_Spellcasting!AF13,S08_Sorcerer!$W$69:$W$98,0),1),"")&amp;IFERROR(INDEX(S09_Warlock!$U$6:$U$35,MATCH(Character_Spellcasting!AF13,S09_Warlock!$W$69:$W$98,0),1),"")&amp;IFERROR(INDEX(S10_Wizard!$U$6:$U$35,MATCH(Character_Spellcasting!AF13,S10_Wizard!$W$69:$W$98,0),1),"")</f>
        <v/>
      </c>
      <c r="AH13" s="1061"/>
      <c r="AI13" s="1061"/>
      <c r="AJ13" s="1061"/>
      <c r="AK13" s="1061"/>
      <c r="AL13" s="1097" t="str">
        <f>IFERROR(INDEX(S01_Bard!$X$69:$X$98,MATCH(Character_Spellcasting!AF13,S01_Bard!$W$69:$W$98,0),1),"")&amp;IFERROR(INDEX(S02_Cleric!$X$69:$X$98,MATCH(Character_Spellcasting!AF13,S02_Cleric!$W$69:$W$98,0),1),"")&amp;IFERROR(INDEX(S03_Druid!$X$69:$X$98,MATCH(Character_Spellcasting!AF13,S03_Druid!$W$69:$W$98,0),1),"")&amp;IFERROR(INDEX(S04_EldritchKnight!$X$69:$X$98,MATCH(Character_Spellcasting!AF13,S04_EldritchKnight!$W$69:$W$98,0),1),"")&amp;IFERROR(INDEX(S05_Paladin!$X$69:$X$98,MATCH(Character_Spellcasting!AF13,S05_Paladin!$W$69:$W$98,0),1),"")&amp;IFERROR(INDEX(S06_Ranger!$X$69:$X$98,MATCH(Character_Spellcasting!AF13,S06_Ranger!$W$69:$W$988,0),1),"")&amp;IFERROR(INDEX(S07_ArcaneTrickster!$X$69:$X$98,MATCH(Character_Spellcasting!AF13,S07_ArcaneTrickster!$W$69:$W$988,0),1),"")&amp;IFERROR(INDEX(S08_Sorcerer!$X$69:$X$98,MATCH(Character_Spellcasting!AF13,S08_Sorcerer!$W$69:$W$98,0),1),"")&amp;IFERROR(INDEX(S09_Warlock!$X$69:$X$98,MATCH(Character_Spellcasting!AF13,S09_Warlock!$W$69:$W$98,0),1),"")&amp;IFERROR(INDEX(S10_Wizard!$X$69:$X$98,MATCH(Character_Spellcasting!AF13,S10_Wizard!$W$69:$W$98,0),1),"")</f>
        <v/>
      </c>
      <c r="AM13" s="1098"/>
      <c r="AN13" s="567"/>
      <c r="AO13" s="565"/>
      <c r="AP13" s="591">
        <v>7</v>
      </c>
      <c r="AQ13" s="1061" t="str">
        <f>IFERROR(INDEX(S01_Bard!$AD$6:$AD$35,MATCH(Character_Spellcasting!AP13,S01_Bard!$AF$69:$AF$98,0),1),"")&amp;IFERROR(INDEX(S02_Cleric!$AD$6:$AD$35,MATCH(Character_Spellcasting!AP13,S02_Cleric!$AF$69:$AF$98,0),1),"")&amp;IFERROR(INDEX(S03_Druid!$AD$6:$AD$35,MATCH(Character_Spellcasting!AP13,S03_Druid!$AF$69:$AF$98,0),1),"")&amp;IFERROR(INDEX(S04_EldritchKnight!$AD$6:$AD$35,MATCH(Character_Spellcasting!AP13,S04_EldritchKnight!$AF$69:$AF$98,0),1),"")&amp;IFERROR(INDEX(S05_Paladin!$AD$6:$AD$35,MATCH(Character_Spellcasting!AP13,S05_Paladin!$AF$69:$AF$98,0),1),"")&amp;IFERROR(INDEX(S06_Ranger!$AD$6:$AD$35,MATCH(Character_Spellcasting!AP13,S06_Ranger!$AF$69:$AF$988,0),1),"")&amp;IFERROR(INDEX(S07_ArcaneTrickster!$AD$6:$AD$35,MATCH(Character_Spellcasting!AP13,S07_ArcaneTrickster!$AF$69:$AF$988,0),1),"")&amp;IFERROR(INDEX(S08_Sorcerer!$AD$6:$AD$35,MATCH(Character_Spellcasting!AP13,S08_Sorcerer!$AF$69:$AF$98,0),1),"")&amp;IFERROR(INDEX(S09_Warlock!$AD$6:$AD$35,MATCH(Character_Spellcasting!AP13,S09_Warlock!$AF$69:$AF$98,0),1),"")&amp;IFERROR(INDEX(S10_Wizard!$AD$6:$AD$35,MATCH(Character_Spellcasting!AP13,S10_Wizard!$AF$69:$AF$98,0),1),"")</f>
        <v/>
      </c>
      <c r="AR13" s="1061"/>
      <c r="AS13" s="1061"/>
      <c r="AT13" s="1061"/>
      <c r="AU13" s="1061"/>
      <c r="AV13" s="1096" t="str">
        <f>IFERROR(INDEX(S01_Bard!$AG$69:$AG$98,MATCH(Character_Spellcasting!AP13,S01_Bard!$D$69:$D$98,0),1),"")&amp;IFERROR(INDEX(S02_Cleric!$AG$69:$AG$98,MATCH(Character_Spellcasting!AP13,S02_Cleric!$AF$69:$AF$98,0),1),"")&amp;IFERROR(INDEX(S03_Druid!$AG$69:$AG$98,MATCH(Character_Spellcasting!AP13,S03_Druid!$AF$69:$AF$98,0),1),"")&amp;IFERROR(INDEX(S04_EldritchKnight!$AG$69:$AG$98,MATCH(Character_Spellcasting!AP13,S04_EldritchKnight!$AF$69:$AF$98,0),1),"")&amp;IFERROR(INDEX(S05_Paladin!$AG$69:$AG$98,MATCH(Character_Spellcasting!AP13,S05_Paladin!$AF$69:$AF$98,0),1),"")&amp;IFERROR(INDEX(S06_Ranger!$AG$69:$AG$98,MATCH(Character_Spellcasting!AP13,S06_Ranger!$AF$69:$AF$988,0),1),"")&amp;IFERROR(INDEX(S07_ArcaneTrickster!$AG$69:$AG$98,MATCH(Character_Spellcasting!AP13,S07_ArcaneTrickster!$AF$69:$AF$988,0),1),"")&amp;IFERROR(INDEX(S08_Sorcerer!$AG$69:$AG$98,MATCH(Character_Spellcasting!AP13,S08_Sorcerer!$AF$69:$AF$98,0),1),"")&amp;IFERROR(INDEX(S09_Warlock!$AG$69:$AG$98,MATCH(Character_Spellcasting!AP13,S09_Warlock!$AF$69:$AF$98,0),1),"")&amp;IFERROR(INDEX(S10_Wizard!$AG$69:$AG$98,MATCH(Character_Spellcasting!AP13,S10_Wizard!$AF$69:$AF$98,0),1),"")</f>
        <v/>
      </c>
      <c r="AW13" s="1096"/>
      <c r="AX13" s="567"/>
      <c r="AY13" s="565"/>
      <c r="AZ13" s="591">
        <v>7</v>
      </c>
      <c r="BA13" s="1061" t="str">
        <f>IFERROR(INDEX(S01_Bard!$AM$6:$AM$35,MATCH(Character_Spellcasting!AZ13,S01_Bard!$AO$69:$AO$98,0),1),"")&amp;IFERROR(INDEX(S02_Cleric!$AM$6:$AM$35,MATCH(Character_Spellcasting!AZ13,S02_Cleric!$AO$69:$AO$98,0),1),"")&amp;IFERROR(INDEX(S03_Druid!$AM$6:$AM$35,MATCH(Character_Spellcasting!AZ13,S03_Druid!$AO$69:$AO$98,0),1),"")&amp;IFERROR(INDEX(S04_EldritchKnight!$AM$6:$AM$35,MATCH(Character_Spellcasting!AZ13,S04_EldritchKnight!$AO$69:$AO$98,0),1),"")&amp;IFERROR(INDEX(S05_Paladin!$AM$6:$AM$35,MATCH(Character_Spellcasting!AZ13,S05_Paladin!$AO$69:$AO$98,0),1),"")&amp;IFERROR(INDEX(S06_Ranger!$AM$6:$AM$35,MATCH(Character_Spellcasting!AZ13,S06_Ranger!$AO$69:$AO$988,0),1),"")&amp;IFERROR(INDEX(S07_ArcaneTrickster!$AM$6:$AM$35,MATCH(Character_Spellcasting!AZ13,S07_ArcaneTrickster!$AO$69:$AO$988,0),1),"")&amp;IFERROR(INDEX(S08_Sorcerer!$AM$6:$AM$35,MATCH(Character_Spellcasting!AZ13,S08_Sorcerer!$AO$69:$AO$98,0),1),"")&amp;IFERROR(INDEX(S09_Warlock!$AM$6:$AM$35,MATCH(Character_Spellcasting!AZ13,S09_Warlock!$AO$69:$AO$98,0),1),"")&amp;IFERROR(INDEX(S10_Wizard!$AM$6:$AM$35,MATCH(Character_Spellcasting!AZ13,S10_Wizard!$AO$69:$AO$98,0),1),"")</f>
        <v/>
      </c>
      <c r="BB13" s="1061"/>
      <c r="BC13" s="1061"/>
      <c r="BD13" s="1061"/>
      <c r="BE13" s="1061"/>
      <c r="BF13" s="1096" t="str">
        <f>IFERROR(INDEX(S01_Bard!$AP$69:$AP$98,MATCH(Character_Spellcasting!AZ13,S01_Bard!$D$69:$D$98,0),1),"")&amp;IFERROR(INDEX(S02_Cleric!$AP$69:$AP$98,MATCH(Character_Spellcasting!AZ13,S02_Cleric!$AO$69:$AO$98,0),1),"")&amp;IFERROR(INDEX(S03_Druid!$AP$69:$AP$98,MATCH(Character_Spellcasting!AZ13,S03_Druid!$AO$69:$AO$98,0),1),"")&amp;IFERROR(INDEX(S04_EldritchKnight!$AP$69:$AP$98,MATCH(Character_Spellcasting!AZ13,S04_EldritchKnight!$AO$69:$AO$98,0),1),"")&amp;IFERROR(INDEX(S05_Paladin!$AP$69:$AP$98,MATCH(Character_Spellcasting!AZ13,S05_Paladin!$AO$69:$AO$98,0),1),"")&amp;IFERROR(INDEX(S06_Ranger!$AP$69:$AP$98,MATCH(Character_Spellcasting!AZ13,S06_Ranger!$AO$69:$AO$988,0),1),"")&amp;IFERROR(INDEX(S07_ArcaneTrickster!$AP$69:$AP$98,MATCH(Character_Spellcasting!AZ13,S07_ArcaneTrickster!$AO$69:$AO$988,0),1),"")&amp;IFERROR(INDEX(S08_Sorcerer!$AP$69:$AP$98,MATCH(Character_Spellcasting!AZ13,S08_Sorcerer!$AO$69:$AO$98,0),1),"")&amp;IFERROR(INDEX(S09_Warlock!$AP$69:$AP$98,MATCH(Character_Spellcasting!AZ13,S09_Warlock!$AO$69:$AO$98,0),1),"")&amp;IFERROR(INDEX(S10_Wizard!$AP$69:$AP$98,MATCH(Character_Spellcasting!AZ13,S10_Wizard!$AO$69:$AO$98,0),1),"")</f>
        <v/>
      </c>
      <c r="BG13" s="1096"/>
      <c r="BH13" s="567"/>
      <c r="BI13" s="120"/>
      <c r="BJ13" s="591">
        <v>7</v>
      </c>
      <c r="BK13" s="1061" t="str">
        <f>IFERROR(INDEX(S01_Bard!$AV$6:$AV$35,MATCH(Character_Spellcasting!BJ13,S01_Bard!$AX$69:$AX$98,0),1),"")&amp;IFERROR(INDEX(S02_Cleric!$AV$6:$AV$35,MATCH(Character_Spellcasting!BJ13,S02_Cleric!$AX$69:$AX$98,0),1),"")&amp;IFERROR(INDEX(S03_Druid!$AV$6:$AV$35,MATCH(Character_Spellcasting!BJ13,S03_Druid!$AX$69:$AX$98,0),1),"")&amp;IFERROR(INDEX(S04_EldritchKnight!$AV$6:$AV$35,MATCH(Character_Spellcasting!BJ13,S04_EldritchKnight!$AX$69:$AX$98,0),1),"")&amp;IFERROR(INDEX(S05_Paladin!$AV$6:$AV$35,MATCH(Character_Spellcasting!BJ13,S05_Paladin!$AX$69:$AX$98,0),1),"")&amp;IFERROR(INDEX(S06_Ranger!$AV$6:$AV$35,MATCH(Character_Spellcasting!BJ13,S06_Ranger!$AX$69:$AX$988,0),1),"")&amp;IFERROR(INDEX(S07_ArcaneTrickster!$AV$6:$AV$35,MATCH(Character_Spellcasting!BJ13,S07_ArcaneTrickster!$AX$69:$AX$988,0),1),"")&amp;IFERROR(INDEX(S08_Sorcerer!$AV$6:$AV$35,MATCH(Character_Spellcasting!BJ13,S08_Sorcerer!$AX$69:$AX$98,0),1),"")&amp;IFERROR(INDEX(S09_Warlock!$AV$6:$AV$35,MATCH(Character_Spellcasting!BJ13,S09_Warlock!$AX$69:$AX$98,0),1),"")&amp;IFERROR(INDEX(S10_Wizard!$AV$6:$AV$35,MATCH(Character_Spellcasting!BJ13,S10_Wizard!$AX$69:$AX$98,0),1),"")</f>
        <v/>
      </c>
      <c r="BL13" s="1061"/>
      <c r="BM13" s="1061"/>
      <c r="BN13" s="1061"/>
      <c r="BO13" s="1061"/>
      <c r="BP13" s="1096" t="str">
        <f>IFERROR(INDEX(S01_Bard!$AY$69:$AY$98,MATCH(Character_Spellcasting!BJ13,S01_Bard!$D$69:$D$98,0),1),"")&amp;IFERROR(INDEX(S02_Cleric!$AY$69:$AY$98,MATCH(Character_Spellcasting!BJ13,S02_Cleric!$AX$69:$AX$98,0),1),"")&amp;IFERROR(INDEX(S03_Druid!$AY$69:$AY$98,MATCH(Character_Spellcasting!BJ13,S03_Druid!$AX$69:$AX$98,0),1),"")&amp;IFERROR(INDEX(S04_EldritchKnight!$AY$69:$AY$98,MATCH(Character_Spellcasting!BJ13,S04_EldritchKnight!$AX$69:$AX$98,0),1),"")&amp;IFERROR(INDEX(S05_Paladin!$AY$69:$AY$98,MATCH(Character_Spellcasting!BJ13,S05_Paladin!$AX$69:$AX$98,0),1),"")&amp;IFERROR(INDEX(S06_Ranger!$AY$69:$AY$98,MATCH(Character_Spellcasting!BJ13,S06_Ranger!$AX$69:$AX$988,0),1),"")&amp;IFERROR(INDEX(S07_ArcaneTrickster!$AY$69:$AY$98,MATCH(Character_Spellcasting!BJ13,S07_ArcaneTrickster!$AX$69:$AX$988,0),1),"")&amp;IFERROR(INDEX(S08_Sorcerer!$AY$69:$AY$98,MATCH(Character_Spellcasting!BJ13,S08_Sorcerer!$AX$69:$AX$98,0),1),"")&amp;IFERROR(INDEX(S09_Warlock!$AY$69:$AY$98,MATCH(Character_Spellcasting!BJ13,S09_Warlock!$AX$69:$AX$98,0),1),"")&amp;IFERROR(INDEX(S10_Wizard!$AY$69:$AY$98,MATCH(Character_Spellcasting!BJ13,S10_Wizard!$AX$69:$AX$98,0),1),"")</f>
        <v/>
      </c>
      <c r="BQ13" s="1096"/>
      <c r="BR13" s="567"/>
      <c r="BS13" s="120"/>
      <c r="BT13" s="591">
        <v>7</v>
      </c>
      <c r="BU13" s="1061" t="str">
        <f>IFERROR(INDEX(S01_Bard!$BE$6:$BE$35,MATCH(Character_Spellcasting!BT13,S01_Bard!$BG$69:$BG$98,0),1),"")&amp;IFERROR(INDEX(S02_Cleric!$BE$6:$BE$35,MATCH(Character_Spellcasting!BT13,S02_Cleric!$BG$69:$BG$98,0),1),"")&amp;IFERROR(INDEX(S03_Druid!$BE$6:$BE$35,MATCH(Character_Spellcasting!BT13,S03_Druid!$BG$69:$BG$98,0),1),"")&amp;IFERROR(INDEX(S04_EldritchKnight!$BE$6:$BE$35,MATCH(Character_Spellcasting!BT13,S04_EldritchKnight!$BG$69:$BG$98,0),1),"")&amp;IFERROR(INDEX(S05_Paladin!$BE$6:$BE$35,MATCH(Character_Spellcasting!BT13,S05_Paladin!$BG$69:$BG$98,0),1),"")&amp;IFERROR(INDEX(S06_Ranger!$BE$6:$BE$35,MATCH(Character_Spellcasting!BT13,S06_Ranger!$BG$69:$BG$988,0),1),"")&amp;IFERROR(INDEX(S07_ArcaneTrickster!$BE$6:$BE$35,MATCH(Character_Spellcasting!BT13,S07_ArcaneTrickster!$BG$69:$BG$988,0),1),"")&amp;IFERROR(INDEX(S08_Sorcerer!$BE$6:$BE$35,MATCH(Character_Spellcasting!BT13,S08_Sorcerer!$BG$69:$BG$98,0),1),"")&amp;IFERROR(INDEX(S09_Warlock!$BE$6:$BE$35,MATCH(Character_Spellcasting!BT13,S09_Warlock!$BG$69:$BG$98,0),1),"")&amp;IFERROR(INDEX(S10_Wizard!$BE$6:$BE$35,MATCH(Character_Spellcasting!BT13,S10_Wizard!$BG$69:$BG$98,0),1),"")</f>
        <v/>
      </c>
      <c r="BV13" s="1061"/>
      <c r="BW13" s="1061"/>
      <c r="BX13" s="1061"/>
      <c r="BY13" s="1061"/>
      <c r="BZ13" s="1096" t="str">
        <f>IFERROR(INDEX(S01_Bard!$BH$69:$BH$98,MATCH(Character_Spellcasting!BT13,S01_Bard!$D$69:$D$98,0),1),"")&amp;IFERROR(INDEX(S02_Cleric!$BH$69:$BH$98,MATCH(Character_Spellcasting!BT13,S02_Cleric!$BG$69:$BG$98,0),1),"")&amp;IFERROR(INDEX(S03_Druid!$BH$69:$BH$98,MATCH(Character_Spellcasting!BT13,S03_Druid!$BG$69:$BG$98,0),1),"")&amp;IFERROR(INDEX(S04_EldritchKnight!$BH$69:$BH$98,MATCH(Character_Spellcasting!BT13,S04_EldritchKnight!$BG$69:$BG$98,0),1),"")&amp;IFERROR(INDEX(S05_Paladin!$BH$69:$BH$98,MATCH(Character_Spellcasting!BT13,S05_Paladin!$BG$69:$BG$98,0),1),"")&amp;IFERROR(INDEX(S06_Ranger!$BH$69:$BH$98,MATCH(Character_Spellcasting!BT13,S06_Ranger!$BG$69:$BG$988,0),1),"")&amp;IFERROR(INDEX(S07_ArcaneTrickster!$BH$69:$BH$98,MATCH(Character_Spellcasting!BT13,S07_ArcaneTrickster!$BG$69:$BG$988,0),1),"")&amp;IFERROR(INDEX(S08_Sorcerer!$BH$69:$BH$98,MATCH(Character_Spellcasting!BT13,S08_Sorcerer!$BG$69:$BG$98,0),1),"")&amp;IFERROR(INDEX(S09_Warlock!$BH$69:$BH$98,MATCH(Character_Spellcasting!BT13,S09_Warlock!$BG$69:$BG$98,0),1),"")&amp;IFERROR(INDEX(S10_Wizard!$BH$69:$BH$98,MATCH(Character_Spellcasting!BT13,S10_Wizard!$BG$69:$BG$98,0),1),"")</f>
        <v/>
      </c>
      <c r="CA13" s="1096"/>
      <c r="CB13" s="567"/>
      <c r="CC13" s="120"/>
      <c r="CD13" s="591">
        <v>7</v>
      </c>
      <c r="CE13" s="1061" t="str">
        <f>IFERROR(INDEX(S01_Bard!$BN$6:$BN$35,MATCH(Character_Spellcasting!CD13,S01_Bard!$BP$69:$BP$98,0),1),"")&amp;IFERROR(INDEX(S02_Cleric!$BN$6:$BN$35,MATCH(Character_Spellcasting!CD13,S02_Cleric!$BP$69:$BP$98,0),1),"")&amp;IFERROR(INDEX(S03_Druid!$BN$6:$BN$35,MATCH(Character_Spellcasting!CD13,S03_Druid!$BP$69:$BP$98,0),1),"")&amp;IFERROR(INDEX(S04_EldritchKnight!$BN$6:$BN$35,MATCH(Character_Spellcasting!CD13,S04_EldritchKnight!$BP$69:$BP$98,0),1),"")&amp;IFERROR(INDEX(S05_Paladin!$BN$6:$BN$35,MATCH(Character_Spellcasting!CD13,S05_Paladin!$BP$69:$BP$98,0),1),"")&amp;IFERROR(INDEX(S06_Ranger!$BN$6:$BN$35,MATCH(Character_Spellcasting!CD13,S06_Ranger!$BP$69:$BP$988,0),1),"")&amp;IFERROR(INDEX(S07_ArcaneTrickster!$BN$6:$BN$35,MATCH(Character_Spellcasting!CD13,S07_ArcaneTrickster!$BP$69:$BP$988,0),1),"")&amp;IFERROR(INDEX(S08_Sorcerer!$BN$6:$BN$35,MATCH(Character_Spellcasting!CD13,S08_Sorcerer!$BP$69:$BP$98,0),1),"")&amp;IFERROR(INDEX(S09_Warlock!$BN$6:$BN$35,MATCH(Character_Spellcasting!CD13,S09_Warlock!$BP$69:$BP$98,0),1),"")&amp;IFERROR(INDEX(S10_Wizard!$BN$6:$BN$35,MATCH(Character_Spellcasting!CD13,S10_Wizard!$BP$69:$BP$98,0),1),"")</f>
        <v/>
      </c>
      <c r="CF13" s="1061"/>
      <c r="CG13" s="1061"/>
      <c r="CH13" s="1061"/>
      <c r="CI13" s="1061"/>
      <c r="CJ13" s="1096" t="str">
        <f>IFERROR(INDEX(S01_Bard!$BQ$69:$BQ$98,MATCH(Character_Spellcasting!CD13,S01_Bard!$D$69:$D$98,0),1),"")&amp;IFERROR(INDEX(S02_Cleric!$BQ$69:$BQ$98,MATCH(Character_Spellcasting!CD13,S02_Cleric!$BP$69:$BP$98,0),1),"")&amp;IFERROR(INDEX(S03_Druid!$BQ$69:$BQ$98,MATCH(Character_Spellcasting!CD13,S03_Druid!$BP$69:$BP$98,0),1),"")&amp;IFERROR(INDEX(S04_EldritchKnight!$BQ$69:$BQ$98,MATCH(Character_Spellcasting!CD13,S04_EldritchKnight!$BP$69:$BP$98,0),1),"")&amp;IFERROR(INDEX(S05_Paladin!$BQ$69:$BQ$98,MATCH(Character_Spellcasting!CD13,S05_Paladin!$BP$69:$BP$98,0),1),"")&amp;IFERROR(INDEX(S06_Ranger!$BQ$69:$BQ$98,MATCH(Character_Spellcasting!CD13,S06_Ranger!$BP$69:$BP$988,0),1),"")&amp;IFERROR(INDEX(S07_ArcaneTrickster!$BQ$69:$BQ$98,MATCH(Character_Spellcasting!CD13,S07_ArcaneTrickster!$BP$69:$BP$988,0),1),"")&amp;IFERROR(INDEX(S08_Sorcerer!$BQ$69:$BQ$98,MATCH(Character_Spellcasting!CD13,S08_Sorcerer!$BP$69:$BP$98,0),1),"")&amp;IFERROR(INDEX(S09_Warlock!$BQ$69:$BQ$98,MATCH(Character_Spellcasting!CD13,S09_Warlock!$BP$69:$BP$98,0),1),"")&amp;IFERROR(INDEX(S10_Wizard!$BQ$69:$BQ$98,MATCH(Character_Spellcasting!CD13,S10_Wizard!$BP$69:$BP$98,0),1),"")</f>
        <v/>
      </c>
      <c r="CK13" s="1096"/>
      <c r="CL13" s="567"/>
      <c r="CM13" s="120"/>
      <c r="CN13" s="591">
        <v>7</v>
      </c>
      <c r="CO13" s="1061" t="str">
        <f>IFERROR(INDEX(S01_Bard!$BW$6:$BW$35,MATCH(Character_Spellcasting!CN13,S01_Bard!$BY$69:$BY$98,0),1),"")&amp;IFERROR(INDEX(S02_Cleric!$BW$6:$BW$35,MATCH(Character_Spellcasting!CN13,S02_Cleric!$BY$69:$BY$98,0),1),"")&amp;IFERROR(INDEX(S03_Druid!$BW$6:$BW$35,MATCH(Character_Spellcasting!CN13,S03_Druid!$BY$69:$BY$98,0),1),"")&amp;IFERROR(INDEX(S04_EldritchKnight!$BW$6:$BW$35,MATCH(Character_Spellcasting!CN13,S04_EldritchKnight!$BY$69:$BY$98,0),1),"")&amp;IFERROR(INDEX(S05_Paladin!$BW$6:$BW$35,MATCH(Character_Spellcasting!CN13,S05_Paladin!$BY$69:$BY$98,0),1),"")&amp;IFERROR(INDEX(S06_Ranger!$BW$6:$BW$35,MATCH(Character_Spellcasting!CN13,S06_Ranger!$BY$69:$BY$988,0),1),"")&amp;IFERROR(INDEX(S07_ArcaneTrickster!$BW$6:$BW$35,MATCH(Character_Spellcasting!CN13,S07_ArcaneTrickster!$BY$69:$BY$988,0),1),"")&amp;IFERROR(INDEX(S08_Sorcerer!$BW$6:$BW$35,MATCH(Character_Spellcasting!CN13,S08_Sorcerer!$BY$69:$BY$98,0),1),"")&amp;IFERROR(INDEX(S09_Warlock!$BW$6:$BW$35,MATCH(Character_Spellcasting!CN13,S09_Warlock!$BY$69:$BY$98,0),1),"")&amp;IFERROR(INDEX(S10_Wizard!$BW$6:$BW$35,MATCH(Character_Spellcasting!CN13,S10_Wizard!$BY$69:$BY$98,0),1),"")</f>
        <v/>
      </c>
      <c r="CP13" s="1061"/>
      <c r="CQ13" s="1061"/>
      <c r="CR13" s="1061"/>
      <c r="CS13" s="1061"/>
      <c r="CT13" s="1096" t="str">
        <f>IFERROR(INDEX(S01_Bard!$BZ$69:$BZ$98,MATCH(Character_Spellcasting!CN13,S01_Bard!$D$69:$D$98,0),1),"")&amp;IFERROR(INDEX(S02_Cleric!$BZ$69:$BZ$98,MATCH(Character_Spellcasting!CN13,S02_Cleric!$BY$69:$BY$98,0),1),"")&amp;IFERROR(INDEX(S03_Druid!$BZ$69:$BZ$98,MATCH(Character_Spellcasting!CN13,S03_Druid!$BY$69:$BY$98,0),1),"")&amp;IFERROR(INDEX(S04_EldritchKnight!$BZ$69:$BZ$98,MATCH(Character_Spellcasting!CN13,S04_EldritchKnight!$BY$69:$BY$98,0),1),"")&amp;IFERROR(INDEX(S05_Paladin!$BZ$69:$BZ$98,MATCH(Character_Spellcasting!CN13,S05_Paladin!$BY$69:$BY$98,0),1),"")&amp;IFERROR(INDEX(S06_Ranger!$BZ$69:$BZ$98,MATCH(Character_Spellcasting!CN13,S06_Ranger!$BY$69:$BY$988,0),1),"")&amp;IFERROR(INDEX(S07_ArcaneTrickster!$BZ$69:$BZ$98,MATCH(Character_Spellcasting!CN13,S07_ArcaneTrickster!$BY$69:$BY$988,0),1),"")&amp;IFERROR(INDEX(S08_Sorcerer!$BZ$69:$BZ$98,MATCH(Character_Spellcasting!CN13,S08_Sorcerer!$BY$69:$BY$98,0),1),"")&amp;IFERROR(INDEX(S09_Warlock!$BZ$69:$BZ$98,MATCH(Character_Spellcasting!CN13,S09_Warlock!$BY$69:$BY$98,0),1),"")&amp;IFERROR(INDEX(S10_Wizard!$BZ$69:$BZ$98,MATCH(Character_Spellcasting!CN13,S10_Wizard!$BY$69:$BY$98,0),1),"")</f>
        <v/>
      </c>
      <c r="CU13" s="1096"/>
      <c r="CV13" s="567"/>
      <c r="CW13" s="565"/>
      <c r="CX13" s="565"/>
      <c r="CY13" s="565"/>
      <c r="CZ13" s="565"/>
      <c r="DA13" s="610">
        <v>7</v>
      </c>
      <c r="DB13" s="1061" t="str">
        <f t="shared" si="0"/>
        <v>Find Familiar</v>
      </c>
      <c r="DC13" s="1061"/>
      <c r="DD13" s="1061"/>
      <c r="DE13" s="1061"/>
      <c r="DF13" s="1061"/>
      <c r="DG13" s="1096" t="str">
        <f t="shared" si="1"/>
        <v>Wizard</v>
      </c>
      <c r="DH13" s="1096"/>
      <c r="DI13" s="565"/>
      <c r="DJ13" s="565"/>
      <c r="DK13" s="565"/>
      <c r="DL13" s="565"/>
      <c r="DM13" s="565"/>
      <c r="DN13" s="565"/>
      <c r="DO13" s="565"/>
      <c r="DP13" s="565"/>
      <c r="DQ13" s="565"/>
      <c r="DR13" s="565"/>
      <c r="DS13" s="565"/>
      <c r="DT13" s="565"/>
      <c r="DU13" s="565"/>
      <c r="DV13" s="565"/>
    </row>
    <row r="14" spans="1:126" ht="21" customHeight="1" x14ac:dyDescent="0.25">
      <c r="A14" s="120"/>
      <c r="B14" s="610">
        <v>8</v>
      </c>
      <c r="C14" s="1061"/>
      <c r="D14" s="1061"/>
      <c r="E14" s="1061"/>
      <c r="F14" s="1061"/>
      <c r="G14" s="1061"/>
      <c r="H14" s="1096"/>
      <c r="I14" s="1096"/>
      <c r="J14" s="120"/>
      <c r="K14" s="120"/>
      <c r="L14" s="591">
        <v>8</v>
      </c>
      <c r="M14" s="1061" t="str">
        <f>IFERROR(INDEX(S01_Bard!$C$6:$C$35,MATCH(Character_Spellcasting!L14,S01_Bard!$E$69:$E$98,0),1),"")&amp;IFERROR(INDEX(S02_Cleric!$C$6:$C$35,MATCH(Character_Spellcasting!L14,S02_Cleric!$E$69:$E$98,0),1),"")&amp;IFERROR(INDEX(S03_Druid!$C$6:$C$35,MATCH(Character_Spellcasting!L14,S03_Druid!$E$69:$E$98,0),1),"")&amp;IFERROR(INDEX(S04_EldritchKnight!$C$6:$C$35,MATCH(Character_Spellcasting!L14,S04_EldritchKnight!$E$69:$E$98,0),1),"")&amp;IFERROR(INDEX(S05_Paladin!$C$6:$C$35,MATCH(Character_Spellcasting!L14,S05_Paladin!$E$69:$E$98,0),1),"")&amp;IFERROR(INDEX(S06_Ranger!$C$6:$C$35,MATCH(Character_Spellcasting!L14,S06_Ranger!$E$69:$E$988,0),1),"")&amp;IFERROR(INDEX(S07_ArcaneTrickster!$C$6:$C$35,MATCH(Character_Spellcasting!L14,S07_ArcaneTrickster!$E$69:$E$988,0),1),"")&amp;IFERROR(INDEX(S08_Sorcerer!$C$6:$C$35,MATCH(Character_Spellcasting!L14,S08_Sorcerer!$E$69:$E$98,0),1),"")&amp;IFERROR(INDEX(S09_Warlock!$C$6:$C$35,MATCH(Character_Spellcasting!L14,S09_Warlock!$E$69:$E$98,0),1),"")&amp;IFERROR(INDEX(S10_Wizard!$C$6:$C$35,MATCH(Character_Spellcasting!L14,S10_Wizard!$E$69:$E$98,0),1),"")</f>
        <v/>
      </c>
      <c r="N14" s="1061"/>
      <c r="O14" s="1061"/>
      <c r="P14" s="1061"/>
      <c r="Q14" s="1061"/>
      <c r="R14" s="1096" t="str">
        <f>IFERROR(INDEX(S01_Bard!$F$69:$F$98,MATCH(Character_Spellcasting!L14,S01_Bard!$D$69:$D$98,0),1),"")&amp;IFERROR(INDEX(S02_Cleric!$F$69:$F$98,MATCH(Character_Spellcasting!L14,S02_Cleric!$E$69:$E$98,0),1),"")&amp;IFERROR(INDEX(S03_Druid!$F$69:$F$98,MATCH(Character_Spellcasting!L14,S03_Druid!$E$69:$E$98,0),1),"")&amp;IFERROR(INDEX(S04_EldritchKnight!$F$69:$F$98,MATCH(Character_Spellcasting!L14,S04_EldritchKnight!$E$69:$E$98,0),1),"")&amp;IFERROR(INDEX(S05_Paladin!$F$69:$F$98,MATCH(Character_Spellcasting!L14,S05_Paladin!$E$69:$E$98,0),1),"")&amp;IFERROR(INDEX(S06_Ranger!$F$69:$F$98,MATCH(Character_Spellcasting!L14,S06_Ranger!$E$69:$E$988,0),1),"")&amp;IFERROR(INDEX(S07_ArcaneTrickster!$F$69:$F$98,MATCH(Character_Spellcasting!L14,S07_ArcaneTrickster!$E$69:$E$988,0),1),"")&amp;IFERROR(INDEX(S08_Sorcerer!$F$69:$F$98,MATCH(Character_Spellcasting!L14,S08_Sorcerer!$E$69:$E$98,0),1),"")&amp;IFERROR(INDEX(S09_Warlock!$F$69:$F$98,MATCH(Character_Spellcasting!L14,S09_Warlock!$E$69:$E$98,0),1),"")&amp;IFERROR(INDEX(S10_Wizard!$F$69:$F$98,MATCH(Character_Spellcasting!L14,S10_Wizard!$E$69:$E$98,0),1),"")</f>
        <v/>
      </c>
      <c r="S14" s="1096"/>
      <c r="T14" s="567"/>
      <c r="U14" s="565"/>
      <c r="V14" s="591">
        <v>8</v>
      </c>
      <c r="W14" s="1061" t="str">
        <f>IFERROR(INDEX(S01_Bard!$L$6:$L$35,MATCH(Character_Spellcasting!V14,S01_Bard!$N$69:$N$98,0),1),"")&amp;IFERROR(INDEX(S02_Cleric!$L$6:$L$35,MATCH(Character_Spellcasting!V14,S02_Cleric!$N$69:$N$98,0),1),"")&amp;IFERROR(INDEX(S03_Druid!$L$6:$L$35,MATCH(Character_Spellcasting!V14,S03_Druid!$N$69:$N$98,0),1),"")&amp;IFERROR(INDEX(S04_EldritchKnight!$L$6:$L$35,MATCH(Character_Spellcasting!V14,S04_EldritchKnight!$N$69:$N$98,0),1),"")&amp;IFERROR(INDEX(S05_Paladin!$L$6:$L$35,MATCH(Character_Spellcasting!V14,S05_Paladin!$N$69:$N$98,0),1),"")&amp;IFERROR(INDEX(S06_Ranger!$L$6:$L$35,MATCH(Character_Spellcasting!V14,S06_Ranger!$N$69:$N$988,0),1),"")&amp;IFERROR(INDEX(S07_ArcaneTrickster!$L$6:$L$35,MATCH(Character_Spellcasting!V14,S07_ArcaneTrickster!$N$69:$N$988,0),1),"")&amp;IFERROR(INDEX(S08_Sorcerer!$L$6:$L$35,MATCH(Character_Spellcasting!V14,S08_Sorcerer!$N$69:$N$98,0),1),"")&amp;IFERROR(INDEX(S09_Warlock!$L$6:$L$35,MATCH(Character_Spellcasting!V14,S09_Warlock!$N$69:$N$98,0),1),"")&amp;IFERROR(INDEX(S10_Wizard!$L$6:$L$35,MATCH(Character_Spellcasting!V14,S10_Wizard!$N$69:$N$98,0),1),"")</f>
        <v/>
      </c>
      <c r="X14" s="1061"/>
      <c r="Y14" s="1061"/>
      <c r="Z14" s="1061"/>
      <c r="AA14" s="1061"/>
      <c r="AB14" s="1097" t="str">
        <f>IFERROR(INDEX(S01_Bard!$O$69:$O$98,MATCH(Character_Spellcasting!V14,S01_Bard!$N$69:$N$98,0),1),"")&amp;IFERROR(INDEX(S02_Cleric!$O$69:$O$98,MATCH(Character_Spellcasting!V14,S02_Cleric!$N$69:$N$98,0),1),"")&amp;IFERROR(INDEX(S03_Druid!$O$69:$O$98,MATCH(Character_Spellcasting!V14,S03_Druid!$N$69:$N$98,0),1),"")&amp;IFERROR(INDEX(S04_EldritchKnight!$O$69:$O$98,MATCH(Character_Spellcasting!V14,S04_EldritchKnight!$N$69:$N$98,0),1),"")&amp;IFERROR(INDEX(S05_Paladin!$O$69:$O$98,MATCH(Character_Spellcasting!V14,S05_Paladin!$N$69:$N$98,0),1),"")&amp;IFERROR(INDEX(S06_Ranger!$O$69:$O$98,MATCH(Character_Spellcasting!V14,S06_Ranger!$N$69:$N$988,0),1),"")&amp;IFERROR(INDEX(S07_ArcaneTrickster!$O$69:$O$98,MATCH(Character_Spellcasting!V14,S07_ArcaneTrickster!$N$69:$N$988,0),1),"")&amp;IFERROR(INDEX(S08_Sorcerer!$O$69:$O$98,MATCH(Character_Spellcasting!V14,S08_Sorcerer!$N$69:$N$98,0),1),"")&amp;IFERROR(INDEX(S09_Warlock!$O$69:$O$98,MATCH(Character_Spellcasting!V14,S09_Warlock!$N$69:$N$98,0),1),"")&amp;IFERROR(INDEX(S10_Wizard!$O$69:$O$98,MATCH(Character_Spellcasting!V14,S10_Wizard!$N$69:$N$98,0),1),"")</f>
        <v/>
      </c>
      <c r="AC14" s="1098"/>
      <c r="AD14" s="567"/>
      <c r="AE14" s="565"/>
      <c r="AF14" s="609">
        <v>8</v>
      </c>
      <c r="AG14" s="1061" t="str">
        <f>IFERROR(INDEX(S01_Bard!$U$6:$U$35,MATCH(Character_Spellcasting!AF14,S01_Bard!$W$69:$W$98,0),1),"")&amp;IFERROR(INDEX(S02_Cleric!$U$6:$U$35,MATCH(Character_Spellcasting!AF14,S02_Cleric!$W$69:$W$98,0),1),"")&amp;IFERROR(INDEX(S03_Druid!$U$6:$U$35,MATCH(Character_Spellcasting!AF14,S03_Druid!$W$69:$W$98,0),1),"")&amp;IFERROR(INDEX(S04_EldritchKnight!$U$6:$U$35,MATCH(Character_Spellcasting!AF14,S04_EldritchKnight!$W$69:$W$98,0),1),"")&amp;IFERROR(INDEX(S05_Paladin!$U$6:$U$35,MATCH(Character_Spellcasting!AF14,S05_Paladin!$W$69:$W$98,0),1),"")&amp;IFERROR(INDEX(S06_Ranger!$U$6:$U$35,MATCH(Character_Spellcasting!AF14,S06_Ranger!$W$69:$W$988,0),1),"")&amp;IFERROR(INDEX(S07_ArcaneTrickster!$U$6:$U$35,MATCH(Character_Spellcasting!AF14,S07_ArcaneTrickster!$W$69:$W$988,0),1),"")&amp;IFERROR(INDEX(S08_Sorcerer!$U$6:$U$35,MATCH(Character_Spellcasting!AF14,S08_Sorcerer!$W$69:$W$98,0),1),"")&amp;IFERROR(INDEX(S09_Warlock!$U$6:$U$35,MATCH(Character_Spellcasting!AF14,S09_Warlock!$W$69:$W$98,0),1),"")&amp;IFERROR(INDEX(S10_Wizard!$U$6:$U$35,MATCH(Character_Spellcasting!AF14,S10_Wizard!$W$69:$W$98,0),1),"")</f>
        <v/>
      </c>
      <c r="AH14" s="1061"/>
      <c r="AI14" s="1061"/>
      <c r="AJ14" s="1061"/>
      <c r="AK14" s="1061"/>
      <c r="AL14" s="1097" t="str">
        <f>IFERROR(INDEX(S01_Bard!$X$69:$X$98,MATCH(Character_Spellcasting!AF14,S01_Bard!$W$69:$W$98,0),1),"")&amp;IFERROR(INDEX(S02_Cleric!$X$69:$X$98,MATCH(Character_Spellcasting!AF14,S02_Cleric!$W$69:$W$98,0),1),"")&amp;IFERROR(INDEX(S03_Druid!$X$69:$X$98,MATCH(Character_Spellcasting!AF14,S03_Druid!$W$69:$W$98,0),1),"")&amp;IFERROR(INDEX(S04_EldritchKnight!$X$69:$X$98,MATCH(Character_Spellcasting!AF14,S04_EldritchKnight!$W$69:$W$98,0),1),"")&amp;IFERROR(INDEX(S05_Paladin!$X$69:$X$98,MATCH(Character_Spellcasting!AF14,S05_Paladin!$W$69:$W$98,0),1),"")&amp;IFERROR(INDEX(S06_Ranger!$X$69:$X$98,MATCH(Character_Spellcasting!AF14,S06_Ranger!$W$69:$W$988,0),1),"")&amp;IFERROR(INDEX(S07_ArcaneTrickster!$X$69:$X$98,MATCH(Character_Spellcasting!AF14,S07_ArcaneTrickster!$W$69:$W$988,0),1),"")&amp;IFERROR(INDEX(S08_Sorcerer!$X$69:$X$98,MATCH(Character_Spellcasting!AF14,S08_Sorcerer!$W$69:$W$98,0),1),"")&amp;IFERROR(INDEX(S09_Warlock!$X$69:$X$98,MATCH(Character_Spellcasting!AF14,S09_Warlock!$W$69:$W$98,0),1),"")&amp;IFERROR(INDEX(S10_Wizard!$X$69:$X$98,MATCH(Character_Spellcasting!AF14,S10_Wizard!$W$69:$W$98,0),1),"")</f>
        <v/>
      </c>
      <c r="AM14" s="1098"/>
      <c r="AN14" s="567"/>
      <c r="AO14" s="565"/>
      <c r="AP14" s="591">
        <v>8</v>
      </c>
      <c r="AQ14" s="1061" t="str">
        <f>IFERROR(INDEX(S01_Bard!$AD$6:$AD$35,MATCH(Character_Spellcasting!AP14,S01_Bard!$AF$69:$AF$98,0),1),"")&amp;IFERROR(INDEX(S02_Cleric!$AD$6:$AD$35,MATCH(Character_Spellcasting!AP14,S02_Cleric!$AF$69:$AF$98,0),1),"")&amp;IFERROR(INDEX(S03_Druid!$AD$6:$AD$35,MATCH(Character_Spellcasting!AP14,S03_Druid!$AF$69:$AF$98,0),1),"")&amp;IFERROR(INDEX(S04_EldritchKnight!$AD$6:$AD$35,MATCH(Character_Spellcasting!AP14,S04_EldritchKnight!$AF$69:$AF$98,0),1),"")&amp;IFERROR(INDEX(S05_Paladin!$AD$6:$AD$35,MATCH(Character_Spellcasting!AP14,S05_Paladin!$AF$69:$AF$98,0),1),"")&amp;IFERROR(INDEX(S06_Ranger!$AD$6:$AD$35,MATCH(Character_Spellcasting!AP14,S06_Ranger!$AF$69:$AF$988,0),1),"")&amp;IFERROR(INDEX(S07_ArcaneTrickster!$AD$6:$AD$35,MATCH(Character_Spellcasting!AP14,S07_ArcaneTrickster!$AF$69:$AF$988,0),1),"")&amp;IFERROR(INDEX(S08_Sorcerer!$AD$6:$AD$35,MATCH(Character_Spellcasting!AP14,S08_Sorcerer!$AF$69:$AF$98,0),1),"")&amp;IFERROR(INDEX(S09_Warlock!$AD$6:$AD$35,MATCH(Character_Spellcasting!AP14,S09_Warlock!$AF$69:$AF$98,0),1),"")&amp;IFERROR(INDEX(S10_Wizard!$AD$6:$AD$35,MATCH(Character_Spellcasting!AP14,S10_Wizard!$AF$69:$AF$98,0),1),"")</f>
        <v/>
      </c>
      <c r="AR14" s="1061"/>
      <c r="AS14" s="1061"/>
      <c r="AT14" s="1061"/>
      <c r="AU14" s="1061"/>
      <c r="AV14" s="1096" t="str">
        <f>IFERROR(INDEX(S01_Bard!$AG$69:$AG$98,MATCH(Character_Spellcasting!AP14,S01_Bard!$D$69:$D$98,0),1),"")&amp;IFERROR(INDEX(S02_Cleric!$AG$69:$AG$98,MATCH(Character_Spellcasting!AP14,S02_Cleric!$AF$69:$AF$98,0),1),"")&amp;IFERROR(INDEX(S03_Druid!$AG$69:$AG$98,MATCH(Character_Spellcasting!AP14,S03_Druid!$AF$69:$AF$98,0),1),"")&amp;IFERROR(INDEX(S04_EldritchKnight!$AG$69:$AG$98,MATCH(Character_Spellcasting!AP14,S04_EldritchKnight!$AF$69:$AF$98,0),1),"")&amp;IFERROR(INDEX(S05_Paladin!$AG$69:$AG$98,MATCH(Character_Spellcasting!AP14,S05_Paladin!$AF$69:$AF$98,0),1),"")&amp;IFERROR(INDEX(S06_Ranger!$AG$69:$AG$98,MATCH(Character_Spellcasting!AP14,S06_Ranger!$AF$69:$AF$988,0),1),"")&amp;IFERROR(INDEX(S07_ArcaneTrickster!$AG$69:$AG$98,MATCH(Character_Spellcasting!AP14,S07_ArcaneTrickster!$AF$69:$AF$988,0),1),"")&amp;IFERROR(INDEX(S08_Sorcerer!$AG$69:$AG$98,MATCH(Character_Spellcasting!AP14,S08_Sorcerer!$AF$69:$AF$98,0),1),"")&amp;IFERROR(INDEX(S09_Warlock!$AG$69:$AG$98,MATCH(Character_Spellcasting!AP14,S09_Warlock!$AF$69:$AF$98,0),1),"")&amp;IFERROR(INDEX(S10_Wizard!$AG$69:$AG$98,MATCH(Character_Spellcasting!AP14,S10_Wizard!$AF$69:$AF$98,0),1),"")</f>
        <v/>
      </c>
      <c r="AW14" s="1096"/>
      <c r="AX14" s="567"/>
      <c r="AY14" s="565"/>
      <c r="AZ14" s="591">
        <v>8</v>
      </c>
      <c r="BA14" s="1061" t="str">
        <f>IFERROR(INDEX(S01_Bard!$AM$6:$AM$35,MATCH(Character_Spellcasting!AZ14,S01_Bard!$AO$69:$AO$98,0),1),"")&amp;IFERROR(INDEX(S02_Cleric!$AM$6:$AM$35,MATCH(Character_Spellcasting!AZ14,S02_Cleric!$AO$69:$AO$98,0),1),"")&amp;IFERROR(INDEX(S03_Druid!$AM$6:$AM$35,MATCH(Character_Spellcasting!AZ14,S03_Druid!$AO$69:$AO$98,0),1),"")&amp;IFERROR(INDEX(S04_EldritchKnight!$AM$6:$AM$35,MATCH(Character_Spellcasting!AZ14,S04_EldritchKnight!$AO$69:$AO$98,0),1),"")&amp;IFERROR(INDEX(S05_Paladin!$AM$6:$AM$35,MATCH(Character_Spellcasting!AZ14,S05_Paladin!$AO$69:$AO$98,0),1),"")&amp;IFERROR(INDEX(S06_Ranger!$AM$6:$AM$35,MATCH(Character_Spellcasting!AZ14,S06_Ranger!$AO$69:$AO$988,0),1),"")&amp;IFERROR(INDEX(S07_ArcaneTrickster!$AM$6:$AM$35,MATCH(Character_Spellcasting!AZ14,S07_ArcaneTrickster!$AO$69:$AO$988,0),1),"")&amp;IFERROR(INDEX(S08_Sorcerer!$AM$6:$AM$35,MATCH(Character_Spellcasting!AZ14,S08_Sorcerer!$AO$69:$AO$98,0),1),"")&amp;IFERROR(INDEX(S09_Warlock!$AM$6:$AM$35,MATCH(Character_Spellcasting!AZ14,S09_Warlock!$AO$69:$AO$98,0),1),"")&amp;IFERROR(INDEX(S10_Wizard!$AM$6:$AM$35,MATCH(Character_Spellcasting!AZ14,S10_Wizard!$AO$69:$AO$98,0),1),"")</f>
        <v/>
      </c>
      <c r="BB14" s="1061"/>
      <c r="BC14" s="1061"/>
      <c r="BD14" s="1061"/>
      <c r="BE14" s="1061"/>
      <c r="BF14" s="1096" t="str">
        <f>IFERROR(INDEX(S01_Bard!$AP$69:$AP$98,MATCH(Character_Spellcasting!AZ14,S01_Bard!$D$69:$D$98,0),1),"")&amp;IFERROR(INDEX(S02_Cleric!$AP$69:$AP$98,MATCH(Character_Spellcasting!AZ14,S02_Cleric!$AO$69:$AO$98,0),1),"")&amp;IFERROR(INDEX(S03_Druid!$AP$69:$AP$98,MATCH(Character_Spellcasting!AZ14,S03_Druid!$AO$69:$AO$98,0),1),"")&amp;IFERROR(INDEX(S04_EldritchKnight!$AP$69:$AP$98,MATCH(Character_Spellcasting!AZ14,S04_EldritchKnight!$AO$69:$AO$98,0),1),"")&amp;IFERROR(INDEX(S05_Paladin!$AP$69:$AP$98,MATCH(Character_Spellcasting!AZ14,S05_Paladin!$AO$69:$AO$98,0),1),"")&amp;IFERROR(INDEX(S06_Ranger!$AP$69:$AP$98,MATCH(Character_Spellcasting!AZ14,S06_Ranger!$AO$69:$AO$988,0),1),"")&amp;IFERROR(INDEX(S07_ArcaneTrickster!$AP$69:$AP$98,MATCH(Character_Spellcasting!AZ14,S07_ArcaneTrickster!$AO$69:$AO$988,0),1),"")&amp;IFERROR(INDEX(S08_Sorcerer!$AP$69:$AP$98,MATCH(Character_Spellcasting!AZ14,S08_Sorcerer!$AO$69:$AO$98,0),1),"")&amp;IFERROR(INDEX(S09_Warlock!$AP$69:$AP$98,MATCH(Character_Spellcasting!AZ14,S09_Warlock!$AO$69:$AO$98,0),1),"")&amp;IFERROR(INDEX(S10_Wizard!$AP$69:$AP$98,MATCH(Character_Spellcasting!AZ14,S10_Wizard!$AO$69:$AO$98,0),1),"")</f>
        <v/>
      </c>
      <c r="BG14" s="1096"/>
      <c r="BH14" s="567"/>
      <c r="BI14" s="120"/>
      <c r="BJ14" s="591">
        <v>8</v>
      </c>
      <c r="BK14" s="1061" t="str">
        <f>IFERROR(INDEX(S01_Bard!$AV$6:$AV$35,MATCH(Character_Spellcasting!BJ14,S01_Bard!$AX$69:$AX$98,0),1),"")&amp;IFERROR(INDEX(S02_Cleric!$AV$6:$AV$35,MATCH(Character_Spellcasting!BJ14,S02_Cleric!$AX$69:$AX$98,0),1),"")&amp;IFERROR(INDEX(S03_Druid!$AV$6:$AV$35,MATCH(Character_Spellcasting!BJ14,S03_Druid!$AX$69:$AX$98,0),1),"")&amp;IFERROR(INDEX(S04_EldritchKnight!$AV$6:$AV$35,MATCH(Character_Spellcasting!BJ14,S04_EldritchKnight!$AX$69:$AX$98,0),1),"")&amp;IFERROR(INDEX(S05_Paladin!$AV$6:$AV$35,MATCH(Character_Spellcasting!BJ14,S05_Paladin!$AX$69:$AX$98,0),1),"")&amp;IFERROR(INDEX(S06_Ranger!$AV$6:$AV$35,MATCH(Character_Spellcasting!BJ14,S06_Ranger!$AX$69:$AX$988,0),1),"")&amp;IFERROR(INDEX(S07_ArcaneTrickster!$AV$6:$AV$35,MATCH(Character_Spellcasting!BJ14,S07_ArcaneTrickster!$AX$69:$AX$988,0),1),"")&amp;IFERROR(INDEX(S08_Sorcerer!$AV$6:$AV$35,MATCH(Character_Spellcasting!BJ14,S08_Sorcerer!$AX$69:$AX$98,0),1),"")&amp;IFERROR(INDEX(S09_Warlock!$AV$6:$AV$35,MATCH(Character_Spellcasting!BJ14,S09_Warlock!$AX$69:$AX$98,0),1),"")&amp;IFERROR(INDEX(S10_Wizard!$AV$6:$AV$35,MATCH(Character_Spellcasting!BJ14,S10_Wizard!$AX$69:$AX$98,0),1),"")</f>
        <v/>
      </c>
      <c r="BL14" s="1061"/>
      <c r="BM14" s="1061"/>
      <c r="BN14" s="1061"/>
      <c r="BO14" s="1061"/>
      <c r="BP14" s="1096" t="str">
        <f>IFERROR(INDEX(S01_Bard!$AY$69:$AY$98,MATCH(Character_Spellcasting!BJ14,S01_Bard!$D$69:$D$98,0),1),"")&amp;IFERROR(INDEX(S02_Cleric!$AY$69:$AY$98,MATCH(Character_Spellcasting!BJ14,S02_Cleric!$AX$69:$AX$98,0),1),"")&amp;IFERROR(INDEX(S03_Druid!$AY$69:$AY$98,MATCH(Character_Spellcasting!BJ14,S03_Druid!$AX$69:$AX$98,0),1),"")&amp;IFERROR(INDEX(S04_EldritchKnight!$AY$69:$AY$98,MATCH(Character_Spellcasting!BJ14,S04_EldritchKnight!$AX$69:$AX$98,0),1),"")&amp;IFERROR(INDEX(S05_Paladin!$AY$69:$AY$98,MATCH(Character_Spellcasting!BJ14,S05_Paladin!$AX$69:$AX$98,0),1),"")&amp;IFERROR(INDEX(S06_Ranger!$AY$69:$AY$98,MATCH(Character_Spellcasting!BJ14,S06_Ranger!$AX$69:$AX$988,0),1),"")&amp;IFERROR(INDEX(S07_ArcaneTrickster!$AY$69:$AY$98,MATCH(Character_Spellcasting!BJ14,S07_ArcaneTrickster!$AX$69:$AX$988,0),1),"")&amp;IFERROR(INDEX(S08_Sorcerer!$AY$69:$AY$98,MATCH(Character_Spellcasting!BJ14,S08_Sorcerer!$AX$69:$AX$98,0),1),"")&amp;IFERROR(INDEX(S09_Warlock!$AY$69:$AY$98,MATCH(Character_Spellcasting!BJ14,S09_Warlock!$AX$69:$AX$98,0),1),"")&amp;IFERROR(INDEX(S10_Wizard!$AY$69:$AY$98,MATCH(Character_Spellcasting!BJ14,S10_Wizard!$AX$69:$AX$98,0),1),"")</f>
        <v/>
      </c>
      <c r="BQ14" s="1096"/>
      <c r="BR14" s="567"/>
      <c r="BS14" s="120"/>
      <c r="BT14" s="591">
        <v>8</v>
      </c>
      <c r="BU14" s="1061" t="str">
        <f>IFERROR(INDEX(S01_Bard!$BE$6:$BE$35,MATCH(Character_Spellcasting!BT14,S01_Bard!$BG$69:$BG$98,0),1),"")&amp;IFERROR(INDEX(S02_Cleric!$BE$6:$BE$35,MATCH(Character_Spellcasting!BT14,S02_Cleric!$BG$69:$BG$98,0),1),"")&amp;IFERROR(INDEX(S03_Druid!$BE$6:$BE$35,MATCH(Character_Spellcasting!BT14,S03_Druid!$BG$69:$BG$98,0),1),"")&amp;IFERROR(INDEX(S04_EldritchKnight!$BE$6:$BE$35,MATCH(Character_Spellcasting!BT14,S04_EldritchKnight!$BG$69:$BG$98,0),1),"")&amp;IFERROR(INDEX(S05_Paladin!$BE$6:$BE$35,MATCH(Character_Spellcasting!BT14,S05_Paladin!$BG$69:$BG$98,0),1),"")&amp;IFERROR(INDEX(S06_Ranger!$BE$6:$BE$35,MATCH(Character_Spellcasting!BT14,S06_Ranger!$BG$69:$BG$988,0),1),"")&amp;IFERROR(INDEX(S07_ArcaneTrickster!$BE$6:$BE$35,MATCH(Character_Spellcasting!BT14,S07_ArcaneTrickster!$BG$69:$BG$988,0),1),"")&amp;IFERROR(INDEX(S08_Sorcerer!$BE$6:$BE$35,MATCH(Character_Spellcasting!BT14,S08_Sorcerer!$BG$69:$BG$98,0),1),"")&amp;IFERROR(INDEX(S09_Warlock!$BE$6:$BE$35,MATCH(Character_Spellcasting!BT14,S09_Warlock!$BG$69:$BG$98,0),1),"")&amp;IFERROR(INDEX(S10_Wizard!$BE$6:$BE$35,MATCH(Character_Spellcasting!BT14,S10_Wizard!$BG$69:$BG$98,0),1),"")</f>
        <v/>
      </c>
      <c r="BV14" s="1061"/>
      <c r="BW14" s="1061"/>
      <c r="BX14" s="1061"/>
      <c r="BY14" s="1061"/>
      <c r="BZ14" s="1096" t="str">
        <f>IFERROR(INDEX(S01_Bard!$BH$69:$BH$98,MATCH(Character_Spellcasting!BT14,S01_Bard!$D$69:$D$98,0),1),"")&amp;IFERROR(INDEX(S02_Cleric!$BH$69:$BH$98,MATCH(Character_Spellcasting!BT14,S02_Cleric!$BG$69:$BG$98,0),1),"")&amp;IFERROR(INDEX(S03_Druid!$BH$69:$BH$98,MATCH(Character_Spellcasting!BT14,S03_Druid!$BG$69:$BG$98,0),1),"")&amp;IFERROR(INDEX(S04_EldritchKnight!$BH$69:$BH$98,MATCH(Character_Spellcasting!BT14,S04_EldritchKnight!$BG$69:$BG$98,0),1),"")&amp;IFERROR(INDEX(S05_Paladin!$BH$69:$BH$98,MATCH(Character_Spellcasting!BT14,S05_Paladin!$BG$69:$BG$98,0),1),"")&amp;IFERROR(INDEX(S06_Ranger!$BH$69:$BH$98,MATCH(Character_Spellcasting!BT14,S06_Ranger!$BG$69:$BG$988,0),1),"")&amp;IFERROR(INDEX(S07_ArcaneTrickster!$BH$69:$BH$98,MATCH(Character_Spellcasting!BT14,S07_ArcaneTrickster!$BG$69:$BG$988,0),1),"")&amp;IFERROR(INDEX(S08_Sorcerer!$BH$69:$BH$98,MATCH(Character_Spellcasting!BT14,S08_Sorcerer!$BG$69:$BG$98,0),1),"")&amp;IFERROR(INDEX(S09_Warlock!$BH$69:$BH$98,MATCH(Character_Spellcasting!BT14,S09_Warlock!$BG$69:$BG$98,0),1),"")&amp;IFERROR(INDEX(S10_Wizard!$BH$69:$BH$98,MATCH(Character_Spellcasting!BT14,S10_Wizard!$BG$69:$BG$98,0),1),"")</f>
        <v/>
      </c>
      <c r="CA14" s="1096"/>
      <c r="CB14" s="567"/>
      <c r="CC14" s="120"/>
      <c r="CD14" s="591">
        <v>8</v>
      </c>
      <c r="CE14" s="1061" t="str">
        <f>IFERROR(INDEX(S01_Bard!$BN$6:$BN$35,MATCH(Character_Spellcasting!CD14,S01_Bard!$BP$69:$BP$98,0),1),"")&amp;IFERROR(INDEX(S02_Cleric!$BN$6:$BN$35,MATCH(Character_Spellcasting!CD14,S02_Cleric!$BP$69:$BP$98,0),1),"")&amp;IFERROR(INDEX(S03_Druid!$BN$6:$BN$35,MATCH(Character_Spellcasting!CD14,S03_Druid!$BP$69:$BP$98,0),1),"")&amp;IFERROR(INDEX(S04_EldritchKnight!$BN$6:$BN$35,MATCH(Character_Spellcasting!CD14,S04_EldritchKnight!$BP$69:$BP$98,0),1),"")&amp;IFERROR(INDEX(S05_Paladin!$BN$6:$BN$35,MATCH(Character_Spellcasting!CD14,S05_Paladin!$BP$69:$BP$98,0),1),"")&amp;IFERROR(INDEX(S06_Ranger!$BN$6:$BN$35,MATCH(Character_Spellcasting!CD14,S06_Ranger!$BP$69:$BP$988,0),1),"")&amp;IFERROR(INDEX(S07_ArcaneTrickster!$BN$6:$BN$35,MATCH(Character_Spellcasting!CD14,S07_ArcaneTrickster!$BP$69:$BP$988,0),1),"")&amp;IFERROR(INDEX(S08_Sorcerer!$BN$6:$BN$35,MATCH(Character_Spellcasting!CD14,S08_Sorcerer!$BP$69:$BP$98,0),1),"")&amp;IFERROR(INDEX(S09_Warlock!$BN$6:$BN$35,MATCH(Character_Spellcasting!CD14,S09_Warlock!$BP$69:$BP$98,0),1),"")&amp;IFERROR(INDEX(S10_Wizard!$BN$6:$BN$35,MATCH(Character_Spellcasting!CD14,S10_Wizard!$BP$69:$BP$98,0),1),"")</f>
        <v/>
      </c>
      <c r="CF14" s="1061"/>
      <c r="CG14" s="1061"/>
      <c r="CH14" s="1061"/>
      <c r="CI14" s="1061"/>
      <c r="CJ14" s="1096" t="str">
        <f>IFERROR(INDEX(S01_Bard!$BQ$69:$BQ$98,MATCH(Character_Spellcasting!CD14,S01_Bard!$D$69:$D$98,0),1),"")&amp;IFERROR(INDEX(S02_Cleric!$BQ$69:$BQ$98,MATCH(Character_Spellcasting!CD14,S02_Cleric!$BP$69:$BP$98,0),1),"")&amp;IFERROR(INDEX(S03_Druid!$BQ$69:$BQ$98,MATCH(Character_Spellcasting!CD14,S03_Druid!$BP$69:$BP$98,0),1),"")&amp;IFERROR(INDEX(S04_EldritchKnight!$BQ$69:$BQ$98,MATCH(Character_Spellcasting!CD14,S04_EldritchKnight!$BP$69:$BP$98,0),1),"")&amp;IFERROR(INDEX(S05_Paladin!$BQ$69:$BQ$98,MATCH(Character_Spellcasting!CD14,S05_Paladin!$BP$69:$BP$98,0),1),"")&amp;IFERROR(INDEX(S06_Ranger!$BQ$69:$BQ$98,MATCH(Character_Spellcasting!CD14,S06_Ranger!$BP$69:$BP$988,0),1),"")&amp;IFERROR(INDEX(S07_ArcaneTrickster!$BQ$69:$BQ$98,MATCH(Character_Spellcasting!CD14,S07_ArcaneTrickster!$BP$69:$BP$988,0),1),"")&amp;IFERROR(INDEX(S08_Sorcerer!$BQ$69:$BQ$98,MATCH(Character_Spellcasting!CD14,S08_Sorcerer!$BP$69:$BP$98,0),1),"")&amp;IFERROR(INDEX(S09_Warlock!$BQ$69:$BQ$98,MATCH(Character_Spellcasting!CD14,S09_Warlock!$BP$69:$BP$98,0),1),"")&amp;IFERROR(INDEX(S10_Wizard!$BQ$69:$BQ$98,MATCH(Character_Spellcasting!CD14,S10_Wizard!$BP$69:$BP$98,0),1),"")</f>
        <v/>
      </c>
      <c r="CK14" s="1096"/>
      <c r="CL14" s="567"/>
      <c r="CM14" s="120"/>
      <c r="CN14" s="591">
        <v>8</v>
      </c>
      <c r="CO14" s="1061" t="str">
        <f>IFERROR(INDEX(S01_Bard!$BW$6:$BW$35,MATCH(Character_Spellcasting!CN14,S01_Bard!$BY$69:$BY$98,0),1),"")&amp;IFERROR(INDEX(S02_Cleric!$BW$6:$BW$35,MATCH(Character_Spellcasting!CN14,S02_Cleric!$BY$69:$BY$98,0),1),"")&amp;IFERROR(INDEX(S03_Druid!$BW$6:$BW$35,MATCH(Character_Spellcasting!CN14,S03_Druid!$BY$69:$BY$98,0),1),"")&amp;IFERROR(INDEX(S04_EldritchKnight!$BW$6:$BW$35,MATCH(Character_Spellcasting!CN14,S04_EldritchKnight!$BY$69:$BY$98,0),1),"")&amp;IFERROR(INDEX(S05_Paladin!$BW$6:$BW$35,MATCH(Character_Spellcasting!CN14,S05_Paladin!$BY$69:$BY$98,0),1),"")&amp;IFERROR(INDEX(S06_Ranger!$BW$6:$BW$35,MATCH(Character_Spellcasting!CN14,S06_Ranger!$BY$69:$BY$988,0),1),"")&amp;IFERROR(INDEX(S07_ArcaneTrickster!$BW$6:$BW$35,MATCH(Character_Spellcasting!CN14,S07_ArcaneTrickster!$BY$69:$BY$988,0),1),"")&amp;IFERROR(INDEX(S08_Sorcerer!$BW$6:$BW$35,MATCH(Character_Spellcasting!CN14,S08_Sorcerer!$BY$69:$BY$98,0),1),"")&amp;IFERROR(INDEX(S09_Warlock!$BW$6:$BW$35,MATCH(Character_Spellcasting!CN14,S09_Warlock!$BY$69:$BY$98,0),1),"")&amp;IFERROR(INDEX(S10_Wizard!$BW$6:$BW$35,MATCH(Character_Spellcasting!CN14,S10_Wizard!$BY$69:$BY$98,0),1),"")</f>
        <v/>
      </c>
      <c r="CP14" s="1061"/>
      <c r="CQ14" s="1061"/>
      <c r="CR14" s="1061"/>
      <c r="CS14" s="1061"/>
      <c r="CT14" s="1096" t="str">
        <f>IFERROR(INDEX(S01_Bard!$BZ$69:$BZ$98,MATCH(Character_Spellcasting!CN14,S01_Bard!$D$69:$D$98,0),1),"")&amp;IFERROR(INDEX(S02_Cleric!$BZ$69:$BZ$98,MATCH(Character_Spellcasting!CN14,S02_Cleric!$BY$69:$BY$98,0),1),"")&amp;IFERROR(INDEX(S03_Druid!$BZ$69:$BZ$98,MATCH(Character_Spellcasting!CN14,S03_Druid!$BY$69:$BY$98,0),1),"")&amp;IFERROR(INDEX(S04_EldritchKnight!$BZ$69:$BZ$98,MATCH(Character_Spellcasting!CN14,S04_EldritchKnight!$BY$69:$BY$98,0),1),"")&amp;IFERROR(INDEX(S05_Paladin!$BZ$69:$BZ$98,MATCH(Character_Spellcasting!CN14,S05_Paladin!$BY$69:$BY$98,0),1),"")&amp;IFERROR(INDEX(S06_Ranger!$BZ$69:$BZ$98,MATCH(Character_Spellcasting!CN14,S06_Ranger!$BY$69:$BY$988,0),1),"")&amp;IFERROR(INDEX(S07_ArcaneTrickster!$BZ$69:$BZ$98,MATCH(Character_Spellcasting!CN14,S07_ArcaneTrickster!$BY$69:$BY$988,0),1),"")&amp;IFERROR(INDEX(S08_Sorcerer!$BZ$69:$BZ$98,MATCH(Character_Spellcasting!CN14,S08_Sorcerer!$BY$69:$BY$98,0),1),"")&amp;IFERROR(INDEX(S09_Warlock!$BZ$69:$BZ$98,MATCH(Character_Spellcasting!CN14,S09_Warlock!$BY$69:$BY$98,0),1),"")&amp;IFERROR(INDEX(S10_Wizard!$BZ$69:$BZ$98,MATCH(Character_Spellcasting!CN14,S10_Wizard!$BY$69:$BY$98,0),1),"")</f>
        <v/>
      </c>
      <c r="CU14" s="1096"/>
      <c r="CV14" s="567"/>
      <c r="CW14" s="565"/>
      <c r="CX14" s="565"/>
      <c r="CY14" s="565"/>
      <c r="CZ14" s="565"/>
      <c r="DA14" s="610">
        <v>8</v>
      </c>
      <c r="DB14" s="1061" t="str">
        <f t="shared" si="0"/>
        <v/>
      </c>
      <c r="DC14" s="1061"/>
      <c r="DD14" s="1061"/>
      <c r="DE14" s="1061"/>
      <c r="DF14" s="1061"/>
      <c r="DG14" s="1096" t="str">
        <f t="shared" si="1"/>
        <v/>
      </c>
      <c r="DH14" s="1096"/>
      <c r="DI14" s="565"/>
      <c r="DJ14" s="565"/>
      <c r="DK14" s="565"/>
      <c r="DL14" s="565"/>
      <c r="DM14" s="565"/>
      <c r="DN14" s="565"/>
      <c r="DO14" s="565"/>
      <c r="DP14" s="565"/>
      <c r="DQ14" s="565"/>
      <c r="DR14" s="565"/>
      <c r="DS14" s="565"/>
      <c r="DT14" s="565"/>
      <c r="DU14" s="565"/>
      <c r="DV14" s="565"/>
    </row>
    <row r="15" spans="1:126" ht="21" customHeight="1" x14ac:dyDescent="0.25">
      <c r="A15" s="120"/>
      <c r="B15" s="610">
        <v>9</v>
      </c>
      <c r="C15" s="1061"/>
      <c r="D15" s="1061"/>
      <c r="E15" s="1061"/>
      <c r="F15" s="1061"/>
      <c r="G15" s="1061"/>
      <c r="H15" s="1096"/>
      <c r="I15" s="1096"/>
      <c r="J15" s="120"/>
      <c r="K15" s="120"/>
      <c r="L15" s="591">
        <v>9</v>
      </c>
      <c r="M15" s="1061" t="str">
        <f>IFERROR(INDEX(S01_Bard!$C$6:$C$35,MATCH(Character_Spellcasting!L15,S01_Bard!$E$69:$E$98,0),1),"")&amp;IFERROR(INDEX(S02_Cleric!$C$6:$C$35,MATCH(Character_Spellcasting!L15,S02_Cleric!$E$69:$E$98,0),1),"")&amp;IFERROR(INDEX(S03_Druid!$C$6:$C$35,MATCH(Character_Spellcasting!L15,S03_Druid!$E$69:$E$98,0),1),"")&amp;IFERROR(INDEX(S04_EldritchKnight!$C$6:$C$35,MATCH(Character_Spellcasting!L15,S04_EldritchKnight!$E$69:$E$98,0),1),"")&amp;IFERROR(INDEX(S05_Paladin!$C$6:$C$35,MATCH(Character_Spellcasting!L15,S05_Paladin!$E$69:$E$98,0),1),"")&amp;IFERROR(INDEX(S06_Ranger!$C$6:$C$35,MATCH(Character_Spellcasting!L15,S06_Ranger!$E$69:$E$988,0),1),"")&amp;IFERROR(INDEX(S07_ArcaneTrickster!$C$6:$C$35,MATCH(Character_Spellcasting!L15,S07_ArcaneTrickster!$E$69:$E$988,0),1),"")&amp;IFERROR(INDEX(S08_Sorcerer!$C$6:$C$35,MATCH(Character_Spellcasting!L15,S08_Sorcerer!$E$69:$E$98,0),1),"")&amp;IFERROR(INDEX(S09_Warlock!$C$6:$C$35,MATCH(Character_Spellcasting!L15,S09_Warlock!$E$69:$E$98,0),1),"")&amp;IFERROR(INDEX(S10_Wizard!$C$6:$C$35,MATCH(Character_Spellcasting!L15,S10_Wizard!$E$69:$E$98,0),1),"")</f>
        <v/>
      </c>
      <c r="N15" s="1061"/>
      <c r="O15" s="1061"/>
      <c r="P15" s="1061"/>
      <c r="Q15" s="1061"/>
      <c r="R15" s="1096" t="str">
        <f>IFERROR(INDEX(S01_Bard!$F$69:$F$98,MATCH(Character_Spellcasting!L15,S01_Bard!$D$69:$D$98,0),1),"")&amp;IFERROR(INDEX(S02_Cleric!$F$69:$F$98,MATCH(Character_Spellcasting!L15,S02_Cleric!$E$69:$E$98,0),1),"")&amp;IFERROR(INDEX(S03_Druid!$F$69:$F$98,MATCH(Character_Spellcasting!L15,S03_Druid!$E$69:$E$98,0),1),"")&amp;IFERROR(INDEX(S04_EldritchKnight!$F$69:$F$98,MATCH(Character_Spellcasting!L15,S04_EldritchKnight!$E$69:$E$98,0),1),"")&amp;IFERROR(INDEX(S05_Paladin!$F$69:$F$98,MATCH(Character_Spellcasting!L15,S05_Paladin!$E$69:$E$98,0),1),"")&amp;IFERROR(INDEX(S06_Ranger!$F$69:$F$98,MATCH(Character_Spellcasting!L15,S06_Ranger!$E$69:$E$988,0),1),"")&amp;IFERROR(INDEX(S07_ArcaneTrickster!$F$69:$F$98,MATCH(Character_Spellcasting!L15,S07_ArcaneTrickster!$E$69:$E$988,0),1),"")&amp;IFERROR(INDEX(S08_Sorcerer!$F$69:$F$98,MATCH(Character_Spellcasting!L15,S08_Sorcerer!$E$69:$E$98,0),1),"")&amp;IFERROR(INDEX(S09_Warlock!$F$69:$F$98,MATCH(Character_Spellcasting!L15,S09_Warlock!$E$69:$E$98,0),1),"")&amp;IFERROR(INDEX(S10_Wizard!$F$69:$F$98,MATCH(Character_Spellcasting!L15,S10_Wizard!$E$69:$E$98,0),1),"")</f>
        <v/>
      </c>
      <c r="S15" s="1096"/>
      <c r="T15" s="567"/>
      <c r="U15" s="565"/>
      <c r="V15" s="591">
        <v>9</v>
      </c>
      <c r="W15" s="1061" t="str">
        <f>IFERROR(INDEX(S01_Bard!$L$6:$L$35,MATCH(Character_Spellcasting!V15,S01_Bard!$N$69:$N$98,0),1),"")&amp;IFERROR(INDEX(S02_Cleric!$L$6:$L$35,MATCH(Character_Spellcasting!V15,S02_Cleric!$N$69:$N$98,0),1),"")&amp;IFERROR(INDEX(S03_Druid!$L$6:$L$35,MATCH(Character_Spellcasting!V15,S03_Druid!$N$69:$N$98,0),1),"")&amp;IFERROR(INDEX(S04_EldritchKnight!$L$6:$L$35,MATCH(Character_Spellcasting!V15,S04_EldritchKnight!$N$69:$N$98,0),1),"")&amp;IFERROR(INDEX(S05_Paladin!$L$6:$L$35,MATCH(Character_Spellcasting!V15,S05_Paladin!$N$69:$N$98,0),1),"")&amp;IFERROR(INDEX(S06_Ranger!$L$6:$L$35,MATCH(Character_Spellcasting!V15,S06_Ranger!$N$69:$N$988,0),1),"")&amp;IFERROR(INDEX(S07_ArcaneTrickster!$L$6:$L$35,MATCH(Character_Spellcasting!V15,S07_ArcaneTrickster!$N$69:$N$988,0),1),"")&amp;IFERROR(INDEX(S08_Sorcerer!$L$6:$L$35,MATCH(Character_Spellcasting!V15,S08_Sorcerer!$N$69:$N$98,0),1),"")&amp;IFERROR(INDEX(S09_Warlock!$L$6:$L$35,MATCH(Character_Spellcasting!V15,S09_Warlock!$N$69:$N$98,0),1),"")&amp;IFERROR(INDEX(S10_Wizard!$L$6:$L$35,MATCH(Character_Spellcasting!V15,S10_Wizard!$N$69:$N$98,0),1),"")</f>
        <v/>
      </c>
      <c r="X15" s="1061"/>
      <c r="Y15" s="1061"/>
      <c r="Z15" s="1061"/>
      <c r="AA15" s="1061"/>
      <c r="AB15" s="1097" t="str">
        <f>IFERROR(INDEX(S01_Bard!$O$69:$O$98,MATCH(Character_Spellcasting!V15,S01_Bard!$N$69:$N$98,0),1),"")&amp;IFERROR(INDEX(S02_Cleric!$O$69:$O$98,MATCH(Character_Spellcasting!V15,S02_Cleric!$N$69:$N$98,0),1),"")&amp;IFERROR(INDEX(S03_Druid!$O$69:$O$98,MATCH(Character_Spellcasting!V15,S03_Druid!$N$69:$N$98,0),1),"")&amp;IFERROR(INDEX(S04_EldritchKnight!$O$69:$O$98,MATCH(Character_Spellcasting!V15,S04_EldritchKnight!$N$69:$N$98,0),1),"")&amp;IFERROR(INDEX(S05_Paladin!$O$69:$O$98,MATCH(Character_Spellcasting!V15,S05_Paladin!$N$69:$N$98,0),1),"")&amp;IFERROR(INDEX(S06_Ranger!$O$69:$O$98,MATCH(Character_Spellcasting!V15,S06_Ranger!$N$69:$N$988,0),1),"")&amp;IFERROR(INDEX(S07_ArcaneTrickster!$O$69:$O$98,MATCH(Character_Spellcasting!V15,S07_ArcaneTrickster!$N$69:$N$988,0),1),"")&amp;IFERROR(INDEX(S08_Sorcerer!$O$69:$O$98,MATCH(Character_Spellcasting!V15,S08_Sorcerer!$N$69:$N$98,0),1),"")&amp;IFERROR(INDEX(S09_Warlock!$O$69:$O$98,MATCH(Character_Spellcasting!V15,S09_Warlock!$N$69:$N$98,0),1),"")&amp;IFERROR(INDEX(S10_Wizard!$O$69:$O$98,MATCH(Character_Spellcasting!V15,S10_Wizard!$N$69:$N$98,0),1),"")</f>
        <v/>
      </c>
      <c r="AC15" s="1098"/>
      <c r="AD15" s="567"/>
      <c r="AE15" s="565"/>
      <c r="AF15" s="609">
        <v>9</v>
      </c>
      <c r="AG15" s="1061" t="str">
        <f>IFERROR(INDEX(S01_Bard!$U$6:$U$35,MATCH(Character_Spellcasting!AF15,S01_Bard!$W$69:$W$98,0),1),"")&amp;IFERROR(INDEX(S02_Cleric!$U$6:$U$35,MATCH(Character_Spellcasting!AF15,S02_Cleric!$W$69:$W$98,0),1),"")&amp;IFERROR(INDEX(S03_Druid!$U$6:$U$35,MATCH(Character_Spellcasting!AF15,S03_Druid!$W$69:$W$98,0),1),"")&amp;IFERROR(INDEX(S04_EldritchKnight!$U$6:$U$35,MATCH(Character_Spellcasting!AF15,S04_EldritchKnight!$W$69:$W$98,0),1),"")&amp;IFERROR(INDEX(S05_Paladin!$U$6:$U$35,MATCH(Character_Spellcasting!AF15,S05_Paladin!$W$69:$W$98,0),1),"")&amp;IFERROR(INDEX(S06_Ranger!$U$6:$U$35,MATCH(Character_Spellcasting!AF15,S06_Ranger!$W$69:$W$988,0),1),"")&amp;IFERROR(INDEX(S07_ArcaneTrickster!$U$6:$U$35,MATCH(Character_Spellcasting!AF15,S07_ArcaneTrickster!$W$69:$W$988,0),1),"")&amp;IFERROR(INDEX(S08_Sorcerer!$U$6:$U$35,MATCH(Character_Spellcasting!AF15,S08_Sorcerer!$W$69:$W$98,0),1),"")&amp;IFERROR(INDEX(S09_Warlock!$U$6:$U$35,MATCH(Character_Spellcasting!AF15,S09_Warlock!$W$69:$W$98,0),1),"")&amp;IFERROR(INDEX(S10_Wizard!$U$6:$U$35,MATCH(Character_Spellcasting!AF15,S10_Wizard!$W$69:$W$98,0),1),"")</f>
        <v/>
      </c>
      <c r="AH15" s="1061"/>
      <c r="AI15" s="1061"/>
      <c r="AJ15" s="1061"/>
      <c r="AK15" s="1061"/>
      <c r="AL15" s="1097" t="str">
        <f>IFERROR(INDEX(S01_Bard!$X$69:$X$98,MATCH(Character_Spellcasting!AF15,S01_Bard!$W$69:$W$98,0),1),"")&amp;IFERROR(INDEX(S02_Cleric!$X$69:$X$98,MATCH(Character_Spellcasting!AF15,S02_Cleric!$W$69:$W$98,0),1),"")&amp;IFERROR(INDEX(S03_Druid!$X$69:$X$98,MATCH(Character_Spellcasting!AF15,S03_Druid!$W$69:$W$98,0),1),"")&amp;IFERROR(INDEX(S04_EldritchKnight!$X$69:$X$98,MATCH(Character_Spellcasting!AF15,S04_EldritchKnight!$W$69:$W$98,0),1),"")&amp;IFERROR(INDEX(S05_Paladin!$X$69:$X$98,MATCH(Character_Spellcasting!AF15,S05_Paladin!$W$69:$W$98,0),1),"")&amp;IFERROR(INDEX(S06_Ranger!$X$69:$X$98,MATCH(Character_Spellcasting!AF15,S06_Ranger!$W$69:$W$988,0),1),"")&amp;IFERROR(INDEX(S07_ArcaneTrickster!$X$69:$X$98,MATCH(Character_Spellcasting!AF15,S07_ArcaneTrickster!$W$69:$W$988,0),1),"")&amp;IFERROR(INDEX(S08_Sorcerer!$X$69:$X$98,MATCH(Character_Spellcasting!AF15,S08_Sorcerer!$W$69:$W$98,0),1),"")&amp;IFERROR(INDEX(S09_Warlock!$X$69:$X$98,MATCH(Character_Spellcasting!AF15,S09_Warlock!$W$69:$W$98,0),1),"")&amp;IFERROR(INDEX(S10_Wizard!$X$69:$X$98,MATCH(Character_Spellcasting!AF15,S10_Wizard!$W$69:$W$98,0),1),"")</f>
        <v/>
      </c>
      <c r="AM15" s="1098"/>
      <c r="AN15" s="567"/>
      <c r="AO15" s="565"/>
      <c r="AP15" s="591">
        <v>9</v>
      </c>
      <c r="AQ15" s="1061" t="str">
        <f>IFERROR(INDEX(S01_Bard!$AD$6:$AD$35,MATCH(Character_Spellcasting!AP15,S01_Bard!$AF$69:$AF$98,0),1),"")&amp;IFERROR(INDEX(S02_Cleric!$AD$6:$AD$35,MATCH(Character_Spellcasting!AP15,S02_Cleric!$AF$69:$AF$98,0),1),"")&amp;IFERROR(INDEX(S03_Druid!$AD$6:$AD$35,MATCH(Character_Spellcasting!AP15,S03_Druid!$AF$69:$AF$98,0),1),"")&amp;IFERROR(INDEX(S04_EldritchKnight!$AD$6:$AD$35,MATCH(Character_Spellcasting!AP15,S04_EldritchKnight!$AF$69:$AF$98,0),1),"")&amp;IFERROR(INDEX(S05_Paladin!$AD$6:$AD$35,MATCH(Character_Spellcasting!AP15,S05_Paladin!$AF$69:$AF$98,0),1),"")&amp;IFERROR(INDEX(S06_Ranger!$AD$6:$AD$35,MATCH(Character_Spellcasting!AP15,S06_Ranger!$AF$69:$AF$988,0),1),"")&amp;IFERROR(INDEX(S07_ArcaneTrickster!$AD$6:$AD$35,MATCH(Character_Spellcasting!AP15,S07_ArcaneTrickster!$AF$69:$AF$988,0),1),"")&amp;IFERROR(INDEX(S08_Sorcerer!$AD$6:$AD$35,MATCH(Character_Spellcasting!AP15,S08_Sorcerer!$AF$69:$AF$98,0),1),"")&amp;IFERROR(INDEX(S09_Warlock!$AD$6:$AD$35,MATCH(Character_Spellcasting!AP15,S09_Warlock!$AF$69:$AF$98,0),1),"")&amp;IFERROR(INDEX(S10_Wizard!$AD$6:$AD$35,MATCH(Character_Spellcasting!AP15,S10_Wizard!$AF$69:$AF$98,0),1),"")</f>
        <v/>
      </c>
      <c r="AR15" s="1061"/>
      <c r="AS15" s="1061"/>
      <c r="AT15" s="1061"/>
      <c r="AU15" s="1061"/>
      <c r="AV15" s="1096" t="str">
        <f>IFERROR(INDEX(S01_Bard!$AG$69:$AG$98,MATCH(Character_Spellcasting!AP15,S01_Bard!$D$69:$D$98,0),1),"")&amp;IFERROR(INDEX(S02_Cleric!$AG$69:$AG$98,MATCH(Character_Spellcasting!AP15,S02_Cleric!$AF$69:$AF$98,0),1),"")&amp;IFERROR(INDEX(S03_Druid!$AG$69:$AG$98,MATCH(Character_Spellcasting!AP15,S03_Druid!$AF$69:$AF$98,0),1),"")&amp;IFERROR(INDEX(S04_EldritchKnight!$AG$69:$AG$98,MATCH(Character_Spellcasting!AP15,S04_EldritchKnight!$AF$69:$AF$98,0),1),"")&amp;IFERROR(INDEX(S05_Paladin!$AG$69:$AG$98,MATCH(Character_Spellcasting!AP15,S05_Paladin!$AF$69:$AF$98,0),1),"")&amp;IFERROR(INDEX(S06_Ranger!$AG$69:$AG$98,MATCH(Character_Spellcasting!AP15,S06_Ranger!$AF$69:$AF$988,0),1),"")&amp;IFERROR(INDEX(S07_ArcaneTrickster!$AG$69:$AG$98,MATCH(Character_Spellcasting!AP15,S07_ArcaneTrickster!$AF$69:$AF$988,0),1),"")&amp;IFERROR(INDEX(S08_Sorcerer!$AG$69:$AG$98,MATCH(Character_Spellcasting!AP15,S08_Sorcerer!$AF$69:$AF$98,0),1),"")&amp;IFERROR(INDEX(S09_Warlock!$AG$69:$AG$98,MATCH(Character_Spellcasting!AP15,S09_Warlock!$AF$69:$AF$98,0),1),"")&amp;IFERROR(INDEX(S10_Wizard!$AG$69:$AG$98,MATCH(Character_Spellcasting!AP15,S10_Wizard!$AF$69:$AF$98,0),1),"")</f>
        <v/>
      </c>
      <c r="AW15" s="1096"/>
      <c r="AX15" s="567"/>
      <c r="AY15" s="565"/>
      <c r="AZ15" s="591">
        <v>9</v>
      </c>
      <c r="BA15" s="1061" t="str">
        <f>IFERROR(INDEX(S01_Bard!$AM$6:$AM$35,MATCH(Character_Spellcasting!AZ15,S01_Bard!$AO$69:$AO$98,0),1),"")&amp;IFERROR(INDEX(S02_Cleric!$AM$6:$AM$35,MATCH(Character_Spellcasting!AZ15,S02_Cleric!$AO$69:$AO$98,0),1),"")&amp;IFERROR(INDEX(S03_Druid!$AM$6:$AM$35,MATCH(Character_Spellcasting!AZ15,S03_Druid!$AO$69:$AO$98,0),1),"")&amp;IFERROR(INDEX(S04_EldritchKnight!$AM$6:$AM$35,MATCH(Character_Spellcasting!AZ15,S04_EldritchKnight!$AO$69:$AO$98,0),1),"")&amp;IFERROR(INDEX(S05_Paladin!$AM$6:$AM$35,MATCH(Character_Spellcasting!AZ15,S05_Paladin!$AO$69:$AO$98,0),1),"")&amp;IFERROR(INDEX(S06_Ranger!$AM$6:$AM$35,MATCH(Character_Spellcasting!AZ15,S06_Ranger!$AO$69:$AO$988,0),1),"")&amp;IFERROR(INDEX(S07_ArcaneTrickster!$AM$6:$AM$35,MATCH(Character_Spellcasting!AZ15,S07_ArcaneTrickster!$AO$69:$AO$988,0),1),"")&amp;IFERROR(INDEX(S08_Sorcerer!$AM$6:$AM$35,MATCH(Character_Spellcasting!AZ15,S08_Sorcerer!$AO$69:$AO$98,0),1),"")&amp;IFERROR(INDEX(S09_Warlock!$AM$6:$AM$35,MATCH(Character_Spellcasting!AZ15,S09_Warlock!$AO$69:$AO$98,0),1),"")&amp;IFERROR(INDEX(S10_Wizard!$AM$6:$AM$35,MATCH(Character_Spellcasting!AZ15,S10_Wizard!$AO$69:$AO$98,0),1),"")</f>
        <v/>
      </c>
      <c r="BB15" s="1061"/>
      <c r="BC15" s="1061"/>
      <c r="BD15" s="1061"/>
      <c r="BE15" s="1061"/>
      <c r="BF15" s="1096" t="str">
        <f>IFERROR(INDEX(S01_Bard!$AP$69:$AP$98,MATCH(Character_Spellcasting!AZ15,S01_Bard!$D$69:$D$98,0),1),"")&amp;IFERROR(INDEX(S02_Cleric!$AP$69:$AP$98,MATCH(Character_Spellcasting!AZ15,S02_Cleric!$AO$69:$AO$98,0),1),"")&amp;IFERROR(INDEX(S03_Druid!$AP$69:$AP$98,MATCH(Character_Spellcasting!AZ15,S03_Druid!$AO$69:$AO$98,0),1),"")&amp;IFERROR(INDEX(S04_EldritchKnight!$AP$69:$AP$98,MATCH(Character_Spellcasting!AZ15,S04_EldritchKnight!$AO$69:$AO$98,0),1),"")&amp;IFERROR(INDEX(S05_Paladin!$AP$69:$AP$98,MATCH(Character_Spellcasting!AZ15,S05_Paladin!$AO$69:$AO$98,0),1),"")&amp;IFERROR(INDEX(S06_Ranger!$AP$69:$AP$98,MATCH(Character_Spellcasting!AZ15,S06_Ranger!$AO$69:$AO$988,0),1),"")&amp;IFERROR(INDEX(S07_ArcaneTrickster!$AP$69:$AP$98,MATCH(Character_Spellcasting!AZ15,S07_ArcaneTrickster!$AO$69:$AO$988,0),1),"")&amp;IFERROR(INDEX(S08_Sorcerer!$AP$69:$AP$98,MATCH(Character_Spellcasting!AZ15,S08_Sorcerer!$AO$69:$AO$98,0),1),"")&amp;IFERROR(INDEX(S09_Warlock!$AP$69:$AP$98,MATCH(Character_Spellcasting!AZ15,S09_Warlock!$AO$69:$AO$98,0),1),"")&amp;IFERROR(INDEX(S10_Wizard!$AP$69:$AP$98,MATCH(Character_Spellcasting!AZ15,S10_Wizard!$AO$69:$AO$98,0),1),"")</f>
        <v/>
      </c>
      <c r="BG15" s="1096"/>
      <c r="BH15" s="567"/>
      <c r="BI15" s="120"/>
      <c r="BJ15" s="591">
        <v>9</v>
      </c>
      <c r="BK15" s="1061" t="str">
        <f>IFERROR(INDEX(S01_Bard!$AV$6:$AV$35,MATCH(Character_Spellcasting!BJ15,S01_Bard!$AX$69:$AX$98,0),1),"")&amp;IFERROR(INDEX(S02_Cleric!$AV$6:$AV$35,MATCH(Character_Spellcasting!BJ15,S02_Cleric!$AX$69:$AX$98,0),1),"")&amp;IFERROR(INDEX(S03_Druid!$AV$6:$AV$35,MATCH(Character_Spellcasting!BJ15,S03_Druid!$AX$69:$AX$98,0),1),"")&amp;IFERROR(INDEX(S04_EldritchKnight!$AV$6:$AV$35,MATCH(Character_Spellcasting!BJ15,S04_EldritchKnight!$AX$69:$AX$98,0),1),"")&amp;IFERROR(INDEX(S05_Paladin!$AV$6:$AV$35,MATCH(Character_Spellcasting!BJ15,S05_Paladin!$AX$69:$AX$98,0),1),"")&amp;IFERROR(INDEX(S06_Ranger!$AV$6:$AV$35,MATCH(Character_Spellcasting!BJ15,S06_Ranger!$AX$69:$AX$988,0),1),"")&amp;IFERROR(INDEX(S07_ArcaneTrickster!$AV$6:$AV$35,MATCH(Character_Spellcasting!BJ15,S07_ArcaneTrickster!$AX$69:$AX$988,0),1),"")&amp;IFERROR(INDEX(S08_Sorcerer!$AV$6:$AV$35,MATCH(Character_Spellcasting!BJ15,S08_Sorcerer!$AX$69:$AX$98,0),1),"")&amp;IFERROR(INDEX(S09_Warlock!$AV$6:$AV$35,MATCH(Character_Spellcasting!BJ15,S09_Warlock!$AX$69:$AX$98,0),1),"")&amp;IFERROR(INDEX(S10_Wizard!$AV$6:$AV$35,MATCH(Character_Spellcasting!BJ15,S10_Wizard!$AX$69:$AX$98,0),1),"")</f>
        <v/>
      </c>
      <c r="BL15" s="1061"/>
      <c r="BM15" s="1061"/>
      <c r="BN15" s="1061"/>
      <c r="BO15" s="1061"/>
      <c r="BP15" s="1096" t="str">
        <f>IFERROR(INDEX(S01_Bard!$AY$69:$AY$98,MATCH(Character_Spellcasting!BJ15,S01_Bard!$D$69:$D$98,0),1),"")&amp;IFERROR(INDEX(S02_Cleric!$AY$69:$AY$98,MATCH(Character_Spellcasting!BJ15,S02_Cleric!$AX$69:$AX$98,0),1),"")&amp;IFERROR(INDEX(S03_Druid!$AY$69:$AY$98,MATCH(Character_Spellcasting!BJ15,S03_Druid!$AX$69:$AX$98,0),1),"")&amp;IFERROR(INDEX(S04_EldritchKnight!$AY$69:$AY$98,MATCH(Character_Spellcasting!BJ15,S04_EldritchKnight!$AX$69:$AX$98,0),1),"")&amp;IFERROR(INDEX(S05_Paladin!$AY$69:$AY$98,MATCH(Character_Spellcasting!BJ15,S05_Paladin!$AX$69:$AX$98,0),1),"")&amp;IFERROR(INDEX(S06_Ranger!$AY$69:$AY$98,MATCH(Character_Spellcasting!BJ15,S06_Ranger!$AX$69:$AX$988,0),1),"")&amp;IFERROR(INDEX(S07_ArcaneTrickster!$AY$69:$AY$98,MATCH(Character_Spellcasting!BJ15,S07_ArcaneTrickster!$AX$69:$AX$988,0),1),"")&amp;IFERROR(INDEX(S08_Sorcerer!$AY$69:$AY$98,MATCH(Character_Spellcasting!BJ15,S08_Sorcerer!$AX$69:$AX$98,0),1),"")&amp;IFERROR(INDEX(S09_Warlock!$AY$69:$AY$98,MATCH(Character_Spellcasting!BJ15,S09_Warlock!$AX$69:$AX$98,0),1),"")&amp;IFERROR(INDEX(S10_Wizard!$AY$69:$AY$98,MATCH(Character_Spellcasting!BJ15,S10_Wizard!$AX$69:$AX$98,0),1),"")</f>
        <v/>
      </c>
      <c r="BQ15" s="1096"/>
      <c r="BR15" s="567"/>
      <c r="BS15" s="120"/>
      <c r="BT15" s="591">
        <v>9</v>
      </c>
      <c r="BU15" s="1061" t="str">
        <f>IFERROR(INDEX(S01_Bard!$BE$6:$BE$35,MATCH(Character_Spellcasting!BT15,S01_Bard!$BG$69:$BG$98,0),1),"")&amp;IFERROR(INDEX(S02_Cleric!$BE$6:$BE$35,MATCH(Character_Spellcasting!BT15,S02_Cleric!$BG$69:$BG$98,0),1),"")&amp;IFERROR(INDEX(S03_Druid!$BE$6:$BE$35,MATCH(Character_Spellcasting!BT15,S03_Druid!$BG$69:$BG$98,0),1),"")&amp;IFERROR(INDEX(S04_EldritchKnight!$BE$6:$BE$35,MATCH(Character_Spellcasting!BT15,S04_EldritchKnight!$BG$69:$BG$98,0),1),"")&amp;IFERROR(INDEX(S05_Paladin!$BE$6:$BE$35,MATCH(Character_Spellcasting!BT15,S05_Paladin!$BG$69:$BG$98,0),1),"")&amp;IFERROR(INDEX(S06_Ranger!$BE$6:$BE$35,MATCH(Character_Spellcasting!BT15,S06_Ranger!$BG$69:$BG$988,0),1),"")&amp;IFERROR(INDEX(S07_ArcaneTrickster!$BE$6:$BE$35,MATCH(Character_Spellcasting!BT15,S07_ArcaneTrickster!$BG$69:$BG$988,0),1),"")&amp;IFERROR(INDEX(S08_Sorcerer!$BE$6:$BE$35,MATCH(Character_Spellcasting!BT15,S08_Sorcerer!$BG$69:$BG$98,0),1),"")&amp;IFERROR(INDEX(S09_Warlock!$BE$6:$BE$35,MATCH(Character_Spellcasting!BT15,S09_Warlock!$BG$69:$BG$98,0),1),"")&amp;IFERROR(INDEX(S10_Wizard!$BE$6:$BE$35,MATCH(Character_Spellcasting!BT15,S10_Wizard!$BG$69:$BG$98,0),1),"")</f>
        <v/>
      </c>
      <c r="BV15" s="1061"/>
      <c r="BW15" s="1061"/>
      <c r="BX15" s="1061"/>
      <c r="BY15" s="1061"/>
      <c r="BZ15" s="1096" t="str">
        <f>IFERROR(INDEX(S01_Bard!$BH$69:$BH$98,MATCH(Character_Spellcasting!BT15,S01_Bard!$D$69:$D$98,0),1),"")&amp;IFERROR(INDEX(S02_Cleric!$BH$69:$BH$98,MATCH(Character_Spellcasting!BT15,S02_Cleric!$BG$69:$BG$98,0),1),"")&amp;IFERROR(INDEX(S03_Druid!$BH$69:$BH$98,MATCH(Character_Spellcasting!BT15,S03_Druid!$BG$69:$BG$98,0),1),"")&amp;IFERROR(INDEX(S04_EldritchKnight!$BH$69:$BH$98,MATCH(Character_Spellcasting!BT15,S04_EldritchKnight!$BG$69:$BG$98,0),1),"")&amp;IFERROR(INDEX(S05_Paladin!$BH$69:$BH$98,MATCH(Character_Spellcasting!BT15,S05_Paladin!$BG$69:$BG$98,0),1),"")&amp;IFERROR(INDEX(S06_Ranger!$BH$69:$BH$98,MATCH(Character_Spellcasting!BT15,S06_Ranger!$BG$69:$BG$988,0),1),"")&amp;IFERROR(INDEX(S07_ArcaneTrickster!$BH$69:$BH$98,MATCH(Character_Spellcasting!BT15,S07_ArcaneTrickster!$BG$69:$BG$988,0),1),"")&amp;IFERROR(INDEX(S08_Sorcerer!$BH$69:$BH$98,MATCH(Character_Spellcasting!BT15,S08_Sorcerer!$BG$69:$BG$98,0),1),"")&amp;IFERROR(INDEX(S09_Warlock!$BH$69:$BH$98,MATCH(Character_Spellcasting!BT15,S09_Warlock!$BG$69:$BG$98,0),1),"")&amp;IFERROR(INDEX(S10_Wizard!$BH$69:$BH$98,MATCH(Character_Spellcasting!BT15,S10_Wizard!$BG$69:$BG$98,0),1),"")</f>
        <v/>
      </c>
      <c r="CA15" s="1096"/>
      <c r="CB15" s="567"/>
      <c r="CC15" s="120"/>
      <c r="CD15" s="591">
        <v>9</v>
      </c>
      <c r="CE15" s="1061" t="str">
        <f>IFERROR(INDEX(S01_Bard!$BN$6:$BN$35,MATCH(Character_Spellcasting!CD15,S01_Bard!$BP$69:$BP$98,0),1),"")&amp;IFERROR(INDEX(S02_Cleric!$BN$6:$BN$35,MATCH(Character_Spellcasting!CD15,S02_Cleric!$BP$69:$BP$98,0),1),"")&amp;IFERROR(INDEX(S03_Druid!$BN$6:$BN$35,MATCH(Character_Spellcasting!CD15,S03_Druid!$BP$69:$BP$98,0),1),"")&amp;IFERROR(INDEX(S04_EldritchKnight!$BN$6:$BN$35,MATCH(Character_Spellcasting!CD15,S04_EldritchKnight!$BP$69:$BP$98,0),1),"")&amp;IFERROR(INDEX(S05_Paladin!$BN$6:$BN$35,MATCH(Character_Spellcasting!CD15,S05_Paladin!$BP$69:$BP$98,0),1),"")&amp;IFERROR(INDEX(S06_Ranger!$BN$6:$BN$35,MATCH(Character_Spellcasting!CD15,S06_Ranger!$BP$69:$BP$988,0),1),"")&amp;IFERROR(INDEX(S07_ArcaneTrickster!$BN$6:$BN$35,MATCH(Character_Spellcasting!CD15,S07_ArcaneTrickster!$BP$69:$BP$988,0),1),"")&amp;IFERROR(INDEX(S08_Sorcerer!$BN$6:$BN$35,MATCH(Character_Spellcasting!CD15,S08_Sorcerer!$BP$69:$BP$98,0),1),"")&amp;IFERROR(INDEX(S09_Warlock!$BN$6:$BN$35,MATCH(Character_Spellcasting!CD15,S09_Warlock!$BP$69:$BP$98,0),1),"")&amp;IFERROR(INDEX(S10_Wizard!$BN$6:$BN$35,MATCH(Character_Spellcasting!CD15,S10_Wizard!$BP$69:$BP$98,0),1),"")</f>
        <v/>
      </c>
      <c r="CF15" s="1061"/>
      <c r="CG15" s="1061"/>
      <c r="CH15" s="1061"/>
      <c r="CI15" s="1061"/>
      <c r="CJ15" s="1096" t="str">
        <f>IFERROR(INDEX(S01_Bard!$BQ$69:$BQ$98,MATCH(Character_Spellcasting!CD15,S01_Bard!$D$69:$D$98,0),1),"")&amp;IFERROR(INDEX(S02_Cleric!$BQ$69:$BQ$98,MATCH(Character_Spellcasting!CD15,S02_Cleric!$BP$69:$BP$98,0),1),"")&amp;IFERROR(INDEX(S03_Druid!$BQ$69:$BQ$98,MATCH(Character_Spellcasting!CD15,S03_Druid!$BP$69:$BP$98,0),1),"")&amp;IFERROR(INDEX(S04_EldritchKnight!$BQ$69:$BQ$98,MATCH(Character_Spellcasting!CD15,S04_EldritchKnight!$BP$69:$BP$98,0),1),"")&amp;IFERROR(INDEX(S05_Paladin!$BQ$69:$BQ$98,MATCH(Character_Spellcasting!CD15,S05_Paladin!$BP$69:$BP$98,0),1),"")&amp;IFERROR(INDEX(S06_Ranger!$BQ$69:$BQ$98,MATCH(Character_Spellcasting!CD15,S06_Ranger!$BP$69:$BP$988,0),1),"")&amp;IFERROR(INDEX(S07_ArcaneTrickster!$BQ$69:$BQ$98,MATCH(Character_Spellcasting!CD15,S07_ArcaneTrickster!$BP$69:$BP$988,0),1),"")&amp;IFERROR(INDEX(S08_Sorcerer!$BQ$69:$BQ$98,MATCH(Character_Spellcasting!CD15,S08_Sorcerer!$BP$69:$BP$98,0),1),"")&amp;IFERROR(INDEX(S09_Warlock!$BQ$69:$BQ$98,MATCH(Character_Spellcasting!CD15,S09_Warlock!$BP$69:$BP$98,0),1),"")&amp;IFERROR(INDEX(S10_Wizard!$BQ$69:$BQ$98,MATCH(Character_Spellcasting!CD15,S10_Wizard!$BP$69:$BP$98,0),1),"")</f>
        <v/>
      </c>
      <c r="CK15" s="1096"/>
      <c r="CL15" s="567"/>
      <c r="CM15" s="120"/>
      <c r="CN15" s="591">
        <v>9</v>
      </c>
      <c r="CO15" s="1061" t="str">
        <f>IFERROR(INDEX(S01_Bard!$BW$6:$BW$35,MATCH(Character_Spellcasting!CN15,S01_Bard!$BY$69:$BY$98,0),1),"")&amp;IFERROR(INDEX(S02_Cleric!$BW$6:$BW$35,MATCH(Character_Spellcasting!CN15,S02_Cleric!$BY$69:$BY$98,0),1),"")&amp;IFERROR(INDEX(S03_Druid!$BW$6:$BW$35,MATCH(Character_Spellcasting!CN15,S03_Druid!$BY$69:$BY$98,0),1),"")&amp;IFERROR(INDEX(S04_EldritchKnight!$BW$6:$BW$35,MATCH(Character_Spellcasting!CN15,S04_EldritchKnight!$BY$69:$BY$98,0),1),"")&amp;IFERROR(INDEX(S05_Paladin!$BW$6:$BW$35,MATCH(Character_Spellcasting!CN15,S05_Paladin!$BY$69:$BY$98,0),1),"")&amp;IFERROR(INDEX(S06_Ranger!$BW$6:$BW$35,MATCH(Character_Spellcasting!CN15,S06_Ranger!$BY$69:$BY$988,0),1),"")&amp;IFERROR(INDEX(S07_ArcaneTrickster!$BW$6:$BW$35,MATCH(Character_Spellcasting!CN15,S07_ArcaneTrickster!$BY$69:$BY$988,0),1),"")&amp;IFERROR(INDEX(S08_Sorcerer!$BW$6:$BW$35,MATCH(Character_Spellcasting!CN15,S08_Sorcerer!$BY$69:$BY$98,0),1),"")&amp;IFERROR(INDEX(S09_Warlock!$BW$6:$BW$35,MATCH(Character_Spellcasting!CN15,S09_Warlock!$BY$69:$BY$98,0),1),"")&amp;IFERROR(INDEX(S10_Wizard!$BW$6:$BW$35,MATCH(Character_Spellcasting!CN15,S10_Wizard!$BY$69:$BY$98,0),1),"")</f>
        <v/>
      </c>
      <c r="CP15" s="1061"/>
      <c r="CQ15" s="1061"/>
      <c r="CR15" s="1061"/>
      <c r="CS15" s="1061"/>
      <c r="CT15" s="1096" t="str">
        <f>IFERROR(INDEX(S01_Bard!$BZ$69:$BZ$98,MATCH(Character_Spellcasting!CN15,S01_Bard!$D$69:$D$98,0),1),"")&amp;IFERROR(INDEX(S02_Cleric!$BZ$69:$BZ$98,MATCH(Character_Spellcasting!CN15,S02_Cleric!$BY$69:$BY$98,0),1),"")&amp;IFERROR(INDEX(S03_Druid!$BZ$69:$BZ$98,MATCH(Character_Spellcasting!CN15,S03_Druid!$BY$69:$BY$98,0),1),"")&amp;IFERROR(INDEX(S04_EldritchKnight!$BZ$69:$BZ$98,MATCH(Character_Spellcasting!CN15,S04_EldritchKnight!$BY$69:$BY$98,0),1),"")&amp;IFERROR(INDEX(S05_Paladin!$BZ$69:$BZ$98,MATCH(Character_Spellcasting!CN15,S05_Paladin!$BY$69:$BY$98,0),1),"")&amp;IFERROR(INDEX(S06_Ranger!$BZ$69:$BZ$98,MATCH(Character_Spellcasting!CN15,S06_Ranger!$BY$69:$BY$988,0),1),"")&amp;IFERROR(INDEX(S07_ArcaneTrickster!$BZ$69:$BZ$98,MATCH(Character_Spellcasting!CN15,S07_ArcaneTrickster!$BY$69:$BY$988,0),1),"")&amp;IFERROR(INDEX(S08_Sorcerer!$BZ$69:$BZ$98,MATCH(Character_Spellcasting!CN15,S08_Sorcerer!$BY$69:$BY$98,0),1),"")&amp;IFERROR(INDEX(S09_Warlock!$BZ$69:$BZ$98,MATCH(Character_Spellcasting!CN15,S09_Warlock!$BY$69:$BY$98,0),1),"")&amp;IFERROR(INDEX(S10_Wizard!$BZ$69:$BZ$98,MATCH(Character_Spellcasting!CN15,S10_Wizard!$BY$69:$BY$98,0),1),"")</f>
        <v/>
      </c>
      <c r="CU15" s="1096"/>
      <c r="CV15" s="567"/>
      <c r="CW15" s="565"/>
      <c r="CX15" s="565"/>
      <c r="CY15" s="565"/>
      <c r="CZ15" s="565"/>
      <c r="DA15" s="610">
        <v>9</v>
      </c>
      <c r="DB15" s="1061" t="str">
        <f t="shared" si="0"/>
        <v>2 level</v>
      </c>
      <c r="DC15" s="1061"/>
      <c r="DD15" s="1061"/>
      <c r="DE15" s="1061"/>
      <c r="DF15" s="1061"/>
      <c r="DG15" s="1096" t="str">
        <f t="shared" si="1"/>
        <v/>
      </c>
      <c r="DH15" s="1096"/>
      <c r="DI15" s="565"/>
      <c r="DJ15" s="565"/>
      <c r="DK15" s="565"/>
      <c r="DL15" s="565"/>
      <c r="DM15" s="565"/>
      <c r="DN15" s="565"/>
      <c r="DO15" s="565"/>
      <c r="DP15" s="565"/>
      <c r="DQ15" s="565"/>
      <c r="DR15" s="565"/>
      <c r="DS15" s="565"/>
      <c r="DT15" s="565"/>
      <c r="DU15" s="565"/>
      <c r="DV15" s="565"/>
    </row>
    <row r="16" spans="1:126" ht="21" customHeight="1" x14ac:dyDescent="0.25">
      <c r="A16" s="120"/>
      <c r="B16" s="610">
        <v>10</v>
      </c>
      <c r="C16" s="1061"/>
      <c r="D16" s="1061"/>
      <c r="E16" s="1061"/>
      <c r="F16" s="1061"/>
      <c r="G16" s="1061"/>
      <c r="H16" s="1096"/>
      <c r="I16" s="1096"/>
      <c r="J16" s="120"/>
      <c r="K16" s="120"/>
      <c r="L16" s="591">
        <v>10</v>
      </c>
      <c r="M16" s="1061" t="str">
        <f>IFERROR(INDEX(S01_Bard!$C$6:$C$35,MATCH(Character_Spellcasting!L16,S01_Bard!$E$69:$E$98,0),1),"")&amp;IFERROR(INDEX(S02_Cleric!$C$6:$C$35,MATCH(Character_Spellcasting!L16,S02_Cleric!$E$69:$E$98,0),1),"")&amp;IFERROR(INDEX(S03_Druid!$C$6:$C$35,MATCH(Character_Spellcasting!L16,S03_Druid!$E$69:$E$98,0),1),"")&amp;IFERROR(INDEX(S04_EldritchKnight!$C$6:$C$35,MATCH(Character_Spellcasting!L16,S04_EldritchKnight!$E$69:$E$98,0),1),"")&amp;IFERROR(INDEX(S05_Paladin!$C$6:$C$35,MATCH(Character_Spellcasting!L16,S05_Paladin!$E$69:$E$98,0),1),"")&amp;IFERROR(INDEX(S06_Ranger!$C$6:$C$35,MATCH(Character_Spellcasting!L16,S06_Ranger!$E$69:$E$988,0),1),"")&amp;IFERROR(INDEX(S07_ArcaneTrickster!$C$6:$C$35,MATCH(Character_Spellcasting!L16,S07_ArcaneTrickster!$E$69:$E$988,0),1),"")&amp;IFERROR(INDEX(S08_Sorcerer!$C$6:$C$35,MATCH(Character_Spellcasting!L16,S08_Sorcerer!$E$69:$E$98,0),1),"")&amp;IFERROR(INDEX(S09_Warlock!$C$6:$C$35,MATCH(Character_Spellcasting!L16,S09_Warlock!$E$69:$E$98,0),1),"")&amp;IFERROR(INDEX(S10_Wizard!$C$6:$C$35,MATCH(Character_Spellcasting!L16,S10_Wizard!$E$69:$E$98,0),1),"")</f>
        <v/>
      </c>
      <c r="N16" s="1061"/>
      <c r="O16" s="1061"/>
      <c r="P16" s="1061"/>
      <c r="Q16" s="1061"/>
      <c r="R16" s="1096" t="str">
        <f>IFERROR(INDEX(S01_Bard!$F$69:$F$98,MATCH(Character_Spellcasting!L16,S01_Bard!$D$69:$D$98,0),1),"")&amp;IFERROR(INDEX(S02_Cleric!$F$69:$F$98,MATCH(Character_Spellcasting!L16,S02_Cleric!$E$69:$E$98,0),1),"")&amp;IFERROR(INDEX(S03_Druid!$F$69:$F$98,MATCH(Character_Spellcasting!L16,S03_Druid!$E$69:$E$98,0),1),"")&amp;IFERROR(INDEX(S04_EldritchKnight!$F$69:$F$98,MATCH(Character_Spellcasting!L16,S04_EldritchKnight!$E$69:$E$98,0),1),"")&amp;IFERROR(INDEX(S05_Paladin!$F$69:$F$98,MATCH(Character_Spellcasting!L16,S05_Paladin!$E$69:$E$98,0),1),"")&amp;IFERROR(INDEX(S06_Ranger!$F$69:$F$98,MATCH(Character_Spellcasting!L16,S06_Ranger!$E$69:$E$988,0),1),"")&amp;IFERROR(INDEX(S07_ArcaneTrickster!$F$69:$F$98,MATCH(Character_Spellcasting!L16,S07_ArcaneTrickster!$E$69:$E$988,0),1),"")&amp;IFERROR(INDEX(S08_Sorcerer!$F$69:$F$98,MATCH(Character_Spellcasting!L16,S08_Sorcerer!$E$69:$E$98,0),1),"")&amp;IFERROR(INDEX(S09_Warlock!$F$69:$F$98,MATCH(Character_Spellcasting!L16,S09_Warlock!$E$69:$E$98,0),1),"")&amp;IFERROR(INDEX(S10_Wizard!$F$69:$F$98,MATCH(Character_Spellcasting!L16,S10_Wizard!$E$69:$E$98,0),1),"")</f>
        <v/>
      </c>
      <c r="S16" s="1096"/>
      <c r="T16" s="567"/>
      <c r="U16" s="565"/>
      <c r="V16" s="591">
        <v>10</v>
      </c>
      <c r="W16" s="1061" t="str">
        <f>IFERROR(INDEX(S01_Bard!$L$6:$L$35,MATCH(Character_Spellcasting!V16,S01_Bard!$N$69:$N$98,0),1),"")&amp;IFERROR(INDEX(S02_Cleric!$L$6:$L$35,MATCH(Character_Spellcasting!V16,S02_Cleric!$N$69:$N$98,0),1),"")&amp;IFERROR(INDEX(S03_Druid!$L$6:$L$35,MATCH(Character_Spellcasting!V16,S03_Druid!$N$69:$N$98,0),1),"")&amp;IFERROR(INDEX(S04_EldritchKnight!$L$6:$L$35,MATCH(Character_Spellcasting!V16,S04_EldritchKnight!$N$69:$N$98,0),1),"")&amp;IFERROR(INDEX(S05_Paladin!$L$6:$L$35,MATCH(Character_Spellcasting!V16,S05_Paladin!$N$69:$N$98,0),1),"")&amp;IFERROR(INDEX(S06_Ranger!$L$6:$L$35,MATCH(Character_Spellcasting!V16,S06_Ranger!$N$69:$N$988,0),1),"")&amp;IFERROR(INDEX(S07_ArcaneTrickster!$L$6:$L$35,MATCH(Character_Spellcasting!V16,S07_ArcaneTrickster!$N$69:$N$988,0),1),"")&amp;IFERROR(INDEX(S08_Sorcerer!$L$6:$L$35,MATCH(Character_Spellcasting!V16,S08_Sorcerer!$N$69:$N$98,0),1),"")&amp;IFERROR(INDEX(S09_Warlock!$L$6:$L$35,MATCH(Character_Spellcasting!V16,S09_Warlock!$N$69:$N$98,0),1),"")&amp;IFERROR(INDEX(S10_Wizard!$L$6:$L$35,MATCH(Character_Spellcasting!V16,S10_Wizard!$N$69:$N$98,0),1),"")</f>
        <v/>
      </c>
      <c r="X16" s="1061"/>
      <c r="Y16" s="1061"/>
      <c r="Z16" s="1061"/>
      <c r="AA16" s="1061"/>
      <c r="AB16" s="1097" t="str">
        <f>IFERROR(INDEX(S01_Bard!$O$69:$O$98,MATCH(Character_Spellcasting!V16,S01_Bard!$N$69:$N$98,0),1),"")&amp;IFERROR(INDEX(S02_Cleric!$O$69:$O$98,MATCH(Character_Spellcasting!V16,S02_Cleric!$N$69:$N$98,0),1),"")&amp;IFERROR(INDEX(S03_Druid!$O$69:$O$98,MATCH(Character_Spellcasting!V16,S03_Druid!$N$69:$N$98,0),1),"")&amp;IFERROR(INDEX(S04_EldritchKnight!$O$69:$O$98,MATCH(Character_Spellcasting!V16,S04_EldritchKnight!$N$69:$N$98,0),1),"")&amp;IFERROR(INDEX(S05_Paladin!$O$69:$O$98,MATCH(Character_Spellcasting!V16,S05_Paladin!$N$69:$N$98,0),1),"")&amp;IFERROR(INDEX(S06_Ranger!$O$69:$O$98,MATCH(Character_Spellcasting!V16,S06_Ranger!$N$69:$N$988,0),1),"")&amp;IFERROR(INDEX(S07_ArcaneTrickster!$O$69:$O$98,MATCH(Character_Spellcasting!V16,S07_ArcaneTrickster!$N$69:$N$988,0),1),"")&amp;IFERROR(INDEX(S08_Sorcerer!$O$69:$O$98,MATCH(Character_Spellcasting!V16,S08_Sorcerer!$N$69:$N$98,0),1),"")&amp;IFERROR(INDEX(S09_Warlock!$O$69:$O$98,MATCH(Character_Spellcasting!V16,S09_Warlock!$N$69:$N$98,0),1),"")&amp;IFERROR(INDEX(S10_Wizard!$O$69:$O$98,MATCH(Character_Spellcasting!V16,S10_Wizard!$N$69:$N$98,0),1),"")</f>
        <v/>
      </c>
      <c r="AC16" s="1098"/>
      <c r="AD16" s="567"/>
      <c r="AE16" s="565"/>
      <c r="AF16" s="609">
        <v>10</v>
      </c>
      <c r="AG16" s="1061" t="str">
        <f>IFERROR(INDEX(S01_Bard!$U$6:$U$35,MATCH(Character_Spellcasting!AF16,S01_Bard!$W$69:$W$98,0),1),"")&amp;IFERROR(INDEX(S02_Cleric!$U$6:$U$35,MATCH(Character_Spellcasting!AF16,S02_Cleric!$W$69:$W$98,0),1),"")&amp;IFERROR(INDEX(S03_Druid!$U$6:$U$35,MATCH(Character_Spellcasting!AF16,S03_Druid!$W$69:$W$98,0),1),"")&amp;IFERROR(INDEX(S04_EldritchKnight!$U$6:$U$35,MATCH(Character_Spellcasting!AF16,S04_EldritchKnight!$W$69:$W$98,0),1),"")&amp;IFERROR(INDEX(S05_Paladin!$U$6:$U$35,MATCH(Character_Spellcasting!AF16,S05_Paladin!$W$69:$W$98,0),1),"")&amp;IFERROR(INDEX(S06_Ranger!$U$6:$U$35,MATCH(Character_Spellcasting!AF16,S06_Ranger!$W$69:$W$988,0),1),"")&amp;IFERROR(INDEX(S07_ArcaneTrickster!$U$6:$U$35,MATCH(Character_Spellcasting!AF16,S07_ArcaneTrickster!$W$69:$W$988,0),1),"")&amp;IFERROR(INDEX(S08_Sorcerer!$U$6:$U$35,MATCH(Character_Spellcasting!AF16,S08_Sorcerer!$W$69:$W$98,0),1),"")&amp;IFERROR(INDEX(S09_Warlock!$U$6:$U$35,MATCH(Character_Spellcasting!AF16,S09_Warlock!$W$69:$W$98,0),1),"")&amp;IFERROR(INDEX(S10_Wizard!$U$6:$U$35,MATCH(Character_Spellcasting!AF16,S10_Wizard!$W$69:$W$98,0),1),"")</f>
        <v/>
      </c>
      <c r="AH16" s="1061"/>
      <c r="AI16" s="1061"/>
      <c r="AJ16" s="1061"/>
      <c r="AK16" s="1061"/>
      <c r="AL16" s="1097" t="str">
        <f>IFERROR(INDEX(S01_Bard!$X$69:$X$98,MATCH(Character_Spellcasting!AF16,S01_Bard!$W$69:$W$98,0),1),"")&amp;IFERROR(INDEX(S02_Cleric!$X$69:$X$98,MATCH(Character_Spellcasting!AF16,S02_Cleric!$W$69:$W$98,0),1),"")&amp;IFERROR(INDEX(S03_Druid!$X$69:$X$98,MATCH(Character_Spellcasting!AF16,S03_Druid!$W$69:$W$98,0),1),"")&amp;IFERROR(INDEX(S04_EldritchKnight!$X$69:$X$98,MATCH(Character_Spellcasting!AF16,S04_EldritchKnight!$W$69:$W$98,0),1),"")&amp;IFERROR(INDEX(S05_Paladin!$X$69:$X$98,MATCH(Character_Spellcasting!AF16,S05_Paladin!$W$69:$W$98,0),1),"")&amp;IFERROR(INDEX(S06_Ranger!$X$69:$X$98,MATCH(Character_Spellcasting!AF16,S06_Ranger!$W$69:$W$988,0),1),"")&amp;IFERROR(INDEX(S07_ArcaneTrickster!$X$69:$X$98,MATCH(Character_Spellcasting!AF16,S07_ArcaneTrickster!$W$69:$W$988,0),1),"")&amp;IFERROR(INDEX(S08_Sorcerer!$X$69:$X$98,MATCH(Character_Spellcasting!AF16,S08_Sorcerer!$W$69:$W$98,0),1),"")&amp;IFERROR(INDEX(S09_Warlock!$X$69:$X$98,MATCH(Character_Spellcasting!AF16,S09_Warlock!$W$69:$W$98,0),1),"")&amp;IFERROR(INDEX(S10_Wizard!$X$69:$X$98,MATCH(Character_Spellcasting!AF16,S10_Wizard!$W$69:$W$98,0),1),"")</f>
        <v/>
      </c>
      <c r="AM16" s="1098"/>
      <c r="AN16" s="567"/>
      <c r="AO16" s="565"/>
      <c r="AP16" s="591">
        <v>10</v>
      </c>
      <c r="AQ16" s="1061" t="str">
        <f>IFERROR(INDEX(S01_Bard!$AD$6:$AD$35,MATCH(Character_Spellcasting!AP16,S01_Bard!$AF$69:$AF$98,0),1),"")&amp;IFERROR(INDEX(S02_Cleric!$AD$6:$AD$35,MATCH(Character_Spellcasting!AP16,S02_Cleric!$AF$69:$AF$98,0),1),"")&amp;IFERROR(INDEX(S03_Druid!$AD$6:$AD$35,MATCH(Character_Spellcasting!AP16,S03_Druid!$AF$69:$AF$98,0),1),"")&amp;IFERROR(INDEX(S04_EldritchKnight!$AD$6:$AD$35,MATCH(Character_Spellcasting!AP16,S04_EldritchKnight!$AF$69:$AF$98,0),1),"")&amp;IFERROR(INDEX(S05_Paladin!$AD$6:$AD$35,MATCH(Character_Spellcasting!AP16,S05_Paladin!$AF$69:$AF$98,0),1),"")&amp;IFERROR(INDEX(S06_Ranger!$AD$6:$AD$35,MATCH(Character_Spellcasting!AP16,S06_Ranger!$AF$69:$AF$988,0),1),"")&amp;IFERROR(INDEX(S07_ArcaneTrickster!$AD$6:$AD$35,MATCH(Character_Spellcasting!AP16,S07_ArcaneTrickster!$AF$69:$AF$988,0),1),"")&amp;IFERROR(INDEX(S08_Sorcerer!$AD$6:$AD$35,MATCH(Character_Spellcasting!AP16,S08_Sorcerer!$AF$69:$AF$98,0),1),"")&amp;IFERROR(INDEX(S09_Warlock!$AD$6:$AD$35,MATCH(Character_Spellcasting!AP16,S09_Warlock!$AF$69:$AF$98,0),1),"")&amp;IFERROR(INDEX(S10_Wizard!$AD$6:$AD$35,MATCH(Character_Spellcasting!AP16,S10_Wizard!$AF$69:$AF$98,0),1),"")</f>
        <v/>
      </c>
      <c r="AR16" s="1061"/>
      <c r="AS16" s="1061"/>
      <c r="AT16" s="1061"/>
      <c r="AU16" s="1061"/>
      <c r="AV16" s="1096" t="str">
        <f>IFERROR(INDEX(S01_Bard!$AG$69:$AG$98,MATCH(Character_Spellcasting!AP16,S01_Bard!$D$69:$D$98,0),1),"")&amp;IFERROR(INDEX(S02_Cleric!$AG$69:$AG$98,MATCH(Character_Spellcasting!AP16,S02_Cleric!$AF$69:$AF$98,0),1),"")&amp;IFERROR(INDEX(S03_Druid!$AG$69:$AG$98,MATCH(Character_Spellcasting!AP16,S03_Druid!$AF$69:$AF$98,0),1),"")&amp;IFERROR(INDEX(S04_EldritchKnight!$AG$69:$AG$98,MATCH(Character_Spellcasting!AP16,S04_EldritchKnight!$AF$69:$AF$98,0),1),"")&amp;IFERROR(INDEX(S05_Paladin!$AG$69:$AG$98,MATCH(Character_Spellcasting!AP16,S05_Paladin!$AF$69:$AF$98,0),1),"")&amp;IFERROR(INDEX(S06_Ranger!$AG$69:$AG$98,MATCH(Character_Spellcasting!AP16,S06_Ranger!$AF$69:$AF$988,0),1),"")&amp;IFERROR(INDEX(S07_ArcaneTrickster!$AG$69:$AG$98,MATCH(Character_Spellcasting!AP16,S07_ArcaneTrickster!$AF$69:$AF$988,0),1),"")&amp;IFERROR(INDEX(S08_Sorcerer!$AG$69:$AG$98,MATCH(Character_Spellcasting!AP16,S08_Sorcerer!$AF$69:$AF$98,0),1),"")&amp;IFERROR(INDEX(S09_Warlock!$AG$69:$AG$98,MATCH(Character_Spellcasting!AP16,S09_Warlock!$AF$69:$AF$98,0),1),"")&amp;IFERROR(INDEX(S10_Wizard!$AG$69:$AG$98,MATCH(Character_Spellcasting!AP16,S10_Wizard!$AF$69:$AF$98,0),1),"")</f>
        <v/>
      </c>
      <c r="AW16" s="1096"/>
      <c r="AX16" s="567"/>
      <c r="AY16" s="565"/>
      <c r="AZ16" s="591">
        <v>10</v>
      </c>
      <c r="BA16" s="1061" t="str">
        <f>IFERROR(INDEX(S01_Bard!$AM$6:$AM$35,MATCH(Character_Spellcasting!AZ16,S01_Bard!$AO$69:$AO$98,0),1),"")&amp;IFERROR(INDEX(S02_Cleric!$AM$6:$AM$35,MATCH(Character_Spellcasting!AZ16,S02_Cleric!$AO$69:$AO$98,0),1),"")&amp;IFERROR(INDEX(S03_Druid!$AM$6:$AM$35,MATCH(Character_Spellcasting!AZ16,S03_Druid!$AO$69:$AO$98,0),1),"")&amp;IFERROR(INDEX(S04_EldritchKnight!$AM$6:$AM$35,MATCH(Character_Spellcasting!AZ16,S04_EldritchKnight!$AO$69:$AO$98,0),1),"")&amp;IFERROR(INDEX(S05_Paladin!$AM$6:$AM$35,MATCH(Character_Spellcasting!AZ16,S05_Paladin!$AO$69:$AO$98,0),1),"")&amp;IFERROR(INDEX(S06_Ranger!$AM$6:$AM$35,MATCH(Character_Spellcasting!AZ16,S06_Ranger!$AO$69:$AO$988,0),1),"")&amp;IFERROR(INDEX(S07_ArcaneTrickster!$AM$6:$AM$35,MATCH(Character_Spellcasting!AZ16,S07_ArcaneTrickster!$AO$69:$AO$988,0),1),"")&amp;IFERROR(INDEX(S08_Sorcerer!$AM$6:$AM$35,MATCH(Character_Spellcasting!AZ16,S08_Sorcerer!$AO$69:$AO$98,0),1),"")&amp;IFERROR(INDEX(S09_Warlock!$AM$6:$AM$35,MATCH(Character_Spellcasting!AZ16,S09_Warlock!$AO$69:$AO$98,0),1),"")&amp;IFERROR(INDEX(S10_Wizard!$AM$6:$AM$35,MATCH(Character_Spellcasting!AZ16,S10_Wizard!$AO$69:$AO$98,0),1),"")</f>
        <v/>
      </c>
      <c r="BB16" s="1061"/>
      <c r="BC16" s="1061"/>
      <c r="BD16" s="1061"/>
      <c r="BE16" s="1061"/>
      <c r="BF16" s="1096" t="str">
        <f>IFERROR(INDEX(S01_Bard!$AP$69:$AP$98,MATCH(Character_Spellcasting!AZ16,S01_Bard!$D$69:$D$98,0),1),"")&amp;IFERROR(INDEX(S02_Cleric!$AP$69:$AP$98,MATCH(Character_Spellcasting!AZ16,S02_Cleric!$AO$69:$AO$98,0),1),"")&amp;IFERROR(INDEX(S03_Druid!$AP$69:$AP$98,MATCH(Character_Spellcasting!AZ16,S03_Druid!$AO$69:$AO$98,0),1),"")&amp;IFERROR(INDEX(S04_EldritchKnight!$AP$69:$AP$98,MATCH(Character_Spellcasting!AZ16,S04_EldritchKnight!$AO$69:$AO$98,0),1),"")&amp;IFERROR(INDEX(S05_Paladin!$AP$69:$AP$98,MATCH(Character_Spellcasting!AZ16,S05_Paladin!$AO$69:$AO$98,0),1),"")&amp;IFERROR(INDEX(S06_Ranger!$AP$69:$AP$98,MATCH(Character_Spellcasting!AZ16,S06_Ranger!$AO$69:$AO$988,0),1),"")&amp;IFERROR(INDEX(S07_ArcaneTrickster!$AP$69:$AP$98,MATCH(Character_Spellcasting!AZ16,S07_ArcaneTrickster!$AO$69:$AO$988,0),1),"")&amp;IFERROR(INDEX(S08_Sorcerer!$AP$69:$AP$98,MATCH(Character_Spellcasting!AZ16,S08_Sorcerer!$AO$69:$AO$98,0),1),"")&amp;IFERROR(INDEX(S09_Warlock!$AP$69:$AP$98,MATCH(Character_Spellcasting!AZ16,S09_Warlock!$AO$69:$AO$98,0),1),"")&amp;IFERROR(INDEX(S10_Wizard!$AP$69:$AP$98,MATCH(Character_Spellcasting!AZ16,S10_Wizard!$AO$69:$AO$98,0),1),"")</f>
        <v/>
      </c>
      <c r="BG16" s="1096"/>
      <c r="BH16" s="567"/>
      <c r="BI16" s="120"/>
      <c r="BJ16" s="591">
        <v>10</v>
      </c>
      <c r="BK16" s="1061" t="str">
        <f>IFERROR(INDEX(S01_Bard!$AV$6:$AV$35,MATCH(Character_Spellcasting!BJ16,S01_Bard!$AX$69:$AX$98,0),1),"")&amp;IFERROR(INDEX(S02_Cleric!$AV$6:$AV$35,MATCH(Character_Spellcasting!BJ16,S02_Cleric!$AX$69:$AX$98,0),1),"")&amp;IFERROR(INDEX(S03_Druid!$AV$6:$AV$35,MATCH(Character_Spellcasting!BJ16,S03_Druid!$AX$69:$AX$98,0),1),"")&amp;IFERROR(INDEX(S04_EldritchKnight!$AV$6:$AV$35,MATCH(Character_Spellcasting!BJ16,S04_EldritchKnight!$AX$69:$AX$98,0),1),"")&amp;IFERROR(INDEX(S05_Paladin!$AV$6:$AV$35,MATCH(Character_Spellcasting!BJ16,S05_Paladin!$AX$69:$AX$98,0),1),"")&amp;IFERROR(INDEX(S06_Ranger!$AV$6:$AV$35,MATCH(Character_Spellcasting!BJ16,S06_Ranger!$AX$69:$AX$988,0),1),"")&amp;IFERROR(INDEX(S07_ArcaneTrickster!$AV$6:$AV$35,MATCH(Character_Spellcasting!BJ16,S07_ArcaneTrickster!$AX$69:$AX$988,0),1),"")&amp;IFERROR(INDEX(S08_Sorcerer!$AV$6:$AV$35,MATCH(Character_Spellcasting!BJ16,S08_Sorcerer!$AX$69:$AX$98,0),1),"")&amp;IFERROR(INDEX(S09_Warlock!$AV$6:$AV$35,MATCH(Character_Spellcasting!BJ16,S09_Warlock!$AX$69:$AX$98,0),1),"")&amp;IFERROR(INDEX(S10_Wizard!$AV$6:$AV$35,MATCH(Character_Spellcasting!BJ16,S10_Wizard!$AX$69:$AX$98,0),1),"")</f>
        <v/>
      </c>
      <c r="BL16" s="1061"/>
      <c r="BM16" s="1061"/>
      <c r="BN16" s="1061"/>
      <c r="BO16" s="1061"/>
      <c r="BP16" s="1096" t="str">
        <f>IFERROR(INDEX(S01_Bard!$AY$69:$AY$98,MATCH(Character_Spellcasting!BJ16,S01_Bard!$D$69:$D$98,0),1),"")&amp;IFERROR(INDEX(S02_Cleric!$AY$69:$AY$98,MATCH(Character_Spellcasting!BJ16,S02_Cleric!$AX$69:$AX$98,0),1),"")&amp;IFERROR(INDEX(S03_Druid!$AY$69:$AY$98,MATCH(Character_Spellcasting!BJ16,S03_Druid!$AX$69:$AX$98,0),1),"")&amp;IFERROR(INDEX(S04_EldritchKnight!$AY$69:$AY$98,MATCH(Character_Spellcasting!BJ16,S04_EldritchKnight!$AX$69:$AX$98,0),1),"")&amp;IFERROR(INDEX(S05_Paladin!$AY$69:$AY$98,MATCH(Character_Spellcasting!BJ16,S05_Paladin!$AX$69:$AX$98,0),1),"")&amp;IFERROR(INDEX(S06_Ranger!$AY$69:$AY$98,MATCH(Character_Spellcasting!BJ16,S06_Ranger!$AX$69:$AX$988,0),1),"")&amp;IFERROR(INDEX(S07_ArcaneTrickster!$AY$69:$AY$98,MATCH(Character_Spellcasting!BJ16,S07_ArcaneTrickster!$AX$69:$AX$988,0),1),"")&amp;IFERROR(INDEX(S08_Sorcerer!$AY$69:$AY$98,MATCH(Character_Spellcasting!BJ16,S08_Sorcerer!$AX$69:$AX$98,0),1),"")&amp;IFERROR(INDEX(S09_Warlock!$AY$69:$AY$98,MATCH(Character_Spellcasting!BJ16,S09_Warlock!$AX$69:$AX$98,0),1),"")&amp;IFERROR(INDEX(S10_Wizard!$AY$69:$AY$98,MATCH(Character_Spellcasting!BJ16,S10_Wizard!$AX$69:$AX$98,0),1),"")</f>
        <v/>
      </c>
      <c r="BQ16" s="1096"/>
      <c r="BR16" s="567"/>
      <c r="BS16" s="120"/>
      <c r="BT16" s="591">
        <v>10</v>
      </c>
      <c r="BU16" s="1061" t="str">
        <f>IFERROR(INDEX(S01_Bard!$BE$6:$BE$35,MATCH(Character_Spellcasting!BT16,S01_Bard!$BG$69:$BG$98,0),1),"")&amp;IFERROR(INDEX(S02_Cleric!$BE$6:$BE$35,MATCH(Character_Spellcasting!BT16,S02_Cleric!$BG$69:$BG$98,0),1),"")&amp;IFERROR(INDEX(S03_Druid!$BE$6:$BE$35,MATCH(Character_Spellcasting!BT16,S03_Druid!$BG$69:$BG$98,0),1),"")&amp;IFERROR(INDEX(S04_EldritchKnight!$BE$6:$BE$35,MATCH(Character_Spellcasting!BT16,S04_EldritchKnight!$BG$69:$BG$98,0),1),"")&amp;IFERROR(INDEX(S05_Paladin!$BE$6:$BE$35,MATCH(Character_Spellcasting!BT16,S05_Paladin!$BG$69:$BG$98,0),1),"")&amp;IFERROR(INDEX(S06_Ranger!$BE$6:$BE$35,MATCH(Character_Spellcasting!BT16,S06_Ranger!$BG$69:$BG$988,0),1),"")&amp;IFERROR(INDEX(S07_ArcaneTrickster!$BE$6:$BE$35,MATCH(Character_Spellcasting!BT16,S07_ArcaneTrickster!$BG$69:$BG$988,0),1),"")&amp;IFERROR(INDEX(S08_Sorcerer!$BE$6:$BE$35,MATCH(Character_Spellcasting!BT16,S08_Sorcerer!$BG$69:$BG$98,0),1),"")&amp;IFERROR(INDEX(S09_Warlock!$BE$6:$BE$35,MATCH(Character_Spellcasting!BT16,S09_Warlock!$BG$69:$BG$98,0),1),"")&amp;IFERROR(INDEX(S10_Wizard!$BE$6:$BE$35,MATCH(Character_Spellcasting!BT16,S10_Wizard!$BG$69:$BG$98,0),1),"")</f>
        <v/>
      </c>
      <c r="BV16" s="1061"/>
      <c r="BW16" s="1061"/>
      <c r="BX16" s="1061"/>
      <c r="BY16" s="1061"/>
      <c r="BZ16" s="1096" t="str">
        <f>IFERROR(INDEX(S01_Bard!$BH$69:$BH$98,MATCH(Character_Spellcasting!BT16,S01_Bard!$D$69:$D$98,0),1),"")&amp;IFERROR(INDEX(S02_Cleric!$BH$69:$BH$98,MATCH(Character_Spellcasting!BT16,S02_Cleric!$BG$69:$BG$98,0),1),"")&amp;IFERROR(INDEX(S03_Druid!$BH$69:$BH$98,MATCH(Character_Spellcasting!BT16,S03_Druid!$BG$69:$BG$98,0),1),"")&amp;IFERROR(INDEX(S04_EldritchKnight!$BH$69:$BH$98,MATCH(Character_Spellcasting!BT16,S04_EldritchKnight!$BG$69:$BG$98,0),1),"")&amp;IFERROR(INDEX(S05_Paladin!$BH$69:$BH$98,MATCH(Character_Spellcasting!BT16,S05_Paladin!$BG$69:$BG$98,0),1),"")&amp;IFERROR(INDEX(S06_Ranger!$BH$69:$BH$98,MATCH(Character_Spellcasting!BT16,S06_Ranger!$BG$69:$BG$988,0),1),"")&amp;IFERROR(INDEX(S07_ArcaneTrickster!$BH$69:$BH$98,MATCH(Character_Spellcasting!BT16,S07_ArcaneTrickster!$BG$69:$BG$988,0),1),"")&amp;IFERROR(INDEX(S08_Sorcerer!$BH$69:$BH$98,MATCH(Character_Spellcasting!BT16,S08_Sorcerer!$BG$69:$BG$98,0),1),"")&amp;IFERROR(INDEX(S09_Warlock!$BH$69:$BH$98,MATCH(Character_Spellcasting!BT16,S09_Warlock!$BG$69:$BG$98,0),1),"")&amp;IFERROR(INDEX(S10_Wizard!$BH$69:$BH$98,MATCH(Character_Spellcasting!BT16,S10_Wizard!$BG$69:$BG$98,0),1),"")</f>
        <v/>
      </c>
      <c r="CA16" s="1096"/>
      <c r="CB16" s="567"/>
      <c r="CC16" s="120"/>
      <c r="CD16" s="591">
        <v>10</v>
      </c>
      <c r="CE16" s="1061" t="str">
        <f>IFERROR(INDEX(S01_Bard!$BN$6:$BN$35,MATCH(Character_Spellcasting!CD16,S01_Bard!$BP$69:$BP$98,0),1),"")&amp;IFERROR(INDEX(S02_Cleric!$BN$6:$BN$35,MATCH(Character_Spellcasting!CD16,S02_Cleric!$BP$69:$BP$98,0),1),"")&amp;IFERROR(INDEX(S03_Druid!$BN$6:$BN$35,MATCH(Character_Spellcasting!CD16,S03_Druid!$BP$69:$BP$98,0),1),"")&amp;IFERROR(INDEX(S04_EldritchKnight!$BN$6:$BN$35,MATCH(Character_Spellcasting!CD16,S04_EldritchKnight!$BP$69:$BP$98,0),1),"")&amp;IFERROR(INDEX(S05_Paladin!$BN$6:$BN$35,MATCH(Character_Spellcasting!CD16,S05_Paladin!$BP$69:$BP$98,0),1),"")&amp;IFERROR(INDEX(S06_Ranger!$BN$6:$BN$35,MATCH(Character_Spellcasting!CD16,S06_Ranger!$BP$69:$BP$988,0),1),"")&amp;IFERROR(INDEX(S07_ArcaneTrickster!$BN$6:$BN$35,MATCH(Character_Spellcasting!CD16,S07_ArcaneTrickster!$BP$69:$BP$988,0),1),"")&amp;IFERROR(INDEX(S08_Sorcerer!$BN$6:$BN$35,MATCH(Character_Spellcasting!CD16,S08_Sorcerer!$BP$69:$BP$98,0),1),"")&amp;IFERROR(INDEX(S09_Warlock!$BN$6:$BN$35,MATCH(Character_Spellcasting!CD16,S09_Warlock!$BP$69:$BP$98,0),1),"")&amp;IFERROR(INDEX(S10_Wizard!$BN$6:$BN$35,MATCH(Character_Spellcasting!CD16,S10_Wizard!$BP$69:$BP$98,0),1),"")</f>
        <v/>
      </c>
      <c r="CF16" s="1061"/>
      <c r="CG16" s="1061"/>
      <c r="CH16" s="1061"/>
      <c r="CI16" s="1061"/>
      <c r="CJ16" s="1096" t="str">
        <f>IFERROR(INDEX(S01_Bard!$BQ$69:$BQ$98,MATCH(Character_Spellcasting!CD16,S01_Bard!$D$69:$D$98,0),1),"")&amp;IFERROR(INDEX(S02_Cleric!$BQ$69:$BQ$98,MATCH(Character_Spellcasting!CD16,S02_Cleric!$BP$69:$BP$98,0),1),"")&amp;IFERROR(INDEX(S03_Druid!$BQ$69:$BQ$98,MATCH(Character_Spellcasting!CD16,S03_Druid!$BP$69:$BP$98,0),1),"")&amp;IFERROR(INDEX(S04_EldritchKnight!$BQ$69:$BQ$98,MATCH(Character_Spellcasting!CD16,S04_EldritchKnight!$BP$69:$BP$98,0),1),"")&amp;IFERROR(INDEX(S05_Paladin!$BQ$69:$BQ$98,MATCH(Character_Spellcasting!CD16,S05_Paladin!$BP$69:$BP$98,0),1),"")&amp;IFERROR(INDEX(S06_Ranger!$BQ$69:$BQ$98,MATCH(Character_Spellcasting!CD16,S06_Ranger!$BP$69:$BP$988,0),1),"")&amp;IFERROR(INDEX(S07_ArcaneTrickster!$BQ$69:$BQ$98,MATCH(Character_Spellcasting!CD16,S07_ArcaneTrickster!$BP$69:$BP$988,0),1),"")&amp;IFERROR(INDEX(S08_Sorcerer!$BQ$69:$BQ$98,MATCH(Character_Spellcasting!CD16,S08_Sorcerer!$BP$69:$BP$98,0),1),"")&amp;IFERROR(INDEX(S09_Warlock!$BQ$69:$BQ$98,MATCH(Character_Spellcasting!CD16,S09_Warlock!$BP$69:$BP$98,0),1),"")&amp;IFERROR(INDEX(S10_Wizard!$BQ$69:$BQ$98,MATCH(Character_Spellcasting!CD16,S10_Wizard!$BP$69:$BP$98,0),1),"")</f>
        <v/>
      </c>
      <c r="CK16" s="1096"/>
      <c r="CL16" s="567"/>
      <c r="CM16" s="120"/>
      <c r="CN16" s="591">
        <v>10</v>
      </c>
      <c r="CO16" s="1061" t="str">
        <f>IFERROR(INDEX(S01_Bard!$BW$6:$BW$35,MATCH(Character_Spellcasting!CN16,S01_Bard!$BY$69:$BY$98,0),1),"")&amp;IFERROR(INDEX(S02_Cleric!$BW$6:$BW$35,MATCH(Character_Spellcasting!CN16,S02_Cleric!$BY$69:$BY$98,0),1),"")&amp;IFERROR(INDEX(S03_Druid!$BW$6:$BW$35,MATCH(Character_Spellcasting!CN16,S03_Druid!$BY$69:$BY$98,0),1),"")&amp;IFERROR(INDEX(S04_EldritchKnight!$BW$6:$BW$35,MATCH(Character_Spellcasting!CN16,S04_EldritchKnight!$BY$69:$BY$98,0),1),"")&amp;IFERROR(INDEX(S05_Paladin!$BW$6:$BW$35,MATCH(Character_Spellcasting!CN16,S05_Paladin!$BY$69:$BY$98,0),1),"")&amp;IFERROR(INDEX(S06_Ranger!$BW$6:$BW$35,MATCH(Character_Spellcasting!CN16,S06_Ranger!$BY$69:$BY$988,0),1),"")&amp;IFERROR(INDEX(S07_ArcaneTrickster!$BW$6:$BW$35,MATCH(Character_Spellcasting!CN16,S07_ArcaneTrickster!$BY$69:$BY$988,0),1),"")&amp;IFERROR(INDEX(S08_Sorcerer!$BW$6:$BW$35,MATCH(Character_Spellcasting!CN16,S08_Sorcerer!$BY$69:$BY$98,0),1),"")&amp;IFERROR(INDEX(S09_Warlock!$BW$6:$BW$35,MATCH(Character_Spellcasting!CN16,S09_Warlock!$BY$69:$BY$98,0),1),"")&amp;IFERROR(INDEX(S10_Wizard!$BW$6:$BW$35,MATCH(Character_Spellcasting!CN16,S10_Wizard!$BY$69:$BY$98,0),1),"")</f>
        <v/>
      </c>
      <c r="CP16" s="1061"/>
      <c r="CQ16" s="1061"/>
      <c r="CR16" s="1061"/>
      <c r="CS16" s="1061"/>
      <c r="CT16" s="1096" t="str">
        <f>IFERROR(INDEX(S01_Bard!$BZ$69:$BZ$98,MATCH(Character_Spellcasting!CN16,S01_Bard!$D$69:$D$98,0),1),"")&amp;IFERROR(INDEX(S02_Cleric!$BZ$69:$BZ$98,MATCH(Character_Spellcasting!CN16,S02_Cleric!$BY$69:$BY$98,0),1),"")&amp;IFERROR(INDEX(S03_Druid!$BZ$69:$BZ$98,MATCH(Character_Spellcasting!CN16,S03_Druid!$BY$69:$BY$98,0),1),"")&amp;IFERROR(INDEX(S04_EldritchKnight!$BZ$69:$BZ$98,MATCH(Character_Spellcasting!CN16,S04_EldritchKnight!$BY$69:$BY$98,0),1),"")&amp;IFERROR(INDEX(S05_Paladin!$BZ$69:$BZ$98,MATCH(Character_Spellcasting!CN16,S05_Paladin!$BY$69:$BY$98,0),1),"")&amp;IFERROR(INDEX(S06_Ranger!$BZ$69:$BZ$98,MATCH(Character_Spellcasting!CN16,S06_Ranger!$BY$69:$BY$988,0),1),"")&amp;IFERROR(INDEX(S07_ArcaneTrickster!$BZ$69:$BZ$98,MATCH(Character_Spellcasting!CN16,S07_ArcaneTrickster!$BY$69:$BY$988,0),1),"")&amp;IFERROR(INDEX(S08_Sorcerer!$BZ$69:$BZ$98,MATCH(Character_Spellcasting!CN16,S08_Sorcerer!$BY$69:$BY$98,0),1),"")&amp;IFERROR(INDEX(S09_Warlock!$BZ$69:$BZ$98,MATCH(Character_Spellcasting!CN16,S09_Warlock!$BY$69:$BY$98,0),1),"")&amp;IFERROR(INDEX(S10_Wizard!$BZ$69:$BZ$98,MATCH(Character_Spellcasting!CN16,S10_Wizard!$BY$69:$BY$98,0),1),"")</f>
        <v/>
      </c>
      <c r="CU16" s="1096"/>
      <c r="CV16" s="567"/>
      <c r="CW16" s="565"/>
      <c r="CX16" s="565"/>
      <c r="CY16" s="565"/>
      <c r="CZ16" s="565"/>
      <c r="DA16" s="610">
        <v>10</v>
      </c>
      <c r="DB16" s="1061" t="str">
        <f t="shared" si="0"/>
        <v>Alter Self</v>
      </c>
      <c r="DC16" s="1061"/>
      <c r="DD16" s="1061"/>
      <c r="DE16" s="1061"/>
      <c r="DF16" s="1061"/>
      <c r="DG16" s="1096" t="str">
        <f t="shared" si="1"/>
        <v>Eldritch Knight</v>
      </c>
      <c r="DH16" s="1096"/>
      <c r="DI16" s="565"/>
      <c r="DJ16" s="565"/>
      <c r="DK16" s="565"/>
      <c r="DL16" s="565"/>
      <c r="DM16" s="565"/>
      <c r="DN16" s="565"/>
      <c r="DO16" s="565"/>
      <c r="DP16" s="565"/>
      <c r="DQ16" s="565"/>
      <c r="DR16" s="565"/>
      <c r="DS16" s="565"/>
      <c r="DT16" s="565"/>
      <c r="DU16" s="565"/>
      <c r="DV16" s="565"/>
    </row>
    <row r="17" spans="1:126" ht="21" customHeight="1" x14ac:dyDescent="0.25">
      <c r="A17" s="120"/>
      <c r="B17" s="610">
        <v>11</v>
      </c>
      <c r="C17" s="1061"/>
      <c r="D17" s="1061"/>
      <c r="E17" s="1061"/>
      <c r="F17" s="1061"/>
      <c r="G17" s="1061"/>
      <c r="H17" s="1096"/>
      <c r="I17" s="1096"/>
      <c r="J17" s="120"/>
      <c r="K17" s="120"/>
      <c r="L17" s="591">
        <v>11</v>
      </c>
      <c r="M17" s="1061" t="str">
        <f>IFERROR(INDEX(S01_Bard!$C$6:$C$35,MATCH(Character_Spellcasting!L17,S01_Bard!$E$69:$E$98,0),1),"")&amp;IFERROR(INDEX(S02_Cleric!$C$6:$C$35,MATCH(Character_Spellcasting!L17,S02_Cleric!$E$69:$E$98,0),1),"")&amp;IFERROR(INDEX(S03_Druid!$C$6:$C$35,MATCH(Character_Spellcasting!L17,S03_Druid!$E$69:$E$98,0),1),"")&amp;IFERROR(INDEX(S04_EldritchKnight!$C$6:$C$35,MATCH(Character_Spellcasting!L17,S04_EldritchKnight!$E$69:$E$98,0),1),"")&amp;IFERROR(INDEX(S05_Paladin!$C$6:$C$35,MATCH(Character_Spellcasting!L17,S05_Paladin!$E$69:$E$98,0),1),"")&amp;IFERROR(INDEX(S06_Ranger!$C$6:$C$35,MATCH(Character_Spellcasting!L17,S06_Ranger!$E$69:$E$988,0),1),"")&amp;IFERROR(INDEX(S07_ArcaneTrickster!$C$6:$C$35,MATCH(Character_Spellcasting!L17,S07_ArcaneTrickster!$E$69:$E$988,0),1),"")&amp;IFERROR(INDEX(S08_Sorcerer!$C$6:$C$35,MATCH(Character_Spellcasting!L17,S08_Sorcerer!$E$69:$E$98,0),1),"")&amp;IFERROR(INDEX(S09_Warlock!$C$6:$C$35,MATCH(Character_Spellcasting!L17,S09_Warlock!$E$69:$E$98,0),1),"")&amp;IFERROR(INDEX(S10_Wizard!$C$6:$C$35,MATCH(Character_Spellcasting!L17,S10_Wizard!$E$69:$E$98,0),1),"")</f>
        <v/>
      </c>
      <c r="N17" s="1061"/>
      <c r="O17" s="1061"/>
      <c r="P17" s="1061"/>
      <c r="Q17" s="1061"/>
      <c r="R17" s="1096" t="str">
        <f>IFERROR(INDEX(S01_Bard!$F$69:$F$98,MATCH(Character_Spellcasting!L17,S01_Bard!$D$69:$D$98,0),1),"")&amp;IFERROR(INDEX(S02_Cleric!$F$69:$F$98,MATCH(Character_Spellcasting!L17,S02_Cleric!$E$69:$E$98,0),1),"")&amp;IFERROR(INDEX(S03_Druid!$F$69:$F$98,MATCH(Character_Spellcasting!L17,S03_Druid!$E$69:$E$98,0),1),"")&amp;IFERROR(INDEX(S04_EldritchKnight!$F$69:$F$98,MATCH(Character_Spellcasting!L17,S04_EldritchKnight!$E$69:$E$98,0),1),"")&amp;IFERROR(INDEX(S05_Paladin!$F$69:$F$98,MATCH(Character_Spellcasting!L17,S05_Paladin!$E$69:$E$98,0),1),"")&amp;IFERROR(INDEX(S06_Ranger!$F$69:$F$98,MATCH(Character_Spellcasting!L17,S06_Ranger!$E$69:$E$988,0),1),"")&amp;IFERROR(INDEX(S07_ArcaneTrickster!$F$69:$F$98,MATCH(Character_Spellcasting!L17,S07_ArcaneTrickster!$E$69:$E$988,0),1),"")&amp;IFERROR(INDEX(S08_Sorcerer!$F$69:$F$98,MATCH(Character_Spellcasting!L17,S08_Sorcerer!$E$69:$E$98,0),1),"")&amp;IFERROR(INDEX(S09_Warlock!$F$69:$F$98,MATCH(Character_Spellcasting!L17,S09_Warlock!$E$69:$E$98,0),1),"")&amp;IFERROR(INDEX(S10_Wizard!$F$69:$F$98,MATCH(Character_Spellcasting!L17,S10_Wizard!$E$69:$E$98,0),1),"")</f>
        <v/>
      </c>
      <c r="S17" s="1096"/>
      <c r="T17" s="567"/>
      <c r="U17" s="565"/>
      <c r="V17" s="591">
        <v>11</v>
      </c>
      <c r="W17" s="1061" t="str">
        <f>IFERROR(INDEX(S01_Bard!$L$6:$L$35,MATCH(Character_Spellcasting!V17,S01_Bard!$N$69:$N$98,0),1),"")&amp;IFERROR(INDEX(S02_Cleric!$L$6:$L$35,MATCH(Character_Spellcasting!V17,S02_Cleric!$N$69:$N$98,0),1),"")&amp;IFERROR(INDEX(S03_Druid!$L$6:$L$35,MATCH(Character_Spellcasting!V17,S03_Druid!$N$69:$N$98,0),1),"")&amp;IFERROR(INDEX(S04_EldritchKnight!$L$6:$L$35,MATCH(Character_Spellcasting!V17,S04_EldritchKnight!$N$69:$N$98,0),1),"")&amp;IFERROR(INDEX(S05_Paladin!$L$6:$L$35,MATCH(Character_Spellcasting!V17,S05_Paladin!$N$69:$N$98,0),1),"")&amp;IFERROR(INDEX(S06_Ranger!$L$6:$L$35,MATCH(Character_Spellcasting!V17,S06_Ranger!$N$69:$N$988,0),1),"")&amp;IFERROR(INDEX(S07_ArcaneTrickster!$L$6:$L$35,MATCH(Character_Spellcasting!V17,S07_ArcaneTrickster!$N$69:$N$988,0),1),"")&amp;IFERROR(INDEX(S08_Sorcerer!$L$6:$L$35,MATCH(Character_Spellcasting!V17,S08_Sorcerer!$N$69:$N$98,0),1),"")&amp;IFERROR(INDEX(S09_Warlock!$L$6:$L$35,MATCH(Character_Spellcasting!V17,S09_Warlock!$N$69:$N$98,0),1),"")&amp;IFERROR(INDEX(S10_Wizard!$L$6:$L$35,MATCH(Character_Spellcasting!V17,S10_Wizard!$N$69:$N$98,0),1),"")</f>
        <v/>
      </c>
      <c r="X17" s="1061"/>
      <c r="Y17" s="1061"/>
      <c r="Z17" s="1061"/>
      <c r="AA17" s="1061"/>
      <c r="AB17" s="1097" t="str">
        <f>IFERROR(INDEX(S01_Bard!$O$69:$O$98,MATCH(Character_Spellcasting!V17,S01_Bard!$N$69:$N$98,0),1),"")&amp;IFERROR(INDEX(S02_Cleric!$O$69:$O$98,MATCH(Character_Spellcasting!V17,S02_Cleric!$N$69:$N$98,0),1),"")&amp;IFERROR(INDEX(S03_Druid!$O$69:$O$98,MATCH(Character_Spellcasting!V17,S03_Druid!$N$69:$N$98,0),1),"")&amp;IFERROR(INDEX(S04_EldritchKnight!$O$69:$O$98,MATCH(Character_Spellcasting!V17,S04_EldritchKnight!$N$69:$N$98,0),1),"")&amp;IFERROR(INDEX(S05_Paladin!$O$69:$O$98,MATCH(Character_Spellcasting!V17,S05_Paladin!$N$69:$N$98,0),1),"")&amp;IFERROR(INDEX(S06_Ranger!$O$69:$O$98,MATCH(Character_Spellcasting!V17,S06_Ranger!$N$69:$N$988,0),1),"")&amp;IFERROR(INDEX(S07_ArcaneTrickster!$O$69:$O$98,MATCH(Character_Spellcasting!V17,S07_ArcaneTrickster!$N$69:$N$988,0),1),"")&amp;IFERROR(INDEX(S08_Sorcerer!$O$69:$O$98,MATCH(Character_Spellcasting!V17,S08_Sorcerer!$N$69:$N$98,0),1),"")&amp;IFERROR(INDEX(S09_Warlock!$O$69:$O$98,MATCH(Character_Spellcasting!V17,S09_Warlock!$N$69:$N$98,0),1),"")&amp;IFERROR(INDEX(S10_Wizard!$O$69:$O$98,MATCH(Character_Spellcasting!V17,S10_Wizard!$N$69:$N$98,0),1),"")</f>
        <v/>
      </c>
      <c r="AC17" s="1098"/>
      <c r="AD17" s="567"/>
      <c r="AE17" s="565"/>
      <c r="AF17" s="609">
        <v>11</v>
      </c>
      <c r="AG17" s="1061" t="str">
        <f>IFERROR(INDEX(S01_Bard!$U$6:$U$35,MATCH(Character_Spellcasting!AF17,S01_Bard!$W$69:$W$98,0),1),"")&amp;IFERROR(INDEX(S02_Cleric!$U$6:$U$35,MATCH(Character_Spellcasting!AF17,S02_Cleric!$W$69:$W$98,0),1),"")&amp;IFERROR(INDEX(S03_Druid!$U$6:$U$35,MATCH(Character_Spellcasting!AF17,S03_Druid!$W$69:$W$98,0),1),"")&amp;IFERROR(INDEX(S04_EldritchKnight!$U$6:$U$35,MATCH(Character_Spellcasting!AF17,S04_EldritchKnight!$W$69:$W$98,0),1),"")&amp;IFERROR(INDEX(S05_Paladin!$U$6:$U$35,MATCH(Character_Spellcasting!AF17,S05_Paladin!$W$69:$W$98,0),1),"")&amp;IFERROR(INDEX(S06_Ranger!$U$6:$U$35,MATCH(Character_Spellcasting!AF17,S06_Ranger!$W$69:$W$988,0),1),"")&amp;IFERROR(INDEX(S07_ArcaneTrickster!$U$6:$U$35,MATCH(Character_Spellcasting!AF17,S07_ArcaneTrickster!$W$69:$W$988,0),1),"")&amp;IFERROR(INDEX(S08_Sorcerer!$U$6:$U$35,MATCH(Character_Spellcasting!AF17,S08_Sorcerer!$W$69:$W$98,0),1),"")&amp;IFERROR(INDEX(S09_Warlock!$U$6:$U$35,MATCH(Character_Spellcasting!AF17,S09_Warlock!$W$69:$W$98,0),1),"")&amp;IFERROR(INDEX(S10_Wizard!$U$6:$U$35,MATCH(Character_Spellcasting!AF17,S10_Wizard!$W$69:$W$98,0),1),"")</f>
        <v/>
      </c>
      <c r="AH17" s="1061"/>
      <c r="AI17" s="1061"/>
      <c r="AJ17" s="1061"/>
      <c r="AK17" s="1061"/>
      <c r="AL17" s="1097" t="str">
        <f>IFERROR(INDEX(S01_Bard!$X$69:$X$98,MATCH(Character_Spellcasting!AF17,S01_Bard!$W$69:$W$98,0),1),"")&amp;IFERROR(INDEX(S02_Cleric!$X$69:$X$98,MATCH(Character_Spellcasting!AF17,S02_Cleric!$W$69:$W$98,0),1),"")&amp;IFERROR(INDEX(S03_Druid!$X$69:$X$98,MATCH(Character_Spellcasting!AF17,S03_Druid!$W$69:$W$98,0),1),"")&amp;IFERROR(INDEX(S04_EldritchKnight!$X$69:$X$98,MATCH(Character_Spellcasting!AF17,S04_EldritchKnight!$W$69:$W$98,0),1),"")&amp;IFERROR(INDEX(S05_Paladin!$X$69:$X$98,MATCH(Character_Spellcasting!AF17,S05_Paladin!$W$69:$W$98,0),1),"")&amp;IFERROR(INDEX(S06_Ranger!$X$69:$X$98,MATCH(Character_Spellcasting!AF17,S06_Ranger!$W$69:$W$988,0),1),"")&amp;IFERROR(INDEX(S07_ArcaneTrickster!$X$69:$X$98,MATCH(Character_Spellcasting!AF17,S07_ArcaneTrickster!$W$69:$W$988,0),1),"")&amp;IFERROR(INDEX(S08_Sorcerer!$X$69:$X$98,MATCH(Character_Spellcasting!AF17,S08_Sorcerer!$W$69:$W$98,0),1),"")&amp;IFERROR(INDEX(S09_Warlock!$X$69:$X$98,MATCH(Character_Spellcasting!AF17,S09_Warlock!$W$69:$W$98,0),1),"")&amp;IFERROR(INDEX(S10_Wizard!$X$69:$X$98,MATCH(Character_Spellcasting!AF17,S10_Wizard!$W$69:$W$98,0),1),"")</f>
        <v/>
      </c>
      <c r="AM17" s="1098"/>
      <c r="AN17" s="567"/>
      <c r="AO17" s="565"/>
      <c r="AP17" s="591">
        <v>11</v>
      </c>
      <c r="AQ17" s="1061" t="str">
        <f>IFERROR(INDEX(S01_Bard!$AD$6:$AD$35,MATCH(Character_Spellcasting!AP17,S01_Bard!$AF$69:$AF$98,0),1),"")&amp;IFERROR(INDEX(S02_Cleric!$AD$6:$AD$35,MATCH(Character_Spellcasting!AP17,S02_Cleric!$AF$69:$AF$98,0),1),"")&amp;IFERROR(INDEX(S03_Druid!$AD$6:$AD$35,MATCH(Character_Spellcasting!AP17,S03_Druid!$AF$69:$AF$98,0),1),"")&amp;IFERROR(INDEX(S04_EldritchKnight!$AD$6:$AD$35,MATCH(Character_Spellcasting!AP17,S04_EldritchKnight!$AF$69:$AF$98,0),1),"")&amp;IFERROR(INDEX(S05_Paladin!$AD$6:$AD$35,MATCH(Character_Spellcasting!AP17,S05_Paladin!$AF$69:$AF$98,0),1),"")&amp;IFERROR(INDEX(S06_Ranger!$AD$6:$AD$35,MATCH(Character_Spellcasting!AP17,S06_Ranger!$AF$69:$AF$988,0),1),"")&amp;IFERROR(INDEX(S07_ArcaneTrickster!$AD$6:$AD$35,MATCH(Character_Spellcasting!AP17,S07_ArcaneTrickster!$AF$69:$AF$988,0),1),"")&amp;IFERROR(INDEX(S08_Sorcerer!$AD$6:$AD$35,MATCH(Character_Spellcasting!AP17,S08_Sorcerer!$AF$69:$AF$98,0),1),"")&amp;IFERROR(INDEX(S09_Warlock!$AD$6:$AD$35,MATCH(Character_Spellcasting!AP17,S09_Warlock!$AF$69:$AF$98,0),1),"")&amp;IFERROR(INDEX(S10_Wizard!$AD$6:$AD$35,MATCH(Character_Spellcasting!AP17,S10_Wizard!$AF$69:$AF$98,0),1),"")</f>
        <v/>
      </c>
      <c r="AR17" s="1061"/>
      <c r="AS17" s="1061"/>
      <c r="AT17" s="1061"/>
      <c r="AU17" s="1061"/>
      <c r="AV17" s="1096" t="str">
        <f>IFERROR(INDEX(S01_Bard!$AG$69:$AG$98,MATCH(Character_Spellcasting!AP17,S01_Bard!$D$69:$D$98,0),1),"")&amp;IFERROR(INDEX(S02_Cleric!$AG$69:$AG$98,MATCH(Character_Spellcasting!AP17,S02_Cleric!$AF$69:$AF$98,0),1),"")&amp;IFERROR(INDEX(S03_Druid!$AG$69:$AG$98,MATCH(Character_Spellcasting!AP17,S03_Druid!$AF$69:$AF$98,0),1),"")&amp;IFERROR(INDEX(S04_EldritchKnight!$AG$69:$AG$98,MATCH(Character_Spellcasting!AP17,S04_EldritchKnight!$AF$69:$AF$98,0),1),"")&amp;IFERROR(INDEX(S05_Paladin!$AG$69:$AG$98,MATCH(Character_Spellcasting!AP17,S05_Paladin!$AF$69:$AF$98,0),1),"")&amp;IFERROR(INDEX(S06_Ranger!$AG$69:$AG$98,MATCH(Character_Spellcasting!AP17,S06_Ranger!$AF$69:$AF$988,0),1),"")&amp;IFERROR(INDEX(S07_ArcaneTrickster!$AG$69:$AG$98,MATCH(Character_Spellcasting!AP17,S07_ArcaneTrickster!$AF$69:$AF$988,0),1),"")&amp;IFERROR(INDEX(S08_Sorcerer!$AG$69:$AG$98,MATCH(Character_Spellcasting!AP17,S08_Sorcerer!$AF$69:$AF$98,0),1),"")&amp;IFERROR(INDEX(S09_Warlock!$AG$69:$AG$98,MATCH(Character_Spellcasting!AP17,S09_Warlock!$AF$69:$AF$98,0),1),"")&amp;IFERROR(INDEX(S10_Wizard!$AG$69:$AG$98,MATCH(Character_Spellcasting!AP17,S10_Wizard!$AF$69:$AF$98,0),1),"")</f>
        <v/>
      </c>
      <c r="AW17" s="1096"/>
      <c r="AX17" s="567"/>
      <c r="AY17" s="565"/>
      <c r="AZ17" s="591">
        <v>11</v>
      </c>
      <c r="BA17" s="1061" t="str">
        <f>IFERROR(INDEX(S01_Bard!$AM$6:$AM$35,MATCH(Character_Spellcasting!AZ17,S01_Bard!$AO$69:$AO$98,0),1),"")&amp;IFERROR(INDEX(S02_Cleric!$AM$6:$AM$35,MATCH(Character_Spellcasting!AZ17,S02_Cleric!$AO$69:$AO$98,0),1),"")&amp;IFERROR(INDEX(S03_Druid!$AM$6:$AM$35,MATCH(Character_Spellcasting!AZ17,S03_Druid!$AO$69:$AO$98,0),1),"")&amp;IFERROR(INDEX(S04_EldritchKnight!$AM$6:$AM$35,MATCH(Character_Spellcasting!AZ17,S04_EldritchKnight!$AO$69:$AO$98,0),1),"")&amp;IFERROR(INDEX(S05_Paladin!$AM$6:$AM$35,MATCH(Character_Spellcasting!AZ17,S05_Paladin!$AO$69:$AO$98,0),1),"")&amp;IFERROR(INDEX(S06_Ranger!$AM$6:$AM$35,MATCH(Character_Spellcasting!AZ17,S06_Ranger!$AO$69:$AO$988,0),1),"")&amp;IFERROR(INDEX(S07_ArcaneTrickster!$AM$6:$AM$35,MATCH(Character_Spellcasting!AZ17,S07_ArcaneTrickster!$AO$69:$AO$988,0),1),"")&amp;IFERROR(INDEX(S08_Sorcerer!$AM$6:$AM$35,MATCH(Character_Spellcasting!AZ17,S08_Sorcerer!$AO$69:$AO$98,0),1),"")&amp;IFERROR(INDEX(S09_Warlock!$AM$6:$AM$35,MATCH(Character_Spellcasting!AZ17,S09_Warlock!$AO$69:$AO$98,0),1),"")&amp;IFERROR(INDEX(S10_Wizard!$AM$6:$AM$35,MATCH(Character_Spellcasting!AZ17,S10_Wizard!$AO$69:$AO$98,0),1),"")</f>
        <v/>
      </c>
      <c r="BB17" s="1061"/>
      <c r="BC17" s="1061"/>
      <c r="BD17" s="1061"/>
      <c r="BE17" s="1061"/>
      <c r="BF17" s="1096" t="str">
        <f>IFERROR(INDEX(S01_Bard!$AP$69:$AP$98,MATCH(Character_Spellcasting!AZ17,S01_Bard!$D$69:$D$98,0),1),"")&amp;IFERROR(INDEX(S02_Cleric!$AP$69:$AP$98,MATCH(Character_Spellcasting!AZ17,S02_Cleric!$AO$69:$AO$98,0),1),"")&amp;IFERROR(INDEX(S03_Druid!$AP$69:$AP$98,MATCH(Character_Spellcasting!AZ17,S03_Druid!$AO$69:$AO$98,0),1),"")&amp;IFERROR(INDEX(S04_EldritchKnight!$AP$69:$AP$98,MATCH(Character_Spellcasting!AZ17,S04_EldritchKnight!$AO$69:$AO$98,0),1),"")&amp;IFERROR(INDEX(S05_Paladin!$AP$69:$AP$98,MATCH(Character_Spellcasting!AZ17,S05_Paladin!$AO$69:$AO$98,0),1),"")&amp;IFERROR(INDEX(S06_Ranger!$AP$69:$AP$98,MATCH(Character_Spellcasting!AZ17,S06_Ranger!$AO$69:$AO$988,0),1),"")&amp;IFERROR(INDEX(S07_ArcaneTrickster!$AP$69:$AP$98,MATCH(Character_Spellcasting!AZ17,S07_ArcaneTrickster!$AO$69:$AO$988,0),1),"")&amp;IFERROR(INDEX(S08_Sorcerer!$AP$69:$AP$98,MATCH(Character_Spellcasting!AZ17,S08_Sorcerer!$AO$69:$AO$98,0),1),"")&amp;IFERROR(INDEX(S09_Warlock!$AP$69:$AP$98,MATCH(Character_Spellcasting!AZ17,S09_Warlock!$AO$69:$AO$98,0),1),"")&amp;IFERROR(INDEX(S10_Wizard!$AP$69:$AP$98,MATCH(Character_Spellcasting!AZ17,S10_Wizard!$AO$69:$AO$98,0),1),"")</f>
        <v/>
      </c>
      <c r="BG17" s="1096"/>
      <c r="BH17" s="567"/>
      <c r="BI17" s="120"/>
      <c r="BJ17" s="591">
        <v>11</v>
      </c>
      <c r="BK17" s="1061" t="str">
        <f>IFERROR(INDEX(S01_Bard!$AV$6:$AV$35,MATCH(Character_Spellcasting!BJ17,S01_Bard!$AX$69:$AX$98,0),1),"")&amp;IFERROR(INDEX(S02_Cleric!$AV$6:$AV$35,MATCH(Character_Spellcasting!BJ17,S02_Cleric!$AX$69:$AX$98,0),1),"")&amp;IFERROR(INDEX(S03_Druid!$AV$6:$AV$35,MATCH(Character_Spellcasting!BJ17,S03_Druid!$AX$69:$AX$98,0),1),"")&amp;IFERROR(INDEX(S04_EldritchKnight!$AV$6:$AV$35,MATCH(Character_Spellcasting!BJ17,S04_EldritchKnight!$AX$69:$AX$98,0),1),"")&amp;IFERROR(INDEX(S05_Paladin!$AV$6:$AV$35,MATCH(Character_Spellcasting!BJ17,S05_Paladin!$AX$69:$AX$98,0),1),"")&amp;IFERROR(INDEX(S06_Ranger!$AV$6:$AV$35,MATCH(Character_Spellcasting!BJ17,S06_Ranger!$AX$69:$AX$988,0),1),"")&amp;IFERROR(INDEX(S07_ArcaneTrickster!$AV$6:$AV$35,MATCH(Character_Spellcasting!BJ17,S07_ArcaneTrickster!$AX$69:$AX$988,0),1),"")&amp;IFERROR(INDEX(S08_Sorcerer!$AV$6:$AV$35,MATCH(Character_Spellcasting!BJ17,S08_Sorcerer!$AX$69:$AX$98,0),1),"")&amp;IFERROR(INDEX(S09_Warlock!$AV$6:$AV$35,MATCH(Character_Spellcasting!BJ17,S09_Warlock!$AX$69:$AX$98,0),1),"")&amp;IFERROR(INDEX(S10_Wizard!$AV$6:$AV$35,MATCH(Character_Spellcasting!BJ17,S10_Wizard!$AX$69:$AX$98,0),1),"")</f>
        <v/>
      </c>
      <c r="BL17" s="1061"/>
      <c r="BM17" s="1061"/>
      <c r="BN17" s="1061"/>
      <c r="BO17" s="1061"/>
      <c r="BP17" s="1096" t="str">
        <f>IFERROR(INDEX(S01_Bard!$AY$69:$AY$98,MATCH(Character_Spellcasting!BJ17,S01_Bard!$D$69:$D$98,0),1),"")&amp;IFERROR(INDEX(S02_Cleric!$AY$69:$AY$98,MATCH(Character_Spellcasting!BJ17,S02_Cleric!$AX$69:$AX$98,0),1),"")&amp;IFERROR(INDEX(S03_Druid!$AY$69:$AY$98,MATCH(Character_Spellcasting!BJ17,S03_Druid!$AX$69:$AX$98,0),1),"")&amp;IFERROR(INDEX(S04_EldritchKnight!$AY$69:$AY$98,MATCH(Character_Spellcasting!BJ17,S04_EldritchKnight!$AX$69:$AX$98,0),1),"")&amp;IFERROR(INDEX(S05_Paladin!$AY$69:$AY$98,MATCH(Character_Spellcasting!BJ17,S05_Paladin!$AX$69:$AX$98,0),1),"")&amp;IFERROR(INDEX(S06_Ranger!$AY$69:$AY$98,MATCH(Character_Spellcasting!BJ17,S06_Ranger!$AX$69:$AX$988,0),1),"")&amp;IFERROR(INDEX(S07_ArcaneTrickster!$AY$69:$AY$98,MATCH(Character_Spellcasting!BJ17,S07_ArcaneTrickster!$AX$69:$AX$988,0),1),"")&amp;IFERROR(INDEX(S08_Sorcerer!$AY$69:$AY$98,MATCH(Character_Spellcasting!BJ17,S08_Sorcerer!$AX$69:$AX$98,0),1),"")&amp;IFERROR(INDEX(S09_Warlock!$AY$69:$AY$98,MATCH(Character_Spellcasting!BJ17,S09_Warlock!$AX$69:$AX$98,0),1),"")&amp;IFERROR(INDEX(S10_Wizard!$AY$69:$AY$98,MATCH(Character_Spellcasting!BJ17,S10_Wizard!$AX$69:$AX$98,0),1),"")</f>
        <v/>
      </c>
      <c r="BQ17" s="1096"/>
      <c r="BR17" s="567"/>
      <c r="BS17" s="120"/>
      <c r="BT17" s="591">
        <v>11</v>
      </c>
      <c r="BU17" s="1061" t="str">
        <f>IFERROR(INDEX(S01_Bard!$BE$6:$BE$35,MATCH(Character_Spellcasting!BT17,S01_Bard!$BG$69:$BG$98,0),1),"")&amp;IFERROR(INDEX(S02_Cleric!$BE$6:$BE$35,MATCH(Character_Spellcasting!BT17,S02_Cleric!$BG$69:$BG$98,0),1),"")&amp;IFERROR(INDEX(S03_Druid!$BE$6:$BE$35,MATCH(Character_Spellcasting!BT17,S03_Druid!$BG$69:$BG$98,0),1),"")&amp;IFERROR(INDEX(S04_EldritchKnight!$BE$6:$BE$35,MATCH(Character_Spellcasting!BT17,S04_EldritchKnight!$BG$69:$BG$98,0),1),"")&amp;IFERROR(INDEX(S05_Paladin!$BE$6:$BE$35,MATCH(Character_Spellcasting!BT17,S05_Paladin!$BG$69:$BG$98,0),1),"")&amp;IFERROR(INDEX(S06_Ranger!$BE$6:$BE$35,MATCH(Character_Spellcasting!BT17,S06_Ranger!$BG$69:$BG$988,0),1),"")&amp;IFERROR(INDEX(S07_ArcaneTrickster!$BE$6:$BE$35,MATCH(Character_Spellcasting!BT17,S07_ArcaneTrickster!$BG$69:$BG$988,0),1),"")&amp;IFERROR(INDEX(S08_Sorcerer!$BE$6:$BE$35,MATCH(Character_Spellcasting!BT17,S08_Sorcerer!$BG$69:$BG$98,0),1),"")&amp;IFERROR(INDEX(S09_Warlock!$BE$6:$BE$35,MATCH(Character_Spellcasting!BT17,S09_Warlock!$BG$69:$BG$98,0),1),"")&amp;IFERROR(INDEX(S10_Wizard!$BE$6:$BE$35,MATCH(Character_Spellcasting!BT17,S10_Wizard!$BG$69:$BG$98,0),1),"")</f>
        <v/>
      </c>
      <c r="BV17" s="1061"/>
      <c r="BW17" s="1061"/>
      <c r="BX17" s="1061"/>
      <c r="BY17" s="1061"/>
      <c r="BZ17" s="1096" t="str">
        <f>IFERROR(INDEX(S01_Bard!$BH$69:$BH$98,MATCH(Character_Spellcasting!BT17,S01_Bard!$D$69:$D$98,0),1),"")&amp;IFERROR(INDEX(S02_Cleric!$BH$69:$BH$98,MATCH(Character_Spellcasting!BT17,S02_Cleric!$BG$69:$BG$98,0),1),"")&amp;IFERROR(INDEX(S03_Druid!$BH$69:$BH$98,MATCH(Character_Spellcasting!BT17,S03_Druid!$BG$69:$BG$98,0),1),"")&amp;IFERROR(INDEX(S04_EldritchKnight!$BH$69:$BH$98,MATCH(Character_Spellcasting!BT17,S04_EldritchKnight!$BG$69:$BG$98,0),1),"")&amp;IFERROR(INDEX(S05_Paladin!$BH$69:$BH$98,MATCH(Character_Spellcasting!BT17,S05_Paladin!$BG$69:$BG$98,0),1),"")&amp;IFERROR(INDEX(S06_Ranger!$BH$69:$BH$98,MATCH(Character_Spellcasting!BT17,S06_Ranger!$BG$69:$BG$988,0),1),"")&amp;IFERROR(INDEX(S07_ArcaneTrickster!$BH$69:$BH$98,MATCH(Character_Spellcasting!BT17,S07_ArcaneTrickster!$BG$69:$BG$988,0),1),"")&amp;IFERROR(INDEX(S08_Sorcerer!$BH$69:$BH$98,MATCH(Character_Spellcasting!BT17,S08_Sorcerer!$BG$69:$BG$98,0),1),"")&amp;IFERROR(INDEX(S09_Warlock!$BH$69:$BH$98,MATCH(Character_Spellcasting!BT17,S09_Warlock!$BG$69:$BG$98,0),1),"")&amp;IFERROR(INDEX(S10_Wizard!$BH$69:$BH$98,MATCH(Character_Spellcasting!BT17,S10_Wizard!$BG$69:$BG$98,0),1),"")</f>
        <v/>
      </c>
      <c r="CA17" s="1096"/>
      <c r="CB17" s="567"/>
      <c r="CC17" s="120"/>
      <c r="CD17" s="591">
        <v>11</v>
      </c>
      <c r="CE17" s="1061" t="str">
        <f>IFERROR(INDEX(S01_Bard!$BN$6:$BN$35,MATCH(Character_Spellcasting!CD17,S01_Bard!$BP$69:$BP$98,0),1),"")&amp;IFERROR(INDEX(S02_Cleric!$BN$6:$BN$35,MATCH(Character_Spellcasting!CD17,S02_Cleric!$BP$69:$BP$98,0),1),"")&amp;IFERROR(INDEX(S03_Druid!$BN$6:$BN$35,MATCH(Character_Spellcasting!CD17,S03_Druid!$BP$69:$BP$98,0),1),"")&amp;IFERROR(INDEX(S04_EldritchKnight!$BN$6:$BN$35,MATCH(Character_Spellcasting!CD17,S04_EldritchKnight!$BP$69:$BP$98,0),1),"")&amp;IFERROR(INDEX(S05_Paladin!$BN$6:$BN$35,MATCH(Character_Spellcasting!CD17,S05_Paladin!$BP$69:$BP$98,0),1),"")&amp;IFERROR(INDEX(S06_Ranger!$BN$6:$BN$35,MATCH(Character_Spellcasting!CD17,S06_Ranger!$BP$69:$BP$988,0),1),"")&amp;IFERROR(INDEX(S07_ArcaneTrickster!$BN$6:$BN$35,MATCH(Character_Spellcasting!CD17,S07_ArcaneTrickster!$BP$69:$BP$988,0),1),"")&amp;IFERROR(INDEX(S08_Sorcerer!$BN$6:$BN$35,MATCH(Character_Spellcasting!CD17,S08_Sorcerer!$BP$69:$BP$98,0),1),"")&amp;IFERROR(INDEX(S09_Warlock!$BN$6:$BN$35,MATCH(Character_Spellcasting!CD17,S09_Warlock!$BP$69:$BP$98,0),1),"")&amp;IFERROR(INDEX(S10_Wizard!$BN$6:$BN$35,MATCH(Character_Spellcasting!CD17,S10_Wizard!$BP$69:$BP$98,0),1),"")</f>
        <v/>
      </c>
      <c r="CF17" s="1061"/>
      <c r="CG17" s="1061"/>
      <c r="CH17" s="1061"/>
      <c r="CI17" s="1061"/>
      <c r="CJ17" s="1096" t="str">
        <f>IFERROR(INDEX(S01_Bard!$BQ$69:$BQ$98,MATCH(Character_Spellcasting!CD17,S01_Bard!$D$69:$D$98,0),1),"")&amp;IFERROR(INDEX(S02_Cleric!$BQ$69:$BQ$98,MATCH(Character_Spellcasting!CD17,S02_Cleric!$BP$69:$BP$98,0),1),"")&amp;IFERROR(INDEX(S03_Druid!$BQ$69:$BQ$98,MATCH(Character_Spellcasting!CD17,S03_Druid!$BP$69:$BP$98,0),1),"")&amp;IFERROR(INDEX(S04_EldritchKnight!$BQ$69:$BQ$98,MATCH(Character_Spellcasting!CD17,S04_EldritchKnight!$BP$69:$BP$98,0),1),"")&amp;IFERROR(INDEX(S05_Paladin!$BQ$69:$BQ$98,MATCH(Character_Spellcasting!CD17,S05_Paladin!$BP$69:$BP$98,0),1),"")&amp;IFERROR(INDEX(S06_Ranger!$BQ$69:$BQ$98,MATCH(Character_Spellcasting!CD17,S06_Ranger!$BP$69:$BP$988,0),1),"")&amp;IFERROR(INDEX(S07_ArcaneTrickster!$BQ$69:$BQ$98,MATCH(Character_Spellcasting!CD17,S07_ArcaneTrickster!$BP$69:$BP$988,0),1),"")&amp;IFERROR(INDEX(S08_Sorcerer!$BQ$69:$BQ$98,MATCH(Character_Spellcasting!CD17,S08_Sorcerer!$BP$69:$BP$98,0),1),"")&amp;IFERROR(INDEX(S09_Warlock!$BQ$69:$BQ$98,MATCH(Character_Spellcasting!CD17,S09_Warlock!$BP$69:$BP$98,0),1),"")&amp;IFERROR(INDEX(S10_Wizard!$BQ$69:$BQ$98,MATCH(Character_Spellcasting!CD17,S10_Wizard!$BP$69:$BP$98,0),1),"")</f>
        <v/>
      </c>
      <c r="CK17" s="1096"/>
      <c r="CL17" s="567"/>
      <c r="CM17" s="120"/>
      <c r="CN17" s="591">
        <v>11</v>
      </c>
      <c r="CO17" s="1061" t="str">
        <f>IFERROR(INDEX(S01_Bard!$BW$6:$BW$35,MATCH(Character_Spellcasting!CN17,S01_Bard!$BY$69:$BY$98,0),1),"")&amp;IFERROR(INDEX(S02_Cleric!$BW$6:$BW$35,MATCH(Character_Spellcasting!CN17,S02_Cleric!$BY$69:$BY$98,0),1),"")&amp;IFERROR(INDEX(S03_Druid!$BW$6:$BW$35,MATCH(Character_Spellcasting!CN17,S03_Druid!$BY$69:$BY$98,0),1),"")&amp;IFERROR(INDEX(S04_EldritchKnight!$BW$6:$BW$35,MATCH(Character_Spellcasting!CN17,S04_EldritchKnight!$BY$69:$BY$98,0),1),"")&amp;IFERROR(INDEX(S05_Paladin!$BW$6:$BW$35,MATCH(Character_Spellcasting!CN17,S05_Paladin!$BY$69:$BY$98,0),1),"")&amp;IFERROR(INDEX(S06_Ranger!$BW$6:$BW$35,MATCH(Character_Spellcasting!CN17,S06_Ranger!$BY$69:$BY$988,0),1),"")&amp;IFERROR(INDEX(S07_ArcaneTrickster!$BW$6:$BW$35,MATCH(Character_Spellcasting!CN17,S07_ArcaneTrickster!$BY$69:$BY$988,0),1),"")&amp;IFERROR(INDEX(S08_Sorcerer!$BW$6:$BW$35,MATCH(Character_Spellcasting!CN17,S08_Sorcerer!$BY$69:$BY$98,0),1),"")&amp;IFERROR(INDEX(S09_Warlock!$BW$6:$BW$35,MATCH(Character_Spellcasting!CN17,S09_Warlock!$BY$69:$BY$98,0),1),"")&amp;IFERROR(INDEX(S10_Wizard!$BW$6:$BW$35,MATCH(Character_Spellcasting!CN17,S10_Wizard!$BY$69:$BY$98,0),1),"")</f>
        <v/>
      </c>
      <c r="CP17" s="1061"/>
      <c r="CQ17" s="1061"/>
      <c r="CR17" s="1061"/>
      <c r="CS17" s="1061"/>
      <c r="CT17" s="1096" t="str">
        <f>IFERROR(INDEX(S01_Bard!$BZ$69:$BZ$98,MATCH(Character_Spellcasting!CN17,S01_Bard!$D$69:$D$98,0),1),"")&amp;IFERROR(INDEX(S02_Cleric!$BZ$69:$BZ$98,MATCH(Character_Spellcasting!CN17,S02_Cleric!$BY$69:$BY$98,0),1),"")&amp;IFERROR(INDEX(S03_Druid!$BZ$69:$BZ$98,MATCH(Character_Spellcasting!CN17,S03_Druid!$BY$69:$BY$98,0),1),"")&amp;IFERROR(INDEX(S04_EldritchKnight!$BZ$69:$BZ$98,MATCH(Character_Spellcasting!CN17,S04_EldritchKnight!$BY$69:$BY$98,0),1),"")&amp;IFERROR(INDEX(S05_Paladin!$BZ$69:$BZ$98,MATCH(Character_Spellcasting!CN17,S05_Paladin!$BY$69:$BY$98,0),1),"")&amp;IFERROR(INDEX(S06_Ranger!$BZ$69:$BZ$98,MATCH(Character_Spellcasting!CN17,S06_Ranger!$BY$69:$BY$988,0),1),"")&amp;IFERROR(INDEX(S07_ArcaneTrickster!$BZ$69:$BZ$98,MATCH(Character_Spellcasting!CN17,S07_ArcaneTrickster!$BY$69:$BY$988,0),1),"")&amp;IFERROR(INDEX(S08_Sorcerer!$BZ$69:$BZ$98,MATCH(Character_Spellcasting!CN17,S08_Sorcerer!$BY$69:$BY$98,0),1),"")&amp;IFERROR(INDEX(S09_Warlock!$BZ$69:$BZ$98,MATCH(Character_Spellcasting!CN17,S09_Warlock!$BY$69:$BY$98,0),1),"")&amp;IFERROR(INDEX(S10_Wizard!$BZ$69:$BZ$98,MATCH(Character_Spellcasting!CN17,S10_Wizard!$BY$69:$BY$98,0),1),"")</f>
        <v/>
      </c>
      <c r="CU17" s="1096"/>
      <c r="CV17" s="567"/>
      <c r="CW17" s="565"/>
      <c r="CX17" s="565"/>
      <c r="CY17" s="565"/>
      <c r="CZ17" s="565"/>
      <c r="DA17" s="610">
        <v>11</v>
      </c>
      <c r="DB17" s="1061" t="str">
        <f t="shared" si="0"/>
        <v>Misty Step</v>
      </c>
      <c r="DC17" s="1061"/>
      <c r="DD17" s="1061"/>
      <c r="DE17" s="1061"/>
      <c r="DF17" s="1061"/>
      <c r="DG17" s="1096" t="str">
        <f t="shared" si="1"/>
        <v>Eldritch Knight</v>
      </c>
      <c r="DH17" s="1096"/>
      <c r="DI17" s="565"/>
      <c r="DJ17" s="565"/>
      <c r="DK17" s="565"/>
      <c r="DL17" s="565"/>
      <c r="DM17" s="565"/>
      <c r="DN17" s="565"/>
      <c r="DO17" s="565"/>
      <c r="DP17" s="565"/>
      <c r="DQ17" s="565"/>
      <c r="DR17" s="565"/>
      <c r="DS17" s="565"/>
      <c r="DT17" s="565"/>
      <c r="DU17" s="565"/>
      <c r="DV17" s="565"/>
    </row>
    <row r="18" spans="1:126" ht="21" customHeight="1" x14ac:dyDescent="0.25">
      <c r="A18" s="120"/>
      <c r="B18" s="610">
        <v>12</v>
      </c>
      <c r="C18" s="1061"/>
      <c r="D18" s="1061"/>
      <c r="E18" s="1061"/>
      <c r="F18" s="1061"/>
      <c r="G18" s="1061"/>
      <c r="H18" s="1096"/>
      <c r="I18" s="1096"/>
      <c r="J18" s="120"/>
      <c r="K18" s="120"/>
      <c r="L18" s="591">
        <v>12</v>
      </c>
      <c r="M18" s="1061" t="str">
        <f>IFERROR(INDEX(S01_Bard!$C$6:$C$35,MATCH(Character_Spellcasting!L18,S01_Bard!$E$69:$E$98,0),1),"")&amp;IFERROR(INDEX(S02_Cleric!$C$6:$C$35,MATCH(Character_Spellcasting!L18,S02_Cleric!$E$69:$E$98,0),1),"")&amp;IFERROR(INDEX(S03_Druid!$C$6:$C$35,MATCH(Character_Spellcasting!L18,S03_Druid!$E$69:$E$98,0),1),"")&amp;IFERROR(INDEX(S04_EldritchKnight!$C$6:$C$35,MATCH(Character_Spellcasting!L18,S04_EldritchKnight!$E$69:$E$98,0),1),"")&amp;IFERROR(INDEX(S05_Paladin!$C$6:$C$35,MATCH(Character_Spellcasting!L18,S05_Paladin!$E$69:$E$98,0),1),"")&amp;IFERROR(INDEX(S06_Ranger!$C$6:$C$35,MATCH(Character_Spellcasting!L18,S06_Ranger!$E$69:$E$988,0),1),"")&amp;IFERROR(INDEX(S07_ArcaneTrickster!$C$6:$C$35,MATCH(Character_Spellcasting!L18,S07_ArcaneTrickster!$E$69:$E$988,0),1),"")&amp;IFERROR(INDEX(S08_Sorcerer!$C$6:$C$35,MATCH(Character_Spellcasting!L18,S08_Sorcerer!$E$69:$E$98,0),1),"")&amp;IFERROR(INDEX(S09_Warlock!$C$6:$C$35,MATCH(Character_Spellcasting!L18,S09_Warlock!$E$69:$E$98,0),1),"")&amp;IFERROR(INDEX(S10_Wizard!$C$6:$C$35,MATCH(Character_Spellcasting!L18,S10_Wizard!$E$69:$E$98,0),1),"")</f>
        <v/>
      </c>
      <c r="N18" s="1061"/>
      <c r="O18" s="1061"/>
      <c r="P18" s="1061"/>
      <c r="Q18" s="1061"/>
      <c r="R18" s="1096" t="str">
        <f>IFERROR(INDEX(S01_Bard!$F$69:$F$98,MATCH(Character_Spellcasting!L18,S01_Bard!$D$69:$D$98,0),1),"")&amp;IFERROR(INDEX(S02_Cleric!$F$69:$F$98,MATCH(Character_Spellcasting!L18,S02_Cleric!$E$69:$E$98,0),1),"")&amp;IFERROR(INDEX(S03_Druid!$F$69:$F$98,MATCH(Character_Spellcasting!L18,S03_Druid!$E$69:$E$98,0),1),"")&amp;IFERROR(INDEX(S04_EldritchKnight!$F$69:$F$98,MATCH(Character_Spellcasting!L18,S04_EldritchKnight!$E$69:$E$98,0),1),"")&amp;IFERROR(INDEX(S05_Paladin!$F$69:$F$98,MATCH(Character_Spellcasting!L18,S05_Paladin!$E$69:$E$98,0),1),"")&amp;IFERROR(INDEX(S06_Ranger!$F$69:$F$98,MATCH(Character_Spellcasting!L18,S06_Ranger!$E$69:$E$988,0),1),"")&amp;IFERROR(INDEX(S07_ArcaneTrickster!$F$69:$F$98,MATCH(Character_Spellcasting!L18,S07_ArcaneTrickster!$E$69:$E$988,0),1),"")&amp;IFERROR(INDEX(S08_Sorcerer!$F$69:$F$98,MATCH(Character_Spellcasting!L18,S08_Sorcerer!$E$69:$E$98,0),1),"")&amp;IFERROR(INDEX(S09_Warlock!$F$69:$F$98,MATCH(Character_Spellcasting!L18,S09_Warlock!$E$69:$E$98,0),1),"")&amp;IFERROR(INDEX(S10_Wizard!$F$69:$F$98,MATCH(Character_Spellcasting!L18,S10_Wizard!$E$69:$E$98,0),1),"")</f>
        <v/>
      </c>
      <c r="S18" s="1096"/>
      <c r="T18" s="567"/>
      <c r="U18" s="565"/>
      <c r="V18" s="591">
        <v>12</v>
      </c>
      <c r="W18" s="1061" t="str">
        <f>IFERROR(INDEX(S01_Bard!$L$6:$L$35,MATCH(Character_Spellcasting!V18,S01_Bard!$N$69:$N$98,0),1),"")&amp;IFERROR(INDEX(S02_Cleric!$L$6:$L$35,MATCH(Character_Spellcasting!V18,S02_Cleric!$N$69:$N$98,0),1),"")&amp;IFERROR(INDEX(S03_Druid!$L$6:$L$35,MATCH(Character_Spellcasting!V18,S03_Druid!$N$69:$N$98,0),1),"")&amp;IFERROR(INDEX(S04_EldritchKnight!$L$6:$L$35,MATCH(Character_Spellcasting!V18,S04_EldritchKnight!$N$69:$N$98,0),1),"")&amp;IFERROR(INDEX(S05_Paladin!$L$6:$L$35,MATCH(Character_Spellcasting!V18,S05_Paladin!$N$69:$N$98,0),1),"")&amp;IFERROR(INDEX(S06_Ranger!$L$6:$L$35,MATCH(Character_Spellcasting!V18,S06_Ranger!$N$69:$N$988,0),1),"")&amp;IFERROR(INDEX(S07_ArcaneTrickster!$L$6:$L$35,MATCH(Character_Spellcasting!V18,S07_ArcaneTrickster!$N$69:$N$988,0),1),"")&amp;IFERROR(INDEX(S08_Sorcerer!$L$6:$L$35,MATCH(Character_Spellcasting!V18,S08_Sorcerer!$N$69:$N$98,0),1),"")&amp;IFERROR(INDEX(S09_Warlock!$L$6:$L$35,MATCH(Character_Spellcasting!V18,S09_Warlock!$N$69:$N$98,0),1),"")&amp;IFERROR(INDEX(S10_Wizard!$L$6:$L$35,MATCH(Character_Spellcasting!V18,S10_Wizard!$N$69:$N$98,0),1),"")</f>
        <v/>
      </c>
      <c r="X18" s="1061"/>
      <c r="Y18" s="1061"/>
      <c r="Z18" s="1061"/>
      <c r="AA18" s="1061"/>
      <c r="AB18" s="1097" t="str">
        <f>IFERROR(INDEX(S01_Bard!$O$69:$O$98,MATCH(Character_Spellcasting!V18,S01_Bard!$N$69:$N$98,0),1),"")&amp;IFERROR(INDEX(S02_Cleric!$O$69:$O$98,MATCH(Character_Spellcasting!V18,S02_Cleric!$N$69:$N$98,0),1),"")&amp;IFERROR(INDEX(S03_Druid!$O$69:$O$98,MATCH(Character_Spellcasting!V18,S03_Druid!$N$69:$N$98,0),1),"")&amp;IFERROR(INDEX(S04_EldritchKnight!$O$69:$O$98,MATCH(Character_Spellcasting!V18,S04_EldritchKnight!$N$69:$N$98,0),1),"")&amp;IFERROR(INDEX(S05_Paladin!$O$69:$O$98,MATCH(Character_Spellcasting!V18,S05_Paladin!$N$69:$N$98,0),1),"")&amp;IFERROR(INDEX(S06_Ranger!$O$69:$O$98,MATCH(Character_Spellcasting!V18,S06_Ranger!$N$69:$N$988,0),1),"")&amp;IFERROR(INDEX(S07_ArcaneTrickster!$O$69:$O$98,MATCH(Character_Spellcasting!V18,S07_ArcaneTrickster!$N$69:$N$988,0),1),"")&amp;IFERROR(INDEX(S08_Sorcerer!$O$69:$O$98,MATCH(Character_Spellcasting!V18,S08_Sorcerer!$N$69:$N$98,0),1),"")&amp;IFERROR(INDEX(S09_Warlock!$O$69:$O$98,MATCH(Character_Spellcasting!V18,S09_Warlock!$N$69:$N$98,0),1),"")&amp;IFERROR(INDEX(S10_Wizard!$O$69:$O$98,MATCH(Character_Spellcasting!V18,S10_Wizard!$N$69:$N$98,0),1),"")</f>
        <v/>
      </c>
      <c r="AC18" s="1098"/>
      <c r="AD18" s="567"/>
      <c r="AE18" s="565"/>
      <c r="AF18" s="609">
        <v>12</v>
      </c>
      <c r="AG18" s="1061" t="str">
        <f>IFERROR(INDEX(S01_Bard!$U$6:$U$35,MATCH(Character_Spellcasting!AF18,S01_Bard!$W$69:$W$98,0),1),"")&amp;IFERROR(INDEX(S02_Cleric!$U$6:$U$35,MATCH(Character_Spellcasting!AF18,S02_Cleric!$W$69:$W$98,0),1),"")&amp;IFERROR(INDEX(S03_Druid!$U$6:$U$35,MATCH(Character_Spellcasting!AF18,S03_Druid!$W$69:$W$98,0),1),"")&amp;IFERROR(INDEX(S04_EldritchKnight!$U$6:$U$35,MATCH(Character_Spellcasting!AF18,S04_EldritchKnight!$W$69:$W$98,0),1),"")&amp;IFERROR(INDEX(S05_Paladin!$U$6:$U$35,MATCH(Character_Spellcasting!AF18,S05_Paladin!$W$69:$W$98,0),1),"")&amp;IFERROR(INDEX(S06_Ranger!$U$6:$U$35,MATCH(Character_Spellcasting!AF18,S06_Ranger!$W$69:$W$988,0),1),"")&amp;IFERROR(INDEX(S07_ArcaneTrickster!$U$6:$U$35,MATCH(Character_Spellcasting!AF18,S07_ArcaneTrickster!$W$69:$W$988,0),1),"")&amp;IFERROR(INDEX(S08_Sorcerer!$U$6:$U$35,MATCH(Character_Spellcasting!AF18,S08_Sorcerer!$W$69:$W$98,0),1),"")&amp;IFERROR(INDEX(S09_Warlock!$U$6:$U$35,MATCH(Character_Spellcasting!AF18,S09_Warlock!$W$69:$W$98,0),1),"")&amp;IFERROR(INDEX(S10_Wizard!$U$6:$U$35,MATCH(Character_Spellcasting!AF18,S10_Wizard!$W$69:$W$98,0),1),"")</f>
        <v/>
      </c>
      <c r="AH18" s="1061"/>
      <c r="AI18" s="1061"/>
      <c r="AJ18" s="1061"/>
      <c r="AK18" s="1061"/>
      <c r="AL18" s="1097" t="str">
        <f>IFERROR(INDEX(S01_Bard!$X$69:$X$98,MATCH(Character_Spellcasting!AF18,S01_Bard!$W$69:$W$98,0),1),"")&amp;IFERROR(INDEX(S02_Cleric!$X$69:$X$98,MATCH(Character_Spellcasting!AF18,S02_Cleric!$W$69:$W$98,0),1),"")&amp;IFERROR(INDEX(S03_Druid!$X$69:$X$98,MATCH(Character_Spellcasting!AF18,S03_Druid!$W$69:$W$98,0),1),"")&amp;IFERROR(INDEX(S04_EldritchKnight!$X$69:$X$98,MATCH(Character_Spellcasting!AF18,S04_EldritchKnight!$W$69:$W$98,0),1),"")&amp;IFERROR(INDEX(S05_Paladin!$X$69:$X$98,MATCH(Character_Spellcasting!AF18,S05_Paladin!$W$69:$W$98,0),1),"")&amp;IFERROR(INDEX(S06_Ranger!$X$69:$X$98,MATCH(Character_Spellcasting!AF18,S06_Ranger!$W$69:$W$988,0),1),"")&amp;IFERROR(INDEX(S07_ArcaneTrickster!$X$69:$X$98,MATCH(Character_Spellcasting!AF18,S07_ArcaneTrickster!$W$69:$W$988,0),1),"")&amp;IFERROR(INDEX(S08_Sorcerer!$X$69:$X$98,MATCH(Character_Spellcasting!AF18,S08_Sorcerer!$W$69:$W$98,0),1),"")&amp;IFERROR(INDEX(S09_Warlock!$X$69:$X$98,MATCH(Character_Spellcasting!AF18,S09_Warlock!$W$69:$W$98,0),1),"")&amp;IFERROR(INDEX(S10_Wizard!$X$69:$X$98,MATCH(Character_Spellcasting!AF18,S10_Wizard!$W$69:$W$98,0),1),"")</f>
        <v/>
      </c>
      <c r="AM18" s="1098"/>
      <c r="AN18" s="567"/>
      <c r="AO18" s="565"/>
      <c r="AP18" s="591">
        <v>12</v>
      </c>
      <c r="AQ18" s="1061" t="str">
        <f>IFERROR(INDEX(S01_Bard!$AD$6:$AD$35,MATCH(Character_Spellcasting!AP18,S01_Bard!$AF$69:$AF$98,0),1),"")&amp;IFERROR(INDEX(S02_Cleric!$AD$6:$AD$35,MATCH(Character_Spellcasting!AP18,S02_Cleric!$AF$69:$AF$98,0),1),"")&amp;IFERROR(INDEX(S03_Druid!$AD$6:$AD$35,MATCH(Character_Spellcasting!AP18,S03_Druid!$AF$69:$AF$98,0),1),"")&amp;IFERROR(INDEX(S04_EldritchKnight!$AD$6:$AD$35,MATCH(Character_Spellcasting!AP18,S04_EldritchKnight!$AF$69:$AF$98,0),1),"")&amp;IFERROR(INDEX(S05_Paladin!$AD$6:$AD$35,MATCH(Character_Spellcasting!AP18,S05_Paladin!$AF$69:$AF$98,0),1),"")&amp;IFERROR(INDEX(S06_Ranger!$AD$6:$AD$35,MATCH(Character_Spellcasting!AP18,S06_Ranger!$AF$69:$AF$988,0),1),"")&amp;IFERROR(INDEX(S07_ArcaneTrickster!$AD$6:$AD$35,MATCH(Character_Spellcasting!AP18,S07_ArcaneTrickster!$AF$69:$AF$988,0),1),"")&amp;IFERROR(INDEX(S08_Sorcerer!$AD$6:$AD$35,MATCH(Character_Spellcasting!AP18,S08_Sorcerer!$AF$69:$AF$98,0),1),"")&amp;IFERROR(INDEX(S09_Warlock!$AD$6:$AD$35,MATCH(Character_Spellcasting!AP18,S09_Warlock!$AF$69:$AF$98,0),1),"")&amp;IFERROR(INDEX(S10_Wizard!$AD$6:$AD$35,MATCH(Character_Spellcasting!AP18,S10_Wizard!$AF$69:$AF$98,0),1),"")</f>
        <v/>
      </c>
      <c r="AR18" s="1061"/>
      <c r="AS18" s="1061"/>
      <c r="AT18" s="1061"/>
      <c r="AU18" s="1061"/>
      <c r="AV18" s="1096" t="str">
        <f>IFERROR(INDEX(S01_Bard!$AG$69:$AG$98,MATCH(Character_Spellcasting!AP18,S01_Bard!$D$69:$D$98,0),1),"")&amp;IFERROR(INDEX(S02_Cleric!$AG$69:$AG$98,MATCH(Character_Spellcasting!AP18,S02_Cleric!$AF$69:$AF$98,0),1),"")&amp;IFERROR(INDEX(S03_Druid!$AG$69:$AG$98,MATCH(Character_Spellcasting!AP18,S03_Druid!$AF$69:$AF$98,0),1),"")&amp;IFERROR(INDEX(S04_EldritchKnight!$AG$69:$AG$98,MATCH(Character_Spellcasting!AP18,S04_EldritchKnight!$AF$69:$AF$98,0),1),"")&amp;IFERROR(INDEX(S05_Paladin!$AG$69:$AG$98,MATCH(Character_Spellcasting!AP18,S05_Paladin!$AF$69:$AF$98,0),1),"")&amp;IFERROR(INDEX(S06_Ranger!$AG$69:$AG$98,MATCH(Character_Spellcasting!AP18,S06_Ranger!$AF$69:$AF$988,0),1),"")&amp;IFERROR(INDEX(S07_ArcaneTrickster!$AG$69:$AG$98,MATCH(Character_Spellcasting!AP18,S07_ArcaneTrickster!$AF$69:$AF$988,0),1),"")&amp;IFERROR(INDEX(S08_Sorcerer!$AG$69:$AG$98,MATCH(Character_Spellcasting!AP18,S08_Sorcerer!$AF$69:$AF$98,0),1),"")&amp;IFERROR(INDEX(S09_Warlock!$AG$69:$AG$98,MATCH(Character_Spellcasting!AP18,S09_Warlock!$AF$69:$AF$98,0),1),"")&amp;IFERROR(INDEX(S10_Wizard!$AG$69:$AG$98,MATCH(Character_Spellcasting!AP18,S10_Wizard!$AF$69:$AF$98,0),1),"")</f>
        <v/>
      </c>
      <c r="AW18" s="1096"/>
      <c r="AX18" s="567"/>
      <c r="AY18" s="565"/>
      <c r="AZ18" s="591">
        <v>12</v>
      </c>
      <c r="BA18" s="1061" t="str">
        <f>IFERROR(INDEX(S01_Bard!$AM$6:$AM$35,MATCH(Character_Spellcasting!AZ18,S01_Bard!$AO$69:$AO$98,0),1),"")&amp;IFERROR(INDEX(S02_Cleric!$AM$6:$AM$35,MATCH(Character_Spellcasting!AZ18,S02_Cleric!$AO$69:$AO$98,0),1),"")&amp;IFERROR(INDEX(S03_Druid!$AM$6:$AM$35,MATCH(Character_Spellcasting!AZ18,S03_Druid!$AO$69:$AO$98,0),1),"")&amp;IFERROR(INDEX(S04_EldritchKnight!$AM$6:$AM$35,MATCH(Character_Spellcasting!AZ18,S04_EldritchKnight!$AO$69:$AO$98,0),1),"")&amp;IFERROR(INDEX(S05_Paladin!$AM$6:$AM$35,MATCH(Character_Spellcasting!AZ18,S05_Paladin!$AO$69:$AO$98,0),1),"")&amp;IFERROR(INDEX(S06_Ranger!$AM$6:$AM$35,MATCH(Character_Spellcasting!AZ18,S06_Ranger!$AO$69:$AO$988,0),1),"")&amp;IFERROR(INDEX(S07_ArcaneTrickster!$AM$6:$AM$35,MATCH(Character_Spellcasting!AZ18,S07_ArcaneTrickster!$AO$69:$AO$988,0),1),"")&amp;IFERROR(INDEX(S08_Sorcerer!$AM$6:$AM$35,MATCH(Character_Spellcasting!AZ18,S08_Sorcerer!$AO$69:$AO$98,0),1),"")&amp;IFERROR(INDEX(S09_Warlock!$AM$6:$AM$35,MATCH(Character_Spellcasting!AZ18,S09_Warlock!$AO$69:$AO$98,0),1),"")&amp;IFERROR(INDEX(S10_Wizard!$AM$6:$AM$35,MATCH(Character_Spellcasting!AZ18,S10_Wizard!$AO$69:$AO$98,0),1),"")</f>
        <v/>
      </c>
      <c r="BB18" s="1061"/>
      <c r="BC18" s="1061"/>
      <c r="BD18" s="1061"/>
      <c r="BE18" s="1061"/>
      <c r="BF18" s="1096" t="str">
        <f>IFERROR(INDEX(S01_Bard!$AP$69:$AP$98,MATCH(Character_Spellcasting!AZ18,S01_Bard!$D$69:$D$98,0),1),"")&amp;IFERROR(INDEX(S02_Cleric!$AP$69:$AP$98,MATCH(Character_Spellcasting!AZ18,S02_Cleric!$AO$69:$AO$98,0),1),"")&amp;IFERROR(INDEX(S03_Druid!$AP$69:$AP$98,MATCH(Character_Spellcasting!AZ18,S03_Druid!$AO$69:$AO$98,0),1),"")&amp;IFERROR(INDEX(S04_EldritchKnight!$AP$69:$AP$98,MATCH(Character_Spellcasting!AZ18,S04_EldritchKnight!$AO$69:$AO$98,0),1),"")&amp;IFERROR(INDEX(S05_Paladin!$AP$69:$AP$98,MATCH(Character_Spellcasting!AZ18,S05_Paladin!$AO$69:$AO$98,0),1),"")&amp;IFERROR(INDEX(S06_Ranger!$AP$69:$AP$98,MATCH(Character_Spellcasting!AZ18,S06_Ranger!$AO$69:$AO$988,0),1),"")&amp;IFERROR(INDEX(S07_ArcaneTrickster!$AP$69:$AP$98,MATCH(Character_Spellcasting!AZ18,S07_ArcaneTrickster!$AO$69:$AO$988,0),1),"")&amp;IFERROR(INDEX(S08_Sorcerer!$AP$69:$AP$98,MATCH(Character_Spellcasting!AZ18,S08_Sorcerer!$AO$69:$AO$98,0),1),"")&amp;IFERROR(INDEX(S09_Warlock!$AP$69:$AP$98,MATCH(Character_Spellcasting!AZ18,S09_Warlock!$AO$69:$AO$98,0),1),"")&amp;IFERROR(INDEX(S10_Wizard!$AP$69:$AP$98,MATCH(Character_Spellcasting!AZ18,S10_Wizard!$AO$69:$AO$98,0),1),"")</f>
        <v/>
      </c>
      <c r="BG18" s="1096"/>
      <c r="BH18" s="567"/>
      <c r="BI18" s="120"/>
      <c r="BJ18" s="591">
        <v>12</v>
      </c>
      <c r="BK18" s="1061" t="str">
        <f>IFERROR(INDEX(S01_Bard!$AV$6:$AV$35,MATCH(Character_Spellcasting!BJ18,S01_Bard!$AX$69:$AX$98,0),1),"")&amp;IFERROR(INDEX(S02_Cleric!$AV$6:$AV$35,MATCH(Character_Spellcasting!BJ18,S02_Cleric!$AX$69:$AX$98,0),1),"")&amp;IFERROR(INDEX(S03_Druid!$AV$6:$AV$35,MATCH(Character_Spellcasting!BJ18,S03_Druid!$AX$69:$AX$98,0),1),"")&amp;IFERROR(INDEX(S04_EldritchKnight!$AV$6:$AV$35,MATCH(Character_Spellcasting!BJ18,S04_EldritchKnight!$AX$69:$AX$98,0),1),"")&amp;IFERROR(INDEX(S05_Paladin!$AV$6:$AV$35,MATCH(Character_Spellcasting!BJ18,S05_Paladin!$AX$69:$AX$98,0),1),"")&amp;IFERROR(INDEX(S06_Ranger!$AV$6:$AV$35,MATCH(Character_Spellcasting!BJ18,S06_Ranger!$AX$69:$AX$988,0),1),"")&amp;IFERROR(INDEX(S07_ArcaneTrickster!$AV$6:$AV$35,MATCH(Character_Spellcasting!BJ18,S07_ArcaneTrickster!$AX$69:$AX$988,0),1),"")&amp;IFERROR(INDEX(S08_Sorcerer!$AV$6:$AV$35,MATCH(Character_Spellcasting!BJ18,S08_Sorcerer!$AX$69:$AX$98,0),1),"")&amp;IFERROR(INDEX(S09_Warlock!$AV$6:$AV$35,MATCH(Character_Spellcasting!BJ18,S09_Warlock!$AX$69:$AX$98,0),1),"")&amp;IFERROR(INDEX(S10_Wizard!$AV$6:$AV$35,MATCH(Character_Spellcasting!BJ18,S10_Wizard!$AX$69:$AX$98,0),1),"")</f>
        <v/>
      </c>
      <c r="BL18" s="1061"/>
      <c r="BM18" s="1061"/>
      <c r="BN18" s="1061"/>
      <c r="BO18" s="1061"/>
      <c r="BP18" s="1096" t="str">
        <f>IFERROR(INDEX(S01_Bard!$AY$69:$AY$98,MATCH(Character_Spellcasting!BJ18,S01_Bard!$D$69:$D$98,0),1),"")&amp;IFERROR(INDEX(S02_Cleric!$AY$69:$AY$98,MATCH(Character_Spellcasting!BJ18,S02_Cleric!$AX$69:$AX$98,0),1),"")&amp;IFERROR(INDEX(S03_Druid!$AY$69:$AY$98,MATCH(Character_Spellcasting!BJ18,S03_Druid!$AX$69:$AX$98,0),1),"")&amp;IFERROR(INDEX(S04_EldritchKnight!$AY$69:$AY$98,MATCH(Character_Spellcasting!BJ18,S04_EldritchKnight!$AX$69:$AX$98,0),1),"")&amp;IFERROR(INDEX(S05_Paladin!$AY$69:$AY$98,MATCH(Character_Spellcasting!BJ18,S05_Paladin!$AX$69:$AX$98,0),1),"")&amp;IFERROR(INDEX(S06_Ranger!$AY$69:$AY$98,MATCH(Character_Spellcasting!BJ18,S06_Ranger!$AX$69:$AX$988,0),1),"")&amp;IFERROR(INDEX(S07_ArcaneTrickster!$AY$69:$AY$98,MATCH(Character_Spellcasting!BJ18,S07_ArcaneTrickster!$AX$69:$AX$988,0),1),"")&amp;IFERROR(INDEX(S08_Sorcerer!$AY$69:$AY$98,MATCH(Character_Spellcasting!BJ18,S08_Sorcerer!$AX$69:$AX$98,0),1),"")&amp;IFERROR(INDEX(S09_Warlock!$AY$69:$AY$98,MATCH(Character_Spellcasting!BJ18,S09_Warlock!$AX$69:$AX$98,0),1),"")&amp;IFERROR(INDEX(S10_Wizard!$AY$69:$AY$98,MATCH(Character_Spellcasting!BJ18,S10_Wizard!$AX$69:$AX$98,0),1),"")</f>
        <v/>
      </c>
      <c r="BQ18" s="1096"/>
      <c r="BR18" s="567"/>
      <c r="BS18" s="120"/>
      <c r="BT18" s="591">
        <v>12</v>
      </c>
      <c r="BU18" s="1061" t="str">
        <f>IFERROR(INDEX(S01_Bard!$BE$6:$BE$35,MATCH(Character_Spellcasting!BT18,S01_Bard!$BG$69:$BG$98,0),1),"")&amp;IFERROR(INDEX(S02_Cleric!$BE$6:$BE$35,MATCH(Character_Spellcasting!BT18,S02_Cleric!$BG$69:$BG$98,0),1),"")&amp;IFERROR(INDEX(S03_Druid!$BE$6:$BE$35,MATCH(Character_Spellcasting!BT18,S03_Druid!$BG$69:$BG$98,0),1),"")&amp;IFERROR(INDEX(S04_EldritchKnight!$BE$6:$BE$35,MATCH(Character_Spellcasting!BT18,S04_EldritchKnight!$BG$69:$BG$98,0),1),"")&amp;IFERROR(INDEX(S05_Paladin!$BE$6:$BE$35,MATCH(Character_Spellcasting!BT18,S05_Paladin!$BG$69:$BG$98,0),1),"")&amp;IFERROR(INDEX(S06_Ranger!$BE$6:$BE$35,MATCH(Character_Spellcasting!BT18,S06_Ranger!$BG$69:$BG$988,0),1),"")&amp;IFERROR(INDEX(S07_ArcaneTrickster!$BE$6:$BE$35,MATCH(Character_Spellcasting!BT18,S07_ArcaneTrickster!$BG$69:$BG$988,0),1),"")&amp;IFERROR(INDEX(S08_Sorcerer!$BE$6:$BE$35,MATCH(Character_Spellcasting!BT18,S08_Sorcerer!$BG$69:$BG$98,0),1),"")&amp;IFERROR(INDEX(S09_Warlock!$BE$6:$BE$35,MATCH(Character_Spellcasting!BT18,S09_Warlock!$BG$69:$BG$98,0),1),"")&amp;IFERROR(INDEX(S10_Wizard!$BE$6:$BE$35,MATCH(Character_Spellcasting!BT18,S10_Wizard!$BG$69:$BG$98,0),1),"")</f>
        <v/>
      </c>
      <c r="BV18" s="1061"/>
      <c r="BW18" s="1061"/>
      <c r="BX18" s="1061"/>
      <c r="BY18" s="1061"/>
      <c r="BZ18" s="1096" t="str">
        <f>IFERROR(INDEX(S01_Bard!$BH$69:$BH$98,MATCH(Character_Spellcasting!BT18,S01_Bard!$D$69:$D$98,0),1),"")&amp;IFERROR(INDEX(S02_Cleric!$BH$69:$BH$98,MATCH(Character_Spellcasting!BT18,S02_Cleric!$BG$69:$BG$98,0),1),"")&amp;IFERROR(INDEX(S03_Druid!$BH$69:$BH$98,MATCH(Character_Spellcasting!BT18,S03_Druid!$BG$69:$BG$98,0),1),"")&amp;IFERROR(INDEX(S04_EldritchKnight!$BH$69:$BH$98,MATCH(Character_Spellcasting!BT18,S04_EldritchKnight!$BG$69:$BG$98,0),1),"")&amp;IFERROR(INDEX(S05_Paladin!$BH$69:$BH$98,MATCH(Character_Spellcasting!BT18,S05_Paladin!$BG$69:$BG$98,0),1),"")&amp;IFERROR(INDEX(S06_Ranger!$BH$69:$BH$98,MATCH(Character_Spellcasting!BT18,S06_Ranger!$BG$69:$BG$988,0),1),"")&amp;IFERROR(INDEX(S07_ArcaneTrickster!$BH$69:$BH$98,MATCH(Character_Spellcasting!BT18,S07_ArcaneTrickster!$BG$69:$BG$988,0),1),"")&amp;IFERROR(INDEX(S08_Sorcerer!$BH$69:$BH$98,MATCH(Character_Spellcasting!BT18,S08_Sorcerer!$BG$69:$BG$98,0),1),"")&amp;IFERROR(INDEX(S09_Warlock!$BH$69:$BH$98,MATCH(Character_Spellcasting!BT18,S09_Warlock!$BG$69:$BG$98,0),1),"")&amp;IFERROR(INDEX(S10_Wizard!$BH$69:$BH$98,MATCH(Character_Spellcasting!BT18,S10_Wizard!$BG$69:$BG$98,0),1),"")</f>
        <v/>
      </c>
      <c r="CA18" s="1096"/>
      <c r="CB18" s="567"/>
      <c r="CC18" s="120"/>
      <c r="CD18" s="591">
        <v>12</v>
      </c>
      <c r="CE18" s="1061" t="str">
        <f>IFERROR(INDEX(S01_Bard!$BN$6:$BN$35,MATCH(Character_Spellcasting!CD18,S01_Bard!$BP$69:$BP$98,0),1),"")&amp;IFERROR(INDEX(S02_Cleric!$BN$6:$BN$35,MATCH(Character_Spellcasting!CD18,S02_Cleric!$BP$69:$BP$98,0),1),"")&amp;IFERROR(INDEX(S03_Druid!$BN$6:$BN$35,MATCH(Character_Spellcasting!CD18,S03_Druid!$BP$69:$BP$98,0),1),"")&amp;IFERROR(INDEX(S04_EldritchKnight!$BN$6:$BN$35,MATCH(Character_Spellcasting!CD18,S04_EldritchKnight!$BP$69:$BP$98,0),1),"")&amp;IFERROR(INDEX(S05_Paladin!$BN$6:$BN$35,MATCH(Character_Spellcasting!CD18,S05_Paladin!$BP$69:$BP$98,0),1),"")&amp;IFERROR(INDEX(S06_Ranger!$BN$6:$BN$35,MATCH(Character_Spellcasting!CD18,S06_Ranger!$BP$69:$BP$988,0),1),"")&amp;IFERROR(INDEX(S07_ArcaneTrickster!$BN$6:$BN$35,MATCH(Character_Spellcasting!CD18,S07_ArcaneTrickster!$BP$69:$BP$988,0),1),"")&amp;IFERROR(INDEX(S08_Sorcerer!$BN$6:$BN$35,MATCH(Character_Spellcasting!CD18,S08_Sorcerer!$BP$69:$BP$98,0),1),"")&amp;IFERROR(INDEX(S09_Warlock!$BN$6:$BN$35,MATCH(Character_Spellcasting!CD18,S09_Warlock!$BP$69:$BP$98,0),1),"")&amp;IFERROR(INDEX(S10_Wizard!$BN$6:$BN$35,MATCH(Character_Spellcasting!CD18,S10_Wizard!$BP$69:$BP$98,0),1),"")</f>
        <v/>
      </c>
      <c r="CF18" s="1061"/>
      <c r="CG18" s="1061"/>
      <c r="CH18" s="1061"/>
      <c r="CI18" s="1061"/>
      <c r="CJ18" s="1096" t="str">
        <f>IFERROR(INDEX(S01_Bard!$BQ$69:$BQ$98,MATCH(Character_Spellcasting!CD18,S01_Bard!$D$69:$D$98,0),1),"")&amp;IFERROR(INDEX(S02_Cleric!$BQ$69:$BQ$98,MATCH(Character_Spellcasting!CD18,S02_Cleric!$BP$69:$BP$98,0),1),"")&amp;IFERROR(INDEX(S03_Druid!$BQ$69:$BQ$98,MATCH(Character_Spellcasting!CD18,S03_Druid!$BP$69:$BP$98,0),1),"")&amp;IFERROR(INDEX(S04_EldritchKnight!$BQ$69:$BQ$98,MATCH(Character_Spellcasting!CD18,S04_EldritchKnight!$BP$69:$BP$98,0),1),"")&amp;IFERROR(INDEX(S05_Paladin!$BQ$69:$BQ$98,MATCH(Character_Spellcasting!CD18,S05_Paladin!$BP$69:$BP$98,0),1),"")&amp;IFERROR(INDEX(S06_Ranger!$BQ$69:$BQ$98,MATCH(Character_Spellcasting!CD18,S06_Ranger!$BP$69:$BP$988,0),1),"")&amp;IFERROR(INDEX(S07_ArcaneTrickster!$BQ$69:$BQ$98,MATCH(Character_Spellcasting!CD18,S07_ArcaneTrickster!$BP$69:$BP$988,0),1),"")&amp;IFERROR(INDEX(S08_Sorcerer!$BQ$69:$BQ$98,MATCH(Character_Spellcasting!CD18,S08_Sorcerer!$BP$69:$BP$98,0),1),"")&amp;IFERROR(INDEX(S09_Warlock!$BQ$69:$BQ$98,MATCH(Character_Spellcasting!CD18,S09_Warlock!$BP$69:$BP$98,0),1),"")&amp;IFERROR(INDEX(S10_Wizard!$BQ$69:$BQ$98,MATCH(Character_Spellcasting!CD18,S10_Wizard!$BP$69:$BP$98,0),1),"")</f>
        <v/>
      </c>
      <c r="CK18" s="1096"/>
      <c r="CL18" s="567"/>
      <c r="CM18" s="120"/>
      <c r="CN18" s="591">
        <v>12</v>
      </c>
      <c r="CO18" s="1061" t="str">
        <f>IFERROR(INDEX(S01_Bard!$BW$6:$BW$35,MATCH(Character_Spellcasting!CN18,S01_Bard!$BY$69:$BY$98,0),1),"")&amp;IFERROR(INDEX(S02_Cleric!$BW$6:$BW$35,MATCH(Character_Spellcasting!CN18,S02_Cleric!$BY$69:$BY$98,0),1),"")&amp;IFERROR(INDEX(S03_Druid!$BW$6:$BW$35,MATCH(Character_Spellcasting!CN18,S03_Druid!$BY$69:$BY$98,0),1),"")&amp;IFERROR(INDEX(S04_EldritchKnight!$BW$6:$BW$35,MATCH(Character_Spellcasting!CN18,S04_EldritchKnight!$BY$69:$BY$98,0),1),"")&amp;IFERROR(INDEX(S05_Paladin!$BW$6:$BW$35,MATCH(Character_Spellcasting!CN18,S05_Paladin!$BY$69:$BY$98,0),1),"")&amp;IFERROR(INDEX(S06_Ranger!$BW$6:$BW$35,MATCH(Character_Spellcasting!CN18,S06_Ranger!$BY$69:$BY$988,0),1),"")&amp;IFERROR(INDEX(S07_ArcaneTrickster!$BW$6:$BW$35,MATCH(Character_Spellcasting!CN18,S07_ArcaneTrickster!$BY$69:$BY$988,0),1),"")&amp;IFERROR(INDEX(S08_Sorcerer!$BW$6:$BW$35,MATCH(Character_Spellcasting!CN18,S08_Sorcerer!$BY$69:$BY$98,0),1),"")&amp;IFERROR(INDEX(S09_Warlock!$BW$6:$BW$35,MATCH(Character_Spellcasting!CN18,S09_Warlock!$BY$69:$BY$98,0),1),"")&amp;IFERROR(INDEX(S10_Wizard!$BW$6:$BW$35,MATCH(Character_Spellcasting!CN18,S10_Wizard!$BY$69:$BY$98,0),1),"")</f>
        <v/>
      </c>
      <c r="CP18" s="1061"/>
      <c r="CQ18" s="1061"/>
      <c r="CR18" s="1061"/>
      <c r="CS18" s="1061"/>
      <c r="CT18" s="1096" t="str">
        <f>IFERROR(INDEX(S01_Bard!$BZ$69:$BZ$98,MATCH(Character_Spellcasting!CN18,S01_Bard!$D$69:$D$98,0),1),"")&amp;IFERROR(INDEX(S02_Cleric!$BZ$69:$BZ$98,MATCH(Character_Spellcasting!CN18,S02_Cleric!$BY$69:$BY$98,0),1),"")&amp;IFERROR(INDEX(S03_Druid!$BZ$69:$BZ$98,MATCH(Character_Spellcasting!CN18,S03_Druid!$BY$69:$BY$98,0),1),"")&amp;IFERROR(INDEX(S04_EldritchKnight!$BZ$69:$BZ$98,MATCH(Character_Spellcasting!CN18,S04_EldritchKnight!$BY$69:$BY$98,0),1),"")&amp;IFERROR(INDEX(S05_Paladin!$BZ$69:$BZ$98,MATCH(Character_Spellcasting!CN18,S05_Paladin!$BY$69:$BY$98,0),1),"")&amp;IFERROR(INDEX(S06_Ranger!$BZ$69:$BZ$98,MATCH(Character_Spellcasting!CN18,S06_Ranger!$BY$69:$BY$988,0),1),"")&amp;IFERROR(INDEX(S07_ArcaneTrickster!$BZ$69:$BZ$98,MATCH(Character_Spellcasting!CN18,S07_ArcaneTrickster!$BY$69:$BY$988,0),1),"")&amp;IFERROR(INDEX(S08_Sorcerer!$BZ$69:$BZ$98,MATCH(Character_Spellcasting!CN18,S08_Sorcerer!$BY$69:$BY$98,0),1),"")&amp;IFERROR(INDEX(S09_Warlock!$BZ$69:$BZ$98,MATCH(Character_Spellcasting!CN18,S09_Warlock!$BY$69:$BY$98,0),1),"")&amp;IFERROR(INDEX(S10_Wizard!$BZ$69:$BZ$98,MATCH(Character_Spellcasting!CN18,S10_Wizard!$BY$69:$BY$98,0),1),"")</f>
        <v/>
      </c>
      <c r="CU18" s="1096"/>
      <c r="CV18" s="567"/>
      <c r="CW18" s="565"/>
      <c r="CX18" s="565"/>
      <c r="CY18" s="565"/>
      <c r="CZ18" s="565"/>
      <c r="DA18" s="610">
        <v>12</v>
      </c>
      <c r="DB18" s="1061" t="str">
        <f t="shared" si="0"/>
        <v/>
      </c>
      <c r="DC18" s="1061"/>
      <c r="DD18" s="1061"/>
      <c r="DE18" s="1061"/>
      <c r="DF18" s="1061"/>
      <c r="DG18" s="1096" t="str">
        <f t="shared" si="1"/>
        <v/>
      </c>
      <c r="DH18" s="1096"/>
      <c r="DI18" s="565"/>
      <c r="DJ18" s="565"/>
      <c r="DK18" s="565"/>
      <c r="DL18" s="565"/>
      <c r="DM18" s="565"/>
      <c r="DN18" s="565"/>
      <c r="DO18" s="565"/>
      <c r="DP18" s="565"/>
      <c r="DQ18" s="565"/>
      <c r="DR18" s="565"/>
      <c r="DS18" s="565"/>
      <c r="DT18" s="565"/>
      <c r="DU18" s="565"/>
      <c r="DV18" s="565"/>
    </row>
    <row r="19" spans="1:126" ht="21" customHeight="1" x14ac:dyDescent="0.25">
      <c r="A19" s="120"/>
      <c r="B19" s="610">
        <v>13</v>
      </c>
      <c r="C19" s="1061"/>
      <c r="D19" s="1061"/>
      <c r="E19" s="1061"/>
      <c r="F19" s="1061"/>
      <c r="G19" s="1061"/>
      <c r="H19" s="1096"/>
      <c r="I19" s="1096"/>
      <c r="J19" s="120"/>
      <c r="K19" s="120"/>
      <c r="L19" s="591">
        <v>13</v>
      </c>
      <c r="M19" s="1061" t="str">
        <f>IFERROR(INDEX(S01_Bard!$C$6:$C$35,MATCH(Character_Spellcasting!L19,S01_Bard!$E$69:$E$98,0),1),"")&amp;IFERROR(INDEX(S02_Cleric!$C$6:$C$35,MATCH(Character_Spellcasting!L19,S02_Cleric!$E$69:$E$98,0),1),"")&amp;IFERROR(INDEX(S03_Druid!$C$6:$C$35,MATCH(Character_Spellcasting!L19,S03_Druid!$E$69:$E$98,0),1),"")&amp;IFERROR(INDEX(S04_EldritchKnight!$C$6:$C$35,MATCH(Character_Spellcasting!L19,S04_EldritchKnight!$E$69:$E$98,0),1),"")&amp;IFERROR(INDEX(S05_Paladin!$C$6:$C$35,MATCH(Character_Spellcasting!L19,S05_Paladin!$E$69:$E$98,0),1),"")&amp;IFERROR(INDEX(S06_Ranger!$C$6:$C$35,MATCH(Character_Spellcasting!L19,S06_Ranger!$E$69:$E$988,0),1),"")&amp;IFERROR(INDEX(S07_ArcaneTrickster!$C$6:$C$35,MATCH(Character_Spellcasting!L19,S07_ArcaneTrickster!$E$69:$E$988,0),1),"")&amp;IFERROR(INDEX(S08_Sorcerer!$C$6:$C$35,MATCH(Character_Spellcasting!L19,S08_Sorcerer!$E$69:$E$98,0),1),"")&amp;IFERROR(INDEX(S09_Warlock!$C$6:$C$35,MATCH(Character_Spellcasting!L19,S09_Warlock!$E$69:$E$98,0),1),"")&amp;IFERROR(INDEX(S10_Wizard!$C$6:$C$35,MATCH(Character_Spellcasting!L19,S10_Wizard!$E$69:$E$98,0),1),"")</f>
        <v/>
      </c>
      <c r="N19" s="1061"/>
      <c r="O19" s="1061"/>
      <c r="P19" s="1061"/>
      <c r="Q19" s="1061"/>
      <c r="R19" s="1096" t="str">
        <f>IFERROR(INDEX(S01_Bard!$F$69:$F$98,MATCH(Character_Spellcasting!L19,S01_Bard!$D$69:$D$98,0),1),"")&amp;IFERROR(INDEX(S02_Cleric!$F$69:$F$98,MATCH(Character_Spellcasting!L19,S02_Cleric!$E$69:$E$98,0),1),"")&amp;IFERROR(INDEX(S03_Druid!$F$69:$F$98,MATCH(Character_Spellcasting!L19,S03_Druid!$E$69:$E$98,0),1),"")&amp;IFERROR(INDEX(S04_EldritchKnight!$F$69:$F$98,MATCH(Character_Spellcasting!L19,S04_EldritchKnight!$E$69:$E$98,0),1),"")&amp;IFERROR(INDEX(S05_Paladin!$F$69:$F$98,MATCH(Character_Spellcasting!L19,S05_Paladin!$E$69:$E$98,0),1),"")&amp;IFERROR(INDEX(S06_Ranger!$F$69:$F$98,MATCH(Character_Spellcasting!L19,S06_Ranger!$E$69:$E$988,0),1),"")&amp;IFERROR(INDEX(S07_ArcaneTrickster!$F$69:$F$98,MATCH(Character_Spellcasting!L19,S07_ArcaneTrickster!$E$69:$E$988,0),1),"")&amp;IFERROR(INDEX(S08_Sorcerer!$F$69:$F$98,MATCH(Character_Spellcasting!L19,S08_Sorcerer!$E$69:$E$98,0),1),"")&amp;IFERROR(INDEX(S09_Warlock!$F$69:$F$98,MATCH(Character_Spellcasting!L19,S09_Warlock!$E$69:$E$98,0),1),"")&amp;IFERROR(INDEX(S10_Wizard!$F$69:$F$98,MATCH(Character_Spellcasting!L19,S10_Wizard!$E$69:$E$98,0),1),"")</f>
        <v/>
      </c>
      <c r="S19" s="1096"/>
      <c r="T19" s="567"/>
      <c r="U19" s="565"/>
      <c r="V19" s="591">
        <v>13</v>
      </c>
      <c r="W19" s="1061" t="str">
        <f>IFERROR(INDEX(S01_Bard!$L$6:$L$35,MATCH(Character_Spellcasting!V19,S01_Bard!$N$69:$N$98,0),1),"")&amp;IFERROR(INDEX(S02_Cleric!$L$6:$L$35,MATCH(Character_Spellcasting!V19,S02_Cleric!$N$69:$N$98,0),1),"")&amp;IFERROR(INDEX(S03_Druid!$L$6:$L$35,MATCH(Character_Spellcasting!V19,S03_Druid!$N$69:$N$98,0),1),"")&amp;IFERROR(INDEX(S04_EldritchKnight!$L$6:$L$35,MATCH(Character_Spellcasting!V19,S04_EldritchKnight!$N$69:$N$98,0),1),"")&amp;IFERROR(INDEX(S05_Paladin!$L$6:$L$35,MATCH(Character_Spellcasting!V19,S05_Paladin!$N$69:$N$98,0),1),"")&amp;IFERROR(INDEX(S06_Ranger!$L$6:$L$35,MATCH(Character_Spellcasting!V19,S06_Ranger!$N$69:$N$988,0),1),"")&amp;IFERROR(INDEX(S07_ArcaneTrickster!$L$6:$L$35,MATCH(Character_Spellcasting!V19,S07_ArcaneTrickster!$N$69:$N$988,0),1),"")&amp;IFERROR(INDEX(S08_Sorcerer!$L$6:$L$35,MATCH(Character_Spellcasting!V19,S08_Sorcerer!$N$69:$N$98,0),1),"")&amp;IFERROR(INDEX(S09_Warlock!$L$6:$L$35,MATCH(Character_Spellcasting!V19,S09_Warlock!$N$69:$N$98,0),1),"")&amp;IFERROR(INDEX(S10_Wizard!$L$6:$L$35,MATCH(Character_Spellcasting!V19,S10_Wizard!$N$69:$N$98,0),1),"")</f>
        <v/>
      </c>
      <c r="X19" s="1061"/>
      <c r="Y19" s="1061"/>
      <c r="Z19" s="1061"/>
      <c r="AA19" s="1061"/>
      <c r="AB19" s="1097" t="str">
        <f>IFERROR(INDEX(S01_Bard!$O$69:$O$98,MATCH(Character_Spellcasting!V19,S01_Bard!$N$69:$N$98,0),1),"")&amp;IFERROR(INDEX(S02_Cleric!$O$69:$O$98,MATCH(Character_Spellcasting!V19,S02_Cleric!$N$69:$N$98,0),1),"")&amp;IFERROR(INDEX(S03_Druid!$O$69:$O$98,MATCH(Character_Spellcasting!V19,S03_Druid!$N$69:$N$98,0),1),"")&amp;IFERROR(INDEX(S04_EldritchKnight!$O$69:$O$98,MATCH(Character_Spellcasting!V19,S04_EldritchKnight!$N$69:$N$98,0),1),"")&amp;IFERROR(INDEX(S05_Paladin!$O$69:$O$98,MATCH(Character_Spellcasting!V19,S05_Paladin!$N$69:$N$98,0),1),"")&amp;IFERROR(INDEX(S06_Ranger!$O$69:$O$98,MATCH(Character_Spellcasting!V19,S06_Ranger!$N$69:$N$988,0),1),"")&amp;IFERROR(INDEX(S07_ArcaneTrickster!$O$69:$O$98,MATCH(Character_Spellcasting!V19,S07_ArcaneTrickster!$N$69:$N$988,0),1),"")&amp;IFERROR(INDEX(S08_Sorcerer!$O$69:$O$98,MATCH(Character_Spellcasting!V19,S08_Sorcerer!$N$69:$N$98,0),1),"")&amp;IFERROR(INDEX(S09_Warlock!$O$69:$O$98,MATCH(Character_Spellcasting!V19,S09_Warlock!$N$69:$N$98,0),1),"")&amp;IFERROR(INDEX(S10_Wizard!$O$69:$O$98,MATCH(Character_Spellcasting!V19,S10_Wizard!$N$69:$N$98,0),1),"")</f>
        <v/>
      </c>
      <c r="AC19" s="1098"/>
      <c r="AD19" s="567"/>
      <c r="AE19" s="565"/>
      <c r="AF19" s="609">
        <v>13</v>
      </c>
      <c r="AG19" s="1061" t="str">
        <f>IFERROR(INDEX(S01_Bard!$U$6:$U$35,MATCH(Character_Spellcasting!AF19,S01_Bard!$W$69:$W$98,0),1),"")&amp;IFERROR(INDEX(S02_Cleric!$U$6:$U$35,MATCH(Character_Spellcasting!AF19,S02_Cleric!$W$69:$W$98,0),1),"")&amp;IFERROR(INDEX(S03_Druid!$U$6:$U$35,MATCH(Character_Spellcasting!AF19,S03_Druid!$W$69:$W$98,0),1),"")&amp;IFERROR(INDEX(S04_EldritchKnight!$U$6:$U$35,MATCH(Character_Spellcasting!AF19,S04_EldritchKnight!$W$69:$W$98,0),1),"")&amp;IFERROR(INDEX(S05_Paladin!$U$6:$U$35,MATCH(Character_Spellcasting!AF19,S05_Paladin!$W$69:$W$98,0),1),"")&amp;IFERROR(INDEX(S06_Ranger!$U$6:$U$35,MATCH(Character_Spellcasting!AF19,S06_Ranger!$W$69:$W$988,0),1),"")&amp;IFERROR(INDEX(S07_ArcaneTrickster!$U$6:$U$35,MATCH(Character_Spellcasting!AF19,S07_ArcaneTrickster!$W$69:$W$988,0),1),"")&amp;IFERROR(INDEX(S08_Sorcerer!$U$6:$U$35,MATCH(Character_Spellcasting!AF19,S08_Sorcerer!$W$69:$W$98,0),1),"")&amp;IFERROR(INDEX(S09_Warlock!$U$6:$U$35,MATCH(Character_Spellcasting!AF19,S09_Warlock!$W$69:$W$98,0),1),"")&amp;IFERROR(INDEX(S10_Wizard!$U$6:$U$35,MATCH(Character_Spellcasting!AF19,S10_Wizard!$W$69:$W$98,0),1),"")</f>
        <v/>
      </c>
      <c r="AH19" s="1061"/>
      <c r="AI19" s="1061"/>
      <c r="AJ19" s="1061"/>
      <c r="AK19" s="1061"/>
      <c r="AL19" s="1097" t="str">
        <f>IFERROR(INDEX(S01_Bard!$X$69:$X$98,MATCH(Character_Spellcasting!AF19,S01_Bard!$W$69:$W$98,0),1),"")&amp;IFERROR(INDEX(S02_Cleric!$X$69:$X$98,MATCH(Character_Spellcasting!AF19,S02_Cleric!$W$69:$W$98,0),1),"")&amp;IFERROR(INDEX(S03_Druid!$X$69:$X$98,MATCH(Character_Spellcasting!AF19,S03_Druid!$W$69:$W$98,0),1),"")&amp;IFERROR(INDEX(S04_EldritchKnight!$X$69:$X$98,MATCH(Character_Spellcasting!AF19,S04_EldritchKnight!$W$69:$W$98,0),1),"")&amp;IFERROR(INDEX(S05_Paladin!$X$69:$X$98,MATCH(Character_Spellcasting!AF19,S05_Paladin!$W$69:$W$98,0),1),"")&amp;IFERROR(INDEX(S06_Ranger!$X$69:$X$98,MATCH(Character_Spellcasting!AF19,S06_Ranger!$W$69:$W$988,0),1),"")&amp;IFERROR(INDEX(S07_ArcaneTrickster!$X$69:$X$98,MATCH(Character_Spellcasting!AF19,S07_ArcaneTrickster!$W$69:$W$988,0),1),"")&amp;IFERROR(INDEX(S08_Sorcerer!$X$69:$X$98,MATCH(Character_Spellcasting!AF19,S08_Sorcerer!$W$69:$W$98,0),1),"")&amp;IFERROR(INDEX(S09_Warlock!$X$69:$X$98,MATCH(Character_Spellcasting!AF19,S09_Warlock!$W$69:$W$98,0),1),"")&amp;IFERROR(INDEX(S10_Wizard!$X$69:$X$98,MATCH(Character_Spellcasting!AF19,S10_Wizard!$W$69:$W$98,0),1),"")</f>
        <v/>
      </c>
      <c r="AM19" s="1098"/>
      <c r="AN19" s="567"/>
      <c r="AO19" s="565"/>
      <c r="AP19" s="591">
        <v>13</v>
      </c>
      <c r="AQ19" s="1061" t="str">
        <f>IFERROR(INDEX(S01_Bard!$AD$6:$AD$35,MATCH(Character_Spellcasting!AP19,S01_Bard!$AF$69:$AF$98,0),1),"")&amp;IFERROR(INDEX(S02_Cleric!$AD$6:$AD$35,MATCH(Character_Spellcasting!AP19,S02_Cleric!$AF$69:$AF$98,0),1),"")&amp;IFERROR(INDEX(S03_Druid!$AD$6:$AD$35,MATCH(Character_Spellcasting!AP19,S03_Druid!$AF$69:$AF$98,0),1),"")&amp;IFERROR(INDEX(S04_EldritchKnight!$AD$6:$AD$35,MATCH(Character_Spellcasting!AP19,S04_EldritchKnight!$AF$69:$AF$98,0),1),"")&amp;IFERROR(INDEX(S05_Paladin!$AD$6:$AD$35,MATCH(Character_Spellcasting!AP19,S05_Paladin!$AF$69:$AF$98,0),1),"")&amp;IFERROR(INDEX(S06_Ranger!$AD$6:$AD$35,MATCH(Character_Spellcasting!AP19,S06_Ranger!$AF$69:$AF$988,0),1),"")&amp;IFERROR(INDEX(S07_ArcaneTrickster!$AD$6:$AD$35,MATCH(Character_Spellcasting!AP19,S07_ArcaneTrickster!$AF$69:$AF$988,0),1),"")&amp;IFERROR(INDEX(S08_Sorcerer!$AD$6:$AD$35,MATCH(Character_Spellcasting!AP19,S08_Sorcerer!$AF$69:$AF$98,0),1),"")&amp;IFERROR(INDEX(S09_Warlock!$AD$6:$AD$35,MATCH(Character_Spellcasting!AP19,S09_Warlock!$AF$69:$AF$98,0),1),"")&amp;IFERROR(INDEX(S10_Wizard!$AD$6:$AD$35,MATCH(Character_Spellcasting!AP19,S10_Wizard!$AF$69:$AF$98,0),1),"")</f>
        <v/>
      </c>
      <c r="AR19" s="1061"/>
      <c r="AS19" s="1061"/>
      <c r="AT19" s="1061"/>
      <c r="AU19" s="1061"/>
      <c r="AV19" s="1096" t="str">
        <f>IFERROR(INDEX(S01_Bard!$AG$69:$AG$98,MATCH(Character_Spellcasting!AP19,S01_Bard!$D$69:$D$98,0),1),"")&amp;IFERROR(INDEX(S02_Cleric!$AG$69:$AG$98,MATCH(Character_Spellcasting!AP19,S02_Cleric!$AF$69:$AF$98,0),1),"")&amp;IFERROR(INDEX(S03_Druid!$AG$69:$AG$98,MATCH(Character_Spellcasting!AP19,S03_Druid!$AF$69:$AF$98,0),1),"")&amp;IFERROR(INDEX(S04_EldritchKnight!$AG$69:$AG$98,MATCH(Character_Spellcasting!AP19,S04_EldritchKnight!$AF$69:$AF$98,0),1),"")&amp;IFERROR(INDEX(S05_Paladin!$AG$69:$AG$98,MATCH(Character_Spellcasting!AP19,S05_Paladin!$AF$69:$AF$98,0),1),"")&amp;IFERROR(INDEX(S06_Ranger!$AG$69:$AG$98,MATCH(Character_Spellcasting!AP19,S06_Ranger!$AF$69:$AF$988,0),1),"")&amp;IFERROR(INDEX(S07_ArcaneTrickster!$AG$69:$AG$98,MATCH(Character_Spellcasting!AP19,S07_ArcaneTrickster!$AF$69:$AF$988,0),1),"")&amp;IFERROR(INDEX(S08_Sorcerer!$AG$69:$AG$98,MATCH(Character_Spellcasting!AP19,S08_Sorcerer!$AF$69:$AF$98,0),1),"")&amp;IFERROR(INDEX(S09_Warlock!$AG$69:$AG$98,MATCH(Character_Spellcasting!AP19,S09_Warlock!$AF$69:$AF$98,0),1),"")&amp;IFERROR(INDEX(S10_Wizard!$AG$69:$AG$98,MATCH(Character_Spellcasting!AP19,S10_Wizard!$AF$69:$AF$98,0),1),"")</f>
        <v/>
      </c>
      <c r="AW19" s="1096"/>
      <c r="AX19" s="567"/>
      <c r="AY19" s="565"/>
      <c r="AZ19" s="591">
        <v>13</v>
      </c>
      <c r="BA19" s="1061" t="str">
        <f>IFERROR(INDEX(S01_Bard!$AM$6:$AM$35,MATCH(Character_Spellcasting!AZ19,S01_Bard!$AO$69:$AO$98,0),1),"")&amp;IFERROR(INDEX(S02_Cleric!$AM$6:$AM$35,MATCH(Character_Spellcasting!AZ19,S02_Cleric!$AO$69:$AO$98,0),1),"")&amp;IFERROR(INDEX(S03_Druid!$AM$6:$AM$35,MATCH(Character_Spellcasting!AZ19,S03_Druid!$AO$69:$AO$98,0),1),"")&amp;IFERROR(INDEX(S04_EldritchKnight!$AM$6:$AM$35,MATCH(Character_Spellcasting!AZ19,S04_EldritchKnight!$AO$69:$AO$98,0),1),"")&amp;IFERROR(INDEX(S05_Paladin!$AM$6:$AM$35,MATCH(Character_Spellcasting!AZ19,S05_Paladin!$AO$69:$AO$98,0),1),"")&amp;IFERROR(INDEX(S06_Ranger!$AM$6:$AM$35,MATCH(Character_Spellcasting!AZ19,S06_Ranger!$AO$69:$AO$988,0),1),"")&amp;IFERROR(INDEX(S07_ArcaneTrickster!$AM$6:$AM$35,MATCH(Character_Spellcasting!AZ19,S07_ArcaneTrickster!$AO$69:$AO$988,0),1),"")&amp;IFERROR(INDEX(S08_Sorcerer!$AM$6:$AM$35,MATCH(Character_Spellcasting!AZ19,S08_Sorcerer!$AO$69:$AO$98,0),1),"")&amp;IFERROR(INDEX(S09_Warlock!$AM$6:$AM$35,MATCH(Character_Spellcasting!AZ19,S09_Warlock!$AO$69:$AO$98,0),1),"")&amp;IFERROR(INDEX(S10_Wizard!$AM$6:$AM$35,MATCH(Character_Spellcasting!AZ19,S10_Wizard!$AO$69:$AO$98,0),1),"")</f>
        <v/>
      </c>
      <c r="BB19" s="1061"/>
      <c r="BC19" s="1061"/>
      <c r="BD19" s="1061"/>
      <c r="BE19" s="1061"/>
      <c r="BF19" s="1096" t="str">
        <f>IFERROR(INDEX(S01_Bard!$AP$69:$AP$98,MATCH(Character_Spellcasting!AZ19,S01_Bard!$D$69:$D$98,0),1),"")&amp;IFERROR(INDEX(S02_Cleric!$AP$69:$AP$98,MATCH(Character_Spellcasting!AZ19,S02_Cleric!$AO$69:$AO$98,0),1),"")&amp;IFERROR(INDEX(S03_Druid!$AP$69:$AP$98,MATCH(Character_Spellcasting!AZ19,S03_Druid!$AO$69:$AO$98,0),1),"")&amp;IFERROR(INDEX(S04_EldritchKnight!$AP$69:$AP$98,MATCH(Character_Spellcasting!AZ19,S04_EldritchKnight!$AO$69:$AO$98,0),1),"")&amp;IFERROR(INDEX(S05_Paladin!$AP$69:$AP$98,MATCH(Character_Spellcasting!AZ19,S05_Paladin!$AO$69:$AO$98,0),1),"")&amp;IFERROR(INDEX(S06_Ranger!$AP$69:$AP$98,MATCH(Character_Spellcasting!AZ19,S06_Ranger!$AO$69:$AO$988,0),1),"")&amp;IFERROR(INDEX(S07_ArcaneTrickster!$AP$69:$AP$98,MATCH(Character_Spellcasting!AZ19,S07_ArcaneTrickster!$AO$69:$AO$988,0),1),"")&amp;IFERROR(INDEX(S08_Sorcerer!$AP$69:$AP$98,MATCH(Character_Spellcasting!AZ19,S08_Sorcerer!$AO$69:$AO$98,0),1),"")&amp;IFERROR(INDEX(S09_Warlock!$AP$69:$AP$98,MATCH(Character_Spellcasting!AZ19,S09_Warlock!$AO$69:$AO$98,0),1),"")&amp;IFERROR(INDEX(S10_Wizard!$AP$69:$AP$98,MATCH(Character_Spellcasting!AZ19,S10_Wizard!$AO$69:$AO$98,0),1),"")</f>
        <v/>
      </c>
      <c r="BG19" s="1096"/>
      <c r="BH19" s="567"/>
      <c r="BI19" s="120"/>
      <c r="BJ19" s="591">
        <v>13</v>
      </c>
      <c r="BK19" s="1061" t="str">
        <f>IFERROR(INDEX(S01_Bard!$AV$6:$AV$35,MATCH(Character_Spellcasting!BJ19,S01_Bard!$AX$69:$AX$98,0),1),"")&amp;IFERROR(INDEX(S02_Cleric!$AV$6:$AV$35,MATCH(Character_Spellcasting!BJ19,S02_Cleric!$AX$69:$AX$98,0),1),"")&amp;IFERROR(INDEX(S03_Druid!$AV$6:$AV$35,MATCH(Character_Spellcasting!BJ19,S03_Druid!$AX$69:$AX$98,0),1),"")&amp;IFERROR(INDEX(S04_EldritchKnight!$AV$6:$AV$35,MATCH(Character_Spellcasting!BJ19,S04_EldritchKnight!$AX$69:$AX$98,0),1),"")&amp;IFERROR(INDEX(S05_Paladin!$AV$6:$AV$35,MATCH(Character_Spellcasting!BJ19,S05_Paladin!$AX$69:$AX$98,0),1),"")&amp;IFERROR(INDEX(S06_Ranger!$AV$6:$AV$35,MATCH(Character_Spellcasting!BJ19,S06_Ranger!$AX$69:$AX$988,0),1),"")&amp;IFERROR(INDEX(S07_ArcaneTrickster!$AV$6:$AV$35,MATCH(Character_Spellcasting!BJ19,S07_ArcaneTrickster!$AX$69:$AX$988,0),1),"")&amp;IFERROR(INDEX(S08_Sorcerer!$AV$6:$AV$35,MATCH(Character_Spellcasting!BJ19,S08_Sorcerer!$AX$69:$AX$98,0),1),"")&amp;IFERROR(INDEX(S09_Warlock!$AV$6:$AV$35,MATCH(Character_Spellcasting!BJ19,S09_Warlock!$AX$69:$AX$98,0),1),"")&amp;IFERROR(INDEX(S10_Wizard!$AV$6:$AV$35,MATCH(Character_Spellcasting!BJ19,S10_Wizard!$AX$69:$AX$98,0),1),"")</f>
        <v/>
      </c>
      <c r="BL19" s="1061"/>
      <c r="BM19" s="1061"/>
      <c r="BN19" s="1061"/>
      <c r="BO19" s="1061"/>
      <c r="BP19" s="1096" t="str">
        <f>IFERROR(INDEX(S01_Bard!$AY$69:$AY$98,MATCH(Character_Spellcasting!BJ19,S01_Bard!$D$69:$D$98,0),1),"")&amp;IFERROR(INDEX(S02_Cleric!$AY$69:$AY$98,MATCH(Character_Spellcasting!BJ19,S02_Cleric!$AX$69:$AX$98,0),1),"")&amp;IFERROR(INDEX(S03_Druid!$AY$69:$AY$98,MATCH(Character_Spellcasting!BJ19,S03_Druid!$AX$69:$AX$98,0),1),"")&amp;IFERROR(INDEX(S04_EldritchKnight!$AY$69:$AY$98,MATCH(Character_Spellcasting!BJ19,S04_EldritchKnight!$AX$69:$AX$98,0),1),"")&amp;IFERROR(INDEX(S05_Paladin!$AY$69:$AY$98,MATCH(Character_Spellcasting!BJ19,S05_Paladin!$AX$69:$AX$98,0),1),"")&amp;IFERROR(INDEX(S06_Ranger!$AY$69:$AY$98,MATCH(Character_Spellcasting!BJ19,S06_Ranger!$AX$69:$AX$988,0),1),"")&amp;IFERROR(INDEX(S07_ArcaneTrickster!$AY$69:$AY$98,MATCH(Character_Spellcasting!BJ19,S07_ArcaneTrickster!$AX$69:$AX$988,0),1),"")&amp;IFERROR(INDEX(S08_Sorcerer!$AY$69:$AY$98,MATCH(Character_Spellcasting!BJ19,S08_Sorcerer!$AX$69:$AX$98,0),1),"")&amp;IFERROR(INDEX(S09_Warlock!$AY$69:$AY$98,MATCH(Character_Spellcasting!BJ19,S09_Warlock!$AX$69:$AX$98,0),1),"")&amp;IFERROR(INDEX(S10_Wizard!$AY$69:$AY$98,MATCH(Character_Spellcasting!BJ19,S10_Wizard!$AX$69:$AX$98,0),1),"")</f>
        <v/>
      </c>
      <c r="BQ19" s="1096"/>
      <c r="BR19" s="567"/>
      <c r="BS19" s="120"/>
      <c r="BT19" s="591">
        <v>13</v>
      </c>
      <c r="BU19" s="1061" t="str">
        <f>IFERROR(INDEX(S01_Bard!$BE$6:$BE$35,MATCH(Character_Spellcasting!BT19,S01_Bard!$BG$69:$BG$98,0),1),"")&amp;IFERROR(INDEX(S02_Cleric!$BE$6:$BE$35,MATCH(Character_Spellcasting!BT19,S02_Cleric!$BG$69:$BG$98,0),1),"")&amp;IFERROR(INDEX(S03_Druid!$BE$6:$BE$35,MATCH(Character_Spellcasting!BT19,S03_Druid!$BG$69:$BG$98,0),1),"")&amp;IFERROR(INDEX(S04_EldritchKnight!$BE$6:$BE$35,MATCH(Character_Spellcasting!BT19,S04_EldritchKnight!$BG$69:$BG$98,0),1),"")&amp;IFERROR(INDEX(S05_Paladin!$BE$6:$BE$35,MATCH(Character_Spellcasting!BT19,S05_Paladin!$BG$69:$BG$98,0),1),"")&amp;IFERROR(INDEX(S06_Ranger!$BE$6:$BE$35,MATCH(Character_Spellcasting!BT19,S06_Ranger!$BG$69:$BG$988,0),1),"")&amp;IFERROR(INDEX(S07_ArcaneTrickster!$BE$6:$BE$35,MATCH(Character_Spellcasting!BT19,S07_ArcaneTrickster!$BG$69:$BG$988,0),1),"")&amp;IFERROR(INDEX(S08_Sorcerer!$BE$6:$BE$35,MATCH(Character_Spellcasting!BT19,S08_Sorcerer!$BG$69:$BG$98,0),1),"")&amp;IFERROR(INDEX(S09_Warlock!$BE$6:$BE$35,MATCH(Character_Spellcasting!BT19,S09_Warlock!$BG$69:$BG$98,0),1),"")&amp;IFERROR(INDEX(S10_Wizard!$BE$6:$BE$35,MATCH(Character_Spellcasting!BT19,S10_Wizard!$BG$69:$BG$98,0),1),"")</f>
        <v/>
      </c>
      <c r="BV19" s="1061"/>
      <c r="BW19" s="1061"/>
      <c r="BX19" s="1061"/>
      <c r="BY19" s="1061"/>
      <c r="BZ19" s="1096" t="str">
        <f>IFERROR(INDEX(S01_Bard!$BH$69:$BH$98,MATCH(Character_Spellcasting!BT19,S01_Bard!$D$69:$D$98,0),1),"")&amp;IFERROR(INDEX(S02_Cleric!$BH$69:$BH$98,MATCH(Character_Spellcasting!BT19,S02_Cleric!$BG$69:$BG$98,0),1),"")&amp;IFERROR(INDEX(S03_Druid!$BH$69:$BH$98,MATCH(Character_Spellcasting!BT19,S03_Druid!$BG$69:$BG$98,0),1),"")&amp;IFERROR(INDEX(S04_EldritchKnight!$BH$69:$BH$98,MATCH(Character_Spellcasting!BT19,S04_EldritchKnight!$BG$69:$BG$98,0),1),"")&amp;IFERROR(INDEX(S05_Paladin!$BH$69:$BH$98,MATCH(Character_Spellcasting!BT19,S05_Paladin!$BG$69:$BG$98,0),1),"")&amp;IFERROR(INDEX(S06_Ranger!$BH$69:$BH$98,MATCH(Character_Spellcasting!BT19,S06_Ranger!$BG$69:$BG$988,0),1),"")&amp;IFERROR(INDEX(S07_ArcaneTrickster!$BH$69:$BH$98,MATCH(Character_Spellcasting!BT19,S07_ArcaneTrickster!$BG$69:$BG$988,0),1),"")&amp;IFERROR(INDEX(S08_Sorcerer!$BH$69:$BH$98,MATCH(Character_Spellcasting!BT19,S08_Sorcerer!$BG$69:$BG$98,0),1),"")&amp;IFERROR(INDEX(S09_Warlock!$BH$69:$BH$98,MATCH(Character_Spellcasting!BT19,S09_Warlock!$BG$69:$BG$98,0),1),"")&amp;IFERROR(INDEX(S10_Wizard!$BH$69:$BH$98,MATCH(Character_Spellcasting!BT19,S10_Wizard!$BG$69:$BG$98,0),1),"")</f>
        <v/>
      </c>
      <c r="CA19" s="1096"/>
      <c r="CB19" s="567"/>
      <c r="CC19" s="120"/>
      <c r="CD19" s="591">
        <v>13</v>
      </c>
      <c r="CE19" s="1061" t="str">
        <f>IFERROR(INDEX(S01_Bard!$BN$6:$BN$35,MATCH(Character_Spellcasting!CD19,S01_Bard!$BP$69:$BP$98,0),1),"")&amp;IFERROR(INDEX(S02_Cleric!$BN$6:$BN$35,MATCH(Character_Spellcasting!CD19,S02_Cleric!$BP$69:$BP$98,0),1),"")&amp;IFERROR(INDEX(S03_Druid!$BN$6:$BN$35,MATCH(Character_Spellcasting!CD19,S03_Druid!$BP$69:$BP$98,0),1),"")&amp;IFERROR(INDEX(S04_EldritchKnight!$BN$6:$BN$35,MATCH(Character_Spellcasting!CD19,S04_EldritchKnight!$BP$69:$BP$98,0),1),"")&amp;IFERROR(INDEX(S05_Paladin!$BN$6:$BN$35,MATCH(Character_Spellcasting!CD19,S05_Paladin!$BP$69:$BP$98,0),1),"")&amp;IFERROR(INDEX(S06_Ranger!$BN$6:$BN$35,MATCH(Character_Spellcasting!CD19,S06_Ranger!$BP$69:$BP$988,0),1),"")&amp;IFERROR(INDEX(S07_ArcaneTrickster!$BN$6:$BN$35,MATCH(Character_Spellcasting!CD19,S07_ArcaneTrickster!$BP$69:$BP$988,0),1),"")&amp;IFERROR(INDEX(S08_Sorcerer!$BN$6:$BN$35,MATCH(Character_Spellcasting!CD19,S08_Sorcerer!$BP$69:$BP$98,0),1),"")&amp;IFERROR(INDEX(S09_Warlock!$BN$6:$BN$35,MATCH(Character_Spellcasting!CD19,S09_Warlock!$BP$69:$BP$98,0),1),"")&amp;IFERROR(INDEX(S10_Wizard!$BN$6:$BN$35,MATCH(Character_Spellcasting!CD19,S10_Wizard!$BP$69:$BP$98,0),1),"")</f>
        <v/>
      </c>
      <c r="CF19" s="1061"/>
      <c r="CG19" s="1061"/>
      <c r="CH19" s="1061"/>
      <c r="CI19" s="1061"/>
      <c r="CJ19" s="1096" t="str">
        <f>IFERROR(INDEX(S01_Bard!$BQ$69:$BQ$98,MATCH(Character_Spellcasting!CD19,S01_Bard!$D$69:$D$98,0),1),"")&amp;IFERROR(INDEX(S02_Cleric!$BQ$69:$BQ$98,MATCH(Character_Spellcasting!CD19,S02_Cleric!$BP$69:$BP$98,0),1),"")&amp;IFERROR(INDEX(S03_Druid!$BQ$69:$BQ$98,MATCH(Character_Spellcasting!CD19,S03_Druid!$BP$69:$BP$98,0),1),"")&amp;IFERROR(INDEX(S04_EldritchKnight!$BQ$69:$BQ$98,MATCH(Character_Spellcasting!CD19,S04_EldritchKnight!$BP$69:$BP$98,0),1),"")&amp;IFERROR(INDEX(S05_Paladin!$BQ$69:$BQ$98,MATCH(Character_Spellcasting!CD19,S05_Paladin!$BP$69:$BP$98,0),1),"")&amp;IFERROR(INDEX(S06_Ranger!$BQ$69:$BQ$98,MATCH(Character_Spellcasting!CD19,S06_Ranger!$BP$69:$BP$988,0),1),"")&amp;IFERROR(INDEX(S07_ArcaneTrickster!$BQ$69:$BQ$98,MATCH(Character_Spellcasting!CD19,S07_ArcaneTrickster!$BP$69:$BP$988,0),1),"")&amp;IFERROR(INDEX(S08_Sorcerer!$BQ$69:$BQ$98,MATCH(Character_Spellcasting!CD19,S08_Sorcerer!$BP$69:$BP$98,0),1),"")&amp;IFERROR(INDEX(S09_Warlock!$BQ$69:$BQ$98,MATCH(Character_Spellcasting!CD19,S09_Warlock!$BP$69:$BP$98,0),1),"")&amp;IFERROR(INDEX(S10_Wizard!$BQ$69:$BQ$98,MATCH(Character_Spellcasting!CD19,S10_Wizard!$BP$69:$BP$98,0),1),"")</f>
        <v/>
      </c>
      <c r="CK19" s="1096"/>
      <c r="CL19" s="567"/>
      <c r="CM19" s="120"/>
      <c r="CN19" s="591">
        <v>13</v>
      </c>
      <c r="CO19" s="1061" t="str">
        <f>IFERROR(INDEX(S01_Bard!$BW$6:$BW$35,MATCH(Character_Spellcasting!CN19,S01_Bard!$BY$69:$BY$98,0),1),"")&amp;IFERROR(INDEX(S02_Cleric!$BW$6:$BW$35,MATCH(Character_Spellcasting!CN19,S02_Cleric!$BY$69:$BY$98,0),1),"")&amp;IFERROR(INDEX(S03_Druid!$BW$6:$BW$35,MATCH(Character_Spellcasting!CN19,S03_Druid!$BY$69:$BY$98,0),1),"")&amp;IFERROR(INDEX(S04_EldritchKnight!$BW$6:$BW$35,MATCH(Character_Spellcasting!CN19,S04_EldritchKnight!$BY$69:$BY$98,0),1),"")&amp;IFERROR(INDEX(S05_Paladin!$BW$6:$BW$35,MATCH(Character_Spellcasting!CN19,S05_Paladin!$BY$69:$BY$98,0),1),"")&amp;IFERROR(INDEX(S06_Ranger!$BW$6:$BW$35,MATCH(Character_Spellcasting!CN19,S06_Ranger!$BY$69:$BY$988,0),1),"")&amp;IFERROR(INDEX(S07_ArcaneTrickster!$BW$6:$BW$35,MATCH(Character_Spellcasting!CN19,S07_ArcaneTrickster!$BY$69:$BY$988,0),1),"")&amp;IFERROR(INDEX(S08_Sorcerer!$BW$6:$BW$35,MATCH(Character_Spellcasting!CN19,S08_Sorcerer!$BY$69:$BY$98,0),1),"")&amp;IFERROR(INDEX(S09_Warlock!$BW$6:$BW$35,MATCH(Character_Spellcasting!CN19,S09_Warlock!$BY$69:$BY$98,0),1),"")&amp;IFERROR(INDEX(S10_Wizard!$BW$6:$BW$35,MATCH(Character_Spellcasting!CN19,S10_Wizard!$BY$69:$BY$98,0),1),"")</f>
        <v/>
      </c>
      <c r="CP19" s="1061"/>
      <c r="CQ19" s="1061"/>
      <c r="CR19" s="1061"/>
      <c r="CS19" s="1061"/>
      <c r="CT19" s="1096" t="str">
        <f>IFERROR(INDEX(S01_Bard!$BZ$69:$BZ$98,MATCH(Character_Spellcasting!CN19,S01_Bard!$D$69:$D$98,0),1),"")&amp;IFERROR(INDEX(S02_Cleric!$BZ$69:$BZ$98,MATCH(Character_Spellcasting!CN19,S02_Cleric!$BY$69:$BY$98,0),1),"")&amp;IFERROR(INDEX(S03_Druid!$BZ$69:$BZ$98,MATCH(Character_Spellcasting!CN19,S03_Druid!$BY$69:$BY$98,0),1),"")&amp;IFERROR(INDEX(S04_EldritchKnight!$BZ$69:$BZ$98,MATCH(Character_Spellcasting!CN19,S04_EldritchKnight!$BY$69:$BY$98,0),1),"")&amp;IFERROR(INDEX(S05_Paladin!$BZ$69:$BZ$98,MATCH(Character_Spellcasting!CN19,S05_Paladin!$BY$69:$BY$98,0),1),"")&amp;IFERROR(INDEX(S06_Ranger!$BZ$69:$BZ$98,MATCH(Character_Spellcasting!CN19,S06_Ranger!$BY$69:$BY$988,0),1),"")&amp;IFERROR(INDEX(S07_ArcaneTrickster!$BZ$69:$BZ$98,MATCH(Character_Spellcasting!CN19,S07_ArcaneTrickster!$BY$69:$BY$988,0),1),"")&amp;IFERROR(INDEX(S08_Sorcerer!$BZ$69:$BZ$98,MATCH(Character_Spellcasting!CN19,S08_Sorcerer!$BY$69:$BY$98,0),1),"")&amp;IFERROR(INDEX(S09_Warlock!$BZ$69:$BZ$98,MATCH(Character_Spellcasting!CN19,S09_Warlock!$BY$69:$BY$98,0),1),"")&amp;IFERROR(INDEX(S10_Wizard!$BZ$69:$BZ$98,MATCH(Character_Spellcasting!CN19,S10_Wizard!$BY$69:$BY$98,0),1),"")</f>
        <v/>
      </c>
      <c r="CU19" s="1096"/>
      <c r="CV19" s="567"/>
      <c r="CW19" s="565"/>
      <c r="CX19" s="565"/>
      <c r="CY19" s="565"/>
      <c r="CZ19" s="565"/>
      <c r="DA19" s="610">
        <v>13</v>
      </c>
      <c r="DB19" s="1061" t="str">
        <f t="shared" si="0"/>
        <v>3 level</v>
      </c>
      <c r="DC19" s="1061"/>
      <c r="DD19" s="1061"/>
      <c r="DE19" s="1061"/>
      <c r="DF19" s="1061"/>
      <c r="DG19" s="1096" t="str">
        <f t="shared" si="1"/>
        <v/>
      </c>
      <c r="DH19" s="1096"/>
      <c r="DI19" s="565"/>
      <c r="DJ19" s="565"/>
      <c r="DK19" s="565"/>
      <c r="DL19" s="565"/>
      <c r="DM19" s="565"/>
      <c r="DN19" s="565"/>
      <c r="DO19" s="565"/>
      <c r="DP19" s="565"/>
      <c r="DQ19" s="565"/>
      <c r="DR19" s="565"/>
      <c r="DS19" s="565"/>
      <c r="DT19" s="565"/>
      <c r="DU19" s="565"/>
      <c r="DV19" s="565"/>
    </row>
    <row r="20" spans="1:126" ht="21" customHeight="1" x14ac:dyDescent="0.25">
      <c r="A20" s="120"/>
      <c r="B20" s="610">
        <v>14</v>
      </c>
      <c r="C20" s="1061"/>
      <c r="D20" s="1061"/>
      <c r="E20" s="1061"/>
      <c r="F20" s="1061"/>
      <c r="G20" s="1061"/>
      <c r="H20" s="1096"/>
      <c r="I20" s="1096"/>
      <c r="J20" s="120"/>
      <c r="K20" s="120"/>
      <c r="L20" s="591">
        <v>14</v>
      </c>
      <c r="M20" s="1061" t="str">
        <f>IFERROR(INDEX(S01_Bard!$C$6:$C$35,MATCH(Character_Spellcasting!L20,S01_Bard!$E$69:$E$98,0),1),"")&amp;IFERROR(INDEX(S02_Cleric!$C$6:$C$35,MATCH(Character_Spellcasting!L20,S02_Cleric!$E$69:$E$98,0),1),"")&amp;IFERROR(INDEX(S03_Druid!$C$6:$C$35,MATCH(Character_Spellcasting!L20,S03_Druid!$E$69:$E$98,0),1),"")&amp;IFERROR(INDEX(S04_EldritchKnight!$C$6:$C$35,MATCH(Character_Spellcasting!L20,S04_EldritchKnight!$E$69:$E$98,0),1),"")&amp;IFERROR(INDEX(S05_Paladin!$C$6:$C$35,MATCH(Character_Spellcasting!L20,S05_Paladin!$E$69:$E$98,0),1),"")&amp;IFERROR(INDEX(S06_Ranger!$C$6:$C$35,MATCH(Character_Spellcasting!L20,S06_Ranger!$E$69:$E$988,0),1),"")&amp;IFERROR(INDEX(S07_ArcaneTrickster!$C$6:$C$35,MATCH(Character_Spellcasting!L20,S07_ArcaneTrickster!$E$69:$E$988,0),1),"")&amp;IFERROR(INDEX(S08_Sorcerer!$C$6:$C$35,MATCH(Character_Spellcasting!L20,S08_Sorcerer!$E$69:$E$98,0),1),"")&amp;IFERROR(INDEX(S09_Warlock!$C$6:$C$35,MATCH(Character_Spellcasting!L20,S09_Warlock!$E$69:$E$98,0),1),"")&amp;IFERROR(INDEX(S10_Wizard!$C$6:$C$35,MATCH(Character_Spellcasting!L20,S10_Wizard!$E$69:$E$98,0),1),"")</f>
        <v/>
      </c>
      <c r="N20" s="1061"/>
      <c r="O20" s="1061"/>
      <c r="P20" s="1061"/>
      <c r="Q20" s="1061"/>
      <c r="R20" s="1096" t="str">
        <f>IFERROR(INDEX(S01_Bard!$F$69:$F$98,MATCH(Character_Spellcasting!L20,S01_Bard!$D$69:$D$98,0),1),"")&amp;IFERROR(INDEX(S02_Cleric!$F$69:$F$98,MATCH(Character_Spellcasting!L20,S02_Cleric!$E$69:$E$98,0),1),"")&amp;IFERROR(INDEX(S03_Druid!$F$69:$F$98,MATCH(Character_Spellcasting!L20,S03_Druid!$E$69:$E$98,0),1),"")&amp;IFERROR(INDEX(S04_EldritchKnight!$F$69:$F$98,MATCH(Character_Spellcasting!L20,S04_EldritchKnight!$E$69:$E$98,0),1),"")&amp;IFERROR(INDEX(S05_Paladin!$F$69:$F$98,MATCH(Character_Spellcasting!L20,S05_Paladin!$E$69:$E$98,0),1),"")&amp;IFERROR(INDEX(S06_Ranger!$F$69:$F$98,MATCH(Character_Spellcasting!L20,S06_Ranger!$E$69:$E$988,0),1),"")&amp;IFERROR(INDEX(S07_ArcaneTrickster!$F$69:$F$98,MATCH(Character_Spellcasting!L20,S07_ArcaneTrickster!$E$69:$E$988,0),1),"")&amp;IFERROR(INDEX(S08_Sorcerer!$F$69:$F$98,MATCH(Character_Spellcasting!L20,S08_Sorcerer!$E$69:$E$98,0),1),"")&amp;IFERROR(INDEX(S09_Warlock!$F$69:$F$98,MATCH(Character_Spellcasting!L20,S09_Warlock!$E$69:$E$98,0),1),"")&amp;IFERROR(INDEX(S10_Wizard!$F$69:$F$98,MATCH(Character_Spellcasting!L20,S10_Wizard!$E$69:$E$98,0),1),"")</f>
        <v/>
      </c>
      <c r="S20" s="1096"/>
      <c r="T20" s="567"/>
      <c r="U20" s="565"/>
      <c r="V20" s="591">
        <v>14</v>
      </c>
      <c r="W20" s="1061" t="str">
        <f>IFERROR(INDEX(S01_Bard!$L$6:$L$35,MATCH(Character_Spellcasting!V20,S01_Bard!$N$69:$N$98,0),1),"")&amp;IFERROR(INDEX(S02_Cleric!$L$6:$L$35,MATCH(Character_Spellcasting!V20,S02_Cleric!$N$69:$N$98,0),1),"")&amp;IFERROR(INDEX(S03_Druid!$L$6:$L$35,MATCH(Character_Spellcasting!V20,S03_Druid!$N$69:$N$98,0),1),"")&amp;IFERROR(INDEX(S04_EldritchKnight!$L$6:$L$35,MATCH(Character_Spellcasting!V20,S04_EldritchKnight!$N$69:$N$98,0),1),"")&amp;IFERROR(INDEX(S05_Paladin!$L$6:$L$35,MATCH(Character_Spellcasting!V20,S05_Paladin!$N$69:$N$98,0),1),"")&amp;IFERROR(INDEX(S06_Ranger!$L$6:$L$35,MATCH(Character_Spellcasting!V20,S06_Ranger!$N$69:$N$988,0),1),"")&amp;IFERROR(INDEX(S07_ArcaneTrickster!$L$6:$L$35,MATCH(Character_Spellcasting!V20,S07_ArcaneTrickster!$N$69:$N$988,0),1),"")&amp;IFERROR(INDEX(S08_Sorcerer!$L$6:$L$35,MATCH(Character_Spellcasting!V20,S08_Sorcerer!$N$69:$N$98,0),1),"")&amp;IFERROR(INDEX(S09_Warlock!$L$6:$L$35,MATCH(Character_Spellcasting!V20,S09_Warlock!$N$69:$N$98,0),1),"")&amp;IFERROR(INDEX(S10_Wizard!$L$6:$L$35,MATCH(Character_Spellcasting!V20,S10_Wizard!$N$69:$N$98,0),1),"")</f>
        <v/>
      </c>
      <c r="X20" s="1061"/>
      <c r="Y20" s="1061"/>
      <c r="Z20" s="1061"/>
      <c r="AA20" s="1061"/>
      <c r="AB20" s="1097" t="str">
        <f>IFERROR(INDEX(S01_Bard!$O$69:$O$98,MATCH(Character_Spellcasting!V20,S01_Bard!$N$69:$N$98,0),1),"")&amp;IFERROR(INDEX(S02_Cleric!$O$69:$O$98,MATCH(Character_Spellcasting!V20,S02_Cleric!$N$69:$N$98,0),1),"")&amp;IFERROR(INDEX(S03_Druid!$O$69:$O$98,MATCH(Character_Spellcasting!V20,S03_Druid!$N$69:$N$98,0),1),"")&amp;IFERROR(INDEX(S04_EldritchKnight!$O$69:$O$98,MATCH(Character_Spellcasting!V20,S04_EldritchKnight!$N$69:$N$98,0),1),"")&amp;IFERROR(INDEX(S05_Paladin!$O$69:$O$98,MATCH(Character_Spellcasting!V20,S05_Paladin!$N$69:$N$98,0),1),"")&amp;IFERROR(INDEX(S06_Ranger!$O$69:$O$98,MATCH(Character_Spellcasting!V20,S06_Ranger!$N$69:$N$988,0),1),"")&amp;IFERROR(INDEX(S07_ArcaneTrickster!$O$69:$O$98,MATCH(Character_Spellcasting!V20,S07_ArcaneTrickster!$N$69:$N$988,0),1),"")&amp;IFERROR(INDEX(S08_Sorcerer!$O$69:$O$98,MATCH(Character_Spellcasting!V20,S08_Sorcerer!$N$69:$N$98,0),1),"")&amp;IFERROR(INDEX(S09_Warlock!$O$69:$O$98,MATCH(Character_Spellcasting!V20,S09_Warlock!$N$69:$N$98,0),1),"")&amp;IFERROR(INDEX(S10_Wizard!$O$69:$O$98,MATCH(Character_Spellcasting!V20,S10_Wizard!$N$69:$N$98,0),1),"")</f>
        <v/>
      </c>
      <c r="AC20" s="1098"/>
      <c r="AD20" s="567"/>
      <c r="AE20" s="565"/>
      <c r="AF20" s="609">
        <v>14</v>
      </c>
      <c r="AG20" s="1061" t="str">
        <f>IFERROR(INDEX(S01_Bard!$U$6:$U$35,MATCH(Character_Spellcasting!AF20,S01_Bard!$W$69:$W$98,0),1),"")&amp;IFERROR(INDEX(S02_Cleric!$U$6:$U$35,MATCH(Character_Spellcasting!AF20,S02_Cleric!$W$69:$W$98,0),1),"")&amp;IFERROR(INDEX(S03_Druid!$U$6:$U$35,MATCH(Character_Spellcasting!AF20,S03_Druid!$W$69:$W$98,0),1),"")&amp;IFERROR(INDEX(S04_EldritchKnight!$U$6:$U$35,MATCH(Character_Spellcasting!AF20,S04_EldritchKnight!$W$69:$W$98,0),1),"")&amp;IFERROR(INDEX(S05_Paladin!$U$6:$U$35,MATCH(Character_Spellcasting!AF20,S05_Paladin!$W$69:$W$98,0),1),"")&amp;IFERROR(INDEX(S06_Ranger!$U$6:$U$35,MATCH(Character_Spellcasting!AF20,S06_Ranger!$W$69:$W$988,0),1),"")&amp;IFERROR(INDEX(S07_ArcaneTrickster!$U$6:$U$35,MATCH(Character_Spellcasting!AF20,S07_ArcaneTrickster!$W$69:$W$988,0),1),"")&amp;IFERROR(INDEX(S08_Sorcerer!$U$6:$U$35,MATCH(Character_Spellcasting!AF20,S08_Sorcerer!$W$69:$W$98,0),1),"")&amp;IFERROR(INDEX(S09_Warlock!$U$6:$U$35,MATCH(Character_Spellcasting!AF20,S09_Warlock!$W$69:$W$98,0),1),"")&amp;IFERROR(INDEX(S10_Wizard!$U$6:$U$35,MATCH(Character_Spellcasting!AF20,S10_Wizard!$W$69:$W$98,0),1),"")</f>
        <v/>
      </c>
      <c r="AH20" s="1061"/>
      <c r="AI20" s="1061"/>
      <c r="AJ20" s="1061"/>
      <c r="AK20" s="1061"/>
      <c r="AL20" s="1097" t="str">
        <f>IFERROR(INDEX(S01_Bard!$X$69:$X$98,MATCH(Character_Spellcasting!AF20,S01_Bard!$W$69:$W$98,0),1),"")&amp;IFERROR(INDEX(S02_Cleric!$X$69:$X$98,MATCH(Character_Spellcasting!AF20,S02_Cleric!$W$69:$W$98,0),1),"")&amp;IFERROR(INDEX(S03_Druid!$X$69:$X$98,MATCH(Character_Spellcasting!AF20,S03_Druid!$W$69:$W$98,0),1),"")&amp;IFERROR(INDEX(S04_EldritchKnight!$X$69:$X$98,MATCH(Character_Spellcasting!AF20,S04_EldritchKnight!$W$69:$W$98,0),1),"")&amp;IFERROR(INDEX(S05_Paladin!$X$69:$X$98,MATCH(Character_Spellcasting!AF20,S05_Paladin!$W$69:$W$98,0),1),"")&amp;IFERROR(INDEX(S06_Ranger!$X$69:$X$98,MATCH(Character_Spellcasting!AF20,S06_Ranger!$W$69:$W$988,0),1),"")&amp;IFERROR(INDEX(S07_ArcaneTrickster!$X$69:$X$98,MATCH(Character_Spellcasting!AF20,S07_ArcaneTrickster!$W$69:$W$988,0),1),"")&amp;IFERROR(INDEX(S08_Sorcerer!$X$69:$X$98,MATCH(Character_Spellcasting!AF20,S08_Sorcerer!$W$69:$W$98,0),1),"")&amp;IFERROR(INDEX(S09_Warlock!$X$69:$X$98,MATCH(Character_Spellcasting!AF20,S09_Warlock!$W$69:$W$98,0),1),"")&amp;IFERROR(INDEX(S10_Wizard!$X$69:$X$98,MATCH(Character_Spellcasting!AF20,S10_Wizard!$W$69:$W$98,0),1),"")</f>
        <v/>
      </c>
      <c r="AM20" s="1098"/>
      <c r="AN20" s="567"/>
      <c r="AO20" s="565"/>
      <c r="AP20" s="591">
        <v>14</v>
      </c>
      <c r="AQ20" s="1061" t="str">
        <f>IFERROR(INDEX(S01_Bard!$AD$6:$AD$35,MATCH(Character_Spellcasting!AP20,S01_Bard!$AF$69:$AF$98,0),1),"")&amp;IFERROR(INDEX(S02_Cleric!$AD$6:$AD$35,MATCH(Character_Spellcasting!AP20,S02_Cleric!$AF$69:$AF$98,0),1),"")&amp;IFERROR(INDEX(S03_Druid!$AD$6:$AD$35,MATCH(Character_Spellcasting!AP20,S03_Druid!$AF$69:$AF$98,0),1),"")&amp;IFERROR(INDEX(S04_EldritchKnight!$AD$6:$AD$35,MATCH(Character_Spellcasting!AP20,S04_EldritchKnight!$AF$69:$AF$98,0),1),"")&amp;IFERROR(INDEX(S05_Paladin!$AD$6:$AD$35,MATCH(Character_Spellcasting!AP20,S05_Paladin!$AF$69:$AF$98,0),1),"")&amp;IFERROR(INDEX(S06_Ranger!$AD$6:$AD$35,MATCH(Character_Spellcasting!AP20,S06_Ranger!$AF$69:$AF$988,0),1),"")&amp;IFERROR(INDEX(S07_ArcaneTrickster!$AD$6:$AD$35,MATCH(Character_Spellcasting!AP20,S07_ArcaneTrickster!$AF$69:$AF$988,0),1),"")&amp;IFERROR(INDEX(S08_Sorcerer!$AD$6:$AD$35,MATCH(Character_Spellcasting!AP20,S08_Sorcerer!$AF$69:$AF$98,0),1),"")&amp;IFERROR(INDEX(S09_Warlock!$AD$6:$AD$35,MATCH(Character_Spellcasting!AP20,S09_Warlock!$AF$69:$AF$98,0),1),"")&amp;IFERROR(INDEX(S10_Wizard!$AD$6:$AD$35,MATCH(Character_Spellcasting!AP20,S10_Wizard!$AF$69:$AF$98,0),1),"")</f>
        <v/>
      </c>
      <c r="AR20" s="1061"/>
      <c r="AS20" s="1061"/>
      <c r="AT20" s="1061"/>
      <c r="AU20" s="1061"/>
      <c r="AV20" s="1096" t="str">
        <f>IFERROR(INDEX(S01_Bard!$AG$69:$AG$98,MATCH(Character_Spellcasting!AP20,S01_Bard!$D$69:$D$98,0),1),"")&amp;IFERROR(INDEX(S02_Cleric!$AG$69:$AG$98,MATCH(Character_Spellcasting!AP20,S02_Cleric!$AF$69:$AF$98,0),1),"")&amp;IFERROR(INDEX(S03_Druid!$AG$69:$AG$98,MATCH(Character_Spellcasting!AP20,S03_Druid!$AF$69:$AF$98,0),1),"")&amp;IFERROR(INDEX(S04_EldritchKnight!$AG$69:$AG$98,MATCH(Character_Spellcasting!AP20,S04_EldritchKnight!$AF$69:$AF$98,0),1),"")&amp;IFERROR(INDEX(S05_Paladin!$AG$69:$AG$98,MATCH(Character_Spellcasting!AP20,S05_Paladin!$AF$69:$AF$98,0),1),"")&amp;IFERROR(INDEX(S06_Ranger!$AG$69:$AG$98,MATCH(Character_Spellcasting!AP20,S06_Ranger!$AF$69:$AF$988,0),1),"")&amp;IFERROR(INDEX(S07_ArcaneTrickster!$AG$69:$AG$98,MATCH(Character_Spellcasting!AP20,S07_ArcaneTrickster!$AF$69:$AF$988,0),1),"")&amp;IFERROR(INDEX(S08_Sorcerer!$AG$69:$AG$98,MATCH(Character_Spellcasting!AP20,S08_Sorcerer!$AF$69:$AF$98,0),1),"")&amp;IFERROR(INDEX(S09_Warlock!$AG$69:$AG$98,MATCH(Character_Spellcasting!AP20,S09_Warlock!$AF$69:$AF$98,0),1),"")&amp;IFERROR(INDEX(S10_Wizard!$AG$69:$AG$98,MATCH(Character_Spellcasting!AP20,S10_Wizard!$AF$69:$AF$98,0),1),"")</f>
        <v/>
      </c>
      <c r="AW20" s="1096"/>
      <c r="AX20" s="567"/>
      <c r="AY20" s="565"/>
      <c r="AZ20" s="591">
        <v>14</v>
      </c>
      <c r="BA20" s="1061" t="str">
        <f>IFERROR(INDEX(S01_Bard!$AM$6:$AM$35,MATCH(Character_Spellcasting!AZ20,S01_Bard!$AO$69:$AO$98,0),1),"")&amp;IFERROR(INDEX(S02_Cleric!$AM$6:$AM$35,MATCH(Character_Spellcasting!AZ20,S02_Cleric!$AO$69:$AO$98,0),1),"")&amp;IFERROR(INDEX(S03_Druid!$AM$6:$AM$35,MATCH(Character_Spellcasting!AZ20,S03_Druid!$AO$69:$AO$98,0),1),"")&amp;IFERROR(INDEX(S04_EldritchKnight!$AM$6:$AM$35,MATCH(Character_Spellcasting!AZ20,S04_EldritchKnight!$AO$69:$AO$98,0),1),"")&amp;IFERROR(INDEX(S05_Paladin!$AM$6:$AM$35,MATCH(Character_Spellcasting!AZ20,S05_Paladin!$AO$69:$AO$98,0),1),"")&amp;IFERROR(INDEX(S06_Ranger!$AM$6:$AM$35,MATCH(Character_Spellcasting!AZ20,S06_Ranger!$AO$69:$AO$988,0),1),"")&amp;IFERROR(INDEX(S07_ArcaneTrickster!$AM$6:$AM$35,MATCH(Character_Spellcasting!AZ20,S07_ArcaneTrickster!$AO$69:$AO$988,0),1),"")&amp;IFERROR(INDEX(S08_Sorcerer!$AM$6:$AM$35,MATCH(Character_Spellcasting!AZ20,S08_Sorcerer!$AO$69:$AO$98,0),1),"")&amp;IFERROR(INDEX(S09_Warlock!$AM$6:$AM$35,MATCH(Character_Spellcasting!AZ20,S09_Warlock!$AO$69:$AO$98,0),1),"")&amp;IFERROR(INDEX(S10_Wizard!$AM$6:$AM$35,MATCH(Character_Spellcasting!AZ20,S10_Wizard!$AO$69:$AO$98,0),1),"")</f>
        <v/>
      </c>
      <c r="BB20" s="1061"/>
      <c r="BC20" s="1061"/>
      <c r="BD20" s="1061"/>
      <c r="BE20" s="1061"/>
      <c r="BF20" s="1096" t="str">
        <f>IFERROR(INDEX(S01_Bard!$AP$69:$AP$98,MATCH(Character_Spellcasting!AZ20,S01_Bard!$D$69:$D$98,0),1),"")&amp;IFERROR(INDEX(S02_Cleric!$AP$69:$AP$98,MATCH(Character_Spellcasting!AZ20,S02_Cleric!$AO$69:$AO$98,0),1),"")&amp;IFERROR(INDEX(S03_Druid!$AP$69:$AP$98,MATCH(Character_Spellcasting!AZ20,S03_Druid!$AO$69:$AO$98,0),1),"")&amp;IFERROR(INDEX(S04_EldritchKnight!$AP$69:$AP$98,MATCH(Character_Spellcasting!AZ20,S04_EldritchKnight!$AO$69:$AO$98,0),1),"")&amp;IFERROR(INDEX(S05_Paladin!$AP$69:$AP$98,MATCH(Character_Spellcasting!AZ20,S05_Paladin!$AO$69:$AO$98,0),1),"")&amp;IFERROR(INDEX(S06_Ranger!$AP$69:$AP$98,MATCH(Character_Spellcasting!AZ20,S06_Ranger!$AO$69:$AO$988,0),1),"")&amp;IFERROR(INDEX(S07_ArcaneTrickster!$AP$69:$AP$98,MATCH(Character_Spellcasting!AZ20,S07_ArcaneTrickster!$AO$69:$AO$988,0),1),"")&amp;IFERROR(INDEX(S08_Sorcerer!$AP$69:$AP$98,MATCH(Character_Spellcasting!AZ20,S08_Sorcerer!$AO$69:$AO$98,0),1),"")&amp;IFERROR(INDEX(S09_Warlock!$AP$69:$AP$98,MATCH(Character_Spellcasting!AZ20,S09_Warlock!$AO$69:$AO$98,0),1),"")&amp;IFERROR(INDEX(S10_Wizard!$AP$69:$AP$98,MATCH(Character_Spellcasting!AZ20,S10_Wizard!$AO$69:$AO$98,0),1),"")</f>
        <v/>
      </c>
      <c r="BG20" s="1096"/>
      <c r="BH20" s="567"/>
      <c r="BI20" s="120"/>
      <c r="BJ20" s="591">
        <v>14</v>
      </c>
      <c r="BK20" s="1061" t="str">
        <f>IFERROR(INDEX(S01_Bard!$AV$6:$AV$35,MATCH(Character_Spellcasting!BJ20,S01_Bard!$AX$69:$AX$98,0),1),"")&amp;IFERROR(INDEX(S02_Cleric!$AV$6:$AV$35,MATCH(Character_Spellcasting!BJ20,S02_Cleric!$AX$69:$AX$98,0),1),"")&amp;IFERROR(INDEX(S03_Druid!$AV$6:$AV$35,MATCH(Character_Spellcasting!BJ20,S03_Druid!$AX$69:$AX$98,0),1),"")&amp;IFERROR(INDEX(S04_EldritchKnight!$AV$6:$AV$35,MATCH(Character_Spellcasting!BJ20,S04_EldritchKnight!$AX$69:$AX$98,0),1),"")&amp;IFERROR(INDEX(S05_Paladin!$AV$6:$AV$35,MATCH(Character_Spellcasting!BJ20,S05_Paladin!$AX$69:$AX$98,0),1),"")&amp;IFERROR(INDEX(S06_Ranger!$AV$6:$AV$35,MATCH(Character_Spellcasting!BJ20,S06_Ranger!$AX$69:$AX$988,0),1),"")&amp;IFERROR(INDEX(S07_ArcaneTrickster!$AV$6:$AV$35,MATCH(Character_Spellcasting!BJ20,S07_ArcaneTrickster!$AX$69:$AX$988,0),1),"")&amp;IFERROR(INDEX(S08_Sorcerer!$AV$6:$AV$35,MATCH(Character_Spellcasting!BJ20,S08_Sorcerer!$AX$69:$AX$98,0),1),"")&amp;IFERROR(INDEX(S09_Warlock!$AV$6:$AV$35,MATCH(Character_Spellcasting!BJ20,S09_Warlock!$AX$69:$AX$98,0),1),"")&amp;IFERROR(INDEX(S10_Wizard!$AV$6:$AV$35,MATCH(Character_Spellcasting!BJ20,S10_Wizard!$AX$69:$AX$98,0),1),"")</f>
        <v/>
      </c>
      <c r="BL20" s="1061"/>
      <c r="BM20" s="1061"/>
      <c r="BN20" s="1061"/>
      <c r="BO20" s="1061"/>
      <c r="BP20" s="1096" t="str">
        <f>IFERROR(INDEX(S01_Bard!$AY$69:$AY$98,MATCH(Character_Spellcasting!BJ20,S01_Bard!$D$69:$D$98,0),1),"")&amp;IFERROR(INDEX(S02_Cleric!$AY$69:$AY$98,MATCH(Character_Spellcasting!BJ20,S02_Cleric!$AX$69:$AX$98,0),1),"")&amp;IFERROR(INDEX(S03_Druid!$AY$69:$AY$98,MATCH(Character_Spellcasting!BJ20,S03_Druid!$AX$69:$AX$98,0),1),"")&amp;IFERROR(INDEX(S04_EldritchKnight!$AY$69:$AY$98,MATCH(Character_Spellcasting!BJ20,S04_EldritchKnight!$AX$69:$AX$98,0),1),"")&amp;IFERROR(INDEX(S05_Paladin!$AY$69:$AY$98,MATCH(Character_Spellcasting!BJ20,S05_Paladin!$AX$69:$AX$98,0),1),"")&amp;IFERROR(INDEX(S06_Ranger!$AY$69:$AY$98,MATCH(Character_Spellcasting!BJ20,S06_Ranger!$AX$69:$AX$988,0),1),"")&amp;IFERROR(INDEX(S07_ArcaneTrickster!$AY$69:$AY$98,MATCH(Character_Spellcasting!BJ20,S07_ArcaneTrickster!$AX$69:$AX$988,0),1),"")&amp;IFERROR(INDEX(S08_Sorcerer!$AY$69:$AY$98,MATCH(Character_Spellcasting!BJ20,S08_Sorcerer!$AX$69:$AX$98,0),1),"")&amp;IFERROR(INDEX(S09_Warlock!$AY$69:$AY$98,MATCH(Character_Spellcasting!BJ20,S09_Warlock!$AX$69:$AX$98,0),1),"")&amp;IFERROR(INDEX(S10_Wizard!$AY$69:$AY$98,MATCH(Character_Spellcasting!BJ20,S10_Wizard!$AX$69:$AX$98,0),1),"")</f>
        <v/>
      </c>
      <c r="BQ20" s="1096"/>
      <c r="BR20" s="567"/>
      <c r="BS20" s="120"/>
      <c r="BT20" s="591">
        <v>14</v>
      </c>
      <c r="BU20" s="1061" t="str">
        <f>IFERROR(INDEX(S01_Bard!$BE$6:$BE$35,MATCH(Character_Spellcasting!BT20,S01_Bard!$BG$69:$BG$98,0),1),"")&amp;IFERROR(INDEX(S02_Cleric!$BE$6:$BE$35,MATCH(Character_Spellcasting!BT20,S02_Cleric!$BG$69:$BG$98,0),1),"")&amp;IFERROR(INDEX(S03_Druid!$BE$6:$BE$35,MATCH(Character_Spellcasting!BT20,S03_Druid!$BG$69:$BG$98,0),1),"")&amp;IFERROR(INDEX(S04_EldritchKnight!$BE$6:$BE$35,MATCH(Character_Spellcasting!BT20,S04_EldritchKnight!$BG$69:$BG$98,0),1),"")&amp;IFERROR(INDEX(S05_Paladin!$BE$6:$BE$35,MATCH(Character_Spellcasting!BT20,S05_Paladin!$BG$69:$BG$98,0),1),"")&amp;IFERROR(INDEX(S06_Ranger!$BE$6:$BE$35,MATCH(Character_Spellcasting!BT20,S06_Ranger!$BG$69:$BG$988,0),1),"")&amp;IFERROR(INDEX(S07_ArcaneTrickster!$BE$6:$BE$35,MATCH(Character_Spellcasting!BT20,S07_ArcaneTrickster!$BG$69:$BG$988,0),1),"")&amp;IFERROR(INDEX(S08_Sorcerer!$BE$6:$BE$35,MATCH(Character_Spellcasting!BT20,S08_Sorcerer!$BG$69:$BG$98,0),1),"")&amp;IFERROR(INDEX(S09_Warlock!$BE$6:$BE$35,MATCH(Character_Spellcasting!BT20,S09_Warlock!$BG$69:$BG$98,0),1),"")&amp;IFERROR(INDEX(S10_Wizard!$BE$6:$BE$35,MATCH(Character_Spellcasting!BT20,S10_Wizard!$BG$69:$BG$98,0),1),"")</f>
        <v/>
      </c>
      <c r="BV20" s="1061"/>
      <c r="BW20" s="1061"/>
      <c r="BX20" s="1061"/>
      <c r="BY20" s="1061"/>
      <c r="BZ20" s="1096" t="str">
        <f>IFERROR(INDEX(S01_Bard!$BH$69:$BH$98,MATCH(Character_Spellcasting!BT20,S01_Bard!$D$69:$D$98,0),1),"")&amp;IFERROR(INDEX(S02_Cleric!$BH$69:$BH$98,MATCH(Character_Spellcasting!BT20,S02_Cleric!$BG$69:$BG$98,0),1),"")&amp;IFERROR(INDEX(S03_Druid!$BH$69:$BH$98,MATCH(Character_Spellcasting!BT20,S03_Druid!$BG$69:$BG$98,0),1),"")&amp;IFERROR(INDEX(S04_EldritchKnight!$BH$69:$BH$98,MATCH(Character_Spellcasting!BT20,S04_EldritchKnight!$BG$69:$BG$98,0),1),"")&amp;IFERROR(INDEX(S05_Paladin!$BH$69:$BH$98,MATCH(Character_Spellcasting!BT20,S05_Paladin!$BG$69:$BG$98,0),1),"")&amp;IFERROR(INDEX(S06_Ranger!$BH$69:$BH$98,MATCH(Character_Spellcasting!BT20,S06_Ranger!$BG$69:$BG$988,0),1),"")&amp;IFERROR(INDEX(S07_ArcaneTrickster!$BH$69:$BH$98,MATCH(Character_Spellcasting!BT20,S07_ArcaneTrickster!$BG$69:$BG$988,0),1),"")&amp;IFERROR(INDEX(S08_Sorcerer!$BH$69:$BH$98,MATCH(Character_Spellcasting!BT20,S08_Sorcerer!$BG$69:$BG$98,0),1),"")&amp;IFERROR(INDEX(S09_Warlock!$BH$69:$BH$98,MATCH(Character_Spellcasting!BT20,S09_Warlock!$BG$69:$BG$98,0),1),"")&amp;IFERROR(INDEX(S10_Wizard!$BH$69:$BH$98,MATCH(Character_Spellcasting!BT20,S10_Wizard!$BG$69:$BG$98,0),1),"")</f>
        <v/>
      </c>
      <c r="CA20" s="1096"/>
      <c r="CB20" s="567"/>
      <c r="CC20" s="120"/>
      <c r="CD20" s="591">
        <v>14</v>
      </c>
      <c r="CE20" s="1061" t="str">
        <f>IFERROR(INDEX(S01_Bard!$BN$6:$BN$35,MATCH(Character_Spellcasting!CD20,S01_Bard!$BP$69:$BP$98,0),1),"")&amp;IFERROR(INDEX(S02_Cleric!$BN$6:$BN$35,MATCH(Character_Spellcasting!CD20,S02_Cleric!$BP$69:$BP$98,0),1),"")&amp;IFERROR(INDEX(S03_Druid!$BN$6:$BN$35,MATCH(Character_Spellcasting!CD20,S03_Druid!$BP$69:$BP$98,0),1),"")&amp;IFERROR(INDEX(S04_EldritchKnight!$BN$6:$BN$35,MATCH(Character_Spellcasting!CD20,S04_EldritchKnight!$BP$69:$BP$98,0),1),"")&amp;IFERROR(INDEX(S05_Paladin!$BN$6:$BN$35,MATCH(Character_Spellcasting!CD20,S05_Paladin!$BP$69:$BP$98,0),1),"")&amp;IFERROR(INDEX(S06_Ranger!$BN$6:$BN$35,MATCH(Character_Spellcasting!CD20,S06_Ranger!$BP$69:$BP$988,0),1),"")&amp;IFERROR(INDEX(S07_ArcaneTrickster!$BN$6:$BN$35,MATCH(Character_Spellcasting!CD20,S07_ArcaneTrickster!$BP$69:$BP$988,0),1),"")&amp;IFERROR(INDEX(S08_Sorcerer!$BN$6:$BN$35,MATCH(Character_Spellcasting!CD20,S08_Sorcerer!$BP$69:$BP$98,0),1),"")&amp;IFERROR(INDEX(S09_Warlock!$BN$6:$BN$35,MATCH(Character_Spellcasting!CD20,S09_Warlock!$BP$69:$BP$98,0),1),"")&amp;IFERROR(INDEX(S10_Wizard!$BN$6:$BN$35,MATCH(Character_Spellcasting!CD20,S10_Wizard!$BP$69:$BP$98,0),1),"")</f>
        <v/>
      </c>
      <c r="CF20" s="1061"/>
      <c r="CG20" s="1061"/>
      <c r="CH20" s="1061"/>
      <c r="CI20" s="1061"/>
      <c r="CJ20" s="1096" t="str">
        <f>IFERROR(INDEX(S01_Bard!$BQ$69:$BQ$98,MATCH(Character_Spellcasting!CD20,S01_Bard!$D$69:$D$98,0),1),"")&amp;IFERROR(INDEX(S02_Cleric!$BQ$69:$BQ$98,MATCH(Character_Spellcasting!CD20,S02_Cleric!$BP$69:$BP$98,0),1),"")&amp;IFERROR(INDEX(S03_Druid!$BQ$69:$BQ$98,MATCH(Character_Spellcasting!CD20,S03_Druid!$BP$69:$BP$98,0),1),"")&amp;IFERROR(INDEX(S04_EldritchKnight!$BQ$69:$BQ$98,MATCH(Character_Spellcasting!CD20,S04_EldritchKnight!$BP$69:$BP$98,0),1),"")&amp;IFERROR(INDEX(S05_Paladin!$BQ$69:$BQ$98,MATCH(Character_Spellcasting!CD20,S05_Paladin!$BP$69:$BP$98,0),1),"")&amp;IFERROR(INDEX(S06_Ranger!$BQ$69:$BQ$98,MATCH(Character_Spellcasting!CD20,S06_Ranger!$BP$69:$BP$988,0),1),"")&amp;IFERROR(INDEX(S07_ArcaneTrickster!$BQ$69:$BQ$98,MATCH(Character_Spellcasting!CD20,S07_ArcaneTrickster!$BP$69:$BP$988,0),1),"")&amp;IFERROR(INDEX(S08_Sorcerer!$BQ$69:$BQ$98,MATCH(Character_Spellcasting!CD20,S08_Sorcerer!$BP$69:$BP$98,0),1),"")&amp;IFERROR(INDEX(S09_Warlock!$BQ$69:$BQ$98,MATCH(Character_Spellcasting!CD20,S09_Warlock!$BP$69:$BP$98,0),1),"")&amp;IFERROR(INDEX(S10_Wizard!$BQ$69:$BQ$98,MATCH(Character_Spellcasting!CD20,S10_Wizard!$BP$69:$BP$98,0),1),"")</f>
        <v/>
      </c>
      <c r="CK20" s="1096"/>
      <c r="CL20" s="567"/>
      <c r="CM20" s="120"/>
      <c r="CN20" s="591">
        <v>14</v>
      </c>
      <c r="CO20" s="1061" t="str">
        <f>IFERROR(INDEX(S01_Bard!$BW$6:$BW$35,MATCH(Character_Spellcasting!CN20,S01_Bard!$BY$69:$BY$98,0),1),"")&amp;IFERROR(INDEX(S02_Cleric!$BW$6:$BW$35,MATCH(Character_Spellcasting!CN20,S02_Cleric!$BY$69:$BY$98,0),1),"")&amp;IFERROR(INDEX(S03_Druid!$BW$6:$BW$35,MATCH(Character_Spellcasting!CN20,S03_Druid!$BY$69:$BY$98,0),1),"")&amp;IFERROR(INDEX(S04_EldritchKnight!$BW$6:$BW$35,MATCH(Character_Spellcasting!CN20,S04_EldritchKnight!$BY$69:$BY$98,0),1),"")&amp;IFERROR(INDEX(S05_Paladin!$BW$6:$BW$35,MATCH(Character_Spellcasting!CN20,S05_Paladin!$BY$69:$BY$98,0),1),"")&amp;IFERROR(INDEX(S06_Ranger!$BW$6:$BW$35,MATCH(Character_Spellcasting!CN20,S06_Ranger!$BY$69:$BY$988,0),1),"")&amp;IFERROR(INDEX(S07_ArcaneTrickster!$BW$6:$BW$35,MATCH(Character_Spellcasting!CN20,S07_ArcaneTrickster!$BY$69:$BY$988,0),1),"")&amp;IFERROR(INDEX(S08_Sorcerer!$BW$6:$BW$35,MATCH(Character_Spellcasting!CN20,S08_Sorcerer!$BY$69:$BY$98,0),1),"")&amp;IFERROR(INDEX(S09_Warlock!$BW$6:$BW$35,MATCH(Character_Spellcasting!CN20,S09_Warlock!$BY$69:$BY$98,0),1),"")&amp;IFERROR(INDEX(S10_Wizard!$BW$6:$BW$35,MATCH(Character_Spellcasting!CN20,S10_Wizard!$BY$69:$BY$98,0),1),"")</f>
        <v/>
      </c>
      <c r="CP20" s="1061"/>
      <c r="CQ20" s="1061"/>
      <c r="CR20" s="1061"/>
      <c r="CS20" s="1061"/>
      <c r="CT20" s="1096" t="str">
        <f>IFERROR(INDEX(S01_Bard!$BZ$69:$BZ$98,MATCH(Character_Spellcasting!CN20,S01_Bard!$D$69:$D$98,0),1),"")&amp;IFERROR(INDEX(S02_Cleric!$BZ$69:$BZ$98,MATCH(Character_Spellcasting!CN20,S02_Cleric!$BY$69:$BY$98,0),1),"")&amp;IFERROR(INDEX(S03_Druid!$BZ$69:$BZ$98,MATCH(Character_Spellcasting!CN20,S03_Druid!$BY$69:$BY$98,0),1),"")&amp;IFERROR(INDEX(S04_EldritchKnight!$BZ$69:$BZ$98,MATCH(Character_Spellcasting!CN20,S04_EldritchKnight!$BY$69:$BY$98,0),1),"")&amp;IFERROR(INDEX(S05_Paladin!$BZ$69:$BZ$98,MATCH(Character_Spellcasting!CN20,S05_Paladin!$BY$69:$BY$98,0),1),"")&amp;IFERROR(INDEX(S06_Ranger!$BZ$69:$BZ$98,MATCH(Character_Spellcasting!CN20,S06_Ranger!$BY$69:$BY$988,0),1),"")&amp;IFERROR(INDEX(S07_ArcaneTrickster!$BZ$69:$BZ$98,MATCH(Character_Spellcasting!CN20,S07_ArcaneTrickster!$BY$69:$BY$988,0),1),"")&amp;IFERROR(INDEX(S08_Sorcerer!$BZ$69:$BZ$98,MATCH(Character_Spellcasting!CN20,S08_Sorcerer!$BY$69:$BY$98,0),1),"")&amp;IFERROR(INDEX(S09_Warlock!$BZ$69:$BZ$98,MATCH(Character_Spellcasting!CN20,S09_Warlock!$BY$69:$BY$98,0),1),"")&amp;IFERROR(INDEX(S10_Wizard!$BZ$69:$BZ$98,MATCH(Character_Spellcasting!CN20,S10_Wizard!$BY$69:$BY$98,0),1),"")</f>
        <v/>
      </c>
      <c r="CU20" s="1096"/>
      <c r="CV20" s="567"/>
      <c r="CW20" s="565"/>
      <c r="CX20" s="565"/>
      <c r="CY20" s="565"/>
      <c r="CZ20" s="565"/>
      <c r="DA20" s="610">
        <v>14</v>
      </c>
      <c r="DB20" s="1061" t="str">
        <f t="shared" si="0"/>
        <v>Fly</v>
      </c>
      <c r="DC20" s="1061"/>
      <c r="DD20" s="1061"/>
      <c r="DE20" s="1061"/>
      <c r="DF20" s="1061"/>
      <c r="DG20" s="1096" t="str">
        <f t="shared" si="1"/>
        <v>Wizard</v>
      </c>
      <c r="DH20" s="1096"/>
      <c r="DI20" s="565"/>
      <c r="DJ20" s="565"/>
      <c r="DK20" s="565"/>
      <c r="DL20" s="565"/>
      <c r="DM20" s="565"/>
      <c r="DN20" s="565"/>
      <c r="DO20" s="565"/>
      <c r="DP20" s="565"/>
      <c r="DQ20" s="565"/>
      <c r="DR20" s="565"/>
      <c r="DS20" s="565"/>
      <c r="DT20" s="565"/>
      <c r="DU20" s="565"/>
      <c r="DV20" s="565"/>
    </row>
    <row r="21" spans="1:126" ht="21" customHeight="1" x14ac:dyDescent="0.25">
      <c r="A21" s="120"/>
      <c r="B21" s="610">
        <v>15</v>
      </c>
      <c r="C21" s="1061"/>
      <c r="D21" s="1061"/>
      <c r="E21" s="1061"/>
      <c r="F21" s="1061"/>
      <c r="G21" s="1061"/>
      <c r="H21" s="1096"/>
      <c r="I21" s="1096"/>
      <c r="J21" s="120"/>
      <c r="K21" s="120"/>
      <c r="L21" s="591">
        <v>15</v>
      </c>
      <c r="M21" s="1061" t="str">
        <f>IFERROR(INDEX(S01_Bard!$C$6:$C$35,MATCH(Character_Spellcasting!L21,S01_Bard!$E$69:$E$98,0),1),"")&amp;IFERROR(INDEX(S02_Cleric!$C$6:$C$35,MATCH(Character_Spellcasting!L21,S02_Cleric!$E$69:$E$98,0),1),"")&amp;IFERROR(INDEX(S03_Druid!$C$6:$C$35,MATCH(Character_Spellcasting!L21,S03_Druid!$E$69:$E$98,0),1),"")&amp;IFERROR(INDEX(S04_EldritchKnight!$C$6:$C$35,MATCH(Character_Spellcasting!L21,S04_EldritchKnight!$E$69:$E$98,0),1),"")&amp;IFERROR(INDEX(S05_Paladin!$C$6:$C$35,MATCH(Character_Spellcasting!L21,S05_Paladin!$E$69:$E$98,0),1),"")&amp;IFERROR(INDEX(S06_Ranger!$C$6:$C$35,MATCH(Character_Spellcasting!L21,S06_Ranger!$E$69:$E$988,0),1),"")&amp;IFERROR(INDEX(S07_ArcaneTrickster!$C$6:$C$35,MATCH(Character_Spellcasting!L21,S07_ArcaneTrickster!$E$69:$E$988,0),1),"")&amp;IFERROR(INDEX(S08_Sorcerer!$C$6:$C$35,MATCH(Character_Spellcasting!L21,S08_Sorcerer!$E$69:$E$98,0),1),"")&amp;IFERROR(INDEX(S09_Warlock!$C$6:$C$35,MATCH(Character_Spellcasting!L21,S09_Warlock!$E$69:$E$98,0),1),"")&amp;IFERROR(INDEX(S10_Wizard!$C$6:$C$35,MATCH(Character_Spellcasting!L21,S10_Wizard!$E$69:$E$98,0),1),"")</f>
        <v/>
      </c>
      <c r="N21" s="1061"/>
      <c r="O21" s="1061"/>
      <c r="P21" s="1061"/>
      <c r="Q21" s="1061"/>
      <c r="R21" s="1096" t="str">
        <f>IFERROR(INDEX(S01_Bard!$F$69:$F$98,MATCH(Character_Spellcasting!L21,S01_Bard!$D$69:$D$98,0),1),"")&amp;IFERROR(INDEX(S02_Cleric!$F$69:$F$98,MATCH(Character_Spellcasting!L21,S02_Cleric!$E$69:$E$98,0),1),"")&amp;IFERROR(INDEX(S03_Druid!$F$69:$F$98,MATCH(Character_Spellcasting!L21,S03_Druid!$E$69:$E$98,0),1),"")&amp;IFERROR(INDEX(S04_EldritchKnight!$F$69:$F$98,MATCH(Character_Spellcasting!L21,S04_EldritchKnight!$E$69:$E$98,0),1),"")&amp;IFERROR(INDEX(S05_Paladin!$F$69:$F$98,MATCH(Character_Spellcasting!L21,S05_Paladin!$E$69:$E$98,0),1),"")&amp;IFERROR(INDEX(S06_Ranger!$F$69:$F$98,MATCH(Character_Spellcasting!L21,S06_Ranger!$E$69:$E$988,0),1),"")&amp;IFERROR(INDEX(S07_ArcaneTrickster!$F$69:$F$98,MATCH(Character_Spellcasting!L21,S07_ArcaneTrickster!$E$69:$E$988,0),1),"")&amp;IFERROR(INDEX(S08_Sorcerer!$F$69:$F$98,MATCH(Character_Spellcasting!L21,S08_Sorcerer!$E$69:$E$98,0),1),"")&amp;IFERROR(INDEX(S09_Warlock!$F$69:$F$98,MATCH(Character_Spellcasting!L21,S09_Warlock!$E$69:$E$98,0),1),"")&amp;IFERROR(INDEX(S10_Wizard!$F$69:$F$98,MATCH(Character_Spellcasting!L21,S10_Wizard!$E$69:$E$98,0),1),"")</f>
        <v/>
      </c>
      <c r="S21" s="1096"/>
      <c r="T21" s="567"/>
      <c r="U21" s="565"/>
      <c r="V21" s="591">
        <v>15</v>
      </c>
      <c r="W21" s="1061" t="str">
        <f>IFERROR(INDEX(S01_Bard!$L$6:$L$35,MATCH(Character_Spellcasting!V21,S01_Bard!$N$69:$N$98,0),1),"")&amp;IFERROR(INDEX(S02_Cleric!$L$6:$L$35,MATCH(Character_Spellcasting!V21,S02_Cleric!$N$69:$N$98,0),1),"")&amp;IFERROR(INDEX(S03_Druid!$L$6:$L$35,MATCH(Character_Spellcasting!V21,S03_Druid!$N$69:$N$98,0),1),"")&amp;IFERROR(INDEX(S04_EldritchKnight!$L$6:$L$35,MATCH(Character_Spellcasting!V21,S04_EldritchKnight!$N$69:$N$98,0),1),"")&amp;IFERROR(INDEX(S05_Paladin!$L$6:$L$35,MATCH(Character_Spellcasting!V21,S05_Paladin!$N$69:$N$98,0),1),"")&amp;IFERROR(INDEX(S06_Ranger!$L$6:$L$35,MATCH(Character_Spellcasting!V21,S06_Ranger!$N$69:$N$988,0),1),"")&amp;IFERROR(INDEX(S07_ArcaneTrickster!$L$6:$L$35,MATCH(Character_Spellcasting!V21,S07_ArcaneTrickster!$N$69:$N$988,0),1),"")&amp;IFERROR(INDEX(S08_Sorcerer!$L$6:$L$35,MATCH(Character_Spellcasting!V21,S08_Sorcerer!$N$69:$N$98,0),1),"")&amp;IFERROR(INDEX(S09_Warlock!$L$6:$L$35,MATCH(Character_Spellcasting!V21,S09_Warlock!$N$69:$N$98,0),1),"")&amp;IFERROR(INDEX(S10_Wizard!$L$6:$L$35,MATCH(Character_Spellcasting!V21,S10_Wizard!$N$69:$N$98,0),1),"")</f>
        <v/>
      </c>
      <c r="X21" s="1061"/>
      <c r="Y21" s="1061"/>
      <c r="Z21" s="1061"/>
      <c r="AA21" s="1061"/>
      <c r="AB21" s="1097" t="str">
        <f>IFERROR(INDEX(S01_Bard!$O$69:$O$98,MATCH(Character_Spellcasting!V21,S01_Bard!$N$69:$N$98,0),1),"")&amp;IFERROR(INDEX(S02_Cleric!$O$69:$O$98,MATCH(Character_Spellcasting!V21,S02_Cleric!$N$69:$N$98,0),1),"")&amp;IFERROR(INDEX(S03_Druid!$O$69:$O$98,MATCH(Character_Spellcasting!V21,S03_Druid!$N$69:$N$98,0),1),"")&amp;IFERROR(INDEX(S04_EldritchKnight!$O$69:$O$98,MATCH(Character_Spellcasting!V21,S04_EldritchKnight!$N$69:$N$98,0),1),"")&amp;IFERROR(INDEX(S05_Paladin!$O$69:$O$98,MATCH(Character_Spellcasting!V21,S05_Paladin!$N$69:$N$98,0),1),"")&amp;IFERROR(INDEX(S06_Ranger!$O$69:$O$98,MATCH(Character_Spellcasting!V21,S06_Ranger!$N$69:$N$988,0),1),"")&amp;IFERROR(INDEX(S07_ArcaneTrickster!$O$69:$O$98,MATCH(Character_Spellcasting!V21,S07_ArcaneTrickster!$N$69:$N$988,0),1),"")&amp;IFERROR(INDEX(S08_Sorcerer!$O$69:$O$98,MATCH(Character_Spellcasting!V21,S08_Sorcerer!$N$69:$N$98,0),1),"")&amp;IFERROR(INDEX(S09_Warlock!$O$69:$O$98,MATCH(Character_Spellcasting!V21,S09_Warlock!$N$69:$N$98,0),1),"")&amp;IFERROR(INDEX(S10_Wizard!$O$69:$O$98,MATCH(Character_Spellcasting!V21,S10_Wizard!$N$69:$N$98,0),1),"")</f>
        <v/>
      </c>
      <c r="AC21" s="1098"/>
      <c r="AD21" s="567"/>
      <c r="AE21" s="565"/>
      <c r="AF21" s="609">
        <v>15</v>
      </c>
      <c r="AG21" s="1061" t="str">
        <f>IFERROR(INDEX(S01_Bard!$U$6:$U$35,MATCH(Character_Spellcasting!AF21,S01_Bard!$W$69:$W$98,0),1),"")&amp;IFERROR(INDEX(S02_Cleric!$U$6:$U$35,MATCH(Character_Spellcasting!AF21,S02_Cleric!$W$69:$W$98,0),1),"")&amp;IFERROR(INDEX(S03_Druid!$U$6:$U$35,MATCH(Character_Spellcasting!AF21,S03_Druid!$W$69:$W$98,0),1),"")&amp;IFERROR(INDEX(S04_EldritchKnight!$U$6:$U$35,MATCH(Character_Spellcasting!AF21,S04_EldritchKnight!$W$69:$W$98,0),1),"")&amp;IFERROR(INDEX(S05_Paladin!$U$6:$U$35,MATCH(Character_Spellcasting!AF21,S05_Paladin!$W$69:$W$98,0),1),"")&amp;IFERROR(INDEX(S06_Ranger!$U$6:$U$35,MATCH(Character_Spellcasting!AF21,S06_Ranger!$W$69:$W$988,0),1),"")&amp;IFERROR(INDEX(S07_ArcaneTrickster!$U$6:$U$35,MATCH(Character_Spellcasting!AF21,S07_ArcaneTrickster!$W$69:$W$988,0),1),"")&amp;IFERROR(INDEX(S08_Sorcerer!$U$6:$U$35,MATCH(Character_Spellcasting!AF21,S08_Sorcerer!$W$69:$W$98,0),1),"")&amp;IFERROR(INDEX(S09_Warlock!$U$6:$U$35,MATCH(Character_Spellcasting!AF21,S09_Warlock!$W$69:$W$98,0),1),"")&amp;IFERROR(INDEX(S10_Wizard!$U$6:$U$35,MATCH(Character_Spellcasting!AF21,S10_Wizard!$W$69:$W$98,0),1),"")</f>
        <v/>
      </c>
      <c r="AH21" s="1061"/>
      <c r="AI21" s="1061"/>
      <c r="AJ21" s="1061"/>
      <c r="AK21" s="1061"/>
      <c r="AL21" s="1097" t="str">
        <f>IFERROR(INDEX(S01_Bard!$X$69:$X$98,MATCH(Character_Spellcasting!AF21,S01_Bard!$W$69:$W$98,0),1),"")&amp;IFERROR(INDEX(S02_Cleric!$X$69:$X$98,MATCH(Character_Spellcasting!AF21,S02_Cleric!$W$69:$W$98,0),1),"")&amp;IFERROR(INDEX(S03_Druid!$X$69:$X$98,MATCH(Character_Spellcasting!AF21,S03_Druid!$W$69:$W$98,0),1),"")&amp;IFERROR(INDEX(S04_EldritchKnight!$X$69:$X$98,MATCH(Character_Spellcasting!AF21,S04_EldritchKnight!$W$69:$W$98,0),1),"")&amp;IFERROR(INDEX(S05_Paladin!$X$69:$X$98,MATCH(Character_Spellcasting!AF21,S05_Paladin!$W$69:$W$98,0),1),"")&amp;IFERROR(INDEX(S06_Ranger!$X$69:$X$98,MATCH(Character_Spellcasting!AF21,S06_Ranger!$W$69:$W$988,0),1),"")&amp;IFERROR(INDEX(S07_ArcaneTrickster!$X$69:$X$98,MATCH(Character_Spellcasting!AF21,S07_ArcaneTrickster!$W$69:$W$988,0),1),"")&amp;IFERROR(INDEX(S08_Sorcerer!$X$69:$X$98,MATCH(Character_Spellcasting!AF21,S08_Sorcerer!$W$69:$W$98,0),1),"")&amp;IFERROR(INDEX(S09_Warlock!$X$69:$X$98,MATCH(Character_Spellcasting!AF21,S09_Warlock!$W$69:$W$98,0),1),"")&amp;IFERROR(INDEX(S10_Wizard!$X$69:$X$98,MATCH(Character_Spellcasting!AF21,S10_Wizard!$W$69:$W$98,0),1),"")</f>
        <v/>
      </c>
      <c r="AM21" s="1098"/>
      <c r="AN21" s="567"/>
      <c r="AO21" s="565"/>
      <c r="AP21" s="591">
        <v>15</v>
      </c>
      <c r="AQ21" s="1061" t="str">
        <f>IFERROR(INDEX(S01_Bard!$AD$6:$AD$35,MATCH(Character_Spellcasting!AP21,S01_Bard!$AF$69:$AF$98,0),1),"")&amp;IFERROR(INDEX(S02_Cleric!$AD$6:$AD$35,MATCH(Character_Spellcasting!AP21,S02_Cleric!$AF$69:$AF$98,0),1),"")&amp;IFERROR(INDEX(S03_Druid!$AD$6:$AD$35,MATCH(Character_Spellcasting!AP21,S03_Druid!$AF$69:$AF$98,0),1),"")&amp;IFERROR(INDEX(S04_EldritchKnight!$AD$6:$AD$35,MATCH(Character_Spellcasting!AP21,S04_EldritchKnight!$AF$69:$AF$98,0),1),"")&amp;IFERROR(INDEX(S05_Paladin!$AD$6:$AD$35,MATCH(Character_Spellcasting!AP21,S05_Paladin!$AF$69:$AF$98,0),1),"")&amp;IFERROR(INDEX(S06_Ranger!$AD$6:$AD$35,MATCH(Character_Spellcasting!AP21,S06_Ranger!$AF$69:$AF$988,0),1),"")&amp;IFERROR(INDEX(S07_ArcaneTrickster!$AD$6:$AD$35,MATCH(Character_Spellcasting!AP21,S07_ArcaneTrickster!$AF$69:$AF$988,0),1),"")&amp;IFERROR(INDEX(S08_Sorcerer!$AD$6:$AD$35,MATCH(Character_Spellcasting!AP21,S08_Sorcerer!$AF$69:$AF$98,0),1),"")&amp;IFERROR(INDEX(S09_Warlock!$AD$6:$AD$35,MATCH(Character_Spellcasting!AP21,S09_Warlock!$AF$69:$AF$98,0),1),"")&amp;IFERROR(INDEX(S10_Wizard!$AD$6:$AD$35,MATCH(Character_Spellcasting!AP21,S10_Wizard!$AF$69:$AF$98,0),1),"")</f>
        <v/>
      </c>
      <c r="AR21" s="1061"/>
      <c r="AS21" s="1061"/>
      <c r="AT21" s="1061"/>
      <c r="AU21" s="1061"/>
      <c r="AV21" s="1096" t="str">
        <f>IFERROR(INDEX(S01_Bard!$AG$69:$AG$98,MATCH(Character_Spellcasting!AP21,S01_Bard!$D$69:$D$98,0),1),"")&amp;IFERROR(INDEX(S02_Cleric!$AG$69:$AG$98,MATCH(Character_Spellcasting!AP21,S02_Cleric!$AF$69:$AF$98,0),1),"")&amp;IFERROR(INDEX(S03_Druid!$AG$69:$AG$98,MATCH(Character_Spellcasting!AP21,S03_Druid!$AF$69:$AF$98,0),1),"")&amp;IFERROR(INDEX(S04_EldritchKnight!$AG$69:$AG$98,MATCH(Character_Spellcasting!AP21,S04_EldritchKnight!$AF$69:$AF$98,0),1),"")&amp;IFERROR(INDEX(S05_Paladin!$AG$69:$AG$98,MATCH(Character_Spellcasting!AP21,S05_Paladin!$AF$69:$AF$98,0),1),"")&amp;IFERROR(INDEX(S06_Ranger!$AG$69:$AG$98,MATCH(Character_Spellcasting!AP21,S06_Ranger!$AF$69:$AF$988,0),1),"")&amp;IFERROR(INDEX(S07_ArcaneTrickster!$AG$69:$AG$98,MATCH(Character_Spellcasting!AP21,S07_ArcaneTrickster!$AF$69:$AF$988,0),1),"")&amp;IFERROR(INDEX(S08_Sorcerer!$AG$69:$AG$98,MATCH(Character_Spellcasting!AP21,S08_Sorcerer!$AF$69:$AF$98,0),1),"")&amp;IFERROR(INDEX(S09_Warlock!$AG$69:$AG$98,MATCH(Character_Spellcasting!AP21,S09_Warlock!$AF$69:$AF$98,0),1),"")&amp;IFERROR(INDEX(S10_Wizard!$AG$69:$AG$98,MATCH(Character_Spellcasting!AP21,S10_Wizard!$AF$69:$AF$98,0),1),"")</f>
        <v/>
      </c>
      <c r="AW21" s="1096"/>
      <c r="AX21" s="567"/>
      <c r="AY21" s="565"/>
      <c r="AZ21" s="591">
        <v>15</v>
      </c>
      <c r="BA21" s="1061" t="str">
        <f>IFERROR(INDEX(S01_Bard!$AM$6:$AM$35,MATCH(Character_Spellcasting!AZ21,S01_Bard!$AO$69:$AO$98,0),1),"")&amp;IFERROR(INDEX(S02_Cleric!$AM$6:$AM$35,MATCH(Character_Spellcasting!AZ21,S02_Cleric!$AO$69:$AO$98,0),1),"")&amp;IFERROR(INDEX(S03_Druid!$AM$6:$AM$35,MATCH(Character_Spellcasting!AZ21,S03_Druid!$AO$69:$AO$98,0),1),"")&amp;IFERROR(INDEX(S04_EldritchKnight!$AM$6:$AM$35,MATCH(Character_Spellcasting!AZ21,S04_EldritchKnight!$AO$69:$AO$98,0),1),"")&amp;IFERROR(INDEX(S05_Paladin!$AM$6:$AM$35,MATCH(Character_Spellcasting!AZ21,S05_Paladin!$AO$69:$AO$98,0),1),"")&amp;IFERROR(INDEX(S06_Ranger!$AM$6:$AM$35,MATCH(Character_Spellcasting!AZ21,S06_Ranger!$AO$69:$AO$988,0),1),"")&amp;IFERROR(INDEX(S07_ArcaneTrickster!$AM$6:$AM$35,MATCH(Character_Spellcasting!AZ21,S07_ArcaneTrickster!$AO$69:$AO$988,0),1),"")&amp;IFERROR(INDEX(S08_Sorcerer!$AM$6:$AM$35,MATCH(Character_Spellcasting!AZ21,S08_Sorcerer!$AO$69:$AO$98,0),1),"")&amp;IFERROR(INDEX(S09_Warlock!$AM$6:$AM$35,MATCH(Character_Spellcasting!AZ21,S09_Warlock!$AO$69:$AO$98,0),1),"")&amp;IFERROR(INDEX(S10_Wizard!$AM$6:$AM$35,MATCH(Character_Spellcasting!AZ21,S10_Wizard!$AO$69:$AO$98,0),1),"")</f>
        <v/>
      </c>
      <c r="BB21" s="1061"/>
      <c r="BC21" s="1061"/>
      <c r="BD21" s="1061"/>
      <c r="BE21" s="1061"/>
      <c r="BF21" s="1096" t="str">
        <f>IFERROR(INDEX(S01_Bard!$AP$69:$AP$98,MATCH(Character_Spellcasting!AZ21,S01_Bard!$D$69:$D$98,0),1),"")&amp;IFERROR(INDEX(S02_Cleric!$AP$69:$AP$98,MATCH(Character_Spellcasting!AZ21,S02_Cleric!$AO$69:$AO$98,0),1),"")&amp;IFERROR(INDEX(S03_Druid!$AP$69:$AP$98,MATCH(Character_Spellcasting!AZ21,S03_Druid!$AO$69:$AO$98,0),1),"")&amp;IFERROR(INDEX(S04_EldritchKnight!$AP$69:$AP$98,MATCH(Character_Spellcasting!AZ21,S04_EldritchKnight!$AO$69:$AO$98,0),1),"")&amp;IFERROR(INDEX(S05_Paladin!$AP$69:$AP$98,MATCH(Character_Spellcasting!AZ21,S05_Paladin!$AO$69:$AO$98,0),1),"")&amp;IFERROR(INDEX(S06_Ranger!$AP$69:$AP$98,MATCH(Character_Spellcasting!AZ21,S06_Ranger!$AO$69:$AO$988,0),1),"")&amp;IFERROR(INDEX(S07_ArcaneTrickster!$AP$69:$AP$98,MATCH(Character_Spellcasting!AZ21,S07_ArcaneTrickster!$AO$69:$AO$988,0),1),"")&amp;IFERROR(INDEX(S08_Sorcerer!$AP$69:$AP$98,MATCH(Character_Spellcasting!AZ21,S08_Sorcerer!$AO$69:$AO$98,0),1),"")&amp;IFERROR(INDEX(S09_Warlock!$AP$69:$AP$98,MATCH(Character_Spellcasting!AZ21,S09_Warlock!$AO$69:$AO$98,0),1),"")&amp;IFERROR(INDEX(S10_Wizard!$AP$69:$AP$98,MATCH(Character_Spellcasting!AZ21,S10_Wizard!$AO$69:$AO$98,0),1),"")</f>
        <v/>
      </c>
      <c r="BG21" s="1096"/>
      <c r="BH21" s="567"/>
      <c r="BI21" s="120"/>
      <c r="BJ21" s="591">
        <v>15</v>
      </c>
      <c r="BK21" s="1061" t="str">
        <f>IFERROR(INDEX(S01_Bard!$AV$6:$AV$35,MATCH(Character_Spellcasting!BJ21,S01_Bard!$AX$69:$AX$98,0),1),"")&amp;IFERROR(INDEX(S02_Cleric!$AV$6:$AV$35,MATCH(Character_Spellcasting!BJ21,S02_Cleric!$AX$69:$AX$98,0),1),"")&amp;IFERROR(INDEX(S03_Druid!$AV$6:$AV$35,MATCH(Character_Spellcasting!BJ21,S03_Druid!$AX$69:$AX$98,0),1),"")&amp;IFERROR(INDEX(S04_EldritchKnight!$AV$6:$AV$35,MATCH(Character_Spellcasting!BJ21,S04_EldritchKnight!$AX$69:$AX$98,0),1),"")&amp;IFERROR(INDEX(S05_Paladin!$AV$6:$AV$35,MATCH(Character_Spellcasting!BJ21,S05_Paladin!$AX$69:$AX$98,0),1),"")&amp;IFERROR(INDEX(S06_Ranger!$AV$6:$AV$35,MATCH(Character_Spellcasting!BJ21,S06_Ranger!$AX$69:$AX$988,0),1),"")&amp;IFERROR(INDEX(S07_ArcaneTrickster!$AV$6:$AV$35,MATCH(Character_Spellcasting!BJ21,S07_ArcaneTrickster!$AX$69:$AX$988,0),1),"")&amp;IFERROR(INDEX(S08_Sorcerer!$AV$6:$AV$35,MATCH(Character_Spellcasting!BJ21,S08_Sorcerer!$AX$69:$AX$98,0),1),"")&amp;IFERROR(INDEX(S09_Warlock!$AV$6:$AV$35,MATCH(Character_Spellcasting!BJ21,S09_Warlock!$AX$69:$AX$98,0),1),"")&amp;IFERROR(INDEX(S10_Wizard!$AV$6:$AV$35,MATCH(Character_Spellcasting!BJ21,S10_Wizard!$AX$69:$AX$98,0),1),"")</f>
        <v/>
      </c>
      <c r="BL21" s="1061"/>
      <c r="BM21" s="1061"/>
      <c r="BN21" s="1061"/>
      <c r="BO21" s="1061"/>
      <c r="BP21" s="1096" t="str">
        <f>IFERROR(INDEX(S01_Bard!$AY$69:$AY$98,MATCH(Character_Spellcasting!BJ21,S01_Bard!$D$69:$D$98,0),1),"")&amp;IFERROR(INDEX(S02_Cleric!$AY$69:$AY$98,MATCH(Character_Spellcasting!BJ21,S02_Cleric!$AX$69:$AX$98,0),1),"")&amp;IFERROR(INDEX(S03_Druid!$AY$69:$AY$98,MATCH(Character_Spellcasting!BJ21,S03_Druid!$AX$69:$AX$98,0),1),"")&amp;IFERROR(INDEX(S04_EldritchKnight!$AY$69:$AY$98,MATCH(Character_Spellcasting!BJ21,S04_EldritchKnight!$AX$69:$AX$98,0),1),"")&amp;IFERROR(INDEX(S05_Paladin!$AY$69:$AY$98,MATCH(Character_Spellcasting!BJ21,S05_Paladin!$AX$69:$AX$98,0),1),"")&amp;IFERROR(INDEX(S06_Ranger!$AY$69:$AY$98,MATCH(Character_Spellcasting!BJ21,S06_Ranger!$AX$69:$AX$988,0),1),"")&amp;IFERROR(INDEX(S07_ArcaneTrickster!$AY$69:$AY$98,MATCH(Character_Spellcasting!BJ21,S07_ArcaneTrickster!$AX$69:$AX$988,0),1),"")&amp;IFERROR(INDEX(S08_Sorcerer!$AY$69:$AY$98,MATCH(Character_Spellcasting!BJ21,S08_Sorcerer!$AX$69:$AX$98,0),1),"")&amp;IFERROR(INDEX(S09_Warlock!$AY$69:$AY$98,MATCH(Character_Spellcasting!BJ21,S09_Warlock!$AX$69:$AX$98,0),1),"")&amp;IFERROR(INDEX(S10_Wizard!$AY$69:$AY$98,MATCH(Character_Spellcasting!BJ21,S10_Wizard!$AX$69:$AX$98,0),1),"")</f>
        <v/>
      </c>
      <c r="BQ21" s="1096"/>
      <c r="BR21" s="567"/>
      <c r="BS21" s="120"/>
      <c r="BT21" s="591">
        <v>15</v>
      </c>
      <c r="BU21" s="1061" t="str">
        <f>IFERROR(INDEX(S01_Bard!$BE$6:$BE$35,MATCH(Character_Spellcasting!BT21,S01_Bard!$BG$69:$BG$98,0),1),"")&amp;IFERROR(INDEX(S02_Cleric!$BE$6:$BE$35,MATCH(Character_Spellcasting!BT21,S02_Cleric!$BG$69:$BG$98,0),1),"")&amp;IFERROR(INDEX(S03_Druid!$BE$6:$BE$35,MATCH(Character_Spellcasting!BT21,S03_Druid!$BG$69:$BG$98,0),1),"")&amp;IFERROR(INDEX(S04_EldritchKnight!$BE$6:$BE$35,MATCH(Character_Spellcasting!BT21,S04_EldritchKnight!$BG$69:$BG$98,0),1),"")&amp;IFERROR(INDEX(S05_Paladin!$BE$6:$BE$35,MATCH(Character_Spellcasting!BT21,S05_Paladin!$BG$69:$BG$98,0),1),"")&amp;IFERROR(INDEX(S06_Ranger!$BE$6:$BE$35,MATCH(Character_Spellcasting!BT21,S06_Ranger!$BG$69:$BG$988,0),1),"")&amp;IFERROR(INDEX(S07_ArcaneTrickster!$BE$6:$BE$35,MATCH(Character_Spellcasting!BT21,S07_ArcaneTrickster!$BG$69:$BG$988,0),1),"")&amp;IFERROR(INDEX(S08_Sorcerer!$BE$6:$BE$35,MATCH(Character_Spellcasting!BT21,S08_Sorcerer!$BG$69:$BG$98,0),1),"")&amp;IFERROR(INDEX(S09_Warlock!$BE$6:$BE$35,MATCH(Character_Spellcasting!BT21,S09_Warlock!$BG$69:$BG$98,0),1),"")&amp;IFERROR(INDEX(S10_Wizard!$BE$6:$BE$35,MATCH(Character_Spellcasting!BT21,S10_Wizard!$BG$69:$BG$98,0),1),"")</f>
        <v/>
      </c>
      <c r="BV21" s="1061"/>
      <c r="BW21" s="1061"/>
      <c r="BX21" s="1061"/>
      <c r="BY21" s="1061"/>
      <c r="BZ21" s="1096" t="str">
        <f>IFERROR(INDEX(S01_Bard!$BH$69:$BH$98,MATCH(Character_Spellcasting!BT21,S01_Bard!$D$69:$D$98,0),1),"")&amp;IFERROR(INDEX(S02_Cleric!$BH$69:$BH$98,MATCH(Character_Spellcasting!BT21,S02_Cleric!$BG$69:$BG$98,0),1),"")&amp;IFERROR(INDEX(S03_Druid!$BH$69:$BH$98,MATCH(Character_Spellcasting!BT21,S03_Druid!$BG$69:$BG$98,0),1),"")&amp;IFERROR(INDEX(S04_EldritchKnight!$BH$69:$BH$98,MATCH(Character_Spellcasting!BT21,S04_EldritchKnight!$BG$69:$BG$98,0),1),"")&amp;IFERROR(INDEX(S05_Paladin!$BH$69:$BH$98,MATCH(Character_Spellcasting!BT21,S05_Paladin!$BG$69:$BG$98,0),1),"")&amp;IFERROR(INDEX(S06_Ranger!$BH$69:$BH$98,MATCH(Character_Spellcasting!BT21,S06_Ranger!$BG$69:$BG$988,0),1),"")&amp;IFERROR(INDEX(S07_ArcaneTrickster!$BH$69:$BH$98,MATCH(Character_Spellcasting!BT21,S07_ArcaneTrickster!$BG$69:$BG$988,0),1),"")&amp;IFERROR(INDEX(S08_Sorcerer!$BH$69:$BH$98,MATCH(Character_Spellcasting!BT21,S08_Sorcerer!$BG$69:$BG$98,0),1),"")&amp;IFERROR(INDEX(S09_Warlock!$BH$69:$BH$98,MATCH(Character_Spellcasting!BT21,S09_Warlock!$BG$69:$BG$98,0),1),"")&amp;IFERROR(INDEX(S10_Wizard!$BH$69:$BH$98,MATCH(Character_Spellcasting!BT21,S10_Wizard!$BG$69:$BG$98,0),1),"")</f>
        <v/>
      </c>
      <c r="CA21" s="1096"/>
      <c r="CB21" s="567"/>
      <c r="CC21" s="120"/>
      <c r="CD21" s="591">
        <v>15</v>
      </c>
      <c r="CE21" s="1061" t="str">
        <f>IFERROR(INDEX(S01_Bard!$BN$6:$BN$35,MATCH(Character_Spellcasting!CD21,S01_Bard!$BP$69:$BP$98,0),1),"")&amp;IFERROR(INDEX(S02_Cleric!$BN$6:$BN$35,MATCH(Character_Spellcasting!CD21,S02_Cleric!$BP$69:$BP$98,0),1),"")&amp;IFERROR(INDEX(S03_Druid!$BN$6:$BN$35,MATCH(Character_Spellcasting!CD21,S03_Druid!$BP$69:$BP$98,0),1),"")&amp;IFERROR(INDEX(S04_EldritchKnight!$BN$6:$BN$35,MATCH(Character_Spellcasting!CD21,S04_EldritchKnight!$BP$69:$BP$98,0),1),"")&amp;IFERROR(INDEX(S05_Paladin!$BN$6:$BN$35,MATCH(Character_Spellcasting!CD21,S05_Paladin!$BP$69:$BP$98,0),1),"")&amp;IFERROR(INDEX(S06_Ranger!$BN$6:$BN$35,MATCH(Character_Spellcasting!CD21,S06_Ranger!$BP$69:$BP$988,0),1),"")&amp;IFERROR(INDEX(S07_ArcaneTrickster!$BN$6:$BN$35,MATCH(Character_Spellcasting!CD21,S07_ArcaneTrickster!$BP$69:$BP$988,0),1),"")&amp;IFERROR(INDEX(S08_Sorcerer!$BN$6:$BN$35,MATCH(Character_Spellcasting!CD21,S08_Sorcerer!$BP$69:$BP$98,0),1),"")&amp;IFERROR(INDEX(S09_Warlock!$BN$6:$BN$35,MATCH(Character_Spellcasting!CD21,S09_Warlock!$BP$69:$BP$98,0),1),"")&amp;IFERROR(INDEX(S10_Wizard!$BN$6:$BN$35,MATCH(Character_Spellcasting!CD21,S10_Wizard!$BP$69:$BP$98,0),1),"")</f>
        <v/>
      </c>
      <c r="CF21" s="1061"/>
      <c r="CG21" s="1061"/>
      <c r="CH21" s="1061"/>
      <c r="CI21" s="1061"/>
      <c r="CJ21" s="1096" t="str">
        <f>IFERROR(INDEX(S01_Bard!$BQ$69:$BQ$98,MATCH(Character_Spellcasting!CD21,S01_Bard!$D$69:$D$98,0),1),"")&amp;IFERROR(INDEX(S02_Cleric!$BQ$69:$BQ$98,MATCH(Character_Spellcasting!CD21,S02_Cleric!$BP$69:$BP$98,0),1),"")&amp;IFERROR(INDEX(S03_Druid!$BQ$69:$BQ$98,MATCH(Character_Spellcasting!CD21,S03_Druid!$BP$69:$BP$98,0),1),"")&amp;IFERROR(INDEX(S04_EldritchKnight!$BQ$69:$BQ$98,MATCH(Character_Spellcasting!CD21,S04_EldritchKnight!$BP$69:$BP$98,0),1),"")&amp;IFERROR(INDEX(S05_Paladin!$BQ$69:$BQ$98,MATCH(Character_Spellcasting!CD21,S05_Paladin!$BP$69:$BP$98,0),1),"")&amp;IFERROR(INDEX(S06_Ranger!$BQ$69:$BQ$98,MATCH(Character_Spellcasting!CD21,S06_Ranger!$BP$69:$BP$988,0),1),"")&amp;IFERROR(INDEX(S07_ArcaneTrickster!$BQ$69:$BQ$98,MATCH(Character_Spellcasting!CD21,S07_ArcaneTrickster!$BP$69:$BP$988,0),1),"")&amp;IFERROR(INDEX(S08_Sorcerer!$BQ$69:$BQ$98,MATCH(Character_Spellcasting!CD21,S08_Sorcerer!$BP$69:$BP$98,0),1),"")&amp;IFERROR(INDEX(S09_Warlock!$BQ$69:$BQ$98,MATCH(Character_Spellcasting!CD21,S09_Warlock!$BP$69:$BP$98,0),1),"")&amp;IFERROR(INDEX(S10_Wizard!$BQ$69:$BQ$98,MATCH(Character_Spellcasting!CD21,S10_Wizard!$BP$69:$BP$98,0),1),"")</f>
        <v/>
      </c>
      <c r="CK21" s="1096"/>
      <c r="CL21" s="567"/>
      <c r="CM21" s="120"/>
      <c r="CN21" s="591">
        <v>15</v>
      </c>
      <c r="CO21" s="1061" t="str">
        <f>IFERROR(INDEX(S01_Bard!$BW$6:$BW$35,MATCH(Character_Spellcasting!CN21,S01_Bard!$BY$69:$BY$98,0),1),"")&amp;IFERROR(INDEX(S02_Cleric!$BW$6:$BW$35,MATCH(Character_Spellcasting!CN21,S02_Cleric!$BY$69:$BY$98,0),1),"")&amp;IFERROR(INDEX(S03_Druid!$BW$6:$BW$35,MATCH(Character_Spellcasting!CN21,S03_Druid!$BY$69:$BY$98,0),1),"")&amp;IFERROR(INDEX(S04_EldritchKnight!$BW$6:$BW$35,MATCH(Character_Spellcasting!CN21,S04_EldritchKnight!$BY$69:$BY$98,0),1),"")&amp;IFERROR(INDEX(S05_Paladin!$BW$6:$BW$35,MATCH(Character_Spellcasting!CN21,S05_Paladin!$BY$69:$BY$98,0),1),"")&amp;IFERROR(INDEX(S06_Ranger!$BW$6:$BW$35,MATCH(Character_Spellcasting!CN21,S06_Ranger!$BY$69:$BY$988,0),1),"")&amp;IFERROR(INDEX(S07_ArcaneTrickster!$BW$6:$BW$35,MATCH(Character_Spellcasting!CN21,S07_ArcaneTrickster!$BY$69:$BY$988,0),1),"")&amp;IFERROR(INDEX(S08_Sorcerer!$BW$6:$BW$35,MATCH(Character_Spellcasting!CN21,S08_Sorcerer!$BY$69:$BY$98,0),1),"")&amp;IFERROR(INDEX(S09_Warlock!$BW$6:$BW$35,MATCH(Character_Spellcasting!CN21,S09_Warlock!$BY$69:$BY$98,0),1),"")&amp;IFERROR(INDEX(S10_Wizard!$BW$6:$BW$35,MATCH(Character_Spellcasting!CN21,S10_Wizard!$BY$69:$BY$98,0),1),"")</f>
        <v/>
      </c>
      <c r="CP21" s="1061"/>
      <c r="CQ21" s="1061"/>
      <c r="CR21" s="1061"/>
      <c r="CS21" s="1061"/>
      <c r="CT21" s="1096" t="str">
        <f>IFERROR(INDEX(S01_Bard!$BZ$69:$BZ$98,MATCH(Character_Spellcasting!CN21,S01_Bard!$D$69:$D$98,0),1),"")&amp;IFERROR(INDEX(S02_Cleric!$BZ$69:$BZ$98,MATCH(Character_Spellcasting!CN21,S02_Cleric!$BY$69:$BY$98,0),1),"")&amp;IFERROR(INDEX(S03_Druid!$BZ$69:$BZ$98,MATCH(Character_Spellcasting!CN21,S03_Druid!$BY$69:$BY$98,0),1),"")&amp;IFERROR(INDEX(S04_EldritchKnight!$BZ$69:$BZ$98,MATCH(Character_Spellcasting!CN21,S04_EldritchKnight!$BY$69:$BY$98,0),1),"")&amp;IFERROR(INDEX(S05_Paladin!$BZ$69:$BZ$98,MATCH(Character_Spellcasting!CN21,S05_Paladin!$BY$69:$BY$98,0),1),"")&amp;IFERROR(INDEX(S06_Ranger!$BZ$69:$BZ$98,MATCH(Character_Spellcasting!CN21,S06_Ranger!$BY$69:$BY$988,0),1),"")&amp;IFERROR(INDEX(S07_ArcaneTrickster!$BZ$69:$BZ$98,MATCH(Character_Spellcasting!CN21,S07_ArcaneTrickster!$BY$69:$BY$988,0),1),"")&amp;IFERROR(INDEX(S08_Sorcerer!$BZ$69:$BZ$98,MATCH(Character_Spellcasting!CN21,S08_Sorcerer!$BY$69:$BY$98,0),1),"")&amp;IFERROR(INDEX(S09_Warlock!$BZ$69:$BZ$98,MATCH(Character_Spellcasting!CN21,S09_Warlock!$BY$69:$BY$98,0),1),"")&amp;IFERROR(INDEX(S10_Wizard!$BZ$69:$BZ$98,MATCH(Character_Spellcasting!CN21,S10_Wizard!$BY$69:$BY$98,0),1),"")</f>
        <v/>
      </c>
      <c r="CU21" s="1096"/>
      <c r="CV21" s="567"/>
      <c r="CW21" s="565"/>
      <c r="CX21" s="565"/>
      <c r="CY21" s="565"/>
      <c r="CZ21" s="565"/>
      <c r="DA21" s="610">
        <v>15</v>
      </c>
      <c r="DB21" s="1061" t="str">
        <f t="shared" si="0"/>
        <v>Haste4 level</v>
      </c>
      <c r="DC21" s="1061"/>
      <c r="DD21" s="1061"/>
      <c r="DE21" s="1061"/>
      <c r="DF21" s="1061"/>
      <c r="DG21" s="1096" t="str">
        <f t="shared" si="1"/>
        <v>Wizard</v>
      </c>
      <c r="DH21" s="1096"/>
      <c r="DI21" s="565"/>
      <c r="DJ21" s="565"/>
      <c r="DK21" s="565"/>
      <c r="DL21" s="565"/>
      <c r="DM21" s="565"/>
      <c r="DN21" s="565"/>
      <c r="DO21" s="565"/>
      <c r="DP21" s="565"/>
      <c r="DQ21" s="565"/>
      <c r="DR21" s="565"/>
      <c r="DS21" s="565"/>
      <c r="DT21" s="565"/>
      <c r="DU21" s="565"/>
      <c r="DV21" s="565"/>
    </row>
    <row r="22" spans="1:126" ht="21" customHeight="1" x14ac:dyDescent="0.25">
      <c r="A22" s="120"/>
      <c r="B22" s="610">
        <v>16</v>
      </c>
      <c r="C22" s="1061"/>
      <c r="D22" s="1061"/>
      <c r="E22" s="1061"/>
      <c r="F22" s="1061"/>
      <c r="G22" s="1061"/>
      <c r="H22" s="1096"/>
      <c r="I22" s="1096"/>
      <c r="J22" s="120"/>
      <c r="K22" s="120"/>
      <c r="L22" s="591">
        <v>16</v>
      </c>
      <c r="M22" s="1061" t="str">
        <f>IFERROR(INDEX(S01_Bard!$C$6:$C$35,MATCH(Character_Spellcasting!L22,S01_Bard!$E$69:$E$98,0),1),"")&amp;IFERROR(INDEX(S02_Cleric!$C$6:$C$35,MATCH(Character_Spellcasting!L22,S02_Cleric!$E$69:$E$98,0),1),"")&amp;IFERROR(INDEX(S03_Druid!$C$6:$C$35,MATCH(Character_Spellcasting!L22,S03_Druid!$E$69:$E$98,0),1),"")&amp;IFERROR(INDEX(S04_EldritchKnight!$C$6:$C$35,MATCH(Character_Spellcasting!L22,S04_EldritchKnight!$E$69:$E$98,0),1),"")&amp;IFERROR(INDEX(S05_Paladin!$C$6:$C$35,MATCH(Character_Spellcasting!L22,S05_Paladin!$E$69:$E$98,0),1),"")&amp;IFERROR(INDEX(S06_Ranger!$C$6:$C$35,MATCH(Character_Spellcasting!L22,S06_Ranger!$E$69:$E$988,0),1),"")&amp;IFERROR(INDEX(S07_ArcaneTrickster!$C$6:$C$35,MATCH(Character_Spellcasting!L22,S07_ArcaneTrickster!$E$69:$E$988,0),1),"")&amp;IFERROR(INDEX(S08_Sorcerer!$C$6:$C$35,MATCH(Character_Spellcasting!L22,S08_Sorcerer!$E$69:$E$98,0),1),"")&amp;IFERROR(INDEX(S09_Warlock!$C$6:$C$35,MATCH(Character_Spellcasting!L22,S09_Warlock!$E$69:$E$98,0),1),"")&amp;IFERROR(INDEX(S10_Wizard!$C$6:$C$35,MATCH(Character_Spellcasting!L22,S10_Wizard!$E$69:$E$98,0),1),"")</f>
        <v/>
      </c>
      <c r="N22" s="1061"/>
      <c r="O22" s="1061"/>
      <c r="P22" s="1061"/>
      <c r="Q22" s="1061"/>
      <c r="R22" s="1096" t="str">
        <f>IFERROR(INDEX(S01_Bard!$F$69:$F$98,MATCH(Character_Spellcasting!L22,S01_Bard!$D$69:$D$98,0),1),"")&amp;IFERROR(INDEX(S02_Cleric!$F$69:$F$98,MATCH(Character_Spellcasting!L22,S02_Cleric!$E$69:$E$98,0),1),"")&amp;IFERROR(INDEX(S03_Druid!$F$69:$F$98,MATCH(Character_Spellcasting!L22,S03_Druid!$E$69:$E$98,0),1),"")&amp;IFERROR(INDEX(S04_EldritchKnight!$F$69:$F$98,MATCH(Character_Spellcasting!L22,S04_EldritchKnight!$E$69:$E$98,0),1),"")&amp;IFERROR(INDEX(S05_Paladin!$F$69:$F$98,MATCH(Character_Spellcasting!L22,S05_Paladin!$E$69:$E$98,0),1),"")&amp;IFERROR(INDEX(S06_Ranger!$F$69:$F$98,MATCH(Character_Spellcasting!L22,S06_Ranger!$E$69:$E$988,0),1),"")&amp;IFERROR(INDEX(S07_ArcaneTrickster!$F$69:$F$98,MATCH(Character_Spellcasting!L22,S07_ArcaneTrickster!$E$69:$E$988,0),1),"")&amp;IFERROR(INDEX(S08_Sorcerer!$F$69:$F$98,MATCH(Character_Spellcasting!L22,S08_Sorcerer!$E$69:$E$98,0),1),"")&amp;IFERROR(INDEX(S09_Warlock!$F$69:$F$98,MATCH(Character_Spellcasting!L22,S09_Warlock!$E$69:$E$98,0),1),"")&amp;IFERROR(INDEX(S10_Wizard!$F$69:$F$98,MATCH(Character_Spellcasting!L22,S10_Wizard!$E$69:$E$98,0),1),"")</f>
        <v/>
      </c>
      <c r="S22" s="1096"/>
      <c r="T22" s="567"/>
      <c r="U22" s="565"/>
      <c r="V22" s="591">
        <v>16</v>
      </c>
      <c r="W22" s="1061" t="str">
        <f>IFERROR(INDEX(S01_Bard!$L$6:$L$35,MATCH(Character_Spellcasting!V22,S01_Bard!$N$69:$N$98,0),1),"")&amp;IFERROR(INDEX(S02_Cleric!$L$6:$L$35,MATCH(Character_Spellcasting!V22,S02_Cleric!$N$69:$N$98,0),1),"")&amp;IFERROR(INDEX(S03_Druid!$L$6:$L$35,MATCH(Character_Spellcasting!V22,S03_Druid!$N$69:$N$98,0),1),"")&amp;IFERROR(INDEX(S04_EldritchKnight!$L$6:$L$35,MATCH(Character_Spellcasting!V22,S04_EldritchKnight!$N$69:$N$98,0),1),"")&amp;IFERROR(INDEX(S05_Paladin!$L$6:$L$35,MATCH(Character_Spellcasting!V22,S05_Paladin!$N$69:$N$98,0),1),"")&amp;IFERROR(INDEX(S06_Ranger!$L$6:$L$35,MATCH(Character_Spellcasting!V22,S06_Ranger!$N$69:$N$988,0),1),"")&amp;IFERROR(INDEX(S07_ArcaneTrickster!$L$6:$L$35,MATCH(Character_Spellcasting!V22,S07_ArcaneTrickster!$N$69:$N$988,0),1),"")&amp;IFERROR(INDEX(S08_Sorcerer!$L$6:$L$35,MATCH(Character_Spellcasting!V22,S08_Sorcerer!$N$69:$N$98,0),1),"")&amp;IFERROR(INDEX(S09_Warlock!$L$6:$L$35,MATCH(Character_Spellcasting!V22,S09_Warlock!$N$69:$N$98,0),1),"")&amp;IFERROR(INDEX(S10_Wizard!$L$6:$L$35,MATCH(Character_Spellcasting!V22,S10_Wizard!$N$69:$N$98,0),1),"")</f>
        <v/>
      </c>
      <c r="X22" s="1061"/>
      <c r="Y22" s="1061"/>
      <c r="Z22" s="1061"/>
      <c r="AA22" s="1061"/>
      <c r="AB22" s="1097" t="str">
        <f>IFERROR(INDEX(S01_Bard!$O$69:$O$98,MATCH(Character_Spellcasting!V22,S01_Bard!$N$69:$N$98,0),1),"")&amp;IFERROR(INDEX(S02_Cleric!$O$69:$O$98,MATCH(Character_Spellcasting!V22,S02_Cleric!$N$69:$N$98,0),1),"")&amp;IFERROR(INDEX(S03_Druid!$O$69:$O$98,MATCH(Character_Spellcasting!V22,S03_Druid!$N$69:$N$98,0),1),"")&amp;IFERROR(INDEX(S04_EldritchKnight!$O$69:$O$98,MATCH(Character_Spellcasting!V22,S04_EldritchKnight!$N$69:$N$98,0),1),"")&amp;IFERROR(INDEX(S05_Paladin!$O$69:$O$98,MATCH(Character_Spellcasting!V22,S05_Paladin!$N$69:$N$98,0),1),"")&amp;IFERROR(INDEX(S06_Ranger!$O$69:$O$98,MATCH(Character_Spellcasting!V22,S06_Ranger!$N$69:$N$988,0),1),"")&amp;IFERROR(INDEX(S07_ArcaneTrickster!$O$69:$O$98,MATCH(Character_Spellcasting!V22,S07_ArcaneTrickster!$N$69:$N$988,0),1),"")&amp;IFERROR(INDEX(S08_Sorcerer!$O$69:$O$98,MATCH(Character_Spellcasting!V22,S08_Sorcerer!$N$69:$N$98,0),1),"")&amp;IFERROR(INDEX(S09_Warlock!$O$69:$O$98,MATCH(Character_Spellcasting!V22,S09_Warlock!$N$69:$N$98,0),1),"")&amp;IFERROR(INDEX(S10_Wizard!$O$69:$O$98,MATCH(Character_Spellcasting!V22,S10_Wizard!$N$69:$N$98,0),1),"")</f>
        <v/>
      </c>
      <c r="AC22" s="1098"/>
      <c r="AD22" s="567"/>
      <c r="AE22" s="565"/>
      <c r="AF22" s="609">
        <v>16</v>
      </c>
      <c r="AG22" s="1061" t="str">
        <f>IFERROR(INDEX(S01_Bard!$U$6:$U$35,MATCH(Character_Spellcasting!AF22,S01_Bard!$W$69:$W$98,0),1),"")&amp;IFERROR(INDEX(S02_Cleric!$U$6:$U$35,MATCH(Character_Spellcasting!AF22,S02_Cleric!$W$69:$W$98,0),1),"")&amp;IFERROR(INDEX(S03_Druid!$U$6:$U$35,MATCH(Character_Spellcasting!AF22,S03_Druid!$W$69:$W$98,0),1),"")&amp;IFERROR(INDEX(S04_EldritchKnight!$U$6:$U$35,MATCH(Character_Spellcasting!AF22,S04_EldritchKnight!$W$69:$W$98,0),1),"")&amp;IFERROR(INDEX(S05_Paladin!$U$6:$U$35,MATCH(Character_Spellcasting!AF22,S05_Paladin!$W$69:$W$98,0),1),"")&amp;IFERROR(INDEX(S06_Ranger!$U$6:$U$35,MATCH(Character_Spellcasting!AF22,S06_Ranger!$W$69:$W$988,0),1),"")&amp;IFERROR(INDEX(S07_ArcaneTrickster!$U$6:$U$35,MATCH(Character_Spellcasting!AF22,S07_ArcaneTrickster!$W$69:$W$988,0),1),"")&amp;IFERROR(INDEX(S08_Sorcerer!$U$6:$U$35,MATCH(Character_Spellcasting!AF22,S08_Sorcerer!$W$69:$W$98,0),1),"")&amp;IFERROR(INDEX(S09_Warlock!$U$6:$U$35,MATCH(Character_Spellcasting!AF22,S09_Warlock!$W$69:$W$98,0),1),"")&amp;IFERROR(INDEX(S10_Wizard!$U$6:$U$35,MATCH(Character_Spellcasting!AF22,S10_Wizard!$W$69:$W$98,0),1),"")</f>
        <v/>
      </c>
      <c r="AH22" s="1061"/>
      <c r="AI22" s="1061"/>
      <c r="AJ22" s="1061"/>
      <c r="AK22" s="1061"/>
      <c r="AL22" s="1097" t="str">
        <f>IFERROR(INDEX(S01_Bard!$X$69:$X$98,MATCH(Character_Spellcasting!AF22,S01_Bard!$W$69:$W$98,0),1),"")&amp;IFERROR(INDEX(S02_Cleric!$X$69:$X$98,MATCH(Character_Spellcasting!AF22,S02_Cleric!$W$69:$W$98,0),1),"")&amp;IFERROR(INDEX(S03_Druid!$X$69:$X$98,MATCH(Character_Spellcasting!AF22,S03_Druid!$W$69:$W$98,0),1),"")&amp;IFERROR(INDEX(S04_EldritchKnight!$X$69:$X$98,MATCH(Character_Spellcasting!AF22,S04_EldritchKnight!$W$69:$W$98,0),1),"")&amp;IFERROR(INDEX(S05_Paladin!$X$69:$X$98,MATCH(Character_Spellcasting!AF22,S05_Paladin!$W$69:$W$98,0),1),"")&amp;IFERROR(INDEX(S06_Ranger!$X$69:$X$98,MATCH(Character_Spellcasting!AF22,S06_Ranger!$W$69:$W$988,0),1),"")&amp;IFERROR(INDEX(S07_ArcaneTrickster!$X$69:$X$98,MATCH(Character_Spellcasting!AF22,S07_ArcaneTrickster!$W$69:$W$988,0),1),"")&amp;IFERROR(INDEX(S08_Sorcerer!$X$69:$X$98,MATCH(Character_Spellcasting!AF22,S08_Sorcerer!$W$69:$W$98,0),1),"")&amp;IFERROR(INDEX(S09_Warlock!$X$69:$X$98,MATCH(Character_Spellcasting!AF22,S09_Warlock!$W$69:$W$98,0),1),"")&amp;IFERROR(INDEX(S10_Wizard!$X$69:$X$98,MATCH(Character_Spellcasting!AF22,S10_Wizard!$W$69:$W$98,0),1),"")</f>
        <v/>
      </c>
      <c r="AM22" s="1098"/>
      <c r="AN22" s="567"/>
      <c r="AO22" s="565"/>
      <c r="AP22" s="591">
        <v>16</v>
      </c>
      <c r="AQ22" s="1061" t="str">
        <f>IFERROR(INDEX(S01_Bard!$AD$6:$AD$35,MATCH(Character_Spellcasting!AP22,S01_Bard!$AF$69:$AF$98,0),1),"")&amp;IFERROR(INDEX(S02_Cleric!$AD$6:$AD$35,MATCH(Character_Spellcasting!AP22,S02_Cleric!$AF$69:$AF$98,0),1),"")&amp;IFERROR(INDEX(S03_Druid!$AD$6:$AD$35,MATCH(Character_Spellcasting!AP22,S03_Druid!$AF$69:$AF$98,0),1),"")&amp;IFERROR(INDEX(S04_EldritchKnight!$AD$6:$AD$35,MATCH(Character_Spellcasting!AP22,S04_EldritchKnight!$AF$69:$AF$98,0),1),"")&amp;IFERROR(INDEX(S05_Paladin!$AD$6:$AD$35,MATCH(Character_Spellcasting!AP22,S05_Paladin!$AF$69:$AF$98,0),1),"")&amp;IFERROR(INDEX(S06_Ranger!$AD$6:$AD$35,MATCH(Character_Spellcasting!AP22,S06_Ranger!$AF$69:$AF$988,0),1),"")&amp;IFERROR(INDEX(S07_ArcaneTrickster!$AD$6:$AD$35,MATCH(Character_Spellcasting!AP22,S07_ArcaneTrickster!$AF$69:$AF$988,0),1),"")&amp;IFERROR(INDEX(S08_Sorcerer!$AD$6:$AD$35,MATCH(Character_Spellcasting!AP22,S08_Sorcerer!$AF$69:$AF$98,0),1),"")&amp;IFERROR(INDEX(S09_Warlock!$AD$6:$AD$35,MATCH(Character_Spellcasting!AP22,S09_Warlock!$AF$69:$AF$98,0),1),"")&amp;IFERROR(INDEX(S10_Wizard!$AD$6:$AD$35,MATCH(Character_Spellcasting!AP22,S10_Wizard!$AF$69:$AF$98,0),1),"")</f>
        <v/>
      </c>
      <c r="AR22" s="1061"/>
      <c r="AS22" s="1061"/>
      <c r="AT22" s="1061"/>
      <c r="AU22" s="1061"/>
      <c r="AV22" s="1096" t="str">
        <f>IFERROR(INDEX(S01_Bard!$AG$69:$AG$98,MATCH(Character_Spellcasting!AP22,S01_Bard!$D$69:$D$98,0),1),"")&amp;IFERROR(INDEX(S02_Cleric!$AG$69:$AG$98,MATCH(Character_Spellcasting!AP22,S02_Cleric!$AF$69:$AF$98,0),1),"")&amp;IFERROR(INDEX(S03_Druid!$AG$69:$AG$98,MATCH(Character_Spellcasting!AP22,S03_Druid!$AF$69:$AF$98,0),1),"")&amp;IFERROR(INDEX(S04_EldritchKnight!$AG$69:$AG$98,MATCH(Character_Spellcasting!AP22,S04_EldritchKnight!$AF$69:$AF$98,0),1),"")&amp;IFERROR(INDEX(S05_Paladin!$AG$69:$AG$98,MATCH(Character_Spellcasting!AP22,S05_Paladin!$AF$69:$AF$98,0),1),"")&amp;IFERROR(INDEX(S06_Ranger!$AG$69:$AG$98,MATCH(Character_Spellcasting!AP22,S06_Ranger!$AF$69:$AF$988,0),1),"")&amp;IFERROR(INDEX(S07_ArcaneTrickster!$AG$69:$AG$98,MATCH(Character_Spellcasting!AP22,S07_ArcaneTrickster!$AF$69:$AF$988,0),1),"")&amp;IFERROR(INDEX(S08_Sorcerer!$AG$69:$AG$98,MATCH(Character_Spellcasting!AP22,S08_Sorcerer!$AF$69:$AF$98,0),1),"")&amp;IFERROR(INDEX(S09_Warlock!$AG$69:$AG$98,MATCH(Character_Spellcasting!AP22,S09_Warlock!$AF$69:$AF$98,0),1),"")&amp;IFERROR(INDEX(S10_Wizard!$AG$69:$AG$98,MATCH(Character_Spellcasting!AP22,S10_Wizard!$AF$69:$AF$98,0),1),"")</f>
        <v/>
      </c>
      <c r="AW22" s="1096"/>
      <c r="AX22" s="567"/>
      <c r="AY22" s="565"/>
      <c r="AZ22" s="591">
        <v>16</v>
      </c>
      <c r="BA22" s="1061" t="str">
        <f>IFERROR(INDEX(S01_Bard!$AM$6:$AM$35,MATCH(Character_Spellcasting!AZ22,S01_Bard!$AO$69:$AO$98,0),1),"")&amp;IFERROR(INDEX(S02_Cleric!$AM$6:$AM$35,MATCH(Character_Spellcasting!AZ22,S02_Cleric!$AO$69:$AO$98,0),1),"")&amp;IFERROR(INDEX(S03_Druid!$AM$6:$AM$35,MATCH(Character_Spellcasting!AZ22,S03_Druid!$AO$69:$AO$98,0),1),"")&amp;IFERROR(INDEX(S04_EldritchKnight!$AM$6:$AM$35,MATCH(Character_Spellcasting!AZ22,S04_EldritchKnight!$AO$69:$AO$98,0),1),"")&amp;IFERROR(INDEX(S05_Paladin!$AM$6:$AM$35,MATCH(Character_Spellcasting!AZ22,S05_Paladin!$AO$69:$AO$98,0),1),"")&amp;IFERROR(INDEX(S06_Ranger!$AM$6:$AM$35,MATCH(Character_Spellcasting!AZ22,S06_Ranger!$AO$69:$AO$988,0),1),"")&amp;IFERROR(INDEX(S07_ArcaneTrickster!$AM$6:$AM$35,MATCH(Character_Spellcasting!AZ22,S07_ArcaneTrickster!$AO$69:$AO$988,0),1),"")&amp;IFERROR(INDEX(S08_Sorcerer!$AM$6:$AM$35,MATCH(Character_Spellcasting!AZ22,S08_Sorcerer!$AO$69:$AO$98,0),1),"")&amp;IFERROR(INDEX(S09_Warlock!$AM$6:$AM$35,MATCH(Character_Spellcasting!AZ22,S09_Warlock!$AO$69:$AO$98,0),1),"")&amp;IFERROR(INDEX(S10_Wizard!$AM$6:$AM$35,MATCH(Character_Spellcasting!AZ22,S10_Wizard!$AO$69:$AO$98,0),1),"")</f>
        <v/>
      </c>
      <c r="BB22" s="1061"/>
      <c r="BC22" s="1061"/>
      <c r="BD22" s="1061"/>
      <c r="BE22" s="1061"/>
      <c r="BF22" s="1096" t="str">
        <f>IFERROR(INDEX(S01_Bard!$AP$69:$AP$98,MATCH(Character_Spellcasting!AZ22,S01_Bard!$D$69:$D$98,0),1),"")&amp;IFERROR(INDEX(S02_Cleric!$AP$69:$AP$98,MATCH(Character_Spellcasting!AZ22,S02_Cleric!$AO$69:$AO$98,0),1),"")&amp;IFERROR(INDEX(S03_Druid!$AP$69:$AP$98,MATCH(Character_Spellcasting!AZ22,S03_Druid!$AO$69:$AO$98,0),1),"")&amp;IFERROR(INDEX(S04_EldritchKnight!$AP$69:$AP$98,MATCH(Character_Spellcasting!AZ22,S04_EldritchKnight!$AO$69:$AO$98,0),1),"")&amp;IFERROR(INDEX(S05_Paladin!$AP$69:$AP$98,MATCH(Character_Spellcasting!AZ22,S05_Paladin!$AO$69:$AO$98,0),1),"")&amp;IFERROR(INDEX(S06_Ranger!$AP$69:$AP$98,MATCH(Character_Spellcasting!AZ22,S06_Ranger!$AO$69:$AO$988,0),1),"")&amp;IFERROR(INDEX(S07_ArcaneTrickster!$AP$69:$AP$98,MATCH(Character_Spellcasting!AZ22,S07_ArcaneTrickster!$AO$69:$AO$988,0),1),"")&amp;IFERROR(INDEX(S08_Sorcerer!$AP$69:$AP$98,MATCH(Character_Spellcasting!AZ22,S08_Sorcerer!$AO$69:$AO$98,0),1),"")&amp;IFERROR(INDEX(S09_Warlock!$AP$69:$AP$98,MATCH(Character_Spellcasting!AZ22,S09_Warlock!$AO$69:$AO$98,0),1),"")&amp;IFERROR(INDEX(S10_Wizard!$AP$69:$AP$98,MATCH(Character_Spellcasting!AZ22,S10_Wizard!$AO$69:$AO$98,0),1),"")</f>
        <v/>
      </c>
      <c r="BG22" s="1096"/>
      <c r="BH22" s="567"/>
      <c r="BI22" s="120"/>
      <c r="BJ22" s="591">
        <v>16</v>
      </c>
      <c r="BK22" s="1061" t="str">
        <f>IFERROR(INDEX(S01_Bard!$AV$6:$AV$35,MATCH(Character_Spellcasting!BJ22,S01_Bard!$AX$69:$AX$98,0),1),"")&amp;IFERROR(INDEX(S02_Cleric!$AV$6:$AV$35,MATCH(Character_Spellcasting!BJ22,S02_Cleric!$AX$69:$AX$98,0),1),"")&amp;IFERROR(INDEX(S03_Druid!$AV$6:$AV$35,MATCH(Character_Spellcasting!BJ22,S03_Druid!$AX$69:$AX$98,0),1),"")&amp;IFERROR(INDEX(S04_EldritchKnight!$AV$6:$AV$35,MATCH(Character_Spellcasting!BJ22,S04_EldritchKnight!$AX$69:$AX$98,0),1),"")&amp;IFERROR(INDEX(S05_Paladin!$AV$6:$AV$35,MATCH(Character_Spellcasting!BJ22,S05_Paladin!$AX$69:$AX$98,0),1),"")&amp;IFERROR(INDEX(S06_Ranger!$AV$6:$AV$35,MATCH(Character_Spellcasting!BJ22,S06_Ranger!$AX$69:$AX$988,0),1),"")&amp;IFERROR(INDEX(S07_ArcaneTrickster!$AV$6:$AV$35,MATCH(Character_Spellcasting!BJ22,S07_ArcaneTrickster!$AX$69:$AX$988,0),1),"")&amp;IFERROR(INDEX(S08_Sorcerer!$AV$6:$AV$35,MATCH(Character_Spellcasting!BJ22,S08_Sorcerer!$AX$69:$AX$98,0),1),"")&amp;IFERROR(INDEX(S09_Warlock!$AV$6:$AV$35,MATCH(Character_Spellcasting!BJ22,S09_Warlock!$AX$69:$AX$98,0),1),"")&amp;IFERROR(INDEX(S10_Wizard!$AV$6:$AV$35,MATCH(Character_Spellcasting!BJ22,S10_Wizard!$AX$69:$AX$98,0),1),"")</f>
        <v/>
      </c>
      <c r="BL22" s="1061"/>
      <c r="BM22" s="1061"/>
      <c r="BN22" s="1061"/>
      <c r="BO22" s="1061"/>
      <c r="BP22" s="1096" t="str">
        <f>IFERROR(INDEX(S01_Bard!$AY$69:$AY$98,MATCH(Character_Spellcasting!BJ22,S01_Bard!$D$69:$D$98,0),1),"")&amp;IFERROR(INDEX(S02_Cleric!$AY$69:$AY$98,MATCH(Character_Spellcasting!BJ22,S02_Cleric!$AX$69:$AX$98,0),1),"")&amp;IFERROR(INDEX(S03_Druid!$AY$69:$AY$98,MATCH(Character_Spellcasting!BJ22,S03_Druid!$AX$69:$AX$98,0),1),"")&amp;IFERROR(INDEX(S04_EldritchKnight!$AY$69:$AY$98,MATCH(Character_Spellcasting!BJ22,S04_EldritchKnight!$AX$69:$AX$98,0),1),"")&amp;IFERROR(INDEX(S05_Paladin!$AY$69:$AY$98,MATCH(Character_Spellcasting!BJ22,S05_Paladin!$AX$69:$AX$98,0),1),"")&amp;IFERROR(INDEX(S06_Ranger!$AY$69:$AY$98,MATCH(Character_Spellcasting!BJ22,S06_Ranger!$AX$69:$AX$988,0),1),"")&amp;IFERROR(INDEX(S07_ArcaneTrickster!$AY$69:$AY$98,MATCH(Character_Spellcasting!BJ22,S07_ArcaneTrickster!$AX$69:$AX$988,0),1),"")&amp;IFERROR(INDEX(S08_Sorcerer!$AY$69:$AY$98,MATCH(Character_Spellcasting!BJ22,S08_Sorcerer!$AX$69:$AX$98,0),1),"")&amp;IFERROR(INDEX(S09_Warlock!$AY$69:$AY$98,MATCH(Character_Spellcasting!BJ22,S09_Warlock!$AX$69:$AX$98,0),1),"")&amp;IFERROR(INDEX(S10_Wizard!$AY$69:$AY$98,MATCH(Character_Spellcasting!BJ22,S10_Wizard!$AX$69:$AX$98,0),1),"")</f>
        <v/>
      </c>
      <c r="BQ22" s="1096"/>
      <c r="BR22" s="567"/>
      <c r="BS22" s="120"/>
      <c r="BT22" s="591">
        <v>16</v>
      </c>
      <c r="BU22" s="1061" t="str">
        <f>IFERROR(INDEX(S01_Bard!$BE$6:$BE$35,MATCH(Character_Spellcasting!BT22,S01_Bard!$BG$69:$BG$98,0),1),"")&amp;IFERROR(INDEX(S02_Cleric!$BE$6:$BE$35,MATCH(Character_Spellcasting!BT22,S02_Cleric!$BG$69:$BG$98,0),1),"")&amp;IFERROR(INDEX(S03_Druid!$BE$6:$BE$35,MATCH(Character_Spellcasting!BT22,S03_Druid!$BG$69:$BG$98,0),1),"")&amp;IFERROR(INDEX(S04_EldritchKnight!$BE$6:$BE$35,MATCH(Character_Spellcasting!BT22,S04_EldritchKnight!$BG$69:$BG$98,0),1),"")&amp;IFERROR(INDEX(S05_Paladin!$BE$6:$BE$35,MATCH(Character_Spellcasting!BT22,S05_Paladin!$BG$69:$BG$98,0),1),"")&amp;IFERROR(INDEX(S06_Ranger!$BE$6:$BE$35,MATCH(Character_Spellcasting!BT22,S06_Ranger!$BG$69:$BG$988,0),1),"")&amp;IFERROR(INDEX(S07_ArcaneTrickster!$BE$6:$BE$35,MATCH(Character_Spellcasting!BT22,S07_ArcaneTrickster!$BG$69:$BG$988,0),1),"")&amp;IFERROR(INDEX(S08_Sorcerer!$BE$6:$BE$35,MATCH(Character_Spellcasting!BT22,S08_Sorcerer!$BG$69:$BG$98,0),1),"")&amp;IFERROR(INDEX(S09_Warlock!$BE$6:$BE$35,MATCH(Character_Spellcasting!BT22,S09_Warlock!$BG$69:$BG$98,0),1),"")&amp;IFERROR(INDEX(S10_Wizard!$BE$6:$BE$35,MATCH(Character_Spellcasting!BT22,S10_Wizard!$BG$69:$BG$98,0),1),"")</f>
        <v/>
      </c>
      <c r="BV22" s="1061"/>
      <c r="BW22" s="1061"/>
      <c r="BX22" s="1061"/>
      <c r="BY22" s="1061"/>
      <c r="BZ22" s="1096" t="str">
        <f>IFERROR(INDEX(S01_Bard!$BH$69:$BH$98,MATCH(Character_Spellcasting!BT22,S01_Bard!$D$69:$D$98,0),1),"")&amp;IFERROR(INDEX(S02_Cleric!$BH$69:$BH$98,MATCH(Character_Spellcasting!BT22,S02_Cleric!$BG$69:$BG$98,0),1),"")&amp;IFERROR(INDEX(S03_Druid!$BH$69:$BH$98,MATCH(Character_Spellcasting!BT22,S03_Druid!$BG$69:$BG$98,0),1),"")&amp;IFERROR(INDEX(S04_EldritchKnight!$BH$69:$BH$98,MATCH(Character_Spellcasting!BT22,S04_EldritchKnight!$BG$69:$BG$98,0),1),"")&amp;IFERROR(INDEX(S05_Paladin!$BH$69:$BH$98,MATCH(Character_Spellcasting!BT22,S05_Paladin!$BG$69:$BG$98,0),1),"")&amp;IFERROR(INDEX(S06_Ranger!$BH$69:$BH$98,MATCH(Character_Spellcasting!BT22,S06_Ranger!$BG$69:$BG$988,0),1),"")&amp;IFERROR(INDEX(S07_ArcaneTrickster!$BH$69:$BH$98,MATCH(Character_Spellcasting!BT22,S07_ArcaneTrickster!$BG$69:$BG$988,0),1),"")&amp;IFERROR(INDEX(S08_Sorcerer!$BH$69:$BH$98,MATCH(Character_Spellcasting!BT22,S08_Sorcerer!$BG$69:$BG$98,0),1),"")&amp;IFERROR(INDEX(S09_Warlock!$BH$69:$BH$98,MATCH(Character_Spellcasting!BT22,S09_Warlock!$BG$69:$BG$98,0),1),"")&amp;IFERROR(INDEX(S10_Wizard!$BH$69:$BH$98,MATCH(Character_Spellcasting!BT22,S10_Wizard!$BG$69:$BG$98,0),1),"")</f>
        <v/>
      </c>
      <c r="CA22" s="1096"/>
      <c r="CB22" s="567"/>
      <c r="CC22" s="120"/>
      <c r="CD22" s="591">
        <v>16</v>
      </c>
      <c r="CE22" s="1061" t="str">
        <f>IFERROR(INDEX(S01_Bard!$BN$6:$BN$35,MATCH(Character_Spellcasting!CD22,S01_Bard!$BP$69:$BP$98,0),1),"")&amp;IFERROR(INDEX(S02_Cleric!$BN$6:$BN$35,MATCH(Character_Spellcasting!CD22,S02_Cleric!$BP$69:$BP$98,0),1),"")&amp;IFERROR(INDEX(S03_Druid!$BN$6:$BN$35,MATCH(Character_Spellcasting!CD22,S03_Druid!$BP$69:$BP$98,0),1),"")&amp;IFERROR(INDEX(S04_EldritchKnight!$BN$6:$BN$35,MATCH(Character_Spellcasting!CD22,S04_EldritchKnight!$BP$69:$BP$98,0),1),"")&amp;IFERROR(INDEX(S05_Paladin!$BN$6:$BN$35,MATCH(Character_Spellcasting!CD22,S05_Paladin!$BP$69:$BP$98,0),1),"")&amp;IFERROR(INDEX(S06_Ranger!$BN$6:$BN$35,MATCH(Character_Spellcasting!CD22,S06_Ranger!$BP$69:$BP$988,0),1),"")&amp;IFERROR(INDEX(S07_ArcaneTrickster!$BN$6:$BN$35,MATCH(Character_Spellcasting!CD22,S07_ArcaneTrickster!$BP$69:$BP$988,0),1),"")&amp;IFERROR(INDEX(S08_Sorcerer!$BN$6:$BN$35,MATCH(Character_Spellcasting!CD22,S08_Sorcerer!$BP$69:$BP$98,0),1),"")&amp;IFERROR(INDEX(S09_Warlock!$BN$6:$BN$35,MATCH(Character_Spellcasting!CD22,S09_Warlock!$BP$69:$BP$98,0),1),"")&amp;IFERROR(INDEX(S10_Wizard!$BN$6:$BN$35,MATCH(Character_Spellcasting!CD22,S10_Wizard!$BP$69:$BP$98,0),1),"")</f>
        <v/>
      </c>
      <c r="CF22" s="1061"/>
      <c r="CG22" s="1061"/>
      <c r="CH22" s="1061"/>
      <c r="CI22" s="1061"/>
      <c r="CJ22" s="1096" t="str">
        <f>IFERROR(INDEX(S01_Bard!$BQ$69:$BQ$98,MATCH(Character_Spellcasting!CD22,S01_Bard!$D$69:$D$98,0),1),"")&amp;IFERROR(INDEX(S02_Cleric!$BQ$69:$BQ$98,MATCH(Character_Spellcasting!CD22,S02_Cleric!$BP$69:$BP$98,0),1),"")&amp;IFERROR(INDEX(S03_Druid!$BQ$69:$BQ$98,MATCH(Character_Spellcasting!CD22,S03_Druid!$BP$69:$BP$98,0),1),"")&amp;IFERROR(INDEX(S04_EldritchKnight!$BQ$69:$BQ$98,MATCH(Character_Spellcasting!CD22,S04_EldritchKnight!$BP$69:$BP$98,0),1),"")&amp;IFERROR(INDEX(S05_Paladin!$BQ$69:$BQ$98,MATCH(Character_Spellcasting!CD22,S05_Paladin!$BP$69:$BP$98,0),1),"")&amp;IFERROR(INDEX(S06_Ranger!$BQ$69:$BQ$98,MATCH(Character_Spellcasting!CD22,S06_Ranger!$BP$69:$BP$988,0),1),"")&amp;IFERROR(INDEX(S07_ArcaneTrickster!$BQ$69:$BQ$98,MATCH(Character_Spellcasting!CD22,S07_ArcaneTrickster!$BP$69:$BP$988,0),1),"")&amp;IFERROR(INDEX(S08_Sorcerer!$BQ$69:$BQ$98,MATCH(Character_Spellcasting!CD22,S08_Sorcerer!$BP$69:$BP$98,0),1),"")&amp;IFERROR(INDEX(S09_Warlock!$BQ$69:$BQ$98,MATCH(Character_Spellcasting!CD22,S09_Warlock!$BP$69:$BP$98,0),1),"")&amp;IFERROR(INDEX(S10_Wizard!$BQ$69:$BQ$98,MATCH(Character_Spellcasting!CD22,S10_Wizard!$BP$69:$BP$98,0),1),"")</f>
        <v/>
      </c>
      <c r="CK22" s="1096"/>
      <c r="CL22" s="567"/>
      <c r="CM22" s="120"/>
      <c r="CN22" s="591">
        <v>16</v>
      </c>
      <c r="CO22" s="1061" t="str">
        <f>IFERROR(INDEX(S01_Bard!$BW$6:$BW$35,MATCH(Character_Spellcasting!CN22,S01_Bard!$BY$69:$BY$98,0),1),"")&amp;IFERROR(INDEX(S02_Cleric!$BW$6:$BW$35,MATCH(Character_Spellcasting!CN22,S02_Cleric!$BY$69:$BY$98,0),1),"")&amp;IFERROR(INDEX(S03_Druid!$BW$6:$BW$35,MATCH(Character_Spellcasting!CN22,S03_Druid!$BY$69:$BY$98,0),1),"")&amp;IFERROR(INDEX(S04_EldritchKnight!$BW$6:$BW$35,MATCH(Character_Spellcasting!CN22,S04_EldritchKnight!$BY$69:$BY$98,0),1),"")&amp;IFERROR(INDEX(S05_Paladin!$BW$6:$BW$35,MATCH(Character_Spellcasting!CN22,S05_Paladin!$BY$69:$BY$98,0),1),"")&amp;IFERROR(INDEX(S06_Ranger!$BW$6:$BW$35,MATCH(Character_Spellcasting!CN22,S06_Ranger!$BY$69:$BY$988,0),1),"")&amp;IFERROR(INDEX(S07_ArcaneTrickster!$BW$6:$BW$35,MATCH(Character_Spellcasting!CN22,S07_ArcaneTrickster!$BY$69:$BY$988,0),1),"")&amp;IFERROR(INDEX(S08_Sorcerer!$BW$6:$BW$35,MATCH(Character_Spellcasting!CN22,S08_Sorcerer!$BY$69:$BY$98,0),1),"")&amp;IFERROR(INDEX(S09_Warlock!$BW$6:$BW$35,MATCH(Character_Spellcasting!CN22,S09_Warlock!$BY$69:$BY$98,0),1),"")&amp;IFERROR(INDEX(S10_Wizard!$BW$6:$BW$35,MATCH(Character_Spellcasting!CN22,S10_Wizard!$BY$69:$BY$98,0),1),"")</f>
        <v/>
      </c>
      <c r="CP22" s="1061"/>
      <c r="CQ22" s="1061"/>
      <c r="CR22" s="1061"/>
      <c r="CS22" s="1061"/>
      <c r="CT22" s="1096" t="str">
        <f>IFERROR(INDEX(S01_Bard!$BZ$69:$BZ$98,MATCH(Character_Spellcasting!CN22,S01_Bard!$D$69:$D$98,0),1),"")&amp;IFERROR(INDEX(S02_Cleric!$BZ$69:$BZ$98,MATCH(Character_Spellcasting!CN22,S02_Cleric!$BY$69:$BY$98,0),1),"")&amp;IFERROR(INDEX(S03_Druid!$BZ$69:$BZ$98,MATCH(Character_Spellcasting!CN22,S03_Druid!$BY$69:$BY$98,0),1),"")&amp;IFERROR(INDEX(S04_EldritchKnight!$BZ$69:$BZ$98,MATCH(Character_Spellcasting!CN22,S04_EldritchKnight!$BY$69:$BY$98,0),1),"")&amp;IFERROR(INDEX(S05_Paladin!$BZ$69:$BZ$98,MATCH(Character_Spellcasting!CN22,S05_Paladin!$BY$69:$BY$98,0),1),"")&amp;IFERROR(INDEX(S06_Ranger!$BZ$69:$BZ$98,MATCH(Character_Spellcasting!CN22,S06_Ranger!$BY$69:$BY$988,0),1),"")&amp;IFERROR(INDEX(S07_ArcaneTrickster!$BZ$69:$BZ$98,MATCH(Character_Spellcasting!CN22,S07_ArcaneTrickster!$BY$69:$BY$988,0),1),"")&amp;IFERROR(INDEX(S08_Sorcerer!$BZ$69:$BZ$98,MATCH(Character_Spellcasting!CN22,S08_Sorcerer!$BY$69:$BY$98,0),1),"")&amp;IFERROR(INDEX(S09_Warlock!$BZ$69:$BZ$98,MATCH(Character_Spellcasting!CN22,S09_Warlock!$BY$69:$BY$98,0),1),"")&amp;IFERROR(INDEX(S10_Wizard!$BZ$69:$BZ$98,MATCH(Character_Spellcasting!CN22,S10_Wizard!$BY$69:$BY$98,0),1),"")</f>
        <v/>
      </c>
      <c r="CU22" s="1096"/>
      <c r="CV22" s="567"/>
      <c r="CW22" s="565"/>
      <c r="CX22" s="565"/>
      <c r="CY22" s="565"/>
      <c r="CZ22" s="565"/>
      <c r="DA22" s="610">
        <v>16</v>
      </c>
      <c r="DB22" s="1061" t="str">
        <f t="shared" si="0"/>
        <v/>
      </c>
      <c r="DC22" s="1061"/>
      <c r="DD22" s="1061"/>
      <c r="DE22" s="1061"/>
      <c r="DF22" s="1061"/>
      <c r="DG22" s="1096" t="str">
        <f t="shared" si="1"/>
        <v/>
      </c>
      <c r="DH22" s="1096"/>
      <c r="DI22" s="565"/>
      <c r="DJ22" s="565"/>
      <c r="DK22" s="565"/>
      <c r="DL22" s="565"/>
      <c r="DM22" s="565"/>
      <c r="DN22" s="565"/>
      <c r="DO22" s="565"/>
      <c r="DP22" s="565"/>
      <c r="DQ22" s="565"/>
      <c r="DR22" s="565"/>
      <c r="DS22" s="565"/>
      <c r="DT22" s="565"/>
      <c r="DU22" s="565"/>
      <c r="DV22" s="565"/>
    </row>
    <row r="23" spans="1:126" ht="21" customHeight="1" x14ac:dyDescent="0.25">
      <c r="A23" s="120"/>
      <c r="B23" s="610">
        <v>17</v>
      </c>
      <c r="C23" s="1061"/>
      <c r="D23" s="1061"/>
      <c r="E23" s="1061"/>
      <c r="F23" s="1061"/>
      <c r="G23" s="1061"/>
      <c r="H23" s="1096"/>
      <c r="I23" s="1096"/>
      <c r="J23" s="120"/>
      <c r="K23" s="120"/>
      <c r="L23" s="591">
        <v>17</v>
      </c>
      <c r="M23" s="1061" t="str">
        <f>IFERROR(INDEX(S01_Bard!$C$6:$C$35,MATCH(Character_Spellcasting!L23,S01_Bard!$E$69:$E$98,0),1),"")&amp;IFERROR(INDEX(S02_Cleric!$C$6:$C$35,MATCH(Character_Spellcasting!L23,S02_Cleric!$E$69:$E$98,0),1),"")&amp;IFERROR(INDEX(S03_Druid!$C$6:$C$35,MATCH(Character_Spellcasting!L23,S03_Druid!$E$69:$E$98,0),1),"")&amp;IFERROR(INDEX(S04_EldritchKnight!$C$6:$C$35,MATCH(Character_Spellcasting!L23,S04_EldritchKnight!$E$69:$E$98,0),1),"")&amp;IFERROR(INDEX(S05_Paladin!$C$6:$C$35,MATCH(Character_Spellcasting!L23,S05_Paladin!$E$69:$E$98,0),1),"")&amp;IFERROR(INDEX(S06_Ranger!$C$6:$C$35,MATCH(Character_Spellcasting!L23,S06_Ranger!$E$69:$E$988,0),1),"")&amp;IFERROR(INDEX(S07_ArcaneTrickster!$C$6:$C$35,MATCH(Character_Spellcasting!L23,S07_ArcaneTrickster!$E$69:$E$988,0),1),"")&amp;IFERROR(INDEX(S08_Sorcerer!$C$6:$C$35,MATCH(Character_Spellcasting!L23,S08_Sorcerer!$E$69:$E$98,0),1),"")&amp;IFERROR(INDEX(S09_Warlock!$C$6:$C$35,MATCH(Character_Spellcasting!L23,S09_Warlock!$E$69:$E$98,0),1),"")&amp;IFERROR(INDEX(S10_Wizard!$C$6:$C$35,MATCH(Character_Spellcasting!L23,S10_Wizard!$E$69:$E$98,0),1),"")</f>
        <v/>
      </c>
      <c r="N23" s="1061"/>
      <c r="O23" s="1061"/>
      <c r="P23" s="1061"/>
      <c r="Q23" s="1061"/>
      <c r="R23" s="1096" t="str">
        <f>IFERROR(INDEX(S01_Bard!$F$69:$F$98,MATCH(Character_Spellcasting!L23,S01_Bard!$D$69:$D$98,0),1),"")&amp;IFERROR(INDEX(S02_Cleric!$F$69:$F$98,MATCH(Character_Spellcasting!L23,S02_Cleric!$E$69:$E$98,0),1),"")&amp;IFERROR(INDEX(S03_Druid!$F$69:$F$98,MATCH(Character_Spellcasting!L23,S03_Druid!$E$69:$E$98,0),1),"")&amp;IFERROR(INDEX(S04_EldritchKnight!$F$69:$F$98,MATCH(Character_Spellcasting!L23,S04_EldritchKnight!$E$69:$E$98,0),1),"")&amp;IFERROR(INDEX(S05_Paladin!$F$69:$F$98,MATCH(Character_Spellcasting!L23,S05_Paladin!$E$69:$E$98,0),1),"")&amp;IFERROR(INDEX(S06_Ranger!$F$69:$F$98,MATCH(Character_Spellcasting!L23,S06_Ranger!$E$69:$E$988,0),1),"")&amp;IFERROR(INDEX(S07_ArcaneTrickster!$F$69:$F$98,MATCH(Character_Spellcasting!L23,S07_ArcaneTrickster!$E$69:$E$988,0),1),"")&amp;IFERROR(INDEX(S08_Sorcerer!$F$69:$F$98,MATCH(Character_Spellcasting!L23,S08_Sorcerer!$E$69:$E$98,0),1),"")&amp;IFERROR(INDEX(S09_Warlock!$F$69:$F$98,MATCH(Character_Spellcasting!L23,S09_Warlock!$E$69:$E$98,0),1),"")&amp;IFERROR(INDEX(S10_Wizard!$F$69:$F$98,MATCH(Character_Spellcasting!L23,S10_Wizard!$E$69:$E$98,0),1),"")</f>
        <v/>
      </c>
      <c r="S23" s="1096"/>
      <c r="T23" s="567"/>
      <c r="U23" s="565"/>
      <c r="V23" s="591">
        <v>17</v>
      </c>
      <c r="W23" s="1061" t="str">
        <f>IFERROR(INDEX(S01_Bard!$L$6:$L$35,MATCH(Character_Spellcasting!V23,S01_Bard!$N$69:$N$98,0),1),"")&amp;IFERROR(INDEX(S02_Cleric!$L$6:$L$35,MATCH(Character_Spellcasting!V23,S02_Cleric!$N$69:$N$98,0),1),"")&amp;IFERROR(INDEX(S03_Druid!$L$6:$L$35,MATCH(Character_Spellcasting!V23,S03_Druid!$N$69:$N$98,0),1),"")&amp;IFERROR(INDEX(S04_EldritchKnight!$L$6:$L$35,MATCH(Character_Spellcasting!V23,S04_EldritchKnight!$N$69:$N$98,0),1),"")&amp;IFERROR(INDEX(S05_Paladin!$L$6:$L$35,MATCH(Character_Spellcasting!V23,S05_Paladin!$N$69:$N$98,0),1),"")&amp;IFERROR(INDEX(S06_Ranger!$L$6:$L$35,MATCH(Character_Spellcasting!V23,S06_Ranger!$N$69:$N$988,0),1),"")&amp;IFERROR(INDEX(S07_ArcaneTrickster!$L$6:$L$35,MATCH(Character_Spellcasting!V23,S07_ArcaneTrickster!$N$69:$N$988,0),1),"")&amp;IFERROR(INDEX(S08_Sorcerer!$L$6:$L$35,MATCH(Character_Spellcasting!V23,S08_Sorcerer!$N$69:$N$98,0),1),"")&amp;IFERROR(INDEX(S09_Warlock!$L$6:$L$35,MATCH(Character_Spellcasting!V23,S09_Warlock!$N$69:$N$98,0),1),"")&amp;IFERROR(INDEX(S10_Wizard!$L$6:$L$35,MATCH(Character_Spellcasting!V23,S10_Wizard!$N$69:$N$98,0),1),"")</f>
        <v/>
      </c>
      <c r="X23" s="1061"/>
      <c r="Y23" s="1061"/>
      <c r="Z23" s="1061"/>
      <c r="AA23" s="1061"/>
      <c r="AB23" s="1097" t="str">
        <f>IFERROR(INDEX(S01_Bard!$O$69:$O$98,MATCH(Character_Spellcasting!V23,S01_Bard!$N$69:$N$98,0),1),"")&amp;IFERROR(INDEX(S02_Cleric!$O$69:$O$98,MATCH(Character_Spellcasting!V23,S02_Cleric!$N$69:$N$98,0),1),"")&amp;IFERROR(INDEX(S03_Druid!$O$69:$O$98,MATCH(Character_Spellcasting!V23,S03_Druid!$N$69:$N$98,0),1),"")&amp;IFERROR(INDEX(S04_EldritchKnight!$O$69:$O$98,MATCH(Character_Spellcasting!V23,S04_EldritchKnight!$N$69:$N$98,0),1),"")&amp;IFERROR(INDEX(S05_Paladin!$O$69:$O$98,MATCH(Character_Spellcasting!V23,S05_Paladin!$N$69:$N$98,0),1),"")&amp;IFERROR(INDEX(S06_Ranger!$O$69:$O$98,MATCH(Character_Spellcasting!V23,S06_Ranger!$N$69:$N$988,0),1),"")&amp;IFERROR(INDEX(S07_ArcaneTrickster!$O$69:$O$98,MATCH(Character_Spellcasting!V23,S07_ArcaneTrickster!$N$69:$N$988,0),1),"")&amp;IFERROR(INDEX(S08_Sorcerer!$O$69:$O$98,MATCH(Character_Spellcasting!V23,S08_Sorcerer!$N$69:$N$98,0),1),"")&amp;IFERROR(INDEX(S09_Warlock!$O$69:$O$98,MATCH(Character_Spellcasting!V23,S09_Warlock!$N$69:$N$98,0),1),"")&amp;IFERROR(INDEX(S10_Wizard!$O$69:$O$98,MATCH(Character_Spellcasting!V23,S10_Wizard!$N$69:$N$98,0),1),"")</f>
        <v/>
      </c>
      <c r="AC23" s="1098"/>
      <c r="AD23" s="567"/>
      <c r="AE23" s="565"/>
      <c r="AF23" s="609">
        <v>17</v>
      </c>
      <c r="AG23" s="1061" t="str">
        <f>IFERROR(INDEX(S01_Bard!$U$6:$U$35,MATCH(Character_Spellcasting!AF23,S01_Bard!$W$69:$W$98,0),1),"")&amp;IFERROR(INDEX(S02_Cleric!$U$6:$U$35,MATCH(Character_Spellcasting!AF23,S02_Cleric!$W$69:$W$98,0),1),"")&amp;IFERROR(INDEX(S03_Druid!$U$6:$U$35,MATCH(Character_Spellcasting!AF23,S03_Druid!$W$69:$W$98,0),1),"")&amp;IFERROR(INDEX(S04_EldritchKnight!$U$6:$U$35,MATCH(Character_Spellcasting!AF23,S04_EldritchKnight!$W$69:$W$98,0),1),"")&amp;IFERROR(INDEX(S05_Paladin!$U$6:$U$35,MATCH(Character_Spellcasting!AF23,S05_Paladin!$W$69:$W$98,0),1),"")&amp;IFERROR(INDEX(S06_Ranger!$U$6:$U$35,MATCH(Character_Spellcasting!AF23,S06_Ranger!$W$69:$W$988,0),1),"")&amp;IFERROR(INDEX(S07_ArcaneTrickster!$U$6:$U$35,MATCH(Character_Spellcasting!AF23,S07_ArcaneTrickster!$W$69:$W$988,0),1),"")&amp;IFERROR(INDEX(S08_Sorcerer!$U$6:$U$35,MATCH(Character_Spellcasting!AF23,S08_Sorcerer!$W$69:$W$98,0),1),"")&amp;IFERROR(INDEX(S09_Warlock!$U$6:$U$35,MATCH(Character_Spellcasting!AF23,S09_Warlock!$W$69:$W$98,0),1),"")&amp;IFERROR(INDEX(S10_Wizard!$U$6:$U$35,MATCH(Character_Spellcasting!AF23,S10_Wizard!$W$69:$W$98,0),1),"")</f>
        <v/>
      </c>
      <c r="AH23" s="1061"/>
      <c r="AI23" s="1061"/>
      <c r="AJ23" s="1061"/>
      <c r="AK23" s="1061"/>
      <c r="AL23" s="1097" t="str">
        <f>IFERROR(INDEX(S01_Bard!$X$69:$X$98,MATCH(Character_Spellcasting!AF23,S01_Bard!$W$69:$W$98,0),1),"")&amp;IFERROR(INDEX(S02_Cleric!$X$69:$X$98,MATCH(Character_Spellcasting!AF23,S02_Cleric!$W$69:$W$98,0),1),"")&amp;IFERROR(INDEX(S03_Druid!$X$69:$X$98,MATCH(Character_Spellcasting!AF23,S03_Druid!$W$69:$W$98,0),1),"")&amp;IFERROR(INDEX(S04_EldritchKnight!$X$69:$X$98,MATCH(Character_Spellcasting!AF23,S04_EldritchKnight!$W$69:$W$98,0),1),"")&amp;IFERROR(INDEX(S05_Paladin!$X$69:$X$98,MATCH(Character_Spellcasting!AF23,S05_Paladin!$W$69:$W$98,0),1),"")&amp;IFERROR(INDEX(S06_Ranger!$X$69:$X$98,MATCH(Character_Spellcasting!AF23,S06_Ranger!$W$69:$W$988,0),1),"")&amp;IFERROR(INDEX(S07_ArcaneTrickster!$X$69:$X$98,MATCH(Character_Spellcasting!AF23,S07_ArcaneTrickster!$W$69:$W$988,0),1),"")&amp;IFERROR(INDEX(S08_Sorcerer!$X$69:$X$98,MATCH(Character_Spellcasting!AF23,S08_Sorcerer!$W$69:$W$98,0),1),"")&amp;IFERROR(INDEX(S09_Warlock!$X$69:$X$98,MATCH(Character_Spellcasting!AF23,S09_Warlock!$W$69:$W$98,0),1),"")&amp;IFERROR(INDEX(S10_Wizard!$X$69:$X$98,MATCH(Character_Spellcasting!AF23,S10_Wizard!$W$69:$W$98,0),1),"")</f>
        <v/>
      </c>
      <c r="AM23" s="1098"/>
      <c r="AN23" s="567"/>
      <c r="AO23" s="565"/>
      <c r="AP23" s="591">
        <v>17</v>
      </c>
      <c r="AQ23" s="1061" t="str">
        <f>IFERROR(INDEX(S01_Bard!$AD$6:$AD$35,MATCH(Character_Spellcasting!AP23,S01_Bard!$AF$69:$AF$98,0),1),"")&amp;IFERROR(INDEX(S02_Cleric!$AD$6:$AD$35,MATCH(Character_Spellcasting!AP23,S02_Cleric!$AF$69:$AF$98,0),1),"")&amp;IFERROR(INDEX(S03_Druid!$AD$6:$AD$35,MATCH(Character_Spellcasting!AP23,S03_Druid!$AF$69:$AF$98,0),1),"")&amp;IFERROR(INDEX(S04_EldritchKnight!$AD$6:$AD$35,MATCH(Character_Spellcasting!AP23,S04_EldritchKnight!$AF$69:$AF$98,0),1),"")&amp;IFERROR(INDEX(S05_Paladin!$AD$6:$AD$35,MATCH(Character_Spellcasting!AP23,S05_Paladin!$AF$69:$AF$98,0),1),"")&amp;IFERROR(INDEX(S06_Ranger!$AD$6:$AD$35,MATCH(Character_Spellcasting!AP23,S06_Ranger!$AF$69:$AF$988,0),1),"")&amp;IFERROR(INDEX(S07_ArcaneTrickster!$AD$6:$AD$35,MATCH(Character_Spellcasting!AP23,S07_ArcaneTrickster!$AF$69:$AF$988,0),1),"")&amp;IFERROR(INDEX(S08_Sorcerer!$AD$6:$AD$35,MATCH(Character_Spellcasting!AP23,S08_Sorcerer!$AF$69:$AF$98,0),1),"")&amp;IFERROR(INDEX(S09_Warlock!$AD$6:$AD$35,MATCH(Character_Spellcasting!AP23,S09_Warlock!$AF$69:$AF$98,0),1),"")&amp;IFERROR(INDEX(S10_Wizard!$AD$6:$AD$35,MATCH(Character_Spellcasting!AP23,S10_Wizard!$AF$69:$AF$98,0),1),"")</f>
        <v/>
      </c>
      <c r="AR23" s="1061"/>
      <c r="AS23" s="1061"/>
      <c r="AT23" s="1061"/>
      <c r="AU23" s="1061"/>
      <c r="AV23" s="1096" t="str">
        <f>IFERROR(INDEX(S01_Bard!$AG$69:$AG$98,MATCH(Character_Spellcasting!AP23,S01_Bard!$D$69:$D$98,0),1),"")&amp;IFERROR(INDEX(S02_Cleric!$AG$69:$AG$98,MATCH(Character_Spellcasting!AP23,S02_Cleric!$AF$69:$AF$98,0),1),"")&amp;IFERROR(INDEX(S03_Druid!$AG$69:$AG$98,MATCH(Character_Spellcasting!AP23,S03_Druid!$AF$69:$AF$98,0),1),"")&amp;IFERROR(INDEX(S04_EldritchKnight!$AG$69:$AG$98,MATCH(Character_Spellcasting!AP23,S04_EldritchKnight!$AF$69:$AF$98,0),1),"")&amp;IFERROR(INDEX(S05_Paladin!$AG$69:$AG$98,MATCH(Character_Spellcasting!AP23,S05_Paladin!$AF$69:$AF$98,0),1),"")&amp;IFERROR(INDEX(S06_Ranger!$AG$69:$AG$98,MATCH(Character_Spellcasting!AP23,S06_Ranger!$AF$69:$AF$988,0),1),"")&amp;IFERROR(INDEX(S07_ArcaneTrickster!$AG$69:$AG$98,MATCH(Character_Spellcasting!AP23,S07_ArcaneTrickster!$AF$69:$AF$988,0),1),"")&amp;IFERROR(INDEX(S08_Sorcerer!$AG$69:$AG$98,MATCH(Character_Spellcasting!AP23,S08_Sorcerer!$AF$69:$AF$98,0),1),"")&amp;IFERROR(INDEX(S09_Warlock!$AG$69:$AG$98,MATCH(Character_Spellcasting!AP23,S09_Warlock!$AF$69:$AF$98,0),1),"")&amp;IFERROR(INDEX(S10_Wizard!$AG$69:$AG$98,MATCH(Character_Spellcasting!AP23,S10_Wizard!$AF$69:$AF$98,0),1),"")</f>
        <v/>
      </c>
      <c r="AW23" s="1096"/>
      <c r="AX23" s="567"/>
      <c r="AY23" s="565"/>
      <c r="AZ23" s="591">
        <v>17</v>
      </c>
      <c r="BA23" s="1061" t="str">
        <f>IFERROR(INDEX(S01_Bard!$AM$6:$AM$35,MATCH(Character_Spellcasting!AZ23,S01_Bard!$AO$69:$AO$98,0),1),"")&amp;IFERROR(INDEX(S02_Cleric!$AM$6:$AM$35,MATCH(Character_Spellcasting!AZ23,S02_Cleric!$AO$69:$AO$98,0),1),"")&amp;IFERROR(INDEX(S03_Druid!$AM$6:$AM$35,MATCH(Character_Spellcasting!AZ23,S03_Druid!$AO$69:$AO$98,0),1),"")&amp;IFERROR(INDEX(S04_EldritchKnight!$AM$6:$AM$35,MATCH(Character_Spellcasting!AZ23,S04_EldritchKnight!$AO$69:$AO$98,0),1),"")&amp;IFERROR(INDEX(S05_Paladin!$AM$6:$AM$35,MATCH(Character_Spellcasting!AZ23,S05_Paladin!$AO$69:$AO$98,0),1),"")&amp;IFERROR(INDEX(S06_Ranger!$AM$6:$AM$35,MATCH(Character_Spellcasting!AZ23,S06_Ranger!$AO$69:$AO$988,0),1),"")&amp;IFERROR(INDEX(S07_ArcaneTrickster!$AM$6:$AM$35,MATCH(Character_Spellcasting!AZ23,S07_ArcaneTrickster!$AO$69:$AO$988,0),1),"")&amp;IFERROR(INDEX(S08_Sorcerer!$AM$6:$AM$35,MATCH(Character_Spellcasting!AZ23,S08_Sorcerer!$AO$69:$AO$98,0),1),"")&amp;IFERROR(INDEX(S09_Warlock!$AM$6:$AM$35,MATCH(Character_Spellcasting!AZ23,S09_Warlock!$AO$69:$AO$98,0),1),"")&amp;IFERROR(INDEX(S10_Wizard!$AM$6:$AM$35,MATCH(Character_Spellcasting!AZ23,S10_Wizard!$AO$69:$AO$98,0),1),"")</f>
        <v/>
      </c>
      <c r="BB23" s="1061"/>
      <c r="BC23" s="1061"/>
      <c r="BD23" s="1061"/>
      <c r="BE23" s="1061"/>
      <c r="BF23" s="1096" t="str">
        <f>IFERROR(INDEX(S01_Bard!$AP$69:$AP$98,MATCH(Character_Spellcasting!AZ23,S01_Bard!$D$69:$D$98,0),1),"")&amp;IFERROR(INDEX(S02_Cleric!$AP$69:$AP$98,MATCH(Character_Spellcasting!AZ23,S02_Cleric!$AO$69:$AO$98,0),1),"")&amp;IFERROR(INDEX(S03_Druid!$AP$69:$AP$98,MATCH(Character_Spellcasting!AZ23,S03_Druid!$AO$69:$AO$98,0),1),"")&amp;IFERROR(INDEX(S04_EldritchKnight!$AP$69:$AP$98,MATCH(Character_Spellcasting!AZ23,S04_EldritchKnight!$AO$69:$AO$98,0),1),"")&amp;IFERROR(INDEX(S05_Paladin!$AP$69:$AP$98,MATCH(Character_Spellcasting!AZ23,S05_Paladin!$AO$69:$AO$98,0),1),"")&amp;IFERROR(INDEX(S06_Ranger!$AP$69:$AP$98,MATCH(Character_Spellcasting!AZ23,S06_Ranger!$AO$69:$AO$988,0),1),"")&amp;IFERROR(INDEX(S07_ArcaneTrickster!$AP$69:$AP$98,MATCH(Character_Spellcasting!AZ23,S07_ArcaneTrickster!$AO$69:$AO$988,0),1),"")&amp;IFERROR(INDEX(S08_Sorcerer!$AP$69:$AP$98,MATCH(Character_Spellcasting!AZ23,S08_Sorcerer!$AO$69:$AO$98,0),1),"")&amp;IFERROR(INDEX(S09_Warlock!$AP$69:$AP$98,MATCH(Character_Spellcasting!AZ23,S09_Warlock!$AO$69:$AO$98,0),1),"")&amp;IFERROR(INDEX(S10_Wizard!$AP$69:$AP$98,MATCH(Character_Spellcasting!AZ23,S10_Wizard!$AO$69:$AO$98,0),1),"")</f>
        <v/>
      </c>
      <c r="BG23" s="1096"/>
      <c r="BH23" s="567"/>
      <c r="BI23" s="120"/>
      <c r="BJ23" s="591">
        <v>17</v>
      </c>
      <c r="BK23" s="1061" t="str">
        <f>IFERROR(INDEX(S01_Bard!$AV$6:$AV$35,MATCH(Character_Spellcasting!BJ23,S01_Bard!$AX$69:$AX$98,0),1),"")&amp;IFERROR(INDEX(S02_Cleric!$AV$6:$AV$35,MATCH(Character_Spellcasting!BJ23,S02_Cleric!$AX$69:$AX$98,0),1),"")&amp;IFERROR(INDEX(S03_Druid!$AV$6:$AV$35,MATCH(Character_Spellcasting!BJ23,S03_Druid!$AX$69:$AX$98,0),1),"")&amp;IFERROR(INDEX(S04_EldritchKnight!$AV$6:$AV$35,MATCH(Character_Spellcasting!BJ23,S04_EldritchKnight!$AX$69:$AX$98,0),1),"")&amp;IFERROR(INDEX(S05_Paladin!$AV$6:$AV$35,MATCH(Character_Spellcasting!BJ23,S05_Paladin!$AX$69:$AX$98,0),1),"")&amp;IFERROR(INDEX(S06_Ranger!$AV$6:$AV$35,MATCH(Character_Spellcasting!BJ23,S06_Ranger!$AX$69:$AX$988,0),1),"")&amp;IFERROR(INDEX(S07_ArcaneTrickster!$AV$6:$AV$35,MATCH(Character_Spellcasting!BJ23,S07_ArcaneTrickster!$AX$69:$AX$988,0),1),"")&amp;IFERROR(INDEX(S08_Sorcerer!$AV$6:$AV$35,MATCH(Character_Spellcasting!BJ23,S08_Sorcerer!$AX$69:$AX$98,0),1),"")&amp;IFERROR(INDEX(S09_Warlock!$AV$6:$AV$35,MATCH(Character_Spellcasting!BJ23,S09_Warlock!$AX$69:$AX$98,0),1),"")&amp;IFERROR(INDEX(S10_Wizard!$AV$6:$AV$35,MATCH(Character_Spellcasting!BJ23,S10_Wizard!$AX$69:$AX$98,0),1),"")</f>
        <v/>
      </c>
      <c r="BL23" s="1061"/>
      <c r="BM23" s="1061"/>
      <c r="BN23" s="1061"/>
      <c r="BO23" s="1061"/>
      <c r="BP23" s="1096" t="str">
        <f>IFERROR(INDEX(S01_Bard!$AY$69:$AY$98,MATCH(Character_Spellcasting!BJ23,S01_Bard!$D$69:$D$98,0),1),"")&amp;IFERROR(INDEX(S02_Cleric!$AY$69:$AY$98,MATCH(Character_Spellcasting!BJ23,S02_Cleric!$AX$69:$AX$98,0),1),"")&amp;IFERROR(INDEX(S03_Druid!$AY$69:$AY$98,MATCH(Character_Spellcasting!BJ23,S03_Druid!$AX$69:$AX$98,0),1),"")&amp;IFERROR(INDEX(S04_EldritchKnight!$AY$69:$AY$98,MATCH(Character_Spellcasting!BJ23,S04_EldritchKnight!$AX$69:$AX$98,0),1),"")&amp;IFERROR(INDEX(S05_Paladin!$AY$69:$AY$98,MATCH(Character_Spellcasting!BJ23,S05_Paladin!$AX$69:$AX$98,0),1),"")&amp;IFERROR(INDEX(S06_Ranger!$AY$69:$AY$98,MATCH(Character_Spellcasting!BJ23,S06_Ranger!$AX$69:$AX$988,0),1),"")&amp;IFERROR(INDEX(S07_ArcaneTrickster!$AY$69:$AY$98,MATCH(Character_Spellcasting!BJ23,S07_ArcaneTrickster!$AX$69:$AX$988,0),1),"")&amp;IFERROR(INDEX(S08_Sorcerer!$AY$69:$AY$98,MATCH(Character_Spellcasting!BJ23,S08_Sorcerer!$AX$69:$AX$98,0),1),"")&amp;IFERROR(INDEX(S09_Warlock!$AY$69:$AY$98,MATCH(Character_Spellcasting!BJ23,S09_Warlock!$AX$69:$AX$98,0),1),"")&amp;IFERROR(INDEX(S10_Wizard!$AY$69:$AY$98,MATCH(Character_Spellcasting!BJ23,S10_Wizard!$AX$69:$AX$98,0),1),"")</f>
        <v/>
      </c>
      <c r="BQ23" s="1096"/>
      <c r="BR23" s="567"/>
      <c r="BS23" s="120"/>
      <c r="BT23" s="591">
        <v>17</v>
      </c>
      <c r="BU23" s="1061" t="str">
        <f>IFERROR(INDEX(S01_Bard!$BE$6:$BE$35,MATCH(Character_Spellcasting!BT23,S01_Bard!$BG$69:$BG$98,0),1),"")&amp;IFERROR(INDEX(S02_Cleric!$BE$6:$BE$35,MATCH(Character_Spellcasting!BT23,S02_Cleric!$BG$69:$BG$98,0),1),"")&amp;IFERROR(INDEX(S03_Druid!$BE$6:$BE$35,MATCH(Character_Spellcasting!BT23,S03_Druid!$BG$69:$BG$98,0),1),"")&amp;IFERROR(INDEX(S04_EldritchKnight!$BE$6:$BE$35,MATCH(Character_Spellcasting!BT23,S04_EldritchKnight!$BG$69:$BG$98,0),1),"")&amp;IFERROR(INDEX(S05_Paladin!$BE$6:$BE$35,MATCH(Character_Spellcasting!BT23,S05_Paladin!$BG$69:$BG$98,0),1),"")&amp;IFERROR(INDEX(S06_Ranger!$BE$6:$BE$35,MATCH(Character_Spellcasting!BT23,S06_Ranger!$BG$69:$BG$988,0),1),"")&amp;IFERROR(INDEX(S07_ArcaneTrickster!$BE$6:$BE$35,MATCH(Character_Spellcasting!BT23,S07_ArcaneTrickster!$BG$69:$BG$988,0),1),"")&amp;IFERROR(INDEX(S08_Sorcerer!$BE$6:$BE$35,MATCH(Character_Spellcasting!BT23,S08_Sorcerer!$BG$69:$BG$98,0),1),"")&amp;IFERROR(INDEX(S09_Warlock!$BE$6:$BE$35,MATCH(Character_Spellcasting!BT23,S09_Warlock!$BG$69:$BG$98,0),1),"")&amp;IFERROR(INDEX(S10_Wizard!$BE$6:$BE$35,MATCH(Character_Spellcasting!BT23,S10_Wizard!$BG$69:$BG$98,0),1),"")</f>
        <v/>
      </c>
      <c r="BV23" s="1061"/>
      <c r="BW23" s="1061"/>
      <c r="BX23" s="1061"/>
      <c r="BY23" s="1061"/>
      <c r="BZ23" s="1096" t="str">
        <f>IFERROR(INDEX(S01_Bard!$BH$69:$BH$98,MATCH(Character_Spellcasting!BT23,S01_Bard!$D$69:$D$98,0),1),"")&amp;IFERROR(INDEX(S02_Cleric!$BH$69:$BH$98,MATCH(Character_Spellcasting!BT23,S02_Cleric!$BG$69:$BG$98,0),1),"")&amp;IFERROR(INDEX(S03_Druid!$BH$69:$BH$98,MATCH(Character_Spellcasting!BT23,S03_Druid!$BG$69:$BG$98,0),1),"")&amp;IFERROR(INDEX(S04_EldritchKnight!$BH$69:$BH$98,MATCH(Character_Spellcasting!BT23,S04_EldritchKnight!$BG$69:$BG$98,0),1),"")&amp;IFERROR(INDEX(S05_Paladin!$BH$69:$BH$98,MATCH(Character_Spellcasting!BT23,S05_Paladin!$BG$69:$BG$98,0),1),"")&amp;IFERROR(INDEX(S06_Ranger!$BH$69:$BH$98,MATCH(Character_Spellcasting!BT23,S06_Ranger!$BG$69:$BG$988,0),1),"")&amp;IFERROR(INDEX(S07_ArcaneTrickster!$BH$69:$BH$98,MATCH(Character_Spellcasting!BT23,S07_ArcaneTrickster!$BG$69:$BG$988,0),1),"")&amp;IFERROR(INDEX(S08_Sorcerer!$BH$69:$BH$98,MATCH(Character_Spellcasting!BT23,S08_Sorcerer!$BG$69:$BG$98,0),1),"")&amp;IFERROR(INDEX(S09_Warlock!$BH$69:$BH$98,MATCH(Character_Spellcasting!BT23,S09_Warlock!$BG$69:$BG$98,0),1),"")&amp;IFERROR(INDEX(S10_Wizard!$BH$69:$BH$98,MATCH(Character_Spellcasting!BT23,S10_Wizard!$BG$69:$BG$98,0),1),"")</f>
        <v/>
      </c>
      <c r="CA23" s="1096"/>
      <c r="CB23" s="567"/>
      <c r="CC23" s="120"/>
      <c r="CD23" s="591">
        <v>17</v>
      </c>
      <c r="CE23" s="1061" t="str">
        <f>IFERROR(INDEX(S01_Bard!$BN$6:$BN$35,MATCH(Character_Spellcasting!CD23,S01_Bard!$BP$69:$BP$98,0),1),"")&amp;IFERROR(INDEX(S02_Cleric!$BN$6:$BN$35,MATCH(Character_Spellcasting!CD23,S02_Cleric!$BP$69:$BP$98,0),1),"")&amp;IFERROR(INDEX(S03_Druid!$BN$6:$BN$35,MATCH(Character_Spellcasting!CD23,S03_Druid!$BP$69:$BP$98,0),1),"")&amp;IFERROR(INDEX(S04_EldritchKnight!$BN$6:$BN$35,MATCH(Character_Spellcasting!CD23,S04_EldritchKnight!$BP$69:$BP$98,0),1),"")&amp;IFERROR(INDEX(S05_Paladin!$BN$6:$BN$35,MATCH(Character_Spellcasting!CD23,S05_Paladin!$BP$69:$BP$98,0),1),"")&amp;IFERROR(INDEX(S06_Ranger!$BN$6:$BN$35,MATCH(Character_Spellcasting!CD23,S06_Ranger!$BP$69:$BP$988,0),1),"")&amp;IFERROR(INDEX(S07_ArcaneTrickster!$BN$6:$BN$35,MATCH(Character_Spellcasting!CD23,S07_ArcaneTrickster!$BP$69:$BP$988,0),1),"")&amp;IFERROR(INDEX(S08_Sorcerer!$BN$6:$BN$35,MATCH(Character_Spellcasting!CD23,S08_Sorcerer!$BP$69:$BP$98,0),1),"")&amp;IFERROR(INDEX(S09_Warlock!$BN$6:$BN$35,MATCH(Character_Spellcasting!CD23,S09_Warlock!$BP$69:$BP$98,0),1),"")&amp;IFERROR(INDEX(S10_Wizard!$BN$6:$BN$35,MATCH(Character_Spellcasting!CD23,S10_Wizard!$BP$69:$BP$98,0),1),"")</f>
        <v/>
      </c>
      <c r="CF23" s="1061"/>
      <c r="CG23" s="1061"/>
      <c r="CH23" s="1061"/>
      <c r="CI23" s="1061"/>
      <c r="CJ23" s="1096" t="str">
        <f>IFERROR(INDEX(S01_Bard!$BQ$69:$BQ$98,MATCH(Character_Spellcasting!CD23,S01_Bard!$D$69:$D$98,0),1),"")&amp;IFERROR(INDEX(S02_Cleric!$BQ$69:$BQ$98,MATCH(Character_Spellcasting!CD23,S02_Cleric!$BP$69:$BP$98,0),1),"")&amp;IFERROR(INDEX(S03_Druid!$BQ$69:$BQ$98,MATCH(Character_Spellcasting!CD23,S03_Druid!$BP$69:$BP$98,0),1),"")&amp;IFERROR(INDEX(S04_EldritchKnight!$BQ$69:$BQ$98,MATCH(Character_Spellcasting!CD23,S04_EldritchKnight!$BP$69:$BP$98,0),1),"")&amp;IFERROR(INDEX(S05_Paladin!$BQ$69:$BQ$98,MATCH(Character_Spellcasting!CD23,S05_Paladin!$BP$69:$BP$98,0),1),"")&amp;IFERROR(INDEX(S06_Ranger!$BQ$69:$BQ$98,MATCH(Character_Spellcasting!CD23,S06_Ranger!$BP$69:$BP$988,0),1),"")&amp;IFERROR(INDEX(S07_ArcaneTrickster!$BQ$69:$BQ$98,MATCH(Character_Spellcasting!CD23,S07_ArcaneTrickster!$BP$69:$BP$988,0),1),"")&amp;IFERROR(INDEX(S08_Sorcerer!$BQ$69:$BQ$98,MATCH(Character_Spellcasting!CD23,S08_Sorcerer!$BP$69:$BP$98,0),1),"")&amp;IFERROR(INDEX(S09_Warlock!$BQ$69:$BQ$98,MATCH(Character_Spellcasting!CD23,S09_Warlock!$BP$69:$BP$98,0),1),"")&amp;IFERROR(INDEX(S10_Wizard!$BQ$69:$BQ$98,MATCH(Character_Spellcasting!CD23,S10_Wizard!$BP$69:$BP$98,0),1),"")</f>
        <v/>
      </c>
      <c r="CK23" s="1096"/>
      <c r="CL23" s="567"/>
      <c r="CM23" s="120"/>
      <c r="CN23" s="591">
        <v>17</v>
      </c>
      <c r="CO23" s="1061" t="str">
        <f>IFERROR(INDEX(S01_Bard!$BW$6:$BW$35,MATCH(Character_Spellcasting!CN23,S01_Bard!$BY$69:$BY$98,0),1),"")&amp;IFERROR(INDEX(S02_Cleric!$BW$6:$BW$35,MATCH(Character_Spellcasting!CN23,S02_Cleric!$BY$69:$BY$98,0),1),"")&amp;IFERROR(INDEX(S03_Druid!$BW$6:$BW$35,MATCH(Character_Spellcasting!CN23,S03_Druid!$BY$69:$BY$98,0),1),"")&amp;IFERROR(INDEX(S04_EldritchKnight!$BW$6:$BW$35,MATCH(Character_Spellcasting!CN23,S04_EldritchKnight!$BY$69:$BY$98,0),1),"")&amp;IFERROR(INDEX(S05_Paladin!$BW$6:$BW$35,MATCH(Character_Spellcasting!CN23,S05_Paladin!$BY$69:$BY$98,0),1),"")&amp;IFERROR(INDEX(S06_Ranger!$BW$6:$BW$35,MATCH(Character_Spellcasting!CN23,S06_Ranger!$BY$69:$BY$988,0),1),"")&amp;IFERROR(INDEX(S07_ArcaneTrickster!$BW$6:$BW$35,MATCH(Character_Spellcasting!CN23,S07_ArcaneTrickster!$BY$69:$BY$988,0),1),"")&amp;IFERROR(INDEX(S08_Sorcerer!$BW$6:$BW$35,MATCH(Character_Spellcasting!CN23,S08_Sorcerer!$BY$69:$BY$98,0),1),"")&amp;IFERROR(INDEX(S09_Warlock!$BW$6:$BW$35,MATCH(Character_Spellcasting!CN23,S09_Warlock!$BY$69:$BY$98,0),1),"")&amp;IFERROR(INDEX(S10_Wizard!$BW$6:$BW$35,MATCH(Character_Spellcasting!CN23,S10_Wizard!$BY$69:$BY$98,0),1),"")</f>
        <v/>
      </c>
      <c r="CP23" s="1061"/>
      <c r="CQ23" s="1061"/>
      <c r="CR23" s="1061"/>
      <c r="CS23" s="1061"/>
      <c r="CT23" s="1096" t="str">
        <f>IFERROR(INDEX(S01_Bard!$BZ$69:$BZ$98,MATCH(Character_Spellcasting!CN23,S01_Bard!$D$69:$D$98,0),1),"")&amp;IFERROR(INDEX(S02_Cleric!$BZ$69:$BZ$98,MATCH(Character_Spellcasting!CN23,S02_Cleric!$BY$69:$BY$98,0),1),"")&amp;IFERROR(INDEX(S03_Druid!$BZ$69:$BZ$98,MATCH(Character_Spellcasting!CN23,S03_Druid!$BY$69:$BY$98,0),1),"")&amp;IFERROR(INDEX(S04_EldritchKnight!$BZ$69:$BZ$98,MATCH(Character_Spellcasting!CN23,S04_EldritchKnight!$BY$69:$BY$98,0),1),"")&amp;IFERROR(INDEX(S05_Paladin!$BZ$69:$BZ$98,MATCH(Character_Spellcasting!CN23,S05_Paladin!$BY$69:$BY$98,0),1),"")&amp;IFERROR(INDEX(S06_Ranger!$BZ$69:$BZ$98,MATCH(Character_Spellcasting!CN23,S06_Ranger!$BY$69:$BY$988,0),1),"")&amp;IFERROR(INDEX(S07_ArcaneTrickster!$BZ$69:$BZ$98,MATCH(Character_Spellcasting!CN23,S07_ArcaneTrickster!$BY$69:$BY$988,0),1),"")&amp;IFERROR(INDEX(S08_Sorcerer!$BZ$69:$BZ$98,MATCH(Character_Spellcasting!CN23,S08_Sorcerer!$BY$69:$BY$98,0),1),"")&amp;IFERROR(INDEX(S09_Warlock!$BZ$69:$BZ$98,MATCH(Character_Spellcasting!CN23,S09_Warlock!$BY$69:$BY$98,0),1),"")&amp;IFERROR(INDEX(S10_Wizard!$BZ$69:$BZ$98,MATCH(Character_Spellcasting!CN23,S10_Wizard!$BY$69:$BY$98,0),1),"")</f>
        <v/>
      </c>
      <c r="CU23" s="1096"/>
      <c r="CV23" s="567"/>
      <c r="CW23" s="565"/>
      <c r="CX23" s="565"/>
      <c r="CY23" s="565"/>
      <c r="CZ23" s="565"/>
      <c r="DA23" s="610">
        <v>17</v>
      </c>
      <c r="DB23" s="1061" t="str">
        <f t="shared" si="0"/>
        <v/>
      </c>
      <c r="DC23" s="1061"/>
      <c r="DD23" s="1061"/>
      <c r="DE23" s="1061"/>
      <c r="DF23" s="1061"/>
      <c r="DG23" s="1096" t="str">
        <f t="shared" si="1"/>
        <v/>
      </c>
      <c r="DH23" s="1096"/>
      <c r="DI23" s="565"/>
      <c r="DJ23" s="565"/>
      <c r="DK23" s="565"/>
      <c r="DL23" s="565"/>
      <c r="DM23" s="565"/>
      <c r="DN23" s="565"/>
      <c r="DO23" s="565"/>
      <c r="DP23" s="565"/>
      <c r="DQ23" s="565"/>
      <c r="DR23" s="565"/>
      <c r="DS23" s="565"/>
      <c r="DT23" s="565"/>
      <c r="DU23" s="565"/>
      <c r="DV23" s="565"/>
    </row>
    <row r="24" spans="1:126" ht="21" customHeight="1" x14ac:dyDescent="0.25">
      <c r="A24" s="120"/>
      <c r="B24" s="610">
        <v>18</v>
      </c>
      <c r="C24" s="1061"/>
      <c r="D24" s="1061"/>
      <c r="E24" s="1061"/>
      <c r="F24" s="1061"/>
      <c r="G24" s="1061"/>
      <c r="H24" s="1096"/>
      <c r="I24" s="1096"/>
      <c r="J24" s="120"/>
      <c r="K24" s="120"/>
      <c r="L24" s="591">
        <v>18</v>
      </c>
      <c r="M24" s="1061" t="str">
        <f>IFERROR(INDEX(S01_Bard!$C$6:$C$35,MATCH(Character_Spellcasting!L24,S01_Bard!$E$69:$E$98,0),1),"")&amp;IFERROR(INDEX(S02_Cleric!$C$6:$C$35,MATCH(Character_Spellcasting!L24,S02_Cleric!$E$69:$E$98,0),1),"")&amp;IFERROR(INDEX(S03_Druid!$C$6:$C$35,MATCH(Character_Spellcasting!L24,S03_Druid!$E$69:$E$98,0),1),"")&amp;IFERROR(INDEX(S04_EldritchKnight!$C$6:$C$35,MATCH(Character_Spellcasting!L24,S04_EldritchKnight!$E$69:$E$98,0),1),"")&amp;IFERROR(INDEX(S05_Paladin!$C$6:$C$35,MATCH(Character_Spellcasting!L24,S05_Paladin!$E$69:$E$98,0),1),"")&amp;IFERROR(INDEX(S06_Ranger!$C$6:$C$35,MATCH(Character_Spellcasting!L24,S06_Ranger!$E$69:$E$988,0),1),"")&amp;IFERROR(INDEX(S07_ArcaneTrickster!$C$6:$C$35,MATCH(Character_Spellcasting!L24,S07_ArcaneTrickster!$E$69:$E$988,0),1),"")&amp;IFERROR(INDEX(S08_Sorcerer!$C$6:$C$35,MATCH(Character_Spellcasting!L24,S08_Sorcerer!$E$69:$E$98,0),1),"")&amp;IFERROR(INDEX(S09_Warlock!$C$6:$C$35,MATCH(Character_Spellcasting!L24,S09_Warlock!$E$69:$E$98,0),1),"")&amp;IFERROR(INDEX(S10_Wizard!$C$6:$C$35,MATCH(Character_Spellcasting!L24,S10_Wizard!$E$69:$E$98,0),1),"")</f>
        <v/>
      </c>
      <c r="N24" s="1061"/>
      <c r="O24" s="1061"/>
      <c r="P24" s="1061"/>
      <c r="Q24" s="1061"/>
      <c r="R24" s="1096" t="str">
        <f>IFERROR(INDEX(S01_Bard!$F$69:$F$98,MATCH(Character_Spellcasting!L24,S01_Bard!$D$69:$D$98,0),1),"")&amp;IFERROR(INDEX(S02_Cleric!$F$69:$F$98,MATCH(Character_Spellcasting!L24,S02_Cleric!$E$69:$E$98,0),1),"")&amp;IFERROR(INDEX(S03_Druid!$F$69:$F$98,MATCH(Character_Spellcasting!L24,S03_Druid!$E$69:$E$98,0),1),"")&amp;IFERROR(INDEX(S04_EldritchKnight!$F$69:$F$98,MATCH(Character_Spellcasting!L24,S04_EldritchKnight!$E$69:$E$98,0),1),"")&amp;IFERROR(INDEX(S05_Paladin!$F$69:$F$98,MATCH(Character_Spellcasting!L24,S05_Paladin!$E$69:$E$98,0),1),"")&amp;IFERROR(INDEX(S06_Ranger!$F$69:$F$98,MATCH(Character_Spellcasting!L24,S06_Ranger!$E$69:$E$988,0),1),"")&amp;IFERROR(INDEX(S07_ArcaneTrickster!$F$69:$F$98,MATCH(Character_Spellcasting!L24,S07_ArcaneTrickster!$E$69:$E$988,0),1),"")&amp;IFERROR(INDEX(S08_Sorcerer!$F$69:$F$98,MATCH(Character_Spellcasting!L24,S08_Sorcerer!$E$69:$E$98,0),1),"")&amp;IFERROR(INDEX(S09_Warlock!$F$69:$F$98,MATCH(Character_Spellcasting!L24,S09_Warlock!$E$69:$E$98,0),1),"")&amp;IFERROR(INDEX(S10_Wizard!$F$69:$F$98,MATCH(Character_Spellcasting!L24,S10_Wizard!$E$69:$E$98,0),1),"")</f>
        <v/>
      </c>
      <c r="S24" s="1096"/>
      <c r="T24" s="567"/>
      <c r="U24" s="565"/>
      <c r="V24" s="591">
        <v>18</v>
      </c>
      <c r="W24" s="1061" t="str">
        <f>IFERROR(INDEX(S01_Bard!$L$6:$L$35,MATCH(Character_Spellcasting!V24,S01_Bard!$N$69:$N$98,0),1),"")&amp;IFERROR(INDEX(S02_Cleric!$L$6:$L$35,MATCH(Character_Spellcasting!V24,S02_Cleric!$N$69:$N$98,0),1),"")&amp;IFERROR(INDEX(S03_Druid!$L$6:$L$35,MATCH(Character_Spellcasting!V24,S03_Druid!$N$69:$N$98,0),1),"")&amp;IFERROR(INDEX(S04_EldritchKnight!$L$6:$L$35,MATCH(Character_Spellcasting!V24,S04_EldritchKnight!$N$69:$N$98,0),1),"")&amp;IFERROR(INDEX(S05_Paladin!$L$6:$L$35,MATCH(Character_Spellcasting!V24,S05_Paladin!$N$69:$N$98,0),1),"")&amp;IFERROR(INDEX(S06_Ranger!$L$6:$L$35,MATCH(Character_Spellcasting!V24,S06_Ranger!$N$69:$N$988,0),1),"")&amp;IFERROR(INDEX(S07_ArcaneTrickster!$L$6:$L$35,MATCH(Character_Spellcasting!V24,S07_ArcaneTrickster!$N$69:$N$988,0),1),"")&amp;IFERROR(INDEX(S08_Sorcerer!$L$6:$L$35,MATCH(Character_Spellcasting!V24,S08_Sorcerer!$N$69:$N$98,0),1),"")&amp;IFERROR(INDEX(S09_Warlock!$L$6:$L$35,MATCH(Character_Spellcasting!V24,S09_Warlock!$N$69:$N$98,0),1),"")&amp;IFERROR(INDEX(S10_Wizard!$L$6:$L$35,MATCH(Character_Spellcasting!V24,S10_Wizard!$N$69:$N$98,0),1),"")</f>
        <v/>
      </c>
      <c r="X24" s="1061"/>
      <c r="Y24" s="1061"/>
      <c r="Z24" s="1061"/>
      <c r="AA24" s="1061"/>
      <c r="AB24" s="1097" t="str">
        <f>IFERROR(INDEX(S01_Bard!$O$69:$O$98,MATCH(Character_Spellcasting!V24,S01_Bard!$N$69:$N$98,0),1),"")&amp;IFERROR(INDEX(S02_Cleric!$O$69:$O$98,MATCH(Character_Spellcasting!V24,S02_Cleric!$N$69:$N$98,0),1),"")&amp;IFERROR(INDEX(S03_Druid!$O$69:$O$98,MATCH(Character_Spellcasting!V24,S03_Druid!$N$69:$N$98,0),1),"")&amp;IFERROR(INDEX(S04_EldritchKnight!$O$69:$O$98,MATCH(Character_Spellcasting!V24,S04_EldritchKnight!$N$69:$N$98,0),1),"")&amp;IFERROR(INDEX(S05_Paladin!$O$69:$O$98,MATCH(Character_Spellcasting!V24,S05_Paladin!$N$69:$N$98,0),1),"")&amp;IFERROR(INDEX(S06_Ranger!$O$69:$O$98,MATCH(Character_Spellcasting!V24,S06_Ranger!$N$69:$N$988,0),1),"")&amp;IFERROR(INDEX(S07_ArcaneTrickster!$O$69:$O$98,MATCH(Character_Spellcasting!V24,S07_ArcaneTrickster!$N$69:$N$988,0),1),"")&amp;IFERROR(INDEX(S08_Sorcerer!$O$69:$O$98,MATCH(Character_Spellcasting!V24,S08_Sorcerer!$N$69:$N$98,0),1),"")&amp;IFERROR(INDEX(S09_Warlock!$O$69:$O$98,MATCH(Character_Spellcasting!V24,S09_Warlock!$N$69:$N$98,0),1),"")&amp;IFERROR(INDEX(S10_Wizard!$O$69:$O$98,MATCH(Character_Spellcasting!V24,S10_Wizard!$N$69:$N$98,0),1),"")</f>
        <v/>
      </c>
      <c r="AC24" s="1098"/>
      <c r="AD24" s="567"/>
      <c r="AE24" s="565"/>
      <c r="AF24" s="609">
        <v>18</v>
      </c>
      <c r="AG24" s="1061" t="str">
        <f>IFERROR(INDEX(S01_Bard!$U$6:$U$35,MATCH(Character_Spellcasting!AF24,S01_Bard!$W$69:$W$98,0),1),"")&amp;IFERROR(INDEX(S02_Cleric!$U$6:$U$35,MATCH(Character_Spellcasting!AF24,S02_Cleric!$W$69:$W$98,0),1),"")&amp;IFERROR(INDEX(S03_Druid!$U$6:$U$35,MATCH(Character_Spellcasting!AF24,S03_Druid!$W$69:$W$98,0),1),"")&amp;IFERROR(INDEX(S04_EldritchKnight!$U$6:$U$35,MATCH(Character_Spellcasting!AF24,S04_EldritchKnight!$W$69:$W$98,0),1),"")&amp;IFERROR(INDEX(S05_Paladin!$U$6:$U$35,MATCH(Character_Spellcasting!AF24,S05_Paladin!$W$69:$W$98,0),1),"")&amp;IFERROR(INDEX(S06_Ranger!$U$6:$U$35,MATCH(Character_Spellcasting!AF24,S06_Ranger!$W$69:$W$988,0),1),"")&amp;IFERROR(INDEX(S07_ArcaneTrickster!$U$6:$U$35,MATCH(Character_Spellcasting!AF24,S07_ArcaneTrickster!$W$69:$W$988,0),1),"")&amp;IFERROR(INDEX(S08_Sorcerer!$U$6:$U$35,MATCH(Character_Spellcasting!AF24,S08_Sorcerer!$W$69:$W$98,0),1),"")&amp;IFERROR(INDEX(S09_Warlock!$U$6:$U$35,MATCH(Character_Spellcasting!AF24,S09_Warlock!$W$69:$W$98,0),1),"")&amp;IFERROR(INDEX(S10_Wizard!$U$6:$U$35,MATCH(Character_Spellcasting!AF24,S10_Wizard!$W$69:$W$98,0),1),"")</f>
        <v/>
      </c>
      <c r="AH24" s="1061"/>
      <c r="AI24" s="1061"/>
      <c r="AJ24" s="1061"/>
      <c r="AK24" s="1061"/>
      <c r="AL24" s="1097" t="str">
        <f>IFERROR(INDEX(S01_Bard!$X$69:$X$98,MATCH(Character_Spellcasting!AF24,S01_Bard!$W$69:$W$98,0),1),"")&amp;IFERROR(INDEX(S02_Cleric!$X$69:$X$98,MATCH(Character_Spellcasting!AF24,S02_Cleric!$W$69:$W$98,0),1),"")&amp;IFERROR(INDEX(S03_Druid!$X$69:$X$98,MATCH(Character_Spellcasting!AF24,S03_Druid!$W$69:$W$98,0),1),"")&amp;IFERROR(INDEX(S04_EldritchKnight!$X$69:$X$98,MATCH(Character_Spellcasting!AF24,S04_EldritchKnight!$W$69:$W$98,0),1),"")&amp;IFERROR(INDEX(S05_Paladin!$X$69:$X$98,MATCH(Character_Spellcasting!AF24,S05_Paladin!$W$69:$W$98,0),1),"")&amp;IFERROR(INDEX(S06_Ranger!$X$69:$X$98,MATCH(Character_Spellcasting!AF24,S06_Ranger!$W$69:$W$988,0),1),"")&amp;IFERROR(INDEX(S07_ArcaneTrickster!$X$69:$X$98,MATCH(Character_Spellcasting!AF24,S07_ArcaneTrickster!$W$69:$W$988,0),1),"")&amp;IFERROR(INDEX(S08_Sorcerer!$X$69:$X$98,MATCH(Character_Spellcasting!AF24,S08_Sorcerer!$W$69:$W$98,0),1),"")&amp;IFERROR(INDEX(S09_Warlock!$X$69:$X$98,MATCH(Character_Spellcasting!AF24,S09_Warlock!$W$69:$W$98,0),1),"")&amp;IFERROR(INDEX(S10_Wizard!$X$69:$X$98,MATCH(Character_Spellcasting!AF24,S10_Wizard!$W$69:$W$98,0),1),"")</f>
        <v/>
      </c>
      <c r="AM24" s="1098"/>
      <c r="AN24" s="567"/>
      <c r="AO24" s="565"/>
      <c r="AP24" s="591">
        <v>18</v>
      </c>
      <c r="AQ24" s="1061" t="str">
        <f>IFERROR(INDEX(S01_Bard!$AD$6:$AD$35,MATCH(Character_Spellcasting!AP24,S01_Bard!$AF$69:$AF$98,0),1),"")&amp;IFERROR(INDEX(S02_Cleric!$AD$6:$AD$35,MATCH(Character_Spellcasting!AP24,S02_Cleric!$AF$69:$AF$98,0),1),"")&amp;IFERROR(INDEX(S03_Druid!$AD$6:$AD$35,MATCH(Character_Spellcasting!AP24,S03_Druid!$AF$69:$AF$98,0),1),"")&amp;IFERROR(INDEX(S04_EldritchKnight!$AD$6:$AD$35,MATCH(Character_Spellcasting!AP24,S04_EldritchKnight!$AF$69:$AF$98,0),1),"")&amp;IFERROR(INDEX(S05_Paladin!$AD$6:$AD$35,MATCH(Character_Spellcasting!AP24,S05_Paladin!$AF$69:$AF$98,0),1),"")&amp;IFERROR(INDEX(S06_Ranger!$AD$6:$AD$35,MATCH(Character_Spellcasting!AP24,S06_Ranger!$AF$69:$AF$988,0),1),"")&amp;IFERROR(INDEX(S07_ArcaneTrickster!$AD$6:$AD$35,MATCH(Character_Spellcasting!AP24,S07_ArcaneTrickster!$AF$69:$AF$988,0),1),"")&amp;IFERROR(INDEX(S08_Sorcerer!$AD$6:$AD$35,MATCH(Character_Spellcasting!AP24,S08_Sorcerer!$AF$69:$AF$98,0),1),"")&amp;IFERROR(INDEX(S09_Warlock!$AD$6:$AD$35,MATCH(Character_Spellcasting!AP24,S09_Warlock!$AF$69:$AF$98,0),1),"")&amp;IFERROR(INDEX(S10_Wizard!$AD$6:$AD$35,MATCH(Character_Spellcasting!AP24,S10_Wizard!$AF$69:$AF$98,0),1),"")</f>
        <v/>
      </c>
      <c r="AR24" s="1061"/>
      <c r="AS24" s="1061"/>
      <c r="AT24" s="1061"/>
      <c r="AU24" s="1061"/>
      <c r="AV24" s="1096" t="str">
        <f>IFERROR(INDEX(S01_Bard!$AG$69:$AG$98,MATCH(Character_Spellcasting!AP24,S01_Bard!$D$69:$D$98,0),1),"")&amp;IFERROR(INDEX(S02_Cleric!$AG$69:$AG$98,MATCH(Character_Spellcasting!AP24,S02_Cleric!$AF$69:$AF$98,0),1),"")&amp;IFERROR(INDEX(S03_Druid!$AG$69:$AG$98,MATCH(Character_Spellcasting!AP24,S03_Druid!$AF$69:$AF$98,0),1),"")&amp;IFERROR(INDEX(S04_EldritchKnight!$AG$69:$AG$98,MATCH(Character_Spellcasting!AP24,S04_EldritchKnight!$AF$69:$AF$98,0),1),"")&amp;IFERROR(INDEX(S05_Paladin!$AG$69:$AG$98,MATCH(Character_Spellcasting!AP24,S05_Paladin!$AF$69:$AF$98,0),1),"")&amp;IFERROR(INDEX(S06_Ranger!$AG$69:$AG$98,MATCH(Character_Spellcasting!AP24,S06_Ranger!$AF$69:$AF$988,0),1),"")&amp;IFERROR(INDEX(S07_ArcaneTrickster!$AG$69:$AG$98,MATCH(Character_Spellcasting!AP24,S07_ArcaneTrickster!$AF$69:$AF$988,0),1),"")&amp;IFERROR(INDEX(S08_Sorcerer!$AG$69:$AG$98,MATCH(Character_Spellcasting!AP24,S08_Sorcerer!$AF$69:$AF$98,0),1),"")&amp;IFERROR(INDEX(S09_Warlock!$AG$69:$AG$98,MATCH(Character_Spellcasting!AP24,S09_Warlock!$AF$69:$AF$98,0),1),"")&amp;IFERROR(INDEX(S10_Wizard!$AG$69:$AG$98,MATCH(Character_Spellcasting!AP24,S10_Wizard!$AF$69:$AF$98,0),1),"")</f>
        <v/>
      </c>
      <c r="AW24" s="1096"/>
      <c r="AX24" s="567"/>
      <c r="AY24" s="565"/>
      <c r="AZ24" s="591">
        <v>18</v>
      </c>
      <c r="BA24" s="1061" t="str">
        <f>IFERROR(INDEX(S01_Bard!$AM$6:$AM$35,MATCH(Character_Spellcasting!AZ24,S01_Bard!$AO$69:$AO$98,0),1),"")&amp;IFERROR(INDEX(S02_Cleric!$AM$6:$AM$35,MATCH(Character_Spellcasting!AZ24,S02_Cleric!$AO$69:$AO$98,0),1),"")&amp;IFERROR(INDEX(S03_Druid!$AM$6:$AM$35,MATCH(Character_Spellcasting!AZ24,S03_Druid!$AO$69:$AO$98,0),1),"")&amp;IFERROR(INDEX(S04_EldritchKnight!$AM$6:$AM$35,MATCH(Character_Spellcasting!AZ24,S04_EldritchKnight!$AO$69:$AO$98,0),1),"")&amp;IFERROR(INDEX(S05_Paladin!$AM$6:$AM$35,MATCH(Character_Spellcasting!AZ24,S05_Paladin!$AO$69:$AO$98,0),1),"")&amp;IFERROR(INDEX(S06_Ranger!$AM$6:$AM$35,MATCH(Character_Spellcasting!AZ24,S06_Ranger!$AO$69:$AO$988,0),1),"")&amp;IFERROR(INDEX(S07_ArcaneTrickster!$AM$6:$AM$35,MATCH(Character_Spellcasting!AZ24,S07_ArcaneTrickster!$AO$69:$AO$988,0),1),"")&amp;IFERROR(INDEX(S08_Sorcerer!$AM$6:$AM$35,MATCH(Character_Spellcasting!AZ24,S08_Sorcerer!$AO$69:$AO$98,0),1),"")&amp;IFERROR(INDEX(S09_Warlock!$AM$6:$AM$35,MATCH(Character_Spellcasting!AZ24,S09_Warlock!$AO$69:$AO$98,0),1),"")&amp;IFERROR(INDEX(S10_Wizard!$AM$6:$AM$35,MATCH(Character_Spellcasting!AZ24,S10_Wizard!$AO$69:$AO$98,0),1),"")</f>
        <v/>
      </c>
      <c r="BB24" s="1061"/>
      <c r="BC24" s="1061"/>
      <c r="BD24" s="1061"/>
      <c r="BE24" s="1061"/>
      <c r="BF24" s="1096" t="str">
        <f>IFERROR(INDEX(S01_Bard!$AP$69:$AP$98,MATCH(Character_Spellcasting!AZ24,S01_Bard!$D$69:$D$98,0),1),"")&amp;IFERROR(INDEX(S02_Cleric!$AP$69:$AP$98,MATCH(Character_Spellcasting!AZ24,S02_Cleric!$AO$69:$AO$98,0),1),"")&amp;IFERROR(INDEX(S03_Druid!$AP$69:$AP$98,MATCH(Character_Spellcasting!AZ24,S03_Druid!$AO$69:$AO$98,0),1),"")&amp;IFERROR(INDEX(S04_EldritchKnight!$AP$69:$AP$98,MATCH(Character_Spellcasting!AZ24,S04_EldritchKnight!$AO$69:$AO$98,0),1),"")&amp;IFERROR(INDEX(S05_Paladin!$AP$69:$AP$98,MATCH(Character_Spellcasting!AZ24,S05_Paladin!$AO$69:$AO$98,0),1),"")&amp;IFERROR(INDEX(S06_Ranger!$AP$69:$AP$98,MATCH(Character_Spellcasting!AZ24,S06_Ranger!$AO$69:$AO$988,0),1),"")&amp;IFERROR(INDEX(S07_ArcaneTrickster!$AP$69:$AP$98,MATCH(Character_Spellcasting!AZ24,S07_ArcaneTrickster!$AO$69:$AO$988,0),1),"")&amp;IFERROR(INDEX(S08_Sorcerer!$AP$69:$AP$98,MATCH(Character_Spellcasting!AZ24,S08_Sorcerer!$AO$69:$AO$98,0),1),"")&amp;IFERROR(INDEX(S09_Warlock!$AP$69:$AP$98,MATCH(Character_Spellcasting!AZ24,S09_Warlock!$AO$69:$AO$98,0),1),"")&amp;IFERROR(INDEX(S10_Wizard!$AP$69:$AP$98,MATCH(Character_Spellcasting!AZ24,S10_Wizard!$AO$69:$AO$98,0),1),"")</f>
        <v/>
      </c>
      <c r="BG24" s="1096"/>
      <c r="BH24" s="567"/>
      <c r="BI24" s="120"/>
      <c r="BJ24" s="591">
        <v>18</v>
      </c>
      <c r="BK24" s="1061" t="str">
        <f>IFERROR(INDEX(S01_Bard!$AV$6:$AV$35,MATCH(Character_Spellcasting!BJ24,S01_Bard!$AX$69:$AX$98,0),1),"")&amp;IFERROR(INDEX(S02_Cleric!$AV$6:$AV$35,MATCH(Character_Spellcasting!BJ24,S02_Cleric!$AX$69:$AX$98,0),1),"")&amp;IFERROR(INDEX(S03_Druid!$AV$6:$AV$35,MATCH(Character_Spellcasting!BJ24,S03_Druid!$AX$69:$AX$98,0),1),"")&amp;IFERROR(INDEX(S04_EldritchKnight!$AV$6:$AV$35,MATCH(Character_Spellcasting!BJ24,S04_EldritchKnight!$AX$69:$AX$98,0),1),"")&amp;IFERROR(INDEX(S05_Paladin!$AV$6:$AV$35,MATCH(Character_Spellcasting!BJ24,S05_Paladin!$AX$69:$AX$98,0),1),"")&amp;IFERROR(INDEX(S06_Ranger!$AV$6:$AV$35,MATCH(Character_Spellcasting!BJ24,S06_Ranger!$AX$69:$AX$988,0),1),"")&amp;IFERROR(INDEX(S07_ArcaneTrickster!$AV$6:$AV$35,MATCH(Character_Spellcasting!BJ24,S07_ArcaneTrickster!$AX$69:$AX$988,0),1),"")&amp;IFERROR(INDEX(S08_Sorcerer!$AV$6:$AV$35,MATCH(Character_Spellcasting!BJ24,S08_Sorcerer!$AX$69:$AX$98,0),1),"")&amp;IFERROR(INDEX(S09_Warlock!$AV$6:$AV$35,MATCH(Character_Spellcasting!BJ24,S09_Warlock!$AX$69:$AX$98,0),1),"")&amp;IFERROR(INDEX(S10_Wizard!$AV$6:$AV$35,MATCH(Character_Spellcasting!BJ24,S10_Wizard!$AX$69:$AX$98,0),1),"")</f>
        <v/>
      </c>
      <c r="BL24" s="1061"/>
      <c r="BM24" s="1061"/>
      <c r="BN24" s="1061"/>
      <c r="BO24" s="1061"/>
      <c r="BP24" s="1096" t="str">
        <f>IFERROR(INDEX(S01_Bard!$AY$69:$AY$98,MATCH(Character_Spellcasting!BJ24,S01_Bard!$D$69:$D$98,0),1),"")&amp;IFERROR(INDEX(S02_Cleric!$AY$69:$AY$98,MATCH(Character_Spellcasting!BJ24,S02_Cleric!$AX$69:$AX$98,0),1),"")&amp;IFERROR(INDEX(S03_Druid!$AY$69:$AY$98,MATCH(Character_Spellcasting!BJ24,S03_Druid!$AX$69:$AX$98,0),1),"")&amp;IFERROR(INDEX(S04_EldritchKnight!$AY$69:$AY$98,MATCH(Character_Spellcasting!BJ24,S04_EldritchKnight!$AX$69:$AX$98,0),1),"")&amp;IFERROR(INDEX(S05_Paladin!$AY$69:$AY$98,MATCH(Character_Spellcasting!BJ24,S05_Paladin!$AX$69:$AX$98,0),1),"")&amp;IFERROR(INDEX(S06_Ranger!$AY$69:$AY$98,MATCH(Character_Spellcasting!BJ24,S06_Ranger!$AX$69:$AX$988,0),1),"")&amp;IFERROR(INDEX(S07_ArcaneTrickster!$AY$69:$AY$98,MATCH(Character_Spellcasting!BJ24,S07_ArcaneTrickster!$AX$69:$AX$988,0),1),"")&amp;IFERROR(INDEX(S08_Sorcerer!$AY$69:$AY$98,MATCH(Character_Spellcasting!BJ24,S08_Sorcerer!$AX$69:$AX$98,0),1),"")&amp;IFERROR(INDEX(S09_Warlock!$AY$69:$AY$98,MATCH(Character_Spellcasting!BJ24,S09_Warlock!$AX$69:$AX$98,0),1),"")&amp;IFERROR(INDEX(S10_Wizard!$AY$69:$AY$98,MATCH(Character_Spellcasting!BJ24,S10_Wizard!$AX$69:$AX$98,0),1),"")</f>
        <v/>
      </c>
      <c r="BQ24" s="1096"/>
      <c r="BR24" s="567"/>
      <c r="BS24" s="120"/>
      <c r="BT24" s="591">
        <v>18</v>
      </c>
      <c r="BU24" s="1061" t="str">
        <f>IFERROR(INDEX(S01_Bard!$BE$6:$BE$35,MATCH(Character_Spellcasting!BT24,S01_Bard!$BG$69:$BG$98,0),1),"")&amp;IFERROR(INDEX(S02_Cleric!$BE$6:$BE$35,MATCH(Character_Spellcasting!BT24,S02_Cleric!$BG$69:$BG$98,0),1),"")&amp;IFERROR(INDEX(S03_Druid!$BE$6:$BE$35,MATCH(Character_Spellcasting!BT24,S03_Druid!$BG$69:$BG$98,0),1),"")&amp;IFERROR(INDEX(S04_EldritchKnight!$BE$6:$BE$35,MATCH(Character_Spellcasting!BT24,S04_EldritchKnight!$BG$69:$BG$98,0),1),"")&amp;IFERROR(INDEX(S05_Paladin!$BE$6:$BE$35,MATCH(Character_Spellcasting!BT24,S05_Paladin!$BG$69:$BG$98,0),1),"")&amp;IFERROR(INDEX(S06_Ranger!$BE$6:$BE$35,MATCH(Character_Spellcasting!BT24,S06_Ranger!$BG$69:$BG$988,0),1),"")&amp;IFERROR(INDEX(S07_ArcaneTrickster!$BE$6:$BE$35,MATCH(Character_Spellcasting!BT24,S07_ArcaneTrickster!$BG$69:$BG$988,0),1),"")&amp;IFERROR(INDEX(S08_Sorcerer!$BE$6:$BE$35,MATCH(Character_Spellcasting!BT24,S08_Sorcerer!$BG$69:$BG$98,0),1),"")&amp;IFERROR(INDEX(S09_Warlock!$BE$6:$BE$35,MATCH(Character_Spellcasting!BT24,S09_Warlock!$BG$69:$BG$98,0),1),"")&amp;IFERROR(INDEX(S10_Wizard!$BE$6:$BE$35,MATCH(Character_Spellcasting!BT24,S10_Wizard!$BG$69:$BG$98,0),1),"")</f>
        <v/>
      </c>
      <c r="BV24" s="1061"/>
      <c r="BW24" s="1061"/>
      <c r="BX24" s="1061"/>
      <c r="BY24" s="1061"/>
      <c r="BZ24" s="1096" t="str">
        <f>IFERROR(INDEX(S01_Bard!$BH$69:$BH$98,MATCH(Character_Spellcasting!BT24,S01_Bard!$D$69:$D$98,0),1),"")&amp;IFERROR(INDEX(S02_Cleric!$BH$69:$BH$98,MATCH(Character_Spellcasting!BT24,S02_Cleric!$BG$69:$BG$98,0),1),"")&amp;IFERROR(INDEX(S03_Druid!$BH$69:$BH$98,MATCH(Character_Spellcasting!BT24,S03_Druid!$BG$69:$BG$98,0),1),"")&amp;IFERROR(INDEX(S04_EldritchKnight!$BH$69:$BH$98,MATCH(Character_Spellcasting!BT24,S04_EldritchKnight!$BG$69:$BG$98,0),1),"")&amp;IFERROR(INDEX(S05_Paladin!$BH$69:$BH$98,MATCH(Character_Spellcasting!BT24,S05_Paladin!$BG$69:$BG$98,0),1),"")&amp;IFERROR(INDEX(S06_Ranger!$BH$69:$BH$98,MATCH(Character_Spellcasting!BT24,S06_Ranger!$BG$69:$BG$988,0),1),"")&amp;IFERROR(INDEX(S07_ArcaneTrickster!$BH$69:$BH$98,MATCH(Character_Spellcasting!BT24,S07_ArcaneTrickster!$BG$69:$BG$988,0),1),"")&amp;IFERROR(INDEX(S08_Sorcerer!$BH$69:$BH$98,MATCH(Character_Spellcasting!BT24,S08_Sorcerer!$BG$69:$BG$98,0),1),"")&amp;IFERROR(INDEX(S09_Warlock!$BH$69:$BH$98,MATCH(Character_Spellcasting!BT24,S09_Warlock!$BG$69:$BG$98,0),1),"")&amp;IFERROR(INDEX(S10_Wizard!$BH$69:$BH$98,MATCH(Character_Spellcasting!BT24,S10_Wizard!$BG$69:$BG$98,0),1),"")</f>
        <v/>
      </c>
      <c r="CA24" s="1096"/>
      <c r="CB24" s="567"/>
      <c r="CC24" s="120"/>
      <c r="CD24" s="591">
        <v>18</v>
      </c>
      <c r="CE24" s="1061" t="str">
        <f>IFERROR(INDEX(S01_Bard!$BN$6:$BN$35,MATCH(Character_Spellcasting!CD24,S01_Bard!$BP$69:$BP$98,0),1),"")&amp;IFERROR(INDEX(S02_Cleric!$BN$6:$BN$35,MATCH(Character_Spellcasting!CD24,S02_Cleric!$BP$69:$BP$98,0),1),"")&amp;IFERROR(INDEX(S03_Druid!$BN$6:$BN$35,MATCH(Character_Spellcasting!CD24,S03_Druid!$BP$69:$BP$98,0),1),"")&amp;IFERROR(INDEX(S04_EldritchKnight!$BN$6:$BN$35,MATCH(Character_Spellcasting!CD24,S04_EldritchKnight!$BP$69:$BP$98,0),1),"")&amp;IFERROR(INDEX(S05_Paladin!$BN$6:$BN$35,MATCH(Character_Spellcasting!CD24,S05_Paladin!$BP$69:$BP$98,0),1),"")&amp;IFERROR(INDEX(S06_Ranger!$BN$6:$BN$35,MATCH(Character_Spellcasting!CD24,S06_Ranger!$BP$69:$BP$988,0),1),"")&amp;IFERROR(INDEX(S07_ArcaneTrickster!$BN$6:$BN$35,MATCH(Character_Spellcasting!CD24,S07_ArcaneTrickster!$BP$69:$BP$988,0),1),"")&amp;IFERROR(INDEX(S08_Sorcerer!$BN$6:$BN$35,MATCH(Character_Spellcasting!CD24,S08_Sorcerer!$BP$69:$BP$98,0),1),"")&amp;IFERROR(INDEX(S09_Warlock!$BN$6:$BN$35,MATCH(Character_Spellcasting!CD24,S09_Warlock!$BP$69:$BP$98,0),1),"")&amp;IFERROR(INDEX(S10_Wizard!$BN$6:$BN$35,MATCH(Character_Spellcasting!CD24,S10_Wizard!$BP$69:$BP$98,0),1),"")</f>
        <v/>
      </c>
      <c r="CF24" s="1061"/>
      <c r="CG24" s="1061"/>
      <c r="CH24" s="1061"/>
      <c r="CI24" s="1061"/>
      <c r="CJ24" s="1096" t="str">
        <f>IFERROR(INDEX(S01_Bard!$BQ$69:$BQ$98,MATCH(Character_Spellcasting!CD24,S01_Bard!$D$69:$D$98,0),1),"")&amp;IFERROR(INDEX(S02_Cleric!$BQ$69:$BQ$98,MATCH(Character_Spellcasting!CD24,S02_Cleric!$BP$69:$BP$98,0),1),"")&amp;IFERROR(INDEX(S03_Druid!$BQ$69:$BQ$98,MATCH(Character_Spellcasting!CD24,S03_Druid!$BP$69:$BP$98,0),1),"")&amp;IFERROR(INDEX(S04_EldritchKnight!$BQ$69:$BQ$98,MATCH(Character_Spellcasting!CD24,S04_EldritchKnight!$BP$69:$BP$98,0),1),"")&amp;IFERROR(INDEX(S05_Paladin!$BQ$69:$BQ$98,MATCH(Character_Spellcasting!CD24,S05_Paladin!$BP$69:$BP$98,0),1),"")&amp;IFERROR(INDEX(S06_Ranger!$BQ$69:$BQ$98,MATCH(Character_Spellcasting!CD24,S06_Ranger!$BP$69:$BP$988,0),1),"")&amp;IFERROR(INDEX(S07_ArcaneTrickster!$BQ$69:$BQ$98,MATCH(Character_Spellcasting!CD24,S07_ArcaneTrickster!$BP$69:$BP$988,0),1),"")&amp;IFERROR(INDEX(S08_Sorcerer!$BQ$69:$BQ$98,MATCH(Character_Spellcasting!CD24,S08_Sorcerer!$BP$69:$BP$98,0),1),"")&amp;IFERROR(INDEX(S09_Warlock!$BQ$69:$BQ$98,MATCH(Character_Spellcasting!CD24,S09_Warlock!$BP$69:$BP$98,0),1),"")&amp;IFERROR(INDEX(S10_Wizard!$BQ$69:$BQ$98,MATCH(Character_Spellcasting!CD24,S10_Wizard!$BP$69:$BP$98,0),1),"")</f>
        <v/>
      </c>
      <c r="CK24" s="1096"/>
      <c r="CL24" s="567"/>
      <c r="CM24" s="120"/>
      <c r="CN24" s="591">
        <v>18</v>
      </c>
      <c r="CO24" s="1061" t="str">
        <f>IFERROR(INDEX(S01_Bard!$BW$6:$BW$35,MATCH(Character_Spellcasting!CN24,S01_Bard!$BY$69:$BY$98,0),1),"")&amp;IFERROR(INDEX(S02_Cleric!$BW$6:$BW$35,MATCH(Character_Spellcasting!CN24,S02_Cleric!$BY$69:$BY$98,0),1),"")&amp;IFERROR(INDEX(S03_Druid!$BW$6:$BW$35,MATCH(Character_Spellcasting!CN24,S03_Druid!$BY$69:$BY$98,0),1),"")&amp;IFERROR(INDEX(S04_EldritchKnight!$BW$6:$BW$35,MATCH(Character_Spellcasting!CN24,S04_EldritchKnight!$BY$69:$BY$98,0),1),"")&amp;IFERROR(INDEX(S05_Paladin!$BW$6:$BW$35,MATCH(Character_Spellcasting!CN24,S05_Paladin!$BY$69:$BY$98,0),1),"")&amp;IFERROR(INDEX(S06_Ranger!$BW$6:$BW$35,MATCH(Character_Spellcasting!CN24,S06_Ranger!$BY$69:$BY$988,0),1),"")&amp;IFERROR(INDEX(S07_ArcaneTrickster!$BW$6:$BW$35,MATCH(Character_Spellcasting!CN24,S07_ArcaneTrickster!$BY$69:$BY$988,0),1),"")&amp;IFERROR(INDEX(S08_Sorcerer!$BW$6:$BW$35,MATCH(Character_Spellcasting!CN24,S08_Sorcerer!$BY$69:$BY$98,0),1),"")&amp;IFERROR(INDEX(S09_Warlock!$BW$6:$BW$35,MATCH(Character_Spellcasting!CN24,S09_Warlock!$BY$69:$BY$98,0),1),"")&amp;IFERROR(INDEX(S10_Wizard!$BW$6:$BW$35,MATCH(Character_Spellcasting!CN24,S10_Wizard!$BY$69:$BY$98,0),1),"")</f>
        <v/>
      </c>
      <c r="CP24" s="1061"/>
      <c r="CQ24" s="1061"/>
      <c r="CR24" s="1061"/>
      <c r="CS24" s="1061"/>
      <c r="CT24" s="1096" t="str">
        <f>IFERROR(INDEX(S01_Bard!$BZ$69:$BZ$98,MATCH(Character_Spellcasting!CN24,S01_Bard!$D$69:$D$98,0),1),"")&amp;IFERROR(INDEX(S02_Cleric!$BZ$69:$BZ$98,MATCH(Character_Spellcasting!CN24,S02_Cleric!$BY$69:$BY$98,0),1),"")&amp;IFERROR(INDEX(S03_Druid!$BZ$69:$BZ$98,MATCH(Character_Spellcasting!CN24,S03_Druid!$BY$69:$BY$98,0),1),"")&amp;IFERROR(INDEX(S04_EldritchKnight!$BZ$69:$BZ$98,MATCH(Character_Spellcasting!CN24,S04_EldritchKnight!$BY$69:$BY$98,0),1),"")&amp;IFERROR(INDEX(S05_Paladin!$BZ$69:$BZ$98,MATCH(Character_Spellcasting!CN24,S05_Paladin!$BY$69:$BY$98,0),1),"")&amp;IFERROR(INDEX(S06_Ranger!$BZ$69:$BZ$98,MATCH(Character_Spellcasting!CN24,S06_Ranger!$BY$69:$BY$988,0),1),"")&amp;IFERROR(INDEX(S07_ArcaneTrickster!$BZ$69:$BZ$98,MATCH(Character_Spellcasting!CN24,S07_ArcaneTrickster!$BY$69:$BY$988,0),1),"")&amp;IFERROR(INDEX(S08_Sorcerer!$BZ$69:$BZ$98,MATCH(Character_Spellcasting!CN24,S08_Sorcerer!$BY$69:$BY$98,0),1),"")&amp;IFERROR(INDEX(S09_Warlock!$BZ$69:$BZ$98,MATCH(Character_Spellcasting!CN24,S09_Warlock!$BY$69:$BY$98,0),1),"")&amp;IFERROR(INDEX(S10_Wizard!$BZ$69:$BZ$98,MATCH(Character_Spellcasting!CN24,S10_Wizard!$BY$69:$BY$98,0),1),"")</f>
        <v/>
      </c>
      <c r="CU24" s="1096"/>
      <c r="CV24" s="567"/>
      <c r="CW24" s="565"/>
      <c r="CX24" s="565"/>
      <c r="CY24" s="565"/>
      <c r="CZ24" s="565"/>
      <c r="DA24" s="610">
        <v>18</v>
      </c>
      <c r="DB24" s="1061" t="str">
        <f t="shared" si="0"/>
        <v/>
      </c>
      <c r="DC24" s="1061"/>
      <c r="DD24" s="1061"/>
      <c r="DE24" s="1061"/>
      <c r="DF24" s="1061"/>
      <c r="DG24" s="1096" t="str">
        <f t="shared" si="1"/>
        <v/>
      </c>
      <c r="DH24" s="1096"/>
      <c r="DI24" s="565"/>
      <c r="DJ24" s="565"/>
      <c r="DK24" s="565"/>
      <c r="DL24" s="565"/>
      <c r="DM24" s="565"/>
      <c r="DN24" s="565"/>
      <c r="DO24" s="565"/>
      <c r="DP24" s="565"/>
      <c r="DQ24" s="565"/>
      <c r="DR24" s="565"/>
      <c r="DS24" s="565"/>
      <c r="DT24" s="565"/>
      <c r="DU24" s="565"/>
      <c r="DV24" s="565"/>
    </row>
    <row r="25" spans="1:126" ht="21" customHeight="1" x14ac:dyDescent="0.25">
      <c r="A25" s="120"/>
      <c r="B25" s="610">
        <v>19</v>
      </c>
      <c r="C25" s="1061"/>
      <c r="D25" s="1061"/>
      <c r="E25" s="1061"/>
      <c r="F25" s="1061"/>
      <c r="G25" s="1061"/>
      <c r="H25" s="1096"/>
      <c r="I25" s="1096"/>
      <c r="J25" s="120"/>
      <c r="K25" s="120"/>
      <c r="L25" s="591">
        <v>19</v>
      </c>
      <c r="M25" s="1061" t="str">
        <f>IFERROR(INDEX(S01_Bard!$C$6:$C$35,MATCH(Character_Spellcasting!L25,S01_Bard!$E$69:$E$98,0),1),"")&amp;IFERROR(INDEX(S02_Cleric!$C$6:$C$35,MATCH(Character_Spellcasting!L25,S02_Cleric!$E$69:$E$98,0),1),"")&amp;IFERROR(INDEX(S03_Druid!$C$6:$C$35,MATCH(Character_Spellcasting!L25,S03_Druid!$E$69:$E$98,0),1),"")&amp;IFERROR(INDEX(S04_EldritchKnight!$C$6:$C$35,MATCH(Character_Spellcasting!L25,S04_EldritchKnight!$E$69:$E$98,0),1),"")&amp;IFERROR(INDEX(S05_Paladin!$C$6:$C$35,MATCH(Character_Spellcasting!L25,S05_Paladin!$E$69:$E$98,0),1),"")&amp;IFERROR(INDEX(S06_Ranger!$C$6:$C$35,MATCH(Character_Spellcasting!L25,S06_Ranger!$E$69:$E$988,0),1),"")&amp;IFERROR(INDEX(S07_ArcaneTrickster!$C$6:$C$35,MATCH(Character_Spellcasting!L25,S07_ArcaneTrickster!$E$69:$E$988,0),1),"")&amp;IFERROR(INDEX(S08_Sorcerer!$C$6:$C$35,MATCH(Character_Spellcasting!L25,S08_Sorcerer!$E$69:$E$98,0),1),"")&amp;IFERROR(INDEX(S09_Warlock!$C$6:$C$35,MATCH(Character_Spellcasting!L25,S09_Warlock!$E$69:$E$98,0),1),"")&amp;IFERROR(INDEX(S10_Wizard!$C$6:$C$35,MATCH(Character_Spellcasting!L25,S10_Wizard!$E$69:$E$98,0),1),"")</f>
        <v/>
      </c>
      <c r="N25" s="1061"/>
      <c r="O25" s="1061"/>
      <c r="P25" s="1061"/>
      <c r="Q25" s="1061"/>
      <c r="R25" s="1096" t="str">
        <f>IFERROR(INDEX(S01_Bard!$F$69:$F$98,MATCH(Character_Spellcasting!L25,S01_Bard!$D$69:$D$98,0),1),"")&amp;IFERROR(INDEX(S02_Cleric!$F$69:$F$98,MATCH(Character_Spellcasting!L25,S02_Cleric!$E$69:$E$98,0),1),"")&amp;IFERROR(INDEX(S03_Druid!$F$69:$F$98,MATCH(Character_Spellcasting!L25,S03_Druid!$E$69:$E$98,0),1),"")&amp;IFERROR(INDEX(S04_EldritchKnight!$F$69:$F$98,MATCH(Character_Spellcasting!L25,S04_EldritchKnight!$E$69:$E$98,0),1),"")&amp;IFERROR(INDEX(S05_Paladin!$F$69:$F$98,MATCH(Character_Spellcasting!L25,S05_Paladin!$E$69:$E$98,0),1),"")&amp;IFERROR(INDEX(S06_Ranger!$F$69:$F$98,MATCH(Character_Spellcasting!L25,S06_Ranger!$E$69:$E$988,0),1),"")&amp;IFERROR(INDEX(S07_ArcaneTrickster!$F$69:$F$98,MATCH(Character_Spellcasting!L25,S07_ArcaneTrickster!$E$69:$E$988,0),1),"")&amp;IFERROR(INDEX(S08_Sorcerer!$F$69:$F$98,MATCH(Character_Spellcasting!L25,S08_Sorcerer!$E$69:$E$98,0),1),"")&amp;IFERROR(INDEX(S09_Warlock!$F$69:$F$98,MATCH(Character_Spellcasting!L25,S09_Warlock!$E$69:$E$98,0),1),"")&amp;IFERROR(INDEX(S10_Wizard!$F$69:$F$98,MATCH(Character_Spellcasting!L25,S10_Wizard!$E$69:$E$98,0),1),"")</f>
        <v/>
      </c>
      <c r="S25" s="1096"/>
      <c r="T25" s="567"/>
      <c r="U25" s="565"/>
      <c r="V25" s="591">
        <v>19</v>
      </c>
      <c r="W25" s="1061" t="str">
        <f>IFERROR(INDEX(S01_Bard!$L$6:$L$35,MATCH(Character_Spellcasting!V25,S01_Bard!$N$69:$N$98,0),1),"")&amp;IFERROR(INDEX(S02_Cleric!$L$6:$L$35,MATCH(Character_Spellcasting!V25,S02_Cleric!$N$69:$N$98,0),1),"")&amp;IFERROR(INDEX(S03_Druid!$L$6:$L$35,MATCH(Character_Spellcasting!V25,S03_Druid!$N$69:$N$98,0),1),"")&amp;IFERROR(INDEX(S04_EldritchKnight!$L$6:$L$35,MATCH(Character_Spellcasting!V25,S04_EldritchKnight!$N$69:$N$98,0),1),"")&amp;IFERROR(INDEX(S05_Paladin!$L$6:$L$35,MATCH(Character_Spellcasting!V25,S05_Paladin!$N$69:$N$98,0),1),"")&amp;IFERROR(INDEX(S06_Ranger!$L$6:$L$35,MATCH(Character_Spellcasting!V25,S06_Ranger!$N$69:$N$988,0),1),"")&amp;IFERROR(INDEX(S07_ArcaneTrickster!$L$6:$L$35,MATCH(Character_Spellcasting!V25,S07_ArcaneTrickster!$N$69:$N$988,0),1),"")&amp;IFERROR(INDEX(S08_Sorcerer!$L$6:$L$35,MATCH(Character_Spellcasting!V25,S08_Sorcerer!$N$69:$N$98,0),1),"")&amp;IFERROR(INDEX(S09_Warlock!$L$6:$L$35,MATCH(Character_Spellcasting!V25,S09_Warlock!$N$69:$N$98,0),1),"")&amp;IFERROR(INDEX(S10_Wizard!$L$6:$L$35,MATCH(Character_Spellcasting!V25,S10_Wizard!$N$69:$N$98,0),1),"")</f>
        <v/>
      </c>
      <c r="X25" s="1061"/>
      <c r="Y25" s="1061"/>
      <c r="Z25" s="1061"/>
      <c r="AA25" s="1061"/>
      <c r="AB25" s="1097" t="str">
        <f>IFERROR(INDEX(S01_Bard!$O$69:$O$98,MATCH(Character_Spellcasting!V25,S01_Bard!$N$69:$N$98,0),1),"")&amp;IFERROR(INDEX(S02_Cleric!$O$69:$O$98,MATCH(Character_Spellcasting!V25,S02_Cleric!$N$69:$N$98,0),1),"")&amp;IFERROR(INDEX(S03_Druid!$O$69:$O$98,MATCH(Character_Spellcasting!V25,S03_Druid!$N$69:$N$98,0),1),"")&amp;IFERROR(INDEX(S04_EldritchKnight!$O$69:$O$98,MATCH(Character_Spellcasting!V25,S04_EldritchKnight!$N$69:$N$98,0),1),"")&amp;IFERROR(INDEX(S05_Paladin!$O$69:$O$98,MATCH(Character_Spellcasting!V25,S05_Paladin!$N$69:$N$98,0),1),"")&amp;IFERROR(INDEX(S06_Ranger!$O$69:$O$98,MATCH(Character_Spellcasting!V25,S06_Ranger!$N$69:$N$988,0),1),"")&amp;IFERROR(INDEX(S07_ArcaneTrickster!$O$69:$O$98,MATCH(Character_Spellcasting!V25,S07_ArcaneTrickster!$N$69:$N$988,0),1),"")&amp;IFERROR(INDEX(S08_Sorcerer!$O$69:$O$98,MATCH(Character_Spellcasting!V25,S08_Sorcerer!$N$69:$N$98,0),1),"")&amp;IFERROR(INDEX(S09_Warlock!$O$69:$O$98,MATCH(Character_Spellcasting!V25,S09_Warlock!$N$69:$N$98,0),1),"")&amp;IFERROR(INDEX(S10_Wizard!$O$69:$O$98,MATCH(Character_Spellcasting!V25,S10_Wizard!$N$69:$N$98,0),1),"")</f>
        <v/>
      </c>
      <c r="AC25" s="1098"/>
      <c r="AD25" s="567"/>
      <c r="AE25" s="565"/>
      <c r="AF25" s="609">
        <v>19</v>
      </c>
      <c r="AG25" s="1061" t="str">
        <f>IFERROR(INDEX(S01_Bard!$U$6:$U$35,MATCH(Character_Spellcasting!AF25,S01_Bard!$W$69:$W$98,0),1),"")&amp;IFERROR(INDEX(S02_Cleric!$U$6:$U$35,MATCH(Character_Spellcasting!AF25,S02_Cleric!$W$69:$W$98,0),1),"")&amp;IFERROR(INDEX(S03_Druid!$U$6:$U$35,MATCH(Character_Spellcasting!AF25,S03_Druid!$W$69:$W$98,0),1),"")&amp;IFERROR(INDEX(S04_EldritchKnight!$U$6:$U$35,MATCH(Character_Spellcasting!AF25,S04_EldritchKnight!$W$69:$W$98,0),1),"")&amp;IFERROR(INDEX(S05_Paladin!$U$6:$U$35,MATCH(Character_Spellcasting!AF25,S05_Paladin!$W$69:$W$98,0),1),"")&amp;IFERROR(INDEX(S06_Ranger!$U$6:$U$35,MATCH(Character_Spellcasting!AF25,S06_Ranger!$W$69:$W$988,0),1),"")&amp;IFERROR(INDEX(S07_ArcaneTrickster!$U$6:$U$35,MATCH(Character_Spellcasting!AF25,S07_ArcaneTrickster!$W$69:$W$988,0),1),"")&amp;IFERROR(INDEX(S08_Sorcerer!$U$6:$U$35,MATCH(Character_Spellcasting!AF25,S08_Sorcerer!$W$69:$W$98,0),1),"")&amp;IFERROR(INDEX(S09_Warlock!$U$6:$U$35,MATCH(Character_Spellcasting!AF25,S09_Warlock!$W$69:$W$98,0),1),"")&amp;IFERROR(INDEX(S10_Wizard!$U$6:$U$35,MATCH(Character_Spellcasting!AF25,S10_Wizard!$W$69:$W$98,0),1),"")</f>
        <v/>
      </c>
      <c r="AH25" s="1061"/>
      <c r="AI25" s="1061"/>
      <c r="AJ25" s="1061"/>
      <c r="AK25" s="1061"/>
      <c r="AL25" s="1097" t="str">
        <f>IFERROR(INDEX(S01_Bard!$X$69:$X$98,MATCH(Character_Spellcasting!AF25,S01_Bard!$W$69:$W$98,0),1),"")&amp;IFERROR(INDEX(S02_Cleric!$X$69:$X$98,MATCH(Character_Spellcasting!AF25,S02_Cleric!$W$69:$W$98,0),1),"")&amp;IFERROR(INDEX(S03_Druid!$X$69:$X$98,MATCH(Character_Spellcasting!AF25,S03_Druid!$W$69:$W$98,0),1),"")&amp;IFERROR(INDEX(S04_EldritchKnight!$X$69:$X$98,MATCH(Character_Spellcasting!AF25,S04_EldritchKnight!$W$69:$W$98,0),1),"")&amp;IFERROR(INDEX(S05_Paladin!$X$69:$X$98,MATCH(Character_Spellcasting!AF25,S05_Paladin!$W$69:$W$98,0),1),"")&amp;IFERROR(INDEX(S06_Ranger!$X$69:$X$98,MATCH(Character_Spellcasting!AF25,S06_Ranger!$W$69:$W$988,0),1),"")&amp;IFERROR(INDEX(S07_ArcaneTrickster!$X$69:$X$98,MATCH(Character_Spellcasting!AF25,S07_ArcaneTrickster!$W$69:$W$988,0),1),"")&amp;IFERROR(INDEX(S08_Sorcerer!$X$69:$X$98,MATCH(Character_Spellcasting!AF25,S08_Sorcerer!$W$69:$W$98,0),1),"")&amp;IFERROR(INDEX(S09_Warlock!$X$69:$X$98,MATCH(Character_Spellcasting!AF25,S09_Warlock!$W$69:$W$98,0),1),"")&amp;IFERROR(INDEX(S10_Wizard!$X$69:$X$98,MATCH(Character_Spellcasting!AF25,S10_Wizard!$W$69:$W$98,0),1),"")</f>
        <v/>
      </c>
      <c r="AM25" s="1098"/>
      <c r="AN25" s="567"/>
      <c r="AO25" s="565"/>
      <c r="AP25" s="591">
        <v>19</v>
      </c>
      <c r="AQ25" s="1061" t="str">
        <f>IFERROR(INDEX(S01_Bard!$AD$6:$AD$35,MATCH(Character_Spellcasting!AP25,S01_Bard!$AF$69:$AF$98,0),1),"")&amp;IFERROR(INDEX(S02_Cleric!$AD$6:$AD$35,MATCH(Character_Spellcasting!AP25,S02_Cleric!$AF$69:$AF$98,0),1),"")&amp;IFERROR(INDEX(S03_Druid!$AD$6:$AD$35,MATCH(Character_Spellcasting!AP25,S03_Druid!$AF$69:$AF$98,0),1),"")&amp;IFERROR(INDEX(S04_EldritchKnight!$AD$6:$AD$35,MATCH(Character_Spellcasting!AP25,S04_EldritchKnight!$AF$69:$AF$98,0),1),"")&amp;IFERROR(INDEX(S05_Paladin!$AD$6:$AD$35,MATCH(Character_Spellcasting!AP25,S05_Paladin!$AF$69:$AF$98,0),1),"")&amp;IFERROR(INDEX(S06_Ranger!$AD$6:$AD$35,MATCH(Character_Spellcasting!AP25,S06_Ranger!$AF$69:$AF$988,0),1),"")&amp;IFERROR(INDEX(S07_ArcaneTrickster!$AD$6:$AD$35,MATCH(Character_Spellcasting!AP25,S07_ArcaneTrickster!$AF$69:$AF$988,0),1),"")&amp;IFERROR(INDEX(S08_Sorcerer!$AD$6:$AD$35,MATCH(Character_Spellcasting!AP25,S08_Sorcerer!$AF$69:$AF$98,0),1),"")&amp;IFERROR(INDEX(S09_Warlock!$AD$6:$AD$35,MATCH(Character_Spellcasting!AP25,S09_Warlock!$AF$69:$AF$98,0),1),"")&amp;IFERROR(INDEX(S10_Wizard!$AD$6:$AD$35,MATCH(Character_Spellcasting!AP25,S10_Wizard!$AF$69:$AF$98,0),1),"")</f>
        <v/>
      </c>
      <c r="AR25" s="1061"/>
      <c r="AS25" s="1061"/>
      <c r="AT25" s="1061"/>
      <c r="AU25" s="1061"/>
      <c r="AV25" s="1096" t="str">
        <f>IFERROR(INDEX(S01_Bard!$AG$69:$AG$98,MATCH(Character_Spellcasting!AP25,S01_Bard!$D$69:$D$98,0),1),"")&amp;IFERROR(INDEX(S02_Cleric!$AG$69:$AG$98,MATCH(Character_Spellcasting!AP25,S02_Cleric!$AF$69:$AF$98,0),1),"")&amp;IFERROR(INDEX(S03_Druid!$AG$69:$AG$98,MATCH(Character_Spellcasting!AP25,S03_Druid!$AF$69:$AF$98,0),1),"")&amp;IFERROR(INDEX(S04_EldritchKnight!$AG$69:$AG$98,MATCH(Character_Spellcasting!AP25,S04_EldritchKnight!$AF$69:$AF$98,0),1),"")&amp;IFERROR(INDEX(S05_Paladin!$AG$69:$AG$98,MATCH(Character_Spellcasting!AP25,S05_Paladin!$AF$69:$AF$98,0),1),"")&amp;IFERROR(INDEX(S06_Ranger!$AG$69:$AG$98,MATCH(Character_Spellcasting!AP25,S06_Ranger!$AF$69:$AF$988,0),1),"")&amp;IFERROR(INDEX(S07_ArcaneTrickster!$AG$69:$AG$98,MATCH(Character_Spellcasting!AP25,S07_ArcaneTrickster!$AF$69:$AF$988,0),1),"")&amp;IFERROR(INDEX(S08_Sorcerer!$AG$69:$AG$98,MATCH(Character_Spellcasting!AP25,S08_Sorcerer!$AF$69:$AF$98,0),1),"")&amp;IFERROR(INDEX(S09_Warlock!$AG$69:$AG$98,MATCH(Character_Spellcasting!AP25,S09_Warlock!$AF$69:$AF$98,0),1),"")&amp;IFERROR(INDEX(S10_Wizard!$AG$69:$AG$98,MATCH(Character_Spellcasting!AP25,S10_Wizard!$AF$69:$AF$98,0),1),"")</f>
        <v/>
      </c>
      <c r="AW25" s="1096"/>
      <c r="AX25" s="567"/>
      <c r="AY25" s="565"/>
      <c r="AZ25" s="591">
        <v>19</v>
      </c>
      <c r="BA25" s="1061" t="str">
        <f>IFERROR(INDEX(S01_Bard!$AM$6:$AM$35,MATCH(Character_Spellcasting!AZ25,S01_Bard!$AO$69:$AO$98,0),1),"")&amp;IFERROR(INDEX(S02_Cleric!$AM$6:$AM$35,MATCH(Character_Spellcasting!AZ25,S02_Cleric!$AO$69:$AO$98,0),1),"")&amp;IFERROR(INDEX(S03_Druid!$AM$6:$AM$35,MATCH(Character_Spellcasting!AZ25,S03_Druid!$AO$69:$AO$98,0),1),"")&amp;IFERROR(INDEX(S04_EldritchKnight!$AM$6:$AM$35,MATCH(Character_Spellcasting!AZ25,S04_EldritchKnight!$AO$69:$AO$98,0),1),"")&amp;IFERROR(INDEX(S05_Paladin!$AM$6:$AM$35,MATCH(Character_Spellcasting!AZ25,S05_Paladin!$AO$69:$AO$98,0),1),"")&amp;IFERROR(INDEX(S06_Ranger!$AM$6:$AM$35,MATCH(Character_Spellcasting!AZ25,S06_Ranger!$AO$69:$AO$988,0),1),"")&amp;IFERROR(INDEX(S07_ArcaneTrickster!$AM$6:$AM$35,MATCH(Character_Spellcasting!AZ25,S07_ArcaneTrickster!$AO$69:$AO$988,0),1),"")&amp;IFERROR(INDEX(S08_Sorcerer!$AM$6:$AM$35,MATCH(Character_Spellcasting!AZ25,S08_Sorcerer!$AO$69:$AO$98,0),1),"")&amp;IFERROR(INDEX(S09_Warlock!$AM$6:$AM$35,MATCH(Character_Spellcasting!AZ25,S09_Warlock!$AO$69:$AO$98,0),1),"")&amp;IFERROR(INDEX(S10_Wizard!$AM$6:$AM$35,MATCH(Character_Spellcasting!AZ25,S10_Wizard!$AO$69:$AO$98,0),1),"")</f>
        <v/>
      </c>
      <c r="BB25" s="1061"/>
      <c r="BC25" s="1061"/>
      <c r="BD25" s="1061"/>
      <c r="BE25" s="1061"/>
      <c r="BF25" s="1096" t="str">
        <f>IFERROR(INDEX(S01_Bard!$AP$69:$AP$98,MATCH(Character_Spellcasting!AZ25,S01_Bard!$D$69:$D$98,0),1),"")&amp;IFERROR(INDEX(S02_Cleric!$AP$69:$AP$98,MATCH(Character_Spellcasting!AZ25,S02_Cleric!$AO$69:$AO$98,0),1),"")&amp;IFERROR(INDEX(S03_Druid!$AP$69:$AP$98,MATCH(Character_Spellcasting!AZ25,S03_Druid!$AO$69:$AO$98,0),1),"")&amp;IFERROR(INDEX(S04_EldritchKnight!$AP$69:$AP$98,MATCH(Character_Spellcasting!AZ25,S04_EldritchKnight!$AO$69:$AO$98,0),1),"")&amp;IFERROR(INDEX(S05_Paladin!$AP$69:$AP$98,MATCH(Character_Spellcasting!AZ25,S05_Paladin!$AO$69:$AO$98,0),1),"")&amp;IFERROR(INDEX(S06_Ranger!$AP$69:$AP$98,MATCH(Character_Spellcasting!AZ25,S06_Ranger!$AO$69:$AO$988,0),1),"")&amp;IFERROR(INDEX(S07_ArcaneTrickster!$AP$69:$AP$98,MATCH(Character_Spellcasting!AZ25,S07_ArcaneTrickster!$AO$69:$AO$988,0),1),"")&amp;IFERROR(INDEX(S08_Sorcerer!$AP$69:$AP$98,MATCH(Character_Spellcasting!AZ25,S08_Sorcerer!$AO$69:$AO$98,0),1),"")&amp;IFERROR(INDEX(S09_Warlock!$AP$69:$AP$98,MATCH(Character_Spellcasting!AZ25,S09_Warlock!$AO$69:$AO$98,0),1),"")&amp;IFERROR(INDEX(S10_Wizard!$AP$69:$AP$98,MATCH(Character_Spellcasting!AZ25,S10_Wizard!$AO$69:$AO$98,0),1),"")</f>
        <v/>
      </c>
      <c r="BG25" s="1096"/>
      <c r="BH25" s="567"/>
      <c r="BI25" s="120"/>
      <c r="BJ25" s="591">
        <v>19</v>
      </c>
      <c r="BK25" s="1061" t="str">
        <f>IFERROR(INDEX(S01_Bard!$AV$6:$AV$35,MATCH(Character_Spellcasting!BJ25,S01_Bard!$AX$69:$AX$98,0),1),"")&amp;IFERROR(INDEX(S02_Cleric!$AV$6:$AV$35,MATCH(Character_Spellcasting!BJ25,S02_Cleric!$AX$69:$AX$98,0),1),"")&amp;IFERROR(INDEX(S03_Druid!$AV$6:$AV$35,MATCH(Character_Spellcasting!BJ25,S03_Druid!$AX$69:$AX$98,0),1),"")&amp;IFERROR(INDEX(S04_EldritchKnight!$AV$6:$AV$35,MATCH(Character_Spellcasting!BJ25,S04_EldritchKnight!$AX$69:$AX$98,0),1),"")&amp;IFERROR(INDEX(S05_Paladin!$AV$6:$AV$35,MATCH(Character_Spellcasting!BJ25,S05_Paladin!$AX$69:$AX$98,0),1),"")&amp;IFERROR(INDEX(S06_Ranger!$AV$6:$AV$35,MATCH(Character_Spellcasting!BJ25,S06_Ranger!$AX$69:$AX$988,0),1),"")&amp;IFERROR(INDEX(S07_ArcaneTrickster!$AV$6:$AV$35,MATCH(Character_Spellcasting!BJ25,S07_ArcaneTrickster!$AX$69:$AX$988,0),1),"")&amp;IFERROR(INDEX(S08_Sorcerer!$AV$6:$AV$35,MATCH(Character_Spellcasting!BJ25,S08_Sorcerer!$AX$69:$AX$98,0),1),"")&amp;IFERROR(INDEX(S09_Warlock!$AV$6:$AV$35,MATCH(Character_Spellcasting!BJ25,S09_Warlock!$AX$69:$AX$98,0),1),"")&amp;IFERROR(INDEX(S10_Wizard!$AV$6:$AV$35,MATCH(Character_Spellcasting!BJ25,S10_Wizard!$AX$69:$AX$98,0),1),"")</f>
        <v/>
      </c>
      <c r="BL25" s="1061"/>
      <c r="BM25" s="1061"/>
      <c r="BN25" s="1061"/>
      <c r="BO25" s="1061"/>
      <c r="BP25" s="1096" t="str">
        <f>IFERROR(INDEX(S01_Bard!$AY$69:$AY$98,MATCH(Character_Spellcasting!BJ25,S01_Bard!$D$69:$D$98,0),1),"")&amp;IFERROR(INDEX(S02_Cleric!$AY$69:$AY$98,MATCH(Character_Spellcasting!BJ25,S02_Cleric!$AX$69:$AX$98,0),1),"")&amp;IFERROR(INDEX(S03_Druid!$AY$69:$AY$98,MATCH(Character_Spellcasting!BJ25,S03_Druid!$AX$69:$AX$98,0),1),"")&amp;IFERROR(INDEX(S04_EldritchKnight!$AY$69:$AY$98,MATCH(Character_Spellcasting!BJ25,S04_EldritchKnight!$AX$69:$AX$98,0),1),"")&amp;IFERROR(INDEX(S05_Paladin!$AY$69:$AY$98,MATCH(Character_Spellcasting!BJ25,S05_Paladin!$AX$69:$AX$98,0),1),"")&amp;IFERROR(INDEX(S06_Ranger!$AY$69:$AY$98,MATCH(Character_Spellcasting!BJ25,S06_Ranger!$AX$69:$AX$988,0),1),"")&amp;IFERROR(INDEX(S07_ArcaneTrickster!$AY$69:$AY$98,MATCH(Character_Spellcasting!BJ25,S07_ArcaneTrickster!$AX$69:$AX$988,0),1),"")&amp;IFERROR(INDEX(S08_Sorcerer!$AY$69:$AY$98,MATCH(Character_Spellcasting!BJ25,S08_Sorcerer!$AX$69:$AX$98,0),1),"")&amp;IFERROR(INDEX(S09_Warlock!$AY$69:$AY$98,MATCH(Character_Spellcasting!BJ25,S09_Warlock!$AX$69:$AX$98,0),1),"")&amp;IFERROR(INDEX(S10_Wizard!$AY$69:$AY$98,MATCH(Character_Spellcasting!BJ25,S10_Wizard!$AX$69:$AX$98,0),1),"")</f>
        <v/>
      </c>
      <c r="BQ25" s="1096"/>
      <c r="BR25" s="567"/>
      <c r="BS25" s="120"/>
      <c r="BT25" s="591">
        <v>19</v>
      </c>
      <c r="BU25" s="1061" t="str">
        <f>IFERROR(INDEX(S01_Bard!$BE$6:$BE$35,MATCH(Character_Spellcasting!BT25,S01_Bard!$BG$69:$BG$98,0),1),"")&amp;IFERROR(INDEX(S02_Cleric!$BE$6:$BE$35,MATCH(Character_Spellcasting!BT25,S02_Cleric!$BG$69:$BG$98,0),1),"")&amp;IFERROR(INDEX(S03_Druid!$BE$6:$BE$35,MATCH(Character_Spellcasting!BT25,S03_Druid!$BG$69:$BG$98,0),1),"")&amp;IFERROR(INDEX(S04_EldritchKnight!$BE$6:$BE$35,MATCH(Character_Spellcasting!BT25,S04_EldritchKnight!$BG$69:$BG$98,0),1),"")&amp;IFERROR(INDEX(S05_Paladin!$BE$6:$BE$35,MATCH(Character_Spellcasting!BT25,S05_Paladin!$BG$69:$BG$98,0),1),"")&amp;IFERROR(INDEX(S06_Ranger!$BE$6:$BE$35,MATCH(Character_Spellcasting!BT25,S06_Ranger!$BG$69:$BG$988,0),1),"")&amp;IFERROR(INDEX(S07_ArcaneTrickster!$BE$6:$BE$35,MATCH(Character_Spellcasting!BT25,S07_ArcaneTrickster!$BG$69:$BG$988,0),1),"")&amp;IFERROR(INDEX(S08_Sorcerer!$BE$6:$BE$35,MATCH(Character_Spellcasting!BT25,S08_Sorcerer!$BG$69:$BG$98,0),1),"")&amp;IFERROR(INDEX(S09_Warlock!$BE$6:$BE$35,MATCH(Character_Spellcasting!BT25,S09_Warlock!$BG$69:$BG$98,0),1),"")&amp;IFERROR(INDEX(S10_Wizard!$BE$6:$BE$35,MATCH(Character_Spellcasting!BT25,S10_Wizard!$BG$69:$BG$98,0),1),"")</f>
        <v/>
      </c>
      <c r="BV25" s="1061"/>
      <c r="BW25" s="1061"/>
      <c r="BX25" s="1061"/>
      <c r="BY25" s="1061"/>
      <c r="BZ25" s="1096" t="str">
        <f>IFERROR(INDEX(S01_Bard!$BH$69:$BH$98,MATCH(Character_Spellcasting!BT25,S01_Bard!$D$69:$D$98,0),1),"")&amp;IFERROR(INDEX(S02_Cleric!$BH$69:$BH$98,MATCH(Character_Spellcasting!BT25,S02_Cleric!$BG$69:$BG$98,0),1),"")&amp;IFERROR(INDEX(S03_Druid!$BH$69:$BH$98,MATCH(Character_Spellcasting!BT25,S03_Druid!$BG$69:$BG$98,0),1),"")&amp;IFERROR(INDEX(S04_EldritchKnight!$BH$69:$BH$98,MATCH(Character_Spellcasting!BT25,S04_EldritchKnight!$BG$69:$BG$98,0),1),"")&amp;IFERROR(INDEX(S05_Paladin!$BH$69:$BH$98,MATCH(Character_Spellcasting!BT25,S05_Paladin!$BG$69:$BG$98,0),1),"")&amp;IFERROR(INDEX(S06_Ranger!$BH$69:$BH$98,MATCH(Character_Spellcasting!BT25,S06_Ranger!$BG$69:$BG$988,0),1),"")&amp;IFERROR(INDEX(S07_ArcaneTrickster!$BH$69:$BH$98,MATCH(Character_Spellcasting!BT25,S07_ArcaneTrickster!$BG$69:$BG$988,0),1),"")&amp;IFERROR(INDEX(S08_Sorcerer!$BH$69:$BH$98,MATCH(Character_Spellcasting!BT25,S08_Sorcerer!$BG$69:$BG$98,0),1),"")&amp;IFERROR(INDEX(S09_Warlock!$BH$69:$BH$98,MATCH(Character_Spellcasting!BT25,S09_Warlock!$BG$69:$BG$98,0),1),"")&amp;IFERROR(INDEX(S10_Wizard!$BH$69:$BH$98,MATCH(Character_Spellcasting!BT25,S10_Wizard!$BG$69:$BG$98,0),1),"")</f>
        <v/>
      </c>
      <c r="CA25" s="1096"/>
      <c r="CB25" s="567"/>
      <c r="CC25" s="120"/>
      <c r="CD25" s="591">
        <v>19</v>
      </c>
      <c r="CE25" s="1061" t="str">
        <f>IFERROR(INDEX(S01_Bard!$BN$6:$BN$35,MATCH(Character_Spellcasting!CD25,S01_Bard!$BP$69:$BP$98,0),1),"")&amp;IFERROR(INDEX(S02_Cleric!$BN$6:$BN$35,MATCH(Character_Spellcasting!CD25,S02_Cleric!$BP$69:$BP$98,0),1),"")&amp;IFERROR(INDEX(S03_Druid!$BN$6:$BN$35,MATCH(Character_Spellcasting!CD25,S03_Druid!$BP$69:$BP$98,0),1),"")&amp;IFERROR(INDEX(S04_EldritchKnight!$BN$6:$BN$35,MATCH(Character_Spellcasting!CD25,S04_EldritchKnight!$BP$69:$BP$98,0),1),"")&amp;IFERROR(INDEX(S05_Paladin!$BN$6:$BN$35,MATCH(Character_Spellcasting!CD25,S05_Paladin!$BP$69:$BP$98,0),1),"")&amp;IFERROR(INDEX(S06_Ranger!$BN$6:$BN$35,MATCH(Character_Spellcasting!CD25,S06_Ranger!$BP$69:$BP$988,0),1),"")&amp;IFERROR(INDEX(S07_ArcaneTrickster!$BN$6:$BN$35,MATCH(Character_Spellcasting!CD25,S07_ArcaneTrickster!$BP$69:$BP$988,0),1),"")&amp;IFERROR(INDEX(S08_Sorcerer!$BN$6:$BN$35,MATCH(Character_Spellcasting!CD25,S08_Sorcerer!$BP$69:$BP$98,0),1),"")&amp;IFERROR(INDEX(S09_Warlock!$BN$6:$BN$35,MATCH(Character_Spellcasting!CD25,S09_Warlock!$BP$69:$BP$98,0),1),"")&amp;IFERROR(INDEX(S10_Wizard!$BN$6:$BN$35,MATCH(Character_Spellcasting!CD25,S10_Wizard!$BP$69:$BP$98,0),1),"")</f>
        <v/>
      </c>
      <c r="CF25" s="1061"/>
      <c r="CG25" s="1061"/>
      <c r="CH25" s="1061"/>
      <c r="CI25" s="1061"/>
      <c r="CJ25" s="1096" t="str">
        <f>IFERROR(INDEX(S01_Bard!$BQ$69:$BQ$98,MATCH(Character_Spellcasting!CD25,S01_Bard!$D$69:$D$98,0),1),"")&amp;IFERROR(INDEX(S02_Cleric!$BQ$69:$BQ$98,MATCH(Character_Spellcasting!CD25,S02_Cleric!$BP$69:$BP$98,0),1),"")&amp;IFERROR(INDEX(S03_Druid!$BQ$69:$BQ$98,MATCH(Character_Spellcasting!CD25,S03_Druid!$BP$69:$BP$98,0),1),"")&amp;IFERROR(INDEX(S04_EldritchKnight!$BQ$69:$BQ$98,MATCH(Character_Spellcasting!CD25,S04_EldritchKnight!$BP$69:$BP$98,0),1),"")&amp;IFERROR(INDEX(S05_Paladin!$BQ$69:$BQ$98,MATCH(Character_Spellcasting!CD25,S05_Paladin!$BP$69:$BP$98,0),1),"")&amp;IFERROR(INDEX(S06_Ranger!$BQ$69:$BQ$98,MATCH(Character_Spellcasting!CD25,S06_Ranger!$BP$69:$BP$988,0),1),"")&amp;IFERROR(INDEX(S07_ArcaneTrickster!$BQ$69:$BQ$98,MATCH(Character_Spellcasting!CD25,S07_ArcaneTrickster!$BP$69:$BP$988,0),1),"")&amp;IFERROR(INDEX(S08_Sorcerer!$BQ$69:$BQ$98,MATCH(Character_Spellcasting!CD25,S08_Sorcerer!$BP$69:$BP$98,0),1),"")&amp;IFERROR(INDEX(S09_Warlock!$BQ$69:$BQ$98,MATCH(Character_Spellcasting!CD25,S09_Warlock!$BP$69:$BP$98,0),1),"")&amp;IFERROR(INDEX(S10_Wizard!$BQ$69:$BQ$98,MATCH(Character_Spellcasting!CD25,S10_Wizard!$BP$69:$BP$98,0),1),"")</f>
        <v/>
      </c>
      <c r="CK25" s="1096"/>
      <c r="CL25" s="567"/>
      <c r="CM25" s="120"/>
      <c r="CN25" s="591">
        <v>19</v>
      </c>
      <c r="CO25" s="1061" t="str">
        <f>IFERROR(INDEX(S01_Bard!$BW$6:$BW$35,MATCH(Character_Spellcasting!CN25,S01_Bard!$BY$69:$BY$98,0),1),"")&amp;IFERROR(INDEX(S02_Cleric!$BW$6:$BW$35,MATCH(Character_Spellcasting!CN25,S02_Cleric!$BY$69:$BY$98,0),1),"")&amp;IFERROR(INDEX(S03_Druid!$BW$6:$BW$35,MATCH(Character_Spellcasting!CN25,S03_Druid!$BY$69:$BY$98,0),1),"")&amp;IFERROR(INDEX(S04_EldritchKnight!$BW$6:$BW$35,MATCH(Character_Spellcasting!CN25,S04_EldritchKnight!$BY$69:$BY$98,0),1),"")&amp;IFERROR(INDEX(S05_Paladin!$BW$6:$BW$35,MATCH(Character_Spellcasting!CN25,S05_Paladin!$BY$69:$BY$98,0),1),"")&amp;IFERROR(INDEX(S06_Ranger!$BW$6:$BW$35,MATCH(Character_Spellcasting!CN25,S06_Ranger!$BY$69:$BY$988,0),1),"")&amp;IFERROR(INDEX(S07_ArcaneTrickster!$BW$6:$BW$35,MATCH(Character_Spellcasting!CN25,S07_ArcaneTrickster!$BY$69:$BY$988,0),1),"")&amp;IFERROR(INDEX(S08_Sorcerer!$BW$6:$BW$35,MATCH(Character_Spellcasting!CN25,S08_Sorcerer!$BY$69:$BY$98,0),1),"")&amp;IFERROR(INDEX(S09_Warlock!$BW$6:$BW$35,MATCH(Character_Spellcasting!CN25,S09_Warlock!$BY$69:$BY$98,0),1),"")&amp;IFERROR(INDEX(S10_Wizard!$BW$6:$BW$35,MATCH(Character_Spellcasting!CN25,S10_Wizard!$BY$69:$BY$98,0),1),"")</f>
        <v/>
      </c>
      <c r="CP25" s="1061"/>
      <c r="CQ25" s="1061"/>
      <c r="CR25" s="1061"/>
      <c r="CS25" s="1061"/>
      <c r="CT25" s="1096" t="str">
        <f>IFERROR(INDEX(S01_Bard!$BZ$69:$BZ$98,MATCH(Character_Spellcasting!CN25,S01_Bard!$D$69:$D$98,0),1),"")&amp;IFERROR(INDEX(S02_Cleric!$BZ$69:$BZ$98,MATCH(Character_Spellcasting!CN25,S02_Cleric!$BY$69:$BY$98,0),1),"")&amp;IFERROR(INDEX(S03_Druid!$BZ$69:$BZ$98,MATCH(Character_Spellcasting!CN25,S03_Druid!$BY$69:$BY$98,0),1),"")&amp;IFERROR(INDEX(S04_EldritchKnight!$BZ$69:$BZ$98,MATCH(Character_Spellcasting!CN25,S04_EldritchKnight!$BY$69:$BY$98,0),1),"")&amp;IFERROR(INDEX(S05_Paladin!$BZ$69:$BZ$98,MATCH(Character_Spellcasting!CN25,S05_Paladin!$BY$69:$BY$98,0),1),"")&amp;IFERROR(INDEX(S06_Ranger!$BZ$69:$BZ$98,MATCH(Character_Spellcasting!CN25,S06_Ranger!$BY$69:$BY$988,0),1),"")&amp;IFERROR(INDEX(S07_ArcaneTrickster!$BZ$69:$BZ$98,MATCH(Character_Spellcasting!CN25,S07_ArcaneTrickster!$BY$69:$BY$988,0),1),"")&amp;IFERROR(INDEX(S08_Sorcerer!$BZ$69:$BZ$98,MATCH(Character_Spellcasting!CN25,S08_Sorcerer!$BY$69:$BY$98,0),1),"")&amp;IFERROR(INDEX(S09_Warlock!$BZ$69:$BZ$98,MATCH(Character_Spellcasting!CN25,S09_Warlock!$BY$69:$BY$98,0),1),"")&amp;IFERROR(INDEX(S10_Wizard!$BZ$69:$BZ$98,MATCH(Character_Spellcasting!CN25,S10_Wizard!$BY$69:$BY$98,0),1),"")</f>
        <v/>
      </c>
      <c r="CU25" s="1096"/>
      <c r="CV25" s="567"/>
      <c r="CW25" s="565"/>
      <c r="CX25" s="565"/>
      <c r="CY25" s="565"/>
      <c r="CZ25" s="565"/>
      <c r="DA25" s="610">
        <v>19</v>
      </c>
      <c r="DB25" s="1061" t="str">
        <f t="shared" si="0"/>
        <v/>
      </c>
      <c r="DC25" s="1061"/>
      <c r="DD25" s="1061"/>
      <c r="DE25" s="1061"/>
      <c r="DF25" s="1061"/>
      <c r="DG25" s="1096" t="str">
        <f t="shared" si="1"/>
        <v/>
      </c>
      <c r="DH25" s="1096"/>
      <c r="DI25" s="565"/>
      <c r="DJ25" s="565"/>
      <c r="DK25" s="565"/>
      <c r="DL25" s="565"/>
      <c r="DM25" s="565"/>
      <c r="DN25" s="565"/>
      <c r="DO25" s="565"/>
      <c r="DP25" s="565"/>
      <c r="DQ25" s="565"/>
      <c r="DR25" s="565"/>
      <c r="DS25" s="565"/>
      <c r="DT25" s="565"/>
      <c r="DU25" s="565"/>
      <c r="DV25" s="565"/>
    </row>
    <row r="26" spans="1:126" ht="21" x14ac:dyDescent="0.25">
      <c r="A26" s="120"/>
      <c r="B26" s="610">
        <v>20</v>
      </c>
      <c r="C26" s="1061"/>
      <c r="D26" s="1061"/>
      <c r="E26" s="1061"/>
      <c r="F26" s="1061"/>
      <c r="G26" s="1061"/>
      <c r="H26" s="1096"/>
      <c r="I26" s="1096"/>
      <c r="J26" s="120"/>
      <c r="K26" s="120"/>
      <c r="L26" s="591">
        <v>20</v>
      </c>
      <c r="M26" s="1061" t="str">
        <f>IFERROR(INDEX(S01_Bard!$C$6:$C$35,MATCH(Character_Spellcasting!L26,S01_Bard!$E$69:$E$98,0),1),"")&amp;IFERROR(INDEX(S02_Cleric!$C$6:$C$35,MATCH(Character_Spellcasting!L26,S02_Cleric!$E$69:$E$98,0),1),"")&amp;IFERROR(INDEX(S03_Druid!$C$6:$C$35,MATCH(Character_Spellcasting!L26,S03_Druid!$E$69:$E$98,0),1),"")&amp;IFERROR(INDEX(S04_EldritchKnight!$C$6:$C$35,MATCH(Character_Spellcasting!L26,S04_EldritchKnight!$E$69:$E$98,0),1),"")&amp;IFERROR(INDEX(S05_Paladin!$C$6:$C$35,MATCH(Character_Spellcasting!L26,S05_Paladin!$E$69:$E$98,0),1),"")&amp;IFERROR(INDEX(S06_Ranger!$C$6:$C$35,MATCH(Character_Spellcasting!L26,S06_Ranger!$E$69:$E$988,0),1),"")&amp;IFERROR(INDEX(S07_ArcaneTrickster!$C$6:$C$35,MATCH(Character_Spellcasting!L26,S07_ArcaneTrickster!$E$69:$E$988,0),1),"")&amp;IFERROR(INDEX(S08_Sorcerer!$C$6:$C$35,MATCH(Character_Spellcasting!L26,S08_Sorcerer!$E$69:$E$98,0),1),"")&amp;IFERROR(INDEX(S09_Warlock!$C$6:$C$35,MATCH(Character_Spellcasting!L26,S09_Warlock!$E$69:$E$98,0),1),"")&amp;IFERROR(INDEX(S10_Wizard!$C$6:$C$35,MATCH(Character_Spellcasting!L26,S10_Wizard!$E$69:$E$98,0),1),"")</f>
        <v/>
      </c>
      <c r="N26" s="1061"/>
      <c r="O26" s="1061"/>
      <c r="P26" s="1061"/>
      <c r="Q26" s="1061"/>
      <c r="R26" s="1096" t="str">
        <f>IFERROR(INDEX(S01_Bard!$F$69:$F$98,MATCH(Character_Spellcasting!L26,S01_Bard!$D$69:$D$98,0),1),"")&amp;IFERROR(INDEX(S02_Cleric!$F$69:$F$98,MATCH(Character_Spellcasting!L26,S02_Cleric!$E$69:$E$98,0),1),"")&amp;IFERROR(INDEX(S03_Druid!$F$69:$F$98,MATCH(Character_Spellcasting!L26,S03_Druid!$E$69:$E$98,0),1),"")&amp;IFERROR(INDEX(S04_EldritchKnight!$F$69:$F$98,MATCH(Character_Spellcasting!L26,S04_EldritchKnight!$E$69:$E$98,0),1),"")&amp;IFERROR(INDEX(S05_Paladin!$F$69:$F$98,MATCH(Character_Spellcasting!L26,S05_Paladin!$E$69:$E$98,0),1),"")&amp;IFERROR(INDEX(S06_Ranger!$F$69:$F$98,MATCH(Character_Spellcasting!L26,S06_Ranger!$E$69:$E$988,0),1),"")&amp;IFERROR(INDEX(S07_ArcaneTrickster!$F$69:$F$98,MATCH(Character_Spellcasting!L26,S07_ArcaneTrickster!$E$69:$E$988,0),1),"")&amp;IFERROR(INDEX(S08_Sorcerer!$F$69:$F$98,MATCH(Character_Spellcasting!L26,S08_Sorcerer!$E$69:$E$98,0),1),"")&amp;IFERROR(INDEX(S09_Warlock!$F$69:$F$98,MATCH(Character_Spellcasting!L26,S09_Warlock!$E$69:$E$98,0),1),"")&amp;IFERROR(INDEX(S10_Wizard!$F$69:$F$98,MATCH(Character_Spellcasting!L26,S10_Wizard!$E$69:$E$98,0),1),"")</f>
        <v/>
      </c>
      <c r="S26" s="1096"/>
      <c r="T26" s="567"/>
      <c r="U26" s="565"/>
      <c r="V26" s="591">
        <v>20</v>
      </c>
      <c r="W26" s="1061" t="str">
        <f>IFERROR(INDEX(S01_Bard!$L$6:$L$35,MATCH(Character_Spellcasting!V26,S01_Bard!$N$69:$N$98,0),1),"")&amp;IFERROR(INDEX(S02_Cleric!$L$6:$L$35,MATCH(Character_Spellcasting!V26,S02_Cleric!$N$69:$N$98,0),1),"")&amp;IFERROR(INDEX(S03_Druid!$L$6:$L$35,MATCH(Character_Spellcasting!V26,S03_Druid!$N$69:$N$98,0),1),"")&amp;IFERROR(INDEX(S04_EldritchKnight!$L$6:$L$35,MATCH(Character_Spellcasting!V26,S04_EldritchKnight!$N$69:$N$98,0),1),"")&amp;IFERROR(INDEX(S05_Paladin!$L$6:$L$35,MATCH(Character_Spellcasting!V26,S05_Paladin!$N$69:$N$98,0),1),"")&amp;IFERROR(INDEX(S06_Ranger!$L$6:$L$35,MATCH(Character_Spellcasting!V26,S06_Ranger!$N$69:$N$988,0),1),"")&amp;IFERROR(INDEX(S07_ArcaneTrickster!$L$6:$L$35,MATCH(Character_Spellcasting!V26,S07_ArcaneTrickster!$N$69:$N$988,0),1),"")&amp;IFERROR(INDEX(S08_Sorcerer!$L$6:$L$35,MATCH(Character_Spellcasting!V26,S08_Sorcerer!$N$69:$N$98,0),1),"")&amp;IFERROR(INDEX(S09_Warlock!$L$6:$L$35,MATCH(Character_Spellcasting!V26,S09_Warlock!$N$69:$N$98,0),1),"")&amp;IFERROR(INDEX(S10_Wizard!$L$6:$L$35,MATCH(Character_Spellcasting!V26,S10_Wizard!$N$69:$N$98,0),1),"")</f>
        <v/>
      </c>
      <c r="X26" s="1061"/>
      <c r="Y26" s="1061"/>
      <c r="Z26" s="1061"/>
      <c r="AA26" s="1061"/>
      <c r="AB26" s="1097" t="str">
        <f>IFERROR(INDEX(S01_Bard!$O$69:$O$98,MATCH(Character_Spellcasting!V26,S01_Bard!$N$69:$N$98,0),1),"")&amp;IFERROR(INDEX(S02_Cleric!$O$69:$O$98,MATCH(Character_Spellcasting!V26,S02_Cleric!$N$69:$N$98,0),1),"")&amp;IFERROR(INDEX(S03_Druid!$O$69:$O$98,MATCH(Character_Spellcasting!V26,S03_Druid!$N$69:$N$98,0),1),"")&amp;IFERROR(INDEX(S04_EldritchKnight!$O$69:$O$98,MATCH(Character_Spellcasting!V26,S04_EldritchKnight!$N$69:$N$98,0),1),"")&amp;IFERROR(INDEX(S05_Paladin!$O$69:$O$98,MATCH(Character_Spellcasting!V26,S05_Paladin!$N$69:$N$98,0),1),"")&amp;IFERROR(INDEX(S06_Ranger!$O$69:$O$98,MATCH(Character_Spellcasting!V26,S06_Ranger!$N$69:$N$988,0),1),"")&amp;IFERROR(INDEX(S07_ArcaneTrickster!$O$69:$O$98,MATCH(Character_Spellcasting!V26,S07_ArcaneTrickster!$N$69:$N$988,0),1),"")&amp;IFERROR(INDEX(S08_Sorcerer!$O$69:$O$98,MATCH(Character_Spellcasting!V26,S08_Sorcerer!$N$69:$N$98,0),1),"")&amp;IFERROR(INDEX(S09_Warlock!$O$69:$O$98,MATCH(Character_Spellcasting!V26,S09_Warlock!$N$69:$N$98,0),1),"")&amp;IFERROR(INDEX(S10_Wizard!$O$69:$O$98,MATCH(Character_Spellcasting!V26,S10_Wizard!$N$69:$N$98,0),1),"")</f>
        <v/>
      </c>
      <c r="AC26" s="1098"/>
      <c r="AD26" s="567"/>
      <c r="AE26" s="565"/>
      <c r="AF26" s="609">
        <v>20</v>
      </c>
      <c r="AG26" s="1061" t="str">
        <f>IFERROR(INDEX(S01_Bard!$U$6:$U$35,MATCH(Character_Spellcasting!AF26,S01_Bard!$W$69:$W$98,0),1),"")&amp;IFERROR(INDEX(S02_Cleric!$U$6:$U$35,MATCH(Character_Spellcasting!AF26,S02_Cleric!$W$69:$W$98,0),1),"")&amp;IFERROR(INDEX(S03_Druid!$U$6:$U$35,MATCH(Character_Spellcasting!AF26,S03_Druid!$W$69:$W$98,0),1),"")&amp;IFERROR(INDEX(S04_EldritchKnight!$U$6:$U$35,MATCH(Character_Spellcasting!AF26,S04_EldritchKnight!$W$69:$W$98,0),1),"")&amp;IFERROR(INDEX(S05_Paladin!$U$6:$U$35,MATCH(Character_Spellcasting!AF26,S05_Paladin!$W$69:$W$98,0),1),"")&amp;IFERROR(INDEX(S06_Ranger!$U$6:$U$35,MATCH(Character_Spellcasting!AF26,S06_Ranger!$W$69:$W$988,0),1),"")&amp;IFERROR(INDEX(S07_ArcaneTrickster!$U$6:$U$35,MATCH(Character_Spellcasting!AF26,S07_ArcaneTrickster!$W$69:$W$988,0),1),"")&amp;IFERROR(INDEX(S08_Sorcerer!$U$6:$U$35,MATCH(Character_Spellcasting!AF26,S08_Sorcerer!$W$69:$W$98,0),1),"")&amp;IFERROR(INDEX(S09_Warlock!$U$6:$U$35,MATCH(Character_Spellcasting!AF26,S09_Warlock!$W$69:$W$98,0),1),"")&amp;IFERROR(INDEX(S10_Wizard!$U$6:$U$35,MATCH(Character_Spellcasting!AF26,S10_Wizard!$W$69:$W$98,0),1),"")</f>
        <v/>
      </c>
      <c r="AH26" s="1061"/>
      <c r="AI26" s="1061"/>
      <c r="AJ26" s="1061"/>
      <c r="AK26" s="1061"/>
      <c r="AL26" s="1097" t="str">
        <f>IFERROR(INDEX(S01_Bard!$X$69:$X$98,MATCH(Character_Spellcasting!AF26,S01_Bard!$W$69:$W$98,0),1),"")&amp;IFERROR(INDEX(S02_Cleric!$X$69:$X$98,MATCH(Character_Spellcasting!AF26,S02_Cleric!$W$69:$W$98,0),1),"")&amp;IFERROR(INDEX(S03_Druid!$X$69:$X$98,MATCH(Character_Spellcasting!AF26,S03_Druid!$W$69:$W$98,0),1),"")&amp;IFERROR(INDEX(S04_EldritchKnight!$X$69:$X$98,MATCH(Character_Spellcasting!AF26,S04_EldritchKnight!$W$69:$W$98,0),1),"")&amp;IFERROR(INDEX(S05_Paladin!$X$69:$X$98,MATCH(Character_Spellcasting!AF26,S05_Paladin!$W$69:$W$98,0),1),"")&amp;IFERROR(INDEX(S06_Ranger!$X$69:$X$98,MATCH(Character_Spellcasting!AF26,S06_Ranger!$W$69:$W$988,0),1),"")&amp;IFERROR(INDEX(S07_ArcaneTrickster!$X$69:$X$98,MATCH(Character_Spellcasting!AF26,S07_ArcaneTrickster!$W$69:$W$988,0),1),"")&amp;IFERROR(INDEX(S08_Sorcerer!$X$69:$X$98,MATCH(Character_Spellcasting!AF26,S08_Sorcerer!$W$69:$W$98,0),1),"")&amp;IFERROR(INDEX(S09_Warlock!$X$69:$X$98,MATCH(Character_Spellcasting!AF26,S09_Warlock!$W$69:$W$98,0),1),"")&amp;IFERROR(INDEX(S10_Wizard!$X$69:$X$98,MATCH(Character_Spellcasting!AF26,S10_Wizard!$W$69:$W$98,0),1),"")</f>
        <v/>
      </c>
      <c r="AM26" s="1098"/>
      <c r="AN26" s="567"/>
      <c r="AO26" s="565"/>
      <c r="AP26" s="591">
        <v>20</v>
      </c>
      <c r="AQ26" s="1061" t="str">
        <f>IFERROR(INDEX(S01_Bard!$AD$6:$AD$35,MATCH(Character_Spellcasting!AP26,S01_Bard!$AF$69:$AF$98,0),1),"")&amp;IFERROR(INDEX(S02_Cleric!$AD$6:$AD$35,MATCH(Character_Spellcasting!AP26,S02_Cleric!$AF$69:$AF$98,0),1),"")&amp;IFERROR(INDEX(S03_Druid!$AD$6:$AD$35,MATCH(Character_Spellcasting!AP26,S03_Druid!$AF$69:$AF$98,0),1),"")&amp;IFERROR(INDEX(S04_EldritchKnight!$AD$6:$AD$35,MATCH(Character_Spellcasting!AP26,S04_EldritchKnight!$AF$69:$AF$98,0),1),"")&amp;IFERROR(INDEX(S05_Paladin!$AD$6:$AD$35,MATCH(Character_Spellcasting!AP26,S05_Paladin!$AF$69:$AF$98,0),1),"")&amp;IFERROR(INDEX(S06_Ranger!$AD$6:$AD$35,MATCH(Character_Spellcasting!AP26,S06_Ranger!$AF$69:$AF$988,0),1),"")&amp;IFERROR(INDEX(S07_ArcaneTrickster!$AD$6:$AD$35,MATCH(Character_Spellcasting!AP26,S07_ArcaneTrickster!$AF$69:$AF$988,0),1),"")&amp;IFERROR(INDEX(S08_Sorcerer!$AD$6:$AD$35,MATCH(Character_Spellcasting!AP26,S08_Sorcerer!$AF$69:$AF$98,0),1),"")&amp;IFERROR(INDEX(S09_Warlock!$AD$6:$AD$35,MATCH(Character_Spellcasting!AP26,S09_Warlock!$AF$69:$AF$98,0),1),"")&amp;IFERROR(INDEX(S10_Wizard!$AD$6:$AD$35,MATCH(Character_Spellcasting!AP26,S10_Wizard!$AF$69:$AF$98,0),1),"")</f>
        <v/>
      </c>
      <c r="AR26" s="1061"/>
      <c r="AS26" s="1061"/>
      <c r="AT26" s="1061"/>
      <c r="AU26" s="1061"/>
      <c r="AV26" s="1096" t="str">
        <f>IFERROR(INDEX(S01_Bard!$AG$69:$AG$98,MATCH(Character_Spellcasting!AP26,S01_Bard!$D$69:$D$98,0),1),"")&amp;IFERROR(INDEX(S02_Cleric!$AG$69:$AG$98,MATCH(Character_Spellcasting!AP26,S02_Cleric!$AF$69:$AF$98,0),1),"")&amp;IFERROR(INDEX(S03_Druid!$AG$69:$AG$98,MATCH(Character_Spellcasting!AP26,S03_Druid!$AF$69:$AF$98,0),1),"")&amp;IFERROR(INDEX(S04_EldritchKnight!$AG$69:$AG$98,MATCH(Character_Spellcasting!AP26,S04_EldritchKnight!$AF$69:$AF$98,0),1),"")&amp;IFERROR(INDEX(S05_Paladin!$AG$69:$AG$98,MATCH(Character_Spellcasting!AP26,S05_Paladin!$AF$69:$AF$98,0),1),"")&amp;IFERROR(INDEX(S06_Ranger!$AG$69:$AG$98,MATCH(Character_Spellcasting!AP26,S06_Ranger!$AF$69:$AF$988,0),1),"")&amp;IFERROR(INDEX(S07_ArcaneTrickster!$AG$69:$AG$98,MATCH(Character_Spellcasting!AP26,S07_ArcaneTrickster!$AF$69:$AF$988,0),1),"")&amp;IFERROR(INDEX(S08_Sorcerer!$AG$69:$AG$98,MATCH(Character_Spellcasting!AP26,S08_Sorcerer!$AF$69:$AF$98,0),1),"")&amp;IFERROR(INDEX(S09_Warlock!$AG$69:$AG$98,MATCH(Character_Spellcasting!AP26,S09_Warlock!$AF$69:$AF$98,0),1),"")&amp;IFERROR(INDEX(S10_Wizard!$AG$69:$AG$98,MATCH(Character_Spellcasting!AP26,S10_Wizard!$AF$69:$AF$98,0),1),"")</f>
        <v/>
      </c>
      <c r="AW26" s="1096"/>
      <c r="AX26" s="567"/>
      <c r="AY26" s="565"/>
      <c r="AZ26" s="591">
        <v>20</v>
      </c>
      <c r="BA26" s="1061" t="str">
        <f>IFERROR(INDEX(S01_Bard!$AM$6:$AM$35,MATCH(Character_Spellcasting!AZ26,S01_Bard!$AO$69:$AO$98,0),1),"")&amp;IFERROR(INDEX(S02_Cleric!$AM$6:$AM$35,MATCH(Character_Spellcasting!AZ26,S02_Cleric!$AO$69:$AO$98,0),1),"")&amp;IFERROR(INDEX(S03_Druid!$AM$6:$AM$35,MATCH(Character_Spellcasting!AZ26,S03_Druid!$AO$69:$AO$98,0),1),"")&amp;IFERROR(INDEX(S04_EldritchKnight!$AM$6:$AM$35,MATCH(Character_Spellcasting!AZ26,S04_EldritchKnight!$AO$69:$AO$98,0),1),"")&amp;IFERROR(INDEX(S05_Paladin!$AM$6:$AM$35,MATCH(Character_Spellcasting!AZ26,S05_Paladin!$AO$69:$AO$98,0),1),"")&amp;IFERROR(INDEX(S06_Ranger!$AM$6:$AM$35,MATCH(Character_Spellcasting!AZ26,S06_Ranger!$AO$69:$AO$988,0),1),"")&amp;IFERROR(INDEX(S07_ArcaneTrickster!$AM$6:$AM$35,MATCH(Character_Spellcasting!AZ26,S07_ArcaneTrickster!$AO$69:$AO$988,0),1),"")&amp;IFERROR(INDEX(S08_Sorcerer!$AM$6:$AM$35,MATCH(Character_Spellcasting!AZ26,S08_Sorcerer!$AO$69:$AO$98,0),1),"")&amp;IFERROR(INDEX(S09_Warlock!$AM$6:$AM$35,MATCH(Character_Spellcasting!AZ26,S09_Warlock!$AO$69:$AO$98,0),1),"")&amp;IFERROR(INDEX(S10_Wizard!$AM$6:$AM$35,MATCH(Character_Spellcasting!AZ26,S10_Wizard!$AO$69:$AO$98,0),1),"")</f>
        <v/>
      </c>
      <c r="BB26" s="1061"/>
      <c r="BC26" s="1061"/>
      <c r="BD26" s="1061"/>
      <c r="BE26" s="1061"/>
      <c r="BF26" s="1096" t="str">
        <f>IFERROR(INDEX(S01_Bard!$AP$69:$AP$98,MATCH(Character_Spellcasting!AZ26,S01_Bard!$D$69:$D$98,0),1),"")&amp;IFERROR(INDEX(S02_Cleric!$AP$69:$AP$98,MATCH(Character_Spellcasting!AZ26,S02_Cleric!$AO$69:$AO$98,0),1),"")&amp;IFERROR(INDEX(S03_Druid!$AP$69:$AP$98,MATCH(Character_Spellcasting!AZ26,S03_Druid!$AO$69:$AO$98,0),1),"")&amp;IFERROR(INDEX(S04_EldritchKnight!$AP$69:$AP$98,MATCH(Character_Spellcasting!AZ26,S04_EldritchKnight!$AO$69:$AO$98,0),1),"")&amp;IFERROR(INDEX(S05_Paladin!$AP$69:$AP$98,MATCH(Character_Spellcasting!AZ26,S05_Paladin!$AO$69:$AO$98,0),1),"")&amp;IFERROR(INDEX(S06_Ranger!$AP$69:$AP$98,MATCH(Character_Spellcasting!AZ26,S06_Ranger!$AO$69:$AO$988,0),1),"")&amp;IFERROR(INDEX(S07_ArcaneTrickster!$AP$69:$AP$98,MATCH(Character_Spellcasting!AZ26,S07_ArcaneTrickster!$AO$69:$AO$988,0),1),"")&amp;IFERROR(INDEX(S08_Sorcerer!$AP$69:$AP$98,MATCH(Character_Spellcasting!AZ26,S08_Sorcerer!$AO$69:$AO$98,0),1),"")&amp;IFERROR(INDEX(S09_Warlock!$AP$69:$AP$98,MATCH(Character_Spellcasting!AZ26,S09_Warlock!$AO$69:$AO$98,0),1),"")&amp;IFERROR(INDEX(S10_Wizard!$AP$69:$AP$98,MATCH(Character_Spellcasting!AZ26,S10_Wizard!$AO$69:$AO$98,0),1),"")</f>
        <v/>
      </c>
      <c r="BG26" s="1096"/>
      <c r="BH26" s="567"/>
      <c r="BI26" s="120"/>
      <c r="BJ26" s="591">
        <v>20</v>
      </c>
      <c r="BK26" s="1061" t="str">
        <f>IFERROR(INDEX(S01_Bard!$AV$6:$AV$35,MATCH(Character_Spellcasting!BJ26,S01_Bard!$AX$69:$AX$98,0),1),"")&amp;IFERROR(INDEX(S02_Cleric!$AV$6:$AV$35,MATCH(Character_Spellcasting!BJ26,S02_Cleric!$AX$69:$AX$98,0),1),"")&amp;IFERROR(INDEX(S03_Druid!$AV$6:$AV$35,MATCH(Character_Spellcasting!BJ26,S03_Druid!$AX$69:$AX$98,0),1),"")&amp;IFERROR(INDEX(S04_EldritchKnight!$AV$6:$AV$35,MATCH(Character_Spellcasting!BJ26,S04_EldritchKnight!$AX$69:$AX$98,0),1),"")&amp;IFERROR(INDEX(S05_Paladin!$AV$6:$AV$35,MATCH(Character_Spellcasting!BJ26,S05_Paladin!$AX$69:$AX$98,0),1),"")&amp;IFERROR(INDEX(S06_Ranger!$AV$6:$AV$35,MATCH(Character_Spellcasting!BJ26,S06_Ranger!$AX$69:$AX$988,0),1),"")&amp;IFERROR(INDEX(S07_ArcaneTrickster!$AV$6:$AV$35,MATCH(Character_Spellcasting!BJ26,S07_ArcaneTrickster!$AX$69:$AX$988,0),1),"")&amp;IFERROR(INDEX(S08_Sorcerer!$AV$6:$AV$35,MATCH(Character_Spellcasting!BJ26,S08_Sorcerer!$AX$69:$AX$98,0),1),"")&amp;IFERROR(INDEX(S09_Warlock!$AV$6:$AV$35,MATCH(Character_Spellcasting!BJ26,S09_Warlock!$AX$69:$AX$98,0),1),"")&amp;IFERROR(INDEX(S10_Wizard!$AV$6:$AV$35,MATCH(Character_Spellcasting!BJ26,S10_Wizard!$AX$69:$AX$98,0),1),"")</f>
        <v/>
      </c>
      <c r="BL26" s="1061"/>
      <c r="BM26" s="1061"/>
      <c r="BN26" s="1061"/>
      <c r="BO26" s="1061"/>
      <c r="BP26" s="1096" t="str">
        <f>IFERROR(INDEX(S01_Bard!$AY$69:$AY$98,MATCH(Character_Spellcasting!BJ26,S01_Bard!$D$69:$D$98,0),1),"")&amp;IFERROR(INDEX(S02_Cleric!$AY$69:$AY$98,MATCH(Character_Spellcasting!BJ26,S02_Cleric!$AX$69:$AX$98,0),1),"")&amp;IFERROR(INDEX(S03_Druid!$AY$69:$AY$98,MATCH(Character_Spellcasting!BJ26,S03_Druid!$AX$69:$AX$98,0),1),"")&amp;IFERROR(INDEX(S04_EldritchKnight!$AY$69:$AY$98,MATCH(Character_Spellcasting!BJ26,S04_EldritchKnight!$AX$69:$AX$98,0),1),"")&amp;IFERROR(INDEX(S05_Paladin!$AY$69:$AY$98,MATCH(Character_Spellcasting!BJ26,S05_Paladin!$AX$69:$AX$98,0),1),"")&amp;IFERROR(INDEX(S06_Ranger!$AY$69:$AY$98,MATCH(Character_Spellcasting!BJ26,S06_Ranger!$AX$69:$AX$988,0),1),"")&amp;IFERROR(INDEX(S07_ArcaneTrickster!$AY$69:$AY$98,MATCH(Character_Spellcasting!BJ26,S07_ArcaneTrickster!$AX$69:$AX$988,0),1),"")&amp;IFERROR(INDEX(S08_Sorcerer!$AY$69:$AY$98,MATCH(Character_Spellcasting!BJ26,S08_Sorcerer!$AX$69:$AX$98,0),1),"")&amp;IFERROR(INDEX(S09_Warlock!$AY$69:$AY$98,MATCH(Character_Spellcasting!BJ26,S09_Warlock!$AX$69:$AX$98,0),1),"")&amp;IFERROR(INDEX(S10_Wizard!$AY$69:$AY$98,MATCH(Character_Spellcasting!BJ26,S10_Wizard!$AX$69:$AX$98,0),1),"")</f>
        <v/>
      </c>
      <c r="BQ26" s="1096"/>
      <c r="BR26" s="567"/>
      <c r="BS26" s="120"/>
      <c r="BT26" s="591">
        <v>20</v>
      </c>
      <c r="BU26" s="1061" t="str">
        <f>IFERROR(INDEX(S01_Bard!$BE$6:$BE$35,MATCH(Character_Spellcasting!BT26,S01_Bard!$BG$69:$BG$98,0),1),"")&amp;IFERROR(INDEX(S02_Cleric!$BE$6:$BE$35,MATCH(Character_Spellcasting!BT26,S02_Cleric!$BG$69:$BG$98,0),1),"")&amp;IFERROR(INDEX(S03_Druid!$BE$6:$BE$35,MATCH(Character_Spellcasting!BT26,S03_Druid!$BG$69:$BG$98,0),1),"")&amp;IFERROR(INDEX(S04_EldritchKnight!$BE$6:$BE$35,MATCH(Character_Spellcasting!BT26,S04_EldritchKnight!$BG$69:$BG$98,0),1),"")&amp;IFERROR(INDEX(S05_Paladin!$BE$6:$BE$35,MATCH(Character_Spellcasting!BT26,S05_Paladin!$BG$69:$BG$98,0),1),"")&amp;IFERROR(INDEX(S06_Ranger!$BE$6:$BE$35,MATCH(Character_Spellcasting!BT26,S06_Ranger!$BG$69:$BG$988,0),1),"")&amp;IFERROR(INDEX(S07_ArcaneTrickster!$BE$6:$BE$35,MATCH(Character_Spellcasting!BT26,S07_ArcaneTrickster!$BG$69:$BG$988,0),1),"")&amp;IFERROR(INDEX(S08_Sorcerer!$BE$6:$BE$35,MATCH(Character_Spellcasting!BT26,S08_Sorcerer!$BG$69:$BG$98,0),1),"")&amp;IFERROR(INDEX(S09_Warlock!$BE$6:$BE$35,MATCH(Character_Spellcasting!BT26,S09_Warlock!$BG$69:$BG$98,0),1),"")&amp;IFERROR(INDEX(S10_Wizard!$BE$6:$BE$35,MATCH(Character_Spellcasting!BT26,S10_Wizard!$BG$69:$BG$98,0),1),"")</f>
        <v/>
      </c>
      <c r="BV26" s="1061"/>
      <c r="BW26" s="1061"/>
      <c r="BX26" s="1061"/>
      <c r="BY26" s="1061"/>
      <c r="BZ26" s="1096" t="str">
        <f>IFERROR(INDEX(S01_Bard!$BH$69:$BH$98,MATCH(Character_Spellcasting!BT26,S01_Bard!$D$69:$D$98,0),1),"")&amp;IFERROR(INDEX(S02_Cleric!$BH$69:$BH$98,MATCH(Character_Spellcasting!BT26,S02_Cleric!$BG$69:$BG$98,0),1),"")&amp;IFERROR(INDEX(S03_Druid!$BH$69:$BH$98,MATCH(Character_Spellcasting!BT26,S03_Druid!$BG$69:$BG$98,0),1),"")&amp;IFERROR(INDEX(S04_EldritchKnight!$BH$69:$BH$98,MATCH(Character_Spellcasting!BT26,S04_EldritchKnight!$BG$69:$BG$98,0),1),"")&amp;IFERROR(INDEX(S05_Paladin!$BH$69:$BH$98,MATCH(Character_Spellcasting!BT26,S05_Paladin!$BG$69:$BG$98,0),1),"")&amp;IFERROR(INDEX(S06_Ranger!$BH$69:$BH$98,MATCH(Character_Spellcasting!BT26,S06_Ranger!$BG$69:$BG$988,0),1),"")&amp;IFERROR(INDEX(S07_ArcaneTrickster!$BH$69:$BH$98,MATCH(Character_Spellcasting!BT26,S07_ArcaneTrickster!$BG$69:$BG$988,0),1),"")&amp;IFERROR(INDEX(S08_Sorcerer!$BH$69:$BH$98,MATCH(Character_Spellcasting!BT26,S08_Sorcerer!$BG$69:$BG$98,0),1),"")&amp;IFERROR(INDEX(S09_Warlock!$BH$69:$BH$98,MATCH(Character_Spellcasting!BT26,S09_Warlock!$BG$69:$BG$98,0),1),"")&amp;IFERROR(INDEX(S10_Wizard!$BH$69:$BH$98,MATCH(Character_Spellcasting!BT26,S10_Wizard!$BG$69:$BG$98,0),1),"")</f>
        <v/>
      </c>
      <c r="CA26" s="1096"/>
      <c r="CB26" s="567"/>
      <c r="CC26" s="120"/>
      <c r="CD26" s="591">
        <v>20</v>
      </c>
      <c r="CE26" s="1061" t="str">
        <f>IFERROR(INDEX(S01_Bard!$BN$6:$BN$35,MATCH(Character_Spellcasting!CD26,S01_Bard!$BP$69:$BP$98,0),1),"")&amp;IFERROR(INDEX(S02_Cleric!$BN$6:$BN$35,MATCH(Character_Spellcasting!CD26,S02_Cleric!$BP$69:$BP$98,0),1),"")&amp;IFERROR(INDEX(S03_Druid!$BN$6:$BN$35,MATCH(Character_Spellcasting!CD26,S03_Druid!$BP$69:$BP$98,0),1),"")&amp;IFERROR(INDEX(S04_EldritchKnight!$BN$6:$BN$35,MATCH(Character_Spellcasting!CD26,S04_EldritchKnight!$BP$69:$BP$98,0),1),"")&amp;IFERROR(INDEX(S05_Paladin!$BN$6:$BN$35,MATCH(Character_Spellcasting!CD26,S05_Paladin!$BP$69:$BP$98,0),1),"")&amp;IFERROR(INDEX(S06_Ranger!$BN$6:$BN$35,MATCH(Character_Spellcasting!CD26,S06_Ranger!$BP$69:$BP$988,0),1),"")&amp;IFERROR(INDEX(S07_ArcaneTrickster!$BN$6:$BN$35,MATCH(Character_Spellcasting!CD26,S07_ArcaneTrickster!$BP$69:$BP$988,0),1),"")&amp;IFERROR(INDEX(S08_Sorcerer!$BN$6:$BN$35,MATCH(Character_Spellcasting!CD26,S08_Sorcerer!$BP$69:$BP$98,0),1),"")&amp;IFERROR(INDEX(S09_Warlock!$BN$6:$BN$35,MATCH(Character_Spellcasting!CD26,S09_Warlock!$BP$69:$BP$98,0),1),"")&amp;IFERROR(INDEX(S10_Wizard!$BN$6:$BN$35,MATCH(Character_Spellcasting!CD26,S10_Wizard!$BP$69:$BP$98,0),1),"")</f>
        <v/>
      </c>
      <c r="CF26" s="1061"/>
      <c r="CG26" s="1061"/>
      <c r="CH26" s="1061"/>
      <c r="CI26" s="1061"/>
      <c r="CJ26" s="1096" t="str">
        <f>IFERROR(INDEX(S01_Bard!$BQ$69:$BQ$98,MATCH(Character_Spellcasting!CD26,S01_Bard!$D$69:$D$98,0),1),"")&amp;IFERROR(INDEX(S02_Cleric!$BQ$69:$BQ$98,MATCH(Character_Spellcasting!CD26,S02_Cleric!$BP$69:$BP$98,0),1),"")&amp;IFERROR(INDEX(S03_Druid!$BQ$69:$BQ$98,MATCH(Character_Spellcasting!CD26,S03_Druid!$BP$69:$BP$98,0),1),"")&amp;IFERROR(INDEX(S04_EldritchKnight!$BQ$69:$BQ$98,MATCH(Character_Spellcasting!CD26,S04_EldritchKnight!$BP$69:$BP$98,0),1),"")&amp;IFERROR(INDEX(S05_Paladin!$BQ$69:$BQ$98,MATCH(Character_Spellcasting!CD26,S05_Paladin!$BP$69:$BP$98,0),1),"")&amp;IFERROR(INDEX(S06_Ranger!$BQ$69:$BQ$98,MATCH(Character_Spellcasting!CD26,S06_Ranger!$BP$69:$BP$988,0),1),"")&amp;IFERROR(INDEX(S07_ArcaneTrickster!$BQ$69:$BQ$98,MATCH(Character_Spellcasting!CD26,S07_ArcaneTrickster!$BP$69:$BP$988,0),1),"")&amp;IFERROR(INDEX(S08_Sorcerer!$BQ$69:$BQ$98,MATCH(Character_Spellcasting!CD26,S08_Sorcerer!$BP$69:$BP$98,0),1),"")&amp;IFERROR(INDEX(S09_Warlock!$BQ$69:$BQ$98,MATCH(Character_Spellcasting!CD26,S09_Warlock!$BP$69:$BP$98,0),1),"")&amp;IFERROR(INDEX(S10_Wizard!$BQ$69:$BQ$98,MATCH(Character_Spellcasting!CD26,S10_Wizard!$BP$69:$BP$98,0),1),"")</f>
        <v/>
      </c>
      <c r="CK26" s="1096"/>
      <c r="CL26" s="567"/>
      <c r="CM26" s="120"/>
      <c r="CN26" s="591">
        <v>20</v>
      </c>
      <c r="CO26" s="1061" t="str">
        <f>IFERROR(INDEX(S01_Bard!$BW$6:$BW$35,MATCH(Character_Spellcasting!CN26,S01_Bard!$BY$69:$BY$98,0),1),"")&amp;IFERROR(INDEX(S02_Cleric!$BW$6:$BW$35,MATCH(Character_Spellcasting!CN26,S02_Cleric!$BY$69:$BY$98,0),1),"")&amp;IFERROR(INDEX(S03_Druid!$BW$6:$BW$35,MATCH(Character_Spellcasting!CN26,S03_Druid!$BY$69:$BY$98,0),1),"")&amp;IFERROR(INDEX(S04_EldritchKnight!$BW$6:$BW$35,MATCH(Character_Spellcasting!CN26,S04_EldritchKnight!$BY$69:$BY$98,0),1),"")&amp;IFERROR(INDEX(S05_Paladin!$BW$6:$BW$35,MATCH(Character_Spellcasting!CN26,S05_Paladin!$BY$69:$BY$98,0),1),"")&amp;IFERROR(INDEX(S06_Ranger!$BW$6:$BW$35,MATCH(Character_Spellcasting!CN26,S06_Ranger!$BY$69:$BY$988,0),1),"")&amp;IFERROR(INDEX(S07_ArcaneTrickster!$BW$6:$BW$35,MATCH(Character_Spellcasting!CN26,S07_ArcaneTrickster!$BY$69:$BY$988,0),1),"")&amp;IFERROR(INDEX(S08_Sorcerer!$BW$6:$BW$35,MATCH(Character_Spellcasting!CN26,S08_Sorcerer!$BY$69:$BY$98,0),1),"")&amp;IFERROR(INDEX(S09_Warlock!$BW$6:$BW$35,MATCH(Character_Spellcasting!CN26,S09_Warlock!$BY$69:$BY$98,0),1),"")&amp;IFERROR(INDEX(S10_Wizard!$BW$6:$BW$35,MATCH(Character_Spellcasting!CN26,S10_Wizard!$BY$69:$BY$98,0),1),"")</f>
        <v/>
      </c>
      <c r="CP26" s="1061"/>
      <c r="CQ26" s="1061"/>
      <c r="CR26" s="1061"/>
      <c r="CS26" s="1061"/>
      <c r="CT26" s="1096" t="str">
        <f>IFERROR(INDEX(S01_Bard!$BZ$69:$BZ$98,MATCH(Character_Spellcasting!CN26,S01_Bard!$D$69:$D$98,0),1),"")&amp;IFERROR(INDEX(S02_Cleric!$BZ$69:$BZ$98,MATCH(Character_Spellcasting!CN26,S02_Cleric!$BY$69:$BY$98,0),1),"")&amp;IFERROR(INDEX(S03_Druid!$BZ$69:$BZ$98,MATCH(Character_Spellcasting!CN26,S03_Druid!$BY$69:$BY$98,0),1),"")&amp;IFERROR(INDEX(S04_EldritchKnight!$BZ$69:$BZ$98,MATCH(Character_Spellcasting!CN26,S04_EldritchKnight!$BY$69:$BY$98,0),1),"")&amp;IFERROR(INDEX(S05_Paladin!$BZ$69:$BZ$98,MATCH(Character_Spellcasting!CN26,S05_Paladin!$BY$69:$BY$98,0),1),"")&amp;IFERROR(INDEX(S06_Ranger!$BZ$69:$BZ$98,MATCH(Character_Spellcasting!CN26,S06_Ranger!$BY$69:$BY$988,0),1),"")&amp;IFERROR(INDEX(S07_ArcaneTrickster!$BZ$69:$BZ$98,MATCH(Character_Spellcasting!CN26,S07_ArcaneTrickster!$BY$69:$BY$988,0),1),"")&amp;IFERROR(INDEX(S08_Sorcerer!$BZ$69:$BZ$98,MATCH(Character_Spellcasting!CN26,S08_Sorcerer!$BY$69:$BY$98,0),1),"")&amp;IFERROR(INDEX(S09_Warlock!$BZ$69:$BZ$98,MATCH(Character_Spellcasting!CN26,S09_Warlock!$BY$69:$BY$98,0),1),"")&amp;IFERROR(INDEX(S10_Wizard!$BZ$69:$BZ$98,MATCH(Character_Spellcasting!CN26,S10_Wizard!$BY$69:$BY$98,0),1),"")</f>
        <v/>
      </c>
      <c r="CU26" s="1096"/>
      <c r="CV26" s="567"/>
      <c r="CW26" s="565"/>
      <c r="CX26" s="565"/>
      <c r="CY26" s="565"/>
      <c r="CZ26" s="565"/>
      <c r="DA26" s="610">
        <v>20</v>
      </c>
      <c r="DB26" s="1061" t="str">
        <f t="shared" si="0"/>
        <v/>
      </c>
      <c r="DC26" s="1061"/>
      <c r="DD26" s="1061"/>
      <c r="DE26" s="1061"/>
      <c r="DF26" s="1061"/>
      <c r="DG26" s="1096" t="str">
        <f t="shared" si="1"/>
        <v/>
      </c>
      <c r="DH26" s="1096"/>
      <c r="DI26" s="565"/>
      <c r="DJ26" s="565"/>
      <c r="DK26" s="565"/>
      <c r="DL26" s="565"/>
      <c r="DM26" s="565"/>
      <c r="DN26" s="565"/>
      <c r="DO26" s="565"/>
      <c r="DP26" s="565"/>
      <c r="DQ26" s="565"/>
      <c r="DR26" s="565"/>
      <c r="DS26" s="565"/>
      <c r="DT26" s="565"/>
      <c r="DU26" s="565"/>
      <c r="DV26" s="565"/>
    </row>
    <row r="27" spans="1:126" ht="21" x14ac:dyDescent="0.25">
      <c r="A27" s="120"/>
      <c r="B27" s="610">
        <v>21</v>
      </c>
      <c r="C27" s="1061"/>
      <c r="D27" s="1061"/>
      <c r="E27" s="1061"/>
      <c r="F27" s="1061"/>
      <c r="G27" s="1061"/>
      <c r="H27" s="1096"/>
      <c r="I27" s="1096"/>
      <c r="J27" s="120"/>
      <c r="K27" s="120"/>
      <c r="L27" s="591">
        <v>21</v>
      </c>
      <c r="M27" s="1061" t="str">
        <f>IFERROR(INDEX(S01_Bard!$C$6:$C$35,MATCH(Character_Spellcasting!L27,S01_Bard!$E$69:$E$98,0),1),"")&amp;IFERROR(INDEX(S02_Cleric!$C$6:$C$35,MATCH(Character_Spellcasting!L27,S02_Cleric!$E$69:$E$98,0),1),"")&amp;IFERROR(INDEX(S03_Druid!$C$6:$C$35,MATCH(Character_Spellcasting!L27,S03_Druid!$E$69:$E$98,0),1),"")&amp;IFERROR(INDEX(S04_EldritchKnight!$C$6:$C$35,MATCH(Character_Spellcasting!L27,S04_EldritchKnight!$E$69:$E$98,0),1),"")&amp;IFERROR(INDEX(S05_Paladin!$C$6:$C$35,MATCH(Character_Spellcasting!L27,S05_Paladin!$E$69:$E$98,0),1),"")&amp;IFERROR(INDEX(S06_Ranger!$C$6:$C$35,MATCH(Character_Spellcasting!L27,S06_Ranger!$E$69:$E$988,0),1),"")&amp;IFERROR(INDEX(S07_ArcaneTrickster!$C$6:$C$35,MATCH(Character_Spellcasting!L27,S07_ArcaneTrickster!$E$69:$E$988,0),1),"")&amp;IFERROR(INDEX(S08_Sorcerer!$C$6:$C$35,MATCH(Character_Spellcasting!L27,S08_Sorcerer!$E$69:$E$98,0),1),"")&amp;IFERROR(INDEX(S09_Warlock!$C$6:$C$35,MATCH(Character_Spellcasting!L27,S09_Warlock!$E$69:$E$98,0),1),"")&amp;IFERROR(INDEX(S10_Wizard!$C$6:$C$35,MATCH(Character_Spellcasting!L27,S10_Wizard!$E$69:$E$98,0),1),"")</f>
        <v/>
      </c>
      <c r="N27" s="1061"/>
      <c r="O27" s="1061"/>
      <c r="P27" s="1061"/>
      <c r="Q27" s="1061"/>
      <c r="R27" s="1096" t="str">
        <f>IFERROR(INDEX(S01_Bard!$F$69:$F$98,MATCH(Character_Spellcasting!L27,S01_Bard!$D$69:$D$98,0),1),"")&amp;IFERROR(INDEX(S02_Cleric!$F$69:$F$98,MATCH(Character_Spellcasting!L27,S02_Cleric!$E$69:$E$98,0),1),"")&amp;IFERROR(INDEX(S03_Druid!$F$69:$F$98,MATCH(Character_Spellcasting!L27,S03_Druid!$E$69:$E$98,0),1),"")&amp;IFERROR(INDEX(S04_EldritchKnight!$F$69:$F$98,MATCH(Character_Spellcasting!L27,S04_EldritchKnight!$E$69:$E$98,0),1),"")&amp;IFERROR(INDEX(S05_Paladin!$F$69:$F$98,MATCH(Character_Spellcasting!L27,S05_Paladin!$E$69:$E$98,0),1),"")&amp;IFERROR(INDEX(S06_Ranger!$F$69:$F$98,MATCH(Character_Spellcasting!L27,S06_Ranger!$E$69:$E$988,0),1),"")&amp;IFERROR(INDEX(S07_ArcaneTrickster!$F$69:$F$98,MATCH(Character_Spellcasting!L27,S07_ArcaneTrickster!$E$69:$E$988,0),1),"")&amp;IFERROR(INDEX(S08_Sorcerer!$F$69:$F$98,MATCH(Character_Spellcasting!L27,S08_Sorcerer!$E$69:$E$98,0),1),"")&amp;IFERROR(INDEX(S09_Warlock!$F$69:$F$98,MATCH(Character_Spellcasting!L27,S09_Warlock!$E$69:$E$98,0),1),"")&amp;IFERROR(INDEX(S10_Wizard!$F$69:$F$98,MATCH(Character_Spellcasting!L27,S10_Wizard!$E$69:$E$98,0),1),"")</f>
        <v/>
      </c>
      <c r="S27" s="1096"/>
      <c r="T27" s="567"/>
      <c r="U27" s="565"/>
      <c r="V27" s="591">
        <v>21</v>
      </c>
      <c r="W27" s="1061" t="str">
        <f>IFERROR(INDEX(S01_Bard!$L$6:$L$35,MATCH(Character_Spellcasting!V27,S01_Bard!$N$69:$N$98,0),1),"")&amp;IFERROR(INDEX(S02_Cleric!$L$6:$L$35,MATCH(Character_Spellcasting!V27,S02_Cleric!$N$69:$N$98,0),1),"")&amp;IFERROR(INDEX(S03_Druid!$L$6:$L$35,MATCH(Character_Spellcasting!V27,S03_Druid!$N$69:$N$98,0),1),"")&amp;IFERROR(INDEX(S04_EldritchKnight!$L$6:$L$35,MATCH(Character_Spellcasting!V27,S04_EldritchKnight!$N$69:$N$98,0),1),"")&amp;IFERROR(INDEX(S05_Paladin!$L$6:$L$35,MATCH(Character_Spellcasting!V27,S05_Paladin!$N$69:$N$98,0),1),"")&amp;IFERROR(INDEX(S06_Ranger!$L$6:$L$35,MATCH(Character_Spellcasting!V27,S06_Ranger!$N$69:$N$988,0),1),"")&amp;IFERROR(INDEX(S07_ArcaneTrickster!$L$6:$L$35,MATCH(Character_Spellcasting!V27,S07_ArcaneTrickster!$N$69:$N$988,0),1),"")&amp;IFERROR(INDEX(S08_Sorcerer!$L$6:$L$35,MATCH(Character_Spellcasting!V27,S08_Sorcerer!$N$69:$N$98,0),1),"")&amp;IFERROR(INDEX(S09_Warlock!$L$6:$L$35,MATCH(Character_Spellcasting!V27,S09_Warlock!$N$69:$N$98,0),1),"")&amp;IFERROR(INDEX(S10_Wizard!$L$6:$L$35,MATCH(Character_Spellcasting!V27,S10_Wizard!$N$69:$N$98,0),1),"")</f>
        <v/>
      </c>
      <c r="X27" s="1061"/>
      <c r="Y27" s="1061"/>
      <c r="Z27" s="1061"/>
      <c r="AA27" s="1061"/>
      <c r="AB27" s="1097" t="str">
        <f>IFERROR(INDEX(S01_Bard!$O$69:$O$98,MATCH(Character_Spellcasting!V27,S01_Bard!$N$69:$N$98,0),1),"")&amp;IFERROR(INDEX(S02_Cleric!$O$69:$O$98,MATCH(Character_Spellcasting!V27,S02_Cleric!$N$69:$N$98,0),1),"")&amp;IFERROR(INDEX(S03_Druid!$O$69:$O$98,MATCH(Character_Spellcasting!V27,S03_Druid!$N$69:$N$98,0),1),"")&amp;IFERROR(INDEX(S04_EldritchKnight!$O$69:$O$98,MATCH(Character_Spellcasting!V27,S04_EldritchKnight!$N$69:$N$98,0),1),"")&amp;IFERROR(INDEX(S05_Paladin!$O$69:$O$98,MATCH(Character_Spellcasting!V27,S05_Paladin!$N$69:$N$98,0),1),"")&amp;IFERROR(INDEX(S06_Ranger!$O$69:$O$98,MATCH(Character_Spellcasting!V27,S06_Ranger!$N$69:$N$988,0),1),"")&amp;IFERROR(INDEX(S07_ArcaneTrickster!$O$69:$O$98,MATCH(Character_Spellcasting!V27,S07_ArcaneTrickster!$N$69:$N$988,0),1),"")&amp;IFERROR(INDEX(S08_Sorcerer!$O$69:$O$98,MATCH(Character_Spellcasting!V27,S08_Sorcerer!$N$69:$N$98,0),1),"")&amp;IFERROR(INDEX(S09_Warlock!$O$69:$O$98,MATCH(Character_Spellcasting!V27,S09_Warlock!$N$69:$N$98,0),1),"")&amp;IFERROR(INDEX(S10_Wizard!$O$69:$O$98,MATCH(Character_Spellcasting!V27,S10_Wizard!$N$69:$N$98,0),1),"")</f>
        <v/>
      </c>
      <c r="AC27" s="1098"/>
      <c r="AD27" s="567"/>
      <c r="AE27" s="565"/>
      <c r="AF27" s="609">
        <v>21</v>
      </c>
      <c r="AG27" s="1061" t="str">
        <f>IFERROR(INDEX(S01_Bard!$U$6:$U$35,MATCH(Character_Spellcasting!AF27,S01_Bard!$W$69:$W$98,0),1),"")&amp;IFERROR(INDEX(S02_Cleric!$U$6:$U$35,MATCH(Character_Spellcasting!AF27,S02_Cleric!$W$69:$W$98,0),1),"")&amp;IFERROR(INDEX(S03_Druid!$U$6:$U$35,MATCH(Character_Spellcasting!AF27,S03_Druid!$W$69:$W$98,0),1),"")&amp;IFERROR(INDEX(S04_EldritchKnight!$U$6:$U$35,MATCH(Character_Spellcasting!AF27,S04_EldritchKnight!$W$69:$W$98,0),1),"")&amp;IFERROR(INDEX(S05_Paladin!$U$6:$U$35,MATCH(Character_Spellcasting!AF27,S05_Paladin!$W$69:$W$98,0),1),"")&amp;IFERROR(INDEX(S06_Ranger!$U$6:$U$35,MATCH(Character_Spellcasting!AF27,S06_Ranger!$W$69:$W$988,0),1),"")&amp;IFERROR(INDEX(S07_ArcaneTrickster!$U$6:$U$35,MATCH(Character_Spellcasting!AF27,S07_ArcaneTrickster!$W$69:$W$988,0),1),"")&amp;IFERROR(INDEX(S08_Sorcerer!$U$6:$U$35,MATCH(Character_Spellcasting!AF27,S08_Sorcerer!$W$69:$W$98,0),1),"")&amp;IFERROR(INDEX(S09_Warlock!$U$6:$U$35,MATCH(Character_Spellcasting!AF27,S09_Warlock!$W$69:$W$98,0),1),"")&amp;IFERROR(INDEX(S10_Wizard!$U$6:$U$35,MATCH(Character_Spellcasting!AF27,S10_Wizard!$W$69:$W$98,0),1),"")</f>
        <v/>
      </c>
      <c r="AH27" s="1061"/>
      <c r="AI27" s="1061"/>
      <c r="AJ27" s="1061"/>
      <c r="AK27" s="1061"/>
      <c r="AL27" s="1097" t="str">
        <f>IFERROR(INDEX(S01_Bard!$X$69:$X$98,MATCH(Character_Spellcasting!AF27,S01_Bard!$W$69:$W$98,0),1),"")&amp;IFERROR(INDEX(S02_Cleric!$X$69:$X$98,MATCH(Character_Spellcasting!AF27,S02_Cleric!$W$69:$W$98,0),1),"")&amp;IFERROR(INDEX(S03_Druid!$X$69:$X$98,MATCH(Character_Spellcasting!AF27,S03_Druid!$W$69:$W$98,0),1),"")&amp;IFERROR(INDEX(S04_EldritchKnight!$X$69:$X$98,MATCH(Character_Spellcasting!AF27,S04_EldritchKnight!$W$69:$W$98,0),1),"")&amp;IFERROR(INDEX(S05_Paladin!$X$69:$X$98,MATCH(Character_Spellcasting!AF27,S05_Paladin!$W$69:$W$98,0),1),"")&amp;IFERROR(INDEX(S06_Ranger!$X$69:$X$98,MATCH(Character_Spellcasting!AF27,S06_Ranger!$W$69:$W$988,0),1),"")&amp;IFERROR(INDEX(S07_ArcaneTrickster!$X$69:$X$98,MATCH(Character_Spellcasting!AF27,S07_ArcaneTrickster!$W$69:$W$988,0),1),"")&amp;IFERROR(INDEX(S08_Sorcerer!$X$69:$X$98,MATCH(Character_Spellcasting!AF27,S08_Sorcerer!$W$69:$W$98,0),1),"")&amp;IFERROR(INDEX(S09_Warlock!$X$69:$X$98,MATCH(Character_Spellcasting!AF27,S09_Warlock!$W$69:$W$98,0),1),"")&amp;IFERROR(INDEX(S10_Wizard!$X$69:$X$98,MATCH(Character_Spellcasting!AF27,S10_Wizard!$W$69:$W$98,0),1),"")</f>
        <v/>
      </c>
      <c r="AM27" s="1098"/>
      <c r="AN27" s="567"/>
      <c r="AO27" s="565"/>
      <c r="AP27" s="591">
        <v>21</v>
      </c>
      <c r="AQ27" s="1061" t="str">
        <f>IFERROR(INDEX(S01_Bard!$AD$6:$AD$35,MATCH(Character_Spellcasting!AP27,S01_Bard!$AF$69:$AF$98,0),1),"")&amp;IFERROR(INDEX(S02_Cleric!$AD$6:$AD$35,MATCH(Character_Spellcasting!AP27,S02_Cleric!$AF$69:$AF$98,0),1),"")&amp;IFERROR(INDEX(S03_Druid!$AD$6:$AD$35,MATCH(Character_Spellcasting!AP27,S03_Druid!$AF$69:$AF$98,0),1),"")&amp;IFERROR(INDEX(S04_EldritchKnight!$AD$6:$AD$35,MATCH(Character_Spellcasting!AP27,S04_EldritchKnight!$AF$69:$AF$98,0),1),"")&amp;IFERROR(INDEX(S05_Paladin!$AD$6:$AD$35,MATCH(Character_Spellcasting!AP27,S05_Paladin!$AF$69:$AF$98,0),1),"")&amp;IFERROR(INDEX(S06_Ranger!$AD$6:$AD$35,MATCH(Character_Spellcasting!AP27,S06_Ranger!$AF$69:$AF$988,0),1),"")&amp;IFERROR(INDEX(S07_ArcaneTrickster!$AD$6:$AD$35,MATCH(Character_Spellcasting!AP27,S07_ArcaneTrickster!$AF$69:$AF$988,0),1),"")&amp;IFERROR(INDEX(S08_Sorcerer!$AD$6:$AD$35,MATCH(Character_Spellcasting!AP27,S08_Sorcerer!$AF$69:$AF$98,0),1),"")&amp;IFERROR(INDEX(S09_Warlock!$AD$6:$AD$35,MATCH(Character_Spellcasting!AP27,S09_Warlock!$AF$69:$AF$98,0),1),"")&amp;IFERROR(INDEX(S10_Wizard!$AD$6:$AD$35,MATCH(Character_Spellcasting!AP27,S10_Wizard!$AF$69:$AF$98,0),1),"")</f>
        <v/>
      </c>
      <c r="AR27" s="1061"/>
      <c r="AS27" s="1061"/>
      <c r="AT27" s="1061"/>
      <c r="AU27" s="1061"/>
      <c r="AV27" s="1096" t="str">
        <f>IFERROR(INDEX(S01_Bard!$AG$69:$AG$98,MATCH(Character_Spellcasting!AP27,S01_Bard!$D$69:$D$98,0),1),"")&amp;IFERROR(INDEX(S02_Cleric!$AG$69:$AG$98,MATCH(Character_Spellcasting!AP27,S02_Cleric!$AF$69:$AF$98,0),1),"")&amp;IFERROR(INDEX(S03_Druid!$AG$69:$AG$98,MATCH(Character_Spellcasting!AP27,S03_Druid!$AF$69:$AF$98,0),1),"")&amp;IFERROR(INDEX(S04_EldritchKnight!$AG$69:$AG$98,MATCH(Character_Spellcasting!AP27,S04_EldritchKnight!$AF$69:$AF$98,0),1),"")&amp;IFERROR(INDEX(S05_Paladin!$AG$69:$AG$98,MATCH(Character_Spellcasting!AP27,S05_Paladin!$AF$69:$AF$98,0),1),"")&amp;IFERROR(INDEX(S06_Ranger!$AG$69:$AG$98,MATCH(Character_Spellcasting!AP27,S06_Ranger!$AF$69:$AF$988,0),1),"")&amp;IFERROR(INDEX(S07_ArcaneTrickster!$AG$69:$AG$98,MATCH(Character_Spellcasting!AP27,S07_ArcaneTrickster!$AF$69:$AF$988,0),1),"")&amp;IFERROR(INDEX(S08_Sorcerer!$AG$69:$AG$98,MATCH(Character_Spellcasting!AP27,S08_Sorcerer!$AF$69:$AF$98,0),1),"")&amp;IFERROR(INDEX(S09_Warlock!$AG$69:$AG$98,MATCH(Character_Spellcasting!AP27,S09_Warlock!$AF$69:$AF$98,0),1),"")&amp;IFERROR(INDEX(S10_Wizard!$AG$69:$AG$98,MATCH(Character_Spellcasting!AP27,S10_Wizard!$AF$69:$AF$98,0),1),"")</f>
        <v/>
      </c>
      <c r="AW27" s="1096"/>
      <c r="AX27" s="567"/>
      <c r="AY27" s="565"/>
      <c r="AZ27" s="591">
        <v>21</v>
      </c>
      <c r="BA27" s="1061" t="str">
        <f>IFERROR(INDEX(S01_Bard!$AM$6:$AM$35,MATCH(Character_Spellcasting!AZ27,S01_Bard!$AO$69:$AO$98,0),1),"")&amp;IFERROR(INDEX(S02_Cleric!$AM$6:$AM$35,MATCH(Character_Spellcasting!AZ27,S02_Cleric!$AO$69:$AO$98,0),1),"")&amp;IFERROR(INDEX(S03_Druid!$AM$6:$AM$35,MATCH(Character_Spellcasting!AZ27,S03_Druid!$AO$69:$AO$98,0),1),"")&amp;IFERROR(INDEX(S04_EldritchKnight!$AM$6:$AM$35,MATCH(Character_Spellcasting!AZ27,S04_EldritchKnight!$AO$69:$AO$98,0),1),"")&amp;IFERROR(INDEX(S05_Paladin!$AM$6:$AM$35,MATCH(Character_Spellcasting!AZ27,S05_Paladin!$AO$69:$AO$98,0),1),"")&amp;IFERROR(INDEX(S06_Ranger!$AM$6:$AM$35,MATCH(Character_Spellcasting!AZ27,S06_Ranger!$AO$69:$AO$988,0),1),"")&amp;IFERROR(INDEX(S07_ArcaneTrickster!$AM$6:$AM$35,MATCH(Character_Spellcasting!AZ27,S07_ArcaneTrickster!$AO$69:$AO$988,0),1),"")&amp;IFERROR(INDEX(S08_Sorcerer!$AM$6:$AM$35,MATCH(Character_Spellcasting!AZ27,S08_Sorcerer!$AO$69:$AO$98,0),1),"")&amp;IFERROR(INDEX(S09_Warlock!$AM$6:$AM$35,MATCH(Character_Spellcasting!AZ27,S09_Warlock!$AO$69:$AO$98,0),1),"")&amp;IFERROR(INDEX(S10_Wizard!$AM$6:$AM$35,MATCH(Character_Spellcasting!AZ27,S10_Wizard!$AO$69:$AO$98,0),1),"")</f>
        <v/>
      </c>
      <c r="BB27" s="1061"/>
      <c r="BC27" s="1061"/>
      <c r="BD27" s="1061"/>
      <c r="BE27" s="1061"/>
      <c r="BF27" s="1096" t="str">
        <f>IFERROR(INDEX(S01_Bard!$AP$69:$AP$98,MATCH(Character_Spellcasting!AZ27,S01_Bard!$D$69:$D$98,0),1),"")&amp;IFERROR(INDEX(S02_Cleric!$AP$69:$AP$98,MATCH(Character_Spellcasting!AZ27,S02_Cleric!$AO$69:$AO$98,0),1),"")&amp;IFERROR(INDEX(S03_Druid!$AP$69:$AP$98,MATCH(Character_Spellcasting!AZ27,S03_Druid!$AO$69:$AO$98,0),1),"")&amp;IFERROR(INDEX(S04_EldritchKnight!$AP$69:$AP$98,MATCH(Character_Spellcasting!AZ27,S04_EldritchKnight!$AO$69:$AO$98,0),1),"")&amp;IFERROR(INDEX(S05_Paladin!$AP$69:$AP$98,MATCH(Character_Spellcasting!AZ27,S05_Paladin!$AO$69:$AO$98,0),1),"")&amp;IFERROR(INDEX(S06_Ranger!$AP$69:$AP$98,MATCH(Character_Spellcasting!AZ27,S06_Ranger!$AO$69:$AO$988,0),1),"")&amp;IFERROR(INDEX(S07_ArcaneTrickster!$AP$69:$AP$98,MATCH(Character_Spellcasting!AZ27,S07_ArcaneTrickster!$AO$69:$AO$988,0),1),"")&amp;IFERROR(INDEX(S08_Sorcerer!$AP$69:$AP$98,MATCH(Character_Spellcasting!AZ27,S08_Sorcerer!$AO$69:$AO$98,0),1),"")&amp;IFERROR(INDEX(S09_Warlock!$AP$69:$AP$98,MATCH(Character_Spellcasting!AZ27,S09_Warlock!$AO$69:$AO$98,0),1),"")&amp;IFERROR(INDEX(S10_Wizard!$AP$69:$AP$98,MATCH(Character_Spellcasting!AZ27,S10_Wizard!$AO$69:$AO$98,0),1),"")</f>
        <v/>
      </c>
      <c r="BG27" s="1096"/>
      <c r="BH27" s="567"/>
      <c r="BI27" s="120"/>
      <c r="BJ27" s="591">
        <v>21</v>
      </c>
      <c r="BK27" s="1061" t="str">
        <f>IFERROR(INDEX(S01_Bard!$AV$6:$AV$35,MATCH(Character_Spellcasting!BJ27,S01_Bard!$AX$69:$AX$98,0),1),"")&amp;IFERROR(INDEX(S02_Cleric!$AV$6:$AV$35,MATCH(Character_Spellcasting!BJ27,S02_Cleric!$AX$69:$AX$98,0),1),"")&amp;IFERROR(INDEX(S03_Druid!$AV$6:$AV$35,MATCH(Character_Spellcasting!BJ27,S03_Druid!$AX$69:$AX$98,0),1),"")&amp;IFERROR(INDEX(S04_EldritchKnight!$AV$6:$AV$35,MATCH(Character_Spellcasting!BJ27,S04_EldritchKnight!$AX$69:$AX$98,0),1),"")&amp;IFERROR(INDEX(S05_Paladin!$AV$6:$AV$35,MATCH(Character_Spellcasting!BJ27,S05_Paladin!$AX$69:$AX$98,0),1),"")&amp;IFERROR(INDEX(S06_Ranger!$AV$6:$AV$35,MATCH(Character_Spellcasting!BJ27,S06_Ranger!$AX$69:$AX$988,0),1),"")&amp;IFERROR(INDEX(S07_ArcaneTrickster!$AV$6:$AV$35,MATCH(Character_Spellcasting!BJ27,S07_ArcaneTrickster!$AX$69:$AX$988,0),1),"")&amp;IFERROR(INDEX(S08_Sorcerer!$AV$6:$AV$35,MATCH(Character_Spellcasting!BJ27,S08_Sorcerer!$AX$69:$AX$98,0),1),"")&amp;IFERROR(INDEX(S09_Warlock!$AV$6:$AV$35,MATCH(Character_Spellcasting!BJ27,S09_Warlock!$AX$69:$AX$98,0),1),"")&amp;IFERROR(INDEX(S10_Wizard!$AV$6:$AV$35,MATCH(Character_Spellcasting!BJ27,S10_Wizard!$AX$69:$AX$98,0),1),"")</f>
        <v/>
      </c>
      <c r="BL27" s="1061"/>
      <c r="BM27" s="1061"/>
      <c r="BN27" s="1061"/>
      <c r="BO27" s="1061"/>
      <c r="BP27" s="1096" t="str">
        <f>IFERROR(INDEX(S01_Bard!$AY$69:$AY$98,MATCH(Character_Spellcasting!BJ27,S01_Bard!$D$69:$D$98,0),1),"")&amp;IFERROR(INDEX(S02_Cleric!$AY$69:$AY$98,MATCH(Character_Spellcasting!BJ27,S02_Cleric!$AX$69:$AX$98,0),1),"")&amp;IFERROR(INDEX(S03_Druid!$AY$69:$AY$98,MATCH(Character_Spellcasting!BJ27,S03_Druid!$AX$69:$AX$98,0),1),"")&amp;IFERROR(INDEX(S04_EldritchKnight!$AY$69:$AY$98,MATCH(Character_Spellcasting!BJ27,S04_EldritchKnight!$AX$69:$AX$98,0),1),"")&amp;IFERROR(INDEX(S05_Paladin!$AY$69:$AY$98,MATCH(Character_Spellcasting!BJ27,S05_Paladin!$AX$69:$AX$98,0),1),"")&amp;IFERROR(INDEX(S06_Ranger!$AY$69:$AY$98,MATCH(Character_Spellcasting!BJ27,S06_Ranger!$AX$69:$AX$988,0),1),"")&amp;IFERROR(INDEX(S07_ArcaneTrickster!$AY$69:$AY$98,MATCH(Character_Spellcasting!BJ27,S07_ArcaneTrickster!$AX$69:$AX$988,0),1),"")&amp;IFERROR(INDEX(S08_Sorcerer!$AY$69:$AY$98,MATCH(Character_Spellcasting!BJ27,S08_Sorcerer!$AX$69:$AX$98,0),1),"")&amp;IFERROR(INDEX(S09_Warlock!$AY$69:$AY$98,MATCH(Character_Spellcasting!BJ27,S09_Warlock!$AX$69:$AX$98,0),1),"")&amp;IFERROR(INDEX(S10_Wizard!$AY$69:$AY$98,MATCH(Character_Spellcasting!BJ27,S10_Wizard!$AX$69:$AX$98,0),1),"")</f>
        <v/>
      </c>
      <c r="BQ27" s="1096"/>
      <c r="BR27" s="567"/>
      <c r="BS27" s="120"/>
      <c r="BT27" s="591">
        <v>21</v>
      </c>
      <c r="BU27" s="1061" t="str">
        <f>IFERROR(INDEX(S01_Bard!$BE$6:$BE$35,MATCH(Character_Spellcasting!BT27,S01_Bard!$BG$69:$BG$98,0),1),"")&amp;IFERROR(INDEX(S02_Cleric!$BE$6:$BE$35,MATCH(Character_Spellcasting!BT27,S02_Cleric!$BG$69:$BG$98,0),1),"")&amp;IFERROR(INDEX(S03_Druid!$BE$6:$BE$35,MATCH(Character_Spellcasting!BT27,S03_Druid!$BG$69:$BG$98,0),1),"")&amp;IFERROR(INDEX(S04_EldritchKnight!$BE$6:$BE$35,MATCH(Character_Spellcasting!BT27,S04_EldritchKnight!$BG$69:$BG$98,0),1),"")&amp;IFERROR(INDEX(S05_Paladin!$BE$6:$BE$35,MATCH(Character_Spellcasting!BT27,S05_Paladin!$BG$69:$BG$98,0),1),"")&amp;IFERROR(INDEX(S06_Ranger!$BE$6:$BE$35,MATCH(Character_Spellcasting!BT27,S06_Ranger!$BG$69:$BG$988,0),1),"")&amp;IFERROR(INDEX(S07_ArcaneTrickster!$BE$6:$BE$35,MATCH(Character_Spellcasting!BT27,S07_ArcaneTrickster!$BG$69:$BG$988,0),1),"")&amp;IFERROR(INDEX(S08_Sorcerer!$BE$6:$BE$35,MATCH(Character_Spellcasting!BT27,S08_Sorcerer!$BG$69:$BG$98,0),1),"")&amp;IFERROR(INDEX(S09_Warlock!$BE$6:$BE$35,MATCH(Character_Spellcasting!BT27,S09_Warlock!$BG$69:$BG$98,0),1),"")&amp;IFERROR(INDEX(S10_Wizard!$BE$6:$BE$35,MATCH(Character_Spellcasting!BT27,S10_Wizard!$BG$69:$BG$98,0),1),"")</f>
        <v/>
      </c>
      <c r="BV27" s="1061"/>
      <c r="BW27" s="1061"/>
      <c r="BX27" s="1061"/>
      <c r="BY27" s="1061"/>
      <c r="BZ27" s="1096" t="str">
        <f>IFERROR(INDEX(S01_Bard!$BH$69:$BH$98,MATCH(Character_Spellcasting!BT27,S01_Bard!$D$69:$D$98,0),1),"")&amp;IFERROR(INDEX(S02_Cleric!$BH$69:$BH$98,MATCH(Character_Spellcasting!BT27,S02_Cleric!$BG$69:$BG$98,0),1),"")&amp;IFERROR(INDEX(S03_Druid!$BH$69:$BH$98,MATCH(Character_Spellcasting!BT27,S03_Druid!$BG$69:$BG$98,0),1),"")&amp;IFERROR(INDEX(S04_EldritchKnight!$BH$69:$BH$98,MATCH(Character_Spellcasting!BT27,S04_EldritchKnight!$BG$69:$BG$98,0),1),"")&amp;IFERROR(INDEX(S05_Paladin!$BH$69:$BH$98,MATCH(Character_Spellcasting!BT27,S05_Paladin!$BG$69:$BG$98,0),1),"")&amp;IFERROR(INDEX(S06_Ranger!$BH$69:$BH$98,MATCH(Character_Spellcasting!BT27,S06_Ranger!$BG$69:$BG$988,0),1),"")&amp;IFERROR(INDEX(S07_ArcaneTrickster!$BH$69:$BH$98,MATCH(Character_Spellcasting!BT27,S07_ArcaneTrickster!$BG$69:$BG$988,0),1),"")&amp;IFERROR(INDEX(S08_Sorcerer!$BH$69:$BH$98,MATCH(Character_Spellcasting!BT27,S08_Sorcerer!$BG$69:$BG$98,0),1),"")&amp;IFERROR(INDEX(S09_Warlock!$BH$69:$BH$98,MATCH(Character_Spellcasting!BT27,S09_Warlock!$BG$69:$BG$98,0),1),"")&amp;IFERROR(INDEX(S10_Wizard!$BH$69:$BH$98,MATCH(Character_Spellcasting!BT27,S10_Wizard!$BG$69:$BG$98,0),1),"")</f>
        <v/>
      </c>
      <c r="CA27" s="1096"/>
      <c r="CB27" s="567"/>
      <c r="CC27" s="120"/>
      <c r="CD27" s="591">
        <v>21</v>
      </c>
      <c r="CE27" s="1061" t="str">
        <f>IFERROR(INDEX(S01_Bard!$BN$6:$BN$35,MATCH(Character_Spellcasting!CD27,S01_Bard!$BP$69:$BP$98,0),1),"")&amp;IFERROR(INDEX(S02_Cleric!$BN$6:$BN$35,MATCH(Character_Spellcasting!CD27,S02_Cleric!$BP$69:$BP$98,0),1),"")&amp;IFERROR(INDEX(S03_Druid!$BN$6:$BN$35,MATCH(Character_Spellcasting!CD27,S03_Druid!$BP$69:$BP$98,0),1),"")&amp;IFERROR(INDEX(S04_EldritchKnight!$BN$6:$BN$35,MATCH(Character_Spellcasting!CD27,S04_EldritchKnight!$BP$69:$BP$98,0),1),"")&amp;IFERROR(INDEX(S05_Paladin!$BN$6:$BN$35,MATCH(Character_Spellcasting!CD27,S05_Paladin!$BP$69:$BP$98,0),1),"")&amp;IFERROR(INDEX(S06_Ranger!$BN$6:$BN$35,MATCH(Character_Spellcasting!CD27,S06_Ranger!$BP$69:$BP$988,0),1),"")&amp;IFERROR(INDEX(S07_ArcaneTrickster!$BN$6:$BN$35,MATCH(Character_Spellcasting!CD27,S07_ArcaneTrickster!$BP$69:$BP$988,0),1),"")&amp;IFERROR(INDEX(S08_Sorcerer!$BN$6:$BN$35,MATCH(Character_Spellcasting!CD27,S08_Sorcerer!$BP$69:$BP$98,0),1),"")&amp;IFERROR(INDEX(S09_Warlock!$BN$6:$BN$35,MATCH(Character_Spellcasting!CD27,S09_Warlock!$BP$69:$BP$98,0),1),"")&amp;IFERROR(INDEX(S10_Wizard!$BN$6:$BN$35,MATCH(Character_Spellcasting!CD27,S10_Wizard!$BP$69:$BP$98,0),1),"")</f>
        <v/>
      </c>
      <c r="CF27" s="1061"/>
      <c r="CG27" s="1061"/>
      <c r="CH27" s="1061"/>
      <c r="CI27" s="1061"/>
      <c r="CJ27" s="1096" t="str">
        <f>IFERROR(INDEX(S01_Bard!$BQ$69:$BQ$98,MATCH(Character_Spellcasting!CD27,S01_Bard!$D$69:$D$98,0),1),"")&amp;IFERROR(INDEX(S02_Cleric!$BQ$69:$BQ$98,MATCH(Character_Spellcasting!CD27,S02_Cleric!$BP$69:$BP$98,0),1),"")&amp;IFERROR(INDEX(S03_Druid!$BQ$69:$BQ$98,MATCH(Character_Spellcasting!CD27,S03_Druid!$BP$69:$BP$98,0),1),"")&amp;IFERROR(INDEX(S04_EldritchKnight!$BQ$69:$BQ$98,MATCH(Character_Spellcasting!CD27,S04_EldritchKnight!$BP$69:$BP$98,0),1),"")&amp;IFERROR(INDEX(S05_Paladin!$BQ$69:$BQ$98,MATCH(Character_Spellcasting!CD27,S05_Paladin!$BP$69:$BP$98,0),1),"")&amp;IFERROR(INDEX(S06_Ranger!$BQ$69:$BQ$98,MATCH(Character_Spellcasting!CD27,S06_Ranger!$BP$69:$BP$988,0),1),"")&amp;IFERROR(INDEX(S07_ArcaneTrickster!$BQ$69:$BQ$98,MATCH(Character_Spellcasting!CD27,S07_ArcaneTrickster!$BP$69:$BP$988,0),1),"")&amp;IFERROR(INDEX(S08_Sorcerer!$BQ$69:$BQ$98,MATCH(Character_Spellcasting!CD27,S08_Sorcerer!$BP$69:$BP$98,0),1),"")&amp;IFERROR(INDEX(S09_Warlock!$BQ$69:$BQ$98,MATCH(Character_Spellcasting!CD27,S09_Warlock!$BP$69:$BP$98,0),1),"")&amp;IFERROR(INDEX(S10_Wizard!$BQ$69:$BQ$98,MATCH(Character_Spellcasting!CD27,S10_Wizard!$BP$69:$BP$98,0),1),"")</f>
        <v/>
      </c>
      <c r="CK27" s="1096"/>
      <c r="CL27" s="567"/>
      <c r="CM27" s="120"/>
      <c r="CN27" s="591">
        <v>21</v>
      </c>
      <c r="CO27" s="1061" t="str">
        <f>IFERROR(INDEX(S01_Bard!$BW$6:$BW$35,MATCH(Character_Spellcasting!CN27,S01_Bard!$BY$69:$BY$98,0),1),"")&amp;IFERROR(INDEX(S02_Cleric!$BW$6:$BW$35,MATCH(Character_Spellcasting!CN27,S02_Cleric!$BY$69:$BY$98,0),1),"")&amp;IFERROR(INDEX(S03_Druid!$BW$6:$BW$35,MATCH(Character_Spellcasting!CN27,S03_Druid!$BY$69:$BY$98,0),1),"")&amp;IFERROR(INDEX(S04_EldritchKnight!$BW$6:$BW$35,MATCH(Character_Spellcasting!CN27,S04_EldritchKnight!$BY$69:$BY$98,0),1),"")&amp;IFERROR(INDEX(S05_Paladin!$BW$6:$BW$35,MATCH(Character_Spellcasting!CN27,S05_Paladin!$BY$69:$BY$98,0),1),"")&amp;IFERROR(INDEX(S06_Ranger!$BW$6:$BW$35,MATCH(Character_Spellcasting!CN27,S06_Ranger!$BY$69:$BY$988,0),1),"")&amp;IFERROR(INDEX(S07_ArcaneTrickster!$BW$6:$BW$35,MATCH(Character_Spellcasting!CN27,S07_ArcaneTrickster!$BY$69:$BY$988,0),1),"")&amp;IFERROR(INDEX(S08_Sorcerer!$BW$6:$BW$35,MATCH(Character_Spellcasting!CN27,S08_Sorcerer!$BY$69:$BY$98,0),1),"")&amp;IFERROR(INDEX(S09_Warlock!$BW$6:$BW$35,MATCH(Character_Spellcasting!CN27,S09_Warlock!$BY$69:$BY$98,0),1),"")&amp;IFERROR(INDEX(S10_Wizard!$BW$6:$BW$35,MATCH(Character_Spellcasting!CN27,S10_Wizard!$BY$69:$BY$98,0),1),"")</f>
        <v/>
      </c>
      <c r="CP27" s="1061"/>
      <c r="CQ27" s="1061"/>
      <c r="CR27" s="1061"/>
      <c r="CS27" s="1061"/>
      <c r="CT27" s="1096" t="str">
        <f>IFERROR(INDEX(S01_Bard!$BZ$69:$BZ$98,MATCH(Character_Spellcasting!CN27,S01_Bard!$D$69:$D$98,0),1),"")&amp;IFERROR(INDEX(S02_Cleric!$BZ$69:$BZ$98,MATCH(Character_Spellcasting!CN27,S02_Cleric!$BY$69:$BY$98,0),1),"")&amp;IFERROR(INDEX(S03_Druid!$BZ$69:$BZ$98,MATCH(Character_Spellcasting!CN27,S03_Druid!$BY$69:$BY$98,0),1),"")&amp;IFERROR(INDEX(S04_EldritchKnight!$BZ$69:$BZ$98,MATCH(Character_Spellcasting!CN27,S04_EldritchKnight!$BY$69:$BY$98,0),1),"")&amp;IFERROR(INDEX(S05_Paladin!$BZ$69:$BZ$98,MATCH(Character_Spellcasting!CN27,S05_Paladin!$BY$69:$BY$98,0),1),"")&amp;IFERROR(INDEX(S06_Ranger!$BZ$69:$BZ$98,MATCH(Character_Spellcasting!CN27,S06_Ranger!$BY$69:$BY$988,0),1),"")&amp;IFERROR(INDEX(S07_ArcaneTrickster!$BZ$69:$BZ$98,MATCH(Character_Spellcasting!CN27,S07_ArcaneTrickster!$BY$69:$BY$988,0),1),"")&amp;IFERROR(INDEX(S08_Sorcerer!$BZ$69:$BZ$98,MATCH(Character_Spellcasting!CN27,S08_Sorcerer!$BY$69:$BY$98,0),1),"")&amp;IFERROR(INDEX(S09_Warlock!$BZ$69:$BZ$98,MATCH(Character_Spellcasting!CN27,S09_Warlock!$BY$69:$BY$98,0),1),"")&amp;IFERROR(INDEX(S10_Wizard!$BZ$69:$BZ$98,MATCH(Character_Spellcasting!CN27,S10_Wizard!$BY$69:$BY$98,0),1),"")</f>
        <v/>
      </c>
      <c r="CU27" s="1096"/>
      <c r="CV27" s="567"/>
      <c r="CW27" s="565"/>
      <c r="CX27" s="565"/>
      <c r="CY27" s="565"/>
      <c r="CZ27" s="565"/>
      <c r="DA27" s="610">
        <v>21</v>
      </c>
      <c r="DB27" s="1061" t="str">
        <f t="shared" si="0"/>
        <v/>
      </c>
      <c r="DC27" s="1061"/>
      <c r="DD27" s="1061"/>
      <c r="DE27" s="1061"/>
      <c r="DF27" s="1061"/>
      <c r="DG27" s="1096" t="str">
        <f t="shared" si="1"/>
        <v/>
      </c>
      <c r="DH27" s="1096"/>
      <c r="DI27" s="565"/>
      <c r="DJ27" s="565"/>
      <c r="DK27" s="565"/>
      <c r="DL27" s="565"/>
      <c r="DM27" s="565"/>
      <c r="DN27" s="565"/>
      <c r="DO27" s="565"/>
      <c r="DP27" s="565"/>
      <c r="DQ27" s="565"/>
      <c r="DR27" s="565"/>
      <c r="DS27" s="565"/>
      <c r="DT27" s="565"/>
      <c r="DU27" s="565"/>
      <c r="DV27" s="565"/>
    </row>
    <row r="28" spans="1:126" ht="21" x14ac:dyDescent="0.25">
      <c r="A28" s="120"/>
      <c r="B28" s="610">
        <v>22</v>
      </c>
      <c r="C28" s="1061"/>
      <c r="D28" s="1061"/>
      <c r="E28" s="1061"/>
      <c r="F28" s="1061"/>
      <c r="G28" s="1061"/>
      <c r="H28" s="1096"/>
      <c r="I28" s="1096"/>
      <c r="J28" s="120"/>
      <c r="K28" s="120"/>
      <c r="L28" s="591">
        <v>22</v>
      </c>
      <c r="M28" s="1061" t="str">
        <f>IFERROR(INDEX(S01_Bard!$C$6:$C$35,MATCH(Character_Spellcasting!L28,S01_Bard!$E$69:$E$98,0),1),"")&amp;IFERROR(INDEX(S02_Cleric!$C$6:$C$35,MATCH(Character_Spellcasting!L28,S02_Cleric!$E$69:$E$98,0),1),"")&amp;IFERROR(INDEX(S03_Druid!$C$6:$C$35,MATCH(Character_Spellcasting!L28,S03_Druid!$E$69:$E$98,0),1),"")&amp;IFERROR(INDEX(S04_EldritchKnight!$C$6:$C$35,MATCH(Character_Spellcasting!L28,S04_EldritchKnight!$E$69:$E$98,0),1),"")&amp;IFERROR(INDEX(S05_Paladin!$C$6:$C$35,MATCH(Character_Spellcasting!L28,S05_Paladin!$E$69:$E$98,0),1),"")&amp;IFERROR(INDEX(S06_Ranger!$C$6:$C$35,MATCH(Character_Spellcasting!L28,S06_Ranger!$E$69:$E$988,0),1),"")&amp;IFERROR(INDEX(S07_ArcaneTrickster!$C$6:$C$35,MATCH(Character_Spellcasting!L28,S07_ArcaneTrickster!$E$69:$E$988,0),1),"")&amp;IFERROR(INDEX(S08_Sorcerer!$C$6:$C$35,MATCH(Character_Spellcasting!L28,S08_Sorcerer!$E$69:$E$98,0),1),"")&amp;IFERROR(INDEX(S09_Warlock!$C$6:$C$35,MATCH(Character_Spellcasting!L28,S09_Warlock!$E$69:$E$98,0),1),"")&amp;IFERROR(INDEX(S10_Wizard!$C$6:$C$35,MATCH(Character_Spellcasting!L28,S10_Wizard!$E$69:$E$98,0),1),"")</f>
        <v/>
      </c>
      <c r="N28" s="1061"/>
      <c r="O28" s="1061"/>
      <c r="P28" s="1061"/>
      <c r="Q28" s="1061"/>
      <c r="R28" s="1096" t="str">
        <f>IFERROR(INDEX(S01_Bard!$F$69:$F$98,MATCH(Character_Spellcasting!L28,S01_Bard!$D$69:$D$98,0),1),"")&amp;IFERROR(INDEX(S02_Cleric!$F$69:$F$98,MATCH(Character_Spellcasting!L28,S02_Cleric!$E$69:$E$98,0),1),"")&amp;IFERROR(INDEX(S03_Druid!$F$69:$F$98,MATCH(Character_Spellcasting!L28,S03_Druid!$E$69:$E$98,0),1),"")&amp;IFERROR(INDEX(S04_EldritchKnight!$F$69:$F$98,MATCH(Character_Spellcasting!L28,S04_EldritchKnight!$E$69:$E$98,0),1),"")&amp;IFERROR(INDEX(S05_Paladin!$F$69:$F$98,MATCH(Character_Spellcasting!L28,S05_Paladin!$E$69:$E$98,0),1),"")&amp;IFERROR(INDEX(S06_Ranger!$F$69:$F$98,MATCH(Character_Spellcasting!L28,S06_Ranger!$E$69:$E$988,0),1),"")&amp;IFERROR(INDEX(S07_ArcaneTrickster!$F$69:$F$98,MATCH(Character_Spellcasting!L28,S07_ArcaneTrickster!$E$69:$E$988,0),1),"")&amp;IFERROR(INDEX(S08_Sorcerer!$F$69:$F$98,MATCH(Character_Spellcasting!L28,S08_Sorcerer!$E$69:$E$98,0),1),"")&amp;IFERROR(INDEX(S09_Warlock!$F$69:$F$98,MATCH(Character_Spellcasting!L28,S09_Warlock!$E$69:$E$98,0),1),"")&amp;IFERROR(INDEX(S10_Wizard!$F$69:$F$98,MATCH(Character_Spellcasting!L28,S10_Wizard!$E$69:$E$98,0),1),"")</f>
        <v/>
      </c>
      <c r="S28" s="1096"/>
      <c r="T28" s="567"/>
      <c r="U28" s="565"/>
      <c r="V28" s="591">
        <v>22</v>
      </c>
      <c r="W28" s="1061" t="str">
        <f>IFERROR(INDEX(S01_Bard!$L$6:$L$35,MATCH(Character_Spellcasting!V28,S01_Bard!$N$69:$N$98,0),1),"")&amp;IFERROR(INDEX(S02_Cleric!$L$6:$L$35,MATCH(Character_Spellcasting!V28,S02_Cleric!$N$69:$N$98,0),1),"")&amp;IFERROR(INDEX(S03_Druid!$L$6:$L$35,MATCH(Character_Spellcasting!V28,S03_Druid!$N$69:$N$98,0),1),"")&amp;IFERROR(INDEX(S04_EldritchKnight!$L$6:$L$35,MATCH(Character_Spellcasting!V28,S04_EldritchKnight!$N$69:$N$98,0),1),"")&amp;IFERROR(INDEX(S05_Paladin!$L$6:$L$35,MATCH(Character_Spellcasting!V28,S05_Paladin!$N$69:$N$98,0),1),"")&amp;IFERROR(INDEX(S06_Ranger!$L$6:$L$35,MATCH(Character_Spellcasting!V28,S06_Ranger!$N$69:$N$988,0),1),"")&amp;IFERROR(INDEX(S07_ArcaneTrickster!$L$6:$L$35,MATCH(Character_Spellcasting!V28,S07_ArcaneTrickster!$N$69:$N$988,0),1),"")&amp;IFERROR(INDEX(S08_Sorcerer!$L$6:$L$35,MATCH(Character_Spellcasting!V28,S08_Sorcerer!$N$69:$N$98,0),1),"")&amp;IFERROR(INDEX(S09_Warlock!$L$6:$L$35,MATCH(Character_Spellcasting!V28,S09_Warlock!$N$69:$N$98,0),1),"")&amp;IFERROR(INDEX(S10_Wizard!$L$6:$L$35,MATCH(Character_Spellcasting!V28,S10_Wizard!$N$69:$N$98,0),1),"")</f>
        <v/>
      </c>
      <c r="X28" s="1061"/>
      <c r="Y28" s="1061"/>
      <c r="Z28" s="1061"/>
      <c r="AA28" s="1061"/>
      <c r="AB28" s="1097" t="str">
        <f>IFERROR(INDEX(S01_Bard!$O$69:$O$98,MATCH(Character_Spellcasting!V28,S01_Bard!$N$69:$N$98,0),1),"")&amp;IFERROR(INDEX(S02_Cleric!$O$69:$O$98,MATCH(Character_Spellcasting!V28,S02_Cleric!$N$69:$N$98,0),1),"")&amp;IFERROR(INDEX(S03_Druid!$O$69:$O$98,MATCH(Character_Spellcasting!V28,S03_Druid!$N$69:$N$98,0),1),"")&amp;IFERROR(INDEX(S04_EldritchKnight!$O$69:$O$98,MATCH(Character_Spellcasting!V28,S04_EldritchKnight!$N$69:$N$98,0),1),"")&amp;IFERROR(INDEX(S05_Paladin!$O$69:$O$98,MATCH(Character_Spellcasting!V28,S05_Paladin!$N$69:$N$98,0),1),"")&amp;IFERROR(INDEX(S06_Ranger!$O$69:$O$98,MATCH(Character_Spellcasting!V28,S06_Ranger!$N$69:$N$988,0),1),"")&amp;IFERROR(INDEX(S07_ArcaneTrickster!$O$69:$O$98,MATCH(Character_Spellcasting!V28,S07_ArcaneTrickster!$N$69:$N$988,0),1),"")&amp;IFERROR(INDEX(S08_Sorcerer!$O$69:$O$98,MATCH(Character_Spellcasting!V28,S08_Sorcerer!$N$69:$N$98,0),1),"")&amp;IFERROR(INDEX(S09_Warlock!$O$69:$O$98,MATCH(Character_Spellcasting!V28,S09_Warlock!$N$69:$N$98,0),1),"")&amp;IFERROR(INDEX(S10_Wizard!$O$69:$O$98,MATCH(Character_Spellcasting!V28,S10_Wizard!$N$69:$N$98,0),1),"")</f>
        <v/>
      </c>
      <c r="AC28" s="1098"/>
      <c r="AD28" s="567"/>
      <c r="AE28" s="565"/>
      <c r="AF28" s="609">
        <v>22</v>
      </c>
      <c r="AG28" s="1061" t="str">
        <f>IFERROR(INDEX(S01_Bard!$U$6:$U$35,MATCH(Character_Spellcasting!AF28,S01_Bard!$W$69:$W$98,0),1),"")&amp;IFERROR(INDEX(S02_Cleric!$U$6:$U$35,MATCH(Character_Spellcasting!AF28,S02_Cleric!$W$69:$W$98,0),1),"")&amp;IFERROR(INDEX(S03_Druid!$U$6:$U$35,MATCH(Character_Spellcasting!AF28,S03_Druid!$W$69:$W$98,0),1),"")&amp;IFERROR(INDEX(S04_EldritchKnight!$U$6:$U$35,MATCH(Character_Spellcasting!AF28,S04_EldritchKnight!$W$69:$W$98,0),1),"")&amp;IFERROR(INDEX(S05_Paladin!$U$6:$U$35,MATCH(Character_Spellcasting!AF28,S05_Paladin!$W$69:$W$98,0),1),"")&amp;IFERROR(INDEX(S06_Ranger!$U$6:$U$35,MATCH(Character_Spellcasting!AF28,S06_Ranger!$W$69:$W$988,0),1),"")&amp;IFERROR(INDEX(S07_ArcaneTrickster!$U$6:$U$35,MATCH(Character_Spellcasting!AF28,S07_ArcaneTrickster!$W$69:$W$988,0),1),"")&amp;IFERROR(INDEX(S08_Sorcerer!$U$6:$U$35,MATCH(Character_Spellcasting!AF28,S08_Sorcerer!$W$69:$W$98,0),1),"")&amp;IFERROR(INDEX(S09_Warlock!$U$6:$U$35,MATCH(Character_Spellcasting!AF28,S09_Warlock!$W$69:$W$98,0),1),"")&amp;IFERROR(INDEX(S10_Wizard!$U$6:$U$35,MATCH(Character_Spellcasting!AF28,S10_Wizard!$W$69:$W$98,0),1),"")</f>
        <v/>
      </c>
      <c r="AH28" s="1061"/>
      <c r="AI28" s="1061"/>
      <c r="AJ28" s="1061"/>
      <c r="AK28" s="1061"/>
      <c r="AL28" s="1097" t="str">
        <f>IFERROR(INDEX(S01_Bard!$X$69:$X$98,MATCH(Character_Spellcasting!AF28,S01_Bard!$W$69:$W$98,0),1),"")&amp;IFERROR(INDEX(S02_Cleric!$X$69:$X$98,MATCH(Character_Spellcasting!AF28,S02_Cleric!$W$69:$W$98,0),1),"")&amp;IFERROR(INDEX(S03_Druid!$X$69:$X$98,MATCH(Character_Spellcasting!AF28,S03_Druid!$W$69:$W$98,0),1),"")&amp;IFERROR(INDEX(S04_EldritchKnight!$X$69:$X$98,MATCH(Character_Spellcasting!AF28,S04_EldritchKnight!$W$69:$W$98,0),1),"")&amp;IFERROR(INDEX(S05_Paladin!$X$69:$X$98,MATCH(Character_Spellcasting!AF28,S05_Paladin!$W$69:$W$98,0),1),"")&amp;IFERROR(INDEX(S06_Ranger!$X$69:$X$98,MATCH(Character_Spellcasting!AF28,S06_Ranger!$W$69:$W$988,0),1),"")&amp;IFERROR(INDEX(S07_ArcaneTrickster!$X$69:$X$98,MATCH(Character_Spellcasting!AF28,S07_ArcaneTrickster!$W$69:$W$988,0),1),"")&amp;IFERROR(INDEX(S08_Sorcerer!$X$69:$X$98,MATCH(Character_Spellcasting!AF28,S08_Sorcerer!$W$69:$W$98,0),1),"")&amp;IFERROR(INDEX(S09_Warlock!$X$69:$X$98,MATCH(Character_Spellcasting!AF28,S09_Warlock!$W$69:$W$98,0),1),"")&amp;IFERROR(INDEX(S10_Wizard!$X$69:$X$98,MATCH(Character_Spellcasting!AF28,S10_Wizard!$W$69:$W$98,0),1),"")</f>
        <v/>
      </c>
      <c r="AM28" s="1098"/>
      <c r="AN28" s="567"/>
      <c r="AO28" s="565"/>
      <c r="AP28" s="591">
        <v>22</v>
      </c>
      <c r="AQ28" s="1061" t="str">
        <f>IFERROR(INDEX(S01_Bard!$AD$6:$AD$35,MATCH(Character_Spellcasting!AP28,S01_Bard!$AF$69:$AF$98,0),1),"")&amp;IFERROR(INDEX(S02_Cleric!$AD$6:$AD$35,MATCH(Character_Spellcasting!AP28,S02_Cleric!$AF$69:$AF$98,0),1),"")&amp;IFERROR(INDEX(S03_Druid!$AD$6:$AD$35,MATCH(Character_Spellcasting!AP28,S03_Druid!$AF$69:$AF$98,0),1),"")&amp;IFERROR(INDEX(S04_EldritchKnight!$AD$6:$AD$35,MATCH(Character_Spellcasting!AP28,S04_EldritchKnight!$AF$69:$AF$98,0),1),"")&amp;IFERROR(INDEX(S05_Paladin!$AD$6:$AD$35,MATCH(Character_Spellcasting!AP28,S05_Paladin!$AF$69:$AF$98,0),1),"")&amp;IFERROR(INDEX(S06_Ranger!$AD$6:$AD$35,MATCH(Character_Spellcasting!AP28,S06_Ranger!$AF$69:$AF$988,0),1),"")&amp;IFERROR(INDEX(S07_ArcaneTrickster!$AD$6:$AD$35,MATCH(Character_Spellcasting!AP28,S07_ArcaneTrickster!$AF$69:$AF$988,0),1),"")&amp;IFERROR(INDEX(S08_Sorcerer!$AD$6:$AD$35,MATCH(Character_Spellcasting!AP28,S08_Sorcerer!$AF$69:$AF$98,0),1),"")&amp;IFERROR(INDEX(S09_Warlock!$AD$6:$AD$35,MATCH(Character_Spellcasting!AP28,S09_Warlock!$AF$69:$AF$98,0),1),"")&amp;IFERROR(INDEX(S10_Wizard!$AD$6:$AD$35,MATCH(Character_Spellcasting!AP28,S10_Wizard!$AF$69:$AF$98,0),1),"")</f>
        <v/>
      </c>
      <c r="AR28" s="1061"/>
      <c r="AS28" s="1061"/>
      <c r="AT28" s="1061"/>
      <c r="AU28" s="1061"/>
      <c r="AV28" s="1096" t="str">
        <f>IFERROR(INDEX(S01_Bard!$AG$69:$AG$98,MATCH(Character_Spellcasting!AP28,S01_Bard!$D$69:$D$98,0),1),"")&amp;IFERROR(INDEX(S02_Cleric!$AG$69:$AG$98,MATCH(Character_Spellcasting!AP28,S02_Cleric!$AF$69:$AF$98,0),1),"")&amp;IFERROR(INDEX(S03_Druid!$AG$69:$AG$98,MATCH(Character_Spellcasting!AP28,S03_Druid!$AF$69:$AF$98,0),1),"")&amp;IFERROR(INDEX(S04_EldritchKnight!$AG$69:$AG$98,MATCH(Character_Spellcasting!AP28,S04_EldritchKnight!$AF$69:$AF$98,0),1),"")&amp;IFERROR(INDEX(S05_Paladin!$AG$69:$AG$98,MATCH(Character_Spellcasting!AP28,S05_Paladin!$AF$69:$AF$98,0),1),"")&amp;IFERROR(INDEX(S06_Ranger!$AG$69:$AG$98,MATCH(Character_Spellcasting!AP28,S06_Ranger!$AF$69:$AF$988,0),1),"")&amp;IFERROR(INDEX(S07_ArcaneTrickster!$AG$69:$AG$98,MATCH(Character_Spellcasting!AP28,S07_ArcaneTrickster!$AF$69:$AF$988,0),1),"")&amp;IFERROR(INDEX(S08_Sorcerer!$AG$69:$AG$98,MATCH(Character_Spellcasting!AP28,S08_Sorcerer!$AF$69:$AF$98,0),1),"")&amp;IFERROR(INDEX(S09_Warlock!$AG$69:$AG$98,MATCH(Character_Spellcasting!AP28,S09_Warlock!$AF$69:$AF$98,0),1),"")&amp;IFERROR(INDEX(S10_Wizard!$AG$69:$AG$98,MATCH(Character_Spellcasting!AP28,S10_Wizard!$AF$69:$AF$98,0),1),"")</f>
        <v/>
      </c>
      <c r="AW28" s="1096"/>
      <c r="AX28" s="567"/>
      <c r="AY28" s="565"/>
      <c r="AZ28" s="591">
        <v>22</v>
      </c>
      <c r="BA28" s="1061" t="str">
        <f>IFERROR(INDEX(S01_Bard!$AM$6:$AM$35,MATCH(Character_Spellcasting!AZ28,S01_Bard!$AO$69:$AO$98,0),1),"")&amp;IFERROR(INDEX(S02_Cleric!$AM$6:$AM$35,MATCH(Character_Spellcasting!AZ28,S02_Cleric!$AO$69:$AO$98,0),1),"")&amp;IFERROR(INDEX(S03_Druid!$AM$6:$AM$35,MATCH(Character_Spellcasting!AZ28,S03_Druid!$AO$69:$AO$98,0),1),"")&amp;IFERROR(INDEX(S04_EldritchKnight!$AM$6:$AM$35,MATCH(Character_Spellcasting!AZ28,S04_EldritchKnight!$AO$69:$AO$98,0),1),"")&amp;IFERROR(INDEX(S05_Paladin!$AM$6:$AM$35,MATCH(Character_Spellcasting!AZ28,S05_Paladin!$AO$69:$AO$98,0),1),"")&amp;IFERROR(INDEX(S06_Ranger!$AM$6:$AM$35,MATCH(Character_Spellcasting!AZ28,S06_Ranger!$AO$69:$AO$988,0),1),"")&amp;IFERROR(INDEX(S07_ArcaneTrickster!$AM$6:$AM$35,MATCH(Character_Spellcasting!AZ28,S07_ArcaneTrickster!$AO$69:$AO$988,0),1),"")&amp;IFERROR(INDEX(S08_Sorcerer!$AM$6:$AM$35,MATCH(Character_Spellcasting!AZ28,S08_Sorcerer!$AO$69:$AO$98,0),1),"")&amp;IFERROR(INDEX(S09_Warlock!$AM$6:$AM$35,MATCH(Character_Spellcasting!AZ28,S09_Warlock!$AO$69:$AO$98,0),1),"")&amp;IFERROR(INDEX(S10_Wizard!$AM$6:$AM$35,MATCH(Character_Spellcasting!AZ28,S10_Wizard!$AO$69:$AO$98,0),1),"")</f>
        <v/>
      </c>
      <c r="BB28" s="1061"/>
      <c r="BC28" s="1061"/>
      <c r="BD28" s="1061"/>
      <c r="BE28" s="1061"/>
      <c r="BF28" s="1096" t="str">
        <f>IFERROR(INDEX(S01_Bard!$AP$69:$AP$98,MATCH(Character_Spellcasting!AZ28,S01_Bard!$D$69:$D$98,0),1),"")&amp;IFERROR(INDEX(S02_Cleric!$AP$69:$AP$98,MATCH(Character_Spellcasting!AZ28,S02_Cleric!$AO$69:$AO$98,0),1),"")&amp;IFERROR(INDEX(S03_Druid!$AP$69:$AP$98,MATCH(Character_Spellcasting!AZ28,S03_Druid!$AO$69:$AO$98,0),1),"")&amp;IFERROR(INDEX(S04_EldritchKnight!$AP$69:$AP$98,MATCH(Character_Spellcasting!AZ28,S04_EldritchKnight!$AO$69:$AO$98,0),1),"")&amp;IFERROR(INDEX(S05_Paladin!$AP$69:$AP$98,MATCH(Character_Spellcasting!AZ28,S05_Paladin!$AO$69:$AO$98,0),1),"")&amp;IFERROR(INDEX(S06_Ranger!$AP$69:$AP$98,MATCH(Character_Spellcasting!AZ28,S06_Ranger!$AO$69:$AO$988,0),1),"")&amp;IFERROR(INDEX(S07_ArcaneTrickster!$AP$69:$AP$98,MATCH(Character_Spellcasting!AZ28,S07_ArcaneTrickster!$AO$69:$AO$988,0),1),"")&amp;IFERROR(INDEX(S08_Sorcerer!$AP$69:$AP$98,MATCH(Character_Spellcasting!AZ28,S08_Sorcerer!$AO$69:$AO$98,0),1),"")&amp;IFERROR(INDEX(S09_Warlock!$AP$69:$AP$98,MATCH(Character_Spellcasting!AZ28,S09_Warlock!$AO$69:$AO$98,0),1),"")&amp;IFERROR(INDEX(S10_Wizard!$AP$69:$AP$98,MATCH(Character_Spellcasting!AZ28,S10_Wizard!$AO$69:$AO$98,0),1),"")</f>
        <v/>
      </c>
      <c r="BG28" s="1096"/>
      <c r="BH28" s="567"/>
      <c r="BI28" s="120"/>
      <c r="BJ28" s="591">
        <v>22</v>
      </c>
      <c r="BK28" s="1061" t="str">
        <f>IFERROR(INDEX(S01_Bard!$AV$6:$AV$35,MATCH(Character_Spellcasting!BJ28,S01_Bard!$AX$69:$AX$98,0),1),"")&amp;IFERROR(INDEX(S02_Cleric!$AV$6:$AV$35,MATCH(Character_Spellcasting!BJ28,S02_Cleric!$AX$69:$AX$98,0),1),"")&amp;IFERROR(INDEX(S03_Druid!$AV$6:$AV$35,MATCH(Character_Spellcasting!BJ28,S03_Druid!$AX$69:$AX$98,0),1),"")&amp;IFERROR(INDEX(S04_EldritchKnight!$AV$6:$AV$35,MATCH(Character_Spellcasting!BJ28,S04_EldritchKnight!$AX$69:$AX$98,0),1),"")&amp;IFERROR(INDEX(S05_Paladin!$AV$6:$AV$35,MATCH(Character_Spellcasting!BJ28,S05_Paladin!$AX$69:$AX$98,0),1),"")&amp;IFERROR(INDEX(S06_Ranger!$AV$6:$AV$35,MATCH(Character_Spellcasting!BJ28,S06_Ranger!$AX$69:$AX$988,0),1),"")&amp;IFERROR(INDEX(S07_ArcaneTrickster!$AV$6:$AV$35,MATCH(Character_Spellcasting!BJ28,S07_ArcaneTrickster!$AX$69:$AX$988,0),1),"")&amp;IFERROR(INDEX(S08_Sorcerer!$AV$6:$AV$35,MATCH(Character_Spellcasting!BJ28,S08_Sorcerer!$AX$69:$AX$98,0),1),"")&amp;IFERROR(INDEX(S09_Warlock!$AV$6:$AV$35,MATCH(Character_Spellcasting!BJ28,S09_Warlock!$AX$69:$AX$98,0),1),"")&amp;IFERROR(INDEX(S10_Wizard!$AV$6:$AV$35,MATCH(Character_Spellcasting!BJ28,S10_Wizard!$AX$69:$AX$98,0),1),"")</f>
        <v/>
      </c>
      <c r="BL28" s="1061"/>
      <c r="BM28" s="1061"/>
      <c r="BN28" s="1061"/>
      <c r="BO28" s="1061"/>
      <c r="BP28" s="1096" t="str">
        <f>IFERROR(INDEX(S01_Bard!$AY$69:$AY$98,MATCH(Character_Spellcasting!BJ28,S01_Bard!$D$69:$D$98,0),1),"")&amp;IFERROR(INDEX(S02_Cleric!$AY$69:$AY$98,MATCH(Character_Spellcasting!BJ28,S02_Cleric!$AX$69:$AX$98,0),1),"")&amp;IFERROR(INDEX(S03_Druid!$AY$69:$AY$98,MATCH(Character_Spellcasting!BJ28,S03_Druid!$AX$69:$AX$98,0),1),"")&amp;IFERROR(INDEX(S04_EldritchKnight!$AY$69:$AY$98,MATCH(Character_Spellcasting!BJ28,S04_EldritchKnight!$AX$69:$AX$98,0),1),"")&amp;IFERROR(INDEX(S05_Paladin!$AY$69:$AY$98,MATCH(Character_Spellcasting!BJ28,S05_Paladin!$AX$69:$AX$98,0),1),"")&amp;IFERROR(INDEX(S06_Ranger!$AY$69:$AY$98,MATCH(Character_Spellcasting!BJ28,S06_Ranger!$AX$69:$AX$988,0),1),"")&amp;IFERROR(INDEX(S07_ArcaneTrickster!$AY$69:$AY$98,MATCH(Character_Spellcasting!BJ28,S07_ArcaneTrickster!$AX$69:$AX$988,0),1),"")&amp;IFERROR(INDEX(S08_Sorcerer!$AY$69:$AY$98,MATCH(Character_Spellcasting!BJ28,S08_Sorcerer!$AX$69:$AX$98,0),1),"")&amp;IFERROR(INDEX(S09_Warlock!$AY$69:$AY$98,MATCH(Character_Spellcasting!BJ28,S09_Warlock!$AX$69:$AX$98,0),1),"")&amp;IFERROR(INDEX(S10_Wizard!$AY$69:$AY$98,MATCH(Character_Spellcasting!BJ28,S10_Wizard!$AX$69:$AX$98,0),1),"")</f>
        <v/>
      </c>
      <c r="BQ28" s="1096"/>
      <c r="BR28" s="567"/>
      <c r="BS28" s="120"/>
      <c r="BT28" s="591">
        <v>22</v>
      </c>
      <c r="BU28" s="1061" t="str">
        <f>IFERROR(INDEX(S01_Bard!$BE$6:$BE$35,MATCH(Character_Spellcasting!BT28,S01_Bard!$BG$69:$BG$98,0),1),"")&amp;IFERROR(INDEX(S02_Cleric!$BE$6:$BE$35,MATCH(Character_Spellcasting!BT28,S02_Cleric!$BG$69:$BG$98,0),1),"")&amp;IFERROR(INDEX(S03_Druid!$BE$6:$BE$35,MATCH(Character_Spellcasting!BT28,S03_Druid!$BG$69:$BG$98,0),1),"")&amp;IFERROR(INDEX(S04_EldritchKnight!$BE$6:$BE$35,MATCH(Character_Spellcasting!BT28,S04_EldritchKnight!$BG$69:$BG$98,0),1),"")&amp;IFERROR(INDEX(S05_Paladin!$BE$6:$BE$35,MATCH(Character_Spellcasting!BT28,S05_Paladin!$BG$69:$BG$98,0),1),"")&amp;IFERROR(INDEX(S06_Ranger!$BE$6:$BE$35,MATCH(Character_Spellcasting!BT28,S06_Ranger!$BG$69:$BG$988,0),1),"")&amp;IFERROR(INDEX(S07_ArcaneTrickster!$BE$6:$BE$35,MATCH(Character_Spellcasting!BT28,S07_ArcaneTrickster!$BG$69:$BG$988,0),1),"")&amp;IFERROR(INDEX(S08_Sorcerer!$BE$6:$BE$35,MATCH(Character_Spellcasting!BT28,S08_Sorcerer!$BG$69:$BG$98,0),1),"")&amp;IFERROR(INDEX(S09_Warlock!$BE$6:$BE$35,MATCH(Character_Spellcasting!BT28,S09_Warlock!$BG$69:$BG$98,0),1),"")&amp;IFERROR(INDEX(S10_Wizard!$BE$6:$BE$35,MATCH(Character_Spellcasting!BT28,S10_Wizard!$BG$69:$BG$98,0),1),"")</f>
        <v/>
      </c>
      <c r="BV28" s="1061"/>
      <c r="BW28" s="1061"/>
      <c r="BX28" s="1061"/>
      <c r="BY28" s="1061"/>
      <c r="BZ28" s="1096" t="str">
        <f>IFERROR(INDEX(S01_Bard!$BH$69:$BH$98,MATCH(Character_Spellcasting!BT28,S01_Bard!$D$69:$D$98,0),1),"")&amp;IFERROR(INDEX(S02_Cleric!$BH$69:$BH$98,MATCH(Character_Spellcasting!BT28,S02_Cleric!$BG$69:$BG$98,0),1),"")&amp;IFERROR(INDEX(S03_Druid!$BH$69:$BH$98,MATCH(Character_Spellcasting!BT28,S03_Druid!$BG$69:$BG$98,0),1),"")&amp;IFERROR(INDEX(S04_EldritchKnight!$BH$69:$BH$98,MATCH(Character_Spellcasting!BT28,S04_EldritchKnight!$BG$69:$BG$98,0),1),"")&amp;IFERROR(INDEX(S05_Paladin!$BH$69:$BH$98,MATCH(Character_Spellcasting!BT28,S05_Paladin!$BG$69:$BG$98,0),1),"")&amp;IFERROR(INDEX(S06_Ranger!$BH$69:$BH$98,MATCH(Character_Spellcasting!BT28,S06_Ranger!$BG$69:$BG$988,0),1),"")&amp;IFERROR(INDEX(S07_ArcaneTrickster!$BH$69:$BH$98,MATCH(Character_Spellcasting!BT28,S07_ArcaneTrickster!$BG$69:$BG$988,0),1),"")&amp;IFERROR(INDEX(S08_Sorcerer!$BH$69:$BH$98,MATCH(Character_Spellcasting!BT28,S08_Sorcerer!$BG$69:$BG$98,0),1),"")&amp;IFERROR(INDEX(S09_Warlock!$BH$69:$BH$98,MATCH(Character_Spellcasting!BT28,S09_Warlock!$BG$69:$BG$98,0),1),"")&amp;IFERROR(INDEX(S10_Wizard!$BH$69:$BH$98,MATCH(Character_Spellcasting!BT28,S10_Wizard!$BG$69:$BG$98,0),1),"")</f>
        <v/>
      </c>
      <c r="CA28" s="1096"/>
      <c r="CB28" s="567"/>
      <c r="CC28" s="120"/>
      <c r="CD28" s="591">
        <v>22</v>
      </c>
      <c r="CE28" s="1061" t="str">
        <f>IFERROR(INDEX(S01_Bard!$BN$6:$BN$35,MATCH(Character_Spellcasting!CD28,S01_Bard!$BP$69:$BP$98,0),1),"")&amp;IFERROR(INDEX(S02_Cleric!$BN$6:$BN$35,MATCH(Character_Spellcasting!CD28,S02_Cleric!$BP$69:$BP$98,0),1),"")&amp;IFERROR(INDEX(S03_Druid!$BN$6:$BN$35,MATCH(Character_Spellcasting!CD28,S03_Druid!$BP$69:$BP$98,0),1),"")&amp;IFERROR(INDEX(S04_EldritchKnight!$BN$6:$BN$35,MATCH(Character_Spellcasting!CD28,S04_EldritchKnight!$BP$69:$BP$98,0),1),"")&amp;IFERROR(INDEX(S05_Paladin!$BN$6:$BN$35,MATCH(Character_Spellcasting!CD28,S05_Paladin!$BP$69:$BP$98,0),1),"")&amp;IFERROR(INDEX(S06_Ranger!$BN$6:$BN$35,MATCH(Character_Spellcasting!CD28,S06_Ranger!$BP$69:$BP$988,0),1),"")&amp;IFERROR(INDEX(S07_ArcaneTrickster!$BN$6:$BN$35,MATCH(Character_Spellcasting!CD28,S07_ArcaneTrickster!$BP$69:$BP$988,0),1),"")&amp;IFERROR(INDEX(S08_Sorcerer!$BN$6:$BN$35,MATCH(Character_Spellcasting!CD28,S08_Sorcerer!$BP$69:$BP$98,0),1),"")&amp;IFERROR(INDEX(S09_Warlock!$BN$6:$BN$35,MATCH(Character_Spellcasting!CD28,S09_Warlock!$BP$69:$BP$98,0),1),"")&amp;IFERROR(INDEX(S10_Wizard!$BN$6:$BN$35,MATCH(Character_Spellcasting!CD28,S10_Wizard!$BP$69:$BP$98,0),1),"")</f>
        <v/>
      </c>
      <c r="CF28" s="1061"/>
      <c r="CG28" s="1061"/>
      <c r="CH28" s="1061"/>
      <c r="CI28" s="1061"/>
      <c r="CJ28" s="1096" t="str">
        <f>IFERROR(INDEX(S01_Bard!$BQ$69:$BQ$98,MATCH(Character_Spellcasting!CD28,S01_Bard!$D$69:$D$98,0),1),"")&amp;IFERROR(INDEX(S02_Cleric!$BQ$69:$BQ$98,MATCH(Character_Spellcasting!CD28,S02_Cleric!$BP$69:$BP$98,0),1),"")&amp;IFERROR(INDEX(S03_Druid!$BQ$69:$BQ$98,MATCH(Character_Spellcasting!CD28,S03_Druid!$BP$69:$BP$98,0),1),"")&amp;IFERROR(INDEX(S04_EldritchKnight!$BQ$69:$BQ$98,MATCH(Character_Spellcasting!CD28,S04_EldritchKnight!$BP$69:$BP$98,0),1),"")&amp;IFERROR(INDEX(S05_Paladin!$BQ$69:$BQ$98,MATCH(Character_Spellcasting!CD28,S05_Paladin!$BP$69:$BP$98,0),1),"")&amp;IFERROR(INDEX(S06_Ranger!$BQ$69:$BQ$98,MATCH(Character_Spellcasting!CD28,S06_Ranger!$BP$69:$BP$988,0),1),"")&amp;IFERROR(INDEX(S07_ArcaneTrickster!$BQ$69:$BQ$98,MATCH(Character_Spellcasting!CD28,S07_ArcaneTrickster!$BP$69:$BP$988,0),1),"")&amp;IFERROR(INDEX(S08_Sorcerer!$BQ$69:$BQ$98,MATCH(Character_Spellcasting!CD28,S08_Sorcerer!$BP$69:$BP$98,0),1),"")&amp;IFERROR(INDEX(S09_Warlock!$BQ$69:$BQ$98,MATCH(Character_Spellcasting!CD28,S09_Warlock!$BP$69:$BP$98,0),1),"")&amp;IFERROR(INDEX(S10_Wizard!$BQ$69:$BQ$98,MATCH(Character_Spellcasting!CD28,S10_Wizard!$BP$69:$BP$98,0),1),"")</f>
        <v/>
      </c>
      <c r="CK28" s="1096"/>
      <c r="CL28" s="567"/>
      <c r="CM28" s="120"/>
      <c r="CN28" s="591">
        <v>22</v>
      </c>
      <c r="CO28" s="1061" t="str">
        <f>IFERROR(INDEX(S01_Bard!$BW$6:$BW$35,MATCH(Character_Spellcasting!CN28,S01_Bard!$BY$69:$BY$98,0),1),"")&amp;IFERROR(INDEX(S02_Cleric!$BW$6:$BW$35,MATCH(Character_Spellcasting!CN28,S02_Cleric!$BY$69:$BY$98,0),1),"")&amp;IFERROR(INDEX(S03_Druid!$BW$6:$BW$35,MATCH(Character_Spellcasting!CN28,S03_Druid!$BY$69:$BY$98,0),1),"")&amp;IFERROR(INDEX(S04_EldritchKnight!$BW$6:$BW$35,MATCH(Character_Spellcasting!CN28,S04_EldritchKnight!$BY$69:$BY$98,0),1),"")&amp;IFERROR(INDEX(S05_Paladin!$BW$6:$BW$35,MATCH(Character_Spellcasting!CN28,S05_Paladin!$BY$69:$BY$98,0),1),"")&amp;IFERROR(INDEX(S06_Ranger!$BW$6:$BW$35,MATCH(Character_Spellcasting!CN28,S06_Ranger!$BY$69:$BY$988,0),1),"")&amp;IFERROR(INDEX(S07_ArcaneTrickster!$BW$6:$BW$35,MATCH(Character_Spellcasting!CN28,S07_ArcaneTrickster!$BY$69:$BY$988,0),1),"")&amp;IFERROR(INDEX(S08_Sorcerer!$BW$6:$BW$35,MATCH(Character_Spellcasting!CN28,S08_Sorcerer!$BY$69:$BY$98,0),1),"")&amp;IFERROR(INDEX(S09_Warlock!$BW$6:$BW$35,MATCH(Character_Spellcasting!CN28,S09_Warlock!$BY$69:$BY$98,0),1),"")&amp;IFERROR(INDEX(S10_Wizard!$BW$6:$BW$35,MATCH(Character_Spellcasting!CN28,S10_Wizard!$BY$69:$BY$98,0),1),"")</f>
        <v/>
      </c>
      <c r="CP28" s="1061"/>
      <c r="CQ28" s="1061"/>
      <c r="CR28" s="1061"/>
      <c r="CS28" s="1061"/>
      <c r="CT28" s="1096" t="str">
        <f>IFERROR(INDEX(S01_Bard!$BZ$69:$BZ$98,MATCH(Character_Spellcasting!CN28,S01_Bard!$D$69:$D$98,0),1),"")&amp;IFERROR(INDEX(S02_Cleric!$BZ$69:$BZ$98,MATCH(Character_Spellcasting!CN28,S02_Cleric!$BY$69:$BY$98,0),1),"")&amp;IFERROR(INDEX(S03_Druid!$BZ$69:$BZ$98,MATCH(Character_Spellcasting!CN28,S03_Druid!$BY$69:$BY$98,0),1),"")&amp;IFERROR(INDEX(S04_EldritchKnight!$BZ$69:$BZ$98,MATCH(Character_Spellcasting!CN28,S04_EldritchKnight!$BY$69:$BY$98,0),1),"")&amp;IFERROR(INDEX(S05_Paladin!$BZ$69:$BZ$98,MATCH(Character_Spellcasting!CN28,S05_Paladin!$BY$69:$BY$98,0),1),"")&amp;IFERROR(INDEX(S06_Ranger!$BZ$69:$BZ$98,MATCH(Character_Spellcasting!CN28,S06_Ranger!$BY$69:$BY$988,0),1),"")&amp;IFERROR(INDEX(S07_ArcaneTrickster!$BZ$69:$BZ$98,MATCH(Character_Spellcasting!CN28,S07_ArcaneTrickster!$BY$69:$BY$988,0),1),"")&amp;IFERROR(INDEX(S08_Sorcerer!$BZ$69:$BZ$98,MATCH(Character_Spellcasting!CN28,S08_Sorcerer!$BY$69:$BY$98,0),1),"")&amp;IFERROR(INDEX(S09_Warlock!$BZ$69:$BZ$98,MATCH(Character_Spellcasting!CN28,S09_Warlock!$BY$69:$BY$98,0),1),"")&amp;IFERROR(INDEX(S10_Wizard!$BZ$69:$BZ$98,MATCH(Character_Spellcasting!CN28,S10_Wizard!$BY$69:$BY$98,0),1),"")</f>
        <v/>
      </c>
      <c r="CU28" s="1096"/>
      <c r="CV28" s="567"/>
      <c r="CW28" s="565"/>
      <c r="CX28" s="565"/>
      <c r="CY28" s="565"/>
      <c r="CZ28" s="565"/>
      <c r="DA28" s="610">
        <v>22</v>
      </c>
      <c r="DB28" s="1061" t="str">
        <f t="shared" si="0"/>
        <v/>
      </c>
      <c r="DC28" s="1061"/>
      <c r="DD28" s="1061"/>
      <c r="DE28" s="1061"/>
      <c r="DF28" s="1061"/>
      <c r="DG28" s="1096" t="str">
        <f t="shared" si="1"/>
        <v/>
      </c>
      <c r="DH28" s="1096"/>
      <c r="DI28" s="565"/>
      <c r="DJ28" s="565"/>
      <c r="DK28" s="565"/>
      <c r="DL28" s="565"/>
      <c r="DM28" s="565"/>
      <c r="DN28" s="565"/>
      <c r="DO28" s="565"/>
      <c r="DP28" s="565"/>
      <c r="DQ28" s="565"/>
      <c r="DR28" s="565"/>
      <c r="DS28" s="565"/>
      <c r="DT28" s="565"/>
      <c r="DU28" s="565"/>
      <c r="DV28" s="565"/>
    </row>
    <row r="29" spans="1:126" ht="21" x14ac:dyDescent="0.25">
      <c r="A29" s="120"/>
      <c r="B29" s="610">
        <v>23</v>
      </c>
      <c r="C29" s="1061"/>
      <c r="D29" s="1061"/>
      <c r="E29" s="1061"/>
      <c r="F29" s="1061"/>
      <c r="G29" s="1061"/>
      <c r="H29" s="1096"/>
      <c r="I29" s="1096"/>
      <c r="J29" s="120"/>
      <c r="K29" s="120"/>
      <c r="L29" s="591">
        <v>23</v>
      </c>
      <c r="M29" s="1061" t="str">
        <f>IFERROR(INDEX(S01_Bard!$C$6:$C$35,MATCH(Character_Spellcasting!L29,S01_Bard!$E$69:$E$98,0),1),"")&amp;IFERROR(INDEX(S02_Cleric!$C$6:$C$35,MATCH(Character_Spellcasting!L29,S02_Cleric!$E$69:$E$98,0),1),"")&amp;IFERROR(INDEX(S03_Druid!$C$6:$C$35,MATCH(Character_Spellcasting!L29,S03_Druid!$E$69:$E$98,0),1),"")&amp;IFERROR(INDEX(S04_EldritchKnight!$C$6:$C$35,MATCH(Character_Spellcasting!L29,S04_EldritchKnight!$E$69:$E$98,0),1),"")&amp;IFERROR(INDEX(S05_Paladin!$C$6:$C$35,MATCH(Character_Spellcasting!L29,S05_Paladin!$E$69:$E$98,0),1),"")&amp;IFERROR(INDEX(S06_Ranger!$C$6:$C$35,MATCH(Character_Spellcasting!L29,S06_Ranger!$E$69:$E$988,0),1),"")&amp;IFERROR(INDEX(S07_ArcaneTrickster!$C$6:$C$35,MATCH(Character_Spellcasting!L29,S07_ArcaneTrickster!$E$69:$E$988,0),1),"")&amp;IFERROR(INDEX(S08_Sorcerer!$C$6:$C$35,MATCH(Character_Spellcasting!L29,S08_Sorcerer!$E$69:$E$98,0),1),"")&amp;IFERROR(INDEX(S09_Warlock!$C$6:$C$35,MATCH(Character_Spellcasting!L29,S09_Warlock!$E$69:$E$98,0),1),"")&amp;IFERROR(INDEX(S10_Wizard!$C$6:$C$35,MATCH(Character_Spellcasting!L29,S10_Wizard!$E$69:$E$98,0),1),"")</f>
        <v/>
      </c>
      <c r="N29" s="1061"/>
      <c r="O29" s="1061"/>
      <c r="P29" s="1061"/>
      <c r="Q29" s="1061"/>
      <c r="R29" s="1096" t="str">
        <f>IFERROR(INDEX(S01_Bard!$F$69:$F$98,MATCH(Character_Spellcasting!L29,S01_Bard!$D$69:$D$98,0),1),"")&amp;IFERROR(INDEX(S02_Cleric!$F$69:$F$98,MATCH(Character_Spellcasting!L29,S02_Cleric!$E$69:$E$98,0),1),"")&amp;IFERROR(INDEX(S03_Druid!$F$69:$F$98,MATCH(Character_Spellcasting!L29,S03_Druid!$E$69:$E$98,0),1),"")&amp;IFERROR(INDEX(S04_EldritchKnight!$F$69:$F$98,MATCH(Character_Spellcasting!L29,S04_EldritchKnight!$E$69:$E$98,0),1),"")&amp;IFERROR(INDEX(S05_Paladin!$F$69:$F$98,MATCH(Character_Spellcasting!L29,S05_Paladin!$E$69:$E$98,0),1),"")&amp;IFERROR(INDEX(S06_Ranger!$F$69:$F$98,MATCH(Character_Spellcasting!L29,S06_Ranger!$E$69:$E$988,0),1),"")&amp;IFERROR(INDEX(S07_ArcaneTrickster!$F$69:$F$98,MATCH(Character_Spellcasting!L29,S07_ArcaneTrickster!$E$69:$E$988,0),1),"")&amp;IFERROR(INDEX(S08_Sorcerer!$F$69:$F$98,MATCH(Character_Spellcasting!L29,S08_Sorcerer!$E$69:$E$98,0),1),"")&amp;IFERROR(INDEX(S09_Warlock!$F$69:$F$98,MATCH(Character_Spellcasting!L29,S09_Warlock!$E$69:$E$98,0),1),"")&amp;IFERROR(INDEX(S10_Wizard!$F$69:$F$98,MATCH(Character_Spellcasting!L29,S10_Wizard!$E$69:$E$98,0),1),"")</f>
        <v/>
      </c>
      <c r="S29" s="1096"/>
      <c r="T29" s="567"/>
      <c r="U29" s="565"/>
      <c r="V29" s="591">
        <v>23</v>
      </c>
      <c r="W29" s="1061" t="str">
        <f>IFERROR(INDEX(S01_Bard!$L$6:$L$35,MATCH(Character_Spellcasting!V29,S01_Bard!$N$69:$N$98,0),1),"")&amp;IFERROR(INDEX(S02_Cleric!$L$6:$L$35,MATCH(Character_Spellcasting!V29,S02_Cleric!$N$69:$N$98,0),1),"")&amp;IFERROR(INDEX(S03_Druid!$L$6:$L$35,MATCH(Character_Spellcasting!V29,S03_Druid!$N$69:$N$98,0),1),"")&amp;IFERROR(INDEX(S04_EldritchKnight!$L$6:$L$35,MATCH(Character_Spellcasting!V29,S04_EldritchKnight!$N$69:$N$98,0),1),"")&amp;IFERROR(INDEX(S05_Paladin!$L$6:$L$35,MATCH(Character_Spellcasting!V29,S05_Paladin!$N$69:$N$98,0),1),"")&amp;IFERROR(INDEX(S06_Ranger!$L$6:$L$35,MATCH(Character_Spellcasting!V29,S06_Ranger!$N$69:$N$988,0),1),"")&amp;IFERROR(INDEX(S07_ArcaneTrickster!$L$6:$L$35,MATCH(Character_Spellcasting!V29,S07_ArcaneTrickster!$N$69:$N$988,0),1),"")&amp;IFERROR(INDEX(S08_Sorcerer!$L$6:$L$35,MATCH(Character_Spellcasting!V29,S08_Sorcerer!$N$69:$N$98,0),1),"")&amp;IFERROR(INDEX(S09_Warlock!$L$6:$L$35,MATCH(Character_Spellcasting!V29,S09_Warlock!$N$69:$N$98,0),1),"")&amp;IFERROR(INDEX(S10_Wizard!$L$6:$L$35,MATCH(Character_Spellcasting!V29,S10_Wizard!$N$69:$N$98,0),1),"")</f>
        <v/>
      </c>
      <c r="X29" s="1061"/>
      <c r="Y29" s="1061"/>
      <c r="Z29" s="1061"/>
      <c r="AA29" s="1061"/>
      <c r="AB29" s="1097" t="str">
        <f>IFERROR(INDEX(S01_Bard!$O$69:$O$98,MATCH(Character_Spellcasting!V29,S01_Bard!$N$69:$N$98,0),1),"")&amp;IFERROR(INDEX(S02_Cleric!$O$69:$O$98,MATCH(Character_Spellcasting!V29,S02_Cleric!$N$69:$N$98,0),1),"")&amp;IFERROR(INDEX(S03_Druid!$O$69:$O$98,MATCH(Character_Spellcasting!V29,S03_Druid!$N$69:$N$98,0),1),"")&amp;IFERROR(INDEX(S04_EldritchKnight!$O$69:$O$98,MATCH(Character_Spellcasting!V29,S04_EldritchKnight!$N$69:$N$98,0),1),"")&amp;IFERROR(INDEX(S05_Paladin!$O$69:$O$98,MATCH(Character_Spellcasting!V29,S05_Paladin!$N$69:$N$98,0),1),"")&amp;IFERROR(INDEX(S06_Ranger!$O$69:$O$98,MATCH(Character_Spellcasting!V29,S06_Ranger!$N$69:$N$988,0),1),"")&amp;IFERROR(INDEX(S07_ArcaneTrickster!$O$69:$O$98,MATCH(Character_Spellcasting!V29,S07_ArcaneTrickster!$N$69:$N$988,0),1),"")&amp;IFERROR(INDEX(S08_Sorcerer!$O$69:$O$98,MATCH(Character_Spellcasting!V29,S08_Sorcerer!$N$69:$N$98,0),1),"")&amp;IFERROR(INDEX(S09_Warlock!$O$69:$O$98,MATCH(Character_Spellcasting!V29,S09_Warlock!$N$69:$N$98,0),1),"")&amp;IFERROR(INDEX(S10_Wizard!$O$69:$O$98,MATCH(Character_Spellcasting!V29,S10_Wizard!$N$69:$N$98,0),1),"")</f>
        <v/>
      </c>
      <c r="AC29" s="1098"/>
      <c r="AD29" s="567"/>
      <c r="AE29" s="565"/>
      <c r="AF29" s="609">
        <v>23</v>
      </c>
      <c r="AG29" s="1061" t="str">
        <f>IFERROR(INDEX(S01_Bard!$U$6:$U$35,MATCH(Character_Spellcasting!AF29,S01_Bard!$W$69:$W$98,0),1),"")&amp;IFERROR(INDEX(S02_Cleric!$U$6:$U$35,MATCH(Character_Spellcasting!AF29,S02_Cleric!$W$69:$W$98,0),1),"")&amp;IFERROR(INDEX(S03_Druid!$U$6:$U$35,MATCH(Character_Spellcasting!AF29,S03_Druid!$W$69:$W$98,0),1),"")&amp;IFERROR(INDEX(S04_EldritchKnight!$U$6:$U$35,MATCH(Character_Spellcasting!AF29,S04_EldritchKnight!$W$69:$W$98,0),1),"")&amp;IFERROR(INDEX(S05_Paladin!$U$6:$U$35,MATCH(Character_Spellcasting!AF29,S05_Paladin!$W$69:$W$98,0),1),"")&amp;IFERROR(INDEX(S06_Ranger!$U$6:$U$35,MATCH(Character_Spellcasting!AF29,S06_Ranger!$W$69:$W$988,0),1),"")&amp;IFERROR(INDEX(S07_ArcaneTrickster!$U$6:$U$35,MATCH(Character_Spellcasting!AF29,S07_ArcaneTrickster!$W$69:$W$988,0),1),"")&amp;IFERROR(INDEX(S08_Sorcerer!$U$6:$U$35,MATCH(Character_Spellcasting!AF29,S08_Sorcerer!$W$69:$W$98,0),1),"")&amp;IFERROR(INDEX(S09_Warlock!$U$6:$U$35,MATCH(Character_Spellcasting!AF29,S09_Warlock!$W$69:$W$98,0),1),"")&amp;IFERROR(INDEX(S10_Wizard!$U$6:$U$35,MATCH(Character_Spellcasting!AF29,S10_Wizard!$W$69:$W$98,0),1),"")</f>
        <v/>
      </c>
      <c r="AH29" s="1061"/>
      <c r="AI29" s="1061"/>
      <c r="AJ29" s="1061"/>
      <c r="AK29" s="1061"/>
      <c r="AL29" s="1097" t="str">
        <f>IFERROR(INDEX(S01_Bard!$X$69:$X$98,MATCH(Character_Spellcasting!AF29,S01_Bard!$W$69:$W$98,0),1),"")&amp;IFERROR(INDEX(S02_Cleric!$X$69:$X$98,MATCH(Character_Spellcasting!AF29,S02_Cleric!$W$69:$W$98,0),1),"")&amp;IFERROR(INDEX(S03_Druid!$X$69:$X$98,MATCH(Character_Spellcasting!AF29,S03_Druid!$W$69:$W$98,0),1),"")&amp;IFERROR(INDEX(S04_EldritchKnight!$X$69:$X$98,MATCH(Character_Spellcasting!AF29,S04_EldritchKnight!$W$69:$W$98,0),1),"")&amp;IFERROR(INDEX(S05_Paladin!$X$69:$X$98,MATCH(Character_Spellcasting!AF29,S05_Paladin!$W$69:$W$98,0),1),"")&amp;IFERROR(INDEX(S06_Ranger!$X$69:$X$98,MATCH(Character_Spellcasting!AF29,S06_Ranger!$W$69:$W$988,0),1),"")&amp;IFERROR(INDEX(S07_ArcaneTrickster!$X$69:$X$98,MATCH(Character_Spellcasting!AF29,S07_ArcaneTrickster!$W$69:$W$988,0),1),"")&amp;IFERROR(INDEX(S08_Sorcerer!$X$69:$X$98,MATCH(Character_Spellcasting!AF29,S08_Sorcerer!$W$69:$W$98,0),1),"")&amp;IFERROR(INDEX(S09_Warlock!$X$69:$X$98,MATCH(Character_Spellcasting!AF29,S09_Warlock!$W$69:$W$98,0),1),"")&amp;IFERROR(INDEX(S10_Wizard!$X$69:$X$98,MATCH(Character_Spellcasting!AF29,S10_Wizard!$W$69:$W$98,0),1),"")</f>
        <v/>
      </c>
      <c r="AM29" s="1098"/>
      <c r="AN29" s="567"/>
      <c r="AO29" s="565"/>
      <c r="AP29" s="591">
        <v>23</v>
      </c>
      <c r="AQ29" s="1061" t="str">
        <f>IFERROR(INDEX(S01_Bard!$AD$6:$AD$35,MATCH(Character_Spellcasting!AP29,S01_Bard!$AF$69:$AF$98,0),1),"")&amp;IFERROR(INDEX(S02_Cleric!$AD$6:$AD$35,MATCH(Character_Spellcasting!AP29,S02_Cleric!$AF$69:$AF$98,0),1),"")&amp;IFERROR(INDEX(S03_Druid!$AD$6:$AD$35,MATCH(Character_Spellcasting!AP29,S03_Druid!$AF$69:$AF$98,0),1),"")&amp;IFERROR(INDEX(S04_EldritchKnight!$AD$6:$AD$35,MATCH(Character_Spellcasting!AP29,S04_EldritchKnight!$AF$69:$AF$98,0),1),"")&amp;IFERROR(INDEX(S05_Paladin!$AD$6:$AD$35,MATCH(Character_Spellcasting!AP29,S05_Paladin!$AF$69:$AF$98,0),1),"")&amp;IFERROR(INDEX(S06_Ranger!$AD$6:$AD$35,MATCH(Character_Spellcasting!AP29,S06_Ranger!$AF$69:$AF$988,0),1),"")&amp;IFERROR(INDEX(S07_ArcaneTrickster!$AD$6:$AD$35,MATCH(Character_Spellcasting!AP29,S07_ArcaneTrickster!$AF$69:$AF$988,0),1),"")&amp;IFERROR(INDEX(S08_Sorcerer!$AD$6:$AD$35,MATCH(Character_Spellcasting!AP29,S08_Sorcerer!$AF$69:$AF$98,0),1),"")&amp;IFERROR(INDEX(S09_Warlock!$AD$6:$AD$35,MATCH(Character_Spellcasting!AP29,S09_Warlock!$AF$69:$AF$98,0),1),"")&amp;IFERROR(INDEX(S10_Wizard!$AD$6:$AD$35,MATCH(Character_Spellcasting!AP29,S10_Wizard!$AF$69:$AF$98,0),1),"")</f>
        <v/>
      </c>
      <c r="AR29" s="1061"/>
      <c r="AS29" s="1061"/>
      <c r="AT29" s="1061"/>
      <c r="AU29" s="1061"/>
      <c r="AV29" s="1096" t="str">
        <f>IFERROR(INDEX(S01_Bard!$AG$69:$AG$98,MATCH(Character_Spellcasting!AP29,S01_Bard!$D$69:$D$98,0),1),"")&amp;IFERROR(INDEX(S02_Cleric!$AG$69:$AG$98,MATCH(Character_Spellcasting!AP29,S02_Cleric!$AF$69:$AF$98,0),1),"")&amp;IFERROR(INDEX(S03_Druid!$AG$69:$AG$98,MATCH(Character_Spellcasting!AP29,S03_Druid!$AF$69:$AF$98,0),1),"")&amp;IFERROR(INDEX(S04_EldritchKnight!$AG$69:$AG$98,MATCH(Character_Spellcasting!AP29,S04_EldritchKnight!$AF$69:$AF$98,0),1),"")&amp;IFERROR(INDEX(S05_Paladin!$AG$69:$AG$98,MATCH(Character_Spellcasting!AP29,S05_Paladin!$AF$69:$AF$98,0),1),"")&amp;IFERROR(INDEX(S06_Ranger!$AG$69:$AG$98,MATCH(Character_Spellcasting!AP29,S06_Ranger!$AF$69:$AF$988,0),1),"")&amp;IFERROR(INDEX(S07_ArcaneTrickster!$AG$69:$AG$98,MATCH(Character_Spellcasting!AP29,S07_ArcaneTrickster!$AF$69:$AF$988,0),1),"")&amp;IFERROR(INDEX(S08_Sorcerer!$AG$69:$AG$98,MATCH(Character_Spellcasting!AP29,S08_Sorcerer!$AF$69:$AF$98,0),1),"")&amp;IFERROR(INDEX(S09_Warlock!$AG$69:$AG$98,MATCH(Character_Spellcasting!AP29,S09_Warlock!$AF$69:$AF$98,0),1),"")&amp;IFERROR(INDEX(S10_Wizard!$AG$69:$AG$98,MATCH(Character_Spellcasting!AP29,S10_Wizard!$AF$69:$AF$98,0),1),"")</f>
        <v/>
      </c>
      <c r="AW29" s="1096"/>
      <c r="AX29" s="567"/>
      <c r="AY29" s="565"/>
      <c r="AZ29" s="591">
        <v>23</v>
      </c>
      <c r="BA29" s="1061" t="str">
        <f>IFERROR(INDEX(S01_Bard!$AM$6:$AM$35,MATCH(Character_Spellcasting!AZ29,S01_Bard!$AO$69:$AO$98,0),1),"")&amp;IFERROR(INDEX(S02_Cleric!$AM$6:$AM$35,MATCH(Character_Spellcasting!AZ29,S02_Cleric!$AO$69:$AO$98,0),1),"")&amp;IFERROR(INDEX(S03_Druid!$AM$6:$AM$35,MATCH(Character_Spellcasting!AZ29,S03_Druid!$AO$69:$AO$98,0),1),"")&amp;IFERROR(INDEX(S04_EldritchKnight!$AM$6:$AM$35,MATCH(Character_Spellcasting!AZ29,S04_EldritchKnight!$AO$69:$AO$98,0),1),"")&amp;IFERROR(INDEX(S05_Paladin!$AM$6:$AM$35,MATCH(Character_Spellcasting!AZ29,S05_Paladin!$AO$69:$AO$98,0),1),"")&amp;IFERROR(INDEX(S06_Ranger!$AM$6:$AM$35,MATCH(Character_Spellcasting!AZ29,S06_Ranger!$AO$69:$AO$988,0),1),"")&amp;IFERROR(INDEX(S07_ArcaneTrickster!$AM$6:$AM$35,MATCH(Character_Spellcasting!AZ29,S07_ArcaneTrickster!$AO$69:$AO$988,0),1),"")&amp;IFERROR(INDEX(S08_Sorcerer!$AM$6:$AM$35,MATCH(Character_Spellcasting!AZ29,S08_Sorcerer!$AO$69:$AO$98,0),1),"")&amp;IFERROR(INDEX(S09_Warlock!$AM$6:$AM$35,MATCH(Character_Spellcasting!AZ29,S09_Warlock!$AO$69:$AO$98,0),1),"")&amp;IFERROR(INDEX(S10_Wizard!$AM$6:$AM$35,MATCH(Character_Spellcasting!AZ29,S10_Wizard!$AO$69:$AO$98,0),1),"")</f>
        <v/>
      </c>
      <c r="BB29" s="1061"/>
      <c r="BC29" s="1061"/>
      <c r="BD29" s="1061"/>
      <c r="BE29" s="1061"/>
      <c r="BF29" s="1096" t="str">
        <f>IFERROR(INDEX(S01_Bard!$AP$69:$AP$98,MATCH(Character_Spellcasting!AZ29,S01_Bard!$D$69:$D$98,0),1),"")&amp;IFERROR(INDEX(S02_Cleric!$AP$69:$AP$98,MATCH(Character_Spellcasting!AZ29,S02_Cleric!$AO$69:$AO$98,0),1),"")&amp;IFERROR(INDEX(S03_Druid!$AP$69:$AP$98,MATCH(Character_Spellcasting!AZ29,S03_Druid!$AO$69:$AO$98,0),1),"")&amp;IFERROR(INDEX(S04_EldritchKnight!$AP$69:$AP$98,MATCH(Character_Spellcasting!AZ29,S04_EldritchKnight!$AO$69:$AO$98,0),1),"")&amp;IFERROR(INDEX(S05_Paladin!$AP$69:$AP$98,MATCH(Character_Spellcasting!AZ29,S05_Paladin!$AO$69:$AO$98,0),1),"")&amp;IFERROR(INDEX(S06_Ranger!$AP$69:$AP$98,MATCH(Character_Spellcasting!AZ29,S06_Ranger!$AO$69:$AO$988,0),1),"")&amp;IFERROR(INDEX(S07_ArcaneTrickster!$AP$69:$AP$98,MATCH(Character_Spellcasting!AZ29,S07_ArcaneTrickster!$AO$69:$AO$988,0),1),"")&amp;IFERROR(INDEX(S08_Sorcerer!$AP$69:$AP$98,MATCH(Character_Spellcasting!AZ29,S08_Sorcerer!$AO$69:$AO$98,0),1),"")&amp;IFERROR(INDEX(S09_Warlock!$AP$69:$AP$98,MATCH(Character_Spellcasting!AZ29,S09_Warlock!$AO$69:$AO$98,0),1),"")&amp;IFERROR(INDEX(S10_Wizard!$AP$69:$AP$98,MATCH(Character_Spellcasting!AZ29,S10_Wizard!$AO$69:$AO$98,0),1),"")</f>
        <v/>
      </c>
      <c r="BG29" s="1096"/>
      <c r="BH29" s="567"/>
      <c r="BI29" s="120"/>
      <c r="BJ29" s="591">
        <v>23</v>
      </c>
      <c r="BK29" s="1061" t="str">
        <f>IFERROR(INDEX(S01_Bard!$AV$6:$AV$35,MATCH(Character_Spellcasting!BJ29,S01_Bard!$AX$69:$AX$98,0),1),"")&amp;IFERROR(INDEX(S02_Cleric!$AV$6:$AV$35,MATCH(Character_Spellcasting!BJ29,S02_Cleric!$AX$69:$AX$98,0),1),"")&amp;IFERROR(INDEX(S03_Druid!$AV$6:$AV$35,MATCH(Character_Spellcasting!BJ29,S03_Druid!$AX$69:$AX$98,0),1),"")&amp;IFERROR(INDEX(S04_EldritchKnight!$AV$6:$AV$35,MATCH(Character_Spellcasting!BJ29,S04_EldritchKnight!$AX$69:$AX$98,0),1),"")&amp;IFERROR(INDEX(S05_Paladin!$AV$6:$AV$35,MATCH(Character_Spellcasting!BJ29,S05_Paladin!$AX$69:$AX$98,0),1),"")&amp;IFERROR(INDEX(S06_Ranger!$AV$6:$AV$35,MATCH(Character_Spellcasting!BJ29,S06_Ranger!$AX$69:$AX$988,0),1),"")&amp;IFERROR(INDEX(S07_ArcaneTrickster!$AV$6:$AV$35,MATCH(Character_Spellcasting!BJ29,S07_ArcaneTrickster!$AX$69:$AX$988,0),1),"")&amp;IFERROR(INDEX(S08_Sorcerer!$AV$6:$AV$35,MATCH(Character_Spellcasting!BJ29,S08_Sorcerer!$AX$69:$AX$98,0),1),"")&amp;IFERROR(INDEX(S09_Warlock!$AV$6:$AV$35,MATCH(Character_Spellcasting!BJ29,S09_Warlock!$AX$69:$AX$98,0),1),"")&amp;IFERROR(INDEX(S10_Wizard!$AV$6:$AV$35,MATCH(Character_Spellcasting!BJ29,S10_Wizard!$AX$69:$AX$98,0),1),"")</f>
        <v/>
      </c>
      <c r="BL29" s="1061"/>
      <c r="BM29" s="1061"/>
      <c r="BN29" s="1061"/>
      <c r="BO29" s="1061"/>
      <c r="BP29" s="1096" t="str">
        <f>IFERROR(INDEX(S01_Bard!$AY$69:$AY$98,MATCH(Character_Spellcasting!BJ29,S01_Bard!$D$69:$D$98,0),1),"")&amp;IFERROR(INDEX(S02_Cleric!$AY$69:$AY$98,MATCH(Character_Spellcasting!BJ29,S02_Cleric!$AX$69:$AX$98,0),1),"")&amp;IFERROR(INDEX(S03_Druid!$AY$69:$AY$98,MATCH(Character_Spellcasting!BJ29,S03_Druid!$AX$69:$AX$98,0),1),"")&amp;IFERROR(INDEX(S04_EldritchKnight!$AY$69:$AY$98,MATCH(Character_Spellcasting!BJ29,S04_EldritchKnight!$AX$69:$AX$98,0),1),"")&amp;IFERROR(INDEX(S05_Paladin!$AY$69:$AY$98,MATCH(Character_Spellcasting!BJ29,S05_Paladin!$AX$69:$AX$98,0),1),"")&amp;IFERROR(INDEX(S06_Ranger!$AY$69:$AY$98,MATCH(Character_Spellcasting!BJ29,S06_Ranger!$AX$69:$AX$988,0),1),"")&amp;IFERROR(INDEX(S07_ArcaneTrickster!$AY$69:$AY$98,MATCH(Character_Spellcasting!BJ29,S07_ArcaneTrickster!$AX$69:$AX$988,0),1),"")&amp;IFERROR(INDEX(S08_Sorcerer!$AY$69:$AY$98,MATCH(Character_Spellcasting!BJ29,S08_Sorcerer!$AX$69:$AX$98,0),1),"")&amp;IFERROR(INDEX(S09_Warlock!$AY$69:$AY$98,MATCH(Character_Spellcasting!BJ29,S09_Warlock!$AX$69:$AX$98,0),1),"")&amp;IFERROR(INDEX(S10_Wizard!$AY$69:$AY$98,MATCH(Character_Spellcasting!BJ29,S10_Wizard!$AX$69:$AX$98,0),1),"")</f>
        <v/>
      </c>
      <c r="BQ29" s="1096"/>
      <c r="BR29" s="567"/>
      <c r="BS29" s="120"/>
      <c r="BT29" s="591">
        <v>23</v>
      </c>
      <c r="BU29" s="1061" t="str">
        <f>IFERROR(INDEX(S01_Bard!$BE$6:$BE$35,MATCH(Character_Spellcasting!BT29,S01_Bard!$BG$69:$BG$98,0),1),"")&amp;IFERROR(INDEX(S02_Cleric!$BE$6:$BE$35,MATCH(Character_Spellcasting!BT29,S02_Cleric!$BG$69:$BG$98,0),1),"")&amp;IFERROR(INDEX(S03_Druid!$BE$6:$BE$35,MATCH(Character_Spellcasting!BT29,S03_Druid!$BG$69:$BG$98,0),1),"")&amp;IFERROR(INDEX(S04_EldritchKnight!$BE$6:$BE$35,MATCH(Character_Spellcasting!BT29,S04_EldritchKnight!$BG$69:$BG$98,0),1),"")&amp;IFERROR(INDEX(S05_Paladin!$BE$6:$BE$35,MATCH(Character_Spellcasting!BT29,S05_Paladin!$BG$69:$BG$98,0),1),"")&amp;IFERROR(INDEX(S06_Ranger!$BE$6:$BE$35,MATCH(Character_Spellcasting!BT29,S06_Ranger!$BG$69:$BG$988,0),1),"")&amp;IFERROR(INDEX(S07_ArcaneTrickster!$BE$6:$BE$35,MATCH(Character_Spellcasting!BT29,S07_ArcaneTrickster!$BG$69:$BG$988,0),1),"")&amp;IFERROR(INDEX(S08_Sorcerer!$BE$6:$BE$35,MATCH(Character_Spellcasting!BT29,S08_Sorcerer!$BG$69:$BG$98,0),1),"")&amp;IFERROR(INDEX(S09_Warlock!$BE$6:$BE$35,MATCH(Character_Spellcasting!BT29,S09_Warlock!$BG$69:$BG$98,0),1),"")&amp;IFERROR(INDEX(S10_Wizard!$BE$6:$BE$35,MATCH(Character_Spellcasting!BT29,S10_Wizard!$BG$69:$BG$98,0),1),"")</f>
        <v/>
      </c>
      <c r="BV29" s="1061"/>
      <c r="BW29" s="1061"/>
      <c r="BX29" s="1061"/>
      <c r="BY29" s="1061"/>
      <c r="BZ29" s="1096" t="str">
        <f>IFERROR(INDEX(S01_Bard!$BH$69:$BH$98,MATCH(Character_Spellcasting!BT29,S01_Bard!$D$69:$D$98,0),1),"")&amp;IFERROR(INDEX(S02_Cleric!$BH$69:$BH$98,MATCH(Character_Spellcasting!BT29,S02_Cleric!$BG$69:$BG$98,0),1),"")&amp;IFERROR(INDEX(S03_Druid!$BH$69:$BH$98,MATCH(Character_Spellcasting!BT29,S03_Druid!$BG$69:$BG$98,0),1),"")&amp;IFERROR(INDEX(S04_EldritchKnight!$BH$69:$BH$98,MATCH(Character_Spellcasting!BT29,S04_EldritchKnight!$BG$69:$BG$98,0),1),"")&amp;IFERROR(INDEX(S05_Paladin!$BH$69:$BH$98,MATCH(Character_Spellcasting!BT29,S05_Paladin!$BG$69:$BG$98,0),1),"")&amp;IFERROR(INDEX(S06_Ranger!$BH$69:$BH$98,MATCH(Character_Spellcasting!BT29,S06_Ranger!$BG$69:$BG$988,0),1),"")&amp;IFERROR(INDEX(S07_ArcaneTrickster!$BH$69:$BH$98,MATCH(Character_Spellcasting!BT29,S07_ArcaneTrickster!$BG$69:$BG$988,0),1),"")&amp;IFERROR(INDEX(S08_Sorcerer!$BH$69:$BH$98,MATCH(Character_Spellcasting!BT29,S08_Sorcerer!$BG$69:$BG$98,0),1),"")&amp;IFERROR(INDEX(S09_Warlock!$BH$69:$BH$98,MATCH(Character_Spellcasting!BT29,S09_Warlock!$BG$69:$BG$98,0),1),"")&amp;IFERROR(INDEX(S10_Wizard!$BH$69:$BH$98,MATCH(Character_Spellcasting!BT29,S10_Wizard!$BG$69:$BG$98,0),1),"")</f>
        <v/>
      </c>
      <c r="CA29" s="1096"/>
      <c r="CB29" s="567"/>
      <c r="CC29" s="120"/>
      <c r="CD29" s="591">
        <v>23</v>
      </c>
      <c r="CE29" s="1061" t="str">
        <f>IFERROR(INDEX(S01_Bard!$BN$6:$BN$35,MATCH(Character_Spellcasting!CD29,S01_Bard!$BP$69:$BP$98,0),1),"")&amp;IFERROR(INDEX(S02_Cleric!$BN$6:$BN$35,MATCH(Character_Spellcasting!CD29,S02_Cleric!$BP$69:$BP$98,0),1),"")&amp;IFERROR(INDEX(S03_Druid!$BN$6:$BN$35,MATCH(Character_Spellcasting!CD29,S03_Druid!$BP$69:$BP$98,0),1),"")&amp;IFERROR(INDEX(S04_EldritchKnight!$BN$6:$BN$35,MATCH(Character_Spellcasting!CD29,S04_EldritchKnight!$BP$69:$BP$98,0),1),"")&amp;IFERROR(INDEX(S05_Paladin!$BN$6:$BN$35,MATCH(Character_Spellcasting!CD29,S05_Paladin!$BP$69:$BP$98,0),1),"")&amp;IFERROR(INDEX(S06_Ranger!$BN$6:$BN$35,MATCH(Character_Spellcasting!CD29,S06_Ranger!$BP$69:$BP$988,0),1),"")&amp;IFERROR(INDEX(S07_ArcaneTrickster!$BN$6:$BN$35,MATCH(Character_Spellcasting!CD29,S07_ArcaneTrickster!$BP$69:$BP$988,0),1),"")&amp;IFERROR(INDEX(S08_Sorcerer!$BN$6:$BN$35,MATCH(Character_Spellcasting!CD29,S08_Sorcerer!$BP$69:$BP$98,0),1),"")&amp;IFERROR(INDEX(S09_Warlock!$BN$6:$BN$35,MATCH(Character_Spellcasting!CD29,S09_Warlock!$BP$69:$BP$98,0),1),"")&amp;IFERROR(INDEX(S10_Wizard!$BN$6:$BN$35,MATCH(Character_Spellcasting!CD29,S10_Wizard!$BP$69:$BP$98,0),1),"")</f>
        <v/>
      </c>
      <c r="CF29" s="1061"/>
      <c r="CG29" s="1061"/>
      <c r="CH29" s="1061"/>
      <c r="CI29" s="1061"/>
      <c r="CJ29" s="1096" t="str">
        <f>IFERROR(INDEX(S01_Bard!$BQ$69:$BQ$98,MATCH(Character_Spellcasting!CD29,S01_Bard!$D$69:$D$98,0),1),"")&amp;IFERROR(INDEX(S02_Cleric!$BQ$69:$BQ$98,MATCH(Character_Spellcasting!CD29,S02_Cleric!$BP$69:$BP$98,0),1),"")&amp;IFERROR(INDEX(S03_Druid!$BQ$69:$BQ$98,MATCH(Character_Spellcasting!CD29,S03_Druid!$BP$69:$BP$98,0),1),"")&amp;IFERROR(INDEX(S04_EldritchKnight!$BQ$69:$BQ$98,MATCH(Character_Spellcasting!CD29,S04_EldritchKnight!$BP$69:$BP$98,0),1),"")&amp;IFERROR(INDEX(S05_Paladin!$BQ$69:$BQ$98,MATCH(Character_Spellcasting!CD29,S05_Paladin!$BP$69:$BP$98,0),1),"")&amp;IFERROR(INDEX(S06_Ranger!$BQ$69:$BQ$98,MATCH(Character_Spellcasting!CD29,S06_Ranger!$BP$69:$BP$988,0),1),"")&amp;IFERROR(INDEX(S07_ArcaneTrickster!$BQ$69:$BQ$98,MATCH(Character_Spellcasting!CD29,S07_ArcaneTrickster!$BP$69:$BP$988,0),1),"")&amp;IFERROR(INDEX(S08_Sorcerer!$BQ$69:$BQ$98,MATCH(Character_Spellcasting!CD29,S08_Sorcerer!$BP$69:$BP$98,0),1),"")&amp;IFERROR(INDEX(S09_Warlock!$BQ$69:$BQ$98,MATCH(Character_Spellcasting!CD29,S09_Warlock!$BP$69:$BP$98,0),1),"")&amp;IFERROR(INDEX(S10_Wizard!$BQ$69:$BQ$98,MATCH(Character_Spellcasting!CD29,S10_Wizard!$BP$69:$BP$98,0),1),"")</f>
        <v/>
      </c>
      <c r="CK29" s="1096"/>
      <c r="CL29" s="567"/>
      <c r="CM29" s="120"/>
      <c r="CN29" s="591">
        <v>23</v>
      </c>
      <c r="CO29" s="1061" t="str">
        <f>IFERROR(INDEX(S01_Bard!$BW$6:$BW$35,MATCH(Character_Spellcasting!CN29,S01_Bard!$BY$69:$BY$98,0),1),"")&amp;IFERROR(INDEX(S02_Cleric!$BW$6:$BW$35,MATCH(Character_Spellcasting!CN29,S02_Cleric!$BY$69:$BY$98,0),1),"")&amp;IFERROR(INDEX(S03_Druid!$BW$6:$BW$35,MATCH(Character_Spellcasting!CN29,S03_Druid!$BY$69:$BY$98,0),1),"")&amp;IFERROR(INDEX(S04_EldritchKnight!$BW$6:$BW$35,MATCH(Character_Spellcasting!CN29,S04_EldritchKnight!$BY$69:$BY$98,0),1),"")&amp;IFERROR(INDEX(S05_Paladin!$BW$6:$BW$35,MATCH(Character_Spellcasting!CN29,S05_Paladin!$BY$69:$BY$98,0),1),"")&amp;IFERROR(INDEX(S06_Ranger!$BW$6:$BW$35,MATCH(Character_Spellcasting!CN29,S06_Ranger!$BY$69:$BY$988,0),1),"")&amp;IFERROR(INDEX(S07_ArcaneTrickster!$BW$6:$BW$35,MATCH(Character_Spellcasting!CN29,S07_ArcaneTrickster!$BY$69:$BY$988,0),1),"")&amp;IFERROR(INDEX(S08_Sorcerer!$BW$6:$BW$35,MATCH(Character_Spellcasting!CN29,S08_Sorcerer!$BY$69:$BY$98,0),1),"")&amp;IFERROR(INDEX(S09_Warlock!$BW$6:$BW$35,MATCH(Character_Spellcasting!CN29,S09_Warlock!$BY$69:$BY$98,0),1),"")&amp;IFERROR(INDEX(S10_Wizard!$BW$6:$BW$35,MATCH(Character_Spellcasting!CN29,S10_Wizard!$BY$69:$BY$98,0),1),"")</f>
        <v/>
      </c>
      <c r="CP29" s="1061"/>
      <c r="CQ29" s="1061"/>
      <c r="CR29" s="1061"/>
      <c r="CS29" s="1061"/>
      <c r="CT29" s="1096" t="str">
        <f>IFERROR(INDEX(S01_Bard!$BZ$69:$BZ$98,MATCH(Character_Spellcasting!CN29,S01_Bard!$D$69:$D$98,0),1),"")&amp;IFERROR(INDEX(S02_Cleric!$BZ$69:$BZ$98,MATCH(Character_Spellcasting!CN29,S02_Cleric!$BY$69:$BY$98,0),1),"")&amp;IFERROR(INDEX(S03_Druid!$BZ$69:$BZ$98,MATCH(Character_Spellcasting!CN29,S03_Druid!$BY$69:$BY$98,0),1),"")&amp;IFERROR(INDEX(S04_EldritchKnight!$BZ$69:$BZ$98,MATCH(Character_Spellcasting!CN29,S04_EldritchKnight!$BY$69:$BY$98,0),1),"")&amp;IFERROR(INDEX(S05_Paladin!$BZ$69:$BZ$98,MATCH(Character_Spellcasting!CN29,S05_Paladin!$BY$69:$BY$98,0),1),"")&amp;IFERROR(INDEX(S06_Ranger!$BZ$69:$BZ$98,MATCH(Character_Spellcasting!CN29,S06_Ranger!$BY$69:$BY$988,0),1),"")&amp;IFERROR(INDEX(S07_ArcaneTrickster!$BZ$69:$BZ$98,MATCH(Character_Spellcasting!CN29,S07_ArcaneTrickster!$BY$69:$BY$988,0),1),"")&amp;IFERROR(INDEX(S08_Sorcerer!$BZ$69:$BZ$98,MATCH(Character_Spellcasting!CN29,S08_Sorcerer!$BY$69:$BY$98,0),1),"")&amp;IFERROR(INDEX(S09_Warlock!$BZ$69:$BZ$98,MATCH(Character_Spellcasting!CN29,S09_Warlock!$BY$69:$BY$98,0),1),"")&amp;IFERROR(INDEX(S10_Wizard!$BZ$69:$BZ$98,MATCH(Character_Spellcasting!CN29,S10_Wizard!$BY$69:$BY$98,0),1),"")</f>
        <v/>
      </c>
      <c r="CU29" s="1096"/>
      <c r="CV29" s="567"/>
      <c r="CW29" s="565"/>
      <c r="CX29" s="565"/>
      <c r="CY29" s="565"/>
      <c r="CZ29" s="565"/>
      <c r="DA29" s="610">
        <v>23</v>
      </c>
      <c r="DB29" s="1061" t="str">
        <f t="shared" si="0"/>
        <v/>
      </c>
      <c r="DC29" s="1061"/>
      <c r="DD29" s="1061"/>
      <c r="DE29" s="1061"/>
      <c r="DF29" s="1061"/>
      <c r="DG29" s="1096" t="str">
        <f t="shared" si="1"/>
        <v/>
      </c>
      <c r="DH29" s="1096"/>
      <c r="DI29" s="565"/>
      <c r="DJ29" s="565"/>
      <c r="DK29" s="565"/>
      <c r="DL29" s="565"/>
      <c r="DM29" s="565"/>
      <c r="DN29" s="565"/>
      <c r="DO29" s="565"/>
      <c r="DP29" s="565"/>
      <c r="DQ29" s="565"/>
      <c r="DR29" s="565"/>
      <c r="DS29" s="565"/>
      <c r="DT29" s="565"/>
      <c r="DU29" s="565"/>
      <c r="DV29" s="565"/>
    </row>
    <row r="30" spans="1:126" ht="21" x14ac:dyDescent="0.25">
      <c r="A30" s="120"/>
      <c r="B30" s="610">
        <v>24</v>
      </c>
      <c r="C30" s="1061"/>
      <c r="D30" s="1061"/>
      <c r="E30" s="1061"/>
      <c r="F30" s="1061"/>
      <c r="G30" s="1061"/>
      <c r="H30" s="1096"/>
      <c r="I30" s="1096"/>
      <c r="J30" s="120"/>
      <c r="K30" s="120"/>
      <c r="L30" s="591">
        <v>24</v>
      </c>
      <c r="M30" s="1061" t="str">
        <f>IFERROR(INDEX(S01_Bard!$C$6:$C$35,MATCH(Character_Spellcasting!L30,S01_Bard!$E$69:$E$98,0),1),"")&amp;IFERROR(INDEX(S02_Cleric!$C$6:$C$35,MATCH(Character_Spellcasting!L30,S02_Cleric!$E$69:$E$98,0),1),"")&amp;IFERROR(INDEX(S03_Druid!$C$6:$C$35,MATCH(Character_Spellcasting!L30,S03_Druid!$E$69:$E$98,0),1),"")&amp;IFERROR(INDEX(S04_EldritchKnight!$C$6:$C$35,MATCH(Character_Spellcasting!L30,S04_EldritchKnight!$E$69:$E$98,0),1),"")&amp;IFERROR(INDEX(S05_Paladin!$C$6:$C$35,MATCH(Character_Spellcasting!L30,S05_Paladin!$E$69:$E$98,0),1),"")&amp;IFERROR(INDEX(S06_Ranger!$C$6:$C$35,MATCH(Character_Spellcasting!L30,S06_Ranger!$E$69:$E$988,0),1),"")&amp;IFERROR(INDEX(S07_ArcaneTrickster!$C$6:$C$35,MATCH(Character_Spellcasting!L30,S07_ArcaneTrickster!$E$69:$E$988,0),1),"")&amp;IFERROR(INDEX(S08_Sorcerer!$C$6:$C$35,MATCH(Character_Spellcasting!L30,S08_Sorcerer!$E$69:$E$98,0),1),"")&amp;IFERROR(INDEX(S09_Warlock!$C$6:$C$35,MATCH(Character_Spellcasting!L30,S09_Warlock!$E$69:$E$98,0),1),"")&amp;IFERROR(INDEX(S10_Wizard!$C$6:$C$35,MATCH(Character_Spellcasting!L30,S10_Wizard!$E$69:$E$98,0),1),"")</f>
        <v/>
      </c>
      <c r="N30" s="1061"/>
      <c r="O30" s="1061"/>
      <c r="P30" s="1061"/>
      <c r="Q30" s="1061"/>
      <c r="R30" s="1096" t="str">
        <f>IFERROR(INDEX(S01_Bard!$F$69:$F$98,MATCH(Character_Spellcasting!L30,S01_Bard!$D$69:$D$98,0),1),"")&amp;IFERROR(INDEX(S02_Cleric!$F$69:$F$98,MATCH(Character_Spellcasting!L30,S02_Cleric!$E$69:$E$98,0),1),"")&amp;IFERROR(INDEX(S03_Druid!$F$69:$F$98,MATCH(Character_Spellcasting!L30,S03_Druid!$E$69:$E$98,0),1),"")&amp;IFERROR(INDEX(S04_EldritchKnight!$F$69:$F$98,MATCH(Character_Spellcasting!L30,S04_EldritchKnight!$E$69:$E$98,0),1),"")&amp;IFERROR(INDEX(S05_Paladin!$F$69:$F$98,MATCH(Character_Spellcasting!L30,S05_Paladin!$E$69:$E$98,0),1),"")&amp;IFERROR(INDEX(S06_Ranger!$F$69:$F$98,MATCH(Character_Spellcasting!L30,S06_Ranger!$E$69:$E$988,0),1),"")&amp;IFERROR(INDEX(S07_ArcaneTrickster!$F$69:$F$98,MATCH(Character_Spellcasting!L30,S07_ArcaneTrickster!$E$69:$E$988,0),1),"")&amp;IFERROR(INDEX(S08_Sorcerer!$F$69:$F$98,MATCH(Character_Spellcasting!L30,S08_Sorcerer!$E$69:$E$98,0),1),"")&amp;IFERROR(INDEX(S09_Warlock!$F$69:$F$98,MATCH(Character_Spellcasting!L30,S09_Warlock!$E$69:$E$98,0),1),"")&amp;IFERROR(INDEX(S10_Wizard!$F$69:$F$98,MATCH(Character_Spellcasting!L30,S10_Wizard!$E$69:$E$98,0),1),"")</f>
        <v/>
      </c>
      <c r="S30" s="1096"/>
      <c r="T30" s="567"/>
      <c r="U30" s="565"/>
      <c r="V30" s="591">
        <v>24</v>
      </c>
      <c r="W30" s="1061" t="str">
        <f>IFERROR(INDEX(S01_Bard!$L$6:$L$35,MATCH(Character_Spellcasting!V30,S01_Bard!$N$69:$N$98,0),1),"")&amp;IFERROR(INDEX(S02_Cleric!$L$6:$L$35,MATCH(Character_Spellcasting!V30,S02_Cleric!$N$69:$N$98,0),1),"")&amp;IFERROR(INDEX(S03_Druid!$L$6:$L$35,MATCH(Character_Spellcasting!V30,S03_Druid!$N$69:$N$98,0),1),"")&amp;IFERROR(INDEX(S04_EldritchKnight!$L$6:$L$35,MATCH(Character_Spellcasting!V30,S04_EldritchKnight!$N$69:$N$98,0),1),"")&amp;IFERROR(INDEX(S05_Paladin!$L$6:$L$35,MATCH(Character_Spellcasting!V30,S05_Paladin!$N$69:$N$98,0),1),"")&amp;IFERROR(INDEX(S06_Ranger!$L$6:$L$35,MATCH(Character_Spellcasting!V30,S06_Ranger!$N$69:$N$988,0),1),"")&amp;IFERROR(INDEX(S07_ArcaneTrickster!$L$6:$L$35,MATCH(Character_Spellcasting!V30,S07_ArcaneTrickster!$N$69:$N$988,0),1),"")&amp;IFERROR(INDEX(S08_Sorcerer!$L$6:$L$35,MATCH(Character_Spellcasting!V30,S08_Sorcerer!$N$69:$N$98,0),1),"")&amp;IFERROR(INDEX(S09_Warlock!$L$6:$L$35,MATCH(Character_Spellcasting!V30,S09_Warlock!$N$69:$N$98,0),1),"")&amp;IFERROR(INDEX(S10_Wizard!$L$6:$L$35,MATCH(Character_Spellcasting!V30,S10_Wizard!$N$69:$N$98,0),1),"")</f>
        <v/>
      </c>
      <c r="X30" s="1061"/>
      <c r="Y30" s="1061"/>
      <c r="Z30" s="1061"/>
      <c r="AA30" s="1061"/>
      <c r="AB30" s="1097" t="str">
        <f>IFERROR(INDEX(S01_Bard!$O$69:$O$98,MATCH(Character_Spellcasting!V30,S01_Bard!$N$69:$N$98,0),1),"")&amp;IFERROR(INDEX(S02_Cleric!$O$69:$O$98,MATCH(Character_Spellcasting!V30,S02_Cleric!$N$69:$N$98,0),1),"")&amp;IFERROR(INDEX(S03_Druid!$O$69:$O$98,MATCH(Character_Spellcasting!V30,S03_Druid!$N$69:$N$98,0),1),"")&amp;IFERROR(INDEX(S04_EldritchKnight!$O$69:$O$98,MATCH(Character_Spellcasting!V30,S04_EldritchKnight!$N$69:$N$98,0),1),"")&amp;IFERROR(INDEX(S05_Paladin!$O$69:$O$98,MATCH(Character_Spellcasting!V30,S05_Paladin!$N$69:$N$98,0),1),"")&amp;IFERROR(INDEX(S06_Ranger!$O$69:$O$98,MATCH(Character_Spellcasting!V30,S06_Ranger!$N$69:$N$988,0),1),"")&amp;IFERROR(INDEX(S07_ArcaneTrickster!$O$69:$O$98,MATCH(Character_Spellcasting!V30,S07_ArcaneTrickster!$N$69:$N$988,0),1),"")&amp;IFERROR(INDEX(S08_Sorcerer!$O$69:$O$98,MATCH(Character_Spellcasting!V30,S08_Sorcerer!$N$69:$N$98,0),1),"")&amp;IFERROR(INDEX(S09_Warlock!$O$69:$O$98,MATCH(Character_Spellcasting!V30,S09_Warlock!$N$69:$N$98,0),1),"")&amp;IFERROR(INDEX(S10_Wizard!$O$69:$O$98,MATCH(Character_Spellcasting!V30,S10_Wizard!$N$69:$N$98,0),1),"")</f>
        <v/>
      </c>
      <c r="AC30" s="1098"/>
      <c r="AD30" s="567"/>
      <c r="AE30" s="565"/>
      <c r="AF30" s="609">
        <v>24</v>
      </c>
      <c r="AG30" s="1061" t="str">
        <f>IFERROR(INDEX(S01_Bard!$U$6:$U$35,MATCH(Character_Spellcasting!AF30,S01_Bard!$W$69:$W$98,0),1),"")&amp;IFERROR(INDEX(S02_Cleric!$U$6:$U$35,MATCH(Character_Spellcasting!AF30,S02_Cleric!$W$69:$W$98,0),1),"")&amp;IFERROR(INDEX(S03_Druid!$U$6:$U$35,MATCH(Character_Spellcasting!AF30,S03_Druid!$W$69:$W$98,0),1),"")&amp;IFERROR(INDEX(S04_EldritchKnight!$U$6:$U$35,MATCH(Character_Spellcasting!AF30,S04_EldritchKnight!$W$69:$W$98,0),1),"")&amp;IFERROR(INDEX(S05_Paladin!$U$6:$U$35,MATCH(Character_Spellcasting!AF30,S05_Paladin!$W$69:$W$98,0),1),"")&amp;IFERROR(INDEX(S06_Ranger!$U$6:$U$35,MATCH(Character_Spellcasting!AF30,S06_Ranger!$W$69:$W$988,0),1),"")&amp;IFERROR(INDEX(S07_ArcaneTrickster!$U$6:$U$35,MATCH(Character_Spellcasting!AF30,S07_ArcaneTrickster!$W$69:$W$988,0),1),"")&amp;IFERROR(INDEX(S08_Sorcerer!$U$6:$U$35,MATCH(Character_Spellcasting!AF30,S08_Sorcerer!$W$69:$W$98,0),1),"")&amp;IFERROR(INDEX(S09_Warlock!$U$6:$U$35,MATCH(Character_Spellcasting!AF30,S09_Warlock!$W$69:$W$98,0),1),"")&amp;IFERROR(INDEX(S10_Wizard!$U$6:$U$35,MATCH(Character_Spellcasting!AF30,S10_Wizard!$W$69:$W$98,0),1),"")</f>
        <v/>
      </c>
      <c r="AH30" s="1061"/>
      <c r="AI30" s="1061"/>
      <c r="AJ30" s="1061"/>
      <c r="AK30" s="1061"/>
      <c r="AL30" s="1097" t="str">
        <f>IFERROR(INDEX(S01_Bard!$X$69:$X$98,MATCH(Character_Spellcasting!AF30,S01_Bard!$W$69:$W$98,0),1),"")&amp;IFERROR(INDEX(S02_Cleric!$X$69:$X$98,MATCH(Character_Spellcasting!AF30,S02_Cleric!$W$69:$W$98,0),1),"")&amp;IFERROR(INDEX(S03_Druid!$X$69:$X$98,MATCH(Character_Spellcasting!AF30,S03_Druid!$W$69:$W$98,0),1),"")&amp;IFERROR(INDEX(S04_EldritchKnight!$X$69:$X$98,MATCH(Character_Spellcasting!AF30,S04_EldritchKnight!$W$69:$W$98,0),1),"")&amp;IFERROR(INDEX(S05_Paladin!$X$69:$X$98,MATCH(Character_Spellcasting!AF30,S05_Paladin!$W$69:$W$98,0),1),"")&amp;IFERROR(INDEX(S06_Ranger!$X$69:$X$98,MATCH(Character_Spellcasting!AF30,S06_Ranger!$W$69:$W$988,0),1),"")&amp;IFERROR(INDEX(S07_ArcaneTrickster!$X$69:$X$98,MATCH(Character_Spellcasting!AF30,S07_ArcaneTrickster!$W$69:$W$988,0),1),"")&amp;IFERROR(INDEX(S08_Sorcerer!$X$69:$X$98,MATCH(Character_Spellcasting!AF30,S08_Sorcerer!$W$69:$W$98,0),1),"")&amp;IFERROR(INDEX(S09_Warlock!$X$69:$X$98,MATCH(Character_Spellcasting!AF30,S09_Warlock!$W$69:$W$98,0),1),"")&amp;IFERROR(INDEX(S10_Wizard!$X$69:$X$98,MATCH(Character_Spellcasting!AF30,S10_Wizard!$W$69:$W$98,0),1),"")</f>
        <v/>
      </c>
      <c r="AM30" s="1098"/>
      <c r="AN30" s="567"/>
      <c r="AO30" s="565"/>
      <c r="AP30" s="591">
        <v>24</v>
      </c>
      <c r="AQ30" s="1061" t="str">
        <f>IFERROR(INDEX(S01_Bard!$AD$6:$AD$35,MATCH(Character_Spellcasting!AP30,S01_Bard!$AF$69:$AF$98,0),1),"")&amp;IFERROR(INDEX(S02_Cleric!$AD$6:$AD$35,MATCH(Character_Spellcasting!AP30,S02_Cleric!$AF$69:$AF$98,0),1),"")&amp;IFERROR(INDEX(S03_Druid!$AD$6:$AD$35,MATCH(Character_Spellcasting!AP30,S03_Druid!$AF$69:$AF$98,0),1),"")&amp;IFERROR(INDEX(S04_EldritchKnight!$AD$6:$AD$35,MATCH(Character_Spellcasting!AP30,S04_EldritchKnight!$AF$69:$AF$98,0),1),"")&amp;IFERROR(INDEX(S05_Paladin!$AD$6:$AD$35,MATCH(Character_Spellcasting!AP30,S05_Paladin!$AF$69:$AF$98,0),1),"")&amp;IFERROR(INDEX(S06_Ranger!$AD$6:$AD$35,MATCH(Character_Spellcasting!AP30,S06_Ranger!$AF$69:$AF$988,0),1),"")&amp;IFERROR(INDEX(S07_ArcaneTrickster!$AD$6:$AD$35,MATCH(Character_Spellcasting!AP30,S07_ArcaneTrickster!$AF$69:$AF$988,0),1),"")&amp;IFERROR(INDEX(S08_Sorcerer!$AD$6:$AD$35,MATCH(Character_Spellcasting!AP30,S08_Sorcerer!$AF$69:$AF$98,0),1),"")&amp;IFERROR(INDEX(S09_Warlock!$AD$6:$AD$35,MATCH(Character_Spellcasting!AP30,S09_Warlock!$AF$69:$AF$98,0),1),"")&amp;IFERROR(INDEX(S10_Wizard!$AD$6:$AD$35,MATCH(Character_Spellcasting!AP30,S10_Wizard!$AF$69:$AF$98,0),1),"")</f>
        <v/>
      </c>
      <c r="AR30" s="1061"/>
      <c r="AS30" s="1061"/>
      <c r="AT30" s="1061"/>
      <c r="AU30" s="1061"/>
      <c r="AV30" s="1096" t="str">
        <f>IFERROR(INDEX(S01_Bard!$AG$69:$AG$98,MATCH(Character_Spellcasting!AP30,S01_Bard!$D$69:$D$98,0),1),"")&amp;IFERROR(INDEX(S02_Cleric!$AG$69:$AG$98,MATCH(Character_Spellcasting!AP30,S02_Cleric!$AF$69:$AF$98,0),1),"")&amp;IFERROR(INDEX(S03_Druid!$AG$69:$AG$98,MATCH(Character_Spellcasting!AP30,S03_Druid!$AF$69:$AF$98,0),1),"")&amp;IFERROR(INDEX(S04_EldritchKnight!$AG$69:$AG$98,MATCH(Character_Spellcasting!AP30,S04_EldritchKnight!$AF$69:$AF$98,0),1),"")&amp;IFERROR(INDEX(S05_Paladin!$AG$69:$AG$98,MATCH(Character_Spellcasting!AP30,S05_Paladin!$AF$69:$AF$98,0),1),"")&amp;IFERROR(INDEX(S06_Ranger!$AG$69:$AG$98,MATCH(Character_Spellcasting!AP30,S06_Ranger!$AF$69:$AF$988,0),1),"")&amp;IFERROR(INDEX(S07_ArcaneTrickster!$AG$69:$AG$98,MATCH(Character_Spellcasting!AP30,S07_ArcaneTrickster!$AF$69:$AF$988,0),1),"")&amp;IFERROR(INDEX(S08_Sorcerer!$AG$69:$AG$98,MATCH(Character_Spellcasting!AP30,S08_Sorcerer!$AF$69:$AF$98,0),1),"")&amp;IFERROR(INDEX(S09_Warlock!$AG$69:$AG$98,MATCH(Character_Spellcasting!AP30,S09_Warlock!$AF$69:$AF$98,0),1),"")&amp;IFERROR(INDEX(S10_Wizard!$AG$69:$AG$98,MATCH(Character_Spellcasting!AP30,S10_Wizard!$AF$69:$AF$98,0),1),"")</f>
        <v/>
      </c>
      <c r="AW30" s="1096"/>
      <c r="AX30" s="567"/>
      <c r="AY30" s="565"/>
      <c r="AZ30" s="591">
        <v>24</v>
      </c>
      <c r="BA30" s="1061" t="str">
        <f>IFERROR(INDEX(S01_Bard!$AM$6:$AM$35,MATCH(Character_Spellcasting!AZ30,S01_Bard!$AO$69:$AO$98,0),1),"")&amp;IFERROR(INDEX(S02_Cleric!$AM$6:$AM$35,MATCH(Character_Spellcasting!AZ30,S02_Cleric!$AO$69:$AO$98,0),1),"")&amp;IFERROR(INDEX(S03_Druid!$AM$6:$AM$35,MATCH(Character_Spellcasting!AZ30,S03_Druid!$AO$69:$AO$98,0),1),"")&amp;IFERROR(INDEX(S04_EldritchKnight!$AM$6:$AM$35,MATCH(Character_Spellcasting!AZ30,S04_EldritchKnight!$AO$69:$AO$98,0),1),"")&amp;IFERROR(INDEX(S05_Paladin!$AM$6:$AM$35,MATCH(Character_Spellcasting!AZ30,S05_Paladin!$AO$69:$AO$98,0),1),"")&amp;IFERROR(INDEX(S06_Ranger!$AM$6:$AM$35,MATCH(Character_Spellcasting!AZ30,S06_Ranger!$AO$69:$AO$988,0),1),"")&amp;IFERROR(INDEX(S07_ArcaneTrickster!$AM$6:$AM$35,MATCH(Character_Spellcasting!AZ30,S07_ArcaneTrickster!$AO$69:$AO$988,0),1),"")&amp;IFERROR(INDEX(S08_Sorcerer!$AM$6:$AM$35,MATCH(Character_Spellcasting!AZ30,S08_Sorcerer!$AO$69:$AO$98,0),1),"")&amp;IFERROR(INDEX(S09_Warlock!$AM$6:$AM$35,MATCH(Character_Spellcasting!AZ30,S09_Warlock!$AO$69:$AO$98,0),1),"")&amp;IFERROR(INDEX(S10_Wizard!$AM$6:$AM$35,MATCH(Character_Spellcasting!AZ30,S10_Wizard!$AO$69:$AO$98,0),1),"")</f>
        <v/>
      </c>
      <c r="BB30" s="1061"/>
      <c r="BC30" s="1061"/>
      <c r="BD30" s="1061"/>
      <c r="BE30" s="1061"/>
      <c r="BF30" s="1096" t="str">
        <f>IFERROR(INDEX(S01_Bard!$AP$69:$AP$98,MATCH(Character_Spellcasting!AZ30,S01_Bard!$D$69:$D$98,0),1),"")&amp;IFERROR(INDEX(S02_Cleric!$AP$69:$AP$98,MATCH(Character_Spellcasting!AZ30,S02_Cleric!$AO$69:$AO$98,0),1),"")&amp;IFERROR(INDEX(S03_Druid!$AP$69:$AP$98,MATCH(Character_Spellcasting!AZ30,S03_Druid!$AO$69:$AO$98,0),1),"")&amp;IFERROR(INDEX(S04_EldritchKnight!$AP$69:$AP$98,MATCH(Character_Spellcasting!AZ30,S04_EldritchKnight!$AO$69:$AO$98,0),1),"")&amp;IFERROR(INDEX(S05_Paladin!$AP$69:$AP$98,MATCH(Character_Spellcasting!AZ30,S05_Paladin!$AO$69:$AO$98,0),1),"")&amp;IFERROR(INDEX(S06_Ranger!$AP$69:$AP$98,MATCH(Character_Spellcasting!AZ30,S06_Ranger!$AO$69:$AO$988,0),1),"")&amp;IFERROR(INDEX(S07_ArcaneTrickster!$AP$69:$AP$98,MATCH(Character_Spellcasting!AZ30,S07_ArcaneTrickster!$AO$69:$AO$988,0),1),"")&amp;IFERROR(INDEX(S08_Sorcerer!$AP$69:$AP$98,MATCH(Character_Spellcasting!AZ30,S08_Sorcerer!$AO$69:$AO$98,0),1),"")&amp;IFERROR(INDEX(S09_Warlock!$AP$69:$AP$98,MATCH(Character_Spellcasting!AZ30,S09_Warlock!$AO$69:$AO$98,0),1),"")&amp;IFERROR(INDEX(S10_Wizard!$AP$69:$AP$98,MATCH(Character_Spellcasting!AZ30,S10_Wizard!$AO$69:$AO$98,0),1),"")</f>
        <v/>
      </c>
      <c r="BG30" s="1096"/>
      <c r="BH30" s="567"/>
      <c r="BI30" s="120"/>
      <c r="BJ30" s="591">
        <v>24</v>
      </c>
      <c r="BK30" s="1061" t="str">
        <f>IFERROR(INDEX(S01_Bard!$AV$6:$AV$35,MATCH(Character_Spellcasting!BJ30,S01_Bard!$AX$69:$AX$98,0),1),"")&amp;IFERROR(INDEX(S02_Cleric!$AV$6:$AV$35,MATCH(Character_Spellcasting!BJ30,S02_Cleric!$AX$69:$AX$98,0),1),"")&amp;IFERROR(INDEX(S03_Druid!$AV$6:$AV$35,MATCH(Character_Spellcasting!BJ30,S03_Druid!$AX$69:$AX$98,0),1),"")&amp;IFERROR(INDEX(S04_EldritchKnight!$AV$6:$AV$35,MATCH(Character_Spellcasting!BJ30,S04_EldritchKnight!$AX$69:$AX$98,0),1),"")&amp;IFERROR(INDEX(S05_Paladin!$AV$6:$AV$35,MATCH(Character_Spellcasting!BJ30,S05_Paladin!$AX$69:$AX$98,0),1),"")&amp;IFERROR(INDEX(S06_Ranger!$AV$6:$AV$35,MATCH(Character_Spellcasting!BJ30,S06_Ranger!$AX$69:$AX$988,0),1),"")&amp;IFERROR(INDEX(S07_ArcaneTrickster!$AV$6:$AV$35,MATCH(Character_Spellcasting!BJ30,S07_ArcaneTrickster!$AX$69:$AX$988,0),1),"")&amp;IFERROR(INDEX(S08_Sorcerer!$AV$6:$AV$35,MATCH(Character_Spellcasting!BJ30,S08_Sorcerer!$AX$69:$AX$98,0),1),"")&amp;IFERROR(INDEX(S09_Warlock!$AV$6:$AV$35,MATCH(Character_Spellcasting!BJ30,S09_Warlock!$AX$69:$AX$98,0),1),"")&amp;IFERROR(INDEX(S10_Wizard!$AV$6:$AV$35,MATCH(Character_Spellcasting!BJ30,S10_Wizard!$AX$69:$AX$98,0),1),"")</f>
        <v/>
      </c>
      <c r="BL30" s="1061"/>
      <c r="BM30" s="1061"/>
      <c r="BN30" s="1061"/>
      <c r="BO30" s="1061"/>
      <c r="BP30" s="1096" t="str">
        <f>IFERROR(INDEX(S01_Bard!$AY$69:$AY$98,MATCH(Character_Spellcasting!BJ30,S01_Bard!$D$69:$D$98,0),1),"")&amp;IFERROR(INDEX(S02_Cleric!$AY$69:$AY$98,MATCH(Character_Spellcasting!BJ30,S02_Cleric!$AX$69:$AX$98,0),1),"")&amp;IFERROR(INDEX(S03_Druid!$AY$69:$AY$98,MATCH(Character_Spellcasting!BJ30,S03_Druid!$AX$69:$AX$98,0),1),"")&amp;IFERROR(INDEX(S04_EldritchKnight!$AY$69:$AY$98,MATCH(Character_Spellcasting!BJ30,S04_EldritchKnight!$AX$69:$AX$98,0),1),"")&amp;IFERROR(INDEX(S05_Paladin!$AY$69:$AY$98,MATCH(Character_Spellcasting!BJ30,S05_Paladin!$AX$69:$AX$98,0),1),"")&amp;IFERROR(INDEX(S06_Ranger!$AY$69:$AY$98,MATCH(Character_Spellcasting!BJ30,S06_Ranger!$AX$69:$AX$988,0),1),"")&amp;IFERROR(INDEX(S07_ArcaneTrickster!$AY$69:$AY$98,MATCH(Character_Spellcasting!BJ30,S07_ArcaneTrickster!$AX$69:$AX$988,0),1),"")&amp;IFERROR(INDEX(S08_Sorcerer!$AY$69:$AY$98,MATCH(Character_Spellcasting!BJ30,S08_Sorcerer!$AX$69:$AX$98,0),1),"")&amp;IFERROR(INDEX(S09_Warlock!$AY$69:$AY$98,MATCH(Character_Spellcasting!BJ30,S09_Warlock!$AX$69:$AX$98,0),1),"")&amp;IFERROR(INDEX(S10_Wizard!$AY$69:$AY$98,MATCH(Character_Spellcasting!BJ30,S10_Wizard!$AX$69:$AX$98,0),1),"")</f>
        <v/>
      </c>
      <c r="BQ30" s="1096"/>
      <c r="BR30" s="567"/>
      <c r="BS30" s="120"/>
      <c r="BT30" s="591">
        <v>24</v>
      </c>
      <c r="BU30" s="1061" t="str">
        <f>IFERROR(INDEX(S01_Bard!$BE$6:$BE$35,MATCH(Character_Spellcasting!BT30,S01_Bard!$BG$69:$BG$98,0),1),"")&amp;IFERROR(INDEX(S02_Cleric!$BE$6:$BE$35,MATCH(Character_Spellcasting!BT30,S02_Cleric!$BG$69:$BG$98,0),1),"")&amp;IFERROR(INDEX(S03_Druid!$BE$6:$BE$35,MATCH(Character_Spellcasting!BT30,S03_Druid!$BG$69:$BG$98,0),1),"")&amp;IFERROR(INDEX(S04_EldritchKnight!$BE$6:$BE$35,MATCH(Character_Spellcasting!BT30,S04_EldritchKnight!$BG$69:$BG$98,0),1),"")&amp;IFERROR(INDEX(S05_Paladin!$BE$6:$BE$35,MATCH(Character_Spellcasting!BT30,S05_Paladin!$BG$69:$BG$98,0),1),"")&amp;IFERROR(INDEX(S06_Ranger!$BE$6:$BE$35,MATCH(Character_Spellcasting!BT30,S06_Ranger!$BG$69:$BG$988,0),1),"")&amp;IFERROR(INDEX(S07_ArcaneTrickster!$BE$6:$BE$35,MATCH(Character_Spellcasting!BT30,S07_ArcaneTrickster!$BG$69:$BG$988,0),1),"")&amp;IFERROR(INDEX(S08_Sorcerer!$BE$6:$BE$35,MATCH(Character_Spellcasting!BT30,S08_Sorcerer!$BG$69:$BG$98,0),1),"")&amp;IFERROR(INDEX(S09_Warlock!$BE$6:$BE$35,MATCH(Character_Spellcasting!BT30,S09_Warlock!$BG$69:$BG$98,0),1),"")&amp;IFERROR(INDEX(S10_Wizard!$BE$6:$BE$35,MATCH(Character_Spellcasting!BT30,S10_Wizard!$BG$69:$BG$98,0),1),"")</f>
        <v/>
      </c>
      <c r="BV30" s="1061"/>
      <c r="BW30" s="1061"/>
      <c r="BX30" s="1061"/>
      <c r="BY30" s="1061"/>
      <c r="BZ30" s="1096" t="str">
        <f>IFERROR(INDEX(S01_Bard!$BH$69:$BH$98,MATCH(Character_Spellcasting!BT30,S01_Bard!$D$69:$D$98,0),1),"")&amp;IFERROR(INDEX(S02_Cleric!$BH$69:$BH$98,MATCH(Character_Spellcasting!BT30,S02_Cleric!$BG$69:$BG$98,0),1),"")&amp;IFERROR(INDEX(S03_Druid!$BH$69:$BH$98,MATCH(Character_Spellcasting!BT30,S03_Druid!$BG$69:$BG$98,0),1),"")&amp;IFERROR(INDEX(S04_EldritchKnight!$BH$69:$BH$98,MATCH(Character_Spellcasting!BT30,S04_EldritchKnight!$BG$69:$BG$98,0),1),"")&amp;IFERROR(INDEX(S05_Paladin!$BH$69:$BH$98,MATCH(Character_Spellcasting!BT30,S05_Paladin!$BG$69:$BG$98,0),1),"")&amp;IFERROR(INDEX(S06_Ranger!$BH$69:$BH$98,MATCH(Character_Spellcasting!BT30,S06_Ranger!$BG$69:$BG$988,0),1),"")&amp;IFERROR(INDEX(S07_ArcaneTrickster!$BH$69:$BH$98,MATCH(Character_Spellcasting!BT30,S07_ArcaneTrickster!$BG$69:$BG$988,0),1),"")&amp;IFERROR(INDEX(S08_Sorcerer!$BH$69:$BH$98,MATCH(Character_Spellcasting!BT30,S08_Sorcerer!$BG$69:$BG$98,0),1),"")&amp;IFERROR(INDEX(S09_Warlock!$BH$69:$BH$98,MATCH(Character_Spellcasting!BT30,S09_Warlock!$BG$69:$BG$98,0),1),"")&amp;IFERROR(INDEX(S10_Wizard!$BH$69:$BH$98,MATCH(Character_Spellcasting!BT30,S10_Wizard!$BG$69:$BG$98,0),1),"")</f>
        <v/>
      </c>
      <c r="CA30" s="1096"/>
      <c r="CB30" s="567"/>
      <c r="CC30" s="120"/>
      <c r="CD30" s="591">
        <v>24</v>
      </c>
      <c r="CE30" s="1061" t="str">
        <f>IFERROR(INDEX(S01_Bard!$BN$6:$BN$35,MATCH(Character_Spellcasting!CD30,S01_Bard!$BP$69:$BP$98,0),1),"")&amp;IFERROR(INDEX(S02_Cleric!$BN$6:$BN$35,MATCH(Character_Spellcasting!CD30,S02_Cleric!$BP$69:$BP$98,0),1),"")&amp;IFERROR(INDEX(S03_Druid!$BN$6:$BN$35,MATCH(Character_Spellcasting!CD30,S03_Druid!$BP$69:$BP$98,0),1),"")&amp;IFERROR(INDEX(S04_EldritchKnight!$BN$6:$BN$35,MATCH(Character_Spellcasting!CD30,S04_EldritchKnight!$BP$69:$BP$98,0),1),"")&amp;IFERROR(INDEX(S05_Paladin!$BN$6:$BN$35,MATCH(Character_Spellcasting!CD30,S05_Paladin!$BP$69:$BP$98,0),1),"")&amp;IFERROR(INDEX(S06_Ranger!$BN$6:$BN$35,MATCH(Character_Spellcasting!CD30,S06_Ranger!$BP$69:$BP$988,0),1),"")&amp;IFERROR(INDEX(S07_ArcaneTrickster!$BN$6:$BN$35,MATCH(Character_Spellcasting!CD30,S07_ArcaneTrickster!$BP$69:$BP$988,0),1),"")&amp;IFERROR(INDEX(S08_Sorcerer!$BN$6:$BN$35,MATCH(Character_Spellcasting!CD30,S08_Sorcerer!$BP$69:$BP$98,0),1),"")&amp;IFERROR(INDEX(S09_Warlock!$BN$6:$BN$35,MATCH(Character_Spellcasting!CD30,S09_Warlock!$BP$69:$BP$98,0),1),"")&amp;IFERROR(INDEX(S10_Wizard!$BN$6:$BN$35,MATCH(Character_Spellcasting!CD30,S10_Wizard!$BP$69:$BP$98,0),1),"")</f>
        <v/>
      </c>
      <c r="CF30" s="1061"/>
      <c r="CG30" s="1061"/>
      <c r="CH30" s="1061"/>
      <c r="CI30" s="1061"/>
      <c r="CJ30" s="1096" t="str">
        <f>IFERROR(INDEX(S01_Bard!$BQ$69:$BQ$98,MATCH(Character_Spellcasting!CD30,S01_Bard!$D$69:$D$98,0),1),"")&amp;IFERROR(INDEX(S02_Cleric!$BQ$69:$BQ$98,MATCH(Character_Spellcasting!CD30,S02_Cleric!$BP$69:$BP$98,0),1),"")&amp;IFERROR(INDEX(S03_Druid!$BQ$69:$BQ$98,MATCH(Character_Spellcasting!CD30,S03_Druid!$BP$69:$BP$98,0),1),"")&amp;IFERROR(INDEX(S04_EldritchKnight!$BQ$69:$BQ$98,MATCH(Character_Spellcasting!CD30,S04_EldritchKnight!$BP$69:$BP$98,0),1),"")&amp;IFERROR(INDEX(S05_Paladin!$BQ$69:$BQ$98,MATCH(Character_Spellcasting!CD30,S05_Paladin!$BP$69:$BP$98,0),1),"")&amp;IFERROR(INDEX(S06_Ranger!$BQ$69:$BQ$98,MATCH(Character_Spellcasting!CD30,S06_Ranger!$BP$69:$BP$988,0),1),"")&amp;IFERROR(INDEX(S07_ArcaneTrickster!$BQ$69:$BQ$98,MATCH(Character_Spellcasting!CD30,S07_ArcaneTrickster!$BP$69:$BP$988,0),1),"")&amp;IFERROR(INDEX(S08_Sorcerer!$BQ$69:$BQ$98,MATCH(Character_Spellcasting!CD30,S08_Sorcerer!$BP$69:$BP$98,0),1),"")&amp;IFERROR(INDEX(S09_Warlock!$BQ$69:$BQ$98,MATCH(Character_Spellcasting!CD30,S09_Warlock!$BP$69:$BP$98,0),1),"")&amp;IFERROR(INDEX(S10_Wizard!$BQ$69:$BQ$98,MATCH(Character_Spellcasting!CD30,S10_Wizard!$BP$69:$BP$98,0),1),"")</f>
        <v/>
      </c>
      <c r="CK30" s="1096"/>
      <c r="CL30" s="567"/>
      <c r="CM30" s="120"/>
      <c r="CN30" s="591">
        <v>24</v>
      </c>
      <c r="CO30" s="1061" t="str">
        <f>IFERROR(INDEX(S01_Bard!$BW$6:$BW$35,MATCH(Character_Spellcasting!CN30,S01_Bard!$BY$69:$BY$98,0),1),"")&amp;IFERROR(INDEX(S02_Cleric!$BW$6:$BW$35,MATCH(Character_Spellcasting!CN30,S02_Cleric!$BY$69:$BY$98,0),1),"")&amp;IFERROR(INDEX(S03_Druid!$BW$6:$BW$35,MATCH(Character_Spellcasting!CN30,S03_Druid!$BY$69:$BY$98,0),1),"")&amp;IFERROR(INDEX(S04_EldritchKnight!$BW$6:$BW$35,MATCH(Character_Spellcasting!CN30,S04_EldritchKnight!$BY$69:$BY$98,0),1),"")&amp;IFERROR(INDEX(S05_Paladin!$BW$6:$BW$35,MATCH(Character_Spellcasting!CN30,S05_Paladin!$BY$69:$BY$98,0),1),"")&amp;IFERROR(INDEX(S06_Ranger!$BW$6:$BW$35,MATCH(Character_Spellcasting!CN30,S06_Ranger!$BY$69:$BY$988,0),1),"")&amp;IFERROR(INDEX(S07_ArcaneTrickster!$BW$6:$BW$35,MATCH(Character_Spellcasting!CN30,S07_ArcaneTrickster!$BY$69:$BY$988,0),1),"")&amp;IFERROR(INDEX(S08_Sorcerer!$BW$6:$BW$35,MATCH(Character_Spellcasting!CN30,S08_Sorcerer!$BY$69:$BY$98,0),1),"")&amp;IFERROR(INDEX(S09_Warlock!$BW$6:$BW$35,MATCH(Character_Spellcasting!CN30,S09_Warlock!$BY$69:$BY$98,0),1),"")&amp;IFERROR(INDEX(S10_Wizard!$BW$6:$BW$35,MATCH(Character_Spellcasting!CN30,S10_Wizard!$BY$69:$BY$98,0),1),"")</f>
        <v/>
      </c>
      <c r="CP30" s="1061"/>
      <c r="CQ30" s="1061"/>
      <c r="CR30" s="1061"/>
      <c r="CS30" s="1061"/>
      <c r="CT30" s="1096" t="str">
        <f>IFERROR(INDEX(S01_Bard!$BZ$69:$BZ$98,MATCH(Character_Spellcasting!CN30,S01_Bard!$D$69:$D$98,0),1),"")&amp;IFERROR(INDEX(S02_Cleric!$BZ$69:$BZ$98,MATCH(Character_Spellcasting!CN30,S02_Cleric!$BY$69:$BY$98,0),1),"")&amp;IFERROR(INDEX(S03_Druid!$BZ$69:$BZ$98,MATCH(Character_Spellcasting!CN30,S03_Druid!$BY$69:$BY$98,0),1),"")&amp;IFERROR(INDEX(S04_EldritchKnight!$BZ$69:$BZ$98,MATCH(Character_Spellcasting!CN30,S04_EldritchKnight!$BY$69:$BY$98,0),1),"")&amp;IFERROR(INDEX(S05_Paladin!$BZ$69:$BZ$98,MATCH(Character_Spellcasting!CN30,S05_Paladin!$BY$69:$BY$98,0),1),"")&amp;IFERROR(INDEX(S06_Ranger!$BZ$69:$BZ$98,MATCH(Character_Spellcasting!CN30,S06_Ranger!$BY$69:$BY$988,0),1),"")&amp;IFERROR(INDEX(S07_ArcaneTrickster!$BZ$69:$BZ$98,MATCH(Character_Spellcasting!CN30,S07_ArcaneTrickster!$BY$69:$BY$988,0),1),"")&amp;IFERROR(INDEX(S08_Sorcerer!$BZ$69:$BZ$98,MATCH(Character_Spellcasting!CN30,S08_Sorcerer!$BY$69:$BY$98,0),1),"")&amp;IFERROR(INDEX(S09_Warlock!$BZ$69:$BZ$98,MATCH(Character_Spellcasting!CN30,S09_Warlock!$BY$69:$BY$98,0),1),"")&amp;IFERROR(INDEX(S10_Wizard!$BZ$69:$BZ$98,MATCH(Character_Spellcasting!CN30,S10_Wizard!$BY$69:$BY$98,0),1),"")</f>
        <v/>
      </c>
      <c r="CU30" s="1096"/>
      <c r="CV30" s="567"/>
      <c r="CW30" s="565"/>
      <c r="CX30" s="565"/>
      <c r="CY30" s="565"/>
      <c r="CZ30" s="565"/>
      <c r="DA30" s="610">
        <v>24</v>
      </c>
      <c r="DB30" s="1061" t="str">
        <f t="shared" si="0"/>
        <v/>
      </c>
      <c r="DC30" s="1061"/>
      <c r="DD30" s="1061"/>
      <c r="DE30" s="1061"/>
      <c r="DF30" s="1061"/>
      <c r="DG30" s="1096" t="str">
        <f t="shared" si="1"/>
        <v/>
      </c>
      <c r="DH30" s="1096"/>
      <c r="DI30" s="565"/>
      <c r="DJ30" s="565"/>
      <c r="DK30" s="565"/>
      <c r="DL30" s="565"/>
      <c r="DM30" s="565"/>
      <c r="DN30" s="565"/>
      <c r="DO30" s="565"/>
      <c r="DP30" s="565"/>
      <c r="DQ30" s="565"/>
      <c r="DR30" s="565"/>
      <c r="DS30" s="565"/>
      <c r="DT30" s="565"/>
      <c r="DU30" s="565"/>
      <c r="DV30" s="565"/>
    </row>
    <row r="31" spans="1:126" ht="21" x14ac:dyDescent="0.25">
      <c r="A31" s="120"/>
      <c r="B31" s="610">
        <v>25</v>
      </c>
      <c r="C31" s="1061"/>
      <c r="D31" s="1061"/>
      <c r="E31" s="1061"/>
      <c r="F31" s="1061"/>
      <c r="G31" s="1061"/>
      <c r="H31" s="1096"/>
      <c r="I31" s="1096"/>
      <c r="J31" s="120"/>
      <c r="K31" s="120"/>
      <c r="L31" s="591">
        <v>25</v>
      </c>
      <c r="M31" s="1061" t="str">
        <f>IFERROR(INDEX(S01_Bard!$C$6:$C$35,MATCH(Character_Spellcasting!L31,S01_Bard!$E$69:$E$98,0),1),"")&amp;IFERROR(INDEX(S02_Cleric!$C$6:$C$35,MATCH(Character_Spellcasting!L31,S02_Cleric!$E$69:$E$98,0),1),"")&amp;IFERROR(INDEX(S03_Druid!$C$6:$C$35,MATCH(Character_Spellcasting!L31,S03_Druid!$E$69:$E$98,0),1),"")&amp;IFERROR(INDEX(S04_EldritchKnight!$C$6:$C$35,MATCH(Character_Spellcasting!L31,S04_EldritchKnight!$E$69:$E$98,0),1),"")&amp;IFERROR(INDEX(S05_Paladin!$C$6:$C$35,MATCH(Character_Spellcasting!L31,S05_Paladin!$E$69:$E$98,0),1),"")&amp;IFERROR(INDEX(S06_Ranger!$C$6:$C$35,MATCH(Character_Spellcasting!L31,S06_Ranger!$E$69:$E$988,0),1),"")&amp;IFERROR(INDEX(S07_ArcaneTrickster!$C$6:$C$35,MATCH(Character_Spellcasting!L31,S07_ArcaneTrickster!$E$69:$E$988,0),1),"")&amp;IFERROR(INDEX(S08_Sorcerer!$C$6:$C$35,MATCH(Character_Spellcasting!L31,S08_Sorcerer!$E$69:$E$98,0),1),"")&amp;IFERROR(INDEX(S09_Warlock!$C$6:$C$35,MATCH(Character_Spellcasting!L31,S09_Warlock!$E$69:$E$98,0),1),"")&amp;IFERROR(INDEX(S10_Wizard!$C$6:$C$35,MATCH(Character_Spellcasting!L31,S10_Wizard!$E$69:$E$98,0),1),"")</f>
        <v/>
      </c>
      <c r="N31" s="1061"/>
      <c r="O31" s="1061"/>
      <c r="P31" s="1061"/>
      <c r="Q31" s="1061"/>
      <c r="R31" s="1096" t="str">
        <f>IFERROR(INDEX(S01_Bard!$F$69:$F$98,MATCH(Character_Spellcasting!L31,S01_Bard!$D$69:$D$98,0),1),"")&amp;IFERROR(INDEX(S02_Cleric!$F$69:$F$98,MATCH(Character_Spellcasting!L31,S02_Cleric!$E$69:$E$98,0),1),"")&amp;IFERROR(INDEX(S03_Druid!$F$69:$F$98,MATCH(Character_Spellcasting!L31,S03_Druid!$E$69:$E$98,0),1),"")&amp;IFERROR(INDEX(S04_EldritchKnight!$F$69:$F$98,MATCH(Character_Spellcasting!L31,S04_EldritchKnight!$E$69:$E$98,0),1),"")&amp;IFERROR(INDEX(S05_Paladin!$F$69:$F$98,MATCH(Character_Spellcasting!L31,S05_Paladin!$E$69:$E$98,0),1),"")&amp;IFERROR(INDEX(S06_Ranger!$F$69:$F$98,MATCH(Character_Spellcasting!L31,S06_Ranger!$E$69:$E$988,0),1),"")&amp;IFERROR(INDEX(S07_ArcaneTrickster!$F$69:$F$98,MATCH(Character_Spellcasting!L31,S07_ArcaneTrickster!$E$69:$E$988,0),1),"")&amp;IFERROR(INDEX(S08_Sorcerer!$F$69:$F$98,MATCH(Character_Spellcasting!L31,S08_Sorcerer!$E$69:$E$98,0),1),"")&amp;IFERROR(INDEX(S09_Warlock!$F$69:$F$98,MATCH(Character_Spellcasting!L31,S09_Warlock!$E$69:$E$98,0),1),"")&amp;IFERROR(INDEX(S10_Wizard!$F$69:$F$98,MATCH(Character_Spellcasting!L31,S10_Wizard!$E$69:$E$98,0),1),"")</f>
        <v/>
      </c>
      <c r="S31" s="1096"/>
      <c r="T31" s="567"/>
      <c r="U31" s="565"/>
      <c r="V31" s="591">
        <v>25</v>
      </c>
      <c r="W31" s="1061" t="str">
        <f>IFERROR(INDEX(S01_Bard!$L$6:$L$35,MATCH(Character_Spellcasting!V31,S01_Bard!$N$69:$N$98,0),1),"")&amp;IFERROR(INDEX(S02_Cleric!$L$6:$L$35,MATCH(Character_Spellcasting!V31,S02_Cleric!$N$69:$N$98,0),1),"")&amp;IFERROR(INDEX(S03_Druid!$L$6:$L$35,MATCH(Character_Spellcasting!V31,S03_Druid!$N$69:$N$98,0),1),"")&amp;IFERROR(INDEX(S04_EldritchKnight!$L$6:$L$35,MATCH(Character_Spellcasting!V31,S04_EldritchKnight!$N$69:$N$98,0),1),"")&amp;IFERROR(INDEX(S05_Paladin!$L$6:$L$35,MATCH(Character_Spellcasting!V31,S05_Paladin!$N$69:$N$98,0),1),"")&amp;IFERROR(INDEX(S06_Ranger!$L$6:$L$35,MATCH(Character_Spellcasting!V31,S06_Ranger!$N$69:$N$988,0),1),"")&amp;IFERROR(INDEX(S07_ArcaneTrickster!$L$6:$L$35,MATCH(Character_Spellcasting!V31,S07_ArcaneTrickster!$N$69:$N$988,0),1),"")&amp;IFERROR(INDEX(S08_Sorcerer!$L$6:$L$35,MATCH(Character_Spellcasting!V31,S08_Sorcerer!$N$69:$N$98,0),1),"")&amp;IFERROR(INDEX(S09_Warlock!$L$6:$L$35,MATCH(Character_Spellcasting!V31,S09_Warlock!$N$69:$N$98,0),1),"")&amp;IFERROR(INDEX(S10_Wizard!$L$6:$L$35,MATCH(Character_Spellcasting!V31,S10_Wizard!$N$69:$N$98,0),1),"")</f>
        <v/>
      </c>
      <c r="X31" s="1061"/>
      <c r="Y31" s="1061"/>
      <c r="Z31" s="1061"/>
      <c r="AA31" s="1061"/>
      <c r="AB31" s="1097" t="str">
        <f>IFERROR(INDEX(S01_Bard!$O$69:$O$98,MATCH(Character_Spellcasting!V31,S01_Bard!$N$69:$N$98,0),1),"")&amp;IFERROR(INDEX(S02_Cleric!$O$69:$O$98,MATCH(Character_Spellcasting!V31,S02_Cleric!$N$69:$N$98,0),1),"")&amp;IFERROR(INDEX(S03_Druid!$O$69:$O$98,MATCH(Character_Spellcasting!V31,S03_Druid!$N$69:$N$98,0),1),"")&amp;IFERROR(INDEX(S04_EldritchKnight!$O$69:$O$98,MATCH(Character_Spellcasting!V31,S04_EldritchKnight!$N$69:$N$98,0),1),"")&amp;IFERROR(INDEX(S05_Paladin!$O$69:$O$98,MATCH(Character_Spellcasting!V31,S05_Paladin!$N$69:$N$98,0),1),"")&amp;IFERROR(INDEX(S06_Ranger!$O$69:$O$98,MATCH(Character_Spellcasting!V31,S06_Ranger!$N$69:$N$988,0),1),"")&amp;IFERROR(INDEX(S07_ArcaneTrickster!$O$69:$O$98,MATCH(Character_Spellcasting!V31,S07_ArcaneTrickster!$N$69:$N$988,0),1),"")&amp;IFERROR(INDEX(S08_Sorcerer!$O$69:$O$98,MATCH(Character_Spellcasting!V31,S08_Sorcerer!$N$69:$N$98,0),1),"")&amp;IFERROR(INDEX(S09_Warlock!$O$69:$O$98,MATCH(Character_Spellcasting!V31,S09_Warlock!$N$69:$N$98,0),1),"")&amp;IFERROR(INDEX(S10_Wizard!$O$69:$O$98,MATCH(Character_Spellcasting!V31,S10_Wizard!$N$69:$N$98,0),1),"")</f>
        <v/>
      </c>
      <c r="AC31" s="1098"/>
      <c r="AD31" s="567"/>
      <c r="AE31" s="565"/>
      <c r="AF31" s="609">
        <v>25</v>
      </c>
      <c r="AG31" s="1061" t="str">
        <f>IFERROR(INDEX(S01_Bard!$U$6:$U$35,MATCH(Character_Spellcasting!AF31,S01_Bard!$W$69:$W$98,0),1),"")&amp;IFERROR(INDEX(S02_Cleric!$U$6:$U$35,MATCH(Character_Spellcasting!AF31,S02_Cleric!$W$69:$W$98,0),1),"")&amp;IFERROR(INDEX(S03_Druid!$U$6:$U$35,MATCH(Character_Spellcasting!AF31,S03_Druid!$W$69:$W$98,0),1),"")&amp;IFERROR(INDEX(S04_EldritchKnight!$U$6:$U$35,MATCH(Character_Spellcasting!AF31,S04_EldritchKnight!$W$69:$W$98,0),1),"")&amp;IFERROR(INDEX(S05_Paladin!$U$6:$U$35,MATCH(Character_Spellcasting!AF31,S05_Paladin!$W$69:$W$98,0),1),"")&amp;IFERROR(INDEX(S06_Ranger!$U$6:$U$35,MATCH(Character_Spellcasting!AF31,S06_Ranger!$W$69:$W$988,0),1),"")&amp;IFERROR(INDEX(S07_ArcaneTrickster!$U$6:$U$35,MATCH(Character_Spellcasting!AF31,S07_ArcaneTrickster!$W$69:$W$988,0),1),"")&amp;IFERROR(INDEX(S08_Sorcerer!$U$6:$U$35,MATCH(Character_Spellcasting!AF31,S08_Sorcerer!$W$69:$W$98,0),1),"")&amp;IFERROR(INDEX(S09_Warlock!$U$6:$U$35,MATCH(Character_Spellcasting!AF31,S09_Warlock!$W$69:$W$98,0),1),"")&amp;IFERROR(INDEX(S10_Wizard!$U$6:$U$35,MATCH(Character_Spellcasting!AF31,S10_Wizard!$W$69:$W$98,0),1),"")</f>
        <v/>
      </c>
      <c r="AH31" s="1061"/>
      <c r="AI31" s="1061"/>
      <c r="AJ31" s="1061"/>
      <c r="AK31" s="1061"/>
      <c r="AL31" s="1097" t="str">
        <f>IFERROR(INDEX(S01_Bard!$X$69:$X$98,MATCH(Character_Spellcasting!AF31,S01_Bard!$W$69:$W$98,0),1),"")&amp;IFERROR(INDEX(S02_Cleric!$X$69:$X$98,MATCH(Character_Spellcasting!AF31,S02_Cleric!$W$69:$W$98,0),1),"")&amp;IFERROR(INDEX(S03_Druid!$X$69:$X$98,MATCH(Character_Spellcasting!AF31,S03_Druid!$W$69:$W$98,0),1),"")&amp;IFERROR(INDEX(S04_EldritchKnight!$X$69:$X$98,MATCH(Character_Spellcasting!AF31,S04_EldritchKnight!$W$69:$W$98,0),1),"")&amp;IFERROR(INDEX(S05_Paladin!$X$69:$X$98,MATCH(Character_Spellcasting!AF31,S05_Paladin!$W$69:$W$98,0),1),"")&amp;IFERROR(INDEX(S06_Ranger!$X$69:$X$98,MATCH(Character_Spellcasting!AF31,S06_Ranger!$W$69:$W$988,0),1),"")&amp;IFERROR(INDEX(S07_ArcaneTrickster!$X$69:$X$98,MATCH(Character_Spellcasting!AF31,S07_ArcaneTrickster!$W$69:$W$988,0),1),"")&amp;IFERROR(INDEX(S08_Sorcerer!$X$69:$X$98,MATCH(Character_Spellcasting!AF31,S08_Sorcerer!$W$69:$W$98,0),1),"")&amp;IFERROR(INDEX(S09_Warlock!$X$69:$X$98,MATCH(Character_Spellcasting!AF31,S09_Warlock!$W$69:$W$98,0),1),"")&amp;IFERROR(INDEX(S10_Wizard!$X$69:$X$98,MATCH(Character_Spellcasting!AF31,S10_Wizard!$W$69:$W$98,0),1),"")</f>
        <v/>
      </c>
      <c r="AM31" s="1098"/>
      <c r="AN31" s="567"/>
      <c r="AO31" s="565"/>
      <c r="AP31" s="591">
        <v>25</v>
      </c>
      <c r="AQ31" s="1061" t="str">
        <f>IFERROR(INDEX(S01_Bard!$AD$6:$AD$35,MATCH(Character_Spellcasting!AP31,S01_Bard!$AF$69:$AF$98,0),1),"")&amp;IFERROR(INDEX(S02_Cleric!$AD$6:$AD$35,MATCH(Character_Spellcasting!AP31,S02_Cleric!$AF$69:$AF$98,0),1),"")&amp;IFERROR(INDEX(S03_Druid!$AD$6:$AD$35,MATCH(Character_Spellcasting!AP31,S03_Druid!$AF$69:$AF$98,0),1),"")&amp;IFERROR(INDEX(S04_EldritchKnight!$AD$6:$AD$35,MATCH(Character_Spellcasting!AP31,S04_EldritchKnight!$AF$69:$AF$98,0),1),"")&amp;IFERROR(INDEX(S05_Paladin!$AD$6:$AD$35,MATCH(Character_Spellcasting!AP31,S05_Paladin!$AF$69:$AF$98,0),1),"")&amp;IFERROR(INDEX(S06_Ranger!$AD$6:$AD$35,MATCH(Character_Spellcasting!AP31,S06_Ranger!$AF$69:$AF$988,0),1),"")&amp;IFERROR(INDEX(S07_ArcaneTrickster!$AD$6:$AD$35,MATCH(Character_Spellcasting!AP31,S07_ArcaneTrickster!$AF$69:$AF$988,0),1),"")&amp;IFERROR(INDEX(S08_Sorcerer!$AD$6:$AD$35,MATCH(Character_Spellcasting!AP31,S08_Sorcerer!$AF$69:$AF$98,0),1),"")&amp;IFERROR(INDEX(S09_Warlock!$AD$6:$AD$35,MATCH(Character_Spellcasting!AP31,S09_Warlock!$AF$69:$AF$98,0),1),"")&amp;IFERROR(INDEX(S10_Wizard!$AD$6:$AD$35,MATCH(Character_Spellcasting!AP31,S10_Wizard!$AF$69:$AF$98,0),1),"")</f>
        <v/>
      </c>
      <c r="AR31" s="1061"/>
      <c r="AS31" s="1061"/>
      <c r="AT31" s="1061"/>
      <c r="AU31" s="1061"/>
      <c r="AV31" s="1096" t="str">
        <f>IFERROR(INDEX(S01_Bard!$AG$69:$AG$98,MATCH(Character_Spellcasting!AP31,S01_Bard!$D$69:$D$98,0),1),"")&amp;IFERROR(INDEX(S02_Cleric!$AG$69:$AG$98,MATCH(Character_Spellcasting!AP31,S02_Cleric!$AF$69:$AF$98,0),1),"")&amp;IFERROR(INDEX(S03_Druid!$AG$69:$AG$98,MATCH(Character_Spellcasting!AP31,S03_Druid!$AF$69:$AF$98,0),1),"")&amp;IFERROR(INDEX(S04_EldritchKnight!$AG$69:$AG$98,MATCH(Character_Spellcasting!AP31,S04_EldritchKnight!$AF$69:$AF$98,0),1),"")&amp;IFERROR(INDEX(S05_Paladin!$AG$69:$AG$98,MATCH(Character_Spellcasting!AP31,S05_Paladin!$AF$69:$AF$98,0),1),"")&amp;IFERROR(INDEX(S06_Ranger!$AG$69:$AG$98,MATCH(Character_Spellcasting!AP31,S06_Ranger!$AF$69:$AF$988,0),1),"")&amp;IFERROR(INDEX(S07_ArcaneTrickster!$AG$69:$AG$98,MATCH(Character_Spellcasting!AP31,S07_ArcaneTrickster!$AF$69:$AF$988,0),1),"")&amp;IFERROR(INDEX(S08_Sorcerer!$AG$69:$AG$98,MATCH(Character_Spellcasting!AP31,S08_Sorcerer!$AF$69:$AF$98,0),1),"")&amp;IFERROR(INDEX(S09_Warlock!$AG$69:$AG$98,MATCH(Character_Spellcasting!AP31,S09_Warlock!$AF$69:$AF$98,0),1),"")&amp;IFERROR(INDEX(S10_Wizard!$AG$69:$AG$98,MATCH(Character_Spellcasting!AP31,S10_Wizard!$AF$69:$AF$98,0),1),"")</f>
        <v/>
      </c>
      <c r="AW31" s="1096"/>
      <c r="AX31" s="567"/>
      <c r="AY31" s="565"/>
      <c r="AZ31" s="591">
        <v>25</v>
      </c>
      <c r="BA31" s="1061" t="str">
        <f>IFERROR(INDEX(S01_Bard!$AM$6:$AM$35,MATCH(Character_Spellcasting!AZ31,S01_Bard!$AO$69:$AO$98,0),1),"")&amp;IFERROR(INDEX(S02_Cleric!$AM$6:$AM$35,MATCH(Character_Spellcasting!AZ31,S02_Cleric!$AO$69:$AO$98,0),1),"")&amp;IFERROR(INDEX(S03_Druid!$AM$6:$AM$35,MATCH(Character_Spellcasting!AZ31,S03_Druid!$AO$69:$AO$98,0),1),"")&amp;IFERROR(INDEX(S04_EldritchKnight!$AM$6:$AM$35,MATCH(Character_Spellcasting!AZ31,S04_EldritchKnight!$AO$69:$AO$98,0),1),"")&amp;IFERROR(INDEX(S05_Paladin!$AM$6:$AM$35,MATCH(Character_Spellcasting!AZ31,S05_Paladin!$AO$69:$AO$98,0),1),"")&amp;IFERROR(INDEX(S06_Ranger!$AM$6:$AM$35,MATCH(Character_Spellcasting!AZ31,S06_Ranger!$AO$69:$AO$988,0),1),"")&amp;IFERROR(INDEX(S07_ArcaneTrickster!$AM$6:$AM$35,MATCH(Character_Spellcasting!AZ31,S07_ArcaneTrickster!$AO$69:$AO$988,0),1),"")&amp;IFERROR(INDEX(S08_Sorcerer!$AM$6:$AM$35,MATCH(Character_Spellcasting!AZ31,S08_Sorcerer!$AO$69:$AO$98,0),1),"")&amp;IFERROR(INDEX(S09_Warlock!$AM$6:$AM$35,MATCH(Character_Spellcasting!AZ31,S09_Warlock!$AO$69:$AO$98,0),1),"")&amp;IFERROR(INDEX(S10_Wizard!$AM$6:$AM$35,MATCH(Character_Spellcasting!AZ31,S10_Wizard!$AO$69:$AO$98,0),1),"")</f>
        <v/>
      </c>
      <c r="BB31" s="1061"/>
      <c r="BC31" s="1061"/>
      <c r="BD31" s="1061"/>
      <c r="BE31" s="1061"/>
      <c r="BF31" s="1096" t="str">
        <f>IFERROR(INDEX(S01_Bard!$AP$69:$AP$98,MATCH(Character_Spellcasting!AZ31,S01_Bard!$D$69:$D$98,0),1),"")&amp;IFERROR(INDEX(S02_Cleric!$AP$69:$AP$98,MATCH(Character_Spellcasting!AZ31,S02_Cleric!$AO$69:$AO$98,0),1),"")&amp;IFERROR(INDEX(S03_Druid!$AP$69:$AP$98,MATCH(Character_Spellcasting!AZ31,S03_Druid!$AO$69:$AO$98,0),1),"")&amp;IFERROR(INDEX(S04_EldritchKnight!$AP$69:$AP$98,MATCH(Character_Spellcasting!AZ31,S04_EldritchKnight!$AO$69:$AO$98,0),1),"")&amp;IFERROR(INDEX(S05_Paladin!$AP$69:$AP$98,MATCH(Character_Spellcasting!AZ31,S05_Paladin!$AO$69:$AO$98,0),1),"")&amp;IFERROR(INDEX(S06_Ranger!$AP$69:$AP$98,MATCH(Character_Spellcasting!AZ31,S06_Ranger!$AO$69:$AO$988,0),1),"")&amp;IFERROR(INDEX(S07_ArcaneTrickster!$AP$69:$AP$98,MATCH(Character_Spellcasting!AZ31,S07_ArcaneTrickster!$AO$69:$AO$988,0),1),"")&amp;IFERROR(INDEX(S08_Sorcerer!$AP$69:$AP$98,MATCH(Character_Spellcasting!AZ31,S08_Sorcerer!$AO$69:$AO$98,0),1),"")&amp;IFERROR(INDEX(S09_Warlock!$AP$69:$AP$98,MATCH(Character_Spellcasting!AZ31,S09_Warlock!$AO$69:$AO$98,0),1),"")&amp;IFERROR(INDEX(S10_Wizard!$AP$69:$AP$98,MATCH(Character_Spellcasting!AZ31,S10_Wizard!$AO$69:$AO$98,0),1),"")</f>
        <v/>
      </c>
      <c r="BG31" s="1096"/>
      <c r="BH31" s="567"/>
      <c r="BI31" s="120"/>
      <c r="BJ31" s="591">
        <v>25</v>
      </c>
      <c r="BK31" s="1061" t="str">
        <f>IFERROR(INDEX(S01_Bard!$AV$6:$AV$35,MATCH(Character_Spellcasting!BJ31,S01_Bard!$AX$69:$AX$98,0),1),"")&amp;IFERROR(INDEX(S02_Cleric!$AV$6:$AV$35,MATCH(Character_Spellcasting!BJ31,S02_Cleric!$AX$69:$AX$98,0),1),"")&amp;IFERROR(INDEX(S03_Druid!$AV$6:$AV$35,MATCH(Character_Spellcasting!BJ31,S03_Druid!$AX$69:$AX$98,0),1),"")&amp;IFERROR(INDEX(S04_EldritchKnight!$AV$6:$AV$35,MATCH(Character_Spellcasting!BJ31,S04_EldritchKnight!$AX$69:$AX$98,0),1),"")&amp;IFERROR(INDEX(S05_Paladin!$AV$6:$AV$35,MATCH(Character_Spellcasting!BJ31,S05_Paladin!$AX$69:$AX$98,0),1),"")&amp;IFERROR(INDEX(S06_Ranger!$AV$6:$AV$35,MATCH(Character_Spellcasting!BJ31,S06_Ranger!$AX$69:$AX$988,0),1),"")&amp;IFERROR(INDEX(S07_ArcaneTrickster!$AV$6:$AV$35,MATCH(Character_Spellcasting!BJ31,S07_ArcaneTrickster!$AX$69:$AX$988,0),1),"")&amp;IFERROR(INDEX(S08_Sorcerer!$AV$6:$AV$35,MATCH(Character_Spellcasting!BJ31,S08_Sorcerer!$AX$69:$AX$98,0),1),"")&amp;IFERROR(INDEX(S09_Warlock!$AV$6:$AV$35,MATCH(Character_Spellcasting!BJ31,S09_Warlock!$AX$69:$AX$98,0),1),"")&amp;IFERROR(INDEX(S10_Wizard!$AV$6:$AV$35,MATCH(Character_Spellcasting!BJ31,S10_Wizard!$AX$69:$AX$98,0),1),"")</f>
        <v/>
      </c>
      <c r="BL31" s="1061"/>
      <c r="BM31" s="1061"/>
      <c r="BN31" s="1061"/>
      <c r="BO31" s="1061"/>
      <c r="BP31" s="1096" t="str">
        <f>IFERROR(INDEX(S01_Bard!$AY$69:$AY$98,MATCH(Character_Spellcasting!BJ31,S01_Bard!$D$69:$D$98,0),1),"")&amp;IFERROR(INDEX(S02_Cleric!$AY$69:$AY$98,MATCH(Character_Spellcasting!BJ31,S02_Cleric!$AX$69:$AX$98,0),1),"")&amp;IFERROR(INDEX(S03_Druid!$AY$69:$AY$98,MATCH(Character_Spellcasting!BJ31,S03_Druid!$AX$69:$AX$98,0),1),"")&amp;IFERROR(INDEX(S04_EldritchKnight!$AY$69:$AY$98,MATCH(Character_Spellcasting!BJ31,S04_EldritchKnight!$AX$69:$AX$98,0),1),"")&amp;IFERROR(INDEX(S05_Paladin!$AY$69:$AY$98,MATCH(Character_Spellcasting!BJ31,S05_Paladin!$AX$69:$AX$98,0),1),"")&amp;IFERROR(INDEX(S06_Ranger!$AY$69:$AY$98,MATCH(Character_Spellcasting!BJ31,S06_Ranger!$AX$69:$AX$988,0),1),"")&amp;IFERROR(INDEX(S07_ArcaneTrickster!$AY$69:$AY$98,MATCH(Character_Spellcasting!BJ31,S07_ArcaneTrickster!$AX$69:$AX$988,0),1),"")&amp;IFERROR(INDEX(S08_Sorcerer!$AY$69:$AY$98,MATCH(Character_Spellcasting!BJ31,S08_Sorcerer!$AX$69:$AX$98,0),1),"")&amp;IFERROR(INDEX(S09_Warlock!$AY$69:$AY$98,MATCH(Character_Spellcasting!BJ31,S09_Warlock!$AX$69:$AX$98,0),1),"")&amp;IFERROR(INDEX(S10_Wizard!$AY$69:$AY$98,MATCH(Character_Spellcasting!BJ31,S10_Wizard!$AX$69:$AX$98,0),1),"")</f>
        <v/>
      </c>
      <c r="BQ31" s="1096"/>
      <c r="BR31" s="567"/>
      <c r="BS31" s="120"/>
      <c r="BT31" s="591">
        <v>25</v>
      </c>
      <c r="BU31" s="1061" t="str">
        <f>IFERROR(INDEX(S01_Bard!$BE$6:$BE$35,MATCH(Character_Spellcasting!BT31,S01_Bard!$BG$69:$BG$98,0),1),"")&amp;IFERROR(INDEX(S02_Cleric!$BE$6:$BE$35,MATCH(Character_Spellcasting!BT31,S02_Cleric!$BG$69:$BG$98,0),1),"")&amp;IFERROR(INDEX(S03_Druid!$BE$6:$BE$35,MATCH(Character_Spellcasting!BT31,S03_Druid!$BG$69:$BG$98,0),1),"")&amp;IFERROR(INDEX(S04_EldritchKnight!$BE$6:$BE$35,MATCH(Character_Spellcasting!BT31,S04_EldritchKnight!$BG$69:$BG$98,0),1),"")&amp;IFERROR(INDEX(S05_Paladin!$BE$6:$BE$35,MATCH(Character_Spellcasting!BT31,S05_Paladin!$BG$69:$BG$98,0),1),"")&amp;IFERROR(INDEX(S06_Ranger!$BE$6:$BE$35,MATCH(Character_Spellcasting!BT31,S06_Ranger!$BG$69:$BG$988,0),1),"")&amp;IFERROR(INDEX(S07_ArcaneTrickster!$BE$6:$BE$35,MATCH(Character_Spellcasting!BT31,S07_ArcaneTrickster!$BG$69:$BG$988,0),1),"")&amp;IFERROR(INDEX(S08_Sorcerer!$BE$6:$BE$35,MATCH(Character_Spellcasting!BT31,S08_Sorcerer!$BG$69:$BG$98,0),1),"")&amp;IFERROR(INDEX(S09_Warlock!$BE$6:$BE$35,MATCH(Character_Spellcasting!BT31,S09_Warlock!$BG$69:$BG$98,0),1),"")&amp;IFERROR(INDEX(S10_Wizard!$BE$6:$BE$35,MATCH(Character_Spellcasting!BT31,S10_Wizard!$BG$69:$BG$98,0),1),"")</f>
        <v/>
      </c>
      <c r="BV31" s="1061"/>
      <c r="BW31" s="1061"/>
      <c r="BX31" s="1061"/>
      <c r="BY31" s="1061"/>
      <c r="BZ31" s="1096" t="str">
        <f>IFERROR(INDEX(S01_Bard!$BH$69:$BH$98,MATCH(Character_Spellcasting!BT31,S01_Bard!$D$69:$D$98,0),1),"")&amp;IFERROR(INDEX(S02_Cleric!$BH$69:$BH$98,MATCH(Character_Spellcasting!BT31,S02_Cleric!$BG$69:$BG$98,0),1),"")&amp;IFERROR(INDEX(S03_Druid!$BH$69:$BH$98,MATCH(Character_Spellcasting!BT31,S03_Druid!$BG$69:$BG$98,0),1),"")&amp;IFERROR(INDEX(S04_EldritchKnight!$BH$69:$BH$98,MATCH(Character_Spellcasting!BT31,S04_EldritchKnight!$BG$69:$BG$98,0),1),"")&amp;IFERROR(INDEX(S05_Paladin!$BH$69:$BH$98,MATCH(Character_Spellcasting!BT31,S05_Paladin!$BG$69:$BG$98,0),1),"")&amp;IFERROR(INDEX(S06_Ranger!$BH$69:$BH$98,MATCH(Character_Spellcasting!BT31,S06_Ranger!$BG$69:$BG$988,0),1),"")&amp;IFERROR(INDEX(S07_ArcaneTrickster!$BH$69:$BH$98,MATCH(Character_Spellcasting!BT31,S07_ArcaneTrickster!$BG$69:$BG$988,0),1),"")&amp;IFERROR(INDEX(S08_Sorcerer!$BH$69:$BH$98,MATCH(Character_Spellcasting!BT31,S08_Sorcerer!$BG$69:$BG$98,0),1),"")&amp;IFERROR(INDEX(S09_Warlock!$BH$69:$BH$98,MATCH(Character_Spellcasting!BT31,S09_Warlock!$BG$69:$BG$98,0),1),"")&amp;IFERROR(INDEX(S10_Wizard!$BH$69:$BH$98,MATCH(Character_Spellcasting!BT31,S10_Wizard!$BG$69:$BG$98,0),1),"")</f>
        <v/>
      </c>
      <c r="CA31" s="1096"/>
      <c r="CB31" s="567"/>
      <c r="CC31" s="120"/>
      <c r="CD31" s="591">
        <v>25</v>
      </c>
      <c r="CE31" s="1061" t="str">
        <f>IFERROR(INDEX(S01_Bard!$BN$6:$BN$35,MATCH(Character_Spellcasting!CD31,S01_Bard!$BP$69:$BP$98,0),1),"")&amp;IFERROR(INDEX(S02_Cleric!$BN$6:$BN$35,MATCH(Character_Spellcasting!CD31,S02_Cleric!$BP$69:$BP$98,0),1),"")&amp;IFERROR(INDEX(S03_Druid!$BN$6:$BN$35,MATCH(Character_Spellcasting!CD31,S03_Druid!$BP$69:$BP$98,0),1),"")&amp;IFERROR(INDEX(S04_EldritchKnight!$BN$6:$BN$35,MATCH(Character_Spellcasting!CD31,S04_EldritchKnight!$BP$69:$BP$98,0),1),"")&amp;IFERROR(INDEX(S05_Paladin!$BN$6:$BN$35,MATCH(Character_Spellcasting!CD31,S05_Paladin!$BP$69:$BP$98,0),1),"")&amp;IFERROR(INDEX(S06_Ranger!$BN$6:$BN$35,MATCH(Character_Spellcasting!CD31,S06_Ranger!$BP$69:$BP$988,0),1),"")&amp;IFERROR(INDEX(S07_ArcaneTrickster!$BN$6:$BN$35,MATCH(Character_Spellcasting!CD31,S07_ArcaneTrickster!$BP$69:$BP$988,0),1),"")&amp;IFERROR(INDEX(S08_Sorcerer!$BN$6:$BN$35,MATCH(Character_Spellcasting!CD31,S08_Sorcerer!$BP$69:$BP$98,0),1),"")&amp;IFERROR(INDEX(S09_Warlock!$BN$6:$BN$35,MATCH(Character_Spellcasting!CD31,S09_Warlock!$BP$69:$BP$98,0),1),"")&amp;IFERROR(INDEX(S10_Wizard!$BN$6:$BN$35,MATCH(Character_Spellcasting!CD31,S10_Wizard!$BP$69:$BP$98,0),1),"")</f>
        <v/>
      </c>
      <c r="CF31" s="1061"/>
      <c r="CG31" s="1061"/>
      <c r="CH31" s="1061"/>
      <c r="CI31" s="1061"/>
      <c r="CJ31" s="1096" t="str">
        <f>IFERROR(INDEX(S01_Bard!$BQ$69:$BQ$98,MATCH(Character_Spellcasting!CD31,S01_Bard!$D$69:$D$98,0),1),"")&amp;IFERROR(INDEX(S02_Cleric!$BQ$69:$BQ$98,MATCH(Character_Spellcasting!CD31,S02_Cleric!$BP$69:$BP$98,0),1),"")&amp;IFERROR(INDEX(S03_Druid!$BQ$69:$BQ$98,MATCH(Character_Spellcasting!CD31,S03_Druid!$BP$69:$BP$98,0),1),"")&amp;IFERROR(INDEX(S04_EldritchKnight!$BQ$69:$BQ$98,MATCH(Character_Spellcasting!CD31,S04_EldritchKnight!$BP$69:$BP$98,0),1),"")&amp;IFERROR(INDEX(S05_Paladin!$BQ$69:$BQ$98,MATCH(Character_Spellcasting!CD31,S05_Paladin!$BP$69:$BP$98,0),1),"")&amp;IFERROR(INDEX(S06_Ranger!$BQ$69:$BQ$98,MATCH(Character_Spellcasting!CD31,S06_Ranger!$BP$69:$BP$988,0),1),"")&amp;IFERROR(INDEX(S07_ArcaneTrickster!$BQ$69:$BQ$98,MATCH(Character_Spellcasting!CD31,S07_ArcaneTrickster!$BP$69:$BP$988,0),1),"")&amp;IFERROR(INDEX(S08_Sorcerer!$BQ$69:$BQ$98,MATCH(Character_Spellcasting!CD31,S08_Sorcerer!$BP$69:$BP$98,0),1),"")&amp;IFERROR(INDEX(S09_Warlock!$BQ$69:$BQ$98,MATCH(Character_Spellcasting!CD31,S09_Warlock!$BP$69:$BP$98,0),1),"")&amp;IFERROR(INDEX(S10_Wizard!$BQ$69:$BQ$98,MATCH(Character_Spellcasting!CD31,S10_Wizard!$BP$69:$BP$98,0),1),"")</f>
        <v/>
      </c>
      <c r="CK31" s="1096"/>
      <c r="CL31" s="567"/>
      <c r="CM31" s="120"/>
      <c r="CN31" s="591">
        <v>25</v>
      </c>
      <c r="CO31" s="1061" t="str">
        <f>IFERROR(INDEX(S01_Bard!$BW$6:$BW$35,MATCH(Character_Spellcasting!CN31,S01_Bard!$BY$69:$BY$98,0),1),"")&amp;IFERROR(INDEX(S02_Cleric!$BW$6:$BW$35,MATCH(Character_Spellcasting!CN31,S02_Cleric!$BY$69:$BY$98,0),1),"")&amp;IFERROR(INDEX(S03_Druid!$BW$6:$BW$35,MATCH(Character_Spellcasting!CN31,S03_Druid!$BY$69:$BY$98,0),1),"")&amp;IFERROR(INDEX(S04_EldritchKnight!$BW$6:$BW$35,MATCH(Character_Spellcasting!CN31,S04_EldritchKnight!$BY$69:$BY$98,0),1),"")&amp;IFERROR(INDEX(S05_Paladin!$BW$6:$BW$35,MATCH(Character_Spellcasting!CN31,S05_Paladin!$BY$69:$BY$98,0),1),"")&amp;IFERROR(INDEX(S06_Ranger!$BW$6:$BW$35,MATCH(Character_Spellcasting!CN31,S06_Ranger!$BY$69:$BY$988,0),1),"")&amp;IFERROR(INDEX(S07_ArcaneTrickster!$BW$6:$BW$35,MATCH(Character_Spellcasting!CN31,S07_ArcaneTrickster!$BY$69:$BY$988,0),1),"")&amp;IFERROR(INDEX(S08_Sorcerer!$BW$6:$BW$35,MATCH(Character_Spellcasting!CN31,S08_Sorcerer!$BY$69:$BY$98,0),1),"")&amp;IFERROR(INDEX(S09_Warlock!$BW$6:$BW$35,MATCH(Character_Spellcasting!CN31,S09_Warlock!$BY$69:$BY$98,0),1),"")&amp;IFERROR(INDEX(S10_Wizard!$BW$6:$BW$35,MATCH(Character_Spellcasting!CN31,S10_Wizard!$BY$69:$BY$98,0),1),"")</f>
        <v/>
      </c>
      <c r="CP31" s="1061"/>
      <c r="CQ31" s="1061"/>
      <c r="CR31" s="1061"/>
      <c r="CS31" s="1061"/>
      <c r="CT31" s="1096" t="str">
        <f>IFERROR(INDEX(S01_Bard!$BZ$69:$BZ$98,MATCH(Character_Spellcasting!CN31,S01_Bard!$D$69:$D$98,0),1),"")&amp;IFERROR(INDEX(S02_Cleric!$BZ$69:$BZ$98,MATCH(Character_Spellcasting!CN31,S02_Cleric!$BY$69:$BY$98,0),1),"")&amp;IFERROR(INDEX(S03_Druid!$BZ$69:$BZ$98,MATCH(Character_Spellcasting!CN31,S03_Druid!$BY$69:$BY$98,0),1),"")&amp;IFERROR(INDEX(S04_EldritchKnight!$BZ$69:$BZ$98,MATCH(Character_Spellcasting!CN31,S04_EldritchKnight!$BY$69:$BY$98,0),1),"")&amp;IFERROR(INDEX(S05_Paladin!$BZ$69:$BZ$98,MATCH(Character_Spellcasting!CN31,S05_Paladin!$BY$69:$BY$98,0),1),"")&amp;IFERROR(INDEX(S06_Ranger!$BZ$69:$BZ$98,MATCH(Character_Spellcasting!CN31,S06_Ranger!$BY$69:$BY$988,0),1),"")&amp;IFERROR(INDEX(S07_ArcaneTrickster!$BZ$69:$BZ$98,MATCH(Character_Spellcasting!CN31,S07_ArcaneTrickster!$BY$69:$BY$988,0),1),"")&amp;IFERROR(INDEX(S08_Sorcerer!$BZ$69:$BZ$98,MATCH(Character_Spellcasting!CN31,S08_Sorcerer!$BY$69:$BY$98,0),1),"")&amp;IFERROR(INDEX(S09_Warlock!$BZ$69:$BZ$98,MATCH(Character_Spellcasting!CN31,S09_Warlock!$BY$69:$BY$98,0),1),"")&amp;IFERROR(INDEX(S10_Wizard!$BZ$69:$BZ$98,MATCH(Character_Spellcasting!CN31,S10_Wizard!$BY$69:$BY$98,0),1),"")</f>
        <v/>
      </c>
      <c r="CU31" s="1096"/>
      <c r="CV31" s="567"/>
      <c r="CW31" s="565"/>
      <c r="CX31" s="565"/>
      <c r="CY31" s="565"/>
      <c r="CZ31" s="565"/>
      <c r="DA31" s="610">
        <v>25</v>
      </c>
      <c r="DB31" s="1061" t="str">
        <f t="shared" si="0"/>
        <v/>
      </c>
      <c r="DC31" s="1061"/>
      <c r="DD31" s="1061"/>
      <c r="DE31" s="1061"/>
      <c r="DF31" s="1061"/>
      <c r="DG31" s="1096" t="str">
        <f t="shared" si="1"/>
        <v/>
      </c>
      <c r="DH31" s="1096"/>
      <c r="DI31" s="565"/>
      <c r="DJ31" s="565"/>
      <c r="DK31" s="565"/>
      <c r="DL31" s="565"/>
      <c r="DM31" s="565"/>
      <c r="DN31" s="565"/>
      <c r="DO31" s="565"/>
      <c r="DP31" s="565"/>
      <c r="DQ31" s="565"/>
      <c r="DR31" s="565"/>
      <c r="DS31" s="565"/>
      <c r="DT31" s="565"/>
      <c r="DU31" s="565"/>
      <c r="DV31" s="565"/>
    </row>
    <row r="32" spans="1:126" ht="21" x14ac:dyDescent="0.25">
      <c r="A32" s="120"/>
      <c r="B32" s="610">
        <v>26</v>
      </c>
      <c r="C32" s="1061"/>
      <c r="D32" s="1061"/>
      <c r="E32" s="1061"/>
      <c r="F32" s="1061"/>
      <c r="G32" s="1061"/>
      <c r="H32" s="1096"/>
      <c r="I32" s="1096"/>
      <c r="J32" s="120"/>
      <c r="K32" s="120"/>
      <c r="L32" s="591">
        <v>26</v>
      </c>
      <c r="M32" s="1061" t="str">
        <f>IFERROR(INDEX(S01_Bard!$C$6:$C$35,MATCH(Character_Spellcasting!L32,S01_Bard!$E$69:$E$98,0),1),"")&amp;IFERROR(INDEX(S02_Cleric!$C$6:$C$35,MATCH(Character_Spellcasting!L32,S02_Cleric!$E$69:$E$98,0),1),"")&amp;IFERROR(INDEX(S03_Druid!$C$6:$C$35,MATCH(Character_Spellcasting!L32,S03_Druid!$E$69:$E$98,0),1),"")&amp;IFERROR(INDEX(S04_EldritchKnight!$C$6:$C$35,MATCH(Character_Spellcasting!L32,S04_EldritchKnight!$E$69:$E$98,0),1),"")&amp;IFERROR(INDEX(S05_Paladin!$C$6:$C$35,MATCH(Character_Spellcasting!L32,S05_Paladin!$E$69:$E$98,0),1),"")&amp;IFERROR(INDEX(S06_Ranger!$C$6:$C$35,MATCH(Character_Spellcasting!L32,S06_Ranger!$E$69:$E$988,0),1),"")&amp;IFERROR(INDEX(S07_ArcaneTrickster!$C$6:$C$35,MATCH(Character_Spellcasting!L32,S07_ArcaneTrickster!$E$69:$E$988,0),1),"")&amp;IFERROR(INDEX(S08_Sorcerer!$C$6:$C$35,MATCH(Character_Spellcasting!L32,S08_Sorcerer!$E$69:$E$98,0),1),"")&amp;IFERROR(INDEX(S09_Warlock!$C$6:$C$35,MATCH(Character_Spellcasting!L32,S09_Warlock!$E$69:$E$98,0),1),"")&amp;IFERROR(INDEX(S10_Wizard!$C$6:$C$35,MATCH(Character_Spellcasting!L32,S10_Wizard!$E$69:$E$98,0),1),"")</f>
        <v/>
      </c>
      <c r="N32" s="1061"/>
      <c r="O32" s="1061"/>
      <c r="P32" s="1061"/>
      <c r="Q32" s="1061"/>
      <c r="R32" s="1096" t="str">
        <f>IFERROR(INDEX(S01_Bard!$F$69:$F$98,MATCH(Character_Spellcasting!L32,S01_Bard!$D$69:$D$98,0),1),"")&amp;IFERROR(INDEX(S02_Cleric!$F$69:$F$98,MATCH(Character_Spellcasting!L32,S02_Cleric!$E$69:$E$98,0),1),"")&amp;IFERROR(INDEX(S03_Druid!$F$69:$F$98,MATCH(Character_Spellcasting!L32,S03_Druid!$E$69:$E$98,0),1),"")&amp;IFERROR(INDEX(S04_EldritchKnight!$F$69:$F$98,MATCH(Character_Spellcasting!L32,S04_EldritchKnight!$E$69:$E$98,0),1),"")&amp;IFERROR(INDEX(S05_Paladin!$F$69:$F$98,MATCH(Character_Spellcasting!L32,S05_Paladin!$E$69:$E$98,0),1),"")&amp;IFERROR(INDEX(S06_Ranger!$F$69:$F$98,MATCH(Character_Spellcasting!L32,S06_Ranger!$E$69:$E$988,0),1),"")&amp;IFERROR(INDEX(S07_ArcaneTrickster!$F$69:$F$98,MATCH(Character_Spellcasting!L32,S07_ArcaneTrickster!$E$69:$E$988,0),1),"")&amp;IFERROR(INDEX(S08_Sorcerer!$F$69:$F$98,MATCH(Character_Spellcasting!L32,S08_Sorcerer!$E$69:$E$98,0),1),"")&amp;IFERROR(INDEX(S09_Warlock!$F$69:$F$98,MATCH(Character_Spellcasting!L32,S09_Warlock!$E$69:$E$98,0),1),"")&amp;IFERROR(INDEX(S10_Wizard!$F$69:$F$98,MATCH(Character_Spellcasting!L32,S10_Wizard!$E$69:$E$98,0),1),"")</f>
        <v/>
      </c>
      <c r="S32" s="1096"/>
      <c r="T32" s="567"/>
      <c r="U32" s="565"/>
      <c r="V32" s="591">
        <v>26</v>
      </c>
      <c r="W32" s="1061" t="str">
        <f>IFERROR(INDEX(S01_Bard!$L$6:$L$35,MATCH(Character_Spellcasting!V32,S01_Bard!$N$69:$N$98,0),1),"")&amp;IFERROR(INDEX(S02_Cleric!$L$6:$L$35,MATCH(Character_Spellcasting!V32,S02_Cleric!$N$69:$N$98,0),1),"")&amp;IFERROR(INDEX(S03_Druid!$L$6:$L$35,MATCH(Character_Spellcasting!V32,S03_Druid!$N$69:$N$98,0),1),"")&amp;IFERROR(INDEX(S04_EldritchKnight!$L$6:$L$35,MATCH(Character_Spellcasting!V32,S04_EldritchKnight!$N$69:$N$98,0),1),"")&amp;IFERROR(INDEX(S05_Paladin!$L$6:$L$35,MATCH(Character_Spellcasting!V32,S05_Paladin!$N$69:$N$98,0),1),"")&amp;IFERROR(INDEX(S06_Ranger!$L$6:$L$35,MATCH(Character_Spellcasting!V32,S06_Ranger!$N$69:$N$988,0),1),"")&amp;IFERROR(INDEX(S07_ArcaneTrickster!$L$6:$L$35,MATCH(Character_Spellcasting!V32,S07_ArcaneTrickster!$N$69:$N$988,0),1),"")&amp;IFERROR(INDEX(S08_Sorcerer!$L$6:$L$35,MATCH(Character_Spellcasting!V32,S08_Sorcerer!$N$69:$N$98,0),1),"")&amp;IFERROR(INDEX(S09_Warlock!$L$6:$L$35,MATCH(Character_Spellcasting!V32,S09_Warlock!$N$69:$N$98,0),1),"")&amp;IFERROR(INDEX(S10_Wizard!$L$6:$L$35,MATCH(Character_Spellcasting!V32,S10_Wizard!$N$69:$N$98,0),1),"")</f>
        <v/>
      </c>
      <c r="X32" s="1061"/>
      <c r="Y32" s="1061"/>
      <c r="Z32" s="1061"/>
      <c r="AA32" s="1061"/>
      <c r="AB32" s="1097" t="str">
        <f>IFERROR(INDEX(S01_Bard!$O$69:$O$98,MATCH(Character_Spellcasting!V32,S01_Bard!$N$69:$N$98,0),1),"")&amp;IFERROR(INDEX(S02_Cleric!$O$69:$O$98,MATCH(Character_Spellcasting!V32,S02_Cleric!$N$69:$N$98,0),1),"")&amp;IFERROR(INDEX(S03_Druid!$O$69:$O$98,MATCH(Character_Spellcasting!V32,S03_Druid!$N$69:$N$98,0),1),"")&amp;IFERROR(INDEX(S04_EldritchKnight!$O$69:$O$98,MATCH(Character_Spellcasting!V32,S04_EldritchKnight!$N$69:$N$98,0),1),"")&amp;IFERROR(INDEX(S05_Paladin!$O$69:$O$98,MATCH(Character_Spellcasting!V32,S05_Paladin!$N$69:$N$98,0),1),"")&amp;IFERROR(INDEX(S06_Ranger!$O$69:$O$98,MATCH(Character_Spellcasting!V32,S06_Ranger!$N$69:$N$988,0),1),"")&amp;IFERROR(INDEX(S07_ArcaneTrickster!$O$69:$O$98,MATCH(Character_Spellcasting!V32,S07_ArcaneTrickster!$N$69:$N$988,0),1),"")&amp;IFERROR(INDEX(S08_Sorcerer!$O$69:$O$98,MATCH(Character_Spellcasting!V32,S08_Sorcerer!$N$69:$N$98,0),1),"")&amp;IFERROR(INDEX(S09_Warlock!$O$69:$O$98,MATCH(Character_Spellcasting!V32,S09_Warlock!$N$69:$N$98,0),1),"")&amp;IFERROR(INDEX(S10_Wizard!$O$69:$O$98,MATCH(Character_Spellcasting!V32,S10_Wizard!$N$69:$N$98,0),1),"")</f>
        <v/>
      </c>
      <c r="AC32" s="1098"/>
      <c r="AD32" s="567"/>
      <c r="AE32" s="565"/>
      <c r="AF32" s="609">
        <v>26</v>
      </c>
      <c r="AG32" s="1061" t="str">
        <f>IFERROR(INDEX(S01_Bard!$U$6:$U$35,MATCH(Character_Spellcasting!AF32,S01_Bard!$W$69:$W$98,0),1),"")&amp;IFERROR(INDEX(S02_Cleric!$U$6:$U$35,MATCH(Character_Spellcasting!AF32,S02_Cleric!$W$69:$W$98,0),1),"")&amp;IFERROR(INDEX(S03_Druid!$U$6:$U$35,MATCH(Character_Spellcasting!AF32,S03_Druid!$W$69:$W$98,0),1),"")&amp;IFERROR(INDEX(S04_EldritchKnight!$U$6:$U$35,MATCH(Character_Spellcasting!AF32,S04_EldritchKnight!$W$69:$W$98,0),1),"")&amp;IFERROR(INDEX(S05_Paladin!$U$6:$U$35,MATCH(Character_Spellcasting!AF32,S05_Paladin!$W$69:$W$98,0),1),"")&amp;IFERROR(INDEX(S06_Ranger!$U$6:$U$35,MATCH(Character_Spellcasting!AF32,S06_Ranger!$W$69:$W$988,0),1),"")&amp;IFERROR(INDEX(S07_ArcaneTrickster!$U$6:$U$35,MATCH(Character_Spellcasting!AF32,S07_ArcaneTrickster!$W$69:$W$988,0),1),"")&amp;IFERROR(INDEX(S08_Sorcerer!$U$6:$U$35,MATCH(Character_Spellcasting!AF32,S08_Sorcerer!$W$69:$W$98,0),1),"")&amp;IFERROR(INDEX(S09_Warlock!$U$6:$U$35,MATCH(Character_Spellcasting!AF32,S09_Warlock!$W$69:$W$98,0),1),"")&amp;IFERROR(INDEX(S10_Wizard!$U$6:$U$35,MATCH(Character_Spellcasting!AF32,S10_Wizard!$W$69:$W$98,0),1),"")</f>
        <v/>
      </c>
      <c r="AH32" s="1061"/>
      <c r="AI32" s="1061"/>
      <c r="AJ32" s="1061"/>
      <c r="AK32" s="1061"/>
      <c r="AL32" s="1097" t="str">
        <f>IFERROR(INDEX(S01_Bard!$X$69:$X$98,MATCH(Character_Spellcasting!AF32,S01_Bard!$W$69:$W$98,0),1),"")&amp;IFERROR(INDEX(S02_Cleric!$X$69:$X$98,MATCH(Character_Spellcasting!AF32,S02_Cleric!$W$69:$W$98,0),1),"")&amp;IFERROR(INDEX(S03_Druid!$X$69:$X$98,MATCH(Character_Spellcasting!AF32,S03_Druid!$W$69:$W$98,0),1),"")&amp;IFERROR(INDEX(S04_EldritchKnight!$X$69:$X$98,MATCH(Character_Spellcasting!AF32,S04_EldritchKnight!$W$69:$W$98,0),1),"")&amp;IFERROR(INDEX(S05_Paladin!$X$69:$X$98,MATCH(Character_Spellcasting!AF32,S05_Paladin!$W$69:$W$98,0),1),"")&amp;IFERROR(INDEX(S06_Ranger!$X$69:$X$98,MATCH(Character_Spellcasting!AF32,S06_Ranger!$W$69:$W$988,0),1),"")&amp;IFERROR(INDEX(S07_ArcaneTrickster!$X$69:$X$98,MATCH(Character_Spellcasting!AF32,S07_ArcaneTrickster!$W$69:$W$988,0),1),"")&amp;IFERROR(INDEX(S08_Sorcerer!$X$69:$X$98,MATCH(Character_Spellcasting!AF32,S08_Sorcerer!$W$69:$W$98,0),1),"")&amp;IFERROR(INDEX(S09_Warlock!$X$69:$X$98,MATCH(Character_Spellcasting!AF32,S09_Warlock!$W$69:$W$98,0),1),"")&amp;IFERROR(INDEX(S10_Wizard!$X$69:$X$98,MATCH(Character_Spellcasting!AF32,S10_Wizard!$W$69:$W$98,0),1),"")</f>
        <v/>
      </c>
      <c r="AM32" s="1098"/>
      <c r="AN32" s="567"/>
      <c r="AO32" s="565"/>
      <c r="AP32" s="591">
        <v>26</v>
      </c>
      <c r="AQ32" s="1061" t="str">
        <f>IFERROR(INDEX(S01_Bard!$AD$6:$AD$35,MATCH(Character_Spellcasting!AP32,S01_Bard!$AF$69:$AF$98,0),1),"")&amp;IFERROR(INDEX(S02_Cleric!$AD$6:$AD$35,MATCH(Character_Spellcasting!AP32,S02_Cleric!$AF$69:$AF$98,0),1),"")&amp;IFERROR(INDEX(S03_Druid!$AD$6:$AD$35,MATCH(Character_Spellcasting!AP32,S03_Druid!$AF$69:$AF$98,0),1),"")&amp;IFERROR(INDEX(S04_EldritchKnight!$AD$6:$AD$35,MATCH(Character_Spellcasting!AP32,S04_EldritchKnight!$AF$69:$AF$98,0),1),"")&amp;IFERROR(INDEX(S05_Paladin!$AD$6:$AD$35,MATCH(Character_Spellcasting!AP32,S05_Paladin!$AF$69:$AF$98,0),1),"")&amp;IFERROR(INDEX(S06_Ranger!$AD$6:$AD$35,MATCH(Character_Spellcasting!AP32,S06_Ranger!$AF$69:$AF$988,0),1),"")&amp;IFERROR(INDEX(S07_ArcaneTrickster!$AD$6:$AD$35,MATCH(Character_Spellcasting!AP32,S07_ArcaneTrickster!$AF$69:$AF$988,0),1),"")&amp;IFERROR(INDEX(S08_Sorcerer!$AD$6:$AD$35,MATCH(Character_Spellcasting!AP32,S08_Sorcerer!$AF$69:$AF$98,0),1),"")&amp;IFERROR(INDEX(S09_Warlock!$AD$6:$AD$35,MATCH(Character_Spellcasting!AP32,S09_Warlock!$AF$69:$AF$98,0),1),"")&amp;IFERROR(INDEX(S10_Wizard!$AD$6:$AD$35,MATCH(Character_Spellcasting!AP32,S10_Wizard!$AF$69:$AF$98,0),1),"")</f>
        <v/>
      </c>
      <c r="AR32" s="1061"/>
      <c r="AS32" s="1061"/>
      <c r="AT32" s="1061"/>
      <c r="AU32" s="1061"/>
      <c r="AV32" s="1096" t="str">
        <f>IFERROR(INDEX(S01_Bard!$AG$69:$AG$98,MATCH(Character_Spellcasting!AP32,S01_Bard!$D$69:$D$98,0),1),"")&amp;IFERROR(INDEX(S02_Cleric!$AG$69:$AG$98,MATCH(Character_Spellcasting!AP32,S02_Cleric!$AF$69:$AF$98,0),1),"")&amp;IFERROR(INDEX(S03_Druid!$AG$69:$AG$98,MATCH(Character_Spellcasting!AP32,S03_Druid!$AF$69:$AF$98,0),1),"")&amp;IFERROR(INDEX(S04_EldritchKnight!$AG$69:$AG$98,MATCH(Character_Spellcasting!AP32,S04_EldritchKnight!$AF$69:$AF$98,0),1),"")&amp;IFERROR(INDEX(S05_Paladin!$AG$69:$AG$98,MATCH(Character_Spellcasting!AP32,S05_Paladin!$AF$69:$AF$98,0),1),"")&amp;IFERROR(INDEX(S06_Ranger!$AG$69:$AG$98,MATCH(Character_Spellcasting!AP32,S06_Ranger!$AF$69:$AF$988,0),1),"")&amp;IFERROR(INDEX(S07_ArcaneTrickster!$AG$69:$AG$98,MATCH(Character_Spellcasting!AP32,S07_ArcaneTrickster!$AF$69:$AF$988,0),1),"")&amp;IFERROR(INDEX(S08_Sorcerer!$AG$69:$AG$98,MATCH(Character_Spellcasting!AP32,S08_Sorcerer!$AF$69:$AF$98,0),1),"")&amp;IFERROR(INDEX(S09_Warlock!$AG$69:$AG$98,MATCH(Character_Spellcasting!AP32,S09_Warlock!$AF$69:$AF$98,0),1),"")&amp;IFERROR(INDEX(S10_Wizard!$AG$69:$AG$98,MATCH(Character_Spellcasting!AP32,S10_Wizard!$AF$69:$AF$98,0),1),"")</f>
        <v/>
      </c>
      <c r="AW32" s="1096"/>
      <c r="AX32" s="567"/>
      <c r="AY32" s="565"/>
      <c r="AZ32" s="591">
        <v>26</v>
      </c>
      <c r="BA32" s="1061" t="str">
        <f>IFERROR(INDEX(S01_Bard!$AM$6:$AM$35,MATCH(Character_Spellcasting!AZ32,S01_Bard!$AO$69:$AO$98,0),1),"")&amp;IFERROR(INDEX(S02_Cleric!$AM$6:$AM$35,MATCH(Character_Spellcasting!AZ32,S02_Cleric!$AO$69:$AO$98,0),1),"")&amp;IFERROR(INDEX(S03_Druid!$AM$6:$AM$35,MATCH(Character_Spellcasting!AZ32,S03_Druid!$AO$69:$AO$98,0),1),"")&amp;IFERROR(INDEX(S04_EldritchKnight!$AM$6:$AM$35,MATCH(Character_Spellcasting!AZ32,S04_EldritchKnight!$AO$69:$AO$98,0),1),"")&amp;IFERROR(INDEX(S05_Paladin!$AM$6:$AM$35,MATCH(Character_Spellcasting!AZ32,S05_Paladin!$AO$69:$AO$98,0),1),"")&amp;IFERROR(INDEX(S06_Ranger!$AM$6:$AM$35,MATCH(Character_Spellcasting!AZ32,S06_Ranger!$AO$69:$AO$988,0),1),"")&amp;IFERROR(INDEX(S07_ArcaneTrickster!$AM$6:$AM$35,MATCH(Character_Spellcasting!AZ32,S07_ArcaneTrickster!$AO$69:$AO$988,0),1),"")&amp;IFERROR(INDEX(S08_Sorcerer!$AM$6:$AM$35,MATCH(Character_Spellcasting!AZ32,S08_Sorcerer!$AO$69:$AO$98,0),1),"")&amp;IFERROR(INDEX(S09_Warlock!$AM$6:$AM$35,MATCH(Character_Spellcasting!AZ32,S09_Warlock!$AO$69:$AO$98,0),1),"")&amp;IFERROR(INDEX(S10_Wizard!$AM$6:$AM$35,MATCH(Character_Spellcasting!AZ32,S10_Wizard!$AO$69:$AO$98,0),1),"")</f>
        <v/>
      </c>
      <c r="BB32" s="1061"/>
      <c r="BC32" s="1061"/>
      <c r="BD32" s="1061"/>
      <c r="BE32" s="1061"/>
      <c r="BF32" s="1096" t="str">
        <f>IFERROR(INDEX(S01_Bard!$AP$69:$AP$98,MATCH(Character_Spellcasting!AZ32,S01_Bard!$D$69:$D$98,0),1),"")&amp;IFERROR(INDEX(S02_Cleric!$AP$69:$AP$98,MATCH(Character_Spellcasting!AZ32,S02_Cleric!$AO$69:$AO$98,0),1),"")&amp;IFERROR(INDEX(S03_Druid!$AP$69:$AP$98,MATCH(Character_Spellcasting!AZ32,S03_Druid!$AO$69:$AO$98,0),1),"")&amp;IFERROR(INDEX(S04_EldritchKnight!$AP$69:$AP$98,MATCH(Character_Spellcasting!AZ32,S04_EldritchKnight!$AO$69:$AO$98,0),1),"")&amp;IFERROR(INDEX(S05_Paladin!$AP$69:$AP$98,MATCH(Character_Spellcasting!AZ32,S05_Paladin!$AO$69:$AO$98,0),1),"")&amp;IFERROR(INDEX(S06_Ranger!$AP$69:$AP$98,MATCH(Character_Spellcasting!AZ32,S06_Ranger!$AO$69:$AO$988,0),1),"")&amp;IFERROR(INDEX(S07_ArcaneTrickster!$AP$69:$AP$98,MATCH(Character_Spellcasting!AZ32,S07_ArcaneTrickster!$AO$69:$AO$988,0),1),"")&amp;IFERROR(INDEX(S08_Sorcerer!$AP$69:$AP$98,MATCH(Character_Spellcasting!AZ32,S08_Sorcerer!$AO$69:$AO$98,0),1),"")&amp;IFERROR(INDEX(S09_Warlock!$AP$69:$AP$98,MATCH(Character_Spellcasting!AZ32,S09_Warlock!$AO$69:$AO$98,0),1),"")&amp;IFERROR(INDEX(S10_Wizard!$AP$69:$AP$98,MATCH(Character_Spellcasting!AZ32,S10_Wizard!$AO$69:$AO$98,0),1),"")</f>
        <v/>
      </c>
      <c r="BG32" s="1096"/>
      <c r="BH32" s="567"/>
      <c r="BI32" s="120"/>
      <c r="BJ32" s="591">
        <v>26</v>
      </c>
      <c r="BK32" s="1061" t="str">
        <f>IFERROR(INDEX(S01_Bard!$AV$6:$AV$35,MATCH(Character_Spellcasting!BJ32,S01_Bard!$AX$69:$AX$98,0),1),"")&amp;IFERROR(INDEX(S02_Cleric!$AV$6:$AV$35,MATCH(Character_Spellcasting!BJ32,S02_Cleric!$AX$69:$AX$98,0),1),"")&amp;IFERROR(INDEX(S03_Druid!$AV$6:$AV$35,MATCH(Character_Spellcasting!BJ32,S03_Druid!$AX$69:$AX$98,0),1),"")&amp;IFERROR(INDEX(S04_EldritchKnight!$AV$6:$AV$35,MATCH(Character_Spellcasting!BJ32,S04_EldritchKnight!$AX$69:$AX$98,0),1),"")&amp;IFERROR(INDEX(S05_Paladin!$AV$6:$AV$35,MATCH(Character_Spellcasting!BJ32,S05_Paladin!$AX$69:$AX$98,0),1),"")&amp;IFERROR(INDEX(S06_Ranger!$AV$6:$AV$35,MATCH(Character_Spellcasting!BJ32,S06_Ranger!$AX$69:$AX$988,0),1),"")&amp;IFERROR(INDEX(S07_ArcaneTrickster!$AV$6:$AV$35,MATCH(Character_Spellcasting!BJ32,S07_ArcaneTrickster!$AX$69:$AX$988,0),1),"")&amp;IFERROR(INDEX(S08_Sorcerer!$AV$6:$AV$35,MATCH(Character_Spellcasting!BJ32,S08_Sorcerer!$AX$69:$AX$98,0),1),"")&amp;IFERROR(INDEX(S09_Warlock!$AV$6:$AV$35,MATCH(Character_Spellcasting!BJ32,S09_Warlock!$AX$69:$AX$98,0),1),"")&amp;IFERROR(INDEX(S10_Wizard!$AV$6:$AV$35,MATCH(Character_Spellcasting!BJ32,S10_Wizard!$AX$69:$AX$98,0),1),"")</f>
        <v/>
      </c>
      <c r="BL32" s="1061"/>
      <c r="BM32" s="1061"/>
      <c r="BN32" s="1061"/>
      <c r="BO32" s="1061"/>
      <c r="BP32" s="1096" t="str">
        <f>IFERROR(INDEX(S01_Bard!$AY$69:$AY$98,MATCH(Character_Spellcasting!BJ32,S01_Bard!$D$69:$D$98,0),1),"")&amp;IFERROR(INDEX(S02_Cleric!$AY$69:$AY$98,MATCH(Character_Spellcasting!BJ32,S02_Cleric!$AX$69:$AX$98,0),1),"")&amp;IFERROR(INDEX(S03_Druid!$AY$69:$AY$98,MATCH(Character_Spellcasting!BJ32,S03_Druid!$AX$69:$AX$98,0),1),"")&amp;IFERROR(INDEX(S04_EldritchKnight!$AY$69:$AY$98,MATCH(Character_Spellcasting!BJ32,S04_EldritchKnight!$AX$69:$AX$98,0),1),"")&amp;IFERROR(INDEX(S05_Paladin!$AY$69:$AY$98,MATCH(Character_Spellcasting!BJ32,S05_Paladin!$AX$69:$AX$98,0),1),"")&amp;IFERROR(INDEX(S06_Ranger!$AY$69:$AY$98,MATCH(Character_Spellcasting!BJ32,S06_Ranger!$AX$69:$AX$988,0),1),"")&amp;IFERROR(INDEX(S07_ArcaneTrickster!$AY$69:$AY$98,MATCH(Character_Spellcasting!BJ32,S07_ArcaneTrickster!$AX$69:$AX$988,0),1),"")&amp;IFERROR(INDEX(S08_Sorcerer!$AY$69:$AY$98,MATCH(Character_Spellcasting!BJ32,S08_Sorcerer!$AX$69:$AX$98,0),1),"")&amp;IFERROR(INDEX(S09_Warlock!$AY$69:$AY$98,MATCH(Character_Spellcasting!BJ32,S09_Warlock!$AX$69:$AX$98,0),1),"")&amp;IFERROR(INDEX(S10_Wizard!$AY$69:$AY$98,MATCH(Character_Spellcasting!BJ32,S10_Wizard!$AX$69:$AX$98,0),1),"")</f>
        <v/>
      </c>
      <c r="BQ32" s="1096"/>
      <c r="BR32" s="567"/>
      <c r="BS32" s="120"/>
      <c r="BT32" s="591">
        <v>26</v>
      </c>
      <c r="BU32" s="1061" t="str">
        <f>IFERROR(INDEX(S01_Bard!$BE$6:$BE$35,MATCH(Character_Spellcasting!BT32,S01_Bard!$BG$69:$BG$98,0),1),"")&amp;IFERROR(INDEX(S02_Cleric!$BE$6:$BE$35,MATCH(Character_Spellcasting!BT32,S02_Cleric!$BG$69:$BG$98,0),1),"")&amp;IFERROR(INDEX(S03_Druid!$BE$6:$BE$35,MATCH(Character_Spellcasting!BT32,S03_Druid!$BG$69:$BG$98,0),1),"")&amp;IFERROR(INDEX(S04_EldritchKnight!$BE$6:$BE$35,MATCH(Character_Spellcasting!BT32,S04_EldritchKnight!$BG$69:$BG$98,0),1),"")&amp;IFERROR(INDEX(S05_Paladin!$BE$6:$BE$35,MATCH(Character_Spellcasting!BT32,S05_Paladin!$BG$69:$BG$98,0),1),"")&amp;IFERROR(INDEX(S06_Ranger!$BE$6:$BE$35,MATCH(Character_Spellcasting!BT32,S06_Ranger!$BG$69:$BG$988,0),1),"")&amp;IFERROR(INDEX(S07_ArcaneTrickster!$BE$6:$BE$35,MATCH(Character_Spellcasting!BT32,S07_ArcaneTrickster!$BG$69:$BG$988,0),1),"")&amp;IFERROR(INDEX(S08_Sorcerer!$BE$6:$BE$35,MATCH(Character_Spellcasting!BT32,S08_Sorcerer!$BG$69:$BG$98,0),1),"")&amp;IFERROR(INDEX(S09_Warlock!$BE$6:$BE$35,MATCH(Character_Spellcasting!BT32,S09_Warlock!$BG$69:$BG$98,0),1),"")&amp;IFERROR(INDEX(S10_Wizard!$BE$6:$BE$35,MATCH(Character_Spellcasting!BT32,S10_Wizard!$BG$69:$BG$98,0),1),"")</f>
        <v/>
      </c>
      <c r="BV32" s="1061"/>
      <c r="BW32" s="1061"/>
      <c r="BX32" s="1061"/>
      <c r="BY32" s="1061"/>
      <c r="BZ32" s="1096" t="str">
        <f>IFERROR(INDEX(S01_Bard!$BH$69:$BH$98,MATCH(Character_Spellcasting!BT32,S01_Bard!$D$69:$D$98,0),1),"")&amp;IFERROR(INDEX(S02_Cleric!$BH$69:$BH$98,MATCH(Character_Spellcasting!BT32,S02_Cleric!$BG$69:$BG$98,0),1),"")&amp;IFERROR(INDEX(S03_Druid!$BH$69:$BH$98,MATCH(Character_Spellcasting!BT32,S03_Druid!$BG$69:$BG$98,0),1),"")&amp;IFERROR(INDEX(S04_EldritchKnight!$BH$69:$BH$98,MATCH(Character_Spellcasting!BT32,S04_EldritchKnight!$BG$69:$BG$98,0),1),"")&amp;IFERROR(INDEX(S05_Paladin!$BH$69:$BH$98,MATCH(Character_Spellcasting!BT32,S05_Paladin!$BG$69:$BG$98,0),1),"")&amp;IFERROR(INDEX(S06_Ranger!$BH$69:$BH$98,MATCH(Character_Spellcasting!BT32,S06_Ranger!$BG$69:$BG$988,0),1),"")&amp;IFERROR(INDEX(S07_ArcaneTrickster!$BH$69:$BH$98,MATCH(Character_Spellcasting!BT32,S07_ArcaneTrickster!$BG$69:$BG$988,0),1),"")&amp;IFERROR(INDEX(S08_Sorcerer!$BH$69:$BH$98,MATCH(Character_Spellcasting!BT32,S08_Sorcerer!$BG$69:$BG$98,0),1),"")&amp;IFERROR(INDEX(S09_Warlock!$BH$69:$BH$98,MATCH(Character_Spellcasting!BT32,S09_Warlock!$BG$69:$BG$98,0),1),"")&amp;IFERROR(INDEX(S10_Wizard!$BH$69:$BH$98,MATCH(Character_Spellcasting!BT32,S10_Wizard!$BG$69:$BG$98,0),1),"")</f>
        <v/>
      </c>
      <c r="CA32" s="1096"/>
      <c r="CB32" s="567"/>
      <c r="CC32" s="120"/>
      <c r="CD32" s="591">
        <v>26</v>
      </c>
      <c r="CE32" s="1061" t="str">
        <f>IFERROR(INDEX(S01_Bard!$BN$6:$BN$35,MATCH(Character_Spellcasting!CD32,S01_Bard!$BP$69:$BP$98,0),1),"")&amp;IFERROR(INDEX(S02_Cleric!$BN$6:$BN$35,MATCH(Character_Spellcasting!CD32,S02_Cleric!$BP$69:$BP$98,0),1),"")&amp;IFERROR(INDEX(S03_Druid!$BN$6:$BN$35,MATCH(Character_Spellcasting!CD32,S03_Druid!$BP$69:$BP$98,0),1),"")&amp;IFERROR(INDEX(S04_EldritchKnight!$BN$6:$BN$35,MATCH(Character_Spellcasting!CD32,S04_EldritchKnight!$BP$69:$BP$98,0),1),"")&amp;IFERROR(INDEX(S05_Paladin!$BN$6:$BN$35,MATCH(Character_Spellcasting!CD32,S05_Paladin!$BP$69:$BP$98,0),1),"")&amp;IFERROR(INDEX(S06_Ranger!$BN$6:$BN$35,MATCH(Character_Spellcasting!CD32,S06_Ranger!$BP$69:$BP$988,0),1),"")&amp;IFERROR(INDEX(S07_ArcaneTrickster!$BN$6:$BN$35,MATCH(Character_Spellcasting!CD32,S07_ArcaneTrickster!$BP$69:$BP$988,0),1),"")&amp;IFERROR(INDEX(S08_Sorcerer!$BN$6:$BN$35,MATCH(Character_Spellcasting!CD32,S08_Sorcerer!$BP$69:$BP$98,0),1),"")&amp;IFERROR(INDEX(S09_Warlock!$BN$6:$BN$35,MATCH(Character_Spellcasting!CD32,S09_Warlock!$BP$69:$BP$98,0),1),"")&amp;IFERROR(INDEX(S10_Wizard!$BN$6:$BN$35,MATCH(Character_Spellcasting!CD32,S10_Wizard!$BP$69:$BP$98,0),1),"")</f>
        <v/>
      </c>
      <c r="CF32" s="1061"/>
      <c r="CG32" s="1061"/>
      <c r="CH32" s="1061"/>
      <c r="CI32" s="1061"/>
      <c r="CJ32" s="1096" t="str">
        <f>IFERROR(INDEX(S01_Bard!$BQ$69:$BQ$98,MATCH(Character_Spellcasting!CD32,S01_Bard!$D$69:$D$98,0),1),"")&amp;IFERROR(INDEX(S02_Cleric!$BQ$69:$BQ$98,MATCH(Character_Spellcasting!CD32,S02_Cleric!$BP$69:$BP$98,0),1),"")&amp;IFERROR(INDEX(S03_Druid!$BQ$69:$BQ$98,MATCH(Character_Spellcasting!CD32,S03_Druid!$BP$69:$BP$98,0),1),"")&amp;IFERROR(INDEX(S04_EldritchKnight!$BQ$69:$BQ$98,MATCH(Character_Spellcasting!CD32,S04_EldritchKnight!$BP$69:$BP$98,0),1),"")&amp;IFERROR(INDEX(S05_Paladin!$BQ$69:$BQ$98,MATCH(Character_Spellcasting!CD32,S05_Paladin!$BP$69:$BP$98,0),1),"")&amp;IFERROR(INDEX(S06_Ranger!$BQ$69:$BQ$98,MATCH(Character_Spellcasting!CD32,S06_Ranger!$BP$69:$BP$988,0),1),"")&amp;IFERROR(INDEX(S07_ArcaneTrickster!$BQ$69:$BQ$98,MATCH(Character_Spellcasting!CD32,S07_ArcaneTrickster!$BP$69:$BP$988,0),1),"")&amp;IFERROR(INDEX(S08_Sorcerer!$BQ$69:$BQ$98,MATCH(Character_Spellcasting!CD32,S08_Sorcerer!$BP$69:$BP$98,0),1),"")&amp;IFERROR(INDEX(S09_Warlock!$BQ$69:$BQ$98,MATCH(Character_Spellcasting!CD32,S09_Warlock!$BP$69:$BP$98,0),1),"")&amp;IFERROR(INDEX(S10_Wizard!$BQ$69:$BQ$98,MATCH(Character_Spellcasting!CD32,S10_Wizard!$BP$69:$BP$98,0),1),"")</f>
        <v/>
      </c>
      <c r="CK32" s="1096"/>
      <c r="CL32" s="567"/>
      <c r="CM32" s="120"/>
      <c r="CN32" s="591">
        <v>26</v>
      </c>
      <c r="CO32" s="1061" t="str">
        <f>IFERROR(INDEX(S01_Bard!$BW$6:$BW$35,MATCH(Character_Spellcasting!CN32,S01_Bard!$BY$69:$BY$98,0),1),"")&amp;IFERROR(INDEX(S02_Cleric!$BW$6:$BW$35,MATCH(Character_Spellcasting!CN32,S02_Cleric!$BY$69:$BY$98,0),1),"")&amp;IFERROR(INDEX(S03_Druid!$BW$6:$BW$35,MATCH(Character_Spellcasting!CN32,S03_Druid!$BY$69:$BY$98,0),1),"")&amp;IFERROR(INDEX(S04_EldritchKnight!$BW$6:$BW$35,MATCH(Character_Spellcasting!CN32,S04_EldritchKnight!$BY$69:$BY$98,0),1),"")&amp;IFERROR(INDEX(S05_Paladin!$BW$6:$BW$35,MATCH(Character_Spellcasting!CN32,S05_Paladin!$BY$69:$BY$98,0),1),"")&amp;IFERROR(INDEX(S06_Ranger!$BW$6:$BW$35,MATCH(Character_Spellcasting!CN32,S06_Ranger!$BY$69:$BY$988,0),1),"")&amp;IFERROR(INDEX(S07_ArcaneTrickster!$BW$6:$BW$35,MATCH(Character_Spellcasting!CN32,S07_ArcaneTrickster!$BY$69:$BY$988,0),1),"")&amp;IFERROR(INDEX(S08_Sorcerer!$BW$6:$BW$35,MATCH(Character_Spellcasting!CN32,S08_Sorcerer!$BY$69:$BY$98,0),1),"")&amp;IFERROR(INDEX(S09_Warlock!$BW$6:$BW$35,MATCH(Character_Spellcasting!CN32,S09_Warlock!$BY$69:$BY$98,0),1),"")&amp;IFERROR(INDEX(S10_Wizard!$BW$6:$BW$35,MATCH(Character_Spellcasting!CN32,S10_Wizard!$BY$69:$BY$98,0),1),"")</f>
        <v/>
      </c>
      <c r="CP32" s="1061"/>
      <c r="CQ32" s="1061"/>
      <c r="CR32" s="1061"/>
      <c r="CS32" s="1061"/>
      <c r="CT32" s="1096" t="str">
        <f>IFERROR(INDEX(S01_Bard!$BZ$69:$BZ$98,MATCH(Character_Spellcasting!CN32,S01_Bard!$D$69:$D$98,0),1),"")&amp;IFERROR(INDEX(S02_Cleric!$BZ$69:$BZ$98,MATCH(Character_Spellcasting!CN32,S02_Cleric!$BY$69:$BY$98,0),1),"")&amp;IFERROR(INDEX(S03_Druid!$BZ$69:$BZ$98,MATCH(Character_Spellcasting!CN32,S03_Druid!$BY$69:$BY$98,0),1),"")&amp;IFERROR(INDEX(S04_EldritchKnight!$BZ$69:$BZ$98,MATCH(Character_Spellcasting!CN32,S04_EldritchKnight!$BY$69:$BY$98,0),1),"")&amp;IFERROR(INDEX(S05_Paladin!$BZ$69:$BZ$98,MATCH(Character_Spellcasting!CN32,S05_Paladin!$BY$69:$BY$98,0),1),"")&amp;IFERROR(INDEX(S06_Ranger!$BZ$69:$BZ$98,MATCH(Character_Spellcasting!CN32,S06_Ranger!$BY$69:$BY$988,0),1),"")&amp;IFERROR(INDEX(S07_ArcaneTrickster!$BZ$69:$BZ$98,MATCH(Character_Spellcasting!CN32,S07_ArcaneTrickster!$BY$69:$BY$988,0),1),"")&amp;IFERROR(INDEX(S08_Sorcerer!$BZ$69:$BZ$98,MATCH(Character_Spellcasting!CN32,S08_Sorcerer!$BY$69:$BY$98,0),1),"")&amp;IFERROR(INDEX(S09_Warlock!$BZ$69:$BZ$98,MATCH(Character_Spellcasting!CN32,S09_Warlock!$BY$69:$BY$98,0),1),"")&amp;IFERROR(INDEX(S10_Wizard!$BZ$69:$BZ$98,MATCH(Character_Spellcasting!CN32,S10_Wizard!$BY$69:$BY$98,0),1),"")</f>
        <v/>
      </c>
      <c r="CU32" s="1096"/>
      <c r="CV32" s="567"/>
      <c r="CW32" s="565"/>
      <c r="CX32" s="565"/>
      <c r="CY32" s="565"/>
      <c r="CZ32" s="565"/>
      <c r="DA32" s="610">
        <v>26</v>
      </c>
      <c r="DB32" s="1061" t="str">
        <f t="shared" si="0"/>
        <v/>
      </c>
      <c r="DC32" s="1061"/>
      <c r="DD32" s="1061"/>
      <c r="DE32" s="1061"/>
      <c r="DF32" s="1061"/>
      <c r="DG32" s="1096" t="str">
        <f t="shared" si="1"/>
        <v/>
      </c>
      <c r="DH32" s="1096"/>
      <c r="DI32" s="565"/>
      <c r="DJ32" s="565"/>
      <c r="DK32" s="565"/>
      <c r="DL32" s="565"/>
      <c r="DM32" s="565"/>
      <c r="DN32" s="565"/>
      <c r="DO32" s="565"/>
      <c r="DP32" s="565"/>
      <c r="DQ32" s="565"/>
      <c r="DR32" s="565"/>
      <c r="DS32" s="565"/>
      <c r="DT32" s="565"/>
      <c r="DU32" s="565"/>
      <c r="DV32" s="565"/>
    </row>
    <row r="33" spans="1:126" ht="21" x14ac:dyDescent="0.25">
      <c r="A33" s="120"/>
      <c r="B33" s="610">
        <v>27</v>
      </c>
      <c r="C33" s="1061"/>
      <c r="D33" s="1061"/>
      <c r="E33" s="1061"/>
      <c r="F33" s="1061"/>
      <c r="G33" s="1061"/>
      <c r="H33" s="1096"/>
      <c r="I33" s="1096"/>
      <c r="J33" s="120"/>
      <c r="K33" s="120"/>
      <c r="L33" s="591">
        <v>27</v>
      </c>
      <c r="M33" s="1061" t="str">
        <f>IFERROR(INDEX(S01_Bard!$C$6:$C$35,MATCH(Character_Spellcasting!L33,S01_Bard!$E$69:$E$98,0),1),"")&amp;IFERROR(INDEX(S02_Cleric!$C$6:$C$35,MATCH(Character_Spellcasting!L33,S02_Cleric!$E$69:$E$98,0),1),"")&amp;IFERROR(INDEX(S03_Druid!$C$6:$C$35,MATCH(Character_Spellcasting!L33,S03_Druid!$E$69:$E$98,0),1),"")&amp;IFERROR(INDEX(S04_EldritchKnight!$C$6:$C$35,MATCH(Character_Spellcasting!L33,S04_EldritchKnight!$E$69:$E$98,0),1),"")&amp;IFERROR(INDEX(S05_Paladin!$C$6:$C$35,MATCH(Character_Spellcasting!L33,S05_Paladin!$E$69:$E$98,0),1),"")&amp;IFERROR(INDEX(S06_Ranger!$C$6:$C$35,MATCH(Character_Spellcasting!L33,S06_Ranger!$E$69:$E$988,0),1),"")&amp;IFERROR(INDEX(S07_ArcaneTrickster!$C$6:$C$35,MATCH(Character_Spellcasting!L33,S07_ArcaneTrickster!$E$69:$E$988,0),1),"")&amp;IFERROR(INDEX(S08_Sorcerer!$C$6:$C$35,MATCH(Character_Spellcasting!L33,S08_Sorcerer!$E$69:$E$98,0),1),"")&amp;IFERROR(INDEX(S09_Warlock!$C$6:$C$35,MATCH(Character_Spellcasting!L33,S09_Warlock!$E$69:$E$98,0),1),"")&amp;IFERROR(INDEX(S10_Wizard!$C$6:$C$35,MATCH(Character_Spellcasting!L33,S10_Wizard!$E$69:$E$98,0),1),"")</f>
        <v/>
      </c>
      <c r="N33" s="1061"/>
      <c r="O33" s="1061"/>
      <c r="P33" s="1061"/>
      <c r="Q33" s="1061"/>
      <c r="R33" s="1096" t="str">
        <f>IFERROR(INDEX(S01_Bard!$F$69:$F$98,MATCH(Character_Spellcasting!L33,S01_Bard!$D$69:$D$98,0),1),"")&amp;IFERROR(INDEX(S02_Cleric!$F$69:$F$98,MATCH(Character_Spellcasting!L33,S02_Cleric!$E$69:$E$98,0),1),"")&amp;IFERROR(INDEX(S03_Druid!$F$69:$F$98,MATCH(Character_Spellcasting!L33,S03_Druid!$E$69:$E$98,0),1),"")&amp;IFERROR(INDEX(S04_EldritchKnight!$F$69:$F$98,MATCH(Character_Spellcasting!L33,S04_EldritchKnight!$E$69:$E$98,0),1),"")&amp;IFERROR(INDEX(S05_Paladin!$F$69:$F$98,MATCH(Character_Spellcasting!L33,S05_Paladin!$E$69:$E$98,0),1),"")&amp;IFERROR(INDEX(S06_Ranger!$F$69:$F$98,MATCH(Character_Spellcasting!L33,S06_Ranger!$E$69:$E$988,0),1),"")&amp;IFERROR(INDEX(S07_ArcaneTrickster!$F$69:$F$98,MATCH(Character_Spellcasting!L33,S07_ArcaneTrickster!$E$69:$E$988,0),1),"")&amp;IFERROR(INDEX(S08_Sorcerer!$F$69:$F$98,MATCH(Character_Spellcasting!L33,S08_Sorcerer!$E$69:$E$98,0),1),"")&amp;IFERROR(INDEX(S09_Warlock!$F$69:$F$98,MATCH(Character_Spellcasting!L33,S09_Warlock!$E$69:$E$98,0),1),"")&amp;IFERROR(INDEX(S10_Wizard!$F$69:$F$98,MATCH(Character_Spellcasting!L33,S10_Wizard!$E$69:$E$98,0),1),"")</f>
        <v/>
      </c>
      <c r="S33" s="1096"/>
      <c r="T33" s="567"/>
      <c r="U33" s="565"/>
      <c r="V33" s="591">
        <v>27</v>
      </c>
      <c r="W33" s="1061" t="str">
        <f>IFERROR(INDEX(S01_Bard!$L$6:$L$35,MATCH(Character_Spellcasting!V33,S01_Bard!$N$69:$N$98,0),1),"")&amp;IFERROR(INDEX(S02_Cleric!$L$6:$L$35,MATCH(Character_Spellcasting!V33,S02_Cleric!$N$69:$N$98,0),1),"")&amp;IFERROR(INDEX(S03_Druid!$L$6:$L$35,MATCH(Character_Spellcasting!V33,S03_Druid!$N$69:$N$98,0),1),"")&amp;IFERROR(INDEX(S04_EldritchKnight!$L$6:$L$35,MATCH(Character_Spellcasting!V33,S04_EldritchKnight!$N$69:$N$98,0),1),"")&amp;IFERROR(INDEX(S05_Paladin!$L$6:$L$35,MATCH(Character_Spellcasting!V33,S05_Paladin!$N$69:$N$98,0),1),"")&amp;IFERROR(INDEX(S06_Ranger!$L$6:$L$35,MATCH(Character_Spellcasting!V33,S06_Ranger!$N$69:$N$988,0),1),"")&amp;IFERROR(INDEX(S07_ArcaneTrickster!$L$6:$L$35,MATCH(Character_Spellcasting!V33,S07_ArcaneTrickster!$N$69:$N$988,0),1),"")&amp;IFERROR(INDEX(S08_Sorcerer!$L$6:$L$35,MATCH(Character_Spellcasting!V33,S08_Sorcerer!$N$69:$N$98,0),1),"")&amp;IFERROR(INDEX(S09_Warlock!$L$6:$L$35,MATCH(Character_Spellcasting!V33,S09_Warlock!$N$69:$N$98,0),1),"")&amp;IFERROR(INDEX(S10_Wizard!$L$6:$L$35,MATCH(Character_Spellcasting!V33,S10_Wizard!$N$69:$N$98,0),1),"")</f>
        <v/>
      </c>
      <c r="X33" s="1061"/>
      <c r="Y33" s="1061"/>
      <c r="Z33" s="1061"/>
      <c r="AA33" s="1061"/>
      <c r="AB33" s="1097" t="str">
        <f>IFERROR(INDEX(S01_Bard!$O$69:$O$98,MATCH(Character_Spellcasting!V33,S01_Bard!$N$69:$N$98,0),1),"")&amp;IFERROR(INDEX(S02_Cleric!$O$69:$O$98,MATCH(Character_Spellcasting!V33,S02_Cleric!$N$69:$N$98,0),1),"")&amp;IFERROR(INDEX(S03_Druid!$O$69:$O$98,MATCH(Character_Spellcasting!V33,S03_Druid!$N$69:$N$98,0),1),"")&amp;IFERROR(INDEX(S04_EldritchKnight!$O$69:$O$98,MATCH(Character_Spellcasting!V33,S04_EldritchKnight!$N$69:$N$98,0),1),"")&amp;IFERROR(INDEX(S05_Paladin!$O$69:$O$98,MATCH(Character_Spellcasting!V33,S05_Paladin!$N$69:$N$98,0),1),"")&amp;IFERROR(INDEX(S06_Ranger!$O$69:$O$98,MATCH(Character_Spellcasting!V33,S06_Ranger!$N$69:$N$988,0),1),"")&amp;IFERROR(INDEX(S07_ArcaneTrickster!$O$69:$O$98,MATCH(Character_Spellcasting!V33,S07_ArcaneTrickster!$N$69:$N$988,0),1),"")&amp;IFERROR(INDEX(S08_Sorcerer!$O$69:$O$98,MATCH(Character_Spellcasting!V33,S08_Sorcerer!$N$69:$N$98,0),1),"")&amp;IFERROR(INDEX(S09_Warlock!$O$69:$O$98,MATCH(Character_Spellcasting!V33,S09_Warlock!$N$69:$N$98,0),1),"")&amp;IFERROR(INDEX(S10_Wizard!$O$69:$O$98,MATCH(Character_Spellcasting!V33,S10_Wizard!$N$69:$N$98,0),1),"")</f>
        <v/>
      </c>
      <c r="AC33" s="1098"/>
      <c r="AD33" s="567"/>
      <c r="AE33" s="565"/>
      <c r="AF33" s="609">
        <v>27</v>
      </c>
      <c r="AG33" s="1061" t="str">
        <f>IFERROR(INDEX(S01_Bard!$U$6:$U$35,MATCH(Character_Spellcasting!AF33,S01_Bard!$W$69:$W$98,0),1),"")&amp;IFERROR(INDEX(S02_Cleric!$U$6:$U$35,MATCH(Character_Spellcasting!AF33,S02_Cleric!$W$69:$W$98,0),1),"")&amp;IFERROR(INDEX(S03_Druid!$U$6:$U$35,MATCH(Character_Spellcasting!AF33,S03_Druid!$W$69:$W$98,0),1),"")&amp;IFERROR(INDEX(S04_EldritchKnight!$U$6:$U$35,MATCH(Character_Spellcasting!AF33,S04_EldritchKnight!$W$69:$W$98,0),1),"")&amp;IFERROR(INDEX(S05_Paladin!$U$6:$U$35,MATCH(Character_Spellcasting!AF33,S05_Paladin!$W$69:$W$98,0),1),"")&amp;IFERROR(INDEX(S06_Ranger!$U$6:$U$35,MATCH(Character_Spellcasting!AF33,S06_Ranger!$W$69:$W$988,0),1),"")&amp;IFERROR(INDEX(S07_ArcaneTrickster!$U$6:$U$35,MATCH(Character_Spellcasting!AF33,S07_ArcaneTrickster!$W$69:$W$988,0),1),"")&amp;IFERROR(INDEX(S08_Sorcerer!$U$6:$U$35,MATCH(Character_Spellcasting!AF33,S08_Sorcerer!$W$69:$W$98,0),1),"")&amp;IFERROR(INDEX(S09_Warlock!$U$6:$U$35,MATCH(Character_Spellcasting!AF33,S09_Warlock!$W$69:$W$98,0),1),"")&amp;IFERROR(INDEX(S10_Wizard!$U$6:$U$35,MATCH(Character_Spellcasting!AF33,S10_Wizard!$W$69:$W$98,0),1),"")</f>
        <v/>
      </c>
      <c r="AH33" s="1061"/>
      <c r="AI33" s="1061"/>
      <c r="AJ33" s="1061"/>
      <c r="AK33" s="1061"/>
      <c r="AL33" s="1097" t="str">
        <f>IFERROR(INDEX(S01_Bard!$X$69:$X$98,MATCH(Character_Spellcasting!AF33,S01_Bard!$W$69:$W$98,0),1),"")&amp;IFERROR(INDEX(S02_Cleric!$X$69:$X$98,MATCH(Character_Spellcasting!AF33,S02_Cleric!$W$69:$W$98,0),1),"")&amp;IFERROR(INDEX(S03_Druid!$X$69:$X$98,MATCH(Character_Spellcasting!AF33,S03_Druid!$W$69:$W$98,0),1),"")&amp;IFERROR(INDEX(S04_EldritchKnight!$X$69:$X$98,MATCH(Character_Spellcasting!AF33,S04_EldritchKnight!$W$69:$W$98,0),1),"")&amp;IFERROR(INDEX(S05_Paladin!$X$69:$X$98,MATCH(Character_Spellcasting!AF33,S05_Paladin!$W$69:$W$98,0),1),"")&amp;IFERROR(INDEX(S06_Ranger!$X$69:$X$98,MATCH(Character_Spellcasting!AF33,S06_Ranger!$W$69:$W$988,0),1),"")&amp;IFERROR(INDEX(S07_ArcaneTrickster!$X$69:$X$98,MATCH(Character_Spellcasting!AF33,S07_ArcaneTrickster!$W$69:$W$988,0),1),"")&amp;IFERROR(INDEX(S08_Sorcerer!$X$69:$X$98,MATCH(Character_Spellcasting!AF33,S08_Sorcerer!$W$69:$W$98,0),1),"")&amp;IFERROR(INDEX(S09_Warlock!$X$69:$X$98,MATCH(Character_Spellcasting!AF33,S09_Warlock!$W$69:$W$98,0),1),"")&amp;IFERROR(INDEX(S10_Wizard!$X$69:$X$98,MATCH(Character_Spellcasting!AF33,S10_Wizard!$W$69:$W$98,0),1),"")</f>
        <v/>
      </c>
      <c r="AM33" s="1098"/>
      <c r="AN33" s="567"/>
      <c r="AO33" s="565"/>
      <c r="AP33" s="591">
        <v>27</v>
      </c>
      <c r="AQ33" s="1061" t="str">
        <f>IFERROR(INDEX(S01_Bard!$AD$6:$AD$35,MATCH(Character_Spellcasting!AP33,S01_Bard!$AF$69:$AF$98,0),1),"")&amp;IFERROR(INDEX(S02_Cleric!$AD$6:$AD$35,MATCH(Character_Spellcasting!AP33,S02_Cleric!$AF$69:$AF$98,0),1),"")&amp;IFERROR(INDEX(S03_Druid!$AD$6:$AD$35,MATCH(Character_Spellcasting!AP33,S03_Druid!$AF$69:$AF$98,0),1),"")&amp;IFERROR(INDEX(S04_EldritchKnight!$AD$6:$AD$35,MATCH(Character_Spellcasting!AP33,S04_EldritchKnight!$AF$69:$AF$98,0),1),"")&amp;IFERROR(INDEX(S05_Paladin!$AD$6:$AD$35,MATCH(Character_Spellcasting!AP33,S05_Paladin!$AF$69:$AF$98,0),1),"")&amp;IFERROR(INDEX(S06_Ranger!$AD$6:$AD$35,MATCH(Character_Spellcasting!AP33,S06_Ranger!$AF$69:$AF$988,0),1),"")&amp;IFERROR(INDEX(S07_ArcaneTrickster!$AD$6:$AD$35,MATCH(Character_Spellcasting!AP33,S07_ArcaneTrickster!$AF$69:$AF$988,0),1),"")&amp;IFERROR(INDEX(S08_Sorcerer!$AD$6:$AD$35,MATCH(Character_Spellcasting!AP33,S08_Sorcerer!$AF$69:$AF$98,0),1),"")&amp;IFERROR(INDEX(S09_Warlock!$AD$6:$AD$35,MATCH(Character_Spellcasting!AP33,S09_Warlock!$AF$69:$AF$98,0),1),"")&amp;IFERROR(INDEX(S10_Wizard!$AD$6:$AD$35,MATCH(Character_Spellcasting!AP33,S10_Wizard!$AF$69:$AF$98,0),1),"")</f>
        <v/>
      </c>
      <c r="AR33" s="1061"/>
      <c r="AS33" s="1061"/>
      <c r="AT33" s="1061"/>
      <c r="AU33" s="1061"/>
      <c r="AV33" s="1096" t="str">
        <f>IFERROR(INDEX(S01_Bard!$AG$69:$AG$98,MATCH(Character_Spellcasting!AP33,S01_Bard!$D$69:$D$98,0),1),"")&amp;IFERROR(INDEX(S02_Cleric!$AG$69:$AG$98,MATCH(Character_Spellcasting!AP33,S02_Cleric!$AF$69:$AF$98,0),1),"")&amp;IFERROR(INDEX(S03_Druid!$AG$69:$AG$98,MATCH(Character_Spellcasting!AP33,S03_Druid!$AF$69:$AF$98,0),1),"")&amp;IFERROR(INDEX(S04_EldritchKnight!$AG$69:$AG$98,MATCH(Character_Spellcasting!AP33,S04_EldritchKnight!$AF$69:$AF$98,0),1),"")&amp;IFERROR(INDEX(S05_Paladin!$AG$69:$AG$98,MATCH(Character_Spellcasting!AP33,S05_Paladin!$AF$69:$AF$98,0),1),"")&amp;IFERROR(INDEX(S06_Ranger!$AG$69:$AG$98,MATCH(Character_Spellcasting!AP33,S06_Ranger!$AF$69:$AF$988,0),1),"")&amp;IFERROR(INDEX(S07_ArcaneTrickster!$AG$69:$AG$98,MATCH(Character_Spellcasting!AP33,S07_ArcaneTrickster!$AF$69:$AF$988,0),1),"")&amp;IFERROR(INDEX(S08_Sorcerer!$AG$69:$AG$98,MATCH(Character_Spellcasting!AP33,S08_Sorcerer!$AF$69:$AF$98,0),1),"")&amp;IFERROR(INDEX(S09_Warlock!$AG$69:$AG$98,MATCH(Character_Spellcasting!AP33,S09_Warlock!$AF$69:$AF$98,0),1),"")&amp;IFERROR(INDEX(S10_Wizard!$AG$69:$AG$98,MATCH(Character_Spellcasting!AP33,S10_Wizard!$AF$69:$AF$98,0),1),"")</f>
        <v/>
      </c>
      <c r="AW33" s="1096"/>
      <c r="AX33" s="567"/>
      <c r="AY33" s="565"/>
      <c r="AZ33" s="591">
        <v>27</v>
      </c>
      <c r="BA33" s="1061" t="str">
        <f>IFERROR(INDEX(S01_Bard!$AM$6:$AM$35,MATCH(Character_Spellcasting!AZ33,S01_Bard!$AO$69:$AO$98,0),1),"")&amp;IFERROR(INDEX(S02_Cleric!$AM$6:$AM$35,MATCH(Character_Spellcasting!AZ33,S02_Cleric!$AO$69:$AO$98,0),1),"")&amp;IFERROR(INDEX(S03_Druid!$AM$6:$AM$35,MATCH(Character_Spellcasting!AZ33,S03_Druid!$AO$69:$AO$98,0),1),"")&amp;IFERROR(INDEX(S04_EldritchKnight!$AM$6:$AM$35,MATCH(Character_Spellcasting!AZ33,S04_EldritchKnight!$AO$69:$AO$98,0),1),"")&amp;IFERROR(INDEX(S05_Paladin!$AM$6:$AM$35,MATCH(Character_Spellcasting!AZ33,S05_Paladin!$AO$69:$AO$98,0),1),"")&amp;IFERROR(INDEX(S06_Ranger!$AM$6:$AM$35,MATCH(Character_Spellcasting!AZ33,S06_Ranger!$AO$69:$AO$988,0),1),"")&amp;IFERROR(INDEX(S07_ArcaneTrickster!$AM$6:$AM$35,MATCH(Character_Spellcasting!AZ33,S07_ArcaneTrickster!$AO$69:$AO$988,0),1),"")&amp;IFERROR(INDEX(S08_Sorcerer!$AM$6:$AM$35,MATCH(Character_Spellcasting!AZ33,S08_Sorcerer!$AO$69:$AO$98,0),1),"")&amp;IFERROR(INDEX(S09_Warlock!$AM$6:$AM$35,MATCH(Character_Spellcasting!AZ33,S09_Warlock!$AO$69:$AO$98,0),1),"")&amp;IFERROR(INDEX(S10_Wizard!$AM$6:$AM$35,MATCH(Character_Spellcasting!AZ33,S10_Wizard!$AO$69:$AO$98,0),1),"")</f>
        <v/>
      </c>
      <c r="BB33" s="1061"/>
      <c r="BC33" s="1061"/>
      <c r="BD33" s="1061"/>
      <c r="BE33" s="1061"/>
      <c r="BF33" s="1096" t="str">
        <f>IFERROR(INDEX(S01_Bard!$AP$69:$AP$98,MATCH(Character_Spellcasting!AZ33,S01_Bard!$D$69:$D$98,0),1),"")&amp;IFERROR(INDEX(S02_Cleric!$AP$69:$AP$98,MATCH(Character_Spellcasting!AZ33,S02_Cleric!$AO$69:$AO$98,0),1),"")&amp;IFERROR(INDEX(S03_Druid!$AP$69:$AP$98,MATCH(Character_Spellcasting!AZ33,S03_Druid!$AO$69:$AO$98,0),1),"")&amp;IFERROR(INDEX(S04_EldritchKnight!$AP$69:$AP$98,MATCH(Character_Spellcasting!AZ33,S04_EldritchKnight!$AO$69:$AO$98,0),1),"")&amp;IFERROR(INDEX(S05_Paladin!$AP$69:$AP$98,MATCH(Character_Spellcasting!AZ33,S05_Paladin!$AO$69:$AO$98,0),1),"")&amp;IFERROR(INDEX(S06_Ranger!$AP$69:$AP$98,MATCH(Character_Spellcasting!AZ33,S06_Ranger!$AO$69:$AO$988,0),1),"")&amp;IFERROR(INDEX(S07_ArcaneTrickster!$AP$69:$AP$98,MATCH(Character_Spellcasting!AZ33,S07_ArcaneTrickster!$AO$69:$AO$988,0),1),"")&amp;IFERROR(INDEX(S08_Sorcerer!$AP$69:$AP$98,MATCH(Character_Spellcasting!AZ33,S08_Sorcerer!$AO$69:$AO$98,0),1),"")&amp;IFERROR(INDEX(S09_Warlock!$AP$69:$AP$98,MATCH(Character_Spellcasting!AZ33,S09_Warlock!$AO$69:$AO$98,0),1),"")&amp;IFERROR(INDEX(S10_Wizard!$AP$69:$AP$98,MATCH(Character_Spellcasting!AZ33,S10_Wizard!$AO$69:$AO$98,0),1),"")</f>
        <v/>
      </c>
      <c r="BG33" s="1096"/>
      <c r="BH33" s="567"/>
      <c r="BI33" s="120"/>
      <c r="BJ33" s="591">
        <v>27</v>
      </c>
      <c r="BK33" s="1061" t="str">
        <f>IFERROR(INDEX(S01_Bard!$AV$6:$AV$35,MATCH(Character_Spellcasting!BJ33,S01_Bard!$AX$69:$AX$98,0),1),"")&amp;IFERROR(INDEX(S02_Cleric!$AV$6:$AV$35,MATCH(Character_Spellcasting!BJ33,S02_Cleric!$AX$69:$AX$98,0),1),"")&amp;IFERROR(INDEX(S03_Druid!$AV$6:$AV$35,MATCH(Character_Spellcasting!BJ33,S03_Druid!$AX$69:$AX$98,0),1),"")&amp;IFERROR(INDEX(S04_EldritchKnight!$AV$6:$AV$35,MATCH(Character_Spellcasting!BJ33,S04_EldritchKnight!$AX$69:$AX$98,0),1),"")&amp;IFERROR(INDEX(S05_Paladin!$AV$6:$AV$35,MATCH(Character_Spellcasting!BJ33,S05_Paladin!$AX$69:$AX$98,0),1),"")&amp;IFERROR(INDEX(S06_Ranger!$AV$6:$AV$35,MATCH(Character_Spellcasting!BJ33,S06_Ranger!$AX$69:$AX$988,0),1),"")&amp;IFERROR(INDEX(S07_ArcaneTrickster!$AV$6:$AV$35,MATCH(Character_Spellcasting!BJ33,S07_ArcaneTrickster!$AX$69:$AX$988,0),1),"")&amp;IFERROR(INDEX(S08_Sorcerer!$AV$6:$AV$35,MATCH(Character_Spellcasting!BJ33,S08_Sorcerer!$AX$69:$AX$98,0),1),"")&amp;IFERROR(INDEX(S09_Warlock!$AV$6:$AV$35,MATCH(Character_Spellcasting!BJ33,S09_Warlock!$AX$69:$AX$98,0),1),"")&amp;IFERROR(INDEX(S10_Wizard!$AV$6:$AV$35,MATCH(Character_Spellcasting!BJ33,S10_Wizard!$AX$69:$AX$98,0),1),"")</f>
        <v/>
      </c>
      <c r="BL33" s="1061"/>
      <c r="BM33" s="1061"/>
      <c r="BN33" s="1061"/>
      <c r="BO33" s="1061"/>
      <c r="BP33" s="1096" t="str">
        <f>IFERROR(INDEX(S01_Bard!$AY$69:$AY$98,MATCH(Character_Spellcasting!BJ33,S01_Bard!$D$69:$D$98,0),1),"")&amp;IFERROR(INDEX(S02_Cleric!$AY$69:$AY$98,MATCH(Character_Spellcasting!BJ33,S02_Cleric!$AX$69:$AX$98,0),1),"")&amp;IFERROR(INDEX(S03_Druid!$AY$69:$AY$98,MATCH(Character_Spellcasting!BJ33,S03_Druid!$AX$69:$AX$98,0),1),"")&amp;IFERROR(INDEX(S04_EldritchKnight!$AY$69:$AY$98,MATCH(Character_Spellcasting!BJ33,S04_EldritchKnight!$AX$69:$AX$98,0),1),"")&amp;IFERROR(INDEX(S05_Paladin!$AY$69:$AY$98,MATCH(Character_Spellcasting!BJ33,S05_Paladin!$AX$69:$AX$98,0),1),"")&amp;IFERROR(INDEX(S06_Ranger!$AY$69:$AY$98,MATCH(Character_Spellcasting!BJ33,S06_Ranger!$AX$69:$AX$988,0),1),"")&amp;IFERROR(INDEX(S07_ArcaneTrickster!$AY$69:$AY$98,MATCH(Character_Spellcasting!BJ33,S07_ArcaneTrickster!$AX$69:$AX$988,0),1),"")&amp;IFERROR(INDEX(S08_Sorcerer!$AY$69:$AY$98,MATCH(Character_Spellcasting!BJ33,S08_Sorcerer!$AX$69:$AX$98,0),1),"")&amp;IFERROR(INDEX(S09_Warlock!$AY$69:$AY$98,MATCH(Character_Spellcasting!BJ33,S09_Warlock!$AX$69:$AX$98,0),1),"")&amp;IFERROR(INDEX(S10_Wizard!$AY$69:$AY$98,MATCH(Character_Spellcasting!BJ33,S10_Wizard!$AX$69:$AX$98,0),1),"")</f>
        <v/>
      </c>
      <c r="BQ33" s="1096"/>
      <c r="BR33" s="567"/>
      <c r="BS33" s="120"/>
      <c r="BT33" s="591">
        <v>27</v>
      </c>
      <c r="BU33" s="1061" t="str">
        <f>IFERROR(INDEX(S01_Bard!$BE$6:$BE$35,MATCH(Character_Spellcasting!BT33,S01_Bard!$BG$69:$BG$98,0),1),"")&amp;IFERROR(INDEX(S02_Cleric!$BE$6:$BE$35,MATCH(Character_Spellcasting!BT33,S02_Cleric!$BG$69:$BG$98,0),1),"")&amp;IFERROR(INDEX(S03_Druid!$BE$6:$BE$35,MATCH(Character_Spellcasting!BT33,S03_Druid!$BG$69:$BG$98,0),1),"")&amp;IFERROR(INDEX(S04_EldritchKnight!$BE$6:$BE$35,MATCH(Character_Spellcasting!BT33,S04_EldritchKnight!$BG$69:$BG$98,0),1),"")&amp;IFERROR(INDEX(S05_Paladin!$BE$6:$BE$35,MATCH(Character_Spellcasting!BT33,S05_Paladin!$BG$69:$BG$98,0),1),"")&amp;IFERROR(INDEX(S06_Ranger!$BE$6:$BE$35,MATCH(Character_Spellcasting!BT33,S06_Ranger!$BG$69:$BG$988,0),1),"")&amp;IFERROR(INDEX(S07_ArcaneTrickster!$BE$6:$BE$35,MATCH(Character_Spellcasting!BT33,S07_ArcaneTrickster!$BG$69:$BG$988,0),1),"")&amp;IFERROR(INDEX(S08_Sorcerer!$BE$6:$BE$35,MATCH(Character_Spellcasting!BT33,S08_Sorcerer!$BG$69:$BG$98,0),1),"")&amp;IFERROR(INDEX(S09_Warlock!$BE$6:$BE$35,MATCH(Character_Spellcasting!BT33,S09_Warlock!$BG$69:$BG$98,0),1),"")&amp;IFERROR(INDEX(S10_Wizard!$BE$6:$BE$35,MATCH(Character_Spellcasting!BT33,S10_Wizard!$BG$69:$BG$98,0),1),"")</f>
        <v/>
      </c>
      <c r="BV33" s="1061"/>
      <c r="BW33" s="1061"/>
      <c r="BX33" s="1061"/>
      <c r="BY33" s="1061"/>
      <c r="BZ33" s="1096" t="str">
        <f>IFERROR(INDEX(S01_Bard!$BH$69:$BH$98,MATCH(Character_Spellcasting!BT33,S01_Bard!$D$69:$D$98,0),1),"")&amp;IFERROR(INDEX(S02_Cleric!$BH$69:$BH$98,MATCH(Character_Spellcasting!BT33,S02_Cleric!$BG$69:$BG$98,0),1),"")&amp;IFERROR(INDEX(S03_Druid!$BH$69:$BH$98,MATCH(Character_Spellcasting!BT33,S03_Druid!$BG$69:$BG$98,0),1),"")&amp;IFERROR(INDEX(S04_EldritchKnight!$BH$69:$BH$98,MATCH(Character_Spellcasting!BT33,S04_EldritchKnight!$BG$69:$BG$98,0),1),"")&amp;IFERROR(INDEX(S05_Paladin!$BH$69:$BH$98,MATCH(Character_Spellcasting!BT33,S05_Paladin!$BG$69:$BG$98,0),1),"")&amp;IFERROR(INDEX(S06_Ranger!$BH$69:$BH$98,MATCH(Character_Spellcasting!BT33,S06_Ranger!$BG$69:$BG$988,0),1),"")&amp;IFERROR(INDEX(S07_ArcaneTrickster!$BH$69:$BH$98,MATCH(Character_Spellcasting!BT33,S07_ArcaneTrickster!$BG$69:$BG$988,0),1),"")&amp;IFERROR(INDEX(S08_Sorcerer!$BH$69:$BH$98,MATCH(Character_Spellcasting!BT33,S08_Sorcerer!$BG$69:$BG$98,0),1),"")&amp;IFERROR(INDEX(S09_Warlock!$BH$69:$BH$98,MATCH(Character_Spellcasting!BT33,S09_Warlock!$BG$69:$BG$98,0),1),"")&amp;IFERROR(INDEX(S10_Wizard!$BH$69:$BH$98,MATCH(Character_Spellcasting!BT33,S10_Wizard!$BG$69:$BG$98,0),1),"")</f>
        <v/>
      </c>
      <c r="CA33" s="1096"/>
      <c r="CB33" s="567"/>
      <c r="CC33" s="120"/>
      <c r="CD33" s="591">
        <v>27</v>
      </c>
      <c r="CE33" s="1061" t="str">
        <f>IFERROR(INDEX(S01_Bard!$BN$6:$BN$35,MATCH(Character_Spellcasting!CD33,S01_Bard!$BP$69:$BP$98,0),1),"")&amp;IFERROR(INDEX(S02_Cleric!$BN$6:$BN$35,MATCH(Character_Spellcasting!CD33,S02_Cleric!$BP$69:$BP$98,0),1),"")&amp;IFERROR(INDEX(S03_Druid!$BN$6:$BN$35,MATCH(Character_Spellcasting!CD33,S03_Druid!$BP$69:$BP$98,0),1),"")&amp;IFERROR(INDEX(S04_EldritchKnight!$BN$6:$BN$35,MATCH(Character_Spellcasting!CD33,S04_EldritchKnight!$BP$69:$BP$98,0),1),"")&amp;IFERROR(INDEX(S05_Paladin!$BN$6:$BN$35,MATCH(Character_Spellcasting!CD33,S05_Paladin!$BP$69:$BP$98,0),1),"")&amp;IFERROR(INDEX(S06_Ranger!$BN$6:$BN$35,MATCH(Character_Spellcasting!CD33,S06_Ranger!$BP$69:$BP$988,0),1),"")&amp;IFERROR(INDEX(S07_ArcaneTrickster!$BN$6:$BN$35,MATCH(Character_Spellcasting!CD33,S07_ArcaneTrickster!$BP$69:$BP$988,0),1),"")&amp;IFERROR(INDEX(S08_Sorcerer!$BN$6:$BN$35,MATCH(Character_Spellcasting!CD33,S08_Sorcerer!$BP$69:$BP$98,0),1),"")&amp;IFERROR(INDEX(S09_Warlock!$BN$6:$BN$35,MATCH(Character_Spellcasting!CD33,S09_Warlock!$BP$69:$BP$98,0),1),"")&amp;IFERROR(INDEX(S10_Wizard!$BN$6:$BN$35,MATCH(Character_Spellcasting!CD33,S10_Wizard!$BP$69:$BP$98,0),1),"")</f>
        <v/>
      </c>
      <c r="CF33" s="1061"/>
      <c r="CG33" s="1061"/>
      <c r="CH33" s="1061"/>
      <c r="CI33" s="1061"/>
      <c r="CJ33" s="1096" t="str">
        <f>IFERROR(INDEX(S01_Bard!$BQ$69:$BQ$98,MATCH(Character_Spellcasting!CD33,S01_Bard!$D$69:$D$98,0),1),"")&amp;IFERROR(INDEX(S02_Cleric!$BQ$69:$BQ$98,MATCH(Character_Spellcasting!CD33,S02_Cleric!$BP$69:$BP$98,0),1),"")&amp;IFERROR(INDEX(S03_Druid!$BQ$69:$BQ$98,MATCH(Character_Spellcasting!CD33,S03_Druid!$BP$69:$BP$98,0),1),"")&amp;IFERROR(INDEX(S04_EldritchKnight!$BQ$69:$BQ$98,MATCH(Character_Spellcasting!CD33,S04_EldritchKnight!$BP$69:$BP$98,0),1),"")&amp;IFERROR(INDEX(S05_Paladin!$BQ$69:$BQ$98,MATCH(Character_Spellcasting!CD33,S05_Paladin!$BP$69:$BP$98,0),1),"")&amp;IFERROR(INDEX(S06_Ranger!$BQ$69:$BQ$98,MATCH(Character_Spellcasting!CD33,S06_Ranger!$BP$69:$BP$988,0),1),"")&amp;IFERROR(INDEX(S07_ArcaneTrickster!$BQ$69:$BQ$98,MATCH(Character_Spellcasting!CD33,S07_ArcaneTrickster!$BP$69:$BP$988,0),1),"")&amp;IFERROR(INDEX(S08_Sorcerer!$BQ$69:$BQ$98,MATCH(Character_Spellcasting!CD33,S08_Sorcerer!$BP$69:$BP$98,0),1),"")&amp;IFERROR(INDEX(S09_Warlock!$BQ$69:$BQ$98,MATCH(Character_Spellcasting!CD33,S09_Warlock!$BP$69:$BP$98,0),1),"")&amp;IFERROR(INDEX(S10_Wizard!$BQ$69:$BQ$98,MATCH(Character_Spellcasting!CD33,S10_Wizard!$BP$69:$BP$98,0),1),"")</f>
        <v/>
      </c>
      <c r="CK33" s="1096"/>
      <c r="CL33" s="567"/>
      <c r="CM33" s="120"/>
      <c r="CN33" s="591">
        <v>27</v>
      </c>
      <c r="CO33" s="1061" t="str">
        <f>IFERROR(INDEX(S01_Bard!$BW$6:$BW$35,MATCH(Character_Spellcasting!CN33,S01_Bard!$BY$69:$BY$98,0),1),"")&amp;IFERROR(INDEX(S02_Cleric!$BW$6:$BW$35,MATCH(Character_Spellcasting!CN33,S02_Cleric!$BY$69:$BY$98,0),1),"")&amp;IFERROR(INDEX(S03_Druid!$BW$6:$BW$35,MATCH(Character_Spellcasting!CN33,S03_Druid!$BY$69:$BY$98,0),1),"")&amp;IFERROR(INDEX(S04_EldritchKnight!$BW$6:$BW$35,MATCH(Character_Spellcasting!CN33,S04_EldritchKnight!$BY$69:$BY$98,0),1),"")&amp;IFERROR(INDEX(S05_Paladin!$BW$6:$BW$35,MATCH(Character_Spellcasting!CN33,S05_Paladin!$BY$69:$BY$98,0),1),"")&amp;IFERROR(INDEX(S06_Ranger!$BW$6:$BW$35,MATCH(Character_Spellcasting!CN33,S06_Ranger!$BY$69:$BY$988,0),1),"")&amp;IFERROR(INDEX(S07_ArcaneTrickster!$BW$6:$BW$35,MATCH(Character_Spellcasting!CN33,S07_ArcaneTrickster!$BY$69:$BY$988,0),1),"")&amp;IFERROR(INDEX(S08_Sorcerer!$BW$6:$BW$35,MATCH(Character_Spellcasting!CN33,S08_Sorcerer!$BY$69:$BY$98,0),1),"")&amp;IFERROR(INDEX(S09_Warlock!$BW$6:$BW$35,MATCH(Character_Spellcasting!CN33,S09_Warlock!$BY$69:$BY$98,0),1),"")&amp;IFERROR(INDEX(S10_Wizard!$BW$6:$BW$35,MATCH(Character_Spellcasting!CN33,S10_Wizard!$BY$69:$BY$98,0),1),"")</f>
        <v/>
      </c>
      <c r="CP33" s="1061"/>
      <c r="CQ33" s="1061"/>
      <c r="CR33" s="1061"/>
      <c r="CS33" s="1061"/>
      <c r="CT33" s="1096" t="str">
        <f>IFERROR(INDEX(S01_Bard!$BZ$69:$BZ$98,MATCH(Character_Spellcasting!CN33,S01_Bard!$D$69:$D$98,0),1),"")&amp;IFERROR(INDEX(S02_Cleric!$BZ$69:$BZ$98,MATCH(Character_Spellcasting!CN33,S02_Cleric!$BY$69:$BY$98,0),1),"")&amp;IFERROR(INDEX(S03_Druid!$BZ$69:$BZ$98,MATCH(Character_Spellcasting!CN33,S03_Druid!$BY$69:$BY$98,0),1),"")&amp;IFERROR(INDEX(S04_EldritchKnight!$BZ$69:$BZ$98,MATCH(Character_Spellcasting!CN33,S04_EldritchKnight!$BY$69:$BY$98,0),1),"")&amp;IFERROR(INDEX(S05_Paladin!$BZ$69:$BZ$98,MATCH(Character_Spellcasting!CN33,S05_Paladin!$BY$69:$BY$98,0),1),"")&amp;IFERROR(INDEX(S06_Ranger!$BZ$69:$BZ$98,MATCH(Character_Spellcasting!CN33,S06_Ranger!$BY$69:$BY$988,0),1),"")&amp;IFERROR(INDEX(S07_ArcaneTrickster!$BZ$69:$BZ$98,MATCH(Character_Spellcasting!CN33,S07_ArcaneTrickster!$BY$69:$BY$988,0),1),"")&amp;IFERROR(INDEX(S08_Sorcerer!$BZ$69:$BZ$98,MATCH(Character_Spellcasting!CN33,S08_Sorcerer!$BY$69:$BY$98,0),1),"")&amp;IFERROR(INDEX(S09_Warlock!$BZ$69:$BZ$98,MATCH(Character_Spellcasting!CN33,S09_Warlock!$BY$69:$BY$98,0),1),"")&amp;IFERROR(INDEX(S10_Wizard!$BZ$69:$BZ$98,MATCH(Character_Spellcasting!CN33,S10_Wizard!$BY$69:$BY$98,0),1),"")</f>
        <v/>
      </c>
      <c r="CU33" s="1096"/>
      <c r="CV33" s="567"/>
      <c r="CW33" s="565"/>
      <c r="CX33" s="565"/>
      <c r="CY33" s="565"/>
      <c r="CZ33" s="565"/>
      <c r="DA33" s="610">
        <v>27</v>
      </c>
      <c r="DB33" s="1061" t="str">
        <f t="shared" si="0"/>
        <v/>
      </c>
      <c r="DC33" s="1061"/>
      <c r="DD33" s="1061"/>
      <c r="DE33" s="1061"/>
      <c r="DF33" s="1061"/>
      <c r="DG33" s="1096" t="str">
        <f t="shared" si="1"/>
        <v/>
      </c>
      <c r="DH33" s="1096"/>
      <c r="DI33" s="565"/>
      <c r="DJ33" s="565"/>
      <c r="DK33" s="565"/>
      <c r="DL33" s="565"/>
      <c r="DM33" s="565"/>
      <c r="DN33" s="565"/>
      <c r="DO33" s="565"/>
      <c r="DP33" s="565"/>
      <c r="DQ33" s="565"/>
      <c r="DR33" s="565"/>
      <c r="DS33" s="565"/>
      <c r="DT33" s="565"/>
      <c r="DU33" s="565"/>
      <c r="DV33" s="565"/>
    </row>
    <row r="34" spans="1:126" ht="21" x14ac:dyDescent="0.25">
      <c r="A34" s="120"/>
      <c r="B34" s="610">
        <v>28</v>
      </c>
      <c r="C34" s="1061"/>
      <c r="D34" s="1061"/>
      <c r="E34" s="1061"/>
      <c r="F34" s="1061"/>
      <c r="G34" s="1061"/>
      <c r="H34" s="1096"/>
      <c r="I34" s="1096"/>
      <c r="J34" s="120"/>
      <c r="K34" s="120"/>
      <c r="L34" s="591">
        <v>28</v>
      </c>
      <c r="M34" s="1061" t="str">
        <f>IFERROR(INDEX(S01_Bard!$C$6:$C$35,MATCH(Character_Spellcasting!L34,S01_Bard!$E$69:$E$98,0),1),"")&amp;IFERROR(INDEX(S02_Cleric!$C$6:$C$35,MATCH(Character_Spellcasting!L34,S02_Cleric!$E$69:$E$98,0),1),"")&amp;IFERROR(INDEX(S03_Druid!$C$6:$C$35,MATCH(Character_Spellcasting!L34,S03_Druid!$E$69:$E$98,0),1),"")&amp;IFERROR(INDEX(S04_EldritchKnight!$C$6:$C$35,MATCH(Character_Spellcasting!L34,S04_EldritchKnight!$E$69:$E$98,0),1),"")&amp;IFERROR(INDEX(S05_Paladin!$C$6:$C$35,MATCH(Character_Spellcasting!L34,S05_Paladin!$E$69:$E$98,0),1),"")&amp;IFERROR(INDEX(S06_Ranger!$C$6:$C$35,MATCH(Character_Spellcasting!L34,S06_Ranger!$E$69:$E$988,0),1),"")&amp;IFERROR(INDEX(S07_ArcaneTrickster!$C$6:$C$35,MATCH(Character_Spellcasting!L34,S07_ArcaneTrickster!$E$69:$E$988,0),1),"")&amp;IFERROR(INDEX(S08_Sorcerer!$C$6:$C$35,MATCH(Character_Spellcasting!L34,S08_Sorcerer!$E$69:$E$98,0),1),"")&amp;IFERROR(INDEX(S09_Warlock!$C$6:$C$35,MATCH(Character_Spellcasting!L34,S09_Warlock!$E$69:$E$98,0),1),"")&amp;IFERROR(INDEX(S10_Wizard!$C$6:$C$35,MATCH(Character_Spellcasting!L34,S10_Wizard!$E$69:$E$98,0),1),"")</f>
        <v/>
      </c>
      <c r="N34" s="1061"/>
      <c r="O34" s="1061"/>
      <c r="P34" s="1061"/>
      <c r="Q34" s="1061"/>
      <c r="R34" s="1096" t="str">
        <f>IFERROR(INDEX(S01_Bard!$F$69:$F$98,MATCH(Character_Spellcasting!L34,S01_Bard!$D$69:$D$98,0),1),"")&amp;IFERROR(INDEX(S02_Cleric!$F$69:$F$98,MATCH(Character_Spellcasting!L34,S02_Cleric!$E$69:$E$98,0),1),"")&amp;IFERROR(INDEX(S03_Druid!$F$69:$F$98,MATCH(Character_Spellcasting!L34,S03_Druid!$E$69:$E$98,0),1),"")&amp;IFERROR(INDEX(S04_EldritchKnight!$F$69:$F$98,MATCH(Character_Spellcasting!L34,S04_EldritchKnight!$E$69:$E$98,0),1),"")&amp;IFERROR(INDEX(S05_Paladin!$F$69:$F$98,MATCH(Character_Spellcasting!L34,S05_Paladin!$E$69:$E$98,0),1),"")&amp;IFERROR(INDEX(S06_Ranger!$F$69:$F$98,MATCH(Character_Spellcasting!L34,S06_Ranger!$E$69:$E$988,0),1),"")&amp;IFERROR(INDEX(S07_ArcaneTrickster!$F$69:$F$98,MATCH(Character_Spellcasting!L34,S07_ArcaneTrickster!$E$69:$E$988,0),1),"")&amp;IFERROR(INDEX(S08_Sorcerer!$F$69:$F$98,MATCH(Character_Spellcasting!L34,S08_Sorcerer!$E$69:$E$98,0),1),"")&amp;IFERROR(INDEX(S09_Warlock!$F$69:$F$98,MATCH(Character_Spellcasting!L34,S09_Warlock!$E$69:$E$98,0),1),"")&amp;IFERROR(INDEX(S10_Wizard!$F$69:$F$98,MATCH(Character_Spellcasting!L34,S10_Wizard!$E$69:$E$98,0),1),"")</f>
        <v/>
      </c>
      <c r="S34" s="1096"/>
      <c r="T34" s="567"/>
      <c r="U34" s="565"/>
      <c r="V34" s="591">
        <v>28</v>
      </c>
      <c r="W34" s="1061" t="str">
        <f>IFERROR(INDEX(S01_Bard!$L$6:$L$35,MATCH(Character_Spellcasting!V34,S01_Bard!$N$69:$N$98,0),1),"")&amp;IFERROR(INDEX(S02_Cleric!$L$6:$L$35,MATCH(Character_Spellcasting!V34,S02_Cleric!$N$69:$N$98,0),1),"")&amp;IFERROR(INDEX(S03_Druid!$L$6:$L$35,MATCH(Character_Spellcasting!V34,S03_Druid!$N$69:$N$98,0),1),"")&amp;IFERROR(INDEX(S04_EldritchKnight!$L$6:$L$35,MATCH(Character_Spellcasting!V34,S04_EldritchKnight!$N$69:$N$98,0),1),"")&amp;IFERROR(INDEX(S05_Paladin!$L$6:$L$35,MATCH(Character_Spellcasting!V34,S05_Paladin!$N$69:$N$98,0),1),"")&amp;IFERROR(INDEX(S06_Ranger!$L$6:$L$35,MATCH(Character_Spellcasting!V34,S06_Ranger!$N$69:$N$988,0),1),"")&amp;IFERROR(INDEX(S07_ArcaneTrickster!$L$6:$L$35,MATCH(Character_Spellcasting!V34,S07_ArcaneTrickster!$N$69:$N$988,0),1),"")&amp;IFERROR(INDEX(S08_Sorcerer!$L$6:$L$35,MATCH(Character_Spellcasting!V34,S08_Sorcerer!$N$69:$N$98,0),1),"")&amp;IFERROR(INDEX(S09_Warlock!$L$6:$L$35,MATCH(Character_Spellcasting!V34,S09_Warlock!$N$69:$N$98,0),1),"")&amp;IFERROR(INDEX(S10_Wizard!$L$6:$L$35,MATCH(Character_Spellcasting!V34,S10_Wizard!$N$69:$N$98,0),1),"")</f>
        <v/>
      </c>
      <c r="X34" s="1061"/>
      <c r="Y34" s="1061"/>
      <c r="Z34" s="1061"/>
      <c r="AA34" s="1061"/>
      <c r="AB34" s="1097" t="str">
        <f>IFERROR(INDEX(S01_Bard!$O$69:$O$98,MATCH(Character_Spellcasting!V34,S01_Bard!$N$69:$N$98,0),1),"")&amp;IFERROR(INDEX(S02_Cleric!$O$69:$O$98,MATCH(Character_Spellcasting!V34,S02_Cleric!$N$69:$N$98,0),1),"")&amp;IFERROR(INDEX(S03_Druid!$O$69:$O$98,MATCH(Character_Spellcasting!V34,S03_Druid!$N$69:$N$98,0),1),"")&amp;IFERROR(INDEX(S04_EldritchKnight!$O$69:$O$98,MATCH(Character_Spellcasting!V34,S04_EldritchKnight!$N$69:$N$98,0),1),"")&amp;IFERROR(INDEX(S05_Paladin!$O$69:$O$98,MATCH(Character_Spellcasting!V34,S05_Paladin!$N$69:$N$98,0),1),"")&amp;IFERROR(INDEX(S06_Ranger!$O$69:$O$98,MATCH(Character_Spellcasting!V34,S06_Ranger!$N$69:$N$988,0),1),"")&amp;IFERROR(INDEX(S07_ArcaneTrickster!$O$69:$O$98,MATCH(Character_Spellcasting!V34,S07_ArcaneTrickster!$N$69:$N$988,0),1),"")&amp;IFERROR(INDEX(S08_Sorcerer!$O$69:$O$98,MATCH(Character_Spellcasting!V34,S08_Sorcerer!$N$69:$N$98,0),1),"")&amp;IFERROR(INDEX(S09_Warlock!$O$69:$O$98,MATCH(Character_Spellcasting!V34,S09_Warlock!$N$69:$N$98,0),1),"")&amp;IFERROR(INDEX(S10_Wizard!$O$69:$O$98,MATCH(Character_Spellcasting!V34,S10_Wizard!$N$69:$N$98,0),1),"")</f>
        <v/>
      </c>
      <c r="AC34" s="1098"/>
      <c r="AD34" s="567"/>
      <c r="AE34" s="565"/>
      <c r="AF34" s="609">
        <v>28</v>
      </c>
      <c r="AG34" s="1061" t="str">
        <f>IFERROR(INDEX(S01_Bard!$U$6:$U$35,MATCH(Character_Spellcasting!AF34,S01_Bard!$W$69:$W$98,0),1),"")&amp;IFERROR(INDEX(S02_Cleric!$U$6:$U$35,MATCH(Character_Spellcasting!AF34,S02_Cleric!$W$69:$W$98,0),1),"")&amp;IFERROR(INDEX(S03_Druid!$U$6:$U$35,MATCH(Character_Spellcasting!AF34,S03_Druid!$W$69:$W$98,0),1),"")&amp;IFERROR(INDEX(S04_EldritchKnight!$U$6:$U$35,MATCH(Character_Spellcasting!AF34,S04_EldritchKnight!$W$69:$W$98,0),1),"")&amp;IFERROR(INDEX(S05_Paladin!$U$6:$U$35,MATCH(Character_Spellcasting!AF34,S05_Paladin!$W$69:$W$98,0),1),"")&amp;IFERROR(INDEX(S06_Ranger!$U$6:$U$35,MATCH(Character_Spellcasting!AF34,S06_Ranger!$W$69:$W$988,0),1),"")&amp;IFERROR(INDEX(S07_ArcaneTrickster!$U$6:$U$35,MATCH(Character_Spellcasting!AF34,S07_ArcaneTrickster!$W$69:$W$988,0),1),"")&amp;IFERROR(INDEX(S08_Sorcerer!$U$6:$U$35,MATCH(Character_Spellcasting!AF34,S08_Sorcerer!$W$69:$W$98,0),1),"")&amp;IFERROR(INDEX(S09_Warlock!$U$6:$U$35,MATCH(Character_Spellcasting!AF34,S09_Warlock!$W$69:$W$98,0),1),"")&amp;IFERROR(INDEX(S10_Wizard!$U$6:$U$35,MATCH(Character_Spellcasting!AF34,S10_Wizard!$W$69:$W$98,0),1),"")</f>
        <v/>
      </c>
      <c r="AH34" s="1061"/>
      <c r="AI34" s="1061"/>
      <c r="AJ34" s="1061"/>
      <c r="AK34" s="1061"/>
      <c r="AL34" s="1097" t="str">
        <f>IFERROR(INDEX(S01_Bard!$X$69:$X$98,MATCH(Character_Spellcasting!AF34,S01_Bard!$W$69:$W$98,0),1),"")&amp;IFERROR(INDEX(S02_Cleric!$X$69:$X$98,MATCH(Character_Spellcasting!AF34,S02_Cleric!$W$69:$W$98,0),1),"")&amp;IFERROR(INDEX(S03_Druid!$X$69:$X$98,MATCH(Character_Spellcasting!AF34,S03_Druid!$W$69:$W$98,0),1),"")&amp;IFERROR(INDEX(S04_EldritchKnight!$X$69:$X$98,MATCH(Character_Spellcasting!AF34,S04_EldritchKnight!$W$69:$W$98,0),1),"")&amp;IFERROR(INDEX(S05_Paladin!$X$69:$X$98,MATCH(Character_Spellcasting!AF34,S05_Paladin!$W$69:$W$98,0),1),"")&amp;IFERROR(INDEX(S06_Ranger!$X$69:$X$98,MATCH(Character_Spellcasting!AF34,S06_Ranger!$W$69:$W$988,0),1),"")&amp;IFERROR(INDEX(S07_ArcaneTrickster!$X$69:$X$98,MATCH(Character_Spellcasting!AF34,S07_ArcaneTrickster!$W$69:$W$988,0),1),"")&amp;IFERROR(INDEX(S08_Sorcerer!$X$69:$X$98,MATCH(Character_Spellcasting!AF34,S08_Sorcerer!$W$69:$W$98,0),1),"")&amp;IFERROR(INDEX(S09_Warlock!$X$69:$X$98,MATCH(Character_Spellcasting!AF34,S09_Warlock!$W$69:$W$98,0),1),"")&amp;IFERROR(INDEX(S10_Wizard!$X$69:$X$98,MATCH(Character_Spellcasting!AF34,S10_Wizard!$W$69:$W$98,0),1),"")</f>
        <v/>
      </c>
      <c r="AM34" s="1098"/>
      <c r="AN34" s="567"/>
      <c r="AO34" s="565"/>
      <c r="AP34" s="591">
        <v>28</v>
      </c>
      <c r="AQ34" s="1061" t="str">
        <f>IFERROR(INDEX(S01_Bard!$AD$6:$AD$35,MATCH(Character_Spellcasting!AP34,S01_Bard!$AF$69:$AF$98,0),1),"")&amp;IFERROR(INDEX(S02_Cleric!$AD$6:$AD$35,MATCH(Character_Spellcasting!AP34,S02_Cleric!$AF$69:$AF$98,0),1),"")&amp;IFERROR(INDEX(S03_Druid!$AD$6:$AD$35,MATCH(Character_Spellcasting!AP34,S03_Druid!$AF$69:$AF$98,0),1),"")&amp;IFERROR(INDEX(S04_EldritchKnight!$AD$6:$AD$35,MATCH(Character_Spellcasting!AP34,S04_EldritchKnight!$AF$69:$AF$98,0),1),"")&amp;IFERROR(INDEX(S05_Paladin!$AD$6:$AD$35,MATCH(Character_Spellcasting!AP34,S05_Paladin!$AF$69:$AF$98,0),1),"")&amp;IFERROR(INDEX(S06_Ranger!$AD$6:$AD$35,MATCH(Character_Spellcasting!AP34,S06_Ranger!$AF$69:$AF$988,0),1),"")&amp;IFERROR(INDEX(S07_ArcaneTrickster!$AD$6:$AD$35,MATCH(Character_Spellcasting!AP34,S07_ArcaneTrickster!$AF$69:$AF$988,0),1),"")&amp;IFERROR(INDEX(S08_Sorcerer!$AD$6:$AD$35,MATCH(Character_Spellcasting!AP34,S08_Sorcerer!$AF$69:$AF$98,0),1),"")&amp;IFERROR(INDEX(S09_Warlock!$AD$6:$AD$35,MATCH(Character_Spellcasting!AP34,S09_Warlock!$AF$69:$AF$98,0),1),"")&amp;IFERROR(INDEX(S10_Wizard!$AD$6:$AD$35,MATCH(Character_Spellcasting!AP34,S10_Wizard!$AF$69:$AF$98,0),1),"")</f>
        <v/>
      </c>
      <c r="AR34" s="1061"/>
      <c r="AS34" s="1061"/>
      <c r="AT34" s="1061"/>
      <c r="AU34" s="1061"/>
      <c r="AV34" s="1096" t="str">
        <f>IFERROR(INDEX(S01_Bard!$AG$69:$AG$98,MATCH(Character_Spellcasting!AP34,S01_Bard!$D$69:$D$98,0),1),"")&amp;IFERROR(INDEX(S02_Cleric!$AG$69:$AG$98,MATCH(Character_Spellcasting!AP34,S02_Cleric!$AF$69:$AF$98,0),1),"")&amp;IFERROR(INDEX(S03_Druid!$AG$69:$AG$98,MATCH(Character_Spellcasting!AP34,S03_Druid!$AF$69:$AF$98,0),1),"")&amp;IFERROR(INDEX(S04_EldritchKnight!$AG$69:$AG$98,MATCH(Character_Spellcasting!AP34,S04_EldritchKnight!$AF$69:$AF$98,0),1),"")&amp;IFERROR(INDEX(S05_Paladin!$AG$69:$AG$98,MATCH(Character_Spellcasting!AP34,S05_Paladin!$AF$69:$AF$98,0),1),"")&amp;IFERROR(INDEX(S06_Ranger!$AG$69:$AG$98,MATCH(Character_Spellcasting!AP34,S06_Ranger!$AF$69:$AF$988,0),1),"")&amp;IFERROR(INDEX(S07_ArcaneTrickster!$AG$69:$AG$98,MATCH(Character_Spellcasting!AP34,S07_ArcaneTrickster!$AF$69:$AF$988,0),1),"")&amp;IFERROR(INDEX(S08_Sorcerer!$AG$69:$AG$98,MATCH(Character_Spellcasting!AP34,S08_Sorcerer!$AF$69:$AF$98,0),1),"")&amp;IFERROR(INDEX(S09_Warlock!$AG$69:$AG$98,MATCH(Character_Spellcasting!AP34,S09_Warlock!$AF$69:$AF$98,0),1),"")&amp;IFERROR(INDEX(S10_Wizard!$AG$69:$AG$98,MATCH(Character_Spellcasting!AP34,S10_Wizard!$AF$69:$AF$98,0),1),"")</f>
        <v/>
      </c>
      <c r="AW34" s="1096"/>
      <c r="AX34" s="567"/>
      <c r="AY34" s="565"/>
      <c r="AZ34" s="591">
        <v>28</v>
      </c>
      <c r="BA34" s="1061" t="str">
        <f>IFERROR(INDEX(S01_Bard!$AM$6:$AM$35,MATCH(Character_Spellcasting!AZ34,S01_Bard!$AO$69:$AO$98,0),1),"")&amp;IFERROR(INDEX(S02_Cleric!$AM$6:$AM$35,MATCH(Character_Spellcasting!AZ34,S02_Cleric!$AO$69:$AO$98,0),1),"")&amp;IFERROR(INDEX(S03_Druid!$AM$6:$AM$35,MATCH(Character_Spellcasting!AZ34,S03_Druid!$AO$69:$AO$98,0),1),"")&amp;IFERROR(INDEX(S04_EldritchKnight!$AM$6:$AM$35,MATCH(Character_Spellcasting!AZ34,S04_EldritchKnight!$AO$69:$AO$98,0),1),"")&amp;IFERROR(INDEX(S05_Paladin!$AM$6:$AM$35,MATCH(Character_Spellcasting!AZ34,S05_Paladin!$AO$69:$AO$98,0),1),"")&amp;IFERROR(INDEX(S06_Ranger!$AM$6:$AM$35,MATCH(Character_Spellcasting!AZ34,S06_Ranger!$AO$69:$AO$988,0),1),"")&amp;IFERROR(INDEX(S07_ArcaneTrickster!$AM$6:$AM$35,MATCH(Character_Spellcasting!AZ34,S07_ArcaneTrickster!$AO$69:$AO$988,0),1),"")&amp;IFERROR(INDEX(S08_Sorcerer!$AM$6:$AM$35,MATCH(Character_Spellcasting!AZ34,S08_Sorcerer!$AO$69:$AO$98,0),1),"")&amp;IFERROR(INDEX(S09_Warlock!$AM$6:$AM$35,MATCH(Character_Spellcasting!AZ34,S09_Warlock!$AO$69:$AO$98,0),1),"")&amp;IFERROR(INDEX(S10_Wizard!$AM$6:$AM$35,MATCH(Character_Spellcasting!AZ34,S10_Wizard!$AO$69:$AO$98,0),1),"")</f>
        <v/>
      </c>
      <c r="BB34" s="1061"/>
      <c r="BC34" s="1061"/>
      <c r="BD34" s="1061"/>
      <c r="BE34" s="1061"/>
      <c r="BF34" s="1096" t="str">
        <f>IFERROR(INDEX(S01_Bard!$AP$69:$AP$98,MATCH(Character_Spellcasting!AZ34,S01_Bard!$D$69:$D$98,0),1),"")&amp;IFERROR(INDEX(S02_Cleric!$AP$69:$AP$98,MATCH(Character_Spellcasting!AZ34,S02_Cleric!$AO$69:$AO$98,0),1),"")&amp;IFERROR(INDEX(S03_Druid!$AP$69:$AP$98,MATCH(Character_Spellcasting!AZ34,S03_Druid!$AO$69:$AO$98,0),1),"")&amp;IFERROR(INDEX(S04_EldritchKnight!$AP$69:$AP$98,MATCH(Character_Spellcasting!AZ34,S04_EldritchKnight!$AO$69:$AO$98,0),1),"")&amp;IFERROR(INDEX(S05_Paladin!$AP$69:$AP$98,MATCH(Character_Spellcasting!AZ34,S05_Paladin!$AO$69:$AO$98,0),1),"")&amp;IFERROR(INDEX(S06_Ranger!$AP$69:$AP$98,MATCH(Character_Spellcasting!AZ34,S06_Ranger!$AO$69:$AO$988,0),1),"")&amp;IFERROR(INDEX(S07_ArcaneTrickster!$AP$69:$AP$98,MATCH(Character_Spellcasting!AZ34,S07_ArcaneTrickster!$AO$69:$AO$988,0),1),"")&amp;IFERROR(INDEX(S08_Sorcerer!$AP$69:$AP$98,MATCH(Character_Spellcasting!AZ34,S08_Sorcerer!$AO$69:$AO$98,0),1),"")&amp;IFERROR(INDEX(S09_Warlock!$AP$69:$AP$98,MATCH(Character_Spellcasting!AZ34,S09_Warlock!$AO$69:$AO$98,0),1),"")&amp;IFERROR(INDEX(S10_Wizard!$AP$69:$AP$98,MATCH(Character_Spellcasting!AZ34,S10_Wizard!$AO$69:$AO$98,0),1),"")</f>
        <v/>
      </c>
      <c r="BG34" s="1096"/>
      <c r="BH34" s="567"/>
      <c r="BI34" s="120"/>
      <c r="BJ34" s="591">
        <v>28</v>
      </c>
      <c r="BK34" s="1061" t="str">
        <f>IFERROR(INDEX(S01_Bard!$AV$6:$AV$35,MATCH(Character_Spellcasting!BJ34,S01_Bard!$AX$69:$AX$98,0),1),"")&amp;IFERROR(INDEX(S02_Cleric!$AV$6:$AV$35,MATCH(Character_Spellcasting!BJ34,S02_Cleric!$AX$69:$AX$98,0),1),"")&amp;IFERROR(INDEX(S03_Druid!$AV$6:$AV$35,MATCH(Character_Spellcasting!BJ34,S03_Druid!$AX$69:$AX$98,0),1),"")&amp;IFERROR(INDEX(S04_EldritchKnight!$AV$6:$AV$35,MATCH(Character_Spellcasting!BJ34,S04_EldritchKnight!$AX$69:$AX$98,0),1),"")&amp;IFERROR(INDEX(S05_Paladin!$AV$6:$AV$35,MATCH(Character_Spellcasting!BJ34,S05_Paladin!$AX$69:$AX$98,0),1),"")&amp;IFERROR(INDEX(S06_Ranger!$AV$6:$AV$35,MATCH(Character_Spellcasting!BJ34,S06_Ranger!$AX$69:$AX$988,0),1),"")&amp;IFERROR(INDEX(S07_ArcaneTrickster!$AV$6:$AV$35,MATCH(Character_Spellcasting!BJ34,S07_ArcaneTrickster!$AX$69:$AX$988,0),1),"")&amp;IFERROR(INDEX(S08_Sorcerer!$AV$6:$AV$35,MATCH(Character_Spellcasting!BJ34,S08_Sorcerer!$AX$69:$AX$98,0),1),"")&amp;IFERROR(INDEX(S09_Warlock!$AV$6:$AV$35,MATCH(Character_Spellcasting!BJ34,S09_Warlock!$AX$69:$AX$98,0),1),"")&amp;IFERROR(INDEX(S10_Wizard!$AV$6:$AV$35,MATCH(Character_Spellcasting!BJ34,S10_Wizard!$AX$69:$AX$98,0),1),"")</f>
        <v/>
      </c>
      <c r="BL34" s="1061"/>
      <c r="BM34" s="1061"/>
      <c r="BN34" s="1061"/>
      <c r="BO34" s="1061"/>
      <c r="BP34" s="1096" t="str">
        <f>IFERROR(INDEX(S01_Bard!$AY$69:$AY$98,MATCH(Character_Spellcasting!BJ34,S01_Bard!$D$69:$D$98,0),1),"")&amp;IFERROR(INDEX(S02_Cleric!$AY$69:$AY$98,MATCH(Character_Spellcasting!BJ34,S02_Cleric!$AX$69:$AX$98,0),1),"")&amp;IFERROR(INDEX(S03_Druid!$AY$69:$AY$98,MATCH(Character_Spellcasting!BJ34,S03_Druid!$AX$69:$AX$98,0),1),"")&amp;IFERROR(INDEX(S04_EldritchKnight!$AY$69:$AY$98,MATCH(Character_Spellcasting!BJ34,S04_EldritchKnight!$AX$69:$AX$98,0),1),"")&amp;IFERROR(INDEX(S05_Paladin!$AY$69:$AY$98,MATCH(Character_Spellcasting!BJ34,S05_Paladin!$AX$69:$AX$98,0),1),"")&amp;IFERROR(INDEX(S06_Ranger!$AY$69:$AY$98,MATCH(Character_Spellcasting!BJ34,S06_Ranger!$AX$69:$AX$988,0),1),"")&amp;IFERROR(INDEX(S07_ArcaneTrickster!$AY$69:$AY$98,MATCH(Character_Spellcasting!BJ34,S07_ArcaneTrickster!$AX$69:$AX$988,0),1),"")&amp;IFERROR(INDEX(S08_Sorcerer!$AY$69:$AY$98,MATCH(Character_Spellcasting!BJ34,S08_Sorcerer!$AX$69:$AX$98,0),1),"")&amp;IFERROR(INDEX(S09_Warlock!$AY$69:$AY$98,MATCH(Character_Spellcasting!BJ34,S09_Warlock!$AX$69:$AX$98,0),1),"")&amp;IFERROR(INDEX(S10_Wizard!$AY$69:$AY$98,MATCH(Character_Spellcasting!BJ34,S10_Wizard!$AX$69:$AX$98,0),1),"")</f>
        <v/>
      </c>
      <c r="BQ34" s="1096"/>
      <c r="BR34" s="567"/>
      <c r="BS34" s="120"/>
      <c r="BT34" s="591">
        <v>28</v>
      </c>
      <c r="BU34" s="1061" t="str">
        <f>IFERROR(INDEX(S01_Bard!$BE$6:$BE$35,MATCH(Character_Spellcasting!BT34,S01_Bard!$BG$69:$BG$98,0),1),"")&amp;IFERROR(INDEX(S02_Cleric!$BE$6:$BE$35,MATCH(Character_Spellcasting!BT34,S02_Cleric!$BG$69:$BG$98,0),1),"")&amp;IFERROR(INDEX(S03_Druid!$BE$6:$BE$35,MATCH(Character_Spellcasting!BT34,S03_Druid!$BG$69:$BG$98,0),1),"")&amp;IFERROR(INDEX(S04_EldritchKnight!$BE$6:$BE$35,MATCH(Character_Spellcasting!BT34,S04_EldritchKnight!$BG$69:$BG$98,0),1),"")&amp;IFERROR(INDEX(S05_Paladin!$BE$6:$BE$35,MATCH(Character_Spellcasting!BT34,S05_Paladin!$BG$69:$BG$98,0),1),"")&amp;IFERROR(INDEX(S06_Ranger!$BE$6:$BE$35,MATCH(Character_Spellcasting!BT34,S06_Ranger!$BG$69:$BG$988,0),1),"")&amp;IFERROR(INDEX(S07_ArcaneTrickster!$BE$6:$BE$35,MATCH(Character_Spellcasting!BT34,S07_ArcaneTrickster!$BG$69:$BG$988,0),1),"")&amp;IFERROR(INDEX(S08_Sorcerer!$BE$6:$BE$35,MATCH(Character_Spellcasting!BT34,S08_Sorcerer!$BG$69:$BG$98,0),1),"")&amp;IFERROR(INDEX(S09_Warlock!$BE$6:$BE$35,MATCH(Character_Spellcasting!BT34,S09_Warlock!$BG$69:$BG$98,0),1),"")&amp;IFERROR(INDEX(S10_Wizard!$BE$6:$BE$35,MATCH(Character_Spellcasting!BT34,S10_Wizard!$BG$69:$BG$98,0),1),"")</f>
        <v/>
      </c>
      <c r="BV34" s="1061"/>
      <c r="BW34" s="1061"/>
      <c r="BX34" s="1061"/>
      <c r="BY34" s="1061"/>
      <c r="BZ34" s="1096" t="str">
        <f>IFERROR(INDEX(S01_Bard!$BH$69:$BH$98,MATCH(Character_Spellcasting!BT34,S01_Bard!$D$69:$D$98,0),1),"")&amp;IFERROR(INDEX(S02_Cleric!$BH$69:$BH$98,MATCH(Character_Spellcasting!BT34,S02_Cleric!$BG$69:$BG$98,0),1),"")&amp;IFERROR(INDEX(S03_Druid!$BH$69:$BH$98,MATCH(Character_Spellcasting!BT34,S03_Druid!$BG$69:$BG$98,0),1),"")&amp;IFERROR(INDEX(S04_EldritchKnight!$BH$69:$BH$98,MATCH(Character_Spellcasting!BT34,S04_EldritchKnight!$BG$69:$BG$98,0),1),"")&amp;IFERROR(INDEX(S05_Paladin!$BH$69:$BH$98,MATCH(Character_Spellcasting!BT34,S05_Paladin!$BG$69:$BG$98,0),1),"")&amp;IFERROR(INDEX(S06_Ranger!$BH$69:$BH$98,MATCH(Character_Spellcasting!BT34,S06_Ranger!$BG$69:$BG$988,0),1),"")&amp;IFERROR(INDEX(S07_ArcaneTrickster!$BH$69:$BH$98,MATCH(Character_Spellcasting!BT34,S07_ArcaneTrickster!$BG$69:$BG$988,0),1),"")&amp;IFERROR(INDEX(S08_Sorcerer!$BH$69:$BH$98,MATCH(Character_Spellcasting!BT34,S08_Sorcerer!$BG$69:$BG$98,0),1),"")&amp;IFERROR(INDEX(S09_Warlock!$BH$69:$BH$98,MATCH(Character_Spellcasting!BT34,S09_Warlock!$BG$69:$BG$98,0),1),"")&amp;IFERROR(INDEX(S10_Wizard!$BH$69:$BH$98,MATCH(Character_Spellcasting!BT34,S10_Wizard!$BG$69:$BG$98,0),1),"")</f>
        <v/>
      </c>
      <c r="CA34" s="1096"/>
      <c r="CB34" s="567"/>
      <c r="CC34" s="120"/>
      <c r="CD34" s="591">
        <v>28</v>
      </c>
      <c r="CE34" s="1061" t="str">
        <f>IFERROR(INDEX(S01_Bard!$BN$6:$BN$35,MATCH(Character_Spellcasting!CD34,S01_Bard!$BP$69:$BP$98,0),1),"")&amp;IFERROR(INDEX(S02_Cleric!$BN$6:$BN$35,MATCH(Character_Spellcasting!CD34,S02_Cleric!$BP$69:$BP$98,0),1),"")&amp;IFERROR(INDEX(S03_Druid!$BN$6:$BN$35,MATCH(Character_Spellcasting!CD34,S03_Druid!$BP$69:$BP$98,0),1),"")&amp;IFERROR(INDEX(S04_EldritchKnight!$BN$6:$BN$35,MATCH(Character_Spellcasting!CD34,S04_EldritchKnight!$BP$69:$BP$98,0),1),"")&amp;IFERROR(INDEX(S05_Paladin!$BN$6:$BN$35,MATCH(Character_Spellcasting!CD34,S05_Paladin!$BP$69:$BP$98,0),1),"")&amp;IFERROR(INDEX(S06_Ranger!$BN$6:$BN$35,MATCH(Character_Spellcasting!CD34,S06_Ranger!$BP$69:$BP$988,0),1),"")&amp;IFERROR(INDEX(S07_ArcaneTrickster!$BN$6:$BN$35,MATCH(Character_Spellcasting!CD34,S07_ArcaneTrickster!$BP$69:$BP$988,0),1),"")&amp;IFERROR(INDEX(S08_Sorcerer!$BN$6:$BN$35,MATCH(Character_Spellcasting!CD34,S08_Sorcerer!$BP$69:$BP$98,0),1),"")&amp;IFERROR(INDEX(S09_Warlock!$BN$6:$BN$35,MATCH(Character_Spellcasting!CD34,S09_Warlock!$BP$69:$BP$98,0),1),"")&amp;IFERROR(INDEX(S10_Wizard!$BN$6:$BN$35,MATCH(Character_Spellcasting!CD34,S10_Wizard!$BP$69:$BP$98,0),1),"")</f>
        <v/>
      </c>
      <c r="CF34" s="1061"/>
      <c r="CG34" s="1061"/>
      <c r="CH34" s="1061"/>
      <c r="CI34" s="1061"/>
      <c r="CJ34" s="1096" t="str">
        <f>IFERROR(INDEX(S01_Bard!$BQ$69:$BQ$98,MATCH(Character_Spellcasting!CD34,S01_Bard!$D$69:$D$98,0),1),"")&amp;IFERROR(INDEX(S02_Cleric!$BQ$69:$BQ$98,MATCH(Character_Spellcasting!CD34,S02_Cleric!$BP$69:$BP$98,0),1),"")&amp;IFERROR(INDEX(S03_Druid!$BQ$69:$BQ$98,MATCH(Character_Spellcasting!CD34,S03_Druid!$BP$69:$BP$98,0),1),"")&amp;IFERROR(INDEX(S04_EldritchKnight!$BQ$69:$BQ$98,MATCH(Character_Spellcasting!CD34,S04_EldritchKnight!$BP$69:$BP$98,0),1),"")&amp;IFERROR(INDEX(S05_Paladin!$BQ$69:$BQ$98,MATCH(Character_Spellcasting!CD34,S05_Paladin!$BP$69:$BP$98,0),1),"")&amp;IFERROR(INDEX(S06_Ranger!$BQ$69:$BQ$98,MATCH(Character_Spellcasting!CD34,S06_Ranger!$BP$69:$BP$988,0),1),"")&amp;IFERROR(INDEX(S07_ArcaneTrickster!$BQ$69:$BQ$98,MATCH(Character_Spellcasting!CD34,S07_ArcaneTrickster!$BP$69:$BP$988,0),1),"")&amp;IFERROR(INDEX(S08_Sorcerer!$BQ$69:$BQ$98,MATCH(Character_Spellcasting!CD34,S08_Sorcerer!$BP$69:$BP$98,0),1),"")&amp;IFERROR(INDEX(S09_Warlock!$BQ$69:$BQ$98,MATCH(Character_Spellcasting!CD34,S09_Warlock!$BP$69:$BP$98,0),1),"")&amp;IFERROR(INDEX(S10_Wizard!$BQ$69:$BQ$98,MATCH(Character_Spellcasting!CD34,S10_Wizard!$BP$69:$BP$98,0),1),"")</f>
        <v/>
      </c>
      <c r="CK34" s="1096"/>
      <c r="CL34" s="567"/>
      <c r="CM34" s="120"/>
      <c r="CN34" s="591">
        <v>28</v>
      </c>
      <c r="CO34" s="1061" t="str">
        <f>IFERROR(INDEX(S01_Bard!$BW$6:$BW$35,MATCH(Character_Spellcasting!CN34,S01_Bard!$BY$69:$BY$98,0),1),"")&amp;IFERROR(INDEX(S02_Cleric!$BW$6:$BW$35,MATCH(Character_Spellcasting!CN34,S02_Cleric!$BY$69:$BY$98,0),1),"")&amp;IFERROR(INDEX(S03_Druid!$BW$6:$BW$35,MATCH(Character_Spellcasting!CN34,S03_Druid!$BY$69:$BY$98,0),1),"")&amp;IFERROR(INDEX(S04_EldritchKnight!$BW$6:$BW$35,MATCH(Character_Spellcasting!CN34,S04_EldritchKnight!$BY$69:$BY$98,0),1),"")&amp;IFERROR(INDEX(S05_Paladin!$BW$6:$BW$35,MATCH(Character_Spellcasting!CN34,S05_Paladin!$BY$69:$BY$98,0),1),"")&amp;IFERROR(INDEX(S06_Ranger!$BW$6:$BW$35,MATCH(Character_Spellcasting!CN34,S06_Ranger!$BY$69:$BY$988,0),1),"")&amp;IFERROR(INDEX(S07_ArcaneTrickster!$BW$6:$BW$35,MATCH(Character_Spellcasting!CN34,S07_ArcaneTrickster!$BY$69:$BY$988,0),1),"")&amp;IFERROR(INDEX(S08_Sorcerer!$BW$6:$BW$35,MATCH(Character_Spellcasting!CN34,S08_Sorcerer!$BY$69:$BY$98,0),1),"")&amp;IFERROR(INDEX(S09_Warlock!$BW$6:$BW$35,MATCH(Character_Spellcasting!CN34,S09_Warlock!$BY$69:$BY$98,0),1),"")&amp;IFERROR(INDEX(S10_Wizard!$BW$6:$BW$35,MATCH(Character_Spellcasting!CN34,S10_Wizard!$BY$69:$BY$98,0),1),"")</f>
        <v/>
      </c>
      <c r="CP34" s="1061"/>
      <c r="CQ34" s="1061"/>
      <c r="CR34" s="1061"/>
      <c r="CS34" s="1061"/>
      <c r="CT34" s="1096" t="str">
        <f>IFERROR(INDEX(S01_Bard!$BZ$69:$BZ$98,MATCH(Character_Spellcasting!CN34,S01_Bard!$D$69:$D$98,0),1),"")&amp;IFERROR(INDEX(S02_Cleric!$BZ$69:$BZ$98,MATCH(Character_Spellcasting!CN34,S02_Cleric!$BY$69:$BY$98,0),1),"")&amp;IFERROR(INDEX(S03_Druid!$BZ$69:$BZ$98,MATCH(Character_Spellcasting!CN34,S03_Druid!$BY$69:$BY$98,0),1),"")&amp;IFERROR(INDEX(S04_EldritchKnight!$BZ$69:$BZ$98,MATCH(Character_Spellcasting!CN34,S04_EldritchKnight!$BY$69:$BY$98,0),1),"")&amp;IFERROR(INDEX(S05_Paladin!$BZ$69:$BZ$98,MATCH(Character_Spellcasting!CN34,S05_Paladin!$BY$69:$BY$98,0),1),"")&amp;IFERROR(INDEX(S06_Ranger!$BZ$69:$BZ$98,MATCH(Character_Spellcasting!CN34,S06_Ranger!$BY$69:$BY$988,0),1),"")&amp;IFERROR(INDEX(S07_ArcaneTrickster!$BZ$69:$BZ$98,MATCH(Character_Spellcasting!CN34,S07_ArcaneTrickster!$BY$69:$BY$988,0),1),"")&amp;IFERROR(INDEX(S08_Sorcerer!$BZ$69:$BZ$98,MATCH(Character_Spellcasting!CN34,S08_Sorcerer!$BY$69:$BY$98,0),1),"")&amp;IFERROR(INDEX(S09_Warlock!$BZ$69:$BZ$98,MATCH(Character_Spellcasting!CN34,S09_Warlock!$BY$69:$BY$98,0),1),"")&amp;IFERROR(INDEX(S10_Wizard!$BZ$69:$BZ$98,MATCH(Character_Spellcasting!CN34,S10_Wizard!$BY$69:$BY$98,0),1),"")</f>
        <v/>
      </c>
      <c r="CU34" s="1096"/>
      <c r="CV34" s="567"/>
      <c r="CW34" s="565"/>
      <c r="CX34" s="565"/>
      <c r="CY34" s="565"/>
      <c r="CZ34" s="565"/>
      <c r="DA34" s="610">
        <v>28</v>
      </c>
      <c r="DB34" s="1061" t="str">
        <f t="shared" si="0"/>
        <v/>
      </c>
      <c r="DC34" s="1061"/>
      <c r="DD34" s="1061"/>
      <c r="DE34" s="1061"/>
      <c r="DF34" s="1061"/>
      <c r="DG34" s="1096" t="str">
        <f t="shared" si="1"/>
        <v/>
      </c>
      <c r="DH34" s="1096"/>
      <c r="DI34" s="565"/>
      <c r="DJ34" s="565"/>
      <c r="DK34" s="565"/>
      <c r="DL34" s="565"/>
      <c r="DM34" s="565"/>
      <c r="DN34" s="565"/>
      <c r="DO34" s="565"/>
      <c r="DP34" s="565"/>
      <c r="DQ34" s="565"/>
      <c r="DR34" s="565"/>
      <c r="DS34" s="565"/>
      <c r="DT34" s="565"/>
      <c r="DU34" s="565"/>
      <c r="DV34" s="565"/>
    </row>
    <row r="35" spans="1:126" ht="21" x14ac:dyDescent="0.25">
      <c r="A35" s="120"/>
      <c r="B35" s="610">
        <v>29</v>
      </c>
      <c r="C35" s="1061"/>
      <c r="D35" s="1061"/>
      <c r="E35" s="1061"/>
      <c r="F35" s="1061"/>
      <c r="G35" s="1061"/>
      <c r="H35" s="1096"/>
      <c r="I35" s="1096"/>
      <c r="J35" s="120"/>
      <c r="K35" s="120"/>
      <c r="L35" s="591">
        <v>29</v>
      </c>
      <c r="M35" s="1061" t="str">
        <f>IFERROR(INDEX(S01_Bard!$C$6:$C$35,MATCH(Character_Spellcasting!L35,S01_Bard!$E$69:$E$98,0),1),"")&amp;IFERROR(INDEX(S02_Cleric!$C$6:$C$35,MATCH(Character_Spellcasting!L35,S02_Cleric!$E$69:$E$98,0),1),"")&amp;IFERROR(INDEX(S03_Druid!$C$6:$C$35,MATCH(Character_Spellcasting!L35,S03_Druid!$E$69:$E$98,0),1),"")&amp;IFERROR(INDEX(S04_EldritchKnight!$C$6:$C$35,MATCH(Character_Spellcasting!L35,S04_EldritchKnight!$E$69:$E$98,0),1),"")&amp;IFERROR(INDEX(S05_Paladin!$C$6:$C$35,MATCH(Character_Spellcasting!L35,S05_Paladin!$E$69:$E$98,0),1),"")&amp;IFERROR(INDEX(S06_Ranger!$C$6:$C$35,MATCH(Character_Spellcasting!L35,S06_Ranger!$E$69:$E$988,0),1),"")&amp;IFERROR(INDEX(S07_ArcaneTrickster!$C$6:$C$35,MATCH(Character_Spellcasting!L35,S07_ArcaneTrickster!$E$69:$E$988,0),1),"")&amp;IFERROR(INDEX(S08_Sorcerer!$C$6:$C$35,MATCH(Character_Spellcasting!L35,S08_Sorcerer!$E$69:$E$98,0),1),"")&amp;IFERROR(INDEX(S09_Warlock!$C$6:$C$35,MATCH(Character_Spellcasting!L35,S09_Warlock!$E$69:$E$98,0),1),"")&amp;IFERROR(INDEX(S10_Wizard!$C$6:$C$35,MATCH(Character_Spellcasting!L35,S10_Wizard!$E$69:$E$98,0),1),"")</f>
        <v/>
      </c>
      <c r="N35" s="1061"/>
      <c r="O35" s="1061"/>
      <c r="P35" s="1061"/>
      <c r="Q35" s="1061"/>
      <c r="R35" s="1096" t="str">
        <f>IFERROR(INDEX(S01_Bard!$F$69:$F$98,MATCH(Character_Spellcasting!L35,S01_Bard!$D$69:$D$98,0),1),"")&amp;IFERROR(INDEX(S02_Cleric!$F$69:$F$98,MATCH(Character_Spellcasting!L35,S02_Cleric!$E$69:$E$98,0),1),"")&amp;IFERROR(INDEX(S03_Druid!$F$69:$F$98,MATCH(Character_Spellcasting!L35,S03_Druid!$E$69:$E$98,0),1),"")&amp;IFERROR(INDEX(S04_EldritchKnight!$F$69:$F$98,MATCH(Character_Spellcasting!L35,S04_EldritchKnight!$E$69:$E$98,0),1),"")&amp;IFERROR(INDEX(S05_Paladin!$F$69:$F$98,MATCH(Character_Spellcasting!L35,S05_Paladin!$E$69:$E$98,0),1),"")&amp;IFERROR(INDEX(S06_Ranger!$F$69:$F$98,MATCH(Character_Spellcasting!L35,S06_Ranger!$E$69:$E$988,0),1),"")&amp;IFERROR(INDEX(S07_ArcaneTrickster!$F$69:$F$98,MATCH(Character_Spellcasting!L35,S07_ArcaneTrickster!$E$69:$E$988,0),1),"")&amp;IFERROR(INDEX(S08_Sorcerer!$F$69:$F$98,MATCH(Character_Spellcasting!L35,S08_Sorcerer!$E$69:$E$98,0),1),"")&amp;IFERROR(INDEX(S09_Warlock!$F$69:$F$98,MATCH(Character_Spellcasting!L35,S09_Warlock!$E$69:$E$98,0),1),"")&amp;IFERROR(INDEX(S10_Wizard!$F$69:$F$98,MATCH(Character_Spellcasting!L35,S10_Wizard!$E$69:$E$98,0),1),"")</f>
        <v/>
      </c>
      <c r="S35" s="1096"/>
      <c r="T35" s="567"/>
      <c r="U35" s="565"/>
      <c r="V35" s="591">
        <v>29</v>
      </c>
      <c r="W35" s="1061" t="str">
        <f>IFERROR(INDEX(S01_Bard!$L$6:$L$35,MATCH(Character_Spellcasting!V35,S01_Bard!$N$69:$N$98,0),1),"")&amp;IFERROR(INDEX(S02_Cleric!$L$6:$L$35,MATCH(Character_Spellcasting!V35,S02_Cleric!$N$69:$N$98,0),1),"")&amp;IFERROR(INDEX(S03_Druid!$L$6:$L$35,MATCH(Character_Spellcasting!V35,S03_Druid!$N$69:$N$98,0),1),"")&amp;IFERROR(INDEX(S04_EldritchKnight!$L$6:$L$35,MATCH(Character_Spellcasting!V35,S04_EldritchKnight!$N$69:$N$98,0),1),"")&amp;IFERROR(INDEX(S05_Paladin!$L$6:$L$35,MATCH(Character_Spellcasting!V35,S05_Paladin!$N$69:$N$98,0),1),"")&amp;IFERROR(INDEX(S06_Ranger!$L$6:$L$35,MATCH(Character_Spellcasting!V35,S06_Ranger!$N$69:$N$988,0),1),"")&amp;IFERROR(INDEX(S07_ArcaneTrickster!$L$6:$L$35,MATCH(Character_Spellcasting!V35,S07_ArcaneTrickster!$N$69:$N$988,0),1),"")&amp;IFERROR(INDEX(S08_Sorcerer!$L$6:$L$35,MATCH(Character_Spellcasting!V35,S08_Sorcerer!$N$69:$N$98,0),1),"")&amp;IFERROR(INDEX(S09_Warlock!$L$6:$L$35,MATCH(Character_Spellcasting!V35,S09_Warlock!$N$69:$N$98,0),1),"")&amp;IFERROR(INDEX(S10_Wizard!$L$6:$L$35,MATCH(Character_Spellcasting!V35,S10_Wizard!$N$69:$N$98,0),1),"")</f>
        <v/>
      </c>
      <c r="X35" s="1061"/>
      <c r="Y35" s="1061"/>
      <c r="Z35" s="1061"/>
      <c r="AA35" s="1061"/>
      <c r="AB35" s="1097" t="str">
        <f>IFERROR(INDEX(S01_Bard!$O$69:$O$98,MATCH(Character_Spellcasting!V35,S01_Bard!$N$69:$N$98,0),1),"")&amp;IFERROR(INDEX(S02_Cleric!$O$69:$O$98,MATCH(Character_Spellcasting!V35,S02_Cleric!$N$69:$N$98,0),1),"")&amp;IFERROR(INDEX(S03_Druid!$O$69:$O$98,MATCH(Character_Spellcasting!V35,S03_Druid!$N$69:$N$98,0),1),"")&amp;IFERROR(INDEX(S04_EldritchKnight!$O$69:$O$98,MATCH(Character_Spellcasting!V35,S04_EldritchKnight!$N$69:$N$98,0),1),"")&amp;IFERROR(INDEX(S05_Paladin!$O$69:$O$98,MATCH(Character_Spellcasting!V35,S05_Paladin!$N$69:$N$98,0),1),"")&amp;IFERROR(INDEX(S06_Ranger!$O$69:$O$98,MATCH(Character_Spellcasting!V35,S06_Ranger!$N$69:$N$988,0),1),"")&amp;IFERROR(INDEX(S07_ArcaneTrickster!$O$69:$O$98,MATCH(Character_Spellcasting!V35,S07_ArcaneTrickster!$N$69:$N$988,0),1),"")&amp;IFERROR(INDEX(S08_Sorcerer!$O$69:$O$98,MATCH(Character_Spellcasting!V35,S08_Sorcerer!$N$69:$N$98,0),1),"")&amp;IFERROR(INDEX(S09_Warlock!$O$69:$O$98,MATCH(Character_Spellcasting!V35,S09_Warlock!$N$69:$N$98,0),1),"")&amp;IFERROR(INDEX(S10_Wizard!$O$69:$O$98,MATCH(Character_Spellcasting!V35,S10_Wizard!$N$69:$N$98,0),1),"")</f>
        <v/>
      </c>
      <c r="AC35" s="1098"/>
      <c r="AD35" s="567"/>
      <c r="AE35" s="565"/>
      <c r="AF35" s="609">
        <v>29</v>
      </c>
      <c r="AG35" s="1061" t="str">
        <f>IFERROR(INDEX(S01_Bard!$U$6:$U$35,MATCH(Character_Spellcasting!AF35,S01_Bard!$W$69:$W$98,0),1),"")&amp;IFERROR(INDEX(S02_Cleric!$U$6:$U$35,MATCH(Character_Spellcasting!AF35,S02_Cleric!$W$69:$W$98,0),1),"")&amp;IFERROR(INDEX(S03_Druid!$U$6:$U$35,MATCH(Character_Spellcasting!AF35,S03_Druid!$W$69:$W$98,0),1),"")&amp;IFERROR(INDEX(S04_EldritchKnight!$U$6:$U$35,MATCH(Character_Spellcasting!AF35,S04_EldritchKnight!$W$69:$W$98,0),1),"")&amp;IFERROR(INDEX(S05_Paladin!$U$6:$U$35,MATCH(Character_Spellcasting!AF35,S05_Paladin!$W$69:$W$98,0),1),"")&amp;IFERROR(INDEX(S06_Ranger!$U$6:$U$35,MATCH(Character_Spellcasting!AF35,S06_Ranger!$W$69:$W$988,0),1),"")&amp;IFERROR(INDEX(S07_ArcaneTrickster!$U$6:$U$35,MATCH(Character_Spellcasting!AF35,S07_ArcaneTrickster!$W$69:$W$988,0),1),"")&amp;IFERROR(INDEX(S08_Sorcerer!$U$6:$U$35,MATCH(Character_Spellcasting!AF35,S08_Sorcerer!$W$69:$W$98,0),1),"")&amp;IFERROR(INDEX(S09_Warlock!$U$6:$U$35,MATCH(Character_Spellcasting!AF35,S09_Warlock!$W$69:$W$98,0),1),"")&amp;IFERROR(INDEX(S10_Wizard!$U$6:$U$35,MATCH(Character_Spellcasting!AF35,S10_Wizard!$W$69:$W$98,0),1),"")</f>
        <v/>
      </c>
      <c r="AH35" s="1061"/>
      <c r="AI35" s="1061"/>
      <c r="AJ35" s="1061"/>
      <c r="AK35" s="1061"/>
      <c r="AL35" s="1097" t="str">
        <f>IFERROR(INDEX(S01_Bard!$X$69:$X$98,MATCH(Character_Spellcasting!AF35,S01_Bard!$W$69:$W$98,0),1),"")&amp;IFERROR(INDEX(S02_Cleric!$X$69:$X$98,MATCH(Character_Spellcasting!AF35,S02_Cleric!$W$69:$W$98,0),1),"")&amp;IFERROR(INDEX(S03_Druid!$X$69:$X$98,MATCH(Character_Spellcasting!AF35,S03_Druid!$W$69:$W$98,0),1),"")&amp;IFERROR(INDEX(S04_EldritchKnight!$X$69:$X$98,MATCH(Character_Spellcasting!AF35,S04_EldritchKnight!$W$69:$W$98,0),1),"")&amp;IFERROR(INDEX(S05_Paladin!$X$69:$X$98,MATCH(Character_Spellcasting!AF35,S05_Paladin!$W$69:$W$98,0),1),"")&amp;IFERROR(INDEX(S06_Ranger!$X$69:$X$98,MATCH(Character_Spellcasting!AF35,S06_Ranger!$W$69:$W$988,0),1),"")&amp;IFERROR(INDEX(S07_ArcaneTrickster!$X$69:$X$98,MATCH(Character_Spellcasting!AF35,S07_ArcaneTrickster!$W$69:$W$988,0),1),"")&amp;IFERROR(INDEX(S08_Sorcerer!$X$69:$X$98,MATCH(Character_Spellcasting!AF35,S08_Sorcerer!$W$69:$W$98,0),1),"")&amp;IFERROR(INDEX(S09_Warlock!$X$69:$X$98,MATCH(Character_Spellcasting!AF35,S09_Warlock!$W$69:$W$98,0),1),"")&amp;IFERROR(INDEX(S10_Wizard!$X$69:$X$98,MATCH(Character_Spellcasting!AF35,S10_Wizard!$W$69:$W$98,0),1),"")</f>
        <v/>
      </c>
      <c r="AM35" s="1098"/>
      <c r="AN35" s="567"/>
      <c r="AO35" s="565"/>
      <c r="AP35" s="591">
        <v>29</v>
      </c>
      <c r="AQ35" s="1061" t="str">
        <f>IFERROR(INDEX(S01_Bard!$AD$6:$AD$35,MATCH(Character_Spellcasting!AP35,S01_Bard!$AF$69:$AF$98,0),1),"")&amp;IFERROR(INDEX(S02_Cleric!$AD$6:$AD$35,MATCH(Character_Spellcasting!AP35,S02_Cleric!$AF$69:$AF$98,0),1),"")&amp;IFERROR(INDEX(S03_Druid!$AD$6:$AD$35,MATCH(Character_Spellcasting!AP35,S03_Druid!$AF$69:$AF$98,0),1),"")&amp;IFERROR(INDEX(S04_EldritchKnight!$AD$6:$AD$35,MATCH(Character_Spellcasting!AP35,S04_EldritchKnight!$AF$69:$AF$98,0),1),"")&amp;IFERROR(INDEX(S05_Paladin!$AD$6:$AD$35,MATCH(Character_Spellcasting!AP35,S05_Paladin!$AF$69:$AF$98,0),1),"")&amp;IFERROR(INDEX(S06_Ranger!$AD$6:$AD$35,MATCH(Character_Spellcasting!AP35,S06_Ranger!$AF$69:$AF$988,0),1),"")&amp;IFERROR(INDEX(S07_ArcaneTrickster!$AD$6:$AD$35,MATCH(Character_Spellcasting!AP35,S07_ArcaneTrickster!$AF$69:$AF$988,0),1),"")&amp;IFERROR(INDEX(S08_Sorcerer!$AD$6:$AD$35,MATCH(Character_Spellcasting!AP35,S08_Sorcerer!$AF$69:$AF$98,0),1),"")&amp;IFERROR(INDEX(S09_Warlock!$AD$6:$AD$35,MATCH(Character_Spellcasting!AP35,S09_Warlock!$AF$69:$AF$98,0),1),"")&amp;IFERROR(INDEX(S10_Wizard!$AD$6:$AD$35,MATCH(Character_Spellcasting!AP35,S10_Wizard!$AF$69:$AF$98,0),1),"")</f>
        <v/>
      </c>
      <c r="AR35" s="1061"/>
      <c r="AS35" s="1061"/>
      <c r="AT35" s="1061"/>
      <c r="AU35" s="1061"/>
      <c r="AV35" s="1096" t="str">
        <f>IFERROR(INDEX(S01_Bard!$AG$69:$AG$98,MATCH(Character_Spellcasting!AP35,S01_Bard!$D$69:$D$98,0),1),"")&amp;IFERROR(INDEX(S02_Cleric!$AG$69:$AG$98,MATCH(Character_Spellcasting!AP35,S02_Cleric!$AF$69:$AF$98,0),1),"")&amp;IFERROR(INDEX(S03_Druid!$AG$69:$AG$98,MATCH(Character_Spellcasting!AP35,S03_Druid!$AF$69:$AF$98,0),1),"")&amp;IFERROR(INDEX(S04_EldritchKnight!$AG$69:$AG$98,MATCH(Character_Spellcasting!AP35,S04_EldritchKnight!$AF$69:$AF$98,0),1),"")&amp;IFERROR(INDEX(S05_Paladin!$AG$69:$AG$98,MATCH(Character_Spellcasting!AP35,S05_Paladin!$AF$69:$AF$98,0),1),"")&amp;IFERROR(INDEX(S06_Ranger!$AG$69:$AG$98,MATCH(Character_Spellcasting!AP35,S06_Ranger!$AF$69:$AF$988,0),1),"")&amp;IFERROR(INDEX(S07_ArcaneTrickster!$AG$69:$AG$98,MATCH(Character_Spellcasting!AP35,S07_ArcaneTrickster!$AF$69:$AF$988,0),1),"")&amp;IFERROR(INDEX(S08_Sorcerer!$AG$69:$AG$98,MATCH(Character_Spellcasting!AP35,S08_Sorcerer!$AF$69:$AF$98,0),1),"")&amp;IFERROR(INDEX(S09_Warlock!$AG$69:$AG$98,MATCH(Character_Spellcasting!AP35,S09_Warlock!$AF$69:$AF$98,0),1),"")&amp;IFERROR(INDEX(S10_Wizard!$AG$69:$AG$98,MATCH(Character_Spellcasting!AP35,S10_Wizard!$AF$69:$AF$98,0),1),"")</f>
        <v/>
      </c>
      <c r="AW35" s="1096"/>
      <c r="AX35" s="567"/>
      <c r="AY35" s="565"/>
      <c r="AZ35" s="591">
        <v>29</v>
      </c>
      <c r="BA35" s="1061" t="str">
        <f>IFERROR(INDEX(S01_Bard!$AM$6:$AM$35,MATCH(Character_Spellcasting!AZ35,S01_Bard!$AO$69:$AO$98,0),1),"")&amp;IFERROR(INDEX(S02_Cleric!$AM$6:$AM$35,MATCH(Character_Spellcasting!AZ35,S02_Cleric!$AO$69:$AO$98,0),1),"")&amp;IFERROR(INDEX(S03_Druid!$AM$6:$AM$35,MATCH(Character_Spellcasting!AZ35,S03_Druid!$AO$69:$AO$98,0),1),"")&amp;IFERROR(INDEX(S04_EldritchKnight!$AM$6:$AM$35,MATCH(Character_Spellcasting!AZ35,S04_EldritchKnight!$AO$69:$AO$98,0),1),"")&amp;IFERROR(INDEX(S05_Paladin!$AM$6:$AM$35,MATCH(Character_Spellcasting!AZ35,S05_Paladin!$AO$69:$AO$98,0),1),"")&amp;IFERROR(INDEX(S06_Ranger!$AM$6:$AM$35,MATCH(Character_Spellcasting!AZ35,S06_Ranger!$AO$69:$AO$988,0),1),"")&amp;IFERROR(INDEX(S07_ArcaneTrickster!$AM$6:$AM$35,MATCH(Character_Spellcasting!AZ35,S07_ArcaneTrickster!$AO$69:$AO$988,0),1),"")&amp;IFERROR(INDEX(S08_Sorcerer!$AM$6:$AM$35,MATCH(Character_Spellcasting!AZ35,S08_Sorcerer!$AO$69:$AO$98,0),1),"")&amp;IFERROR(INDEX(S09_Warlock!$AM$6:$AM$35,MATCH(Character_Spellcasting!AZ35,S09_Warlock!$AO$69:$AO$98,0),1),"")&amp;IFERROR(INDEX(S10_Wizard!$AM$6:$AM$35,MATCH(Character_Spellcasting!AZ35,S10_Wizard!$AO$69:$AO$98,0),1),"")</f>
        <v/>
      </c>
      <c r="BB35" s="1061"/>
      <c r="BC35" s="1061"/>
      <c r="BD35" s="1061"/>
      <c r="BE35" s="1061"/>
      <c r="BF35" s="1096" t="str">
        <f>IFERROR(INDEX(S01_Bard!$AP$69:$AP$98,MATCH(Character_Spellcasting!AZ35,S01_Bard!$D$69:$D$98,0),1),"")&amp;IFERROR(INDEX(S02_Cleric!$AP$69:$AP$98,MATCH(Character_Spellcasting!AZ35,S02_Cleric!$AO$69:$AO$98,0),1),"")&amp;IFERROR(INDEX(S03_Druid!$AP$69:$AP$98,MATCH(Character_Spellcasting!AZ35,S03_Druid!$AO$69:$AO$98,0),1),"")&amp;IFERROR(INDEX(S04_EldritchKnight!$AP$69:$AP$98,MATCH(Character_Spellcasting!AZ35,S04_EldritchKnight!$AO$69:$AO$98,0),1),"")&amp;IFERROR(INDEX(S05_Paladin!$AP$69:$AP$98,MATCH(Character_Spellcasting!AZ35,S05_Paladin!$AO$69:$AO$98,0),1),"")&amp;IFERROR(INDEX(S06_Ranger!$AP$69:$AP$98,MATCH(Character_Spellcasting!AZ35,S06_Ranger!$AO$69:$AO$988,0),1),"")&amp;IFERROR(INDEX(S07_ArcaneTrickster!$AP$69:$AP$98,MATCH(Character_Spellcasting!AZ35,S07_ArcaneTrickster!$AO$69:$AO$988,0),1),"")&amp;IFERROR(INDEX(S08_Sorcerer!$AP$69:$AP$98,MATCH(Character_Spellcasting!AZ35,S08_Sorcerer!$AO$69:$AO$98,0),1),"")&amp;IFERROR(INDEX(S09_Warlock!$AP$69:$AP$98,MATCH(Character_Spellcasting!AZ35,S09_Warlock!$AO$69:$AO$98,0),1),"")&amp;IFERROR(INDEX(S10_Wizard!$AP$69:$AP$98,MATCH(Character_Spellcasting!AZ35,S10_Wizard!$AO$69:$AO$98,0),1),"")</f>
        <v/>
      </c>
      <c r="BG35" s="1096"/>
      <c r="BH35" s="567"/>
      <c r="BI35" s="120"/>
      <c r="BJ35" s="591">
        <v>29</v>
      </c>
      <c r="BK35" s="1061" t="str">
        <f>IFERROR(INDEX(S01_Bard!$AV$6:$AV$35,MATCH(Character_Spellcasting!BJ35,S01_Bard!$AX$69:$AX$98,0),1),"")&amp;IFERROR(INDEX(S02_Cleric!$AV$6:$AV$35,MATCH(Character_Spellcasting!BJ35,S02_Cleric!$AX$69:$AX$98,0),1),"")&amp;IFERROR(INDEX(S03_Druid!$AV$6:$AV$35,MATCH(Character_Spellcasting!BJ35,S03_Druid!$AX$69:$AX$98,0),1),"")&amp;IFERROR(INDEX(S04_EldritchKnight!$AV$6:$AV$35,MATCH(Character_Spellcasting!BJ35,S04_EldritchKnight!$AX$69:$AX$98,0),1),"")&amp;IFERROR(INDEX(S05_Paladin!$AV$6:$AV$35,MATCH(Character_Spellcasting!BJ35,S05_Paladin!$AX$69:$AX$98,0),1),"")&amp;IFERROR(INDEX(S06_Ranger!$AV$6:$AV$35,MATCH(Character_Spellcasting!BJ35,S06_Ranger!$AX$69:$AX$988,0),1),"")&amp;IFERROR(INDEX(S07_ArcaneTrickster!$AV$6:$AV$35,MATCH(Character_Spellcasting!BJ35,S07_ArcaneTrickster!$AX$69:$AX$988,0),1),"")&amp;IFERROR(INDEX(S08_Sorcerer!$AV$6:$AV$35,MATCH(Character_Spellcasting!BJ35,S08_Sorcerer!$AX$69:$AX$98,0),1),"")&amp;IFERROR(INDEX(S09_Warlock!$AV$6:$AV$35,MATCH(Character_Spellcasting!BJ35,S09_Warlock!$AX$69:$AX$98,0),1),"")&amp;IFERROR(INDEX(S10_Wizard!$AV$6:$AV$35,MATCH(Character_Spellcasting!BJ35,S10_Wizard!$AX$69:$AX$98,0),1),"")</f>
        <v/>
      </c>
      <c r="BL35" s="1061"/>
      <c r="BM35" s="1061"/>
      <c r="BN35" s="1061"/>
      <c r="BO35" s="1061"/>
      <c r="BP35" s="1096" t="str">
        <f>IFERROR(INDEX(S01_Bard!$AY$69:$AY$98,MATCH(Character_Spellcasting!BJ35,S01_Bard!$D$69:$D$98,0),1),"")&amp;IFERROR(INDEX(S02_Cleric!$AY$69:$AY$98,MATCH(Character_Spellcasting!BJ35,S02_Cleric!$AX$69:$AX$98,0),1),"")&amp;IFERROR(INDEX(S03_Druid!$AY$69:$AY$98,MATCH(Character_Spellcasting!BJ35,S03_Druid!$AX$69:$AX$98,0),1),"")&amp;IFERROR(INDEX(S04_EldritchKnight!$AY$69:$AY$98,MATCH(Character_Spellcasting!BJ35,S04_EldritchKnight!$AX$69:$AX$98,0),1),"")&amp;IFERROR(INDEX(S05_Paladin!$AY$69:$AY$98,MATCH(Character_Spellcasting!BJ35,S05_Paladin!$AX$69:$AX$98,0),1),"")&amp;IFERROR(INDEX(S06_Ranger!$AY$69:$AY$98,MATCH(Character_Spellcasting!BJ35,S06_Ranger!$AX$69:$AX$988,0),1),"")&amp;IFERROR(INDEX(S07_ArcaneTrickster!$AY$69:$AY$98,MATCH(Character_Spellcasting!BJ35,S07_ArcaneTrickster!$AX$69:$AX$988,0),1),"")&amp;IFERROR(INDEX(S08_Sorcerer!$AY$69:$AY$98,MATCH(Character_Spellcasting!BJ35,S08_Sorcerer!$AX$69:$AX$98,0),1),"")&amp;IFERROR(INDEX(S09_Warlock!$AY$69:$AY$98,MATCH(Character_Spellcasting!BJ35,S09_Warlock!$AX$69:$AX$98,0),1),"")&amp;IFERROR(INDEX(S10_Wizard!$AY$69:$AY$98,MATCH(Character_Spellcasting!BJ35,S10_Wizard!$AX$69:$AX$98,0),1),"")</f>
        <v/>
      </c>
      <c r="BQ35" s="1096"/>
      <c r="BR35" s="567"/>
      <c r="BS35" s="120"/>
      <c r="BT35" s="591">
        <v>29</v>
      </c>
      <c r="BU35" s="1061" t="str">
        <f>IFERROR(INDEX(S01_Bard!$BE$6:$BE$35,MATCH(Character_Spellcasting!BT35,S01_Bard!$BG$69:$BG$98,0),1),"")&amp;IFERROR(INDEX(S02_Cleric!$BE$6:$BE$35,MATCH(Character_Spellcasting!BT35,S02_Cleric!$BG$69:$BG$98,0),1),"")&amp;IFERROR(INDEX(S03_Druid!$BE$6:$BE$35,MATCH(Character_Spellcasting!BT35,S03_Druid!$BG$69:$BG$98,0),1),"")&amp;IFERROR(INDEX(S04_EldritchKnight!$BE$6:$BE$35,MATCH(Character_Spellcasting!BT35,S04_EldritchKnight!$BG$69:$BG$98,0),1),"")&amp;IFERROR(INDEX(S05_Paladin!$BE$6:$BE$35,MATCH(Character_Spellcasting!BT35,S05_Paladin!$BG$69:$BG$98,0),1),"")&amp;IFERROR(INDEX(S06_Ranger!$BE$6:$BE$35,MATCH(Character_Spellcasting!BT35,S06_Ranger!$BG$69:$BG$988,0),1),"")&amp;IFERROR(INDEX(S07_ArcaneTrickster!$BE$6:$BE$35,MATCH(Character_Spellcasting!BT35,S07_ArcaneTrickster!$BG$69:$BG$988,0),1),"")&amp;IFERROR(INDEX(S08_Sorcerer!$BE$6:$BE$35,MATCH(Character_Spellcasting!BT35,S08_Sorcerer!$BG$69:$BG$98,0),1),"")&amp;IFERROR(INDEX(S09_Warlock!$BE$6:$BE$35,MATCH(Character_Spellcasting!BT35,S09_Warlock!$BG$69:$BG$98,0),1),"")&amp;IFERROR(INDEX(S10_Wizard!$BE$6:$BE$35,MATCH(Character_Spellcasting!BT35,S10_Wizard!$BG$69:$BG$98,0),1),"")</f>
        <v/>
      </c>
      <c r="BV35" s="1061"/>
      <c r="BW35" s="1061"/>
      <c r="BX35" s="1061"/>
      <c r="BY35" s="1061"/>
      <c r="BZ35" s="1096" t="str">
        <f>IFERROR(INDEX(S01_Bard!$BH$69:$BH$98,MATCH(Character_Spellcasting!BT35,S01_Bard!$D$69:$D$98,0),1),"")&amp;IFERROR(INDEX(S02_Cleric!$BH$69:$BH$98,MATCH(Character_Spellcasting!BT35,S02_Cleric!$BG$69:$BG$98,0),1),"")&amp;IFERROR(INDEX(S03_Druid!$BH$69:$BH$98,MATCH(Character_Spellcasting!BT35,S03_Druid!$BG$69:$BG$98,0),1),"")&amp;IFERROR(INDEX(S04_EldritchKnight!$BH$69:$BH$98,MATCH(Character_Spellcasting!BT35,S04_EldritchKnight!$BG$69:$BG$98,0),1),"")&amp;IFERROR(INDEX(S05_Paladin!$BH$69:$BH$98,MATCH(Character_Spellcasting!BT35,S05_Paladin!$BG$69:$BG$98,0),1),"")&amp;IFERROR(INDEX(S06_Ranger!$BH$69:$BH$98,MATCH(Character_Spellcasting!BT35,S06_Ranger!$BG$69:$BG$988,0),1),"")&amp;IFERROR(INDEX(S07_ArcaneTrickster!$BH$69:$BH$98,MATCH(Character_Spellcasting!BT35,S07_ArcaneTrickster!$BG$69:$BG$988,0),1),"")&amp;IFERROR(INDEX(S08_Sorcerer!$BH$69:$BH$98,MATCH(Character_Spellcasting!BT35,S08_Sorcerer!$BG$69:$BG$98,0),1),"")&amp;IFERROR(INDEX(S09_Warlock!$BH$69:$BH$98,MATCH(Character_Spellcasting!BT35,S09_Warlock!$BG$69:$BG$98,0),1),"")&amp;IFERROR(INDEX(S10_Wizard!$BH$69:$BH$98,MATCH(Character_Spellcasting!BT35,S10_Wizard!$BG$69:$BG$98,0),1),"")</f>
        <v/>
      </c>
      <c r="CA35" s="1096"/>
      <c r="CB35" s="567"/>
      <c r="CC35" s="120"/>
      <c r="CD35" s="591">
        <v>29</v>
      </c>
      <c r="CE35" s="1061" t="str">
        <f>IFERROR(INDEX(S01_Bard!$BN$6:$BN$35,MATCH(Character_Spellcasting!CD35,S01_Bard!$BP$69:$BP$98,0),1),"")&amp;IFERROR(INDEX(S02_Cleric!$BN$6:$BN$35,MATCH(Character_Spellcasting!CD35,S02_Cleric!$BP$69:$BP$98,0),1),"")&amp;IFERROR(INDEX(S03_Druid!$BN$6:$BN$35,MATCH(Character_Spellcasting!CD35,S03_Druid!$BP$69:$BP$98,0),1),"")&amp;IFERROR(INDEX(S04_EldritchKnight!$BN$6:$BN$35,MATCH(Character_Spellcasting!CD35,S04_EldritchKnight!$BP$69:$BP$98,0),1),"")&amp;IFERROR(INDEX(S05_Paladin!$BN$6:$BN$35,MATCH(Character_Spellcasting!CD35,S05_Paladin!$BP$69:$BP$98,0),1),"")&amp;IFERROR(INDEX(S06_Ranger!$BN$6:$BN$35,MATCH(Character_Spellcasting!CD35,S06_Ranger!$BP$69:$BP$988,0),1),"")&amp;IFERROR(INDEX(S07_ArcaneTrickster!$BN$6:$BN$35,MATCH(Character_Spellcasting!CD35,S07_ArcaneTrickster!$BP$69:$BP$988,0),1),"")&amp;IFERROR(INDEX(S08_Sorcerer!$BN$6:$BN$35,MATCH(Character_Spellcasting!CD35,S08_Sorcerer!$BP$69:$BP$98,0),1),"")&amp;IFERROR(INDEX(S09_Warlock!$BN$6:$BN$35,MATCH(Character_Spellcasting!CD35,S09_Warlock!$BP$69:$BP$98,0),1),"")&amp;IFERROR(INDEX(S10_Wizard!$BN$6:$BN$35,MATCH(Character_Spellcasting!CD35,S10_Wizard!$BP$69:$BP$98,0),1),"")</f>
        <v/>
      </c>
      <c r="CF35" s="1061"/>
      <c r="CG35" s="1061"/>
      <c r="CH35" s="1061"/>
      <c r="CI35" s="1061"/>
      <c r="CJ35" s="1096" t="str">
        <f>IFERROR(INDEX(S01_Bard!$BQ$69:$BQ$98,MATCH(Character_Spellcasting!CD35,S01_Bard!$D$69:$D$98,0),1),"")&amp;IFERROR(INDEX(S02_Cleric!$BQ$69:$BQ$98,MATCH(Character_Spellcasting!CD35,S02_Cleric!$BP$69:$BP$98,0),1),"")&amp;IFERROR(INDEX(S03_Druid!$BQ$69:$BQ$98,MATCH(Character_Spellcasting!CD35,S03_Druid!$BP$69:$BP$98,0),1),"")&amp;IFERROR(INDEX(S04_EldritchKnight!$BQ$69:$BQ$98,MATCH(Character_Spellcasting!CD35,S04_EldritchKnight!$BP$69:$BP$98,0),1),"")&amp;IFERROR(INDEX(S05_Paladin!$BQ$69:$BQ$98,MATCH(Character_Spellcasting!CD35,S05_Paladin!$BP$69:$BP$98,0),1),"")&amp;IFERROR(INDEX(S06_Ranger!$BQ$69:$BQ$98,MATCH(Character_Spellcasting!CD35,S06_Ranger!$BP$69:$BP$988,0),1),"")&amp;IFERROR(INDEX(S07_ArcaneTrickster!$BQ$69:$BQ$98,MATCH(Character_Spellcasting!CD35,S07_ArcaneTrickster!$BP$69:$BP$988,0),1),"")&amp;IFERROR(INDEX(S08_Sorcerer!$BQ$69:$BQ$98,MATCH(Character_Spellcasting!CD35,S08_Sorcerer!$BP$69:$BP$98,0),1),"")&amp;IFERROR(INDEX(S09_Warlock!$BQ$69:$BQ$98,MATCH(Character_Spellcasting!CD35,S09_Warlock!$BP$69:$BP$98,0),1),"")&amp;IFERROR(INDEX(S10_Wizard!$BQ$69:$BQ$98,MATCH(Character_Spellcasting!CD35,S10_Wizard!$BP$69:$BP$98,0),1),"")</f>
        <v/>
      </c>
      <c r="CK35" s="1096"/>
      <c r="CL35" s="567"/>
      <c r="CM35" s="120"/>
      <c r="CN35" s="591">
        <v>29</v>
      </c>
      <c r="CO35" s="1061" t="str">
        <f>IFERROR(INDEX(S01_Bard!$BW$6:$BW$35,MATCH(Character_Spellcasting!CN35,S01_Bard!$BY$69:$BY$98,0),1),"")&amp;IFERROR(INDEX(S02_Cleric!$BW$6:$BW$35,MATCH(Character_Spellcasting!CN35,S02_Cleric!$BY$69:$BY$98,0),1),"")&amp;IFERROR(INDEX(S03_Druid!$BW$6:$BW$35,MATCH(Character_Spellcasting!CN35,S03_Druid!$BY$69:$BY$98,0),1),"")&amp;IFERROR(INDEX(S04_EldritchKnight!$BW$6:$BW$35,MATCH(Character_Spellcasting!CN35,S04_EldritchKnight!$BY$69:$BY$98,0),1),"")&amp;IFERROR(INDEX(S05_Paladin!$BW$6:$BW$35,MATCH(Character_Spellcasting!CN35,S05_Paladin!$BY$69:$BY$98,0),1),"")&amp;IFERROR(INDEX(S06_Ranger!$BW$6:$BW$35,MATCH(Character_Spellcasting!CN35,S06_Ranger!$BY$69:$BY$988,0),1),"")&amp;IFERROR(INDEX(S07_ArcaneTrickster!$BW$6:$BW$35,MATCH(Character_Spellcasting!CN35,S07_ArcaneTrickster!$BY$69:$BY$988,0),1),"")&amp;IFERROR(INDEX(S08_Sorcerer!$BW$6:$BW$35,MATCH(Character_Spellcasting!CN35,S08_Sorcerer!$BY$69:$BY$98,0),1),"")&amp;IFERROR(INDEX(S09_Warlock!$BW$6:$BW$35,MATCH(Character_Spellcasting!CN35,S09_Warlock!$BY$69:$BY$98,0),1),"")&amp;IFERROR(INDEX(S10_Wizard!$BW$6:$BW$35,MATCH(Character_Spellcasting!CN35,S10_Wizard!$BY$69:$BY$98,0),1),"")</f>
        <v/>
      </c>
      <c r="CP35" s="1061"/>
      <c r="CQ35" s="1061"/>
      <c r="CR35" s="1061"/>
      <c r="CS35" s="1061"/>
      <c r="CT35" s="1096" t="str">
        <f>IFERROR(INDEX(S01_Bard!$BZ$69:$BZ$98,MATCH(Character_Spellcasting!CN35,S01_Bard!$D$69:$D$98,0),1),"")&amp;IFERROR(INDEX(S02_Cleric!$BZ$69:$BZ$98,MATCH(Character_Spellcasting!CN35,S02_Cleric!$BY$69:$BY$98,0),1),"")&amp;IFERROR(INDEX(S03_Druid!$BZ$69:$BZ$98,MATCH(Character_Spellcasting!CN35,S03_Druid!$BY$69:$BY$98,0),1),"")&amp;IFERROR(INDEX(S04_EldritchKnight!$BZ$69:$BZ$98,MATCH(Character_Spellcasting!CN35,S04_EldritchKnight!$BY$69:$BY$98,0),1),"")&amp;IFERROR(INDEX(S05_Paladin!$BZ$69:$BZ$98,MATCH(Character_Spellcasting!CN35,S05_Paladin!$BY$69:$BY$98,0),1),"")&amp;IFERROR(INDEX(S06_Ranger!$BZ$69:$BZ$98,MATCH(Character_Spellcasting!CN35,S06_Ranger!$BY$69:$BY$988,0),1),"")&amp;IFERROR(INDEX(S07_ArcaneTrickster!$BZ$69:$BZ$98,MATCH(Character_Spellcasting!CN35,S07_ArcaneTrickster!$BY$69:$BY$988,0),1),"")&amp;IFERROR(INDEX(S08_Sorcerer!$BZ$69:$BZ$98,MATCH(Character_Spellcasting!CN35,S08_Sorcerer!$BY$69:$BY$98,0),1),"")&amp;IFERROR(INDEX(S09_Warlock!$BZ$69:$BZ$98,MATCH(Character_Spellcasting!CN35,S09_Warlock!$BY$69:$BY$98,0),1),"")&amp;IFERROR(INDEX(S10_Wizard!$BZ$69:$BZ$98,MATCH(Character_Spellcasting!CN35,S10_Wizard!$BY$69:$BY$98,0),1),"")</f>
        <v/>
      </c>
      <c r="CU35" s="1096"/>
      <c r="CV35" s="567"/>
      <c r="CW35" s="565"/>
      <c r="CX35" s="565"/>
      <c r="CY35" s="565"/>
      <c r="CZ35" s="565"/>
      <c r="DA35" s="610">
        <v>29</v>
      </c>
      <c r="DB35" s="1061" t="str">
        <f t="shared" si="0"/>
        <v/>
      </c>
      <c r="DC35" s="1061"/>
      <c r="DD35" s="1061"/>
      <c r="DE35" s="1061"/>
      <c r="DF35" s="1061"/>
      <c r="DG35" s="1096" t="str">
        <f t="shared" si="1"/>
        <v/>
      </c>
      <c r="DH35" s="1096"/>
      <c r="DI35" s="565"/>
      <c r="DJ35" s="565"/>
      <c r="DK35" s="565"/>
      <c r="DL35" s="565"/>
      <c r="DM35" s="565"/>
      <c r="DN35" s="565"/>
      <c r="DO35" s="565"/>
      <c r="DP35" s="565"/>
      <c r="DQ35" s="565"/>
      <c r="DR35" s="565"/>
      <c r="DS35" s="565"/>
      <c r="DT35" s="565"/>
      <c r="DU35" s="565"/>
      <c r="DV35" s="565"/>
    </row>
    <row r="36" spans="1:126" ht="21" x14ac:dyDescent="0.25">
      <c r="A36" s="120"/>
      <c r="B36" s="610">
        <v>30</v>
      </c>
      <c r="C36" s="1061"/>
      <c r="D36" s="1061"/>
      <c r="E36" s="1061"/>
      <c r="F36" s="1061"/>
      <c r="G36" s="1061"/>
      <c r="H36" s="1096"/>
      <c r="I36" s="1096"/>
      <c r="J36" s="120"/>
      <c r="K36" s="120"/>
      <c r="L36" s="591">
        <v>30</v>
      </c>
      <c r="M36" s="1061" t="str">
        <f>IFERROR(INDEX(S01_Bard!$C$6:$C$35,MATCH(Character_Spellcasting!L36,S01_Bard!$E$69:$E$98,0),1),"")&amp;IFERROR(INDEX(S02_Cleric!$C$6:$C$35,MATCH(Character_Spellcasting!L36,S02_Cleric!$E$69:$E$98,0),1),"")&amp;IFERROR(INDEX(S03_Druid!$C$6:$C$35,MATCH(Character_Spellcasting!L36,S03_Druid!$E$69:$E$98,0),1),"")&amp;IFERROR(INDEX(S04_EldritchKnight!$C$6:$C$35,MATCH(Character_Spellcasting!L36,S04_EldritchKnight!$E$69:$E$98,0),1),"")&amp;IFERROR(INDEX(S05_Paladin!$C$6:$C$35,MATCH(Character_Spellcasting!L36,S05_Paladin!$E$69:$E$98,0),1),"")&amp;IFERROR(INDEX(S06_Ranger!$C$6:$C$35,MATCH(Character_Spellcasting!L36,S06_Ranger!$E$69:$E$988,0),1),"")&amp;IFERROR(INDEX(S07_ArcaneTrickster!$C$6:$C$35,MATCH(Character_Spellcasting!L36,S07_ArcaneTrickster!$E$69:$E$988,0),1),"")&amp;IFERROR(INDEX(S08_Sorcerer!$C$6:$C$35,MATCH(Character_Spellcasting!L36,S08_Sorcerer!$E$69:$E$98,0),1),"")&amp;IFERROR(INDEX(S09_Warlock!$C$6:$C$35,MATCH(Character_Spellcasting!L36,S09_Warlock!$E$69:$E$98,0),1),"")&amp;IFERROR(INDEX(S10_Wizard!$C$6:$C$35,MATCH(Character_Spellcasting!L36,S10_Wizard!$E$69:$E$98,0),1),"")</f>
        <v/>
      </c>
      <c r="N36" s="1061"/>
      <c r="O36" s="1061"/>
      <c r="P36" s="1061"/>
      <c r="Q36" s="1061"/>
      <c r="R36" s="1096" t="str">
        <f>IFERROR(INDEX(S01_Bard!$F$69:$F$98,MATCH(Character_Spellcasting!L36,S01_Bard!$D$69:$D$98,0),1),"")&amp;IFERROR(INDEX(S02_Cleric!$F$69:$F$98,MATCH(Character_Spellcasting!L36,S02_Cleric!$E$69:$E$98,0),1),"")&amp;IFERROR(INDEX(S03_Druid!$F$69:$F$98,MATCH(Character_Spellcasting!L36,S03_Druid!$E$69:$E$98,0),1),"")&amp;IFERROR(INDEX(S04_EldritchKnight!$F$69:$F$98,MATCH(Character_Spellcasting!L36,S04_EldritchKnight!$E$69:$E$98,0),1),"")&amp;IFERROR(INDEX(S05_Paladin!$F$69:$F$98,MATCH(Character_Spellcasting!L36,S05_Paladin!$E$69:$E$98,0),1),"")&amp;IFERROR(INDEX(S06_Ranger!$F$69:$F$98,MATCH(Character_Spellcasting!L36,S06_Ranger!$E$69:$E$988,0),1),"")&amp;IFERROR(INDEX(S07_ArcaneTrickster!$F$69:$F$98,MATCH(Character_Spellcasting!L36,S07_ArcaneTrickster!$E$69:$E$988,0),1),"")&amp;IFERROR(INDEX(S08_Sorcerer!$F$69:$F$98,MATCH(Character_Spellcasting!L36,S08_Sorcerer!$E$69:$E$98,0),1),"")&amp;IFERROR(INDEX(S09_Warlock!$F$69:$F$98,MATCH(Character_Spellcasting!L36,S09_Warlock!$E$69:$E$98,0),1),"")&amp;IFERROR(INDEX(S10_Wizard!$F$69:$F$98,MATCH(Character_Spellcasting!L36,S10_Wizard!$E$69:$E$98,0),1),"")</f>
        <v/>
      </c>
      <c r="S36" s="1096"/>
      <c r="T36" s="567"/>
      <c r="U36" s="565"/>
      <c r="V36" s="591">
        <v>30</v>
      </c>
      <c r="W36" s="1061" t="str">
        <f>IFERROR(INDEX(S01_Bard!$L$6:$L$35,MATCH(Character_Spellcasting!V36,S01_Bard!$N$69:$N$98,0),1),"")&amp;IFERROR(INDEX(S02_Cleric!$L$6:$L$35,MATCH(Character_Spellcasting!V36,S02_Cleric!$N$69:$N$98,0),1),"")&amp;IFERROR(INDEX(S03_Druid!$L$6:$L$35,MATCH(Character_Spellcasting!V36,S03_Druid!$N$69:$N$98,0),1),"")&amp;IFERROR(INDEX(S04_EldritchKnight!$L$6:$L$35,MATCH(Character_Spellcasting!V36,S04_EldritchKnight!$N$69:$N$98,0),1),"")&amp;IFERROR(INDEX(S05_Paladin!$L$6:$L$35,MATCH(Character_Spellcasting!V36,S05_Paladin!$N$69:$N$98,0),1),"")&amp;IFERROR(INDEX(S06_Ranger!$L$6:$L$35,MATCH(Character_Spellcasting!V36,S06_Ranger!$N$69:$N$988,0),1),"")&amp;IFERROR(INDEX(S07_ArcaneTrickster!$L$6:$L$35,MATCH(Character_Spellcasting!V36,S07_ArcaneTrickster!$N$69:$N$988,0),1),"")&amp;IFERROR(INDEX(S08_Sorcerer!$L$6:$L$35,MATCH(Character_Spellcasting!V36,S08_Sorcerer!$N$69:$N$98,0),1),"")&amp;IFERROR(INDEX(S09_Warlock!$L$6:$L$35,MATCH(Character_Spellcasting!V36,S09_Warlock!$N$69:$N$98,0),1),"")&amp;IFERROR(INDEX(S10_Wizard!$L$6:$L$35,MATCH(Character_Spellcasting!V36,S10_Wizard!$N$69:$N$98,0),1),"")</f>
        <v/>
      </c>
      <c r="X36" s="1061"/>
      <c r="Y36" s="1061"/>
      <c r="Z36" s="1061"/>
      <c r="AA36" s="1061"/>
      <c r="AB36" s="1097" t="str">
        <f>IFERROR(INDEX(S01_Bard!$O$69:$O$98,MATCH(Character_Spellcasting!V36,S01_Bard!$N$69:$N$98,0),1),"")&amp;IFERROR(INDEX(S02_Cleric!$O$69:$O$98,MATCH(Character_Spellcasting!V36,S02_Cleric!$N$69:$N$98,0),1),"")&amp;IFERROR(INDEX(S03_Druid!$O$69:$O$98,MATCH(Character_Spellcasting!V36,S03_Druid!$N$69:$N$98,0),1),"")&amp;IFERROR(INDEX(S04_EldritchKnight!$O$69:$O$98,MATCH(Character_Spellcasting!V36,S04_EldritchKnight!$N$69:$N$98,0),1),"")&amp;IFERROR(INDEX(S05_Paladin!$O$69:$O$98,MATCH(Character_Spellcasting!V36,S05_Paladin!$N$69:$N$98,0),1),"")&amp;IFERROR(INDEX(S06_Ranger!$O$69:$O$98,MATCH(Character_Spellcasting!V36,S06_Ranger!$N$69:$N$988,0),1),"")&amp;IFERROR(INDEX(S07_ArcaneTrickster!$O$69:$O$98,MATCH(Character_Spellcasting!V36,S07_ArcaneTrickster!$N$69:$N$988,0),1),"")&amp;IFERROR(INDEX(S08_Sorcerer!$O$69:$O$98,MATCH(Character_Spellcasting!V36,S08_Sorcerer!$N$69:$N$98,0),1),"")&amp;IFERROR(INDEX(S09_Warlock!$O$69:$O$98,MATCH(Character_Spellcasting!V36,S09_Warlock!$N$69:$N$98,0),1),"")&amp;IFERROR(INDEX(S10_Wizard!$O$69:$O$98,MATCH(Character_Spellcasting!V36,S10_Wizard!$N$69:$N$98,0),1),"")</f>
        <v/>
      </c>
      <c r="AC36" s="1098"/>
      <c r="AD36" s="567"/>
      <c r="AE36" s="565"/>
      <c r="AF36" s="609">
        <v>30</v>
      </c>
      <c r="AG36" s="1061" t="str">
        <f>IFERROR(INDEX(S01_Bard!$U$6:$U$35,MATCH(Character_Spellcasting!AF36,S01_Bard!$W$69:$W$98,0),1),"")&amp;IFERROR(INDEX(S02_Cleric!$U$6:$U$35,MATCH(Character_Spellcasting!AF36,S02_Cleric!$W$69:$W$98,0),1),"")&amp;IFERROR(INDEX(S03_Druid!$U$6:$U$35,MATCH(Character_Spellcasting!AF36,S03_Druid!$W$69:$W$98,0),1),"")&amp;IFERROR(INDEX(S04_EldritchKnight!$U$6:$U$35,MATCH(Character_Spellcasting!AF36,S04_EldritchKnight!$W$69:$W$98,0),1),"")&amp;IFERROR(INDEX(S05_Paladin!$U$6:$U$35,MATCH(Character_Spellcasting!AF36,S05_Paladin!$W$69:$W$98,0),1),"")&amp;IFERROR(INDEX(S06_Ranger!$U$6:$U$35,MATCH(Character_Spellcasting!AF36,S06_Ranger!$W$69:$W$988,0),1),"")&amp;IFERROR(INDEX(S07_ArcaneTrickster!$U$6:$U$35,MATCH(Character_Spellcasting!AF36,S07_ArcaneTrickster!$W$69:$W$988,0),1),"")&amp;IFERROR(INDEX(S08_Sorcerer!$U$6:$U$35,MATCH(Character_Spellcasting!AF36,S08_Sorcerer!$W$69:$W$98,0),1),"")&amp;IFERROR(INDEX(S09_Warlock!$U$6:$U$35,MATCH(Character_Spellcasting!AF36,S09_Warlock!$W$69:$W$98,0),1),"")&amp;IFERROR(INDEX(S10_Wizard!$U$6:$U$35,MATCH(Character_Spellcasting!AF36,S10_Wizard!$W$69:$W$98,0),1),"")</f>
        <v/>
      </c>
      <c r="AH36" s="1061"/>
      <c r="AI36" s="1061"/>
      <c r="AJ36" s="1061"/>
      <c r="AK36" s="1061"/>
      <c r="AL36" s="1097" t="str">
        <f>IFERROR(INDEX(S01_Bard!$X$69:$X$98,MATCH(Character_Spellcasting!AF36,S01_Bard!$W$69:$W$98,0),1),"")&amp;IFERROR(INDEX(S02_Cleric!$X$69:$X$98,MATCH(Character_Spellcasting!AF36,S02_Cleric!$W$69:$W$98,0),1),"")&amp;IFERROR(INDEX(S03_Druid!$X$69:$X$98,MATCH(Character_Spellcasting!AF36,S03_Druid!$W$69:$W$98,0),1),"")&amp;IFERROR(INDEX(S04_EldritchKnight!$X$69:$X$98,MATCH(Character_Spellcasting!AF36,S04_EldritchKnight!$W$69:$W$98,0),1),"")&amp;IFERROR(INDEX(S05_Paladin!$X$69:$X$98,MATCH(Character_Spellcasting!AF36,S05_Paladin!$W$69:$W$98,0),1),"")&amp;IFERROR(INDEX(S06_Ranger!$X$69:$X$98,MATCH(Character_Spellcasting!AF36,S06_Ranger!$W$69:$W$988,0),1),"")&amp;IFERROR(INDEX(S07_ArcaneTrickster!$X$69:$X$98,MATCH(Character_Spellcasting!AF36,S07_ArcaneTrickster!$W$69:$W$988,0),1),"")&amp;IFERROR(INDEX(S08_Sorcerer!$X$69:$X$98,MATCH(Character_Spellcasting!AF36,S08_Sorcerer!$W$69:$W$98,0),1),"")&amp;IFERROR(INDEX(S09_Warlock!$X$69:$X$98,MATCH(Character_Spellcasting!AF36,S09_Warlock!$W$69:$W$98,0),1),"")&amp;IFERROR(INDEX(S10_Wizard!$X$69:$X$98,MATCH(Character_Spellcasting!AF36,S10_Wizard!$W$69:$W$98,0),1),"")</f>
        <v/>
      </c>
      <c r="AM36" s="1098"/>
      <c r="AN36" s="567"/>
      <c r="AO36" s="565"/>
      <c r="AP36" s="591">
        <v>30</v>
      </c>
      <c r="AQ36" s="1061" t="str">
        <f>IFERROR(INDEX(S01_Bard!$AD$6:$AD$35,MATCH(Character_Spellcasting!AP36,S01_Bard!$AF$69:$AF$98,0),1),"")&amp;IFERROR(INDEX(S02_Cleric!$AD$6:$AD$35,MATCH(Character_Spellcasting!AP36,S02_Cleric!$AF$69:$AF$98,0),1),"")&amp;IFERROR(INDEX(S03_Druid!$AD$6:$AD$35,MATCH(Character_Spellcasting!AP36,S03_Druid!$AF$69:$AF$98,0),1),"")&amp;IFERROR(INDEX(S04_EldritchKnight!$AD$6:$AD$35,MATCH(Character_Spellcasting!AP36,S04_EldritchKnight!$AF$69:$AF$98,0),1),"")&amp;IFERROR(INDEX(S05_Paladin!$AD$6:$AD$35,MATCH(Character_Spellcasting!AP36,S05_Paladin!$AF$69:$AF$98,0),1),"")&amp;IFERROR(INDEX(S06_Ranger!$AD$6:$AD$35,MATCH(Character_Spellcasting!AP36,S06_Ranger!$AF$69:$AF$988,0),1),"")&amp;IFERROR(INDEX(S07_ArcaneTrickster!$AD$6:$AD$35,MATCH(Character_Spellcasting!AP36,S07_ArcaneTrickster!$AF$69:$AF$988,0),1),"")&amp;IFERROR(INDEX(S08_Sorcerer!$AD$6:$AD$35,MATCH(Character_Spellcasting!AP36,S08_Sorcerer!$AF$69:$AF$98,0),1),"")&amp;IFERROR(INDEX(S09_Warlock!$AD$6:$AD$35,MATCH(Character_Spellcasting!AP36,S09_Warlock!$AF$69:$AF$98,0),1),"")&amp;IFERROR(INDEX(S10_Wizard!$AD$6:$AD$35,MATCH(Character_Spellcasting!AP36,S10_Wizard!$AF$69:$AF$98,0),1),"")</f>
        <v/>
      </c>
      <c r="AR36" s="1061"/>
      <c r="AS36" s="1061"/>
      <c r="AT36" s="1061"/>
      <c r="AU36" s="1061"/>
      <c r="AV36" s="1096" t="str">
        <f>IFERROR(INDEX(S01_Bard!$AG$69:$AG$98,MATCH(Character_Spellcasting!AP36,S01_Bard!$D$69:$D$98,0),1),"")&amp;IFERROR(INDEX(S02_Cleric!$AG$69:$AG$98,MATCH(Character_Spellcasting!AP36,S02_Cleric!$AF$69:$AF$98,0),1),"")&amp;IFERROR(INDEX(S03_Druid!$AG$69:$AG$98,MATCH(Character_Spellcasting!AP36,S03_Druid!$AF$69:$AF$98,0),1),"")&amp;IFERROR(INDEX(S04_EldritchKnight!$AG$69:$AG$98,MATCH(Character_Spellcasting!AP36,S04_EldritchKnight!$AF$69:$AF$98,0),1),"")&amp;IFERROR(INDEX(S05_Paladin!$AG$69:$AG$98,MATCH(Character_Spellcasting!AP36,S05_Paladin!$AF$69:$AF$98,0),1),"")&amp;IFERROR(INDEX(S06_Ranger!$AG$69:$AG$98,MATCH(Character_Spellcasting!AP36,S06_Ranger!$AF$69:$AF$988,0),1),"")&amp;IFERROR(INDEX(S07_ArcaneTrickster!$AG$69:$AG$98,MATCH(Character_Spellcasting!AP36,S07_ArcaneTrickster!$AF$69:$AF$988,0),1),"")&amp;IFERROR(INDEX(S08_Sorcerer!$AG$69:$AG$98,MATCH(Character_Spellcasting!AP36,S08_Sorcerer!$AF$69:$AF$98,0),1),"")&amp;IFERROR(INDEX(S09_Warlock!$AG$69:$AG$98,MATCH(Character_Spellcasting!AP36,S09_Warlock!$AF$69:$AF$98,0),1),"")&amp;IFERROR(INDEX(S10_Wizard!$AG$69:$AG$98,MATCH(Character_Spellcasting!AP36,S10_Wizard!$AF$69:$AF$98,0),1),"")</f>
        <v/>
      </c>
      <c r="AW36" s="1096"/>
      <c r="AX36" s="567"/>
      <c r="AY36" s="565"/>
      <c r="AZ36" s="591">
        <v>30</v>
      </c>
      <c r="BA36" s="1061" t="str">
        <f>IFERROR(INDEX(S01_Bard!$AM$6:$AM$35,MATCH(Character_Spellcasting!AZ36,S01_Bard!$AO$69:$AO$98,0),1),"")&amp;IFERROR(INDEX(S02_Cleric!$AM$6:$AM$35,MATCH(Character_Spellcasting!AZ36,S02_Cleric!$AO$69:$AO$98,0),1),"")&amp;IFERROR(INDEX(S03_Druid!$AM$6:$AM$35,MATCH(Character_Spellcasting!AZ36,S03_Druid!$AO$69:$AO$98,0),1),"")&amp;IFERROR(INDEX(S04_EldritchKnight!$AM$6:$AM$35,MATCH(Character_Spellcasting!AZ36,S04_EldritchKnight!$AO$69:$AO$98,0),1),"")&amp;IFERROR(INDEX(S05_Paladin!$AM$6:$AM$35,MATCH(Character_Spellcasting!AZ36,S05_Paladin!$AO$69:$AO$98,0),1),"")&amp;IFERROR(INDEX(S06_Ranger!$AM$6:$AM$35,MATCH(Character_Spellcasting!AZ36,S06_Ranger!$AO$69:$AO$988,0),1),"")&amp;IFERROR(INDEX(S07_ArcaneTrickster!$AM$6:$AM$35,MATCH(Character_Spellcasting!AZ36,S07_ArcaneTrickster!$AO$69:$AO$988,0),1),"")&amp;IFERROR(INDEX(S08_Sorcerer!$AM$6:$AM$35,MATCH(Character_Spellcasting!AZ36,S08_Sorcerer!$AO$69:$AO$98,0),1),"")&amp;IFERROR(INDEX(S09_Warlock!$AM$6:$AM$35,MATCH(Character_Spellcasting!AZ36,S09_Warlock!$AO$69:$AO$98,0),1),"")&amp;IFERROR(INDEX(S10_Wizard!$AM$6:$AM$35,MATCH(Character_Spellcasting!AZ36,S10_Wizard!$AO$69:$AO$98,0),1),"")</f>
        <v/>
      </c>
      <c r="BB36" s="1061"/>
      <c r="BC36" s="1061"/>
      <c r="BD36" s="1061"/>
      <c r="BE36" s="1061"/>
      <c r="BF36" s="1096" t="str">
        <f>IFERROR(INDEX(S01_Bard!$AP$69:$AP$98,MATCH(Character_Spellcasting!AZ36,S01_Bard!$D$69:$D$98,0),1),"")&amp;IFERROR(INDEX(S02_Cleric!$AP$69:$AP$98,MATCH(Character_Spellcasting!AZ36,S02_Cleric!$AO$69:$AO$98,0),1),"")&amp;IFERROR(INDEX(S03_Druid!$AP$69:$AP$98,MATCH(Character_Spellcasting!AZ36,S03_Druid!$AO$69:$AO$98,0),1),"")&amp;IFERROR(INDEX(S04_EldritchKnight!$AP$69:$AP$98,MATCH(Character_Spellcasting!AZ36,S04_EldritchKnight!$AO$69:$AO$98,0),1),"")&amp;IFERROR(INDEX(S05_Paladin!$AP$69:$AP$98,MATCH(Character_Spellcasting!AZ36,S05_Paladin!$AO$69:$AO$98,0),1),"")&amp;IFERROR(INDEX(S06_Ranger!$AP$69:$AP$98,MATCH(Character_Spellcasting!AZ36,S06_Ranger!$AO$69:$AO$988,0),1),"")&amp;IFERROR(INDEX(S07_ArcaneTrickster!$AP$69:$AP$98,MATCH(Character_Spellcasting!AZ36,S07_ArcaneTrickster!$AO$69:$AO$988,0),1),"")&amp;IFERROR(INDEX(S08_Sorcerer!$AP$69:$AP$98,MATCH(Character_Spellcasting!AZ36,S08_Sorcerer!$AO$69:$AO$98,0),1),"")&amp;IFERROR(INDEX(S09_Warlock!$AP$69:$AP$98,MATCH(Character_Spellcasting!AZ36,S09_Warlock!$AO$69:$AO$98,0),1),"")&amp;IFERROR(INDEX(S10_Wizard!$AP$69:$AP$98,MATCH(Character_Spellcasting!AZ36,S10_Wizard!$AO$69:$AO$98,0),1),"")</f>
        <v/>
      </c>
      <c r="BG36" s="1096"/>
      <c r="BH36" s="567"/>
      <c r="BI36" s="120"/>
      <c r="BJ36" s="591">
        <v>30</v>
      </c>
      <c r="BK36" s="1061" t="str">
        <f>IFERROR(INDEX(S01_Bard!$AV$6:$AV$35,MATCH(Character_Spellcasting!BJ36,S01_Bard!$AX$69:$AX$98,0),1),"")&amp;IFERROR(INDEX(S02_Cleric!$AV$6:$AV$35,MATCH(Character_Spellcasting!BJ36,S02_Cleric!$AX$69:$AX$98,0),1),"")&amp;IFERROR(INDEX(S03_Druid!$AV$6:$AV$35,MATCH(Character_Spellcasting!BJ36,S03_Druid!$AX$69:$AX$98,0),1),"")&amp;IFERROR(INDEX(S04_EldritchKnight!$AV$6:$AV$35,MATCH(Character_Spellcasting!BJ36,S04_EldritchKnight!$AX$69:$AX$98,0),1),"")&amp;IFERROR(INDEX(S05_Paladin!$AV$6:$AV$35,MATCH(Character_Spellcasting!BJ36,S05_Paladin!$AX$69:$AX$98,0),1),"")&amp;IFERROR(INDEX(S06_Ranger!$AV$6:$AV$35,MATCH(Character_Spellcasting!BJ36,S06_Ranger!$AX$69:$AX$988,0),1),"")&amp;IFERROR(INDEX(S07_ArcaneTrickster!$AV$6:$AV$35,MATCH(Character_Spellcasting!BJ36,S07_ArcaneTrickster!$AX$69:$AX$988,0),1),"")&amp;IFERROR(INDEX(S08_Sorcerer!$AV$6:$AV$35,MATCH(Character_Spellcasting!BJ36,S08_Sorcerer!$AX$69:$AX$98,0),1),"")&amp;IFERROR(INDEX(S09_Warlock!$AV$6:$AV$35,MATCH(Character_Spellcasting!BJ36,S09_Warlock!$AX$69:$AX$98,0),1),"")&amp;IFERROR(INDEX(S10_Wizard!$AV$6:$AV$35,MATCH(Character_Spellcasting!BJ36,S10_Wizard!$AX$69:$AX$98,0),1),"")</f>
        <v/>
      </c>
      <c r="BL36" s="1061"/>
      <c r="BM36" s="1061"/>
      <c r="BN36" s="1061"/>
      <c r="BO36" s="1061"/>
      <c r="BP36" s="1096" t="str">
        <f>IFERROR(INDEX(S01_Bard!$AY$69:$AY$98,MATCH(Character_Spellcasting!BJ36,S01_Bard!$D$69:$D$98,0),1),"")&amp;IFERROR(INDEX(S02_Cleric!$AY$69:$AY$98,MATCH(Character_Spellcasting!BJ36,S02_Cleric!$AX$69:$AX$98,0),1),"")&amp;IFERROR(INDEX(S03_Druid!$AY$69:$AY$98,MATCH(Character_Spellcasting!BJ36,S03_Druid!$AX$69:$AX$98,0),1),"")&amp;IFERROR(INDEX(S04_EldritchKnight!$AY$69:$AY$98,MATCH(Character_Spellcasting!BJ36,S04_EldritchKnight!$AX$69:$AX$98,0),1),"")&amp;IFERROR(INDEX(S05_Paladin!$AY$69:$AY$98,MATCH(Character_Spellcasting!BJ36,S05_Paladin!$AX$69:$AX$98,0),1),"")&amp;IFERROR(INDEX(S06_Ranger!$AY$69:$AY$98,MATCH(Character_Spellcasting!BJ36,S06_Ranger!$AX$69:$AX$988,0),1),"")&amp;IFERROR(INDEX(S07_ArcaneTrickster!$AY$69:$AY$98,MATCH(Character_Spellcasting!BJ36,S07_ArcaneTrickster!$AX$69:$AX$988,0),1),"")&amp;IFERROR(INDEX(S08_Sorcerer!$AY$69:$AY$98,MATCH(Character_Spellcasting!BJ36,S08_Sorcerer!$AX$69:$AX$98,0),1),"")&amp;IFERROR(INDEX(S09_Warlock!$AY$69:$AY$98,MATCH(Character_Spellcasting!BJ36,S09_Warlock!$AX$69:$AX$98,0),1),"")&amp;IFERROR(INDEX(S10_Wizard!$AY$69:$AY$98,MATCH(Character_Spellcasting!BJ36,S10_Wizard!$AX$69:$AX$98,0),1),"")</f>
        <v/>
      </c>
      <c r="BQ36" s="1096"/>
      <c r="BR36" s="567"/>
      <c r="BS36" s="120"/>
      <c r="BT36" s="591">
        <v>30</v>
      </c>
      <c r="BU36" s="1061" t="str">
        <f>IFERROR(INDEX(S01_Bard!$BE$6:$BE$35,MATCH(Character_Spellcasting!BT36,S01_Bard!$BG$69:$BG$98,0),1),"")&amp;IFERROR(INDEX(S02_Cleric!$BE$6:$BE$35,MATCH(Character_Spellcasting!BT36,S02_Cleric!$BG$69:$BG$98,0),1),"")&amp;IFERROR(INDEX(S03_Druid!$BE$6:$BE$35,MATCH(Character_Spellcasting!BT36,S03_Druid!$BG$69:$BG$98,0),1),"")&amp;IFERROR(INDEX(S04_EldritchKnight!$BE$6:$BE$35,MATCH(Character_Spellcasting!BT36,S04_EldritchKnight!$BG$69:$BG$98,0),1),"")&amp;IFERROR(INDEX(S05_Paladin!$BE$6:$BE$35,MATCH(Character_Spellcasting!BT36,S05_Paladin!$BG$69:$BG$98,0),1),"")&amp;IFERROR(INDEX(S06_Ranger!$BE$6:$BE$35,MATCH(Character_Spellcasting!BT36,S06_Ranger!$BG$69:$BG$988,0),1),"")&amp;IFERROR(INDEX(S07_ArcaneTrickster!$BE$6:$BE$35,MATCH(Character_Spellcasting!BT36,S07_ArcaneTrickster!$BG$69:$BG$988,0),1),"")&amp;IFERROR(INDEX(S08_Sorcerer!$BE$6:$BE$35,MATCH(Character_Spellcasting!BT36,S08_Sorcerer!$BG$69:$BG$98,0),1),"")&amp;IFERROR(INDEX(S09_Warlock!$BE$6:$BE$35,MATCH(Character_Spellcasting!BT36,S09_Warlock!$BG$69:$BG$98,0),1),"")&amp;IFERROR(INDEX(S10_Wizard!$BE$6:$BE$35,MATCH(Character_Spellcasting!BT36,S10_Wizard!$BG$69:$BG$98,0),1),"")</f>
        <v/>
      </c>
      <c r="BV36" s="1061"/>
      <c r="BW36" s="1061"/>
      <c r="BX36" s="1061"/>
      <c r="BY36" s="1061"/>
      <c r="BZ36" s="1096" t="str">
        <f>IFERROR(INDEX(S01_Bard!$BH$69:$BH$98,MATCH(Character_Spellcasting!BT36,S01_Bard!$D$69:$D$98,0),1),"")&amp;IFERROR(INDEX(S02_Cleric!$BH$69:$BH$98,MATCH(Character_Spellcasting!BT36,S02_Cleric!$BG$69:$BG$98,0),1),"")&amp;IFERROR(INDEX(S03_Druid!$BH$69:$BH$98,MATCH(Character_Spellcasting!BT36,S03_Druid!$BG$69:$BG$98,0),1),"")&amp;IFERROR(INDEX(S04_EldritchKnight!$BH$69:$BH$98,MATCH(Character_Spellcasting!BT36,S04_EldritchKnight!$BG$69:$BG$98,0),1),"")&amp;IFERROR(INDEX(S05_Paladin!$BH$69:$BH$98,MATCH(Character_Spellcasting!BT36,S05_Paladin!$BG$69:$BG$98,0),1),"")&amp;IFERROR(INDEX(S06_Ranger!$BH$69:$BH$98,MATCH(Character_Spellcasting!BT36,S06_Ranger!$BG$69:$BG$988,0),1),"")&amp;IFERROR(INDEX(S07_ArcaneTrickster!$BH$69:$BH$98,MATCH(Character_Spellcasting!BT36,S07_ArcaneTrickster!$BG$69:$BG$988,0),1),"")&amp;IFERROR(INDEX(S08_Sorcerer!$BH$69:$BH$98,MATCH(Character_Spellcasting!BT36,S08_Sorcerer!$BG$69:$BG$98,0),1),"")&amp;IFERROR(INDEX(S09_Warlock!$BH$69:$BH$98,MATCH(Character_Spellcasting!BT36,S09_Warlock!$BG$69:$BG$98,0),1),"")&amp;IFERROR(INDEX(S10_Wizard!$BH$69:$BH$98,MATCH(Character_Spellcasting!BT36,S10_Wizard!$BG$69:$BG$98,0),1),"")</f>
        <v/>
      </c>
      <c r="CA36" s="1096"/>
      <c r="CB36" s="567"/>
      <c r="CC36" s="120"/>
      <c r="CD36" s="591">
        <v>30</v>
      </c>
      <c r="CE36" s="1061" t="str">
        <f>IFERROR(INDEX(S01_Bard!$BN$6:$BN$35,MATCH(Character_Spellcasting!CD36,S01_Bard!$BP$69:$BP$98,0),1),"")&amp;IFERROR(INDEX(S02_Cleric!$BN$6:$BN$35,MATCH(Character_Spellcasting!CD36,S02_Cleric!$BP$69:$BP$98,0),1),"")&amp;IFERROR(INDEX(S03_Druid!$BN$6:$BN$35,MATCH(Character_Spellcasting!CD36,S03_Druid!$BP$69:$BP$98,0),1),"")&amp;IFERROR(INDEX(S04_EldritchKnight!$BN$6:$BN$35,MATCH(Character_Spellcasting!CD36,S04_EldritchKnight!$BP$69:$BP$98,0),1),"")&amp;IFERROR(INDEX(S05_Paladin!$BN$6:$BN$35,MATCH(Character_Spellcasting!CD36,S05_Paladin!$BP$69:$BP$98,0),1),"")&amp;IFERROR(INDEX(S06_Ranger!$BN$6:$BN$35,MATCH(Character_Spellcasting!CD36,S06_Ranger!$BP$69:$BP$988,0),1),"")&amp;IFERROR(INDEX(S07_ArcaneTrickster!$BN$6:$BN$35,MATCH(Character_Spellcasting!CD36,S07_ArcaneTrickster!$BP$69:$BP$988,0),1),"")&amp;IFERROR(INDEX(S08_Sorcerer!$BN$6:$BN$35,MATCH(Character_Spellcasting!CD36,S08_Sorcerer!$BP$69:$BP$98,0),1),"")&amp;IFERROR(INDEX(S09_Warlock!$BN$6:$BN$35,MATCH(Character_Spellcasting!CD36,S09_Warlock!$BP$69:$BP$98,0),1),"")&amp;IFERROR(INDEX(S10_Wizard!$BN$6:$BN$35,MATCH(Character_Spellcasting!CD36,S10_Wizard!$BP$69:$BP$98,0),1),"")</f>
        <v/>
      </c>
      <c r="CF36" s="1061"/>
      <c r="CG36" s="1061"/>
      <c r="CH36" s="1061"/>
      <c r="CI36" s="1061"/>
      <c r="CJ36" s="1096" t="str">
        <f>IFERROR(INDEX(S01_Bard!$BQ$69:$BQ$98,MATCH(Character_Spellcasting!CD36,S01_Bard!$D$69:$D$98,0),1),"")&amp;IFERROR(INDEX(S02_Cleric!$BQ$69:$BQ$98,MATCH(Character_Spellcasting!CD36,S02_Cleric!$BP$69:$BP$98,0),1),"")&amp;IFERROR(INDEX(S03_Druid!$BQ$69:$BQ$98,MATCH(Character_Spellcasting!CD36,S03_Druid!$BP$69:$BP$98,0),1),"")&amp;IFERROR(INDEX(S04_EldritchKnight!$BQ$69:$BQ$98,MATCH(Character_Spellcasting!CD36,S04_EldritchKnight!$BP$69:$BP$98,0),1),"")&amp;IFERROR(INDEX(S05_Paladin!$BQ$69:$BQ$98,MATCH(Character_Spellcasting!CD36,S05_Paladin!$BP$69:$BP$98,0),1),"")&amp;IFERROR(INDEX(S06_Ranger!$BQ$69:$BQ$98,MATCH(Character_Spellcasting!CD36,S06_Ranger!$BP$69:$BP$988,0),1),"")&amp;IFERROR(INDEX(S07_ArcaneTrickster!$BQ$69:$BQ$98,MATCH(Character_Spellcasting!CD36,S07_ArcaneTrickster!$BP$69:$BP$988,0),1),"")&amp;IFERROR(INDEX(S08_Sorcerer!$BQ$69:$BQ$98,MATCH(Character_Spellcasting!CD36,S08_Sorcerer!$BP$69:$BP$98,0),1),"")&amp;IFERROR(INDEX(S09_Warlock!$BQ$69:$BQ$98,MATCH(Character_Spellcasting!CD36,S09_Warlock!$BP$69:$BP$98,0),1),"")&amp;IFERROR(INDEX(S10_Wizard!$BQ$69:$BQ$98,MATCH(Character_Spellcasting!CD36,S10_Wizard!$BP$69:$BP$98,0),1),"")</f>
        <v/>
      </c>
      <c r="CK36" s="1096"/>
      <c r="CL36" s="567"/>
      <c r="CM36" s="120"/>
      <c r="CN36" s="591">
        <v>30</v>
      </c>
      <c r="CO36" s="1061" t="str">
        <f>IFERROR(INDEX(S01_Bard!$BW$6:$BW$35,MATCH(Character_Spellcasting!CN36,S01_Bard!$BY$69:$BY$98,0),1),"")&amp;IFERROR(INDEX(S02_Cleric!$BW$6:$BW$35,MATCH(Character_Spellcasting!CN36,S02_Cleric!$BY$69:$BY$98,0),1),"")&amp;IFERROR(INDEX(S03_Druid!$BW$6:$BW$35,MATCH(Character_Spellcasting!CN36,S03_Druid!$BY$69:$BY$98,0),1),"")&amp;IFERROR(INDEX(S04_EldritchKnight!$BW$6:$BW$35,MATCH(Character_Spellcasting!CN36,S04_EldritchKnight!$BY$69:$BY$98,0),1),"")&amp;IFERROR(INDEX(S05_Paladin!$BW$6:$BW$35,MATCH(Character_Spellcasting!CN36,S05_Paladin!$BY$69:$BY$98,0),1),"")&amp;IFERROR(INDEX(S06_Ranger!$BW$6:$BW$35,MATCH(Character_Spellcasting!CN36,S06_Ranger!$BY$69:$BY$988,0),1),"")&amp;IFERROR(INDEX(S07_ArcaneTrickster!$BW$6:$BW$35,MATCH(Character_Spellcasting!CN36,S07_ArcaneTrickster!$BY$69:$BY$988,0),1),"")&amp;IFERROR(INDEX(S08_Sorcerer!$BW$6:$BW$35,MATCH(Character_Spellcasting!CN36,S08_Sorcerer!$BY$69:$BY$98,0),1),"")&amp;IFERROR(INDEX(S09_Warlock!$BW$6:$BW$35,MATCH(Character_Spellcasting!CN36,S09_Warlock!$BY$69:$BY$98,0),1),"")&amp;IFERROR(INDEX(S10_Wizard!$BW$6:$BW$35,MATCH(Character_Spellcasting!CN36,S10_Wizard!$BY$69:$BY$98,0),1),"")</f>
        <v/>
      </c>
      <c r="CP36" s="1061"/>
      <c r="CQ36" s="1061"/>
      <c r="CR36" s="1061"/>
      <c r="CS36" s="1061"/>
      <c r="CT36" s="1096" t="str">
        <f>IFERROR(INDEX(S01_Bard!$BZ$69:$BZ$98,MATCH(Character_Spellcasting!CN36,S01_Bard!$D$69:$D$98,0),1),"")&amp;IFERROR(INDEX(S02_Cleric!$BZ$69:$BZ$98,MATCH(Character_Spellcasting!CN36,S02_Cleric!$BY$69:$BY$98,0),1),"")&amp;IFERROR(INDEX(S03_Druid!$BZ$69:$BZ$98,MATCH(Character_Spellcasting!CN36,S03_Druid!$BY$69:$BY$98,0),1),"")&amp;IFERROR(INDEX(S04_EldritchKnight!$BZ$69:$BZ$98,MATCH(Character_Spellcasting!CN36,S04_EldritchKnight!$BY$69:$BY$98,0),1),"")&amp;IFERROR(INDEX(S05_Paladin!$BZ$69:$BZ$98,MATCH(Character_Spellcasting!CN36,S05_Paladin!$BY$69:$BY$98,0),1),"")&amp;IFERROR(INDEX(S06_Ranger!$BZ$69:$BZ$98,MATCH(Character_Spellcasting!CN36,S06_Ranger!$BY$69:$BY$988,0),1),"")&amp;IFERROR(INDEX(S07_ArcaneTrickster!$BZ$69:$BZ$98,MATCH(Character_Spellcasting!CN36,S07_ArcaneTrickster!$BY$69:$BY$988,0),1),"")&amp;IFERROR(INDEX(S08_Sorcerer!$BZ$69:$BZ$98,MATCH(Character_Spellcasting!CN36,S08_Sorcerer!$BY$69:$BY$98,0),1),"")&amp;IFERROR(INDEX(S09_Warlock!$BZ$69:$BZ$98,MATCH(Character_Spellcasting!CN36,S09_Warlock!$BY$69:$BY$98,0),1),"")&amp;IFERROR(INDEX(S10_Wizard!$BZ$69:$BZ$98,MATCH(Character_Spellcasting!CN36,S10_Wizard!$BY$69:$BY$98,0),1),"")</f>
        <v/>
      </c>
      <c r="CU36" s="1096"/>
      <c r="CV36" s="567"/>
      <c r="CW36" s="565"/>
      <c r="CX36" s="565"/>
      <c r="CY36" s="565"/>
      <c r="CZ36" s="565"/>
      <c r="DA36" s="610">
        <v>30</v>
      </c>
      <c r="DB36" s="1061" t="str">
        <f t="shared" si="0"/>
        <v/>
      </c>
      <c r="DC36" s="1061"/>
      <c r="DD36" s="1061"/>
      <c r="DE36" s="1061"/>
      <c r="DF36" s="1061"/>
      <c r="DG36" s="1096" t="str">
        <f t="shared" si="1"/>
        <v/>
      </c>
      <c r="DH36" s="1096"/>
      <c r="DI36" s="565"/>
      <c r="DJ36" s="565"/>
      <c r="DK36" s="565"/>
      <c r="DL36" s="565"/>
      <c r="DM36" s="565"/>
      <c r="DN36" s="565"/>
      <c r="DO36" s="565"/>
      <c r="DP36" s="565"/>
      <c r="DQ36" s="565"/>
      <c r="DR36" s="565"/>
      <c r="DS36" s="565"/>
      <c r="DT36" s="565"/>
      <c r="DU36" s="565"/>
      <c r="DV36" s="565"/>
    </row>
    <row r="37" spans="1:126" ht="15" customHeight="1" x14ac:dyDescent="0.25">
      <c r="A37" s="120"/>
      <c r="B37" s="610">
        <v>31</v>
      </c>
      <c r="C37" s="1061"/>
      <c r="D37" s="1061"/>
      <c r="E37" s="1061"/>
      <c r="F37" s="1061"/>
      <c r="G37" s="1061"/>
      <c r="H37" s="1096"/>
      <c r="I37" s="1096"/>
      <c r="J37" s="120"/>
      <c r="K37" s="120"/>
      <c r="L37" s="591">
        <v>31</v>
      </c>
      <c r="M37" s="1061" t="str">
        <f>IFERROR(INDEX(S01_Bard!$C$6:$C$35,MATCH(Character_Spellcasting!L37,S01_Bard!$E$69:$E$98,0),1),"")&amp;IFERROR(INDEX(S02_Cleric!$C$6:$C$35,MATCH(Character_Spellcasting!L37,S02_Cleric!$E$69:$E$98,0),1),"")&amp;IFERROR(INDEX(S03_Druid!$C$6:$C$35,MATCH(Character_Spellcasting!L37,S03_Druid!$E$69:$E$98,0),1),"")&amp;IFERROR(INDEX(S04_EldritchKnight!$C$6:$C$35,MATCH(Character_Spellcasting!L37,S04_EldritchKnight!$E$69:$E$98,0),1),"")&amp;IFERROR(INDEX(S05_Paladin!$C$6:$C$35,MATCH(Character_Spellcasting!L37,S05_Paladin!$E$69:$E$98,0),1),"")&amp;IFERROR(INDEX(S06_Ranger!$C$6:$C$35,MATCH(Character_Spellcasting!L37,S06_Ranger!$E$69:$E$988,0),1),"")&amp;IFERROR(INDEX(S07_ArcaneTrickster!$C$6:$C$35,MATCH(Character_Spellcasting!L37,S07_ArcaneTrickster!$E$69:$E$988,0),1),"")&amp;IFERROR(INDEX(S08_Sorcerer!$C$6:$C$35,MATCH(Character_Spellcasting!L37,S08_Sorcerer!$E$69:$E$98,0),1),"")&amp;IFERROR(INDEX(S09_Warlock!$C$6:$C$35,MATCH(Character_Spellcasting!L37,S09_Warlock!$E$69:$E$98,0),1),"")&amp;IFERROR(INDEX(S10_Wizard!$C$6:$C$35,MATCH(Character_Spellcasting!L37,S10_Wizard!$E$69:$E$98,0),1),"")</f>
        <v/>
      </c>
      <c r="N37" s="1061"/>
      <c r="O37" s="1061"/>
      <c r="P37" s="1061"/>
      <c r="Q37" s="1061"/>
      <c r="R37" s="1096" t="str">
        <f>IFERROR(INDEX(S01_Bard!$F$69:$F$98,MATCH(Character_Spellcasting!L37,S01_Bard!$D$69:$D$98,0),1),"")&amp;IFERROR(INDEX(S02_Cleric!$F$69:$F$98,MATCH(Character_Spellcasting!L37,S02_Cleric!$E$69:$E$98,0),1),"")&amp;IFERROR(INDEX(S03_Druid!$F$69:$F$98,MATCH(Character_Spellcasting!L37,S03_Druid!$E$69:$E$98,0),1),"")&amp;IFERROR(INDEX(S04_EldritchKnight!$F$69:$F$98,MATCH(Character_Spellcasting!L37,S04_EldritchKnight!$E$69:$E$98,0),1),"")&amp;IFERROR(INDEX(S05_Paladin!$F$69:$F$98,MATCH(Character_Spellcasting!L37,S05_Paladin!$E$69:$E$98,0),1),"")&amp;IFERROR(INDEX(S06_Ranger!$F$69:$F$98,MATCH(Character_Spellcasting!L37,S06_Ranger!$E$69:$E$988,0),1),"")&amp;IFERROR(INDEX(S07_ArcaneTrickster!$F$69:$F$98,MATCH(Character_Spellcasting!L37,S07_ArcaneTrickster!$E$69:$E$988,0),1),"")&amp;IFERROR(INDEX(S08_Sorcerer!$F$69:$F$98,MATCH(Character_Spellcasting!L37,S08_Sorcerer!$E$69:$E$98,0),1),"")&amp;IFERROR(INDEX(S09_Warlock!$F$69:$F$98,MATCH(Character_Spellcasting!L37,S09_Warlock!$E$69:$E$98,0),1),"")&amp;IFERROR(INDEX(S10_Wizard!$F$69:$F$98,MATCH(Character_Spellcasting!L37,S10_Wizard!$E$69:$E$98,0),1),"")</f>
        <v/>
      </c>
      <c r="S37" s="1096"/>
      <c r="T37" s="567"/>
      <c r="U37" s="565"/>
      <c r="V37" s="591">
        <v>31</v>
      </c>
      <c r="W37" s="1061" t="str">
        <f>IFERROR(INDEX(S01_Bard!$L$6:$L$35,MATCH(Character_Spellcasting!V37,S01_Bard!$N$69:$N$98,0),1),"")&amp;IFERROR(INDEX(S02_Cleric!$L$6:$L$35,MATCH(Character_Spellcasting!V37,S02_Cleric!$N$69:$N$98,0),1),"")&amp;IFERROR(INDEX(S03_Druid!$L$6:$L$35,MATCH(Character_Spellcasting!V37,S03_Druid!$N$69:$N$98,0),1),"")&amp;IFERROR(INDEX(S04_EldritchKnight!$L$6:$L$35,MATCH(Character_Spellcasting!V37,S04_EldritchKnight!$N$69:$N$98,0),1),"")&amp;IFERROR(INDEX(S05_Paladin!$L$6:$L$35,MATCH(Character_Spellcasting!V37,S05_Paladin!$N$69:$N$98,0),1),"")&amp;IFERROR(INDEX(S06_Ranger!$L$6:$L$35,MATCH(Character_Spellcasting!V37,S06_Ranger!$N$69:$N$988,0),1),"")&amp;IFERROR(INDEX(S07_ArcaneTrickster!$L$6:$L$35,MATCH(Character_Spellcasting!V37,S07_ArcaneTrickster!$N$69:$N$988,0),1),"")&amp;IFERROR(INDEX(S08_Sorcerer!$L$6:$L$35,MATCH(Character_Spellcasting!V37,S08_Sorcerer!$N$69:$N$98,0),1),"")&amp;IFERROR(INDEX(S09_Warlock!$L$6:$L$35,MATCH(Character_Spellcasting!V37,S09_Warlock!$N$69:$N$98,0),1),"")&amp;IFERROR(INDEX(S10_Wizard!$L$6:$L$35,MATCH(Character_Spellcasting!V37,S10_Wizard!$N$69:$N$98,0),1),"")</f>
        <v/>
      </c>
      <c r="X37" s="1061"/>
      <c r="Y37" s="1061"/>
      <c r="Z37" s="1061"/>
      <c r="AA37" s="1061"/>
      <c r="AB37" s="1097" t="str">
        <f>IFERROR(INDEX(S01_Bard!$O$69:$O$98,MATCH(Character_Spellcasting!V37,S01_Bard!$N$69:$N$98,0),1),"")&amp;IFERROR(INDEX(S02_Cleric!$O$69:$O$98,MATCH(Character_Spellcasting!V37,S02_Cleric!$N$69:$N$98,0),1),"")&amp;IFERROR(INDEX(S03_Druid!$O$69:$O$98,MATCH(Character_Spellcasting!V37,S03_Druid!$N$69:$N$98,0),1),"")&amp;IFERROR(INDEX(S04_EldritchKnight!$O$69:$O$98,MATCH(Character_Spellcasting!V37,S04_EldritchKnight!$N$69:$N$98,0),1),"")&amp;IFERROR(INDEX(S05_Paladin!$O$69:$O$98,MATCH(Character_Spellcasting!V37,S05_Paladin!$N$69:$N$98,0),1),"")&amp;IFERROR(INDEX(S06_Ranger!$O$69:$O$98,MATCH(Character_Spellcasting!V37,S06_Ranger!$N$69:$N$988,0),1),"")&amp;IFERROR(INDEX(S07_ArcaneTrickster!$O$69:$O$98,MATCH(Character_Spellcasting!V37,S07_ArcaneTrickster!$N$69:$N$988,0),1),"")&amp;IFERROR(INDEX(S08_Sorcerer!$O$69:$O$98,MATCH(Character_Spellcasting!V37,S08_Sorcerer!$N$69:$N$98,0),1),"")&amp;IFERROR(INDEX(S09_Warlock!$O$69:$O$98,MATCH(Character_Spellcasting!V37,S09_Warlock!$N$69:$N$98,0),1),"")&amp;IFERROR(INDEX(S10_Wizard!$O$69:$O$98,MATCH(Character_Spellcasting!V37,S10_Wizard!$N$69:$N$98,0),1),"")</f>
        <v/>
      </c>
      <c r="AC37" s="1098"/>
      <c r="AD37" s="567"/>
      <c r="AE37" s="565"/>
      <c r="AF37" s="609">
        <v>31</v>
      </c>
      <c r="AG37" s="1061" t="str">
        <f>IFERROR(INDEX(S01_Bard!$U$6:$U$35,MATCH(Character_Spellcasting!AF37,S01_Bard!$W$69:$W$98,0),1),"")&amp;IFERROR(INDEX(S02_Cleric!$U$6:$U$35,MATCH(Character_Spellcasting!AF37,S02_Cleric!$W$69:$W$98,0),1),"")&amp;IFERROR(INDEX(S03_Druid!$U$6:$U$35,MATCH(Character_Spellcasting!AF37,S03_Druid!$W$69:$W$98,0),1),"")&amp;IFERROR(INDEX(S04_EldritchKnight!$U$6:$U$35,MATCH(Character_Spellcasting!AF37,S04_EldritchKnight!$W$69:$W$98,0),1),"")&amp;IFERROR(INDEX(S05_Paladin!$U$6:$U$35,MATCH(Character_Spellcasting!AF37,S05_Paladin!$W$69:$W$98,0),1),"")&amp;IFERROR(INDEX(S06_Ranger!$U$6:$U$35,MATCH(Character_Spellcasting!AF37,S06_Ranger!$W$69:$W$988,0),1),"")&amp;IFERROR(INDEX(S07_ArcaneTrickster!$U$6:$U$35,MATCH(Character_Spellcasting!AF37,S07_ArcaneTrickster!$W$69:$W$988,0),1),"")&amp;IFERROR(INDEX(S08_Sorcerer!$U$6:$U$35,MATCH(Character_Spellcasting!AF37,S08_Sorcerer!$W$69:$W$98,0),1),"")&amp;IFERROR(INDEX(S09_Warlock!$U$6:$U$35,MATCH(Character_Spellcasting!AF37,S09_Warlock!$W$69:$W$98,0),1),"")&amp;IFERROR(INDEX(S10_Wizard!$U$6:$U$35,MATCH(Character_Spellcasting!AF37,S10_Wizard!$W$69:$W$98,0),1),"")</f>
        <v/>
      </c>
      <c r="AH37" s="1061"/>
      <c r="AI37" s="1061"/>
      <c r="AJ37" s="1061"/>
      <c r="AK37" s="1061"/>
      <c r="AL37" s="1097" t="str">
        <f>IFERROR(INDEX(S01_Bard!$X$69:$X$98,MATCH(Character_Spellcasting!AF37,S01_Bard!$W$69:$W$98,0),1),"")&amp;IFERROR(INDEX(S02_Cleric!$X$69:$X$98,MATCH(Character_Spellcasting!AF37,S02_Cleric!$W$69:$W$98,0),1),"")&amp;IFERROR(INDEX(S03_Druid!$X$69:$X$98,MATCH(Character_Spellcasting!AF37,S03_Druid!$W$69:$W$98,0),1),"")&amp;IFERROR(INDEX(S04_EldritchKnight!$X$69:$X$98,MATCH(Character_Spellcasting!AF37,S04_EldritchKnight!$W$69:$W$98,0),1),"")&amp;IFERROR(INDEX(S05_Paladin!$X$69:$X$98,MATCH(Character_Spellcasting!AF37,S05_Paladin!$W$69:$W$98,0),1),"")&amp;IFERROR(INDEX(S06_Ranger!$X$69:$X$98,MATCH(Character_Spellcasting!AF37,S06_Ranger!$W$69:$W$988,0),1),"")&amp;IFERROR(INDEX(S07_ArcaneTrickster!$X$69:$X$98,MATCH(Character_Spellcasting!AF37,S07_ArcaneTrickster!$W$69:$W$988,0),1),"")&amp;IFERROR(INDEX(S08_Sorcerer!$X$69:$X$98,MATCH(Character_Spellcasting!AF37,S08_Sorcerer!$W$69:$W$98,0),1),"")&amp;IFERROR(INDEX(S09_Warlock!$X$69:$X$98,MATCH(Character_Spellcasting!AF37,S09_Warlock!$W$69:$W$98,0),1),"")&amp;IFERROR(INDEX(S10_Wizard!$X$69:$X$98,MATCH(Character_Spellcasting!AF37,S10_Wizard!$W$69:$W$98,0),1),"")</f>
        <v/>
      </c>
      <c r="AM37" s="1098"/>
      <c r="AN37" s="567"/>
      <c r="AO37" s="565"/>
      <c r="AP37" s="591">
        <v>31</v>
      </c>
      <c r="AQ37" s="1061" t="str">
        <f>IFERROR(INDEX(S01_Bard!$AD$6:$AD$35,MATCH(Character_Spellcasting!AP37,S01_Bard!$AF$69:$AF$98,0),1),"")&amp;IFERROR(INDEX(S02_Cleric!$AD$6:$AD$35,MATCH(Character_Spellcasting!AP37,S02_Cleric!$AF$69:$AF$98,0),1),"")&amp;IFERROR(INDEX(S03_Druid!$AD$6:$AD$35,MATCH(Character_Spellcasting!AP37,S03_Druid!$AF$69:$AF$98,0),1),"")&amp;IFERROR(INDEX(S04_EldritchKnight!$AD$6:$AD$35,MATCH(Character_Spellcasting!AP37,S04_EldritchKnight!$AF$69:$AF$98,0),1),"")&amp;IFERROR(INDEX(S05_Paladin!$AD$6:$AD$35,MATCH(Character_Spellcasting!AP37,S05_Paladin!$AF$69:$AF$98,0),1),"")&amp;IFERROR(INDEX(S06_Ranger!$AD$6:$AD$35,MATCH(Character_Spellcasting!AP37,S06_Ranger!$AF$69:$AF$988,0),1),"")&amp;IFERROR(INDEX(S07_ArcaneTrickster!$AD$6:$AD$35,MATCH(Character_Spellcasting!AP37,S07_ArcaneTrickster!$AF$69:$AF$988,0),1),"")&amp;IFERROR(INDEX(S08_Sorcerer!$AD$6:$AD$35,MATCH(Character_Spellcasting!AP37,S08_Sorcerer!$AF$69:$AF$98,0),1),"")&amp;IFERROR(INDEX(S09_Warlock!$AD$6:$AD$35,MATCH(Character_Spellcasting!AP37,S09_Warlock!$AF$69:$AF$98,0),1),"")&amp;IFERROR(INDEX(S10_Wizard!$AD$6:$AD$35,MATCH(Character_Spellcasting!AP37,S10_Wizard!$AF$69:$AF$98,0),1),"")</f>
        <v/>
      </c>
      <c r="AR37" s="1061"/>
      <c r="AS37" s="1061"/>
      <c r="AT37" s="1061"/>
      <c r="AU37" s="1061"/>
      <c r="AV37" s="1096" t="str">
        <f>IFERROR(INDEX(S01_Bard!$AG$69:$AG$98,MATCH(Character_Spellcasting!AP37,S01_Bard!$D$69:$D$98,0),1),"")&amp;IFERROR(INDEX(S02_Cleric!$AG$69:$AG$98,MATCH(Character_Spellcasting!AP37,S02_Cleric!$AF$69:$AF$98,0),1),"")&amp;IFERROR(INDEX(S03_Druid!$AG$69:$AG$98,MATCH(Character_Spellcasting!AP37,S03_Druid!$AF$69:$AF$98,0),1),"")&amp;IFERROR(INDEX(S04_EldritchKnight!$AG$69:$AG$98,MATCH(Character_Spellcasting!AP37,S04_EldritchKnight!$AF$69:$AF$98,0),1),"")&amp;IFERROR(INDEX(S05_Paladin!$AG$69:$AG$98,MATCH(Character_Spellcasting!AP37,S05_Paladin!$AF$69:$AF$98,0),1),"")&amp;IFERROR(INDEX(S06_Ranger!$AG$69:$AG$98,MATCH(Character_Spellcasting!AP37,S06_Ranger!$AF$69:$AF$988,0),1),"")&amp;IFERROR(INDEX(S07_ArcaneTrickster!$AG$69:$AG$98,MATCH(Character_Spellcasting!AP37,S07_ArcaneTrickster!$AF$69:$AF$988,0),1),"")&amp;IFERROR(INDEX(S08_Sorcerer!$AG$69:$AG$98,MATCH(Character_Spellcasting!AP37,S08_Sorcerer!$AF$69:$AF$98,0),1),"")&amp;IFERROR(INDEX(S09_Warlock!$AG$69:$AG$98,MATCH(Character_Spellcasting!AP37,S09_Warlock!$AF$69:$AF$98,0),1),"")&amp;IFERROR(INDEX(S10_Wizard!$AG$69:$AG$98,MATCH(Character_Spellcasting!AP37,S10_Wizard!$AF$69:$AF$98,0),1),"")</f>
        <v/>
      </c>
      <c r="AW37" s="1096"/>
      <c r="AX37" s="567"/>
      <c r="AY37" s="565"/>
      <c r="AZ37" s="591">
        <v>31</v>
      </c>
      <c r="BA37" s="1061" t="str">
        <f>IFERROR(INDEX(S01_Bard!$AM$6:$AM$35,MATCH(Character_Spellcasting!AZ37,S01_Bard!$AO$69:$AO$98,0),1),"")&amp;IFERROR(INDEX(S02_Cleric!$AM$6:$AM$35,MATCH(Character_Spellcasting!AZ37,S02_Cleric!$AO$69:$AO$98,0),1),"")&amp;IFERROR(INDEX(S03_Druid!$AM$6:$AM$35,MATCH(Character_Spellcasting!AZ37,S03_Druid!$AO$69:$AO$98,0),1),"")&amp;IFERROR(INDEX(S04_EldritchKnight!$AM$6:$AM$35,MATCH(Character_Spellcasting!AZ37,S04_EldritchKnight!$AO$69:$AO$98,0),1),"")&amp;IFERROR(INDEX(S05_Paladin!$AM$6:$AM$35,MATCH(Character_Spellcasting!AZ37,S05_Paladin!$AO$69:$AO$98,0),1),"")&amp;IFERROR(INDEX(S06_Ranger!$AM$6:$AM$35,MATCH(Character_Spellcasting!AZ37,S06_Ranger!$AO$69:$AO$988,0),1),"")&amp;IFERROR(INDEX(S07_ArcaneTrickster!$AM$6:$AM$35,MATCH(Character_Spellcasting!AZ37,S07_ArcaneTrickster!$AO$69:$AO$988,0),1),"")&amp;IFERROR(INDEX(S08_Sorcerer!$AM$6:$AM$35,MATCH(Character_Spellcasting!AZ37,S08_Sorcerer!$AO$69:$AO$98,0),1),"")&amp;IFERROR(INDEX(S09_Warlock!$AM$6:$AM$35,MATCH(Character_Spellcasting!AZ37,S09_Warlock!$AO$69:$AO$98,0),1),"")&amp;IFERROR(INDEX(S10_Wizard!$AM$6:$AM$35,MATCH(Character_Spellcasting!AZ37,S10_Wizard!$AO$69:$AO$98,0),1),"")</f>
        <v/>
      </c>
      <c r="BB37" s="1061"/>
      <c r="BC37" s="1061"/>
      <c r="BD37" s="1061"/>
      <c r="BE37" s="1061"/>
      <c r="BF37" s="1096" t="str">
        <f>IFERROR(INDEX(S01_Bard!$AP$69:$AP$98,MATCH(Character_Spellcasting!AZ37,S01_Bard!$D$69:$D$98,0),1),"")&amp;IFERROR(INDEX(S02_Cleric!$AP$69:$AP$98,MATCH(Character_Spellcasting!AZ37,S02_Cleric!$AO$69:$AO$98,0),1),"")&amp;IFERROR(INDEX(S03_Druid!$AP$69:$AP$98,MATCH(Character_Spellcasting!AZ37,S03_Druid!$AO$69:$AO$98,0),1),"")&amp;IFERROR(INDEX(S04_EldritchKnight!$AP$69:$AP$98,MATCH(Character_Spellcasting!AZ37,S04_EldritchKnight!$AO$69:$AO$98,0),1),"")&amp;IFERROR(INDEX(S05_Paladin!$AP$69:$AP$98,MATCH(Character_Spellcasting!AZ37,S05_Paladin!$AO$69:$AO$98,0),1),"")&amp;IFERROR(INDEX(S06_Ranger!$AP$69:$AP$98,MATCH(Character_Spellcasting!AZ37,S06_Ranger!$AO$69:$AO$988,0),1),"")&amp;IFERROR(INDEX(S07_ArcaneTrickster!$AP$69:$AP$98,MATCH(Character_Spellcasting!AZ37,S07_ArcaneTrickster!$AO$69:$AO$988,0),1),"")&amp;IFERROR(INDEX(S08_Sorcerer!$AP$69:$AP$98,MATCH(Character_Spellcasting!AZ37,S08_Sorcerer!$AO$69:$AO$98,0),1),"")&amp;IFERROR(INDEX(S09_Warlock!$AP$69:$AP$98,MATCH(Character_Spellcasting!AZ37,S09_Warlock!$AO$69:$AO$98,0),1),"")&amp;IFERROR(INDEX(S10_Wizard!$AP$69:$AP$98,MATCH(Character_Spellcasting!AZ37,S10_Wizard!$AO$69:$AO$98,0),1),"")</f>
        <v/>
      </c>
      <c r="BG37" s="1096"/>
      <c r="BH37" s="567"/>
      <c r="BI37" s="120"/>
      <c r="BJ37" s="591">
        <v>31</v>
      </c>
      <c r="BK37" s="1061" t="str">
        <f>IFERROR(INDEX(S01_Bard!$AV$6:$AV$35,MATCH(Character_Spellcasting!BJ37,S01_Bard!$AX$69:$AX$98,0),1),"")&amp;IFERROR(INDEX(S02_Cleric!$AV$6:$AV$35,MATCH(Character_Spellcasting!BJ37,S02_Cleric!$AX$69:$AX$98,0),1),"")&amp;IFERROR(INDEX(S03_Druid!$AV$6:$AV$35,MATCH(Character_Spellcasting!BJ37,S03_Druid!$AX$69:$AX$98,0),1),"")&amp;IFERROR(INDEX(S04_EldritchKnight!$AV$6:$AV$35,MATCH(Character_Spellcasting!BJ37,S04_EldritchKnight!$AX$69:$AX$98,0),1),"")&amp;IFERROR(INDEX(S05_Paladin!$AV$6:$AV$35,MATCH(Character_Spellcasting!BJ37,S05_Paladin!$AX$69:$AX$98,0),1),"")&amp;IFERROR(INDEX(S06_Ranger!$AV$6:$AV$35,MATCH(Character_Spellcasting!BJ37,S06_Ranger!$AX$69:$AX$988,0),1),"")&amp;IFERROR(INDEX(S07_ArcaneTrickster!$AV$6:$AV$35,MATCH(Character_Spellcasting!BJ37,S07_ArcaneTrickster!$AX$69:$AX$988,0),1),"")&amp;IFERROR(INDEX(S08_Sorcerer!$AV$6:$AV$35,MATCH(Character_Spellcasting!BJ37,S08_Sorcerer!$AX$69:$AX$98,0),1),"")&amp;IFERROR(INDEX(S09_Warlock!$AV$6:$AV$35,MATCH(Character_Spellcasting!BJ37,S09_Warlock!$AX$69:$AX$98,0),1),"")&amp;IFERROR(INDEX(S10_Wizard!$AV$6:$AV$35,MATCH(Character_Spellcasting!BJ37,S10_Wizard!$AX$69:$AX$98,0),1),"")</f>
        <v/>
      </c>
      <c r="BL37" s="1061"/>
      <c r="BM37" s="1061"/>
      <c r="BN37" s="1061"/>
      <c r="BO37" s="1061"/>
      <c r="BP37" s="1096" t="str">
        <f>IFERROR(INDEX(S01_Bard!$AY$69:$AY$98,MATCH(Character_Spellcasting!BJ37,S01_Bard!$D$69:$D$98,0),1),"")&amp;IFERROR(INDEX(S02_Cleric!$AY$69:$AY$98,MATCH(Character_Spellcasting!BJ37,S02_Cleric!$AX$69:$AX$98,0),1),"")&amp;IFERROR(INDEX(S03_Druid!$AY$69:$AY$98,MATCH(Character_Spellcasting!BJ37,S03_Druid!$AX$69:$AX$98,0),1),"")&amp;IFERROR(INDEX(S04_EldritchKnight!$AY$69:$AY$98,MATCH(Character_Spellcasting!BJ37,S04_EldritchKnight!$AX$69:$AX$98,0),1),"")&amp;IFERROR(INDEX(S05_Paladin!$AY$69:$AY$98,MATCH(Character_Spellcasting!BJ37,S05_Paladin!$AX$69:$AX$98,0),1),"")&amp;IFERROR(INDEX(S06_Ranger!$AY$69:$AY$98,MATCH(Character_Spellcasting!BJ37,S06_Ranger!$AX$69:$AX$988,0),1),"")&amp;IFERROR(INDEX(S07_ArcaneTrickster!$AY$69:$AY$98,MATCH(Character_Spellcasting!BJ37,S07_ArcaneTrickster!$AX$69:$AX$988,0),1),"")&amp;IFERROR(INDEX(S08_Sorcerer!$AY$69:$AY$98,MATCH(Character_Spellcasting!BJ37,S08_Sorcerer!$AX$69:$AX$98,0),1),"")&amp;IFERROR(INDEX(S09_Warlock!$AY$69:$AY$98,MATCH(Character_Spellcasting!BJ37,S09_Warlock!$AX$69:$AX$98,0),1),"")&amp;IFERROR(INDEX(S10_Wizard!$AY$69:$AY$98,MATCH(Character_Spellcasting!BJ37,S10_Wizard!$AX$69:$AX$98,0),1),"")</f>
        <v/>
      </c>
      <c r="BQ37" s="1096"/>
      <c r="BR37" s="567"/>
      <c r="BS37" s="120"/>
      <c r="BT37" s="591">
        <v>31</v>
      </c>
      <c r="BU37" s="1061" t="str">
        <f>IFERROR(INDEX(S01_Bard!$BE$6:$BE$35,MATCH(Character_Spellcasting!BT37,S01_Bard!$BG$69:$BG$98,0),1),"")&amp;IFERROR(INDEX(S02_Cleric!$BE$6:$BE$35,MATCH(Character_Spellcasting!BT37,S02_Cleric!$BG$69:$BG$98,0),1),"")&amp;IFERROR(INDEX(S03_Druid!$BE$6:$BE$35,MATCH(Character_Spellcasting!BT37,S03_Druid!$BG$69:$BG$98,0),1),"")&amp;IFERROR(INDEX(S04_EldritchKnight!$BE$6:$BE$35,MATCH(Character_Spellcasting!BT37,S04_EldritchKnight!$BG$69:$BG$98,0),1),"")&amp;IFERROR(INDEX(S05_Paladin!$BE$6:$BE$35,MATCH(Character_Spellcasting!BT37,S05_Paladin!$BG$69:$BG$98,0),1),"")&amp;IFERROR(INDEX(S06_Ranger!$BE$6:$BE$35,MATCH(Character_Spellcasting!BT37,S06_Ranger!$BG$69:$BG$988,0),1),"")&amp;IFERROR(INDEX(S07_ArcaneTrickster!$BE$6:$BE$35,MATCH(Character_Spellcasting!BT37,S07_ArcaneTrickster!$BG$69:$BG$988,0),1),"")&amp;IFERROR(INDEX(S08_Sorcerer!$BE$6:$BE$35,MATCH(Character_Spellcasting!BT37,S08_Sorcerer!$BG$69:$BG$98,0),1),"")&amp;IFERROR(INDEX(S09_Warlock!$BE$6:$BE$35,MATCH(Character_Spellcasting!BT37,S09_Warlock!$BG$69:$BG$98,0),1),"")&amp;IFERROR(INDEX(S10_Wizard!$BE$6:$BE$35,MATCH(Character_Spellcasting!BT37,S10_Wizard!$BG$69:$BG$98,0),1),"")</f>
        <v/>
      </c>
      <c r="BV37" s="1061"/>
      <c r="BW37" s="1061"/>
      <c r="BX37" s="1061"/>
      <c r="BY37" s="1061"/>
      <c r="BZ37" s="1096" t="str">
        <f>IFERROR(INDEX(S01_Bard!$BH$69:$BH$98,MATCH(Character_Spellcasting!BT37,S01_Bard!$D$69:$D$98,0),1),"")&amp;IFERROR(INDEX(S02_Cleric!$BH$69:$BH$98,MATCH(Character_Spellcasting!BT37,S02_Cleric!$BG$69:$BG$98,0),1),"")&amp;IFERROR(INDEX(S03_Druid!$BH$69:$BH$98,MATCH(Character_Spellcasting!BT37,S03_Druid!$BG$69:$BG$98,0),1),"")&amp;IFERROR(INDEX(S04_EldritchKnight!$BH$69:$BH$98,MATCH(Character_Spellcasting!BT37,S04_EldritchKnight!$BG$69:$BG$98,0),1),"")&amp;IFERROR(INDEX(S05_Paladin!$BH$69:$BH$98,MATCH(Character_Spellcasting!BT37,S05_Paladin!$BG$69:$BG$98,0),1),"")&amp;IFERROR(INDEX(S06_Ranger!$BH$69:$BH$98,MATCH(Character_Spellcasting!BT37,S06_Ranger!$BG$69:$BG$988,0),1),"")&amp;IFERROR(INDEX(S07_ArcaneTrickster!$BH$69:$BH$98,MATCH(Character_Spellcasting!BT37,S07_ArcaneTrickster!$BG$69:$BG$988,0),1),"")&amp;IFERROR(INDEX(S08_Sorcerer!$BH$69:$BH$98,MATCH(Character_Spellcasting!BT37,S08_Sorcerer!$BG$69:$BG$98,0),1),"")&amp;IFERROR(INDEX(S09_Warlock!$BH$69:$BH$98,MATCH(Character_Spellcasting!BT37,S09_Warlock!$BG$69:$BG$98,0),1),"")&amp;IFERROR(INDEX(S10_Wizard!$BH$69:$BH$98,MATCH(Character_Spellcasting!BT37,S10_Wizard!$BG$69:$BG$98,0),1),"")</f>
        <v/>
      </c>
      <c r="CA37" s="1096"/>
      <c r="CB37" s="567"/>
      <c r="CC37" s="120"/>
      <c r="CD37" s="591">
        <v>31</v>
      </c>
      <c r="CE37" s="1061" t="str">
        <f>IFERROR(INDEX(S01_Bard!$BN$6:$BN$35,MATCH(Character_Spellcasting!CD37,S01_Bard!$BP$69:$BP$98,0),1),"")&amp;IFERROR(INDEX(S02_Cleric!$BN$6:$BN$35,MATCH(Character_Spellcasting!CD37,S02_Cleric!$BP$69:$BP$98,0),1),"")&amp;IFERROR(INDEX(S03_Druid!$BN$6:$BN$35,MATCH(Character_Spellcasting!CD37,S03_Druid!$BP$69:$BP$98,0),1),"")&amp;IFERROR(INDEX(S04_EldritchKnight!$BN$6:$BN$35,MATCH(Character_Spellcasting!CD37,S04_EldritchKnight!$BP$69:$BP$98,0),1),"")&amp;IFERROR(INDEX(S05_Paladin!$BN$6:$BN$35,MATCH(Character_Spellcasting!CD37,S05_Paladin!$BP$69:$BP$98,0),1),"")&amp;IFERROR(INDEX(S06_Ranger!$BN$6:$BN$35,MATCH(Character_Spellcasting!CD37,S06_Ranger!$BP$69:$BP$988,0),1),"")&amp;IFERROR(INDEX(S07_ArcaneTrickster!$BN$6:$BN$35,MATCH(Character_Spellcasting!CD37,S07_ArcaneTrickster!$BP$69:$BP$988,0),1),"")&amp;IFERROR(INDEX(S08_Sorcerer!$BN$6:$BN$35,MATCH(Character_Spellcasting!CD37,S08_Sorcerer!$BP$69:$BP$98,0),1),"")&amp;IFERROR(INDEX(S09_Warlock!$BN$6:$BN$35,MATCH(Character_Spellcasting!CD37,S09_Warlock!$BP$69:$BP$98,0),1),"")&amp;IFERROR(INDEX(S10_Wizard!$BN$6:$BN$35,MATCH(Character_Spellcasting!CD37,S10_Wizard!$BP$69:$BP$98,0),1),"")</f>
        <v/>
      </c>
      <c r="CF37" s="1061"/>
      <c r="CG37" s="1061"/>
      <c r="CH37" s="1061"/>
      <c r="CI37" s="1061"/>
      <c r="CJ37" s="1096" t="str">
        <f>IFERROR(INDEX(S01_Bard!$BQ$69:$BQ$98,MATCH(Character_Spellcasting!CD37,S01_Bard!$D$69:$D$98,0),1),"")&amp;IFERROR(INDEX(S02_Cleric!$BQ$69:$BQ$98,MATCH(Character_Spellcasting!CD37,S02_Cleric!$BP$69:$BP$98,0),1),"")&amp;IFERROR(INDEX(S03_Druid!$BQ$69:$BQ$98,MATCH(Character_Spellcasting!CD37,S03_Druid!$BP$69:$BP$98,0),1),"")&amp;IFERROR(INDEX(S04_EldritchKnight!$BQ$69:$BQ$98,MATCH(Character_Spellcasting!CD37,S04_EldritchKnight!$BP$69:$BP$98,0),1),"")&amp;IFERROR(INDEX(S05_Paladin!$BQ$69:$BQ$98,MATCH(Character_Spellcasting!CD37,S05_Paladin!$BP$69:$BP$98,0),1),"")&amp;IFERROR(INDEX(S06_Ranger!$BQ$69:$BQ$98,MATCH(Character_Spellcasting!CD37,S06_Ranger!$BP$69:$BP$988,0),1),"")&amp;IFERROR(INDEX(S07_ArcaneTrickster!$BQ$69:$BQ$98,MATCH(Character_Spellcasting!CD37,S07_ArcaneTrickster!$BP$69:$BP$988,0),1),"")&amp;IFERROR(INDEX(S08_Sorcerer!$BQ$69:$BQ$98,MATCH(Character_Spellcasting!CD37,S08_Sorcerer!$BP$69:$BP$98,0),1),"")&amp;IFERROR(INDEX(S09_Warlock!$BQ$69:$BQ$98,MATCH(Character_Spellcasting!CD37,S09_Warlock!$BP$69:$BP$98,0),1),"")&amp;IFERROR(INDEX(S10_Wizard!$BQ$69:$BQ$98,MATCH(Character_Spellcasting!CD37,S10_Wizard!$BP$69:$BP$98,0),1),"")</f>
        <v/>
      </c>
      <c r="CK37" s="1096"/>
      <c r="CL37" s="567"/>
      <c r="CM37" s="120"/>
      <c r="CN37" s="591">
        <v>31</v>
      </c>
      <c r="CO37" s="1061" t="str">
        <f>IFERROR(INDEX(S01_Bard!$BW$6:$BW$35,MATCH(Character_Spellcasting!CN37,S01_Bard!$BY$69:$BY$98,0),1),"")&amp;IFERROR(INDEX(S02_Cleric!$BW$6:$BW$35,MATCH(Character_Spellcasting!CN37,S02_Cleric!$BY$69:$BY$98,0),1),"")&amp;IFERROR(INDEX(S03_Druid!$BW$6:$BW$35,MATCH(Character_Spellcasting!CN37,S03_Druid!$BY$69:$BY$98,0),1),"")&amp;IFERROR(INDEX(S04_EldritchKnight!$BW$6:$BW$35,MATCH(Character_Spellcasting!CN37,S04_EldritchKnight!$BY$69:$BY$98,0),1),"")&amp;IFERROR(INDEX(S05_Paladin!$BW$6:$BW$35,MATCH(Character_Spellcasting!CN37,S05_Paladin!$BY$69:$BY$98,0),1),"")&amp;IFERROR(INDEX(S06_Ranger!$BW$6:$BW$35,MATCH(Character_Spellcasting!CN37,S06_Ranger!$BY$69:$BY$988,0),1),"")&amp;IFERROR(INDEX(S07_ArcaneTrickster!$BW$6:$BW$35,MATCH(Character_Spellcasting!CN37,S07_ArcaneTrickster!$BY$69:$BY$988,0),1),"")&amp;IFERROR(INDEX(S08_Sorcerer!$BW$6:$BW$35,MATCH(Character_Spellcasting!CN37,S08_Sorcerer!$BY$69:$BY$98,0),1),"")&amp;IFERROR(INDEX(S09_Warlock!$BW$6:$BW$35,MATCH(Character_Spellcasting!CN37,S09_Warlock!$BY$69:$BY$98,0),1),"")&amp;IFERROR(INDEX(S10_Wizard!$BW$6:$BW$35,MATCH(Character_Spellcasting!CN37,S10_Wizard!$BY$69:$BY$98,0),1),"")</f>
        <v/>
      </c>
      <c r="CP37" s="1061"/>
      <c r="CQ37" s="1061"/>
      <c r="CR37" s="1061"/>
      <c r="CS37" s="1061"/>
      <c r="CT37" s="1096" t="str">
        <f>IFERROR(INDEX(S01_Bard!$BZ$69:$BZ$98,MATCH(Character_Spellcasting!CN37,S01_Bard!$D$69:$D$98,0),1),"")&amp;IFERROR(INDEX(S02_Cleric!$BZ$69:$BZ$98,MATCH(Character_Spellcasting!CN37,S02_Cleric!$BY$69:$BY$98,0),1),"")&amp;IFERROR(INDEX(S03_Druid!$BZ$69:$BZ$98,MATCH(Character_Spellcasting!CN37,S03_Druid!$BY$69:$BY$98,0),1),"")&amp;IFERROR(INDEX(S04_EldritchKnight!$BZ$69:$BZ$98,MATCH(Character_Spellcasting!CN37,S04_EldritchKnight!$BY$69:$BY$98,0),1),"")&amp;IFERROR(INDEX(S05_Paladin!$BZ$69:$BZ$98,MATCH(Character_Spellcasting!CN37,S05_Paladin!$BY$69:$BY$98,0),1),"")&amp;IFERROR(INDEX(S06_Ranger!$BZ$69:$BZ$98,MATCH(Character_Spellcasting!CN37,S06_Ranger!$BY$69:$BY$988,0),1),"")&amp;IFERROR(INDEX(S07_ArcaneTrickster!$BZ$69:$BZ$98,MATCH(Character_Spellcasting!CN37,S07_ArcaneTrickster!$BY$69:$BY$988,0),1),"")&amp;IFERROR(INDEX(S08_Sorcerer!$BZ$69:$BZ$98,MATCH(Character_Spellcasting!CN37,S08_Sorcerer!$BY$69:$BY$98,0),1),"")&amp;IFERROR(INDEX(S09_Warlock!$BZ$69:$BZ$98,MATCH(Character_Spellcasting!CN37,S09_Warlock!$BY$69:$BY$98,0),1),"")&amp;IFERROR(INDEX(S10_Wizard!$BZ$69:$BZ$98,MATCH(Character_Spellcasting!CN37,S10_Wizard!$BY$69:$BY$98,0),1),"")</f>
        <v/>
      </c>
      <c r="CU37" s="1096"/>
      <c r="CV37" s="567"/>
      <c r="CW37" s="565"/>
      <c r="CX37" s="565"/>
      <c r="CY37" s="565"/>
      <c r="CZ37" s="565"/>
      <c r="DA37" s="610">
        <v>31</v>
      </c>
      <c r="DB37" s="1061" t="str">
        <f t="shared" si="0"/>
        <v/>
      </c>
      <c r="DC37" s="1061"/>
      <c r="DD37" s="1061"/>
      <c r="DE37" s="1061"/>
      <c r="DF37" s="1061"/>
      <c r="DG37" s="1096" t="str">
        <f t="shared" si="1"/>
        <v/>
      </c>
      <c r="DH37" s="1096"/>
      <c r="DI37" s="565"/>
      <c r="DJ37" s="565"/>
      <c r="DK37" s="565"/>
      <c r="DL37" s="565"/>
      <c r="DM37" s="565"/>
      <c r="DN37" s="565"/>
      <c r="DO37" s="565"/>
      <c r="DP37" s="565"/>
      <c r="DQ37" s="565"/>
      <c r="DR37" s="565"/>
      <c r="DS37" s="565"/>
      <c r="DT37" s="565"/>
      <c r="DU37" s="565"/>
      <c r="DV37" s="565"/>
    </row>
    <row r="38" spans="1:126" ht="21" x14ac:dyDescent="0.25">
      <c r="A38" s="120"/>
      <c r="B38" s="610">
        <v>32</v>
      </c>
      <c r="C38" s="1061"/>
      <c r="D38" s="1061"/>
      <c r="E38" s="1061"/>
      <c r="F38" s="1061"/>
      <c r="G38" s="1061"/>
      <c r="H38" s="1096"/>
      <c r="I38" s="1096"/>
      <c r="J38" s="120"/>
      <c r="K38" s="120"/>
      <c r="L38" s="591">
        <v>32</v>
      </c>
      <c r="M38" s="1061" t="str">
        <f>IFERROR(INDEX(S01_Bard!$C$6:$C$35,MATCH(Character_Spellcasting!L38,S01_Bard!$E$69:$E$98,0),1),"")&amp;IFERROR(INDEX(S02_Cleric!$C$6:$C$35,MATCH(Character_Spellcasting!L38,S02_Cleric!$E$69:$E$98,0),1),"")&amp;IFERROR(INDEX(S03_Druid!$C$6:$C$35,MATCH(Character_Spellcasting!L38,S03_Druid!$E$69:$E$98,0),1),"")&amp;IFERROR(INDEX(S04_EldritchKnight!$C$6:$C$35,MATCH(Character_Spellcasting!L38,S04_EldritchKnight!$E$69:$E$98,0),1),"")&amp;IFERROR(INDEX(S05_Paladin!$C$6:$C$35,MATCH(Character_Spellcasting!L38,S05_Paladin!$E$69:$E$98,0),1),"")&amp;IFERROR(INDEX(S06_Ranger!$C$6:$C$35,MATCH(Character_Spellcasting!L38,S06_Ranger!$E$69:$E$988,0),1),"")&amp;IFERROR(INDEX(S07_ArcaneTrickster!$C$6:$C$35,MATCH(Character_Spellcasting!L38,S07_ArcaneTrickster!$E$69:$E$988,0),1),"")&amp;IFERROR(INDEX(S08_Sorcerer!$C$6:$C$35,MATCH(Character_Spellcasting!L38,S08_Sorcerer!$E$69:$E$98,0),1),"")&amp;IFERROR(INDEX(S09_Warlock!$C$6:$C$35,MATCH(Character_Spellcasting!L38,S09_Warlock!$E$69:$E$98,0),1),"")&amp;IFERROR(INDEX(S10_Wizard!$C$6:$C$35,MATCH(Character_Spellcasting!L38,S10_Wizard!$E$69:$E$98,0),1),"")</f>
        <v/>
      </c>
      <c r="N38" s="1061"/>
      <c r="O38" s="1061"/>
      <c r="P38" s="1061"/>
      <c r="Q38" s="1061"/>
      <c r="R38" s="1096" t="str">
        <f>IFERROR(INDEX(S01_Bard!$F$69:$F$98,MATCH(Character_Spellcasting!L38,S01_Bard!$D$69:$D$98,0),1),"")&amp;IFERROR(INDEX(S02_Cleric!$F$69:$F$98,MATCH(Character_Spellcasting!L38,S02_Cleric!$E$69:$E$98,0),1),"")&amp;IFERROR(INDEX(S03_Druid!$F$69:$F$98,MATCH(Character_Spellcasting!L38,S03_Druid!$E$69:$E$98,0),1),"")&amp;IFERROR(INDEX(S04_EldritchKnight!$F$69:$F$98,MATCH(Character_Spellcasting!L38,S04_EldritchKnight!$E$69:$E$98,0),1),"")&amp;IFERROR(INDEX(S05_Paladin!$F$69:$F$98,MATCH(Character_Spellcasting!L38,S05_Paladin!$E$69:$E$98,0),1),"")&amp;IFERROR(INDEX(S06_Ranger!$F$69:$F$98,MATCH(Character_Spellcasting!L38,S06_Ranger!$E$69:$E$988,0),1),"")&amp;IFERROR(INDEX(S07_ArcaneTrickster!$F$69:$F$98,MATCH(Character_Spellcasting!L38,S07_ArcaneTrickster!$E$69:$E$988,0),1),"")&amp;IFERROR(INDEX(S08_Sorcerer!$F$69:$F$98,MATCH(Character_Spellcasting!L38,S08_Sorcerer!$E$69:$E$98,0),1),"")&amp;IFERROR(INDEX(S09_Warlock!$F$69:$F$98,MATCH(Character_Spellcasting!L38,S09_Warlock!$E$69:$E$98,0),1),"")&amp;IFERROR(INDEX(S10_Wizard!$F$69:$F$98,MATCH(Character_Spellcasting!L38,S10_Wizard!$E$69:$E$98,0),1),"")</f>
        <v/>
      </c>
      <c r="S38" s="1096"/>
      <c r="T38" s="567"/>
      <c r="U38" s="565"/>
      <c r="V38" s="591">
        <v>32</v>
      </c>
      <c r="W38" s="1061" t="str">
        <f>IFERROR(INDEX(S01_Bard!$L$6:$L$35,MATCH(Character_Spellcasting!V38,S01_Bard!$N$69:$N$98,0),1),"")&amp;IFERROR(INDEX(S02_Cleric!$L$6:$L$35,MATCH(Character_Spellcasting!V38,S02_Cleric!$N$69:$N$98,0),1),"")&amp;IFERROR(INDEX(S03_Druid!$L$6:$L$35,MATCH(Character_Spellcasting!V38,S03_Druid!$N$69:$N$98,0),1),"")&amp;IFERROR(INDEX(S04_EldritchKnight!$L$6:$L$35,MATCH(Character_Spellcasting!V38,S04_EldritchKnight!$N$69:$N$98,0),1),"")&amp;IFERROR(INDEX(S05_Paladin!$L$6:$L$35,MATCH(Character_Spellcasting!V38,S05_Paladin!$N$69:$N$98,0),1),"")&amp;IFERROR(INDEX(S06_Ranger!$L$6:$L$35,MATCH(Character_Spellcasting!V38,S06_Ranger!$N$69:$N$988,0),1),"")&amp;IFERROR(INDEX(S07_ArcaneTrickster!$L$6:$L$35,MATCH(Character_Spellcasting!V38,S07_ArcaneTrickster!$N$69:$N$988,0),1),"")&amp;IFERROR(INDEX(S08_Sorcerer!$L$6:$L$35,MATCH(Character_Spellcasting!V38,S08_Sorcerer!$N$69:$N$98,0),1),"")&amp;IFERROR(INDEX(S09_Warlock!$L$6:$L$35,MATCH(Character_Spellcasting!V38,S09_Warlock!$N$69:$N$98,0),1),"")&amp;IFERROR(INDEX(S10_Wizard!$L$6:$L$35,MATCH(Character_Spellcasting!V38,S10_Wizard!$N$69:$N$98,0),1),"")</f>
        <v/>
      </c>
      <c r="X38" s="1061"/>
      <c r="Y38" s="1061"/>
      <c r="Z38" s="1061"/>
      <c r="AA38" s="1061"/>
      <c r="AB38" s="1097" t="str">
        <f>IFERROR(INDEX(S01_Bard!$O$69:$O$98,MATCH(Character_Spellcasting!V38,S01_Bard!$N$69:$N$98,0),1),"")&amp;IFERROR(INDEX(S02_Cleric!$O$69:$O$98,MATCH(Character_Spellcasting!V38,S02_Cleric!$N$69:$N$98,0),1),"")&amp;IFERROR(INDEX(S03_Druid!$O$69:$O$98,MATCH(Character_Spellcasting!V38,S03_Druid!$N$69:$N$98,0),1),"")&amp;IFERROR(INDEX(S04_EldritchKnight!$O$69:$O$98,MATCH(Character_Spellcasting!V38,S04_EldritchKnight!$N$69:$N$98,0),1),"")&amp;IFERROR(INDEX(S05_Paladin!$O$69:$O$98,MATCH(Character_Spellcasting!V38,S05_Paladin!$N$69:$N$98,0),1),"")&amp;IFERROR(INDEX(S06_Ranger!$O$69:$O$98,MATCH(Character_Spellcasting!V38,S06_Ranger!$N$69:$N$988,0),1),"")&amp;IFERROR(INDEX(S07_ArcaneTrickster!$O$69:$O$98,MATCH(Character_Spellcasting!V38,S07_ArcaneTrickster!$N$69:$N$988,0),1),"")&amp;IFERROR(INDEX(S08_Sorcerer!$O$69:$O$98,MATCH(Character_Spellcasting!V38,S08_Sorcerer!$N$69:$N$98,0),1),"")&amp;IFERROR(INDEX(S09_Warlock!$O$69:$O$98,MATCH(Character_Spellcasting!V38,S09_Warlock!$N$69:$N$98,0),1),"")&amp;IFERROR(INDEX(S10_Wizard!$O$69:$O$98,MATCH(Character_Spellcasting!V38,S10_Wizard!$N$69:$N$98,0),1),"")</f>
        <v/>
      </c>
      <c r="AC38" s="1098"/>
      <c r="AD38" s="567"/>
      <c r="AE38" s="565"/>
      <c r="AF38" s="609">
        <v>32</v>
      </c>
      <c r="AG38" s="1061" t="str">
        <f>IFERROR(INDEX(S01_Bard!$U$6:$U$35,MATCH(Character_Spellcasting!AF38,S01_Bard!$W$69:$W$98,0),1),"")&amp;IFERROR(INDEX(S02_Cleric!$U$6:$U$35,MATCH(Character_Spellcasting!AF38,S02_Cleric!$W$69:$W$98,0),1),"")&amp;IFERROR(INDEX(S03_Druid!$U$6:$U$35,MATCH(Character_Spellcasting!AF38,S03_Druid!$W$69:$W$98,0),1),"")&amp;IFERROR(INDEX(S04_EldritchKnight!$U$6:$U$35,MATCH(Character_Spellcasting!AF38,S04_EldritchKnight!$W$69:$W$98,0),1),"")&amp;IFERROR(INDEX(S05_Paladin!$U$6:$U$35,MATCH(Character_Spellcasting!AF38,S05_Paladin!$W$69:$W$98,0),1),"")&amp;IFERROR(INDEX(S06_Ranger!$U$6:$U$35,MATCH(Character_Spellcasting!AF38,S06_Ranger!$W$69:$W$988,0),1),"")&amp;IFERROR(INDEX(S07_ArcaneTrickster!$U$6:$U$35,MATCH(Character_Spellcasting!AF38,S07_ArcaneTrickster!$W$69:$W$988,0),1),"")&amp;IFERROR(INDEX(S08_Sorcerer!$U$6:$U$35,MATCH(Character_Spellcasting!AF38,S08_Sorcerer!$W$69:$W$98,0),1),"")&amp;IFERROR(INDEX(S09_Warlock!$U$6:$U$35,MATCH(Character_Spellcasting!AF38,S09_Warlock!$W$69:$W$98,0),1),"")&amp;IFERROR(INDEX(S10_Wizard!$U$6:$U$35,MATCH(Character_Spellcasting!AF38,S10_Wizard!$W$69:$W$98,0),1),"")</f>
        <v/>
      </c>
      <c r="AH38" s="1061"/>
      <c r="AI38" s="1061"/>
      <c r="AJ38" s="1061"/>
      <c r="AK38" s="1061"/>
      <c r="AL38" s="1097" t="str">
        <f>IFERROR(INDEX(S01_Bard!$X$69:$X$98,MATCH(Character_Spellcasting!AF38,S01_Bard!$W$69:$W$98,0),1),"")&amp;IFERROR(INDEX(S02_Cleric!$X$69:$X$98,MATCH(Character_Spellcasting!AF38,S02_Cleric!$W$69:$W$98,0),1),"")&amp;IFERROR(INDEX(S03_Druid!$X$69:$X$98,MATCH(Character_Spellcasting!AF38,S03_Druid!$W$69:$W$98,0),1),"")&amp;IFERROR(INDEX(S04_EldritchKnight!$X$69:$X$98,MATCH(Character_Spellcasting!AF38,S04_EldritchKnight!$W$69:$W$98,0),1),"")&amp;IFERROR(INDEX(S05_Paladin!$X$69:$X$98,MATCH(Character_Spellcasting!AF38,S05_Paladin!$W$69:$W$98,0),1),"")&amp;IFERROR(INDEX(S06_Ranger!$X$69:$X$98,MATCH(Character_Spellcasting!AF38,S06_Ranger!$W$69:$W$988,0),1),"")&amp;IFERROR(INDEX(S07_ArcaneTrickster!$X$69:$X$98,MATCH(Character_Spellcasting!AF38,S07_ArcaneTrickster!$W$69:$W$988,0),1),"")&amp;IFERROR(INDEX(S08_Sorcerer!$X$69:$X$98,MATCH(Character_Spellcasting!AF38,S08_Sorcerer!$W$69:$W$98,0),1),"")&amp;IFERROR(INDEX(S09_Warlock!$X$69:$X$98,MATCH(Character_Spellcasting!AF38,S09_Warlock!$W$69:$W$98,0),1),"")&amp;IFERROR(INDEX(S10_Wizard!$X$69:$X$98,MATCH(Character_Spellcasting!AF38,S10_Wizard!$W$69:$W$98,0),1),"")</f>
        <v/>
      </c>
      <c r="AM38" s="1098"/>
      <c r="AN38" s="567"/>
      <c r="AO38" s="565"/>
      <c r="AP38" s="591">
        <v>32</v>
      </c>
      <c r="AQ38" s="1061" t="str">
        <f>IFERROR(INDEX(S01_Bard!$AD$6:$AD$35,MATCH(Character_Spellcasting!AP38,S01_Bard!$AF$69:$AF$98,0),1),"")&amp;IFERROR(INDEX(S02_Cleric!$AD$6:$AD$35,MATCH(Character_Spellcasting!AP38,S02_Cleric!$AF$69:$AF$98,0),1),"")&amp;IFERROR(INDEX(S03_Druid!$AD$6:$AD$35,MATCH(Character_Spellcasting!AP38,S03_Druid!$AF$69:$AF$98,0),1),"")&amp;IFERROR(INDEX(S04_EldritchKnight!$AD$6:$AD$35,MATCH(Character_Spellcasting!AP38,S04_EldritchKnight!$AF$69:$AF$98,0),1),"")&amp;IFERROR(INDEX(S05_Paladin!$AD$6:$AD$35,MATCH(Character_Spellcasting!AP38,S05_Paladin!$AF$69:$AF$98,0),1),"")&amp;IFERROR(INDEX(S06_Ranger!$AD$6:$AD$35,MATCH(Character_Spellcasting!AP38,S06_Ranger!$AF$69:$AF$988,0),1),"")&amp;IFERROR(INDEX(S07_ArcaneTrickster!$AD$6:$AD$35,MATCH(Character_Spellcasting!AP38,S07_ArcaneTrickster!$AF$69:$AF$988,0),1),"")&amp;IFERROR(INDEX(S08_Sorcerer!$AD$6:$AD$35,MATCH(Character_Spellcasting!AP38,S08_Sorcerer!$AF$69:$AF$98,0),1),"")&amp;IFERROR(INDEX(S09_Warlock!$AD$6:$AD$35,MATCH(Character_Spellcasting!AP38,S09_Warlock!$AF$69:$AF$98,0),1),"")&amp;IFERROR(INDEX(S10_Wizard!$AD$6:$AD$35,MATCH(Character_Spellcasting!AP38,S10_Wizard!$AF$69:$AF$98,0),1),"")</f>
        <v/>
      </c>
      <c r="AR38" s="1061"/>
      <c r="AS38" s="1061"/>
      <c r="AT38" s="1061"/>
      <c r="AU38" s="1061"/>
      <c r="AV38" s="1096" t="str">
        <f>IFERROR(INDEX(S01_Bard!$AG$69:$AG$98,MATCH(Character_Spellcasting!AP38,S01_Bard!$D$69:$D$98,0),1),"")&amp;IFERROR(INDEX(S02_Cleric!$AG$69:$AG$98,MATCH(Character_Spellcasting!AP38,S02_Cleric!$AF$69:$AF$98,0),1),"")&amp;IFERROR(INDEX(S03_Druid!$AG$69:$AG$98,MATCH(Character_Spellcasting!AP38,S03_Druid!$AF$69:$AF$98,0),1),"")&amp;IFERROR(INDEX(S04_EldritchKnight!$AG$69:$AG$98,MATCH(Character_Spellcasting!AP38,S04_EldritchKnight!$AF$69:$AF$98,0),1),"")&amp;IFERROR(INDEX(S05_Paladin!$AG$69:$AG$98,MATCH(Character_Spellcasting!AP38,S05_Paladin!$AF$69:$AF$98,0),1),"")&amp;IFERROR(INDEX(S06_Ranger!$AG$69:$AG$98,MATCH(Character_Spellcasting!AP38,S06_Ranger!$AF$69:$AF$988,0),1),"")&amp;IFERROR(INDEX(S07_ArcaneTrickster!$AG$69:$AG$98,MATCH(Character_Spellcasting!AP38,S07_ArcaneTrickster!$AF$69:$AF$988,0),1),"")&amp;IFERROR(INDEX(S08_Sorcerer!$AG$69:$AG$98,MATCH(Character_Spellcasting!AP38,S08_Sorcerer!$AF$69:$AF$98,0),1),"")&amp;IFERROR(INDEX(S09_Warlock!$AG$69:$AG$98,MATCH(Character_Spellcasting!AP38,S09_Warlock!$AF$69:$AF$98,0),1),"")&amp;IFERROR(INDEX(S10_Wizard!$AG$69:$AG$98,MATCH(Character_Spellcasting!AP38,S10_Wizard!$AF$69:$AF$98,0),1),"")</f>
        <v/>
      </c>
      <c r="AW38" s="1096"/>
      <c r="AX38" s="567"/>
      <c r="AY38" s="565"/>
      <c r="AZ38" s="591">
        <v>32</v>
      </c>
      <c r="BA38" s="1061" t="str">
        <f>IFERROR(INDEX(S01_Bard!$AM$6:$AM$35,MATCH(Character_Spellcasting!AZ38,S01_Bard!$AO$69:$AO$98,0),1),"")&amp;IFERROR(INDEX(S02_Cleric!$AM$6:$AM$35,MATCH(Character_Spellcasting!AZ38,S02_Cleric!$AO$69:$AO$98,0),1),"")&amp;IFERROR(INDEX(S03_Druid!$AM$6:$AM$35,MATCH(Character_Spellcasting!AZ38,S03_Druid!$AO$69:$AO$98,0),1),"")&amp;IFERROR(INDEX(S04_EldritchKnight!$AM$6:$AM$35,MATCH(Character_Spellcasting!AZ38,S04_EldritchKnight!$AO$69:$AO$98,0),1),"")&amp;IFERROR(INDEX(S05_Paladin!$AM$6:$AM$35,MATCH(Character_Spellcasting!AZ38,S05_Paladin!$AO$69:$AO$98,0),1),"")&amp;IFERROR(INDEX(S06_Ranger!$AM$6:$AM$35,MATCH(Character_Spellcasting!AZ38,S06_Ranger!$AO$69:$AO$988,0),1),"")&amp;IFERROR(INDEX(S07_ArcaneTrickster!$AM$6:$AM$35,MATCH(Character_Spellcasting!AZ38,S07_ArcaneTrickster!$AO$69:$AO$988,0),1),"")&amp;IFERROR(INDEX(S08_Sorcerer!$AM$6:$AM$35,MATCH(Character_Spellcasting!AZ38,S08_Sorcerer!$AO$69:$AO$98,0),1),"")&amp;IFERROR(INDEX(S09_Warlock!$AM$6:$AM$35,MATCH(Character_Spellcasting!AZ38,S09_Warlock!$AO$69:$AO$98,0),1),"")&amp;IFERROR(INDEX(S10_Wizard!$AM$6:$AM$35,MATCH(Character_Spellcasting!AZ38,S10_Wizard!$AO$69:$AO$98,0),1),"")</f>
        <v/>
      </c>
      <c r="BB38" s="1061"/>
      <c r="BC38" s="1061"/>
      <c r="BD38" s="1061"/>
      <c r="BE38" s="1061"/>
      <c r="BF38" s="1096" t="str">
        <f>IFERROR(INDEX(S01_Bard!$AP$69:$AP$98,MATCH(Character_Spellcasting!AZ38,S01_Bard!$D$69:$D$98,0),1),"")&amp;IFERROR(INDEX(S02_Cleric!$AP$69:$AP$98,MATCH(Character_Spellcasting!AZ38,S02_Cleric!$AO$69:$AO$98,0),1),"")&amp;IFERROR(INDEX(S03_Druid!$AP$69:$AP$98,MATCH(Character_Spellcasting!AZ38,S03_Druid!$AO$69:$AO$98,0),1),"")&amp;IFERROR(INDEX(S04_EldritchKnight!$AP$69:$AP$98,MATCH(Character_Spellcasting!AZ38,S04_EldritchKnight!$AO$69:$AO$98,0),1),"")&amp;IFERROR(INDEX(S05_Paladin!$AP$69:$AP$98,MATCH(Character_Spellcasting!AZ38,S05_Paladin!$AO$69:$AO$98,0),1),"")&amp;IFERROR(INDEX(S06_Ranger!$AP$69:$AP$98,MATCH(Character_Spellcasting!AZ38,S06_Ranger!$AO$69:$AO$988,0),1),"")&amp;IFERROR(INDEX(S07_ArcaneTrickster!$AP$69:$AP$98,MATCH(Character_Spellcasting!AZ38,S07_ArcaneTrickster!$AO$69:$AO$988,0),1),"")&amp;IFERROR(INDEX(S08_Sorcerer!$AP$69:$AP$98,MATCH(Character_Spellcasting!AZ38,S08_Sorcerer!$AO$69:$AO$98,0),1),"")&amp;IFERROR(INDEX(S09_Warlock!$AP$69:$AP$98,MATCH(Character_Spellcasting!AZ38,S09_Warlock!$AO$69:$AO$98,0),1),"")&amp;IFERROR(INDEX(S10_Wizard!$AP$69:$AP$98,MATCH(Character_Spellcasting!AZ38,S10_Wizard!$AO$69:$AO$98,0),1),"")</f>
        <v/>
      </c>
      <c r="BG38" s="1096"/>
      <c r="BH38" s="567"/>
      <c r="BI38" s="120"/>
      <c r="BJ38" s="591">
        <v>32</v>
      </c>
      <c r="BK38" s="1061" t="str">
        <f>IFERROR(INDEX(S01_Bard!$AV$6:$AV$35,MATCH(Character_Spellcasting!BJ38,S01_Bard!$AX$69:$AX$98,0),1),"")&amp;IFERROR(INDEX(S02_Cleric!$AV$6:$AV$35,MATCH(Character_Spellcasting!BJ38,S02_Cleric!$AX$69:$AX$98,0),1),"")&amp;IFERROR(INDEX(S03_Druid!$AV$6:$AV$35,MATCH(Character_Spellcasting!BJ38,S03_Druid!$AX$69:$AX$98,0),1),"")&amp;IFERROR(INDEX(S04_EldritchKnight!$AV$6:$AV$35,MATCH(Character_Spellcasting!BJ38,S04_EldritchKnight!$AX$69:$AX$98,0),1),"")&amp;IFERROR(INDEX(S05_Paladin!$AV$6:$AV$35,MATCH(Character_Spellcasting!BJ38,S05_Paladin!$AX$69:$AX$98,0),1),"")&amp;IFERROR(INDEX(S06_Ranger!$AV$6:$AV$35,MATCH(Character_Spellcasting!BJ38,S06_Ranger!$AX$69:$AX$988,0),1),"")&amp;IFERROR(INDEX(S07_ArcaneTrickster!$AV$6:$AV$35,MATCH(Character_Spellcasting!BJ38,S07_ArcaneTrickster!$AX$69:$AX$988,0),1),"")&amp;IFERROR(INDEX(S08_Sorcerer!$AV$6:$AV$35,MATCH(Character_Spellcasting!BJ38,S08_Sorcerer!$AX$69:$AX$98,0),1),"")&amp;IFERROR(INDEX(S09_Warlock!$AV$6:$AV$35,MATCH(Character_Spellcasting!BJ38,S09_Warlock!$AX$69:$AX$98,0),1),"")&amp;IFERROR(INDEX(S10_Wizard!$AV$6:$AV$35,MATCH(Character_Spellcasting!BJ38,S10_Wizard!$AX$69:$AX$98,0),1),"")</f>
        <v/>
      </c>
      <c r="BL38" s="1061"/>
      <c r="BM38" s="1061"/>
      <c r="BN38" s="1061"/>
      <c r="BO38" s="1061"/>
      <c r="BP38" s="1096" t="str">
        <f>IFERROR(INDEX(S01_Bard!$AY$69:$AY$98,MATCH(Character_Spellcasting!BJ38,S01_Bard!$D$69:$D$98,0),1),"")&amp;IFERROR(INDEX(S02_Cleric!$AY$69:$AY$98,MATCH(Character_Spellcasting!BJ38,S02_Cleric!$AX$69:$AX$98,0),1),"")&amp;IFERROR(INDEX(S03_Druid!$AY$69:$AY$98,MATCH(Character_Spellcasting!BJ38,S03_Druid!$AX$69:$AX$98,0),1),"")&amp;IFERROR(INDEX(S04_EldritchKnight!$AY$69:$AY$98,MATCH(Character_Spellcasting!BJ38,S04_EldritchKnight!$AX$69:$AX$98,0),1),"")&amp;IFERROR(INDEX(S05_Paladin!$AY$69:$AY$98,MATCH(Character_Spellcasting!BJ38,S05_Paladin!$AX$69:$AX$98,0),1),"")&amp;IFERROR(INDEX(S06_Ranger!$AY$69:$AY$98,MATCH(Character_Spellcasting!BJ38,S06_Ranger!$AX$69:$AX$988,0),1),"")&amp;IFERROR(INDEX(S07_ArcaneTrickster!$AY$69:$AY$98,MATCH(Character_Spellcasting!BJ38,S07_ArcaneTrickster!$AX$69:$AX$988,0),1),"")&amp;IFERROR(INDEX(S08_Sorcerer!$AY$69:$AY$98,MATCH(Character_Spellcasting!BJ38,S08_Sorcerer!$AX$69:$AX$98,0),1),"")&amp;IFERROR(INDEX(S09_Warlock!$AY$69:$AY$98,MATCH(Character_Spellcasting!BJ38,S09_Warlock!$AX$69:$AX$98,0),1),"")&amp;IFERROR(INDEX(S10_Wizard!$AY$69:$AY$98,MATCH(Character_Spellcasting!BJ38,S10_Wizard!$AX$69:$AX$98,0),1),"")</f>
        <v/>
      </c>
      <c r="BQ38" s="1096"/>
      <c r="BR38" s="567"/>
      <c r="BS38" s="120"/>
      <c r="BT38" s="591">
        <v>32</v>
      </c>
      <c r="BU38" s="1061" t="str">
        <f>IFERROR(INDEX(S01_Bard!$BE$6:$BE$35,MATCH(Character_Spellcasting!BT38,S01_Bard!$BG$69:$BG$98,0),1),"")&amp;IFERROR(INDEX(S02_Cleric!$BE$6:$BE$35,MATCH(Character_Spellcasting!BT38,S02_Cleric!$BG$69:$BG$98,0),1),"")&amp;IFERROR(INDEX(S03_Druid!$BE$6:$BE$35,MATCH(Character_Spellcasting!BT38,S03_Druid!$BG$69:$BG$98,0),1),"")&amp;IFERROR(INDEX(S04_EldritchKnight!$BE$6:$BE$35,MATCH(Character_Spellcasting!BT38,S04_EldritchKnight!$BG$69:$BG$98,0),1),"")&amp;IFERROR(INDEX(S05_Paladin!$BE$6:$BE$35,MATCH(Character_Spellcasting!BT38,S05_Paladin!$BG$69:$BG$98,0),1),"")&amp;IFERROR(INDEX(S06_Ranger!$BE$6:$BE$35,MATCH(Character_Spellcasting!BT38,S06_Ranger!$BG$69:$BG$988,0),1),"")&amp;IFERROR(INDEX(S07_ArcaneTrickster!$BE$6:$BE$35,MATCH(Character_Spellcasting!BT38,S07_ArcaneTrickster!$BG$69:$BG$988,0),1),"")&amp;IFERROR(INDEX(S08_Sorcerer!$BE$6:$BE$35,MATCH(Character_Spellcasting!BT38,S08_Sorcerer!$BG$69:$BG$98,0),1),"")&amp;IFERROR(INDEX(S09_Warlock!$BE$6:$BE$35,MATCH(Character_Spellcasting!BT38,S09_Warlock!$BG$69:$BG$98,0),1),"")&amp;IFERROR(INDEX(S10_Wizard!$BE$6:$BE$35,MATCH(Character_Spellcasting!BT38,S10_Wizard!$BG$69:$BG$98,0),1),"")</f>
        <v/>
      </c>
      <c r="BV38" s="1061"/>
      <c r="BW38" s="1061"/>
      <c r="BX38" s="1061"/>
      <c r="BY38" s="1061"/>
      <c r="BZ38" s="1096" t="str">
        <f>IFERROR(INDEX(S01_Bard!$BH$69:$BH$98,MATCH(Character_Spellcasting!BT38,S01_Bard!$D$69:$D$98,0),1),"")&amp;IFERROR(INDEX(S02_Cleric!$BH$69:$BH$98,MATCH(Character_Spellcasting!BT38,S02_Cleric!$BG$69:$BG$98,0),1),"")&amp;IFERROR(INDEX(S03_Druid!$BH$69:$BH$98,MATCH(Character_Spellcasting!BT38,S03_Druid!$BG$69:$BG$98,0),1),"")&amp;IFERROR(INDEX(S04_EldritchKnight!$BH$69:$BH$98,MATCH(Character_Spellcasting!BT38,S04_EldritchKnight!$BG$69:$BG$98,0),1),"")&amp;IFERROR(INDEX(S05_Paladin!$BH$69:$BH$98,MATCH(Character_Spellcasting!BT38,S05_Paladin!$BG$69:$BG$98,0),1),"")&amp;IFERROR(INDEX(S06_Ranger!$BH$69:$BH$98,MATCH(Character_Spellcasting!BT38,S06_Ranger!$BG$69:$BG$988,0),1),"")&amp;IFERROR(INDEX(S07_ArcaneTrickster!$BH$69:$BH$98,MATCH(Character_Spellcasting!BT38,S07_ArcaneTrickster!$BG$69:$BG$988,0),1),"")&amp;IFERROR(INDEX(S08_Sorcerer!$BH$69:$BH$98,MATCH(Character_Spellcasting!BT38,S08_Sorcerer!$BG$69:$BG$98,0),1),"")&amp;IFERROR(INDEX(S09_Warlock!$BH$69:$BH$98,MATCH(Character_Spellcasting!BT38,S09_Warlock!$BG$69:$BG$98,0),1),"")&amp;IFERROR(INDEX(S10_Wizard!$BH$69:$BH$98,MATCH(Character_Spellcasting!BT38,S10_Wizard!$BG$69:$BG$98,0),1),"")</f>
        <v/>
      </c>
      <c r="CA38" s="1096"/>
      <c r="CB38" s="567"/>
      <c r="CC38" s="120"/>
      <c r="CD38" s="591">
        <v>32</v>
      </c>
      <c r="CE38" s="1061" t="str">
        <f>IFERROR(INDEX(S01_Bard!$BN$6:$BN$35,MATCH(Character_Spellcasting!CD38,S01_Bard!$BP$69:$BP$98,0),1),"")&amp;IFERROR(INDEX(S02_Cleric!$BN$6:$BN$35,MATCH(Character_Spellcasting!CD38,S02_Cleric!$BP$69:$BP$98,0),1),"")&amp;IFERROR(INDEX(S03_Druid!$BN$6:$BN$35,MATCH(Character_Spellcasting!CD38,S03_Druid!$BP$69:$BP$98,0),1),"")&amp;IFERROR(INDEX(S04_EldritchKnight!$BN$6:$BN$35,MATCH(Character_Spellcasting!CD38,S04_EldritchKnight!$BP$69:$BP$98,0),1),"")&amp;IFERROR(INDEX(S05_Paladin!$BN$6:$BN$35,MATCH(Character_Spellcasting!CD38,S05_Paladin!$BP$69:$BP$98,0),1),"")&amp;IFERROR(INDEX(S06_Ranger!$BN$6:$BN$35,MATCH(Character_Spellcasting!CD38,S06_Ranger!$BP$69:$BP$988,0),1),"")&amp;IFERROR(INDEX(S07_ArcaneTrickster!$BN$6:$BN$35,MATCH(Character_Spellcasting!CD38,S07_ArcaneTrickster!$BP$69:$BP$988,0),1),"")&amp;IFERROR(INDEX(S08_Sorcerer!$BN$6:$BN$35,MATCH(Character_Spellcasting!CD38,S08_Sorcerer!$BP$69:$BP$98,0),1),"")&amp;IFERROR(INDEX(S09_Warlock!$BN$6:$BN$35,MATCH(Character_Spellcasting!CD38,S09_Warlock!$BP$69:$BP$98,0),1),"")&amp;IFERROR(INDEX(S10_Wizard!$BN$6:$BN$35,MATCH(Character_Spellcasting!CD38,S10_Wizard!$BP$69:$BP$98,0),1),"")</f>
        <v/>
      </c>
      <c r="CF38" s="1061"/>
      <c r="CG38" s="1061"/>
      <c r="CH38" s="1061"/>
      <c r="CI38" s="1061"/>
      <c r="CJ38" s="1096" t="str">
        <f>IFERROR(INDEX(S01_Bard!$BQ$69:$BQ$98,MATCH(Character_Spellcasting!CD38,S01_Bard!$D$69:$D$98,0),1),"")&amp;IFERROR(INDEX(S02_Cleric!$BQ$69:$BQ$98,MATCH(Character_Spellcasting!CD38,S02_Cleric!$BP$69:$BP$98,0),1),"")&amp;IFERROR(INDEX(S03_Druid!$BQ$69:$BQ$98,MATCH(Character_Spellcasting!CD38,S03_Druid!$BP$69:$BP$98,0),1),"")&amp;IFERROR(INDEX(S04_EldritchKnight!$BQ$69:$BQ$98,MATCH(Character_Spellcasting!CD38,S04_EldritchKnight!$BP$69:$BP$98,0),1),"")&amp;IFERROR(INDEX(S05_Paladin!$BQ$69:$BQ$98,MATCH(Character_Spellcasting!CD38,S05_Paladin!$BP$69:$BP$98,0),1),"")&amp;IFERROR(INDEX(S06_Ranger!$BQ$69:$BQ$98,MATCH(Character_Spellcasting!CD38,S06_Ranger!$BP$69:$BP$988,0),1),"")&amp;IFERROR(INDEX(S07_ArcaneTrickster!$BQ$69:$BQ$98,MATCH(Character_Spellcasting!CD38,S07_ArcaneTrickster!$BP$69:$BP$988,0),1),"")&amp;IFERROR(INDEX(S08_Sorcerer!$BQ$69:$BQ$98,MATCH(Character_Spellcasting!CD38,S08_Sorcerer!$BP$69:$BP$98,0),1),"")&amp;IFERROR(INDEX(S09_Warlock!$BQ$69:$BQ$98,MATCH(Character_Spellcasting!CD38,S09_Warlock!$BP$69:$BP$98,0),1),"")&amp;IFERROR(INDEX(S10_Wizard!$BQ$69:$BQ$98,MATCH(Character_Spellcasting!CD38,S10_Wizard!$BP$69:$BP$98,0),1),"")</f>
        <v/>
      </c>
      <c r="CK38" s="1096"/>
      <c r="CL38" s="567"/>
      <c r="CM38" s="120"/>
      <c r="CN38" s="591">
        <v>32</v>
      </c>
      <c r="CO38" s="1061" t="str">
        <f>IFERROR(INDEX(S01_Bard!$BW$6:$BW$35,MATCH(Character_Spellcasting!CN38,S01_Bard!$BY$69:$BY$98,0),1),"")&amp;IFERROR(INDEX(S02_Cleric!$BW$6:$BW$35,MATCH(Character_Spellcasting!CN38,S02_Cleric!$BY$69:$BY$98,0),1),"")&amp;IFERROR(INDEX(S03_Druid!$BW$6:$BW$35,MATCH(Character_Spellcasting!CN38,S03_Druid!$BY$69:$BY$98,0),1),"")&amp;IFERROR(INDEX(S04_EldritchKnight!$BW$6:$BW$35,MATCH(Character_Spellcasting!CN38,S04_EldritchKnight!$BY$69:$BY$98,0),1),"")&amp;IFERROR(INDEX(S05_Paladin!$BW$6:$BW$35,MATCH(Character_Spellcasting!CN38,S05_Paladin!$BY$69:$BY$98,0),1),"")&amp;IFERROR(INDEX(S06_Ranger!$BW$6:$BW$35,MATCH(Character_Spellcasting!CN38,S06_Ranger!$BY$69:$BY$988,0),1),"")&amp;IFERROR(INDEX(S07_ArcaneTrickster!$BW$6:$BW$35,MATCH(Character_Spellcasting!CN38,S07_ArcaneTrickster!$BY$69:$BY$988,0),1),"")&amp;IFERROR(INDEX(S08_Sorcerer!$BW$6:$BW$35,MATCH(Character_Spellcasting!CN38,S08_Sorcerer!$BY$69:$BY$98,0),1),"")&amp;IFERROR(INDEX(S09_Warlock!$BW$6:$BW$35,MATCH(Character_Spellcasting!CN38,S09_Warlock!$BY$69:$BY$98,0),1),"")&amp;IFERROR(INDEX(S10_Wizard!$BW$6:$BW$35,MATCH(Character_Spellcasting!CN38,S10_Wizard!$BY$69:$BY$98,0),1),"")</f>
        <v/>
      </c>
      <c r="CP38" s="1061"/>
      <c r="CQ38" s="1061"/>
      <c r="CR38" s="1061"/>
      <c r="CS38" s="1061"/>
      <c r="CT38" s="1096" t="str">
        <f>IFERROR(INDEX(S01_Bard!$BZ$69:$BZ$98,MATCH(Character_Spellcasting!CN38,S01_Bard!$D$69:$D$98,0),1),"")&amp;IFERROR(INDEX(S02_Cleric!$BZ$69:$BZ$98,MATCH(Character_Spellcasting!CN38,S02_Cleric!$BY$69:$BY$98,0),1),"")&amp;IFERROR(INDEX(S03_Druid!$BZ$69:$BZ$98,MATCH(Character_Spellcasting!CN38,S03_Druid!$BY$69:$BY$98,0),1),"")&amp;IFERROR(INDEX(S04_EldritchKnight!$BZ$69:$BZ$98,MATCH(Character_Spellcasting!CN38,S04_EldritchKnight!$BY$69:$BY$98,0),1),"")&amp;IFERROR(INDEX(S05_Paladin!$BZ$69:$BZ$98,MATCH(Character_Spellcasting!CN38,S05_Paladin!$BY$69:$BY$98,0),1),"")&amp;IFERROR(INDEX(S06_Ranger!$BZ$69:$BZ$98,MATCH(Character_Spellcasting!CN38,S06_Ranger!$BY$69:$BY$988,0),1),"")&amp;IFERROR(INDEX(S07_ArcaneTrickster!$BZ$69:$BZ$98,MATCH(Character_Spellcasting!CN38,S07_ArcaneTrickster!$BY$69:$BY$988,0),1),"")&amp;IFERROR(INDEX(S08_Sorcerer!$BZ$69:$BZ$98,MATCH(Character_Spellcasting!CN38,S08_Sorcerer!$BY$69:$BY$98,0),1),"")&amp;IFERROR(INDEX(S09_Warlock!$BZ$69:$BZ$98,MATCH(Character_Spellcasting!CN38,S09_Warlock!$BY$69:$BY$98,0),1),"")&amp;IFERROR(INDEX(S10_Wizard!$BZ$69:$BZ$98,MATCH(Character_Spellcasting!CN38,S10_Wizard!$BY$69:$BY$98,0),1),"")</f>
        <v/>
      </c>
      <c r="CU38" s="1096"/>
      <c r="CV38" s="567"/>
      <c r="CW38" s="565"/>
      <c r="CX38" s="565"/>
      <c r="CY38" s="565"/>
      <c r="CZ38" s="565"/>
      <c r="DA38" s="610">
        <v>32</v>
      </c>
      <c r="DB38" s="1061" t="str">
        <f t="shared" si="0"/>
        <v/>
      </c>
      <c r="DC38" s="1061"/>
      <c r="DD38" s="1061"/>
      <c r="DE38" s="1061"/>
      <c r="DF38" s="1061"/>
      <c r="DG38" s="1096" t="str">
        <f t="shared" si="1"/>
        <v/>
      </c>
      <c r="DH38" s="1096"/>
      <c r="DI38" s="565"/>
      <c r="DJ38" s="565"/>
      <c r="DK38" s="565"/>
      <c r="DL38" s="565"/>
      <c r="DM38" s="565"/>
      <c r="DN38" s="565"/>
      <c r="DO38" s="565"/>
      <c r="DP38" s="565"/>
      <c r="DQ38" s="565"/>
      <c r="DR38" s="565"/>
      <c r="DS38" s="565"/>
      <c r="DT38" s="565"/>
      <c r="DU38" s="565"/>
      <c r="DV38" s="565"/>
    </row>
    <row r="39" spans="1:126" ht="21" x14ac:dyDescent="0.25">
      <c r="A39" s="120"/>
      <c r="B39" s="610">
        <v>33</v>
      </c>
      <c r="C39" s="1061"/>
      <c r="D39" s="1061"/>
      <c r="E39" s="1061"/>
      <c r="F39" s="1061"/>
      <c r="G39" s="1061"/>
      <c r="H39" s="1096"/>
      <c r="I39" s="1096"/>
      <c r="J39" s="120"/>
      <c r="K39" s="120"/>
      <c r="L39" s="591">
        <v>33</v>
      </c>
      <c r="M39" s="1061" t="str">
        <f>IFERROR(INDEX(S01_Bard!$C$6:$C$35,MATCH(Character_Spellcasting!L39,S01_Bard!$E$69:$E$98,0),1),"")&amp;IFERROR(INDEX(S02_Cleric!$C$6:$C$35,MATCH(Character_Spellcasting!L39,S02_Cleric!$E$69:$E$98,0),1),"")&amp;IFERROR(INDEX(S03_Druid!$C$6:$C$35,MATCH(Character_Spellcasting!L39,S03_Druid!$E$69:$E$98,0),1),"")&amp;IFERROR(INDEX(S04_EldritchKnight!$C$6:$C$35,MATCH(Character_Spellcasting!L39,S04_EldritchKnight!$E$69:$E$98,0),1),"")&amp;IFERROR(INDEX(S05_Paladin!$C$6:$C$35,MATCH(Character_Spellcasting!L39,S05_Paladin!$E$69:$E$98,0),1),"")&amp;IFERROR(INDEX(S06_Ranger!$C$6:$C$35,MATCH(Character_Spellcasting!L39,S06_Ranger!$E$69:$E$988,0),1),"")&amp;IFERROR(INDEX(S07_ArcaneTrickster!$C$6:$C$35,MATCH(Character_Spellcasting!L39,S07_ArcaneTrickster!$E$69:$E$988,0),1),"")&amp;IFERROR(INDEX(S08_Sorcerer!$C$6:$C$35,MATCH(Character_Spellcasting!L39,S08_Sorcerer!$E$69:$E$98,0),1),"")&amp;IFERROR(INDEX(S09_Warlock!$C$6:$C$35,MATCH(Character_Spellcasting!L39,S09_Warlock!$E$69:$E$98,0),1),"")&amp;IFERROR(INDEX(S10_Wizard!$C$6:$C$35,MATCH(Character_Spellcasting!L39,S10_Wizard!$E$69:$E$98,0),1),"")</f>
        <v/>
      </c>
      <c r="N39" s="1061"/>
      <c r="O39" s="1061"/>
      <c r="P39" s="1061"/>
      <c r="Q39" s="1061"/>
      <c r="R39" s="1096" t="str">
        <f>IFERROR(INDEX(S01_Bard!$F$69:$F$98,MATCH(Character_Spellcasting!L39,S01_Bard!$D$69:$D$98,0),1),"")&amp;IFERROR(INDEX(S02_Cleric!$F$69:$F$98,MATCH(Character_Spellcasting!L39,S02_Cleric!$E$69:$E$98,0),1),"")&amp;IFERROR(INDEX(S03_Druid!$F$69:$F$98,MATCH(Character_Spellcasting!L39,S03_Druid!$E$69:$E$98,0),1),"")&amp;IFERROR(INDEX(S04_EldritchKnight!$F$69:$F$98,MATCH(Character_Spellcasting!L39,S04_EldritchKnight!$E$69:$E$98,0),1),"")&amp;IFERROR(INDEX(S05_Paladin!$F$69:$F$98,MATCH(Character_Spellcasting!L39,S05_Paladin!$E$69:$E$98,0),1),"")&amp;IFERROR(INDEX(S06_Ranger!$F$69:$F$98,MATCH(Character_Spellcasting!L39,S06_Ranger!$E$69:$E$988,0),1),"")&amp;IFERROR(INDEX(S07_ArcaneTrickster!$F$69:$F$98,MATCH(Character_Spellcasting!L39,S07_ArcaneTrickster!$E$69:$E$988,0),1),"")&amp;IFERROR(INDEX(S08_Sorcerer!$F$69:$F$98,MATCH(Character_Spellcasting!L39,S08_Sorcerer!$E$69:$E$98,0),1),"")&amp;IFERROR(INDEX(S09_Warlock!$F$69:$F$98,MATCH(Character_Spellcasting!L39,S09_Warlock!$E$69:$E$98,0),1),"")&amp;IFERROR(INDEX(S10_Wizard!$F$69:$F$98,MATCH(Character_Spellcasting!L39,S10_Wizard!$E$69:$E$98,0),1),"")</f>
        <v/>
      </c>
      <c r="S39" s="1096"/>
      <c r="T39" s="567"/>
      <c r="U39" s="565"/>
      <c r="V39" s="591">
        <v>33</v>
      </c>
      <c r="W39" s="1061" t="str">
        <f>IFERROR(INDEX(S01_Bard!$L$6:$L$35,MATCH(Character_Spellcasting!V39,S01_Bard!$N$69:$N$98,0),1),"")&amp;IFERROR(INDEX(S02_Cleric!$L$6:$L$35,MATCH(Character_Spellcasting!V39,S02_Cleric!$N$69:$N$98,0),1),"")&amp;IFERROR(INDEX(S03_Druid!$L$6:$L$35,MATCH(Character_Spellcasting!V39,S03_Druid!$N$69:$N$98,0),1),"")&amp;IFERROR(INDEX(S04_EldritchKnight!$L$6:$L$35,MATCH(Character_Spellcasting!V39,S04_EldritchKnight!$N$69:$N$98,0),1),"")&amp;IFERROR(INDEX(S05_Paladin!$L$6:$L$35,MATCH(Character_Spellcasting!V39,S05_Paladin!$N$69:$N$98,0),1),"")&amp;IFERROR(INDEX(S06_Ranger!$L$6:$L$35,MATCH(Character_Spellcasting!V39,S06_Ranger!$N$69:$N$988,0),1),"")&amp;IFERROR(INDEX(S07_ArcaneTrickster!$L$6:$L$35,MATCH(Character_Spellcasting!V39,S07_ArcaneTrickster!$N$69:$N$988,0),1),"")&amp;IFERROR(INDEX(S08_Sorcerer!$L$6:$L$35,MATCH(Character_Spellcasting!V39,S08_Sorcerer!$N$69:$N$98,0),1),"")&amp;IFERROR(INDEX(S09_Warlock!$L$6:$L$35,MATCH(Character_Spellcasting!V39,S09_Warlock!$N$69:$N$98,0),1),"")&amp;IFERROR(INDEX(S10_Wizard!$L$6:$L$35,MATCH(Character_Spellcasting!V39,S10_Wizard!$N$69:$N$98,0),1),"")</f>
        <v/>
      </c>
      <c r="X39" s="1061"/>
      <c r="Y39" s="1061"/>
      <c r="Z39" s="1061"/>
      <c r="AA39" s="1061"/>
      <c r="AB39" s="1097" t="str">
        <f>IFERROR(INDEX(S01_Bard!$O$69:$O$98,MATCH(Character_Spellcasting!V39,S01_Bard!$N$69:$N$98,0),1),"")&amp;IFERROR(INDEX(S02_Cleric!$O$69:$O$98,MATCH(Character_Spellcasting!V39,S02_Cleric!$N$69:$N$98,0),1),"")&amp;IFERROR(INDEX(S03_Druid!$O$69:$O$98,MATCH(Character_Spellcasting!V39,S03_Druid!$N$69:$N$98,0),1),"")&amp;IFERROR(INDEX(S04_EldritchKnight!$O$69:$O$98,MATCH(Character_Spellcasting!V39,S04_EldritchKnight!$N$69:$N$98,0),1),"")&amp;IFERROR(INDEX(S05_Paladin!$O$69:$O$98,MATCH(Character_Spellcasting!V39,S05_Paladin!$N$69:$N$98,0),1),"")&amp;IFERROR(INDEX(S06_Ranger!$O$69:$O$98,MATCH(Character_Spellcasting!V39,S06_Ranger!$N$69:$N$988,0),1),"")&amp;IFERROR(INDEX(S07_ArcaneTrickster!$O$69:$O$98,MATCH(Character_Spellcasting!V39,S07_ArcaneTrickster!$N$69:$N$988,0),1),"")&amp;IFERROR(INDEX(S08_Sorcerer!$O$69:$O$98,MATCH(Character_Spellcasting!V39,S08_Sorcerer!$N$69:$N$98,0),1),"")&amp;IFERROR(INDEX(S09_Warlock!$O$69:$O$98,MATCH(Character_Spellcasting!V39,S09_Warlock!$N$69:$N$98,0),1),"")&amp;IFERROR(INDEX(S10_Wizard!$O$69:$O$98,MATCH(Character_Spellcasting!V39,S10_Wizard!$N$69:$N$98,0),1),"")</f>
        <v/>
      </c>
      <c r="AC39" s="1098"/>
      <c r="AD39" s="567"/>
      <c r="AE39" s="565"/>
      <c r="AF39" s="609">
        <v>33</v>
      </c>
      <c r="AG39" s="1061" t="str">
        <f>IFERROR(INDEX(S01_Bard!$U$6:$U$35,MATCH(Character_Spellcasting!AF39,S01_Bard!$W$69:$W$98,0),1),"")&amp;IFERROR(INDEX(S02_Cleric!$U$6:$U$35,MATCH(Character_Spellcasting!AF39,S02_Cleric!$W$69:$W$98,0),1),"")&amp;IFERROR(INDEX(S03_Druid!$U$6:$U$35,MATCH(Character_Spellcasting!AF39,S03_Druid!$W$69:$W$98,0),1),"")&amp;IFERROR(INDEX(S04_EldritchKnight!$U$6:$U$35,MATCH(Character_Spellcasting!AF39,S04_EldritchKnight!$W$69:$W$98,0),1),"")&amp;IFERROR(INDEX(S05_Paladin!$U$6:$U$35,MATCH(Character_Spellcasting!AF39,S05_Paladin!$W$69:$W$98,0),1),"")&amp;IFERROR(INDEX(S06_Ranger!$U$6:$U$35,MATCH(Character_Spellcasting!AF39,S06_Ranger!$W$69:$W$988,0),1),"")&amp;IFERROR(INDEX(S07_ArcaneTrickster!$U$6:$U$35,MATCH(Character_Spellcasting!AF39,S07_ArcaneTrickster!$W$69:$W$988,0),1),"")&amp;IFERROR(INDEX(S08_Sorcerer!$U$6:$U$35,MATCH(Character_Spellcasting!AF39,S08_Sorcerer!$W$69:$W$98,0),1),"")&amp;IFERROR(INDEX(S09_Warlock!$U$6:$U$35,MATCH(Character_Spellcasting!AF39,S09_Warlock!$W$69:$W$98,0),1),"")&amp;IFERROR(INDEX(S10_Wizard!$U$6:$U$35,MATCH(Character_Spellcasting!AF39,S10_Wizard!$W$69:$W$98,0),1),"")</f>
        <v/>
      </c>
      <c r="AH39" s="1061"/>
      <c r="AI39" s="1061"/>
      <c r="AJ39" s="1061"/>
      <c r="AK39" s="1061"/>
      <c r="AL39" s="1097" t="str">
        <f>IFERROR(INDEX(S01_Bard!$X$69:$X$98,MATCH(Character_Spellcasting!AF39,S01_Bard!$W$69:$W$98,0),1),"")&amp;IFERROR(INDEX(S02_Cleric!$X$69:$X$98,MATCH(Character_Spellcasting!AF39,S02_Cleric!$W$69:$W$98,0),1),"")&amp;IFERROR(INDEX(S03_Druid!$X$69:$X$98,MATCH(Character_Spellcasting!AF39,S03_Druid!$W$69:$W$98,0),1),"")&amp;IFERROR(INDEX(S04_EldritchKnight!$X$69:$X$98,MATCH(Character_Spellcasting!AF39,S04_EldritchKnight!$W$69:$W$98,0),1),"")&amp;IFERROR(INDEX(S05_Paladin!$X$69:$X$98,MATCH(Character_Spellcasting!AF39,S05_Paladin!$W$69:$W$98,0),1),"")&amp;IFERROR(INDEX(S06_Ranger!$X$69:$X$98,MATCH(Character_Spellcasting!AF39,S06_Ranger!$W$69:$W$988,0),1),"")&amp;IFERROR(INDEX(S07_ArcaneTrickster!$X$69:$X$98,MATCH(Character_Spellcasting!AF39,S07_ArcaneTrickster!$W$69:$W$988,0),1),"")&amp;IFERROR(INDEX(S08_Sorcerer!$X$69:$X$98,MATCH(Character_Spellcasting!AF39,S08_Sorcerer!$W$69:$W$98,0),1),"")&amp;IFERROR(INDEX(S09_Warlock!$X$69:$X$98,MATCH(Character_Spellcasting!AF39,S09_Warlock!$W$69:$W$98,0),1),"")&amp;IFERROR(INDEX(S10_Wizard!$X$69:$X$98,MATCH(Character_Spellcasting!AF39,S10_Wizard!$W$69:$W$98,0),1),"")</f>
        <v/>
      </c>
      <c r="AM39" s="1098"/>
      <c r="AN39" s="567"/>
      <c r="AO39" s="565"/>
      <c r="AP39" s="591">
        <v>33</v>
      </c>
      <c r="AQ39" s="1061" t="str">
        <f>IFERROR(INDEX(S01_Bard!$AD$6:$AD$35,MATCH(Character_Spellcasting!AP39,S01_Bard!$AF$69:$AF$98,0),1),"")&amp;IFERROR(INDEX(S02_Cleric!$AD$6:$AD$35,MATCH(Character_Spellcasting!AP39,S02_Cleric!$AF$69:$AF$98,0),1),"")&amp;IFERROR(INDEX(S03_Druid!$AD$6:$AD$35,MATCH(Character_Spellcasting!AP39,S03_Druid!$AF$69:$AF$98,0),1),"")&amp;IFERROR(INDEX(S04_EldritchKnight!$AD$6:$AD$35,MATCH(Character_Spellcasting!AP39,S04_EldritchKnight!$AF$69:$AF$98,0),1),"")&amp;IFERROR(INDEX(S05_Paladin!$AD$6:$AD$35,MATCH(Character_Spellcasting!AP39,S05_Paladin!$AF$69:$AF$98,0),1),"")&amp;IFERROR(INDEX(S06_Ranger!$AD$6:$AD$35,MATCH(Character_Spellcasting!AP39,S06_Ranger!$AF$69:$AF$988,0),1),"")&amp;IFERROR(INDEX(S07_ArcaneTrickster!$AD$6:$AD$35,MATCH(Character_Spellcasting!AP39,S07_ArcaneTrickster!$AF$69:$AF$988,0),1),"")&amp;IFERROR(INDEX(S08_Sorcerer!$AD$6:$AD$35,MATCH(Character_Spellcasting!AP39,S08_Sorcerer!$AF$69:$AF$98,0),1),"")&amp;IFERROR(INDEX(S09_Warlock!$AD$6:$AD$35,MATCH(Character_Spellcasting!AP39,S09_Warlock!$AF$69:$AF$98,0),1),"")&amp;IFERROR(INDEX(S10_Wizard!$AD$6:$AD$35,MATCH(Character_Spellcasting!AP39,S10_Wizard!$AF$69:$AF$98,0),1),"")</f>
        <v/>
      </c>
      <c r="AR39" s="1061"/>
      <c r="AS39" s="1061"/>
      <c r="AT39" s="1061"/>
      <c r="AU39" s="1061"/>
      <c r="AV39" s="1096" t="str">
        <f>IFERROR(INDEX(S01_Bard!$AG$69:$AG$98,MATCH(Character_Spellcasting!AP39,S01_Bard!$D$69:$D$98,0),1),"")&amp;IFERROR(INDEX(S02_Cleric!$AG$69:$AG$98,MATCH(Character_Spellcasting!AP39,S02_Cleric!$AF$69:$AF$98,0),1),"")&amp;IFERROR(INDEX(S03_Druid!$AG$69:$AG$98,MATCH(Character_Spellcasting!AP39,S03_Druid!$AF$69:$AF$98,0),1),"")&amp;IFERROR(INDEX(S04_EldritchKnight!$AG$69:$AG$98,MATCH(Character_Spellcasting!AP39,S04_EldritchKnight!$AF$69:$AF$98,0),1),"")&amp;IFERROR(INDEX(S05_Paladin!$AG$69:$AG$98,MATCH(Character_Spellcasting!AP39,S05_Paladin!$AF$69:$AF$98,0),1),"")&amp;IFERROR(INDEX(S06_Ranger!$AG$69:$AG$98,MATCH(Character_Spellcasting!AP39,S06_Ranger!$AF$69:$AF$988,0),1),"")&amp;IFERROR(INDEX(S07_ArcaneTrickster!$AG$69:$AG$98,MATCH(Character_Spellcasting!AP39,S07_ArcaneTrickster!$AF$69:$AF$988,0),1),"")&amp;IFERROR(INDEX(S08_Sorcerer!$AG$69:$AG$98,MATCH(Character_Spellcasting!AP39,S08_Sorcerer!$AF$69:$AF$98,0),1),"")&amp;IFERROR(INDEX(S09_Warlock!$AG$69:$AG$98,MATCH(Character_Spellcasting!AP39,S09_Warlock!$AF$69:$AF$98,0),1),"")&amp;IFERROR(INDEX(S10_Wizard!$AG$69:$AG$98,MATCH(Character_Spellcasting!AP39,S10_Wizard!$AF$69:$AF$98,0),1),"")</f>
        <v/>
      </c>
      <c r="AW39" s="1096"/>
      <c r="AX39" s="567"/>
      <c r="AY39" s="565"/>
      <c r="AZ39" s="591">
        <v>33</v>
      </c>
      <c r="BA39" s="1061" t="str">
        <f>IFERROR(INDEX(S01_Bard!$AM$6:$AM$35,MATCH(Character_Spellcasting!AZ39,S01_Bard!$AO$69:$AO$98,0),1),"")&amp;IFERROR(INDEX(S02_Cleric!$AM$6:$AM$35,MATCH(Character_Spellcasting!AZ39,S02_Cleric!$AO$69:$AO$98,0),1),"")&amp;IFERROR(INDEX(S03_Druid!$AM$6:$AM$35,MATCH(Character_Spellcasting!AZ39,S03_Druid!$AO$69:$AO$98,0),1),"")&amp;IFERROR(INDEX(S04_EldritchKnight!$AM$6:$AM$35,MATCH(Character_Spellcasting!AZ39,S04_EldritchKnight!$AO$69:$AO$98,0),1),"")&amp;IFERROR(INDEX(S05_Paladin!$AM$6:$AM$35,MATCH(Character_Spellcasting!AZ39,S05_Paladin!$AO$69:$AO$98,0),1),"")&amp;IFERROR(INDEX(S06_Ranger!$AM$6:$AM$35,MATCH(Character_Spellcasting!AZ39,S06_Ranger!$AO$69:$AO$988,0),1),"")&amp;IFERROR(INDEX(S07_ArcaneTrickster!$AM$6:$AM$35,MATCH(Character_Spellcasting!AZ39,S07_ArcaneTrickster!$AO$69:$AO$988,0),1),"")&amp;IFERROR(INDEX(S08_Sorcerer!$AM$6:$AM$35,MATCH(Character_Spellcasting!AZ39,S08_Sorcerer!$AO$69:$AO$98,0),1),"")&amp;IFERROR(INDEX(S09_Warlock!$AM$6:$AM$35,MATCH(Character_Spellcasting!AZ39,S09_Warlock!$AO$69:$AO$98,0),1),"")&amp;IFERROR(INDEX(S10_Wizard!$AM$6:$AM$35,MATCH(Character_Spellcasting!AZ39,S10_Wizard!$AO$69:$AO$98,0),1),"")</f>
        <v/>
      </c>
      <c r="BB39" s="1061"/>
      <c r="BC39" s="1061"/>
      <c r="BD39" s="1061"/>
      <c r="BE39" s="1061"/>
      <c r="BF39" s="1096" t="str">
        <f>IFERROR(INDEX(S01_Bard!$AP$69:$AP$98,MATCH(Character_Spellcasting!AZ39,S01_Bard!$D$69:$D$98,0),1),"")&amp;IFERROR(INDEX(S02_Cleric!$AP$69:$AP$98,MATCH(Character_Spellcasting!AZ39,S02_Cleric!$AO$69:$AO$98,0),1),"")&amp;IFERROR(INDEX(S03_Druid!$AP$69:$AP$98,MATCH(Character_Spellcasting!AZ39,S03_Druid!$AO$69:$AO$98,0),1),"")&amp;IFERROR(INDEX(S04_EldritchKnight!$AP$69:$AP$98,MATCH(Character_Spellcasting!AZ39,S04_EldritchKnight!$AO$69:$AO$98,0),1),"")&amp;IFERROR(INDEX(S05_Paladin!$AP$69:$AP$98,MATCH(Character_Spellcasting!AZ39,S05_Paladin!$AO$69:$AO$98,0),1),"")&amp;IFERROR(INDEX(S06_Ranger!$AP$69:$AP$98,MATCH(Character_Spellcasting!AZ39,S06_Ranger!$AO$69:$AO$988,0),1),"")&amp;IFERROR(INDEX(S07_ArcaneTrickster!$AP$69:$AP$98,MATCH(Character_Spellcasting!AZ39,S07_ArcaneTrickster!$AO$69:$AO$988,0),1),"")&amp;IFERROR(INDEX(S08_Sorcerer!$AP$69:$AP$98,MATCH(Character_Spellcasting!AZ39,S08_Sorcerer!$AO$69:$AO$98,0),1),"")&amp;IFERROR(INDEX(S09_Warlock!$AP$69:$AP$98,MATCH(Character_Spellcasting!AZ39,S09_Warlock!$AO$69:$AO$98,0),1),"")&amp;IFERROR(INDEX(S10_Wizard!$AP$69:$AP$98,MATCH(Character_Spellcasting!AZ39,S10_Wizard!$AO$69:$AO$98,0),1),"")</f>
        <v/>
      </c>
      <c r="BG39" s="1096"/>
      <c r="BH39" s="567"/>
      <c r="BI39" s="120"/>
      <c r="BJ39" s="591">
        <v>33</v>
      </c>
      <c r="BK39" s="1061" t="str">
        <f>IFERROR(INDEX(S01_Bard!$AV$6:$AV$35,MATCH(Character_Spellcasting!BJ39,S01_Bard!$AX$69:$AX$98,0),1),"")&amp;IFERROR(INDEX(S02_Cleric!$AV$6:$AV$35,MATCH(Character_Spellcasting!BJ39,S02_Cleric!$AX$69:$AX$98,0),1),"")&amp;IFERROR(INDEX(S03_Druid!$AV$6:$AV$35,MATCH(Character_Spellcasting!BJ39,S03_Druid!$AX$69:$AX$98,0),1),"")&amp;IFERROR(INDEX(S04_EldritchKnight!$AV$6:$AV$35,MATCH(Character_Spellcasting!BJ39,S04_EldritchKnight!$AX$69:$AX$98,0),1),"")&amp;IFERROR(INDEX(S05_Paladin!$AV$6:$AV$35,MATCH(Character_Spellcasting!BJ39,S05_Paladin!$AX$69:$AX$98,0),1),"")&amp;IFERROR(INDEX(S06_Ranger!$AV$6:$AV$35,MATCH(Character_Spellcasting!BJ39,S06_Ranger!$AX$69:$AX$988,0),1),"")&amp;IFERROR(INDEX(S07_ArcaneTrickster!$AV$6:$AV$35,MATCH(Character_Spellcasting!BJ39,S07_ArcaneTrickster!$AX$69:$AX$988,0),1),"")&amp;IFERROR(INDEX(S08_Sorcerer!$AV$6:$AV$35,MATCH(Character_Spellcasting!BJ39,S08_Sorcerer!$AX$69:$AX$98,0),1),"")&amp;IFERROR(INDEX(S09_Warlock!$AV$6:$AV$35,MATCH(Character_Spellcasting!BJ39,S09_Warlock!$AX$69:$AX$98,0),1),"")&amp;IFERROR(INDEX(S10_Wizard!$AV$6:$AV$35,MATCH(Character_Spellcasting!BJ39,S10_Wizard!$AX$69:$AX$98,0),1),"")</f>
        <v/>
      </c>
      <c r="BL39" s="1061"/>
      <c r="BM39" s="1061"/>
      <c r="BN39" s="1061"/>
      <c r="BO39" s="1061"/>
      <c r="BP39" s="1096" t="str">
        <f>IFERROR(INDEX(S01_Bard!$AY$69:$AY$98,MATCH(Character_Spellcasting!BJ39,S01_Bard!$D$69:$D$98,0),1),"")&amp;IFERROR(INDEX(S02_Cleric!$AY$69:$AY$98,MATCH(Character_Spellcasting!BJ39,S02_Cleric!$AX$69:$AX$98,0),1),"")&amp;IFERROR(INDEX(S03_Druid!$AY$69:$AY$98,MATCH(Character_Spellcasting!BJ39,S03_Druid!$AX$69:$AX$98,0),1),"")&amp;IFERROR(INDEX(S04_EldritchKnight!$AY$69:$AY$98,MATCH(Character_Spellcasting!BJ39,S04_EldritchKnight!$AX$69:$AX$98,0),1),"")&amp;IFERROR(INDEX(S05_Paladin!$AY$69:$AY$98,MATCH(Character_Spellcasting!BJ39,S05_Paladin!$AX$69:$AX$98,0),1),"")&amp;IFERROR(INDEX(S06_Ranger!$AY$69:$AY$98,MATCH(Character_Spellcasting!BJ39,S06_Ranger!$AX$69:$AX$988,0),1),"")&amp;IFERROR(INDEX(S07_ArcaneTrickster!$AY$69:$AY$98,MATCH(Character_Spellcasting!BJ39,S07_ArcaneTrickster!$AX$69:$AX$988,0),1),"")&amp;IFERROR(INDEX(S08_Sorcerer!$AY$69:$AY$98,MATCH(Character_Spellcasting!BJ39,S08_Sorcerer!$AX$69:$AX$98,0),1),"")&amp;IFERROR(INDEX(S09_Warlock!$AY$69:$AY$98,MATCH(Character_Spellcasting!BJ39,S09_Warlock!$AX$69:$AX$98,0),1),"")&amp;IFERROR(INDEX(S10_Wizard!$AY$69:$AY$98,MATCH(Character_Spellcasting!BJ39,S10_Wizard!$AX$69:$AX$98,0),1),"")</f>
        <v/>
      </c>
      <c r="BQ39" s="1096"/>
      <c r="BR39" s="567"/>
      <c r="BS39" s="120"/>
      <c r="BT39" s="591">
        <v>33</v>
      </c>
      <c r="BU39" s="1061" t="str">
        <f>IFERROR(INDEX(S01_Bard!$BE$6:$BE$35,MATCH(Character_Spellcasting!BT39,S01_Bard!$BG$69:$BG$98,0),1),"")&amp;IFERROR(INDEX(S02_Cleric!$BE$6:$BE$35,MATCH(Character_Spellcasting!BT39,S02_Cleric!$BG$69:$BG$98,0),1),"")&amp;IFERROR(INDEX(S03_Druid!$BE$6:$BE$35,MATCH(Character_Spellcasting!BT39,S03_Druid!$BG$69:$BG$98,0),1),"")&amp;IFERROR(INDEX(S04_EldritchKnight!$BE$6:$BE$35,MATCH(Character_Spellcasting!BT39,S04_EldritchKnight!$BG$69:$BG$98,0),1),"")&amp;IFERROR(INDEX(S05_Paladin!$BE$6:$BE$35,MATCH(Character_Spellcasting!BT39,S05_Paladin!$BG$69:$BG$98,0),1),"")&amp;IFERROR(INDEX(S06_Ranger!$BE$6:$BE$35,MATCH(Character_Spellcasting!BT39,S06_Ranger!$BG$69:$BG$988,0),1),"")&amp;IFERROR(INDEX(S07_ArcaneTrickster!$BE$6:$BE$35,MATCH(Character_Spellcasting!BT39,S07_ArcaneTrickster!$BG$69:$BG$988,0),1),"")&amp;IFERROR(INDEX(S08_Sorcerer!$BE$6:$BE$35,MATCH(Character_Spellcasting!BT39,S08_Sorcerer!$BG$69:$BG$98,0),1),"")&amp;IFERROR(INDEX(S09_Warlock!$BE$6:$BE$35,MATCH(Character_Spellcasting!BT39,S09_Warlock!$BG$69:$BG$98,0),1),"")&amp;IFERROR(INDEX(S10_Wizard!$BE$6:$BE$35,MATCH(Character_Spellcasting!BT39,S10_Wizard!$BG$69:$BG$98,0),1),"")</f>
        <v/>
      </c>
      <c r="BV39" s="1061"/>
      <c r="BW39" s="1061"/>
      <c r="BX39" s="1061"/>
      <c r="BY39" s="1061"/>
      <c r="BZ39" s="1096" t="str">
        <f>IFERROR(INDEX(S01_Bard!$BH$69:$BH$98,MATCH(Character_Spellcasting!BT39,S01_Bard!$D$69:$D$98,0),1),"")&amp;IFERROR(INDEX(S02_Cleric!$BH$69:$BH$98,MATCH(Character_Spellcasting!BT39,S02_Cleric!$BG$69:$BG$98,0),1),"")&amp;IFERROR(INDEX(S03_Druid!$BH$69:$BH$98,MATCH(Character_Spellcasting!BT39,S03_Druid!$BG$69:$BG$98,0),1),"")&amp;IFERROR(INDEX(S04_EldritchKnight!$BH$69:$BH$98,MATCH(Character_Spellcasting!BT39,S04_EldritchKnight!$BG$69:$BG$98,0),1),"")&amp;IFERROR(INDEX(S05_Paladin!$BH$69:$BH$98,MATCH(Character_Spellcasting!BT39,S05_Paladin!$BG$69:$BG$98,0),1),"")&amp;IFERROR(INDEX(S06_Ranger!$BH$69:$BH$98,MATCH(Character_Spellcasting!BT39,S06_Ranger!$BG$69:$BG$988,0),1),"")&amp;IFERROR(INDEX(S07_ArcaneTrickster!$BH$69:$BH$98,MATCH(Character_Spellcasting!BT39,S07_ArcaneTrickster!$BG$69:$BG$988,0),1),"")&amp;IFERROR(INDEX(S08_Sorcerer!$BH$69:$BH$98,MATCH(Character_Spellcasting!BT39,S08_Sorcerer!$BG$69:$BG$98,0),1),"")&amp;IFERROR(INDEX(S09_Warlock!$BH$69:$BH$98,MATCH(Character_Spellcasting!BT39,S09_Warlock!$BG$69:$BG$98,0),1),"")&amp;IFERROR(INDEX(S10_Wizard!$BH$69:$BH$98,MATCH(Character_Spellcasting!BT39,S10_Wizard!$BG$69:$BG$98,0),1),"")</f>
        <v/>
      </c>
      <c r="CA39" s="1096"/>
      <c r="CB39" s="567"/>
      <c r="CC39" s="120"/>
      <c r="CD39" s="591">
        <v>33</v>
      </c>
      <c r="CE39" s="1061" t="str">
        <f>IFERROR(INDEX(S01_Bard!$BN$6:$BN$35,MATCH(Character_Spellcasting!CD39,S01_Bard!$BP$69:$BP$98,0),1),"")&amp;IFERROR(INDEX(S02_Cleric!$BN$6:$BN$35,MATCH(Character_Spellcasting!CD39,S02_Cleric!$BP$69:$BP$98,0),1),"")&amp;IFERROR(INDEX(S03_Druid!$BN$6:$BN$35,MATCH(Character_Spellcasting!CD39,S03_Druid!$BP$69:$BP$98,0),1),"")&amp;IFERROR(INDEX(S04_EldritchKnight!$BN$6:$BN$35,MATCH(Character_Spellcasting!CD39,S04_EldritchKnight!$BP$69:$BP$98,0),1),"")&amp;IFERROR(INDEX(S05_Paladin!$BN$6:$BN$35,MATCH(Character_Spellcasting!CD39,S05_Paladin!$BP$69:$BP$98,0),1),"")&amp;IFERROR(INDEX(S06_Ranger!$BN$6:$BN$35,MATCH(Character_Spellcasting!CD39,S06_Ranger!$BP$69:$BP$988,0),1),"")&amp;IFERROR(INDEX(S07_ArcaneTrickster!$BN$6:$BN$35,MATCH(Character_Spellcasting!CD39,S07_ArcaneTrickster!$BP$69:$BP$988,0),1),"")&amp;IFERROR(INDEX(S08_Sorcerer!$BN$6:$BN$35,MATCH(Character_Spellcasting!CD39,S08_Sorcerer!$BP$69:$BP$98,0),1),"")&amp;IFERROR(INDEX(S09_Warlock!$BN$6:$BN$35,MATCH(Character_Spellcasting!CD39,S09_Warlock!$BP$69:$BP$98,0),1),"")&amp;IFERROR(INDEX(S10_Wizard!$BN$6:$BN$35,MATCH(Character_Spellcasting!CD39,S10_Wizard!$BP$69:$BP$98,0),1),"")</f>
        <v/>
      </c>
      <c r="CF39" s="1061"/>
      <c r="CG39" s="1061"/>
      <c r="CH39" s="1061"/>
      <c r="CI39" s="1061"/>
      <c r="CJ39" s="1096" t="str">
        <f>IFERROR(INDEX(S01_Bard!$BQ$69:$BQ$98,MATCH(Character_Spellcasting!CD39,S01_Bard!$D$69:$D$98,0),1),"")&amp;IFERROR(INDEX(S02_Cleric!$BQ$69:$BQ$98,MATCH(Character_Spellcasting!CD39,S02_Cleric!$BP$69:$BP$98,0),1),"")&amp;IFERROR(INDEX(S03_Druid!$BQ$69:$BQ$98,MATCH(Character_Spellcasting!CD39,S03_Druid!$BP$69:$BP$98,0),1),"")&amp;IFERROR(INDEX(S04_EldritchKnight!$BQ$69:$BQ$98,MATCH(Character_Spellcasting!CD39,S04_EldritchKnight!$BP$69:$BP$98,0),1),"")&amp;IFERROR(INDEX(S05_Paladin!$BQ$69:$BQ$98,MATCH(Character_Spellcasting!CD39,S05_Paladin!$BP$69:$BP$98,0),1),"")&amp;IFERROR(INDEX(S06_Ranger!$BQ$69:$BQ$98,MATCH(Character_Spellcasting!CD39,S06_Ranger!$BP$69:$BP$988,0),1),"")&amp;IFERROR(INDEX(S07_ArcaneTrickster!$BQ$69:$BQ$98,MATCH(Character_Spellcasting!CD39,S07_ArcaneTrickster!$BP$69:$BP$988,0),1),"")&amp;IFERROR(INDEX(S08_Sorcerer!$BQ$69:$BQ$98,MATCH(Character_Spellcasting!CD39,S08_Sorcerer!$BP$69:$BP$98,0),1),"")&amp;IFERROR(INDEX(S09_Warlock!$BQ$69:$BQ$98,MATCH(Character_Spellcasting!CD39,S09_Warlock!$BP$69:$BP$98,0),1),"")&amp;IFERROR(INDEX(S10_Wizard!$BQ$69:$BQ$98,MATCH(Character_Spellcasting!CD39,S10_Wizard!$BP$69:$BP$98,0),1),"")</f>
        <v/>
      </c>
      <c r="CK39" s="1096"/>
      <c r="CL39" s="567"/>
      <c r="CM39" s="120"/>
      <c r="CN39" s="591">
        <v>33</v>
      </c>
      <c r="CO39" s="1061" t="str">
        <f>IFERROR(INDEX(S01_Bard!$BW$6:$BW$35,MATCH(Character_Spellcasting!CN39,S01_Bard!$BY$69:$BY$98,0),1),"")&amp;IFERROR(INDEX(S02_Cleric!$BW$6:$BW$35,MATCH(Character_Spellcasting!CN39,S02_Cleric!$BY$69:$BY$98,0),1),"")&amp;IFERROR(INDEX(S03_Druid!$BW$6:$BW$35,MATCH(Character_Spellcasting!CN39,S03_Druid!$BY$69:$BY$98,0),1),"")&amp;IFERROR(INDEX(S04_EldritchKnight!$BW$6:$BW$35,MATCH(Character_Spellcasting!CN39,S04_EldritchKnight!$BY$69:$BY$98,0),1),"")&amp;IFERROR(INDEX(S05_Paladin!$BW$6:$BW$35,MATCH(Character_Spellcasting!CN39,S05_Paladin!$BY$69:$BY$98,0),1),"")&amp;IFERROR(INDEX(S06_Ranger!$BW$6:$BW$35,MATCH(Character_Spellcasting!CN39,S06_Ranger!$BY$69:$BY$988,0),1),"")&amp;IFERROR(INDEX(S07_ArcaneTrickster!$BW$6:$BW$35,MATCH(Character_Spellcasting!CN39,S07_ArcaneTrickster!$BY$69:$BY$988,0),1),"")&amp;IFERROR(INDEX(S08_Sorcerer!$BW$6:$BW$35,MATCH(Character_Spellcasting!CN39,S08_Sorcerer!$BY$69:$BY$98,0),1),"")&amp;IFERROR(INDEX(S09_Warlock!$BW$6:$BW$35,MATCH(Character_Spellcasting!CN39,S09_Warlock!$BY$69:$BY$98,0),1),"")&amp;IFERROR(INDEX(S10_Wizard!$BW$6:$BW$35,MATCH(Character_Spellcasting!CN39,S10_Wizard!$BY$69:$BY$98,0),1),"")</f>
        <v/>
      </c>
      <c r="CP39" s="1061"/>
      <c r="CQ39" s="1061"/>
      <c r="CR39" s="1061"/>
      <c r="CS39" s="1061"/>
      <c r="CT39" s="1096" t="str">
        <f>IFERROR(INDEX(S01_Bard!$BZ$69:$BZ$98,MATCH(Character_Spellcasting!CN39,S01_Bard!$D$69:$D$98,0),1),"")&amp;IFERROR(INDEX(S02_Cleric!$BZ$69:$BZ$98,MATCH(Character_Spellcasting!CN39,S02_Cleric!$BY$69:$BY$98,0),1),"")&amp;IFERROR(INDEX(S03_Druid!$BZ$69:$BZ$98,MATCH(Character_Spellcasting!CN39,S03_Druid!$BY$69:$BY$98,0),1),"")&amp;IFERROR(INDEX(S04_EldritchKnight!$BZ$69:$BZ$98,MATCH(Character_Spellcasting!CN39,S04_EldritchKnight!$BY$69:$BY$98,0),1),"")&amp;IFERROR(INDEX(S05_Paladin!$BZ$69:$BZ$98,MATCH(Character_Spellcasting!CN39,S05_Paladin!$BY$69:$BY$98,0),1),"")&amp;IFERROR(INDEX(S06_Ranger!$BZ$69:$BZ$98,MATCH(Character_Spellcasting!CN39,S06_Ranger!$BY$69:$BY$988,0),1),"")&amp;IFERROR(INDEX(S07_ArcaneTrickster!$BZ$69:$BZ$98,MATCH(Character_Spellcasting!CN39,S07_ArcaneTrickster!$BY$69:$BY$988,0),1),"")&amp;IFERROR(INDEX(S08_Sorcerer!$BZ$69:$BZ$98,MATCH(Character_Spellcasting!CN39,S08_Sorcerer!$BY$69:$BY$98,0),1),"")&amp;IFERROR(INDEX(S09_Warlock!$BZ$69:$BZ$98,MATCH(Character_Spellcasting!CN39,S09_Warlock!$BY$69:$BY$98,0),1),"")&amp;IFERROR(INDEX(S10_Wizard!$BZ$69:$BZ$98,MATCH(Character_Spellcasting!CN39,S10_Wizard!$BY$69:$BY$98,0),1),"")</f>
        <v/>
      </c>
      <c r="CU39" s="1096"/>
      <c r="CV39" s="567"/>
      <c r="CW39" s="565"/>
      <c r="CX39" s="565"/>
      <c r="CY39" s="565"/>
      <c r="CZ39" s="565"/>
      <c r="DA39" s="610">
        <v>33</v>
      </c>
      <c r="DB39" s="1061" t="str">
        <f t="shared" ref="DB39:DB70" si="2">IFERROR(INDEX($C$7:$C$46,MATCH(DA39,$E$48:$E$87,0),1),"")&amp;
IFERROR(INDEX($M$7:$M$46,MATCH(DA39,$O$48:$O$87,0),1),"")&amp;
IFERROR(INDEX($W$7:$W$46,MATCH(DA39,$Y$48:$Y$87,0),1),"")&amp;
IFERROR(INDEX($AG$7:$AG$46,MATCH(DA39,$AI$48:$AI$87,0),1),"")&amp;
IFERROR(INDEX($AQ$7:$AQ$46,MATCH(DA39,$AS$48:$AS$87,0),1),"")&amp;
IFERROR(INDEX($BA$7:$BA$46,MATCH(DA39,$BC$48:$BC$87,0),1),"")&amp;
IFERROR(INDEX($BK$7:$BK$46,MATCH(DA39,$BM$48:$BM$87,0),1),"")&amp;
IFERROR(INDEX($BU$7:$BU$46,MATCH(DA39,$BW$48:$BW$87,0),1),"")&amp;
IFERROR(INDEX($CE$7:$CE$46,MATCH(DA39,$CG$48:$CG$87,0),1),"")&amp;
IFERROR(INDEX($CO$7:$CO$46,MATCH(DA39,$CQ$48:$CQ$87,0),1),"")&amp;
IFERROR(INDEX($B$89:$B$98,MATCH(DA39,$C$89:$C$98,0),1),"")</f>
        <v/>
      </c>
      <c r="DC39" s="1061"/>
      <c r="DD39" s="1061"/>
      <c r="DE39" s="1061"/>
      <c r="DF39" s="1061"/>
      <c r="DG39" s="1096" t="str">
        <f t="shared" ref="DG39:DG70" si="3">IFERROR(INDEX($H$7:$H$46,MATCH(DA39,$E$48:$E$87,0),1),"")&amp;
IFERROR(INDEX($R$7:$R$46,MATCH(DA39,$O$48:$O$87,0),1),"")&amp;
IFERROR(INDEX($AB$7:$AB$46,MATCH(DA39,$Y$48:$Y$87,0),1),"")&amp;
IFERROR(INDEX($AL$7:$AL$46,MATCH(DA39,$AI$48:$AI$87,0),1),"")&amp;
IFERROR(INDEX($AV$7:$AV$46,MATCH(DA39,$AS$48:$AS$87,0),1),"")&amp;
IFERROR(INDEX($BF$7:$BF$46,MATCH(DA39,$BC$48:$BC$87,0),1),"")&amp;
IFERROR(INDEX($BP$7:$BP$46,MATCH(DA39,$BM$48:$BM$87,0),1),"")&amp;
IFERROR(INDEX($BZ$7:$BZ$46,MATCH(DA39,$BW$48:$BW$87,0),1),"")&amp;
IFERROR(INDEX($CJ$7:$CJ$46,MATCH(DA39,$CG$48:$CG$87,0),1),"")&amp;
IFERROR(INDEX($CT$7:$CT$46,MATCH(DA39,$CQ$48:$CQ$87,0),1),"")</f>
        <v/>
      </c>
      <c r="DH39" s="1096"/>
      <c r="DI39" s="565"/>
      <c r="DJ39" s="565"/>
      <c r="DK39" s="565"/>
      <c r="DL39" s="565"/>
      <c r="DM39" s="565"/>
      <c r="DN39" s="565"/>
      <c r="DO39" s="565"/>
      <c r="DP39" s="565"/>
      <c r="DQ39" s="565"/>
      <c r="DR39" s="565"/>
      <c r="DS39" s="565"/>
      <c r="DT39" s="565"/>
      <c r="DU39" s="565"/>
      <c r="DV39" s="565"/>
    </row>
    <row r="40" spans="1:126" ht="21" x14ac:dyDescent="0.25">
      <c r="A40" s="120"/>
      <c r="B40" s="610">
        <v>34</v>
      </c>
      <c r="C40" s="1061"/>
      <c r="D40" s="1061"/>
      <c r="E40" s="1061"/>
      <c r="F40" s="1061"/>
      <c r="G40" s="1061"/>
      <c r="H40" s="1096"/>
      <c r="I40" s="1096"/>
      <c r="J40" s="120"/>
      <c r="K40" s="120"/>
      <c r="L40" s="591">
        <v>34</v>
      </c>
      <c r="M40" s="1061" t="str">
        <f>IFERROR(INDEX(S01_Bard!$C$6:$C$35,MATCH(Character_Spellcasting!L40,S01_Bard!$E$69:$E$98,0),1),"")&amp;IFERROR(INDEX(S02_Cleric!$C$6:$C$35,MATCH(Character_Spellcasting!L40,S02_Cleric!$E$69:$E$98,0),1),"")&amp;IFERROR(INDEX(S03_Druid!$C$6:$C$35,MATCH(Character_Spellcasting!L40,S03_Druid!$E$69:$E$98,0),1),"")&amp;IFERROR(INDEX(S04_EldritchKnight!$C$6:$C$35,MATCH(Character_Spellcasting!L40,S04_EldritchKnight!$E$69:$E$98,0),1),"")&amp;IFERROR(INDEX(S05_Paladin!$C$6:$C$35,MATCH(Character_Spellcasting!L40,S05_Paladin!$E$69:$E$98,0),1),"")&amp;IFERROR(INDEX(S06_Ranger!$C$6:$C$35,MATCH(Character_Spellcasting!L40,S06_Ranger!$E$69:$E$988,0),1),"")&amp;IFERROR(INDEX(S07_ArcaneTrickster!$C$6:$C$35,MATCH(Character_Spellcasting!L40,S07_ArcaneTrickster!$E$69:$E$988,0),1),"")&amp;IFERROR(INDEX(S08_Sorcerer!$C$6:$C$35,MATCH(Character_Spellcasting!L40,S08_Sorcerer!$E$69:$E$98,0),1),"")&amp;IFERROR(INDEX(S09_Warlock!$C$6:$C$35,MATCH(Character_Spellcasting!L40,S09_Warlock!$E$69:$E$98,0),1),"")&amp;IFERROR(INDEX(S10_Wizard!$C$6:$C$35,MATCH(Character_Spellcasting!L40,S10_Wizard!$E$69:$E$98,0),1),"")</f>
        <v/>
      </c>
      <c r="N40" s="1061"/>
      <c r="O40" s="1061"/>
      <c r="P40" s="1061"/>
      <c r="Q40" s="1061"/>
      <c r="R40" s="1096" t="str">
        <f>IFERROR(INDEX(S01_Bard!$F$69:$F$98,MATCH(Character_Spellcasting!L40,S01_Bard!$D$69:$D$98,0),1),"")&amp;IFERROR(INDEX(S02_Cleric!$F$69:$F$98,MATCH(Character_Spellcasting!L40,S02_Cleric!$E$69:$E$98,0),1),"")&amp;IFERROR(INDEX(S03_Druid!$F$69:$F$98,MATCH(Character_Spellcasting!L40,S03_Druid!$E$69:$E$98,0),1),"")&amp;IFERROR(INDEX(S04_EldritchKnight!$F$69:$F$98,MATCH(Character_Spellcasting!L40,S04_EldritchKnight!$E$69:$E$98,0),1),"")&amp;IFERROR(INDEX(S05_Paladin!$F$69:$F$98,MATCH(Character_Spellcasting!L40,S05_Paladin!$E$69:$E$98,0),1),"")&amp;IFERROR(INDEX(S06_Ranger!$F$69:$F$98,MATCH(Character_Spellcasting!L40,S06_Ranger!$E$69:$E$988,0),1),"")&amp;IFERROR(INDEX(S07_ArcaneTrickster!$F$69:$F$98,MATCH(Character_Spellcasting!L40,S07_ArcaneTrickster!$E$69:$E$988,0),1),"")&amp;IFERROR(INDEX(S08_Sorcerer!$F$69:$F$98,MATCH(Character_Spellcasting!L40,S08_Sorcerer!$E$69:$E$98,0),1),"")&amp;IFERROR(INDEX(S09_Warlock!$F$69:$F$98,MATCH(Character_Spellcasting!L40,S09_Warlock!$E$69:$E$98,0),1),"")&amp;IFERROR(INDEX(S10_Wizard!$F$69:$F$98,MATCH(Character_Spellcasting!L40,S10_Wizard!$E$69:$E$98,0),1),"")</f>
        <v/>
      </c>
      <c r="S40" s="1096"/>
      <c r="T40" s="567"/>
      <c r="U40" s="565"/>
      <c r="V40" s="591">
        <v>34</v>
      </c>
      <c r="W40" s="1061" t="str">
        <f>IFERROR(INDEX(S01_Bard!$L$6:$L$35,MATCH(Character_Spellcasting!V40,S01_Bard!$N$69:$N$98,0),1),"")&amp;IFERROR(INDEX(S02_Cleric!$L$6:$L$35,MATCH(Character_Spellcasting!V40,S02_Cleric!$N$69:$N$98,0),1),"")&amp;IFERROR(INDEX(S03_Druid!$L$6:$L$35,MATCH(Character_Spellcasting!V40,S03_Druid!$N$69:$N$98,0),1),"")&amp;IFERROR(INDEX(S04_EldritchKnight!$L$6:$L$35,MATCH(Character_Spellcasting!V40,S04_EldritchKnight!$N$69:$N$98,0),1),"")&amp;IFERROR(INDEX(S05_Paladin!$L$6:$L$35,MATCH(Character_Spellcasting!V40,S05_Paladin!$N$69:$N$98,0),1),"")&amp;IFERROR(INDEX(S06_Ranger!$L$6:$L$35,MATCH(Character_Spellcasting!V40,S06_Ranger!$N$69:$N$988,0),1),"")&amp;IFERROR(INDEX(S07_ArcaneTrickster!$L$6:$L$35,MATCH(Character_Spellcasting!V40,S07_ArcaneTrickster!$N$69:$N$988,0),1),"")&amp;IFERROR(INDEX(S08_Sorcerer!$L$6:$L$35,MATCH(Character_Spellcasting!V40,S08_Sorcerer!$N$69:$N$98,0),1),"")&amp;IFERROR(INDEX(S09_Warlock!$L$6:$L$35,MATCH(Character_Spellcasting!V40,S09_Warlock!$N$69:$N$98,0),1),"")&amp;IFERROR(INDEX(S10_Wizard!$L$6:$L$35,MATCH(Character_Spellcasting!V40,S10_Wizard!$N$69:$N$98,0),1),"")</f>
        <v/>
      </c>
      <c r="X40" s="1061"/>
      <c r="Y40" s="1061"/>
      <c r="Z40" s="1061"/>
      <c r="AA40" s="1061"/>
      <c r="AB40" s="1097" t="str">
        <f>IFERROR(INDEX(S01_Bard!$O$69:$O$98,MATCH(Character_Spellcasting!V40,S01_Bard!$N$69:$N$98,0),1),"")&amp;IFERROR(INDEX(S02_Cleric!$O$69:$O$98,MATCH(Character_Spellcasting!V40,S02_Cleric!$N$69:$N$98,0),1),"")&amp;IFERROR(INDEX(S03_Druid!$O$69:$O$98,MATCH(Character_Spellcasting!V40,S03_Druid!$N$69:$N$98,0),1),"")&amp;IFERROR(INDEX(S04_EldritchKnight!$O$69:$O$98,MATCH(Character_Spellcasting!V40,S04_EldritchKnight!$N$69:$N$98,0),1),"")&amp;IFERROR(INDEX(S05_Paladin!$O$69:$O$98,MATCH(Character_Spellcasting!V40,S05_Paladin!$N$69:$N$98,0),1),"")&amp;IFERROR(INDEX(S06_Ranger!$O$69:$O$98,MATCH(Character_Spellcasting!V40,S06_Ranger!$N$69:$N$988,0),1),"")&amp;IFERROR(INDEX(S07_ArcaneTrickster!$O$69:$O$98,MATCH(Character_Spellcasting!V40,S07_ArcaneTrickster!$N$69:$N$988,0),1),"")&amp;IFERROR(INDEX(S08_Sorcerer!$O$69:$O$98,MATCH(Character_Spellcasting!V40,S08_Sorcerer!$N$69:$N$98,0),1),"")&amp;IFERROR(INDEX(S09_Warlock!$O$69:$O$98,MATCH(Character_Spellcasting!V40,S09_Warlock!$N$69:$N$98,0),1),"")&amp;IFERROR(INDEX(S10_Wizard!$O$69:$O$98,MATCH(Character_Spellcasting!V40,S10_Wizard!$N$69:$N$98,0),1),"")</f>
        <v/>
      </c>
      <c r="AC40" s="1098"/>
      <c r="AD40" s="567"/>
      <c r="AE40" s="565"/>
      <c r="AF40" s="609">
        <v>34</v>
      </c>
      <c r="AG40" s="1061" t="str">
        <f>IFERROR(INDEX(S01_Bard!$U$6:$U$35,MATCH(Character_Spellcasting!AF40,S01_Bard!$W$69:$W$98,0),1),"")&amp;IFERROR(INDEX(S02_Cleric!$U$6:$U$35,MATCH(Character_Spellcasting!AF40,S02_Cleric!$W$69:$W$98,0),1),"")&amp;IFERROR(INDEX(S03_Druid!$U$6:$U$35,MATCH(Character_Spellcasting!AF40,S03_Druid!$W$69:$W$98,0),1),"")&amp;IFERROR(INDEX(S04_EldritchKnight!$U$6:$U$35,MATCH(Character_Spellcasting!AF40,S04_EldritchKnight!$W$69:$W$98,0),1),"")&amp;IFERROR(INDEX(S05_Paladin!$U$6:$U$35,MATCH(Character_Spellcasting!AF40,S05_Paladin!$W$69:$W$98,0),1),"")&amp;IFERROR(INDEX(S06_Ranger!$U$6:$U$35,MATCH(Character_Spellcasting!AF40,S06_Ranger!$W$69:$W$988,0),1),"")&amp;IFERROR(INDEX(S07_ArcaneTrickster!$U$6:$U$35,MATCH(Character_Spellcasting!AF40,S07_ArcaneTrickster!$W$69:$W$988,0),1),"")&amp;IFERROR(INDEX(S08_Sorcerer!$U$6:$U$35,MATCH(Character_Spellcasting!AF40,S08_Sorcerer!$W$69:$W$98,0),1),"")&amp;IFERROR(INDEX(S09_Warlock!$U$6:$U$35,MATCH(Character_Spellcasting!AF40,S09_Warlock!$W$69:$W$98,0),1),"")&amp;IFERROR(INDEX(S10_Wizard!$U$6:$U$35,MATCH(Character_Spellcasting!AF40,S10_Wizard!$W$69:$W$98,0),1),"")</f>
        <v/>
      </c>
      <c r="AH40" s="1061"/>
      <c r="AI40" s="1061"/>
      <c r="AJ40" s="1061"/>
      <c r="AK40" s="1061"/>
      <c r="AL40" s="1097" t="str">
        <f>IFERROR(INDEX(S01_Bard!$X$69:$X$98,MATCH(Character_Spellcasting!AF40,S01_Bard!$W$69:$W$98,0),1),"")&amp;IFERROR(INDEX(S02_Cleric!$X$69:$X$98,MATCH(Character_Spellcasting!AF40,S02_Cleric!$W$69:$W$98,0),1),"")&amp;IFERROR(INDEX(S03_Druid!$X$69:$X$98,MATCH(Character_Spellcasting!AF40,S03_Druid!$W$69:$W$98,0),1),"")&amp;IFERROR(INDEX(S04_EldritchKnight!$X$69:$X$98,MATCH(Character_Spellcasting!AF40,S04_EldritchKnight!$W$69:$W$98,0),1),"")&amp;IFERROR(INDEX(S05_Paladin!$X$69:$X$98,MATCH(Character_Spellcasting!AF40,S05_Paladin!$W$69:$W$98,0),1),"")&amp;IFERROR(INDEX(S06_Ranger!$X$69:$X$98,MATCH(Character_Spellcasting!AF40,S06_Ranger!$W$69:$W$988,0),1),"")&amp;IFERROR(INDEX(S07_ArcaneTrickster!$X$69:$X$98,MATCH(Character_Spellcasting!AF40,S07_ArcaneTrickster!$W$69:$W$988,0),1),"")&amp;IFERROR(INDEX(S08_Sorcerer!$X$69:$X$98,MATCH(Character_Spellcasting!AF40,S08_Sorcerer!$W$69:$W$98,0),1),"")&amp;IFERROR(INDEX(S09_Warlock!$X$69:$X$98,MATCH(Character_Spellcasting!AF40,S09_Warlock!$W$69:$W$98,0),1),"")&amp;IFERROR(INDEX(S10_Wizard!$X$69:$X$98,MATCH(Character_Spellcasting!AF40,S10_Wizard!$W$69:$W$98,0),1),"")</f>
        <v/>
      </c>
      <c r="AM40" s="1098"/>
      <c r="AN40" s="567"/>
      <c r="AO40" s="565"/>
      <c r="AP40" s="591">
        <v>34</v>
      </c>
      <c r="AQ40" s="1061" t="str">
        <f>IFERROR(INDEX(S01_Bard!$AD$6:$AD$35,MATCH(Character_Spellcasting!AP40,S01_Bard!$AF$69:$AF$98,0),1),"")&amp;IFERROR(INDEX(S02_Cleric!$AD$6:$AD$35,MATCH(Character_Spellcasting!AP40,S02_Cleric!$AF$69:$AF$98,0),1),"")&amp;IFERROR(INDEX(S03_Druid!$AD$6:$AD$35,MATCH(Character_Spellcasting!AP40,S03_Druid!$AF$69:$AF$98,0),1),"")&amp;IFERROR(INDEX(S04_EldritchKnight!$AD$6:$AD$35,MATCH(Character_Spellcasting!AP40,S04_EldritchKnight!$AF$69:$AF$98,0),1),"")&amp;IFERROR(INDEX(S05_Paladin!$AD$6:$AD$35,MATCH(Character_Spellcasting!AP40,S05_Paladin!$AF$69:$AF$98,0),1),"")&amp;IFERROR(INDEX(S06_Ranger!$AD$6:$AD$35,MATCH(Character_Spellcasting!AP40,S06_Ranger!$AF$69:$AF$988,0),1),"")&amp;IFERROR(INDEX(S07_ArcaneTrickster!$AD$6:$AD$35,MATCH(Character_Spellcasting!AP40,S07_ArcaneTrickster!$AF$69:$AF$988,0),1),"")&amp;IFERROR(INDEX(S08_Sorcerer!$AD$6:$AD$35,MATCH(Character_Spellcasting!AP40,S08_Sorcerer!$AF$69:$AF$98,0),1),"")&amp;IFERROR(INDEX(S09_Warlock!$AD$6:$AD$35,MATCH(Character_Spellcasting!AP40,S09_Warlock!$AF$69:$AF$98,0),1),"")&amp;IFERROR(INDEX(S10_Wizard!$AD$6:$AD$35,MATCH(Character_Spellcasting!AP40,S10_Wizard!$AF$69:$AF$98,0),1),"")</f>
        <v/>
      </c>
      <c r="AR40" s="1061"/>
      <c r="AS40" s="1061"/>
      <c r="AT40" s="1061"/>
      <c r="AU40" s="1061"/>
      <c r="AV40" s="1096" t="str">
        <f>IFERROR(INDEX(S01_Bard!$AG$69:$AG$98,MATCH(Character_Spellcasting!AP40,S01_Bard!$D$69:$D$98,0),1),"")&amp;IFERROR(INDEX(S02_Cleric!$AG$69:$AG$98,MATCH(Character_Spellcasting!AP40,S02_Cleric!$AF$69:$AF$98,0),1),"")&amp;IFERROR(INDEX(S03_Druid!$AG$69:$AG$98,MATCH(Character_Spellcasting!AP40,S03_Druid!$AF$69:$AF$98,0),1),"")&amp;IFERROR(INDEX(S04_EldritchKnight!$AG$69:$AG$98,MATCH(Character_Spellcasting!AP40,S04_EldritchKnight!$AF$69:$AF$98,0),1),"")&amp;IFERROR(INDEX(S05_Paladin!$AG$69:$AG$98,MATCH(Character_Spellcasting!AP40,S05_Paladin!$AF$69:$AF$98,0),1),"")&amp;IFERROR(INDEX(S06_Ranger!$AG$69:$AG$98,MATCH(Character_Spellcasting!AP40,S06_Ranger!$AF$69:$AF$988,0),1),"")&amp;IFERROR(INDEX(S07_ArcaneTrickster!$AG$69:$AG$98,MATCH(Character_Spellcasting!AP40,S07_ArcaneTrickster!$AF$69:$AF$988,0),1),"")&amp;IFERROR(INDEX(S08_Sorcerer!$AG$69:$AG$98,MATCH(Character_Spellcasting!AP40,S08_Sorcerer!$AF$69:$AF$98,0),1),"")&amp;IFERROR(INDEX(S09_Warlock!$AG$69:$AG$98,MATCH(Character_Spellcasting!AP40,S09_Warlock!$AF$69:$AF$98,0),1),"")&amp;IFERROR(INDEX(S10_Wizard!$AG$69:$AG$98,MATCH(Character_Spellcasting!AP40,S10_Wizard!$AF$69:$AF$98,0),1),"")</f>
        <v/>
      </c>
      <c r="AW40" s="1096"/>
      <c r="AX40" s="567"/>
      <c r="AY40" s="565"/>
      <c r="AZ40" s="591">
        <v>34</v>
      </c>
      <c r="BA40" s="1061" t="str">
        <f>IFERROR(INDEX(S01_Bard!$AM$6:$AM$35,MATCH(Character_Spellcasting!AZ40,S01_Bard!$AO$69:$AO$98,0),1),"")&amp;IFERROR(INDEX(S02_Cleric!$AM$6:$AM$35,MATCH(Character_Spellcasting!AZ40,S02_Cleric!$AO$69:$AO$98,0),1),"")&amp;IFERROR(INDEX(S03_Druid!$AM$6:$AM$35,MATCH(Character_Spellcasting!AZ40,S03_Druid!$AO$69:$AO$98,0),1),"")&amp;IFERROR(INDEX(S04_EldritchKnight!$AM$6:$AM$35,MATCH(Character_Spellcasting!AZ40,S04_EldritchKnight!$AO$69:$AO$98,0),1),"")&amp;IFERROR(INDEX(S05_Paladin!$AM$6:$AM$35,MATCH(Character_Spellcasting!AZ40,S05_Paladin!$AO$69:$AO$98,0),1),"")&amp;IFERROR(INDEX(S06_Ranger!$AM$6:$AM$35,MATCH(Character_Spellcasting!AZ40,S06_Ranger!$AO$69:$AO$988,0),1),"")&amp;IFERROR(INDEX(S07_ArcaneTrickster!$AM$6:$AM$35,MATCH(Character_Spellcasting!AZ40,S07_ArcaneTrickster!$AO$69:$AO$988,0),1),"")&amp;IFERROR(INDEX(S08_Sorcerer!$AM$6:$AM$35,MATCH(Character_Spellcasting!AZ40,S08_Sorcerer!$AO$69:$AO$98,0),1),"")&amp;IFERROR(INDEX(S09_Warlock!$AM$6:$AM$35,MATCH(Character_Spellcasting!AZ40,S09_Warlock!$AO$69:$AO$98,0),1),"")&amp;IFERROR(INDEX(S10_Wizard!$AM$6:$AM$35,MATCH(Character_Spellcasting!AZ40,S10_Wizard!$AO$69:$AO$98,0),1),"")</f>
        <v/>
      </c>
      <c r="BB40" s="1061"/>
      <c r="BC40" s="1061"/>
      <c r="BD40" s="1061"/>
      <c r="BE40" s="1061"/>
      <c r="BF40" s="1096" t="str">
        <f>IFERROR(INDEX(S01_Bard!$AP$69:$AP$98,MATCH(Character_Spellcasting!AZ40,S01_Bard!$D$69:$D$98,0),1),"")&amp;IFERROR(INDEX(S02_Cleric!$AP$69:$AP$98,MATCH(Character_Spellcasting!AZ40,S02_Cleric!$AO$69:$AO$98,0),1),"")&amp;IFERROR(INDEX(S03_Druid!$AP$69:$AP$98,MATCH(Character_Spellcasting!AZ40,S03_Druid!$AO$69:$AO$98,0),1),"")&amp;IFERROR(INDEX(S04_EldritchKnight!$AP$69:$AP$98,MATCH(Character_Spellcasting!AZ40,S04_EldritchKnight!$AO$69:$AO$98,0),1),"")&amp;IFERROR(INDEX(S05_Paladin!$AP$69:$AP$98,MATCH(Character_Spellcasting!AZ40,S05_Paladin!$AO$69:$AO$98,0),1),"")&amp;IFERROR(INDEX(S06_Ranger!$AP$69:$AP$98,MATCH(Character_Spellcasting!AZ40,S06_Ranger!$AO$69:$AO$988,0),1),"")&amp;IFERROR(INDEX(S07_ArcaneTrickster!$AP$69:$AP$98,MATCH(Character_Spellcasting!AZ40,S07_ArcaneTrickster!$AO$69:$AO$988,0),1),"")&amp;IFERROR(INDEX(S08_Sorcerer!$AP$69:$AP$98,MATCH(Character_Spellcasting!AZ40,S08_Sorcerer!$AO$69:$AO$98,0),1),"")&amp;IFERROR(INDEX(S09_Warlock!$AP$69:$AP$98,MATCH(Character_Spellcasting!AZ40,S09_Warlock!$AO$69:$AO$98,0),1),"")&amp;IFERROR(INDEX(S10_Wizard!$AP$69:$AP$98,MATCH(Character_Spellcasting!AZ40,S10_Wizard!$AO$69:$AO$98,0),1),"")</f>
        <v/>
      </c>
      <c r="BG40" s="1096"/>
      <c r="BH40" s="567"/>
      <c r="BI40" s="120"/>
      <c r="BJ40" s="591">
        <v>34</v>
      </c>
      <c r="BK40" s="1061" t="str">
        <f>IFERROR(INDEX(S01_Bard!$AV$6:$AV$35,MATCH(Character_Spellcasting!BJ40,S01_Bard!$AX$69:$AX$98,0),1),"")&amp;IFERROR(INDEX(S02_Cleric!$AV$6:$AV$35,MATCH(Character_Spellcasting!BJ40,S02_Cleric!$AX$69:$AX$98,0),1),"")&amp;IFERROR(INDEX(S03_Druid!$AV$6:$AV$35,MATCH(Character_Spellcasting!BJ40,S03_Druid!$AX$69:$AX$98,0),1),"")&amp;IFERROR(INDEX(S04_EldritchKnight!$AV$6:$AV$35,MATCH(Character_Spellcasting!BJ40,S04_EldritchKnight!$AX$69:$AX$98,0),1),"")&amp;IFERROR(INDEX(S05_Paladin!$AV$6:$AV$35,MATCH(Character_Spellcasting!BJ40,S05_Paladin!$AX$69:$AX$98,0),1),"")&amp;IFERROR(INDEX(S06_Ranger!$AV$6:$AV$35,MATCH(Character_Spellcasting!BJ40,S06_Ranger!$AX$69:$AX$988,0),1),"")&amp;IFERROR(INDEX(S07_ArcaneTrickster!$AV$6:$AV$35,MATCH(Character_Spellcasting!BJ40,S07_ArcaneTrickster!$AX$69:$AX$988,0),1),"")&amp;IFERROR(INDEX(S08_Sorcerer!$AV$6:$AV$35,MATCH(Character_Spellcasting!BJ40,S08_Sorcerer!$AX$69:$AX$98,0),1),"")&amp;IFERROR(INDEX(S09_Warlock!$AV$6:$AV$35,MATCH(Character_Spellcasting!BJ40,S09_Warlock!$AX$69:$AX$98,0),1),"")&amp;IFERROR(INDEX(S10_Wizard!$AV$6:$AV$35,MATCH(Character_Spellcasting!BJ40,S10_Wizard!$AX$69:$AX$98,0),1),"")</f>
        <v/>
      </c>
      <c r="BL40" s="1061"/>
      <c r="BM40" s="1061"/>
      <c r="BN40" s="1061"/>
      <c r="BO40" s="1061"/>
      <c r="BP40" s="1096" t="str">
        <f>IFERROR(INDEX(S01_Bard!$AY$69:$AY$98,MATCH(Character_Spellcasting!BJ40,S01_Bard!$D$69:$D$98,0),1),"")&amp;IFERROR(INDEX(S02_Cleric!$AY$69:$AY$98,MATCH(Character_Spellcasting!BJ40,S02_Cleric!$AX$69:$AX$98,0),1),"")&amp;IFERROR(INDEX(S03_Druid!$AY$69:$AY$98,MATCH(Character_Spellcasting!BJ40,S03_Druid!$AX$69:$AX$98,0),1),"")&amp;IFERROR(INDEX(S04_EldritchKnight!$AY$69:$AY$98,MATCH(Character_Spellcasting!BJ40,S04_EldritchKnight!$AX$69:$AX$98,0),1),"")&amp;IFERROR(INDEX(S05_Paladin!$AY$69:$AY$98,MATCH(Character_Spellcasting!BJ40,S05_Paladin!$AX$69:$AX$98,0),1),"")&amp;IFERROR(INDEX(S06_Ranger!$AY$69:$AY$98,MATCH(Character_Spellcasting!BJ40,S06_Ranger!$AX$69:$AX$988,0),1),"")&amp;IFERROR(INDEX(S07_ArcaneTrickster!$AY$69:$AY$98,MATCH(Character_Spellcasting!BJ40,S07_ArcaneTrickster!$AX$69:$AX$988,0),1),"")&amp;IFERROR(INDEX(S08_Sorcerer!$AY$69:$AY$98,MATCH(Character_Spellcasting!BJ40,S08_Sorcerer!$AX$69:$AX$98,0),1),"")&amp;IFERROR(INDEX(S09_Warlock!$AY$69:$AY$98,MATCH(Character_Spellcasting!BJ40,S09_Warlock!$AX$69:$AX$98,0),1),"")&amp;IFERROR(INDEX(S10_Wizard!$AY$69:$AY$98,MATCH(Character_Spellcasting!BJ40,S10_Wizard!$AX$69:$AX$98,0),1),"")</f>
        <v/>
      </c>
      <c r="BQ40" s="1096"/>
      <c r="BR40" s="567"/>
      <c r="BS40" s="120"/>
      <c r="BT40" s="591">
        <v>34</v>
      </c>
      <c r="BU40" s="1061" t="str">
        <f>IFERROR(INDEX(S01_Bard!$BE$6:$BE$35,MATCH(Character_Spellcasting!BT40,S01_Bard!$BG$69:$BG$98,0),1),"")&amp;IFERROR(INDEX(S02_Cleric!$BE$6:$BE$35,MATCH(Character_Spellcasting!BT40,S02_Cleric!$BG$69:$BG$98,0),1),"")&amp;IFERROR(INDEX(S03_Druid!$BE$6:$BE$35,MATCH(Character_Spellcasting!BT40,S03_Druid!$BG$69:$BG$98,0),1),"")&amp;IFERROR(INDEX(S04_EldritchKnight!$BE$6:$BE$35,MATCH(Character_Spellcasting!BT40,S04_EldritchKnight!$BG$69:$BG$98,0),1),"")&amp;IFERROR(INDEX(S05_Paladin!$BE$6:$BE$35,MATCH(Character_Spellcasting!BT40,S05_Paladin!$BG$69:$BG$98,0),1),"")&amp;IFERROR(INDEX(S06_Ranger!$BE$6:$BE$35,MATCH(Character_Spellcasting!BT40,S06_Ranger!$BG$69:$BG$988,0),1),"")&amp;IFERROR(INDEX(S07_ArcaneTrickster!$BE$6:$BE$35,MATCH(Character_Spellcasting!BT40,S07_ArcaneTrickster!$BG$69:$BG$988,0),1),"")&amp;IFERROR(INDEX(S08_Sorcerer!$BE$6:$BE$35,MATCH(Character_Spellcasting!BT40,S08_Sorcerer!$BG$69:$BG$98,0),1),"")&amp;IFERROR(INDEX(S09_Warlock!$BE$6:$BE$35,MATCH(Character_Spellcasting!BT40,S09_Warlock!$BG$69:$BG$98,0),1),"")&amp;IFERROR(INDEX(S10_Wizard!$BE$6:$BE$35,MATCH(Character_Spellcasting!BT40,S10_Wizard!$BG$69:$BG$98,0),1),"")</f>
        <v/>
      </c>
      <c r="BV40" s="1061"/>
      <c r="BW40" s="1061"/>
      <c r="BX40" s="1061"/>
      <c r="BY40" s="1061"/>
      <c r="BZ40" s="1096" t="str">
        <f>IFERROR(INDEX(S01_Bard!$BH$69:$BH$98,MATCH(Character_Spellcasting!BT40,S01_Bard!$D$69:$D$98,0),1),"")&amp;IFERROR(INDEX(S02_Cleric!$BH$69:$BH$98,MATCH(Character_Spellcasting!BT40,S02_Cleric!$BG$69:$BG$98,0),1),"")&amp;IFERROR(INDEX(S03_Druid!$BH$69:$BH$98,MATCH(Character_Spellcasting!BT40,S03_Druid!$BG$69:$BG$98,0),1),"")&amp;IFERROR(INDEX(S04_EldritchKnight!$BH$69:$BH$98,MATCH(Character_Spellcasting!BT40,S04_EldritchKnight!$BG$69:$BG$98,0),1),"")&amp;IFERROR(INDEX(S05_Paladin!$BH$69:$BH$98,MATCH(Character_Spellcasting!BT40,S05_Paladin!$BG$69:$BG$98,0),1),"")&amp;IFERROR(INDEX(S06_Ranger!$BH$69:$BH$98,MATCH(Character_Spellcasting!BT40,S06_Ranger!$BG$69:$BG$988,0),1),"")&amp;IFERROR(INDEX(S07_ArcaneTrickster!$BH$69:$BH$98,MATCH(Character_Spellcasting!BT40,S07_ArcaneTrickster!$BG$69:$BG$988,0),1),"")&amp;IFERROR(INDEX(S08_Sorcerer!$BH$69:$BH$98,MATCH(Character_Spellcasting!BT40,S08_Sorcerer!$BG$69:$BG$98,0),1),"")&amp;IFERROR(INDEX(S09_Warlock!$BH$69:$BH$98,MATCH(Character_Spellcasting!BT40,S09_Warlock!$BG$69:$BG$98,0),1),"")&amp;IFERROR(INDEX(S10_Wizard!$BH$69:$BH$98,MATCH(Character_Spellcasting!BT40,S10_Wizard!$BG$69:$BG$98,0),1),"")</f>
        <v/>
      </c>
      <c r="CA40" s="1096"/>
      <c r="CB40" s="567"/>
      <c r="CC40" s="120"/>
      <c r="CD40" s="591">
        <v>34</v>
      </c>
      <c r="CE40" s="1061" t="str">
        <f>IFERROR(INDEX(S01_Bard!$BN$6:$BN$35,MATCH(Character_Spellcasting!CD40,S01_Bard!$BP$69:$BP$98,0),1),"")&amp;IFERROR(INDEX(S02_Cleric!$BN$6:$BN$35,MATCH(Character_Spellcasting!CD40,S02_Cleric!$BP$69:$BP$98,0),1),"")&amp;IFERROR(INDEX(S03_Druid!$BN$6:$BN$35,MATCH(Character_Spellcasting!CD40,S03_Druid!$BP$69:$BP$98,0),1),"")&amp;IFERROR(INDEX(S04_EldritchKnight!$BN$6:$BN$35,MATCH(Character_Spellcasting!CD40,S04_EldritchKnight!$BP$69:$BP$98,0),1),"")&amp;IFERROR(INDEX(S05_Paladin!$BN$6:$BN$35,MATCH(Character_Spellcasting!CD40,S05_Paladin!$BP$69:$BP$98,0),1),"")&amp;IFERROR(INDEX(S06_Ranger!$BN$6:$BN$35,MATCH(Character_Spellcasting!CD40,S06_Ranger!$BP$69:$BP$988,0),1),"")&amp;IFERROR(INDEX(S07_ArcaneTrickster!$BN$6:$BN$35,MATCH(Character_Spellcasting!CD40,S07_ArcaneTrickster!$BP$69:$BP$988,0),1),"")&amp;IFERROR(INDEX(S08_Sorcerer!$BN$6:$BN$35,MATCH(Character_Spellcasting!CD40,S08_Sorcerer!$BP$69:$BP$98,0),1),"")&amp;IFERROR(INDEX(S09_Warlock!$BN$6:$BN$35,MATCH(Character_Spellcasting!CD40,S09_Warlock!$BP$69:$BP$98,0),1),"")&amp;IFERROR(INDEX(S10_Wizard!$BN$6:$BN$35,MATCH(Character_Spellcasting!CD40,S10_Wizard!$BP$69:$BP$98,0),1),"")</f>
        <v/>
      </c>
      <c r="CF40" s="1061"/>
      <c r="CG40" s="1061"/>
      <c r="CH40" s="1061"/>
      <c r="CI40" s="1061"/>
      <c r="CJ40" s="1096" t="str">
        <f>IFERROR(INDEX(S01_Bard!$BQ$69:$BQ$98,MATCH(Character_Spellcasting!CD40,S01_Bard!$D$69:$D$98,0),1),"")&amp;IFERROR(INDEX(S02_Cleric!$BQ$69:$BQ$98,MATCH(Character_Spellcasting!CD40,S02_Cleric!$BP$69:$BP$98,0),1),"")&amp;IFERROR(INDEX(S03_Druid!$BQ$69:$BQ$98,MATCH(Character_Spellcasting!CD40,S03_Druid!$BP$69:$BP$98,0),1),"")&amp;IFERROR(INDEX(S04_EldritchKnight!$BQ$69:$BQ$98,MATCH(Character_Spellcasting!CD40,S04_EldritchKnight!$BP$69:$BP$98,0),1),"")&amp;IFERROR(INDEX(S05_Paladin!$BQ$69:$BQ$98,MATCH(Character_Spellcasting!CD40,S05_Paladin!$BP$69:$BP$98,0),1),"")&amp;IFERROR(INDEX(S06_Ranger!$BQ$69:$BQ$98,MATCH(Character_Spellcasting!CD40,S06_Ranger!$BP$69:$BP$988,0),1),"")&amp;IFERROR(INDEX(S07_ArcaneTrickster!$BQ$69:$BQ$98,MATCH(Character_Spellcasting!CD40,S07_ArcaneTrickster!$BP$69:$BP$988,0),1),"")&amp;IFERROR(INDEX(S08_Sorcerer!$BQ$69:$BQ$98,MATCH(Character_Spellcasting!CD40,S08_Sorcerer!$BP$69:$BP$98,0),1),"")&amp;IFERROR(INDEX(S09_Warlock!$BQ$69:$BQ$98,MATCH(Character_Spellcasting!CD40,S09_Warlock!$BP$69:$BP$98,0),1),"")&amp;IFERROR(INDEX(S10_Wizard!$BQ$69:$BQ$98,MATCH(Character_Spellcasting!CD40,S10_Wizard!$BP$69:$BP$98,0),1),"")</f>
        <v/>
      </c>
      <c r="CK40" s="1096"/>
      <c r="CL40" s="567"/>
      <c r="CM40" s="120"/>
      <c r="CN40" s="591">
        <v>34</v>
      </c>
      <c r="CO40" s="1061" t="str">
        <f>IFERROR(INDEX(S01_Bard!$BW$6:$BW$35,MATCH(Character_Spellcasting!CN40,S01_Bard!$BY$69:$BY$98,0),1),"")&amp;IFERROR(INDEX(S02_Cleric!$BW$6:$BW$35,MATCH(Character_Spellcasting!CN40,S02_Cleric!$BY$69:$BY$98,0),1),"")&amp;IFERROR(INDEX(S03_Druid!$BW$6:$BW$35,MATCH(Character_Spellcasting!CN40,S03_Druid!$BY$69:$BY$98,0),1),"")&amp;IFERROR(INDEX(S04_EldritchKnight!$BW$6:$BW$35,MATCH(Character_Spellcasting!CN40,S04_EldritchKnight!$BY$69:$BY$98,0),1),"")&amp;IFERROR(INDEX(S05_Paladin!$BW$6:$BW$35,MATCH(Character_Spellcasting!CN40,S05_Paladin!$BY$69:$BY$98,0),1),"")&amp;IFERROR(INDEX(S06_Ranger!$BW$6:$BW$35,MATCH(Character_Spellcasting!CN40,S06_Ranger!$BY$69:$BY$988,0),1),"")&amp;IFERROR(INDEX(S07_ArcaneTrickster!$BW$6:$BW$35,MATCH(Character_Spellcasting!CN40,S07_ArcaneTrickster!$BY$69:$BY$988,0),1),"")&amp;IFERROR(INDEX(S08_Sorcerer!$BW$6:$BW$35,MATCH(Character_Spellcasting!CN40,S08_Sorcerer!$BY$69:$BY$98,0),1),"")&amp;IFERROR(INDEX(S09_Warlock!$BW$6:$BW$35,MATCH(Character_Spellcasting!CN40,S09_Warlock!$BY$69:$BY$98,0),1),"")&amp;IFERROR(INDEX(S10_Wizard!$BW$6:$BW$35,MATCH(Character_Spellcasting!CN40,S10_Wizard!$BY$69:$BY$98,0),1),"")</f>
        <v/>
      </c>
      <c r="CP40" s="1061"/>
      <c r="CQ40" s="1061"/>
      <c r="CR40" s="1061"/>
      <c r="CS40" s="1061"/>
      <c r="CT40" s="1096" t="str">
        <f>IFERROR(INDEX(S01_Bard!$BZ$69:$BZ$98,MATCH(Character_Spellcasting!CN40,S01_Bard!$D$69:$D$98,0),1),"")&amp;IFERROR(INDEX(S02_Cleric!$BZ$69:$BZ$98,MATCH(Character_Spellcasting!CN40,S02_Cleric!$BY$69:$BY$98,0),1),"")&amp;IFERROR(INDEX(S03_Druid!$BZ$69:$BZ$98,MATCH(Character_Spellcasting!CN40,S03_Druid!$BY$69:$BY$98,0),1),"")&amp;IFERROR(INDEX(S04_EldritchKnight!$BZ$69:$BZ$98,MATCH(Character_Spellcasting!CN40,S04_EldritchKnight!$BY$69:$BY$98,0),1),"")&amp;IFERROR(INDEX(S05_Paladin!$BZ$69:$BZ$98,MATCH(Character_Spellcasting!CN40,S05_Paladin!$BY$69:$BY$98,0),1),"")&amp;IFERROR(INDEX(S06_Ranger!$BZ$69:$BZ$98,MATCH(Character_Spellcasting!CN40,S06_Ranger!$BY$69:$BY$988,0),1),"")&amp;IFERROR(INDEX(S07_ArcaneTrickster!$BZ$69:$BZ$98,MATCH(Character_Spellcasting!CN40,S07_ArcaneTrickster!$BY$69:$BY$988,0),1),"")&amp;IFERROR(INDEX(S08_Sorcerer!$BZ$69:$BZ$98,MATCH(Character_Spellcasting!CN40,S08_Sorcerer!$BY$69:$BY$98,0),1),"")&amp;IFERROR(INDEX(S09_Warlock!$BZ$69:$BZ$98,MATCH(Character_Spellcasting!CN40,S09_Warlock!$BY$69:$BY$98,0),1),"")&amp;IFERROR(INDEX(S10_Wizard!$BZ$69:$BZ$98,MATCH(Character_Spellcasting!CN40,S10_Wizard!$BY$69:$BY$98,0),1),"")</f>
        <v/>
      </c>
      <c r="CU40" s="1096"/>
      <c r="CV40" s="567"/>
      <c r="CW40" s="565"/>
      <c r="CX40" s="565"/>
      <c r="CY40" s="565"/>
      <c r="CZ40" s="565"/>
      <c r="DA40" s="610">
        <v>34</v>
      </c>
      <c r="DB40" s="1061" t="str">
        <f t="shared" si="2"/>
        <v/>
      </c>
      <c r="DC40" s="1061"/>
      <c r="DD40" s="1061"/>
      <c r="DE40" s="1061"/>
      <c r="DF40" s="1061"/>
      <c r="DG40" s="1096" t="str">
        <f t="shared" si="3"/>
        <v/>
      </c>
      <c r="DH40" s="1096"/>
      <c r="DI40" s="565"/>
      <c r="DJ40" s="565"/>
      <c r="DK40" s="565"/>
      <c r="DL40" s="565"/>
      <c r="DM40" s="565"/>
      <c r="DN40" s="565"/>
      <c r="DO40" s="565"/>
      <c r="DP40" s="565"/>
      <c r="DQ40" s="565"/>
      <c r="DR40" s="565"/>
      <c r="DS40" s="565"/>
      <c r="DT40" s="565"/>
      <c r="DU40" s="565"/>
      <c r="DV40" s="565"/>
    </row>
    <row r="41" spans="1:126" ht="21" x14ac:dyDescent="0.25">
      <c r="A41" s="120"/>
      <c r="B41" s="610">
        <v>35</v>
      </c>
      <c r="C41" s="1061"/>
      <c r="D41" s="1061"/>
      <c r="E41" s="1061"/>
      <c r="F41" s="1061"/>
      <c r="G41" s="1061"/>
      <c r="H41" s="1096"/>
      <c r="I41" s="1096"/>
      <c r="J41" s="120"/>
      <c r="K41" s="120"/>
      <c r="L41" s="591">
        <v>35</v>
      </c>
      <c r="M41" s="1061" t="str">
        <f>IFERROR(INDEX(S01_Bard!$C$6:$C$35,MATCH(Character_Spellcasting!L41,S01_Bard!$E$69:$E$98,0),1),"")&amp;IFERROR(INDEX(S02_Cleric!$C$6:$C$35,MATCH(Character_Spellcasting!L41,S02_Cleric!$E$69:$E$98,0),1),"")&amp;IFERROR(INDEX(S03_Druid!$C$6:$C$35,MATCH(Character_Spellcasting!L41,S03_Druid!$E$69:$E$98,0),1),"")&amp;IFERROR(INDEX(S04_EldritchKnight!$C$6:$C$35,MATCH(Character_Spellcasting!L41,S04_EldritchKnight!$E$69:$E$98,0),1),"")&amp;IFERROR(INDEX(S05_Paladin!$C$6:$C$35,MATCH(Character_Spellcasting!L41,S05_Paladin!$E$69:$E$98,0),1),"")&amp;IFERROR(INDEX(S06_Ranger!$C$6:$C$35,MATCH(Character_Spellcasting!L41,S06_Ranger!$E$69:$E$988,0),1),"")&amp;IFERROR(INDEX(S07_ArcaneTrickster!$C$6:$C$35,MATCH(Character_Spellcasting!L41,S07_ArcaneTrickster!$E$69:$E$988,0),1),"")&amp;IFERROR(INDEX(S08_Sorcerer!$C$6:$C$35,MATCH(Character_Spellcasting!L41,S08_Sorcerer!$E$69:$E$98,0),1),"")&amp;IFERROR(INDEX(S09_Warlock!$C$6:$C$35,MATCH(Character_Spellcasting!L41,S09_Warlock!$E$69:$E$98,0),1),"")&amp;IFERROR(INDEX(S10_Wizard!$C$6:$C$35,MATCH(Character_Spellcasting!L41,S10_Wizard!$E$69:$E$98,0),1),"")</f>
        <v/>
      </c>
      <c r="N41" s="1061"/>
      <c r="O41" s="1061"/>
      <c r="P41" s="1061"/>
      <c r="Q41" s="1061"/>
      <c r="R41" s="1096" t="str">
        <f>IFERROR(INDEX(S01_Bard!$F$69:$F$98,MATCH(Character_Spellcasting!L41,S01_Bard!$D$69:$D$98,0),1),"")&amp;IFERROR(INDEX(S02_Cleric!$F$69:$F$98,MATCH(Character_Spellcasting!L41,S02_Cleric!$E$69:$E$98,0),1),"")&amp;IFERROR(INDEX(S03_Druid!$F$69:$F$98,MATCH(Character_Spellcasting!L41,S03_Druid!$E$69:$E$98,0),1),"")&amp;IFERROR(INDEX(S04_EldritchKnight!$F$69:$F$98,MATCH(Character_Spellcasting!L41,S04_EldritchKnight!$E$69:$E$98,0),1),"")&amp;IFERROR(INDEX(S05_Paladin!$F$69:$F$98,MATCH(Character_Spellcasting!L41,S05_Paladin!$E$69:$E$98,0),1),"")&amp;IFERROR(INDEX(S06_Ranger!$F$69:$F$98,MATCH(Character_Spellcasting!L41,S06_Ranger!$E$69:$E$988,0),1),"")&amp;IFERROR(INDEX(S07_ArcaneTrickster!$F$69:$F$98,MATCH(Character_Spellcasting!L41,S07_ArcaneTrickster!$E$69:$E$988,0),1),"")&amp;IFERROR(INDEX(S08_Sorcerer!$F$69:$F$98,MATCH(Character_Spellcasting!L41,S08_Sorcerer!$E$69:$E$98,0),1),"")&amp;IFERROR(INDEX(S09_Warlock!$F$69:$F$98,MATCH(Character_Spellcasting!L41,S09_Warlock!$E$69:$E$98,0),1),"")&amp;IFERROR(INDEX(S10_Wizard!$F$69:$F$98,MATCH(Character_Spellcasting!L41,S10_Wizard!$E$69:$E$98,0),1),"")</f>
        <v/>
      </c>
      <c r="S41" s="1096"/>
      <c r="T41" s="567"/>
      <c r="U41" s="565"/>
      <c r="V41" s="591">
        <v>35</v>
      </c>
      <c r="W41" s="1061" t="str">
        <f>IFERROR(INDEX(S01_Bard!$L$6:$L$35,MATCH(Character_Spellcasting!V41,S01_Bard!$N$69:$N$98,0),1),"")&amp;IFERROR(INDEX(S02_Cleric!$L$6:$L$35,MATCH(Character_Spellcasting!V41,S02_Cleric!$N$69:$N$98,0),1),"")&amp;IFERROR(INDEX(S03_Druid!$L$6:$L$35,MATCH(Character_Spellcasting!V41,S03_Druid!$N$69:$N$98,0),1),"")&amp;IFERROR(INDEX(S04_EldritchKnight!$L$6:$L$35,MATCH(Character_Spellcasting!V41,S04_EldritchKnight!$N$69:$N$98,0),1),"")&amp;IFERROR(INDEX(S05_Paladin!$L$6:$L$35,MATCH(Character_Spellcasting!V41,S05_Paladin!$N$69:$N$98,0),1),"")&amp;IFERROR(INDEX(S06_Ranger!$L$6:$L$35,MATCH(Character_Spellcasting!V41,S06_Ranger!$N$69:$N$988,0),1),"")&amp;IFERROR(INDEX(S07_ArcaneTrickster!$L$6:$L$35,MATCH(Character_Spellcasting!V41,S07_ArcaneTrickster!$N$69:$N$988,0),1),"")&amp;IFERROR(INDEX(S08_Sorcerer!$L$6:$L$35,MATCH(Character_Spellcasting!V41,S08_Sorcerer!$N$69:$N$98,0),1),"")&amp;IFERROR(INDEX(S09_Warlock!$L$6:$L$35,MATCH(Character_Spellcasting!V41,S09_Warlock!$N$69:$N$98,0),1),"")&amp;IFERROR(INDEX(S10_Wizard!$L$6:$L$35,MATCH(Character_Spellcasting!V41,S10_Wizard!$N$69:$N$98,0),1),"")</f>
        <v/>
      </c>
      <c r="X41" s="1061"/>
      <c r="Y41" s="1061"/>
      <c r="Z41" s="1061"/>
      <c r="AA41" s="1061"/>
      <c r="AB41" s="1097" t="str">
        <f>IFERROR(INDEX(S01_Bard!$O$69:$O$98,MATCH(Character_Spellcasting!V41,S01_Bard!$N$69:$N$98,0),1),"")&amp;IFERROR(INDEX(S02_Cleric!$O$69:$O$98,MATCH(Character_Spellcasting!V41,S02_Cleric!$N$69:$N$98,0),1),"")&amp;IFERROR(INDEX(S03_Druid!$O$69:$O$98,MATCH(Character_Spellcasting!V41,S03_Druid!$N$69:$N$98,0),1),"")&amp;IFERROR(INDEX(S04_EldritchKnight!$O$69:$O$98,MATCH(Character_Spellcasting!V41,S04_EldritchKnight!$N$69:$N$98,0),1),"")&amp;IFERROR(INDEX(S05_Paladin!$O$69:$O$98,MATCH(Character_Spellcasting!V41,S05_Paladin!$N$69:$N$98,0),1),"")&amp;IFERROR(INDEX(S06_Ranger!$O$69:$O$98,MATCH(Character_Spellcasting!V41,S06_Ranger!$N$69:$N$988,0),1),"")&amp;IFERROR(INDEX(S07_ArcaneTrickster!$O$69:$O$98,MATCH(Character_Spellcasting!V41,S07_ArcaneTrickster!$N$69:$N$988,0),1),"")&amp;IFERROR(INDEX(S08_Sorcerer!$O$69:$O$98,MATCH(Character_Spellcasting!V41,S08_Sorcerer!$N$69:$N$98,0),1),"")&amp;IFERROR(INDEX(S09_Warlock!$O$69:$O$98,MATCH(Character_Spellcasting!V41,S09_Warlock!$N$69:$N$98,0),1),"")&amp;IFERROR(INDEX(S10_Wizard!$O$69:$O$98,MATCH(Character_Spellcasting!V41,S10_Wizard!$N$69:$N$98,0),1),"")</f>
        <v/>
      </c>
      <c r="AC41" s="1098"/>
      <c r="AD41" s="567"/>
      <c r="AE41" s="565"/>
      <c r="AF41" s="609">
        <v>35</v>
      </c>
      <c r="AG41" s="1061" t="str">
        <f>IFERROR(INDEX(S01_Bard!$U$6:$U$35,MATCH(Character_Spellcasting!AF41,S01_Bard!$W$69:$W$98,0),1),"")&amp;IFERROR(INDEX(S02_Cleric!$U$6:$U$35,MATCH(Character_Spellcasting!AF41,S02_Cleric!$W$69:$W$98,0),1),"")&amp;IFERROR(INDEX(S03_Druid!$U$6:$U$35,MATCH(Character_Spellcasting!AF41,S03_Druid!$W$69:$W$98,0),1),"")&amp;IFERROR(INDEX(S04_EldritchKnight!$U$6:$U$35,MATCH(Character_Spellcasting!AF41,S04_EldritchKnight!$W$69:$W$98,0),1),"")&amp;IFERROR(INDEX(S05_Paladin!$U$6:$U$35,MATCH(Character_Spellcasting!AF41,S05_Paladin!$W$69:$W$98,0),1),"")&amp;IFERROR(INDEX(S06_Ranger!$U$6:$U$35,MATCH(Character_Spellcasting!AF41,S06_Ranger!$W$69:$W$988,0),1),"")&amp;IFERROR(INDEX(S07_ArcaneTrickster!$U$6:$U$35,MATCH(Character_Spellcasting!AF41,S07_ArcaneTrickster!$W$69:$W$988,0),1),"")&amp;IFERROR(INDEX(S08_Sorcerer!$U$6:$U$35,MATCH(Character_Spellcasting!AF41,S08_Sorcerer!$W$69:$W$98,0),1),"")&amp;IFERROR(INDEX(S09_Warlock!$U$6:$U$35,MATCH(Character_Spellcasting!AF41,S09_Warlock!$W$69:$W$98,0),1),"")&amp;IFERROR(INDEX(S10_Wizard!$U$6:$U$35,MATCH(Character_Spellcasting!AF41,S10_Wizard!$W$69:$W$98,0),1),"")</f>
        <v/>
      </c>
      <c r="AH41" s="1061"/>
      <c r="AI41" s="1061"/>
      <c r="AJ41" s="1061"/>
      <c r="AK41" s="1061"/>
      <c r="AL41" s="1097" t="str">
        <f>IFERROR(INDEX(S01_Bard!$X$69:$X$98,MATCH(Character_Spellcasting!AF41,S01_Bard!$W$69:$W$98,0),1),"")&amp;IFERROR(INDEX(S02_Cleric!$X$69:$X$98,MATCH(Character_Spellcasting!AF41,S02_Cleric!$W$69:$W$98,0),1),"")&amp;IFERROR(INDEX(S03_Druid!$X$69:$X$98,MATCH(Character_Spellcasting!AF41,S03_Druid!$W$69:$W$98,0),1),"")&amp;IFERROR(INDEX(S04_EldritchKnight!$X$69:$X$98,MATCH(Character_Spellcasting!AF41,S04_EldritchKnight!$W$69:$W$98,0),1),"")&amp;IFERROR(INDEX(S05_Paladin!$X$69:$X$98,MATCH(Character_Spellcasting!AF41,S05_Paladin!$W$69:$W$98,0),1),"")&amp;IFERROR(INDEX(S06_Ranger!$X$69:$X$98,MATCH(Character_Spellcasting!AF41,S06_Ranger!$W$69:$W$988,0),1),"")&amp;IFERROR(INDEX(S07_ArcaneTrickster!$X$69:$X$98,MATCH(Character_Spellcasting!AF41,S07_ArcaneTrickster!$W$69:$W$988,0),1),"")&amp;IFERROR(INDEX(S08_Sorcerer!$X$69:$X$98,MATCH(Character_Spellcasting!AF41,S08_Sorcerer!$W$69:$W$98,0),1),"")&amp;IFERROR(INDEX(S09_Warlock!$X$69:$X$98,MATCH(Character_Spellcasting!AF41,S09_Warlock!$W$69:$W$98,0),1),"")&amp;IFERROR(INDEX(S10_Wizard!$X$69:$X$98,MATCH(Character_Spellcasting!AF41,S10_Wizard!$W$69:$W$98,0),1),"")</f>
        <v/>
      </c>
      <c r="AM41" s="1098"/>
      <c r="AN41" s="567"/>
      <c r="AO41" s="565"/>
      <c r="AP41" s="591">
        <v>35</v>
      </c>
      <c r="AQ41" s="1061" t="str">
        <f>IFERROR(INDEX(S01_Bard!$AD$6:$AD$35,MATCH(Character_Spellcasting!AP41,S01_Bard!$AF$69:$AF$98,0),1),"")&amp;IFERROR(INDEX(S02_Cleric!$AD$6:$AD$35,MATCH(Character_Spellcasting!AP41,S02_Cleric!$AF$69:$AF$98,0),1),"")&amp;IFERROR(INDEX(S03_Druid!$AD$6:$AD$35,MATCH(Character_Spellcasting!AP41,S03_Druid!$AF$69:$AF$98,0),1),"")&amp;IFERROR(INDEX(S04_EldritchKnight!$AD$6:$AD$35,MATCH(Character_Spellcasting!AP41,S04_EldritchKnight!$AF$69:$AF$98,0),1),"")&amp;IFERROR(INDEX(S05_Paladin!$AD$6:$AD$35,MATCH(Character_Spellcasting!AP41,S05_Paladin!$AF$69:$AF$98,0),1),"")&amp;IFERROR(INDEX(S06_Ranger!$AD$6:$AD$35,MATCH(Character_Spellcasting!AP41,S06_Ranger!$AF$69:$AF$988,0),1),"")&amp;IFERROR(INDEX(S07_ArcaneTrickster!$AD$6:$AD$35,MATCH(Character_Spellcasting!AP41,S07_ArcaneTrickster!$AF$69:$AF$988,0),1),"")&amp;IFERROR(INDEX(S08_Sorcerer!$AD$6:$AD$35,MATCH(Character_Spellcasting!AP41,S08_Sorcerer!$AF$69:$AF$98,0),1),"")&amp;IFERROR(INDEX(S09_Warlock!$AD$6:$AD$35,MATCH(Character_Spellcasting!AP41,S09_Warlock!$AF$69:$AF$98,0),1),"")&amp;IFERROR(INDEX(S10_Wizard!$AD$6:$AD$35,MATCH(Character_Spellcasting!AP41,S10_Wizard!$AF$69:$AF$98,0),1),"")</f>
        <v/>
      </c>
      <c r="AR41" s="1061"/>
      <c r="AS41" s="1061"/>
      <c r="AT41" s="1061"/>
      <c r="AU41" s="1061"/>
      <c r="AV41" s="1096" t="str">
        <f>IFERROR(INDEX(S01_Bard!$AG$69:$AG$98,MATCH(Character_Spellcasting!AP41,S01_Bard!$D$69:$D$98,0),1),"")&amp;IFERROR(INDEX(S02_Cleric!$AG$69:$AG$98,MATCH(Character_Spellcasting!AP41,S02_Cleric!$AF$69:$AF$98,0),1),"")&amp;IFERROR(INDEX(S03_Druid!$AG$69:$AG$98,MATCH(Character_Spellcasting!AP41,S03_Druid!$AF$69:$AF$98,0),1),"")&amp;IFERROR(INDEX(S04_EldritchKnight!$AG$69:$AG$98,MATCH(Character_Spellcasting!AP41,S04_EldritchKnight!$AF$69:$AF$98,0),1),"")&amp;IFERROR(INDEX(S05_Paladin!$AG$69:$AG$98,MATCH(Character_Spellcasting!AP41,S05_Paladin!$AF$69:$AF$98,0),1),"")&amp;IFERROR(INDEX(S06_Ranger!$AG$69:$AG$98,MATCH(Character_Spellcasting!AP41,S06_Ranger!$AF$69:$AF$988,0),1),"")&amp;IFERROR(INDEX(S07_ArcaneTrickster!$AG$69:$AG$98,MATCH(Character_Spellcasting!AP41,S07_ArcaneTrickster!$AF$69:$AF$988,0),1),"")&amp;IFERROR(INDEX(S08_Sorcerer!$AG$69:$AG$98,MATCH(Character_Spellcasting!AP41,S08_Sorcerer!$AF$69:$AF$98,0),1),"")&amp;IFERROR(INDEX(S09_Warlock!$AG$69:$AG$98,MATCH(Character_Spellcasting!AP41,S09_Warlock!$AF$69:$AF$98,0),1),"")&amp;IFERROR(INDEX(S10_Wizard!$AG$69:$AG$98,MATCH(Character_Spellcasting!AP41,S10_Wizard!$AF$69:$AF$98,0),1),"")</f>
        <v/>
      </c>
      <c r="AW41" s="1096"/>
      <c r="AX41" s="567"/>
      <c r="AY41" s="565"/>
      <c r="AZ41" s="591">
        <v>35</v>
      </c>
      <c r="BA41" s="1061" t="str">
        <f>IFERROR(INDEX(S01_Bard!$AM$6:$AM$35,MATCH(Character_Spellcasting!AZ41,S01_Bard!$AO$69:$AO$98,0),1),"")&amp;IFERROR(INDEX(S02_Cleric!$AM$6:$AM$35,MATCH(Character_Spellcasting!AZ41,S02_Cleric!$AO$69:$AO$98,0),1),"")&amp;IFERROR(INDEX(S03_Druid!$AM$6:$AM$35,MATCH(Character_Spellcasting!AZ41,S03_Druid!$AO$69:$AO$98,0),1),"")&amp;IFERROR(INDEX(S04_EldritchKnight!$AM$6:$AM$35,MATCH(Character_Spellcasting!AZ41,S04_EldritchKnight!$AO$69:$AO$98,0),1),"")&amp;IFERROR(INDEX(S05_Paladin!$AM$6:$AM$35,MATCH(Character_Spellcasting!AZ41,S05_Paladin!$AO$69:$AO$98,0),1),"")&amp;IFERROR(INDEX(S06_Ranger!$AM$6:$AM$35,MATCH(Character_Spellcasting!AZ41,S06_Ranger!$AO$69:$AO$988,0),1),"")&amp;IFERROR(INDEX(S07_ArcaneTrickster!$AM$6:$AM$35,MATCH(Character_Spellcasting!AZ41,S07_ArcaneTrickster!$AO$69:$AO$988,0),1),"")&amp;IFERROR(INDEX(S08_Sorcerer!$AM$6:$AM$35,MATCH(Character_Spellcasting!AZ41,S08_Sorcerer!$AO$69:$AO$98,0),1),"")&amp;IFERROR(INDEX(S09_Warlock!$AM$6:$AM$35,MATCH(Character_Spellcasting!AZ41,S09_Warlock!$AO$69:$AO$98,0),1),"")&amp;IFERROR(INDEX(S10_Wizard!$AM$6:$AM$35,MATCH(Character_Spellcasting!AZ41,S10_Wizard!$AO$69:$AO$98,0),1),"")</f>
        <v/>
      </c>
      <c r="BB41" s="1061"/>
      <c r="BC41" s="1061"/>
      <c r="BD41" s="1061"/>
      <c r="BE41" s="1061"/>
      <c r="BF41" s="1096" t="str">
        <f>IFERROR(INDEX(S01_Bard!$AP$69:$AP$98,MATCH(Character_Spellcasting!AZ41,S01_Bard!$D$69:$D$98,0),1),"")&amp;IFERROR(INDEX(S02_Cleric!$AP$69:$AP$98,MATCH(Character_Spellcasting!AZ41,S02_Cleric!$AO$69:$AO$98,0),1),"")&amp;IFERROR(INDEX(S03_Druid!$AP$69:$AP$98,MATCH(Character_Spellcasting!AZ41,S03_Druid!$AO$69:$AO$98,0),1),"")&amp;IFERROR(INDEX(S04_EldritchKnight!$AP$69:$AP$98,MATCH(Character_Spellcasting!AZ41,S04_EldritchKnight!$AO$69:$AO$98,0),1),"")&amp;IFERROR(INDEX(S05_Paladin!$AP$69:$AP$98,MATCH(Character_Spellcasting!AZ41,S05_Paladin!$AO$69:$AO$98,0),1),"")&amp;IFERROR(INDEX(S06_Ranger!$AP$69:$AP$98,MATCH(Character_Spellcasting!AZ41,S06_Ranger!$AO$69:$AO$988,0),1),"")&amp;IFERROR(INDEX(S07_ArcaneTrickster!$AP$69:$AP$98,MATCH(Character_Spellcasting!AZ41,S07_ArcaneTrickster!$AO$69:$AO$988,0),1),"")&amp;IFERROR(INDEX(S08_Sorcerer!$AP$69:$AP$98,MATCH(Character_Spellcasting!AZ41,S08_Sorcerer!$AO$69:$AO$98,0),1),"")&amp;IFERROR(INDEX(S09_Warlock!$AP$69:$AP$98,MATCH(Character_Spellcasting!AZ41,S09_Warlock!$AO$69:$AO$98,0),1),"")&amp;IFERROR(INDEX(S10_Wizard!$AP$69:$AP$98,MATCH(Character_Spellcasting!AZ41,S10_Wizard!$AO$69:$AO$98,0),1),"")</f>
        <v/>
      </c>
      <c r="BG41" s="1096"/>
      <c r="BH41" s="567"/>
      <c r="BI41" s="120"/>
      <c r="BJ41" s="591">
        <v>35</v>
      </c>
      <c r="BK41" s="1061" t="str">
        <f>IFERROR(INDEX(S01_Bard!$AV$6:$AV$35,MATCH(Character_Spellcasting!BJ41,S01_Bard!$AX$69:$AX$98,0),1),"")&amp;IFERROR(INDEX(S02_Cleric!$AV$6:$AV$35,MATCH(Character_Spellcasting!BJ41,S02_Cleric!$AX$69:$AX$98,0),1),"")&amp;IFERROR(INDEX(S03_Druid!$AV$6:$AV$35,MATCH(Character_Spellcasting!BJ41,S03_Druid!$AX$69:$AX$98,0),1),"")&amp;IFERROR(INDEX(S04_EldritchKnight!$AV$6:$AV$35,MATCH(Character_Spellcasting!BJ41,S04_EldritchKnight!$AX$69:$AX$98,0),1),"")&amp;IFERROR(INDEX(S05_Paladin!$AV$6:$AV$35,MATCH(Character_Spellcasting!BJ41,S05_Paladin!$AX$69:$AX$98,0),1),"")&amp;IFERROR(INDEX(S06_Ranger!$AV$6:$AV$35,MATCH(Character_Spellcasting!BJ41,S06_Ranger!$AX$69:$AX$988,0),1),"")&amp;IFERROR(INDEX(S07_ArcaneTrickster!$AV$6:$AV$35,MATCH(Character_Spellcasting!BJ41,S07_ArcaneTrickster!$AX$69:$AX$988,0),1),"")&amp;IFERROR(INDEX(S08_Sorcerer!$AV$6:$AV$35,MATCH(Character_Spellcasting!BJ41,S08_Sorcerer!$AX$69:$AX$98,0),1),"")&amp;IFERROR(INDEX(S09_Warlock!$AV$6:$AV$35,MATCH(Character_Spellcasting!BJ41,S09_Warlock!$AX$69:$AX$98,0),1),"")&amp;IFERROR(INDEX(S10_Wizard!$AV$6:$AV$35,MATCH(Character_Spellcasting!BJ41,S10_Wizard!$AX$69:$AX$98,0),1),"")</f>
        <v/>
      </c>
      <c r="BL41" s="1061"/>
      <c r="BM41" s="1061"/>
      <c r="BN41" s="1061"/>
      <c r="BO41" s="1061"/>
      <c r="BP41" s="1096" t="str">
        <f>IFERROR(INDEX(S01_Bard!$AY$69:$AY$98,MATCH(Character_Spellcasting!BJ41,S01_Bard!$D$69:$D$98,0),1),"")&amp;IFERROR(INDEX(S02_Cleric!$AY$69:$AY$98,MATCH(Character_Spellcasting!BJ41,S02_Cleric!$AX$69:$AX$98,0),1),"")&amp;IFERROR(INDEX(S03_Druid!$AY$69:$AY$98,MATCH(Character_Spellcasting!BJ41,S03_Druid!$AX$69:$AX$98,0),1),"")&amp;IFERROR(INDEX(S04_EldritchKnight!$AY$69:$AY$98,MATCH(Character_Spellcasting!BJ41,S04_EldritchKnight!$AX$69:$AX$98,0),1),"")&amp;IFERROR(INDEX(S05_Paladin!$AY$69:$AY$98,MATCH(Character_Spellcasting!BJ41,S05_Paladin!$AX$69:$AX$98,0),1),"")&amp;IFERROR(INDEX(S06_Ranger!$AY$69:$AY$98,MATCH(Character_Spellcasting!BJ41,S06_Ranger!$AX$69:$AX$988,0),1),"")&amp;IFERROR(INDEX(S07_ArcaneTrickster!$AY$69:$AY$98,MATCH(Character_Spellcasting!BJ41,S07_ArcaneTrickster!$AX$69:$AX$988,0),1),"")&amp;IFERROR(INDEX(S08_Sorcerer!$AY$69:$AY$98,MATCH(Character_Spellcasting!BJ41,S08_Sorcerer!$AX$69:$AX$98,0),1),"")&amp;IFERROR(INDEX(S09_Warlock!$AY$69:$AY$98,MATCH(Character_Spellcasting!BJ41,S09_Warlock!$AX$69:$AX$98,0),1),"")&amp;IFERROR(INDEX(S10_Wizard!$AY$69:$AY$98,MATCH(Character_Spellcasting!BJ41,S10_Wizard!$AX$69:$AX$98,0),1),"")</f>
        <v/>
      </c>
      <c r="BQ41" s="1096"/>
      <c r="BR41" s="567"/>
      <c r="BS41" s="120"/>
      <c r="BT41" s="591">
        <v>35</v>
      </c>
      <c r="BU41" s="1061" t="str">
        <f>IFERROR(INDEX(S01_Bard!$BE$6:$BE$35,MATCH(Character_Spellcasting!BT41,S01_Bard!$BG$69:$BG$98,0),1),"")&amp;IFERROR(INDEX(S02_Cleric!$BE$6:$BE$35,MATCH(Character_Spellcasting!BT41,S02_Cleric!$BG$69:$BG$98,0),1),"")&amp;IFERROR(INDEX(S03_Druid!$BE$6:$BE$35,MATCH(Character_Spellcasting!BT41,S03_Druid!$BG$69:$BG$98,0),1),"")&amp;IFERROR(INDEX(S04_EldritchKnight!$BE$6:$BE$35,MATCH(Character_Spellcasting!BT41,S04_EldritchKnight!$BG$69:$BG$98,0),1),"")&amp;IFERROR(INDEX(S05_Paladin!$BE$6:$BE$35,MATCH(Character_Spellcasting!BT41,S05_Paladin!$BG$69:$BG$98,0),1),"")&amp;IFERROR(INDEX(S06_Ranger!$BE$6:$BE$35,MATCH(Character_Spellcasting!BT41,S06_Ranger!$BG$69:$BG$988,0),1),"")&amp;IFERROR(INDEX(S07_ArcaneTrickster!$BE$6:$BE$35,MATCH(Character_Spellcasting!BT41,S07_ArcaneTrickster!$BG$69:$BG$988,0),1),"")&amp;IFERROR(INDEX(S08_Sorcerer!$BE$6:$BE$35,MATCH(Character_Spellcasting!BT41,S08_Sorcerer!$BG$69:$BG$98,0),1),"")&amp;IFERROR(INDEX(S09_Warlock!$BE$6:$BE$35,MATCH(Character_Spellcasting!BT41,S09_Warlock!$BG$69:$BG$98,0),1),"")&amp;IFERROR(INDEX(S10_Wizard!$BE$6:$BE$35,MATCH(Character_Spellcasting!BT41,S10_Wizard!$BG$69:$BG$98,0),1),"")</f>
        <v/>
      </c>
      <c r="BV41" s="1061"/>
      <c r="BW41" s="1061"/>
      <c r="BX41" s="1061"/>
      <c r="BY41" s="1061"/>
      <c r="BZ41" s="1096" t="str">
        <f>IFERROR(INDEX(S01_Bard!$BH$69:$BH$98,MATCH(Character_Spellcasting!BT41,S01_Bard!$D$69:$D$98,0),1),"")&amp;IFERROR(INDEX(S02_Cleric!$BH$69:$BH$98,MATCH(Character_Spellcasting!BT41,S02_Cleric!$BG$69:$BG$98,0),1),"")&amp;IFERROR(INDEX(S03_Druid!$BH$69:$BH$98,MATCH(Character_Spellcasting!BT41,S03_Druid!$BG$69:$BG$98,0),1),"")&amp;IFERROR(INDEX(S04_EldritchKnight!$BH$69:$BH$98,MATCH(Character_Spellcasting!BT41,S04_EldritchKnight!$BG$69:$BG$98,0),1),"")&amp;IFERROR(INDEX(S05_Paladin!$BH$69:$BH$98,MATCH(Character_Spellcasting!BT41,S05_Paladin!$BG$69:$BG$98,0),1),"")&amp;IFERROR(INDEX(S06_Ranger!$BH$69:$BH$98,MATCH(Character_Spellcasting!BT41,S06_Ranger!$BG$69:$BG$988,0),1),"")&amp;IFERROR(INDEX(S07_ArcaneTrickster!$BH$69:$BH$98,MATCH(Character_Spellcasting!BT41,S07_ArcaneTrickster!$BG$69:$BG$988,0),1),"")&amp;IFERROR(INDEX(S08_Sorcerer!$BH$69:$BH$98,MATCH(Character_Spellcasting!BT41,S08_Sorcerer!$BG$69:$BG$98,0),1),"")&amp;IFERROR(INDEX(S09_Warlock!$BH$69:$BH$98,MATCH(Character_Spellcasting!BT41,S09_Warlock!$BG$69:$BG$98,0),1),"")&amp;IFERROR(INDEX(S10_Wizard!$BH$69:$BH$98,MATCH(Character_Spellcasting!BT41,S10_Wizard!$BG$69:$BG$98,0),1),"")</f>
        <v/>
      </c>
      <c r="CA41" s="1096"/>
      <c r="CB41" s="567"/>
      <c r="CC41" s="120"/>
      <c r="CD41" s="591">
        <v>35</v>
      </c>
      <c r="CE41" s="1061" t="str">
        <f>IFERROR(INDEX(S01_Bard!$BN$6:$BN$35,MATCH(Character_Spellcasting!CD41,S01_Bard!$BP$69:$BP$98,0),1),"")&amp;IFERROR(INDEX(S02_Cleric!$BN$6:$BN$35,MATCH(Character_Spellcasting!CD41,S02_Cleric!$BP$69:$BP$98,0),1),"")&amp;IFERROR(INDEX(S03_Druid!$BN$6:$BN$35,MATCH(Character_Spellcasting!CD41,S03_Druid!$BP$69:$BP$98,0),1),"")&amp;IFERROR(INDEX(S04_EldritchKnight!$BN$6:$BN$35,MATCH(Character_Spellcasting!CD41,S04_EldritchKnight!$BP$69:$BP$98,0),1),"")&amp;IFERROR(INDEX(S05_Paladin!$BN$6:$BN$35,MATCH(Character_Spellcasting!CD41,S05_Paladin!$BP$69:$BP$98,0),1),"")&amp;IFERROR(INDEX(S06_Ranger!$BN$6:$BN$35,MATCH(Character_Spellcasting!CD41,S06_Ranger!$BP$69:$BP$988,0),1),"")&amp;IFERROR(INDEX(S07_ArcaneTrickster!$BN$6:$BN$35,MATCH(Character_Spellcasting!CD41,S07_ArcaneTrickster!$BP$69:$BP$988,0),1),"")&amp;IFERROR(INDEX(S08_Sorcerer!$BN$6:$BN$35,MATCH(Character_Spellcasting!CD41,S08_Sorcerer!$BP$69:$BP$98,0),1),"")&amp;IFERROR(INDEX(S09_Warlock!$BN$6:$BN$35,MATCH(Character_Spellcasting!CD41,S09_Warlock!$BP$69:$BP$98,0),1),"")&amp;IFERROR(INDEX(S10_Wizard!$BN$6:$BN$35,MATCH(Character_Spellcasting!CD41,S10_Wizard!$BP$69:$BP$98,0),1),"")</f>
        <v/>
      </c>
      <c r="CF41" s="1061"/>
      <c r="CG41" s="1061"/>
      <c r="CH41" s="1061"/>
      <c r="CI41" s="1061"/>
      <c r="CJ41" s="1096" t="str">
        <f>IFERROR(INDEX(S01_Bard!$BQ$69:$BQ$98,MATCH(Character_Spellcasting!CD41,S01_Bard!$D$69:$D$98,0),1),"")&amp;IFERROR(INDEX(S02_Cleric!$BQ$69:$BQ$98,MATCH(Character_Spellcasting!CD41,S02_Cleric!$BP$69:$BP$98,0),1),"")&amp;IFERROR(INDEX(S03_Druid!$BQ$69:$BQ$98,MATCH(Character_Spellcasting!CD41,S03_Druid!$BP$69:$BP$98,0),1),"")&amp;IFERROR(INDEX(S04_EldritchKnight!$BQ$69:$BQ$98,MATCH(Character_Spellcasting!CD41,S04_EldritchKnight!$BP$69:$BP$98,0),1),"")&amp;IFERROR(INDEX(S05_Paladin!$BQ$69:$BQ$98,MATCH(Character_Spellcasting!CD41,S05_Paladin!$BP$69:$BP$98,0),1),"")&amp;IFERROR(INDEX(S06_Ranger!$BQ$69:$BQ$98,MATCH(Character_Spellcasting!CD41,S06_Ranger!$BP$69:$BP$988,0),1),"")&amp;IFERROR(INDEX(S07_ArcaneTrickster!$BQ$69:$BQ$98,MATCH(Character_Spellcasting!CD41,S07_ArcaneTrickster!$BP$69:$BP$988,0),1),"")&amp;IFERROR(INDEX(S08_Sorcerer!$BQ$69:$BQ$98,MATCH(Character_Spellcasting!CD41,S08_Sorcerer!$BP$69:$BP$98,0),1),"")&amp;IFERROR(INDEX(S09_Warlock!$BQ$69:$BQ$98,MATCH(Character_Spellcasting!CD41,S09_Warlock!$BP$69:$BP$98,0),1),"")&amp;IFERROR(INDEX(S10_Wizard!$BQ$69:$BQ$98,MATCH(Character_Spellcasting!CD41,S10_Wizard!$BP$69:$BP$98,0),1),"")</f>
        <v/>
      </c>
      <c r="CK41" s="1096"/>
      <c r="CL41" s="567"/>
      <c r="CM41" s="120"/>
      <c r="CN41" s="591">
        <v>35</v>
      </c>
      <c r="CO41" s="1061" t="str">
        <f>IFERROR(INDEX(S01_Bard!$BW$6:$BW$35,MATCH(Character_Spellcasting!CN41,S01_Bard!$BY$69:$BY$98,0),1),"")&amp;IFERROR(INDEX(S02_Cleric!$BW$6:$BW$35,MATCH(Character_Spellcasting!CN41,S02_Cleric!$BY$69:$BY$98,0),1),"")&amp;IFERROR(INDEX(S03_Druid!$BW$6:$BW$35,MATCH(Character_Spellcasting!CN41,S03_Druid!$BY$69:$BY$98,0),1),"")&amp;IFERROR(INDEX(S04_EldritchKnight!$BW$6:$BW$35,MATCH(Character_Spellcasting!CN41,S04_EldritchKnight!$BY$69:$BY$98,0),1),"")&amp;IFERROR(INDEX(S05_Paladin!$BW$6:$BW$35,MATCH(Character_Spellcasting!CN41,S05_Paladin!$BY$69:$BY$98,0),1),"")&amp;IFERROR(INDEX(S06_Ranger!$BW$6:$BW$35,MATCH(Character_Spellcasting!CN41,S06_Ranger!$BY$69:$BY$988,0),1),"")&amp;IFERROR(INDEX(S07_ArcaneTrickster!$BW$6:$BW$35,MATCH(Character_Spellcasting!CN41,S07_ArcaneTrickster!$BY$69:$BY$988,0),1),"")&amp;IFERROR(INDEX(S08_Sorcerer!$BW$6:$BW$35,MATCH(Character_Spellcasting!CN41,S08_Sorcerer!$BY$69:$BY$98,0),1),"")&amp;IFERROR(INDEX(S09_Warlock!$BW$6:$BW$35,MATCH(Character_Spellcasting!CN41,S09_Warlock!$BY$69:$BY$98,0),1),"")&amp;IFERROR(INDEX(S10_Wizard!$BW$6:$BW$35,MATCH(Character_Spellcasting!CN41,S10_Wizard!$BY$69:$BY$98,0),1),"")</f>
        <v/>
      </c>
      <c r="CP41" s="1061"/>
      <c r="CQ41" s="1061"/>
      <c r="CR41" s="1061"/>
      <c r="CS41" s="1061"/>
      <c r="CT41" s="1096" t="str">
        <f>IFERROR(INDEX(S01_Bard!$BZ$69:$BZ$98,MATCH(Character_Spellcasting!CN41,S01_Bard!$D$69:$D$98,0),1),"")&amp;IFERROR(INDEX(S02_Cleric!$BZ$69:$BZ$98,MATCH(Character_Spellcasting!CN41,S02_Cleric!$BY$69:$BY$98,0),1),"")&amp;IFERROR(INDEX(S03_Druid!$BZ$69:$BZ$98,MATCH(Character_Spellcasting!CN41,S03_Druid!$BY$69:$BY$98,0),1),"")&amp;IFERROR(INDEX(S04_EldritchKnight!$BZ$69:$BZ$98,MATCH(Character_Spellcasting!CN41,S04_EldritchKnight!$BY$69:$BY$98,0),1),"")&amp;IFERROR(INDEX(S05_Paladin!$BZ$69:$BZ$98,MATCH(Character_Spellcasting!CN41,S05_Paladin!$BY$69:$BY$98,0),1),"")&amp;IFERROR(INDEX(S06_Ranger!$BZ$69:$BZ$98,MATCH(Character_Spellcasting!CN41,S06_Ranger!$BY$69:$BY$988,0),1),"")&amp;IFERROR(INDEX(S07_ArcaneTrickster!$BZ$69:$BZ$98,MATCH(Character_Spellcasting!CN41,S07_ArcaneTrickster!$BY$69:$BY$988,0),1),"")&amp;IFERROR(INDEX(S08_Sorcerer!$BZ$69:$BZ$98,MATCH(Character_Spellcasting!CN41,S08_Sorcerer!$BY$69:$BY$98,0),1),"")&amp;IFERROR(INDEX(S09_Warlock!$BZ$69:$BZ$98,MATCH(Character_Spellcasting!CN41,S09_Warlock!$BY$69:$BY$98,0),1),"")&amp;IFERROR(INDEX(S10_Wizard!$BZ$69:$BZ$98,MATCH(Character_Spellcasting!CN41,S10_Wizard!$BY$69:$BY$98,0),1),"")</f>
        <v/>
      </c>
      <c r="CU41" s="1096"/>
      <c r="CV41" s="567"/>
      <c r="CW41" s="565"/>
      <c r="CX41" s="565"/>
      <c r="CY41" s="565"/>
      <c r="CZ41" s="565"/>
      <c r="DA41" s="610">
        <v>35</v>
      </c>
      <c r="DB41" s="1061" t="str">
        <f t="shared" si="2"/>
        <v/>
      </c>
      <c r="DC41" s="1061"/>
      <c r="DD41" s="1061"/>
      <c r="DE41" s="1061"/>
      <c r="DF41" s="1061"/>
      <c r="DG41" s="1096" t="str">
        <f t="shared" si="3"/>
        <v/>
      </c>
      <c r="DH41" s="1096"/>
      <c r="DI41" s="565"/>
      <c r="DJ41" s="565"/>
      <c r="DK41" s="565"/>
      <c r="DL41" s="565"/>
      <c r="DM41" s="565"/>
      <c r="DN41" s="565"/>
      <c r="DO41" s="565"/>
      <c r="DP41" s="565"/>
      <c r="DQ41" s="565"/>
      <c r="DR41" s="565"/>
      <c r="DS41" s="565"/>
      <c r="DT41" s="565"/>
      <c r="DU41" s="565"/>
      <c r="DV41" s="565"/>
    </row>
    <row r="42" spans="1:126" ht="21" x14ac:dyDescent="0.25">
      <c r="A42" s="120"/>
      <c r="B42" s="610">
        <v>36</v>
      </c>
      <c r="C42" s="1061"/>
      <c r="D42" s="1061"/>
      <c r="E42" s="1061"/>
      <c r="F42" s="1061"/>
      <c r="G42" s="1061"/>
      <c r="H42" s="1096"/>
      <c r="I42" s="1096"/>
      <c r="J42" s="120"/>
      <c r="K42" s="120"/>
      <c r="L42" s="591">
        <v>36</v>
      </c>
      <c r="M42" s="1061" t="str">
        <f>IFERROR(INDEX(S01_Bard!$C$6:$C$35,MATCH(Character_Spellcasting!L42,S01_Bard!$E$69:$E$98,0),1),"")&amp;IFERROR(INDEX(S02_Cleric!$C$6:$C$35,MATCH(Character_Spellcasting!L42,S02_Cleric!$E$69:$E$98,0),1),"")&amp;IFERROR(INDEX(S03_Druid!$C$6:$C$35,MATCH(Character_Spellcasting!L42,S03_Druid!$E$69:$E$98,0),1),"")&amp;IFERROR(INDEX(S04_EldritchKnight!$C$6:$C$35,MATCH(Character_Spellcasting!L42,S04_EldritchKnight!$E$69:$E$98,0),1),"")&amp;IFERROR(INDEX(S05_Paladin!$C$6:$C$35,MATCH(Character_Spellcasting!L42,S05_Paladin!$E$69:$E$98,0),1),"")&amp;IFERROR(INDEX(S06_Ranger!$C$6:$C$35,MATCH(Character_Spellcasting!L42,S06_Ranger!$E$69:$E$988,0),1),"")&amp;IFERROR(INDEX(S07_ArcaneTrickster!$C$6:$C$35,MATCH(Character_Spellcasting!L42,S07_ArcaneTrickster!$E$69:$E$988,0),1),"")&amp;IFERROR(INDEX(S08_Sorcerer!$C$6:$C$35,MATCH(Character_Spellcasting!L42,S08_Sorcerer!$E$69:$E$98,0),1),"")&amp;IFERROR(INDEX(S09_Warlock!$C$6:$C$35,MATCH(Character_Spellcasting!L42,S09_Warlock!$E$69:$E$98,0),1),"")&amp;IFERROR(INDEX(S10_Wizard!$C$6:$C$35,MATCH(Character_Spellcasting!L42,S10_Wizard!$E$69:$E$98,0),1),"")</f>
        <v/>
      </c>
      <c r="N42" s="1061"/>
      <c r="O42" s="1061"/>
      <c r="P42" s="1061"/>
      <c r="Q42" s="1061"/>
      <c r="R42" s="1096" t="str">
        <f>IFERROR(INDEX(S01_Bard!$F$69:$F$98,MATCH(Character_Spellcasting!L42,S01_Bard!$D$69:$D$98,0),1),"")&amp;IFERROR(INDEX(S02_Cleric!$F$69:$F$98,MATCH(Character_Spellcasting!L42,S02_Cleric!$E$69:$E$98,0),1),"")&amp;IFERROR(INDEX(S03_Druid!$F$69:$F$98,MATCH(Character_Spellcasting!L42,S03_Druid!$E$69:$E$98,0),1),"")&amp;IFERROR(INDEX(S04_EldritchKnight!$F$69:$F$98,MATCH(Character_Spellcasting!L42,S04_EldritchKnight!$E$69:$E$98,0),1),"")&amp;IFERROR(INDEX(S05_Paladin!$F$69:$F$98,MATCH(Character_Spellcasting!L42,S05_Paladin!$E$69:$E$98,0),1),"")&amp;IFERROR(INDEX(S06_Ranger!$F$69:$F$98,MATCH(Character_Spellcasting!L42,S06_Ranger!$E$69:$E$988,0),1),"")&amp;IFERROR(INDEX(S07_ArcaneTrickster!$F$69:$F$98,MATCH(Character_Spellcasting!L42,S07_ArcaneTrickster!$E$69:$E$988,0),1),"")&amp;IFERROR(INDEX(S08_Sorcerer!$F$69:$F$98,MATCH(Character_Spellcasting!L42,S08_Sorcerer!$E$69:$E$98,0),1),"")&amp;IFERROR(INDEX(S09_Warlock!$F$69:$F$98,MATCH(Character_Spellcasting!L42,S09_Warlock!$E$69:$E$98,0),1),"")&amp;IFERROR(INDEX(S10_Wizard!$F$69:$F$98,MATCH(Character_Spellcasting!L42,S10_Wizard!$E$69:$E$98,0),1),"")</f>
        <v/>
      </c>
      <c r="S42" s="1096"/>
      <c r="T42" s="567"/>
      <c r="U42" s="565"/>
      <c r="V42" s="591">
        <v>36</v>
      </c>
      <c r="W42" s="1061" t="str">
        <f>IFERROR(INDEX(S01_Bard!$L$6:$L$35,MATCH(Character_Spellcasting!V42,S01_Bard!$N$69:$N$98,0),1),"")&amp;IFERROR(INDEX(S02_Cleric!$L$6:$L$35,MATCH(Character_Spellcasting!V42,S02_Cleric!$N$69:$N$98,0),1),"")&amp;IFERROR(INDEX(S03_Druid!$L$6:$L$35,MATCH(Character_Spellcasting!V42,S03_Druid!$N$69:$N$98,0),1),"")&amp;IFERROR(INDEX(S04_EldritchKnight!$L$6:$L$35,MATCH(Character_Spellcasting!V42,S04_EldritchKnight!$N$69:$N$98,0),1),"")&amp;IFERROR(INDEX(S05_Paladin!$L$6:$L$35,MATCH(Character_Spellcasting!V42,S05_Paladin!$N$69:$N$98,0),1),"")&amp;IFERROR(INDEX(S06_Ranger!$L$6:$L$35,MATCH(Character_Spellcasting!V42,S06_Ranger!$N$69:$N$988,0),1),"")&amp;IFERROR(INDEX(S07_ArcaneTrickster!$L$6:$L$35,MATCH(Character_Spellcasting!V42,S07_ArcaneTrickster!$N$69:$N$988,0),1),"")&amp;IFERROR(INDEX(S08_Sorcerer!$L$6:$L$35,MATCH(Character_Spellcasting!V42,S08_Sorcerer!$N$69:$N$98,0),1),"")&amp;IFERROR(INDEX(S09_Warlock!$L$6:$L$35,MATCH(Character_Spellcasting!V42,S09_Warlock!$N$69:$N$98,0),1),"")&amp;IFERROR(INDEX(S10_Wizard!$L$6:$L$35,MATCH(Character_Spellcasting!V42,S10_Wizard!$N$69:$N$98,0),1),"")</f>
        <v/>
      </c>
      <c r="X42" s="1061"/>
      <c r="Y42" s="1061"/>
      <c r="Z42" s="1061"/>
      <c r="AA42" s="1061"/>
      <c r="AB42" s="1097" t="str">
        <f>IFERROR(INDEX(S01_Bard!$O$69:$O$98,MATCH(Character_Spellcasting!V42,S01_Bard!$N$69:$N$98,0),1),"")&amp;IFERROR(INDEX(S02_Cleric!$O$69:$O$98,MATCH(Character_Spellcasting!V42,S02_Cleric!$N$69:$N$98,0),1),"")&amp;IFERROR(INDEX(S03_Druid!$O$69:$O$98,MATCH(Character_Spellcasting!V42,S03_Druid!$N$69:$N$98,0),1),"")&amp;IFERROR(INDEX(S04_EldritchKnight!$O$69:$O$98,MATCH(Character_Spellcasting!V42,S04_EldritchKnight!$N$69:$N$98,0),1),"")&amp;IFERROR(INDEX(S05_Paladin!$O$69:$O$98,MATCH(Character_Spellcasting!V42,S05_Paladin!$N$69:$N$98,0),1),"")&amp;IFERROR(INDEX(S06_Ranger!$O$69:$O$98,MATCH(Character_Spellcasting!V42,S06_Ranger!$N$69:$N$988,0),1),"")&amp;IFERROR(INDEX(S07_ArcaneTrickster!$O$69:$O$98,MATCH(Character_Spellcasting!V42,S07_ArcaneTrickster!$N$69:$N$988,0),1),"")&amp;IFERROR(INDEX(S08_Sorcerer!$O$69:$O$98,MATCH(Character_Spellcasting!V42,S08_Sorcerer!$N$69:$N$98,0),1),"")&amp;IFERROR(INDEX(S09_Warlock!$O$69:$O$98,MATCH(Character_Spellcasting!V42,S09_Warlock!$N$69:$N$98,0),1),"")&amp;IFERROR(INDEX(S10_Wizard!$O$69:$O$98,MATCH(Character_Spellcasting!V42,S10_Wizard!$N$69:$N$98,0),1),"")</f>
        <v/>
      </c>
      <c r="AC42" s="1098"/>
      <c r="AD42" s="567"/>
      <c r="AE42" s="565"/>
      <c r="AF42" s="609">
        <v>36</v>
      </c>
      <c r="AG42" s="1061" t="str">
        <f>IFERROR(INDEX(S01_Bard!$U$6:$U$35,MATCH(Character_Spellcasting!AF42,S01_Bard!$W$69:$W$98,0),1),"")&amp;IFERROR(INDEX(S02_Cleric!$U$6:$U$35,MATCH(Character_Spellcasting!AF42,S02_Cleric!$W$69:$W$98,0),1),"")&amp;IFERROR(INDEX(S03_Druid!$U$6:$U$35,MATCH(Character_Spellcasting!AF42,S03_Druid!$W$69:$W$98,0),1),"")&amp;IFERROR(INDEX(S04_EldritchKnight!$U$6:$U$35,MATCH(Character_Spellcasting!AF42,S04_EldritchKnight!$W$69:$W$98,0),1),"")&amp;IFERROR(INDEX(S05_Paladin!$U$6:$U$35,MATCH(Character_Spellcasting!AF42,S05_Paladin!$W$69:$W$98,0),1),"")&amp;IFERROR(INDEX(S06_Ranger!$U$6:$U$35,MATCH(Character_Spellcasting!AF42,S06_Ranger!$W$69:$W$988,0),1),"")&amp;IFERROR(INDEX(S07_ArcaneTrickster!$U$6:$U$35,MATCH(Character_Spellcasting!AF42,S07_ArcaneTrickster!$W$69:$W$988,0),1),"")&amp;IFERROR(INDEX(S08_Sorcerer!$U$6:$U$35,MATCH(Character_Spellcasting!AF42,S08_Sorcerer!$W$69:$W$98,0),1),"")&amp;IFERROR(INDEX(S09_Warlock!$U$6:$U$35,MATCH(Character_Spellcasting!AF42,S09_Warlock!$W$69:$W$98,0),1),"")&amp;IFERROR(INDEX(S10_Wizard!$U$6:$U$35,MATCH(Character_Spellcasting!AF42,S10_Wizard!$W$69:$W$98,0),1),"")</f>
        <v/>
      </c>
      <c r="AH42" s="1061"/>
      <c r="AI42" s="1061"/>
      <c r="AJ42" s="1061"/>
      <c r="AK42" s="1061"/>
      <c r="AL42" s="1097" t="str">
        <f>IFERROR(INDEX(S01_Bard!$X$69:$X$98,MATCH(Character_Spellcasting!AF42,S01_Bard!$W$69:$W$98,0),1),"")&amp;IFERROR(INDEX(S02_Cleric!$X$69:$X$98,MATCH(Character_Spellcasting!AF42,S02_Cleric!$W$69:$W$98,0),1),"")&amp;IFERROR(INDEX(S03_Druid!$X$69:$X$98,MATCH(Character_Spellcasting!AF42,S03_Druid!$W$69:$W$98,0),1),"")&amp;IFERROR(INDEX(S04_EldritchKnight!$X$69:$X$98,MATCH(Character_Spellcasting!AF42,S04_EldritchKnight!$W$69:$W$98,0),1),"")&amp;IFERROR(INDEX(S05_Paladin!$X$69:$X$98,MATCH(Character_Spellcasting!AF42,S05_Paladin!$W$69:$W$98,0),1),"")&amp;IFERROR(INDEX(S06_Ranger!$X$69:$X$98,MATCH(Character_Spellcasting!AF42,S06_Ranger!$W$69:$W$988,0),1),"")&amp;IFERROR(INDEX(S07_ArcaneTrickster!$X$69:$X$98,MATCH(Character_Spellcasting!AF42,S07_ArcaneTrickster!$W$69:$W$988,0),1),"")&amp;IFERROR(INDEX(S08_Sorcerer!$X$69:$X$98,MATCH(Character_Spellcasting!AF42,S08_Sorcerer!$W$69:$W$98,0),1),"")&amp;IFERROR(INDEX(S09_Warlock!$X$69:$X$98,MATCH(Character_Spellcasting!AF42,S09_Warlock!$W$69:$W$98,0),1),"")&amp;IFERROR(INDEX(S10_Wizard!$X$69:$X$98,MATCH(Character_Spellcasting!AF42,S10_Wizard!$W$69:$W$98,0),1),"")</f>
        <v/>
      </c>
      <c r="AM42" s="1098"/>
      <c r="AN42" s="567"/>
      <c r="AO42" s="565"/>
      <c r="AP42" s="591">
        <v>36</v>
      </c>
      <c r="AQ42" s="1061" t="str">
        <f>IFERROR(INDEX(S01_Bard!$AD$6:$AD$35,MATCH(Character_Spellcasting!AP42,S01_Bard!$AF$69:$AF$98,0),1),"")&amp;IFERROR(INDEX(S02_Cleric!$AD$6:$AD$35,MATCH(Character_Spellcasting!AP42,S02_Cleric!$AF$69:$AF$98,0),1),"")&amp;IFERROR(INDEX(S03_Druid!$AD$6:$AD$35,MATCH(Character_Spellcasting!AP42,S03_Druid!$AF$69:$AF$98,0),1),"")&amp;IFERROR(INDEX(S04_EldritchKnight!$AD$6:$AD$35,MATCH(Character_Spellcasting!AP42,S04_EldritchKnight!$AF$69:$AF$98,0),1),"")&amp;IFERROR(INDEX(S05_Paladin!$AD$6:$AD$35,MATCH(Character_Spellcasting!AP42,S05_Paladin!$AF$69:$AF$98,0),1),"")&amp;IFERROR(INDEX(S06_Ranger!$AD$6:$AD$35,MATCH(Character_Spellcasting!AP42,S06_Ranger!$AF$69:$AF$988,0),1),"")&amp;IFERROR(INDEX(S07_ArcaneTrickster!$AD$6:$AD$35,MATCH(Character_Spellcasting!AP42,S07_ArcaneTrickster!$AF$69:$AF$988,0),1),"")&amp;IFERROR(INDEX(S08_Sorcerer!$AD$6:$AD$35,MATCH(Character_Spellcasting!AP42,S08_Sorcerer!$AF$69:$AF$98,0),1),"")&amp;IFERROR(INDEX(S09_Warlock!$AD$6:$AD$35,MATCH(Character_Spellcasting!AP42,S09_Warlock!$AF$69:$AF$98,0),1),"")&amp;IFERROR(INDEX(S10_Wizard!$AD$6:$AD$35,MATCH(Character_Spellcasting!AP42,S10_Wizard!$AF$69:$AF$98,0),1),"")</f>
        <v/>
      </c>
      <c r="AR42" s="1061"/>
      <c r="AS42" s="1061"/>
      <c r="AT42" s="1061"/>
      <c r="AU42" s="1061"/>
      <c r="AV42" s="1096" t="str">
        <f>IFERROR(INDEX(S01_Bard!$AG$69:$AG$98,MATCH(Character_Spellcasting!AP42,S01_Bard!$D$69:$D$98,0),1),"")&amp;IFERROR(INDEX(S02_Cleric!$AG$69:$AG$98,MATCH(Character_Spellcasting!AP42,S02_Cleric!$AF$69:$AF$98,0),1),"")&amp;IFERROR(INDEX(S03_Druid!$AG$69:$AG$98,MATCH(Character_Spellcasting!AP42,S03_Druid!$AF$69:$AF$98,0),1),"")&amp;IFERROR(INDEX(S04_EldritchKnight!$AG$69:$AG$98,MATCH(Character_Spellcasting!AP42,S04_EldritchKnight!$AF$69:$AF$98,0),1),"")&amp;IFERROR(INDEX(S05_Paladin!$AG$69:$AG$98,MATCH(Character_Spellcasting!AP42,S05_Paladin!$AF$69:$AF$98,0),1),"")&amp;IFERROR(INDEX(S06_Ranger!$AG$69:$AG$98,MATCH(Character_Spellcasting!AP42,S06_Ranger!$AF$69:$AF$988,0),1),"")&amp;IFERROR(INDEX(S07_ArcaneTrickster!$AG$69:$AG$98,MATCH(Character_Spellcasting!AP42,S07_ArcaneTrickster!$AF$69:$AF$988,0),1),"")&amp;IFERROR(INDEX(S08_Sorcerer!$AG$69:$AG$98,MATCH(Character_Spellcasting!AP42,S08_Sorcerer!$AF$69:$AF$98,0),1),"")&amp;IFERROR(INDEX(S09_Warlock!$AG$69:$AG$98,MATCH(Character_Spellcasting!AP42,S09_Warlock!$AF$69:$AF$98,0),1),"")&amp;IFERROR(INDEX(S10_Wizard!$AG$69:$AG$98,MATCH(Character_Spellcasting!AP42,S10_Wizard!$AF$69:$AF$98,0),1),"")</f>
        <v/>
      </c>
      <c r="AW42" s="1096"/>
      <c r="AX42" s="567"/>
      <c r="AY42" s="565"/>
      <c r="AZ42" s="591">
        <v>36</v>
      </c>
      <c r="BA42" s="1061" t="str">
        <f>IFERROR(INDEX(S01_Bard!$AM$6:$AM$35,MATCH(Character_Spellcasting!AZ42,S01_Bard!$AO$69:$AO$98,0),1),"")&amp;IFERROR(INDEX(S02_Cleric!$AM$6:$AM$35,MATCH(Character_Spellcasting!AZ42,S02_Cleric!$AO$69:$AO$98,0),1),"")&amp;IFERROR(INDEX(S03_Druid!$AM$6:$AM$35,MATCH(Character_Spellcasting!AZ42,S03_Druid!$AO$69:$AO$98,0),1),"")&amp;IFERROR(INDEX(S04_EldritchKnight!$AM$6:$AM$35,MATCH(Character_Spellcasting!AZ42,S04_EldritchKnight!$AO$69:$AO$98,0),1),"")&amp;IFERROR(INDEX(S05_Paladin!$AM$6:$AM$35,MATCH(Character_Spellcasting!AZ42,S05_Paladin!$AO$69:$AO$98,0),1),"")&amp;IFERROR(INDEX(S06_Ranger!$AM$6:$AM$35,MATCH(Character_Spellcasting!AZ42,S06_Ranger!$AO$69:$AO$988,0),1),"")&amp;IFERROR(INDEX(S07_ArcaneTrickster!$AM$6:$AM$35,MATCH(Character_Spellcasting!AZ42,S07_ArcaneTrickster!$AO$69:$AO$988,0),1),"")&amp;IFERROR(INDEX(S08_Sorcerer!$AM$6:$AM$35,MATCH(Character_Spellcasting!AZ42,S08_Sorcerer!$AO$69:$AO$98,0),1),"")&amp;IFERROR(INDEX(S09_Warlock!$AM$6:$AM$35,MATCH(Character_Spellcasting!AZ42,S09_Warlock!$AO$69:$AO$98,0),1),"")&amp;IFERROR(INDEX(S10_Wizard!$AM$6:$AM$35,MATCH(Character_Spellcasting!AZ42,S10_Wizard!$AO$69:$AO$98,0),1),"")</f>
        <v/>
      </c>
      <c r="BB42" s="1061"/>
      <c r="BC42" s="1061"/>
      <c r="BD42" s="1061"/>
      <c r="BE42" s="1061"/>
      <c r="BF42" s="1096" t="str">
        <f>IFERROR(INDEX(S01_Bard!$AP$69:$AP$98,MATCH(Character_Spellcasting!AZ42,S01_Bard!$D$69:$D$98,0),1),"")&amp;IFERROR(INDEX(S02_Cleric!$AP$69:$AP$98,MATCH(Character_Spellcasting!AZ42,S02_Cleric!$AO$69:$AO$98,0),1),"")&amp;IFERROR(INDEX(S03_Druid!$AP$69:$AP$98,MATCH(Character_Spellcasting!AZ42,S03_Druid!$AO$69:$AO$98,0),1),"")&amp;IFERROR(INDEX(S04_EldritchKnight!$AP$69:$AP$98,MATCH(Character_Spellcasting!AZ42,S04_EldritchKnight!$AO$69:$AO$98,0),1),"")&amp;IFERROR(INDEX(S05_Paladin!$AP$69:$AP$98,MATCH(Character_Spellcasting!AZ42,S05_Paladin!$AO$69:$AO$98,0),1),"")&amp;IFERROR(INDEX(S06_Ranger!$AP$69:$AP$98,MATCH(Character_Spellcasting!AZ42,S06_Ranger!$AO$69:$AO$988,0),1),"")&amp;IFERROR(INDEX(S07_ArcaneTrickster!$AP$69:$AP$98,MATCH(Character_Spellcasting!AZ42,S07_ArcaneTrickster!$AO$69:$AO$988,0),1),"")&amp;IFERROR(INDEX(S08_Sorcerer!$AP$69:$AP$98,MATCH(Character_Spellcasting!AZ42,S08_Sorcerer!$AO$69:$AO$98,0),1),"")&amp;IFERROR(INDEX(S09_Warlock!$AP$69:$AP$98,MATCH(Character_Spellcasting!AZ42,S09_Warlock!$AO$69:$AO$98,0),1),"")&amp;IFERROR(INDEX(S10_Wizard!$AP$69:$AP$98,MATCH(Character_Spellcasting!AZ42,S10_Wizard!$AO$69:$AO$98,0),1),"")</f>
        <v/>
      </c>
      <c r="BG42" s="1096"/>
      <c r="BH42" s="567"/>
      <c r="BI42" s="120"/>
      <c r="BJ42" s="591">
        <v>36</v>
      </c>
      <c r="BK42" s="1061" t="str">
        <f>IFERROR(INDEX(S01_Bard!$AV$6:$AV$35,MATCH(Character_Spellcasting!BJ42,S01_Bard!$AX$69:$AX$98,0),1),"")&amp;IFERROR(INDEX(S02_Cleric!$AV$6:$AV$35,MATCH(Character_Spellcasting!BJ42,S02_Cleric!$AX$69:$AX$98,0),1),"")&amp;IFERROR(INDEX(S03_Druid!$AV$6:$AV$35,MATCH(Character_Spellcasting!BJ42,S03_Druid!$AX$69:$AX$98,0),1),"")&amp;IFERROR(INDEX(S04_EldritchKnight!$AV$6:$AV$35,MATCH(Character_Spellcasting!BJ42,S04_EldritchKnight!$AX$69:$AX$98,0),1),"")&amp;IFERROR(INDEX(S05_Paladin!$AV$6:$AV$35,MATCH(Character_Spellcasting!BJ42,S05_Paladin!$AX$69:$AX$98,0),1),"")&amp;IFERROR(INDEX(S06_Ranger!$AV$6:$AV$35,MATCH(Character_Spellcasting!BJ42,S06_Ranger!$AX$69:$AX$988,0),1),"")&amp;IFERROR(INDEX(S07_ArcaneTrickster!$AV$6:$AV$35,MATCH(Character_Spellcasting!BJ42,S07_ArcaneTrickster!$AX$69:$AX$988,0),1),"")&amp;IFERROR(INDEX(S08_Sorcerer!$AV$6:$AV$35,MATCH(Character_Spellcasting!BJ42,S08_Sorcerer!$AX$69:$AX$98,0),1),"")&amp;IFERROR(INDEX(S09_Warlock!$AV$6:$AV$35,MATCH(Character_Spellcasting!BJ42,S09_Warlock!$AX$69:$AX$98,0),1),"")&amp;IFERROR(INDEX(S10_Wizard!$AV$6:$AV$35,MATCH(Character_Spellcasting!BJ42,S10_Wizard!$AX$69:$AX$98,0),1),"")</f>
        <v/>
      </c>
      <c r="BL42" s="1061"/>
      <c r="BM42" s="1061"/>
      <c r="BN42" s="1061"/>
      <c r="BO42" s="1061"/>
      <c r="BP42" s="1096" t="str">
        <f>IFERROR(INDEX(S01_Bard!$AY$69:$AY$98,MATCH(Character_Spellcasting!BJ42,S01_Bard!$D$69:$D$98,0),1),"")&amp;IFERROR(INDEX(S02_Cleric!$AY$69:$AY$98,MATCH(Character_Spellcasting!BJ42,S02_Cleric!$AX$69:$AX$98,0),1),"")&amp;IFERROR(INDEX(S03_Druid!$AY$69:$AY$98,MATCH(Character_Spellcasting!BJ42,S03_Druid!$AX$69:$AX$98,0),1),"")&amp;IFERROR(INDEX(S04_EldritchKnight!$AY$69:$AY$98,MATCH(Character_Spellcasting!BJ42,S04_EldritchKnight!$AX$69:$AX$98,0),1),"")&amp;IFERROR(INDEX(S05_Paladin!$AY$69:$AY$98,MATCH(Character_Spellcasting!BJ42,S05_Paladin!$AX$69:$AX$98,0),1),"")&amp;IFERROR(INDEX(S06_Ranger!$AY$69:$AY$98,MATCH(Character_Spellcasting!BJ42,S06_Ranger!$AX$69:$AX$988,0),1),"")&amp;IFERROR(INDEX(S07_ArcaneTrickster!$AY$69:$AY$98,MATCH(Character_Spellcasting!BJ42,S07_ArcaneTrickster!$AX$69:$AX$988,0),1),"")&amp;IFERROR(INDEX(S08_Sorcerer!$AY$69:$AY$98,MATCH(Character_Spellcasting!BJ42,S08_Sorcerer!$AX$69:$AX$98,0),1),"")&amp;IFERROR(INDEX(S09_Warlock!$AY$69:$AY$98,MATCH(Character_Spellcasting!BJ42,S09_Warlock!$AX$69:$AX$98,0),1),"")&amp;IFERROR(INDEX(S10_Wizard!$AY$69:$AY$98,MATCH(Character_Spellcasting!BJ42,S10_Wizard!$AX$69:$AX$98,0),1),"")</f>
        <v/>
      </c>
      <c r="BQ42" s="1096"/>
      <c r="BR42" s="567"/>
      <c r="BS42" s="120"/>
      <c r="BT42" s="591">
        <v>36</v>
      </c>
      <c r="BU42" s="1061" t="str">
        <f>IFERROR(INDEX(S01_Bard!$BE$6:$BE$35,MATCH(Character_Spellcasting!BT42,S01_Bard!$BG$69:$BG$98,0),1),"")&amp;IFERROR(INDEX(S02_Cleric!$BE$6:$BE$35,MATCH(Character_Spellcasting!BT42,S02_Cleric!$BG$69:$BG$98,0),1),"")&amp;IFERROR(INDEX(S03_Druid!$BE$6:$BE$35,MATCH(Character_Spellcasting!BT42,S03_Druid!$BG$69:$BG$98,0),1),"")&amp;IFERROR(INDEX(S04_EldritchKnight!$BE$6:$BE$35,MATCH(Character_Spellcasting!BT42,S04_EldritchKnight!$BG$69:$BG$98,0),1),"")&amp;IFERROR(INDEX(S05_Paladin!$BE$6:$BE$35,MATCH(Character_Spellcasting!BT42,S05_Paladin!$BG$69:$BG$98,0),1),"")&amp;IFERROR(INDEX(S06_Ranger!$BE$6:$BE$35,MATCH(Character_Spellcasting!BT42,S06_Ranger!$BG$69:$BG$988,0),1),"")&amp;IFERROR(INDEX(S07_ArcaneTrickster!$BE$6:$BE$35,MATCH(Character_Spellcasting!BT42,S07_ArcaneTrickster!$BG$69:$BG$988,0),1),"")&amp;IFERROR(INDEX(S08_Sorcerer!$BE$6:$BE$35,MATCH(Character_Spellcasting!BT42,S08_Sorcerer!$BG$69:$BG$98,0),1),"")&amp;IFERROR(INDEX(S09_Warlock!$BE$6:$BE$35,MATCH(Character_Spellcasting!BT42,S09_Warlock!$BG$69:$BG$98,0),1),"")&amp;IFERROR(INDEX(S10_Wizard!$BE$6:$BE$35,MATCH(Character_Spellcasting!BT42,S10_Wizard!$BG$69:$BG$98,0),1),"")</f>
        <v/>
      </c>
      <c r="BV42" s="1061"/>
      <c r="BW42" s="1061"/>
      <c r="BX42" s="1061"/>
      <c r="BY42" s="1061"/>
      <c r="BZ42" s="1096" t="str">
        <f>IFERROR(INDEX(S01_Bard!$BH$69:$BH$98,MATCH(Character_Spellcasting!BT42,S01_Bard!$D$69:$D$98,0),1),"")&amp;IFERROR(INDEX(S02_Cleric!$BH$69:$BH$98,MATCH(Character_Spellcasting!BT42,S02_Cleric!$BG$69:$BG$98,0),1),"")&amp;IFERROR(INDEX(S03_Druid!$BH$69:$BH$98,MATCH(Character_Spellcasting!BT42,S03_Druid!$BG$69:$BG$98,0),1),"")&amp;IFERROR(INDEX(S04_EldritchKnight!$BH$69:$BH$98,MATCH(Character_Spellcasting!BT42,S04_EldritchKnight!$BG$69:$BG$98,0),1),"")&amp;IFERROR(INDEX(S05_Paladin!$BH$69:$BH$98,MATCH(Character_Spellcasting!BT42,S05_Paladin!$BG$69:$BG$98,0),1),"")&amp;IFERROR(INDEX(S06_Ranger!$BH$69:$BH$98,MATCH(Character_Spellcasting!BT42,S06_Ranger!$BG$69:$BG$988,0),1),"")&amp;IFERROR(INDEX(S07_ArcaneTrickster!$BH$69:$BH$98,MATCH(Character_Spellcasting!BT42,S07_ArcaneTrickster!$BG$69:$BG$988,0),1),"")&amp;IFERROR(INDEX(S08_Sorcerer!$BH$69:$BH$98,MATCH(Character_Spellcasting!BT42,S08_Sorcerer!$BG$69:$BG$98,0),1),"")&amp;IFERROR(INDEX(S09_Warlock!$BH$69:$BH$98,MATCH(Character_Spellcasting!BT42,S09_Warlock!$BG$69:$BG$98,0),1),"")&amp;IFERROR(INDEX(S10_Wizard!$BH$69:$BH$98,MATCH(Character_Spellcasting!BT42,S10_Wizard!$BG$69:$BG$98,0),1),"")</f>
        <v/>
      </c>
      <c r="CA42" s="1096"/>
      <c r="CB42" s="567"/>
      <c r="CC42" s="120"/>
      <c r="CD42" s="591">
        <v>36</v>
      </c>
      <c r="CE42" s="1061" t="str">
        <f>IFERROR(INDEX(S01_Bard!$BN$6:$BN$35,MATCH(Character_Spellcasting!CD42,S01_Bard!$BP$69:$BP$98,0),1),"")&amp;IFERROR(INDEX(S02_Cleric!$BN$6:$BN$35,MATCH(Character_Spellcasting!CD42,S02_Cleric!$BP$69:$BP$98,0),1),"")&amp;IFERROR(INDEX(S03_Druid!$BN$6:$BN$35,MATCH(Character_Spellcasting!CD42,S03_Druid!$BP$69:$BP$98,0),1),"")&amp;IFERROR(INDEX(S04_EldritchKnight!$BN$6:$BN$35,MATCH(Character_Spellcasting!CD42,S04_EldritchKnight!$BP$69:$BP$98,0),1),"")&amp;IFERROR(INDEX(S05_Paladin!$BN$6:$BN$35,MATCH(Character_Spellcasting!CD42,S05_Paladin!$BP$69:$BP$98,0),1),"")&amp;IFERROR(INDEX(S06_Ranger!$BN$6:$BN$35,MATCH(Character_Spellcasting!CD42,S06_Ranger!$BP$69:$BP$988,0),1),"")&amp;IFERROR(INDEX(S07_ArcaneTrickster!$BN$6:$BN$35,MATCH(Character_Spellcasting!CD42,S07_ArcaneTrickster!$BP$69:$BP$988,0),1),"")&amp;IFERROR(INDEX(S08_Sorcerer!$BN$6:$BN$35,MATCH(Character_Spellcasting!CD42,S08_Sorcerer!$BP$69:$BP$98,0),1),"")&amp;IFERROR(INDEX(S09_Warlock!$BN$6:$BN$35,MATCH(Character_Spellcasting!CD42,S09_Warlock!$BP$69:$BP$98,0),1),"")&amp;IFERROR(INDEX(S10_Wizard!$BN$6:$BN$35,MATCH(Character_Spellcasting!CD42,S10_Wizard!$BP$69:$BP$98,0),1),"")</f>
        <v/>
      </c>
      <c r="CF42" s="1061"/>
      <c r="CG42" s="1061"/>
      <c r="CH42" s="1061"/>
      <c r="CI42" s="1061"/>
      <c r="CJ42" s="1096" t="str">
        <f>IFERROR(INDEX(S01_Bard!$BQ$69:$BQ$98,MATCH(Character_Spellcasting!CD42,S01_Bard!$D$69:$D$98,0),1),"")&amp;IFERROR(INDEX(S02_Cleric!$BQ$69:$BQ$98,MATCH(Character_Spellcasting!CD42,S02_Cleric!$BP$69:$BP$98,0),1),"")&amp;IFERROR(INDEX(S03_Druid!$BQ$69:$BQ$98,MATCH(Character_Spellcasting!CD42,S03_Druid!$BP$69:$BP$98,0),1),"")&amp;IFERROR(INDEX(S04_EldritchKnight!$BQ$69:$BQ$98,MATCH(Character_Spellcasting!CD42,S04_EldritchKnight!$BP$69:$BP$98,0),1),"")&amp;IFERROR(INDEX(S05_Paladin!$BQ$69:$BQ$98,MATCH(Character_Spellcasting!CD42,S05_Paladin!$BP$69:$BP$98,0),1),"")&amp;IFERROR(INDEX(S06_Ranger!$BQ$69:$BQ$98,MATCH(Character_Spellcasting!CD42,S06_Ranger!$BP$69:$BP$988,0),1),"")&amp;IFERROR(INDEX(S07_ArcaneTrickster!$BQ$69:$BQ$98,MATCH(Character_Spellcasting!CD42,S07_ArcaneTrickster!$BP$69:$BP$988,0),1),"")&amp;IFERROR(INDEX(S08_Sorcerer!$BQ$69:$BQ$98,MATCH(Character_Spellcasting!CD42,S08_Sorcerer!$BP$69:$BP$98,0),1),"")&amp;IFERROR(INDEX(S09_Warlock!$BQ$69:$BQ$98,MATCH(Character_Spellcasting!CD42,S09_Warlock!$BP$69:$BP$98,0),1),"")&amp;IFERROR(INDEX(S10_Wizard!$BQ$69:$BQ$98,MATCH(Character_Spellcasting!CD42,S10_Wizard!$BP$69:$BP$98,0),1),"")</f>
        <v/>
      </c>
      <c r="CK42" s="1096"/>
      <c r="CL42" s="567"/>
      <c r="CM42" s="120"/>
      <c r="CN42" s="591">
        <v>36</v>
      </c>
      <c r="CO42" s="1061" t="str">
        <f>IFERROR(INDEX(S01_Bard!$BW$6:$BW$35,MATCH(Character_Spellcasting!CN42,S01_Bard!$BY$69:$BY$98,0),1),"")&amp;IFERROR(INDEX(S02_Cleric!$BW$6:$BW$35,MATCH(Character_Spellcasting!CN42,S02_Cleric!$BY$69:$BY$98,0),1),"")&amp;IFERROR(INDEX(S03_Druid!$BW$6:$BW$35,MATCH(Character_Spellcasting!CN42,S03_Druid!$BY$69:$BY$98,0),1),"")&amp;IFERROR(INDEX(S04_EldritchKnight!$BW$6:$BW$35,MATCH(Character_Spellcasting!CN42,S04_EldritchKnight!$BY$69:$BY$98,0),1),"")&amp;IFERROR(INDEX(S05_Paladin!$BW$6:$BW$35,MATCH(Character_Spellcasting!CN42,S05_Paladin!$BY$69:$BY$98,0),1),"")&amp;IFERROR(INDEX(S06_Ranger!$BW$6:$BW$35,MATCH(Character_Spellcasting!CN42,S06_Ranger!$BY$69:$BY$988,0),1),"")&amp;IFERROR(INDEX(S07_ArcaneTrickster!$BW$6:$BW$35,MATCH(Character_Spellcasting!CN42,S07_ArcaneTrickster!$BY$69:$BY$988,0),1),"")&amp;IFERROR(INDEX(S08_Sorcerer!$BW$6:$BW$35,MATCH(Character_Spellcasting!CN42,S08_Sorcerer!$BY$69:$BY$98,0),1),"")&amp;IFERROR(INDEX(S09_Warlock!$BW$6:$BW$35,MATCH(Character_Spellcasting!CN42,S09_Warlock!$BY$69:$BY$98,0),1),"")&amp;IFERROR(INDEX(S10_Wizard!$BW$6:$BW$35,MATCH(Character_Spellcasting!CN42,S10_Wizard!$BY$69:$BY$98,0),1),"")</f>
        <v/>
      </c>
      <c r="CP42" s="1061"/>
      <c r="CQ42" s="1061"/>
      <c r="CR42" s="1061"/>
      <c r="CS42" s="1061"/>
      <c r="CT42" s="1096" t="str">
        <f>IFERROR(INDEX(S01_Bard!$BZ$69:$BZ$98,MATCH(Character_Spellcasting!CN42,S01_Bard!$D$69:$D$98,0),1),"")&amp;IFERROR(INDEX(S02_Cleric!$BZ$69:$BZ$98,MATCH(Character_Spellcasting!CN42,S02_Cleric!$BY$69:$BY$98,0),1),"")&amp;IFERROR(INDEX(S03_Druid!$BZ$69:$BZ$98,MATCH(Character_Spellcasting!CN42,S03_Druid!$BY$69:$BY$98,0),1),"")&amp;IFERROR(INDEX(S04_EldritchKnight!$BZ$69:$BZ$98,MATCH(Character_Spellcasting!CN42,S04_EldritchKnight!$BY$69:$BY$98,0),1),"")&amp;IFERROR(INDEX(S05_Paladin!$BZ$69:$BZ$98,MATCH(Character_Spellcasting!CN42,S05_Paladin!$BY$69:$BY$98,0),1),"")&amp;IFERROR(INDEX(S06_Ranger!$BZ$69:$BZ$98,MATCH(Character_Spellcasting!CN42,S06_Ranger!$BY$69:$BY$988,0),1),"")&amp;IFERROR(INDEX(S07_ArcaneTrickster!$BZ$69:$BZ$98,MATCH(Character_Spellcasting!CN42,S07_ArcaneTrickster!$BY$69:$BY$988,0),1),"")&amp;IFERROR(INDEX(S08_Sorcerer!$BZ$69:$BZ$98,MATCH(Character_Spellcasting!CN42,S08_Sorcerer!$BY$69:$BY$98,0),1),"")&amp;IFERROR(INDEX(S09_Warlock!$BZ$69:$BZ$98,MATCH(Character_Spellcasting!CN42,S09_Warlock!$BY$69:$BY$98,0),1),"")&amp;IFERROR(INDEX(S10_Wizard!$BZ$69:$BZ$98,MATCH(Character_Spellcasting!CN42,S10_Wizard!$BY$69:$BY$98,0),1),"")</f>
        <v/>
      </c>
      <c r="CU42" s="1096"/>
      <c r="CV42" s="567"/>
      <c r="CW42" s="565"/>
      <c r="CX42" s="565"/>
      <c r="CY42" s="565"/>
      <c r="CZ42" s="565"/>
      <c r="DA42" s="610">
        <v>36</v>
      </c>
      <c r="DB42" s="1061" t="str">
        <f t="shared" si="2"/>
        <v/>
      </c>
      <c r="DC42" s="1061"/>
      <c r="DD42" s="1061"/>
      <c r="DE42" s="1061"/>
      <c r="DF42" s="1061"/>
      <c r="DG42" s="1096" t="str">
        <f t="shared" si="3"/>
        <v/>
      </c>
      <c r="DH42" s="1096"/>
      <c r="DI42" s="565"/>
      <c r="DJ42" s="565"/>
      <c r="DK42" s="565"/>
      <c r="DL42" s="565"/>
      <c r="DM42" s="565"/>
      <c r="DN42" s="565"/>
      <c r="DO42" s="565"/>
      <c r="DP42" s="565"/>
      <c r="DQ42" s="565"/>
      <c r="DR42" s="565"/>
      <c r="DS42" s="565"/>
      <c r="DT42" s="565"/>
      <c r="DU42" s="565"/>
      <c r="DV42" s="565"/>
    </row>
    <row r="43" spans="1:126" ht="21" x14ac:dyDescent="0.25">
      <c r="A43" s="120"/>
      <c r="B43" s="610">
        <v>37</v>
      </c>
      <c r="C43" s="1061"/>
      <c r="D43" s="1061"/>
      <c r="E43" s="1061"/>
      <c r="F43" s="1061"/>
      <c r="G43" s="1061"/>
      <c r="H43" s="1096"/>
      <c r="I43" s="1096"/>
      <c r="J43" s="120"/>
      <c r="K43" s="120"/>
      <c r="L43" s="591">
        <v>37</v>
      </c>
      <c r="M43" s="1061" t="str">
        <f>IFERROR(INDEX(S01_Bard!$C$6:$C$35,MATCH(Character_Spellcasting!L43,S01_Bard!$E$69:$E$98,0),1),"")&amp;IFERROR(INDEX(S02_Cleric!$C$6:$C$35,MATCH(Character_Spellcasting!L43,S02_Cleric!$E$69:$E$98,0),1),"")&amp;IFERROR(INDEX(S03_Druid!$C$6:$C$35,MATCH(Character_Spellcasting!L43,S03_Druid!$E$69:$E$98,0),1),"")&amp;IFERROR(INDEX(S04_EldritchKnight!$C$6:$C$35,MATCH(Character_Spellcasting!L43,S04_EldritchKnight!$E$69:$E$98,0),1),"")&amp;IFERROR(INDEX(S05_Paladin!$C$6:$C$35,MATCH(Character_Spellcasting!L43,S05_Paladin!$E$69:$E$98,0),1),"")&amp;IFERROR(INDEX(S06_Ranger!$C$6:$C$35,MATCH(Character_Spellcasting!L43,S06_Ranger!$E$69:$E$988,0),1),"")&amp;IFERROR(INDEX(S07_ArcaneTrickster!$C$6:$C$35,MATCH(Character_Spellcasting!L43,S07_ArcaneTrickster!$E$69:$E$988,0),1),"")&amp;IFERROR(INDEX(S08_Sorcerer!$C$6:$C$35,MATCH(Character_Spellcasting!L43,S08_Sorcerer!$E$69:$E$98,0),1),"")&amp;IFERROR(INDEX(S09_Warlock!$C$6:$C$35,MATCH(Character_Spellcasting!L43,S09_Warlock!$E$69:$E$98,0),1),"")&amp;IFERROR(INDEX(S10_Wizard!$C$6:$C$35,MATCH(Character_Spellcasting!L43,S10_Wizard!$E$69:$E$98,0),1),"")</f>
        <v/>
      </c>
      <c r="N43" s="1061"/>
      <c r="O43" s="1061"/>
      <c r="P43" s="1061"/>
      <c r="Q43" s="1061"/>
      <c r="R43" s="1096" t="str">
        <f>IFERROR(INDEX(S01_Bard!$F$69:$F$98,MATCH(Character_Spellcasting!L43,S01_Bard!$D$69:$D$98,0),1),"")&amp;IFERROR(INDEX(S02_Cleric!$F$69:$F$98,MATCH(Character_Spellcasting!L43,S02_Cleric!$E$69:$E$98,0),1),"")&amp;IFERROR(INDEX(S03_Druid!$F$69:$F$98,MATCH(Character_Spellcasting!L43,S03_Druid!$E$69:$E$98,0),1),"")&amp;IFERROR(INDEX(S04_EldritchKnight!$F$69:$F$98,MATCH(Character_Spellcasting!L43,S04_EldritchKnight!$E$69:$E$98,0),1),"")&amp;IFERROR(INDEX(S05_Paladin!$F$69:$F$98,MATCH(Character_Spellcasting!L43,S05_Paladin!$E$69:$E$98,0),1),"")&amp;IFERROR(INDEX(S06_Ranger!$F$69:$F$98,MATCH(Character_Spellcasting!L43,S06_Ranger!$E$69:$E$988,0),1),"")&amp;IFERROR(INDEX(S07_ArcaneTrickster!$F$69:$F$98,MATCH(Character_Spellcasting!L43,S07_ArcaneTrickster!$E$69:$E$988,0),1),"")&amp;IFERROR(INDEX(S08_Sorcerer!$F$69:$F$98,MATCH(Character_Spellcasting!L43,S08_Sorcerer!$E$69:$E$98,0),1),"")&amp;IFERROR(INDEX(S09_Warlock!$F$69:$F$98,MATCH(Character_Spellcasting!L43,S09_Warlock!$E$69:$E$98,0),1),"")&amp;IFERROR(INDEX(S10_Wizard!$F$69:$F$98,MATCH(Character_Spellcasting!L43,S10_Wizard!$E$69:$E$98,0),1),"")</f>
        <v/>
      </c>
      <c r="S43" s="1096"/>
      <c r="T43" s="567"/>
      <c r="U43" s="565"/>
      <c r="V43" s="591">
        <v>37</v>
      </c>
      <c r="W43" s="1061" t="str">
        <f>IFERROR(INDEX(S01_Bard!$L$6:$L$35,MATCH(Character_Spellcasting!V43,S01_Bard!$N$69:$N$98,0),1),"")&amp;IFERROR(INDEX(S02_Cleric!$L$6:$L$35,MATCH(Character_Spellcasting!V43,S02_Cleric!$N$69:$N$98,0),1),"")&amp;IFERROR(INDEX(S03_Druid!$L$6:$L$35,MATCH(Character_Spellcasting!V43,S03_Druid!$N$69:$N$98,0),1),"")&amp;IFERROR(INDEX(S04_EldritchKnight!$L$6:$L$35,MATCH(Character_Spellcasting!V43,S04_EldritchKnight!$N$69:$N$98,0),1),"")&amp;IFERROR(INDEX(S05_Paladin!$L$6:$L$35,MATCH(Character_Spellcasting!V43,S05_Paladin!$N$69:$N$98,0),1),"")&amp;IFERROR(INDEX(S06_Ranger!$L$6:$L$35,MATCH(Character_Spellcasting!V43,S06_Ranger!$N$69:$N$988,0),1),"")&amp;IFERROR(INDEX(S07_ArcaneTrickster!$L$6:$L$35,MATCH(Character_Spellcasting!V43,S07_ArcaneTrickster!$N$69:$N$988,0),1),"")&amp;IFERROR(INDEX(S08_Sorcerer!$L$6:$L$35,MATCH(Character_Spellcasting!V43,S08_Sorcerer!$N$69:$N$98,0),1),"")&amp;IFERROR(INDEX(S09_Warlock!$L$6:$L$35,MATCH(Character_Spellcasting!V43,S09_Warlock!$N$69:$N$98,0),1),"")&amp;IFERROR(INDEX(S10_Wizard!$L$6:$L$35,MATCH(Character_Spellcasting!V43,S10_Wizard!$N$69:$N$98,0),1),"")</f>
        <v/>
      </c>
      <c r="X43" s="1061"/>
      <c r="Y43" s="1061"/>
      <c r="Z43" s="1061"/>
      <c r="AA43" s="1061"/>
      <c r="AB43" s="1097" t="str">
        <f>IFERROR(INDEX(S01_Bard!$O$69:$O$98,MATCH(Character_Spellcasting!V43,S01_Bard!$N$69:$N$98,0),1),"")&amp;IFERROR(INDEX(S02_Cleric!$O$69:$O$98,MATCH(Character_Spellcasting!V43,S02_Cleric!$N$69:$N$98,0),1),"")&amp;IFERROR(INDEX(S03_Druid!$O$69:$O$98,MATCH(Character_Spellcasting!V43,S03_Druid!$N$69:$N$98,0),1),"")&amp;IFERROR(INDEX(S04_EldritchKnight!$O$69:$O$98,MATCH(Character_Spellcasting!V43,S04_EldritchKnight!$N$69:$N$98,0),1),"")&amp;IFERROR(INDEX(S05_Paladin!$O$69:$O$98,MATCH(Character_Spellcasting!V43,S05_Paladin!$N$69:$N$98,0),1),"")&amp;IFERROR(INDEX(S06_Ranger!$O$69:$O$98,MATCH(Character_Spellcasting!V43,S06_Ranger!$N$69:$N$988,0),1),"")&amp;IFERROR(INDEX(S07_ArcaneTrickster!$O$69:$O$98,MATCH(Character_Spellcasting!V43,S07_ArcaneTrickster!$N$69:$N$988,0),1),"")&amp;IFERROR(INDEX(S08_Sorcerer!$O$69:$O$98,MATCH(Character_Spellcasting!V43,S08_Sorcerer!$N$69:$N$98,0),1),"")&amp;IFERROR(INDEX(S09_Warlock!$O$69:$O$98,MATCH(Character_Spellcasting!V43,S09_Warlock!$N$69:$N$98,0),1),"")&amp;IFERROR(INDEX(S10_Wizard!$O$69:$O$98,MATCH(Character_Spellcasting!V43,S10_Wizard!$N$69:$N$98,0),1),"")</f>
        <v/>
      </c>
      <c r="AC43" s="1098"/>
      <c r="AD43" s="567"/>
      <c r="AE43" s="565"/>
      <c r="AF43" s="609">
        <v>37</v>
      </c>
      <c r="AG43" s="1061" t="str">
        <f>IFERROR(INDEX(S01_Bard!$U$6:$U$35,MATCH(Character_Spellcasting!AF43,S01_Bard!$W$69:$W$98,0),1),"")&amp;IFERROR(INDEX(S02_Cleric!$U$6:$U$35,MATCH(Character_Spellcasting!AF43,S02_Cleric!$W$69:$W$98,0),1),"")&amp;IFERROR(INDEX(S03_Druid!$U$6:$U$35,MATCH(Character_Spellcasting!AF43,S03_Druid!$W$69:$W$98,0),1),"")&amp;IFERROR(INDEX(S04_EldritchKnight!$U$6:$U$35,MATCH(Character_Spellcasting!AF43,S04_EldritchKnight!$W$69:$W$98,0),1),"")&amp;IFERROR(INDEX(S05_Paladin!$U$6:$U$35,MATCH(Character_Spellcasting!AF43,S05_Paladin!$W$69:$W$98,0),1),"")&amp;IFERROR(INDEX(S06_Ranger!$U$6:$U$35,MATCH(Character_Spellcasting!AF43,S06_Ranger!$W$69:$W$988,0),1),"")&amp;IFERROR(INDEX(S07_ArcaneTrickster!$U$6:$U$35,MATCH(Character_Spellcasting!AF43,S07_ArcaneTrickster!$W$69:$W$988,0),1),"")&amp;IFERROR(INDEX(S08_Sorcerer!$U$6:$U$35,MATCH(Character_Spellcasting!AF43,S08_Sorcerer!$W$69:$W$98,0),1),"")&amp;IFERROR(INDEX(S09_Warlock!$U$6:$U$35,MATCH(Character_Spellcasting!AF43,S09_Warlock!$W$69:$W$98,0),1),"")&amp;IFERROR(INDEX(S10_Wizard!$U$6:$U$35,MATCH(Character_Spellcasting!AF43,S10_Wizard!$W$69:$W$98,0),1),"")</f>
        <v/>
      </c>
      <c r="AH43" s="1061"/>
      <c r="AI43" s="1061"/>
      <c r="AJ43" s="1061"/>
      <c r="AK43" s="1061"/>
      <c r="AL43" s="1097" t="str">
        <f>IFERROR(INDEX(S01_Bard!$X$69:$X$98,MATCH(Character_Spellcasting!AF43,S01_Bard!$W$69:$W$98,0),1),"")&amp;IFERROR(INDEX(S02_Cleric!$X$69:$X$98,MATCH(Character_Spellcasting!AF43,S02_Cleric!$W$69:$W$98,0),1),"")&amp;IFERROR(INDEX(S03_Druid!$X$69:$X$98,MATCH(Character_Spellcasting!AF43,S03_Druid!$W$69:$W$98,0),1),"")&amp;IFERROR(INDEX(S04_EldritchKnight!$X$69:$X$98,MATCH(Character_Spellcasting!AF43,S04_EldritchKnight!$W$69:$W$98,0),1),"")&amp;IFERROR(INDEX(S05_Paladin!$X$69:$X$98,MATCH(Character_Spellcasting!AF43,S05_Paladin!$W$69:$W$98,0),1),"")&amp;IFERROR(INDEX(S06_Ranger!$X$69:$X$98,MATCH(Character_Spellcasting!AF43,S06_Ranger!$W$69:$W$988,0),1),"")&amp;IFERROR(INDEX(S07_ArcaneTrickster!$X$69:$X$98,MATCH(Character_Spellcasting!AF43,S07_ArcaneTrickster!$W$69:$W$988,0),1),"")&amp;IFERROR(INDEX(S08_Sorcerer!$X$69:$X$98,MATCH(Character_Spellcasting!AF43,S08_Sorcerer!$W$69:$W$98,0),1),"")&amp;IFERROR(INDEX(S09_Warlock!$X$69:$X$98,MATCH(Character_Spellcasting!AF43,S09_Warlock!$W$69:$W$98,0),1),"")&amp;IFERROR(INDEX(S10_Wizard!$X$69:$X$98,MATCH(Character_Spellcasting!AF43,S10_Wizard!$W$69:$W$98,0),1),"")</f>
        <v/>
      </c>
      <c r="AM43" s="1098"/>
      <c r="AN43" s="567"/>
      <c r="AO43" s="565"/>
      <c r="AP43" s="591">
        <v>37</v>
      </c>
      <c r="AQ43" s="1061" t="str">
        <f>IFERROR(INDEX(S01_Bard!$AD$6:$AD$35,MATCH(Character_Spellcasting!AP43,S01_Bard!$AF$69:$AF$98,0),1),"")&amp;IFERROR(INDEX(S02_Cleric!$AD$6:$AD$35,MATCH(Character_Spellcasting!AP43,S02_Cleric!$AF$69:$AF$98,0),1),"")&amp;IFERROR(INDEX(S03_Druid!$AD$6:$AD$35,MATCH(Character_Spellcasting!AP43,S03_Druid!$AF$69:$AF$98,0),1),"")&amp;IFERROR(INDEX(S04_EldritchKnight!$AD$6:$AD$35,MATCH(Character_Spellcasting!AP43,S04_EldritchKnight!$AF$69:$AF$98,0),1),"")&amp;IFERROR(INDEX(S05_Paladin!$AD$6:$AD$35,MATCH(Character_Spellcasting!AP43,S05_Paladin!$AF$69:$AF$98,0),1),"")&amp;IFERROR(INDEX(S06_Ranger!$AD$6:$AD$35,MATCH(Character_Spellcasting!AP43,S06_Ranger!$AF$69:$AF$988,0),1),"")&amp;IFERROR(INDEX(S07_ArcaneTrickster!$AD$6:$AD$35,MATCH(Character_Spellcasting!AP43,S07_ArcaneTrickster!$AF$69:$AF$988,0),1),"")&amp;IFERROR(INDEX(S08_Sorcerer!$AD$6:$AD$35,MATCH(Character_Spellcasting!AP43,S08_Sorcerer!$AF$69:$AF$98,0),1),"")&amp;IFERROR(INDEX(S09_Warlock!$AD$6:$AD$35,MATCH(Character_Spellcasting!AP43,S09_Warlock!$AF$69:$AF$98,0),1),"")&amp;IFERROR(INDEX(S10_Wizard!$AD$6:$AD$35,MATCH(Character_Spellcasting!AP43,S10_Wizard!$AF$69:$AF$98,0),1),"")</f>
        <v/>
      </c>
      <c r="AR43" s="1061"/>
      <c r="AS43" s="1061"/>
      <c r="AT43" s="1061"/>
      <c r="AU43" s="1061"/>
      <c r="AV43" s="1096" t="str">
        <f>IFERROR(INDEX(S01_Bard!$AG$69:$AG$98,MATCH(Character_Spellcasting!AP43,S01_Bard!$D$69:$D$98,0),1),"")&amp;IFERROR(INDEX(S02_Cleric!$AG$69:$AG$98,MATCH(Character_Spellcasting!AP43,S02_Cleric!$AF$69:$AF$98,0),1),"")&amp;IFERROR(INDEX(S03_Druid!$AG$69:$AG$98,MATCH(Character_Spellcasting!AP43,S03_Druid!$AF$69:$AF$98,0),1),"")&amp;IFERROR(INDEX(S04_EldritchKnight!$AG$69:$AG$98,MATCH(Character_Spellcasting!AP43,S04_EldritchKnight!$AF$69:$AF$98,0),1),"")&amp;IFERROR(INDEX(S05_Paladin!$AG$69:$AG$98,MATCH(Character_Spellcasting!AP43,S05_Paladin!$AF$69:$AF$98,0),1),"")&amp;IFERROR(INDEX(S06_Ranger!$AG$69:$AG$98,MATCH(Character_Spellcasting!AP43,S06_Ranger!$AF$69:$AF$988,0),1),"")&amp;IFERROR(INDEX(S07_ArcaneTrickster!$AG$69:$AG$98,MATCH(Character_Spellcasting!AP43,S07_ArcaneTrickster!$AF$69:$AF$988,0),1),"")&amp;IFERROR(INDEX(S08_Sorcerer!$AG$69:$AG$98,MATCH(Character_Spellcasting!AP43,S08_Sorcerer!$AF$69:$AF$98,0),1),"")&amp;IFERROR(INDEX(S09_Warlock!$AG$69:$AG$98,MATCH(Character_Spellcasting!AP43,S09_Warlock!$AF$69:$AF$98,0),1),"")&amp;IFERROR(INDEX(S10_Wizard!$AG$69:$AG$98,MATCH(Character_Spellcasting!AP43,S10_Wizard!$AF$69:$AF$98,0),1),"")</f>
        <v/>
      </c>
      <c r="AW43" s="1096"/>
      <c r="AX43" s="567"/>
      <c r="AY43" s="565"/>
      <c r="AZ43" s="591">
        <v>37</v>
      </c>
      <c r="BA43" s="1061" t="str">
        <f>IFERROR(INDEX(S01_Bard!$AM$6:$AM$35,MATCH(Character_Spellcasting!AZ43,S01_Bard!$AO$69:$AO$98,0),1),"")&amp;IFERROR(INDEX(S02_Cleric!$AM$6:$AM$35,MATCH(Character_Spellcasting!AZ43,S02_Cleric!$AO$69:$AO$98,0),1),"")&amp;IFERROR(INDEX(S03_Druid!$AM$6:$AM$35,MATCH(Character_Spellcasting!AZ43,S03_Druid!$AO$69:$AO$98,0),1),"")&amp;IFERROR(INDEX(S04_EldritchKnight!$AM$6:$AM$35,MATCH(Character_Spellcasting!AZ43,S04_EldritchKnight!$AO$69:$AO$98,0),1),"")&amp;IFERROR(INDEX(S05_Paladin!$AM$6:$AM$35,MATCH(Character_Spellcasting!AZ43,S05_Paladin!$AO$69:$AO$98,0),1),"")&amp;IFERROR(INDEX(S06_Ranger!$AM$6:$AM$35,MATCH(Character_Spellcasting!AZ43,S06_Ranger!$AO$69:$AO$988,0),1),"")&amp;IFERROR(INDEX(S07_ArcaneTrickster!$AM$6:$AM$35,MATCH(Character_Spellcasting!AZ43,S07_ArcaneTrickster!$AO$69:$AO$988,0),1),"")&amp;IFERROR(INDEX(S08_Sorcerer!$AM$6:$AM$35,MATCH(Character_Spellcasting!AZ43,S08_Sorcerer!$AO$69:$AO$98,0),1),"")&amp;IFERROR(INDEX(S09_Warlock!$AM$6:$AM$35,MATCH(Character_Spellcasting!AZ43,S09_Warlock!$AO$69:$AO$98,0),1),"")&amp;IFERROR(INDEX(S10_Wizard!$AM$6:$AM$35,MATCH(Character_Spellcasting!AZ43,S10_Wizard!$AO$69:$AO$98,0),1),"")</f>
        <v/>
      </c>
      <c r="BB43" s="1061"/>
      <c r="BC43" s="1061"/>
      <c r="BD43" s="1061"/>
      <c r="BE43" s="1061"/>
      <c r="BF43" s="1096" t="str">
        <f>IFERROR(INDEX(S01_Bard!$AP$69:$AP$98,MATCH(Character_Spellcasting!AZ43,S01_Bard!$D$69:$D$98,0),1),"")&amp;IFERROR(INDEX(S02_Cleric!$AP$69:$AP$98,MATCH(Character_Spellcasting!AZ43,S02_Cleric!$AO$69:$AO$98,0),1),"")&amp;IFERROR(INDEX(S03_Druid!$AP$69:$AP$98,MATCH(Character_Spellcasting!AZ43,S03_Druid!$AO$69:$AO$98,0),1),"")&amp;IFERROR(INDEX(S04_EldritchKnight!$AP$69:$AP$98,MATCH(Character_Spellcasting!AZ43,S04_EldritchKnight!$AO$69:$AO$98,0),1),"")&amp;IFERROR(INDEX(S05_Paladin!$AP$69:$AP$98,MATCH(Character_Spellcasting!AZ43,S05_Paladin!$AO$69:$AO$98,0),1),"")&amp;IFERROR(INDEX(S06_Ranger!$AP$69:$AP$98,MATCH(Character_Spellcasting!AZ43,S06_Ranger!$AO$69:$AO$988,0),1),"")&amp;IFERROR(INDEX(S07_ArcaneTrickster!$AP$69:$AP$98,MATCH(Character_Spellcasting!AZ43,S07_ArcaneTrickster!$AO$69:$AO$988,0),1),"")&amp;IFERROR(INDEX(S08_Sorcerer!$AP$69:$AP$98,MATCH(Character_Spellcasting!AZ43,S08_Sorcerer!$AO$69:$AO$98,0),1),"")&amp;IFERROR(INDEX(S09_Warlock!$AP$69:$AP$98,MATCH(Character_Spellcasting!AZ43,S09_Warlock!$AO$69:$AO$98,0),1),"")&amp;IFERROR(INDEX(S10_Wizard!$AP$69:$AP$98,MATCH(Character_Spellcasting!AZ43,S10_Wizard!$AO$69:$AO$98,0),1),"")</f>
        <v/>
      </c>
      <c r="BG43" s="1096"/>
      <c r="BH43" s="567"/>
      <c r="BI43" s="120"/>
      <c r="BJ43" s="591">
        <v>37</v>
      </c>
      <c r="BK43" s="1061" t="str">
        <f>IFERROR(INDEX(S01_Bard!$AV$6:$AV$35,MATCH(Character_Spellcasting!BJ43,S01_Bard!$AX$69:$AX$98,0),1),"")&amp;IFERROR(INDEX(S02_Cleric!$AV$6:$AV$35,MATCH(Character_Spellcasting!BJ43,S02_Cleric!$AX$69:$AX$98,0),1),"")&amp;IFERROR(INDEX(S03_Druid!$AV$6:$AV$35,MATCH(Character_Spellcasting!BJ43,S03_Druid!$AX$69:$AX$98,0),1),"")&amp;IFERROR(INDEX(S04_EldritchKnight!$AV$6:$AV$35,MATCH(Character_Spellcasting!BJ43,S04_EldritchKnight!$AX$69:$AX$98,0),1),"")&amp;IFERROR(INDEX(S05_Paladin!$AV$6:$AV$35,MATCH(Character_Spellcasting!BJ43,S05_Paladin!$AX$69:$AX$98,0),1),"")&amp;IFERROR(INDEX(S06_Ranger!$AV$6:$AV$35,MATCH(Character_Spellcasting!BJ43,S06_Ranger!$AX$69:$AX$988,0),1),"")&amp;IFERROR(INDEX(S07_ArcaneTrickster!$AV$6:$AV$35,MATCH(Character_Spellcasting!BJ43,S07_ArcaneTrickster!$AX$69:$AX$988,0),1),"")&amp;IFERROR(INDEX(S08_Sorcerer!$AV$6:$AV$35,MATCH(Character_Spellcasting!BJ43,S08_Sorcerer!$AX$69:$AX$98,0),1),"")&amp;IFERROR(INDEX(S09_Warlock!$AV$6:$AV$35,MATCH(Character_Spellcasting!BJ43,S09_Warlock!$AX$69:$AX$98,0),1),"")&amp;IFERROR(INDEX(S10_Wizard!$AV$6:$AV$35,MATCH(Character_Spellcasting!BJ43,S10_Wizard!$AX$69:$AX$98,0),1),"")</f>
        <v/>
      </c>
      <c r="BL43" s="1061"/>
      <c r="BM43" s="1061"/>
      <c r="BN43" s="1061"/>
      <c r="BO43" s="1061"/>
      <c r="BP43" s="1096" t="str">
        <f>IFERROR(INDEX(S01_Bard!$AY$69:$AY$98,MATCH(Character_Spellcasting!BJ43,S01_Bard!$D$69:$D$98,0),1),"")&amp;IFERROR(INDEX(S02_Cleric!$AY$69:$AY$98,MATCH(Character_Spellcasting!BJ43,S02_Cleric!$AX$69:$AX$98,0),1),"")&amp;IFERROR(INDEX(S03_Druid!$AY$69:$AY$98,MATCH(Character_Spellcasting!BJ43,S03_Druid!$AX$69:$AX$98,0),1),"")&amp;IFERROR(INDEX(S04_EldritchKnight!$AY$69:$AY$98,MATCH(Character_Spellcasting!BJ43,S04_EldritchKnight!$AX$69:$AX$98,0),1),"")&amp;IFERROR(INDEX(S05_Paladin!$AY$69:$AY$98,MATCH(Character_Spellcasting!BJ43,S05_Paladin!$AX$69:$AX$98,0),1),"")&amp;IFERROR(INDEX(S06_Ranger!$AY$69:$AY$98,MATCH(Character_Spellcasting!BJ43,S06_Ranger!$AX$69:$AX$988,0),1),"")&amp;IFERROR(INDEX(S07_ArcaneTrickster!$AY$69:$AY$98,MATCH(Character_Spellcasting!BJ43,S07_ArcaneTrickster!$AX$69:$AX$988,0),1),"")&amp;IFERROR(INDEX(S08_Sorcerer!$AY$69:$AY$98,MATCH(Character_Spellcasting!BJ43,S08_Sorcerer!$AX$69:$AX$98,0),1),"")&amp;IFERROR(INDEX(S09_Warlock!$AY$69:$AY$98,MATCH(Character_Spellcasting!BJ43,S09_Warlock!$AX$69:$AX$98,0),1),"")&amp;IFERROR(INDEX(S10_Wizard!$AY$69:$AY$98,MATCH(Character_Spellcasting!BJ43,S10_Wizard!$AX$69:$AX$98,0),1),"")</f>
        <v/>
      </c>
      <c r="BQ43" s="1096"/>
      <c r="BR43" s="567"/>
      <c r="BS43" s="120"/>
      <c r="BT43" s="591">
        <v>37</v>
      </c>
      <c r="BU43" s="1061" t="str">
        <f>IFERROR(INDEX(S01_Bard!$BE$6:$BE$35,MATCH(Character_Spellcasting!BT43,S01_Bard!$BG$69:$BG$98,0),1),"")&amp;IFERROR(INDEX(S02_Cleric!$BE$6:$BE$35,MATCH(Character_Spellcasting!BT43,S02_Cleric!$BG$69:$BG$98,0),1),"")&amp;IFERROR(INDEX(S03_Druid!$BE$6:$BE$35,MATCH(Character_Spellcasting!BT43,S03_Druid!$BG$69:$BG$98,0),1),"")&amp;IFERROR(INDEX(S04_EldritchKnight!$BE$6:$BE$35,MATCH(Character_Spellcasting!BT43,S04_EldritchKnight!$BG$69:$BG$98,0),1),"")&amp;IFERROR(INDEX(S05_Paladin!$BE$6:$BE$35,MATCH(Character_Spellcasting!BT43,S05_Paladin!$BG$69:$BG$98,0),1),"")&amp;IFERROR(INDEX(S06_Ranger!$BE$6:$BE$35,MATCH(Character_Spellcasting!BT43,S06_Ranger!$BG$69:$BG$988,0),1),"")&amp;IFERROR(INDEX(S07_ArcaneTrickster!$BE$6:$BE$35,MATCH(Character_Spellcasting!BT43,S07_ArcaneTrickster!$BG$69:$BG$988,0),1),"")&amp;IFERROR(INDEX(S08_Sorcerer!$BE$6:$BE$35,MATCH(Character_Spellcasting!BT43,S08_Sorcerer!$BG$69:$BG$98,0),1),"")&amp;IFERROR(INDEX(S09_Warlock!$BE$6:$BE$35,MATCH(Character_Spellcasting!BT43,S09_Warlock!$BG$69:$BG$98,0),1),"")&amp;IFERROR(INDEX(S10_Wizard!$BE$6:$BE$35,MATCH(Character_Spellcasting!BT43,S10_Wizard!$BG$69:$BG$98,0),1),"")</f>
        <v/>
      </c>
      <c r="BV43" s="1061"/>
      <c r="BW43" s="1061"/>
      <c r="BX43" s="1061"/>
      <c r="BY43" s="1061"/>
      <c r="BZ43" s="1096" t="str">
        <f>IFERROR(INDEX(S01_Bard!$BH$69:$BH$98,MATCH(Character_Spellcasting!BT43,S01_Bard!$D$69:$D$98,0),1),"")&amp;IFERROR(INDEX(S02_Cleric!$BH$69:$BH$98,MATCH(Character_Spellcasting!BT43,S02_Cleric!$BG$69:$BG$98,0),1),"")&amp;IFERROR(INDEX(S03_Druid!$BH$69:$BH$98,MATCH(Character_Spellcasting!BT43,S03_Druid!$BG$69:$BG$98,0),1),"")&amp;IFERROR(INDEX(S04_EldritchKnight!$BH$69:$BH$98,MATCH(Character_Spellcasting!BT43,S04_EldritchKnight!$BG$69:$BG$98,0),1),"")&amp;IFERROR(INDEX(S05_Paladin!$BH$69:$BH$98,MATCH(Character_Spellcasting!BT43,S05_Paladin!$BG$69:$BG$98,0),1),"")&amp;IFERROR(INDEX(S06_Ranger!$BH$69:$BH$98,MATCH(Character_Spellcasting!BT43,S06_Ranger!$BG$69:$BG$988,0),1),"")&amp;IFERROR(INDEX(S07_ArcaneTrickster!$BH$69:$BH$98,MATCH(Character_Spellcasting!BT43,S07_ArcaneTrickster!$BG$69:$BG$988,0),1),"")&amp;IFERROR(INDEX(S08_Sorcerer!$BH$69:$BH$98,MATCH(Character_Spellcasting!BT43,S08_Sorcerer!$BG$69:$BG$98,0),1),"")&amp;IFERROR(INDEX(S09_Warlock!$BH$69:$BH$98,MATCH(Character_Spellcasting!BT43,S09_Warlock!$BG$69:$BG$98,0),1),"")&amp;IFERROR(INDEX(S10_Wizard!$BH$69:$BH$98,MATCH(Character_Spellcasting!BT43,S10_Wizard!$BG$69:$BG$98,0),1),"")</f>
        <v/>
      </c>
      <c r="CA43" s="1096"/>
      <c r="CB43" s="567"/>
      <c r="CC43" s="120"/>
      <c r="CD43" s="591">
        <v>37</v>
      </c>
      <c r="CE43" s="1061" t="str">
        <f>IFERROR(INDEX(S01_Bard!$BN$6:$BN$35,MATCH(Character_Spellcasting!CD43,S01_Bard!$BP$69:$BP$98,0),1),"")&amp;IFERROR(INDEX(S02_Cleric!$BN$6:$BN$35,MATCH(Character_Spellcasting!CD43,S02_Cleric!$BP$69:$BP$98,0),1),"")&amp;IFERROR(INDEX(S03_Druid!$BN$6:$BN$35,MATCH(Character_Spellcasting!CD43,S03_Druid!$BP$69:$BP$98,0),1),"")&amp;IFERROR(INDEX(S04_EldritchKnight!$BN$6:$BN$35,MATCH(Character_Spellcasting!CD43,S04_EldritchKnight!$BP$69:$BP$98,0),1),"")&amp;IFERROR(INDEX(S05_Paladin!$BN$6:$BN$35,MATCH(Character_Spellcasting!CD43,S05_Paladin!$BP$69:$BP$98,0),1),"")&amp;IFERROR(INDEX(S06_Ranger!$BN$6:$BN$35,MATCH(Character_Spellcasting!CD43,S06_Ranger!$BP$69:$BP$988,0),1),"")&amp;IFERROR(INDEX(S07_ArcaneTrickster!$BN$6:$BN$35,MATCH(Character_Spellcasting!CD43,S07_ArcaneTrickster!$BP$69:$BP$988,0),1),"")&amp;IFERROR(INDEX(S08_Sorcerer!$BN$6:$BN$35,MATCH(Character_Spellcasting!CD43,S08_Sorcerer!$BP$69:$BP$98,0),1),"")&amp;IFERROR(INDEX(S09_Warlock!$BN$6:$BN$35,MATCH(Character_Spellcasting!CD43,S09_Warlock!$BP$69:$BP$98,0),1),"")&amp;IFERROR(INDEX(S10_Wizard!$BN$6:$BN$35,MATCH(Character_Spellcasting!CD43,S10_Wizard!$BP$69:$BP$98,0),1),"")</f>
        <v/>
      </c>
      <c r="CF43" s="1061"/>
      <c r="CG43" s="1061"/>
      <c r="CH43" s="1061"/>
      <c r="CI43" s="1061"/>
      <c r="CJ43" s="1096" t="str">
        <f>IFERROR(INDEX(S01_Bard!$BQ$69:$BQ$98,MATCH(Character_Spellcasting!CD43,S01_Bard!$D$69:$D$98,0),1),"")&amp;IFERROR(INDEX(S02_Cleric!$BQ$69:$BQ$98,MATCH(Character_Spellcasting!CD43,S02_Cleric!$BP$69:$BP$98,0),1),"")&amp;IFERROR(INDEX(S03_Druid!$BQ$69:$BQ$98,MATCH(Character_Spellcasting!CD43,S03_Druid!$BP$69:$BP$98,0),1),"")&amp;IFERROR(INDEX(S04_EldritchKnight!$BQ$69:$BQ$98,MATCH(Character_Spellcasting!CD43,S04_EldritchKnight!$BP$69:$BP$98,0),1),"")&amp;IFERROR(INDEX(S05_Paladin!$BQ$69:$BQ$98,MATCH(Character_Spellcasting!CD43,S05_Paladin!$BP$69:$BP$98,0),1),"")&amp;IFERROR(INDEX(S06_Ranger!$BQ$69:$BQ$98,MATCH(Character_Spellcasting!CD43,S06_Ranger!$BP$69:$BP$988,0),1),"")&amp;IFERROR(INDEX(S07_ArcaneTrickster!$BQ$69:$BQ$98,MATCH(Character_Spellcasting!CD43,S07_ArcaneTrickster!$BP$69:$BP$988,0),1),"")&amp;IFERROR(INDEX(S08_Sorcerer!$BQ$69:$BQ$98,MATCH(Character_Spellcasting!CD43,S08_Sorcerer!$BP$69:$BP$98,0),1),"")&amp;IFERROR(INDEX(S09_Warlock!$BQ$69:$BQ$98,MATCH(Character_Spellcasting!CD43,S09_Warlock!$BP$69:$BP$98,0),1),"")&amp;IFERROR(INDEX(S10_Wizard!$BQ$69:$BQ$98,MATCH(Character_Spellcasting!CD43,S10_Wizard!$BP$69:$BP$98,0),1),"")</f>
        <v/>
      </c>
      <c r="CK43" s="1096"/>
      <c r="CL43" s="567"/>
      <c r="CM43" s="120"/>
      <c r="CN43" s="591">
        <v>37</v>
      </c>
      <c r="CO43" s="1061" t="str">
        <f>IFERROR(INDEX(S01_Bard!$BW$6:$BW$35,MATCH(Character_Spellcasting!CN43,S01_Bard!$BY$69:$BY$98,0),1),"")&amp;IFERROR(INDEX(S02_Cleric!$BW$6:$BW$35,MATCH(Character_Spellcasting!CN43,S02_Cleric!$BY$69:$BY$98,0),1),"")&amp;IFERROR(INDEX(S03_Druid!$BW$6:$BW$35,MATCH(Character_Spellcasting!CN43,S03_Druid!$BY$69:$BY$98,0),1),"")&amp;IFERROR(INDEX(S04_EldritchKnight!$BW$6:$BW$35,MATCH(Character_Spellcasting!CN43,S04_EldritchKnight!$BY$69:$BY$98,0),1),"")&amp;IFERROR(INDEX(S05_Paladin!$BW$6:$BW$35,MATCH(Character_Spellcasting!CN43,S05_Paladin!$BY$69:$BY$98,0),1),"")&amp;IFERROR(INDEX(S06_Ranger!$BW$6:$BW$35,MATCH(Character_Spellcasting!CN43,S06_Ranger!$BY$69:$BY$988,0),1),"")&amp;IFERROR(INDEX(S07_ArcaneTrickster!$BW$6:$BW$35,MATCH(Character_Spellcasting!CN43,S07_ArcaneTrickster!$BY$69:$BY$988,0),1),"")&amp;IFERROR(INDEX(S08_Sorcerer!$BW$6:$BW$35,MATCH(Character_Spellcasting!CN43,S08_Sorcerer!$BY$69:$BY$98,0),1),"")&amp;IFERROR(INDEX(S09_Warlock!$BW$6:$BW$35,MATCH(Character_Spellcasting!CN43,S09_Warlock!$BY$69:$BY$98,0),1),"")&amp;IFERROR(INDEX(S10_Wizard!$BW$6:$BW$35,MATCH(Character_Spellcasting!CN43,S10_Wizard!$BY$69:$BY$98,0),1),"")</f>
        <v/>
      </c>
      <c r="CP43" s="1061"/>
      <c r="CQ43" s="1061"/>
      <c r="CR43" s="1061"/>
      <c r="CS43" s="1061"/>
      <c r="CT43" s="1096" t="str">
        <f>IFERROR(INDEX(S01_Bard!$BZ$69:$BZ$98,MATCH(Character_Spellcasting!CN43,S01_Bard!$D$69:$D$98,0),1),"")&amp;IFERROR(INDEX(S02_Cleric!$BZ$69:$BZ$98,MATCH(Character_Spellcasting!CN43,S02_Cleric!$BY$69:$BY$98,0),1),"")&amp;IFERROR(INDEX(S03_Druid!$BZ$69:$BZ$98,MATCH(Character_Spellcasting!CN43,S03_Druid!$BY$69:$BY$98,0),1),"")&amp;IFERROR(INDEX(S04_EldritchKnight!$BZ$69:$BZ$98,MATCH(Character_Spellcasting!CN43,S04_EldritchKnight!$BY$69:$BY$98,0),1),"")&amp;IFERROR(INDEX(S05_Paladin!$BZ$69:$BZ$98,MATCH(Character_Spellcasting!CN43,S05_Paladin!$BY$69:$BY$98,0),1),"")&amp;IFERROR(INDEX(S06_Ranger!$BZ$69:$BZ$98,MATCH(Character_Spellcasting!CN43,S06_Ranger!$BY$69:$BY$988,0),1),"")&amp;IFERROR(INDEX(S07_ArcaneTrickster!$BZ$69:$BZ$98,MATCH(Character_Spellcasting!CN43,S07_ArcaneTrickster!$BY$69:$BY$988,0),1),"")&amp;IFERROR(INDEX(S08_Sorcerer!$BZ$69:$BZ$98,MATCH(Character_Spellcasting!CN43,S08_Sorcerer!$BY$69:$BY$98,0),1),"")&amp;IFERROR(INDEX(S09_Warlock!$BZ$69:$BZ$98,MATCH(Character_Spellcasting!CN43,S09_Warlock!$BY$69:$BY$98,0),1),"")&amp;IFERROR(INDEX(S10_Wizard!$BZ$69:$BZ$98,MATCH(Character_Spellcasting!CN43,S10_Wizard!$BY$69:$BY$98,0),1),"")</f>
        <v/>
      </c>
      <c r="CU43" s="1096"/>
      <c r="CV43" s="567"/>
      <c r="CW43" s="565"/>
      <c r="CX43" s="565"/>
      <c r="CY43" s="565"/>
      <c r="CZ43" s="565"/>
      <c r="DA43" s="610">
        <v>37</v>
      </c>
      <c r="DB43" s="1061" t="str">
        <f t="shared" si="2"/>
        <v/>
      </c>
      <c r="DC43" s="1061"/>
      <c r="DD43" s="1061"/>
      <c r="DE43" s="1061"/>
      <c r="DF43" s="1061"/>
      <c r="DG43" s="1096" t="str">
        <f t="shared" si="3"/>
        <v/>
      </c>
      <c r="DH43" s="1096"/>
      <c r="DI43" s="565"/>
      <c r="DJ43" s="565"/>
      <c r="DK43" s="565"/>
      <c r="DL43" s="565"/>
      <c r="DM43" s="565"/>
      <c r="DN43" s="565"/>
      <c r="DO43" s="565"/>
      <c r="DP43" s="565"/>
      <c r="DQ43" s="565"/>
      <c r="DR43" s="565"/>
      <c r="DS43" s="565"/>
      <c r="DT43" s="565"/>
      <c r="DU43" s="565"/>
      <c r="DV43" s="565"/>
    </row>
    <row r="44" spans="1:126" ht="21" x14ac:dyDescent="0.25">
      <c r="A44" s="120"/>
      <c r="B44" s="610">
        <v>38</v>
      </c>
      <c r="C44" s="1061"/>
      <c r="D44" s="1061"/>
      <c r="E44" s="1061"/>
      <c r="F44" s="1061"/>
      <c r="G44" s="1061"/>
      <c r="H44" s="1096"/>
      <c r="I44" s="1096"/>
      <c r="J44" s="120"/>
      <c r="K44" s="120"/>
      <c r="L44" s="591">
        <v>38</v>
      </c>
      <c r="M44" s="1061" t="str">
        <f>IFERROR(INDEX(S01_Bard!$C$6:$C$35,MATCH(Character_Spellcasting!L44,S01_Bard!$E$69:$E$98,0),1),"")&amp;IFERROR(INDEX(S02_Cleric!$C$6:$C$35,MATCH(Character_Spellcasting!L44,S02_Cleric!$E$69:$E$98,0),1),"")&amp;IFERROR(INDEX(S03_Druid!$C$6:$C$35,MATCH(Character_Spellcasting!L44,S03_Druid!$E$69:$E$98,0),1),"")&amp;IFERROR(INDEX(S04_EldritchKnight!$C$6:$C$35,MATCH(Character_Spellcasting!L44,S04_EldritchKnight!$E$69:$E$98,0),1),"")&amp;IFERROR(INDEX(S05_Paladin!$C$6:$C$35,MATCH(Character_Spellcasting!L44,S05_Paladin!$E$69:$E$98,0),1),"")&amp;IFERROR(INDEX(S06_Ranger!$C$6:$C$35,MATCH(Character_Spellcasting!L44,S06_Ranger!$E$69:$E$988,0),1),"")&amp;IFERROR(INDEX(S07_ArcaneTrickster!$C$6:$C$35,MATCH(Character_Spellcasting!L44,S07_ArcaneTrickster!$E$69:$E$988,0),1),"")&amp;IFERROR(INDEX(S08_Sorcerer!$C$6:$C$35,MATCH(Character_Spellcasting!L44,S08_Sorcerer!$E$69:$E$98,0),1),"")&amp;IFERROR(INDEX(S09_Warlock!$C$6:$C$35,MATCH(Character_Spellcasting!L44,S09_Warlock!$E$69:$E$98,0),1),"")&amp;IFERROR(INDEX(S10_Wizard!$C$6:$C$35,MATCH(Character_Spellcasting!L44,S10_Wizard!$E$69:$E$98,0),1),"")</f>
        <v/>
      </c>
      <c r="N44" s="1061"/>
      <c r="O44" s="1061"/>
      <c r="P44" s="1061"/>
      <c r="Q44" s="1061"/>
      <c r="R44" s="1096" t="str">
        <f>IFERROR(INDEX(S01_Bard!$F$69:$F$98,MATCH(Character_Spellcasting!L44,S01_Bard!$D$69:$D$98,0),1),"")&amp;IFERROR(INDEX(S02_Cleric!$F$69:$F$98,MATCH(Character_Spellcasting!L44,S02_Cleric!$E$69:$E$98,0),1),"")&amp;IFERROR(INDEX(S03_Druid!$F$69:$F$98,MATCH(Character_Spellcasting!L44,S03_Druid!$E$69:$E$98,0),1),"")&amp;IFERROR(INDEX(S04_EldritchKnight!$F$69:$F$98,MATCH(Character_Spellcasting!L44,S04_EldritchKnight!$E$69:$E$98,0),1),"")&amp;IFERROR(INDEX(S05_Paladin!$F$69:$F$98,MATCH(Character_Spellcasting!L44,S05_Paladin!$E$69:$E$98,0),1),"")&amp;IFERROR(INDEX(S06_Ranger!$F$69:$F$98,MATCH(Character_Spellcasting!L44,S06_Ranger!$E$69:$E$988,0),1),"")&amp;IFERROR(INDEX(S07_ArcaneTrickster!$F$69:$F$98,MATCH(Character_Spellcasting!L44,S07_ArcaneTrickster!$E$69:$E$988,0),1),"")&amp;IFERROR(INDEX(S08_Sorcerer!$F$69:$F$98,MATCH(Character_Spellcasting!L44,S08_Sorcerer!$E$69:$E$98,0),1),"")&amp;IFERROR(INDEX(S09_Warlock!$F$69:$F$98,MATCH(Character_Spellcasting!L44,S09_Warlock!$E$69:$E$98,0),1),"")&amp;IFERROR(INDEX(S10_Wizard!$F$69:$F$98,MATCH(Character_Spellcasting!L44,S10_Wizard!$E$69:$E$98,0),1),"")</f>
        <v/>
      </c>
      <c r="S44" s="1096"/>
      <c r="T44" s="567"/>
      <c r="U44" s="565"/>
      <c r="V44" s="591">
        <v>38</v>
      </c>
      <c r="W44" s="1061" t="str">
        <f>IFERROR(INDEX(S01_Bard!$L$6:$L$35,MATCH(Character_Spellcasting!V44,S01_Bard!$N$69:$N$98,0),1),"")&amp;IFERROR(INDEX(S02_Cleric!$L$6:$L$35,MATCH(Character_Spellcasting!V44,S02_Cleric!$N$69:$N$98,0),1),"")&amp;IFERROR(INDEX(S03_Druid!$L$6:$L$35,MATCH(Character_Spellcasting!V44,S03_Druid!$N$69:$N$98,0),1),"")&amp;IFERROR(INDEX(S04_EldritchKnight!$L$6:$L$35,MATCH(Character_Spellcasting!V44,S04_EldritchKnight!$N$69:$N$98,0),1),"")&amp;IFERROR(INDEX(S05_Paladin!$L$6:$L$35,MATCH(Character_Spellcasting!V44,S05_Paladin!$N$69:$N$98,0),1),"")&amp;IFERROR(INDEX(S06_Ranger!$L$6:$L$35,MATCH(Character_Spellcasting!V44,S06_Ranger!$N$69:$N$988,0),1),"")&amp;IFERROR(INDEX(S07_ArcaneTrickster!$L$6:$L$35,MATCH(Character_Spellcasting!V44,S07_ArcaneTrickster!$N$69:$N$988,0),1),"")&amp;IFERROR(INDEX(S08_Sorcerer!$L$6:$L$35,MATCH(Character_Spellcasting!V44,S08_Sorcerer!$N$69:$N$98,0),1),"")&amp;IFERROR(INDEX(S09_Warlock!$L$6:$L$35,MATCH(Character_Spellcasting!V44,S09_Warlock!$N$69:$N$98,0),1),"")&amp;IFERROR(INDEX(S10_Wizard!$L$6:$L$35,MATCH(Character_Spellcasting!V44,S10_Wizard!$N$69:$N$98,0),1),"")</f>
        <v/>
      </c>
      <c r="X44" s="1061"/>
      <c r="Y44" s="1061"/>
      <c r="Z44" s="1061"/>
      <c r="AA44" s="1061"/>
      <c r="AB44" s="1097" t="str">
        <f>IFERROR(INDEX(S01_Bard!$O$69:$O$98,MATCH(Character_Spellcasting!V44,S01_Bard!$N$69:$N$98,0),1),"")&amp;IFERROR(INDEX(S02_Cleric!$O$69:$O$98,MATCH(Character_Spellcasting!V44,S02_Cleric!$N$69:$N$98,0),1),"")&amp;IFERROR(INDEX(S03_Druid!$O$69:$O$98,MATCH(Character_Spellcasting!V44,S03_Druid!$N$69:$N$98,0),1),"")&amp;IFERROR(INDEX(S04_EldritchKnight!$O$69:$O$98,MATCH(Character_Spellcasting!V44,S04_EldritchKnight!$N$69:$N$98,0),1),"")&amp;IFERROR(INDEX(S05_Paladin!$O$69:$O$98,MATCH(Character_Spellcasting!V44,S05_Paladin!$N$69:$N$98,0),1),"")&amp;IFERROR(INDEX(S06_Ranger!$O$69:$O$98,MATCH(Character_Spellcasting!V44,S06_Ranger!$N$69:$N$988,0),1),"")&amp;IFERROR(INDEX(S07_ArcaneTrickster!$O$69:$O$98,MATCH(Character_Spellcasting!V44,S07_ArcaneTrickster!$N$69:$N$988,0),1),"")&amp;IFERROR(INDEX(S08_Sorcerer!$O$69:$O$98,MATCH(Character_Spellcasting!V44,S08_Sorcerer!$N$69:$N$98,0),1),"")&amp;IFERROR(INDEX(S09_Warlock!$O$69:$O$98,MATCH(Character_Spellcasting!V44,S09_Warlock!$N$69:$N$98,0),1),"")&amp;IFERROR(INDEX(S10_Wizard!$O$69:$O$98,MATCH(Character_Spellcasting!V44,S10_Wizard!$N$69:$N$98,0),1),"")</f>
        <v/>
      </c>
      <c r="AC44" s="1098"/>
      <c r="AD44" s="567"/>
      <c r="AE44" s="565"/>
      <c r="AF44" s="609">
        <v>38</v>
      </c>
      <c r="AG44" s="1061" t="str">
        <f>IFERROR(INDEX(S01_Bard!$U$6:$U$35,MATCH(Character_Spellcasting!AF44,S01_Bard!$W$69:$W$98,0),1),"")&amp;IFERROR(INDEX(S02_Cleric!$U$6:$U$35,MATCH(Character_Spellcasting!AF44,S02_Cleric!$W$69:$W$98,0),1),"")&amp;IFERROR(INDEX(S03_Druid!$U$6:$U$35,MATCH(Character_Spellcasting!AF44,S03_Druid!$W$69:$W$98,0),1),"")&amp;IFERROR(INDEX(S04_EldritchKnight!$U$6:$U$35,MATCH(Character_Spellcasting!AF44,S04_EldritchKnight!$W$69:$W$98,0),1),"")&amp;IFERROR(INDEX(S05_Paladin!$U$6:$U$35,MATCH(Character_Spellcasting!AF44,S05_Paladin!$W$69:$W$98,0),1),"")&amp;IFERROR(INDEX(S06_Ranger!$U$6:$U$35,MATCH(Character_Spellcasting!AF44,S06_Ranger!$W$69:$W$988,0),1),"")&amp;IFERROR(INDEX(S07_ArcaneTrickster!$U$6:$U$35,MATCH(Character_Spellcasting!AF44,S07_ArcaneTrickster!$W$69:$W$988,0),1),"")&amp;IFERROR(INDEX(S08_Sorcerer!$U$6:$U$35,MATCH(Character_Spellcasting!AF44,S08_Sorcerer!$W$69:$W$98,0),1),"")&amp;IFERROR(INDEX(S09_Warlock!$U$6:$U$35,MATCH(Character_Spellcasting!AF44,S09_Warlock!$W$69:$W$98,0),1),"")&amp;IFERROR(INDEX(S10_Wizard!$U$6:$U$35,MATCH(Character_Spellcasting!AF44,S10_Wizard!$W$69:$W$98,0),1),"")</f>
        <v/>
      </c>
      <c r="AH44" s="1061"/>
      <c r="AI44" s="1061"/>
      <c r="AJ44" s="1061"/>
      <c r="AK44" s="1061"/>
      <c r="AL44" s="1097" t="str">
        <f>IFERROR(INDEX(S01_Bard!$X$69:$X$98,MATCH(Character_Spellcasting!AF44,S01_Bard!$W$69:$W$98,0),1),"")&amp;IFERROR(INDEX(S02_Cleric!$X$69:$X$98,MATCH(Character_Spellcasting!AF44,S02_Cleric!$W$69:$W$98,0),1),"")&amp;IFERROR(INDEX(S03_Druid!$X$69:$X$98,MATCH(Character_Spellcasting!AF44,S03_Druid!$W$69:$W$98,0),1),"")&amp;IFERROR(INDEX(S04_EldritchKnight!$X$69:$X$98,MATCH(Character_Spellcasting!AF44,S04_EldritchKnight!$W$69:$W$98,0),1),"")&amp;IFERROR(INDEX(S05_Paladin!$X$69:$X$98,MATCH(Character_Spellcasting!AF44,S05_Paladin!$W$69:$W$98,0),1),"")&amp;IFERROR(INDEX(S06_Ranger!$X$69:$X$98,MATCH(Character_Spellcasting!AF44,S06_Ranger!$W$69:$W$988,0),1),"")&amp;IFERROR(INDEX(S07_ArcaneTrickster!$X$69:$X$98,MATCH(Character_Spellcasting!AF44,S07_ArcaneTrickster!$W$69:$W$988,0),1),"")&amp;IFERROR(INDEX(S08_Sorcerer!$X$69:$X$98,MATCH(Character_Spellcasting!AF44,S08_Sorcerer!$W$69:$W$98,0),1),"")&amp;IFERROR(INDEX(S09_Warlock!$X$69:$X$98,MATCH(Character_Spellcasting!AF44,S09_Warlock!$W$69:$W$98,0),1),"")&amp;IFERROR(INDEX(S10_Wizard!$X$69:$X$98,MATCH(Character_Spellcasting!AF44,S10_Wizard!$W$69:$W$98,0),1),"")</f>
        <v/>
      </c>
      <c r="AM44" s="1098"/>
      <c r="AN44" s="567"/>
      <c r="AO44" s="565"/>
      <c r="AP44" s="591">
        <v>38</v>
      </c>
      <c r="AQ44" s="1061" t="str">
        <f>IFERROR(INDEX(S01_Bard!$AD$6:$AD$35,MATCH(Character_Spellcasting!AP44,S01_Bard!$AF$69:$AF$98,0),1),"")&amp;IFERROR(INDEX(S02_Cleric!$AD$6:$AD$35,MATCH(Character_Spellcasting!AP44,S02_Cleric!$AF$69:$AF$98,0),1),"")&amp;IFERROR(INDEX(S03_Druid!$AD$6:$AD$35,MATCH(Character_Spellcasting!AP44,S03_Druid!$AF$69:$AF$98,0),1),"")&amp;IFERROR(INDEX(S04_EldritchKnight!$AD$6:$AD$35,MATCH(Character_Spellcasting!AP44,S04_EldritchKnight!$AF$69:$AF$98,0),1),"")&amp;IFERROR(INDEX(S05_Paladin!$AD$6:$AD$35,MATCH(Character_Spellcasting!AP44,S05_Paladin!$AF$69:$AF$98,0),1),"")&amp;IFERROR(INDEX(S06_Ranger!$AD$6:$AD$35,MATCH(Character_Spellcasting!AP44,S06_Ranger!$AF$69:$AF$988,0),1),"")&amp;IFERROR(INDEX(S07_ArcaneTrickster!$AD$6:$AD$35,MATCH(Character_Spellcasting!AP44,S07_ArcaneTrickster!$AF$69:$AF$988,0),1),"")&amp;IFERROR(INDEX(S08_Sorcerer!$AD$6:$AD$35,MATCH(Character_Spellcasting!AP44,S08_Sorcerer!$AF$69:$AF$98,0),1),"")&amp;IFERROR(INDEX(S09_Warlock!$AD$6:$AD$35,MATCH(Character_Spellcasting!AP44,S09_Warlock!$AF$69:$AF$98,0),1),"")&amp;IFERROR(INDEX(S10_Wizard!$AD$6:$AD$35,MATCH(Character_Spellcasting!AP44,S10_Wizard!$AF$69:$AF$98,0),1),"")</f>
        <v/>
      </c>
      <c r="AR44" s="1061"/>
      <c r="AS44" s="1061"/>
      <c r="AT44" s="1061"/>
      <c r="AU44" s="1061"/>
      <c r="AV44" s="1096" t="str">
        <f>IFERROR(INDEX(S01_Bard!$AG$69:$AG$98,MATCH(Character_Spellcasting!AP44,S01_Bard!$D$69:$D$98,0),1),"")&amp;IFERROR(INDEX(S02_Cleric!$AG$69:$AG$98,MATCH(Character_Spellcasting!AP44,S02_Cleric!$AF$69:$AF$98,0),1),"")&amp;IFERROR(INDEX(S03_Druid!$AG$69:$AG$98,MATCH(Character_Spellcasting!AP44,S03_Druid!$AF$69:$AF$98,0),1),"")&amp;IFERROR(INDEX(S04_EldritchKnight!$AG$69:$AG$98,MATCH(Character_Spellcasting!AP44,S04_EldritchKnight!$AF$69:$AF$98,0),1),"")&amp;IFERROR(INDEX(S05_Paladin!$AG$69:$AG$98,MATCH(Character_Spellcasting!AP44,S05_Paladin!$AF$69:$AF$98,0),1),"")&amp;IFERROR(INDEX(S06_Ranger!$AG$69:$AG$98,MATCH(Character_Spellcasting!AP44,S06_Ranger!$AF$69:$AF$988,0),1),"")&amp;IFERROR(INDEX(S07_ArcaneTrickster!$AG$69:$AG$98,MATCH(Character_Spellcasting!AP44,S07_ArcaneTrickster!$AF$69:$AF$988,0),1),"")&amp;IFERROR(INDEX(S08_Sorcerer!$AG$69:$AG$98,MATCH(Character_Spellcasting!AP44,S08_Sorcerer!$AF$69:$AF$98,0),1),"")&amp;IFERROR(INDEX(S09_Warlock!$AG$69:$AG$98,MATCH(Character_Spellcasting!AP44,S09_Warlock!$AF$69:$AF$98,0),1),"")&amp;IFERROR(INDEX(S10_Wizard!$AG$69:$AG$98,MATCH(Character_Spellcasting!AP44,S10_Wizard!$AF$69:$AF$98,0),1),"")</f>
        <v/>
      </c>
      <c r="AW44" s="1096"/>
      <c r="AX44" s="567"/>
      <c r="AY44" s="565"/>
      <c r="AZ44" s="591">
        <v>38</v>
      </c>
      <c r="BA44" s="1061" t="str">
        <f>IFERROR(INDEX(S01_Bard!$AM$6:$AM$35,MATCH(Character_Spellcasting!AZ44,S01_Bard!$AO$69:$AO$98,0),1),"")&amp;IFERROR(INDEX(S02_Cleric!$AM$6:$AM$35,MATCH(Character_Spellcasting!AZ44,S02_Cleric!$AO$69:$AO$98,0),1),"")&amp;IFERROR(INDEX(S03_Druid!$AM$6:$AM$35,MATCH(Character_Spellcasting!AZ44,S03_Druid!$AO$69:$AO$98,0),1),"")&amp;IFERROR(INDEX(S04_EldritchKnight!$AM$6:$AM$35,MATCH(Character_Spellcasting!AZ44,S04_EldritchKnight!$AO$69:$AO$98,0),1),"")&amp;IFERROR(INDEX(S05_Paladin!$AM$6:$AM$35,MATCH(Character_Spellcasting!AZ44,S05_Paladin!$AO$69:$AO$98,0),1),"")&amp;IFERROR(INDEX(S06_Ranger!$AM$6:$AM$35,MATCH(Character_Spellcasting!AZ44,S06_Ranger!$AO$69:$AO$988,0),1),"")&amp;IFERROR(INDEX(S07_ArcaneTrickster!$AM$6:$AM$35,MATCH(Character_Spellcasting!AZ44,S07_ArcaneTrickster!$AO$69:$AO$988,0),1),"")&amp;IFERROR(INDEX(S08_Sorcerer!$AM$6:$AM$35,MATCH(Character_Spellcasting!AZ44,S08_Sorcerer!$AO$69:$AO$98,0),1),"")&amp;IFERROR(INDEX(S09_Warlock!$AM$6:$AM$35,MATCH(Character_Spellcasting!AZ44,S09_Warlock!$AO$69:$AO$98,0),1),"")&amp;IFERROR(INDEX(S10_Wizard!$AM$6:$AM$35,MATCH(Character_Spellcasting!AZ44,S10_Wizard!$AO$69:$AO$98,0),1),"")</f>
        <v/>
      </c>
      <c r="BB44" s="1061"/>
      <c r="BC44" s="1061"/>
      <c r="BD44" s="1061"/>
      <c r="BE44" s="1061"/>
      <c r="BF44" s="1096" t="str">
        <f>IFERROR(INDEX(S01_Bard!$AP$69:$AP$98,MATCH(Character_Spellcasting!AZ44,S01_Bard!$D$69:$D$98,0),1),"")&amp;IFERROR(INDEX(S02_Cleric!$AP$69:$AP$98,MATCH(Character_Spellcasting!AZ44,S02_Cleric!$AO$69:$AO$98,0),1),"")&amp;IFERROR(INDEX(S03_Druid!$AP$69:$AP$98,MATCH(Character_Spellcasting!AZ44,S03_Druid!$AO$69:$AO$98,0),1),"")&amp;IFERROR(INDEX(S04_EldritchKnight!$AP$69:$AP$98,MATCH(Character_Spellcasting!AZ44,S04_EldritchKnight!$AO$69:$AO$98,0),1),"")&amp;IFERROR(INDEX(S05_Paladin!$AP$69:$AP$98,MATCH(Character_Spellcasting!AZ44,S05_Paladin!$AO$69:$AO$98,0),1),"")&amp;IFERROR(INDEX(S06_Ranger!$AP$69:$AP$98,MATCH(Character_Spellcasting!AZ44,S06_Ranger!$AO$69:$AO$988,0),1),"")&amp;IFERROR(INDEX(S07_ArcaneTrickster!$AP$69:$AP$98,MATCH(Character_Spellcasting!AZ44,S07_ArcaneTrickster!$AO$69:$AO$988,0),1),"")&amp;IFERROR(INDEX(S08_Sorcerer!$AP$69:$AP$98,MATCH(Character_Spellcasting!AZ44,S08_Sorcerer!$AO$69:$AO$98,0),1),"")&amp;IFERROR(INDEX(S09_Warlock!$AP$69:$AP$98,MATCH(Character_Spellcasting!AZ44,S09_Warlock!$AO$69:$AO$98,0),1),"")&amp;IFERROR(INDEX(S10_Wizard!$AP$69:$AP$98,MATCH(Character_Spellcasting!AZ44,S10_Wizard!$AO$69:$AO$98,0),1),"")</f>
        <v/>
      </c>
      <c r="BG44" s="1096"/>
      <c r="BH44" s="567"/>
      <c r="BI44" s="120"/>
      <c r="BJ44" s="591">
        <v>38</v>
      </c>
      <c r="BK44" s="1061" t="str">
        <f>IFERROR(INDEX(S01_Bard!$AV$6:$AV$35,MATCH(Character_Spellcasting!BJ44,S01_Bard!$AX$69:$AX$98,0),1),"")&amp;IFERROR(INDEX(S02_Cleric!$AV$6:$AV$35,MATCH(Character_Spellcasting!BJ44,S02_Cleric!$AX$69:$AX$98,0),1),"")&amp;IFERROR(INDEX(S03_Druid!$AV$6:$AV$35,MATCH(Character_Spellcasting!BJ44,S03_Druid!$AX$69:$AX$98,0),1),"")&amp;IFERROR(INDEX(S04_EldritchKnight!$AV$6:$AV$35,MATCH(Character_Spellcasting!BJ44,S04_EldritchKnight!$AX$69:$AX$98,0),1),"")&amp;IFERROR(INDEX(S05_Paladin!$AV$6:$AV$35,MATCH(Character_Spellcasting!BJ44,S05_Paladin!$AX$69:$AX$98,0),1),"")&amp;IFERROR(INDEX(S06_Ranger!$AV$6:$AV$35,MATCH(Character_Spellcasting!BJ44,S06_Ranger!$AX$69:$AX$988,0),1),"")&amp;IFERROR(INDEX(S07_ArcaneTrickster!$AV$6:$AV$35,MATCH(Character_Spellcasting!BJ44,S07_ArcaneTrickster!$AX$69:$AX$988,0),1),"")&amp;IFERROR(INDEX(S08_Sorcerer!$AV$6:$AV$35,MATCH(Character_Spellcasting!BJ44,S08_Sorcerer!$AX$69:$AX$98,0),1),"")&amp;IFERROR(INDEX(S09_Warlock!$AV$6:$AV$35,MATCH(Character_Spellcasting!BJ44,S09_Warlock!$AX$69:$AX$98,0),1),"")&amp;IFERROR(INDEX(S10_Wizard!$AV$6:$AV$35,MATCH(Character_Spellcasting!BJ44,S10_Wizard!$AX$69:$AX$98,0),1),"")</f>
        <v/>
      </c>
      <c r="BL44" s="1061"/>
      <c r="BM44" s="1061"/>
      <c r="BN44" s="1061"/>
      <c r="BO44" s="1061"/>
      <c r="BP44" s="1096" t="str">
        <f>IFERROR(INDEX(S01_Bard!$AY$69:$AY$98,MATCH(Character_Spellcasting!BJ44,S01_Bard!$D$69:$D$98,0),1),"")&amp;IFERROR(INDEX(S02_Cleric!$AY$69:$AY$98,MATCH(Character_Spellcasting!BJ44,S02_Cleric!$AX$69:$AX$98,0),1),"")&amp;IFERROR(INDEX(S03_Druid!$AY$69:$AY$98,MATCH(Character_Spellcasting!BJ44,S03_Druid!$AX$69:$AX$98,0),1),"")&amp;IFERROR(INDEX(S04_EldritchKnight!$AY$69:$AY$98,MATCH(Character_Spellcasting!BJ44,S04_EldritchKnight!$AX$69:$AX$98,0),1),"")&amp;IFERROR(INDEX(S05_Paladin!$AY$69:$AY$98,MATCH(Character_Spellcasting!BJ44,S05_Paladin!$AX$69:$AX$98,0),1),"")&amp;IFERROR(INDEX(S06_Ranger!$AY$69:$AY$98,MATCH(Character_Spellcasting!BJ44,S06_Ranger!$AX$69:$AX$988,0),1),"")&amp;IFERROR(INDEX(S07_ArcaneTrickster!$AY$69:$AY$98,MATCH(Character_Spellcasting!BJ44,S07_ArcaneTrickster!$AX$69:$AX$988,0),1),"")&amp;IFERROR(INDEX(S08_Sorcerer!$AY$69:$AY$98,MATCH(Character_Spellcasting!BJ44,S08_Sorcerer!$AX$69:$AX$98,0),1),"")&amp;IFERROR(INDEX(S09_Warlock!$AY$69:$AY$98,MATCH(Character_Spellcasting!BJ44,S09_Warlock!$AX$69:$AX$98,0),1),"")&amp;IFERROR(INDEX(S10_Wizard!$AY$69:$AY$98,MATCH(Character_Spellcasting!BJ44,S10_Wizard!$AX$69:$AX$98,0),1),"")</f>
        <v/>
      </c>
      <c r="BQ44" s="1096"/>
      <c r="BR44" s="567"/>
      <c r="BS44" s="120"/>
      <c r="BT44" s="591">
        <v>38</v>
      </c>
      <c r="BU44" s="1061" t="str">
        <f>IFERROR(INDEX(S01_Bard!$BE$6:$BE$35,MATCH(Character_Spellcasting!BT44,S01_Bard!$BG$69:$BG$98,0),1),"")&amp;IFERROR(INDEX(S02_Cleric!$BE$6:$BE$35,MATCH(Character_Spellcasting!BT44,S02_Cleric!$BG$69:$BG$98,0),1),"")&amp;IFERROR(INDEX(S03_Druid!$BE$6:$BE$35,MATCH(Character_Spellcasting!BT44,S03_Druid!$BG$69:$BG$98,0),1),"")&amp;IFERROR(INDEX(S04_EldritchKnight!$BE$6:$BE$35,MATCH(Character_Spellcasting!BT44,S04_EldritchKnight!$BG$69:$BG$98,0),1),"")&amp;IFERROR(INDEX(S05_Paladin!$BE$6:$BE$35,MATCH(Character_Spellcasting!BT44,S05_Paladin!$BG$69:$BG$98,0),1),"")&amp;IFERROR(INDEX(S06_Ranger!$BE$6:$BE$35,MATCH(Character_Spellcasting!BT44,S06_Ranger!$BG$69:$BG$988,0),1),"")&amp;IFERROR(INDEX(S07_ArcaneTrickster!$BE$6:$BE$35,MATCH(Character_Spellcasting!BT44,S07_ArcaneTrickster!$BG$69:$BG$988,0),1),"")&amp;IFERROR(INDEX(S08_Sorcerer!$BE$6:$BE$35,MATCH(Character_Spellcasting!BT44,S08_Sorcerer!$BG$69:$BG$98,0),1),"")&amp;IFERROR(INDEX(S09_Warlock!$BE$6:$BE$35,MATCH(Character_Spellcasting!BT44,S09_Warlock!$BG$69:$BG$98,0),1),"")&amp;IFERROR(INDEX(S10_Wizard!$BE$6:$BE$35,MATCH(Character_Spellcasting!BT44,S10_Wizard!$BG$69:$BG$98,0),1),"")</f>
        <v/>
      </c>
      <c r="BV44" s="1061"/>
      <c r="BW44" s="1061"/>
      <c r="BX44" s="1061"/>
      <c r="BY44" s="1061"/>
      <c r="BZ44" s="1096" t="str">
        <f>IFERROR(INDEX(S01_Bard!$BH$69:$BH$98,MATCH(Character_Spellcasting!BT44,S01_Bard!$D$69:$D$98,0),1),"")&amp;IFERROR(INDEX(S02_Cleric!$BH$69:$BH$98,MATCH(Character_Spellcasting!BT44,S02_Cleric!$BG$69:$BG$98,0),1),"")&amp;IFERROR(INDEX(S03_Druid!$BH$69:$BH$98,MATCH(Character_Spellcasting!BT44,S03_Druid!$BG$69:$BG$98,0),1),"")&amp;IFERROR(INDEX(S04_EldritchKnight!$BH$69:$BH$98,MATCH(Character_Spellcasting!BT44,S04_EldritchKnight!$BG$69:$BG$98,0),1),"")&amp;IFERROR(INDEX(S05_Paladin!$BH$69:$BH$98,MATCH(Character_Spellcasting!BT44,S05_Paladin!$BG$69:$BG$98,0),1),"")&amp;IFERROR(INDEX(S06_Ranger!$BH$69:$BH$98,MATCH(Character_Spellcasting!BT44,S06_Ranger!$BG$69:$BG$988,0),1),"")&amp;IFERROR(INDEX(S07_ArcaneTrickster!$BH$69:$BH$98,MATCH(Character_Spellcasting!BT44,S07_ArcaneTrickster!$BG$69:$BG$988,0),1),"")&amp;IFERROR(INDEX(S08_Sorcerer!$BH$69:$BH$98,MATCH(Character_Spellcasting!BT44,S08_Sorcerer!$BG$69:$BG$98,0),1),"")&amp;IFERROR(INDEX(S09_Warlock!$BH$69:$BH$98,MATCH(Character_Spellcasting!BT44,S09_Warlock!$BG$69:$BG$98,0),1),"")&amp;IFERROR(INDEX(S10_Wizard!$BH$69:$BH$98,MATCH(Character_Spellcasting!BT44,S10_Wizard!$BG$69:$BG$98,0),1),"")</f>
        <v/>
      </c>
      <c r="CA44" s="1096"/>
      <c r="CB44" s="567"/>
      <c r="CC44" s="120"/>
      <c r="CD44" s="591">
        <v>38</v>
      </c>
      <c r="CE44" s="1061" t="str">
        <f>IFERROR(INDEX(S01_Bard!$BN$6:$BN$35,MATCH(Character_Spellcasting!CD44,S01_Bard!$BP$69:$BP$98,0),1),"")&amp;IFERROR(INDEX(S02_Cleric!$BN$6:$BN$35,MATCH(Character_Spellcasting!CD44,S02_Cleric!$BP$69:$BP$98,0),1),"")&amp;IFERROR(INDEX(S03_Druid!$BN$6:$BN$35,MATCH(Character_Spellcasting!CD44,S03_Druid!$BP$69:$BP$98,0),1),"")&amp;IFERROR(INDEX(S04_EldritchKnight!$BN$6:$BN$35,MATCH(Character_Spellcasting!CD44,S04_EldritchKnight!$BP$69:$BP$98,0),1),"")&amp;IFERROR(INDEX(S05_Paladin!$BN$6:$BN$35,MATCH(Character_Spellcasting!CD44,S05_Paladin!$BP$69:$BP$98,0),1),"")&amp;IFERROR(INDEX(S06_Ranger!$BN$6:$BN$35,MATCH(Character_Spellcasting!CD44,S06_Ranger!$BP$69:$BP$988,0),1),"")&amp;IFERROR(INDEX(S07_ArcaneTrickster!$BN$6:$BN$35,MATCH(Character_Spellcasting!CD44,S07_ArcaneTrickster!$BP$69:$BP$988,0),1),"")&amp;IFERROR(INDEX(S08_Sorcerer!$BN$6:$BN$35,MATCH(Character_Spellcasting!CD44,S08_Sorcerer!$BP$69:$BP$98,0),1),"")&amp;IFERROR(INDEX(S09_Warlock!$BN$6:$BN$35,MATCH(Character_Spellcasting!CD44,S09_Warlock!$BP$69:$BP$98,0),1),"")&amp;IFERROR(INDEX(S10_Wizard!$BN$6:$BN$35,MATCH(Character_Spellcasting!CD44,S10_Wizard!$BP$69:$BP$98,0),1),"")</f>
        <v/>
      </c>
      <c r="CF44" s="1061"/>
      <c r="CG44" s="1061"/>
      <c r="CH44" s="1061"/>
      <c r="CI44" s="1061"/>
      <c r="CJ44" s="1096" t="str">
        <f>IFERROR(INDEX(S01_Bard!$BQ$69:$BQ$98,MATCH(Character_Spellcasting!CD44,S01_Bard!$D$69:$D$98,0),1),"")&amp;IFERROR(INDEX(S02_Cleric!$BQ$69:$BQ$98,MATCH(Character_Spellcasting!CD44,S02_Cleric!$BP$69:$BP$98,0),1),"")&amp;IFERROR(INDEX(S03_Druid!$BQ$69:$BQ$98,MATCH(Character_Spellcasting!CD44,S03_Druid!$BP$69:$BP$98,0),1),"")&amp;IFERROR(INDEX(S04_EldritchKnight!$BQ$69:$BQ$98,MATCH(Character_Spellcasting!CD44,S04_EldritchKnight!$BP$69:$BP$98,0),1),"")&amp;IFERROR(INDEX(S05_Paladin!$BQ$69:$BQ$98,MATCH(Character_Spellcasting!CD44,S05_Paladin!$BP$69:$BP$98,0),1),"")&amp;IFERROR(INDEX(S06_Ranger!$BQ$69:$BQ$98,MATCH(Character_Spellcasting!CD44,S06_Ranger!$BP$69:$BP$988,0),1),"")&amp;IFERROR(INDEX(S07_ArcaneTrickster!$BQ$69:$BQ$98,MATCH(Character_Spellcasting!CD44,S07_ArcaneTrickster!$BP$69:$BP$988,0),1),"")&amp;IFERROR(INDEX(S08_Sorcerer!$BQ$69:$BQ$98,MATCH(Character_Spellcasting!CD44,S08_Sorcerer!$BP$69:$BP$98,0),1),"")&amp;IFERROR(INDEX(S09_Warlock!$BQ$69:$BQ$98,MATCH(Character_Spellcasting!CD44,S09_Warlock!$BP$69:$BP$98,0),1),"")&amp;IFERROR(INDEX(S10_Wizard!$BQ$69:$BQ$98,MATCH(Character_Spellcasting!CD44,S10_Wizard!$BP$69:$BP$98,0),1),"")</f>
        <v/>
      </c>
      <c r="CK44" s="1096"/>
      <c r="CL44" s="567"/>
      <c r="CM44" s="120"/>
      <c r="CN44" s="591">
        <v>38</v>
      </c>
      <c r="CO44" s="1061" t="str">
        <f>IFERROR(INDEX(S01_Bard!$BW$6:$BW$35,MATCH(Character_Spellcasting!CN44,S01_Bard!$BY$69:$BY$98,0),1),"")&amp;IFERROR(INDEX(S02_Cleric!$BW$6:$BW$35,MATCH(Character_Spellcasting!CN44,S02_Cleric!$BY$69:$BY$98,0),1),"")&amp;IFERROR(INDEX(S03_Druid!$BW$6:$BW$35,MATCH(Character_Spellcasting!CN44,S03_Druid!$BY$69:$BY$98,0),1),"")&amp;IFERROR(INDEX(S04_EldritchKnight!$BW$6:$BW$35,MATCH(Character_Spellcasting!CN44,S04_EldritchKnight!$BY$69:$BY$98,0),1),"")&amp;IFERROR(INDEX(S05_Paladin!$BW$6:$BW$35,MATCH(Character_Spellcasting!CN44,S05_Paladin!$BY$69:$BY$98,0),1),"")&amp;IFERROR(INDEX(S06_Ranger!$BW$6:$BW$35,MATCH(Character_Spellcasting!CN44,S06_Ranger!$BY$69:$BY$988,0),1),"")&amp;IFERROR(INDEX(S07_ArcaneTrickster!$BW$6:$BW$35,MATCH(Character_Spellcasting!CN44,S07_ArcaneTrickster!$BY$69:$BY$988,0),1),"")&amp;IFERROR(INDEX(S08_Sorcerer!$BW$6:$BW$35,MATCH(Character_Spellcasting!CN44,S08_Sorcerer!$BY$69:$BY$98,0),1),"")&amp;IFERROR(INDEX(S09_Warlock!$BW$6:$BW$35,MATCH(Character_Spellcasting!CN44,S09_Warlock!$BY$69:$BY$98,0),1),"")&amp;IFERROR(INDEX(S10_Wizard!$BW$6:$BW$35,MATCH(Character_Spellcasting!CN44,S10_Wizard!$BY$69:$BY$98,0),1),"")</f>
        <v/>
      </c>
      <c r="CP44" s="1061"/>
      <c r="CQ44" s="1061"/>
      <c r="CR44" s="1061"/>
      <c r="CS44" s="1061"/>
      <c r="CT44" s="1096" t="str">
        <f>IFERROR(INDEX(S01_Bard!$BZ$69:$BZ$98,MATCH(Character_Spellcasting!CN44,S01_Bard!$D$69:$D$98,0),1),"")&amp;IFERROR(INDEX(S02_Cleric!$BZ$69:$BZ$98,MATCH(Character_Spellcasting!CN44,S02_Cleric!$BY$69:$BY$98,0),1),"")&amp;IFERROR(INDEX(S03_Druid!$BZ$69:$BZ$98,MATCH(Character_Spellcasting!CN44,S03_Druid!$BY$69:$BY$98,0),1),"")&amp;IFERROR(INDEX(S04_EldritchKnight!$BZ$69:$BZ$98,MATCH(Character_Spellcasting!CN44,S04_EldritchKnight!$BY$69:$BY$98,0),1),"")&amp;IFERROR(INDEX(S05_Paladin!$BZ$69:$BZ$98,MATCH(Character_Spellcasting!CN44,S05_Paladin!$BY$69:$BY$98,0),1),"")&amp;IFERROR(INDEX(S06_Ranger!$BZ$69:$BZ$98,MATCH(Character_Spellcasting!CN44,S06_Ranger!$BY$69:$BY$988,0),1),"")&amp;IFERROR(INDEX(S07_ArcaneTrickster!$BZ$69:$BZ$98,MATCH(Character_Spellcasting!CN44,S07_ArcaneTrickster!$BY$69:$BY$988,0),1),"")&amp;IFERROR(INDEX(S08_Sorcerer!$BZ$69:$BZ$98,MATCH(Character_Spellcasting!CN44,S08_Sorcerer!$BY$69:$BY$98,0),1),"")&amp;IFERROR(INDEX(S09_Warlock!$BZ$69:$BZ$98,MATCH(Character_Spellcasting!CN44,S09_Warlock!$BY$69:$BY$98,0),1),"")&amp;IFERROR(INDEX(S10_Wizard!$BZ$69:$BZ$98,MATCH(Character_Spellcasting!CN44,S10_Wizard!$BY$69:$BY$98,0),1),"")</f>
        <v/>
      </c>
      <c r="CU44" s="1096"/>
      <c r="CV44" s="567"/>
      <c r="CW44" s="565"/>
      <c r="CX44" s="565"/>
      <c r="CY44" s="565"/>
      <c r="CZ44" s="565"/>
      <c r="DA44" s="610">
        <v>38</v>
      </c>
      <c r="DB44" s="1061" t="str">
        <f t="shared" si="2"/>
        <v/>
      </c>
      <c r="DC44" s="1061"/>
      <c r="DD44" s="1061"/>
      <c r="DE44" s="1061"/>
      <c r="DF44" s="1061"/>
      <c r="DG44" s="1096" t="str">
        <f t="shared" si="3"/>
        <v/>
      </c>
      <c r="DH44" s="1096"/>
      <c r="DI44" s="565"/>
      <c r="DJ44" s="565"/>
      <c r="DK44" s="565"/>
      <c r="DL44" s="565"/>
      <c r="DM44" s="565"/>
      <c r="DN44" s="565"/>
      <c r="DO44" s="565"/>
      <c r="DP44" s="565"/>
      <c r="DQ44" s="565"/>
      <c r="DR44" s="565"/>
      <c r="DS44" s="565"/>
      <c r="DT44" s="565"/>
      <c r="DU44" s="565"/>
      <c r="DV44" s="565"/>
    </row>
    <row r="45" spans="1:126" ht="21" x14ac:dyDescent="0.25">
      <c r="A45" s="120"/>
      <c r="B45" s="610">
        <v>39</v>
      </c>
      <c r="C45" s="1061"/>
      <c r="D45" s="1061"/>
      <c r="E45" s="1061"/>
      <c r="F45" s="1061"/>
      <c r="G45" s="1061"/>
      <c r="H45" s="1096"/>
      <c r="I45" s="1096"/>
      <c r="J45" s="120"/>
      <c r="K45" s="120"/>
      <c r="L45" s="591">
        <v>39</v>
      </c>
      <c r="M45" s="1061" t="str">
        <f>IFERROR(INDEX(S01_Bard!$C$6:$C$35,MATCH(Character_Spellcasting!L45,S01_Bard!$E$69:$E$98,0),1),"")&amp;IFERROR(INDEX(S02_Cleric!$C$6:$C$35,MATCH(Character_Spellcasting!L45,S02_Cleric!$E$69:$E$98,0),1),"")&amp;IFERROR(INDEX(S03_Druid!$C$6:$C$35,MATCH(Character_Spellcasting!L45,S03_Druid!$E$69:$E$98,0),1),"")&amp;IFERROR(INDEX(S04_EldritchKnight!$C$6:$C$35,MATCH(Character_Spellcasting!L45,S04_EldritchKnight!$E$69:$E$98,0),1),"")&amp;IFERROR(INDEX(S05_Paladin!$C$6:$C$35,MATCH(Character_Spellcasting!L45,S05_Paladin!$E$69:$E$98,0),1),"")&amp;IFERROR(INDEX(S06_Ranger!$C$6:$C$35,MATCH(Character_Spellcasting!L45,S06_Ranger!$E$69:$E$988,0),1),"")&amp;IFERROR(INDEX(S07_ArcaneTrickster!$C$6:$C$35,MATCH(Character_Spellcasting!L45,S07_ArcaneTrickster!$E$69:$E$988,0),1),"")&amp;IFERROR(INDEX(S08_Sorcerer!$C$6:$C$35,MATCH(Character_Spellcasting!L45,S08_Sorcerer!$E$69:$E$98,0),1),"")&amp;IFERROR(INDEX(S09_Warlock!$C$6:$C$35,MATCH(Character_Spellcasting!L45,S09_Warlock!$E$69:$E$98,0),1),"")&amp;IFERROR(INDEX(S10_Wizard!$C$6:$C$35,MATCH(Character_Spellcasting!L45,S10_Wizard!$E$69:$E$98,0),1),"")</f>
        <v/>
      </c>
      <c r="N45" s="1061"/>
      <c r="O45" s="1061"/>
      <c r="P45" s="1061"/>
      <c r="Q45" s="1061"/>
      <c r="R45" s="1096" t="str">
        <f>IFERROR(INDEX(S01_Bard!$F$69:$F$98,MATCH(Character_Spellcasting!L45,S01_Bard!$D$69:$D$98,0),1),"")&amp;IFERROR(INDEX(S02_Cleric!$F$69:$F$98,MATCH(Character_Spellcasting!L45,S02_Cleric!$E$69:$E$98,0),1),"")&amp;IFERROR(INDEX(S03_Druid!$F$69:$F$98,MATCH(Character_Spellcasting!L45,S03_Druid!$E$69:$E$98,0),1),"")&amp;IFERROR(INDEX(S04_EldritchKnight!$F$69:$F$98,MATCH(Character_Spellcasting!L45,S04_EldritchKnight!$E$69:$E$98,0),1),"")&amp;IFERROR(INDEX(S05_Paladin!$F$69:$F$98,MATCH(Character_Spellcasting!L45,S05_Paladin!$E$69:$E$98,0),1),"")&amp;IFERROR(INDEX(S06_Ranger!$F$69:$F$98,MATCH(Character_Spellcasting!L45,S06_Ranger!$E$69:$E$988,0),1),"")&amp;IFERROR(INDEX(S07_ArcaneTrickster!$F$69:$F$98,MATCH(Character_Spellcasting!L45,S07_ArcaneTrickster!$E$69:$E$988,0),1),"")&amp;IFERROR(INDEX(S08_Sorcerer!$F$69:$F$98,MATCH(Character_Spellcasting!L45,S08_Sorcerer!$E$69:$E$98,0),1),"")&amp;IFERROR(INDEX(S09_Warlock!$F$69:$F$98,MATCH(Character_Spellcasting!L45,S09_Warlock!$E$69:$E$98,0),1),"")&amp;IFERROR(INDEX(S10_Wizard!$F$69:$F$98,MATCH(Character_Spellcasting!L45,S10_Wizard!$E$69:$E$98,0),1),"")</f>
        <v/>
      </c>
      <c r="S45" s="1096"/>
      <c r="T45" s="567"/>
      <c r="U45" s="565"/>
      <c r="V45" s="591">
        <v>39</v>
      </c>
      <c r="W45" s="1061" t="str">
        <f>IFERROR(INDEX(S01_Bard!$L$6:$L$35,MATCH(Character_Spellcasting!V45,S01_Bard!$N$69:$N$98,0),1),"")&amp;IFERROR(INDEX(S02_Cleric!$L$6:$L$35,MATCH(Character_Spellcasting!V45,S02_Cleric!$N$69:$N$98,0),1),"")&amp;IFERROR(INDEX(S03_Druid!$L$6:$L$35,MATCH(Character_Spellcasting!V45,S03_Druid!$N$69:$N$98,0),1),"")&amp;IFERROR(INDEX(S04_EldritchKnight!$L$6:$L$35,MATCH(Character_Spellcasting!V45,S04_EldritchKnight!$N$69:$N$98,0),1),"")&amp;IFERROR(INDEX(S05_Paladin!$L$6:$L$35,MATCH(Character_Spellcasting!V45,S05_Paladin!$N$69:$N$98,0),1),"")&amp;IFERROR(INDEX(S06_Ranger!$L$6:$L$35,MATCH(Character_Spellcasting!V45,S06_Ranger!$N$69:$N$988,0),1),"")&amp;IFERROR(INDEX(S07_ArcaneTrickster!$L$6:$L$35,MATCH(Character_Spellcasting!V45,S07_ArcaneTrickster!$N$69:$N$988,0),1),"")&amp;IFERROR(INDEX(S08_Sorcerer!$L$6:$L$35,MATCH(Character_Spellcasting!V45,S08_Sorcerer!$N$69:$N$98,0),1),"")&amp;IFERROR(INDEX(S09_Warlock!$L$6:$L$35,MATCH(Character_Spellcasting!V45,S09_Warlock!$N$69:$N$98,0),1),"")&amp;IFERROR(INDEX(S10_Wizard!$L$6:$L$35,MATCH(Character_Spellcasting!V45,S10_Wizard!$N$69:$N$98,0),1),"")</f>
        <v/>
      </c>
      <c r="X45" s="1061"/>
      <c r="Y45" s="1061"/>
      <c r="Z45" s="1061"/>
      <c r="AA45" s="1061"/>
      <c r="AB45" s="1097" t="str">
        <f>IFERROR(INDEX(S01_Bard!$O$69:$O$98,MATCH(Character_Spellcasting!V45,S01_Bard!$N$69:$N$98,0),1),"")&amp;IFERROR(INDEX(S02_Cleric!$O$69:$O$98,MATCH(Character_Spellcasting!V45,S02_Cleric!$N$69:$N$98,0),1),"")&amp;IFERROR(INDEX(S03_Druid!$O$69:$O$98,MATCH(Character_Spellcasting!V45,S03_Druid!$N$69:$N$98,0),1),"")&amp;IFERROR(INDEX(S04_EldritchKnight!$O$69:$O$98,MATCH(Character_Spellcasting!V45,S04_EldritchKnight!$N$69:$N$98,0),1),"")&amp;IFERROR(INDEX(S05_Paladin!$O$69:$O$98,MATCH(Character_Spellcasting!V45,S05_Paladin!$N$69:$N$98,0),1),"")&amp;IFERROR(INDEX(S06_Ranger!$O$69:$O$98,MATCH(Character_Spellcasting!V45,S06_Ranger!$N$69:$N$988,0),1),"")&amp;IFERROR(INDEX(S07_ArcaneTrickster!$O$69:$O$98,MATCH(Character_Spellcasting!V45,S07_ArcaneTrickster!$N$69:$N$988,0),1),"")&amp;IFERROR(INDEX(S08_Sorcerer!$O$69:$O$98,MATCH(Character_Spellcasting!V45,S08_Sorcerer!$N$69:$N$98,0),1),"")&amp;IFERROR(INDEX(S09_Warlock!$O$69:$O$98,MATCH(Character_Spellcasting!V45,S09_Warlock!$N$69:$N$98,0),1),"")&amp;IFERROR(INDEX(S10_Wizard!$O$69:$O$98,MATCH(Character_Spellcasting!V45,S10_Wizard!$N$69:$N$98,0),1),"")</f>
        <v/>
      </c>
      <c r="AC45" s="1098"/>
      <c r="AD45" s="567"/>
      <c r="AE45" s="565"/>
      <c r="AF45" s="609">
        <v>39</v>
      </c>
      <c r="AG45" s="1061" t="str">
        <f>IFERROR(INDEX(S01_Bard!$U$6:$U$35,MATCH(Character_Spellcasting!AF45,S01_Bard!$W$69:$W$98,0),1),"")&amp;IFERROR(INDEX(S02_Cleric!$U$6:$U$35,MATCH(Character_Spellcasting!AF45,S02_Cleric!$W$69:$W$98,0),1),"")&amp;IFERROR(INDEX(S03_Druid!$U$6:$U$35,MATCH(Character_Spellcasting!AF45,S03_Druid!$W$69:$W$98,0),1),"")&amp;IFERROR(INDEX(S04_EldritchKnight!$U$6:$U$35,MATCH(Character_Spellcasting!AF45,S04_EldritchKnight!$W$69:$W$98,0),1),"")&amp;IFERROR(INDEX(S05_Paladin!$U$6:$U$35,MATCH(Character_Spellcasting!AF45,S05_Paladin!$W$69:$W$98,0),1),"")&amp;IFERROR(INDEX(S06_Ranger!$U$6:$U$35,MATCH(Character_Spellcasting!AF45,S06_Ranger!$W$69:$W$988,0),1),"")&amp;IFERROR(INDEX(S07_ArcaneTrickster!$U$6:$U$35,MATCH(Character_Spellcasting!AF45,S07_ArcaneTrickster!$W$69:$W$988,0),1),"")&amp;IFERROR(INDEX(S08_Sorcerer!$U$6:$U$35,MATCH(Character_Spellcasting!AF45,S08_Sorcerer!$W$69:$W$98,0),1),"")&amp;IFERROR(INDEX(S09_Warlock!$U$6:$U$35,MATCH(Character_Spellcasting!AF45,S09_Warlock!$W$69:$W$98,0),1),"")&amp;IFERROR(INDEX(S10_Wizard!$U$6:$U$35,MATCH(Character_Spellcasting!AF45,S10_Wizard!$W$69:$W$98,0),1),"")</f>
        <v/>
      </c>
      <c r="AH45" s="1061"/>
      <c r="AI45" s="1061"/>
      <c r="AJ45" s="1061"/>
      <c r="AK45" s="1061"/>
      <c r="AL45" s="1097" t="str">
        <f>IFERROR(INDEX(S01_Bard!$X$69:$X$98,MATCH(Character_Spellcasting!AF45,S01_Bard!$W$69:$W$98,0),1),"")&amp;IFERROR(INDEX(S02_Cleric!$X$69:$X$98,MATCH(Character_Spellcasting!AF45,S02_Cleric!$W$69:$W$98,0),1),"")&amp;IFERROR(INDEX(S03_Druid!$X$69:$X$98,MATCH(Character_Spellcasting!AF45,S03_Druid!$W$69:$W$98,0),1),"")&amp;IFERROR(INDEX(S04_EldritchKnight!$X$69:$X$98,MATCH(Character_Spellcasting!AF45,S04_EldritchKnight!$W$69:$W$98,0),1),"")&amp;IFERROR(INDEX(S05_Paladin!$X$69:$X$98,MATCH(Character_Spellcasting!AF45,S05_Paladin!$W$69:$W$98,0),1),"")&amp;IFERROR(INDEX(S06_Ranger!$X$69:$X$98,MATCH(Character_Spellcasting!AF45,S06_Ranger!$W$69:$W$988,0),1),"")&amp;IFERROR(INDEX(S07_ArcaneTrickster!$X$69:$X$98,MATCH(Character_Spellcasting!AF45,S07_ArcaneTrickster!$W$69:$W$988,0),1),"")&amp;IFERROR(INDEX(S08_Sorcerer!$X$69:$X$98,MATCH(Character_Spellcasting!AF45,S08_Sorcerer!$W$69:$W$98,0),1),"")&amp;IFERROR(INDEX(S09_Warlock!$X$69:$X$98,MATCH(Character_Spellcasting!AF45,S09_Warlock!$W$69:$W$98,0),1),"")&amp;IFERROR(INDEX(S10_Wizard!$X$69:$X$98,MATCH(Character_Spellcasting!AF45,S10_Wizard!$W$69:$W$98,0),1),"")</f>
        <v/>
      </c>
      <c r="AM45" s="1098"/>
      <c r="AN45" s="567"/>
      <c r="AO45" s="565"/>
      <c r="AP45" s="591">
        <v>39</v>
      </c>
      <c r="AQ45" s="1061" t="str">
        <f>IFERROR(INDEX(S01_Bard!$AD$6:$AD$35,MATCH(Character_Spellcasting!AP45,S01_Bard!$AF$69:$AF$98,0),1),"")&amp;IFERROR(INDEX(S02_Cleric!$AD$6:$AD$35,MATCH(Character_Spellcasting!AP45,S02_Cleric!$AF$69:$AF$98,0),1),"")&amp;IFERROR(INDEX(S03_Druid!$AD$6:$AD$35,MATCH(Character_Spellcasting!AP45,S03_Druid!$AF$69:$AF$98,0),1),"")&amp;IFERROR(INDEX(S04_EldritchKnight!$AD$6:$AD$35,MATCH(Character_Spellcasting!AP45,S04_EldritchKnight!$AF$69:$AF$98,0),1),"")&amp;IFERROR(INDEX(S05_Paladin!$AD$6:$AD$35,MATCH(Character_Spellcasting!AP45,S05_Paladin!$AF$69:$AF$98,0),1),"")&amp;IFERROR(INDEX(S06_Ranger!$AD$6:$AD$35,MATCH(Character_Spellcasting!AP45,S06_Ranger!$AF$69:$AF$988,0),1),"")&amp;IFERROR(INDEX(S07_ArcaneTrickster!$AD$6:$AD$35,MATCH(Character_Spellcasting!AP45,S07_ArcaneTrickster!$AF$69:$AF$988,0),1),"")&amp;IFERROR(INDEX(S08_Sorcerer!$AD$6:$AD$35,MATCH(Character_Spellcasting!AP45,S08_Sorcerer!$AF$69:$AF$98,0),1),"")&amp;IFERROR(INDEX(S09_Warlock!$AD$6:$AD$35,MATCH(Character_Spellcasting!AP45,S09_Warlock!$AF$69:$AF$98,0),1),"")&amp;IFERROR(INDEX(S10_Wizard!$AD$6:$AD$35,MATCH(Character_Spellcasting!AP45,S10_Wizard!$AF$69:$AF$98,0),1),"")</f>
        <v/>
      </c>
      <c r="AR45" s="1061"/>
      <c r="AS45" s="1061"/>
      <c r="AT45" s="1061"/>
      <c r="AU45" s="1061"/>
      <c r="AV45" s="1096" t="str">
        <f>IFERROR(INDEX(S01_Bard!$AG$69:$AG$98,MATCH(Character_Spellcasting!AP45,S01_Bard!$D$69:$D$98,0),1),"")&amp;IFERROR(INDEX(S02_Cleric!$AG$69:$AG$98,MATCH(Character_Spellcasting!AP45,S02_Cleric!$AF$69:$AF$98,0),1),"")&amp;IFERROR(INDEX(S03_Druid!$AG$69:$AG$98,MATCH(Character_Spellcasting!AP45,S03_Druid!$AF$69:$AF$98,0),1),"")&amp;IFERROR(INDEX(S04_EldritchKnight!$AG$69:$AG$98,MATCH(Character_Spellcasting!AP45,S04_EldritchKnight!$AF$69:$AF$98,0),1),"")&amp;IFERROR(INDEX(S05_Paladin!$AG$69:$AG$98,MATCH(Character_Spellcasting!AP45,S05_Paladin!$AF$69:$AF$98,0),1),"")&amp;IFERROR(INDEX(S06_Ranger!$AG$69:$AG$98,MATCH(Character_Spellcasting!AP45,S06_Ranger!$AF$69:$AF$988,0),1),"")&amp;IFERROR(INDEX(S07_ArcaneTrickster!$AG$69:$AG$98,MATCH(Character_Spellcasting!AP45,S07_ArcaneTrickster!$AF$69:$AF$988,0),1),"")&amp;IFERROR(INDEX(S08_Sorcerer!$AG$69:$AG$98,MATCH(Character_Spellcasting!AP45,S08_Sorcerer!$AF$69:$AF$98,0),1),"")&amp;IFERROR(INDEX(S09_Warlock!$AG$69:$AG$98,MATCH(Character_Spellcasting!AP45,S09_Warlock!$AF$69:$AF$98,0),1),"")&amp;IFERROR(INDEX(S10_Wizard!$AG$69:$AG$98,MATCH(Character_Spellcasting!AP45,S10_Wizard!$AF$69:$AF$98,0),1),"")</f>
        <v/>
      </c>
      <c r="AW45" s="1096"/>
      <c r="AX45" s="567"/>
      <c r="AY45" s="565"/>
      <c r="AZ45" s="591">
        <v>39</v>
      </c>
      <c r="BA45" s="1061" t="str">
        <f>IFERROR(INDEX(S01_Bard!$AM$6:$AM$35,MATCH(Character_Spellcasting!AZ45,S01_Bard!$AO$69:$AO$98,0),1),"")&amp;IFERROR(INDEX(S02_Cleric!$AM$6:$AM$35,MATCH(Character_Spellcasting!AZ45,S02_Cleric!$AO$69:$AO$98,0),1),"")&amp;IFERROR(INDEX(S03_Druid!$AM$6:$AM$35,MATCH(Character_Spellcasting!AZ45,S03_Druid!$AO$69:$AO$98,0),1),"")&amp;IFERROR(INDEX(S04_EldritchKnight!$AM$6:$AM$35,MATCH(Character_Spellcasting!AZ45,S04_EldritchKnight!$AO$69:$AO$98,0),1),"")&amp;IFERROR(INDEX(S05_Paladin!$AM$6:$AM$35,MATCH(Character_Spellcasting!AZ45,S05_Paladin!$AO$69:$AO$98,0),1),"")&amp;IFERROR(INDEX(S06_Ranger!$AM$6:$AM$35,MATCH(Character_Spellcasting!AZ45,S06_Ranger!$AO$69:$AO$988,0),1),"")&amp;IFERROR(INDEX(S07_ArcaneTrickster!$AM$6:$AM$35,MATCH(Character_Spellcasting!AZ45,S07_ArcaneTrickster!$AO$69:$AO$988,0),1),"")&amp;IFERROR(INDEX(S08_Sorcerer!$AM$6:$AM$35,MATCH(Character_Spellcasting!AZ45,S08_Sorcerer!$AO$69:$AO$98,0),1),"")&amp;IFERROR(INDEX(S09_Warlock!$AM$6:$AM$35,MATCH(Character_Spellcasting!AZ45,S09_Warlock!$AO$69:$AO$98,0),1),"")&amp;IFERROR(INDEX(S10_Wizard!$AM$6:$AM$35,MATCH(Character_Spellcasting!AZ45,S10_Wizard!$AO$69:$AO$98,0),1),"")</f>
        <v/>
      </c>
      <c r="BB45" s="1061"/>
      <c r="BC45" s="1061"/>
      <c r="BD45" s="1061"/>
      <c r="BE45" s="1061"/>
      <c r="BF45" s="1096" t="str">
        <f>IFERROR(INDEX(S01_Bard!$AP$69:$AP$98,MATCH(Character_Spellcasting!AZ45,S01_Bard!$D$69:$D$98,0),1),"")&amp;IFERROR(INDEX(S02_Cleric!$AP$69:$AP$98,MATCH(Character_Spellcasting!AZ45,S02_Cleric!$AO$69:$AO$98,0),1),"")&amp;IFERROR(INDEX(S03_Druid!$AP$69:$AP$98,MATCH(Character_Spellcasting!AZ45,S03_Druid!$AO$69:$AO$98,0),1),"")&amp;IFERROR(INDEX(S04_EldritchKnight!$AP$69:$AP$98,MATCH(Character_Spellcasting!AZ45,S04_EldritchKnight!$AO$69:$AO$98,0),1),"")&amp;IFERROR(INDEX(S05_Paladin!$AP$69:$AP$98,MATCH(Character_Spellcasting!AZ45,S05_Paladin!$AO$69:$AO$98,0),1),"")&amp;IFERROR(INDEX(S06_Ranger!$AP$69:$AP$98,MATCH(Character_Spellcasting!AZ45,S06_Ranger!$AO$69:$AO$988,0),1),"")&amp;IFERROR(INDEX(S07_ArcaneTrickster!$AP$69:$AP$98,MATCH(Character_Spellcasting!AZ45,S07_ArcaneTrickster!$AO$69:$AO$988,0),1),"")&amp;IFERROR(INDEX(S08_Sorcerer!$AP$69:$AP$98,MATCH(Character_Spellcasting!AZ45,S08_Sorcerer!$AO$69:$AO$98,0),1),"")&amp;IFERROR(INDEX(S09_Warlock!$AP$69:$AP$98,MATCH(Character_Spellcasting!AZ45,S09_Warlock!$AO$69:$AO$98,0),1),"")&amp;IFERROR(INDEX(S10_Wizard!$AP$69:$AP$98,MATCH(Character_Spellcasting!AZ45,S10_Wizard!$AO$69:$AO$98,0),1),"")</f>
        <v/>
      </c>
      <c r="BG45" s="1096"/>
      <c r="BH45" s="567"/>
      <c r="BI45" s="120"/>
      <c r="BJ45" s="591">
        <v>39</v>
      </c>
      <c r="BK45" s="1061" t="str">
        <f>IFERROR(INDEX(S01_Bard!$AV$6:$AV$35,MATCH(Character_Spellcasting!BJ45,S01_Bard!$AX$69:$AX$98,0),1),"")&amp;IFERROR(INDEX(S02_Cleric!$AV$6:$AV$35,MATCH(Character_Spellcasting!BJ45,S02_Cleric!$AX$69:$AX$98,0),1),"")&amp;IFERROR(INDEX(S03_Druid!$AV$6:$AV$35,MATCH(Character_Spellcasting!BJ45,S03_Druid!$AX$69:$AX$98,0),1),"")&amp;IFERROR(INDEX(S04_EldritchKnight!$AV$6:$AV$35,MATCH(Character_Spellcasting!BJ45,S04_EldritchKnight!$AX$69:$AX$98,0),1),"")&amp;IFERROR(INDEX(S05_Paladin!$AV$6:$AV$35,MATCH(Character_Spellcasting!BJ45,S05_Paladin!$AX$69:$AX$98,0),1),"")&amp;IFERROR(INDEX(S06_Ranger!$AV$6:$AV$35,MATCH(Character_Spellcasting!BJ45,S06_Ranger!$AX$69:$AX$988,0),1),"")&amp;IFERROR(INDEX(S07_ArcaneTrickster!$AV$6:$AV$35,MATCH(Character_Spellcasting!BJ45,S07_ArcaneTrickster!$AX$69:$AX$988,0),1),"")&amp;IFERROR(INDEX(S08_Sorcerer!$AV$6:$AV$35,MATCH(Character_Spellcasting!BJ45,S08_Sorcerer!$AX$69:$AX$98,0),1),"")&amp;IFERROR(INDEX(S09_Warlock!$AV$6:$AV$35,MATCH(Character_Spellcasting!BJ45,S09_Warlock!$AX$69:$AX$98,0),1),"")&amp;IFERROR(INDEX(S10_Wizard!$AV$6:$AV$35,MATCH(Character_Spellcasting!BJ45,S10_Wizard!$AX$69:$AX$98,0),1),"")</f>
        <v/>
      </c>
      <c r="BL45" s="1061"/>
      <c r="BM45" s="1061"/>
      <c r="BN45" s="1061"/>
      <c r="BO45" s="1061"/>
      <c r="BP45" s="1096" t="str">
        <f>IFERROR(INDEX(S01_Bard!$AY$69:$AY$98,MATCH(Character_Spellcasting!BJ45,S01_Bard!$D$69:$D$98,0),1),"")&amp;IFERROR(INDEX(S02_Cleric!$AY$69:$AY$98,MATCH(Character_Spellcasting!BJ45,S02_Cleric!$AX$69:$AX$98,0),1),"")&amp;IFERROR(INDEX(S03_Druid!$AY$69:$AY$98,MATCH(Character_Spellcasting!BJ45,S03_Druid!$AX$69:$AX$98,0),1),"")&amp;IFERROR(INDEX(S04_EldritchKnight!$AY$69:$AY$98,MATCH(Character_Spellcasting!BJ45,S04_EldritchKnight!$AX$69:$AX$98,0),1),"")&amp;IFERROR(INDEX(S05_Paladin!$AY$69:$AY$98,MATCH(Character_Spellcasting!BJ45,S05_Paladin!$AX$69:$AX$98,0),1),"")&amp;IFERROR(INDEX(S06_Ranger!$AY$69:$AY$98,MATCH(Character_Spellcasting!BJ45,S06_Ranger!$AX$69:$AX$988,0),1),"")&amp;IFERROR(INDEX(S07_ArcaneTrickster!$AY$69:$AY$98,MATCH(Character_Spellcasting!BJ45,S07_ArcaneTrickster!$AX$69:$AX$988,0),1),"")&amp;IFERROR(INDEX(S08_Sorcerer!$AY$69:$AY$98,MATCH(Character_Spellcasting!BJ45,S08_Sorcerer!$AX$69:$AX$98,0),1),"")&amp;IFERROR(INDEX(S09_Warlock!$AY$69:$AY$98,MATCH(Character_Spellcasting!BJ45,S09_Warlock!$AX$69:$AX$98,0),1),"")&amp;IFERROR(INDEX(S10_Wizard!$AY$69:$AY$98,MATCH(Character_Spellcasting!BJ45,S10_Wizard!$AX$69:$AX$98,0),1),"")</f>
        <v/>
      </c>
      <c r="BQ45" s="1096"/>
      <c r="BR45" s="567"/>
      <c r="BS45" s="120"/>
      <c r="BT45" s="591">
        <v>39</v>
      </c>
      <c r="BU45" s="1061" t="str">
        <f>IFERROR(INDEX(S01_Bard!$BE$6:$BE$35,MATCH(Character_Spellcasting!BT45,S01_Bard!$BG$69:$BG$98,0),1),"")&amp;IFERROR(INDEX(S02_Cleric!$BE$6:$BE$35,MATCH(Character_Spellcasting!BT45,S02_Cleric!$BG$69:$BG$98,0),1),"")&amp;IFERROR(INDEX(S03_Druid!$BE$6:$BE$35,MATCH(Character_Spellcasting!BT45,S03_Druid!$BG$69:$BG$98,0),1),"")&amp;IFERROR(INDEX(S04_EldritchKnight!$BE$6:$BE$35,MATCH(Character_Spellcasting!BT45,S04_EldritchKnight!$BG$69:$BG$98,0),1),"")&amp;IFERROR(INDEX(S05_Paladin!$BE$6:$BE$35,MATCH(Character_Spellcasting!BT45,S05_Paladin!$BG$69:$BG$98,0),1),"")&amp;IFERROR(INDEX(S06_Ranger!$BE$6:$BE$35,MATCH(Character_Spellcasting!BT45,S06_Ranger!$BG$69:$BG$988,0),1),"")&amp;IFERROR(INDEX(S07_ArcaneTrickster!$BE$6:$BE$35,MATCH(Character_Spellcasting!BT45,S07_ArcaneTrickster!$BG$69:$BG$988,0),1),"")&amp;IFERROR(INDEX(S08_Sorcerer!$BE$6:$BE$35,MATCH(Character_Spellcasting!BT45,S08_Sorcerer!$BG$69:$BG$98,0),1),"")&amp;IFERROR(INDEX(S09_Warlock!$BE$6:$BE$35,MATCH(Character_Spellcasting!BT45,S09_Warlock!$BG$69:$BG$98,0),1),"")&amp;IFERROR(INDEX(S10_Wizard!$BE$6:$BE$35,MATCH(Character_Spellcasting!BT45,S10_Wizard!$BG$69:$BG$98,0),1),"")</f>
        <v/>
      </c>
      <c r="BV45" s="1061"/>
      <c r="BW45" s="1061"/>
      <c r="BX45" s="1061"/>
      <c r="BY45" s="1061"/>
      <c r="BZ45" s="1096" t="str">
        <f>IFERROR(INDEX(S01_Bard!$BH$69:$BH$98,MATCH(Character_Spellcasting!BT45,S01_Bard!$D$69:$D$98,0),1),"")&amp;IFERROR(INDEX(S02_Cleric!$BH$69:$BH$98,MATCH(Character_Spellcasting!BT45,S02_Cleric!$BG$69:$BG$98,0),1),"")&amp;IFERROR(INDEX(S03_Druid!$BH$69:$BH$98,MATCH(Character_Spellcasting!BT45,S03_Druid!$BG$69:$BG$98,0),1),"")&amp;IFERROR(INDEX(S04_EldritchKnight!$BH$69:$BH$98,MATCH(Character_Spellcasting!BT45,S04_EldritchKnight!$BG$69:$BG$98,0),1),"")&amp;IFERROR(INDEX(S05_Paladin!$BH$69:$BH$98,MATCH(Character_Spellcasting!BT45,S05_Paladin!$BG$69:$BG$98,0),1),"")&amp;IFERROR(INDEX(S06_Ranger!$BH$69:$BH$98,MATCH(Character_Spellcasting!BT45,S06_Ranger!$BG$69:$BG$988,0),1),"")&amp;IFERROR(INDEX(S07_ArcaneTrickster!$BH$69:$BH$98,MATCH(Character_Spellcasting!BT45,S07_ArcaneTrickster!$BG$69:$BG$988,0),1),"")&amp;IFERROR(INDEX(S08_Sorcerer!$BH$69:$BH$98,MATCH(Character_Spellcasting!BT45,S08_Sorcerer!$BG$69:$BG$98,0),1),"")&amp;IFERROR(INDEX(S09_Warlock!$BH$69:$BH$98,MATCH(Character_Spellcasting!BT45,S09_Warlock!$BG$69:$BG$98,0),1),"")&amp;IFERROR(INDEX(S10_Wizard!$BH$69:$BH$98,MATCH(Character_Spellcasting!BT45,S10_Wizard!$BG$69:$BG$98,0),1),"")</f>
        <v/>
      </c>
      <c r="CA45" s="1096"/>
      <c r="CB45" s="567"/>
      <c r="CC45" s="120"/>
      <c r="CD45" s="591">
        <v>39</v>
      </c>
      <c r="CE45" s="1061" t="str">
        <f>IFERROR(INDEX(S01_Bard!$BN$6:$BN$35,MATCH(Character_Spellcasting!CD45,S01_Bard!$BP$69:$BP$98,0),1),"")&amp;IFERROR(INDEX(S02_Cleric!$BN$6:$BN$35,MATCH(Character_Spellcasting!CD45,S02_Cleric!$BP$69:$BP$98,0),1),"")&amp;IFERROR(INDEX(S03_Druid!$BN$6:$BN$35,MATCH(Character_Spellcasting!CD45,S03_Druid!$BP$69:$BP$98,0),1),"")&amp;IFERROR(INDEX(S04_EldritchKnight!$BN$6:$BN$35,MATCH(Character_Spellcasting!CD45,S04_EldritchKnight!$BP$69:$BP$98,0),1),"")&amp;IFERROR(INDEX(S05_Paladin!$BN$6:$BN$35,MATCH(Character_Spellcasting!CD45,S05_Paladin!$BP$69:$BP$98,0),1),"")&amp;IFERROR(INDEX(S06_Ranger!$BN$6:$BN$35,MATCH(Character_Spellcasting!CD45,S06_Ranger!$BP$69:$BP$988,0),1),"")&amp;IFERROR(INDEX(S07_ArcaneTrickster!$BN$6:$BN$35,MATCH(Character_Spellcasting!CD45,S07_ArcaneTrickster!$BP$69:$BP$988,0),1),"")&amp;IFERROR(INDEX(S08_Sorcerer!$BN$6:$BN$35,MATCH(Character_Spellcasting!CD45,S08_Sorcerer!$BP$69:$BP$98,0),1),"")&amp;IFERROR(INDEX(S09_Warlock!$BN$6:$BN$35,MATCH(Character_Spellcasting!CD45,S09_Warlock!$BP$69:$BP$98,0),1),"")&amp;IFERROR(INDEX(S10_Wizard!$BN$6:$BN$35,MATCH(Character_Spellcasting!CD45,S10_Wizard!$BP$69:$BP$98,0),1),"")</f>
        <v/>
      </c>
      <c r="CF45" s="1061"/>
      <c r="CG45" s="1061"/>
      <c r="CH45" s="1061"/>
      <c r="CI45" s="1061"/>
      <c r="CJ45" s="1096" t="str">
        <f>IFERROR(INDEX(S01_Bard!$BQ$69:$BQ$98,MATCH(Character_Spellcasting!CD45,S01_Bard!$D$69:$D$98,0),1),"")&amp;IFERROR(INDEX(S02_Cleric!$BQ$69:$BQ$98,MATCH(Character_Spellcasting!CD45,S02_Cleric!$BP$69:$BP$98,0),1),"")&amp;IFERROR(INDEX(S03_Druid!$BQ$69:$BQ$98,MATCH(Character_Spellcasting!CD45,S03_Druid!$BP$69:$BP$98,0),1),"")&amp;IFERROR(INDEX(S04_EldritchKnight!$BQ$69:$BQ$98,MATCH(Character_Spellcasting!CD45,S04_EldritchKnight!$BP$69:$BP$98,0),1),"")&amp;IFERROR(INDEX(S05_Paladin!$BQ$69:$BQ$98,MATCH(Character_Spellcasting!CD45,S05_Paladin!$BP$69:$BP$98,0),1),"")&amp;IFERROR(INDEX(S06_Ranger!$BQ$69:$BQ$98,MATCH(Character_Spellcasting!CD45,S06_Ranger!$BP$69:$BP$988,0),1),"")&amp;IFERROR(INDEX(S07_ArcaneTrickster!$BQ$69:$BQ$98,MATCH(Character_Spellcasting!CD45,S07_ArcaneTrickster!$BP$69:$BP$988,0),1),"")&amp;IFERROR(INDEX(S08_Sorcerer!$BQ$69:$BQ$98,MATCH(Character_Spellcasting!CD45,S08_Sorcerer!$BP$69:$BP$98,0),1),"")&amp;IFERROR(INDEX(S09_Warlock!$BQ$69:$BQ$98,MATCH(Character_Spellcasting!CD45,S09_Warlock!$BP$69:$BP$98,0),1),"")&amp;IFERROR(INDEX(S10_Wizard!$BQ$69:$BQ$98,MATCH(Character_Spellcasting!CD45,S10_Wizard!$BP$69:$BP$98,0),1),"")</f>
        <v/>
      </c>
      <c r="CK45" s="1096"/>
      <c r="CL45" s="567"/>
      <c r="CM45" s="120"/>
      <c r="CN45" s="591">
        <v>39</v>
      </c>
      <c r="CO45" s="1061" t="str">
        <f>IFERROR(INDEX(S01_Bard!$BW$6:$BW$35,MATCH(Character_Spellcasting!CN45,S01_Bard!$BY$69:$BY$98,0),1),"")&amp;IFERROR(INDEX(S02_Cleric!$BW$6:$BW$35,MATCH(Character_Spellcasting!CN45,S02_Cleric!$BY$69:$BY$98,0),1),"")&amp;IFERROR(INDEX(S03_Druid!$BW$6:$BW$35,MATCH(Character_Spellcasting!CN45,S03_Druid!$BY$69:$BY$98,0),1),"")&amp;IFERROR(INDEX(S04_EldritchKnight!$BW$6:$BW$35,MATCH(Character_Spellcasting!CN45,S04_EldritchKnight!$BY$69:$BY$98,0),1),"")&amp;IFERROR(INDEX(S05_Paladin!$BW$6:$BW$35,MATCH(Character_Spellcasting!CN45,S05_Paladin!$BY$69:$BY$98,0),1),"")&amp;IFERROR(INDEX(S06_Ranger!$BW$6:$BW$35,MATCH(Character_Spellcasting!CN45,S06_Ranger!$BY$69:$BY$988,0),1),"")&amp;IFERROR(INDEX(S07_ArcaneTrickster!$BW$6:$BW$35,MATCH(Character_Spellcasting!CN45,S07_ArcaneTrickster!$BY$69:$BY$988,0),1),"")&amp;IFERROR(INDEX(S08_Sorcerer!$BW$6:$BW$35,MATCH(Character_Spellcasting!CN45,S08_Sorcerer!$BY$69:$BY$98,0),1),"")&amp;IFERROR(INDEX(S09_Warlock!$BW$6:$BW$35,MATCH(Character_Spellcasting!CN45,S09_Warlock!$BY$69:$BY$98,0),1),"")&amp;IFERROR(INDEX(S10_Wizard!$BW$6:$BW$35,MATCH(Character_Spellcasting!CN45,S10_Wizard!$BY$69:$BY$98,0),1),"")</f>
        <v/>
      </c>
      <c r="CP45" s="1061"/>
      <c r="CQ45" s="1061"/>
      <c r="CR45" s="1061"/>
      <c r="CS45" s="1061"/>
      <c r="CT45" s="1096" t="str">
        <f>IFERROR(INDEX(S01_Bard!$BZ$69:$BZ$98,MATCH(Character_Spellcasting!CN45,S01_Bard!$D$69:$D$98,0),1),"")&amp;IFERROR(INDEX(S02_Cleric!$BZ$69:$BZ$98,MATCH(Character_Spellcasting!CN45,S02_Cleric!$BY$69:$BY$98,0),1),"")&amp;IFERROR(INDEX(S03_Druid!$BZ$69:$BZ$98,MATCH(Character_Spellcasting!CN45,S03_Druid!$BY$69:$BY$98,0),1),"")&amp;IFERROR(INDEX(S04_EldritchKnight!$BZ$69:$BZ$98,MATCH(Character_Spellcasting!CN45,S04_EldritchKnight!$BY$69:$BY$98,0),1),"")&amp;IFERROR(INDEX(S05_Paladin!$BZ$69:$BZ$98,MATCH(Character_Spellcasting!CN45,S05_Paladin!$BY$69:$BY$98,0),1),"")&amp;IFERROR(INDEX(S06_Ranger!$BZ$69:$BZ$98,MATCH(Character_Spellcasting!CN45,S06_Ranger!$BY$69:$BY$988,0),1),"")&amp;IFERROR(INDEX(S07_ArcaneTrickster!$BZ$69:$BZ$98,MATCH(Character_Spellcasting!CN45,S07_ArcaneTrickster!$BY$69:$BY$988,0),1),"")&amp;IFERROR(INDEX(S08_Sorcerer!$BZ$69:$BZ$98,MATCH(Character_Spellcasting!CN45,S08_Sorcerer!$BY$69:$BY$98,0),1),"")&amp;IFERROR(INDEX(S09_Warlock!$BZ$69:$BZ$98,MATCH(Character_Spellcasting!CN45,S09_Warlock!$BY$69:$BY$98,0),1),"")&amp;IFERROR(INDEX(S10_Wizard!$BZ$69:$BZ$98,MATCH(Character_Spellcasting!CN45,S10_Wizard!$BY$69:$BY$98,0),1),"")</f>
        <v/>
      </c>
      <c r="CU45" s="1096"/>
      <c r="CV45" s="567"/>
      <c r="CW45" s="565"/>
      <c r="CX45" s="565"/>
      <c r="CY45" s="565"/>
      <c r="CZ45" s="565"/>
      <c r="DA45" s="610">
        <v>39</v>
      </c>
      <c r="DB45" s="1061" t="str">
        <f t="shared" si="2"/>
        <v/>
      </c>
      <c r="DC45" s="1061"/>
      <c r="DD45" s="1061"/>
      <c r="DE45" s="1061"/>
      <c r="DF45" s="1061"/>
      <c r="DG45" s="1096" t="str">
        <f t="shared" si="3"/>
        <v/>
      </c>
      <c r="DH45" s="1096"/>
      <c r="DI45" s="565"/>
      <c r="DJ45" s="565"/>
      <c r="DK45" s="565"/>
      <c r="DL45" s="565"/>
      <c r="DM45" s="565"/>
      <c r="DN45" s="565"/>
      <c r="DO45" s="565"/>
      <c r="DP45" s="565"/>
      <c r="DQ45" s="565"/>
      <c r="DR45" s="565"/>
      <c r="DS45" s="565"/>
      <c r="DT45" s="565"/>
      <c r="DU45" s="565"/>
      <c r="DV45" s="565"/>
    </row>
    <row r="46" spans="1:126" ht="21" x14ac:dyDescent="0.25">
      <c r="A46" s="120"/>
      <c r="B46" s="610">
        <v>40</v>
      </c>
      <c r="C46" s="1061"/>
      <c r="D46" s="1061"/>
      <c r="E46" s="1061"/>
      <c r="F46" s="1061"/>
      <c r="G46" s="1061"/>
      <c r="H46" s="1096"/>
      <c r="I46" s="1096"/>
      <c r="J46" s="120"/>
      <c r="K46" s="120"/>
      <c r="L46" s="591">
        <v>40</v>
      </c>
      <c r="M46" s="1061" t="str">
        <f>IFERROR(INDEX(S01_Bard!$C$6:$C$35,MATCH(Character_Spellcasting!L46,S01_Bard!$E$69:$E$98,0),1),"")&amp;IFERROR(INDEX(S02_Cleric!$C$6:$C$35,MATCH(Character_Spellcasting!L46,S02_Cleric!$E$69:$E$98,0),1),"")&amp;IFERROR(INDEX(S03_Druid!$C$6:$C$35,MATCH(Character_Spellcasting!L46,S03_Druid!$E$69:$E$98,0),1),"")&amp;IFERROR(INDEX(S04_EldritchKnight!$C$6:$C$35,MATCH(Character_Spellcasting!L46,S04_EldritchKnight!$E$69:$E$98,0),1),"")&amp;IFERROR(INDEX(S05_Paladin!$C$6:$C$35,MATCH(Character_Spellcasting!L46,S05_Paladin!$E$69:$E$98,0),1),"")&amp;IFERROR(INDEX(S06_Ranger!$C$6:$C$35,MATCH(Character_Spellcasting!L46,S06_Ranger!$E$69:$E$988,0),1),"")&amp;IFERROR(INDEX(S07_ArcaneTrickster!$C$6:$C$35,MATCH(Character_Spellcasting!L46,S07_ArcaneTrickster!$E$69:$E$988,0),1),"")&amp;IFERROR(INDEX(S08_Sorcerer!$C$6:$C$35,MATCH(Character_Spellcasting!L46,S08_Sorcerer!$E$69:$E$98,0),1),"")&amp;IFERROR(INDEX(S09_Warlock!$C$6:$C$35,MATCH(Character_Spellcasting!L46,S09_Warlock!$E$69:$E$98,0),1),"")&amp;IFERROR(INDEX(S10_Wizard!$C$6:$C$35,MATCH(Character_Spellcasting!L46,S10_Wizard!$E$69:$E$98,0),1),"")</f>
        <v/>
      </c>
      <c r="N46" s="1061"/>
      <c r="O46" s="1061"/>
      <c r="P46" s="1061"/>
      <c r="Q46" s="1061"/>
      <c r="R46" s="1096" t="str">
        <f>IFERROR(INDEX(S01_Bard!$F$69:$F$98,MATCH(Character_Spellcasting!L46,S01_Bard!$D$69:$D$98,0),1),"")&amp;IFERROR(INDEX(S02_Cleric!$F$69:$F$98,MATCH(Character_Spellcasting!L46,S02_Cleric!$E$69:$E$98,0),1),"")&amp;IFERROR(INDEX(S03_Druid!$F$69:$F$98,MATCH(Character_Spellcasting!L46,S03_Druid!$E$69:$E$98,0),1),"")&amp;IFERROR(INDEX(S04_EldritchKnight!$F$69:$F$98,MATCH(Character_Spellcasting!L46,S04_EldritchKnight!$E$69:$E$98,0),1),"")&amp;IFERROR(INDEX(S05_Paladin!$F$69:$F$98,MATCH(Character_Spellcasting!L46,S05_Paladin!$E$69:$E$98,0),1),"")&amp;IFERROR(INDEX(S06_Ranger!$F$69:$F$98,MATCH(Character_Spellcasting!L46,S06_Ranger!$E$69:$E$988,0),1),"")&amp;IFERROR(INDEX(S07_ArcaneTrickster!$F$69:$F$98,MATCH(Character_Spellcasting!L46,S07_ArcaneTrickster!$E$69:$E$988,0),1),"")&amp;IFERROR(INDEX(S08_Sorcerer!$F$69:$F$98,MATCH(Character_Spellcasting!L46,S08_Sorcerer!$E$69:$E$98,0),1),"")&amp;IFERROR(INDEX(S09_Warlock!$F$69:$F$98,MATCH(Character_Spellcasting!L46,S09_Warlock!$E$69:$E$98,0),1),"")&amp;IFERROR(INDEX(S10_Wizard!$F$69:$F$98,MATCH(Character_Spellcasting!L46,S10_Wizard!$E$69:$E$98,0),1),"")</f>
        <v/>
      </c>
      <c r="S46" s="1096"/>
      <c r="T46" s="567"/>
      <c r="U46" s="565"/>
      <c r="V46" s="591">
        <v>40</v>
      </c>
      <c r="W46" s="1061" t="str">
        <f>IFERROR(INDEX(S01_Bard!$L$6:$L$35,MATCH(Character_Spellcasting!V46,S01_Bard!$N$69:$N$98,0),1),"")&amp;IFERROR(INDEX(S02_Cleric!$L$6:$L$35,MATCH(Character_Spellcasting!V46,S02_Cleric!$N$69:$N$98,0),1),"")&amp;IFERROR(INDEX(S03_Druid!$L$6:$L$35,MATCH(Character_Spellcasting!V46,S03_Druid!$N$69:$N$98,0),1),"")&amp;IFERROR(INDEX(S04_EldritchKnight!$L$6:$L$35,MATCH(Character_Spellcasting!V46,S04_EldritchKnight!$N$69:$N$98,0),1),"")&amp;IFERROR(INDEX(S05_Paladin!$L$6:$L$35,MATCH(Character_Spellcasting!V46,S05_Paladin!$N$69:$N$98,0),1),"")&amp;IFERROR(INDEX(S06_Ranger!$L$6:$L$35,MATCH(Character_Spellcasting!V46,S06_Ranger!$N$69:$N$988,0),1),"")&amp;IFERROR(INDEX(S07_ArcaneTrickster!$L$6:$L$35,MATCH(Character_Spellcasting!V46,S07_ArcaneTrickster!$N$69:$N$988,0),1),"")&amp;IFERROR(INDEX(S08_Sorcerer!$L$6:$L$35,MATCH(Character_Spellcasting!V46,S08_Sorcerer!$N$69:$N$98,0),1),"")&amp;IFERROR(INDEX(S09_Warlock!$L$6:$L$35,MATCH(Character_Spellcasting!V46,S09_Warlock!$N$69:$N$98,0),1),"")&amp;IFERROR(INDEX(S10_Wizard!$L$6:$L$35,MATCH(Character_Spellcasting!V46,S10_Wizard!$N$69:$N$98,0),1),"")</f>
        <v/>
      </c>
      <c r="X46" s="1061"/>
      <c r="Y46" s="1061"/>
      <c r="Z46" s="1061"/>
      <c r="AA46" s="1061"/>
      <c r="AB46" s="1097" t="str">
        <f>IFERROR(INDEX(S01_Bard!$O$69:$O$98,MATCH(Character_Spellcasting!V46,S01_Bard!$N$69:$N$98,0),1),"")&amp;IFERROR(INDEX(S02_Cleric!$O$69:$O$98,MATCH(Character_Spellcasting!V46,S02_Cleric!$N$69:$N$98,0),1),"")&amp;IFERROR(INDEX(S03_Druid!$O$69:$O$98,MATCH(Character_Spellcasting!V46,S03_Druid!$N$69:$N$98,0),1),"")&amp;IFERROR(INDEX(S04_EldritchKnight!$O$69:$O$98,MATCH(Character_Spellcasting!V46,S04_EldritchKnight!$N$69:$N$98,0),1),"")&amp;IFERROR(INDEX(S05_Paladin!$O$69:$O$98,MATCH(Character_Spellcasting!V46,S05_Paladin!$N$69:$N$98,0),1),"")&amp;IFERROR(INDEX(S06_Ranger!$O$69:$O$98,MATCH(Character_Spellcasting!V46,S06_Ranger!$N$69:$N$988,0),1),"")&amp;IFERROR(INDEX(S07_ArcaneTrickster!$O$69:$O$98,MATCH(Character_Spellcasting!V46,S07_ArcaneTrickster!$N$69:$N$988,0),1),"")&amp;IFERROR(INDEX(S08_Sorcerer!$O$69:$O$98,MATCH(Character_Spellcasting!V46,S08_Sorcerer!$N$69:$N$98,0),1),"")&amp;IFERROR(INDEX(S09_Warlock!$O$69:$O$98,MATCH(Character_Spellcasting!V46,S09_Warlock!$N$69:$N$98,0),1),"")&amp;IFERROR(INDEX(S10_Wizard!$O$69:$O$98,MATCH(Character_Spellcasting!V46,S10_Wizard!$N$69:$N$98,0),1),"")</f>
        <v/>
      </c>
      <c r="AC46" s="1098"/>
      <c r="AD46" s="567"/>
      <c r="AE46" s="565"/>
      <c r="AF46" s="609">
        <v>40</v>
      </c>
      <c r="AG46" s="1061" t="str">
        <f>IFERROR(INDEX(S01_Bard!$U$6:$U$35,MATCH(Character_Spellcasting!AF46,S01_Bard!$W$69:$W$98,0),1),"")&amp;IFERROR(INDEX(S02_Cleric!$U$6:$U$35,MATCH(Character_Spellcasting!AF46,S02_Cleric!$W$69:$W$98,0),1),"")&amp;IFERROR(INDEX(S03_Druid!$U$6:$U$35,MATCH(Character_Spellcasting!AF46,S03_Druid!$W$69:$W$98,0),1),"")&amp;IFERROR(INDEX(S04_EldritchKnight!$U$6:$U$35,MATCH(Character_Spellcasting!AF46,S04_EldritchKnight!$W$69:$W$98,0),1),"")&amp;IFERROR(INDEX(S05_Paladin!$U$6:$U$35,MATCH(Character_Spellcasting!AF46,S05_Paladin!$W$69:$W$98,0),1),"")&amp;IFERROR(INDEX(S06_Ranger!$U$6:$U$35,MATCH(Character_Spellcasting!AF46,S06_Ranger!$W$69:$W$988,0),1),"")&amp;IFERROR(INDEX(S07_ArcaneTrickster!$U$6:$U$35,MATCH(Character_Spellcasting!AF46,S07_ArcaneTrickster!$W$69:$W$988,0),1),"")&amp;IFERROR(INDEX(S08_Sorcerer!$U$6:$U$35,MATCH(Character_Spellcasting!AF46,S08_Sorcerer!$W$69:$W$98,0),1),"")&amp;IFERROR(INDEX(S09_Warlock!$U$6:$U$35,MATCH(Character_Spellcasting!AF46,S09_Warlock!$W$69:$W$98,0),1),"")&amp;IFERROR(INDEX(S10_Wizard!$U$6:$U$35,MATCH(Character_Spellcasting!AF46,S10_Wizard!$W$69:$W$98,0),1),"")</f>
        <v/>
      </c>
      <c r="AH46" s="1061"/>
      <c r="AI46" s="1061"/>
      <c r="AJ46" s="1061"/>
      <c r="AK46" s="1061"/>
      <c r="AL46" s="1097" t="str">
        <f>IFERROR(INDEX(S01_Bard!$X$69:$X$98,MATCH(Character_Spellcasting!AF46,S01_Bard!$W$69:$W$98,0),1),"")&amp;IFERROR(INDEX(S02_Cleric!$X$69:$X$98,MATCH(Character_Spellcasting!AF46,S02_Cleric!$W$69:$W$98,0),1),"")&amp;IFERROR(INDEX(S03_Druid!$X$69:$X$98,MATCH(Character_Spellcasting!AF46,S03_Druid!$W$69:$W$98,0),1),"")&amp;IFERROR(INDEX(S04_EldritchKnight!$X$69:$X$98,MATCH(Character_Spellcasting!AF46,S04_EldritchKnight!$W$69:$W$98,0),1),"")&amp;IFERROR(INDEX(S05_Paladin!$X$69:$X$98,MATCH(Character_Spellcasting!AF46,S05_Paladin!$W$69:$W$98,0),1),"")&amp;IFERROR(INDEX(S06_Ranger!$X$69:$X$98,MATCH(Character_Spellcasting!AF46,S06_Ranger!$W$69:$W$988,0),1),"")&amp;IFERROR(INDEX(S07_ArcaneTrickster!$X$69:$X$98,MATCH(Character_Spellcasting!AF46,S07_ArcaneTrickster!$W$69:$W$988,0),1),"")&amp;IFERROR(INDEX(S08_Sorcerer!$X$69:$X$98,MATCH(Character_Spellcasting!AF46,S08_Sorcerer!$W$69:$W$98,0),1),"")&amp;IFERROR(INDEX(S09_Warlock!$X$69:$X$98,MATCH(Character_Spellcasting!AF46,S09_Warlock!$W$69:$W$98,0),1),"")&amp;IFERROR(INDEX(S10_Wizard!$X$69:$X$98,MATCH(Character_Spellcasting!AF46,S10_Wizard!$W$69:$W$98,0),1),"")</f>
        <v/>
      </c>
      <c r="AM46" s="1098"/>
      <c r="AN46" s="567"/>
      <c r="AO46" s="565"/>
      <c r="AP46" s="591">
        <v>40</v>
      </c>
      <c r="AQ46" s="1061" t="str">
        <f>IFERROR(INDEX(S01_Bard!$AD$6:$AD$35,MATCH(Character_Spellcasting!AP46,S01_Bard!$AF$69:$AF$98,0),1),"")&amp;IFERROR(INDEX(S02_Cleric!$AD$6:$AD$35,MATCH(Character_Spellcasting!AP46,S02_Cleric!$AF$69:$AF$98,0),1),"")&amp;IFERROR(INDEX(S03_Druid!$AD$6:$AD$35,MATCH(Character_Spellcasting!AP46,S03_Druid!$AF$69:$AF$98,0),1),"")&amp;IFERROR(INDEX(S04_EldritchKnight!$AD$6:$AD$35,MATCH(Character_Spellcasting!AP46,S04_EldritchKnight!$AF$69:$AF$98,0),1),"")&amp;IFERROR(INDEX(S05_Paladin!$AD$6:$AD$35,MATCH(Character_Spellcasting!AP46,S05_Paladin!$AF$69:$AF$98,0),1),"")&amp;IFERROR(INDEX(S06_Ranger!$AD$6:$AD$35,MATCH(Character_Spellcasting!AP46,S06_Ranger!$AF$69:$AF$988,0),1),"")&amp;IFERROR(INDEX(S07_ArcaneTrickster!$AD$6:$AD$35,MATCH(Character_Spellcasting!AP46,S07_ArcaneTrickster!$AF$69:$AF$988,0),1),"")&amp;IFERROR(INDEX(S08_Sorcerer!$AD$6:$AD$35,MATCH(Character_Spellcasting!AP46,S08_Sorcerer!$AF$69:$AF$98,0),1),"")&amp;IFERROR(INDEX(S09_Warlock!$AD$6:$AD$35,MATCH(Character_Spellcasting!AP46,S09_Warlock!$AF$69:$AF$98,0),1),"")&amp;IFERROR(INDEX(S10_Wizard!$AD$6:$AD$35,MATCH(Character_Spellcasting!AP46,S10_Wizard!$AF$69:$AF$98,0),1),"")</f>
        <v/>
      </c>
      <c r="AR46" s="1061"/>
      <c r="AS46" s="1061"/>
      <c r="AT46" s="1061"/>
      <c r="AU46" s="1061"/>
      <c r="AV46" s="1096" t="str">
        <f>IFERROR(INDEX(S01_Bard!$AG$69:$AG$98,MATCH(Character_Spellcasting!AP46,S01_Bard!$D$69:$D$98,0),1),"")&amp;IFERROR(INDEX(S02_Cleric!$AG$69:$AG$98,MATCH(Character_Spellcasting!AP46,S02_Cleric!$AF$69:$AF$98,0),1),"")&amp;IFERROR(INDEX(S03_Druid!$AG$69:$AG$98,MATCH(Character_Spellcasting!AP46,S03_Druid!$AF$69:$AF$98,0),1),"")&amp;IFERROR(INDEX(S04_EldritchKnight!$AG$69:$AG$98,MATCH(Character_Spellcasting!AP46,S04_EldritchKnight!$AF$69:$AF$98,0),1),"")&amp;IFERROR(INDEX(S05_Paladin!$AG$69:$AG$98,MATCH(Character_Spellcasting!AP46,S05_Paladin!$AF$69:$AF$98,0),1),"")&amp;IFERROR(INDEX(S06_Ranger!$AG$69:$AG$98,MATCH(Character_Spellcasting!AP46,S06_Ranger!$AF$69:$AF$988,0),1),"")&amp;IFERROR(INDEX(S07_ArcaneTrickster!$AG$69:$AG$98,MATCH(Character_Spellcasting!AP46,S07_ArcaneTrickster!$AF$69:$AF$988,0),1),"")&amp;IFERROR(INDEX(S08_Sorcerer!$AG$69:$AG$98,MATCH(Character_Spellcasting!AP46,S08_Sorcerer!$AF$69:$AF$98,0),1),"")&amp;IFERROR(INDEX(S09_Warlock!$AG$69:$AG$98,MATCH(Character_Spellcasting!AP46,S09_Warlock!$AF$69:$AF$98,0),1),"")&amp;IFERROR(INDEX(S10_Wizard!$AG$69:$AG$98,MATCH(Character_Spellcasting!AP46,S10_Wizard!$AF$69:$AF$98,0),1),"")</f>
        <v/>
      </c>
      <c r="AW46" s="1096"/>
      <c r="AX46" s="567"/>
      <c r="AY46" s="565"/>
      <c r="AZ46" s="591">
        <v>40</v>
      </c>
      <c r="BA46" s="1061" t="str">
        <f>IFERROR(INDEX(S01_Bard!$AM$6:$AM$35,MATCH(Character_Spellcasting!AZ46,S01_Bard!$AO$69:$AO$98,0),1),"")&amp;IFERROR(INDEX(S02_Cleric!$AM$6:$AM$35,MATCH(Character_Spellcasting!AZ46,S02_Cleric!$AO$69:$AO$98,0),1),"")&amp;IFERROR(INDEX(S03_Druid!$AM$6:$AM$35,MATCH(Character_Spellcasting!AZ46,S03_Druid!$AO$69:$AO$98,0),1),"")&amp;IFERROR(INDEX(S04_EldritchKnight!$AM$6:$AM$35,MATCH(Character_Spellcasting!AZ46,S04_EldritchKnight!$AO$69:$AO$98,0),1),"")&amp;IFERROR(INDEX(S05_Paladin!$AM$6:$AM$35,MATCH(Character_Spellcasting!AZ46,S05_Paladin!$AO$69:$AO$98,0),1),"")&amp;IFERROR(INDEX(S06_Ranger!$AM$6:$AM$35,MATCH(Character_Spellcasting!AZ46,S06_Ranger!$AO$69:$AO$988,0),1),"")&amp;IFERROR(INDEX(S07_ArcaneTrickster!$AM$6:$AM$35,MATCH(Character_Spellcasting!AZ46,S07_ArcaneTrickster!$AO$69:$AO$988,0),1),"")&amp;IFERROR(INDEX(S08_Sorcerer!$AM$6:$AM$35,MATCH(Character_Spellcasting!AZ46,S08_Sorcerer!$AO$69:$AO$98,0),1),"")&amp;IFERROR(INDEX(S09_Warlock!$AM$6:$AM$35,MATCH(Character_Spellcasting!AZ46,S09_Warlock!$AO$69:$AO$98,0),1),"")&amp;IFERROR(INDEX(S10_Wizard!$AM$6:$AM$35,MATCH(Character_Spellcasting!AZ46,S10_Wizard!$AO$69:$AO$98,0),1),"")</f>
        <v/>
      </c>
      <c r="BB46" s="1061"/>
      <c r="BC46" s="1061"/>
      <c r="BD46" s="1061"/>
      <c r="BE46" s="1061"/>
      <c r="BF46" s="1096" t="str">
        <f>IFERROR(INDEX(S01_Bard!$AP$69:$AP$98,MATCH(Character_Spellcasting!AZ46,S01_Bard!$D$69:$D$98,0),1),"")&amp;IFERROR(INDEX(S02_Cleric!$AP$69:$AP$98,MATCH(Character_Spellcasting!AZ46,S02_Cleric!$AO$69:$AO$98,0),1),"")&amp;IFERROR(INDEX(S03_Druid!$AP$69:$AP$98,MATCH(Character_Spellcasting!AZ46,S03_Druid!$AO$69:$AO$98,0),1),"")&amp;IFERROR(INDEX(S04_EldritchKnight!$AP$69:$AP$98,MATCH(Character_Spellcasting!AZ46,S04_EldritchKnight!$AO$69:$AO$98,0),1),"")&amp;IFERROR(INDEX(S05_Paladin!$AP$69:$AP$98,MATCH(Character_Spellcasting!AZ46,S05_Paladin!$AO$69:$AO$98,0),1),"")&amp;IFERROR(INDEX(S06_Ranger!$AP$69:$AP$98,MATCH(Character_Spellcasting!AZ46,S06_Ranger!$AO$69:$AO$988,0),1),"")&amp;IFERROR(INDEX(S07_ArcaneTrickster!$AP$69:$AP$98,MATCH(Character_Spellcasting!AZ46,S07_ArcaneTrickster!$AO$69:$AO$988,0),1),"")&amp;IFERROR(INDEX(S08_Sorcerer!$AP$69:$AP$98,MATCH(Character_Spellcasting!AZ46,S08_Sorcerer!$AO$69:$AO$98,0),1),"")&amp;IFERROR(INDEX(S09_Warlock!$AP$69:$AP$98,MATCH(Character_Spellcasting!AZ46,S09_Warlock!$AO$69:$AO$98,0),1),"")&amp;IFERROR(INDEX(S10_Wizard!$AP$69:$AP$98,MATCH(Character_Spellcasting!AZ46,S10_Wizard!$AO$69:$AO$98,0),1),"")</f>
        <v/>
      </c>
      <c r="BG46" s="1096"/>
      <c r="BH46" s="567"/>
      <c r="BI46" s="120"/>
      <c r="BJ46" s="591">
        <v>40</v>
      </c>
      <c r="BK46" s="1061" t="str">
        <f>IFERROR(INDEX(S01_Bard!$AV$6:$AV$35,MATCH(Character_Spellcasting!BJ46,S01_Bard!$AX$69:$AX$98,0),1),"")&amp;IFERROR(INDEX(S02_Cleric!$AV$6:$AV$35,MATCH(Character_Spellcasting!BJ46,S02_Cleric!$AX$69:$AX$98,0),1),"")&amp;IFERROR(INDEX(S03_Druid!$AV$6:$AV$35,MATCH(Character_Spellcasting!BJ46,S03_Druid!$AX$69:$AX$98,0),1),"")&amp;IFERROR(INDEX(S04_EldritchKnight!$AV$6:$AV$35,MATCH(Character_Spellcasting!BJ46,S04_EldritchKnight!$AX$69:$AX$98,0),1),"")&amp;IFERROR(INDEX(S05_Paladin!$AV$6:$AV$35,MATCH(Character_Spellcasting!BJ46,S05_Paladin!$AX$69:$AX$98,0),1),"")&amp;IFERROR(INDEX(S06_Ranger!$AV$6:$AV$35,MATCH(Character_Spellcasting!BJ46,S06_Ranger!$AX$69:$AX$988,0),1),"")&amp;IFERROR(INDEX(S07_ArcaneTrickster!$AV$6:$AV$35,MATCH(Character_Spellcasting!BJ46,S07_ArcaneTrickster!$AX$69:$AX$988,0),1),"")&amp;IFERROR(INDEX(S08_Sorcerer!$AV$6:$AV$35,MATCH(Character_Spellcasting!BJ46,S08_Sorcerer!$AX$69:$AX$98,0),1),"")&amp;IFERROR(INDEX(S09_Warlock!$AV$6:$AV$35,MATCH(Character_Spellcasting!BJ46,S09_Warlock!$AX$69:$AX$98,0),1),"")&amp;IFERROR(INDEX(S10_Wizard!$AV$6:$AV$35,MATCH(Character_Spellcasting!BJ46,S10_Wizard!$AX$69:$AX$98,0),1),"")</f>
        <v/>
      </c>
      <c r="BL46" s="1061"/>
      <c r="BM46" s="1061"/>
      <c r="BN46" s="1061"/>
      <c r="BO46" s="1061"/>
      <c r="BP46" s="1096" t="str">
        <f>IFERROR(INDEX(S01_Bard!$AY$69:$AY$98,MATCH(Character_Spellcasting!BJ46,S01_Bard!$D$69:$D$98,0),1),"")&amp;IFERROR(INDEX(S02_Cleric!$AY$69:$AY$98,MATCH(Character_Spellcasting!BJ46,S02_Cleric!$AX$69:$AX$98,0),1),"")&amp;IFERROR(INDEX(S03_Druid!$AY$69:$AY$98,MATCH(Character_Spellcasting!BJ46,S03_Druid!$AX$69:$AX$98,0),1),"")&amp;IFERROR(INDEX(S04_EldritchKnight!$AY$69:$AY$98,MATCH(Character_Spellcasting!BJ46,S04_EldritchKnight!$AX$69:$AX$98,0),1),"")&amp;IFERROR(INDEX(S05_Paladin!$AY$69:$AY$98,MATCH(Character_Spellcasting!BJ46,S05_Paladin!$AX$69:$AX$98,0),1),"")&amp;IFERROR(INDEX(S06_Ranger!$AY$69:$AY$98,MATCH(Character_Spellcasting!BJ46,S06_Ranger!$AX$69:$AX$988,0),1),"")&amp;IFERROR(INDEX(S07_ArcaneTrickster!$AY$69:$AY$98,MATCH(Character_Spellcasting!BJ46,S07_ArcaneTrickster!$AX$69:$AX$988,0),1),"")&amp;IFERROR(INDEX(S08_Sorcerer!$AY$69:$AY$98,MATCH(Character_Spellcasting!BJ46,S08_Sorcerer!$AX$69:$AX$98,0),1),"")&amp;IFERROR(INDEX(S09_Warlock!$AY$69:$AY$98,MATCH(Character_Spellcasting!BJ46,S09_Warlock!$AX$69:$AX$98,0),1),"")&amp;IFERROR(INDEX(S10_Wizard!$AY$69:$AY$98,MATCH(Character_Spellcasting!BJ46,S10_Wizard!$AX$69:$AX$98,0),1),"")</f>
        <v/>
      </c>
      <c r="BQ46" s="1096"/>
      <c r="BR46" s="567"/>
      <c r="BS46" s="120"/>
      <c r="BT46" s="591">
        <v>40</v>
      </c>
      <c r="BU46" s="1061" t="str">
        <f>IFERROR(INDEX(S01_Bard!$BE$6:$BE$35,MATCH(Character_Spellcasting!BT46,S01_Bard!$BG$69:$BG$98,0),1),"")&amp;IFERROR(INDEX(S02_Cleric!$BE$6:$BE$35,MATCH(Character_Spellcasting!BT46,S02_Cleric!$BG$69:$BG$98,0),1),"")&amp;IFERROR(INDEX(S03_Druid!$BE$6:$BE$35,MATCH(Character_Spellcasting!BT46,S03_Druid!$BG$69:$BG$98,0),1),"")&amp;IFERROR(INDEX(S04_EldritchKnight!$BE$6:$BE$35,MATCH(Character_Spellcasting!BT46,S04_EldritchKnight!$BG$69:$BG$98,0),1),"")&amp;IFERROR(INDEX(S05_Paladin!$BE$6:$BE$35,MATCH(Character_Spellcasting!BT46,S05_Paladin!$BG$69:$BG$98,0),1),"")&amp;IFERROR(INDEX(S06_Ranger!$BE$6:$BE$35,MATCH(Character_Spellcasting!BT46,S06_Ranger!$BG$69:$BG$988,0),1),"")&amp;IFERROR(INDEX(S07_ArcaneTrickster!$BE$6:$BE$35,MATCH(Character_Spellcasting!BT46,S07_ArcaneTrickster!$BG$69:$BG$988,0),1),"")&amp;IFERROR(INDEX(S08_Sorcerer!$BE$6:$BE$35,MATCH(Character_Spellcasting!BT46,S08_Sorcerer!$BG$69:$BG$98,0),1),"")&amp;IFERROR(INDEX(S09_Warlock!$BE$6:$BE$35,MATCH(Character_Spellcasting!BT46,S09_Warlock!$BG$69:$BG$98,0),1),"")&amp;IFERROR(INDEX(S10_Wizard!$BE$6:$BE$35,MATCH(Character_Spellcasting!BT46,S10_Wizard!$BG$69:$BG$98,0),1),"")</f>
        <v/>
      </c>
      <c r="BV46" s="1061"/>
      <c r="BW46" s="1061"/>
      <c r="BX46" s="1061"/>
      <c r="BY46" s="1061"/>
      <c r="BZ46" s="1096" t="str">
        <f>IFERROR(INDEX(S01_Bard!$BH$69:$BH$98,MATCH(Character_Spellcasting!BT46,S01_Bard!$D$69:$D$98,0),1),"")&amp;IFERROR(INDEX(S02_Cleric!$BH$69:$BH$98,MATCH(Character_Spellcasting!BT46,S02_Cleric!$BG$69:$BG$98,0),1),"")&amp;IFERROR(INDEX(S03_Druid!$BH$69:$BH$98,MATCH(Character_Spellcasting!BT46,S03_Druid!$BG$69:$BG$98,0),1),"")&amp;IFERROR(INDEX(S04_EldritchKnight!$BH$69:$BH$98,MATCH(Character_Spellcasting!BT46,S04_EldritchKnight!$BG$69:$BG$98,0),1),"")&amp;IFERROR(INDEX(S05_Paladin!$BH$69:$BH$98,MATCH(Character_Spellcasting!BT46,S05_Paladin!$BG$69:$BG$98,0),1),"")&amp;IFERROR(INDEX(S06_Ranger!$BH$69:$BH$98,MATCH(Character_Spellcasting!BT46,S06_Ranger!$BG$69:$BG$988,0),1),"")&amp;IFERROR(INDEX(S07_ArcaneTrickster!$BH$69:$BH$98,MATCH(Character_Spellcasting!BT46,S07_ArcaneTrickster!$BG$69:$BG$988,0),1),"")&amp;IFERROR(INDEX(S08_Sorcerer!$BH$69:$BH$98,MATCH(Character_Spellcasting!BT46,S08_Sorcerer!$BG$69:$BG$98,0),1),"")&amp;IFERROR(INDEX(S09_Warlock!$BH$69:$BH$98,MATCH(Character_Spellcasting!BT46,S09_Warlock!$BG$69:$BG$98,0),1),"")&amp;IFERROR(INDEX(S10_Wizard!$BH$69:$BH$98,MATCH(Character_Spellcasting!BT46,S10_Wizard!$BG$69:$BG$98,0),1),"")</f>
        <v/>
      </c>
      <c r="CA46" s="1096"/>
      <c r="CB46" s="567"/>
      <c r="CC46" s="120"/>
      <c r="CD46" s="591">
        <v>40</v>
      </c>
      <c r="CE46" s="1061" t="str">
        <f>IFERROR(INDEX(S01_Bard!$BN$6:$BN$35,MATCH(Character_Spellcasting!CD46,S01_Bard!$BP$69:$BP$98,0),1),"")&amp;IFERROR(INDEX(S02_Cleric!$BN$6:$BN$35,MATCH(Character_Spellcasting!CD46,S02_Cleric!$BP$69:$BP$98,0),1),"")&amp;IFERROR(INDEX(S03_Druid!$BN$6:$BN$35,MATCH(Character_Spellcasting!CD46,S03_Druid!$BP$69:$BP$98,0),1),"")&amp;IFERROR(INDEX(S04_EldritchKnight!$BN$6:$BN$35,MATCH(Character_Spellcasting!CD46,S04_EldritchKnight!$BP$69:$BP$98,0),1),"")&amp;IFERROR(INDEX(S05_Paladin!$BN$6:$BN$35,MATCH(Character_Spellcasting!CD46,S05_Paladin!$BP$69:$BP$98,0),1),"")&amp;IFERROR(INDEX(S06_Ranger!$BN$6:$BN$35,MATCH(Character_Spellcasting!CD46,S06_Ranger!$BP$69:$BP$988,0),1),"")&amp;IFERROR(INDEX(S07_ArcaneTrickster!$BN$6:$BN$35,MATCH(Character_Spellcasting!CD46,S07_ArcaneTrickster!$BP$69:$BP$988,0),1),"")&amp;IFERROR(INDEX(S08_Sorcerer!$BN$6:$BN$35,MATCH(Character_Spellcasting!CD46,S08_Sorcerer!$BP$69:$BP$98,0),1),"")&amp;IFERROR(INDEX(S09_Warlock!$BN$6:$BN$35,MATCH(Character_Spellcasting!CD46,S09_Warlock!$BP$69:$BP$98,0),1),"")&amp;IFERROR(INDEX(S10_Wizard!$BN$6:$BN$35,MATCH(Character_Spellcasting!CD46,S10_Wizard!$BP$69:$BP$98,0),1),"")</f>
        <v/>
      </c>
      <c r="CF46" s="1061"/>
      <c r="CG46" s="1061"/>
      <c r="CH46" s="1061"/>
      <c r="CI46" s="1061"/>
      <c r="CJ46" s="1096" t="str">
        <f>IFERROR(INDEX(S01_Bard!$BQ$69:$BQ$98,MATCH(Character_Spellcasting!CD46,S01_Bard!$D$69:$D$98,0),1),"")&amp;IFERROR(INDEX(S02_Cleric!$BQ$69:$BQ$98,MATCH(Character_Spellcasting!CD46,S02_Cleric!$BP$69:$BP$98,0),1),"")&amp;IFERROR(INDEX(S03_Druid!$BQ$69:$BQ$98,MATCH(Character_Spellcasting!CD46,S03_Druid!$BP$69:$BP$98,0),1),"")&amp;IFERROR(INDEX(S04_EldritchKnight!$BQ$69:$BQ$98,MATCH(Character_Spellcasting!CD46,S04_EldritchKnight!$BP$69:$BP$98,0),1),"")&amp;IFERROR(INDEX(S05_Paladin!$BQ$69:$BQ$98,MATCH(Character_Spellcasting!CD46,S05_Paladin!$BP$69:$BP$98,0),1),"")&amp;IFERROR(INDEX(S06_Ranger!$BQ$69:$BQ$98,MATCH(Character_Spellcasting!CD46,S06_Ranger!$BP$69:$BP$988,0),1),"")&amp;IFERROR(INDEX(S07_ArcaneTrickster!$BQ$69:$BQ$98,MATCH(Character_Spellcasting!CD46,S07_ArcaneTrickster!$BP$69:$BP$988,0),1),"")&amp;IFERROR(INDEX(S08_Sorcerer!$BQ$69:$BQ$98,MATCH(Character_Spellcasting!CD46,S08_Sorcerer!$BP$69:$BP$98,0),1),"")&amp;IFERROR(INDEX(S09_Warlock!$BQ$69:$BQ$98,MATCH(Character_Spellcasting!CD46,S09_Warlock!$BP$69:$BP$98,0),1),"")&amp;IFERROR(INDEX(S10_Wizard!$BQ$69:$BQ$98,MATCH(Character_Spellcasting!CD46,S10_Wizard!$BP$69:$BP$98,0),1),"")</f>
        <v/>
      </c>
      <c r="CK46" s="1096"/>
      <c r="CL46" s="567"/>
      <c r="CM46" s="120"/>
      <c r="CN46" s="591">
        <v>40</v>
      </c>
      <c r="CO46" s="1061" t="str">
        <f>IFERROR(INDEX(S01_Bard!$BW$6:$BW$35,MATCH(Character_Spellcasting!CN46,S01_Bard!$BY$69:$BY$98,0),1),"")&amp;IFERROR(INDEX(S02_Cleric!$BW$6:$BW$35,MATCH(Character_Spellcasting!CN46,S02_Cleric!$BY$69:$BY$98,0),1),"")&amp;IFERROR(INDEX(S03_Druid!$BW$6:$BW$35,MATCH(Character_Spellcasting!CN46,S03_Druid!$BY$69:$BY$98,0),1),"")&amp;IFERROR(INDEX(S04_EldritchKnight!$BW$6:$BW$35,MATCH(Character_Spellcasting!CN46,S04_EldritchKnight!$BY$69:$BY$98,0),1),"")&amp;IFERROR(INDEX(S05_Paladin!$BW$6:$BW$35,MATCH(Character_Spellcasting!CN46,S05_Paladin!$BY$69:$BY$98,0),1),"")&amp;IFERROR(INDEX(S06_Ranger!$BW$6:$BW$35,MATCH(Character_Spellcasting!CN46,S06_Ranger!$BY$69:$BY$988,0),1),"")&amp;IFERROR(INDEX(S07_ArcaneTrickster!$BW$6:$BW$35,MATCH(Character_Spellcasting!CN46,S07_ArcaneTrickster!$BY$69:$BY$988,0),1),"")&amp;IFERROR(INDEX(S08_Sorcerer!$BW$6:$BW$35,MATCH(Character_Spellcasting!CN46,S08_Sorcerer!$BY$69:$BY$98,0),1),"")&amp;IFERROR(INDEX(S09_Warlock!$BW$6:$BW$35,MATCH(Character_Spellcasting!CN46,S09_Warlock!$BY$69:$BY$98,0),1),"")&amp;IFERROR(INDEX(S10_Wizard!$BW$6:$BW$35,MATCH(Character_Spellcasting!CN46,S10_Wizard!$BY$69:$BY$98,0),1),"")</f>
        <v/>
      </c>
      <c r="CP46" s="1061"/>
      <c r="CQ46" s="1061"/>
      <c r="CR46" s="1061"/>
      <c r="CS46" s="1061"/>
      <c r="CT46" s="1096" t="str">
        <f>IFERROR(INDEX(S01_Bard!$BZ$69:$BZ$98,MATCH(Character_Spellcasting!CN46,S01_Bard!$D$69:$D$98,0),1),"")&amp;IFERROR(INDEX(S02_Cleric!$BZ$69:$BZ$98,MATCH(Character_Spellcasting!CN46,S02_Cleric!$BY$69:$BY$98,0),1),"")&amp;IFERROR(INDEX(S03_Druid!$BZ$69:$BZ$98,MATCH(Character_Spellcasting!CN46,S03_Druid!$BY$69:$BY$98,0),1),"")&amp;IFERROR(INDEX(S04_EldritchKnight!$BZ$69:$BZ$98,MATCH(Character_Spellcasting!CN46,S04_EldritchKnight!$BY$69:$BY$98,0),1),"")&amp;IFERROR(INDEX(S05_Paladin!$BZ$69:$BZ$98,MATCH(Character_Spellcasting!CN46,S05_Paladin!$BY$69:$BY$98,0),1),"")&amp;IFERROR(INDEX(S06_Ranger!$BZ$69:$BZ$98,MATCH(Character_Spellcasting!CN46,S06_Ranger!$BY$69:$BY$988,0),1),"")&amp;IFERROR(INDEX(S07_ArcaneTrickster!$BZ$69:$BZ$98,MATCH(Character_Spellcasting!CN46,S07_ArcaneTrickster!$BY$69:$BY$988,0),1),"")&amp;IFERROR(INDEX(S08_Sorcerer!$BZ$69:$BZ$98,MATCH(Character_Spellcasting!CN46,S08_Sorcerer!$BY$69:$BY$98,0),1),"")&amp;IFERROR(INDEX(S09_Warlock!$BZ$69:$BZ$98,MATCH(Character_Spellcasting!CN46,S09_Warlock!$BY$69:$BY$98,0),1),"")&amp;IFERROR(INDEX(S10_Wizard!$BZ$69:$BZ$98,MATCH(Character_Spellcasting!CN46,S10_Wizard!$BY$69:$BY$98,0),1),"")</f>
        <v/>
      </c>
      <c r="CU46" s="1096"/>
      <c r="CV46" s="567"/>
      <c r="CW46" s="565"/>
      <c r="CX46" s="565"/>
      <c r="CY46" s="565"/>
      <c r="CZ46" s="565"/>
      <c r="DA46" s="610">
        <v>40</v>
      </c>
      <c r="DB46" s="1061" t="str">
        <f t="shared" si="2"/>
        <v/>
      </c>
      <c r="DC46" s="1061"/>
      <c r="DD46" s="1061"/>
      <c r="DE46" s="1061"/>
      <c r="DF46" s="1061"/>
      <c r="DG46" s="1096" t="str">
        <f t="shared" si="3"/>
        <v/>
      </c>
      <c r="DH46" s="1096"/>
      <c r="DI46" s="565"/>
      <c r="DJ46" s="565"/>
      <c r="DK46" s="565"/>
      <c r="DL46" s="565"/>
      <c r="DM46" s="565"/>
      <c r="DN46" s="565"/>
      <c r="DO46" s="565"/>
      <c r="DP46" s="565"/>
      <c r="DQ46" s="565"/>
      <c r="DR46" s="565"/>
      <c r="DS46" s="565"/>
      <c r="DT46" s="565"/>
      <c r="DU46" s="565"/>
      <c r="DV46" s="565"/>
    </row>
    <row r="47" spans="1:126" x14ac:dyDescent="0.25">
      <c r="A47" s="564"/>
      <c r="B47" s="564"/>
      <c r="C47" s="564"/>
      <c r="D47" s="564"/>
      <c r="E47" s="564"/>
      <c r="F47" s="564"/>
      <c r="G47" s="564"/>
      <c r="H47" s="564"/>
      <c r="I47" s="564"/>
      <c r="J47" s="564"/>
      <c r="K47" s="564"/>
      <c r="L47" s="564"/>
      <c r="M47" s="564"/>
      <c r="N47" s="564"/>
      <c r="O47" s="564"/>
      <c r="P47" s="564"/>
      <c r="Q47" s="564"/>
      <c r="R47" s="564"/>
      <c r="S47" s="564"/>
      <c r="T47" s="564"/>
      <c r="U47" s="564"/>
      <c r="V47" s="564"/>
      <c r="W47" s="564"/>
      <c r="X47" s="564"/>
      <c r="Y47" s="564"/>
      <c r="Z47" s="564"/>
      <c r="AA47" s="564"/>
      <c r="AB47" s="564"/>
      <c r="AC47" s="564"/>
      <c r="AD47" s="564"/>
      <c r="AE47" s="564"/>
      <c r="AF47" s="564"/>
      <c r="AG47" s="564"/>
      <c r="AH47" s="564"/>
      <c r="AI47" s="564"/>
      <c r="AJ47" s="564"/>
      <c r="AK47" s="564"/>
      <c r="AL47" s="564"/>
      <c r="AM47" s="564"/>
      <c r="AN47" s="564"/>
      <c r="AO47" s="564"/>
      <c r="AP47" s="564"/>
      <c r="AQ47" s="564"/>
      <c r="AR47" s="564"/>
      <c r="AS47" s="564"/>
      <c r="AT47" s="564"/>
      <c r="AU47" s="564"/>
      <c r="AV47" s="564"/>
      <c r="AW47" s="564"/>
      <c r="AX47" s="564"/>
      <c r="AY47" s="564"/>
      <c r="AZ47" s="564"/>
      <c r="BA47" s="564"/>
      <c r="BB47" s="564"/>
      <c r="BC47" s="564"/>
      <c r="BD47" s="564"/>
      <c r="BE47" s="564"/>
      <c r="BF47" s="564"/>
      <c r="BG47" s="564"/>
      <c r="BH47" s="564"/>
      <c r="BI47" s="564"/>
      <c r="BJ47" s="564"/>
      <c r="BK47" s="564"/>
      <c r="BL47" s="564"/>
      <c r="BM47" s="564"/>
      <c r="BN47" s="564"/>
      <c r="BO47" s="564"/>
      <c r="BP47" s="564"/>
      <c r="BQ47" s="564"/>
      <c r="BR47" s="564"/>
      <c r="BS47" s="564"/>
      <c r="BT47" s="564"/>
      <c r="BU47" s="564"/>
      <c r="BV47" s="564"/>
      <c r="BW47" s="564"/>
      <c r="BX47" s="564"/>
      <c r="BY47" s="564"/>
      <c r="BZ47" s="564"/>
      <c r="CA47" s="564"/>
      <c r="CB47" s="564"/>
      <c r="CC47" s="564"/>
      <c r="CD47" s="564"/>
      <c r="CE47" s="564"/>
      <c r="CF47" s="564"/>
      <c r="CG47" s="564"/>
      <c r="CH47" s="564"/>
      <c r="CI47" s="564"/>
      <c r="CJ47" s="564"/>
      <c r="CK47" s="564"/>
      <c r="CL47" s="564"/>
      <c r="CM47" s="564"/>
      <c r="CN47" s="564"/>
      <c r="CO47" s="564"/>
      <c r="CP47" s="564"/>
      <c r="CQ47" s="564"/>
      <c r="CR47" s="564"/>
      <c r="CS47" s="564"/>
      <c r="CT47" s="564"/>
      <c r="CU47" s="564"/>
      <c r="CV47" s="564"/>
      <c r="CW47" s="564"/>
      <c r="CX47" s="564"/>
      <c r="CY47" s="564"/>
      <c r="CZ47" s="564"/>
      <c r="DA47" s="610">
        <v>41</v>
      </c>
      <c r="DB47" s="1061" t="str">
        <f t="shared" si="2"/>
        <v/>
      </c>
      <c r="DC47" s="1061"/>
      <c r="DD47" s="1061"/>
      <c r="DE47" s="1061"/>
      <c r="DF47" s="1061"/>
      <c r="DG47" s="1096" t="str">
        <f t="shared" si="3"/>
        <v/>
      </c>
      <c r="DH47" s="1096"/>
      <c r="DI47" s="565"/>
      <c r="DJ47" s="565"/>
      <c r="DK47" s="565"/>
      <c r="DL47" s="565"/>
      <c r="DM47" s="565"/>
      <c r="DN47" s="565"/>
      <c r="DO47" s="565"/>
      <c r="DP47" s="565"/>
      <c r="DQ47" s="565"/>
      <c r="DR47" s="565"/>
      <c r="DS47" s="565"/>
      <c r="DT47" s="565"/>
      <c r="DU47" s="565"/>
      <c r="DV47" s="565"/>
    </row>
    <row r="48" spans="1:126" x14ac:dyDescent="0.25">
      <c r="A48" s="613"/>
      <c r="B48" s="614">
        <v>1</v>
      </c>
      <c r="C48" s="613">
        <f>IF(C7="",0,1)</f>
        <v>0</v>
      </c>
      <c r="D48" s="613">
        <f>IF(C48=0,0,1)</f>
        <v>0</v>
      </c>
      <c r="E48" s="613">
        <f>IF(D48&gt;0,D48+F$48,0)</f>
        <v>0</v>
      </c>
      <c r="F48" s="613">
        <f>IF(SUM(C48:C87)&gt;0,1,0)</f>
        <v>0</v>
      </c>
      <c r="G48" s="613">
        <f>IF(MAX(E48:E87)=0,F48,MAX(E48:E87))</f>
        <v>0</v>
      </c>
      <c r="H48" s="613"/>
      <c r="I48" s="613"/>
      <c r="J48" s="613"/>
      <c r="K48" s="613"/>
      <c r="L48" s="614">
        <v>1</v>
      </c>
      <c r="M48" s="613">
        <f>IF(M7="",0,1)</f>
        <v>1</v>
      </c>
      <c r="N48" s="613">
        <f>IF(M48=0,0,1)</f>
        <v>1</v>
      </c>
      <c r="O48" s="613">
        <f>IF(N48&gt;0,N48+P$48,0)</f>
        <v>2</v>
      </c>
      <c r="P48" s="613">
        <f>G48+IF(SUM(M48:M87)&gt;0,1,0)</f>
        <v>1</v>
      </c>
      <c r="Q48" s="613">
        <f>IF(MAX(O48:O87)=0,P48,MAX(O48:O87))</f>
        <v>7</v>
      </c>
      <c r="R48" s="613"/>
      <c r="S48" s="613"/>
      <c r="T48" s="613"/>
      <c r="U48" s="613"/>
      <c r="V48" s="614">
        <v>1</v>
      </c>
      <c r="W48" s="613">
        <f>IF(W7="",0,1)</f>
        <v>1</v>
      </c>
      <c r="X48" s="613">
        <f>IF(W48=0,0,1)</f>
        <v>1</v>
      </c>
      <c r="Y48" s="613">
        <f>IF(X48&gt;0,X48+Z$48,0)</f>
        <v>10</v>
      </c>
      <c r="Z48" s="613">
        <f>Q48+IF(SUM(W48:W87)&gt;0,2,0)</f>
        <v>9</v>
      </c>
      <c r="AA48" s="613">
        <f>IF(MAX(Y48:Y87)=0,Z48,MAX(Y48:Y87))</f>
        <v>11</v>
      </c>
      <c r="AB48" s="613"/>
      <c r="AC48" s="613"/>
      <c r="AD48" s="613"/>
      <c r="AE48" s="613"/>
      <c r="AF48" s="614">
        <v>1</v>
      </c>
      <c r="AG48" s="613">
        <f>IF(AG7="",0,1)</f>
        <v>1</v>
      </c>
      <c r="AH48" s="613">
        <f>IF(AG48=0,0,1)</f>
        <v>1</v>
      </c>
      <c r="AI48" s="613">
        <f>IF(AH48&gt;0,AH48+AJ$48,0)</f>
        <v>14</v>
      </c>
      <c r="AJ48" s="613">
        <f>AA48+IF(SUM(AG48:AG87)&gt;0,2,0)</f>
        <v>13</v>
      </c>
      <c r="AK48" s="613">
        <f>IF(MAX(AI48:AI87)=0,AJ48,MAX(AI48:AI87))</f>
        <v>15</v>
      </c>
      <c r="AL48" s="613"/>
      <c r="AM48" s="613"/>
      <c r="AN48" s="613"/>
      <c r="AO48" s="613"/>
      <c r="AP48" s="614">
        <v>1</v>
      </c>
      <c r="AQ48" s="613">
        <f>IF(AQ7="",0,1)</f>
        <v>0</v>
      </c>
      <c r="AR48" s="613">
        <f>IF(AQ48=0,0,1)</f>
        <v>0</v>
      </c>
      <c r="AS48" s="613">
        <f>IF(AR48&gt;0,AR48+AT$48,0)</f>
        <v>0</v>
      </c>
      <c r="AT48" s="613">
        <f>AK48+IF(SUM(AQ48:AQ87)&gt;0,2,0)</f>
        <v>15</v>
      </c>
      <c r="AU48" s="613">
        <f>IF(MAX(AS48:AS87)=0,AT48,MAX(AS48:AS87))</f>
        <v>15</v>
      </c>
      <c r="AV48" s="613"/>
      <c r="AW48" s="613"/>
      <c r="AX48" s="613"/>
      <c r="AY48" s="613"/>
      <c r="AZ48" s="614">
        <v>1</v>
      </c>
      <c r="BA48" s="613">
        <f>IF(BA7="",0,1)</f>
        <v>0</v>
      </c>
      <c r="BB48" s="613">
        <f>IF(BA48=0,0,1)</f>
        <v>0</v>
      </c>
      <c r="BC48" s="613">
        <f>IF(BB48&gt;0,BB48+BD$48,0)</f>
        <v>0</v>
      </c>
      <c r="BD48" s="613">
        <f>AU48+IF(SUM(BA48:BA87)&gt;0,2,0)</f>
        <v>15</v>
      </c>
      <c r="BE48" s="613">
        <f>IF(MAX(BC48:BC87)=0,BD48,MAX(BC48:BC87))</f>
        <v>15</v>
      </c>
      <c r="BF48" s="613"/>
      <c r="BG48" s="613"/>
      <c r="BH48" s="613"/>
      <c r="BI48" s="613"/>
      <c r="BJ48" s="614">
        <v>1</v>
      </c>
      <c r="BK48" s="613">
        <f>IF(BK7="",0,1)</f>
        <v>0</v>
      </c>
      <c r="BL48" s="613">
        <f>IF(BK48=0,0,1)</f>
        <v>0</v>
      </c>
      <c r="BM48" s="613">
        <f>IF(BL48&gt;0,BL48+BN$48,0)</f>
        <v>0</v>
      </c>
      <c r="BN48" s="613">
        <f>BE48+IF(SUM(BK48:BK87)&gt;0,2,0)</f>
        <v>15</v>
      </c>
      <c r="BO48" s="613">
        <f>IF(MAX(BM48:BM87)=0,BN48,MAX(BM48:BM87))</f>
        <v>15</v>
      </c>
      <c r="BP48" s="613"/>
      <c r="BQ48" s="613"/>
      <c r="BR48" s="613"/>
      <c r="BS48" s="613"/>
      <c r="BT48" s="614">
        <v>1</v>
      </c>
      <c r="BU48" s="613">
        <f>IF(BU7="",0,1)</f>
        <v>0</v>
      </c>
      <c r="BV48" s="613">
        <f>IF(BU48=0,0,1)</f>
        <v>0</v>
      </c>
      <c r="BW48" s="613">
        <f>IF(BV48&gt;0,BV48+BX$48,0)</f>
        <v>0</v>
      </c>
      <c r="BX48" s="613">
        <f>BO48+IF(SUM(BU48:BU87)&gt;0,2,0)</f>
        <v>15</v>
      </c>
      <c r="BY48" s="613">
        <f>IF(MAX(BW48:BW87)=0,BX48,MAX(BW48:BW87))</f>
        <v>15</v>
      </c>
      <c r="BZ48" s="613"/>
      <c r="CA48" s="613"/>
      <c r="CB48" s="613"/>
      <c r="CC48" s="613"/>
      <c r="CD48" s="614">
        <v>1</v>
      </c>
      <c r="CE48" s="613">
        <f>IF(CE7="",0,1)</f>
        <v>0</v>
      </c>
      <c r="CF48" s="613">
        <f>IF(CE48=0,0,1)</f>
        <v>0</v>
      </c>
      <c r="CG48" s="613">
        <f>IF(CF48&gt;0,CF48+CH$48,0)</f>
        <v>0</v>
      </c>
      <c r="CH48" s="613">
        <f>BY48+IF(SUM(CE48:CE87)&gt;0,2,0)</f>
        <v>15</v>
      </c>
      <c r="CI48" s="613">
        <f>IF(MAX(CG48:CG87)=0,CH48,MAX(CG48:CG87))</f>
        <v>15</v>
      </c>
      <c r="CJ48" s="613"/>
      <c r="CK48" s="613"/>
      <c r="CL48" s="613"/>
      <c r="CM48" s="613"/>
      <c r="CN48" s="614">
        <v>1</v>
      </c>
      <c r="CO48" s="613">
        <f>IF(CO7="",0,1)</f>
        <v>0</v>
      </c>
      <c r="CP48" s="613">
        <f>IF(CO48=0,0,1)</f>
        <v>0</v>
      </c>
      <c r="CQ48" s="613">
        <f>IF(CP48&gt;0,CP48+CR$48,0)</f>
        <v>0</v>
      </c>
      <c r="CR48" s="613">
        <f>CI48+IF(SUM(CO48:CO87)&gt;0,2,0)</f>
        <v>15</v>
      </c>
      <c r="CS48" s="613">
        <f>MAX(CQ48:CQ87)</f>
        <v>0</v>
      </c>
      <c r="CT48" s="613"/>
      <c r="CU48" s="613"/>
      <c r="CV48" s="613"/>
      <c r="CW48" s="613"/>
      <c r="CX48" s="613"/>
      <c r="CY48" s="613"/>
      <c r="CZ48" s="564"/>
      <c r="DA48" s="610">
        <v>42</v>
      </c>
      <c r="DB48" s="1061" t="str">
        <f t="shared" si="2"/>
        <v/>
      </c>
      <c r="DC48" s="1061"/>
      <c r="DD48" s="1061"/>
      <c r="DE48" s="1061"/>
      <c r="DF48" s="1061"/>
      <c r="DG48" s="1096" t="str">
        <f t="shared" si="3"/>
        <v/>
      </c>
      <c r="DH48" s="1096"/>
      <c r="DI48" s="565"/>
      <c r="DJ48" s="565"/>
      <c r="DK48" s="565"/>
      <c r="DL48" s="565"/>
      <c r="DM48" s="565"/>
      <c r="DN48" s="565"/>
      <c r="DO48" s="565"/>
      <c r="DP48" s="565"/>
      <c r="DQ48" s="565"/>
      <c r="DR48" s="565"/>
      <c r="DS48" s="565"/>
      <c r="DT48" s="565"/>
      <c r="DU48" s="565"/>
      <c r="DV48" s="565"/>
    </row>
    <row r="49" spans="1:126" x14ac:dyDescent="0.25">
      <c r="A49" s="613"/>
      <c r="B49" s="614">
        <v>2</v>
      </c>
      <c r="C49" s="613">
        <f t="shared" ref="C49:C87" si="4">IF(C8="",0,1)</f>
        <v>0</v>
      </c>
      <c r="D49" s="613">
        <f>IF(C49=0,0,1+MAX(D48:D$48))</f>
        <v>0</v>
      </c>
      <c r="E49" s="613">
        <f t="shared" ref="E49:E87" si="5">IF(D49&gt;0,D49+F$48,0)</f>
        <v>0</v>
      </c>
      <c r="F49" s="613"/>
      <c r="G49" s="613"/>
      <c r="H49" s="613"/>
      <c r="I49" s="613"/>
      <c r="J49" s="613"/>
      <c r="K49" s="613"/>
      <c r="L49" s="614">
        <v>2</v>
      </c>
      <c r="M49" s="613">
        <f t="shared" ref="M49:M87" si="6">IF(M8="",0,1)</f>
        <v>1</v>
      </c>
      <c r="N49" s="613">
        <f>IF(M49=0,0,1+MAX(N48:N$48))</f>
        <v>2</v>
      </c>
      <c r="O49" s="613">
        <f t="shared" ref="O49:O87" si="7">IF(N49&gt;0,N49+P$48,0)</f>
        <v>3</v>
      </c>
      <c r="P49" s="613"/>
      <c r="Q49" s="613"/>
      <c r="R49" s="613"/>
      <c r="S49" s="613"/>
      <c r="T49" s="613"/>
      <c r="U49" s="613"/>
      <c r="V49" s="614">
        <v>2</v>
      </c>
      <c r="W49" s="613">
        <f t="shared" ref="W49:W87" si="8">IF(W8="",0,1)</f>
        <v>1</v>
      </c>
      <c r="X49" s="613">
        <f>IF(W49=0,0,1+MAX(X48:X$48))</f>
        <v>2</v>
      </c>
      <c r="Y49" s="613">
        <f t="shared" ref="Y49:Y87" si="9">IF(X49&gt;0,X49+Z$48,0)</f>
        <v>11</v>
      </c>
      <c r="Z49" s="613"/>
      <c r="AA49" s="613"/>
      <c r="AB49" s="613"/>
      <c r="AC49" s="613"/>
      <c r="AD49" s="613"/>
      <c r="AE49" s="613"/>
      <c r="AF49" s="614">
        <v>2</v>
      </c>
      <c r="AG49" s="613">
        <f t="shared" ref="AG49:AG87" si="10">IF(AG8="",0,1)</f>
        <v>1</v>
      </c>
      <c r="AH49" s="613">
        <f>IF(AG49=0,0,1+MAX(AH48:AH$48))</f>
        <v>2</v>
      </c>
      <c r="AI49" s="613">
        <f t="shared" ref="AI49:AI87" si="11">IF(AH49&gt;0,AH49+AJ$48,0)</f>
        <v>15</v>
      </c>
      <c r="AJ49" s="613"/>
      <c r="AK49" s="613"/>
      <c r="AL49" s="613"/>
      <c r="AM49" s="613"/>
      <c r="AN49" s="613"/>
      <c r="AO49" s="613"/>
      <c r="AP49" s="614">
        <v>2</v>
      </c>
      <c r="AQ49" s="613">
        <f t="shared" ref="AQ49:AQ87" si="12">IF(AQ8="",0,1)</f>
        <v>0</v>
      </c>
      <c r="AR49" s="613">
        <f>IF(AQ49=0,0,1+MAX(AR48:AR$48))</f>
        <v>0</v>
      </c>
      <c r="AS49" s="613">
        <f t="shared" ref="AS49:AS87" si="13">IF(AR49&gt;0,AR49+AT$48,0)</f>
        <v>0</v>
      </c>
      <c r="AT49" s="613"/>
      <c r="AU49" s="613"/>
      <c r="AV49" s="613"/>
      <c r="AW49" s="613"/>
      <c r="AX49" s="613"/>
      <c r="AY49" s="613"/>
      <c r="AZ49" s="614">
        <v>2</v>
      </c>
      <c r="BA49" s="613">
        <f t="shared" ref="BA49:BA87" si="14">IF(BA8="",0,1)</f>
        <v>0</v>
      </c>
      <c r="BB49" s="613">
        <f>IF(BA49=0,0,1+MAX(BB48:BB$48))</f>
        <v>0</v>
      </c>
      <c r="BC49" s="613">
        <f t="shared" ref="BC49:BC87" si="15">IF(BB49&gt;0,BB49+BD$48,0)</f>
        <v>0</v>
      </c>
      <c r="BD49" s="613"/>
      <c r="BE49" s="613"/>
      <c r="BF49" s="613"/>
      <c r="BG49" s="613"/>
      <c r="BH49" s="613"/>
      <c r="BI49" s="613"/>
      <c r="BJ49" s="614">
        <v>2</v>
      </c>
      <c r="BK49" s="613">
        <f t="shared" ref="BK49:BK87" si="16">IF(BK8="",0,1)</f>
        <v>0</v>
      </c>
      <c r="BL49" s="613">
        <f>IF(BK49=0,0,1+MAX(BL48:BL$48))</f>
        <v>0</v>
      </c>
      <c r="BM49" s="613">
        <f t="shared" ref="BM49:BM87" si="17">IF(BL49&gt;0,BL49+BN$48,0)</f>
        <v>0</v>
      </c>
      <c r="BN49" s="613"/>
      <c r="BO49" s="613"/>
      <c r="BP49" s="613"/>
      <c r="BQ49" s="613"/>
      <c r="BR49" s="613"/>
      <c r="BS49" s="613"/>
      <c r="BT49" s="614">
        <v>2</v>
      </c>
      <c r="BU49" s="613">
        <f t="shared" ref="BU49:BU87" si="18">IF(BU8="",0,1)</f>
        <v>0</v>
      </c>
      <c r="BV49" s="613">
        <f>IF(BU49=0,0,1+MAX(BV48:BV$48))</f>
        <v>0</v>
      </c>
      <c r="BW49" s="613">
        <f t="shared" ref="BW49:BW87" si="19">IF(BV49&gt;0,BV49+BX$48,0)</f>
        <v>0</v>
      </c>
      <c r="BX49" s="613"/>
      <c r="BY49" s="613"/>
      <c r="BZ49" s="613"/>
      <c r="CA49" s="613"/>
      <c r="CB49" s="613"/>
      <c r="CC49" s="613"/>
      <c r="CD49" s="614">
        <v>2</v>
      </c>
      <c r="CE49" s="613">
        <f t="shared" ref="CE49:CE87" si="20">IF(CE8="",0,1)</f>
        <v>0</v>
      </c>
      <c r="CF49" s="613">
        <f>IF(CE49=0,0,1+MAX(CF48:CF$48))</f>
        <v>0</v>
      </c>
      <c r="CG49" s="613">
        <f t="shared" ref="CG49:CG87" si="21">IF(CF49&gt;0,CF49+CH$48,0)</f>
        <v>0</v>
      </c>
      <c r="CH49" s="613"/>
      <c r="CI49" s="613"/>
      <c r="CJ49" s="613"/>
      <c r="CK49" s="613"/>
      <c r="CL49" s="613"/>
      <c r="CM49" s="613"/>
      <c r="CN49" s="614">
        <v>2</v>
      </c>
      <c r="CO49" s="613">
        <f t="shared" ref="CO49:CO87" si="22">IF(CO8="",0,1)</f>
        <v>0</v>
      </c>
      <c r="CP49" s="613">
        <f>IF(CO49=0,0,1+MAX(CP48:CP$48))</f>
        <v>0</v>
      </c>
      <c r="CQ49" s="613">
        <f t="shared" ref="CQ49:CQ87" si="23">IF(CP49&gt;0,CP49+CR$48,0)</f>
        <v>0</v>
      </c>
      <c r="CR49" s="613"/>
      <c r="CS49" s="613"/>
      <c r="CT49" s="613"/>
      <c r="CU49" s="613"/>
      <c r="CV49" s="613"/>
      <c r="CW49" s="613"/>
      <c r="CX49" s="613"/>
      <c r="CY49" s="613"/>
      <c r="CZ49" s="564"/>
      <c r="DA49" s="610">
        <v>43</v>
      </c>
      <c r="DB49" s="1061" t="str">
        <f t="shared" si="2"/>
        <v/>
      </c>
      <c r="DC49" s="1061"/>
      <c r="DD49" s="1061"/>
      <c r="DE49" s="1061"/>
      <c r="DF49" s="1061"/>
      <c r="DG49" s="1096" t="str">
        <f t="shared" si="3"/>
        <v/>
      </c>
      <c r="DH49" s="1096"/>
      <c r="DI49" s="565"/>
      <c r="DJ49" s="565"/>
      <c r="DK49" s="565"/>
      <c r="DL49" s="565"/>
      <c r="DM49" s="565"/>
      <c r="DN49" s="565"/>
      <c r="DO49" s="565"/>
      <c r="DP49" s="565"/>
      <c r="DQ49" s="565"/>
      <c r="DR49" s="565"/>
      <c r="DS49" s="565"/>
      <c r="DT49" s="565"/>
      <c r="DU49" s="565"/>
      <c r="DV49" s="565"/>
    </row>
    <row r="50" spans="1:126" x14ac:dyDescent="0.25">
      <c r="A50" s="613"/>
      <c r="B50" s="614">
        <v>3</v>
      </c>
      <c r="C50" s="613">
        <f t="shared" si="4"/>
        <v>0</v>
      </c>
      <c r="D50" s="613">
        <f>IF(C50=0,0,1+MAX(D$48:D49))</f>
        <v>0</v>
      </c>
      <c r="E50" s="613">
        <f t="shared" si="5"/>
        <v>0</v>
      </c>
      <c r="F50" s="613"/>
      <c r="G50" s="613"/>
      <c r="H50" s="613"/>
      <c r="I50" s="613"/>
      <c r="J50" s="613"/>
      <c r="K50" s="613"/>
      <c r="L50" s="614">
        <v>3</v>
      </c>
      <c r="M50" s="613">
        <f t="shared" si="6"/>
        <v>1</v>
      </c>
      <c r="N50" s="613">
        <f>IF(M50=0,0,1+MAX(N$48:N49))</f>
        <v>3</v>
      </c>
      <c r="O50" s="613">
        <f t="shared" si="7"/>
        <v>4</v>
      </c>
      <c r="P50" s="613"/>
      <c r="Q50" s="613"/>
      <c r="R50" s="613"/>
      <c r="S50" s="613"/>
      <c r="T50" s="613"/>
      <c r="U50" s="613"/>
      <c r="V50" s="614">
        <v>3</v>
      </c>
      <c r="W50" s="613">
        <f t="shared" si="8"/>
        <v>0</v>
      </c>
      <c r="X50" s="613">
        <f>IF(W50=0,0,1+MAX(X$48:X49))</f>
        <v>0</v>
      </c>
      <c r="Y50" s="613">
        <f t="shared" si="9"/>
        <v>0</v>
      </c>
      <c r="Z50" s="613"/>
      <c r="AA50" s="613"/>
      <c r="AB50" s="613"/>
      <c r="AC50" s="613"/>
      <c r="AD50" s="613"/>
      <c r="AE50" s="613"/>
      <c r="AF50" s="614">
        <v>3</v>
      </c>
      <c r="AG50" s="613">
        <f t="shared" si="10"/>
        <v>0</v>
      </c>
      <c r="AH50" s="613">
        <f>IF(AG50=0,0,1+MAX(AH$48:AH49))</f>
        <v>0</v>
      </c>
      <c r="AI50" s="613">
        <f t="shared" si="11"/>
        <v>0</v>
      </c>
      <c r="AJ50" s="613"/>
      <c r="AK50" s="613"/>
      <c r="AL50" s="613"/>
      <c r="AM50" s="613"/>
      <c r="AN50" s="613"/>
      <c r="AO50" s="613"/>
      <c r="AP50" s="614">
        <v>3</v>
      </c>
      <c r="AQ50" s="613">
        <f t="shared" si="12"/>
        <v>0</v>
      </c>
      <c r="AR50" s="613">
        <f>IF(AQ50=0,0,1+MAX(AR$48:AR49))</f>
        <v>0</v>
      </c>
      <c r="AS50" s="613">
        <f t="shared" si="13"/>
        <v>0</v>
      </c>
      <c r="AT50" s="613"/>
      <c r="AU50" s="613"/>
      <c r="AV50" s="613"/>
      <c r="AW50" s="613"/>
      <c r="AX50" s="613"/>
      <c r="AY50" s="613"/>
      <c r="AZ50" s="614">
        <v>3</v>
      </c>
      <c r="BA50" s="613">
        <f t="shared" si="14"/>
        <v>0</v>
      </c>
      <c r="BB50" s="613">
        <f>IF(BA50=0,0,1+MAX(BB$48:BB49))</f>
        <v>0</v>
      </c>
      <c r="BC50" s="613">
        <f t="shared" si="15"/>
        <v>0</v>
      </c>
      <c r="BD50" s="613"/>
      <c r="BE50" s="613"/>
      <c r="BF50" s="613"/>
      <c r="BG50" s="613"/>
      <c r="BH50" s="613"/>
      <c r="BI50" s="613"/>
      <c r="BJ50" s="614">
        <v>3</v>
      </c>
      <c r="BK50" s="613">
        <f t="shared" si="16"/>
        <v>0</v>
      </c>
      <c r="BL50" s="613">
        <f>IF(BK50=0,0,1+MAX(BL$48:BL49))</f>
        <v>0</v>
      </c>
      <c r="BM50" s="613">
        <f t="shared" si="17"/>
        <v>0</v>
      </c>
      <c r="BN50" s="613"/>
      <c r="BO50" s="613"/>
      <c r="BP50" s="613"/>
      <c r="BQ50" s="613"/>
      <c r="BR50" s="613"/>
      <c r="BS50" s="613"/>
      <c r="BT50" s="614">
        <v>3</v>
      </c>
      <c r="BU50" s="613">
        <f t="shared" si="18"/>
        <v>0</v>
      </c>
      <c r="BV50" s="613">
        <f>IF(BU50=0,0,1+MAX(BV$48:BV49))</f>
        <v>0</v>
      </c>
      <c r="BW50" s="613">
        <f t="shared" si="19"/>
        <v>0</v>
      </c>
      <c r="BX50" s="613"/>
      <c r="BY50" s="613"/>
      <c r="BZ50" s="613"/>
      <c r="CA50" s="613"/>
      <c r="CB50" s="613"/>
      <c r="CC50" s="613"/>
      <c r="CD50" s="614">
        <v>3</v>
      </c>
      <c r="CE50" s="613">
        <f t="shared" si="20"/>
        <v>0</v>
      </c>
      <c r="CF50" s="613">
        <f>IF(CE50=0,0,1+MAX(CF$48:CF49))</f>
        <v>0</v>
      </c>
      <c r="CG50" s="613">
        <f t="shared" si="21"/>
        <v>0</v>
      </c>
      <c r="CH50" s="613"/>
      <c r="CI50" s="613"/>
      <c r="CJ50" s="613"/>
      <c r="CK50" s="613"/>
      <c r="CL50" s="613"/>
      <c r="CM50" s="613"/>
      <c r="CN50" s="614">
        <v>3</v>
      </c>
      <c r="CO50" s="613">
        <f t="shared" si="22"/>
        <v>0</v>
      </c>
      <c r="CP50" s="613">
        <f>IF(CO50=0,0,1+MAX(CP$48:CP49))</f>
        <v>0</v>
      </c>
      <c r="CQ50" s="613">
        <f t="shared" si="23"/>
        <v>0</v>
      </c>
      <c r="CR50" s="613"/>
      <c r="CS50" s="613"/>
      <c r="CT50" s="613"/>
      <c r="CU50" s="613"/>
      <c r="CV50" s="613"/>
      <c r="CW50" s="613"/>
      <c r="CX50" s="613"/>
      <c r="CY50" s="613"/>
      <c r="CZ50" s="564"/>
      <c r="DA50" s="610">
        <v>44</v>
      </c>
      <c r="DB50" s="1061" t="str">
        <f t="shared" si="2"/>
        <v/>
      </c>
      <c r="DC50" s="1061"/>
      <c r="DD50" s="1061"/>
      <c r="DE50" s="1061"/>
      <c r="DF50" s="1061"/>
      <c r="DG50" s="1096" t="str">
        <f t="shared" si="3"/>
        <v/>
      </c>
      <c r="DH50" s="1096"/>
      <c r="DI50" s="565"/>
      <c r="DJ50" s="565"/>
      <c r="DK50" s="565"/>
      <c r="DL50" s="565"/>
      <c r="DM50" s="565"/>
      <c r="DN50" s="565"/>
      <c r="DO50" s="565"/>
      <c r="DP50" s="565"/>
      <c r="DQ50" s="565"/>
      <c r="DR50" s="565"/>
      <c r="DS50" s="565"/>
      <c r="DT50" s="565"/>
      <c r="DU50" s="565"/>
      <c r="DV50" s="565"/>
    </row>
    <row r="51" spans="1:126" x14ac:dyDescent="0.25">
      <c r="A51" s="613"/>
      <c r="B51" s="614">
        <v>4</v>
      </c>
      <c r="C51" s="613">
        <f t="shared" si="4"/>
        <v>0</v>
      </c>
      <c r="D51" s="613">
        <f>IF(C51=0,0,1+MAX(D$48:D50))</f>
        <v>0</v>
      </c>
      <c r="E51" s="613">
        <f t="shared" si="5"/>
        <v>0</v>
      </c>
      <c r="F51" s="613"/>
      <c r="G51" s="613"/>
      <c r="H51" s="613"/>
      <c r="I51" s="613"/>
      <c r="J51" s="613"/>
      <c r="K51" s="613"/>
      <c r="L51" s="614">
        <v>4</v>
      </c>
      <c r="M51" s="613">
        <f t="shared" si="6"/>
        <v>1</v>
      </c>
      <c r="N51" s="613">
        <f>IF(M51=0,0,1+MAX(N$48:N50))</f>
        <v>4</v>
      </c>
      <c r="O51" s="613">
        <f t="shared" si="7"/>
        <v>5</v>
      </c>
      <c r="P51" s="613"/>
      <c r="Q51" s="613"/>
      <c r="R51" s="613"/>
      <c r="S51" s="613"/>
      <c r="T51" s="613"/>
      <c r="U51" s="613"/>
      <c r="V51" s="614">
        <v>4</v>
      </c>
      <c r="W51" s="613">
        <f t="shared" si="8"/>
        <v>0</v>
      </c>
      <c r="X51" s="613">
        <f>IF(W51=0,0,1+MAX(X$48:X50))</f>
        <v>0</v>
      </c>
      <c r="Y51" s="613">
        <f t="shared" si="9"/>
        <v>0</v>
      </c>
      <c r="Z51" s="613"/>
      <c r="AA51" s="613"/>
      <c r="AB51" s="613"/>
      <c r="AC51" s="613"/>
      <c r="AD51" s="613"/>
      <c r="AE51" s="613"/>
      <c r="AF51" s="614">
        <v>4</v>
      </c>
      <c r="AG51" s="613">
        <f t="shared" si="10"/>
        <v>0</v>
      </c>
      <c r="AH51" s="613">
        <f>IF(AG51=0,0,1+MAX(AH$48:AH50))</f>
        <v>0</v>
      </c>
      <c r="AI51" s="613">
        <f t="shared" si="11"/>
        <v>0</v>
      </c>
      <c r="AJ51" s="613"/>
      <c r="AK51" s="613"/>
      <c r="AL51" s="613"/>
      <c r="AM51" s="613"/>
      <c r="AN51" s="613"/>
      <c r="AO51" s="613"/>
      <c r="AP51" s="614">
        <v>4</v>
      </c>
      <c r="AQ51" s="613">
        <f t="shared" si="12"/>
        <v>0</v>
      </c>
      <c r="AR51" s="613">
        <f>IF(AQ51=0,0,1+MAX(AR$48:AR50))</f>
        <v>0</v>
      </c>
      <c r="AS51" s="613">
        <f t="shared" si="13"/>
        <v>0</v>
      </c>
      <c r="AT51" s="613"/>
      <c r="AU51" s="613"/>
      <c r="AV51" s="613"/>
      <c r="AW51" s="613"/>
      <c r="AX51" s="613"/>
      <c r="AY51" s="613"/>
      <c r="AZ51" s="614">
        <v>4</v>
      </c>
      <c r="BA51" s="613">
        <f t="shared" si="14"/>
        <v>0</v>
      </c>
      <c r="BB51" s="613">
        <f>IF(BA51=0,0,1+MAX(BB$48:BB50))</f>
        <v>0</v>
      </c>
      <c r="BC51" s="613">
        <f t="shared" si="15"/>
        <v>0</v>
      </c>
      <c r="BD51" s="613"/>
      <c r="BE51" s="613"/>
      <c r="BF51" s="613"/>
      <c r="BG51" s="613"/>
      <c r="BH51" s="613"/>
      <c r="BI51" s="613"/>
      <c r="BJ51" s="614">
        <v>4</v>
      </c>
      <c r="BK51" s="613">
        <f t="shared" si="16"/>
        <v>0</v>
      </c>
      <c r="BL51" s="613">
        <f>IF(BK51=0,0,1+MAX(BL$48:BL50))</f>
        <v>0</v>
      </c>
      <c r="BM51" s="613">
        <f t="shared" si="17"/>
        <v>0</v>
      </c>
      <c r="BN51" s="613"/>
      <c r="BO51" s="613"/>
      <c r="BP51" s="613"/>
      <c r="BQ51" s="613"/>
      <c r="BR51" s="613"/>
      <c r="BS51" s="613"/>
      <c r="BT51" s="614">
        <v>4</v>
      </c>
      <c r="BU51" s="613">
        <f t="shared" si="18"/>
        <v>0</v>
      </c>
      <c r="BV51" s="613">
        <f>IF(BU51=0,0,1+MAX(BV$48:BV50))</f>
        <v>0</v>
      </c>
      <c r="BW51" s="613">
        <f t="shared" si="19"/>
        <v>0</v>
      </c>
      <c r="BX51" s="613"/>
      <c r="BY51" s="613"/>
      <c r="BZ51" s="613"/>
      <c r="CA51" s="613"/>
      <c r="CB51" s="613"/>
      <c r="CC51" s="613"/>
      <c r="CD51" s="614">
        <v>4</v>
      </c>
      <c r="CE51" s="613">
        <f t="shared" si="20"/>
        <v>0</v>
      </c>
      <c r="CF51" s="613">
        <f>IF(CE51=0,0,1+MAX(CF$48:CF50))</f>
        <v>0</v>
      </c>
      <c r="CG51" s="613">
        <f t="shared" si="21"/>
        <v>0</v>
      </c>
      <c r="CH51" s="613"/>
      <c r="CI51" s="613"/>
      <c r="CJ51" s="613"/>
      <c r="CK51" s="613"/>
      <c r="CL51" s="613"/>
      <c r="CM51" s="613"/>
      <c r="CN51" s="614">
        <v>4</v>
      </c>
      <c r="CO51" s="613">
        <f t="shared" si="22"/>
        <v>0</v>
      </c>
      <c r="CP51" s="613">
        <f>IF(CO51=0,0,1+MAX(CP$48:CP50))</f>
        <v>0</v>
      </c>
      <c r="CQ51" s="613">
        <f t="shared" si="23"/>
        <v>0</v>
      </c>
      <c r="CR51" s="613"/>
      <c r="CS51" s="613"/>
      <c r="CT51" s="613"/>
      <c r="CU51" s="613"/>
      <c r="CV51" s="613"/>
      <c r="CW51" s="613"/>
      <c r="CX51" s="613"/>
      <c r="CY51" s="613"/>
      <c r="CZ51" s="564"/>
      <c r="DA51" s="610">
        <v>45</v>
      </c>
      <c r="DB51" s="1061" t="str">
        <f t="shared" si="2"/>
        <v/>
      </c>
      <c r="DC51" s="1061"/>
      <c r="DD51" s="1061"/>
      <c r="DE51" s="1061"/>
      <c r="DF51" s="1061"/>
      <c r="DG51" s="1096" t="str">
        <f t="shared" si="3"/>
        <v/>
      </c>
      <c r="DH51" s="1096"/>
      <c r="DI51" s="565"/>
      <c r="DJ51" s="565"/>
      <c r="DK51" s="565"/>
      <c r="DL51" s="565"/>
      <c r="DM51" s="565"/>
      <c r="DN51" s="565"/>
      <c r="DO51" s="565"/>
      <c r="DP51" s="565"/>
      <c r="DQ51" s="565"/>
      <c r="DR51" s="565"/>
      <c r="DS51" s="565"/>
      <c r="DT51" s="565"/>
      <c r="DU51" s="565"/>
      <c r="DV51" s="565"/>
    </row>
    <row r="52" spans="1:126" x14ac:dyDescent="0.25">
      <c r="A52" s="613"/>
      <c r="B52" s="614">
        <v>5</v>
      </c>
      <c r="C52" s="613">
        <f t="shared" si="4"/>
        <v>0</v>
      </c>
      <c r="D52" s="613">
        <f>IF(C52=0,0,1+MAX(D$48:D51))</f>
        <v>0</v>
      </c>
      <c r="E52" s="613">
        <f t="shared" si="5"/>
        <v>0</v>
      </c>
      <c r="F52" s="613"/>
      <c r="G52" s="613"/>
      <c r="H52" s="613"/>
      <c r="I52" s="613"/>
      <c r="J52" s="613"/>
      <c r="K52" s="613"/>
      <c r="L52" s="614">
        <v>5</v>
      </c>
      <c r="M52" s="613">
        <f t="shared" si="6"/>
        <v>1</v>
      </c>
      <c r="N52" s="613">
        <f>IF(M52=0,0,1+MAX(N$48:N51))</f>
        <v>5</v>
      </c>
      <c r="O52" s="613">
        <f t="shared" si="7"/>
        <v>6</v>
      </c>
      <c r="P52" s="613"/>
      <c r="Q52" s="613"/>
      <c r="R52" s="613"/>
      <c r="S52" s="613"/>
      <c r="T52" s="613"/>
      <c r="U52" s="613"/>
      <c r="V52" s="614">
        <v>5</v>
      </c>
      <c r="W52" s="613">
        <f t="shared" si="8"/>
        <v>0</v>
      </c>
      <c r="X52" s="613">
        <f>IF(W52=0,0,1+MAX(X$48:X51))</f>
        <v>0</v>
      </c>
      <c r="Y52" s="613">
        <f t="shared" si="9"/>
        <v>0</v>
      </c>
      <c r="Z52" s="613"/>
      <c r="AA52" s="613"/>
      <c r="AB52" s="613"/>
      <c r="AC52" s="613"/>
      <c r="AD52" s="613"/>
      <c r="AE52" s="613"/>
      <c r="AF52" s="614">
        <v>5</v>
      </c>
      <c r="AG52" s="613">
        <f t="shared" si="10"/>
        <v>0</v>
      </c>
      <c r="AH52" s="613">
        <f>IF(AG52=0,0,1+MAX(AH$48:AH51))</f>
        <v>0</v>
      </c>
      <c r="AI52" s="613">
        <f t="shared" si="11"/>
        <v>0</v>
      </c>
      <c r="AJ52" s="613"/>
      <c r="AK52" s="613"/>
      <c r="AL52" s="613"/>
      <c r="AM52" s="613"/>
      <c r="AN52" s="613"/>
      <c r="AO52" s="613"/>
      <c r="AP52" s="614">
        <v>5</v>
      </c>
      <c r="AQ52" s="613">
        <f t="shared" si="12"/>
        <v>0</v>
      </c>
      <c r="AR52" s="613">
        <f>IF(AQ52=0,0,1+MAX(AR$48:AR51))</f>
        <v>0</v>
      </c>
      <c r="AS52" s="613">
        <f t="shared" si="13"/>
        <v>0</v>
      </c>
      <c r="AT52" s="613"/>
      <c r="AU52" s="613"/>
      <c r="AV52" s="613"/>
      <c r="AW52" s="613"/>
      <c r="AX52" s="613"/>
      <c r="AY52" s="613"/>
      <c r="AZ52" s="614">
        <v>5</v>
      </c>
      <c r="BA52" s="613">
        <f t="shared" si="14"/>
        <v>0</v>
      </c>
      <c r="BB52" s="613">
        <f>IF(BA52=0,0,1+MAX(BB$48:BB51))</f>
        <v>0</v>
      </c>
      <c r="BC52" s="613">
        <f t="shared" si="15"/>
        <v>0</v>
      </c>
      <c r="BD52" s="613"/>
      <c r="BE52" s="613"/>
      <c r="BF52" s="613"/>
      <c r="BG52" s="613"/>
      <c r="BH52" s="613"/>
      <c r="BI52" s="613"/>
      <c r="BJ52" s="614">
        <v>5</v>
      </c>
      <c r="BK52" s="613">
        <f t="shared" si="16"/>
        <v>0</v>
      </c>
      <c r="BL52" s="613">
        <f>IF(BK52=0,0,1+MAX(BL$48:BL51))</f>
        <v>0</v>
      </c>
      <c r="BM52" s="613">
        <f t="shared" si="17"/>
        <v>0</v>
      </c>
      <c r="BN52" s="613"/>
      <c r="BO52" s="613"/>
      <c r="BP52" s="613"/>
      <c r="BQ52" s="613"/>
      <c r="BR52" s="613"/>
      <c r="BS52" s="613"/>
      <c r="BT52" s="614">
        <v>5</v>
      </c>
      <c r="BU52" s="613">
        <f t="shared" si="18"/>
        <v>0</v>
      </c>
      <c r="BV52" s="613">
        <f>IF(BU52=0,0,1+MAX(BV$48:BV51))</f>
        <v>0</v>
      </c>
      <c r="BW52" s="613">
        <f t="shared" si="19"/>
        <v>0</v>
      </c>
      <c r="BX52" s="613"/>
      <c r="BY52" s="613"/>
      <c r="BZ52" s="613"/>
      <c r="CA52" s="613"/>
      <c r="CB52" s="613"/>
      <c r="CC52" s="613"/>
      <c r="CD52" s="614">
        <v>5</v>
      </c>
      <c r="CE52" s="613">
        <f t="shared" si="20"/>
        <v>0</v>
      </c>
      <c r="CF52" s="613">
        <f>IF(CE52=0,0,1+MAX(CF$48:CF51))</f>
        <v>0</v>
      </c>
      <c r="CG52" s="613">
        <f t="shared" si="21"/>
        <v>0</v>
      </c>
      <c r="CH52" s="613"/>
      <c r="CI52" s="613"/>
      <c r="CJ52" s="613"/>
      <c r="CK52" s="613"/>
      <c r="CL52" s="613"/>
      <c r="CM52" s="613"/>
      <c r="CN52" s="614">
        <v>5</v>
      </c>
      <c r="CO52" s="613">
        <f t="shared" si="22"/>
        <v>0</v>
      </c>
      <c r="CP52" s="613">
        <f>IF(CO52=0,0,1+MAX(CP$48:CP51))</f>
        <v>0</v>
      </c>
      <c r="CQ52" s="613">
        <f t="shared" si="23"/>
        <v>0</v>
      </c>
      <c r="CR52" s="613"/>
      <c r="CS52" s="613"/>
      <c r="CT52" s="613"/>
      <c r="CU52" s="613"/>
      <c r="CV52" s="613"/>
      <c r="CW52" s="613"/>
      <c r="CX52" s="613"/>
      <c r="CY52" s="613"/>
      <c r="CZ52" s="564"/>
      <c r="DA52" s="610">
        <v>46</v>
      </c>
      <c r="DB52" s="1061" t="str">
        <f t="shared" si="2"/>
        <v/>
      </c>
      <c r="DC52" s="1061"/>
      <c r="DD52" s="1061"/>
      <c r="DE52" s="1061"/>
      <c r="DF52" s="1061"/>
      <c r="DG52" s="1096" t="str">
        <f t="shared" si="3"/>
        <v/>
      </c>
      <c r="DH52" s="1096"/>
      <c r="DI52" s="565"/>
      <c r="DJ52" s="565"/>
      <c r="DK52" s="565"/>
      <c r="DL52" s="565"/>
      <c r="DM52" s="565"/>
      <c r="DN52" s="565"/>
      <c r="DO52" s="565"/>
      <c r="DP52" s="565"/>
      <c r="DQ52" s="565"/>
      <c r="DR52" s="565"/>
      <c r="DS52" s="565"/>
      <c r="DT52" s="565"/>
      <c r="DU52" s="565"/>
      <c r="DV52" s="565"/>
    </row>
    <row r="53" spans="1:126" x14ac:dyDescent="0.25">
      <c r="A53" s="613"/>
      <c r="B53" s="614">
        <v>6</v>
      </c>
      <c r="C53" s="613">
        <f t="shared" si="4"/>
        <v>0</v>
      </c>
      <c r="D53" s="613">
        <f>IF(C53=0,0,1+MAX(D$48:D52))</f>
        <v>0</v>
      </c>
      <c r="E53" s="613">
        <f t="shared" si="5"/>
        <v>0</v>
      </c>
      <c r="F53" s="613"/>
      <c r="G53" s="613"/>
      <c r="H53" s="613"/>
      <c r="I53" s="613"/>
      <c r="J53" s="613"/>
      <c r="K53" s="613"/>
      <c r="L53" s="614">
        <v>6</v>
      </c>
      <c r="M53" s="613">
        <f t="shared" si="6"/>
        <v>1</v>
      </c>
      <c r="N53" s="613">
        <f>IF(M53=0,0,1+MAX(N$48:N52))</f>
        <v>6</v>
      </c>
      <c r="O53" s="613">
        <f t="shared" si="7"/>
        <v>7</v>
      </c>
      <c r="P53" s="613"/>
      <c r="Q53" s="613"/>
      <c r="R53" s="613"/>
      <c r="S53" s="613"/>
      <c r="T53" s="613"/>
      <c r="U53" s="613"/>
      <c r="V53" s="614">
        <v>6</v>
      </c>
      <c r="W53" s="613">
        <f t="shared" si="8"/>
        <v>0</v>
      </c>
      <c r="X53" s="613">
        <f>IF(W53=0,0,1+MAX(X$48:X52))</f>
        <v>0</v>
      </c>
      <c r="Y53" s="613">
        <f t="shared" si="9"/>
        <v>0</v>
      </c>
      <c r="Z53" s="613"/>
      <c r="AA53" s="613"/>
      <c r="AB53" s="613"/>
      <c r="AC53" s="613"/>
      <c r="AD53" s="613"/>
      <c r="AE53" s="613"/>
      <c r="AF53" s="614">
        <v>6</v>
      </c>
      <c r="AG53" s="613">
        <f t="shared" si="10"/>
        <v>0</v>
      </c>
      <c r="AH53" s="613">
        <f>IF(AG53=0,0,1+MAX(AH$48:AH52))</f>
        <v>0</v>
      </c>
      <c r="AI53" s="613">
        <f t="shared" si="11"/>
        <v>0</v>
      </c>
      <c r="AJ53" s="613"/>
      <c r="AK53" s="613"/>
      <c r="AL53" s="613"/>
      <c r="AM53" s="613"/>
      <c r="AN53" s="613"/>
      <c r="AO53" s="613"/>
      <c r="AP53" s="614">
        <v>6</v>
      </c>
      <c r="AQ53" s="613">
        <f t="shared" si="12"/>
        <v>0</v>
      </c>
      <c r="AR53" s="613">
        <f>IF(AQ53=0,0,1+MAX(AR$48:AR52))</f>
        <v>0</v>
      </c>
      <c r="AS53" s="613">
        <f t="shared" si="13"/>
        <v>0</v>
      </c>
      <c r="AT53" s="613"/>
      <c r="AU53" s="613"/>
      <c r="AV53" s="613"/>
      <c r="AW53" s="613"/>
      <c r="AX53" s="613"/>
      <c r="AY53" s="613"/>
      <c r="AZ53" s="614">
        <v>6</v>
      </c>
      <c r="BA53" s="613">
        <f t="shared" si="14"/>
        <v>0</v>
      </c>
      <c r="BB53" s="613">
        <f>IF(BA53=0,0,1+MAX(BB$48:BB52))</f>
        <v>0</v>
      </c>
      <c r="BC53" s="613">
        <f t="shared" si="15"/>
        <v>0</v>
      </c>
      <c r="BD53" s="613"/>
      <c r="BE53" s="613"/>
      <c r="BF53" s="613"/>
      <c r="BG53" s="613"/>
      <c r="BH53" s="613"/>
      <c r="BI53" s="613"/>
      <c r="BJ53" s="614">
        <v>6</v>
      </c>
      <c r="BK53" s="613">
        <f t="shared" si="16"/>
        <v>0</v>
      </c>
      <c r="BL53" s="613">
        <f>IF(BK53=0,0,1+MAX(BL$48:BL52))</f>
        <v>0</v>
      </c>
      <c r="BM53" s="613">
        <f t="shared" si="17"/>
        <v>0</v>
      </c>
      <c r="BN53" s="613"/>
      <c r="BO53" s="613"/>
      <c r="BP53" s="613"/>
      <c r="BQ53" s="613"/>
      <c r="BR53" s="613"/>
      <c r="BS53" s="613"/>
      <c r="BT53" s="614">
        <v>6</v>
      </c>
      <c r="BU53" s="613">
        <f t="shared" si="18"/>
        <v>0</v>
      </c>
      <c r="BV53" s="613">
        <f>IF(BU53=0,0,1+MAX(BV$48:BV52))</f>
        <v>0</v>
      </c>
      <c r="BW53" s="613">
        <f t="shared" si="19"/>
        <v>0</v>
      </c>
      <c r="BX53" s="613"/>
      <c r="BY53" s="613"/>
      <c r="BZ53" s="613"/>
      <c r="CA53" s="613"/>
      <c r="CB53" s="613"/>
      <c r="CC53" s="613"/>
      <c r="CD53" s="614">
        <v>6</v>
      </c>
      <c r="CE53" s="613">
        <f t="shared" si="20"/>
        <v>0</v>
      </c>
      <c r="CF53" s="613">
        <f>IF(CE53=0,0,1+MAX(CF$48:CF52))</f>
        <v>0</v>
      </c>
      <c r="CG53" s="613">
        <f t="shared" si="21"/>
        <v>0</v>
      </c>
      <c r="CH53" s="613"/>
      <c r="CI53" s="613"/>
      <c r="CJ53" s="613"/>
      <c r="CK53" s="613"/>
      <c r="CL53" s="613"/>
      <c r="CM53" s="613"/>
      <c r="CN53" s="614">
        <v>6</v>
      </c>
      <c r="CO53" s="613">
        <f t="shared" si="22"/>
        <v>0</v>
      </c>
      <c r="CP53" s="613">
        <f>IF(CO53=0,0,1+MAX(CP$48:CP52))</f>
        <v>0</v>
      </c>
      <c r="CQ53" s="613">
        <f t="shared" si="23"/>
        <v>0</v>
      </c>
      <c r="CR53" s="613"/>
      <c r="CS53" s="613"/>
      <c r="CT53" s="613"/>
      <c r="CU53" s="613"/>
      <c r="CV53" s="613"/>
      <c r="CW53" s="613"/>
      <c r="CX53" s="613"/>
      <c r="CY53" s="613"/>
      <c r="CZ53" s="564"/>
      <c r="DA53" s="610">
        <v>47</v>
      </c>
      <c r="DB53" s="1061" t="str">
        <f t="shared" si="2"/>
        <v/>
      </c>
      <c r="DC53" s="1061"/>
      <c r="DD53" s="1061"/>
      <c r="DE53" s="1061"/>
      <c r="DF53" s="1061"/>
      <c r="DG53" s="1096" t="str">
        <f t="shared" si="3"/>
        <v/>
      </c>
      <c r="DH53" s="1096"/>
      <c r="DI53" s="565"/>
      <c r="DJ53" s="565"/>
      <c r="DK53" s="565"/>
      <c r="DL53" s="565"/>
      <c r="DM53" s="565"/>
      <c r="DN53" s="565"/>
      <c r="DO53" s="565"/>
      <c r="DP53" s="565"/>
      <c r="DQ53" s="565"/>
      <c r="DR53" s="565"/>
      <c r="DS53" s="565"/>
      <c r="DT53" s="565"/>
      <c r="DU53" s="565"/>
      <c r="DV53" s="565"/>
    </row>
    <row r="54" spans="1:126" x14ac:dyDescent="0.25">
      <c r="A54" s="613"/>
      <c r="B54" s="614">
        <v>7</v>
      </c>
      <c r="C54" s="613">
        <f t="shared" si="4"/>
        <v>0</v>
      </c>
      <c r="D54" s="613">
        <f>IF(C54=0,0,1+MAX(D$48:D53))</f>
        <v>0</v>
      </c>
      <c r="E54" s="613">
        <f t="shared" si="5"/>
        <v>0</v>
      </c>
      <c r="F54" s="613"/>
      <c r="G54" s="613"/>
      <c r="H54" s="613"/>
      <c r="I54" s="613"/>
      <c r="J54" s="613"/>
      <c r="K54" s="613"/>
      <c r="L54" s="614">
        <v>7</v>
      </c>
      <c r="M54" s="613">
        <f t="shared" si="6"/>
        <v>0</v>
      </c>
      <c r="N54" s="613">
        <f>IF(M54=0,0,1+MAX(N$48:N53))</f>
        <v>0</v>
      </c>
      <c r="O54" s="613">
        <f t="shared" si="7"/>
        <v>0</v>
      </c>
      <c r="P54" s="613"/>
      <c r="Q54" s="613"/>
      <c r="R54" s="613"/>
      <c r="S54" s="613"/>
      <c r="T54" s="613"/>
      <c r="U54" s="613"/>
      <c r="V54" s="614">
        <v>7</v>
      </c>
      <c r="W54" s="613">
        <f t="shared" si="8"/>
        <v>0</v>
      </c>
      <c r="X54" s="613">
        <f>IF(W54=0,0,1+MAX(X$48:X53))</f>
        <v>0</v>
      </c>
      <c r="Y54" s="613">
        <f t="shared" si="9"/>
        <v>0</v>
      </c>
      <c r="Z54" s="613"/>
      <c r="AA54" s="613"/>
      <c r="AB54" s="613"/>
      <c r="AC54" s="613"/>
      <c r="AD54" s="613"/>
      <c r="AE54" s="613"/>
      <c r="AF54" s="614">
        <v>7</v>
      </c>
      <c r="AG54" s="613">
        <f t="shared" si="10"/>
        <v>0</v>
      </c>
      <c r="AH54" s="613">
        <f>IF(AG54=0,0,1+MAX(AH$48:AH53))</f>
        <v>0</v>
      </c>
      <c r="AI54" s="613">
        <f t="shared" si="11"/>
        <v>0</v>
      </c>
      <c r="AJ54" s="613"/>
      <c r="AK54" s="613"/>
      <c r="AL54" s="613"/>
      <c r="AM54" s="613"/>
      <c r="AN54" s="613"/>
      <c r="AO54" s="613"/>
      <c r="AP54" s="614">
        <v>7</v>
      </c>
      <c r="AQ54" s="613">
        <f t="shared" si="12"/>
        <v>0</v>
      </c>
      <c r="AR54" s="613">
        <f>IF(AQ54=0,0,1+MAX(AR$48:AR53))</f>
        <v>0</v>
      </c>
      <c r="AS54" s="613">
        <f t="shared" si="13"/>
        <v>0</v>
      </c>
      <c r="AT54" s="613"/>
      <c r="AU54" s="613"/>
      <c r="AV54" s="613"/>
      <c r="AW54" s="613"/>
      <c r="AX54" s="613"/>
      <c r="AY54" s="613"/>
      <c r="AZ54" s="614">
        <v>7</v>
      </c>
      <c r="BA54" s="613">
        <f t="shared" si="14"/>
        <v>0</v>
      </c>
      <c r="BB54" s="613">
        <f>IF(BA54=0,0,1+MAX(BB$48:BB53))</f>
        <v>0</v>
      </c>
      <c r="BC54" s="613">
        <f t="shared" si="15"/>
        <v>0</v>
      </c>
      <c r="BD54" s="613"/>
      <c r="BE54" s="613"/>
      <c r="BF54" s="613"/>
      <c r="BG54" s="613"/>
      <c r="BH54" s="613"/>
      <c r="BI54" s="613"/>
      <c r="BJ54" s="614">
        <v>7</v>
      </c>
      <c r="BK54" s="613">
        <f t="shared" si="16"/>
        <v>0</v>
      </c>
      <c r="BL54" s="613">
        <f>IF(BK54=0,0,1+MAX(BL$48:BL53))</f>
        <v>0</v>
      </c>
      <c r="BM54" s="613">
        <f t="shared" si="17"/>
        <v>0</v>
      </c>
      <c r="BN54" s="613"/>
      <c r="BO54" s="613"/>
      <c r="BP54" s="613"/>
      <c r="BQ54" s="613"/>
      <c r="BR54" s="613"/>
      <c r="BS54" s="613"/>
      <c r="BT54" s="614">
        <v>7</v>
      </c>
      <c r="BU54" s="613">
        <f t="shared" si="18"/>
        <v>0</v>
      </c>
      <c r="BV54" s="613">
        <f>IF(BU54=0,0,1+MAX(BV$48:BV53))</f>
        <v>0</v>
      </c>
      <c r="BW54" s="613">
        <f t="shared" si="19"/>
        <v>0</v>
      </c>
      <c r="BX54" s="613"/>
      <c r="BY54" s="613"/>
      <c r="BZ54" s="613"/>
      <c r="CA54" s="613"/>
      <c r="CB54" s="613"/>
      <c r="CC54" s="613"/>
      <c r="CD54" s="614">
        <v>7</v>
      </c>
      <c r="CE54" s="613">
        <f t="shared" si="20"/>
        <v>0</v>
      </c>
      <c r="CF54" s="613">
        <f>IF(CE54=0,0,1+MAX(CF$48:CF53))</f>
        <v>0</v>
      </c>
      <c r="CG54" s="613">
        <f t="shared" si="21"/>
        <v>0</v>
      </c>
      <c r="CH54" s="613"/>
      <c r="CI54" s="613"/>
      <c r="CJ54" s="613"/>
      <c r="CK54" s="613"/>
      <c r="CL54" s="613"/>
      <c r="CM54" s="613"/>
      <c r="CN54" s="614">
        <v>7</v>
      </c>
      <c r="CO54" s="613">
        <f t="shared" si="22"/>
        <v>0</v>
      </c>
      <c r="CP54" s="613">
        <f>IF(CO54=0,0,1+MAX(CP$48:CP53))</f>
        <v>0</v>
      </c>
      <c r="CQ54" s="613">
        <f t="shared" si="23"/>
        <v>0</v>
      </c>
      <c r="CR54" s="613"/>
      <c r="CS54" s="613"/>
      <c r="CT54" s="613"/>
      <c r="CU54" s="613"/>
      <c r="CV54" s="613"/>
      <c r="CW54" s="613"/>
      <c r="CX54" s="613"/>
      <c r="CY54" s="613"/>
      <c r="CZ54" s="564"/>
      <c r="DA54" s="610">
        <v>48</v>
      </c>
      <c r="DB54" s="1061" t="str">
        <f t="shared" si="2"/>
        <v/>
      </c>
      <c r="DC54" s="1061"/>
      <c r="DD54" s="1061"/>
      <c r="DE54" s="1061"/>
      <c r="DF54" s="1061"/>
      <c r="DG54" s="1096" t="str">
        <f t="shared" si="3"/>
        <v/>
      </c>
      <c r="DH54" s="1096"/>
      <c r="DI54" s="565"/>
      <c r="DJ54" s="565"/>
      <c r="DK54" s="565"/>
      <c r="DL54" s="565"/>
      <c r="DM54" s="565"/>
      <c r="DN54" s="565"/>
      <c r="DO54" s="565"/>
      <c r="DP54" s="565"/>
      <c r="DQ54" s="565"/>
      <c r="DR54" s="565"/>
      <c r="DS54" s="565"/>
      <c r="DT54" s="565"/>
      <c r="DU54" s="565"/>
      <c r="DV54" s="565"/>
    </row>
    <row r="55" spans="1:126" x14ac:dyDescent="0.25">
      <c r="A55" s="613"/>
      <c r="B55" s="614">
        <v>8</v>
      </c>
      <c r="C55" s="613">
        <f t="shared" si="4"/>
        <v>0</v>
      </c>
      <c r="D55" s="613">
        <f>IF(C55=0,0,1+MAX(D$48:D54))</f>
        <v>0</v>
      </c>
      <c r="E55" s="613">
        <f t="shared" si="5"/>
        <v>0</v>
      </c>
      <c r="F55" s="613"/>
      <c r="G55" s="613"/>
      <c r="H55" s="613"/>
      <c r="I55" s="613"/>
      <c r="J55" s="613"/>
      <c r="K55" s="613"/>
      <c r="L55" s="614">
        <v>8</v>
      </c>
      <c r="M55" s="613">
        <f t="shared" si="6"/>
        <v>0</v>
      </c>
      <c r="N55" s="613">
        <f>IF(M55=0,0,1+MAX(N$48:N54))</f>
        <v>0</v>
      </c>
      <c r="O55" s="613">
        <f t="shared" si="7"/>
        <v>0</v>
      </c>
      <c r="P55" s="613"/>
      <c r="Q55" s="613"/>
      <c r="R55" s="613"/>
      <c r="S55" s="613"/>
      <c r="T55" s="613"/>
      <c r="U55" s="613"/>
      <c r="V55" s="614">
        <v>8</v>
      </c>
      <c r="W55" s="613">
        <f t="shared" si="8"/>
        <v>0</v>
      </c>
      <c r="X55" s="613">
        <f>IF(W55=0,0,1+MAX(X$48:X54))</f>
        <v>0</v>
      </c>
      <c r="Y55" s="613">
        <f t="shared" si="9"/>
        <v>0</v>
      </c>
      <c r="Z55" s="613"/>
      <c r="AA55" s="613"/>
      <c r="AB55" s="613"/>
      <c r="AC55" s="613"/>
      <c r="AD55" s="613"/>
      <c r="AE55" s="613"/>
      <c r="AF55" s="614">
        <v>8</v>
      </c>
      <c r="AG55" s="613">
        <f t="shared" si="10"/>
        <v>0</v>
      </c>
      <c r="AH55" s="613">
        <f>IF(AG55=0,0,1+MAX(AH$48:AH54))</f>
        <v>0</v>
      </c>
      <c r="AI55" s="613">
        <f t="shared" si="11"/>
        <v>0</v>
      </c>
      <c r="AJ55" s="613"/>
      <c r="AK55" s="613"/>
      <c r="AL55" s="613"/>
      <c r="AM55" s="613"/>
      <c r="AN55" s="613"/>
      <c r="AO55" s="613"/>
      <c r="AP55" s="614">
        <v>8</v>
      </c>
      <c r="AQ55" s="613">
        <f t="shared" si="12"/>
        <v>0</v>
      </c>
      <c r="AR55" s="613">
        <f>IF(AQ55=0,0,1+MAX(AR$48:AR54))</f>
        <v>0</v>
      </c>
      <c r="AS55" s="613">
        <f t="shared" si="13"/>
        <v>0</v>
      </c>
      <c r="AT55" s="613"/>
      <c r="AU55" s="613"/>
      <c r="AV55" s="613"/>
      <c r="AW55" s="613"/>
      <c r="AX55" s="613"/>
      <c r="AY55" s="613"/>
      <c r="AZ55" s="614">
        <v>8</v>
      </c>
      <c r="BA55" s="613">
        <f t="shared" si="14"/>
        <v>0</v>
      </c>
      <c r="BB55" s="613">
        <f>IF(BA55=0,0,1+MAX(BB$48:BB54))</f>
        <v>0</v>
      </c>
      <c r="BC55" s="613">
        <f t="shared" si="15"/>
        <v>0</v>
      </c>
      <c r="BD55" s="613"/>
      <c r="BE55" s="613"/>
      <c r="BF55" s="613"/>
      <c r="BG55" s="613"/>
      <c r="BH55" s="613"/>
      <c r="BI55" s="613"/>
      <c r="BJ55" s="614">
        <v>8</v>
      </c>
      <c r="BK55" s="613">
        <f t="shared" si="16"/>
        <v>0</v>
      </c>
      <c r="BL55" s="613">
        <f>IF(BK55=0,0,1+MAX(BL$48:BL54))</f>
        <v>0</v>
      </c>
      <c r="BM55" s="613">
        <f t="shared" si="17"/>
        <v>0</v>
      </c>
      <c r="BN55" s="613"/>
      <c r="BO55" s="613"/>
      <c r="BP55" s="613"/>
      <c r="BQ55" s="613"/>
      <c r="BR55" s="613"/>
      <c r="BS55" s="613"/>
      <c r="BT55" s="614">
        <v>8</v>
      </c>
      <c r="BU55" s="613">
        <f t="shared" si="18"/>
        <v>0</v>
      </c>
      <c r="BV55" s="613">
        <f>IF(BU55=0,0,1+MAX(BV$48:BV54))</f>
        <v>0</v>
      </c>
      <c r="BW55" s="613">
        <f t="shared" si="19"/>
        <v>0</v>
      </c>
      <c r="BX55" s="613"/>
      <c r="BY55" s="613"/>
      <c r="BZ55" s="613"/>
      <c r="CA55" s="613"/>
      <c r="CB55" s="613"/>
      <c r="CC55" s="613"/>
      <c r="CD55" s="614">
        <v>8</v>
      </c>
      <c r="CE55" s="613">
        <f t="shared" si="20"/>
        <v>0</v>
      </c>
      <c r="CF55" s="613">
        <f>IF(CE55=0,0,1+MAX(CF$48:CF54))</f>
        <v>0</v>
      </c>
      <c r="CG55" s="613">
        <f t="shared" si="21"/>
        <v>0</v>
      </c>
      <c r="CH55" s="613"/>
      <c r="CI55" s="613"/>
      <c r="CJ55" s="613"/>
      <c r="CK55" s="613"/>
      <c r="CL55" s="613"/>
      <c r="CM55" s="613"/>
      <c r="CN55" s="614">
        <v>8</v>
      </c>
      <c r="CO55" s="613">
        <f t="shared" si="22"/>
        <v>0</v>
      </c>
      <c r="CP55" s="613">
        <f>IF(CO55=0,0,1+MAX(CP$48:CP54))</f>
        <v>0</v>
      </c>
      <c r="CQ55" s="613">
        <f t="shared" si="23"/>
        <v>0</v>
      </c>
      <c r="CR55" s="613"/>
      <c r="CS55" s="613"/>
      <c r="CT55" s="613"/>
      <c r="CU55" s="613"/>
      <c r="CV55" s="613"/>
      <c r="CW55" s="613"/>
      <c r="CX55" s="613"/>
      <c r="CY55" s="613"/>
      <c r="CZ55" s="564"/>
      <c r="DA55" s="610">
        <v>49</v>
      </c>
      <c r="DB55" s="1061" t="str">
        <f t="shared" si="2"/>
        <v/>
      </c>
      <c r="DC55" s="1061"/>
      <c r="DD55" s="1061"/>
      <c r="DE55" s="1061"/>
      <c r="DF55" s="1061"/>
      <c r="DG55" s="1096" t="str">
        <f t="shared" si="3"/>
        <v/>
      </c>
      <c r="DH55" s="1096"/>
      <c r="DI55" s="565"/>
      <c r="DJ55" s="565"/>
      <c r="DK55" s="565"/>
      <c r="DL55" s="565"/>
      <c r="DM55" s="565"/>
      <c r="DN55" s="565"/>
      <c r="DO55" s="565"/>
      <c r="DP55" s="565"/>
      <c r="DQ55" s="565"/>
      <c r="DR55" s="565"/>
      <c r="DS55" s="565"/>
      <c r="DT55" s="565"/>
      <c r="DU55" s="565"/>
      <c r="DV55" s="565"/>
    </row>
    <row r="56" spans="1:126" x14ac:dyDescent="0.25">
      <c r="A56" s="613"/>
      <c r="B56" s="614">
        <v>9</v>
      </c>
      <c r="C56" s="613">
        <f t="shared" si="4"/>
        <v>0</v>
      </c>
      <c r="D56" s="613">
        <f>IF(C56=0,0,1+MAX(D$48:D55))</f>
        <v>0</v>
      </c>
      <c r="E56" s="613">
        <f t="shared" si="5"/>
        <v>0</v>
      </c>
      <c r="F56" s="613"/>
      <c r="G56" s="613"/>
      <c r="H56" s="613"/>
      <c r="I56" s="613"/>
      <c r="J56" s="613"/>
      <c r="K56" s="613"/>
      <c r="L56" s="614">
        <v>9</v>
      </c>
      <c r="M56" s="613">
        <f t="shared" si="6"/>
        <v>0</v>
      </c>
      <c r="N56" s="613">
        <f>IF(M56=0,0,1+MAX(N$48:N55))</f>
        <v>0</v>
      </c>
      <c r="O56" s="613">
        <f t="shared" si="7"/>
        <v>0</v>
      </c>
      <c r="P56" s="613"/>
      <c r="Q56" s="613"/>
      <c r="R56" s="613"/>
      <c r="S56" s="613"/>
      <c r="T56" s="613"/>
      <c r="U56" s="613"/>
      <c r="V56" s="614">
        <v>9</v>
      </c>
      <c r="W56" s="613">
        <f t="shared" si="8"/>
        <v>0</v>
      </c>
      <c r="X56" s="613">
        <f>IF(W56=0,0,1+MAX(X$48:X55))</f>
        <v>0</v>
      </c>
      <c r="Y56" s="613">
        <f t="shared" si="9"/>
        <v>0</v>
      </c>
      <c r="Z56" s="613"/>
      <c r="AA56" s="613"/>
      <c r="AB56" s="613"/>
      <c r="AC56" s="613"/>
      <c r="AD56" s="613"/>
      <c r="AE56" s="613"/>
      <c r="AF56" s="614">
        <v>9</v>
      </c>
      <c r="AG56" s="613">
        <f t="shared" si="10"/>
        <v>0</v>
      </c>
      <c r="AH56" s="613">
        <f>IF(AG56=0,0,1+MAX(AH$48:AH55))</f>
        <v>0</v>
      </c>
      <c r="AI56" s="613">
        <f t="shared" si="11"/>
        <v>0</v>
      </c>
      <c r="AJ56" s="613"/>
      <c r="AK56" s="613"/>
      <c r="AL56" s="613"/>
      <c r="AM56" s="613"/>
      <c r="AN56" s="613"/>
      <c r="AO56" s="613"/>
      <c r="AP56" s="614">
        <v>9</v>
      </c>
      <c r="AQ56" s="613">
        <f t="shared" si="12"/>
        <v>0</v>
      </c>
      <c r="AR56" s="613">
        <f>IF(AQ56=0,0,1+MAX(AR$48:AR55))</f>
        <v>0</v>
      </c>
      <c r="AS56" s="613">
        <f t="shared" si="13"/>
        <v>0</v>
      </c>
      <c r="AT56" s="613"/>
      <c r="AU56" s="613"/>
      <c r="AV56" s="613"/>
      <c r="AW56" s="613"/>
      <c r="AX56" s="613"/>
      <c r="AY56" s="613"/>
      <c r="AZ56" s="614">
        <v>9</v>
      </c>
      <c r="BA56" s="613">
        <f t="shared" si="14"/>
        <v>0</v>
      </c>
      <c r="BB56" s="613">
        <f>IF(BA56=0,0,1+MAX(BB$48:BB55))</f>
        <v>0</v>
      </c>
      <c r="BC56" s="613">
        <f t="shared" si="15"/>
        <v>0</v>
      </c>
      <c r="BD56" s="613"/>
      <c r="BE56" s="613"/>
      <c r="BF56" s="613"/>
      <c r="BG56" s="613"/>
      <c r="BH56" s="613"/>
      <c r="BI56" s="613"/>
      <c r="BJ56" s="614">
        <v>9</v>
      </c>
      <c r="BK56" s="613">
        <f t="shared" si="16"/>
        <v>0</v>
      </c>
      <c r="BL56" s="613">
        <f>IF(BK56=0,0,1+MAX(BL$48:BL55))</f>
        <v>0</v>
      </c>
      <c r="BM56" s="613">
        <f t="shared" si="17"/>
        <v>0</v>
      </c>
      <c r="BN56" s="613"/>
      <c r="BO56" s="613"/>
      <c r="BP56" s="613"/>
      <c r="BQ56" s="613"/>
      <c r="BR56" s="613"/>
      <c r="BS56" s="613"/>
      <c r="BT56" s="614">
        <v>9</v>
      </c>
      <c r="BU56" s="613">
        <f t="shared" si="18"/>
        <v>0</v>
      </c>
      <c r="BV56" s="613">
        <f>IF(BU56=0,0,1+MAX(BV$48:BV55))</f>
        <v>0</v>
      </c>
      <c r="BW56" s="613">
        <f t="shared" si="19"/>
        <v>0</v>
      </c>
      <c r="BX56" s="613"/>
      <c r="BY56" s="613"/>
      <c r="BZ56" s="613"/>
      <c r="CA56" s="613"/>
      <c r="CB56" s="613"/>
      <c r="CC56" s="613"/>
      <c r="CD56" s="614">
        <v>9</v>
      </c>
      <c r="CE56" s="613">
        <f t="shared" si="20"/>
        <v>0</v>
      </c>
      <c r="CF56" s="613">
        <f>IF(CE56=0,0,1+MAX(CF$48:CF55))</f>
        <v>0</v>
      </c>
      <c r="CG56" s="613">
        <f t="shared" si="21"/>
        <v>0</v>
      </c>
      <c r="CH56" s="613"/>
      <c r="CI56" s="613"/>
      <c r="CJ56" s="613"/>
      <c r="CK56" s="613"/>
      <c r="CL56" s="613"/>
      <c r="CM56" s="613"/>
      <c r="CN56" s="614">
        <v>9</v>
      </c>
      <c r="CO56" s="613">
        <f t="shared" si="22"/>
        <v>0</v>
      </c>
      <c r="CP56" s="613">
        <f>IF(CO56=0,0,1+MAX(CP$48:CP55))</f>
        <v>0</v>
      </c>
      <c r="CQ56" s="613">
        <f t="shared" si="23"/>
        <v>0</v>
      </c>
      <c r="CR56" s="613"/>
      <c r="CS56" s="613"/>
      <c r="CT56" s="613"/>
      <c r="CU56" s="613"/>
      <c r="CV56" s="613"/>
      <c r="CW56" s="613"/>
      <c r="CX56" s="613"/>
      <c r="CY56" s="613"/>
      <c r="CZ56" s="564"/>
      <c r="DA56" s="610">
        <v>50</v>
      </c>
      <c r="DB56" s="1061" t="str">
        <f t="shared" si="2"/>
        <v/>
      </c>
      <c r="DC56" s="1061"/>
      <c r="DD56" s="1061"/>
      <c r="DE56" s="1061"/>
      <c r="DF56" s="1061"/>
      <c r="DG56" s="1096" t="str">
        <f t="shared" si="3"/>
        <v/>
      </c>
      <c r="DH56" s="1096"/>
      <c r="DI56" s="565"/>
      <c r="DJ56" s="565"/>
      <c r="DK56" s="565"/>
      <c r="DL56" s="565"/>
      <c r="DM56" s="565"/>
      <c r="DN56" s="565"/>
      <c r="DO56" s="565"/>
      <c r="DP56" s="565"/>
      <c r="DQ56" s="565"/>
      <c r="DR56" s="565"/>
      <c r="DS56" s="565"/>
      <c r="DT56" s="565"/>
      <c r="DU56" s="565"/>
      <c r="DV56" s="565"/>
    </row>
    <row r="57" spans="1:126" x14ac:dyDescent="0.25">
      <c r="A57" s="613"/>
      <c r="B57" s="614">
        <v>10</v>
      </c>
      <c r="C57" s="613">
        <f t="shared" si="4"/>
        <v>0</v>
      </c>
      <c r="D57" s="613">
        <f>IF(C57=0,0,1+MAX(D$48:D56))</f>
        <v>0</v>
      </c>
      <c r="E57" s="613">
        <f t="shared" si="5"/>
        <v>0</v>
      </c>
      <c r="F57" s="613"/>
      <c r="G57" s="613"/>
      <c r="H57" s="613"/>
      <c r="I57" s="613"/>
      <c r="J57" s="613"/>
      <c r="K57" s="613"/>
      <c r="L57" s="614">
        <v>10</v>
      </c>
      <c r="M57" s="613">
        <f t="shared" si="6"/>
        <v>0</v>
      </c>
      <c r="N57" s="613">
        <f>IF(M57=0,0,1+MAX(N$48:N56))</f>
        <v>0</v>
      </c>
      <c r="O57" s="613">
        <f t="shared" si="7"/>
        <v>0</v>
      </c>
      <c r="P57" s="613"/>
      <c r="Q57" s="613"/>
      <c r="R57" s="613"/>
      <c r="S57" s="613"/>
      <c r="T57" s="613"/>
      <c r="U57" s="613"/>
      <c r="V57" s="614">
        <v>10</v>
      </c>
      <c r="W57" s="613">
        <f t="shared" si="8"/>
        <v>0</v>
      </c>
      <c r="X57" s="613">
        <f>IF(W57=0,0,1+MAX(X$48:X56))</f>
        <v>0</v>
      </c>
      <c r="Y57" s="613">
        <f t="shared" si="9"/>
        <v>0</v>
      </c>
      <c r="Z57" s="613"/>
      <c r="AA57" s="613"/>
      <c r="AB57" s="613"/>
      <c r="AC57" s="613"/>
      <c r="AD57" s="613"/>
      <c r="AE57" s="613"/>
      <c r="AF57" s="614">
        <v>10</v>
      </c>
      <c r="AG57" s="613">
        <f t="shared" si="10"/>
        <v>0</v>
      </c>
      <c r="AH57" s="613">
        <f>IF(AG57=0,0,1+MAX(AH$48:AH56))</f>
        <v>0</v>
      </c>
      <c r="AI57" s="613">
        <f t="shared" si="11"/>
        <v>0</v>
      </c>
      <c r="AJ57" s="613"/>
      <c r="AK57" s="613"/>
      <c r="AL57" s="613"/>
      <c r="AM57" s="613"/>
      <c r="AN57" s="613"/>
      <c r="AO57" s="613"/>
      <c r="AP57" s="614">
        <v>10</v>
      </c>
      <c r="AQ57" s="613">
        <f t="shared" si="12"/>
        <v>0</v>
      </c>
      <c r="AR57" s="613">
        <f>IF(AQ57=0,0,1+MAX(AR$48:AR56))</f>
        <v>0</v>
      </c>
      <c r="AS57" s="613">
        <f t="shared" si="13"/>
        <v>0</v>
      </c>
      <c r="AT57" s="613"/>
      <c r="AU57" s="613"/>
      <c r="AV57" s="613"/>
      <c r="AW57" s="613"/>
      <c r="AX57" s="613"/>
      <c r="AY57" s="613"/>
      <c r="AZ57" s="614">
        <v>10</v>
      </c>
      <c r="BA57" s="613">
        <f t="shared" si="14"/>
        <v>0</v>
      </c>
      <c r="BB57" s="613">
        <f>IF(BA57=0,0,1+MAX(BB$48:BB56))</f>
        <v>0</v>
      </c>
      <c r="BC57" s="613">
        <f t="shared" si="15"/>
        <v>0</v>
      </c>
      <c r="BD57" s="613"/>
      <c r="BE57" s="613"/>
      <c r="BF57" s="613"/>
      <c r="BG57" s="613"/>
      <c r="BH57" s="613"/>
      <c r="BI57" s="613"/>
      <c r="BJ57" s="614">
        <v>10</v>
      </c>
      <c r="BK57" s="613">
        <f t="shared" si="16"/>
        <v>0</v>
      </c>
      <c r="BL57" s="613">
        <f>IF(BK57=0,0,1+MAX(BL$48:BL56))</f>
        <v>0</v>
      </c>
      <c r="BM57" s="613">
        <f t="shared" si="17"/>
        <v>0</v>
      </c>
      <c r="BN57" s="613"/>
      <c r="BO57" s="613"/>
      <c r="BP57" s="613"/>
      <c r="BQ57" s="613"/>
      <c r="BR57" s="613"/>
      <c r="BS57" s="613"/>
      <c r="BT57" s="614">
        <v>10</v>
      </c>
      <c r="BU57" s="613">
        <f t="shared" si="18"/>
        <v>0</v>
      </c>
      <c r="BV57" s="613">
        <f>IF(BU57=0,0,1+MAX(BV$48:BV56))</f>
        <v>0</v>
      </c>
      <c r="BW57" s="613">
        <f t="shared" si="19"/>
        <v>0</v>
      </c>
      <c r="BX57" s="613"/>
      <c r="BY57" s="613"/>
      <c r="BZ57" s="613"/>
      <c r="CA57" s="613"/>
      <c r="CB57" s="613"/>
      <c r="CC57" s="613"/>
      <c r="CD57" s="614">
        <v>10</v>
      </c>
      <c r="CE57" s="613">
        <f t="shared" si="20"/>
        <v>0</v>
      </c>
      <c r="CF57" s="613">
        <f>IF(CE57=0,0,1+MAX(CF$48:CF56))</f>
        <v>0</v>
      </c>
      <c r="CG57" s="613">
        <f t="shared" si="21"/>
        <v>0</v>
      </c>
      <c r="CH57" s="613"/>
      <c r="CI57" s="613"/>
      <c r="CJ57" s="613"/>
      <c r="CK57" s="613"/>
      <c r="CL57" s="613"/>
      <c r="CM57" s="613"/>
      <c r="CN57" s="614">
        <v>10</v>
      </c>
      <c r="CO57" s="613">
        <f t="shared" si="22"/>
        <v>0</v>
      </c>
      <c r="CP57" s="613">
        <f>IF(CO57=0,0,1+MAX(CP$48:CP56))</f>
        <v>0</v>
      </c>
      <c r="CQ57" s="613">
        <f t="shared" si="23"/>
        <v>0</v>
      </c>
      <c r="CR57" s="613"/>
      <c r="CS57" s="613"/>
      <c r="CT57" s="613"/>
      <c r="CU57" s="613"/>
      <c r="CV57" s="613"/>
      <c r="CW57" s="613"/>
      <c r="CX57" s="613"/>
      <c r="CY57" s="613"/>
      <c r="CZ57" s="564"/>
      <c r="DA57" s="610">
        <v>51</v>
      </c>
      <c r="DB57" s="1061" t="str">
        <f t="shared" si="2"/>
        <v/>
      </c>
      <c r="DC57" s="1061"/>
      <c r="DD57" s="1061"/>
      <c r="DE57" s="1061"/>
      <c r="DF57" s="1061"/>
      <c r="DG57" s="1096" t="str">
        <f t="shared" si="3"/>
        <v/>
      </c>
      <c r="DH57" s="1096"/>
      <c r="DI57" s="565"/>
      <c r="DJ57" s="565"/>
      <c r="DK57" s="565"/>
      <c r="DL57" s="565"/>
      <c r="DM57" s="565"/>
      <c r="DN57" s="565"/>
      <c r="DO57" s="565"/>
      <c r="DP57" s="565"/>
      <c r="DQ57" s="565"/>
      <c r="DR57" s="565"/>
      <c r="DS57" s="565"/>
      <c r="DT57" s="565"/>
      <c r="DU57" s="565"/>
      <c r="DV57" s="565"/>
    </row>
    <row r="58" spans="1:126" x14ac:dyDescent="0.25">
      <c r="A58" s="613"/>
      <c r="B58" s="614">
        <v>11</v>
      </c>
      <c r="C58" s="613">
        <f t="shared" si="4"/>
        <v>0</v>
      </c>
      <c r="D58" s="613">
        <f>IF(C58=0,0,1+MAX(D$48:D57))</f>
        <v>0</v>
      </c>
      <c r="E58" s="613">
        <f t="shared" si="5"/>
        <v>0</v>
      </c>
      <c r="F58" s="613"/>
      <c r="G58" s="613"/>
      <c r="H58" s="613"/>
      <c r="I58" s="613"/>
      <c r="J58" s="613"/>
      <c r="K58" s="613"/>
      <c r="L58" s="614">
        <v>11</v>
      </c>
      <c r="M58" s="613">
        <f t="shared" si="6"/>
        <v>0</v>
      </c>
      <c r="N58" s="613">
        <f>IF(M58=0,0,1+MAX(N$48:N57))</f>
        <v>0</v>
      </c>
      <c r="O58" s="613">
        <f t="shared" si="7"/>
        <v>0</v>
      </c>
      <c r="P58" s="613"/>
      <c r="Q58" s="613"/>
      <c r="R58" s="613"/>
      <c r="S58" s="613"/>
      <c r="T58" s="613"/>
      <c r="U58" s="613"/>
      <c r="V58" s="614">
        <v>11</v>
      </c>
      <c r="W58" s="613">
        <f t="shared" si="8"/>
        <v>0</v>
      </c>
      <c r="X58" s="613">
        <f>IF(W58=0,0,1+MAX(X$48:X57))</f>
        <v>0</v>
      </c>
      <c r="Y58" s="613">
        <f t="shared" si="9"/>
        <v>0</v>
      </c>
      <c r="Z58" s="613"/>
      <c r="AA58" s="613"/>
      <c r="AB58" s="613"/>
      <c r="AC58" s="613"/>
      <c r="AD58" s="613"/>
      <c r="AE58" s="613"/>
      <c r="AF58" s="614">
        <v>11</v>
      </c>
      <c r="AG58" s="613">
        <f t="shared" si="10"/>
        <v>0</v>
      </c>
      <c r="AH58" s="613">
        <f>IF(AG58=0,0,1+MAX(AH$48:AH57))</f>
        <v>0</v>
      </c>
      <c r="AI58" s="613">
        <f t="shared" si="11"/>
        <v>0</v>
      </c>
      <c r="AJ58" s="613"/>
      <c r="AK58" s="613"/>
      <c r="AL58" s="613"/>
      <c r="AM58" s="613"/>
      <c r="AN58" s="613"/>
      <c r="AO58" s="613"/>
      <c r="AP58" s="614">
        <v>11</v>
      </c>
      <c r="AQ58" s="613">
        <f t="shared" si="12"/>
        <v>0</v>
      </c>
      <c r="AR58" s="613">
        <f>IF(AQ58=0,0,1+MAX(AR$48:AR57))</f>
        <v>0</v>
      </c>
      <c r="AS58" s="613">
        <f t="shared" si="13"/>
        <v>0</v>
      </c>
      <c r="AT58" s="613"/>
      <c r="AU58" s="613"/>
      <c r="AV58" s="613"/>
      <c r="AW58" s="613"/>
      <c r="AX58" s="613"/>
      <c r="AY58" s="613"/>
      <c r="AZ58" s="614">
        <v>11</v>
      </c>
      <c r="BA58" s="613">
        <f t="shared" si="14"/>
        <v>0</v>
      </c>
      <c r="BB58" s="613">
        <f>IF(BA58=0,0,1+MAX(BB$48:BB57))</f>
        <v>0</v>
      </c>
      <c r="BC58" s="613">
        <f t="shared" si="15"/>
        <v>0</v>
      </c>
      <c r="BD58" s="613"/>
      <c r="BE58" s="613"/>
      <c r="BF58" s="613"/>
      <c r="BG58" s="613"/>
      <c r="BH58" s="613"/>
      <c r="BI58" s="613"/>
      <c r="BJ58" s="614">
        <v>11</v>
      </c>
      <c r="BK58" s="613">
        <f t="shared" si="16"/>
        <v>0</v>
      </c>
      <c r="BL58" s="613">
        <f>IF(BK58=0,0,1+MAX(BL$48:BL57))</f>
        <v>0</v>
      </c>
      <c r="BM58" s="613">
        <f t="shared" si="17"/>
        <v>0</v>
      </c>
      <c r="BN58" s="613"/>
      <c r="BO58" s="613"/>
      <c r="BP58" s="613"/>
      <c r="BQ58" s="613"/>
      <c r="BR58" s="613"/>
      <c r="BS58" s="613"/>
      <c r="BT58" s="614">
        <v>11</v>
      </c>
      <c r="BU58" s="613">
        <f t="shared" si="18"/>
        <v>0</v>
      </c>
      <c r="BV58" s="613">
        <f>IF(BU58=0,0,1+MAX(BV$48:BV57))</f>
        <v>0</v>
      </c>
      <c r="BW58" s="613">
        <f t="shared" si="19"/>
        <v>0</v>
      </c>
      <c r="BX58" s="613"/>
      <c r="BY58" s="613"/>
      <c r="BZ58" s="613"/>
      <c r="CA58" s="613"/>
      <c r="CB58" s="613"/>
      <c r="CC58" s="613"/>
      <c r="CD58" s="614">
        <v>11</v>
      </c>
      <c r="CE58" s="613">
        <f t="shared" si="20"/>
        <v>0</v>
      </c>
      <c r="CF58" s="613">
        <f>IF(CE58=0,0,1+MAX(CF$48:CF57))</f>
        <v>0</v>
      </c>
      <c r="CG58" s="613">
        <f t="shared" si="21"/>
        <v>0</v>
      </c>
      <c r="CH58" s="613"/>
      <c r="CI58" s="613"/>
      <c r="CJ58" s="613"/>
      <c r="CK58" s="613"/>
      <c r="CL58" s="613"/>
      <c r="CM58" s="613"/>
      <c r="CN58" s="614">
        <v>11</v>
      </c>
      <c r="CO58" s="613">
        <f t="shared" si="22"/>
        <v>0</v>
      </c>
      <c r="CP58" s="613">
        <f>IF(CO58=0,0,1+MAX(CP$48:CP57))</f>
        <v>0</v>
      </c>
      <c r="CQ58" s="613">
        <f t="shared" si="23"/>
        <v>0</v>
      </c>
      <c r="CR58" s="613"/>
      <c r="CS58" s="613"/>
      <c r="CT58" s="613"/>
      <c r="CU58" s="613"/>
      <c r="CV58" s="613"/>
      <c r="CW58" s="613"/>
      <c r="CX58" s="613"/>
      <c r="CY58" s="613"/>
      <c r="CZ58" s="564"/>
      <c r="DA58" s="610">
        <v>52</v>
      </c>
      <c r="DB58" s="1061" t="str">
        <f t="shared" si="2"/>
        <v/>
      </c>
      <c r="DC58" s="1061"/>
      <c r="DD58" s="1061"/>
      <c r="DE58" s="1061"/>
      <c r="DF58" s="1061"/>
      <c r="DG58" s="1096" t="str">
        <f t="shared" si="3"/>
        <v/>
      </c>
      <c r="DH58" s="1096"/>
      <c r="DI58" s="565"/>
      <c r="DJ58" s="565"/>
      <c r="DK58" s="565"/>
      <c r="DL58" s="565"/>
      <c r="DM58" s="565"/>
      <c r="DN58" s="565"/>
      <c r="DO58" s="565"/>
      <c r="DP58" s="565"/>
      <c r="DQ58" s="565"/>
      <c r="DR58" s="565"/>
      <c r="DS58" s="565"/>
      <c r="DT58" s="565"/>
      <c r="DU58" s="565"/>
      <c r="DV58" s="565"/>
    </row>
    <row r="59" spans="1:126" x14ac:dyDescent="0.25">
      <c r="A59" s="613"/>
      <c r="B59" s="614">
        <v>12</v>
      </c>
      <c r="C59" s="613">
        <f t="shared" si="4"/>
        <v>0</v>
      </c>
      <c r="D59" s="613">
        <f>IF(C59=0,0,1+MAX(D$48:D58))</f>
        <v>0</v>
      </c>
      <c r="E59" s="613">
        <f t="shared" si="5"/>
        <v>0</v>
      </c>
      <c r="F59" s="613"/>
      <c r="G59" s="613"/>
      <c r="H59" s="613"/>
      <c r="I59" s="613"/>
      <c r="J59" s="613"/>
      <c r="K59" s="613"/>
      <c r="L59" s="614">
        <v>12</v>
      </c>
      <c r="M59" s="613">
        <f t="shared" si="6"/>
        <v>0</v>
      </c>
      <c r="N59" s="613">
        <f>IF(M59=0,0,1+MAX(N$48:N58))</f>
        <v>0</v>
      </c>
      <c r="O59" s="613">
        <f t="shared" si="7"/>
        <v>0</v>
      </c>
      <c r="P59" s="613"/>
      <c r="Q59" s="613"/>
      <c r="R59" s="613"/>
      <c r="S59" s="613"/>
      <c r="T59" s="613"/>
      <c r="U59" s="613"/>
      <c r="V59" s="614">
        <v>12</v>
      </c>
      <c r="W59" s="613">
        <f t="shared" si="8"/>
        <v>0</v>
      </c>
      <c r="X59" s="613">
        <f>IF(W59=0,0,1+MAX(X$48:X58))</f>
        <v>0</v>
      </c>
      <c r="Y59" s="613">
        <f t="shared" si="9"/>
        <v>0</v>
      </c>
      <c r="Z59" s="613"/>
      <c r="AA59" s="613"/>
      <c r="AB59" s="613"/>
      <c r="AC59" s="613"/>
      <c r="AD59" s="613"/>
      <c r="AE59" s="613"/>
      <c r="AF59" s="614">
        <v>12</v>
      </c>
      <c r="AG59" s="613">
        <f t="shared" si="10"/>
        <v>0</v>
      </c>
      <c r="AH59" s="613">
        <f>IF(AG59=0,0,1+MAX(AH$48:AH58))</f>
        <v>0</v>
      </c>
      <c r="AI59" s="613">
        <f t="shared" si="11"/>
        <v>0</v>
      </c>
      <c r="AJ59" s="613"/>
      <c r="AK59" s="613"/>
      <c r="AL59" s="613"/>
      <c r="AM59" s="613"/>
      <c r="AN59" s="613"/>
      <c r="AO59" s="613"/>
      <c r="AP59" s="614">
        <v>12</v>
      </c>
      <c r="AQ59" s="613">
        <f t="shared" si="12"/>
        <v>0</v>
      </c>
      <c r="AR59" s="613">
        <f>IF(AQ59=0,0,1+MAX(AR$48:AR58))</f>
        <v>0</v>
      </c>
      <c r="AS59" s="613">
        <f t="shared" si="13"/>
        <v>0</v>
      </c>
      <c r="AT59" s="613"/>
      <c r="AU59" s="613"/>
      <c r="AV59" s="613"/>
      <c r="AW59" s="613"/>
      <c r="AX59" s="613"/>
      <c r="AY59" s="613"/>
      <c r="AZ59" s="614">
        <v>12</v>
      </c>
      <c r="BA59" s="613">
        <f t="shared" si="14"/>
        <v>0</v>
      </c>
      <c r="BB59" s="613">
        <f>IF(BA59=0,0,1+MAX(BB$48:BB58))</f>
        <v>0</v>
      </c>
      <c r="BC59" s="613">
        <f t="shared" si="15"/>
        <v>0</v>
      </c>
      <c r="BD59" s="613"/>
      <c r="BE59" s="613"/>
      <c r="BF59" s="613"/>
      <c r="BG59" s="613"/>
      <c r="BH59" s="613"/>
      <c r="BI59" s="613"/>
      <c r="BJ59" s="614">
        <v>12</v>
      </c>
      <c r="BK59" s="613">
        <f t="shared" si="16"/>
        <v>0</v>
      </c>
      <c r="BL59" s="613">
        <f>IF(BK59=0,0,1+MAX(BL$48:BL58))</f>
        <v>0</v>
      </c>
      <c r="BM59" s="613">
        <f t="shared" si="17"/>
        <v>0</v>
      </c>
      <c r="BN59" s="613"/>
      <c r="BO59" s="613"/>
      <c r="BP59" s="613"/>
      <c r="BQ59" s="613"/>
      <c r="BR59" s="613"/>
      <c r="BS59" s="613"/>
      <c r="BT59" s="614">
        <v>12</v>
      </c>
      <c r="BU59" s="613">
        <f t="shared" si="18"/>
        <v>0</v>
      </c>
      <c r="BV59" s="613">
        <f>IF(BU59=0,0,1+MAX(BV$48:BV58))</f>
        <v>0</v>
      </c>
      <c r="BW59" s="613">
        <f t="shared" si="19"/>
        <v>0</v>
      </c>
      <c r="BX59" s="613"/>
      <c r="BY59" s="613"/>
      <c r="BZ59" s="613"/>
      <c r="CA59" s="613"/>
      <c r="CB59" s="613"/>
      <c r="CC59" s="613"/>
      <c r="CD59" s="614">
        <v>12</v>
      </c>
      <c r="CE59" s="613">
        <f t="shared" si="20"/>
        <v>0</v>
      </c>
      <c r="CF59" s="613">
        <f>IF(CE59=0,0,1+MAX(CF$48:CF58))</f>
        <v>0</v>
      </c>
      <c r="CG59" s="613">
        <f t="shared" si="21"/>
        <v>0</v>
      </c>
      <c r="CH59" s="613"/>
      <c r="CI59" s="613"/>
      <c r="CJ59" s="613"/>
      <c r="CK59" s="613"/>
      <c r="CL59" s="613"/>
      <c r="CM59" s="613"/>
      <c r="CN59" s="614">
        <v>12</v>
      </c>
      <c r="CO59" s="613">
        <f t="shared" si="22"/>
        <v>0</v>
      </c>
      <c r="CP59" s="613">
        <f>IF(CO59=0,0,1+MAX(CP$48:CP58))</f>
        <v>0</v>
      </c>
      <c r="CQ59" s="613">
        <f t="shared" si="23"/>
        <v>0</v>
      </c>
      <c r="CR59" s="613"/>
      <c r="CS59" s="613"/>
      <c r="CT59" s="613"/>
      <c r="CU59" s="613"/>
      <c r="CV59" s="613"/>
      <c r="CW59" s="613"/>
      <c r="CX59" s="613"/>
      <c r="CY59" s="613"/>
      <c r="CZ59" s="564"/>
      <c r="DA59" s="610">
        <v>53</v>
      </c>
      <c r="DB59" s="1061" t="str">
        <f t="shared" si="2"/>
        <v/>
      </c>
      <c r="DC59" s="1061"/>
      <c r="DD59" s="1061"/>
      <c r="DE59" s="1061"/>
      <c r="DF59" s="1061"/>
      <c r="DG59" s="1096" t="str">
        <f t="shared" si="3"/>
        <v/>
      </c>
      <c r="DH59" s="1096"/>
      <c r="DI59" s="565"/>
      <c r="DJ59" s="565"/>
      <c r="DK59" s="565"/>
      <c r="DL59" s="565"/>
      <c r="DM59" s="565"/>
      <c r="DN59" s="565"/>
      <c r="DO59" s="565"/>
      <c r="DP59" s="565"/>
      <c r="DQ59" s="565"/>
      <c r="DR59" s="565"/>
      <c r="DS59" s="565"/>
      <c r="DT59" s="565"/>
      <c r="DU59" s="565"/>
      <c r="DV59" s="565"/>
    </row>
    <row r="60" spans="1:126" x14ac:dyDescent="0.25">
      <c r="A60" s="613"/>
      <c r="B60" s="614">
        <v>13</v>
      </c>
      <c r="C60" s="613">
        <f t="shared" si="4"/>
        <v>0</v>
      </c>
      <c r="D60" s="613">
        <f>IF(C60=0,0,1+MAX(D$48:D59))</f>
        <v>0</v>
      </c>
      <c r="E60" s="613">
        <f t="shared" si="5"/>
        <v>0</v>
      </c>
      <c r="F60" s="613"/>
      <c r="G60" s="613"/>
      <c r="H60" s="613"/>
      <c r="I60" s="613"/>
      <c r="J60" s="613"/>
      <c r="K60" s="613"/>
      <c r="L60" s="614">
        <v>13</v>
      </c>
      <c r="M60" s="613">
        <f t="shared" si="6"/>
        <v>0</v>
      </c>
      <c r="N60" s="613">
        <f>IF(M60=0,0,1+MAX(N$48:N59))</f>
        <v>0</v>
      </c>
      <c r="O60" s="613">
        <f t="shared" si="7"/>
        <v>0</v>
      </c>
      <c r="P60" s="613"/>
      <c r="Q60" s="613"/>
      <c r="R60" s="613"/>
      <c r="S60" s="613"/>
      <c r="T60" s="613"/>
      <c r="U60" s="613"/>
      <c r="V60" s="614">
        <v>13</v>
      </c>
      <c r="W60" s="613">
        <f t="shared" si="8"/>
        <v>0</v>
      </c>
      <c r="X60" s="613">
        <f>IF(W60=0,0,1+MAX(X$48:X59))</f>
        <v>0</v>
      </c>
      <c r="Y60" s="613">
        <f t="shared" si="9"/>
        <v>0</v>
      </c>
      <c r="Z60" s="613"/>
      <c r="AA60" s="613"/>
      <c r="AB60" s="613"/>
      <c r="AC60" s="613"/>
      <c r="AD60" s="613"/>
      <c r="AE60" s="613"/>
      <c r="AF60" s="614">
        <v>13</v>
      </c>
      <c r="AG60" s="613">
        <f t="shared" si="10"/>
        <v>0</v>
      </c>
      <c r="AH60" s="613">
        <f>IF(AG60=0,0,1+MAX(AH$48:AH59))</f>
        <v>0</v>
      </c>
      <c r="AI60" s="613">
        <f t="shared" si="11"/>
        <v>0</v>
      </c>
      <c r="AJ60" s="613"/>
      <c r="AK60" s="613"/>
      <c r="AL60" s="613"/>
      <c r="AM60" s="613"/>
      <c r="AN60" s="613"/>
      <c r="AO60" s="613"/>
      <c r="AP60" s="614">
        <v>13</v>
      </c>
      <c r="AQ60" s="613">
        <f t="shared" si="12"/>
        <v>0</v>
      </c>
      <c r="AR60" s="613">
        <f>IF(AQ60=0,0,1+MAX(AR$48:AR59))</f>
        <v>0</v>
      </c>
      <c r="AS60" s="613">
        <f t="shared" si="13"/>
        <v>0</v>
      </c>
      <c r="AT60" s="613"/>
      <c r="AU60" s="613"/>
      <c r="AV60" s="613"/>
      <c r="AW60" s="613"/>
      <c r="AX60" s="613"/>
      <c r="AY60" s="613"/>
      <c r="AZ60" s="614">
        <v>13</v>
      </c>
      <c r="BA60" s="613">
        <f t="shared" si="14"/>
        <v>0</v>
      </c>
      <c r="BB60" s="613">
        <f>IF(BA60=0,0,1+MAX(BB$48:BB59))</f>
        <v>0</v>
      </c>
      <c r="BC60" s="613">
        <f t="shared" si="15"/>
        <v>0</v>
      </c>
      <c r="BD60" s="613"/>
      <c r="BE60" s="613"/>
      <c r="BF60" s="613"/>
      <c r="BG60" s="613"/>
      <c r="BH60" s="613"/>
      <c r="BI60" s="613"/>
      <c r="BJ60" s="614">
        <v>13</v>
      </c>
      <c r="BK60" s="613">
        <f t="shared" si="16"/>
        <v>0</v>
      </c>
      <c r="BL60" s="613">
        <f>IF(BK60=0,0,1+MAX(BL$48:BL59))</f>
        <v>0</v>
      </c>
      <c r="BM60" s="613">
        <f t="shared" si="17"/>
        <v>0</v>
      </c>
      <c r="BN60" s="613"/>
      <c r="BO60" s="613"/>
      <c r="BP60" s="613"/>
      <c r="BQ60" s="613"/>
      <c r="BR60" s="613"/>
      <c r="BS60" s="613"/>
      <c r="BT60" s="614">
        <v>13</v>
      </c>
      <c r="BU60" s="613">
        <f t="shared" si="18"/>
        <v>0</v>
      </c>
      <c r="BV60" s="613">
        <f>IF(BU60=0,0,1+MAX(BV$48:BV59))</f>
        <v>0</v>
      </c>
      <c r="BW60" s="613">
        <f t="shared" si="19"/>
        <v>0</v>
      </c>
      <c r="BX60" s="613"/>
      <c r="BY60" s="613"/>
      <c r="BZ60" s="613"/>
      <c r="CA60" s="613"/>
      <c r="CB60" s="613"/>
      <c r="CC60" s="613"/>
      <c r="CD60" s="614">
        <v>13</v>
      </c>
      <c r="CE60" s="613">
        <f t="shared" si="20"/>
        <v>0</v>
      </c>
      <c r="CF60" s="613">
        <f>IF(CE60=0,0,1+MAX(CF$48:CF59))</f>
        <v>0</v>
      </c>
      <c r="CG60" s="613">
        <f t="shared" si="21"/>
        <v>0</v>
      </c>
      <c r="CH60" s="613"/>
      <c r="CI60" s="613"/>
      <c r="CJ60" s="613"/>
      <c r="CK60" s="613"/>
      <c r="CL60" s="613"/>
      <c r="CM60" s="613"/>
      <c r="CN60" s="614">
        <v>13</v>
      </c>
      <c r="CO60" s="613">
        <f t="shared" si="22"/>
        <v>0</v>
      </c>
      <c r="CP60" s="613">
        <f>IF(CO60=0,0,1+MAX(CP$48:CP59))</f>
        <v>0</v>
      </c>
      <c r="CQ60" s="613">
        <f t="shared" si="23"/>
        <v>0</v>
      </c>
      <c r="CR60" s="613"/>
      <c r="CS60" s="613"/>
      <c r="CT60" s="613"/>
      <c r="CU60" s="613"/>
      <c r="CV60" s="613"/>
      <c r="CW60" s="613"/>
      <c r="CX60" s="613"/>
      <c r="CY60" s="613"/>
      <c r="CZ60" s="564"/>
      <c r="DA60" s="610">
        <v>54</v>
      </c>
      <c r="DB60" s="1061" t="str">
        <f t="shared" si="2"/>
        <v/>
      </c>
      <c r="DC60" s="1061"/>
      <c r="DD60" s="1061"/>
      <c r="DE60" s="1061"/>
      <c r="DF60" s="1061"/>
      <c r="DG60" s="1096" t="str">
        <f t="shared" si="3"/>
        <v/>
      </c>
      <c r="DH60" s="1096"/>
      <c r="DI60" s="565"/>
      <c r="DJ60" s="565"/>
      <c r="DK60" s="565"/>
      <c r="DL60" s="565"/>
      <c r="DM60" s="565"/>
      <c r="DN60" s="565"/>
      <c r="DO60" s="565"/>
      <c r="DP60" s="565"/>
      <c r="DQ60" s="565"/>
      <c r="DR60" s="565"/>
      <c r="DS60" s="565"/>
      <c r="DT60" s="565"/>
      <c r="DU60" s="565"/>
      <c r="DV60" s="565"/>
    </row>
    <row r="61" spans="1:126" x14ac:dyDescent="0.25">
      <c r="A61" s="613"/>
      <c r="B61" s="614">
        <v>14</v>
      </c>
      <c r="C61" s="613">
        <f t="shared" si="4"/>
        <v>0</v>
      </c>
      <c r="D61" s="613">
        <f>IF(C61=0,0,1+MAX(D$48:D60))</f>
        <v>0</v>
      </c>
      <c r="E61" s="613">
        <f t="shared" si="5"/>
        <v>0</v>
      </c>
      <c r="F61" s="613"/>
      <c r="G61" s="613"/>
      <c r="H61" s="613"/>
      <c r="I61" s="613"/>
      <c r="J61" s="613"/>
      <c r="K61" s="613"/>
      <c r="L61" s="614">
        <v>14</v>
      </c>
      <c r="M61" s="613">
        <f t="shared" si="6"/>
        <v>0</v>
      </c>
      <c r="N61" s="613">
        <f>IF(M61=0,0,1+MAX(N$48:N60))</f>
        <v>0</v>
      </c>
      <c r="O61" s="613">
        <f t="shared" si="7"/>
        <v>0</v>
      </c>
      <c r="P61" s="613"/>
      <c r="Q61" s="613"/>
      <c r="R61" s="613"/>
      <c r="S61" s="613"/>
      <c r="T61" s="613"/>
      <c r="U61" s="613"/>
      <c r="V61" s="614">
        <v>14</v>
      </c>
      <c r="W61" s="613">
        <f t="shared" si="8"/>
        <v>0</v>
      </c>
      <c r="X61" s="613">
        <f>IF(W61=0,0,1+MAX(X$48:X60))</f>
        <v>0</v>
      </c>
      <c r="Y61" s="613">
        <f t="shared" si="9"/>
        <v>0</v>
      </c>
      <c r="Z61" s="613"/>
      <c r="AA61" s="613"/>
      <c r="AB61" s="613"/>
      <c r="AC61" s="613"/>
      <c r="AD61" s="613"/>
      <c r="AE61" s="613"/>
      <c r="AF61" s="614">
        <v>14</v>
      </c>
      <c r="AG61" s="613">
        <f t="shared" si="10"/>
        <v>0</v>
      </c>
      <c r="AH61" s="613">
        <f>IF(AG61=0,0,1+MAX(AH$48:AH60))</f>
        <v>0</v>
      </c>
      <c r="AI61" s="613">
        <f t="shared" si="11"/>
        <v>0</v>
      </c>
      <c r="AJ61" s="613"/>
      <c r="AK61" s="613"/>
      <c r="AL61" s="613"/>
      <c r="AM61" s="613"/>
      <c r="AN61" s="613"/>
      <c r="AO61" s="613"/>
      <c r="AP61" s="614">
        <v>14</v>
      </c>
      <c r="AQ61" s="613">
        <f t="shared" si="12"/>
        <v>0</v>
      </c>
      <c r="AR61" s="613">
        <f>IF(AQ61=0,0,1+MAX(AR$48:AR60))</f>
        <v>0</v>
      </c>
      <c r="AS61" s="613">
        <f t="shared" si="13"/>
        <v>0</v>
      </c>
      <c r="AT61" s="613"/>
      <c r="AU61" s="613"/>
      <c r="AV61" s="613"/>
      <c r="AW61" s="613"/>
      <c r="AX61" s="613"/>
      <c r="AY61" s="613"/>
      <c r="AZ61" s="614">
        <v>14</v>
      </c>
      <c r="BA61" s="613">
        <f t="shared" si="14"/>
        <v>0</v>
      </c>
      <c r="BB61" s="613">
        <f>IF(BA61=0,0,1+MAX(BB$48:BB60))</f>
        <v>0</v>
      </c>
      <c r="BC61" s="613">
        <f t="shared" si="15"/>
        <v>0</v>
      </c>
      <c r="BD61" s="613"/>
      <c r="BE61" s="613"/>
      <c r="BF61" s="613"/>
      <c r="BG61" s="613"/>
      <c r="BH61" s="613"/>
      <c r="BI61" s="613"/>
      <c r="BJ61" s="614">
        <v>14</v>
      </c>
      <c r="BK61" s="613">
        <f t="shared" si="16"/>
        <v>0</v>
      </c>
      <c r="BL61" s="613">
        <f>IF(BK61=0,0,1+MAX(BL$48:BL60))</f>
        <v>0</v>
      </c>
      <c r="BM61" s="613">
        <f t="shared" si="17"/>
        <v>0</v>
      </c>
      <c r="BN61" s="613"/>
      <c r="BO61" s="613"/>
      <c r="BP61" s="613"/>
      <c r="BQ61" s="613"/>
      <c r="BR61" s="613"/>
      <c r="BS61" s="613"/>
      <c r="BT61" s="614">
        <v>14</v>
      </c>
      <c r="BU61" s="613">
        <f t="shared" si="18"/>
        <v>0</v>
      </c>
      <c r="BV61" s="613">
        <f>IF(BU61=0,0,1+MAX(BV$48:BV60))</f>
        <v>0</v>
      </c>
      <c r="BW61" s="613">
        <f t="shared" si="19"/>
        <v>0</v>
      </c>
      <c r="BX61" s="613"/>
      <c r="BY61" s="613"/>
      <c r="BZ61" s="613"/>
      <c r="CA61" s="613"/>
      <c r="CB61" s="613"/>
      <c r="CC61" s="613"/>
      <c r="CD61" s="614">
        <v>14</v>
      </c>
      <c r="CE61" s="613">
        <f t="shared" si="20"/>
        <v>0</v>
      </c>
      <c r="CF61" s="613">
        <f>IF(CE61=0,0,1+MAX(CF$48:CF60))</f>
        <v>0</v>
      </c>
      <c r="CG61" s="613">
        <f t="shared" si="21"/>
        <v>0</v>
      </c>
      <c r="CH61" s="613"/>
      <c r="CI61" s="613"/>
      <c r="CJ61" s="613"/>
      <c r="CK61" s="613"/>
      <c r="CL61" s="613"/>
      <c r="CM61" s="613"/>
      <c r="CN61" s="614">
        <v>14</v>
      </c>
      <c r="CO61" s="613">
        <f t="shared" si="22"/>
        <v>0</v>
      </c>
      <c r="CP61" s="613">
        <f>IF(CO61=0,0,1+MAX(CP$48:CP60))</f>
        <v>0</v>
      </c>
      <c r="CQ61" s="613">
        <f t="shared" si="23"/>
        <v>0</v>
      </c>
      <c r="CR61" s="613"/>
      <c r="CS61" s="613"/>
      <c r="CT61" s="613"/>
      <c r="CU61" s="613"/>
      <c r="CV61" s="613"/>
      <c r="CW61" s="613"/>
      <c r="CX61" s="613"/>
      <c r="CY61" s="613"/>
      <c r="CZ61" s="564"/>
      <c r="DA61" s="610">
        <v>55</v>
      </c>
      <c r="DB61" s="1061" t="str">
        <f t="shared" si="2"/>
        <v/>
      </c>
      <c r="DC61" s="1061"/>
      <c r="DD61" s="1061"/>
      <c r="DE61" s="1061"/>
      <c r="DF61" s="1061"/>
      <c r="DG61" s="1096" t="str">
        <f t="shared" si="3"/>
        <v/>
      </c>
      <c r="DH61" s="1096"/>
      <c r="DI61" s="565"/>
      <c r="DJ61" s="565"/>
      <c r="DK61" s="565"/>
      <c r="DL61" s="565"/>
      <c r="DM61" s="565"/>
      <c r="DN61" s="565"/>
      <c r="DO61" s="565"/>
      <c r="DP61" s="565"/>
      <c r="DQ61" s="565"/>
      <c r="DR61" s="565"/>
      <c r="DS61" s="565"/>
      <c r="DT61" s="565"/>
      <c r="DU61" s="565"/>
      <c r="DV61" s="565"/>
    </row>
    <row r="62" spans="1:126" x14ac:dyDescent="0.25">
      <c r="A62" s="613"/>
      <c r="B62" s="614">
        <v>15</v>
      </c>
      <c r="C62" s="613">
        <f t="shared" si="4"/>
        <v>0</v>
      </c>
      <c r="D62" s="613">
        <f>IF(C62=0,0,1+MAX(D$48:D61))</f>
        <v>0</v>
      </c>
      <c r="E62" s="613">
        <f t="shared" si="5"/>
        <v>0</v>
      </c>
      <c r="F62" s="613"/>
      <c r="G62" s="613"/>
      <c r="H62" s="613"/>
      <c r="I62" s="613"/>
      <c r="J62" s="613"/>
      <c r="K62" s="613"/>
      <c r="L62" s="614">
        <v>15</v>
      </c>
      <c r="M62" s="613">
        <f t="shared" si="6"/>
        <v>0</v>
      </c>
      <c r="N62" s="613">
        <f>IF(M62=0,0,1+MAX(N$48:N61))</f>
        <v>0</v>
      </c>
      <c r="O62" s="613">
        <f t="shared" si="7"/>
        <v>0</v>
      </c>
      <c r="P62" s="613"/>
      <c r="Q62" s="613"/>
      <c r="R62" s="613"/>
      <c r="S62" s="613"/>
      <c r="T62" s="613"/>
      <c r="U62" s="613"/>
      <c r="V62" s="614">
        <v>15</v>
      </c>
      <c r="W62" s="613">
        <f t="shared" si="8"/>
        <v>0</v>
      </c>
      <c r="X62" s="613">
        <f>IF(W62=0,0,1+MAX(X$48:X61))</f>
        <v>0</v>
      </c>
      <c r="Y62" s="613">
        <f t="shared" si="9"/>
        <v>0</v>
      </c>
      <c r="Z62" s="613"/>
      <c r="AA62" s="613"/>
      <c r="AB62" s="613"/>
      <c r="AC62" s="613"/>
      <c r="AD62" s="613"/>
      <c r="AE62" s="613"/>
      <c r="AF62" s="614">
        <v>15</v>
      </c>
      <c r="AG62" s="613">
        <f t="shared" si="10"/>
        <v>0</v>
      </c>
      <c r="AH62" s="613">
        <f>IF(AG62=0,0,1+MAX(AH$48:AH61))</f>
        <v>0</v>
      </c>
      <c r="AI62" s="613">
        <f t="shared" si="11"/>
        <v>0</v>
      </c>
      <c r="AJ62" s="613"/>
      <c r="AK62" s="613"/>
      <c r="AL62" s="613"/>
      <c r="AM62" s="613"/>
      <c r="AN62" s="613"/>
      <c r="AO62" s="613"/>
      <c r="AP62" s="614">
        <v>15</v>
      </c>
      <c r="AQ62" s="613">
        <f t="shared" si="12"/>
        <v>0</v>
      </c>
      <c r="AR62" s="613">
        <f>IF(AQ62=0,0,1+MAX(AR$48:AR61))</f>
        <v>0</v>
      </c>
      <c r="AS62" s="613">
        <f t="shared" si="13"/>
        <v>0</v>
      </c>
      <c r="AT62" s="613"/>
      <c r="AU62" s="613"/>
      <c r="AV62" s="613"/>
      <c r="AW62" s="613"/>
      <c r="AX62" s="613"/>
      <c r="AY62" s="613"/>
      <c r="AZ62" s="614">
        <v>15</v>
      </c>
      <c r="BA62" s="613">
        <f t="shared" si="14"/>
        <v>0</v>
      </c>
      <c r="BB62" s="613">
        <f>IF(BA62=0,0,1+MAX(BB$48:BB61))</f>
        <v>0</v>
      </c>
      <c r="BC62" s="613">
        <f t="shared" si="15"/>
        <v>0</v>
      </c>
      <c r="BD62" s="613"/>
      <c r="BE62" s="613"/>
      <c r="BF62" s="613"/>
      <c r="BG62" s="613"/>
      <c r="BH62" s="613"/>
      <c r="BI62" s="613"/>
      <c r="BJ62" s="614">
        <v>15</v>
      </c>
      <c r="BK62" s="613">
        <f t="shared" si="16"/>
        <v>0</v>
      </c>
      <c r="BL62" s="613">
        <f>IF(BK62=0,0,1+MAX(BL$48:BL61))</f>
        <v>0</v>
      </c>
      <c r="BM62" s="613">
        <f t="shared" si="17"/>
        <v>0</v>
      </c>
      <c r="BN62" s="613"/>
      <c r="BO62" s="613"/>
      <c r="BP62" s="613"/>
      <c r="BQ62" s="613"/>
      <c r="BR62" s="613"/>
      <c r="BS62" s="613"/>
      <c r="BT62" s="614">
        <v>15</v>
      </c>
      <c r="BU62" s="613">
        <f t="shared" si="18"/>
        <v>0</v>
      </c>
      <c r="BV62" s="613">
        <f>IF(BU62=0,0,1+MAX(BV$48:BV61))</f>
        <v>0</v>
      </c>
      <c r="BW62" s="613">
        <f t="shared" si="19"/>
        <v>0</v>
      </c>
      <c r="BX62" s="613"/>
      <c r="BY62" s="613"/>
      <c r="BZ62" s="613"/>
      <c r="CA62" s="613"/>
      <c r="CB62" s="613"/>
      <c r="CC62" s="613"/>
      <c r="CD62" s="614">
        <v>15</v>
      </c>
      <c r="CE62" s="613">
        <f t="shared" si="20"/>
        <v>0</v>
      </c>
      <c r="CF62" s="613">
        <f>IF(CE62=0,0,1+MAX(CF$48:CF61))</f>
        <v>0</v>
      </c>
      <c r="CG62" s="613">
        <f t="shared" si="21"/>
        <v>0</v>
      </c>
      <c r="CH62" s="613"/>
      <c r="CI62" s="613"/>
      <c r="CJ62" s="613"/>
      <c r="CK62" s="613"/>
      <c r="CL62" s="613"/>
      <c r="CM62" s="613"/>
      <c r="CN62" s="614">
        <v>15</v>
      </c>
      <c r="CO62" s="613">
        <f t="shared" si="22"/>
        <v>0</v>
      </c>
      <c r="CP62" s="613">
        <f>IF(CO62=0,0,1+MAX(CP$48:CP61))</f>
        <v>0</v>
      </c>
      <c r="CQ62" s="613">
        <f t="shared" si="23"/>
        <v>0</v>
      </c>
      <c r="CR62" s="613"/>
      <c r="CS62" s="613"/>
      <c r="CT62" s="613"/>
      <c r="CU62" s="613"/>
      <c r="CV62" s="613"/>
      <c r="CW62" s="613"/>
      <c r="CX62" s="613"/>
      <c r="CY62" s="613"/>
      <c r="CZ62" s="564"/>
      <c r="DA62" s="610">
        <v>56</v>
      </c>
      <c r="DB62" s="1061" t="str">
        <f t="shared" si="2"/>
        <v/>
      </c>
      <c r="DC62" s="1061"/>
      <c r="DD62" s="1061"/>
      <c r="DE62" s="1061"/>
      <c r="DF62" s="1061"/>
      <c r="DG62" s="1096" t="str">
        <f t="shared" si="3"/>
        <v/>
      </c>
      <c r="DH62" s="1096"/>
      <c r="DI62" s="565"/>
      <c r="DJ62" s="565"/>
      <c r="DK62" s="565"/>
      <c r="DL62" s="565"/>
      <c r="DM62" s="565"/>
      <c r="DN62" s="565"/>
      <c r="DO62" s="565"/>
      <c r="DP62" s="565"/>
      <c r="DQ62" s="565"/>
      <c r="DR62" s="565"/>
      <c r="DS62" s="565"/>
      <c r="DT62" s="565"/>
      <c r="DU62" s="565"/>
      <c r="DV62" s="565"/>
    </row>
    <row r="63" spans="1:126" x14ac:dyDescent="0.25">
      <c r="A63" s="613"/>
      <c r="B63" s="614">
        <v>16</v>
      </c>
      <c r="C63" s="613">
        <f t="shared" si="4"/>
        <v>0</v>
      </c>
      <c r="D63" s="613">
        <f>IF(C63=0,0,1+MAX(D$48:D62))</f>
        <v>0</v>
      </c>
      <c r="E63" s="613">
        <f t="shared" si="5"/>
        <v>0</v>
      </c>
      <c r="F63" s="613"/>
      <c r="G63" s="613"/>
      <c r="H63" s="613"/>
      <c r="I63" s="613"/>
      <c r="J63" s="613"/>
      <c r="K63" s="613"/>
      <c r="L63" s="614">
        <v>16</v>
      </c>
      <c r="M63" s="613">
        <f t="shared" si="6"/>
        <v>0</v>
      </c>
      <c r="N63" s="613">
        <f>IF(M63=0,0,1+MAX(N$48:N62))</f>
        <v>0</v>
      </c>
      <c r="O63" s="613">
        <f t="shared" si="7"/>
        <v>0</v>
      </c>
      <c r="P63" s="613"/>
      <c r="Q63" s="613"/>
      <c r="R63" s="613"/>
      <c r="S63" s="613"/>
      <c r="T63" s="613"/>
      <c r="U63" s="613"/>
      <c r="V63" s="614">
        <v>16</v>
      </c>
      <c r="W63" s="613">
        <f t="shared" si="8"/>
        <v>0</v>
      </c>
      <c r="X63" s="613">
        <f>IF(W63=0,0,1+MAX(X$48:X62))</f>
        <v>0</v>
      </c>
      <c r="Y63" s="613">
        <f t="shared" si="9"/>
        <v>0</v>
      </c>
      <c r="Z63" s="613"/>
      <c r="AA63" s="613"/>
      <c r="AB63" s="613"/>
      <c r="AC63" s="613"/>
      <c r="AD63" s="613"/>
      <c r="AE63" s="613"/>
      <c r="AF63" s="614">
        <v>16</v>
      </c>
      <c r="AG63" s="613">
        <f t="shared" si="10"/>
        <v>0</v>
      </c>
      <c r="AH63" s="613">
        <f>IF(AG63=0,0,1+MAX(AH$48:AH62))</f>
        <v>0</v>
      </c>
      <c r="AI63" s="613">
        <f t="shared" si="11"/>
        <v>0</v>
      </c>
      <c r="AJ63" s="613"/>
      <c r="AK63" s="613"/>
      <c r="AL63" s="613"/>
      <c r="AM63" s="613"/>
      <c r="AN63" s="613"/>
      <c r="AO63" s="613"/>
      <c r="AP63" s="614">
        <v>16</v>
      </c>
      <c r="AQ63" s="613">
        <f t="shared" si="12"/>
        <v>0</v>
      </c>
      <c r="AR63" s="613">
        <f>IF(AQ63=0,0,1+MAX(AR$48:AR62))</f>
        <v>0</v>
      </c>
      <c r="AS63" s="613">
        <f t="shared" si="13"/>
        <v>0</v>
      </c>
      <c r="AT63" s="613"/>
      <c r="AU63" s="613"/>
      <c r="AV63" s="613"/>
      <c r="AW63" s="613"/>
      <c r="AX63" s="613"/>
      <c r="AY63" s="613"/>
      <c r="AZ63" s="614">
        <v>16</v>
      </c>
      <c r="BA63" s="613">
        <f t="shared" si="14"/>
        <v>0</v>
      </c>
      <c r="BB63" s="613">
        <f>IF(BA63=0,0,1+MAX(BB$48:BB62))</f>
        <v>0</v>
      </c>
      <c r="BC63" s="613">
        <f t="shared" si="15"/>
        <v>0</v>
      </c>
      <c r="BD63" s="613"/>
      <c r="BE63" s="613"/>
      <c r="BF63" s="613"/>
      <c r="BG63" s="613"/>
      <c r="BH63" s="613"/>
      <c r="BI63" s="613"/>
      <c r="BJ63" s="614">
        <v>16</v>
      </c>
      <c r="BK63" s="613">
        <f t="shared" si="16"/>
        <v>0</v>
      </c>
      <c r="BL63" s="613">
        <f>IF(BK63=0,0,1+MAX(BL$48:BL62))</f>
        <v>0</v>
      </c>
      <c r="BM63" s="613">
        <f t="shared" si="17"/>
        <v>0</v>
      </c>
      <c r="BN63" s="613"/>
      <c r="BO63" s="613"/>
      <c r="BP63" s="613"/>
      <c r="BQ63" s="613"/>
      <c r="BR63" s="613"/>
      <c r="BS63" s="613"/>
      <c r="BT63" s="614">
        <v>16</v>
      </c>
      <c r="BU63" s="613">
        <f t="shared" si="18"/>
        <v>0</v>
      </c>
      <c r="BV63" s="613">
        <f>IF(BU63=0,0,1+MAX(BV$48:BV62))</f>
        <v>0</v>
      </c>
      <c r="BW63" s="613">
        <f t="shared" si="19"/>
        <v>0</v>
      </c>
      <c r="BX63" s="613"/>
      <c r="BY63" s="613"/>
      <c r="BZ63" s="613"/>
      <c r="CA63" s="613"/>
      <c r="CB63" s="613"/>
      <c r="CC63" s="613"/>
      <c r="CD63" s="614">
        <v>16</v>
      </c>
      <c r="CE63" s="613">
        <f t="shared" si="20"/>
        <v>0</v>
      </c>
      <c r="CF63" s="613">
        <f>IF(CE63=0,0,1+MAX(CF$48:CF62))</f>
        <v>0</v>
      </c>
      <c r="CG63" s="613">
        <f t="shared" si="21"/>
        <v>0</v>
      </c>
      <c r="CH63" s="613"/>
      <c r="CI63" s="613"/>
      <c r="CJ63" s="613"/>
      <c r="CK63" s="613"/>
      <c r="CL63" s="613"/>
      <c r="CM63" s="613"/>
      <c r="CN63" s="614">
        <v>16</v>
      </c>
      <c r="CO63" s="613">
        <f t="shared" si="22"/>
        <v>0</v>
      </c>
      <c r="CP63" s="613">
        <f>IF(CO63=0,0,1+MAX(CP$48:CP62))</f>
        <v>0</v>
      </c>
      <c r="CQ63" s="613">
        <f t="shared" si="23"/>
        <v>0</v>
      </c>
      <c r="CR63" s="613"/>
      <c r="CS63" s="613"/>
      <c r="CT63" s="613"/>
      <c r="CU63" s="613"/>
      <c r="CV63" s="613"/>
      <c r="CW63" s="613"/>
      <c r="CX63" s="613"/>
      <c r="CY63" s="613"/>
      <c r="CZ63" s="564"/>
      <c r="DA63" s="610">
        <v>57</v>
      </c>
      <c r="DB63" s="1061" t="str">
        <f t="shared" si="2"/>
        <v/>
      </c>
      <c r="DC63" s="1061"/>
      <c r="DD63" s="1061"/>
      <c r="DE63" s="1061"/>
      <c r="DF63" s="1061"/>
      <c r="DG63" s="1096" t="str">
        <f t="shared" si="3"/>
        <v/>
      </c>
      <c r="DH63" s="1096"/>
      <c r="DI63" s="565"/>
      <c r="DJ63" s="565"/>
      <c r="DK63" s="565"/>
      <c r="DL63" s="565"/>
      <c r="DM63" s="565"/>
      <c r="DN63" s="565"/>
      <c r="DO63" s="565"/>
      <c r="DP63" s="565"/>
      <c r="DQ63" s="565"/>
      <c r="DR63" s="565"/>
      <c r="DS63" s="565"/>
      <c r="DT63" s="565"/>
      <c r="DU63" s="565"/>
      <c r="DV63" s="565"/>
    </row>
    <row r="64" spans="1:126" x14ac:dyDescent="0.25">
      <c r="A64" s="613"/>
      <c r="B64" s="614">
        <v>17</v>
      </c>
      <c r="C64" s="613">
        <f t="shared" si="4"/>
        <v>0</v>
      </c>
      <c r="D64" s="613">
        <f>IF(C64=0,0,1+MAX(D$48:D63))</f>
        <v>0</v>
      </c>
      <c r="E64" s="613">
        <f t="shared" si="5"/>
        <v>0</v>
      </c>
      <c r="F64" s="613"/>
      <c r="G64" s="613"/>
      <c r="H64" s="613"/>
      <c r="I64" s="613"/>
      <c r="J64" s="613"/>
      <c r="K64" s="613"/>
      <c r="L64" s="614">
        <v>17</v>
      </c>
      <c r="M64" s="613">
        <f t="shared" si="6"/>
        <v>0</v>
      </c>
      <c r="N64" s="613">
        <f>IF(M64=0,0,1+MAX(N$48:N63))</f>
        <v>0</v>
      </c>
      <c r="O64" s="613">
        <f t="shared" si="7"/>
        <v>0</v>
      </c>
      <c r="P64" s="613"/>
      <c r="Q64" s="613"/>
      <c r="R64" s="613"/>
      <c r="S64" s="613"/>
      <c r="T64" s="613"/>
      <c r="U64" s="613"/>
      <c r="V64" s="614">
        <v>17</v>
      </c>
      <c r="W64" s="613">
        <f t="shared" si="8"/>
        <v>0</v>
      </c>
      <c r="X64" s="613">
        <f>IF(W64=0,0,1+MAX(X$48:X63))</f>
        <v>0</v>
      </c>
      <c r="Y64" s="613">
        <f t="shared" si="9"/>
        <v>0</v>
      </c>
      <c r="Z64" s="613"/>
      <c r="AA64" s="613"/>
      <c r="AB64" s="613"/>
      <c r="AC64" s="613"/>
      <c r="AD64" s="613"/>
      <c r="AE64" s="613"/>
      <c r="AF64" s="614">
        <v>17</v>
      </c>
      <c r="AG64" s="613">
        <f t="shared" si="10"/>
        <v>0</v>
      </c>
      <c r="AH64" s="613">
        <f>IF(AG64=0,0,1+MAX(AH$48:AH63))</f>
        <v>0</v>
      </c>
      <c r="AI64" s="613">
        <f t="shared" si="11"/>
        <v>0</v>
      </c>
      <c r="AJ64" s="613"/>
      <c r="AK64" s="613"/>
      <c r="AL64" s="613"/>
      <c r="AM64" s="613"/>
      <c r="AN64" s="613"/>
      <c r="AO64" s="613"/>
      <c r="AP64" s="614">
        <v>17</v>
      </c>
      <c r="AQ64" s="613">
        <f t="shared" si="12"/>
        <v>0</v>
      </c>
      <c r="AR64" s="613">
        <f>IF(AQ64=0,0,1+MAX(AR$48:AR63))</f>
        <v>0</v>
      </c>
      <c r="AS64" s="613">
        <f t="shared" si="13"/>
        <v>0</v>
      </c>
      <c r="AT64" s="613"/>
      <c r="AU64" s="613"/>
      <c r="AV64" s="613"/>
      <c r="AW64" s="613"/>
      <c r="AX64" s="613"/>
      <c r="AY64" s="613"/>
      <c r="AZ64" s="614">
        <v>17</v>
      </c>
      <c r="BA64" s="613">
        <f t="shared" si="14"/>
        <v>0</v>
      </c>
      <c r="BB64" s="613">
        <f>IF(BA64=0,0,1+MAX(BB$48:BB63))</f>
        <v>0</v>
      </c>
      <c r="BC64" s="613">
        <f t="shared" si="15"/>
        <v>0</v>
      </c>
      <c r="BD64" s="613"/>
      <c r="BE64" s="613"/>
      <c r="BF64" s="613"/>
      <c r="BG64" s="613"/>
      <c r="BH64" s="613"/>
      <c r="BI64" s="613"/>
      <c r="BJ64" s="614">
        <v>17</v>
      </c>
      <c r="BK64" s="613">
        <f t="shared" si="16"/>
        <v>0</v>
      </c>
      <c r="BL64" s="613">
        <f>IF(BK64=0,0,1+MAX(BL$48:BL63))</f>
        <v>0</v>
      </c>
      <c r="BM64" s="613">
        <f t="shared" si="17"/>
        <v>0</v>
      </c>
      <c r="BN64" s="613"/>
      <c r="BO64" s="613"/>
      <c r="BP64" s="613"/>
      <c r="BQ64" s="613"/>
      <c r="BR64" s="613"/>
      <c r="BS64" s="613"/>
      <c r="BT64" s="614">
        <v>17</v>
      </c>
      <c r="BU64" s="613">
        <f t="shared" si="18"/>
        <v>0</v>
      </c>
      <c r="BV64" s="613">
        <f>IF(BU64=0,0,1+MAX(BV$48:BV63))</f>
        <v>0</v>
      </c>
      <c r="BW64" s="613">
        <f t="shared" si="19"/>
        <v>0</v>
      </c>
      <c r="BX64" s="613"/>
      <c r="BY64" s="613"/>
      <c r="BZ64" s="613"/>
      <c r="CA64" s="613"/>
      <c r="CB64" s="613"/>
      <c r="CC64" s="613"/>
      <c r="CD64" s="614">
        <v>17</v>
      </c>
      <c r="CE64" s="613">
        <f t="shared" si="20"/>
        <v>0</v>
      </c>
      <c r="CF64" s="613">
        <f>IF(CE64=0,0,1+MAX(CF$48:CF63))</f>
        <v>0</v>
      </c>
      <c r="CG64" s="613">
        <f t="shared" si="21"/>
        <v>0</v>
      </c>
      <c r="CH64" s="613"/>
      <c r="CI64" s="613"/>
      <c r="CJ64" s="613"/>
      <c r="CK64" s="613"/>
      <c r="CL64" s="613"/>
      <c r="CM64" s="613"/>
      <c r="CN64" s="614">
        <v>17</v>
      </c>
      <c r="CO64" s="613">
        <f t="shared" si="22"/>
        <v>0</v>
      </c>
      <c r="CP64" s="613">
        <f>IF(CO64=0,0,1+MAX(CP$48:CP63))</f>
        <v>0</v>
      </c>
      <c r="CQ64" s="613">
        <f t="shared" si="23"/>
        <v>0</v>
      </c>
      <c r="CR64" s="613"/>
      <c r="CS64" s="613"/>
      <c r="CT64" s="613"/>
      <c r="CU64" s="613"/>
      <c r="CV64" s="613"/>
      <c r="CW64" s="613"/>
      <c r="CX64" s="613"/>
      <c r="CY64" s="613"/>
      <c r="CZ64" s="564"/>
      <c r="DA64" s="610">
        <v>58</v>
      </c>
      <c r="DB64" s="1061" t="str">
        <f t="shared" si="2"/>
        <v/>
      </c>
      <c r="DC64" s="1061"/>
      <c r="DD64" s="1061"/>
      <c r="DE64" s="1061"/>
      <c r="DF64" s="1061"/>
      <c r="DG64" s="1096" t="str">
        <f t="shared" si="3"/>
        <v/>
      </c>
      <c r="DH64" s="1096"/>
      <c r="DI64" s="565"/>
      <c r="DJ64" s="565"/>
      <c r="DK64" s="565"/>
      <c r="DL64" s="565"/>
      <c r="DM64" s="565"/>
      <c r="DN64" s="565"/>
      <c r="DO64" s="565"/>
      <c r="DP64" s="565"/>
      <c r="DQ64" s="565"/>
      <c r="DR64" s="565"/>
      <c r="DS64" s="565"/>
      <c r="DT64" s="565"/>
      <c r="DU64" s="565"/>
      <c r="DV64" s="565"/>
    </row>
    <row r="65" spans="1:126" x14ac:dyDescent="0.25">
      <c r="A65" s="613"/>
      <c r="B65" s="614">
        <v>18</v>
      </c>
      <c r="C65" s="613">
        <f t="shared" si="4"/>
        <v>0</v>
      </c>
      <c r="D65" s="613">
        <f>IF(C65=0,0,1+MAX(D$48:D64))</f>
        <v>0</v>
      </c>
      <c r="E65" s="613">
        <f t="shared" si="5"/>
        <v>0</v>
      </c>
      <c r="F65" s="613"/>
      <c r="G65" s="613"/>
      <c r="H65" s="613"/>
      <c r="I65" s="613"/>
      <c r="J65" s="613"/>
      <c r="K65" s="613"/>
      <c r="L65" s="614">
        <v>18</v>
      </c>
      <c r="M65" s="613">
        <f t="shared" si="6"/>
        <v>0</v>
      </c>
      <c r="N65" s="613">
        <f>IF(M65=0,0,1+MAX(N$48:N64))</f>
        <v>0</v>
      </c>
      <c r="O65" s="613">
        <f t="shared" si="7"/>
        <v>0</v>
      </c>
      <c r="P65" s="613"/>
      <c r="Q65" s="613"/>
      <c r="R65" s="613"/>
      <c r="S65" s="613"/>
      <c r="T65" s="613"/>
      <c r="U65" s="613"/>
      <c r="V65" s="614">
        <v>18</v>
      </c>
      <c r="W65" s="613">
        <f t="shared" si="8"/>
        <v>0</v>
      </c>
      <c r="X65" s="613">
        <f>IF(W65=0,0,1+MAX(X$48:X64))</f>
        <v>0</v>
      </c>
      <c r="Y65" s="613">
        <f t="shared" si="9"/>
        <v>0</v>
      </c>
      <c r="Z65" s="613"/>
      <c r="AA65" s="613"/>
      <c r="AB65" s="613"/>
      <c r="AC65" s="613"/>
      <c r="AD65" s="613"/>
      <c r="AE65" s="613"/>
      <c r="AF65" s="614">
        <v>18</v>
      </c>
      <c r="AG65" s="613">
        <f t="shared" si="10"/>
        <v>0</v>
      </c>
      <c r="AH65" s="613">
        <f>IF(AG65=0,0,1+MAX(AH$48:AH64))</f>
        <v>0</v>
      </c>
      <c r="AI65" s="613">
        <f t="shared" si="11"/>
        <v>0</v>
      </c>
      <c r="AJ65" s="613"/>
      <c r="AK65" s="613"/>
      <c r="AL65" s="613"/>
      <c r="AM65" s="613"/>
      <c r="AN65" s="613"/>
      <c r="AO65" s="613"/>
      <c r="AP65" s="614">
        <v>18</v>
      </c>
      <c r="AQ65" s="613">
        <f t="shared" si="12"/>
        <v>0</v>
      </c>
      <c r="AR65" s="613">
        <f>IF(AQ65=0,0,1+MAX(AR$48:AR64))</f>
        <v>0</v>
      </c>
      <c r="AS65" s="613">
        <f t="shared" si="13"/>
        <v>0</v>
      </c>
      <c r="AT65" s="613"/>
      <c r="AU65" s="613"/>
      <c r="AV65" s="613"/>
      <c r="AW65" s="613"/>
      <c r="AX65" s="613"/>
      <c r="AY65" s="613"/>
      <c r="AZ65" s="614">
        <v>18</v>
      </c>
      <c r="BA65" s="613">
        <f t="shared" si="14"/>
        <v>0</v>
      </c>
      <c r="BB65" s="613">
        <f>IF(BA65=0,0,1+MAX(BB$48:BB64))</f>
        <v>0</v>
      </c>
      <c r="BC65" s="613">
        <f t="shared" si="15"/>
        <v>0</v>
      </c>
      <c r="BD65" s="613"/>
      <c r="BE65" s="613"/>
      <c r="BF65" s="613"/>
      <c r="BG65" s="613"/>
      <c r="BH65" s="613"/>
      <c r="BI65" s="613"/>
      <c r="BJ65" s="614">
        <v>18</v>
      </c>
      <c r="BK65" s="613">
        <f t="shared" si="16"/>
        <v>0</v>
      </c>
      <c r="BL65" s="613">
        <f>IF(BK65=0,0,1+MAX(BL$48:BL64))</f>
        <v>0</v>
      </c>
      <c r="BM65" s="613">
        <f t="shared" si="17"/>
        <v>0</v>
      </c>
      <c r="BN65" s="613"/>
      <c r="BO65" s="613"/>
      <c r="BP65" s="613"/>
      <c r="BQ65" s="613"/>
      <c r="BR65" s="613"/>
      <c r="BS65" s="613"/>
      <c r="BT65" s="614">
        <v>18</v>
      </c>
      <c r="BU65" s="613">
        <f t="shared" si="18"/>
        <v>0</v>
      </c>
      <c r="BV65" s="613">
        <f>IF(BU65=0,0,1+MAX(BV$48:BV64))</f>
        <v>0</v>
      </c>
      <c r="BW65" s="613">
        <f t="shared" si="19"/>
        <v>0</v>
      </c>
      <c r="BX65" s="613"/>
      <c r="BY65" s="613"/>
      <c r="BZ65" s="613"/>
      <c r="CA65" s="613"/>
      <c r="CB65" s="613"/>
      <c r="CC65" s="613"/>
      <c r="CD65" s="614">
        <v>18</v>
      </c>
      <c r="CE65" s="613">
        <f t="shared" si="20"/>
        <v>0</v>
      </c>
      <c r="CF65" s="613">
        <f>IF(CE65=0,0,1+MAX(CF$48:CF64))</f>
        <v>0</v>
      </c>
      <c r="CG65" s="613">
        <f t="shared" si="21"/>
        <v>0</v>
      </c>
      <c r="CH65" s="613"/>
      <c r="CI65" s="613"/>
      <c r="CJ65" s="613"/>
      <c r="CK65" s="613"/>
      <c r="CL65" s="613"/>
      <c r="CM65" s="613"/>
      <c r="CN65" s="614">
        <v>18</v>
      </c>
      <c r="CO65" s="613">
        <f t="shared" si="22"/>
        <v>0</v>
      </c>
      <c r="CP65" s="613">
        <f>IF(CO65=0,0,1+MAX(CP$48:CP64))</f>
        <v>0</v>
      </c>
      <c r="CQ65" s="613">
        <f t="shared" si="23"/>
        <v>0</v>
      </c>
      <c r="CR65" s="613"/>
      <c r="CS65" s="613"/>
      <c r="CT65" s="613"/>
      <c r="CU65" s="613"/>
      <c r="CV65" s="613"/>
      <c r="CW65" s="613"/>
      <c r="CX65" s="613"/>
      <c r="CY65" s="613"/>
      <c r="CZ65" s="564"/>
      <c r="DA65" s="610">
        <v>59</v>
      </c>
      <c r="DB65" s="1061" t="str">
        <f t="shared" si="2"/>
        <v/>
      </c>
      <c r="DC65" s="1061"/>
      <c r="DD65" s="1061"/>
      <c r="DE65" s="1061"/>
      <c r="DF65" s="1061"/>
      <c r="DG65" s="1096" t="str">
        <f t="shared" si="3"/>
        <v/>
      </c>
      <c r="DH65" s="1096"/>
      <c r="DI65" s="565"/>
      <c r="DJ65" s="565"/>
      <c r="DK65" s="565"/>
      <c r="DL65" s="565"/>
      <c r="DM65" s="565"/>
      <c r="DN65" s="565"/>
      <c r="DO65" s="565"/>
      <c r="DP65" s="565"/>
      <c r="DQ65" s="565"/>
      <c r="DR65" s="565"/>
      <c r="DS65" s="565"/>
      <c r="DT65" s="565"/>
      <c r="DU65" s="565"/>
      <c r="DV65" s="565"/>
    </row>
    <row r="66" spans="1:126" x14ac:dyDescent="0.25">
      <c r="A66" s="613"/>
      <c r="B66" s="614">
        <v>19</v>
      </c>
      <c r="C66" s="613">
        <f t="shared" si="4"/>
        <v>0</v>
      </c>
      <c r="D66" s="613">
        <f>IF(C66=0,0,1+MAX(D$48:D65))</f>
        <v>0</v>
      </c>
      <c r="E66" s="613">
        <f t="shared" si="5"/>
        <v>0</v>
      </c>
      <c r="F66" s="613"/>
      <c r="G66" s="613"/>
      <c r="H66" s="613"/>
      <c r="I66" s="613"/>
      <c r="J66" s="613"/>
      <c r="K66" s="613"/>
      <c r="L66" s="614">
        <v>19</v>
      </c>
      <c r="M66" s="613">
        <f t="shared" si="6"/>
        <v>0</v>
      </c>
      <c r="N66" s="613">
        <f>IF(M66=0,0,1+MAX(N$48:N65))</f>
        <v>0</v>
      </c>
      <c r="O66" s="613">
        <f t="shared" si="7"/>
        <v>0</v>
      </c>
      <c r="P66" s="613"/>
      <c r="Q66" s="613"/>
      <c r="R66" s="613"/>
      <c r="S66" s="613"/>
      <c r="T66" s="613"/>
      <c r="U66" s="613"/>
      <c r="V66" s="614">
        <v>19</v>
      </c>
      <c r="W66" s="613">
        <f t="shared" si="8"/>
        <v>0</v>
      </c>
      <c r="X66" s="613">
        <f>IF(W66=0,0,1+MAX(X$48:X65))</f>
        <v>0</v>
      </c>
      <c r="Y66" s="613">
        <f t="shared" si="9"/>
        <v>0</v>
      </c>
      <c r="Z66" s="613"/>
      <c r="AA66" s="613"/>
      <c r="AB66" s="613"/>
      <c r="AC66" s="613"/>
      <c r="AD66" s="613"/>
      <c r="AE66" s="613"/>
      <c r="AF66" s="614">
        <v>19</v>
      </c>
      <c r="AG66" s="613">
        <f t="shared" si="10"/>
        <v>0</v>
      </c>
      <c r="AH66" s="613">
        <f>IF(AG66=0,0,1+MAX(AH$48:AH65))</f>
        <v>0</v>
      </c>
      <c r="AI66" s="613">
        <f t="shared" si="11"/>
        <v>0</v>
      </c>
      <c r="AJ66" s="613"/>
      <c r="AK66" s="613"/>
      <c r="AL66" s="613"/>
      <c r="AM66" s="613"/>
      <c r="AN66" s="613"/>
      <c r="AO66" s="613"/>
      <c r="AP66" s="614">
        <v>19</v>
      </c>
      <c r="AQ66" s="613">
        <f t="shared" si="12"/>
        <v>0</v>
      </c>
      <c r="AR66" s="613">
        <f>IF(AQ66=0,0,1+MAX(AR$48:AR65))</f>
        <v>0</v>
      </c>
      <c r="AS66" s="613">
        <f t="shared" si="13"/>
        <v>0</v>
      </c>
      <c r="AT66" s="613"/>
      <c r="AU66" s="613"/>
      <c r="AV66" s="613"/>
      <c r="AW66" s="613"/>
      <c r="AX66" s="613"/>
      <c r="AY66" s="613"/>
      <c r="AZ66" s="614">
        <v>19</v>
      </c>
      <c r="BA66" s="613">
        <f t="shared" si="14"/>
        <v>0</v>
      </c>
      <c r="BB66" s="613">
        <f>IF(BA66=0,0,1+MAX(BB$48:BB65))</f>
        <v>0</v>
      </c>
      <c r="BC66" s="613">
        <f t="shared" si="15"/>
        <v>0</v>
      </c>
      <c r="BD66" s="613"/>
      <c r="BE66" s="613"/>
      <c r="BF66" s="613"/>
      <c r="BG66" s="613"/>
      <c r="BH66" s="613"/>
      <c r="BI66" s="613"/>
      <c r="BJ66" s="614">
        <v>19</v>
      </c>
      <c r="BK66" s="613">
        <f t="shared" si="16"/>
        <v>0</v>
      </c>
      <c r="BL66" s="613">
        <f>IF(BK66=0,0,1+MAX(BL$48:BL65))</f>
        <v>0</v>
      </c>
      <c r="BM66" s="613">
        <f t="shared" si="17"/>
        <v>0</v>
      </c>
      <c r="BN66" s="613"/>
      <c r="BO66" s="613"/>
      <c r="BP66" s="613"/>
      <c r="BQ66" s="613"/>
      <c r="BR66" s="613"/>
      <c r="BS66" s="613"/>
      <c r="BT66" s="614">
        <v>19</v>
      </c>
      <c r="BU66" s="613">
        <f t="shared" si="18"/>
        <v>0</v>
      </c>
      <c r="BV66" s="613">
        <f>IF(BU66=0,0,1+MAX(BV$48:BV65))</f>
        <v>0</v>
      </c>
      <c r="BW66" s="613">
        <f t="shared" si="19"/>
        <v>0</v>
      </c>
      <c r="BX66" s="613"/>
      <c r="BY66" s="613"/>
      <c r="BZ66" s="613"/>
      <c r="CA66" s="613"/>
      <c r="CB66" s="613"/>
      <c r="CC66" s="613"/>
      <c r="CD66" s="614">
        <v>19</v>
      </c>
      <c r="CE66" s="613">
        <f t="shared" si="20"/>
        <v>0</v>
      </c>
      <c r="CF66" s="613">
        <f>IF(CE66=0,0,1+MAX(CF$48:CF65))</f>
        <v>0</v>
      </c>
      <c r="CG66" s="613">
        <f t="shared" si="21"/>
        <v>0</v>
      </c>
      <c r="CH66" s="613"/>
      <c r="CI66" s="613"/>
      <c r="CJ66" s="613"/>
      <c r="CK66" s="613"/>
      <c r="CL66" s="613"/>
      <c r="CM66" s="613"/>
      <c r="CN66" s="614">
        <v>19</v>
      </c>
      <c r="CO66" s="613">
        <f t="shared" si="22"/>
        <v>0</v>
      </c>
      <c r="CP66" s="613">
        <f>IF(CO66=0,0,1+MAX(CP$48:CP65))</f>
        <v>0</v>
      </c>
      <c r="CQ66" s="613">
        <f t="shared" si="23"/>
        <v>0</v>
      </c>
      <c r="CR66" s="613"/>
      <c r="CS66" s="613"/>
      <c r="CT66" s="613"/>
      <c r="CU66" s="613"/>
      <c r="CV66" s="613"/>
      <c r="CW66" s="613"/>
      <c r="CX66" s="613"/>
      <c r="CY66" s="613"/>
      <c r="CZ66" s="564"/>
      <c r="DA66" s="610">
        <v>60</v>
      </c>
      <c r="DB66" s="1061" t="str">
        <f t="shared" si="2"/>
        <v/>
      </c>
      <c r="DC66" s="1061"/>
      <c r="DD66" s="1061"/>
      <c r="DE66" s="1061"/>
      <c r="DF66" s="1061"/>
      <c r="DG66" s="1096" t="str">
        <f t="shared" si="3"/>
        <v/>
      </c>
      <c r="DH66" s="1096"/>
      <c r="DI66" s="565"/>
      <c r="DJ66" s="565"/>
      <c r="DK66" s="565"/>
      <c r="DL66" s="565"/>
      <c r="DM66" s="565"/>
      <c r="DN66" s="565"/>
      <c r="DO66" s="565"/>
      <c r="DP66" s="565"/>
      <c r="DQ66" s="565"/>
      <c r="DR66" s="565"/>
      <c r="DS66" s="565"/>
      <c r="DT66" s="565"/>
      <c r="DU66" s="565"/>
      <c r="DV66" s="565"/>
    </row>
    <row r="67" spans="1:126" x14ac:dyDescent="0.25">
      <c r="A67" s="613"/>
      <c r="B67" s="614">
        <v>20</v>
      </c>
      <c r="C67" s="613">
        <f t="shared" si="4"/>
        <v>0</v>
      </c>
      <c r="D67" s="613">
        <f>IF(C67=0,0,1+MAX(D$48:D66))</f>
        <v>0</v>
      </c>
      <c r="E67" s="613">
        <f t="shared" si="5"/>
        <v>0</v>
      </c>
      <c r="F67" s="613"/>
      <c r="G67" s="613"/>
      <c r="H67" s="613"/>
      <c r="I67" s="613"/>
      <c r="J67" s="613"/>
      <c r="K67" s="613"/>
      <c r="L67" s="614">
        <v>20</v>
      </c>
      <c r="M67" s="613">
        <f t="shared" si="6"/>
        <v>0</v>
      </c>
      <c r="N67" s="613">
        <f>IF(M67=0,0,1+MAX(N$48:N66))</f>
        <v>0</v>
      </c>
      <c r="O67" s="613">
        <f t="shared" si="7"/>
        <v>0</v>
      </c>
      <c r="P67" s="613"/>
      <c r="Q67" s="613"/>
      <c r="R67" s="613"/>
      <c r="S67" s="613"/>
      <c r="T67" s="613"/>
      <c r="U67" s="613"/>
      <c r="V67" s="614">
        <v>20</v>
      </c>
      <c r="W67" s="613">
        <f t="shared" si="8"/>
        <v>0</v>
      </c>
      <c r="X67" s="613">
        <f>IF(W67=0,0,1+MAX(X$48:X66))</f>
        <v>0</v>
      </c>
      <c r="Y67" s="613">
        <f t="shared" si="9"/>
        <v>0</v>
      </c>
      <c r="Z67" s="613"/>
      <c r="AA67" s="613"/>
      <c r="AB67" s="613"/>
      <c r="AC67" s="613"/>
      <c r="AD67" s="613"/>
      <c r="AE67" s="613"/>
      <c r="AF67" s="614">
        <v>20</v>
      </c>
      <c r="AG67" s="613">
        <f t="shared" si="10"/>
        <v>0</v>
      </c>
      <c r="AH67" s="613">
        <f>IF(AG67=0,0,1+MAX(AH$48:AH66))</f>
        <v>0</v>
      </c>
      <c r="AI67" s="613">
        <f t="shared" si="11"/>
        <v>0</v>
      </c>
      <c r="AJ67" s="613"/>
      <c r="AK67" s="613"/>
      <c r="AL67" s="613"/>
      <c r="AM67" s="613"/>
      <c r="AN67" s="613"/>
      <c r="AO67" s="613"/>
      <c r="AP67" s="614">
        <v>20</v>
      </c>
      <c r="AQ67" s="613">
        <f t="shared" si="12"/>
        <v>0</v>
      </c>
      <c r="AR67" s="613">
        <f>IF(AQ67=0,0,1+MAX(AR$48:AR66))</f>
        <v>0</v>
      </c>
      <c r="AS67" s="613">
        <f t="shared" si="13"/>
        <v>0</v>
      </c>
      <c r="AT67" s="613"/>
      <c r="AU67" s="613"/>
      <c r="AV67" s="613"/>
      <c r="AW67" s="613"/>
      <c r="AX67" s="613"/>
      <c r="AY67" s="613"/>
      <c r="AZ67" s="614">
        <v>20</v>
      </c>
      <c r="BA67" s="613">
        <f t="shared" si="14"/>
        <v>0</v>
      </c>
      <c r="BB67" s="613">
        <f>IF(BA67=0,0,1+MAX(BB$48:BB66))</f>
        <v>0</v>
      </c>
      <c r="BC67" s="613">
        <f t="shared" si="15"/>
        <v>0</v>
      </c>
      <c r="BD67" s="613"/>
      <c r="BE67" s="613"/>
      <c r="BF67" s="613"/>
      <c r="BG67" s="613"/>
      <c r="BH67" s="613"/>
      <c r="BI67" s="613"/>
      <c r="BJ67" s="614">
        <v>20</v>
      </c>
      <c r="BK67" s="613">
        <f t="shared" si="16"/>
        <v>0</v>
      </c>
      <c r="BL67" s="613">
        <f>IF(BK67=0,0,1+MAX(BL$48:BL66))</f>
        <v>0</v>
      </c>
      <c r="BM67" s="613">
        <f t="shared" si="17"/>
        <v>0</v>
      </c>
      <c r="BN67" s="613"/>
      <c r="BO67" s="613"/>
      <c r="BP67" s="613"/>
      <c r="BQ67" s="613"/>
      <c r="BR67" s="613"/>
      <c r="BS67" s="613"/>
      <c r="BT67" s="614">
        <v>20</v>
      </c>
      <c r="BU67" s="613">
        <f t="shared" si="18"/>
        <v>0</v>
      </c>
      <c r="BV67" s="613">
        <f>IF(BU67=0,0,1+MAX(BV$48:BV66))</f>
        <v>0</v>
      </c>
      <c r="BW67" s="613">
        <f t="shared" si="19"/>
        <v>0</v>
      </c>
      <c r="BX67" s="613"/>
      <c r="BY67" s="613"/>
      <c r="BZ67" s="613"/>
      <c r="CA67" s="613"/>
      <c r="CB67" s="613"/>
      <c r="CC67" s="613"/>
      <c r="CD67" s="614">
        <v>20</v>
      </c>
      <c r="CE67" s="613">
        <f t="shared" si="20"/>
        <v>0</v>
      </c>
      <c r="CF67" s="613">
        <f>IF(CE67=0,0,1+MAX(CF$48:CF66))</f>
        <v>0</v>
      </c>
      <c r="CG67" s="613">
        <f t="shared" si="21"/>
        <v>0</v>
      </c>
      <c r="CH67" s="613"/>
      <c r="CI67" s="613"/>
      <c r="CJ67" s="613"/>
      <c r="CK67" s="613"/>
      <c r="CL67" s="613"/>
      <c r="CM67" s="613"/>
      <c r="CN67" s="614">
        <v>20</v>
      </c>
      <c r="CO67" s="613">
        <f t="shared" si="22"/>
        <v>0</v>
      </c>
      <c r="CP67" s="613">
        <f>IF(CO67=0,0,1+MAX(CP$48:CP66))</f>
        <v>0</v>
      </c>
      <c r="CQ67" s="613">
        <f t="shared" si="23"/>
        <v>0</v>
      </c>
      <c r="CR67" s="613"/>
      <c r="CS67" s="613"/>
      <c r="CT67" s="613"/>
      <c r="CU67" s="613"/>
      <c r="CV67" s="613"/>
      <c r="CW67" s="613"/>
      <c r="CX67" s="613"/>
      <c r="CY67" s="613"/>
      <c r="CZ67" s="564"/>
      <c r="DA67" s="610">
        <v>61</v>
      </c>
      <c r="DB67" s="1061" t="str">
        <f t="shared" si="2"/>
        <v/>
      </c>
      <c r="DC67" s="1061"/>
      <c r="DD67" s="1061"/>
      <c r="DE67" s="1061"/>
      <c r="DF67" s="1061"/>
      <c r="DG67" s="1096" t="str">
        <f t="shared" si="3"/>
        <v/>
      </c>
      <c r="DH67" s="1096"/>
      <c r="DI67" s="565"/>
      <c r="DJ67" s="565"/>
      <c r="DK67" s="565"/>
      <c r="DL67" s="565"/>
      <c r="DM67" s="565"/>
      <c r="DN67" s="565"/>
      <c r="DO67" s="565"/>
      <c r="DP67" s="565"/>
      <c r="DQ67" s="565"/>
      <c r="DR67" s="565"/>
      <c r="DS67" s="565"/>
      <c r="DT67" s="565"/>
      <c r="DU67" s="565"/>
      <c r="DV67" s="565"/>
    </row>
    <row r="68" spans="1:126" x14ac:dyDescent="0.25">
      <c r="A68" s="613"/>
      <c r="B68" s="614">
        <v>21</v>
      </c>
      <c r="C68" s="613">
        <f t="shared" si="4"/>
        <v>0</v>
      </c>
      <c r="D68" s="613">
        <f>IF(C68=0,0,1+MAX(D$48:D67))</f>
        <v>0</v>
      </c>
      <c r="E68" s="613">
        <f t="shared" si="5"/>
        <v>0</v>
      </c>
      <c r="F68" s="613"/>
      <c r="G68" s="613"/>
      <c r="H68" s="613"/>
      <c r="I68" s="613"/>
      <c r="J68" s="613"/>
      <c r="K68" s="613"/>
      <c r="L68" s="614">
        <v>21</v>
      </c>
      <c r="M68" s="613">
        <f t="shared" si="6"/>
        <v>0</v>
      </c>
      <c r="N68" s="613">
        <f>IF(M68=0,0,1+MAX(N$48:N67))</f>
        <v>0</v>
      </c>
      <c r="O68" s="613">
        <f t="shared" si="7"/>
        <v>0</v>
      </c>
      <c r="P68" s="613"/>
      <c r="Q68" s="613"/>
      <c r="R68" s="613"/>
      <c r="S68" s="613"/>
      <c r="T68" s="613"/>
      <c r="U68" s="613"/>
      <c r="V68" s="614">
        <v>21</v>
      </c>
      <c r="W68" s="613">
        <f t="shared" si="8"/>
        <v>0</v>
      </c>
      <c r="X68" s="613">
        <f>IF(W68=0,0,1+MAX(X$48:X67))</f>
        <v>0</v>
      </c>
      <c r="Y68" s="613">
        <f t="shared" si="9"/>
        <v>0</v>
      </c>
      <c r="Z68" s="613"/>
      <c r="AA68" s="613"/>
      <c r="AB68" s="613"/>
      <c r="AC68" s="613"/>
      <c r="AD68" s="613"/>
      <c r="AE68" s="613"/>
      <c r="AF68" s="614">
        <v>21</v>
      </c>
      <c r="AG68" s="613">
        <f t="shared" si="10"/>
        <v>0</v>
      </c>
      <c r="AH68" s="613">
        <f>IF(AG68=0,0,1+MAX(AH$48:AH67))</f>
        <v>0</v>
      </c>
      <c r="AI68" s="613">
        <f t="shared" si="11"/>
        <v>0</v>
      </c>
      <c r="AJ68" s="613"/>
      <c r="AK68" s="613"/>
      <c r="AL68" s="613"/>
      <c r="AM68" s="613"/>
      <c r="AN68" s="613"/>
      <c r="AO68" s="613"/>
      <c r="AP68" s="614">
        <v>21</v>
      </c>
      <c r="AQ68" s="613">
        <f t="shared" si="12"/>
        <v>0</v>
      </c>
      <c r="AR68" s="613">
        <f>IF(AQ68=0,0,1+MAX(AR$48:AR67))</f>
        <v>0</v>
      </c>
      <c r="AS68" s="613">
        <f t="shared" si="13"/>
        <v>0</v>
      </c>
      <c r="AT68" s="613"/>
      <c r="AU68" s="613"/>
      <c r="AV68" s="613"/>
      <c r="AW68" s="613"/>
      <c r="AX68" s="613"/>
      <c r="AY68" s="613"/>
      <c r="AZ68" s="614">
        <v>21</v>
      </c>
      <c r="BA68" s="613">
        <f t="shared" si="14"/>
        <v>0</v>
      </c>
      <c r="BB68" s="613">
        <f>IF(BA68=0,0,1+MAX(BB$48:BB67))</f>
        <v>0</v>
      </c>
      <c r="BC68" s="613">
        <f t="shared" si="15"/>
        <v>0</v>
      </c>
      <c r="BD68" s="613"/>
      <c r="BE68" s="613"/>
      <c r="BF68" s="613"/>
      <c r="BG68" s="613"/>
      <c r="BH68" s="613"/>
      <c r="BI68" s="613"/>
      <c r="BJ68" s="614">
        <v>21</v>
      </c>
      <c r="BK68" s="613">
        <f t="shared" si="16"/>
        <v>0</v>
      </c>
      <c r="BL68" s="613">
        <f>IF(BK68=0,0,1+MAX(BL$48:BL67))</f>
        <v>0</v>
      </c>
      <c r="BM68" s="613">
        <f t="shared" si="17"/>
        <v>0</v>
      </c>
      <c r="BN68" s="613"/>
      <c r="BO68" s="613"/>
      <c r="BP68" s="613"/>
      <c r="BQ68" s="613"/>
      <c r="BR68" s="613"/>
      <c r="BS68" s="613"/>
      <c r="BT68" s="614">
        <v>21</v>
      </c>
      <c r="BU68" s="613">
        <f t="shared" si="18"/>
        <v>0</v>
      </c>
      <c r="BV68" s="613">
        <f>IF(BU68=0,0,1+MAX(BV$48:BV67))</f>
        <v>0</v>
      </c>
      <c r="BW68" s="613">
        <f t="shared" si="19"/>
        <v>0</v>
      </c>
      <c r="BX68" s="613"/>
      <c r="BY68" s="613"/>
      <c r="BZ68" s="613"/>
      <c r="CA68" s="613"/>
      <c r="CB68" s="613"/>
      <c r="CC68" s="613"/>
      <c r="CD68" s="614">
        <v>21</v>
      </c>
      <c r="CE68" s="613">
        <f t="shared" si="20"/>
        <v>0</v>
      </c>
      <c r="CF68" s="613">
        <f>IF(CE68=0,0,1+MAX(CF$48:CF67))</f>
        <v>0</v>
      </c>
      <c r="CG68" s="613">
        <f t="shared" si="21"/>
        <v>0</v>
      </c>
      <c r="CH68" s="613"/>
      <c r="CI68" s="613"/>
      <c r="CJ68" s="613"/>
      <c r="CK68" s="613"/>
      <c r="CL68" s="613"/>
      <c r="CM68" s="613"/>
      <c r="CN68" s="614">
        <v>21</v>
      </c>
      <c r="CO68" s="613">
        <f t="shared" si="22"/>
        <v>0</v>
      </c>
      <c r="CP68" s="613">
        <f>IF(CO68=0,0,1+MAX(CP$48:CP67))</f>
        <v>0</v>
      </c>
      <c r="CQ68" s="613">
        <f t="shared" si="23"/>
        <v>0</v>
      </c>
      <c r="CR68" s="613"/>
      <c r="CS68" s="613"/>
      <c r="CT68" s="613"/>
      <c r="CU68" s="613"/>
      <c r="CV68" s="613"/>
      <c r="CW68" s="613"/>
      <c r="CX68" s="613"/>
      <c r="CY68" s="613"/>
      <c r="CZ68" s="564"/>
      <c r="DA68" s="610">
        <v>62</v>
      </c>
      <c r="DB68" s="1061" t="str">
        <f t="shared" si="2"/>
        <v/>
      </c>
      <c r="DC68" s="1061"/>
      <c r="DD68" s="1061"/>
      <c r="DE68" s="1061"/>
      <c r="DF68" s="1061"/>
      <c r="DG68" s="1096" t="str">
        <f t="shared" si="3"/>
        <v/>
      </c>
      <c r="DH68" s="1096"/>
      <c r="DI68" s="565"/>
      <c r="DJ68" s="565"/>
      <c r="DK68" s="565"/>
      <c r="DL68" s="565"/>
      <c r="DM68" s="565"/>
      <c r="DN68" s="565"/>
      <c r="DO68" s="565"/>
      <c r="DP68" s="565"/>
      <c r="DQ68" s="565"/>
      <c r="DR68" s="565"/>
      <c r="DS68" s="565"/>
      <c r="DT68" s="565"/>
      <c r="DU68" s="565"/>
      <c r="DV68" s="565"/>
    </row>
    <row r="69" spans="1:126" x14ac:dyDescent="0.25">
      <c r="A69" s="613"/>
      <c r="B69" s="614">
        <v>22</v>
      </c>
      <c r="C69" s="613">
        <f t="shared" si="4"/>
        <v>0</v>
      </c>
      <c r="D69" s="613">
        <f>IF(C69=0,0,1+MAX(D$48:D68))</f>
        <v>0</v>
      </c>
      <c r="E69" s="613">
        <f t="shared" si="5"/>
        <v>0</v>
      </c>
      <c r="F69" s="613"/>
      <c r="G69" s="613"/>
      <c r="H69" s="613"/>
      <c r="I69" s="613"/>
      <c r="J69" s="613"/>
      <c r="K69" s="613"/>
      <c r="L69" s="614">
        <v>22</v>
      </c>
      <c r="M69" s="613">
        <f t="shared" si="6"/>
        <v>0</v>
      </c>
      <c r="N69" s="613">
        <f>IF(M69=0,0,1+MAX(N$48:N68))</f>
        <v>0</v>
      </c>
      <c r="O69" s="613">
        <f t="shared" si="7"/>
        <v>0</v>
      </c>
      <c r="P69" s="613"/>
      <c r="Q69" s="613"/>
      <c r="R69" s="613"/>
      <c r="S69" s="613"/>
      <c r="T69" s="613"/>
      <c r="U69" s="613"/>
      <c r="V69" s="614">
        <v>22</v>
      </c>
      <c r="W69" s="613">
        <f t="shared" si="8"/>
        <v>0</v>
      </c>
      <c r="X69" s="613">
        <f>IF(W69=0,0,1+MAX(X$48:X68))</f>
        <v>0</v>
      </c>
      <c r="Y69" s="613">
        <f t="shared" si="9"/>
        <v>0</v>
      </c>
      <c r="Z69" s="613"/>
      <c r="AA69" s="613"/>
      <c r="AB69" s="613"/>
      <c r="AC69" s="613"/>
      <c r="AD69" s="613"/>
      <c r="AE69" s="613"/>
      <c r="AF69" s="614">
        <v>22</v>
      </c>
      <c r="AG69" s="613">
        <f t="shared" si="10"/>
        <v>0</v>
      </c>
      <c r="AH69" s="613">
        <f>IF(AG69=0,0,1+MAX(AH$48:AH68))</f>
        <v>0</v>
      </c>
      <c r="AI69" s="613">
        <f t="shared" si="11"/>
        <v>0</v>
      </c>
      <c r="AJ69" s="613"/>
      <c r="AK69" s="613"/>
      <c r="AL69" s="613"/>
      <c r="AM69" s="613"/>
      <c r="AN69" s="613"/>
      <c r="AO69" s="613"/>
      <c r="AP69" s="614">
        <v>22</v>
      </c>
      <c r="AQ69" s="613">
        <f t="shared" si="12"/>
        <v>0</v>
      </c>
      <c r="AR69" s="613">
        <f>IF(AQ69=0,0,1+MAX(AR$48:AR68))</f>
        <v>0</v>
      </c>
      <c r="AS69" s="613">
        <f t="shared" si="13"/>
        <v>0</v>
      </c>
      <c r="AT69" s="613"/>
      <c r="AU69" s="613"/>
      <c r="AV69" s="613"/>
      <c r="AW69" s="613"/>
      <c r="AX69" s="613"/>
      <c r="AY69" s="613"/>
      <c r="AZ69" s="614">
        <v>22</v>
      </c>
      <c r="BA69" s="613">
        <f t="shared" si="14"/>
        <v>0</v>
      </c>
      <c r="BB69" s="613">
        <f>IF(BA69=0,0,1+MAX(BB$48:BB68))</f>
        <v>0</v>
      </c>
      <c r="BC69" s="613">
        <f t="shared" si="15"/>
        <v>0</v>
      </c>
      <c r="BD69" s="613"/>
      <c r="BE69" s="613"/>
      <c r="BF69" s="613"/>
      <c r="BG69" s="613"/>
      <c r="BH69" s="613"/>
      <c r="BI69" s="613"/>
      <c r="BJ69" s="614">
        <v>22</v>
      </c>
      <c r="BK69" s="613">
        <f t="shared" si="16"/>
        <v>0</v>
      </c>
      <c r="BL69" s="613">
        <f>IF(BK69=0,0,1+MAX(BL$48:BL68))</f>
        <v>0</v>
      </c>
      <c r="BM69" s="613">
        <f t="shared" si="17"/>
        <v>0</v>
      </c>
      <c r="BN69" s="613"/>
      <c r="BO69" s="613"/>
      <c r="BP69" s="613"/>
      <c r="BQ69" s="613"/>
      <c r="BR69" s="613"/>
      <c r="BS69" s="613"/>
      <c r="BT69" s="614">
        <v>22</v>
      </c>
      <c r="BU69" s="613">
        <f t="shared" si="18"/>
        <v>0</v>
      </c>
      <c r="BV69" s="613">
        <f>IF(BU69=0,0,1+MAX(BV$48:BV68))</f>
        <v>0</v>
      </c>
      <c r="BW69" s="613">
        <f t="shared" si="19"/>
        <v>0</v>
      </c>
      <c r="BX69" s="613"/>
      <c r="BY69" s="613"/>
      <c r="BZ69" s="613"/>
      <c r="CA69" s="613"/>
      <c r="CB69" s="613"/>
      <c r="CC69" s="613"/>
      <c r="CD69" s="614">
        <v>22</v>
      </c>
      <c r="CE69" s="613">
        <f t="shared" si="20"/>
        <v>0</v>
      </c>
      <c r="CF69" s="613">
        <f>IF(CE69=0,0,1+MAX(CF$48:CF68))</f>
        <v>0</v>
      </c>
      <c r="CG69" s="613">
        <f t="shared" si="21"/>
        <v>0</v>
      </c>
      <c r="CH69" s="613"/>
      <c r="CI69" s="613"/>
      <c r="CJ69" s="613"/>
      <c r="CK69" s="613"/>
      <c r="CL69" s="613"/>
      <c r="CM69" s="613"/>
      <c r="CN69" s="614">
        <v>22</v>
      </c>
      <c r="CO69" s="613">
        <f t="shared" si="22"/>
        <v>0</v>
      </c>
      <c r="CP69" s="613">
        <f>IF(CO69=0,0,1+MAX(CP$48:CP68))</f>
        <v>0</v>
      </c>
      <c r="CQ69" s="613">
        <f t="shared" si="23"/>
        <v>0</v>
      </c>
      <c r="CR69" s="613"/>
      <c r="CS69" s="613"/>
      <c r="CT69" s="613"/>
      <c r="CU69" s="613"/>
      <c r="CV69" s="613"/>
      <c r="CW69" s="613"/>
      <c r="CX69" s="613"/>
      <c r="CY69" s="613"/>
      <c r="CZ69" s="564"/>
      <c r="DA69" s="610">
        <v>63</v>
      </c>
      <c r="DB69" s="1061" t="str">
        <f t="shared" si="2"/>
        <v/>
      </c>
      <c r="DC69" s="1061"/>
      <c r="DD69" s="1061"/>
      <c r="DE69" s="1061"/>
      <c r="DF69" s="1061"/>
      <c r="DG69" s="1096" t="str">
        <f t="shared" si="3"/>
        <v/>
      </c>
      <c r="DH69" s="1096"/>
      <c r="DI69" s="565"/>
      <c r="DJ69" s="565"/>
      <c r="DK69" s="565"/>
      <c r="DL69" s="565"/>
      <c r="DM69" s="565"/>
      <c r="DN69" s="565"/>
      <c r="DO69" s="565"/>
      <c r="DP69" s="565"/>
      <c r="DQ69" s="565"/>
      <c r="DR69" s="565"/>
      <c r="DS69" s="565"/>
      <c r="DT69" s="565"/>
      <c r="DU69" s="565"/>
      <c r="DV69" s="565"/>
    </row>
    <row r="70" spans="1:126" x14ac:dyDescent="0.25">
      <c r="A70" s="613"/>
      <c r="B70" s="614">
        <v>23</v>
      </c>
      <c r="C70" s="613">
        <f t="shared" si="4"/>
        <v>0</v>
      </c>
      <c r="D70" s="613">
        <f>IF(C70=0,0,1+MAX(D$48:D69))</f>
        <v>0</v>
      </c>
      <c r="E70" s="613">
        <f t="shared" si="5"/>
        <v>0</v>
      </c>
      <c r="F70" s="613"/>
      <c r="G70" s="613"/>
      <c r="H70" s="613"/>
      <c r="I70" s="613"/>
      <c r="J70" s="613"/>
      <c r="K70" s="613"/>
      <c r="L70" s="614">
        <v>23</v>
      </c>
      <c r="M70" s="613">
        <f t="shared" si="6"/>
        <v>0</v>
      </c>
      <c r="N70" s="613">
        <f>IF(M70=0,0,1+MAX(N$48:N69))</f>
        <v>0</v>
      </c>
      <c r="O70" s="613">
        <f t="shared" si="7"/>
        <v>0</v>
      </c>
      <c r="P70" s="613"/>
      <c r="Q70" s="613"/>
      <c r="R70" s="613"/>
      <c r="S70" s="613"/>
      <c r="T70" s="613"/>
      <c r="U70" s="613"/>
      <c r="V70" s="614">
        <v>23</v>
      </c>
      <c r="W70" s="613">
        <f t="shared" si="8"/>
        <v>0</v>
      </c>
      <c r="X70" s="613">
        <f>IF(W70=0,0,1+MAX(X$48:X69))</f>
        <v>0</v>
      </c>
      <c r="Y70" s="613">
        <f t="shared" si="9"/>
        <v>0</v>
      </c>
      <c r="Z70" s="613"/>
      <c r="AA70" s="613"/>
      <c r="AB70" s="613"/>
      <c r="AC70" s="613"/>
      <c r="AD70" s="613"/>
      <c r="AE70" s="613"/>
      <c r="AF70" s="614">
        <v>23</v>
      </c>
      <c r="AG70" s="613">
        <f t="shared" si="10"/>
        <v>0</v>
      </c>
      <c r="AH70" s="613">
        <f>IF(AG70=0,0,1+MAX(AH$48:AH69))</f>
        <v>0</v>
      </c>
      <c r="AI70" s="613">
        <f t="shared" si="11"/>
        <v>0</v>
      </c>
      <c r="AJ70" s="613"/>
      <c r="AK70" s="613"/>
      <c r="AL70" s="613"/>
      <c r="AM70" s="613"/>
      <c r="AN70" s="613"/>
      <c r="AO70" s="613"/>
      <c r="AP70" s="614">
        <v>23</v>
      </c>
      <c r="AQ70" s="613">
        <f t="shared" si="12"/>
        <v>0</v>
      </c>
      <c r="AR70" s="613">
        <f>IF(AQ70=0,0,1+MAX(AR$48:AR69))</f>
        <v>0</v>
      </c>
      <c r="AS70" s="613">
        <f t="shared" si="13"/>
        <v>0</v>
      </c>
      <c r="AT70" s="613"/>
      <c r="AU70" s="613"/>
      <c r="AV70" s="613"/>
      <c r="AW70" s="613"/>
      <c r="AX70" s="613"/>
      <c r="AY70" s="613"/>
      <c r="AZ70" s="614">
        <v>23</v>
      </c>
      <c r="BA70" s="613">
        <f t="shared" si="14"/>
        <v>0</v>
      </c>
      <c r="BB70" s="613">
        <f>IF(BA70=0,0,1+MAX(BB$48:BB69))</f>
        <v>0</v>
      </c>
      <c r="BC70" s="613">
        <f t="shared" si="15"/>
        <v>0</v>
      </c>
      <c r="BD70" s="613"/>
      <c r="BE70" s="613"/>
      <c r="BF70" s="613"/>
      <c r="BG70" s="613"/>
      <c r="BH70" s="613"/>
      <c r="BI70" s="613"/>
      <c r="BJ70" s="614">
        <v>23</v>
      </c>
      <c r="BK70" s="613">
        <f t="shared" si="16"/>
        <v>0</v>
      </c>
      <c r="BL70" s="613">
        <f>IF(BK70=0,0,1+MAX(BL$48:BL69))</f>
        <v>0</v>
      </c>
      <c r="BM70" s="613">
        <f t="shared" si="17"/>
        <v>0</v>
      </c>
      <c r="BN70" s="613"/>
      <c r="BO70" s="613"/>
      <c r="BP70" s="613"/>
      <c r="BQ70" s="613"/>
      <c r="BR70" s="613"/>
      <c r="BS70" s="613"/>
      <c r="BT70" s="614">
        <v>23</v>
      </c>
      <c r="BU70" s="613">
        <f t="shared" si="18"/>
        <v>0</v>
      </c>
      <c r="BV70" s="613">
        <f>IF(BU70=0,0,1+MAX(BV$48:BV69))</f>
        <v>0</v>
      </c>
      <c r="BW70" s="613">
        <f t="shared" si="19"/>
        <v>0</v>
      </c>
      <c r="BX70" s="613"/>
      <c r="BY70" s="613"/>
      <c r="BZ70" s="613"/>
      <c r="CA70" s="613"/>
      <c r="CB70" s="613"/>
      <c r="CC70" s="613"/>
      <c r="CD70" s="614">
        <v>23</v>
      </c>
      <c r="CE70" s="613">
        <f t="shared" si="20"/>
        <v>0</v>
      </c>
      <c r="CF70" s="613">
        <f>IF(CE70=0,0,1+MAX(CF$48:CF69))</f>
        <v>0</v>
      </c>
      <c r="CG70" s="613">
        <f t="shared" si="21"/>
        <v>0</v>
      </c>
      <c r="CH70" s="613"/>
      <c r="CI70" s="613"/>
      <c r="CJ70" s="613"/>
      <c r="CK70" s="613"/>
      <c r="CL70" s="613"/>
      <c r="CM70" s="613"/>
      <c r="CN70" s="614">
        <v>23</v>
      </c>
      <c r="CO70" s="613">
        <f t="shared" si="22"/>
        <v>0</v>
      </c>
      <c r="CP70" s="613">
        <f>IF(CO70=0,0,1+MAX(CP$48:CP69))</f>
        <v>0</v>
      </c>
      <c r="CQ70" s="613">
        <f t="shared" si="23"/>
        <v>0</v>
      </c>
      <c r="CR70" s="613"/>
      <c r="CS70" s="613"/>
      <c r="CT70" s="613"/>
      <c r="CU70" s="613"/>
      <c r="CV70" s="613"/>
      <c r="CW70" s="613"/>
      <c r="CX70" s="613"/>
      <c r="CY70" s="613"/>
      <c r="CZ70" s="564"/>
      <c r="DA70" s="610">
        <v>64</v>
      </c>
      <c r="DB70" s="1061" t="str">
        <f t="shared" si="2"/>
        <v/>
      </c>
      <c r="DC70" s="1061"/>
      <c r="DD70" s="1061"/>
      <c r="DE70" s="1061"/>
      <c r="DF70" s="1061"/>
      <c r="DG70" s="1096" t="str">
        <f t="shared" si="3"/>
        <v/>
      </c>
      <c r="DH70" s="1096"/>
      <c r="DI70" s="565"/>
      <c r="DJ70" s="565"/>
      <c r="DK70" s="565"/>
      <c r="DL70" s="565"/>
      <c r="DM70" s="565"/>
      <c r="DN70" s="565"/>
      <c r="DO70" s="565"/>
      <c r="DP70" s="565"/>
      <c r="DQ70" s="565"/>
      <c r="DR70" s="565"/>
      <c r="DS70" s="565"/>
      <c r="DT70" s="565"/>
      <c r="DU70" s="565"/>
      <c r="DV70" s="565"/>
    </row>
    <row r="71" spans="1:126" x14ac:dyDescent="0.25">
      <c r="A71" s="613"/>
      <c r="B71" s="614">
        <v>24</v>
      </c>
      <c r="C71" s="613">
        <f t="shared" si="4"/>
        <v>0</v>
      </c>
      <c r="D71" s="613">
        <f>IF(C71=0,0,1+MAX(D$48:D70))</f>
        <v>0</v>
      </c>
      <c r="E71" s="613">
        <f t="shared" si="5"/>
        <v>0</v>
      </c>
      <c r="F71" s="613"/>
      <c r="G71" s="613"/>
      <c r="H71" s="613"/>
      <c r="I71" s="613"/>
      <c r="J71" s="613"/>
      <c r="K71" s="613"/>
      <c r="L71" s="614">
        <v>24</v>
      </c>
      <c r="M71" s="613">
        <f t="shared" si="6"/>
        <v>0</v>
      </c>
      <c r="N71" s="613">
        <f>IF(M71=0,0,1+MAX(N$48:N70))</f>
        <v>0</v>
      </c>
      <c r="O71" s="613">
        <f t="shared" si="7"/>
        <v>0</v>
      </c>
      <c r="P71" s="613"/>
      <c r="Q71" s="613"/>
      <c r="R71" s="613"/>
      <c r="S71" s="613"/>
      <c r="T71" s="613"/>
      <c r="U71" s="613"/>
      <c r="V71" s="614">
        <v>24</v>
      </c>
      <c r="W71" s="613">
        <f t="shared" si="8"/>
        <v>0</v>
      </c>
      <c r="X71" s="613">
        <f>IF(W71=0,0,1+MAX(X$48:X70))</f>
        <v>0</v>
      </c>
      <c r="Y71" s="613">
        <f t="shared" si="9"/>
        <v>0</v>
      </c>
      <c r="Z71" s="613"/>
      <c r="AA71" s="613"/>
      <c r="AB71" s="613"/>
      <c r="AC71" s="613"/>
      <c r="AD71" s="613"/>
      <c r="AE71" s="613"/>
      <c r="AF71" s="614">
        <v>24</v>
      </c>
      <c r="AG71" s="613">
        <f t="shared" si="10"/>
        <v>0</v>
      </c>
      <c r="AH71" s="613">
        <f>IF(AG71=0,0,1+MAX(AH$48:AH70))</f>
        <v>0</v>
      </c>
      <c r="AI71" s="613">
        <f t="shared" si="11"/>
        <v>0</v>
      </c>
      <c r="AJ71" s="613"/>
      <c r="AK71" s="613"/>
      <c r="AL71" s="613"/>
      <c r="AM71" s="613"/>
      <c r="AN71" s="613"/>
      <c r="AO71" s="613"/>
      <c r="AP71" s="614">
        <v>24</v>
      </c>
      <c r="AQ71" s="613">
        <f t="shared" si="12"/>
        <v>0</v>
      </c>
      <c r="AR71" s="613">
        <f>IF(AQ71=0,0,1+MAX(AR$48:AR70))</f>
        <v>0</v>
      </c>
      <c r="AS71" s="613">
        <f t="shared" si="13"/>
        <v>0</v>
      </c>
      <c r="AT71" s="613"/>
      <c r="AU71" s="613"/>
      <c r="AV71" s="613"/>
      <c r="AW71" s="613"/>
      <c r="AX71" s="613"/>
      <c r="AY71" s="613"/>
      <c r="AZ71" s="614">
        <v>24</v>
      </c>
      <c r="BA71" s="613">
        <f t="shared" si="14"/>
        <v>0</v>
      </c>
      <c r="BB71" s="613">
        <f>IF(BA71=0,0,1+MAX(BB$48:BB70))</f>
        <v>0</v>
      </c>
      <c r="BC71" s="613">
        <f t="shared" si="15"/>
        <v>0</v>
      </c>
      <c r="BD71" s="613"/>
      <c r="BE71" s="613"/>
      <c r="BF71" s="613"/>
      <c r="BG71" s="613"/>
      <c r="BH71" s="613"/>
      <c r="BI71" s="613"/>
      <c r="BJ71" s="614">
        <v>24</v>
      </c>
      <c r="BK71" s="613">
        <f t="shared" si="16"/>
        <v>0</v>
      </c>
      <c r="BL71" s="613">
        <f>IF(BK71=0,0,1+MAX(BL$48:BL70))</f>
        <v>0</v>
      </c>
      <c r="BM71" s="613">
        <f t="shared" si="17"/>
        <v>0</v>
      </c>
      <c r="BN71" s="613"/>
      <c r="BO71" s="613"/>
      <c r="BP71" s="613"/>
      <c r="BQ71" s="613"/>
      <c r="BR71" s="613"/>
      <c r="BS71" s="613"/>
      <c r="BT71" s="614">
        <v>24</v>
      </c>
      <c r="BU71" s="613">
        <f t="shared" si="18"/>
        <v>0</v>
      </c>
      <c r="BV71" s="613">
        <f>IF(BU71=0,0,1+MAX(BV$48:BV70))</f>
        <v>0</v>
      </c>
      <c r="BW71" s="613">
        <f t="shared" si="19"/>
        <v>0</v>
      </c>
      <c r="BX71" s="613"/>
      <c r="BY71" s="613"/>
      <c r="BZ71" s="613"/>
      <c r="CA71" s="613"/>
      <c r="CB71" s="613"/>
      <c r="CC71" s="613"/>
      <c r="CD71" s="614">
        <v>24</v>
      </c>
      <c r="CE71" s="613">
        <f t="shared" si="20"/>
        <v>0</v>
      </c>
      <c r="CF71" s="613">
        <f>IF(CE71=0,0,1+MAX(CF$48:CF70))</f>
        <v>0</v>
      </c>
      <c r="CG71" s="613">
        <f t="shared" si="21"/>
        <v>0</v>
      </c>
      <c r="CH71" s="613"/>
      <c r="CI71" s="613"/>
      <c r="CJ71" s="613"/>
      <c r="CK71" s="613"/>
      <c r="CL71" s="613"/>
      <c r="CM71" s="613"/>
      <c r="CN71" s="614">
        <v>24</v>
      </c>
      <c r="CO71" s="613">
        <f t="shared" si="22"/>
        <v>0</v>
      </c>
      <c r="CP71" s="613">
        <f>IF(CO71=0,0,1+MAX(CP$48:CP70))</f>
        <v>0</v>
      </c>
      <c r="CQ71" s="613">
        <f t="shared" si="23"/>
        <v>0</v>
      </c>
      <c r="CR71" s="613"/>
      <c r="CS71" s="613"/>
      <c r="CT71" s="613"/>
      <c r="CU71" s="613"/>
      <c r="CV71" s="613"/>
      <c r="CW71" s="613"/>
      <c r="CX71" s="613"/>
      <c r="CY71" s="613"/>
      <c r="CZ71" s="564"/>
      <c r="DA71" s="610">
        <v>65</v>
      </c>
      <c r="DB71" s="1061" t="str">
        <f t="shared" ref="DB71:DB102" si="24">IFERROR(INDEX($C$7:$C$46,MATCH(DA71,$E$48:$E$87,0),1),"")&amp;
IFERROR(INDEX($M$7:$M$46,MATCH(DA71,$O$48:$O$87,0),1),"")&amp;
IFERROR(INDEX($W$7:$W$46,MATCH(DA71,$Y$48:$Y$87,0),1),"")&amp;
IFERROR(INDEX($AG$7:$AG$46,MATCH(DA71,$AI$48:$AI$87,0),1),"")&amp;
IFERROR(INDEX($AQ$7:$AQ$46,MATCH(DA71,$AS$48:$AS$87,0),1),"")&amp;
IFERROR(INDEX($BA$7:$BA$46,MATCH(DA71,$BC$48:$BC$87,0),1),"")&amp;
IFERROR(INDEX($BK$7:$BK$46,MATCH(DA71,$BM$48:$BM$87,0),1),"")&amp;
IFERROR(INDEX($BU$7:$BU$46,MATCH(DA71,$BW$48:$BW$87,0),1),"")&amp;
IFERROR(INDEX($CE$7:$CE$46,MATCH(DA71,$CG$48:$CG$87,0),1),"")&amp;
IFERROR(INDEX($CO$7:$CO$46,MATCH(DA71,$CQ$48:$CQ$87,0),1),"")&amp;
IFERROR(INDEX($B$89:$B$98,MATCH(DA71,$C$89:$C$98,0),1),"")</f>
        <v/>
      </c>
      <c r="DC71" s="1061"/>
      <c r="DD71" s="1061"/>
      <c r="DE71" s="1061"/>
      <c r="DF71" s="1061"/>
      <c r="DG71" s="1096" t="str">
        <f t="shared" ref="DG71:DG102" si="25">IFERROR(INDEX($H$7:$H$46,MATCH(DA71,$E$48:$E$87,0),1),"")&amp;
IFERROR(INDEX($R$7:$R$46,MATCH(DA71,$O$48:$O$87,0),1),"")&amp;
IFERROR(INDEX($AB$7:$AB$46,MATCH(DA71,$Y$48:$Y$87,0),1),"")&amp;
IFERROR(INDEX($AL$7:$AL$46,MATCH(DA71,$AI$48:$AI$87,0),1),"")&amp;
IFERROR(INDEX($AV$7:$AV$46,MATCH(DA71,$AS$48:$AS$87,0),1),"")&amp;
IFERROR(INDEX($BF$7:$BF$46,MATCH(DA71,$BC$48:$BC$87,0),1),"")&amp;
IFERROR(INDEX($BP$7:$BP$46,MATCH(DA71,$BM$48:$BM$87,0),1),"")&amp;
IFERROR(INDEX($BZ$7:$BZ$46,MATCH(DA71,$BW$48:$BW$87,0),1),"")&amp;
IFERROR(INDEX($CJ$7:$CJ$46,MATCH(DA71,$CG$48:$CG$87,0),1),"")&amp;
IFERROR(INDEX($CT$7:$CT$46,MATCH(DA71,$CQ$48:$CQ$87,0),1),"")</f>
        <v/>
      </c>
      <c r="DH71" s="1096"/>
      <c r="DI71" s="565"/>
      <c r="DJ71" s="565"/>
      <c r="DK71" s="565"/>
      <c r="DL71" s="565"/>
      <c r="DM71" s="565"/>
      <c r="DN71" s="565"/>
      <c r="DO71" s="565"/>
      <c r="DP71" s="565"/>
      <c r="DQ71" s="565"/>
      <c r="DR71" s="565"/>
      <c r="DS71" s="565"/>
      <c r="DT71" s="565"/>
      <c r="DU71" s="565"/>
      <c r="DV71" s="565"/>
    </row>
    <row r="72" spans="1:126" x14ac:dyDescent="0.25">
      <c r="A72" s="613"/>
      <c r="B72" s="614">
        <v>25</v>
      </c>
      <c r="C72" s="613">
        <f t="shared" si="4"/>
        <v>0</v>
      </c>
      <c r="D72" s="613">
        <f>IF(C72=0,0,1+MAX(D$48:D71))</f>
        <v>0</v>
      </c>
      <c r="E72" s="613">
        <f t="shared" si="5"/>
        <v>0</v>
      </c>
      <c r="F72" s="613"/>
      <c r="G72" s="613"/>
      <c r="H72" s="613"/>
      <c r="I72" s="613"/>
      <c r="J72" s="613"/>
      <c r="K72" s="613"/>
      <c r="L72" s="614">
        <v>25</v>
      </c>
      <c r="M72" s="613">
        <f t="shared" si="6"/>
        <v>0</v>
      </c>
      <c r="N72" s="613">
        <f>IF(M72=0,0,1+MAX(N$48:N71))</f>
        <v>0</v>
      </c>
      <c r="O72" s="613">
        <f t="shared" si="7"/>
        <v>0</v>
      </c>
      <c r="P72" s="613"/>
      <c r="Q72" s="613"/>
      <c r="R72" s="613"/>
      <c r="S72" s="613"/>
      <c r="T72" s="613"/>
      <c r="U72" s="613"/>
      <c r="V72" s="614">
        <v>25</v>
      </c>
      <c r="W72" s="613">
        <f t="shared" si="8"/>
        <v>0</v>
      </c>
      <c r="X72" s="613">
        <f>IF(W72=0,0,1+MAX(X$48:X71))</f>
        <v>0</v>
      </c>
      <c r="Y72" s="613">
        <f t="shared" si="9"/>
        <v>0</v>
      </c>
      <c r="Z72" s="613"/>
      <c r="AA72" s="613"/>
      <c r="AB72" s="613"/>
      <c r="AC72" s="613"/>
      <c r="AD72" s="613"/>
      <c r="AE72" s="613"/>
      <c r="AF72" s="614">
        <v>25</v>
      </c>
      <c r="AG72" s="613">
        <f t="shared" si="10"/>
        <v>0</v>
      </c>
      <c r="AH72" s="613">
        <f>IF(AG72=0,0,1+MAX(AH$48:AH71))</f>
        <v>0</v>
      </c>
      <c r="AI72" s="613">
        <f t="shared" si="11"/>
        <v>0</v>
      </c>
      <c r="AJ72" s="613"/>
      <c r="AK72" s="613"/>
      <c r="AL72" s="613"/>
      <c r="AM72" s="613"/>
      <c r="AN72" s="613"/>
      <c r="AO72" s="613"/>
      <c r="AP72" s="614">
        <v>25</v>
      </c>
      <c r="AQ72" s="613">
        <f t="shared" si="12"/>
        <v>0</v>
      </c>
      <c r="AR72" s="613">
        <f>IF(AQ72=0,0,1+MAX(AR$48:AR71))</f>
        <v>0</v>
      </c>
      <c r="AS72" s="613">
        <f t="shared" si="13"/>
        <v>0</v>
      </c>
      <c r="AT72" s="613"/>
      <c r="AU72" s="613"/>
      <c r="AV72" s="613"/>
      <c r="AW72" s="613"/>
      <c r="AX72" s="613"/>
      <c r="AY72" s="613"/>
      <c r="AZ72" s="614">
        <v>25</v>
      </c>
      <c r="BA72" s="613">
        <f t="shared" si="14"/>
        <v>0</v>
      </c>
      <c r="BB72" s="613">
        <f>IF(BA72=0,0,1+MAX(BB$48:BB71))</f>
        <v>0</v>
      </c>
      <c r="BC72" s="613">
        <f t="shared" si="15"/>
        <v>0</v>
      </c>
      <c r="BD72" s="613"/>
      <c r="BE72" s="613"/>
      <c r="BF72" s="613"/>
      <c r="BG72" s="613"/>
      <c r="BH72" s="613"/>
      <c r="BI72" s="613"/>
      <c r="BJ72" s="614">
        <v>25</v>
      </c>
      <c r="BK72" s="613">
        <f t="shared" si="16"/>
        <v>0</v>
      </c>
      <c r="BL72" s="613">
        <f>IF(BK72=0,0,1+MAX(BL$48:BL71))</f>
        <v>0</v>
      </c>
      <c r="BM72" s="613">
        <f t="shared" si="17"/>
        <v>0</v>
      </c>
      <c r="BN72" s="613"/>
      <c r="BO72" s="613"/>
      <c r="BP72" s="613"/>
      <c r="BQ72" s="613"/>
      <c r="BR72" s="613"/>
      <c r="BS72" s="613"/>
      <c r="BT72" s="614">
        <v>25</v>
      </c>
      <c r="BU72" s="613">
        <f t="shared" si="18"/>
        <v>0</v>
      </c>
      <c r="BV72" s="613">
        <f>IF(BU72=0,0,1+MAX(BV$48:BV71))</f>
        <v>0</v>
      </c>
      <c r="BW72" s="613">
        <f t="shared" si="19"/>
        <v>0</v>
      </c>
      <c r="BX72" s="613"/>
      <c r="BY72" s="613"/>
      <c r="BZ72" s="613"/>
      <c r="CA72" s="613"/>
      <c r="CB72" s="613"/>
      <c r="CC72" s="613"/>
      <c r="CD72" s="614">
        <v>25</v>
      </c>
      <c r="CE72" s="613">
        <f t="shared" si="20"/>
        <v>0</v>
      </c>
      <c r="CF72" s="613">
        <f>IF(CE72=0,0,1+MAX(CF$48:CF71))</f>
        <v>0</v>
      </c>
      <c r="CG72" s="613">
        <f t="shared" si="21"/>
        <v>0</v>
      </c>
      <c r="CH72" s="613"/>
      <c r="CI72" s="613"/>
      <c r="CJ72" s="613"/>
      <c r="CK72" s="613"/>
      <c r="CL72" s="613"/>
      <c r="CM72" s="613"/>
      <c r="CN72" s="614">
        <v>25</v>
      </c>
      <c r="CO72" s="613">
        <f t="shared" si="22"/>
        <v>0</v>
      </c>
      <c r="CP72" s="613">
        <f>IF(CO72=0,0,1+MAX(CP$48:CP71))</f>
        <v>0</v>
      </c>
      <c r="CQ72" s="613">
        <f t="shared" si="23"/>
        <v>0</v>
      </c>
      <c r="CR72" s="613"/>
      <c r="CS72" s="613"/>
      <c r="CT72" s="613"/>
      <c r="CU72" s="613"/>
      <c r="CV72" s="613"/>
      <c r="CW72" s="613"/>
      <c r="CX72" s="613"/>
      <c r="CY72" s="613"/>
      <c r="CZ72" s="564"/>
      <c r="DA72" s="610">
        <v>66</v>
      </c>
      <c r="DB72" s="1061" t="str">
        <f t="shared" si="24"/>
        <v/>
      </c>
      <c r="DC72" s="1061"/>
      <c r="DD72" s="1061"/>
      <c r="DE72" s="1061"/>
      <c r="DF72" s="1061"/>
      <c r="DG72" s="1096" t="str">
        <f t="shared" si="25"/>
        <v/>
      </c>
      <c r="DH72" s="1096"/>
      <c r="DI72" s="565"/>
      <c r="DJ72" s="565"/>
      <c r="DK72" s="565"/>
      <c r="DL72" s="565"/>
      <c r="DM72" s="565"/>
      <c r="DN72" s="565"/>
      <c r="DO72" s="565"/>
      <c r="DP72" s="565"/>
      <c r="DQ72" s="565"/>
      <c r="DR72" s="565"/>
      <c r="DS72" s="565"/>
      <c r="DT72" s="565"/>
      <c r="DU72" s="565"/>
      <c r="DV72" s="565"/>
    </row>
    <row r="73" spans="1:126" x14ac:dyDescent="0.25">
      <c r="A73" s="613"/>
      <c r="B73" s="614">
        <v>26</v>
      </c>
      <c r="C73" s="613">
        <f t="shared" si="4"/>
        <v>0</v>
      </c>
      <c r="D73" s="613">
        <f>IF(C73=0,0,1+MAX(D$48:D72))</f>
        <v>0</v>
      </c>
      <c r="E73" s="613">
        <f t="shared" si="5"/>
        <v>0</v>
      </c>
      <c r="F73" s="613"/>
      <c r="G73" s="613"/>
      <c r="H73" s="613"/>
      <c r="I73" s="613"/>
      <c r="J73" s="613"/>
      <c r="K73" s="613"/>
      <c r="L73" s="614">
        <v>26</v>
      </c>
      <c r="M73" s="613">
        <f t="shared" si="6"/>
        <v>0</v>
      </c>
      <c r="N73" s="613">
        <f>IF(M73=0,0,1+MAX(N$48:N72))</f>
        <v>0</v>
      </c>
      <c r="O73" s="613">
        <f t="shared" si="7"/>
        <v>0</v>
      </c>
      <c r="P73" s="613"/>
      <c r="Q73" s="613"/>
      <c r="R73" s="613"/>
      <c r="S73" s="613"/>
      <c r="T73" s="613"/>
      <c r="U73" s="613"/>
      <c r="V73" s="614">
        <v>26</v>
      </c>
      <c r="W73" s="613">
        <f t="shared" si="8"/>
        <v>0</v>
      </c>
      <c r="X73" s="613">
        <f>IF(W73=0,0,1+MAX(X$48:X72))</f>
        <v>0</v>
      </c>
      <c r="Y73" s="613">
        <f t="shared" si="9"/>
        <v>0</v>
      </c>
      <c r="Z73" s="613"/>
      <c r="AA73" s="613"/>
      <c r="AB73" s="613"/>
      <c r="AC73" s="613"/>
      <c r="AD73" s="613"/>
      <c r="AE73" s="613"/>
      <c r="AF73" s="614">
        <v>26</v>
      </c>
      <c r="AG73" s="613">
        <f t="shared" si="10"/>
        <v>0</v>
      </c>
      <c r="AH73" s="613">
        <f>IF(AG73=0,0,1+MAX(AH$48:AH72))</f>
        <v>0</v>
      </c>
      <c r="AI73" s="613">
        <f t="shared" si="11"/>
        <v>0</v>
      </c>
      <c r="AJ73" s="613"/>
      <c r="AK73" s="613"/>
      <c r="AL73" s="613"/>
      <c r="AM73" s="613"/>
      <c r="AN73" s="613"/>
      <c r="AO73" s="613"/>
      <c r="AP73" s="614">
        <v>26</v>
      </c>
      <c r="AQ73" s="613">
        <f t="shared" si="12"/>
        <v>0</v>
      </c>
      <c r="AR73" s="613">
        <f>IF(AQ73=0,0,1+MAX(AR$48:AR72))</f>
        <v>0</v>
      </c>
      <c r="AS73" s="613">
        <f t="shared" si="13"/>
        <v>0</v>
      </c>
      <c r="AT73" s="613"/>
      <c r="AU73" s="613"/>
      <c r="AV73" s="613"/>
      <c r="AW73" s="613"/>
      <c r="AX73" s="613"/>
      <c r="AY73" s="613"/>
      <c r="AZ73" s="614">
        <v>26</v>
      </c>
      <c r="BA73" s="613">
        <f t="shared" si="14"/>
        <v>0</v>
      </c>
      <c r="BB73" s="613">
        <f>IF(BA73=0,0,1+MAX(BB$48:BB72))</f>
        <v>0</v>
      </c>
      <c r="BC73" s="613">
        <f t="shared" si="15"/>
        <v>0</v>
      </c>
      <c r="BD73" s="613"/>
      <c r="BE73" s="613"/>
      <c r="BF73" s="613"/>
      <c r="BG73" s="613"/>
      <c r="BH73" s="613"/>
      <c r="BI73" s="613"/>
      <c r="BJ73" s="614">
        <v>26</v>
      </c>
      <c r="BK73" s="613">
        <f t="shared" si="16"/>
        <v>0</v>
      </c>
      <c r="BL73" s="613">
        <f>IF(BK73=0,0,1+MAX(BL$48:BL72))</f>
        <v>0</v>
      </c>
      <c r="BM73" s="613">
        <f t="shared" si="17"/>
        <v>0</v>
      </c>
      <c r="BN73" s="613"/>
      <c r="BO73" s="613"/>
      <c r="BP73" s="613"/>
      <c r="BQ73" s="613"/>
      <c r="BR73" s="613"/>
      <c r="BS73" s="613"/>
      <c r="BT73" s="614">
        <v>26</v>
      </c>
      <c r="BU73" s="613">
        <f t="shared" si="18"/>
        <v>0</v>
      </c>
      <c r="BV73" s="613">
        <f>IF(BU73=0,0,1+MAX(BV$48:BV72))</f>
        <v>0</v>
      </c>
      <c r="BW73" s="613">
        <f t="shared" si="19"/>
        <v>0</v>
      </c>
      <c r="BX73" s="613"/>
      <c r="BY73" s="613"/>
      <c r="BZ73" s="613"/>
      <c r="CA73" s="613"/>
      <c r="CB73" s="613"/>
      <c r="CC73" s="613"/>
      <c r="CD73" s="614">
        <v>26</v>
      </c>
      <c r="CE73" s="613">
        <f t="shared" si="20"/>
        <v>0</v>
      </c>
      <c r="CF73" s="613">
        <f>IF(CE73=0,0,1+MAX(CF$48:CF72))</f>
        <v>0</v>
      </c>
      <c r="CG73" s="613">
        <f t="shared" si="21"/>
        <v>0</v>
      </c>
      <c r="CH73" s="613"/>
      <c r="CI73" s="613"/>
      <c r="CJ73" s="613"/>
      <c r="CK73" s="613"/>
      <c r="CL73" s="613"/>
      <c r="CM73" s="613"/>
      <c r="CN73" s="614">
        <v>26</v>
      </c>
      <c r="CO73" s="613">
        <f t="shared" si="22"/>
        <v>0</v>
      </c>
      <c r="CP73" s="613">
        <f>IF(CO73=0,0,1+MAX(CP$48:CP72))</f>
        <v>0</v>
      </c>
      <c r="CQ73" s="613">
        <f t="shared" si="23"/>
        <v>0</v>
      </c>
      <c r="CR73" s="613"/>
      <c r="CS73" s="613"/>
      <c r="CT73" s="613"/>
      <c r="CU73" s="613"/>
      <c r="CV73" s="613"/>
      <c r="CW73" s="613"/>
      <c r="CX73" s="613"/>
      <c r="CY73" s="613"/>
      <c r="CZ73" s="564"/>
      <c r="DA73" s="610">
        <v>67</v>
      </c>
      <c r="DB73" s="1061" t="str">
        <f t="shared" si="24"/>
        <v/>
      </c>
      <c r="DC73" s="1061"/>
      <c r="DD73" s="1061"/>
      <c r="DE73" s="1061"/>
      <c r="DF73" s="1061"/>
      <c r="DG73" s="1096" t="str">
        <f t="shared" si="25"/>
        <v/>
      </c>
      <c r="DH73" s="1096"/>
      <c r="DI73" s="565"/>
      <c r="DJ73" s="565"/>
      <c r="DK73" s="565"/>
      <c r="DL73" s="565"/>
      <c r="DM73" s="565"/>
      <c r="DN73" s="565"/>
      <c r="DO73" s="565"/>
      <c r="DP73" s="565"/>
      <c r="DQ73" s="565"/>
      <c r="DR73" s="565"/>
      <c r="DS73" s="565"/>
      <c r="DT73" s="565"/>
      <c r="DU73" s="565"/>
      <c r="DV73" s="565"/>
    </row>
    <row r="74" spans="1:126" x14ac:dyDescent="0.25">
      <c r="A74" s="613"/>
      <c r="B74" s="614">
        <v>27</v>
      </c>
      <c r="C74" s="613">
        <f t="shared" si="4"/>
        <v>0</v>
      </c>
      <c r="D74" s="613">
        <f>IF(C74=0,0,1+MAX(D$48:D73))</f>
        <v>0</v>
      </c>
      <c r="E74" s="613">
        <f t="shared" si="5"/>
        <v>0</v>
      </c>
      <c r="F74" s="613"/>
      <c r="G74" s="613"/>
      <c r="H74" s="613"/>
      <c r="I74" s="613"/>
      <c r="J74" s="613"/>
      <c r="K74" s="613"/>
      <c r="L74" s="614">
        <v>27</v>
      </c>
      <c r="M74" s="613">
        <f t="shared" si="6"/>
        <v>0</v>
      </c>
      <c r="N74" s="613">
        <f>IF(M74=0,0,1+MAX(N$48:N73))</f>
        <v>0</v>
      </c>
      <c r="O74" s="613">
        <f t="shared" si="7"/>
        <v>0</v>
      </c>
      <c r="P74" s="613"/>
      <c r="Q74" s="613"/>
      <c r="R74" s="613"/>
      <c r="S74" s="613"/>
      <c r="T74" s="613"/>
      <c r="U74" s="613"/>
      <c r="V74" s="614">
        <v>27</v>
      </c>
      <c r="W74" s="613">
        <f t="shared" si="8"/>
        <v>0</v>
      </c>
      <c r="X74" s="613">
        <f>IF(W74=0,0,1+MAX(X$48:X73))</f>
        <v>0</v>
      </c>
      <c r="Y74" s="613">
        <f t="shared" si="9"/>
        <v>0</v>
      </c>
      <c r="Z74" s="613"/>
      <c r="AA74" s="613"/>
      <c r="AB74" s="613"/>
      <c r="AC74" s="613"/>
      <c r="AD74" s="613"/>
      <c r="AE74" s="613"/>
      <c r="AF74" s="614">
        <v>27</v>
      </c>
      <c r="AG74" s="613">
        <f t="shared" si="10"/>
        <v>0</v>
      </c>
      <c r="AH74" s="613">
        <f>IF(AG74=0,0,1+MAX(AH$48:AH73))</f>
        <v>0</v>
      </c>
      <c r="AI74" s="613">
        <f t="shared" si="11"/>
        <v>0</v>
      </c>
      <c r="AJ74" s="613"/>
      <c r="AK74" s="613"/>
      <c r="AL74" s="613"/>
      <c r="AM74" s="613"/>
      <c r="AN74" s="613"/>
      <c r="AO74" s="613"/>
      <c r="AP74" s="614">
        <v>27</v>
      </c>
      <c r="AQ74" s="613">
        <f t="shared" si="12"/>
        <v>0</v>
      </c>
      <c r="AR74" s="613">
        <f>IF(AQ74=0,0,1+MAX(AR$48:AR73))</f>
        <v>0</v>
      </c>
      <c r="AS74" s="613">
        <f t="shared" si="13"/>
        <v>0</v>
      </c>
      <c r="AT74" s="613"/>
      <c r="AU74" s="613"/>
      <c r="AV74" s="613"/>
      <c r="AW74" s="613"/>
      <c r="AX74" s="613"/>
      <c r="AY74" s="613"/>
      <c r="AZ74" s="614">
        <v>27</v>
      </c>
      <c r="BA74" s="613">
        <f t="shared" si="14"/>
        <v>0</v>
      </c>
      <c r="BB74" s="613">
        <f>IF(BA74=0,0,1+MAX(BB$48:BB73))</f>
        <v>0</v>
      </c>
      <c r="BC74" s="613">
        <f t="shared" si="15"/>
        <v>0</v>
      </c>
      <c r="BD74" s="613"/>
      <c r="BE74" s="613"/>
      <c r="BF74" s="613"/>
      <c r="BG74" s="613"/>
      <c r="BH74" s="613"/>
      <c r="BI74" s="613"/>
      <c r="BJ74" s="614">
        <v>27</v>
      </c>
      <c r="BK74" s="613">
        <f t="shared" si="16"/>
        <v>0</v>
      </c>
      <c r="BL74" s="613">
        <f>IF(BK74=0,0,1+MAX(BL$48:BL73))</f>
        <v>0</v>
      </c>
      <c r="BM74" s="613">
        <f t="shared" si="17"/>
        <v>0</v>
      </c>
      <c r="BN74" s="613"/>
      <c r="BO74" s="613"/>
      <c r="BP74" s="613"/>
      <c r="BQ74" s="613"/>
      <c r="BR74" s="613"/>
      <c r="BS74" s="613"/>
      <c r="BT74" s="614">
        <v>27</v>
      </c>
      <c r="BU74" s="613">
        <f t="shared" si="18"/>
        <v>0</v>
      </c>
      <c r="BV74" s="613">
        <f>IF(BU74=0,0,1+MAX(BV$48:BV73))</f>
        <v>0</v>
      </c>
      <c r="BW74" s="613">
        <f t="shared" si="19"/>
        <v>0</v>
      </c>
      <c r="BX74" s="613"/>
      <c r="BY74" s="613"/>
      <c r="BZ74" s="613"/>
      <c r="CA74" s="613"/>
      <c r="CB74" s="613"/>
      <c r="CC74" s="613"/>
      <c r="CD74" s="614">
        <v>27</v>
      </c>
      <c r="CE74" s="613">
        <f t="shared" si="20"/>
        <v>0</v>
      </c>
      <c r="CF74" s="613">
        <f>IF(CE74=0,0,1+MAX(CF$48:CF73))</f>
        <v>0</v>
      </c>
      <c r="CG74" s="613">
        <f t="shared" si="21"/>
        <v>0</v>
      </c>
      <c r="CH74" s="613"/>
      <c r="CI74" s="613"/>
      <c r="CJ74" s="613"/>
      <c r="CK74" s="613"/>
      <c r="CL74" s="613"/>
      <c r="CM74" s="613"/>
      <c r="CN74" s="614">
        <v>27</v>
      </c>
      <c r="CO74" s="613">
        <f t="shared" si="22"/>
        <v>0</v>
      </c>
      <c r="CP74" s="613">
        <f>IF(CO74=0,0,1+MAX(CP$48:CP73))</f>
        <v>0</v>
      </c>
      <c r="CQ74" s="613">
        <f t="shared" si="23"/>
        <v>0</v>
      </c>
      <c r="CR74" s="613"/>
      <c r="CS74" s="613"/>
      <c r="CT74" s="613"/>
      <c r="CU74" s="613"/>
      <c r="CV74" s="613"/>
      <c r="CW74" s="613"/>
      <c r="CX74" s="613"/>
      <c r="CY74" s="613"/>
      <c r="CZ74" s="564"/>
      <c r="DA74" s="610">
        <v>68</v>
      </c>
      <c r="DB74" s="1061" t="str">
        <f t="shared" si="24"/>
        <v/>
      </c>
      <c r="DC74" s="1061"/>
      <c r="DD74" s="1061"/>
      <c r="DE74" s="1061"/>
      <c r="DF74" s="1061"/>
      <c r="DG74" s="1096" t="str">
        <f t="shared" si="25"/>
        <v/>
      </c>
      <c r="DH74" s="1096"/>
      <c r="DI74" s="565"/>
      <c r="DJ74" s="565"/>
      <c r="DK74" s="565"/>
      <c r="DL74" s="565"/>
      <c r="DM74" s="565"/>
      <c r="DN74" s="565"/>
      <c r="DO74" s="565"/>
      <c r="DP74" s="565"/>
      <c r="DQ74" s="565"/>
      <c r="DR74" s="565"/>
      <c r="DS74" s="565"/>
      <c r="DT74" s="565"/>
      <c r="DU74" s="565"/>
      <c r="DV74" s="565"/>
    </row>
    <row r="75" spans="1:126" x14ac:dyDescent="0.25">
      <c r="A75" s="613"/>
      <c r="B75" s="614">
        <v>28</v>
      </c>
      <c r="C75" s="613">
        <f t="shared" si="4"/>
        <v>0</v>
      </c>
      <c r="D75" s="613">
        <f>IF(C75=0,0,1+MAX(D$48:D74))</f>
        <v>0</v>
      </c>
      <c r="E75" s="613">
        <f t="shared" si="5"/>
        <v>0</v>
      </c>
      <c r="F75" s="613"/>
      <c r="G75" s="613"/>
      <c r="H75" s="613"/>
      <c r="I75" s="613"/>
      <c r="J75" s="613"/>
      <c r="K75" s="613"/>
      <c r="L75" s="614">
        <v>28</v>
      </c>
      <c r="M75" s="613">
        <f t="shared" si="6"/>
        <v>0</v>
      </c>
      <c r="N75" s="613">
        <f>IF(M75=0,0,1+MAX(N$48:N74))</f>
        <v>0</v>
      </c>
      <c r="O75" s="613">
        <f t="shared" si="7"/>
        <v>0</v>
      </c>
      <c r="P75" s="613"/>
      <c r="Q75" s="613"/>
      <c r="R75" s="613"/>
      <c r="S75" s="613"/>
      <c r="T75" s="613"/>
      <c r="U75" s="613"/>
      <c r="V75" s="614">
        <v>28</v>
      </c>
      <c r="W75" s="613">
        <f t="shared" si="8"/>
        <v>0</v>
      </c>
      <c r="X75" s="613">
        <f>IF(W75=0,0,1+MAX(X$48:X74))</f>
        <v>0</v>
      </c>
      <c r="Y75" s="613">
        <f t="shared" si="9"/>
        <v>0</v>
      </c>
      <c r="Z75" s="613"/>
      <c r="AA75" s="613"/>
      <c r="AB75" s="613"/>
      <c r="AC75" s="613"/>
      <c r="AD75" s="613"/>
      <c r="AE75" s="613"/>
      <c r="AF75" s="614">
        <v>28</v>
      </c>
      <c r="AG75" s="613">
        <f t="shared" si="10"/>
        <v>0</v>
      </c>
      <c r="AH75" s="613">
        <f>IF(AG75=0,0,1+MAX(AH$48:AH74))</f>
        <v>0</v>
      </c>
      <c r="AI75" s="613">
        <f t="shared" si="11"/>
        <v>0</v>
      </c>
      <c r="AJ75" s="613"/>
      <c r="AK75" s="613"/>
      <c r="AL75" s="613"/>
      <c r="AM75" s="613"/>
      <c r="AN75" s="613"/>
      <c r="AO75" s="613"/>
      <c r="AP75" s="614">
        <v>28</v>
      </c>
      <c r="AQ75" s="613">
        <f t="shared" si="12"/>
        <v>0</v>
      </c>
      <c r="AR75" s="613">
        <f>IF(AQ75=0,0,1+MAX(AR$48:AR74))</f>
        <v>0</v>
      </c>
      <c r="AS75" s="613">
        <f t="shared" si="13"/>
        <v>0</v>
      </c>
      <c r="AT75" s="613"/>
      <c r="AU75" s="613"/>
      <c r="AV75" s="613"/>
      <c r="AW75" s="613"/>
      <c r="AX75" s="613"/>
      <c r="AY75" s="613"/>
      <c r="AZ75" s="614">
        <v>28</v>
      </c>
      <c r="BA75" s="613">
        <f t="shared" si="14"/>
        <v>0</v>
      </c>
      <c r="BB75" s="613">
        <f>IF(BA75=0,0,1+MAX(BB$48:BB74))</f>
        <v>0</v>
      </c>
      <c r="BC75" s="613">
        <f t="shared" si="15"/>
        <v>0</v>
      </c>
      <c r="BD75" s="613"/>
      <c r="BE75" s="613"/>
      <c r="BF75" s="613"/>
      <c r="BG75" s="613"/>
      <c r="BH75" s="613"/>
      <c r="BI75" s="613"/>
      <c r="BJ75" s="614">
        <v>28</v>
      </c>
      <c r="BK75" s="613">
        <f t="shared" si="16"/>
        <v>0</v>
      </c>
      <c r="BL75" s="613">
        <f>IF(BK75=0,0,1+MAX(BL$48:BL74))</f>
        <v>0</v>
      </c>
      <c r="BM75" s="613">
        <f t="shared" si="17"/>
        <v>0</v>
      </c>
      <c r="BN75" s="613"/>
      <c r="BO75" s="613"/>
      <c r="BP75" s="613"/>
      <c r="BQ75" s="613"/>
      <c r="BR75" s="613"/>
      <c r="BS75" s="613"/>
      <c r="BT75" s="614">
        <v>28</v>
      </c>
      <c r="BU75" s="613">
        <f t="shared" si="18"/>
        <v>0</v>
      </c>
      <c r="BV75" s="613">
        <f>IF(BU75=0,0,1+MAX(BV$48:BV74))</f>
        <v>0</v>
      </c>
      <c r="BW75" s="613">
        <f t="shared" si="19"/>
        <v>0</v>
      </c>
      <c r="BX75" s="613"/>
      <c r="BY75" s="613"/>
      <c r="BZ75" s="613"/>
      <c r="CA75" s="613"/>
      <c r="CB75" s="613"/>
      <c r="CC75" s="613"/>
      <c r="CD75" s="614">
        <v>28</v>
      </c>
      <c r="CE75" s="613">
        <f t="shared" si="20"/>
        <v>0</v>
      </c>
      <c r="CF75" s="613">
        <f>IF(CE75=0,0,1+MAX(CF$48:CF74))</f>
        <v>0</v>
      </c>
      <c r="CG75" s="613">
        <f t="shared" si="21"/>
        <v>0</v>
      </c>
      <c r="CH75" s="613"/>
      <c r="CI75" s="613"/>
      <c r="CJ75" s="613"/>
      <c r="CK75" s="613"/>
      <c r="CL75" s="613"/>
      <c r="CM75" s="613"/>
      <c r="CN75" s="614">
        <v>28</v>
      </c>
      <c r="CO75" s="613">
        <f t="shared" si="22"/>
        <v>0</v>
      </c>
      <c r="CP75" s="613">
        <f>IF(CO75=0,0,1+MAX(CP$48:CP74))</f>
        <v>0</v>
      </c>
      <c r="CQ75" s="613">
        <f t="shared" si="23"/>
        <v>0</v>
      </c>
      <c r="CR75" s="613"/>
      <c r="CS75" s="613"/>
      <c r="CT75" s="613"/>
      <c r="CU75" s="613"/>
      <c r="CV75" s="613"/>
      <c r="CW75" s="613"/>
      <c r="CX75" s="613"/>
      <c r="CY75" s="613"/>
      <c r="CZ75" s="564"/>
      <c r="DA75" s="610">
        <v>69</v>
      </c>
      <c r="DB75" s="1061" t="str">
        <f t="shared" si="24"/>
        <v/>
      </c>
      <c r="DC75" s="1061"/>
      <c r="DD75" s="1061"/>
      <c r="DE75" s="1061"/>
      <c r="DF75" s="1061"/>
      <c r="DG75" s="1096" t="str">
        <f t="shared" si="25"/>
        <v/>
      </c>
      <c r="DH75" s="1096"/>
      <c r="DI75" s="565"/>
      <c r="DJ75" s="565"/>
      <c r="DK75" s="565"/>
      <c r="DL75" s="565"/>
      <c r="DM75" s="565"/>
      <c r="DN75" s="565"/>
      <c r="DO75" s="565"/>
      <c r="DP75" s="565"/>
      <c r="DQ75" s="565"/>
      <c r="DR75" s="565"/>
      <c r="DS75" s="565"/>
      <c r="DT75" s="565"/>
      <c r="DU75" s="565"/>
      <c r="DV75" s="565"/>
    </row>
    <row r="76" spans="1:126" x14ac:dyDescent="0.25">
      <c r="A76" s="613"/>
      <c r="B76" s="614">
        <v>29</v>
      </c>
      <c r="C76" s="613">
        <f t="shared" si="4"/>
        <v>0</v>
      </c>
      <c r="D76" s="613">
        <f>IF(C76=0,0,1+MAX(D$48:D75))</f>
        <v>0</v>
      </c>
      <c r="E76" s="613">
        <f t="shared" si="5"/>
        <v>0</v>
      </c>
      <c r="F76" s="613"/>
      <c r="G76" s="613"/>
      <c r="H76" s="613"/>
      <c r="I76" s="613"/>
      <c r="J76" s="613"/>
      <c r="K76" s="613"/>
      <c r="L76" s="614">
        <v>29</v>
      </c>
      <c r="M76" s="613">
        <f t="shared" si="6"/>
        <v>0</v>
      </c>
      <c r="N76" s="613">
        <f>IF(M76=0,0,1+MAX(N$48:N75))</f>
        <v>0</v>
      </c>
      <c r="O76" s="613">
        <f t="shared" si="7"/>
        <v>0</v>
      </c>
      <c r="P76" s="613"/>
      <c r="Q76" s="613"/>
      <c r="R76" s="613"/>
      <c r="S76" s="613"/>
      <c r="T76" s="613"/>
      <c r="U76" s="613"/>
      <c r="V76" s="614">
        <v>29</v>
      </c>
      <c r="W76" s="613">
        <f t="shared" si="8"/>
        <v>0</v>
      </c>
      <c r="X76" s="613">
        <f>IF(W76=0,0,1+MAX(X$48:X75))</f>
        <v>0</v>
      </c>
      <c r="Y76" s="613">
        <f t="shared" si="9"/>
        <v>0</v>
      </c>
      <c r="Z76" s="613"/>
      <c r="AA76" s="613"/>
      <c r="AB76" s="613"/>
      <c r="AC76" s="613"/>
      <c r="AD76" s="613"/>
      <c r="AE76" s="613"/>
      <c r="AF76" s="614">
        <v>29</v>
      </c>
      <c r="AG76" s="613">
        <f t="shared" si="10"/>
        <v>0</v>
      </c>
      <c r="AH76" s="613">
        <f>IF(AG76=0,0,1+MAX(AH$48:AH75))</f>
        <v>0</v>
      </c>
      <c r="AI76" s="613">
        <f t="shared" si="11"/>
        <v>0</v>
      </c>
      <c r="AJ76" s="613"/>
      <c r="AK76" s="613"/>
      <c r="AL76" s="613"/>
      <c r="AM76" s="613"/>
      <c r="AN76" s="613"/>
      <c r="AO76" s="613"/>
      <c r="AP76" s="614">
        <v>29</v>
      </c>
      <c r="AQ76" s="613">
        <f t="shared" si="12"/>
        <v>0</v>
      </c>
      <c r="AR76" s="613">
        <f>IF(AQ76=0,0,1+MAX(AR$48:AR75))</f>
        <v>0</v>
      </c>
      <c r="AS76" s="613">
        <f t="shared" si="13"/>
        <v>0</v>
      </c>
      <c r="AT76" s="613"/>
      <c r="AU76" s="613"/>
      <c r="AV76" s="613"/>
      <c r="AW76" s="613"/>
      <c r="AX76" s="613"/>
      <c r="AY76" s="613"/>
      <c r="AZ76" s="614">
        <v>29</v>
      </c>
      <c r="BA76" s="613">
        <f t="shared" si="14"/>
        <v>0</v>
      </c>
      <c r="BB76" s="613">
        <f>IF(BA76=0,0,1+MAX(BB$48:BB75))</f>
        <v>0</v>
      </c>
      <c r="BC76" s="613">
        <f t="shared" si="15"/>
        <v>0</v>
      </c>
      <c r="BD76" s="613"/>
      <c r="BE76" s="613"/>
      <c r="BF76" s="613"/>
      <c r="BG76" s="613"/>
      <c r="BH76" s="613"/>
      <c r="BI76" s="613"/>
      <c r="BJ76" s="614">
        <v>29</v>
      </c>
      <c r="BK76" s="613">
        <f t="shared" si="16"/>
        <v>0</v>
      </c>
      <c r="BL76" s="613">
        <f>IF(BK76=0,0,1+MAX(BL$48:BL75))</f>
        <v>0</v>
      </c>
      <c r="BM76" s="613">
        <f t="shared" si="17"/>
        <v>0</v>
      </c>
      <c r="BN76" s="613"/>
      <c r="BO76" s="613"/>
      <c r="BP76" s="613"/>
      <c r="BQ76" s="613"/>
      <c r="BR76" s="613"/>
      <c r="BS76" s="613"/>
      <c r="BT76" s="614">
        <v>29</v>
      </c>
      <c r="BU76" s="613">
        <f t="shared" si="18"/>
        <v>0</v>
      </c>
      <c r="BV76" s="613">
        <f>IF(BU76=0,0,1+MAX(BV$48:BV75))</f>
        <v>0</v>
      </c>
      <c r="BW76" s="613">
        <f t="shared" si="19"/>
        <v>0</v>
      </c>
      <c r="BX76" s="613"/>
      <c r="BY76" s="613"/>
      <c r="BZ76" s="613"/>
      <c r="CA76" s="613"/>
      <c r="CB76" s="613"/>
      <c r="CC76" s="613"/>
      <c r="CD76" s="614">
        <v>29</v>
      </c>
      <c r="CE76" s="613">
        <f t="shared" si="20"/>
        <v>0</v>
      </c>
      <c r="CF76" s="613">
        <f>IF(CE76=0,0,1+MAX(CF$48:CF75))</f>
        <v>0</v>
      </c>
      <c r="CG76" s="613">
        <f t="shared" si="21"/>
        <v>0</v>
      </c>
      <c r="CH76" s="613"/>
      <c r="CI76" s="613"/>
      <c r="CJ76" s="613"/>
      <c r="CK76" s="613"/>
      <c r="CL76" s="613"/>
      <c r="CM76" s="613"/>
      <c r="CN76" s="614">
        <v>29</v>
      </c>
      <c r="CO76" s="613">
        <f t="shared" si="22"/>
        <v>0</v>
      </c>
      <c r="CP76" s="613">
        <f>IF(CO76=0,0,1+MAX(CP$48:CP75))</f>
        <v>0</v>
      </c>
      <c r="CQ76" s="613">
        <f t="shared" si="23"/>
        <v>0</v>
      </c>
      <c r="CR76" s="613"/>
      <c r="CS76" s="613"/>
      <c r="CT76" s="613"/>
      <c r="CU76" s="613"/>
      <c r="CV76" s="613"/>
      <c r="CW76" s="613"/>
      <c r="CX76" s="613"/>
      <c r="CY76" s="613"/>
      <c r="CZ76" s="564"/>
      <c r="DA76" s="610">
        <v>70</v>
      </c>
      <c r="DB76" s="1061" t="str">
        <f t="shared" si="24"/>
        <v/>
      </c>
      <c r="DC76" s="1061"/>
      <c r="DD76" s="1061"/>
      <c r="DE76" s="1061"/>
      <c r="DF76" s="1061"/>
      <c r="DG76" s="1096" t="str">
        <f t="shared" si="25"/>
        <v/>
      </c>
      <c r="DH76" s="1096"/>
      <c r="DI76" s="565"/>
      <c r="DJ76" s="565"/>
      <c r="DK76" s="565"/>
      <c r="DL76" s="565"/>
      <c r="DM76" s="565"/>
      <c r="DN76" s="565"/>
      <c r="DO76" s="565"/>
      <c r="DP76" s="565"/>
      <c r="DQ76" s="565"/>
      <c r="DR76" s="565"/>
      <c r="DS76" s="565"/>
      <c r="DT76" s="565"/>
      <c r="DU76" s="565"/>
      <c r="DV76" s="565"/>
    </row>
    <row r="77" spans="1:126" x14ac:dyDescent="0.25">
      <c r="A77" s="613"/>
      <c r="B77" s="614">
        <v>30</v>
      </c>
      <c r="C77" s="613">
        <f t="shared" si="4"/>
        <v>0</v>
      </c>
      <c r="D77" s="613">
        <f>IF(C77=0,0,1+MAX(D$48:D76))</f>
        <v>0</v>
      </c>
      <c r="E77" s="613">
        <f t="shared" si="5"/>
        <v>0</v>
      </c>
      <c r="F77" s="613"/>
      <c r="G77" s="613"/>
      <c r="H77" s="613"/>
      <c r="I77" s="613"/>
      <c r="J77" s="613"/>
      <c r="K77" s="613"/>
      <c r="L77" s="614">
        <v>30</v>
      </c>
      <c r="M77" s="613">
        <f t="shared" si="6"/>
        <v>0</v>
      </c>
      <c r="N77" s="613">
        <f>IF(M77=0,0,1+MAX(N$48:N76))</f>
        <v>0</v>
      </c>
      <c r="O77" s="613">
        <f t="shared" si="7"/>
        <v>0</v>
      </c>
      <c r="P77" s="613"/>
      <c r="Q77" s="613"/>
      <c r="R77" s="613"/>
      <c r="S77" s="613"/>
      <c r="T77" s="613"/>
      <c r="U77" s="613"/>
      <c r="V77" s="614">
        <v>30</v>
      </c>
      <c r="W77" s="613">
        <f t="shared" si="8"/>
        <v>0</v>
      </c>
      <c r="X77" s="613">
        <f>IF(W77=0,0,1+MAX(X$48:X76))</f>
        <v>0</v>
      </c>
      <c r="Y77" s="613">
        <f t="shared" si="9"/>
        <v>0</v>
      </c>
      <c r="Z77" s="613"/>
      <c r="AA77" s="613"/>
      <c r="AB77" s="613"/>
      <c r="AC77" s="613"/>
      <c r="AD77" s="613"/>
      <c r="AE77" s="613"/>
      <c r="AF77" s="614">
        <v>30</v>
      </c>
      <c r="AG77" s="613">
        <f t="shared" si="10"/>
        <v>0</v>
      </c>
      <c r="AH77" s="613">
        <f>IF(AG77=0,0,1+MAX(AH$48:AH76))</f>
        <v>0</v>
      </c>
      <c r="AI77" s="613">
        <f t="shared" si="11"/>
        <v>0</v>
      </c>
      <c r="AJ77" s="613"/>
      <c r="AK77" s="613"/>
      <c r="AL77" s="613"/>
      <c r="AM77" s="613"/>
      <c r="AN77" s="613"/>
      <c r="AO77" s="613"/>
      <c r="AP77" s="614">
        <v>30</v>
      </c>
      <c r="AQ77" s="613">
        <f t="shared" si="12"/>
        <v>0</v>
      </c>
      <c r="AR77" s="613">
        <f>IF(AQ77=0,0,1+MAX(AR$48:AR76))</f>
        <v>0</v>
      </c>
      <c r="AS77" s="613">
        <f t="shared" si="13"/>
        <v>0</v>
      </c>
      <c r="AT77" s="613"/>
      <c r="AU77" s="613"/>
      <c r="AV77" s="613"/>
      <c r="AW77" s="613"/>
      <c r="AX77" s="613"/>
      <c r="AY77" s="613"/>
      <c r="AZ77" s="614">
        <v>30</v>
      </c>
      <c r="BA77" s="613">
        <f t="shared" si="14"/>
        <v>0</v>
      </c>
      <c r="BB77" s="613">
        <f>IF(BA77=0,0,1+MAX(BB$48:BB76))</f>
        <v>0</v>
      </c>
      <c r="BC77" s="613">
        <f t="shared" si="15"/>
        <v>0</v>
      </c>
      <c r="BD77" s="613"/>
      <c r="BE77" s="613"/>
      <c r="BF77" s="613"/>
      <c r="BG77" s="613"/>
      <c r="BH77" s="613"/>
      <c r="BI77" s="613"/>
      <c r="BJ77" s="614">
        <v>30</v>
      </c>
      <c r="BK77" s="613">
        <f t="shared" si="16"/>
        <v>0</v>
      </c>
      <c r="BL77" s="613">
        <f>IF(BK77=0,0,1+MAX(BL$48:BL76))</f>
        <v>0</v>
      </c>
      <c r="BM77" s="613">
        <f t="shared" si="17"/>
        <v>0</v>
      </c>
      <c r="BN77" s="613"/>
      <c r="BO77" s="613"/>
      <c r="BP77" s="613"/>
      <c r="BQ77" s="613"/>
      <c r="BR77" s="613"/>
      <c r="BS77" s="613"/>
      <c r="BT77" s="614">
        <v>30</v>
      </c>
      <c r="BU77" s="613">
        <f t="shared" si="18"/>
        <v>0</v>
      </c>
      <c r="BV77" s="613">
        <f>IF(BU77=0,0,1+MAX(BV$48:BV76))</f>
        <v>0</v>
      </c>
      <c r="BW77" s="613">
        <f t="shared" si="19"/>
        <v>0</v>
      </c>
      <c r="BX77" s="613"/>
      <c r="BY77" s="613"/>
      <c r="BZ77" s="613"/>
      <c r="CA77" s="613"/>
      <c r="CB77" s="613"/>
      <c r="CC77" s="613"/>
      <c r="CD77" s="614">
        <v>30</v>
      </c>
      <c r="CE77" s="613">
        <f t="shared" si="20"/>
        <v>0</v>
      </c>
      <c r="CF77" s="613">
        <f>IF(CE77=0,0,1+MAX(CF$48:CF76))</f>
        <v>0</v>
      </c>
      <c r="CG77" s="613">
        <f t="shared" si="21"/>
        <v>0</v>
      </c>
      <c r="CH77" s="613"/>
      <c r="CI77" s="613"/>
      <c r="CJ77" s="613"/>
      <c r="CK77" s="613"/>
      <c r="CL77" s="613"/>
      <c r="CM77" s="613"/>
      <c r="CN77" s="614">
        <v>30</v>
      </c>
      <c r="CO77" s="613">
        <f t="shared" si="22"/>
        <v>0</v>
      </c>
      <c r="CP77" s="613">
        <f>IF(CO77=0,0,1+MAX(CP$48:CP76))</f>
        <v>0</v>
      </c>
      <c r="CQ77" s="613">
        <f t="shared" si="23"/>
        <v>0</v>
      </c>
      <c r="CR77" s="613"/>
      <c r="CS77" s="613"/>
      <c r="CT77" s="613"/>
      <c r="CU77" s="613"/>
      <c r="CV77" s="613"/>
      <c r="CW77" s="613"/>
      <c r="CX77" s="613"/>
      <c r="CY77" s="613"/>
      <c r="CZ77" s="564"/>
      <c r="DA77" s="610">
        <v>71</v>
      </c>
      <c r="DB77" s="1061" t="str">
        <f t="shared" si="24"/>
        <v/>
      </c>
      <c r="DC77" s="1061"/>
      <c r="DD77" s="1061"/>
      <c r="DE77" s="1061"/>
      <c r="DF77" s="1061"/>
      <c r="DG77" s="1096" t="str">
        <f t="shared" si="25"/>
        <v/>
      </c>
      <c r="DH77" s="1096"/>
      <c r="DI77" s="565"/>
      <c r="DJ77" s="565"/>
      <c r="DK77" s="565"/>
      <c r="DL77" s="565"/>
      <c r="DM77" s="565"/>
      <c r="DN77" s="565"/>
      <c r="DO77" s="565"/>
      <c r="DP77" s="565"/>
      <c r="DQ77" s="565"/>
      <c r="DR77" s="565"/>
      <c r="DS77" s="565"/>
      <c r="DT77" s="565"/>
      <c r="DU77" s="565"/>
      <c r="DV77" s="565"/>
    </row>
    <row r="78" spans="1:126" x14ac:dyDescent="0.25">
      <c r="A78" s="613"/>
      <c r="B78" s="614">
        <v>31</v>
      </c>
      <c r="C78" s="613">
        <f t="shared" si="4"/>
        <v>0</v>
      </c>
      <c r="D78" s="613">
        <f>IF(C78=0,0,1+MAX(D$48:D77))</f>
        <v>0</v>
      </c>
      <c r="E78" s="613">
        <f t="shared" si="5"/>
        <v>0</v>
      </c>
      <c r="F78" s="613"/>
      <c r="G78" s="613"/>
      <c r="H78" s="613"/>
      <c r="I78" s="613"/>
      <c r="J78" s="613"/>
      <c r="K78" s="613"/>
      <c r="L78" s="614">
        <v>31</v>
      </c>
      <c r="M78" s="613">
        <f t="shared" si="6"/>
        <v>0</v>
      </c>
      <c r="N78" s="613">
        <f>IF(M78=0,0,1+MAX(N$48:N77))</f>
        <v>0</v>
      </c>
      <c r="O78" s="613">
        <f t="shared" si="7"/>
        <v>0</v>
      </c>
      <c r="P78" s="613"/>
      <c r="Q78" s="613"/>
      <c r="R78" s="613"/>
      <c r="S78" s="613"/>
      <c r="T78" s="613"/>
      <c r="U78" s="613"/>
      <c r="V78" s="614">
        <v>31</v>
      </c>
      <c r="W78" s="613">
        <f t="shared" si="8"/>
        <v>0</v>
      </c>
      <c r="X78" s="613">
        <f>IF(W78=0,0,1+MAX(X$48:X77))</f>
        <v>0</v>
      </c>
      <c r="Y78" s="613">
        <f t="shared" si="9"/>
        <v>0</v>
      </c>
      <c r="Z78" s="613"/>
      <c r="AA78" s="613"/>
      <c r="AB78" s="613"/>
      <c r="AC78" s="613"/>
      <c r="AD78" s="613"/>
      <c r="AE78" s="613"/>
      <c r="AF78" s="614">
        <v>31</v>
      </c>
      <c r="AG78" s="613">
        <f t="shared" si="10"/>
        <v>0</v>
      </c>
      <c r="AH78" s="613">
        <f>IF(AG78=0,0,1+MAX(AH$48:AH77))</f>
        <v>0</v>
      </c>
      <c r="AI78" s="613">
        <f t="shared" si="11"/>
        <v>0</v>
      </c>
      <c r="AJ78" s="613"/>
      <c r="AK78" s="613"/>
      <c r="AL78" s="613"/>
      <c r="AM78" s="613"/>
      <c r="AN78" s="613"/>
      <c r="AO78" s="613"/>
      <c r="AP78" s="614">
        <v>31</v>
      </c>
      <c r="AQ78" s="613">
        <f t="shared" si="12"/>
        <v>0</v>
      </c>
      <c r="AR78" s="613">
        <f>IF(AQ78=0,0,1+MAX(AR$48:AR77))</f>
        <v>0</v>
      </c>
      <c r="AS78" s="613">
        <f t="shared" si="13"/>
        <v>0</v>
      </c>
      <c r="AT78" s="613"/>
      <c r="AU78" s="613"/>
      <c r="AV78" s="613"/>
      <c r="AW78" s="613"/>
      <c r="AX78" s="613"/>
      <c r="AY78" s="613"/>
      <c r="AZ78" s="614">
        <v>31</v>
      </c>
      <c r="BA78" s="613">
        <f t="shared" si="14"/>
        <v>0</v>
      </c>
      <c r="BB78" s="613">
        <f>IF(BA78=0,0,1+MAX(BB$48:BB77))</f>
        <v>0</v>
      </c>
      <c r="BC78" s="613">
        <f t="shared" si="15"/>
        <v>0</v>
      </c>
      <c r="BD78" s="613"/>
      <c r="BE78" s="613"/>
      <c r="BF78" s="613"/>
      <c r="BG78" s="613"/>
      <c r="BH78" s="613"/>
      <c r="BI78" s="613"/>
      <c r="BJ78" s="614">
        <v>31</v>
      </c>
      <c r="BK78" s="613">
        <f t="shared" si="16"/>
        <v>0</v>
      </c>
      <c r="BL78" s="613">
        <f>IF(BK78=0,0,1+MAX(BL$48:BL77))</f>
        <v>0</v>
      </c>
      <c r="BM78" s="613">
        <f t="shared" si="17"/>
        <v>0</v>
      </c>
      <c r="BN78" s="613"/>
      <c r="BO78" s="613"/>
      <c r="BP78" s="613"/>
      <c r="BQ78" s="613"/>
      <c r="BR78" s="613"/>
      <c r="BS78" s="613"/>
      <c r="BT78" s="614">
        <v>31</v>
      </c>
      <c r="BU78" s="613">
        <f t="shared" si="18"/>
        <v>0</v>
      </c>
      <c r="BV78" s="613">
        <f>IF(BU78=0,0,1+MAX(BV$48:BV77))</f>
        <v>0</v>
      </c>
      <c r="BW78" s="613">
        <f t="shared" si="19"/>
        <v>0</v>
      </c>
      <c r="BX78" s="613"/>
      <c r="BY78" s="613"/>
      <c r="BZ78" s="613"/>
      <c r="CA78" s="613"/>
      <c r="CB78" s="613"/>
      <c r="CC78" s="613"/>
      <c r="CD78" s="614">
        <v>31</v>
      </c>
      <c r="CE78" s="613">
        <f t="shared" si="20"/>
        <v>0</v>
      </c>
      <c r="CF78" s="613">
        <f>IF(CE78=0,0,1+MAX(CF$48:CF77))</f>
        <v>0</v>
      </c>
      <c r="CG78" s="613">
        <f t="shared" si="21"/>
        <v>0</v>
      </c>
      <c r="CH78" s="613"/>
      <c r="CI78" s="613"/>
      <c r="CJ78" s="613"/>
      <c r="CK78" s="613"/>
      <c r="CL78" s="613"/>
      <c r="CM78" s="613"/>
      <c r="CN78" s="614">
        <v>31</v>
      </c>
      <c r="CO78" s="613">
        <f t="shared" si="22"/>
        <v>0</v>
      </c>
      <c r="CP78" s="613">
        <f>IF(CO78=0,0,1+MAX(CP$48:CP77))</f>
        <v>0</v>
      </c>
      <c r="CQ78" s="613">
        <f t="shared" si="23"/>
        <v>0</v>
      </c>
      <c r="CR78" s="613"/>
      <c r="CS78" s="613"/>
      <c r="CT78" s="613"/>
      <c r="CU78" s="613"/>
      <c r="CV78" s="613"/>
      <c r="CW78" s="613"/>
      <c r="CX78" s="613"/>
      <c r="CY78" s="613"/>
      <c r="CZ78" s="564"/>
      <c r="DA78" s="610">
        <v>72</v>
      </c>
      <c r="DB78" s="1061" t="str">
        <f t="shared" si="24"/>
        <v/>
      </c>
      <c r="DC78" s="1061"/>
      <c r="DD78" s="1061"/>
      <c r="DE78" s="1061"/>
      <c r="DF78" s="1061"/>
      <c r="DG78" s="1096" t="str">
        <f t="shared" si="25"/>
        <v/>
      </c>
      <c r="DH78" s="1096"/>
      <c r="DI78" s="565"/>
      <c r="DJ78" s="565"/>
      <c r="DK78" s="565"/>
      <c r="DL78" s="565"/>
      <c r="DM78" s="565"/>
      <c r="DN78" s="565"/>
      <c r="DO78" s="565"/>
      <c r="DP78" s="565"/>
      <c r="DQ78" s="565"/>
      <c r="DR78" s="565"/>
      <c r="DS78" s="565"/>
      <c r="DT78" s="565"/>
      <c r="DU78" s="565"/>
      <c r="DV78" s="565"/>
    </row>
    <row r="79" spans="1:126" x14ac:dyDescent="0.25">
      <c r="A79" s="613"/>
      <c r="B79" s="614">
        <v>32</v>
      </c>
      <c r="C79" s="613">
        <f t="shared" si="4"/>
        <v>0</v>
      </c>
      <c r="D79" s="613">
        <f>IF(C79=0,0,1+MAX(D$48:D78))</f>
        <v>0</v>
      </c>
      <c r="E79" s="613">
        <f t="shared" si="5"/>
        <v>0</v>
      </c>
      <c r="F79" s="613"/>
      <c r="G79" s="613"/>
      <c r="H79" s="613"/>
      <c r="I79" s="613"/>
      <c r="J79" s="613"/>
      <c r="K79" s="613"/>
      <c r="L79" s="614">
        <v>32</v>
      </c>
      <c r="M79" s="613">
        <f t="shared" si="6"/>
        <v>0</v>
      </c>
      <c r="N79" s="613">
        <f>IF(M79=0,0,1+MAX(N$48:N78))</f>
        <v>0</v>
      </c>
      <c r="O79" s="613">
        <f t="shared" si="7"/>
        <v>0</v>
      </c>
      <c r="P79" s="613"/>
      <c r="Q79" s="613"/>
      <c r="R79" s="613"/>
      <c r="S79" s="613"/>
      <c r="T79" s="613"/>
      <c r="U79" s="613"/>
      <c r="V79" s="614">
        <v>32</v>
      </c>
      <c r="W79" s="613">
        <f t="shared" si="8"/>
        <v>0</v>
      </c>
      <c r="X79" s="613">
        <f>IF(W79=0,0,1+MAX(X$48:X78))</f>
        <v>0</v>
      </c>
      <c r="Y79" s="613">
        <f t="shared" si="9"/>
        <v>0</v>
      </c>
      <c r="Z79" s="613"/>
      <c r="AA79" s="613"/>
      <c r="AB79" s="613"/>
      <c r="AC79" s="613"/>
      <c r="AD79" s="613"/>
      <c r="AE79" s="613"/>
      <c r="AF79" s="614">
        <v>32</v>
      </c>
      <c r="AG79" s="613">
        <f t="shared" si="10"/>
        <v>0</v>
      </c>
      <c r="AH79" s="613">
        <f>IF(AG79=0,0,1+MAX(AH$48:AH78))</f>
        <v>0</v>
      </c>
      <c r="AI79" s="613">
        <f t="shared" si="11"/>
        <v>0</v>
      </c>
      <c r="AJ79" s="613"/>
      <c r="AK79" s="613"/>
      <c r="AL79" s="613"/>
      <c r="AM79" s="613"/>
      <c r="AN79" s="613"/>
      <c r="AO79" s="613"/>
      <c r="AP79" s="614">
        <v>32</v>
      </c>
      <c r="AQ79" s="613">
        <f t="shared" si="12"/>
        <v>0</v>
      </c>
      <c r="AR79" s="613">
        <f>IF(AQ79=0,0,1+MAX(AR$48:AR78))</f>
        <v>0</v>
      </c>
      <c r="AS79" s="613">
        <f t="shared" si="13"/>
        <v>0</v>
      </c>
      <c r="AT79" s="613"/>
      <c r="AU79" s="613"/>
      <c r="AV79" s="613"/>
      <c r="AW79" s="613"/>
      <c r="AX79" s="613"/>
      <c r="AY79" s="613"/>
      <c r="AZ79" s="614">
        <v>32</v>
      </c>
      <c r="BA79" s="613">
        <f t="shared" si="14"/>
        <v>0</v>
      </c>
      <c r="BB79" s="613">
        <f>IF(BA79=0,0,1+MAX(BB$48:BB78))</f>
        <v>0</v>
      </c>
      <c r="BC79" s="613">
        <f t="shared" si="15"/>
        <v>0</v>
      </c>
      <c r="BD79" s="613"/>
      <c r="BE79" s="613"/>
      <c r="BF79" s="613"/>
      <c r="BG79" s="613"/>
      <c r="BH79" s="613"/>
      <c r="BI79" s="613"/>
      <c r="BJ79" s="614">
        <v>32</v>
      </c>
      <c r="BK79" s="613">
        <f t="shared" si="16"/>
        <v>0</v>
      </c>
      <c r="BL79" s="613">
        <f>IF(BK79=0,0,1+MAX(BL$48:BL78))</f>
        <v>0</v>
      </c>
      <c r="BM79" s="613">
        <f t="shared" si="17"/>
        <v>0</v>
      </c>
      <c r="BN79" s="613"/>
      <c r="BO79" s="613"/>
      <c r="BP79" s="613"/>
      <c r="BQ79" s="613"/>
      <c r="BR79" s="613"/>
      <c r="BS79" s="613"/>
      <c r="BT79" s="614">
        <v>32</v>
      </c>
      <c r="BU79" s="613">
        <f t="shared" si="18"/>
        <v>0</v>
      </c>
      <c r="BV79" s="613">
        <f>IF(BU79=0,0,1+MAX(BV$48:BV78))</f>
        <v>0</v>
      </c>
      <c r="BW79" s="613">
        <f t="shared" si="19"/>
        <v>0</v>
      </c>
      <c r="BX79" s="613"/>
      <c r="BY79" s="613"/>
      <c r="BZ79" s="613"/>
      <c r="CA79" s="613"/>
      <c r="CB79" s="613"/>
      <c r="CC79" s="613"/>
      <c r="CD79" s="614">
        <v>32</v>
      </c>
      <c r="CE79" s="613">
        <f t="shared" si="20"/>
        <v>0</v>
      </c>
      <c r="CF79" s="613">
        <f>IF(CE79=0,0,1+MAX(CF$48:CF78))</f>
        <v>0</v>
      </c>
      <c r="CG79" s="613">
        <f t="shared" si="21"/>
        <v>0</v>
      </c>
      <c r="CH79" s="613"/>
      <c r="CI79" s="613"/>
      <c r="CJ79" s="613"/>
      <c r="CK79" s="613"/>
      <c r="CL79" s="613"/>
      <c r="CM79" s="613"/>
      <c r="CN79" s="614">
        <v>32</v>
      </c>
      <c r="CO79" s="613">
        <f t="shared" si="22"/>
        <v>0</v>
      </c>
      <c r="CP79" s="613">
        <f>IF(CO79=0,0,1+MAX(CP$48:CP78))</f>
        <v>0</v>
      </c>
      <c r="CQ79" s="613">
        <f t="shared" si="23"/>
        <v>0</v>
      </c>
      <c r="CR79" s="613"/>
      <c r="CS79" s="613"/>
      <c r="CT79" s="613"/>
      <c r="CU79" s="613"/>
      <c r="CV79" s="613"/>
      <c r="CW79" s="613"/>
      <c r="CX79" s="613"/>
      <c r="CY79" s="613"/>
      <c r="CZ79" s="564"/>
      <c r="DA79" s="610">
        <v>73</v>
      </c>
      <c r="DB79" s="1061" t="str">
        <f t="shared" si="24"/>
        <v/>
      </c>
      <c r="DC79" s="1061"/>
      <c r="DD79" s="1061"/>
      <c r="DE79" s="1061"/>
      <c r="DF79" s="1061"/>
      <c r="DG79" s="1096" t="str">
        <f t="shared" si="25"/>
        <v/>
      </c>
      <c r="DH79" s="1096"/>
      <c r="DI79" s="565"/>
      <c r="DJ79" s="565"/>
      <c r="DK79" s="565"/>
      <c r="DL79" s="565"/>
      <c r="DM79" s="565"/>
      <c r="DN79" s="565"/>
      <c r="DO79" s="565"/>
      <c r="DP79" s="565"/>
      <c r="DQ79" s="565"/>
      <c r="DR79" s="565"/>
      <c r="DS79" s="565"/>
      <c r="DT79" s="565"/>
      <c r="DU79" s="565"/>
      <c r="DV79" s="565"/>
    </row>
    <row r="80" spans="1:126" x14ac:dyDescent="0.25">
      <c r="A80" s="613"/>
      <c r="B80" s="614">
        <v>33</v>
      </c>
      <c r="C80" s="613">
        <f t="shared" si="4"/>
        <v>0</v>
      </c>
      <c r="D80" s="613">
        <f>IF(C80=0,0,1+MAX(D$48:D79))</f>
        <v>0</v>
      </c>
      <c r="E80" s="613">
        <f t="shared" si="5"/>
        <v>0</v>
      </c>
      <c r="F80" s="613"/>
      <c r="G80" s="613"/>
      <c r="H80" s="613"/>
      <c r="I80" s="613"/>
      <c r="J80" s="613"/>
      <c r="K80" s="613"/>
      <c r="L80" s="614">
        <v>33</v>
      </c>
      <c r="M80" s="613">
        <f t="shared" si="6"/>
        <v>0</v>
      </c>
      <c r="N80" s="613">
        <f>IF(M80=0,0,1+MAX(N$48:N79))</f>
        <v>0</v>
      </c>
      <c r="O80" s="613">
        <f t="shared" si="7"/>
        <v>0</v>
      </c>
      <c r="P80" s="613"/>
      <c r="Q80" s="613"/>
      <c r="R80" s="613"/>
      <c r="S80" s="613"/>
      <c r="T80" s="613"/>
      <c r="U80" s="613"/>
      <c r="V80" s="614">
        <v>33</v>
      </c>
      <c r="W80" s="613">
        <f t="shared" si="8"/>
        <v>0</v>
      </c>
      <c r="X80" s="613">
        <f>IF(W80=0,0,1+MAX(X$48:X79))</f>
        <v>0</v>
      </c>
      <c r="Y80" s="613">
        <f t="shared" si="9"/>
        <v>0</v>
      </c>
      <c r="Z80" s="613"/>
      <c r="AA80" s="613"/>
      <c r="AB80" s="613"/>
      <c r="AC80" s="613"/>
      <c r="AD80" s="613"/>
      <c r="AE80" s="613"/>
      <c r="AF80" s="614">
        <v>33</v>
      </c>
      <c r="AG80" s="613">
        <f t="shared" si="10"/>
        <v>0</v>
      </c>
      <c r="AH80" s="613">
        <f>IF(AG80=0,0,1+MAX(AH$48:AH79))</f>
        <v>0</v>
      </c>
      <c r="AI80" s="613">
        <f t="shared" si="11"/>
        <v>0</v>
      </c>
      <c r="AJ80" s="613"/>
      <c r="AK80" s="613"/>
      <c r="AL80" s="613"/>
      <c r="AM80" s="613"/>
      <c r="AN80" s="613"/>
      <c r="AO80" s="613"/>
      <c r="AP80" s="614">
        <v>33</v>
      </c>
      <c r="AQ80" s="613">
        <f t="shared" si="12"/>
        <v>0</v>
      </c>
      <c r="AR80" s="613">
        <f>IF(AQ80=0,0,1+MAX(AR$48:AR79))</f>
        <v>0</v>
      </c>
      <c r="AS80" s="613">
        <f t="shared" si="13"/>
        <v>0</v>
      </c>
      <c r="AT80" s="613"/>
      <c r="AU80" s="613"/>
      <c r="AV80" s="613"/>
      <c r="AW80" s="613"/>
      <c r="AX80" s="613"/>
      <c r="AY80" s="613"/>
      <c r="AZ80" s="614">
        <v>33</v>
      </c>
      <c r="BA80" s="613">
        <f t="shared" si="14"/>
        <v>0</v>
      </c>
      <c r="BB80" s="613">
        <f>IF(BA80=0,0,1+MAX(BB$48:BB79))</f>
        <v>0</v>
      </c>
      <c r="BC80" s="613">
        <f t="shared" si="15"/>
        <v>0</v>
      </c>
      <c r="BD80" s="613"/>
      <c r="BE80" s="613"/>
      <c r="BF80" s="613"/>
      <c r="BG80" s="613"/>
      <c r="BH80" s="613"/>
      <c r="BI80" s="613"/>
      <c r="BJ80" s="614">
        <v>33</v>
      </c>
      <c r="BK80" s="613">
        <f t="shared" si="16"/>
        <v>0</v>
      </c>
      <c r="BL80" s="613">
        <f>IF(BK80=0,0,1+MAX(BL$48:BL79))</f>
        <v>0</v>
      </c>
      <c r="BM80" s="613">
        <f t="shared" si="17"/>
        <v>0</v>
      </c>
      <c r="BN80" s="613"/>
      <c r="BO80" s="613"/>
      <c r="BP80" s="613"/>
      <c r="BQ80" s="613"/>
      <c r="BR80" s="613"/>
      <c r="BS80" s="613"/>
      <c r="BT80" s="614">
        <v>33</v>
      </c>
      <c r="BU80" s="613">
        <f t="shared" si="18"/>
        <v>0</v>
      </c>
      <c r="BV80" s="613">
        <f>IF(BU80=0,0,1+MAX(BV$48:BV79))</f>
        <v>0</v>
      </c>
      <c r="BW80" s="613">
        <f t="shared" si="19"/>
        <v>0</v>
      </c>
      <c r="BX80" s="613"/>
      <c r="BY80" s="613"/>
      <c r="BZ80" s="613"/>
      <c r="CA80" s="613"/>
      <c r="CB80" s="613"/>
      <c r="CC80" s="613"/>
      <c r="CD80" s="614">
        <v>33</v>
      </c>
      <c r="CE80" s="613">
        <f t="shared" si="20"/>
        <v>0</v>
      </c>
      <c r="CF80" s="613">
        <f>IF(CE80=0,0,1+MAX(CF$48:CF79))</f>
        <v>0</v>
      </c>
      <c r="CG80" s="613">
        <f t="shared" si="21"/>
        <v>0</v>
      </c>
      <c r="CH80" s="613"/>
      <c r="CI80" s="613"/>
      <c r="CJ80" s="613"/>
      <c r="CK80" s="613"/>
      <c r="CL80" s="613"/>
      <c r="CM80" s="613"/>
      <c r="CN80" s="614">
        <v>33</v>
      </c>
      <c r="CO80" s="613">
        <f t="shared" si="22"/>
        <v>0</v>
      </c>
      <c r="CP80" s="613">
        <f>IF(CO80=0,0,1+MAX(CP$48:CP79))</f>
        <v>0</v>
      </c>
      <c r="CQ80" s="613">
        <f t="shared" si="23"/>
        <v>0</v>
      </c>
      <c r="CR80" s="613"/>
      <c r="CS80" s="613"/>
      <c r="CT80" s="613"/>
      <c r="CU80" s="613"/>
      <c r="CV80" s="613"/>
      <c r="CW80" s="613"/>
      <c r="CX80" s="613"/>
      <c r="CY80" s="613"/>
      <c r="CZ80" s="564"/>
      <c r="DA80" s="610">
        <v>74</v>
      </c>
      <c r="DB80" s="1061" t="str">
        <f t="shared" si="24"/>
        <v/>
      </c>
      <c r="DC80" s="1061"/>
      <c r="DD80" s="1061"/>
      <c r="DE80" s="1061"/>
      <c r="DF80" s="1061"/>
      <c r="DG80" s="1096" t="str">
        <f t="shared" si="25"/>
        <v/>
      </c>
      <c r="DH80" s="1096"/>
      <c r="DI80" s="565"/>
      <c r="DJ80" s="565"/>
      <c r="DK80" s="565"/>
      <c r="DL80" s="565"/>
      <c r="DM80" s="565"/>
      <c r="DN80" s="565"/>
      <c r="DO80" s="565"/>
      <c r="DP80" s="565"/>
      <c r="DQ80" s="565"/>
      <c r="DR80" s="565"/>
      <c r="DS80" s="565"/>
      <c r="DT80" s="565"/>
      <c r="DU80" s="565"/>
      <c r="DV80" s="565"/>
    </row>
    <row r="81" spans="1:126" x14ac:dyDescent="0.25">
      <c r="A81" s="613"/>
      <c r="B81" s="614">
        <v>34</v>
      </c>
      <c r="C81" s="613">
        <f t="shared" si="4"/>
        <v>0</v>
      </c>
      <c r="D81" s="613">
        <f>IF(C81=0,0,1+MAX(D$48:D80))</f>
        <v>0</v>
      </c>
      <c r="E81" s="613">
        <f t="shared" si="5"/>
        <v>0</v>
      </c>
      <c r="F81" s="613"/>
      <c r="G81" s="613"/>
      <c r="H81" s="613"/>
      <c r="I81" s="613"/>
      <c r="J81" s="613"/>
      <c r="K81" s="613"/>
      <c r="L81" s="614">
        <v>34</v>
      </c>
      <c r="M81" s="613">
        <f t="shared" si="6"/>
        <v>0</v>
      </c>
      <c r="N81" s="613">
        <f>IF(M81=0,0,1+MAX(N$48:N80))</f>
        <v>0</v>
      </c>
      <c r="O81" s="613">
        <f t="shared" si="7"/>
        <v>0</v>
      </c>
      <c r="P81" s="613"/>
      <c r="Q81" s="613"/>
      <c r="R81" s="613"/>
      <c r="S81" s="613"/>
      <c r="T81" s="613"/>
      <c r="U81" s="613"/>
      <c r="V81" s="614">
        <v>34</v>
      </c>
      <c r="W81" s="613">
        <f t="shared" si="8"/>
        <v>0</v>
      </c>
      <c r="X81" s="613">
        <f>IF(W81=0,0,1+MAX(X$48:X80))</f>
        <v>0</v>
      </c>
      <c r="Y81" s="613">
        <f t="shared" si="9"/>
        <v>0</v>
      </c>
      <c r="Z81" s="613"/>
      <c r="AA81" s="613"/>
      <c r="AB81" s="613"/>
      <c r="AC81" s="613"/>
      <c r="AD81" s="613"/>
      <c r="AE81" s="613"/>
      <c r="AF81" s="614">
        <v>34</v>
      </c>
      <c r="AG81" s="613">
        <f t="shared" si="10"/>
        <v>0</v>
      </c>
      <c r="AH81" s="613">
        <f>IF(AG81=0,0,1+MAX(AH$48:AH80))</f>
        <v>0</v>
      </c>
      <c r="AI81" s="613">
        <f t="shared" si="11"/>
        <v>0</v>
      </c>
      <c r="AJ81" s="613"/>
      <c r="AK81" s="613"/>
      <c r="AL81" s="613"/>
      <c r="AM81" s="613"/>
      <c r="AN81" s="613"/>
      <c r="AO81" s="613"/>
      <c r="AP81" s="614">
        <v>34</v>
      </c>
      <c r="AQ81" s="613">
        <f t="shared" si="12"/>
        <v>0</v>
      </c>
      <c r="AR81" s="613">
        <f>IF(AQ81=0,0,1+MAX(AR$48:AR80))</f>
        <v>0</v>
      </c>
      <c r="AS81" s="613">
        <f t="shared" si="13"/>
        <v>0</v>
      </c>
      <c r="AT81" s="613"/>
      <c r="AU81" s="613"/>
      <c r="AV81" s="613"/>
      <c r="AW81" s="613"/>
      <c r="AX81" s="613"/>
      <c r="AY81" s="613"/>
      <c r="AZ81" s="614">
        <v>34</v>
      </c>
      <c r="BA81" s="613">
        <f t="shared" si="14"/>
        <v>0</v>
      </c>
      <c r="BB81" s="613">
        <f>IF(BA81=0,0,1+MAX(BB$48:BB80))</f>
        <v>0</v>
      </c>
      <c r="BC81" s="613">
        <f t="shared" si="15"/>
        <v>0</v>
      </c>
      <c r="BD81" s="613"/>
      <c r="BE81" s="613"/>
      <c r="BF81" s="613"/>
      <c r="BG81" s="613"/>
      <c r="BH81" s="613"/>
      <c r="BI81" s="613"/>
      <c r="BJ81" s="614">
        <v>34</v>
      </c>
      <c r="BK81" s="613">
        <f t="shared" si="16"/>
        <v>0</v>
      </c>
      <c r="BL81" s="613">
        <f>IF(BK81=0,0,1+MAX(BL$48:BL80))</f>
        <v>0</v>
      </c>
      <c r="BM81" s="613">
        <f t="shared" si="17"/>
        <v>0</v>
      </c>
      <c r="BN81" s="613"/>
      <c r="BO81" s="613"/>
      <c r="BP81" s="613"/>
      <c r="BQ81" s="613"/>
      <c r="BR81" s="613"/>
      <c r="BS81" s="613"/>
      <c r="BT81" s="614">
        <v>34</v>
      </c>
      <c r="BU81" s="613">
        <f t="shared" si="18"/>
        <v>0</v>
      </c>
      <c r="BV81" s="613">
        <f>IF(BU81=0,0,1+MAX(BV$48:BV80))</f>
        <v>0</v>
      </c>
      <c r="BW81" s="613">
        <f t="shared" si="19"/>
        <v>0</v>
      </c>
      <c r="BX81" s="613"/>
      <c r="BY81" s="613"/>
      <c r="BZ81" s="613"/>
      <c r="CA81" s="613"/>
      <c r="CB81" s="613"/>
      <c r="CC81" s="613"/>
      <c r="CD81" s="614">
        <v>34</v>
      </c>
      <c r="CE81" s="613">
        <f t="shared" si="20"/>
        <v>0</v>
      </c>
      <c r="CF81" s="613">
        <f>IF(CE81=0,0,1+MAX(CF$48:CF80))</f>
        <v>0</v>
      </c>
      <c r="CG81" s="613">
        <f t="shared" si="21"/>
        <v>0</v>
      </c>
      <c r="CH81" s="613"/>
      <c r="CI81" s="613"/>
      <c r="CJ81" s="613"/>
      <c r="CK81" s="613"/>
      <c r="CL81" s="613"/>
      <c r="CM81" s="613"/>
      <c r="CN81" s="614">
        <v>34</v>
      </c>
      <c r="CO81" s="613">
        <f t="shared" si="22"/>
        <v>0</v>
      </c>
      <c r="CP81" s="613">
        <f>IF(CO81=0,0,1+MAX(CP$48:CP80))</f>
        <v>0</v>
      </c>
      <c r="CQ81" s="613">
        <f t="shared" si="23"/>
        <v>0</v>
      </c>
      <c r="CR81" s="613"/>
      <c r="CS81" s="613"/>
      <c r="CT81" s="613"/>
      <c r="CU81" s="613"/>
      <c r="CV81" s="613"/>
      <c r="CW81" s="613"/>
      <c r="CX81" s="613"/>
      <c r="CY81" s="613"/>
      <c r="CZ81" s="564"/>
      <c r="DA81" s="610">
        <v>75</v>
      </c>
      <c r="DB81" s="1061" t="str">
        <f t="shared" si="24"/>
        <v/>
      </c>
      <c r="DC81" s="1061"/>
      <c r="DD81" s="1061"/>
      <c r="DE81" s="1061"/>
      <c r="DF81" s="1061"/>
      <c r="DG81" s="1096" t="str">
        <f t="shared" si="25"/>
        <v/>
      </c>
      <c r="DH81" s="1096"/>
      <c r="DI81" s="565"/>
      <c r="DJ81" s="565"/>
      <c r="DK81" s="565"/>
      <c r="DL81" s="565"/>
      <c r="DM81" s="565"/>
      <c r="DN81" s="565"/>
      <c r="DO81" s="565"/>
      <c r="DP81" s="565"/>
      <c r="DQ81" s="565"/>
      <c r="DR81" s="565"/>
      <c r="DS81" s="565"/>
      <c r="DT81" s="565"/>
      <c r="DU81" s="565"/>
      <c r="DV81" s="565"/>
    </row>
    <row r="82" spans="1:126" x14ac:dyDescent="0.25">
      <c r="A82" s="613"/>
      <c r="B82" s="614">
        <v>35</v>
      </c>
      <c r="C82" s="613">
        <f t="shared" si="4"/>
        <v>0</v>
      </c>
      <c r="D82" s="613">
        <f>IF(C82=0,0,1+MAX(D$48:D81))</f>
        <v>0</v>
      </c>
      <c r="E82" s="613">
        <f t="shared" si="5"/>
        <v>0</v>
      </c>
      <c r="F82" s="613"/>
      <c r="G82" s="613"/>
      <c r="H82" s="613"/>
      <c r="I82" s="613"/>
      <c r="J82" s="613"/>
      <c r="K82" s="613"/>
      <c r="L82" s="614">
        <v>35</v>
      </c>
      <c r="M82" s="613">
        <f t="shared" si="6"/>
        <v>0</v>
      </c>
      <c r="N82" s="613">
        <f>IF(M82=0,0,1+MAX(N$48:N81))</f>
        <v>0</v>
      </c>
      <c r="O82" s="613">
        <f t="shared" si="7"/>
        <v>0</v>
      </c>
      <c r="P82" s="613"/>
      <c r="Q82" s="613"/>
      <c r="R82" s="613"/>
      <c r="S82" s="613"/>
      <c r="T82" s="613"/>
      <c r="U82" s="613"/>
      <c r="V82" s="614">
        <v>35</v>
      </c>
      <c r="W82" s="613">
        <f t="shared" si="8"/>
        <v>0</v>
      </c>
      <c r="X82" s="613">
        <f>IF(W82=0,0,1+MAX(X$48:X81))</f>
        <v>0</v>
      </c>
      <c r="Y82" s="613">
        <f t="shared" si="9"/>
        <v>0</v>
      </c>
      <c r="Z82" s="613"/>
      <c r="AA82" s="613"/>
      <c r="AB82" s="613"/>
      <c r="AC82" s="613"/>
      <c r="AD82" s="613"/>
      <c r="AE82" s="613"/>
      <c r="AF82" s="614">
        <v>35</v>
      </c>
      <c r="AG82" s="613">
        <f t="shared" si="10"/>
        <v>0</v>
      </c>
      <c r="AH82" s="613">
        <f>IF(AG82=0,0,1+MAX(AH$48:AH81))</f>
        <v>0</v>
      </c>
      <c r="AI82" s="613">
        <f t="shared" si="11"/>
        <v>0</v>
      </c>
      <c r="AJ82" s="613"/>
      <c r="AK82" s="613"/>
      <c r="AL82" s="613"/>
      <c r="AM82" s="613"/>
      <c r="AN82" s="613"/>
      <c r="AO82" s="613"/>
      <c r="AP82" s="614">
        <v>35</v>
      </c>
      <c r="AQ82" s="613">
        <f t="shared" si="12"/>
        <v>0</v>
      </c>
      <c r="AR82" s="613">
        <f>IF(AQ82=0,0,1+MAX(AR$48:AR81))</f>
        <v>0</v>
      </c>
      <c r="AS82" s="613">
        <f t="shared" si="13"/>
        <v>0</v>
      </c>
      <c r="AT82" s="613"/>
      <c r="AU82" s="613"/>
      <c r="AV82" s="613"/>
      <c r="AW82" s="613"/>
      <c r="AX82" s="613"/>
      <c r="AY82" s="613"/>
      <c r="AZ82" s="614">
        <v>35</v>
      </c>
      <c r="BA82" s="613">
        <f t="shared" si="14"/>
        <v>0</v>
      </c>
      <c r="BB82" s="613">
        <f>IF(BA82=0,0,1+MAX(BB$48:BB81))</f>
        <v>0</v>
      </c>
      <c r="BC82" s="613">
        <f t="shared" si="15"/>
        <v>0</v>
      </c>
      <c r="BD82" s="613"/>
      <c r="BE82" s="613"/>
      <c r="BF82" s="613"/>
      <c r="BG82" s="613"/>
      <c r="BH82" s="613"/>
      <c r="BI82" s="613"/>
      <c r="BJ82" s="614">
        <v>35</v>
      </c>
      <c r="BK82" s="613">
        <f t="shared" si="16"/>
        <v>0</v>
      </c>
      <c r="BL82" s="613">
        <f>IF(BK82=0,0,1+MAX(BL$48:BL81))</f>
        <v>0</v>
      </c>
      <c r="BM82" s="613">
        <f t="shared" si="17"/>
        <v>0</v>
      </c>
      <c r="BN82" s="613"/>
      <c r="BO82" s="613"/>
      <c r="BP82" s="613"/>
      <c r="BQ82" s="613"/>
      <c r="BR82" s="613"/>
      <c r="BS82" s="613"/>
      <c r="BT82" s="614">
        <v>35</v>
      </c>
      <c r="BU82" s="613">
        <f t="shared" si="18"/>
        <v>0</v>
      </c>
      <c r="BV82" s="613">
        <f>IF(BU82=0,0,1+MAX(BV$48:BV81))</f>
        <v>0</v>
      </c>
      <c r="BW82" s="613">
        <f t="shared" si="19"/>
        <v>0</v>
      </c>
      <c r="BX82" s="613"/>
      <c r="BY82" s="613"/>
      <c r="BZ82" s="613"/>
      <c r="CA82" s="613"/>
      <c r="CB82" s="613"/>
      <c r="CC82" s="613"/>
      <c r="CD82" s="614">
        <v>35</v>
      </c>
      <c r="CE82" s="613">
        <f t="shared" si="20"/>
        <v>0</v>
      </c>
      <c r="CF82" s="613">
        <f>IF(CE82=0,0,1+MAX(CF$48:CF81))</f>
        <v>0</v>
      </c>
      <c r="CG82" s="613">
        <f t="shared" si="21"/>
        <v>0</v>
      </c>
      <c r="CH82" s="613"/>
      <c r="CI82" s="613"/>
      <c r="CJ82" s="613"/>
      <c r="CK82" s="613"/>
      <c r="CL82" s="613"/>
      <c r="CM82" s="613"/>
      <c r="CN82" s="614">
        <v>35</v>
      </c>
      <c r="CO82" s="613">
        <f t="shared" si="22"/>
        <v>0</v>
      </c>
      <c r="CP82" s="613">
        <f>IF(CO82=0,0,1+MAX(CP$48:CP81))</f>
        <v>0</v>
      </c>
      <c r="CQ82" s="613">
        <f t="shared" si="23"/>
        <v>0</v>
      </c>
      <c r="CR82" s="613"/>
      <c r="CS82" s="613"/>
      <c r="CT82" s="613"/>
      <c r="CU82" s="613"/>
      <c r="CV82" s="613"/>
      <c r="CW82" s="613"/>
      <c r="CX82" s="613"/>
      <c r="CY82" s="613"/>
      <c r="CZ82" s="564"/>
      <c r="DA82" s="610">
        <v>76</v>
      </c>
      <c r="DB82" s="1061" t="str">
        <f t="shared" si="24"/>
        <v/>
      </c>
      <c r="DC82" s="1061"/>
      <c r="DD82" s="1061"/>
      <c r="DE82" s="1061"/>
      <c r="DF82" s="1061"/>
      <c r="DG82" s="1096" t="str">
        <f t="shared" si="25"/>
        <v/>
      </c>
      <c r="DH82" s="1096"/>
      <c r="DI82" s="565"/>
      <c r="DJ82" s="565"/>
      <c r="DK82" s="565"/>
      <c r="DL82" s="565"/>
      <c r="DM82" s="565"/>
      <c r="DN82" s="565"/>
      <c r="DO82" s="565"/>
      <c r="DP82" s="565"/>
      <c r="DQ82" s="565"/>
      <c r="DR82" s="565"/>
      <c r="DS82" s="565"/>
      <c r="DT82" s="565"/>
      <c r="DU82" s="565"/>
      <c r="DV82" s="565"/>
    </row>
    <row r="83" spans="1:126" x14ac:dyDescent="0.25">
      <c r="A83" s="613"/>
      <c r="B83" s="614">
        <v>36</v>
      </c>
      <c r="C83" s="613">
        <f t="shared" si="4"/>
        <v>0</v>
      </c>
      <c r="D83" s="613">
        <f>IF(C83=0,0,1+MAX(D$48:D82))</f>
        <v>0</v>
      </c>
      <c r="E83" s="613">
        <f t="shared" si="5"/>
        <v>0</v>
      </c>
      <c r="F83" s="613"/>
      <c r="G83" s="613"/>
      <c r="H83" s="613"/>
      <c r="I83" s="613"/>
      <c r="J83" s="613"/>
      <c r="K83" s="613"/>
      <c r="L83" s="614">
        <v>36</v>
      </c>
      <c r="M83" s="613">
        <f t="shared" si="6"/>
        <v>0</v>
      </c>
      <c r="N83" s="613">
        <f>IF(M83=0,0,1+MAX(N$48:N82))</f>
        <v>0</v>
      </c>
      <c r="O83" s="613">
        <f t="shared" si="7"/>
        <v>0</v>
      </c>
      <c r="P83" s="613"/>
      <c r="Q83" s="613"/>
      <c r="R83" s="613"/>
      <c r="S83" s="613"/>
      <c r="T83" s="613"/>
      <c r="U83" s="613"/>
      <c r="V83" s="614">
        <v>36</v>
      </c>
      <c r="W83" s="613">
        <f t="shared" si="8"/>
        <v>0</v>
      </c>
      <c r="X83" s="613">
        <f>IF(W83=0,0,1+MAX(X$48:X82))</f>
        <v>0</v>
      </c>
      <c r="Y83" s="613">
        <f t="shared" si="9"/>
        <v>0</v>
      </c>
      <c r="Z83" s="613"/>
      <c r="AA83" s="613"/>
      <c r="AB83" s="613"/>
      <c r="AC83" s="613"/>
      <c r="AD83" s="613"/>
      <c r="AE83" s="613"/>
      <c r="AF83" s="614">
        <v>36</v>
      </c>
      <c r="AG83" s="613">
        <f t="shared" si="10"/>
        <v>0</v>
      </c>
      <c r="AH83" s="613">
        <f>IF(AG83=0,0,1+MAX(AH$48:AH82))</f>
        <v>0</v>
      </c>
      <c r="AI83" s="613">
        <f t="shared" si="11"/>
        <v>0</v>
      </c>
      <c r="AJ83" s="613"/>
      <c r="AK83" s="613"/>
      <c r="AL83" s="613"/>
      <c r="AM83" s="613"/>
      <c r="AN83" s="613"/>
      <c r="AO83" s="613"/>
      <c r="AP83" s="614">
        <v>36</v>
      </c>
      <c r="AQ83" s="613">
        <f t="shared" si="12"/>
        <v>0</v>
      </c>
      <c r="AR83" s="613">
        <f>IF(AQ83=0,0,1+MAX(AR$48:AR82))</f>
        <v>0</v>
      </c>
      <c r="AS83" s="613">
        <f t="shared" si="13"/>
        <v>0</v>
      </c>
      <c r="AT83" s="613"/>
      <c r="AU83" s="613"/>
      <c r="AV83" s="613"/>
      <c r="AW83" s="613"/>
      <c r="AX83" s="613"/>
      <c r="AY83" s="613"/>
      <c r="AZ83" s="614">
        <v>36</v>
      </c>
      <c r="BA83" s="613">
        <f t="shared" si="14"/>
        <v>0</v>
      </c>
      <c r="BB83" s="613">
        <f>IF(BA83=0,0,1+MAX(BB$48:BB82))</f>
        <v>0</v>
      </c>
      <c r="BC83" s="613">
        <f t="shared" si="15"/>
        <v>0</v>
      </c>
      <c r="BD83" s="613"/>
      <c r="BE83" s="613"/>
      <c r="BF83" s="613"/>
      <c r="BG83" s="613"/>
      <c r="BH83" s="613"/>
      <c r="BI83" s="613"/>
      <c r="BJ83" s="614">
        <v>36</v>
      </c>
      <c r="BK83" s="613">
        <f t="shared" si="16"/>
        <v>0</v>
      </c>
      <c r="BL83" s="613">
        <f>IF(BK83=0,0,1+MAX(BL$48:BL82))</f>
        <v>0</v>
      </c>
      <c r="BM83" s="613">
        <f t="shared" si="17"/>
        <v>0</v>
      </c>
      <c r="BN83" s="613"/>
      <c r="BO83" s="613"/>
      <c r="BP83" s="613"/>
      <c r="BQ83" s="613"/>
      <c r="BR83" s="613"/>
      <c r="BS83" s="613"/>
      <c r="BT83" s="614">
        <v>36</v>
      </c>
      <c r="BU83" s="613">
        <f t="shared" si="18"/>
        <v>0</v>
      </c>
      <c r="BV83" s="613">
        <f>IF(BU83=0,0,1+MAX(BV$48:BV82))</f>
        <v>0</v>
      </c>
      <c r="BW83" s="613">
        <f t="shared" si="19"/>
        <v>0</v>
      </c>
      <c r="BX83" s="613"/>
      <c r="BY83" s="613"/>
      <c r="BZ83" s="613"/>
      <c r="CA83" s="613"/>
      <c r="CB83" s="613"/>
      <c r="CC83" s="613"/>
      <c r="CD83" s="614">
        <v>36</v>
      </c>
      <c r="CE83" s="613">
        <f t="shared" si="20"/>
        <v>0</v>
      </c>
      <c r="CF83" s="613">
        <f>IF(CE83=0,0,1+MAX(CF$48:CF82))</f>
        <v>0</v>
      </c>
      <c r="CG83" s="613">
        <f t="shared" si="21"/>
        <v>0</v>
      </c>
      <c r="CH83" s="613"/>
      <c r="CI83" s="613"/>
      <c r="CJ83" s="613"/>
      <c r="CK83" s="613"/>
      <c r="CL83" s="613"/>
      <c r="CM83" s="613"/>
      <c r="CN83" s="614">
        <v>36</v>
      </c>
      <c r="CO83" s="613">
        <f t="shared" si="22"/>
        <v>0</v>
      </c>
      <c r="CP83" s="613">
        <f>IF(CO83=0,0,1+MAX(CP$48:CP82))</f>
        <v>0</v>
      </c>
      <c r="CQ83" s="613">
        <f t="shared" si="23"/>
        <v>0</v>
      </c>
      <c r="CR83" s="613"/>
      <c r="CS83" s="613"/>
      <c r="CT83" s="613"/>
      <c r="CU83" s="613"/>
      <c r="CV83" s="613"/>
      <c r="CW83" s="613"/>
      <c r="CX83" s="613"/>
      <c r="CY83" s="613"/>
      <c r="CZ83" s="564"/>
      <c r="DA83" s="610">
        <v>77</v>
      </c>
      <c r="DB83" s="1061" t="str">
        <f t="shared" si="24"/>
        <v/>
      </c>
      <c r="DC83" s="1061"/>
      <c r="DD83" s="1061"/>
      <c r="DE83" s="1061"/>
      <c r="DF83" s="1061"/>
      <c r="DG83" s="1096" t="str">
        <f t="shared" si="25"/>
        <v/>
      </c>
      <c r="DH83" s="1096"/>
      <c r="DI83" s="565"/>
      <c r="DJ83" s="565"/>
      <c r="DK83" s="565"/>
      <c r="DL83" s="565"/>
      <c r="DM83" s="565"/>
      <c r="DN83" s="565"/>
      <c r="DO83" s="565"/>
      <c r="DP83" s="565"/>
      <c r="DQ83" s="565"/>
      <c r="DR83" s="565"/>
      <c r="DS83" s="565"/>
      <c r="DT83" s="565"/>
      <c r="DU83" s="565"/>
      <c r="DV83" s="565"/>
    </row>
    <row r="84" spans="1:126" x14ac:dyDescent="0.25">
      <c r="A84" s="613"/>
      <c r="B84" s="614">
        <v>37</v>
      </c>
      <c r="C84" s="613">
        <f t="shared" si="4"/>
        <v>0</v>
      </c>
      <c r="D84" s="613">
        <f>IF(C84=0,0,1+MAX(D$48:D83))</f>
        <v>0</v>
      </c>
      <c r="E84" s="613">
        <f t="shared" si="5"/>
        <v>0</v>
      </c>
      <c r="F84" s="613"/>
      <c r="G84" s="613"/>
      <c r="H84" s="613"/>
      <c r="I84" s="613"/>
      <c r="J84" s="613"/>
      <c r="K84" s="613"/>
      <c r="L84" s="614">
        <v>37</v>
      </c>
      <c r="M84" s="613">
        <f t="shared" si="6"/>
        <v>0</v>
      </c>
      <c r="N84" s="613">
        <f>IF(M84=0,0,1+MAX(N$48:N83))</f>
        <v>0</v>
      </c>
      <c r="O84" s="613">
        <f t="shared" si="7"/>
        <v>0</v>
      </c>
      <c r="P84" s="613"/>
      <c r="Q84" s="613"/>
      <c r="R84" s="613"/>
      <c r="S84" s="613"/>
      <c r="T84" s="613"/>
      <c r="U84" s="613"/>
      <c r="V84" s="614">
        <v>37</v>
      </c>
      <c r="W84" s="613">
        <f t="shared" si="8"/>
        <v>0</v>
      </c>
      <c r="X84" s="613">
        <f>IF(W84=0,0,1+MAX(X$48:X83))</f>
        <v>0</v>
      </c>
      <c r="Y84" s="613">
        <f t="shared" si="9"/>
        <v>0</v>
      </c>
      <c r="Z84" s="613"/>
      <c r="AA84" s="613"/>
      <c r="AB84" s="613"/>
      <c r="AC84" s="613"/>
      <c r="AD84" s="613"/>
      <c r="AE84" s="613"/>
      <c r="AF84" s="614">
        <v>37</v>
      </c>
      <c r="AG84" s="613">
        <f t="shared" si="10"/>
        <v>0</v>
      </c>
      <c r="AH84" s="613">
        <f>IF(AG84=0,0,1+MAX(AH$48:AH83))</f>
        <v>0</v>
      </c>
      <c r="AI84" s="613">
        <f t="shared" si="11"/>
        <v>0</v>
      </c>
      <c r="AJ84" s="613"/>
      <c r="AK84" s="613"/>
      <c r="AL84" s="613"/>
      <c r="AM84" s="613"/>
      <c r="AN84" s="613"/>
      <c r="AO84" s="613"/>
      <c r="AP84" s="614">
        <v>37</v>
      </c>
      <c r="AQ84" s="613">
        <f t="shared" si="12"/>
        <v>0</v>
      </c>
      <c r="AR84" s="613">
        <f>IF(AQ84=0,0,1+MAX(AR$48:AR83))</f>
        <v>0</v>
      </c>
      <c r="AS84" s="613">
        <f t="shared" si="13"/>
        <v>0</v>
      </c>
      <c r="AT84" s="613"/>
      <c r="AU84" s="613"/>
      <c r="AV84" s="613"/>
      <c r="AW84" s="613"/>
      <c r="AX84" s="613"/>
      <c r="AY84" s="613"/>
      <c r="AZ84" s="614">
        <v>37</v>
      </c>
      <c r="BA84" s="613">
        <f t="shared" si="14"/>
        <v>0</v>
      </c>
      <c r="BB84" s="613">
        <f>IF(BA84=0,0,1+MAX(BB$48:BB83))</f>
        <v>0</v>
      </c>
      <c r="BC84" s="613">
        <f t="shared" si="15"/>
        <v>0</v>
      </c>
      <c r="BD84" s="613"/>
      <c r="BE84" s="613"/>
      <c r="BF84" s="613"/>
      <c r="BG84" s="613"/>
      <c r="BH84" s="613"/>
      <c r="BI84" s="613"/>
      <c r="BJ84" s="614">
        <v>37</v>
      </c>
      <c r="BK84" s="613">
        <f t="shared" si="16"/>
        <v>0</v>
      </c>
      <c r="BL84" s="613">
        <f>IF(BK84=0,0,1+MAX(BL$48:BL83))</f>
        <v>0</v>
      </c>
      <c r="BM84" s="613">
        <f t="shared" si="17"/>
        <v>0</v>
      </c>
      <c r="BN84" s="613"/>
      <c r="BO84" s="613"/>
      <c r="BP84" s="613"/>
      <c r="BQ84" s="613"/>
      <c r="BR84" s="613"/>
      <c r="BS84" s="613"/>
      <c r="BT84" s="614">
        <v>37</v>
      </c>
      <c r="BU84" s="613">
        <f t="shared" si="18"/>
        <v>0</v>
      </c>
      <c r="BV84" s="613">
        <f>IF(BU84=0,0,1+MAX(BV$48:BV83))</f>
        <v>0</v>
      </c>
      <c r="BW84" s="613">
        <f t="shared" si="19"/>
        <v>0</v>
      </c>
      <c r="BX84" s="613"/>
      <c r="BY84" s="613"/>
      <c r="BZ84" s="613"/>
      <c r="CA84" s="613"/>
      <c r="CB84" s="613"/>
      <c r="CC84" s="613"/>
      <c r="CD84" s="614">
        <v>37</v>
      </c>
      <c r="CE84" s="613">
        <f t="shared" si="20"/>
        <v>0</v>
      </c>
      <c r="CF84" s="613">
        <f>IF(CE84=0,0,1+MAX(CF$48:CF83))</f>
        <v>0</v>
      </c>
      <c r="CG84" s="613">
        <f t="shared" si="21"/>
        <v>0</v>
      </c>
      <c r="CH84" s="613"/>
      <c r="CI84" s="613"/>
      <c r="CJ84" s="613"/>
      <c r="CK84" s="613"/>
      <c r="CL84" s="613"/>
      <c r="CM84" s="613"/>
      <c r="CN84" s="614">
        <v>37</v>
      </c>
      <c r="CO84" s="613">
        <f t="shared" si="22"/>
        <v>0</v>
      </c>
      <c r="CP84" s="613">
        <f>IF(CO84=0,0,1+MAX(CP$48:CP83))</f>
        <v>0</v>
      </c>
      <c r="CQ84" s="613">
        <f t="shared" si="23"/>
        <v>0</v>
      </c>
      <c r="CR84" s="613"/>
      <c r="CS84" s="613"/>
      <c r="CT84" s="613"/>
      <c r="CU84" s="613"/>
      <c r="CV84" s="613"/>
      <c r="CW84" s="613"/>
      <c r="CX84" s="613"/>
      <c r="CY84" s="613"/>
      <c r="CZ84" s="564"/>
      <c r="DA84" s="610">
        <v>78</v>
      </c>
      <c r="DB84" s="1061" t="str">
        <f t="shared" si="24"/>
        <v/>
      </c>
      <c r="DC84" s="1061"/>
      <c r="DD84" s="1061"/>
      <c r="DE84" s="1061"/>
      <c r="DF84" s="1061"/>
      <c r="DG84" s="1096" t="str">
        <f t="shared" si="25"/>
        <v/>
      </c>
      <c r="DH84" s="1096"/>
      <c r="DI84" s="565"/>
      <c r="DJ84" s="565"/>
      <c r="DK84" s="565"/>
      <c r="DL84" s="565"/>
      <c r="DM84" s="565"/>
      <c r="DN84" s="565"/>
      <c r="DO84" s="565"/>
      <c r="DP84" s="565"/>
      <c r="DQ84" s="565"/>
      <c r="DR84" s="565"/>
      <c r="DS84" s="565"/>
      <c r="DT84" s="565"/>
      <c r="DU84" s="565"/>
      <c r="DV84" s="565"/>
    </row>
    <row r="85" spans="1:126" x14ac:dyDescent="0.25">
      <c r="A85" s="613"/>
      <c r="B85" s="614">
        <v>38</v>
      </c>
      <c r="C85" s="613">
        <f t="shared" si="4"/>
        <v>0</v>
      </c>
      <c r="D85" s="613">
        <f>IF(C85=0,0,1+MAX(D$48:D84))</f>
        <v>0</v>
      </c>
      <c r="E85" s="613">
        <f t="shared" si="5"/>
        <v>0</v>
      </c>
      <c r="F85" s="613"/>
      <c r="G85" s="613"/>
      <c r="H85" s="613"/>
      <c r="I85" s="613"/>
      <c r="J85" s="613"/>
      <c r="K85" s="613"/>
      <c r="L85" s="614">
        <v>38</v>
      </c>
      <c r="M85" s="613">
        <f t="shared" si="6"/>
        <v>0</v>
      </c>
      <c r="N85" s="613">
        <f>IF(M85=0,0,1+MAX(N$48:N84))</f>
        <v>0</v>
      </c>
      <c r="O85" s="613">
        <f t="shared" si="7"/>
        <v>0</v>
      </c>
      <c r="P85" s="613"/>
      <c r="Q85" s="613"/>
      <c r="R85" s="613"/>
      <c r="S85" s="613"/>
      <c r="T85" s="613"/>
      <c r="U85" s="613"/>
      <c r="V85" s="614">
        <v>38</v>
      </c>
      <c r="W85" s="613">
        <f t="shared" si="8"/>
        <v>0</v>
      </c>
      <c r="X85" s="613">
        <f>IF(W85=0,0,1+MAX(X$48:X84))</f>
        <v>0</v>
      </c>
      <c r="Y85" s="613">
        <f t="shared" si="9"/>
        <v>0</v>
      </c>
      <c r="Z85" s="613"/>
      <c r="AA85" s="613"/>
      <c r="AB85" s="613"/>
      <c r="AC85" s="613"/>
      <c r="AD85" s="613"/>
      <c r="AE85" s="613"/>
      <c r="AF85" s="614">
        <v>38</v>
      </c>
      <c r="AG85" s="613">
        <f t="shared" si="10"/>
        <v>0</v>
      </c>
      <c r="AH85" s="613">
        <f>IF(AG85=0,0,1+MAX(AH$48:AH84))</f>
        <v>0</v>
      </c>
      <c r="AI85" s="613">
        <f t="shared" si="11"/>
        <v>0</v>
      </c>
      <c r="AJ85" s="613"/>
      <c r="AK85" s="613"/>
      <c r="AL85" s="613"/>
      <c r="AM85" s="613"/>
      <c r="AN85" s="613"/>
      <c r="AO85" s="613"/>
      <c r="AP85" s="614">
        <v>38</v>
      </c>
      <c r="AQ85" s="613">
        <f t="shared" si="12"/>
        <v>0</v>
      </c>
      <c r="AR85" s="613">
        <f>IF(AQ85=0,0,1+MAX(AR$48:AR84))</f>
        <v>0</v>
      </c>
      <c r="AS85" s="613">
        <f t="shared" si="13"/>
        <v>0</v>
      </c>
      <c r="AT85" s="613"/>
      <c r="AU85" s="613"/>
      <c r="AV85" s="613"/>
      <c r="AW85" s="613"/>
      <c r="AX85" s="613"/>
      <c r="AY85" s="613"/>
      <c r="AZ85" s="614">
        <v>38</v>
      </c>
      <c r="BA85" s="613">
        <f t="shared" si="14"/>
        <v>0</v>
      </c>
      <c r="BB85" s="613">
        <f>IF(BA85=0,0,1+MAX(BB$48:BB84))</f>
        <v>0</v>
      </c>
      <c r="BC85" s="613">
        <f t="shared" si="15"/>
        <v>0</v>
      </c>
      <c r="BD85" s="613"/>
      <c r="BE85" s="613"/>
      <c r="BF85" s="613"/>
      <c r="BG85" s="613"/>
      <c r="BH85" s="613"/>
      <c r="BI85" s="613"/>
      <c r="BJ85" s="614">
        <v>38</v>
      </c>
      <c r="BK85" s="613">
        <f t="shared" si="16"/>
        <v>0</v>
      </c>
      <c r="BL85" s="613">
        <f>IF(BK85=0,0,1+MAX(BL$48:BL84))</f>
        <v>0</v>
      </c>
      <c r="BM85" s="613">
        <f t="shared" si="17"/>
        <v>0</v>
      </c>
      <c r="BN85" s="613"/>
      <c r="BO85" s="613"/>
      <c r="BP85" s="613"/>
      <c r="BQ85" s="613"/>
      <c r="BR85" s="613"/>
      <c r="BS85" s="613"/>
      <c r="BT85" s="614">
        <v>38</v>
      </c>
      <c r="BU85" s="613">
        <f t="shared" si="18"/>
        <v>0</v>
      </c>
      <c r="BV85" s="613">
        <f>IF(BU85=0,0,1+MAX(BV$48:BV84))</f>
        <v>0</v>
      </c>
      <c r="BW85" s="613">
        <f t="shared" si="19"/>
        <v>0</v>
      </c>
      <c r="BX85" s="613"/>
      <c r="BY85" s="613"/>
      <c r="BZ85" s="613"/>
      <c r="CA85" s="613"/>
      <c r="CB85" s="613"/>
      <c r="CC85" s="613"/>
      <c r="CD85" s="614">
        <v>38</v>
      </c>
      <c r="CE85" s="613">
        <f t="shared" si="20"/>
        <v>0</v>
      </c>
      <c r="CF85" s="613">
        <f>IF(CE85=0,0,1+MAX(CF$48:CF84))</f>
        <v>0</v>
      </c>
      <c r="CG85" s="613">
        <f t="shared" si="21"/>
        <v>0</v>
      </c>
      <c r="CH85" s="613"/>
      <c r="CI85" s="613"/>
      <c r="CJ85" s="613"/>
      <c r="CK85" s="613"/>
      <c r="CL85" s="613"/>
      <c r="CM85" s="613"/>
      <c r="CN85" s="614">
        <v>38</v>
      </c>
      <c r="CO85" s="613">
        <f t="shared" si="22"/>
        <v>0</v>
      </c>
      <c r="CP85" s="613">
        <f>IF(CO85=0,0,1+MAX(CP$48:CP84))</f>
        <v>0</v>
      </c>
      <c r="CQ85" s="613">
        <f t="shared" si="23"/>
        <v>0</v>
      </c>
      <c r="CR85" s="613"/>
      <c r="CS85" s="613"/>
      <c r="CT85" s="613"/>
      <c r="CU85" s="613"/>
      <c r="CV85" s="613"/>
      <c r="CW85" s="613"/>
      <c r="CX85" s="613"/>
      <c r="CY85" s="613"/>
      <c r="CZ85" s="564"/>
      <c r="DA85" s="610">
        <v>79</v>
      </c>
      <c r="DB85" s="1061" t="str">
        <f t="shared" si="24"/>
        <v/>
      </c>
      <c r="DC85" s="1061"/>
      <c r="DD85" s="1061"/>
      <c r="DE85" s="1061"/>
      <c r="DF85" s="1061"/>
      <c r="DG85" s="1096" t="str">
        <f t="shared" si="25"/>
        <v/>
      </c>
      <c r="DH85" s="1096"/>
      <c r="DI85" s="565"/>
      <c r="DJ85" s="565"/>
      <c r="DK85" s="565"/>
      <c r="DL85" s="565"/>
      <c r="DM85" s="565"/>
      <c r="DN85" s="565"/>
      <c r="DO85" s="565"/>
      <c r="DP85" s="565"/>
      <c r="DQ85" s="565"/>
      <c r="DR85" s="565"/>
      <c r="DS85" s="565"/>
      <c r="DT85" s="565"/>
      <c r="DU85" s="565"/>
      <c r="DV85" s="565"/>
    </row>
    <row r="86" spans="1:126" x14ac:dyDescent="0.25">
      <c r="A86" s="613"/>
      <c r="B86" s="614">
        <v>39</v>
      </c>
      <c r="C86" s="613">
        <f t="shared" si="4"/>
        <v>0</v>
      </c>
      <c r="D86" s="613">
        <f>IF(C86=0,0,1+MAX(D$48:D85))</f>
        <v>0</v>
      </c>
      <c r="E86" s="613">
        <f t="shared" si="5"/>
        <v>0</v>
      </c>
      <c r="F86" s="613"/>
      <c r="G86" s="613"/>
      <c r="H86" s="613"/>
      <c r="I86" s="613"/>
      <c r="J86" s="613"/>
      <c r="K86" s="613"/>
      <c r="L86" s="614">
        <v>39</v>
      </c>
      <c r="M86" s="613">
        <f t="shared" si="6"/>
        <v>0</v>
      </c>
      <c r="N86" s="613">
        <f>IF(M86=0,0,1+MAX(N$48:N85))</f>
        <v>0</v>
      </c>
      <c r="O86" s="613">
        <f t="shared" si="7"/>
        <v>0</v>
      </c>
      <c r="P86" s="613"/>
      <c r="Q86" s="613"/>
      <c r="R86" s="613"/>
      <c r="S86" s="613"/>
      <c r="T86" s="613"/>
      <c r="U86" s="613"/>
      <c r="V86" s="614">
        <v>39</v>
      </c>
      <c r="W86" s="613">
        <f t="shared" si="8"/>
        <v>0</v>
      </c>
      <c r="X86" s="613">
        <f>IF(W86=0,0,1+MAX(X$48:X85))</f>
        <v>0</v>
      </c>
      <c r="Y86" s="613">
        <f t="shared" si="9"/>
        <v>0</v>
      </c>
      <c r="Z86" s="613"/>
      <c r="AA86" s="613"/>
      <c r="AB86" s="613"/>
      <c r="AC86" s="613"/>
      <c r="AD86" s="613"/>
      <c r="AE86" s="613"/>
      <c r="AF86" s="614">
        <v>39</v>
      </c>
      <c r="AG86" s="613">
        <f t="shared" si="10"/>
        <v>0</v>
      </c>
      <c r="AH86" s="613">
        <f>IF(AG86=0,0,1+MAX(AH$48:AH85))</f>
        <v>0</v>
      </c>
      <c r="AI86" s="613">
        <f t="shared" si="11"/>
        <v>0</v>
      </c>
      <c r="AJ86" s="613"/>
      <c r="AK86" s="613"/>
      <c r="AL86" s="613"/>
      <c r="AM86" s="613"/>
      <c r="AN86" s="613"/>
      <c r="AO86" s="613"/>
      <c r="AP86" s="614">
        <v>39</v>
      </c>
      <c r="AQ86" s="613">
        <f t="shared" si="12"/>
        <v>0</v>
      </c>
      <c r="AR86" s="613">
        <f>IF(AQ86=0,0,1+MAX(AR$48:AR85))</f>
        <v>0</v>
      </c>
      <c r="AS86" s="613">
        <f t="shared" si="13"/>
        <v>0</v>
      </c>
      <c r="AT86" s="613"/>
      <c r="AU86" s="613"/>
      <c r="AV86" s="613"/>
      <c r="AW86" s="613"/>
      <c r="AX86" s="613"/>
      <c r="AY86" s="613"/>
      <c r="AZ86" s="614">
        <v>39</v>
      </c>
      <c r="BA86" s="613">
        <f t="shared" si="14"/>
        <v>0</v>
      </c>
      <c r="BB86" s="613">
        <f>IF(BA86=0,0,1+MAX(BB$48:BB85))</f>
        <v>0</v>
      </c>
      <c r="BC86" s="613">
        <f t="shared" si="15"/>
        <v>0</v>
      </c>
      <c r="BD86" s="613"/>
      <c r="BE86" s="613"/>
      <c r="BF86" s="613"/>
      <c r="BG86" s="613"/>
      <c r="BH86" s="613"/>
      <c r="BI86" s="613"/>
      <c r="BJ86" s="614">
        <v>39</v>
      </c>
      <c r="BK86" s="613">
        <f t="shared" si="16"/>
        <v>0</v>
      </c>
      <c r="BL86" s="613">
        <f>IF(BK86=0,0,1+MAX(BL$48:BL85))</f>
        <v>0</v>
      </c>
      <c r="BM86" s="613">
        <f t="shared" si="17"/>
        <v>0</v>
      </c>
      <c r="BN86" s="613"/>
      <c r="BO86" s="613"/>
      <c r="BP86" s="613"/>
      <c r="BQ86" s="613"/>
      <c r="BR86" s="613"/>
      <c r="BS86" s="613"/>
      <c r="BT86" s="614">
        <v>39</v>
      </c>
      <c r="BU86" s="613">
        <f t="shared" si="18"/>
        <v>0</v>
      </c>
      <c r="BV86" s="613">
        <f>IF(BU86=0,0,1+MAX(BV$48:BV85))</f>
        <v>0</v>
      </c>
      <c r="BW86" s="613">
        <f t="shared" si="19"/>
        <v>0</v>
      </c>
      <c r="BX86" s="613"/>
      <c r="BY86" s="613"/>
      <c r="BZ86" s="613"/>
      <c r="CA86" s="613"/>
      <c r="CB86" s="613"/>
      <c r="CC86" s="613"/>
      <c r="CD86" s="614">
        <v>39</v>
      </c>
      <c r="CE86" s="613">
        <f t="shared" si="20"/>
        <v>0</v>
      </c>
      <c r="CF86" s="613">
        <f>IF(CE86=0,0,1+MAX(CF$48:CF85))</f>
        <v>0</v>
      </c>
      <c r="CG86" s="613">
        <f t="shared" si="21"/>
        <v>0</v>
      </c>
      <c r="CH86" s="613"/>
      <c r="CI86" s="613"/>
      <c r="CJ86" s="613"/>
      <c r="CK86" s="613"/>
      <c r="CL86" s="613"/>
      <c r="CM86" s="613"/>
      <c r="CN86" s="614">
        <v>39</v>
      </c>
      <c r="CO86" s="613">
        <f t="shared" si="22"/>
        <v>0</v>
      </c>
      <c r="CP86" s="613">
        <f>IF(CO86=0,0,1+MAX(CP$48:CP85))</f>
        <v>0</v>
      </c>
      <c r="CQ86" s="613">
        <f t="shared" si="23"/>
        <v>0</v>
      </c>
      <c r="CR86" s="613"/>
      <c r="CS86" s="613"/>
      <c r="CT86" s="613"/>
      <c r="CU86" s="613"/>
      <c r="CV86" s="613"/>
      <c r="CW86" s="613"/>
      <c r="CX86" s="613"/>
      <c r="CY86" s="613"/>
      <c r="CZ86" s="564"/>
      <c r="DA86" s="610">
        <v>80</v>
      </c>
      <c r="DB86" s="1061" t="str">
        <f t="shared" si="24"/>
        <v/>
      </c>
      <c r="DC86" s="1061"/>
      <c r="DD86" s="1061"/>
      <c r="DE86" s="1061"/>
      <c r="DF86" s="1061"/>
      <c r="DG86" s="1096" t="str">
        <f t="shared" si="25"/>
        <v/>
      </c>
      <c r="DH86" s="1096"/>
      <c r="DI86" s="565"/>
      <c r="DJ86" s="565"/>
      <c r="DK86" s="565"/>
      <c r="DL86" s="565"/>
      <c r="DM86" s="565"/>
      <c r="DN86" s="565"/>
      <c r="DO86" s="565"/>
      <c r="DP86" s="565"/>
      <c r="DQ86" s="565"/>
      <c r="DR86" s="565"/>
      <c r="DS86" s="565"/>
      <c r="DT86" s="565"/>
      <c r="DU86" s="565"/>
      <c r="DV86" s="565"/>
    </row>
    <row r="87" spans="1:126" x14ac:dyDescent="0.25">
      <c r="A87" s="613"/>
      <c r="B87" s="614">
        <v>40</v>
      </c>
      <c r="C87" s="613">
        <f t="shared" si="4"/>
        <v>0</v>
      </c>
      <c r="D87" s="613">
        <f>IF(C87=0,0,1+MAX(D$48:D86))</f>
        <v>0</v>
      </c>
      <c r="E87" s="613">
        <f t="shared" si="5"/>
        <v>0</v>
      </c>
      <c r="F87" s="613"/>
      <c r="G87" s="613"/>
      <c r="H87" s="613"/>
      <c r="I87" s="613"/>
      <c r="J87" s="613"/>
      <c r="K87" s="613"/>
      <c r="L87" s="614">
        <v>40</v>
      </c>
      <c r="M87" s="613">
        <f t="shared" si="6"/>
        <v>0</v>
      </c>
      <c r="N87" s="613">
        <f>IF(M87=0,0,1+MAX(N$48:N86))</f>
        <v>0</v>
      </c>
      <c r="O87" s="613">
        <f t="shared" si="7"/>
        <v>0</v>
      </c>
      <c r="P87" s="613"/>
      <c r="Q87" s="613"/>
      <c r="R87" s="613"/>
      <c r="S87" s="613"/>
      <c r="T87" s="613"/>
      <c r="U87" s="613"/>
      <c r="V87" s="614">
        <v>40</v>
      </c>
      <c r="W87" s="613">
        <f t="shared" si="8"/>
        <v>0</v>
      </c>
      <c r="X87" s="613">
        <f>IF(W87=0,0,1+MAX(X$48:X86))</f>
        <v>0</v>
      </c>
      <c r="Y87" s="613">
        <f t="shared" si="9"/>
        <v>0</v>
      </c>
      <c r="Z87" s="613"/>
      <c r="AA87" s="613"/>
      <c r="AB87" s="613"/>
      <c r="AC87" s="613"/>
      <c r="AD87" s="613"/>
      <c r="AE87" s="613"/>
      <c r="AF87" s="614">
        <v>40</v>
      </c>
      <c r="AG87" s="613">
        <f t="shared" si="10"/>
        <v>0</v>
      </c>
      <c r="AH87" s="613">
        <f>IF(AG87=0,0,1+MAX(AH$48:AH86))</f>
        <v>0</v>
      </c>
      <c r="AI87" s="613">
        <f t="shared" si="11"/>
        <v>0</v>
      </c>
      <c r="AJ87" s="613"/>
      <c r="AK87" s="613"/>
      <c r="AL87" s="613"/>
      <c r="AM87" s="613"/>
      <c r="AN87" s="613"/>
      <c r="AO87" s="613"/>
      <c r="AP87" s="614">
        <v>40</v>
      </c>
      <c r="AQ87" s="613">
        <f t="shared" si="12"/>
        <v>0</v>
      </c>
      <c r="AR87" s="613">
        <f>IF(AQ87=0,0,1+MAX(AR$48:AR86))</f>
        <v>0</v>
      </c>
      <c r="AS87" s="613">
        <f t="shared" si="13"/>
        <v>0</v>
      </c>
      <c r="AT87" s="613"/>
      <c r="AU87" s="613"/>
      <c r="AV87" s="613"/>
      <c r="AW87" s="613"/>
      <c r="AX87" s="613"/>
      <c r="AY87" s="613"/>
      <c r="AZ87" s="614">
        <v>40</v>
      </c>
      <c r="BA87" s="613">
        <f t="shared" si="14"/>
        <v>0</v>
      </c>
      <c r="BB87" s="613">
        <f>IF(BA87=0,0,1+MAX(BB$48:BB86))</f>
        <v>0</v>
      </c>
      <c r="BC87" s="613">
        <f t="shared" si="15"/>
        <v>0</v>
      </c>
      <c r="BD87" s="613"/>
      <c r="BE87" s="613"/>
      <c r="BF87" s="613"/>
      <c r="BG87" s="613"/>
      <c r="BH87" s="613"/>
      <c r="BI87" s="613"/>
      <c r="BJ87" s="614">
        <v>40</v>
      </c>
      <c r="BK87" s="613">
        <f t="shared" si="16"/>
        <v>0</v>
      </c>
      <c r="BL87" s="613">
        <f>IF(BK87=0,0,1+MAX(BL$48:BL86))</f>
        <v>0</v>
      </c>
      <c r="BM87" s="613">
        <f t="shared" si="17"/>
        <v>0</v>
      </c>
      <c r="BN87" s="613"/>
      <c r="BO87" s="613"/>
      <c r="BP87" s="613"/>
      <c r="BQ87" s="613"/>
      <c r="BR87" s="613"/>
      <c r="BS87" s="613"/>
      <c r="BT87" s="614">
        <v>40</v>
      </c>
      <c r="BU87" s="613">
        <f t="shared" si="18"/>
        <v>0</v>
      </c>
      <c r="BV87" s="613">
        <f>IF(BU87=0,0,1+MAX(BV$48:BV86))</f>
        <v>0</v>
      </c>
      <c r="BW87" s="613">
        <f t="shared" si="19"/>
        <v>0</v>
      </c>
      <c r="BX87" s="613"/>
      <c r="BY87" s="613"/>
      <c r="BZ87" s="613"/>
      <c r="CA87" s="613"/>
      <c r="CB87" s="613"/>
      <c r="CC87" s="613"/>
      <c r="CD87" s="614">
        <v>40</v>
      </c>
      <c r="CE87" s="613">
        <f t="shared" si="20"/>
        <v>0</v>
      </c>
      <c r="CF87" s="613">
        <f>IF(CE87=0,0,1+MAX(CF$48:CF86))</f>
        <v>0</v>
      </c>
      <c r="CG87" s="613">
        <f t="shared" si="21"/>
        <v>0</v>
      </c>
      <c r="CH87" s="613"/>
      <c r="CI87" s="613"/>
      <c r="CJ87" s="613"/>
      <c r="CK87" s="613"/>
      <c r="CL87" s="613"/>
      <c r="CM87" s="613"/>
      <c r="CN87" s="614">
        <v>40</v>
      </c>
      <c r="CO87" s="613">
        <f t="shared" si="22"/>
        <v>0</v>
      </c>
      <c r="CP87" s="613">
        <f>IF(CO87=0,0,1+MAX(CP$48:CP86))</f>
        <v>0</v>
      </c>
      <c r="CQ87" s="613">
        <f t="shared" si="23"/>
        <v>0</v>
      </c>
      <c r="CR87" s="613"/>
      <c r="CS87" s="613"/>
      <c r="CT87" s="613"/>
      <c r="CU87" s="613"/>
      <c r="CV87" s="613"/>
      <c r="CW87" s="613"/>
      <c r="CX87" s="613"/>
      <c r="CY87" s="613"/>
      <c r="CZ87" s="564"/>
      <c r="DA87" s="610">
        <v>81</v>
      </c>
      <c r="DB87" s="1061" t="str">
        <f t="shared" si="24"/>
        <v/>
      </c>
      <c r="DC87" s="1061"/>
      <c r="DD87" s="1061"/>
      <c r="DE87" s="1061"/>
      <c r="DF87" s="1061"/>
      <c r="DG87" s="1096" t="str">
        <f t="shared" si="25"/>
        <v/>
      </c>
      <c r="DH87" s="1096"/>
      <c r="DI87" s="565"/>
      <c r="DJ87" s="565"/>
      <c r="DK87" s="565"/>
      <c r="DL87" s="565"/>
      <c r="DM87" s="565"/>
      <c r="DN87" s="565"/>
      <c r="DO87" s="565"/>
      <c r="DP87" s="565"/>
      <c r="DQ87" s="565"/>
      <c r="DR87" s="565"/>
      <c r="DS87" s="565"/>
      <c r="DT87" s="565"/>
      <c r="DU87" s="565"/>
      <c r="DV87" s="565"/>
    </row>
    <row r="88" spans="1:126" x14ac:dyDescent="0.25">
      <c r="A88" s="120"/>
      <c r="B88" s="120"/>
      <c r="C88" s="120"/>
      <c r="D88" s="120"/>
      <c r="E88" s="120"/>
      <c r="F88" s="120"/>
      <c r="G88" s="120"/>
      <c r="H88" s="120"/>
      <c r="I88" s="120"/>
      <c r="J88" s="120"/>
      <c r="K88" s="120"/>
      <c r="L88" s="120"/>
      <c r="M88" s="120"/>
      <c r="N88" s="120"/>
      <c r="O88" s="120"/>
      <c r="P88" s="120"/>
      <c r="Q88" s="120"/>
      <c r="R88" s="120"/>
      <c r="S88" s="120"/>
      <c r="CZ88" s="120"/>
      <c r="DA88" s="610">
        <v>82</v>
      </c>
      <c r="DB88" s="1061" t="str">
        <f t="shared" si="24"/>
        <v/>
      </c>
      <c r="DC88" s="1061"/>
      <c r="DD88" s="1061"/>
      <c r="DE88" s="1061"/>
      <c r="DF88" s="1061"/>
      <c r="DG88" s="1096" t="str">
        <f t="shared" si="25"/>
        <v/>
      </c>
      <c r="DH88" s="1096"/>
      <c r="DI88" s="565"/>
      <c r="DJ88" s="565"/>
      <c r="DK88" s="565"/>
      <c r="DL88" s="565"/>
      <c r="DM88" s="565"/>
      <c r="DN88" s="565"/>
      <c r="DO88" s="565"/>
      <c r="DP88" s="565"/>
      <c r="DQ88" s="565"/>
      <c r="DR88" s="565"/>
      <c r="DS88" s="565"/>
      <c r="DT88" s="565"/>
      <c r="DU88" s="565"/>
      <c r="DV88" s="565"/>
    </row>
    <row r="89" spans="1:126" x14ac:dyDescent="0.25">
      <c r="A89" s="120"/>
      <c r="B89" s="120" t="s">
        <v>2305</v>
      </c>
      <c r="C89" s="120">
        <f>IF(F48&gt;0,1,0)</f>
        <v>0</v>
      </c>
      <c r="D89" s="120"/>
      <c r="E89" s="120"/>
      <c r="F89" s="120"/>
      <c r="G89" s="120"/>
      <c r="H89" s="120"/>
      <c r="I89" s="120"/>
      <c r="J89" s="120"/>
      <c r="K89" s="120"/>
      <c r="L89" s="120"/>
      <c r="M89" s="120"/>
      <c r="N89" s="120"/>
      <c r="O89" s="120"/>
      <c r="P89" s="120"/>
      <c r="Q89" s="120"/>
      <c r="R89" s="120"/>
      <c r="S89" s="120"/>
      <c r="CZ89" s="120"/>
      <c r="DA89" s="610">
        <v>83</v>
      </c>
      <c r="DB89" s="1061" t="str">
        <f t="shared" si="24"/>
        <v/>
      </c>
      <c r="DC89" s="1061"/>
      <c r="DD89" s="1061"/>
      <c r="DE89" s="1061"/>
      <c r="DF89" s="1061"/>
      <c r="DG89" s="1096" t="str">
        <f t="shared" si="25"/>
        <v/>
      </c>
      <c r="DH89" s="1096"/>
      <c r="DI89" s="565"/>
      <c r="DJ89" s="565"/>
      <c r="DK89" s="565"/>
      <c r="DL89" s="565"/>
      <c r="DM89" s="565"/>
      <c r="DN89" s="565"/>
      <c r="DO89" s="565"/>
      <c r="DP89" s="565"/>
      <c r="DQ89" s="565"/>
      <c r="DR89" s="565"/>
      <c r="DS89" s="565"/>
      <c r="DT89" s="565"/>
      <c r="DU89" s="565"/>
      <c r="DV89" s="565"/>
    </row>
    <row r="90" spans="1:126" x14ac:dyDescent="0.25">
      <c r="A90" s="120"/>
      <c r="B90" s="120" t="s">
        <v>6552</v>
      </c>
      <c r="C90" s="120">
        <f>IF(P48&gt;0,P48,0)</f>
        <v>1</v>
      </c>
      <c r="D90" s="120"/>
      <c r="E90" s="120"/>
      <c r="F90" s="120"/>
      <c r="G90" s="120"/>
      <c r="H90" s="120"/>
      <c r="I90" s="120"/>
      <c r="J90" s="120"/>
      <c r="K90" s="120"/>
      <c r="L90" s="120"/>
      <c r="M90" s="120"/>
      <c r="N90" s="120"/>
      <c r="O90" s="120"/>
      <c r="P90" s="120"/>
      <c r="Q90" s="120"/>
      <c r="R90" s="120"/>
      <c r="S90" s="120"/>
      <c r="CZ90" s="120"/>
      <c r="DA90" s="610">
        <v>84</v>
      </c>
      <c r="DB90" s="1061" t="str">
        <f t="shared" si="24"/>
        <v/>
      </c>
      <c r="DC90" s="1061"/>
      <c r="DD90" s="1061"/>
      <c r="DE90" s="1061"/>
      <c r="DF90" s="1061"/>
      <c r="DG90" s="1096" t="str">
        <f t="shared" si="25"/>
        <v/>
      </c>
      <c r="DH90" s="1096"/>
      <c r="DI90" s="565"/>
      <c r="DJ90" s="565"/>
      <c r="DK90" s="565"/>
      <c r="DL90" s="565"/>
      <c r="DM90" s="565"/>
      <c r="DN90" s="565"/>
      <c r="DO90" s="565"/>
      <c r="DP90" s="565"/>
      <c r="DQ90" s="565"/>
      <c r="DR90" s="565"/>
      <c r="DS90" s="565"/>
      <c r="DT90" s="565"/>
      <c r="DU90" s="565"/>
      <c r="DV90" s="565"/>
    </row>
    <row r="91" spans="1:126" x14ac:dyDescent="0.25">
      <c r="A91" s="120"/>
      <c r="B91" s="120" t="s">
        <v>6553</v>
      </c>
      <c r="C91" s="120">
        <f>IF(Z48&gt;0,Z48,0)</f>
        <v>9</v>
      </c>
      <c r="D91" s="120"/>
      <c r="E91" s="120"/>
      <c r="F91" s="120"/>
      <c r="G91" s="120"/>
      <c r="H91" s="120"/>
      <c r="I91" s="120"/>
      <c r="J91" s="120"/>
      <c r="K91" s="120"/>
      <c r="L91" s="120"/>
      <c r="M91" s="120"/>
      <c r="N91" s="120"/>
      <c r="O91" s="120"/>
      <c r="P91" s="120"/>
      <c r="Q91" s="120"/>
      <c r="R91" s="120"/>
      <c r="S91" s="120"/>
      <c r="CZ91" s="120"/>
      <c r="DA91" s="610">
        <v>85</v>
      </c>
      <c r="DB91" s="1061" t="str">
        <f t="shared" si="24"/>
        <v/>
      </c>
      <c r="DC91" s="1061"/>
      <c r="DD91" s="1061"/>
      <c r="DE91" s="1061"/>
      <c r="DF91" s="1061"/>
      <c r="DG91" s="1096" t="str">
        <f t="shared" si="25"/>
        <v/>
      </c>
      <c r="DH91" s="1096"/>
      <c r="DI91" s="565"/>
      <c r="DJ91" s="565"/>
      <c r="DK91" s="565"/>
      <c r="DL91" s="565"/>
      <c r="DM91" s="565"/>
      <c r="DN91" s="565"/>
      <c r="DO91" s="565"/>
      <c r="DP91" s="565"/>
      <c r="DQ91" s="565"/>
      <c r="DR91" s="565"/>
      <c r="DS91" s="565"/>
      <c r="DT91" s="565"/>
      <c r="DU91" s="565"/>
      <c r="DV91" s="565"/>
    </row>
    <row r="92" spans="1:126" x14ac:dyDescent="0.25">
      <c r="A92" s="120"/>
      <c r="B92" s="120" t="s">
        <v>6554</v>
      </c>
      <c r="C92" s="120">
        <f>IF(AJ48&gt;0,AJ48,0)</f>
        <v>13</v>
      </c>
      <c r="D92" s="120"/>
      <c r="E92" s="120"/>
      <c r="F92" s="120"/>
      <c r="G92" s="120"/>
      <c r="H92" s="120"/>
      <c r="I92" s="120"/>
      <c r="J92" s="120"/>
      <c r="K92" s="120"/>
      <c r="L92" s="120"/>
      <c r="M92" s="120"/>
      <c r="N92" s="120"/>
      <c r="O92" s="120"/>
      <c r="P92" s="120"/>
      <c r="Q92" s="120"/>
      <c r="R92" s="120"/>
      <c r="S92" s="120"/>
      <c r="CZ92" s="120"/>
      <c r="DA92" s="610">
        <v>86</v>
      </c>
      <c r="DB92" s="1061" t="str">
        <f t="shared" si="24"/>
        <v/>
      </c>
      <c r="DC92" s="1061"/>
      <c r="DD92" s="1061"/>
      <c r="DE92" s="1061"/>
      <c r="DF92" s="1061"/>
      <c r="DG92" s="1096" t="str">
        <f t="shared" si="25"/>
        <v/>
      </c>
      <c r="DH92" s="1096"/>
      <c r="DI92" s="565"/>
      <c r="DJ92" s="565"/>
      <c r="DK92" s="565"/>
      <c r="DL92" s="565"/>
      <c r="DM92" s="565"/>
      <c r="DN92" s="565"/>
      <c r="DO92" s="565"/>
      <c r="DP92" s="565"/>
      <c r="DQ92" s="565"/>
      <c r="DR92" s="565"/>
      <c r="DS92" s="565"/>
      <c r="DT92" s="565"/>
      <c r="DU92" s="565"/>
      <c r="DV92" s="565"/>
    </row>
    <row r="93" spans="1:126" x14ac:dyDescent="0.25">
      <c r="A93" s="120"/>
      <c r="B93" s="120" t="s">
        <v>6555</v>
      </c>
      <c r="C93" s="120">
        <f>IF(AT48&gt;0,AT48,0)</f>
        <v>15</v>
      </c>
      <c r="D93" s="120"/>
      <c r="E93" s="120"/>
      <c r="F93" s="120"/>
      <c r="G93" s="120"/>
      <c r="H93" s="120"/>
      <c r="I93" s="120"/>
      <c r="J93" s="120"/>
      <c r="K93" s="120"/>
      <c r="L93" s="120"/>
      <c r="M93" s="120"/>
      <c r="N93" s="120"/>
      <c r="O93" s="120"/>
      <c r="P93" s="120"/>
      <c r="Q93" s="120"/>
      <c r="R93" s="120"/>
      <c r="S93" s="120"/>
      <c r="CZ93" s="120"/>
      <c r="DA93" s="610">
        <v>87</v>
      </c>
      <c r="DB93" s="1061" t="str">
        <f t="shared" si="24"/>
        <v/>
      </c>
      <c r="DC93" s="1061"/>
      <c r="DD93" s="1061"/>
      <c r="DE93" s="1061"/>
      <c r="DF93" s="1061"/>
      <c r="DG93" s="1096" t="str">
        <f t="shared" si="25"/>
        <v/>
      </c>
      <c r="DH93" s="1096"/>
      <c r="DI93" s="565"/>
      <c r="DJ93" s="565"/>
      <c r="DK93" s="565"/>
      <c r="DL93" s="565"/>
      <c r="DM93" s="565"/>
      <c r="DN93" s="565"/>
      <c r="DO93" s="565"/>
      <c r="DP93" s="565"/>
      <c r="DQ93" s="565"/>
      <c r="DR93" s="565"/>
      <c r="DS93" s="565"/>
      <c r="DT93" s="565"/>
      <c r="DU93" s="565"/>
      <c r="DV93" s="565"/>
    </row>
    <row r="94" spans="1:126" x14ac:dyDescent="0.25">
      <c r="A94" s="120"/>
      <c r="B94" s="120" t="s">
        <v>5254</v>
      </c>
      <c r="C94" s="120">
        <f>IF(BD48&gt;0,BD48,0)</f>
        <v>15</v>
      </c>
      <c r="D94" s="120"/>
      <c r="E94" s="120"/>
      <c r="F94" s="120"/>
      <c r="G94" s="120"/>
      <c r="H94" s="120"/>
      <c r="I94" s="120"/>
      <c r="J94" s="120"/>
      <c r="K94" s="120"/>
      <c r="L94" s="120"/>
      <c r="M94" s="120"/>
      <c r="N94" s="120"/>
      <c r="O94" s="120"/>
      <c r="P94" s="120"/>
      <c r="Q94" s="120"/>
      <c r="R94" s="120"/>
      <c r="S94" s="120"/>
      <c r="CZ94" s="120"/>
      <c r="DA94" s="610">
        <v>88</v>
      </c>
      <c r="DB94" s="1061" t="str">
        <f t="shared" si="24"/>
        <v/>
      </c>
      <c r="DC94" s="1061"/>
      <c r="DD94" s="1061"/>
      <c r="DE94" s="1061"/>
      <c r="DF94" s="1061"/>
      <c r="DG94" s="1096" t="str">
        <f t="shared" si="25"/>
        <v/>
      </c>
      <c r="DH94" s="1096"/>
      <c r="DI94" s="565"/>
      <c r="DJ94" s="565"/>
      <c r="DK94" s="565"/>
      <c r="DL94" s="565"/>
      <c r="DM94" s="565"/>
      <c r="DN94" s="565"/>
      <c r="DO94" s="565"/>
      <c r="DP94" s="565"/>
      <c r="DQ94" s="565"/>
      <c r="DR94" s="565"/>
      <c r="DS94" s="565"/>
      <c r="DT94" s="565"/>
      <c r="DU94" s="565"/>
      <c r="DV94" s="565"/>
    </row>
    <row r="95" spans="1:126" x14ac:dyDescent="0.25">
      <c r="A95" s="120"/>
      <c r="B95" s="120" t="s">
        <v>6556</v>
      </c>
      <c r="C95" s="120">
        <f>IF(BN48&gt;0,BN48,0)</f>
        <v>15</v>
      </c>
      <c r="D95" s="120"/>
      <c r="E95" s="120"/>
      <c r="F95" s="120"/>
      <c r="G95" s="120"/>
      <c r="H95" s="120"/>
      <c r="I95" s="120"/>
      <c r="J95" s="120"/>
      <c r="K95" s="120"/>
      <c r="L95" s="120"/>
      <c r="M95" s="120"/>
      <c r="N95" s="120"/>
      <c r="O95" s="120"/>
      <c r="P95" s="120"/>
      <c r="Q95" s="120"/>
      <c r="R95" s="120"/>
      <c r="S95" s="120"/>
      <c r="CZ95" s="120"/>
      <c r="DA95" s="610">
        <v>89</v>
      </c>
      <c r="DB95" s="1061" t="str">
        <f t="shared" si="24"/>
        <v/>
      </c>
      <c r="DC95" s="1061"/>
      <c r="DD95" s="1061"/>
      <c r="DE95" s="1061"/>
      <c r="DF95" s="1061"/>
      <c r="DG95" s="1096" t="str">
        <f t="shared" si="25"/>
        <v/>
      </c>
      <c r="DH95" s="1096"/>
      <c r="DI95" s="565"/>
      <c r="DJ95" s="565"/>
      <c r="DK95" s="565"/>
      <c r="DL95" s="565"/>
      <c r="DM95" s="565"/>
      <c r="DN95" s="565"/>
      <c r="DO95" s="565"/>
      <c r="DP95" s="565"/>
      <c r="DQ95" s="565"/>
      <c r="DR95" s="565"/>
      <c r="DS95" s="565"/>
      <c r="DT95" s="565"/>
      <c r="DU95" s="565"/>
      <c r="DV95" s="565"/>
    </row>
    <row r="96" spans="1:126" x14ac:dyDescent="0.25">
      <c r="A96" s="120"/>
      <c r="B96" s="120" t="s">
        <v>5251</v>
      </c>
      <c r="C96" s="120">
        <f>IF(BX48&gt;0,BX48,0)</f>
        <v>15</v>
      </c>
      <c r="D96" s="120"/>
      <c r="E96" s="120"/>
      <c r="F96" s="120"/>
      <c r="G96" s="120"/>
      <c r="H96" s="120"/>
      <c r="I96" s="120"/>
      <c r="J96" s="120"/>
      <c r="K96" s="120"/>
      <c r="L96" s="120"/>
      <c r="M96" s="120"/>
      <c r="N96" s="120"/>
      <c r="O96" s="120"/>
      <c r="P96" s="120"/>
      <c r="Q96" s="120"/>
      <c r="R96" s="120"/>
      <c r="S96" s="120"/>
      <c r="CZ96" s="120"/>
      <c r="DA96" s="610">
        <v>90</v>
      </c>
      <c r="DB96" s="1061" t="str">
        <f t="shared" si="24"/>
        <v/>
      </c>
      <c r="DC96" s="1061"/>
      <c r="DD96" s="1061"/>
      <c r="DE96" s="1061"/>
      <c r="DF96" s="1061"/>
      <c r="DG96" s="1096" t="str">
        <f t="shared" si="25"/>
        <v/>
      </c>
      <c r="DH96" s="1096"/>
      <c r="DI96" s="565"/>
      <c r="DJ96" s="565"/>
      <c r="DK96" s="565"/>
      <c r="DL96" s="565"/>
      <c r="DM96" s="565"/>
      <c r="DN96" s="565"/>
      <c r="DO96" s="565"/>
      <c r="DP96" s="565"/>
      <c r="DQ96" s="565"/>
      <c r="DR96" s="565"/>
      <c r="DS96" s="565"/>
      <c r="DT96" s="565"/>
      <c r="DU96" s="565"/>
      <c r="DV96" s="565"/>
    </row>
    <row r="97" spans="1:126" x14ac:dyDescent="0.25">
      <c r="A97" s="120"/>
      <c r="B97" s="120" t="s">
        <v>6557</v>
      </c>
      <c r="C97" s="120">
        <f>IF(CH48&lt;CI48,CH48,0)</f>
        <v>0</v>
      </c>
      <c r="D97" s="120"/>
      <c r="E97" s="120"/>
      <c r="F97" s="120"/>
      <c r="G97" s="120"/>
      <c r="H97" s="120"/>
      <c r="I97" s="120"/>
      <c r="J97" s="120"/>
      <c r="K97" s="120"/>
      <c r="L97" s="120"/>
      <c r="M97" s="120"/>
      <c r="N97" s="120"/>
      <c r="O97" s="120"/>
      <c r="P97" s="120"/>
      <c r="Q97" s="120"/>
      <c r="R97" s="120"/>
      <c r="S97" s="120"/>
      <c r="CZ97" s="120"/>
      <c r="DA97" s="610">
        <v>91</v>
      </c>
      <c r="DB97" s="1061" t="str">
        <f t="shared" si="24"/>
        <v/>
      </c>
      <c r="DC97" s="1061"/>
      <c r="DD97" s="1061"/>
      <c r="DE97" s="1061"/>
      <c r="DF97" s="1061"/>
      <c r="DG97" s="1096" t="str">
        <f t="shared" si="25"/>
        <v/>
      </c>
      <c r="DH97" s="1096"/>
      <c r="DI97" s="565"/>
      <c r="DJ97" s="565"/>
      <c r="DK97" s="565"/>
      <c r="DL97" s="565"/>
      <c r="DM97" s="565"/>
      <c r="DN97" s="565"/>
      <c r="DO97" s="565"/>
      <c r="DP97" s="565"/>
      <c r="DQ97" s="565"/>
      <c r="DR97" s="565"/>
      <c r="DS97" s="565"/>
      <c r="DT97" s="565"/>
      <c r="DU97" s="565"/>
      <c r="DV97" s="565"/>
    </row>
    <row r="98" spans="1:126" x14ac:dyDescent="0.25">
      <c r="A98" s="120"/>
      <c r="B98" s="120" t="s">
        <v>5250</v>
      </c>
      <c r="C98" s="120">
        <f>IF(CR48&gt;0,CR48,0)</f>
        <v>15</v>
      </c>
      <c r="D98" s="120"/>
      <c r="E98" s="120"/>
      <c r="F98" s="120"/>
      <c r="G98" s="120"/>
      <c r="H98" s="120"/>
      <c r="I98" s="120"/>
      <c r="J98" s="120"/>
      <c r="K98" s="120"/>
      <c r="L98" s="120"/>
      <c r="M98" s="120"/>
      <c r="N98" s="120"/>
      <c r="O98" s="120"/>
      <c r="P98" s="120"/>
      <c r="Q98" s="120"/>
      <c r="R98" s="120"/>
      <c r="S98" s="120"/>
      <c r="CZ98" s="120"/>
      <c r="DA98" s="610">
        <v>92</v>
      </c>
      <c r="DB98" s="1061" t="str">
        <f t="shared" si="24"/>
        <v/>
      </c>
      <c r="DC98" s="1061"/>
      <c r="DD98" s="1061"/>
      <c r="DE98" s="1061"/>
      <c r="DF98" s="1061"/>
      <c r="DG98" s="1096" t="str">
        <f t="shared" si="25"/>
        <v/>
      </c>
      <c r="DH98" s="1096"/>
      <c r="DI98" s="565"/>
      <c r="DJ98" s="565"/>
      <c r="DK98" s="565"/>
      <c r="DL98" s="565"/>
      <c r="DM98" s="565"/>
      <c r="DN98" s="565"/>
      <c r="DO98" s="565"/>
      <c r="DP98" s="565"/>
      <c r="DQ98" s="565"/>
      <c r="DR98" s="565"/>
      <c r="DS98" s="565"/>
      <c r="DT98" s="565"/>
      <c r="DU98" s="565"/>
      <c r="DV98" s="565"/>
    </row>
    <row r="99" spans="1:126" x14ac:dyDescent="0.25">
      <c r="CZ99" s="120"/>
      <c r="DA99" s="610">
        <v>93</v>
      </c>
      <c r="DB99" s="1061" t="str">
        <f t="shared" si="24"/>
        <v/>
      </c>
      <c r="DC99" s="1061"/>
      <c r="DD99" s="1061"/>
      <c r="DE99" s="1061"/>
      <c r="DF99" s="1061"/>
      <c r="DG99" s="1096" t="str">
        <f t="shared" si="25"/>
        <v/>
      </c>
      <c r="DH99" s="1096"/>
      <c r="DI99" s="565"/>
      <c r="DJ99" s="565"/>
      <c r="DK99" s="565"/>
      <c r="DL99" s="565"/>
      <c r="DM99" s="565"/>
      <c r="DN99" s="565"/>
      <c r="DO99" s="565"/>
      <c r="DP99" s="565"/>
      <c r="DQ99" s="565"/>
      <c r="DR99" s="565"/>
      <c r="DS99" s="565"/>
      <c r="DT99" s="565"/>
      <c r="DU99" s="565"/>
      <c r="DV99" s="565"/>
    </row>
    <row r="100" spans="1:126" x14ac:dyDescent="0.25">
      <c r="CZ100" s="120"/>
      <c r="DA100" s="610">
        <v>94</v>
      </c>
      <c r="DB100" s="1061" t="str">
        <f t="shared" si="24"/>
        <v/>
      </c>
      <c r="DC100" s="1061"/>
      <c r="DD100" s="1061"/>
      <c r="DE100" s="1061"/>
      <c r="DF100" s="1061"/>
      <c r="DG100" s="1096" t="str">
        <f t="shared" si="25"/>
        <v/>
      </c>
      <c r="DH100" s="1096"/>
      <c r="DI100" s="565"/>
      <c r="DJ100" s="565"/>
      <c r="DK100" s="565"/>
      <c r="DL100" s="565"/>
      <c r="DM100" s="565"/>
      <c r="DN100" s="565"/>
      <c r="DO100" s="565"/>
      <c r="DP100" s="565"/>
      <c r="DQ100" s="565"/>
      <c r="DR100" s="565"/>
      <c r="DS100" s="565"/>
      <c r="DT100" s="565"/>
      <c r="DU100" s="565"/>
      <c r="DV100" s="565"/>
    </row>
    <row r="101" spans="1:126" x14ac:dyDescent="0.25">
      <c r="CZ101" s="120"/>
      <c r="DA101" s="610">
        <v>95</v>
      </c>
      <c r="DB101" s="1061" t="str">
        <f t="shared" si="24"/>
        <v/>
      </c>
      <c r="DC101" s="1061"/>
      <c r="DD101" s="1061"/>
      <c r="DE101" s="1061"/>
      <c r="DF101" s="1061"/>
      <c r="DG101" s="1096" t="str">
        <f t="shared" si="25"/>
        <v/>
      </c>
      <c r="DH101" s="1096"/>
      <c r="DI101" s="565"/>
      <c r="DJ101" s="565"/>
      <c r="DK101" s="565"/>
      <c r="DL101" s="565"/>
      <c r="DM101" s="565"/>
      <c r="DN101" s="565"/>
      <c r="DO101" s="565"/>
      <c r="DP101" s="565"/>
      <c r="DQ101" s="565"/>
      <c r="DR101" s="565"/>
      <c r="DS101" s="565"/>
      <c r="DT101" s="565"/>
      <c r="DU101" s="565"/>
      <c r="DV101" s="565"/>
    </row>
    <row r="102" spans="1:126" x14ac:dyDescent="0.25">
      <c r="CZ102" s="120"/>
      <c r="DA102" s="610">
        <v>96</v>
      </c>
      <c r="DB102" s="1061" t="str">
        <f t="shared" si="24"/>
        <v/>
      </c>
      <c r="DC102" s="1061"/>
      <c r="DD102" s="1061"/>
      <c r="DE102" s="1061"/>
      <c r="DF102" s="1061"/>
      <c r="DG102" s="1096" t="str">
        <f t="shared" si="25"/>
        <v/>
      </c>
      <c r="DH102" s="1096"/>
      <c r="DI102" s="565"/>
      <c r="DJ102" s="565"/>
      <c r="DK102" s="565"/>
      <c r="DL102" s="565"/>
      <c r="DM102" s="565"/>
      <c r="DN102" s="565"/>
      <c r="DO102" s="565"/>
      <c r="DP102" s="565"/>
      <c r="DQ102" s="565"/>
      <c r="DR102" s="565"/>
      <c r="DS102" s="565"/>
      <c r="DT102" s="565"/>
      <c r="DU102" s="565"/>
      <c r="DV102" s="565"/>
    </row>
    <row r="103" spans="1:126" x14ac:dyDescent="0.25">
      <c r="CZ103" s="120"/>
      <c r="DA103" s="610">
        <v>97</v>
      </c>
      <c r="DB103" s="1061" t="str">
        <f t="shared" ref="DB103:DB131" si="26">IFERROR(INDEX($C$7:$C$46,MATCH(DA103,$E$48:$E$87,0),1),"")&amp;
IFERROR(INDEX($M$7:$M$46,MATCH(DA103,$O$48:$O$87,0),1),"")&amp;
IFERROR(INDEX($W$7:$W$46,MATCH(DA103,$Y$48:$Y$87,0),1),"")&amp;
IFERROR(INDEX($AG$7:$AG$46,MATCH(DA103,$AI$48:$AI$87,0),1),"")&amp;
IFERROR(INDEX($AQ$7:$AQ$46,MATCH(DA103,$AS$48:$AS$87,0),1),"")&amp;
IFERROR(INDEX($BA$7:$BA$46,MATCH(DA103,$BC$48:$BC$87,0),1),"")&amp;
IFERROR(INDEX($BK$7:$BK$46,MATCH(DA103,$BM$48:$BM$87,0),1),"")&amp;
IFERROR(INDEX($BU$7:$BU$46,MATCH(DA103,$BW$48:$BW$87,0),1),"")&amp;
IFERROR(INDEX($CE$7:$CE$46,MATCH(DA103,$CG$48:$CG$87,0),1),"")&amp;
IFERROR(INDEX($CO$7:$CO$46,MATCH(DA103,$CQ$48:$CQ$87,0),1),"")&amp;
IFERROR(INDEX($B$89:$B$98,MATCH(DA103,$C$89:$C$98,0),1),"")</f>
        <v/>
      </c>
      <c r="DC103" s="1061"/>
      <c r="DD103" s="1061"/>
      <c r="DE103" s="1061"/>
      <c r="DF103" s="1061"/>
      <c r="DG103" s="1096" t="str">
        <f t="shared" ref="DG103:DG131" si="27">IFERROR(INDEX($H$7:$H$46,MATCH(DA103,$E$48:$E$87,0),1),"")&amp;
IFERROR(INDEX($R$7:$R$46,MATCH(DA103,$O$48:$O$87,0),1),"")&amp;
IFERROR(INDEX($AB$7:$AB$46,MATCH(DA103,$Y$48:$Y$87,0),1),"")&amp;
IFERROR(INDEX($AL$7:$AL$46,MATCH(DA103,$AI$48:$AI$87,0),1),"")&amp;
IFERROR(INDEX($AV$7:$AV$46,MATCH(DA103,$AS$48:$AS$87,0),1),"")&amp;
IFERROR(INDEX($BF$7:$BF$46,MATCH(DA103,$BC$48:$BC$87,0),1),"")&amp;
IFERROR(INDEX($BP$7:$BP$46,MATCH(DA103,$BM$48:$BM$87,0),1),"")&amp;
IFERROR(INDEX($BZ$7:$BZ$46,MATCH(DA103,$BW$48:$BW$87,0),1),"")&amp;
IFERROR(INDEX($CJ$7:$CJ$46,MATCH(DA103,$CG$48:$CG$87,0),1),"")&amp;
IFERROR(INDEX($CT$7:$CT$46,MATCH(DA103,$CQ$48:$CQ$87,0),1),"")</f>
        <v/>
      </c>
      <c r="DH103" s="1096"/>
      <c r="DI103" s="565"/>
      <c r="DJ103" s="565"/>
      <c r="DK103" s="565"/>
      <c r="DL103" s="565"/>
      <c r="DM103" s="565"/>
      <c r="DN103" s="565"/>
      <c r="DO103" s="565"/>
      <c r="DP103" s="565"/>
      <c r="DQ103" s="565"/>
      <c r="DR103" s="565"/>
      <c r="DS103" s="565"/>
      <c r="DT103" s="565"/>
      <c r="DU103" s="565"/>
      <c r="DV103" s="565"/>
    </row>
    <row r="104" spans="1:126" x14ac:dyDescent="0.25">
      <c r="CZ104" s="120"/>
      <c r="DA104" s="610">
        <v>98</v>
      </c>
      <c r="DB104" s="1061" t="str">
        <f t="shared" si="26"/>
        <v/>
      </c>
      <c r="DC104" s="1061"/>
      <c r="DD104" s="1061"/>
      <c r="DE104" s="1061"/>
      <c r="DF104" s="1061"/>
      <c r="DG104" s="1096" t="str">
        <f t="shared" si="27"/>
        <v/>
      </c>
      <c r="DH104" s="1096"/>
      <c r="DI104" s="565"/>
      <c r="DJ104" s="565"/>
      <c r="DK104" s="565"/>
      <c r="DL104" s="565"/>
      <c r="DM104" s="565"/>
      <c r="DN104" s="565"/>
      <c r="DO104" s="565"/>
      <c r="DP104" s="565"/>
      <c r="DQ104" s="565"/>
      <c r="DR104" s="565"/>
      <c r="DS104" s="565"/>
      <c r="DT104" s="565"/>
      <c r="DU104" s="565"/>
      <c r="DV104" s="565"/>
    </row>
    <row r="105" spans="1:126" x14ac:dyDescent="0.25">
      <c r="CZ105" s="120"/>
      <c r="DA105" s="610">
        <v>99</v>
      </c>
      <c r="DB105" s="1061" t="str">
        <f t="shared" si="26"/>
        <v/>
      </c>
      <c r="DC105" s="1061"/>
      <c r="DD105" s="1061"/>
      <c r="DE105" s="1061"/>
      <c r="DF105" s="1061"/>
      <c r="DG105" s="1096" t="str">
        <f t="shared" si="27"/>
        <v/>
      </c>
      <c r="DH105" s="1096"/>
      <c r="DI105" s="565"/>
      <c r="DJ105" s="565"/>
      <c r="DK105" s="565"/>
      <c r="DL105" s="565"/>
      <c r="DM105" s="565"/>
      <c r="DN105" s="565"/>
      <c r="DO105" s="565"/>
      <c r="DP105" s="565"/>
      <c r="DQ105" s="565"/>
      <c r="DR105" s="565"/>
      <c r="DS105" s="565"/>
      <c r="DT105" s="565"/>
      <c r="DU105" s="565"/>
      <c r="DV105" s="565"/>
    </row>
    <row r="106" spans="1:126" x14ac:dyDescent="0.25">
      <c r="CZ106" s="120"/>
      <c r="DA106" s="610">
        <v>100</v>
      </c>
      <c r="DB106" s="1061" t="str">
        <f t="shared" si="26"/>
        <v/>
      </c>
      <c r="DC106" s="1061"/>
      <c r="DD106" s="1061"/>
      <c r="DE106" s="1061"/>
      <c r="DF106" s="1061"/>
      <c r="DG106" s="1096" t="str">
        <f t="shared" si="27"/>
        <v/>
      </c>
      <c r="DH106" s="1096"/>
      <c r="DI106" s="565"/>
      <c r="DJ106" s="565"/>
      <c r="DK106" s="565"/>
      <c r="DL106" s="565"/>
      <c r="DM106" s="565"/>
      <c r="DN106" s="565"/>
      <c r="DO106" s="565"/>
      <c r="DP106" s="565"/>
      <c r="DQ106" s="565"/>
      <c r="DR106" s="565"/>
      <c r="DS106" s="565"/>
      <c r="DT106" s="565"/>
      <c r="DU106" s="565"/>
      <c r="DV106" s="565"/>
    </row>
    <row r="107" spans="1:126" x14ac:dyDescent="0.25">
      <c r="CZ107" s="120"/>
      <c r="DA107" s="610">
        <v>101</v>
      </c>
      <c r="DB107" s="1061" t="str">
        <f t="shared" si="26"/>
        <v/>
      </c>
      <c r="DC107" s="1061"/>
      <c r="DD107" s="1061"/>
      <c r="DE107" s="1061"/>
      <c r="DF107" s="1061"/>
      <c r="DG107" s="1096" t="str">
        <f t="shared" si="27"/>
        <v/>
      </c>
      <c r="DH107" s="1096"/>
      <c r="DI107" s="565"/>
      <c r="DJ107" s="565"/>
      <c r="DK107" s="565"/>
      <c r="DL107" s="565"/>
      <c r="DM107" s="565"/>
      <c r="DN107" s="565"/>
      <c r="DO107" s="565"/>
      <c r="DP107" s="565"/>
      <c r="DQ107" s="565"/>
      <c r="DR107" s="565"/>
      <c r="DS107" s="565"/>
      <c r="DT107" s="565"/>
      <c r="DU107" s="565"/>
      <c r="DV107" s="565"/>
    </row>
    <row r="108" spans="1:126" x14ac:dyDescent="0.25">
      <c r="CZ108" s="120"/>
      <c r="DA108" s="610">
        <v>102</v>
      </c>
      <c r="DB108" s="1061" t="str">
        <f t="shared" si="26"/>
        <v/>
      </c>
      <c r="DC108" s="1061"/>
      <c r="DD108" s="1061"/>
      <c r="DE108" s="1061"/>
      <c r="DF108" s="1061"/>
      <c r="DG108" s="1096" t="str">
        <f t="shared" si="27"/>
        <v/>
      </c>
      <c r="DH108" s="1096"/>
      <c r="DI108" s="565"/>
      <c r="DJ108" s="565"/>
      <c r="DK108" s="565"/>
      <c r="DL108" s="565"/>
      <c r="DM108" s="565"/>
      <c r="DN108" s="565"/>
      <c r="DO108" s="565"/>
      <c r="DP108" s="565"/>
      <c r="DQ108" s="565"/>
      <c r="DR108" s="565"/>
      <c r="DS108" s="565"/>
      <c r="DT108" s="565"/>
      <c r="DU108" s="565"/>
      <c r="DV108" s="565"/>
    </row>
    <row r="109" spans="1:126" x14ac:dyDescent="0.25">
      <c r="CZ109" s="120"/>
      <c r="DA109" s="610">
        <v>103</v>
      </c>
      <c r="DB109" s="1061" t="str">
        <f t="shared" si="26"/>
        <v/>
      </c>
      <c r="DC109" s="1061"/>
      <c r="DD109" s="1061"/>
      <c r="DE109" s="1061"/>
      <c r="DF109" s="1061"/>
      <c r="DG109" s="1096" t="str">
        <f t="shared" si="27"/>
        <v/>
      </c>
      <c r="DH109" s="1096"/>
      <c r="DI109" s="565"/>
      <c r="DJ109" s="565"/>
      <c r="DK109" s="565"/>
      <c r="DL109" s="565"/>
      <c r="DM109" s="565"/>
      <c r="DN109" s="565"/>
      <c r="DO109" s="565"/>
      <c r="DP109" s="565"/>
      <c r="DQ109" s="565"/>
      <c r="DR109" s="565"/>
      <c r="DS109" s="565"/>
      <c r="DT109" s="565"/>
      <c r="DU109" s="565"/>
      <c r="DV109" s="565"/>
    </row>
    <row r="110" spans="1:126" x14ac:dyDescent="0.25">
      <c r="CZ110" s="120"/>
      <c r="DA110" s="610">
        <v>104</v>
      </c>
      <c r="DB110" s="1061" t="str">
        <f t="shared" si="26"/>
        <v/>
      </c>
      <c r="DC110" s="1061"/>
      <c r="DD110" s="1061"/>
      <c r="DE110" s="1061"/>
      <c r="DF110" s="1061"/>
      <c r="DG110" s="1096" t="str">
        <f t="shared" si="27"/>
        <v/>
      </c>
      <c r="DH110" s="1096"/>
      <c r="DI110" s="565"/>
      <c r="DJ110" s="565"/>
      <c r="DK110" s="565"/>
      <c r="DL110" s="565"/>
      <c r="DM110" s="565"/>
      <c r="DN110" s="565"/>
      <c r="DO110" s="565"/>
      <c r="DP110" s="565"/>
      <c r="DQ110" s="565"/>
      <c r="DR110" s="565"/>
      <c r="DS110" s="565"/>
      <c r="DT110" s="565"/>
      <c r="DU110" s="565"/>
      <c r="DV110" s="565"/>
    </row>
    <row r="111" spans="1:126" x14ac:dyDescent="0.25">
      <c r="CZ111" s="120"/>
      <c r="DA111" s="610">
        <v>105</v>
      </c>
      <c r="DB111" s="1061" t="str">
        <f t="shared" si="26"/>
        <v/>
      </c>
      <c r="DC111" s="1061"/>
      <c r="DD111" s="1061"/>
      <c r="DE111" s="1061"/>
      <c r="DF111" s="1061"/>
      <c r="DG111" s="1096" t="str">
        <f t="shared" si="27"/>
        <v/>
      </c>
      <c r="DH111" s="1096"/>
      <c r="DI111" s="565"/>
      <c r="DJ111" s="565"/>
      <c r="DK111" s="565"/>
      <c r="DL111" s="565"/>
      <c r="DM111" s="565"/>
      <c r="DN111" s="565"/>
      <c r="DO111" s="565"/>
      <c r="DP111" s="565"/>
      <c r="DQ111" s="565"/>
      <c r="DR111" s="565"/>
      <c r="DS111" s="565"/>
      <c r="DT111" s="565"/>
      <c r="DU111" s="565"/>
      <c r="DV111" s="565"/>
    </row>
    <row r="112" spans="1:126" x14ac:dyDescent="0.25">
      <c r="CZ112" s="120"/>
      <c r="DA112" s="610">
        <v>106</v>
      </c>
      <c r="DB112" s="1061" t="str">
        <f t="shared" si="26"/>
        <v/>
      </c>
      <c r="DC112" s="1061"/>
      <c r="DD112" s="1061"/>
      <c r="DE112" s="1061"/>
      <c r="DF112" s="1061"/>
      <c r="DG112" s="1096" t="str">
        <f t="shared" si="27"/>
        <v/>
      </c>
      <c r="DH112" s="1096"/>
      <c r="DI112" s="565"/>
      <c r="DJ112" s="565"/>
      <c r="DK112" s="565"/>
      <c r="DL112" s="565"/>
      <c r="DM112" s="565"/>
      <c r="DN112" s="565"/>
      <c r="DO112" s="565"/>
      <c r="DP112" s="565"/>
      <c r="DQ112" s="565"/>
      <c r="DR112" s="565"/>
      <c r="DS112" s="565"/>
      <c r="DT112" s="565"/>
      <c r="DU112" s="565"/>
      <c r="DV112" s="565"/>
    </row>
    <row r="113" spans="104:126" x14ac:dyDescent="0.25">
      <c r="CZ113" s="120"/>
      <c r="DA113" s="610">
        <v>107</v>
      </c>
      <c r="DB113" s="1061" t="str">
        <f t="shared" si="26"/>
        <v/>
      </c>
      <c r="DC113" s="1061"/>
      <c r="DD113" s="1061"/>
      <c r="DE113" s="1061"/>
      <c r="DF113" s="1061"/>
      <c r="DG113" s="1096" t="str">
        <f t="shared" si="27"/>
        <v/>
      </c>
      <c r="DH113" s="1096"/>
      <c r="DI113" s="565"/>
      <c r="DJ113" s="565"/>
      <c r="DK113" s="565"/>
      <c r="DL113" s="565"/>
      <c r="DM113" s="565"/>
      <c r="DN113" s="565"/>
      <c r="DO113" s="565"/>
      <c r="DP113" s="565"/>
      <c r="DQ113" s="565"/>
      <c r="DR113" s="565"/>
      <c r="DS113" s="565"/>
      <c r="DT113" s="565"/>
      <c r="DU113" s="565"/>
      <c r="DV113" s="565"/>
    </row>
    <row r="114" spans="104:126" x14ac:dyDescent="0.25">
      <c r="CZ114" s="120"/>
      <c r="DA114" s="610">
        <v>108</v>
      </c>
      <c r="DB114" s="1061" t="str">
        <f t="shared" si="26"/>
        <v/>
      </c>
      <c r="DC114" s="1061"/>
      <c r="DD114" s="1061"/>
      <c r="DE114" s="1061"/>
      <c r="DF114" s="1061"/>
      <c r="DG114" s="1096" t="str">
        <f t="shared" si="27"/>
        <v/>
      </c>
      <c r="DH114" s="1096"/>
      <c r="DI114" s="565"/>
      <c r="DJ114" s="565"/>
      <c r="DK114" s="565"/>
      <c r="DL114" s="565"/>
      <c r="DM114" s="565"/>
      <c r="DN114" s="565"/>
      <c r="DO114" s="565"/>
      <c r="DP114" s="565"/>
      <c r="DQ114" s="565"/>
      <c r="DR114" s="565"/>
      <c r="DS114" s="565"/>
      <c r="DT114" s="565"/>
      <c r="DU114" s="565"/>
      <c r="DV114" s="565"/>
    </row>
    <row r="115" spans="104:126" x14ac:dyDescent="0.25">
      <c r="CZ115" s="120"/>
      <c r="DA115" s="610">
        <v>109</v>
      </c>
      <c r="DB115" s="1061" t="str">
        <f t="shared" si="26"/>
        <v/>
      </c>
      <c r="DC115" s="1061"/>
      <c r="DD115" s="1061"/>
      <c r="DE115" s="1061"/>
      <c r="DF115" s="1061"/>
      <c r="DG115" s="1096" t="str">
        <f t="shared" si="27"/>
        <v/>
      </c>
      <c r="DH115" s="1096"/>
      <c r="DI115" s="565"/>
      <c r="DJ115" s="565"/>
      <c r="DK115" s="565"/>
      <c r="DL115" s="565"/>
      <c r="DM115" s="565"/>
      <c r="DN115" s="565"/>
      <c r="DO115" s="565"/>
      <c r="DP115" s="565"/>
      <c r="DQ115" s="565"/>
      <c r="DR115" s="565"/>
      <c r="DS115" s="565"/>
      <c r="DT115" s="565"/>
      <c r="DU115" s="565"/>
      <c r="DV115" s="565"/>
    </row>
    <row r="116" spans="104:126" x14ac:dyDescent="0.25">
      <c r="CZ116" s="120"/>
      <c r="DA116" s="610">
        <v>110</v>
      </c>
      <c r="DB116" s="1061" t="str">
        <f t="shared" si="26"/>
        <v/>
      </c>
      <c r="DC116" s="1061"/>
      <c r="DD116" s="1061"/>
      <c r="DE116" s="1061"/>
      <c r="DF116" s="1061"/>
      <c r="DG116" s="1096" t="str">
        <f t="shared" si="27"/>
        <v/>
      </c>
      <c r="DH116" s="1096"/>
      <c r="DI116" s="565"/>
      <c r="DJ116" s="565"/>
      <c r="DK116" s="565"/>
      <c r="DL116" s="565"/>
      <c r="DM116" s="565"/>
      <c r="DN116" s="565"/>
      <c r="DO116" s="565"/>
      <c r="DP116" s="565"/>
      <c r="DQ116" s="565"/>
      <c r="DR116" s="565"/>
      <c r="DS116" s="565"/>
      <c r="DT116" s="565"/>
      <c r="DU116" s="565"/>
      <c r="DV116" s="565"/>
    </row>
    <row r="117" spans="104:126" x14ac:dyDescent="0.25">
      <c r="CZ117" s="120"/>
      <c r="DA117" s="610">
        <v>111</v>
      </c>
      <c r="DB117" s="1061" t="str">
        <f t="shared" si="26"/>
        <v/>
      </c>
      <c r="DC117" s="1061"/>
      <c r="DD117" s="1061"/>
      <c r="DE117" s="1061"/>
      <c r="DF117" s="1061"/>
      <c r="DG117" s="1096" t="str">
        <f t="shared" si="27"/>
        <v/>
      </c>
      <c r="DH117" s="1096"/>
      <c r="DI117" s="565"/>
      <c r="DJ117" s="565"/>
      <c r="DK117" s="565"/>
      <c r="DL117" s="565"/>
      <c r="DM117" s="565"/>
      <c r="DN117" s="565"/>
      <c r="DO117" s="565"/>
      <c r="DP117" s="565"/>
      <c r="DQ117" s="565"/>
      <c r="DR117" s="565"/>
      <c r="DS117" s="565"/>
      <c r="DT117" s="565"/>
      <c r="DU117" s="565"/>
      <c r="DV117" s="565"/>
    </row>
    <row r="118" spans="104:126" x14ac:dyDescent="0.25">
      <c r="CZ118" s="120"/>
      <c r="DA118" s="610">
        <v>112</v>
      </c>
      <c r="DB118" s="1061" t="str">
        <f t="shared" si="26"/>
        <v/>
      </c>
      <c r="DC118" s="1061"/>
      <c r="DD118" s="1061"/>
      <c r="DE118" s="1061"/>
      <c r="DF118" s="1061"/>
      <c r="DG118" s="1096" t="str">
        <f t="shared" si="27"/>
        <v/>
      </c>
      <c r="DH118" s="1096"/>
      <c r="DI118" s="565"/>
      <c r="DJ118" s="565"/>
      <c r="DK118" s="565"/>
      <c r="DL118" s="565"/>
      <c r="DM118" s="565"/>
      <c r="DN118" s="565"/>
      <c r="DO118" s="565"/>
      <c r="DP118" s="565"/>
      <c r="DQ118" s="565"/>
      <c r="DR118" s="565"/>
      <c r="DS118" s="565"/>
      <c r="DT118" s="565"/>
      <c r="DU118" s="565"/>
      <c r="DV118" s="565"/>
    </row>
    <row r="119" spans="104:126" x14ac:dyDescent="0.25">
      <c r="CZ119" s="120"/>
      <c r="DA119" s="610">
        <v>113</v>
      </c>
      <c r="DB119" s="1061" t="str">
        <f t="shared" si="26"/>
        <v/>
      </c>
      <c r="DC119" s="1061"/>
      <c r="DD119" s="1061"/>
      <c r="DE119" s="1061"/>
      <c r="DF119" s="1061"/>
      <c r="DG119" s="1096" t="str">
        <f t="shared" si="27"/>
        <v/>
      </c>
      <c r="DH119" s="1096"/>
      <c r="DI119" s="565"/>
      <c r="DJ119" s="565"/>
      <c r="DK119" s="565"/>
      <c r="DL119" s="565"/>
      <c r="DM119" s="565"/>
      <c r="DN119" s="565"/>
      <c r="DO119" s="565"/>
      <c r="DP119" s="565"/>
      <c r="DQ119" s="565"/>
      <c r="DR119" s="565"/>
      <c r="DS119" s="565"/>
      <c r="DT119" s="565"/>
      <c r="DU119" s="565"/>
      <c r="DV119" s="565"/>
    </row>
    <row r="120" spans="104:126" x14ac:dyDescent="0.25">
      <c r="CZ120" s="120"/>
      <c r="DA120" s="610">
        <v>114</v>
      </c>
      <c r="DB120" s="1061" t="str">
        <f t="shared" si="26"/>
        <v/>
      </c>
      <c r="DC120" s="1061"/>
      <c r="DD120" s="1061"/>
      <c r="DE120" s="1061"/>
      <c r="DF120" s="1061"/>
      <c r="DG120" s="1096" t="str">
        <f t="shared" si="27"/>
        <v/>
      </c>
      <c r="DH120" s="1096"/>
      <c r="DI120" s="565"/>
      <c r="DJ120" s="565"/>
      <c r="DK120" s="565"/>
      <c r="DL120" s="565"/>
      <c r="DM120" s="565"/>
      <c r="DN120" s="565"/>
      <c r="DO120" s="565"/>
      <c r="DP120" s="565"/>
      <c r="DQ120" s="565"/>
      <c r="DR120" s="565"/>
      <c r="DS120" s="565"/>
      <c r="DT120" s="565"/>
      <c r="DU120" s="565"/>
      <c r="DV120" s="565"/>
    </row>
    <row r="121" spans="104:126" x14ac:dyDescent="0.25">
      <c r="CZ121" s="120"/>
      <c r="DA121" s="610">
        <v>115</v>
      </c>
      <c r="DB121" s="1061" t="str">
        <f t="shared" si="26"/>
        <v/>
      </c>
      <c r="DC121" s="1061"/>
      <c r="DD121" s="1061"/>
      <c r="DE121" s="1061"/>
      <c r="DF121" s="1061"/>
      <c r="DG121" s="1096" t="str">
        <f t="shared" si="27"/>
        <v/>
      </c>
      <c r="DH121" s="1096"/>
      <c r="DI121" s="565"/>
      <c r="DJ121" s="565"/>
      <c r="DK121" s="565"/>
      <c r="DL121" s="565"/>
      <c r="DM121" s="565"/>
      <c r="DN121" s="565"/>
      <c r="DO121" s="565"/>
      <c r="DP121" s="565"/>
      <c r="DQ121" s="565"/>
      <c r="DR121" s="565"/>
      <c r="DS121" s="565"/>
      <c r="DT121" s="565"/>
      <c r="DU121" s="565"/>
      <c r="DV121" s="565"/>
    </row>
    <row r="122" spans="104:126" x14ac:dyDescent="0.25">
      <c r="CZ122" s="120"/>
      <c r="DA122" s="610">
        <v>116</v>
      </c>
      <c r="DB122" s="1061" t="str">
        <f t="shared" si="26"/>
        <v/>
      </c>
      <c r="DC122" s="1061"/>
      <c r="DD122" s="1061"/>
      <c r="DE122" s="1061"/>
      <c r="DF122" s="1061"/>
      <c r="DG122" s="1096" t="str">
        <f t="shared" si="27"/>
        <v/>
      </c>
      <c r="DH122" s="1096"/>
      <c r="DI122" s="565"/>
      <c r="DJ122" s="565"/>
      <c r="DK122" s="565"/>
      <c r="DL122" s="565"/>
      <c r="DM122" s="565"/>
      <c r="DN122" s="565"/>
      <c r="DO122" s="565"/>
      <c r="DP122" s="565"/>
      <c r="DQ122" s="565"/>
      <c r="DR122" s="565"/>
      <c r="DS122" s="565"/>
      <c r="DT122" s="565"/>
      <c r="DU122" s="565"/>
      <c r="DV122" s="565"/>
    </row>
    <row r="123" spans="104:126" x14ac:dyDescent="0.25">
      <c r="CZ123" s="120"/>
      <c r="DA123" s="610">
        <v>117</v>
      </c>
      <c r="DB123" s="1061" t="str">
        <f t="shared" si="26"/>
        <v/>
      </c>
      <c r="DC123" s="1061"/>
      <c r="DD123" s="1061"/>
      <c r="DE123" s="1061"/>
      <c r="DF123" s="1061"/>
      <c r="DG123" s="1096" t="str">
        <f t="shared" si="27"/>
        <v/>
      </c>
      <c r="DH123" s="1096"/>
      <c r="DI123" s="565"/>
      <c r="DJ123" s="565"/>
      <c r="DK123" s="565"/>
      <c r="DL123" s="565"/>
      <c r="DM123" s="565"/>
      <c r="DN123" s="565"/>
      <c r="DO123" s="565"/>
      <c r="DP123" s="565"/>
      <c r="DQ123" s="565"/>
      <c r="DR123" s="565"/>
      <c r="DS123" s="565"/>
      <c r="DT123" s="565"/>
      <c r="DU123" s="565"/>
      <c r="DV123" s="565"/>
    </row>
    <row r="124" spans="104:126" x14ac:dyDescent="0.25">
      <c r="CZ124" s="120"/>
      <c r="DA124" s="610">
        <v>118</v>
      </c>
      <c r="DB124" s="1061" t="str">
        <f t="shared" si="26"/>
        <v/>
      </c>
      <c r="DC124" s="1061"/>
      <c r="DD124" s="1061"/>
      <c r="DE124" s="1061"/>
      <c r="DF124" s="1061"/>
      <c r="DG124" s="1096" t="str">
        <f t="shared" si="27"/>
        <v/>
      </c>
      <c r="DH124" s="1096"/>
      <c r="DI124" s="565"/>
      <c r="DJ124" s="565"/>
      <c r="DK124" s="565"/>
      <c r="DL124" s="565"/>
      <c r="DM124" s="565"/>
      <c r="DN124" s="565"/>
      <c r="DO124" s="565"/>
      <c r="DP124" s="565"/>
      <c r="DQ124" s="565"/>
      <c r="DR124" s="565"/>
      <c r="DS124" s="565"/>
      <c r="DT124" s="565"/>
      <c r="DU124" s="565"/>
      <c r="DV124" s="565"/>
    </row>
    <row r="125" spans="104:126" x14ac:dyDescent="0.25">
      <c r="CZ125" s="120"/>
      <c r="DA125" s="610">
        <v>119</v>
      </c>
      <c r="DB125" s="1061" t="str">
        <f t="shared" si="26"/>
        <v/>
      </c>
      <c r="DC125" s="1061"/>
      <c r="DD125" s="1061"/>
      <c r="DE125" s="1061"/>
      <c r="DF125" s="1061"/>
      <c r="DG125" s="1096" t="str">
        <f t="shared" si="27"/>
        <v/>
      </c>
      <c r="DH125" s="1096"/>
      <c r="DI125" s="565"/>
      <c r="DJ125" s="565"/>
      <c r="DK125" s="565"/>
      <c r="DL125" s="565"/>
      <c r="DM125" s="565"/>
      <c r="DN125" s="565"/>
      <c r="DO125" s="565"/>
      <c r="DP125" s="565"/>
      <c r="DQ125" s="565"/>
      <c r="DR125" s="565"/>
      <c r="DS125" s="565"/>
      <c r="DT125" s="565"/>
      <c r="DU125" s="565"/>
      <c r="DV125" s="565"/>
    </row>
    <row r="126" spans="104:126" x14ac:dyDescent="0.25">
      <c r="CZ126" s="120"/>
      <c r="DA126" s="610">
        <v>120</v>
      </c>
      <c r="DB126" s="1061" t="str">
        <f t="shared" si="26"/>
        <v/>
      </c>
      <c r="DC126" s="1061"/>
      <c r="DD126" s="1061"/>
      <c r="DE126" s="1061"/>
      <c r="DF126" s="1061"/>
      <c r="DG126" s="1096" t="str">
        <f t="shared" si="27"/>
        <v/>
      </c>
      <c r="DH126" s="1096"/>
      <c r="DI126" s="565"/>
      <c r="DJ126" s="565"/>
      <c r="DK126" s="565"/>
      <c r="DL126" s="565"/>
      <c r="DM126" s="565"/>
      <c r="DN126" s="565"/>
      <c r="DO126" s="565"/>
      <c r="DP126" s="565"/>
      <c r="DQ126" s="565"/>
      <c r="DR126" s="565"/>
      <c r="DS126" s="565"/>
      <c r="DT126" s="565"/>
      <c r="DU126" s="565"/>
      <c r="DV126" s="565"/>
    </row>
    <row r="127" spans="104:126" x14ac:dyDescent="0.25">
      <c r="CZ127" s="120"/>
      <c r="DA127" s="610">
        <v>121</v>
      </c>
      <c r="DB127" s="1061" t="str">
        <f t="shared" si="26"/>
        <v/>
      </c>
      <c r="DC127" s="1061"/>
      <c r="DD127" s="1061"/>
      <c r="DE127" s="1061"/>
      <c r="DF127" s="1061"/>
      <c r="DG127" s="1096" t="str">
        <f t="shared" si="27"/>
        <v/>
      </c>
      <c r="DH127" s="1096"/>
      <c r="DI127" s="565"/>
      <c r="DJ127" s="565"/>
      <c r="DK127" s="565"/>
      <c r="DL127" s="565"/>
      <c r="DM127" s="565"/>
      <c r="DN127" s="565"/>
      <c r="DO127" s="565"/>
      <c r="DP127" s="565"/>
      <c r="DQ127" s="565"/>
      <c r="DR127" s="565"/>
      <c r="DS127" s="565"/>
      <c r="DT127" s="565"/>
      <c r="DU127" s="565"/>
      <c r="DV127" s="565"/>
    </row>
    <row r="128" spans="104:126" x14ac:dyDescent="0.25">
      <c r="CZ128" s="120"/>
      <c r="DA128" s="610">
        <v>122</v>
      </c>
      <c r="DB128" s="1061" t="str">
        <f t="shared" si="26"/>
        <v/>
      </c>
      <c r="DC128" s="1061"/>
      <c r="DD128" s="1061"/>
      <c r="DE128" s="1061"/>
      <c r="DF128" s="1061"/>
      <c r="DG128" s="1096" t="str">
        <f t="shared" si="27"/>
        <v/>
      </c>
      <c r="DH128" s="1096"/>
      <c r="DI128" s="565"/>
      <c r="DJ128" s="565"/>
      <c r="DK128" s="565"/>
      <c r="DL128" s="565"/>
      <c r="DM128" s="565"/>
      <c r="DN128" s="565"/>
      <c r="DO128" s="565"/>
      <c r="DP128" s="565"/>
      <c r="DQ128" s="565"/>
      <c r="DR128" s="565"/>
      <c r="DS128" s="565"/>
      <c r="DT128" s="565"/>
      <c r="DU128" s="565"/>
      <c r="DV128" s="565"/>
    </row>
    <row r="129" spans="104:126" x14ac:dyDescent="0.25">
      <c r="CZ129" s="120"/>
      <c r="DA129" s="610">
        <v>123</v>
      </c>
      <c r="DB129" s="1061" t="str">
        <f t="shared" si="26"/>
        <v/>
      </c>
      <c r="DC129" s="1061"/>
      <c r="DD129" s="1061"/>
      <c r="DE129" s="1061"/>
      <c r="DF129" s="1061"/>
      <c r="DG129" s="1096" t="str">
        <f t="shared" si="27"/>
        <v/>
      </c>
      <c r="DH129" s="1096"/>
      <c r="DI129" s="565"/>
      <c r="DJ129" s="565"/>
      <c r="DK129" s="565"/>
      <c r="DL129" s="565"/>
      <c r="DM129" s="565"/>
      <c r="DN129" s="565"/>
      <c r="DO129" s="565"/>
      <c r="DP129" s="565"/>
      <c r="DQ129" s="565"/>
      <c r="DR129" s="565"/>
      <c r="DS129" s="565"/>
      <c r="DT129" s="565"/>
      <c r="DU129" s="565"/>
      <c r="DV129" s="565"/>
    </row>
    <row r="130" spans="104:126" x14ac:dyDescent="0.25">
      <c r="CZ130" s="120"/>
      <c r="DA130" s="610">
        <v>124</v>
      </c>
      <c r="DB130" s="1061" t="str">
        <f t="shared" si="26"/>
        <v/>
      </c>
      <c r="DC130" s="1061"/>
      <c r="DD130" s="1061"/>
      <c r="DE130" s="1061"/>
      <c r="DF130" s="1061"/>
      <c r="DG130" s="1096" t="str">
        <f t="shared" si="27"/>
        <v/>
      </c>
      <c r="DH130" s="1096"/>
      <c r="DI130" s="565"/>
      <c r="DJ130" s="565"/>
      <c r="DK130" s="565"/>
      <c r="DL130" s="565"/>
      <c r="DM130" s="565"/>
      <c r="DN130" s="565"/>
      <c r="DO130" s="565"/>
      <c r="DP130" s="565"/>
      <c r="DQ130" s="565"/>
      <c r="DR130" s="565"/>
      <c r="DS130" s="565"/>
      <c r="DT130" s="565"/>
      <c r="DU130" s="565"/>
      <c r="DV130" s="565"/>
    </row>
    <row r="131" spans="104:126" x14ac:dyDescent="0.25">
      <c r="CZ131" s="120"/>
      <c r="DA131" s="610">
        <v>125</v>
      </c>
      <c r="DB131" s="1061" t="str">
        <f t="shared" si="26"/>
        <v/>
      </c>
      <c r="DC131" s="1061"/>
      <c r="DD131" s="1061"/>
      <c r="DE131" s="1061"/>
      <c r="DF131" s="1061"/>
      <c r="DG131" s="1096" t="str">
        <f t="shared" si="27"/>
        <v/>
      </c>
      <c r="DH131" s="1096"/>
      <c r="DI131" s="565"/>
      <c r="DJ131" s="565"/>
      <c r="DK131" s="565"/>
      <c r="DL131" s="565"/>
      <c r="DM131" s="565"/>
      <c r="DN131" s="565"/>
      <c r="DO131" s="565"/>
      <c r="DP131" s="565"/>
      <c r="DQ131" s="565"/>
      <c r="DR131" s="565"/>
      <c r="DS131" s="565"/>
      <c r="DT131" s="565"/>
      <c r="DU131" s="565"/>
      <c r="DV131" s="565"/>
    </row>
    <row r="132" spans="104:126" x14ac:dyDescent="0.25">
      <c r="CZ132" s="120"/>
      <c r="DA132" s="120"/>
      <c r="DB132" s="120"/>
      <c r="DC132" s="120"/>
      <c r="DD132" s="120"/>
      <c r="DE132" s="120"/>
      <c r="DF132" s="120"/>
      <c r="DG132" s="565"/>
      <c r="DH132" s="565"/>
      <c r="DI132" s="565"/>
      <c r="DJ132" s="565"/>
      <c r="DK132" s="565"/>
      <c r="DL132" s="565"/>
      <c r="DM132" s="565"/>
      <c r="DN132" s="565"/>
      <c r="DO132" s="565"/>
      <c r="DP132" s="565"/>
      <c r="DQ132" s="565"/>
      <c r="DR132" s="565"/>
      <c r="DS132" s="565"/>
      <c r="DT132" s="565"/>
      <c r="DU132" s="565"/>
      <c r="DV132" s="565"/>
    </row>
    <row r="133" spans="104:126" x14ac:dyDescent="0.25">
      <c r="CZ133" s="120"/>
      <c r="DA133" s="120"/>
      <c r="DB133" s="120"/>
      <c r="DC133" s="120"/>
      <c r="DD133" s="120"/>
      <c r="DE133" s="120"/>
      <c r="DF133" s="120"/>
      <c r="DG133" s="565"/>
      <c r="DH133" s="565"/>
      <c r="DI133" s="565"/>
      <c r="DJ133" s="565"/>
      <c r="DK133" s="565"/>
      <c r="DL133" s="565"/>
      <c r="DM133" s="565"/>
      <c r="DN133" s="565"/>
      <c r="DO133" s="565"/>
      <c r="DP133" s="565"/>
      <c r="DQ133" s="565"/>
      <c r="DR133" s="565"/>
      <c r="DS133" s="565"/>
      <c r="DT133" s="565"/>
      <c r="DU133" s="565"/>
      <c r="DV133" s="565"/>
    </row>
  </sheetData>
  <mergeCells count="1063">
    <mergeCell ref="DB127:DF127"/>
    <mergeCell ref="DB128:DF128"/>
    <mergeCell ref="DB129:DF129"/>
    <mergeCell ref="DB130:DF130"/>
    <mergeCell ref="DB131:DF131"/>
    <mergeCell ref="DB118:DF118"/>
    <mergeCell ref="DB119:DF119"/>
    <mergeCell ref="DB120:DF120"/>
    <mergeCell ref="DB121:DF121"/>
    <mergeCell ref="DB122:DF122"/>
    <mergeCell ref="DB123:DF123"/>
    <mergeCell ref="DB124:DF124"/>
    <mergeCell ref="DB125:DF125"/>
    <mergeCell ref="DB126:DF126"/>
    <mergeCell ref="DB109:DF109"/>
    <mergeCell ref="DB110:DF110"/>
    <mergeCell ref="DB111:DF111"/>
    <mergeCell ref="DB112:DF112"/>
    <mergeCell ref="DB96:DF96"/>
    <mergeCell ref="DB97:DF97"/>
    <mergeCell ref="DB98:DF98"/>
    <mergeCell ref="DB99:DF99"/>
    <mergeCell ref="DB113:DF113"/>
    <mergeCell ref="DB114:DF114"/>
    <mergeCell ref="DB115:DF115"/>
    <mergeCell ref="DB116:DF116"/>
    <mergeCell ref="DB117:DF117"/>
    <mergeCell ref="DB100:DF100"/>
    <mergeCell ref="DB101:DF101"/>
    <mergeCell ref="DB102:DF102"/>
    <mergeCell ref="DB103:DF103"/>
    <mergeCell ref="DB104:DF104"/>
    <mergeCell ref="DB105:DF105"/>
    <mergeCell ref="DB106:DF106"/>
    <mergeCell ref="DB107:DF107"/>
    <mergeCell ref="DB108:DF108"/>
    <mergeCell ref="DB79:DF79"/>
    <mergeCell ref="DB80:DF80"/>
    <mergeCell ref="DB81:DF81"/>
    <mergeCell ref="DB82:DF82"/>
    <mergeCell ref="DB83:DF83"/>
    <mergeCell ref="DB84:DF84"/>
    <mergeCell ref="DB85:DF85"/>
    <mergeCell ref="DB86:DF86"/>
    <mergeCell ref="DB87:DF87"/>
    <mergeCell ref="DB88:DF88"/>
    <mergeCell ref="DB89:DF89"/>
    <mergeCell ref="DB90:DF90"/>
    <mergeCell ref="DB91:DF91"/>
    <mergeCell ref="DB92:DF92"/>
    <mergeCell ref="DB93:DF93"/>
    <mergeCell ref="DB94:DF94"/>
    <mergeCell ref="DB95:DF95"/>
    <mergeCell ref="DB62:DF62"/>
    <mergeCell ref="DB63:DF63"/>
    <mergeCell ref="DB64:DF64"/>
    <mergeCell ref="DB65:DF65"/>
    <mergeCell ref="DB66:DF66"/>
    <mergeCell ref="DB67:DF67"/>
    <mergeCell ref="DB68:DF68"/>
    <mergeCell ref="DB69:DF69"/>
    <mergeCell ref="DB70:DF70"/>
    <mergeCell ref="DB71:DF71"/>
    <mergeCell ref="DB72:DF72"/>
    <mergeCell ref="DB73:DF73"/>
    <mergeCell ref="DB74:DF74"/>
    <mergeCell ref="DB75:DF75"/>
    <mergeCell ref="DB76:DF76"/>
    <mergeCell ref="DB77:DF77"/>
    <mergeCell ref="DB78:DF78"/>
    <mergeCell ref="DB45:DF45"/>
    <mergeCell ref="DB46:DF46"/>
    <mergeCell ref="DB47:DF47"/>
    <mergeCell ref="DB48:DF48"/>
    <mergeCell ref="DB49:DF49"/>
    <mergeCell ref="DB50:DF50"/>
    <mergeCell ref="DB51:DF51"/>
    <mergeCell ref="DB52:DF52"/>
    <mergeCell ref="DB53:DF53"/>
    <mergeCell ref="DB54:DF54"/>
    <mergeCell ref="DB55:DF55"/>
    <mergeCell ref="DB56:DF56"/>
    <mergeCell ref="DB57:DF57"/>
    <mergeCell ref="DB58:DF58"/>
    <mergeCell ref="DB59:DF59"/>
    <mergeCell ref="DB60:DF60"/>
    <mergeCell ref="DB61:DF61"/>
    <mergeCell ref="DB28:DF28"/>
    <mergeCell ref="DB29:DF29"/>
    <mergeCell ref="DB30:DF30"/>
    <mergeCell ref="DB31:DF31"/>
    <mergeCell ref="DB32:DF32"/>
    <mergeCell ref="DB33:DF33"/>
    <mergeCell ref="DB34:DF34"/>
    <mergeCell ref="DB35:DF35"/>
    <mergeCell ref="DB36:DF36"/>
    <mergeCell ref="DB37:DF37"/>
    <mergeCell ref="DB38:DF38"/>
    <mergeCell ref="DB39:DF39"/>
    <mergeCell ref="DB40:DF40"/>
    <mergeCell ref="DB41:DF41"/>
    <mergeCell ref="DB42:DF42"/>
    <mergeCell ref="DB43:DF43"/>
    <mergeCell ref="DB44:DF44"/>
    <mergeCell ref="C42:G42"/>
    <mergeCell ref="H42:I42"/>
    <mergeCell ref="C43:G43"/>
    <mergeCell ref="H43:I43"/>
    <mergeCell ref="C44:G44"/>
    <mergeCell ref="H44:I44"/>
    <mergeCell ref="C45:G45"/>
    <mergeCell ref="H45:I45"/>
    <mergeCell ref="C46:G46"/>
    <mergeCell ref="H46:I46"/>
    <mergeCell ref="B2:T3"/>
    <mergeCell ref="DB7:DF7"/>
    <mergeCell ref="DB8:DF8"/>
    <mergeCell ref="DB9:DF9"/>
    <mergeCell ref="DB10:DF10"/>
    <mergeCell ref="DB11:DF11"/>
    <mergeCell ref="DB12:DF12"/>
    <mergeCell ref="DB13:DF13"/>
    <mergeCell ref="DB14:DF14"/>
    <mergeCell ref="DB15:DF15"/>
    <mergeCell ref="DB16:DF16"/>
    <mergeCell ref="DB17:DF17"/>
    <mergeCell ref="DB18:DF18"/>
    <mergeCell ref="DB19:DF19"/>
    <mergeCell ref="DB20:DF20"/>
    <mergeCell ref="DB21:DF21"/>
    <mergeCell ref="DB22:DF22"/>
    <mergeCell ref="DB23:DF23"/>
    <mergeCell ref="DB24:DF24"/>
    <mergeCell ref="DB25:DF25"/>
    <mergeCell ref="DB26:DF26"/>
    <mergeCell ref="DB27:DF27"/>
    <mergeCell ref="C33:G33"/>
    <mergeCell ref="H33:I33"/>
    <mergeCell ref="C34:G34"/>
    <mergeCell ref="H34:I34"/>
    <mergeCell ref="C35:G35"/>
    <mergeCell ref="H35:I35"/>
    <mergeCell ref="C36:G36"/>
    <mergeCell ref="H36:I36"/>
    <mergeCell ref="C37:G37"/>
    <mergeCell ref="H37:I37"/>
    <mergeCell ref="C38:G38"/>
    <mergeCell ref="H38:I38"/>
    <mergeCell ref="C39:G39"/>
    <mergeCell ref="H39:I39"/>
    <mergeCell ref="C40:G40"/>
    <mergeCell ref="H40:I40"/>
    <mergeCell ref="C41:G41"/>
    <mergeCell ref="H41:I41"/>
    <mergeCell ref="C24:G24"/>
    <mergeCell ref="H24:I24"/>
    <mergeCell ref="C25:G25"/>
    <mergeCell ref="H25:I25"/>
    <mergeCell ref="C26:G26"/>
    <mergeCell ref="H26:I26"/>
    <mergeCell ref="C27:G27"/>
    <mergeCell ref="H27:I27"/>
    <mergeCell ref="C28:G28"/>
    <mergeCell ref="H28:I28"/>
    <mergeCell ref="C29:G29"/>
    <mergeCell ref="H29:I29"/>
    <mergeCell ref="C30:G30"/>
    <mergeCell ref="H30:I30"/>
    <mergeCell ref="C31:G31"/>
    <mergeCell ref="H31:I31"/>
    <mergeCell ref="C32:G32"/>
    <mergeCell ref="H32:I32"/>
    <mergeCell ref="C15:G15"/>
    <mergeCell ref="H15:I15"/>
    <mergeCell ref="C16:G16"/>
    <mergeCell ref="H16:I16"/>
    <mergeCell ref="C17:G17"/>
    <mergeCell ref="H17:I17"/>
    <mergeCell ref="C18:G18"/>
    <mergeCell ref="H18:I18"/>
    <mergeCell ref="C19:G19"/>
    <mergeCell ref="H19:I19"/>
    <mergeCell ref="C20:G20"/>
    <mergeCell ref="H20:I20"/>
    <mergeCell ref="C21:G21"/>
    <mergeCell ref="H21:I21"/>
    <mergeCell ref="C22:G22"/>
    <mergeCell ref="H22:I22"/>
    <mergeCell ref="C23:G23"/>
    <mergeCell ref="H23:I23"/>
    <mergeCell ref="B5:J5"/>
    <mergeCell ref="C7:G7"/>
    <mergeCell ref="H7:I7"/>
    <mergeCell ref="C8:G8"/>
    <mergeCell ref="H8:I8"/>
    <mergeCell ref="C9:G9"/>
    <mergeCell ref="H9:I9"/>
    <mergeCell ref="C10:G10"/>
    <mergeCell ref="H10:I10"/>
    <mergeCell ref="C11:G11"/>
    <mergeCell ref="H11:I11"/>
    <mergeCell ref="C12:G12"/>
    <mergeCell ref="H12:I12"/>
    <mergeCell ref="C13:G13"/>
    <mergeCell ref="H13:I13"/>
    <mergeCell ref="C14:G14"/>
    <mergeCell ref="H14:I14"/>
    <mergeCell ref="CN5:CV5"/>
    <mergeCell ref="BT5:CB5"/>
    <mergeCell ref="CD5:CL5"/>
    <mergeCell ref="M12:Q12"/>
    <mergeCell ref="BA11:BE11"/>
    <mergeCell ref="M11:Q11"/>
    <mergeCell ref="BA10:BE10"/>
    <mergeCell ref="M10:Q10"/>
    <mergeCell ref="M9:Q9"/>
    <mergeCell ref="BA8:BE8"/>
    <mergeCell ref="M8:Q8"/>
    <mergeCell ref="BA7:BE7"/>
    <mergeCell ref="M7:Q7"/>
    <mergeCell ref="AZ5:BH5"/>
    <mergeCell ref="BJ5:BR5"/>
    <mergeCell ref="R7:S7"/>
    <mergeCell ref="R8:S8"/>
    <mergeCell ref="R9:S9"/>
    <mergeCell ref="R10:S10"/>
    <mergeCell ref="R11:S11"/>
    <mergeCell ref="R12:S12"/>
    <mergeCell ref="AB9:AC9"/>
    <mergeCell ref="W10:AA10"/>
    <mergeCell ref="AB10:AC10"/>
    <mergeCell ref="BU7:BY7"/>
    <mergeCell ref="BZ7:CA7"/>
    <mergeCell ref="BF8:BG8"/>
    <mergeCell ref="BK8:BO8"/>
    <mergeCell ref="BP8:BQ8"/>
    <mergeCell ref="BU8:BY8"/>
    <mergeCell ref="BZ8:CA8"/>
    <mergeCell ref="BF7:BG7"/>
    <mergeCell ref="M36:Q36"/>
    <mergeCell ref="BA35:BE35"/>
    <mergeCell ref="M35:Q35"/>
    <mergeCell ref="BA34:BE34"/>
    <mergeCell ref="M34:Q34"/>
    <mergeCell ref="M33:Q33"/>
    <mergeCell ref="BA32:BE32"/>
    <mergeCell ref="M32:Q32"/>
    <mergeCell ref="BA31:BE31"/>
    <mergeCell ref="M31:Q31"/>
    <mergeCell ref="AQ34:AU34"/>
    <mergeCell ref="AV34:AW34"/>
    <mergeCell ref="W32:AA32"/>
    <mergeCell ref="AB32:AC32"/>
    <mergeCell ref="AG32:AK32"/>
    <mergeCell ref="AL32:AM32"/>
    <mergeCell ref="AQ31:AU31"/>
    <mergeCell ref="AV31:AW31"/>
    <mergeCell ref="AQ32:AU32"/>
    <mergeCell ref="AV32:AW32"/>
    <mergeCell ref="AQ33:AU33"/>
    <mergeCell ref="AV33:AW33"/>
    <mergeCell ref="BA33:BE33"/>
    <mergeCell ref="AV35:AW35"/>
    <mergeCell ref="AQ36:AU36"/>
    <mergeCell ref="AV36:AW36"/>
    <mergeCell ref="W19:AA19"/>
    <mergeCell ref="AB19:AC19"/>
    <mergeCell ref="AG17:AK17"/>
    <mergeCell ref="AL17:AM17"/>
    <mergeCell ref="AG18:AK18"/>
    <mergeCell ref="AL18:AM18"/>
    <mergeCell ref="AG19:AK19"/>
    <mergeCell ref="AL19:AM19"/>
    <mergeCell ref="AQ16:AU16"/>
    <mergeCell ref="BA30:BE30"/>
    <mergeCell ref="M30:Q30"/>
    <mergeCell ref="M29:Q29"/>
    <mergeCell ref="BA28:BE28"/>
    <mergeCell ref="M28:Q28"/>
    <mergeCell ref="BA27:BE27"/>
    <mergeCell ref="M27:Q27"/>
    <mergeCell ref="BA26:BE26"/>
    <mergeCell ref="M26:Q26"/>
    <mergeCell ref="AQ30:AU30"/>
    <mergeCell ref="AV30:AW30"/>
    <mergeCell ref="W28:AA28"/>
    <mergeCell ref="AB28:AC28"/>
    <mergeCell ref="AG28:AK28"/>
    <mergeCell ref="AL28:AM28"/>
    <mergeCell ref="AQ26:AU26"/>
    <mergeCell ref="AV26:AW26"/>
    <mergeCell ref="W27:AA27"/>
    <mergeCell ref="AB27:AC27"/>
    <mergeCell ref="AG27:AK27"/>
    <mergeCell ref="AL27:AM27"/>
    <mergeCell ref="AQ27:AU27"/>
    <mergeCell ref="AV27:AW27"/>
    <mergeCell ref="R23:S23"/>
    <mergeCell ref="R24:S24"/>
    <mergeCell ref="M37:Q37"/>
    <mergeCell ref="R37:S37"/>
    <mergeCell ref="M38:Q38"/>
    <mergeCell ref="R38:S38"/>
    <mergeCell ref="R31:S31"/>
    <mergeCell ref="R32:S32"/>
    <mergeCell ref="R33:S33"/>
    <mergeCell ref="R34:S34"/>
    <mergeCell ref="R35:S35"/>
    <mergeCell ref="R36:S36"/>
    <mergeCell ref="BA20:BE20"/>
    <mergeCell ref="BA19:BE19"/>
    <mergeCell ref="BA18:BE18"/>
    <mergeCell ref="BA16:BE16"/>
    <mergeCell ref="BA15:BE15"/>
    <mergeCell ref="BA17:BE17"/>
    <mergeCell ref="M25:Q25"/>
    <mergeCell ref="BA24:BE24"/>
    <mergeCell ref="M24:Q24"/>
    <mergeCell ref="AG20:AK20"/>
    <mergeCell ref="AL20:AM20"/>
    <mergeCell ref="W16:AA16"/>
    <mergeCell ref="AB16:AC16"/>
    <mergeCell ref="AG16:AK16"/>
    <mergeCell ref="AL16:AM16"/>
    <mergeCell ref="W24:AA24"/>
    <mergeCell ref="AB24:AC24"/>
    <mergeCell ref="AG24:AK24"/>
    <mergeCell ref="AL24:AM24"/>
    <mergeCell ref="AB18:AC18"/>
    <mergeCell ref="M46:Q46"/>
    <mergeCell ref="R46:S46"/>
    <mergeCell ref="V5:AD5"/>
    <mergeCell ref="W7:AA7"/>
    <mergeCell ref="AB7:AC7"/>
    <mergeCell ref="W8:AA8"/>
    <mergeCell ref="AB8:AC8"/>
    <mergeCell ref="W9:AA9"/>
    <mergeCell ref="M42:Q42"/>
    <mergeCell ref="R42:S42"/>
    <mergeCell ref="M43:Q43"/>
    <mergeCell ref="R43:S43"/>
    <mergeCell ref="M44:Q44"/>
    <mergeCell ref="R44:S44"/>
    <mergeCell ref="M39:Q39"/>
    <mergeCell ref="R39:S39"/>
    <mergeCell ref="M40:Q40"/>
    <mergeCell ref="R40:S40"/>
    <mergeCell ref="M41:Q41"/>
    <mergeCell ref="R41:S41"/>
    <mergeCell ref="L5:T5"/>
    <mergeCell ref="R14:S14"/>
    <mergeCell ref="R15:S15"/>
    <mergeCell ref="R25:S25"/>
    <mergeCell ref="R26:S26"/>
    <mergeCell ref="R27:S27"/>
    <mergeCell ref="R28:S28"/>
    <mergeCell ref="R29:S29"/>
    <mergeCell ref="R30:S30"/>
    <mergeCell ref="R19:S19"/>
    <mergeCell ref="R20:S20"/>
    <mergeCell ref="R21:S21"/>
    <mergeCell ref="W21:AA21"/>
    <mergeCell ref="AB21:AC21"/>
    <mergeCell ref="W22:AA22"/>
    <mergeCell ref="AB22:AC22"/>
    <mergeCell ref="W23:AA23"/>
    <mergeCell ref="AB23:AC23"/>
    <mergeCell ref="R16:S16"/>
    <mergeCell ref="W11:AA11"/>
    <mergeCell ref="AB11:AC11"/>
    <mergeCell ref="W12:AA12"/>
    <mergeCell ref="AB12:AC12"/>
    <mergeCell ref="M45:Q45"/>
    <mergeCell ref="R45:S45"/>
    <mergeCell ref="R17:S17"/>
    <mergeCell ref="R18:S18"/>
    <mergeCell ref="W20:AA20"/>
    <mergeCell ref="AB20:AC20"/>
    <mergeCell ref="M23:Q23"/>
    <mergeCell ref="M22:Q22"/>
    <mergeCell ref="M21:Q21"/>
    <mergeCell ref="M20:Q20"/>
    <mergeCell ref="M19:Q19"/>
    <mergeCell ref="M18:Q18"/>
    <mergeCell ref="M17:Q17"/>
    <mergeCell ref="M16:Q16"/>
    <mergeCell ref="M15:Q15"/>
    <mergeCell ref="M14:Q14"/>
    <mergeCell ref="M13:Q13"/>
    <mergeCell ref="W17:AA17"/>
    <mergeCell ref="AB17:AC17"/>
    <mergeCell ref="R13:S13"/>
    <mergeCell ref="R22:S22"/>
    <mergeCell ref="W46:AA46"/>
    <mergeCell ref="AB46:AC46"/>
    <mergeCell ref="AF5:AN5"/>
    <mergeCell ref="AG7:AK7"/>
    <mergeCell ref="AL7:AM7"/>
    <mergeCell ref="AG8:AK8"/>
    <mergeCell ref="AL8:AM8"/>
    <mergeCell ref="AG9:AK9"/>
    <mergeCell ref="W42:AA42"/>
    <mergeCell ref="AB42:AC42"/>
    <mergeCell ref="W43:AA43"/>
    <mergeCell ref="AB43:AC43"/>
    <mergeCell ref="W44:AA44"/>
    <mergeCell ref="AB44:AC44"/>
    <mergeCell ref="W39:AA39"/>
    <mergeCell ref="AB39:AC39"/>
    <mergeCell ref="W40:AA40"/>
    <mergeCell ref="AB40:AC40"/>
    <mergeCell ref="W41:AA41"/>
    <mergeCell ref="AB41:AC41"/>
    <mergeCell ref="W36:AA36"/>
    <mergeCell ref="AB36:AC36"/>
    <mergeCell ref="W37:AA37"/>
    <mergeCell ref="AB37:AC37"/>
    <mergeCell ref="W18:AA18"/>
    <mergeCell ref="W13:AA13"/>
    <mergeCell ref="AB13:AC13"/>
    <mergeCell ref="W14:AA14"/>
    <mergeCell ref="AB14:AC14"/>
    <mergeCell ref="W15:AA15"/>
    <mergeCell ref="AB15:AC15"/>
    <mergeCell ref="AB25:AC25"/>
    <mergeCell ref="AG21:AK21"/>
    <mergeCell ref="AL21:AM21"/>
    <mergeCell ref="AG22:AK22"/>
    <mergeCell ref="AL22:AM22"/>
    <mergeCell ref="AG23:AK23"/>
    <mergeCell ref="AL23:AM23"/>
    <mergeCell ref="AL9:AM9"/>
    <mergeCell ref="AG10:AK10"/>
    <mergeCell ref="AL10:AM10"/>
    <mergeCell ref="AG11:AK11"/>
    <mergeCell ref="AL11:AM11"/>
    <mergeCell ref="AG12:AK12"/>
    <mergeCell ref="AL12:AM12"/>
    <mergeCell ref="W45:AA45"/>
    <mergeCell ref="AB45:AC45"/>
    <mergeCell ref="W38:AA38"/>
    <mergeCell ref="AB38:AC38"/>
    <mergeCell ref="W33:AA33"/>
    <mergeCell ref="AB33:AC33"/>
    <mergeCell ref="W34:AA34"/>
    <mergeCell ref="AB34:AC34"/>
    <mergeCell ref="W35:AA35"/>
    <mergeCell ref="AB35:AC35"/>
    <mergeCell ref="W29:AA29"/>
    <mergeCell ref="AB29:AC29"/>
    <mergeCell ref="W30:AA30"/>
    <mergeCell ref="AB30:AC30"/>
    <mergeCell ref="W31:AA31"/>
    <mergeCell ref="AB31:AC31"/>
    <mergeCell ref="W25:AA25"/>
    <mergeCell ref="W26:AA26"/>
    <mergeCell ref="AB26:AC26"/>
    <mergeCell ref="AG46:AK46"/>
    <mergeCell ref="AL46:AM46"/>
    <mergeCell ref="AP5:AX5"/>
    <mergeCell ref="AQ7:AU7"/>
    <mergeCell ref="AV7:AW7"/>
    <mergeCell ref="AQ8:AU8"/>
    <mergeCell ref="AV8:AW8"/>
    <mergeCell ref="AQ9:AU9"/>
    <mergeCell ref="AG42:AK42"/>
    <mergeCell ref="AL42:AM42"/>
    <mergeCell ref="AG43:AK43"/>
    <mergeCell ref="AL43:AM43"/>
    <mergeCell ref="AG44:AK44"/>
    <mergeCell ref="AL44:AM44"/>
    <mergeCell ref="AG39:AK39"/>
    <mergeCell ref="AL39:AM39"/>
    <mergeCell ref="AG40:AK40"/>
    <mergeCell ref="AL40:AM40"/>
    <mergeCell ref="AG41:AK41"/>
    <mergeCell ref="AL41:AM41"/>
    <mergeCell ref="AG36:AK36"/>
    <mergeCell ref="AL36:AM36"/>
    <mergeCell ref="AG37:AK37"/>
    <mergeCell ref="AL37:AM37"/>
    <mergeCell ref="AG13:AK13"/>
    <mergeCell ref="AL13:AM13"/>
    <mergeCell ref="AG14:AK14"/>
    <mergeCell ref="AL14:AM14"/>
    <mergeCell ref="AG15:AK15"/>
    <mergeCell ref="AL15:AM15"/>
    <mergeCell ref="AL25:AM25"/>
    <mergeCell ref="AG26:AK26"/>
    <mergeCell ref="AG45:AK45"/>
    <mergeCell ref="AL45:AM45"/>
    <mergeCell ref="AG38:AK38"/>
    <mergeCell ref="AL38:AM38"/>
    <mergeCell ref="AG33:AK33"/>
    <mergeCell ref="AL33:AM33"/>
    <mergeCell ref="AG34:AK34"/>
    <mergeCell ref="AL34:AM34"/>
    <mergeCell ref="AG35:AK35"/>
    <mergeCell ref="AL35:AM35"/>
    <mergeCell ref="AG29:AK29"/>
    <mergeCell ref="AL29:AM29"/>
    <mergeCell ref="AG30:AK30"/>
    <mergeCell ref="AL30:AM30"/>
    <mergeCell ref="AG31:AK31"/>
    <mergeCell ref="AL31:AM31"/>
    <mergeCell ref="AG25:AK25"/>
    <mergeCell ref="AL26:AM26"/>
    <mergeCell ref="AQ17:AU17"/>
    <mergeCell ref="AV17:AW17"/>
    <mergeCell ref="AQ18:AU18"/>
    <mergeCell ref="AV18:AW18"/>
    <mergeCell ref="AQ13:AU13"/>
    <mergeCell ref="AV13:AW13"/>
    <mergeCell ref="AQ14:AU14"/>
    <mergeCell ref="AV14:AW14"/>
    <mergeCell ref="AQ15:AU15"/>
    <mergeCell ref="AV15:AW15"/>
    <mergeCell ref="AV16:AW16"/>
    <mergeCell ref="AV9:AW9"/>
    <mergeCell ref="AQ10:AU10"/>
    <mergeCell ref="AV10:AW10"/>
    <mergeCell ref="AQ11:AU11"/>
    <mergeCell ref="AV11:AW11"/>
    <mergeCell ref="AQ12:AU12"/>
    <mergeCell ref="AV12:AW12"/>
    <mergeCell ref="AQ37:AU37"/>
    <mergeCell ref="AV37:AW37"/>
    <mergeCell ref="AQ23:AU23"/>
    <mergeCell ref="AV23:AW23"/>
    <mergeCell ref="AQ24:AU24"/>
    <mergeCell ref="AV24:AW24"/>
    <mergeCell ref="AQ25:AU25"/>
    <mergeCell ref="AV25:AW25"/>
    <mergeCell ref="AQ19:AU19"/>
    <mergeCell ref="AV19:AW19"/>
    <mergeCell ref="AQ20:AU20"/>
    <mergeCell ref="AV20:AW20"/>
    <mergeCell ref="AQ21:AU21"/>
    <mergeCell ref="AV21:AW21"/>
    <mergeCell ref="AQ22:AU22"/>
    <mergeCell ref="AV22:AW22"/>
    <mergeCell ref="AQ28:AU28"/>
    <mergeCell ref="BK7:BO7"/>
    <mergeCell ref="BP7:BQ7"/>
    <mergeCell ref="AQ44:AU44"/>
    <mergeCell ref="AV44:AW44"/>
    <mergeCell ref="AQ45:AU45"/>
    <mergeCell ref="AV45:AW45"/>
    <mergeCell ref="AQ46:AU46"/>
    <mergeCell ref="AV46:AW46"/>
    <mergeCell ref="AQ41:AU41"/>
    <mergeCell ref="AV41:AW41"/>
    <mergeCell ref="AQ42:AU42"/>
    <mergeCell ref="AV42:AW42"/>
    <mergeCell ref="AQ43:AU43"/>
    <mergeCell ref="AV43:AW43"/>
    <mergeCell ref="AV28:AW28"/>
    <mergeCell ref="AQ29:AU29"/>
    <mergeCell ref="AV29:AW29"/>
    <mergeCell ref="AQ38:AU38"/>
    <mergeCell ref="AV38:AW38"/>
    <mergeCell ref="AQ39:AU39"/>
    <mergeCell ref="AV39:AW39"/>
    <mergeCell ref="AQ40:AU40"/>
    <mergeCell ref="AV40:AW40"/>
    <mergeCell ref="AQ35:AU35"/>
    <mergeCell ref="BF10:BG10"/>
    <mergeCell ref="BK10:BO10"/>
    <mergeCell ref="BP10:BQ10"/>
    <mergeCell ref="BF24:BG24"/>
    <mergeCell ref="BK24:BO24"/>
    <mergeCell ref="BP24:BQ24"/>
    <mergeCell ref="BA29:BE29"/>
    <mergeCell ref="BF29:BG29"/>
    <mergeCell ref="BU10:BY10"/>
    <mergeCell ref="BZ10:CA10"/>
    <mergeCell ref="BF11:BG11"/>
    <mergeCell ref="BK11:BO11"/>
    <mergeCell ref="BP11:BQ11"/>
    <mergeCell ref="BU11:BY11"/>
    <mergeCell ref="BZ11:CA11"/>
    <mergeCell ref="BF12:BG12"/>
    <mergeCell ref="BK12:BO12"/>
    <mergeCell ref="BP12:BQ12"/>
    <mergeCell ref="BA12:BE12"/>
    <mergeCell ref="BA9:BE9"/>
    <mergeCell ref="BF9:BG9"/>
    <mergeCell ref="BK9:BO9"/>
    <mergeCell ref="BP9:BQ9"/>
    <mergeCell ref="BU9:BY9"/>
    <mergeCell ref="BZ9:CA9"/>
    <mergeCell ref="BU14:BY14"/>
    <mergeCell ref="BZ14:CA14"/>
    <mergeCell ref="BF15:BG15"/>
    <mergeCell ref="BK15:BO15"/>
    <mergeCell ref="BP15:BQ15"/>
    <mergeCell ref="BU15:BY15"/>
    <mergeCell ref="BZ15:CA15"/>
    <mergeCell ref="BZ17:CA17"/>
    <mergeCell ref="BU12:BY12"/>
    <mergeCell ref="BZ12:CA12"/>
    <mergeCell ref="BF14:BG14"/>
    <mergeCell ref="BK14:BO14"/>
    <mergeCell ref="BP14:BQ14"/>
    <mergeCell ref="BP17:BQ17"/>
    <mergeCell ref="BA13:BE13"/>
    <mergeCell ref="BF13:BG13"/>
    <mergeCell ref="BK13:BO13"/>
    <mergeCell ref="BP13:BQ13"/>
    <mergeCell ref="BU13:BY13"/>
    <mergeCell ref="BZ13:CA13"/>
    <mergeCell ref="BA14:BE14"/>
    <mergeCell ref="BF17:BG17"/>
    <mergeCell ref="BK17:BO17"/>
    <mergeCell ref="BU18:BY18"/>
    <mergeCell ref="BZ18:CA18"/>
    <mergeCell ref="BF16:BG16"/>
    <mergeCell ref="BK16:BO16"/>
    <mergeCell ref="BP16:BQ16"/>
    <mergeCell ref="BU16:BY16"/>
    <mergeCell ref="BZ16:CA16"/>
    <mergeCell ref="BA21:BE21"/>
    <mergeCell ref="BF21:BG21"/>
    <mergeCell ref="BK21:BO21"/>
    <mergeCell ref="BP21:BQ21"/>
    <mergeCell ref="BU21:BY21"/>
    <mergeCell ref="BZ21:CA21"/>
    <mergeCell ref="BF19:BG19"/>
    <mergeCell ref="BK19:BO19"/>
    <mergeCell ref="BP19:BQ19"/>
    <mergeCell ref="BU19:BY19"/>
    <mergeCell ref="BZ19:CA19"/>
    <mergeCell ref="BF20:BG20"/>
    <mergeCell ref="BK20:BO20"/>
    <mergeCell ref="BP20:BQ20"/>
    <mergeCell ref="BU20:BY20"/>
    <mergeCell ref="BZ20:CA20"/>
    <mergeCell ref="BU17:BY17"/>
    <mergeCell ref="BF18:BG18"/>
    <mergeCell ref="BK18:BO18"/>
    <mergeCell ref="BP18:BQ18"/>
    <mergeCell ref="BU24:BY24"/>
    <mergeCell ref="BZ24:CA24"/>
    <mergeCell ref="BA25:BE25"/>
    <mergeCell ref="BF25:BG25"/>
    <mergeCell ref="BK25:BO25"/>
    <mergeCell ref="BP25:BQ25"/>
    <mergeCell ref="BU25:BY25"/>
    <mergeCell ref="BP22:BQ22"/>
    <mergeCell ref="BU22:BY22"/>
    <mergeCell ref="BZ22:CA22"/>
    <mergeCell ref="BF23:BG23"/>
    <mergeCell ref="BK23:BO23"/>
    <mergeCell ref="BP23:BQ23"/>
    <mergeCell ref="BU23:BY23"/>
    <mergeCell ref="BZ23:CA23"/>
    <mergeCell ref="BF22:BG22"/>
    <mergeCell ref="BK22:BO22"/>
    <mergeCell ref="BA23:BE23"/>
    <mergeCell ref="BA22:BE22"/>
    <mergeCell ref="BZ25:CA25"/>
    <mergeCell ref="BK29:BO29"/>
    <mergeCell ref="BP29:BQ29"/>
    <mergeCell ref="BU29:BY29"/>
    <mergeCell ref="BZ29:CA29"/>
    <mergeCell ref="BF27:BG27"/>
    <mergeCell ref="BK27:BO27"/>
    <mergeCell ref="BP27:BQ27"/>
    <mergeCell ref="BU27:BY27"/>
    <mergeCell ref="BZ27:CA27"/>
    <mergeCell ref="BF28:BG28"/>
    <mergeCell ref="BK28:BO28"/>
    <mergeCell ref="BP28:BQ28"/>
    <mergeCell ref="BU28:BY28"/>
    <mergeCell ref="BZ28:CA28"/>
    <mergeCell ref="BF26:BG26"/>
    <mergeCell ref="BK26:BO26"/>
    <mergeCell ref="BP26:BQ26"/>
    <mergeCell ref="BU26:BY26"/>
    <mergeCell ref="BZ26:CA26"/>
    <mergeCell ref="BF34:BG34"/>
    <mergeCell ref="BK34:BO34"/>
    <mergeCell ref="BP34:BQ34"/>
    <mergeCell ref="BU34:BY34"/>
    <mergeCell ref="BZ34:CA34"/>
    <mergeCell ref="BF32:BG32"/>
    <mergeCell ref="BK32:BO32"/>
    <mergeCell ref="BP32:BQ32"/>
    <mergeCell ref="BU32:BY32"/>
    <mergeCell ref="BZ32:CA32"/>
    <mergeCell ref="BF33:BG33"/>
    <mergeCell ref="BK33:BO33"/>
    <mergeCell ref="BP33:BQ33"/>
    <mergeCell ref="BU33:BY33"/>
    <mergeCell ref="BZ33:CA33"/>
    <mergeCell ref="BP30:BQ30"/>
    <mergeCell ref="BU30:BY30"/>
    <mergeCell ref="BZ30:CA30"/>
    <mergeCell ref="BF31:BG31"/>
    <mergeCell ref="BK31:BO31"/>
    <mergeCell ref="BP31:BQ31"/>
    <mergeCell ref="BU31:BY31"/>
    <mergeCell ref="BZ31:CA31"/>
    <mergeCell ref="BF30:BG30"/>
    <mergeCell ref="BK30:BO30"/>
    <mergeCell ref="BZ36:CA36"/>
    <mergeCell ref="BA37:BE37"/>
    <mergeCell ref="BF37:BG37"/>
    <mergeCell ref="BK37:BO37"/>
    <mergeCell ref="BP37:BQ37"/>
    <mergeCell ref="BU37:BY37"/>
    <mergeCell ref="BZ37:CA37"/>
    <mergeCell ref="BF35:BG35"/>
    <mergeCell ref="BK35:BO35"/>
    <mergeCell ref="BP35:BQ35"/>
    <mergeCell ref="BU35:BY35"/>
    <mergeCell ref="BZ35:CA35"/>
    <mergeCell ref="BA36:BE36"/>
    <mergeCell ref="BF36:BG36"/>
    <mergeCell ref="BK36:BO36"/>
    <mergeCell ref="BP36:BQ36"/>
    <mergeCell ref="BU36:BY36"/>
    <mergeCell ref="BA40:BE40"/>
    <mergeCell ref="BF40:BG40"/>
    <mergeCell ref="BK40:BO40"/>
    <mergeCell ref="BP40:BQ40"/>
    <mergeCell ref="BU40:BY40"/>
    <mergeCell ref="BZ40:CA40"/>
    <mergeCell ref="BA39:BE39"/>
    <mergeCell ref="BF39:BG39"/>
    <mergeCell ref="BK39:BO39"/>
    <mergeCell ref="BP39:BQ39"/>
    <mergeCell ref="BU39:BY39"/>
    <mergeCell ref="BZ39:CA39"/>
    <mergeCell ref="BA38:BE38"/>
    <mergeCell ref="BF38:BG38"/>
    <mergeCell ref="BK38:BO38"/>
    <mergeCell ref="BP38:BQ38"/>
    <mergeCell ref="BU38:BY38"/>
    <mergeCell ref="BZ38:CA38"/>
    <mergeCell ref="BU44:BY44"/>
    <mergeCell ref="BZ44:CA44"/>
    <mergeCell ref="BA43:BE43"/>
    <mergeCell ref="BF43:BG43"/>
    <mergeCell ref="BK43:BO43"/>
    <mergeCell ref="BP43:BQ43"/>
    <mergeCell ref="BU43:BY43"/>
    <mergeCell ref="BZ43:CA43"/>
    <mergeCell ref="BA42:BE42"/>
    <mergeCell ref="BF42:BG42"/>
    <mergeCell ref="BK42:BO42"/>
    <mergeCell ref="BP42:BQ42"/>
    <mergeCell ref="BU42:BY42"/>
    <mergeCell ref="BZ42:CA42"/>
    <mergeCell ref="BA41:BE41"/>
    <mergeCell ref="BF41:BG41"/>
    <mergeCell ref="BK41:BO41"/>
    <mergeCell ref="BP41:BQ41"/>
    <mergeCell ref="BU41:BY41"/>
    <mergeCell ref="BZ41:CA41"/>
    <mergeCell ref="CE9:CI9"/>
    <mergeCell ref="CJ9:CK9"/>
    <mergeCell ref="CO9:CS9"/>
    <mergeCell ref="CT9:CU9"/>
    <mergeCell ref="CE10:CI10"/>
    <mergeCell ref="CJ10:CK10"/>
    <mergeCell ref="CO10:CS10"/>
    <mergeCell ref="CT10:CU10"/>
    <mergeCell ref="CE7:CI7"/>
    <mergeCell ref="CJ7:CK7"/>
    <mergeCell ref="CO7:CS7"/>
    <mergeCell ref="CT7:CU7"/>
    <mergeCell ref="CE8:CI8"/>
    <mergeCell ref="CJ8:CK8"/>
    <mergeCell ref="CO8:CS8"/>
    <mergeCell ref="CT8:CU8"/>
    <mergeCell ref="BA46:BE46"/>
    <mergeCell ref="BF46:BG46"/>
    <mergeCell ref="BK46:BO46"/>
    <mergeCell ref="BP46:BQ46"/>
    <mergeCell ref="BU46:BY46"/>
    <mergeCell ref="BZ46:CA46"/>
    <mergeCell ref="BA45:BE45"/>
    <mergeCell ref="BF45:BG45"/>
    <mergeCell ref="BK45:BO45"/>
    <mergeCell ref="BP45:BQ45"/>
    <mergeCell ref="BU45:BY45"/>
    <mergeCell ref="BZ45:CA45"/>
    <mergeCell ref="BA44:BE44"/>
    <mergeCell ref="BF44:BG44"/>
    <mergeCell ref="BK44:BO44"/>
    <mergeCell ref="BP44:BQ44"/>
    <mergeCell ref="CE15:CI15"/>
    <mergeCell ref="CJ15:CK15"/>
    <mergeCell ref="CO15:CS15"/>
    <mergeCell ref="CT15:CU15"/>
    <mergeCell ref="CE16:CI16"/>
    <mergeCell ref="CJ16:CK16"/>
    <mergeCell ref="CO16:CS16"/>
    <mergeCell ref="CT16:CU16"/>
    <mergeCell ref="CE13:CI13"/>
    <mergeCell ref="CJ13:CK13"/>
    <mergeCell ref="CO13:CS13"/>
    <mergeCell ref="CT13:CU13"/>
    <mergeCell ref="CE14:CI14"/>
    <mergeCell ref="CJ14:CK14"/>
    <mergeCell ref="CO14:CS14"/>
    <mergeCell ref="CT14:CU14"/>
    <mergeCell ref="CE11:CI11"/>
    <mergeCell ref="CJ11:CK11"/>
    <mergeCell ref="CO11:CS11"/>
    <mergeCell ref="CT11:CU11"/>
    <mergeCell ref="CE12:CI12"/>
    <mergeCell ref="CJ12:CK12"/>
    <mergeCell ref="CO12:CS12"/>
    <mergeCell ref="CT12:CU12"/>
    <mergeCell ref="CE21:CI21"/>
    <mergeCell ref="CJ21:CK21"/>
    <mergeCell ref="CO21:CS21"/>
    <mergeCell ref="CT21:CU21"/>
    <mergeCell ref="CE22:CI22"/>
    <mergeCell ref="CJ22:CK22"/>
    <mergeCell ref="CO22:CS22"/>
    <mergeCell ref="CT22:CU22"/>
    <mergeCell ref="CE19:CI19"/>
    <mergeCell ref="CJ19:CK19"/>
    <mergeCell ref="CO19:CS19"/>
    <mergeCell ref="CT19:CU19"/>
    <mergeCell ref="CE20:CI20"/>
    <mergeCell ref="CJ20:CK20"/>
    <mergeCell ref="CO20:CS20"/>
    <mergeCell ref="CT20:CU20"/>
    <mergeCell ref="CE17:CI17"/>
    <mergeCell ref="CJ17:CK17"/>
    <mergeCell ref="CO17:CS17"/>
    <mergeCell ref="CT17:CU17"/>
    <mergeCell ref="CE18:CI18"/>
    <mergeCell ref="CJ18:CK18"/>
    <mergeCell ref="CO18:CS18"/>
    <mergeCell ref="CT18:CU18"/>
    <mergeCell ref="CE27:CI27"/>
    <mergeCell ref="CJ27:CK27"/>
    <mergeCell ref="CO27:CS27"/>
    <mergeCell ref="CT27:CU27"/>
    <mergeCell ref="CE28:CI28"/>
    <mergeCell ref="CJ28:CK28"/>
    <mergeCell ref="CO28:CS28"/>
    <mergeCell ref="CT28:CU28"/>
    <mergeCell ref="CE25:CI25"/>
    <mergeCell ref="CJ25:CK25"/>
    <mergeCell ref="CO25:CS25"/>
    <mergeCell ref="CT25:CU25"/>
    <mergeCell ref="CE26:CI26"/>
    <mergeCell ref="CJ26:CK26"/>
    <mergeCell ref="CO26:CS26"/>
    <mergeCell ref="CT26:CU26"/>
    <mergeCell ref="CE23:CI23"/>
    <mergeCell ref="CJ23:CK23"/>
    <mergeCell ref="CO23:CS23"/>
    <mergeCell ref="CT23:CU23"/>
    <mergeCell ref="CE24:CI24"/>
    <mergeCell ref="CJ24:CK24"/>
    <mergeCell ref="CO24:CS24"/>
    <mergeCell ref="CT24:CU24"/>
    <mergeCell ref="CE33:CI33"/>
    <mergeCell ref="CJ33:CK33"/>
    <mergeCell ref="CO33:CS33"/>
    <mergeCell ref="CT33:CU33"/>
    <mergeCell ref="CE34:CI34"/>
    <mergeCell ref="CJ34:CK34"/>
    <mergeCell ref="CO34:CS34"/>
    <mergeCell ref="CT34:CU34"/>
    <mergeCell ref="CE31:CI31"/>
    <mergeCell ref="CJ31:CK31"/>
    <mergeCell ref="CO31:CS31"/>
    <mergeCell ref="CT31:CU31"/>
    <mergeCell ref="CE32:CI32"/>
    <mergeCell ref="CJ32:CK32"/>
    <mergeCell ref="CO32:CS32"/>
    <mergeCell ref="CT32:CU32"/>
    <mergeCell ref="CE29:CI29"/>
    <mergeCell ref="CJ29:CK29"/>
    <mergeCell ref="CO29:CS29"/>
    <mergeCell ref="CT29:CU29"/>
    <mergeCell ref="CE30:CI30"/>
    <mergeCell ref="CJ30:CK30"/>
    <mergeCell ref="CO30:CS30"/>
    <mergeCell ref="CT30:CU30"/>
    <mergeCell ref="CT40:CU40"/>
    <mergeCell ref="CE37:CI37"/>
    <mergeCell ref="CJ37:CK37"/>
    <mergeCell ref="CO37:CS37"/>
    <mergeCell ref="CT37:CU37"/>
    <mergeCell ref="CE38:CI38"/>
    <mergeCell ref="CJ38:CK38"/>
    <mergeCell ref="CO38:CS38"/>
    <mergeCell ref="CT38:CU38"/>
    <mergeCell ref="CE35:CI35"/>
    <mergeCell ref="CJ35:CK35"/>
    <mergeCell ref="CO35:CS35"/>
    <mergeCell ref="CT35:CU35"/>
    <mergeCell ref="CE36:CI36"/>
    <mergeCell ref="CJ36:CK36"/>
    <mergeCell ref="CO36:CS36"/>
    <mergeCell ref="CT36:CU36"/>
    <mergeCell ref="DG7:DH7"/>
    <mergeCell ref="CE45:CI45"/>
    <mergeCell ref="CJ45:CK45"/>
    <mergeCell ref="CO45:CS45"/>
    <mergeCell ref="CT45:CU45"/>
    <mergeCell ref="CE46:CI46"/>
    <mergeCell ref="CJ46:CK46"/>
    <mergeCell ref="CO46:CS46"/>
    <mergeCell ref="CT46:CU46"/>
    <mergeCell ref="CE43:CI43"/>
    <mergeCell ref="CJ43:CK43"/>
    <mergeCell ref="CO43:CS43"/>
    <mergeCell ref="CT43:CU43"/>
    <mergeCell ref="CE44:CI44"/>
    <mergeCell ref="CJ44:CK44"/>
    <mergeCell ref="CO44:CS44"/>
    <mergeCell ref="CT44:CU44"/>
    <mergeCell ref="CE41:CI41"/>
    <mergeCell ref="CJ41:CK41"/>
    <mergeCell ref="CO41:CS41"/>
    <mergeCell ref="CT41:CU41"/>
    <mergeCell ref="CE42:CI42"/>
    <mergeCell ref="CJ42:CK42"/>
    <mergeCell ref="CO42:CS42"/>
    <mergeCell ref="CT42:CU42"/>
    <mergeCell ref="CE39:CI39"/>
    <mergeCell ref="CJ39:CK39"/>
    <mergeCell ref="CO39:CS39"/>
    <mergeCell ref="CT39:CU39"/>
    <mergeCell ref="CE40:CI40"/>
    <mergeCell ref="CJ40:CK40"/>
    <mergeCell ref="CO40:CS40"/>
    <mergeCell ref="DG17:DH17"/>
    <mergeCell ref="DG18:DH18"/>
    <mergeCell ref="DG19:DH19"/>
    <mergeCell ref="DG20:DH20"/>
    <mergeCell ref="DG21:DH21"/>
    <mergeCell ref="DG22:DH22"/>
    <mergeCell ref="DG23:DH23"/>
    <mergeCell ref="DG24:DH24"/>
    <mergeCell ref="DG25:DH25"/>
    <mergeCell ref="DG8:DH8"/>
    <mergeCell ref="DG9:DH9"/>
    <mergeCell ref="DG10:DH10"/>
    <mergeCell ref="DG11:DH11"/>
    <mergeCell ref="DG12:DH12"/>
    <mergeCell ref="DG13:DH13"/>
    <mergeCell ref="DG14:DH14"/>
    <mergeCell ref="DG15:DH15"/>
    <mergeCell ref="DG16:DH16"/>
    <mergeCell ref="DG35:DH35"/>
    <mergeCell ref="DG36:DH36"/>
    <mergeCell ref="DG37:DH37"/>
    <mergeCell ref="DG38:DH38"/>
    <mergeCell ref="DG39:DH39"/>
    <mergeCell ref="DG40:DH40"/>
    <mergeCell ref="DG41:DH41"/>
    <mergeCell ref="DG42:DH42"/>
    <mergeCell ref="DG43:DH43"/>
    <mergeCell ref="DG26:DH26"/>
    <mergeCell ref="DG27:DH27"/>
    <mergeCell ref="DG28:DH28"/>
    <mergeCell ref="DG29:DH29"/>
    <mergeCell ref="DG30:DH30"/>
    <mergeCell ref="DG31:DH31"/>
    <mergeCell ref="DG32:DH32"/>
    <mergeCell ref="DG33:DH33"/>
    <mergeCell ref="DG34:DH34"/>
    <mergeCell ref="DG53:DH53"/>
    <mergeCell ref="DG54:DH54"/>
    <mergeCell ref="DG55:DH55"/>
    <mergeCell ref="DG56:DH56"/>
    <mergeCell ref="DG57:DH57"/>
    <mergeCell ref="DG58:DH58"/>
    <mergeCell ref="DG59:DH59"/>
    <mergeCell ref="DG60:DH60"/>
    <mergeCell ref="DG61:DH61"/>
    <mergeCell ref="DG44:DH44"/>
    <mergeCell ref="DG45:DH45"/>
    <mergeCell ref="DG46:DH46"/>
    <mergeCell ref="DG47:DH47"/>
    <mergeCell ref="DG48:DH48"/>
    <mergeCell ref="DG49:DH49"/>
    <mergeCell ref="DG50:DH50"/>
    <mergeCell ref="DG51:DH51"/>
    <mergeCell ref="DG52:DH52"/>
    <mergeCell ref="DG71:DH71"/>
    <mergeCell ref="DG72:DH72"/>
    <mergeCell ref="DG73:DH73"/>
    <mergeCell ref="DG74:DH74"/>
    <mergeCell ref="DG75:DH75"/>
    <mergeCell ref="DG76:DH76"/>
    <mergeCell ref="DG77:DH77"/>
    <mergeCell ref="DG78:DH78"/>
    <mergeCell ref="DG79:DH79"/>
    <mergeCell ref="DG62:DH62"/>
    <mergeCell ref="DG63:DH63"/>
    <mergeCell ref="DG64:DH64"/>
    <mergeCell ref="DG65:DH65"/>
    <mergeCell ref="DG66:DH66"/>
    <mergeCell ref="DG67:DH67"/>
    <mergeCell ref="DG68:DH68"/>
    <mergeCell ref="DG69:DH69"/>
    <mergeCell ref="DG70:DH70"/>
    <mergeCell ref="DG103:DH103"/>
    <mergeCell ref="DG104:DH104"/>
    <mergeCell ref="DG105:DH105"/>
    <mergeCell ref="DG106:DH106"/>
    <mergeCell ref="DG89:DH89"/>
    <mergeCell ref="DG90:DH90"/>
    <mergeCell ref="DG91:DH91"/>
    <mergeCell ref="DG92:DH92"/>
    <mergeCell ref="DG93:DH93"/>
    <mergeCell ref="DG94:DH94"/>
    <mergeCell ref="DG95:DH95"/>
    <mergeCell ref="DG96:DH96"/>
    <mergeCell ref="DG97:DH97"/>
    <mergeCell ref="DG80:DH80"/>
    <mergeCell ref="DG81:DH81"/>
    <mergeCell ref="DG82:DH82"/>
    <mergeCell ref="DG83:DH83"/>
    <mergeCell ref="DG84:DH84"/>
    <mergeCell ref="DG85:DH85"/>
    <mergeCell ref="DG86:DH86"/>
    <mergeCell ref="DG87:DH87"/>
    <mergeCell ref="DG88:DH88"/>
    <mergeCell ref="U2:Y3"/>
    <mergeCell ref="Z2:AD3"/>
    <mergeCell ref="DG125:DH125"/>
    <mergeCell ref="DG126:DH126"/>
    <mergeCell ref="DG127:DH127"/>
    <mergeCell ref="DG128:DH128"/>
    <mergeCell ref="DG129:DH129"/>
    <mergeCell ref="DG130:DH130"/>
    <mergeCell ref="DG131:DH131"/>
    <mergeCell ref="DG116:DH116"/>
    <mergeCell ref="DG117:DH117"/>
    <mergeCell ref="DG118:DH118"/>
    <mergeCell ref="DG119:DH119"/>
    <mergeCell ref="DG120:DH120"/>
    <mergeCell ref="DG121:DH121"/>
    <mergeCell ref="DG122:DH122"/>
    <mergeCell ref="DG123:DH123"/>
    <mergeCell ref="DG124:DH124"/>
    <mergeCell ref="DG107:DH107"/>
    <mergeCell ref="DG108:DH108"/>
    <mergeCell ref="DG109:DH109"/>
    <mergeCell ref="DG110:DH110"/>
    <mergeCell ref="DG111:DH111"/>
    <mergeCell ref="DG112:DH112"/>
    <mergeCell ref="DG113:DH113"/>
    <mergeCell ref="DG114:DH114"/>
    <mergeCell ref="DG115:DH115"/>
    <mergeCell ref="DG98:DH98"/>
    <mergeCell ref="DG99:DH99"/>
    <mergeCell ref="DG100:DH100"/>
    <mergeCell ref="DG101:DH101"/>
    <mergeCell ref="DG102:DH102"/>
  </mergeCells>
  <hyperlinks>
    <hyperlink ref="U2:W2" location="LinkSpellsKnown" display="Back to Spellcasting" xr:uid="{00000000-0004-0000-1400-000000000000}"/>
    <hyperlink ref="Z2:AB2" location="LinkSpellsKnown" display="Back to Spellcasting" xr:uid="{00000000-0004-0000-1400-000001000000}"/>
    <hyperlink ref="Z2:AD3" location="LinkCantrips" display="to Spellcasting Index" xr:uid="{00000000-0004-0000-1400-000002000000}"/>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11">
    <tabColor theme="1"/>
  </sheetPr>
  <dimension ref="A1:TL115"/>
  <sheetViews>
    <sheetView showGridLines="0" zoomScale="85" zoomScaleNormal="85" workbookViewId="0">
      <selection activeCell="CA25" sqref="CA25:CX27"/>
    </sheetView>
  </sheetViews>
  <sheetFormatPr defaultColWidth="1.140625" defaultRowHeight="6.75" customHeight="1" x14ac:dyDescent="0.25"/>
  <cols>
    <col min="79" max="79" width="1.140625" customWidth="1"/>
    <col min="119" max="119" width="1.28515625" customWidth="1"/>
    <col min="155" max="155" width="1.140625" customWidth="1"/>
  </cols>
  <sheetData>
    <row r="1" spans="1:532" ht="6.75" customHeight="1" thickBot="1" x14ac:dyDescent="0.3">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155"/>
      <c r="AV1" s="155"/>
      <c r="AW1" s="155"/>
      <c r="AX1" s="155"/>
      <c r="AY1" s="155"/>
      <c r="AZ1" s="155"/>
      <c r="BA1" s="155"/>
      <c r="BB1" s="155"/>
      <c r="BC1" s="155"/>
      <c r="BD1" s="155"/>
      <c r="BE1" s="155"/>
      <c r="BF1" s="155"/>
      <c r="BG1" s="155"/>
      <c r="BH1" s="155"/>
      <c r="BI1" s="155"/>
      <c r="BJ1" s="155"/>
      <c r="BK1" s="155"/>
      <c r="BL1" s="155"/>
      <c r="BM1" s="155"/>
      <c r="BN1" s="155"/>
      <c r="BO1" s="155"/>
      <c r="BP1" s="155"/>
      <c r="BQ1" s="155"/>
      <c r="BR1" s="155"/>
      <c r="BS1" s="155"/>
      <c r="BT1" s="155"/>
      <c r="BU1" s="155"/>
      <c r="BV1" s="155"/>
      <c r="BW1" s="155"/>
      <c r="BX1" s="155"/>
      <c r="BY1" s="155"/>
      <c r="BZ1" s="155"/>
      <c r="CA1" s="155"/>
      <c r="CB1" s="155"/>
      <c r="CC1" s="155"/>
      <c r="CD1" s="155"/>
      <c r="CE1" s="155"/>
      <c r="CF1" s="155"/>
      <c r="CG1" s="155"/>
      <c r="CH1" s="155"/>
      <c r="CI1" s="155"/>
      <c r="CJ1" s="155"/>
      <c r="CK1" s="155"/>
      <c r="CL1" s="155"/>
      <c r="CM1" s="155"/>
      <c r="CN1" s="155"/>
      <c r="CO1" s="155"/>
      <c r="CP1" s="155"/>
      <c r="CQ1" s="155"/>
      <c r="CR1" s="155"/>
      <c r="CS1" s="155"/>
      <c r="CT1" s="155"/>
      <c r="CU1" s="155"/>
      <c r="CV1" s="155"/>
      <c r="CW1" s="155"/>
      <c r="CX1" s="155"/>
      <c r="CY1" s="155"/>
      <c r="CZ1" s="155"/>
      <c r="DA1" s="155"/>
      <c r="DB1" s="155"/>
      <c r="DC1" s="155"/>
      <c r="DD1" s="155"/>
      <c r="DE1" s="155"/>
      <c r="DF1" s="155"/>
      <c r="DG1" s="155"/>
      <c r="DH1" s="155"/>
      <c r="DI1" s="155"/>
      <c r="DJ1" s="155"/>
      <c r="DK1" s="155"/>
      <c r="DL1" s="155"/>
      <c r="DM1" s="155"/>
      <c r="DN1" s="155"/>
      <c r="DO1" s="155"/>
      <c r="DP1" s="155"/>
      <c r="DQ1" s="155"/>
      <c r="DR1" s="155"/>
      <c r="DS1" s="155"/>
      <c r="DT1" s="155"/>
      <c r="DU1" s="155"/>
      <c r="DV1" s="155"/>
      <c r="DW1" s="155"/>
      <c r="DX1" s="155"/>
      <c r="DY1" s="155"/>
      <c r="DZ1" s="155"/>
      <c r="EA1" s="155"/>
      <c r="EB1" s="155"/>
      <c r="EC1" s="155"/>
      <c r="ED1" s="155"/>
      <c r="EE1" s="155"/>
      <c r="EF1" s="155"/>
      <c r="EG1" s="155"/>
      <c r="EH1" s="155"/>
      <c r="EI1" s="155"/>
      <c r="EJ1" s="155"/>
      <c r="EK1" s="155"/>
      <c r="EL1" s="155"/>
      <c r="EM1" s="155"/>
      <c r="EN1" s="155"/>
      <c r="EO1" s="155"/>
      <c r="EP1" s="155"/>
      <c r="EQ1" s="155"/>
      <c r="ER1" s="155"/>
      <c r="ES1" s="155"/>
      <c r="ET1" s="155"/>
      <c r="EU1" s="155"/>
      <c r="EV1" s="155"/>
      <c r="EW1" s="155"/>
      <c r="EX1" s="155"/>
      <c r="EY1" s="155"/>
      <c r="EZ1" s="155"/>
      <c r="FA1" s="155"/>
      <c r="FB1" s="155"/>
      <c r="FC1" s="155"/>
      <c r="FD1" s="155"/>
      <c r="FE1" s="155"/>
      <c r="FF1" s="155"/>
      <c r="FG1" s="155"/>
      <c r="FH1" s="155"/>
      <c r="FI1" s="155"/>
      <c r="FJ1" s="155"/>
      <c r="FK1" s="155"/>
      <c r="FL1" s="155"/>
      <c r="FM1" s="155"/>
      <c r="FN1" s="155"/>
      <c r="FO1" s="155"/>
      <c r="FP1" s="155"/>
      <c r="FQ1" s="155"/>
      <c r="FR1" s="155"/>
      <c r="FS1" s="155"/>
      <c r="FT1" s="155"/>
      <c r="FU1" s="155"/>
      <c r="FV1" s="155"/>
      <c r="FW1" s="155"/>
      <c r="FX1" s="155"/>
      <c r="FY1" s="155"/>
      <c r="FZ1" s="155"/>
      <c r="GA1" s="155"/>
      <c r="GB1" s="155"/>
      <c r="GC1" s="155"/>
      <c r="GD1" s="155"/>
      <c r="GE1" s="155"/>
      <c r="GF1" s="155"/>
      <c r="GG1" s="155"/>
      <c r="GH1" s="155"/>
      <c r="GI1" s="155"/>
      <c r="GJ1" s="155"/>
      <c r="GK1" s="155"/>
      <c r="GL1" s="155"/>
      <c r="GM1" s="155"/>
      <c r="GN1" s="155"/>
      <c r="GO1" s="155"/>
      <c r="GP1" s="155"/>
      <c r="GQ1" s="155"/>
      <c r="GR1" s="155"/>
      <c r="GS1" s="155"/>
      <c r="GT1" s="155"/>
      <c r="GU1" s="155"/>
      <c r="GV1" s="155"/>
      <c r="GW1" s="155"/>
      <c r="GX1" s="155"/>
      <c r="GY1" s="155"/>
      <c r="GZ1" s="155"/>
      <c r="HA1" s="155"/>
      <c r="HB1" s="155"/>
      <c r="HC1" s="155"/>
      <c r="HD1" s="155"/>
      <c r="HE1" s="155"/>
      <c r="HF1" s="155"/>
      <c r="HG1" s="155"/>
      <c r="HH1" s="155"/>
      <c r="HI1" s="155"/>
      <c r="HJ1" s="155"/>
      <c r="HK1" s="155"/>
      <c r="HL1" s="155"/>
      <c r="HM1" s="155"/>
      <c r="HN1" s="155"/>
      <c r="HO1" s="155"/>
      <c r="HP1" s="155"/>
      <c r="HQ1" s="155"/>
      <c r="HR1" s="155"/>
      <c r="HS1" s="155"/>
      <c r="HT1" s="155"/>
      <c r="HU1" s="155"/>
      <c r="HV1" s="155"/>
      <c r="HW1" s="155"/>
      <c r="HX1" s="155"/>
      <c r="HY1" s="155"/>
      <c r="HZ1" s="155"/>
      <c r="IA1" s="155"/>
      <c r="IB1" s="155"/>
      <c r="IC1" s="155"/>
      <c r="ID1" s="155"/>
      <c r="IE1" s="155"/>
      <c r="IF1" s="155"/>
      <c r="IG1" s="155"/>
      <c r="IH1" s="155"/>
      <c r="II1" s="155"/>
      <c r="IJ1" s="155"/>
      <c r="IK1" s="155"/>
      <c r="IL1" s="155"/>
      <c r="IM1" s="155"/>
      <c r="IN1" s="155"/>
      <c r="IO1" s="155"/>
      <c r="IP1" s="155"/>
      <c r="IQ1" s="155"/>
      <c r="IR1" s="155"/>
      <c r="IS1" s="155"/>
      <c r="IT1" s="155"/>
      <c r="IU1" s="155"/>
      <c r="IV1" s="155"/>
      <c r="IW1" s="155"/>
      <c r="IX1" s="155"/>
      <c r="IY1" s="155"/>
      <c r="IZ1" s="155"/>
      <c r="JA1" s="155"/>
      <c r="JB1" s="155"/>
      <c r="JC1" s="155"/>
      <c r="JD1" s="155"/>
      <c r="JE1" s="155"/>
      <c r="JF1" s="155"/>
      <c r="JG1" s="155"/>
      <c r="JH1" s="155"/>
      <c r="JI1" s="155"/>
      <c r="JJ1" s="155"/>
      <c r="JK1" s="155"/>
      <c r="JL1" s="155"/>
      <c r="JM1" s="155"/>
      <c r="JN1" s="155"/>
      <c r="JO1" s="155"/>
      <c r="JP1" s="155"/>
      <c r="JQ1" s="155"/>
      <c r="JR1" s="155"/>
      <c r="JS1" s="155"/>
      <c r="JT1" s="155"/>
      <c r="JU1" s="155"/>
      <c r="JV1" s="155"/>
      <c r="JW1" s="155"/>
      <c r="JX1" s="155"/>
      <c r="JY1" s="155"/>
      <c r="JZ1" s="155"/>
      <c r="KA1" s="155"/>
      <c r="KB1" s="155"/>
      <c r="KC1" s="155"/>
      <c r="KD1" s="155"/>
      <c r="KE1" s="155"/>
      <c r="KF1" s="155"/>
      <c r="KG1" s="155"/>
      <c r="KH1" s="155"/>
      <c r="KI1" s="155"/>
      <c r="KJ1" s="155"/>
      <c r="KK1" s="155"/>
      <c r="KL1" s="155"/>
      <c r="KM1" s="155"/>
      <c r="KN1" s="155"/>
      <c r="KO1" s="155"/>
      <c r="KP1" s="155"/>
      <c r="KQ1" s="155"/>
      <c r="KR1" s="155"/>
      <c r="KS1" s="155"/>
      <c r="KT1" s="155"/>
      <c r="KU1" s="155"/>
      <c r="KV1" s="155"/>
      <c r="KW1" s="155"/>
      <c r="KX1" s="155"/>
      <c r="KY1" s="155"/>
      <c r="KZ1" s="155"/>
      <c r="LA1" s="155"/>
      <c r="LB1" s="155"/>
      <c r="LC1" s="155"/>
      <c r="LD1" s="155"/>
      <c r="LE1" s="155"/>
      <c r="LF1" s="155"/>
      <c r="LG1" s="155"/>
      <c r="LH1" s="155"/>
      <c r="LI1" s="155"/>
      <c r="LJ1" s="155"/>
      <c r="LK1" s="155"/>
      <c r="LL1" s="155"/>
      <c r="LM1" s="155"/>
      <c r="LN1" s="155"/>
      <c r="LO1" s="155"/>
      <c r="LP1" s="155"/>
      <c r="LQ1" s="155"/>
      <c r="LR1" s="155"/>
      <c r="LS1" s="155"/>
      <c r="LT1" s="155"/>
      <c r="LU1" s="155"/>
      <c r="LV1" s="155"/>
      <c r="LW1" s="155"/>
      <c r="LX1" s="155"/>
      <c r="LY1" s="155"/>
      <c r="LZ1" s="155"/>
      <c r="MA1" s="155"/>
      <c r="MB1" s="155"/>
      <c r="MC1" s="155"/>
      <c r="MD1" s="155"/>
      <c r="ME1" s="155"/>
      <c r="MF1" s="155"/>
      <c r="MG1" s="155"/>
      <c r="MH1" s="155"/>
      <c r="MI1" s="155"/>
      <c r="MJ1" s="155"/>
      <c r="MK1" s="155"/>
      <c r="ML1" s="155"/>
      <c r="MM1" s="155"/>
      <c r="MN1" s="155"/>
      <c r="MO1" s="155"/>
      <c r="MP1" s="155"/>
      <c r="MQ1" s="155"/>
      <c r="MR1" s="155"/>
      <c r="MS1" s="155"/>
      <c r="MT1" s="155"/>
      <c r="MU1" s="155"/>
      <c r="MV1" s="155"/>
      <c r="MW1" s="155"/>
      <c r="MX1" s="155"/>
      <c r="MY1" s="155"/>
      <c r="MZ1" s="155"/>
      <c r="NA1" s="155"/>
      <c r="NB1" s="155"/>
      <c r="NC1" s="155"/>
      <c r="ND1" s="155"/>
      <c r="NE1" s="155"/>
      <c r="NF1" s="155"/>
      <c r="NG1" s="155"/>
      <c r="NH1" s="155"/>
      <c r="NI1" s="155"/>
      <c r="NJ1" s="155"/>
      <c r="NK1" s="155"/>
      <c r="NL1" s="155"/>
      <c r="NM1" s="155"/>
      <c r="NN1" s="155"/>
      <c r="NO1" s="155"/>
      <c r="NP1" s="155"/>
      <c r="NQ1" s="155"/>
      <c r="NR1" s="155"/>
      <c r="NS1" s="155"/>
      <c r="NT1" s="155"/>
      <c r="NU1" s="155"/>
      <c r="NV1" s="155"/>
      <c r="NW1" s="155"/>
      <c r="NX1" s="155"/>
      <c r="NY1" s="155"/>
      <c r="NZ1" s="155"/>
      <c r="OA1" s="155"/>
      <c r="OB1" s="155"/>
      <c r="OC1" s="155"/>
      <c r="OD1" s="155"/>
      <c r="OE1" s="155"/>
      <c r="OF1" s="155"/>
      <c r="OG1" s="155"/>
      <c r="OH1" s="155"/>
      <c r="OI1" s="155"/>
      <c r="OJ1" s="155"/>
      <c r="OK1" s="155"/>
      <c r="OL1" s="155"/>
      <c r="OM1" s="155"/>
      <c r="ON1" s="155"/>
      <c r="OO1" s="155"/>
      <c r="OP1" s="155"/>
      <c r="OQ1" s="155"/>
      <c r="OR1" s="155"/>
      <c r="OS1" s="155"/>
      <c r="OT1" s="155"/>
      <c r="OU1" s="155"/>
      <c r="OV1" s="155"/>
      <c r="OW1" s="155"/>
      <c r="OX1" s="155"/>
      <c r="OY1" s="155"/>
      <c r="OZ1" s="155"/>
      <c r="PA1" s="155"/>
      <c r="PB1" s="155"/>
      <c r="PC1" s="155"/>
      <c r="PD1" s="155"/>
      <c r="PE1" s="155"/>
      <c r="PF1" s="155"/>
      <c r="PG1" s="155"/>
      <c r="PH1" s="155"/>
      <c r="PI1" s="155"/>
      <c r="PJ1" s="155"/>
      <c r="PK1" s="155"/>
      <c r="PL1" s="155"/>
      <c r="PM1" s="155"/>
      <c r="PN1" s="155"/>
      <c r="PO1" s="155"/>
      <c r="PP1" s="155"/>
      <c r="PQ1" s="155"/>
      <c r="PR1" s="155"/>
      <c r="PS1" s="155"/>
      <c r="PT1" s="155"/>
      <c r="PU1" s="155"/>
      <c r="PV1" s="155"/>
      <c r="PW1" s="155"/>
      <c r="PX1" s="155"/>
      <c r="PY1" s="155"/>
      <c r="PZ1" s="155"/>
      <c r="QA1" s="155"/>
      <c r="QB1" s="155"/>
      <c r="QC1" s="155"/>
      <c r="QD1" s="155"/>
      <c r="QE1" s="155"/>
      <c r="QF1" s="155"/>
      <c r="QG1" s="155"/>
      <c r="QH1" s="155"/>
      <c r="QI1" s="155"/>
      <c r="QJ1" s="155"/>
      <c r="QK1" s="155"/>
      <c r="QL1" s="155"/>
      <c r="QM1" s="155"/>
      <c r="QN1" s="155"/>
      <c r="QO1" s="155"/>
      <c r="QP1" s="155"/>
      <c r="QQ1" s="155"/>
      <c r="QR1" s="155"/>
      <c r="QS1" s="155"/>
      <c r="QT1" s="155"/>
      <c r="QU1" s="155"/>
      <c r="QV1" s="155"/>
      <c r="QW1" s="155"/>
      <c r="QX1" s="155"/>
      <c r="QY1" s="155"/>
      <c r="QZ1" s="155"/>
      <c r="RA1" s="155"/>
      <c r="RB1" s="155"/>
      <c r="RC1" s="155"/>
      <c r="RD1" s="155"/>
      <c r="RE1" s="155"/>
      <c r="RF1" s="155"/>
      <c r="RG1" s="155"/>
      <c r="RH1" s="155"/>
      <c r="RI1" s="155"/>
      <c r="RJ1" s="155"/>
      <c r="RK1" s="155"/>
      <c r="RL1" s="155"/>
      <c r="RM1" s="155"/>
      <c r="RN1" s="155"/>
      <c r="RO1" s="155"/>
      <c r="RP1" s="155"/>
      <c r="RQ1" s="155"/>
      <c r="RR1" s="155"/>
      <c r="RS1" s="155"/>
      <c r="RT1" s="155"/>
      <c r="RU1" s="155"/>
      <c r="RV1" s="155"/>
      <c r="RW1" s="155"/>
      <c r="RX1" s="155"/>
      <c r="RY1" s="155"/>
      <c r="RZ1" s="155"/>
      <c r="SA1" s="155"/>
      <c r="SB1" s="155"/>
      <c r="SC1" s="155"/>
      <c r="SD1" s="155"/>
      <c r="SE1" s="155"/>
      <c r="SF1" s="155"/>
      <c r="SG1" s="155"/>
      <c r="SH1" s="155"/>
      <c r="SI1" s="155"/>
      <c r="SJ1" s="155"/>
      <c r="SK1" s="155"/>
      <c r="SL1" s="155"/>
      <c r="SM1" s="155"/>
      <c r="SN1" s="155"/>
      <c r="SO1" s="155"/>
      <c r="SP1" s="155"/>
      <c r="SQ1" s="155"/>
      <c r="SR1" s="155"/>
      <c r="SS1" s="155"/>
      <c r="ST1" s="155"/>
      <c r="SU1" s="155"/>
      <c r="SV1" s="155"/>
      <c r="SW1" s="155"/>
      <c r="SX1" s="155"/>
      <c r="SY1" s="155"/>
      <c r="SZ1" s="155"/>
      <c r="TA1" s="155"/>
      <c r="TB1" s="155"/>
      <c r="TC1" s="155"/>
      <c r="TD1" s="155"/>
      <c r="TE1" s="155"/>
      <c r="TF1" s="155"/>
      <c r="TG1" s="155"/>
      <c r="TH1" s="155"/>
      <c r="TI1" s="155"/>
      <c r="TJ1" s="155"/>
      <c r="TK1" s="155"/>
      <c r="TL1" s="155"/>
    </row>
    <row r="2" spans="1:532" ht="6.75" customHeight="1" thickBot="1" x14ac:dyDescent="0.3">
      <c r="A2" s="155"/>
      <c r="B2" s="509"/>
      <c r="C2" s="510"/>
      <c r="D2" s="510"/>
      <c r="E2" s="510"/>
      <c r="F2" s="510"/>
      <c r="G2" s="510"/>
      <c r="H2" s="510"/>
      <c r="I2" s="510"/>
      <c r="J2" s="510"/>
      <c r="K2" s="510"/>
      <c r="L2" s="510"/>
      <c r="M2" s="510"/>
      <c r="N2" s="510"/>
      <c r="O2" s="510"/>
      <c r="P2" s="510"/>
      <c r="Q2" s="510"/>
      <c r="R2" s="510"/>
      <c r="S2" s="510"/>
      <c r="T2" s="510"/>
      <c r="U2" s="510"/>
      <c r="V2" s="510"/>
      <c r="W2" s="510"/>
      <c r="X2" s="510"/>
      <c r="Y2" s="510"/>
      <c r="Z2" s="510"/>
      <c r="AA2" s="510"/>
      <c r="AB2" s="510"/>
      <c r="AC2" s="510"/>
      <c r="AD2" s="510"/>
      <c r="AE2" s="510"/>
      <c r="AF2" s="510"/>
      <c r="AG2" s="510"/>
      <c r="AH2" s="510"/>
      <c r="AI2" s="510"/>
      <c r="AJ2" s="510"/>
      <c r="AK2" s="510"/>
      <c r="AL2" s="510"/>
      <c r="AM2" s="510"/>
      <c r="AN2" s="510"/>
      <c r="AO2" s="510"/>
      <c r="AP2" s="510"/>
      <c r="AQ2" s="510"/>
      <c r="AR2" s="510"/>
      <c r="AS2" s="510"/>
      <c r="AT2" s="510"/>
      <c r="AU2" s="510"/>
      <c r="AV2" s="510"/>
      <c r="AW2" s="510"/>
      <c r="AX2" s="510"/>
      <c r="AY2" s="510"/>
      <c r="AZ2" s="510"/>
      <c r="BA2" s="510"/>
      <c r="BB2" s="510"/>
      <c r="BC2" s="510"/>
      <c r="BD2" s="510"/>
      <c r="BE2" s="510"/>
      <c r="BF2" s="510"/>
      <c r="BG2" s="510"/>
      <c r="BH2" s="510"/>
      <c r="BI2" s="510"/>
      <c r="BJ2" s="510"/>
      <c r="BK2" s="510"/>
      <c r="BL2" s="510"/>
      <c r="BM2" s="510"/>
      <c r="BN2" s="510"/>
      <c r="BO2" s="510"/>
      <c r="BP2" s="510"/>
      <c r="BQ2" s="510"/>
      <c r="BR2" s="510"/>
      <c r="BS2" s="510"/>
      <c r="BT2" s="510"/>
      <c r="BU2" s="510"/>
      <c r="BV2" s="510"/>
      <c r="BW2" s="511"/>
      <c r="BX2" s="155"/>
      <c r="BY2" s="155"/>
      <c r="BZ2" s="552"/>
      <c r="CA2" s="552"/>
      <c r="CB2" s="552"/>
      <c r="CC2" s="552"/>
      <c r="CD2" s="552"/>
      <c r="CE2" s="552"/>
      <c r="CF2" s="552"/>
      <c r="CG2" s="552"/>
      <c r="CH2" s="552"/>
      <c r="CI2" s="552"/>
      <c r="CJ2" s="552"/>
      <c r="CK2" s="552"/>
      <c r="CL2" s="552"/>
      <c r="CM2" s="552"/>
      <c r="CN2" s="552"/>
      <c r="CO2" s="552"/>
      <c r="CP2" s="552"/>
      <c r="CQ2" s="552"/>
      <c r="CR2" s="552"/>
      <c r="CS2" s="552"/>
      <c r="CT2" s="552"/>
      <c r="CU2" s="552"/>
      <c r="CV2" s="552"/>
      <c r="CW2" s="552"/>
      <c r="CX2" s="552"/>
      <c r="EW2" s="155"/>
      <c r="EX2" s="552"/>
      <c r="EY2" s="552"/>
      <c r="EZ2" s="552"/>
      <c r="FA2" s="552"/>
      <c r="FB2" s="552"/>
      <c r="FC2" s="552"/>
      <c r="FD2" s="552"/>
      <c r="FE2" s="552"/>
      <c r="FF2" s="552"/>
      <c r="FG2" s="552"/>
      <c r="FH2" s="552"/>
      <c r="FI2" s="552"/>
      <c r="FJ2" s="552"/>
      <c r="FK2" s="552"/>
      <c r="FL2" s="552"/>
      <c r="FM2" s="552"/>
      <c r="FN2" s="552"/>
      <c r="FO2" s="552"/>
      <c r="FP2" s="552"/>
      <c r="FQ2" s="552"/>
      <c r="FR2" s="552"/>
      <c r="FS2" s="552"/>
      <c r="FT2" s="552"/>
      <c r="FU2" s="552"/>
      <c r="FV2" s="552"/>
      <c r="FW2" s="552"/>
      <c r="FX2" s="552"/>
      <c r="FY2" s="552"/>
      <c r="FZ2" s="552"/>
      <c r="GA2" s="552"/>
      <c r="GB2" s="552"/>
      <c r="GC2" s="552"/>
      <c r="GD2" s="552"/>
      <c r="GE2" s="552"/>
      <c r="GF2" s="552"/>
      <c r="GG2" s="552"/>
      <c r="GH2" s="552"/>
      <c r="GI2" s="552"/>
      <c r="GJ2" s="552"/>
      <c r="GK2" s="552"/>
      <c r="GL2" s="552"/>
      <c r="GM2" s="552"/>
      <c r="GN2" s="552"/>
      <c r="GO2" s="552"/>
      <c r="GP2" s="552"/>
      <c r="GQ2" s="552"/>
      <c r="GR2" s="552"/>
      <c r="GS2" s="552"/>
      <c r="GT2" s="552"/>
      <c r="GU2" s="552"/>
      <c r="GV2" s="552"/>
      <c r="GW2" s="552"/>
      <c r="GX2" s="552"/>
      <c r="GY2" s="552"/>
      <c r="GZ2" s="552"/>
      <c r="HA2" s="552"/>
      <c r="HB2" s="552"/>
      <c r="HC2" s="552"/>
      <c r="HD2" s="552"/>
      <c r="HE2" s="552"/>
      <c r="HF2" s="552"/>
      <c r="HG2" s="552"/>
      <c r="HH2" s="552"/>
      <c r="HI2" s="552"/>
      <c r="HJ2" s="552"/>
      <c r="HK2" s="552"/>
      <c r="HL2" s="552"/>
      <c r="HM2" s="552"/>
      <c r="HN2" s="552"/>
      <c r="HO2" s="552"/>
      <c r="HP2" s="552"/>
      <c r="HQ2" s="552"/>
      <c r="HR2" s="552"/>
      <c r="HS2" s="552"/>
      <c r="HT2" s="155"/>
      <c r="HU2" s="155"/>
      <c r="HV2" s="552"/>
      <c r="HW2" s="552"/>
      <c r="HX2" s="552"/>
      <c r="HY2" s="552"/>
      <c r="HZ2" s="552"/>
      <c r="IA2" s="552"/>
      <c r="IB2" s="552"/>
      <c r="IC2" s="552"/>
      <c r="ID2" s="552"/>
      <c r="IE2" s="552"/>
      <c r="IF2" s="552"/>
      <c r="IG2" s="552"/>
      <c r="IH2" s="552"/>
      <c r="II2" s="552"/>
      <c r="IJ2" s="552"/>
      <c r="IK2" s="552"/>
      <c r="IL2" s="552"/>
      <c r="IM2" s="552"/>
      <c r="IN2" s="552"/>
      <c r="IO2" s="552"/>
      <c r="IP2" s="552"/>
      <c r="IQ2" s="552"/>
      <c r="IR2" s="552"/>
      <c r="IS2" s="552"/>
      <c r="IT2" s="552"/>
      <c r="IU2" s="552"/>
      <c r="IV2" s="552"/>
      <c r="IW2" s="552"/>
      <c r="IX2" s="552"/>
      <c r="IY2" s="552"/>
      <c r="IZ2" s="552"/>
      <c r="JA2" s="552"/>
      <c r="JB2" s="552"/>
      <c r="JC2" s="552"/>
      <c r="JD2" s="552"/>
      <c r="JE2" s="552"/>
      <c r="JF2" s="552"/>
      <c r="JG2" s="552"/>
      <c r="JH2" s="552"/>
      <c r="JI2" s="552"/>
      <c r="JJ2" s="552"/>
      <c r="JK2" s="552"/>
      <c r="JL2" s="552"/>
      <c r="JM2" s="552"/>
      <c r="JN2" s="552"/>
      <c r="JO2" s="552"/>
      <c r="JP2" s="552"/>
      <c r="JQ2" s="552"/>
      <c r="JR2" s="552"/>
      <c r="JS2" s="552"/>
      <c r="JT2" s="552"/>
      <c r="JU2" s="552"/>
      <c r="JV2" s="552"/>
      <c r="JW2" s="552"/>
      <c r="JX2" s="552"/>
      <c r="JY2" s="552"/>
      <c r="JZ2" s="552"/>
      <c r="KA2" s="552"/>
      <c r="KB2" s="552"/>
      <c r="KC2" s="552"/>
      <c r="KD2" s="552"/>
      <c r="KE2" s="552"/>
      <c r="KF2" s="552"/>
      <c r="KG2" s="552"/>
      <c r="KH2" s="552"/>
      <c r="KI2" s="552"/>
      <c r="KJ2" s="552"/>
      <c r="KK2" s="552"/>
      <c r="KL2" s="552"/>
      <c r="KM2" s="552"/>
      <c r="KN2" s="552"/>
      <c r="KO2" s="552"/>
      <c r="KP2" s="552"/>
      <c r="KQ2" s="552"/>
      <c r="KR2" s="155"/>
      <c r="KS2" s="155"/>
      <c r="KT2" s="552"/>
      <c r="KU2" s="552"/>
      <c r="KV2" s="552"/>
      <c r="KW2" s="552"/>
      <c r="KX2" s="552"/>
      <c r="KY2" s="552"/>
      <c r="KZ2" s="552"/>
      <c r="LA2" s="552"/>
      <c r="LB2" s="552"/>
      <c r="LC2" s="552"/>
      <c r="LD2" s="552"/>
      <c r="LE2" s="552"/>
      <c r="LF2" s="552"/>
      <c r="LG2" s="552"/>
      <c r="LH2" s="552"/>
      <c r="LI2" s="552"/>
      <c r="LJ2" s="552"/>
      <c r="LK2" s="552"/>
      <c r="LL2" s="552"/>
      <c r="LM2" s="552"/>
      <c r="LN2" s="552"/>
      <c r="LO2" s="552"/>
      <c r="LP2" s="552"/>
      <c r="LQ2" s="552"/>
      <c r="LR2" s="552"/>
      <c r="LS2" s="552"/>
      <c r="LT2" s="552"/>
      <c r="LU2" s="552"/>
      <c r="LV2" s="552"/>
      <c r="LW2" s="552"/>
      <c r="LX2" s="552"/>
      <c r="LY2" s="552"/>
      <c r="LZ2" s="552"/>
      <c r="MA2" s="552"/>
      <c r="MB2" s="552"/>
      <c r="MC2" s="552"/>
      <c r="MD2" s="552"/>
      <c r="ME2" s="552"/>
      <c r="MF2" s="552"/>
      <c r="MG2" s="552"/>
      <c r="MH2" s="552"/>
      <c r="MI2" s="552"/>
      <c r="MJ2" s="552"/>
      <c r="MK2" s="552"/>
      <c r="ML2" s="552"/>
      <c r="MM2" s="552"/>
      <c r="MN2" s="552"/>
      <c r="MO2" s="552"/>
      <c r="MP2" s="552"/>
      <c r="NP2" s="155"/>
      <c r="NQ2" s="155"/>
      <c r="QN2" s="155"/>
      <c r="QO2" s="155"/>
      <c r="TL2" s="155"/>
    </row>
    <row r="3" spans="1:532" ht="6.75" customHeight="1" x14ac:dyDescent="0.25">
      <c r="A3" s="155"/>
      <c r="B3" s="512"/>
      <c r="C3" s="1155" t="str">
        <f>Character_Name</f>
        <v>Palant</v>
      </c>
      <c r="D3" s="1155"/>
      <c r="E3" s="1155"/>
      <c r="F3" s="1155"/>
      <c r="G3" s="1155"/>
      <c r="H3" s="1155"/>
      <c r="I3" s="1155"/>
      <c r="J3" s="1155"/>
      <c r="K3" s="1155"/>
      <c r="L3" s="1155"/>
      <c r="M3" s="1155"/>
      <c r="N3" s="1155"/>
      <c r="O3" s="1155"/>
      <c r="P3" s="1155"/>
      <c r="Q3" s="1155"/>
      <c r="R3" s="1155"/>
      <c r="S3" s="1155"/>
      <c r="T3" s="1155"/>
      <c r="U3" s="1155"/>
      <c r="V3" s="1155"/>
      <c r="W3" s="1155"/>
      <c r="X3" s="1155"/>
      <c r="Y3" s="1155"/>
      <c r="Z3" s="1155"/>
      <c r="AA3" s="1155"/>
      <c r="AB3" s="1155"/>
      <c r="AC3" s="1155"/>
      <c r="AD3" s="1200" t="str">
        <f>Race&amp;""&amp;IF(SubRace&lt;&gt;Race," ("&amp;SubRace&amp;")","")</f>
        <v>Human (Human (Variant))</v>
      </c>
      <c r="AE3" s="1200"/>
      <c r="AF3" s="1200"/>
      <c r="AG3" s="1200"/>
      <c r="AH3" s="1200"/>
      <c r="AI3" s="1200"/>
      <c r="AJ3" s="1200"/>
      <c r="AK3" s="1200"/>
      <c r="AL3" s="1200"/>
      <c r="AM3" s="1200"/>
      <c r="AN3" s="1200"/>
      <c r="AO3" s="1200"/>
      <c r="AP3" s="1200"/>
      <c r="AQ3" s="1200"/>
      <c r="AR3" s="1200"/>
      <c r="AS3" s="1155" t="str">
        <f>Gender</f>
        <v>male</v>
      </c>
      <c r="AT3" s="1155"/>
      <c r="AU3" s="1155"/>
      <c r="AV3" s="1155"/>
      <c r="AW3" s="1155"/>
      <c r="AX3" s="1155"/>
      <c r="AY3" s="1155"/>
      <c r="AZ3" s="1155"/>
      <c r="BA3" s="1155"/>
      <c r="BB3" s="1155"/>
      <c r="BC3" s="1155"/>
      <c r="BD3" s="1155"/>
      <c r="BE3" s="1155"/>
      <c r="BF3" s="1155"/>
      <c r="BG3" s="1155"/>
      <c r="BH3" s="1155" t="str">
        <f>Background</f>
        <v>Sage</v>
      </c>
      <c r="BI3" s="1155"/>
      <c r="BJ3" s="1155"/>
      <c r="BK3" s="1155"/>
      <c r="BL3" s="1155"/>
      <c r="BM3" s="1155"/>
      <c r="BN3" s="1155"/>
      <c r="BO3" s="1155"/>
      <c r="BP3" s="1155"/>
      <c r="BQ3" s="1155"/>
      <c r="BR3" s="1155"/>
      <c r="BS3" s="1155"/>
      <c r="BT3" s="1155"/>
      <c r="BU3" s="1155"/>
      <c r="BV3" s="1155"/>
      <c r="BW3" s="513"/>
      <c r="BX3" s="155"/>
      <c r="BY3" s="155"/>
      <c r="BZ3" s="552"/>
      <c r="CA3" s="1109" t="s">
        <v>6529</v>
      </c>
      <c r="CB3" s="1110"/>
      <c r="CC3" s="1110"/>
      <c r="CD3" s="1110"/>
      <c r="CE3" s="1110"/>
      <c r="CF3" s="1110"/>
      <c r="CG3" s="1110"/>
      <c r="CH3" s="1110"/>
      <c r="CI3" s="1110"/>
      <c r="CJ3" s="1110"/>
      <c r="CK3" s="1110"/>
      <c r="CL3" s="1110"/>
      <c r="CM3" s="1110"/>
      <c r="CN3" s="1110"/>
      <c r="CO3" s="1110"/>
      <c r="CP3" s="1110"/>
      <c r="CQ3" s="1110"/>
      <c r="CR3" s="1110"/>
      <c r="CS3" s="1110"/>
      <c r="CT3" s="1110"/>
      <c r="CU3" s="1110"/>
      <c r="CV3" s="1110"/>
      <c r="CW3" s="1110"/>
      <c r="CX3" s="1111"/>
      <c r="CZ3" s="1109" t="s">
        <v>6623</v>
      </c>
      <c r="DA3" s="1110"/>
      <c r="DB3" s="1110"/>
      <c r="DC3" s="1110"/>
      <c r="DD3" s="1110"/>
      <c r="DE3" s="1110"/>
      <c r="DF3" s="1110"/>
      <c r="DG3" s="1110"/>
      <c r="DH3" s="1110"/>
      <c r="DI3" s="1110"/>
      <c r="DJ3" s="1110"/>
      <c r="DK3" s="1110"/>
      <c r="DL3" s="1110"/>
      <c r="DM3" s="1110"/>
      <c r="DN3" s="1110"/>
      <c r="DO3" s="1110"/>
      <c r="DP3" s="1110"/>
      <c r="DQ3" s="1110"/>
      <c r="DR3" s="1110"/>
      <c r="DS3" s="1110"/>
      <c r="DT3" s="1110"/>
      <c r="DU3" s="1110"/>
      <c r="DV3" s="1110"/>
      <c r="DW3" s="1111"/>
      <c r="DY3" s="1109" t="s">
        <v>6261</v>
      </c>
      <c r="DZ3" s="1110"/>
      <c r="EA3" s="1110"/>
      <c r="EB3" s="1110"/>
      <c r="EC3" s="1110"/>
      <c r="ED3" s="1110"/>
      <c r="EE3" s="1110"/>
      <c r="EF3" s="1110"/>
      <c r="EG3" s="1110"/>
      <c r="EH3" s="1110"/>
      <c r="EI3" s="1110"/>
      <c r="EJ3" s="1110"/>
      <c r="EK3" s="1110"/>
      <c r="EL3" s="1110"/>
      <c r="EM3" s="1110"/>
      <c r="EN3" s="1110"/>
      <c r="EO3" s="1110"/>
      <c r="EP3" s="1110"/>
      <c r="EQ3" s="1110"/>
      <c r="ER3" s="1110"/>
      <c r="ES3" s="1110"/>
      <c r="ET3" s="1110"/>
      <c r="EU3" s="1111"/>
      <c r="EW3" s="155"/>
      <c r="EX3" s="552"/>
      <c r="EY3" s="1164" t="s">
        <v>6477</v>
      </c>
      <c r="EZ3" s="1165"/>
      <c r="FA3" s="1165"/>
      <c r="FB3" s="1165"/>
      <c r="FC3" s="1165"/>
      <c r="FD3" s="1165"/>
      <c r="FE3" s="1165"/>
      <c r="FF3" s="1165"/>
      <c r="FG3" s="1165"/>
      <c r="FH3" s="1165"/>
      <c r="FI3" s="1165"/>
      <c r="FJ3" s="1165"/>
      <c r="FK3" s="1165"/>
      <c r="FL3" s="1165"/>
      <c r="FM3" s="1165"/>
      <c r="FN3" s="1165"/>
      <c r="FO3" s="1165"/>
      <c r="FP3" s="1165"/>
      <c r="FQ3" s="1165"/>
      <c r="FR3" s="1165"/>
      <c r="FS3" s="1165"/>
      <c r="FT3" s="1165"/>
      <c r="FU3" s="1165"/>
      <c r="FV3" s="1165"/>
      <c r="FW3" s="1165"/>
      <c r="FX3" s="1165"/>
      <c r="FY3" s="1165"/>
      <c r="FZ3" s="1165"/>
      <c r="GA3" s="1165"/>
      <c r="GB3" s="1165"/>
      <c r="GC3" s="1165"/>
      <c r="GD3" s="1165"/>
      <c r="GE3" s="1165"/>
      <c r="GF3" s="1165"/>
      <c r="GG3" s="1165"/>
      <c r="GH3" s="1165"/>
      <c r="GI3" s="1165"/>
      <c r="GJ3" s="1165"/>
      <c r="GK3" s="1165"/>
      <c r="GL3" s="1165"/>
      <c r="GM3" s="1165"/>
      <c r="GN3" s="1165"/>
      <c r="GO3" s="1165"/>
      <c r="GP3" s="1165"/>
      <c r="GQ3" s="1165"/>
      <c r="GR3" s="1165"/>
      <c r="GS3" s="1165"/>
      <c r="GT3" s="1165"/>
      <c r="GU3" s="1165"/>
      <c r="GV3" s="1165"/>
      <c r="GW3" s="1165"/>
      <c r="GX3" s="1165"/>
      <c r="GY3" s="1165"/>
      <c r="GZ3" s="1165"/>
      <c r="HA3" s="1165"/>
      <c r="HB3" s="1165"/>
      <c r="HC3" s="1165"/>
      <c r="HD3" s="1165"/>
      <c r="HE3" s="1165"/>
      <c r="HF3" s="1165"/>
      <c r="HG3" s="1165"/>
      <c r="HH3" s="1165"/>
      <c r="HI3" s="1165"/>
      <c r="HJ3" s="1165"/>
      <c r="HK3" s="1165"/>
      <c r="HL3" s="1165"/>
      <c r="HM3" s="1165"/>
      <c r="HN3" s="1165"/>
      <c r="HO3" s="1165"/>
      <c r="HP3" s="1165"/>
      <c r="HQ3" s="1165"/>
      <c r="HR3" s="1166"/>
      <c r="HS3" s="552"/>
      <c r="HT3" s="155"/>
      <c r="HU3" s="155"/>
      <c r="HV3" s="552"/>
      <c r="HW3" s="552"/>
      <c r="HX3" s="552"/>
      <c r="HY3" s="552"/>
      <c r="HZ3" s="552"/>
      <c r="IA3" s="552"/>
      <c r="IB3" s="552"/>
      <c r="IC3" s="552"/>
      <c r="ID3" s="552"/>
      <c r="IE3" s="552"/>
      <c r="IF3" s="552"/>
      <c r="IG3" s="552"/>
      <c r="IH3" s="552"/>
      <c r="II3" s="552"/>
      <c r="IJ3" s="552"/>
      <c r="IK3" s="552"/>
      <c r="IL3" s="552"/>
      <c r="IM3" s="552"/>
      <c r="IN3" s="552"/>
      <c r="IO3" s="552"/>
      <c r="IP3" s="552"/>
      <c r="IQ3" s="552"/>
      <c r="IR3" s="552"/>
      <c r="IS3" s="552"/>
      <c r="IT3" s="552"/>
      <c r="IU3" s="552"/>
      <c r="IV3" s="552"/>
      <c r="IW3" s="552"/>
      <c r="IX3" s="552"/>
      <c r="IY3" s="552"/>
      <c r="IZ3" s="552"/>
      <c r="JA3" s="552"/>
      <c r="JB3" s="552"/>
      <c r="JC3" s="552"/>
      <c r="JD3" s="552"/>
      <c r="JE3" s="552"/>
      <c r="JF3" s="552"/>
      <c r="JG3" s="552"/>
      <c r="JH3" s="552"/>
      <c r="JI3" s="552"/>
      <c r="JJ3" s="552"/>
      <c r="JK3" s="552"/>
      <c r="JL3" s="552"/>
      <c r="JM3" s="552"/>
      <c r="JN3" s="552"/>
      <c r="JO3" s="552"/>
      <c r="JP3" s="552"/>
      <c r="JQ3" s="552"/>
      <c r="JR3" s="552"/>
      <c r="JS3" s="552"/>
      <c r="JT3" s="552"/>
      <c r="JU3" s="552"/>
      <c r="JV3" s="552"/>
      <c r="JW3" s="552"/>
      <c r="JX3" s="552"/>
      <c r="JY3" s="552"/>
      <c r="JZ3" s="552"/>
      <c r="KA3" s="552"/>
      <c r="KB3" s="552"/>
      <c r="KC3" s="552"/>
      <c r="KD3" s="552"/>
      <c r="KE3" s="552"/>
      <c r="KF3" s="552"/>
      <c r="KG3" s="552"/>
      <c r="KH3" s="552"/>
      <c r="KI3" s="552"/>
      <c r="KJ3" s="552"/>
      <c r="KK3" s="552"/>
      <c r="KL3" s="552"/>
      <c r="KM3" s="552"/>
      <c r="KN3" s="552"/>
      <c r="KO3" s="552"/>
      <c r="KP3" s="552"/>
      <c r="KQ3" s="552"/>
      <c r="KR3" s="155"/>
      <c r="KS3" s="155"/>
      <c r="KT3" s="552"/>
      <c r="KU3" s="1124" t="s">
        <v>6437</v>
      </c>
      <c r="KV3" s="1125"/>
      <c r="KW3" s="1125"/>
      <c r="KX3" s="1125"/>
      <c r="KY3" s="1125"/>
      <c r="KZ3" s="1125"/>
      <c r="LA3" s="1125"/>
      <c r="LB3" s="1125"/>
      <c r="LC3" s="1125"/>
      <c r="LD3" s="1125"/>
      <c r="LE3" s="1125"/>
      <c r="LF3" s="1125"/>
      <c r="LG3" s="1125"/>
      <c r="LH3" s="1125"/>
      <c r="LI3" s="1125"/>
      <c r="LJ3" s="1125"/>
      <c r="LK3" s="1125"/>
      <c r="LL3" s="1125"/>
      <c r="LM3" s="1125"/>
      <c r="LN3" s="1125"/>
      <c r="LO3" s="1125"/>
      <c r="LP3" s="1125"/>
      <c r="LQ3" s="1125"/>
      <c r="LR3" s="1125"/>
      <c r="LS3" s="1125"/>
      <c r="LT3" s="1125"/>
      <c r="LU3" s="1125"/>
      <c r="LV3" s="1125"/>
      <c r="LW3" s="1125"/>
      <c r="LX3" s="1125"/>
      <c r="LY3" s="1125"/>
      <c r="LZ3" s="1125"/>
      <c r="MA3" s="1125"/>
      <c r="MB3" s="1125"/>
      <c r="MC3" s="1125"/>
      <c r="MD3" s="1125"/>
      <c r="ME3" s="1125"/>
      <c r="MF3" s="1125"/>
      <c r="MG3" s="1125"/>
      <c r="MH3" s="1125"/>
      <c r="MI3" s="1125"/>
      <c r="MJ3" s="1125"/>
      <c r="MK3" s="1125"/>
      <c r="ML3" s="1125"/>
      <c r="MM3" s="1125"/>
      <c r="MN3" s="1125"/>
      <c r="MO3" s="1126"/>
      <c r="MQ3" s="1124" t="s">
        <v>6446</v>
      </c>
      <c r="MR3" s="1125"/>
      <c r="MS3" s="1125"/>
      <c r="MT3" s="1125"/>
      <c r="MU3" s="1125"/>
      <c r="MV3" s="1125"/>
      <c r="MW3" s="1125"/>
      <c r="MX3" s="1125"/>
      <c r="MY3" s="1125"/>
      <c r="MZ3" s="1125"/>
      <c r="NA3" s="1125"/>
      <c r="NB3" s="1125"/>
      <c r="NC3" s="1125"/>
      <c r="ND3" s="1125"/>
      <c r="NE3" s="1125"/>
      <c r="NF3" s="1125"/>
      <c r="NG3" s="1125"/>
      <c r="NH3" s="1125"/>
      <c r="NI3" s="1125"/>
      <c r="NJ3" s="1125"/>
      <c r="NK3" s="1125"/>
      <c r="NL3" s="1125"/>
      <c r="NM3" s="1125"/>
      <c r="NN3" s="1126"/>
      <c r="NP3" s="155"/>
      <c r="NQ3" s="155"/>
      <c r="QN3" s="155"/>
      <c r="QO3" s="155"/>
      <c r="TL3" s="155"/>
    </row>
    <row r="4" spans="1:532" ht="6.75" customHeight="1" x14ac:dyDescent="0.25">
      <c r="A4" s="155"/>
      <c r="B4" s="512"/>
      <c r="C4" s="1155"/>
      <c r="D4" s="1155"/>
      <c r="E4" s="1155"/>
      <c r="F4" s="1155"/>
      <c r="G4" s="1155"/>
      <c r="H4" s="1155"/>
      <c r="I4" s="1155"/>
      <c r="J4" s="1155"/>
      <c r="K4" s="1155"/>
      <c r="L4" s="1155"/>
      <c r="M4" s="1155"/>
      <c r="N4" s="1155"/>
      <c r="O4" s="1155"/>
      <c r="P4" s="1155"/>
      <c r="Q4" s="1155"/>
      <c r="R4" s="1155"/>
      <c r="S4" s="1155"/>
      <c r="T4" s="1155"/>
      <c r="U4" s="1155"/>
      <c r="V4" s="1155"/>
      <c r="W4" s="1155"/>
      <c r="X4" s="1155"/>
      <c r="Y4" s="1155"/>
      <c r="Z4" s="1155"/>
      <c r="AA4" s="1155"/>
      <c r="AB4" s="1155"/>
      <c r="AC4" s="1155"/>
      <c r="AD4" s="1200"/>
      <c r="AE4" s="1200"/>
      <c r="AF4" s="1200"/>
      <c r="AG4" s="1200"/>
      <c r="AH4" s="1200"/>
      <c r="AI4" s="1200"/>
      <c r="AJ4" s="1200"/>
      <c r="AK4" s="1200"/>
      <c r="AL4" s="1200"/>
      <c r="AM4" s="1200"/>
      <c r="AN4" s="1200"/>
      <c r="AO4" s="1200"/>
      <c r="AP4" s="1200"/>
      <c r="AQ4" s="1200"/>
      <c r="AR4" s="1200"/>
      <c r="AS4" s="1155"/>
      <c r="AT4" s="1155"/>
      <c r="AU4" s="1155"/>
      <c r="AV4" s="1155"/>
      <c r="AW4" s="1155"/>
      <c r="AX4" s="1155"/>
      <c r="AY4" s="1155"/>
      <c r="AZ4" s="1155"/>
      <c r="BA4" s="1155"/>
      <c r="BB4" s="1155"/>
      <c r="BC4" s="1155"/>
      <c r="BD4" s="1155"/>
      <c r="BE4" s="1155"/>
      <c r="BF4" s="1155"/>
      <c r="BG4" s="1155"/>
      <c r="BH4" s="1155"/>
      <c r="BI4" s="1155"/>
      <c r="BJ4" s="1155"/>
      <c r="BK4" s="1155"/>
      <c r="BL4" s="1155"/>
      <c r="BM4" s="1155"/>
      <c r="BN4" s="1155"/>
      <c r="BO4" s="1155"/>
      <c r="BP4" s="1155"/>
      <c r="BQ4" s="1155"/>
      <c r="BR4" s="1155"/>
      <c r="BS4" s="1155"/>
      <c r="BT4" s="1155"/>
      <c r="BU4" s="1155"/>
      <c r="BV4" s="1155"/>
      <c r="BW4" s="513"/>
      <c r="BX4" s="155"/>
      <c r="BY4" s="155"/>
      <c r="BZ4" s="552"/>
      <c r="CA4" s="1112"/>
      <c r="CB4" s="1113"/>
      <c r="CC4" s="1113"/>
      <c r="CD4" s="1113"/>
      <c r="CE4" s="1113"/>
      <c r="CF4" s="1113"/>
      <c r="CG4" s="1113"/>
      <c r="CH4" s="1113"/>
      <c r="CI4" s="1113"/>
      <c r="CJ4" s="1113"/>
      <c r="CK4" s="1113"/>
      <c r="CL4" s="1113"/>
      <c r="CM4" s="1113"/>
      <c r="CN4" s="1113"/>
      <c r="CO4" s="1113"/>
      <c r="CP4" s="1113"/>
      <c r="CQ4" s="1113"/>
      <c r="CR4" s="1113"/>
      <c r="CS4" s="1113"/>
      <c r="CT4" s="1113"/>
      <c r="CU4" s="1113"/>
      <c r="CV4" s="1113"/>
      <c r="CW4" s="1113"/>
      <c r="CX4" s="1114"/>
      <c r="CZ4" s="1112"/>
      <c r="DA4" s="1113"/>
      <c r="DB4" s="1113"/>
      <c r="DC4" s="1113"/>
      <c r="DD4" s="1113"/>
      <c r="DE4" s="1113"/>
      <c r="DF4" s="1113"/>
      <c r="DG4" s="1113"/>
      <c r="DH4" s="1113"/>
      <c r="DI4" s="1113"/>
      <c r="DJ4" s="1113"/>
      <c r="DK4" s="1113"/>
      <c r="DL4" s="1113"/>
      <c r="DM4" s="1113"/>
      <c r="DN4" s="1113"/>
      <c r="DO4" s="1113"/>
      <c r="DP4" s="1113"/>
      <c r="DQ4" s="1113"/>
      <c r="DR4" s="1113"/>
      <c r="DS4" s="1113"/>
      <c r="DT4" s="1113"/>
      <c r="DU4" s="1113"/>
      <c r="DV4" s="1113"/>
      <c r="DW4" s="1114"/>
      <c r="DY4" s="1112"/>
      <c r="DZ4" s="1113"/>
      <c r="EA4" s="1113"/>
      <c r="EB4" s="1113"/>
      <c r="EC4" s="1113"/>
      <c r="ED4" s="1113"/>
      <c r="EE4" s="1113"/>
      <c r="EF4" s="1113"/>
      <c r="EG4" s="1113"/>
      <c r="EH4" s="1113"/>
      <c r="EI4" s="1113"/>
      <c r="EJ4" s="1113"/>
      <c r="EK4" s="1113"/>
      <c r="EL4" s="1113"/>
      <c r="EM4" s="1113"/>
      <c r="EN4" s="1113"/>
      <c r="EO4" s="1113"/>
      <c r="EP4" s="1113"/>
      <c r="EQ4" s="1113"/>
      <c r="ER4" s="1113"/>
      <c r="ES4" s="1113"/>
      <c r="ET4" s="1113"/>
      <c r="EU4" s="1114"/>
      <c r="EW4" s="155"/>
      <c r="EX4" s="552"/>
      <c r="EY4" s="1167"/>
      <c r="EZ4" s="1128"/>
      <c r="FA4" s="1128"/>
      <c r="FB4" s="1128"/>
      <c r="FC4" s="1128"/>
      <c r="FD4" s="1128"/>
      <c r="FE4" s="1128"/>
      <c r="FF4" s="1128"/>
      <c r="FG4" s="1128"/>
      <c r="FH4" s="1128"/>
      <c r="FI4" s="1128"/>
      <c r="FJ4" s="1128"/>
      <c r="FK4" s="1128"/>
      <c r="FL4" s="1128"/>
      <c r="FM4" s="1128"/>
      <c r="FN4" s="1128"/>
      <c r="FO4" s="1128"/>
      <c r="FP4" s="1128"/>
      <c r="FQ4" s="1128"/>
      <c r="FR4" s="1128"/>
      <c r="FS4" s="1128"/>
      <c r="FT4" s="1128"/>
      <c r="FU4" s="1128"/>
      <c r="FV4" s="1128"/>
      <c r="FW4" s="1128"/>
      <c r="FX4" s="1128"/>
      <c r="FY4" s="1128"/>
      <c r="FZ4" s="1128"/>
      <c r="GA4" s="1128"/>
      <c r="GB4" s="1128"/>
      <c r="GC4" s="1128"/>
      <c r="GD4" s="1128"/>
      <c r="GE4" s="1128"/>
      <c r="GF4" s="1128"/>
      <c r="GG4" s="1128"/>
      <c r="GH4" s="1128"/>
      <c r="GI4" s="1128"/>
      <c r="GJ4" s="1128"/>
      <c r="GK4" s="1128"/>
      <c r="GL4" s="1128"/>
      <c r="GM4" s="1128"/>
      <c r="GN4" s="1128"/>
      <c r="GO4" s="1128"/>
      <c r="GP4" s="1128"/>
      <c r="GQ4" s="1128"/>
      <c r="GR4" s="1128"/>
      <c r="GS4" s="1128"/>
      <c r="GT4" s="1128"/>
      <c r="GU4" s="1128"/>
      <c r="GV4" s="1128"/>
      <c r="GW4" s="1128"/>
      <c r="GX4" s="1128"/>
      <c r="GY4" s="1128"/>
      <c r="GZ4" s="1128"/>
      <c r="HA4" s="1128"/>
      <c r="HB4" s="1128"/>
      <c r="HC4" s="1128"/>
      <c r="HD4" s="1128"/>
      <c r="HE4" s="1128"/>
      <c r="HF4" s="1128"/>
      <c r="HG4" s="1128"/>
      <c r="HH4" s="1128"/>
      <c r="HI4" s="1128"/>
      <c r="HJ4" s="1128"/>
      <c r="HK4" s="1128"/>
      <c r="HL4" s="1128"/>
      <c r="HM4" s="1128"/>
      <c r="HN4" s="1128"/>
      <c r="HO4" s="1128"/>
      <c r="HP4" s="1128"/>
      <c r="HQ4" s="1128"/>
      <c r="HR4" s="1168"/>
      <c r="HS4" s="552"/>
      <c r="HT4" s="155"/>
      <c r="HU4" s="155"/>
      <c r="HV4" s="552"/>
      <c r="HW4" s="552"/>
      <c r="HX4" s="552"/>
      <c r="HY4" s="552"/>
      <c r="JU4" s="552"/>
      <c r="JV4" s="552"/>
      <c r="JW4" s="552"/>
      <c r="JX4" s="552"/>
      <c r="JY4" s="552"/>
      <c r="JZ4" s="552"/>
      <c r="KA4" s="552"/>
      <c r="KB4" s="552"/>
      <c r="KC4" s="552"/>
      <c r="KD4" s="552"/>
      <c r="KE4" s="552"/>
      <c r="KF4" s="552"/>
      <c r="KG4" s="552"/>
      <c r="KH4" s="552"/>
      <c r="KI4" s="552"/>
      <c r="KJ4" s="552"/>
      <c r="KK4" s="552"/>
      <c r="KL4" s="552"/>
      <c r="KM4" s="552"/>
      <c r="KN4" s="552"/>
      <c r="KO4" s="552"/>
      <c r="KP4" s="552"/>
      <c r="KQ4" s="552"/>
      <c r="KR4" s="155"/>
      <c r="KS4" s="155"/>
      <c r="KT4" s="552"/>
      <c r="KU4" s="1127"/>
      <c r="KV4" s="1128"/>
      <c r="KW4" s="1128"/>
      <c r="KX4" s="1128"/>
      <c r="KY4" s="1128"/>
      <c r="KZ4" s="1128"/>
      <c r="LA4" s="1128"/>
      <c r="LB4" s="1128"/>
      <c r="LC4" s="1128"/>
      <c r="LD4" s="1128"/>
      <c r="LE4" s="1128"/>
      <c r="LF4" s="1128"/>
      <c r="LG4" s="1128"/>
      <c r="LH4" s="1128"/>
      <c r="LI4" s="1128"/>
      <c r="LJ4" s="1128"/>
      <c r="LK4" s="1128"/>
      <c r="LL4" s="1128"/>
      <c r="LM4" s="1128"/>
      <c r="LN4" s="1128"/>
      <c r="LO4" s="1128"/>
      <c r="LP4" s="1128"/>
      <c r="LQ4" s="1128"/>
      <c r="LR4" s="1128"/>
      <c r="LS4" s="1128"/>
      <c r="LT4" s="1128"/>
      <c r="LU4" s="1128"/>
      <c r="LV4" s="1128"/>
      <c r="LW4" s="1128"/>
      <c r="LX4" s="1128"/>
      <c r="LY4" s="1128"/>
      <c r="LZ4" s="1128"/>
      <c r="MA4" s="1128"/>
      <c r="MB4" s="1128"/>
      <c r="MC4" s="1128"/>
      <c r="MD4" s="1128"/>
      <c r="ME4" s="1128"/>
      <c r="MF4" s="1128"/>
      <c r="MG4" s="1128"/>
      <c r="MH4" s="1128"/>
      <c r="MI4" s="1128"/>
      <c r="MJ4" s="1128"/>
      <c r="MK4" s="1128"/>
      <c r="ML4" s="1128"/>
      <c r="MM4" s="1128"/>
      <c r="MN4" s="1128"/>
      <c r="MO4" s="1129"/>
      <c r="MQ4" s="1127"/>
      <c r="MR4" s="1128"/>
      <c r="MS4" s="1128"/>
      <c r="MT4" s="1128"/>
      <c r="MU4" s="1128"/>
      <c r="MV4" s="1128"/>
      <c r="MW4" s="1128"/>
      <c r="MX4" s="1128"/>
      <c r="MY4" s="1128"/>
      <c r="MZ4" s="1128"/>
      <c r="NA4" s="1128"/>
      <c r="NB4" s="1128"/>
      <c r="NC4" s="1128"/>
      <c r="ND4" s="1128"/>
      <c r="NE4" s="1128"/>
      <c r="NF4" s="1128"/>
      <c r="NG4" s="1128"/>
      <c r="NH4" s="1128"/>
      <c r="NI4" s="1128"/>
      <c r="NJ4" s="1128"/>
      <c r="NK4" s="1128"/>
      <c r="NL4" s="1128"/>
      <c r="NM4" s="1128"/>
      <c r="NN4" s="1129"/>
      <c r="NP4" s="155"/>
      <c r="NQ4" s="155"/>
      <c r="QN4" s="155"/>
      <c r="QO4" s="155"/>
      <c r="TL4" s="155"/>
    </row>
    <row r="5" spans="1:532" ht="6.75" customHeight="1" thickBot="1" x14ac:dyDescent="0.3">
      <c r="A5" s="155"/>
      <c r="B5" s="512"/>
      <c r="C5" s="1156"/>
      <c r="D5" s="1156"/>
      <c r="E5" s="1156"/>
      <c r="F5" s="1156"/>
      <c r="G5" s="1156"/>
      <c r="H5" s="1156"/>
      <c r="I5" s="1156"/>
      <c r="J5" s="1156"/>
      <c r="K5" s="1156"/>
      <c r="L5" s="1156"/>
      <c r="M5" s="1156"/>
      <c r="N5" s="1156"/>
      <c r="O5" s="1156"/>
      <c r="P5" s="1156"/>
      <c r="Q5" s="1156"/>
      <c r="R5" s="1156"/>
      <c r="S5" s="1156"/>
      <c r="T5" s="1156"/>
      <c r="U5" s="1156"/>
      <c r="V5" s="1156"/>
      <c r="W5" s="1156"/>
      <c r="X5" s="1156"/>
      <c r="Y5" s="1156"/>
      <c r="Z5" s="1156"/>
      <c r="AA5" s="1156"/>
      <c r="AB5" s="1156"/>
      <c r="AC5" s="1156"/>
      <c r="AD5" s="1201"/>
      <c r="AE5" s="1201"/>
      <c r="AF5" s="1201"/>
      <c r="AG5" s="1201"/>
      <c r="AH5" s="1201"/>
      <c r="AI5" s="1201"/>
      <c r="AJ5" s="1201"/>
      <c r="AK5" s="1201"/>
      <c r="AL5" s="1201"/>
      <c r="AM5" s="1201"/>
      <c r="AN5" s="1201"/>
      <c r="AO5" s="1201"/>
      <c r="AP5" s="1201"/>
      <c r="AQ5" s="1201"/>
      <c r="AR5" s="1201"/>
      <c r="AS5" s="1156"/>
      <c r="AT5" s="1156"/>
      <c r="AU5" s="1156"/>
      <c r="AV5" s="1156"/>
      <c r="AW5" s="1156"/>
      <c r="AX5" s="1156"/>
      <c r="AY5" s="1156"/>
      <c r="AZ5" s="1156"/>
      <c r="BA5" s="1156"/>
      <c r="BB5" s="1156"/>
      <c r="BC5" s="1156"/>
      <c r="BD5" s="1156"/>
      <c r="BE5" s="1156"/>
      <c r="BF5" s="1156"/>
      <c r="BG5" s="1156"/>
      <c r="BH5" s="1156"/>
      <c r="BI5" s="1156"/>
      <c r="BJ5" s="1156"/>
      <c r="BK5" s="1156"/>
      <c r="BL5" s="1156"/>
      <c r="BM5" s="1156"/>
      <c r="BN5" s="1156"/>
      <c r="BO5" s="1156"/>
      <c r="BP5" s="1156"/>
      <c r="BQ5" s="1156"/>
      <c r="BR5" s="1156"/>
      <c r="BS5" s="1156"/>
      <c r="BT5" s="1156"/>
      <c r="BU5" s="1156"/>
      <c r="BV5" s="1156"/>
      <c r="BW5" s="513"/>
      <c r="BX5" s="155"/>
      <c r="BY5" s="155"/>
      <c r="BZ5" s="552"/>
      <c r="CA5" s="1134"/>
      <c r="CB5" s="1135"/>
      <c r="CC5" s="1135"/>
      <c r="CD5" s="1135"/>
      <c r="CE5" s="1135"/>
      <c r="CF5" s="1135"/>
      <c r="CG5" s="1135"/>
      <c r="CH5" s="1135"/>
      <c r="CI5" s="1135"/>
      <c r="CJ5" s="1135"/>
      <c r="CK5" s="1135"/>
      <c r="CL5" s="1135"/>
      <c r="CM5" s="1135"/>
      <c r="CN5" s="1135"/>
      <c r="CO5" s="1135"/>
      <c r="CP5" s="1135"/>
      <c r="CQ5" s="1135"/>
      <c r="CR5" s="1135"/>
      <c r="CS5" s="1135"/>
      <c r="CT5" s="1135"/>
      <c r="CU5" s="1135"/>
      <c r="CV5" s="1135"/>
      <c r="CW5" s="1135"/>
      <c r="CX5" s="1136"/>
      <c r="CZ5" s="1134"/>
      <c r="DA5" s="1135"/>
      <c r="DB5" s="1135"/>
      <c r="DC5" s="1135"/>
      <c r="DD5" s="1135"/>
      <c r="DE5" s="1135"/>
      <c r="DF5" s="1135"/>
      <c r="DG5" s="1135"/>
      <c r="DH5" s="1135"/>
      <c r="DI5" s="1135"/>
      <c r="DJ5" s="1135"/>
      <c r="DK5" s="1135"/>
      <c r="DL5" s="1135"/>
      <c r="DM5" s="1135"/>
      <c r="DN5" s="1135"/>
      <c r="DO5" s="1135"/>
      <c r="DP5" s="1135"/>
      <c r="DQ5" s="1135"/>
      <c r="DR5" s="1135"/>
      <c r="DS5" s="1135"/>
      <c r="DT5" s="1135"/>
      <c r="DU5" s="1135"/>
      <c r="DV5" s="1135"/>
      <c r="DW5" s="1136"/>
      <c r="DY5" s="1134"/>
      <c r="DZ5" s="1135"/>
      <c r="EA5" s="1135"/>
      <c r="EB5" s="1135"/>
      <c r="EC5" s="1135"/>
      <c r="ED5" s="1135"/>
      <c r="EE5" s="1135"/>
      <c r="EF5" s="1135"/>
      <c r="EG5" s="1135"/>
      <c r="EH5" s="1135"/>
      <c r="EI5" s="1135"/>
      <c r="EJ5" s="1135"/>
      <c r="EK5" s="1135"/>
      <c r="EL5" s="1135"/>
      <c r="EM5" s="1135"/>
      <c r="EN5" s="1135"/>
      <c r="EO5" s="1135"/>
      <c r="EP5" s="1135"/>
      <c r="EQ5" s="1135"/>
      <c r="ER5" s="1135"/>
      <c r="ES5" s="1135"/>
      <c r="ET5" s="1135"/>
      <c r="EU5" s="1136"/>
      <c r="EW5" s="155"/>
      <c r="EX5" s="552"/>
      <c r="EY5" s="1169"/>
      <c r="EZ5" s="1170"/>
      <c r="FA5" s="1170"/>
      <c r="FB5" s="1170"/>
      <c r="FC5" s="1170"/>
      <c r="FD5" s="1170"/>
      <c r="FE5" s="1170"/>
      <c r="FF5" s="1170"/>
      <c r="FG5" s="1170"/>
      <c r="FH5" s="1170"/>
      <c r="FI5" s="1170"/>
      <c r="FJ5" s="1170"/>
      <c r="FK5" s="1170"/>
      <c r="FL5" s="1170"/>
      <c r="FM5" s="1170"/>
      <c r="FN5" s="1170"/>
      <c r="FO5" s="1170"/>
      <c r="FP5" s="1170"/>
      <c r="FQ5" s="1170"/>
      <c r="FR5" s="1170"/>
      <c r="FS5" s="1170"/>
      <c r="FT5" s="1170"/>
      <c r="FU5" s="1170"/>
      <c r="FV5" s="1170"/>
      <c r="FW5" s="1170"/>
      <c r="FX5" s="1170"/>
      <c r="FY5" s="1170"/>
      <c r="FZ5" s="1170"/>
      <c r="GA5" s="1170"/>
      <c r="GB5" s="1170"/>
      <c r="GC5" s="1170"/>
      <c r="GD5" s="1170"/>
      <c r="GE5" s="1170"/>
      <c r="GF5" s="1170"/>
      <c r="GG5" s="1170"/>
      <c r="GH5" s="1170"/>
      <c r="GI5" s="1170"/>
      <c r="GJ5" s="1170"/>
      <c r="GK5" s="1170"/>
      <c r="GL5" s="1170"/>
      <c r="GM5" s="1170"/>
      <c r="GN5" s="1170"/>
      <c r="GO5" s="1170"/>
      <c r="GP5" s="1170"/>
      <c r="GQ5" s="1170"/>
      <c r="GR5" s="1170"/>
      <c r="GS5" s="1170"/>
      <c r="GT5" s="1170"/>
      <c r="GU5" s="1170"/>
      <c r="GV5" s="1170"/>
      <c r="GW5" s="1170"/>
      <c r="GX5" s="1170"/>
      <c r="GY5" s="1170"/>
      <c r="GZ5" s="1170"/>
      <c r="HA5" s="1170"/>
      <c r="HB5" s="1170"/>
      <c r="HC5" s="1170"/>
      <c r="HD5" s="1170"/>
      <c r="HE5" s="1170"/>
      <c r="HF5" s="1170"/>
      <c r="HG5" s="1170"/>
      <c r="HH5" s="1170"/>
      <c r="HI5" s="1170"/>
      <c r="HJ5" s="1170"/>
      <c r="HK5" s="1170"/>
      <c r="HL5" s="1170"/>
      <c r="HM5" s="1170"/>
      <c r="HN5" s="1170"/>
      <c r="HO5" s="1170"/>
      <c r="HP5" s="1170"/>
      <c r="HQ5" s="1170"/>
      <c r="HR5" s="1171"/>
      <c r="HS5" s="552"/>
      <c r="HT5" s="155"/>
      <c r="HU5" s="155"/>
      <c r="HV5" s="552"/>
      <c r="HW5" s="552"/>
      <c r="HX5" s="552"/>
      <c r="HY5" s="552"/>
      <c r="JU5" s="552"/>
      <c r="JV5" s="552"/>
      <c r="JW5" s="552"/>
      <c r="JX5" s="552"/>
      <c r="JY5" s="552"/>
      <c r="JZ5" s="552"/>
      <c r="KA5" s="552"/>
      <c r="KB5" s="552"/>
      <c r="KC5" s="552"/>
      <c r="KD5" s="552"/>
      <c r="KE5" s="552"/>
      <c r="KF5" s="552"/>
      <c r="KG5" s="552"/>
      <c r="KH5" s="552"/>
      <c r="KI5" s="552"/>
      <c r="KJ5" s="552"/>
      <c r="KK5" s="552"/>
      <c r="KL5" s="552"/>
      <c r="KM5" s="552"/>
      <c r="KN5" s="552"/>
      <c r="KO5" s="552"/>
      <c r="KP5" s="552"/>
      <c r="KQ5" s="552"/>
      <c r="KR5" s="155"/>
      <c r="KS5" s="155"/>
      <c r="KT5" s="552"/>
      <c r="KU5" s="1130"/>
      <c r="KV5" s="1131"/>
      <c r="KW5" s="1131"/>
      <c r="KX5" s="1131"/>
      <c r="KY5" s="1131"/>
      <c r="KZ5" s="1131"/>
      <c r="LA5" s="1131"/>
      <c r="LB5" s="1131"/>
      <c r="LC5" s="1131"/>
      <c r="LD5" s="1131"/>
      <c r="LE5" s="1131"/>
      <c r="LF5" s="1131"/>
      <c r="LG5" s="1131"/>
      <c r="LH5" s="1131"/>
      <c r="LI5" s="1131"/>
      <c r="LJ5" s="1131"/>
      <c r="LK5" s="1131"/>
      <c r="LL5" s="1131"/>
      <c r="LM5" s="1131"/>
      <c r="LN5" s="1131"/>
      <c r="LO5" s="1131"/>
      <c r="LP5" s="1131"/>
      <c r="LQ5" s="1131"/>
      <c r="LR5" s="1131"/>
      <c r="LS5" s="1131"/>
      <c r="LT5" s="1131"/>
      <c r="LU5" s="1131"/>
      <c r="LV5" s="1131"/>
      <c r="LW5" s="1131"/>
      <c r="LX5" s="1131"/>
      <c r="LY5" s="1131"/>
      <c r="LZ5" s="1131"/>
      <c r="MA5" s="1131"/>
      <c r="MB5" s="1131"/>
      <c r="MC5" s="1131"/>
      <c r="MD5" s="1131"/>
      <c r="ME5" s="1131"/>
      <c r="MF5" s="1131"/>
      <c r="MG5" s="1131"/>
      <c r="MH5" s="1131"/>
      <c r="MI5" s="1131"/>
      <c r="MJ5" s="1131"/>
      <c r="MK5" s="1131"/>
      <c r="ML5" s="1131"/>
      <c r="MM5" s="1131"/>
      <c r="MN5" s="1131"/>
      <c r="MO5" s="1132"/>
      <c r="MQ5" s="1130"/>
      <c r="MR5" s="1131"/>
      <c r="MS5" s="1131"/>
      <c r="MT5" s="1131"/>
      <c r="MU5" s="1131"/>
      <c r="MV5" s="1131"/>
      <c r="MW5" s="1131"/>
      <c r="MX5" s="1131"/>
      <c r="MY5" s="1131"/>
      <c r="MZ5" s="1131"/>
      <c r="NA5" s="1131"/>
      <c r="NB5" s="1131"/>
      <c r="NC5" s="1131"/>
      <c r="ND5" s="1131"/>
      <c r="NE5" s="1131"/>
      <c r="NF5" s="1131"/>
      <c r="NG5" s="1131"/>
      <c r="NH5" s="1131"/>
      <c r="NI5" s="1131"/>
      <c r="NJ5" s="1131"/>
      <c r="NK5" s="1131"/>
      <c r="NL5" s="1131"/>
      <c r="NM5" s="1131"/>
      <c r="NN5" s="1132"/>
      <c r="NP5" s="155"/>
      <c r="NQ5" s="155"/>
      <c r="QN5" s="155"/>
      <c r="QO5" s="155"/>
      <c r="TL5" s="155"/>
    </row>
    <row r="6" spans="1:532" ht="6.75" customHeight="1" x14ac:dyDescent="0.25">
      <c r="A6" s="155"/>
      <c r="B6" s="512"/>
      <c r="C6" s="507"/>
      <c r="D6" s="507"/>
      <c r="E6" s="1157" t="s">
        <v>2980</v>
      </c>
      <c r="F6" s="1157"/>
      <c r="G6" s="1157"/>
      <c r="H6" s="1157"/>
      <c r="I6" s="1157"/>
      <c r="J6" s="1157"/>
      <c r="K6" s="1157"/>
      <c r="L6" s="1157"/>
      <c r="M6" s="1157"/>
      <c r="N6" s="1157"/>
      <c r="O6" s="1157"/>
      <c r="P6" s="1157"/>
      <c r="Q6" s="1157"/>
      <c r="R6" s="1157"/>
      <c r="S6" s="1157"/>
      <c r="T6" s="1157"/>
      <c r="U6" s="1157"/>
      <c r="V6" s="1157"/>
      <c r="W6" s="1157"/>
      <c r="X6" s="1157"/>
      <c r="Y6" s="1157"/>
      <c r="Z6" s="1157"/>
      <c r="AA6" s="1157"/>
      <c r="AB6" s="507"/>
      <c r="AC6" s="507"/>
      <c r="AD6" s="507"/>
      <c r="AE6" s="507"/>
      <c r="AF6" s="1157" t="s">
        <v>2986</v>
      </c>
      <c r="AG6" s="1157"/>
      <c r="AH6" s="1157"/>
      <c r="AI6" s="1157"/>
      <c r="AJ6" s="1157"/>
      <c r="AK6" s="1157"/>
      <c r="AL6" s="1157"/>
      <c r="AM6" s="1157"/>
      <c r="AN6" s="1157"/>
      <c r="AO6" s="1157"/>
      <c r="AP6" s="1157"/>
      <c r="AQ6" s="507"/>
      <c r="AR6" s="507"/>
      <c r="AS6" s="507"/>
      <c r="AT6" s="507"/>
      <c r="AU6" s="1157" t="s">
        <v>2987</v>
      </c>
      <c r="AV6" s="1157"/>
      <c r="AW6" s="1157"/>
      <c r="AX6" s="1157"/>
      <c r="AY6" s="1157"/>
      <c r="AZ6" s="1157"/>
      <c r="BA6" s="1157"/>
      <c r="BB6" s="1157"/>
      <c r="BC6" s="1157"/>
      <c r="BD6" s="1157"/>
      <c r="BE6" s="1157"/>
      <c r="BF6" s="507"/>
      <c r="BG6" s="507"/>
      <c r="BH6" s="507"/>
      <c r="BI6" s="507"/>
      <c r="BJ6" s="1157" t="s">
        <v>2988</v>
      </c>
      <c r="BK6" s="1157"/>
      <c r="BL6" s="1157"/>
      <c r="BM6" s="1157"/>
      <c r="BN6" s="1157"/>
      <c r="BO6" s="1157"/>
      <c r="BP6" s="1157"/>
      <c r="BQ6" s="1157"/>
      <c r="BR6" s="1157"/>
      <c r="BS6" s="1157"/>
      <c r="BT6" s="1157"/>
      <c r="BU6" s="507"/>
      <c r="BV6" s="507"/>
      <c r="BW6" s="513"/>
      <c r="BX6" s="155"/>
      <c r="BY6" s="155"/>
      <c r="BZ6" s="552"/>
      <c r="CA6" s="1158" t="str">
        <f>CHAR(10)&amp;RacialTraitsOutput</f>
        <v xml:space="preserve">
Bonus Feat
Bonus Skill
</v>
      </c>
      <c r="CB6" s="1159"/>
      <c r="CC6" s="1159"/>
      <c r="CD6" s="1159"/>
      <c r="CE6" s="1159"/>
      <c r="CF6" s="1159"/>
      <c r="CG6" s="1159"/>
      <c r="CH6" s="1159"/>
      <c r="CI6" s="1159"/>
      <c r="CJ6" s="1159"/>
      <c r="CK6" s="1159"/>
      <c r="CL6" s="1159"/>
      <c r="CM6" s="1159"/>
      <c r="CN6" s="1159"/>
      <c r="CO6" s="1159"/>
      <c r="CP6" s="1159"/>
      <c r="CQ6" s="1159"/>
      <c r="CR6" s="1159"/>
      <c r="CS6" s="1159"/>
      <c r="CT6" s="1159"/>
      <c r="CU6" s="1159"/>
      <c r="CV6" s="1159"/>
      <c r="CW6" s="1159"/>
      <c r="CX6" s="1160"/>
      <c r="CZ6" s="1103" t="str">
        <f>OutputArmorProficiency</f>
        <v xml:space="preserve">Shields, light, medium, heavy, </v>
      </c>
      <c r="DA6" s="1104"/>
      <c r="DB6" s="1104"/>
      <c r="DC6" s="1104"/>
      <c r="DD6" s="1104"/>
      <c r="DE6" s="1104"/>
      <c r="DF6" s="1104"/>
      <c r="DG6" s="1104"/>
      <c r="DH6" s="1104"/>
      <c r="DI6" s="1104"/>
      <c r="DJ6" s="1104"/>
      <c r="DK6" s="1104"/>
      <c r="DL6" s="1104"/>
      <c r="DM6" s="1104"/>
      <c r="DN6" s="1104"/>
      <c r="DO6" s="1104"/>
      <c r="DP6" s="1104"/>
      <c r="DQ6" s="1104"/>
      <c r="DR6" s="1104"/>
      <c r="DS6" s="1104"/>
      <c r="DT6" s="1104"/>
      <c r="DU6" s="1104"/>
      <c r="DV6" s="1104"/>
      <c r="DW6" s="1105"/>
      <c r="DY6" s="1120"/>
      <c r="DZ6" s="1120"/>
      <c r="EA6" s="1120"/>
      <c r="EB6" s="1120"/>
      <c r="EC6" s="1120"/>
      <c r="ED6" s="1120"/>
      <c r="EE6" s="1120"/>
      <c r="EF6" s="1120"/>
      <c r="EG6" s="1120"/>
      <c r="EH6" s="1120"/>
      <c r="EI6" s="1120"/>
      <c r="EJ6" s="1120"/>
      <c r="EK6" s="1120"/>
      <c r="EL6" s="1120"/>
      <c r="EM6" s="1120"/>
      <c r="EN6" s="1120"/>
      <c r="EO6" s="1120"/>
      <c r="EP6" s="1120"/>
      <c r="EQ6" s="1120"/>
      <c r="ER6" s="1120"/>
      <c r="ES6" s="1120"/>
      <c r="ET6" s="1120"/>
      <c r="EU6" s="1120"/>
      <c r="EW6" s="155"/>
      <c r="EX6" s="552"/>
      <c r="EY6" s="552"/>
      <c r="EZ6" s="552"/>
      <c r="FA6" s="552"/>
      <c r="FB6" s="552"/>
      <c r="FC6" s="552"/>
      <c r="FD6" s="552"/>
      <c r="FE6" s="552"/>
      <c r="FF6" s="552"/>
      <c r="FG6" s="552"/>
      <c r="FH6" s="552"/>
      <c r="FI6" s="552"/>
      <c r="FJ6" s="552"/>
      <c r="FK6" s="552"/>
      <c r="FL6" s="552"/>
      <c r="FM6" s="552"/>
      <c r="FN6" s="552"/>
      <c r="FO6" s="552"/>
      <c r="FP6" s="552"/>
      <c r="FQ6" s="552"/>
      <c r="FR6" s="552"/>
      <c r="FS6" s="552"/>
      <c r="FT6" s="552"/>
      <c r="FU6" s="552"/>
      <c r="FV6" s="552"/>
      <c r="FW6" s="552"/>
      <c r="FX6" s="552"/>
      <c r="FY6" s="552"/>
      <c r="FZ6" s="552"/>
      <c r="GA6" s="552"/>
      <c r="GB6" s="552"/>
      <c r="GC6" s="552"/>
      <c r="GD6" s="552"/>
      <c r="GE6" s="552"/>
      <c r="GF6" s="552"/>
      <c r="GG6" s="552"/>
      <c r="GH6" s="552"/>
      <c r="GI6" s="552"/>
      <c r="GJ6" s="552"/>
      <c r="GK6" s="552"/>
      <c r="GL6" s="552"/>
      <c r="GM6" s="552"/>
      <c r="GN6" s="552"/>
      <c r="GO6" s="552"/>
      <c r="GP6" s="552"/>
      <c r="GQ6" s="552"/>
      <c r="GR6" s="552"/>
      <c r="GS6" s="552"/>
      <c r="GT6" s="552"/>
      <c r="GU6" s="552"/>
      <c r="GV6" s="552"/>
      <c r="GW6" s="552"/>
      <c r="GX6" s="552"/>
      <c r="GY6" s="552"/>
      <c r="GZ6" s="552"/>
      <c r="HA6" s="552"/>
      <c r="HB6" s="552"/>
      <c r="HC6" s="552"/>
      <c r="HD6" s="552"/>
      <c r="HE6" s="552"/>
      <c r="HF6" s="552"/>
      <c r="HG6" s="552"/>
      <c r="HH6" s="552"/>
      <c r="HI6" s="552"/>
      <c r="HJ6" s="552"/>
      <c r="HK6" s="552"/>
      <c r="HL6" s="552"/>
      <c r="HM6" s="552"/>
      <c r="HN6" s="552"/>
      <c r="HO6" s="552"/>
      <c r="HP6" s="552"/>
      <c r="HQ6" s="552"/>
      <c r="HR6" s="552"/>
      <c r="HS6" s="552"/>
      <c r="HT6" s="155"/>
      <c r="HU6" s="155"/>
      <c r="HV6" s="552"/>
      <c r="HW6" s="552"/>
      <c r="HX6" s="552"/>
      <c r="HY6" s="552"/>
      <c r="JU6" s="552"/>
      <c r="JV6" s="552"/>
      <c r="JW6" s="552"/>
      <c r="JX6" s="552"/>
      <c r="JY6" s="552"/>
      <c r="JZ6" s="552"/>
      <c r="KA6" s="552"/>
      <c r="KB6" s="552"/>
      <c r="KC6" s="552"/>
      <c r="KD6" s="552"/>
      <c r="KE6" s="552"/>
      <c r="KF6" s="552"/>
      <c r="KG6" s="552"/>
      <c r="KH6" s="552"/>
      <c r="KI6" s="552"/>
      <c r="KJ6" s="552"/>
      <c r="KK6" s="552"/>
      <c r="KL6" s="552"/>
      <c r="KM6" s="552"/>
      <c r="KN6" s="552"/>
      <c r="KO6" s="552"/>
      <c r="KP6" s="552"/>
      <c r="KQ6" s="552"/>
      <c r="KR6" s="155"/>
      <c r="KS6" s="155"/>
      <c r="KT6" s="552"/>
      <c r="KU6" s="1172" t="s">
        <v>6438</v>
      </c>
      <c r="KV6" s="1172"/>
      <c r="KW6" s="1172"/>
      <c r="KX6" s="1172"/>
      <c r="KY6" s="1172"/>
      <c r="KZ6" s="1172"/>
      <c r="LA6" s="1172"/>
      <c r="LB6" s="1172"/>
      <c r="LC6" s="1172"/>
      <c r="LD6" s="1172"/>
      <c r="LE6" s="1172"/>
      <c r="LF6" s="1172"/>
      <c r="LG6" s="1172"/>
      <c r="LH6" s="1172"/>
      <c r="LI6" s="1172"/>
      <c r="LJ6" s="1172"/>
      <c r="LK6" s="1172"/>
      <c r="LL6" s="1172"/>
      <c r="LM6" s="1172"/>
      <c r="LN6" s="1172"/>
      <c r="LO6" s="1172"/>
      <c r="LP6" s="1172"/>
      <c r="LQ6" s="1172"/>
      <c r="LR6" s="1172"/>
      <c r="LS6" s="1172"/>
      <c r="LT6" s="1172"/>
      <c r="LU6" s="1172"/>
      <c r="LV6" s="1173" t="s">
        <v>6439</v>
      </c>
      <c r="LW6" s="1173"/>
      <c r="LX6" s="1173"/>
      <c r="LY6" s="1173"/>
      <c r="LZ6" s="1173"/>
      <c r="MA6" s="1173" t="s">
        <v>2979</v>
      </c>
      <c r="MB6" s="1173"/>
      <c r="MC6" s="1173"/>
      <c r="MD6" s="1173"/>
      <c r="ME6" s="1173"/>
      <c r="MF6" s="1173"/>
      <c r="MG6" s="1173"/>
      <c r="MH6" s="1173"/>
      <c r="MI6" s="1173"/>
      <c r="MJ6" s="1173"/>
      <c r="MK6" s="1173" t="s">
        <v>6440</v>
      </c>
      <c r="ML6" s="1173"/>
      <c r="MM6" s="1173"/>
      <c r="MN6" s="1173"/>
      <c r="MO6" s="1173"/>
      <c r="MQ6" s="1122"/>
      <c r="MR6" s="1122"/>
      <c r="MS6" s="1122"/>
      <c r="MT6" s="1122"/>
      <c r="MU6" s="1122"/>
      <c r="MV6" s="1122"/>
      <c r="MW6" s="1122"/>
      <c r="MX6" s="1122"/>
      <c r="MY6" s="1122"/>
      <c r="MZ6" s="1122"/>
      <c r="NA6" s="1122"/>
      <c r="NB6" s="1122"/>
      <c r="NC6" s="1122"/>
      <c r="ND6" s="1122"/>
      <c r="NE6" s="1122"/>
      <c r="NF6" s="1122"/>
      <c r="NG6" s="1122"/>
      <c r="NH6" s="1122"/>
      <c r="NI6" s="1122"/>
      <c r="NJ6" s="1122"/>
      <c r="NK6" s="1122"/>
      <c r="NL6" s="1122"/>
      <c r="NM6" s="1122"/>
      <c r="NN6" s="1122"/>
      <c r="NP6" s="155"/>
      <c r="NQ6" s="155"/>
      <c r="QN6" s="155"/>
      <c r="QO6" s="155"/>
      <c r="TL6" s="155"/>
    </row>
    <row r="7" spans="1:532" ht="6.75" customHeight="1" x14ac:dyDescent="0.25">
      <c r="A7" s="155"/>
      <c r="B7" s="512"/>
      <c r="C7" s="507"/>
      <c r="D7" s="507"/>
      <c r="E7" s="1157"/>
      <c r="F7" s="1157"/>
      <c r="G7" s="1157"/>
      <c r="H7" s="1157"/>
      <c r="I7" s="1157"/>
      <c r="J7" s="1157"/>
      <c r="K7" s="1157"/>
      <c r="L7" s="1157"/>
      <c r="M7" s="1157"/>
      <c r="N7" s="1157"/>
      <c r="O7" s="1157"/>
      <c r="P7" s="1157"/>
      <c r="Q7" s="1157"/>
      <c r="R7" s="1157"/>
      <c r="S7" s="1157"/>
      <c r="T7" s="1157"/>
      <c r="U7" s="1157"/>
      <c r="V7" s="1157"/>
      <c r="W7" s="1157"/>
      <c r="X7" s="1157"/>
      <c r="Y7" s="1157"/>
      <c r="Z7" s="1157"/>
      <c r="AA7" s="1157"/>
      <c r="AB7" s="507"/>
      <c r="AC7" s="507"/>
      <c r="AD7" s="507"/>
      <c r="AE7" s="507"/>
      <c r="AF7" s="1157"/>
      <c r="AG7" s="1157"/>
      <c r="AH7" s="1157"/>
      <c r="AI7" s="1157"/>
      <c r="AJ7" s="1157"/>
      <c r="AK7" s="1157"/>
      <c r="AL7" s="1157"/>
      <c r="AM7" s="1157"/>
      <c r="AN7" s="1157"/>
      <c r="AO7" s="1157"/>
      <c r="AP7" s="1157"/>
      <c r="AQ7" s="507"/>
      <c r="AR7" s="507"/>
      <c r="AS7" s="507"/>
      <c r="AT7" s="507"/>
      <c r="AU7" s="1157"/>
      <c r="AV7" s="1157"/>
      <c r="AW7" s="1157"/>
      <c r="AX7" s="1157"/>
      <c r="AY7" s="1157"/>
      <c r="AZ7" s="1157"/>
      <c r="BA7" s="1157"/>
      <c r="BB7" s="1157"/>
      <c r="BC7" s="1157"/>
      <c r="BD7" s="1157"/>
      <c r="BE7" s="1157"/>
      <c r="BF7" s="507"/>
      <c r="BG7" s="507"/>
      <c r="BH7" s="507"/>
      <c r="BI7" s="507"/>
      <c r="BJ7" s="1157"/>
      <c r="BK7" s="1157"/>
      <c r="BL7" s="1157"/>
      <c r="BM7" s="1157"/>
      <c r="BN7" s="1157"/>
      <c r="BO7" s="1157"/>
      <c r="BP7" s="1157"/>
      <c r="BQ7" s="1157"/>
      <c r="BR7" s="1157"/>
      <c r="BS7" s="1157"/>
      <c r="BT7" s="1157"/>
      <c r="BU7" s="507"/>
      <c r="BV7" s="507"/>
      <c r="BW7" s="513"/>
      <c r="BX7" s="155"/>
      <c r="BY7" s="155"/>
      <c r="BZ7" s="552"/>
      <c r="CA7" s="1158"/>
      <c r="CB7" s="1159"/>
      <c r="CC7" s="1159"/>
      <c r="CD7" s="1159"/>
      <c r="CE7" s="1159"/>
      <c r="CF7" s="1159"/>
      <c r="CG7" s="1159"/>
      <c r="CH7" s="1159"/>
      <c r="CI7" s="1159"/>
      <c r="CJ7" s="1159"/>
      <c r="CK7" s="1159"/>
      <c r="CL7" s="1159"/>
      <c r="CM7" s="1159"/>
      <c r="CN7" s="1159"/>
      <c r="CO7" s="1159"/>
      <c r="CP7" s="1159"/>
      <c r="CQ7" s="1159"/>
      <c r="CR7" s="1159"/>
      <c r="CS7" s="1159"/>
      <c r="CT7" s="1159"/>
      <c r="CU7" s="1159"/>
      <c r="CV7" s="1159"/>
      <c r="CW7" s="1159"/>
      <c r="CX7" s="1160"/>
      <c r="CZ7" s="1106"/>
      <c r="DA7" s="1107"/>
      <c r="DB7" s="1107"/>
      <c r="DC7" s="1107"/>
      <c r="DD7" s="1107"/>
      <c r="DE7" s="1107"/>
      <c r="DF7" s="1107"/>
      <c r="DG7" s="1107"/>
      <c r="DH7" s="1107"/>
      <c r="DI7" s="1107"/>
      <c r="DJ7" s="1107"/>
      <c r="DK7" s="1107"/>
      <c r="DL7" s="1107"/>
      <c r="DM7" s="1107"/>
      <c r="DN7" s="1107"/>
      <c r="DO7" s="1107"/>
      <c r="DP7" s="1107"/>
      <c r="DQ7" s="1107"/>
      <c r="DR7" s="1107"/>
      <c r="DS7" s="1107"/>
      <c r="DT7" s="1107"/>
      <c r="DU7" s="1107"/>
      <c r="DV7" s="1107"/>
      <c r="DW7" s="1108"/>
      <c r="DY7" s="1121"/>
      <c r="DZ7" s="1121"/>
      <c r="EA7" s="1121"/>
      <c r="EB7" s="1121"/>
      <c r="EC7" s="1121"/>
      <c r="ED7" s="1121"/>
      <c r="EE7" s="1121"/>
      <c r="EF7" s="1121"/>
      <c r="EG7" s="1121"/>
      <c r="EH7" s="1121"/>
      <c r="EI7" s="1121"/>
      <c r="EJ7" s="1121"/>
      <c r="EK7" s="1121"/>
      <c r="EL7" s="1121"/>
      <c r="EM7" s="1121"/>
      <c r="EN7" s="1121"/>
      <c r="EO7" s="1121"/>
      <c r="EP7" s="1121"/>
      <c r="EQ7" s="1121"/>
      <c r="ER7" s="1121"/>
      <c r="ES7" s="1121"/>
      <c r="ET7" s="1121"/>
      <c r="EU7" s="1121"/>
      <c r="EW7" s="155"/>
      <c r="EX7" s="552"/>
      <c r="EY7" s="552"/>
      <c r="EZ7" s="552"/>
      <c r="FA7" s="552"/>
      <c r="FB7" s="552"/>
      <c r="FC7" s="552"/>
      <c r="FD7" s="552"/>
      <c r="FE7" s="552"/>
      <c r="FF7" s="552"/>
      <c r="FG7" s="552"/>
      <c r="FH7" s="552"/>
      <c r="FI7" s="1146" t="s">
        <v>6520</v>
      </c>
      <c r="FJ7" s="1147"/>
      <c r="FK7" s="1147"/>
      <c r="FL7" s="1147"/>
      <c r="FM7" s="1146" t="s">
        <v>6521</v>
      </c>
      <c r="FN7" s="1147"/>
      <c r="FO7" s="1147"/>
      <c r="FP7" s="1147"/>
      <c r="FQ7" s="1146" t="s">
        <v>6522</v>
      </c>
      <c r="FR7" s="1147"/>
      <c r="FS7" s="1147"/>
      <c r="FT7" s="1147"/>
      <c r="FU7" s="1146" t="s">
        <v>6523</v>
      </c>
      <c r="FV7" s="1147"/>
      <c r="FW7" s="1147"/>
      <c r="FX7" s="1147"/>
      <c r="FY7" s="1146" t="s">
        <v>6558</v>
      </c>
      <c r="FZ7" s="1147"/>
      <c r="GA7" s="1147"/>
      <c r="GB7" s="1147"/>
      <c r="GC7" s="1146" t="s">
        <v>6559</v>
      </c>
      <c r="GD7" s="1147"/>
      <c r="GE7" s="1147"/>
      <c r="GF7" s="1147"/>
      <c r="GG7" s="1146" t="s">
        <v>6560</v>
      </c>
      <c r="GH7" s="1147"/>
      <c r="GI7" s="1147"/>
      <c r="GJ7" s="1147"/>
      <c r="GK7" s="1146" t="s">
        <v>6561</v>
      </c>
      <c r="GL7" s="1147"/>
      <c r="GM7" s="1147"/>
      <c r="GN7" s="1147"/>
      <c r="GO7" s="1146" t="s">
        <v>6562</v>
      </c>
      <c r="GP7" s="1147"/>
      <c r="GQ7" s="1147"/>
      <c r="GR7" s="1147"/>
      <c r="GS7" s="552"/>
      <c r="GT7" s="552"/>
      <c r="GU7" s="552"/>
      <c r="GV7" s="552"/>
      <c r="HA7" s="552"/>
      <c r="HG7" s="1146" t="s">
        <v>2346</v>
      </c>
      <c r="HH7" s="1147"/>
      <c r="HI7" s="1147"/>
      <c r="HJ7" s="1147"/>
      <c r="HK7" s="1146" t="s">
        <v>6527</v>
      </c>
      <c r="HL7" s="1147"/>
      <c r="HM7" s="1147"/>
      <c r="HN7" s="1147"/>
      <c r="HO7" s="1146" t="s">
        <v>6528</v>
      </c>
      <c r="HP7" s="1147"/>
      <c r="HQ7" s="1147"/>
      <c r="HR7" s="1147"/>
      <c r="HS7" s="552"/>
      <c r="HT7" s="155"/>
      <c r="HU7" s="155"/>
      <c r="HV7" s="552"/>
      <c r="HW7" s="552"/>
      <c r="HX7" s="552"/>
      <c r="HY7" s="552"/>
      <c r="HZ7" s="552"/>
      <c r="IA7" s="552"/>
      <c r="IB7" s="552"/>
      <c r="IC7" s="552"/>
      <c r="ID7" s="552"/>
      <c r="IE7" s="552"/>
      <c r="IF7" s="552"/>
      <c r="IG7" s="552"/>
      <c r="IH7" s="552"/>
      <c r="II7" s="552"/>
      <c r="IJ7" s="552"/>
      <c r="IK7" s="552"/>
      <c r="IL7" s="552"/>
      <c r="IM7" s="552"/>
      <c r="IN7" s="552"/>
      <c r="IO7" s="552"/>
      <c r="IP7" s="552"/>
      <c r="IQ7" s="552"/>
      <c r="IR7" s="552"/>
      <c r="IS7" s="552"/>
      <c r="IT7" s="552"/>
      <c r="IU7" s="552"/>
      <c r="IV7" s="552"/>
      <c r="IW7" s="552"/>
      <c r="IX7" s="552"/>
      <c r="IY7" s="552"/>
      <c r="IZ7" s="552"/>
      <c r="JA7" s="552"/>
      <c r="JB7" s="552"/>
      <c r="JC7" s="552"/>
      <c r="JD7" s="552"/>
      <c r="JE7" s="552"/>
      <c r="JF7" s="552"/>
      <c r="JG7" s="552"/>
      <c r="JH7" s="552"/>
      <c r="JI7" s="552"/>
      <c r="JJ7" s="552"/>
      <c r="JK7" s="552"/>
      <c r="JL7" s="552"/>
      <c r="JM7" s="552"/>
      <c r="JN7" s="552"/>
      <c r="JO7" s="552"/>
      <c r="JP7" s="552"/>
      <c r="JQ7" s="552"/>
      <c r="JR7" s="552"/>
      <c r="JS7" s="552"/>
      <c r="JT7" s="552"/>
      <c r="JU7" s="552"/>
      <c r="JV7" s="552"/>
      <c r="JW7" s="552"/>
      <c r="JX7" s="552"/>
      <c r="JY7" s="552"/>
      <c r="JZ7" s="552"/>
      <c r="KA7" s="552"/>
      <c r="KB7" s="552"/>
      <c r="KC7" s="552"/>
      <c r="KD7" s="552"/>
      <c r="KE7" s="552"/>
      <c r="KF7" s="552"/>
      <c r="KG7" s="552"/>
      <c r="KH7" s="552"/>
      <c r="KI7" s="552"/>
      <c r="KJ7" s="552"/>
      <c r="KK7" s="552"/>
      <c r="KL7" s="552"/>
      <c r="KM7" s="552"/>
      <c r="KN7" s="552"/>
      <c r="KO7" s="552"/>
      <c r="KP7" s="552"/>
      <c r="KQ7" s="552"/>
      <c r="KR7" s="155"/>
      <c r="KS7" s="155"/>
      <c r="KT7" s="552"/>
      <c r="KU7" s="1172"/>
      <c r="KV7" s="1172"/>
      <c r="KW7" s="1172"/>
      <c r="KX7" s="1172"/>
      <c r="KY7" s="1172"/>
      <c r="KZ7" s="1172"/>
      <c r="LA7" s="1172"/>
      <c r="LB7" s="1172"/>
      <c r="LC7" s="1172"/>
      <c r="LD7" s="1172"/>
      <c r="LE7" s="1172"/>
      <c r="LF7" s="1172"/>
      <c r="LG7" s="1172"/>
      <c r="LH7" s="1172"/>
      <c r="LI7" s="1172"/>
      <c r="LJ7" s="1172"/>
      <c r="LK7" s="1172"/>
      <c r="LL7" s="1172"/>
      <c r="LM7" s="1172"/>
      <c r="LN7" s="1172"/>
      <c r="LO7" s="1172"/>
      <c r="LP7" s="1172"/>
      <c r="LQ7" s="1172"/>
      <c r="LR7" s="1172"/>
      <c r="LS7" s="1172"/>
      <c r="LT7" s="1172"/>
      <c r="LU7" s="1172"/>
      <c r="LV7" s="1173"/>
      <c r="LW7" s="1173"/>
      <c r="LX7" s="1173"/>
      <c r="LY7" s="1173"/>
      <c r="LZ7" s="1173"/>
      <c r="MA7" s="1173"/>
      <c r="MB7" s="1173"/>
      <c r="MC7" s="1173"/>
      <c r="MD7" s="1173"/>
      <c r="ME7" s="1173"/>
      <c r="MF7" s="1173"/>
      <c r="MG7" s="1173"/>
      <c r="MH7" s="1173"/>
      <c r="MI7" s="1173"/>
      <c r="MJ7" s="1173"/>
      <c r="MK7" s="1173"/>
      <c r="ML7" s="1173"/>
      <c r="MM7" s="1173"/>
      <c r="MN7" s="1173"/>
      <c r="MO7" s="1173"/>
      <c r="MQ7" s="1123"/>
      <c r="MR7" s="1123"/>
      <c r="MS7" s="1123"/>
      <c r="MT7" s="1123"/>
      <c r="MU7" s="1123"/>
      <c r="MV7" s="1123"/>
      <c r="MW7" s="1123"/>
      <c r="MX7" s="1123"/>
      <c r="MY7" s="1123"/>
      <c r="MZ7" s="1123"/>
      <c r="NA7" s="1123"/>
      <c r="NB7" s="1123"/>
      <c r="NC7" s="1123"/>
      <c r="ND7" s="1123"/>
      <c r="NE7" s="1123"/>
      <c r="NF7" s="1123"/>
      <c r="NG7" s="1123"/>
      <c r="NH7" s="1123"/>
      <c r="NI7" s="1123"/>
      <c r="NJ7" s="1123"/>
      <c r="NK7" s="1123"/>
      <c r="NL7" s="1123"/>
      <c r="NM7" s="1123"/>
      <c r="NN7" s="1123"/>
      <c r="NP7" s="155"/>
      <c r="NQ7" s="155"/>
      <c r="QN7" s="155"/>
      <c r="QO7" s="155"/>
      <c r="TL7" s="155"/>
    </row>
    <row r="8" spans="1:532" ht="6.75" customHeight="1" x14ac:dyDescent="0.25">
      <c r="A8" s="155"/>
      <c r="B8" s="512"/>
      <c r="C8" s="507"/>
      <c r="D8" s="507"/>
      <c r="E8" s="507"/>
      <c r="F8" s="507"/>
      <c r="G8" s="507"/>
      <c r="H8" s="507"/>
      <c r="I8" s="507"/>
      <c r="J8" s="507"/>
      <c r="K8" s="507"/>
      <c r="L8" s="507"/>
      <c r="M8" s="507"/>
      <c r="N8" s="507"/>
      <c r="O8" s="507"/>
      <c r="P8" s="507"/>
      <c r="Q8" s="507"/>
      <c r="R8" s="507"/>
      <c r="S8" s="507"/>
      <c r="T8" s="507"/>
      <c r="U8" s="507"/>
      <c r="V8" s="507"/>
      <c r="W8" s="507"/>
      <c r="X8" s="507"/>
      <c r="Y8" s="507"/>
      <c r="Z8" s="507"/>
      <c r="AA8" s="507"/>
      <c r="AB8" s="507"/>
      <c r="AC8" s="507"/>
      <c r="AD8" s="507"/>
      <c r="AE8" s="507"/>
      <c r="AF8" s="507"/>
      <c r="AG8" s="507"/>
      <c r="AH8" s="507"/>
      <c r="AI8" s="507"/>
      <c r="AJ8" s="507"/>
      <c r="AK8" s="507"/>
      <c r="AL8" s="507"/>
      <c r="AM8" s="507"/>
      <c r="AN8" s="507"/>
      <c r="AO8" s="507"/>
      <c r="AP8" s="507"/>
      <c r="AQ8" s="507"/>
      <c r="AR8" s="507"/>
      <c r="AS8" s="507"/>
      <c r="AT8" s="507"/>
      <c r="AU8" s="507"/>
      <c r="AV8" s="507"/>
      <c r="AW8" s="507"/>
      <c r="AX8" s="507"/>
      <c r="AY8" s="507"/>
      <c r="AZ8" s="507"/>
      <c r="BA8" s="507"/>
      <c r="BB8" s="507"/>
      <c r="BC8" s="507"/>
      <c r="BD8" s="507"/>
      <c r="BE8" s="507"/>
      <c r="BF8" s="507"/>
      <c r="BG8" s="507"/>
      <c r="BH8" s="507"/>
      <c r="BI8" s="507"/>
      <c r="BJ8" s="507"/>
      <c r="BK8" s="507"/>
      <c r="BL8" s="507"/>
      <c r="BM8" s="507"/>
      <c r="BN8" s="507"/>
      <c r="BO8" s="507"/>
      <c r="BP8" s="507"/>
      <c r="BQ8" s="507"/>
      <c r="BR8" s="507"/>
      <c r="BS8" s="507"/>
      <c r="BT8" s="507"/>
      <c r="BU8" s="507"/>
      <c r="BV8" s="507"/>
      <c r="BW8" s="513"/>
      <c r="BX8" s="155"/>
      <c r="BY8" s="155"/>
      <c r="BZ8" s="552"/>
      <c r="CA8" s="1158"/>
      <c r="CB8" s="1159"/>
      <c r="CC8" s="1159"/>
      <c r="CD8" s="1159"/>
      <c r="CE8" s="1159"/>
      <c r="CF8" s="1159"/>
      <c r="CG8" s="1159"/>
      <c r="CH8" s="1159"/>
      <c r="CI8" s="1159"/>
      <c r="CJ8" s="1159"/>
      <c r="CK8" s="1159"/>
      <c r="CL8" s="1159"/>
      <c r="CM8" s="1159"/>
      <c r="CN8" s="1159"/>
      <c r="CO8" s="1159"/>
      <c r="CP8" s="1159"/>
      <c r="CQ8" s="1159"/>
      <c r="CR8" s="1159"/>
      <c r="CS8" s="1159"/>
      <c r="CT8" s="1159"/>
      <c r="CU8" s="1159"/>
      <c r="CV8" s="1159"/>
      <c r="CW8" s="1159"/>
      <c r="CX8" s="1160"/>
      <c r="CZ8" s="1106"/>
      <c r="DA8" s="1107"/>
      <c r="DB8" s="1107"/>
      <c r="DC8" s="1107"/>
      <c r="DD8" s="1107"/>
      <c r="DE8" s="1107"/>
      <c r="DF8" s="1107"/>
      <c r="DG8" s="1107"/>
      <c r="DH8" s="1107"/>
      <c r="DI8" s="1107"/>
      <c r="DJ8" s="1107"/>
      <c r="DK8" s="1107"/>
      <c r="DL8" s="1107"/>
      <c r="DM8" s="1107"/>
      <c r="DN8" s="1107"/>
      <c r="DO8" s="1107"/>
      <c r="DP8" s="1107"/>
      <c r="DQ8" s="1107"/>
      <c r="DR8" s="1107"/>
      <c r="DS8" s="1107"/>
      <c r="DT8" s="1107"/>
      <c r="DU8" s="1107"/>
      <c r="DV8" s="1107"/>
      <c r="DW8" s="1108"/>
      <c r="DY8" s="1120"/>
      <c r="DZ8" s="1120"/>
      <c r="EA8" s="1120"/>
      <c r="EB8" s="1120"/>
      <c r="EC8" s="1120"/>
      <c r="ED8" s="1120"/>
      <c r="EE8" s="1120"/>
      <c r="EF8" s="1120"/>
      <c r="EG8" s="1120"/>
      <c r="EH8" s="1120"/>
      <c r="EI8" s="1120"/>
      <c r="EJ8" s="1120"/>
      <c r="EK8" s="1120"/>
      <c r="EL8" s="1120"/>
      <c r="EM8" s="1120"/>
      <c r="EN8" s="1120"/>
      <c r="EO8" s="1120"/>
      <c r="EP8" s="1120"/>
      <c r="EQ8" s="1120"/>
      <c r="ER8" s="1120"/>
      <c r="ES8" s="1120"/>
      <c r="ET8" s="1120"/>
      <c r="EU8" s="1120"/>
      <c r="EW8" s="155"/>
      <c r="EX8" s="552"/>
      <c r="EY8" s="1137" t="s">
        <v>6524</v>
      </c>
      <c r="EZ8" s="1137"/>
      <c r="FA8" s="1137"/>
      <c r="FB8" s="1137"/>
      <c r="FC8" s="1137"/>
      <c r="FD8" s="1137"/>
      <c r="FE8" s="1137"/>
      <c r="FF8" s="1137"/>
      <c r="FG8" s="1137"/>
      <c r="FH8" s="552"/>
      <c r="FI8" s="1138">
        <f>SpellSlots1stLvl</f>
        <v>4</v>
      </c>
      <c r="FJ8" s="1139"/>
      <c r="FK8" s="1139"/>
      <c r="FL8" s="1140"/>
      <c r="FM8" s="1138">
        <f>SpellSlots2ndLvl</f>
        <v>3</v>
      </c>
      <c r="FN8" s="1139"/>
      <c r="FO8" s="1139"/>
      <c r="FP8" s="1140"/>
      <c r="FQ8" s="1138">
        <f>SpellSlots3rdLvl</f>
        <v>3</v>
      </c>
      <c r="FR8" s="1139"/>
      <c r="FS8" s="1139"/>
      <c r="FT8" s="1140"/>
      <c r="FU8" s="1138">
        <f>SpellSlots4thLvl</f>
        <v>3</v>
      </c>
      <c r="FV8" s="1139"/>
      <c r="FW8" s="1139"/>
      <c r="FX8" s="1140"/>
      <c r="FY8" s="1138">
        <f>SpellSlots5thLvl</f>
        <v>2</v>
      </c>
      <c r="FZ8" s="1139"/>
      <c r="GA8" s="1139"/>
      <c r="GB8" s="1140"/>
      <c r="GC8" s="1138">
        <f>SpellSlots6thtLvl</f>
        <v>1</v>
      </c>
      <c r="GD8" s="1139"/>
      <c r="GE8" s="1139"/>
      <c r="GF8" s="1140"/>
      <c r="GG8" s="1138">
        <f>SpellSlots7thLvl</f>
        <v>0</v>
      </c>
      <c r="GH8" s="1139"/>
      <c r="GI8" s="1139"/>
      <c r="GJ8" s="1140"/>
      <c r="GK8" s="1138">
        <f>SpellSlots8thLvl</f>
        <v>0</v>
      </c>
      <c r="GL8" s="1139"/>
      <c r="GM8" s="1139"/>
      <c r="GN8" s="1140"/>
      <c r="GO8" s="1138">
        <f>SpellSlots9thLvl</f>
        <v>0</v>
      </c>
      <c r="GP8" s="1139"/>
      <c r="GQ8" s="1139"/>
      <c r="GR8" s="1140"/>
      <c r="GS8" s="552"/>
      <c r="GT8" s="552"/>
      <c r="GU8" s="552"/>
      <c r="GV8" s="552"/>
      <c r="GX8" s="1137" t="s">
        <v>6526</v>
      </c>
      <c r="GY8" s="1137"/>
      <c r="GZ8" s="1137"/>
      <c r="HA8" s="1137"/>
      <c r="HB8" s="1137"/>
      <c r="HC8" s="1137"/>
      <c r="HD8" s="1137"/>
      <c r="HE8" s="1137"/>
      <c r="HF8" s="1137"/>
      <c r="HG8" s="1148"/>
      <c r="HH8" s="1149"/>
      <c r="HI8" s="1149"/>
      <c r="HJ8" s="1150"/>
      <c r="HK8" s="1148"/>
      <c r="HL8" s="1149"/>
      <c r="HM8" s="1149"/>
      <c r="HN8" s="1150"/>
      <c r="HO8" s="1148"/>
      <c r="HP8" s="1149"/>
      <c r="HQ8" s="1149"/>
      <c r="HR8" s="1150"/>
      <c r="HS8" s="552"/>
      <c r="HT8" s="155"/>
      <c r="HU8" s="155"/>
      <c r="HV8" s="552"/>
      <c r="HW8" s="552"/>
      <c r="HX8" s="552"/>
      <c r="HY8" s="552"/>
      <c r="HZ8" s="552"/>
      <c r="IA8" s="552"/>
      <c r="IB8" s="552"/>
      <c r="IC8" s="552"/>
      <c r="ID8" s="552"/>
      <c r="IE8" s="552"/>
      <c r="IF8" s="552"/>
      <c r="IG8" s="552"/>
      <c r="IH8" s="552"/>
      <c r="II8" s="552"/>
      <c r="IJ8" s="552"/>
      <c r="IK8" s="552"/>
      <c r="IL8" s="552"/>
      <c r="IM8" s="552"/>
      <c r="IN8" s="552"/>
      <c r="IO8" s="552"/>
      <c r="IP8" s="552"/>
      <c r="IQ8" s="552"/>
      <c r="IR8" s="552"/>
      <c r="IS8" s="552"/>
      <c r="IT8" s="552"/>
      <c r="IU8" s="552"/>
      <c r="IV8" s="552"/>
      <c r="IW8" s="552"/>
      <c r="IX8" s="552"/>
      <c r="IY8" s="552"/>
      <c r="IZ8" s="552"/>
      <c r="JA8" s="552"/>
      <c r="JB8" s="552"/>
      <c r="JC8" s="552"/>
      <c r="JD8" s="552"/>
      <c r="JE8" s="552"/>
      <c r="JF8" s="552"/>
      <c r="JG8" s="552"/>
      <c r="JH8" s="552"/>
      <c r="JI8" s="552"/>
      <c r="JJ8" s="552"/>
      <c r="JK8" s="552"/>
      <c r="JL8" s="552"/>
      <c r="JM8" s="552"/>
      <c r="JN8" s="552"/>
      <c r="JO8" s="552"/>
      <c r="JP8" s="552"/>
      <c r="JQ8" s="552"/>
      <c r="JR8" s="552"/>
      <c r="JS8" s="552"/>
      <c r="JT8" s="552"/>
      <c r="JU8" s="552"/>
      <c r="JV8" s="552"/>
      <c r="JW8" s="552"/>
      <c r="JX8" s="552"/>
      <c r="JY8" s="552"/>
      <c r="JZ8" s="552"/>
      <c r="KA8" s="552"/>
      <c r="KB8" s="552"/>
      <c r="KC8" s="552"/>
      <c r="KD8" s="552"/>
      <c r="KE8" s="552"/>
      <c r="KF8" s="552"/>
      <c r="KG8" s="552"/>
      <c r="KH8" s="552"/>
      <c r="KI8" s="552"/>
      <c r="KJ8" s="552"/>
      <c r="KK8" s="552"/>
      <c r="KL8" s="552"/>
      <c r="KM8" s="552"/>
      <c r="KN8" s="552"/>
      <c r="KO8" s="552"/>
      <c r="KP8" s="552"/>
      <c r="KQ8" s="552"/>
      <c r="KR8" s="155"/>
      <c r="KS8" s="155"/>
      <c r="KT8" s="552"/>
      <c r="KU8" s="552"/>
      <c r="KV8" s="1120"/>
      <c r="KW8" s="1120"/>
      <c r="KX8" s="1120"/>
      <c r="KY8" s="1120"/>
      <c r="KZ8" s="1120"/>
      <c r="LA8" s="1120"/>
      <c r="LB8" s="1120"/>
      <c r="LC8" s="1120"/>
      <c r="LD8" s="1120"/>
      <c r="LE8" s="1120"/>
      <c r="LF8" s="1120"/>
      <c r="LG8" s="1120"/>
      <c r="LH8" s="1120"/>
      <c r="LI8" s="1120"/>
      <c r="LJ8" s="1120"/>
      <c r="LK8" s="1120"/>
      <c r="LL8" s="1120"/>
      <c r="LM8" s="1120"/>
      <c r="LN8" s="1120"/>
      <c r="LO8" s="1120"/>
      <c r="LP8" s="1120"/>
      <c r="LQ8" s="1120"/>
      <c r="LR8" s="1120"/>
      <c r="LS8" s="1120"/>
      <c r="LT8" s="1120"/>
      <c r="LV8" s="1122"/>
      <c r="LW8" s="1122"/>
      <c r="LX8" s="1122"/>
      <c r="LY8" s="1122"/>
      <c r="MA8" s="1122"/>
      <c r="MB8" s="1122"/>
      <c r="MC8" s="1122"/>
      <c r="MD8" s="1122"/>
      <c r="ME8" s="1122"/>
      <c r="MF8" s="1122"/>
      <c r="MG8" s="1122"/>
      <c r="MH8" s="1122"/>
      <c r="MI8" s="1122"/>
      <c r="MK8" s="1122"/>
      <c r="ML8" s="1122"/>
      <c r="MM8" s="1122"/>
      <c r="MN8" s="1122"/>
      <c r="MO8" s="1122"/>
      <c r="MQ8" s="1122"/>
      <c r="MR8" s="1122"/>
      <c r="MS8" s="1122"/>
      <c r="MT8" s="1122"/>
      <c r="MU8" s="1122"/>
      <c r="MV8" s="1122"/>
      <c r="MW8" s="1122"/>
      <c r="MX8" s="1122"/>
      <c r="MY8" s="1122"/>
      <c r="MZ8" s="1122"/>
      <c r="NA8" s="1122"/>
      <c r="NB8" s="1122"/>
      <c r="NC8" s="1122"/>
      <c r="ND8" s="1122"/>
      <c r="NE8" s="1122"/>
      <c r="NF8" s="1122"/>
      <c r="NG8" s="1122"/>
      <c r="NH8" s="1122"/>
      <c r="NI8" s="1122"/>
      <c r="NJ8" s="1122"/>
      <c r="NK8" s="1122"/>
      <c r="NL8" s="1122"/>
      <c r="NM8" s="1122"/>
      <c r="NN8" s="1122"/>
      <c r="NP8" s="155"/>
      <c r="NQ8" s="155"/>
      <c r="QN8" s="155"/>
      <c r="QO8" s="155"/>
      <c r="TL8" s="155"/>
    </row>
    <row r="9" spans="1:532" ht="6.75" customHeight="1" x14ac:dyDescent="0.25">
      <c r="A9" s="155"/>
      <c r="B9" s="512"/>
      <c r="C9" s="1155" t="str">
        <f>MainClass&amp;IF(Multiclass1&lt;&gt;"","/"&amp;Multiclass1,"")&amp;IF(Multiclass2&lt;&gt;"","/"&amp;Multiclass2,"")&amp;IF(Multiclass3&lt;&gt;"","/"&amp;Multiclass3,"")&amp;IF(Multiclass4&lt;&gt;"","/"&amp;Multiclass4,"")&amp;IF(Multiclass5&lt;&gt;"","/"&amp;Multiclass5,"")&amp;" "</f>
        <v xml:space="preserve">Fighter/Wizard </v>
      </c>
      <c r="D9" s="1155"/>
      <c r="E9" s="1155"/>
      <c r="F9" s="1155"/>
      <c r="G9" s="1155"/>
      <c r="H9" s="1155"/>
      <c r="I9" s="1155"/>
      <c r="J9" s="1155"/>
      <c r="K9" s="1155"/>
      <c r="L9" s="1155"/>
      <c r="M9" s="1155"/>
      <c r="N9" s="1155"/>
      <c r="O9" s="1155"/>
      <c r="P9" s="1155"/>
      <c r="Q9" s="1155"/>
      <c r="R9" s="1155"/>
      <c r="S9" s="1155"/>
      <c r="T9" s="1155"/>
      <c r="U9" s="1155"/>
      <c r="V9" s="1155"/>
      <c r="W9" s="1155"/>
      <c r="X9" s="1155"/>
      <c r="Y9" s="1155"/>
      <c r="Z9" s="1155"/>
      <c r="AA9" s="1155"/>
      <c r="AB9" s="1155"/>
      <c r="AC9" s="1155"/>
      <c r="AD9" s="1155" t="str">
        <f>MainClassLevel&amp;IF(MultiClass1Level&lt;&gt;"","/"&amp;MultiClass1Level,"")&amp;IF(MultiClass2Level&lt;&gt;"","/"&amp;MultiClass2Level,"")&amp;IF(MultiClass3Level&lt;&gt;"","/"&amp;MultiClass3Level,"")&amp;IF(MultiClass4Level&lt;&gt;"","/"&amp;MultiClass4Level,"")&amp;IF(MultiClass5Level&lt;&gt;"","/"&amp;MultiClass5Level,"")</f>
        <v>12/8</v>
      </c>
      <c r="AE9" s="1155"/>
      <c r="AF9" s="1155"/>
      <c r="AG9" s="1155"/>
      <c r="AH9" s="1155"/>
      <c r="AI9" s="1155"/>
      <c r="AJ9" s="1155"/>
      <c r="AK9" s="1155"/>
      <c r="AL9" s="1155"/>
      <c r="AM9" s="1155"/>
      <c r="AN9" s="1155"/>
      <c r="AO9" s="1155"/>
      <c r="AP9" s="1155"/>
      <c r="AQ9" s="1155"/>
      <c r="AR9" s="1155"/>
      <c r="AS9" s="1155" t="str">
        <f>Alignment</f>
        <v>Neutral</v>
      </c>
      <c r="AT9" s="1155"/>
      <c r="AU9" s="1155"/>
      <c r="AV9" s="1155"/>
      <c r="AW9" s="1155"/>
      <c r="AX9" s="1155"/>
      <c r="AY9" s="1155"/>
      <c r="AZ9" s="1155"/>
      <c r="BA9" s="1155"/>
      <c r="BB9" s="1155"/>
      <c r="BC9" s="1155"/>
      <c r="BD9" s="1155"/>
      <c r="BE9" s="1155"/>
      <c r="BF9" s="1155"/>
      <c r="BG9" s="1155"/>
      <c r="BH9" s="1155"/>
      <c r="BI9" s="1155"/>
      <c r="BJ9" s="1155"/>
      <c r="BK9" s="1155"/>
      <c r="BL9" s="1155"/>
      <c r="BM9" s="1155"/>
      <c r="BN9" s="1155"/>
      <c r="BO9" s="1155"/>
      <c r="BP9" s="1155"/>
      <c r="BQ9" s="1155"/>
      <c r="BR9" s="1155"/>
      <c r="BS9" s="1155"/>
      <c r="BT9" s="1155"/>
      <c r="BU9" s="1155"/>
      <c r="BV9" s="1155"/>
      <c r="BW9" s="513"/>
      <c r="BX9" s="155"/>
      <c r="BY9" s="155"/>
      <c r="BZ9" s="552"/>
      <c r="CA9" s="1158"/>
      <c r="CB9" s="1159"/>
      <c r="CC9" s="1159"/>
      <c r="CD9" s="1159"/>
      <c r="CE9" s="1159"/>
      <c r="CF9" s="1159"/>
      <c r="CG9" s="1159"/>
      <c r="CH9" s="1159"/>
      <c r="CI9" s="1159"/>
      <c r="CJ9" s="1159"/>
      <c r="CK9" s="1159"/>
      <c r="CL9" s="1159"/>
      <c r="CM9" s="1159"/>
      <c r="CN9" s="1159"/>
      <c r="CO9" s="1159"/>
      <c r="CP9" s="1159"/>
      <c r="CQ9" s="1159"/>
      <c r="CR9" s="1159"/>
      <c r="CS9" s="1159"/>
      <c r="CT9" s="1159"/>
      <c r="CU9" s="1159"/>
      <c r="CV9" s="1159"/>
      <c r="CW9" s="1159"/>
      <c r="CX9" s="1160"/>
      <c r="CZ9" s="1106"/>
      <c r="DA9" s="1107"/>
      <c r="DB9" s="1107"/>
      <c r="DC9" s="1107"/>
      <c r="DD9" s="1107"/>
      <c r="DE9" s="1107"/>
      <c r="DF9" s="1107"/>
      <c r="DG9" s="1107"/>
      <c r="DH9" s="1107"/>
      <c r="DI9" s="1107"/>
      <c r="DJ9" s="1107"/>
      <c r="DK9" s="1107"/>
      <c r="DL9" s="1107"/>
      <c r="DM9" s="1107"/>
      <c r="DN9" s="1107"/>
      <c r="DO9" s="1107"/>
      <c r="DP9" s="1107"/>
      <c r="DQ9" s="1107"/>
      <c r="DR9" s="1107"/>
      <c r="DS9" s="1107"/>
      <c r="DT9" s="1107"/>
      <c r="DU9" s="1107"/>
      <c r="DV9" s="1107"/>
      <c r="DW9" s="1108"/>
      <c r="DY9" s="1121"/>
      <c r="DZ9" s="1121"/>
      <c r="EA9" s="1121"/>
      <c r="EB9" s="1121"/>
      <c r="EC9" s="1121"/>
      <c r="ED9" s="1121"/>
      <c r="EE9" s="1121"/>
      <c r="EF9" s="1121"/>
      <c r="EG9" s="1121"/>
      <c r="EH9" s="1121"/>
      <c r="EI9" s="1121"/>
      <c r="EJ9" s="1121"/>
      <c r="EK9" s="1121"/>
      <c r="EL9" s="1121"/>
      <c r="EM9" s="1121"/>
      <c r="EN9" s="1121"/>
      <c r="EO9" s="1121"/>
      <c r="EP9" s="1121"/>
      <c r="EQ9" s="1121"/>
      <c r="ER9" s="1121"/>
      <c r="ES9" s="1121"/>
      <c r="ET9" s="1121"/>
      <c r="EU9" s="1121"/>
      <c r="EW9" s="155"/>
      <c r="EX9" s="552"/>
      <c r="EY9" s="1137"/>
      <c r="EZ9" s="1137"/>
      <c r="FA9" s="1137"/>
      <c r="FB9" s="1137"/>
      <c r="FC9" s="1137"/>
      <c r="FD9" s="1137"/>
      <c r="FE9" s="1137"/>
      <c r="FF9" s="1137"/>
      <c r="FG9" s="1137"/>
      <c r="FH9" s="552"/>
      <c r="FI9" s="1141"/>
      <c r="FJ9" s="1137"/>
      <c r="FK9" s="1137"/>
      <c r="FL9" s="1142"/>
      <c r="FM9" s="1141"/>
      <c r="FN9" s="1137"/>
      <c r="FO9" s="1137"/>
      <c r="FP9" s="1142"/>
      <c r="FQ9" s="1141"/>
      <c r="FR9" s="1137"/>
      <c r="FS9" s="1137"/>
      <c r="FT9" s="1142"/>
      <c r="FU9" s="1141"/>
      <c r="FV9" s="1137"/>
      <c r="FW9" s="1137"/>
      <c r="FX9" s="1142"/>
      <c r="FY9" s="1141"/>
      <c r="FZ9" s="1137"/>
      <c r="GA9" s="1137"/>
      <c r="GB9" s="1142"/>
      <c r="GC9" s="1141"/>
      <c r="GD9" s="1137"/>
      <c r="GE9" s="1137"/>
      <c r="GF9" s="1142"/>
      <c r="GG9" s="1141"/>
      <c r="GH9" s="1137"/>
      <c r="GI9" s="1137"/>
      <c r="GJ9" s="1142"/>
      <c r="GK9" s="1141"/>
      <c r="GL9" s="1137"/>
      <c r="GM9" s="1137"/>
      <c r="GN9" s="1142"/>
      <c r="GO9" s="1141"/>
      <c r="GP9" s="1137"/>
      <c r="GQ9" s="1137"/>
      <c r="GR9" s="1142"/>
      <c r="GS9" s="552"/>
      <c r="GT9" s="552"/>
      <c r="GU9" s="552"/>
      <c r="GV9" s="552"/>
      <c r="GX9" s="1137"/>
      <c r="GY9" s="1137"/>
      <c r="GZ9" s="1137"/>
      <c r="HA9" s="1137"/>
      <c r="HB9" s="1137"/>
      <c r="HC9" s="1137"/>
      <c r="HD9" s="1137"/>
      <c r="HE9" s="1137"/>
      <c r="HF9" s="1137"/>
      <c r="HG9" s="1151"/>
      <c r="HH9" s="1120"/>
      <c r="HI9" s="1120"/>
      <c r="HJ9" s="1152"/>
      <c r="HK9" s="1151"/>
      <c r="HL9" s="1120"/>
      <c r="HM9" s="1120"/>
      <c r="HN9" s="1152"/>
      <c r="HO9" s="1151"/>
      <c r="HP9" s="1120"/>
      <c r="HQ9" s="1120"/>
      <c r="HR9" s="1152"/>
      <c r="HS9" s="552"/>
      <c r="HT9" s="155"/>
      <c r="HU9" s="155"/>
      <c r="HV9" s="552"/>
      <c r="HW9" s="552"/>
      <c r="HX9" s="552"/>
      <c r="HY9" s="552"/>
      <c r="HZ9" s="552"/>
      <c r="IA9" s="552"/>
      <c r="IB9" s="552"/>
      <c r="IC9" s="552"/>
      <c r="ID9" s="552"/>
      <c r="IE9" s="552"/>
      <c r="IF9" s="552"/>
      <c r="IG9" s="552"/>
      <c r="IH9" s="552"/>
      <c r="II9" s="552"/>
      <c r="IJ9" s="552"/>
      <c r="IK9" s="552"/>
      <c r="IL9" s="552"/>
      <c r="IM9" s="552"/>
      <c r="IN9" s="552"/>
      <c r="IO9" s="552"/>
      <c r="IP9" s="552"/>
      <c r="IQ9" s="552"/>
      <c r="IR9" s="552"/>
      <c r="IS9" s="552"/>
      <c r="IT9" s="552"/>
      <c r="IU9" s="552"/>
      <c r="IV9" s="552"/>
      <c r="IW9" s="552"/>
      <c r="IX9" s="552"/>
      <c r="IY9" s="552"/>
      <c r="IZ9" s="552"/>
      <c r="JA9" s="552"/>
      <c r="JB9" s="552"/>
      <c r="JC9" s="552"/>
      <c r="JD9" s="552"/>
      <c r="JE9" s="552"/>
      <c r="JF9" s="552"/>
      <c r="JG9" s="552"/>
      <c r="JH9" s="552"/>
      <c r="JI9" s="552"/>
      <c r="JJ9" s="552"/>
      <c r="JK9" s="552"/>
      <c r="JL9" s="552"/>
      <c r="JM9" s="552"/>
      <c r="JN9" s="552"/>
      <c r="JO9" s="552"/>
      <c r="JP9" s="552"/>
      <c r="JQ9" s="552"/>
      <c r="JR9" s="552"/>
      <c r="JS9" s="552"/>
      <c r="JT9" s="552"/>
      <c r="JU9" s="552"/>
      <c r="JV9" s="552"/>
      <c r="JW9" s="552"/>
      <c r="JX9" s="552"/>
      <c r="JY9" s="552"/>
      <c r="JZ9" s="552"/>
      <c r="KA9" s="552"/>
      <c r="KB9" s="552"/>
      <c r="KC9" s="552"/>
      <c r="KD9" s="552"/>
      <c r="KE9" s="552"/>
      <c r="KF9" s="552"/>
      <c r="KG9" s="552"/>
      <c r="KH9" s="552"/>
      <c r="KI9" s="552"/>
      <c r="KJ9" s="552"/>
      <c r="KK9" s="552"/>
      <c r="KL9" s="552"/>
      <c r="KM9" s="552"/>
      <c r="KN9" s="552"/>
      <c r="KO9" s="552"/>
      <c r="KP9" s="552"/>
      <c r="KQ9" s="552"/>
      <c r="KR9" s="155"/>
      <c r="KS9" s="155"/>
      <c r="KT9" s="552"/>
      <c r="KU9" s="552"/>
      <c r="KV9" s="1121"/>
      <c r="KW9" s="1121"/>
      <c r="KX9" s="1121"/>
      <c r="KY9" s="1121"/>
      <c r="KZ9" s="1121"/>
      <c r="LA9" s="1121"/>
      <c r="LB9" s="1121"/>
      <c r="LC9" s="1121"/>
      <c r="LD9" s="1121"/>
      <c r="LE9" s="1121"/>
      <c r="LF9" s="1121"/>
      <c r="LG9" s="1121"/>
      <c r="LH9" s="1121"/>
      <c r="LI9" s="1121"/>
      <c r="LJ9" s="1121"/>
      <c r="LK9" s="1121"/>
      <c r="LL9" s="1121"/>
      <c r="LM9" s="1121"/>
      <c r="LN9" s="1121"/>
      <c r="LO9" s="1121"/>
      <c r="LP9" s="1121"/>
      <c r="LQ9" s="1121"/>
      <c r="LR9" s="1121"/>
      <c r="LS9" s="1121"/>
      <c r="LT9" s="1121"/>
      <c r="LV9" s="1123"/>
      <c r="LW9" s="1123"/>
      <c r="LX9" s="1123"/>
      <c r="LY9" s="1123"/>
      <c r="MA9" s="1123"/>
      <c r="MB9" s="1123"/>
      <c r="MC9" s="1123"/>
      <c r="MD9" s="1123"/>
      <c r="ME9" s="1123"/>
      <c r="MF9" s="1123"/>
      <c r="MG9" s="1123"/>
      <c r="MH9" s="1123"/>
      <c r="MI9" s="1123"/>
      <c r="MK9" s="1123"/>
      <c r="ML9" s="1123"/>
      <c r="MM9" s="1123"/>
      <c r="MN9" s="1123"/>
      <c r="MO9" s="1123"/>
      <c r="MQ9" s="1123"/>
      <c r="MR9" s="1123"/>
      <c r="MS9" s="1123"/>
      <c r="MT9" s="1123"/>
      <c r="MU9" s="1123"/>
      <c r="MV9" s="1123"/>
      <c r="MW9" s="1123"/>
      <c r="MX9" s="1123"/>
      <c r="MY9" s="1123"/>
      <c r="MZ9" s="1123"/>
      <c r="NA9" s="1123"/>
      <c r="NB9" s="1123"/>
      <c r="NC9" s="1123"/>
      <c r="ND9" s="1123"/>
      <c r="NE9" s="1123"/>
      <c r="NF9" s="1123"/>
      <c r="NG9" s="1123"/>
      <c r="NH9" s="1123"/>
      <c r="NI9" s="1123"/>
      <c r="NJ9" s="1123"/>
      <c r="NK9" s="1123"/>
      <c r="NL9" s="1123"/>
      <c r="NM9" s="1123"/>
      <c r="NN9" s="1123"/>
      <c r="NP9" s="155"/>
      <c r="NQ9" s="155"/>
      <c r="QN9" s="155"/>
      <c r="QO9" s="155"/>
      <c r="TL9" s="155"/>
    </row>
    <row r="10" spans="1:532" ht="6.75" customHeight="1" x14ac:dyDescent="0.25">
      <c r="A10" s="155"/>
      <c r="B10" s="512"/>
      <c r="C10" s="1155"/>
      <c r="D10" s="1155"/>
      <c r="E10" s="1155"/>
      <c r="F10" s="1155"/>
      <c r="G10" s="1155"/>
      <c r="H10" s="1155"/>
      <c r="I10" s="1155"/>
      <c r="J10" s="1155"/>
      <c r="K10" s="1155"/>
      <c r="L10" s="1155"/>
      <c r="M10" s="1155"/>
      <c r="N10" s="1155"/>
      <c r="O10" s="1155"/>
      <c r="P10" s="1155"/>
      <c r="Q10" s="1155"/>
      <c r="R10" s="1155"/>
      <c r="S10" s="1155"/>
      <c r="T10" s="1155"/>
      <c r="U10" s="1155"/>
      <c r="V10" s="1155"/>
      <c r="W10" s="1155"/>
      <c r="X10" s="1155"/>
      <c r="Y10" s="1155"/>
      <c r="Z10" s="1155"/>
      <c r="AA10" s="1155"/>
      <c r="AB10" s="1155"/>
      <c r="AC10" s="1155"/>
      <c r="AD10" s="1155"/>
      <c r="AE10" s="1155"/>
      <c r="AF10" s="1155"/>
      <c r="AG10" s="1155"/>
      <c r="AH10" s="1155"/>
      <c r="AI10" s="1155"/>
      <c r="AJ10" s="1155"/>
      <c r="AK10" s="1155"/>
      <c r="AL10" s="1155"/>
      <c r="AM10" s="1155"/>
      <c r="AN10" s="1155"/>
      <c r="AO10" s="1155"/>
      <c r="AP10" s="1155"/>
      <c r="AQ10" s="1155"/>
      <c r="AR10" s="1155"/>
      <c r="AS10" s="1155"/>
      <c r="AT10" s="1155"/>
      <c r="AU10" s="1155"/>
      <c r="AV10" s="1155"/>
      <c r="AW10" s="1155"/>
      <c r="AX10" s="1155"/>
      <c r="AY10" s="1155"/>
      <c r="AZ10" s="1155"/>
      <c r="BA10" s="1155"/>
      <c r="BB10" s="1155"/>
      <c r="BC10" s="1155"/>
      <c r="BD10" s="1155"/>
      <c r="BE10" s="1155"/>
      <c r="BF10" s="1155"/>
      <c r="BG10" s="1155"/>
      <c r="BH10" s="1155"/>
      <c r="BI10" s="1155"/>
      <c r="BJ10" s="1155"/>
      <c r="BK10" s="1155"/>
      <c r="BL10" s="1155"/>
      <c r="BM10" s="1155"/>
      <c r="BN10" s="1155"/>
      <c r="BO10" s="1155"/>
      <c r="BP10" s="1155"/>
      <c r="BQ10" s="1155"/>
      <c r="BR10" s="1155"/>
      <c r="BS10" s="1155"/>
      <c r="BT10" s="1155"/>
      <c r="BU10" s="1155"/>
      <c r="BV10" s="1155"/>
      <c r="BW10" s="513"/>
      <c r="BX10" s="155"/>
      <c r="BY10" s="155"/>
      <c r="BZ10" s="552"/>
      <c r="CA10" s="1158"/>
      <c r="CB10" s="1159"/>
      <c r="CC10" s="1159"/>
      <c r="CD10" s="1159"/>
      <c r="CE10" s="1159"/>
      <c r="CF10" s="1159"/>
      <c r="CG10" s="1159"/>
      <c r="CH10" s="1159"/>
      <c r="CI10" s="1159"/>
      <c r="CJ10" s="1159"/>
      <c r="CK10" s="1159"/>
      <c r="CL10" s="1159"/>
      <c r="CM10" s="1159"/>
      <c r="CN10" s="1159"/>
      <c r="CO10" s="1159"/>
      <c r="CP10" s="1159"/>
      <c r="CQ10" s="1159"/>
      <c r="CR10" s="1159"/>
      <c r="CS10" s="1159"/>
      <c r="CT10" s="1159"/>
      <c r="CU10" s="1159"/>
      <c r="CV10" s="1159"/>
      <c r="CW10" s="1159"/>
      <c r="CX10" s="1160"/>
      <c r="CZ10" s="1106"/>
      <c r="DA10" s="1107"/>
      <c r="DB10" s="1107"/>
      <c r="DC10" s="1107"/>
      <c r="DD10" s="1107"/>
      <c r="DE10" s="1107"/>
      <c r="DF10" s="1107"/>
      <c r="DG10" s="1107"/>
      <c r="DH10" s="1107"/>
      <c r="DI10" s="1107"/>
      <c r="DJ10" s="1107"/>
      <c r="DK10" s="1107"/>
      <c r="DL10" s="1107"/>
      <c r="DM10" s="1107"/>
      <c r="DN10" s="1107"/>
      <c r="DO10" s="1107"/>
      <c r="DP10" s="1107"/>
      <c r="DQ10" s="1107"/>
      <c r="DR10" s="1107"/>
      <c r="DS10" s="1107"/>
      <c r="DT10" s="1107"/>
      <c r="DU10" s="1107"/>
      <c r="DV10" s="1107"/>
      <c r="DW10" s="1108"/>
      <c r="DY10" s="1120"/>
      <c r="DZ10" s="1120"/>
      <c r="EA10" s="1120"/>
      <c r="EB10" s="1120"/>
      <c r="EC10" s="1120"/>
      <c r="ED10" s="1120"/>
      <c r="EE10" s="1120"/>
      <c r="EF10" s="1120"/>
      <c r="EG10" s="1120"/>
      <c r="EH10" s="1120"/>
      <c r="EI10" s="1120"/>
      <c r="EJ10" s="1120"/>
      <c r="EK10" s="1120"/>
      <c r="EL10" s="1120"/>
      <c r="EM10" s="1120"/>
      <c r="EN10" s="1120"/>
      <c r="EO10" s="1120"/>
      <c r="EP10" s="1120"/>
      <c r="EQ10" s="1120"/>
      <c r="ER10" s="1120"/>
      <c r="ES10" s="1120"/>
      <c r="ET10" s="1120"/>
      <c r="EU10" s="1120"/>
      <c r="EW10" s="155"/>
      <c r="EX10" s="552"/>
      <c r="EY10" s="1137"/>
      <c r="EZ10" s="1137"/>
      <c r="FA10" s="1137"/>
      <c r="FB10" s="1137"/>
      <c r="FC10" s="1137"/>
      <c r="FD10" s="1137"/>
      <c r="FE10" s="1137"/>
      <c r="FF10" s="1137"/>
      <c r="FG10" s="1137"/>
      <c r="FH10" s="552"/>
      <c r="FI10" s="1143"/>
      <c r="FJ10" s="1144"/>
      <c r="FK10" s="1144"/>
      <c r="FL10" s="1145"/>
      <c r="FM10" s="1143"/>
      <c r="FN10" s="1144"/>
      <c r="FO10" s="1144"/>
      <c r="FP10" s="1145"/>
      <c r="FQ10" s="1143"/>
      <c r="FR10" s="1144"/>
      <c r="FS10" s="1144"/>
      <c r="FT10" s="1145"/>
      <c r="FU10" s="1143"/>
      <c r="FV10" s="1144"/>
      <c r="FW10" s="1144"/>
      <c r="FX10" s="1145"/>
      <c r="FY10" s="1143"/>
      <c r="FZ10" s="1144"/>
      <c r="GA10" s="1144"/>
      <c r="GB10" s="1145"/>
      <c r="GC10" s="1143"/>
      <c r="GD10" s="1144"/>
      <c r="GE10" s="1144"/>
      <c r="GF10" s="1145"/>
      <c r="GG10" s="1143"/>
      <c r="GH10" s="1144"/>
      <c r="GI10" s="1144"/>
      <c r="GJ10" s="1145"/>
      <c r="GK10" s="1143"/>
      <c r="GL10" s="1144"/>
      <c r="GM10" s="1144"/>
      <c r="GN10" s="1145"/>
      <c r="GO10" s="1143"/>
      <c r="GP10" s="1144"/>
      <c r="GQ10" s="1144"/>
      <c r="GR10" s="1145"/>
      <c r="GS10" s="552"/>
      <c r="GT10" s="552"/>
      <c r="GU10" s="552"/>
      <c r="GV10" s="552"/>
      <c r="GX10" s="1137"/>
      <c r="GY10" s="1137"/>
      <c r="GZ10" s="1137"/>
      <c r="HA10" s="1137"/>
      <c r="HB10" s="1137"/>
      <c r="HC10" s="1137"/>
      <c r="HD10" s="1137"/>
      <c r="HE10" s="1137"/>
      <c r="HF10" s="1137"/>
      <c r="HG10" s="1153"/>
      <c r="HH10" s="1121"/>
      <c r="HI10" s="1121"/>
      <c r="HJ10" s="1154"/>
      <c r="HK10" s="1153"/>
      <c r="HL10" s="1121"/>
      <c r="HM10" s="1121"/>
      <c r="HN10" s="1154"/>
      <c r="HO10" s="1153"/>
      <c r="HP10" s="1121"/>
      <c r="HQ10" s="1121"/>
      <c r="HR10" s="1154"/>
      <c r="HS10" s="552"/>
      <c r="HT10" s="155"/>
      <c r="HU10" s="155"/>
      <c r="HV10" s="552"/>
      <c r="HW10" s="552"/>
      <c r="HX10" s="552"/>
      <c r="HY10" s="552"/>
      <c r="HZ10" s="552"/>
      <c r="IA10" s="552"/>
      <c r="IB10" s="552"/>
      <c r="IC10" s="552"/>
      <c r="ID10" s="552"/>
      <c r="IE10" s="552"/>
      <c r="IF10" s="552"/>
      <c r="IG10" s="552"/>
      <c r="IH10" s="552"/>
      <c r="II10" s="552"/>
      <c r="IJ10" s="552"/>
      <c r="IK10" s="552"/>
      <c r="IL10" s="552"/>
      <c r="IM10" s="552"/>
      <c r="IN10" s="552"/>
      <c r="IO10" s="552"/>
      <c r="IP10" s="552"/>
      <c r="IQ10" s="552"/>
      <c r="IR10" s="552"/>
      <c r="IS10" s="552"/>
      <c r="IT10" s="552"/>
      <c r="IU10" s="552"/>
      <c r="IV10" s="552"/>
      <c r="IW10" s="552"/>
      <c r="IX10" s="552"/>
      <c r="IY10" s="552"/>
      <c r="IZ10" s="552"/>
      <c r="JA10" s="552"/>
      <c r="JB10" s="552"/>
      <c r="JC10" s="552"/>
      <c r="JD10" s="552"/>
      <c r="JE10" s="552"/>
      <c r="JF10" s="552"/>
      <c r="JG10" s="552"/>
      <c r="JH10" s="552"/>
      <c r="JI10" s="552"/>
      <c r="JJ10" s="552"/>
      <c r="JK10" s="552"/>
      <c r="JL10" s="552"/>
      <c r="JM10" s="552"/>
      <c r="JN10" s="552"/>
      <c r="JO10" s="552"/>
      <c r="JP10" s="552"/>
      <c r="JQ10" s="552"/>
      <c r="JR10" s="552"/>
      <c r="JS10" s="552"/>
      <c r="JT10" s="552"/>
      <c r="JU10" s="552"/>
      <c r="JV10" s="552"/>
      <c r="JW10" s="552"/>
      <c r="JX10" s="552"/>
      <c r="JY10" s="552"/>
      <c r="JZ10" s="552"/>
      <c r="KA10" s="552"/>
      <c r="KB10" s="552"/>
      <c r="KC10" s="552"/>
      <c r="KD10" s="552"/>
      <c r="KE10" s="552"/>
      <c r="KF10" s="552"/>
      <c r="KG10" s="552"/>
      <c r="KH10" s="552"/>
      <c r="KI10" s="552"/>
      <c r="KJ10" s="552"/>
      <c r="KK10" s="552"/>
      <c r="KL10" s="552"/>
      <c r="KM10" s="552"/>
      <c r="KN10" s="552"/>
      <c r="KO10" s="552"/>
      <c r="KP10" s="552"/>
      <c r="KQ10" s="552"/>
      <c r="KR10" s="155"/>
      <c r="KS10" s="155"/>
      <c r="KT10" s="552"/>
      <c r="KU10" s="552"/>
      <c r="KV10" s="1120"/>
      <c r="KW10" s="1120"/>
      <c r="KX10" s="1120"/>
      <c r="KY10" s="1120"/>
      <c r="KZ10" s="1120"/>
      <c r="LA10" s="1120"/>
      <c r="LB10" s="1120"/>
      <c r="LC10" s="1120"/>
      <c r="LD10" s="1120"/>
      <c r="LE10" s="1120"/>
      <c r="LF10" s="1120"/>
      <c r="LG10" s="1120"/>
      <c r="LH10" s="1120"/>
      <c r="LI10" s="1120"/>
      <c r="LJ10" s="1120"/>
      <c r="LK10" s="1120"/>
      <c r="LL10" s="1120"/>
      <c r="LM10" s="1120"/>
      <c r="LN10" s="1120"/>
      <c r="LO10" s="1120"/>
      <c r="LP10" s="1120"/>
      <c r="LQ10" s="1120"/>
      <c r="LR10" s="1120"/>
      <c r="LS10" s="1120"/>
      <c r="LT10" s="1120"/>
      <c r="LV10" s="1122"/>
      <c r="LW10" s="1122"/>
      <c r="LX10" s="1122"/>
      <c r="LY10" s="1122"/>
      <c r="MA10" s="1122"/>
      <c r="MB10" s="1122"/>
      <c r="MC10" s="1122"/>
      <c r="MD10" s="1122"/>
      <c r="ME10" s="1122"/>
      <c r="MF10" s="1122"/>
      <c r="MG10" s="1122"/>
      <c r="MH10" s="1122"/>
      <c r="MI10" s="1122"/>
      <c r="MK10" s="1122"/>
      <c r="ML10" s="1122"/>
      <c r="MM10" s="1122"/>
      <c r="MN10" s="1122"/>
      <c r="MO10" s="1122"/>
      <c r="MQ10" s="1122"/>
      <c r="MR10" s="1122"/>
      <c r="MS10" s="1122"/>
      <c r="MT10" s="1122"/>
      <c r="MU10" s="1122"/>
      <c r="MV10" s="1122"/>
      <c r="MW10" s="1122"/>
      <c r="MX10" s="1122"/>
      <c r="MY10" s="1122"/>
      <c r="MZ10" s="1122"/>
      <c r="NA10" s="1122"/>
      <c r="NB10" s="1122"/>
      <c r="NC10" s="1122"/>
      <c r="ND10" s="1122"/>
      <c r="NE10" s="1122"/>
      <c r="NF10" s="1122"/>
      <c r="NG10" s="1122"/>
      <c r="NH10" s="1122"/>
      <c r="NI10" s="1122"/>
      <c r="NJ10" s="1122"/>
      <c r="NK10" s="1122"/>
      <c r="NL10" s="1122"/>
      <c r="NM10" s="1122"/>
      <c r="NN10" s="1122"/>
      <c r="NP10" s="155"/>
      <c r="NQ10" s="155"/>
      <c r="QN10" s="155"/>
      <c r="QO10" s="155"/>
      <c r="TL10" s="155"/>
    </row>
    <row r="11" spans="1:532" ht="6.75" customHeight="1" thickBot="1" x14ac:dyDescent="0.3">
      <c r="A11" s="155"/>
      <c r="B11" s="512"/>
      <c r="C11" s="1156"/>
      <c r="D11" s="1156"/>
      <c r="E11" s="1156"/>
      <c r="F11" s="1156"/>
      <c r="G11" s="1156"/>
      <c r="H11" s="1156"/>
      <c r="I11" s="1156"/>
      <c r="J11" s="1156"/>
      <c r="K11" s="1156"/>
      <c r="L11" s="1156"/>
      <c r="M11" s="1156"/>
      <c r="N11" s="1156"/>
      <c r="O11" s="1156"/>
      <c r="P11" s="1156"/>
      <c r="Q11" s="1156"/>
      <c r="R11" s="1156"/>
      <c r="S11" s="1156"/>
      <c r="T11" s="1156"/>
      <c r="U11" s="1156"/>
      <c r="V11" s="1156"/>
      <c r="W11" s="1156"/>
      <c r="X11" s="1156"/>
      <c r="Y11" s="1156"/>
      <c r="Z11" s="1156"/>
      <c r="AA11" s="1156"/>
      <c r="AB11" s="1156"/>
      <c r="AC11" s="1156"/>
      <c r="AD11" s="1155"/>
      <c r="AE11" s="1155"/>
      <c r="AF11" s="1155"/>
      <c r="AG11" s="1155"/>
      <c r="AH11" s="1155"/>
      <c r="AI11" s="1155"/>
      <c r="AJ11" s="1155"/>
      <c r="AK11" s="1155"/>
      <c r="AL11" s="1155"/>
      <c r="AM11" s="1155"/>
      <c r="AN11" s="1155"/>
      <c r="AO11" s="1155"/>
      <c r="AP11" s="1155"/>
      <c r="AQ11" s="1155"/>
      <c r="AR11" s="1155"/>
      <c r="AS11" s="1155"/>
      <c r="AT11" s="1155"/>
      <c r="AU11" s="1155"/>
      <c r="AV11" s="1155"/>
      <c r="AW11" s="1155"/>
      <c r="AX11" s="1155"/>
      <c r="AY11" s="1155"/>
      <c r="AZ11" s="1155"/>
      <c r="BA11" s="1155"/>
      <c r="BB11" s="1155"/>
      <c r="BC11" s="1155"/>
      <c r="BD11" s="1155"/>
      <c r="BE11" s="1155"/>
      <c r="BF11" s="1155"/>
      <c r="BG11" s="1155"/>
      <c r="BH11" s="1155"/>
      <c r="BI11" s="1155"/>
      <c r="BJ11" s="1155"/>
      <c r="BK11" s="1155"/>
      <c r="BL11" s="1155"/>
      <c r="BM11" s="1155"/>
      <c r="BN11" s="1155"/>
      <c r="BO11" s="1155"/>
      <c r="BP11" s="1155"/>
      <c r="BQ11" s="1155"/>
      <c r="BR11" s="1155"/>
      <c r="BS11" s="1155"/>
      <c r="BT11" s="1155"/>
      <c r="BU11" s="1155"/>
      <c r="BV11" s="1155"/>
      <c r="BW11" s="513"/>
      <c r="BX11" s="155"/>
      <c r="BY11" s="155"/>
      <c r="BZ11" s="552"/>
      <c r="CA11" s="1158"/>
      <c r="CB11" s="1159"/>
      <c r="CC11" s="1159"/>
      <c r="CD11" s="1159"/>
      <c r="CE11" s="1159"/>
      <c r="CF11" s="1159"/>
      <c r="CG11" s="1159"/>
      <c r="CH11" s="1159"/>
      <c r="CI11" s="1159"/>
      <c r="CJ11" s="1159"/>
      <c r="CK11" s="1159"/>
      <c r="CL11" s="1159"/>
      <c r="CM11" s="1159"/>
      <c r="CN11" s="1159"/>
      <c r="CO11" s="1159"/>
      <c r="CP11" s="1159"/>
      <c r="CQ11" s="1159"/>
      <c r="CR11" s="1159"/>
      <c r="CS11" s="1159"/>
      <c r="CT11" s="1159"/>
      <c r="CU11" s="1159"/>
      <c r="CV11" s="1159"/>
      <c r="CW11" s="1159"/>
      <c r="CX11" s="1160"/>
      <c r="CZ11" s="1106"/>
      <c r="DA11" s="1107"/>
      <c r="DB11" s="1107"/>
      <c r="DC11" s="1107"/>
      <c r="DD11" s="1107"/>
      <c r="DE11" s="1107"/>
      <c r="DF11" s="1107"/>
      <c r="DG11" s="1107"/>
      <c r="DH11" s="1107"/>
      <c r="DI11" s="1107"/>
      <c r="DJ11" s="1107"/>
      <c r="DK11" s="1107"/>
      <c r="DL11" s="1107"/>
      <c r="DM11" s="1107"/>
      <c r="DN11" s="1107"/>
      <c r="DO11" s="1107"/>
      <c r="DP11" s="1107"/>
      <c r="DQ11" s="1107"/>
      <c r="DR11" s="1107"/>
      <c r="DS11" s="1107"/>
      <c r="DT11" s="1107"/>
      <c r="DU11" s="1107"/>
      <c r="DV11" s="1107"/>
      <c r="DW11" s="1108"/>
      <c r="DY11" s="1121"/>
      <c r="DZ11" s="1121"/>
      <c r="EA11" s="1121"/>
      <c r="EB11" s="1121"/>
      <c r="EC11" s="1121"/>
      <c r="ED11" s="1121"/>
      <c r="EE11" s="1121"/>
      <c r="EF11" s="1121"/>
      <c r="EG11" s="1121"/>
      <c r="EH11" s="1121"/>
      <c r="EI11" s="1121"/>
      <c r="EJ11" s="1121"/>
      <c r="EK11" s="1121"/>
      <c r="EL11" s="1121"/>
      <c r="EM11" s="1121"/>
      <c r="EN11" s="1121"/>
      <c r="EO11" s="1121"/>
      <c r="EP11" s="1121"/>
      <c r="EQ11" s="1121"/>
      <c r="ER11" s="1121"/>
      <c r="ES11" s="1121"/>
      <c r="ET11" s="1121"/>
      <c r="EU11" s="1121"/>
      <c r="EW11" s="155"/>
      <c r="EX11" s="552"/>
      <c r="EY11" s="552"/>
      <c r="EZ11" s="552"/>
      <c r="FA11" s="552"/>
      <c r="FB11" s="552"/>
      <c r="FC11" s="552"/>
      <c r="FD11" s="552"/>
      <c r="FE11" s="552"/>
      <c r="FF11" s="552"/>
      <c r="FG11" s="552"/>
      <c r="FH11" s="552"/>
      <c r="GS11" s="552"/>
      <c r="GT11" s="552"/>
      <c r="GU11" s="552"/>
      <c r="GV11" s="552"/>
      <c r="HA11" s="552"/>
      <c r="HG11" s="552"/>
      <c r="HH11" s="552"/>
      <c r="HI11" s="552"/>
      <c r="HJ11" s="552"/>
      <c r="HK11" s="552"/>
      <c r="HL11" s="552"/>
      <c r="HM11" s="552"/>
      <c r="HN11" s="552"/>
      <c r="HO11" s="552"/>
      <c r="HS11" s="552"/>
      <c r="HT11" s="155"/>
      <c r="HU11" s="155"/>
      <c r="HV11" s="552"/>
      <c r="HW11" s="552"/>
      <c r="HX11" s="552"/>
      <c r="HY11" s="552"/>
      <c r="HZ11" s="552"/>
      <c r="IA11" s="552"/>
      <c r="IB11" s="552"/>
      <c r="IC11" s="552"/>
      <c r="ID11" s="552"/>
      <c r="IE11" s="552"/>
      <c r="IF11" s="552"/>
      <c r="IG11" s="552"/>
      <c r="IH11" s="552"/>
      <c r="II11" s="552"/>
      <c r="IJ11" s="552"/>
      <c r="IK11" s="552"/>
      <c r="IL11" s="552"/>
      <c r="IM11" s="552"/>
      <c r="IN11" s="552"/>
      <c r="IO11" s="552"/>
      <c r="IP11" s="552"/>
      <c r="IQ11" s="552"/>
      <c r="IR11" s="552"/>
      <c r="IS11" s="552"/>
      <c r="IT11" s="552"/>
      <c r="IU11" s="552"/>
      <c r="IV11" s="552"/>
      <c r="IW11" s="552"/>
      <c r="IX11" s="552"/>
      <c r="IY11" s="561"/>
      <c r="IZ11" s="561"/>
      <c r="JA11" s="561"/>
      <c r="JB11" s="561"/>
      <c r="JC11" s="560"/>
      <c r="JD11" s="560"/>
      <c r="JE11" s="560"/>
      <c r="JF11" s="560"/>
      <c r="JG11" s="560"/>
      <c r="JH11" s="507"/>
      <c r="JI11" s="507"/>
      <c r="JJ11" s="561"/>
      <c r="JK11" s="561"/>
      <c r="JL11" s="561"/>
      <c r="JM11" s="561"/>
      <c r="JN11" s="560"/>
      <c r="JO11" s="560"/>
      <c r="JP11" s="560"/>
      <c r="JQ11" s="560"/>
      <c r="JR11" s="560"/>
      <c r="JS11" s="507"/>
      <c r="JT11" s="507"/>
      <c r="JU11" s="561"/>
      <c r="JV11" s="561"/>
      <c r="JW11" s="561"/>
      <c r="JX11" s="561"/>
      <c r="JY11" s="560"/>
      <c r="JZ11" s="560"/>
      <c r="KA11" s="560"/>
      <c r="KB11" s="560"/>
      <c r="KC11" s="560"/>
      <c r="KD11" s="507"/>
      <c r="KE11" s="507"/>
      <c r="KH11" s="552"/>
      <c r="KI11" s="552"/>
      <c r="KJ11" s="552"/>
      <c r="KK11" s="552"/>
      <c r="KL11" s="552"/>
      <c r="KM11" s="552"/>
      <c r="KN11" s="552"/>
      <c r="KO11" s="552"/>
      <c r="KP11" s="552"/>
      <c r="KQ11" s="552"/>
      <c r="KR11" s="155"/>
      <c r="KS11" s="155"/>
      <c r="KT11" s="552"/>
      <c r="KU11" s="552"/>
      <c r="KV11" s="1121"/>
      <c r="KW11" s="1121"/>
      <c r="KX11" s="1121"/>
      <c r="KY11" s="1121"/>
      <c r="KZ11" s="1121"/>
      <c r="LA11" s="1121"/>
      <c r="LB11" s="1121"/>
      <c r="LC11" s="1121"/>
      <c r="LD11" s="1121"/>
      <c r="LE11" s="1121"/>
      <c r="LF11" s="1121"/>
      <c r="LG11" s="1121"/>
      <c r="LH11" s="1121"/>
      <c r="LI11" s="1121"/>
      <c r="LJ11" s="1121"/>
      <c r="LK11" s="1121"/>
      <c r="LL11" s="1121"/>
      <c r="LM11" s="1121"/>
      <c r="LN11" s="1121"/>
      <c r="LO11" s="1121"/>
      <c r="LP11" s="1121"/>
      <c r="LQ11" s="1121"/>
      <c r="LR11" s="1121"/>
      <c r="LS11" s="1121"/>
      <c r="LT11" s="1121"/>
      <c r="LV11" s="1123"/>
      <c r="LW11" s="1123"/>
      <c r="LX11" s="1123"/>
      <c r="LY11" s="1123"/>
      <c r="MA11" s="1123"/>
      <c r="MB11" s="1123"/>
      <c r="MC11" s="1123"/>
      <c r="MD11" s="1123"/>
      <c r="ME11" s="1123"/>
      <c r="MF11" s="1123"/>
      <c r="MG11" s="1123"/>
      <c r="MH11" s="1123"/>
      <c r="MI11" s="1123"/>
      <c r="MK11" s="1123"/>
      <c r="ML11" s="1123"/>
      <c r="MM11" s="1123"/>
      <c r="MN11" s="1123"/>
      <c r="MO11" s="1123"/>
      <c r="MQ11" s="1123"/>
      <c r="MR11" s="1123"/>
      <c r="MS11" s="1123"/>
      <c r="MT11" s="1123"/>
      <c r="MU11" s="1123"/>
      <c r="MV11" s="1123"/>
      <c r="MW11" s="1123"/>
      <c r="MX11" s="1123"/>
      <c r="MY11" s="1123"/>
      <c r="MZ11" s="1123"/>
      <c r="NA11" s="1123"/>
      <c r="NB11" s="1123"/>
      <c r="NC11" s="1123"/>
      <c r="ND11" s="1123"/>
      <c r="NE11" s="1123"/>
      <c r="NF11" s="1123"/>
      <c r="NG11" s="1123"/>
      <c r="NH11" s="1123"/>
      <c r="NI11" s="1123"/>
      <c r="NJ11" s="1123"/>
      <c r="NK11" s="1123"/>
      <c r="NL11" s="1123"/>
      <c r="NM11" s="1123"/>
      <c r="NN11" s="1123"/>
      <c r="NP11" s="155"/>
      <c r="NQ11" s="155"/>
      <c r="QN11" s="155"/>
      <c r="QO11" s="155"/>
      <c r="TL11" s="155"/>
    </row>
    <row r="12" spans="1:532" ht="6.75" customHeight="1" x14ac:dyDescent="0.25">
      <c r="A12" s="155"/>
      <c r="B12" s="512"/>
      <c r="C12" s="507"/>
      <c r="D12" s="507"/>
      <c r="E12" s="1157" t="s">
        <v>60</v>
      </c>
      <c r="F12" s="1157"/>
      <c r="G12" s="1157"/>
      <c r="H12" s="1157"/>
      <c r="I12" s="1157"/>
      <c r="J12" s="1157"/>
      <c r="K12" s="1157"/>
      <c r="L12" s="1157"/>
      <c r="M12" s="1157"/>
      <c r="N12" s="1157"/>
      <c r="O12" s="1157"/>
      <c r="P12" s="1157"/>
      <c r="Q12" s="1157"/>
      <c r="R12" s="1157"/>
      <c r="S12" s="1157"/>
      <c r="T12" s="1157"/>
      <c r="U12" s="1157"/>
      <c r="V12" s="1157"/>
      <c r="W12" s="1157"/>
      <c r="X12" s="1157"/>
      <c r="Y12" s="1157"/>
      <c r="Z12" s="1157"/>
      <c r="AA12" s="1157"/>
      <c r="AB12" s="507"/>
      <c r="AC12" s="507"/>
      <c r="AD12" s="507"/>
      <c r="AE12" s="507"/>
      <c r="AF12" s="1157" t="s">
        <v>2346</v>
      </c>
      <c r="AG12" s="1157"/>
      <c r="AH12" s="1157"/>
      <c r="AI12" s="1157"/>
      <c r="AJ12" s="1157"/>
      <c r="AK12" s="1157"/>
      <c r="AL12" s="1157"/>
      <c r="AM12" s="1157"/>
      <c r="AN12" s="1157"/>
      <c r="AO12" s="1157"/>
      <c r="AP12" s="1157"/>
      <c r="AQ12" s="507"/>
      <c r="AR12" s="507"/>
      <c r="AS12" s="507"/>
      <c r="AT12" s="507"/>
      <c r="AU12" s="1157" t="s">
        <v>6221</v>
      </c>
      <c r="AV12" s="1157"/>
      <c r="AW12" s="1157"/>
      <c r="AX12" s="1157"/>
      <c r="AY12" s="1157"/>
      <c r="AZ12" s="1157"/>
      <c r="BA12" s="1157"/>
      <c r="BB12" s="1157"/>
      <c r="BC12" s="1157"/>
      <c r="BD12" s="1157"/>
      <c r="BE12" s="1157"/>
      <c r="BF12" s="507"/>
      <c r="BG12" s="507"/>
      <c r="BH12" s="507"/>
      <c r="BI12" s="507"/>
      <c r="BJ12" s="1157" t="s">
        <v>6260</v>
      </c>
      <c r="BK12" s="1157"/>
      <c r="BL12" s="1157"/>
      <c r="BM12" s="1157"/>
      <c r="BN12" s="1157"/>
      <c r="BO12" s="1157"/>
      <c r="BP12" s="1157"/>
      <c r="BQ12" s="1157"/>
      <c r="BR12" s="1157"/>
      <c r="BS12" s="1157"/>
      <c r="BT12" s="1157"/>
      <c r="BU12" s="507"/>
      <c r="BV12" s="507"/>
      <c r="BW12" s="513"/>
      <c r="BX12" s="155"/>
      <c r="BY12" s="155"/>
      <c r="BZ12" s="552"/>
      <c r="CA12" s="1158"/>
      <c r="CB12" s="1159"/>
      <c r="CC12" s="1159"/>
      <c r="CD12" s="1159"/>
      <c r="CE12" s="1159"/>
      <c r="CF12" s="1159"/>
      <c r="CG12" s="1159"/>
      <c r="CH12" s="1159"/>
      <c r="CI12" s="1159"/>
      <c r="CJ12" s="1159"/>
      <c r="CK12" s="1159"/>
      <c r="CL12" s="1159"/>
      <c r="CM12" s="1159"/>
      <c r="CN12" s="1159"/>
      <c r="CO12" s="1159"/>
      <c r="CP12" s="1159"/>
      <c r="CQ12" s="1159"/>
      <c r="CR12" s="1159"/>
      <c r="CS12" s="1159"/>
      <c r="CT12" s="1159"/>
      <c r="CU12" s="1159"/>
      <c r="CV12" s="1159"/>
      <c r="CW12" s="1159"/>
      <c r="CX12" s="1160"/>
      <c r="CZ12" s="1109" t="s">
        <v>6622</v>
      </c>
      <c r="DA12" s="1110"/>
      <c r="DB12" s="1110"/>
      <c r="DC12" s="1110"/>
      <c r="DD12" s="1110"/>
      <c r="DE12" s="1110"/>
      <c r="DF12" s="1110"/>
      <c r="DG12" s="1110"/>
      <c r="DH12" s="1110"/>
      <c r="DI12" s="1110"/>
      <c r="DJ12" s="1110"/>
      <c r="DK12" s="1110"/>
      <c r="DL12" s="1110"/>
      <c r="DM12" s="1110"/>
      <c r="DN12" s="1110"/>
      <c r="DO12" s="1110"/>
      <c r="DP12" s="1110"/>
      <c r="DQ12" s="1110"/>
      <c r="DR12" s="1110"/>
      <c r="DS12" s="1110"/>
      <c r="DT12" s="1110"/>
      <c r="DU12" s="1110"/>
      <c r="DV12" s="1110"/>
      <c r="DW12" s="1111"/>
      <c r="DY12" s="1120"/>
      <c r="DZ12" s="1120"/>
      <c r="EA12" s="1120"/>
      <c r="EB12" s="1120"/>
      <c r="EC12" s="1120"/>
      <c r="ED12" s="1120"/>
      <c r="EE12" s="1120"/>
      <c r="EF12" s="1120"/>
      <c r="EG12" s="1120"/>
      <c r="EH12" s="1120"/>
      <c r="EI12" s="1120"/>
      <c r="EJ12" s="1120"/>
      <c r="EK12" s="1120"/>
      <c r="EL12" s="1120"/>
      <c r="EM12" s="1120"/>
      <c r="EN12" s="1120"/>
      <c r="EO12" s="1120"/>
      <c r="EP12" s="1120"/>
      <c r="EQ12" s="1120"/>
      <c r="ER12" s="1120"/>
      <c r="ES12" s="1120"/>
      <c r="ET12" s="1120"/>
      <c r="EU12" s="1120"/>
      <c r="EW12" s="155"/>
      <c r="EX12" s="552"/>
      <c r="EY12" s="1137" t="s">
        <v>6525</v>
      </c>
      <c r="EZ12" s="1137"/>
      <c r="FA12" s="1137"/>
      <c r="FB12" s="1137"/>
      <c r="FC12" s="1137"/>
      <c r="FD12" s="1137"/>
      <c r="FE12" s="1137"/>
      <c r="FF12" s="1137"/>
      <c r="FG12" s="1137"/>
      <c r="FH12" s="552"/>
      <c r="FI12" s="1148"/>
      <c r="FJ12" s="1149"/>
      <c r="FK12" s="1149"/>
      <c r="FL12" s="1150"/>
      <c r="FM12" s="1148"/>
      <c r="FN12" s="1149"/>
      <c r="FO12" s="1149"/>
      <c r="FP12" s="1150"/>
      <c r="FQ12" s="1148"/>
      <c r="FR12" s="1149"/>
      <c r="FS12" s="1149"/>
      <c r="FT12" s="1150"/>
      <c r="FU12" s="1148"/>
      <c r="FV12" s="1149"/>
      <c r="FW12" s="1149"/>
      <c r="FX12" s="1150"/>
      <c r="FY12" s="1148"/>
      <c r="FZ12" s="1149"/>
      <c r="GA12" s="1149"/>
      <c r="GB12" s="1150"/>
      <c r="GC12" s="1148"/>
      <c r="GD12" s="1149"/>
      <c r="GE12" s="1149"/>
      <c r="GF12" s="1150"/>
      <c r="GG12" s="1148"/>
      <c r="GH12" s="1149"/>
      <c r="GI12" s="1149"/>
      <c r="GJ12" s="1150"/>
      <c r="GK12" s="1148"/>
      <c r="GL12" s="1149"/>
      <c r="GM12" s="1149"/>
      <c r="GN12" s="1150"/>
      <c r="GO12" s="1148"/>
      <c r="GP12" s="1149"/>
      <c r="GQ12" s="1149"/>
      <c r="GR12" s="1150"/>
      <c r="GS12" s="552"/>
      <c r="GT12" s="552"/>
      <c r="GU12" s="552"/>
      <c r="GV12" s="552"/>
      <c r="GX12" s="1137" t="s">
        <v>2336</v>
      </c>
      <c r="GY12" s="1137"/>
      <c r="GZ12" s="1137"/>
      <c r="HA12" s="1137"/>
      <c r="HB12" s="1137"/>
      <c r="HC12" s="1137"/>
      <c r="HD12" s="1137"/>
      <c r="HE12" s="1137"/>
      <c r="HF12" s="1137"/>
      <c r="HG12" s="552"/>
      <c r="HH12" s="552"/>
      <c r="HI12" s="552"/>
      <c r="HJ12" s="552"/>
      <c r="HK12" s="1148"/>
      <c r="HL12" s="1149"/>
      <c r="HM12" s="1149"/>
      <c r="HN12" s="1150"/>
      <c r="HS12" s="552"/>
      <c r="HT12" s="155"/>
      <c r="HU12" s="155"/>
      <c r="HV12" s="552"/>
      <c r="HW12" s="552"/>
      <c r="HX12" s="552"/>
      <c r="HY12" s="552"/>
      <c r="HZ12" s="552"/>
      <c r="IA12" s="552"/>
      <c r="IB12" s="552"/>
      <c r="IC12" s="552"/>
      <c r="ID12" s="552"/>
      <c r="IE12" s="552"/>
      <c r="IF12" s="552"/>
      <c r="IG12" s="552"/>
      <c r="IH12" s="552"/>
      <c r="II12" s="552"/>
      <c r="IJ12" s="552"/>
      <c r="IK12" s="552"/>
      <c r="IL12" s="552"/>
      <c r="IM12" s="552"/>
      <c r="IN12" s="552"/>
      <c r="IO12" s="552"/>
      <c r="IP12" s="552"/>
      <c r="IQ12" s="552"/>
      <c r="IR12" s="552"/>
      <c r="IS12" s="552"/>
      <c r="IT12" s="552"/>
      <c r="IU12" s="552"/>
      <c r="IV12" s="552"/>
      <c r="IW12" s="552"/>
      <c r="IX12" s="552"/>
      <c r="IY12" s="561"/>
      <c r="IZ12" s="561"/>
      <c r="JA12" s="561"/>
      <c r="JB12" s="561"/>
      <c r="JC12" s="560"/>
      <c r="JD12" s="560"/>
      <c r="JE12" s="560"/>
      <c r="JF12" s="560"/>
      <c r="JG12" s="560"/>
      <c r="JH12" s="559"/>
      <c r="JI12" s="559"/>
      <c r="JJ12" s="561"/>
      <c r="JK12" s="561"/>
      <c r="JL12" s="561"/>
      <c r="JM12" s="561"/>
      <c r="JN12" s="560"/>
      <c r="JO12" s="560"/>
      <c r="JP12" s="560"/>
      <c r="JQ12" s="560"/>
      <c r="JR12" s="560"/>
      <c r="JS12" s="559"/>
      <c r="JT12" s="559"/>
      <c r="JU12" s="561"/>
      <c r="JV12" s="561"/>
      <c r="JW12" s="561"/>
      <c r="JX12" s="561"/>
      <c r="JY12" s="560"/>
      <c r="JZ12" s="560"/>
      <c r="KA12" s="560"/>
      <c r="KB12" s="560"/>
      <c r="KC12" s="560"/>
      <c r="KD12" s="559"/>
      <c r="KE12" s="559"/>
      <c r="KH12" s="552"/>
      <c r="KI12" s="552"/>
      <c r="KJ12" s="552"/>
      <c r="KK12" s="552"/>
      <c r="KL12" s="552"/>
      <c r="KM12" s="552"/>
      <c r="KN12" s="552"/>
      <c r="KO12" s="552"/>
      <c r="KP12" s="552"/>
      <c r="KQ12" s="552"/>
      <c r="KR12" s="155"/>
      <c r="KS12" s="155"/>
      <c r="KT12" s="552"/>
      <c r="KU12" s="552"/>
      <c r="KV12" s="1120"/>
      <c r="KW12" s="1120"/>
      <c r="KX12" s="1120"/>
      <c r="KY12" s="1120"/>
      <c r="KZ12" s="1120"/>
      <c r="LA12" s="1120"/>
      <c r="LB12" s="1120"/>
      <c r="LC12" s="1120"/>
      <c r="LD12" s="1120"/>
      <c r="LE12" s="1120"/>
      <c r="LF12" s="1120"/>
      <c r="LG12" s="1120"/>
      <c r="LH12" s="1120"/>
      <c r="LI12" s="1120"/>
      <c r="LJ12" s="1120"/>
      <c r="LK12" s="1120"/>
      <c r="LL12" s="1120"/>
      <c r="LM12" s="1120"/>
      <c r="LN12" s="1120"/>
      <c r="LO12" s="1120"/>
      <c r="LP12" s="1120"/>
      <c r="LQ12" s="1120"/>
      <c r="LR12" s="1120"/>
      <c r="LS12" s="1120"/>
      <c r="LT12" s="1120"/>
      <c r="LV12" s="1122"/>
      <c r="LW12" s="1122"/>
      <c r="LX12" s="1122"/>
      <c r="LY12" s="1122"/>
      <c r="MA12" s="1122"/>
      <c r="MB12" s="1122"/>
      <c r="MC12" s="1122"/>
      <c r="MD12" s="1122"/>
      <c r="ME12" s="1122"/>
      <c r="MF12" s="1122"/>
      <c r="MG12" s="1122"/>
      <c r="MH12" s="1122"/>
      <c r="MI12" s="1122"/>
      <c r="MK12" s="1122"/>
      <c r="ML12" s="1122"/>
      <c r="MM12" s="1122"/>
      <c r="MN12" s="1122"/>
      <c r="MO12" s="1122"/>
      <c r="MQ12" s="1122"/>
      <c r="MR12" s="1122"/>
      <c r="MS12" s="1122"/>
      <c r="MT12" s="1122"/>
      <c r="MU12" s="1122"/>
      <c r="MV12" s="1122"/>
      <c r="MW12" s="1122"/>
      <c r="MX12" s="1122"/>
      <c r="MY12" s="1122"/>
      <c r="MZ12" s="1122"/>
      <c r="NA12" s="1122"/>
      <c r="NB12" s="1122"/>
      <c r="NC12" s="1122"/>
      <c r="ND12" s="1122"/>
      <c r="NE12" s="1122"/>
      <c r="NF12" s="1122"/>
      <c r="NG12" s="1122"/>
      <c r="NH12" s="1122"/>
      <c r="NI12" s="1122"/>
      <c r="NJ12" s="1122"/>
      <c r="NK12" s="1122"/>
      <c r="NL12" s="1122"/>
      <c r="NM12" s="1122"/>
      <c r="NN12" s="1122"/>
      <c r="NP12" s="155"/>
      <c r="NQ12" s="155"/>
      <c r="QN12" s="155"/>
      <c r="QO12" s="155"/>
      <c r="TL12" s="155"/>
    </row>
    <row r="13" spans="1:532" ht="6.75" customHeight="1" x14ac:dyDescent="0.25">
      <c r="A13" s="155"/>
      <c r="B13" s="512"/>
      <c r="C13" s="507"/>
      <c r="D13" s="507"/>
      <c r="E13" s="1157"/>
      <c r="F13" s="1157"/>
      <c r="G13" s="1157"/>
      <c r="H13" s="1157"/>
      <c r="I13" s="1157"/>
      <c r="J13" s="1157"/>
      <c r="K13" s="1157"/>
      <c r="L13" s="1157"/>
      <c r="M13" s="1157"/>
      <c r="N13" s="1157"/>
      <c r="O13" s="1157"/>
      <c r="P13" s="1157"/>
      <c r="Q13" s="1157"/>
      <c r="R13" s="1157"/>
      <c r="S13" s="1157"/>
      <c r="T13" s="1157"/>
      <c r="U13" s="1157"/>
      <c r="V13" s="1157"/>
      <c r="W13" s="1157"/>
      <c r="X13" s="1157"/>
      <c r="Y13" s="1157"/>
      <c r="Z13" s="1157"/>
      <c r="AA13" s="1157"/>
      <c r="AB13" s="507"/>
      <c r="AC13" s="507"/>
      <c r="AD13" s="507"/>
      <c r="AE13" s="507"/>
      <c r="AF13" s="1157"/>
      <c r="AG13" s="1157"/>
      <c r="AH13" s="1157"/>
      <c r="AI13" s="1157"/>
      <c r="AJ13" s="1157"/>
      <c r="AK13" s="1157"/>
      <c r="AL13" s="1157"/>
      <c r="AM13" s="1157"/>
      <c r="AN13" s="1157"/>
      <c r="AO13" s="1157"/>
      <c r="AP13" s="1157"/>
      <c r="AQ13" s="507"/>
      <c r="AR13" s="507"/>
      <c r="AS13" s="507"/>
      <c r="AT13" s="507"/>
      <c r="AU13" s="1157"/>
      <c r="AV13" s="1157"/>
      <c r="AW13" s="1157"/>
      <c r="AX13" s="1157"/>
      <c r="AY13" s="1157"/>
      <c r="AZ13" s="1157"/>
      <c r="BA13" s="1157"/>
      <c r="BB13" s="1157"/>
      <c r="BC13" s="1157"/>
      <c r="BD13" s="1157"/>
      <c r="BE13" s="1157"/>
      <c r="BF13" s="507"/>
      <c r="BG13" s="507"/>
      <c r="BH13" s="507"/>
      <c r="BI13" s="507"/>
      <c r="BJ13" s="1157"/>
      <c r="BK13" s="1157"/>
      <c r="BL13" s="1157"/>
      <c r="BM13" s="1157"/>
      <c r="BN13" s="1157"/>
      <c r="BO13" s="1157"/>
      <c r="BP13" s="1157"/>
      <c r="BQ13" s="1157"/>
      <c r="BR13" s="1157"/>
      <c r="BS13" s="1157"/>
      <c r="BT13" s="1157"/>
      <c r="BU13" s="507"/>
      <c r="BV13" s="507"/>
      <c r="BW13" s="513"/>
      <c r="BX13" s="155"/>
      <c r="BY13" s="155"/>
      <c r="BZ13" s="552"/>
      <c r="CA13" s="1158"/>
      <c r="CB13" s="1159"/>
      <c r="CC13" s="1159"/>
      <c r="CD13" s="1159"/>
      <c r="CE13" s="1159"/>
      <c r="CF13" s="1159"/>
      <c r="CG13" s="1159"/>
      <c r="CH13" s="1159"/>
      <c r="CI13" s="1159"/>
      <c r="CJ13" s="1159"/>
      <c r="CK13" s="1159"/>
      <c r="CL13" s="1159"/>
      <c r="CM13" s="1159"/>
      <c r="CN13" s="1159"/>
      <c r="CO13" s="1159"/>
      <c r="CP13" s="1159"/>
      <c r="CQ13" s="1159"/>
      <c r="CR13" s="1159"/>
      <c r="CS13" s="1159"/>
      <c r="CT13" s="1159"/>
      <c r="CU13" s="1159"/>
      <c r="CV13" s="1159"/>
      <c r="CW13" s="1159"/>
      <c r="CX13" s="1160"/>
      <c r="CZ13" s="1112"/>
      <c r="DA13" s="1113"/>
      <c r="DB13" s="1113"/>
      <c r="DC13" s="1113"/>
      <c r="DD13" s="1113"/>
      <c r="DE13" s="1113"/>
      <c r="DF13" s="1113"/>
      <c r="DG13" s="1113"/>
      <c r="DH13" s="1113"/>
      <c r="DI13" s="1113"/>
      <c r="DJ13" s="1113"/>
      <c r="DK13" s="1113"/>
      <c r="DL13" s="1113"/>
      <c r="DM13" s="1113"/>
      <c r="DN13" s="1113"/>
      <c r="DO13" s="1113"/>
      <c r="DP13" s="1113"/>
      <c r="DQ13" s="1113"/>
      <c r="DR13" s="1113"/>
      <c r="DS13" s="1113"/>
      <c r="DT13" s="1113"/>
      <c r="DU13" s="1113"/>
      <c r="DV13" s="1113"/>
      <c r="DW13" s="1114"/>
      <c r="DY13" s="1121"/>
      <c r="DZ13" s="1121"/>
      <c r="EA13" s="1121"/>
      <c r="EB13" s="1121"/>
      <c r="EC13" s="1121"/>
      <c r="ED13" s="1121"/>
      <c r="EE13" s="1121"/>
      <c r="EF13" s="1121"/>
      <c r="EG13" s="1121"/>
      <c r="EH13" s="1121"/>
      <c r="EI13" s="1121"/>
      <c r="EJ13" s="1121"/>
      <c r="EK13" s="1121"/>
      <c r="EL13" s="1121"/>
      <c r="EM13" s="1121"/>
      <c r="EN13" s="1121"/>
      <c r="EO13" s="1121"/>
      <c r="EP13" s="1121"/>
      <c r="EQ13" s="1121"/>
      <c r="ER13" s="1121"/>
      <c r="ES13" s="1121"/>
      <c r="ET13" s="1121"/>
      <c r="EU13" s="1121"/>
      <c r="EW13" s="155"/>
      <c r="EX13" s="552"/>
      <c r="EY13" s="1137"/>
      <c r="EZ13" s="1137"/>
      <c r="FA13" s="1137"/>
      <c r="FB13" s="1137"/>
      <c r="FC13" s="1137"/>
      <c r="FD13" s="1137"/>
      <c r="FE13" s="1137"/>
      <c r="FF13" s="1137"/>
      <c r="FG13" s="1137"/>
      <c r="FH13" s="552"/>
      <c r="FI13" s="1151"/>
      <c r="FJ13" s="1120"/>
      <c r="FK13" s="1120"/>
      <c r="FL13" s="1152"/>
      <c r="FM13" s="1151"/>
      <c r="FN13" s="1120"/>
      <c r="FO13" s="1120"/>
      <c r="FP13" s="1152"/>
      <c r="FQ13" s="1151"/>
      <c r="FR13" s="1120"/>
      <c r="FS13" s="1120"/>
      <c r="FT13" s="1152"/>
      <c r="FU13" s="1151"/>
      <c r="FV13" s="1120"/>
      <c r="FW13" s="1120"/>
      <c r="FX13" s="1152"/>
      <c r="FY13" s="1151"/>
      <c r="FZ13" s="1120"/>
      <c r="GA13" s="1120"/>
      <c r="GB13" s="1152"/>
      <c r="GC13" s="1151"/>
      <c r="GD13" s="1120"/>
      <c r="GE13" s="1120"/>
      <c r="GF13" s="1152"/>
      <c r="GG13" s="1151"/>
      <c r="GH13" s="1120"/>
      <c r="GI13" s="1120"/>
      <c r="GJ13" s="1152"/>
      <c r="GK13" s="1151"/>
      <c r="GL13" s="1120"/>
      <c r="GM13" s="1120"/>
      <c r="GN13" s="1152"/>
      <c r="GO13" s="1151"/>
      <c r="GP13" s="1120"/>
      <c r="GQ13" s="1120"/>
      <c r="GR13" s="1152"/>
      <c r="GS13" s="552"/>
      <c r="GT13" s="552"/>
      <c r="GU13" s="552"/>
      <c r="GV13" s="552"/>
      <c r="GX13" s="1137"/>
      <c r="GY13" s="1137"/>
      <c r="GZ13" s="1137"/>
      <c r="HA13" s="1137"/>
      <c r="HB13" s="1137"/>
      <c r="HC13" s="1137"/>
      <c r="HD13" s="1137"/>
      <c r="HE13" s="1137"/>
      <c r="HF13" s="1137"/>
      <c r="HG13" s="552"/>
      <c r="HH13" s="552"/>
      <c r="HI13" s="552"/>
      <c r="HJ13" s="552"/>
      <c r="HK13" s="1151"/>
      <c r="HL13" s="1120"/>
      <c r="HM13" s="1120"/>
      <c r="HN13" s="1152"/>
      <c r="HS13" s="552"/>
      <c r="HT13" s="155"/>
      <c r="HU13" s="155"/>
      <c r="HV13" s="552"/>
      <c r="HW13" s="552"/>
      <c r="HX13" s="552"/>
      <c r="HY13" s="552"/>
      <c r="HZ13" s="552"/>
      <c r="IA13" s="552"/>
      <c r="IB13" s="552"/>
      <c r="IC13" s="552"/>
      <c r="ID13" s="552"/>
      <c r="IE13" s="552"/>
      <c r="IF13" s="552"/>
      <c r="IG13" s="552"/>
      <c r="IH13" s="552"/>
      <c r="II13" s="552"/>
      <c r="IJ13" s="552"/>
      <c r="IK13" s="552"/>
      <c r="IL13" s="552"/>
      <c r="IM13" s="552"/>
      <c r="IN13" s="552"/>
      <c r="IO13" s="552"/>
      <c r="IP13" s="552"/>
      <c r="IQ13" s="552"/>
      <c r="IR13" s="552"/>
      <c r="IS13" s="552"/>
      <c r="IT13" s="552"/>
      <c r="IU13" s="552"/>
      <c r="IV13" s="552"/>
      <c r="IW13" s="552"/>
      <c r="IX13" s="552"/>
      <c r="IY13" s="561"/>
      <c r="IZ13" s="561"/>
      <c r="JA13" s="561"/>
      <c r="JB13" s="561"/>
      <c r="JC13" s="560"/>
      <c r="JD13" s="560"/>
      <c r="JE13" s="560"/>
      <c r="JF13" s="560"/>
      <c r="JG13" s="560"/>
      <c r="JH13" s="559"/>
      <c r="JI13" s="559"/>
      <c r="JJ13" s="561"/>
      <c r="JK13" s="561"/>
      <c r="JL13" s="561"/>
      <c r="JM13" s="561"/>
      <c r="JN13" s="560"/>
      <c r="JO13" s="560"/>
      <c r="JP13" s="560"/>
      <c r="JQ13" s="560"/>
      <c r="JR13" s="560"/>
      <c r="JS13" s="559"/>
      <c r="JT13" s="559"/>
      <c r="JU13" s="561"/>
      <c r="JV13" s="561"/>
      <c r="JW13" s="561"/>
      <c r="JX13" s="561"/>
      <c r="JY13" s="560"/>
      <c r="JZ13" s="560"/>
      <c r="KA13" s="560"/>
      <c r="KB13" s="560"/>
      <c r="KC13" s="560"/>
      <c r="KD13" s="559"/>
      <c r="KE13" s="559"/>
      <c r="KH13" s="552"/>
      <c r="KI13" s="552"/>
      <c r="KJ13" s="552"/>
      <c r="KK13" s="552"/>
      <c r="KL13" s="552"/>
      <c r="KM13" s="552"/>
      <c r="KN13" s="552"/>
      <c r="KO13" s="552"/>
      <c r="KP13" s="552"/>
      <c r="KQ13" s="552"/>
      <c r="KR13" s="155"/>
      <c r="KS13" s="155"/>
      <c r="KT13" s="552"/>
      <c r="KU13" s="552"/>
      <c r="KV13" s="1121"/>
      <c r="KW13" s="1121"/>
      <c r="KX13" s="1121"/>
      <c r="KY13" s="1121"/>
      <c r="KZ13" s="1121"/>
      <c r="LA13" s="1121"/>
      <c r="LB13" s="1121"/>
      <c r="LC13" s="1121"/>
      <c r="LD13" s="1121"/>
      <c r="LE13" s="1121"/>
      <c r="LF13" s="1121"/>
      <c r="LG13" s="1121"/>
      <c r="LH13" s="1121"/>
      <c r="LI13" s="1121"/>
      <c r="LJ13" s="1121"/>
      <c r="LK13" s="1121"/>
      <c r="LL13" s="1121"/>
      <c r="LM13" s="1121"/>
      <c r="LN13" s="1121"/>
      <c r="LO13" s="1121"/>
      <c r="LP13" s="1121"/>
      <c r="LQ13" s="1121"/>
      <c r="LR13" s="1121"/>
      <c r="LS13" s="1121"/>
      <c r="LT13" s="1121"/>
      <c r="LV13" s="1123"/>
      <c r="LW13" s="1123"/>
      <c r="LX13" s="1123"/>
      <c r="LY13" s="1123"/>
      <c r="MA13" s="1123"/>
      <c r="MB13" s="1123"/>
      <c r="MC13" s="1123"/>
      <c r="MD13" s="1123"/>
      <c r="ME13" s="1123"/>
      <c r="MF13" s="1123"/>
      <c r="MG13" s="1123"/>
      <c r="MH13" s="1123"/>
      <c r="MI13" s="1123"/>
      <c r="MK13" s="1123"/>
      <c r="ML13" s="1123"/>
      <c r="MM13" s="1123"/>
      <c r="MN13" s="1123"/>
      <c r="MO13" s="1123"/>
      <c r="MQ13" s="1123"/>
      <c r="MR13" s="1123"/>
      <c r="MS13" s="1123"/>
      <c r="MT13" s="1123"/>
      <c r="MU13" s="1123"/>
      <c r="MV13" s="1123"/>
      <c r="MW13" s="1123"/>
      <c r="MX13" s="1123"/>
      <c r="MY13" s="1123"/>
      <c r="MZ13" s="1123"/>
      <c r="NA13" s="1123"/>
      <c r="NB13" s="1123"/>
      <c r="NC13" s="1123"/>
      <c r="ND13" s="1123"/>
      <c r="NE13" s="1123"/>
      <c r="NF13" s="1123"/>
      <c r="NG13" s="1123"/>
      <c r="NH13" s="1123"/>
      <c r="NI13" s="1123"/>
      <c r="NJ13" s="1123"/>
      <c r="NK13" s="1123"/>
      <c r="NL13" s="1123"/>
      <c r="NM13" s="1123"/>
      <c r="NN13" s="1123"/>
      <c r="NP13" s="155"/>
      <c r="NQ13" s="155"/>
      <c r="QN13" s="155"/>
      <c r="QO13" s="155"/>
      <c r="TL13" s="155"/>
    </row>
    <row r="14" spans="1:532" ht="6.75" customHeight="1" x14ac:dyDescent="0.25">
      <c r="A14" s="155"/>
      <c r="B14" s="512"/>
      <c r="C14" s="507"/>
      <c r="D14" s="507"/>
      <c r="E14" s="507"/>
      <c r="F14" s="507"/>
      <c r="G14" s="507"/>
      <c r="H14" s="507"/>
      <c r="I14" s="507"/>
      <c r="J14" s="507"/>
      <c r="K14" s="507"/>
      <c r="L14" s="507"/>
      <c r="M14" s="507"/>
      <c r="N14" s="507"/>
      <c r="O14" s="507"/>
      <c r="P14" s="507"/>
      <c r="Q14" s="507"/>
      <c r="R14" s="507"/>
      <c r="S14" s="507"/>
      <c r="T14" s="507"/>
      <c r="U14" s="507"/>
      <c r="V14" s="507"/>
      <c r="W14" s="507"/>
      <c r="X14" s="507"/>
      <c r="Y14" s="507"/>
      <c r="Z14" s="507"/>
      <c r="AA14" s="507"/>
      <c r="AB14" s="507"/>
      <c r="AC14" s="507"/>
      <c r="AD14" s="507"/>
      <c r="AE14" s="507"/>
      <c r="AF14" s="507"/>
      <c r="AG14" s="507"/>
      <c r="AH14" s="507"/>
      <c r="AI14" s="507"/>
      <c r="AJ14" s="507"/>
      <c r="AK14" s="507"/>
      <c r="AL14" s="507"/>
      <c r="AM14" s="507"/>
      <c r="AN14" s="507"/>
      <c r="AO14" s="507"/>
      <c r="AP14" s="507"/>
      <c r="AQ14" s="507"/>
      <c r="AR14" s="507"/>
      <c r="AS14" s="507"/>
      <c r="AT14" s="507"/>
      <c r="AU14" s="507"/>
      <c r="AV14" s="507"/>
      <c r="AW14" s="507"/>
      <c r="AX14" s="507"/>
      <c r="AY14" s="507"/>
      <c r="AZ14" s="507"/>
      <c r="BA14" s="507"/>
      <c r="BB14" s="507"/>
      <c r="BC14" s="507"/>
      <c r="BD14" s="507"/>
      <c r="BE14" s="507"/>
      <c r="BF14" s="507"/>
      <c r="BG14" s="507"/>
      <c r="BH14" s="507"/>
      <c r="BI14" s="507"/>
      <c r="BJ14" s="507"/>
      <c r="BK14" s="507"/>
      <c r="BL14" s="507"/>
      <c r="BM14" s="507"/>
      <c r="BN14" s="507"/>
      <c r="BO14" s="507"/>
      <c r="BP14" s="507"/>
      <c r="BQ14" s="507"/>
      <c r="BR14" s="507"/>
      <c r="BS14" s="507"/>
      <c r="BT14" s="507"/>
      <c r="BU14" s="507"/>
      <c r="BV14" s="507"/>
      <c r="BW14" s="513"/>
      <c r="BX14" s="155"/>
      <c r="BY14" s="155"/>
      <c r="BZ14" s="552"/>
      <c r="CA14" s="1158"/>
      <c r="CB14" s="1159"/>
      <c r="CC14" s="1159"/>
      <c r="CD14" s="1159"/>
      <c r="CE14" s="1159"/>
      <c r="CF14" s="1159"/>
      <c r="CG14" s="1159"/>
      <c r="CH14" s="1159"/>
      <c r="CI14" s="1159"/>
      <c r="CJ14" s="1159"/>
      <c r="CK14" s="1159"/>
      <c r="CL14" s="1159"/>
      <c r="CM14" s="1159"/>
      <c r="CN14" s="1159"/>
      <c r="CO14" s="1159"/>
      <c r="CP14" s="1159"/>
      <c r="CQ14" s="1159"/>
      <c r="CR14" s="1159"/>
      <c r="CS14" s="1159"/>
      <c r="CT14" s="1159"/>
      <c r="CU14" s="1159"/>
      <c r="CV14" s="1159"/>
      <c r="CW14" s="1159"/>
      <c r="CX14" s="1160"/>
      <c r="CZ14" s="1115"/>
      <c r="DA14" s="1116"/>
      <c r="DB14" s="1116"/>
      <c r="DC14" s="1116"/>
      <c r="DD14" s="1116"/>
      <c r="DE14" s="1116"/>
      <c r="DF14" s="1116"/>
      <c r="DG14" s="1116"/>
      <c r="DH14" s="1116"/>
      <c r="DI14" s="1116"/>
      <c r="DJ14" s="1116"/>
      <c r="DK14" s="1116"/>
      <c r="DL14" s="1116"/>
      <c r="DM14" s="1116"/>
      <c r="DN14" s="1116"/>
      <c r="DO14" s="1116"/>
      <c r="DP14" s="1116"/>
      <c r="DQ14" s="1116"/>
      <c r="DR14" s="1116"/>
      <c r="DS14" s="1116"/>
      <c r="DT14" s="1116"/>
      <c r="DU14" s="1116"/>
      <c r="DV14" s="1116"/>
      <c r="DW14" s="1117"/>
      <c r="DY14" s="1120"/>
      <c r="DZ14" s="1120"/>
      <c r="EA14" s="1120"/>
      <c r="EB14" s="1120"/>
      <c r="EC14" s="1120"/>
      <c r="ED14" s="1120"/>
      <c r="EE14" s="1120"/>
      <c r="EF14" s="1120"/>
      <c r="EG14" s="1120"/>
      <c r="EH14" s="1120"/>
      <c r="EI14" s="1120"/>
      <c r="EJ14" s="1120"/>
      <c r="EK14" s="1120"/>
      <c r="EL14" s="1120"/>
      <c r="EM14" s="1120"/>
      <c r="EN14" s="1120"/>
      <c r="EO14" s="1120"/>
      <c r="EP14" s="1120"/>
      <c r="EQ14" s="1120"/>
      <c r="ER14" s="1120"/>
      <c r="ES14" s="1120"/>
      <c r="ET14" s="1120"/>
      <c r="EU14" s="1120"/>
      <c r="EW14" s="155"/>
      <c r="EX14" s="552"/>
      <c r="EY14" s="1137"/>
      <c r="EZ14" s="1137"/>
      <c r="FA14" s="1137"/>
      <c r="FB14" s="1137"/>
      <c r="FC14" s="1137"/>
      <c r="FD14" s="1137"/>
      <c r="FE14" s="1137"/>
      <c r="FF14" s="1137"/>
      <c r="FG14" s="1137"/>
      <c r="FH14" s="552"/>
      <c r="FI14" s="1153"/>
      <c r="FJ14" s="1121"/>
      <c r="FK14" s="1121"/>
      <c r="FL14" s="1154"/>
      <c r="FM14" s="1153"/>
      <c r="FN14" s="1121"/>
      <c r="FO14" s="1121"/>
      <c r="FP14" s="1154"/>
      <c r="FQ14" s="1153"/>
      <c r="FR14" s="1121"/>
      <c r="FS14" s="1121"/>
      <c r="FT14" s="1154"/>
      <c r="FU14" s="1153"/>
      <c r="FV14" s="1121"/>
      <c r="FW14" s="1121"/>
      <c r="FX14" s="1154"/>
      <c r="FY14" s="1153"/>
      <c r="FZ14" s="1121"/>
      <c r="GA14" s="1121"/>
      <c r="GB14" s="1154"/>
      <c r="GC14" s="1153"/>
      <c r="GD14" s="1121"/>
      <c r="GE14" s="1121"/>
      <c r="GF14" s="1154"/>
      <c r="GG14" s="1153"/>
      <c r="GH14" s="1121"/>
      <c r="GI14" s="1121"/>
      <c r="GJ14" s="1154"/>
      <c r="GK14" s="1153"/>
      <c r="GL14" s="1121"/>
      <c r="GM14" s="1121"/>
      <c r="GN14" s="1154"/>
      <c r="GO14" s="1153"/>
      <c r="GP14" s="1121"/>
      <c r="GQ14" s="1121"/>
      <c r="GR14" s="1154"/>
      <c r="GS14" s="552"/>
      <c r="GT14" s="552"/>
      <c r="GU14" s="552"/>
      <c r="GV14" s="552"/>
      <c r="GX14" s="1137"/>
      <c r="GY14" s="1137"/>
      <c r="GZ14" s="1137"/>
      <c r="HA14" s="1137"/>
      <c r="HB14" s="1137"/>
      <c r="HC14" s="1137"/>
      <c r="HD14" s="1137"/>
      <c r="HE14" s="1137"/>
      <c r="HF14" s="1137"/>
      <c r="HG14" s="552"/>
      <c r="HH14" s="552"/>
      <c r="HI14" s="552"/>
      <c r="HJ14" s="552"/>
      <c r="HK14" s="1153"/>
      <c r="HL14" s="1121"/>
      <c r="HM14" s="1121"/>
      <c r="HN14" s="1154"/>
      <c r="HS14" s="552"/>
      <c r="HT14" s="155"/>
      <c r="HU14" s="155"/>
      <c r="HV14" s="552"/>
      <c r="HW14" s="552"/>
      <c r="HX14" s="552"/>
      <c r="HY14" s="552"/>
      <c r="HZ14" s="552"/>
      <c r="IA14" s="552"/>
      <c r="IB14" s="552"/>
      <c r="IC14" s="552"/>
      <c r="ID14" s="552"/>
      <c r="IE14" s="552"/>
      <c r="IF14" s="552"/>
      <c r="IG14" s="552"/>
      <c r="IH14" s="552"/>
      <c r="II14" s="552"/>
      <c r="IJ14" s="552"/>
      <c r="IK14" s="552"/>
      <c r="IL14" s="552"/>
      <c r="IM14" s="552"/>
      <c r="IN14" s="552"/>
      <c r="IO14" s="552"/>
      <c r="IP14" s="552"/>
      <c r="IQ14" s="552"/>
      <c r="IR14" s="552"/>
      <c r="IS14" s="552"/>
      <c r="IT14" s="552"/>
      <c r="IU14" s="552"/>
      <c r="IV14" s="1229" t="s">
        <v>113</v>
      </c>
      <c r="IW14" s="1229"/>
      <c r="IX14" s="1229"/>
      <c r="IY14" s="1229"/>
      <c r="IZ14" s="1228">
        <f>StrengthST</f>
        <v>11</v>
      </c>
      <c r="JA14" s="1228"/>
      <c r="JB14" s="1228"/>
      <c r="JC14" s="1228"/>
      <c r="JD14" s="1228"/>
      <c r="JE14" s="507"/>
      <c r="JF14" s="507"/>
      <c r="JG14" s="1229" t="s">
        <v>508</v>
      </c>
      <c r="JH14" s="1229"/>
      <c r="JI14" s="1229"/>
      <c r="JJ14" s="1229"/>
      <c r="JK14" s="1228">
        <f>ConstitutionST</f>
        <v>7</v>
      </c>
      <c r="JL14" s="1228"/>
      <c r="JM14" s="1228"/>
      <c r="JN14" s="1228"/>
      <c r="JO14" s="1228"/>
      <c r="JP14" s="507"/>
      <c r="JQ14" s="507"/>
      <c r="JR14" s="1229" t="s">
        <v>510</v>
      </c>
      <c r="JS14" s="1229"/>
      <c r="JT14" s="1229"/>
      <c r="JU14" s="1229"/>
      <c r="JV14" s="1228">
        <f>WisdomST</f>
        <v>0</v>
      </c>
      <c r="JW14" s="1228"/>
      <c r="JX14" s="1228"/>
      <c r="JY14" s="1228"/>
      <c r="JZ14" s="1228"/>
      <c r="KA14" s="507"/>
      <c r="KB14" s="507"/>
      <c r="KE14" s="552"/>
      <c r="KF14" s="552"/>
      <c r="KH14" s="552"/>
      <c r="KI14" s="552"/>
      <c r="KJ14" s="552"/>
      <c r="KK14" s="552"/>
      <c r="KL14" s="552"/>
      <c r="KM14" s="552"/>
      <c r="KN14" s="552"/>
      <c r="KO14" s="552"/>
      <c r="KP14" s="552"/>
      <c r="KQ14" s="552"/>
      <c r="KR14" s="155"/>
      <c r="KS14" s="155"/>
      <c r="KT14" s="552"/>
      <c r="KU14" s="552"/>
      <c r="KV14" s="1120"/>
      <c r="KW14" s="1120"/>
      <c r="KX14" s="1120"/>
      <c r="KY14" s="1120"/>
      <c r="KZ14" s="1120"/>
      <c r="LA14" s="1120"/>
      <c r="LB14" s="1120"/>
      <c r="LC14" s="1120"/>
      <c r="LD14" s="1120"/>
      <c r="LE14" s="1120"/>
      <c r="LF14" s="1120"/>
      <c r="LG14" s="1120"/>
      <c r="LH14" s="1120"/>
      <c r="LI14" s="1120"/>
      <c r="LJ14" s="1120"/>
      <c r="LK14" s="1120"/>
      <c r="LL14" s="1120"/>
      <c r="LM14" s="1120"/>
      <c r="LN14" s="1120"/>
      <c r="LO14" s="1120"/>
      <c r="LP14" s="1120"/>
      <c r="LQ14" s="1120"/>
      <c r="LR14" s="1120"/>
      <c r="LS14" s="1120"/>
      <c r="LT14" s="1120"/>
      <c r="LV14" s="1122"/>
      <c r="LW14" s="1122"/>
      <c r="LX14" s="1122"/>
      <c r="LY14" s="1122"/>
      <c r="MA14" s="1122"/>
      <c r="MB14" s="1122"/>
      <c r="MC14" s="1122"/>
      <c r="MD14" s="1122"/>
      <c r="ME14" s="1122"/>
      <c r="MF14" s="1122"/>
      <c r="MG14" s="1122"/>
      <c r="MH14" s="1122"/>
      <c r="MI14" s="1122"/>
      <c r="MK14" s="1122"/>
      <c r="ML14" s="1122"/>
      <c r="MM14" s="1122"/>
      <c r="MN14" s="1122"/>
      <c r="MO14" s="1122"/>
      <c r="MQ14" s="1122"/>
      <c r="MR14" s="1122"/>
      <c r="MS14" s="1122"/>
      <c r="MT14" s="1122"/>
      <c r="MU14" s="1122"/>
      <c r="MV14" s="1122"/>
      <c r="MW14" s="1122"/>
      <c r="MX14" s="1122"/>
      <c r="MY14" s="1122"/>
      <c r="MZ14" s="1122"/>
      <c r="NA14" s="1122"/>
      <c r="NB14" s="1122"/>
      <c r="NC14" s="1122"/>
      <c r="ND14" s="1122"/>
      <c r="NE14" s="1122"/>
      <c r="NF14" s="1122"/>
      <c r="NG14" s="1122"/>
      <c r="NH14" s="1122"/>
      <c r="NI14" s="1122"/>
      <c r="NJ14" s="1122"/>
      <c r="NK14" s="1122"/>
      <c r="NL14" s="1122"/>
      <c r="NM14" s="1122"/>
      <c r="NN14" s="1122"/>
      <c r="NP14" s="155"/>
      <c r="NQ14" s="155"/>
      <c r="QN14" s="155"/>
      <c r="QO14" s="155"/>
      <c r="TL14" s="155"/>
    </row>
    <row r="15" spans="1:532" ht="6.75" customHeight="1" thickBot="1" x14ac:dyDescent="0.3">
      <c r="A15" s="155"/>
      <c r="B15" s="512"/>
      <c r="C15" s="514"/>
      <c r="D15" s="514"/>
      <c r="E15" s="514"/>
      <c r="F15" s="514"/>
      <c r="G15" s="514"/>
      <c r="H15" s="514"/>
      <c r="I15" s="514"/>
      <c r="J15" s="514"/>
      <c r="K15" s="514"/>
      <c r="L15" s="514"/>
      <c r="M15" s="514"/>
      <c r="N15" s="514"/>
      <c r="O15" s="514"/>
      <c r="P15" s="514"/>
      <c r="Q15" s="514"/>
      <c r="R15" s="514"/>
      <c r="S15" s="514"/>
      <c r="T15" s="514"/>
      <c r="U15" s="514"/>
      <c r="V15" s="514"/>
      <c r="W15" s="514"/>
      <c r="X15" s="514"/>
      <c r="Y15" s="514"/>
      <c r="Z15" s="514"/>
      <c r="AA15" s="514"/>
      <c r="AB15" s="514"/>
      <c r="AC15" s="514"/>
      <c r="AD15" s="514"/>
      <c r="AE15" s="514"/>
      <c r="AF15" s="514"/>
      <c r="AG15" s="514"/>
      <c r="AH15" s="514"/>
      <c r="AI15" s="514"/>
      <c r="AJ15" s="514"/>
      <c r="AK15" s="514"/>
      <c r="AL15" s="514"/>
      <c r="AM15" s="514"/>
      <c r="AN15" s="514"/>
      <c r="AO15" s="514"/>
      <c r="AP15" s="514"/>
      <c r="AQ15" s="514"/>
      <c r="AR15" s="514"/>
      <c r="AS15" s="514"/>
      <c r="AT15" s="514"/>
      <c r="AU15" s="514"/>
      <c r="AV15" s="514"/>
      <c r="AW15" s="514"/>
      <c r="AX15" s="514"/>
      <c r="AY15" s="514"/>
      <c r="AZ15" s="514"/>
      <c r="BA15" s="514"/>
      <c r="BB15" s="514"/>
      <c r="BC15" s="514"/>
      <c r="BD15" s="514"/>
      <c r="BE15" s="514"/>
      <c r="BF15" s="514"/>
      <c r="BG15" s="514"/>
      <c r="BH15" s="514"/>
      <c r="BI15" s="514"/>
      <c r="BJ15" s="514"/>
      <c r="BK15" s="514"/>
      <c r="BL15" s="514"/>
      <c r="BM15" s="514"/>
      <c r="BN15" s="514"/>
      <c r="BO15" s="514"/>
      <c r="BP15" s="514"/>
      <c r="BQ15" s="514"/>
      <c r="BR15" s="514"/>
      <c r="BS15" s="514"/>
      <c r="BT15" s="514"/>
      <c r="BU15" s="514"/>
      <c r="BV15" s="514"/>
      <c r="BW15" s="513"/>
      <c r="BX15" s="155"/>
      <c r="BY15" s="155"/>
      <c r="BZ15" s="552"/>
      <c r="CA15" s="1158"/>
      <c r="CB15" s="1159"/>
      <c r="CC15" s="1159"/>
      <c r="CD15" s="1159"/>
      <c r="CE15" s="1159"/>
      <c r="CF15" s="1159"/>
      <c r="CG15" s="1159"/>
      <c r="CH15" s="1159"/>
      <c r="CI15" s="1159"/>
      <c r="CJ15" s="1159"/>
      <c r="CK15" s="1159"/>
      <c r="CL15" s="1159"/>
      <c r="CM15" s="1159"/>
      <c r="CN15" s="1159"/>
      <c r="CO15" s="1159"/>
      <c r="CP15" s="1159"/>
      <c r="CQ15" s="1159"/>
      <c r="CR15" s="1159"/>
      <c r="CS15" s="1159"/>
      <c r="CT15" s="1159"/>
      <c r="CU15" s="1159"/>
      <c r="CV15" s="1159"/>
      <c r="CW15" s="1159"/>
      <c r="CX15" s="1160"/>
      <c r="CZ15" s="1118" t="str">
        <f>OutputWeaponProficiency</f>
        <v xml:space="preserve">Simple Weapons, Martial Weapons, </v>
      </c>
      <c r="DA15" s="1118"/>
      <c r="DB15" s="1118"/>
      <c r="DC15" s="1118"/>
      <c r="DD15" s="1118"/>
      <c r="DE15" s="1118"/>
      <c r="DF15" s="1118"/>
      <c r="DG15" s="1118"/>
      <c r="DH15" s="1118"/>
      <c r="DI15" s="1118"/>
      <c r="DJ15" s="1118"/>
      <c r="DK15" s="1118"/>
      <c r="DL15" s="1118"/>
      <c r="DM15" s="1118"/>
      <c r="DN15" s="1118"/>
      <c r="DO15" s="1118"/>
      <c r="DP15" s="1118"/>
      <c r="DQ15" s="1118"/>
      <c r="DR15" s="1118"/>
      <c r="DS15" s="1118"/>
      <c r="DT15" s="1118"/>
      <c r="DU15" s="1118"/>
      <c r="DV15" s="1118"/>
      <c r="DW15" s="1118"/>
      <c r="DY15" s="1121"/>
      <c r="DZ15" s="1121"/>
      <c r="EA15" s="1121"/>
      <c r="EB15" s="1121"/>
      <c r="EC15" s="1121"/>
      <c r="ED15" s="1121"/>
      <c r="EE15" s="1121"/>
      <c r="EF15" s="1121"/>
      <c r="EG15" s="1121"/>
      <c r="EH15" s="1121"/>
      <c r="EI15" s="1121"/>
      <c r="EJ15" s="1121"/>
      <c r="EK15" s="1121"/>
      <c r="EL15" s="1121"/>
      <c r="EM15" s="1121"/>
      <c r="EN15" s="1121"/>
      <c r="EO15" s="1121"/>
      <c r="EP15" s="1121"/>
      <c r="EQ15" s="1121"/>
      <c r="ER15" s="1121"/>
      <c r="ES15" s="1121"/>
      <c r="ET15" s="1121"/>
      <c r="EU15" s="1121"/>
      <c r="EW15" s="155"/>
      <c r="EX15" s="552"/>
      <c r="EY15" s="552"/>
      <c r="EZ15" s="552"/>
      <c r="FA15" s="552"/>
      <c r="FB15" s="552"/>
      <c r="FC15" s="552"/>
      <c r="FD15" s="552"/>
      <c r="FE15" s="552"/>
      <c r="FF15" s="552"/>
      <c r="FG15" s="552"/>
      <c r="FH15" s="552"/>
      <c r="FI15" s="552"/>
      <c r="FJ15" s="552"/>
      <c r="FK15" s="552"/>
      <c r="FL15" s="552"/>
      <c r="FM15" s="552"/>
      <c r="FN15" s="552"/>
      <c r="FO15" s="552"/>
      <c r="FP15" s="552"/>
      <c r="FQ15" s="552"/>
      <c r="FR15" s="552"/>
      <c r="FS15" s="552"/>
      <c r="FT15" s="552"/>
      <c r="FU15" s="552"/>
      <c r="FV15" s="552"/>
      <c r="FW15" s="552"/>
      <c r="FX15" s="552"/>
      <c r="FY15" s="552"/>
      <c r="FZ15" s="552"/>
      <c r="GA15" s="552"/>
      <c r="GB15" s="552"/>
      <c r="GC15" s="552"/>
      <c r="GD15" s="552"/>
      <c r="GE15" s="552"/>
      <c r="GF15" s="552"/>
      <c r="GG15" s="552"/>
      <c r="GH15" s="552"/>
      <c r="GI15" s="552"/>
      <c r="GJ15" s="552"/>
      <c r="GK15" s="552"/>
      <c r="GL15" s="552"/>
      <c r="GM15" s="552"/>
      <c r="GN15" s="552"/>
      <c r="GO15" s="552"/>
      <c r="GP15" s="552"/>
      <c r="GQ15" s="552"/>
      <c r="GR15" s="552"/>
      <c r="GS15" s="552"/>
      <c r="GT15" s="552"/>
      <c r="GU15" s="552"/>
      <c r="GV15" s="552"/>
      <c r="GW15" s="552"/>
      <c r="GX15" s="552"/>
      <c r="GY15" s="552"/>
      <c r="GZ15" s="552"/>
      <c r="HA15" s="552"/>
      <c r="HB15" s="552"/>
      <c r="HC15" s="552"/>
      <c r="HD15" s="552"/>
      <c r="HE15" s="552"/>
      <c r="HF15" s="552"/>
      <c r="HG15" s="552"/>
      <c r="HH15" s="552"/>
      <c r="HI15" s="552"/>
      <c r="HJ15" s="552"/>
      <c r="HK15" s="552"/>
      <c r="HL15" s="552"/>
      <c r="HM15" s="552"/>
      <c r="HN15" s="552"/>
      <c r="HO15" s="552"/>
      <c r="HP15" s="552"/>
      <c r="HQ15" s="552"/>
      <c r="HR15" s="552"/>
      <c r="HS15" s="552"/>
      <c r="HT15" s="155"/>
      <c r="HU15" s="155"/>
      <c r="HV15" s="552"/>
      <c r="HW15" s="552"/>
      <c r="HX15" s="552"/>
      <c r="HY15" s="552"/>
      <c r="HZ15" s="552"/>
      <c r="IA15" s="552"/>
      <c r="IB15" s="552"/>
      <c r="IC15" s="552"/>
      <c r="ID15" s="552"/>
      <c r="IE15" s="552"/>
      <c r="IF15" s="552"/>
      <c r="IG15" s="552"/>
      <c r="IH15" s="552"/>
      <c r="II15" s="552"/>
      <c r="IJ15" s="552"/>
      <c r="IK15" s="552"/>
      <c r="IL15" s="552"/>
      <c r="IM15" s="552"/>
      <c r="IN15" s="552"/>
      <c r="IO15" s="552"/>
      <c r="IP15" s="552"/>
      <c r="IQ15" s="552"/>
      <c r="IR15" s="552"/>
      <c r="IS15" s="552"/>
      <c r="IT15" s="552"/>
      <c r="IU15" s="552"/>
      <c r="IV15" s="1229"/>
      <c r="IW15" s="1229"/>
      <c r="IX15" s="1229"/>
      <c r="IY15" s="1229"/>
      <c r="IZ15" s="1228"/>
      <c r="JA15" s="1228"/>
      <c r="JB15" s="1228"/>
      <c r="JC15" s="1228"/>
      <c r="JD15" s="1228"/>
      <c r="JE15" s="1133" t="str">
        <f>IF(StrST=1,"●","○")</f>
        <v>●</v>
      </c>
      <c r="JF15" s="1133"/>
      <c r="JG15" s="1229"/>
      <c r="JH15" s="1229"/>
      <c r="JI15" s="1229"/>
      <c r="JJ15" s="1229"/>
      <c r="JK15" s="1228"/>
      <c r="JL15" s="1228"/>
      <c r="JM15" s="1228"/>
      <c r="JN15" s="1228"/>
      <c r="JO15" s="1228"/>
      <c r="JP15" s="1133" t="str">
        <f>IF(ConST=1,"●","○")</f>
        <v>●</v>
      </c>
      <c r="JQ15" s="1133"/>
      <c r="JR15" s="1229"/>
      <c r="JS15" s="1229"/>
      <c r="JT15" s="1229"/>
      <c r="JU15" s="1229"/>
      <c r="JV15" s="1228"/>
      <c r="JW15" s="1228"/>
      <c r="JX15" s="1228"/>
      <c r="JY15" s="1228"/>
      <c r="JZ15" s="1228"/>
      <c r="KA15" s="1133" t="str">
        <f>IF(WisST=1,"●","○")</f>
        <v>○</v>
      </c>
      <c r="KB15" s="1133"/>
      <c r="KE15" s="552"/>
      <c r="KF15" s="552"/>
      <c r="KH15" s="552"/>
      <c r="KI15" s="552"/>
      <c r="KJ15" s="552"/>
      <c r="KK15" s="552"/>
      <c r="KL15" s="552"/>
      <c r="KM15" s="552"/>
      <c r="KN15" s="552"/>
      <c r="KO15" s="552"/>
      <c r="KP15" s="552"/>
      <c r="KQ15" s="552"/>
      <c r="KR15" s="155"/>
      <c r="KS15" s="155"/>
      <c r="KT15" s="552"/>
      <c r="KU15" s="552"/>
      <c r="KV15" s="1121"/>
      <c r="KW15" s="1121"/>
      <c r="KX15" s="1121"/>
      <c r="KY15" s="1121"/>
      <c r="KZ15" s="1121"/>
      <c r="LA15" s="1121"/>
      <c r="LB15" s="1121"/>
      <c r="LC15" s="1121"/>
      <c r="LD15" s="1121"/>
      <c r="LE15" s="1121"/>
      <c r="LF15" s="1121"/>
      <c r="LG15" s="1121"/>
      <c r="LH15" s="1121"/>
      <c r="LI15" s="1121"/>
      <c r="LJ15" s="1121"/>
      <c r="LK15" s="1121"/>
      <c r="LL15" s="1121"/>
      <c r="LM15" s="1121"/>
      <c r="LN15" s="1121"/>
      <c r="LO15" s="1121"/>
      <c r="LP15" s="1121"/>
      <c r="LQ15" s="1121"/>
      <c r="LR15" s="1121"/>
      <c r="LS15" s="1121"/>
      <c r="LT15" s="1121"/>
      <c r="LV15" s="1123"/>
      <c r="LW15" s="1123"/>
      <c r="LX15" s="1123"/>
      <c r="LY15" s="1123"/>
      <c r="MA15" s="1123"/>
      <c r="MB15" s="1123"/>
      <c r="MC15" s="1123"/>
      <c r="MD15" s="1123"/>
      <c r="ME15" s="1123"/>
      <c r="MF15" s="1123"/>
      <c r="MG15" s="1123"/>
      <c r="MH15" s="1123"/>
      <c r="MI15" s="1123"/>
      <c r="MK15" s="1123"/>
      <c r="ML15" s="1123"/>
      <c r="MM15" s="1123"/>
      <c r="MN15" s="1123"/>
      <c r="MO15" s="1123"/>
      <c r="MQ15" s="1123"/>
      <c r="MR15" s="1123"/>
      <c r="MS15" s="1123"/>
      <c r="MT15" s="1123"/>
      <c r="MU15" s="1123"/>
      <c r="MV15" s="1123"/>
      <c r="MW15" s="1123"/>
      <c r="MX15" s="1123"/>
      <c r="MY15" s="1123"/>
      <c r="MZ15" s="1123"/>
      <c r="NA15" s="1123"/>
      <c r="NB15" s="1123"/>
      <c r="NC15" s="1123"/>
      <c r="ND15" s="1123"/>
      <c r="NE15" s="1123"/>
      <c r="NF15" s="1123"/>
      <c r="NG15" s="1123"/>
      <c r="NH15" s="1123"/>
      <c r="NI15" s="1123"/>
      <c r="NJ15" s="1123"/>
      <c r="NK15" s="1123"/>
      <c r="NL15" s="1123"/>
      <c r="NM15" s="1123"/>
      <c r="NN15" s="1123"/>
      <c r="NP15" s="155"/>
      <c r="NQ15" s="155"/>
      <c r="QN15" s="155"/>
      <c r="QO15" s="155"/>
      <c r="TL15" s="155"/>
    </row>
    <row r="16" spans="1:532" ht="6.75" customHeight="1" x14ac:dyDescent="0.25">
      <c r="A16" s="155"/>
      <c r="B16" s="512"/>
      <c r="C16" s="1211" t="s">
        <v>113</v>
      </c>
      <c r="D16" s="1212"/>
      <c r="E16" s="1212"/>
      <c r="F16" s="1212"/>
      <c r="G16" s="1213"/>
      <c r="H16" s="507"/>
      <c r="I16" s="1211" t="s">
        <v>117</v>
      </c>
      <c r="J16" s="1212"/>
      <c r="K16" s="1212"/>
      <c r="L16" s="1212"/>
      <c r="M16" s="1213"/>
      <c r="N16" s="507"/>
      <c r="O16" s="1211" t="s">
        <v>508</v>
      </c>
      <c r="P16" s="1212"/>
      <c r="Q16" s="1212"/>
      <c r="R16" s="1212"/>
      <c r="S16" s="1213"/>
      <c r="T16" s="507"/>
      <c r="U16" s="1211" t="s">
        <v>509</v>
      </c>
      <c r="V16" s="1212"/>
      <c r="W16" s="1212"/>
      <c r="X16" s="1212"/>
      <c r="Y16" s="1213"/>
      <c r="Z16" s="507"/>
      <c r="AA16" s="1211" t="s">
        <v>510</v>
      </c>
      <c r="AB16" s="1212"/>
      <c r="AC16" s="1212"/>
      <c r="AD16" s="1212"/>
      <c r="AE16" s="1213"/>
      <c r="AF16" s="507"/>
      <c r="AG16" s="1211" t="s">
        <v>511</v>
      </c>
      <c r="AH16" s="1212"/>
      <c r="AI16" s="1212"/>
      <c r="AJ16" s="1212"/>
      <c r="AK16" s="1213"/>
      <c r="AL16" s="514"/>
      <c r="AM16" s="514"/>
      <c r="AN16" s="1223">
        <f>10+PerceptionValue</f>
        <v>10</v>
      </c>
      <c r="AO16" s="1223"/>
      <c r="AP16" s="1223"/>
      <c r="AQ16" s="1223"/>
      <c r="AR16" s="1223"/>
      <c r="AS16" s="1223"/>
      <c r="AT16" s="1223"/>
      <c r="AU16" s="1223"/>
      <c r="AV16" s="1223"/>
      <c r="AW16" s="1223"/>
      <c r="AX16" s="1223"/>
      <c r="AY16" s="1223"/>
      <c r="AZ16" s="1223"/>
      <c r="BA16" s="1223"/>
      <c r="BB16" s="1223"/>
      <c r="BE16" s="1155"/>
      <c r="BF16" s="1155"/>
      <c r="BG16" s="1155"/>
      <c r="BH16" s="1155"/>
      <c r="BI16" s="1155"/>
      <c r="BJ16" s="1155"/>
      <c r="BK16" s="1155"/>
      <c r="BL16" s="1155"/>
      <c r="BM16" s="1155"/>
      <c r="BN16" s="1155"/>
      <c r="BO16" s="1155"/>
      <c r="BP16" s="1155"/>
      <c r="BQ16" s="1155"/>
      <c r="BR16" s="1155"/>
      <c r="BS16" s="1155"/>
      <c r="BV16" s="514"/>
      <c r="BW16" s="513"/>
      <c r="BX16" s="155"/>
      <c r="BY16" s="155"/>
      <c r="BZ16" s="552"/>
      <c r="CA16" s="1158"/>
      <c r="CB16" s="1159"/>
      <c r="CC16" s="1159"/>
      <c r="CD16" s="1159"/>
      <c r="CE16" s="1159"/>
      <c r="CF16" s="1159"/>
      <c r="CG16" s="1159"/>
      <c r="CH16" s="1159"/>
      <c r="CI16" s="1159"/>
      <c r="CJ16" s="1159"/>
      <c r="CK16" s="1159"/>
      <c r="CL16" s="1159"/>
      <c r="CM16" s="1159"/>
      <c r="CN16" s="1159"/>
      <c r="CO16" s="1159"/>
      <c r="CP16" s="1159"/>
      <c r="CQ16" s="1159"/>
      <c r="CR16" s="1159"/>
      <c r="CS16" s="1159"/>
      <c r="CT16" s="1159"/>
      <c r="CU16" s="1159"/>
      <c r="CV16" s="1159"/>
      <c r="CW16" s="1159"/>
      <c r="CX16" s="1160"/>
      <c r="CZ16" s="1118"/>
      <c r="DA16" s="1118"/>
      <c r="DB16" s="1118"/>
      <c r="DC16" s="1118"/>
      <c r="DD16" s="1118"/>
      <c r="DE16" s="1118"/>
      <c r="DF16" s="1118"/>
      <c r="DG16" s="1118"/>
      <c r="DH16" s="1118"/>
      <c r="DI16" s="1118"/>
      <c r="DJ16" s="1118"/>
      <c r="DK16" s="1118"/>
      <c r="DL16" s="1118"/>
      <c r="DM16" s="1118"/>
      <c r="DN16" s="1118"/>
      <c r="DO16" s="1118"/>
      <c r="DP16" s="1118"/>
      <c r="DQ16" s="1118"/>
      <c r="DR16" s="1118"/>
      <c r="DS16" s="1118"/>
      <c r="DT16" s="1118"/>
      <c r="DU16" s="1118"/>
      <c r="DV16" s="1118"/>
      <c r="DW16" s="1118"/>
      <c r="DY16" s="1120"/>
      <c r="DZ16" s="1120"/>
      <c r="EA16" s="1120"/>
      <c r="EB16" s="1120"/>
      <c r="EC16" s="1120"/>
      <c r="ED16" s="1120"/>
      <c r="EE16" s="1120"/>
      <c r="EF16" s="1120"/>
      <c r="EG16" s="1120"/>
      <c r="EH16" s="1120"/>
      <c r="EI16" s="1120"/>
      <c r="EJ16" s="1120"/>
      <c r="EK16" s="1120"/>
      <c r="EL16" s="1120"/>
      <c r="EM16" s="1120"/>
      <c r="EN16" s="1120"/>
      <c r="EO16" s="1120"/>
      <c r="EP16" s="1120"/>
      <c r="EQ16" s="1120"/>
      <c r="ER16" s="1120"/>
      <c r="ES16" s="1120"/>
      <c r="ET16" s="1120"/>
      <c r="EU16" s="1120"/>
      <c r="EW16" s="155"/>
      <c r="EX16" s="552"/>
      <c r="EY16" s="1137" t="s">
        <v>6563</v>
      </c>
      <c r="EZ16" s="1137"/>
      <c r="FA16" s="1137"/>
      <c r="FB16" s="1137"/>
      <c r="FC16" s="1137"/>
      <c r="FD16" s="1137"/>
      <c r="FE16" s="1137"/>
      <c r="FF16" s="1137"/>
      <c r="FG16" s="1137"/>
      <c r="FH16" s="552"/>
      <c r="FI16" s="552"/>
      <c r="FJ16" s="552"/>
      <c r="FK16" s="552"/>
      <c r="FL16" s="552"/>
      <c r="FM16" s="552"/>
      <c r="FN16" s="552"/>
      <c r="FO16" s="552"/>
      <c r="FP16" s="552"/>
      <c r="FQ16" s="552"/>
      <c r="FR16" s="552"/>
      <c r="FS16" s="552"/>
      <c r="FT16" s="552"/>
      <c r="FU16" s="552"/>
      <c r="FV16" s="552"/>
      <c r="FW16" s="552"/>
      <c r="FX16" s="552"/>
      <c r="FY16" s="552"/>
      <c r="FZ16" s="552"/>
      <c r="GA16" s="552"/>
      <c r="GB16" s="552"/>
      <c r="GC16" s="552"/>
      <c r="GD16" s="552"/>
      <c r="GE16" s="552"/>
      <c r="GF16" s="552"/>
      <c r="GG16" s="552"/>
      <c r="GH16" s="552"/>
      <c r="GI16" s="552"/>
      <c r="GJ16" s="552"/>
      <c r="GK16" s="552"/>
      <c r="GL16" s="552"/>
      <c r="GM16" s="552"/>
      <c r="GN16" s="552"/>
      <c r="GO16" s="552"/>
      <c r="GP16" s="552"/>
      <c r="GQ16" s="552"/>
      <c r="GR16" s="552"/>
      <c r="GS16" s="552"/>
      <c r="GT16" s="552"/>
      <c r="GU16" s="552"/>
      <c r="GV16" s="552"/>
      <c r="GW16" s="552"/>
      <c r="GX16" s="552"/>
      <c r="GY16" s="552"/>
      <c r="GZ16" s="552"/>
      <c r="HA16" s="552"/>
      <c r="HB16" s="552"/>
      <c r="HC16" s="552"/>
      <c r="HD16" s="552"/>
      <c r="HE16" s="552"/>
      <c r="HF16" s="552"/>
      <c r="HG16" s="552"/>
      <c r="HH16" s="552"/>
      <c r="HI16" s="552"/>
      <c r="HJ16" s="552"/>
      <c r="HK16" s="552"/>
      <c r="HL16" s="552"/>
      <c r="HM16" s="552"/>
      <c r="HN16" s="552"/>
      <c r="HO16" s="552"/>
      <c r="HP16" s="552"/>
      <c r="HQ16" s="552"/>
      <c r="HR16" s="552"/>
      <c r="HS16" s="552"/>
      <c r="HT16" s="155"/>
      <c r="HU16" s="155"/>
      <c r="HV16" s="552"/>
      <c r="HW16" s="552"/>
      <c r="HX16" s="552"/>
      <c r="HY16" s="552"/>
      <c r="HZ16" s="552"/>
      <c r="IA16" s="552"/>
      <c r="IB16" s="552"/>
      <c r="IC16" s="552"/>
      <c r="ID16" s="552"/>
      <c r="IE16" s="552"/>
      <c r="IF16" s="552"/>
      <c r="IG16" s="552"/>
      <c r="IH16" s="552"/>
      <c r="II16" s="552"/>
      <c r="IJ16" s="552"/>
      <c r="IK16" s="552"/>
      <c r="IL16" s="552"/>
      <c r="IM16" s="552"/>
      <c r="IN16" s="552"/>
      <c r="IO16" s="552"/>
      <c r="IP16" s="552"/>
      <c r="IQ16" s="552"/>
      <c r="IR16" s="552"/>
      <c r="IS16" s="552"/>
      <c r="IT16" s="552"/>
      <c r="IU16" s="552"/>
      <c r="IV16" s="1229"/>
      <c r="IW16" s="1229"/>
      <c r="IX16" s="1229"/>
      <c r="IY16" s="1229"/>
      <c r="IZ16" s="1228"/>
      <c r="JA16" s="1228"/>
      <c r="JB16" s="1228"/>
      <c r="JC16" s="1228"/>
      <c r="JD16" s="1228"/>
      <c r="JE16" s="1133"/>
      <c r="JF16" s="1133"/>
      <c r="JG16" s="1229"/>
      <c r="JH16" s="1229"/>
      <c r="JI16" s="1229"/>
      <c r="JJ16" s="1229"/>
      <c r="JK16" s="1228"/>
      <c r="JL16" s="1228"/>
      <c r="JM16" s="1228"/>
      <c r="JN16" s="1228"/>
      <c r="JO16" s="1228"/>
      <c r="JP16" s="1133"/>
      <c r="JQ16" s="1133"/>
      <c r="JR16" s="1229"/>
      <c r="JS16" s="1229"/>
      <c r="JT16" s="1229"/>
      <c r="JU16" s="1229"/>
      <c r="JV16" s="1228"/>
      <c r="JW16" s="1228"/>
      <c r="JX16" s="1228"/>
      <c r="JY16" s="1228"/>
      <c r="JZ16" s="1228"/>
      <c r="KA16" s="1133"/>
      <c r="KB16" s="1133"/>
      <c r="KE16" s="552"/>
      <c r="KF16" s="552"/>
      <c r="KH16" s="552"/>
      <c r="KI16" s="552"/>
      <c r="KJ16" s="552"/>
      <c r="KK16" s="552"/>
      <c r="KL16" s="552"/>
      <c r="KM16" s="552"/>
      <c r="KN16" s="552"/>
      <c r="KO16" s="552"/>
      <c r="KP16" s="552"/>
      <c r="KQ16" s="552"/>
      <c r="KR16" s="155"/>
      <c r="KS16" s="155"/>
      <c r="KT16" s="552"/>
      <c r="KU16" s="552"/>
      <c r="KV16" s="1120"/>
      <c r="KW16" s="1120"/>
      <c r="KX16" s="1120"/>
      <c r="KY16" s="1120"/>
      <c r="KZ16" s="1120"/>
      <c r="LA16" s="1120"/>
      <c r="LB16" s="1120"/>
      <c r="LC16" s="1120"/>
      <c r="LD16" s="1120"/>
      <c r="LE16" s="1120"/>
      <c r="LF16" s="1120"/>
      <c r="LG16" s="1120"/>
      <c r="LH16" s="1120"/>
      <c r="LI16" s="1120"/>
      <c r="LJ16" s="1120"/>
      <c r="LK16" s="1120"/>
      <c r="LL16" s="1120"/>
      <c r="LM16" s="1120"/>
      <c r="LN16" s="1120"/>
      <c r="LO16" s="1120"/>
      <c r="LP16" s="1120"/>
      <c r="LQ16" s="1120"/>
      <c r="LR16" s="1120"/>
      <c r="LS16" s="1120"/>
      <c r="LT16" s="1120"/>
      <c r="LV16" s="1122"/>
      <c r="LW16" s="1122"/>
      <c r="LX16" s="1122"/>
      <c r="LY16" s="1122"/>
      <c r="MA16" s="1122"/>
      <c r="MB16" s="1122"/>
      <c r="MC16" s="1122"/>
      <c r="MD16" s="1122"/>
      <c r="ME16" s="1122"/>
      <c r="MF16" s="1122"/>
      <c r="MG16" s="1122"/>
      <c r="MH16" s="1122"/>
      <c r="MI16" s="1122"/>
      <c r="MK16" s="1122"/>
      <c r="ML16" s="1122"/>
      <c r="MM16" s="1122"/>
      <c r="MN16" s="1122"/>
      <c r="MO16" s="1122"/>
      <c r="MQ16" s="1122"/>
      <c r="MR16" s="1122"/>
      <c r="MS16" s="1122"/>
      <c r="MT16" s="1122"/>
      <c r="MU16" s="1122"/>
      <c r="MV16" s="1122"/>
      <c r="MW16" s="1122"/>
      <c r="MX16" s="1122"/>
      <c r="MY16" s="1122"/>
      <c r="MZ16" s="1122"/>
      <c r="NA16" s="1122"/>
      <c r="NB16" s="1122"/>
      <c r="NC16" s="1122"/>
      <c r="ND16" s="1122"/>
      <c r="NE16" s="1122"/>
      <c r="NF16" s="1122"/>
      <c r="NG16" s="1122"/>
      <c r="NH16" s="1122"/>
      <c r="NI16" s="1122"/>
      <c r="NJ16" s="1122"/>
      <c r="NK16" s="1122"/>
      <c r="NL16" s="1122"/>
      <c r="NM16" s="1122"/>
      <c r="NN16" s="1122"/>
      <c r="NP16" s="155"/>
      <c r="NQ16" s="155"/>
      <c r="QN16" s="155"/>
      <c r="QO16" s="155"/>
      <c r="TL16" s="155"/>
    </row>
    <row r="17" spans="1:532" ht="6.75" customHeight="1" thickBot="1" x14ac:dyDescent="0.3">
      <c r="A17" s="155"/>
      <c r="B17" s="512"/>
      <c r="C17" s="1214"/>
      <c r="D17" s="1215"/>
      <c r="E17" s="1215"/>
      <c r="F17" s="1215"/>
      <c r="G17" s="1216"/>
      <c r="H17" s="507"/>
      <c r="I17" s="1214"/>
      <c r="J17" s="1215"/>
      <c r="K17" s="1215"/>
      <c r="L17" s="1215"/>
      <c r="M17" s="1216"/>
      <c r="N17" s="507"/>
      <c r="O17" s="1214"/>
      <c r="P17" s="1215"/>
      <c r="Q17" s="1215"/>
      <c r="R17" s="1215"/>
      <c r="S17" s="1216"/>
      <c r="T17" s="507"/>
      <c r="U17" s="1214"/>
      <c r="V17" s="1215"/>
      <c r="W17" s="1215"/>
      <c r="X17" s="1215"/>
      <c r="Y17" s="1216"/>
      <c r="Z17" s="507"/>
      <c r="AA17" s="1214"/>
      <c r="AB17" s="1215"/>
      <c r="AC17" s="1215"/>
      <c r="AD17" s="1215"/>
      <c r="AE17" s="1216"/>
      <c r="AF17" s="507"/>
      <c r="AG17" s="1214"/>
      <c r="AH17" s="1215"/>
      <c r="AI17" s="1215"/>
      <c r="AJ17" s="1215"/>
      <c r="AK17" s="1216"/>
      <c r="AL17" s="514"/>
      <c r="AM17" s="514"/>
      <c r="AN17" s="1223"/>
      <c r="AO17" s="1223"/>
      <c r="AP17" s="1223"/>
      <c r="AQ17" s="1223"/>
      <c r="AR17" s="1223"/>
      <c r="AS17" s="1223"/>
      <c r="AT17" s="1223"/>
      <c r="AU17" s="1223"/>
      <c r="AV17" s="1223"/>
      <c r="AW17" s="1223"/>
      <c r="AX17" s="1223"/>
      <c r="AY17" s="1223"/>
      <c r="AZ17" s="1223"/>
      <c r="BA17" s="1223"/>
      <c r="BB17" s="1223"/>
      <c r="BE17" s="1155"/>
      <c r="BF17" s="1155"/>
      <c r="BG17" s="1155"/>
      <c r="BH17" s="1155"/>
      <c r="BI17" s="1155"/>
      <c r="BJ17" s="1155"/>
      <c r="BK17" s="1155"/>
      <c r="BL17" s="1155"/>
      <c r="BM17" s="1155"/>
      <c r="BN17" s="1155"/>
      <c r="BO17" s="1155"/>
      <c r="BP17" s="1155"/>
      <c r="BQ17" s="1155"/>
      <c r="BR17" s="1155"/>
      <c r="BS17" s="1155"/>
      <c r="BV17" s="514"/>
      <c r="BW17" s="507"/>
      <c r="BX17" s="155"/>
      <c r="BY17" s="155"/>
      <c r="BZ17" s="552"/>
      <c r="CA17" s="1158"/>
      <c r="CB17" s="1159"/>
      <c r="CC17" s="1159"/>
      <c r="CD17" s="1159"/>
      <c r="CE17" s="1159"/>
      <c r="CF17" s="1159"/>
      <c r="CG17" s="1159"/>
      <c r="CH17" s="1159"/>
      <c r="CI17" s="1159"/>
      <c r="CJ17" s="1159"/>
      <c r="CK17" s="1159"/>
      <c r="CL17" s="1159"/>
      <c r="CM17" s="1159"/>
      <c r="CN17" s="1159"/>
      <c r="CO17" s="1159"/>
      <c r="CP17" s="1159"/>
      <c r="CQ17" s="1159"/>
      <c r="CR17" s="1159"/>
      <c r="CS17" s="1159"/>
      <c r="CT17" s="1159"/>
      <c r="CU17" s="1159"/>
      <c r="CV17" s="1159"/>
      <c r="CW17" s="1159"/>
      <c r="CX17" s="1160"/>
      <c r="CZ17" s="1118"/>
      <c r="DA17" s="1118"/>
      <c r="DB17" s="1118"/>
      <c r="DC17" s="1118"/>
      <c r="DD17" s="1118"/>
      <c r="DE17" s="1118"/>
      <c r="DF17" s="1118"/>
      <c r="DG17" s="1118"/>
      <c r="DH17" s="1118"/>
      <c r="DI17" s="1118"/>
      <c r="DJ17" s="1118"/>
      <c r="DK17" s="1118"/>
      <c r="DL17" s="1118"/>
      <c r="DM17" s="1118"/>
      <c r="DN17" s="1118"/>
      <c r="DO17" s="1118"/>
      <c r="DP17" s="1118"/>
      <c r="DQ17" s="1118"/>
      <c r="DR17" s="1118"/>
      <c r="DS17" s="1118"/>
      <c r="DT17" s="1118"/>
      <c r="DU17" s="1118"/>
      <c r="DV17" s="1118"/>
      <c r="DW17" s="1118"/>
      <c r="DY17" s="1121"/>
      <c r="DZ17" s="1121"/>
      <c r="EA17" s="1121"/>
      <c r="EB17" s="1121"/>
      <c r="EC17" s="1121"/>
      <c r="ED17" s="1121"/>
      <c r="EE17" s="1121"/>
      <c r="EF17" s="1121"/>
      <c r="EG17" s="1121"/>
      <c r="EH17" s="1121"/>
      <c r="EI17" s="1121"/>
      <c r="EJ17" s="1121"/>
      <c r="EK17" s="1121"/>
      <c r="EL17" s="1121"/>
      <c r="EM17" s="1121"/>
      <c r="EN17" s="1121"/>
      <c r="EO17" s="1121"/>
      <c r="EP17" s="1121"/>
      <c r="EQ17" s="1121"/>
      <c r="ER17" s="1121"/>
      <c r="ES17" s="1121"/>
      <c r="ET17" s="1121"/>
      <c r="EU17" s="1121"/>
      <c r="EW17" s="155"/>
      <c r="EX17" s="552"/>
      <c r="EY17" s="1137"/>
      <c r="EZ17" s="1137"/>
      <c r="FA17" s="1137"/>
      <c r="FB17" s="1137"/>
      <c r="FC17" s="1137"/>
      <c r="FD17" s="1137"/>
      <c r="FE17" s="1137"/>
      <c r="FF17" s="1137"/>
      <c r="FG17" s="1137"/>
      <c r="FH17" s="552"/>
      <c r="FI17" s="552"/>
      <c r="FJ17" s="552"/>
      <c r="FK17" s="552"/>
      <c r="FL17" s="552"/>
      <c r="FM17" s="552"/>
      <c r="FN17" s="552"/>
      <c r="FO17" s="552"/>
      <c r="FP17" s="552"/>
      <c r="FQ17" s="552"/>
      <c r="FR17" s="552"/>
      <c r="FS17" s="552"/>
      <c r="FT17" s="552"/>
      <c r="FU17" s="552"/>
      <c r="FV17" s="552"/>
      <c r="FW17" s="552"/>
      <c r="FX17" s="552"/>
      <c r="FY17" s="552"/>
      <c r="FZ17" s="552"/>
      <c r="GA17" s="552"/>
      <c r="GB17" s="552"/>
      <c r="GC17" s="552"/>
      <c r="GD17" s="552"/>
      <c r="GE17" s="552"/>
      <c r="GF17" s="552"/>
      <c r="GG17" s="552"/>
      <c r="GH17" s="552"/>
      <c r="GI17" s="552"/>
      <c r="GJ17" s="552"/>
      <c r="GK17" s="552"/>
      <c r="GL17" s="552"/>
      <c r="GM17" s="552"/>
      <c r="GN17" s="552"/>
      <c r="GO17" s="552"/>
      <c r="GP17" s="552"/>
      <c r="GQ17" s="552"/>
      <c r="GR17" s="552"/>
      <c r="GS17" s="552"/>
      <c r="GT17" s="552"/>
      <c r="GU17" s="552"/>
      <c r="GV17" s="552"/>
      <c r="GW17" s="552"/>
      <c r="GX17" s="552"/>
      <c r="GY17" s="552"/>
      <c r="GZ17" s="552"/>
      <c r="HA17" s="552"/>
      <c r="HB17" s="552"/>
      <c r="HC17" s="552"/>
      <c r="HD17" s="552"/>
      <c r="HE17" s="552"/>
      <c r="HF17" s="552"/>
      <c r="HG17" s="552"/>
      <c r="HH17" s="552"/>
      <c r="HI17" s="552"/>
      <c r="HJ17" s="552"/>
      <c r="HK17" s="552"/>
      <c r="HL17" s="552"/>
      <c r="HM17" s="552"/>
      <c r="HN17" s="552"/>
      <c r="HO17" s="552"/>
      <c r="HP17" s="552"/>
      <c r="HQ17" s="552"/>
      <c r="HR17" s="552"/>
      <c r="HS17" s="552"/>
      <c r="HT17" s="155"/>
      <c r="HU17" s="155"/>
      <c r="HV17" s="552"/>
      <c r="HW17" s="552"/>
      <c r="HX17" s="552"/>
      <c r="HY17" s="552"/>
      <c r="HZ17" s="552"/>
      <c r="IA17" s="552"/>
      <c r="IB17" s="552"/>
      <c r="IC17" s="552"/>
      <c r="ID17" s="552"/>
      <c r="IE17" s="552"/>
      <c r="IF17" s="552"/>
      <c r="IG17" s="552"/>
      <c r="IH17" s="552"/>
      <c r="II17" s="552"/>
      <c r="IJ17" s="552"/>
      <c r="IK17" s="552"/>
      <c r="IL17" s="552"/>
      <c r="IM17" s="552"/>
      <c r="IN17" s="552"/>
      <c r="IO17" s="552"/>
      <c r="IP17" s="552"/>
      <c r="IQ17" s="552"/>
      <c r="IR17" s="552"/>
      <c r="IS17" s="552"/>
      <c r="IT17" s="552"/>
      <c r="IU17" s="552"/>
      <c r="IV17" s="1229"/>
      <c r="IW17" s="1229"/>
      <c r="IX17" s="1229"/>
      <c r="IY17" s="1229"/>
      <c r="IZ17" s="1228"/>
      <c r="JA17" s="1228"/>
      <c r="JB17" s="1228"/>
      <c r="JC17" s="1228"/>
      <c r="JD17" s="1228"/>
      <c r="JE17" s="507"/>
      <c r="JF17" s="507"/>
      <c r="JG17" s="1229"/>
      <c r="JH17" s="1229"/>
      <c r="JI17" s="1229"/>
      <c r="JJ17" s="1229"/>
      <c r="JK17" s="1228"/>
      <c r="JL17" s="1228"/>
      <c r="JM17" s="1228"/>
      <c r="JN17" s="1228"/>
      <c r="JO17" s="1228"/>
      <c r="JP17" s="507"/>
      <c r="JQ17" s="507"/>
      <c r="JR17" s="1229"/>
      <c r="JS17" s="1229"/>
      <c r="JT17" s="1229"/>
      <c r="JU17" s="1229"/>
      <c r="JV17" s="1228"/>
      <c r="JW17" s="1228"/>
      <c r="JX17" s="1228"/>
      <c r="JY17" s="1228"/>
      <c r="JZ17" s="1228"/>
      <c r="KA17" s="507"/>
      <c r="KB17" s="507"/>
      <c r="KE17" s="552"/>
      <c r="KF17" s="552"/>
      <c r="KH17" s="552"/>
      <c r="KI17" s="552"/>
      <c r="KJ17" s="552"/>
      <c r="KK17" s="552"/>
      <c r="KL17" s="552"/>
      <c r="KM17" s="552"/>
      <c r="KN17" s="552"/>
      <c r="KO17" s="552"/>
      <c r="KP17" s="552"/>
      <c r="KQ17" s="552"/>
      <c r="KR17" s="155"/>
      <c r="KS17" s="155"/>
      <c r="KT17" s="552"/>
      <c r="KU17" s="552"/>
      <c r="KV17" s="1121"/>
      <c r="KW17" s="1121"/>
      <c r="KX17" s="1121"/>
      <c r="KY17" s="1121"/>
      <c r="KZ17" s="1121"/>
      <c r="LA17" s="1121"/>
      <c r="LB17" s="1121"/>
      <c r="LC17" s="1121"/>
      <c r="LD17" s="1121"/>
      <c r="LE17" s="1121"/>
      <c r="LF17" s="1121"/>
      <c r="LG17" s="1121"/>
      <c r="LH17" s="1121"/>
      <c r="LI17" s="1121"/>
      <c r="LJ17" s="1121"/>
      <c r="LK17" s="1121"/>
      <c r="LL17" s="1121"/>
      <c r="LM17" s="1121"/>
      <c r="LN17" s="1121"/>
      <c r="LO17" s="1121"/>
      <c r="LP17" s="1121"/>
      <c r="LQ17" s="1121"/>
      <c r="LR17" s="1121"/>
      <c r="LS17" s="1121"/>
      <c r="LT17" s="1121"/>
      <c r="LV17" s="1123"/>
      <c r="LW17" s="1123"/>
      <c r="LX17" s="1123"/>
      <c r="LY17" s="1123"/>
      <c r="MA17" s="1123"/>
      <c r="MB17" s="1123"/>
      <c r="MC17" s="1123"/>
      <c r="MD17" s="1123"/>
      <c r="ME17" s="1123"/>
      <c r="MF17" s="1123"/>
      <c r="MG17" s="1123"/>
      <c r="MH17" s="1123"/>
      <c r="MI17" s="1123"/>
      <c r="MK17" s="1123"/>
      <c r="ML17" s="1123"/>
      <c r="MM17" s="1123"/>
      <c r="MN17" s="1123"/>
      <c r="MO17" s="1123"/>
      <c r="MQ17" s="1123"/>
      <c r="MR17" s="1123"/>
      <c r="MS17" s="1123"/>
      <c r="MT17" s="1123"/>
      <c r="MU17" s="1123"/>
      <c r="MV17" s="1123"/>
      <c r="MW17" s="1123"/>
      <c r="MX17" s="1123"/>
      <c r="MY17" s="1123"/>
      <c r="MZ17" s="1123"/>
      <c r="NA17" s="1123"/>
      <c r="NB17" s="1123"/>
      <c r="NC17" s="1123"/>
      <c r="ND17" s="1123"/>
      <c r="NE17" s="1123"/>
      <c r="NF17" s="1123"/>
      <c r="NG17" s="1123"/>
      <c r="NH17" s="1123"/>
      <c r="NI17" s="1123"/>
      <c r="NJ17" s="1123"/>
      <c r="NK17" s="1123"/>
      <c r="NL17" s="1123"/>
      <c r="NM17" s="1123"/>
      <c r="NN17" s="1123"/>
      <c r="NP17" s="155"/>
      <c r="NQ17" s="155"/>
      <c r="QN17" s="155"/>
      <c r="QO17" s="155"/>
      <c r="TL17" s="155"/>
    </row>
    <row r="18" spans="1:532" ht="6.75" customHeight="1" thickBot="1" x14ac:dyDescent="0.3">
      <c r="A18" s="155"/>
      <c r="B18" s="512"/>
      <c r="C18" s="1217">
        <f>Strength</f>
        <v>20</v>
      </c>
      <c r="D18" s="1218"/>
      <c r="E18" s="1218"/>
      <c r="F18" s="1218"/>
      <c r="G18" s="1219"/>
      <c r="H18" s="508"/>
      <c r="I18" s="1217">
        <f>Dexterity</f>
        <v>12</v>
      </c>
      <c r="J18" s="1218"/>
      <c r="K18" s="1218"/>
      <c r="L18" s="1218"/>
      <c r="M18" s="1219"/>
      <c r="N18" s="508"/>
      <c r="O18" s="1217">
        <f>Constitution</f>
        <v>12</v>
      </c>
      <c r="P18" s="1218"/>
      <c r="Q18" s="1218"/>
      <c r="R18" s="1218"/>
      <c r="S18" s="1219"/>
      <c r="T18" s="508"/>
      <c r="U18" s="1217">
        <f>Intelligence</f>
        <v>20</v>
      </c>
      <c r="V18" s="1218"/>
      <c r="W18" s="1218"/>
      <c r="X18" s="1218"/>
      <c r="Y18" s="1219"/>
      <c r="Z18" s="507"/>
      <c r="AA18" s="1217">
        <f>Wisdom</f>
        <v>10</v>
      </c>
      <c r="AB18" s="1218"/>
      <c r="AC18" s="1218"/>
      <c r="AD18" s="1218"/>
      <c r="AE18" s="1219"/>
      <c r="AF18" s="508"/>
      <c r="AG18" s="1217">
        <f>Charisma</f>
        <v>10</v>
      </c>
      <c r="AH18" s="1218"/>
      <c r="AI18" s="1218"/>
      <c r="AJ18" s="1218"/>
      <c r="AK18" s="1219"/>
      <c r="AL18" s="514"/>
      <c r="AM18" s="514"/>
      <c r="AN18" s="1224"/>
      <c r="AO18" s="1224"/>
      <c r="AP18" s="1224"/>
      <c r="AQ18" s="1224"/>
      <c r="AR18" s="1224"/>
      <c r="AS18" s="1224"/>
      <c r="AT18" s="1224"/>
      <c r="AU18" s="1224"/>
      <c r="AV18" s="1224"/>
      <c r="AW18" s="1224"/>
      <c r="AX18" s="1224"/>
      <c r="AY18" s="1224"/>
      <c r="AZ18" s="1224"/>
      <c r="BA18" s="1224"/>
      <c r="BB18" s="1224"/>
      <c r="BE18" s="1156"/>
      <c r="BF18" s="1156"/>
      <c r="BG18" s="1156"/>
      <c r="BH18" s="1156"/>
      <c r="BI18" s="1156"/>
      <c r="BJ18" s="1156"/>
      <c r="BK18" s="1156"/>
      <c r="BL18" s="1156"/>
      <c r="BM18" s="1156"/>
      <c r="BN18" s="1156"/>
      <c r="BO18" s="1156"/>
      <c r="BP18" s="1156"/>
      <c r="BQ18" s="1156"/>
      <c r="BR18" s="1156"/>
      <c r="BS18" s="1156"/>
      <c r="BV18" s="514"/>
      <c r="BW18" s="507"/>
      <c r="BX18" s="155"/>
      <c r="BY18" s="155"/>
      <c r="BZ18" s="552"/>
      <c r="CA18" s="1158"/>
      <c r="CB18" s="1159"/>
      <c r="CC18" s="1159"/>
      <c r="CD18" s="1159"/>
      <c r="CE18" s="1159"/>
      <c r="CF18" s="1159"/>
      <c r="CG18" s="1159"/>
      <c r="CH18" s="1159"/>
      <c r="CI18" s="1159"/>
      <c r="CJ18" s="1159"/>
      <c r="CK18" s="1159"/>
      <c r="CL18" s="1159"/>
      <c r="CM18" s="1159"/>
      <c r="CN18" s="1159"/>
      <c r="CO18" s="1159"/>
      <c r="CP18" s="1159"/>
      <c r="CQ18" s="1159"/>
      <c r="CR18" s="1159"/>
      <c r="CS18" s="1159"/>
      <c r="CT18" s="1159"/>
      <c r="CU18" s="1159"/>
      <c r="CV18" s="1159"/>
      <c r="CW18" s="1159"/>
      <c r="CX18" s="1160"/>
      <c r="CZ18" s="1118"/>
      <c r="DA18" s="1118"/>
      <c r="DB18" s="1118"/>
      <c r="DC18" s="1118"/>
      <c r="DD18" s="1118"/>
      <c r="DE18" s="1118"/>
      <c r="DF18" s="1118"/>
      <c r="DG18" s="1118"/>
      <c r="DH18" s="1118"/>
      <c r="DI18" s="1118"/>
      <c r="DJ18" s="1118"/>
      <c r="DK18" s="1118"/>
      <c r="DL18" s="1118"/>
      <c r="DM18" s="1118"/>
      <c r="DN18" s="1118"/>
      <c r="DO18" s="1118"/>
      <c r="DP18" s="1118"/>
      <c r="DQ18" s="1118"/>
      <c r="DR18" s="1118"/>
      <c r="DS18" s="1118"/>
      <c r="DT18" s="1118"/>
      <c r="DU18" s="1118"/>
      <c r="DV18" s="1118"/>
      <c r="DW18" s="1118"/>
      <c r="DY18" s="1120"/>
      <c r="DZ18" s="1120"/>
      <c r="EA18" s="1120"/>
      <c r="EB18" s="1120"/>
      <c r="EC18" s="1120"/>
      <c r="ED18" s="1120"/>
      <c r="EE18" s="1120"/>
      <c r="EF18" s="1120"/>
      <c r="EG18" s="1120"/>
      <c r="EH18" s="1120"/>
      <c r="EI18" s="1120"/>
      <c r="EJ18" s="1120"/>
      <c r="EK18" s="1120"/>
      <c r="EL18" s="1120"/>
      <c r="EM18" s="1120"/>
      <c r="EN18" s="1120"/>
      <c r="EO18" s="1120"/>
      <c r="EP18" s="1120"/>
      <c r="EQ18" s="1120"/>
      <c r="ER18" s="1120"/>
      <c r="ES18" s="1120"/>
      <c r="ET18" s="1120"/>
      <c r="EU18" s="1120"/>
      <c r="EW18" s="155"/>
      <c r="EX18" s="552"/>
      <c r="EY18" s="1137"/>
      <c r="EZ18" s="1137"/>
      <c r="FA18" s="1137"/>
      <c r="FB18" s="1137"/>
      <c r="FC18" s="1137"/>
      <c r="FD18" s="1137"/>
      <c r="FE18" s="1137"/>
      <c r="FF18" s="1137"/>
      <c r="FG18" s="1137"/>
      <c r="FH18" s="552"/>
      <c r="FI18" s="552"/>
      <c r="FJ18" s="552"/>
      <c r="FK18" s="552"/>
      <c r="FL18" s="552"/>
      <c r="FM18" s="552"/>
      <c r="FN18" s="552"/>
      <c r="FO18" s="552"/>
      <c r="FP18" s="552"/>
      <c r="FQ18" s="552"/>
      <c r="FR18" s="552"/>
      <c r="FS18" s="552"/>
      <c r="FT18" s="552"/>
      <c r="FU18" s="552"/>
      <c r="FV18" s="552"/>
      <c r="FW18" s="552"/>
      <c r="FX18" s="552"/>
      <c r="FY18" s="552"/>
      <c r="FZ18" s="552"/>
      <c r="GA18" s="552"/>
      <c r="GB18" s="552"/>
      <c r="GC18" s="552"/>
      <c r="GD18" s="552"/>
      <c r="GE18" s="552"/>
      <c r="GF18" s="552"/>
      <c r="GG18" s="552"/>
      <c r="GH18" s="552"/>
      <c r="GI18" s="552"/>
      <c r="GJ18" s="552"/>
      <c r="GK18" s="552"/>
      <c r="GL18" s="552"/>
      <c r="GM18" s="552"/>
      <c r="GN18" s="552"/>
      <c r="GO18" s="552"/>
      <c r="GP18" s="552"/>
      <c r="GQ18" s="552"/>
      <c r="GR18" s="552"/>
      <c r="GS18" s="552"/>
      <c r="GT18" s="552"/>
      <c r="GU18" s="552"/>
      <c r="GV18" s="552"/>
      <c r="GW18" s="552"/>
      <c r="GX18" s="552"/>
      <c r="GY18" s="552"/>
      <c r="GZ18" s="552"/>
      <c r="HA18" s="552"/>
      <c r="HB18" s="552"/>
      <c r="HC18" s="552"/>
      <c r="HD18" s="552"/>
      <c r="HE18" s="552"/>
      <c r="HF18" s="552"/>
      <c r="HG18" s="552"/>
      <c r="HH18" s="552"/>
      <c r="HI18" s="552"/>
      <c r="HJ18" s="552"/>
      <c r="HK18" s="552"/>
      <c r="HL18" s="552"/>
      <c r="HM18" s="552"/>
      <c r="HN18" s="552"/>
      <c r="HO18" s="552"/>
      <c r="HP18" s="552"/>
      <c r="HQ18" s="552"/>
      <c r="HR18" s="552"/>
      <c r="HS18" s="552"/>
      <c r="HT18" s="155"/>
      <c r="HU18" s="155"/>
      <c r="HV18" s="552"/>
      <c r="HW18" s="552"/>
      <c r="HX18" s="552"/>
      <c r="HY18" s="552"/>
      <c r="HZ18" s="552"/>
      <c r="IA18" s="552"/>
      <c r="IB18" s="552"/>
      <c r="IC18" s="552"/>
      <c r="ID18" s="552"/>
      <c r="IE18" s="552"/>
      <c r="IF18" s="552"/>
      <c r="IG18" s="552"/>
      <c r="IH18" s="552"/>
      <c r="II18" s="552"/>
      <c r="IJ18" s="552"/>
      <c r="IK18" s="552"/>
      <c r="IL18" s="552"/>
      <c r="IM18" s="552"/>
      <c r="IN18" s="552"/>
      <c r="IO18" s="552"/>
      <c r="IP18" s="552"/>
      <c r="IQ18" s="552"/>
      <c r="IR18" s="552"/>
      <c r="IS18" s="552"/>
      <c r="IT18" s="552"/>
      <c r="IU18" s="552"/>
      <c r="IV18" s="1229" t="s">
        <v>117</v>
      </c>
      <c r="IW18" s="1229"/>
      <c r="IX18" s="1229"/>
      <c r="IY18" s="1229"/>
      <c r="IZ18" s="1228">
        <f>DexterityST</f>
        <v>1</v>
      </c>
      <c r="JA18" s="1228"/>
      <c r="JB18" s="1228"/>
      <c r="JC18" s="1228"/>
      <c r="JD18" s="1228"/>
      <c r="JE18" s="507"/>
      <c r="JF18" s="507"/>
      <c r="JG18" s="1229" t="s">
        <v>509</v>
      </c>
      <c r="JH18" s="1229"/>
      <c r="JI18" s="1229"/>
      <c r="JJ18" s="1229"/>
      <c r="JK18" s="1228">
        <f>IntelligenceST</f>
        <v>5</v>
      </c>
      <c r="JL18" s="1228"/>
      <c r="JM18" s="1228"/>
      <c r="JN18" s="1228"/>
      <c r="JO18" s="1228"/>
      <c r="JP18" s="507"/>
      <c r="JQ18" s="507"/>
      <c r="JR18" s="1229" t="s">
        <v>511</v>
      </c>
      <c r="JS18" s="1229"/>
      <c r="JT18" s="1229"/>
      <c r="JU18" s="1229"/>
      <c r="JV18" s="1228">
        <f>CharismaST</f>
        <v>0</v>
      </c>
      <c r="JW18" s="1228"/>
      <c r="JX18" s="1228"/>
      <c r="JY18" s="1228"/>
      <c r="JZ18" s="1228"/>
      <c r="KA18" s="507"/>
      <c r="KB18" s="507"/>
      <c r="KE18" s="552"/>
      <c r="KF18" s="552"/>
      <c r="KH18" s="552"/>
      <c r="KI18" s="552"/>
      <c r="KJ18" s="552"/>
      <c r="KK18" s="552"/>
      <c r="KL18" s="552"/>
      <c r="KM18" s="552"/>
      <c r="KN18" s="552"/>
      <c r="KO18" s="552"/>
      <c r="KP18" s="552"/>
      <c r="KQ18" s="552"/>
      <c r="KR18" s="155"/>
      <c r="KS18" s="155"/>
      <c r="KT18" s="552"/>
      <c r="KU18" s="552"/>
      <c r="KV18" s="1120"/>
      <c r="KW18" s="1120"/>
      <c r="KX18" s="1120"/>
      <c r="KY18" s="1120"/>
      <c r="KZ18" s="1120"/>
      <c r="LA18" s="1120"/>
      <c r="LB18" s="1120"/>
      <c r="LC18" s="1120"/>
      <c r="LD18" s="1120"/>
      <c r="LE18" s="1120"/>
      <c r="LF18" s="1120"/>
      <c r="LG18" s="1120"/>
      <c r="LH18" s="1120"/>
      <c r="LI18" s="1120"/>
      <c r="LJ18" s="1120"/>
      <c r="LK18" s="1120"/>
      <c r="LL18" s="1120"/>
      <c r="LM18" s="1120"/>
      <c r="LN18" s="1120"/>
      <c r="LO18" s="1120"/>
      <c r="LP18" s="1120"/>
      <c r="LQ18" s="1120"/>
      <c r="LR18" s="1120"/>
      <c r="LS18" s="1120"/>
      <c r="LT18" s="1120"/>
      <c r="LV18" s="1122"/>
      <c r="LW18" s="1122"/>
      <c r="LX18" s="1122"/>
      <c r="LY18" s="1122"/>
      <c r="MA18" s="1122"/>
      <c r="MB18" s="1122"/>
      <c r="MC18" s="1122"/>
      <c r="MD18" s="1122"/>
      <c r="ME18" s="1122"/>
      <c r="MF18" s="1122"/>
      <c r="MG18" s="1122"/>
      <c r="MH18" s="1122"/>
      <c r="MI18" s="1122"/>
      <c r="MK18" s="1122"/>
      <c r="ML18" s="1122"/>
      <c r="MM18" s="1122"/>
      <c r="MN18" s="1122"/>
      <c r="MO18" s="1122"/>
      <c r="NP18" s="155"/>
      <c r="NQ18" s="155"/>
      <c r="QN18" s="155"/>
      <c r="QO18" s="155"/>
      <c r="TL18" s="155"/>
    </row>
    <row r="19" spans="1:532" ht="6.75" customHeight="1" thickBot="1" x14ac:dyDescent="0.3">
      <c r="A19" s="155"/>
      <c r="B19" s="512"/>
      <c r="C19" s="1220"/>
      <c r="D19" s="1221"/>
      <c r="E19" s="1221"/>
      <c r="F19" s="1221"/>
      <c r="G19" s="1222"/>
      <c r="H19" s="508"/>
      <c r="I19" s="1220"/>
      <c r="J19" s="1221"/>
      <c r="K19" s="1221"/>
      <c r="L19" s="1221"/>
      <c r="M19" s="1222"/>
      <c r="N19" s="508"/>
      <c r="O19" s="1220"/>
      <c r="P19" s="1221"/>
      <c r="Q19" s="1221"/>
      <c r="R19" s="1221"/>
      <c r="S19" s="1222"/>
      <c r="T19" s="508"/>
      <c r="U19" s="1220"/>
      <c r="V19" s="1221"/>
      <c r="W19" s="1221"/>
      <c r="X19" s="1221"/>
      <c r="Y19" s="1222"/>
      <c r="Z19" s="507"/>
      <c r="AA19" s="1220"/>
      <c r="AB19" s="1221"/>
      <c r="AC19" s="1221"/>
      <c r="AD19" s="1221"/>
      <c r="AE19" s="1222"/>
      <c r="AF19" s="508"/>
      <c r="AG19" s="1220"/>
      <c r="AH19" s="1221"/>
      <c r="AI19" s="1221"/>
      <c r="AJ19" s="1221"/>
      <c r="AK19" s="1222"/>
      <c r="AL19" s="514"/>
      <c r="AM19" s="514"/>
      <c r="AN19" s="507"/>
      <c r="AO19" s="507"/>
      <c r="AP19" s="1157" t="s">
        <v>6262</v>
      </c>
      <c r="AQ19" s="1157"/>
      <c r="AR19" s="1157"/>
      <c r="AS19" s="1157"/>
      <c r="AT19" s="1157"/>
      <c r="AU19" s="1157"/>
      <c r="AV19" s="1157"/>
      <c r="AW19" s="1157"/>
      <c r="AX19" s="1157"/>
      <c r="AY19" s="1157"/>
      <c r="AZ19" s="1157"/>
      <c r="BA19" s="507"/>
      <c r="BB19" s="507"/>
      <c r="BE19" s="507"/>
      <c r="BF19" s="507"/>
      <c r="BG19" s="1157" t="s">
        <v>6263</v>
      </c>
      <c r="BH19" s="1157"/>
      <c r="BI19" s="1157"/>
      <c r="BJ19" s="1157"/>
      <c r="BK19" s="1157"/>
      <c r="BL19" s="1157"/>
      <c r="BM19" s="1157"/>
      <c r="BN19" s="1157"/>
      <c r="BO19" s="1157"/>
      <c r="BP19" s="1157"/>
      <c r="BQ19" s="1157"/>
      <c r="BR19" s="507"/>
      <c r="BS19" s="507"/>
      <c r="BV19" s="514"/>
      <c r="BW19" s="507"/>
      <c r="BX19" s="155"/>
      <c r="BY19" s="155"/>
      <c r="BZ19" s="552"/>
      <c r="CA19" s="1158"/>
      <c r="CB19" s="1159"/>
      <c r="CC19" s="1159"/>
      <c r="CD19" s="1159"/>
      <c r="CE19" s="1159"/>
      <c r="CF19" s="1159"/>
      <c r="CG19" s="1159"/>
      <c r="CH19" s="1159"/>
      <c r="CI19" s="1159"/>
      <c r="CJ19" s="1159"/>
      <c r="CK19" s="1159"/>
      <c r="CL19" s="1159"/>
      <c r="CM19" s="1159"/>
      <c r="CN19" s="1159"/>
      <c r="CO19" s="1159"/>
      <c r="CP19" s="1159"/>
      <c r="CQ19" s="1159"/>
      <c r="CR19" s="1159"/>
      <c r="CS19" s="1159"/>
      <c r="CT19" s="1159"/>
      <c r="CU19" s="1159"/>
      <c r="CV19" s="1159"/>
      <c r="CW19" s="1159"/>
      <c r="CX19" s="1160"/>
      <c r="CZ19" s="1118"/>
      <c r="DA19" s="1118"/>
      <c r="DB19" s="1118"/>
      <c r="DC19" s="1118"/>
      <c r="DD19" s="1118"/>
      <c r="DE19" s="1118"/>
      <c r="DF19" s="1118"/>
      <c r="DG19" s="1118"/>
      <c r="DH19" s="1118"/>
      <c r="DI19" s="1118"/>
      <c r="DJ19" s="1118"/>
      <c r="DK19" s="1118"/>
      <c r="DL19" s="1118"/>
      <c r="DM19" s="1118"/>
      <c r="DN19" s="1118"/>
      <c r="DO19" s="1118"/>
      <c r="DP19" s="1118"/>
      <c r="DQ19" s="1118"/>
      <c r="DR19" s="1118"/>
      <c r="DS19" s="1118"/>
      <c r="DT19" s="1118"/>
      <c r="DU19" s="1118"/>
      <c r="DV19" s="1118"/>
      <c r="DW19" s="1118"/>
      <c r="DY19" s="1121"/>
      <c r="DZ19" s="1121"/>
      <c r="EA19" s="1121"/>
      <c r="EB19" s="1121"/>
      <c r="EC19" s="1121"/>
      <c r="ED19" s="1121"/>
      <c r="EE19" s="1121"/>
      <c r="EF19" s="1121"/>
      <c r="EG19" s="1121"/>
      <c r="EH19" s="1121"/>
      <c r="EI19" s="1121"/>
      <c r="EJ19" s="1121"/>
      <c r="EK19" s="1121"/>
      <c r="EL19" s="1121"/>
      <c r="EM19" s="1121"/>
      <c r="EN19" s="1121"/>
      <c r="EO19" s="1121"/>
      <c r="EP19" s="1121"/>
      <c r="EQ19" s="1121"/>
      <c r="ER19" s="1121"/>
      <c r="ES19" s="1121"/>
      <c r="ET19" s="1121"/>
      <c r="EU19" s="1121"/>
      <c r="EW19" s="155"/>
      <c r="EX19" s="552"/>
      <c r="EY19" s="552"/>
      <c r="EZ19" s="552"/>
      <c r="FA19" s="552"/>
      <c r="FB19" s="552"/>
      <c r="FC19" s="552"/>
      <c r="FD19" s="552"/>
      <c r="FE19" s="552"/>
      <c r="FF19" s="552"/>
      <c r="FG19" s="552"/>
      <c r="FH19" s="552"/>
      <c r="FI19" s="552"/>
      <c r="FJ19" s="552"/>
      <c r="FK19" s="552"/>
      <c r="FL19" s="552"/>
      <c r="FM19" s="552"/>
      <c r="FN19" s="552"/>
      <c r="FO19" s="552"/>
      <c r="FP19" s="552"/>
      <c r="FQ19" s="552"/>
      <c r="FR19" s="552"/>
      <c r="FS19" s="552"/>
      <c r="FT19" s="552"/>
      <c r="FU19" s="552"/>
      <c r="FV19" s="552"/>
      <c r="FW19" s="552"/>
      <c r="FX19" s="552"/>
      <c r="FY19" s="552"/>
      <c r="FZ19" s="552"/>
      <c r="GA19" s="552"/>
      <c r="GB19" s="552"/>
      <c r="GC19" s="552"/>
      <c r="GD19" s="552"/>
      <c r="GE19" s="552"/>
      <c r="GF19" s="552"/>
      <c r="GG19" s="552"/>
      <c r="GH19" s="552"/>
      <c r="GI19" s="552"/>
      <c r="GJ19" s="552"/>
      <c r="GK19" s="552"/>
      <c r="GL19" s="552"/>
      <c r="GM19" s="552"/>
      <c r="GN19" s="552"/>
      <c r="GO19" s="552"/>
      <c r="GP19" s="552"/>
      <c r="GQ19" s="552"/>
      <c r="GR19" s="552"/>
      <c r="GS19" s="552"/>
      <c r="GT19" s="552"/>
      <c r="GU19" s="552"/>
      <c r="GV19" s="552"/>
      <c r="GW19" s="552"/>
      <c r="GX19" s="552"/>
      <c r="GY19" s="552"/>
      <c r="GZ19" s="552"/>
      <c r="HA19" s="552"/>
      <c r="HB19" s="552"/>
      <c r="HC19" s="552"/>
      <c r="HD19" s="552"/>
      <c r="HE19" s="552"/>
      <c r="HF19" s="552"/>
      <c r="HG19" s="552"/>
      <c r="HH19" s="552"/>
      <c r="HI19" s="552"/>
      <c r="HJ19" s="552"/>
      <c r="HK19" s="552"/>
      <c r="HL19" s="552"/>
      <c r="HM19" s="552"/>
      <c r="HN19" s="552"/>
      <c r="HO19" s="552"/>
      <c r="HP19" s="552"/>
      <c r="HQ19" s="552"/>
      <c r="HR19" s="552"/>
      <c r="HS19" s="552"/>
      <c r="HT19" s="155"/>
      <c r="HU19" s="155"/>
      <c r="HV19" s="552"/>
      <c r="HW19" s="552"/>
      <c r="HX19" s="552"/>
      <c r="HY19" s="552"/>
      <c r="HZ19" s="552"/>
      <c r="IA19" s="552"/>
      <c r="IB19" s="552"/>
      <c r="IC19" s="552"/>
      <c r="ID19" s="552"/>
      <c r="IE19" s="552"/>
      <c r="IF19" s="552"/>
      <c r="IG19" s="552"/>
      <c r="IH19" s="552"/>
      <c r="II19" s="552"/>
      <c r="IJ19" s="552"/>
      <c r="IK19" s="552"/>
      <c r="IL19" s="552"/>
      <c r="IM19" s="552"/>
      <c r="IN19" s="552"/>
      <c r="IO19" s="552"/>
      <c r="IP19" s="552"/>
      <c r="IQ19" s="552"/>
      <c r="IR19" s="552"/>
      <c r="IS19" s="552"/>
      <c r="IT19" s="552"/>
      <c r="IU19" s="552"/>
      <c r="IV19" s="1229"/>
      <c r="IW19" s="1229"/>
      <c r="IX19" s="1229"/>
      <c r="IY19" s="1229"/>
      <c r="IZ19" s="1228"/>
      <c r="JA19" s="1228"/>
      <c r="JB19" s="1228"/>
      <c r="JC19" s="1228"/>
      <c r="JD19" s="1228"/>
      <c r="JE19" s="1133" t="str">
        <f>IF(DexST=1,"●","○")</f>
        <v>○</v>
      </c>
      <c r="JF19" s="1133"/>
      <c r="JG19" s="1229"/>
      <c r="JH19" s="1229"/>
      <c r="JI19" s="1229"/>
      <c r="JJ19" s="1229"/>
      <c r="JK19" s="1228"/>
      <c r="JL19" s="1228"/>
      <c r="JM19" s="1228"/>
      <c r="JN19" s="1228"/>
      <c r="JO19" s="1228"/>
      <c r="JP19" s="1133" t="str">
        <f>IF(IntST=1,"●","○")</f>
        <v>○</v>
      </c>
      <c r="JQ19" s="1133"/>
      <c r="JR19" s="1229"/>
      <c r="JS19" s="1229"/>
      <c r="JT19" s="1229"/>
      <c r="JU19" s="1229"/>
      <c r="JV19" s="1228"/>
      <c r="JW19" s="1228"/>
      <c r="JX19" s="1228"/>
      <c r="JY19" s="1228"/>
      <c r="JZ19" s="1228"/>
      <c r="KA19" s="1133" t="str">
        <f>IF(ChaST=1,"●","○")</f>
        <v>○</v>
      </c>
      <c r="KB19" s="1133"/>
      <c r="KE19" s="552"/>
      <c r="KF19" s="552"/>
      <c r="KG19" s="552"/>
      <c r="KH19" s="552"/>
      <c r="KI19" s="552"/>
      <c r="KJ19" s="552"/>
      <c r="KK19" s="552"/>
      <c r="KL19" s="552"/>
      <c r="KM19" s="552"/>
      <c r="KN19" s="552"/>
      <c r="KO19" s="552"/>
      <c r="KP19" s="552"/>
      <c r="KQ19" s="552"/>
      <c r="KR19" s="155"/>
      <c r="KS19" s="155"/>
      <c r="KT19" s="552"/>
      <c r="KU19" s="552"/>
      <c r="KV19" s="1121"/>
      <c r="KW19" s="1121"/>
      <c r="KX19" s="1121"/>
      <c r="KY19" s="1121"/>
      <c r="KZ19" s="1121"/>
      <c r="LA19" s="1121"/>
      <c r="LB19" s="1121"/>
      <c r="LC19" s="1121"/>
      <c r="LD19" s="1121"/>
      <c r="LE19" s="1121"/>
      <c r="LF19" s="1121"/>
      <c r="LG19" s="1121"/>
      <c r="LH19" s="1121"/>
      <c r="LI19" s="1121"/>
      <c r="LJ19" s="1121"/>
      <c r="LK19" s="1121"/>
      <c r="LL19" s="1121"/>
      <c r="LM19" s="1121"/>
      <c r="LN19" s="1121"/>
      <c r="LO19" s="1121"/>
      <c r="LP19" s="1121"/>
      <c r="LQ19" s="1121"/>
      <c r="LR19" s="1121"/>
      <c r="LS19" s="1121"/>
      <c r="LT19" s="1121"/>
      <c r="LV19" s="1123"/>
      <c r="LW19" s="1123"/>
      <c r="LX19" s="1123"/>
      <c r="LY19" s="1123"/>
      <c r="MA19" s="1123"/>
      <c r="MB19" s="1123"/>
      <c r="MC19" s="1123"/>
      <c r="MD19" s="1123"/>
      <c r="ME19" s="1123"/>
      <c r="MF19" s="1123"/>
      <c r="MG19" s="1123"/>
      <c r="MH19" s="1123"/>
      <c r="MI19" s="1123"/>
      <c r="MK19" s="1123"/>
      <c r="ML19" s="1123"/>
      <c r="MM19" s="1123"/>
      <c r="MN19" s="1123"/>
      <c r="MO19" s="1123"/>
      <c r="MQ19" s="1124" t="s">
        <v>6617</v>
      </c>
      <c r="MR19" s="1125"/>
      <c r="MS19" s="1125"/>
      <c r="MT19" s="1125"/>
      <c r="MU19" s="1125"/>
      <c r="MV19" s="1125"/>
      <c r="MW19" s="1125"/>
      <c r="MX19" s="1125"/>
      <c r="MY19" s="1125"/>
      <c r="MZ19" s="1125"/>
      <c r="NA19" s="1125"/>
      <c r="NB19" s="1125"/>
      <c r="NC19" s="1125"/>
      <c r="ND19" s="1125"/>
      <c r="NE19" s="1125"/>
      <c r="NF19" s="1125"/>
      <c r="NG19" s="1125"/>
      <c r="NH19" s="1125"/>
      <c r="NI19" s="1125"/>
      <c r="NJ19" s="1125"/>
      <c r="NK19" s="1125"/>
      <c r="NL19" s="1125"/>
      <c r="NM19" s="1125"/>
      <c r="NN19" s="1126"/>
      <c r="NP19" s="155"/>
      <c r="NQ19" s="155"/>
      <c r="QN19" s="155"/>
      <c r="QO19" s="155"/>
      <c r="TL19" s="155"/>
    </row>
    <row r="20" spans="1:532" ht="6.75" customHeight="1" x14ac:dyDescent="0.35">
      <c r="A20" s="155"/>
      <c r="B20" s="512"/>
      <c r="C20" s="1202">
        <f>StrMod</f>
        <v>5</v>
      </c>
      <c r="D20" s="1203"/>
      <c r="E20" s="1203"/>
      <c r="F20" s="1203"/>
      <c r="G20" s="1204"/>
      <c r="H20" s="621"/>
      <c r="I20" s="1202">
        <f>DexMOD</f>
        <v>1</v>
      </c>
      <c r="J20" s="1203"/>
      <c r="K20" s="1203"/>
      <c r="L20" s="1203"/>
      <c r="M20" s="1204"/>
      <c r="N20" s="621"/>
      <c r="O20" s="1202">
        <f>ConMOD</f>
        <v>1</v>
      </c>
      <c r="P20" s="1203"/>
      <c r="Q20" s="1203"/>
      <c r="R20" s="1203"/>
      <c r="S20" s="1204"/>
      <c r="T20" s="621"/>
      <c r="U20" s="1202">
        <f>IntMOD</f>
        <v>5</v>
      </c>
      <c r="V20" s="1203"/>
      <c r="W20" s="1203"/>
      <c r="X20" s="1203"/>
      <c r="Y20" s="1204"/>
      <c r="Z20" s="622"/>
      <c r="AA20" s="1202">
        <f>WisMOD</f>
        <v>0</v>
      </c>
      <c r="AB20" s="1203"/>
      <c r="AC20" s="1203"/>
      <c r="AD20" s="1203"/>
      <c r="AE20" s="1204"/>
      <c r="AF20" s="621"/>
      <c r="AG20" s="1202">
        <f>ChaMOD</f>
        <v>0</v>
      </c>
      <c r="AH20" s="1203"/>
      <c r="AI20" s="1203"/>
      <c r="AJ20" s="1203"/>
      <c r="AK20" s="1204"/>
      <c r="AL20" s="514"/>
      <c r="AM20" s="514"/>
      <c r="AN20" s="507"/>
      <c r="AO20" s="507"/>
      <c r="AP20" s="1157"/>
      <c r="AQ20" s="1157"/>
      <c r="AR20" s="1157"/>
      <c r="AS20" s="1157"/>
      <c r="AT20" s="1157"/>
      <c r="AU20" s="1157"/>
      <c r="AV20" s="1157"/>
      <c r="AW20" s="1157"/>
      <c r="AX20" s="1157"/>
      <c r="AY20" s="1157"/>
      <c r="AZ20" s="1157"/>
      <c r="BA20" s="507"/>
      <c r="BB20" s="507"/>
      <c r="BE20" s="507"/>
      <c r="BF20" s="507"/>
      <c r="BG20" s="1157"/>
      <c r="BH20" s="1157"/>
      <c r="BI20" s="1157"/>
      <c r="BJ20" s="1157"/>
      <c r="BK20" s="1157"/>
      <c r="BL20" s="1157"/>
      <c r="BM20" s="1157"/>
      <c r="BN20" s="1157"/>
      <c r="BO20" s="1157"/>
      <c r="BP20" s="1157"/>
      <c r="BQ20" s="1157"/>
      <c r="BR20" s="507"/>
      <c r="BS20" s="507"/>
      <c r="BV20" s="514"/>
      <c r="BW20" s="507"/>
      <c r="BX20" s="155"/>
      <c r="BY20" s="155"/>
      <c r="BZ20" s="552"/>
      <c r="CA20" s="1158"/>
      <c r="CB20" s="1159"/>
      <c r="CC20" s="1159"/>
      <c r="CD20" s="1159"/>
      <c r="CE20" s="1159"/>
      <c r="CF20" s="1159"/>
      <c r="CG20" s="1159"/>
      <c r="CH20" s="1159"/>
      <c r="CI20" s="1159"/>
      <c r="CJ20" s="1159"/>
      <c r="CK20" s="1159"/>
      <c r="CL20" s="1159"/>
      <c r="CM20" s="1159"/>
      <c r="CN20" s="1159"/>
      <c r="CO20" s="1159"/>
      <c r="CP20" s="1159"/>
      <c r="CQ20" s="1159"/>
      <c r="CR20" s="1159"/>
      <c r="CS20" s="1159"/>
      <c r="CT20" s="1159"/>
      <c r="CU20" s="1159"/>
      <c r="CV20" s="1159"/>
      <c r="CW20" s="1159"/>
      <c r="CX20" s="1160"/>
      <c r="CZ20" s="1118"/>
      <c r="DA20" s="1118"/>
      <c r="DB20" s="1118"/>
      <c r="DC20" s="1118"/>
      <c r="DD20" s="1118"/>
      <c r="DE20" s="1118"/>
      <c r="DF20" s="1118"/>
      <c r="DG20" s="1118"/>
      <c r="DH20" s="1118"/>
      <c r="DI20" s="1118"/>
      <c r="DJ20" s="1118"/>
      <c r="DK20" s="1118"/>
      <c r="DL20" s="1118"/>
      <c r="DM20" s="1118"/>
      <c r="DN20" s="1118"/>
      <c r="DO20" s="1118"/>
      <c r="DP20" s="1118"/>
      <c r="DQ20" s="1118"/>
      <c r="DR20" s="1118"/>
      <c r="DS20" s="1118"/>
      <c r="DT20" s="1118"/>
      <c r="DU20" s="1118"/>
      <c r="DV20" s="1118"/>
      <c r="DW20" s="1118"/>
      <c r="DY20" s="1120"/>
      <c r="DZ20" s="1120"/>
      <c r="EA20" s="1120"/>
      <c r="EB20" s="1120"/>
      <c r="EC20" s="1120"/>
      <c r="ED20" s="1120"/>
      <c r="EE20" s="1120"/>
      <c r="EF20" s="1120"/>
      <c r="EG20" s="1120"/>
      <c r="EH20" s="1120"/>
      <c r="EI20" s="1120"/>
      <c r="EJ20" s="1120"/>
      <c r="EK20" s="1120"/>
      <c r="EL20" s="1120"/>
      <c r="EM20" s="1120"/>
      <c r="EN20" s="1120"/>
      <c r="EO20" s="1120"/>
      <c r="EP20" s="1120"/>
      <c r="EQ20" s="1120"/>
      <c r="ER20" s="1120"/>
      <c r="ES20" s="1120"/>
      <c r="ET20" s="1120"/>
      <c r="EU20" s="1120"/>
      <c r="EW20" s="155"/>
      <c r="EX20" s="552"/>
      <c r="EY20" s="1137" t="s">
        <v>6564</v>
      </c>
      <c r="EZ20" s="1137"/>
      <c r="FA20" s="1137"/>
      <c r="FB20" s="1137"/>
      <c r="FC20" s="1137"/>
      <c r="FD20" s="1137"/>
      <c r="FE20" s="1137"/>
      <c r="FF20" s="1137"/>
      <c r="FG20" s="1137"/>
      <c r="FH20" s="552"/>
      <c r="FI20" s="552"/>
      <c r="FJ20" s="552"/>
      <c r="FK20" s="552"/>
      <c r="FL20" s="552"/>
      <c r="FM20" s="552"/>
      <c r="FN20" s="552"/>
      <c r="FO20" s="552"/>
      <c r="FP20" s="552"/>
      <c r="FQ20" s="552"/>
      <c r="FR20" s="552"/>
      <c r="FS20" s="552"/>
      <c r="FT20" s="552"/>
      <c r="FU20" s="552"/>
      <c r="FV20" s="552"/>
      <c r="FW20" s="552"/>
      <c r="FX20" s="552"/>
      <c r="FY20" s="552"/>
      <c r="FZ20" s="552"/>
      <c r="GA20" s="552"/>
      <c r="GB20" s="552"/>
      <c r="GC20" s="552"/>
      <c r="GD20" s="552"/>
      <c r="GE20" s="552"/>
      <c r="GF20" s="552"/>
      <c r="GG20" s="552"/>
      <c r="GH20" s="552"/>
      <c r="GI20" s="552"/>
      <c r="GJ20" s="552"/>
      <c r="GK20" s="552"/>
      <c r="GL20" s="552"/>
      <c r="GM20" s="552"/>
      <c r="GN20" s="552"/>
      <c r="GO20" s="552"/>
      <c r="GP20" s="552"/>
      <c r="GQ20" s="552"/>
      <c r="GR20" s="552"/>
      <c r="GS20" s="552"/>
      <c r="GT20" s="552"/>
      <c r="GU20" s="552"/>
      <c r="GV20" s="552"/>
      <c r="GW20" s="552"/>
      <c r="GX20" s="552"/>
      <c r="GY20" s="552"/>
      <c r="GZ20" s="552"/>
      <c r="HA20" s="552"/>
      <c r="HB20" s="552"/>
      <c r="HC20" s="552"/>
      <c r="HD20" s="552"/>
      <c r="HE20" s="552"/>
      <c r="HF20" s="552"/>
      <c r="HG20" s="552"/>
      <c r="HH20" s="552"/>
      <c r="HI20" s="552"/>
      <c r="HJ20" s="552"/>
      <c r="HK20" s="552"/>
      <c r="HL20" s="552"/>
      <c r="HM20" s="552"/>
      <c r="HN20" s="552"/>
      <c r="HO20" s="552"/>
      <c r="HP20" s="552"/>
      <c r="HQ20" s="552"/>
      <c r="HR20" s="552"/>
      <c r="HS20" s="552"/>
      <c r="HT20" s="155"/>
      <c r="HU20" s="155"/>
      <c r="HV20" s="552"/>
      <c r="HW20" s="552"/>
      <c r="HX20" s="552"/>
      <c r="HY20" s="552"/>
      <c r="HZ20" s="552"/>
      <c r="IA20" s="552"/>
      <c r="IB20" s="552"/>
      <c r="IC20" s="552"/>
      <c r="ID20" s="552"/>
      <c r="IE20" s="552"/>
      <c r="IF20" s="552"/>
      <c r="IG20" s="552"/>
      <c r="IH20" s="552"/>
      <c r="II20" s="552"/>
      <c r="IJ20" s="552"/>
      <c r="IK20" s="552"/>
      <c r="IL20" s="552"/>
      <c r="IM20" s="552"/>
      <c r="IN20" s="552"/>
      <c r="IO20" s="552"/>
      <c r="IP20" s="552"/>
      <c r="IQ20" s="552"/>
      <c r="IR20" s="552"/>
      <c r="IS20" s="552"/>
      <c r="IT20" s="552"/>
      <c r="IU20" s="552"/>
      <c r="IV20" s="1229"/>
      <c r="IW20" s="1229"/>
      <c r="IX20" s="1229"/>
      <c r="IY20" s="1229"/>
      <c r="IZ20" s="1228"/>
      <c r="JA20" s="1228"/>
      <c r="JB20" s="1228"/>
      <c r="JC20" s="1228"/>
      <c r="JD20" s="1228"/>
      <c r="JE20" s="1133"/>
      <c r="JF20" s="1133"/>
      <c r="JG20" s="1229"/>
      <c r="JH20" s="1229"/>
      <c r="JI20" s="1229"/>
      <c r="JJ20" s="1229"/>
      <c r="JK20" s="1228"/>
      <c r="JL20" s="1228"/>
      <c r="JM20" s="1228"/>
      <c r="JN20" s="1228"/>
      <c r="JO20" s="1228"/>
      <c r="JP20" s="1133"/>
      <c r="JQ20" s="1133"/>
      <c r="JR20" s="1229"/>
      <c r="JS20" s="1229"/>
      <c r="JT20" s="1229"/>
      <c r="JU20" s="1229"/>
      <c r="JV20" s="1228"/>
      <c r="JW20" s="1228"/>
      <c r="JX20" s="1228"/>
      <c r="JY20" s="1228"/>
      <c r="JZ20" s="1228"/>
      <c r="KA20" s="1133"/>
      <c r="KB20" s="1133"/>
      <c r="KE20" s="552"/>
      <c r="KF20" s="552"/>
      <c r="KG20" s="552"/>
      <c r="KH20" s="552"/>
      <c r="KI20" s="552"/>
      <c r="KJ20" s="552"/>
      <c r="KK20" s="552"/>
      <c r="KL20" s="552"/>
      <c r="KM20" s="552"/>
      <c r="KN20" s="552"/>
      <c r="KO20" s="552"/>
      <c r="KP20" s="552"/>
      <c r="KQ20" s="552"/>
      <c r="KR20" s="155"/>
      <c r="KS20" s="155"/>
      <c r="KT20" s="552"/>
      <c r="KU20" s="552"/>
      <c r="KV20" s="1120"/>
      <c r="KW20" s="1120"/>
      <c r="KX20" s="1120"/>
      <c r="KY20" s="1120"/>
      <c r="KZ20" s="1120"/>
      <c r="LA20" s="1120"/>
      <c r="LB20" s="1120"/>
      <c r="LC20" s="1120"/>
      <c r="LD20" s="1120"/>
      <c r="LE20" s="1120"/>
      <c r="LF20" s="1120"/>
      <c r="LG20" s="1120"/>
      <c r="LH20" s="1120"/>
      <c r="LI20" s="1120"/>
      <c r="LJ20" s="1120"/>
      <c r="LK20" s="1120"/>
      <c r="LL20" s="1120"/>
      <c r="LM20" s="1120"/>
      <c r="LN20" s="1120"/>
      <c r="LO20" s="1120"/>
      <c r="LP20" s="1120"/>
      <c r="LQ20" s="1120"/>
      <c r="LR20" s="1120"/>
      <c r="LS20" s="1120"/>
      <c r="LT20" s="1120"/>
      <c r="LV20" s="1122"/>
      <c r="LW20" s="1122"/>
      <c r="LX20" s="1122"/>
      <c r="LY20" s="1122"/>
      <c r="MA20" s="1122"/>
      <c r="MB20" s="1122"/>
      <c r="MC20" s="1122"/>
      <c r="MD20" s="1122"/>
      <c r="ME20" s="1122"/>
      <c r="MF20" s="1122"/>
      <c r="MG20" s="1122"/>
      <c r="MH20" s="1122"/>
      <c r="MI20" s="1122"/>
      <c r="MK20" s="1122"/>
      <c r="ML20" s="1122"/>
      <c r="MM20" s="1122"/>
      <c r="MN20" s="1122"/>
      <c r="MO20" s="1122"/>
      <c r="MQ20" s="1127"/>
      <c r="MR20" s="1128"/>
      <c r="MS20" s="1128"/>
      <c r="MT20" s="1128"/>
      <c r="MU20" s="1128"/>
      <c r="MV20" s="1128"/>
      <c r="MW20" s="1128"/>
      <c r="MX20" s="1128"/>
      <c r="MY20" s="1128"/>
      <c r="MZ20" s="1128"/>
      <c r="NA20" s="1128"/>
      <c r="NB20" s="1128"/>
      <c r="NC20" s="1128"/>
      <c r="ND20" s="1128"/>
      <c r="NE20" s="1128"/>
      <c r="NF20" s="1128"/>
      <c r="NG20" s="1128"/>
      <c r="NH20" s="1128"/>
      <c r="NI20" s="1128"/>
      <c r="NJ20" s="1128"/>
      <c r="NK20" s="1128"/>
      <c r="NL20" s="1128"/>
      <c r="NM20" s="1128"/>
      <c r="NN20" s="1129"/>
      <c r="NP20" s="155"/>
      <c r="NQ20" s="155"/>
      <c r="QN20" s="155"/>
      <c r="QO20" s="155"/>
      <c r="TL20" s="155"/>
    </row>
    <row r="21" spans="1:532" ht="6.75" customHeight="1" thickBot="1" x14ac:dyDescent="0.4">
      <c r="A21" s="155"/>
      <c r="B21" s="512"/>
      <c r="C21" s="1205"/>
      <c r="D21" s="1206"/>
      <c r="E21" s="1206"/>
      <c r="F21" s="1206"/>
      <c r="G21" s="1207"/>
      <c r="H21" s="621"/>
      <c r="I21" s="1205"/>
      <c r="J21" s="1206"/>
      <c r="K21" s="1206"/>
      <c r="L21" s="1206"/>
      <c r="M21" s="1207"/>
      <c r="N21" s="621"/>
      <c r="O21" s="1205"/>
      <c r="P21" s="1206"/>
      <c r="Q21" s="1206"/>
      <c r="R21" s="1206"/>
      <c r="S21" s="1207"/>
      <c r="T21" s="621"/>
      <c r="U21" s="1205"/>
      <c r="V21" s="1206"/>
      <c r="W21" s="1206"/>
      <c r="X21" s="1206"/>
      <c r="Y21" s="1207"/>
      <c r="Z21" s="622"/>
      <c r="AA21" s="1205"/>
      <c r="AB21" s="1206"/>
      <c r="AC21" s="1206"/>
      <c r="AD21" s="1206"/>
      <c r="AE21" s="1207"/>
      <c r="AF21" s="621"/>
      <c r="AG21" s="1205"/>
      <c r="AH21" s="1206"/>
      <c r="AI21" s="1206"/>
      <c r="AJ21" s="1206"/>
      <c r="AK21" s="1207"/>
      <c r="AL21" s="508"/>
      <c r="AM21" s="508"/>
      <c r="BV21" s="508"/>
      <c r="BW21" s="507"/>
      <c r="BX21" s="155"/>
      <c r="BY21" s="155"/>
      <c r="BZ21" s="552"/>
      <c r="CA21" s="1158"/>
      <c r="CB21" s="1159"/>
      <c r="CC21" s="1159"/>
      <c r="CD21" s="1159"/>
      <c r="CE21" s="1159"/>
      <c r="CF21" s="1159"/>
      <c r="CG21" s="1159"/>
      <c r="CH21" s="1159"/>
      <c r="CI21" s="1159"/>
      <c r="CJ21" s="1159"/>
      <c r="CK21" s="1159"/>
      <c r="CL21" s="1159"/>
      <c r="CM21" s="1159"/>
      <c r="CN21" s="1159"/>
      <c r="CO21" s="1159"/>
      <c r="CP21" s="1159"/>
      <c r="CQ21" s="1159"/>
      <c r="CR21" s="1159"/>
      <c r="CS21" s="1159"/>
      <c r="CT21" s="1159"/>
      <c r="CU21" s="1159"/>
      <c r="CV21" s="1159"/>
      <c r="CW21" s="1159"/>
      <c r="CX21" s="1160"/>
      <c r="CZ21" s="1118"/>
      <c r="DA21" s="1118"/>
      <c r="DB21" s="1118"/>
      <c r="DC21" s="1118"/>
      <c r="DD21" s="1118"/>
      <c r="DE21" s="1118"/>
      <c r="DF21" s="1118"/>
      <c r="DG21" s="1118"/>
      <c r="DH21" s="1118"/>
      <c r="DI21" s="1118"/>
      <c r="DJ21" s="1118"/>
      <c r="DK21" s="1118"/>
      <c r="DL21" s="1118"/>
      <c r="DM21" s="1118"/>
      <c r="DN21" s="1118"/>
      <c r="DO21" s="1118"/>
      <c r="DP21" s="1118"/>
      <c r="DQ21" s="1118"/>
      <c r="DR21" s="1118"/>
      <c r="DS21" s="1118"/>
      <c r="DT21" s="1118"/>
      <c r="DU21" s="1118"/>
      <c r="DV21" s="1118"/>
      <c r="DW21" s="1118"/>
      <c r="DY21" s="1121"/>
      <c r="DZ21" s="1121"/>
      <c r="EA21" s="1121"/>
      <c r="EB21" s="1121"/>
      <c r="EC21" s="1121"/>
      <c r="ED21" s="1121"/>
      <c r="EE21" s="1121"/>
      <c r="EF21" s="1121"/>
      <c r="EG21" s="1121"/>
      <c r="EH21" s="1121"/>
      <c r="EI21" s="1121"/>
      <c r="EJ21" s="1121"/>
      <c r="EK21" s="1121"/>
      <c r="EL21" s="1121"/>
      <c r="EM21" s="1121"/>
      <c r="EN21" s="1121"/>
      <c r="EO21" s="1121"/>
      <c r="EP21" s="1121"/>
      <c r="EQ21" s="1121"/>
      <c r="ER21" s="1121"/>
      <c r="ES21" s="1121"/>
      <c r="ET21" s="1121"/>
      <c r="EU21" s="1121"/>
      <c r="EW21" s="155"/>
      <c r="EX21" s="552"/>
      <c r="EY21" s="1137"/>
      <c r="EZ21" s="1137"/>
      <c r="FA21" s="1137"/>
      <c r="FB21" s="1137"/>
      <c r="FC21" s="1137"/>
      <c r="FD21" s="1137"/>
      <c r="FE21" s="1137"/>
      <c r="FF21" s="1137"/>
      <c r="FG21" s="1137"/>
      <c r="FH21" s="552"/>
      <c r="FI21" s="552"/>
      <c r="FJ21" s="552"/>
      <c r="FK21" s="552"/>
      <c r="FL21" s="552"/>
      <c r="FM21" s="552"/>
      <c r="FN21" s="552"/>
      <c r="FO21" s="552"/>
      <c r="FP21" s="552"/>
      <c r="FQ21" s="552"/>
      <c r="FR21" s="552"/>
      <c r="FS21" s="552"/>
      <c r="FT21" s="552"/>
      <c r="FU21" s="552"/>
      <c r="FV21" s="552"/>
      <c r="FW21" s="552"/>
      <c r="FX21" s="552"/>
      <c r="FY21" s="552"/>
      <c r="FZ21" s="552"/>
      <c r="GA21" s="552"/>
      <c r="GB21" s="552"/>
      <c r="GC21" s="552"/>
      <c r="GD21" s="552"/>
      <c r="GE21" s="552"/>
      <c r="GF21" s="552"/>
      <c r="GG21" s="552"/>
      <c r="GH21" s="552"/>
      <c r="GI21" s="552"/>
      <c r="GJ21" s="552"/>
      <c r="GK21" s="552"/>
      <c r="GL21" s="552"/>
      <c r="GM21" s="552"/>
      <c r="GN21" s="552"/>
      <c r="GO21" s="552"/>
      <c r="GP21" s="552"/>
      <c r="GQ21" s="552"/>
      <c r="GR21" s="552"/>
      <c r="GS21" s="552"/>
      <c r="GT21" s="552"/>
      <c r="GU21" s="552"/>
      <c r="GV21" s="552"/>
      <c r="GW21" s="552"/>
      <c r="GX21" s="552"/>
      <c r="GY21" s="552"/>
      <c r="GZ21" s="552"/>
      <c r="HA21" s="552"/>
      <c r="HB21" s="552"/>
      <c r="HC21" s="552"/>
      <c r="HD21" s="552"/>
      <c r="HE21" s="552"/>
      <c r="HF21" s="552"/>
      <c r="HG21" s="552"/>
      <c r="HH21" s="552"/>
      <c r="HI21" s="552"/>
      <c r="HJ21" s="552"/>
      <c r="HK21" s="552"/>
      <c r="HL21" s="552"/>
      <c r="HM21" s="552"/>
      <c r="HN21" s="552"/>
      <c r="HO21" s="552"/>
      <c r="HP21" s="552"/>
      <c r="HQ21" s="552"/>
      <c r="HR21" s="552"/>
      <c r="HS21" s="552"/>
      <c r="HT21" s="155"/>
      <c r="HU21" s="155"/>
      <c r="HV21" s="552"/>
      <c r="HW21" s="552"/>
      <c r="HX21" s="552"/>
      <c r="HY21" s="552"/>
      <c r="HZ21" s="552"/>
      <c r="IA21" s="552"/>
      <c r="IB21" s="552"/>
      <c r="IC21" s="552"/>
      <c r="ID21" s="552"/>
      <c r="IE21" s="552"/>
      <c r="IF21" s="552"/>
      <c r="IG21" s="552"/>
      <c r="IH21" s="552"/>
      <c r="II21" s="552"/>
      <c r="IJ21" s="552"/>
      <c r="IK21" s="552"/>
      <c r="IL21" s="552"/>
      <c r="IM21" s="552"/>
      <c r="IN21" s="552"/>
      <c r="IO21" s="552"/>
      <c r="IP21" s="552"/>
      <c r="IQ21" s="552"/>
      <c r="IR21" s="552"/>
      <c r="IS21" s="552"/>
      <c r="IT21" s="552"/>
      <c r="IU21" s="552"/>
      <c r="IV21" s="1229"/>
      <c r="IW21" s="1229"/>
      <c r="IX21" s="1229"/>
      <c r="IY21" s="1229"/>
      <c r="IZ21" s="1228"/>
      <c r="JA21" s="1228"/>
      <c r="JB21" s="1228"/>
      <c r="JC21" s="1228"/>
      <c r="JD21" s="1228"/>
      <c r="JE21" s="507"/>
      <c r="JF21" s="507"/>
      <c r="JG21" s="1229"/>
      <c r="JH21" s="1229"/>
      <c r="JI21" s="1229"/>
      <c r="JJ21" s="1229"/>
      <c r="JK21" s="1228"/>
      <c r="JL21" s="1228"/>
      <c r="JM21" s="1228"/>
      <c r="JN21" s="1228"/>
      <c r="JO21" s="1228"/>
      <c r="JP21" s="507"/>
      <c r="JQ21" s="507"/>
      <c r="JR21" s="1229"/>
      <c r="JS21" s="1229"/>
      <c r="JT21" s="1229"/>
      <c r="JU21" s="1229"/>
      <c r="JV21" s="1228"/>
      <c r="JW21" s="1228"/>
      <c r="JX21" s="1228"/>
      <c r="JY21" s="1228"/>
      <c r="JZ21" s="1228"/>
      <c r="KA21" s="507"/>
      <c r="KB21" s="507"/>
      <c r="KE21" s="552"/>
      <c r="KF21" s="552"/>
      <c r="KG21" s="552"/>
      <c r="KH21" s="552"/>
      <c r="KI21" s="552"/>
      <c r="KJ21" s="552"/>
      <c r="KK21" s="552"/>
      <c r="KL21" s="552"/>
      <c r="KM21" s="552"/>
      <c r="KN21" s="552"/>
      <c r="KO21" s="552"/>
      <c r="KP21" s="552"/>
      <c r="KQ21" s="552"/>
      <c r="KR21" s="155"/>
      <c r="KS21" s="155"/>
      <c r="KT21" s="552"/>
      <c r="KU21" s="552"/>
      <c r="KV21" s="1121"/>
      <c r="KW21" s="1121"/>
      <c r="KX21" s="1121"/>
      <c r="KY21" s="1121"/>
      <c r="KZ21" s="1121"/>
      <c r="LA21" s="1121"/>
      <c r="LB21" s="1121"/>
      <c r="LC21" s="1121"/>
      <c r="LD21" s="1121"/>
      <c r="LE21" s="1121"/>
      <c r="LF21" s="1121"/>
      <c r="LG21" s="1121"/>
      <c r="LH21" s="1121"/>
      <c r="LI21" s="1121"/>
      <c r="LJ21" s="1121"/>
      <c r="LK21" s="1121"/>
      <c r="LL21" s="1121"/>
      <c r="LM21" s="1121"/>
      <c r="LN21" s="1121"/>
      <c r="LO21" s="1121"/>
      <c r="LP21" s="1121"/>
      <c r="LQ21" s="1121"/>
      <c r="LR21" s="1121"/>
      <c r="LS21" s="1121"/>
      <c r="LT21" s="1121"/>
      <c r="LV21" s="1123"/>
      <c r="LW21" s="1123"/>
      <c r="LX21" s="1123"/>
      <c r="LY21" s="1123"/>
      <c r="MA21" s="1123"/>
      <c r="MB21" s="1123"/>
      <c r="MC21" s="1123"/>
      <c r="MD21" s="1123"/>
      <c r="ME21" s="1123"/>
      <c r="MF21" s="1123"/>
      <c r="MG21" s="1123"/>
      <c r="MH21" s="1123"/>
      <c r="MI21" s="1123"/>
      <c r="MK21" s="1123"/>
      <c r="ML21" s="1123"/>
      <c r="MM21" s="1123"/>
      <c r="MN21" s="1123"/>
      <c r="MO21" s="1123"/>
      <c r="MQ21" s="1130"/>
      <c r="MR21" s="1131"/>
      <c r="MS21" s="1131"/>
      <c r="MT21" s="1131"/>
      <c r="MU21" s="1131"/>
      <c r="MV21" s="1131"/>
      <c r="MW21" s="1131"/>
      <c r="MX21" s="1131"/>
      <c r="MY21" s="1131"/>
      <c r="MZ21" s="1131"/>
      <c r="NA21" s="1131"/>
      <c r="NB21" s="1131"/>
      <c r="NC21" s="1131"/>
      <c r="ND21" s="1131"/>
      <c r="NE21" s="1131"/>
      <c r="NF21" s="1131"/>
      <c r="NG21" s="1131"/>
      <c r="NH21" s="1131"/>
      <c r="NI21" s="1131"/>
      <c r="NJ21" s="1131"/>
      <c r="NK21" s="1131"/>
      <c r="NL21" s="1131"/>
      <c r="NM21" s="1131"/>
      <c r="NN21" s="1132"/>
      <c r="NP21" s="155"/>
      <c r="NQ21" s="155"/>
      <c r="QN21" s="155"/>
      <c r="QO21" s="155"/>
      <c r="TL21" s="155"/>
    </row>
    <row r="22" spans="1:532" ht="6.75" customHeight="1" x14ac:dyDescent="0.35">
      <c r="A22" s="155"/>
      <c r="B22" s="512"/>
      <c r="C22" s="1205"/>
      <c r="D22" s="1206"/>
      <c r="E22" s="1206"/>
      <c r="F22" s="1206"/>
      <c r="G22" s="1207"/>
      <c r="H22" s="622"/>
      <c r="I22" s="1205"/>
      <c r="J22" s="1206"/>
      <c r="K22" s="1206"/>
      <c r="L22" s="1206"/>
      <c r="M22" s="1207"/>
      <c r="N22" s="622"/>
      <c r="O22" s="1205"/>
      <c r="P22" s="1206"/>
      <c r="Q22" s="1206"/>
      <c r="R22" s="1206"/>
      <c r="S22" s="1207"/>
      <c r="T22" s="622"/>
      <c r="U22" s="1205"/>
      <c r="V22" s="1206"/>
      <c r="W22" s="1206"/>
      <c r="X22" s="1206"/>
      <c r="Y22" s="1207"/>
      <c r="Z22" s="622"/>
      <c r="AA22" s="1205"/>
      <c r="AB22" s="1206"/>
      <c r="AC22" s="1206"/>
      <c r="AD22" s="1206"/>
      <c r="AE22" s="1207"/>
      <c r="AF22" s="622"/>
      <c r="AG22" s="1205"/>
      <c r="AH22" s="1206"/>
      <c r="AI22" s="1206"/>
      <c r="AJ22" s="1206"/>
      <c r="AK22" s="1207"/>
      <c r="AN22" s="1225">
        <f>Proficiency_Bonus</f>
        <v>6</v>
      </c>
      <c r="AO22" s="1225"/>
      <c r="AP22" s="1225"/>
      <c r="AQ22" s="1225"/>
      <c r="AR22" s="1225"/>
      <c r="AS22" s="1225"/>
      <c r="AT22" s="1225"/>
      <c r="AU22" s="1225"/>
      <c r="AV22" s="1225"/>
      <c r="AW22" s="1225"/>
      <c r="AX22" s="1225"/>
      <c r="AY22" s="1225"/>
      <c r="AZ22" s="1225"/>
      <c r="BA22" s="1225"/>
      <c r="BB22" s="1225"/>
      <c r="BE22" s="1155"/>
      <c r="BF22" s="1155"/>
      <c r="BG22" s="1155"/>
      <c r="BH22" s="1155"/>
      <c r="BI22" s="1155"/>
      <c r="BJ22" s="1155"/>
      <c r="BK22" s="1155"/>
      <c r="BL22" s="1155"/>
      <c r="BM22" s="1155"/>
      <c r="BN22" s="1155"/>
      <c r="BO22" s="1155"/>
      <c r="BP22" s="1155"/>
      <c r="BQ22" s="1155"/>
      <c r="BR22" s="1155"/>
      <c r="BS22" s="1155"/>
      <c r="BW22" s="507"/>
      <c r="BX22" s="155"/>
      <c r="BY22" s="155"/>
      <c r="BZ22" s="150"/>
      <c r="CA22" s="1158"/>
      <c r="CB22" s="1159"/>
      <c r="CC22" s="1159"/>
      <c r="CD22" s="1159"/>
      <c r="CE22" s="1159"/>
      <c r="CF22" s="1159"/>
      <c r="CG22" s="1159"/>
      <c r="CH22" s="1159"/>
      <c r="CI22" s="1159"/>
      <c r="CJ22" s="1159"/>
      <c r="CK22" s="1159"/>
      <c r="CL22" s="1159"/>
      <c r="CM22" s="1159"/>
      <c r="CN22" s="1159"/>
      <c r="CO22" s="1159"/>
      <c r="CP22" s="1159"/>
      <c r="CQ22" s="1159"/>
      <c r="CR22" s="1159"/>
      <c r="CS22" s="1159"/>
      <c r="CT22" s="1159"/>
      <c r="CU22" s="1159"/>
      <c r="CV22" s="1159"/>
      <c r="CW22" s="1159"/>
      <c r="CX22" s="1160"/>
      <c r="CZ22" s="1118"/>
      <c r="DA22" s="1118"/>
      <c r="DB22" s="1118"/>
      <c r="DC22" s="1118"/>
      <c r="DD22" s="1118"/>
      <c r="DE22" s="1118"/>
      <c r="DF22" s="1118"/>
      <c r="DG22" s="1118"/>
      <c r="DH22" s="1118"/>
      <c r="DI22" s="1118"/>
      <c r="DJ22" s="1118"/>
      <c r="DK22" s="1118"/>
      <c r="DL22" s="1118"/>
      <c r="DM22" s="1118"/>
      <c r="DN22" s="1118"/>
      <c r="DO22" s="1118"/>
      <c r="DP22" s="1118"/>
      <c r="DQ22" s="1118"/>
      <c r="DR22" s="1118"/>
      <c r="DS22" s="1118"/>
      <c r="DT22" s="1118"/>
      <c r="DU22" s="1118"/>
      <c r="DV22" s="1118"/>
      <c r="DW22" s="1118"/>
      <c r="DY22" s="1120"/>
      <c r="DZ22" s="1120"/>
      <c r="EA22" s="1120"/>
      <c r="EB22" s="1120"/>
      <c r="EC22" s="1120"/>
      <c r="ED22" s="1120"/>
      <c r="EE22" s="1120"/>
      <c r="EF22" s="1120"/>
      <c r="EG22" s="1120"/>
      <c r="EH22" s="1120"/>
      <c r="EI22" s="1120"/>
      <c r="EJ22" s="1120"/>
      <c r="EK22" s="1120"/>
      <c r="EL22" s="1120"/>
      <c r="EM22" s="1120"/>
      <c r="EN22" s="1120"/>
      <c r="EO22" s="1120"/>
      <c r="EP22" s="1120"/>
      <c r="EQ22" s="1120"/>
      <c r="ER22" s="1120"/>
      <c r="ES22" s="1120"/>
      <c r="ET22" s="1120"/>
      <c r="EU22" s="1120"/>
      <c r="EW22" s="155"/>
      <c r="EX22" s="552"/>
      <c r="EY22" s="1137"/>
      <c r="EZ22" s="1137"/>
      <c r="FA22" s="1137"/>
      <c r="FB22" s="1137"/>
      <c r="FC22" s="1137"/>
      <c r="FD22" s="1137"/>
      <c r="FE22" s="1137"/>
      <c r="FF22" s="1137"/>
      <c r="FG22" s="1137"/>
      <c r="HF22" s="552"/>
      <c r="HG22" s="552"/>
      <c r="HH22" s="552"/>
      <c r="HI22" s="552"/>
      <c r="HJ22" s="552"/>
      <c r="HK22" s="552"/>
      <c r="HL22" s="552"/>
      <c r="HM22" s="552"/>
      <c r="HN22" s="552"/>
      <c r="HO22" s="552"/>
      <c r="HP22" s="552"/>
      <c r="HQ22" s="552"/>
      <c r="HR22" s="552"/>
      <c r="HS22" s="552"/>
      <c r="HT22" s="155"/>
      <c r="HU22" s="155"/>
      <c r="HV22" s="552"/>
      <c r="HW22" s="552"/>
      <c r="HX22" s="552"/>
      <c r="HY22" s="552"/>
      <c r="HZ22" s="552"/>
      <c r="IA22" s="552"/>
      <c r="IB22" s="552"/>
      <c r="IC22" s="552"/>
      <c r="ID22" s="552"/>
      <c r="IE22" s="552"/>
      <c r="IF22" s="552"/>
      <c r="IG22" s="552"/>
      <c r="IH22" s="552"/>
      <c r="II22" s="552"/>
      <c r="IJ22" s="552"/>
      <c r="IK22" s="552"/>
      <c r="IL22" s="552"/>
      <c r="IM22" s="552"/>
      <c r="IN22" s="552"/>
      <c r="IO22" s="552"/>
      <c r="IP22" s="552"/>
      <c r="IQ22" s="552"/>
      <c r="IR22" s="552"/>
      <c r="IS22" s="552"/>
      <c r="IT22" s="552"/>
      <c r="IU22" s="552"/>
      <c r="IV22" s="552"/>
      <c r="IW22" s="552"/>
      <c r="IX22" s="552"/>
      <c r="IY22" s="552"/>
      <c r="IZ22" s="552"/>
      <c r="JA22" s="552"/>
      <c r="JB22" s="552"/>
      <c r="JC22" s="552"/>
      <c r="JD22" s="552"/>
      <c r="JE22" s="552"/>
      <c r="JF22" s="552"/>
      <c r="JG22" s="552"/>
      <c r="JH22" s="552"/>
      <c r="JI22" s="552"/>
      <c r="JJ22" s="552"/>
      <c r="JK22" s="552"/>
      <c r="JL22" s="552"/>
      <c r="JM22" s="552"/>
      <c r="JN22" s="552"/>
      <c r="JO22" s="552"/>
      <c r="JP22" s="552"/>
      <c r="JQ22" s="552"/>
      <c r="JR22" s="552"/>
      <c r="JS22" s="552"/>
      <c r="JT22" s="552"/>
      <c r="JU22" s="552"/>
      <c r="JV22" s="552"/>
      <c r="JW22" s="552"/>
      <c r="JX22" s="552"/>
      <c r="JY22" s="552"/>
      <c r="JZ22" s="552"/>
      <c r="KA22" s="552"/>
      <c r="KB22" s="552"/>
      <c r="KC22" s="552"/>
      <c r="KD22" s="552"/>
      <c r="KE22" s="552"/>
      <c r="KF22" s="552"/>
      <c r="KG22" s="552"/>
      <c r="KH22" s="552"/>
      <c r="KI22" s="552"/>
      <c r="KJ22" s="552"/>
      <c r="KK22" s="552"/>
      <c r="KL22" s="552"/>
      <c r="KM22" s="552"/>
      <c r="KN22" s="552"/>
      <c r="KO22" s="552"/>
      <c r="KP22" s="552"/>
      <c r="KQ22" s="552"/>
      <c r="KR22" s="155"/>
      <c r="KS22" s="155"/>
      <c r="KV22" s="1120"/>
      <c r="KW22" s="1120"/>
      <c r="KX22" s="1120"/>
      <c r="KY22" s="1120"/>
      <c r="KZ22" s="1120"/>
      <c r="LA22" s="1120"/>
      <c r="LB22" s="1120"/>
      <c r="LC22" s="1120"/>
      <c r="LD22" s="1120"/>
      <c r="LE22" s="1120"/>
      <c r="LF22" s="1120"/>
      <c r="LG22" s="1120"/>
      <c r="LH22" s="1120"/>
      <c r="LI22" s="1120"/>
      <c r="LJ22" s="1120"/>
      <c r="LK22" s="1120"/>
      <c r="LL22" s="1120"/>
      <c r="LM22" s="1120"/>
      <c r="LN22" s="1120"/>
      <c r="LO22" s="1120"/>
      <c r="LP22" s="1120"/>
      <c r="LQ22" s="1120"/>
      <c r="LR22" s="1120"/>
      <c r="LS22" s="1120"/>
      <c r="LT22" s="1120"/>
      <c r="LV22" s="1122"/>
      <c r="LW22" s="1122"/>
      <c r="LX22" s="1122"/>
      <c r="LY22" s="1122"/>
      <c r="MA22" s="1122"/>
      <c r="MB22" s="1122"/>
      <c r="MC22" s="1122"/>
      <c r="MD22" s="1122"/>
      <c r="ME22" s="1122"/>
      <c r="MF22" s="1122"/>
      <c r="MG22" s="1122"/>
      <c r="MH22" s="1122"/>
      <c r="MI22" s="1122"/>
      <c r="MK22" s="1122"/>
      <c r="ML22" s="1122"/>
      <c r="MM22" s="1122"/>
      <c r="MN22" s="1122"/>
      <c r="MO22" s="1122"/>
      <c r="MQ22" s="1122"/>
      <c r="MR22" s="1122"/>
      <c r="MS22" s="1122"/>
      <c r="MT22" s="1122"/>
      <c r="MU22" s="1122"/>
      <c r="MV22" s="1122"/>
      <c r="MW22" s="1122"/>
      <c r="MX22" s="1122"/>
      <c r="MY22" s="1122"/>
      <c r="MZ22" s="1122"/>
      <c r="NA22" s="1122"/>
      <c r="NB22" s="1122"/>
      <c r="NC22" s="1122"/>
      <c r="ND22" s="1122"/>
      <c r="NE22" s="1122"/>
      <c r="NF22" s="1122"/>
      <c r="NG22" s="1122"/>
      <c r="NH22" s="1122"/>
      <c r="NI22" s="1122"/>
      <c r="NJ22" s="1122"/>
      <c r="NK22" s="1122"/>
      <c r="NL22" s="1122"/>
      <c r="NM22" s="1122"/>
      <c r="NN22" s="1122"/>
      <c r="NP22" s="155"/>
      <c r="NQ22" s="155"/>
      <c r="QN22" s="155"/>
      <c r="QO22" s="155"/>
      <c r="TL22" s="155"/>
    </row>
    <row r="23" spans="1:532" ht="6.75" customHeight="1" thickBot="1" x14ac:dyDescent="0.4">
      <c r="A23" s="155"/>
      <c r="B23" s="512"/>
      <c r="C23" s="1208"/>
      <c r="D23" s="1209"/>
      <c r="E23" s="1209"/>
      <c r="F23" s="1209"/>
      <c r="G23" s="1210"/>
      <c r="H23" s="621"/>
      <c r="I23" s="1208"/>
      <c r="J23" s="1209"/>
      <c r="K23" s="1209"/>
      <c r="L23" s="1209"/>
      <c r="M23" s="1210"/>
      <c r="N23" s="621"/>
      <c r="O23" s="1208"/>
      <c r="P23" s="1209"/>
      <c r="Q23" s="1209"/>
      <c r="R23" s="1209"/>
      <c r="S23" s="1210"/>
      <c r="T23" s="621"/>
      <c r="U23" s="1208"/>
      <c r="V23" s="1209"/>
      <c r="W23" s="1209"/>
      <c r="X23" s="1209"/>
      <c r="Y23" s="1210"/>
      <c r="Z23" s="621"/>
      <c r="AA23" s="1208"/>
      <c r="AB23" s="1209"/>
      <c r="AC23" s="1209"/>
      <c r="AD23" s="1209"/>
      <c r="AE23" s="1210"/>
      <c r="AF23" s="621"/>
      <c r="AG23" s="1208"/>
      <c r="AH23" s="1209"/>
      <c r="AI23" s="1209"/>
      <c r="AJ23" s="1209"/>
      <c r="AK23" s="1210"/>
      <c r="AN23" s="1225"/>
      <c r="AO23" s="1225"/>
      <c r="AP23" s="1225"/>
      <c r="AQ23" s="1225"/>
      <c r="AR23" s="1225"/>
      <c r="AS23" s="1225"/>
      <c r="AT23" s="1225"/>
      <c r="AU23" s="1225"/>
      <c r="AV23" s="1225"/>
      <c r="AW23" s="1225"/>
      <c r="AX23" s="1225"/>
      <c r="AY23" s="1225"/>
      <c r="AZ23" s="1225"/>
      <c r="BA23" s="1225"/>
      <c r="BB23" s="1225"/>
      <c r="BE23" s="1155"/>
      <c r="BF23" s="1155"/>
      <c r="BG23" s="1155"/>
      <c r="BH23" s="1155"/>
      <c r="BI23" s="1155"/>
      <c r="BJ23" s="1155"/>
      <c r="BK23" s="1155"/>
      <c r="BL23" s="1155"/>
      <c r="BM23" s="1155"/>
      <c r="BN23" s="1155"/>
      <c r="BO23" s="1155"/>
      <c r="BP23" s="1155"/>
      <c r="BQ23" s="1155"/>
      <c r="BR23" s="1155"/>
      <c r="BS23" s="1155"/>
      <c r="BW23" s="507"/>
      <c r="BX23" s="155"/>
      <c r="BY23" s="155"/>
      <c r="BZ23" s="150"/>
      <c r="CA23" s="1161"/>
      <c r="CB23" s="1162"/>
      <c r="CC23" s="1162"/>
      <c r="CD23" s="1162"/>
      <c r="CE23" s="1162"/>
      <c r="CF23" s="1162"/>
      <c r="CG23" s="1162"/>
      <c r="CH23" s="1162"/>
      <c r="CI23" s="1162"/>
      <c r="CJ23" s="1162"/>
      <c r="CK23" s="1162"/>
      <c r="CL23" s="1162"/>
      <c r="CM23" s="1162"/>
      <c r="CN23" s="1162"/>
      <c r="CO23" s="1162"/>
      <c r="CP23" s="1162"/>
      <c r="CQ23" s="1162"/>
      <c r="CR23" s="1162"/>
      <c r="CS23" s="1162"/>
      <c r="CT23" s="1162"/>
      <c r="CU23" s="1162"/>
      <c r="CV23" s="1162"/>
      <c r="CW23" s="1162"/>
      <c r="CX23" s="1163"/>
      <c r="CZ23" s="1118"/>
      <c r="DA23" s="1118"/>
      <c r="DB23" s="1118"/>
      <c r="DC23" s="1118"/>
      <c r="DD23" s="1118"/>
      <c r="DE23" s="1118"/>
      <c r="DF23" s="1118"/>
      <c r="DG23" s="1118"/>
      <c r="DH23" s="1118"/>
      <c r="DI23" s="1118"/>
      <c r="DJ23" s="1118"/>
      <c r="DK23" s="1118"/>
      <c r="DL23" s="1118"/>
      <c r="DM23" s="1118"/>
      <c r="DN23" s="1118"/>
      <c r="DO23" s="1118"/>
      <c r="DP23" s="1118"/>
      <c r="DQ23" s="1118"/>
      <c r="DR23" s="1118"/>
      <c r="DS23" s="1118"/>
      <c r="DT23" s="1118"/>
      <c r="DU23" s="1118"/>
      <c r="DV23" s="1118"/>
      <c r="DW23" s="1118"/>
      <c r="DY23" s="1121"/>
      <c r="DZ23" s="1121"/>
      <c r="EA23" s="1121"/>
      <c r="EB23" s="1121"/>
      <c r="EC23" s="1121"/>
      <c r="ED23" s="1121"/>
      <c r="EE23" s="1121"/>
      <c r="EF23" s="1121"/>
      <c r="EG23" s="1121"/>
      <c r="EH23" s="1121"/>
      <c r="EI23" s="1121"/>
      <c r="EJ23" s="1121"/>
      <c r="EK23" s="1121"/>
      <c r="EL23" s="1121"/>
      <c r="EM23" s="1121"/>
      <c r="EN23" s="1121"/>
      <c r="EO23" s="1121"/>
      <c r="EP23" s="1121"/>
      <c r="EQ23" s="1121"/>
      <c r="ER23" s="1121"/>
      <c r="ES23" s="1121"/>
      <c r="ET23" s="1121"/>
      <c r="EU23" s="1121"/>
      <c r="EW23" s="155"/>
      <c r="EX23" s="552"/>
      <c r="EY23" s="552"/>
      <c r="EZ23" s="552"/>
      <c r="FA23" s="552"/>
      <c r="FB23" s="552"/>
      <c r="FC23" s="552"/>
      <c r="FD23" s="552"/>
      <c r="FE23" s="552"/>
      <c r="FF23" s="552"/>
      <c r="FG23" s="552"/>
      <c r="FH23" s="552"/>
      <c r="FI23" s="552"/>
      <c r="FJ23" s="552"/>
      <c r="FK23" s="552"/>
      <c r="FL23" s="552"/>
      <c r="FM23" s="552"/>
      <c r="FN23" s="552"/>
      <c r="FO23" s="552"/>
      <c r="FP23" s="552"/>
      <c r="FQ23" s="552"/>
      <c r="FR23" s="552"/>
      <c r="FS23" s="552"/>
      <c r="FT23" s="552"/>
      <c r="FU23" s="552"/>
      <c r="FV23" s="552"/>
      <c r="FW23" s="552"/>
      <c r="FX23" s="552"/>
      <c r="FY23" s="552"/>
      <c r="FZ23" s="552"/>
      <c r="GA23" s="552"/>
      <c r="GB23" s="552"/>
      <c r="GC23" s="552"/>
      <c r="GD23" s="552"/>
      <c r="GE23" s="552"/>
      <c r="GF23" s="552"/>
      <c r="GG23" s="552"/>
      <c r="GH23" s="552"/>
      <c r="GI23" s="552"/>
      <c r="GJ23" s="552"/>
      <c r="GK23" s="552"/>
      <c r="GL23" s="552"/>
      <c r="GM23" s="552"/>
      <c r="GN23" s="552"/>
      <c r="GO23" s="552"/>
      <c r="GP23" s="552"/>
      <c r="GQ23" s="552"/>
      <c r="GR23" s="552"/>
      <c r="GS23" s="552"/>
      <c r="GT23" s="552"/>
      <c r="GU23" s="552"/>
      <c r="GV23" s="552"/>
      <c r="GW23" s="552"/>
      <c r="GX23" s="552"/>
      <c r="GY23" s="552"/>
      <c r="GZ23" s="552"/>
      <c r="HA23" s="552"/>
      <c r="HB23" s="552"/>
      <c r="HC23" s="552"/>
      <c r="HD23" s="552"/>
      <c r="HE23" s="552"/>
      <c r="HF23" s="552"/>
      <c r="HG23" s="552"/>
      <c r="HH23" s="552"/>
      <c r="HI23" s="552"/>
      <c r="HJ23" s="552"/>
      <c r="HK23" s="552"/>
      <c r="HL23" s="552"/>
      <c r="HM23" s="552"/>
      <c r="HN23" s="552"/>
      <c r="HO23" s="552"/>
      <c r="HP23" s="552"/>
      <c r="HQ23" s="552"/>
      <c r="HR23" s="552"/>
      <c r="HS23" s="552"/>
      <c r="HT23" s="155"/>
      <c r="HU23" s="155"/>
      <c r="HV23" s="552"/>
      <c r="HW23" s="552"/>
      <c r="HX23" s="552"/>
      <c r="HY23" s="552"/>
      <c r="HZ23" s="552"/>
      <c r="IA23" s="552"/>
      <c r="IB23" s="552"/>
      <c r="IC23" s="552"/>
      <c r="ID23" s="552"/>
      <c r="IE23" s="552"/>
      <c r="IF23" s="552"/>
      <c r="IG23" s="552"/>
      <c r="IH23" s="552"/>
      <c r="II23" s="552"/>
      <c r="IJ23" s="552"/>
      <c r="IK23" s="552"/>
      <c r="IL23" s="552"/>
      <c r="IM23" s="552"/>
      <c r="IN23" s="552"/>
      <c r="IO23" s="552"/>
      <c r="IP23" s="552"/>
      <c r="IQ23" s="552"/>
      <c r="IR23" s="552"/>
      <c r="IS23" s="552"/>
      <c r="IT23" s="552"/>
      <c r="IU23" s="552"/>
      <c r="IV23" s="552"/>
      <c r="IW23" s="552"/>
      <c r="IX23" s="552"/>
      <c r="IY23" s="552"/>
      <c r="IZ23" s="552"/>
      <c r="JA23" s="552"/>
      <c r="JB23" s="552"/>
      <c r="JC23" s="552"/>
      <c r="JD23" s="552"/>
      <c r="JE23" s="552"/>
      <c r="JF23" s="552"/>
      <c r="JG23" s="552"/>
      <c r="JH23" s="552"/>
      <c r="JI23" s="552"/>
      <c r="JJ23" s="552"/>
      <c r="JK23" s="552"/>
      <c r="JL23" s="552"/>
      <c r="JM23" s="552"/>
      <c r="JN23" s="552"/>
      <c r="JO23" s="552"/>
      <c r="JP23" s="552"/>
      <c r="JQ23" s="552"/>
      <c r="JR23" s="552"/>
      <c r="JS23" s="552"/>
      <c r="JT23" s="552"/>
      <c r="JU23" s="552"/>
      <c r="JV23" s="552"/>
      <c r="JW23" s="552"/>
      <c r="JX23" s="552"/>
      <c r="JY23" s="552"/>
      <c r="JZ23" s="552"/>
      <c r="KA23" s="552"/>
      <c r="KB23" s="552"/>
      <c r="KC23" s="552"/>
      <c r="KD23" s="552"/>
      <c r="KE23" s="552"/>
      <c r="KF23" s="552"/>
      <c r="KG23" s="552"/>
      <c r="KH23" s="552"/>
      <c r="KI23" s="552"/>
      <c r="KJ23" s="552"/>
      <c r="KK23" s="552"/>
      <c r="KL23" s="552"/>
      <c r="KM23" s="552"/>
      <c r="KN23" s="552"/>
      <c r="KO23" s="552"/>
      <c r="KP23" s="552"/>
      <c r="KQ23" s="552"/>
      <c r="KR23" s="155"/>
      <c r="KS23" s="155"/>
      <c r="KV23" s="1121"/>
      <c r="KW23" s="1121"/>
      <c r="KX23" s="1121"/>
      <c r="KY23" s="1121"/>
      <c r="KZ23" s="1121"/>
      <c r="LA23" s="1121"/>
      <c r="LB23" s="1121"/>
      <c r="LC23" s="1121"/>
      <c r="LD23" s="1121"/>
      <c r="LE23" s="1121"/>
      <c r="LF23" s="1121"/>
      <c r="LG23" s="1121"/>
      <c r="LH23" s="1121"/>
      <c r="LI23" s="1121"/>
      <c r="LJ23" s="1121"/>
      <c r="LK23" s="1121"/>
      <c r="LL23" s="1121"/>
      <c r="LM23" s="1121"/>
      <c r="LN23" s="1121"/>
      <c r="LO23" s="1121"/>
      <c r="LP23" s="1121"/>
      <c r="LQ23" s="1121"/>
      <c r="LR23" s="1121"/>
      <c r="LS23" s="1121"/>
      <c r="LT23" s="1121"/>
      <c r="LV23" s="1123"/>
      <c r="LW23" s="1123"/>
      <c r="LX23" s="1123"/>
      <c r="LY23" s="1123"/>
      <c r="MA23" s="1123"/>
      <c r="MB23" s="1123"/>
      <c r="MC23" s="1123"/>
      <c r="MD23" s="1123"/>
      <c r="ME23" s="1123"/>
      <c r="MF23" s="1123"/>
      <c r="MG23" s="1123"/>
      <c r="MH23" s="1123"/>
      <c r="MI23" s="1123"/>
      <c r="MK23" s="1123"/>
      <c r="ML23" s="1123"/>
      <c r="MM23" s="1123"/>
      <c r="MN23" s="1123"/>
      <c r="MO23" s="1123"/>
      <c r="MQ23" s="1123"/>
      <c r="MR23" s="1123"/>
      <c r="MS23" s="1123"/>
      <c r="MT23" s="1123"/>
      <c r="MU23" s="1123"/>
      <c r="MV23" s="1123"/>
      <c r="MW23" s="1123"/>
      <c r="MX23" s="1123"/>
      <c r="MY23" s="1123"/>
      <c r="MZ23" s="1123"/>
      <c r="NA23" s="1123"/>
      <c r="NB23" s="1123"/>
      <c r="NC23" s="1123"/>
      <c r="ND23" s="1123"/>
      <c r="NE23" s="1123"/>
      <c r="NF23" s="1123"/>
      <c r="NG23" s="1123"/>
      <c r="NH23" s="1123"/>
      <c r="NI23" s="1123"/>
      <c r="NJ23" s="1123"/>
      <c r="NK23" s="1123"/>
      <c r="NL23" s="1123"/>
      <c r="NM23" s="1123"/>
      <c r="NN23" s="1123"/>
      <c r="NP23" s="155"/>
      <c r="NQ23" s="155"/>
      <c r="QN23" s="155"/>
      <c r="QO23" s="155"/>
      <c r="TL23" s="155"/>
    </row>
    <row r="24" spans="1:532" ht="6.75" customHeight="1" thickBot="1" x14ac:dyDescent="0.3">
      <c r="A24" s="155"/>
      <c r="B24" s="512"/>
      <c r="C24" s="507"/>
      <c r="D24" s="507"/>
      <c r="AN24" s="1226"/>
      <c r="AO24" s="1226"/>
      <c r="AP24" s="1226"/>
      <c r="AQ24" s="1226"/>
      <c r="AR24" s="1226"/>
      <c r="AS24" s="1226"/>
      <c r="AT24" s="1226"/>
      <c r="AU24" s="1226"/>
      <c r="AV24" s="1226"/>
      <c r="AW24" s="1226"/>
      <c r="AX24" s="1226"/>
      <c r="AY24" s="1226"/>
      <c r="AZ24" s="1226"/>
      <c r="BA24" s="1226"/>
      <c r="BB24" s="1226"/>
      <c r="BE24" s="1156"/>
      <c r="BF24" s="1156"/>
      <c r="BG24" s="1156"/>
      <c r="BH24" s="1156"/>
      <c r="BI24" s="1156"/>
      <c r="BJ24" s="1156"/>
      <c r="BK24" s="1156"/>
      <c r="BL24" s="1156"/>
      <c r="BM24" s="1156"/>
      <c r="BN24" s="1156"/>
      <c r="BO24" s="1156"/>
      <c r="BP24" s="1156"/>
      <c r="BQ24" s="1156"/>
      <c r="BR24" s="1156"/>
      <c r="BS24" s="1156"/>
      <c r="BW24" s="507"/>
      <c r="BX24" s="155"/>
      <c r="BY24" s="155"/>
      <c r="DY24" s="1120"/>
      <c r="DZ24" s="1120"/>
      <c r="EA24" s="1120"/>
      <c r="EB24" s="1120"/>
      <c r="EC24" s="1120"/>
      <c r="ED24" s="1120"/>
      <c r="EE24" s="1120"/>
      <c r="EF24" s="1120"/>
      <c r="EG24" s="1120"/>
      <c r="EH24" s="1120"/>
      <c r="EI24" s="1120"/>
      <c r="EJ24" s="1120"/>
      <c r="EK24" s="1120"/>
      <c r="EL24" s="1120"/>
      <c r="EM24" s="1120"/>
      <c r="EN24" s="1120"/>
      <c r="EO24" s="1120"/>
      <c r="EP24" s="1120"/>
      <c r="EQ24" s="1120"/>
      <c r="ER24" s="1120"/>
      <c r="ES24" s="1120"/>
      <c r="ET24" s="1120"/>
      <c r="EU24" s="1120"/>
      <c r="EW24" s="155"/>
      <c r="EX24" s="552"/>
      <c r="EY24" s="552"/>
      <c r="EZ24" s="552"/>
      <c r="FA24" s="552"/>
      <c r="FB24" s="552"/>
      <c r="FC24" s="552"/>
      <c r="FD24" s="552"/>
      <c r="FE24" s="552"/>
      <c r="FF24" s="552"/>
      <c r="FG24" s="552"/>
      <c r="FH24" s="552"/>
      <c r="FI24" s="552"/>
      <c r="FJ24" s="552"/>
      <c r="FK24" s="552"/>
      <c r="FL24" s="552"/>
      <c r="FM24" s="552"/>
      <c r="FN24" s="552"/>
      <c r="FO24" s="552"/>
      <c r="FP24" s="552"/>
      <c r="FQ24" s="552"/>
      <c r="FR24" s="552"/>
      <c r="FS24" s="552"/>
      <c r="FT24" s="552"/>
      <c r="FU24" s="552"/>
      <c r="FV24" s="552"/>
      <c r="FW24" s="552"/>
      <c r="FX24" s="552"/>
      <c r="FY24" s="552"/>
      <c r="FZ24" s="552"/>
      <c r="GA24" s="552"/>
      <c r="GB24" s="552"/>
      <c r="GC24" s="552"/>
      <c r="GD24" s="552"/>
      <c r="GE24" s="552"/>
      <c r="GF24" s="552"/>
      <c r="GG24" s="552"/>
      <c r="GH24" s="552"/>
      <c r="GI24" s="552"/>
      <c r="GJ24" s="552"/>
      <c r="GK24" s="552"/>
      <c r="GL24" s="552"/>
      <c r="GM24" s="552"/>
      <c r="GN24" s="552"/>
      <c r="GO24" s="552"/>
      <c r="GP24" s="552"/>
      <c r="GQ24" s="552"/>
      <c r="GR24" s="552"/>
      <c r="GS24" s="552"/>
      <c r="GT24" s="552"/>
      <c r="GU24" s="552"/>
      <c r="GV24" s="552"/>
      <c r="GW24" s="552"/>
      <c r="GX24" s="552"/>
      <c r="GY24" s="552"/>
      <c r="GZ24" s="552"/>
      <c r="HA24" s="552"/>
      <c r="HB24" s="552"/>
      <c r="HC24" s="552"/>
      <c r="HD24" s="552"/>
      <c r="HE24" s="552"/>
      <c r="HF24" s="552"/>
      <c r="HG24" s="552"/>
      <c r="HH24" s="552"/>
      <c r="HI24" s="552"/>
      <c r="HJ24" s="552"/>
      <c r="HK24" s="552"/>
      <c r="HL24" s="552"/>
      <c r="HM24" s="552"/>
      <c r="HN24" s="552"/>
      <c r="HO24" s="552"/>
      <c r="HP24" s="552"/>
      <c r="HQ24" s="552"/>
      <c r="HR24" s="552"/>
      <c r="HS24" s="552"/>
      <c r="HT24" s="155"/>
      <c r="HU24" s="155"/>
      <c r="HV24" s="552"/>
      <c r="HW24" s="552"/>
      <c r="HX24" s="552"/>
      <c r="HY24" s="552"/>
      <c r="HZ24" s="552"/>
      <c r="IA24" s="552"/>
      <c r="IB24" s="552"/>
      <c r="IC24" s="552"/>
      <c r="ID24" s="552"/>
      <c r="IE24" s="552"/>
      <c r="IF24" s="552"/>
      <c r="IG24" s="552"/>
      <c r="IH24" s="552"/>
      <c r="II24" s="552"/>
      <c r="IJ24" s="552"/>
      <c r="IK24" s="552"/>
      <c r="IL24" s="552"/>
      <c r="IM24" s="552"/>
      <c r="IN24" s="552"/>
      <c r="IO24" s="552"/>
      <c r="IP24" s="552"/>
      <c r="IQ24" s="552"/>
      <c r="IR24" s="552"/>
      <c r="IS24" s="552"/>
      <c r="IT24" s="552"/>
      <c r="IU24" s="552"/>
      <c r="IV24" s="552"/>
      <c r="IW24" s="552"/>
      <c r="IX24" s="552"/>
      <c r="IY24" s="552"/>
      <c r="IZ24" s="552"/>
      <c r="JA24" s="552"/>
      <c r="JB24" s="552"/>
      <c r="JC24" s="552"/>
      <c r="JD24" s="552"/>
      <c r="JE24" s="552"/>
      <c r="JF24" s="552"/>
      <c r="JG24" s="552"/>
      <c r="JH24" s="552"/>
      <c r="JI24" s="552"/>
      <c r="JJ24" s="552"/>
      <c r="JK24" s="552"/>
      <c r="JL24" s="552"/>
      <c r="JM24" s="552"/>
      <c r="JN24" s="552"/>
      <c r="JO24" s="552"/>
      <c r="JP24" s="552"/>
      <c r="JQ24" s="552"/>
      <c r="JR24" s="552"/>
      <c r="JS24" s="552"/>
      <c r="JT24" s="552"/>
      <c r="JU24" s="552"/>
      <c r="JV24" s="552"/>
      <c r="JW24" s="552"/>
      <c r="JX24" s="552"/>
      <c r="JY24" s="552"/>
      <c r="JZ24" s="552"/>
      <c r="KA24" s="552"/>
      <c r="KB24" s="552"/>
      <c r="KC24" s="552"/>
      <c r="KD24" s="552"/>
      <c r="KE24" s="552"/>
      <c r="KF24" s="552"/>
      <c r="KG24" s="552"/>
      <c r="KH24" s="552"/>
      <c r="KI24" s="552"/>
      <c r="KJ24" s="552"/>
      <c r="KK24" s="552"/>
      <c r="KL24" s="552"/>
      <c r="KM24" s="552"/>
      <c r="KN24" s="552"/>
      <c r="KO24" s="552"/>
      <c r="KP24" s="552"/>
      <c r="KQ24" s="552"/>
      <c r="KR24" s="155"/>
      <c r="KS24" s="155"/>
      <c r="KV24" s="1120"/>
      <c r="KW24" s="1120"/>
      <c r="KX24" s="1120"/>
      <c r="KY24" s="1120"/>
      <c r="KZ24" s="1120"/>
      <c r="LA24" s="1120"/>
      <c r="LB24" s="1120"/>
      <c r="LC24" s="1120"/>
      <c r="LD24" s="1120"/>
      <c r="LE24" s="1120"/>
      <c r="LF24" s="1120"/>
      <c r="LG24" s="1120"/>
      <c r="LH24" s="1120"/>
      <c r="LI24" s="1120"/>
      <c r="LJ24" s="1120"/>
      <c r="LK24" s="1120"/>
      <c r="LL24" s="1120"/>
      <c r="LM24" s="1120"/>
      <c r="LN24" s="1120"/>
      <c r="LO24" s="1120"/>
      <c r="LP24" s="1120"/>
      <c r="LQ24" s="1120"/>
      <c r="LR24" s="1120"/>
      <c r="LS24" s="1120"/>
      <c r="LT24" s="1120"/>
      <c r="LV24" s="1122"/>
      <c r="LW24" s="1122"/>
      <c r="LX24" s="1122"/>
      <c r="LY24" s="1122"/>
      <c r="MA24" s="1122"/>
      <c r="MB24" s="1122"/>
      <c r="MC24" s="1122"/>
      <c r="MD24" s="1122"/>
      <c r="ME24" s="1122"/>
      <c r="MF24" s="1122"/>
      <c r="MG24" s="1122"/>
      <c r="MH24" s="1122"/>
      <c r="MI24" s="1122"/>
      <c r="MK24" s="1122"/>
      <c r="ML24" s="1122"/>
      <c r="MM24" s="1122"/>
      <c r="MN24" s="1122"/>
      <c r="MO24" s="1122"/>
      <c r="MQ24" s="1122"/>
      <c r="MR24" s="1122"/>
      <c r="MS24" s="1122"/>
      <c r="MT24" s="1122"/>
      <c r="MU24" s="1122"/>
      <c r="MV24" s="1122"/>
      <c r="MW24" s="1122"/>
      <c r="MX24" s="1122"/>
      <c r="MY24" s="1122"/>
      <c r="MZ24" s="1122"/>
      <c r="NA24" s="1122"/>
      <c r="NB24" s="1122"/>
      <c r="NC24" s="1122"/>
      <c r="ND24" s="1122"/>
      <c r="NE24" s="1122"/>
      <c r="NF24" s="1122"/>
      <c r="NG24" s="1122"/>
      <c r="NH24" s="1122"/>
      <c r="NI24" s="1122"/>
      <c r="NJ24" s="1122"/>
      <c r="NK24" s="1122"/>
      <c r="NL24" s="1122"/>
      <c r="NM24" s="1122"/>
      <c r="NN24" s="1122"/>
      <c r="NP24" s="155"/>
      <c r="NQ24" s="155"/>
      <c r="QN24" s="155"/>
      <c r="QO24" s="155"/>
      <c r="TL24" s="155"/>
    </row>
    <row r="25" spans="1:532" ht="6.75" customHeight="1" x14ac:dyDescent="0.25">
      <c r="A25" s="155"/>
      <c r="B25" s="512"/>
      <c r="C25" s="1174" t="s">
        <v>6259</v>
      </c>
      <c r="D25" s="1175"/>
      <c r="E25" s="1175"/>
      <c r="F25" s="1175"/>
      <c r="G25" s="1175"/>
      <c r="H25" s="1175"/>
      <c r="I25" s="1175"/>
      <c r="J25" s="1175"/>
      <c r="K25" s="1175"/>
      <c r="L25" s="1175"/>
      <c r="M25" s="1175"/>
      <c r="N25" s="1175"/>
      <c r="O25" s="1175"/>
      <c r="P25" s="1175"/>
      <c r="Q25" s="1175"/>
      <c r="R25" s="1176"/>
      <c r="S25" s="507"/>
      <c r="T25" s="507"/>
      <c r="U25" s="507"/>
      <c r="V25" s="507"/>
      <c r="W25" s="507"/>
      <c r="X25" s="507"/>
      <c r="Y25" s="507"/>
      <c r="Z25" s="507"/>
      <c r="AA25" s="507"/>
      <c r="AB25" s="507"/>
      <c r="AC25" s="507"/>
      <c r="AD25" s="507"/>
      <c r="AE25" s="507"/>
      <c r="AF25" s="507"/>
      <c r="AG25" s="508"/>
      <c r="AH25" s="508"/>
      <c r="AI25" s="508"/>
      <c r="AJ25" s="508"/>
      <c r="AN25" s="507"/>
      <c r="AO25" s="507"/>
      <c r="AP25" s="1157" t="s">
        <v>6264</v>
      </c>
      <c r="AQ25" s="1157"/>
      <c r="AR25" s="1157"/>
      <c r="AS25" s="1157"/>
      <c r="AT25" s="1157"/>
      <c r="AU25" s="1157"/>
      <c r="AV25" s="1157"/>
      <c r="AW25" s="1157"/>
      <c r="AX25" s="1157"/>
      <c r="AY25" s="1157"/>
      <c r="AZ25" s="1157"/>
      <c r="BA25" s="507"/>
      <c r="BB25" s="507"/>
      <c r="BE25" s="507"/>
      <c r="BF25" s="507"/>
      <c r="BG25" s="1157" t="s">
        <v>6530</v>
      </c>
      <c r="BH25" s="1157"/>
      <c r="BI25" s="1157"/>
      <c r="BJ25" s="1157"/>
      <c r="BK25" s="1157"/>
      <c r="BL25" s="1157"/>
      <c r="BM25" s="1157"/>
      <c r="BN25" s="1157"/>
      <c r="BO25" s="1157"/>
      <c r="BP25" s="1157"/>
      <c r="BQ25" s="1157"/>
      <c r="BR25" s="507"/>
      <c r="BS25" s="507"/>
      <c r="BW25" s="507"/>
      <c r="BX25" s="155"/>
      <c r="BY25" s="155"/>
      <c r="BZ25" s="150"/>
      <c r="CA25" s="1109" t="s">
        <v>6417</v>
      </c>
      <c r="CB25" s="1110"/>
      <c r="CC25" s="1110"/>
      <c r="CD25" s="1110"/>
      <c r="CE25" s="1110"/>
      <c r="CF25" s="1110"/>
      <c r="CG25" s="1110"/>
      <c r="CH25" s="1110"/>
      <c r="CI25" s="1110"/>
      <c r="CJ25" s="1110"/>
      <c r="CK25" s="1110"/>
      <c r="CL25" s="1110"/>
      <c r="CM25" s="1110"/>
      <c r="CN25" s="1110"/>
      <c r="CO25" s="1110"/>
      <c r="CP25" s="1110"/>
      <c r="CQ25" s="1110"/>
      <c r="CR25" s="1110"/>
      <c r="CS25" s="1110"/>
      <c r="CT25" s="1110"/>
      <c r="CU25" s="1110"/>
      <c r="CV25" s="1110"/>
      <c r="CW25" s="1110"/>
      <c r="CX25" s="1111"/>
      <c r="CZ25" s="1109" t="s">
        <v>6621</v>
      </c>
      <c r="DA25" s="1110"/>
      <c r="DB25" s="1110"/>
      <c r="DC25" s="1110"/>
      <c r="DD25" s="1110"/>
      <c r="DE25" s="1110"/>
      <c r="DF25" s="1110"/>
      <c r="DG25" s="1110"/>
      <c r="DH25" s="1110"/>
      <c r="DI25" s="1110"/>
      <c r="DJ25" s="1110"/>
      <c r="DK25" s="1110"/>
      <c r="DL25" s="1110"/>
      <c r="DM25" s="1110"/>
      <c r="DN25" s="1110"/>
      <c r="DO25" s="1110"/>
      <c r="DP25" s="1110"/>
      <c r="DQ25" s="1110"/>
      <c r="DR25" s="1110"/>
      <c r="DS25" s="1110"/>
      <c r="DT25" s="1110"/>
      <c r="DU25" s="1110"/>
      <c r="DV25" s="1110"/>
      <c r="DW25" s="1111"/>
      <c r="DY25" s="1121"/>
      <c r="DZ25" s="1121"/>
      <c r="EA25" s="1121"/>
      <c r="EB25" s="1121"/>
      <c r="EC25" s="1121"/>
      <c r="ED25" s="1121"/>
      <c r="EE25" s="1121"/>
      <c r="EF25" s="1121"/>
      <c r="EG25" s="1121"/>
      <c r="EH25" s="1121"/>
      <c r="EI25" s="1121"/>
      <c r="EJ25" s="1121"/>
      <c r="EK25" s="1121"/>
      <c r="EL25" s="1121"/>
      <c r="EM25" s="1121"/>
      <c r="EN25" s="1121"/>
      <c r="EO25" s="1121"/>
      <c r="EP25" s="1121"/>
      <c r="EQ25" s="1121"/>
      <c r="ER25" s="1121"/>
      <c r="ES25" s="1121"/>
      <c r="ET25" s="1121"/>
      <c r="EU25" s="1121"/>
      <c r="EW25" s="155"/>
      <c r="EX25" s="552"/>
      <c r="EY25" s="552"/>
      <c r="EZ25" s="552"/>
      <c r="FA25" s="552"/>
      <c r="FB25" s="552"/>
      <c r="FC25" s="552"/>
      <c r="FD25" s="552"/>
      <c r="FE25" s="552"/>
      <c r="FF25" s="552"/>
      <c r="FG25" s="552"/>
      <c r="FH25" s="552"/>
      <c r="FI25" s="552"/>
      <c r="FJ25" s="552"/>
      <c r="FK25" s="552"/>
      <c r="FL25" s="552"/>
      <c r="FM25" s="552"/>
      <c r="FN25" s="552"/>
      <c r="FO25" s="552"/>
      <c r="FP25" s="552"/>
      <c r="FQ25" s="552"/>
      <c r="FR25" s="552"/>
      <c r="FS25" s="552"/>
      <c r="FT25" s="552"/>
      <c r="FU25" s="552"/>
      <c r="FV25" s="552"/>
      <c r="FW25" s="552"/>
      <c r="FX25" s="552"/>
      <c r="FY25" s="552"/>
      <c r="FZ25" s="552"/>
      <c r="GA25" s="552"/>
      <c r="GB25" s="552"/>
      <c r="GC25" s="552"/>
      <c r="GD25" s="552"/>
      <c r="GE25" s="552"/>
      <c r="GF25" s="552"/>
      <c r="GG25" s="552"/>
      <c r="GH25" s="552"/>
      <c r="GI25" s="552"/>
      <c r="GJ25" s="552"/>
      <c r="GK25" s="552"/>
      <c r="GL25" s="552"/>
      <c r="GM25" s="552"/>
      <c r="GN25" s="552"/>
      <c r="GO25" s="552"/>
      <c r="GP25" s="552"/>
      <c r="GQ25" s="552"/>
      <c r="GR25" s="552"/>
      <c r="GS25" s="552"/>
      <c r="GT25" s="552"/>
      <c r="GU25" s="552"/>
      <c r="GV25" s="552"/>
      <c r="GW25" s="552"/>
      <c r="GX25" s="552"/>
      <c r="GY25" s="552"/>
      <c r="GZ25" s="552"/>
      <c r="HA25" s="552"/>
      <c r="HB25" s="552"/>
      <c r="HC25" s="552"/>
      <c r="HD25" s="552"/>
      <c r="HE25" s="552"/>
      <c r="HF25" s="552"/>
      <c r="HG25" s="552"/>
      <c r="HH25" s="552"/>
      <c r="HI25" s="552"/>
      <c r="HJ25" s="552"/>
      <c r="HK25" s="552"/>
      <c r="HL25" s="552"/>
      <c r="HM25" s="552"/>
      <c r="HN25" s="552"/>
      <c r="HO25" s="552"/>
      <c r="HP25" s="552"/>
      <c r="HQ25" s="552"/>
      <c r="HR25" s="552"/>
      <c r="HS25" s="552"/>
      <c r="HT25" s="155"/>
      <c r="HU25" s="155"/>
      <c r="HV25" s="552"/>
      <c r="HW25" s="552"/>
      <c r="HX25" s="552"/>
      <c r="HY25" s="552"/>
      <c r="HZ25" s="552"/>
      <c r="IA25" s="552"/>
      <c r="IB25" s="552"/>
      <c r="IC25" s="552"/>
      <c r="ID25" s="552"/>
      <c r="IE25" s="552"/>
      <c r="IF25" s="552"/>
      <c r="IG25" s="552"/>
      <c r="IH25" s="552"/>
      <c r="II25" s="552"/>
      <c r="IJ25" s="552"/>
      <c r="IK25" s="552"/>
      <c r="IL25" s="552"/>
      <c r="IM25" s="552"/>
      <c r="IN25" s="552"/>
      <c r="IO25" s="552"/>
      <c r="IP25" s="552"/>
      <c r="IQ25" s="552"/>
      <c r="IR25" s="552"/>
      <c r="IS25" s="552"/>
      <c r="IT25" s="552"/>
      <c r="IU25" s="552"/>
      <c r="IV25" s="552"/>
      <c r="IW25" s="552"/>
      <c r="IX25" s="552"/>
      <c r="IY25" s="552"/>
      <c r="IZ25" s="552"/>
      <c r="JA25" s="552"/>
      <c r="JB25" s="552"/>
      <c r="JC25" s="552"/>
      <c r="JD25" s="552"/>
      <c r="JE25" s="552"/>
      <c r="JF25" s="552"/>
      <c r="JG25" s="552"/>
      <c r="JH25" s="552"/>
      <c r="JI25" s="552"/>
      <c r="JJ25" s="552"/>
      <c r="JK25" s="552"/>
      <c r="JL25" s="552"/>
      <c r="JM25" s="552"/>
      <c r="JN25" s="552"/>
      <c r="JO25" s="552"/>
      <c r="JP25" s="552"/>
      <c r="JQ25" s="552"/>
      <c r="JR25" s="552"/>
      <c r="JS25" s="552"/>
      <c r="JT25" s="552"/>
      <c r="JU25" s="552"/>
      <c r="JV25" s="552"/>
      <c r="JW25" s="552"/>
      <c r="JX25" s="552"/>
      <c r="JY25" s="552"/>
      <c r="JZ25" s="552"/>
      <c r="KA25" s="552"/>
      <c r="KB25" s="552"/>
      <c r="KC25" s="552"/>
      <c r="KD25" s="552"/>
      <c r="KE25" s="552"/>
      <c r="KF25" s="552"/>
      <c r="KG25" s="552"/>
      <c r="KH25" s="552"/>
      <c r="KI25" s="552"/>
      <c r="KJ25" s="552"/>
      <c r="KK25" s="552"/>
      <c r="KL25" s="552"/>
      <c r="KM25" s="552"/>
      <c r="KN25" s="552"/>
      <c r="KO25" s="552"/>
      <c r="KP25" s="552"/>
      <c r="KQ25" s="552"/>
      <c r="KR25" s="155"/>
      <c r="KS25" s="155"/>
      <c r="KV25" s="1121"/>
      <c r="KW25" s="1121"/>
      <c r="KX25" s="1121"/>
      <c r="KY25" s="1121"/>
      <c r="KZ25" s="1121"/>
      <c r="LA25" s="1121"/>
      <c r="LB25" s="1121"/>
      <c r="LC25" s="1121"/>
      <c r="LD25" s="1121"/>
      <c r="LE25" s="1121"/>
      <c r="LF25" s="1121"/>
      <c r="LG25" s="1121"/>
      <c r="LH25" s="1121"/>
      <c r="LI25" s="1121"/>
      <c r="LJ25" s="1121"/>
      <c r="LK25" s="1121"/>
      <c r="LL25" s="1121"/>
      <c r="LM25" s="1121"/>
      <c r="LN25" s="1121"/>
      <c r="LO25" s="1121"/>
      <c r="LP25" s="1121"/>
      <c r="LQ25" s="1121"/>
      <c r="LR25" s="1121"/>
      <c r="LS25" s="1121"/>
      <c r="LT25" s="1121"/>
      <c r="LV25" s="1123"/>
      <c r="LW25" s="1123"/>
      <c r="LX25" s="1123"/>
      <c r="LY25" s="1123"/>
      <c r="MA25" s="1123"/>
      <c r="MB25" s="1123"/>
      <c r="MC25" s="1123"/>
      <c r="MD25" s="1123"/>
      <c r="ME25" s="1123"/>
      <c r="MF25" s="1123"/>
      <c r="MG25" s="1123"/>
      <c r="MH25" s="1123"/>
      <c r="MI25" s="1123"/>
      <c r="MK25" s="1123"/>
      <c r="ML25" s="1123"/>
      <c r="MM25" s="1123"/>
      <c r="MN25" s="1123"/>
      <c r="MO25" s="1123"/>
      <c r="MQ25" s="1123"/>
      <c r="MR25" s="1123"/>
      <c r="MS25" s="1123"/>
      <c r="MT25" s="1123"/>
      <c r="MU25" s="1123"/>
      <c r="MV25" s="1123"/>
      <c r="MW25" s="1123"/>
      <c r="MX25" s="1123"/>
      <c r="MY25" s="1123"/>
      <c r="MZ25" s="1123"/>
      <c r="NA25" s="1123"/>
      <c r="NB25" s="1123"/>
      <c r="NC25" s="1123"/>
      <c r="ND25" s="1123"/>
      <c r="NE25" s="1123"/>
      <c r="NF25" s="1123"/>
      <c r="NG25" s="1123"/>
      <c r="NH25" s="1123"/>
      <c r="NI25" s="1123"/>
      <c r="NJ25" s="1123"/>
      <c r="NK25" s="1123"/>
      <c r="NL25" s="1123"/>
      <c r="NM25" s="1123"/>
      <c r="NN25" s="1123"/>
      <c r="NP25" s="155"/>
      <c r="NQ25" s="155"/>
      <c r="QN25" s="155"/>
      <c r="QO25" s="155"/>
      <c r="TL25" s="155"/>
    </row>
    <row r="26" spans="1:532" ht="6.75" customHeight="1" thickBot="1" x14ac:dyDescent="0.3">
      <c r="A26" s="155"/>
      <c r="B26" s="512"/>
      <c r="C26" s="1230"/>
      <c r="D26" s="1231"/>
      <c r="E26" s="1231"/>
      <c r="F26" s="1231"/>
      <c r="G26" s="1231"/>
      <c r="H26" s="1231"/>
      <c r="I26" s="1231"/>
      <c r="J26" s="1231"/>
      <c r="K26" s="1231"/>
      <c r="L26" s="1231"/>
      <c r="M26" s="1231"/>
      <c r="N26" s="1231"/>
      <c r="O26" s="1231"/>
      <c r="P26" s="1231"/>
      <c r="Q26" s="1231"/>
      <c r="R26" s="1232"/>
      <c r="S26" s="508"/>
      <c r="T26" s="508"/>
      <c r="U26" s="508"/>
      <c r="V26" s="508"/>
      <c r="W26" s="508"/>
      <c r="X26" s="508"/>
      <c r="Y26" s="508"/>
      <c r="Z26" s="508"/>
      <c r="AA26" s="508"/>
      <c r="AB26" s="508"/>
      <c r="AC26" s="508"/>
      <c r="AD26" s="508"/>
      <c r="AE26" s="508"/>
      <c r="AF26" s="508"/>
      <c r="AG26" s="508"/>
      <c r="AH26" s="508"/>
      <c r="AI26" s="508"/>
      <c r="AJ26" s="508"/>
      <c r="AN26" s="507"/>
      <c r="AO26" s="507"/>
      <c r="AP26" s="1157"/>
      <c r="AQ26" s="1157"/>
      <c r="AR26" s="1157"/>
      <c r="AS26" s="1157"/>
      <c r="AT26" s="1157"/>
      <c r="AU26" s="1157"/>
      <c r="AV26" s="1157"/>
      <c r="AW26" s="1157"/>
      <c r="AX26" s="1157"/>
      <c r="AY26" s="1157"/>
      <c r="AZ26" s="1157"/>
      <c r="BA26" s="507"/>
      <c r="BB26" s="507"/>
      <c r="BE26" s="507"/>
      <c r="BF26" s="507"/>
      <c r="BG26" s="1157"/>
      <c r="BH26" s="1157"/>
      <c r="BI26" s="1157"/>
      <c r="BJ26" s="1157"/>
      <c r="BK26" s="1157"/>
      <c r="BL26" s="1157"/>
      <c r="BM26" s="1157"/>
      <c r="BN26" s="1157"/>
      <c r="BO26" s="1157"/>
      <c r="BP26" s="1157"/>
      <c r="BQ26" s="1157"/>
      <c r="BR26" s="507"/>
      <c r="BS26" s="507"/>
      <c r="BW26" s="507"/>
      <c r="BX26" s="155"/>
      <c r="BY26" s="155"/>
      <c r="BZ26" s="150"/>
      <c r="CA26" s="1112"/>
      <c r="CB26" s="1113"/>
      <c r="CC26" s="1113"/>
      <c r="CD26" s="1113"/>
      <c r="CE26" s="1113"/>
      <c r="CF26" s="1113"/>
      <c r="CG26" s="1113"/>
      <c r="CH26" s="1113"/>
      <c r="CI26" s="1113"/>
      <c r="CJ26" s="1113"/>
      <c r="CK26" s="1113"/>
      <c r="CL26" s="1113"/>
      <c r="CM26" s="1113"/>
      <c r="CN26" s="1113"/>
      <c r="CO26" s="1113"/>
      <c r="CP26" s="1113"/>
      <c r="CQ26" s="1113"/>
      <c r="CR26" s="1113"/>
      <c r="CS26" s="1113"/>
      <c r="CT26" s="1113"/>
      <c r="CU26" s="1113"/>
      <c r="CV26" s="1113"/>
      <c r="CW26" s="1113"/>
      <c r="CX26" s="1114"/>
      <c r="CZ26" s="1112"/>
      <c r="DA26" s="1113"/>
      <c r="DB26" s="1113"/>
      <c r="DC26" s="1113"/>
      <c r="DD26" s="1113"/>
      <c r="DE26" s="1113"/>
      <c r="DF26" s="1113"/>
      <c r="DG26" s="1113"/>
      <c r="DH26" s="1113"/>
      <c r="DI26" s="1113"/>
      <c r="DJ26" s="1113"/>
      <c r="DK26" s="1113"/>
      <c r="DL26" s="1113"/>
      <c r="DM26" s="1113"/>
      <c r="DN26" s="1113"/>
      <c r="DO26" s="1113"/>
      <c r="DP26" s="1113"/>
      <c r="DQ26" s="1113"/>
      <c r="DR26" s="1113"/>
      <c r="DS26" s="1113"/>
      <c r="DT26" s="1113"/>
      <c r="DU26" s="1113"/>
      <c r="DV26" s="1113"/>
      <c r="DW26" s="1114"/>
      <c r="DY26" s="1120"/>
      <c r="DZ26" s="1120"/>
      <c r="EA26" s="1120"/>
      <c r="EB26" s="1120"/>
      <c r="EC26" s="1120"/>
      <c r="ED26" s="1120"/>
      <c r="EE26" s="1120"/>
      <c r="EF26" s="1120"/>
      <c r="EG26" s="1120"/>
      <c r="EH26" s="1120"/>
      <c r="EI26" s="1120"/>
      <c r="EJ26" s="1120"/>
      <c r="EK26" s="1120"/>
      <c r="EL26" s="1120"/>
      <c r="EM26" s="1120"/>
      <c r="EN26" s="1120"/>
      <c r="EO26" s="1120"/>
      <c r="EP26" s="1120"/>
      <c r="EQ26" s="1120"/>
      <c r="ER26" s="1120"/>
      <c r="ES26" s="1120"/>
      <c r="ET26" s="1120"/>
      <c r="EU26" s="1120"/>
      <c r="EW26" s="155"/>
      <c r="EX26" s="552"/>
      <c r="EY26" s="552"/>
      <c r="EZ26" s="552"/>
      <c r="FA26" s="552"/>
      <c r="FB26" s="552"/>
      <c r="FC26" s="552"/>
      <c r="FD26" s="552"/>
      <c r="FE26" s="552"/>
      <c r="FF26" s="552"/>
      <c r="FG26" s="552"/>
      <c r="FH26" s="552"/>
      <c r="FI26" s="552"/>
      <c r="FJ26" s="552"/>
      <c r="FK26" s="552"/>
      <c r="FL26" s="552"/>
      <c r="FM26" s="552"/>
      <c r="FN26" s="552"/>
      <c r="FO26" s="552"/>
      <c r="FP26" s="552"/>
      <c r="FQ26" s="552"/>
      <c r="FR26" s="552"/>
      <c r="FS26" s="552"/>
      <c r="FT26" s="552"/>
      <c r="FU26" s="552"/>
      <c r="FV26" s="552"/>
      <c r="FW26" s="552"/>
      <c r="FX26" s="552"/>
      <c r="FY26" s="552"/>
      <c r="FZ26" s="552"/>
      <c r="GA26" s="552"/>
      <c r="GB26" s="552"/>
      <c r="GC26" s="552"/>
      <c r="GD26" s="552"/>
      <c r="GE26" s="552"/>
      <c r="GF26" s="552"/>
      <c r="GG26" s="552"/>
      <c r="GH26" s="552"/>
      <c r="GI26" s="552"/>
      <c r="GJ26" s="552"/>
      <c r="GK26" s="552"/>
      <c r="GL26" s="552"/>
      <c r="GM26" s="552"/>
      <c r="GN26" s="552"/>
      <c r="GO26" s="552"/>
      <c r="GP26" s="552"/>
      <c r="GQ26" s="552"/>
      <c r="GR26" s="552"/>
      <c r="GS26" s="552"/>
      <c r="GT26" s="552"/>
      <c r="GU26" s="552"/>
      <c r="GV26" s="552"/>
      <c r="GW26" s="552"/>
      <c r="GX26" s="552"/>
      <c r="GY26" s="552"/>
      <c r="GZ26" s="552"/>
      <c r="HA26" s="552"/>
      <c r="HB26" s="552"/>
      <c r="HC26" s="552"/>
      <c r="HD26" s="552"/>
      <c r="HE26" s="552"/>
      <c r="HF26" s="552"/>
      <c r="HG26" s="552"/>
      <c r="HH26" s="552"/>
      <c r="HI26" s="552"/>
      <c r="HJ26" s="552"/>
      <c r="HK26" s="552"/>
      <c r="HL26" s="552"/>
      <c r="HM26" s="552"/>
      <c r="HN26" s="552"/>
      <c r="HO26" s="552"/>
      <c r="HP26" s="552"/>
      <c r="HQ26" s="552"/>
      <c r="HR26" s="552"/>
      <c r="HS26" s="552"/>
      <c r="HT26" s="155"/>
      <c r="HU26" s="155"/>
      <c r="HV26" s="552"/>
      <c r="HW26" s="552"/>
      <c r="HX26" s="552"/>
      <c r="HY26" s="552"/>
      <c r="HZ26" s="552"/>
      <c r="IA26" s="552"/>
      <c r="IB26" s="552"/>
      <c r="IC26" s="552"/>
      <c r="ID26" s="552"/>
      <c r="IE26" s="552"/>
      <c r="IF26" s="552"/>
      <c r="IG26" s="552"/>
      <c r="IH26" s="552"/>
      <c r="II26" s="552"/>
      <c r="IJ26" s="552"/>
      <c r="IK26" s="552"/>
      <c r="IL26" s="552"/>
      <c r="IM26" s="552"/>
      <c r="IN26" s="552"/>
      <c r="IO26" s="552"/>
      <c r="IP26" s="552"/>
      <c r="IQ26" s="552"/>
      <c r="IR26" s="552"/>
      <c r="IS26" s="552"/>
      <c r="IT26" s="552"/>
      <c r="IU26" s="552"/>
      <c r="IV26" s="552"/>
      <c r="IW26" s="552"/>
      <c r="IX26" s="552"/>
      <c r="IY26" s="552"/>
      <c r="IZ26" s="552"/>
      <c r="JA26" s="552"/>
      <c r="JB26" s="552"/>
      <c r="JC26" s="552"/>
      <c r="JD26" s="552"/>
      <c r="JE26" s="552"/>
      <c r="JF26" s="552"/>
      <c r="JG26" s="552"/>
      <c r="JH26" s="552"/>
      <c r="JI26" s="552"/>
      <c r="JJ26" s="552"/>
      <c r="JK26" s="552"/>
      <c r="JL26" s="552"/>
      <c r="JM26" s="552"/>
      <c r="JN26" s="552"/>
      <c r="JO26" s="552"/>
      <c r="JP26" s="552"/>
      <c r="JQ26" s="552"/>
      <c r="JR26" s="552"/>
      <c r="JS26" s="552"/>
      <c r="JT26" s="552"/>
      <c r="JU26" s="552"/>
      <c r="JV26" s="552"/>
      <c r="JW26" s="552"/>
      <c r="JX26" s="552"/>
      <c r="JY26" s="552"/>
      <c r="JZ26" s="552"/>
      <c r="KA26" s="552"/>
      <c r="KB26" s="552"/>
      <c r="KC26" s="552"/>
      <c r="KD26" s="552"/>
      <c r="KE26" s="552"/>
      <c r="KF26" s="552"/>
      <c r="KG26" s="552"/>
      <c r="KH26" s="552"/>
      <c r="KI26" s="552"/>
      <c r="KJ26" s="552"/>
      <c r="KK26" s="552"/>
      <c r="KL26" s="552"/>
      <c r="KM26" s="552"/>
      <c r="KN26" s="552"/>
      <c r="KO26" s="552"/>
      <c r="KP26" s="552"/>
      <c r="KQ26" s="552"/>
      <c r="KR26" s="155"/>
      <c r="KS26" s="155"/>
      <c r="KV26" s="1120"/>
      <c r="KW26" s="1120"/>
      <c r="KX26" s="1120"/>
      <c r="KY26" s="1120"/>
      <c r="KZ26" s="1120"/>
      <c r="LA26" s="1120"/>
      <c r="LB26" s="1120"/>
      <c r="LC26" s="1120"/>
      <c r="LD26" s="1120"/>
      <c r="LE26" s="1120"/>
      <c r="LF26" s="1120"/>
      <c r="LG26" s="1120"/>
      <c r="LH26" s="1120"/>
      <c r="LI26" s="1120"/>
      <c r="LJ26" s="1120"/>
      <c r="LK26" s="1120"/>
      <c r="LL26" s="1120"/>
      <c r="LM26" s="1120"/>
      <c r="LN26" s="1120"/>
      <c r="LO26" s="1120"/>
      <c r="LP26" s="1120"/>
      <c r="LQ26" s="1120"/>
      <c r="LR26" s="1120"/>
      <c r="LS26" s="1120"/>
      <c r="LT26" s="1120"/>
      <c r="LV26" s="1122"/>
      <c r="LW26" s="1122"/>
      <c r="LX26" s="1122"/>
      <c r="LY26" s="1122"/>
      <c r="MA26" s="1122"/>
      <c r="MB26" s="1122"/>
      <c r="MC26" s="1122"/>
      <c r="MD26" s="1122"/>
      <c r="ME26" s="1122"/>
      <c r="MF26" s="1122"/>
      <c r="MG26" s="1122"/>
      <c r="MH26" s="1122"/>
      <c r="MI26" s="1122"/>
      <c r="MK26" s="1122"/>
      <c r="ML26" s="1122"/>
      <c r="MM26" s="1122"/>
      <c r="MN26" s="1122"/>
      <c r="MO26" s="1122"/>
      <c r="MQ26" s="1122"/>
      <c r="MR26" s="1122"/>
      <c r="MS26" s="1122"/>
      <c r="MT26" s="1122"/>
      <c r="MU26" s="1122"/>
      <c r="MV26" s="1122"/>
      <c r="MW26" s="1122"/>
      <c r="MX26" s="1122"/>
      <c r="MY26" s="1122"/>
      <c r="MZ26" s="1122"/>
      <c r="NA26" s="1122"/>
      <c r="NB26" s="1122"/>
      <c r="NC26" s="1122"/>
      <c r="ND26" s="1122"/>
      <c r="NE26" s="1122"/>
      <c r="NF26" s="1122"/>
      <c r="NG26" s="1122"/>
      <c r="NH26" s="1122"/>
      <c r="NI26" s="1122"/>
      <c r="NJ26" s="1122"/>
      <c r="NK26" s="1122"/>
      <c r="NL26" s="1122"/>
      <c r="NM26" s="1122"/>
      <c r="NN26" s="1122"/>
      <c r="NP26" s="155"/>
      <c r="NQ26" s="155"/>
      <c r="QN26" s="155"/>
      <c r="QO26" s="155"/>
      <c r="TL26" s="155"/>
    </row>
    <row r="27" spans="1:532" ht="6.75" customHeight="1" thickBot="1" x14ac:dyDescent="0.3">
      <c r="A27" s="155"/>
      <c r="B27" s="512"/>
      <c r="C27" s="1180" t="str">
        <f>Appearance</f>
        <v>high man in black clothing wit long black hair</v>
      </c>
      <c r="D27" s="1181"/>
      <c r="E27" s="1181"/>
      <c r="F27" s="1181"/>
      <c r="G27" s="1181"/>
      <c r="H27" s="1181"/>
      <c r="I27" s="1181"/>
      <c r="J27" s="1181"/>
      <c r="K27" s="1181"/>
      <c r="L27" s="1181"/>
      <c r="M27" s="1181"/>
      <c r="N27" s="1181"/>
      <c r="O27" s="1181"/>
      <c r="P27" s="1181"/>
      <c r="Q27" s="1181"/>
      <c r="R27" s="1181"/>
      <c r="S27" s="1181"/>
      <c r="T27" s="1181"/>
      <c r="U27" s="1181"/>
      <c r="V27" s="1181"/>
      <c r="W27" s="1181"/>
      <c r="X27" s="1181"/>
      <c r="Y27" s="1181"/>
      <c r="Z27" s="1181"/>
      <c r="AA27" s="1181"/>
      <c r="AB27" s="1181"/>
      <c r="AC27" s="1181"/>
      <c r="AD27" s="1181"/>
      <c r="AE27" s="1181"/>
      <c r="AF27" s="1181"/>
      <c r="AG27" s="1181"/>
      <c r="AH27" s="1181"/>
      <c r="AI27" s="1181"/>
      <c r="AJ27" s="1181"/>
      <c r="AK27" s="1181"/>
      <c r="AL27" s="1182"/>
      <c r="BW27" s="507"/>
      <c r="BX27" s="155"/>
      <c r="BY27" s="155"/>
      <c r="BZ27" s="150"/>
      <c r="CA27" s="1134"/>
      <c r="CB27" s="1135"/>
      <c r="CC27" s="1135"/>
      <c r="CD27" s="1135"/>
      <c r="CE27" s="1135"/>
      <c r="CF27" s="1135"/>
      <c r="CG27" s="1135"/>
      <c r="CH27" s="1135"/>
      <c r="CI27" s="1135"/>
      <c r="CJ27" s="1135"/>
      <c r="CK27" s="1135"/>
      <c r="CL27" s="1135"/>
      <c r="CM27" s="1135"/>
      <c r="CN27" s="1135"/>
      <c r="CO27" s="1135"/>
      <c r="CP27" s="1135"/>
      <c r="CQ27" s="1135"/>
      <c r="CR27" s="1135"/>
      <c r="CS27" s="1135"/>
      <c r="CT27" s="1135"/>
      <c r="CU27" s="1135"/>
      <c r="CV27" s="1135"/>
      <c r="CW27" s="1135"/>
      <c r="CX27" s="1136"/>
      <c r="CZ27" s="1115"/>
      <c r="DA27" s="1116"/>
      <c r="DB27" s="1116"/>
      <c r="DC27" s="1116"/>
      <c r="DD27" s="1116"/>
      <c r="DE27" s="1116"/>
      <c r="DF27" s="1116"/>
      <c r="DG27" s="1116"/>
      <c r="DH27" s="1116"/>
      <c r="DI27" s="1116"/>
      <c r="DJ27" s="1116"/>
      <c r="DK27" s="1116"/>
      <c r="DL27" s="1116"/>
      <c r="DM27" s="1116"/>
      <c r="DN27" s="1116"/>
      <c r="DO27" s="1116"/>
      <c r="DP27" s="1116"/>
      <c r="DQ27" s="1116"/>
      <c r="DR27" s="1116"/>
      <c r="DS27" s="1116"/>
      <c r="DT27" s="1116"/>
      <c r="DU27" s="1116"/>
      <c r="DV27" s="1116"/>
      <c r="DW27" s="1117"/>
      <c r="DY27" s="1121"/>
      <c r="DZ27" s="1121"/>
      <c r="EA27" s="1121"/>
      <c r="EB27" s="1121"/>
      <c r="EC27" s="1121"/>
      <c r="ED27" s="1121"/>
      <c r="EE27" s="1121"/>
      <c r="EF27" s="1121"/>
      <c r="EG27" s="1121"/>
      <c r="EH27" s="1121"/>
      <c r="EI27" s="1121"/>
      <c r="EJ27" s="1121"/>
      <c r="EK27" s="1121"/>
      <c r="EL27" s="1121"/>
      <c r="EM27" s="1121"/>
      <c r="EN27" s="1121"/>
      <c r="EO27" s="1121"/>
      <c r="EP27" s="1121"/>
      <c r="EQ27" s="1121"/>
      <c r="ER27" s="1121"/>
      <c r="ES27" s="1121"/>
      <c r="ET27" s="1121"/>
      <c r="EU27" s="1121"/>
      <c r="EW27" s="155"/>
      <c r="EX27" s="552"/>
      <c r="EY27" s="552"/>
      <c r="EZ27" s="552"/>
      <c r="FA27" s="552"/>
      <c r="FB27" s="552"/>
      <c r="FC27" s="552"/>
      <c r="FD27" s="552"/>
      <c r="FE27" s="552"/>
      <c r="FF27" s="552"/>
      <c r="FG27" s="552"/>
      <c r="FH27" s="552"/>
      <c r="FI27" s="552"/>
      <c r="FJ27" s="552"/>
      <c r="FK27" s="552"/>
      <c r="FL27" s="552"/>
      <c r="FM27" s="552"/>
      <c r="FN27" s="552"/>
      <c r="FO27" s="552"/>
      <c r="FP27" s="552"/>
      <c r="FQ27" s="552"/>
      <c r="FR27" s="552"/>
      <c r="FS27" s="552"/>
      <c r="FT27" s="552"/>
      <c r="FU27" s="552"/>
      <c r="FV27" s="552"/>
      <c r="FW27" s="552"/>
      <c r="FX27" s="552"/>
      <c r="FY27" s="552"/>
      <c r="FZ27" s="552"/>
      <c r="GA27" s="552"/>
      <c r="GB27" s="552"/>
      <c r="GC27" s="552"/>
      <c r="GD27" s="552"/>
      <c r="GE27" s="552"/>
      <c r="GF27" s="552"/>
      <c r="GG27" s="552"/>
      <c r="GH27" s="552"/>
      <c r="GI27" s="552"/>
      <c r="GJ27" s="552"/>
      <c r="GK27" s="552"/>
      <c r="GL27" s="552"/>
      <c r="GM27" s="552"/>
      <c r="GN27" s="552"/>
      <c r="GO27" s="552"/>
      <c r="GP27" s="552"/>
      <c r="GQ27" s="552"/>
      <c r="GR27" s="552"/>
      <c r="GS27" s="552"/>
      <c r="GT27" s="552"/>
      <c r="GU27" s="552"/>
      <c r="GV27" s="552"/>
      <c r="GW27" s="552"/>
      <c r="GX27" s="552"/>
      <c r="GY27" s="552"/>
      <c r="GZ27" s="552"/>
      <c r="HA27" s="552"/>
      <c r="HB27" s="552"/>
      <c r="HC27" s="552"/>
      <c r="HD27" s="552"/>
      <c r="HE27" s="552"/>
      <c r="HF27" s="552"/>
      <c r="HG27" s="552"/>
      <c r="HH27" s="552"/>
      <c r="HI27" s="552"/>
      <c r="HJ27" s="552"/>
      <c r="HK27" s="552"/>
      <c r="HL27" s="552"/>
      <c r="HM27" s="552"/>
      <c r="HN27" s="552"/>
      <c r="HO27" s="552"/>
      <c r="HP27" s="552"/>
      <c r="HQ27" s="552"/>
      <c r="HR27" s="552"/>
      <c r="HS27" s="552"/>
      <c r="HT27" s="155"/>
      <c r="HU27" s="155"/>
      <c r="HV27" s="552"/>
      <c r="HW27" s="552"/>
      <c r="HX27" s="552"/>
      <c r="HY27" s="552"/>
      <c r="HZ27" s="552"/>
      <c r="IA27" s="552"/>
      <c r="IB27" s="552"/>
      <c r="IC27" s="552"/>
      <c r="ID27" s="552"/>
      <c r="IE27" s="552"/>
      <c r="IF27" s="552"/>
      <c r="IG27" s="552"/>
      <c r="IH27" s="552"/>
      <c r="II27" s="552"/>
      <c r="IJ27" s="552"/>
      <c r="IK27" s="552"/>
      <c r="IL27" s="552"/>
      <c r="IM27" s="552"/>
      <c r="IN27" s="552"/>
      <c r="IO27" s="552"/>
      <c r="IP27" s="552"/>
      <c r="IQ27" s="552"/>
      <c r="IR27" s="552"/>
      <c r="IS27" s="552"/>
      <c r="IT27" s="552"/>
      <c r="IU27" s="552"/>
      <c r="IV27" s="552"/>
      <c r="IW27" s="552"/>
      <c r="IX27" s="552"/>
      <c r="IY27" s="552"/>
      <c r="IZ27" s="552"/>
      <c r="JA27" s="552"/>
      <c r="JB27" s="552"/>
      <c r="JC27" s="552"/>
      <c r="JD27" s="552"/>
      <c r="JE27" s="552"/>
      <c r="JF27" s="552"/>
      <c r="JG27" s="552"/>
      <c r="JH27" s="552"/>
      <c r="JI27" s="552"/>
      <c r="JJ27" s="552"/>
      <c r="JK27" s="552"/>
      <c r="JL27" s="552"/>
      <c r="JM27" s="552"/>
      <c r="JN27" s="552"/>
      <c r="JO27" s="552"/>
      <c r="JP27" s="552"/>
      <c r="JQ27" s="552"/>
      <c r="JR27" s="552"/>
      <c r="JS27" s="552"/>
      <c r="JT27" s="552"/>
      <c r="JU27" s="552"/>
      <c r="JV27" s="552"/>
      <c r="JW27" s="552"/>
      <c r="JX27" s="552"/>
      <c r="JY27" s="552"/>
      <c r="JZ27" s="552"/>
      <c r="KA27" s="552"/>
      <c r="KB27" s="552"/>
      <c r="KC27" s="552"/>
      <c r="KD27" s="552"/>
      <c r="KE27" s="552"/>
      <c r="KF27" s="552"/>
      <c r="KG27" s="552"/>
      <c r="KH27" s="552"/>
      <c r="KI27" s="552"/>
      <c r="KJ27" s="552"/>
      <c r="KK27" s="552"/>
      <c r="KL27" s="552"/>
      <c r="KM27" s="552"/>
      <c r="KN27" s="552"/>
      <c r="KO27" s="552"/>
      <c r="KP27" s="552"/>
      <c r="KQ27" s="552"/>
      <c r="KR27" s="155"/>
      <c r="KS27" s="155"/>
      <c r="KV27" s="1121"/>
      <c r="KW27" s="1121"/>
      <c r="KX27" s="1121"/>
      <c r="KY27" s="1121"/>
      <c r="KZ27" s="1121"/>
      <c r="LA27" s="1121"/>
      <c r="LB27" s="1121"/>
      <c r="LC27" s="1121"/>
      <c r="LD27" s="1121"/>
      <c r="LE27" s="1121"/>
      <c r="LF27" s="1121"/>
      <c r="LG27" s="1121"/>
      <c r="LH27" s="1121"/>
      <c r="LI27" s="1121"/>
      <c r="LJ27" s="1121"/>
      <c r="LK27" s="1121"/>
      <c r="LL27" s="1121"/>
      <c r="LM27" s="1121"/>
      <c r="LN27" s="1121"/>
      <c r="LO27" s="1121"/>
      <c r="LP27" s="1121"/>
      <c r="LQ27" s="1121"/>
      <c r="LR27" s="1121"/>
      <c r="LS27" s="1121"/>
      <c r="LT27" s="1121"/>
      <c r="LV27" s="1123"/>
      <c r="LW27" s="1123"/>
      <c r="LX27" s="1123"/>
      <c r="LY27" s="1123"/>
      <c r="MA27" s="1123"/>
      <c r="MB27" s="1123"/>
      <c r="MC27" s="1123"/>
      <c r="MD27" s="1123"/>
      <c r="ME27" s="1123"/>
      <c r="MF27" s="1123"/>
      <c r="MG27" s="1123"/>
      <c r="MH27" s="1123"/>
      <c r="MI27" s="1123"/>
      <c r="MK27" s="1123"/>
      <c r="ML27" s="1123"/>
      <c r="MM27" s="1123"/>
      <c r="MN27" s="1123"/>
      <c r="MO27" s="1123"/>
      <c r="MQ27" s="1123"/>
      <c r="MR27" s="1123"/>
      <c r="MS27" s="1123"/>
      <c r="MT27" s="1123"/>
      <c r="MU27" s="1123"/>
      <c r="MV27" s="1123"/>
      <c r="MW27" s="1123"/>
      <c r="MX27" s="1123"/>
      <c r="MY27" s="1123"/>
      <c r="MZ27" s="1123"/>
      <c r="NA27" s="1123"/>
      <c r="NB27" s="1123"/>
      <c r="NC27" s="1123"/>
      <c r="ND27" s="1123"/>
      <c r="NE27" s="1123"/>
      <c r="NF27" s="1123"/>
      <c r="NG27" s="1123"/>
      <c r="NH27" s="1123"/>
      <c r="NI27" s="1123"/>
      <c r="NJ27" s="1123"/>
      <c r="NK27" s="1123"/>
      <c r="NL27" s="1123"/>
      <c r="NM27" s="1123"/>
      <c r="NN27" s="1123"/>
      <c r="NP27" s="155"/>
      <c r="NQ27" s="155"/>
      <c r="QN27" s="155"/>
      <c r="QO27" s="155"/>
      <c r="TL27" s="155"/>
    </row>
    <row r="28" spans="1:532" ht="6.75" customHeight="1" x14ac:dyDescent="0.25">
      <c r="A28" s="155"/>
      <c r="B28" s="512"/>
      <c r="C28" s="1183"/>
      <c r="D28" s="1184"/>
      <c r="E28" s="1184"/>
      <c r="F28" s="1184"/>
      <c r="G28" s="1184"/>
      <c r="H28" s="1184"/>
      <c r="I28" s="1184"/>
      <c r="J28" s="1184"/>
      <c r="K28" s="1184"/>
      <c r="L28" s="1184"/>
      <c r="M28" s="1184"/>
      <c r="N28" s="1184"/>
      <c r="O28" s="1184"/>
      <c r="P28" s="1184"/>
      <c r="Q28" s="1184"/>
      <c r="R28" s="1184"/>
      <c r="S28" s="1184"/>
      <c r="T28" s="1184"/>
      <c r="U28" s="1184"/>
      <c r="V28" s="1184"/>
      <c r="W28" s="1184"/>
      <c r="X28" s="1184"/>
      <c r="Y28" s="1184"/>
      <c r="Z28" s="1184"/>
      <c r="AA28" s="1184"/>
      <c r="AB28" s="1184"/>
      <c r="AC28" s="1184"/>
      <c r="AD28" s="1184"/>
      <c r="AE28" s="1184"/>
      <c r="AF28" s="1184"/>
      <c r="AG28" s="1184"/>
      <c r="AH28" s="1184"/>
      <c r="AI28" s="1184"/>
      <c r="AJ28" s="1184"/>
      <c r="AK28" s="1184"/>
      <c r="AL28" s="1185"/>
      <c r="BW28" s="507"/>
      <c r="BX28" s="155"/>
      <c r="BY28" s="155"/>
      <c r="BZ28" s="150"/>
      <c r="CA28" s="1233" t="str">
        <f>CHAR(10)&amp;Character_Creation!AH265</f>
        <v xml:space="preserve">
</v>
      </c>
      <c r="CB28" s="1233"/>
      <c r="CC28" s="1233"/>
      <c r="CD28" s="1233"/>
      <c r="CE28" s="1233"/>
      <c r="CF28" s="1233"/>
      <c r="CG28" s="1233"/>
      <c r="CH28" s="1233"/>
      <c r="CI28" s="1233"/>
      <c r="CJ28" s="1233"/>
      <c r="CK28" s="1233"/>
      <c r="CL28" s="1233"/>
      <c r="CM28" s="1233"/>
      <c r="CN28" s="1233"/>
      <c r="CO28" s="1233"/>
      <c r="CP28" s="1233"/>
      <c r="CQ28" s="1233"/>
      <c r="CR28" s="1233"/>
      <c r="CS28" s="1233"/>
      <c r="CT28" s="1233"/>
      <c r="CU28" s="1233"/>
      <c r="CV28" s="1233"/>
      <c r="CW28" s="1233"/>
      <c r="CX28" s="1233"/>
      <c r="CZ28" s="1119" t="str">
        <f>OutputFightingStyles&amp;CHAR(10)</f>
        <v xml:space="preserve">Fighting styles: 
Two-Weapon Fighting (Fighter)
</v>
      </c>
      <c r="DA28" s="1119"/>
      <c r="DB28" s="1119"/>
      <c r="DC28" s="1119"/>
      <c r="DD28" s="1119"/>
      <c r="DE28" s="1119"/>
      <c r="DF28" s="1119"/>
      <c r="DG28" s="1119"/>
      <c r="DH28" s="1119"/>
      <c r="DI28" s="1119"/>
      <c r="DJ28" s="1119"/>
      <c r="DK28" s="1119"/>
      <c r="DL28" s="1119"/>
      <c r="DM28" s="1119"/>
      <c r="DN28" s="1119"/>
      <c r="DO28" s="1119"/>
      <c r="DP28" s="1119"/>
      <c r="DQ28" s="1119"/>
      <c r="DR28" s="1119"/>
      <c r="DS28" s="1119"/>
      <c r="DT28" s="1119"/>
      <c r="DU28" s="1119"/>
      <c r="DV28" s="1119"/>
      <c r="DW28" s="1119"/>
      <c r="DY28" s="1120"/>
      <c r="DZ28" s="1120"/>
      <c r="EA28" s="1120"/>
      <c r="EB28" s="1120"/>
      <c r="EC28" s="1120"/>
      <c r="ED28" s="1120"/>
      <c r="EE28" s="1120"/>
      <c r="EF28" s="1120"/>
      <c r="EG28" s="1120"/>
      <c r="EH28" s="1120"/>
      <c r="EI28" s="1120"/>
      <c r="EJ28" s="1120"/>
      <c r="EK28" s="1120"/>
      <c r="EL28" s="1120"/>
      <c r="EM28" s="1120"/>
      <c r="EN28" s="1120"/>
      <c r="EO28" s="1120"/>
      <c r="EP28" s="1120"/>
      <c r="EQ28" s="1120"/>
      <c r="ER28" s="1120"/>
      <c r="ES28" s="1120"/>
      <c r="ET28" s="1120"/>
      <c r="EU28" s="1120"/>
      <c r="EW28" s="155"/>
      <c r="EX28" s="552"/>
      <c r="EY28" s="552"/>
      <c r="EZ28" s="552"/>
      <c r="FA28" s="552"/>
      <c r="FB28" s="552"/>
      <c r="FC28" s="552"/>
      <c r="FD28" s="552"/>
      <c r="FE28" s="552"/>
      <c r="FF28" s="552"/>
      <c r="FG28" s="552"/>
      <c r="FH28" s="552"/>
      <c r="FI28" s="552"/>
      <c r="FJ28" s="552"/>
      <c r="FK28" s="552"/>
      <c r="FL28" s="552"/>
      <c r="FM28" s="552"/>
      <c r="FN28" s="552"/>
      <c r="FO28" s="552"/>
      <c r="FP28" s="552"/>
      <c r="FQ28" s="552"/>
      <c r="FR28" s="552"/>
      <c r="FS28" s="552"/>
      <c r="FT28" s="552"/>
      <c r="FU28" s="552"/>
      <c r="FV28" s="552"/>
      <c r="FW28" s="552"/>
      <c r="FX28" s="552"/>
      <c r="FY28" s="552"/>
      <c r="FZ28" s="552"/>
      <c r="GA28" s="552"/>
      <c r="GB28" s="552"/>
      <c r="GC28" s="552"/>
      <c r="GD28" s="552"/>
      <c r="GE28" s="552"/>
      <c r="GF28" s="552"/>
      <c r="GG28" s="552"/>
      <c r="GH28" s="552"/>
      <c r="GI28" s="552"/>
      <c r="GJ28" s="552"/>
      <c r="GK28" s="552"/>
      <c r="GL28" s="552"/>
      <c r="GM28" s="552"/>
      <c r="GN28" s="552"/>
      <c r="GO28" s="552"/>
      <c r="GP28" s="552"/>
      <c r="GQ28" s="552"/>
      <c r="GR28" s="552"/>
      <c r="GS28" s="552"/>
      <c r="GT28" s="552"/>
      <c r="GU28" s="552"/>
      <c r="GV28" s="552"/>
      <c r="GW28" s="552"/>
      <c r="GX28" s="552"/>
      <c r="GY28" s="552"/>
      <c r="GZ28" s="552"/>
      <c r="HA28" s="552"/>
      <c r="HB28" s="552"/>
      <c r="HC28" s="552"/>
      <c r="HD28" s="552"/>
      <c r="HE28" s="552"/>
      <c r="HF28" s="552"/>
      <c r="HG28" s="552"/>
      <c r="HH28" s="552"/>
      <c r="HI28" s="552"/>
      <c r="HJ28" s="552"/>
      <c r="HK28" s="552"/>
      <c r="HL28" s="552"/>
      <c r="HM28" s="552"/>
      <c r="HN28" s="552"/>
      <c r="HO28" s="552"/>
      <c r="HP28" s="552"/>
      <c r="HQ28" s="552"/>
      <c r="HR28" s="552"/>
      <c r="HS28" s="552"/>
      <c r="HT28" s="155"/>
      <c r="HU28" s="155"/>
      <c r="HV28" s="552"/>
      <c r="HW28" s="552"/>
      <c r="HX28" s="552"/>
      <c r="HY28" s="552"/>
      <c r="HZ28" s="552"/>
      <c r="IA28" s="552"/>
      <c r="IB28" s="552"/>
      <c r="IC28" s="552"/>
      <c r="ID28" s="552"/>
      <c r="IE28" s="552"/>
      <c r="IF28" s="552"/>
      <c r="IG28" s="552"/>
      <c r="IH28" s="552"/>
      <c r="II28" s="552"/>
      <c r="IJ28" s="552"/>
      <c r="IK28" s="552"/>
      <c r="IL28" s="552"/>
      <c r="IM28" s="552"/>
      <c r="IN28" s="552"/>
      <c r="IO28" s="552"/>
      <c r="IP28" s="552"/>
      <c r="IQ28" s="552"/>
      <c r="IR28" s="552"/>
      <c r="IS28" s="552"/>
      <c r="IT28" s="552"/>
      <c r="IU28" s="552"/>
      <c r="IV28" s="552"/>
      <c r="IW28" s="552"/>
      <c r="IX28" s="552"/>
      <c r="IY28" s="552"/>
      <c r="IZ28" s="552"/>
      <c r="JA28" s="552"/>
      <c r="JB28" s="552"/>
      <c r="JC28" s="552"/>
      <c r="JD28" s="552"/>
      <c r="JE28" s="552"/>
      <c r="JF28" s="552"/>
      <c r="JG28" s="552"/>
      <c r="JH28" s="552"/>
      <c r="JI28" s="552"/>
      <c r="JJ28" s="552"/>
      <c r="JK28" s="552"/>
      <c r="JL28" s="552"/>
      <c r="JM28" s="552"/>
      <c r="JN28" s="552"/>
      <c r="JO28" s="552"/>
      <c r="JP28" s="552"/>
      <c r="JQ28" s="552"/>
      <c r="JR28" s="552"/>
      <c r="JS28" s="552"/>
      <c r="JT28" s="552"/>
      <c r="JU28" s="552"/>
      <c r="JV28" s="552"/>
      <c r="JW28" s="552"/>
      <c r="JX28" s="552"/>
      <c r="JY28" s="552"/>
      <c r="JZ28" s="552"/>
      <c r="KA28" s="552"/>
      <c r="KB28" s="552"/>
      <c r="KC28" s="552"/>
      <c r="KD28" s="552"/>
      <c r="KE28" s="552"/>
      <c r="KF28" s="552"/>
      <c r="KG28" s="552"/>
      <c r="KH28" s="552"/>
      <c r="KI28" s="552"/>
      <c r="KJ28" s="552"/>
      <c r="KK28" s="552"/>
      <c r="KL28" s="552"/>
      <c r="KM28" s="552"/>
      <c r="KN28" s="552"/>
      <c r="KO28" s="552"/>
      <c r="KP28" s="552"/>
      <c r="KQ28" s="552"/>
      <c r="KR28" s="155"/>
      <c r="KS28" s="155"/>
      <c r="KV28" s="1120"/>
      <c r="KW28" s="1120"/>
      <c r="KX28" s="1120"/>
      <c r="KY28" s="1120"/>
      <c r="KZ28" s="1120"/>
      <c r="LA28" s="1120"/>
      <c r="LB28" s="1120"/>
      <c r="LC28" s="1120"/>
      <c r="LD28" s="1120"/>
      <c r="LE28" s="1120"/>
      <c r="LF28" s="1120"/>
      <c r="LG28" s="1120"/>
      <c r="LH28" s="1120"/>
      <c r="LI28" s="1120"/>
      <c r="LJ28" s="1120"/>
      <c r="LK28" s="1120"/>
      <c r="LL28" s="1120"/>
      <c r="LM28" s="1120"/>
      <c r="LN28" s="1120"/>
      <c r="LO28" s="1120"/>
      <c r="LP28" s="1120"/>
      <c r="LQ28" s="1120"/>
      <c r="LR28" s="1120"/>
      <c r="LS28" s="1120"/>
      <c r="LT28" s="1120"/>
      <c r="LV28" s="1122"/>
      <c r="LW28" s="1122"/>
      <c r="LX28" s="1122"/>
      <c r="LY28" s="1122"/>
      <c r="MA28" s="1122"/>
      <c r="MB28" s="1122"/>
      <c r="MC28" s="1122"/>
      <c r="MD28" s="1122"/>
      <c r="ME28" s="1122"/>
      <c r="MF28" s="1122"/>
      <c r="MG28" s="1122"/>
      <c r="MH28" s="1122"/>
      <c r="MI28" s="1122"/>
      <c r="MK28" s="1122"/>
      <c r="ML28" s="1122"/>
      <c r="MM28" s="1122"/>
      <c r="MN28" s="1122"/>
      <c r="MO28" s="1122"/>
      <c r="MQ28" s="1122"/>
      <c r="MR28" s="1122"/>
      <c r="MS28" s="1122"/>
      <c r="MT28" s="1122"/>
      <c r="MU28" s="1122"/>
      <c r="MV28" s="1122"/>
      <c r="MW28" s="1122"/>
      <c r="MX28" s="1122"/>
      <c r="MY28" s="1122"/>
      <c r="MZ28" s="1122"/>
      <c r="NA28" s="1122"/>
      <c r="NB28" s="1122"/>
      <c r="NC28" s="1122"/>
      <c r="ND28" s="1122"/>
      <c r="NE28" s="1122"/>
      <c r="NF28" s="1122"/>
      <c r="NG28" s="1122"/>
      <c r="NH28" s="1122"/>
      <c r="NI28" s="1122"/>
      <c r="NJ28" s="1122"/>
      <c r="NK28" s="1122"/>
      <c r="NL28" s="1122"/>
      <c r="NM28" s="1122"/>
      <c r="NN28" s="1122"/>
      <c r="NP28" s="155"/>
      <c r="NQ28" s="155"/>
      <c r="QN28" s="155"/>
      <c r="QO28" s="155"/>
      <c r="TL28" s="155"/>
    </row>
    <row r="29" spans="1:532" ht="6.75" customHeight="1" x14ac:dyDescent="0.25">
      <c r="A29" s="155"/>
      <c r="B29" s="512"/>
      <c r="C29" s="1183"/>
      <c r="D29" s="1184"/>
      <c r="E29" s="1184"/>
      <c r="F29" s="1184"/>
      <c r="G29" s="1184"/>
      <c r="H29" s="1184"/>
      <c r="I29" s="1184"/>
      <c r="J29" s="1184"/>
      <c r="K29" s="1184"/>
      <c r="L29" s="1184"/>
      <c r="M29" s="1184"/>
      <c r="N29" s="1184"/>
      <c r="O29" s="1184"/>
      <c r="P29" s="1184"/>
      <c r="Q29" s="1184"/>
      <c r="R29" s="1184"/>
      <c r="S29" s="1184"/>
      <c r="T29" s="1184"/>
      <c r="U29" s="1184"/>
      <c r="V29" s="1184"/>
      <c r="W29" s="1184"/>
      <c r="X29" s="1184"/>
      <c r="Y29" s="1184"/>
      <c r="Z29" s="1184"/>
      <c r="AA29" s="1184"/>
      <c r="AB29" s="1184"/>
      <c r="AC29" s="1184"/>
      <c r="AD29" s="1184"/>
      <c r="AE29" s="1184"/>
      <c r="AF29" s="1184"/>
      <c r="AG29" s="1184"/>
      <c r="AH29" s="1184"/>
      <c r="AI29" s="1184"/>
      <c r="AJ29" s="1184"/>
      <c r="AK29" s="1184"/>
      <c r="AL29" s="1185"/>
      <c r="BW29" s="513"/>
      <c r="BX29" s="155"/>
      <c r="BY29" s="155"/>
      <c r="BZ29" s="150"/>
      <c r="CA29" s="1234"/>
      <c r="CB29" s="1234"/>
      <c r="CC29" s="1234"/>
      <c r="CD29" s="1234"/>
      <c r="CE29" s="1234"/>
      <c r="CF29" s="1234"/>
      <c r="CG29" s="1234"/>
      <c r="CH29" s="1234"/>
      <c r="CI29" s="1234"/>
      <c r="CJ29" s="1234"/>
      <c r="CK29" s="1234"/>
      <c r="CL29" s="1234"/>
      <c r="CM29" s="1234"/>
      <c r="CN29" s="1234"/>
      <c r="CO29" s="1234"/>
      <c r="CP29" s="1234"/>
      <c r="CQ29" s="1234"/>
      <c r="CR29" s="1234"/>
      <c r="CS29" s="1234"/>
      <c r="CT29" s="1234"/>
      <c r="CU29" s="1234"/>
      <c r="CV29" s="1234"/>
      <c r="CW29" s="1234"/>
      <c r="CX29" s="1234"/>
      <c r="CZ29" s="1119"/>
      <c r="DA29" s="1119"/>
      <c r="DB29" s="1119"/>
      <c r="DC29" s="1119"/>
      <c r="DD29" s="1119"/>
      <c r="DE29" s="1119"/>
      <c r="DF29" s="1119"/>
      <c r="DG29" s="1119"/>
      <c r="DH29" s="1119"/>
      <c r="DI29" s="1119"/>
      <c r="DJ29" s="1119"/>
      <c r="DK29" s="1119"/>
      <c r="DL29" s="1119"/>
      <c r="DM29" s="1119"/>
      <c r="DN29" s="1119"/>
      <c r="DO29" s="1119"/>
      <c r="DP29" s="1119"/>
      <c r="DQ29" s="1119"/>
      <c r="DR29" s="1119"/>
      <c r="DS29" s="1119"/>
      <c r="DT29" s="1119"/>
      <c r="DU29" s="1119"/>
      <c r="DV29" s="1119"/>
      <c r="DW29" s="1119"/>
      <c r="DY29" s="1121"/>
      <c r="DZ29" s="1121"/>
      <c r="EA29" s="1121"/>
      <c r="EB29" s="1121"/>
      <c r="EC29" s="1121"/>
      <c r="ED29" s="1121"/>
      <c r="EE29" s="1121"/>
      <c r="EF29" s="1121"/>
      <c r="EG29" s="1121"/>
      <c r="EH29" s="1121"/>
      <c r="EI29" s="1121"/>
      <c r="EJ29" s="1121"/>
      <c r="EK29" s="1121"/>
      <c r="EL29" s="1121"/>
      <c r="EM29" s="1121"/>
      <c r="EN29" s="1121"/>
      <c r="EO29" s="1121"/>
      <c r="EP29" s="1121"/>
      <c r="EQ29" s="1121"/>
      <c r="ER29" s="1121"/>
      <c r="ES29" s="1121"/>
      <c r="ET29" s="1121"/>
      <c r="EU29" s="1121"/>
      <c r="EW29" s="155"/>
      <c r="EX29" s="552"/>
      <c r="EY29" s="552"/>
      <c r="EZ29" s="552"/>
      <c r="FA29" s="552"/>
      <c r="FB29" s="552"/>
      <c r="FC29" s="552"/>
      <c r="FD29" s="552"/>
      <c r="FE29" s="552"/>
      <c r="FF29" s="552"/>
      <c r="FG29" s="552"/>
      <c r="FH29" s="552"/>
      <c r="FI29" s="552"/>
      <c r="FJ29" s="552"/>
      <c r="FK29" s="552"/>
      <c r="FL29" s="552"/>
      <c r="FM29" s="552"/>
      <c r="FN29" s="552"/>
      <c r="FO29" s="552"/>
      <c r="FP29" s="552"/>
      <c r="FQ29" s="552"/>
      <c r="FR29" s="552"/>
      <c r="FS29" s="552"/>
      <c r="FT29" s="552"/>
      <c r="FU29" s="552"/>
      <c r="FV29" s="552"/>
      <c r="FW29" s="552"/>
      <c r="FX29" s="552"/>
      <c r="FY29" s="552"/>
      <c r="FZ29" s="552"/>
      <c r="GA29" s="552"/>
      <c r="GB29" s="552"/>
      <c r="GC29" s="552"/>
      <c r="GD29" s="552"/>
      <c r="GE29" s="552"/>
      <c r="GF29" s="552"/>
      <c r="GG29" s="552"/>
      <c r="GH29" s="552"/>
      <c r="GI29" s="552"/>
      <c r="GJ29" s="552"/>
      <c r="GK29" s="552"/>
      <c r="GL29" s="552"/>
      <c r="GM29" s="552"/>
      <c r="GN29" s="552"/>
      <c r="GO29" s="552"/>
      <c r="GP29" s="552"/>
      <c r="GQ29" s="552"/>
      <c r="GR29" s="552"/>
      <c r="GS29" s="552"/>
      <c r="GT29" s="552"/>
      <c r="GU29" s="552"/>
      <c r="GV29" s="552"/>
      <c r="GW29" s="552"/>
      <c r="GX29" s="552"/>
      <c r="GY29" s="552"/>
      <c r="GZ29" s="552"/>
      <c r="HA29" s="552"/>
      <c r="HB29" s="552"/>
      <c r="HC29" s="552"/>
      <c r="HD29" s="552"/>
      <c r="HE29" s="552"/>
      <c r="HF29" s="552"/>
      <c r="HG29" s="552"/>
      <c r="HH29" s="552"/>
      <c r="HI29" s="552"/>
      <c r="HJ29" s="552"/>
      <c r="HK29" s="552"/>
      <c r="HL29" s="552"/>
      <c r="HM29" s="552"/>
      <c r="HN29" s="552"/>
      <c r="HO29" s="552"/>
      <c r="HP29" s="552"/>
      <c r="HQ29" s="552"/>
      <c r="HR29" s="552"/>
      <c r="HS29" s="552"/>
      <c r="HT29" s="155"/>
      <c r="HU29" s="155"/>
      <c r="HV29" s="552"/>
      <c r="HW29" s="552"/>
      <c r="HX29" s="552"/>
      <c r="HY29" s="552"/>
      <c r="HZ29" s="552"/>
      <c r="IA29" s="552"/>
      <c r="IB29" s="552"/>
      <c r="IC29" s="552"/>
      <c r="ID29" s="552"/>
      <c r="IE29" s="552"/>
      <c r="IF29" s="552"/>
      <c r="IG29" s="552"/>
      <c r="IH29" s="552"/>
      <c r="II29" s="552"/>
      <c r="IJ29" s="552"/>
      <c r="IK29" s="552"/>
      <c r="IL29" s="552"/>
      <c r="IM29" s="552"/>
      <c r="IN29" s="552"/>
      <c r="IO29" s="552"/>
      <c r="IP29" s="552"/>
      <c r="IQ29" s="552"/>
      <c r="IR29" s="552"/>
      <c r="IS29" s="552"/>
      <c r="IT29" s="552"/>
      <c r="IU29" s="552"/>
      <c r="IV29" s="552"/>
      <c r="IW29" s="552"/>
      <c r="IX29" s="552"/>
      <c r="IY29" s="552"/>
      <c r="IZ29" s="552"/>
      <c r="JA29" s="552"/>
      <c r="JB29" s="552"/>
      <c r="JC29" s="552"/>
      <c r="JD29" s="552"/>
      <c r="JE29" s="552"/>
      <c r="JF29" s="552"/>
      <c r="JG29" s="552"/>
      <c r="JH29" s="552"/>
      <c r="JI29" s="552"/>
      <c r="JJ29" s="552"/>
      <c r="JK29" s="552"/>
      <c r="JL29" s="552"/>
      <c r="JM29" s="552"/>
      <c r="JN29" s="552"/>
      <c r="JO29" s="552"/>
      <c r="JP29" s="552"/>
      <c r="JQ29" s="552"/>
      <c r="JR29" s="552"/>
      <c r="JS29" s="552"/>
      <c r="JT29" s="552"/>
      <c r="JU29" s="552"/>
      <c r="JV29" s="552"/>
      <c r="JW29" s="552"/>
      <c r="JX29" s="552"/>
      <c r="JY29" s="552"/>
      <c r="JZ29" s="552"/>
      <c r="KA29" s="552"/>
      <c r="KB29" s="552"/>
      <c r="KC29" s="552"/>
      <c r="KD29" s="552"/>
      <c r="KE29" s="552"/>
      <c r="KF29" s="552"/>
      <c r="KG29" s="552"/>
      <c r="KH29" s="552"/>
      <c r="KI29" s="552"/>
      <c r="KJ29" s="552"/>
      <c r="KK29" s="552"/>
      <c r="KL29" s="552"/>
      <c r="KM29" s="552"/>
      <c r="KN29" s="552"/>
      <c r="KO29" s="552"/>
      <c r="KP29" s="552"/>
      <c r="KQ29" s="552"/>
      <c r="KR29" s="155"/>
      <c r="KS29" s="155"/>
      <c r="KV29" s="1121"/>
      <c r="KW29" s="1121"/>
      <c r="KX29" s="1121"/>
      <c r="KY29" s="1121"/>
      <c r="KZ29" s="1121"/>
      <c r="LA29" s="1121"/>
      <c r="LB29" s="1121"/>
      <c r="LC29" s="1121"/>
      <c r="LD29" s="1121"/>
      <c r="LE29" s="1121"/>
      <c r="LF29" s="1121"/>
      <c r="LG29" s="1121"/>
      <c r="LH29" s="1121"/>
      <c r="LI29" s="1121"/>
      <c r="LJ29" s="1121"/>
      <c r="LK29" s="1121"/>
      <c r="LL29" s="1121"/>
      <c r="LM29" s="1121"/>
      <c r="LN29" s="1121"/>
      <c r="LO29" s="1121"/>
      <c r="LP29" s="1121"/>
      <c r="LQ29" s="1121"/>
      <c r="LR29" s="1121"/>
      <c r="LS29" s="1121"/>
      <c r="LT29" s="1121"/>
      <c r="LV29" s="1123"/>
      <c r="LW29" s="1123"/>
      <c r="LX29" s="1123"/>
      <c r="LY29" s="1123"/>
      <c r="MA29" s="1123"/>
      <c r="MB29" s="1123"/>
      <c r="MC29" s="1123"/>
      <c r="MD29" s="1123"/>
      <c r="ME29" s="1123"/>
      <c r="MF29" s="1123"/>
      <c r="MG29" s="1123"/>
      <c r="MH29" s="1123"/>
      <c r="MI29" s="1123"/>
      <c r="MK29" s="1123"/>
      <c r="ML29" s="1123"/>
      <c r="MM29" s="1123"/>
      <c r="MN29" s="1123"/>
      <c r="MO29" s="1123"/>
      <c r="MQ29" s="1123"/>
      <c r="MR29" s="1123"/>
      <c r="MS29" s="1123"/>
      <c r="MT29" s="1123"/>
      <c r="MU29" s="1123"/>
      <c r="MV29" s="1123"/>
      <c r="MW29" s="1123"/>
      <c r="MX29" s="1123"/>
      <c r="MY29" s="1123"/>
      <c r="MZ29" s="1123"/>
      <c r="NA29" s="1123"/>
      <c r="NB29" s="1123"/>
      <c r="NC29" s="1123"/>
      <c r="ND29" s="1123"/>
      <c r="NE29" s="1123"/>
      <c r="NF29" s="1123"/>
      <c r="NG29" s="1123"/>
      <c r="NH29" s="1123"/>
      <c r="NI29" s="1123"/>
      <c r="NJ29" s="1123"/>
      <c r="NK29" s="1123"/>
      <c r="NL29" s="1123"/>
      <c r="NM29" s="1123"/>
      <c r="NN29" s="1123"/>
      <c r="NP29" s="155"/>
      <c r="NQ29" s="155"/>
      <c r="QN29" s="155"/>
      <c r="QO29" s="155"/>
      <c r="TL29" s="155"/>
    </row>
    <row r="30" spans="1:532" ht="6.75" customHeight="1" x14ac:dyDescent="0.25">
      <c r="A30" s="155"/>
      <c r="B30" s="512"/>
      <c r="C30" s="1183"/>
      <c r="D30" s="1184"/>
      <c r="E30" s="1184"/>
      <c r="F30" s="1184"/>
      <c r="G30" s="1184"/>
      <c r="H30" s="1184"/>
      <c r="I30" s="1184"/>
      <c r="J30" s="1184"/>
      <c r="K30" s="1184"/>
      <c r="L30" s="1184"/>
      <c r="M30" s="1184"/>
      <c r="N30" s="1184"/>
      <c r="O30" s="1184"/>
      <c r="P30" s="1184"/>
      <c r="Q30" s="1184"/>
      <c r="R30" s="1184"/>
      <c r="S30" s="1184"/>
      <c r="T30" s="1184"/>
      <c r="U30" s="1184"/>
      <c r="V30" s="1184"/>
      <c r="W30" s="1184"/>
      <c r="X30" s="1184"/>
      <c r="Y30" s="1184"/>
      <c r="Z30" s="1184"/>
      <c r="AA30" s="1184"/>
      <c r="AB30" s="1184"/>
      <c r="AC30" s="1184"/>
      <c r="AD30" s="1184"/>
      <c r="AE30" s="1184"/>
      <c r="AF30" s="1184"/>
      <c r="AG30" s="1184"/>
      <c r="AH30" s="1184"/>
      <c r="AI30" s="1184"/>
      <c r="AJ30" s="1184"/>
      <c r="AK30" s="1184"/>
      <c r="AL30" s="1185"/>
      <c r="AM30" s="507"/>
      <c r="BW30" s="513"/>
      <c r="BX30" s="155"/>
      <c r="BY30" s="155"/>
      <c r="BZ30" s="150"/>
      <c r="CA30" s="1234"/>
      <c r="CB30" s="1234"/>
      <c r="CC30" s="1234"/>
      <c r="CD30" s="1234"/>
      <c r="CE30" s="1234"/>
      <c r="CF30" s="1234"/>
      <c r="CG30" s="1234"/>
      <c r="CH30" s="1234"/>
      <c r="CI30" s="1234"/>
      <c r="CJ30" s="1234"/>
      <c r="CK30" s="1234"/>
      <c r="CL30" s="1234"/>
      <c r="CM30" s="1234"/>
      <c r="CN30" s="1234"/>
      <c r="CO30" s="1234"/>
      <c r="CP30" s="1234"/>
      <c r="CQ30" s="1234"/>
      <c r="CR30" s="1234"/>
      <c r="CS30" s="1234"/>
      <c r="CT30" s="1234"/>
      <c r="CU30" s="1234"/>
      <c r="CV30" s="1234"/>
      <c r="CW30" s="1234"/>
      <c r="CX30" s="1234"/>
      <c r="CZ30" s="1119"/>
      <c r="DA30" s="1119"/>
      <c r="DB30" s="1119"/>
      <c r="DC30" s="1119"/>
      <c r="DD30" s="1119"/>
      <c r="DE30" s="1119"/>
      <c r="DF30" s="1119"/>
      <c r="DG30" s="1119"/>
      <c r="DH30" s="1119"/>
      <c r="DI30" s="1119"/>
      <c r="DJ30" s="1119"/>
      <c r="DK30" s="1119"/>
      <c r="DL30" s="1119"/>
      <c r="DM30" s="1119"/>
      <c r="DN30" s="1119"/>
      <c r="DO30" s="1119"/>
      <c r="DP30" s="1119"/>
      <c r="DQ30" s="1119"/>
      <c r="DR30" s="1119"/>
      <c r="DS30" s="1119"/>
      <c r="DT30" s="1119"/>
      <c r="DU30" s="1119"/>
      <c r="DV30" s="1119"/>
      <c r="DW30" s="1119"/>
      <c r="DY30" s="1120"/>
      <c r="DZ30" s="1120"/>
      <c r="EA30" s="1120"/>
      <c r="EB30" s="1120"/>
      <c r="EC30" s="1120"/>
      <c r="ED30" s="1120"/>
      <c r="EE30" s="1120"/>
      <c r="EF30" s="1120"/>
      <c r="EG30" s="1120"/>
      <c r="EH30" s="1120"/>
      <c r="EI30" s="1120"/>
      <c r="EJ30" s="1120"/>
      <c r="EK30" s="1120"/>
      <c r="EL30" s="1120"/>
      <c r="EM30" s="1120"/>
      <c r="EN30" s="1120"/>
      <c r="EO30" s="1120"/>
      <c r="EP30" s="1120"/>
      <c r="EQ30" s="1120"/>
      <c r="ER30" s="1120"/>
      <c r="ES30" s="1120"/>
      <c r="ET30" s="1120"/>
      <c r="EU30" s="1120"/>
      <c r="EW30" s="155"/>
      <c r="EX30" s="552"/>
      <c r="EY30" s="552"/>
      <c r="EZ30" s="552"/>
      <c r="FA30" s="552"/>
      <c r="FB30" s="552"/>
      <c r="FC30" s="552"/>
      <c r="FD30" s="552"/>
      <c r="FE30" s="552"/>
      <c r="FF30" s="552"/>
      <c r="FG30" s="552"/>
      <c r="FH30" s="552"/>
      <c r="FI30" s="552"/>
      <c r="FJ30" s="552"/>
      <c r="FK30" s="552"/>
      <c r="FL30" s="552"/>
      <c r="FM30" s="552"/>
      <c r="FN30" s="552"/>
      <c r="FO30" s="552"/>
      <c r="FP30" s="552"/>
      <c r="FQ30" s="552"/>
      <c r="FR30" s="552"/>
      <c r="FS30" s="552"/>
      <c r="FT30" s="552"/>
      <c r="FU30" s="552"/>
      <c r="FV30" s="552"/>
      <c r="FW30" s="552"/>
      <c r="FX30" s="552"/>
      <c r="FY30" s="552"/>
      <c r="FZ30" s="552"/>
      <c r="GA30" s="552"/>
      <c r="GB30" s="552"/>
      <c r="GC30" s="552"/>
      <c r="GD30" s="552"/>
      <c r="GE30" s="552"/>
      <c r="GF30" s="552"/>
      <c r="GG30" s="552"/>
      <c r="GH30" s="552"/>
      <c r="GI30" s="552"/>
      <c r="GJ30" s="552"/>
      <c r="GK30" s="552"/>
      <c r="GL30" s="552"/>
      <c r="GM30" s="552"/>
      <c r="GN30" s="552"/>
      <c r="GO30" s="552"/>
      <c r="GP30" s="552"/>
      <c r="GQ30" s="552"/>
      <c r="GR30" s="552"/>
      <c r="GS30" s="552"/>
      <c r="GT30" s="552"/>
      <c r="GU30" s="552"/>
      <c r="GV30" s="552"/>
      <c r="GW30" s="552"/>
      <c r="GX30" s="552"/>
      <c r="GY30" s="552"/>
      <c r="GZ30" s="552"/>
      <c r="HA30" s="552"/>
      <c r="HB30" s="552"/>
      <c r="HC30" s="552"/>
      <c r="HD30" s="552"/>
      <c r="HE30" s="552"/>
      <c r="HF30" s="552"/>
      <c r="HG30" s="552"/>
      <c r="HH30" s="552"/>
      <c r="HI30" s="552"/>
      <c r="HJ30" s="552"/>
      <c r="HK30" s="552"/>
      <c r="HL30" s="552"/>
      <c r="HM30" s="552"/>
      <c r="HN30" s="552"/>
      <c r="HO30" s="552"/>
      <c r="HP30" s="552"/>
      <c r="HQ30" s="552"/>
      <c r="HR30" s="552"/>
      <c r="HS30" s="552"/>
      <c r="HT30" s="155"/>
      <c r="HU30" s="155"/>
      <c r="HV30" s="552"/>
      <c r="HW30" s="552"/>
      <c r="HX30" s="552"/>
      <c r="HY30" s="552"/>
      <c r="HZ30" s="552"/>
      <c r="IA30" s="552"/>
      <c r="IB30" s="552"/>
      <c r="IC30" s="552"/>
      <c r="ID30" s="552"/>
      <c r="IE30" s="552"/>
      <c r="IF30" s="552"/>
      <c r="IG30" s="552"/>
      <c r="IH30" s="552"/>
      <c r="II30" s="552"/>
      <c r="IJ30" s="552"/>
      <c r="IK30" s="552"/>
      <c r="IL30" s="552"/>
      <c r="IM30" s="552"/>
      <c r="IN30" s="552"/>
      <c r="IO30" s="552"/>
      <c r="IP30" s="552"/>
      <c r="IQ30" s="552"/>
      <c r="IR30" s="552"/>
      <c r="IS30" s="552"/>
      <c r="IT30" s="552"/>
      <c r="IU30" s="552"/>
      <c r="IV30" s="552"/>
      <c r="IW30" s="552"/>
      <c r="IX30" s="552"/>
      <c r="IY30" s="552"/>
      <c r="IZ30" s="552"/>
      <c r="JA30" s="552"/>
      <c r="JB30" s="552"/>
      <c r="JC30" s="552"/>
      <c r="JD30" s="552"/>
      <c r="JE30" s="552"/>
      <c r="JF30" s="552"/>
      <c r="JG30" s="552"/>
      <c r="JH30" s="552"/>
      <c r="JI30" s="552"/>
      <c r="JJ30" s="552"/>
      <c r="JK30" s="552"/>
      <c r="JL30" s="552"/>
      <c r="JM30" s="552"/>
      <c r="JN30" s="552"/>
      <c r="JO30" s="552"/>
      <c r="JP30" s="552"/>
      <c r="JQ30" s="552"/>
      <c r="JR30" s="552"/>
      <c r="JS30" s="552"/>
      <c r="JT30" s="552"/>
      <c r="JU30" s="552"/>
      <c r="JV30" s="552"/>
      <c r="JW30" s="552"/>
      <c r="JX30" s="552"/>
      <c r="JY30" s="552"/>
      <c r="JZ30" s="552"/>
      <c r="KA30" s="552"/>
      <c r="KB30" s="552"/>
      <c r="KC30" s="552"/>
      <c r="KD30" s="552"/>
      <c r="KE30" s="552"/>
      <c r="KF30" s="552"/>
      <c r="KG30" s="552"/>
      <c r="KH30" s="552"/>
      <c r="KI30" s="552"/>
      <c r="KJ30" s="552"/>
      <c r="KK30" s="552"/>
      <c r="KL30" s="552"/>
      <c r="KM30" s="552"/>
      <c r="KN30" s="552"/>
      <c r="KO30" s="552"/>
      <c r="KP30" s="552"/>
      <c r="KQ30" s="552"/>
      <c r="KR30" s="155"/>
      <c r="KS30" s="155"/>
      <c r="KV30" s="1120"/>
      <c r="KW30" s="1120"/>
      <c r="KX30" s="1120"/>
      <c r="KY30" s="1120"/>
      <c r="KZ30" s="1120"/>
      <c r="LA30" s="1120"/>
      <c r="LB30" s="1120"/>
      <c r="LC30" s="1120"/>
      <c r="LD30" s="1120"/>
      <c r="LE30" s="1120"/>
      <c r="LF30" s="1120"/>
      <c r="LG30" s="1120"/>
      <c r="LH30" s="1120"/>
      <c r="LI30" s="1120"/>
      <c r="LJ30" s="1120"/>
      <c r="LK30" s="1120"/>
      <c r="LL30" s="1120"/>
      <c r="LM30" s="1120"/>
      <c r="LN30" s="1120"/>
      <c r="LO30" s="1120"/>
      <c r="LP30" s="1120"/>
      <c r="LQ30" s="1120"/>
      <c r="LR30" s="1120"/>
      <c r="LS30" s="1120"/>
      <c r="LT30" s="1120"/>
      <c r="LV30" s="1122"/>
      <c r="LW30" s="1122"/>
      <c r="LX30" s="1122"/>
      <c r="LY30" s="1122"/>
      <c r="MA30" s="1122"/>
      <c r="MB30" s="1122"/>
      <c r="MC30" s="1122"/>
      <c r="MD30" s="1122"/>
      <c r="ME30" s="1122"/>
      <c r="MF30" s="1122"/>
      <c r="MG30" s="1122"/>
      <c r="MH30" s="1122"/>
      <c r="MI30" s="1122"/>
      <c r="MK30" s="1122"/>
      <c r="ML30" s="1122"/>
      <c r="MM30" s="1122"/>
      <c r="MN30" s="1122"/>
      <c r="MO30" s="1122"/>
      <c r="MQ30" s="1122"/>
      <c r="MR30" s="1122"/>
      <c r="MS30" s="1122"/>
      <c r="MT30" s="1122"/>
      <c r="MU30" s="1122"/>
      <c r="MV30" s="1122"/>
      <c r="MW30" s="1122"/>
      <c r="MX30" s="1122"/>
      <c r="MY30" s="1122"/>
      <c r="MZ30" s="1122"/>
      <c r="NA30" s="1122"/>
      <c r="NB30" s="1122"/>
      <c r="NC30" s="1122"/>
      <c r="ND30" s="1122"/>
      <c r="NE30" s="1122"/>
      <c r="NF30" s="1122"/>
      <c r="NG30" s="1122"/>
      <c r="NH30" s="1122"/>
      <c r="NI30" s="1122"/>
      <c r="NJ30" s="1122"/>
      <c r="NK30" s="1122"/>
      <c r="NL30" s="1122"/>
      <c r="NM30" s="1122"/>
      <c r="NN30" s="1122"/>
      <c r="NP30" s="155"/>
      <c r="NQ30" s="155"/>
      <c r="QN30" s="155"/>
      <c r="QO30" s="155"/>
      <c r="TL30" s="155"/>
    </row>
    <row r="31" spans="1:532" ht="6.75" customHeight="1" x14ac:dyDescent="0.25">
      <c r="A31" s="155"/>
      <c r="B31" s="512"/>
      <c r="C31" s="1183"/>
      <c r="D31" s="1184"/>
      <c r="E31" s="1184"/>
      <c r="F31" s="1184"/>
      <c r="G31" s="1184"/>
      <c r="H31" s="1184"/>
      <c r="I31" s="1184"/>
      <c r="J31" s="1184"/>
      <c r="K31" s="1184"/>
      <c r="L31" s="1184"/>
      <c r="M31" s="1184"/>
      <c r="N31" s="1184"/>
      <c r="O31" s="1184"/>
      <c r="P31" s="1184"/>
      <c r="Q31" s="1184"/>
      <c r="R31" s="1184"/>
      <c r="S31" s="1184"/>
      <c r="T31" s="1184"/>
      <c r="U31" s="1184"/>
      <c r="V31" s="1184"/>
      <c r="W31" s="1184"/>
      <c r="X31" s="1184"/>
      <c r="Y31" s="1184"/>
      <c r="Z31" s="1184"/>
      <c r="AA31" s="1184"/>
      <c r="AB31" s="1184"/>
      <c r="AC31" s="1184"/>
      <c r="AD31" s="1184"/>
      <c r="AE31" s="1184"/>
      <c r="AF31" s="1184"/>
      <c r="AG31" s="1184"/>
      <c r="AH31" s="1184"/>
      <c r="AI31" s="1184"/>
      <c r="AJ31" s="1184"/>
      <c r="AK31" s="1184"/>
      <c r="AL31" s="1185"/>
      <c r="AM31" s="507"/>
      <c r="BW31" s="513"/>
      <c r="BX31" s="155"/>
      <c r="BY31" s="155"/>
      <c r="BZ31" s="150"/>
      <c r="CA31" s="1234"/>
      <c r="CB31" s="1234"/>
      <c r="CC31" s="1234"/>
      <c r="CD31" s="1234"/>
      <c r="CE31" s="1234"/>
      <c r="CF31" s="1234"/>
      <c r="CG31" s="1234"/>
      <c r="CH31" s="1234"/>
      <c r="CI31" s="1234"/>
      <c r="CJ31" s="1234"/>
      <c r="CK31" s="1234"/>
      <c r="CL31" s="1234"/>
      <c r="CM31" s="1234"/>
      <c r="CN31" s="1234"/>
      <c r="CO31" s="1234"/>
      <c r="CP31" s="1234"/>
      <c r="CQ31" s="1234"/>
      <c r="CR31" s="1234"/>
      <c r="CS31" s="1234"/>
      <c r="CT31" s="1234"/>
      <c r="CU31" s="1234"/>
      <c r="CV31" s="1234"/>
      <c r="CW31" s="1234"/>
      <c r="CX31" s="1234"/>
      <c r="CZ31" s="1119"/>
      <c r="DA31" s="1119"/>
      <c r="DB31" s="1119"/>
      <c r="DC31" s="1119"/>
      <c r="DD31" s="1119"/>
      <c r="DE31" s="1119"/>
      <c r="DF31" s="1119"/>
      <c r="DG31" s="1119"/>
      <c r="DH31" s="1119"/>
      <c r="DI31" s="1119"/>
      <c r="DJ31" s="1119"/>
      <c r="DK31" s="1119"/>
      <c r="DL31" s="1119"/>
      <c r="DM31" s="1119"/>
      <c r="DN31" s="1119"/>
      <c r="DO31" s="1119"/>
      <c r="DP31" s="1119"/>
      <c r="DQ31" s="1119"/>
      <c r="DR31" s="1119"/>
      <c r="DS31" s="1119"/>
      <c r="DT31" s="1119"/>
      <c r="DU31" s="1119"/>
      <c r="DV31" s="1119"/>
      <c r="DW31" s="1119"/>
      <c r="DY31" s="1121"/>
      <c r="DZ31" s="1121"/>
      <c r="EA31" s="1121"/>
      <c r="EB31" s="1121"/>
      <c r="EC31" s="1121"/>
      <c r="ED31" s="1121"/>
      <c r="EE31" s="1121"/>
      <c r="EF31" s="1121"/>
      <c r="EG31" s="1121"/>
      <c r="EH31" s="1121"/>
      <c r="EI31" s="1121"/>
      <c r="EJ31" s="1121"/>
      <c r="EK31" s="1121"/>
      <c r="EL31" s="1121"/>
      <c r="EM31" s="1121"/>
      <c r="EN31" s="1121"/>
      <c r="EO31" s="1121"/>
      <c r="EP31" s="1121"/>
      <c r="EQ31" s="1121"/>
      <c r="ER31" s="1121"/>
      <c r="ES31" s="1121"/>
      <c r="ET31" s="1121"/>
      <c r="EU31" s="1121"/>
      <c r="EW31" s="155"/>
      <c r="EX31" s="552"/>
      <c r="EY31" s="552"/>
      <c r="EZ31" s="552"/>
      <c r="FA31" s="552"/>
      <c r="FB31" s="552"/>
      <c r="FC31" s="552"/>
      <c r="FD31" s="552"/>
      <c r="FE31" s="552"/>
      <c r="FF31" s="552"/>
      <c r="FG31" s="552"/>
      <c r="FH31" s="552"/>
      <c r="FI31" s="552"/>
      <c r="FJ31" s="552"/>
      <c r="FK31" s="552"/>
      <c r="FL31" s="552"/>
      <c r="FM31" s="552"/>
      <c r="FN31" s="552"/>
      <c r="FO31" s="552"/>
      <c r="FP31" s="552"/>
      <c r="FQ31" s="552"/>
      <c r="FR31" s="552"/>
      <c r="FS31" s="552"/>
      <c r="FT31" s="552"/>
      <c r="FU31" s="552"/>
      <c r="FV31" s="552"/>
      <c r="FW31" s="552"/>
      <c r="FX31" s="552"/>
      <c r="FY31" s="552"/>
      <c r="FZ31" s="552"/>
      <c r="GA31" s="552"/>
      <c r="GB31" s="552"/>
      <c r="GC31" s="552"/>
      <c r="GD31" s="552"/>
      <c r="GE31" s="552"/>
      <c r="GF31" s="552"/>
      <c r="GG31" s="552"/>
      <c r="GH31" s="552"/>
      <c r="GI31" s="552"/>
      <c r="GJ31" s="552"/>
      <c r="GK31" s="552"/>
      <c r="GL31" s="552"/>
      <c r="GM31" s="552"/>
      <c r="GN31" s="552"/>
      <c r="GO31" s="552"/>
      <c r="GP31" s="552"/>
      <c r="GQ31" s="552"/>
      <c r="GR31" s="552"/>
      <c r="GS31" s="552"/>
      <c r="GT31" s="552"/>
      <c r="GU31" s="552"/>
      <c r="GV31" s="552"/>
      <c r="GW31" s="552"/>
      <c r="GX31" s="552"/>
      <c r="GY31" s="552"/>
      <c r="GZ31" s="552"/>
      <c r="HA31" s="552"/>
      <c r="HB31" s="552"/>
      <c r="HC31" s="552"/>
      <c r="HD31" s="552"/>
      <c r="HE31" s="552"/>
      <c r="HF31" s="552"/>
      <c r="HG31" s="552"/>
      <c r="HH31" s="552"/>
      <c r="HI31" s="552"/>
      <c r="HJ31" s="552"/>
      <c r="HK31" s="552"/>
      <c r="HL31" s="552"/>
      <c r="HM31" s="552"/>
      <c r="HN31" s="552"/>
      <c r="HO31" s="552"/>
      <c r="HP31" s="552"/>
      <c r="HQ31" s="552"/>
      <c r="HR31" s="552"/>
      <c r="HS31" s="552"/>
      <c r="HT31" s="155"/>
      <c r="HU31" s="155"/>
      <c r="HV31" s="552"/>
      <c r="HW31" s="552"/>
      <c r="HX31" s="552"/>
      <c r="HY31" s="552"/>
      <c r="HZ31" s="552"/>
      <c r="IA31" s="552"/>
      <c r="IB31" s="552"/>
      <c r="IC31" s="552"/>
      <c r="ID31" s="552"/>
      <c r="IE31" s="552"/>
      <c r="IF31" s="552"/>
      <c r="IG31" s="552"/>
      <c r="IH31" s="552"/>
      <c r="II31" s="552"/>
      <c r="IJ31" s="552"/>
      <c r="IK31" s="552"/>
      <c r="IL31" s="552"/>
      <c r="IM31" s="552"/>
      <c r="IN31" s="552"/>
      <c r="IO31" s="552"/>
      <c r="IP31" s="552"/>
      <c r="IQ31" s="552"/>
      <c r="IR31" s="552"/>
      <c r="IS31" s="552"/>
      <c r="IT31" s="552"/>
      <c r="IU31" s="552"/>
      <c r="IV31" s="552"/>
      <c r="IW31" s="552"/>
      <c r="IX31" s="552"/>
      <c r="IY31" s="552"/>
      <c r="IZ31" s="552"/>
      <c r="JA31" s="552"/>
      <c r="JB31" s="552"/>
      <c r="JC31" s="552"/>
      <c r="JD31" s="552"/>
      <c r="JE31" s="552"/>
      <c r="JF31" s="552"/>
      <c r="JG31" s="552"/>
      <c r="JH31" s="552"/>
      <c r="JI31" s="552"/>
      <c r="JJ31" s="552"/>
      <c r="JK31" s="552"/>
      <c r="JL31" s="552"/>
      <c r="JM31" s="552"/>
      <c r="JN31" s="552"/>
      <c r="JO31" s="552"/>
      <c r="JP31" s="552"/>
      <c r="JQ31" s="552"/>
      <c r="JR31" s="552"/>
      <c r="JS31" s="552"/>
      <c r="JT31" s="552"/>
      <c r="JU31" s="552"/>
      <c r="JV31" s="552"/>
      <c r="JW31" s="552"/>
      <c r="JX31" s="552"/>
      <c r="JY31" s="552"/>
      <c r="JZ31" s="552"/>
      <c r="KA31" s="552"/>
      <c r="KB31" s="552"/>
      <c r="KC31" s="552"/>
      <c r="KD31" s="552"/>
      <c r="KE31" s="552"/>
      <c r="KF31" s="552"/>
      <c r="KG31" s="552"/>
      <c r="KH31" s="552"/>
      <c r="KI31" s="552"/>
      <c r="KJ31" s="552"/>
      <c r="KK31" s="552"/>
      <c r="KL31" s="552"/>
      <c r="KM31" s="552"/>
      <c r="KN31" s="552"/>
      <c r="KO31" s="552"/>
      <c r="KP31" s="552"/>
      <c r="KQ31" s="552"/>
      <c r="KR31" s="155"/>
      <c r="KS31" s="155"/>
      <c r="KT31" s="136"/>
      <c r="KU31" s="136"/>
      <c r="KV31" s="1121"/>
      <c r="KW31" s="1121"/>
      <c r="KX31" s="1121"/>
      <c r="KY31" s="1121"/>
      <c r="KZ31" s="1121"/>
      <c r="LA31" s="1121"/>
      <c r="LB31" s="1121"/>
      <c r="LC31" s="1121"/>
      <c r="LD31" s="1121"/>
      <c r="LE31" s="1121"/>
      <c r="LF31" s="1121"/>
      <c r="LG31" s="1121"/>
      <c r="LH31" s="1121"/>
      <c r="LI31" s="1121"/>
      <c r="LJ31" s="1121"/>
      <c r="LK31" s="1121"/>
      <c r="LL31" s="1121"/>
      <c r="LM31" s="1121"/>
      <c r="LN31" s="1121"/>
      <c r="LO31" s="1121"/>
      <c r="LP31" s="1121"/>
      <c r="LQ31" s="1121"/>
      <c r="LR31" s="1121"/>
      <c r="LS31" s="1121"/>
      <c r="LT31" s="1121"/>
      <c r="LV31" s="1123"/>
      <c r="LW31" s="1123"/>
      <c r="LX31" s="1123"/>
      <c r="LY31" s="1123"/>
      <c r="MA31" s="1123"/>
      <c r="MB31" s="1123"/>
      <c r="MC31" s="1123"/>
      <c r="MD31" s="1123"/>
      <c r="ME31" s="1123"/>
      <c r="MF31" s="1123"/>
      <c r="MG31" s="1123"/>
      <c r="MH31" s="1123"/>
      <c r="MI31" s="1123"/>
      <c r="MK31" s="1123"/>
      <c r="ML31" s="1123"/>
      <c r="MM31" s="1123"/>
      <c r="MN31" s="1123"/>
      <c r="MO31" s="1123"/>
      <c r="MQ31" s="1123"/>
      <c r="MR31" s="1123"/>
      <c r="MS31" s="1123"/>
      <c r="MT31" s="1123"/>
      <c r="MU31" s="1123"/>
      <c r="MV31" s="1123"/>
      <c r="MW31" s="1123"/>
      <c r="MX31" s="1123"/>
      <c r="MY31" s="1123"/>
      <c r="MZ31" s="1123"/>
      <c r="NA31" s="1123"/>
      <c r="NB31" s="1123"/>
      <c r="NC31" s="1123"/>
      <c r="ND31" s="1123"/>
      <c r="NE31" s="1123"/>
      <c r="NF31" s="1123"/>
      <c r="NG31" s="1123"/>
      <c r="NH31" s="1123"/>
      <c r="NI31" s="1123"/>
      <c r="NJ31" s="1123"/>
      <c r="NK31" s="1123"/>
      <c r="NL31" s="1123"/>
      <c r="NM31" s="1123"/>
      <c r="NN31" s="1123"/>
      <c r="NP31" s="155"/>
      <c r="NQ31" s="155"/>
      <c r="QN31" s="155"/>
      <c r="QO31" s="155"/>
      <c r="TL31" s="155"/>
    </row>
    <row r="32" spans="1:532" ht="6.75" customHeight="1" x14ac:dyDescent="0.25">
      <c r="A32" s="155"/>
      <c r="B32" s="512"/>
      <c r="C32" s="1183"/>
      <c r="D32" s="1184"/>
      <c r="E32" s="1184"/>
      <c r="F32" s="1184"/>
      <c r="G32" s="1184"/>
      <c r="H32" s="1184"/>
      <c r="I32" s="1184"/>
      <c r="J32" s="1184"/>
      <c r="K32" s="1184"/>
      <c r="L32" s="1184"/>
      <c r="M32" s="1184"/>
      <c r="N32" s="1184"/>
      <c r="O32" s="1184"/>
      <c r="P32" s="1184"/>
      <c r="Q32" s="1184"/>
      <c r="R32" s="1184"/>
      <c r="S32" s="1184"/>
      <c r="T32" s="1184"/>
      <c r="U32" s="1184"/>
      <c r="V32" s="1184"/>
      <c r="W32" s="1184"/>
      <c r="X32" s="1184"/>
      <c r="Y32" s="1184"/>
      <c r="Z32" s="1184"/>
      <c r="AA32" s="1184"/>
      <c r="AB32" s="1184"/>
      <c r="AC32" s="1184"/>
      <c r="AD32" s="1184"/>
      <c r="AE32" s="1184"/>
      <c r="AF32" s="1184"/>
      <c r="AG32" s="1184"/>
      <c r="AH32" s="1184"/>
      <c r="AI32" s="1184"/>
      <c r="AJ32" s="1184"/>
      <c r="AK32" s="1184"/>
      <c r="AL32" s="1185"/>
      <c r="BW32" s="513"/>
      <c r="BX32" s="155"/>
      <c r="BY32" s="155"/>
      <c r="BZ32" s="150"/>
      <c r="CA32" s="1234"/>
      <c r="CB32" s="1234"/>
      <c r="CC32" s="1234"/>
      <c r="CD32" s="1234"/>
      <c r="CE32" s="1234"/>
      <c r="CF32" s="1234"/>
      <c r="CG32" s="1234"/>
      <c r="CH32" s="1234"/>
      <c r="CI32" s="1234"/>
      <c r="CJ32" s="1234"/>
      <c r="CK32" s="1234"/>
      <c r="CL32" s="1234"/>
      <c r="CM32" s="1234"/>
      <c r="CN32" s="1234"/>
      <c r="CO32" s="1234"/>
      <c r="CP32" s="1234"/>
      <c r="CQ32" s="1234"/>
      <c r="CR32" s="1234"/>
      <c r="CS32" s="1234"/>
      <c r="CT32" s="1234"/>
      <c r="CU32" s="1234"/>
      <c r="CV32" s="1234"/>
      <c r="CW32" s="1234"/>
      <c r="CX32" s="1234"/>
      <c r="CZ32" s="1119"/>
      <c r="DA32" s="1119"/>
      <c r="DB32" s="1119"/>
      <c r="DC32" s="1119"/>
      <c r="DD32" s="1119"/>
      <c r="DE32" s="1119"/>
      <c r="DF32" s="1119"/>
      <c r="DG32" s="1119"/>
      <c r="DH32" s="1119"/>
      <c r="DI32" s="1119"/>
      <c r="DJ32" s="1119"/>
      <c r="DK32" s="1119"/>
      <c r="DL32" s="1119"/>
      <c r="DM32" s="1119"/>
      <c r="DN32" s="1119"/>
      <c r="DO32" s="1119"/>
      <c r="DP32" s="1119"/>
      <c r="DQ32" s="1119"/>
      <c r="DR32" s="1119"/>
      <c r="DS32" s="1119"/>
      <c r="DT32" s="1119"/>
      <c r="DU32" s="1119"/>
      <c r="DV32" s="1119"/>
      <c r="DW32" s="1119"/>
      <c r="DY32" s="1120"/>
      <c r="DZ32" s="1120"/>
      <c r="EA32" s="1120"/>
      <c r="EB32" s="1120"/>
      <c r="EC32" s="1120"/>
      <c r="ED32" s="1120"/>
      <c r="EE32" s="1120"/>
      <c r="EF32" s="1120"/>
      <c r="EG32" s="1120"/>
      <c r="EH32" s="1120"/>
      <c r="EI32" s="1120"/>
      <c r="EJ32" s="1120"/>
      <c r="EK32" s="1120"/>
      <c r="EL32" s="1120"/>
      <c r="EM32" s="1120"/>
      <c r="EN32" s="1120"/>
      <c r="EO32" s="1120"/>
      <c r="EP32" s="1120"/>
      <c r="EQ32" s="1120"/>
      <c r="ER32" s="1120"/>
      <c r="ES32" s="1120"/>
      <c r="ET32" s="1120"/>
      <c r="EU32" s="1120"/>
      <c r="EW32" s="155"/>
      <c r="EX32" s="552"/>
      <c r="EY32" s="552"/>
      <c r="EZ32" s="552"/>
      <c r="FA32" s="552"/>
      <c r="FB32" s="552"/>
      <c r="FC32" s="552"/>
      <c r="FD32" s="552"/>
      <c r="FE32" s="552"/>
      <c r="FF32" s="552"/>
      <c r="FG32" s="552"/>
      <c r="FH32" s="552"/>
      <c r="FI32" s="552"/>
      <c r="FJ32" s="552"/>
      <c r="FK32" s="552"/>
      <c r="FL32" s="552"/>
      <c r="FM32" s="552"/>
      <c r="FN32" s="552"/>
      <c r="FO32" s="552"/>
      <c r="FP32" s="552"/>
      <c r="FQ32" s="552"/>
      <c r="FR32" s="552"/>
      <c r="FS32" s="552"/>
      <c r="FT32" s="552"/>
      <c r="FU32" s="552"/>
      <c r="FV32" s="552"/>
      <c r="FW32" s="552"/>
      <c r="FX32" s="552"/>
      <c r="FY32" s="552"/>
      <c r="FZ32" s="552"/>
      <c r="GA32" s="552"/>
      <c r="GB32" s="552"/>
      <c r="GC32" s="552"/>
      <c r="GD32" s="552"/>
      <c r="GE32" s="552"/>
      <c r="GF32" s="552"/>
      <c r="GG32" s="552"/>
      <c r="GH32" s="552"/>
      <c r="GI32" s="552"/>
      <c r="GJ32" s="552"/>
      <c r="GK32" s="552"/>
      <c r="GL32" s="552"/>
      <c r="GM32" s="552"/>
      <c r="GN32" s="552"/>
      <c r="GO32" s="552"/>
      <c r="GP32" s="552"/>
      <c r="GQ32" s="552"/>
      <c r="GR32" s="552"/>
      <c r="GS32" s="552"/>
      <c r="GT32" s="552"/>
      <c r="GU32" s="552"/>
      <c r="GV32" s="552"/>
      <c r="GW32" s="552"/>
      <c r="GX32" s="552"/>
      <c r="GY32" s="552"/>
      <c r="GZ32" s="552"/>
      <c r="HA32" s="552"/>
      <c r="HB32" s="552"/>
      <c r="HC32" s="552"/>
      <c r="HD32" s="552"/>
      <c r="HE32" s="552"/>
      <c r="HF32" s="552"/>
      <c r="HG32" s="552"/>
      <c r="HH32" s="552"/>
      <c r="HI32" s="552"/>
      <c r="HJ32" s="552"/>
      <c r="HK32" s="552"/>
      <c r="HL32" s="552"/>
      <c r="HM32" s="552"/>
      <c r="HN32" s="552"/>
      <c r="HO32" s="552"/>
      <c r="HP32" s="552"/>
      <c r="HQ32" s="552"/>
      <c r="HR32" s="552"/>
      <c r="HS32" s="552"/>
      <c r="HT32" s="155"/>
      <c r="HU32" s="155"/>
      <c r="HV32" s="552"/>
      <c r="HW32" s="552"/>
      <c r="HX32" s="552"/>
      <c r="HY32" s="552"/>
      <c r="HZ32" s="552"/>
      <c r="IA32" s="552"/>
      <c r="IB32" s="552"/>
      <c r="IC32" s="552"/>
      <c r="ID32" s="552"/>
      <c r="IE32" s="552"/>
      <c r="IF32" s="552"/>
      <c r="IG32" s="552"/>
      <c r="IH32" s="552"/>
      <c r="II32" s="552"/>
      <c r="IJ32" s="552"/>
      <c r="IK32" s="552"/>
      <c r="IL32" s="552"/>
      <c r="IM32" s="552"/>
      <c r="IN32" s="552"/>
      <c r="IO32" s="552"/>
      <c r="IP32" s="552"/>
      <c r="IQ32" s="552"/>
      <c r="IR32" s="552"/>
      <c r="IS32" s="552"/>
      <c r="IT32" s="552"/>
      <c r="IU32" s="552"/>
      <c r="IV32" s="552"/>
      <c r="IW32" s="552"/>
      <c r="IX32" s="552"/>
      <c r="IY32" s="552"/>
      <c r="IZ32" s="552"/>
      <c r="JA32" s="552"/>
      <c r="JB32" s="552"/>
      <c r="JC32" s="552"/>
      <c r="JD32" s="552"/>
      <c r="JE32" s="552"/>
      <c r="JF32" s="552"/>
      <c r="JG32" s="552"/>
      <c r="JH32" s="552"/>
      <c r="JI32" s="552"/>
      <c r="JJ32" s="552"/>
      <c r="JK32" s="552"/>
      <c r="JL32" s="552"/>
      <c r="JM32" s="552"/>
      <c r="JN32" s="552"/>
      <c r="JO32" s="552"/>
      <c r="JP32" s="552"/>
      <c r="JQ32" s="552"/>
      <c r="JR32" s="552"/>
      <c r="JS32" s="552"/>
      <c r="JT32" s="552"/>
      <c r="JU32" s="552"/>
      <c r="JV32" s="552"/>
      <c r="JW32" s="552"/>
      <c r="JX32" s="552"/>
      <c r="JY32" s="552"/>
      <c r="JZ32" s="552"/>
      <c r="KA32" s="552"/>
      <c r="KB32" s="552"/>
      <c r="KC32" s="552"/>
      <c r="KD32" s="552"/>
      <c r="KE32" s="552"/>
      <c r="KF32" s="552"/>
      <c r="KG32" s="552"/>
      <c r="KH32" s="552"/>
      <c r="KI32" s="552"/>
      <c r="KJ32" s="552"/>
      <c r="KK32" s="552"/>
      <c r="KL32" s="552"/>
      <c r="KM32" s="552"/>
      <c r="KN32" s="552"/>
      <c r="KO32" s="552"/>
      <c r="KP32" s="552"/>
      <c r="KQ32" s="552"/>
      <c r="KR32" s="155"/>
      <c r="KS32" s="155"/>
      <c r="KT32" s="136"/>
      <c r="KU32" s="136"/>
      <c r="KV32" s="1120"/>
      <c r="KW32" s="1120"/>
      <c r="KX32" s="1120"/>
      <c r="KY32" s="1120"/>
      <c r="KZ32" s="1120"/>
      <c r="LA32" s="1120"/>
      <c r="LB32" s="1120"/>
      <c r="LC32" s="1120"/>
      <c r="LD32" s="1120"/>
      <c r="LE32" s="1120"/>
      <c r="LF32" s="1120"/>
      <c r="LG32" s="1120"/>
      <c r="LH32" s="1120"/>
      <c r="LI32" s="1120"/>
      <c r="LJ32" s="1120"/>
      <c r="LK32" s="1120"/>
      <c r="LL32" s="1120"/>
      <c r="LM32" s="1120"/>
      <c r="LN32" s="1120"/>
      <c r="LO32" s="1120"/>
      <c r="LP32" s="1120"/>
      <c r="LQ32" s="1120"/>
      <c r="LR32" s="1120"/>
      <c r="LS32" s="1120"/>
      <c r="LT32" s="1120"/>
      <c r="LV32" s="1122"/>
      <c r="LW32" s="1122"/>
      <c r="LX32" s="1122"/>
      <c r="LY32" s="1122"/>
      <c r="MA32" s="1122"/>
      <c r="MB32" s="1122"/>
      <c r="MC32" s="1122"/>
      <c r="MD32" s="1122"/>
      <c r="ME32" s="1122"/>
      <c r="MF32" s="1122"/>
      <c r="MG32" s="1122"/>
      <c r="MH32" s="1122"/>
      <c r="MI32" s="1122"/>
      <c r="MK32" s="1122"/>
      <c r="ML32" s="1122"/>
      <c r="MM32" s="1122"/>
      <c r="MN32" s="1122"/>
      <c r="MO32" s="1122"/>
      <c r="MQ32" s="1122"/>
      <c r="MR32" s="1122"/>
      <c r="MS32" s="1122"/>
      <c r="MT32" s="1122"/>
      <c r="MU32" s="1122"/>
      <c r="MV32" s="1122"/>
      <c r="MW32" s="1122"/>
      <c r="MX32" s="1122"/>
      <c r="MY32" s="1122"/>
      <c r="MZ32" s="1122"/>
      <c r="NA32" s="1122"/>
      <c r="NB32" s="1122"/>
      <c r="NC32" s="1122"/>
      <c r="ND32" s="1122"/>
      <c r="NE32" s="1122"/>
      <c r="NF32" s="1122"/>
      <c r="NG32" s="1122"/>
      <c r="NH32" s="1122"/>
      <c r="NI32" s="1122"/>
      <c r="NJ32" s="1122"/>
      <c r="NK32" s="1122"/>
      <c r="NL32" s="1122"/>
      <c r="NM32" s="1122"/>
      <c r="NN32" s="1122"/>
      <c r="NP32" s="155"/>
      <c r="NQ32" s="155"/>
      <c r="QN32" s="155"/>
      <c r="QO32" s="155"/>
      <c r="TL32" s="155"/>
    </row>
    <row r="33" spans="1:532" ht="6.75" customHeight="1" x14ac:dyDescent="0.25">
      <c r="A33" s="155"/>
      <c r="B33" s="512"/>
      <c r="C33" s="1183"/>
      <c r="D33" s="1184"/>
      <c r="E33" s="1184"/>
      <c r="F33" s="1184"/>
      <c r="G33" s="1184"/>
      <c r="H33" s="1184"/>
      <c r="I33" s="1184"/>
      <c r="J33" s="1184"/>
      <c r="K33" s="1184"/>
      <c r="L33" s="1184"/>
      <c r="M33" s="1184"/>
      <c r="N33" s="1184"/>
      <c r="O33" s="1184"/>
      <c r="P33" s="1184"/>
      <c r="Q33" s="1184"/>
      <c r="R33" s="1184"/>
      <c r="S33" s="1184"/>
      <c r="T33" s="1184"/>
      <c r="U33" s="1184"/>
      <c r="V33" s="1184"/>
      <c r="W33" s="1184"/>
      <c r="X33" s="1184"/>
      <c r="Y33" s="1184"/>
      <c r="Z33" s="1184"/>
      <c r="AA33" s="1184"/>
      <c r="AB33" s="1184"/>
      <c r="AC33" s="1184"/>
      <c r="AD33" s="1184"/>
      <c r="AE33" s="1184"/>
      <c r="AF33" s="1184"/>
      <c r="AG33" s="1184"/>
      <c r="AH33" s="1184"/>
      <c r="AI33" s="1184"/>
      <c r="AJ33" s="1184"/>
      <c r="AK33" s="1184"/>
      <c r="AL33" s="1185"/>
      <c r="BW33" s="513"/>
      <c r="BX33" s="155"/>
      <c r="BY33" s="155"/>
      <c r="BZ33" s="150"/>
      <c r="CA33" s="1234"/>
      <c r="CB33" s="1234"/>
      <c r="CC33" s="1234"/>
      <c r="CD33" s="1234"/>
      <c r="CE33" s="1234"/>
      <c r="CF33" s="1234"/>
      <c r="CG33" s="1234"/>
      <c r="CH33" s="1234"/>
      <c r="CI33" s="1234"/>
      <c r="CJ33" s="1234"/>
      <c r="CK33" s="1234"/>
      <c r="CL33" s="1234"/>
      <c r="CM33" s="1234"/>
      <c r="CN33" s="1234"/>
      <c r="CO33" s="1234"/>
      <c r="CP33" s="1234"/>
      <c r="CQ33" s="1234"/>
      <c r="CR33" s="1234"/>
      <c r="CS33" s="1234"/>
      <c r="CT33" s="1234"/>
      <c r="CU33" s="1234"/>
      <c r="CV33" s="1234"/>
      <c r="CW33" s="1234"/>
      <c r="CX33" s="1234"/>
      <c r="CZ33" s="1119"/>
      <c r="DA33" s="1119"/>
      <c r="DB33" s="1119"/>
      <c r="DC33" s="1119"/>
      <c r="DD33" s="1119"/>
      <c r="DE33" s="1119"/>
      <c r="DF33" s="1119"/>
      <c r="DG33" s="1119"/>
      <c r="DH33" s="1119"/>
      <c r="DI33" s="1119"/>
      <c r="DJ33" s="1119"/>
      <c r="DK33" s="1119"/>
      <c r="DL33" s="1119"/>
      <c r="DM33" s="1119"/>
      <c r="DN33" s="1119"/>
      <c r="DO33" s="1119"/>
      <c r="DP33" s="1119"/>
      <c r="DQ33" s="1119"/>
      <c r="DR33" s="1119"/>
      <c r="DS33" s="1119"/>
      <c r="DT33" s="1119"/>
      <c r="DU33" s="1119"/>
      <c r="DV33" s="1119"/>
      <c r="DW33" s="1119"/>
      <c r="DY33" s="1121"/>
      <c r="DZ33" s="1121"/>
      <c r="EA33" s="1121"/>
      <c r="EB33" s="1121"/>
      <c r="EC33" s="1121"/>
      <c r="ED33" s="1121"/>
      <c r="EE33" s="1121"/>
      <c r="EF33" s="1121"/>
      <c r="EG33" s="1121"/>
      <c r="EH33" s="1121"/>
      <c r="EI33" s="1121"/>
      <c r="EJ33" s="1121"/>
      <c r="EK33" s="1121"/>
      <c r="EL33" s="1121"/>
      <c r="EM33" s="1121"/>
      <c r="EN33" s="1121"/>
      <c r="EO33" s="1121"/>
      <c r="EP33" s="1121"/>
      <c r="EQ33" s="1121"/>
      <c r="ER33" s="1121"/>
      <c r="ES33" s="1121"/>
      <c r="ET33" s="1121"/>
      <c r="EU33" s="1121"/>
      <c r="EW33" s="155"/>
      <c r="EX33" s="552"/>
      <c r="EY33" s="552"/>
      <c r="EZ33" s="552"/>
      <c r="FA33" s="552"/>
      <c r="FB33" s="552"/>
      <c r="FC33" s="552"/>
      <c r="FD33" s="552"/>
      <c r="FE33" s="552"/>
      <c r="FF33" s="552"/>
      <c r="FG33" s="552"/>
      <c r="FH33" s="552"/>
      <c r="FI33" s="552"/>
      <c r="FJ33" s="552"/>
      <c r="FK33" s="552"/>
      <c r="FL33" s="552"/>
      <c r="FM33" s="552"/>
      <c r="FN33" s="552"/>
      <c r="FO33" s="552"/>
      <c r="FP33" s="552"/>
      <c r="FQ33" s="552"/>
      <c r="FR33" s="552"/>
      <c r="FS33" s="552"/>
      <c r="FT33" s="552"/>
      <c r="FU33" s="552"/>
      <c r="FV33" s="552"/>
      <c r="FW33" s="552"/>
      <c r="FX33" s="552"/>
      <c r="FY33" s="552"/>
      <c r="FZ33" s="552"/>
      <c r="GA33" s="552"/>
      <c r="GB33" s="552"/>
      <c r="GC33" s="552"/>
      <c r="GD33" s="552"/>
      <c r="GE33" s="552"/>
      <c r="GF33" s="552"/>
      <c r="GG33" s="552"/>
      <c r="GH33" s="552"/>
      <c r="GI33" s="552"/>
      <c r="GJ33" s="552"/>
      <c r="GK33" s="552"/>
      <c r="GL33" s="552"/>
      <c r="GM33" s="552"/>
      <c r="GN33" s="552"/>
      <c r="GO33" s="552"/>
      <c r="GP33" s="552"/>
      <c r="GQ33" s="552"/>
      <c r="GR33" s="552"/>
      <c r="GS33" s="552"/>
      <c r="GT33" s="552"/>
      <c r="GU33" s="552"/>
      <c r="GV33" s="552"/>
      <c r="GW33" s="552"/>
      <c r="GX33" s="552"/>
      <c r="GY33" s="552"/>
      <c r="GZ33" s="552"/>
      <c r="HA33" s="552"/>
      <c r="HB33" s="552"/>
      <c r="HC33" s="552"/>
      <c r="HD33" s="552"/>
      <c r="HE33" s="552"/>
      <c r="HF33" s="552"/>
      <c r="HG33" s="552"/>
      <c r="HH33" s="552"/>
      <c r="HI33" s="552"/>
      <c r="HJ33" s="552"/>
      <c r="HK33" s="552"/>
      <c r="HL33" s="552"/>
      <c r="HM33" s="552"/>
      <c r="HN33" s="552"/>
      <c r="HO33" s="552"/>
      <c r="HP33" s="552"/>
      <c r="HQ33" s="552"/>
      <c r="HR33" s="552"/>
      <c r="HS33" s="552"/>
      <c r="HT33" s="155"/>
      <c r="HU33" s="155"/>
      <c r="HV33" s="552"/>
      <c r="HW33" s="552"/>
      <c r="HX33" s="552"/>
      <c r="HY33" s="552"/>
      <c r="HZ33" s="552"/>
      <c r="IA33" s="552"/>
      <c r="IB33" s="552"/>
      <c r="IC33" s="552"/>
      <c r="ID33" s="552"/>
      <c r="IE33" s="552"/>
      <c r="IF33" s="552"/>
      <c r="IG33" s="552"/>
      <c r="IH33" s="552"/>
      <c r="II33" s="552"/>
      <c r="IJ33" s="552"/>
      <c r="IK33" s="552"/>
      <c r="IL33" s="552"/>
      <c r="IM33" s="552"/>
      <c r="IN33" s="552"/>
      <c r="IO33" s="552"/>
      <c r="IP33" s="552"/>
      <c r="IQ33" s="552"/>
      <c r="IR33" s="552"/>
      <c r="IS33" s="552"/>
      <c r="IT33" s="552"/>
      <c r="IU33" s="552"/>
      <c r="IV33" s="552"/>
      <c r="IW33" s="552"/>
      <c r="IX33" s="552"/>
      <c r="IY33" s="552"/>
      <c r="IZ33" s="552"/>
      <c r="JA33" s="552"/>
      <c r="JB33" s="552"/>
      <c r="JC33" s="552"/>
      <c r="JD33" s="552"/>
      <c r="JE33" s="552"/>
      <c r="JF33" s="552"/>
      <c r="JG33" s="552"/>
      <c r="JH33" s="552"/>
      <c r="JI33" s="552"/>
      <c r="JJ33" s="552"/>
      <c r="JK33" s="552"/>
      <c r="JL33" s="552"/>
      <c r="JM33" s="552"/>
      <c r="JN33" s="552"/>
      <c r="JO33" s="552"/>
      <c r="JP33" s="552"/>
      <c r="JQ33" s="552"/>
      <c r="JR33" s="552"/>
      <c r="JS33" s="552"/>
      <c r="JT33" s="552"/>
      <c r="JU33" s="552"/>
      <c r="JV33" s="552"/>
      <c r="JW33" s="552"/>
      <c r="JX33" s="552"/>
      <c r="JY33" s="552"/>
      <c r="JZ33" s="552"/>
      <c r="KA33" s="552"/>
      <c r="KB33" s="552"/>
      <c r="KC33" s="552"/>
      <c r="KD33" s="552"/>
      <c r="KE33" s="552"/>
      <c r="KF33" s="552"/>
      <c r="KG33" s="552"/>
      <c r="KH33" s="552"/>
      <c r="KI33" s="552"/>
      <c r="KJ33" s="552"/>
      <c r="KK33" s="552"/>
      <c r="KL33" s="552"/>
      <c r="KM33" s="552"/>
      <c r="KN33" s="552"/>
      <c r="KO33" s="552"/>
      <c r="KP33" s="552"/>
      <c r="KQ33" s="552"/>
      <c r="KR33" s="155"/>
      <c r="KS33" s="155"/>
      <c r="KT33" s="136"/>
      <c r="KU33" s="136"/>
      <c r="KV33" s="1121"/>
      <c r="KW33" s="1121"/>
      <c r="KX33" s="1121"/>
      <c r="KY33" s="1121"/>
      <c r="KZ33" s="1121"/>
      <c r="LA33" s="1121"/>
      <c r="LB33" s="1121"/>
      <c r="LC33" s="1121"/>
      <c r="LD33" s="1121"/>
      <c r="LE33" s="1121"/>
      <c r="LF33" s="1121"/>
      <c r="LG33" s="1121"/>
      <c r="LH33" s="1121"/>
      <c r="LI33" s="1121"/>
      <c r="LJ33" s="1121"/>
      <c r="LK33" s="1121"/>
      <c r="LL33" s="1121"/>
      <c r="LM33" s="1121"/>
      <c r="LN33" s="1121"/>
      <c r="LO33" s="1121"/>
      <c r="LP33" s="1121"/>
      <c r="LQ33" s="1121"/>
      <c r="LR33" s="1121"/>
      <c r="LS33" s="1121"/>
      <c r="LT33" s="1121"/>
      <c r="LV33" s="1123"/>
      <c r="LW33" s="1123"/>
      <c r="LX33" s="1123"/>
      <c r="LY33" s="1123"/>
      <c r="MA33" s="1123"/>
      <c r="MB33" s="1123"/>
      <c r="MC33" s="1123"/>
      <c r="MD33" s="1123"/>
      <c r="ME33" s="1123"/>
      <c r="MF33" s="1123"/>
      <c r="MG33" s="1123"/>
      <c r="MH33" s="1123"/>
      <c r="MI33" s="1123"/>
      <c r="MK33" s="1123"/>
      <c r="ML33" s="1123"/>
      <c r="MM33" s="1123"/>
      <c r="MN33" s="1123"/>
      <c r="MO33" s="1123"/>
      <c r="MQ33" s="1123"/>
      <c r="MR33" s="1123"/>
      <c r="MS33" s="1123"/>
      <c r="MT33" s="1123"/>
      <c r="MU33" s="1123"/>
      <c r="MV33" s="1123"/>
      <c r="MW33" s="1123"/>
      <c r="MX33" s="1123"/>
      <c r="MY33" s="1123"/>
      <c r="MZ33" s="1123"/>
      <c r="NA33" s="1123"/>
      <c r="NB33" s="1123"/>
      <c r="NC33" s="1123"/>
      <c r="ND33" s="1123"/>
      <c r="NE33" s="1123"/>
      <c r="NF33" s="1123"/>
      <c r="NG33" s="1123"/>
      <c r="NH33" s="1123"/>
      <c r="NI33" s="1123"/>
      <c r="NJ33" s="1123"/>
      <c r="NK33" s="1123"/>
      <c r="NL33" s="1123"/>
      <c r="NM33" s="1123"/>
      <c r="NN33" s="1123"/>
      <c r="NP33" s="155"/>
      <c r="NQ33" s="155"/>
      <c r="QN33" s="155"/>
      <c r="QO33" s="155"/>
      <c r="TL33" s="155"/>
    </row>
    <row r="34" spans="1:532" ht="6.75" customHeight="1" x14ac:dyDescent="0.25">
      <c r="A34" s="155"/>
      <c r="B34" s="512"/>
      <c r="C34" s="1183"/>
      <c r="D34" s="1184"/>
      <c r="E34" s="1184"/>
      <c r="F34" s="1184"/>
      <c r="G34" s="1184"/>
      <c r="H34" s="1184"/>
      <c r="I34" s="1184"/>
      <c r="J34" s="1184"/>
      <c r="K34" s="1184"/>
      <c r="L34" s="1184"/>
      <c r="M34" s="1184"/>
      <c r="N34" s="1184"/>
      <c r="O34" s="1184"/>
      <c r="P34" s="1184"/>
      <c r="Q34" s="1184"/>
      <c r="R34" s="1184"/>
      <c r="S34" s="1184"/>
      <c r="T34" s="1184"/>
      <c r="U34" s="1184"/>
      <c r="V34" s="1184"/>
      <c r="W34" s="1184"/>
      <c r="X34" s="1184"/>
      <c r="Y34" s="1184"/>
      <c r="Z34" s="1184"/>
      <c r="AA34" s="1184"/>
      <c r="AB34" s="1184"/>
      <c r="AC34" s="1184"/>
      <c r="AD34" s="1184"/>
      <c r="AE34" s="1184"/>
      <c r="AF34" s="1184"/>
      <c r="AG34" s="1184"/>
      <c r="AH34" s="1184"/>
      <c r="AI34" s="1184"/>
      <c r="AJ34" s="1184"/>
      <c r="AK34" s="1184"/>
      <c r="AL34" s="1185"/>
      <c r="BW34" s="513"/>
      <c r="BX34" s="155"/>
      <c r="BY34" s="155"/>
      <c r="BZ34" s="150"/>
      <c r="CA34" s="1234"/>
      <c r="CB34" s="1234"/>
      <c r="CC34" s="1234"/>
      <c r="CD34" s="1234"/>
      <c r="CE34" s="1234"/>
      <c r="CF34" s="1234"/>
      <c r="CG34" s="1234"/>
      <c r="CH34" s="1234"/>
      <c r="CI34" s="1234"/>
      <c r="CJ34" s="1234"/>
      <c r="CK34" s="1234"/>
      <c r="CL34" s="1234"/>
      <c r="CM34" s="1234"/>
      <c r="CN34" s="1234"/>
      <c r="CO34" s="1234"/>
      <c r="CP34" s="1234"/>
      <c r="CQ34" s="1234"/>
      <c r="CR34" s="1234"/>
      <c r="CS34" s="1234"/>
      <c r="CT34" s="1234"/>
      <c r="CU34" s="1234"/>
      <c r="CV34" s="1234"/>
      <c r="CW34" s="1234"/>
      <c r="CX34" s="1234"/>
      <c r="CZ34" s="1119"/>
      <c r="DA34" s="1119"/>
      <c r="DB34" s="1119"/>
      <c r="DC34" s="1119"/>
      <c r="DD34" s="1119"/>
      <c r="DE34" s="1119"/>
      <c r="DF34" s="1119"/>
      <c r="DG34" s="1119"/>
      <c r="DH34" s="1119"/>
      <c r="DI34" s="1119"/>
      <c r="DJ34" s="1119"/>
      <c r="DK34" s="1119"/>
      <c r="DL34" s="1119"/>
      <c r="DM34" s="1119"/>
      <c r="DN34" s="1119"/>
      <c r="DO34" s="1119"/>
      <c r="DP34" s="1119"/>
      <c r="DQ34" s="1119"/>
      <c r="DR34" s="1119"/>
      <c r="DS34" s="1119"/>
      <c r="DT34" s="1119"/>
      <c r="DU34" s="1119"/>
      <c r="DV34" s="1119"/>
      <c r="DW34" s="1119"/>
      <c r="DY34" s="1120"/>
      <c r="DZ34" s="1120"/>
      <c r="EA34" s="1120"/>
      <c r="EB34" s="1120"/>
      <c r="EC34" s="1120"/>
      <c r="ED34" s="1120"/>
      <c r="EE34" s="1120"/>
      <c r="EF34" s="1120"/>
      <c r="EG34" s="1120"/>
      <c r="EH34" s="1120"/>
      <c r="EI34" s="1120"/>
      <c r="EJ34" s="1120"/>
      <c r="EK34" s="1120"/>
      <c r="EL34" s="1120"/>
      <c r="EM34" s="1120"/>
      <c r="EN34" s="1120"/>
      <c r="EO34" s="1120"/>
      <c r="EP34" s="1120"/>
      <c r="EQ34" s="1120"/>
      <c r="ER34" s="1120"/>
      <c r="ES34" s="1120"/>
      <c r="ET34" s="1120"/>
      <c r="EU34" s="1120"/>
      <c r="EW34" s="155"/>
      <c r="EX34" s="552"/>
      <c r="EY34" s="552"/>
      <c r="EZ34" s="552"/>
      <c r="FA34" s="552"/>
      <c r="FB34" s="552"/>
      <c r="FC34" s="552"/>
      <c r="FD34" s="552"/>
      <c r="FE34" s="552"/>
      <c r="FF34" s="552"/>
      <c r="FG34" s="552"/>
      <c r="FH34" s="552"/>
      <c r="FI34" s="552"/>
      <c r="FJ34" s="552"/>
      <c r="FK34" s="552"/>
      <c r="FL34" s="552"/>
      <c r="FM34" s="552"/>
      <c r="FN34" s="552"/>
      <c r="FO34" s="552"/>
      <c r="FP34" s="552"/>
      <c r="FQ34" s="552"/>
      <c r="FR34" s="552"/>
      <c r="FS34" s="552"/>
      <c r="FT34" s="552"/>
      <c r="FU34" s="552"/>
      <c r="FV34" s="552"/>
      <c r="FW34" s="552"/>
      <c r="FX34" s="552"/>
      <c r="FY34" s="552"/>
      <c r="FZ34" s="552"/>
      <c r="GA34" s="552"/>
      <c r="GB34" s="552"/>
      <c r="GC34" s="552"/>
      <c r="GD34" s="552"/>
      <c r="GE34" s="552"/>
      <c r="GF34" s="552"/>
      <c r="GG34" s="552"/>
      <c r="GH34" s="552"/>
      <c r="GI34" s="552"/>
      <c r="GJ34" s="552"/>
      <c r="GK34" s="552"/>
      <c r="GL34" s="552"/>
      <c r="GM34" s="552"/>
      <c r="GN34" s="552"/>
      <c r="GO34" s="552"/>
      <c r="GP34" s="552"/>
      <c r="GQ34" s="552"/>
      <c r="GR34" s="552"/>
      <c r="GS34" s="552"/>
      <c r="GT34" s="552"/>
      <c r="GU34" s="552"/>
      <c r="GV34" s="552"/>
      <c r="GW34" s="552"/>
      <c r="GX34" s="552"/>
      <c r="GY34" s="552"/>
      <c r="GZ34" s="552"/>
      <c r="HA34" s="552"/>
      <c r="HB34" s="552"/>
      <c r="HC34" s="552"/>
      <c r="HD34" s="552"/>
      <c r="HE34" s="552"/>
      <c r="HF34" s="552"/>
      <c r="HG34" s="552"/>
      <c r="HH34" s="552"/>
      <c r="HI34" s="552"/>
      <c r="HJ34" s="552"/>
      <c r="HK34" s="552"/>
      <c r="HL34" s="552"/>
      <c r="HM34" s="552"/>
      <c r="HN34" s="552"/>
      <c r="HO34" s="552"/>
      <c r="HP34" s="552"/>
      <c r="HQ34" s="552"/>
      <c r="HR34" s="552"/>
      <c r="HS34" s="552"/>
      <c r="HT34" s="155"/>
      <c r="HU34" s="155"/>
      <c r="HV34" s="552"/>
      <c r="HW34" s="552"/>
      <c r="HX34" s="552"/>
      <c r="HY34" s="552"/>
      <c r="HZ34" s="552"/>
      <c r="IA34" s="552"/>
      <c r="IB34" s="552"/>
      <c r="IC34" s="552"/>
      <c r="ID34" s="552"/>
      <c r="IE34" s="552"/>
      <c r="IF34" s="552"/>
      <c r="IG34" s="552"/>
      <c r="IH34" s="552"/>
      <c r="II34" s="552"/>
      <c r="IJ34" s="552"/>
      <c r="IK34" s="552"/>
      <c r="IL34" s="552"/>
      <c r="IM34" s="552"/>
      <c r="IN34" s="552"/>
      <c r="IO34" s="552"/>
      <c r="IP34" s="552"/>
      <c r="IQ34" s="552"/>
      <c r="IR34" s="552"/>
      <c r="IS34" s="552"/>
      <c r="IT34" s="552"/>
      <c r="IU34" s="552"/>
      <c r="IV34" s="552"/>
      <c r="IW34" s="552"/>
      <c r="IX34" s="552"/>
      <c r="IY34" s="552"/>
      <c r="IZ34" s="552"/>
      <c r="JA34" s="552"/>
      <c r="JB34" s="552"/>
      <c r="JC34" s="552"/>
      <c r="JD34" s="552"/>
      <c r="JE34" s="552"/>
      <c r="JF34" s="552"/>
      <c r="JG34" s="552"/>
      <c r="JH34" s="552"/>
      <c r="JI34" s="552"/>
      <c r="JJ34" s="552"/>
      <c r="JK34" s="552"/>
      <c r="JL34" s="552"/>
      <c r="JM34" s="552"/>
      <c r="JN34" s="552"/>
      <c r="JO34" s="552"/>
      <c r="JP34" s="552"/>
      <c r="JQ34" s="552"/>
      <c r="JR34" s="552"/>
      <c r="JS34" s="552"/>
      <c r="JT34" s="552"/>
      <c r="JU34" s="552"/>
      <c r="JV34" s="552"/>
      <c r="JW34" s="552"/>
      <c r="JX34" s="552"/>
      <c r="JY34" s="552"/>
      <c r="JZ34" s="552"/>
      <c r="KA34" s="552"/>
      <c r="KB34" s="552"/>
      <c r="KC34" s="552"/>
      <c r="KD34" s="552"/>
      <c r="KE34" s="552"/>
      <c r="KF34" s="552"/>
      <c r="KG34" s="552"/>
      <c r="KH34" s="552"/>
      <c r="KI34" s="552"/>
      <c r="KJ34" s="552"/>
      <c r="KK34" s="552"/>
      <c r="KL34" s="552"/>
      <c r="KM34" s="552"/>
      <c r="KN34" s="552"/>
      <c r="KO34" s="552"/>
      <c r="KP34" s="552"/>
      <c r="KQ34" s="552"/>
      <c r="KR34" s="155"/>
      <c r="KS34" s="155"/>
      <c r="KT34" s="136"/>
      <c r="KU34" s="136"/>
      <c r="KV34" s="1120"/>
      <c r="KW34" s="1120"/>
      <c r="KX34" s="1120"/>
      <c r="KY34" s="1120"/>
      <c r="KZ34" s="1120"/>
      <c r="LA34" s="1120"/>
      <c r="LB34" s="1120"/>
      <c r="LC34" s="1120"/>
      <c r="LD34" s="1120"/>
      <c r="LE34" s="1120"/>
      <c r="LF34" s="1120"/>
      <c r="LG34" s="1120"/>
      <c r="LH34" s="1120"/>
      <c r="LI34" s="1120"/>
      <c r="LJ34" s="1120"/>
      <c r="LK34" s="1120"/>
      <c r="LL34" s="1120"/>
      <c r="LM34" s="1120"/>
      <c r="LN34" s="1120"/>
      <c r="LO34" s="1120"/>
      <c r="LP34" s="1120"/>
      <c r="LQ34" s="1120"/>
      <c r="LR34" s="1120"/>
      <c r="LS34" s="1120"/>
      <c r="LT34" s="1120"/>
      <c r="LV34" s="1122"/>
      <c r="LW34" s="1122"/>
      <c r="LX34" s="1122"/>
      <c r="LY34" s="1122"/>
      <c r="MA34" s="1122"/>
      <c r="MB34" s="1122"/>
      <c r="MC34" s="1122"/>
      <c r="MD34" s="1122"/>
      <c r="ME34" s="1122"/>
      <c r="MF34" s="1122"/>
      <c r="MG34" s="1122"/>
      <c r="MH34" s="1122"/>
      <c r="MI34" s="1122"/>
      <c r="MK34" s="1122"/>
      <c r="ML34" s="1122"/>
      <c r="MM34" s="1122"/>
      <c r="MN34" s="1122"/>
      <c r="MO34" s="1122"/>
      <c r="MQ34" s="1122"/>
      <c r="MR34" s="1122"/>
      <c r="MS34" s="1122"/>
      <c r="MT34" s="1122"/>
      <c r="MU34" s="1122"/>
      <c r="MV34" s="1122"/>
      <c r="MW34" s="1122"/>
      <c r="MX34" s="1122"/>
      <c r="MY34" s="1122"/>
      <c r="MZ34" s="1122"/>
      <c r="NA34" s="1122"/>
      <c r="NB34" s="1122"/>
      <c r="NC34" s="1122"/>
      <c r="ND34" s="1122"/>
      <c r="NE34" s="1122"/>
      <c r="NF34" s="1122"/>
      <c r="NG34" s="1122"/>
      <c r="NH34" s="1122"/>
      <c r="NI34" s="1122"/>
      <c r="NJ34" s="1122"/>
      <c r="NK34" s="1122"/>
      <c r="NL34" s="1122"/>
      <c r="NM34" s="1122"/>
      <c r="NN34" s="1122"/>
      <c r="NP34" s="155"/>
      <c r="NQ34" s="155"/>
      <c r="QN34" s="155"/>
      <c r="QO34" s="155"/>
      <c r="TL34" s="155"/>
    </row>
    <row r="35" spans="1:532" ht="6.75" customHeight="1" x14ac:dyDescent="0.25">
      <c r="A35" s="155"/>
      <c r="B35" s="512"/>
      <c r="C35" s="1183"/>
      <c r="D35" s="1184"/>
      <c r="E35" s="1184"/>
      <c r="F35" s="1184"/>
      <c r="G35" s="1184"/>
      <c r="H35" s="1184"/>
      <c r="I35" s="1184"/>
      <c r="J35" s="1184"/>
      <c r="K35" s="1184"/>
      <c r="L35" s="1184"/>
      <c r="M35" s="1184"/>
      <c r="N35" s="1184"/>
      <c r="O35" s="1184"/>
      <c r="P35" s="1184"/>
      <c r="Q35" s="1184"/>
      <c r="R35" s="1184"/>
      <c r="S35" s="1184"/>
      <c r="T35" s="1184"/>
      <c r="U35" s="1184"/>
      <c r="V35" s="1184"/>
      <c r="W35" s="1184"/>
      <c r="X35" s="1184"/>
      <c r="Y35" s="1184"/>
      <c r="Z35" s="1184"/>
      <c r="AA35" s="1184"/>
      <c r="AB35" s="1184"/>
      <c r="AC35" s="1184"/>
      <c r="AD35" s="1184"/>
      <c r="AE35" s="1184"/>
      <c r="AF35" s="1184"/>
      <c r="AG35" s="1184"/>
      <c r="AH35" s="1184"/>
      <c r="AI35" s="1184"/>
      <c r="AJ35" s="1184"/>
      <c r="AK35" s="1184"/>
      <c r="AL35" s="1185"/>
      <c r="AN35" s="507"/>
      <c r="BW35" s="513"/>
      <c r="BX35" s="155"/>
      <c r="BY35" s="155"/>
      <c r="BZ35" s="150"/>
      <c r="CA35" s="1234"/>
      <c r="CB35" s="1234"/>
      <c r="CC35" s="1234"/>
      <c r="CD35" s="1234"/>
      <c r="CE35" s="1234"/>
      <c r="CF35" s="1234"/>
      <c r="CG35" s="1234"/>
      <c r="CH35" s="1234"/>
      <c r="CI35" s="1234"/>
      <c r="CJ35" s="1234"/>
      <c r="CK35" s="1234"/>
      <c r="CL35" s="1234"/>
      <c r="CM35" s="1234"/>
      <c r="CN35" s="1234"/>
      <c r="CO35" s="1234"/>
      <c r="CP35" s="1234"/>
      <c r="CQ35" s="1234"/>
      <c r="CR35" s="1234"/>
      <c r="CS35" s="1234"/>
      <c r="CT35" s="1234"/>
      <c r="CU35" s="1234"/>
      <c r="CV35" s="1234"/>
      <c r="CW35" s="1234"/>
      <c r="CX35" s="1234"/>
      <c r="CZ35" s="1119"/>
      <c r="DA35" s="1119"/>
      <c r="DB35" s="1119"/>
      <c r="DC35" s="1119"/>
      <c r="DD35" s="1119"/>
      <c r="DE35" s="1119"/>
      <c r="DF35" s="1119"/>
      <c r="DG35" s="1119"/>
      <c r="DH35" s="1119"/>
      <c r="DI35" s="1119"/>
      <c r="DJ35" s="1119"/>
      <c r="DK35" s="1119"/>
      <c r="DL35" s="1119"/>
      <c r="DM35" s="1119"/>
      <c r="DN35" s="1119"/>
      <c r="DO35" s="1119"/>
      <c r="DP35" s="1119"/>
      <c r="DQ35" s="1119"/>
      <c r="DR35" s="1119"/>
      <c r="DS35" s="1119"/>
      <c r="DT35" s="1119"/>
      <c r="DU35" s="1119"/>
      <c r="DV35" s="1119"/>
      <c r="DW35" s="1119"/>
      <c r="DY35" s="1121"/>
      <c r="DZ35" s="1121"/>
      <c r="EA35" s="1121"/>
      <c r="EB35" s="1121"/>
      <c r="EC35" s="1121"/>
      <c r="ED35" s="1121"/>
      <c r="EE35" s="1121"/>
      <c r="EF35" s="1121"/>
      <c r="EG35" s="1121"/>
      <c r="EH35" s="1121"/>
      <c r="EI35" s="1121"/>
      <c r="EJ35" s="1121"/>
      <c r="EK35" s="1121"/>
      <c r="EL35" s="1121"/>
      <c r="EM35" s="1121"/>
      <c r="EN35" s="1121"/>
      <c r="EO35" s="1121"/>
      <c r="EP35" s="1121"/>
      <c r="EQ35" s="1121"/>
      <c r="ER35" s="1121"/>
      <c r="ES35" s="1121"/>
      <c r="ET35" s="1121"/>
      <c r="EU35" s="1121"/>
      <c r="EW35" s="155"/>
      <c r="EX35" s="552"/>
      <c r="EY35" s="552"/>
      <c r="EZ35" s="552"/>
      <c r="FA35" s="552"/>
      <c r="FB35" s="552"/>
      <c r="FC35" s="552"/>
      <c r="FD35" s="552"/>
      <c r="FE35" s="552"/>
      <c r="FF35" s="552"/>
      <c r="FG35" s="552"/>
      <c r="FH35" s="552"/>
      <c r="FI35" s="552"/>
      <c r="FJ35" s="552"/>
      <c r="FK35" s="552"/>
      <c r="FL35" s="552"/>
      <c r="FM35" s="552"/>
      <c r="FN35" s="552"/>
      <c r="FO35" s="552"/>
      <c r="FP35" s="552"/>
      <c r="FQ35" s="552"/>
      <c r="FR35" s="552"/>
      <c r="FS35" s="552"/>
      <c r="FT35" s="552"/>
      <c r="FU35" s="552"/>
      <c r="FV35" s="552"/>
      <c r="FW35" s="552"/>
      <c r="FX35" s="552"/>
      <c r="FY35" s="552"/>
      <c r="FZ35" s="552"/>
      <c r="GA35" s="552"/>
      <c r="GB35" s="552"/>
      <c r="GC35" s="552"/>
      <c r="GD35" s="552"/>
      <c r="GE35" s="552"/>
      <c r="GF35" s="552"/>
      <c r="GG35" s="552"/>
      <c r="GH35" s="552"/>
      <c r="GI35" s="552"/>
      <c r="GJ35" s="552"/>
      <c r="GK35" s="552"/>
      <c r="GL35" s="552"/>
      <c r="GM35" s="552"/>
      <c r="GN35" s="552"/>
      <c r="GO35" s="552"/>
      <c r="GP35" s="552"/>
      <c r="GQ35" s="552"/>
      <c r="GR35" s="552"/>
      <c r="GS35" s="552"/>
      <c r="GT35" s="552"/>
      <c r="GU35" s="552"/>
      <c r="GV35" s="552"/>
      <c r="GW35" s="552"/>
      <c r="GX35" s="552"/>
      <c r="GY35" s="552"/>
      <c r="GZ35" s="552"/>
      <c r="HA35" s="552"/>
      <c r="HB35" s="552"/>
      <c r="HC35" s="552"/>
      <c r="HD35" s="552"/>
      <c r="HE35" s="552"/>
      <c r="HF35" s="552"/>
      <c r="HG35" s="552"/>
      <c r="HH35" s="552"/>
      <c r="HI35" s="552"/>
      <c r="HJ35" s="552"/>
      <c r="HK35" s="552"/>
      <c r="HL35" s="552"/>
      <c r="HM35" s="552"/>
      <c r="HN35" s="552"/>
      <c r="HO35" s="552"/>
      <c r="HP35" s="552"/>
      <c r="HQ35" s="552"/>
      <c r="HR35" s="552"/>
      <c r="HS35" s="552"/>
      <c r="HT35" s="155"/>
      <c r="HU35" s="155"/>
      <c r="HV35" s="552"/>
      <c r="HW35" s="552"/>
      <c r="HX35" s="552"/>
      <c r="HY35" s="552"/>
      <c r="HZ35" s="552"/>
      <c r="IA35" s="552"/>
      <c r="IB35" s="552"/>
      <c r="IC35" s="552"/>
      <c r="ID35" s="552"/>
      <c r="IE35" s="552"/>
      <c r="IF35" s="552"/>
      <c r="IG35" s="552"/>
      <c r="IH35" s="552"/>
      <c r="II35" s="552"/>
      <c r="IJ35" s="552"/>
      <c r="IK35" s="552"/>
      <c r="IL35" s="552"/>
      <c r="IM35" s="552"/>
      <c r="IN35" s="552"/>
      <c r="IO35" s="552"/>
      <c r="IP35" s="552"/>
      <c r="IQ35" s="552"/>
      <c r="IR35" s="552"/>
      <c r="IS35" s="552"/>
      <c r="IT35" s="552"/>
      <c r="IU35" s="552"/>
      <c r="IV35" s="552"/>
      <c r="IW35" s="552"/>
      <c r="IX35" s="552"/>
      <c r="IY35" s="552"/>
      <c r="IZ35" s="552"/>
      <c r="JA35" s="552"/>
      <c r="JB35" s="552"/>
      <c r="JC35" s="552"/>
      <c r="JD35" s="552"/>
      <c r="JE35" s="552"/>
      <c r="JF35" s="552"/>
      <c r="JG35" s="552"/>
      <c r="JH35" s="552"/>
      <c r="JI35" s="552"/>
      <c r="JJ35" s="552"/>
      <c r="JK35" s="552"/>
      <c r="JL35" s="552"/>
      <c r="JM35" s="552"/>
      <c r="JN35" s="552"/>
      <c r="JO35" s="552"/>
      <c r="JP35" s="552"/>
      <c r="JQ35" s="552"/>
      <c r="JR35" s="552"/>
      <c r="JS35" s="552"/>
      <c r="JT35" s="552"/>
      <c r="JU35" s="552"/>
      <c r="JV35" s="552"/>
      <c r="JW35" s="552"/>
      <c r="JX35" s="552"/>
      <c r="JY35" s="552"/>
      <c r="JZ35" s="552"/>
      <c r="KA35" s="552"/>
      <c r="KB35" s="552"/>
      <c r="KC35" s="552"/>
      <c r="KD35" s="552"/>
      <c r="KE35" s="552"/>
      <c r="KF35" s="552"/>
      <c r="KG35" s="552"/>
      <c r="KH35" s="552"/>
      <c r="KI35" s="552"/>
      <c r="KJ35" s="552"/>
      <c r="KK35" s="552"/>
      <c r="KL35" s="552"/>
      <c r="KM35" s="552"/>
      <c r="KN35" s="552"/>
      <c r="KO35" s="552"/>
      <c r="KP35" s="552"/>
      <c r="KQ35" s="552"/>
      <c r="KR35" s="155"/>
      <c r="KS35" s="155"/>
      <c r="KT35" s="136"/>
      <c r="KU35" s="136"/>
      <c r="KV35" s="1121"/>
      <c r="KW35" s="1121"/>
      <c r="KX35" s="1121"/>
      <c r="KY35" s="1121"/>
      <c r="KZ35" s="1121"/>
      <c r="LA35" s="1121"/>
      <c r="LB35" s="1121"/>
      <c r="LC35" s="1121"/>
      <c r="LD35" s="1121"/>
      <c r="LE35" s="1121"/>
      <c r="LF35" s="1121"/>
      <c r="LG35" s="1121"/>
      <c r="LH35" s="1121"/>
      <c r="LI35" s="1121"/>
      <c r="LJ35" s="1121"/>
      <c r="LK35" s="1121"/>
      <c r="LL35" s="1121"/>
      <c r="LM35" s="1121"/>
      <c r="LN35" s="1121"/>
      <c r="LO35" s="1121"/>
      <c r="LP35" s="1121"/>
      <c r="LQ35" s="1121"/>
      <c r="LR35" s="1121"/>
      <c r="LS35" s="1121"/>
      <c r="LT35" s="1121"/>
      <c r="LV35" s="1123"/>
      <c r="LW35" s="1123"/>
      <c r="LX35" s="1123"/>
      <c r="LY35" s="1123"/>
      <c r="MA35" s="1123"/>
      <c r="MB35" s="1123"/>
      <c r="MC35" s="1123"/>
      <c r="MD35" s="1123"/>
      <c r="ME35" s="1123"/>
      <c r="MF35" s="1123"/>
      <c r="MG35" s="1123"/>
      <c r="MH35" s="1123"/>
      <c r="MI35" s="1123"/>
      <c r="MK35" s="1123"/>
      <c r="ML35" s="1123"/>
      <c r="MM35" s="1123"/>
      <c r="MN35" s="1123"/>
      <c r="MO35" s="1123"/>
      <c r="MQ35" s="1123"/>
      <c r="MR35" s="1123"/>
      <c r="MS35" s="1123"/>
      <c r="MT35" s="1123"/>
      <c r="MU35" s="1123"/>
      <c r="MV35" s="1123"/>
      <c r="MW35" s="1123"/>
      <c r="MX35" s="1123"/>
      <c r="MY35" s="1123"/>
      <c r="MZ35" s="1123"/>
      <c r="NA35" s="1123"/>
      <c r="NB35" s="1123"/>
      <c r="NC35" s="1123"/>
      <c r="ND35" s="1123"/>
      <c r="NE35" s="1123"/>
      <c r="NF35" s="1123"/>
      <c r="NG35" s="1123"/>
      <c r="NH35" s="1123"/>
      <c r="NI35" s="1123"/>
      <c r="NJ35" s="1123"/>
      <c r="NK35" s="1123"/>
      <c r="NL35" s="1123"/>
      <c r="NM35" s="1123"/>
      <c r="NN35" s="1123"/>
      <c r="NP35" s="155"/>
      <c r="NQ35" s="155"/>
      <c r="QN35" s="155"/>
      <c r="QO35" s="155"/>
      <c r="TL35" s="155"/>
    </row>
    <row r="36" spans="1:532" ht="6.75" customHeight="1" x14ac:dyDescent="0.25">
      <c r="A36" s="155"/>
      <c r="B36" s="512"/>
      <c r="C36" s="1183"/>
      <c r="D36" s="1184"/>
      <c r="E36" s="1184"/>
      <c r="F36" s="1184"/>
      <c r="G36" s="1184"/>
      <c r="H36" s="1184"/>
      <c r="I36" s="1184"/>
      <c r="J36" s="1184"/>
      <c r="K36" s="1184"/>
      <c r="L36" s="1184"/>
      <c r="M36" s="1184"/>
      <c r="N36" s="1184"/>
      <c r="O36" s="1184"/>
      <c r="P36" s="1184"/>
      <c r="Q36" s="1184"/>
      <c r="R36" s="1184"/>
      <c r="S36" s="1184"/>
      <c r="T36" s="1184"/>
      <c r="U36" s="1184"/>
      <c r="V36" s="1184"/>
      <c r="W36" s="1184"/>
      <c r="X36" s="1184"/>
      <c r="Y36" s="1184"/>
      <c r="Z36" s="1184"/>
      <c r="AA36" s="1184"/>
      <c r="AB36" s="1184"/>
      <c r="AC36" s="1184"/>
      <c r="AD36" s="1184"/>
      <c r="AE36" s="1184"/>
      <c r="AF36" s="1184"/>
      <c r="AG36" s="1184"/>
      <c r="AH36" s="1184"/>
      <c r="AI36" s="1184"/>
      <c r="AJ36" s="1184"/>
      <c r="AK36" s="1184"/>
      <c r="AL36" s="1185"/>
      <c r="AN36" s="507"/>
      <c r="BW36" s="513"/>
      <c r="BX36" s="155"/>
      <c r="BY36" s="155"/>
      <c r="BZ36" s="150"/>
      <c r="CA36" s="1234"/>
      <c r="CB36" s="1234"/>
      <c r="CC36" s="1234"/>
      <c r="CD36" s="1234"/>
      <c r="CE36" s="1234"/>
      <c r="CF36" s="1234"/>
      <c r="CG36" s="1234"/>
      <c r="CH36" s="1234"/>
      <c r="CI36" s="1234"/>
      <c r="CJ36" s="1234"/>
      <c r="CK36" s="1234"/>
      <c r="CL36" s="1234"/>
      <c r="CM36" s="1234"/>
      <c r="CN36" s="1234"/>
      <c r="CO36" s="1234"/>
      <c r="CP36" s="1234"/>
      <c r="CQ36" s="1234"/>
      <c r="CR36" s="1234"/>
      <c r="CS36" s="1234"/>
      <c r="CT36" s="1234"/>
      <c r="CU36" s="1234"/>
      <c r="CV36" s="1234"/>
      <c r="CW36" s="1234"/>
      <c r="CX36" s="1234"/>
      <c r="CZ36" s="1119"/>
      <c r="DA36" s="1119"/>
      <c r="DB36" s="1119"/>
      <c r="DC36" s="1119"/>
      <c r="DD36" s="1119"/>
      <c r="DE36" s="1119"/>
      <c r="DF36" s="1119"/>
      <c r="DG36" s="1119"/>
      <c r="DH36" s="1119"/>
      <c r="DI36" s="1119"/>
      <c r="DJ36" s="1119"/>
      <c r="DK36" s="1119"/>
      <c r="DL36" s="1119"/>
      <c r="DM36" s="1119"/>
      <c r="DN36" s="1119"/>
      <c r="DO36" s="1119"/>
      <c r="DP36" s="1119"/>
      <c r="DQ36" s="1119"/>
      <c r="DR36" s="1119"/>
      <c r="DS36" s="1119"/>
      <c r="DT36" s="1119"/>
      <c r="DU36" s="1119"/>
      <c r="DV36" s="1119"/>
      <c r="DW36" s="1119"/>
      <c r="DY36" s="1120"/>
      <c r="DZ36" s="1120"/>
      <c r="EA36" s="1120"/>
      <c r="EB36" s="1120"/>
      <c r="EC36" s="1120"/>
      <c r="ED36" s="1120"/>
      <c r="EE36" s="1120"/>
      <c r="EF36" s="1120"/>
      <c r="EG36" s="1120"/>
      <c r="EH36" s="1120"/>
      <c r="EI36" s="1120"/>
      <c r="EJ36" s="1120"/>
      <c r="EK36" s="1120"/>
      <c r="EL36" s="1120"/>
      <c r="EM36" s="1120"/>
      <c r="EN36" s="1120"/>
      <c r="EO36" s="1120"/>
      <c r="EP36" s="1120"/>
      <c r="EQ36" s="1120"/>
      <c r="ER36" s="1120"/>
      <c r="ES36" s="1120"/>
      <c r="ET36" s="1120"/>
      <c r="EU36" s="1120"/>
      <c r="EW36" s="155"/>
      <c r="EX36" s="552"/>
      <c r="EY36" s="552"/>
      <c r="EZ36" s="552"/>
      <c r="FA36" s="552"/>
      <c r="FB36" s="552"/>
      <c r="FC36" s="552"/>
      <c r="FD36" s="552"/>
      <c r="FE36" s="552"/>
      <c r="FF36" s="552"/>
      <c r="FG36" s="552"/>
      <c r="FH36" s="552"/>
      <c r="FI36" s="552"/>
      <c r="FJ36" s="552"/>
      <c r="FK36" s="552"/>
      <c r="FL36" s="552"/>
      <c r="FM36" s="552"/>
      <c r="FN36" s="552"/>
      <c r="FO36" s="552"/>
      <c r="FP36" s="552"/>
      <c r="FQ36" s="552"/>
      <c r="FR36" s="552"/>
      <c r="FS36" s="552"/>
      <c r="FT36" s="552"/>
      <c r="FU36" s="552"/>
      <c r="FV36" s="552"/>
      <c r="FW36" s="552"/>
      <c r="FX36" s="552"/>
      <c r="FY36" s="552"/>
      <c r="FZ36" s="552"/>
      <c r="GA36" s="552"/>
      <c r="GB36" s="552"/>
      <c r="GC36" s="552"/>
      <c r="GD36" s="552"/>
      <c r="GE36" s="552"/>
      <c r="GF36" s="552"/>
      <c r="GG36" s="552"/>
      <c r="GH36" s="552"/>
      <c r="GI36" s="552"/>
      <c r="GJ36" s="552"/>
      <c r="GK36" s="552"/>
      <c r="GL36" s="552"/>
      <c r="GM36" s="552"/>
      <c r="GN36" s="552"/>
      <c r="GO36" s="552"/>
      <c r="GP36" s="552"/>
      <c r="GQ36" s="552"/>
      <c r="GR36" s="552"/>
      <c r="GS36" s="552"/>
      <c r="GT36" s="552"/>
      <c r="GU36" s="552"/>
      <c r="GV36" s="552"/>
      <c r="GW36" s="552"/>
      <c r="GX36" s="552"/>
      <c r="GY36" s="552"/>
      <c r="GZ36" s="552"/>
      <c r="HA36" s="552"/>
      <c r="HB36" s="552"/>
      <c r="HC36" s="552"/>
      <c r="HD36" s="552"/>
      <c r="HE36" s="552"/>
      <c r="HF36" s="552"/>
      <c r="HG36" s="552"/>
      <c r="HH36" s="552"/>
      <c r="HI36" s="552"/>
      <c r="HJ36" s="552"/>
      <c r="HK36" s="552"/>
      <c r="HL36" s="552"/>
      <c r="HM36" s="552"/>
      <c r="HN36" s="552"/>
      <c r="HO36" s="552"/>
      <c r="HP36" s="552"/>
      <c r="HQ36" s="552"/>
      <c r="HR36" s="552"/>
      <c r="HS36" s="552"/>
      <c r="HT36" s="155"/>
      <c r="HU36" s="155"/>
      <c r="HV36" s="552"/>
      <c r="HW36" s="552"/>
      <c r="HX36" s="552"/>
      <c r="HY36" s="552"/>
      <c r="HZ36" s="552"/>
      <c r="IA36" s="552"/>
      <c r="IB36" s="552"/>
      <c r="IC36" s="552"/>
      <c r="ID36" s="552"/>
      <c r="IE36" s="552"/>
      <c r="IF36" s="552"/>
      <c r="IG36" s="552"/>
      <c r="IH36" s="552"/>
      <c r="II36" s="552"/>
      <c r="IJ36" s="552"/>
      <c r="IK36" s="552"/>
      <c r="IL36" s="552"/>
      <c r="IM36" s="552"/>
      <c r="IN36" s="552"/>
      <c r="IO36" s="552"/>
      <c r="IP36" s="552"/>
      <c r="IQ36" s="552"/>
      <c r="IR36" s="552"/>
      <c r="IS36" s="552"/>
      <c r="IT36" s="552"/>
      <c r="IU36" s="552"/>
      <c r="IV36" s="552"/>
      <c r="IW36" s="552"/>
      <c r="IX36" s="552"/>
      <c r="IY36" s="552"/>
      <c r="IZ36" s="552"/>
      <c r="JA36" s="552"/>
      <c r="JB36" s="552"/>
      <c r="JC36" s="552"/>
      <c r="JD36" s="552"/>
      <c r="JE36" s="552"/>
      <c r="JF36" s="552"/>
      <c r="JG36" s="552"/>
      <c r="JH36" s="552"/>
      <c r="JI36" s="552"/>
      <c r="JJ36" s="552"/>
      <c r="JK36" s="552"/>
      <c r="JL36" s="552"/>
      <c r="JM36" s="552"/>
      <c r="JN36" s="552"/>
      <c r="JO36" s="552"/>
      <c r="JP36" s="552"/>
      <c r="JQ36" s="552"/>
      <c r="JR36" s="552"/>
      <c r="JS36" s="552"/>
      <c r="JT36" s="552"/>
      <c r="JU36" s="552"/>
      <c r="JV36" s="552"/>
      <c r="JW36" s="552"/>
      <c r="JX36" s="552"/>
      <c r="JY36" s="552"/>
      <c r="JZ36" s="552"/>
      <c r="KA36" s="552"/>
      <c r="KB36" s="552"/>
      <c r="KC36" s="552"/>
      <c r="KD36" s="552"/>
      <c r="KE36" s="552"/>
      <c r="KF36" s="552"/>
      <c r="KG36" s="552"/>
      <c r="KH36" s="552"/>
      <c r="KI36" s="552"/>
      <c r="KJ36" s="552"/>
      <c r="KK36" s="552"/>
      <c r="KL36" s="552"/>
      <c r="KM36" s="552"/>
      <c r="KN36" s="552"/>
      <c r="KO36" s="552"/>
      <c r="KP36" s="552"/>
      <c r="KQ36" s="552"/>
      <c r="KR36" s="155"/>
      <c r="KS36" s="155"/>
      <c r="KT36" s="136"/>
      <c r="KU36" s="136"/>
      <c r="KV36" s="1120"/>
      <c r="KW36" s="1120"/>
      <c r="KX36" s="1120"/>
      <c r="KY36" s="1120"/>
      <c r="KZ36" s="1120"/>
      <c r="LA36" s="1120"/>
      <c r="LB36" s="1120"/>
      <c r="LC36" s="1120"/>
      <c r="LD36" s="1120"/>
      <c r="LE36" s="1120"/>
      <c r="LF36" s="1120"/>
      <c r="LG36" s="1120"/>
      <c r="LH36" s="1120"/>
      <c r="LI36" s="1120"/>
      <c r="LJ36" s="1120"/>
      <c r="LK36" s="1120"/>
      <c r="LL36" s="1120"/>
      <c r="LM36" s="1120"/>
      <c r="LN36" s="1120"/>
      <c r="LO36" s="1120"/>
      <c r="LP36" s="1120"/>
      <c r="LQ36" s="1120"/>
      <c r="LR36" s="1120"/>
      <c r="LS36" s="1120"/>
      <c r="LT36" s="1120"/>
      <c r="LV36" s="1122"/>
      <c r="LW36" s="1122"/>
      <c r="LX36" s="1122"/>
      <c r="LY36" s="1122"/>
      <c r="MA36" s="1122"/>
      <c r="MB36" s="1122"/>
      <c r="MC36" s="1122"/>
      <c r="MD36" s="1122"/>
      <c r="ME36" s="1122"/>
      <c r="MF36" s="1122"/>
      <c r="MG36" s="1122"/>
      <c r="MH36" s="1122"/>
      <c r="MI36" s="1122"/>
      <c r="MK36" s="1122"/>
      <c r="ML36" s="1122"/>
      <c r="MM36" s="1122"/>
      <c r="MN36" s="1122"/>
      <c r="MO36" s="1122"/>
      <c r="MQ36" s="1122"/>
      <c r="MR36" s="1122"/>
      <c r="MS36" s="1122"/>
      <c r="MT36" s="1122"/>
      <c r="MU36" s="1122"/>
      <c r="MV36" s="1122"/>
      <c r="MW36" s="1122"/>
      <c r="MX36" s="1122"/>
      <c r="MY36" s="1122"/>
      <c r="MZ36" s="1122"/>
      <c r="NA36" s="1122"/>
      <c r="NB36" s="1122"/>
      <c r="NC36" s="1122"/>
      <c r="ND36" s="1122"/>
      <c r="NE36" s="1122"/>
      <c r="NF36" s="1122"/>
      <c r="NG36" s="1122"/>
      <c r="NH36" s="1122"/>
      <c r="NI36" s="1122"/>
      <c r="NJ36" s="1122"/>
      <c r="NK36" s="1122"/>
      <c r="NL36" s="1122"/>
      <c r="NM36" s="1122"/>
      <c r="NN36" s="1122"/>
      <c r="NP36" s="155"/>
      <c r="NQ36" s="155"/>
      <c r="QN36" s="155"/>
      <c r="QO36" s="155"/>
      <c r="TL36" s="155"/>
    </row>
    <row r="37" spans="1:532" ht="6.75" customHeight="1" x14ac:dyDescent="0.25">
      <c r="A37" s="155"/>
      <c r="B37" s="512"/>
      <c r="C37" s="1183"/>
      <c r="D37" s="1184"/>
      <c r="E37" s="1184"/>
      <c r="F37" s="1184"/>
      <c r="G37" s="1184"/>
      <c r="H37" s="1184"/>
      <c r="I37" s="1184"/>
      <c r="J37" s="1184"/>
      <c r="K37" s="1184"/>
      <c r="L37" s="1184"/>
      <c r="M37" s="1184"/>
      <c r="N37" s="1184"/>
      <c r="O37" s="1184"/>
      <c r="P37" s="1184"/>
      <c r="Q37" s="1184"/>
      <c r="R37" s="1184"/>
      <c r="S37" s="1184"/>
      <c r="T37" s="1184"/>
      <c r="U37" s="1184"/>
      <c r="V37" s="1184"/>
      <c r="W37" s="1184"/>
      <c r="X37" s="1184"/>
      <c r="Y37" s="1184"/>
      <c r="Z37" s="1184"/>
      <c r="AA37" s="1184"/>
      <c r="AB37" s="1184"/>
      <c r="AC37" s="1184"/>
      <c r="AD37" s="1184"/>
      <c r="AE37" s="1184"/>
      <c r="AF37" s="1184"/>
      <c r="AG37" s="1184"/>
      <c r="AH37" s="1184"/>
      <c r="AI37" s="1184"/>
      <c r="AJ37" s="1184"/>
      <c r="AK37" s="1184"/>
      <c r="AL37" s="1185"/>
      <c r="AN37" s="507"/>
      <c r="BW37" s="513"/>
      <c r="BX37" s="155"/>
      <c r="BY37" s="155"/>
      <c r="BZ37" s="150"/>
      <c r="CA37" s="1234"/>
      <c r="CB37" s="1234"/>
      <c r="CC37" s="1234"/>
      <c r="CD37" s="1234"/>
      <c r="CE37" s="1234"/>
      <c r="CF37" s="1234"/>
      <c r="CG37" s="1234"/>
      <c r="CH37" s="1234"/>
      <c r="CI37" s="1234"/>
      <c r="CJ37" s="1234"/>
      <c r="CK37" s="1234"/>
      <c r="CL37" s="1234"/>
      <c r="CM37" s="1234"/>
      <c r="CN37" s="1234"/>
      <c r="CO37" s="1234"/>
      <c r="CP37" s="1234"/>
      <c r="CQ37" s="1234"/>
      <c r="CR37" s="1234"/>
      <c r="CS37" s="1234"/>
      <c r="CT37" s="1234"/>
      <c r="CU37" s="1234"/>
      <c r="CV37" s="1234"/>
      <c r="CW37" s="1234"/>
      <c r="CX37" s="1234"/>
      <c r="CZ37" s="1119"/>
      <c r="DA37" s="1119"/>
      <c r="DB37" s="1119"/>
      <c r="DC37" s="1119"/>
      <c r="DD37" s="1119"/>
      <c r="DE37" s="1119"/>
      <c r="DF37" s="1119"/>
      <c r="DG37" s="1119"/>
      <c r="DH37" s="1119"/>
      <c r="DI37" s="1119"/>
      <c r="DJ37" s="1119"/>
      <c r="DK37" s="1119"/>
      <c r="DL37" s="1119"/>
      <c r="DM37" s="1119"/>
      <c r="DN37" s="1119"/>
      <c r="DO37" s="1119"/>
      <c r="DP37" s="1119"/>
      <c r="DQ37" s="1119"/>
      <c r="DR37" s="1119"/>
      <c r="DS37" s="1119"/>
      <c r="DT37" s="1119"/>
      <c r="DU37" s="1119"/>
      <c r="DV37" s="1119"/>
      <c r="DW37" s="1119"/>
      <c r="DY37" s="1121"/>
      <c r="DZ37" s="1121"/>
      <c r="EA37" s="1121"/>
      <c r="EB37" s="1121"/>
      <c r="EC37" s="1121"/>
      <c r="ED37" s="1121"/>
      <c r="EE37" s="1121"/>
      <c r="EF37" s="1121"/>
      <c r="EG37" s="1121"/>
      <c r="EH37" s="1121"/>
      <c r="EI37" s="1121"/>
      <c r="EJ37" s="1121"/>
      <c r="EK37" s="1121"/>
      <c r="EL37" s="1121"/>
      <c r="EM37" s="1121"/>
      <c r="EN37" s="1121"/>
      <c r="EO37" s="1121"/>
      <c r="EP37" s="1121"/>
      <c r="EQ37" s="1121"/>
      <c r="ER37" s="1121"/>
      <c r="ES37" s="1121"/>
      <c r="ET37" s="1121"/>
      <c r="EU37" s="1121"/>
      <c r="EW37" s="155"/>
      <c r="EX37" s="552"/>
      <c r="EY37" s="552"/>
      <c r="EZ37" s="552"/>
      <c r="FA37" s="552"/>
      <c r="FB37" s="552"/>
      <c r="FC37" s="552"/>
      <c r="FD37" s="552"/>
      <c r="FE37" s="552"/>
      <c r="FF37" s="552"/>
      <c r="FG37" s="552"/>
      <c r="FH37" s="552"/>
      <c r="FI37" s="552"/>
      <c r="FJ37" s="552"/>
      <c r="FK37" s="552"/>
      <c r="FL37" s="552"/>
      <c r="FM37" s="552"/>
      <c r="FN37" s="552"/>
      <c r="FO37" s="552"/>
      <c r="FP37" s="552"/>
      <c r="FQ37" s="552"/>
      <c r="FR37" s="552"/>
      <c r="FS37" s="552"/>
      <c r="FT37" s="552"/>
      <c r="FU37" s="552"/>
      <c r="FV37" s="552"/>
      <c r="FW37" s="552"/>
      <c r="FX37" s="552"/>
      <c r="FY37" s="552"/>
      <c r="FZ37" s="552"/>
      <c r="GA37" s="552"/>
      <c r="GB37" s="552"/>
      <c r="GC37" s="552"/>
      <c r="GD37" s="552"/>
      <c r="GE37" s="552"/>
      <c r="GF37" s="552"/>
      <c r="GG37" s="552"/>
      <c r="GH37" s="552"/>
      <c r="GI37" s="552"/>
      <c r="GJ37" s="552"/>
      <c r="GK37" s="552"/>
      <c r="GL37" s="552"/>
      <c r="GM37" s="552"/>
      <c r="GN37" s="552"/>
      <c r="GO37" s="552"/>
      <c r="GP37" s="552"/>
      <c r="GQ37" s="552"/>
      <c r="GR37" s="552"/>
      <c r="GS37" s="552"/>
      <c r="GT37" s="552"/>
      <c r="GU37" s="552"/>
      <c r="GV37" s="552"/>
      <c r="GW37" s="552"/>
      <c r="GX37" s="552"/>
      <c r="GY37" s="552"/>
      <c r="GZ37" s="552"/>
      <c r="HA37" s="552"/>
      <c r="HB37" s="552"/>
      <c r="HC37" s="552"/>
      <c r="HD37" s="552"/>
      <c r="HE37" s="552"/>
      <c r="HF37" s="552"/>
      <c r="HG37" s="552"/>
      <c r="HH37" s="552"/>
      <c r="HI37" s="552"/>
      <c r="HJ37" s="552"/>
      <c r="HK37" s="552"/>
      <c r="HL37" s="552"/>
      <c r="HM37" s="552"/>
      <c r="HN37" s="552"/>
      <c r="HO37" s="552"/>
      <c r="HP37" s="552"/>
      <c r="HQ37" s="552"/>
      <c r="HR37" s="552"/>
      <c r="HS37" s="552"/>
      <c r="HT37" s="155"/>
      <c r="HU37" s="155"/>
      <c r="HV37" s="552"/>
      <c r="HW37" s="552"/>
      <c r="HX37" s="552"/>
      <c r="HY37" s="552"/>
      <c r="HZ37" s="552"/>
      <c r="IA37" s="552"/>
      <c r="IB37" s="552"/>
      <c r="IC37" s="552"/>
      <c r="ID37" s="552"/>
      <c r="IE37" s="552"/>
      <c r="IF37" s="552"/>
      <c r="IG37" s="552"/>
      <c r="IH37" s="552"/>
      <c r="II37" s="552"/>
      <c r="IJ37" s="552"/>
      <c r="IK37" s="552"/>
      <c r="IL37" s="552"/>
      <c r="IM37" s="552"/>
      <c r="IN37" s="552"/>
      <c r="IO37" s="552"/>
      <c r="IP37" s="552"/>
      <c r="IQ37" s="552"/>
      <c r="IR37" s="552"/>
      <c r="IS37" s="552"/>
      <c r="IT37" s="552"/>
      <c r="IU37" s="552"/>
      <c r="IV37" s="552"/>
      <c r="IW37" s="552"/>
      <c r="IX37" s="552"/>
      <c r="IY37" s="552"/>
      <c r="IZ37" s="552"/>
      <c r="JA37" s="552"/>
      <c r="JB37" s="552"/>
      <c r="JC37" s="552"/>
      <c r="JD37" s="552"/>
      <c r="JE37" s="552"/>
      <c r="JF37" s="552"/>
      <c r="JG37" s="552"/>
      <c r="JH37" s="552"/>
      <c r="JI37" s="552"/>
      <c r="JJ37" s="552"/>
      <c r="JK37" s="552"/>
      <c r="JL37" s="552"/>
      <c r="JM37" s="552"/>
      <c r="JN37" s="552"/>
      <c r="JO37" s="552"/>
      <c r="JP37" s="552"/>
      <c r="JQ37" s="552"/>
      <c r="JR37" s="552"/>
      <c r="JS37" s="552"/>
      <c r="JT37" s="552"/>
      <c r="JU37" s="552"/>
      <c r="JV37" s="552"/>
      <c r="JW37" s="552"/>
      <c r="JX37" s="552"/>
      <c r="JY37" s="552"/>
      <c r="JZ37" s="552"/>
      <c r="KA37" s="552"/>
      <c r="KB37" s="552"/>
      <c r="KC37" s="552"/>
      <c r="KD37" s="552"/>
      <c r="KE37" s="552"/>
      <c r="KF37" s="552"/>
      <c r="KG37" s="552"/>
      <c r="KH37" s="552"/>
      <c r="KI37" s="552"/>
      <c r="KJ37" s="552"/>
      <c r="KK37" s="552"/>
      <c r="KL37" s="552"/>
      <c r="KM37" s="552"/>
      <c r="KN37" s="552"/>
      <c r="KO37" s="552"/>
      <c r="KP37" s="552"/>
      <c r="KQ37" s="552"/>
      <c r="KR37" s="155"/>
      <c r="KS37" s="155"/>
      <c r="KT37" s="136"/>
      <c r="KU37" s="136"/>
      <c r="KV37" s="1121"/>
      <c r="KW37" s="1121"/>
      <c r="KX37" s="1121"/>
      <c r="KY37" s="1121"/>
      <c r="KZ37" s="1121"/>
      <c r="LA37" s="1121"/>
      <c r="LB37" s="1121"/>
      <c r="LC37" s="1121"/>
      <c r="LD37" s="1121"/>
      <c r="LE37" s="1121"/>
      <c r="LF37" s="1121"/>
      <c r="LG37" s="1121"/>
      <c r="LH37" s="1121"/>
      <c r="LI37" s="1121"/>
      <c r="LJ37" s="1121"/>
      <c r="LK37" s="1121"/>
      <c r="LL37" s="1121"/>
      <c r="LM37" s="1121"/>
      <c r="LN37" s="1121"/>
      <c r="LO37" s="1121"/>
      <c r="LP37" s="1121"/>
      <c r="LQ37" s="1121"/>
      <c r="LR37" s="1121"/>
      <c r="LS37" s="1121"/>
      <c r="LT37" s="1121"/>
      <c r="LV37" s="1123"/>
      <c r="LW37" s="1123"/>
      <c r="LX37" s="1123"/>
      <c r="LY37" s="1123"/>
      <c r="MA37" s="1123"/>
      <c r="MB37" s="1123"/>
      <c r="MC37" s="1123"/>
      <c r="MD37" s="1123"/>
      <c r="ME37" s="1123"/>
      <c r="MF37" s="1123"/>
      <c r="MG37" s="1123"/>
      <c r="MH37" s="1123"/>
      <c r="MI37" s="1123"/>
      <c r="MK37" s="1123"/>
      <c r="ML37" s="1123"/>
      <c r="MM37" s="1123"/>
      <c r="MN37" s="1123"/>
      <c r="MO37" s="1123"/>
      <c r="MQ37" s="1123"/>
      <c r="MR37" s="1123"/>
      <c r="MS37" s="1123"/>
      <c r="MT37" s="1123"/>
      <c r="MU37" s="1123"/>
      <c r="MV37" s="1123"/>
      <c r="MW37" s="1123"/>
      <c r="MX37" s="1123"/>
      <c r="MY37" s="1123"/>
      <c r="MZ37" s="1123"/>
      <c r="NA37" s="1123"/>
      <c r="NB37" s="1123"/>
      <c r="NC37" s="1123"/>
      <c r="ND37" s="1123"/>
      <c r="NE37" s="1123"/>
      <c r="NF37" s="1123"/>
      <c r="NG37" s="1123"/>
      <c r="NH37" s="1123"/>
      <c r="NI37" s="1123"/>
      <c r="NJ37" s="1123"/>
      <c r="NK37" s="1123"/>
      <c r="NL37" s="1123"/>
      <c r="NM37" s="1123"/>
      <c r="NN37" s="1123"/>
      <c r="NP37" s="155"/>
      <c r="NQ37" s="155"/>
      <c r="QN37" s="155"/>
      <c r="QO37" s="155"/>
      <c r="TL37" s="155"/>
    </row>
    <row r="38" spans="1:532" ht="6.75" customHeight="1" x14ac:dyDescent="0.25">
      <c r="A38" s="155"/>
      <c r="B38" s="512"/>
      <c r="C38" s="1183"/>
      <c r="D38" s="1184"/>
      <c r="E38" s="1184"/>
      <c r="F38" s="1184"/>
      <c r="G38" s="1184"/>
      <c r="H38" s="1184"/>
      <c r="I38" s="1184"/>
      <c r="J38" s="1184"/>
      <c r="K38" s="1184"/>
      <c r="L38" s="1184"/>
      <c r="M38" s="1184"/>
      <c r="N38" s="1184"/>
      <c r="O38" s="1184"/>
      <c r="P38" s="1184"/>
      <c r="Q38" s="1184"/>
      <c r="R38" s="1184"/>
      <c r="S38" s="1184"/>
      <c r="T38" s="1184"/>
      <c r="U38" s="1184"/>
      <c r="V38" s="1184"/>
      <c r="W38" s="1184"/>
      <c r="X38" s="1184"/>
      <c r="Y38" s="1184"/>
      <c r="Z38" s="1184"/>
      <c r="AA38" s="1184"/>
      <c r="AB38" s="1184"/>
      <c r="AC38" s="1184"/>
      <c r="AD38" s="1184"/>
      <c r="AE38" s="1184"/>
      <c r="AF38" s="1184"/>
      <c r="AG38" s="1184"/>
      <c r="AH38" s="1184"/>
      <c r="AI38" s="1184"/>
      <c r="AJ38" s="1184"/>
      <c r="AK38" s="1184"/>
      <c r="AL38" s="1185"/>
      <c r="AN38" s="507"/>
      <c r="BW38" s="513"/>
      <c r="BX38" s="155"/>
      <c r="BY38" s="155"/>
      <c r="BZ38" s="150"/>
      <c r="CA38" s="1234"/>
      <c r="CB38" s="1234"/>
      <c r="CC38" s="1234"/>
      <c r="CD38" s="1234"/>
      <c r="CE38" s="1234"/>
      <c r="CF38" s="1234"/>
      <c r="CG38" s="1234"/>
      <c r="CH38" s="1234"/>
      <c r="CI38" s="1234"/>
      <c r="CJ38" s="1234"/>
      <c r="CK38" s="1234"/>
      <c r="CL38" s="1234"/>
      <c r="CM38" s="1234"/>
      <c r="CN38" s="1234"/>
      <c r="CO38" s="1234"/>
      <c r="CP38" s="1234"/>
      <c r="CQ38" s="1234"/>
      <c r="CR38" s="1234"/>
      <c r="CS38" s="1234"/>
      <c r="CT38" s="1234"/>
      <c r="CU38" s="1234"/>
      <c r="CV38" s="1234"/>
      <c r="CW38" s="1234"/>
      <c r="CX38" s="1234"/>
      <c r="CZ38" s="1119"/>
      <c r="DA38" s="1119"/>
      <c r="DB38" s="1119"/>
      <c r="DC38" s="1119"/>
      <c r="DD38" s="1119"/>
      <c r="DE38" s="1119"/>
      <c r="DF38" s="1119"/>
      <c r="DG38" s="1119"/>
      <c r="DH38" s="1119"/>
      <c r="DI38" s="1119"/>
      <c r="DJ38" s="1119"/>
      <c r="DK38" s="1119"/>
      <c r="DL38" s="1119"/>
      <c r="DM38" s="1119"/>
      <c r="DN38" s="1119"/>
      <c r="DO38" s="1119"/>
      <c r="DP38" s="1119"/>
      <c r="DQ38" s="1119"/>
      <c r="DR38" s="1119"/>
      <c r="DS38" s="1119"/>
      <c r="DT38" s="1119"/>
      <c r="DU38" s="1119"/>
      <c r="DV38" s="1119"/>
      <c r="DW38" s="1119"/>
      <c r="DY38" s="1120"/>
      <c r="DZ38" s="1120"/>
      <c r="EA38" s="1120"/>
      <c r="EB38" s="1120"/>
      <c r="EC38" s="1120"/>
      <c r="ED38" s="1120"/>
      <c r="EE38" s="1120"/>
      <c r="EF38" s="1120"/>
      <c r="EG38" s="1120"/>
      <c r="EH38" s="1120"/>
      <c r="EI38" s="1120"/>
      <c r="EJ38" s="1120"/>
      <c r="EK38" s="1120"/>
      <c r="EL38" s="1120"/>
      <c r="EM38" s="1120"/>
      <c r="EN38" s="1120"/>
      <c r="EO38" s="1120"/>
      <c r="EP38" s="1120"/>
      <c r="EQ38" s="1120"/>
      <c r="ER38" s="1120"/>
      <c r="ES38" s="1120"/>
      <c r="ET38" s="1120"/>
      <c r="EU38" s="1120"/>
      <c r="EW38" s="155"/>
      <c r="EX38" s="552"/>
      <c r="EY38" s="552"/>
      <c r="EZ38" s="552"/>
      <c r="FA38" s="552"/>
      <c r="FB38" s="552"/>
      <c r="FC38" s="552"/>
      <c r="FD38" s="552"/>
      <c r="FE38" s="552"/>
      <c r="FF38" s="552"/>
      <c r="FG38" s="552"/>
      <c r="FH38" s="552"/>
      <c r="FI38" s="552"/>
      <c r="FJ38" s="552"/>
      <c r="FK38" s="552"/>
      <c r="FL38" s="552"/>
      <c r="FM38" s="552"/>
      <c r="FN38" s="552"/>
      <c r="FO38" s="552"/>
      <c r="FP38" s="552"/>
      <c r="FQ38" s="552"/>
      <c r="FR38" s="552"/>
      <c r="FS38" s="552"/>
      <c r="FT38" s="552"/>
      <c r="FU38" s="552"/>
      <c r="FV38" s="552"/>
      <c r="FW38" s="552"/>
      <c r="FX38" s="552"/>
      <c r="FY38" s="552"/>
      <c r="FZ38" s="552"/>
      <c r="GA38" s="552"/>
      <c r="GB38" s="552"/>
      <c r="GC38" s="552"/>
      <c r="GD38" s="552"/>
      <c r="GE38" s="552"/>
      <c r="GF38" s="552"/>
      <c r="GG38" s="552"/>
      <c r="GH38" s="552"/>
      <c r="GI38" s="552"/>
      <c r="GJ38" s="552"/>
      <c r="GK38" s="552"/>
      <c r="GL38" s="552"/>
      <c r="GM38" s="552"/>
      <c r="GN38" s="552"/>
      <c r="GO38" s="552"/>
      <c r="GP38" s="552"/>
      <c r="GQ38" s="552"/>
      <c r="GR38" s="552"/>
      <c r="GS38" s="552"/>
      <c r="GT38" s="552"/>
      <c r="GU38" s="552"/>
      <c r="GV38" s="552"/>
      <c r="GW38" s="552"/>
      <c r="GX38" s="552"/>
      <c r="GY38" s="552"/>
      <c r="GZ38" s="552"/>
      <c r="HA38" s="552"/>
      <c r="HB38" s="552"/>
      <c r="HC38" s="552"/>
      <c r="HD38" s="552"/>
      <c r="HE38" s="552"/>
      <c r="HF38" s="552"/>
      <c r="HG38" s="552"/>
      <c r="HH38" s="552"/>
      <c r="HI38" s="552"/>
      <c r="HJ38" s="552"/>
      <c r="HK38" s="552"/>
      <c r="HL38" s="552"/>
      <c r="HM38" s="552"/>
      <c r="HN38" s="552"/>
      <c r="HO38" s="552"/>
      <c r="HP38" s="552"/>
      <c r="HQ38" s="552"/>
      <c r="HR38" s="552"/>
      <c r="HS38" s="552"/>
      <c r="HT38" s="155"/>
      <c r="HU38" s="155"/>
      <c r="HV38" s="552"/>
      <c r="HW38" s="552"/>
      <c r="HX38" s="552"/>
      <c r="HY38" s="552"/>
      <c r="HZ38" s="552"/>
      <c r="IA38" s="552"/>
      <c r="IB38" s="552"/>
      <c r="IC38" s="552"/>
      <c r="ID38" s="552"/>
      <c r="IE38" s="552"/>
      <c r="IF38" s="552"/>
      <c r="IG38" s="552"/>
      <c r="IH38" s="552"/>
      <c r="II38" s="552"/>
      <c r="IJ38" s="552"/>
      <c r="IK38" s="552"/>
      <c r="IL38" s="552"/>
      <c r="IM38" s="552"/>
      <c r="IN38" s="552"/>
      <c r="IO38" s="552"/>
      <c r="IP38" s="552"/>
      <c r="IQ38" s="552"/>
      <c r="IR38" s="552"/>
      <c r="IS38" s="552"/>
      <c r="IT38" s="552"/>
      <c r="IU38" s="552"/>
      <c r="IV38" s="552"/>
      <c r="IW38" s="552"/>
      <c r="IX38" s="552"/>
      <c r="IY38" s="552"/>
      <c r="IZ38" s="552"/>
      <c r="JA38" s="552"/>
      <c r="JB38" s="552"/>
      <c r="JC38" s="552"/>
      <c r="JD38" s="552"/>
      <c r="JE38" s="552"/>
      <c r="JF38" s="552"/>
      <c r="JG38" s="552"/>
      <c r="JH38" s="552"/>
      <c r="JI38" s="552"/>
      <c r="JJ38" s="552"/>
      <c r="JK38" s="552"/>
      <c r="JL38" s="552"/>
      <c r="JM38" s="552"/>
      <c r="JN38" s="552"/>
      <c r="JO38" s="552"/>
      <c r="JP38" s="552"/>
      <c r="JQ38" s="552"/>
      <c r="JR38" s="552"/>
      <c r="JS38" s="552"/>
      <c r="JT38" s="552"/>
      <c r="JU38" s="552"/>
      <c r="JV38" s="552"/>
      <c r="JW38" s="552"/>
      <c r="JX38" s="552"/>
      <c r="JY38" s="552"/>
      <c r="JZ38" s="552"/>
      <c r="KA38" s="552"/>
      <c r="KB38" s="552"/>
      <c r="KC38" s="552"/>
      <c r="KD38" s="552"/>
      <c r="KE38" s="552"/>
      <c r="KF38" s="552"/>
      <c r="KG38" s="552"/>
      <c r="KH38" s="552"/>
      <c r="KI38" s="552"/>
      <c r="KJ38" s="552"/>
      <c r="KK38" s="552"/>
      <c r="KL38" s="552"/>
      <c r="KM38" s="552"/>
      <c r="KN38" s="552"/>
      <c r="KO38" s="552"/>
      <c r="KP38" s="552"/>
      <c r="KQ38" s="552"/>
      <c r="KR38" s="155"/>
      <c r="KS38" s="155"/>
      <c r="KT38" s="136"/>
      <c r="KU38" s="136"/>
      <c r="KV38" s="1120"/>
      <c r="KW38" s="1120"/>
      <c r="KX38" s="1120"/>
      <c r="KY38" s="1120"/>
      <c r="KZ38" s="1120"/>
      <c r="LA38" s="1120"/>
      <c r="LB38" s="1120"/>
      <c r="LC38" s="1120"/>
      <c r="LD38" s="1120"/>
      <c r="LE38" s="1120"/>
      <c r="LF38" s="1120"/>
      <c r="LG38" s="1120"/>
      <c r="LH38" s="1120"/>
      <c r="LI38" s="1120"/>
      <c r="LJ38" s="1120"/>
      <c r="LK38" s="1120"/>
      <c r="LL38" s="1120"/>
      <c r="LM38" s="1120"/>
      <c r="LN38" s="1120"/>
      <c r="LO38" s="1120"/>
      <c r="LP38" s="1120"/>
      <c r="LQ38" s="1120"/>
      <c r="LR38" s="1120"/>
      <c r="LS38" s="1120"/>
      <c r="LT38" s="1120"/>
      <c r="LV38" s="1122"/>
      <c r="LW38" s="1122"/>
      <c r="LX38" s="1122"/>
      <c r="LY38" s="1122"/>
      <c r="MA38" s="1122"/>
      <c r="MB38" s="1122"/>
      <c r="MC38" s="1122"/>
      <c r="MD38" s="1122"/>
      <c r="ME38" s="1122"/>
      <c r="MF38" s="1122"/>
      <c r="MG38" s="1122"/>
      <c r="MH38" s="1122"/>
      <c r="MI38" s="1122"/>
      <c r="MK38" s="1122"/>
      <c r="ML38" s="1122"/>
      <c r="MM38" s="1122"/>
      <c r="MN38" s="1122"/>
      <c r="MO38" s="1122"/>
      <c r="MQ38" s="1122"/>
      <c r="MR38" s="1122"/>
      <c r="MS38" s="1122"/>
      <c r="MT38" s="1122"/>
      <c r="MU38" s="1122"/>
      <c r="MV38" s="1122"/>
      <c r="MW38" s="1122"/>
      <c r="MX38" s="1122"/>
      <c r="MY38" s="1122"/>
      <c r="MZ38" s="1122"/>
      <c r="NA38" s="1122"/>
      <c r="NB38" s="1122"/>
      <c r="NC38" s="1122"/>
      <c r="ND38" s="1122"/>
      <c r="NE38" s="1122"/>
      <c r="NF38" s="1122"/>
      <c r="NG38" s="1122"/>
      <c r="NH38" s="1122"/>
      <c r="NI38" s="1122"/>
      <c r="NJ38" s="1122"/>
      <c r="NK38" s="1122"/>
      <c r="NL38" s="1122"/>
      <c r="NM38" s="1122"/>
      <c r="NN38" s="1122"/>
      <c r="NP38" s="155"/>
      <c r="NQ38" s="155"/>
      <c r="QN38" s="155"/>
      <c r="QO38" s="155"/>
      <c r="TL38" s="155"/>
    </row>
    <row r="39" spans="1:532" ht="6.75" customHeight="1" x14ac:dyDescent="0.25">
      <c r="A39" s="155"/>
      <c r="B39" s="512"/>
      <c r="C39" s="1183"/>
      <c r="D39" s="1184"/>
      <c r="E39" s="1184"/>
      <c r="F39" s="1184"/>
      <c r="G39" s="1184"/>
      <c r="H39" s="1184"/>
      <c r="I39" s="1184"/>
      <c r="J39" s="1184"/>
      <c r="K39" s="1184"/>
      <c r="L39" s="1184"/>
      <c r="M39" s="1184"/>
      <c r="N39" s="1184"/>
      <c r="O39" s="1184"/>
      <c r="P39" s="1184"/>
      <c r="Q39" s="1184"/>
      <c r="R39" s="1184"/>
      <c r="S39" s="1184"/>
      <c r="T39" s="1184"/>
      <c r="U39" s="1184"/>
      <c r="V39" s="1184"/>
      <c r="W39" s="1184"/>
      <c r="X39" s="1184"/>
      <c r="Y39" s="1184"/>
      <c r="Z39" s="1184"/>
      <c r="AA39" s="1184"/>
      <c r="AB39" s="1184"/>
      <c r="AC39" s="1184"/>
      <c r="AD39" s="1184"/>
      <c r="AE39" s="1184"/>
      <c r="AF39" s="1184"/>
      <c r="AG39" s="1184"/>
      <c r="AH39" s="1184"/>
      <c r="AI39" s="1184"/>
      <c r="AJ39" s="1184"/>
      <c r="AK39" s="1184"/>
      <c r="AL39" s="1185"/>
      <c r="AN39" s="507"/>
      <c r="BW39" s="513"/>
      <c r="BX39" s="155"/>
      <c r="BY39" s="155"/>
      <c r="BZ39" s="150"/>
      <c r="CA39" s="1234"/>
      <c r="CB39" s="1234"/>
      <c r="CC39" s="1234"/>
      <c r="CD39" s="1234"/>
      <c r="CE39" s="1234"/>
      <c r="CF39" s="1234"/>
      <c r="CG39" s="1234"/>
      <c r="CH39" s="1234"/>
      <c r="CI39" s="1234"/>
      <c r="CJ39" s="1234"/>
      <c r="CK39" s="1234"/>
      <c r="CL39" s="1234"/>
      <c r="CM39" s="1234"/>
      <c r="CN39" s="1234"/>
      <c r="CO39" s="1234"/>
      <c r="CP39" s="1234"/>
      <c r="CQ39" s="1234"/>
      <c r="CR39" s="1234"/>
      <c r="CS39" s="1234"/>
      <c r="CT39" s="1234"/>
      <c r="CU39" s="1234"/>
      <c r="CV39" s="1234"/>
      <c r="CW39" s="1234"/>
      <c r="CX39" s="1234"/>
      <c r="CZ39" s="1119"/>
      <c r="DA39" s="1119"/>
      <c r="DB39" s="1119"/>
      <c r="DC39" s="1119"/>
      <c r="DD39" s="1119"/>
      <c r="DE39" s="1119"/>
      <c r="DF39" s="1119"/>
      <c r="DG39" s="1119"/>
      <c r="DH39" s="1119"/>
      <c r="DI39" s="1119"/>
      <c r="DJ39" s="1119"/>
      <c r="DK39" s="1119"/>
      <c r="DL39" s="1119"/>
      <c r="DM39" s="1119"/>
      <c r="DN39" s="1119"/>
      <c r="DO39" s="1119"/>
      <c r="DP39" s="1119"/>
      <c r="DQ39" s="1119"/>
      <c r="DR39" s="1119"/>
      <c r="DS39" s="1119"/>
      <c r="DT39" s="1119"/>
      <c r="DU39" s="1119"/>
      <c r="DV39" s="1119"/>
      <c r="DW39" s="1119"/>
      <c r="DY39" s="1121"/>
      <c r="DZ39" s="1121"/>
      <c r="EA39" s="1121"/>
      <c r="EB39" s="1121"/>
      <c r="EC39" s="1121"/>
      <c r="ED39" s="1121"/>
      <c r="EE39" s="1121"/>
      <c r="EF39" s="1121"/>
      <c r="EG39" s="1121"/>
      <c r="EH39" s="1121"/>
      <c r="EI39" s="1121"/>
      <c r="EJ39" s="1121"/>
      <c r="EK39" s="1121"/>
      <c r="EL39" s="1121"/>
      <c r="EM39" s="1121"/>
      <c r="EN39" s="1121"/>
      <c r="EO39" s="1121"/>
      <c r="EP39" s="1121"/>
      <c r="EQ39" s="1121"/>
      <c r="ER39" s="1121"/>
      <c r="ES39" s="1121"/>
      <c r="ET39" s="1121"/>
      <c r="EU39" s="1121"/>
      <c r="EW39" s="155"/>
      <c r="EX39" s="552"/>
      <c r="EY39" s="552"/>
      <c r="EZ39" s="552"/>
      <c r="FA39" s="552"/>
      <c r="FB39" s="552"/>
      <c r="FC39" s="552"/>
      <c r="FD39" s="552"/>
      <c r="FE39" s="552"/>
      <c r="FF39" s="552"/>
      <c r="FG39" s="552"/>
      <c r="FH39" s="552"/>
      <c r="FI39" s="552"/>
      <c r="FJ39" s="552"/>
      <c r="FK39" s="552"/>
      <c r="FL39" s="552"/>
      <c r="FM39" s="552"/>
      <c r="FN39" s="552"/>
      <c r="FO39" s="552"/>
      <c r="FP39" s="552"/>
      <c r="FQ39" s="552"/>
      <c r="FR39" s="552"/>
      <c r="FS39" s="552"/>
      <c r="FT39" s="552"/>
      <c r="FU39" s="552"/>
      <c r="FV39" s="552"/>
      <c r="FW39" s="552"/>
      <c r="FX39" s="552"/>
      <c r="FY39" s="552"/>
      <c r="FZ39" s="552"/>
      <c r="GA39" s="552"/>
      <c r="GB39" s="552"/>
      <c r="GC39" s="552"/>
      <c r="GD39" s="552"/>
      <c r="GE39" s="552"/>
      <c r="GF39" s="552"/>
      <c r="GG39" s="552"/>
      <c r="GH39" s="552"/>
      <c r="GI39" s="552"/>
      <c r="GJ39" s="552"/>
      <c r="GK39" s="552"/>
      <c r="GL39" s="552"/>
      <c r="GM39" s="552"/>
      <c r="GN39" s="552"/>
      <c r="GO39" s="552"/>
      <c r="GP39" s="552"/>
      <c r="GQ39" s="552"/>
      <c r="GR39" s="552"/>
      <c r="GS39" s="552"/>
      <c r="GT39" s="552"/>
      <c r="GU39" s="552"/>
      <c r="GV39" s="552"/>
      <c r="GW39" s="552"/>
      <c r="GX39" s="552"/>
      <c r="GY39" s="552"/>
      <c r="GZ39" s="552"/>
      <c r="HA39" s="552"/>
      <c r="HB39" s="552"/>
      <c r="HC39" s="552"/>
      <c r="HD39" s="552"/>
      <c r="HE39" s="552"/>
      <c r="HF39" s="552"/>
      <c r="HG39" s="552"/>
      <c r="HH39" s="552"/>
      <c r="HI39" s="552"/>
      <c r="HJ39" s="552"/>
      <c r="HK39" s="552"/>
      <c r="HL39" s="552"/>
      <c r="HM39" s="552"/>
      <c r="HN39" s="552"/>
      <c r="HO39" s="552"/>
      <c r="HP39" s="552"/>
      <c r="HQ39" s="552"/>
      <c r="HR39" s="552"/>
      <c r="HS39" s="552"/>
      <c r="HT39" s="155"/>
      <c r="HU39" s="155"/>
      <c r="HV39" s="552"/>
      <c r="HW39" s="552"/>
      <c r="HX39" s="552"/>
      <c r="HY39" s="552"/>
      <c r="HZ39" s="552"/>
      <c r="IA39" s="552"/>
      <c r="IB39" s="552"/>
      <c r="IC39" s="552"/>
      <c r="ID39" s="552"/>
      <c r="IE39" s="552"/>
      <c r="IF39" s="552"/>
      <c r="IG39" s="552"/>
      <c r="IH39" s="552"/>
      <c r="II39" s="552"/>
      <c r="IJ39" s="552"/>
      <c r="IK39" s="552"/>
      <c r="IL39" s="552"/>
      <c r="IM39" s="552"/>
      <c r="IN39" s="552"/>
      <c r="IO39" s="552"/>
      <c r="IP39" s="552"/>
      <c r="IQ39" s="552"/>
      <c r="IR39" s="552"/>
      <c r="IS39" s="552"/>
      <c r="IT39" s="552"/>
      <c r="IU39" s="552"/>
      <c r="IV39" s="552"/>
      <c r="IW39" s="552"/>
      <c r="IX39" s="552"/>
      <c r="IY39" s="552"/>
      <c r="IZ39" s="552"/>
      <c r="JA39" s="552"/>
      <c r="JB39" s="552"/>
      <c r="JC39" s="552"/>
      <c r="JD39" s="552"/>
      <c r="JE39" s="552"/>
      <c r="JF39" s="552"/>
      <c r="JG39" s="552"/>
      <c r="JH39" s="552"/>
      <c r="JI39" s="552"/>
      <c r="JJ39" s="552"/>
      <c r="JK39" s="552"/>
      <c r="JL39" s="552"/>
      <c r="JM39" s="552"/>
      <c r="JN39" s="552"/>
      <c r="JO39" s="552"/>
      <c r="JP39" s="552"/>
      <c r="JQ39" s="552"/>
      <c r="JR39" s="552"/>
      <c r="JS39" s="552"/>
      <c r="JT39" s="552"/>
      <c r="JU39" s="552"/>
      <c r="JV39" s="552"/>
      <c r="JW39" s="552"/>
      <c r="JX39" s="552"/>
      <c r="JY39" s="552"/>
      <c r="JZ39" s="552"/>
      <c r="KA39" s="552"/>
      <c r="KB39" s="552"/>
      <c r="KC39" s="552"/>
      <c r="KD39" s="552"/>
      <c r="KE39" s="552"/>
      <c r="KF39" s="552"/>
      <c r="KG39" s="552"/>
      <c r="KH39" s="552"/>
      <c r="KI39" s="552"/>
      <c r="KJ39" s="552"/>
      <c r="KK39" s="552"/>
      <c r="KL39" s="552"/>
      <c r="KM39" s="552"/>
      <c r="KN39" s="552"/>
      <c r="KO39" s="552"/>
      <c r="KP39" s="552"/>
      <c r="KQ39" s="552"/>
      <c r="KR39" s="155"/>
      <c r="KS39" s="155"/>
      <c r="KT39" s="136"/>
      <c r="KU39" s="136"/>
      <c r="KV39" s="1121"/>
      <c r="KW39" s="1121"/>
      <c r="KX39" s="1121"/>
      <c r="KY39" s="1121"/>
      <c r="KZ39" s="1121"/>
      <c r="LA39" s="1121"/>
      <c r="LB39" s="1121"/>
      <c r="LC39" s="1121"/>
      <c r="LD39" s="1121"/>
      <c r="LE39" s="1121"/>
      <c r="LF39" s="1121"/>
      <c r="LG39" s="1121"/>
      <c r="LH39" s="1121"/>
      <c r="LI39" s="1121"/>
      <c r="LJ39" s="1121"/>
      <c r="LK39" s="1121"/>
      <c r="LL39" s="1121"/>
      <c r="LM39" s="1121"/>
      <c r="LN39" s="1121"/>
      <c r="LO39" s="1121"/>
      <c r="LP39" s="1121"/>
      <c r="LQ39" s="1121"/>
      <c r="LR39" s="1121"/>
      <c r="LS39" s="1121"/>
      <c r="LT39" s="1121"/>
      <c r="LV39" s="1123"/>
      <c r="LW39" s="1123"/>
      <c r="LX39" s="1123"/>
      <c r="LY39" s="1123"/>
      <c r="MA39" s="1123"/>
      <c r="MB39" s="1123"/>
      <c r="MC39" s="1123"/>
      <c r="MD39" s="1123"/>
      <c r="ME39" s="1123"/>
      <c r="MF39" s="1123"/>
      <c r="MG39" s="1123"/>
      <c r="MH39" s="1123"/>
      <c r="MI39" s="1123"/>
      <c r="MK39" s="1123"/>
      <c r="ML39" s="1123"/>
      <c r="MM39" s="1123"/>
      <c r="MN39" s="1123"/>
      <c r="MO39" s="1123"/>
      <c r="MQ39" s="1123"/>
      <c r="MR39" s="1123"/>
      <c r="MS39" s="1123"/>
      <c r="MT39" s="1123"/>
      <c r="MU39" s="1123"/>
      <c r="MV39" s="1123"/>
      <c r="MW39" s="1123"/>
      <c r="MX39" s="1123"/>
      <c r="MY39" s="1123"/>
      <c r="MZ39" s="1123"/>
      <c r="NA39" s="1123"/>
      <c r="NB39" s="1123"/>
      <c r="NC39" s="1123"/>
      <c r="ND39" s="1123"/>
      <c r="NE39" s="1123"/>
      <c r="NF39" s="1123"/>
      <c r="NG39" s="1123"/>
      <c r="NH39" s="1123"/>
      <c r="NI39" s="1123"/>
      <c r="NJ39" s="1123"/>
      <c r="NK39" s="1123"/>
      <c r="NL39" s="1123"/>
      <c r="NM39" s="1123"/>
      <c r="NN39" s="1123"/>
      <c r="NP39" s="155"/>
      <c r="NQ39" s="155"/>
      <c r="QN39" s="155"/>
      <c r="QO39" s="155"/>
      <c r="TL39" s="155"/>
    </row>
    <row r="40" spans="1:532" ht="6.75" customHeight="1" x14ac:dyDescent="0.25">
      <c r="A40" s="155"/>
      <c r="B40" s="512"/>
      <c r="C40" s="1183"/>
      <c r="D40" s="1184"/>
      <c r="E40" s="1184"/>
      <c r="F40" s="1184"/>
      <c r="G40" s="1184"/>
      <c r="H40" s="1184"/>
      <c r="I40" s="1184"/>
      <c r="J40" s="1184"/>
      <c r="K40" s="1184"/>
      <c r="L40" s="1184"/>
      <c r="M40" s="1184"/>
      <c r="N40" s="1184"/>
      <c r="O40" s="1184"/>
      <c r="P40" s="1184"/>
      <c r="Q40" s="1184"/>
      <c r="R40" s="1184"/>
      <c r="S40" s="1184"/>
      <c r="T40" s="1184"/>
      <c r="U40" s="1184"/>
      <c r="V40" s="1184"/>
      <c r="W40" s="1184"/>
      <c r="X40" s="1184"/>
      <c r="Y40" s="1184"/>
      <c r="Z40" s="1184"/>
      <c r="AA40" s="1184"/>
      <c r="AB40" s="1184"/>
      <c r="AC40" s="1184"/>
      <c r="AD40" s="1184"/>
      <c r="AE40" s="1184"/>
      <c r="AF40" s="1184"/>
      <c r="AG40" s="1184"/>
      <c r="AH40" s="1184"/>
      <c r="AI40" s="1184"/>
      <c r="AJ40" s="1184"/>
      <c r="AK40" s="1184"/>
      <c r="AL40" s="1185"/>
      <c r="AM40" s="507"/>
      <c r="AN40" s="507"/>
      <c r="BW40" s="513"/>
      <c r="BX40" s="155"/>
      <c r="BY40" s="155"/>
      <c r="BZ40" s="150"/>
      <c r="CA40" s="1234"/>
      <c r="CB40" s="1234"/>
      <c r="CC40" s="1234"/>
      <c r="CD40" s="1234"/>
      <c r="CE40" s="1234"/>
      <c r="CF40" s="1234"/>
      <c r="CG40" s="1234"/>
      <c r="CH40" s="1234"/>
      <c r="CI40" s="1234"/>
      <c r="CJ40" s="1234"/>
      <c r="CK40" s="1234"/>
      <c r="CL40" s="1234"/>
      <c r="CM40" s="1234"/>
      <c r="CN40" s="1234"/>
      <c r="CO40" s="1234"/>
      <c r="CP40" s="1234"/>
      <c r="CQ40" s="1234"/>
      <c r="CR40" s="1234"/>
      <c r="CS40" s="1234"/>
      <c r="CT40" s="1234"/>
      <c r="CU40" s="1234"/>
      <c r="CV40" s="1234"/>
      <c r="CW40" s="1234"/>
      <c r="CX40" s="1234"/>
      <c r="CZ40" s="1119"/>
      <c r="DA40" s="1119"/>
      <c r="DB40" s="1119"/>
      <c r="DC40" s="1119"/>
      <c r="DD40" s="1119"/>
      <c r="DE40" s="1119"/>
      <c r="DF40" s="1119"/>
      <c r="DG40" s="1119"/>
      <c r="DH40" s="1119"/>
      <c r="DI40" s="1119"/>
      <c r="DJ40" s="1119"/>
      <c r="DK40" s="1119"/>
      <c r="DL40" s="1119"/>
      <c r="DM40" s="1119"/>
      <c r="DN40" s="1119"/>
      <c r="DO40" s="1119"/>
      <c r="DP40" s="1119"/>
      <c r="DQ40" s="1119"/>
      <c r="DR40" s="1119"/>
      <c r="DS40" s="1119"/>
      <c r="DT40" s="1119"/>
      <c r="DU40" s="1119"/>
      <c r="DV40" s="1119"/>
      <c r="DW40" s="1119"/>
      <c r="DY40" s="1120"/>
      <c r="DZ40" s="1120"/>
      <c r="EA40" s="1120"/>
      <c r="EB40" s="1120"/>
      <c r="EC40" s="1120"/>
      <c r="ED40" s="1120"/>
      <c r="EE40" s="1120"/>
      <c r="EF40" s="1120"/>
      <c r="EG40" s="1120"/>
      <c r="EH40" s="1120"/>
      <c r="EI40" s="1120"/>
      <c r="EJ40" s="1120"/>
      <c r="EK40" s="1120"/>
      <c r="EL40" s="1120"/>
      <c r="EM40" s="1120"/>
      <c r="EN40" s="1120"/>
      <c r="EO40" s="1120"/>
      <c r="EP40" s="1120"/>
      <c r="EQ40" s="1120"/>
      <c r="ER40" s="1120"/>
      <c r="ES40" s="1120"/>
      <c r="ET40" s="1120"/>
      <c r="EU40" s="1120"/>
      <c r="EW40" s="155"/>
      <c r="EX40" s="552"/>
      <c r="EY40" s="552"/>
      <c r="EZ40" s="552"/>
      <c r="FA40" s="552"/>
      <c r="FB40" s="552"/>
      <c r="FC40" s="552"/>
      <c r="FD40" s="552"/>
      <c r="FE40" s="552"/>
      <c r="FF40" s="552"/>
      <c r="FG40" s="552"/>
      <c r="FH40" s="552"/>
      <c r="FI40" s="552"/>
      <c r="FJ40" s="552"/>
      <c r="FK40" s="552"/>
      <c r="FL40" s="552"/>
      <c r="FM40" s="552"/>
      <c r="FN40" s="552"/>
      <c r="FO40" s="552"/>
      <c r="FP40" s="552"/>
      <c r="FQ40" s="552"/>
      <c r="FR40" s="552"/>
      <c r="FS40" s="552"/>
      <c r="FT40" s="552"/>
      <c r="FU40" s="552"/>
      <c r="FV40" s="552"/>
      <c r="FW40" s="552"/>
      <c r="FX40" s="552"/>
      <c r="FY40" s="552"/>
      <c r="FZ40" s="552"/>
      <c r="GA40" s="552"/>
      <c r="GB40" s="552"/>
      <c r="GC40" s="552"/>
      <c r="GD40" s="552"/>
      <c r="GE40" s="552"/>
      <c r="GF40" s="552"/>
      <c r="GG40" s="552"/>
      <c r="GH40" s="552"/>
      <c r="GI40" s="552"/>
      <c r="GJ40" s="552"/>
      <c r="GK40" s="552"/>
      <c r="GL40" s="552"/>
      <c r="GM40" s="552"/>
      <c r="GN40" s="552"/>
      <c r="GO40" s="552"/>
      <c r="GP40" s="552"/>
      <c r="GQ40" s="552"/>
      <c r="GR40" s="552"/>
      <c r="GS40" s="552"/>
      <c r="GT40" s="552"/>
      <c r="GU40" s="552"/>
      <c r="GV40" s="552"/>
      <c r="GW40" s="552"/>
      <c r="GX40" s="552"/>
      <c r="GY40" s="552"/>
      <c r="GZ40" s="552"/>
      <c r="HA40" s="552"/>
      <c r="HB40" s="552"/>
      <c r="HC40" s="552"/>
      <c r="HD40" s="552"/>
      <c r="HE40" s="552"/>
      <c r="HF40" s="552"/>
      <c r="HG40" s="552"/>
      <c r="HH40" s="552"/>
      <c r="HI40" s="552"/>
      <c r="HJ40" s="552"/>
      <c r="HK40" s="552"/>
      <c r="HL40" s="552"/>
      <c r="HM40" s="552"/>
      <c r="HN40" s="552"/>
      <c r="HO40" s="552"/>
      <c r="HP40" s="552"/>
      <c r="HQ40" s="552"/>
      <c r="HR40" s="552"/>
      <c r="HS40" s="552"/>
      <c r="HT40" s="155"/>
      <c r="HU40" s="155"/>
      <c r="HV40" s="552"/>
      <c r="HW40" s="552"/>
      <c r="HX40" s="552"/>
      <c r="HY40" s="552"/>
      <c r="HZ40" s="552"/>
      <c r="IA40" s="552"/>
      <c r="IB40" s="552"/>
      <c r="IC40" s="552"/>
      <c r="ID40" s="552"/>
      <c r="IE40" s="552"/>
      <c r="IF40" s="552"/>
      <c r="IG40" s="552"/>
      <c r="IH40" s="552"/>
      <c r="II40" s="552"/>
      <c r="IJ40" s="552"/>
      <c r="IK40" s="552"/>
      <c r="IL40" s="552"/>
      <c r="IM40" s="552"/>
      <c r="IN40" s="552"/>
      <c r="IO40" s="552"/>
      <c r="IP40" s="552"/>
      <c r="IQ40" s="552"/>
      <c r="IR40" s="552"/>
      <c r="IS40" s="552"/>
      <c r="IT40" s="552"/>
      <c r="IU40" s="552"/>
      <c r="IV40" s="552"/>
      <c r="IW40" s="552"/>
      <c r="IX40" s="552"/>
      <c r="IY40" s="552"/>
      <c r="IZ40" s="552"/>
      <c r="JA40" s="552"/>
      <c r="JB40" s="552"/>
      <c r="JC40" s="552"/>
      <c r="JD40" s="552"/>
      <c r="JE40" s="552"/>
      <c r="JF40" s="552"/>
      <c r="JG40" s="552"/>
      <c r="JH40" s="552"/>
      <c r="JI40" s="552"/>
      <c r="JJ40" s="552"/>
      <c r="JK40" s="552"/>
      <c r="JL40" s="552"/>
      <c r="JM40" s="552"/>
      <c r="JN40" s="552"/>
      <c r="JO40" s="552"/>
      <c r="JP40" s="552"/>
      <c r="JQ40" s="552"/>
      <c r="JR40" s="552"/>
      <c r="JS40" s="552"/>
      <c r="JT40" s="552"/>
      <c r="JU40" s="552"/>
      <c r="JV40" s="552"/>
      <c r="JW40" s="552"/>
      <c r="JX40" s="552"/>
      <c r="JY40" s="552"/>
      <c r="JZ40" s="552"/>
      <c r="KA40" s="552"/>
      <c r="KB40" s="552"/>
      <c r="KC40" s="552"/>
      <c r="KD40" s="552"/>
      <c r="KE40" s="552"/>
      <c r="KF40" s="552"/>
      <c r="KG40" s="552"/>
      <c r="KH40" s="552"/>
      <c r="KI40" s="552"/>
      <c r="KJ40" s="552"/>
      <c r="KK40" s="552"/>
      <c r="KL40" s="552"/>
      <c r="KM40" s="552"/>
      <c r="KN40" s="552"/>
      <c r="KO40" s="552"/>
      <c r="KP40" s="552"/>
      <c r="KQ40" s="552"/>
      <c r="KR40" s="155"/>
      <c r="KS40" s="155"/>
      <c r="KT40" s="136"/>
      <c r="KU40" s="136"/>
      <c r="KV40" s="1120"/>
      <c r="KW40" s="1120"/>
      <c r="KX40" s="1120"/>
      <c r="KY40" s="1120"/>
      <c r="KZ40" s="1120"/>
      <c r="LA40" s="1120"/>
      <c r="LB40" s="1120"/>
      <c r="LC40" s="1120"/>
      <c r="LD40" s="1120"/>
      <c r="LE40" s="1120"/>
      <c r="LF40" s="1120"/>
      <c r="LG40" s="1120"/>
      <c r="LH40" s="1120"/>
      <c r="LI40" s="1120"/>
      <c r="LJ40" s="1120"/>
      <c r="LK40" s="1120"/>
      <c r="LL40" s="1120"/>
      <c r="LM40" s="1120"/>
      <c r="LN40" s="1120"/>
      <c r="LO40" s="1120"/>
      <c r="LP40" s="1120"/>
      <c r="LQ40" s="1120"/>
      <c r="LR40" s="1120"/>
      <c r="LS40" s="1120"/>
      <c r="LT40" s="1120"/>
      <c r="LV40" s="1122"/>
      <c r="LW40" s="1122"/>
      <c r="LX40" s="1122"/>
      <c r="LY40" s="1122"/>
      <c r="MA40" s="1122"/>
      <c r="MB40" s="1122"/>
      <c r="MC40" s="1122"/>
      <c r="MD40" s="1122"/>
      <c r="ME40" s="1122"/>
      <c r="MF40" s="1122"/>
      <c r="MG40" s="1122"/>
      <c r="MH40" s="1122"/>
      <c r="MI40" s="1122"/>
      <c r="MK40" s="1122"/>
      <c r="ML40" s="1122"/>
      <c r="MM40" s="1122"/>
      <c r="MN40" s="1122"/>
      <c r="MO40" s="1122"/>
      <c r="MQ40" s="1122"/>
      <c r="MR40" s="1122"/>
      <c r="MS40" s="1122"/>
      <c r="MT40" s="1122"/>
      <c r="MU40" s="1122"/>
      <c r="MV40" s="1122"/>
      <c r="MW40" s="1122"/>
      <c r="MX40" s="1122"/>
      <c r="MY40" s="1122"/>
      <c r="MZ40" s="1122"/>
      <c r="NA40" s="1122"/>
      <c r="NB40" s="1122"/>
      <c r="NC40" s="1122"/>
      <c r="ND40" s="1122"/>
      <c r="NE40" s="1122"/>
      <c r="NF40" s="1122"/>
      <c r="NG40" s="1122"/>
      <c r="NH40" s="1122"/>
      <c r="NI40" s="1122"/>
      <c r="NJ40" s="1122"/>
      <c r="NK40" s="1122"/>
      <c r="NL40" s="1122"/>
      <c r="NM40" s="1122"/>
      <c r="NN40" s="1122"/>
      <c r="NP40" s="155"/>
      <c r="NQ40" s="155"/>
      <c r="QN40" s="155"/>
      <c r="QO40" s="155"/>
      <c r="TL40" s="155"/>
    </row>
    <row r="41" spans="1:532" ht="6.75" customHeight="1" x14ac:dyDescent="0.25">
      <c r="A41" s="155"/>
      <c r="B41" s="512"/>
      <c r="C41" s="1183"/>
      <c r="D41" s="1184"/>
      <c r="E41" s="1184"/>
      <c r="F41" s="1184"/>
      <c r="G41" s="1184"/>
      <c r="H41" s="1184"/>
      <c r="I41" s="1184"/>
      <c r="J41" s="1184"/>
      <c r="K41" s="1184"/>
      <c r="L41" s="1184"/>
      <c r="M41" s="1184"/>
      <c r="N41" s="1184"/>
      <c r="O41" s="1184"/>
      <c r="P41" s="1184"/>
      <c r="Q41" s="1184"/>
      <c r="R41" s="1184"/>
      <c r="S41" s="1184"/>
      <c r="T41" s="1184"/>
      <c r="U41" s="1184"/>
      <c r="V41" s="1184"/>
      <c r="W41" s="1184"/>
      <c r="X41" s="1184"/>
      <c r="Y41" s="1184"/>
      <c r="Z41" s="1184"/>
      <c r="AA41" s="1184"/>
      <c r="AB41" s="1184"/>
      <c r="AC41" s="1184"/>
      <c r="AD41" s="1184"/>
      <c r="AE41" s="1184"/>
      <c r="AF41" s="1184"/>
      <c r="AG41" s="1184"/>
      <c r="AH41" s="1184"/>
      <c r="AI41" s="1184"/>
      <c r="AJ41" s="1184"/>
      <c r="AK41" s="1184"/>
      <c r="AL41" s="1185"/>
      <c r="AM41" s="507"/>
      <c r="AN41" s="507"/>
      <c r="AO41" s="508"/>
      <c r="AP41" s="508"/>
      <c r="AQ41" s="508"/>
      <c r="AR41" s="508"/>
      <c r="AS41" s="508"/>
      <c r="AT41" s="508"/>
      <c r="AU41" s="508"/>
      <c r="AV41" s="508"/>
      <c r="AW41" s="508"/>
      <c r="AX41" s="508"/>
      <c r="AY41" s="508"/>
      <c r="AZ41" s="508"/>
      <c r="BA41" s="508"/>
      <c r="BB41" s="508"/>
      <c r="BC41" s="508"/>
      <c r="BD41" s="508"/>
      <c r="BE41" s="508"/>
      <c r="BF41" s="508"/>
      <c r="BG41" s="508"/>
      <c r="BH41" s="508"/>
      <c r="BI41" s="508"/>
      <c r="BJ41" s="508"/>
      <c r="BK41" s="508"/>
      <c r="BL41" s="508"/>
      <c r="BM41" s="508"/>
      <c r="BN41" s="508"/>
      <c r="BO41" s="508"/>
      <c r="BP41" s="508"/>
      <c r="BQ41" s="508"/>
      <c r="BR41" s="508"/>
      <c r="BS41" s="508"/>
      <c r="BT41" s="508"/>
      <c r="BU41" s="508"/>
      <c r="BV41" s="508"/>
      <c r="BW41" s="513"/>
      <c r="BX41" s="155"/>
      <c r="BY41" s="155"/>
      <c r="BZ41" s="150"/>
      <c r="CA41" s="1234"/>
      <c r="CB41" s="1234"/>
      <c r="CC41" s="1234"/>
      <c r="CD41" s="1234"/>
      <c r="CE41" s="1234"/>
      <c r="CF41" s="1234"/>
      <c r="CG41" s="1234"/>
      <c r="CH41" s="1234"/>
      <c r="CI41" s="1234"/>
      <c r="CJ41" s="1234"/>
      <c r="CK41" s="1234"/>
      <c r="CL41" s="1234"/>
      <c r="CM41" s="1234"/>
      <c r="CN41" s="1234"/>
      <c r="CO41" s="1234"/>
      <c r="CP41" s="1234"/>
      <c r="CQ41" s="1234"/>
      <c r="CR41" s="1234"/>
      <c r="CS41" s="1234"/>
      <c r="CT41" s="1234"/>
      <c r="CU41" s="1234"/>
      <c r="CV41" s="1234"/>
      <c r="CW41" s="1234"/>
      <c r="CX41" s="1234"/>
      <c r="CZ41" s="1119"/>
      <c r="DA41" s="1119"/>
      <c r="DB41" s="1119"/>
      <c r="DC41" s="1119"/>
      <c r="DD41" s="1119"/>
      <c r="DE41" s="1119"/>
      <c r="DF41" s="1119"/>
      <c r="DG41" s="1119"/>
      <c r="DH41" s="1119"/>
      <c r="DI41" s="1119"/>
      <c r="DJ41" s="1119"/>
      <c r="DK41" s="1119"/>
      <c r="DL41" s="1119"/>
      <c r="DM41" s="1119"/>
      <c r="DN41" s="1119"/>
      <c r="DO41" s="1119"/>
      <c r="DP41" s="1119"/>
      <c r="DQ41" s="1119"/>
      <c r="DR41" s="1119"/>
      <c r="DS41" s="1119"/>
      <c r="DT41" s="1119"/>
      <c r="DU41" s="1119"/>
      <c r="DV41" s="1119"/>
      <c r="DW41" s="1119"/>
      <c r="DY41" s="1121"/>
      <c r="DZ41" s="1121"/>
      <c r="EA41" s="1121"/>
      <c r="EB41" s="1121"/>
      <c r="EC41" s="1121"/>
      <c r="ED41" s="1121"/>
      <c r="EE41" s="1121"/>
      <c r="EF41" s="1121"/>
      <c r="EG41" s="1121"/>
      <c r="EH41" s="1121"/>
      <c r="EI41" s="1121"/>
      <c r="EJ41" s="1121"/>
      <c r="EK41" s="1121"/>
      <c r="EL41" s="1121"/>
      <c r="EM41" s="1121"/>
      <c r="EN41" s="1121"/>
      <c r="EO41" s="1121"/>
      <c r="EP41" s="1121"/>
      <c r="EQ41" s="1121"/>
      <c r="ER41" s="1121"/>
      <c r="ES41" s="1121"/>
      <c r="ET41" s="1121"/>
      <c r="EU41" s="1121"/>
      <c r="EW41" s="155"/>
      <c r="EX41" s="552"/>
      <c r="EY41" s="552"/>
      <c r="EZ41" s="552"/>
      <c r="FA41" s="552"/>
      <c r="FB41" s="552"/>
      <c r="FC41" s="552"/>
      <c r="FD41" s="552"/>
      <c r="FE41" s="552"/>
      <c r="FF41" s="552"/>
      <c r="FG41" s="552"/>
      <c r="FH41" s="552"/>
      <c r="FI41" s="552"/>
      <c r="FJ41" s="552"/>
      <c r="FK41" s="552"/>
      <c r="FL41" s="552"/>
      <c r="FM41" s="552"/>
      <c r="FN41" s="552"/>
      <c r="FO41" s="552"/>
      <c r="FP41" s="552"/>
      <c r="FQ41" s="552"/>
      <c r="FR41" s="552"/>
      <c r="FS41" s="552"/>
      <c r="FT41" s="552"/>
      <c r="FU41" s="552"/>
      <c r="FV41" s="552"/>
      <c r="FW41" s="552"/>
      <c r="FX41" s="552"/>
      <c r="FY41" s="552"/>
      <c r="FZ41" s="552"/>
      <c r="GA41" s="552"/>
      <c r="GB41" s="552"/>
      <c r="GC41" s="552"/>
      <c r="GD41" s="552"/>
      <c r="GE41" s="552"/>
      <c r="GF41" s="552"/>
      <c r="GG41" s="552"/>
      <c r="GH41" s="552"/>
      <c r="GI41" s="552"/>
      <c r="GJ41" s="552"/>
      <c r="GK41" s="552"/>
      <c r="GL41" s="552"/>
      <c r="GM41" s="552"/>
      <c r="GN41" s="552"/>
      <c r="GO41" s="552"/>
      <c r="GP41" s="552"/>
      <c r="GQ41" s="552"/>
      <c r="GR41" s="552"/>
      <c r="GS41" s="552"/>
      <c r="GT41" s="552"/>
      <c r="GU41" s="552"/>
      <c r="GV41" s="552"/>
      <c r="GW41" s="552"/>
      <c r="GX41" s="552"/>
      <c r="GY41" s="552"/>
      <c r="GZ41" s="552"/>
      <c r="HA41" s="552"/>
      <c r="HB41" s="552"/>
      <c r="HC41" s="552"/>
      <c r="HD41" s="552"/>
      <c r="HE41" s="552"/>
      <c r="HF41" s="552"/>
      <c r="HG41" s="552"/>
      <c r="HH41" s="552"/>
      <c r="HI41" s="552"/>
      <c r="HJ41" s="552"/>
      <c r="HK41" s="552"/>
      <c r="HL41" s="552"/>
      <c r="HM41" s="552"/>
      <c r="HN41" s="552"/>
      <c r="HO41" s="552"/>
      <c r="HP41" s="552"/>
      <c r="HQ41" s="552"/>
      <c r="HR41" s="552"/>
      <c r="HS41" s="552"/>
      <c r="HT41" s="155"/>
      <c r="HU41" s="155"/>
      <c r="HV41" s="552"/>
      <c r="HW41" s="552"/>
      <c r="HX41" s="552"/>
      <c r="HY41" s="552"/>
      <c r="HZ41" s="552"/>
      <c r="IA41" s="552"/>
      <c r="IB41" s="552"/>
      <c r="IC41" s="552"/>
      <c r="ID41" s="552"/>
      <c r="IE41" s="552"/>
      <c r="IF41" s="552"/>
      <c r="IG41" s="552"/>
      <c r="IH41" s="552"/>
      <c r="II41" s="552"/>
      <c r="IJ41" s="552"/>
      <c r="IK41" s="552"/>
      <c r="IL41" s="552"/>
      <c r="IM41" s="552"/>
      <c r="IN41" s="552"/>
      <c r="IO41" s="552"/>
      <c r="IP41" s="552"/>
      <c r="IQ41" s="552"/>
      <c r="IR41" s="552"/>
      <c r="IS41" s="552"/>
      <c r="IT41" s="552"/>
      <c r="IU41" s="552"/>
      <c r="IV41" s="552"/>
      <c r="IW41" s="552"/>
      <c r="IX41" s="552"/>
      <c r="IY41" s="552"/>
      <c r="IZ41" s="552"/>
      <c r="JA41" s="552"/>
      <c r="JB41" s="552"/>
      <c r="JC41" s="552"/>
      <c r="JD41" s="552"/>
      <c r="JE41" s="552"/>
      <c r="JF41" s="552"/>
      <c r="JG41" s="552"/>
      <c r="JH41" s="552"/>
      <c r="JI41" s="552"/>
      <c r="JJ41" s="552"/>
      <c r="JK41" s="552"/>
      <c r="JL41" s="552"/>
      <c r="JM41" s="552"/>
      <c r="JN41" s="552"/>
      <c r="JO41" s="552"/>
      <c r="JP41" s="552"/>
      <c r="JQ41" s="552"/>
      <c r="JR41" s="552"/>
      <c r="JS41" s="552"/>
      <c r="JT41" s="552"/>
      <c r="JU41" s="552"/>
      <c r="JV41" s="552"/>
      <c r="JW41" s="552"/>
      <c r="JX41" s="552"/>
      <c r="JY41" s="552"/>
      <c r="JZ41" s="552"/>
      <c r="KA41" s="552"/>
      <c r="KB41" s="552"/>
      <c r="KC41" s="552"/>
      <c r="KD41" s="552"/>
      <c r="KE41" s="552"/>
      <c r="KF41" s="552"/>
      <c r="KG41" s="552"/>
      <c r="KH41" s="552"/>
      <c r="KI41" s="552"/>
      <c r="KJ41" s="552"/>
      <c r="KK41" s="552"/>
      <c r="KL41" s="552"/>
      <c r="KM41" s="552"/>
      <c r="KN41" s="552"/>
      <c r="KO41" s="552"/>
      <c r="KP41" s="552"/>
      <c r="KQ41" s="552"/>
      <c r="KR41" s="155"/>
      <c r="KS41" s="155"/>
      <c r="KT41" s="136"/>
      <c r="KU41" s="136"/>
      <c r="KV41" s="1121"/>
      <c r="KW41" s="1121"/>
      <c r="KX41" s="1121"/>
      <c r="KY41" s="1121"/>
      <c r="KZ41" s="1121"/>
      <c r="LA41" s="1121"/>
      <c r="LB41" s="1121"/>
      <c r="LC41" s="1121"/>
      <c r="LD41" s="1121"/>
      <c r="LE41" s="1121"/>
      <c r="LF41" s="1121"/>
      <c r="LG41" s="1121"/>
      <c r="LH41" s="1121"/>
      <c r="LI41" s="1121"/>
      <c r="LJ41" s="1121"/>
      <c r="LK41" s="1121"/>
      <c r="LL41" s="1121"/>
      <c r="LM41" s="1121"/>
      <c r="LN41" s="1121"/>
      <c r="LO41" s="1121"/>
      <c r="LP41" s="1121"/>
      <c r="LQ41" s="1121"/>
      <c r="LR41" s="1121"/>
      <c r="LS41" s="1121"/>
      <c r="LT41" s="1121"/>
      <c r="LV41" s="1123"/>
      <c r="LW41" s="1123"/>
      <c r="LX41" s="1123"/>
      <c r="LY41" s="1123"/>
      <c r="MA41" s="1123"/>
      <c r="MB41" s="1123"/>
      <c r="MC41" s="1123"/>
      <c r="MD41" s="1123"/>
      <c r="ME41" s="1123"/>
      <c r="MF41" s="1123"/>
      <c r="MG41" s="1123"/>
      <c r="MH41" s="1123"/>
      <c r="MI41" s="1123"/>
      <c r="MK41" s="1123"/>
      <c r="ML41" s="1123"/>
      <c r="MM41" s="1123"/>
      <c r="MN41" s="1123"/>
      <c r="MO41" s="1123"/>
      <c r="MQ41" s="1123"/>
      <c r="MR41" s="1123"/>
      <c r="MS41" s="1123"/>
      <c r="MT41" s="1123"/>
      <c r="MU41" s="1123"/>
      <c r="MV41" s="1123"/>
      <c r="MW41" s="1123"/>
      <c r="MX41" s="1123"/>
      <c r="MY41" s="1123"/>
      <c r="MZ41" s="1123"/>
      <c r="NA41" s="1123"/>
      <c r="NB41" s="1123"/>
      <c r="NC41" s="1123"/>
      <c r="ND41" s="1123"/>
      <c r="NE41" s="1123"/>
      <c r="NF41" s="1123"/>
      <c r="NG41" s="1123"/>
      <c r="NH41" s="1123"/>
      <c r="NI41" s="1123"/>
      <c r="NJ41" s="1123"/>
      <c r="NK41" s="1123"/>
      <c r="NL41" s="1123"/>
      <c r="NM41" s="1123"/>
      <c r="NN41" s="1123"/>
      <c r="NP41" s="155"/>
      <c r="NQ41" s="155"/>
      <c r="QN41" s="155"/>
      <c r="QO41" s="155"/>
      <c r="TL41" s="155"/>
    </row>
    <row r="42" spans="1:532" ht="6.75" customHeight="1" x14ac:dyDescent="0.25">
      <c r="A42" s="155"/>
      <c r="B42" s="512"/>
      <c r="C42" s="1183"/>
      <c r="D42" s="1184"/>
      <c r="E42" s="1184"/>
      <c r="F42" s="1184"/>
      <c r="G42" s="1184"/>
      <c r="H42" s="1184"/>
      <c r="I42" s="1184"/>
      <c r="J42" s="1184"/>
      <c r="K42" s="1184"/>
      <c r="L42" s="1184"/>
      <c r="M42" s="1184"/>
      <c r="N42" s="1184"/>
      <c r="O42" s="1184"/>
      <c r="P42" s="1184"/>
      <c r="Q42" s="1184"/>
      <c r="R42" s="1184"/>
      <c r="S42" s="1184"/>
      <c r="T42" s="1184"/>
      <c r="U42" s="1184"/>
      <c r="V42" s="1184"/>
      <c r="W42" s="1184"/>
      <c r="X42" s="1184"/>
      <c r="Y42" s="1184"/>
      <c r="Z42" s="1184"/>
      <c r="AA42" s="1184"/>
      <c r="AB42" s="1184"/>
      <c r="AC42" s="1184"/>
      <c r="AD42" s="1184"/>
      <c r="AE42" s="1184"/>
      <c r="AF42" s="1184"/>
      <c r="AG42" s="1184"/>
      <c r="AH42" s="1184"/>
      <c r="AI42" s="1184"/>
      <c r="AJ42" s="1184"/>
      <c r="AK42" s="1184"/>
      <c r="AL42" s="1185"/>
      <c r="AM42" s="507"/>
      <c r="AN42" s="507"/>
      <c r="AO42" s="1199" t="s">
        <v>607</v>
      </c>
      <c r="AP42" s="1199"/>
      <c r="AQ42" s="1199"/>
      <c r="AR42" s="1199"/>
      <c r="AS42" s="1199"/>
      <c r="AT42" s="1199"/>
      <c r="AU42" s="1199"/>
      <c r="AV42" s="1199"/>
      <c r="AW42" s="1199"/>
      <c r="AX42" s="1199"/>
      <c r="AY42" s="1199"/>
      <c r="AZ42" s="1199"/>
      <c r="BA42" s="1199"/>
      <c r="BB42" s="1227" t="s">
        <v>4</v>
      </c>
      <c r="BC42" s="1227"/>
      <c r="BD42" s="1227"/>
      <c r="BE42" s="1227"/>
      <c r="BF42" s="1198"/>
      <c r="BG42" s="1198"/>
      <c r="BH42" s="1198"/>
      <c r="BI42" s="1198"/>
      <c r="BJ42" s="1198"/>
      <c r="BK42" s="1198"/>
      <c r="BL42" s="1198"/>
      <c r="BM42" s="1198"/>
      <c r="BN42" s="1198"/>
      <c r="BO42" s="1198"/>
      <c r="BP42" s="1198"/>
      <c r="BQ42" s="1198"/>
      <c r="BR42" s="1198"/>
      <c r="BS42" s="1198">
        <f>AcrobaticsValue</f>
        <v>7</v>
      </c>
      <c r="BT42" s="1198"/>
      <c r="BU42" s="1198"/>
      <c r="BV42" s="1198"/>
      <c r="BW42" s="513"/>
      <c r="BX42" s="155"/>
      <c r="BY42" s="155"/>
      <c r="BZ42" s="150"/>
      <c r="CA42" s="1234"/>
      <c r="CB42" s="1234"/>
      <c r="CC42" s="1234"/>
      <c r="CD42" s="1234"/>
      <c r="CE42" s="1234"/>
      <c r="CF42" s="1234"/>
      <c r="CG42" s="1234"/>
      <c r="CH42" s="1234"/>
      <c r="CI42" s="1234"/>
      <c r="CJ42" s="1234"/>
      <c r="CK42" s="1234"/>
      <c r="CL42" s="1234"/>
      <c r="CM42" s="1234"/>
      <c r="CN42" s="1234"/>
      <c r="CO42" s="1234"/>
      <c r="CP42" s="1234"/>
      <c r="CQ42" s="1234"/>
      <c r="CR42" s="1234"/>
      <c r="CS42" s="1234"/>
      <c r="CT42" s="1234"/>
      <c r="CU42" s="1234"/>
      <c r="CV42" s="1234"/>
      <c r="CW42" s="1234"/>
      <c r="CX42" s="1234"/>
      <c r="CZ42" s="1119"/>
      <c r="DA42" s="1119"/>
      <c r="DB42" s="1119"/>
      <c r="DC42" s="1119"/>
      <c r="DD42" s="1119"/>
      <c r="DE42" s="1119"/>
      <c r="DF42" s="1119"/>
      <c r="DG42" s="1119"/>
      <c r="DH42" s="1119"/>
      <c r="DI42" s="1119"/>
      <c r="DJ42" s="1119"/>
      <c r="DK42" s="1119"/>
      <c r="DL42" s="1119"/>
      <c r="DM42" s="1119"/>
      <c r="DN42" s="1119"/>
      <c r="DO42" s="1119"/>
      <c r="DP42" s="1119"/>
      <c r="DQ42" s="1119"/>
      <c r="DR42" s="1119"/>
      <c r="DS42" s="1119"/>
      <c r="DT42" s="1119"/>
      <c r="DU42" s="1119"/>
      <c r="DV42" s="1119"/>
      <c r="DW42" s="1119"/>
      <c r="DY42" s="1120"/>
      <c r="DZ42" s="1120"/>
      <c r="EA42" s="1120"/>
      <c r="EB42" s="1120"/>
      <c r="EC42" s="1120"/>
      <c r="ED42" s="1120"/>
      <c r="EE42" s="1120"/>
      <c r="EF42" s="1120"/>
      <c r="EG42" s="1120"/>
      <c r="EH42" s="1120"/>
      <c r="EI42" s="1120"/>
      <c r="EJ42" s="1120"/>
      <c r="EK42" s="1120"/>
      <c r="EL42" s="1120"/>
      <c r="EM42" s="1120"/>
      <c r="EN42" s="1120"/>
      <c r="EO42" s="1120"/>
      <c r="EP42" s="1120"/>
      <c r="EQ42" s="1120"/>
      <c r="ER42" s="1120"/>
      <c r="ES42" s="1120"/>
      <c r="ET42" s="1120"/>
      <c r="EU42" s="1120"/>
      <c r="EW42" s="155"/>
      <c r="EX42" s="552"/>
      <c r="EY42" s="552"/>
      <c r="EZ42" s="552"/>
      <c r="FA42" s="552"/>
      <c r="FB42" s="552"/>
      <c r="FC42" s="552"/>
      <c r="FD42" s="552"/>
      <c r="FE42" s="552"/>
      <c r="FF42" s="552"/>
      <c r="FG42" s="552"/>
      <c r="FH42" s="552"/>
      <c r="FI42" s="552"/>
      <c r="FJ42" s="552"/>
      <c r="FK42" s="552"/>
      <c r="FL42" s="552"/>
      <c r="FM42" s="552"/>
      <c r="FN42" s="552"/>
      <c r="FO42" s="552"/>
      <c r="FP42" s="552"/>
      <c r="FQ42" s="552"/>
      <c r="FR42" s="552"/>
      <c r="FS42" s="552"/>
      <c r="FT42" s="552"/>
      <c r="FU42" s="552"/>
      <c r="FV42" s="552"/>
      <c r="FW42" s="552"/>
      <c r="FX42" s="552"/>
      <c r="FY42" s="552"/>
      <c r="FZ42" s="552"/>
      <c r="GA42" s="552"/>
      <c r="GB42" s="552"/>
      <c r="GC42" s="552"/>
      <c r="GD42" s="552"/>
      <c r="GE42" s="552"/>
      <c r="GF42" s="552"/>
      <c r="GG42" s="552"/>
      <c r="GH42" s="552"/>
      <c r="GI42" s="552"/>
      <c r="GJ42" s="552"/>
      <c r="GK42" s="552"/>
      <c r="GL42" s="552"/>
      <c r="GM42" s="552"/>
      <c r="GN42" s="552"/>
      <c r="GO42" s="552"/>
      <c r="GP42" s="552"/>
      <c r="GQ42" s="552"/>
      <c r="GR42" s="552"/>
      <c r="GS42" s="552"/>
      <c r="GT42" s="552"/>
      <c r="GU42" s="552"/>
      <c r="GV42" s="552"/>
      <c r="GW42" s="552"/>
      <c r="GX42" s="552"/>
      <c r="GY42" s="552"/>
      <c r="GZ42" s="552"/>
      <c r="HA42" s="552"/>
      <c r="HB42" s="552"/>
      <c r="HC42" s="552"/>
      <c r="HD42" s="552"/>
      <c r="HE42" s="552"/>
      <c r="HF42" s="552"/>
      <c r="HG42" s="552"/>
      <c r="HH42" s="552"/>
      <c r="HI42" s="552"/>
      <c r="HJ42" s="552"/>
      <c r="HK42" s="552"/>
      <c r="HL42" s="552"/>
      <c r="HM42" s="552"/>
      <c r="HN42" s="552"/>
      <c r="HO42" s="552"/>
      <c r="HP42" s="552"/>
      <c r="HQ42" s="552"/>
      <c r="HR42" s="552"/>
      <c r="HS42" s="552"/>
      <c r="HT42" s="155"/>
      <c r="HU42" s="155"/>
      <c r="HV42" s="552"/>
      <c r="HW42" s="552"/>
      <c r="HX42" s="552"/>
      <c r="HY42" s="552"/>
      <c r="HZ42" s="552"/>
      <c r="IA42" s="552"/>
      <c r="IB42" s="552"/>
      <c r="IC42" s="552"/>
      <c r="ID42" s="552"/>
      <c r="IE42" s="552"/>
      <c r="IF42" s="552"/>
      <c r="IG42" s="552"/>
      <c r="IH42" s="552"/>
      <c r="II42" s="552"/>
      <c r="IJ42" s="552"/>
      <c r="IK42" s="552"/>
      <c r="IL42" s="552"/>
      <c r="IM42" s="552"/>
      <c r="IN42" s="552"/>
      <c r="IO42" s="552"/>
      <c r="IP42" s="552"/>
      <c r="IQ42" s="552"/>
      <c r="IR42" s="552"/>
      <c r="IS42" s="552"/>
      <c r="IT42" s="552"/>
      <c r="IU42" s="552"/>
      <c r="IV42" s="552"/>
      <c r="IW42" s="552"/>
      <c r="IX42" s="552"/>
      <c r="IY42" s="552"/>
      <c r="IZ42" s="552"/>
      <c r="JA42" s="552"/>
      <c r="JB42" s="552"/>
      <c r="JC42" s="552"/>
      <c r="JD42" s="552"/>
      <c r="JE42" s="552"/>
      <c r="JF42" s="552"/>
      <c r="JG42" s="552"/>
      <c r="JH42" s="552"/>
      <c r="JI42" s="552"/>
      <c r="JJ42" s="552"/>
      <c r="JK42" s="552"/>
      <c r="JL42" s="552"/>
      <c r="JM42" s="552"/>
      <c r="JN42" s="552"/>
      <c r="JO42" s="552"/>
      <c r="JP42" s="552"/>
      <c r="JQ42" s="552"/>
      <c r="JR42" s="552"/>
      <c r="JS42" s="552"/>
      <c r="JT42" s="552"/>
      <c r="JU42" s="552"/>
      <c r="JV42" s="552"/>
      <c r="JW42" s="552"/>
      <c r="JX42" s="552"/>
      <c r="JY42" s="552"/>
      <c r="JZ42" s="552"/>
      <c r="KA42" s="552"/>
      <c r="KB42" s="552"/>
      <c r="KC42" s="552"/>
      <c r="KD42" s="552"/>
      <c r="KE42" s="552"/>
      <c r="KF42" s="552"/>
      <c r="KG42" s="552"/>
      <c r="KH42" s="552"/>
      <c r="KI42" s="552"/>
      <c r="KJ42" s="552"/>
      <c r="KK42" s="552"/>
      <c r="KL42" s="552"/>
      <c r="KM42" s="552"/>
      <c r="KN42" s="552"/>
      <c r="KO42" s="552"/>
      <c r="KP42" s="552"/>
      <c r="KQ42" s="552"/>
      <c r="KR42" s="155"/>
      <c r="KS42" s="155"/>
      <c r="KT42" s="136"/>
      <c r="KU42" s="136"/>
      <c r="KV42" s="1120"/>
      <c r="KW42" s="1120"/>
      <c r="KX42" s="1120"/>
      <c r="KY42" s="1120"/>
      <c r="KZ42" s="1120"/>
      <c r="LA42" s="1120"/>
      <c r="LB42" s="1120"/>
      <c r="LC42" s="1120"/>
      <c r="LD42" s="1120"/>
      <c r="LE42" s="1120"/>
      <c r="LF42" s="1120"/>
      <c r="LG42" s="1120"/>
      <c r="LH42" s="1120"/>
      <c r="LI42" s="1120"/>
      <c r="LJ42" s="1120"/>
      <c r="LK42" s="1120"/>
      <c r="LL42" s="1120"/>
      <c r="LM42" s="1120"/>
      <c r="LN42" s="1120"/>
      <c r="LO42" s="1120"/>
      <c r="LP42" s="1120"/>
      <c r="LQ42" s="1120"/>
      <c r="LR42" s="1120"/>
      <c r="LS42" s="1120"/>
      <c r="LT42" s="1120"/>
      <c r="LV42" s="1122"/>
      <c r="LW42" s="1122"/>
      <c r="LX42" s="1122"/>
      <c r="LY42" s="1122"/>
      <c r="MA42" s="1122"/>
      <c r="MB42" s="1122"/>
      <c r="MC42" s="1122"/>
      <c r="MD42" s="1122"/>
      <c r="ME42" s="1122"/>
      <c r="MF42" s="1122"/>
      <c r="MG42" s="1122"/>
      <c r="MH42" s="1122"/>
      <c r="MI42" s="1122"/>
      <c r="MK42" s="1122"/>
      <c r="ML42" s="1122"/>
      <c r="MM42" s="1122"/>
      <c r="MN42" s="1122"/>
      <c r="MO42" s="1122"/>
      <c r="MQ42" s="1122"/>
      <c r="MR42" s="1122"/>
      <c r="MS42" s="1122"/>
      <c r="MT42" s="1122"/>
      <c r="MU42" s="1122"/>
      <c r="MV42" s="1122"/>
      <c r="MW42" s="1122"/>
      <c r="MX42" s="1122"/>
      <c r="MY42" s="1122"/>
      <c r="MZ42" s="1122"/>
      <c r="NA42" s="1122"/>
      <c r="NB42" s="1122"/>
      <c r="NC42" s="1122"/>
      <c r="ND42" s="1122"/>
      <c r="NE42" s="1122"/>
      <c r="NF42" s="1122"/>
      <c r="NG42" s="1122"/>
      <c r="NH42" s="1122"/>
      <c r="NI42" s="1122"/>
      <c r="NJ42" s="1122"/>
      <c r="NK42" s="1122"/>
      <c r="NL42" s="1122"/>
      <c r="NM42" s="1122"/>
      <c r="NN42" s="1122"/>
      <c r="NP42" s="155"/>
      <c r="NQ42" s="155"/>
      <c r="QN42" s="155"/>
      <c r="QO42" s="155"/>
      <c r="TL42" s="155"/>
    </row>
    <row r="43" spans="1:532" ht="6.75" customHeight="1" thickBot="1" x14ac:dyDescent="0.3">
      <c r="A43" s="155"/>
      <c r="B43" s="512"/>
      <c r="C43" s="1186"/>
      <c r="D43" s="1187"/>
      <c r="E43" s="1187"/>
      <c r="F43" s="1187"/>
      <c r="G43" s="1187"/>
      <c r="H43" s="1187"/>
      <c r="I43" s="1187"/>
      <c r="J43" s="1187"/>
      <c r="K43" s="1187"/>
      <c r="L43" s="1187"/>
      <c r="M43" s="1187"/>
      <c r="N43" s="1187"/>
      <c r="O43" s="1187"/>
      <c r="P43" s="1187"/>
      <c r="Q43" s="1187"/>
      <c r="R43" s="1187"/>
      <c r="S43" s="1187"/>
      <c r="T43" s="1187"/>
      <c r="U43" s="1187"/>
      <c r="V43" s="1187"/>
      <c r="W43" s="1187"/>
      <c r="X43" s="1187"/>
      <c r="Y43" s="1187"/>
      <c r="Z43" s="1187"/>
      <c r="AA43" s="1187"/>
      <c r="AB43" s="1187"/>
      <c r="AC43" s="1187"/>
      <c r="AD43" s="1187"/>
      <c r="AE43" s="1187"/>
      <c r="AF43" s="1187"/>
      <c r="AG43" s="1187"/>
      <c r="AH43" s="1187"/>
      <c r="AI43" s="1187"/>
      <c r="AJ43" s="1187"/>
      <c r="AK43" s="1187"/>
      <c r="AL43" s="1188"/>
      <c r="AM43" s="508"/>
      <c r="AN43" s="507"/>
      <c r="AO43" s="1199"/>
      <c r="AP43" s="1199"/>
      <c r="AQ43" s="1199"/>
      <c r="AR43" s="1199"/>
      <c r="AS43" s="1199"/>
      <c r="AT43" s="1199"/>
      <c r="AU43" s="1199"/>
      <c r="AV43" s="1199"/>
      <c r="AW43" s="1199"/>
      <c r="AX43" s="1199"/>
      <c r="AY43" s="1199"/>
      <c r="AZ43" s="1199"/>
      <c r="BA43" s="1199"/>
      <c r="BB43" s="1227"/>
      <c r="BC43" s="1227"/>
      <c r="BD43" s="1227"/>
      <c r="BE43" s="1227"/>
      <c r="BF43" s="1198"/>
      <c r="BG43" s="1198"/>
      <c r="BH43" s="1198"/>
      <c r="BI43" s="1198"/>
      <c r="BJ43" s="1198"/>
      <c r="BK43" s="1198"/>
      <c r="BL43" s="1198"/>
      <c r="BM43" s="1198"/>
      <c r="BN43" s="1198"/>
      <c r="BO43" s="1198"/>
      <c r="BP43" s="1198"/>
      <c r="BQ43" s="1198"/>
      <c r="BR43" s="1198"/>
      <c r="BS43" s="1198"/>
      <c r="BT43" s="1198"/>
      <c r="BU43" s="1198"/>
      <c r="BV43" s="1198"/>
      <c r="BW43" s="513"/>
      <c r="BX43" s="155"/>
      <c r="BY43" s="155"/>
      <c r="BZ43" s="150"/>
      <c r="CA43" s="1234"/>
      <c r="CB43" s="1234"/>
      <c r="CC43" s="1234"/>
      <c r="CD43" s="1234"/>
      <c r="CE43" s="1234"/>
      <c r="CF43" s="1234"/>
      <c r="CG43" s="1234"/>
      <c r="CH43" s="1234"/>
      <c r="CI43" s="1234"/>
      <c r="CJ43" s="1234"/>
      <c r="CK43" s="1234"/>
      <c r="CL43" s="1234"/>
      <c r="CM43" s="1234"/>
      <c r="CN43" s="1234"/>
      <c r="CO43" s="1234"/>
      <c r="CP43" s="1234"/>
      <c r="CQ43" s="1234"/>
      <c r="CR43" s="1234"/>
      <c r="CS43" s="1234"/>
      <c r="CT43" s="1234"/>
      <c r="CU43" s="1234"/>
      <c r="CV43" s="1234"/>
      <c r="CW43" s="1234"/>
      <c r="CX43" s="1234"/>
      <c r="CZ43" s="1119"/>
      <c r="DA43" s="1119"/>
      <c r="DB43" s="1119"/>
      <c r="DC43" s="1119"/>
      <c r="DD43" s="1119"/>
      <c r="DE43" s="1119"/>
      <c r="DF43" s="1119"/>
      <c r="DG43" s="1119"/>
      <c r="DH43" s="1119"/>
      <c r="DI43" s="1119"/>
      <c r="DJ43" s="1119"/>
      <c r="DK43" s="1119"/>
      <c r="DL43" s="1119"/>
      <c r="DM43" s="1119"/>
      <c r="DN43" s="1119"/>
      <c r="DO43" s="1119"/>
      <c r="DP43" s="1119"/>
      <c r="DQ43" s="1119"/>
      <c r="DR43" s="1119"/>
      <c r="DS43" s="1119"/>
      <c r="DT43" s="1119"/>
      <c r="DU43" s="1119"/>
      <c r="DV43" s="1119"/>
      <c r="DW43" s="1119"/>
      <c r="DY43" s="1121"/>
      <c r="DZ43" s="1121"/>
      <c r="EA43" s="1121"/>
      <c r="EB43" s="1121"/>
      <c r="EC43" s="1121"/>
      <c r="ED43" s="1121"/>
      <c r="EE43" s="1121"/>
      <c r="EF43" s="1121"/>
      <c r="EG43" s="1121"/>
      <c r="EH43" s="1121"/>
      <c r="EI43" s="1121"/>
      <c r="EJ43" s="1121"/>
      <c r="EK43" s="1121"/>
      <c r="EL43" s="1121"/>
      <c r="EM43" s="1121"/>
      <c r="EN43" s="1121"/>
      <c r="EO43" s="1121"/>
      <c r="EP43" s="1121"/>
      <c r="EQ43" s="1121"/>
      <c r="ER43" s="1121"/>
      <c r="ES43" s="1121"/>
      <c r="ET43" s="1121"/>
      <c r="EU43" s="1121"/>
      <c r="EW43" s="155"/>
      <c r="EX43" s="552"/>
      <c r="EY43" s="552"/>
      <c r="EZ43" s="552"/>
      <c r="FA43" s="552"/>
      <c r="FB43" s="552"/>
      <c r="FC43" s="552"/>
      <c r="FD43" s="552"/>
      <c r="FE43" s="552"/>
      <c r="FF43" s="552"/>
      <c r="FG43" s="552"/>
      <c r="FH43" s="552"/>
      <c r="FI43" s="552"/>
      <c r="FJ43" s="552"/>
      <c r="FK43" s="552"/>
      <c r="FL43" s="552"/>
      <c r="FM43" s="552"/>
      <c r="FN43" s="552"/>
      <c r="FO43" s="552"/>
      <c r="FP43" s="552"/>
      <c r="FQ43" s="552"/>
      <c r="FR43" s="552"/>
      <c r="FS43" s="552"/>
      <c r="FT43" s="552"/>
      <c r="FU43" s="552"/>
      <c r="FV43" s="552"/>
      <c r="FW43" s="552"/>
      <c r="FX43" s="552"/>
      <c r="FY43" s="552"/>
      <c r="FZ43" s="552"/>
      <c r="GA43" s="552"/>
      <c r="GB43" s="552"/>
      <c r="GC43" s="552"/>
      <c r="GD43" s="552"/>
      <c r="GE43" s="552"/>
      <c r="GF43" s="552"/>
      <c r="GG43" s="552"/>
      <c r="GH43" s="552"/>
      <c r="GI43" s="552"/>
      <c r="GJ43" s="552"/>
      <c r="GK43" s="552"/>
      <c r="GL43" s="552"/>
      <c r="GM43" s="552"/>
      <c r="GN43" s="552"/>
      <c r="GO43" s="552"/>
      <c r="GP43" s="552"/>
      <c r="GQ43" s="552"/>
      <c r="GR43" s="552"/>
      <c r="GS43" s="552"/>
      <c r="GT43" s="552"/>
      <c r="GU43" s="552"/>
      <c r="GV43" s="552"/>
      <c r="GW43" s="552"/>
      <c r="GX43" s="552"/>
      <c r="GY43" s="552"/>
      <c r="GZ43" s="552"/>
      <c r="HA43" s="552"/>
      <c r="HB43" s="552"/>
      <c r="HC43" s="552"/>
      <c r="HD43" s="552"/>
      <c r="HE43" s="552"/>
      <c r="HF43" s="552"/>
      <c r="HG43" s="552"/>
      <c r="HH43" s="552"/>
      <c r="HI43" s="552"/>
      <c r="HJ43" s="552"/>
      <c r="HK43" s="552"/>
      <c r="HL43" s="552"/>
      <c r="HM43" s="552"/>
      <c r="HN43" s="552"/>
      <c r="HO43" s="552"/>
      <c r="HP43" s="552"/>
      <c r="HQ43" s="552"/>
      <c r="HR43" s="552"/>
      <c r="HS43" s="552"/>
      <c r="HT43" s="155"/>
      <c r="HU43" s="155"/>
      <c r="HV43" s="552"/>
      <c r="HW43" s="552"/>
      <c r="HX43" s="552"/>
      <c r="HY43" s="552"/>
      <c r="HZ43" s="552"/>
      <c r="IA43" s="552"/>
      <c r="IB43" s="552"/>
      <c r="IC43" s="552"/>
      <c r="ID43" s="552"/>
      <c r="IE43" s="552"/>
      <c r="IF43" s="552"/>
      <c r="IG43" s="552"/>
      <c r="IH43" s="552"/>
      <c r="II43" s="552"/>
      <c r="IJ43" s="552"/>
      <c r="IK43" s="552"/>
      <c r="IL43" s="552"/>
      <c r="IM43" s="552"/>
      <c r="IN43" s="552"/>
      <c r="IO43" s="552"/>
      <c r="IP43" s="552"/>
      <c r="IQ43" s="552"/>
      <c r="IR43" s="552"/>
      <c r="IS43" s="552"/>
      <c r="IT43" s="552"/>
      <c r="IU43" s="552"/>
      <c r="IV43" s="552"/>
      <c r="IW43" s="552"/>
      <c r="IX43" s="552"/>
      <c r="IY43" s="552"/>
      <c r="IZ43" s="552"/>
      <c r="JA43" s="552"/>
      <c r="JB43" s="552"/>
      <c r="JC43" s="552"/>
      <c r="JD43" s="552"/>
      <c r="JE43" s="552"/>
      <c r="JF43" s="552"/>
      <c r="JG43" s="552"/>
      <c r="JH43" s="552"/>
      <c r="JI43" s="552"/>
      <c r="JJ43" s="552"/>
      <c r="JK43" s="552"/>
      <c r="JL43" s="552"/>
      <c r="JM43" s="552"/>
      <c r="JN43" s="552"/>
      <c r="JO43" s="552"/>
      <c r="JP43" s="552"/>
      <c r="JQ43" s="552"/>
      <c r="JR43" s="552"/>
      <c r="JS43" s="552"/>
      <c r="JT43" s="552"/>
      <c r="JU43" s="552"/>
      <c r="JV43" s="552"/>
      <c r="JW43" s="552"/>
      <c r="JX43" s="552"/>
      <c r="JY43" s="552"/>
      <c r="JZ43" s="552"/>
      <c r="KA43" s="552"/>
      <c r="KB43" s="552"/>
      <c r="KC43" s="552"/>
      <c r="KD43" s="552"/>
      <c r="KE43" s="552"/>
      <c r="KF43" s="552"/>
      <c r="KG43" s="552"/>
      <c r="KH43" s="552"/>
      <c r="KI43" s="552"/>
      <c r="KJ43" s="552"/>
      <c r="KK43" s="552"/>
      <c r="KL43" s="552"/>
      <c r="KM43" s="552"/>
      <c r="KN43" s="552"/>
      <c r="KO43" s="552"/>
      <c r="KP43" s="552"/>
      <c r="KQ43" s="552"/>
      <c r="KR43" s="155"/>
      <c r="KS43" s="155"/>
      <c r="KT43" s="136"/>
      <c r="KU43" s="136"/>
      <c r="KV43" s="1121"/>
      <c r="KW43" s="1121"/>
      <c r="KX43" s="1121"/>
      <c r="KY43" s="1121"/>
      <c r="KZ43" s="1121"/>
      <c r="LA43" s="1121"/>
      <c r="LB43" s="1121"/>
      <c r="LC43" s="1121"/>
      <c r="LD43" s="1121"/>
      <c r="LE43" s="1121"/>
      <c r="LF43" s="1121"/>
      <c r="LG43" s="1121"/>
      <c r="LH43" s="1121"/>
      <c r="LI43" s="1121"/>
      <c r="LJ43" s="1121"/>
      <c r="LK43" s="1121"/>
      <c r="LL43" s="1121"/>
      <c r="LM43" s="1121"/>
      <c r="LN43" s="1121"/>
      <c r="LO43" s="1121"/>
      <c r="LP43" s="1121"/>
      <c r="LQ43" s="1121"/>
      <c r="LR43" s="1121"/>
      <c r="LS43" s="1121"/>
      <c r="LT43" s="1121"/>
      <c r="LV43" s="1123"/>
      <c r="LW43" s="1123"/>
      <c r="LX43" s="1123"/>
      <c r="LY43" s="1123"/>
      <c r="MA43" s="1123"/>
      <c r="MB43" s="1123"/>
      <c r="MC43" s="1123"/>
      <c r="MD43" s="1123"/>
      <c r="ME43" s="1123"/>
      <c r="MF43" s="1123"/>
      <c r="MG43" s="1123"/>
      <c r="MH43" s="1123"/>
      <c r="MI43" s="1123"/>
      <c r="MK43" s="1123"/>
      <c r="ML43" s="1123"/>
      <c r="MM43" s="1123"/>
      <c r="MN43" s="1123"/>
      <c r="MO43" s="1123"/>
      <c r="MQ43" s="1123"/>
      <c r="MR43" s="1123"/>
      <c r="MS43" s="1123"/>
      <c r="MT43" s="1123"/>
      <c r="MU43" s="1123"/>
      <c r="MV43" s="1123"/>
      <c r="MW43" s="1123"/>
      <c r="MX43" s="1123"/>
      <c r="MY43" s="1123"/>
      <c r="MZ43" s="1123"/>
      <c r="NA43" s="1123"/>
      <c r="NB43" s="1123"/>
      <c r="NC43" s="1123"/>
      <c r="ND43" s="1123"/>
      <c r="NE43" s="1123"/>
      <c r="NF43" s="1123"/>
      <c r="NG43" s="1123"/>
      <c r="NH43" s="1123"/>
      <c r="NI43" s="1123"/>
      <c r="NJ43" s="1123"/>
      <c r="NK43" s="1123"/>
      <c r="NL43" s="1123"/>
      <c r="NM43" s="1123"/>
      <c r="NN43" s="1123"/>
      <c r="NP43" s="155"/>
      <c r="NQ43" s="155"/>
      <c r="QN43" s="155"/>
      <c r="QO43" s="155"/>
      <c r="TL43" s="155"/>
    </row>
    <row r="44" spans="1:532" ht="6.75" customHeight="1" x14ac:dyDescent="0.25">
      <c r="A44" s="155"/>
      <c r="B44" s="512"/>
      <c r="C44" s="1230" t="str">
        <f>IF(Character_Creation!B24&lt;&gt;"",Character_Creation!B24,"")</f>
        <v>Specialty</v>
      </c>
      <c r="D44" s="1231"/>
      <c r="E44" s="1231"/>
      <c r="F44" s="1231"/>
      <c r="G44" s="1231"/>
      <c r="H44" s="1231"/>
      <c r="I44" s="1231"/>
      <c r="J44" s="1231"/>
      <c r="K44" s="1231"/>
      <c r="L44" s="1231"/>
      <c r="M44" s="1231"/>
      <c r="N44" s="1231"/>
      <c r="O44" s="1231"/>
      <c r="P44" s="1231"/>
      <c r="Q44" s="1231"/>
      <c r="R44" s="1232"/>
      <c r="S44" s="508"/>
      <c r="T44" s="508"/>
      <c r="U44" s="508"/>
      <c r="V44" s="508"/>
      <c r="W44" s="508"/>
      <c r="X44" s="508"/>
      <c r="Y44" s="508"/>
      <c r="Z44" s="508"/>
      <c r="AA44" s="508"/>
      <c r="AB44" s="508"/>
      <c r="AC44" s="508"/>
      <c r="AD44" s="508"/>
      <c r="AE44" s="508"/>
      <c r="AF44" s="508"/>
      <c r="AG44" s="508"/>
      <c r="AH44" s="508"/>
      <c r="AI44" s="508"/>
      <c r="AJ44" s="508"/>
      <c r="AK44" s="508"/>
      <c r="AL44" s="508"/>
      <c r="AM44" s="508"/>
      <c r="AN44" s="507"/>
      <c r="AO44" s="1199" t="s">
        <v>79</v>
      </c>
      <c r="AP44" s="1199"/>
      <c r="AQ44" s="1199"/>
      <c r="AR44" s="1199"/>
      <c r="AS44" s="1199"/>
      <c r="AT44" s="1199"/>
      <c r="AU44" s="1199"/>
      <c r="AV44" s="1199"/>
      <c r="AW44" s="1199"/>
      <c r="AX44" s="1199"/>
      <c r="AY44" s="1199"/>
      <c r="AZ44" s="1199"/>
      <c r="BA44" s="1199"/>
      <c r="BB44" s="1227" t="s">
        <v>7</v>
      </c>
      <c r="BC44" s="1227"/>
      <c r="BD44" s="1227"/>
      <c r="BE44" s="1227"/>
      <c r="BF44" s="1198"/>
      <c r="BG44" s="1198"/>
      <c r="BH44" s="1198"/>
      <c r="BI44" s="1198"/>
      <c r="BJ44" s="1198"/>
      <c r="BK44" s="1198"/>
      <c r="BL44" s="1198"/>
      <c r="BM44" s="1198"/>
      <c r="BN44" s="1198"/>
      <c r="BO44" s="1198"/>
      <c r="BP44" s="1198"/>
      <c r="BQ44" s="1198"/>
      <c r="BR44" s="1198"/>
      <c r="BS44" s="1198">
        <f>AnimalHandlingValue</f>
        <v>0</v>
      </c>
      <c r="BT44" s="1198"/>
      <c r="BU44" s="1198"/>
      <c r="BV44" s="1198"/>
      <c r="BW44" s="513"/>
      <c r="BX44" s="155"/>
      <c r="BY44" s="155"/>
      <c r="BZ44" s="150"/>
      <c r="CA44" s="1234"/>
      <c r="CB44" s="1234"/>
      <c r="CC44" s="1234"/>
      <c r="CD44" s="1234"/>
      <c r="CE44" s="1234"/>
      <c r="CF44" s="1234"/>
      <c r="CG44" s="1234"/>
      <c r="CH44" s="1234"/>
      <c r="CI44" s="1234"/>
      <c r="CJ44" s="1234"/>
      <c r="CK44" s="1234"/>
      <c r="CL44" s="1234"/>
      <c r="CM44" s="1234"/>
      <c r="CN44" s="1234"/>
      <c r="CO44" s="1234"/>
      <c r="CP44" s="1234"/>
      <c r="CQ44" s="1234"/>
      <c r="CR44" s="1234"/>
      <c r="CS44" s="1234"/>
      <c r="CT44" s="1234"/>
      <c r="CU44" s="1234"/>
      <c r="CV44" s="1234"/>
      <c r="CW44" s="1234"/>
      <c r="CX44" s="1234"/>
      <c r="CZ44" s="1119"/>
      <c r="DA44" s="1119"/>
      <c r="DB44" s="1119"/>
      <c r="DC44" s="1119"/>
      <c r="DD44" s="1119"/>
      <c r="DE44" s="1119"/>
      <c r="DF44" s="1119"/>
      <c r="DG44" s="1119"/>
      <c r="DH44" s="1119"/>
      <c r="DI44" s="1119"/>
      <c r="DJ44" s="1119"/>
      <c r="DK44" s="1119"/>
      <c r="DL44" s="1119"/>
      <c r="DM44" s="1119"/>
      <c r="DN44" s="1119"/>
      <c r="DO44" s="1119"/>
      <c r="DP44" s="1119"/>
      <c r="DQ44" s="1119"/>
      <c r="DR44" s="1119"/>
      <c r="DS44" s="1119"/>
      <c r="DT44" s="1119"/>
      <c r="DU44" s="1119"/>
      <c r="DV44" s="1119"/>
      <c r="DW44" s="1119"/>
      <c r="DY44" s="1120"/>
      <c r="DZ44" s="1120"/>
      <c r="EA44" s="1120"/>
      <c r="EB44" s="1120"/>
      <c r="EC44" s="1120"/>
      <c r="ED44" s="1120"/>
      <c r="EE44" s="1120"/>
      <c r="EF44" s="1120"/>
      <c r="EG44" s="1120"/>
      <c r="EH44" s="1120"/>
      <c r="EI44" s="1120"/>
      <c r="EJ44" s="1120"/>
      <c r="EK44" s="1120"/>
      <c r="EL44" s="1120"/>
      <c r="EM44" s="1120"/>
      <c r="EN44" s="1120"/>
      <c r="EO44" s="1120"/>
      <c r="EP44" s="1120"/>
      <c r="EQ44" s="1120"/>
      <c r="ER44" s="1120"/>
      <c r="ES44" s="1120"/>
      <c r="ET44" s="1120"/>
      <c r="EU44" s="1120"/>
      <c r="EW44" s="155"/>
      <c r="EX44" s="552"/>
      <c r="EY44" s="552"/>
      <c r="EZ44" s="552"/>
      <c r="FA44" s="552"/>
      <c r="FB44" s="552"/>
      <c r="FC44" s="552"/>
      <c r="FD44" s="552"/>
      <c r="FE44" s="552"/>
      <c r="FF44" s="552"/>
      <c r="FG44" s="552"/>
      <c r="FH44" s="552"/>
      <c r="FI44" s="552"/>
      <c r="FJ44" s="552"/>
      <c r="FK44" s="552"/>
      <c r="FL44" s="552"/>
      <c r="FM44" s="552"/>
      <c r="FN44" s="552"/>
      <c r="FO44" s="552"/>
      <c r="FP44" s="552"/>
      <c r="FQ44" s="552"/>
      <c r="FR44" s="552"/>
      <c r="FS44" s="552"/>
      <c r="FT44" s="552"/>
      <c r="FU44" s="552"/>
      <c r="FV44" s="552"/>
      <c r="FW44" s="552"/>
      <c r="FX44" s="552"/>
      <c r="FY44" s="552"/>
      <c r="FZ44" s="552"/>
      <c r="GA44" s="552"/>
      <c r="GB44" s="552"/>
      <c r="GC44" s="552"/>
      <c r="GD44" s="552"/>
      <c r="GE44" s="552"/>
      <c r="GF44" s="552"/>
      <c r="GG44" s="552"/>
      <c r="GH44" s="552"/>
      <c r="GI44" s="552"/>
      <c r="GJ44" s="552"/>
      <c r="GK44" s="552"/>
      <c r="GL44" s="552"/>
      <c r="GM44" s="552"/>
      <c r="GN44" s="552"/>
      <c r="GO44" s="552"/>
      <c r="GP44" s="552"/>
      <c r="GQ44" s="552"/>
      <c r="GR44" s="552"/>
      <c r="GS44" s="552"/>
      <c r="GT44" s="552"/>
      <c r="GU44" s="552"/>
      <c r="GV44" s="552"/>
      <c r="GW44" s="552"/>
      <c r="GX44" s="552"/>
      <c r="GY44" s="552"/>
      <c r="GZ44" s="552"/>
      <c r="HA44" s="552"/>
      <c r="HB44" s="552"/>
      <c r="HC44" s="552"/>
      <c r="HD44" s="552"/>
      <c r="HE44" s="552"/>
      <c r="HF44" s="552"/>
      <c r="HG44" s="552"/>
      <c r="HH44" s="552"/>
      <c r="HI44" s="552"/>
      <c r="HJ44" s="552"/>
      <c r="HK44" s="552"/>
      <c r="HL44" s="552"/>
      <c r="HM44" s="552"/>
      <c r="HN44" s="552"/>
      <c r="HO44" s="552"/>
      <c r="HP44" s="552"/>
      <c r="HQ44" s="552"/>
      <c r="HR44" s="552"/>
      <c r="HS44" s="552"/>
      <c r="HT44" s="155"/>
      <c r="HU44" s="155"/>
      <c r="HV44" s="552"/>
      <c r="HW44" s="552"/>
      <c r="HX44" s="552"/>
      <c r="HY44" s="552"/>
      <c r="HZ44" s="552"/>
      <c r="IA44" s="552"/>
      <c r="IB44" s="552"/>
      <c r="IC44" s="552"/>
      <c r="ID44" s="552"/>
      <c r="IE44" s="552"/>
      <c r="IF44" s="552"/>
      <c r="IG44" s="552"/>
      <c r="IH44" s="552"/>
      <c r="II44" s="552"/>
      <c r="IJ44" s="552"/>
      <c r="IK44" s="552"/>
      <c r="IL44" s="552"/>
      <c r="IM44" s="552"/>
      <c r="IN44" s="552"/>
      <c r="IO44" s="552"/>
      <c r="IP44" s="552"/>
      <c r="IQ44" s="552"/>
      <c r="IR44" s="552"/>
      <c r="IS44" s="552"/>
      <c r="IT44" s="552"/>
      <c r="IU44" s="552"/>
      <c r="IV44" s="552"/>
      <c r="IW44" s="552"/>
      <c r="IX44" s="552"/>
      <c r="IY44" s="552"/>
      <c r="IZ44" s="552"/>
      <c r="JA44" s="552"/>
      <c r="JB44" s="552"/>
      <c r="JC44" s="552"/>
      <c r="JD44" s="552"/>
      <c r="JE44" s="552"/>
      <c r="JF44" s="552"/>
      <c r="JG44" s="552"/>
      <c r="JH44" s="552"/>
      <c r="JI44" s="552"/>
      <c r="JJ44" s="552"/>
      <c r="JK44" s="552"/>
      <c r="JL44" s="552"/>
      <c r="JM44" s="552"/>
      <c r="JN44" s="552"/>
      <c r="JO44" s="552"/>
      <c r="JP44" s="552"/>
      <c r="JQ44" s="552"/>
      <c r="JR44" s="552"/>
      <c r="JS44" s="552"/>
      <c r="JT44" s="552"/>
      <c r="JU44" s="552"/>
      <c r="JV44" s="552"/>
      <c r="JW44" s="552"/>
      <c r="JX44" s="552"/>
      <c r="JY44" s="552"/>
      <c r="JZ44" s="552"/>
      <c r="KA44" s="552"/>
      <c r="KB44" s="552"/>
      <c r="KC44" s="552"/>
      <c r="KD44" s="552"/>
      <c r="KE44" s="552"/>
      <c r="KF44" s="552"/>
      <c r="KG44" s="552"/>
      <c r="KH44" s="552"/>
      <c r="KI44" s="552"/>
      <c r="KJ44" s="552"/>
      <c r="KK44" s="552"/>
      <c r="KL44" s="552"/>
      <c r="KM44" s="552"/>
      <c r="KN44" s="552"/>
      <c r="KO44" s="552"/>
      <c r="KP44" s="552"/>
      <c r="KQ44" s="552"/>
      <c r="KR44" s="155"/>
      <c r="KS44" s="155"/>
      <c r="KT44" s="136"/>
      <c r="KU44" s="136"/>
      <c r="KV44" s="1120"/>
      <c r="KW44" s="1120"/>
      <c r="KX44" s="1120"/>
      <c r="KY44" s="1120"/>
      <c r="KZ44" s="1120"/>
      <c r="LA44" s="1120"/>
      <c r="LB44" s="1120"/>
      <c r="LC44" s="1120"/>
      <c r="LD44" s="1120"/>
      <c r="LE44" s="1120"/>
      <c r="LF44" s="1120"/>
      <c r="LG44" s="1120"/>
      <c r="LH44" s="1120"/>
      <c r="LI44" s="1120"/>
      <c r="LJ44" s="1120"/>
      <c r="LK44" s="1120"/>
      <c r="LL44" s="1120"/>
      <c r="LM44" s="1120"/>
      <c r="LN44" s="1120"/>
      <c r="LO44" s="1120"/>
      <c r="LP44" s="1120"/>
      <c r="LQ44" s="1120"/>
      <c r="LR44" s="1120"/>
      <c r="LS44" s="1120"/>
      <c r="LT44" s="1120"/>
      <c r="LV44" s="1122"/>
      <c r="LW44" s="1122"/>
      <c r="LX44" s="1122"/>
      <c r="LY44" s="1122"/>
      <c r="MA44" s="1122"/>
      <c r="MB44" s="1122"/>
      <c r="MC44" s="1122"/>
      <c r="MD44" s="1122"/>
      <c r="ME44" s="1122"/>
      <c r="MF44" s="1122"/>
      <c r="MG44" s="1122"/>
      <c r="MH44" s="1122"/>
      <c r="MI44" s="1122"/>
      <c r="MK44" s="1122"/>
      <c r="ML44" s="1122"/>
      <c r="MM44" s="1122"/>
      <c r="MN44" s="1122"/>
      <c r="MO44" s="1122"/>
      <c r="MQ44" s="1122"/>
      <c r="MR44" s="1122"/>
      <c r="MS44" s="1122"/>
      <c r="MT44" s="1122"/>
      <c r="MU44" s="1122"/>
      <c r="MV44" s="1122"/>
      <c r="MW44" s="1122"/>
      <c r="MX44" s="1122"/>
      <c r="MY44" s="1122"/>
      <c r="MZ44" s="1122"/>
      <c r="NA44" s="1122"/>
      <c r="NB44" s="1122"/>
      <c r="NC44" s="1122"/>
      <c r="ND44" s="1122"/>
      <c r="NE44" s="1122"/>
      <c r="NF44" s="1122"/>
      <c r="NG44" s="1122"/>
      <c r="NH44" s="1122"/>
      <c r="NI44" s="1122"/>
      <c r="NJ44" s="1122"/>
      <c r="NK44" s="1122"/>
      <c r="NL44" s="1122"/>
      <c r="NM44" s="1122"/>
      <c r="NN44" s="1122"/>
      <c r="NP44" s="155"/>
      <c r="NQ44" s="155"/>
      <c r="QN44" s="155"/>
      <c r="QO44" s="155"/>
      <c r="TL44" s="155"/>
    </row>
    <row r="45" spans="1:532" ht="6.75" customHeight="1" thickBot="1" x14ac:dyDescent="0.3">
      <c r="A45" s="155"/>
      <c r="B45" s="512"/>
      <c r="C45" s="1177"/>
      <c r="D45" s="1178"/>
      <c r="E45" s="1178"/>
      <c r="F45" s="1178"/>
      <c r="G45" s="1178"/>
      <c r="H45" s="1178"/>
      <c r="I45" s="1178"/>
      <c r="J45" s="1178"/>
      <c r="K45" s="1178"/>
      <c r="L45" s="1178"/>
      <c r="M45" s="1178"/>
      <c r="N45" s="1178"/>
      <c r="O45" s="1178"/>
      <c r="P45" s="1178"/>
      <c r="Q45" s="1178"/>
      <c r="R45" s="1179"/>
      <c r="S45" s="508"/>
      <c r="T45" s="508"/>
      <c r="U45" s="508"/>
      <c r="V45" s="508"/>
      <c r="W45" s="508"/>
      <c r="X45" s="508"/>
      <c r="Y45" s="508"/>
      <c r="Z45" s="508"/>
      <c r="AA45" s="508"/>
      <c r="AB45" s="508"/>
      <c r="AC45" s="508"/>
      <c r="AD45" s="508"/>
      <c r="AE45" s="508"/>
      <c r="AF45" s="508"/>
      <c r="AG45" s="508"/>
      <c r="AH45" s="508"/>
      <c r="AI45" s="508"/>
      <c r="AJ45" s="508"/>
      <c r="AK45" s="508"/>
      <c r="AL45" s="508"/>
      <c r="AM45" s="508"/>
      <c r="AN45" s="508"/>
      <c r="AO45" s="1199"/>
      <c r="AP45" s="1199"/>
      <c r="AQ45" s="1199"/>
      <c r="AR45" s="1199"/>
      <c r="AS45" s="1199"/>
      <c r="AT45" s="1199"/>
      <c r="AU45" s="1199"/>
      <c r="AV45" s="1199"/>
      <c r="AW45" s="1199"/>
      <c r="AX45" s="1199"/>
      <c r="AY45" s="1199"/>
      <c r="AZ45" s="1199"/>
      <c r="BA45" s="1199"/>
      <c r="BB45" s="1227"/>
      <c r="BC45" s="1227"/>
      <c r="BD45" s="1227"/>
      <c r="BE45" s="1227"/>
      <c r="BF45" s="1198"/>
      <c r="BG45" s="1198"/>
      <c r="BH45" s="1198"/>
      <c r="BI45" s="1198"/>
      <c r="BJ45" s="1198"/>
      <c r="BK45" s="1198"/>
      <c r="BL45" s="1198"/>
      <c r="BM45" s="1198"/>
      <c r="BN45" s="1198"/>
      <c r="BO45" s="1198"/>
      <c r="BP45" s="1198"/>
      <c r="BQ45" s="1198"/>
      <c r="BR45" s="1198"/>
      <c r="BS45" s="1198"/>
      <c r="BT45" s="1198"/>
      <c r="BU45" s="1198"/>
      <c r="BV45" s="1198"/>
      <c r="BW45" s="513"/>
      <c r="BX45" s="155"/>
      <c r="BY45" s="155"/>
      <c r="BZ45" s="150"/>
      <c r="CA45" s="1234"/>
      <c r="CB45" s="1234"/>
      <c r="CC45" s="1234"/>
      <c r="CD45" s="1234"/>
      <c r="CE45" s="1234"/>
      <c r="CF45" s="1234"/>
      <c r="CG45" s="1234"/>
      <c r="CH45" s="1234"/>
      <c r="CI45" s="1234"/>
      <c r="CJ45" s="1234"/>
      <c r="CK45" s="1234"/>
      <c r="CL45" s="1234"/>
      <c r="CM45" s="1234"/>
      <c r="CN45" s="1234"/>
      <c r="CO45" s="1234"/>
      <c r="CP45" s="1234"/>
      <c r="CQ45" s="1234"/>
      <c r="CR45" s="1234"/>
      <c r="CS45" s="1234"/>
      <c r="CT45" s="1234"/>
      <c r="CU45" s="1234"/>
      <c r="CV45" s="1234"/>
      <c r="CW45" s="1234"/>
      <c r="CX45" s="1234"/>
      <c r="CZ45" s="1119"/>
      <c r="DA45" s="1119"/>
      <c r="DB45" s="1119"/>
      <c r="DC45" s="1119"/>
      <c r="DD45" s="1119"/>
      <c r="DE45" s="1119"/>
      <c r="DF45" s="1119"/>
      <c r="DG45" s="1119"/>
      <c r="DH45" s="1119"/>
      <c r="DI45" s="1119"/>
      <c r="DJ45" s="1119"/>
      <c r="DK45" s="1119"/>
      <c r="DL45" s="1119"/>
      <c r="DM45" s="1119"/>
      <c r="DN45" s="1119"/>
      <c r="DO45" s="1119"/>
      <c r="DP45" s="1119"/>
      <c r="DQ45" s="1119"/>
      <c r="DR45" s="1119"/>
      <c r="DS45" s="1119"/>
      <c r="DT45" s="1119"/>
      <c r="DU45" s="1119"/>
      <c r="DV45" s="1119"/>
      <c r="DW45" s="1119"/>
      <c r="DY45" s="1121"/>
      <c r="DZ45" s="1121"/>
      <c r="EA45" s="1121"/>
      <c r="EB45" s="1121"/>
      <c r="EC45" s="1121"/>
      <c r="ED45" s="1121"/>
      <c r="EE45" s="1121"/>
      <c r="EF45" s="1121"/>
      <c r="EG45" s="1121"/>
      <c r="EH45" s="1121"/>
      <c r="EI45" s="1121"/>
      <c r="EJ45" s="1121"/>
      <c r="EK45" s="1121"/>
      <c r="EL45" s="1121"/>
      <c r="EM45" s="1121"/>
      <c r="EN45" s="1121"/>
      <c r="EO45" s="1121"/>
      <c r="EP45" s="1121"/>
      <c r="EQ45" s="1121"/>
      <c r="ER45" s="1121"/>
      <c r="ES45" s="1121"/>
      <c r="ET45" s="1121"/>
      <c r="EU45" s="1121"/>
      <c r="EW45" s="155"/>
      <c r="EX45" s="552"/>
      <c r="EY45" s="552"/>
      <c r="EZ45" s="552"/>
      <c r="FA45" s="552"/>
      <c r="FB45" s="552"/>
      <c r="FC45" s="552"/>
      <c r="FD45" s="552"/>
      <c r="FE45" s="552"/>
      <c r="FF45" s="552"/>
      <c r="FG45" s="552"/>
      <c r="FH45" s="552"/>
      <c r="FI45" s="552"/>
      <c r="FJ45" s="552"/>
      <c r="FK45" s="552"/>
      <c r="FL45" s="552"/>
      <c r="FM45" s="552"/>
      <c r="FN45" s="552"/>
      <c r="FO45" s="552"/>
      <c r="FP45" s="552"/>
      <c r="FQ45" s="552"/>
      <c r="FR45" s="552"/>
      <c r="FS45" s="552"/>
      <c r="FT45" s="552"/>
      <c r="FU45" s="552"/>
      <c r="FV45" s="552"/>
      <c r="FW45" s="552"/>
      <c r="FX45" s="552"/>
      <c r="FY45" s="552"/>
      <c r="FZ45" s="552"/>
      <c r="GA45" s="552"/>
      <c r="GB45" s="552"/>
      <c r="GC45" s="552"/>
      <c r="GD45" s="552"/>
      <c r="GE45" s="552"/>
      <c r="GF45" s="552"/>
      <c r="GG45" s="552"/>
      <c r="GH45" s="552"/>
      <c r="GI45" s="552"/>
      <c r="GJ45" s="552"/>
      <c r="GK45" s="552"/>
      <c r="GL45" s="552"/>
      <c r="GM45" s="552"/>
      <c r="GN45" s="552"/>
      <c r="GO45" s="552"/>
      <c r="GP45" s="552"/>
      <c r="GQ45" s="552"/>
      <c r="GR45" s="552"/>
      <c r="GS45" s="552"/>
      <c r="GT45" s="552"/>
      <c r="GU45" s="552"/>
      <c r="GV45" s="552"/>
      <c r="GW45" s="552"/>
      <c r="GX45" s="552"/>
      <c r="GY45" s="552"/>
      <c r="GZ45" s="552"/>
      <c r="HA45" s="552"/>
      <c r="HB45" s="552"/>
      <c r="HC45" s="552"/>
      <c r="HD45" s="552"/>
      <c r="HE45" s="552"/>
      <c r="HF45" s="552"/>
      <c r="HG45" s="552"/>
      <c r="HH45" s="552"/>
      <c r="HI45" s="552"/>
      <c r="HJ45" s="552"/>
      <c r="HK45" s="552"/>
      <c r="HL45" s="552"/>
      <c r="HM45" s="552"/>
      <c r="HN45" s="552"/>
      <c r="HO45" s="552"/>
      <c r="HP45" s="552"/>
      <c r="HQ45" s="552"/>
      <c r="HR45" s="552"/>
      <c r="HS45" s="552"/>
      <c r="HT45" s="155"/>
      <c r="HU45" s="155"/>
      <c r="HV45" s="552"/>
      <c r="HW45" s="552"/>
      <c r="HX45" s="552"/>
      <c r="HY45" s="552"/>
      <c r="HZ45" s="552"/>
      <c r="IA45" s="552"/>
      <c r="IB45" s="552"/>
      <c r="IC45" s="552"/>
      <c r="ID45" s="552"/>
      <c r="IE45" s="552"/>
      <c r="IF45" s="552"/>
      <c r="IG45" s="552"/>
      <c r="IH45" s="552"/>
      <c r="II45" s="552"/>
      <c r="IJ45" s="552"/>
      <c r="IK45" s="552"/>
      <c r="IL45" s="552"/>
      <c r="IM45" s="552"/>
      <c r="IN45" s="552"/>
      <c r="IO45" s="552"/>
      <c r="IP45" s="552"/>
      <c r="IQ45" s="552"/>
      <c r="IR45" s="552"/>
      <c r="IS45" s="552"/>
      <c r="IT45" s="552"/>
      <c r="IU45" s="552"/>
      <c r="IV45" s="552"/>
      <c r="IW45" s="552"/>
      <c r="IX45" s="552"/>
      <c r="IY45" s="552"/>
      <c r="IZ45" s="552"/>
      <c r="JA45" s="552"/>
      <c r="JB45" s="552"/>
      <c r="JC45" s="552"/>
      <c r="JD45" s="552"/>
      <c r="JE45" s="552"/>
      <c r="JF45" s="552"/>
      <c r="JG45" s="552"/>
      <c r="JH45" s="552"/>
      <c r="JI45" s="552"/>
      <c r="JJ45" s="552"/>
      <c r="JK45" s="552"/>
      <c r="JL45" s="552"/>
      <c r="JM45" s="552"/>
      <c r="JN45" s="552"/>
      <c r="JO45" s="552"/>
      <c r="JP45" s="552"/>
      <c r="JQ45" s="552"/>
      <c r="JR45" s="552"/>
      <c r="JS45" s="552"/>
      <c r="JT45" s="552"/>
      <c r="JU45" s="552"/>
      <c r="JV45" s="552"/>
      <c r="JW45" s="552"/>
      <c r="JX45" s="552"/>
      <c r="JY45" s="552"/>
      <c r="JZ45" s="552"/>
      <c r="KA45" s="552"/>
      <c r="KB45" s="552"/>
      <c r="KC45" s="552"/>
      <c r="KD45" s="552"/>
      <c r="KE45" s="552"/>
      <c r="KF45" s="552"/>
      <c r="KG45" s="552"/>
      <c r="KH45" s="552"/>
      <c r="KI45" s="552"/>
      <c r="KJ45" s="552"/>
      <c r="KK45" s="552"/>
      <c r="KL45" s="552"/>
      <c r="KM45" s="552"/>
      <c r="KN45" s="552"/>
      <c r="KO45" s="552"/>
      <c r="KP45" s="552"/>
      <c r="KQ45" s="552"/>
      <c r="KR45" s="155"/>
      <c r="KS45" s="155"/>
      <c r="KT45" s="136"/>
      <c r="KU45" s="136"/>
      <c r="KV45" s="1121"/>
      <c r="KW45" s="1121"/>
      <c r="KX45" s="1121"/>
      <c r="KY45" s="1121"/>
      <c r="KZ45" s="1121"/>
      <c r="LA45" s="1121"/>
      <c r="LB45" s="1121"/>
      <c r="LC45" s="1121"/>
      <c r="LD45" s="1121"/>
      <c r="LE45" s="1121"/>
      <c r="LF45" s="1121"/>
      <c r="LG45" s="1121"/>
      <c r="LH45" s="1121"/>
      <c r="LI45" s="1121"/>
      <c r="LJ45" s="1121"/>
      <c r="LK45" s="1121"/>
      <c r="LL45" s="1121"/>
      <c r="LM45" s="1121"/>
      <c r="LN45" s="1121"/>
      <c r="LO45" s="1121"/>
      <c r="LP45" s="1121"/>
      <c r="LQ45" s="1121"/>
      <c r="LR45" s="1121"/>
      <c r="LS45" s="1121"/>
      <c r="LT45" s="1121"/>
      <c r="LV45" s="1123"/>
      <c r="LW45" s="1123"/>
      <c r="LX45" s="1123"/>
      <c r="LY45" s="1123"/>
      <c r="MA45" s="1123"/>
      <c r="MB45" s="1123"/>
      <c r="MC45" s="1123"/>
      <c r="MD45" s="1123"/>
      <c r="ME45" s="1123"/>
      <c r="MF45" s="1123"/>
      <c r="MG45" s="1123"/>
      <c r="MH45" s="1123"/>
      <c r="MI45" s="1123"/>
      <c r="MK45" s="1123"/>
      <c r="ML45" s="1123"/>
      <c r="MM45" s="1123"/>
      <c r="MN45" s="1123"/>
      <c r="MO45" s="1123"/>
      <c r="MQ45" s="1123"/>
      <c r="MR45" s="1123"/>
      <c r="MS45" s="1123"/>
      <c r="MT45" s="1123"/>
      <c r="MU45" s="1123"/>
      <c r="MV45" s="1123"/>
      <c r="MW45" s="1123"/>
      <c r="MX45" s="1123"/>
      <c r="MY45" s="1123"/>
      <c r="MZ45" s="1123"/>
      <c r="NA45" s="1123"/>
      <c r="NB45" s="1123"/>
      <c r="NC45" s="1123"/>
      <c r="ND45" s="1123"/>
      <c r="NE45" s="1123"/>
      <c r="NF45" s="1123"/>
      <c r="NG45" s="1123"/>
      <c r="NH45" s="1123"/>
      <c r="NI45" s="1123"/>
      <c r="NJ45" s="1123"/>
      <c r="NK45" s="1123"/>
      <c r="NL45" s="1123"/>
      <c r="NM45" s="1123"/>
      <c r="NN45" s="1123"/>
      <c r="NP45" s="155"/>
      <c r="NQ45" s="155"/>
      <c r="QN45" s="155"/>
      <c r="QO45" s="155"/>
      <c r="TL45" s="155"/>
    </row>
    <row r="46" spans="1:532" ht="6.75" customHeight="1" x14ac:dyDescent="0.25">
      <c r="A46" s="155"/>
      <c r="B46" s="512"/>
      <c r="C46" s="1189" t="str">
        <f>IF(Character_Creation!D24&lt;&gt;"",Character_Creation!D24,"")</f>
        <v>Professor</v>
      </c>
      <c r="D46" s="1190"/>
      <c r="E46" s="1190"/>
      <c r="F46" s="1190"/>
      <c r="G46" s="1190"/>
      <c r="H46" s="1190"/>
      <c r="I46" s="1190"/>
      <c r="J46" s="1190"/>
      <c r="K46" s="1190"/>
      <c r="L46" s="1190"/>
      <c r="M46" s="1190"/>
      <c r="N46" s="1190"/>
      <c r="O46" s="1190"/>
      <c r="P46" s="1190"/>
      <c r="Q46" s="1190"/>
      <c r="R46" s="1190"/>
      <c r="S46" s="1190"/>
      <c r="T46" s="1190"/>
      <c r="U46" s="1190"/>
      <c r="V46" s="1190"/>
      <c r="W46" s="1190"/>
      <c r="X46" s="1190"/>
      <c r="Y46" s="1190"/>
      <c r="Z46" s="1190"/>
      <c r="AA46" s="1190"/>
      <c r="AB46" s="1190"/>
      <c r="AC46" s="1190"/>
      <c r="AD46" s="1190"/>
      <c r="AE46" s="1190"/>
      <c r="AF46" s="1190"/>
      <c r="AG46" s="1190"/>
      <c r="AH46" s="1190"/>
      <c r="AI46" s="1190"/>
      <c r="AJ46" s="1190"/>
      <c r="AK46" s="1190"/>
      <c r="AL46" s="1191"/>
      <c r="AM46" s="508"/>
      <c r="AN46" s="508"/>
      <c r="AO46" s="1199" t="s">
        <v>83</v>
      </c>
      <c r="AP46" s="1199"/>
      <c r="AQ46" s="1199"/>
      <c r="AR46" s="1199"/>
      <c r="AS46" s="1199"/>
      <c r="AT46" s="1199"/>
      <c r="AU46" s="1199"/>
      <c r="AV46" s="1199"/>
      <c r="AW46" s="1199"/>
      <c r="AX46" s="1199"/>
      <c r="AY46" s="1199"/>
      <c r="AZ46" s="1199"/>
      <c r="BA46" s="1199"/>
      <c r="BB46" s="1227" t="s">
        <v>6</v>
      </c>
      <c r="BC46" s="1227"/>
      <c r="BD46" s="1227"/>
      <c r="BE46" s="1227"/>
      <c r="BF46" s="1198"/>
      <c r="BG46" s="1198"/>
      <c r="BH46" s="1198"/>
      <c r="BI46" s="1198"/>
      <c r="BJ46" s="1198"/>
      <c r="BK46" s="1198"/>
      <c r="BL46" s="1198"/>
      <c r="BM46" s="1198"/>
      <c r="BN46" s="1198"/>
      <c r="BO46" s="1198"/>
      <c r="BP46" s="1198"/>
      <c r="BQ46" s="1198"/>
      <c r="BR46" s="1198"/>
      <c r="BS46" s="1198">
        <f>ArcanaValue</f>
        <v>11</v>
      </c>
      <c r="BT46" s="1198"/>
      <c r="BU46" s="1198"/>
      <c r="BV46" s="1198"/>
      <c r="BW46" s="513"/>
      <c r="BX46" s="155"/>
      <c r="BY46" s="155"/>
      <c r="BZ46" s="150"/>
      <c r="CA46" s="1234"/>
      <c r="CB46" s="1234"/>
      <c r="CC46" s="1234"/>
      <c r="CD46" s="1234"/>
      <c r="CE46" s="1234"/>
      <c r="CF46" s="1234"/>
      <c r="CG46" s="1234"/>
      <c r="CH46" s="1234"/>
      <c r="CI46" s="1234"/>
      <c r="CJ46" s="1234"/>
      <c r="CK46" s="1234"/>
      <c r="CL46" s="1234"/>
      <c r="CM46" s="1234"/>
      <c r="CN46" s="1234"/>
      <c r="CO46" s="1234"/>
      <c r="CP46" s="1234"/>
      <c r="CQ46" s="1234"/>
      <c r="CR46" s="1234"/>
      <c r="CS46" s="1234"/>
      <c r="CT46" s="1234"/>
      <c r="CU46" s="1234"/>
      <c r="CV46" s="1234"/>
      <c r="CW46" s="1234"/>
      <c r="CX46" s="1234"/>
      <c r="CZ46" s="1119"/>
      <c r="DA46" s="1119"/>
      <c r="DB46" s="1119"/>
      <c r="DC46" s="1119"/>
      <c r="DD46" s="1119"/>
      <c r="DE46" s="1119"/>
      <c r="DF46" s="1119"/>
      <c r="DG46" s="1119"/>
      <c r="DH46" s="1119"/>
      <c r="DI46" s="1119"/>
      <c r="DJ46" s="1119"/>
      <c r="DK46" s="1119"/>
      <c r="DL46" s="1119"/>
      <c r="DM46" s="1119"/>
      <c r="DN46" s="1119"/>
      <c r="DO46" s="1119"/>
      <c r="DP46" s="1119"/>
      <c r="DQ46" s="1119"/>
      <c r="DR46" s="1119"/>
      <c r="DS46" s="1119"/>
      <c r="DT46" s="1119"/>
      <c r="DU46" s="1119"/>
      <c r="DV46" s="1119"/>
      <c r="DW46" s="1119"/>
      <c r="DY46" s="1120"/>
      <c r="DZ46" s="1120"/>
      <c r="EA46" s="1120"/>
      <c r="EB46" s="1120"/>
      <c r="EC46" s="1120"/>
      <c r="ED46" s="1120"/>
      <c r="EE46" s="1120"/>
      <c r="EF46" s="1120"/>
      <c r="EG46" s="1120"/>
      <c r="EH46" s="1120"/>
      <c r="EI46" s="1120"/>
      <c r="EJ46" s="1120"/>
      <c r="EK46" s="1120"/>
      <c r="EL46" s="1120"/>
      <c r="EM46" s="1120"/>
      <c r="EN46" s="1120"/>
      <c r="EO46" s="1120"/>
      <c r="EP46" s="1120"/>
      <c r="EQ46" s="1120"/>
      <c r="ER46" s="1120"/>
      <c r="ES46" s="1120"/>
      <c r="ET46" s="1120"/>
      <c r="EU46" s="1120"/>
      <c r="EW46" s="155"/>
      <c r="EX46" s="552"/>
      <c r="EY46" s="552"/>
      <c r="EZ46" s="552"/>
      <c r="FA46" s="552"/>
      <c r="FB46" s="552"/>
      <c r="FC46" s="552"/>
      <c r="FD46" s="552"/>
      <c r="FE46" s="552"/>
      <c r="FF46" s="552"/>
      <c r="FG46" s="552"/>
      <c r="FH46" s="552"/>
      <c r="FI46" s="552"/>
      <c r="FJ46" s="552"/>
      <c r="FK46" s="552"/>
      <c r="FL46" s="552"/>
      <c r="FM46" s="552"/>
      <c r="FN46" s="552"/>
      <c r="FO46" s="552"/>
      <c r="FP46" s="552"/>
      <c r="FQ46" s="552"/>
      <c r="FR46" s="552"/>
      <c r="FS46" s="552"/>
      <c r="FT46" s="552"/>
      <c r="FU46" s="552"/>
      <c r="FV46" s="552"/>
      <c r="FW46" s="552"/>
      <c r="FX46" s="552"/>
      <c r="FY46" s="552"/>
      <c r="FZ46" s="552"/>
      <c r="GA46" s="552"/>
      <c r="GB46" s="552"/>
      <c r="GC46" s="552"/>
      <c r="GD46" s="552"/>
      <c r="GE46" s="552"/>
      <c r="GF46" s="552"/>
      <c r="GG46" s="552"/>
      <c r="GH46" s="552"/>
      <c r="GI46" s="552"/>
      <c r="GJ46" s="552"/>
      <c r="GK46" s="552"/>
      <c r="GL46" s="552"/>
      <c r="GM46" s="552"/>
      <c r="GN46" s="552"/>
      <c r="GO46" s="552"/>
      <c r="GP46" s="552"/>
      <c r="GQ46" s="552"/>
      <c r="GR46" s="552"/>
      <c r="GS46" s="552"/>
      <c r="GT46" s="552"/>
      <c r="GU46" s="552"/>
      <c r="GV46" s="552"/>
      <c r="GW46" s="552"/>
      <c r="GX46" s="552"/>
      <c r="GY46" s="552"/>
      <c r="GZ46" s="552"/>
      <c r="HA46" s="552"/>
      <c r="HB46" s="552"/>
      <c r="HC46" s="552"/>
      <c r="HD46" s="552"/>
      <c r="HE46" s="552"/>
      <c r="HF46" s="552"/>
      <c r="HG46" s="552"/>
      <c r="HH46" s="552"/>
      <c r="HI46" s="552"/>
      <c r="HJ46" s="552"/>
      <c r="HK46" s="552"/>
      <c r="HL46" s="552"/>
      <c r="HM46" s="552"/>
      <c r="HN46" s="552"/>
      <c r="HO46" s="552"/>
      <c r="HP46" s="552"/>
      <c r="HQ46" s="552"/>
      <c r="HR46" s="552"/>
      <c r="HS46" s="552"/>
      <c r="HT46" s="155"/>
      <c r="HU46" s="155"/>
      <c r="HV46" s="552"/>
      <c r="HW46" s="552"/>
      <c r="HX46" s="552"/>
      <c r="HY46" s="552"/>
      <c r="HZ46" s="552"/>
      <c r="IA46" s="552"/>
      <c r="IB46" s="552"/>
      <c r="IC46" s="552"/>
      <c r="ID46" s="552"/>
      <c r="IE46" s="552"/>
      <c r="IF46" s="552"/>
      <c r="IG46" s="552"/>
      <c r="IH46" s="552"/>
      <c r="II46" s="552"/>
      <c r="IJ46" s="552"/>
      <c r="IK46" s="552"/>
      <c r="IL46" s="552"/>
      <c r="IM46" s="552"/>
      <c r="IN46" s="552"/>
      <c r="IO46" s="552"/>
      <c r="IP46" s="552"/>
      <c r="IQ46" s="552"/>
      <c r="IR46" s="552"/>
      <c r="IS46" s="552"/>
      <c r="IT46" s="552"/>
      <c r="IU46" s="552"/>
      <c r="IV46" s="552"/>
      <c r="IW46" s="552"/>
      <c r="IX46" s="552"/>
      <c r="IY46" s="552"/>
      <c r="IZ46" s="552"/>
      <c r="JA46" s="552"/>
      <c r="JB46" s="552"/>
      <c r="JC46" s="552"/>
      <c r="JD46" s="552"/>
      <c r="JE46" s="552"/>
      <c r="JF46" s="552"/>
      <c r="JG46" s="552"/>
      <c r="JH46" s="552"/>
      <c r="JI46" s="552"/>
      <c r="JJ46" s="552"/>
      <c r="JK46" s="552"/>
      <c r="JL46" s="552"/>
      <c r="JM46" s="552"/>
      <c r="JN46" s="552"/>
      <c r="JO46" s="552"/>
      <c r="JP46" s="552"/>
      <c r="JQ46" s="552"/>
      <c r="JR46" s="552"/>
      <c r="JS46" s="552"/>
      <c r="JT46" s="552"/>
      <c r="JU46" s="552"/>
      <c r="JV46" s="552"/>
      <c r="JW46" s="552"/>
      <c r="JX46" s="552"/>
      <c r="JY46" s="552"/>
      <c r="JZ46" s="552"/>
      <c r="KA46" s="552"/>
      <c r="KB46" s="552"/>
      <c r="KC46" s="552"/>
      <c r="KD46" s="552"/>
      <c r="KE46" s="552"/>
      <c r="KF46" s="552"/>
      <c r="KG46" s="552"/>
      <c r="KH46" s="552"/>
      <c r="KI46" s="552"/>
      <c r="KJ46" s="552"/>
      <c r="KK46" s="552"/>
      <c r="KL46" s="552"/>
      <c r="KM46" s="552"/>
      <c r="KN46" s="552"/>
      <c r="KO46" s="552"/>
      <c r="KP46" s="552"/>
      <c r="KQ46" s="552"/>
      <c r="KR46" s="155"/>
      <c r="KS46" s="155"/>
      <c r="KT46" s="136"/>
      <c r="KU46" s="136"/>
      <c r="KV46" s="1120"/>
      <c r="KW46" s="1120"/>
      <c r="KX46" s="1120"/>
      <c r="KY46" s="1120"/>
      <c r="KZ46" s="1120"/>
      <c r="LA46" s="1120"/>
      <c r="LB46" s="1120"/>
      <c r="LC46" s="1120"/>
      <c r="LD46" s="1120"/>
      <c r="LE46" s="1120"/>
      <c r="LF46" s="1120"/>
      <c r="LG46" s="1120"/>
      <c r="LH46" s="1120"/>
      <c r="LI46" s="1120"/>
      <c r="LJ46" s="1120"/>
      <c r="LK46" s="1120"/>
      <c r="LL46" s="1120"/>
      <c r="LM46" s="1120"/>
      <c r="LN46" s="1120"/>
      <c r="LO46" s="1120"/>
      <c r="LP46" s="1120"/>
      <c r="LQ46" s="1120"/>
      <c r="LR46" s="1120"/>
      <c r="LS46" s="1120"/>
      <c r="LT46" s="1120"/>
      <c r="LV46" s="1122"/>
      <c r="LW46" s="1122"/>
      <c r="LX46" s="1122"/>
      <c r="LY46" s="1122"/>
      <c r="MA46" s="1122"/>
      <c r="MB46" s="1122"/>
      <c r="MC46" s="1122"/>
      <c r="MD46" s="1122"/>
      <c r="ME46" s="1122"/>
      <c r="MF46" s="1122"/>
      <c r="MG46" s="1122"/>
      <c r="MH46" s="1122"/>
      <c r="MI46" s="1122"/>
      <c r="MK46" s="1122"/>
      <c r="ML46" s="1122"/>
      <c r="MM46" s="1122"/>
      <c r="MN46" s="1122"/>
      <c r="MO46" s="1122"/>
      <c r="NP46" s="155"/>
      <c r="NQ46" s="155"/>
      <c r="QN46" s="155"/>
      <c r="QO46" s="155"/>
      <c r="TL46" s="155"/>
    </row>
    <row r="47" spans="1:532" ht="6.75" customHeight="1" x14ac:dyDescent="0.25">
      <c r="A47" s="155"/>
      <c r="B47" s="512"/>
      <c r="C47" s="1192"/>
      <c r="D47" s="1193"/>
      <c r="E47" s="1193"/>
      <c r="F47" s="1193"/>
      <c r="G47" s="1193"/>
      <c r="H47" s="1193"/>
      <c r="I47" s="1193"/>
      <c r="J47" s="1193"/>
      <c r="K47" s="1193"/>
      <c r="L47" s="1193"/>
      <c r="M47" s="1193"/>
      <c r="N47" s="1193"/>
      <c r="O47" s="1193"/>
      <c r="P47" s="1193"/>
      <c r="Q47" s="1193"/>
      <c r="R47" s="1193"/>
      <c r="S47" s="1193"/>
      <c r="T47" s="1193"/>
      <c r="U47" s="1193"/>
      <c r="V47" s="1193"/>
      <c r="W47" s="1193"/>
      <c r="X47" s="1193"/>
      <c r="Y47" s="1193"/>
      <c r="Z47" s="1193"/>
      <c r="AA47" s="1193"/>
      <c r="AB47" s="1193"/>
      <c r="AC47" s="1193"/>
      <c r="AD47" s="1193"/>
      <c r="AE47" s="1193"/>
      <c r="AF47" s="1193"/>
      <c r="AG47" s="1193"/>
      <c r="AH47" s="1193"/>
      <c r="AI47" s="1193"/>
      <c r="AJ47" s="1193"/>
      <c r="AK47" s="1193"/>
      <c r="AL47" s="1194"/>
      <c r="AM47" s="508"/>
      <c r="AN47" s="508"/>
      <c r="AO47" s="1199"/>
      <c r="AP47" s="1199"/>
      <c r="AQ47" s="1199"/>
      <c r="AR47" s="1199"/>
      <c r="AS47" s="1199"/>
      <c r="AT47" s="1199"/>
      <c r="AU47" s="1199"/>
      <c r="AV47" s="1199"/>
      <c r="AW47" s="1199"/>
      <c r="AX47" s="1199"/>
      <c r="AY47" s="1199"/>
      <c r="AZ47" s="1199"/>
      <c r="BA47" s="1199"/>
      <c r="BB47" s="1227"/>
      <c r="BC47" s="1227"/>
      <c r="BD47" s="1227"/>
      <c r="BE47" s="1227"/>
      <c r="BF47" s="1198"/>
      <c r="BG47" s="1198"/>
      <c r="BH47" s="1198"/>
      <c r="BI47" s="1198"/>
      <c r="BJ47" s="1198"/>
      <c r="BK47" s="1198"/>
      <c r="BL47" s="1198"/>
      <c r="BM47" s="1198"/>
      <c r="BN47" s="1198"/>
      <c r="BO47" s="1198"/>
      <c r="BP47" s="1198"/>
      <c r="BQ47" s="1198"/>
      <c r="BR47" s="1198"/>
      <c r="BS47" s="1198"/>
      <c r="BT47" s="1198"/>
      <c r="BU47" s="1198"/>
      <c r="BV47" s="1198"/>
      <c r="BW47" s="513"/>
      <c r="BX47" s="155"/>
      <c r="BY47" s="155"/>
      <c r="BZ47" s="150"/>
      <c r="CA47" s="1234"/>
      <c r="CB47" s="1234"/>
      <c r="CC47" s="1234"/>
      <c r="CD47" s="1234"/>
      <c r="CE47" s="1234"/>
      <c r="CF47" s="1234"/>
      <c r="CG47" s="1234"/>
      <c r="CH47" s="1234"/>
      <c r="CI47" s="1234"/>
      <c r="CJ47" s="1234"/>
      <c r="CK47" s="1234"/>
      <c r="CL47" s="1234"/>
      <c r="CM47" s="1234"/>
      <c r="CN47" s="1234"/>
      <c r="CO47" s="1234"/>
      <c r="CP47" s="1234"/>
      <c r="CQ47" s="1234"/>
      <c r="CR47" s="1234"/>
      <c r="CS47" s="1234"/>
      <c r="CT47" s="1234"/>
      <c r="CU47" s="1234"/>
      <c r="CV47" s="1234"/>
      <c r="CW47" s="1234"/>
      <c r="CX47" s="1234"/>
      <c r="CZ47" s="1119"/>
      <c r="DA47" s="1119"/>
      <c r="DB47" s="1119"/>
      <c r="DC47" s="1119"/>
      <c r="DD47" s="1119"/>
      <c r="DE47" s="1119"/>
      <c r="DF47" s="1119"/>
      <c r="DG47" s="1119"/>
      <c r="DH47" s="1119"/>
      <c r="DI47" s="1119"/>
      <c r="DJ47" s="1119"/>
      <c r="DK47" s="1119"/>
      <c r="DL47" s="1119"/>
      <c r="DM47" s="1119"/>
      <c r="DN47" s="1119"/>
      <c r="DO47" s="1119"/>
      <c r="DP47" s="1119"/>
      <c r="DQ47" s="1119"/>
      <c r="DR47" s="1119"/>
      <c r="DS47" s="1119"/>
      <c r="DT47" s="1119"/>
      <c r="DU47" s="1119"/>
      <c r="DV47" s="1119"/>
      <c r="DW47" s="1119"/>
      <c r="DY47" s="1121"/>
      <c r="DZ47" s="1121"/>
      <c r="EA47" s="1121"/>
      <c r="EB47" s="1121"/>
      <c r="EC47" s="1121"/>
      <c r="ED47" s="1121"/>
      <c r="EE47" s="1121"/>
      <c r="EF47" s="1121"/>
      <c r="EG47" s="1121"/>
      <c r="EH47" s="1121"/>
      <c r="EI47" s="1121"/>
      <c r="EJ47" s="1121"/>
      <c r="EK47" s="1121"/>
      <c r="EL47" s="1121"/>
      <c r="EM47" s="1121"/>
      <c r="EN47" s="1121"/>
      <c r="EO47" s="1121"/>
      <c r="EP47" s="1121"/>
      <c r="EQ47" s="1121"/>
      <c r="ER47" s="1121"/>
      <c r="ES47" s="1121"/>
      <c r="ET47" s="1121"/>
      <c r="EU47" s="1121"/>
      <c r="EW47" s="155"/>
      <c r="EX47" s="552"/>
      <c r="EY47" s="552"/>
      <c r="EZ47" s="552"/>
      <c r="FA47" s="552"/>
      <c r="FB47" s="552"/>
      <c r="FC47" s="552"/>
      <c r="FD47" s="552"/>
      <c r="FE47" s="552"/>
      <c r="FF47" s="552"/>
      <c r="FG47" s="552"/>
      <c r="FH47" s="552"/>
      <c r="FI47" s="552"/>
      <c r="FJ47" s="552"/>
      <c r="FK47" s="552"/>
      <c r="FL47" s="552"/>
      <c r="FM47" s="552"/>
      <c r="FN47" s="552"/>
      <c r="FO47" s="552"/>
      <c r="FP47" s="552"/>
      <c r="FQ47" s="552"/>
      <c r="FR47" s="552"/>
      <c r="FS47" s="552"/>
      <c r="FT47" s="552"/>
      <c r="FU47" s="552"/>
      <c r="FV47" s="552"/>
      <c r="FW47" s="552"/>
      <c r="FX47" s="552"/>
      <c r="FY47" s="552"/>
      <c r="FZ47" s="552"/>
      <c r="GA47" s="552"/>
      <c r="GB47" s="552"/>
      <c r="GC47" s="552"/>
      <c r="GD47" s="552"/>
      <c r="GE47" s="552"/>
      <c r="GF47" s="552"/>
      <c r="GG47" s="552"/>
      <c r="GH47" s="552"/>
      <c r="GI47" s="552"/>
      <c r="GJ47" s="552"/>
      <c r="GK47" s="552"/>
      <c r="GL47" s="552"/>
      <c r="GM47" s="552"/>
      <c r="GN47" s="552"/>
      <c r="GO47" s="552"/>
      <c r="GP47" s="552"/>
      <c r="GQ47" s="552"/>
      <c r="GR47" s="552"/>
      <c r="GS47" s="552"/>
      <c r="GT47" s="552"/>
      <c r="GU47" s="552"/>
      <c r="GV47" s="552"/>
      <c r="GW47" s="552"/>
      <c r="GX47" s="552"/>
      <c r="GY47" s="552"/>
      <c r="GZ47" s="552"/>
      <c r="HA47" s="552"/>
      <c r="HB47" s="552"/>
      <c r="HC47" s="552"/>
      <c r="HD47" s="552"/>
      <c r="HE47" s="552"/>
      <c r="HF47" s="552"/>
      <c r="HG47" s="552"/>
      <c r="HH47" s="552"/>
      <c r="HI47" s="552"/>
      <c r="HJ47" s="552"/>
      <c r="HK47" s="552"/>
      <c r="HL47" s="552"/>
      <c r="HM47" s="552"/>
      <c r="HN47" s="552"/>
      <c r="HO47" s="552"/>
      <c r="HP47" s="552"/>
      <c r="HQ47" s="552"/>
      <c r="HR47" s="552"/>
      <c r="HS47" s="552"/>
      <c r="HT47" s="155"/>
      <c r="HU47" s="155"/>
      <c r="HV47" s="552"/>
      <c r="HW47" s="552"/>
      <c r="HX47" s="552"/>
      <c r="HY47" s="552"/>
      <c r="HZ47" s="552"/>
      <c r="IA47" s="552"/>
      <c r="IB47" s="552"/>
      <c r="IC47" s="552"/>
      <c r="ID47" s="552"/>
      <c r="IE47" s="552"/>
      <c r="IF47" s="552"/>
      <c r="IG47" s="552"/>
      <c r="IH47" s="552"/>
      <c r="II47" s="552"/>
      <c r="IJ47" s="552"/>
      <c r="IK47" s="552"/>
      <c r="IL47" s="552"/>
      <c r="IM47" s="552"/>
      <c r="IN47" s="552"/>
      <c r="IO47" s="552"/>
      <c r="IP47" s="552"/>
      <c r="IQ47" s="552"/>
      <c r="IR47" s="552"/>
      <c r="IS47" s="552"/>
      <c r="IT47" s="552"/>
      <c r="IU47" s="552"/>
      <c r="IV47" s="552"/>
      <c r="IW47" s="552"/>
      <c r="IX47" s="552"/>
      <c r="IY47" s="552"/>
      <c r="IZ47" s="552"/>
      <c r="JA47" s="552"/>
      <c r="JB47" s="552"/>
      <c r="JC47" s="552"/>
      <c r="JD47" s="552"/>
      <c r="JE47" s="552"/>
      <c r="JF47" s="552"/>
      <c r="JG47" s="552"/>
      <c r="JH47" s="552"/>
      <c r="JI47" s="552"/>
      <c r="JJ47" s="552"/>
      <c r="JK47" s="552"/>
      <c r="JL47" s="552"/>
      <c r="JM47" s="552"/>
      <c r="JN47" s="552"/>
      <c r="JO47" s="552"/>
      <c r="JP47" s="552"/>
      <c r="JQ47" s="552"/>
      <c r="JR47" s="552"/>
      <c r="JS47" s="552"/>
      <c r="JT47" s="552"/>
      <c r="JU47" s="552"/>
      <c r="JV47" s="552"/>
      <c r="JW47" s="552"/>
      <c r="JX47" s="552"/>
      <c r="JY47" s="552"/>
      <c r="JZ47" s="552"/>
      <c r="KA47" s="552"/>
      <c r="KB47" s="552"/>
      <c r="KC47" s="552"/>
      <c r="KD47" s="552"/>
      <c r="KE47" s="552"/>
      <c r="KF47" s="552"/>
      <c r="KG47" s="552"/>
      <c r="KH47" s="552"/>
      <c r="KI47" s="552"/>
      <c r="KJ47" s="552"/>
      <c r="KK47" s="552"/>
      <c r="KL47" s="552"/>
      <c r="KM47" s="552"/>
      <c r="KN47" s="552"/>
      <c r="KO47" s="552"/>
      <c r="KP47" s="552"/>
      <c r="KQ47" s="552"/>
      <c r="KR47" s="155"/>
      <c r="KS47" s="155"/>
      <c r="KT47" s="136"/>
      <c r="KU47" s="136"/>
      <c r="KV47" s="1121"/>
      <c r="KW47" s="1121"/>
      <c r="KX47" s="1121"/>
      <c r="KY47" s="1121"/>
      <c r="KZ47" s="1121"/>
      <c r="LA47" s="1121"/>
      <c r="LB47" s="1121"/>
      <c r="LC47" s="1121"/>
      <c r="LD47" s="1121"/>
      <c r="LE47" s="1121"/>
      <c r="LF47" s="1121"/>
      <c r="LG47" s="1121"/>
      <c r="LH47" s="1121"/>
      <c r="LI47" s="1121"/>
      <c r="LJ47" s="1121"/>
      <c r="LK47" s="1121"/>
      <c r="LL47" s="1121"/>
      <c r="LM47" s="1121"/>
      <c r="LN47" s="1121"/>
      <c r="LO47" s="1121"/>
      <c r="LP47" s="1121"/>
      <c r="LQ47" s="1121"/>
      <c r="LR47" s="1121"/>
      <c r="LS47" s="1121"/>
      <c r="LT47" s="1121"/>
      <c r="LV47" s="1123"/>
      <c r="LW47" s="1123"/>
      <c r="LX47" s="1123"/>
      <c r="LY47" s="1123"/>
      <c r="MA47" s="1123"/>
      <c r="MB47" s="1123"/>
      <c r="MC47" s="1123"/>
      <c r="MD47" s="1123"/>
      <c r="ME47" s="1123"/>
      <c r="MF47" s="1123"/>
      <c r="MG47" s="1123"/>
      <c r="MH47" s="1123"/>
      <c r="MI47" s="1123"/>
      <c r="MK47" s="1123"/>
      <c r="ML47" s="1123"/>
      <c r="MM47" s="1123"/>
      <c r="MN47" s="1123"/>
      <c r="MO47" s="1123"/>
      <c r="NP47" s="155"/>
      <c r="NQ47" s="155"/>
      <c r="QN47" s="155"/>
      <c r="QO47" s="155"/>
      <c r="TL47" s="155"/>
    </row>
    <row r="48" spans="1:532" ht="6.75" customHeight="1" x14ac:dyDescent="0.25">
      <c r="A48" s="155"/>
      <c r="B48" s="512"/>
      <c r="C48" s="1192"/>
      <c r="D48" s="1193"/>
      <c r="E48" s="1193"/>
      <c r="F48" s="1193"/>
      <c r="G48" s="1193"/>
      <c r="H48" s="1193"/>
      <c r="I48" s="1193"/>
      <c r="J48" s="1193"/>
      <c r="K48" s="1193"/>
      <c r="L48" s="1193"/>
      <c r="M48" s="1193"/>
      <c r="N48" s="1193"/>
      <c r="O48" s="1193"/>
      <c r="P48" s="1193"/>
      <c r="Q48" s="1193"/>
      <c r="R48" s="1193"/>
      <c r="S48" s="1193"/>
      <c r="T48" s="1193"/>
      <c r="U48" s="1193"/>
      <c r="V48" s="1193"/>
      <c r="W48" s="1193"/>
      <c r="X48" s="1193"/>
      <c r="Y48" s="1193"/>
      <c r="Z48" s="1193"/>
      <c r="AA48" s="1193"/>
      <c r="AB48" s="1193"/>
      <c r="AC48" s="1193"/>
      <c r="AD48" s="1193"/>
      <c r="AE48" s="1193"/>
      <c r="AF48" s="1193"/>
      <c r="AG48" s="1193"/>
      <c r="AH48" s="1193"/>
      <c r="AI48" s="1193"/>
      <c r="AJ48" s="1193"/>
      <c r="AK48" s="1193"/>
      <c r="AL48" s="1194"/>
      <c r="AM48" s="508"/>
      <c r="AN48" s="508"/>
      <c r="AO48" s="1199" t="s">
        <v>86</v>
      </c>
      <c r="AP48" s="1199"/>
      <c r="AQ48" s="1199"/>
      <c r="AR48" s="1199"/>
      <c r="AS48" s="1199"/>
      <c r="AT48" s="1199"/>
      <c r="AU48" s="1199"/>
      <c r="AV48" s="1199"/>
      <c r="AW48" s="1199"/>
      <c r="AX48" s="1199"/>
      <c r="AY48" s="1199"/>
      <c r="AZ48" s="1199"/>
      <c r="BA48" s="1199"/>
      <c r="BB48" s="1227" t="s">
        <v>3</v>
      </c>
      <c r="BC48" s="1227"/>
      <c r="BD48" s="1227"/>
      <c r="BE48" s="1227"/>
      <c r="BF48" s="1198"/>
      <c r="BG48" s="1198"/>
      <c r="BH48" s="1198"/>
      <c r="BI48" s="1198"/>
      <c r="BJ48" s="1198"/>
      <c r="BK48" s="1198"/>
      <c r="BL48" s="1198"/>
      <c r="BM48" s="1198"/>
      <c r="BN48" s="1198"/>
      <c r="BO48" s="1198"/>
      <c r="BP48" s="1198"/>
      <c r="BQ48" s="1198"/>
      <c r="BR48" s="1198"/>
      <c r="BS48" s="1198">
        <f>AthleticsValue</f>
        <v>11</v>
      </c>
      <c r="BT48" s="1198"/>
      <c r="BU48" s="1198"/>
      <c r="BV48" s="1198"/>
      <c r="BW48" s="513"/>
      <c r="BX48" s="155"/>
      <c r="BY48" s="155"/>
      <c r="BZ48" s="150"/>
      <c r="CA48" s="1234"/>
      <c r="CB48" s="1234"/>
      <c r="CC48" s="1234"/>
      <c r="CD48" s="1234"/>
      <c r="CE48" s="1234"/>
      <c r="CF48" s="1234"/>
      <c r="CG48" s="1234"/>
      <c r="CH48" s="1234"/>
      <c r="CI48" s="1234"/>
      <c r="CJ48" s="1234"/>
      <c r="CK48" s="1234"/>
      <c r="CL48" s="1234"/>
      <c r="CM48" s="1234"/>
      <c r="CN48" s="1234"/>
      <c r="CO48" s="1234"/>
      <c r="CP48" s="1234"/>
      <c r="CQ48" s="1234"/>
      <c r="CR48" s="1234"/>
      <c r="CS48" s="1234"/>
      <c r="CT48" s="1234"/>
      <c r="CU48" s="1234"/>
      <c r="CV48" s="1234"/>
      <c r="CW48" s="1234"/>
      <c r="CX48" s="1234"/>
      <c r="CZ48" s="1119"/>
      <c r="DA48" s="1119"/>
      <c r="DB48" s="1119"/>
      <c r="DC48" s="1119"/>
      <c r="DD48" s="1119"/>
      <c r="DE48" s="1119"/>
      <c r="DF48" s="1119"/>
      <c r="DG48" s="1119"/>
      <c r="DH48" s="1119"/>
      <c r="DI48" s="1119"/>
      <c r="DJ48" s="1119"/>
      <c r="DK48" s="1119"/>
      <c r="DL48" s="1119"/>
      <c r="DM48" s="1119"/>
      <c r="DN48" s="1119"/>
      <c r="DO48" s="1119"/>
      <c r="DP48" s="1119"/>
      <c r="DQ48" s="1119"/>
      <c r="DR48" s="1119"/>
      <c r="DS48" s="1119"/>
      <c r="DT48" s="1119"/>
      <c r="DU48" s="1119"/>
      <c r="DV48" s="1119"/>
      <c r="DW48" s="1119"/>
      <c r="DY48" s="1120"/>
      <c r="DZ48" s="1120"/>
      <c r="EA48" s="1120"/>
      <c r="EB48" s="1120"/>
      <c r="EC48" s="1120"/>
      <c r="ED48" s="1120"/>
      <c r="EE48" s="1120"/>
      <c r="EF48" s="1120"/>
      <c r="EG48" s="1120"/>
      <c r="EH48" s="1120"/>
      <c r="EI48" s="1120"/>
      <c r="EJ48" s="1120"/>
      <c r="EK48" s="1120"/>
      <c r="EL48" s="1120"/>
      <c r="EM48" s="1120"/>
      <c r="EN48" s="1120"/>
      <c r="EO48" s="1120"/>
      <c r="EP48" s="1120"/>
      <c r="EQ48" s="1120"/>
      <c r="ER48" s="1120"/>
      <c r="ES48" s="1120"/>
      <c r="ET48" s="1120"/>
      <c r="EU48" s="1120"/>
      <c r="EW48" s="155"/>
      <c r="EX48" s="552"/>
      <c r="EY48" s="552"/>
      <c r="EZ48" s="552"/>
      <c r="FA48" s="552"/>
      <c r="FB48" s="552"/>
      <c r="FC48" s="552"/>
      <c r="FD48" s="552"/>
      <c r="FE48" s="552"/>
      <c r="FF48" s="552"/>
      <c r="FG48" s="552"/>
      <c r="FH48" s="552"/>
      <c r="FI48" s="552"/>
      <c r="FJ48" s="552"/>
      <c r="FK48" s="552"/>
      <c r="FL48" s="552"/>
      <c r="FM48" s="552"/>
      <c r="FN48" s="552"/>
      <c r="FO48" s="552"/>
      <c r="FP48" s="552"/>
      <c r="FQ48" s="552"/>
      <c r="FR48" s="552"/>
      <c r="FS48" s="552"/>
      <c r="FT48" s="552"/>
      <c r="FU48" s="552"/>
      <c r="FV48" s="552"/>
      <c r="FW48" s="552"/>
      <c r="FX48" s="552"/>
      <c r="FY48" s="552"/>
      <c r="FZ48" s="552"/>
      <c r="GA48" s="552"/>
      <c r="GB48" s="552"/>
      <c r="GC48" s="552"/>
      <c r="GD48" s="552"/>
      <c r="GE48" s="552"/>
      <c r="GF48" s="552"/>
      <c r="GG48" s="552"/>
      <c r="GH48" s="552"/>
      <c r="GI48" s="552"/>
      <c r="GJ48" s="552"/>
      <c r="GK48" s="552"/>
      <c r="GL48" s="552"/>
      <c r="GM48" s="552"/>
      <c r="GN48" s="552"/>
      <c r="GO48" s="552"/>
      <c r="GP48" s="552"/>
      <c r="GQ48" s="552"/>
      <c r="GR48" s="552"/>
      <c r="GS48" s="552"/>
      <c r="GT48" s="552"/>
      <c r="GU48" s="552"/>
      <c r="GV48" s="552"/>
      <c r="GW48" s="552"/>
      <c r="GX48" s="552"/>
      <c r="GY48" s="552"/>
      <c r="GZ48" s="552"/>
      <c r="HA48" s="552"/>
      <c r="HB48" s="552"/>
      <c r="HC48" s="552"/>
      <c r="HD48" s="552"/>
      <c r="HE48" s="552"/>
      <c r="HF48" s="552"/>
      <c r="HG48" s="552"/>
      <c r="HH48" s="552"/>
      <c r="HI48" s="552"/>
      <c r="HJ48" s="552"/>
      <c r="HK48" s="552"/>
      <c r="HL48" s="552"/>
      <c r="HM48" s="552"/>
      <c r="HN48" s="552"/>
      <c r="HO48" s="552"/>
      <c r="HP48" s="552"/>
      <c r="HQ48" s="552"/>
      <c r="HR48" s="552"/>
      <c r="HS48" s="552"/>
      <c r="HT48" s="155"/>
      <c r="HU48" s="155"/>
      <c r="HV48" s="552"/>
      <c r="HW48" s="552"/>
      <c r="HX48" s="552"/>
      <c r="HY48" s="552"/>
      <c r="HZ48" s="552"/>
      <c r="IA48" s="552"/>
      <c r="IB48" s="552"/>
      <c r="IC48" s="552"/>
      <c r="ID48" s="552"/>
      <c r="IE48" s="552"/>
      <c r="IF48" s="552"/>
      <c r="IG48" s="552"/>
      <c r="IH48" s="552"/>
      <c r="II48" s="552"/>
      <c r="IJ48" s="552"/>
      <c r="IK48" s="552"/>
      <c r="IL48" s="552"/>
      <c r="IM48" s="552"/>
      <c r="IN48" s="552"/>
      <c r="IO48" s="552"/>
      <c r="IP48" s="552"/>
      <c r="IQ48" s="552"/>
      <c r="IR48" s="552"/>
      <c r="IS48" s="552"/>
      <c r="IT48" s="552"/>
      <c r="IU48" s="552"/>
      <c r="IV48" s="552"/>
      <c r="IW48" s="552"/>
      <c r="IX48" s="552"/>
      <c r="IY48" s="552"/>
      <c r="IZ48" s="552"/>
      <c r="JA48" s="552"/>
      <c r="JB48" s="552"/>
      <c r="JC48" s="552"/>
      <c r="JD48" s="552"/>
      <c r="JE48" s="552"/>
      <c r="JF48" s="552"/>
      <c r="JG48" s="552"/>
      <c r="JH48" s="552"/>
      <c r="JI48" s="552"/>
      <c r="JJ48" s="552"/>
      <c r="JK48" s="552"/>
      <c r="JL48" s="552"/>
      <c r="JM48" s="552"/>
      <c r="JN48" s="552"/>
      <c r="JO48" s="552"/>
      <c r="JP48" s="552"/>
      <c r="JQ48" s="552"/>
      <c r="JR48" s="552"/>
      <c r="JS48" s="552"/>
      <c r="JT48" s="552"/>
      <c r="JU48" s="552"/>
      <c r="JV48" s="552"/>
      <c r="JW48" s="552"/>
      <c r="JX48" s="552"/>
      <c r="JY48" s="552"/>
      <c r="JZ48" s="552"/>
      <c r="KA48" s="552"/>
      <c r="KB48" s="552"/>
      <c r="KC48" s="552"/>
      <c r="KD48" s="552"/>
      <c r="KE48" s="552"/>
      <c r="KF48" s="552"/>
      <c r="KG48" s="552"/>
      <c r="KH48" s="552"/>
      <c r="KI48" s="552"/>
      <c r="KJ48" s="552"/>
      <c r="KK48" s="552"/>
      <c r="KL48" s="552"/>
      <c r="KM48" s="552"/>
      <c r="KN48" s="552"/>
      <c r="KO48" s="552"/>
      <c r="KP48" s="552"/>
      <c r="KQ48" s="552"/>
      <c r="KR48" s="155"/>
      <c r="KS48" s="155"/>
      <c r="KT48" s="136"/>
      <c r="KU48" s="136"/>
      <c r="KV48" s="1120"/>
      <c r="KW48" s="1120"/>
      <c r="KX48" s="1120"/>
      <c r="KY48" s="1120"/>
      <c r="KZ48" s="1120"/>
      <c r="LA48" s="1120"/>
      <c r="LB48" s="1120"/>
      <c r="LC48" s="1120"/>
      <c r="LD48" s="1120"/>
      <c r="LE48" s="1120"/>
      <c r="LF48" s="1120"/>
      <c r="LG48" s="1120"/>
      <c r="LH48" s="1120"/>
      <c r="LI48" s="1120"/>
      <c r="LJ48" s="1120"/>
      <c r="LK48" s="1120"/>
      <c r="LL48" s="1120"/>
      <c r="LM48" s="1120"/>
      <c r="LN48" s="1120"/>
      <c r="LO48" s="1120"/>
      <c r="LP48" s="1120"/>
      <c r="LQ48" s="1120"/>
      <c r="LR48" s="1120"/>
      <c r="LS48" s="1120"/>
      <c r="LT48" s="1120"/>
      <c r="LV48" s="1122"/>
      <c r="LW48" s="1122"/>
      <c r="LX48" s="1122"/>
      <c r="LY48" s="1122"/>
      <c r="MA48" s="1122"/>
      <c r="MB48" s="1122"/>
      <c r="MC48" s="1122"/>
      <c r="MD48" s="1122"/>
      <c r="ME48" s="1122"/>
      <c r="MF48" s="1122"/>
      <c r="MG48" s="1122"/>
      <c r="MH48" s="1122"/>
      <c r="MI48" s="1122"/>
      <c r="MK48" s="1122"/>
      <c r="ML48" s="1122"/>
      <c r="MM48" s="1122"/>
      <c r="MN48" s="1122"/>
      <c r="MO48" s="1122"/>
      <c r="NP48" s="155"/>
      <c r="NQ48" s="155"/>
      <c r="QN48" s="155"/>
      <c r="QO48" s="155"/>
      <c r="TL48" s="155"/>
    </row>
    <row r="49" spans="1:532" ht="6.75" customHeight="1" x14ac:dyDescent="0.25">
      <c r="A49" s="155"/>
      <c r="B49" s="512"/>
      <c r="C49" s="1192"/>
      <c r="D49" s="1193"/>
      <c r="E49" s="1193"/>
      <c r="F49" s="1193"/>
      <c r="G49" s="1193"/>
      <c r="H49" s="1193"/>
      <c r="I49" s="1193"/>
      <c r="J49" s="1193"/>
      <c r="K49" s="1193"/>
      <c r="L49" s="1193"/>
      <c r="M49" s="1193"/>
      <c r="N49" s="1193"/>
      <c r="O49" s="1193"/>
      <c r="P49" s="1193"/>
      <c r="Q49" s="1193"/>
      <c r="R49" s="1193"/>
      <c r="S49" s="1193"/>
      <c r="T49" s="1193"/>
      <c r="U49" s="1193"/>
      <c r="V49" s="1193"/>
      <c r="W49" s="1193"/>
      <c r="X49" s="1193"/>
      <c r="Y49" s="1193"/>
      <c r="Z49" s="1193"/>
      <c r="AA49" s="1193"/>
      <c r="AB49" s="1193"/>
      <c r="AC49" s="1193"/>
      <c r="AD49" s="1193"/>
      <c r="AE49" s="1193"/>
      <c r="AF49" s="1193"/>
      <c r="AG49" s="1193"/>
      <c r="AH49" s="1193"/>
      <c r="AI49" s="1193"/>
      <c r="AJ49" s="1193"/>
      <c r="AK49" s="1193"/>
      <c r="AL49" s="1194"/>
      <c r="AM49" s="508"/>
      <c r="AN49" s="508"/>
      <c r="AO49" s="1199"/>
      <c r="AP49" s="1199"/>
      <c r="AQ49" s="1199"/>
      <c r="AR49" s="1199"/>
      <c r="AS49" s="1199"/>
      <c r="AT49" s="1199"/>
      <c r="AU49" s="1199"/>
      <c r="AV49" s="1199"/>
      <c r="AW49" s="1199"/>
      <c r="AX49" s="1199"/>
      <c r="AY49" s="1199"/>
      <c r="AZ49" s="1199"/>
      <c r="BA49" s="1199"/>
      <c r="BB49" s="1227"/>
      <c r="BC49" s="1227"/>
      <c r="BD49" s="1227"/>
      <c r="BE49" s="1227"/>
      <c r="BF49" s="1198"/>
      <c r="BG49" s="1198"/>
      <c r="BH49" s="1198"/>
      <c r="BI49" s="1198"/>
      <c r="BJ49" s="1198"/>
      <c r="BK49" s="1198"/>
      <c r="BL49" s="1198"/>
      <c r="BM49" s="1198"/>
      <c r="BN49" s="1198"/>
      <c r="BO49" s="1198"/>
      <c r="BP49" s="1198"/>
      <c r="BQ49" s="1198"/>
      <c r="BR49" s="1198"/>
      <c r="BS49" s="1198"/>
      <c r="BT49" s="1198"/>
      <c r="BU49" s="1198"/>
      <c r="BV49" s="1198"/>
      <c r="BW49" s="513"/>
      <c r="BX49" s="155"/>
      <c r="BY49" s="155"/>
      <c r="BZ49" s="150"/>
      <c r="CA49" s="1234"/>
      <c r="CB49" s="1234"/>
      <c r="CC49" s="1234"/>
      <c r="CD49" s="1234"/>
      <c r="CE49" s="1234"/>
      <c r="CF49" s="1234"/>
      <c r="CG49" s="1234"/>
      <c r="CH49" s="1234"/>
      <c r="CI49" s="1234"/>
      <c r="CJ49" s="1234"/>
      <c r="CK49" s="1234"/>
      <c r="CL49" s="1234"/>
      <c r="CM49" s="1234"/>
      <c r="CN49" s="1234"/>
      <c r="CO49" s="1234"/>
      <c r="CP49" s="1234"/>
      <c r="CQ49" s="1234"/>
      <c r="CR49" s="1234"/>
      <c r="CS49" s="1234"/>
      <c r="CT49" s="1234"/>
      <c r="CU49" s="1234"/>
      <c r="CV49" s="1234"/>
      <c r="CW49" s="1234"/>
      <c r="CX49" s="1234"/>
      <c r="CZ49" s="1119"/>
      <c r="DA49" s="1119"/>
      <c r="DB49" s="1119"/>
      <c r="DC49" s="1119"/>
      <c r="DD49" s="1119"/>
      <c r="DE49" s="1119"/>
      <c r="DF49" s="1119"/>
      <c r="DG49" s="1119"/>
      <c r="DH49" s="1119"/>
      <c r="DI49" s="1119"/>
      <c r="DJ49" s="1119"/>
      <c r="DK49" s="1119"/>
      <c r="DL49" s="1119"/>
      <c r="DM49" s="1119"/>
      <c r="DN49" s="1119"/>
      <c r="DO49" s="1119"/>
      <c r="DP49" s="1119"/>
      <c r="DQ49" s="1119"/>
      <c r="DR49" s="1119"/>
      <c r="DS49" s="1119"/>
      <c r="DT49" s="1119"/>
      <c r="DU49" s="1119"/>
      <c r="DV49" s="1119"/>
      <c r="DW49" s="1119"/>
      <c r="DY49" s="1121"/>
      <c r="DZ49" s="1121"/>
      <c r="EA49" s="1121"/>
      <c r="EB49" s="1121"/>
      <c r="EC49" s="1121"/>
      <c r="ED49" s="1121"/>
      <c r="EE49" s="1121"/>
      <c r="EF49" s="1121"/>
      <c r="EG49" s="1121"/>
      <c r="EH49" s="1121"/>
      <c r="EI49" s="1121"/>
      <c r="EJ49" s="1121"/>
      <c r="EK49" s="1121"/>
      <c r="EL49" s="1121"/>
      <c r="EM49" s="1121"/>
      <c r="EN49" s="1121"/>
      <c r="EO49" s="1121"/>
      <c r="EP49" s="1121"/>
      <c r="EQ49" s="1121"/>
      <c r="ER49" s="1121"/>
      <c r="ES49" s="1121"/>
      <c r="ET49" s="1121"/>
      <c r="EU49" s="1121"/>
      <c r="EW49" s="155"/>
      <c r="EX49" s="552"/>
      <c r="EY49" s="552"/>
      <c r="EZ49" s="552"/>
      <c r="FA49" s="552"/>
      <c r="FB49" s="552"/>
      <c r="FC49" s="552"/>
      <c r="FD49" s="552"/>
      <c r="FE49" s="552"/>
      <c r="FF49" s="552"/>
      <c r="FG49" s="552"/>
      <c r="FH49" s="552"/>
      <c r="FI49" s="552"/>
      <c r="FJ49" s="552"/>
      <c r="FK49" s="552"/>
      <c r="FL49" s="552"/>
      <c r="FM49" s="552"/>
      <c r="FN49" s="552"/>
      <c r="FO49" s="552"/>
      <c r="FP49" s="552"/>
      <c r="FQ49" s="552"/>
      <c r="FR49" s="552"/>
      <c r="FS49" s="552"/>
      <c r="FT49" s="552"/>
      <c r="FU49" s="552"/>
      <c r="FV49" s="552"/>
      <c r="FW49" s="552"/>
      <c r="FX49" s="552"/>
      <c r="FY49" s="552"/>
      <c r="FZ49" s="552"/>
      <c r="GA49" s="552"/>
      <c r="GB49" s="552"/>
      <c r="GC49" s="552"/>
      <c r="GD49" s="552"/>
      <c r="GE49" s="552"/>
      <c r="GF49" s="552"/>
      <c r="GG49" s="552"/>
      <c r="GH49" s="552"/>
      <c r="GI49" s="552"/>
      <c r="GJ49" s="552"/>
      <c r="GK49" s="552"/>
      <c r="GL49" s="552"/>
      <c r="GM49" s="552"/>
      <c r="GN49" s="552"/>
      <c r="GO49" s="552"/>
      <c r="GP49" s="552"/>
      <c r="GQ49" s="552"/>
      <c r="GR49" s="552"/>
      <c r="GS49" s="552"/>
      <c r="GT49" s="552"/>
      <c r="GU49" s="552"/>
      <c r="GV49" s="552"/>
      <c r="GW49" s="552"/>
      <c r="GX49" s="552"/>
      <c r="GY49" s="552"/>
      <c r="GZ49" s="552"/>
      <c r="HA49" s="552"/>
      <c r="HB49" s="552"/>
      <c r="HC49" s="552"/>
      <c r="HD49" s="552"/>
      <c r="HE49" s="552"/>
      <c r="HF49" s="552"/>
      <c r="HG49" s="552"/>
      <c r="HH49" s="552"/>
      <c r="HI49" s="552"/>
      <c r="HJ49" s="552"/>
      <c r="HK49" s="552"/>
      <c r="HL49" s="552"/>
      <c r="HM49" s="552"/>
      <c r="HN49" s="552"/>
      <c r="HO49" s="552"/>
      <c r="HP49" s="552"/>
      <c r="HQ49" s="552"/>
      <c r="HR49" s="552"/>
      <c r="HS49" s="552"/>
      <c r="HT49" s="155"/>
      <c r="HU49" s="155"/>
      <c r="HV49" s="552"/>
      <c r="HW49" s="552"/>
      <c r="HX49" s="552"/>
      <c r="HY49" s="552"/>
      <c r="HZ49" s="552"/>
      <c r="IA49" s="552"/>
      <c r="IB49" s="552"/>
      <c r="IC49" s="552"/>
      <c r="ID49" s="552"/>
      <c r="IE49" s="552"/>
      <c r="IF49" s="552"/>
      <c r="IG49" s="552"/>
      <c r="IH49" s="552"/>
      <c r="II49" s="552"/>
      <c r="IJ49" s="552"/>
      <c r="IK49" s="552"/>
      <c r="IL49" s="552"/>
      <c r="IM49" s="552"/>
      <c r="IN49" s="552"/>
      <c r="IO49" s="552"/>
      <c r="IP49" s="552"/>
      <c r="IQ49" s="552"/>
      <c r="IR49" s="552"/>
      <c r="IS49" s="552"/>
      <c r="IT49" s="552"/>
      <c r="IU49" s="552"/>
      <c r="IV49" s="552"/>
      <c r="IW49" s="552"/>
      <c r="IX49" s="552"/>
      <c r="IY49" s="552"/>
      <c r="IZ49" s="552"/>
      <c r="JA49" s="552"/>
      <c r="JB49" s="552"/>
      <c r="JC49" s="552"/>
      <c r="JD49" s="552"/>
      <c r="JE49" s="552"/>
      <c r="JF49" s="552"/>
      <c r="JG49" s="552"/>
      <c r="JH49" s="552"/>
      <c r="JI49" s="552"/>
      <c r="JJ49" s="552"/>
      <c r="JK49" s="552"/>
      <c r="JL49" s="552"/>
      <c r="JM49" s="552"/>
      <c r="JN49" s="552"/>
      <c r="JO49" s="552"/>
      <c r="JP49" s="552"/>
      <c r="JQ49" s="552"/>
      <c r="JR49" s="552"/>
      <c r="JS49" s="552"/>
      <c r="JT49" s="552"/>
      <c r="JU49" s="552"/>
      <c r="JV49" s="552"/>
      <c r="JW49" s="552"/>
      <c r="JX49" s="552"/>
      <c r="JY49" s="552"/>
      <c r="JZ49" s="552"/>
      <c r="KA49" s="552"/>
      <c r="KB49" s="552"/>
      <c r="KC49" s="552"/>
      <c r="KD49" s="552"/>
      <c r="KE49" s="552"/>
      <c r="KF49" s="552"/>
      <c r="KG49" s="552"/>
      <c r="KH49" s="552"/>
      <c r="KI49" s="552"/>
      <c r="KJ49" s="552"/>
      <c r="KK49" s="552"/>
      <c r="KL49" s="552"/>
      <c r="KM49" s="552"/>
      <c r="KN49" s="552"/>
      <c r="KO49" s="552"/>
      <c r="KP49" s="552"/>
      <c r="KQ49" s="552"/>
      <c r="KR49" s="155"/>
      <c r="KS49" s="155"/>
      <c r="KV49" s="1121"/>
      <c r="KW49" s="1121"/>
      <c r="KX49" s="1121"/>
      <c r="KY49" s="1121"/>
      <c r="KZ49" s="1121"/>
      <c r="LA49" s="1121"/>
      <c r="LB49" s="1121"/>
      <c r="LC49" s="1121"/>
      <c r="LD49" s="1121"/>
      <c r="LE49" s="1121"/>
      <c r="LF49" s="1121"/>
      <c r="LG49" s="1121"/>
      <c r="LH49" s="1121"/>
      <c r="LI49" s="1121"/>
      <c r="LJ49" s="1121"/>
      <c r="LK49" s="1121"/>
      <c r="LL49" s="1121"/>
      <c r="LM49" s="1121"/>
      <c r="LN49" s="1121"/>
      <c r="LO49" s="1121"/>
      <c r="LP49" s="1121"/>
      <c r="LQ49" s="1121"/>
      <c r="LR49" s="1121"/>
      <c r="LS49" s="1121"/>
      <c r="LT49" s="1121"/>
      <c r="LV49" s="1123"/>
      <c r="LW49" s="1123"/>
      <c r="LX49" s="1123"/>
      <c r="LY49" s="1123"/>
      <c r="MA49" s="1123"/>
      <c r="MB49" s="1123"/>
      <c r="MC49" s="1123"/>
      <c r="MD49" s="1123"/>
      <c r="ME49" s="1123"/>
      <c r="MF49" s="1123"/>
      <c r="MG49" s="1123"/>
      <c r="MH49" s="1123"/>
      <c r="MI49" s="1123"/>
      <c r="MK49" s="1123"/>
      <c r="ML49" s="1123"/>
      <c r="MM49" s="1123"/>
      <c r="MN49" s="1123"/>
      <c r="MO49" s="1123"/>
      <c r="NP49" s="155"/>
      <c r="NQ49" s="155"/>
      <c r="QN49" s="155"/>
      <c r="QO49" s="155"/>
      <c r="TL49" s="155"/>
    </row>
    <row r="50" spans="1:532" ht="6.75" customHeight="1" x14ac:dyDescent="0.25">
      <c r="A50" s="155"/>
      <c r="B50" s="512"/>
      <c r="C50" s="1192"/>
      <c r="D50" s="1193"/>
      <c r="E50" s="1193"/>
      <c r="F50" s="1193"/>
      <c r="G50" s="1193"/>
      <c r="H50" s="1193"/>
      <c r="I50" s="1193"/>
      <c r="J50" s="1193"/>
      <c r="K50" s="1193"/>
      <c r="L50" s="1193"/>
      <c r="M50" s="1193"/>
      <c r="N50" s="1193"/>
      <c r="O50" s="1193"/>
      <c r="P50" s="1193"/>
      <c r="Q50" s="1193"/>
      <c r="R50" s="1193"/>
      <c r="S50" s="1193"/>
      <c r="T50" s="1193"/>
      <c r="U50" s="1193"/>
      <c r="V50" s="1193"/>
      <c r="W50" s="1193"/>
      <c r="X50" s="1193"/>
      <c r="Y50" s="1193"/>
      <c r="Z50" s="1193"/>
      <c r="AA50" s="1193"/>
      <c r="AB50" s="1193"/>
      <c r="AC50" s="1193"/>
      <c r="AD50" s="1193"/>
      <c r="AE50" s="1193"/>
      <c r="AF50" s="1193"/>
      <c r="AG50" s="1193"/>
      <c r="AH50" s="1193"/>
      <c r="AI50" s="1193"/>
      <c r="AJ50" s="1193"/>
      <c r="AK50" s="1193"/>
      <c r="AL50" s="1194"/>
      <c r="AM50" s="508"/>
      <c r="AN50" s="508"/>
      <c r="AO50" s="1199" t="s">
        <v>74</v>
      </c>
      <c r="AP50" s="1199"/>
      <c r="AQ50" s="1199"/>
      <c r="AR50" s="1199"/>
      <c r="AS50" s="1199"/>
      <c r="AT50" s="1199"/>
      <c r="AU50" s="1199"/>
      <c r="AV50" s="1199"/>
      <c r="AW50" s="1199"/>
      <c r="AX50" s="1199"/>
      <c r="AY50" s="1199"/>
      <c r="AZ50" s="1199"/>
      <c r="BA50" s="1199"/>
      <c r="BB50" s="1227" t="s">
        <v>8</v>
      </c>
      <c r="BC50" s="1227"/>
      <c r="BD50" s="1227"/>
      <c r="BE50" s="1227"/>
      <c r="BF50" s="1198"/>
      <c r="BG50" s="1198"/>
      <c r="BH50" s="1198"/>
      <c r="BI50" s="1198"/>
      <c r="BJ50" s="1198"/>
      <c r="BK50" s="1198"/>
      <c r="BL50" s="1198"/>
      <c r="BM50" s="1198"/>
      <c r="BN50" s="1198"/>
      <c r="BO50" s="1198"/>
      <c r="BP50" s="1198"/>
      <c r="BQ50" s="1198"/>
      <c r="BR50" s="1198"/>
      <c r="BS50" s="1198">
        <f>DeceptionValue</f>
        <v>0</v>
      </c>
      <c r="BT50" s="1198"/>
      <c r="BU50" s="1198"/>
      <c r="BV50" s="1198"/>
      <c r="BW50" s="513"/>
      <c r="BX50" s="155"/>
      <c r="BY50" s="155"/>
      <c r="BZ50" s="150"/>
      <c r="CA50" s="1234"/>
      <c r="CB50" s="1234"/>
      <c r="CC50" s="1234"/>
      <c r="CD50" s="1234"/>
      <c r="CE50" s="1234"/>
      <c r="CF50" s="1234"/>
      <c r="CG50" s="1234"/>
      <c r="CH50" s="1234"/>
      <c r="CI50" s="1234"/>
      <c r="CJ50" s="1234"/>
      <c r="CK50" s="1234"/>
      <c r="CL50" s="1234"/>
      <c r="CM50" s="1234"/>
      <c r="CN50" s="1234"/>
      <c r="CO50" s="1234"/>
      <c r="CP50" s="1234"/>
      <c r="CQ50" s="1234"/>
      <c r="CR50" s="1234"/>
      <c r="CS50" s="1234"/>
      <c r="CT50" s="1234"/>
      <c r="CU50" s="1234"/>
      <c r="CV50" s="1234"/>
      <c r="CW50" s="1234"/>
      <c r="CX50" s="1234"/>
      <c r="CZ50" s="1119"/>
      <c r="DA50" s="1119"/>
      <c r="DB50" s="1119"/>
      <c r="DC50" s="1119"/>
      <c r="DD50" s="1119"/>
      <c r="DE50" s="1119"/>
      <c r="DF50" s="1119"/>
      <c r="DG50" s="1119"/>
      <c r="DH50" s="1119"/>
      <c r="DI50" s="1119"/>
      <c r="DJ50" s="1119"/>
      <c r="DK50" s="1119"/>
      <c r="DL50" s="1119"/>
      <c r="DM50" s="1119"/>
      <c r="DN50" s="1119"/>
      <c r="DO50" s="1119"/>
      <c r="DP50" s="1119"/>
      <c r="DQ50" s="1119"/>
      <c r="DR50" s="1119"/>
      <c r="DS50" s="1119"/>
      <c r="DT50" s="1119"/>
      <c r="DU50" s="1119"/>
      <c r="DV50" s="1119"/>
      <c r="DW50" s="1119"/>
      <c r="DY50" s="1120"/>
      <c r="DZ50" s="1120"/>
      <c r="EA50" s="1120"/>
      <c r="EB50" s="1120"/>
      <c r="EC50" s="1120"/>
      <c r="ED50" s="1120"/>
      <c r="EE50" s="1120"/>
      <c r="EF50" s="1120"/>
      <c r="EG50" s="1120"/>
      <c r="EH50" s="1120"/>
      <c r="EI50" s="1120"/>
      <c r="EJ50" s="1120"/>
      <c r="EK50" s="1120"/>
      <c r="EL50" s="1120"/>
      <c r="EM50" s="1120"/>
      <c r="EN50" s="1120"/>
      <c r="EO50" s="1120"/>
      <c r="EP50" s="1120"/>
      <c r="EQ50" s="1120"/>
      <c r="ER50" s="1120"/>
      <c r="ES50" s="1120"/>
      <c r="ET50" s="1120"/>
      <c r="EU50" s="1120"/>
      <c r="EW50" s="155"/>
      <c r="EX50" s="552"/>
      <c r="EY50" s="552"/>
      <c r="EZ50" s="552"/>
      <c r="FA50" s="552"/>
      <c r="FB50" s="552"/>
      <c r="FC50" s="552"/>
      <c r="FD50" s="552"/>
      <c r="FE50" s="552"/>
      <c r="FF50" s="552"/>
      <c r="FG50" s="552"/>
      <c r="FH50" s="552"/>
      <c r="FI50" s="552"/>
      <c r="FJ50" s="552"/>
      <c r="FK50" s="552"/>
      <c r="FL50" s="552"/>
      <c r="FM50" s="552"/>
      <c r="FN50" s="552"/>
      <c r="FO50" s="552"/>
      <c r="FP50" s="552"/>
      <c r="FQ50" s="552"/>
      <c r="FR50" s="552"/>
      <c r="FS50" s="552"/>
      <c r="FT50" s="552"/>
      <c r="FU50" s="552"/>
      <c r="FV50" s="552"/>
      <c r="FW50" s="552"/>
      <c r="FX50" s="552"/>
      <c r="FY50" s="552"/>
      <c r="FZ50" s="552"/>
      <c r="GA50" s="552"/>
      <c r="GB50" s="552"/>
      <c r="GC50" s="552"/>
      <c r="GD50" s="552"/>
      <c r="GE50" s="552"/>
      <c r="GF50" s="552"/>
      <c r="GG50" s="552"/>
      <c r="GH50" s="552"/>
      <c r="GI50" s="552"/>
      <c r="GJ50" s="552"/>
      <c r="GK50" s="552"/>
      <c r="GL50" s="552"/>
      <c r="GM50" s="552"/>
      <c r="GN50" s="552"/>
      <c r="GO50" s="552"/>
      <c r="GP50" s="552"/>
      <c r="GQ50" s="552"/>
      <c r="GR50" s="552"/>
      <c r="GS50" s="552"/>
      <c r="GT50" s="552"/>
      <c r="GU50" s="552"/>
      <c r="GV50" s="552"/>
      <c r="GW50" s="552"/>
      <c r="GX50" s="552"/>
      <c r="GY50" s="552"/>
      <c r="GZ50" s="552"/>
      <c r="HA50" s="552"/>
      <c r="HB50" s="552"/>
      <c r="HC50" s="552"/>
      <c r="HD50" s="552"/>
      <c r="HE50" s="552"/>
      <c r="HF50" s="552"/>
      <c r="HG50" s="552"/>
      <c r="HH50" s="552"/>
      <c r="HI50" s="552"/>
      <c r="HJ50" s="552"/>
      <c r="HK50" s="552"/>
      <c r="HL50" s="552"/>
      <c r="HM50" s="552"/>
      <c r="HN50" s="552"/>
      <c r="HO50" s="552"/>
      <c r="HP50" s="552"/>
      <c r="HQ50" s="552"/>
      <c r="HR50" s="552"/>
      <c r="HS50" s="552"/>
      <c r="HT50" s="155"/>
      <c r="HU50" s="155"/>
      <c r="HV50" s="552"/>
      <c r="HW50" s="552"/>
      <c r="HX50" s="552"/>
      <c r="HY50" s="552"/>
      <c r="HZ50" s="552"/>
      <c r="IA50" s="552"/>
      <c r="IB50" s="552"/>
      <c r="IC50" s="552"/>
      <c r="ID50" s="552"/>
      <c r="IE50" s="552"/>
      <c r="IF50" s="552"/>
      <c r="IG50" s="552"/>
      <c r="IH50" s="552"/>
      <c r="II50" s="552"/>
      <c r="IJ50" s="552"/>
      <c r="IK50" s="552"/>
      <c r="IL50" s="552"/>
      <c r="IM50" s="552"/>
      <c r="IN50" s="552"/>
      <c r="IO50" s="552"/>
      <c r="IP50" s="552"/>
      <c r="IQ50" s="552"/>
      <c r="IR50" s="552"/>
      <c r="IS50" s="552"/>
      <c r="IT50" s="552"/>
      <c r="IU50" s="552"/>
      <c r="IV50" s="552"/>
      <c r="IW50" s="552"/>
      <c r="IX50" s="552"/>
      <c r="IY50" s="552"/>
      <c r="IZ50" s="552"/>
      <c r="JA50" s="552"/>
      <c r="JB50" s="552"/>
      <c r="JC50" s="552"/>
      <c r="JD50" s="552"/>
      <c r="JE50" s="552"/>
      <c r="JF50" s="552"/>
      <c r="JG50" s="552"/>
      <c r="JH50" s="552"/>
      <c r="JI50" s="552"/>
      <c r="JJ50" s="552"/>
      <c r="JK50" s="552"/>
      <c r="JL50" s="552"/>
      <c r="JM50" s="552"/>
      <c r="JN50" s="552"/>
      <c r="JO50" s="552"/>
      <c r="JP50" s="552"/>
      <c r="JQ50" s="552"/>
      <c r="JR50" s="552"/>
      <c r="JS50" s="552"/>
      <c r="JT50" s="552"/>
      <c r="JU50" s="552"/>
      <c r="JV50" s="552"/>
      <c r="JW50" s="552"/>
      <c r="JX50" s="552"/>
      <c r="JY50" s="552"/>
      <c r="JZ50" s="552"/>
      <c r="KA50" s="552"/>
      <c r="KB50" s="552"/>
      <c r="KC50" s="552"/>
      <c r="KD50" s="552"/>
      <c r="KE50" s="552"/>
      <c r="KF50" s="552"/>
      <c r="KG50" s="552"/>
      <c r="KH50" s="552"/>
      <c r="KI50" s="552"/>
      <c r="KJ50" s="552"/>
      <c r="KK50" s="552"/>
      <c r="KL50" s="552"/>
      <c r="KM50" s="552"/>
      <c r="KN50" s="552"/>
      <c r="KO50" s="552"/>
      <c r="KP50" s="552"/>
      <c r="KQ50" s="552"/>
      <c r="KR50" s="155"/>
      <c r="KS50" s="155"/>
      <c r="KV50" s="1120"/>
      <c r="KW50" s="1120"/>
      <c r="KX50" s="1120"/>
      <c r="KY50" s="1120"/>
      <c r="KZ50" s="1120"/>
      <c r="LA50" s="1120"/>
      <c r="LB50" s="1120"/>
      <c r="LC50" s="1120"/>
      <c r="LD50" s="1120"/>
      <c r="LE50" s="1120"/>
      <c r="LF50" s="1120"/>
      <c r="LG50" s="1120"/>
      <c r="LH50" s="1120"/>
      <c r="LI50" s="1120"/>
      <c r="LJ50" s="1120"/>
      <c r="LK50" s="1120"/>
      <c r="LL50" s="1120"/>
      <c r="LM50" s="1120"/>
      <c r="LN50" s="1120"/>
      <c r="LO50" s="1120"/>
      <c r="LP50" s="1120"/>
      <c r="LQ50" s="1120"/>
      <c r="LR50" s="1120"/>
      <c r="LS50" s="1120"/>
      <c r="LT50" s="1120"/>
      <c r="LV50" s="1122"/>
      <c r="LW50" s="1122"/>
      <c r="LX50" s="1122"/>
      <c r="LY50" s="1122"/>
      <c r="MA50" s="1122"/>
      <c r="MB50" s="1122"/>
      <c r="MC50" s="1122"/>
      <c r="MD50" s="1122"/>
      <c r="ME50" s="1122"/>
      <c r="MF50" s="1122"/>
      <c r="MG50" s="1122"/>
      <c r="MH50" s="1122"/>
      <c r="MI50" s="1122"/>
      <c r="MK50" s="1122"/>
      <c r="ML50" s="1122"/>
      <c r="MM50" s="1122"/>
      <c r="MN50" s="1122"/>
      <c r="MO50" s="1122"/>
      <c r="NP50" s="155"/>
      <c r="NQ50" s="155"/>
      <c r="QN50" s="155"/>
      <c r="QO50" s="155"/>
      <c r="TL50" s="155"/>
    </row>
    <row r="51" spans="1:532" ht="6.75" customHeight="1" x14ac:dyDescent="0.25">
      <c r="A51" s="155"/>
      <c r="B51" s="512"/>
      <c r="C51" s="1192"/>
      <c r="D51" s="1193"/>
      <c r="E51" s="1193"/>
      <c r="F51" s="1193"/>
      <c r="G51" s="1193"/>
      <c r="H51" s="1193"/>
      <c r="I51" s="1193"/>
      <c r="J51" s="1193"/>
      <c r="K51" s="1193"/>
      <c r="L51" s="1193"/>
      <c r="M51" s="1193"/>
      <c r="N51" s="1193"/>
      <c r="O51" s="1193"/>
      <c r="P51" s="1193"/>
      <c r="Q51" s="1193"/>
      <c r="R51" s="1193"/>
      <c r="S51" s="1193"/>
      <c r="T51" s="1193"/>
      <c r="U51" s="1193"/>
      <c r="V51" s="1193"/>
      <c r="W51" s="1193"/>
      <c r="X51" s="1193"/>
      <c r="Y51" s="1193"/>
      <c r="Z51" s="1193"/>
      <c r="AA51" s="1193"/>
      <c r="AB51" s="1193"/>
      <c r="AC51" s="1193"/>
      <c r="AD51" s="1193"/>
      <c r="AE51" s="1193"/>
      <c r="AF51" s="1193"/>
      <c r="AG51" s="1193"/>
      <c r="AH51" s="1193"/>
      <c r="AI51" s="1193"/>
      <c r="AJ51" s="1193"/>
      <c r="AK51" s="1193"/>
      <c r="AL51" s="1194"/>
      <c r="AM51" s="508"/>
      <c r="AN51" s="508"/>
      <c r="AO51" s="1199"/>
      <c r="AP51" s="1199"/>
      <c r="AQ51" s="1199"/>
      <c r="AR51" s="1199"/>
      <c r="AS51" s="1199"/>
      <c r="AT51" s="1199"/>
      <c r="AU51" s="1199"/>
      <c r="AV51" s="1199"/>
      <c r="AW51" s="1199"/>
      <c r="AX51" s="1199"/>
      <c r="AY51" s="1199"/>
      <c r="AZ51" s="1199"/>
      <c r="BA51" s="1199"/>
      <c r="BB51" s="1227"/>
      <c r="BC51" s="1227"/>
      <c r="BD51" s="1227"/>
      <c r="BE51" s="1227"/>
      <c r="BF51" s="1198"/>
      <c r="BG51" s="1198"/>
      <c r="BH51" s="1198"/>
      <c r="BI51" s="1198"/>
      <c r="BJ51" s="1198"/>
      <c r="BK51" s="1198"/>
      <c r="BL51" s="1198"/>
      <c r="BM51" s="1198"/>
      <c r="BN51" s="1198"/>
      <c r="BO51" s="1198"/>
      <c r="BP51" s="1198"/>
      <c r="BQ51" s="1198"/>
      <c r="BR51" s="1198"/>
      <c r="BS51" s="1198"/>
      <c r="BT51" s="1198"/>
      <c r="BU51" s="1198"/>
      <c r="BV51" s="1198"/>
      <c r="BW51" s="513"/>
      <c r="BX51" s="155"/>
      <c r="BY51" s="155"/>
      <c r="BZ51" s="150"/>
      <c r="CA51" s="1234"/>
      <c r="CB51" s="1234"/>
      <c r="CC51" s="1234"/>
      <c r="CD51" s="1234"/>
      <c r="CE51" s="1234"/>
      <c r="CF51" s="1234"/>
      <c r="CG51" s="1234"/>
      <c r="CH51" s="1234"/>
      <c r="CI51" s="1234"/>
      <c r="CJ51" s="1234"/>
      <c r="CK51" s="1234"/>
      <c r="CL51" s="1234"/>
      <c r="CM51" s="1234"/>
      <c r="CN51" s="1234"/>
      <c r="CO51" s="1234"/>
      <c r="CP51" s="1234"/>
      <c r="CQ51" s="1234"/>
      <c r="CR51" s="1234"/>
      <c r="CS51" s="1234"/>
      <c r="CT51" s="1234"/>
      <c r="CU51" s="1234"/>
      <c r="CV51" s="1234"/>
      <c r="CW51" s="1234"/>
      <c r="CX51" s="1234"/>
      <c r="CZ51" s="1119"/>
      <c r="DA51" s="1119"/>
      <c r="DB51" s="1119"/>
      <c r="DC51" s="1119"/>
      <c r="DD51" s="1119"/>
      <c r="DE51" s="1119"/>
      <c r="DF51" s="1119"/>
      <c r="DG51" s="1119"/>
      <c r="DH51" s="1119"/>
      <c r="DI51" s="1119"/>
      <c r="DJ51" s="1119"/>
      <c r="DK51" s="1119"/>
      <c r="DL51" s="1119"/>
      <c r="DM51" s="1119"/>
      <c r="DN51" s="1119"/>
      <c r="DO51" s="1119"/>
      <c r="DP51" s="1119"/>
      <c r="DQ51" s="1119"/>
      <c r="DR51" s="1119"/>
      <c r="DS51" s="1119"/>
      <c r="DT51" s="1119"/>
      <c r="DU51" s="1119"/>
      <c r="DV51" s="1119"/>
      <c r="DW51" s="1119"/>
      <c r="DY51" s="1121"/>
      <c r="DZ51" s="1121"/>
      <c r="EA51" s="1121"/>
      <c r="EB51" s="1121"/>
      <c r="EC51" s="1121"/>
      <c r="ED51" s="1121"/>
      <c r="EE51" s="1121"/>
      <c r="EF51" s="1121"/>
      <c r="EG51" s="1121"/>
      <c r="EH51" s="1121"/>
      <c r="EI51" s="1121"/>
      <c r="EJ51" s="1121"/>
      <c r="EK51" s="1121"/>
      <c r="EL51" s="1121"/>
      <c r="EM51" s="1121"/>
      <c r="EN51" s="1121"/>
      <c r="EO51" s="1121"/>
      <c r="EP51" s="1121"/>
      <c r="EQ51" s="1121"/>
      <c r="ER51" s="1121"/>
      <c r="ES51" s="1121"/>
      <c r="ET51" s="1121"/>
      <c r="EU51" s="1121"/>
      <c r="EW51" s="155"/>
      <c r="EX51" s="552"/>
      <c r="EY51" s="552"/>
      <c r="EZ51" s="552"/>
      <c r="FA51" s="552"/>
      <c r="FB51" s="552"/>
      <c r="FC51" s="552"/>
      <c r="FD51" s="552"/>
      <c r="FE51" s="552"/>
      <c r="FF51" s="552"/>
      <c r="FG51" s="552"/>
      <c r="FH51" s="552"/>
      <c r="FI51" s="552"/>
      <c r="FJ51" s="552"/>
      <c r="FK51" s="552"/>
      <c r="FL51" s="552"/>
      <c r="FM51" s="552"/>
      <c r="FN51" s="552"/>
      <c r="FO51" s="552"/>
      <c r="FP51" s="552"/>
      <c r="FQ51" s="552"/>
      <c r="FR51" s="552"/>
      <c r="FS51" s="552"/>
      <c r="FT51" s="552"/>
      <c r="FU51" s="552"/>
      <c r="FV51" s="552"/>
      <c r="FW51" s="552"/>
      <c r="FX51" s="552"/>
      <c r="FY51" s="552"/>
      <c r="FZ51" s="552"/>
      <c r="GA51" s="552"/>
      <c r="GB51" s="552"/>
      <c r="GC51" s="552"/>
      <c r="GD51" s="552"/>
      <c r="GE51" s="552"/>
      <c r="GF51" s="552"/>
      <c r="GG51" s="552"/>
      <c r="GH51" s="552"/>
      <c r="GI51" s="552"/>
      <c r="GJ51" s="552"/>
      <c r="GK51" s="552"/>
      <c r="GL51" s="552"/>
      <c r="GM51" s="552"/>
      <c r="GN51" s="552"/>
      <c r="GO51" s="552"/>
      <c r="GP51" s="552"/>
      <c r="GQ51" s="552"/>
      <c r="GR51" s="552"/>
      <c r="GS51" s="552"/>
      <c r="GT51" s="552"/>
      <c r="GU51" s="552"/>
      <c r="GV51" s="552"/>
      <c r="GW51" s="552"/>
      <c r="GX51" s="552"/>
      <c r="GY51" s="552"/>
      <c r="GZ51" s="552"/>
      <c r="HA51" s="552"/>
      <c r="HB51" s="552"/>
      <c r="HC51" s="552"/>
      <c r="HD51" s="552"/>
      <c r="HE51" s="552"/>
      <c r="HF51" s="552"/>
      <c r="HG51" s="552"/>
      <c r="HH51" s="552"/>
      <c r="HI51" s="552"/>
      <c r="HJ51" s="552"/>
      <c r="HK51" s="552"/>
      <c r="HL51" s="552"/>
      <c r="HM51" s="552"/>
      <c r="HN51" s="552"/>
      <c r="HO51" s="552"/>
      <c r="HP51" s="552"/>
      <c r="HQ51" s="552"/>
      <c r="HR51" s="552"/>
      <c r="HS51" s="552"/>
      <c r="HT51" s="155"/>
      <c r="HU51" s="155"/>
      <c r="HV51" s="552"/>
      <c r="HW51" s="552"/>
      <c r="HX51" s="552"/>
      <c r="HY51" s="552"/>
      <c r="HZ51" s="552"/>
      <c r="IA51" s="552"/>
      <c r="IB51" s="552"/>
      <c r="IC51" s="552"/>
      <c r="ID51" s="552"/>
      <c r="IE51" s="552"/>
      <c r="IF51" s="552"/>
      <c r="IG51" s="552"/>
      <c r="IH51" s="552"/>
      <c r="II51" s="552"/>
      <c r="IJ51" s="552"/>
      <c r="IK51" s="552"/>
      <c r="IL51" s="552"/>
      <c r="IM51" s="552"/>
      <c r="IN51" s="552"/>
      <c r="IO51" s="552"/>
      <c r="IP51" s="552"/>
      <c r="IQ51" s="552"/>
      <c r="IR51" s="552"/>
      <c r="IS51" s="552"/>
      <c r="IT51" s="552"/>
      <c r="IU51" s="552"/>
      <c r="IV51" s="552"/>
      <c r="IW51" s="552"/>
      <c r="IX51" s="552"/>
      <c r="IY51" s="552"/>
      <c r="IZ51" s="552"/>
      <c r="JA51" s="552"/>
      <c r="JB51" s="552"/>
      <c r="JC51" s="552"/>
      <c r="JD51" s="552"/>
      <c r="JE51" s="552"/>
      <c r="JF51" s="552"/>
      <c r="JG51" s="552"/>
      <c r="JH51" s="552"/>
      <c r="JI51" s="552"/>
      <c r="JJ51" s="552"/>
      <c r="JK51" s="552"/>
      <c r="JL51" s="552"/>
      <c r="JM51" s="552"/>
      <c r="JN51" s="552"/>
      <c r="JO51" s="552"/>
      <c r="JP51" s="552"/>
      <c r="JQ51" s="552"/>
      <c r="JR51" s="552"/>
      <c r="JS51" s="552"/>
      <c r="JT51" s="552"/>
      <c r="JU51" s="552"/>
      <c r="JV51" s="552"/>
      <c r="JW51" s="552"/>
      <c r="JX51" s="552"/>
      <c r="JY51" s="552"/>
      <c r="JZ51" s="552"/>
      <c r="KA51" s="552"/>
      <c r="KB51" s="552"/>
      <c r="KC51" s="552"/>
      <c r="KD51" s="552"/>
      <c r="KE51" s="552"/>
      <c r="KF51" s="552"/>
      <c r="KG51" s="552"/>
      <c r="KH51" s="552"/>
      <c r="KI51" s="552"/>
      <c r="KJ51" s="552"/>
      <c r="KK51" s="552"/>
      <c r="KL51" s="552"/>
      <c r="KM51" s="552"/>
      <c r="KN51" s="552"/>
      <c r="KO51" s="552"/>
      <c r="KP51" s="552"/>
      <c r="KQ51" s="552"/>
      <c r="KR51" s="155"/>
      <c r="KS51" s="155"/>
      <c r="KV51" s="1121"/>
      <c r="KW51" s="1121"/>
      <c r="KX51" s="1121"/>
      <c r="KY51" s="1121"/>
      <c r="KZ51" s="1121"/>
      <c r="LA51" s="1121"/>
      <c r="LB51" s="1121"/>
      <c r="LC51" s="1121"/>
      <c r="LD51" s="1121"/>
      <c r="LE51" s="1121"/>
      <c r="LF51" s="1121"/>
      <c r="LG51" s="1121"/>
      <c r="LH51" s="1121"/>
      <c r="LI51" s="1121"/>
      <c r="LJ51" s="1121"/>
      <c r="LK51" s="1121"/>
      <c r="LL51" s="1121"/>
      <c r="LM51" s="1121"/>
      <c r="LN51" s="1121"/>
      <c r="LO51" s="1121"/>
      <c r="LP51" s="1121"/>
      <c r="LQ51" s="1121"/>
      <c r="LR51" s="1121"/>
      <c r="LS51" s="1121"/>
      <c r="LT51" s="1121"/>
      <c r="LV51" s="1123"/>
      <c r="LW51" s="1123"/>
      <c r="LX51" s="1123"/>
      <c r="LY51" s="1123"/>
      <c r="MA51" s="1123"/>
      <c r="MB51" s="1123"/>
      <c r="MC51" s="1123"/>
      <c r="MD51" s="1123"/>
      <c r="ME51" s="1123"/>
      <c r="MF51" s="1123"/>
      <c r="MG51" s="1123"/>
      <c r="MH51" s="1123"/>
      <c r="MI51" s="1123"/>
      <c r="MK51" s="1123"/>
      <c r="ML51" s="1123"/>
      <c r="MM51" s="1123"/>
      <c r="MN51" s="1123"/>
      <c r="MO51" s="1123"/>
      <c r="NP51" s="155"/>
      <c r="NQ51" s="155"/>
      <c r="QN51" s="155"/>
      <c r="QO51" s="155"/>
      <c r="TL51" s="155"/>
    </row>
    <row r="52" spans="1:532" ht="6.75" customHeight="1" x14ac:dyDescent="0.25">
      <c r="A52" s="155"/>
      <c r="B52" s="512"/>
      <c r="C52" s="1192"/>
      <c r="D52" s="1193"/>
      <c r="E52" s="1193"/>
      <c r="F52" s="1193"/>
      <c r="G52" s="1193"/>
      <c r="H52" s="1193"/>
      <c r="I52" s="1193"/>
      <c r="J52" s="1193"/>
      <c r="K52" s="1193"/>
      <c r="L52" s="1193"/>
      <c r="M52" s="1193"/>
      <c r="N52" s="1193"/>
      <c r="O52" s="1193"/>
      <c r="P52" s="1193"/>
      <c r="Q52" s="1193"/>
      <c r="R52" s="1193"/>
      <c r="S52" s="1193"/>
      <c r="T52" s="1193"/>
      <c r="U52" s="1193"/>
      <c r="V52" s="1193"/>
      <c r="W52" s="1193"/>
      <c r="X52" s="1193"/>
      <c r="Y52" s="1193"/>
      <c r="Z52" s="1193"/>
      <c r="AA52" s="1193"/>
      <c r="AB52" s="1193"/>
      <c r="AC52" s="1193"/>
      <c r="AD52" s="1193"/>
      <c r="AE52" s="1193"/>
      <c r="AF52" s="1193"/>
      <c r="AG52" s="1193"/>
      <c r="AH52" s="1193"/>
      <c r="AI52" s="1193"/>
      <c r="AJ52" s="1193"/>
      <c r="AK52" s="1193"/>
      <c r="AL52" s="1194"/>
      <c r="AM52" s="508"/>
      <c r="AN52" s="508"/>
      <c r="AO52" s="1199" t="s">
        <v>84</v>
      </c>
      <c r="AP52" s="1199"/>
      <c r="AQ52" s="1199"/>
      <c r="AR52" s="1199"/>
      <c r="AS52" s="1199"/>
      <c r="AT52" s="1199"/>
      <c r="AU52" s="1199"/>
      <c r="AV52" s="1199"/>
      <c r="AW52" s="1199"/>
      <c r="AX52" s="1199"/>
      <c r="AY52" s="1199"/>
      <c r="AZ52" s="1199"/>
      <c r="BA52" s="1199"/>
      <c r="BB52" s="1227" t="s">
        <v>6</v>
      </c>
      <c r="BC52" s="1227"/>
      <c r="BD52" s="1227"/>
      <c r="BE52" s="1227"/>
      <c r="BF52" s="1198"/>
      <c r="BG52" s="1198"/>
      <c r="BH52" s="1198"/>
      <c r="BI52" s="1198"/>
      <c r="BJ52" s="1198"/>
      <c r="BK52" s="1198"/>
      <c r="BL52" s="1198"/>
      <c r="BM52" s="1198"/>
      <c r="BN52" s="1198"/>
      <c r="BO52" s="1198"/>
      <c r="BP52" s="1198"/>
      <c r="BQ52" s="1198"/>
      <c r="BR52" s="1198"/>
      <c r="BS52" s="1198">
        <f>HistoryValue</f>
        <v>11</v>
      </c>
      <c r="BT52" s="1198"/>
      <c r="BU52" s="1198"/>
      <c r="BV52" s="1198"/>
      <c r="BW52" s="513"/>
      <c r="BX52" s="155"/>
      <c r="BY52" s="155"/>
      <c r="BZ52" s="150"/>
      <c r="CA52" s="1234"/>
      <c r="CB52" s="1234"/>
      <c r="CC52" s="1234"/>
      <c r="CD52" s="1234"/>
      <c r="CE52" s="1234"/>
      <c r="CF52" s="1234"/>
      <c r="CG52" s="1234"/>
      <c r="CH52" s="1234"/>
      <c r="CI52" s="1234"/>
      <c r="CJ52" s="1234"/>
      <c r="CK52" s="1234"/>
      <c r="CL52" s="1234"/>
      <c r="CM52" s="1234"/>
      <c r="CN52" s="1234"/>
      <c r="CO52" s="1234"/>
      <c r="CP52" s="1234"/>
      <c r="CQ52" s="1234"/>
      <c r="CR52" s="1234"/>
      <c r="CS52" s="1234"/>
      <c r="CT52" s="1234"/>
      <c r="CU52" s="1234"/>
      <c r="CV52" s="1234"/>
      <c r="CW52" s="1234"/>
      <c r="CX52" s="1234"/>
      <c r="CZ52" s="1119"/>
      <c r="DA52" s="1119"/>
      <c r="DB52" s="1119"/>
      <c r="DC52" s="1119"/>
      <c r="DD52" s="1119"/>
      <c r="DE52" s="1119"/>
      <c r="DF52" s="1119"/>
      <c r="DG52" s="1119"/>
      <c r="DH52" s="1119"/>
      <c r="DI52" s="1119"/>
      <c r="DJ52" s="1119"/>
      <c r="DK52" s="1119"/>
      <c r="DL52" s="1119"/>
      <c r="DM52" s="1119"/>
      <c r="DN52" s="1119"/>
      <c r="DO52" s="1119"/>
      <c r="DP52" s="1119"/>
      <c r="DQ52" s="1119"/>
      <c r="DR52" s="1119"/>
      <c r="DS52" s="1119"/>
      <c r="DT52" s="1119"/>
      <c r="DU52" s="1119"/>
      <c r="DV52" s="1119"/>
      <c r="DW52" s="1119"/>
      <c r="DY52" s="1120"/>
      <c r="DZ52" s="1120"/>
      <c r="EA52" s="1120"/>
      <c r="EB52" s="1120"/>
      <c r="EC52" s="1120"/>
      <c r="ED52" s="1120"/>
      <c r="EE52" s="1120"/>
      <c r="EF52" s="1120"/>
      <c r="EG52" s="1120"/>
      <c r="EH52" s="1120"/>
      <c r="EI52" s="1120"/>
      <c r="EJ52" s="1120"/>
      <c r="EK52" s="1120"/>
      <c r="EL52" s="1120"/>
      <c r="EM52" s="1120"/>
      <c r="EN52" s="1120"/>
      <c r="EO52" s="1120"/>
      <c r="EP52" s="1120"/>
      <c r="EQ52" s="1120"/>
      <c r="ER52" s="1120"/>
      <c r="ES52" s="1120"/>
      <c r="ET52" s="1120"/>
      <c r="EU52" s="1120"/>
      <c r="EW52" s="155"/>
      <c r="EX52" s="552"/>
      <c r="EY52" s="552"/>
      <c r="EZ52" s="552"/>
      <c r="FA52" s="552"/>
      <c r="FB52" s="552"/>
      <c r="FC52" s="552"/>
      <c r="FD52" s="552"/>
      <c r="FE52" s="552"/>
      <c r="FF52" s="552"/>
      <c r="FG52" s="552"/>
      <c r="FH52" s="552"/>
      <c r="FI52" s="552"/>
      <c r="FJ52" s="552"/>
      <c r="FK52" s="552"/>
      <c r="FL52" s="552"/>
      <c r="FM52" s="552"/>
      <c r="FN52" s="552"/>
      <c r="FO52" s="552"/>
      <c r="FP52" s="552"/>
      <c r="FQ52" s="552"/>
      <c r="FR52" s="552"/>
      <c r="FS52" s="552"/>
      <c r="FT52" s="552"/>
      <c r="FU52" s="552"/>
      <c r="FV52" s="552"/>
      <c r="FW52" s="552"/>
      <c r="FX52" s="552"/>
      <c r="FY52" s="552"/>
      <c r="FZ52" s="552"/>
      <c r="GA52" s="552"/>
      <c r="GB52" s="552"/>
      <c r="GC52" s="552"/>
      <c r="GD52" s="552"/>
      <c r="GE52" s="552"/>
      <c r="GF52" s="552"/>
      <c r="GG52" s="552"/>
      <c r="GH52" s="552"/>
      <c r="GI52" s="552"/>
      <c r="GJ52" s="552"/>
      <c r="GK52" s="552"/>
      <c r="GL52" s="552"/>
      <c r="GM52" s="552"/>
      <c r="GN52" s="552"/>
      <c r="GO52" s="552"/>
      <c r="GP52" s="552"/>
      <c r="GQ52" s="552"/>
      <c r="GR52" s="552"/>
      <c r="GS52" s="552"/>
      <c r="GT52" s="552"/>
      <c r="GU52" s="552"/>
      <c r="GV52" s="552"/>
      <c r="GW52" s="552"/>
      <c r="GX52" s="552"/>
      <c r="GY52" s="552"/>
      <c r="GZ52" s="552"/>
      <c r="HA52" s="552"/>
      <c r="HB52" s="552"/>
      <c r="HC52" s="552"/>
      <c r="HD52" s="552"/>
      <c r="HE52" s="552"/>
      <c r="HF52" s="552"/>
      <c r="HG52" s="552"/>
      <c r="HH52" s="552"/>
      <c r="HI52" s="552"/>
      <c r="HJ52" s="552"/>
      <c r="HK52" s="552"/>
      <c r="HL52" s="552"/>
      <c r="HM52" s="552"/>
      <c r="HN52" s="552"/>
      <c r="HO52" s="552"/>
      <c r="HP52" s="552"/>
      <c r="HQ52" s="552"/>
      <c r="HR52" s="552"/>
      <c r="HS52" s="552"/>
      <c r="HT52" s="155"/>
      <c r="HU52" s="155"/>
      <c r="HV52" s="552"/>
      <c r="HW52" s="552"/>
      <c r="HX52" s="552"/>
      <c r="HY52" s="552"/>
      <c r="HZ52" s="552"/>
      <c r="IA52" s="552"/>
      <c r="IB52" s="552"/>
      <c r="IC52" s="552"/>
      <c r="ID52" s="552"/>
      <c r="IE52" s="552"/>
      <c r="IF52" s="552"/>
      <c r="IG52" s="552"/>
      <c r="IH52" s="552"/>
      <c r="II52" s="552"/>
      <c r="IJ52" s="552"/>
      <c r="IK52" s="552"/>
      <c r="IL52" s="552"/>
      <c r="IM52" s="552"/>
      <c r="IN52" s="552"/>
      <c r="IO52" s="552"/>
      <c r="IP52" s="552"/>
      <c r="IQ52" s="552"/>
      <c r="IR52" s="552"/>
      <c r="IS52" s="552"/>
      <c r="IT52" s="552"/>
      <c r="IU52" s="552"/>
      <c r="IV52" s="552"/>
      <c r="IW52" s="552"/>
      <c r="IX52" s="552"/>
      <c r="IY52" s="552"/>
      <c r="IZ52" s="552"/>
      <c r="JA52" s="552"/>
      <c r="JB52" s="552"/>
      <c r="JC52" s="552"/>
      <c r="JD52" s="552"/>
      <c r="JE52" s="552"/>
      <c r="JF52" s="552"/>
      <c r="JG52" s="552"/>
      <c r="JH52" s="552"/>
      <c r="JI52" s="552"/>
      <c r="JJ52" s="552"/>
      <c r="JK52" s="552"/>
      <c r="JL52" s="552"/>
      <c r="JM52" s="552"/>
      <c r="JN52" s="552"/>
      <c r="JO52" s="552"/>
      <c r="JP52" s="552"/>
      <c r="JQ52" s="552"/>
      <c r="JR52" s="552"/>
      <c r="JS52" s="552"/>
      <c r="JT52" s="552"/>
      <c r="JU52" s="552"/>
      <c r="JV52" s="552"/>
      <c r="JW52" s="552"/>
      <c r="JX52" s="552"/>
      <c r="JY52" s="552"/>
      <c r="JZ52" s="552"/>
      <c r="KA52" s="552"/>
      <c r="KB52" s="552"/>
      <c r="KC52" s="552"/>
      <c r="KD52" s="552"/>
      <c r="KE52" s="552"/>
      <c r="KF52" s="552"/>
      <c r="KG52" s="552"/>
      <c r="KH52" s="552"/>
      <c r="KI52" s="552"/>
      <c r="KJ52" s="552"/>
      <c r="KK52" s="552"/>
      <c r="KL52" s="552"/>
      <c r="KM52" s="552"/>
      <c r="KN52" s="552"/>
      <c r="KO52" s="552"/>
      <c r="KP52" s="552"/>
      <c r="KQ52" s="552"/>
      <c r="KR52" s="155"/>
      <c r="KS52" s="155"/>
      <c r="KV52" s="1120"/>
      <c r="KW52" s="1120"/>
      <c r="KX52" s="1120"/>
      <c r="KY52" s="1120"/>
      <c r="KZ52" s="1120"/>
      <c r="LA52" s="1120"/>
      <c r="LB52" s="1120"/>
      <c r="LC52" s="1120"/>
      <c r="LD52" s="1120"/>
      <c r="LE52" s="1120"/>
      <c r="LF52" s="1120"/>
      <c r="LG52" s="1120"/>
      <c r="LH52" s="1120"/>
      <c r="LI52" s="1120"/>
      <c r="LJ52" s="1120"/>
      <c r="LK52" s="1120"/>
      <c r="LL52" s="1120"/>
      <c r="LM52" s="1120"/>
      <c r="LN52" s="1120"/>
      <c r="LO52" s="1120"/>
      <c r="LP52" s="1120"/>
      <c r="LQ52" s="1120"/>
      <c r="LR52" s="1120"/>
      <c r="LS52" s="1120"/>
      <c r="LT52" s="1120"/>
      <c r="LV52" s="1122"/>
      <c r="LW52" s="1122"/>
      <c r="LX52" s="1122"/>
      <c r="LY52" s="1122"/>
      <c r="MA52" s="1122"/>
      <c r="MB52" s="1122"/>
      <c r="MC52" s="1122"/>
      <c r="MD52" s="1122"/>
      <c r="ME52" s="1122"/>
      <c r="MF52" s="1122"/>
      <c r="MG52" s="1122"/>
      <c r="MH52" s="1122"/>
      <c r="MI52" s="1122"/>
      <c r="MK52" s="1122"/>
      <c r="ML52" s="1122"/>
      <c r="MM52" s="1122"/>
      <c r="MN52" s="1122"/>
      <c r="MO52" s="1122"/>
      <c r="NP52" s="155"/>
      <c r="NQ52" s="155"/>
      <c r="QN52" s="155"/>
      <c r="QO52" s="155"/>
      <c r="TL52" s="155"/>
    </row>
    <row r="53" spans="1:532" ht="6.75" customHeight="1" x14ac:dyDescent="0.25">
      <c r="A53" s="155"/>
      <c r="B53" s="512"/>
      <c r="C53" s="1192"/>
      <c r="D53" s="1193"/>
      <c r="E53" s="1193"/>
      <c r="F53" s="1193"/>
      <c r="G53" s="1193"/>
      <c r="H53" s="1193"/>
      <c r="I53" s="1193"/>
      <c r="J53" s="1193"/>
      <c r="K53" s="1193"/>
      <c r="L53" s="1193"/>
      <c r="M53" s="1193"/>
      <c r="N53" s="1193"/>
      <c r="O53" s="1193"/>
      <c r="P53" s="1193"/>
      <c r="Q53" s="1193"/>
      <c r="R53" s="1193"/>
      <c r="S53" s="1193"/>
      <c r="T53" s="1193"/>
      <c r="U53" s="1193"/>
      <c r="V53" s="1193"/>
      <c r="W53" s="1193"/>
      <c r="X53" s="1193"/>
      <c r="Y53" s="1193"/>
      <c r="Z53" s="1193"/>
      <c r="AA53" s="1193"/>
      <c r="AB53" s="1193"/>
      <c r="AC53" s="1193"/>
      <c r="AD53" s="1193"/>
      <c r="AE53" s="1193"/>
      <c r="AF53" s="1193"/>
      <c r="AG53" s="1193"/>
      <c r="AH53" s="1193"/>
      <c r="AI53" s="1193"/>
      <c r="AJ53" s="1193"/>
      <c r="AK53" s="1193"/>
      <c r="AL53" s="1194"/>
      <c r="AM53" s="507"/>
      <c r="AN53" s="507"/>
      <c r="AO53" s="1199"/>
      <c r="AP53" s="1199"/>
      <c r="AQ53" s="1199"/>
      <c r="AR53" s="1199"/>
      <c r="AS53" s="1199"/>
      <c r="AT53" s="1199"/>
      <c r="AU53" s="1199"/>
      <c r="AV53" s="1199"/>
      <c r="AW53" s="1199"/>
      <c r="AX53" s="1199"/>
      <c r="AY53" s="1199"/>
      <c r="AZ53" s="1199"/>
      <c r="BA53" s="1199"/>
      <c r="BB53" s="1227"/>
      <c r="BC53" s="1227"/>
      <c r="BD53" s="1227"/>
      <c r="BE53" s="1227"/>
      <c r="BF53" s="1198"/>
      <c r="BG53" s="1198"/>
      <c r="BH53" s="1198"/>
      <c r="BI53" s="1198"/>
      <c r="BJ53" s="1198"/>
      <c r="BK53" s="1198"/>
      <c r="BL53" s="1198"/>
      <c r="BM53" s="1198"/>
      <c r="BN53" s="1198"/>
      <c r="BO53" s="1198"/>
      <c r="BP53" s="1198"/>
      <c r="BQ53" s="1198"/>
      <c r="BR53" s="1198"/>
      <c r="BS53" s="1198"/>
      <c r="BT53" s="1198"/>
      <c r="BU53" s="1198"/>
      <c r="BV53" s="1198"/>
      <c r="BW53" s="513"/>
      <c r="BX53" s="155"/>
      <c r="BY53" s="155"/>
      <c r="BZ53" s="150"/>
      <c r="CA53" s="1234"/>
      <c r="CB53" s="1234"/>
      <c r="CC53" s="1234"/>
      <c r="CD53" s="1234"/>
      <c r="CE53" s="1234"/>
      <c r="CF53" s="1234"/>
      <c r="CG53" s="1234"/>
      <c r="CH53" s="1234"/>
      <c r="CI53" s="1234"/>
      <c r="CJ53" s="1234"/>
      <c r="CK53" s="1234"/>
      <c r="CL53" s="1234"/>
      <c r="CM53" s="1234"/>
      <c r="CN53" s="1234"/>
      <c r="CO53" s="1234"/>
      <c r="CP53" s="1234"/>
      <c r="CQ53" s="1234"/>
      <c r="CR53" s="1234"/>
      <c r="CS53" s="1234"/>
      <c r="CT53" s="1234"/>
      <c r="CU53" s="1234"/>
      <c r="CV53" s="1234"/>
      <c r="CW53" s="1234"/>
      <c r="CX53" s="1234"/>
      <c r="CZ53" s="1119"/>
      <c r="DA53" s="1119"/>
      <c r="DB53" s="1119"/>
      <c r="DC53" s="1119"/>
      <c r="DD53" s="1119"/>
      <c r="DE53" s="1119"/>
      <c r="DF53" s="1119"/>
      <c r="DG53" s="1119"/>
      <c r="DH53" s="1119"/>
      <c r="DI53" s="1119"/>
      <c r="DJ53" s="1119"/>
      <c r="DK53" s="1119"/>
      <c r="DL53" s="1119"/>
      <c r="DM53" s="1119"/>
      <c r="DN53" s="1119"/>
      <c r="DO53" s="1119"/>
      <c r="DP53" s="1119"/>
      <c r="DQ53" s="1119"/>
      <c r="DR53" s="1119"/>
      <c r="DS53" s="1119"/>
      <c r="DT53" s="1119"/>
      <c r="DU53" s="1119"/>
      <c r="DV53" s="1119"/>
      <c r="DW53" s="1119"/>
      <c r="DY53" s="1121"/>
      <c r="DZ53" s="1121"/>
      <c r="EA53" s="1121"/>
      <c r="EB53" s="1121"/>
      <c r="EC53" s="1121"/>
      <c r="ED53" s="1121"/>
      <c r="EE53" s="1121"/>
      <c r="EF53" s="1121"/>
      <c r="EG53" s="1121"/>
      <c r="EH53" s="1121"/>
      <c r="EI53" s="1121"/>
      <c r="EJ53" s="1121"/>
      <c r="EK53" s="1121"/>
      <c r="EL53" s="1121"/>
      <c r="EM53" s="1121"/>
      <c r="EN53" s="1121"/>
      <c r="EO53" s="1121"/>
      <c r="EP53" s="1121"/>
      <c r="EQ53" s="1121"/>
      <c r="ER53" s="1121"/>
      <c r="ES53" s="1121"/>
      <c r="ET53" s="1121"/>
      <c r="EU53" s="1121"/>
      <c r="EW53" s="155"/>
      <c r="EX53" s="552"/>
      <c r="EY53" s="552"/>
      <c r="EZ53" s="552"/>
      <c r="FA53" s="552"/>
      <c r="FB53" s="552"/>
      <c r="FC53" s="552"/>
      <c r="FD53" s="552"/>
      <c r="FE53" s="552"/>
      <c r="FF53" s="552"/>
      <c r="FG53" s="552"/>
      <c r="FH53" s="552"/>
      <c r="FI53" s="552"/>
      <c r="FJ53" s="552"/>
      <c r="FK53" s="552"/>
      <c r="FL53" s="552"/>
      <c r="FM53" s="552"/>
      <c r="FN53" s="552"/>
      <c r="FO53" s="552"/>
      <c r="FP53" s="552"/>
      <c r="FQ53" s="552"/>
      <c r="FR53" s="552"/>
      <c r="FS53" s="552"/>
      <c r="FT53" s="552"/>
      <c r="FU53" s="552"/>
      <c r="FV53" s="552"/>
      <c r="FW53" s="552"/>
      <c r="FX53" s="552"/>
      <c r="FY53" s="552"/>
      <c r="FZ53" s="552"/>
      <c r="GA53" s="552"/>
      <c r="GB53" s="552"/>
      <c r="GC53" s="552"/>
      <c r="GD53" s="552"/>
      <c r="GE53" s="552"/>
      <c r="GF53" s="552"/>
      <c r="GG53" s="552"/>
      <c r="GH53" s="552"/>
      <c r="GI53" s="552"/>
      <c r="GJ53" s="552"/>
      <c r="GK53" s="552"/>
      <c r="GL53" s="552"/>
      <c r="GM53" s="552"/>
      <c r="GN53" s="552"/>
      <c r="GO53" s="552"/>
      <c r="GP53" s="552"/>
      <c r="GQ53" s="552"/>
      <c r="GR53" s="552"/>
      <c r="GS53" s="552"/>
      <c r="GT53" s="552"/>
      <c r="GU53" s="552"/>
      <c r="GV53" s="552"/>
      <c r="GW53" s="552"/>
      <c r="GX53" s="552"/>
      <c r="GY53" s="552"/>
      <c r="GZ53" s="552"/>
      <c r="HA53" s="552"/>
      <c r="HB53" s="552"/>
      <c r="HC53" s="552"/>
      <c r="HD53" s="552"/>
      <c r="HE53" s="552"/>
      <c r="HF53" s="552"/>
      <c r="HG53" s="552"/>
      <c r="HH53" s="552"/>
      <c r="HI53" s="552"/>
      <c r="HJ53" s="552"/>
      <c r="HK53" s="552"/>
      <c r="HL53" s="552"/>
      <c r="HM53" s="552"/>
      <c r="HN53" s="552"/>
      <c r="HO53" s="552"/>
      <c r="HP53" s="552"/>
      <c r="HQ53" s="552"/>
      <c r="HR53" s="552"/>
      <c r="HS53" s="552"/>
      <c r="HT53" s="155"/>
      <c r="HU53" s="155"/>
      <c r="HV53" s="552"/>
      <c r="HW53" s="552"/>
      <c r="HX53" s="552"/>
      <c r="HY53" s="552"/>
      <c r="HZ53" s="552"/>
      <c r="IA53" s="552"/>
      <c r="IB53" s="552"/>
      <c r="IC53" s="552"/>
      <c r="ID53" s="552"/>
      <c r="IE53" s="552"/>
      <c r="IF53" s="552"/>
      <c r="IG53" s="552"/>
      <c r="IH53" s="552"/>
      <c r="II53" s="552"/>
      <c r="IJ53" s="552"/>
      <c r="IK53" s="552"/>
      <c r="IL53" s="552"/>
      <c r="IM53" s="552"/>
      <c r="IN53" s="552"/>
      <c r="IO53" s="552"/>
      <c r="IP53" s="552"/>
      <c r="IQ53" s="552"/>
      <c r="IR53" s="552"/>
      <c r="IS53" s="552"/>
      <c r="IT53" s="552"/>
      <c r="IU53" s="552"/>
      <c r="IV53" s="552"/>
      <c r="IW53" s="552"/>
      <c r="IX53" s="552"/>
      <c r="IY53" s="552"/>
      <c r="IZ53" s="552"/>
      <c r="JA53" s="552"/>
      <c r="JB53" s="552"/>
      <c r="JC53" s="552"/>
      <c r="JD53" s="552"/>
      <c r="JE53" s="552"/>
      <c r="JF53" s="552"/>
      <c r="JG53" s="552"/>
      <c r="JH53" s="552"/>
      <c r="JI53" s="552"/>
      <c r="JJ53" s="552"/>
      <c r="JK53" s="552"/>
      <c r="JL53" s="552"/>
      <c r="JM53" s="552"/>
      <c r="JN53" s="552"/>
      <c r="JO53" s="552"/>
      <c r="JP53" s="552"/>
      <c r="JQ53" s="552"/>
      <c r="JR53" s="552"/>
      <c r="JS53" s="552"/>
      <c r="JT53" s="552"/>
      <c r="JU53" s="552"/>
      <c r="JV53" s="552"/>
      <c r="JW53" s="552"/>
      <c r="JX53" s="552"/>
      <c r="JY53" s="552"/>
      <c r="JZ53" s="552"/>
      <c r="KA53" s="552"/>
      <c r="KB53" s="552"/>
      <c r="KC53" s="552"/>
      <c r="KD53" s="552"/>
      <c r="KE53" s="552"/>
      <c r="KF53" s="552"/>
      <c r="KG53" s="552"/>
      <c r="KH53" s="552"/>
      <c r="KI53" s="552"/>
      <c r="KJ53" s="552"/>
      <c r="KK53" s="552"/>
      <c r="KL53" s="552"/>
      <c r="KM53" s="552"/>
      <c r="KN53" s="552"/>
      <c r="KO53" s="552"/>
      <c r="KP53" s="552"/>
      <c r="KQ53" s="552"/>
      <c r="KR53" s="155"/>
      <c r="KS53" s="155"/>
      <c r="KV53" s="1121"/>
      <c r="KW53" s="1121"/>
      <c r="KX53" s="1121"/>
      <c r="KY53" s="1121"/>
      <c r="KZ53" s="1121"/>
      <c r="LA53" s="1121"/>
      <c r="LB53" s="1121"/>
      <c r="LC53" s="1121"/>
      <c r="LD53" s="1121"/>
      <c r="LE53" s="1121"/>
      <c r="LF53" s="1121"/>
      <c r="LG53" s="1121"/>
      <c r="LH53" s="1121"/>
      <c r="LI53" s="1121"/>
      <c r="LJ53" s="1121"/>
      <c r="LK53" s="1121"/>
      <c r="LL53" s="1121"/>
      <c r="LM53" s="1121"/>
      <c r="LN53" s="1121"/>
      <c r="LO53" s="1121"/>
      <c r="LP53" s="1121"/>
      <c r="LQ53" s="1121"/>
      <c r="LR53" s="1121"/>
      <c r="LS53" s="1121"/>
      <c r="LT53" s="1121"/>
      <c r="LV53" s="1123"/>
      <c r="LW53" s="1123"/>
      <c r="LX53" s="1123"/>
      <c r="LY53" s="1123"/>
      <c r="MA53" s="1123"/>
      <c r="MB53" s="1123"/>
      <c r="MC53" s="1123"/>
      <c r="MD53" s="1123"/>
      <c r="ME53" s="1123"/>
      <c r="MF53" s="1123"/>
      <c r="MG53" s="1123"/>
      <c r="MH53" s="1123"/>
      <c r="MI53" s="1123"/>
      <c r="MK53" s="1123"/>
      <c r="ML53" s="1123"/>
      <c r="MM53" s="1123"/>
      <c r="MN53" s="1123"/>
      <c r="MO53" s="1123"/>
      <c r="NP53" s="155"/>
      <c r="NQ53" s="155"/>
      <c r="QN53" s="155"/>
      <c r="QO53" s="155"/>
      <c r="TL53" s="155"/>
    </row>
    <row r="54" spans="1:532" ht="6.75" customHeight="1" thickBot="1" x14ac:dyDescent="0.3">
      <c r="A54" s="155"/>
      <c r="B54" s="512"/>
      <c r="C54" s="1195"/>
      <c r="D54" s="1196"/>
      <c r="E54" s="1196"/>
      <c r="F54" s="1196"/>
      <c r="G54" s="1196"/>
      <c r="H54" s="1196"/>
      <c r="I54" s="1196"/>
      <c r="J54" s="1196"/>
      <c r="K54" s="1196"/>
      <c r="L54" s="1196"/>
      <c r="M54" s="1196"/>
      <c r="N54" s="1196"/>
      <c r="O54" s="1196"/>
      <c r="P54" s="1196"/>
      <c r="Q54" s="1196"/>
      <c r="R54" s="1196"/>
      <c r="S54" s="1196"/>
      <c r="T54" s="1196"/>
      <c r="U54" s="1196"/>
      <c r="V54" s="1196"/>
      <c r="W54" s="1196"/>
      <c r="X54" s="1196"/>
      <c r="Y54" s="1196"/>
      <c r="Z54" s="1196"/>
      <c r="AA54" s="1196"/>
      <c r="AB54" s="1196"/>
      <c r="AC54" s="1196"/>
      <c r="AD54" s="1196"/>
      <c r="AE54" s="1196"/>
      <c r="AF54" s="1196"/>
      <c r="AG54" s="1196"/>
      <c r="AH54" s="1196"/>
      <c r="AI54" s="1196"/>
      <c r="AJ54" s="1196"/>
      <c r="AK54" s="1196"/>
      <c r="AL54" s="1197"/>
      <c r="AM54" s="507"/>
      <c r="AN54" s="507"/>
      <c r="AO54" s="1199" t="s">
        <v>71</v>
      </c>
      <c r="AP54" s="1199"/>
      <c r="AQ54" s="1199"/>
      <c r="AR54" s="1199"/>
      <c r="AS54" s="1199"/>
      <c r="AT54" s="1199"/>
      <c r="AU54" s="1199"/>
      <c r="AV54" s="1199"/>
      <c r="AW54" s="1199"/>
      <c r="AX54" s="1199"/>
      <c r="AY54" s="1199"/>
      <c r="AZ54" s="1199"/>
      <c r="BA54" s="1199"/>
      <c r="BB54" s="1227" t="s">
        <v>7</v>
      </c>
      <c r="BC54" s="1227"/>
      <c r="BD54" s="1227"/>
      <c r="BE54" s="1227"/>
      <c r="BF54" s="1198"/>
      <c r="BG54" s="1198"/>
      <c r="BH54" s="1198"/>
      <c r="BI54" s="1198"/>
      <c r="BJ54" s="1198"/>
      <c r="BK54" s="1198"/>
      <c r="BL54" s="1198"/>
      <c r="BM54" s="1198"/>
      <c r="BN54" s="1198"/>
      <c r="BO54" s="1198"/>
      <c r="BP54" s="1198"/>
      <c r="BQ54" s="1198"/>
      <c r="BR54" s="1198"/>
      <c r="BS54" s="1198">
        <f>InsightValue</f>
        <v>0</v>
      </c>
      <c r="BT54" s="1198"/>
      <c r="BU54" s="1198"/>
      <c r="BV54" s="1198"/>
      <c r="BW54" s="513"/>
      <c r="BX54" s="155"/>
      <c r="BY54" s="155"/>
      <c r="BZ54" s="150"/>
      <c r="CA54" s="1234"/>
      <c r="CB54" s="1234"/>
      <c r="CC54" s="1234"/>
      <c r="CD54" s="1234"/>
      <c r="CE54" s="1234"/>
      <c r="CF54" s="1234"/>
      <c r="CG54" s="1234"/>
      <c r="CH54" s="1234"/>
      <c r="CI54" s="1234"/>
      <c r="CJ54" s="1234"/>
      <c r="CK54" s="1234"/>
      <c r="CL54" s="1234"/>
      <c r="CM54" s="1234"/>
      <c r="CN54" s="1234"/>
      <c r="CO54" s="1234"/>
      <c r="CP54" s="1234"/>
      <c r="CQ54" s="1234"/>
      <c r="CR54" s="1234"/>
      <c r="CS54" s="1234"/>
      <c r="CT54" s="1234"/>
      <c r="CU54" s="1234"/>
      <c r="CV54" s="1234"/>
      <c r="CW54" s="1234"/>
      <c r="CX54" s="1234"/>
      <c r="CZ54" s="1119"/>
      <c r="DA54" s="1119"/>
      <c r="DB54" s="1119"/>
      <c r="DC54" s="1119"/>
      <c r="DD54" s="1119"/>
      <c r="DE54" s="1119"/>
      <c r="DF54" s="1119"/>
      <c r="DG54" s="1119"/>
      <c r="DH54" s="1119"/>
      <c r="DI54" s="1119"/>
      <c r="DJ54" s="1119"/>
      <c r="DK54" s="1119"/>
      <c r="DL54" s="1119"/>
      <c r="DM54" s="1119"/>
      <c r="DN54" s="1119"/>
      <c r="DO54" s="1119"/>
      <c r="DP54" s="1119"/>
      <c r="DQ54" s="1119"/>
      <c r="DR54" s="1119"/>
      <c r="DS54" s="1119"/>
      <c r="DT54" s="1119"/>
      <c r="DU54" s="1119"/>
      <c r="DV54" s="1119"/>
      <c r="DW54" s="1119"/>
      <c r="DY54" s="1120"/>
      <c r="DZ54" s="1120"/>
      <c r="EA54" s="1120"/>
      <c r="EB54" s="1120"/>
      <c r="EC54" s="1120"/>
      <c r="ED54" s="1120"/>
      <c r="EE54" s="1120"/>
      <c r="EF54" s="1120"/>
      <c r="EG54" s="1120"/>
      <c r="EH54" s="1120"/>
      <c r="EI54" s="1120"/>
      <c r="EJ54" s="1120"/>
      <c r="EK54" s="1120"/>
      <c r="EL54" s="1120"/>
      <c r="EM54" s="1120"/>
      <c r="EN54" s="1120"/>
      <c r="EO54" s="1120"/>
      <c r="EP54" s="1120"/>
      <c r="EQ54" s="1120"/>
      <c r="ER54" s="1120"/>
      <c r="ES54" s="1120"/>
      <c r="ET54" s="1120"/>
      <c r="EU54" s="1120"/>
      <c r="EW54" s="155"/>
      <c r="EX54" s="552"/>
      <c r="EY54" s="552"/>
      <c r="EZ54" s="552"/>
      <c r="FA54" s="552"/>
      <c r="FB54" s="552"/>
      <c r="FC54" s="552"/>
      <c r="FD54" s="552"/>
      <c r="FE54" s="552"/>
      <c r="FF54" s="552"/>
      <c r="FG54" s="552"/>
      <c r="FH54" s="552"/>
      <c r="FI54" s="552"/>
      <c r="FJ54" s="552"/>
      <c r="FK54" s="552"/>
      <c r="FL54" s="552"/>
      <c r="FM54" s="552"/>
      <c r="FN54" s="552"/>
      <c r="FO54" s="552"/>
      <c r="FP54" s="552"/>
      <c r="FQ54" s="552"/>
      <c r="FR54" s="552"/>
      <c r="FS54" s="552"/>
      <c r="FT54" s="552"/>
      <c r="FU54" s="552"/>
      <c r="FV54" s="552"/>
      <c r="FW54" s="552"/>
      <c r="FX54" s="552"/>
      <c r="FY54" s="552"/>
      <c r="FZ54" s="552"/>
      <c r="GA54" s="552"/>
      <c r="GB54" s="552"/>
      <c r="GC54" s="552"/>
      <c r="GD54" s="552"/>
      <c r="GE54" s="552"/>
      <c r="GF54" s="552"/>
      <c r="GG54" s="552"/>
      <c r="GH54" s="552"/>
      <c r="GI54" s="552"/>
      <c r="GJ54" s="552"/>
      <c r="GK54" s="552"/>
      <c r="GL54" s="552"/>
      <c r="GM54" s="552"/>
      <c r="GN54" s="552"/>
      <c r="GO54" s="552"/>
      <c r="GP54" s="552"/>
      <c r="GQ54" s="552"/>
      <c r="GR54" s="552"/>
      <c r="GS54" s="552"/>
      <c r="GT54" s="552"/>
      <c r="GU54" s="552"/>
      <c r="GV54" s="552"/>
      <c r="GW54" s="552"/>
      <c r="GX54" s="552"/>
      <c r="GY54" s="552"/>
      <c r="GZ54" s="552"/>
      <c r="HA54" s="552"/>
      <c r="HB54" s="552"/>
      <c r="HC54" s="552"/>
      <c r="HD54" s="552"/>
      <c r="HE54" s="552"/>
      <c r="HF54" s="552"/>
      <c r="HG54" s="552"/>
      <c r="HH54" s="552"/>
      <c r="HI54" s="552"/>
      <c r="HJ54" s="552"/>
      <c r="HK54" s="552"/>
      <c r="HL54" s="552"/>
      <c r="HM54" s="552"/>
      <c r="HN54" s="552"/>
      <c r="HO54" s="552"/>
      <c r="HP54" s="552"/>
      <c r="HQ54" s="552"/>
      <c r="HR54" s="552"/>
      <c r="HS54" s="552"/>
      <c r="HT54" s="155"/>
      <c r="HU54" s="155"/>
      <c r="HV54" s="552"/>
      <c r="HW54" s="552"/>
      <c r="HX54" s="552"/>
      <c r="HY54" s="552"/>
      <c r="HZ54" s="552"/>
      <c r="IA54" s="552"/>
      <c r="IB54" s="552"/>
      <c r="IC54" s="552"/>
      <c r="ID54" s="552"/>
      <c r="IE54" s="552"/>
      <c r="IF54" s="552"/>
      <c r="IG54" s="552"/>
      <c r="IH54" s="552"/>
      <c r="II54" s="552"/>
      <c r="IJ54" s="552"/>
      <c r="IK54" s="552"/>
      <c r="IL54" s="552"/>
      <c r="IM54" s="552"/>
      <c r="IN54" s="552"/>
      <c r="IO54" s="552"/>
      <c r="IP54" s="552"/>
      <c r="IQ54" s="552"/>
      <c r="IR54" s="552"/>
      <c r="IS54" s="552"/>
      <c r="IT54" s="552"/>
      <c r="IU54" s="552"/>
      <c r="IV54" s="552"/>
      <c r="IW54" s="552"/>
      <c r="IX54" s="552"/>
      <c r="IY54" s="552"/>
      <c r="IZ54" s="552"/>
      <c r="JA54" s="552"/>
      <c r="JB54" s="552"/>
      <c r="JC54" s="552"/>
      <c r="JD54" s="552"/>
      <c r="JE54" s="552"/>
      <c r="JF54" s="552"/>
      <c r="JG54" s="552"/>
      <c r="JH54" s="552"/>
      <c r="JI54" s="552"/>
      <c r="JJ54" s="552"/>
      <c r="JK54" s="552"/>
      <c r="JL54" s="552"/>
      <c r="JM54" s="552"/>
      <c r="JN54" s="552"/>
      <c r="JO54" s="552"/>
      <c r="JP54" s="552"/>
      <c r="JQ54" s="552"/>
      <c r="JR54" s="552"/>
      <c r="JS54" s="552"/>
      <c r="JT54" s="552"/>
      <c r="JU54" s="552"/>
      <c r="JV54" s="552"/>
      <c r="JW54" s="552"/>
      <c r="JX54" s="552"/>
      <c r="JY54" s="552"/>
      <c r="JZ54" s="552"/>
      <c r="KA54" s="552"/>
      <c r="KB54" s="552"/>
      <c r="KC54" s="552"/>
      <c r="KD54" s="552"/>
      <c r="KE54" s="552"/>
      <c r="KF54" s="552"/>
      <c r="KG54" s="552"/>
      <c r="KH54" s="552"/>
      <c r="KI54" s="552"/>
      <c r="KJ54" s="552"/>
      <c r="KK54" s="552"/>
      <c r="KL54" s="552"/>
      <c r="KM54" s="552"/>
      <c r="KN54" s="552"/>
      <c r="KO54" s="552"/>
      <c r="KP54" s="552"/>
      <c r="KQ54" s="552"/>
      <c r="KR54" s="155"/>
      <c r="KS54" s="155"/>
      <c r="KV54" s="1120"/>
      <c r="KW54" s="1120"/>
      <c r="KX54" s="1120"/>
      <c r="KY54" s="1120"/>
      <c r="KZ54" s="1120"/>
      <c r="LA54" s="1120"/>
      <c r="LB54" s="1120"/>
      <c r="LC54" s="1120"/>
      <c r="LD54" s="1120"/>
      <c r="LE54" s="1120"/>
      <c r="LF54" s="1120"/>
      <c r="LG54" s="1120"/>
      <c r="LH54" s="1120"/>
      <c r="LI54" s="1120"/>
      <c r="LJ54" s="1120"/>
      <c r="LK54" s="1120"/>
      <c r="LL54" s="1120"/>
      <c r="LM54" s="1120"/>
      <c r="LN54" s="1120"/>
      <c r="LO54" s="1120"/>
      <c r="LP54" s="1120"/>
      <c r="LQ54" s="1120"/>
      <c r="LR54" s="1120"/>
      <c r="LS54" s="1120"/>
      <c r="LT54" s="1120"/>
      <c r="LV54" s="1122"/>
      <c r="LW54" s="1122"/>
      <c r="LX54" s="1122"/>
      <c r="LY54" s="1122"/>
      <c r="MA54" s="1122"/>
      <c r="MB54" s="1122"/>
      <c r="MC54" s="1122"/>
      <c r="MD54" s="1122"/>
      <c r="ME54" s="1122"/>
      <c r="MF54" s="1122"/>
      <c r="MG54" s="1122"/>
      <c r="MH54" s="1122"/>
      <c r="MI54" s="1122"/>
      <c r="MK54" s="1122"/>
      <c r="ML54" s="1122"/>
      <c r="MM54" s="1122"/>
      <c r="MN54" s="1122"/>
      <c r="MO54" s="1122"/>
      <c r="NP54" s="155"/>
      <c r="NQ54" s="155"/>
      <c r="QN54" s="155"/>
      <c r="QO54" s="155"/>
      <c r="TL54" s="155"/>
    </row>
    <row r="55" spans="1:532" ht="6.75" customHeight="1" x14ac:dyDescent="0.25">
      <c r="A55" s="155"/>
      <c r="B55" s="512"/>
      <c r="C55" s="1174" t="s">
        <v>576</v>
      </c>
      <c r="D55" s="1175"/>
      <c r="E55" s="1175"/>
      <c r="F55" s="1175"/>
      <c r="G55" s="1175"/>
      <c r="H55" s="1175"/>
      <c r="I55" s="1175"/>
      <c r="J55" s="1175"/>
      <c r="K55" s="1175"/>
      <c r="L55" s="1175"/>
      <c r="M55" s="1175"/>
      <c r="N55" s="1175"/>
      <c r="O55" s="1175"/>
      <c r="P55" s="1175"/>
      <c r="Q55" s="1175"/>
      <c r="R55" s="1176"/>
      <c r="S55" s="507"/>
      <c r="T55" s="507"/>
      <c r="U55" s="507"/>
      <c r="V55" s="507"/>
      <c r="W55" s="507"/>
      <c r="X55" s="507"/>
      <c r="Y55" s="507"/>
      <c r="Z55" s="507"/>
      <c r="AA55" s="507"/>
      <c r="AB55" s="507"/>
      <c r="AC55" s="507"/>
      <c r="AD55" s="507"/>
      <c r="AE55" s="507"/>
      <c r="AF55" s="507"/>
      <c r="AG55" s="507"/>
      <c r="AH55" s="507"/>
      <c r="AI55" s="507"/>
      <c r="AJ55" s="507"/>
      <c r="AK55" s="507"/>
      <c r="AL55" s="507"/>
      <c r="AM55" s="507"/>
      <c r="AN55" s="507"/>
      <c r="AO55" s="1199"/>
      <c r="AP55" s="1199"/>
      <c r="AQ55" s="1199"/>
      <c r="AR55" s="1199"/>
      <c r="AS55" s="1199"/>
      <c r="AT55" s="1199"/>
      <c r="AU55" s="1199"/>
      <c r="AV55" s="1199"/>
      <c r="AW55" s="1199"/>
      <c r="AX55" s="1199"/>
      <c r="AY55" s="1199"/>
      <c r="AZ55" s="1199"/>
      <c r="BA55" s="1199"/>
      <c r="BB55" s="1227"/>
      <c r="BC55" s="1227"/>
      <c r="BD55" s="1227"/>
      <c r="BE55" s="1227"/>
      <c r="BF55" s="1198"/>
      <c r="BG55" s="1198"/>
      <c r="BH55" s="1198"/>
      <c r="BI55" s="1198"/>
      <c r="BJ55" s="1198"/>
      <c r="BK55" s="1198"/>
      <c r="BL55" s="1198"/>
      <c r="BM55" s="1198"/>
      <c r="BN55" s="1198"/>
      <c r="BO55" s="1198"/>
      <c r="BP55" s="1198"/>
      <c r="BQ55" s="1198"/>
      <c r="BR55" s="1198"/>
      <c r="BS55" s="1198"/>
      <c r="BT55" s="1198"/>
      <c r="BU55" s="1198"/>
      <c r="BV55" s="1198"/>
      <c r="BW55" s="513"/>
      <c r="BX55" s="155"/>
      <c r="BY55" s="155"/>
      <c r="BZ55" s="150"/>
      <c r="CA55" s="1234"/>
      <c r="CB55" s="1234"/>
      <c r="CC55" s="1234"/>
      <c r="CD55" s="1234"/>
      <c r="CE55" s="1234"/>
      <c r="CF55" s="1234"/>
      <c r="CG55" s="1234"/>
      <c r="CH55" s="1234"/>
      <c r="CI55" s="1234"/>
      <c r="CJ55" s="1234"/>
      <c r="CK55" s="1234"/>
      <c r="CL55" s="1234"/>
      <c r="CM55" s="1234"/>
      <c r="CN55" s="1234"/>
      <c r="CO55" s="1234"/>
      <c r="CP55" s="1234"/>
      <c r="CQ55" s="1234"/>
      <c r="CR55" s="1234"/>
      <c r="CS55" s="1234"/>
      <c r="CT55" s="1234"/>
      <c r="CU55" s="1234"/>
      <c r="CV55" s="1234"/>
      <c r="CW55" s="1234"/>
      <c r="CX55" s="1234"/>
      <c r="CZ55" s="1119"/>
      <c r="DA55" s="1119"/>
      <c r="DB55" s="1119"/>
      <c r="DC55" s="1119"/>
      <c r="DD55" s="1119"/>
      <c r="DE55" s="1119"/>
      <c r="DF55" s="1119"/>
      <c r="DG55" s="1119"/>
      <c r="DH55" s="1119"/>
      <c r="DI55" s="1119"/>
      <c r="DJ55" s="1119"/>
      <c r="DK55" s="1119"/>
      <c r="DL55" s="1119"/>
      <c r="DM55" s="1119"/>
      <c r="DN55" s="1119"/>
      <c r="DO55" s="1119"/>
      <c r="DP55" s="1119"/>
      <c r="DQ55" s="1119"/>
      <c r="DR55" s="1119"/>
      <c r="DS55" s="1119"/>
      <c r="DT55" s="1119"/>
      <c r="DU55" s="1119"/>
      <c r="DV55" s="1119"/>
      <c r="DW55" s="1119"/>
      <c r="DY55" s="1121"/>
      <c r="DZ55" s="1121"/>
      <c r="EA55" s="1121"/>
      <c r="EB55" s="1121"/>
      <c r="EC55" s="1121"/>
      <c r="ED55" s="1121"/>
      <c r="EE55" s="1121"/>
      <c r="EF55" s="1121"/>
      <c r="EG55" s="1121"/>
      <c r="EH55" s="1121"/>
      <c r="EI55" s="1121"/>
      <c r="EJ55" s="1121"/>
      <c r="EK55" s="1121"/>
      <c r="EL55" s="1121"/>
      <c r="EM55" s="1121"/>
      <c r="EN55" s="1121"/>
      <c r="EO55" s="1121"/>
      <c r="EP55" s="1121"/>
      <c r="EQ55" s="1121"/>
      <c r="ER55" s="1121"/>
      <c r="ES55" s="1121"/>
      <c r="ET55" s="1121"/>
      <c r="EU55" s="1121"/>
      <c r="EW55" s="155"/>
      <c r="EX55" s="552"/>
      <c r="EY55" s="552"/>
      <c r="EZ55" s="552"/>
      <c r="FA55" s="552"/>
      <c r="FB55" s="552"/>
      <c r="FC55" s="552"/>
      <c r="FD55" s="552"/>
      <c r="FE55" s="552"/>
      <c r="FF55" s="552"/>
      <c r="FG55" s="552"/>
      <c r="FH55" s="552"/>
      <c r="FI55" s="552"/>
      <c r="FJ55" s="552"/>
      <c r="FK55" s="552"/>
      <c r="FL55" s="552"/>
      <c r="FM55" s="552"/>
      <c r="FN55" s="552"/>
      <c r="FO55" s="552"/>
      <c r="FP55" s="552"/>
      <c r="FQ55" s="552"/>
      <c r="FR55" s="552"/>
      <c r="FS55" s="552"/>
      <c r="FT55" s="552"/>
      <c r="FU55" s="552"/>
      <c r="FV55" s="552"/>
      <c r="FW55" s="552"/>
      <c r="FX55" s="552"/>
      <c r="FY55" s="552"/>
      <c r="FZ55" s="552"/>
      <c r="GA55" s="552"/>
      <c r="GB55" s="552"/>
      <c r="GC55" s="552"/>
      <c r="GD55" s="552"/>
      <c r="GE55" s="552"/>
      <c r="GF55" s="552"/>
      <c r="GG55" s="552"/>
      <c r="GH55" s="552"/>
      <c r="GI55" s="552"/>
      <c r="GJ55" s="552"/>
      <c r="GK55" s="552"/>
      <c r="GL55" s="552"/>
      <c r="GM55" s="552"/>
      <c r="GN55" s="552"/>
      <c r="GO55" s="552"/>
      <c r="GP55" s="552"/>
      <c r="GQ55" s="552"/>
      <c r="GR55" s="552"/>
      <c r="GS55" s="552"/>
      <c r="GT55" s="552"/>
      <c r="GU55" s="552"/>
      <c r="GV55" s="552"/>
      <c r="GW55" s="552"/>
      <c r="GX55" s="552"/>
      <c r="GY55" s="552"/>
      <c r="GZ55" s="552"/>
      <c r="HA55" s="552"/>
      <c r="HB55" s="552"/>
      <c r="HC55" s="552"/>
      <c r="HD55" s="552"/>
      <c r="HE55" s="552"/>
      <c r="HF55" s="552"/>
      <c r="HG55" s="552"/>
      <c r="HH55" s="552"/>
      <c r="HI55" s="552"/>
      <c r="HJ55" s="552"/>
      <c r="HK55" s="552"/>
      <c r="HL55" s="552"/>
      <c r="HM55" s="552"/>
      <c r="HN55" s="552"/>
      <c r="HO55" s="552"/>
      <c r="HP55" s="552"/>
      <c r="HQ55" s="552"/>
      <c r="HR55" s="552"/>
      <c r="HS55" s="552"/>
      <c r="HT55" s="155"/>
      <c r="HU55" s="155"/>
      <c r="HV55" s="552"/>
      <c r="HW55" s="552"/>
      <c r="HX55" s="552"/>
      <c r="HY55" s="552"/>
      <c r="HZ55" s="552"/>
      <c r="IA55" s="552"/>
      <c r="IB55" s="552"/>
      <c r="IC55" s="552"/>
      <c r="ID55" s="552"/>
      <c r="IE55" s="552"/>
      <c r="IF55" s="552"/>
      <c r="IG55" s="552"/>
      <c r="IH55" s="552"/>
      <c r="II55" s="552"/>
      <c r="IJ55" s="552"/>
      <c r="IK55" s="552"/>
      <c r="IL55" s="552"/>
      <c r="IM55" s="552"/>
      <c r="IN55" s="552"/>
      <c r="IO55" s="552"/>
      <c r="IP55" s="552"/>
      <c r="IQ55" s="552"/>
      <c r="IR55" s="552"/>
      <c r="IS55" s="552"/>
      <c r="IT55" s="552"/>
      <c r="IU55" s="552"/>
      <c r="IV55" s="552"/>
      <c r="IW55" s="552"/>
      <c r="IX55" s="552"/>
      <c r="IY55" s="552"/>
      <c r="IZ55" s="552"/>
      <c r="JA55" s="552"/>
      <c r="JB55" s="552"/>
      <c r="JC55" s="552"/>
      <c r="JD55" s="552"/>
      <c r="JE55" s="552"/>
      <c r="JF55" s="552"/>
      <c r="JG55" s="552"/>
      <c r="JH55" s="552"/>
      <c r="JI55" s="552"/>
      <c r="JJ55" s="552"/>
      <c r="JK55" s="552"/>
      <c r="JL55" s="552"/>
      <c r="JM55" s="552"/>
      <c r="JN55" s="552"/>
      <c r="JO55" s="552"/>
      <c r="JP55" s="552"/>
      <c r="JQ55" s="552"/>
      <c r="JR55" s="552"/>
      <c r="JS55" s="552"/>
      <c r="JT55" s="552"/>
      <c r="JU55" s="552"/>
      <c r="JV55" s="552"/>
      <c r="JW55" s="552"/>
      <c r="JX55" s="552"/>
      <c r="JY55" s="552"/>
      <c r="JZ55" s="552"/>
      <c r="KA55" s="552"/>
      <c r="KB55" s="552"/>
      <c r="KC55" s="552"/>
      <c r="KD55" s="552"/>
      <c r="KE55" s="552"/>
      <c r="KF55" s="552"/>
      <c r="KG55" s="552"/>
      <c r="KH55" s="552"/>
      <c r="KI55" s="552"/>
      <c r="KJ55" s="552"/>
      <c r="KK55" s="552"/>
      <c r="KL55" s="552"/>
      <c r="KM55" s="552"/>
      <c r="KN55" s="552"/>
      <c r="KO55" s="552"/>
      <c r="KP55" s="552"/>
      <c r="KQ55" s="552"/>
      <c r="KR55" s="155"/>
      <c r="KS55" s="155"/>
      <c r="KV55" s="1121"/>
      <c r="KW55" s="1121"/>
      <c r="KX55" s="1121"/>
      <c r="KY55" s="1121"/>
      <c r="KZ55" s="1121"/>
      <c r="LA55" s="1121"/>
      <c r="LB55" s="1121"/>
      <c r="LC55" s="1121"/>
      <c r="LD55" s="1121"/>
      <c r="LE55" s="1121"/>
      <c r="LF55" s="1121"/>
      <c r="LG55" s="1121"/>
      <c r="LH55" s="1121"/>
      <c r="LI55" s="1121"/>
      <c r="LJ55" s="1121"/>
      <c r="LK55" s="1121"/>
      <c r="LL55" s="1121"/>
      <c r="LM55" s="1121"/>
      <c r="LN55" s="1121"/>
      <c r="LO55" s="1121"/>
      <c r="LP55" s="1121"/>
      <c r="LQ55" s="1121"/>
      <c r="LR55" s="1121"/>
      <c r="LS55" s="1121"/>
      <c r="LT55" s="1121"/>
      <c r="LV55" s="1123"/>
      <c r="LW55" s="1123"/>
      <c r="LX55" s="1123"/>
      <c r="LY55" s="1123"/>
      <c r="MA55" s="1123"/>
      <c r="MB55" s="1123"/>
      <c r="MC55" s="1123"/>
      <c r="MD55" s="1123"/>
      <c r="ME55" s="1123"/>
      <c r="MF55" s="1123"/>
      <c r="MG55" s="1123"/>
      <c r="MH55" s="1123"/>
      <c r="MI55" s="1123"/>
      <c r="MK55" s="1123"/>
      <c r="ML55" s="1123"/>
      <c r="MM55" s="1123"/>
      <c r="MN55" s="1123"/>
      <c r="MO55" s="1123"/>
      <c r="NP55" s="155"/>
      <c r="NQ55" s="155"/>
      <c r="QN55" s="155"/>
      <c r="QO55" s="155"/>
      <c r="TL55" s="155"/>
    </row>
    <row r="56" spans="1:532" ht="6.75" customHeight="1" thickBot="1" x14ac:dyDescent="0.3">
      <c r="A56" s="155"/>
      <c r="B56" s="512"/>
      <c r="C56" s="1177"/>
      <c r="D56" s="1178"/>
      <c r="E56" s="1178"/>
      <c r="F56" s="1178"/>
      <c r="G56" s="1178"/>
      <c r="H56" s="1178"/>
      <c r="I56" s="1178"/>
      <c r="J56" s="1178"/>
      <c r="K56" s="1178"/>
      <c r="L56" s="1178"/>
      <c r="M56" s="1178"/>
      <c r="N56" s="1178"/>
      <c r="O56" s="1178"/>
      <c r="P56" s="1178"/>
      <c r="Q56" s="1178"/>
      <c r="R56" s="1179"/>
      <c r="S56" s="508"/>
      <c r="T56" s="508"/>
      <c r="U56" s="508"/>
      <c r="V56" s="508"/>
      <c r="W56" s="508"/>
      <c r="X56" s="508"/>
      <c r="Y56" s="508"/>
      <c r="Z56" s="508"/>
      <c r="AA56" s="508"/>
      <c r="AB56" s="508"/>
      <c r="AC56" s="508"/>
      <c r="AD56" s="508"/>
      <c r="AE56" s="508"/>
      <c r="AF56" s="508"/>
      <c r="AG56" s="508"/>
      <c r="AH56" s="508"/>
      <c r="AI56" s="508"/>
      <c r="AJ56" s="508"/>
      <c r="AK56" s="508"/>
      <c r="AL56" s="508"/>
      <c r="AM56" s="507"/>
      <c r="AN56" s="507"/>
      <c r="AO56" s="1199" t="s">
        <v>87</v>
      </c>
      <c r="AP56" s="1199"/>
      <c r="AQ56" s="1199"/>
      <c r="AR56" s="1199"/>
      <c r="AS56" s="1199"/>
      <c r="AT56" s="1199"/>
      <c r="AU56" s="1199"/>
      <c r="AV56" s="1199"/>
      <c r="AW56" s="1199"/>
      <c r="AX56" s="1199"/>
      <c r="AY56" s="1199"/>
      <c r="AZ56" s="1199"/>
      <c r="BA56" s="1199"/>
      <c r="BB56" s="1227" t="s">
        <v>8</v>
      </c>
      <c r="BC56" s="1227"/>
      <c r="BD56" s="1227"/>
      <c r="BE56" s="1227"/>
      <c r="BF56" s="1198"/>
      <c r="BG56" s="1198"/>
      <c r="BH56" s="1198"/>
      <c r="BI56" s="1198"/>
      <c r="BJ56" s="1198"/>
      <c r="BK56" s="1198"/>
      <c r="BL56" s="1198"/>
      <c r="BM56" s="1198"/>
      <c r="BN56" s="1198"/>
      <c r="BO56" s="1198"/>
      <c r="BP56" s="1198"/>
      <c r="BQ56" s="1198"/>
      <c r="BR56" s="1198"/>
      <c r="BS56" s="1198">
        <f>IntimidationValue</f>
        <v>0</v>
      </c>
      <c r="BT56" s="1198"/>
      <c r="BU56" s="1198"/>
      <c r="BV56" s="1198"/>
      <c r="BW56" s="513"/>
      <c r="BX56" s="155"/>
      <c r="BY56" s="155"/>
      <c r="BZ56" s="150"/>
      <c r="CA56" s="1234"/>
      <c r="CB56" s="1234"/>
      <c r="CC56" s="1234"/>
      <c r="CD56" s="1234"/>
      <c r="CE56" s="1234"/>
      <c r="CF56" s="1234"/>
      <c r="CG56" s="1234"/>
      <c r="CH56" s="1234"/>
      <c r="CI56" s="1234"/>
      <c r="CJ56" s="1234"/>
      <c r="CK56" s="1234"/>
      <c r="CL56" s="1234"/>
      <c r="CM56" s="1234"/>
      <c r="CN56" s="1234"/>
      <c r="CO56" s="1234"/>
      <c r="CP56" s="1234"/>
      <c r="CQ56" s="1234"/>
      <c r="CR56" s="1234"/>
      <c r="CS56" s="1234"/>
      <c r="CT56" s="1234"/>
      <c r="CU56" s="1234"/>
      <c r="CV56" s="1234"/>
      <c r="CW56" s="1234"/>
      <c r="CX56" s="1234"/>
      <c r="CZ56" s="1119"/>
      <c r="DA56" s="1119"/>
      <c r="DB56" s="1119"/>
      <c r="DC56" s="1119"/>
      <c r="DD56" s="1119"/>
      <c r="DE56" s="1119"/>
      <c r="DF56" s="1119"/>
      <c r="DG56" s="1119"/>
      <c r="DH56" s="1119"/>
      <c r="DI56" s="1119"/>
      <c r="DJ56" s="1119"/>
      <c r="DK56" s="1119"/>
      <c r="DL56" s="1119"/>
      <c r="DM56" s="1119"/>
      <c r="DN56" s="1119"/>
      <c r="DO56" s="1119"/>
      <c r="DP56" s="1119"/>
      <c r="DQ56" s="1119"/>
      <c r="DR56" s="1119"/>
      <c r="DS56" s="1119"/>
      <c r="DT56" s="1119"/>
      <c r="DU56" s="1119"/>
      <c r="DV56" s="1119"/>
      <c r="DW56" s="1119"/>
      <c r="DY56" s="1120"/>
      <c r="DZ56" s="1120"/>
      <c r="EA56" s="1120"/>
      <c r="EB56" s="1120"/>
      <c r="EC56" s="1120"/>
      <c r="ED56" s="1120"/>
      <c r="EE56" s="1120"/>
      <c r="EF56" s="1120"/>
      <c r="EG56" s="1120"/>
      <c r="EH56" s="1120"/>
      <c r="EI56" s="1120"/>
      <c r="EJ56" s="1120"/>
      <c r="EK56" s="1120"/>
      <c r="EL56" s="1120"/>
      <c r="EM56" s="1120"/>
      <c r="EN56" s="1120"/>
      <c r="EO56" s="1120"/>
      <c r="EP56" s="1120"/>
      <c r="EQ56" s="1120"/>
      <c r="ER56" s="1120"/>
      <c r="ES56" s="1120"/>
      <c r="ET56" s="1120"/>
      <c r="EU56" s="1120"/>
      <c r="EW56" s="155"/>
      <c r="EX56" s="552"/>
      <c r="EY56" s="552"/>
      <c r="EZ56" s="552"/>
      <c r="FA56" s="552"/>
      <c r="FB56" s="552"/>
      <c r="FC56" s="552"/>
      <c r="FD56" s="552"/>
      <c r="FE56" s="552"/>
      <c r="FF56" s="552"/>
      <c r="FG56" s="552"/>
      <c r="FH56" s="552"/>
      <c r="FI56" s="552"/>
      <c r="FJ56" s="552"/>
      <c r="FK56" s="552"/>
      <c r="FL56" s="552"/>
      <c r="FM56" s="552"/>
      <c r="FN56" s="552"/>
      <c r="FO56" s="552"/>
      <c r="FP56" s="552"/>
      <c r="FQ56" s="552"/>
      <c r="FR56" s="552"/>
      <c r="FS56" s="552"/>
      <c r="FT56" s="552"/>
      <c r="FU56" s="552"/>
      <c r="FV56" s="552"/>
      <c r="FW56" s="552"/>
      <c r="FX56" s="552"/>
      <c r="FY56" s="552"/>
      <c r="FZ56" s="552"/>
      <c r="GA56" s="552"/>
      <c r="GB56" s="552"/>
      <c r="GC56" s="552"/>
      <c r="GD56" s="552"/>
      <c r="GE56" s="552"/>
      <c r="GF56" s="552"/>
      <c r="GG56" s="552"/>
      <c r="GH56" s="552"/>
      <c r="GI56" s="552"/>
      <c r="GJ56" s="552"/>
      <c r="GK56" s="552"/>
      <c r="GL56" s="552"/>
      <c r="GM56" s="552"/>
      <c r="GN56" s="552"/>
      <c r="GO56" s="552"/>
      <c r="GP56" s="552"/>
      <c r="GQ56" s="552"/>
      <c r="GR56" s="552"/>
      <c r="GS56" s="552"/>
      <c r="GT56" s="552"/>
      <c r="GU56" s="552"/>
      <c r="GV56" s="552"/>
      <c r="GW56" s="552"/>
      <c r="GX56" s="552"/>
      <c r="GY56" s="552"/>
      <c r="GZ56" s="552"/>
      <c r="HA56" s="552"/>
      <c r="HB56" s="552"/>
      <c r="HC56" s="552"/>
      <c r="HD56" s="552"/>
      <c r="HE56" s="552"/>
      <c r="HF56" s="552"/>
      <c r="HG56" s="552"/>
      <c r="HH56" s="552"/>
      <c r="HI56" s="552"/>
      <c r="HJ56" s="552"/>
      <c r="HK56" s="552"/>
      <c r="HL56" s="552"/>
      <c r="HM56" s="552"/>
      <c r="HN56" s="552"/>
      <c r="HO56" s="552"/>
      <c r="HP56" s="552"/>
      <c r="HQ56" s="552"/>
      <c r="HR56" s="552"/>
      <c r="HS56" s="552"/>
      <c r="HT56" s="155"/>
      <c r="HU56" s="155"/>
      <c r="HV56" s="552"/>
      <c r="HW56" s="552"/>
      <c r="HX56" s="552"/>
      <c r="HY56" s="552"/>
      <c r="HZ56" s="552"/>
      <c r="IA56" s="552"/>
      <c r="IB56" s="552"/>
      <c r="IC56" s="552"/>
      <c r="ID56" s="552"/>
      <c r="IE56" s="552"/>
      <c r="IF56" s="552"/>
      <c r="IG56" s="552"/>
      <c r="IH56" s="552"/>
      <c r="II56" s="552"/>
      <c r="IJ56" s="552"/>
      <c r="IK56" s="552"/>
      <c r="IL56" s="552"/>
      <c r="IM56" s="552"/>
      <c r="IN56" s="552"/>
      <c r="IO56" s="552"/>
      <c r="IP56" s="552"/>
      <c r="IQ56" s="552"/>
      <c r="IR56" s="552"/>
      <c r="IS56" s="552"/>
      <c r="IT56" s="552"/>
      <c r="IU56" s="552"/>
      <c r="IV56" s="552"/>
      <c r="IW56" s="552"/>
      <c r="IX56" s="552"/>
      <c r="IY56" s="552"/>
      <c r="IZ56" s="552"/>
      <c r="JA56" s="552"/>
      <c r="JB56" s="552"/>
      <c r="JC56" s="552"/>
      <c r="JD56" s="552"/>
      <c r="JE56" s="552"/>
      <c r="JF56" s="552"/>
      <c r="JG56" s="552"/>
      <c r="JH56" s="552"/>
      <c r="JI56" s="552"/>
      <c r="JJ56" s="552"/>
      <c r="JK56" s="552"/>
      <c r="JL56" s="552"/>
      <c r="JM56" s="552"/>
      <c r="JN56" s="552"/>
      <c r="JO56" s="552"/>
      <c r="JP56" s="552"/>
      <c r="JQ56" s="552"/>
      <c r="JR56" s="552"/>
      <c r="JS56" s="552"/>
      <c r="JT56" s="552"/>
      <c r="JU56" s="552"/>
      <c r="JV56" s="552"/>
      <c r="JW56" s="552"/>
      <c r="JX56" s="552"/>
      <c r="JY56" s="552"/>
      <c r="JZ56" s="552"/>
      <c r="KA56" s="552"/>
      <c r="KB56" s="552"/>
      <c r="KC56" s="552"/>
      <c r="KD56" s="552"/>
      <c r="KE56" s="552"/>
      <c r="KF56" s="552"/>
      <c r="KG56" s="552"/>
      <c r="KH56" s="552"/>
      <c r="KI56" s="552"/>
      <c r="KJ56" s="552"/>
      <c r="KK56" s="552"/>
      <c r="KL56" s="552"/>
      <c r="KM56" s="552"/>
      <c r="KN56" s="552"/>
      <c r="KO56" s="552"/>
      <c r="KP56" s="552"/>
      <c r="KQ56" s="552"/>
      <c r="KR56" s="155"/>
      <c r="KS56" s="155"/>
      <c r="KV56" s="1120"/>
      <c r="KW56" s="1120"/>
      <c r="KX56" s="1120"/>
      <c r="KY56" s="1120"/>
      <c r="KZ56" s="1120"/>
      <c r="LA56" s="1120"/>
      <c r="LB56" s="1120"/>
      <c r="LC56" s="1120"/>
      <c r="LD56" s="1120"/>
      <c r="LE56" s="1120"/>
      <c r="LF56" s="1120"/>
      <c r="LG56" s="1120"/>
      <c r="LH56" s="1120"/>
      <c r="LI56" s="1120"/>
      <c r="LJ56" s="1120"/>
      <c r="LK56" s="1120"/>
      <c r="LL56" s="1120"/>
      <c r="LM56" s="1120"/>
      <c r="LN56" s="1120"/>
      <c r="LO56" s="1120"/>
      <c r="LP56" s="1120"/>
      <c r="LQ56" s="1120"/>
      <c r="LR56" s="1120"/>
      <c r="LS56" s="1120"/>
      <c r="LT56" s="1120"/>
      <c r="LV56" s="1122"/>
      <c r="LW56" s="1122"/>
      <c r="LX56" s="1122"/>
      <c r="LY56" s="1122"/>
      <c r="MA56" s="1122"/>
      <c r="MB56" s="1122"/>
      <c r="MC56" s="1122"/>
      <c r="MD56" s="1122"/>
      <c r="ME56" s="1122"/>
      <c r="MF56" s="1122"/>
      <c r="MG56" s="1122"/>
      <c r="MH56" s="1122"/>
      <c r="MI56" s="1122"/>
      <c r="MK56" s="1122"/>
      <c r="ML56" s="1122"/>
      <c r="MM56" s="1122"/>
      <c r="MN56" s="1122"/>
      <c r="MO56" s="1122"/>
      <c r="NP56" s="155"/>
      <c r="NQ56" s="155"/>
      <c r="QN56" s="155"/>
      <c r="QO56" s="155"/>
      <c r="TL56" s="155"/>
    </row>
    <row r="57" spans="1:532" ht="6.75" customHeight="1" x14ac:dyDescent="0.25">
      <c r="A57" s="155"/>
      <c r="B57" s="512"/>
      <c r="C57" s="1189" t="str">
        <f>Ideal</f>
        <v>Knowledge. The path to power and self-improvement is through knowledge. (Neutral)</v>
      </c>
      <c r="D57" s="1190"/>
      <c r="E57" s="1190"/>
      <c r="F57" s="1190"/>
      <c r="G57" s="1190"/>
      <c r="H57" s="1190"/>
      <c r="I57" s="1190"/>
      <c r="J57" s="1190"/>
      <c r="K57" s="1190"/>
      <c r="L57" s="1190"/>
      <c r="M57" s="1190"/>
      <c r="N57" s="1190"/>
      <c r="O57" s="1190"/>
      <c r="P57" s="1190"/>
      <c r="Q57" s="1190"/>
      <c r="R57" s="1190"/>
      <c r="S57" s="1190"/>
      <c r="T57" s="1190"/>
      <c r="U57" s="1190"/>
      <c r="V57" s="1190"/>
      <c r="W57" s="1190"/>
      <c r="X57" s="1190"/>
      <c r="Y57" s="1190"/>
      <c r="Z57" s="1190"/>
      <c r="AA57" s="1190"/>
      <c r="AB57" s="1190"/>
      <c r="AC57" s="1190"/>
      <c r="AD57" s="1190"/>
      <c r="AE57" s="1190"/>
      <c r="AF57" s="1190"/>
      <c r="AG57" s="1190"/>
      <c r="AH57" s="1190"/>
      <c r="AI57" s="1190"/>
      <c r="AJ57" s="1190"/>
      <c r="AK57" s="1190"/>
      <c r="AL57" s="1191"/>
      <c r="AM57" s="508"/>
      <c r="AN57" s="508"/>
      <c r="AO57" s="1199"/>
      <c r="AP57" s="1199"/>
      <c r="AQ57" s="1199"/>
      <c r="AR57" s="1199"/>
      <c r="AS57" s="1199"/>
      <c r="AT57" s="1199"/>
      <c r="AU57" s="1199"/>
      <c r="AV57" s="1199"/>
      <c r="AW57" s="1199"/>
      <c r="AX57" s="1199"/>
      <c r="AY57" s="1199"/>
      <c r="AZ57" s="1199"/>
      <c r="BA57" s="1199"/>
      <c r="BB57" s="1227"/>
      <c r="BC57" s="1227"/>
      <c r="BD57" s="1227"/>
      <c r="BE57" s="1227"/>
      <c r="BF57" s="1198"/>
      <c r="BG57" s="1198"/>
      <c r="BH57" s="1198"/>
      <c r="BI57" s="1198"/>
      <c r="BJ57" s="1198"/>
      <c r="BK57" s="1198"/>
      <c r="BL57" s="1198"/>
      <c r="BM57" s="1198"/>
      <c r="BN57" s="1198"/>
      <c r="BO57" s="1198"/>
      <c r="BP57" s="1198"/>
      <c r="BQ57" s="1198"/>
      <c r="BR57" s="1198"/>
      <c r="BS57" s="1198"/>
      <c r="BT57" s="1198"/>
      <c r="BU57" s="1198"/>
      <c r="BV57" s="1198"/>
      <c r="BW57" s="513"/>
      <c r="BX57" s="155"/>
      <c r="BY57" s="155"/>
      <c r="BZ57" s="150"/>
      <c r="CA57" s="1234"/>
      <c r="CB57" s="1234"/>
      <c r="CC57" s="1234"/>
      <c r="CD57" s="1234"/>
      <c r="CE57" s="1234"/>
      <c r="CF57" s="1234"/>
      <c r="CG57" s="1234"/>
      <c r="CH57" s="1234"/>
      <c r="CI57" s="1234"/>
      <c r="CJ57" s="1234"/>
      <c r="CK57" s="1234"/>
      <c r="CL57" s="1234"/>
      <c r="CM57" s="1234"/>
      <c r="CN57" s="1234"/>
      <c r="CO57" s="1234"/>
      <c r="CP57" s="1234"/>
      <c r="CQ57" s="1234"/>
      <c r="CR57" s="1234"/>
      <c r="CS57" s="1234"/>
      <c r="CT57" s="1234"/>
      <c r="CU57" s="1234"/>
      <c r="CV57" s="1234"/>
      <c r="CW57" s="1234"/>
      <c r="CX57" s="1234"/>
      <c r="CZ57" s="1119"/>
      <c r="DA57" s="1119"/>
      <c r="DB57" s="1119"/>
      <c r="DC57" s="1119"/>
      <c r="DD57" s="1119"/>
      <c r="DE57" s="1119"/>
      <c r="DF57" s="1119"/>
      <c r="DG57" s="1119"/>
      <c r="DH57" s="1119"/>
      <c r="DI57" s="1119"/>
      <c r="DJ57" s="1119"/>
      <c r="DK57" s="1119"/>
      <c r="DL57" s="1119"/>
      <c r="DM57" s="1119"/>
      <c r="DN57" s="1119"/>
      <c r="DO57" s="1119"/>
      <c r="DP57" s="1119"/>
      <c r="DQ57" s="1119"/>
      <c r="DR57" s="1119"/>
      <c r="DS57" s="1119"/>
      <c r="DT57" s="1119"/>
      <c r="DU57" s="1119"/>
      <c r="DV57" s="1119"/>
      <c r="DW57" s="1119"/>
      <c r="DY57" s="1121"/>
      <c r="DZ57" s="1121"/>
      <c r="EA57" s="1121"/>
      <c r="EB57" s="1121"/>
      <c r="EC57" s="1121"/>
      <c r="ED57" s="1121"/>
      <c r="EE57" s="1121"/>
      <c r="EF57" s="1121"/>
      <c r="EG57" s="1121"/>
      <c r="EH57" s="1121"/>
      <c r="EI57" s="1121"/>
      <c r="EJ57" s="1121"/>
      <c r="EK57" s="1121"/>
      <c r="EL57" s="1121"/>
      <c r="EM57" s="1121"/>
      <c r="EN57" s="1121"/>
      <c r="EO57" s="1121"/>
      <c r="EP57" s="1121"/>
      <c r="EQ57" s="1121"/>
      <c r="ER57" s="1121"/>
      <c r="ES57" s="1121"/>
      <c r="ET57" s="1121"/>
      <c r="EU57" s="1121"/>
      <c r="EW57" s="155"/>
      <c r="EX57" s="552"/>
      <c r="EY57" s="552"/>
      <c r="EZ57" s="552"/>
      <c r="FA57" s="552"/>
      <c r="FB57" s="552"/>
      <c r="FC57" s="552"/>
      <c r="FD57" s="552"/>
      <c r="FE57" s="552"/>
      <c r="FF57" s="552"/>
      <c r="FG57" s="552"/>
      <c r="FH57" s="552"/>
      <c r="FI57" s="552"/>
      <c r="FJ57" s="552"/>
      <c r="FK57" s="552"/>
      <c r="FL57" s="552"/>
      <c r="FM57" s="552"/>
      <c r="FN57" s="552"/>
      <c r="FO57" s="552"/>
      <c r="FP57" s="552"/>
      <c r="FQ57" s="552"/>
      <c r="FR57" s="552"/>
      <c r="FS57" s="552"/>
      <c r="FT57" s="552"/>
      <c r="FU57" s="552"/>
      <c r="FV57" s="552"/>
      <c r="FW57" s="552"/>
      <c r="FX57" s="552"/>
      <c r="FY57" s="552"/>
      <c r="FZ57" s="552"/>
      <c r="GA57" s="552"/>
      <c r="GB57" s="552"/>
      <c r="GC57" s="552"/>
      <c r="GD57" s="552"/>
      <c r="GE57" s="552"/>
      <c r="GF57" s="552"/>
      <c r="GG57" s="552"/>
      <c r="GH57" s="552"/>
      <c r="GI57" s="552"/>
      <c r="GJ57" s="552"/>
      <c r="GK57" s="552"/>
      <c r="GL57" s="552"/>
      <c r="GM57" s="552"/>
      <c r="GN57" s="552"/>
      <c r="GO57" s="552"/>
      <c r="GP57" s="552"/>
      <c r="GQ57" s="552"/>
      <c r="GR57" s="552"/>
      <c r="GS57" s="552"/>
      <c r="GT57" s="552"/>
      <c r="GU57" s="552"/>
      <c r="GV57" s="552"/>
      <c r="GW57" s="552"/>
      <c r="GX57" s="552"/>
      <c r="GY57" s="552"/>
      <c r="GZ57" s="552"/>
      <c r="HA57" s="552"/>
      <c r="HB57" s="552"/>
      <c r="HC57" s="552"/>
      <c r="HD57" s="552"/>
      <c r="HE57" s="552"/>
      <c r="HF57" s="552"/>
      <c r="HG57" s="552"/>
      <c r="HH57" s="552"/>
      <c r="HI57" s="552"/>
      <c r="HJ57" s="552"/>
      <c r="HK57" s="552"/>
      <c r="HL57" s="552"/>
      <c r="HM57" s="552"/>
      <c r="HN57" s="552"/>
      <c r="HO57" s="552"/>
      <c r="HP57" s="552"/>
      <c r="HQ57" s="552"/>
      <c r="HR57" s="552"/>
      <c r="HS57" s="552"/>
      <c r="HT57" s="155"/>
      <c r="HU57" s="155"/>
      <c r="HV57" s="552"/>
      <c r="HW57" s="552"/>
      <c r="HX57" s="552"/>
      <c r="HY57" s="552"/>
      <c r="HZ57" s="552"/>
      <c r="IA57" s="552"/>
      <c r="IB57" s="552"/>
      <c r="IC57" s="552"/>
      <c r="ID57" s="552"/>
      <c r="IE57" s="552"/>
      <c r="IF57" s="552"/>
      <c r="IG57" s="552"/>
      <c r="IH57" s="552"/>
      <c r="II57" s="552"/>
      <c r="IJ57" s="552"/>
      <c r="IK57" s="552"/>
      <c r="IL57" s="552"/>
      <c r="IM57" s="552"/>
      <c r="IN57" s="552"/>
      <c r="IO57" s="552"/>
      <c r="IP57" s="552"/>
      <c r="IQ57" s="552"/>
      <c r="IR57" s="552"/>
      <c r="IS57" s="552"/>
      <c r="IT57" s="552"/>
      <c r="IU57" s="552"/>
      <c r="IV57" s="552"/>
      <c r="IW57" s="552"/>
      <c r="IX57" s="552"/>
      <c r="IY57" s="552"/>
      <c r="IZ57" s="552"/>
      <c r="JA57" s="552"/>
      <c r="JB57" s="552"/>
      <c r="JC57" s="552"/>
      <c r="JD57" s="552"/>
      <c r="JE57" s="552"/>
      <c r="JF57" s="552"/>
      <c r="JG57" s="552"/>
      <c r="JH57" s="552"/>
      <c r="JI57" s="552"/>
      <c r="JJ57" s="552"/>
      <c r="JK57" s="552"/>
      <c r="JL57" s="552"/>
      <c r="JM57" s="552"/>
      <c r="JN57" s="552"/>
      <c r="JO57" s="552"/>
      <c r="JP57" s="552"/>
      <c r="JQ57" s="552"/>
      <c r="JR57" s="552"/>
      <c r="JS57" s="552"/>
      <c r="JT57" s="552"/>
      <c r="JU57" s="552"/>
      <c r="JV57" s="552"/>
      <c r="JW57" s="552"/>
      <c r="JX57" s="552"/>
      <c r="JY57" s="552"/>
      <c r="JZ57" s="552"/>
      <c r="KA57" s="552"/>
      <c r="KB57" s="552"/>
      <c r="KC57" s="552"/>
      <c r="KD57" s="552"/>
      <c r="KE57" s="552"/>
      <c r="KF57" s="552"/>
      <c r="KG57" s="552"/>
      <c r="KH57" s="552"/>
      <c r="KI57" s="552"/>
      <c r="KJ57" s="552"/>
      <c r="KK57" s="552"/>
      <c r="KL57" s="552"/>
      <c r="KM57" s="552"/>
      <c r="KN57" s="552"/>
      <c r="KO57" s="552"/>
      <c r="KP57" s="552"/>
      <c r="KQ57" s="552"/>
      <c r="KR57" s="155"/>
      <c r="KS57" s="155"/>
      <c r="KV57" s="1121"/>
      <c r="KW57" s="1121"/>
      <c r="KX57" s="1121"/>
      <c r="KY57" s="1121"/>
      <c r="KZ57" s="1121"/>
      <c r="LA57" s="1121"/>
      <c r="LB57" s="1121"/>
      <c r="LC57" s="1121"/>
      <c r="LD57" s="1121"/>
      <c r="LE57" s="1121"/>
      <c r="LF57" s="1121"/>
      <c r="LG57" s="1121"/>
      <c r="LH57" s="1121"/>
      <c r="LI57" s="1121"/>
      <c r="LJ57" s="1121"/>
      <c r="LK57" s="1121"/>
      <c r="LL57" s="1121"/>
      <c r="LM57" s="1121"/>
      <c r="LN57" s="1121"/>
      <c r="LO57" s="1121"/>
      <c r="LP57" s="1121"/>
      <c r="LQ57" s="1121"/>
      <c r="LR57" s="1121"/>
      <c r="LS57" s="1121"/>
      <c r="LT57" s="1121"/>
      <c r="LV57" s="1123"/>
      <c r="LW57" s="1123"/>
      <c r="LX57" s="1123"/>
      <c r="LY57" s="1123"/>
      <c r="MA57" s="1123"/>
      <c r="MB57" s="1123"/>
      <c r="MC57" s="1123"/>
      <c r="MD57" s="1123"/>
      <c r="ME57" s="1123"/>
      <c r="MF57" s="1123"/>
      <c r="MG57" s="1123"/>
      <c r="MH57" s="1123"/>
      <c r="MI57" s="1123"/>
      <c r="MK57" s="1123"/>
      <c r="ML57" s="1123"/>
      <c r="MM57" s="1123"/>
      <c r="MN57" s="1123"/>
      <c r="MO57" s="1123"/>
      <c r="NP57" s="155"/>
      <c r="NQ57" s="155"/>
      <c r="QN57" s="155"/>
      <c r="QO57" s="155"/>
      <c r="TL57" s="155"/>
    </row>
    <row r="58" spans="1:532" ht="6.75" customHeight="1" x14ac:dyDescent="0.25">
      <c r="A58" s="155"/>
      <c r="B58" s="512"/>
      <c r="C58" s="1192"/>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4"/>
      <c r="AM58" s="508"/>
      <c r="AN58" s="508"/>
      <c r="AO58" s="1199" t="s">
        <v>609</v>
      </c>
      <c r="AP58" s="1199"/>
      <c r="AQ58" s="1199"/>
      <c r="AR58" s="1199"/>
      <c r="AS58" s="1199"/>
      <c r="AT58" s="1199"/>
      <c r="AU58" s="1199"/>
      <c r="AV58" s="1199"/>
      <c r="AW58" s="1199"/>
      <c r="AX58" s="1199"/>
      <c r="AY58" s="1199"/>
      <c r="AZ58" s="1199"/>
      <c r="BA58" s="1199"/>
      <c r="BB58" s="1227" t="s">
        <v>6</v>
      </c>
      <c r="BC58" s="1227"/>
      <c r="BD58" s="1227"/>
      <c r="BE58" s="1227"/>
      <c r="BF58" s="1198"/>
      <c r="BG58" s="1198"/>
      <c r="BH58" s="1198"/>
      <c r="BI58" s="1198"/>
      <c r="BJ58" s="1198"/>
      <c r="BK58" s="1198"/>
      <c r="BL58" s="1198"/>
      <c r="BM58" s="1198"/>
      <c r="BN58" s="1198"/>
      <c r="BO58" s="1198"/>
      <c r="BP58" s="1198"/>
      <c r="BQ58" s="1198"/>
      <c r="BR58" s="1198"/>
      <c r="BS58" s="1198">
        <f>InvestigationValue</f>
        <v>11</v>
      </c>
      <c r="BT58" s="1198"/>
      <c r="BU58" s="1198"/>
      <c r="BV58" s="1198"/>
      <c r="BW58" s="513"/>
      <c r="BX58" s="155"/>
      <c r="BY58" s="155"/>
      <c r="BZ58" s="150"/>
      <c r="CA58" s="1234"/>
      <c r="CB58" s="1234"/>
      <c r="CC58" s="1234"/>
      <c r="CD58" s="1234"/>
      <c r="CE58" s="1234"/>
      <c r="CF58" s="1234"/>
      <c r="CG58" s="1234"/>
      <c r="CH58" s="1234"/>
      <c r="CI58" s="1234"/>
      <c r="CJ58" s="1234"/>
      <c r="CK58" s="1234"/>
      <c r="CL58" s="1234"/>
      <c r="CM58" s="1234"/>
      <c r="CN58" s="1234"/>
      <c r="CO58" s="1234"/>
      <c r="CP58" s="1234"/>
      <c r="CQ58" s="1234"/>
      <c r="CR58" s="1234"/>
      <c r="CS58" s="1234"/>
      <c r="CT58" s="1234"/>
      <c r="CU58" s="1234"/>
      <c r="CV58" s="1234"/>
      <c r="CW58" s="1234"/>
      <c r="CX58" s="1234"/>
      <c r="CZ58" s="1119"/>
      <c r="DA58" s="1119"/>
      <c r="DB58" s="1119"/>
      <c r="DC58" s="1119"/>
      <c r="DD58" s="1119"/>
      <c r="DE58" s="1119"/>
      <c r="DF58" s="1119"/>
      <c r="DG58" s="1119"/>
      <c r="DH58" s="1119"/>
      <c r="DI58" s="1119"/>
      <c r="DJ58" s="1119"/>
      <c r="DK58" s="1119"/>
      <c r="DL58" s="1119"/>
      <c r="DM58" s="1119"/>
      <c r="DN58" s="1119"/>
      <c r="DO58" s="1119"/>
      <c r="DP58" s="1119"/>
      <c r="DQ58" s="1119"/>
      <c r="DR58" s="1119"/>
      <c r="DS58" s="1119"/>
      <c r="DT58" s="1119"/>
      <c r="DU58" s="1119"/>
      <c r="DV58" s="1119"/>
      <c r="DW58" s="1119"/>
      <c r="DY58" s="1120"/>
      <c r="DZ58" s="1120"/>
      <c r="EA58" s="1120"/>
      <c r="EB58" s="1120"/>
      <c r="EC58" s="1120"/>
      <c r="ED58" s="1120"/>
      <c r="EE58" s="1120"/>
      <c r="EF58" s="1120"/>
      <c r="EG58" s="1120"/>
      <c r="EH58" s="1120"/>
      <c r="EI58" s="1120"/>
      <c r="EJ58" s="1120"/>
      <c r="EK58" s="1120"/>
      <c r="EL58" s="1120"/>
      <c r="EM58" s="1120"/>
      <c r="EN58" s="1120"/>
      <c r="EO58" s="1120"/>
      <c r="EP58" s="1120"/>
      <c r="EQ58" s="1120"/>
      <c r="ER58" s="1120"/>
      <c r="ES58" s="1120"/>
      <c r="ET58" s="1120"/>
      <c r="EU58" s="1120"/>
      <c r="EW58" s="155"/>
      <c r="EX58" s="552"/>
      <c r="EY58" s="552"/>
      <c r="EZ58" s="552"/>
      <c r="FA58" s="552"/>
      <c r="FB58" s="552"/>
      <c r="FC58" s="552"/>
      <c r="FD58" s="552"/>
      <c r="FE58" s="552"/>
      <c r="FF58" s="552"/>
      <c r="FG58" s="552"/>
      <c r="FH58" s="552"/>
      <c r="FI58" s="552"/>
      <c r="FJ58" s="552"/>
      <c r="FK58" s="552"/>
      <c r="FL58" s="552"/>
      <c r="FM58" s="552"/>
      <c r="FN58" s="552"/>
      <c r="FO58" s="552"/>
      <c r="FP58" s="552"/>
      <c r="FQ58" s="552"/>
      <c r="FR58" s="552"/>
      <c r="FS58" s="552"/>
      <c r="FT58" s="552"/>
      <c r="FU58" s="552"/>
      <c r="FV58" s="552"/>
      <c r="FW58" s="552"/>
      <c r="FX58" s="552"/>
      <c r="FY58" s="552"/>
      <c r="FZ58" s="552"/>
      <c r="GA58" s="552"/>
      <c r="GB58" s="552"/>
      <c r="GC58" s="552"/>
      <c r="GD58" s="552"/>
      <c r="GE58" s="552"/>
      <c r="GF58" s="552"/>
      <c r="GG58" s="552"/>
      <c r="GH58" s="552"/>
      <c r="GI58" s="552"/>
      <c r="GJ58" s="552"/>
      <c r="GK58" s="552"/>
      <c r="GL58" s="552"/>
      <c r="GM58" s="552"/>
      <c r="GN58" s="552"/>
      <c r="GO58" s="552"/>
      <c r="GP58" s="552"/>
      <c r="GQ58" s="552"/>
      <c r="GR58" s="552"/>
      <c r="GS58" s="552"/>
      <c r="GT58" s="552"/>
      <c r="GU58" s="552"/>
      <c r="GV58" s="552"/>
      <c r="GW58" s="552"/>
      <c r="GX58" s="552"/>
      <c r="GY58" s="552"/>
      <c r="GZ58" s="552"/>
      <c r="HA58" s="552"/>
      <c r="HB58" s="552"/>
      <c r="HC58" s="552"/>
      <c r="HD58" s="552"/>
      <c r="HE58" s="552"/>
      <c r="HF58" s="552"/>
      <c r="HG58" s="552"/>
      <c r="HH58" s="552"/>
      <c r="HI58" s="552"/>
      <c r="HJ58" s="552"/>
      <c r="HK58" s="552"/>
      <c r="HL58" s="552"/>
      <c r="HM58" s="552"/>
      <c r="HN58" s="552"/>
      <c r="HO58" s="552"/>
      <c r="HP58" s="552"/>
      <c r="HQ58" s="552"/>
      <c r="HR58" s="552"/>
      <c r="HS58" s="552"/>
      <c r="HT58" s="155"/>
      <c r="HU58" s="155"/>
      <c r="HV58" s="552"/>
      <c r="HW58" s="552"/>
      <c r="HX58" s="552"/>
      <c r="HY58" s="552"/>
      <c r="HZ58" s="552"/>
      <c r="IA58" s="552"/>
      <c r="IB58" s="552"/>
      <c r="IC58" s="552"/>
      <c r="ID58" s="552"/>
      <c r="IE58" s="552"/>
      <c r="IF58" s="552"/>
      <c r="IG58" s="552"/>
      <c r="IH58" s="552"/>
      <c r="II58" s="552"/>
      <c r="IJ58" s="552"/>
      <c r="IK58" s="552"/>
      <c r="IL58" s="552"/>
      <c r="IM58" s="552"/>
      <c r="IN58" s="552"/>
      <c r="IO58" s="552"/>
      <c r="IP58" s="552"/>
      <c r="IQ58" s="552"/>
      <c r="IR58" s="552"/>
      <c r="IS58" s="552"/>
      <c r="IT58" s="552"/>
      <c r="IU58" s="552"/>
      <c r="IV58" s="552"/>
      <c r="IW58" s="552"/>
      <c r="IX58" s="552"/>
      <c r="IY58" s="552"/>
      <c r="IZ58" s="552"/>
      <c r="JA58" s="552"/>
      <c r="JB58" s="552"/>
      <c r="JC58" s="552"/>
      <c r="JD58" s="552"/>
      <c r="JE58" s="552"/>
      <c r="JF58" s="552"/>
      <c r="JG58" s="552"/>
      <c r="JH58" s="552"/>
      <c r="JI58" s="552"/>
      <c r="JJ58" s="552"/>
      <c r="JK58" s="552"/>
      <c r="JL58" s="552"/>
      <c r="JM58" s="552"/>
      <c r="JN58" s="552"/>
      <c r="JO58" s="552"/>
      <c r="JP58" s="552"/>
      <c r="JQ58" s="552"/>
      <c r="JR58" s="552"/>
      <c r="JS58" s="552"/>
      <c r="JT58" s="552"/>
      <c r="JU58" s="552"/>
      <c r="JV58" s="552"/>
      <c r="JW58" s="552"/>
      <c r="JX58" s="552"/>
      <c r="JY58" s="552"/>
      <c r="JZ58" s="552"/>
      <c r="KA58" s="552"/>
      <c r="KB58" s="552"/>
      <c r="KC58" s="552"/>
      <c r="KD58" s="552"/>
      <c r="KE58" s="552"/>
      <c r="KF58" s="552"/>
      <c r="KG58" s="552"/>
      <c r="KH58" s="552"/>
      <c r="KI58" s="552"/>
      <c r="KJ58" s="552"/>
      <c r="KK58" s="552"/>
      <c r="KL58" s="552"/>
      <c r="KM58" s="552"/>
      <c r="KN58" s="552"/>
      <c r="KO58" s="552"/>
      <c r="KP58" s="552"/>
      <c r="KQ58" s="552"/>
      <c r="KR58" s="155"/>
      <c r="KS58" s="155"/>
      <c r="KV58" s="1120"/>
      <c r="KW58" s="1120"/>
      <c r="KX58" s="1120"/>
      <c r="KY58" s="1120"/>
      <c r="KZ58" s="1120"/>
      <c r="LA58" s="1120"/>
      <c r="LB58" s="1120"/>
      <c r="LC58" s="1120"/>
      <c r="LD58" s="1120"/>
      <c r="LE58" s="1120"/>
      <c r="LF58" s="1120"/>
      <c r="LG58" s="1120"/>
      <c r="LH58" s="1120"/>
      <c r="LI58" s="1120"/>
      <c r="LJ58" s="1120"/>
      <c r="LK58" s="1120"/>
      <c r="LL58" s="1120"/>
      <c r="LM58" s="1120"/>
      <c r="LN58" s="1120"/>
      <c r="LO58" s="1120"/>
      <c r="LP58" s="1120"/>
      <c r="LQ58" s="1120"/>
      <c r="LR58" s="1120"/>
      <c r="LS58" s="1120"/>
      <c r="LT58" s="1120"/>
      <c r="LV58" s="1122"/>
      <c r="LW58" s="1122"/>
      <c r="LX58" s="1122"/>
      <c r="LY58" s="1122"/>
      <c r="MA58" s="1122"/>
      <c r="MB58" s="1122"/>
      <c r="MC58" s="1122"/>
      <c r="MD58" s="1122"/>
      <c r="ME58" s="1122"/>
      <c r="MF58" s="1122"/>
      <c r="MG58" s="1122"/>
      <c r="MH58" s="1122"/>
      <c r="MI58" s="1122"/>
      <c r="MK58" s="1122"/>
      <c r="ML58" s="1122"/>
      <c r="MM58" s="1122"/>
      <c r="MN58" s="1122"/>
      <c r="MO58" s="1122"/>
      <c r="NP58" s="155"/>
      <c r="NQ58" s="155"/>
      <c r="QN58" s="155"/>
      <c r="QO58" s="155"/>
      <c r="TL58" s="155"/>
    </row>
    <row r="59" spans="1:532" ht="6.75" customHeight="1" x14ac:dyDescent="0.25">
      <c r="A59" s="155"/>
      <c r="B59" s="512"/>
      <c r="C59" s="1192"/>
      <c r="D59" s="1193"/>
      <c r="E59" s="1193"/>
      <c r="F59" s="1193"/>
      <c r="G59" s="1193"/>
      <c r="H59" s="1193"/>
      <c r="I59" s="1193"/>
      <c r="J59" s="1193"/>
      <c r="K59" s="1193"/>
      <c r="L59" s="1193"/>
      <c r="M59" s="1193"/>
      <c r="N59" s="1193"/>
      <c r="O59" s="1193"/>
      <c r="P59" s="1193"/>
      <c r="Q59" s="1193"/>
      <c r="R59" s="1193"/>
      <c r="S59" s="1193"/>
      <c r="T59" s="1193"/>
      <c r="U59" s="1193"/>
      <c r="V59" s="1193"/>
      <c r="W59" s="1193"/>
      <c r="X59" s="1193"/>
      <c r="Y59" s="1193"/>
      <c r="Z59" s="1193"/>
      <c r="AA59" s="1193"/>
      <c r="AB59" s="1193"/>
      <c r="AC59" s="1193"/>
      <c r="AD59" s="1193"/>
      <c r="AE59" s="1193"/>
      <c r="AF59" s="1193"/>
      <c r="AG59" s="1193"/>
      <c r="AH59" s="1193"/>
      <c r="AI59" s="1193"/>
      <c r="AJ59" s="1193"/>
      <c r="AK59" s="1193"/>
      <c r="AL59" s="1194"/>
      <c r="AM59" s="508"/>
      <c r="AN59" s="508"/>
      <c r="AO59" s="1199"/>
      <c r="AP59" s="1199"/>
      <c r="AQ59" s="1199"/>
      <c r="AR59" s="1199"/>
      <c r="AS59" s="1199"/>
      <c r="AT59" s="1199"/>
      <c r="AU59" s="1199"/>
      <c r="AV59" s="1199"/>
      <c r="AW59" s="1199"/>
      <c r="AX59" s="1199"/>
      <c r="AY59" s="1199"/>
      <c r="AZ59" s="1199"/>
      <c r="BA59" s="1199"/>
      <c r="BB59" s="1227"/>
      <c r="BC59" s="1227"/>
      <c r="BD59" s="1227"/>
      <c r="BE59" s="1227"/>
      <c r="BF59" s="1198"/>
      <c r="BG59" s="1198"/>
      <c r="BH59" s="1198"/>
      <c r="BI59" s="1198"/>
      <c r="BJ59" s="1198"/>
      <c r="BK59" s="1198"/>
      <c r="BL59" s="1198"/>
      <c r="BM59" s="1198"/>
      <c r="BN59" s="1198"/>
      <c r="BO59" s="1198"/>
      <c r="BP59" s="1198"/>
      <c r="BQ59" s="1198"/>
      <c r="BR59" s="1198"/>
      <c r="BS59" s="1198"/>
      <c r="BT59" s="1198"/>
      <c r="BU59" s="1198"/>
      <c r="BV59" s="1198"/>
      <c r="BW59" s="513"/>
      <c r="BX59" s="155"/>
      <c r="BY59" s="155"/>
      <c r="BZ59" s="150"/>
      <c r="CA59" s="1234"/>
      <c r="CB59" s="1234"/>
      <c r="CC59" s="1234"/>
      <c r="CD59" s="1234"/>
      <c r="CE59" s="1234"/>
      <c r="CF59" s="1234"/>
      <c r="CG59" s="1234"/>
      <c r="CH59" s="1234"/>
      <c r="CI59" s="1234"/>
      <c r="CJ59" s="1234"/>
      <c r="CK59" s="1234"/>
      <c r="CL59" s="1234"/>
      <c r="CM59" s="1234"/>
      <c r="CN59" s="1234"/>
      <c r="CO59" s="1234"/>
      <c r="CP59" s="1234"/>
      <c r="CQ59" s="1234"/>
      <c r="CR59" s="1234"/>
      <c r="CS59" s="1234"/>
      <c r="CT59" s="1234"/>
      <c r="CU59" s="1234"/>
      <c r="CV59" s="1234"/>
      <c r="CW59" s="1234"/>
      <c r="CX59" s="1234"/>
      <c r="CZ59" s="1119"/>
      <c r="DA59" s="1119"/>
      <c r="DB59" s="1119"/>
      <c r="DC59" s="1119"/>
      <c r="DD59" s="1119"/>
      <c r="DE59" s="1119"/>
      <c r="DF59" s="1119"/>
      <c r="DG59" s="1119"/>
      <c r="DH59" s="1119"/>
      <c r="DI59" s="1119"/>
      <c r="DJ59" s="1119"/>
      <c r="DK59" s="1119"/>
      <c r="DL59" s="1119"/>
      <c r="DM59" s="1119"/>
      <c r="DN59" s="1119"/>
      <c r="DO59" s="1119"/>
      <c r="DP59" s="1119"/>
      <c r="DQ59" s="1119"/>
      <c r="DR59" s="1119"/>
      <c r="DS59" s="1119"/>
      <c r="DT59" s="1119"/>
      <c r="DU59" s="1119"/>
      <c r="DV59" s="1119"/>
      <c r="DW59" s="1119"/>
      <c r="DY59" s="1121"/>
      <c r="DZ59" s="1121"/>
      <c r="EA59" s="1121"/>
      <c r="EB59" s="1121"/>
      <c r="EC59" s="1121"/>
      <c r="ED59" s="1121"/>
      <c r="EE59" s="1121"/>
      <c r="EF59" s="1121"/>
      <c r="EG59" s="1121"/>
      <c r="EH59" s="1121"/>
      <c r="EI59" s="1121"/>
      <c r="EJ59" s="1121"/>
      <c r="EK59" s="1121"/>
      <c r="EL59" s="1121"/>
      <c r="EM59" s="1121"/>
      <c r="EN59" s="1121"/>
      <c r="EO59" s="1121"/>
      <c r="EP59" s="1121"/>
      <c r="EQ59" s="1121"/>
      <c r="ER59" s="1121"/>
      <c r="ES59" s="1121"/>
      <c r="ET59" s="1121"/>
      <c r="EU59" s="1121"/>
      <c r="EW59" s="155"/>
      <c r="EX59" s="552"/>
      <c r="EY59" s="552"/>
      <c r="EZ59" s="552"/>
      <c r="FA59" s="552"/>
      <c r="FB59" s="552"/>
      <c r="FC59" s="552"/>
      <c r="FD59" s="552"/>
      <c r="FE59" s="552"/>
      <c r="FF59" s="552"/>
      <c r="FG59" s="552"/>
      <c r="FH59" s="552"/>
      <c r="FI59" s="552"/>
      <c r="FJ59" s="552"/>
      <c r="FK59" s="552"/>
      <c r="FL59" s="552"/>
      <c r="FM59" s="552"/>
      <c r="FN59" s="552"/>
      <c r="FO59" s="552"/>
      <c r="FP59" s="552"/>
      <c r="FQ59" s="552"/>
      <c r="FR59" s="552"/>
      <c r="FS59" s="552"/>
      <c r="FT59" s="552"/>
      <c r="FU59" s="552"/>
      <c r="FV59" s="552"/>
      <c r="FW59" s="552"/>
      <c r="FX59" s="552"/>
      <c r="FY59" s="552"/>
      <c r="FZ59" s="552"/>
      <c r="GA59" s="552"/>
      <c r="GB59" s="552"/>
      <c r="GC59" s="552"/>
      <c r="GD59" s="552"/>
      <c r="GE59" s="552"/>
      <c r="GF59" s="552"/>
      <c r="GG59" s="552"/>
      <c r="GH59" s="552"/>
      <c r="GI59" s="552"/>
      <c r="GJ59" s="552"/>
      <c r="GK59" s="552"/>
      <c r="GL59" s="552"/>
      <c r="GM59" s="552"/>
      <c r="GN59" s="552"/>
      <c r="GO59" s="552"/>
      <c r="GP59" s="552"/>
      <c r="GQ59" s="552"/>
      <c r="GR59" s="552"/>
      <c r="GS59" s="552"/>
      <c r="GT59" s="552"/>
      <c r="GU59" s="552"/>
      <c r="GV59" s="552"/>
      <c r="GW59" s="552"/>
      <c r="GX59" s="552"/>
      <c r="GY59" s="552"/>
      <c r="GZ59" s="552"/>
      <c r="HA59" s="552"/>
      <c r="HB59" s="552"/>
      <c r="HC59" s="552"/>
      <c r="HD59" s="552"/>
      <c r="HE59" s="552"/>
      <c r="HF59" s="552"/>
      <c r="HG59" s="552"/>
      <c r="HH59" s="552"/>
      <c r="HI59" s="552"/>
      <c r="HJ59" s="552"/>
      <c r="HK59" s="552"/>
      <c r="HL59" s="552"/>
      <c r="HM59" s="552"/>
      <c r="HN59" s="552"/>
      <c r="HO59" s="552"/>
      <c r="HP59" s="552"/>
      <c r="HQ59" s="552"/>
      <c r="HR59" s="552"/>
      <c r="HS59" s="552"/>
      <c r="HT59" s="155"/>
      <c r="HU59" s="155"/>
      <c r="HV59" s="552"/>
      <c r="HW59" s="552"/>
      <c r="HX59" s="552"/>
      <c r="HY59" s="552"/>
      <c r="HZ59" s="552"/>
      <c r="IA59" s="552"/>
      <c r="IB59" s="552"/>
      <c r="IC59" s="552"/>
      <c r="ID59" s="552"/>
      <c r="IE59" s="552"/>
      <c r="IF59" s="552"/>
      <c r="IG59" s="552"/>
      <c r="IH59" s="552"/>
      <c r="II59" s="552"/>
      <c r="IJ59" s="552"/>
      <c r="IK59" s="552"/>
      <c r="IL59" s="552"/>
      <c r="IM59" s="552"/>
      <c r="IN59" s="552"/>
      <c r="IO59" s="552"/>
      <c r="IP59" s="552"/>
      <c r="IQ59" s="552"/>
      <c r="IR59" s="552"/>
      <c r="IS59" s="552"/>
      <c r="IT59" s="552"/>
      <c r="IU59" s="552"/>
      <c r="IV59" s="552"/>
      <c r="IW59" s="552"/>
      <c r="IX59" s="552"/>
      <c r="IY59" s="552"/>
      <c r="IZ59" s="552"/>
      <c r="JA59" s="552"/>
      <c r="JB59" s="552"/>
      <c r="JC59" s="552"/>
      <c r="JD59" s="552"/>
      <c r="JE59" s="552"/>
      <c r="JF59" s="552"/>
      <c r="JG59" s="552"/>
      <c r="JH59" s="552"/>
      <c r="JI59" s="552"/>
      <c r="JJ59" s="552"/>
      <c r="JK59" s="552"/>
      <c r="JL59" s="552"/>
      <c r="JM59" s="552"/>
      <c r="JN59" s="552"/>
      <c r="JO59" s="552"/>
      <c r="JP59" s="552"/>
      <c r="JQ59" s="552"/>
      <c r="JR59" s="552"/>
      <c r="JS59" s="552"/>
      <c r="JT59" s="552"/>
      <c r="JU59" s="552"/>
      <c r="JV59" s="552"/>
      <c r="JW59" s="552"/>
      <c r="JX59" s="552"/>
      <c r="JY59" s="552"/>
      <c r="JZ59" s="552"/>
      <c r="KA59" s="552"/>
      <c r="KB59" s="552"/>
      <c r="KC59" s="552"/>
      <c r="KD59" s="552"/>
      <c r="KE59" s="552"/>
      <c r="KF59" s="552"/>
      <c r="KG59" s="552"/>
      <c r="KH59" s="552"/>
      <c r="KI59" s="552"/>
      <c r="KJ59" s="552"/>
      <c r="KK59" s="552"/>
      <c r="KL59" s="552"/>
      <c r="KM59" s="552"/>
      <c r="KN59" s="552"/>
      <c r="KO59" s="552"/>
      <c r="KP59" s="552"/>
      <c r="KQ59" s="552"/>
      <c r="KR59" s="155"/>
      <c r="KS59" s="155"/>
      <c r="KV59" s="1121"/>
      <c r="KW59" s="1121"/>
      <c r="KX59" s="1121"/>
      <c r="KY59" s="1121"/>
      <c r="KZ59" s="1121"/>
      <c r="LA59" s="1121"/>
      <c r="LB59" s="1121"/>
      <c r="LC59" s="1121"/>
      <c r="LD59" s="1121"/>
      <c r="LE59" s="1121"/>
      <c r="LF59" s="1121"/>
      <c r="LG59" s="1121"/>
      <c r="LH59" s="1121"/>
      <c r="LI59" s="1121"/>
      <c r="LJ59" s="1121"/>
      <c r="LK59" s="1121"/>
      <c r="LL59" s="1121"/>
      <c r="LM59" s="1121"/>
      <c r="LN59" s="1121"/>
      <c r="LO59" s="1121"/>
      <c r="LP59" s="1121"/>
      <c r="LQ59" s="1121"/>
      <c r="LR59" s="1121"/>
      <c r="LS59" s="1121"/>
      <c r="LT59" s="1121"/>
      <c r="LV59" s="1123"/>
      <c r="LW59" s="1123"/>
      <c r="LX59" s="1123"/>
      <c r="LY59" s="1123"/>
      <c r="MA59" s="1123"/>
      <c r="MB59" s="1123"/>
      <c r="MC59" s="1123"/>
      <c r="MD59" s="1123"/>
      <c r="ME59" s="1123"/>
      <c r="MF59" s="1123"/>
      <c r="MG59" s="1123"/>
      <c r="MH59" s="1123"/>
      <c r="MI59" s="1123"/>
      <c r="MK59" s="1123"/>
      <c r="ML59" s="1123"/>
      <c r="MM59" s="1123"/>
      <c r="MN59" s="1123"/>
      <c r="MO59" s="1123"/>
      <c r="NP59" s="155"/>
      <c r="NQ59" s="155"/>
      <c r="QN59" s="155"/>
      <c r="QO59" s="155"/>
      <c r="TL59" s="155"/>
    </row>
    <row r="60" spans="1:532" ht="6.75" customHeight="1" x14ac:dyDescent="0.25">
      <c r="A60" s="155"/>
      <c r="B60" s="512"/>
      <c r="C60" s="1192"/>
      <c r="D60" s="1193"/>
      <c r="E60" s="1193"/>
      <c r="F60" s="1193"/>
      <c r="G60" s="1193"/>
      <c r="H60" s="1193"/>
      <c r="I60" s="1193"/>
      <c r="J60" s="1193"/>
      <c r="K60" s="1193"/>
      <c r="L60" s="1193"/>
      <c r="M60" s="1193"/>
      <c r="N60" s="1193"/>
      <c r="O60" s="1193"/>
      <c r="P60" s="1193"/>
      <c r="Q60" s="1193"/>
      <c r="R60" s="1193"/>
      <c r="S60" s="1193"/>
      <c r="T60" s="1193"/>
      <c r="U60" s="1193"/>
      <c r="V60" s="1193"/>
      <c r="W60" s="1193"/>
      <c r="X60" s="1193"/>
      <c r="Y60" s="1193"/>
      <c r="Z60" s="1193"/>
      <c r="AA60" s="1193"/>
      <c r="AB60" s="1193"/>
      <c r="AC60" s="1193"/>
      <c r="AD60" s="1193"/>
      <c r="AE60" s="1193"/>
      <c r="AF60" s="1193"/>
      <c r="AG60" s="1193"/>
      <c r="AH60" s="1193"/>
      <c r="AI60" s="1193"/>
      <c r="AJ60" s="1193"/>
      <c r="AK60" s="1193"/>
      <c r="AL60" s="1194"/>
      <c r="AM60" s="508"/>
      <c r="AN60" s="508"/>
      <c r="AO60" s="1199" t="s">
        <v>610</v>
      </c>
      <c r="AP60" s="1199"/>
      <c r="AQ60" s="1199"/>
      <c r="AR60" s="1199"/>
      <c r="AS60" s="1199"/>
      <c r="AT60" s="1199"/>
      <c r="AU60" s="1199"/>
      <c r="AV60" s="1199"/>
      <c r="AW60" s="1199"/>
      <c r="AX60" s="1199"/>
      <c r="AY60" s="1199"/>
      <c r="AZ60" s="1199"/>
      <c r="BA60" s="1199"/>
      <c r="BB60" s="1227" t="s">
        <v>7</v>
      </c>
      <c r="BC60" s="1227"/>
      <c r="BD60" s="1227"/>
      <c r="BE60" s="1227"/>
      <c r="BF60" s="1198"/>
      <c r="BG60" s="1198"/>
      <c r="BH60" s="1198"/>
      <c r="BI60" s="1198"/>
      <c r="BJ60" s="1198"/>
      <c r="BK60" s="1198"/>
      <c r="BL60" s="1198"/>
      <c r="BM60" s="1198"/>
      <c r="BN60" s="1198"/>
      <c r="BO60" s="1198"/>
      <c r="BP60" s="1198"/>
      <c r="BQ60" s="1198"/>
      <c r="BR60" s="1198"/>
      <c r="BS60" s="1198">
        <f>MedicineValue</f>
        <v>0</v>
      </c>
      <c r="BT60" s="1198"/>
      <c r="BU60" s="1198"/>
      <c r="BV60" s="1198"/>
      <c r="BW60" s="513"/>
      <c r="BX60" s="155"/>
      <c r="BY60" s="155"/>
      <c r="BZ60" s="150"/>
      <c r="CA60" s="1234"/>
      <c r="CB60" s="1234"/>
      <c r="CC60" s="1234"/>
      <c r="CD60" s="1234"/>
      <c r="CE60" s="1234"/>
      <c r="CF60" s="1234"/>
      <c r="CG60" s="1234"/>
      <c r="CH60" s="1234"/>
      <c r="CI60" s="1234"/>
      <c r="CJ60" s="1234"/>
      <c r="CK60" s="1234"/>
      <c r="CL60" s="1234"/>
      <c r="CM60" s="1234"/>
      <c r="CN60" s="1234"/>
      <c r="CO60" s="1234"/>
      <c r="CP60" s="1234"/>
      <c r="CQ60" s="1234"/>
      <c r="CR60" s="1234"/>
      <c r="CS60" s="1234"/>
      <c r="CT60" s="1234"/>
      <c r="CU60" s="1234"/>
      <c r="CV60" s="1234"/>
      <c r="CW60" s="1234"/>
      <c r="CX60" s="1234"/>
      <c r="CZ60" s="1119"/>
      <c r="DA60" s="1119"/>
      <c r="DB60" s="1119"/>
      <c r="DC60" s="1119"/>
      <c r="DD60" s="1119"/>
      <c r="DE60" s="1119"/>
      <c r="DF60" s="1119"/>
      <c r="DG60" s="1119"/>
      <c r="DH60" s="1119"/>
      <c r="DI60" s="1119"/>
      <c r="DJ60" s="1119"/>
      <c r="DK60" s="1119"/>
      <c r="DL60" s="1119"/>
      <c r="DM60" s="1119"/>
      <c r="DN60" s="1119"/>
      <c r="DO60" s="1119"/>
      <c r="DP60" s="1119"/>
      <c r="DQ60" s="1119"/>
      <c r="DR60" s="1119"/>
      <c r="DS60" s="1119"/>
      <c r="DT60" s="1119"/>
      <c r="DU60" s="1119"/>
      <c r="DV60" s="1119"/>
      <c r="DW60" s="1119"/>
      <c r="DY60" s="1120"/>
      <c r="DZ60" s="1120"/>
      <c r="EA60" s="1120"/>
      <c r="EB60" s="1120"/>
      <c r="EC60" s="1120"/>
      <c r="ED60" s="1120"/>
      <c r="EE60" s="1120"/>
      <c r="EF60" s="1120"/>
      <c r="EG60" s="1120"/>
      <c r="EH60" s="1120"/>
      <c r="EI60" s="1120"/>
      <c r="EJ60" s="1120"/>
      <c r="EK60" s="1120"/>
      <c r="EL60" s="1120"/>
      <c r="EM60" s="1120"/>
      <c r="EN60" s="1120"/>
      <c r="EO60" s="1120"/>
      <c r="EP60" s="1120"/>
      <c r="EQ60" s="1120"/>
      <c r="ER60" s="1120"/>
      <c r="ES60" s="1120"/>
      <c r="ET60" s="1120"/>
      <c r="EU60" s="1120"/>
      <c r="EW60" s="155"/>
      <c r="EX60" s="552"/>
      <c r="EY60" s="552"/>
      <c r="EZ60" s="552"/>
      <c r="FA60" s="552"/>
      <c r="FB60" s="552"/>
      <c r="FC60" s="552"/>
      <c r="FD60" s="552"/>
      <c r="FE60" s="552"/>
      <c r="FF60" s="552"/>
      <c r="FG60" s="552"/>
      <c r="FH60" s="552"/>
      <c r="FI60" s="552"/>
      <c r="FJ60" s="552"/>
      <c r="FK60" s="552"/>
      <c r="FL60" s="552"/>
      <c r="FM60" s="552"/>
      <c r="FN60" s="552"/>
      <c r="FO60" s="552"/>
      <c r="FP60" s="552"/>
      <c r="FQ60" s="552"/>
      <c r="FR60" s="552"/>
      <c r="FS60" s="552"/>
      <c r="FT60" s="552"/>
      <c r="FU60" s="552"/>
      <c r="FV60" s="552"/>
      <c r="FW60" s="552"/>
      <c r="FX60" s="552"/>
      <c r="FY60" s="552"/>
      <c r="FZ60" s="552"/>
      <c r="GA60" s="552"/>
      <c r="GB60" s="552"/>
      <c r="GC60" s="552"/>
      <c r="GD60" s="552"/>
      <c r="GE60" s="552"/>
      <c r="GF60" s="552"/>
      <c r="GG60" s="552"/>
      <c r="GH60" s="552"/>
      <c r="GI60" s="552"/>
      <c r="GJ60" s="552"/>
      <c r="GK60" s="552"/>
      <c r="GL60" s="552"/>
      <c r="GM60" s="552"/>
      <c r="GN60" s="552"/>
      <c r="GO60" s="552"/>
      <c r="GP60" s="552"/>
      <c r="GQ60" s="552"/>
      <c r="GR60" s="552"/>
      <c r="GS60" s="552"/>
      <c r="GT60" s="552"/>
      <c r="GU60" s="552"/>
      <c r="GV60" s="552"/>
      <c r="GW60" s="552"/>
      <c r="GX60" s="552"/>
      <c r="GY60" s="552"/>
      <c r="GZ60" s="552"/>
      <c r="HA60" s="552"/>
      <c r="HB60" s="552"/>
      <c r="HC60" s="552"/>
      <c r="HD60" s="552"/>
      <c r="HE60" s="552"/>
      <c r="HF60" s="552"/>
      <c r="HG60" s="552"/>
      <c r="HH60" s="552"/>
      <c r="HI60" s="552"/>
      <c r="HJ60" s="552"/>
      <c r="HK60" s="552"/>
      <c r="HL60" s="552"/>
      <c r="HM60" s="552"/>
      <c r="HN60" s="552"/>
      <c r="HO60" s="552"/>
      <c r="HP60" s="552"/>
      <c r="HQ60" s="552"/>
      <c r="HR60" s="552"/>
      <c r="HS60" s="552"/>
      <c r="HT60" s="155"/>
      <c r="HU60" s="155"/>
      <c r="HV60" s="552"/>
      <c r="HW60" s="552"/>
      <c r="HX60" s="552"/>
      <c r="HY60" s="552"/>
      <c r="HZ60" s="552"/>
      <c r="IA60" s="552"/>
      <c r="IB60" s="552"/>
      <c r="IC60" s="552"/>
      <c r="ID60" s="552"/>
      <c r="IE60" s="552"/>
      <c r="IF60" s="552"/>
      <c r="IG60" s="552"/>
      <c r="IH60" s="552"/>
      <c r="II60" s="552"/>
      <c r="IJ60" s="552"/>
      <c r="IK60" s="552"/>
      <c r="IL60" s="552"/>
      <c r="IM60" s="552"/>
      <c r="IN60" s="552"/>
      <c r="IO60" s="552"/>
      <c r="IP60" s="552"/>
      <c r="IQ60" s="552"/>
      <c r="IR60" s="552"/>
      <c r="IS60" s="552"/>
      <c r="IT60" s="552"/>
      <c r="IU60" s="552"/>
      <c r="IV60" s="552"/>
      <c r="IW60" s="552"/>
      <c r="IX60" s="552"/>
      <c r="IY60" s="552"/>
      <c r="IZ60" s="552"/>
      <c r="JA60" s="552"/>
      <c r="JB60" s="552"/>
      <c r="JC60" s="552"/>
      <c r="JD60" s="552"/>
      <c r="JE60" s="552"/>
      <c r="JF60" s="552"/>
      <c r="JG60" s="552"/>
      <c r="JH60" s="552"/>
      <c r="JI60" s="552"/>
      <c r="JJ60" s="552"/>
      <c r="JK60" s="552"/>
      <c r="JL60" s="552"/>
      <c r="JM60" s="552"/>
      <c r="JN60" s="552"/>
      <c r="JO60" s="552"/>
      <c r="JP60" s="552"/>
      <c r="JQ60" s="552"/>
      <c r="JR60" s="552"/>
      <c r="JS60" s="552"/>
      <c r="JT60" s="552"/>
      <c r="JU60" s="552"/>
      <c r="JV60" s="552"/>
      <c r="JW60" s="552"/>
      <c r="JX60" s="552"/>
      <c r="JY60" s="552"/>
      <c r="JZ60" s="552"/>
      <c r="KA60" s="552"/>
      <c r="KB60" s="552"/>
      <c r="KC60" s="552"/>
      <c r="KD60" s="552"/>
      <c r="KE60" s="552"/>
      <c r="KF60" s="552"/>
      <c r="KG60" s="552"/>
      <c r="KH60" s="552"/>
      <c r="KI60" s="552"/>
      <c r="KJ60" s="552"/>
      <c r="KK60" s="552"/>
      <c r="KL60" s="552"/>
      <c r="KM60" s="552"/>
      <c r="KN60" s="552"/>
      <c r="KO60" s="552"/>
      <c r="KP60" s="552"/>
      <c r="KQ60" s="552"/>
      <c r="KR60" s="155"/>
      <c r="KS60" s="155"/>
      <c r="KV60" s="1120"/>
      <c r="KW60" s="1120"/>
      <c r="KX60" s="1120"/>
      <c r="KY60" s="1120"/>
      <c r="KZ60" s="1120"/>
      <c r="LA60" s="1120"/>
      <c r="LB60" s="1120"/>
      <c r="LC60" s="1120"/>
      <c r="LD60" s="1120"/>
      <c r="LE60" s="1120"/>
      <c r="LF60" s="1120"/>
      <c r="LG60" s="1120"/>
      <c r="LH60" s="1120"/>
      <c r="LI60" s="1120"/>
      <c r="LJ60" s="1120"/>
      <c r="LK60" s="1120"/>
      <c r="LL60" s="1120"/>
      <c r="LM60" s="1120"/>
      <c r="LN60" s="1120"/>
      <c r="LO60" s="1120"/>
      <c r="LP60" s="1120"/>
      <c r="LQ60" s="1120"/>
      <c r="LR60" s="1120"/>
      <c r="LS60" s="1120"/>
      <c r="LT60" s="1120"/>
      <c r="LV60" s="1122"/>
      <c r="LW60" s="1122"/>
      <c r="LX60" s="1122"/>
      <c r="LY60" s="1122"/>
      <c r="MA60" s="1122"/>
      <c r="MB60" s="1122"/>
      <c r="MC60" s="1122"/>
      <c r="MD60" s="1122"/>
      <c r="ME60" s="1122"/>
      <c r="MF60" s="1122"/>
      <c r="MG60" s="1122"/>
      <c r="MH60" s="1122"/>
      <c r="MI60" s="1122"/>
      <c r="MK60" s="1122"/>
      <c r="ML60" s="1122"/>
      <c r="MM60" s="1122"/>
      <c r="MN60" s="1122"/>
      <c r="MO60" s="1122"/>
      <c r="NP60" s="155"/>
      <c r="NQ60" s="155"/>
      <c r="QN60" s="155"/>
      <c r="QO60" s="155"/>
      <c r="TL60" s="155"/>
    </row>
    <row r="61" spans="1:532" ht="6.75" customHeight="1" x14ac:dyDescent="0.25">
      <c r="A61" s="155"/>
      <c r="B61" s="512"/>
      <c r="C61" s="1192"/>
      <c r="D61" s="1193"/>
      <c r="E61" s="1193"/>
      <c r="F61" s="1193"/>
      <c r="G61" s="1193"/>
      <c r="H61" s="1193"/>
      <c r="I61" s="1193"/>
      <c r="J61" s="1193"/>
      <c r="K61" s="1193"/>
      <c r="L61" s="1193"/>
      <c r="M61" s="1193"/>
      <c r="N61" s="1193"/>
      <c r="O61" s="1193"/>
      <c r="P61" s="1193"/>
      <c r="Q61" s="1193"/>
      <c r="R61" s="1193"/>
      <c r="S61" s="1193"/>
      <c r="T61" s="1193"/>
      <c r="U61" s="1193"/>
      <c r="V61" s="1193"/>
      <c r="W61" s="1193"/>
      <c r="X61" s="1193"/>
      <c r="Y61" s="1193"/>
      <c r="Z61" s="1193"/>
      <c r="AA61" s="1193"/>
      <c r="AB61" s="1193"/>
      <c r="AC61" s="1193"/>
      <c r="AD61" s="1193"/>
      <c r="AE61" s="1193"/>
      <c r="AF61" s="1193"/>
      <c r="AG61" s="1193"/>
      <c r="AH61" s="1193"/>
      <c r="AI61" s="1193"/>
      <c r="AJ61" s="1193"/>
      <c r="AK61" s="1193"/>
      <c r="AL61" s="1194"/>
      <c r="AM61" s="508"/>
      <c r="AN61" s="508"/>
      <c r="AO61" s="1199"/>
      <c r="AP61" s="1199"/>
      <c r="AQ61" s="1199"/>
      <c r="AR61" s="1199"/>
      <c r="AS61" s="1199"/>
      <c r="AT61" s="1199"/>
      <c r="AU61" s="1199"/>
      <c r="AV61" s="1199"/>
      <c r="AW61" s="1199"/>
      <c r="AX61" s="1199"/>
      <c r="AY61" s="1199"/>
      <c r="AZ61" s="1199"/>
      <c r="BA61" s="1199"/>
      <c r="BB61" s="1227"/>
      <c r="BC61" s="1227"/>
      <c r="BD61" s="1227"/>
      <c r="BE61" s="1227"/>
      <c r="BF61" s="1198"/>
      <c r="BG61" s="1198"/>
      <c r="BH61" s="1198"/>
      <c r="BI61" s="1198"/>
      <c r="BJ61" s="1198"/>
      <c r="BK61" s="1198"/>
      <c r="BL61" s="1198"/>
      <c r="BM61" s="1198"/>
      <c r="BN61" s="1198"/>
      <c r="BO61" s="1198"/>
      <c r="BP61" s="1198"/>
      <c r="BQ61" s="1198"/>
      <c r="BR61" s="1198"/>
      <c r="BS61" s="1198"/>
      <c r="BT61" s="1198"/>
      <c r="BU61" s="1198"/>
      <c r="BV61" s="1198"/>
      <c r="BW61" s="513"/>
      <c r="BX61" s="155"/>
      <c r="BY61" s="155"/>
      <c r="BZ61" s="150"/>
      <c r="CA61" s="1234"/>
      <c r="CB61" s="1234"/>
      <c r="CC61" s="1234"/>
      <c r="CD61" s="1234"/>
      <c r="CE61" s="1234"/>
      <c r="CF61" s="1234"/>
      <c r="CG61" s="1234"/>
      <c r="CH61" s="1234"/>
      <c r="CI61" s="1234"/>
      <c r="CJ61" s="1234"/>
      <c r="CK61" s="1234"/>
      <c r="CL61" s="1234"/>
      <c r="CM61" s="1234"/>
      <c r="CN61" s="1234"/>
      <c r="CO61" s="1234"/>
      <c r="CP61" s="1234"/>
      <c r="CQ61" s="1234"/>
      <c r="CR61" s="1234"/>
      <c r="CS61" s="1234"/>
      <c r="CT61" s="1234"/>
      <c r="CU61" s="1234"/>
      <c r="CV61" s="1234"/>
      <c r="CW61" s="1234"/>
      <c r="CX61" s="1234"/>
      <c r="CZ61" s="1119"/>
      <c r="DA61" s="1119"/>
      <c r="DB61" s="1119"/>
      <c r="DC61" s="1119"/>
      <c r="DD61" s="1119"/>
      <c r="DE61" s="1119"/>
      <c r="DF61" s="1119"/>
      <c r="DG61" s="1119"/>
      <c r="DH61" s="1119"/>
      <c r="DI61" s="1119"/>
      <c r="DJ61" s="1119"/>
      <c r="DK61" s="1119"/>
      <c r="DL61" s="1119"/>
      <c r="DM61" s="1119"/>
      <c r="DN61" s="1119"/>
      <c r="DO61" s="1119"/>
      <c r="DP61" s="1119"/>
      <c r="DQ61" s="1119"/>
      <c r="DR61" s="1119"/>
      <c r="DS61" s="1119"/>
      <c r="DT61" s="1119"/>
      <c r="DU61" s="1119"/>
      <c r="DV61" s="1119"/>
      <c r="DW61" s="1119"/>
      <c r="DY61" s="1121"/>
      <c r="DZ61" s="1121"/>
      <c r="EA61" s="1121"/>
      <c r="EB61" s="1121"/>
      <c r="EC61" s="1121"/>
      <c r="ED61" s="1121"/>
      <c r="EE61" s="1121"/>
      <c r="EF61" s="1121"/>
      <c r="EG61" s="1121"/>
      <c r="EH61" s="1121"/>
      <c r="EI61" s="1121"/>
      <c r="EJ61" s="1121"/>
      <c r="EK61" s="1121"/>
      <c r="EL61" s="1121"/>
      <c r="EM61" s="1121"/>
      <c r="EN61" s="1121"/>
      <c r="EO61" s="1121"/>
      <c r="EP61" s="1121"/>
      <c r="EQ61" s="1121"/>
      <c r="ER61" s="1121"/>
      <c r="ES61" s="1121"/>
      <c r="ET61" s="1121"/>
      <c r="EU61" s="1121"/>
      <c r="EW61" s="155"/>
      <c r="EX61" s="552"/>
      <c r="EY61" s="552"/>
      <c r="EZ61" s="552"/>
      <c r="FA61" s="552"/>
      <c r="FB61" s="552"/>
      <c r="FC61" s="552"/>
      <c r="FD61" s="552"/>
      <c r="FE61" s="552"/>
      <c r="FF61" s="552"/>
      <c r="FG61" s="552"/>
      <c r="FH61" s="552"/>
      <c r="FI61" s="552"/>
      <c r="FJ61" s="552"/>
      <c r="FK61" s="552"/>
      <c r="FL61" s="552"/>
      <c r="FM61" s="552"/>
      <c r="FN61" s="552"/>
      <c r="FO61" s="552"/>
      <c r="FP61" s="552"/>
      <c r="FQ61" s="552"/>
      <c r="FR61" s="552"/>
      <c r="FS61" s="552"/>
      <c r="FT61" s="552"/>
      <c r="FU61" s="552"/>
      <c r="FV61" s="552"/>
      <c r="FW61" s="552"/>
      <c r="FX61" s="552"/>
      <c r="FY61" s="552"/>
      <c r="FZ61" s="552"/>
      <c r="GA61" s="552"/>
      <c r="GB61" s="552"/>
      <c r="GC61" s="552"/>
      <c r="GD61" s="552"/>
      <c r="GE61" s="552"/>
      <c r="GF61" s="552"/>
      <c r="GG61" s="552"/>
      <c r="GH61" s="552"/>
      <c r="GI61" s="552"/>
      <c r="GJ61" s="552"/>
      <c r="GK61" s="552"/>
      <c r="GL61" s="552"/>
      <c r="GM61" s="552"/>
      <c r="GN61" s="552"/>
      <c r="GO61" s="552"/>
      <c r="GP61" s="552"/>
      <c r="GQ61" s="552"/>
      <c r="GR61" s="552"/>
      <c r="GS61" s="552"/>
      <c r="GT61" s="552"/>
      <c r="GU61" s="552"/>
      <c r="GV61" s="552"/>
      <c r="GW61" s="552"/>
      <c r="GX61" s="552"/>
      <c r="GY61" s="552"/>
      <c r="GZ61" s="552"/>
      <c r="HA61" s="552"/>
      <c r="HB61" s="552"/>
      <c r="HC61" s="552"/>
      <c r="HD61" s="552"/>
      <c r="HE61" s="552"/>
      <c r="HF61" s="552"/>
      <c r="HG61" s="552"/>
      <c r="HH61" s="552"/>
      <c r="HI61" s="552"/>
      <c r="HJ61" s="552"/>
      <c r="HK61" s="552"/>
      <c r="HL61" s="552"/>
      <c r="HM61" s="552"/>
      <c r="HN61" s="552"/>
      <c r="HO61" s="552"/>
      <c r="HP61" s="552"/>
      <c r="HQ61" s="552"/>
      <c r="HR61" s="552"/>
      <c r="HS61" s="552"/>
      <c r="HT61" s="155"/>
      <c r="HU61" s="155"/>
      <c r="HV61" s="552"/>
      <c r="HW61" s="552"/>
      <c r="HX61" s="552"/>
      <c r="HY61" s="552"/>
      <c r="HZ61" s="552"/>
      <c r="IA61" s="552"/>
      <c r="IB61" s="552"/>
      <c r="IC61" s="552"/>
      <c r="ID61" s="552"/>
      <c r="IE61" s="552"/>
      <c r="IF61" s="552"/>
      <c r="IG61" s="552"/>
      <c r="IH61" s="552"/>
      <c r="II61" s="552"/>
      <c r="IJ61" s="552"/>
      <c r="IK61" s="552"/>
      <c r="IL61" s="552"/>
      <c r="IM61" s="552"/>
      <c r="IN61" s="552"/>
      <c r="IO61" s="552"/>
      <c r="IP61" s="552"/>
      <c r="IQ61" s="552"/>
      <c r="IR61" s="552"/>
      <c r="IS61" s="552"/>
      <c r="IT61" s="552"/>
      <c r="IU61" s="552"/>
      <c r="JT61" s="552"/>
      <c r="JU61" s="552"/>
      <c r="JV61" s="552"/>
      <c r="JW61" s="552"/>
      <c r="JX61" s="552"/>
      <c r="JY61" s="552"/>
      <c r="JZ61" s="552"/>
      <c r="KA61" s="552"/>
      <c r="KB61" s="552"/>
      <c r="KC61" s="552"/>
      <c r="KD61" s="552"/>
      <c r="KE61" s="552"/>
      <c r="KF61" s="552"/>
      <c r="KG61" s="552"/>
      <c r="KH61" s="552"/>
      <c r="KI61" s="552"/>
      <c r="KJ61" s="552"/>
      <c r="KK61" s="552"/>
      <c r="KL61" s="552"/>
      <c r="KM61" s="552"/>
      <c r="KN61" s="552"/>
      <c r="KO61" s="552"/>
      <c r="KP61" s="552"/>
      <c r="KQ61" s="552"/>
      <c r="KR61" s="155"/>
      <c r="KS61" s="155"/>
      <c r="KV61" s="1121"/>
      <c r="KW61" s="1121"/>
      <c r="KX61" s="1121"/>
      <c r="KY61" s="1121"/>
      <c r="KZ61" s="1121"/>
      <c r="LA61" s="1121"/>
      <c r="LB61" s="1121"/>
      <c r="LC61" s="1121"/>
      <c r="LD61" s="1121"/>
      <c r="LE61" s="1121"/>
      <c r="LF61" s="1121"/>
      <c r="LG61" s="1121"/>
      <c r="LH61" s="1121"/>
      <c r="LI61" s="1121"/>
      <c r="LJ61" s="1121"/>
      <c r="LK61" s="1121"/>
      <c r="LL61" s="1121"/>
      <c r="LM61" s="1121"/>
      <c r="LN61" s="1121"/>
      <c r="LO61" s="1121"/>
      <c r="LP61" s="1121"/>
      <c r="LQ61" s="1121"/>
      <c r="LR61" s="1121"/>
      <c r="LS61" s="1121"/>
      <c r="LT61" s="1121"/>
      <c r="LV61" s="1123"/>
      <c r="LW61" s="1123"/>
      <c r="LX61" s="1123"/>
      <c r="LY61" s="1123"/>
      <c r="MA61" s="1123"/>
      <c r="MB61" s="1123"/>
      <c r="MC61" s="1123"/>
      <c r="MD61" s="1123"/>
      <c r="ME61" s="1123"/>
      <c r="MF61" s="1123"/>
      <c r="MG61" s="1123"/>
      <c r="MH61" s="1123"/>
      <c r="MI61" s="1123"/>
      <c r="MK61" s="1123"/>
      <c r="ML61" s="1123"/>
      <c r="MM61" s="1123"/>
      <c r="MN61" s="1123"/>
      <c r="MO61" s="1123"/>
      <c r="NP61" s="155"/>
      <c r="NQ61" s="155"/>
      <c r="QN61" s="155"/>
      <c r="QO61" s="155"/>
      <c r="TL61" s="155"/>
    </row>
    <row r="62" spans="1:532" ht="6.75" customHeight="1" x14ac:dyDescent="0.25">
      <c r="A62" s="155"/>
      <c r="B62" s="512"/>
      <c r="C62" s="1192"/>
      <c r="D62" s="1193"/>
      <c r="E62" s="1193"/>
      <c r="F62" s="1193"/>
      <c r="G62" s="1193"/>
      <c r="H62" s="1193"/>
      <c r="I62" s="1193"/>
      <c r="J62" s="1193"/>
      <c r="K62" s="1193"/>
      <c r="L62" s="1193"/>
      <c r="M62" s="1193"/>
      <c r="N62" s="1193"/>
      <c r="O62" s="1193"/>
      <c r="P62" s="1193"/>
      <c r="Q62" s="1193"/>
      <c r="R62" s="1193"/>
      <c r="S62" s="1193"/>
      <c r="T62" s="1193"/>
      <c r="U62" s="1193"/>
      <c r="V62" s="1193"/>
      <c r="W62" s="1193"/>
      <c r="X62" s="1193"/>
      <c r="Y62" s="1193"/>
      <c r="Z62" s="1193"/>
      <c r="AA62" s="1193"/>
      <c r="AB62" s="1193"/>
      <c r="AC62" s="1193"/>
      <c r="AD62" s="1193"/>
      <c r="AE62" s="1193"/>
      <c r="AF62" s="1193"/>
      <c r="AG62" s="1193"/>
      <c r="AH62" s="1193"/>
      <c r="AI62" s="1193"/>
      <c r="AJ62" s="1193"/>
      <c r="AK62" s="1193"/>
      <c r="AL62" s="1194"/>
      <c r="AM62" s="508"/>
      <c r="AN62" s="508"/>
      <c r="AO62" s="1199" t="s">
        <v>611</v>
      </c>
      <c r="AP62" s="1199"/>
      <c r="AQ62" s="1199"/>
      <c r="AR62" s="1199"/>
      <c r="AS62" s="1199"/>
      <c r="AT62" s="1199"/>
      <c r="AU62" s="1199"/>
      <c r="AV62" s="1199"/>
      <c r="AW62" s="1199"/>
      <c r="AX62" s="1199"/>
      <c r="AY62" s="1199"/>
      <c r="AZ62" s="1199"/>
      <c r="BA62" s="1199"/>
      <c r="BB62" s="1227" t="s">
        <v>6</v>
      </c>
      <c r="BC62" s="1227"/>
      <c r="BD62" s="1227"/>
      <c r="BE62" s="1227"/>
      <c r="BF62" s="1198"/>
      <c r="BG62" s="1198"/>
      <c r="BH62" s="1198"/>
      <c r="BI62" s="1198"/>
      <c r="BJ62" s="1198"/>
      <c r="BK62" s="1198"/>
      <c r="BL62" s="1198"/>
      <c r="BM62" s="1198"/>
      <c r="BN62" s="1198"/>
      <c r="BO62" s="1198"/>
      <c r="BP62" s="1198"/>
      <c r="BQ62" s="1198"/>
      <c r="BR62" s="1198"/>
      <c r="BS62" s="1198">
        <f>NatureValue</f>
        <v>5</v>
      </c>
      <c r="BT62" s="1198"/>
      <c r="BU62" s="1198"/>
      <c r="BV62" s="1198"/>
      <c r="BW62" s="513"/>
      <c r="BX62" s="155"/>
      <c r="BY62" s="155"/>
      <c r="BZ62" s="150"/>
      <c r="CA62" s="1234"/>
      <c r="CB62" s="1234"/>
      <c r="CC62" s="1234"/>
      <c r="CD62" s="1234"/>
      <c r="CE62" s="1234"/>
      <c r="CF62" s="1234"/>
      <c r="CG62" s="1234"/>
      <c r="CH62" s="1234"/>
      <c r="CI62" s="1234"/>
      <c r="CJ62" s="1234"/>
      <c r="CK62" s="1234"/>
      <c r="CL62" s="1234"/>
      <c r="CM62" s="1234"/>
      <c r="CN62" s="1234"/>
      <c r="CO62" s="1234"/>
      <c r="CP62" s="1234"/>
      <c r="CQ62" s="1234"/>
      <c r="CR62" s="1234"/>
      <c r="CS62" s="1234"/>
      <c r="CT62" s="1234"/>
      <c r="CU62" s="1234"/>
      <c r="CV62" s="1234"/>
      <c r="CW62" s="1234"/>
      <c r="CX62" s="1234"/>
      <c r="CZ62" s="1119"/>
      <c r="DA62" s="1119"/>
      <c r="DB62" s="1119"/>
      <c r="DC62" s="1119"/>
      <c r="DD62" s="1119"/>
      <c r="DE62" s="1119"/>
      <c r="DF62" s="1119"/>
      <c r="DG62" s="1119"/>
      <c r="DH62" s="1119"/>
      <c r="DI62" s="1119"/>
      <c r="DJ62" s="1119"/>
      <c r="DK62" s="1119"/>
      <c r="DL62" s="1119"/>
      <c r="DM62" s="1119"/>
      <c r="DN62" s="1119"/>
      <c r="DO62" s="1119"/>
      <c r="DP62" s="1119"/>
      <c r="DQ62" s="1119"/>
      <c r="DR62" s="1119"/>
      <c r="DS62" s="1119"/>
      <c r="DT62" s="1119"/>
      <c r="DU62" s="1119"/>
      <c r="DV62" s="1119"/>
      <c r="DW62" s="1119"/>
      <c r="DY62" s="1120"/>
      <c r="DZ62" s="1120"/>
      <c r="EA62" s="1120"/>
      <c r="EB62" s="1120"/>
      <c r="EC62" s="1120"/>
      <c r="ED62" s="1120"/>
      <c r="EE62" s="1120"/>
      <c r="EF62" s="1120"/>
      <c r="EG62" s="1120"/>
      <c r="EH62" s="1120"/>
      <c r="EI62" s="1120"/>
      <c r="EJ62" s="1120"/>
      <c r="EK62" s="1120"/>
      <c r="EL62" s="1120"/>
      <c r="EM62" s="1120"/>
      <c r="EN62" s="1120"/>
      <c r="EO62" s="1120"/>
      <c r="EP62" s="1120"/>
      <c r="EQ62" s="1120"/>
      <c r="ER62" s="1120"/>
      <c r="ES62" s="1120"/>
      <c r="ET62" s="1120"/>
      <c r="EU62" s="1120"/>
      <c r="EW62" s="155"/>
      <c r="EX62" s="552"/>
      <c r="EY62" s="552"/>
      <c r="EZ62" s="552"/>
      <c r="FA62" s="552"/>
      <c r="FB62" s="552"/>
      <c r="FC62" s="552"/>
      <c r="FD62" s="552"/>
      <c r="FE62" s="552"/>
      <c r="FF62" s="552"/>
      <c r="FG62" s="552"/>
      <c r="FH62" s="552"/>
      <c r="FI62" s="552"/>
      <c r="FJ62" s="552"/>
      <c r="FK62" s="552"/>
      <c r="FL62" s="552"/>
      <c r="FM62" s="552"/>
      <c r="FN62" s="552"/>
      <c r="FO62" s="552"/>
      <c r="FP62" s="552"/>
      <c r="FQ62" s="552"/>
      <c r="FR62" s="552"/>
      <c r="FS62" s="552"/>
      <c r="FT62" s="552"/>
      <c r="FU62" s="552"/>
      <c r="FV62" s="552"/>
      <c r="FW62" s="552"/>
      <c r="FX62" s="552"/>
      <c r="FY62" s="552"/>
      <c r="FZ62" s="552"/>
      <c r="GA62" s="552"/>
      <c r="GB62" s="552"/>
      <c r="GC62" s="552"/>
      <c r="GD62" s="552"/>
      <c r="GE62" s="552"/>
      <c r="GF62" s="552"/>
      <c r="GG62" s="552"/>
      <c r="GH62" s="552"/>
      <c r="GI62" s="552"/>
      <c r="GJ62" s="552"/>
      <c r="GK62" s="552"/>
      <c r="GL62" s="552"/>
      <c r="GM62" s="552"/>
      <c r="GN62" s="552"/>
      <c r="GO62" s="552"/>
      <c r="GP62" s="552"/>
      <c r="GQ62" s="552"/>
      <c r="GR62" s="552"/>
      <c r="GS62" s="552"/>
      <c r="GT62" s="552"/>
      <c r="GU62" s="552"/>
      <c r="GV62" s="552"/>
      <c r="GW62" s="552"/>
      <c r="GX62" s="552"/>
      <c r="GY62" s="552"/>
      <c r="GZ62" s="552"/>
      <c r="HA62" s="552"/>
      <c r="HB62" s="552"/>
      <c r="HC62" s="552"/>
      <c r="HD62" s="552"/>
      <c r="HE62" s="552"/>
      <c r="HF62" s="552"/>
      <c r="HG62" s="552"/>
      <c r="HH62" s="552"/>
      <c r="HI62" s="552"/>
      <c r="HJ62" s="552"/>
      <c r="HK62" s="552"/>
      <c r="HL62" s="552"/>
      <c r="HM62" s="552"/>
      <c r="HN62" s="552"/>
      <c r="HO62" s="552"/>
      <c r="HP62" s="552"/>
      <c r="HQ62" s="552"/>
      <c r="HR62" s="552"/>
      <c r="HS62" s="552"/>
      <c r="HT62" s="155"/>
      <c r="HU62" s="155"/>
      <c r="HV62" s="552"/>
      <c r="HW62" s="552"/>
      <c r="HX62" s="552"/>
      <c r="HY62" s="552"/>
      <c r="HZ62" s="552"/>
      <c r="IA62" s="552"/>
      <c r="IB62" s="552"/>
      <c r="IC62" s="552"/>
      <c r="ID62" s="552"/>
      <c r="IE62" s="552"/>
      <c r="IF62" s="552"/>
      <c r="IG62" s="552"/>
      <c r="IH62" s="552"/>
      <c r="II62" s="552"/>
      <c r="IJ62" s="552"/>
      <c r="IK62" s="552"/>
      <c r="IL62" s="552"/>
      <c r="IM62" s="552"/>
      <c r="IN62" s="552"/>
      <c r="IO62" s="552"/>
      <c r="IP62" s="552"/>
      <c r="IQ62" s="552"/>
      <c r="IR62" s="552"/>
      <c r="IS62" s="552"/>
      <c r="IT62" s="552"/>
      <c r="IU62" s="552"/>
      <c r="JT62" s="552"/>
      <c r="JU62" s="552"/>
      <c r="JV62" s="552"/>
      <c r="JW62" s="552"/>
      <c r="JX62" s="552"/>
      <c r="JY62" s="552"/>
      <c r="JZ62" s="552"/>
      <c r="KA62" s="552"/>
      <c r="KB62" s="552"/>
      <c r="KC62" s="552"/>
      <c r="KD62" s="552"/>
      <c r="KE62" s="552"/>
      <c r="KF62" s="552"/>
      <c r="KG62" s="552"/>
      <c r="KH62" s="552"/>
      <c r="KI62" s="552"/>
      <c r="KJ62" s="552"/>
      <c r="KK62" s="552"/>
      <c r="KL62" s="552"/>
      <c r="KM62" s="552"/>
      <c r="KN62" s="552"/>
      <c r="KO62" s="552"/>
      <c r="KP62" s="552"/>
      <c r="KQ62" s="552"/>
      <c r="KR62" s="155"/>
      <c r="KS62" s="155"/>
      <c r="KV62" s="1120"/>
      <c r="KW62" s="1120"/>
      <c r="KX62" s="1120"/>
      <c r="KY62" s="1120"/>
      <c r="KZ62" s="1120"/>
      <c r="LA62" s="1120"/>
      <c r="LB62" s="1120"/>
      <c r="LC62" s="1120"/>
      <c r="LD62" s="1120"/>
      <c r="LE62" s="1120"/>
      <c r="LF62" s="1120"/>
      <c r="LG62" s="1120"/>
      <c r="LH62" s="1120"/>
      <c r="LI62" s="1120"/>
      <c r="LJ62" s="1120"/>
      <c r="LK62" s="1120"/>
      <c r="LL62" s="1120"/>
      <c r="LM62" s="1120"/>
      <c r="LN62" s="1120"/>
      <c r="LO62" s="1120"/>
      <c r="LP62" s="1120"/>
      <c r="LQ62" s="1120"/>
      <c r="LR62" s="1120"/>
      <c r="LS62" s="1120"/>
      <c r="LT62" s="1120"/>
      <c r="LV62" s="1122"/>
      <c r="LW62" s="1122"/>
      <c r="LX62" s="1122"/>
      <c r="LY62" s="1122"/>
      <c r="MA62" s="1122"/>
      <c r="MB62" s="1122"/>
      <c r="MC62" s="1122"/>
      <c r="MD62" s="1122"/>
      <c r="ME62" s="1122"/>
      <c r="MF62" s="1122"/>
      <c r="MG62" s="1122"/>
      <c r="MH62" s="1122"/>
      <c r="MI62" s="1122"/>
      <c r="MK62" s="1122"/>
      <c r="ML62" s="1122"/>
      <c r="MM62" s="1122"/>
      <c r="MN62" s="1122"/>
      <c r="MO62" s="1122"/>
      <c r="NP62" s="155"/>
      <c r="NQ62" s="155"/>
      <c r="QN62" s="155"/>
      <c r="QO62" s="155"/>
      <c r="TL62" s="155"/>
    </row>
    <row r="63" spans="1:532" ht="6.75" customHeight="1" x14ac:dyDescent="0.25">
      <c r="A63" s="155"/>
      <c r="B63" s="512"/>
      <c r="C63" s="1192"/>
      <c r="D63" s="1193"/>
      <c r="E63" s="1193"/>
      <c r="F63" s="1193"/>
      <c r="G63" s="1193"/>
      <c r="H63" s="1193"/>
      <c r="I63" s="1193"/>
      <c r="J63" s="1193"/>
      <c r="K63" s="1193"/>
      <c r="L63" s="1193"/>
      <c r="M63" s="1193"/>
      <c r="N63" s="1193"/>
      <c r="O63" s="1193"/>
      <c r="P63" s="1193"/>
      <c r="Q63" s="1193"/>
      <c r="R63" s="1193"/>
      <c r="S63" s="1193"/>
      <c r="T63" s="1193"/>
      <c r="U63" s="1193"/>
      <c r="V63" s="1193"/>
      <c r="W63" s="1193"/>
      <c r="X63" s="1193"/>
      <c r="Y63" s="1193"/>
      <c r="Z63" s="1193"/>
      <c r="AA63" s="1193"/>
      <c r="AB63" s="1193"/>
      <c r="AC63" s="1193"/>
      <c r="AD63" s="1193"/>
      <c r="AE63" s="1193"/>
      <c r="AF63" s="1193"/>
      <c r="AG63" s="1193"/>
      <c r="AH63" s="1193"/>
      <c r="AI63" s="1193"/>
      <c r="AJ63" s="1193"/>
      <c r="AK63" s="1193"/>
      <c r="AL63" s="1194"/>
      <c r="AM63" s="508"/>
      <c r="AN63" s="508"/>
      <c r="AO63" s="1199"/>
      <c r="AP63" s="1199"/>
      <c r="AQ63" s="1199"/>
      <c r="AR63" s="1199"/>
      <c r="AS63" s="1199"/>
      <c r="AT63" s="1199"/>
      <c r="AU63" s="1199"/>
      <c r="AV63" s="1199"/>
      <c r="AW63" s="1199"/>
      <c r="AX63" s="1199"/>
      <c r="AY63" s="1199"/>
      <c r="AZ63" s="1199"/>
      <c r="BA63" s="1199"/>
      <c r="BB63" s="1227"/>
      <c r="BC63" s="1227"/>
      <c r="BD63" s="1227"/>
      <c r="BE63" s="1227"/>
      <c r="BF63" s="1198"/>
      <c r="BG63" s="1198"/>
      <c r="BH63" s="1198"/>
      <c r="BI63" s="1198"/>
      <c r="BJ63" s="1198"/>
      <c r="BK63" s="1198"/>
      <c r="BL63" s="1198"/>
      <c r="BM63" s="1198"/>
      <c r="BN63" s="1198"/>
      <c r="BO63" s="1198"/>
      <c r="BP63" s="1198"/>
      <c r="BQ63" s="1198"/>
      <c r="BR63" s="1198"/>
      <c r="BS63" s="1198"/>
      <c r="BT63" s="1198"/>
      <c r="BU63" s="1198"/>
      <c r="BV63" s="1198"/>
      <c r="BW63" s="513"/>
      <c r="BX63" s="155"/>
      <c r="BY63" s="155"/>
      <c r="BZ63" s="150"/>
      <c r="CA63" s="1234"/>
      <c r="CB63" s="1234"/>
      <c r="CC63" s="1234"/>
      <c r="CD63" s="1234"/>
      <c r="CE63" s="1234"/>
      <c r="CF63" s="1234"/>
      <c r="CG63" s="1234"/>
      <c r="CH63" s="1234"/>
      <c r="CI63" s="1234"/>
      <c r="CJ63" s="1234"/>
      <c r="CK63" s="1234"/>
      <c r="CL63" s="1234"/>
      <c r="CM63" s="1234"/>
      <c r="CN63" s="1234"/>
      <c r="CO63" s="1234"/>
      <c r="CP63" s="1234"/>
      <c r="CQ63" s="1234"/>
      <c r="CR63" s="1234"/>
      <c r="CS63" s="1234"/>
      <c r="CT63" s="1234"/>
      <c r="CU63" s="1234"/>
      <c r="CV63" s="1234"/>
      <c r="CW63" s="1234"/>
      <c r="CX63" s="1234"/>
      <c r="CZ63" s="1119"/>
      <c r="DA63" s="1119"/>
      <c r="DB63" s="1119"/>
      <c r="DC63" s="1119"/>
      <c r="DD63" s="1119"/>
      <c r="DE63" s="1119"/>
      <c r="DF63" s="1119"/>
      <c r="DG63" s="1119"/>
      <c r="DH63" s="1119"/>
      <c r="DI63" s="1119"/>
      <c r="DJ63" s="1119"/>
      <c r="DK63" s="1119"/>
      <c r="DL63" s="1119"/>
      <c r="DM63" s="1119"/>
      <c r="DN63" s="1119"/>
      <c r="DO63" s="1119"/>
      <c r="DP63" s="1119"/>
      <c r="DQ63" s="1119"/>
      <c r="DR63" s="1119"/>
      <c r="DS63" s="1119"/>
      <c r="DT63" s="1119"/>
      <c r="DU63" s="1119"/>
      <c r="DV63" s="1119"/>
      <c r="DW63" s="1119"/>
      <c r="DY63" s="1121"/>
      <c r="DZ63" s="1121"/>
      <c r="EA63" s="1121"/>
      <c r="EB63" s="1121"/>
      <c r="EC63" s="1121"/>
      <c r="ED63" s="1121"/>
      <c r="EE63" s="1121"/>
      <c r="EF63" s="1121"/>
      <c r="EG63" s="1121"/>
      <c r="EH63" s="1121"/>
      <c r="EI63" s="1121"/>
      <c r="EJ63" s="1121"/>
      <c r="EK63" s="1121"/>
      <c r="EL63" s="1121"/>
      <c r="EM63" s="1121"/>
      <c r="EN63" s="1121"/>
      <c r="EO63" s="1121"/>
      <c r="EP63" s="1121"/>
      <c r="EQ63" s="1121"/>
      <c r="ER63" s="1121"/>
      <c r="ES63" s="1121"/>
      <c r="ET63" s="1121"/>
      <c r="EU63" s="1121"/>
      <c r="EW63" s="155"/>
      <c r="EX63" s="552"/>
      <c r="EY63" s="552"/>
      <c r="EZ63" s="552"/>
      <c r="FA63" s="552"/>
      <c r="FB63" s="552"/>
      <c r="FC63" s="552"/>
      <c r="FD63" s="552"/>
      <c r="FE63" s="552"/>
      <c r="FF63" s="552"/>
      <c r="FG63" s="552"/>
      <c r="FH63" s="552"/>
      <c r="FI63" s="552"/>
      <c r="FJ63" s="552"/>
      <c r="FK63" s="552"/>
      <c r="FL63" s="552"/>
      <c r="FM63" s="552"/>
      <c r="FN63" s="552"/>
      <c r="FO63" s="552"/>
      <c r="FP63" s="552"/>
      <c r="FQ63" s="552"/>
      <c r="FR63" s="552"/>
      <c r="FS63" s="552"/>
      <c r="FT63" s="552"/>
      <c r="FU63" s="552"/>
      <c r="FV63" s="552"/>
      <c r="FW63" s="552"/>
      <c r="FX63" s="552"/>
      <c r="FY63" s="552"/>
      <c r="FZ63" s="552"/>
      <c r="GA63" s="552"/>
      <c r="GB63" s="552"/>
      <c r="GC63" s="552"/>
      <c r="GD63" s="552"/>
      <c r="GE63" s="552"/>
      <c r="GF63" s="552"/>
      <c r="GG63" s="552"/>
      <c r="GH63" s="552"/>
      <c r="GI63" s="552"/>
      <c r="GJ63" s="552"/>
      <c r="GK63" s="552"/>
      <c r="GL63" s="552"/>
      <c r="GM63" s="552"/>
      <c r="GN63" s="552"/>
      <c r="GO63" s="552"/>
      <c r="GP63" s="552"/>
      <c r="GQ63" s="552"/>
      <c r="GR63" s="552"/>
      <c r="GS63" s="552"/>
      <c r="GT63" s="552"/>
      <c r="GU63" s="552"/>
      <c r="GV63" s="552"/>
      <c r="GW63" s="552"/>
      <c r="GX63" s="552"/>
      <c r="GY63" s="552"/>
      <c r="GZ63" s="552"/>
      <c r="HA63" s="552"/>
      <c r="HB63" s="552"/>
      <c r="HC63" s="552"/>
      <c r="HD63" s="552"/>
      <c r="HE63" s="552"/>
      <c r="HF63" s="552"/>
      <c r="HG63" s="552"/>
      <c r="HH63" s="552"/>
      <c r="HI63" s="552"/>
      <c r="HJ63" s="552"/>
      <c r="HK63" s="552"/>
      <c r="HL63" s="552"/>
      <c r="HM63" s="552"/>
      <c r="HN63" s="552"/>
      <c r="HO63" s="552"/>
      <c r="HP63" s="552"/>
      <c r="HQ63" s="552"/>
      <c r="HR63" s="552"/>
      <c r="HS63" s="552"/>
      <c r="HT63" s="155"/>
      <c r="HU63" s="155"/>
      <c r="HV63" s="552"/>
      <c r="HW63" s="552"/>
      <c r="HX63" s="552"/>
      <c r="HY63" s="552"/>
      <c r="HZ63" s="552"/>
      <c r="IA63" s="552"/>
      <c r="IB63" s="552"/>
      <c r="IC63" s="552"/>
      <c r="ID63" s="552"/>
      <c r="IE63" s="552"/>
      <c r="IF63" s="552"/>
      <c r="IG63" s="552"/>
      <c r="IH63" s="552"/>
      <c r="II63" s="552"/>
      <c r="IJ63" s="552"/>
      <c r="IK63" s="552"/>
      <c r="IL63" s="552"/>
      <c r="IM63" s="552"/>
      <c r="IN63" s="552"/>
      <c r="IO63" s="552"/>
      <c r="IP63" s="552"/>
      <c r="IQ63" s="552"/>
      <c r="IR63" s="552"/>
      <c r="IS63" s="552"/>
      <c r="IT63" s="552"/>
      <c r="IU63" s="552"/>
      <c r="JT63" s="552"/>
      <c r="JU63" s="552"/>
      <c r="JV63" s="552"/>
      <c r="JW63" s="552"/>
      <c r="JX63" s="552"/>
      <c r="JY63" s="552"/>
      <c r="JZ63" s="552"/>
      <c r="KA63" s="552"/>
      <c r="KB63" s="552"/>
      <c r="KC63" s="552"/>
      <c r="KD63" s="552"/>
      <c r="KE63" s="552"/>
      <c r="KF63" s="552"/>
      <c r="KG63" s="552"/>
      <c r="KH63" s="552"/>
      <c r="KI63" s="552"/>
      <c r="KJ63" s="552"/>
      <c r="KK63" s="552"/>
      <c r="KL63" s="552"/>
      <c r="KM63" s="552"/>
      <c r="KN63" s="552"/>
      <c r="KO63" s="552"/>
      <c r="KP63" s="552"/>
      <c r="KQ63" s="552"/>
      <c r="KR63" s="155"/>
      <c r="KS63" s="155"/>
      <c r="KV63" s="1121"/>
      <c r="KW63" s="1121"/>
      <c r="KX63" s="1121"/>
      <c r="KY63" s="1121"/>
      <c r="KZ63" s="1121"/>
      <c r="LA63" s="1121"/>
      <c r="LB63" s="1121"/>
      <c r="LC63" s="1121"/>
      <c r="LD63" s="1121"/>
      <c r="LE63" s="1121"/>
      <c r="LF63" s="1121"/>
      <c r="LG63" s="1121"/>
      <c r="LH63" s="1121"/>
      <c r="LI63" s="1121"/>
      <c r="LJ63" s="1121"/>
      <c r="LK63" s="1121"/>
      <c r="LL63" s="1121"/>
      <c r="LM63" s="1121"/>
      <c r="LN63" s="1121"/>
      <c r="LO63" s="1121"/>
      <c r="LP63" s="1121"/>
      <c r="LQ63" s="1121"/>
      <c r="LR63" s="1121"/>
      <c r="LS63" s="1121"/>
      <c r="LT63" s="1121"/>
      <c r="LV63" s="1123"/>
      <c r="LW63" s="1123"/>
      <c r="LX63" s="1123"/>
      <c r="LY63" s="1123"/>
      <c r="MA63" s="1123"/>
      <c r="MB63" s="1123"/>
      <c r="MC63" s="1123"/>
      <c r="MD63" s="1123"/>
      <c r="ME63" s="1123"/>
      <c r="MF63" s="1123"/>
      <c r="MG63" s="1123"/>
      <c r="MH63" s="1123"/>
      <c r="MI63" s="1123"/>
      <c r="MK63" s="1123"/>
      <c r="ML63" s="1123"/>
      <c r="MM63" s="1123"/>
      <c r="MN63" s="1123"/>
      <c r="MO63" s="1123"/>
      <c r="NP63" s="155"/>
      <c r="NQ63" s="155"/>
      <c r="QN63" s="155"/>
      <c r="QO63" s="155"/>
      <c r="TL63" s="155"/>
    </row>
    <row r="64" spans="1:532" ht="6.75" customHeight="1" x14ac:dyDescent="0.25">
      <c r="A64" s="155"/>
      <c r="B64" s="512"/>
      <c r="C64" s="1192"/>
      <c r="D64" s="1193"/>
      <c r="E64" s="1193"/>
      <c r="F64" s="1193"/>
      <c r="G64" s="1193"/>
      <c r="H64" s="1193"/>
      <c r="I64" s="1193"/>
      <c r="J64" s="1193"/>
      <c r="K64" s="1193"/>
      <c r="L64" s="1193"/>
      <c r="M64" s="1193"/>
      <c r="N64" s="1193"/>
      <c r="O64" s="1193"/>
      <c r="P64" s="1193"/>
      <c r="Q64" s="1193"/>
      <c r="R64" s="1193"/>
      <c r="S64" s="1193"/>
      <c r="T64" s="1193"/>
      <c r="U64" s="1193"/>
      <c r="V64" s="1193"/>
      <c r="W64" s="1193"/>
      <c r="X64" s="1193"/>
      <c r="Y64" s="1193"/>
      <c r="Z64" s="1193"/>
      <c r="AA64" s="1193"/>
      <c r="AB64" s="1193"/>
      <c r="AC64" s="1193"/>
      <c r="AD64" s="1193"/>
      <c r="AE64" s="1193"/>
      <c r="AF64" s="1193"/>
      <c r="AG64" s="1193"/>
      <c r="AH64" s="1193"/>
      <c r="AI64" s="1193"/>
      <c r="AJ64" s="1193"/>
      <c r="AK64" s="1193"/>
      <c r="AL64" s="1194"/>
      <c r="AM64" s="508"/>
      <c r="AN64" s="508"/>
      <c r="AO64" s="1199" t="s">
        <v>49</v>
      </c>
      <c r="AP64" s="1199"/>
      <c r="AQ64" s="1199"/>
      <c r="AR64" s="1199"/>
      <c r="AS64" s="1199"/>
      <c r="AT64" s="1199"/>
      <c r="AU64" s="1199"/>
      <c r="AV64" s="1199"/>
      <c r="AW64" s="1199"/>
      <c r="AX64" s="1199"/>
      <c r="AY64" s="1199"/>
      <c r="AZ64" s="1199"/>
      <c r="BA64" s="1199"/>
      <c r="BB64" s="1227" t="s">
        <v>7</v>
      </c>
      <c r="BC64" s="1227"/>
      <c r="BD64" s="1227"/>
      <c r="BE64" s="1227"/>
      <c r="BF64" s="1198"/>
      <c r="BG64" s="1198"/>
      <c r="BH64" s="1198"/>
      <c r="BI64" s="1198"/>
      <c r="BJ64" s="1198"/>
      <c r="BK64" s="1198"/>
      <c r="BL64" s="1198"/>
      <c r="BM64" s="1198"/>
      <c r="BN64" s="1198"/>
      <c r="BO64" s="1198"/>
      <c r="BP64" s="1198"/>
      <c r="BQ64" s="1198"/>
      <c r="BR64" s="1198"/>
      <c r="BS64" s="1198">
        <f>PerceptionValue</f>
        <v>0</v>
      </c>
      <c r="BT64" s="1198"/>
      <c r="BU64" s="1198"/>
      <c r="BV64" s="1198"/>
      <c r="BW64" s="513"/>
      <c r="BX64" s="155"/>
      <c r="BY64" s="155"/>
      <c r="BZ64" s="150"/>
      <c r="CA64" s="1234"/>
      <c r="CB64" s="1234"/>
      <c r="CC64" s="1234"/>
      <c r="CD64" s="1234"/>
      <c r="CE64" s="1234"/>
      <c r="CF64" s="1234"/>
      <c r="CG64" s="1234"/>
      <c r="CH64" s="1234"/>
      <c r="CI64" s="1234"/>
      <c r="CJ64" s="1234"/>
      <c r="CK64" s="1234"/>
      <c r="CL64" s="1234"/>
      <c r="CM64" s="1234"/>
      <c r="CN64" s="1234"/>
      <c r="CO64" s="1234"/>
      <c r="CP64" s="1234"/>
      <c r="CQ64" s="1234"/>
      <c r="CR64" s="1234"/>
      <c r="CS64" s="1234"/>
      <c r="CT64" s="1234"/>
      <c r="CU64" s="1234"/>
      <c r="CV64" s="1234"/>
      <c r="CW64" s="1234"/>
      <c r="CX64" s="1234"/>
      <c r="CZ64" s="1119"/>
      <c r="DA64" s="1119"/>
      <c r="DB64" s="1119"/>
      <c r="DC64" s="1119"/>
      <c r="DD64" s="1119"/>
      <c r="DE64" s="1119"/>
      <c r="DF64" s="1119"/>
      <c r="DG64" s="1119"/>
      <c r="DH64" s="1119"/>
      <c r="DI64" s="1119"/>
      <c r="DJ64" s="1119"/>
      <c r="DK64" s="1119"/>
      <c r="DL64" s="1119"/>
      <c r="DM64" s="1119"/>
      <c r="DN64" s="1119"/>
      <c r="DO64" s="1119"/>
      <c r="DP64" s="1119"/>
      <c r="DQ64" s="1119"/>
      <c r="DR64" s="1119"/>
      <c r="DS64" s="1119"/>
      <c r="DT64" s="1119"/>
      <c r="DU64" s="1119"/>
      <c r="DV64" s="1119"/>
      <c r="DW64" s="1119"/>
      <c r="DY64" s="1120"/>
      <c r="DZ64" s="1120"/>
      <c r="EA64" s="1120"/>
      <c r="EB64" s="1120"/>
      <c r="EC64" s="1120"/>
      <c r="ED64" s="1120"/>
      <c r="EE64" s="1120"/>
      <c r="EF64" s="1120"/>
      <c r="EG64" s="1120"/>
      <c r="EH64" s="1120"/>
      <c r="EI64" s="1120"/>
      <c r="EJ64" s="1120"/>
      <c r="EK64" s="1120"/>
      <c r="EL64" s="1120"/>
      <c r="EM64" s="1120"/>
      <c r="EN64" s="1120"/>
      <c r="EO64" s="1120"/>
      <c r="EP64" s="1120"/>
      <c r="EQ64" s="1120"/>
      <c r="ER64" s="1120"/>
      <c r="ES64" s="1120"/>
      <c r="ET64" s="1120"/>
      <c r="EU64" s="1120"/>
      <c r="EW64" s="155"/>
      <c r="EX64" s="552"/>
      <c r="EY64" s="552"/>
      <c r="EZ64" s="552"/>
      <c r="FA64" s="552"/>
      <c r="FB64" s="552"/>
      <c r="FC64" s="552"/>
      <c r="FD64" s="552"/>
      <c r="FE64" s="552"/>
      <c r="FF64" s="552"/>
      <c r="FG64" s="552"/>
      <c r="FH64" s="552"/>
      <c r="FI64" s="552"/>
      <c r="FJ64" s="552"/>
      <c r="FK64" s="552"/>
      <c r="FL64" s="552"/>
      <c r="FM64" s="552"/>
      <c r="FN64" s="552"/>
      <c r="FO64" s="552"/>
      <c r="FP64" s="552"/>
      <c r="FQ64" s="552"/>
      <c r="FR64" s="552"/>
      <c r="FS64" s="552"/>
      <c r="FT64" s="552"/>
      <c r="FU64" s="552"/>
      <c r="FV64" s="552"/>
      <c r="FW64" s="552"/>
      <c r="FX64" s="552"/>
      <c r="FY64" s="552"/>
      <c r="FZ64" s="552"/>
      <c r="GA64" s="552"/>
      <c r="GB64" s="552"/>
      <c r="GC64" s="552"/>
      <c r="GD64" s="552"/>
      <c r="GE64" s="552"/>
      <c r="GF64" s="552"/>
      <c r="GG64" s="552"/>
      <c r="GH64" s="552"/>
      <c r="GI64" s="552"/>
      <c r="GJ64" s="552"/>
      <c r="GK64" s="552"/>
      <c r="GL64" s="552"/>
      <c r="GM64" s="552"/>
      <c r="GN64" s="552"/>
      <c r="GO64" s="552"/>
      <c r="GP64" s="552"/>
      <c r="GQ64" s="552"/>
      <c r="GR64" s="552"/>
      <c r="GS64" s="552"/>
      <c r="GT64" s="552"/>
      <c r="GU64" s="552"/>
      <c r="GV64" s="552"/>
      <c r="GW64" s="552"/>
      <c r="GX64" s="552"/>
      <c r="GY64" s="552"/>
      <c r="GZ64" s="552"/>
      <c r="HA64" s="552"/>
      <c r="HB64" s="552"/>
      <c r="HC64" s="552"/>
      <c r="HD64" s="552"/>
      <c r="HE64" s="552"/>
      <c r="HF64" s="552"/>
      <c r="HG64" s="552"/>
      <c r="HH64" s="552"/>
      <c r="HI64" s="552"/>
      <c r="HJ64" s="552"/>
      <c r="HK64" s="552"/>
      <c r="HL64" s="552"/>
      <c r="HM64" s="552"/>
      <c r="HN64" s="552"/>
      <c r="HO64" s="552"/>
      <c r="HP64" s="552"/>
      <c r="HQ64" s="552"/>
      <c r="HR64" s="552"/>
      <c r="HS64" s="552"/>
      <c r="HT64" s="155"/>
      <c r="HU64" s="155"/>
      <c r="HV64" s="552"/>
      <c r="HW64" s="552"/>
      <c r="HX64" s="552"/>
      <c r="HY64" s="552"/>
      <c r="HZ64" s="552"/>
      <c r="IA64" s="552"/>
      <c r="IB64" s="552"/>
      <c r="IC64" s="552"/>
      <c r="ID64" s="552"/>
      <c r="IE64" s="552"/>
      <c r="IF64" s="552"/>
      <c r="IG64" s="552"/>
      <c r="IH64" s="552"/>
      <c r="II64" s="552"/>
      <c r="IJ64" s="552"/>
      <c r="IK64" s="552"/>
      <c r="IL64" s="552"/>
      <c r="IM64" s="552"/>
      <c r="IN64" s="552"/>
      <c r="IO64" s="552"/>
      <c r="IP64" s="552"/>
      <c r="IQ64" s="552"/>
      <c r="IR64" s="552"/>
      <c r="IS64" s="552"/>
      <c r="IT64" s="552"/>
      <c r="IU64" s="552"/>
      <c r="JT64" s="552"/>
      <c r="JU64" s="552"/>
      <c r="JV64" s="552"/>
      <c r="JW64" s="552"/>
      <c r="JX64" s="552"/>
      <c r="JY64" s="552"/>
      <c r="JZ64" s="552"/>
      <c r="KA64" s="552"/>
      <c r="KB64" s="552"/>
      <c r="KC64" s="552"/>
      <c r="KD64" s="552"/>
      <c r="KE64" s="552"/>
      <c r="KF64" s="552"/>
      <c r="KG64" s="552"/>
      <c r="KH64" s="552"/>
      <c r="KI64" s="552"/>
      <c r="KJ64" s="552"/>
      <c r="KK64" s="552"/>
      <c r="KL64" s="552"/>
      <c r="KM64" s="552"/>
      <c r="KN64" s="552"/>
      <c r="KO64" s="552"/>
      <c r="KP64" s="552"/>
      <c r="KQ64" s="552"/>
      <c r="KR64" s="155"/>
      <c r="KS64" s="155"/>
      <c r="KV64" s="1120"/>
      <c r="KW64" s="1120"/>
      <c r="KX64" s="1120"/>
      <c r="KY64" s="1120"/>
      <c r="KZ64" s="1120"/>
      <c r="LA64" s="1120"/>
      <c r="LB64" s="1120"/>
      <c r="LC64" s="1120"/>
      <c r="LD64" s="1120"/>
      <c r="LE64" s="1120"/>
      <c r="LF64" s="1120"/>
      <c r="LG64" s="1120"/>
      <c r="LH64" s="1120"/>
      <c r="LI64" s="1120"/>
      <c r="LJ64" s="1120"/>
      <c r="LK64" s="1120"/>
      <c r="LL64" s="1120"/>
      <c r="LM64" s="1120"/>
      <c r="LN64" s="1120"/>
      <c r="LO64" s="1120"/>
      <c r="LP64" s="1120"/>
      <c r="LQ64" s="1120"/>
      <c r="LR64" s="1120"/>
      <c r="LS64" s="1120"/>
      <c r="LT64" s="1120"/>
      <c r="LV64" s="1122"/>
      <c r="LW64" s="1122"/>
      <c r="LX64" s="1122"/>
      <c r="LY64" s="1122"/>
      <c r="MA64" s="1122"/>
      <c r="MB64" s="1122"/>
      <c r="MC64" s="1122"/>
      <c r="MD64" s="1122"/>
      <c r="ME64" s="1122"/>
      <c r="MF64" s="1122"/>
      <c r="MG64" s="1122"/>
      <c r="MH64" s="1122"/>
      <c r="MI64" s="1122"/>
      <c r="MK64" s="1122"/>
      <c r="ML64" s="1122"/>
      <c r="MM64" s="1122"/>
      <c r="MN64" s="1122"/>
      <c r="MO64" s="1122"/>
      <c r="NP64" s="155"/>
      <c r="NQ64" s="155"/>
      <c r="QN64" s="155"/>
      <c r="QO64" s="155"/>
      <c r="TL64" s="155"/>
    </row>
    <row r="65" spans="1:532" ht="6.75" customHeight="1" thickBot="1" x14ac:dyDescent="0.3">
      <c r="A65" s="155"/>
      <c r="B65" s="512"/>
      <c r="C65" s="1195"/>
      <c r="D65" s="1196"/>
      <c r="E65" s="1196"/>
      <c r="F65" s="1196"/>
      <c r="G65" s="1196"/>
      <c r="H65" s="1196"/>
      <c r="I65" s="1196"/>
      <c r="J65" s="1196"/>
      <c r="K65" s="1196"/>
      <c r="L65" s="1196"/>
      <c r="M65" s="1196"/>
      <c r="N65" s="1196"/>
      <c r="O65" s="1196"/>
      <c r="P65" s="1196"/>
      <c r="Q65" s="1196"/>
      <c r="R65" s="1196"/>
      <c r="S65" s="1196"/>
      <c r="T65" s="1196"/>
      <c r="U65" s="1196"/>
      <c r="V65" s="1196"/>
      <c r="W65" s="1196"/>
      <c r="X65" s="1196"/>
      <c r="Y65" s="1196"/>
      <c r="Z65" s="1196"/>
      <c r="AA65" s="1196"/>
      <c r="AB65" s="1196"/>
      <c r="AC65" s="1196"/>
      <c r="AD65" s="1196"/>
      <c r="AE65" s="1196"/>
      <c r="AF65" s="1196"/>
      <c r="AG65" s="1196"/>
      <c r="AH65" s="1196"/>
      <c r="AI65" s="1196"/>
      <c r="AJ65" s="1196"/>
      <c r="AK65" s="1196"/>
      <c r="AL65" s="1197"/>
      <c r="AM65" s="508"/>
      <c r="AN65" s="508"/>
      <c r="AO65" s="1199"/>
      <c r="AP65" s="1199"/>
      <c r="AQ65" s="1199"/>
      <c r="AR65" s="1199"/>
      <c r="AS65" s="1199"/>
      <c r="AT65" s="1199"/>
      <c r="AU65" s="1199"/>
      <c r="AV65" s="1199"/>
      <c r="AW65" s="1199"/>
      <c r="AX65" s="1199"/>
      <c r="AY65" s="1199"/>
      <c r="AZ65" s="1199"/>
      <c r="BA65" s="1199"/>
      <c r="BB65" s="1227"/>
      <c r="BC65" s="1227"/>
      <c r="BD65" s="1227"/>
      <c r="BE65" s="1227"/>
      <c r="BF65" s="1198"/>
      <c r="BG65" s="1198"/>
      <c r="BH65" s="1198"/>
      <c r="BI65" s="1198"/>
      <c r="BJ65" s="1198"/>
      <c r="BK65" s="1198"/>
      <c r="BL65" s="1198"/>
      <c r="BM65" s="1198"/>
      <c r="BN65" s="1198"/>
      <c r="BO65" s="1198"/>
      <c r="BP65" s="1198"/>
      <c r="BQ65" s="1198"/>
      <c r="BR65" s="1198"/>
      <c r="BS65" s="1198"/>
      <c r="BT65" s="1198"/>
      <c r="BU65" s="1198"/>
      <c r="BV65" s="1198"/>
      <c r="BW65" s="513"/>
      <c r="BX65" s="155"/>
      <c r="BY65" s="155"/>
      <c r="BZ65" s="150"/>
      <c r="CA65" s="1234"/>
      <c r="CB65" s="1234"/>
      <c r="CC65" s="1234"/>
      <c r="CD65" s="1234"/>
      <c r="CE65" s="1234"/>
      <c r="CF65" s="1234"/>
      <c r="CG65" s="1234"/>
      <c r="CH65" s="1234"/>
      <c r="CI65" s="1234"/>
      <c r="CJ65" s="1234"/>
      <c r="CK65" s="1234"/>
      <c r="CL65" s="1234"/>
      <c r="CM65" s="1234"/>
      <c r="CN65" s="1234"/>
      <c r="CO65" s="1234"/>
      <c r="CP65" s="1234"/>
      <c r="CQ65" s="1234"/>
      <c r="CR65" s="1234"/>
      <c r="CS65" s="1234"/>
      <c r="CT65" s="1234"/>
      <c r="CU65" s="1234"/>
      <c r="CV65" s="1234"/>
      <c r="CW65" s="1234"/>
      <c r="CX65" s="1234"/>
      <c r="CZ65" s="1119"/>
      <c r="DA65" s="1119"/>
      <c r="DB65" s="1119"/>
      <c r="DC65" s="1119"/>
      <c r="DD65" s="1119"/>
      <c r="DE65" s="1119"/>
      <c r="DF65" s="1119"/>
      <c r="DG65" s="1119"/>
      <c r="DH65" s="1119"/>
      <c r="DI65" s="1119"/>
      <c r="DJ65" s="1119"/>
      <c r="DK65" s="1119"/>
      <c r="DL65" s="1119"/>
      <c r="DM65" s="1119"/>
      <c r="DN65" s="1119"/>
      <c r="DO65" s="1119"/>
      <c r="DP65" s="1119"/>
      <c r="DQ65" s="1119"/>
      <c r="DR65" s="1119"/>
      <c r="DS65" s="1119"/>
      <c r="DT65" s="1119"/>
      <c r="DU65" s="1119"/>
      <c r="DV65" s="1119"/>
      <c r="DW65" s="1119"/>
      <c r="DY65" s="1121"/>
      <c r="DZ65" s="1121"/>
      <c r="EA65" s="1121"/>
      <c r="EB65" s="1121"/>
      <c r="EC65" s="1121"/>
      <c r="ED65" s="1121"/>
      <c r="EE65" s="1121"/>
      <c r="EF65" s="1121"/>
      <c r="EG65" s="1121"/>
      <c r="EH65" s="1121"/>
      <c r="EI65" s="1121"/>
      <c r="EJ65" s="1121"/>
      <c r="EK65" s="1121"/>
      <c r="EL65" s="1121"/>
      <c r="EM65" s="1121"/>
      <c r="EN65" s="1121"/>
      <c r="EO65" s="1121"/>
      <c r="EP65" s="1121"/>
      <c r="EQ65" s="1121"/>
      <c r="ER65" s="1121"/>
      <c r="ES65" s="1121"/>
      <c r="ET65" s="1121"/>
      <c r="EU65" s="1121"/>
      <c r="EW65" s="155"/>
      <c r="EX65" s="552"/>
      <c r="EY65" s="552"/>
      <c r="EZ65" s="552"/>
      <c r="FA65" s="552"/>
      <c r="FB65" s="552"/>
      <c r="FC65" s="552"/>
      <c r="FD65" s="552"/>
      <c r="FE65" s="552"/>
      <c r="FF65" s="552"/>
      <c r="FG65" s="552"/>
      <c r="FH65" s="552"/>
      <c r="FI65" s="552"/>
      <c r="FJ65" s="552"/>
      <c r="FK65" s="552"/>
      <c r="FL65" s="552"/>
      <c r="FM65" s="552"/>
      <c r="FN65" s="552"/>
      <c r="FO65" s="552"/>
      <c r="FP65" s="552"/>
      <c r="FQ65" s="552"/>
      <c r="FR65" s="552"/>
      <c r="FS65" s="552"/>
      <c r="FT65" s="552"/>
      <c r="FU65" s="552"/>
      <c r="FV65" s="552"/>
      <c r="FW65" s="552"/>
      <c r="FX65" s="552"/>
      <c r="FY65" s="552"/>
      <c r="FZ65" s="552"/>
      <c r="GA65" s="552"/>
      <c r="GB65" s="552"/>
      <c r="GC65" s="552"/>
      <c r="GD65" s="552"/>
      <c r="GE65" s="552"/>
      <c r="GF65" s="552"/>
      <c r="GG65" s="552"/>
      <c r="GH65" s="552"/>
      <c r="GI65" s="552"/>
      <c r="GJ65" s="552"/>
      <c r="GK65" s="552"/>
      <c r="GL65" s="552"/>
      <c r="GM65" s="552"/>
      <c r="GN65" s="552"/>
      <c r="GO65" s="552"/>
      <c r="GP65" s="552"/>
      <c r="GQ65" s="552"/>
      <c r="GR65" s="552"/>
      <c r="GS65" s="552"/>
      <c r="GT65" s="552"/>
      <c r="GU65" s="552"/>
      <c r="GV65" s="552"/>
      <c r="GW65" s="552"/>
      <c r="GX65" s="552"/>
      <c r="GY65" s="552"/>
      <c r="GZ65" s="552"/>
      <c r="HA65" s="552"/>
      <c r="HB65" s="552"/>
      <c r="HC65" s="552"/>
      <c r="HD65" s="552"/>
      <c r="HE65" s="552"/>
      <c r="HF65" s="552"/>
      <c r="HG65" s="552"/>
      <c r="HH65" s="552"/>
      <c r="HI65" s="552"/>
      <c r="HJ65" s="552"/>
      <c r="HK65" s="552"/>
      <c r="HL65" s="552"/>
      <c r="HM65" s="552"/>
      <c r="HN65" s="552"/>
      <c r="HO65" s="552"/>
      <c r="HP65" s="552"/>
      <c r="HQ65" s="552"/>
      <c r="HR65" s="552"/>
      <c r="HS65" s="552"/>
      <c r="HT65" s="155"/>
      <c r="HU65" s="155"/>
      <c r="HV65" s="552"/>
      <c r="HW65" s="552"/>
      <c r="HX65" s="552"/>
      <c r="HY65" s="552"/>
      <c r="HZ65" s="552"/>
      <c r="IA65" s="552"/>
      <c r="IB65" s="552"/>
      <c r="IC65" s="552"/>
      <c r="ID65" s="552"/>
      <c r="IE65" s="552"/>
      <c r="IF65" s="552"/>
      <c r="IG65" s="552"/>
      <c r="IH65" s="552"/>
      <c r="II65" s="552"/>
      <c r="IJ65" s="552"/>
      <c r="IK65" s="552"/>
      <c r="IL65" s="552"/>
      <c r="IM65" s="552"/>
      <c r="IN65" s="552"/>
      <c r="IO65" s="552"/>
      <c r="IP65" s="552"/>
      <c r="IQ65" s="552"/>
      <c r="IR65" s="552"/>
      <c r="IS65" s="552"/>
      <c r="IT65" s="552"/>
      <c r="IU65" s="552"/>
      <c r="JT65" s="552"/>
      <c r="JU65" s="552"/>
      <c r="JV65" s="552"/>
      <c r="JW65" s="552"/>
      <c r="JX65" s="552"/>
      <c r="JY65" s="552"/>
      <c r="JZ65" s="552"/>
      <c r="KA65" s="552"/>
      <c r="KB65" s="552"/>
      <c r="KC65" s="552"/>
      <c r="KD65" s="552"/>
      <c r="KE65" s="552"/>
      <c r="KF65" s="552"/>
      <c r="KG65" s="552"/>
      <c r="KH65" s="552"/>
      <c r="KI65" s="552"/>
      <c r="KJ65" s="552"/>
      <c r="KK65" s="552"/>
      <c r="KL65" s="552"/>
      <c r="KM65" s="552"/>
      <c r="KN65" s="552"/>
      <c r="KO65" s="552"/>
      <c r="KP65" s="552"/>
      <c r="KQ65" s="552"/>
      <c r="KR65" s="155"/>
      <c r="KS65" s="155"/>
      <c r="KV65" s="1121"/>
      <c r="KW65" s="1121"/>
      <c r="KX65" s="1121"/>
      <c r="KY65" s="1121"/>
      <c r="KZ65" s="1121"/>
      <c r="LA65" s="1121"/>
      <c r="LB65" s="1121"/>
      <c r="LC65" s="1121"/>
      <c r="LD65" s="1121"/>
      <c r="LE65" s="1121"/>
      <c r="LF65" s="1121"/>
      <c r="LG65" s="1121"/>
      <c r="LH65" s="1121"/>
      <c r="LI65" s="1121"/>
      <c r="LJ65" s="1121"/>
      <c r="LK65" s="1121"/>
      <c r="LL65" s="1121"/>
      <c r="LM65" s="1121"/>
      <c r="LN65" s="1121"/>
      <c r="LO65" s="1121"/>
      <c r="LP65" s="1121"/>
      <c r="LQ65" s="1121"/>
      <c r="LR65" s="1121"/>
      <c r="LS65" s="1121"/>
      <c r="LT65" s="1121"/>
      <c r="LV65" s="1123"/>
      <c r="LW65" s="1123"/>
      <c r="LX65" s="1123"/>
      <c r="LY65" s="1123"/>
      <c r="MA65" s="1123"/>
      <c r="MB65" s="1123"/>
      <c r="MC65" s="1123"/>
      <c r="MD65" s="1123"/>
      <c r="ME65" s="1123"/>
      <c r="MF65" s="1123"/>
      <c r="MG65" s="1123"/>
      <c r="MH65" s="1123"/>
      <c r="MI65" s="1123"/>
      <c r="MK65" s="1123"/>
      <c r="ML65" s="1123"/>
      <c r="MM65" s="1123"/>
      <c r="MN65" s="1123"/>
      <c r="MO65" s="1123"/>
      <c r="NP65" s="155"/>
      <c r="NQ65" s="155"/>
      <c r="QN65" s="155"/>
      <c r="QO65" s="155"/>
      <c r="TL65" s="155"/>
    </row>
    <row r="66" spans="1:532" ht="6.75" customHeight="1" x14ac:dyDescent="0.25">
      <c r="A66" s="155"/>
      <c r="B66" s="512"/>
      <c r="C66" s="1174" t="s">
        <v>6223</v>
      </c>
      <c r="D66" s="1175"/>
      <c r="E66" s="1175"/>
      <c r="F66" s="1175"/>
      <c r="G66" s="1175"/>
      <c r="H66" s="1175"/>
      <c r="I66" s="1175"/>
      <c r="J66" s="1175"/>
      <c r="K66" s="1175"/>
      <c r="L66" s="1175"/>
      <c r="M66" s="1175"/>
      <c r="N66" s="1175"/>
      <c r="O66" s="1175"/>
      <c r="P66" s="1175"/>
      <c r="Q66" s="1175"/>
      <c r="R66" s="1176"/>
      <c r="S66" s="508"/>
      <c r="T66" s="508"/>
      <c r="U66" s="508"/>
      <c r="V66" s="508"/>
      <c r="W66" s="508"/>
      <c r="X66" s="508"/>
      <c r="Y66" s="508"/>
      <c r="Z66" s="508"/>
      <c r="AA66" s="508"/>
      <c r="AB66" s="508"/>
      <c r="AC66" s="508"/>
      <c r="AD66" s="508"/>
      <c r="AE66" s="508"/>
      <c r="AF66" s="508"/>
      <c r="AG66" s="508"/>
      <c r="AH66" s="508"/>
      <c r="AI66" s="508"/>
      <c r="AJ66" s="508"/>
      <c r="AK66" s="508"/>
      <c r="AL66" s="508"/>
      <c r="AM66" s="508"/>
      <c r="AN66" s="508"/>
      <c r="AO66" s="1199" t="s">
        <v>612</v>
      </c>
      <c r="AP66" s="1199"/>
      <c r="AQ66" s="1199"/>
      <c r="AR66" s="1199"/>
      <c r="AS66" s="1199"/>
      <c r="AT66" s="1199"/>
      <c r="AU66" s="1199"/>
      <c r="AV66" s="1199"/>
      <c r="AW66" s="1199"/>
      <c r="AX66" s="1199"/>
      <c r="AY66" s="1199"/>
      <c r="AZ66" s="1199"/>
      <c r="BA66" s="1199"/>
      <c r="BB66" s="1227" t="s">
        <v>8</v>
      </c>
      <c r="BC66" s="1227"/>
      <c r="BD66" s="1227"/>
      <c r="BE66" s="1227"/>
      <c r="BF66" s="1198"/>
      <c r="BG66" s="1198"/>
      <c r="BH66" s="1198"/>
      <c r="BI66" s="1198"/>
      <c r="BJ66" s="1198"/>
      <c r="BK66" s="1198"/>
      <c r="BL66" s="1198"/>
      <c r="BM66" s="1198"/>
      <c r="BN66" s="1198"/>
      <c r="BO66" s="1198"/>
      <c r="BP66" s="1198"/>
      <c r="BQ66" s="1198"/>
      <c r="BR66" s="1198"/>
      <c r="BS66" s="1198">
        <f>PerformanceValue</f>
        <v>0</v>
      </c>
      <c r="BT66" s="1198"/>
      <c r="BU66" s="1198"/>
      <c r="BV66" s="1198"/>
      <c r="BW66" s="513"/>
      <c r="BX66" s="155"/>
      <c r="BY66" s="155"/>
      <c r="BZ66" s="150"/>
      <c r="CA66" s="1234"/>
      <c r="CB66" s="1234"/>
      <c r="CC66" s="1234"/>
      <c r="CD66" s="1234"/>
      <c r="CE66" s="1234"/>
      <c r="CF66" s="1234"/>
      <c r="CG66" s="1234"/>
      <c r="CH66" s="1234"/>
      <c r="CI66" s="1234"/>
      <c r="CJ66" s="1234"/>
      <c r="CK66" s="1234"/>
      <c r="CL66" s="1234"/>
      <c r="CM66" s="1234"/>
      <c r="CN66" s="1234"/>
      <c r="CO66" s="1234"/>
      <c r="CP66" s="1234"/>
      <c r="CQ66" s="1234"/>
      <c r="CR66" s="1234"/>
      <c r="CS66" s="1234"/>
      <c r="CT66" s="1234"/>
      <c r="CU66" s="1234"/>
      <c r="CV66" s="1234"/>
      <c r="CW66" s="1234"/>
      <c r="CX66" s="1234"/>
      <c r="CZ66" s="1119"/>
      <c r="DA66" s="1119"/>
      <c r="DB66" s="1119"/>
      <c r="DC66" s="1119"/>
      <c r="DD66" s="1119"/>
      <c r="DE66" s="1119"/>
      <c r="DF66" s="1119"/>
      <c r="DG66" s="1119"/>
      <c r="DH66" s="1119"/>
      <c r="DI66" s="1119"/>
      <c r="DJ66" s="1119"/>
      <c r="DK66" s="1119"/>
      <c r="DL66" s="1119"/>
      <c r="DM66" s="1119"/>
      <c r="DN66" s="1119"/>
      <c r="DO66" s="1119"/>
      <c r="DP66" s="1119"/>
      <c r="DQ66" s="1119"/>
      <c r="DR66" s="1119"/>
      <c r="DS66" s="1119"/>
      <c r="DT66" s="1119"/>
      <c r="DU66" s="1119"/>
      <c r="DV66" s="1119"/>
      <c r="DW66" s="1119"/>
      <c r="DY66" s="1120"/>
      <c r="DZ66" s="1120"/>
      <c r="EA66" s="1120"/>
      <c r="EB66" s="1120"/>
      <c r="EC66" s="1120"/>
      <c r="ED66" s="1120"/>
      <c r="EE66" s="1120"/>
      <c r="EF66" s="1120"/>
      <c r="EG66" s="1120"/>
      <c r="EH66" s="1120"/>
      <c r="EI66" s="1120"/>
      <c r="EJ66" s="1120"/>
      <c r="EK66" s="1120"/>
      <c r="EL66" s="1120"/>
      <c r="EM66" s="1120"/>
      <c r="EN66" s="1120"/>
      <c r="EO66" s="1120"/>
      <c r="EP66" s="1120"/>
      <c r="EQ66" s="1120"/>
      <c r="ER66" s="1120"/>
      <c r="ES66" s="1120"/>
      <c r="ET66" s="1120"/>
      <c r="EU66" s="1120"/>
      <c r="EW66" s="155"/>
      <c r="EX66" s="552"/>
      <c r="EY66" s="552"/>
      <c r="EZ66" s="552"/>
      <c r="FA66" s="552"/>
      <c r="FB66" s="552"/>
      <c r="FC66" s="552"/>
      <c r="FD66" s="552"/>
      <c r="FE66" s="552"/>
      <c r="FF66" s="552"/>
      <c r="FG66" s="552"/>
      <c r="FH66" s="552"/>
      <c r="FI66" s="552"/>
      <c r="FJ66" s="552"/>
      <c r="FK66" s="552"/>
      <c r="FL66" s="552"/>
      <c r="FM66" s="552"/>
      <c r="FN66" s="552"/>
      <c r="FO66" s="552"/>
      <c r="FP66" s="552"/>
      <c r="FQ66" s="552"/>
      <c r="FR66" s="552"/>
      <c r="FS66" s="552"/>
      <c r="FT66" s="552"/>
      <c r="FU66" s="552"/>
      <c r="FV66" s="552"/>
      <c r="FW66" s="552"/>
      <c r="FX66" s="552"/>
      <c r="FY66" s="552"/>
      <c r="FZ66" s="552"/>
      <c r="GA66" s="552"/>
      <c r="GB66" s="552"/>
      <c r="GC66" s="552"/>
      <c r="GD66" s="552"/>
      <c r="GE66" s="552"/>
      <c r="GF66" s="552"/>
      <c r="GG66" s="552"/>
      <c r="GH66" s="552"/>
      <c r="GI66" s="552"/>
      <c r="GJ66" s="552"/>
      <c r="GK66" s="552"/>
      <c r="GL66" s="552"/>
      <c r="GM66" s="552"/>
      <c r="GN66" s="552"/>
      <c r="GO66" s="552"/>
      <c r="GP66" s="552"/>
      <c r="GQ66" s="552"/>
      <c r="GR66" s="552"/>
      <c r="GS66" s="552"/>
      <c r="GT66" s="552"/>
      <c r="GU66" s="552"/>
      <c r="GV66" s="552"/>
      <c r="GW66" s="552"/>
      <c r="GX66" s="552"/>
      <c r="GY66" s="552"/>
      <c r="GZ66" s="552"/>
      <c r="HA66" s="552"/>
      <c r="HB66" s="552"/>
      <c r="HC66" s="552"/>
      <c r="HD66" s="552"/>
      <c r="HE66" s="552"/>
      <c r="HF66" s="552"/>
      <c r="HG66" s="552"/>
      <c r="HH66" s="552"/>
      <c r="HI66" s="552"/>
      <c r="HJ66" s="552"/>
      <c r="HK66" s="552"/>
      <c r="HL66" s="552"/>
      <c r="HM66" s="552"/>
      <c r="HN66" s="552"/>
      <c r="HO66" s="552"/>
      <c r="HP66" s="552"/>
      <c r="HQ66" s="552"/>
      <c r="HR66" s="552"/>
      <c r="HS66" s="552"/>
      <c r="HT66" s="155"/>
      <c r="HU66" s="155"/>
      <c r="HV66" s="552"/>
      <c r="HW66" s="552"/>
      <c r="HX66" s="552"/>
      <c r="HY66" s="552"/>
      <c r="HZ66" s="552"/>
      <c r="IA66" s="552"/>
      <c r="IB66" s="552"/>
      <c r="IC66" s="552"/>
      <c r="ID66" s="552"/>
      <c r="IE66" s="552"/>
      <c r="IF66" s="552"/>
      <c r="IG66" s="552"/>
      <c r="IH66" s="552"/>
      <c r="II66" s="552"/>
      <c r="IJ66" s="552"/>
      <c r="IK66" s="552"/>
      <c r="IL66" s="552"/>
      <c r="IM66" s="552"/>
      <c r="IN66" s="552"/>
      <c r="IO66" s="552"/>
      <c r="IP66" s="552"/>
      <c r="IQ66" s="552"/>
      <c r="IR66" s="552"/>
      <c r="IS66" s="552"/>
      <c r="IT66" s="552"/>
      <c r="IU66" s="552"/>
      <c r="JT66" s="552"/>
      <c r="JU66" s="552"/>
      <c r="JV66" s="552"/>
      <c r="JW66" s="552"/>
      <c r="JX66" s="552"/>
      <c r="JY66" s="552"/>
      <c r="JZ66" s="552"/>
      <c r="KA66" s="552"/>
      <c r="KB66" s="552"/>
      <c r="KC66" s="552"/>
      <c r="KD66" s="552"/>
      <c r="KE66" s="552"/>
      <c r="KF66" s="552"/>
      <c r="KG66" s="552"/>
      <c r="KH66" s="552"/>
      <c r="KI66" s="552"/>
      <c r="KJ66" s="552"/>
      <c r="KK66" s="552"/>
      <c r="KL66" s="552"/>
      <c r="KM66" s="552"/>
      <c r="KN66" s="552"/>
      <c r="KO66" s="552"/>
      <c r="KP66" s="552"/>
      <c r="KQ66" s="552"/>
      <c r="KR66" s="155"/>
      <c r="KS66" s="155"/>
      <c r="KV66" s="1120"/>
      <c r="KW66" s="1120"/>
      <c r="KX66" s="1120"/>
      <c r="KY66" s="1120"/>
      <c r="KZ66" s="1120"/>
      <c r="LA66" s="1120"/>
      <c r="LB66" s="1120"/>
      <c r="LC66" s="1120"/>
      <c r="LD66" s="1120"/>
      <c r="LE66" s="1120"/>
      <c r="LF66" s="1120"/>
      <c r="LG66" s="1120"/>
      <c r="LH66" s="1120"/>
      <c r="LI66" s="1120"/>
      <c r="LJ66" s="1120"/>
      <c r="LK66" s="1120"/>
      <c r="LL66" s="1120"/>
      <c r="LM66" s="1120"/>
      <c r="LN66" s="1120"/>
      <c r="LO66" s="1120"/>
      <c r="LP66" s="1120"/>
      <c r="LQ66" s="1120"/>
      <c r="LR66" s="1120"/>
      <c r="LS66" s="1120"/>
      <c r="LT66" s="1120"/>
      <c r="LV66" s="1122"/>
      <c r="LW66" s="1122"/>
      <c r="LX66" s="1122"/>
      <c r="LY66" s="1122"/>
      <c r="MA66" s="1122"/>
      <c r="MB66" s="1122"/>
      <c r="MC66" s="1122"/>
      <c r="MD66" s="1122"/>
      <c r="ME66" s="1122"/>
      <c r="MF66" s="1122"/>
      <c r="MG66" s="1122"/>
      <c r="MH66" s="1122"/>
      <c r="MI66" s="1122"/>
      <c r="MK66" s="1122"/>
      <c r="ML66" s="1122"/>
      <c r="MM66" s="1122"/>
      <c r="MN66" s="1122"/>
      <c r="MO66" s="1122"/>
      <c r="NP66" s="155"/>
      <c r="NQ66" s="155"/>
      <c r="QN66" s="155"/>
      <c r="QO66" s="155"/>
      <c r="TL66" s="155"/>
    </row>
    <row r="67" spans="1:532" ht="6.75" customHeight="1" thickBot="1" x14ac:dyDescent="0.3">
      <c r="A67" s="155"/>
      <c r="B67" s="512"/>
      <c r="C67" s="1177"/>
      <c r="D67" s="1178"/>
      <c r="E67" s="1178"/>
      <c r="F67" s="1178"/>
      <c r="G67" s="1178"/>
      <c r="H67" s="1178"/>
      <c r="I67" s="1178"/>
      <c r="J67" s="1178"/>
      <c r="K67" s="1178"/>
      <c r="L67" s="1178"/>
      <c r="M67" s="1178"/>
      <c r="N67" s="1178"/>
      <c r="O67" s="1178"/>
      <c r="P67" s="1178"/>
      <c r="Q67" s="1178"/>
      <c r="R67" s="1179"/>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1199"/>
      <c r="AP67" s="1199"/>
      <c r="AQ67" s="1199"/>
      <c r="AR67" s="1199"/>
      <c r="AS67" s="1199"/>
      <c r="AT67" s="1199"/>
      <c r="AU67" s="1199"/>
      <c r="AV67" s="1199"/>
      <c r="AW67" s="1199"/>
      <c r="AX67" s="1199"/>
      <c r="AY67" s="1199"/>
      <c r="AZ67" s="1199"/>
      <c r="BA67" s="1199"/>
      <c r="BB67" s="1227"/>
      <c r="BC67" s="1227"/>
      <c r="BD67" s="1227"/>
      <c r="BE67" s="1227"/>
      <c r="BF67" s="1198"/>
      <c r="BG67" s="1198"/>
      <c r="BH67" s="1198"/>
      <c r="BI67" s="1198"/>
      <c r="BJ67" s="1198"/>
      <c r="BK67" s="1198"/>
      <c r="BL67" s="1198"/>
      <c r="BM67" s="1198"/>
      <c r="BN67" s="1198"/>
      <c r="BO67" s="1198"/>
      <c r="BP67" s="1198"/>
      <c r="BQ67" s="1198"/>
      <c r="BR67" s="1198"/>
      <c r="BS67" s="1198"/>
      <c r="BT67" s="1198"/>
      <c r="BU67" s="1198"/>
      <c r="BV67" s="1198"/>
      <c r="BW67" s="513"/>
      <c r="BX67" s="155"/>
      <c r="BY67" s="155"/>
      <c r="BZ67" s="150"/>
      <c r="CA67" s="1234"/>
      <c r="CB67" s="1234"/>
      <c r="CC67" s="1234"/>
      <c r="CD67" s="1234"/>
      <c r="CE67" s="1234"/>
      <c r="CF67" s="1234"/>
      <c r="CG67" s="1234"/>
      <c r="CH67" s="1234"/>
      <c r="CI67" s="1234"/>
      <c r="CJ67" s="1234"/>
      <c r="CK67" s="1234"/>
      <c r="CL67" s="1234"/>
      <c r="CM67" s="1234"/>
      <c r="CN67" s="1234"/>
      <c r="CO67" s="1234"/>
      <c r="CP67" s="1234"/>
      <c r="CQ67" s="1234"/>
      <c r="CR67" s="1234"/>
      <c r="CS67" s="1234"/>
      <c r="CT67" s="1234"/>
      <c r="CU67" s="1234"/>
      <c r="CV67" s="1234"/>
      <c r="CW67" s="1234"/>
      <c r="CX67" s="1234"/>
      <c r="CZ67" s="1119"/>
      <c r="DA67" s="1119"/>
      <c r="DB67" s="1119"/>
      <c r="DC67" s="1119"/>
      <c r="DD67" s="1119"/>
      <c r="DE67" s="1119"/>
      <c r="DF67" s="1119"/>
      <c r="DG67" s="1119"/>
      <c r="DH67" s="1119"/>
      <c r="DI67" s="1119"/>
      <c r="DJ67" s="1119"/>
      <c r="DK67" s="1119"/>
      <c r="DL67" s="1119"/>
      <c r="DM67" s="1119"/>
      <c r="DN67" s="1119"/>
      <c r="DO67" s="1119"/>
      <c r="DP67" s="1119"/>
      <c r="DQ67" s="1119"/>
      <c r="DR67" s="1119"/>
      <c r="DS67" s="1119"/>
      <c r="DT67" s="1119"/>
      <c r="DU67" s="1119"/>
      <c r="DV67" s="1119"/>
      <c r="DW67" s="1119"/>
      <c r="DY67" s="1121"/>
      <c r="DZ67" s="1121"/>
      <c r="EA67" s="1121"/>
      <c r="EB67" s="1121"/>
      <c r="EC67" s="1121"/>
      <c r="ED67" s="1121"/>
      <c r="EE67" s="1121"/>
      <c r="EF67" s="1121"/>
      <c r="EG67" s="1121"/>
      <c r="EH67" s="1121"/>
      <c r="EI67" s="1121"/>
      <c r="EJ67" s="1121"/>
      <c r="EK67" s="1121"/>
      <c r="EL67" s="1121"/>
      <c r="EM67" s="1121"/>
      <c r="EN67" s="1121"/>
      <c r="EO67" s="1121"/>
      <c r="EP67" s="1121"/>
      <c r="EQ67" s="1121"/>
      <c r="ER67" s="1121"/>
      <c r="ES67" s="1121"/>
      <c r="ET67" s="1121"/>
      <c r="EU67" s="1121"/>
      <c r="EW67" s="155"/>
      <c r="EX67" s="552"/>
      <c r="EY67" s="552"/>
      <c r="EZ67" s="552"/>
      <c r="FA67" s="552"/>
      <c r="FB67" s="552"/>
      <c r="FC67" s="552"/>
      <c r="FD67" s="552"/>
      <c r="FE67" s="552"/>
      <c r="FF67" s="552"/>
      <c r="FG67" s="552"/>
      <c r="FH67" s="552"/>
      <c r="FI67" s="552"/>
      <c r="FJ67" s="552"/>
      <c r="FK67" s="552"/>
      <c r="FL67" s="552"/>
      <c r="FM67" s="552"/>
      <c r="FN67" s="552"/>
      <c r="FO67" s="552"/>
      <c r="FP67" s="552"/>
      <c r="FQ67" s="552"/>
      <c r="FR67" s="552"/>
      <c r="FS67" s="552"/>
      <c r="FT67" s="552"/>
      <c r="FU67" s="552"/>
      <c r="FV67" s="552"/>
      <c r="FW67" s="552"/>
      <c r="FX67" s="552"/>
      <c r="FY67" s="552"/>
      <c r="FZ67" s="552"/>
      <c r="GA67" s="552"/>
      <c r="GB67" s="552"/>
      <c r="GC67" s="552"/>
      <c r="GD67" s="552"/>
      <c r="GE67" s="552"/>
      <c r="GF67" s="552"/>
      <c r="GG67" s="552"/>
      <c r="GH67" s="552"/>
      <c r="GI67" s="552"/>
      <c r="GJ67" s="552"/>
      <c r="GK67" s="552"/>
      <c r="GL67" s="552"/>
      <c r="GM67" s="552"/>
      <c r="GN67" s="552"/>
      <c r="GO67" s="552"/>
      <c r="GP67" s="552"/>
      <c r="GQ67" s="552"/>
      <c r="GR67" s="552"/>
      <c r="GS67" s="552"/>
      <c r="GT67" s="552"/>
      <c r="GU67" s="552"/>
      <c r="GV67" s="552"/>
      <c r="GW67" s="552"/>
      <c r="GX67" s="552"/>
      <c r="GY67" s="552"/>
      <c r="GZ67" s="552"/>
      <c r="HA67" s="552"/>
      <c r="HB67" s="552"/>
      <c r="HC67" s="552"/>
      <c r="HD67" s="552"/>
      <c r="HE67" s="552"/>
      <c r="HF67" s="552"/>
      <c r="HG67" s="552"/>
      <c r="HH67" s="552"/>
      <c r="HI67" s="552"/>
      <c r="HJ67" s="552"/>
      <c r="HK67" s="552"/>
      <c r="HL67" s="552"/>
      <c r="HM67" s="552"/>
      <c r="HN67" s="552"/>
      <c r="HO67" s="552"/>
      <c r="HP67" s="552"/>
      <c r="HQ67" s="552"/>
      <c r="HR67" s="552"/>
      <c r="HS67" s="552"/>
      <c r="HT67" s="155"/>
      <c r="HU67" s="155"/>
      <c r="HV67" s="552"/>
      <c r="HW67" s="552"/>
      <c r="HX67" s="552"/>
      <c r="HY67" s="552"/>
      <c r="HZ67" s="552"/>
      <c r="IA67" s="552"/>
      <c r="IB67" s="552"/>
      <c r="IC67" s="552"/>
      <c r="ID67" s="552"/>
      <c r="IE67" s="552"/>
      <c r="IF67" s="552"/>
      <c r="IG67" s="552"/>
      <c r="IH67" s="552"/>
      <c r="II67" s="552"/>
      <c r="IJ67" s="552"/>
      <c r="IK67" s="552"/>
      <c r="IL67" s="552"/>
      <c r="IM67" s="552"/>
      <c r="IN67" s="552"/>
      <c r="IO67" s="552"/>
      <c r="IP67" s="552"/>
      <c r="IQ67" s="552"/>
      <c r="IR67" s="552"/>
      <c r="IS67" s="552"/>
      <c r="IT67" s="552"/>
      <c r="IU67" s="552"/>
      <c r="JT67" s="552"/>
      <c r="JU67" s="552"/>
      <c r="JV67" s="552"/>
      <c r="JW67" s="552"/>
      <c r="JX67" s="552"/>
      <c r="JY67" s="552"/>
      <c r="JZ67" s="552"/>
      <c r="KA67" s="552"/>
      <c r="KB67" s="552"/>
      <c r="KC67" s="552"/>
      <c r="KD67" s="552"/>
      <c r="KE67" s="552"/>
      <c r="KF67" s="552"/>
      <c r="KG67" s="552"/>
      <c r="KH67" s="552"/>
      <c r="KI67" s="552"/>
      <c r="KJ67" s="552"/>
      <c r="KK67" s="552"/>
      <c r="KL67" s="552"/>
      <c r="KM67" s="552"/>
      <c r="KN67" s="552"/>
      <c r="KO67" s="552"/>
      <c r="KP67" s="552"/>
      <c r="KQ67" s="552"/>
      <c r="KR67" s="155"/>
      <c r="KS67" s="155"/>
      <c r="KV67" s="1121"/>
      <c r="KW67" s="1121"/>
      <c r="KX67" s="1121"/>
      <c r="KY67" s="1121"/>
      <c r="KZ67" s="1121"/>
      <c r="LA67" s="1121"/>
      <c r="LB67" s="1121"/>
      <c r="LC67" s="1121"/>
      <c r="LD67" s="1121"/>
      <c r="LE67" s="1121"/>
      <c r="LF67" s="1121"/>
      <c r="LG67" s="1121"/>
      <c r="LH67" s="1121"/>
      <c r="LI67" s="1121"/>
      <c r="LJ67" s="1121"/>
      <c r="LK67" s="1121"/>
      <c r="LL67" s="1121"/>
      <c r="LM67" s="1121"/>
      <c r="LN67" s="1121"/>
      <c r="LO67" s="1121"/>
      <c r="LP67" s="1121"/>
      <c r="LQ67" s="1121"/>
      <c r="LR67" s="1121"/>
      <c r="LS67" s="1121"/>
      <c r="LT67" s="1121"/>
      <c r="LV67" s="1123"/>
      <c r="LW67" s="1123"/>
      <c r="LX67" s="1123"/>
      <c r="LY67" s="1123"/>
      <c r="MA67" s="1123"/>
      <c r="MB67" s="1123"/>
      <c r="MC67" s="1123"/>
      <c r="MD67" s="1123"/>
      <c r="ME67" s="1123"/>
      <c r="MF67" s="1123"/>
      <c r="MG67" s="1123"/>
      <c r="MH67" s="1123"/>
      <c r="MI67" s="1123"/>
      <c r="MK67" s="1123"/>
      <c r="ML67" s="1123"/>
      <c r="MM67" s="1123"/>
      <c r="MN67" s="1123"/>
      <c r="MO67" s="1123"/>
      <c r="NP67" s="155"/>
      <c r="NQ67" s="155"/>
      <c r="QN67" s="155"/>
      <c r="QO67" s="155"/>
      <c r="TL67" s="155"/>
    </row>
    <row r="68" spans="1:532" ht="6.75" customHeight="1" x14ac:dyDescent="0.25">
      <c r="A68" s="155"/>
      <c r="B68" s="512"/>
      <c r="C68" s="1189" t="str">
        <f>PersonalTrait1&amp;" "&amp;CHAR(10)&amp;PersonalTrait2</f>
        <v>There’s nothing I like more than a good mystery. 
I’ve read every book in the world’s greatest libraries—or I like to boast that I have.</v>
      </c>
      <c r="D68" s="1190"/>
      <c r="E68" s="1190"/>
      <c r="F68" s="1190"/>
      <c r="G68" s="1190"/>
      <c r="H68" s="1190"/>
      <c r="I68" s="1190"/>
      <c r="J68" s="1190"/>
      <c r="K68" s="1190"/>
      <c r="L68" s="1190"/>
      <c r="M68" s="1190"/>
      <c r="N68" s="1190"/>
      <c r="O68" s="1190"/>
      <c r="P68" s="1190"/>
      <c r="Q68" s="1190"/>
      <c r="R68" s="1190"/>
      <c r="S68" s="1190"/>
      <c r="T68" s="1190"/>
      <c r="U68" s="1190"/>
      <c r="V68" s="1190"/>
      <c r="W68" s="1190"/>
      <c r="X68" s="1190"/>
      <c r="Y68" s="1190"/>
      <c r="Z68" s="1190"/>
      <c r="AA68" s="1190"/>
      <c r="AB68" s="1190"/>
      <c r="AC68" s="1190"/>
      <c r="AD68" s="1190"/>
      <c r="AE68" s="1190"/>
      <c r="AF68" s="1190"/>
      <c r="AG68" s="1190"/>
      <c r="AH68" s="1190"/>
      <c r="AI68" s="1190"/>
      <c r="AJ68" s="1190"/>
      <c r="AK68" s="1190"/>
      <c r="AL68" s="1191"/>
      <c r="AM68" s="508"/>
      <c r="AN68" s="508"/>
      <c r="AO68" s="1199" t="s">
        <v>613</v>
      </c>
      <c r="AP68" s="1199"/>
      <c r="AQ68" s="1199"/>
      <c r="AR68" s="1199"/>
      <c r="AS68" s="1199"/>
      <c r="AT68" s="1199"/>
      <c r="AU68" s="1199"/>
      <c r="AV68" s="1199"/>
      <c r="AW68" s="1199"/>
      <c r="AX68" s="1199"/>
      <c r="AY68" s="1199"/>
      <c r="AZ68" s="1199"/>
      <c r="BA68" s="1199"/>
      <c r="BB68" s="1227" t="s">
        <v>8</v>
      </c>
      <c r="BC68" s="1227"/>
      <c r="BD68" s="1227"/>
      <c r="BE68" s="1227"/>
      <c r="BF68" s="1198"/>
      <c r="BG68" s="1198"/>
      <c r="BH68" s="1198"/>
      <c r="BI68" s="1198"/>
      <c r="BJ68" s="1198"/>
      <c r="BK68" s="1198"/>
      <c r="BL68" s="1198"/>
      <c r="BM68" s="1198"/>
      <c r="BN68" s="1198"/>
      <c r="BO68" s="1198"/>
      <c r="BP68" s="1198"/>
      <c r="BQ68" s="1198"/>
      <c r="BR68" s="1198"/>
      <c r="BS68" s="1198">
        <f>PersuasionValue</f>
        <v>0</v>
      </c>
      <c r="BT68" s="1198"/>
      <c r="BU68" s="1198"/>
      <c r="BV68" s="1198"/>
      <c r="BW68" s="508"/>
      <c r="BX68" s="155"/>
      <c r="BY68" s="155"/>
      <c r="BZ68" s="150"/>
      <c r="CA68" s="1234"/>
      <c r="CB68" s="1234"/>
      <c r="CC68" s="1234"/>
      <c r="CD68" s="1234"/>
      <c r="CE68" s="1234"/>
      <c r="CF68" s="1234"/>
      <c r="CG68" s="1234"/>
      <c r="CH68" s="1234"/>
      <c r="CI68" s="1234"/>
      <c r="CJ68" s="1234"/>
      <c r="CK68" s="1234"/>
      <c r="CL68" s="1234"/>
      <c r="CM68" s="1234"/>
      <c r="CN68" s="1234"/>
      <c r="CO68" s="1234"/>
      <c r="CP68" s="1234"/>
      <c r="CQ68" s="1234"/>
      <c r="CR68" s="1234"/>
      <c r="CS68" s="1234"/>
      <c r="CT68" s="1234"/>
      <c r="CU68" s="1234"/>
      <c r="CV68" s="1234"/>
      <c r="CW68" s="1234"/>
      <c r="CX68" s="1234"/>
      <c r="CZ68" s="1119"/>
      <c r="DA68" s="1119"/>
      <c r="DB68" s="1119"/>
      <c r="DC68" s="1119"/>
      <c r="DD68" s="1119"/>
      <c r="DE68" s="1119"/>
      <c r="DF68" s="1119"/>
      <c r="DG68" s="1119"/>
      <c r="DH68" s="1119"/>
      <c r="DI68" s="1119"/>
      <c r="DJ68" s="1119"/>
      <c r="DK68" s="1119"/>
      <c r="DL68" s="1119"/>
      <c r="DM68" s="1119"/>
      <c r="DN68" s="1119"/>
      <c r="DO68" s="1119"/>
      <c r="DP68" s="1119"/>
      <c r="DQ68" s="1119"/>
      <c r="DR68" s="1119"/>
      <c r="DS68" s="1119"/>
      <c r="DT68" s="1119"/>
      <c r="DU68" s="1119"/>
      <c r="DV68" s="1119"/>
      <c r="DW68" s="1119"/>
      <c r="DY68" s="1120"/>
      <c r="DZ68" s="1120"/>
      <c r="EA68" s="1120"/>
      <c r="EB68" s="1120"/>
      <c r="EC68" s="1120"/>
      <c r="ED68" s="1120"/>
      <c r="EE68" s="1120"/>
      <c r="EF68" s="1120"/>
      <c r="EG68" s="1120"/>
      <c r="EH68" s="1120"/>
      <c r="EI68" s="1120"/>
      <c r="EJ68" s="1120"/>
      <c r="EK68" s="1120"/>
      <c r="EL68" s="1120"/>
      <c r="EM68" s="1120"/>
      <c r="EN68" s="1120"/>
      <c r="EO68" s="1120"/>
      <c r="EP68" s="1120"/>
      <c r="EQ68" s="1120"/>
      <c r="ER68" s="1120"/>
      <c r="ES68" s="1120"/>
      <c r="ET68" s="1120"/>
      <c r="EU68" s="1120"/>
      <c r="EW68" s="155"/>
      <c r="EX68" s="552"/>
      <c r="EY68" s="552"/>
      <c r="EZ68" s="552"/>
      <c r="FA68" s="552"/>
      <c r="FB68" s="552"/>
      <c r="FC68" s="552"/>
      <c r="FD68" s="552"/>
      <c r="FE68" s="552"/>
      <c r="FF68" s="552"/>
      <c r="FG68" s="552"/>
      <c r="FH68" s="552"/>
      <c r="FI68" s="552"/>
      <c r="FJ68" s="552"/>
      <c r="FK68" s="552"/>
      <c r="FL68" s="552"/>
      <c r="FM68" s="552"/>
      <c r="FN68" s="552"/>
      <c r="FO68" s="552"/>
      <c r="FP68" s="552"/>
      <c r="FQ68" s="552"/>
      <c r="FR68" s="552"/>
      <c r="FS68" s="552"/>
      <c r="FT68" s="552"/>
      <c r="FU68" s="552"/>
      <c r="FV68" s="552"/>
      <c r="FW68" s="552"/>
      <c r="FX68" s="552"/>
      <c r="FY68" s="552"/>
      <c r="FZ68" s="552"/>
      <c r="GA68" s="552"/>
      <c r="GB68" s="552"/>
      <c r="GC68" s="552"/>
      <c r="GD68" s="552"/>
      <c r="GE68" s="552"/>
      <c r="GF68" s="552"/>
      <c r="GG68" s="552"/>
      <c r="GH68" s="552"/>
      <c r="GI68" s="552"/>
      <c r="GJ68" s="552"/>
      <c r="GK68" s="552"/>
      <c r="GL68" s="552"/>
      <c r="GM68" s="552"/>
      <c r="GN68" s="552"/>
      <c r="GO68" s="552"/>
      <c r="GP68" s="552"/>
      <c r="GQ68" s="552"/>
      <c r="GR68" s="552"/>
      <c r="GS68" s="552"/>
      <c r="GT68" s="552"/>
      <c r="GU68" s="552"/>
      <c r="GV68" s="552"/>
      <c r="GW68" s="552"/>
      <c r="GX68" s="552"/>
      <c r="GY68" s="552"/>
      <c r="GZ68" s="552"/>
      <c r="HA68" s="552"/>
      <c r="HB68" s="552"/>
      <c r="HC68" s="552"/>
      <c r="HD68" s="552"/>
      <c r="HE68" s="552"/>
      <c r="HF68" s="552"/>
      <c r="HG68" s="552"/>
      <c r="HH68" s="552"/>
      <c r="HI68" s="552"/>
      <c r="HJ68" s="552"/>
      <c r="HK68" s="552"/>
      <c r="HL68" s="552"/>
      <c r="HM68" s="552"/>
      <c r="HN68" s="552"/>
      <c r="HO68" s="552"/>
      <c r="HP68" s="552"/>
      <c r="HQ68" s="552"/>
      <c r="HR68" s="552"/>
      <c r="HS68" s="552"/>
      <c r="HT68" s="155"/>
      <c r="HU68" s="155"/>
      <c r="HV68" s="552"/>
      <c r="HW68" s="552"/>
      <c r="HX68" s="552"/>
      <c r="HY68" s="552"/>
      <c r="HZ68" s="552"/>
      <c r="IA68" s="552"/>
      <c r="IB68" s="552"/>
      <c r="IC68" s="552"/>
      <c r="ID68" s="552"/>
      <c r="IE68" s="552"/>
      <c r="IF68" s="552"/>
      <c r="IG68" s="552"/>
      <c r="IH68" s="552"/>
      <c r="II68" s="552"/>
      <c r="IJ68" s="552"/>
      <c r="IK68" s="552"/>
      <c r="IL68" s="552"/>
      <c r="IM68" s="552"/>
      <c r="IN68" s="552"/>
      <c r="IO68" s="552"/>
      <c r="IP68" s="552"/>
      <c r="IQ68" s="552"/>
      <c r="IR68" s="552"/>
      <c r="IS68" s="552"/>
      <c r="IT68" s="552"/>
      <c r="IU68" s="552"/>
      <c r="JT68" s="552"/>
      <c r="JU68" s="552"/>
      <c r="JV68" s="552"/>
      <c r="JW68" s="552"/>
      <c r="JX68" s="552"/>
      <c r="JY68" s="552"/>
      <c r="JZ68" s="552"/>
      <c r="KA68" s="552"/>
      <c r="KB68" s="552"/>
      <c r="KC68" s="552"/>
      <c r="KD68" s="552"/>
      <c r="KE68" s="552"/>
      <c r="KF68" s="552"/>
      <c r="KG68" s="552"/>
      <c r="KH68" s="552"/>
      <c r="KI68" s="552"/>
      <c r="KJ68" s="552"/>
      <c r="KK68" s="552"/>
      <c r="KL68" s="552"/>
      <c r="KM68" s="552"/>
      <c r="KN68" s="552"/>
      <c r="KO68" s="552"/>
      <c r="KP68" s="552"/>
      <c r="KQ68" s="552"/>
      <c r="KR68" s="155"/>
      <c r="KS68" s="155"/>
      <c r="KV68" s="1120"/>
      <c r="KW68" s="1120"/>
      <c r="KX68" s="1120"/>
      <c r="KY68" s="1120"/>
      <c r="KZ68" s="1120"/>
      <c r="LA68" s="1120"/>
      <c r="LB68" s="1120"/>
      <c r="LC68" s="1120"/>
      <c r="LD68" s="1120"/>
      <c r="LE68" s="1120"/>
      <c r="LF68" s="1120"/>
      <c r="LG68" s="1120"/>
      <c r="LH68" s="1120"/>
      <c r="LI68" s="1120"/>
      <c r="LJ68" s="1120"/>
      <c r="LK68" s="1120"/>
      <c r="LL68" s="1120"/>
      <c r="LM68" s="1120"/>
      <c r="LN68" s="1120"/>
      <c r="LO68" s="1120"/>
      <c r="LP68" s="1120"/>
      <c r="LQ68" s="1120"/>
      <c r="LR68" s="1120"/>
      <c r="LS68" s="1120"/>
      <c r="LT68" s="1120"/>
      <c r="LV68" s="1122"/>
      <c r="LW68" s="1122"/>
      <c r="LX68" s="1122"/>
      <c r="LY68" s="1122"/>
      <c r="MA68" s="1122"/>
      <c r="MB68" s="1122"/>
      <c r="MC68" s="1122"/>
      <c r="MD68" s="1122"/>
      <c r="ME68" s="1122"/>
      <c r="MF68" s="1122"/>
      <c r="MG68" s="1122"/>
      <c r="MH68" s="1122"/>
      <c r="MI68" s="1122"/>
      <c r="MK68" s="1122"/>
      <c r="ML68" s="1122"/>
      <c r="MM68" s="1122"/>
      <c r="MN68" s="1122"/>
      <c r="MO68" s="1122"/>
      <c r="NP68" s="155"/>
      <c r="NQ68" s="155"/>
      <c r="QN68" s="155"/>
      <c r="QO68" s="155"/>
      <c r="TL68" s="155"/>
    </row>
    <row r="69" spans="1:532" ht="6.75" customHeight="1" x14ac:dyDescent="0.25">
      <c r="A69" s="155"/>
      <c r="B69" s="512"/>
      <c r="C69" s="1192"/>
      <c r="D69" s="1193"/>
      <c r="E69" s="1193"/>
      <c r="F69" s="1193"/>
      <c r="G69" s="1193"/>
      <c r="H69" s="1193"/>
      <c r="I69" s="1193"/>
      <c r="J69" s="1193"/>
      <c r="K69" s="1193"/>
      <c r="L69" s="1193"/>
      <c r="M69" s="1193"/>
      <c r="N69" s="1193"/>
      <c r="O69" s="1193"/>
      <c r="P69" s="1193"/>
      <c r="Q69" s="1193"/>
      <c r="R69" s="1193"/>
      <c r="S69" s="1193"/>
      <c r="T69" s="1193"/>
      <c r="U69" s="1193"/>
      <c r="V69" s="1193"/>
      <c r="W69" s="1193"/>
      <c r="X69" s="1193"/>
      <c r="Y69" s="1193"/>
      <c r="Z69" s="1193"/>
      <c r="AA69" s="1193"/>
      <c r="AB69" s="1193"/>
      <c r="AC69" s="1193"/>
      <c r="AD69" s="1193"/>
      <c r="AE69" s="1193"/>
      <c r="AF69" s="1193"/>
      <c r="AG69" s="1193"/>
      <c r="AH69" s="1193"/>
      <c r="AI69" s="1193"/>
      <c r="AJ69" s="1193"/>
      <c r="AK69" s="1193"/>
      <c r="AL69" s="1194"/>
      <c r="AM69" s="508"/>
      <c r="AN69" s="508"/>
      <c r="AO69" s="1199"/>
      <c r="AP69" s="1199"/>
      <c r="AQ69" s="1199"/>
      <c r="AR69" s="1199"/>
      <c r="AS69" s="1199"/>
      <c r="AT69" s="1199"/>
      <c r="AU69" s="1199"/>
      <c r="AV69" s="1199"/>
      <c r="AW69" s="1199"/>
      <c r="AX69" s="1199"/>
      <c r="AY69" s="1199"/>
      <c r="AZ69" s="1199"/>
      <c r="BA69" s="1199"/>
      <c r="BB69" s="1227"/>
      <c r="BC69" s="1227"/>
      <c r="BD69" s="1227"/>
      <c r="BE69" s="1227"/>
      <c r="BF69" s="1198"/>
      <c r="BG69" s="1198"/>
      <c r="BH69" s="1198"/>
      <c r="BI69" s="1198"/>
      <c r="BJ69" s="1198"/>
      <c r="BK69" s="1198"/>
      <c r="BL69" s="1198"/>
      <c r="BM69" s="1198"/>
      <c r="BN69" s="1198"/>
      <c r="BO69" s="1198"/>
      <c r="BP69" s="1198"/>
      <c r="BQ69" s="1198"/>
      <c r="BR69" s="1198"/>
      <c r="BS69" s="1198"/>
      <c r="BT69" s="1198"/>
      <c r="BU69" s="1198"/>
      <c r="BV69" s="1198"/>
      <c r="BW69" s="515"/>
      <c r="BX69" s="155"/>
      <c r="BY69" s="155"/>
      <c r="BZ69" s="150"/>
      <c r="CA69" s="1234"/>
      <c r="CB69" s="1234"/>
      <c r="CC69" s="1234"/>
      <c r="CD69" s="1234"/>
      <c r="CE69" s="1234"/>
      <c r="CF69" s="1234"/>
      <c r="CG69" s="1234"/>
      <c r="CH69" s="1234"/>
      <c r="CI69" s="1234"/>
      <c r="CJ69" s="1234"/>
      <c r="CK69" s="1234"/>
      <c r="CL69" s="1234"/>
      <c r="CM69" s="1234"/>
      <c r="CN69" s="1234"/>
      <c r="CO69" s="1234"/>
      <c r="CP69" s="1234"/>
      <c r="CQ69" s="1234"/>
      <c r="CR69" s="1234"/>
      <c r="CS69" s="1234"/>
      <c r="CT69" s="1234"/>
      <c r="CU69" s="1234"/>
      <c r="CV69" s="1234"/>
      <c r="CW69" s="1234"/>
      <c r="CX69" s="1234"/>
      <c r="CZ69" s="1119"/>
      <c r="DA69" s="1119"/>
      <c r="DB69" s="1119"/>
      <c r="DC69" s="1119"/>
      <c r="DD69" s="1119"/>
      <c r="DE69" s="1119"/>
      <c r="DF69" s="1119"/>
      <c r="DG69" s="1119"/>
      <c r="DH69" s="1119"/>
      <c r="DI69" s="1119"/>
      <c r="DJ69" s="1119"/>
      <c r="DK69" s="1119"/>
      <c r="DL69" s="1119"/>
      <c r="DM69" s="1119"/>
      <c r="DN69" s="1119"/>
      <c r="DO69" s="1119"/>
      <c r="DP69" s="1119"/>
      <c r="DQ69" s="1119"/>
      <c r="DR69" s="1119"/>
      <c r="DS69" s="1119"/>
      <c r="DT69" s="1119"/>
      <c r="DU69" s="1119"/>
      <c r="DV69" s="1119"/>
      <c r="DW69" s="1119"/>
      <c r="DY69" s="1121"/>
      <c r="DZ69" s="1121"/>
      <c r="EA69" s="1121"/>
      <c r="EB69" s="1121"/>
      <c r="EC69" s="1121"/>
      <c r="ED69" s="1121"/>
      <c r="EE69" s="1121"/>
      <c r="EF69" s="1121"/>
      <c r="EG69" s="1121"/>
      <c r="EH69" s="1121"/>
      <c r="EI69" s="1121"/>
      <c r="EJ69" s="1121"/>
      <c r="EK69" s="1121"/>
      <c r="EL69" s="1121"/>
      <c r="EM69" s="1121"/>
      <c r="EN69" s="1121"/>
      <c r="EO69" s="1121"/>
      <c r="EP69" s="1121"/>
      <c r="EQ69" s="1121"/>
      <c r="ER69" s="1121"/>
      <c r="ES69" s="1121"/>
      <c r="ET69" s="1121"/>
      <c r="EU69" s="1121"/>
      <c r="EW69" s="155"/>
      <c r="EX69" s="552"/>
      <c r="EY69" s="552"/>
      <c r="EZ69" s="552"/>
      <c r="FA69" s="552"/>
      <c r="FB69" s="552"/>
      <c r="FC69" s="552"/>
      <c r="FD69" s="552"/>
      <c r="FE69" s="552"/>
      <c r="FF69" s="552"/>
      <c r="FG69" s="552"/>
      <c r="FH69" s="552"/>
      <c r="FI69" s="552"/>
      <c r="FJ69" s="552"/>
      <c r="FK69" s="552"/>
      <c r="FL69" s="552"/>
      <c r="FM69" s="552"/>
      <c r="FN69" s="552"/>
      <c r="FO69" s="552"/>
      <c r="FP69" s="552"/>
      <c r="FQ69" s="552"/>
      <c r="FR69" s="552"/>
      <c r="FS69" s="552"/>
      <c r="FT69" s="552"/>
      <c r="FU69" s="552"/>
      <c r="FV69" s="552"/>
      <c r="FW69" s="552"/>
      <c r="FX69" s="552"/>
      <c r="FY69" s="552"/>
      <c r="FZ69" s="552"/>
      <c r="GA69" s="552"/>
      <c r="GB69" s="552"/>
      <c r="GC69" s="552"/>
      <c r="GD69" s="552"/>
      <c r="GE69" s="552"/>
      <c r="GF69" s="552"/>
      <c r="GG69" s="552"/>
      <c r="GH69" s="552"/>
      <c r="GI69" s="552"/>
      <c r="GJ69" s="552"/>
      <c r="GK69" s="552"/>
      <c r="GL69" s="552"/>
      <c r="GM69" s="552"/>
      <c r="GN69" s="552"/>
      <c r="GO69" s="552"/>
      <c r="GP69" s="552"/>
      <c r="GQ69" s="552"/>
      <c r="GR69" s="552"/>
      <c r="GS69" s="552"/>
      <c r="GT69" s="552"/>
      <c r="GU69" s="552"/>
      <c r="GV69" s="552"/>
      <c r="GW69" s="552"/>
      <c r="GX69" s="552"/>
      <c r="GY69" s="552"/>
      <c r="GZ69" s="552"/>
      <c r="HA69" s="552"/>
      <c r="HB69" s="552"/>
      <c r="HC69" s="552"/>
      <c r="HD69" s="552"/>
      <c r="HE69" s="552"/>
      <c r="HF69" s="552"/>
      <c r="HG69" s="552"/>
      <c r="HH69" s="552"/>
      <c r="HI69" s="552"/>
      <c r="HJ69" s="552"/>
      <c r="HK69" s="552"/>
      <c r="HL69" s="552"/>
      <c r="HM69" s="552"/>
      <c r="HN69" s="552"/>
      <c r="HO69" s="552"/>
      <c r="HP69" s="552"/>
      <c r="HQ69" s="552"/>
      <c r="HR69" s="552"/>
      <c r="HS69" s="552"/>
      <c r="HT69" s="155"/>
      <c r="HU69" s="155"/>
      <c r="HV69" s="552"/>
      <c r="HW69" s="552"/>
      <c r="HX69" s="552"/>
      <c r="HY69" s="552"/>
      <c r="HZ69" s="552"/>
      <c r="IA69" s="552"/>
      <c r="IB69" s="552"/>
      <c r="IC69" s="552"/>
      <c r="ID69" s="552"/>
      <c r="IE69" s="552"/>
      <c r="IF69" s="552"/>
      <c r="IG69" s="552"/>
      <c r="IH69" s="552"/>
      <c r="II69" s="552"/>
      <c r="IJ69" s="552"/>
      <c r="IK69" s="552"/>
      <c r="IL69" s="552"/>
      <c r="IM69" s="552"/>
      <c r="IN69" s="552"/>
      <c r="IO69" s="552"/>
      <c r="IP69" s="552"/>
      <c r="IQ69" s="552"/>
      <c r="IR69" s="552"/>
      <c r="IS69" s="552"/>
      <c r="IT69" s="552"/>
      <c r="IU69" s="552"/>
      <c r="JT69" s="552"/>
      <c r="JU69" s="552"/>
      <c r="JV69" s="552"/>
      <c r="JW69" s="552"/>
      <c r="JX69" s="552"/>
      <c r="JY69" s="552"/>
      <c r="JZ69" s="552"/>
      <c r="KA69" s="552"/>
      <c r="KB69" s="552"/>
      <c r="KC69" s="552"/>
      <c r="KD69" s="552"/>
      <c r="KE69" s="552"/>
      <c r="KF69" s="552"/>
      <c r="KG69" s="552"/>
      <c r="KH69" s="552"/>
      <c r="KI69" s="552"/>
      <c r="KJ69" s="552"/>
      <c r="KK69" s="552"/>
      <c r="KL69" s="552"/>
      <c r="KM69" s="552"/>
      <c r="KN69" s="552"/>
      <c r="KO69" s="552"/>
      <c r="KP69" s="552"/>
      <c r="KQ69" s="552"/>
      <c r="KR69" s="155"/>
      <c r="KS69" s="155"/>
      <c r="KV69" s="1121"/>
      <c r="KW69" s="1121"/>
      <c r="KX69" s="1121"/>
      <c r="KY69" s="1121"/>
      <c r="KZ69" s="1121"/>
      <c r="LA69" s="1121"/>
      <c r="LB69" s="1121"/>
      <c r="LC69" s="1121"/>
      <c r="LD69" s="1121"/>
      <c r="LE69" s="1121"/>
      <c r="LF69" s="1121"/>
      <c r="LG69" s="1121"/>
      <c r="LH69" s="1121"/>
      <c r="LI69" s="1121"/>
      <c r="LJ69" s="1121"/>
      <c r="LK69" s="1121"/>
      <c r="LL69" s="1121"/>
      <c r="LM69" s="1121"/>
      <c r="LN69" s="1121"/>
      <c r="LO69" s="1121"/>
      <c r="LP69" s="1121"/>
      <c r="LQ69" s="1121"/>
      <c r="LR69" s="1121"/>
      <c r="LS69" s="1121"/>
      <c r="LT69" s="1121"/>
      <c r="LV69" s="1123"/>
      <c r="LW69" s="1123"/>
      <c r="LX69" s="1123"/>
      <c r="LY69" s="1123"/>
      <c r="MA69" s="1123"/>
      <c r="MB69" s="1123"/>
      <c r="MC69" s="1123"/>
      <c r="MD69" s="1123"/>
      <c r="ME69" s="1123"/>
      <c r="MF69" s="1123"/>
      <c r="MG69" s="1123"/>
      <c r="MH69" s="1123"/>
      <c r="MI69" s="1123"/>
      <c r="MK69" s="1123"/>
      <c r="ML69" s="1123"/>
      <c r="MM69" s="1123"/>
      <c r="MN69" s="1123"/>
      <c r="MO69" s="1123"/>
      <c r="NP69" s="155"/>
      <c r="NQ69" s="155"/>
      <c r="QN69" s="155"/>
      <c r="QO69" s="155"/>
      <c r="TL69" s="155"/>
    </row>
    <row r="70" spans="1:532" ht="6.75" customHeight="1" x14ac:dyDescent="0.25">
      <c r="A70" s="155"/>
      <c r="B70" s="512"/>
      <c r="C70" s="1192"/>
      <c r="D70" s="1193"/>
      <c r="E70" s="1193"/>
      <c r="F70" s="1193"/>
      <c r="G70" s="1193"/>
      <c r="H70" s="1193"/>
      <c r="I70" s="1193"/>
      <c r="J70" s="1193"/>
      <c r="K70" s="1193"/>
      <c r="L70" s="1193"/>
      <c r="M70" s="1193"/>
      <c r="N70" s="1193"/>
      <c r="O70" s="1193"/>
      <c r="P70" s="1193"/>
      <c r="Q70" s="1193"/>
      <c r="R70" s="1193"/>
      <c r="S70" s="1193"/>
      <c r="T70" s="1193"/>
      <c r="U70" s="1193"/>
      <c r="V70" s="1193"/>
      <c r="W70" s="1193"/>
      <c r="X70" s="1193"/>
      <c r="Y70" s="1193"/>
      <c r="Z70" s="1193"/>
      <c r="AA70" s="1193"/>
      <c r="AB70" s="1193"/>
      <c r="AC70" s="1193"/>
      <c r="AD70" s="1193"/>
      <c r="AE70" s="1193"/>
      <c r="AF70" s="1193"/>
      <c r="AG70" s="1193"/>
      <c r="AH70" s="1193"/>
      <c r="AI70" s="1193"/>
      <c r="AJ70" s="1193"/>
      <c r="AK70" s="1193"/>
      <c r="AL70" s="1194"/>
      <c r="AM70" s="508"/>
      <c r="AN70" s="516"/>
      <c r="AO70" s="1199" t="s">
        <v>72</v>
      </c>
      <c r="AP70" s="1199"/>
      <c r="AQ70" s="1199"/>
      <c r="AR70" s="1199"/>
      <c r="AS70" s="1199"/>
      <c r="AT70" s="1199"/>
      <c r="AU70" s="1199"/>
      <c r="AV70" s="1199"/>
      <c r="AW70" s="1199"/>
      <c r="AX70" s="1199"/>
      <c r="AY70" s="1199"/>
      <c r="AZ70" s="1199"/>
      <c r="BA70" s="1199"/>
      <c r="BB70" s="1227" t="s">
        <v>6</v>
      </c>
      <c r="BC70" s="1227"/>
      <c r="BD70" s="1227"/>
      <c r="BE70" s="1227"/>
      <c r="BF70" s="1198"/>
      <c r="BG70" s="1198"/>
      <c r="BH70" s="1198"/>
      <c r="BI70" s="1198"/>
      <c r="BJ70" s="1198"/>
      <c r="BK70" s="1198"/>
      <c r="BL70" s="1198"/>
      <c r="BM70" s="1198"/>
      <c r="BN70" s="1198"/>
      <c r="BO70" s="1198"/>
      <c r="BP70" s="1198"/>
      <c r="BQ70" s="1198"/>
      <c r="BR70" s="1198"/>
      <c r="BS70" s="1198">
        <f>ReligionValue</f>
        <v>5</v>
      </c>
      <c r="BT70" s="1198"/>
      <c r="BU70" s="1198"/>
      <c r="BV70" s="1198"/>
      <c r="BW70" s="515"/>
      <c r="BX70" s="155"/>
      <c r="BY70" s="155"/>
      <c r="BZ70" s="150"/>
      <c r="CA70" s="1234"/>
      <c r="CB70" s="1234"/>
      <c r="CC70" s="1234"/>
      <c r="CD70" s="1234"/>
      <c r="CE70" s="1234"/>
      <c r="CF70" s="1234"/>
      <c r="CG70" s="1234"/>
      <c r="CH70" s="1234"/>
      <c r="CI70" s="1234"/>
      <c r="CJ70" s="1234"/>
      <c r="CK70" s="1234"/>
      <c r="CL70" s="1234"/>
      <c r="CM70" s="1234"/>
      <c r="CN70" s="1234"/>
      <c r="CO70" s="1234"/>
      <c r="CP70" s="1234"/>
      <c r="CQ70" s="1234"/>
      <c r="CR70" s="1234"/>
      <c r="CS70" s="1234"/>
      <c r="CT70" s="1234"/>
      <c r="CU70" s="1234"/>
      <c r="CV70" s="1234"/>
      <c r="CW70" s="1234"/>
      <c r="CX70" s="1234"/>
      <c r="CZ70" s="1119"/>
      <c r="DA70" s="1119"/>
      <c r="DB70" s="1119"/>
      <c r="DC70" s="1119"/>
      <c r="DD70" s="1119"/>
      <c r="DE70" s="1119"/>
      <c r="DF70" s="1119"/>
      <c r="DG70" s="1119"/>
      <c r="DH70" s="1119"/>
      <c r="DI70" s="1119"/>
      <c r="DJ70" s="1119"/>
      <c r="DK70" s="1119"/>
      <c r="DL70" s="1119"/>
      <c r="DM70" s="1119"/>
      <c r="DN70" s="1119"/>
      <c r="DO70" s="1119"/>
      <c r="DP70" s="1119"/>
      <c r="DQ70" s="1119"/>
      <c r="DR70" s="1119"/>
      <c r="DS70" s="1119"/>
      <c r="DT70" s="1119"/>
      <c r="DU70" s="1119"/>
      <c r="DV70" s="1119"/>
      <c r="DW70" s="1119"/>
      <c r="DY70" s="1120"/>
      <c r="DZ70" s="1120"/>
      <c r="EA70" s="1120"/>
      <c r="EB70" s="1120"/>
      <c r="EC70" s="1120"/>
      <c r="ED70" s="1120"/>
      <c r="EE70" s="1120"/>
      <c r="EF70" s="1120"/>
      <c r="EG70" s="1120"/>
      <c r="EH70" s="1120"/>
      <c r="EI70" s="1120"/>
      <c r="EJ70" s="1120"/>
      <c r="EK70" s="1120"/>
      <c r="EL70" s="1120"/>
      <c r="EM70" s="1120"/>
      <c r="EN70" s="1120"/>
      <c r="EO70" s="1120"/>
      <c r="EP70" s="1120"/>
      <c r="EQ70" s="1120"/>
      <c r="ER70" s="1120"/>
      <c r="ES70" s="1120"/>
      <c r="ET70" s="1120"/>
      <c r="EU70" s="1120"/>
      <c r="EW70" s="155"/>
      <c r="EX70" s="552"/>
      <c r="EY70" s="552"/>
      <c r="EZ70" s="552"/>
      <c r="FA70" s="552"/>
      <c r="FB70" s="552"/>
      <c r="FC70" s="552"/>
      <c r="FD70" s="552"/>
      <c r="FE70" s="552"/>
      <c r="FF70" s="552"/>
      <c r="FG70" s="552"/>
      <c r="FH70" s="552"/>
      <c r="FI70" s="552"/>
      <c r="FJ70" s="552"/>
      <c r="FK70" s="552"/>
      <c r="FL70" s="552"/>
      <c r="FM70" s="552"/>
      <c r="FN70" s="552"/>
      <c r="FO70" s="552"/>
      <c r="FP70" s="552"/>
      <c r="FQ70" s="552"/>
      <c r="FR70" s="552"/>
      <c r="FS70" s="552"/>
      <c r="FT70" s="552"/>
      <c r="FU70" s="552"/>
      <c r="FV70" s="552"/>
      <c r="FW70" s="552"/>
      <c r="FX70" s="552"/>
      <c r="FY70" s="552"/>
      <c r="FZ70" s="552"/>
      <c r="GA70" s="552"/>
      <c r="GB70" s="552"/>
      <c r="GC70" s="552"/>
      <c r="GD70" s="552"/>
      <c r="GE70" s="552"/>
      <c r="GF70" s="552"/>
      <c r="GG70" s="552"/>
      <c r="GH70" s="552"/>
      <c r="GI70" s="552"/>
      <c r="GJ70" s="552"/>
      <c r="GK70" s="552"/>
      <c r="GL70" s="552"/>
      <c r="GM70" s="552"/>
      <c r="GN70" s="552"/>
      <c r="GO70" s="552"/>
      <c r="GP70" s="552"/>
      <c r="GQ70" s="552"/>
      <c r="GR70" s="552"/>
      <c r="GS70" s="552"/>
      <c r="GT70" s="552"/>
      <c r="GU70" s="552"/>
      <c r="GV70" s="552"/>
      <c r="GW70" s="552"/>
      <c r="GX70" s="552"/>
      <c r="GY70" s="552"/>
      <c r="GZ70" s="552"/>
      <c r="HA70" s="552"/>
      <c r="HB70" s="552"/>
      <c r="HC70" s="552"/>
      <c r="HD70" s="552"/>
      <c r="HE70" s="552"/>
      <c r="HF70" s="552"/>
      <c r="HG70" s="552"/>
      <c r="HH70" s="552"/>
      <c r="HI70" s="552"/>
      <c r="HJ70" s="552"/>
      <c r="HK70" s="552"/>
      <c r="HL70" s="552"/>
      <c r="HM70" s="552"/>
      <c r="HN70" s="552"/>
      <c r="HO70" s="552"/>
      <c r="HP70" s="552"/>
      <c r="HQ70" s="552"/>
      <c r="HR70" s="552"/>
      <c r="HS70" s="552"/>
      <c r="HT70" s="155"/>
      <c r="HU70" s="155"/>
      <c r="HV70" s="552"/>
      <c r="HW70" s="552"/>
      <c r="HX70" s="552"/>
      <c r="HY70" s="552"/>
      <c r="HZ70" s="552"/>
      <c r="IA70" s="552"/>
      <c r="IB70" s="552"/>
      <c r="IC70" s="552"/>
      <c r="ID70" s="552"/>
      <c r="IE70" s="552"/>
      <c r="IF70" s="552"/>
      <c r="IG70" s="552"/>
      <c r="IH70" s="552"/>
      <c r="II70" s="552"/>
      <c r="IJ70" s="552"/>
      <c r="IK70" s="552"/>
      <c r="IL70" s="552"/>
      <c r="IM70" s="552"/>
      <c r="IN70" s="552"/>
      <c r="IO70" s="552"/>
      <c r="IP70" s="552"/>
      <c r="IQ70" s="552"/>
      <c r="IR70" s="552"/>
      <c r="IS70" s="552"/>
      <c r="IT70" s="552"/>
      <c r="IU70" s="552"/>
      <c r="IV70" s="552"/>
      <c r="IW70" s="552"/>
      <c r="IX70" s="552"/>
      <c r="IY70" s="552"/>
      <c r="IZ70" s="552"/>
      <c r="JA70" s="552"/>
      <c r="JB70" s="552"/>
      <c r="JC70" s="552"/>
      <c r="JD70" s="552"/>
      <c r="JE70" s="552"/>
      <c r="JF70" s="552"/>
      <c r="JG70" s="552"/>
      <c r="JH70" s="552"/>
      <c r="JI70" s="552"/>
      <c r="JJ70" s="552"/>
      <c r="JK70" s="552"/>
      <c r="JL70" s="552"/>
      <c r="JM70" s="552"/>
      <c r="JN70" s="552"/>
      <c r="JO70" s="552"/>
      <c r="JP70" s="552"/>
      <c r="JQ70" s="552"/>
      <c r="JR70" s="552"/>
      <c r="JS70" s="552"/>
      <c r="JT70" s="552"/>
      <c r="JU70" s="552"/>
      <c r="JV70" s="552"/>
      <c r="JW70" s="552"/>
      <c r="JX70" s="552"/>
      <c r="JY70" s="552"/>
      <c r="JZ70" s="552"/>
      <c r="KA70" s="552"/>
      <c r="KB70" s="552"/>
      <c r="KC70" s="552"/>
      <c r="KD70" s="552"/>
      <c r="KE70" s="552"/>
      <c r="KF70" s="552"/>
      <c r="KG70" s="552"/>
      <c r="KH70" s="552"/>
      <c r="KI70" s="552"/>
      <c r="KJ70" s="552"/>
      <c r="KK70" s="552"/>
      <c r="KL70" s="552"/>
      <c r="KM70" s="552"/>
      <c r="KN70" s="552"/>
      <c r="KO70" s="552"/>
      <c r="KP70" s="552"/>
      <c r="KQ70" s="552"/>
      <c r="KR70" s="155"/>
      <c r="KS70" s="155"/>
      <c r="KV70" s="1120"/>
      <c r="KW70" s="1120"/>
      <c r="KX70" s="1120"/>
      <c r="KY70" s="1120"/>
      <c r="KZ70" s="1120"/>
      <c r="LA70" s="1120"/>
      <c r="LB70" s="1120"/>
      <c r="LC70" s="1120"/>
      <c r="LD70" s="1120"/>
      <c r="LE70" s="1120"/>
      <c r="LF70" s="1120"/>
      <c r="LG70" s="1120"/>
      <c r="LH70" s="1120"/>
      <c r="LI70" s="1120"/>
      <c r="LJ70" s="1120"/>
      <c r="LK70" s="1120"/>
      <c r="LL70" s="1120"/>
      <c r="LM70" s="1120"/>
      <c r="LN70" s="1120"/>
      <c r="LO70" s="1120"/>
      <c r="LP70" s="1120"/>
      <c r="LQ70" s="1120"/>
      <c r="LR70" s="1120"/>
      <c r="LS70" s="1120"/>
      <c r="LT70" s="1120"/>
      <c r="LV70" s="1122"/>
      <c r="LW70" s="1122"/>
      <c r="LX70" s="1122"/>
      <c r="LY70" s="1122"/>
      <c r="MA70" s="1122"/>
      <c r="MB70" s="1122"/>
      <c r="MC70" s="1122"/>
      <c r="MD70" s="1122"/>
      <c r="ME70" s="1122"/>
      <c r="MF70" s="1122"/>
      <c r="MG70" s="1122"/>
      <c r="MH70" s="1122"/>
      <c r="MI70" s="1122"/>
      <c r="MK70" s="1122"/>
      <c r="ML70" s="1122"/>
      <c r="MM70" s="1122"/>
      <c r="MN70" s="1122"/>
      <c r="MO70" s="1122"/>
      <c r="NP70" s="155"/>
      <c r="NQ70" s="155"/>
      <c r="QN70" s="155"/>
      <c r="QO70" s="155"/>
      <c r="TL70" s="155"/>
    </row>
    <row r="71" spans="1:532" ht="6.75" customHeight="1" x14ac:dyDescent="0.25">
      <c r="A71" s="155"/>
      <c r="B71" s="512"/>
      <c r="C71" s="1192"/>
      <c r="D71" s="1193"/>
      <c r="E71" s="1193"/>
      <c r="F71" s="1193"/>
      <c r="G71" s="1193"/>
      <c r="H71" s="1193"/>
      <c r="I71" s="1193"/>
      <c r="J71" s="1193"/>
      <c r="K71" s="1193"/>
      <c r="L71" s="1193"/>
      <c r="M71" s="1193"/>
      <c r="N71" s="1193"/>
      <c r="O71" s="1193"/>
      <c r="P71" s="1193"/>
      <c r="Q71" s="1193"/>
      <c r="R71" s="1193"/>
      <c r="S71" s="1193"/>
      <c r="T71" s="1193"/>
      <c r="U71" s="1193"/>
      <c r="V71" s="1193"/>
      <c r="W71" s="1193"/>
      <c r="X71" s="1193"/>
      <c r="Y71" s="1193"/>
      <c r="Z71" s="1193"/>
      <c r="AA71" s="1193"/>
      <c r="AB71" s="1193"/>
      <c r="AC71" s="1193"/>
      <c r="AD71" s="1193"/>
      <c r="AE71" s="1193"/>
      <c r="AF71" s="1193"/>
      <c r="AG71" s="1193"/>
      <c r="AH71" s="1193"/>
      <c r="AI71" s="1193"/>
      <c r="AJ71" s="1193"/>
      <c r="AK71" s="1193"/>
      <c r="AL71" s="1194"/>
      <c r="AM71" s="508"/>
      <c r="AN71" s="516"/>
      <c r="AO71" s="1199"/>
      <c r="AP71" s="1199"/>
      <c r="AQ71" s="1199"/>
      <c r="AR71" s="1199"/>
      <c r="AS71" s="1199"/>
      <c r="AT71" s="1199"/>
      <c r="AU71" s="1199"/>
      <c r="AV71" s="1199"/>
      <c r="AW71" s="1199"/>
      <c r="AX71" s="1199"/>
      <c r="AY71" s="1199"/>
      <c r="AZ71" s="1199"/>
      <c r="BA71" s="1199"/>
      <c r="BB71" s="1227"/>
      <c r="BC71" s="1227"/>
      <c r="BD71" s="1227"/>
      <c r="BE71" s="1227"/>
      <c r="BF71" s="1198"/>
      <c r="BG71" s="1198"/>
      <c r="BH71" s="1198"/>
      <c r="BI71" s="1198"/>
      <c r="BJ71" s="1198"/>
      <c r="BK71" s="1198"/>
      <c r="BL71" s="1198"/>
      <c r="BM71" s="1198"/>
      <c r="BN71" s="1198"/>
      <c r="BO71" s="1198"/>
      <c r="BP71" s="1198"/>
      <c r="BQ71" s="1198"/>
      <c r="BR71" s="1198"/>
      <c r="BS71" s="1198"/>
      <c r="BT71" s="1198"/>
      <c r="BU71" s="1198"/>
      <c r="BV71" s="1198"/>
      <c r="BW71" s="515"/>
      <c r="BX71" s="155"/>
      <c r="BY71" s="155"/>
      <c r="BZ71" s="150"/>
      <c r="CA71" s="1234"/>
      <c r="CB71" s="1234"/>
      <c r="CC71" s="1234"/>
      <c r="CD71" s="1234"/>
      <c r="CE71" s="1234"/>
      <c r="CF71" s="1234"/>
      <c r="CG71" s="1234"/>
      <c r="CH71" s="1234"/>
      <c r="CI71" s="1234"/>
      <c r="CJ71" s="1234"/>
      <c r="CK71" s="1234"/>
      <c r="CL71" s="1234"/>
      <c r="CM71" s="1234"/>
      <c r="CN71" s="1234"/>
      <c r="CO71" s="1234"/>
      <c r="CP71" s="1234"/>
      <c r="CQ71" s="1234"/>
      <c r="CR71" s="1234"/>
      <c r="CS71" s="1234"/>
      <c r="CT71" s="1234"/>
      <c r="CU71" s="1234"/>
      <c r="CV71" s="1234"/>
      <c r="CW71" s="1234"/>
      <c r="CX71" s="1234"/>
      <c r="CZ71" s="1119"/>
      <c r="DA71" s="1119"/>
      <c r="DB71" s="1119"/>
      <c r="DC71" s="1119"/>
      <c r="DD71" s="1119"/>
      <c r="DE71" s="1119"/>
      <c r="DF71" s="1119"/>
      <c r="DG71" s="1119"/>
      <c r="DH71" s="1119"/>
      <c r="DI71" s="1119"/>
      <c r="DJ71" s="1119"/>
      <c r="DK71" s="1119"/>
      <c r="DL71" s="1119"/>
      <c r="DM71" s="1119"/>
      <c r="DN71" s="1119"/>
      <c r="DO71" s="1119"/>
      <c r="DP71" s="1119"/>
      <c r="DQ71" s="1119"/>
      <c r="DR71" s="1119"/>
      <c r="DS71" s="1119"/>
      <c r="DT71" s="1119"/>
      <c r="DU71" s="1119"/>
      <c r="DV71" s="1119"/>
      <c r="DW71" s="1119"/>
      <c r="DY71" s="1121"/>
      <c r="DZ71" s="1121"/>
      <c r="EA71" s="1121"/>
      <c r="EB71" s="1121"/>
      <c r="EC71" s="1121"/>
      <c r="ED71" s="1121"/>
      <c r="EE71" s="1121"/>
      <c r="EF71" s="1121"/>
      <c r="EG71" s="1121"/>
      <c r="EH71" s="1121"/>
      <c r="EI71" s="1121"/>
      <c r="EJ71" s="1121"/>
      <c r="EK71" s="1121"/>
      <c r="EL71" s="1121"/>
      <c r="EM71" s="1121"/>
      <c r="EN71" s="1121"/>
      <c r="EO71" s="1121"/>
      <c r="EP71" s="1121"/>
      <c r="EQ71" s="1121"/>
      <c r="ER71" s="1121"/>
      <c r="ES71" s="1121"/>
      <c r="ET71" s="1121"/>
      <c r="EU71" s="1121"/>
      <c r="EW71" s="155"/>
      <c r="EX71" s="552"/>
      <c r="EY71" s="552"/>
      <c r="EZ71" s="552"/>
      <c r="FA71" s="552"/>
      <c r="FB71" s="552"/>
      <c r="FC71" s="552"/>
      <c r="FD71" s="552"/>
      <c r="FE71" s="552"/>
      <c r="FF71" s="552"/>
      <c r="FG71" s="552"/>
      <c r="FH71" s="552"/>
      <c r="FI71" s="552"/>
      <c r="FJ71" s="552"/>
      <c r="FK71" s="552"/>
      <c r="FL71" s="552"/>
      <c r="FM71" s="552"/>
      <c r="FN71" s="552"/>
      <c r="FO71" s="552"/>
      <c r="FP71" s="552"/>
      <c r="FQ71" s="552"/>
      <c r="FR71" s="552"/>
      <c r="FS71" s="552"/>
      <c r="FT71" s="552"/>
      <c r="FU71" s="552"/>
      <c r="FV71" s="552"/>
      <c r="FW71" s="552"/>
      <c r="FX71" s="552"/>
      <c r="FY71" s="552"/>
      <c r="FZ71" s="552"/>
      <c r="GA71" s="552"/>
      <c r="GB71" s="552"/>
      <c r="GC71" s="552"/>
      <c r="GD71" s="552"/>
      <c r="GE71" s="552"/>
      <c r="GF71" s="552"/>
      <c r="GG71" s="552"/>
      <c r="GH71" s="552"/>
      <c r="GI71" s="552"/>
      <c r="GJ71" s="552"/>
      <c r="GK71" s="552"/>
      <c r="GL71" s="552"/>
      <c r="GM71" s="552"/>
      <c r="GN71" s="552"/>
      <c r="GO71" s="552"/>
      <c r="GP71" s="552"/>
      <c r="GQ71" s="552"/>
      <c r="GR71" s="552"/>
      <c r="GS71" s="552"/>
      <c r="GT71" s="552"/>
      <c r="GU71" s="552"/>
      <c r="GV71" s="552"/>
      <c r="GW71" s="552"/>
      <c r="GX71" s="552"/>
      <c r="GY71" s="552"/>
      <c r="GZ71" s="552"/>
      <c r="HA71" s="552"/>
      <c r="HB71" s="552"/>
      <c r="HC71" s="552"/>
      <c r="HD71" s="552"/>
      <c r="HE71" s="552"/>
      <c r="HF71" s="552"/>
      <c r="HG71" s="552"/>
      <c r="HH71" s="552"/>
      <c r="HI71" s="552"/>
      <c r="HJ71" s="552"/>
      <c r="HK71" s="552"/>
      <c r="HL71" s="552"/>
      <c r="HM71" s="552"/>
      <c r="HN71" s="552"/>
      <c r="HO71" s="552"/>
      <c r="HP71" s="552"/>
      <c r="HQ71" s="552"/>
      <c r="HR71" s="552"/>
      <c r="HS71" s="552"/>
      <c r="HT71" s="155"/>
      <c r="HU71" s="155"/>
      <c r="HV71" s="552"/>
      <c r="HW71" s="552"/>
      <c r="HX71" s="552"/>
      <c r="HY71" s="552"/>
      <c r="HZ71" s="552"/>
      <c r="IA71" s="552"/>
      <c r="IB71" s="552"/>
      <c r="IC71" s="552"/>
      <c r="ID71" s="552"/>
      <c r="IE71" s="552"/>
      <c r="IF71" s="552"/>
      <c r="IG71" s="552"/>
      <c r="IH71" s="552"/>
      <c r="II71" s="552"/>
      <c r="IJ71" s="552"/>
      <c r="IK71" s="552"/>
      <c r="IL71" s="552"/>
      <c r="IM71" s="552"/>
      <c r="IN71" s="552"/>
      <c r="IO71" s="552"/>
      <c r="IP71" s="552"/>
      <c r="IQ71" s="552"/>
      <c r="IR71" s="552"/>
      <c r="IS71" s="552"/>
      <c r="IT71" s="552"/>
      <c r="IU71" s="552"/>
      <c r="IV71" s="552"/>
      <c r="IW71" s="552"/>
      <c r="IX71" s="552"/>
      <c r="IY71" s="552"/>
      <c r="IZ71" s="552"/>
      <c r="JA71" s="552"/>
      <c r="JB71" s="552"/>
      <c r="JC71" s="552"/>
      <c r="JD71" s="552"/>
      <c r="JE71" s="552"/>
      <c r="JF71" s="552"/>
      <c r="JG71" s="552"/>
      <c r="JH71" s="552"/>
      <c r="JI71" s="552"/>
      <c r="JJ71" s="552"/>
      <c r="JK71" s="552"/>
      <c r="JL71" s="552"/>
      <c r="JM71" s="552"/>
      <c r="JN71" s="552"/>
      <c r="JO71" s="552"/>
      <c r="JP71" s="552"/>
      <c r="JQ71" s="552"/>
      <c r="JR71" s="552"/>
      <c r="JS71" s="552"/>
      <c r="JT71" s="552"/>
      <c r="JU71" s="552"/>
      <c r="JV71" s="552"/>
      <c r="JW71" s="552"/>
      <c r="JX71" s="552"/>
      <c r="JY71" s="552"/>
      <c r="JZ71" s="552"/>
      <c r="KA71" s="552"/>
      <c r="KB71" s="552"/>
      <c r="KC71" s="552"/>
      <c r="KD71" s="552"/>
      <c r="KE71" s="552"/>
      <c r="KF71" s="552"/>
      <c r="KG71" s="552"/>
      <c r="KH71" s="552"/>
      <c r="KI71" s="552"/>
      <c r="KJ71" s="552"/>
      <c r="KK71" s="552"/>
      <c r="KL71" s="552"/>
      <c r="KM71" s="552"/>
      <c r="KN71" s="552"/>
      <c r="KO71" s="552"/>
      <c r="KP71" s="552"/>
      <c r="KQ71" s="552"/>
      <c r="KR71" s="155"/>
      <c r="KS71" s="155"/>
      <c r="KV71" s="1121"/>
      <c r="KW71" s="1121"/>
      <c r="KX71" s="1121"/>
      <c r="KY71" s="1121"/>
      <c r="KZ71" s="1121"/>
      <c r="LA71" s="1121"/>
      <c r="LB71" s="1121"/>
      <c r="LC71" s="1121"/>
      <c r="LD71" s="1121"/>
      <c r="LE71" s="1121"/>
      <c r="LF71" s="1121"/>
      <c r="LG71" s="1121"/>
      <c r="LH71" s="1121"/>
      <c r="LI71" s="1121"/>
      <c r="LJ71" s="1121"/>
      <c r="LK71" s="1121"/>
      <c r="LL71" s="1121"/>
      <c r="LM71" s="1121"/>
      <c r="LN71" s="1121"/>
      <c r="LO71" s="1121"/>
      <c r="LP71" s="1121"/>
      <c r="LQ71" s="1121"/>
      <c r="LR71" s="1121"/>
      <c r="LS71" s="1121"/>
      <c r="LT71" s="1121"/>
      <c r="LV71" s="1123"/>
      <c r="LW71" s="1123"/>
      <c r="LX71" s="1123"/>
      <c r="LY71" s="1123"/>
      <c r="MA71" s="1123"/>
      <c r="MB71" s="1123"/>
      <c r="MC71" s="1123"/>
      <c r="MD71" s="1123"/>
      <c r="ME71" s="1123"/>
      <c r="MF71" s="1123"/>
      <c r="MG71" s="1123"/>
      <c r="MH71" s="1123"/>
      <c r="MI71" s="1123"/>
      <c r="MK71" s="1123"/>
      <c r="ML71" s="1123"/>
      <c r="MM71" s="1123"/>
      <c r="MN71" s="1123"/>
      <c r="MO71" s="1123"/>
      <c r="NP71" s="155"/>
      <c r="NQ71" s="155"/>
      <c r="QN71" s="155"/>
      <c r="QO71" s="155"/>
      <c r="TL71" s="155"/>
    </row>
    <row r="72" spans="1:532" ht="6.75" customHeight="1" x14ac:dyDescent="0.25">
      <c r="A72" s="155"/>
      <c r="B72" s="512"/>
      <c r="C72" s="1192"/>
      <c r="D72" s="1193"/>
      <c r="E72" s="1193"/>
      <c r="F72" s="1193"/>
      <c r="G72" s="1193"/>
      <c r="H72" s="1193"/>
      <c r="I72" s="1193"/>
      <c r="J72" s="1193"/>
      <c r="K72" s="1193"/>
      <c r="L72" s="1193"/>
      <c r="M72" s="1193"/>
      <c r="N72" s="1193"/>
      <c r="O72" s="1193"/>
      <c r="P72" s="1193"/>
      <c r="Q72" s="1193"/>
      <c r="R72" s="1193"/>
      <c r="S72" s="1193"/>
      <c r="T72" s="1193"/>
      <c r="U72" s="1193"/>
      <c r="V72" s="1193"/>
      <c r="W72" s="1193"/>
      <c r="X72" s="1193"/>
      <c r="Y72" s="1193"/>
      <c r="Z72" s="1193"/>
      <c r="AA72" s="1193"/>
      <c r="AB72" s="1193"/>
      <c r="AC72" s="1193"/>
      <c r="AD72" s="1193"/>
      <c r="AE72" s="1193"/>
      <c r="AF72" s="1193"/>
      <c r="AG72" s="1193"/>
      <c r="AH72" s="1193"/>
      <c r="AI72" s="1193"/>
      <c r="AJ72" s="1193"/>
      <c r="AK72" s="1193"/>
      <c r="AL72" s="1194"/>
      <c r="AM72" s="508"/>
      <c r="AN72" s="516"/>
      <c r="AO72" s="1199" t="s">
        <v>614</v>
      </c>
      <c r="AP72" s="1199"/>
      <c r="AQ72" s="1199"/>
      <c r="AR72" s="1199"/>
      <c r="AS72" s="1199"/>
      <c r="AT72" s="1199"/>
      <c r="AU72" s="1199"/>
      <c r="AV72" s="1199"/>
      <c r="AW72" s="1199"/>
      <c r="AX72" s="1199"/>
      <c r="AY72" s="1199"/>
      <c r="AZ72" s="1199"/>
      <c r="BA72" s="1199"/>
      <c r="BB72" s="1227" t="s">
        <v>4</v>
      </c>
      <c r="BC72" s="1227"/>
      <c r="BD72" s="1227"/>
      <c r="BE72" s="1227"/>
      <c r="BF72" s="1198"/>
      <c r="BG72" s="1198"/>
      <c r="BH72" s="1198"/>
      <c r="BI72" s="1198"/>
      <c r="BJ72" s="1198"/>
      <c r="BK72" s="1198"/>
      <c r="BL72" s="1198"/>
      <c r="BM72" s="1198"/>
      <c r="BN72" s="1198"/>
      <c r="BO72" s="1198"/>
      <c r="BP72" s="1198"/>
      <c r="BQ72" s="1198"/>
      <c r="BR72" s="1198"/>
      <c r="BS72" s="1198">
        <f>SleightofHandValue</f>
        <v>1</v>
      </c>
      <c r="BT72" s="1198"/>
      <c r="BU72" s="1198"/>
      <c r="BV72" s="1198"/>
      <c r="BW72" s="515"/>
      <c r="BX72" s="155"/>
      <c r="BY72" s="155"/>
      <c r="BZ72" s="150"/>
      <c r="CA72" s="1234"/>
      <c r="CB72" s="1234"/>
      <c r="CC72" s="1234"/>
      <c r="CD72" s="1234"/>
      <c r="CE72" s="1234"/>
      <c r="CF72" s="1234"/>
      <c r="CG72" s="1234"/>
      <c r="CH72" s="1234"/>
      <c r="CI72" s="1234"/>
      <c r="CJ72" s="1234"/>
      <c r="CK72" s="1234"/>
      <c r="CL72" s="1234"/>
      <c r="CM72" s="1234"/>
      <c r="CN72" s="1234"/>
      <c r="CO72" s="1234"/>
      <c r="CP72" s="1234"/>
      <c r="CQ72" s="1234"/>
      <c r="CR72" s="1234"/>
      <c r="CS72" s="1234"/>
      <c r="CT72" s="1234"/>
      <c r="CU72" s="1234"/>
      <c r="CV72" s="1234"/>
      <c r="CW72" s="1234"/>
      <c r="CX72" s="1234"/>
      <c r="CZ72" s="1119"/>
      <c r="DA72" s="1119"/>
      <c r="DB72" s="1119"/>
      <c r="DC72" s="1119"/>
      <c r="DD72" s="1119"/>
      <c r="DE72" s="1119"/>
      <c r="DF72" s="1119"/>
      <c r="DG72" s="1119"/>
      <c r="DH72" s="1119"/>
      <c r="DI72" s="1119"/>
      <c r="DJ72" s="1119"/>
      <c r="DK72" s="1119"/>
      <c r="DL72" s="1119"/>
      <c r="DM72" s="1119"/>
      <c r="DN72" s="1119"/>
      <c r="DO72" s="1119"/>
      <c r="DP72" s="1119"/>
      <c r="DQ72" s="1119"/>
      <c r="DR72" s="1119"/>
      <c r="DS72" s="1119"/>
      <c r="DT72" s="1119"/>
      <c r="DU72" s="1119"/>
      <c r="DV72" s="1119"/>
      <c r="DW72" s="1119"/>
      <c r="DY72" s="1120"/>
      <c r="DZ72" s="1120"/>
      <c r="EA72" s="1120"/>
      <c r="EB72" s="1120"/>
      <c r="EC72" s="1120"/>
      <c r="ED72" s="1120"/>
      <c r="EE72" s="1120"/>
      <c r="EF72" s="1120"/>
      <c r="EG72" s="1120"/>
      <c r="EH72" s="1120"/>
      <c r="EI72" s="1120"/>
      <c r="EJ72" s="1120"/>
      <c r="EK72" s="1120"/>
      <c r="EL72" s="1120"/>
      <c r="EM72" s="1120"/>
      <c r="EN72" s="1120"/>
      <c r="EO72" s="1120"/>
      <c r="EP72" s="1120"/>
      <c r="EQ72" s="1120"/>
      <c r="ER72" s="1120"/>
      <c r="ES72" s="1120"/>
      <c r="ET72" s="1120"/>
      <c r="EU72" s="1120"/>
      <c r="EW72" s="155"/>
      <c r="EX72" s="552"/>
      <c r="EY72" s="552"/>
      <c r="EZ72" s="552"/>
      <c r="FA72" s="552"/>
      <c r="FB72" s="552"/>
      <c r="FC72" s="552"/>
      <c r="FD72" s="552"/>
      <c r="FE72" s="552"/>
      <c r="FF72" s="552"/>
      <c r="FG72" s="552"/>
      <c r="FH72" s="552"/>
      <c r="FI72" s="552"/>
      <c r="FJ72" s="552"/>
      <c r="FK72" s="552"/>
      <c r="FL72" s="552"/>
      <c r="FM72" s="552"/>
      <c r="FN72" s="552"/>
      <c r="FO72" s="552"/>
      <c r="FP72" s="552"/>
      <c r="FQ72" s="552"/>
      <c r="FR72" s="552"/>
      <c r="FS72" s="552"/>
      <c r="FT72" s="552"/>
      <c r="FU72" s="552"/>
      <c r="FV72" s="552"/>
      <c r="FW72" s="552"/>
      <c r="FX72" s="552"/>
      <c r="FY72" s="552"/>
      <c r="FZ72" s="552"/>
      <c r="GA72" s="552"/>
      <c r="GB72" s="552"/>
      <c r="GC72" s="552"/>
      <c r="GD72" s="552"/>
      <c r="GE72" s="552"/>
      <c r="GF72" s="552"/>
      <c r="GG72" s="552"/>
      <c r="GH72" s="552"/>
      <c r="GI72" s="552"/>
      <c r="GJ72" s="552"/>
      <c r="GK72" s="552"/>
      <c r="GL72" s="552"/>
      <c r="GM72" s="552"/>
      <c r="GN72" s="552"/>
      <c r="GO72" s="552"/>
      <c r="GP72" s="552"/>
      <c r="GQ72" s="552"/>
      <c r="GR72" s="552"/>
      <c r="GS72" s="552"/>
      <c r="GT72" s="552"/>
      <c r="GU72" s="552"/>
      <c r="GV72" s="552"/>
      <c r="GW72" s="552"/>
      <c r="GX72" s="552"/>
      <c r="GY72" s="552"/>
      <c r="GZ72" s="552"/>
      <c r="HA72" s="552"/>
      <c r="HB72" s="552"/>
      <c r="HC72" s="552"/>
      <c r="HD72" s="552"/>
      <c r="HE72" s="552"/>
      <c r="HF72" s="552"/>
      <c r="HG72" s="552"/>
      <c r="HH72" s="552"/>
      <c r="HI72" s="552"/>
      <c r="HJ72" s="552"/>
      <c r="HK72" s="552"/>
      <c r="HL72" s="552"/>
      <c r="HM72" s="552"/>
      <c r="HN72" s="552"/>
      <c r="HO72" s="552"/>
      <c r="HP72" s="552"/>
      <c r="HQ72" s="552"/>
      <c r="HR72" s="552"/>
      <c r="HS72" s="552"/>
      <c r="HT72" s="155"/>
      <c r="HU72" s="155"/>
      <c r="HV72" s="552"/>
      <c r="HW72" s="552"/>
      <c r="HX72" s="552"/>
      <c r="HY72" s="552"/>
      <c r="HZ72" s="552"/>
      <c r="IA72" s="552"/>
      <c r="IB72" s="552"/>
      <c r="IC72" s="552"/>
      <c r="ID72" s="552"/>
      <c r="IE72" s="552"/>
      <c r="IF72" s="552"/>
      <c r="IG72" s="552"/>
      <c r="IH72" s="552"/>
      <c r="II72" s="552"/>
      <c r="IJ72" s="552"/>
      <c r="IK72" s="552"/>
      <c r="IL72" s="552"/>
      <c r="IM72" s="552"/>
      <c r="IN72" s="552"/>
      <c r="IO72" s="552"/>
      <c r="IP72" s="552"/>
      <c r="IQ72" s="552"/>
      <c r="IR72" s="552"/>
      <c r="IS72" s="552"/>
      <c r="IT72" s="552"/>
      <c r="IU72" s="552"/>
      <c r="IV72" s="552"/>
      <c r="IW72" s="552"/>
      <c r="IX72" s="552"/>
      <c r="IY72" s="552"/>
      <c r="IZ72" s="552"/>
      <c r="JA72" s="552"/>
      <c r="JB72" s="552"/>
      <c r="JC72" s="552"/>
      <c r="JD72" s="552"/>
      <c r="JE72" s="552"/>
      <c r="JF72" s="552"/>
      <c r="JG72" s="552"/>
      <c r="JH72" s="552"/>
      <c r="JI72" s="552"/>
      <c r="JJ72" s="552"/>
      <c r="JK72" s="552"/>
      <c r="JL72" s="552"/>
      <c r="JM72" s="552"/>
      <c r="JN72" s="552"/>
      <c r="JO72" s="552"/>
      <c r="JP72" s="552"/>
      <c r="JQ72" s="552"/>
      <c r="JR72" s="552"/>
      <c r="JS72" s="552"/>
      <c r="JT72" s="552"/>
      <c r="JU72" s="552"/>
      <c r="JV72" s="552"/>
      <c r="JW72" s="552"/>
      <c r="JX72" s="552"/>
      <c r="JY72" s="552"/>
      <c r="JZ72" s="552"/>
      <c r="KA72" s="552"/>
      <c r="KB72" s="552"/>
      <c r="KC72" s="552"/>
      <c r="KD72" s="552"/>
      <c r="KE72" s="552"/>
      <c r="KF72" s="552"/>
      <c r="KG72" s="552"/>
      <c r="KH72" s="552"/>
      <c r="KI72" s="552"/>
      <c r="KJ72" s="552"/>
      <c r="KK72" s="552"/>
      <c r="KL72" s="552"/>
      <c r="KM72" s="552"/>
      <c r="KN72" s="552"/>
      <c r="KO72" s="552"/>
      <c r="KP72" s="552"/>
      <c r="KQ72" s="552"/>
      <c r="KR72" s="155"/>
      <c r="KS72" s="155"/>
      <c r="KV72" s="1120"/>
      <c r="KW72" s="1120"/>
      <c r="KX72" s="1120"/>
      <c r="KY72" s="1120"/>
      <c r="KZ72" s="1120"/>
      <c r="LA72" s="1120"/>
      <c r="LB72" s="1120"/>
      <c r="LC72" s="1120"/>
      <c r="LD72" s="1120"/>
      <c r="LE72" s="1120"/>
      <c r="LF72" s="1120"/>
      <c r="LG72" s="1120"/>
      <c r="LH72" s="1120"/>
      <c r="LI72" s="1120"/>
      <c r="LJ72" s="1120"/>
      <c r="LK72" s="1120"/>
      <c r="LL72" s="1120"/>
      <c r="LM72" s="1120"/>
      <c r="LN72" s="1120"/>
      <c r="LO72" s="1120"/>
      <c r="LP72" s="1120"/>
      <c r="LQ72" s="1120"/>
      <c r="LR72" s="1120"/>
      <c r="LS72" s="1120"/>
      <c r="LT72" s="1120"/>
      <c r="LV72" s="1122"/>
      <c r="LW72" s="1122"/>
      <c r="LX72" s="1122"/>
      <c r="LY72" s="1122"/>
      <c r="MA72" s="1122"/>
      <c r="MB72" s="1122"/>
      <c r="MC72" s="1122"/>
      <c r="MD72" s="1122"/>
      <c r="ME72" s="1122"/>
      <c r="MF72" s="1122"/>
      <c r="MG72" s="1122"/>
      <c r="MH72" s="1122"/>
      <c r="MI72" s="1122"/>
      <c r="MK72" s="1122"/>
      <c r="ML72" s="1122"/>
      <c r="MM72" s="1122"/>
      <c r="MN72" s="1122"/>
      <c r="MO72" s="1122"/>
      <c r="NP72" s="155"/>
      <c r="NQ72" s="155"/>
      <c r="QN72" s="155"/>
      <c r="QO72" s="155"/>
      <c r="TL72" s="155"/>
    </row>
    <row r="73" spans="1:532" ht="6.75" customHeight="1" x14ac:dyDescent="0.25">
      <c r="A73" s="155"/>
      <c r="B73" s="512"/>
      <c r="C73" s="1192"/>
      <c r="D73" s="1193"/>
      <c r="E73" s="1193"/>
      <c r="F73" s="1193"/>
      <c r="G73" s="1193"/>
      <c r="H73" s="1193"/>
      <c r="I73" s="1193"/>
      <c r="J73" s="1193"/>
      <c r="K73" s="1193"/>
      <c r="L73" s="1193"/>
      <c r="M73" s="1193"/>
      <c r="N73" s="1193"/>
      <c r="O73" s="1193"/>
      <c r="P73" s="1193"/>
      <c r="Q73" s="1193"/>
      <c r="R73" s="1193"/>
      <c r="S73" s="1193"/>
      <c r="T73" s="1193"/>
      <c r="U73" s="1193"/>
      <c r="V73" s="1193"/>
      <c r="W73" s="1193"/>
      <c r="X73" s="1193"/>
      <c r="Y73" s="1193"/>
      <c r="Z73" s="1193"/>
      <c r="AA73" s="1193"/>
      <c r="AB73" s="1193"/>
      <c r="AC73" s="1193"/>
      <c r="AD73" s="1193"/>
      <c r="AE73" s="1193"/>
      <c r="AF73" s="1193"/>
      <c r="AG73" s="1193"/>
      <c r="AH73" s="1193"/>
      <c r="AI73" s="1193"/>
      <c r="AJ73" s="1193"/>
      <c r="AK73" s="1193"/>
      <c r="AL73" s="1194"/>
      <c r="AM73" s="508"/>
      <c r="AN73" s="516"/>
      <c r="AO73" s="1199"/>
      <c r="AP73" s="1199"/>
      <c r="AQ73" s="1199"/>
      <c r="AR73" s="1199"/>
      <c r="AS73" s="1199"/>
      <c r="AT73" s="1199"/>
      <c r="AU73" s="1199"/>
      <c r="AV73" s="1199"/>
      <c r="AW73" s="1199"/>
      <c r="AX73" s="1199"/>
      <c r="AY73" s="1199"/>
      <c r="AZ73" s="1199"/>
      <c r="BA73" s="1199"/>
      <c r="BB73" s="1227"/>
      <c r="BC73" s="1227"/>
      <c r="BD73" s="1227"/>
      <c r="BE73" s="1227"/>
      <c r="BF73" s="1198"/>
      <c r="BG73" s="1198"/>
      <c r="BH73" s="1198"/>
      <c r="BI73" s="1198"/>
      <c r="BJ73" s="1198"/>
      <c r="BK73" s="1198"/>
      <c r="BL73" s="1198"/>
      <c r="BM73" s="1198"/>
      <c r="BN73" s="1198"/>
      <c r="BO73" s="1198"/>
      <c r="BP73" s="1198"/>
      <c r="BQ73" s="1198"/>
      <c r="BR73" s="1198"/>
      <c r="BS73" s="1198"/>
      <c r="BT73" s="1198"/>
      <c r="BU73" s="1198"/>
      <c r="BV73" s="1198"/>
      <c r="BW73" s="515"/>
      <c r="BX73" s="155"/>
      <c r="BY73" s="155"/>
      <c r="BZ73" s="150"/>
      <c r="CA73" s="1234"/>
      <c r="CB73" s="1234"/>
      <c r="CC73" s="1234"/>
      <c r="CD73" s="1234"/>
      <c r="CE73" s="1234"/>
      <c r="CF73" s="1234"/>
      <c r="CG73" s="1234"/>
      <c r="CH73" s="1234"/>
      <c r="CI73" s="1234"/>
      <c r="CJ73" s="1234"/>
      <c r="CK73" s="1234"/>
      <c r="CL73" s="1234"/>
      <c r="CM73" s="1234"/>
      <c r="CN73" s="1234"/>
      <c r="CO73" s="1234"/>
      <c r="CP73" s="1234"/>
      <c r="CQ73" s="1234"/>
      <c r="CR73" s="1234"/>
      <c r="CS73" s="1234"/>
      <c r="CT73" s="1234"/>
      <c r="CU73" s="1234"/>
      <c r="CV73" s="1234"/>
      <c r="CW73" s="1234"/>
      <c r="CX73" s="1234"/>
      <c r="CZ73" s="1119"/>
      <c r="DA73" s="1119"/>
      <c r="DB73" s="1119"/>
      <c r="DC73" s="1119"/>
      <c r="DD73" s="1119"/>
      <c r="DE73" s="1119"/>
      <c r="DF73" s="1119"/>
      <c r="DG73" s="1119"/>
      <c r="DH73" s="1119"/>
      <c r="DI73" s="1119"/>
      <c r="DJ73" s="1119"/>
      <c r="DK73" s="1119"/>
      <c r="DL73" s="1119"/>
      <c r="DM73" s="1119"/>
      <c r="DN73" s="1119"/>
      <c r="DO73" s="1119"/>
      <c r="DP73" s="1119"/>
      <c r="DQ73" s="1119"/>
      <c r="DR73" s="1119"/>
      <c r="DS73" s="1119"/>
      <c r="DT73" s="1119"/>
      <c r="DU73" s="1119"/>
      <c r="DV73" s="1119"/>
      <c r="DW73" s="1119"/>
      <c r="DY73" s="1121"/>
      <c r="DZ73" s="1121"/>
      <c r="EA73" s="1121"/>
      <c r="EB73" s="1121"/>
      <c r="EC73" s="1121"/>
      <c r="ED73" s="1121"/>
      <c r="EE73" s="1121"/>
      <c r="EF73" s="1121"/>
      <c r="EG73" s="1121"/>
      <c r="EH73" s="1121"/>
      <c r="EI73" s="1121"/>
      <c r="EJ73" s="1121"/>
      <c r="EK73" s="1121"/>
      <c r="EL73" s="1121"/>
      <c r="EM73" s="1121"/>
      <c r="EN73" s="1121"/>
      <c r="EO73" s="1121"/>
      <c r="EP73" s="1121"/>
      <c r="EQ73" s="1121"/>
      <c r="ER73" s="1121"/>
      <c r="ES73" s="1121"/>
      <c r="ET73" s="1121"/>
      <c r="EU73" s="1121"/>
      <c r="EW73" s="155"/>
      <c r="EX73" s="552"/>
      <c r="EY73" s="552"/>
      <c r="EZ73" s="552"/>
      <c r="FA73" s="552"/>
      <c r="FB73" s="552"/>
      <c r="FC73" s="552"/>
      <c r="FD73" s="552"/>
      <c r="FE73" s="552"/>
      <c r="FF73" s="552"/>
      <c r="FG73" s="552"/>
      <c r="FH73" s="552"/>
      <c r="FI73" s="552"/>
      <c r="FJ73" s="552"/>
      <c r="FK73" s="552"/>
      <c r="FL73" s="552"/>
      <c r="FM73" s="552"/>
      <c r="FN73" s="552"/>
      <c r="FO73" s="552"/>
      <c r="FP73" s="552"/>
      <c r="FQ73" s="552"/>
      <c r="FR73" s="552"/>
      <c r="FS73" s="552"/>
      <c r="FT73" s="552"/>
      <c r="FU73" s="552"/>
      <c r="FV73" s="552"/>
      <c r="FW73" s="552"/>
      <c r="FX73" s="552"/>
      <c r="FY73" s="552"/>
      <c r="FZ73" s="552"/>
      <c r="GA73" s="552"/>
      <c r="GB73" s="552"/>
      <c r="GC73" s="552"/>
      <c r="GD73" s="552"/>
      <c r="GE73" s="552"/>
      <c r="GF73" s="552"/>
      <c r="GG73" s="552"/>
      <c r="GH73" s="552"/>
      <c r="GI73" s="552"/>
      <c r="GJ73" s="552"/>
      <c r="GK73" s="552"/>
      <c r="GL73" s="552"/>
      <c r="GM73" s="552"/>
      <c r="GN73" s="552"/>
      <c r="GO73" s="552"/>
      <c r="GP73" s="552"/>
      <c r="GQ73" s="552"/>
      <c r="GR73" s="552"/>
      <c r="GS73" s="552"/>
      <c r="GT73" s="552"/>
      <c r="GU73" s="552"/>
      <c r="GV73" s="552"/>
      <c r="GW73" s="552"/>
      <c r="GX73" s="552"/>
      <c r="GY73" s="552"/>
      <c r="GZ73" s="552"/>
      <c r="HA73" s="552"/>
      <c r="HB73" s="552"/>
      <c r="HC73" s="552"/>
      <c r="HD73" s="552"/>
      <c r="HE73" s="552"/>
      <c r="HF73" s="552"/>
      <c r="HG73" s="552"/>
      <c r="HH73" s="552"/>
      <c r="HI73" s="552"/>
      <c r="HJ73" s="552"/>
      <c r="HK73" s="552"/>
      <c r="HL73" s="552"/>
      <c r="HM73" s="552"/>
      <c r="HN73" s="552"/>
      <c r="HO73" s="552"/>
      <c r="HP73" s="552"/>
      <c r="HQ73" s="552"/>
      <c r="HR73" s="552"/>
      <c r="HS73" s="552"/>
      <c r="HT73" s="155"/>
      <c r="HU73" s="155"/>
      <c r="HV73" s="552"/>
      <c r="HW73" s="552"/>
      <c r="HX73" s="552"/>
      <c r="HY73" s="552"/>
      <c r="HZ73" s="552"/>
      <c r="IA73" s="552"/>
      <c r="IB73" s="552"/>
      <c r="IC73" s="552"/>
      <c r="ID73" s="552"/>
      <c r="IE73" s="552"/>
      <c r="IF73" s="552"/>
      <c r="IG73" s="552"/>
      <c r="IH73" s="552"/>
      <c r="II73" s="552"/>
      <c r="IJ73" s="552"/>
      <c r="IK73" s="552"/>
      <c r="IL73" s="552"/>
      <c r="IM73" s="552"/>
      <c r="IN73" s="552"/>
      <c r="IO73" s="552"/>
      <c r="IP73" s="552"/>
      <c r="IQ73" s="552"/>
      <c r="IR73" s="552"/>
      <c r="IS73" s="552"/>
      <c r="IT73" s="552"/>
      <c r="IU73" s="552"/>
      <c r="IV73" s="552"/>
      <c r="IW73" s="552"/>
      <c r="IX73" s="552"/>
      <c r="IY73" s="552"/>
      <c r="IZ73" s="552"/>
      <c r="JA73" s="552"/>
      <c r="JB73" s="552"/>
      <c r="JC73" s="552"/>
      <c r="JD73" s="552"/>
      <c r="JE73" s="552"/>
      <c r="JF73" s="552"/>
      <c r="JG73" s="552"/>
      <c r="JH73" s="552"/>
      <c r="JI73" s="552"/>
      <c r="JJ73" s="552"/>
      <c r="JK73" s="552"/>
      <c r="JL73" s="552"/>
      <c r="JM73" s="552"/>
      <c r="JN73" s="552"/>
      <c r="JO73" s="552"/>
      <c r="JP73" s="552"/>
      <c r="JQ73" s="552"/>
      <c r="JR73" s="552"/>
      <c r="JS73" s="552"/>
      <c r="JT73" s="552"/>
      <c r="JU73" s="552"/>
      <c r="JV73" s="552"/>
      <c r="JW73" s="552"/>
      <c r="JX73" s="552"/>
      <c r="JY73" s="552"/>
      <c r="JZ73" s="552"/>
      <c r="KA73" s="552"/>
      <c r="KB73" s="552"/>
      <c r="KC73" s="552"/>
      <c r="KD73" s="552"/>
      <c r="KE73" s="552"/>
      <c r="KF73" s="552"/>
      <c r="KG73" s="552"/>
      <c r="KH73" s="552"/>
      <c r="KI73" s="552"/>
      <c r="KJ73" s="552"/>
      <c r="KK73" s="552"/>
      <c r="KL73" s="552"/>
      <c r="KM73" s="552"/>
      <c r="KN73" s="552"/>
      <c r="KO73" s="552"/>
      <c r="KP73" s="552"/>
      <c r="KQ73" s="552"/>
      <c r="KR73" s="155"/>
      <c r="KS73" s="155"/>
      <c r="KV73" s="1121"/>
      <c r="KW73" s="1121"/>
      <c r="KX73" s="1121"/>
      <c r="KY73" s="1121"/>
      <c r="KZ73" s="1121"/>
      <c r="LA73" s="1121"/>
      <c r="LB73" s="1121"/>
      <c r="LC73" s="1121"/>
      <c r="LD73" s="1121"/>
      <c r="LE73" s="1121"/>
      <c r="LF73" s="1121"/>
      <c r="LG73" s="1121"/>
      <c r="LH73" s="1121"/>
      <c r="LI73" s="1121"/>
      <c r="LJ73" s="1121"/>
      <c r="LK73" s="1121"/>
      <c r="LL73" s="1121"/>
      <c r="LM73" s="1121"/>
      <c r="LN73" s="1121"/>
      <c r="LO73" s="1121"/>
      <c r="LP73" s="1121"/>
      <c r="LQ73" s="1121"/>
      <c r="LR73" s="1121"/>
      <c r="LS73" s="1121"/>
      <c r="LT73" s="1121"/>
      <c r="LV73" s="1123"/>
      <c r="LW73" s="1123"/>
      <c r="LX73" s="1123"/>
      <c r="LY73" s="1123"/>
      <c r="MA73" s="1123"/>
      <c r="MB73" s="1123"/>
      <c r="MC73" s="1123"/>
      <c r="MD73" s="1123"/>
      <c r="ME73" s="1123"/>
      <c r="MF73" s="1123"/>
      <c r="MG73" s="1123"/>
      <c r="MH73" s="1123"/>
      <c r="MI73" s="1123"/>
      <c r="MK73" s="1123"/>
      <c r="ML73" s="1123"/>
      <c r="MM73" s="1123"/>
      <c r="MN73" s="1123"/>
      <c r="MO73" s="1123"/>
      <c r="NP73" s="155"/>
      <c r="NQ73" s="155"/>
      <c r="QN73" s="155"/>
      <c r="QO73" s="155"/>
      <c r="TL73" s="155"/>
    </row>
    <row r="74" spans="1:532" ht="6.75" customHeight="1" x14ac:dyDescent="0.25">
      <c r="A74" s="155"/>
      <c r="B74" s="512"/>
      <c r="C74" s="1192"/>
      <c r="D74" s="1193"/>
      <c r="E74" s="1193"/>
      <c r="F74" s="1193"/>
      <c r="G74" s="1193"/>
      <c r="H74" s="1193"/>
      <c r="I74" s="1193"/>
      <c r="J74" s="1193"/>
      <c r="K74" s="1193"/>
      <c r="L74" s="1193"/>
      <c r="M74" s="1193"/>
      <c r="N74" s="1193"/>
      <c r="O74" s="1193"/>
      <c r="P74" s="1193"/>
      <c r="Q74" s="1193"/>
      <c r="R74" s="1193"/>
      <c r="S74" s="1193"/>
      <c r="T74" s="1193"/>
      <c r="U74" s="1193"/>
      <c r="V74" s="1193"/>
      <c r="W74" s="1193"/>
      <c r="X74" s="1193"/>
      <c r="Y74" s="1193"/>
      <c r="Z74" s="1193"/>
      <c r="AA74" s="1193"/>
      <c r="AB74" s="1193"/>
      <c r="AC74" s="1193"/>
      <c r="AD74" s="1193"/>
      <c r="AE74" s="1193"/>
      <c r="AF74" s="1193"/>
      <c r="AG74" s="1193"/>
      <c r="AH74" s="1193"/>
      <c r="AI74" s="1193"/>
      <c r="AJ74" s="1193"/>
      <c r="AK74" s="1193"/>
      <c r="AL74" s="1194"/>
      <c r="AM74" s="508"/>
      <c r="AN74" s="516"/>
      <c r="AO74" s="1199" t="s">
        <v>75</v>
      </c>
      <c r="AP74" s="1199"/>
      <c r="AQ74" s="1199"/>
      <c r="AR74" s="1199"/>
      <c r="AS74" s="1199"/>
      <c r="AT74" s="1199"/>
      <c r="AU74" s="1199"/>
      <c r="AV74" s="1199"/>
      <c r="AW74" s="1199"/>
      <c r="AX74" s="1199"/>
      <c r="AY74" s="1199"/>
      <c r="AZ74" s="1199"/>
      <c r="BA74" s="1199"/>
      <c r="BB74" s="1227" t="s">
        <v>4</v>
      </c>
      <c r="BC74" s="1227"/>
      <c r="BD74" s="1227"/>
      <c r="BE74" s="1227"/>
      <c r="BF74" s="1198"/>
      <c r="BG74" s="1198"/>
      <c r="BH74" s="1198"/>
      <c r="BI74" s="1198"/>
      <c r="BJ74" s="1198"/>
      <c r="BK74" s="1198"/>
      <c r="BL74" s="1198"/>
      <c r="BM74" s="1198"/>
      <c r="BN74" s="1198"/>
      <c r="BO74" s="1198"/>
      <c r="BP74" s="1198"/>
      <c r="BQ74" s="1198"/>
      <c r="BR74" s="1198"/>
      <c r="BS74" s="1198">
        <f>StealthValue</f>
        <v>1</v>
      </c>
      <c r="BT74" s="1198"/>
      <c r="BU74" s="1198"/>
      <c r="BV74" s="1198"/>
      <c r="BW74" s="515"/>
      <c r="BX74" s="155"/>
      <c r="BY74" s="155"/>
      <c r="BZ74" s="150"/>
      <c r="CA74" s="1234"/>
      <c r="CB74" s="1234"/>
      <c r="CC74" s="1234"/>
      <c r="CD74" s="1234"/>
      <c r="CE74" s="1234"/>
      <c r="CF74" s="1234"/>
      <c r="CG74" s="1234"/>
      <c r="CH74" s="1234"/>
      <c r="CI74" s="1234"/>
      <c r="CJ74" s="1234"/>
      <c r="CK74" s="1234"/>
      <c r="CL74" s="1234"/>
      <c r="CM74" s="1234"/>
      <c r="CN74" s="1234"/>
      <c r="CO74" s="1234"/>
      <c r="CP74" s="1234"/>
      <c r="CQ74" s="1234"/>
      <c r="CR74" s="1234"/>
      <c r="CS74" s="1234"/>
      <c r="CT74" s="1234"/>
      <c r="CU74" s="1234"/>
      <c r="CV74" s="1234"/>
      <c r="CW74" s="1234"/>
      <c r="CX74" s="1234"/>
      <c r="CZ74" s="1119"/>
      <c r="DA74" s="1119"/>
      <c r="DB74" s="1119"/>
      <c r="DC74" s="1119"/>
      <c r="DD74" s="1119"/>
      <c r="DE74" s="1119"/>
      <c r="DF74" s="1119"/>
      <c r="DG74" s="1119"/>
      <c r="DH74" s="1119"/>
      <c r="DI74" s="1119"/>
      <c r="DJ74" s="1119"/>
      <c r="DK74" s="1119"/>
      <c r="DL74" s="1119"/>
      <c r="DM74" s="1119"/>
      <c r="DN74" s="1119"/>
      <c r="DO74" s="1119"/>
      <c r="DP74" s="1119"/>
      <c r="DQ74" s="1119"/>
      <c r="DR74" s="1119"/>
      <c r="DS74" s="1119"/>
      <c r="DT74" s="1119"/>
      <c r="DU74" s="1119"/>
      <c r="DV74" s="1119"/>
      <c r="DW74" s="1119"/>
      <c r="DY74" s="1120"/>
      <c r="DZ74" s="1120"/>
      <c r="EA74" s="1120"/>
      <c r="EB74" s="1120"/>
      <c r="EC74" s="1120"/>
      <c r="ED74" s="1120"/>
      <c r="EE74" s="1120"/>
      <c r="EF74" s="1120"/>
      <c r="EG74" s="1120"/>
      <c r="EH74" s="1120"/>
      <c r="EI74" s="1120"/>
      <c r="EJ74" s="1120"/>
      <c r="EK74" s="1120"/>
      <c r="EL74" s="1120"/>
      <c r="EM74" s="1120"/>
      <c r="EN74" s="1120"/>
      <c r="EO74" s="1120"/>
      <c r="EP74" s="1120"/>
      <c r="EQ74" s="1120"/>
      <c r="ER74" s="1120"/>
      <c r="ES74" s="1120"/>
      <c r="ET74" s="1120"/>
      <c r="EU74" s="1120"/>
      <c r="EW74" s="155"/>
      <c r="EX74" s="552"/>
      <c r="EY74" s="552"/>
      <c r="EZ74" s="552"/>
      <c r="FA74" s="552"/>
      <c r="FB74" s="552"/>
      <c r="FC74" s="552"/>
      <c r="FD74" s="552"/>
      <c r="FE74" s="552"/>
      <c r="FF74" s="552"/>
      <c r="FG74" s="552"/>
      <c r="FH74" s="552"/>
      <c r="FI74" s="552"/>
      <c r="FJ74" s="552"/>
      <c r="FK74" s="552"/>
      <c r="FL74" s="552"/>
      <c r="FM74" s="552"/>
      <c r="FN74" s="552"/>
      <c r="FO74" s="552"/>
      <c r="FP74" s="552"/>
      <c r="FQ74" s="552"/>
      <c r="FR74" s="552"/>
      <c r="FS74" s="552"/>
      <c r="FT74" s="552"/>
      <c r="FU74" s="552"/>
      <c r="FV74" s="552"/>
      <c r="FW74" s="552"/>
      <c r="FX74" s="552"/>
      <c r="FY74" s="552"/>
      <c r="FZ74" s="552"/>
      <c r="GA74" s="552"/>
      <c r="GB74" s="552"/>
      <c r="GC74" s="552"/>
      <c r="GD74" s="552"/>
      <c r="GE74" s="552"/>
      <c r="GF74" s="552"/>
      <c r="GG74" s="552"/>
      <c r="GH74" s="552"/>
      <c r="GI74" s="552"/>
      <c r="GJ74" s="552"/>
      <c r="GK74" s="552"/>
      <c r="GL74" s="552"/>
      <c r="GM74" s="552"/>
      <c r="GN74" s="552"/>
      <c r="GO74" s="552"/>
      <c r="GP74" s="552"/>
      <c r="GQ74" s="552"/>
      <c r="GR74" s="552"/>
      <c r="GS74" s="552"/>
      <c r="GT74" s="552"/>
      <c r="GU74" s="552"/>
      <c r="GV74" s="552"/>
      <c r="GW74" s="552"/>
      <c r="GX74" s="552"/>
      <c r="GY74" s="552"/>
      <c r="GZ74" s="552"/>
      <c r="HA74" s="552"/>
      <c r="HB74" s="552"/>
      <c r="HC74" s="552"/>
      <c r="HD74" s="552"/>
      <c r="HE74" s="552"/>
      <c r="HF74" s="552"/>
      <c r="HG74" s="552"/>
      <c r="HH74" s="552"/>
      <c r="HI74" s="552"/>
      <c r="HJ74" s="552"/>
      <c r="HK74" s="552"/>
      <c r="HL74" s="552"/>
      <c r="HM74" s="552"/>
      <c r="HN74" s="552"/>
      <c r="HO74" s="552"/>
      <c r="HP74" s="552"/>
      <c r="HQ74" s="552"/>
      <c r="HR74" s="552"/>
      <c r="HS74" s="552"/>
      <c r="HT74" s="155"/>
      <c r="HU74" s="155"/>
      <c r="HV74" s="552"/>
      <c r="HW74" s="552"/>
      <c r="HX74" s="552"/>
      <c r="HY74" s="552"/>
      <c r="HZ74" s="552"/>
      <c r="IA74" s="552"/>
      <c r="IB74" s="552"/>
      <c r="IC74" s="552"/>
      <c r="ID74" s="552"/>
      <c r="IE74" s="552"/>
      <c r="IF74" s="552"/>
      <c r="IG74" s="552"/>
      <c r="IH74" s="552"/>
      <c r="II74" s="552"/>
      <c r="IJ74" s="552"/>
      <c r="IK74" s="552"/>
      <c r="IL74" s="552"/>
      <c r="IM74" s="552"/>
      <c r="IN74" s="552"/>
      <c r="IO74" s="552"/>
      <c r="IP74" s="552"/>
      <c r="IQ74" s="552"/>
      <c r="IR74" s="552"/>
      <c r="IS74" s="552"/>
      <c r="IT74" s="552"/>
      <c r="IU74" s="552"/>
      <c r="IV74" s="552"/>
      <c r="IW74" s="552"/>
      <c r="IX74" s="552"/>
      <c r="IY74" s="552"/>
      <c r="IZ74" s="552"/>
      <c r="JA74" s="552"/>
      <c r="JB74" s="552"/>
      <c r="JC74" s="552"/>
      <c r="JD74" s="552"/>
      <c r="JE74" s="552"/>
      <c r="JF74" s="552"/>
      <c r="JG74" s="552"/>
      <c r="JH74" s="552"/>
      <c r="JI74" s="552"/>
      <c r="JJ74" s="552"/>
      <c r="JK74" s="552"/>
      <c r="JL74" s="552"/>
      <c r="JM74" s="552"/>
      <c r="JN74" s="552"/>
      <c r="JO74" s="552"/>
      <c r="JP74" s="552"/>
      <c r="JQ74" s="552"/>
      <c r="JR74" s="552"/>
      <c r="JS74" s="552"/>
      <c r="JT74" s="552"/>
      <c r="JU74" s="552"/>
      <c r="JV74" s="552"/>
      <c r="JW74" s="552"/>
      <c r="JX74" s="552"/>
      <c r="JY74" s="552"/>
      <c r="JZ74" s="552"/>
      <c r="KA74" s="552"/>
      <c r="KB74" s="552"/>
      <c r="KC74" s="552"/>
      <c r="KD74" s="552"/>
      <c r="KE74" s="552"/>
      <c r="KF74" s="552"/>
      <c r="KG74" s="552"/>
      <c r="KH74" s="552"/>
      <c r="KI74" s="552"/>
      <c r="KJ74" s="552"/>
      <c r="KK74" s="552"/>
      <c r="KL74" s="552"/>
      <c r="KM74" s="552"/>
      <c r="KN74" s="552"/>
      <c r="KO74" s="552"/>
      <c r="KP74" s="552"/>
      <c r="KQ74" s="552"/>
      <c r="KR74" s="155"/>
      <c r="KS74" s="155"/>
      <c r="KV74" s="1120"/>
      <c r="KW74" s="1120"/>
      <c r="KX74" s="1120"/>
      <c r="KY74" s="1120"/>
      <c r="KZ74" s="1120"/>
      <c r="LA74" s="1120"/>
      <c r="LB74" s="1120"/>
      <c r="LC74" s="1120"/>
      <c r="LD74" s="1120"/>
      <c r="LE74" s="1120"/>
      <c r="LF74" s="1120"/>
      <c r="LG74" s="1120"/>
      <c r="LH74" s="1120"/>
      <c r="LI74" s="1120"/>
      <c r="LJ74" s="1120"/>
      <c r="LK74" s="1120"/>
      <c r="LL74" s="1120"/>
      <c r="LM74" s="1120"/>
      <c r="LN74" s="1120"/>
      <c r="LO74" s="1120"/>
      <c r="LP74" s="1120"/>
      <c r="LQ74" s="1120"/>
      <c r="LR74" s="1120"/>
      <c r="LS74" s="1120"/>
      <c r="LT74" s="1120"/>
      <c r="LV74" s="1122"/>
      <c r="LW74" s="1122"/>
      <c r="LX74" s="1122"/>
      <c r="LY74" s="1122"/>
      <c r="MA74" s="1122"/>
      <c r="MB74" s="1122"/>
      <c r="MC74" s="1122"/>
      <c r="MD74" s="1122"/>
      <c r="ME74" s="1122"/>
      <c r="MF74" s="1122"/>
      <c r="MG74" s="1122"/>
      <c r="MH74" s="1122"/>
      <c r="MI74" s="1122"/>
      <c r="MK74" s="1122"/>
      <c r="ML74" s="1122"/>
      <c r="MM74" s="1122"/>
      <c r="MN74" s="1122"/>
      <c r="MO74" s="1122"/>
      <c r="NP74" s="155"/>
      <c r="NQ74" s="155"/>
      <c r="QN74" s="155"/>
      <c r="QO74" s="155"/>
      <c r="TL74" s="155"/>
    </row>
    <row r="75" spans="1:532" ht="6.75" customHeight="1" x14ac:dyDescent="0.25">
      <c r="A75" s="155"/>
      <c r="B75" s="512"/>
      <c r="C75" s="1192"/>
      <c r="D75" s="1193"/>
      <c r="E75" s="1193"/>
      <c r="F75" s="1193"/>
      <c r="G75" s="1193"/>
      <c r="H75" s="1193"/>
      <c r="I75" s="1193"/>
      <c r="J75" s="1193"/>
      <c r="K75" s="1193"/>
      <c r="L75" s="1193"/>
      <c r="M75" s="1193"/>
      <c r="N75" s="1193"/>
      <c r="O75" s="1193"/>
      <c r="P75" s="1193"/>
      <c r="Q75" s="1193"/>
      <c r="R75" s="1193"/>
      <c r="S75" s="1193"/>
      <c r="T75" s="1193"/>
      <c r="U75" s="1193"/>
      <c r="V75" s="1193"/>
      <c r="W75" s="1193"/>
      <c r="X75" s="1193"/>
      <c r="Y75" s="1193"/>
      <c r="Z75" s="1193"/>
      <c r="AA75" s="1193"/>
      <c r="AB75" s="1193"/>
      <c r="AC75" s="1193"/>
      <c r="AD75" s="1193"/>
      <c r="AE75" s="1193"/>
      <c r="AF75" s="1193"/>
      <c r="AG75" s="1193"/>
      <c r="AH75" s="1193"/>
      <c r="AI75" s="1193"/>
      <c r="AJ75" s="1193"/>
      <c r="AK75" s="1193"/>
      <c r="AL75" s="1194"/>
      <c r="AM75" s="508"/>
      <c r="AN75" s="516"/>
      <c r="AO75" s="1199"/>
      <c r="AP75" s="1199"/>
      <c r="AQ75" s="1199"/>
      <c r="AR75" s="1199"/>
      <c r="AS75" s="1199"/>
      <c r="AT75" s="1199"/>
      <c r="AU75" s="1199"/>
      <c r="AV75" s="1199"/>
      <c r="AW75" s="1199"/>
      <c r="AX75" s="1199"/>
      <c r="AY75" s="1199"/>
      <c r="AZ75" s="1199"/>
      <c r="BA75" s="1199"/>
      <c r="BB75" s="1227"/>
      <c r="BC75" s="1227"/>
      <c r="BD75" s="1227"/>
      <c r="BE75" s="1227"/>
      <c r="BF75" s="1198"/>
      <c r="BG75" s="1198"/>
      <c r="BH75" s="1198"/>
      <c r="BI75" s="1198"/>
      <c r="BJ75" s="1198"/>
      <c r="BK75" s="1198"/>
      <c r="BL75" s="1198"/>
      <c r="BM75" s="1198"/>
      <c r="BN75" s="1198"/>
      <c r="BO75" s="1198"/>
      <c r="BP75" s="1198"/>
      <c r="BQ75" s="1198"/>
      <c r="BR75" s="1198"/>
      <c r="BS75" s="1198"/>
      <c r="BT75" s="1198"/>
      <c r="BU75" s="1198"/>
      <c r="BV75" s="1198"/>
      <c r="BW75" s="515"/>
      <c r="BX75" s="155"/>
      <c r="BY75" s="155"/>
      <c r="BZ75" s="150"/>
      <c r="CA75" s="1234"/>
      <c r="CB75" s="1234"/>
      <c r="CC75" s="1234"/>
      <c r="CD75" s="1234"/>
      <c r="CE75" s="1234"/>
      <c r="CF75" s="1234"/>
      <c r="CG75" s="1234"/>
      <c r="CH75" s="1234"/>
      <c r="CI75" s="1234"/>
      <c r="CJ75" s="1234"/>
      <c r="CK75" s="1234"/>
      <c r="CL75" s="1234"/>
      <c r="CM75" s="1234"/>
      <c r="CN75" s="1234"/>
      <c r="CO75" s="1234"/>
      <c r="CP75" s="1234"/>
      <c r="CQ75" s="1234"/>
      <c r="CR75" s="1234"/>
      <c r="CS75" s="1234"/>
      <c r="CT75" s="1234"/>
      <c r="CU75" s="1234"/>
      <c r="CV75" s="1234"/>
      <c r="CW75" s="1234"/>
      <c r="CX75" s="1234"/>
      <c r="CZ75" s="1119"/>
      <c r="DA75" s="1119"/>
      <c r="DB75" s="1119"/>
      <c r="DC75" s="1119"/>
      <c r="DD75" s="1119"/>
      <c r="DE75" s="1119"/>
      <c r="DF75" s="1119"/>
      <c r="DG75" s="1119"/>
      <c r="DH75" s="1119"/>
      <c r="DI75" s="1119"/>
      <c r="DJ75" s="1119"/>
      <c r="DK75" s="1119"/>
      <c r="DL75" s="1119"/>
      <c r="DM75" s="1119"/>
      <c r="DN75" s="1119"/>
      <c r="DO75" s="1119"/>
      <c r="DP75" s="1119"/>
      <c r="DQ75" s="1119"/>
      <c r="DR75" s="1119"/>
      <c r="DS75" s="1119"/>
      <c r="DT75" s="1119"/>
      <c r="DU75" s="1119"/>
      <c r="DV75" s="1119"/>
      <c r="DW75" s="1119"/>
      <c r="DY75" s="1121"/>
      <c r="DZ75" s="1121"/>
      <c r="EA75" s="1121"/>
      <c r="EB75" s="1121"/>
      <c r="EC75" s="1121"/>
      <c r="ED75" s="1121"/>
      <c r="EE75" s="1121"/>
      <c r="EF75" s="1121"/>
      <c r="EG75" s="1121"/>
      <c r="EH75" s="1121"/>
      <c r="EI75" s="1121"/>
      <c r="EJ75" s="1121"/>
      <c r="EK75" s="1121"/>
      <c r="EL75" s="1121"/>
      <c r="EM75" s="1121"/>
      <c r="EN75" s="1121"/>
      <c r="EO75" s="1121"/>
      <c r="EP75" s="1121"/>
      <c r="EQ75" s="1121"/>
      <c r="ER75" s="1121"/>
      <c r="ES75" s="1121"/>
      <c r="ET75" s="1121"/>
      <c r="EU75" s="1121"/>
      <c r="EW75" s="155"/>
      <c r="EX75" s="552"/>
      <c r="EY75" s="552"/>
      <c r="EZ75" s="552"/>
      <c r="FA75" s="552"/>
      <c r="FB75" s="552"/>
      <c r="FC75" s="552"/>
      <c r="FD75" s="552"/>
      <c r="FE75" s="552"/>
      <c r="FF75" s="552"/>
      <c r="FG75" s="552"/>
      <c r="FH75" s="552"/>
      <c r="FI75" s="552"/>
      <c r="FJ75" s="552"/>
      <c r="FK75" s="552"/>
      <c r="FL75" s="552"/>
      <c r="FM75" s="552"/>
      <c r="FN75" s="552"/>
      <c r="FO75" s="552"/>
      <c r="FP75" s="552"/>
      <c r="FQ75" s="552"/>
      <c r="FR75" s="552"/>
      <c r="FS75" s="552"/>
      <c r="FT75" s="552"/>
      <c r="FU75" s="552"/>
      <c r="FV75" s="552"/>
      <c r="FW75" s="552"/>
      <c r="FX75" s="552"/>
      <c r="FY75" s="552"/>
      <c r="FZ75" s="552"/>
      <c r="GA75" s="552"/>
      <c r="GB75" s="552"/>
      <c r="GC75" s="552"/>
      <c r="GD75" s="552"/>
      <c r="GE75" s="552"/>
      <c r="GF75" s="552"/>
      <c r="GG75" s="552"/>
      <c r="GH75" s="552"/>
      <c r="GI75" s="552"/>
      <c r="GJ75" s="552"/>
      <c r="GK75" s="552"/>
      <c r="GL75" s="552"/>
      <c r="GM75" s="552"/>
      <c r="GN75" s="552"/>
      <c r="GO75" s="552"/>
      <c r="GP75" s="552"/>
      <c r="GQ75" s="552"/>
      <c r="GR75" s="552"/>
      <c r="GS75" s="552"/>
      <c r="GT75" s="552"/>
      <c r="GU75" s="552"/>
      <c r="GV75" s="552"/>
      <c r="GW75" s="552"/>
      <c r="GX75" s="552"/>
      <c r="GY75" s="552"/>
      <c r="GZ75" s="552"/>
      <c r="HA75" s="552"/>
      <c r="HB75" s="552"/>
      <c r="HC75" s="552"/>
      <c r="HD75" s="552"/>
      <c r="HE75" s="552"/>
      <c r="HF75" s="552"/>
      <c r="HG75" s="552"/>
      <c r="HH75" s="552"/>
      <c r="HI75" s="552"/>
      <c r="HJ75" s="552"/>
      <c r="HK75" s="552"/>
      <c r="HL75" s="552"/>
      <c r="HM75" s="552"/>
      <c r="HN75" s="552"/>
      <c r="HO75" s="552"/>
      <c r="HP75" s="552"/>
      <c r="HQ75" s="552"/>
      <c r="HR75" s="552"/>
      <c r="HS75" s="552"/>
      <c r="HT75" s="155"/>
      <c r="HU75" s="155"/>
      <c r="HV75" s="552"/>
      <c r="HW75" s="552"/>
      <c r="HX75" s="552"/>
      <c r="HY75" s="552"/>
      <c r="HZ75" s="552"/>
      <c r="IA75" s="552"/>
      <c r="IB75" s="552"/>
      <c r="IC75" s="552"/>
      <c r="ID75" s="552"/>
      <c r="IE75" s="552"/>
      <c r="IF75" s="552"/>
      <c r="IG75" s="552"/>
      <c r="IH75" s="552"/>
      <c r="II75" s="552"/>
      <c r="IJ75" s="552"/>
      <c r="IK75" s="552"/>
      <c r="IL75" s="552"/>
      <c r="IM75" s="552"/>
      <c r="IN75" s="552"/>
      <c r="IO75" s="552"/>
      <c r="IP75" s="552"/>
      <c r="IQ75" s="552"/>
      <c r="IR75" s="552"/>
      <c r="IS75" s="552"/>
      <c r="IT75" s="552"/>
      <c r="IU75" s="552"/>
      <c r="IV75" s="552"/>
      <c r="IW75" s="552"/>
      <c r="IX75" s="552"/>
      <c r="IY75" s="552"/>
      <c r="IZ75" s="552"/>
      <c r="JA75" s="552"/>
      <c r="JB75" s="552"/>
      <c r="JC75" s="552"/>
      <c r="JD75" s="552"/>
      <c r="JE75" s="552"/>
      <c r="JF75" s="552"/>
      <c r="JG75" s="552"/>
      <c r="JH75" s="552"/>
      <c r="JI75" s="552"/>
      <c r="JJ75" s="552"/>
      <c r="JK75" s="552"/>
      <c r="JL75" s="552"/>
      <c r="JM75" s="552"/>
      <c r="JN75" s="552"/>
      <c r="JO75" s="552"/>
      <c r="JP75" s="552"/>
      <c r="JQ75" s="552"/>
      <c r="JR75" s="552"/>
      <c r="JS75" s="552"/>
      <c r="JT75" s="552"/>
      <c r="JU75" s="552"/>
      <c r="JV75" s="552"/>
      <c r="JW75" s="552"/>
      <c r="JX75" s="552"/>
      <c r="JY75" s="552"/>
      <c r="JZ75" s="552"/>
      <c r="KA75" s="552"/>
      <c r="KB75" s="552"/>
      <c r="KC75" s="552"/>
      <c r="KD75" s="552"/>
      <c r="KE75" s="552"/>
      <c r="KF75" s="552"/>
      <c r="KG75" s="552"/>
      <c r="KH75" s="552"/>
      <c r="KI75" s="552"/>
      <c r="KJ75" s="552"/>
      <c r="KK75" s="552"/>
      <c r="KL75" s="552"/>
      <c r="KM75" s="552"/>
      <c r="KN75" s="552"/>
      <c r="KO75" s="552"/>
      <c r="KP75" s="552"/>
      <c r="KQ75" s="552"/>
      <c r="KR75" s="155"/>
      <c r="KS75" s="155"/>
      <c r="KV75" s="1121"/>
      <c r="KW75" s="1121"/>
      <c r="KX75" s="1121"/>
      <c r="KY75" s="1121"/>
      <c r="KZ75" s="1121"/>
      <c r="LA75" s="1121"/>
      <c r="LB75" s="1121"/>
      <c r="LC75" s="1121"/>
      <c r="LD75" s="1121"/>
      <c r="LE75" s="1121"/>
      <c r="LF75" s="1121"/>
      <c r="LG75" s="1121"/>
      <c r="LH75" s="1121"/>
      <c r="LI75" s="1121"/>
      <c r="LJ75" s="1121"/>
      <c r="LK75" s="1121"/>
      <c r="LL75" s="1121"/>
      <c r="LM75" s="1121"/>
      <c r="LN75" s="1121"/>
      <c r="LO75" s="1121"/>
      <c r="LP75" s="1121"/>
      <c r="LQ75" s="1121"/>
      <c r="LR75" s="1121"/>
      <c r="LS75" s="1121"/>
      <c r="LT75" s="1121"/>
      <c r="LV75" s="1123"/>
      <c r="LW75" s="1123"/>
      <c r="LX75" s="1123"/>
      <c r="LY75" s="1123"/>
      <c r="MA75" s="1123"/>
      <c r="MB75" s="1123"/>
      <c r="MC75" s="1123"/>
      <c r="MD75" s="1123"/>
      <c r="ME75" s="1123"/>
      <c r="MF75" s="1123"/>
      <c r="MG75" s="1123"/>
      <c r="MH75" s="1123"/>
      <c r="MI75" s="1123"/>
      <c r="MK75" s="1123"/>
      <c r="ML75" s="1123"/>
      <c r="MM75" s="1123"/>
      <c r="MN75" s="1123"/>
      <c r="MO75" s="1123"/>
      <c r="NP75" s="155"/>
      <c r="NQ75" s="155"/>
      <c r="QN75" s="155"/>
      <c r="QO75" s="155"/>
      <c r="TL75" s="155"/>
    </row>
    <row r="76" spans="1:532" ht="6.75" customHeight="1" thickBot="1" x14ac:dyDescent="0.3">
      <c r="A76" s="155"/>
      <c r="B76" s="512"/>
      <c r="C76" s="1195"/>
      <c r="D76" s="1196"/>
      <c r="E76" s="1196"/>
      <c r="F76" s="1196"/>
      <c r="G76" s="1196"/>
      <c r="H76" s="1196"/>
      <c r="I76" s="1196"/>
      <c r="J76" s="1196"/>
      <c r="K76" s="1196"/>
      <c r="L76" s="1196"/>
      <c r="M76" s="1196"/>
      <c r="N76" s="1196"/>
      <c r="O76" s="1196"/>
      <c r="P76" s="1196"/>
      <c r="Q76" s="1196"/>
      <c r="R76" s="1196"/>
      <c r="S76" s="1196"/>
      <c r="T76" s="1196"/>
      <c r="U76" s="1196"/>
      <c r="V76" s="1196"/>
      <c r="W76" s="1196"/>
      <c r="X76" s="1196"/>
      <c r="Y76" s="1196"/>
      <c r="Z76" s="1196"/>
      <c r="AA76" s="1196"/>
      <c r="AB76" s="1196"/>
      <c r="AC76" s="1196"/>
      <c r="AD76" s="1196"/>
      <c r="AE76" s="1196"/>
      <c r="AF76" s="1196"/>
      <c r="AG76" s="1196"/>
      <c r="AH76" s="1196"/>
      <c r="AI76" s="1196"/>
      <c r="AJ76" s="1196"/>
      <c r="AK76" s="1196"/>
      <c r="AL76" s="1197"/>
      <c r="AM76" s="508"/>
      <c r="AN76" s="516"/>
      <c r="AO76" s="1199" t="s">
        <v>80</v>
      </c>
      <c r="AP76" s="1199"/>
      <c r="AQ76" s="1199"/>
      <c r="AR76" s="1199"/>
      <c r="AS76" s="1199"/>
      <c r="AT76" s="1199"/>
      <c r="AU76" s="1199"/>
      <c r="AV76" s="1199"/>
      <c r="AW76" s="1199"/>
      <c r="AX76" s="1199"/>
      <c r="AY76" s="1199"/>
      <c r="AZ76" s="1199"/>
      <c r="BA76" s="1199"/>
      <c r="BB76" s="1227" t="s">
        <v>7</v>
      </c>
      <c r="BC76" s="1227"/>
      <c r="BD76" s="1227"/>
      <c r="BE76" s="1227"/>
      <c r="BF76" s="1198"/>
      <c r="BG76" s="1198"/>
      <c r="BH76" s="1198"/>
      <c r="BI76" s="1198"/>
      <c r="BJ76" s="1198"/>
      <c r="BK76" s="1198"/>
      <c r="BL76" s="1198"/>
      <c r="BM76" s="1198"/>
      <c r="BN76" s="1198"/>
      <c r="BO76" s="1198"/>
      <c r="BP76" s="1198"/>
      <c r="BQ76" s="1198"/>
      <c r="BR76" s="1198"/>
      <c r="BS76" s="1198">
        <f>SurvivalValue</f>
        <v>0</v>
      </c>
      <c r="BT76" s="1198"/>
      <c r="BU76" s="1198"/>
      <c r="BV76" s="1198"/>
      <c r="BW76" s="515"/>
      <c r="BX76" s="155"/>
      <c r="BY76" s="155"/>
      <c r="BZ76" s="150"/>
      <c r="CA76" s="1234"/>
      <c r="CB76" s="1234"/>
      <c r="CC76" s="1234"/>
      <c r="CD76" s="1234"/>
      <c r="CE76" s="1234"/>
      <c r="CF76" s="1234"/>
      <c r="CG76" s="1234"/>
      <c r="CH76" s="1234"/>
      <c r="CI76" s="1234"/>
      <c r="CJ76" s="1234"/>
      <c r="CK76" s="1234"/>
      <c r="CL76" s="1234"/>
      <c r="CM76" s="1234"/>
      <c r="CN76" s="1234"/>
      <c r="CO76" s="1234"/>
      <c r="CP76" s="1234"/>
      <c r="CQ76" s="1234"/>
      <c r="CR76" s="1234"/>
      <c r="CS76" s="1234"/>
      <c r="CT76" s="1234"/>
      <c r="CU76" s="1234"/>
      <c r="CV76" s="1234"/>
      <c r="CW76" s="1234"/>
      <c r="CX76" s="1234"/>
      <c r="CZ76" s="1119"/>
      <c r="DA76" s="1119"/>
      <c r="DB76" s="1119"/>
      <c r="DC76" s="1119"/>
      <c r="DD76" s="1119"/>
      <c r="DE76" s="1119"/>
      <c r="DF76" s="1119"/>
      <c r="DG76" s="1119"/>
      <c r="DH76" s="1119"/>
      <c r="DI76" s="1119"/>
      <c r="DJ76" s="1119"/>
      <c r="DK76" s="1119"/>
      <c r="DL76" s="1119"/>
      <c r="DM76" s="1119"/>
      <c r="DN76" s="1119"/>
      <c r="DO76" s="1119"/>
      <c r="DP76" s="1119"/>
      <c r="DQ76" s="1119"/>
      <c r="DR76" s="1119"/>
      <c r="DS76" s="1119"/>
      <c r="DT76" s="1119"/>
      <c r="DU76" s="1119"/>
      <c r="DV76" s="1119"/>
      <c r="DW76" s="1119"/>
      <c r="DY76" s="1120"/>
      <c r="DZ76" s="1120"/>
      <c r="EA76" s="1120"/>
      <c r="EB76" s="1120"/>
      <c r="EC76" s="1120"/>
      <c r="ED76" s="1120"/>
      <c r="EE76" s="1120"/>
      <c r="EF76" s="1120"/>
      <c r="EG76" s="1120"/>
      <c r="EH76" s="1120"/>
      <c r="EI76" s="1120"/>
      <c r="EJ76" s="1120"/>
      <c r="EK76" s="1120"/>
      <c r="EL76" s="1120"/>
      <c r="EM76" s="1120"/>
      <c r="EN76" s="1120"/>
      <c r="EO76" s="1120"/>
      <c r="EP76" s="1120"/>
      <c r="EQ76" s="1120"/>
      <c r="ER76" s="1120"/>
      <c r="ES76" s="1120"/>
      <c r="ET76" s="1120"/>
      <c r="EU76" s="1120"/>
      <c r="EW76" s="155"/>
      <c r="EX76" s="552"/>
      <c r="EY76" s="552"/>
      <c r="EZ76" s="552"/>
      <c r="FA76" s="552"/>
      <c r="FB76" s="552"/>
      <c r="FC76" s="552"/>
      <c r="FD76" s="552"/>
      <c r="FE76" s="552"/>
      <c r="FF76" s="552"/>
      <c r="FG76" s="552"/>
      <c r="FH76" s="552"/>
      <c r="FI76" s="552"/>
      <c r="FJ76" s="552"/>
      <c r="FK76" s="552"/>
      <c r="FL76" s="552"/>
      <c r="FM76" s="552"/>
      <c r="FN76" s="552"/>
      <c r="FO76" s="552"/>
      <c r="FP76" s="552"/>
      <c r="FQ76" s="552"/>
      <c r="FR76" s="552"/>
      <c r="FS76" s="552"/>
      <c r="FT76" s="552"/>
      <c r="FU76" s="552"/>
      <c r="FV76" s="552"/>
      <c r="FW76" s="552"/>
      <c r="FX76" s="552"/>
      <c r="FY76" s="552"/>
      <c r="FZ76" s="552"/>
      <c r="GA76" s="552"/>
      <c r="GB76" s="552"/>
      <c r="GC76" s="552"/>
      <c r="GD76" s="552"/>
      <c r="GE76" s="552"/>
      <c r="GF76" s="552"/>
      <c r="GG76" s="552"/>
      <c r="GH76" s="552"/>
      <c r="GI76" s="552"/>
      <c r="GJ76" s="552"/>
      <c r="GK76" s="552"/>
      <c r="GL76" s="552"/>
      <c r="GM76" s="552"/>
      <c r="GN76" s="552"/>
      <c r="GO76" s="552"/>
      <c r="GP76" s="552"/>
      <c r="GQ76" s="552"/>
      <c r="GR76" s="552"/>
      <c r="GS76" s="552"/>
      <c r="GT76" s="552"/>
      <c r="GU76" s="552"/>
      <c r="GV76" s="552"/>
      <c r="GW76" s="552"/>
      <c r="GX76" s="552"/>
      <c r="GY76" s="552"/>
      <c r="GZ76" s="552"/>
      <c r="HA76" s="552"/>
      <c r="HB76" s="552"/>
      <c r="HC76" s="552"/>
      <c r="HD76" s="552"/>
      <c r="HE76" s="552"/>
      <c r="HF76" s="552"/>
      <c r="HG76" s="552"/>
      <c r="HH76" s="552"/>
      <c r="HI76" s="552"/>
      <c r="HJ76" s="552"/>
      <c r="HK76" s="552"/>
      <c r="HL76" s="552"/>
      <c r="HM76" s="552"/>
      <c r="HN76" s="552"/>
      <c r="HO76" s="552"/>
      <c r="HP76" s="552"/>
      <c r="HQ76" s="552"/>
      <c r="HR76" s="552"/>
      <c r="HS76" s="552"/>
      <c r="HT76" s="155"/>
      <c r="HU76" s="155"/>
      <c r="HV76" s="552"/>
      <c r="HW76" s="552"/>
      <c r="HX76" s="552"/>
      <c r="HY76" s="552"/>
      <c r="HZ76" s="552"/>
      <c r="IA76" s="552"/>
      <c r="IB76" s="552"/>
      <c r="IC76" s="552"/>
      <c r="ID76" s="552"/>
      <c r="IE76" s="552"/>
      <c r="IF76" s="552"/>
      <c r="IG76" s="552"/>
      <c r="IH76" s="552"/>
      <c r="II76" s="552"/>
      <c r="IJ76" s="552"/>
      <c r="IK76" s="552"/>
      <c r="IL76" s="552"/>
      <c r="IM76" s="552"/>
      <c r="IN76" s="552"/>
      <c r="IO76" s="552"/>
      <c r="IP76" s="552"/>
      <c r="IQ76" s="552"/>
      <c r="IR76" s="552"/>
      <c r="IS76" s="552"/>
      <c r="IT76" s="552"/>
      <c r="IU76" s="552"/>
      <c r="IV76" s="552"/>
      <c r="IW76" s="552"/>
      <c r="IX76" s="552"/>
      <c r="IY76" s="552"/>
      <c r="IZ76" s="552"/>
      <c r="JA76" s="552"/>
      <c r="JB76" s="552"/>
      <c r="JC76" s="552"/>
      <c r="JD76" s="552"/>
      <c r="JE76" s="552"/>
      <c r="JF76" s="552"/>
      <c r="JG76" s="552"/>
      <c r="JH76" s="552"/>
      <c r="JI76" s="552"/>
      <c r="JJ76" s="552"/>
      <c r="JK76" s="552"/>
      <c r="JL76" s="552"/>
      <c r="JM76" s="552"/>
      <c r="JN76" s="552"/>
      <c r="JO76" s="552"/>
      <c r="JP76" s="552"/>
      <c r="JQ76" s="552"/>
      <c r="JR76" s="552"/>
      <c r="JS76" s="552"/>
      <c r="JT76" s="552"/>
      <c r="JU76" s="552"/>
      <c r="JV76" s="552"/>
      <c r="JW76" s="552"/>
      <c r="JX76" s="552"/>
      <c r="JY76" s="552"/>
      <c r="JZ76" s="552"/>
      <c r="KA76" s="552"/>
      <c r="KB76" s="552"/>
      <c r="KC76" s="552"/>
      <c r="KD76" s="552"/>
      <c r="KE76" s="552"/>
      <c r="KF76" s="552"/>
      <c r="KG76" s="552"/>
      <c r="KH76" s="552"/>
      <c r="KI76" s="552"/>
      <c r="KJ76" s="552"/>
      <c r="KK76" s="552"/>
      <c r="KL76" s="552"/>
      <c r="KM76" s="552"/>
      <c r="KN76" s="552"/>
      <c r="KO76" s="552"/>
      <c r="KP76" s="552"/>
      <c r="KQ76" s="552"/>
      <c r="KR76" s="155"/>
      <c r="KS76" s="155"/>
      <c r="KV76" s="1120"/>
      <c r="KW76" s="1120"/>
      <c r="KX76" s="1120"/>
      <c r="KY76" s="1120"/>
      <c r="KZ76" s="1120"/>
      <c r="LA76" s="1120"/>
      <c r="LB76" s="1120"/>
      <c r="LC76" s="1120"/>
      <c r="LD76" s="1120"/>
      <c r="LE76" s="1120"/>
      <c r="LF76" s="1120"/>
      <c r="LG76" s="1120"/>
      <c r="LH76" s="1120"/>
      <c r="LI76" s="1120"/>
      <c r="LJ76" s="1120"/>
      <c r="LK76" s="1120"/>
      <c r="LL76" s="1120"/>
      <c r="LM76" s="1120"/>
      <c r="LN76" s="1120"/>
      <c r="LO76" s="1120"/>
      <c r="LP76" s="1120"/>
      <c r="LQ76" s="1120"/>
      <c r="LR76" s="1120"/>
      <c r="LS76" s="1120"/>
      <c r="LT76" s="1120"/>
      <c r="LV76" s="1122"/>
      <c r="LW76" s="1122"/>
      <c r="LX76" s="1122"/>
      <c r="LY76" s="1122"/>
      <c r="MA76" s="1122"/>
      <c r="MB76" s="1122"/>
      <c r="MC76" s="1122"/>
      <c r="MD76" s="1122"/>
      <c r="ME76" s="1122"/>
      <c r="MF76" s="1122"/>
      <c r="MG76" s="1122"/>
      <c r="MH76" s="1122"/>
      <c r="MI76" s="1122"/>
      <c r="MK76" s="1122"/>
      <c r="ML76" s="1122"/>
      <c r="MM76" s="1122"/>
      <c r="MN76" s="1122"/>
      <c r="MO76" s="1122"/>
      <c r="NP76" s="155"/>
      <c r="NQ76" s="155"/>
      <c r="QN76" s="155"/>
      <c r="QO76" s="155"/>
      <c r="TL76" s="155"/>
    </row>
    <row r="77" spans="1:532" ht="6.75" customHeight="1" x14ac:dyDescent="0.25">
      <c r="A77" s="155"/>
      <c r="B77" s="512"/>
      <c r="C77" s="1174" t="s">
        <v>577</v>
      </c>
      <c r="D77" s="1175"/>
      <c r="E77" s="1175"/>
      <c r="F77" s="1175"/>
      <c r="G77" s="1175"/>
      <c r="H77" s="1175"/>
      <c r="I77" s="1175"/>
      <c r="J77" s="1175"/>
      <c r="K77" s="1175"/>
      <c r="L77" s="1175"/>
      <c r="M77" s="1175"/>
      <c r="N77" s="1175"/>
      <c r="O77" s="1175"/>
      <c r="P77" s="1175"/>
      <c r="Q77" s="1175"/>
      <c r="R77" s="1176"/>
      <c r="S77" s="508"/>
      <c r="T77" s="508"/>
      <c r="U77" s="508"/>
      <c r="V77" s="508"/>
      <c r="W77" s="508"/>
      <c r="X77" s="508"/>
      <c r="Y77" s="508"/>
      <c r="Z77" s="508"/>
      <c r="AA77" s="508"/>
      <c r="AB77" s="508"/>
      <c r="AC77" s="508"/>
      <c r="AD77" s="508"/>
      <c r="AE77" s="508"/>
      <c r="AF77" s="508"/>
      <c r="AG77" s="508"/>
      <c r="AH77" s="508"/>
      <c r="AI77" s="508"/>
      <c r="AJ77" s="508"/>
      <c r="AK77" s="508"/>
      <c r="AL77" s="508"/>
      <c r="AM77" s="508"/>
      <c r="AN77" s="516"/>
      <c r="AO77" s="1199"/>
      <c r="AP77" s="1199"/>
      <c r="AQ77" s="1199"/>
      <c r="AR77" s="1199"/>
      <c r="AS77" s="1199"/>
      <c r="AT77" s="1199"/>
      <c r="AU77" s="1199"/>
      <c r="AV77" s="1199"/>
      <c r="AW77" s="1199"/>
      <c r="AX77" s="1199"/>
      <c r="AY77" s="1199"/>
      <c r="AZ77" s="1199"/>
      <c r="BA77" s="1199"/>
      <c r="BB77" s="1227"/>
      <c r="BC77" s="1227"/>
      <c r="BD77" s="1227"/>
      <c r="BE77" s="1227"/>
      <c r="BF77" s="1198"/>
      <c r="BG77" s="1198"/>
      <c r="BH77" s="1198"/>
      <c r="BI77" s="1198"/>
      <c r="BJ77" s="1198"/>
      <c r="BK77" s="1198"/>
      <c r="BL77" s="1198"/>
      <c r="BM77" s="1198"/>
      <c r="BN77" s="1198"/>
      <c r="BO77" s="1198"/>
      <c r="BP77" s="1198"/>
      <c r="BQ77" s="1198"/>
      <c r="BR77" s="1198"/>
      <c r="BS77" s="1198"/>
      <c r="BT77" s="1198"/>
      <c r="BU77" s="1198"/>
      <c r="BV77" s="1198"/>
      <c r="BW77" s="515"/>
      <c r="BX77" s="155"/>
      <c r="BY77" s="155"/>
      <c r="BZ77" s="150"/>
      <c r="CA77" s="1234"/>
      <c r="CB77" s="1234"/>
      <c r="CC77" s="1234"/>
      <c r="CD77" s="1234"/>
      <c r="CE77" s="1234"/>
      <c r="CF77" s="1234"/>
      <c r="CG77" s="1234"/>
      <c r="CH77" s="1234"/>
      <c r="CI77" s="1234"/>
      <c r="CJ77" s="1234"/>
      <c r="CK77" s="1234"/>
      <c r="CL77" s="1234"/>
      <c r="CM77" s="1234"/>
      <c r="CN77" s="1234"/>
      <c r="CO77" s="1234"/>
      <c r="CP77" s="1234"/>
      <c r="CQ77" s="1234"/>
      <c r="CR77" s="1234"/>
      <c r="CS77" s="1234"/>
      <c r="CT77" s="1234"/>
      <c r="CU77" s="1234"/>
      <c r="CV77" s="1234"/>
      <c r="CW77" s="1234"/>
      <c r="CX77" s="1234"/>
      <c r="CZ77" s="1119"/>
      <c r="DA77" s="1119"/>
      <c r="DB77" s="1119"/>
      <c r="DC77" s="1119"/>
      <c r="DD77" s="1119"/>
      <c r="DE77" s="1119"/>
      <c r="DF77" s="1119"/>
      <c r="DG77" s="1119"/>
      <c r="DH77" s="1119"/>
      <c r="DI77" s="1119"/>
      <c r="DJ77" s="1119"/>
      <c r="DK77" s="1119"/>
      <c r="DL77" s="1119"/>
      <c r="DM77" s="1119"/>
      <c r="DN77" s="1119"/>
      <c r="DO77" s="1119"/>
      <c r="DP77" s="1119"/>
      <c r="DQ77" s="1119"/>
      <c r="DR77" s="1119"/>
      <c r="DS77" s="1119"/>
      <c r="DT77" s="1119"/>
      <c r="DU77" s="1119"/>
      <c r="DV77" s="1119"/>
      <c r="DW77" s="1119"/>
      <c r="DY77" s="1121"/>
      <c r="DZ77" s="1121"/>
      <c r="EA77" s="1121"/>
      <c r="EB77" s="1121"/>
      <c r="EC77" s="1121"/>
      <c r="ED77" s="1121"/>
      <c r="EE77" s="1121"/>
      <c r="EF77" s="1121"/>
      <c r="EG77" s="1121"/>
      <c r="EH77" s="1121"/>
      <c r="EI77" s="1121"/>
      <c r="EJ77" s="1121"/>
      <c r="EK77" s="1121"/>
      <c r="EL77" s="1121"/>
      <c r="EM77" s="1121"/>
      <c r="EN77" s="1121"/>
      <c r="EO77" s="1121"/>
      <c r="EP77" s="1121"/>
      <c r="EQ77" s="1121"/>
      <c r="ER77" s="1121"/>
      <c r="ES77" s="1121"/>
      <c r="ET77" s="1121"/>
      <c r="EU77" s="1121"/>
      <c r="EW77" s="155"/>
      <c r="EX77" s="552"/>
      <c r="EY77" s="552"/>
      <c r="EZ77" s="552"/>
      <c r="FA77" s="552"/>
      <c r="FB77" s="552"/>
      <c r="FC77" s="552"/>
      <c r="FD77" s="552"/>
      <c r="FE77" s="552"/>
      <c r="FF77" s="552"/>
      <c r="FG77" s="552"/>
      <c r="FH77" s="552"/>
      <c r="FI77" s="552"/>
      <c r="FJ77" s="552"/>
      <c r="FK77" s="552"/>
      <c r="FL77" s="552"/>
      <c r="FM77" s="552"/>
      <c r="FN77" s="552"/>
      <c r="FO77" s="552"/>
      <c r="FP77" s="552"/>
      <c r="FQ77" s="552"/>
      <c r="FR77" s="552"/>
      <c r="FS77" s="552"/>
      <c r="FT77" s="552"/>
      <c r="FU77" s="552"/>
      <c r="FV77" s="552"/>
      <c r="FW77" s="552"/>
      <c r="FX77" s="552"/>
      <c r="FY77" s="552"/>
      <c r="FZ77" s="552"/>
      <c r="GA77" s="552"/>
      <c r="GB77" s="552"/>
      <c r="GC77" s="552"/>
      <c r="GD77" s="552"/>
      <c r="GE77" s="552"/>
      <c r="GF77" s="552"/>
      <c r="GG77" s="552"/>
      <c r="GH77" s="552"/>
      <c r="GI77" s="552"/>
      <c r="GJ77" s="552"/>
      <c r="GK77" s="552"/>
      <c r="GL77" s="552"/>
      <c r="GM77" s="552"/>
      <c r="GN77" s="552"/>
      <c r="GO77" s="552"/>
      <c r="GP77" s="552"/>
      <c r="GQ77" s="552"/>
      <c r="GR77" s="552"/>
      <c r="GS77" s="552"/>
      <c r="GT77" s="552"/>
      <c r="GU77" s="552"/>
      <c r="GV77" s="552"/>
      <c r="GW77" s="552"/>
      <c r="GX77" s="552"/>
      <c r="GY77" s="552"/>
      <c r="GZ77" s="552"/>
      <c r="HA77" s="552"/>
      <c r="HB77" s="552"/>
      <c r="HC77" s="552"/>
      <c r="HD77" s="552"/>
      <c r="HE77" s="552"/>
      <c r="HF77" s="552"/>
      <c r="HG77" s="552"/>
      <c r="HH77" s="552"/>
      <c r="HI77" s="552"/>
      <c r="HJ77" s="552"/>
      <c r="HK77" s="552"/>
      <c r="HL77" s="552"/>
      <c r="HM77" s="552"/>
      <c r="HN77" s="552"/>
      <c r="HO77" s="552"/>
      <c r="HP77" s="552"/>
      <c r="HQ77" s="552"/>
      <c r="HR77" s="552"/>
      <c r="HS77" s="552"/>
      <c r="HT77" s="155"/>
      <c r="HU77" s="155"/>
      <c r="HV77" s="552"/>
      <c r="HW77" s="552"/>
      <c r="HX77" s="552"/>
      <c r="HY77" s="552"/>
      <c r="HZ77" s="552"/>
      <c r="IA77" s="552"/>
      <c r="IB77" s="552"/>
      <c r="IC77" s="552"/>
      <c r="ID77" s="552"/>
      <c r="IE77" s="552"/>
      <c r="IF77" s="552"/>
      <c r="IG77" s="552"/>
      <c r="IH77" s="552"/>
      <c r="II77" s="552"/>
      <c r="IJ77" s="552"/>
      <c r="IK77" s="552"/>
      <c r="IL77" s="552"/>
      <c r="IM77" s="552"/>
      <c r="IN77" s="552"/>
      <c r="IO77" s="552"/>
      <c r="IP77" s="552"/>
      <c r="IQ77" s="552"/>
      <c r="IR77" s="552"/>
      <c r="IS77" s="552"/>
      <c r="IT77" s="552"/>
      <c r="IU77" s="552"/>
      <c r="IV77" s="552"/>
      <c r="IW77" s="552"/>
      <c r="IX77" s="552"/>
      <c r="IY77" s="552"/>
      <c r="IZ77" s="552"/>
      <c r="JA77" s="552"/>
      <c r="JB77" s="552"/>
      <c r="JC77" s="552"/>
      <c r="JD77" s="552"/>
      <c r="JE77" s="552"/>
      <c r="JF77" s="552"/>
      <c r="JG77" s="552"/>
      <c r="JH77" s="552"/>
      <c r="JI77" s="552"/>
      <c r="JJ77" s="552"/>
      <c r="JK77" s="552"/>
      <c r="JL77" s="552"/>
      <c r="JM77" s="552"/>
      <c r="JN77" s="552"/>
      <c r="JO77" s="552"/>
      <c r="JP77" s="552"/>
      <c r="JQ77" s="552"/>
      <c r="JR77" s="552"/>
      <c r="JS77" s="552"/>
      <c r="JT77" s="552"/>
      <c r="JU77" s="552"/>
      <c r="JV77" s="552"/>
      <c r="JW77" s="552"/>
      <c r="JX77" s="552"/>
      <c r="JY77" s="552"/>
      <c r="JZ77" s="552"/>
      <c r="KA77" s="552"/>
      <c r="KB77" s="552"/>
      <c r="KC77" s="552"/>
      <c r="KD77" s="552"/>
      <c r="KE77" s="552"/>
      <c r="KF77" s="552"/>
      <c r="KG77" s="552"/>
      <c r="KH77" s="552"/>
      <c r="KI77" s="552"/>
      <c r="KJ77" s="552"/>
      <c r="KK77" s="552"/>
      <c r="KL77" s="552"/>
      <c r="KM77" s="552"/>
      <c r="KN77" s="552"/>
      <c r="KO77" s="552"/>
      <c r="KP77" s="552"/>
      <c r="KQ77" s="552"/>
      <c r="KR77" s="155"/>
      <c r="KS77" s="155"/>
      <c r="KV77" s="1121"/>
      <c r="KW77" s="1121"/>
      <c r="KX77" s="1121"/>
      <c r="KY77" s="1121"/>
      <c r="KZ77" s="1121"/>
      <c r="LA77" s="1121"/>
      <c r="LB77" s="1121"/>
      <c r="LC77" s="1121"/>
      <c r="LD77" s="1121"/>
      <c r="LE77" s="1121"/>
      <c r="LF77" s="1121"/>
      <c r="LG77" s="1121"/>
      <c r="LH77" s="1121"/>
      <c r="LI77" s="1121"/>
      <c r="LJ77" s="1121"/>
      <c r="LK77" s="1121"/>
      <c r="LL77" s="1121"/>
      <c r="LM77" s="1121"/>
      <c r="LN77" s="1121"/>
      <c r="LO77" s="1121"/>
      <c r="LP77" s="1121"/>
      <c r="LQ77" s="1121"/>
      <c r="LR77" s="1121"/>
      <c r="LS77" s="1121"/>
      <c r="LT77" s="1121"/>
      <c r="LV77" s="1123"/>
      <c r="LW77" s="1123"/>
      <c r="LX77" s="1123"/>
      <c r="LY77" s="1123"/>
      <c r="MA77" s="1123"/>
      <c r="MB77" s="1123"/>
      <c r="MC77" s="1123"/>
      <c r="MD77" s="1123"/>
      <c r="ME77" s="1123"/>
      <c r="MF77" s="1123"/>
      <c r="MG77" s="1123"/>
      <c r="MH77" s="1123"/>
      <c r="MI77" s="1123"/>
      <c r="MK77" s="1123"/>
      <c r="ML77" s="1123"/>
      <c r="MM77" s="1123"/>
      <c r="MN77" s="1123"/>
      <c r="MO77" s="1123"/>
      <c r="NP77" s="155"/>
      <c r="NQ77" s="155"/>
      <c r="QN77" s="155"/>
      <c r="QO77" s="155"/>
      <c r="TL77" s="155"/>
    </row>
    <row r="78" spans="1:532" ht="6.75" customHeight="1" thickBot="1" x14ac:dyDescent="0.3">
      <c r="A78" s="155"/>
      <c r="B78" s="512"/>
      <c r="C78" s="1177"/>
      <c r="D78" s="1178"/>
      <c r="E78" s="1178"/>
      <c r="F78" s="1178"/>
      <c r="G78" s="1178"/>
      <c r="H78" s="1178"/>
      <c r="I78" s="1178"/>
      <c r="J78" s="1178"/>
      <c r="K78" s="1178"/>
      <c r="L78" s="1178"/>
      <c r="M78" s="1178"/>
      <c r="N78" s="1178"/>
      <c r="O78" s="1178"/>
      <c r="P78" s="1178"/>
      <c r="Q78" s="1178"/>
      <c r="R78" s="1179"/>
      <c r="S78" s="508"/>
      <c r="T78" s="508"/>
      <c r="U78" s="508"/>
      <c r="V78" s="508"/>
      <c r="W78" s="508"/>
      <c r="X78" s="508"/>
      <c r="Y78" s="508"/>
      <c r="Z78" s="508"/>
      <c r="AA78" s="508"/>
      <c r="AB78" s="508"/>
      <c r="AC78" s="508"/>
      <c r="AD78" s="508"/>
      <c r="AE78" s="508"/>
      <c r="AF78" s="508"/>
      <c r="AG78" s="508"/>
      <c r="AH78" s="508"/>
      <c r="AI78" s="508"/>
      <c r="AJ78" s="508"/>
      <c r="AK78" s="508"/>
      <c r="AL78" s="508"/>
      <c r="AM78" s="508"/>
      <c r="AN78" s="516"/>
      <c r="AO78" s="508"/>
      <c r="AP78" s="508"/>
      <c r="AQ78" s="508"/>
      <c r="AR78" s="508"/>
      <c r="AS78" s="508"/>
      <c r="AT78" s="508"/>
      <c r="AU78" s="508"/>
      <c r="AV78" s="508"/>
      <c r="AW78" s="508"/>
      <c r="AX78" s="508"/>
      <c r="AY78" s="508"/>
      <c r="AZ78" s="508"/>
      <c r="BA78" s="508"/>
      <c r="BB78" s="508"/>
      <c r="BC78" s="508"/>
      <c r="BD78" s="508"/>
      <c r="BE78" s="508"/>
      <c r="BF78" s="508"/>
      <c r="BG78" s="508"/>
      <c r="BH78" s="508"/>
      <c r="BI78" s="508"/>
      <c r="BJ78" s="508"/>
      <c r="BK78" s="508"/>
      <c r="BL78" s="508"/>
      <c r="BM78" s="508"/>
      <c r="BN78" s="508"/>
      <c r="BO78" s="508"/>
      <c r="BP78" s="508"/>
      <c r="BQ78" s="508"/>
      <c r="BR78" s="508"/>
      <c r="BS78" s="508"/>
      <c r="BT78" s="508"/>
      <c r="BU78" s="508"/>
      <c r="BV78" s="508"/>
      <c r="BW78" s="515"/>
      <c r="BX78" s="155"/>
      <c r="BY78" s="155"/>
      <c r="BZ78" s="150"/>
      <c r="CA78" s="1234"/>
      <c r="CB78" s="1234"/>
      <c r="CC78" s="1234"/>
      <c r="CD78" s="1234"/>
      <c r="CE78" s="1234"/>
      <c r="CF78" s="1234"/>
      <c r="CG78" s="1234"/>
      <c r="CH78" s="1234"/>
      <c r="CI78" s="1234"/>
      <c r="CJ78" s="1234"/>
      <c r="CK78" s="1234"/>
      <c r="CL78" s="1234"/>
      <c r="CM78" s="1234"/>
      <c r="CN78" s="1234"/>
      <c r="CO78" s="1234"/>
      <c r="CP78" s="1234"/>
      <c r="CQ78" s="1234"/>
      <c r="CR78" s="1234"/>
      <c r="CS78" s="1234"/>
      <c r="CT78" s="1234"/>
      <c r="CU78" s="1234"/>
      <c r="CV78" s="1234"/>
      <c r="CW78" s="1234"/>
      <c r="CX78" s="1234"/>
      <c r="CZ78" s="1119"/>
      <c r="DA78" s="1119"/>
      <c r="DB78" s="1119"/>
      <c r="DC78" s="1119"/>
      <c r="DD78" s="1119"/>
      <c r="DE78" s="1119"/>
      <c r="DF78" s="1119"/>
      <c r="DG78" s="1119"/>
      <c r="DH78" s="1119"/>
      <c r="DI78" s="1119"/>
      <c r="DJ78" s="1119"/>
      <c r="DK78" s="1119"/>
      <c r="DL78" s="1119"/>
      <c r="DM78" s="1119"/>
      <c r="DN78" s="1119"/>
      <c r="DO78" s="1119"/>
      <c r="DP78" s="1119"/>
      <c r="DQ78" s="1119"/>
      <c r="DR78" s="1119"/>
      <c r="DS78" s="1119"/>
      <c r="DT78" s="1119"/>
      <c r="DU78" s="1119"/>
      <c r="DV78" s="1119"/>
      <c r="DW78" s="1119"/>
      <c r="DY78" s="1120"/>
      <c r="DZ78" s="1120"/>
      <c r="EA78" s="1120"/>
      <c r="EB78" s="1120"/>
      <c r="EC78" s="1120"/>
      <c r="ED78" s="1120"/>
      <c r="EE78" s="1120"/>
      <c r="EF78" s="1120"/>
      <c r="EG78" s="1120"/>
      <c r="EH78" s="1120"/>
      <c r="EI78" s="1120"/>
      <c r="EJ78" s="1120"/>
      <c r="EK78" s="1120"/>
      <c r="EL78" s="1120"/>
      <c r="EM78" s="1120"/>
      <c r="EN78" s="1120"/>
      <c r="EO78" s="1120"/>
      <c r="EP78" s="1120"/>
      <c r="EQ78" s="1120"/>
      <c r="ER78" s="1120"/>
      <c r="ES78" s="1120"/>
      <c r="ET78" s="1120"/>
      <c r="EU78" s="1120"/>
      <c r="EW78" s="155"/>
      <c r="EX78" s="552"/>
      <c r="EY78" s="552"/>
      <c r="EZ78" s="552"/>
      <c r="FA78" s="552"/>
      <c r="FB78" s="552"/>
      <c r="FC78" s="552"/>
      <c r="FD78" s="552"/>
      <c r="FE78" s="552"/>
      <c r="FF78" s="552"/>
      <c r="FG78" s="552"/>
      <c r="FH78" s="552"/>
      <c r="FI78" s="552"/>
      <c r="FJ78" s="552"/>
      <c r="FK78" s="552"/>
      <c r="FL78" s="552"/>
      <c r="FM78" s="552"/>
      <c r="FN78" s="552"/>
      <c r="FO78" s="552"/>
      <c r="FP78" s="552"/>
      <c r="FQ78" s="552"/>
      <c r="FR78" s="552"/>
      <c r="FS78" s="552"/>
      <c r="FT78" s="552"/>
      <c r="FU78" s="552"/>
      <c r="FV78" s="552"/>
      <c r="FW78" s="552"/>
      <c r="FX78" s="552"/>
      <c r="FY78" s="552"/>
      <c r="FZ78" s="552"/>
      <c r="GA78" s="552"/>
      <c r="GB78" s="552"/>
      <c r="GC78" s="552"/>
      <c r="GD78" s="552"/>
      <c r="GE78" s="552"/>
      <c r="GF78" s="552"/>
      <c r="GG78" s="552"/>
      <c r="GH78" s="552"/>
      <c r="GI78" s="552"/>
      <c r="GJ78" s="552"/>
      <c r="GK78" s="552"/>
      <c r="GL78" s="552"/>
      <c r="GM78" s="552"/>
      <c r="GN78" s="552"/>
      <c r="GO78" s="552"/>
      <c r="GP78" s="552"/>
      <c r="GQ78" s="552"/>
      <c r="GR78" s="552"/>
      <c r="GS78" s="552"/>
      <c r="GT78" s="552"/>
      <c r="GU78" s="552"/>
      <c r="GV78" s="552"/>
      <c r="GW78" s="552"/>
      <c r="GX78" s="552"/>
      <c r="GY78" s="552"/>
      <c r="GZ78" s="552"/>
      <c r="HA78" s="552"/>
      <c r="HB78" s="552"/>
      <c r="HC78" s="552"/>
      <c r="HD78" s="552"/>
      <c r="HE78" s="552"/>
      <c r="HF78" s="552"/>
      <c r="HG78" s="552"/>
      <c r="HH78" s="552"/>
      <c r="HI78" s="552"/>
      <c r="HJ78" s="552"/>
      <c r="HK78" s="552"/>
      <c r="HL78" s="552"/>
      <c r="HM78" s="552"/>
      <c r="HN78" s="552"/>
      <c r="HO78" s="552"/>
      <c r="HP78" s="552"/>
      <c r="HQ78" s="552"/>
      <c r="HR78" s="552"/>
      <c r="HS78" s="552"/>
      <c r="HT78" s="155"/>
      <c r="HU78" s="155"/>
      <c r="HV78" s="552"/>
      <c r="HW78" s="552"/>
      <c r="HX78" s="552"/>
      <c r="HY78" s="552"/>
      <c r="HZ78" s="552"/>
      <c r="IA78" s="552"/>
      <c r="IB78" s="552"/>
      <c r="IC78" s="552"/>
      <c r="ID78" s="552"/>
      <c r="IE78" s="552"/>
      <c r="IF78" s="552"/>
      <c r="IG78" s="552"/>
      <c r="IH78" s="552"/>
      <c r="II78" s="552"/>
      <c r="IJ78" s="552"/>
      <c r="IK78" s="552"/>
      <c r="IL78" s="552"/>
      <c r="IM78" s="552"/>
      <c r="IN78" s="552"/>
      <c r="IO78" s="552"/>
      <c r="IP78" s="552"/>
      <c r="IQ78" s="552"/>
      <c r="IR78" s="552"/>
      <c r="IS78" s="552"/>
      <c r="IT78" s="552"/>
      <c r="IU78" s="552"/>
      <c r="IV78" s="552"/>
      <c r="IW78" s="552"/>
      <c r="IX78" s="552"/>
      <c r="IY78" s="552"/>
      <c r="IZ78" s="552"/>
      <c r="JA78" s="552"/>
      <c r="JB78" s="552"/>
      <c r="JC78" s="552"/>
      <c r="JD78" s="552"/>
      <c r="JE78" s="552"/>
      <c r="JF78" s="552"/>
      <c r="JG78" s="552"/>
      <c r="JH78" s="552"/>
      <c r="JI78" s="552"/>
      <c r="JJ78" s="552"/>
      <c r="JK78" s="552"/>
      <c r="JL78" s="552"/>
      <c r="JM78" s="552"/>
      <c r="JN78" s="552"/>
      <c r="JO78" s="552"/>
      <c r="JP78" s="552"/>
      <c r="JQ78" s="552"/>
      <c r="JR78" s="552"/>
      <c r="JS78" s="552"/>
      <c r="JT78" s="552"/>
      <c r="JU78" s="552"/>
      <c r="JV78" s="552"/>
      <c r="JW78" s="552"/>
      <c r="JX78" s="552"/>
      <c r="JY78" s="552"/>
      <c r="JZ78" s="552"/>
      <c r="KA78" s="552"/>
      <c r="KB78" s="552"/>
      <c r="KC78" s="552"/>
      <c r="KD78" s="552"/>
      <c r="KE78" s="552"/>
      <c r="KF78" s="552"/>
      <c r="KG78" s="552"/>
      <c r="KH78" s="552"/>
      <c r="KI78" s="552"/>
      <c r="KJ78" s="552"/>
      <c r="KK78" s="552"/>
      <c r="KL78" s="552"/>
      <c r="KM78" s="552"/>
      <c r="KN78" s="552"/>
      <c r="KO78" s="552"/>
      <c r="KP78" s="552"/>
      <c r="KQ78" s="552"/>
      <c r="KR78" s="155"/>
      <c r="KS78" s="155"/>
      <c r="KV78" s="1120"/>
      <c r="KW78" s="1120"/>
      <c r="KX78" s="1120"/>
      <c r="KY78" s="1120"/>
      <c r="KZ78" s="1120"/>
      <c r="LA78" s="1120"/>
      <c r="LB78" s="1120"/>
      <c r="LC78" s="1120"/>
      <c r="LD78" s="1120"/>
      <c r="LE78" s="1120"/>
      <c r="LF78" s="1120"/>
      <c r="LG78" s="1120"/>
      <c r="LH78" s="1120"/>
      <c r="LI78" s="1120"/>
      <c r="LJ78" s="1120"/>
      <c r="LK78" s="1120"/>
      <c r="LL78" s="1120"/>
      <c r="LM78" s="1120"/>
      <c r="LN78" s="1120"/>
      <c r="LO78" s="1120"/>
      <c r="LP78" s="1120"/>
      <c r="LQ78" s="1120"/>
      <c r="LR78" s="1120"/>
      <c r="LS78" s="1120"/>
      <c r="LT78" s="1120"/>
      <c r="LV78" s="1122"/>
      <c r="LW78" s="1122"/>
      <c r="LX78" s="1122"/>
      <c r="LY78" s="1122"/>
      <c r="MA78" s="1122"/>
      <c r="MB78" s="1122"/>
      <c r="MC78" s="1122"/>
      <c r="MD78" s="1122"/>
      <c r="ME78" s="1122"/>
      <c r="MF78" s="1122"/>
      <c r="MG78" s="1122"/>
      <c r="MH78" s="1122"/>
      <c r="MI78" s="1122"/>
      <c r="MK78" s="1122"/>
      <c r="ML78" s="1122"/>
      <c r="MM78" s="1122"/>
      <c r="MN78" s="1122"/>
      <c r="MO78" s="1122"/>
      <c r="NP78" s="155"/>
      <c r="NQ78" s="155"/>
      <c r="QN78" s="155"/>
      <c r="QO78" s="155"/>
      <c r="TL78" s="155"/>
    </row>
    <row r="79" spans="1:532" ht="6.75" customHeight="1" thickBot="1" x14ac:dyDescent="0.3">
      <c r="A79" s="155"/>
      <c r="B79" s="512"/>
      <c r="C79" s="1189" t="str">
        <f>Bond</f>
        <v>My life’s work is a series of tomes related to a specific field of lore.</v>
      </c>
      <c r="D79" s="1190"/>
      <c r="E79" s="1190"/>
      <c r="F79" s="1190"/>
      <c r="G79" s="1190"/>
      <c r="H79" s="1190"/>
      <c r="I79" s="1190"/>
      <c r="J79" s="1190"/>
      <c r="K79" s="1190"/>
      <c r="L79" s="1190"/>
      <c r="M79" s="1190"/>
      <c r="N79" s="1190"/>
      <c r="O79" s="1190"/>
      <c r="P79" s="1190"/>
      <c r="Q79" s="1190"/>
      <c r="R79" s="1190"/>
      <c r="S79" s="1190"/>
      <c r="T79" s="1190"/>
      <c r="U79" s="1190"/>
      <c r="V79" s="1190"/>
      <c r="W79" s="1190"/>
      <c r="X79" s="1190"/>
      <c r="Y79" s="1190"/>
      <c r="Z79" s="1190"/>
      <c r="AA79" s="1190"/>
      <c r="AB79" s="1190"/>
      <c r="AC79" s="1190"/>
      <c r="AD79" s="1190"/>
      <c r="AE79" s="1190"/>
      <c r="AF79" s="1190"/>
      <c r="AG79" s="1190"/>
      <c r="AH79" s="1190"/>
      <c r="AI79" s="1190"/>
      <c r="AJ79" s="1190"/>
      <c r="AK79" s="1190"/>
      <c r="AL79" s="1191"/>
      <c r="AM79" s="508"/>
      <c r="AN79" s="516"/>
      <c r="AO79" s="508"/>
      <c r="AP79" s="508"/>
      <c r="AQ79" s="508"/>
      <c r="AR79" s="508"/>
      <c r="AS79" s="508"/>
      <c r="AT79" s="508"/>
      <c r="AU79" s="508"/>
      <c r="AV79" s="508"/>
      <c r="AW79" s="508"/>
      <c r="AX79" s="508"/>
      <c r="AY79" s="508"/>
      <c r="AZ79" s="508"/>
      <c r="BA79" s="508"/>
      <c r="BB79" s="508"/>
      <c r="BC79" s="508"/>
      <c r="BD79" s="508"/>
      <c r="BE79" s="508"/>
      <c r="BF79" s="508"/>
      <c r="BG79" s="508"/>
      <c r="BH79" s="508"/>
      <c r="BI79" s="508"/>
      <c r="BJ79" s="508"/>
      <c r="BK79" s="508"/>
      <c r="BL79" s="508"/>
      <c r="BM79" s="508"/>
      <c r="BN79" s="508"/>
      <c r="BO79" s="508"/>
      <c r="BP79" s="508"/>
      <c r="BQ79" s="508"/>
      <c r="BR79" s="508"/>
      <c r="BS79" s="508"/>
      <c r="BT79" s="508"/>
      <c r="BU79" s="508"/>
      <c r="BV79" s="508"/>
      <c r="BW79" s="515"/>
      <c r="BX79" s="155"/>
      <c r="BY79" s="155"/>
      <c r="BZ79" s="150"/>
      <c r="CA79" s="1234"/>
      <c r="CB79" s="1234"/>
      <c r="CC79" s="1234"/>
      <c r="CD79" s="1234"/>
      <c r="CE79" s="1234"/>
      <c r="CF79" s="1234"/>
      <c r="CG79" s="1234"/>
      <c r="CH79" s="1234"/>
      <c r="CI79" s="1234"/>
      <c r="CJ79" s="1234"/>
      <c r="CK79" s="1234"/>
      <c r="CL79" s="1234"/>
      <c r="CM79" s="1234"/>
      <c r="CN79" s="1234"/>
      <c r="CO79" s="1234"/>
      <c r="CP79" s="1234"/>
      <c r="CQ79" s="1234"/>
      <c r="CR79" s="1234"/>
      <c r="CS79" s="1234"/>
      <c r="CT79" s="1234"/>
      <c r="CU79" s="1234"/>
      <c r="CV79" s="1234"/>
      <c r="CW79" s="1234"/>
      <c r="CX79" s="1234"/>
      <c r="CZ79" s="1119"/>
      <c r="DA79" s="1119"/>
      <c r="DB79" s="1119"/>
      <c r="DC79" s="1119"/>
      <c r="DD79" s="1119"/>
      <c r="DE79" s="1119"/>
      <c r="DF79" s="1119"/>
      <c r="DG79" s="1119"/>
      <c r="DH79" s="1119"/>
      <c r="DI79" s="1119"/>
      <c r="DJ79" s="1119"/>
      <c r="DK79" s="1119"/>
      <c r="DL79" s="1119"/>
      <c r="DM79" s="1119"/>
      <c r="DN79" s="1119"/>
      <c r="DO79" s="1119"/>
      <c r="DP79" s="1119"/>
      <c r="DQ79" s="1119"/>
      <c r="DR79" s="1119"/>
      <c r="DS79" s="1119"/>
      <c r="DT79" s="1119"/>
      <c r="DU79" s="1119"/>
      <c r="DV79" s="1119"/>
      <c r="DW79" s="1119"/>
      <c r="DY79" s="1121"/>
      <c r="DZ79" s="1121"/>
      <c r="EA79" s="1121"/>
      <c r="EB79" s="1121"/>
      <c r="EC79" s="1121"/>
      <c r="ED79" s="1121"/>
      <c r="EE79" s="1121"/>
      <c r="EF79" s="1121"/>
      <c r="EG79" s="1121"/>
      <c r="EH79" s="1121"/>
      <c r="EI79" s="1121"/>
      <c r="EJ79" s="1121"/>
      <c r="EK79" s="1121"/>
      <c r="EL79" s="1121"/>
      <c r="EM79" s="1121"/>
      <c r="EN79" s="1121"/>
      <c r="EO79" s="1121"/>
      <c r="EP79" s="1121"/>
      <c r="EQ79" s="1121"/>
      <c r="ER79" s="1121"/>
      <c r="ES79" s="1121"/>
      <c r="ET79" s="1121"/>
      <c r="EU79" s="1121"/>
      <c r="EW79" s="155"/>
      <c r="EX79" s="552"/>
      <c r="EY79" s="552"/>
      <c r="EZ79" s="552"/>
      <c r="FA79" s="552"/>
      <c r="FB79" s="552"/>
      <c r="FC79" s="552"/>
      <c r="FD79" s="552"/>
      <c r="FE79" s="552"/>
      <c r="FF79" s="552"/>
      <c r="FG79" s="552"/>
      <c r="FH79" s="552"/>
      <c r="FI79" s="552"/>
      <c r="FJ79" s="552"/>
      <c r="FK79" s="552"/>
      <c r="FL79" s="552"/>
      <c r="FM79" s="552"/>
      <c r="FN79" s="552"/>
      <c r="FO79" s="552"/>
      <c r="FP79" s="552"/>
      <c r="FQ79" s="552"/>
      <c r="FR79" s="552"/>
      <c r="FS79" s="552"/>
      <c r="FT79" s="552"/>
      <c r="FU79" s="552"/>
      <c r="FV79" s="552"/>
      <c r="FW79" s="552"/>
      <c r="FX79" s="552"/>
      <c r="FY79" s="552"/>
      <c r="FZ79" s="552"/>
      <c r="GA79" s="552"/>
      <c r="GB79" s="552"/>
      <c r="GC79" s="552"/>
      <c r="GD79" s="552"/>
      <c r="GE79" s="552"/>
      <c r="GF79" s="552"/>
      <c r="GG79" s="552"/>
      <c r="GH79" s="552"/>
      <c r="GI79" s="552"/>
      <c r="GJ79" s="552"/>
      <c r="GK79" s="552"/>
      <c r="GL79" s="552"/>
      <c r="GM79" s="552"/>
      <c r="GN79" s="552"/>
      <c r="GO79" s="552"/>
      <c r="GP79" s="552"/>
      <c r="GQ79" s="552"/>
      <c r="GR79" s="552"/>
      <c r="GS79" s="552"/>
      <c r="GT79" s="552"/>
      <c r="GU79" s="552"/>
      <c r="GV79" s="552"/>
      <c r="GW79" s="552"/>
      <c r="GX79" s="552"/>
      <c r="GY79" s="552"/>
      <c r="GZ79" s="552"/>
      <c r="HA79" s="552"/>
      <c r="HB79" s="552"/>
      <c r="HC79" s="552"/>
      <c r="HD79" s="552"/>
      <c r="HE79" s="552"/>
      <c r="HF79" s="552"/>
      <c r="HG79" s="552"/>
      <c r="HH79" s="552"/>
      <c r="HI79" s="552"/>
      <c r="HJ79" s="552"/>
      <c r="HK79" s="552"/>
      <c r="HL79" s="552"/>
      <c r="HM79" s="552"/>
      <c r="HN79" s="552"/>
      <c r="HO79" s="552"/>
      <c r="HP79" s="552"/>
      <c r="HQ79" s="552"/>
      <c r="HR79" s="552"/>
      <c r="HS79" s="552"/>
      <c r="HT79" s="155"/>
      <c r="HU79" s="155"/>
      <c r="HV79" s="552"/>
      <c r="HW79" s="552"/>
      <c r="HX79" s="552"/>
      <c r="HY79" s="552"/>
      <c r="HZ79" s="552"/>
      <c r="IA79" s="552"/>
      <c r="IB79" s="552"/>
      <c r="IC79" s="552"/>
      <c r="ID79" s="552"/>
      <c r="IE79" s="552"/>
      <c r="IF79" s="552"/>
      <c r="IG79" s="552"/>
      <c r="IH79" s="552"/>
      <c r="II79" s="552"/>
      <c r="IJ79" s="552"/>
      <c r="IK79" s="552"/>
      <c r="IL79" s="552"/>
      <c r="IM79" s="552"/>
      <c r="IN79" s="552"/>
      <c r="IO79" s="552"/>
      <c r="IP79" s="552"/>
      <c r="IQ79" s="552"/>
      <c r="IR79" s="552"/>
      <c r="IS79" s="552"/>
      <c r="IT79" s="552"/>
      <c r="IU79" s="552"/>
      <c r="IV79" s="552"/>
      <c r="IW79" s="552"/>
      <c r="IX79" s="552"/>
      <c r="IY79" s="552"/>
      <c r="IZ79" s="552"/>
      <c r="JA79" s="552"/>
      <c r="JB79" s="552"/>
      <c r="JC79" s="552"/>
      <c r="JD79" s="552"/>
      <c r="JE79" s="552"/>
      <c r="JF79" s="552"/>
      <c r="JG79" s="552"/>
      <c r="JH79" s="552"/>
      <c r="JI79" s="552"/>
      <c r="JJ79" s="552"/>
      <c r="JK79" s="552"/>
      <c r="JL79" s="552"/>
      <c r="JM79" s="552"/>
      <c r="JN79" s="552"/>
      <c r="JO79" s="552"/>
      <c r="JP79" s="552"/>
      <c r="JQ79" s="552"/>
      <c r="JR79" s="552"/>
      <c r="JS79" s="552"/>
      <c r="JT79" s="552"/>
      <c r="JU79" s="552"/>
      <c r="JV79" s="552"/>
      <c r="JW79" s="552"/>
      <c r="JX79" s="552"/>
      <c r="JY79" s="552"/>
      <c r="JZ79" s="552"/>
      <c r="KA79" s="552"/>
      <c r="KB79" s="552"/>
      <c r="KC79" s="552"/>
      <c r="KD79" s="552"/>
      <c r="KE79" s="552"/>
      <c r="KF79" s="552"/>
      <c r="KG79" s="552"/>
      <c r="KH79" s="552"/>
      <c r="KI79" s="552"/>
      <c r="KJ79" s="552"/>
      <c r="KK79" s="552"/>
      <c r="KL79" s="552"/>
      <c r="KM79" s="552"/>
      <c r="KN79" s="552"/>
      <c r="KO79" s="552"/>
      <c r="KP79" s="552"/>
      <c r="KQ79" s="552"/>
      <c r="KR79" s="155"/>
      <c r="KS79" s="155"/>
      <c r="KV79" s="1121"/>
      <c r="KW79" s="1121"/>
      <c r="KX79" s="1121"/>
      <c r="KY79" s="1121"/>
      <c r="KZ79" s="1121"/>
      <c r="LA79" s="1121"/>
      <c r="LB79" s="1121"/>
      <c r="LC79" s="1121"/>
      <c r="LD79" s="1121"/>
      <c r="LE79" s="1121"/>
      <c r="LF79" s="1121"/>
      <c r="LG79" s="1121"/>
      <c r="LH79" s="1121"/>
      <c r="LI79" s="1121"/>
      <c r="LJ79" s="1121"/>
      <c r="LK79" s="1121"/>
      <c r="LL79" s="1121"/>
      <c r="LM79" s="1121"/>
      <c r="LN79" s="1121"/>
      <c r="LO79" s="1121"/>
      <c r="LP79" s="1121"/>
      <c r="LQ79" s="1121"/>
      <c r="LR79" s="1121"/>
      <c r="LS79" s="1121"/>
      <c r="LT79" s="1121"/>
      <c r="LV79" s="1123"/>
      <c r="LW79" s="1123"/>
      <c r="LX79" s="1123"/>
      <c r="LY79" s="1123"/>
      <c r="MA79" s="1123"/>
      <c r="MB79" s="1123"/>
      <c r="MC79" s="1123"/>
      <c r="MD79" s="1123"/>
      <c r="ME79" s="1123"/>
      <c r="MF79" s="1123"/>
      <c r="MG79" s="1123"/>
      <c r="MH79" s="1123"/>
      <c r="MI79" s="1123"/>
      <c r="MK79" s="1123"/>
      <c r="ML79" s="1123"/>
      <c r="MM79" s="1123"/>
      <c r="MN79" s="1123"/>
      <c r="MO79" s="1123"/>
      <c r="NP79" s="155"/>
      <c r="NQ79" s="155"/>
      <c r="QN79" s="155"/>
      <c r="QO79" s="155"/>
      <c r="TL79" s="155"/>
    </row>
    <row r="80" spans="1:532" ht="6.75" customHeight="1" x14ac:dyDescent="0.25">
      <c r="A80" s="155"/>
      <c r="B80" s="512"/>
      <c r="C80" s="1192"/>
      <c r="D80" s="1193"/>
      <c r="E80" s="1193"/>
      <c r="F80" s="1193"/>
      <c r="G80" s="1193"/>
      <c r="H80" s="1193"/>
      <c r="I80" s="1193"/>
      <c r="J80" s="1193"/>
      <c r="K80" s="1193"/>
      <c r="L80" s="1193"/>
      <c r="M80" s="1193"/>
      <c r="N80" s="1193"/>
      <c r="O80" s="1193"/>
      <c r="P80" s="1193"/>
      <c r="Q80" s="1193"/>
      <c r="R80" s="1193"/>
      <c r="S80" s="1193"/>
      <c r="T80" s="1193"/>
      <c r="U80" s="1193"/>
      <c r="V80" s="1193"/>
      <c r="W80" s="1193"/>
      <c r="X80" s="1193"/>
      <c r="Y80" s="1193"/>
      <c r="Z80" s="1193"/>
      <c r="AA80" s="1193"/>
      <c r="AB80" s="1193"/>
      <c r="AC80" s="1193"/>
      <c r="AD80" s="1193"/>
      <c r="AE80" s="1193"/>
      <c r="AF80" s="1193"/>
      <c r="AG80" s="1193"/>
      <c r="AH80" s="1193"/>
      <c r="AI80" s="1193"/>
      <c r="AJ80" s="1193"/>
      <c r="AK80" s="1193"/>
      <c r="AL80" s="1194"/>
      <c r="AM80" s="508"/>
      <c r="AN80" s="508"/>
      <c r="AO80" s="1174" t="s">
        <v>1112</v>
      </c>
      <c r="AP80" s="1175"/>
      <c r="AQ80" s="1175"/>
      <c r="AR80" s="1175"/>
      <c r="AS80" s="1175"/>
      <c r="AT80" s="1175"/>
      <c r="AU80" s="1175"/>
      <c r="AV80" s="1175"/>
      <c r="AW80" s="1175"/>
      <c r="AX80" s="1175"/>
      <c r="AY80" s="1175"/>
      <c r="AZ80" s="1175"/>
      <c r="BA80" s="1175"/>
      <c r="BB80" s="1175"/>
      <c r="BC80" s="1175"/>
      <c r="BD80" s="1176"/>
      <c r="BE80" s="508"/>
      <c r="BF80" s="508"/>
      <c r="BG80" s="508"/>
      <c r="BH80" s="508"/>
      <c r="BI80" s="508"/>
      <c r="BJ80" s="508"/>
      <c r="BK80" s="508"/>
      <c r="BL80" s="508"/>
      <c r="BM80" s="508"/>
      <c r="BN80" s="508"/>
      <c r="BO80" s="508"/>
      <c r="BP80" s="508"/>
      <c r="BQ80" s="508"/>
      <c r="BR80" s="508"/>
      <c r="BS80" s="508"/>
      <c r="BT80" s="508"/>
      <c r="BU80" s="508"/>
      <c r="BV80" s="508"/>
      <c r="BW80" s="515"/>
      <c r="BX80" s="155"/>
      <c r="BY80" s="155"/>
      <c r="BZ80" s="150"/>
      <c r="CA80" s="1234"/>
      <c r="CB80" s="1234"/>
      <c r="CC80" s="1234"/>
      <c r="CD80" s="1234"/>
      <c r="CE80" s="1234"/>
      <c r="CF80" s="1234"/>
      <c r="CG80" s="1234"/>
      <c r="CH80" s="1234"/>
      <c r="CI80" s="1234"/>
      <c r="CJ80" s="1234"/>
      <c r="CK80" s="1234"/>
      <c r="CL80" s="1234"/>
      <c r="CM80" s="1234"/>
      <c r="CN80" s="1234"/>
      <c r="CO80" s="1234"/>
      <c r="CP80" s="1234"/>
      <c r="CQ80" s="1234"/>
      <c r="CR80" s="1234"/>
      <c r="CS80" s="1234"/>
      <c r="CT80" s="1234"/>
      <c r="CU80" s="1234"/>
      <c r="CV80" s="1234"/>
      <c r="CW80" s="1234"/>
      <c r="CX80" s="1234"/>
      <c r="CZ80" s="1119"/>
      <c r="DA80" s="1119"/>
      <c r="DB80" s="1119"/>
      <c r="DC80" s="1119"/>
      <c r="DD80" s="1119"/>
      <c r="DE80" s="1119"/>
      <c r="DF80" s="1119"/>
      <c r="DG80" s="1119"/>
      <c r="DH80" s="1119"/>
      <c r="DI80" s="1119"/>
      <c r="DJ80" s="1119"/>
      <c r="DK80" s="1119"/>
      <c r="DL80" s="1119"/>
      <c r="DM80" s="1119"/>
      <c r="DN80" s="1119"/>
      <c r="DO80" s="1119"/>
      <c r="DP80" s="1119"/>
      <c r="DQ80" s="1119"/>
      <c r="DR80" s="1119"/>
      <c r="DS80" s="1119"/>
      <c r="DT80" s="1119"/>
      <c r="DU80" s="1119"/>
      <c r="DV80" s="1119"/>
      <c r="DW80" s="1119"/>
      <c r="DY80" s="1120"/>
      <c r="DZ80" s="1120"/>
      <c r="EA80" s="1120"/>
      <c r="EB80" s="1120"/>
      <c r="EC80" s="1120"/>
      <c r="ED80" s="1120"/>
      <c r="EE80" s="1120"/>
      <c r="EF80" s="1120"/>
      <c r="EG80" s="1120"/>
      <c r="EH80" s="1120"/>
      <c r="EI80" s="1120"/>
      <c r="EJ80" s="1120"/>
      <c r="EK80" s="1120"/>
      <c r="EL80" s="1120"/>
      <c r="EM80" s="1120"/>
      <c r="EN80" s="1120"/>
      <c r="EO80" s="1120"/>
      <c r="EP80" s="1120"/>
      <c r="EQ80" s="1120"/>
      <c r="ER80" s="1120"/>
      <c r="ES80" s="1120"/>
      <c r="ET80" s="1120"/>
      <c r="EU80" s="1120"/>
      <c r="EW80" s="155"/>
      <c r="EX80" s="552"/>
      <c r="EY80" s="552"/>
      <c r="EZ80" s="552"/>
      <c r="FA80" s="552"/>
      <c r="FB80" s="552"/>
      <c r="FC80" s="552"/>
      <c r="FD80" s="552"/>
      <c r="FE80" s="552"/>
      <c r="FF80" s="552"/>
      <c r="FG80" s="552"/>
      <c r="FH80" s="552"/>
      <c r="FI80" s="552"/>
      <c r="FJ80" s="552"/>
      <c r="FK80" s="552"/>
      <c r="FL80" s="552"/>
      <c r="FM80" s="552"/>
      <c r="FN80" s="552"/>
      <c r="FO80" s="552"/>
      <c r="FP80" s="552"/>
      <c r="FQ80" s="552"/>
      <c r="FR80" s="552"/>
      <c r="FS80" s="552"/>
      <c r="FT80" s="552"/>
      <c r="FU80" s="552"/>
      <c r="FV80" s="552"/>
      <c r="FW80" s="552"/>
      <c r="FX80" s="552"/>
      <c r="FY80" s="552"/>
      <c r="FZ80" s="552"/>
      <c r="GA80" s="552"/>
      <c r="GB80" s="552"/>
      <c r="GC80" s="552"/>
      <c r="GD80" s="552"/>
      <c r="GE80" s="552"/>
      <c r="GF80" s="552"/>
      <c r="GG80" s="552"/>
      <c r="GH80" s="552"/>
      <c r="GI80" s="552"/>
      <c r="GJ80" s="552"/>
      <c r="GK80" s="552"/>
      <c r="GL80" s="552"/>
      <c r="GM80" s="552"/>
      <c r="GN80" s="552"/>
      <c r="GO80" s="552"/>
      <c r="GP80" s="552"/>
      <c r="GQ80" s="552"/>
      <c r="GR80" s="552"/>
      <c r="GS80" s="552"/>
      <c r="GT80" s="552"/>
      <c r="GU80" s="552"/>
      <c r="GV80" s="552"/>
      <c r="GW80" s="552"/>
      <c r="GX80" s="552"/>
      <c r="GY80" s="552"/>
      <c r="GZ80" s="552"/>
      <c r="HA80" s="552"/>
      <c r="HB80" s="552"/>
      <c r="HC80" s="552"/>
      <c r="HD80" s="552"/>
      <c r="HE80" s="552"/>
      <c r="HF80" s="552"/>
      <c r="HG80" s="552"/>
      <c r="HH80" s="552"/>
      <c r="HI80" s="552"/>
      <c r="HJ80" s="552"/>
      <c r="HK80" s="552"/>
      <c r="HL80" s="552"/>
      <c r="HM80" s="552"/>
      <c r="HN80" s="552"/>
      <c r="HO80" s="552"/>
      <c r="HP80" s="552"/>
      <c r="HQ80" s="552"/>
      <c r="HR80" s="552"/>
      <c r="HS80" s="552"/>
      <c r="HT80" s="155"/>
      <c r="HU80" s="155"/>
      <c r="HV80" s="552"/>
      <c r="HW80" s="552"/>
      <c r="HX80" s="552"/>
      <c r="HY80" s="552"/>
      <c r="HZ80" s="552"/>
      <c r="IA80" s="552"/>
      <c r="IB80" s="552"/>
      <c r="IC80" s="552"/>
      <c r="ID80" s="552"/>
      <c r="IE80" s="552"/>
      <c r="IF80" s="552"/>
      <c r="IG80" s="552"/>
      <c r="IH80" s="552"/>
      <c r="II80" s="552"/>
      <c r="IJ80" s="552"/>
      <c r="IK80" s="552"/>
      <c r="IL80" s="552"/>
      <c r="IM80" s="552"/>
      <c r="IN80" s="552"/>
      <c r="IO80" s="552"/>
      <c r="IP80" s="552"/>
      <c r="IQ80" s="552"/>
      <c r="IR80" s="552"/>
      <c r="IS80" s="552"/>
      <c r="IT80" s="552"/>
      <c r="IU80" s="552"/>
      <c r="IV80" s="552"/>
      <c r="IW80" s="552"/>
      <c r="IX80" s="552"/>
      <c r="IY80" s="552"/>
      <c r="IZ80" s="552"/>
      <c r="JA80" s="552"/>
      <c r="JB80" s="552"/>
      <c r="JC80" s="552"/>
      <c r="JD80" s="552"/>
      <c r="JE80" s="552"/>
      <c r="JF80" s="552"/>
      <c r="JG80" s="552"/>
      <c r="JH80" s="552"/>
      <c r="JI80" s="552"/>
      <c r="JJ80" s="552"/>
      <c r="JK80" s="552"/>
      <c r="JL80" s="552"/>
      <c r="JM80" s="552"/>
      <c r="JN80" s="552"/>
      <c r="JO80" s="552"/>
      <c r="JP80" s="552"/>
      <c r="JQ80" s="552"/>
      <c r="JR80" s="552"/>
      <c r="JS80" s="552"/>
      <c r="JT80" s="552"/>
      <c r="JU80" s="552"/>
      <c r="JV80" s="552"/>
      <c r="JW80" s="552"/>
      <c r="JX80" s="552"/>
      <c r="JY80" s="552"/>
      <c r="JZ80" s="552"/>
      <c r="KA80" s="552"/>
      <c r="KB80" s="552"/>
      <c r="KC80" s="552"/>
      <c r="KD80" s="552"/>
      <c r="KE80" s="552"/>
      <c r="KF80" s="552"/>
      <c r="KG80" s="552"/>
      <c r="KH80" s="552"/>
      <c r="KI80" s="552"/>
      <c r="KJ80" s="552"/>
      <c r="KK80" s="552"/>
      <c r="KL80" s="552"/>
      <c r="KM80" s="552"/>
      <c r="KN80" s="552"/>
      <c r="KO80" s="552"/>
      <c r="KP80" s="552"/>
      <c r="KQ80" s="552"/>
      <c r="KR80" s="155"/>
      <c r="KS80" s="155"/>
      <c r="KV80" s="1120"/>
      <c r="KW80" s="1120"/>
      <c r="KX80" s="1120"/>
      <c r="KY80" s="1120"/>
      <c r="KZ80" s="1120"/>
      <c r="LA80" s="1120"/>
      <c r="LB80" s="1120"/>
      <c r="LC80" s="1120"/>
      <c r="LD80" s="1120"/>
      <c r="LE80" s="1120"/>
      <c r="LF80" s="1120"/>
      <c r="LG80" s="1120"/>
      <c r="LH80" s="1120"/>
      <c r="LI80" s="1120"/>
      <c r="LJ80" s="1120"/>
      <c r="LK80" s="1120"/>
      <c r="LL80" s="1120"/>
      <c r="LM80" s="1120"/>
      <c r="LN80" s="1120"/>
      <c r="LO80" s="1120"/>
      <c r="LP80" s="1120"/>
      <c r="LQ80" s="1120"/>
      <c r="LR80" s="1120"/>
      <c r="LS80" s="1120"/>
      <c r="LT80" s="1120"/>
      <c r="LV80" s="1122"/>
      <c r="LW80" s="1122"/>
      <c r="LX80" s="1122"/>
      <c r="LY80" s="1122"/>
      <c r="MA80" s="1122"/>
      <c r="MB80" s="1122"/>
      <c r="MC80" s="1122"/>
      <c r="MD80" s="1122"/>
      <c r="ME80" s="1122"/>
      <c r="MF80" s="1122"/>
      <c r="MG80" s="1122"/>
      <c r="MH80" s="1122"/>
      <c r="MI80" s="1122"/>
      <c r="MK80" s="1122"/>
      <c r="ML80" s="1122"/>
      <c r="MM80" s="1122"/>
      <c r="MN80" s="1122"/>
      <c r="MO80" s="1122"/>
      <c r="NP80" s="155"/>
      <c r="NQ80" s="155"/>
      <c r="QN80" s="155"/>
      <c r="QO80" s="155"/>
      <c r="TL80" s="155"/>
    </row>
    <row r="81" spans="1:532" ht="6.75" customHeight="1" thickBot="1" x14ac:dyDescent="0.3">
      <c r="A81" s="155"/>
      <c r="B81" s="512"/>
      <c r="C81" s="1192"/>
      <c r="D81" s="1193"/>
      <c r="E81" s="1193"/>
      <c r="F81" s="1193"/>
      <c r="G81" s="1193"/>
      <c r="H81" s="1193"/>
      <c r="I81" s="1193"/>
      <c r="J81" s="1193"/>
      <c r="K81" s="1193"/>
      <c r="L81" s="1193"/>
      <c r="M81" s="1193"/>
      <c r="N81" s="1193"/>
      <c r="O81" s="1193"/>
      <c r="P81" s="1193"/>
      <c r="Q81" s="1193"/>
      <c r="R81" s="1193"/>
      <c r="S81" s="1193"/>
      <c r="T81" s="1193"/>
      <c r="U81" s="1193"/>
      <c r="V81" s="1193"/>
      <c r="W81" s="1193"/>
      <c r="X81" s="1193"/>
      <c r="Y81" s="1193"/>
      <c r="Z81" s="1193"/>
      <c r="AA81" s="1193"/>
      <c r="AB81" s="1193"/>
      <c r="AC81" s="1193"/>
      <c r="AD81" s="1193"/>
      <c r="AE81" s="1193"/>
      <c r="AF81" s="1193"/>
      <c r="AG81" s="1193"/>
      <c r="AH81" s="1193"/>
      <c r="AI81" s="1193"/>
      <c r="AJ81" s="1193"/>
      <c r="AK81" s="1193"/>
      <c r="AL81" s="1194"/>
      <c r="AM81" s="508"/>
      <c r="AN81" s="508"/>
      <c r="AO81" s="1177"/>
      <c r="AP81" s="1178"/>
      <c r="AQ81" s="1178"/>
      <c r="AR81" s="1178"/>
      <c r="AS81" s="1178"/>
      <c r="AT81" s="1178"/>
      <c r="AU81" s="1178"/>
      <c r="AV81" s="1178"/>
      <c r="AW81" s="1178"/>
      <c r="AX81" s="1178"/>
      <c r="AY81" s="1178"/>
      <c r="AZ81" s="1178"/>
      <c r="BA81" s="1178"/>
      <c r="BB81" s="1178"/>
      <c r="BC81" s="1178"/>
      <c r="BD81" s="1179"/>
      <c r="BE81" s="508"/>
      <c r="BF81" s="508"/>
      <c r="BG81" s="508"/>
      <c r="BH81" s="508"/>
      <c r="BI81" s="508"/>
      <c r="BJ81" s="508"/>
      <c r="BK81" s="508"/>
      <c r="BL81" s="508"/>
      <c r="BM81" s="508"/>
      <c r="BN81" s="508"/>
      <c r="BO81" s="508"/>
      <c r="BP81" s="508"/>
      <c r="BQ81" s="508"/>
      <c r="BR81" s="508"/>
      <c r="BS81" s="508"/>
      <c r="BT81" s="508"/>
      <c r="BU81" s="508"/>
      <c r="BV81" s="508"/>
      <c r="BW81" s="513"/>
      <c r="BX81" s="155"/>
      <c r="BY81" s="155"/>
      <c r="BZ81" s="150"/>
      <c r="CA81" s="1234"/>
      <c r="CB81" s="1234"/>
      <c r="CC81" s="1234"/>
      <c r="CD81" s="1234"/>
      <c r="CE81" s="1234"/>
      <c r="CF81" s="1234"/>
      <c r="CG81" s="1234"/>
      <c r="CH81" s="1234"/>
      <c r="CI81" s="1234"/>
      <c r="CJ81" s="1234"/>
      <c r="CK81" s="1234"/>
      <c r="CL81" s="1234"/>
      <c r="CM81" s="1234"/>
      <c r="CN81" s="1234"/>
      <c r="CO81" s="1234"/>
      <c r="CP81" s="1234"/>
      <c r="CQ81" s="1234"/>
      <c r="CR81" s="1234"/>
      <c r="CS81" s="1234"/>
      <c r="CT81" s="1234"/>
      <c r="CU81" s="1234"/>
      <c r="CV81" s="1234"/>
      <c r="CW81" s="1234"/>
      <c r="CX81" s="1234"/>
      <c r="CZ81" s="1119"/>
      <c r="DA81" s="1119"/>
      <c r="DB81" s="1119"/>
      <c r="DC81" s="1119"/>
      <c r="DD81" s="1119"/>
      <c r="DE81" s="1119"/>
      <c r="DF81" s="1119"/>
      <c r="DG81" s="1119"/>
      <c r="DH81" s="1119"/>
      <c r="DI81" s="1119"/>
      <c r="DJ81" s="1119"/>
      <c r="DK81" s="1119"/>
      <c r="DL81" s="1119"/>
      <c r="DM81" s="1119"/>
      <c r="DN81" s="1119"/>
      <c r="DO81" s="1119"/>
      <c r="DP81" s="1119"/>
      <c r="DQ81" s="1119"/>
      <c r="DR81" s="1119"/>
      <c r="DS81" s="1119"/>
      <c r="DT81" s="1119"/>
      <c r="DU81" s="1119"/>
      <c r="DV81" s="1119"/>
      <c r="DW81" s="1119"/>
      <c r="DY81" s="1121"/>
      <c r="DZ81" s="1121"/>
      <c r="EA81" s="1121"/>
      <c r="EB81" s="1121"/>
      <c r="EC81" s="1121"/>
      <c r="ED81" s="1121"/>
      <c r="EE81" s="1121"/>
      <c r="EF81" s="1121"/>
      <c r="EG81" s="1121"/>
      <c r="EH81" s="1121"/>
      <c r="EI81" s="1121"/>
      <c r="EJ81" s="1121"/>
      <c r="EK81" s="1121"/>
      <c r="EL81" s="1121"/>
      <c r="EM81" s="1121"/>
      <c r="EN81" s="1121"/>
      <c r="EO81" s="1121"/>
      <c r="EP81" s="1121"/>
      <c r="EQ81" s="1121"/>
      <c r="ER81" s="1121"/>
      <c r="ES81" s="1121"/>
      <c r="ET81" s="1121"/>
      <c r="EU81" s="1121"/>
      <c r="EW81" s="155"/>
      <c r="EX81" s="552"/>
      <c r="EY81" s="552"/>
      <c r="EZ81" s="552"/>
      <c r="FA81" s="552"/>
      <c r="FB81" s="552"/>
      <c r="FC81" s="552"/>
      <c r="FD81" s="552"/>
      <c r="FE81" s="552"/>
      <c r="FF81" s="552"/>
      <c r="FG81" s="552"/>
      <c r="FH81" s="552"/>
      <c r="FI81" s="552"/>
      <c r="FJ81" s="552"/>
      <c r="FK81" s="552"/>
      <c r="FL81" s="552"/>
      <c r="FM81" s="552"/>
      <c r="FN81" s="552"/>
      <c r="FO81" s="552"/>
      <c r="FP81" s="552"/>
      <c r="FQ81" s="552"/>
      <c r="FR81" s="552"/>
      <c r="FS81" s="552"/>
      <c r="FT81" s="552"/>
      <c r="FU81" s="552"/>
      <c r="FV81" s="552"/>
      <c r="FW81" s="552"/>
      <c r="FX81" s="552"/>
      <c r="FY81" s="552"/>
      <c r="FZ81" s="552"/>
      <c r="GA81" s="552"/>
      <c r="GB81" s="552"/>
      <c r="GC81" s="552"/>
      <c r="GD81" s="552"/>
      <c r="GE81" s="552"/>
      <c r="GF81" s="552"/>
      <c r="GG81" s="552"/>
      <c r="GH81" s="552"/>
      <c r="GI81" s="552"/>
      <c r="GJ81" s="552"/>
      <c r="GK81" s="552"/>
      <c r="GL81" s="552"/>
      <c r="GM81" s="552"/>
      <c r="GN81" s="552"/>
      <c r="GO81" s="552"/>
      <c r="GP81" s="552"/>
      <c r="GQ81" s="552"/>
      <c r="GR81" s="552"/>
      <c r="GS81" s="552"/>
      <c r="GT81" s="552"/>
      <c r="GU81" s="552"/>
      <c r="GV81" s="552"/>
      <c r="GW81" s="552"/>
      <c r="GX81" s="552"/>
      <c r="GY81" s="552"/>
      <c r="GZ81" s="552"/>
      <c r="HA81" s="552"/>
      <c r="HB81" s="552"/>
      <c r="HC81" s="552"/>
      <c r="HD81" s="552"/>
      <c r="HE81" s="552"/>
      <c r="HF81" s="552"/>
      <c r="HG81" s="552"/>
      <c r="HH81" s="552"/>
      <c r="HI81" s="552"/>
      <c r="HJ81" s="552"/>
      <c r="HK81" s="552"/>
      <c r="HL81" s="552"/>
      <c r="HM81" s="552"/>
      <c r="HN81" s="552"/>
      <c r="HO81" s="552"/>
      <c r="HP81" s="552"/>
      <c r="HQ81" s="552"/>
      <c r="HR81" s="552"/>
      <c r="HS81" s="552"/>
      <c r="HT81" s="155"/>
      <c r="HU81" s="155"/>
      <c r="HV81" s="552"/>
      <c r="HW81" s="552"/>
      <c r="HX81" s="552"/>
      <c r="HY81" s="552"/>
      <c r="HZ81" s="552"/>
      <c r="IA81" s="552"/>
      <c r="IB81" s="552"/>
      <c r="IC81" s="552"/>
      <c r="ID81" s="552"/>
      <c r="IE81" s="552"/>
      <c r="IF81" s="552"/>
      <c r="IG81" s="552"/>
      <c r="IH81" s="552"/>
      <c r="II81" s="552"/>
      <c r="IJ81" s="552"/>
      <c r="IK81" s="552"/>
      <c r="IL81" s="552"/>
      <c r="IM81" s="552"/>
      <c r="IN81" s="552"/>
      <c r="IO81" s="552"/>
      <c r="IP81" s="552"/>
      <c r="IQ81" s="552"/>
      <c r="IR81" s="552"/>
      <c r="IS81" s="552"/>
      <c r="IT81" s="552"/>
      <c r="IU81" s="552"/>
      <c r="IV81" s="552"/>
      <c r="IW81" s="552"/>
      <c r="IX81" s="552"/>
      <c r="IY81" s="552"/>
      <c r="IZ81" s="552"/>
      <c r="JA81" s="552"/>
      <c r="JB81" s="552"/>
      <c r="JC81" s="552"/>
      <c r="JD81" s="552"/>
      <c r="JE81" s="552"/>
      <c r="JF81" s="552"/>
      <c r="JG81" s="552"/>
      <c r="JH81" s="552"/>
      <c r="JI81" s="552"/>
      <c r="JJ81" s="552"/>
      <c r="JK81" s="552"/>
      <c r="JL81" s="552"/>
      <c r="JM81" s="552"/>
      <c r="JN81" s="552"/>
      <c r="JO81" s="552"/>
      <c r="JP81" s="552"/>
      <c r="JQ81" s="552"/>
      <c r="JR81" s="552"/>
      <c r="JS81" s="552"/>
      <c r="JT81" s="552"/>
      <c r="JU81" s="552"/>
      <c r="JV81" s="552"/>
      <c r="JW81" s="552"/>
      <c r="JX81" s="552"/>
      <c r="JY81" s="552"/>
      <c r="JZ81" s="552"/>
      <c r="KA81" s="552"/>
      <c r="KB81" s="552"/>
      <c r="KC81" s="552"/>
      <c r="KD81" s="552"/>
      <c r="KE81" s="552"/>
      <c r="KF81" s="552"/>
      <c r="KG81" s="552"/>
      <c r="KH81" s="552"/>
      <c r="KI81" s="552"/>
      <c r="KJ81" s="552"/>
      <c r="KK81" s="552"/>
      <c r="KL81" s="552"/>
      <c r="KM81" s="552"/>
      <c r="KN81" s="552"/>
      <c r="KO81" s="552"/>
      <c r="KP81" s="552"/>
      <c r="KQ81" s="552"/>
      <c r="KR81" s="155"/>
      <c r="KS81" s="155"/>
      <c r="KV81" s="1121"/>
      <c r="KW81" s="1121"/>
      <c r="KX81" s="1121"/>
      <c r="KY81" s="1121"/>
      <c r="KZ81" s="1121"/>
      <c r="LA81" s="1121"/>
      <c r="LB81" s="1121"/>
      <c r="LC81" s="1121"/>
      <c r="LD81" s="1121"/>
      <c r="LE81" s="1121"/>
      <c r="LF81" s="1121"/>
      <c r="LG81" s="1121"/>
      <c r="LH81" s="1121"/>
      <c r="LI81" s="1121"/>
      <c r="LJ81" s="1121"/>
      <c r="LK81" s="1121"/>
      <c r="LL81" s="1121"/>
      <c r="LM81" s="1121"/>
      <c r="LN81" s="1121"/>
      <c r="LO81" s="1121"/>
      <c r="LP81" s="1121"/>
      <c r="LQ81" s="1121"/>
      <c r="LR81" s="1121"/>
      <c r="LS81" s="1121"/>
      <c r="LT81" s="1121"/>
      <c r="LV81" s="1123"/>
      <c r="LW81" s="1123"/>
      <c r="LX81" s="1123"/>
      <c r="LY81" s="1123"/>
      <c r="MA81" s="1123"/>
      <c r="MB81" s="1123"/>
      <c r="MC81" s="1123"/>
      <c r="MD81" s="1123"/>
      <c r="ME81" s="1123"/>
      <c r="MF81" s="1123"/>
      <c r="MG81" s="1123"/>
      <c r="MH81" s="1123"/>
      <c r="MI81" s="1123"/>
      <c r="MK81" s="1123"/>
      <c r="ML81" s="1123"/>
      <c r="MM81" s="1123"/>
      <c r="MN81" s="1123"/>
      <c r="MO81" s="1123"/>
      <c r="NP81" s="155"/>
      <c r="NQ81" s="155"/>
      <c r="QN81" s="155"/>
      <c r="QO81" s="155"/>
      <c r="TL81" s="155"/>
    </row>
    <row r="82" spans="1:532" ht="6.75" customHeight="1" x14ac:dyDescent="0.25">
      <c r="A82" s="155"/>
      <c r="B82" s="512"/>
      <c r="C82" s="1192"/>
      <c r="D82" s="1193"/>
      <c r="E82" s="1193"/>
      <c r="F82" s="1193"/>
      <c r="G82" s="1193"/>
      <c r="H82" s="1193"/>
      <c r="I82" s="1193"/>
      <c r="J82" s="1193"/>
      <c r="K82" s="1193"/>
      <c r="L82" s="1193"/>
      <c r="M82" s="1193"/>
      <c r="N82" s="1193"/>
      <c r="O82" s="1193"/>
      <c r="P82" s="1193"/>
      <c r="Q82" s="1193"/>
      <c r="R82" s="1193"/>
      <c r="S82" s="1193"/>
      <c r="T82" s="1193"/>
      <c r="U82" s="1193"/>
      <c r="V82" s="1193"/>
      <c r="W82" s="1193"/>
      <c r="X82" s="1193"/>
      <c r="Y82" s="1193"/>
      <c r="Z82" s="1193"/>
      <c r="AA82" s="1193"/>
      <c r="AB82" s="1193"/>
      <c r="AC82" s="1193"/>
      <c r="AD82" s="1193"/>
      <c r="AE82" s="1193"/>
      <c r="AF82" s="1193"/>
      <c r="AG82" s="1193"/>
      <c r="AH82" s="1193"/>
      <c r="AI82" s="1193"/>
      <c r="AJ82" s="1193"/>
      <c r="AK82" s="1193"/>
      <c r="AL82" s="1194"/>
      <c r="AM82" s="508"/>
      <c r="AN82" s="508"/>
      <c r="AO82" s="1180" t="str">
        <f>OutputTools</f>
        <v xml:space="preserve">Vehicles (land), Dice set, Alchemist’s supplies, </v>
      </c>
      <c r="AP82" s="1181"/>
      <c r="AQ82" s="1181"/>
      <c r="AR82" s="1181"/>
      <c r="AS82" s="1181"/>
      <c r="AT82" s="1181"/>
      <c r="AU82" s="1181"/>
      <c r="AV82" s="1181"/>
      <c r="AW82" s="1181"/>
      <c r="AX82" s="1181"/>
      <c r="AY82" s="1181"/>
      <c r="AZ82" s="1181"/>
      <c r="BA82" s="1181"/>
      <c r="BB82" s="1181"/>
      <c r="BC82" s="1181"/>
      <c r="BD82" s="1181"/>
      <c r="BE82" s="1181"/>
      <c r="BF82" s="1181"/>
      <c r="BG82" s="1181"/>
      <c r="BH82" s="1181"/>
      <c r="BI82" s="1181"/>
      <c r="BJ82" s="1181"/>
      <c r="BK82" s="1181"/>
      <c r="BL82" s="1181"/>
      <c r="BM82" s="1181"/>
      <c r="BN82" s="1181"/>
      <c r="BO82" s="1181"/>
      <c r="BP82" s="1181"/>
      <c r="BQ82" s="1181"/>
      <c r="BR82" s="1181"/>
      <c r="BS82" s="1181"/>
      <c r="BT82" s="1181"/>
      <c r="BU82" s="1181"/>
      <c r="BV82" s="1182"/>
      <c r="BW82" s="513"/>
      <c r="BX82" s="155"/>
      <c r="BY82" s="155"/>
      <c r="BZ82" s="150"/>
      <c r="CA82" s="1234"/>
      <c r="CB82" s="1234"/>
      <c r="CC82" s="1234"/>
      <c r="CD82" s="1234"/>
      <c r="CE82" s="1234"/>
      <c r="CF82" s="1234"/>
      <c r="CG82" s="1234"/>
      <c r="CH82" s="1234"/>
      <c r="CI82" s="1234"/>
      <c r="CJ82" s="1234"/>
      <c r="CK82" s="1234"/>
      <c r="CL82" s="1234"/>
      <c r="CM82" s="1234"/>
      <c r="CN82" s="1234"/>
      <c r="CO82" s="1234"/>
      <c r="CP82" s="1234"/>
      <c r="CQ82" s="1234"/>
      <c r="CR82" s="1234"/>
      <c r="CS82" s="1234"/>
      <c r="CT82" s="1234"/>
      <c r="CU82" s="1234"/>
      <c r="CV82" s="1234"/>
      <c r="CW82" s="1234"/>
      <c r="CX82" s="1234"/>
      <c r="CZ82" s="1119"/>
      <c r="DA82" s="1119"/>
      <c r="DB82" s="1119"/>
      <c r="DC82" s="1119"/>
      <c r="DD82" s="1119"/>
      <c r="DE82" s="1119"/>
      <c r="DF82" s="1119"/>
      <c r="DG82" s="1119"/>
      <c r="DH82" s="1119"/>
      <c r="DI82" s="1119"/>
      <c r="DJ82" s="1119"/>
      <c r="DK82" s="1119"/>
      <c r="DL82" s="1119"/>
      <c r="DM82" s="1119"/>
      <c r="DN82" s="1119"/>
      <c r="DO82" s="1119"/>
      <c r="DP82" s="1119"/>
      <c r="DQ82" s="1119"/>
      <c r="DR82" s="1119"/>
      <c r="DS82" s="1119"/>
      <c r="DT82" s="1119"/>
      <c r="DU82" s="1119"/>
      <c r="DV82" s="1119"/>
      <c r="DW82" s="1119"/>
      <c r="DY82" s="1120"/>
      <c r="DZ82" s="1120"/>
      <c r="EA82" s="1120"/>
      <c r="EB82" s="1120"/>
      <c r="EC82" s="1120"/>
      <c r="ED82" s="1120"/>
      <c r="EE82" s="1120"/>
      <c r="EF82" s="1120"/>
      <c r="EG82" s="1120"/>
      <c r="EH82" s="1120"/>
      <c r="EI82" s="1120"/>
      <c r="EJ82" s="1120"/>
      <c r="EK82" s="1120"/>
      <c r="EL82" s="1120"/>
      <c r="EM82" s="1120"/>
      <c r="EN82" s="1120"/>
      <c r="EO82" s="1120"/>
      <c r="EP82" s="1120"/>
      <c r="EQ82" s="1120"/>
      <c r="ER82" s="1120"/>
      <c r="ES82" s="1120"/>
      <c r="ET82" s="1120"/>
      <c r="EU82" s="1120"/>
      <c r="EW82" s="155"/>
      <c r="EX82" s="552"/>
      <c r="EY82" s="552"/>
      <c r="EZ82" s="552"/>
      <c r="FA82" s="552"/>
      <c r="FB82" s="552"/>
      <c r="FC82" s="552"/>
      <c r="FD82" s="552"/>
      <c r="FE82" s="552"/>
      <c r="FF82" s="552"/>
      <c r="FG82" s="552"/>
      <c r="FH82" s="552"/>
      <c r="FI82" s="552"/>
      <c r="FJ82" s="552"/>
      <c r="FK82" s="552"/>
      <c r="FL82" s="552"/>
      <c r="FM82" s="552"/>
      <c r="FN82" s="552"/>
      <c r="FO82" s="552"/>
      <c r="FP82" s="552"/>
      <c r="FQ82" s="552"/>
      <c r="FR82" s="552"/>
      <c r="FS82" s="552"/>
      <c r="FT82" s="552"/>
      <c r="FU82" s="552"/>
      <c r="FV82" s="552"/>
      <c r="FW82" s="552"/>
      <c r="FX82" s="552"/>
      <c r="FY82" s="552"/>
      <c r="FZ82" s="552"/>
      <c r="GA82" s="552"/>
      <c r="GB82" s="552"/>
      <c r="GC82" s="552"/>
      <c r="GD82" s="552"/>
      <c r="GE82" s="552"/>
      <c r="GF82" s="552"/>
      <c r="GG82" s="552"/>
      <c r="GH82" s="552"/>
      <c r="GI82" s="552"/>
      <c r="GJ82" s="552"/>
      <c r="GK82" s="552"/>
      <c r="GL82" s="552"/>
      <c r="GM82" s="552"/>
      <c r="GN82" s="552"/>
      <c r="GO82" s="552"/>
      <c r="GP82" s="552"/>
      <c r="GQ82" s="552"/>
      <c r="GR82" s="552"/>
      <c r="GS82" s="552"/>
      <c r="GT82" s="552"/>
      <c r="GU82" s="552"/>
      <c r="GV82" s="552"/>
      <c r="GW82" s="552"/>
      <c r="GX82" s="552"/>
      <c r="GY82" s="552"/>
      <c r="GZ82" s="552"/>
      <c r="HA82" s="552"/>
      <c r="HB82" s="552"/>
      <c r="HC82" s="552"/>
      <c r="HD82" s="552"/>
      <c r="HE82" s="552"/>
      <c r="HF82" s="552"/>
      <c r="HG82" s="552"/>
      <c r="HH82" s="552"/>
      <c r="HI82" s="552"/>
      <c r="HJ82" s="552"/>
      <c r="HK82" s="552"/>
      <c r="HL82" s="552"/>
      <c r="HM82" s="552"/>
      <c r="HN82" s="552"/>
      <c r="HO82" s="552"/>
      <c r="HP82" s="552"/>
      <c r="HQ82" s="552"/>
      <c r="HR82" s="552"/>
      <c r="HS82" s="552"/>
      <c r="HT82" s="155"/>
      <c r="HU82" s="155"/>
      <c r="HV82" s="552"/>
      <c r="HW82" s="552"/>
      <c r="HX82" s="552"/>
      <c r="HY82" s="552"/>
      <c r="HZ82" s="552"/>
      <c r="IA82" s="552"/>
      <c r="IB82" s="552"/>
      <c r="IC82" s="552"/>
      <c r="ID82" s="552"/>
      <c r="IE82" s="552"/>
      <c r="IF82" s="552"/>
      <c r="IG82" s="552"/>
      <c r="IH82" s="552"/>
      <c r="II82" s="552"/>
      <c r="IJ82" s="552"/>
      <c r="IK82" s="552"/>
      <c r="IL82" s="552"/>
      <c r="IM82" s="552"/>
      <c r="IN82" s="552"/>
      <c r="IO82" s="552"/>
      <c r="IP82" s="552"/>
      <c r="IQ82" s="552"/>
      <c r="IR82" s="552"/>
      <c r="IS82" s="552"/>
      <c r="IT82" s="552"/>
      <c r="IU82" s="552"/>
      <c r="IV82" s="552"/>
      <c r="IW82" s="552"/>
      <c r="IX82" s="552"/>
      <c r="IY82" s="552"/>
      <c r="IZ82" s="552"/>
      <c r="JA82" s="552"/>
      <c r="JB82" s="552"/>
      <c r="JC82" s="552"/>
      <c r="JD82" s="552"/>
      <c r="JE82" s="552"/>
      <c r="JF82" s="552"/>
      <c r="JG82" s="552"/>
      <c r="JH82" s="552"/>
      <c r="JI82" s="552"/>
      <c r="JJ82" s="552"/>
      <c r="JK82" s="552"/>
      <c r="JL82" s="552"/>
      <c r="JM82" s="552"/>
      <c r="JN82" s="552"/>
      <c r="JO82" s="552"/>
      <c r="JP82" s="552"/>
      <c r="JQ82" s="552"/>
      <c r="JR82" s="552"/>
      <c r="JS82" s="552"/>
      <c r="JT82" s="552"/>
      <c r="JU82" s="552"/>
      <c r="JV82" s="552"/>
      <c r="JW82" s="552"/>
      <c r="JX82" s="552"/>
      <c r="JY82" s="552"/>
      <c r="JZ82" s="552"/>
      <c r="KA82" s="552"/>
      <c r="KB82" s="552"/>
      <c r="KC82" s="552"/>
      <c r="KD82" s="552"/>
      <c r="KE82" s="552"/>
      <c r="KF82" s="552"/>
      <c r="KG82" s="552"/>
      <c r="KH82" s="552"/>
      <c r="KI82" s="552"/>
      <c r="KJ82" s="552"/>
      <c r="KK82" s="552"/>
      <c r="KL82" s="552"/>
      <c r="KM82" s="552"/>
      <c r="KN82" s="552"/>
      <c r="KO82" s="552"/>
      <c r="KP82" s="552"/>
      <c r="KQ82" s="552"/>
      <c r="KR82" s="155"/>
      <c r="KS82" s="155"/>
      <c r="KV82" s="1120"/>
      <c r="KW82" s="1120"/>
      <c r="KX82" s="1120"/>
      <c r="KY82" s="1120"/>
      <c r="KZ82" s="1120"/>
      <c r="LA82" s="1120"/>
      <c r="LB82" s="1120"/>
      <c r="LC82" s="1120"/>
      <c r="LD82" s="1120"/>
      <c r="LE82" s="1120"/>
      <c r="LF82" s="1120"/>
      <c r="LG82" s="1120"/>
      <c r="LH82" s="1120"/>
      <c r="LI82" s="1120"/>
      <c r="LJ82" s="1120"/>
      <c r="LK82" s="1120"/>
      <c r="LL82" s="1120"/>
      <c r="LM82" s="1120"/>
      <c r="LN82" s="1120"/>
      <c r="LO82" s="1120"/>
      <c r="LP82" s="1120"/>
      <c r="LQ82" s="1120"/>
      <c r="LR82" s="1120"/>
      <c r="LS82" s="1120"/>
      <c r="LT82" s="1120"/>
      <c r="LV82" s="1122"/>
      <c r="LW82" s="1122"/>
      <c r="LX82" s="1122"/>
      <c r="LY82" s="1122"/>
      <c r="MA82" s="1122"/>
      <c r="MB82" s="1122"/>
      <c r="MC82" s="1122"/>
      <c r="MD82" s="1122"/>
      <c r="ME82" s="1122"/>
      <c r="MF82" s="1122"/>
      <c r="MG82" s="1122"/>
      <c r="MH82" s="1122"/>
      <c r="MI82" s="1122"/>
      <c r="MK82" s="1122"/>
      <c r="ML82" s="1122"/>
      <c r="MM82" s="1122"/>
      <c r="MN82" s="1122"/>
      <c r="MO82" s="1122"/>
      <c r="NP82" s="155"/>
      <c r="NQ82" s="155"/>
      <c r="QN82" s="155"/>
      <c r="QO82" s="155"/>
      <c r="TL82" s="155"/>
    </row>
    <row r="83" spans="1:532" ht="6.75" customHeight="1" x14ac:dyDescent="0.25">
      <c r="A83" s="155"/>
      <c r="B83" s="512"/>
      <c r="C83" s="1192"/>
      <c r="D83" s="1193"/>
      <c r="E83" s="1193"/>
      <c r="F83" s="1193"/>
      <c r="G83" s="1193"/>
      <c r="H83" s="1193"/>
      <c r="I83" s="1193"/>
      <c r="J83" s="1193"/>
      <c r="K83" s="1193"/>
      <c r="L83" s="1193"/>
      <c r="M83" s="1193"/>
      <c r="N83" s="1193"/>
      <c r="O83" s="1193"/>
      <c r="P83" s="1193"/>
      <c r="Q83" s="1193"/>
      <c r="R83" s="1193"/>
      <c r="S83" s="1193"/>
      <c r="T83" s="1193"/>
      <c r="U83" s="1193"/>
      <c r="V83" s="1193"/>
      <c r="W83" s="1193"/>
      <c r="X83" s="1193"/>
      <c r="Y83" s="1193"/>
      <c r="Z83" s="1193"/>
      <c r="AA83" s="1193"/>
      <c r="AB83" s="1193"/>
      <c r="AC83" s="1193"/>
      <c r="AD83" s="1193"/>
      <c r="AE83" s="1193"/>
      <c r="AF83" s="1193"/>
      <c r="AG83" s="1193"/>
      <c r="AH83" s="1193"/>
      <c r="AI83" s="1193"/>
      <c r="AJ83" s="1193"/>
      <c r="AK83" s="1193"/>
      <c r="AL83" s="1194"/>
      <c r="AM83" s="508"/>
      <c r="AN83" s="508"/>
      <c r="AO83" s="1183"/>
      <c r="AP83" s="1184"/>
      <c r="AQ83" s="1184"/>
      <c r="AR83" s="1184"/>
      <c r="AS83" s="1184"/>
      <c r="AT83" s="1184"/>
      <c r="AU83" s="1184"/>
      <c r="AV83" s="1184"/>
      <c r="AW83" s="1184"/>
      <c r="AX83" s="1184"/>
      <c r="AY83" s="1184"/>
      <c r="AZ83" s="1184"/>
      <c r="BA83" s="1184"/>
      <c r="BB83" s="1184"/>
      <c r="BC83" s="1184"/>
      <c r="BD83" s="1184"/>
      <c r="BE83" s="1184"/>
      <c r="BF83" s="1184"/>
      <c r="BG83" s="1184"/>
      <c r="BH83" s="1184"/>
      <c r="BI83" s="1184"/>
      <c r="BJ83" s="1184"/>
      <c r="BK83" s="1184"/>
      <c r="BL83" s="1184"/>
      <c r="BM83" s="1184"/>
      <c r="BN83" s="1184"/>
      <c r="BO83" s="1184"/>
      <c r="BP83" s="1184"/>
      <c r="BQ83" s="1184"/>
      <c r="BR83" s="1184"/>
      <c r="BS83" s="1184"/>
      <c r="BT83" s="1184"/>
      <c r="BU83" s="1184"/>
      <c r="BV83" s="1185"/>
      <c r="BW83" s="513"/>
      <c r="BX83" s="155"/>
      <c r="BY83" s="155"/>
      <c r="BZ83" s="150"/>
      <c r="CA83" s="1234"/>
      <c r="CB83" s="1234"/>
      <c r="CC83" s="1234"/>
      <c r="CD83" s="1234"/>
      <c r="CE83" s="1234"/>
      <c r="CF83" s="1234"/>
      <c r="CG83" s="1234"/>
      <c r="CH83" s="1234"/>
      <c r="CI83" s="1234"/>
      <c r="CJ83" s="1234"/>
      <c r="CK83" s="1234"/>
      <c r="CL83" s="1234"/>
      <c r="CM83" s="1234"/>
      <c r="CN83" s="1234"/>
      <c r="CO83" s="1234"/>
      <c r="CP83" s="1234"/>
      <c r="CQ83" s="1234"/>
      <c r="CR83" s="1234"/>
      <c r="CS83" s="1234"/>
      <c r="CT83" s="1234"/>
      <c r="CU83" s="1234"/>
      <c r="CV83" s="1234"/>
      <c r="CW83" s="1234"/>
      <c r="CX83" s="1234"/>
      <c r="CZ83" s="1119"/>
      <c r="DA83" s="1119"/>
      <c r="DB83" s="1119"/>
      <c r="DC83" s="1119"/>
      <c r="DD83" s="1119"/>
      <c r="DE83" s="1119"/>
      <c r="DF83" s="1119"/>
      <c r="DG83" s="1119"/>
      <c r="DH83" s="1119"/>
      <c r="DI83" s="1119"/>
      <c r="DJ83" s="1119"/>
      <c r="DK83" s="1119"/>
      <c r="DL83" s="1119"/>
      <c r="DM83" s="1119"/>
      <c r="DN83" s="1119"/>
      <c r="DO83" s="1119"/>
      <c r="DP83" s="1119"/>
      <c r="DQ83" s="1119"/>
      <c r="DR83" s="1119"/>
      <c r="DS83" s="1119"/>
      <c r="DT83" s="1119"/>
      <c r="DU83" s="1119"/>
      <c r="DV83" s="1119"/>
      <c r="DW83" s="1119"/>
      <c r="DY83" s="1121"/>
      <c r="DZ83" s="1121"/>
      <c r="EA83" s="1121"/>
      <c r="EB83" s="1121"/>
      <c r="EC83" s="1121"/>
      <c r="ED83" s="1121"/>
      <c r="EE83" s="1121"/>
      <c r="EF83" s="1121"/>
      <c r="EG83" s="1121"/>
      <c r="EH83" s="1121"/>
      <c r="EI83" s="1121"/>
      <c r="EJ83" s="1121"/>
      <c r="EK83" s="1121"/>
      <c r="EL83" s="1121"/>
      <c r="EM83" s="1121"/>
      <c r="EN83" s="1121"/>
      <c r="EO83" s="1121"/>
      <c r="EP83" s="1121"/>
      <c r="EQ83" s="1121"/>
      <c r="ER83" s="1121"/>
      <c r="ES83" s="1121"/>
      <c r="ET83" s="1121"/>
      <c r="EU83" s="1121"/>
      <c r="EW83" s="155"/>
      <c r="EX83" s="552"/>
      <c r="EY83" s="552"/>
      <c r="EZ83" s="552"/>
      <c r="FA83" s="552"/>
      <c r="FB83" s="552"/>
      <c r="FC83" s="552"/>
      <c r="FD83" s="552"/>
      <c r="FE83" s="552"/>
      <c r="FF83" s="552"/>
      <c r="FG83" s="552"/>
      <c r="FH83" s="552"/>
      <c r="FI83" s="552"/>
      <c r="FJ83" s="552"/>
      <c r="FK83" s="552"/>
      <c r="FL83" s="552"/>
      <c r="FM83" s="552"/>
      <c r="FN83" s="552"/>
      <c r="FO83" s="552"/>
      <c r="FP83" s="552"/>
      <c r="FQ83" s="552"/>
      <c r="FR83" s="552"/>
      <c r="FS83" s="552"/>
      <c r="FT83" s="552"/>
      <c r="FU83" s="552"/>
      <c r="FV83" s="552"/>
      <c r="FW83" s="552"/>
      <c r="FX83" s="552"/>
      <c r="FY83" s="552"/>
      <c r="FZ83" s="552"/>
      <c r="GA83" s="552"/>
      <c r="GB83" s="552"/>
      <c r="GC83" s="552"/>
      <c r="GD83" s="552"/>
      <c r="GE83" s="552"/>
      <c r="GF83" s="552"/>
      <c r="GG83" s="552"/>
      <c r="GH83" s="552"/>
      <c r="GI83" s="552"/>
      <c r="GJ83" s="552"/>
      <c r="GK83" s="552"/>
      <c r="GL83" s="552"/>
      <c r="GM83" s="552"/>
      <c r="GN83" s="552"/>
      <c r="GO83" s="552"/>
      <c r="GP83" s="552"/>
      <c r="GQ83" s="552"/>
      <c r="GR83" s="552"/>
      <c r="GS83" s="552"/>
      <c r="GT83" s="552"/>
      <c r="GU83" s="552"/>
      <c r="GV83" s="552"/>
      <c r="GW83" s="552"/>
      <c r="GX83" s="552"/>
      <c r="GY83" s="552"/>
      <c r="GZ83" s="552"/>
      <c r="HA83" s="552"/>
      <c r="HB83" s="552"/>
      <c r="HC83" s="552"/>
      <c r="HD83" s="552"/>
      <c r="HE83" s="552"/>
      <c r="HF83" s="552"/>
      <c r="HG83" s="552"/>
      <c r="HH83" s="552"/>
      <c r="HI83" s="552"/>
      <c r="HJ83" s="552"/>
      <c r="HK83" s="552"/>
      <c r="HL83" s="552"/>
      <c r="HM83" s="552"/>
      <c r="HN83" s="552"/>
      <c r="HO83" s="552"/>
      <c r="HP83" s="552"/>
      <c r="HQ83" s="552"/>
      <c r="HR83" s="552"/>
      <c r="HS83" s="552"/>
      <c r="HT83" s="155"/>
      <c r="HU83" s="155"/>
      <c r="HV83" s="552"/>
      <c r="HW83" s="552"/>
      <c r="HX83" s="552"/>
      <c r="HY83" s="552"/>
      <c r="HZ83" s="552"/>
      <c r="IA83" s="552"/>
      <c r="IB83" s="552"/>
      <c r="IC83" s="552"/>
      <c r="ID83" s="552"/>
      <c r="IE83" s="552"/>
      <c r="IF83" s="552"/>
      <c r="IG83" s="552"/>
      <c r="IH83" s="552"/>
      <c r="II83" s="552"/>
      <c r="IJ83" s="552"/>
      <c r="IK83" s="552"/>
      <c r="IL83" s="552"/>
      <c r="IM83" s="552"/>
      <c r="IN83" s="552"/>
      <c r="IO83" s="552"/>
      <c r="IP83" s="552"/>
      <c r="IQ83" s="552"/>
      <c r="IR83" s="552"/>
      <c r="IS83" s="552"/>
      <c r="IT83" s="552"/>
      <c r="IU83" s="552"/>
      <c r="IV83" s="552"/>
      <c r="IW83" s="552"/>
      <c r="IX83" s="552"/>
      <c r="IY83" s="552"/>
      <c r="IZ83" s="552"/>
      <c r="JA83" s="552"/>
      <c r="JB83" s="552"/>
      <c r="JC83" s="552"/>
      <c r="JD83" s="552"/>
      <c r="JE83" s="552"/>
      <c r="JF83" s="552"/>
      <c r="JG83" s="552"/>
      <c r="JH83" s="552"/>
      <c r="JI83" s="552"/>
      <c r="JJ83" s="552"/>
      <c r="JK83" s="552"/>
      <c r="JL83" s="552"/>
      <c r="JM83" s="552"/>
      <c r="JN83" s="552"/>
      <c r="JO83" s="552"/>
      <c r="JP83" s="552"/>
      <c r="JQ83" s="552"/>
      <c r="JR83" s="552"/>
      <c r="JS83" s="552"/>
      <c r="JT83" s="552"/>
      <c r="JU83" s="552"/>
      <c r="JV83" s="552"/>
      <c r="JW83" s="552"/>
      <c r="JX83" s="552"/>
      <c r="JY83" s="552"/>
      <c r="JZ83" s="552"/>
      <c r="KA83" s="552"/>
      <c r="KB83" s="552"/>
      <c r="KC83" s="552"/>
      <c r="KD83" s="552"/>
      <c r="KE83" s="552"/>
      <c r="KF83" s="552"/>
      <c r="KG83" s="552"/>
      <c r="KH83" s="552"/>
      <c r="KI83" s="552"/>
      <c r="KJ83" s="552"/>
      <c r="KK83" s="552"/>
      <c r="KL83" s="552"/>
      <c r="KM83" s="552"/>
      <c r="KN83" s="552"/>
      <c r="KO83" s="552"/>
      <c r="KP83" s="552"/>
      <c r="KQ83" s="552"/>
      <c r="KR83" s="155"/>
      <c r="KS83" s="155"/>
      <c r="KV83" s="1121"/>
      <c r="KW83" s="1121"/>
      <c r="KX83" s="1121"/>
      <c r="KY83" s="1121"/>
      <c r="KZ83" s="1121"/>
      <c r="LA83" s="1121"/>
      <c r="LB83" s="1121"/>
      <c r="LC83" s="1121"/>
      <c r="LD83" s="1121"/>
      <c r="LE83" s="1121"/>
      <c r="LF83" s="1121"/>
      <c r="LG83" s="1121"/>
      <c r="LH83" s="1121"/>
      <c r="LI83" s="1121"/>
      <c r="LJ83" s="1121"/>
      <c r="LK83" s="1121"/>
      <c r="LL83" s="1121"/>
      <c r="LM83" s="1121"/>
      <c r="LN83" s="1121"/>
      <c r="LO83" s="1121"/>
      <c r="LP83" s="1121"/>
      <c r="LQ83" s="1121"/>
      <c r="LR83" s="1121"/>
      <c r="LS83" s="1121"/>
      <c r="LT83" s="1121"/>
      <c r="LV83" s="1123"/>
      <c r="LW83" s="1123"/>
      <c r="LX83" s="1123"/>
      <c r="LY83" s="1123"/>
      <c r="MA83" s="1123"/>
      <c r="MB83" s="1123"/>
      <c r="MC83" s="1123"/>
      <c r="MD83" s="1123"/>
      <c r="ME83" s="1123"/>
      <c r="MF83" s="1123"/>
      <c r="MG83" s="1123"/>
      <c r="MH83" s="1123"/>
      <c r="MI83" s="1123"/>
      <c r="MK83" s="1123"/>
      <c r="ML83" s="1123"/>
      <c r="MM83" s="1123"/>
      <c r="MN83" s="1123"/>
      <c r="MO83" s="1123"/>
      <c r="NP83" s="155"/>
      <c r="NQ83" s="155"/>
      <c r="QN83" s="155"/>
      <c r="QO83" s="155"/>
      <c r="TL83" s="155"/>
    </row>
    <row r="84" spans="1:532" ht="6.75" customHeight="1" x14ac:dyDescent="0.25">
      <c r="A84" s="155"/>
      <c r="B84" s="512"/>
      <c r="C84" s="1192"/>
      <c r="D84" s="1193"/>
      <c r="E84" s="1193"/>
      <c r="F84" s="1193"/>
      <c r="G84" s="1193"/>
      <c r="H84" s="1193"/>
      <c r="I84" s="1193"/>
      <c r="J84" s="1193"/>
      <c r="K84" s="1193"/>
      <c r="L84" s="1193"/>
      <c r="M84" s="1193"/>
      <c r="N84" s="1193"/>
      <c r="O84" s="1193"/>
      <c r="P84" s="1193"/>
      <c r="Q84" s="1193"/>
      <c r="R84" s="1193"/>
      <c r="S84" s="1193"/>
      <c r="T84" s="1193"/>
      <c r="U84" s="1193"/>
      <c r="V84" s="1193"/>
      <c r="W84" s="1193"/>
      <c r="X84" s="1193"/>
      <c r="Y84" s="1193"/>
      <c r="Z84" s="1193"/>
      <c r="AA84" s="1193"/>
      <c r="AB84" s="1193"/>
      <c r="AC84" s="1193"/>
      <c r="AD84" s="1193"/>
      <c r="AE84" s="1193"/>
      <c r="AF84" s="1193"/>
      <c r="AG84" s="1193"/>
      <c r="AH84" s="1193"/>
      <c r="AI84" s="1193"/>
      <c r="AJ84" s="1193"/>
      <c r="AK84" s="1193"/>
      <c r="AL84" s="1194"/>
      <c r="AM84" s="508"/>
      <c r="AN84" s="508"/>
      <c r="AO84" s="1183"/>
      <c r="AP84" s="1184"/>
      <c r="AQ84" s="1184"/>
      <c r="AR84" s="1184"/>
      <c r="AS84" s="1184"/>
      <c r="AT84" s="1184"/>
      <c r="AU84" s="1184"/>
      <c r="AV84" s="1184"/>
      <c r="AW84" s="1184"/>
      <c r="AX84" s="1184"/>
      <c r="AY84" s="1184"/>
      <c r="AZ84" s="1184"/>
      <c r="BA84" s="1184"/>
      <c r="BB84" s="1184"/>
      <c r="BC84" s="1184"/>
      <c r="BD84" s="1184"/>
      <c r="BE84" s="1184"/>
      <c r="BF84" s="1184"/>
      <c r="BG84" s="1184"/>
      <c r="BH84" s="1184"/>
      <c r="BI84" s="1184"/>
      <c r="BJ84" s="1184"/>
      <c r="BK84" s="1184"/>
      <c r="BL84" s="1184"/>
      <c r="BM84" s="1184"/>
      <c r="BN84" s="1184"/>
      <c r="BO84" s="1184"/>
      <c r="BP84" s="1184"/>
      <c r="BQ84" s="1184"/>
      <c r="BR84" s="1184"/>
      <c r="BS84" s="1184"/>
      <c r="BT84" s="1184"/>
      <c r="BU84" s="1184"/>
      <c r="BV84" s="1185"/>
      <c r="BW84" s="513"/>
      <c r="BX84" s="155"/>
      <c r="BY84" s="155"/>
      <c r="BZ84" s="150"/>
      <c r="CA84" s="1234"/>
      <c r="CB84" s="1234"/>
      <c r="CC84" s="1234"/>
      <c r="CD84" s="1234"/>
      <c r="CE84" s="1234"/>
      <c r="CF84" s="1234"/>
      <c r="CG84" s="1234"/>
      <c r="CH84" s="1234"/>
      <c r="CI84" s="1234"/>
      <c r="CJ84" s="1234"/>
      <c r="CK84" s="1234"/>
      <c r="CL84" s="1234"/>
      <c r="CM84" s="1234"/>
      <c r="CN84" s="1234"/>
      <c r="CO84" s="1234"/>
      <c r="CP84" s="1234"/>
      <c r="CQ84" s="1234"/>
      <c r="CR84" s="1234"/>
      <c r="CS84" s="1234"/>
      <c r="CT84" s="1234"/>
      <c r="CU84" s="1234"/>
      <c r="CV84" s="1234"/>
      <c r="CW84" s="1234"/>
      <c r="CX84" s="1234"/>
      <c r="CZ84" s="1119"/>
      <c r="DA84" s="1119"/>
      <c r="DB84" s="1119"/>
      <c r="DC84" s="1119"/>
      <c r="DD84" s="1119"/>
      <c r="DE84" s="1119"/>
      <c r="DF84" s="1119"/>
      <c r="DG84" s="1119"/>
      <c r="DH84" s="1119"/>
      <c r="DI84" s="1119"/>
      <c r="DJ84" s="1119"/>
      <c r="DK84" s="1119"/>
      <c r="DL84" s="1119"/>
      <c r="DM84" s="1119"/>
      <c r="DN84" s="1119"/>
      <c r="DO84" s="1119"/>
      <c r="DP84" s="1119"/>
      <c r="DQ84" s="1119"/>
      <c r="DR84" s="1119"/>
      <c r="DS84" s="1119"/>
      <c r="DT84" s="1119"/>
      <c r="DU84" s="1119"/>
      <c r="DV84" s="1119"/>
      <c r="DW84" s="1119"/>
      <c r="DY84" s="1120"/>
      <c r="DZ84" s="1120"/>
      <c r="EA84" s="1120"/>
      <c r="EB84" s="1120"/>
      <c r="EC84" s="1120"/>
      <c r="ED84" s="1120"/>
      <c r="EE84" s="1120"/>
      <c r="EF84" s="1120"/>
      <c r="EG84" s="1120"/>
      <c r="EH84" s="1120"/>
      <c r="EI84" s="1120"/>
      <c r="EJ84" s="1120"/>
      <c r="EK84" s="1120"/>
      <c r="EL84" s="1120"/>
      <c r="EM84" s="1120"/>
      <c r="EN84" s="1120"/>
      <c r="EO84" s="1120"/>
      <c r="EP84" s="1120"/>
      <c r="EQ84" s="1120"/>
      <c r="ER84" s="1120"/>
      <c r="ES84" s="1120"/>
      <c r="ET84" s="1120"/>
      <c r="EU84" s="1120"/>
      <c r="EW84" s="155"/>
      <c r="EX84" s="552"/>
      <c r="EY84" s="552"/>
      <c r="EZ84" s="552"/>
      <c r="FA84" s="552"/>
      <c r="FB84" s="552"/>
      <c r="FC84" s="552"/>
      <c r="FD84" s="552"/>
      <c r="FE84" s="552"/>
      <c r="FF84" s="552"/>
      <c r="FG84" s="552"/>
      <c r="FH84" s="552"/>
      <c r="FI84" s="552"/>
      <c r="FJ84" s="552"/>
      <c r="FK84" s="552"/>
      <c r="FL84" s="552"/>
      <c r="FM84" s="552"/>
      <c r="FN84" s="552"/>
      <c r="FO84" s="552"/>
      <c r="FP84" s="552"/>
      <c r="FQ84" s="552"/>
      <c r="FR84" s="552"/>
      <c r="FS84" s="552"/>
      <c r="FT84" s="552"/>
      <c r="FU84" s="552"/>
      <c r="FV84" s="552"/>
      <c r="FW84" s="552"/>
      <c r="FX84" s="552"/>
      <c r="FY84" s="552"/>
      <c r="FZ84" s="552"/>
      <c r="GA84" s="552"/>
      <c r="GB84" s="552"/>
      <c r="GC84" s="552"/>
      <c r="GD84" s="552"/>
      <c r="GE84" s="552"/>
      <c r="GF84" s="552"/>
      <c r="GG84" s="552"/>
      <c r="GH84" s="552"/>
      <c r="GI84" s="552"/>
      <c r="GJ84" s="552"/>
      <c r="GK84" s="552"/>
      <c r="GL84" s="552"/>
      <c r="GM84" s="552"/>
      <c r="GN84" s="552"/>
      <c r="GO84" s="552"/>
      <c r="GP84" s="552"/>
      <c r="GQ84" s="552"/>
      <c r="GR84" s="552"/>
      <c r="GS84" s="552"/>
      <c r="GT84" s="552"/>
      <c r="GU84" s="552"/>
      <c r="GV84" s="552"/>
      <c r="GW84" s="552"/>
      <c r="GX84" s="552"/>
      <c r="GY84" s="552"/>
      <c r="GZ84" s="552"/>
      <c r="HA84" s="552"/>
      <c r="HB84" s="552"/>
      <c r="HC84" s="552"/>
      <c r="HD84" s="552"/>
      <c r="HE84" s="552"/>
      <c r="HF84" s="552"/>
      <c r="HG84" s="552"/>
      <c r="HH84" s="552"/>
      <c r="HI84" s="552"/>
      <c r="HJ84" s="552"/>
      <c r="HK84" s="552"/>
      <c r="HL84" s="552"/>
      <c r="HM84" s="552"/>
      <c r="HN84" s="552"/>
      <c r="HO84" s="552"/>
      <c r="HP84" s="552"/>
      <c r="HQ84" s="552"/>
      <c r="HR84" s="552"/>
      <c r="HS84" s="552"/>
      <c r="HT84" s="155"/>
      <c r="HU84" s="155"/>
      <c r="HV84" s="552"/>
      <c r="HW84" s="552"/>
      <c r="HX84" s="552"/>
      <c r="HY84" s="552"/>
      <c r="HZ84" s="552"/>
      <c r="IA84" s="552"/>
      <c r="IB84" s="552"/>
      <c r="IC84" s="552"/>
      <c r="ID84" s="552"/>
      <c r="IE84" s="552"/>
      <c r="IF84" s="552"/>
      <c r="IG84" s="552"/>
      <c r="IH84" s="552"/>
      <c r="II84" s="552"/>
      <c r="IJ84" s="552"/>
      <c r="IK84" s="552"/>
      <c r="IL84" s="552"/>
      <c r="IM84" s="552"/>
      <c r="IN84" s="552"/>
      <c r="IO84" s="552"/>
      <c r="IP84" s="552"/>
      <c r="IQ84" s="552"/>
      <c r="IR84" s="552"/>
      <c r="IS84" s="552"/>
      <c r="IT84" s="552"/>
      <c r="IU84" s="552"/>
      <c r="IV84" s="552"/>
      <c r="IW84" s="552"/>
      <c r="IX84" s="552"/>
      <c r="IY84" s="552"/>
      <c r="IZ84" s="552"/>
      <c r="JA84" s="552"/>
      <c r="JB84" s="552"/>
      <c r="JC84" s="552"/>
      <c r="JD84" s="552"/>
      <c r="JE84" s="552"/>
      <c r="JF84" s="552"/>
      <c r="JG84" s="552"/>
      <c r="JH84" s="552"/>
      <c r="JI84" s="552"/>
      <c r="JJ84" s="552"/>
      <c r="JK84" s="552"/>
      <c r="JL84" s="552"/>
      <c r="JM84" s="552"/>
      <c r="JN84" s="552"/>
      <c r="JO84" s="552"/>
      <c r="JP84" s="552"/>
      <c r="JQ84" s="552"/>
      <c r="JR84" s="552"/>
      <c r="JS84" s="552"/>
      <c r="JT84" s="552"/>
      <c r="JU84" s="552"/>
      <c r="JV84" s="552"/>
      <c r="JW84" s="552"/>
      <c r="JX84" s="552"/>
      <c r="JY84" s="552"/>
      <c r="JZ84" s="552"/>
      <c r="KA84" s="552"/>
      <c r="KB84" s="552"/>
      <c r="KC84" s="552"/>
      <c r="KD84" s="552"/>
      <c r="KE84" s="552"/>
      <c r="KF84" s="552"/>
      <c r="KG84" s="552"/>
      <c r="KH84" s="552"/>
      <c r="KI84" s="552"/>
      <c r="KJ84" s="552"/>
      <c r="KK84" s="552"/>
      <c r="KL84" s="552"/>
      <c r="KM84" s="552"/>
      <c r="KN84" s="552"/>
      <c r="KO84" s="552"/>
      <c r="KP84" s="552"/>
      <c r="KQ84" s="552"/>
      <c r="KR84" s="155"/>
      <c r="KS84" s="155"/>
      <c r="KV84" s="1120"/>
      <c r="KW84" s="1120"/>
      <c r="KX84" s="1120"/>
      <c r="KY84" s="1120"/>
      <c r="KZ84" s="1120"/>
      <c r="LA84" s="1120"/>
      <c r="LB84" s="1120"/>
      <c r="LC84" s="1120"/>
      <c r="LD84" s="1120"/>
      <c r="LE84" s="1120"/>
      <c r="LF84" s="1120"/>
      <c r="LG84" s="1120"/>
      <c r="LH84" s="1120"/>
      <c r="LI84" s="1120"/>
      <c r="LJ84" s="1120"/>
      <c r="LK84" s="1120"/>
      <c r="LL84" s="1120"/>
      <c r="LM84" s="1120"/>
      <c r="LN84" s="1120"/>
      <c r="LO84" s="1120"/>
      <c r="LP84" s="1120"/>
      <c r="LQ84" s="1120"/>
      <c r="LR84" s="1120"/>
      <c r="LS84" s="1120"/>
      <c r="LT84" s="1120"/>
      <c r="LV84" s="1122"/>
      <c r="LW84" s="1122"/>
      <c r="LX84" s="1122"/>
      <c r="LY84" s="1122"/>
      <c r="MA84" s="1122"/>
      <c r="MB84" s="1122"/>
      <c r="MC84" s="1122"/>
      <c r="MD84" s="1122"/>
      <c r="ME84" s="1122"/>
      <c r="MF84" s="1122"/>
      <c r="MG84" s="1122"/>
      <c r="MH84" s="1122"/>
      <c r="MI84" s="1122"/>
      <c r="MK84" s="1122"/>
      <c r="ML84" s="1122"/>
      <c r="MM84" s="1122"/>
      <c r="MN84" s="1122"/>
      <c r="MO84" s="1122"/>
      <c r="NP84" s="155"/>
      <c r="NQ84" s="155"/>
      <c r="QN84" s="155"/>
      <c r="QO84" s="155"/>
      <c r="TL84" s="155"/>
    </row>
    <row r="85" spans="1:532" ht="6.75" customHeight="1" x14ac:dyDescent="0.25">
      <c r="A85" s="155"/>
      <c r="B85" s="512"/>
      <c r="C85" s="1192"/>
      <c r="D85" s="1193"/>
      <c r="E85" s="1193"/>
      <c r="F85" s="1193"/>
      <c r="G85" s="1193"/>
      <c r="H85" s="1193"/>
      <c r="I85" s="1193"/>
      <c r="J85" s="1193"/>
      <c r="K85" s="1193"/>
      <c r="L85" s="1193"/>
      <c r="M85" s="1193"/>
      <c r="N85" s="1193"/>
      <c r="O85" s="1193"/>
      <c r="P85" s="1193"/>
      <c r="Q85" s="1193"/>
      <c r="R85" s="1193"/>
      <c r="S85" s="1193"/>
      <c r="T85" s="1193"/>
      <c r="U85" s="1193"/>
      <c r="V85" s="1193"/>
      <c r="W85" s="1193"/>
      <c r="X85" s="1193"/>
      <c r="Y85" s="1193"/>
      <c r="Z85" s="1193"/>
      <c r="AA85" s="1193"/>
      <c r="AB85" s="1193"/>
      <c r="AC85" s="1193"/>
      <c r="AD85" s="1193"/>
      <c r="AE85" s="1193"/>
      <c r="AF85" s="1193"/>
      <c r="AG85" s="1193"/>
      <c r="AH85" s="1193"/>
      <c r="AI85" s="1193"/>
      <c r="AJ85" s="1193"/>
      <c r="AK85" s="1193"/>
      <c r="AL85" s="1194"/>
      <c r="AM85" s="508"/>
      <c r="AN85" s="508"/>
      <c r="AO85" s="1183"/>
      <c r="AP85" s="1184"/>
      <c r="AQ85" s="1184"/>
      <c r="AR85" s="1184"/>
      <c r="AS85" s="1184"/>
      <c r="AT85" s="1184"/>
      <c r="AU85" s="1184"/>
      <c r="AV85" s="1184"/>
      <c r="AW85" s="1184"/>
      <c r="AX85" s="1184"/>
      <c r="AY85" s="1184"/>
      <c r="AZ85" s="1184"/>
      <c r="BA85" s="1184"/>
      <c r="BB85" s="1184"/>
      <c r="BC85" s="1184"/>
      <c r="BD85" s="1184"/>
      <c r="BE85" s="1184"/>
      <c r="BF85" s="1184"/>
      <c r="BG85" s="1184"/>
      <c r="BH85" s="1184"/>
      <c r="BI85" s="1184"/>
      <c r="BJ85" s="1184"/>
      <c r="BK85" s="1184"/>
      <c r="BL85" s="1184"/>
      <c r="BM85" s="1184"/>
      <c r="BN85" s="1184"/>
      <c r="BO85" s="1184"/>
      <c r="BP85" s="1184"/>
      <c r="BQ85" s="1184"/>
      <c r="BR85" s="1184"/>
      <c r="BS85" s="1184"/>
      <c r="BT85" s="1184"/>
      <c r="BU85" s="1184"/>
      <c r="BV85" s="1185"/>
      <c r="BW85" s="513"/>
      <c r="BX85" s="155"/>
      <c r="BY85" s="155"/>
      <c r="BZ85" s="150"/>
      <c r="CA85" s="1234"/>
      <c r="CB85" s="1234"/>
      <c r="CC85" s="1234"/>
      <c r="CD85" s="1234"/>
      <c r="CE85" s="1234"/>
      <c r="CF85" s="1234"/>
      <c r="CG85" s="1234"/>
      <c r="CH85" s="1234"/>
      <c r="CI85" s="1234"/>
      <c r="CJ85" s="1234"/>
      <c r="CK85" s="1234"/>
      <c r="CL85" s="1234"/>
      <c r="CM85" s="1234"/>
      <c r="CN85" s="1234"/>
      <c r="CO85" s="1234"/>
      <c r="CP85" s="1234"/>
      <c r="CQ85" s="1234"/>
      <c r="CR85" s="1234"/>
      <c r="CS85" s="1234"/>
      <c r="CT85" s="1234"/>
      <c r="CU85" s="1234"/>
      <c r="CV85" s="1234"/>
      <c r="CW85" s="1234"/>
      <c r="CX85" s="1234"/>
      <c r="CZ85" s="1119"/>
      <c r="DA85" s="1119"/>
      <c r="DB85" s="1119"/>
      <c r="DC85" s="1119"/>
      <c r="DD85" s="1119"/>
      <c r="DE85" s="1119"/>
      <c r="DF85" s="1119"/>
      <c r="DG85" s="1119"/>
      <c r="DH85" s="1119"/>
      <c r="DI85" s="1119"/>
      <c r="DJ85" s="1119"/>
      <c r="DK85" s="1119"/>
      <c r="DL85" s="1119"/>
      <c r="DM85" s="1119"/>
      <c r="DN85" s="1119"/>
      <c r="DO85" s="1119"/>
      <c r="DP85" s="1119"/>
      <c r="DQ85" s="1119"/>
      <c r="DR85" s="1119"/>
      <c r="DS85" s="1119"/>
      <c r="DT85" s="1119"/>
      <c r="DU85" s="1119"/>
      <c r="DV85" s="1119"/>
      <c r="DW85" s="1119"/>
      <c r="DY85" s="1121"/>
      <c r="DZ85" s="1121"/>
      <c r="EA85" s="1121"/>
      <c r="EB85" s="1121"/>
      <c r="EC85" s="1121"/>
      <c r="ED85" s="1121"/>
      <c r="EE85" s="1121"/>
      <c r="EF85" s="1121"/>
      <c r="EG85" s="1121"/>
      <c r="EH85" s="1121"/>
      <c r="EI85" s="1121"/>
      <c r="EJ85" s="1121"/>
      <c r="EK85" s="1121"/>
      <c r="EL85" s="1121"/>
      <c r="EM85" s="1121"/>
      <c r="EN85" s="1121"/>
      <c r="EO85" s="1121"/>
      <c r="EP85" s="1121"/>
      <c r="EQ85" s="1121"/>
      <c r="ER85" s="1121"/>
      <c r="ES85" s="1121"/>
      <c r="ET85" s="1121"/>
      <c r="EU85" s="1121"/>
      <c r="EW85" s="155"/>
      <c r="EX85" s="552"/>
      <c r="EY85" s="552"/>
      <c r="EZ85" s="552"/>
      <c r="FA85" s="552"/>
      <c r="FB85" s="552"/>
      <c r="FC85" s="552"/>
      <c r="FD85" s="552"/>
      <c r="FE85" s="552"/>
      <c r="FF85" s="552"/>
      <c r="FG85" s="552"/>
      <c r="FH85" s="552"/>
      <c r="FI85" s="552"/>
      <c r="FJ85" s="552"/>
      <c r="FK85" s="552"/>
      <c r="FL85" s="552"/>
      <c r="FM85" s="552"/>
      <c r="FN85" s="552"/>
      <c r="FO85" s="552"/>
      <c r="FP85" s="552"/>
      <c r="FQ85" s="552"/>
      <c r="FR85" s="552"/>
      <c r="FS85" s="552"/>
      <c r="FT85" s="552"/>
      <c r="FU85" s="552"/>
      <c r="FV85" s="552"/>
      <c r="FW85" s="552"/>
      <c r="FX85" s="552"/>
      <c r="FY85" s="552"/>
      <c r="FZ85" s="552"/>
      <c r="GA85" s="552"/>
      <c r="GB85" s="552"/>
      <c r="GC85" s="552"/>
      <c r="GD85" s="552"/>
      <c r="GE85" s="552"/>
      <c r="GF85" s="552"/>
      <c r="GG85" s="552"/>
      <c r="GH85" s="552"/>
      <c r="GI85" s="552"/>
      <c r="GJ85" s="552"/>
      <c r="GK85" s="552"/>
      <c r="GL85" s="552"/>
      <c r="GM85" s="552"/>
      <c r="GN85" s="552"/>
      <c r="GO85" s="552"/>
      <c r="GP85" s="552"/>
      <c r="GQ85" s="552"/>
      <c r="GR85" s="552"/>
      <c r="GS85" s="552"/>
      <c r="GT85" s="552"/>
      <c r="GU85" s="552"/>
      <c r="GV85" s="552"/>
      <c r="GW85" s="552"/>
      <c r="GX85" s="552"/>
      <c r="GY85" s="552"/>
      <c r="GZ85" s="552"/>
      <c r="HA85" s="552"/>
      <c r="HB85" s="552"/>
      <c r="HC85" s="552"/>
      <c r="HD85" s="552"/>
      <c r="HE85" s="552"/>
      <c r="HF85" s="552"/>
      <c r="HG85" s="552"/>
      <c r="HH85" s="552"/>
      <c r="HI85" s="552"/>
      <c r="HJ85" s="552"/>
      <c r="HK85" s="552"/>
      <c r="HL85" s="552"/>
      <c r="HM85" s="552"/>
      <c r="HN85" s="552"/>
      <c r="HO85" s="552"/>
      <c r="HP85" s="552"/>
      <c r="HQ85" s="552"/>
      <c r="HR85" s="552"/>
      <c r="HS85" s="552"/>
      <c r="HT85" s="155"/>
      <c r="HU85" s="155"/>
      <c r="HV85" s="552"/>
      <c r="HW85" s="552"/>
      <c r="HX85" s="552"/>
      <c r="HY85" s="552"/>
      <c r="HZ85" s="552"/>
      <c r="IA85" s="552"/>
      <c r="IB85" s="552"/>
      <c r="IC85" s="552"/>
      <c r="ID85" s="552"/>
      <c r="IE85" s="552"/>
      <c r="IF85" s="552"/>
      <c r="IG85" s="552"/>
      <c r="IH85" s="552"/>
      <c r="II85" s="552"/>
      <c r="IJ85" s="552"/>
      <c r="IK85" s="552"/>
      <c r="IL85" s="552"/>
      <c r="IM85" s="552"/>
      <c r="IN85" s="552"/>
      <c r="IO85" s="552"/>
      <c r="IP85" s="552"/>
      <c r="IQ85" s="552"/>
      <c r="IR85" s="552"/>
      <c r="IS85" s="552"/>
      <c r="IT85" s="552"/>
      <c r="IU85" s="552"/>
      <c r="IV85" s="552"/>
      <c r="IW85" s="552"/>
      <c r="IX85" s="552"/>
      <c r="IY85" s="552"/>
      <c r="IZ85" s="552"/>
      <c r="JA85" s="552"/>
      <c r="JB85" s="552"/>
      <c r="JC85" s="552"/>
      <c r="JD85" s="552"/>
      <c r="JE85" s="552"/>
      <c r="JF85" s="552"/>
      <c r="JG85" s="552"/>
      <c r="JH85" s="552"/>
      <c r="JI85" s="552"/>
      <c r="JJ85" s="552"/>
      <c r="JK85" s="552"/>
      <c r="JL85" s="552"/>
      <c r="JM85" s="552"/>
      <c r="JN85" s="552"/>
      <c r="JO85" s="552"/>
      <c r="JP85" s="552"/>
      <c r="JQ85" s="552"/>
      <c r="JR85" s="552"/>
      <c r="JS85" s="552"/>
      <c r="JT85" s="552"/>
      <c r="JU85" s="552"/>
      <c r="JV85" s="552"/>
      <c r="JW85" s="552"/>
      <c r="JX85" s="552"/>
      <c r="JY85" s="552"/>
      <c r="JZ85" s="552"/>
      <c r="KA85" s="552"/>
      <c r="KB85" s="552"/>
      <c r="KC85" s="552"/>
      <c r="KD85" s="552"/>
      <c r="KE85" s="552"/>
      <c r="KF85" s="552"/>
      <c r="KG85" s="552"/>
      <c r="KH85" s="552"/>
      <c r="KI85" s="552"/>
      <c r="KJ85" s="552"/>
      <c r="KK85" s="552"/>
      <c r="KL85" s="552"/>
      <c r="KM85" s="552"/>
      <c r="KN85" s="552"/>
      <c r="KO85" s="552"/>
      <c r="KP85" s="552"/>
      <c r="KQ85" s="552"/>
      <c r="KR85" s="155"/>
      <c r="KS85" s="155"/>
      <c r="KV85" s="1121"/>
      <c r="KW85" s="1121"/>
      <c r="KX85" s="1121"/>
      <c r="KY85" s="1121"/>
      <c r="KZ85" s="1121"/>
      <c r="LA85" s="1121"/>
      <c r="LB85" s="1121"/>
      <c r="LC85" s="1121"/>
      <c r="LD85" s="1121"/>
      <c r="LE85" s="1121"/>
      <c r="LF85" s="1121"/>
      <c r="LG85" s="1121"/>
      <c r="LH85" s="1121"/>
      <c r="LI85" s="1121"/>
      <c r="LJ85" s="1121"/>
      <c r="LK85" s="1121"/>
      <c r="LL85" s="1121"/>
      <c r="LM85" s="1121"/>
      <c r="LN85" s="1121"/>
      <c r="LO85" s="1121"/>
      <c r="LP85" s="1121"/>
      <c r="LQ85" s="1121"/>
      <c r="LR85" s="1121"/>
      <c r="LS85" s="1121"/>
      <c r="LT85" s="1121"/>
      <c r="LV85" s="1123"/>
      <c r="LW85" s="1123"/>
      <c r="LX85" s="1123"/>
      <c r="LY85" s="1123"/>
      <c r="MA85" s="1123"/>
      <c r="MB85" s="1123"/>
      <c r="MC85" s="1123"/>
      <c r="MD85" s="1123"/>
      <c r="ME85" s="1123"/>
      <c r="MF85" s="1123"/>
      <c r="MG85" s="1123"/>
      <c r="MH85" s="1123"/>
      <c r="MI85" s="1123"/>
      <c r="MK85" s="1123"/>
      <c r="ML85" s="1123"/>
      <c r="MM85" s="1123"/>
      <c r="MN85" s="1123"/>
      <c r="MO85" s="1123"/>
      <c r="NP85" s="155"/>
      <c r="NQ85" s="155"/>
      <c r="QN85" s="155"/>
      <c r="QO85" s="155"/>
      <c r="TL85" s="155"/>
    </row>
    <row r="86" spans="1:532" ht="6.75" customHeight="1" x14ac:dyDescent="0.25">
      <c r="A86" s="155"/>
      <c r="B86" s="512"/>
      <c r="C86" s="1192"/>
      <c r="D86" s="1193"/>
      <c r="E86" s="1193"/>
      <c r="F86" s="1193"/>
      <c r="G86" s="1193"/>
      <c r="H86" s="1193"/>
      <c r="I86" s="1193"/>
      <c r="J86" s="1193"/>
      <c r="K86" s="1193"/>
      <c r="L86" s="1193"/>
      <c r="M86" s="1193"/>
      <c r="N86" s="1193"/>
      <c r="O86" s="1193"/>
      <c r="P86" s="1193"/>
      <c r="Q86" s="1193"/>
      <c r="R86" s="1193"/>
      <c r="S86" s="1193"/>
      <c r="T86" s="1193"/>
      <c r="U86" s="1193"/>
      <c r="V86" s="1193"/>
      <c r="W86" s="1193"/>
      <c r="X86" s="1193"/>
      <c r="Y86" s="1193"/>
      <c r="Z86" s="1193"/>
      <c r="AA86" s="1193"/>
      <c r="AB86" s="1193"/>
      <c r="AC86" s="1193"/>
      <c r="AD86" s="1193"/>
      <c r="AE86" s="1193"/>
      <c r="AF86" s="1193"/>
      <c r="AG86" s="1193"/>
      <c r="AH86" s="1193"/>
      <c r="AI86" s="1193"/>
      <c r="AJ86" s="1193"/>
      <c r="AK86" s="1193"/>
      <c r="AL86" s="1194"/>
      <c r="AM86" s="508"/>
      <c r="AN86" s="508"/>
      <c r="AO86" s="1183"/>
      <c r="AP86" s="1184"/>
      <c r="AQ86" s="1184"/>
      <c r="AR86" s="1184"/>
      <c r="AS86" s="1184"/>
      <c r="AT86" s="1184"/>
      <c r="AU86" s="1184"/>
      <c r="AV86" s="1184"/>
      <c r="AW86" s="1184"/>
      <c r="AX86" s="1184"/>
      <c r="AY86" s="1184"/>
      <c r="AZ86" s="1184"/>
      <c r="BA86" s="1184"/>
      <c r="BB86" s="1184"/>
      <c r="BC86" s="1184"/>
      <c r="BD86" s="1184"/>
      <c r="BE86" s="1184"/>
      <c r="BF86" s="1184"/>
      <c r="BG86" s="1184"/>
      <c r="BH86" s="1184"/>
      <c r="BI86" s="1184"/>
      <c r="BJ86" s="1184"/>
      <c r="BK86" s="1184"/>
      <c r="BL86" s="1184"/>
      <c r="BM86" s="1184"/>
      <c r="BN86" s="1184"/>
      <c r="BO86" s="1184"/>
      <c r="BP86" s="1184"/>
      <c r="BQ86" s="1184"/>
      <c r="BR86" s="1184"/>
      <c r="BS86" s="1184"/>
      <c r="BT86" s="1184"/>
      <c r="BU86" s="1184"/>
      <c r="BV86" s="1185"/>
      <c r="BW86" s="513"/>
      <c r="BX86" s="155"/>
      <c r="BY86" s="155"/>
      <c r="BZ86" s="150"/>
      <c r="CA86" s="1234"/>
      <c r="CB86" s="1234"/>
      <c r="CC86" s="1234"/>
      <c r="CD86" s="1234"/>
      <c r="CE86" s="1234"/>
      <c r="CF86" s="1234"/>
      <c r="CG86" s="1234"/>
      <c r="CH86" s="1234"/>
      <c r="CI86" s="1234"/>
      <c r="CJ86" s="1234"/>
      <c r="CK86" s="1234"/>
      <c r="CL86" s="1234"/>
      <c r="CM86" s="1234"/>
      <c r="CN86" s="1234"/>
      <c r="CO86" s="1234"/>
      <c r="CP86" s="1234"/>
      <c r="CQ86" s="1234"/>
      <c r="CR86" s="1234"/>
      <c r="CS86" s="1234"/>
      <c r="CT86" s="1234"/>
      <c r="CU86" s="1234"/>
      <c r="CV86" s="1234"/>
      <c r="CW86" s="1234"/>
      <c r="CX86" s="1234"/>
      <c r="CZ86" s="1119"/>
      <c r="DA86" s="1119"/>
      <c r="DB86" s="1119"/>
      <c r="DC86" s="1119"/>
      <c r="DD86" s="1119"/>
      <c r="DE86" s="1119"/>
      <c r="DF86" s="1119"/>
      <c r="DG86" s="1119"/>
      <c r="DH86" s="1119"/>
      <c r="DI86" s="1119"/>
      <c r="DJ86" s="1119"/>
      <c r="DK86" s="1119"/>
      <c r="DL86" s="1119"/>
      <c r="DM86" s="1119"/>
      <c r="DN86" s="1119"/>
      <c r="DO86" s="1119"/>
      <c r="DP86" s="1119"/>
      <c r="DQ86" s="1119"/>
      <c r="DR86" s="1119"/>
      <c r="DS86" s="1119"/>
      <c r="DT86" s="1119"/>
      <c r="DU86" s="1119"/>
      <c r="DV86" s="1119"/>
      <c r="DW86" s="1119"/>
      <c r="DY86" s="1120"/>
      <c r="DZ86" s="1120"/>
      <c r="EA86" s="1120"/>
      <c r="EB86" s="1120"/>
      <c r="EC86" s="1120"/>
      <c r="ED86" s="1120"/>
      <c r="EE86" s="1120"/>
      <c r="EF86" s="1120"/>
      <c r="EG86" s="1120"/>
      <c r="EH86" s="1120"/>
      <c r="EI86" s="1120"/>
      <c r="EJ86" s="1120"/>
      <c r="EK86" s="1120"/>
      <c r="EL86" s="1120"/>
      <c r="EM86" s="1120"/>
      <c r="EN86" s="1120"/>
      <c r="EO86" s="1120"/>
      <c r="EP86" s="1120"/>
      <c r="EQ86" s="1120"/>
      <c r="ER86" s="1120"/>
      <c r="ES86" s="1120"/>
      <c r="ET86" s="1120"/>
      <c r="EU86" s="1120"/>
      <c r="EW86" s="155"/>
      <c r="EX86" s="552"/>
      <c r="EY86" s="552"/>
      <c r="EZ86" s="552"/>
      <c r="FA86" s="552"/>
      <c r="FB86" s="552"/>
      <c r="FC86" s="552"/>
      <c r="FD86" s="552"/>
      <c r="FE86" s="552"/>
      <c r="FF86" s="552"/>
      <c r="FG86" s="552"/>
      <c r="FH86" s="552"/>
      <c r="FI86" s="552"/>
      <c r="FJ86" s="552"/>
      <c r="FK86" s="552"/>
      <c r="FL86" s="552"/>
      <c r="FM86" s="552"/>
      <c r="FN86" s="552"/>
      <c r="FO86" s="552"/>
      <c r="FP86" s="552"/>
      <c r="FQ86" s="552"/>
      <c r="FR86" s="552"/>
      <c r="FS86" s="552"/>
      <c r="FT86" s="552"/>
      <c r="FU86" s="552"/>
      <c r="FV86" s="552"/>
      <c r="FW86" s="552"/>
      <c r="FX86" s="552"/>
      <c r="FY86" s="552"/>
      <c r="FZ86" s="552"/>
      <c r="GA86" s="552"/>
      <c r="GB86" s="552"/>
      <c r="GC86" s="552"/>
      <c r="GD86" s="552"/>
      <c r="GE86" s="552"/>
      <c r="GF86" s="552"/>
      <c r="GG86" s="552"/>
      <c r="GH86" s="552"/>
      <c r="GI86" s="552"/>
      <c r="GJ86" s="552"/>
      <c r="GK86" s="552"/>
      <c r="GL86" s="552"/>
      <c r="GM86" s="552"/>
      <c r="GN86" s="552"/>
      <c r="GO86" s="552"/>
      <c r="GP86" s="552"/>
      <c r="GQ86" s="552"/>
      <c r="GR86" s="552"/>
      <c r="GS86" s="552"/>
      <c r="GT86" s="552"/>
      <c r="GU86" s="552"/>
      <c r="GV86" s="552"/>
      <c r="GW86" s="552"/>
      <c r="GX86" s="552"/>
      <c r="GY86" s="552"/>
      <c r="GZ86" s="552"/>
      <c r="HA86" s="552"/>
      <c r="HB86" s="552"/>
      <c r="HC86" s="552"/>
      <c r="HD86" s="552"/>
      <c r="HE86" s="552"/>
      <c r="HF86" s="552"/>
      <c r="HG86" s="552"/>
      <c r="HH86" s="552"/>
      <c r="HI86" s="552"/>
      <c r="HJ86" s="552"/>
      <c r="HK86" s="552"/>
      <c r="HL86" s="552"/>
      <c r="HM86" s="552"/>
      <c r="HN86" s="552"/>
      <c r="HO86" s="552"/>
      <c r="HP86" s="552"/>
      <c r="HQ86" s="552"/>
      <c r="HR86" s="552"/>
      <c r="HS86" s="552"/>
      <c r="HT86" s="155"/>
      <c r="HU86" s="155"/>
      <c r="HV86" s="552"/>
      <c r="HW86" s="552"/>
      <c r="HX86" s="552"/>
      <c r="HY86" s="552"/>
      <c r="HZ86" s="552"/>
      <c r="IA86" s="552"/>
      <c r="IB86" s="552"/>
      <c r="IC86" s="552"/>
      <c r="ID86" s="552"/>
      <c r="IE86" s="552"/>
      <c r="IF86" s="552"/>
      <c r="IG86" s="552"/>
      <c r="IH86" s="552"/>
      <c r="II86" s="552"/>
      <c r="IJ86" s="552"/>
      <c r="IK86" s="552"/>
      <c r="IL86" s="552"/>
      <c r="IM86" s="552"/>
      <c r="IN86" s="552"/>
      <c r="IO86" s="552"/>
      <c r="IP86" s="552"/>
      <c r="IQ86" s="552"/>
      <c r="IR86" s="552"/>
      <c r="IS86" s="552"/>
      <c r="IT86" s="552"/>
      <c r="IU86" s="552"/>
      <c r="IV86" s="552"/>
      <c r="IW86" s="552"/>
      <c r="IX86" s="552"/>
      <c r="IY86" s="552"/>
      <c r="IZ86" s="552"/>
      <c r="JA86" s="552"/>
      <c r="JB86" s="552"/>
      <c r="JC86" s="552"/>
      <c r="JD86" s="552"/>
      <c r="JE86" s="552"/>
      <c r="JF86" s="552"/>
      <c r="JG86" s="552"/>
      <c r="JH86" s="552"/>
      <c r="JI86" s="552"/>
      <c r="JJ86" s="552"/>
      <c r="JK86" s="552"/>
      <c r="JL86" s="552"/>
      <c r="JM86" s="552"/>
      <c r="JN86" s="552"/>
      <c r="JO86" s="552"/>
      <c r="JP86" s="552"/>
      <c r="JQ86" s="552"/>
      <c r="JR86" s="552"/>
      <c r="JS86" s="552"/>
      <c r="JT86" s="552"/>
      <c r="JU86" s="552"/>
      <c r="JV86" s="552"/>
      <c r="JW86" s="552"/>
      <c r="JX86" s="552"/>
      <c r="JY86" s="552"/>
      <c r="JZ86" s="552"/>
      <c r="KA86" s="552"/>
      <c r="KB86" s="552"/>
      <c r="KC86" s="552"/>
      <c r="KD86" s="552"/>
      <c r="KE86" s="552"/>
      <c r="KF86" s="552"/>
      <c r="KG86" s="552"/>
      <c r="KH86" s="552"/>
      <c r="KI86" s="552"/>
      <c r="KJ86" s="552"/>
      <c r="KK86" s="552"/>
      <c r="KL86" s="552"/>
      <c r="KM86" s="552"/>
      <c r="KN86" s="552"/>
      <c r="KO86" s="552"/>
      <c r="KP86" s="552"/>
      <c r="KQ86" s="552"/>
      <c r="KR86" s="155"/>
      <c r="KS86" s="155"/>
      <c r="KV86" s="1120"/>
      <c r="KW86" s="1120"/>
      <c r="KX86" s="1120"/>
      <c r="KY86" s="1120"/>
      <c r="KZ86" s="1120"/>
      <c r="LA86" s="1120"/>
      <c r="LB86" s="1120"/>
      <c r="LC86" s="1120"/>
      <c r="LD86" s="1120"/>
      <c r="LE86" s="1120"/>
      <c r="LF86" s="1120"/>
      <c r="LG86" s="1120"/>
      <c r="LH86" s="1120"/>
      <c r="LI86" s="1120"/>
      <c r="LJ86" s="1120"/>
      <c r="LK86" s="1120"/>
      <c r="LL86" s="1120"/>
      <c r="LM86" s="1120"/>
      <c r="LN86" s="1120"/>
      <c r="LO86" s="1120"/>
      <c r="LP86" s="1120"/>
      <c r="LQ86" s="1120"/>
      <c r="LR86" s="1120"/>
      <c r="LS86" s="1120"/>
      <c r="LT86" s="1120"/>
      <c r="LV86" s="1122"/>
      <c r="LW86" s="1122"/>
      <c r="LX86" s="1122"/>
      <c r="LY86" s="1122"/>
      <c r="MA86" s="1122"/>
      <c r="MB86" s="1122"/>
      <c r="MC86" s="1122"/>
      <c r="MD86" s="1122"/>
      <c r="ME86" s="1122"/>
      <c r="MF86" s="1122"/>
      <c r="MG86" s="1122"/>
      <c r="MH86" s="1122"/>
      <c r="MI86" s="1122"/>
      <c r="MK86" s="1122"/>
      <c r="ML86" s="1122"/>
      <c r="MM86" s="1122"/>
      <c r="MN86" s="1122"/>
      <c r="MO86" s="1122"/>
      <c r="NP86" s="155"/>
      <c r="NQ86" s="155"/>
      <c r="QN86" s="155"/>
      <c r="QO86" s="155"/>
      <c r="TL86" s="155"/>
    </row>
    <row r="87" spans="1:532" ht="6.75" customHeight="1" thickBot="1" x14ac:dyDescent="0.3">
      <c r="A87" s="155"/>
      <c r="B87" s="512"/>
      <c r="C87" s="1195"/>
      <c r="D87" s="1196"/>
      <c r="E87" s="1196"/>
      <c r="F87" s="1196"/>
      <c r="G87" s="1196"/>
      <c r="H87" s="1196"/>
      <c r="I87" s="1196"/>
      <c r="J87" s="1196"/>
      <c r="K87" s="1196"/>
      <c r="L87" s="1196"/>
      <c r="M87" s="1196"/>
      <c r="N87" s="1196"/>
      <c r="O87" s="1196"/>
      <c r="P87" s="1196"/>
      <c r="Q87" s="1196"/>
      <c r="R87" s="1196"/>
      <c r="S87" s="1196"/>
      <c r="T87" s="1196"/>
      <c r="U87" s="1196"/>
      <c r="V87" s="1196"/>
      <c r="W87" s="1196"/>
      <c r="X87" s="1196"/>
      <c r="Y87" s="1196"/>
      <c r="Z87" s="1196"/>
      <c r="AA87" s="1196"/>
      <c r="AB87" s="1196"/>
      <c r="AC87" s="1196"/>
      <c r="AD87" s="1196"/>
      <c r="AE87" s="1196"/>
      <c r="AF87" s="1196"/>
      <c r="AG87" s="1196"/>
      <c r="AH87" s="1196"/>
      <c r="AI87" s="1196"/>
      <c r="AJ87" s="1196"/>
      <c r="AK87" s="1196"/>
      <c r="AL87" s="1197"/>
      <c r="AM87" s="508"/>
      <c r="AN87" s="508"/>
      <c r="AO87" s="1183"/>
      <c r="AP87" s="1184"/>
      <c r="AQ87" s="1184"/>
      <c r="AR87" s="1184"/>
      <c r="AS87" s="1184"/>
      <c r="AT87" s="1184"/>
      <c r="AU87" s="1184"/>
      <c r="AV87" s="1184"/>
      <c r="AW87" s="1184"/>
      <c r="AX87" s="1184"/>
      <c r="AY87" s="1184"/>
      <c r="AZ87" s="1184"/>
      <c r="BA87" s="1184"/>
      <c r="BB87" s="1184"/>
      <c r="BC87" s="1184"/>
      <c r="BD87" s="1184"/>
      <c r="BE87" s="1184"/>
      <c r="BF87" s="1184"/>
      <c r="BG87" s="1184"/>
      <c r="BH87" s="1184"/>
      <c r="BI87" s="1184"/>
      <c r="BJ87" s="1184"/>
      <c r="BK87" s="1184"/>
      <c r="BL87" s="1184"/>
      <c r="BM87" s="1184"/>
      <c r="BN87" s="1184"/>
      <c r="BO87" s="1184"/>
      <c r="BP87" s="1184"/>
      <c r="BQ87" s="1184"/>
      <c r="BR87" s="1184"/>
      <c r="BS87" s="1184"/>
      <c r="BT87" s="1184"/>
      <c r="BU87" s="1184"/>
      <c r="BV87" s="1185"/>
      <c r="BW87" s="513"/>
      <c r="BX87" s="155"/>
      <c r="BY87" s="155"/>
      <c r="BZ87" s="150"/>
      <c r="CA87" s="1234"/>
      <c r="CB87" s="1234"/>
      <c r="CC87" s="1234"/>
      <c r="CD87" s="1234"/>
      <c r="CE87" s="1234"/>
      <c r="CF87" s="1234"/>
      <c r="CG87" s="1234"/>
      <c r="CH87" s="1234"/>
      <c r="CI87" s="1234"/>
      <c r="CJ87" s="1234"/>
      <c r="CK87" s="1234"/>
      <c r="CL87" s="1234"/>
      <c r="CM87" s="1234"/>
      <c r="CN87" s="1234"/>
      <c r="CO87" s="1234"/>
      <c r="CP87" s="1234"/>
      <c r="CQ87" s="1234"/>
      <c r="CR87" s="1234"/>
      <c r="CS87" s="1234"/>
      <c r="CT87" s="1234"/>
      <c r="CU87" s="1234"/>
      <c r="CV87" s="1234"/>
      <c r="CW87" s="1234"/>
      <c r="CX87" s="1234"/>
      <c r="CZ87" s="1119"/>
      <c r="DA87" s="1119"/>
      <c r="DB87" s="1119"/>
      <c r="DC87" s="1119"/>
      <c r="DD87" s="1119"/>
      <c r="DE87" s="1119"/>
      <c r="DF87" s="1119"/>
      <c r="DG87" s="1119"/>
      <c r="DH87" s="1119"/>
      <c r="DI87" s="1119"/>
      <c r="DJ87" s="1119"/>
      <c r="DK87" s="1119"/>
      <c r="DL87" s="1119"/>
      <c r="DM87" s="1119"/>
      <c r="DN87" s="1119"/>
      <c r="DO87" s="1119"/>
      <c r="DP87" s="1119"/>
      <c r="DQ87" s="1119"/>
      <c r="DR87" s="1119"/>
      <c r="DS87" s="1119"/>
      <c r="DT87" s="1119"/>
      <c r="DU87" s="1119"/>
      <c r="DV87" s="1119"/>
      <c r="DW87" s="1119"/>
      <c r="DY87" s="1121"/>
      <c r="DZ87" s="1121"/>
      <c r="EA87" s="1121"/>
      <c r="EB87" s="1121"/>
      <c r="EC87" s="1121"/>
      <c r="ED87" s="1121"/>
      <c r="EE87" s="1121"/>
      <c r="EF87" s="1121"/>
      <c r="EG87" s="1121"/>
      <c r="EH87" s="1121"/>
      <c r="EI87" s="1121"/>
      <c r="EJ87" s="1121"/>
      <c r="EK87" s="1121"/>
      <c r="EL87" s="1121"/>
      <c r="EM87" s="1121"/>
      <c r="EN87" s="1121"/>
      <c r="EO87" s="1121"/>
      <c r="EP87" s="1121"/>
      <c r="EQ87" s="1121"/>
      <c r="ER87" s="1121"/>
      <c r="ES87" s="1121"/>
      <c r="ET87" s="1121"/>
      <c r="EU87" s="1121"/>
      <c r="EW87" s="155"/>
      <c r="EX87" s="552"/>
      <c r="EY87" s="552"/>
      <c r="EZ87" s="552"/>
      <c r="FA87" s="552"/>
      <c r="FB87" s="552"/>
      <c r="FC87" s="552"/>
      <c r="FD87" s="552"/>
      <c r="FE87" s="552"/>
      <c r="FF87" s="552"/>
      <c r="FG87" s="552"/>
      <c r="FH87" s="552"/>
      <c r="FI87" s="552"/>
      <c r="FJ87" s="552"/>
      <c r="FK87" s="552"/>
      <c r="FL87" s="552"/>
      <c r="FM87" s="552"/>
      <c r="FN87" s="552"/>
      <c r="FO87" s="552"/>
      <c r="FP87" s="552"/>
      <c r="FQ87" s="552"/>
      <c r="FR87" s="552"/>
      <c r="FS87" s="552"/>
      <c r="FT87" s="552"/>
      <c r="FU87" s="552"/>
      <c r="FV87" s="552"/>
      <c r="FW87" s="552"/>
      <c r="FX87" s="552"/>
      <c r="FY87" s="552"/>
      <c r="FZ87" s="552"/>
      <c r="GA87" s="552"/>
      <c r="GB87" s="552"/>
      <c r="GC87" s="552"/>
      <c r="GD87" s="552"/>
      <c r="GE87" s="552"/>
      <c r="GF87" s="552"/>
      <c r="GG87" s="552"/>
      <c r="GH87" s="552"/>
      <c r="GI87" s="552"/>
      <c r="GJ87" s="552"/>
      <c r="GK87" s="552"/>
      <c r="GL87" s="552"/>
      <c r="GM87" s="552"/>
      <c r="GN87" s="552"/>
      <c r="GO87" s="552"/>
      <c r="GP87" s="552"/>
      <c r="GQ87" s="552"/>
      <c r="GR87" s="552"/>
      <c r="GS87" s="552"/>
      <c r="GT87" s="552"/>
      <c r="GU87" s="552"/>
      <c r="GV87" s="552"/>
      <c r="GW87" s="552"/>
      <c r="GX87" s="552"/>
      <c r="GY87" s="552"/>
      <c r="GZ87" s="552"/>
      <c r="HA87" s="552"/>
      <c r="HB87" s="552"/>
      <c r="HC87" s="552"/>
      <c r="HD87" s="552"/>
      <c r="HE87" s="552"/>
      <c r="HF87" s="552"/>
      <c r="HG87" s="552"/>
      <c r="HH87" s="552"/>
      <c r="HI87" s="552"/>
      <c r="HJ87" s="552"/>
      <c r="HK87" s="552"/>
      <c r="HL87" s="552"/>
      <c r="HM87" s="552"/>
      <c r="HN87" s="552"/>
      <c r="HO87" s="552"/>
      <c r="HP87" s="552"/>
      <c r="HQ87" s="552"/>
      <c r="HR87" s="552"/>
      <c r="HS87" s="552"/>
      <c r="HT87" s="155"/>
      <c r="HU87" s="155"/>
      <c r="HV87" s="552"/>
      <c r="HW87" s="552"/>
      <c r="HX87" s="552"/>
      <c r="HY87" s="552"/>
      <c r="HZ87" s="552"/>
      <c r="IA87" s="552"/>
      <c r="IB87" s="552"/>
      <c r="IC87" s="552"/>
      <c r="ID87" s="552"/>
      <c r="IE87" s="552"/>
      <c r="IF87" s="552"/>
      <c r="IG87" s="552"/>
      <c r="IH87" s="552"/>
      <c r="II87" s="552"/>
      <c r="IJ87" s="552"/>
      <c r="IK87" s="552"/>
      <c r="IL87" s="552"/>
      <c r="IM87" s="552"/>
      <c r="IN87" s="552"/>
      <c r="IO87" s="552"/>
      <c r="IP87" s="552"/>
      <c r="IQ87" s="552"/>
      <c r="IR87" s="552"/>
      <c r="IS87" s="552"/>
      <c r="IT87" s="552"/>
      <c r="IU87" s="552"/>
      <c r="IV87" s="552"/>
      <c r="IW87" s="552"/>
      <c r="IX87" s="552"/>
      <c r="IY87" s="552"/>
      <c r="IZ87" s="552"/>
      <c r="JA87" s="552"/>
      <c r="JB87" s="552"/>
      <c r="JC87" s="552"/>
      <c r="JD87" s="552"/>
      <c r="JE87" s="552"/>
      <c r="JF87" s="552"/>
      <c r="JG87" s="552"/>
      <c r="JH87" s="552"/>
      <c r="JI87" s="552"/>
      <c r="JJ87" s="552"/>
      <c r="JK87" s="552"/>
      <c r="JL87" s="552"/>
      <c r="JM87" s="552"/>
      <c r="JN87" s="552"/>
      <c r="JO87" s="552"/>
      <c r="JP87" s="552"/>
      <c r="JQ87" s="552"/>
      <c r="JR87" s="552"/>
      <c r="JS87" s="552"/>
      <c r="JT87" s="552"/>
      <c r="JU87" s="552"/>
      <c r="JV87" s="552"/>
      <c r="JW87" s="552"/>
      <c r="JX87" s="552"/>
      <c r="JY87" s="552"/>
      <c r="JZ87" s="552"/>
      <c r="KA87" s="552"/>
      <c r="KB87" s="552"/>
      <c r="KC87" s="552"/>
      <c r="KD87" s="552"/>
      <c r="KE87" s="552"/>
      <c r="KF87" s="552"/>
      <c r="KG87" s="552"/>
      <c r="KH87" s="552"/>
      <c r="KI87" s="552"/>
      <c r="KJ87" s="552"/>
      <c r="KK87" s="552"/>
      <c r="KL87" s="552"/>
      <c r="KM87" s="552"/>
      <c r="KN87" s="552"/>
      <c r="KO87" s="552"/>
      <c r="KP87" s="552"/>
      <c r="KQ87" s="552"/>
      <c r="KR87" s="155"/>
      <c r="KS87" s="155"/>
      <c r="KV87" s="1121"/>
      <c r="KW87" s="1121"/>
      <c r="KX87" s="1121"/>
      <c r="KY87" s="1121"/>
      <c r="KZ87" s="1121"/>
      <c r="LA87" s="1121"/>
      <c r="LB87" s="1121"/>
      <c r="LC87" s="1121"/>
      <c r="LD87" s="1121"/>
      <c r="LE87" s="1121"/>
      <c r="LF87" s="1121"/>
      <c r="LG87" s="1121"/>
      <c r="LH87" s="1121"/>
      <c r="LI87" s="1121"/>
      <c r="LJ87" s="1121"/>
      <c r="LK87" s="1121"/>
      <c r="LL87" s="1121"/>
      <c r="LM87" s="1121"/>
      <c r="LN87" s="1121"/>
      <c r="LO87" s="1121"/>
      <c r="LP87" s="1121"/>
      <c r="LQ87" s="1121"/>
      <c r="LR87" s="1121"/>
      <c r="LS87" s="1121"/>
      <c r="LT87" s="1121"/>
      <c r="LV87" s="1123"/>
      <c r="LW87" s="1123"/>
      <c r="LX87" s="1123"/>
      <c r="LY87" s="1123"/>
      <c r="MA87" s="1123"/>
      <c r="MB87" s="1123"/>
      <c r="MC87" s="1123"/>
      <c r="MD87" s="1123"/>
      <c r="ME87" s="1123"/>
      <c r="MF87" s="1123"/>
      <c r="MG87" s="1123"/>
      <c r="MH87" s="1123"/>
      <c r="MI87" s="1123"/>
      <c r="MK87" s="1123"/>
      <c r="ML87" s="1123"/>
      <c r="MM87" s="1123"/>
      <c r="MN87" s="1123"/>
      <c r="MO87" s="1123"/>
      <c r="NP87" s="155"/>
      <c r="NQ87" s="155"/>
      <c r="QN87" s="155"/>
      <c r="QO87" s="155"/>
      <c r="TL87" s="155"/>
    </row>
    <row r="88" spans="1:532" ht="6.75" customHeight="1" x14ac:dyDescent="0.25">
      <c r="A88" s="155"/>
      <c r="B88" s="512"/>
      <c r="C88" s="1174" t="s">
        <v>6223</v>
      </c>
      <c r="D88" s="1175"/>
      <c r="E88" s="1175"/>
      <c r="F88" s="1175"/>
      <c r="G88" s="1175"/>
      <c r="H88" s="1175"/>
      <c r="I88" s="1175"/>
      <c r="J88" s="1175"/>
      <c r="K88" s="1175"/>
      <c r="L88" s="1175"/>
      <c r="M88" s="1175"/>
      <c r="N88" s="1175"/>
      <c r="O88" s="1175"/>
      <c r="P88" s="1175"/>
      <c r="Q88" s="1175"/>
      <c r="R88" s="1176"/>
      <c r="S88" s="508"/>
      <c r="T88" s="508"/>
      <c r="U88" s="508"/>
      <c r="V88" s="508"/>
      <c r="W88" s="508"/>
      <c r="X88" s="508"/>
      <c r="Y88" s="508"/>
      <c r="Z88" s="508"/>
      <c r="AA88" s="508"/>
      <c r="AB88" s="508"/>
      <c r="AC88" s="508"/>
      <c r="AD88" s="508"/>
      <c r="AE88" s="508"/>
      <c r="AF88" s="508"/>
      <c r="AG88" s="508"/>
      <c r="AH88" s="508"/>
      <c r="AI88" s="508"/>
      <c r="AJ88" s="508"/>
      <c r="AK88" s="508"/>
      <c r="AL88" s="508"/>
      <c r="AM88" s="508"/>
      <c r="AN88" s="508"/>
      <c r="AO88" s="1183"/>
      <c r="AP88" s="1184"/>
      <c r="AQ88" s="1184"/>
      <c r="AR88" s="1184"/>
      <c r="AS88" s="1184"/>
      <c r="AT88" s="1184"/>
      <c r="AU88" s="1184"/>
      <c r="AV88" s="1184"/>
      <c r="AW88" s="1184"/>
      <c r="AX88" s="1184"/>
      <c r="AY88" s="1184"/>
      <c r="AZ88" s="1184"/>
      <c r="BA88" s="1184"/>
      <c r="BB88" s="1184"/>
      <c r="BC88" s="1184"/>
      <c r="BD88" s="1184"/>
      <c r="BE88" s="1184"/>
      <c r="BF88" s="1184"/>
      <c r="BG88" s="1184"/>
      <c r="BH88" s="1184"/>
      <c r="BI88" s="1184"/>
      <c r="BJ88" s="1184"/>
      <c r="BK88" s="1184"/>
      <c r="BL88" s="1184"/>
      <c r="BM88" s="1184"/>
      <c r="BN88" s="1184"/>
      <c r="BO88" s="1184"/>
      <c r="BP88" s="1184"/>
      <c r="BQ88" s="1184"/>
      <c r="BR88" s="1184"/>
      <c r="BS88" s="1184"/>
      <c r="BT88" s="1184"/>
      <c r="BU88" s="1184"/>
      <c r="BV88" s="1185"/>
      <c r="BW88" s="513"/>
      <c r="BX88" s="155"/>
      <c r="BY88" s="155"/>
      <c r="BZ88" s="150"/>
      <c r="CA88" s="1234"/>
      <c r="CB88" s="1234"/>
      <c r="CC88" s="1234"/>
      <c r="CD88" s="1234"/>
      <c r="CE88" s="1234"/>
      <c r="CF88" s="1234"/>
      <c r="CG88" s="1234"/>
      <c r="CH88" s="1234"/>
      <c r="CI88" s="1234"/>
      <c r="CJ88" s="1234"/>
      <c r="CK88" s="1234"/>
      <c r="CL88" s="1234"/>
      <c r="CM88" s="1234"/>
      <c r="CN88" s="1234"/>
      <c r="CO88" s="1234"/>
      <c r="CP88" s="1234"/>
      <c r="CQ88" s="1234"/>
      <c r="CR88" s="1234"/>
      <c r="CS88" s="1234"/>
      <c r="CT88" s="1234"/>
      <c r="CU88" s="1234"/>
      <c r="CV88" s="1234"/>
      <c r="CW88" s="1234"/>
      <c r="CX88" s="1234"/>
      <c r="CZ88" s="1119"/>
      <c r="DA88" s="1119"/>
      <c r="DB88" s="1119"/>
      <c r="DC88" s="1119"/>
      <c r="DD88" s="1119"/>
      <c r="DE88" s="1119"/>
      <c r="DF88" s="1119"/>
      <c r="DG88" s="1119"/>
      <c r="DH88" s="1119"/>
      <c r="DI88" s="1119"/>
      <c r="DJ88" s="1119"/>
      <c r="DK88" s="1119"/>
      <c r="DL88" s="1119"/>
      <c r="DM88" s="1119"/>
      <c r="DN88" s="1119"/>
      <c r="DO88" s="1119"/>
      <c r="DP88" s="1119"/>
      <c r="DQ88" s="1119"/>
      <c r="DR88" s="1119"/>
      <c r="DS88" s="1119"/>
      <c r="DT88" s="1119"/>
      <c r="DU88" s="1119"/>
      <c r="DV88" s="1119"/>
      <c r="DW88" s="1119"/>
      <c r="DY88" s="1120"/>
      <c r="DZ88" s="1120"/>
      <c r="EA88" s="1120"/>
      <c r="EB88" s="1120"/>
      <c r="EC88" s="1120"/>
      <c r="ED88" s="1120"/>
      <c r="EE88" s="1120"/>
      <c r="EF88" s="1120"/>
      <c r="EG88" s="1120"/>
      <c r="EH88" s="1120"/>
      <c r="EI88" s="1120"/>
      <c r="EJ88" s="1120"/>
      <c r="EK88" s="1120"/>
      <c r="EL88" s="1120"/>
      <c r="EM88" s="1120"/>
      <c r="EN88" s="1120"/>
      <c r="EO88" s="1120"/>
      <c r="EP88" s="1120"/>
      <c r="EQ88" s="1120"/>
      <c r="ER88" s="1120"/>
      <c r="ES88" s="1120"/>
      <c r="ET88" s="1120"/>
      <c r="EU88" s="1120"/>
      <c r="EW88" s="155"/>
      <c r="EX88" s="552"/>
      <c r="EY88" s="552"/>
      <c r="EZ88" s="552"/>
      <c r="FA88" s="552"/>
      <c r="FB88" s="552"/>
      <c r="FC88" s="552"/>
      <c r="FD88" s="552"/>
      <c r="FE88" s="552"/>
      <c r="FF88" s="552"/>
      <c r="FG88" s="552"/>
      <c r="FH88" s="552"/>
      <c r="FI88" s="552"/>
      <c r="FJ88" s="552"/>
      <c r="FK88" s="552"/>
      <c r="FL88" s="552"/>
      <c r="FM88" s="552"/>
      <c r="FN88" s="552"/>
      <c r="FO88" s="552"/>
      <c r="FP88" s="552"/>
      <c r="FQ88" s="552"/>
      <c r="FR88" s="552"/>
      <c r="FS88" s="552"/>
      <c r="FT88" s="552"/>
      <c r="FU88" s="552"/>
      <c r="FV88" s="552"/>
      <c r="FW88" s="552"/>
      <c r="FX88" s="552"/>
      <c r="FY88" s="552"/>
      <c r="FZ88" s="552"/>
      <c r="GA88" s="552"/>
      <c r="GB88" s="552"/>
      <c r="GC88" s="552"/>
      <c r="GD88" s="552"/>
      <c r="GE88" s="552"/>
      <c r="GF88" s="552"/>
      <c r="GG88" s="552"/>
      <c r="GH88" s="552"/>
      <c r="GI88" s="552"/>
      <c r="GJ88" s="552"/>
      <c r="GK88" s="552"/>
      <c r="GL88" s="552"/>
      <c r="GM88" s="552"/>
      <c r="GN88" s="552"/>
      <c r="GO88" s="552"/>
      <c r="GP88" s="552"/>
      <c r="GQ88" s="552"/>
      <c r="GR88" s="552"/>
      <c r="GS88" s="552"/>
      <c r="GT88" s="552"/>
      <c r="GU88" s="552"/>
      <c r="GV88" s="552"/>
      <c r="GW88" s="552"/>
      <c r="GX88" s="552"/>
      <c r="GY88" s="552"/>
      <c r="GZ88" s="552"/>
      <c r="HA88" s="552"/>
      <c r="HB88" s="552"/>
      <c r="HC88" s="552"/>
      <c r="HD88" s="552"/>
      <c r="HE88" s="552"/>
      <c r="HF88" s="552"/>
      <c r="HG88" s="552"/>
      <c r="HH88" s="552"/>
      <c r="HI88" s="552"/>
      <c r="HJ88" s="552"/>
      <c r="HK88" s="552"/>
      <c r="HL88" s="552"/>
      <c r="HM88" s="552"/>
      <c r="HN88" s="552"/>
      <c r="HO88" s="552"/>
      <c r="HP88" s="552"/>
      <c r="HQ88" s="552"/>
      <c r="HR88" s="552"/>
      <c r="HS88" s="552"/>
      <c r="HT88" s="155"/>
      <c r="HU88" s="155"/>
      <c r="HV88" s="552"/>
      <c r="HW88" s="552"/>
      <c r="HX88" s="552"/>
      <c r="HY88" s="552"/>
      <c r="HZ88" s="552"/>
      <c r="IA88" s="552"/>
      <c r="IB88" s="552"/>
      <c r="IC88" s="552"/>
      <c r="ID88" s="552"/>
      <c r="IE88" s="552"/>
      <c r="IF88" s="552"/>
      <c r="IG88" s="552"/>
      <c r="IH88" s="552"/>
      <c r="II88" s="552"/>
      <c r="IJ88" s="552"/>
      <c r="IK88" s="552"/>
      <c r="IL88" s="552"/>
      <c r="IM88" s="552"/>
      <c r="IN88" s="552"/>
      <c r="IO88" s="552"/>
      <c r="IP88" s="552"/>
      <c r="IQ88" s="552"/>
      <c r="IR88" s="552"/>
      <c r="IS88" s="552"/>
      <c r="IT88" s="552"/>
      <c r="IU88" s="552"/>
      <c r="IV88" s="552"/>
      <c r="IW88" s="552"/>
      <c r="IX88" s="552"/>
      <c r="IY88" s="552"/>
      <c r="IZ88" s="552"/>
      <c r="JA88" s="552"/>
      <c r="JB88" s="552"/>
      <c r="JC88" s="552"/>
      <c r="JD88" s="552"/>
      <c r="JE88" s="552"/>
      <c r="JF88" s="552"/>
      <c r="JG88" s="552"/>
      <c r="JH88" s="552"/>
      <c r="JI88" s="552"/>
      <c r="JJ88" s="552"/>
      <c r="JK88" s="552"/>
      <c r="JL88" s="552"/>
      <c r="JM88" s="552"/>
      <c r="JN88" s="552"/>
      <c r="JO88" s="552"/>
      <c r="JP88" s="552"/>
      <c r="JQ88" s="552"/>
      <c r="JR88" s="552"/>
      <c r="JS88" s="552"/>
      <c r="JT88" s="552"/>
      <c r="JU88" s="552"/>
      <c r="JV88" s="552"/>
      <c r="JW88" s="552"/>
      <c r="JX88" s="552"/>
      <c r="JY88" s="552"/>
      <c r="JZ88" s="552"/>
      <c r="KA88" s="552"/>
      <c r="KB88" s="552"/>
      <c r="KC88" s="552"/>
      <c r="KD88" s="552"/>
      <c r="KE88" s="552"/>
      <c r="KF88" s="552"/>
      <c r="KG88" s="552"/>
      <c r="KH88" s="552"/>
      <c r="KI88" s="552"/>
      <c r="KJ88" s="552"/>
      <c r="KK88" s="552"/>
      <c r="KL88" s="552"/>
      <c r="KM88" s="552"/>
      <c r="KN88" s="552"/>
      <c r="KO88" s="552"/>
      <c r="KP88" s="552"/>
      <c r="KQ88" s="552"/>
      <c r="KR88" s="155"/>
      <c r="KS88" s="155"/>
      <c r="KV88" s="1120"/>
      <c r="KW88" s="1120"/>
      <c r="KX88" s="1120"/>
      <c r="KY88" s="1120"/>
      <c r="KZ88" s="1120"/>
      <c r="LA88" s="1120"/>
      <c r="LB88" s="1120"/>
      <c r="LC88" s="1120"/>
      <c r="LD88" s="1120"/>
      <c r="LE88" s="1120"/>
      <c r="LF88" s="1120"/>
      <c r="LG88" s="1120"/>
      <c r="LH88" s="1120"/>
      <c r="LI88" s="1120"/>
      <c r="LJ88" s="1120"/>
      <c r="LK88" s="1120"/>
      <c r="LL88" s="1120"/>
      <c r="LM88" s="1120"/>
      <c r="LN88" s="1120"/>
      <c r="LO88" s="1120"/>
      <c r="LP88" s="1120"/>
      <c r="LQ88" s="1120"/>
      <c r="LR88" s="1120"/>
      <c r="LS88" s="1120"/>
      <c r="LT88" s="1120"/>
      <c r="LV88" s="1122"/>
      <c r="LW88" s="1122"/>
      <c r="LX88" s="1122"/>
      <c r="LY88" s="1122"/>
      <c r="MA88" s="1122"/>
      <c r="MB88" s="1122"/>
      <c r="MC88" s="1122"/>
      <c r="MD88" s="1122"/>
      <c r="ME88" s="1122"/>
      <c r="MF88" s="1122"/>
      <c r="MG88" s="1122"/>
      <c r="MH88" s="1122"/>
      <c r="MI88" s="1122"/>
      <c r="MK88" s="1122"/>
      <c r="ML88" s="1122"/>
      <c r="MM88" s="1122"/>
      <c r="MN88" s="1122"/>
      <c r="MO88" s="1122"/>
      <c r="NP88" s="155"/>
      <c r="NQ88" s="155"/>
      <c r="QN88" s="155"/>
      <c r="QO88" s="155"/>
      <c r="TL88" s="155"/>
    </row>
    <row r="89" spans="1:532" ht="6.75" customHeight="1" thickBot="1" x14ac:dyDescent="0.3">
      <c r="A89" s="155"/>
      <c r="B89" s="512"/>
      <c r="C89" s="1177"/>
      <c r="D89" s="1178"/>
      <c r="E89" s="1178"/>
      <c r="F89" s="1178"/>
      <c r="G89" s="1178"/>
      <c r="H89" s="1178"/>
      <c r="I89" s="1178"/>
      <c r="J89" s="1178"/>
      <c r="K89" s="1178"/>
      <c r="L89" s="1178"/>
      <c r="M89" s="1178"/>
      <c r="N89" s="1178"/>
      <c r="O89" s="1178"/>
      <c r="P89" s="1178"/>
      <c r="Q89" s="1178"/>
      <c r="R89" s="1179"/>
      <c r="S89" s="508"/>
      <c r="T89" s="508"/>
      <c r="U89" s="508"/>
      <c r="V89" s="508"/>
      <c r="W89" s="508"/>
      <c r="X89" s="508"/>
      <c r="Y89" s="508"/>
      <c r="Z89" s="508"/>
      <c r="AA89" s="508"/>
      <c r="AB89" s="508"/>
      <c r="AC89" s="508"/>
      <c r="AD89" s="508"/>
      <c r="AE89" s="508"/>
      <c r="AF89" s="508"/>
      <c r="AG89" s="508"/>
      <c r="AH89" s="508"/>
      <c r="AI89" s="508"/>
      <c r="AJ89" s="508"/>
      <c r="AK89" s="508"/>
      <c r="AL89" s="508"/>
      <c r="AM89" s="508"/>
      <c r="AN89" s="508"/>
      <c r="AO89" s="1183"/>
      <c r="AP89" s="1184"/>
      <c r="AQ89" s="1184"/>
      <c r="AR89" s="1184"/>
      <c r="AS89" s="1184"/>
      <c r="AT89" s="1184"/>
      <c r="AU89" s="1184"/>
      <c r="AV89" s="1184"/>
      <c r="AW89" s="1184"/>
      <c r="AX89" s="1184"/>
      <c r="AY89" s="1184"/>
      <c r="AZ89" s="1184"/>
      <c r="BA89" s="1184"/>
      <c r="BB89" s="1184"/>
      <c r="BC89" s="1184"/>
      <c r="BD89" s="1184"/>
      <c r="BE89" s="1184"/>
      <c r="BF89" s="1184"/>
      <c r="BG89" s="1184"/>
      <c r="BH89" s="1184"/>
      <c r="BI89" s="1184"/>
      <c r="BJ89" s="1184"/>
      <c r="BK89" s="1184"/>
      <c r="BL89" s="1184"/>
      <c r="BM89" s="1184"/>
      <c r="BN89" s="1184"/>
      <c r="BO89" s="1184"/>
      <c r="BP89" s="1184"/>
      <c r="BQ89" s="1184"/>
      <c r="BR89" s="1184"/>
      <c r="BS89" s="1184"/>
      <c r="BT89" s="1184"/>
      <c r="BU89" s="1184"/>
      <c r="BV89" s="1185"/>
      <c r="BW89" s="513"/>
      <c r="BX89" s="155"/>
      <c r="BY89" s="155"/>
      <c r="BZ89" s="150"/>
      <c r="CA89" s="1234"/>
      <c r="CB89" s="1234"/>
      <c r="CC89" s="1234"/>
      <c r="CD89" s="1234"/>
      <c r="CE89" s="1234"/>
      <c r="CF89" s="1234"/>
      <c r="CG89" s="1234"/>
      <c r="CH89" s="1234"/>
      <c r="CI89" s="1234"/>
      <c r="CJ89" s="1234"/>
      <c r="CK89" s="1234"/>
      <c r="CL89" s="1234"/>
      <c r="CM89" s="1234"/>
      <c r="CN89" s="1234"/>
      <c r="CO89" s="1234"/>
      <c r="CP89" s="1234"/>
      <c r="CQ89" s="1234"/>
      <c r="CR89" s="1234"/>
      <c r="CS89" s="1234"/>
      <c r="CT89" s="1234"/>
      <c r="CU89" s="1234"/>
      <c r="CV89" s="1234"/>
      <c r="CW89" s="1234"/>
      <c r="CX89" s="1234"/>
      <c r="CZ89" s="1119"/>
      <c r="DA89" s="1119"/>
      <c r="DB89" s="1119"/>
      <c r="DC89" s="1119"/>
      <c r="DD89" s="1119"/>
      <c r="DE89" s="1119"/>
      <c r="DF89" s="1119"/>
      <c r="DG89" s="1119"/>
      <c r="DH89" s="1119"/>
      <c r="DI89" s="1119"/>
      <c r="DJ89" s="1119"/>
      <c r="DK89" s="1119"/>
      <c r="DL89" s="1119"/>
      <c r="DM89" s="1119"/>
      <c r="DN89" s="1119"/>
      <c r="DO89" s="1119"/>
      <c r="DP89" s="1119"/>
      <c r="DQ89" s="1119"/>
      <c r="DR89" s="1119"/>
      <c r="DS89" s="1119"/>
      <c r="DT89" s="1119"/>
      <c r="DU89" s="1119"/>
      <c r="DV89" s="1119"/>
      <c r="DW89" s="1119"/>
      <c r="DY89" s="1121"/>
      <c r="DZ89" s="1121"/>
      <c r="EA89" s="1121"/>
      <c r="EB89" s="1121"/>
      <c r="EC89" s="1121"/>
      <c r="ED89" s="1121"/>
      <c r="EE89" s="1121"/>
      <c r="EF89" s="1121"/>
      <c r="EG89" s="1121"/>
      <c r="EH89" s="1121"/>
      <c r="EI89" s="1121"/>
      <c r="EJ89" s="1121"/>
      <c r="EK89" s="1121"/>
      <c r="EL89" s="1121"/>
      <c r="EM89" s="1121"/>
      <c r="EN89" s="1121"/>
      <c r="EO89" s="1121"/>
      <c r="EP89" s="1121"/>
      <c r="EQ89" s="1121"/>
      <c r="ER89" s="1121"/>
      <c r="ES89" s="1121"/>
      <c r="ET89" s="1121"/>
      <c r="EU89" s="1121"/>
      <c r="EW89" s="155"/>
      <c r="EX89" s="552"/>
      <c r="EY89" s="552"/>
      <c r="EZ89" s="552"/>
      <c r="FA89" s="552"/>
      <c r="FB89" s="552"/>
      <c r="FC89" s="552"/>
      <c r="FD89" s="552"/>
      <c r="FE89" s="552"/>
      <c r="FF89" s="552"/>
      <c r="FG89" s="552"/>
      <c r="FH89" s="552"/>
      <c r="FI89" s="552"/>
      <c r="FJ89" s="552"/>
      <c r="FK89" s="552"/>
      <c r="FL89" s="552"/>
      <c r="FM89" s="552"/>
      <c r="FN89" s="552"/>
      <c r="FO89" s="552"/>
      <c r="FP89" s="552"/>
      <c r="FQ89" s="552"/>
      <c r="FR89" s="552"/>
      <c r="FS89" s="552"/>
      <c r="FT89" s="552"/>
      <c r="FU89" s="552"/>
      <c r="FV89" s="552"/>
      <c r="FW89" s="552"/>
      <c r="FX89" s="552"/>
      <c r="FY89" s="552"/>
      <c r="FZ89" s="552"/>
      <c r="GA89" s="552"/>
      <c r="GB89" s="552"/>
      <c r="GC89" s="552"/>
      <c r="GD89" s="552"/>
      <c r="GE89" s="552"/>
      <c r="GF89" s="552"/>
      <c r="GG89" s="552"/>
      <c r="GH89" s="552"/>
      <c r="GI89" s="552"/>
      <c r="GJ89" s="552"/>
      <c r="GK89" s="552"/>
      <c r="GL89" s="552"/>
      <c r="GM89" s="552"/>
      <c r="GN89" s="552"/>
      <c r="GO89" s="552"/>
      <c r="GP89" s="552"/>
      <c r="GQ89" s="552"/>
      <c r="GR89" s="552"/>
      <c r="GS89" s="552"/>
      <c r="GT89" s="552"/>
      <c r="GU89" s="552"/>
      <c r="GV89" s="552"/>
      <c r="GW89" s="552"/>
      <c r="GX89" s="552"/>
      <c r="GY89" s="552"/>
      <c r="GZ89" s="552"/>
      <c r="HA89" s="552"/>
      <c r="HB89" s="552"/>
      <c r="HC89" s="552"/>
      <c r="HD89" s="552"/>
      <c r="HE89" s="552"/>
      <c r="HF89" s="552"/>
      <c r="HG89" s="552"/>
      <c r="HH89" s="552"/>
      <c r="HI89" s="552"/>
      <c r="HJ89" s="552"/>
      <c r="HK89" s="552"/>
      <c r="HL89" s="552"/>
      <c r="HM89" s="552"/>
      <c r="HN89" s="552"/>
      <c r="HO89" s="552"/>
      <c r="HP89" s="552"/>
      <c r="HQ89" s="552"/>
      <c r="HR89" s="552"/>
      <c r="HS89" s="552"/>
      <c r="HT89" s="155"/>
      <c r="HU89" s="155"/>
      <c r="HV89" s="552"/>
      <c r="HW89" s="552"/>
      <c r="HX89" s="552"/>
      <c r="HY89" s="552"/>
      <c r="HZ89" s="552"/>
      <c r="IA89" s="552"/>
      <c r="IB89" s="552"/>
      <c r="IC89" s="552"/>
      <c r="ID89" s="552"/>
      <c r="IE89" s="552"/>
      <c r="IF89" s="552"/>
      <c r="IG89" s="552"/>
      <c r="IH89" s="552"/>
      <c r="II89" s="552"/>
      <c r="IJ89" s="552"/>
      <c r="IK89" s="552"/>
      <c r="IL89" s="552"/>
      <c r="IM89" s="552"/>
      <c r="IN89" s="552"/>
      <c r="IO89" s="552"/>
      <c r="IP89" s="552"/>
      <c r="IQ89" s="552"/>
      <c r="IR89" s="552"/>
      <c r="IS89" s="552"/>
      <c r="IT89" s="552"/>
      <c r="IU89" s="552"/>
      <c r="IV89" s="552"/>
      <c r="IW89" s="552"/>
      <c r="IX89" s="552"/>
      <c r="IY89" s="552"/>
      <c r="IZ89" s="552"/>
      <c r="JA89" s="552"/>
      <c r="JB89" s="552"/>
      <c r="JC89" s="552"/>
      <c r="JD89" s="552"/>
      <c r="JE89" s="552"/>
      <c r="JF89" s="552"/>
      <c r="JG89" s="552"/>
      <c r="JH89" s="552"/>
      <c r="JI89" s="552"/>
      <c r="JJ89" s="552"/>
      <c r="JK89" s="552"/>
      <c r="JL89" s="552"/>
      <c r="JM89" s="552"/>
      <c r="JN89" s="552"/>
      <c r="JO89" s="552"/>
      <c r="JP89" s="552"/>
      <c r="JQ89" s="552"/>
      <c r="JR89" s="552"/>
      <c r="JS89" s="552"/>
      <c r="JT89" s="552"/>
      <c r="JU89" s="552"/>
      <c r="JV89" s="552"/>
      <c r="JW89" s="552"/>
      <c r="JX89" s="552"/>
      <c r="JY89" s="552"/>
      <c r="JZ89" s="552"/>
      <c r="KA89" s="552"/>
      <c r="KB89" s="552"/>
      <c r="KC89" s="552"/>
      <c r="KD89" s="552"/>
      <c r="KE89" s="552"/>
      <c r="KF89" s="552"/>
      <c r="KG89" s="552"/>
      <c r="KH89" s="552"/>
      <c r="KI89" s="552"/>
      <c r="KJ89" s="552"/>
      <c r="KK89" s="552"/>
      <c r="KL89" s="552"/>
      <c r="KM89" s="552"/>
      <c r="KN89" s="552"/>
      <c r="KO89" s="552"/>
      <c r="KP89" s="552"/>
      <c r="KQ89" s="552"/>
      <c r="KR89" s="155"/>
      <c r="KS89" s="155"/>
      <c r="KV89" s="1121"/>
      <c r="KW89" s="1121"/>
      <c r="KX89" s="1121"/>
      <c r="KY89" s="1121"/>
      <c r="KZ89" s="1121"/>
      <c r="LA89" s="1121"/>
      <c r="LB89" s="1121"/>
      <c r="LC89" s="1121"/>
      <c r="LD89" s="1121"/>
      <c r="LE89" s="1121"/>
      <c r="LF89" s="1121"/>
      <c r="LG89" s="1121"/>
      <c r="LH89" s="1121"/>
      <c r="LI89" s="1121"/>
      <c r="LJ89" s="1121"/>
      <c r="LK89" s="1121"/>
      <c r="LL89" s="1121"/>
      <c r="LM89" s="1121"/>
      <c r="LN89" s="1121"/>
      <c r="LO89" s="1121"/>
      <c r="LP89" s="1121"/>
      <c r="LQ89" s="1121"/>
      <c r="LR89" s="1121"/>
      <c r="LS89" s="1121"/>
      <c r="LT89" s="1121"/>
      <c r="LV89" s="1123"/>
      <c r="LW89" s="1123"/>
      <c r="LX89" s="1123"/>
      <c r="LY89" s="1123"/>
      <c r="MA89" s="1123"/>
      <c r="MB89" s="1123"/>
      <c r="MC89" s="1123"/>
      <c r="MD89" s="1123"/>
      <c r="ME89" s="1123"/>
      <c r="MF89" s="1123"/>
      <c r="MG89" s="1123"/>
      <c r="MH89" s="1123"/>
      <c r="MI89" s="1123"/>
      <c r="MK89" s="1123"/>
      <c r="ML89" s="1123"/>
      <c r="MM89" s="1123"/>
      <c r="MN89" s="1123"/>
      <c r="MO89" s="1123"/>
      <c r="NP89" s="155"/>
      <c r="NQ89" s="155"/>
      <c r="QN89" s="155"/>
      <c r="QO89" s="155"/>
      <c r="TL89" s="155"/>
    </row>
    <row r="90" spans="1:532" ht="6.75" customHeight="1" x14ac:dyDescent="0.25">
      <c r="A90" s="155"/>
      <c r="B90" s="512"/>
      <c r="C90" s="1189" t="str">
        <f>Flaw</f>
        <v>Most people scream and run when they see a demon. I stop and take notes on its anatomy.</v>
      </c>
      <c r="D90" s="1190"/>
      <c r="E90" s="1190"/>
      <c r="F90" s="1190"/>
      <c r="G90" s="1190"/>
      <c r="H90" s="1190"/>
      <c r="I90" s="1190"/>
      <c r="J90" s="1190"/>
      <c r="K90" s="1190"/>
      <c r="L90" s="1190"/>
      <c r="M90" s="1190"/>
      <c r="N90" s="1190"/>
      <c r="O90" s="1190"/>
      <c r="P90" s="1190"/>
      <c r="Q90" s="1190"/>
      <c r="R90" s="1190"/>
      <c r="S90" s="1190"/>
      <c r="T90" s="1190"/>
      <c r="U90" s="1190"/>
      <c r="V90" s="1190"/>
      <c r="W90" s="1190"/>
      <c r="X90" s="1190"/>
      <c r="Y90" s="1190"/>
      <c r="Z90" s="1190"/>
      <c r="AA90" s="1190"/>
      <c r="AB90" s="1190"/>
      <c r="AC90" s="1190"/>
      <c r="AD90" s="1190"/>
      <c r="AE90" s="1190"/>
      <c r="AF90" s="1190"/>
      <c r="AG90" s="1190"/>
      <c r="AH90" s="1190"/>
      <c r="AI90" s="1190"/>
      <c r="AJ90" s="1190"/>
      <c r="AK90" s="1190"/>
      <c r="AL90" s="1191"/>
      <c r="AM90" s="508"/>
      <c r="AN90" s="508"/>
      <c r="AO90" s="1183"/>
      <c r="AP90" s="1184"/>
      <c r="AQ90" s="1184"/>
      <c r="AR90" s="1184"/>
      <c r="AS90" s="1184"/>
      <c r="AT90" s="1184"/>
      <c r="AU90" s="1184"/>
      <c r="AV90" s="1184"/>
      <c r="AW90" s="1184"/>
      <c r="AX90" s="1184"/>
      <c r="AY90" s="1184"/>
      <c r="AZ90" s="1184"/>
      <c r="BA90" s="1184"/>
      <c r="BB90" s="1184"/>
      <c r="BC90" s="1184"/>
      <c r="BD90" s="1184"/>
      <c r="BE90" s="1184"/>
      <c r="BF90" s="1184"/>
      <c r="BG90" s="1184"/>
      <c r="BH90" s="1184"/>
      <c r="BI90" s="1184"/>
      <c r="BJ90" s="1184"/>
      <c r="BK90" s="1184"/>
      <c r="BL90" s="1184"/>
      <c r="BM90" s="1184"/>
      <c r="BN90" s="1184"/>
      <c r="BO90" s="1184"/>
      <c r="BP90" s="1184"/>
      <c r="BQ90" s="1184"/>
      <c r="BR90" s="1184"/>
      <c r="BS90" s="1184"/>
      <c r="BT90" s="1184"/>
      <c r="BU90" s="1184"/>
      <c r="BV90" s="1185"/>
      <c r="BW90" s="513"/>
      <c r="BX90" s="155"/>
      <c r="BY90" s="155"/>
      <c r="BZ90" s="150"/>
      <c r="CA90" s="1234"/>
      <c r="CB90" s="1234"/>
      <c r="CC90" s="1234"/>
      <c r="CD90" s="1234"/>
      <c r="CE90" s="1234"/>
      <c r="CF90" s="1234"/>
      <c r="CG90" s="1234"/>
      <c r="CH90" s="1234"/>
      <c r="CI90" s="1234"/>
      <c r="CJ90" s="1234"/>
      <c r="CK90" s="1234"/>
      <c r="CL90" s="1234"/>
      <c r="CM90" s="1234"/>
      <c r="CN90" s="1234"/>
      <c r="CO90" s="1234"/>
      <c r="CP90" s="1234"/>
      <c r="CQ90" s="1234"/>
      <c r="CR90" s="1234"/>
      <c r="CS90" s="1234"/>
      <c r="CT90" s="1234"/>
      <c r="CU90" s="1234"/>
      <c r="CV90" s="1234"/>
      <c r="CW90" s="1234"/>
      <c r="CX90" s="1234"/>
      <c r="CZ90" s="1119"/>
      <c r="DA90" s="1119"/>
      <c r="DB90" s="1119"/>
      <c r="DC90" s="1119"/>
      <c r="DD90" s="1119"/>
      <c r="DE90" s="1119"/>
      <c r="DF90" s="1119"/>
      <c r="DG90" s="1119"/>
      <c r="DH90" s="1119"/>
      <c r="DI90" s="1119"/>
      <c r="DJ90" s="1119"/>
      <c r="DK90" s="1119"/>
      <c r="DL90" s="1119"/>
      <c r="DM90" s="1119"/>
      <c r="DN90" s="1119"/>
      <c r="DO90" s="1119"/>
      <c r="DP90" s="1119"/>
      <c r="DQ90" s="1119"/>
      <c r="DR90" s="1119"/>
      <c r="DS90" s="1119"/>
      <c r="DT90" s="1119"/>
      <c r="DU90" s="1119"/>
      <c r="DV90" s="1119"/>
      <c r="DW90" s="1119"/>
      <c r="DY90" s="1120"/>
      <c r="DZ90" s="1120"/>
      <c r="EA90" s="1120"/>
      <c r="EB90" s="1120"/>
      <c r="EC90" s="1120"/>
      <c r="ED90" s="1120"/>
      <c r="EE90" s="1120"/>
      <c r="EF90" s="1120"/>
      <c r="EG90" s="1120"/>
      <c r="EH90" s="1120"/>
      <c r="EI90" s="1120"/>
      <c r="EJ90" s="1120"/>
      <c r="EK90" s="1120"/>
      <c r="EL90" s="1120"/>
      <c r="EM90" s="1120"/>
      <c r="EN90" s="1120"/>
      <c r="EO90" s="1120"/>
      <c r="EP90" s="1120"/>
      <c r="EQ90" s="1120"/>
      <c r="ER90" s="1120"/>
      <c r="ES90" s="1120"/>
      <c r="ET90" s="1120"/>
      <c r="EU90" s="1120"/>
      <c r="EW90" s="155"/>
      <c r="EX90" s="552"/>
      <c r="EY90" s="552"/>
      <c r="EZ90" s="552"/>
      <c r="FA90" s="552"/>
      <c r="FB90" s="552"/>
      <c r="FC90" s="552"/>
      <c r="FD90" s="552"/>
      <c r="FE90" s="552"/>
      <c r="FF90" s="552"/>
      <c r="FG90" s="552"/>
      <c r="FH90" s="552"/>
      <c r="FI90" s="552"/>
      <c r="FJ90" s="552"/>
      <c r="FK90" s="552"/>
      <c r="FL90" s="552"/>
      <c r="FM90" s="552"/>
      <c r="FN90" s="552"/>
      <c r="FO90" s="552"/>
      <c r="FP90" s="552"/>
      <c r="FQ90" s="552"/>
      <c r="FR90" s="552"/>
      <c r="FS90" s="552"/>
      <c r="FT90" s="552"/>
      <c r="FU90" s="552"/>
      <c r="FV90" s="552"/>
      <c r="FW90" s="552"/>
      <c r="FX90" s="552"/>
      <c r="FY90" s="552"/>
      <c r="FZ90" s="552"/>
      <c r="GA90" s="552"/>
      <c r="GB90" s="552"/>
      <c r="GC90" s="552"/>
      <c r="GD90" s="552"/>
      <c r="GE90" s="552"/>
      <c r="GF90" s="552"/>
      <c r="GG90" s="552"/>
      <c r="GH90" s="552"/>
      <c r="GI90" s="552"/>
      <c r="GJ90" s="552"/>
      <c r="GK90" s="552"/>
      <c r="GL90" s="552"/>
      <c r="GM90" s="552"/>
      <c r="GN90" s="552"/>
      <c r="GO90" s="552"/>
      <c r="GP90" s="552"/>
      <c r="GQ90" s="552"/>
      <c r="GR90" s="552"/>
      <c r="GS90" s="552"/>
      <c r="GT90" s="552"/>
      <c r="GU90" s="552"/>
      <c r="GV90" s="552"/>
      <c r="GW90" s="552"/>
      <c r="GX90" s="552"/>
      <c r="GY90" s="552"/>
      <c r="GZ90" s="552"/>
      <c r="HA90" s="552"/>
      <c r="HB90" s="552"/>
      <c r="HC90" s="552"/>
      <c r="HD90" s="552"/>
      <c r="HE90" s="552"/>
      <c r="HF90" s="552"/>
      <c r="HG90" s="552"/>
      <c r="HH90" s="552"/>
      <c r="HI90" s="552"/>
      <c r="HJ90" s="552"/>
      <c r="HK90" s="552"/>
      <c r="HL90" s="552"/>
      <c r="HM90" s="552"/>
      <c r="HN90" s="552"/>
      <c r="HO90" s="552"/>
      <c r="HP90" s="552"/>
      <c r="HQ90" s="552"/>
      <c r="HR90" s="552"/>
      <c r="HS90" s="552"/>
      <c r="HT90" s="155"/>
      <c r="HU90" s="155"/>
      <c r="HV90" s="552"/>
      <c r="HW90" s="552"/>
      <c r="HX90" s="552"/>
      <c r="HY90" s="552"/>
      <c r="HZ90" s="552"/>
      <c r="IA90" s="552"/>
      <c r="IB90" s="552"/>
      <c r="IC90" s="552"/>
      <c r="ID90" s="552"/>
      <c r="IE90" s="552"/>
      <c r="IF90" s="552"/>
      <c r="IG90" s="552"/>
      <c r="IH90" s="552"/>
      <c r="II90" s="552"/>
      <c r="IJ90" s="552"/>
      <c r="IK90" s="552"/>
      <c r="IL90" s="552"/>
      <c r="IM90" s="552"/>
      <c r="IN90" s="552"/>
      <c r="IO90" s="552"/>
      <c r="IP90" s="552"/>
      <c r="IQ90" s="552"/>
      <c r="IR90" s="552"/>
      <c r="IS90" s="552"/>
      <c r="IT90" s="552"/>
      <c r="IU90" s="552"/>
      <c r="IV90" s="552"/>
      <c r="IW90" s="552"/>
      <c r="IX90" s="552"/>
      <c r="IY90" s="552"/>
      <c r="IZ90" s="552"/>
      <c r="JA90" s="552"/>
      <c r="JB90" s="552"/>
      <c r="JC90" s="552"/>
      <c r="JD90" s="552"/>
      <c r="JE90" s="552"/>
      <c r="JF90" s="552"/>
      <c r="JG90" s="552"/>
      <c r="JH90" s="552"/>
      <c r="JI90" s="552"/>
      <c r="JJ90" s="552"/>
      <c r="JK90" s="552"/>
      <c r="JL90" s="552"/>
      <c r="JM90" s="552"/>
      <c r="JN90" s="552"/>
      <c r="JO90" s="552"/>
      <c r="JP90" s="552"/>
      <c r="JQ90" s="552"/>
      <c r="JR90" s="552"/>
      <c r="JS90" s="552"/>
      <c r="JT90" s="552"/>
      <c r="JU90" s="552"/>
      <c r="JV90" s="552"/>
      <c r="JW90" s="552"/>
      <c r="JX90" s="552"/>
      <c r="JY90" s="552"/>
      <c r="JZ90" s="552"/>
      <c r="KA90" s="552"/>
      <c r="KB90" s="552"/>
      <c r="KC90" s="552"/>
      <c r="KD90" s="552"/>
      <c r="KE90" s="552"/>
      <c r="KF90" s="552"/>
      <c r="KG90" s="552"/>
      <c r="KH90" s="552"/>
      <c r="KI90" s="552"/>
      <c r="KJ90" s="552"/>
      <c r="KK90" s="552"/>
      <c r="KL90" s="552"/>
      <c r="KM90" s="552"/>
      <c r="KN90" s="552"/>
      <c r="KO90" s="552"/>
      <c r="KP90" s="552"/>
      <c r="KQ90" s="552"/>
      <c r="KR90" s="155"/>
      <c r="KS90" s="155"/>
      <c r="KV90" s="1120"/>
      <c r="KW90" s="1120"/>
      <c r="KX90" s="1120"/>
      <c r="KY90" s="1120"/>
      <c r="KZ90" s="1120"/>
      <c r="LA90" s="1120"/>
      <c r="LB90" s="1120"/>
      <c r="LC90" s="1120"/>
      <c r="LD90" s="1120"/>
      <c r="LE90" s="1120"/>
      <c r="LF90" s="1120"/>
      <c r="LG90" s="1120"/>
      <c r="LH90" s="1120"/>
      <c r="LI90" s="1120"/>
      <c r="LJ90" s="1120"/>
      <c r="LK90" s="1120"/>
      <c r="LL90" s="1120"/>
      <c r="LM90" s="1120"/>
      <c r="LN90" s="1120"/>
      <c r="LO90" s="1120"/>
      <c r="LP90" s="1120"/>
      <c r="LQ90" s="1120"/>
      <c r="LR90" s="1120"/>
      <c r="LS90" s="1120"/>
      <c r="LT90" s="1120"/>
      <c r="LV90" s="1122"/>
      <c r="LW90" s="1122"/>
      <c r="LX90" s="1122"/>
      <c r="LY90" s="1122"/>
      <c r="MA90" s="1122"/>
      <c r="MB90" s="1122"/>
      <c r="MC90" s="1122"/>
      <c r="MD90" s="1122"/>
      <c r="ME90" s="1122"/>
      <c r="MF90" s="1122"/>
      <c r="MG90" s="1122"/>
      <c r="MH90" s="1122"/>
      <c r="MI90" s="1122"/>
      <c r="MK90" s="1122"/>
      <c r="ML90" s="1122"/>
      <c r="MM90" s="1122"/>
      <c r="MN90" s="1122"/>
      <c r="MO90" s="1122"/>
      <c r="NP90" s="155"/>
      <c r="NQ90" s="155"/>
      <c r="QN90" s="155"/>
      <c r="QO90" s="155"/>
      <c r="TL90" s="155"/>
    </row>
    <row r="91" spans="1:532" ht="6.75" customHeight="1" x14ac:dyDescent="0.25">
      <c r="A91" s="155"/>
      <c r="B91" s="512"/>
      <c r="C91" s="1192"/>
      <c r="D91" s="1193"/>
      <c r="E91" s="1193"/>
      <c r="F91" s="1193"/>
      <c r="G91" s="1193"/>
      <c r="H91" s="1193"/>
      <c r="I91" s="1193"/>
      <c r="J91" s="1193"/>
      <c r="K91" s="1193"/>
      <c r="L91" s="1193"/>
      <c r="M91" s="1193"/>
      <c r="N91" s="1193"/>
      <c r="O91" s="1193"/>
      <c r="P91" s="1193"/>
      <c r="Q91" s="1193"/>
      <c r="R91" s="1193"/>
      <c r="S91" s="1193"/>
      <c r="T91" s="1193"/>
      <c r="U91" s="1193"/>
      <c r="V91" s="1193"/>
      <c r="W91" s="1193"/>
      <c r="X91" s="1193"/>
      <c r="Y91" s="1193"/>
      <c r="Z91" s="1193"/>
      <c r="AA91" s="1193"/>
      <c r="AB91" s="1193"/>
      <c r="AC91" s="1193"/>
      <c r="AD91" s="1193"/>
      <c r="AE91" s="1193"/>
      <c r="AF91" s="1193"/>
      <c r="AG91" s="1193"/>
      <c r="AH91" s="1193"/>
      <c r="AI91" s="1193"/>
      <c r="AJ91" s="1193"/>
      <c r="AK91" s="1193"/>
      <c r="AL91" s="1194"/>
      <c r="AM91" s="508"/>
      <c r="AN91" s="508"/>
      <c r="AO91" s="1183"/>
      <c r="AP91" s="1184"/>
      <c r="AQ91" s="1184"/>
      <c r="AR91" s="1184"/>
      <c r="AS91" s="1184"/>
      <c r="AT91" s="1184"/>
      <c r="AU91" s="1184"/>
      <c r="AV91" s="1184"/>
      <c r="AW91" s="1184"/>
      <c r="AX91" s="1184"/>
      <c r="AY91" s="1184"/>
      <c r="AZ91" s="1184"/>
      <c r="BA91" s="1184"/>
      <c r="BB91" s="1184"/>
      <c r="BC91" s="1184"/>
      <c r="BD91" s="1184"/>
      <c r="BE91" s="1184"/>
      <c r="BF91" s="1184"/>
      <c r="BG91" s="1184"/>
      <c r="BH91" s="1184"/>
      <c r="BI91" s="1184"/>
      <c r="BJ91" s="1184"/>
      <c r="BK91" s="1184"/>
      <c r="BL91" s="1184"/>
      <c r="BM91" s="1184"/>
      <c r="BN91" s="1184"/>
      <c r="BO91" s="1184"/>
      <c r="BP91" s="1184"/>
      <c r="BQ91" s="1184"/>
      <c r="BR91" s="1184"/>
      <c r="BS91" s="1184"/>
      <c r="BT91" s="1184"/>
      <c r="BU91" s="1184"/>
      <c r="BV91" s="1185"/>
      <c r="BW91" s="513"/>
      <c r="BX91" s="155"/>
      <c r="BY91" s="155"/>
      <c r="BZ91" s="150"/>
      <c r="CA91" s="1234"/>
      <c r="CB91" s="1234"/>
      <c r="CC91" s="1234"/>
      <c r="CD91" s="1234"/>
      <c r="CE91" s="1234"/>
      <c r="CF91" s="1234"/>
      <c r="CG91" s="1234"/>
      <c r="CH91" s="1234"/>
      <c r="CI91" s="1234"/>
      <c r="CJ91" s="1234"/>
      <c r="CK91" s="1234"/>
      <c r="CL91" s="1234"/>
      <c r="CM91" s="1234"/>
      <c r="CN91" s="1234"/>
      <c r="CO91" s="1234"/>
      <c r="CP91" s="1234"/>
      <c r="CQ91" s="1234"/>
      <c r="CR91" s="1234"/>
      <c r="CS91" s="1234"/>
      <c r="CT91" s="1234"/>
      <c r="CU91" s="1234"/>
      <c r="CV91" s="1234"/>
      <c r="CW91" s="1234"/>
      <c r="CX91" s="1234"/>
      <c r="CZ91" s="1119"/>
      <c r="DA91" s="1119"/>
      <c r="DB91" s="1119"/>
      <c r="DC91" s="1119"/>
      <c r="DD91" s="1119"/>
      <c r="DE91" s="1119"/>
      <c r="DF91" s="1119"/>
      <c r="DG91" s="1119"/>
      <c r="DH91" s="1119"/>
      <c r="DI91" s="1119"/>
      <c r="DJ91" s="1119"/>
      <c r="DK91" s="1119"/>
      <c r="DL91" s="1119"/>
      <c r="DM91" s="1119"/>
      <c r="DN91" s="1119"/>
      <c r="DO91" s="1119"/>
      <c r="DP91" s="1119"/>
      <c r="DQ91" s="1119"/>
      <c r="DR91" s="1119"/>
      <c r="DS91" s="1119"/>
      <c r="DT91" s="1119"/>
      <c r="DU91" s="1119"/>
      <c r="DV91" s="1119"/>
      <c r="DW91" s="1119"/>
      <c r="DY91" s="1121"/>
      <c r="DZ91" s="1121"/>
      <c r="EA91" s="1121"/>
      <c r="EB91" s="1121"/>
      <c r="EC91" s="1121"/>
      <c r="ED91" s="1121"/>
      <c r="EE91" s="1121"/>
      <c r="EF91" s="1121"/>
      <c r="EG91" s="1121"/>
      <c r="EH91" s="1121"/>
      <c r="EI91" s="1121"/>
      <c r="EJ91" s="1121"/>
      <c r="EK91" s="1121"/>
      <c r="EL91" s="1121"/>
      <c r="EM91" s="1121"/>
      <c r="EN91" s="1121"/>
      <c r="EO91" s="1121"/>
      <c r="EP91" s="1121"/>
      <c r="EQ91" s="1121"/>
      <c r="ER91" s="1121"/>
      <c r="ES91" s="1121"/>
      <c r="ET91" s="1121"/>
      <c r="EU91" s="1121"/>
      <c r="EW91" s="155"/>
      <c r="EX91" s="552"/>
      <c r="EY91" s="552"/>
      <c r="EZ91" s="552"/>
      <c r="FA91" s="552"/>
      <c r="FB91" s="552"/>
      <c r="FC91" s="552"/>
      <c r="FD91" s="552"/>
      <c r="FE91" s="552"/>
      <c r="FF91" s="552"/>
      <c r="FG91" s="552"/>
      <c r="FH91" s="552"/>
      <c r="FI91" s="552"/>
      <c r="FJ91" s="552"/>
      <c r="FK91" s="552"/>
      <c r="FL91" s="552"/>
      <c r="FM91" s="552"/>
      <c r="FN91" s="552"/>
      <c r="FO91" s="552"/>
      <c r="FP91" s="552"/>
      <c r="FQ91" s="552"/>
      <c r="FR91" s="552"/>
      <c r="FS91" s="552"/>
      <c r="FT91" s="552"/>
      <c r="FU91" s="552"/>
      <c r="FV91" s="552"/>
      <c r="FW91" s="552"/>
      <c r="FX91" s="552"/>
      <c r="FY91" s="552"/>
      <c r="FZ91" s="552"/>
      <c r="GA91" s="552"/>
      <c r="GB91" s="552"/>
      <c r="GC91" s="552"/>
      <c r="GD91" s="552"/>
      <c r="GE91" s="552"/>
      <c r="GF91" s="552"/>
      <c r="GG91" s="552"/>
      <c r="GH91" s="552"/>
      <c r="GI91" s="552"/>
      <c r="GJ91" s="552"/>
      <c r="GK91" s="552"/>
      <c r="GL91" s="552"/>
      <c r="GM91" s="552"/>
      <c r="GN91" s="552"/>
      <c r="GO91" s="552"/>
      <c r="GP91" s="552"/>
      <c r="GQ91" s="552"/>
      <c r="GR91" s="552"/>
      <c r="GS91" s="552"/>
      <c r="GT91" s="552"/>
      <c r="GU91" s="552"/>
      <c r="GV91" s="552"/>
      <c r="GW91" s="552"/>
      <c r="GX91" s="552"/>
      <c r="GY91" s="552"/>
      <c r="GZ91" s="552"/>
      <c r="HA91" s="552"/>
      <c r="HB91" s="552"/>
      <c r="HC91" s="552"/>
      <c r="HD91" s="552"/>
      <c r="HE91" s="552"/>
      <c r="HF91" s="552"/>
      <c r="HG91" s="552"/>
      <c r="HH91" s="552"/>
      <c r="HI91" s="552"/>
      <c r="HJ91" s="552"/>
      <c r="HK91" s="552"/>
      <c r="HL91" s="552"/>
      <c r="HM91" s="552"/>
      <c r="HN91" s="552"/>
      <c r="HO91" s="552"/>
      <c r="HP91" s="552"/>
      <c r="HQ91" s="552"/>
      <c r="HR91" s="552"/>
      <c r="HS91" s="552"/>
      <c r="HT91" s="155"/>
      <c r="HU91" s="155"/>
      <c r="HV91" s="552"/>
      <c r="HW91" s="552"/>
      <c r="HX91" s="552"/>
      <c r="HY91" s="552"/>
      <c r="HZ91" s="552"/>
      <c r="IA91" s="552"/>
      <c r="IB91" s="552"/>
      <c r="IC91" s="552"/>
      <c r="ID91" s="552"/>
      <c r="IE91" s="552"/>
      <c r="IF91" s="552"/>
      <c r="IG91" s="552"/>
      <c r="IH91" s="552"/>
      <c r="II91" s="552"/>
      <c r="IJ91" s="552"/>
      <c r="IK91" s="552"/>
      <c r="IL91" s="552"/>
      <c r="IM91" s="552"/>
      <c r="IN91" s="552"/>
      <c r="IO91" s="552"/>
      <c r="IP91" s="552"/>
      <c r="IQ91" s="552"/>
      <c r="IR91" s="552"/>
      <c r="IS91" s="552"/>
      <c r="IT91" s="552"/>
      <c r="IU91" s="552"/>
      <c r="IV91" s="552"/>
      <c r="IW91" s="552"/>
      <c r="IX91" s="552"/>
      <c r="IY91" s="552"/>
      <c r="IZ91" s="552"/>
      <c r="JA91" s="552"/>
      <c r="JB91" s="552"/>
      <c r="JC91" s="552"/>
      <c r="JD91" s="552"/>
      <c r="JE91" s="552"/>
      <c r="JF91" s="552"/>
      <c r="JG91" s="552"/>
      <c r="JH91" s="552"/>
      <c r="JI91" s="552"/>
      <c r="JJ91" s="552"/>
      <c r="JK91" s="552"/>
      <c r="JL91" s="552"/>
      <c r="JM91" s="552"/>
      <c r="JN91" s="552"/>
      <c r="JO91" s="552"/>
      <c r="JP91" s="552"/>
      <c r="JQ91" s="552"/>
      <c r="JR91" s="552"/>
      <c r="JS91" s="552"/>
      <c r="JT91" s="552"/>
      <c r="JU91" s="552"/>
      <c r="JV91" s="552"/>
      <c r="JW91" s="552"/>
      <c r="JX91" s="552"/>
      <c r="JY91" s="552"/>
      <c r="JZ91" s="552"/>
      <c r="KA91" s="552"/>
      <c r="KB91" s="552"/>
      <c r="KC91" s="552"/>
      <c r="KD91" s="552"/>
      <c r="KE91" s="552"/>
      <c r="KF91" s="552"/>
      <c r="KG91" s="552"/>
      <c r="KH91" s="552"/>
      <c r="KI91" s="552"/>
      <c r="KJ91" s="552"/>
      <c r="KK91" s="552"/>
      <c r="KL91" s="552"/>
      <c r="KM91" s="552"/>
      <c r="KN91" s="552"/>
      <c r="KO91" s="552"/>
      <c r="KP91" s="552"/>
      <c r="KQ91" s="552"/>
      <c r="KR91" s="155"/>
      <c r="KS91" s="155"/>
      <c r="KV91" s="1121"/>
      <c r="KW91" s="1121"/>
      <c r="KX91" s="1121"/>
      <c r="KY91" s="1121"/>
      <c r="KZ91" s="1121"/>
      <c r="LA91" s="1121"/>
      <c r="LB91" s="1121"/>
      <c r="LC91" s="1121"/>
      <c r="LD91" s="1121"/>
      <c r="LE91" s="1121"/>
      <c r="LF91" s="1121"/>
      <c r="LG91" s="1121"/>
      <c r="LH91" s="1121"/>
      <c r="LI91" s="1121"/>
      <c r="LJ91" s="1121"/>
      <c r="LK91" s="1121"/>
      <c r="LL91" s="1121"/>
      <c r="LM91" s="1121"/>
      <c r="LN91" s="1121"/>
      <c r="LO91" s="1121"/>
      <c r="LP91" s="1121"/>
      <c r="LQ91" s="1121"/>
      <c r="LR91" s="1121"/>
      <c r="LS91" s="1121"/>
      <c r="LT91" s="1121"/>
      <c r="LV91" s="1123"/>
      <c r="LW91" s="1123"/>
      <c r="LX91" s="1123"/>
      <c r="LY91" s="1123"/>
      <c r="MA91" s="1123"/>
      <c r="MB91" s="1123"/>
      <c r="MC91" s="1123"/>
      <c r="MD91" s="1123"/>
      <c r="ME91" s="1123"/>
      <c r="MF91" s="1123"/>
      <c r="MG91" s="1123"/>
      <c r="MH91" s="1123"/>
      <c r="MI91" s="1123"/>
      <c r="MK91" s="1123"/>
      <c r="ML91" s="1123"/>
      <c r="MM91" s="1123"/>
      <c r="MN91" s="1123"/>
      <c r="MO91" s="1123"/>
      <c r="NP91" s="155"/>
      <c r="NQ91" s="155"/>
      <c r="QN91" s="155"/>
      <c r="QO91" s="155"/>
      <c r="TL91" s="155"/>
    </row>
    <row r="92" spans="1:532" ht="6.75" customHeight="1" thickBot="1" x14ac:dyDescent="0.3">
      <c r="A92" s="155"/>
      <c r="B92" s="512"/>
      <c r="C92" s="1192"/>
      <c r="D92" s="1193"/>
      <c r="E92" s="1193"/>
      <c r="F92" s="1193"/>
      <c r="G92" s="1193"/>
      <c r="H92" s="1193"/>
      <c r="I92" s="1193"/>
      <c r="J92" s="1193"/>
      <c r="K92" s="1193"/>
      <c r="L92" s="1193"/>
      <c r="M92" s="1193"/>
      <c r="N92" s="1193"/>
      <c r="O92" s="1193"/>
      <c r="P92" s="1193"/>
      <c r="Q92" s="1193"/>
      <c r="R92" s="1193"/>
      <c r="S92" s="1193"/>
      <c r="T92" s="1193"/>
      <c r="U92" s="1193"/>
      <c r="V92" s="1193"/>
      <c r="W92" s="1193"/>
      <c r="X92" s="1193"/>
      <c r="Y92" s="1193"/>
      <c r="Z92" s="1193"/>
      <c r="AA92" s="1193"/>
      <c r="AB92" s="1193"/>
      <c r="AC92" s="1193"/>
      <c r="AD92" s="1193"/>
      <c r="AE92" s="1193"/>
      <c r="AF92" s="1193"/>
      <c r="AG92" s="1193"/>
      <c r="AH92" s="1193"/>
      <c r="AI92" s="1193"/>
      <c r="AJ92" s="1193"/>
      <c r="AK92" s="1193"/>
      <c r="AL92" s="1194"/>
      <c r="AM92" s="508"/>
      <c r="AN92" s="508"/>
      <c r="AO92" s="1183"/>
      <c r="AP92" s="1184"/>
      <c r="AQ92" s="1184"/>
      <c r="AR92" s="1184"/>
      <c r="AS92" s="1184"/>
      <c r="AT92" s="1184"/>
      <c r="AU92" s="1184"/>
      <c r="AV92" s="1184"/>
      <c r="AW92" s="1184"/>
      <c r="AX92" s="1184"/>
      <c r="AY92" s="1184"/>
      <c r="AZ92" s="1184"/>
      <c r="BA92" s="1184"/>
      <c r="BB92" s="1184"/>
      <c r="BC92" s="1184"/>
      <c r="BD92" s="1184"/>
      <c r="BE92" s="1184"/>
      <c r="BF92" s="1184"/>
      <c r="BG92" s="1184"/>
      <c r="BH92" s="1184"/>
      <c r="BI92" s="1184"/>
      <c r="BJ92" s="1184"/>
      <c r="BK92" s="1184"/>
      <c r="BL92" s="1184"/>
      <c r="BM92" s="1184"/>
      <c r="BN92" s="1184"/>
      <c r="BO92" s="1184"/>
      <c r="BP92" s="1184"/>
      <c r="BQ92" s="1184"/>
      <c r="BR92" s="1184"/>
      <c r="BS92" s="1184"/>
      <c r="BT92" s="1184"/>
      <c r="BU92" s="1184"/>
      <c r="BV92" s="1185"/>
      <c r="BW92" s="513"/>
      <c r="BX92" s="155"/>
      <c r="BY92" s="155"/>
      <c r="CZ92" s="1119"/>
      <c r="DA92" s="1119"/>
      <c r="DB92" s="1119"/>
      <c r="DC92" s="1119"/>
      <c r="DD92" s="1119"/>
      <c r="DE92" s="1119"/>
      <c r="DF92" s="1119"/>
      <c r="DG92" s="1119"/>
      <c r="DH92" s="1119"/>
      <c r="DI92" s="1119"/>
      <c r="DJ92" s="1119"/>
      <c r="DK92" s="1119"/>
      <c r="DL92" s="1119"/>
      <c r="DM92" s="1119"/>
      <c r="DN92" s="1119"/>
      <c r="DO92" s="1119"/>
      <c r="DP92" s="1119"/>
      <c r="DQ92" s="1119"/>
      <c r="DR92" s="1119"/>
      <c r="DS92" s="1119"/>
      <c r="DT92" s="1119"/>
      <c r="DU92" s="1119"/>
      <c r="DV92" s="1119"/>
      <c r="DW92" s="1119"/>
      <c r="DY92" s="1120"/>
      <c r="DZ92" s="1120"/>
      <c r="EA92" s="1120"/>
      <c r="EB92" s="1120"/>
      <c r="EC92" s="1120"/>
      <c r="ED92" s="1120"/>
      <c r="EE92" s="1120"/>
      <c r="EF92" s="1120"/>
      <c r="EG92" s="1120"/>
      <c r="EH92" s="1120"/>
      <c r="EI92" s="1120"/>
      <c r="EJ92" s="1120"/>
      <c r="EK92" s="1120"/>
      <c r="EL92" s="1120"/>
      <c r="EM92" s="1120"/>
      <c r="EN92" s="1120"/>
      <c r="EO92" s="1120"/>
      <c r="EP92" s="1120"/>
      <c r="EQ92" s="1120"/>
      <c r="ER92" s="1120"/>
      <c r="ES92" s="1120"/>
      <c r="ET92" s="1120"/>
      <c r="EU92" s="1120"/>
      <c r="EW92" s="155"/>
      <c r="EX92" s="552"/>
      <c r="EY92" s="552"/>
      <c r="EZ92" s="552"/>
      <c r="FA92" s="552"/>
      <c r="FB92" s="552"/>
      <c r="FC92" s="552"/>
      <c r="FD92" s="552"/>
      <c r="FE92" s="552"/>
      <c r="FF92" s="552"/>
      <c r="FG92" s="552"/>
      <c r="FH92" s="552"/>
      <c r="FI92" s="552"/>
      <c r="FJ92" s="552"/>
      <c r="FK92" s="552"/>
      <c r="FL92" s="552"/>
      <c r="FM92" s="552"/>
      <c r="FN92" s="552"/>
      <c r="FO92" s="552"/>
      <c r="FP92" s="552"/>
      <c r="FQ92" s="552"/>
      <c r="FR92" s="552"/>
      <c r="FS92" s="552"/>
      <c r="FT92" s="552"/>
      <c r="FU92" s="552"/>
      <c r="FV92" s="552"/>
      <c r="FW92" s="552"/>
      <c r="FX92" s="552"/>
      <c r="FY92" s="552"/>
      <c r="FZ92" s="552"/>
      <c r="GA92" s="552"/>
      <c r="GB92" s="552"/>
      <c r="GC92" s="552"/>
      <c r="GD92" s="552"/>
      <c r="GE92" s="552"/>
      <c r="GF92" s="552"/>
      <c r="GG92" s="552"/>
      <c r="GH92" s="552"/>
      <c r="GI92" s="552"/>
      <c r="GJ92" s="552"/>
      <c r="GK92" s="552"/>
      <c r="GL92" s="552"/>
      <c r="GM92" s="552"/>
      <c r="GN92" s="552"/>
      <c r="GO92" s="552"/>
      <c r="GP92" s="552"/>
      <c r="GQ92" s="552"/>
      <c r="GR92" s="552"/>
      <c r="GS92" s="552"/>
      <c r="GT92" s="552"/>
      <c r="GU92" s="552"/>
      <c r="GV92" s="552"/>
      <c r="GW92" s="552"/>
      <c r="GX92" s="552"/>
      <c r="GY92" s="552"/>
      <c r="GZ92" s="552"/>
      <c r="HA92" s="552"/>
      <c r="HB92" s="552"/>
      <c r="HC92" s="552"/>
      <c r="HD92" s="552"/>
      <c r="HE92" s="552"/>
      <c r="HF92" s="552"/>
      <c r="HG92" s="552"/>
      <c r="HH92" s="552"/>
      <c r="HI92" s="552"/>
      <c r="HJ92" s="552"/>
      <c r="HK92" s="552"/>
      <c r="HL92" s="552"/>
      <c r="HM92" s="552"/>
      <c r="HN92" s="552"/>
      <c r="HO92" s="552"/>
      <c r="HP92" s="552"/>
      <c r="HQ92" s="552"/>
      <c r="HR92" s="552"/>
      <c r="HS92" s="552"/>
      <c r="HT92" s="155"/>
      <c r="HU92" s="155"/>
      <c r="HV92" s="552"/>
      <c r="HW92" s="552"/>
      <c r="HX92" s="552"/>
      <c r="HY92" s="552"/>
      <c r="HZ92" s="552"/>
      <c r="IA92" s="552"/>
      <c r="IB92" s="552"/>
      <c r="IC92" s="552"/>
      <c r="ID92" s="552"/>
      <c r="IE92" s="552"/>
      <c r="IF92" s="552"/>
      <c r="IG92" s="552"/>
      <c r="IH92" s="552"/>
      <c r="II92" s="552"/>
      <c r="IJ92" s="552"/>
      <c r="IK92" s="552"/>
      <c r="IL92" s="552"/>
      <c r="IM92" s="552"/>
      <c r="IN92" s="552"/>
      <c r="IO92" s="552"/>
      <c r="IP92" s="552"/>
      <c r="IQ92" s="552"/>
      <c r="IR92" s="552"/>
      <c r="IS92" s="552"/>
      <c r="IT92" s="552"/>
      <c r="IU92" s="552"/>
      <c r="IV92" s="552"/>
      <c r="IW92" s="552"/>
      <c r="IX92" s="552"/>
      <c r="IY92" s="552"/>
      <c r="IZ92" s="552"/>
      <c r="JA92" s="552"/>
      <c r="JB92" s="552"/>
      <c r="JC92" s="552"/>
      <c r="JD92" s="552"/>
      <c r="JE92" s="552"/>
      <c r="JF92" s="552"/>
      <c r="JG92" s="552"/>
      <c r="JH92" s="552"/>
      <c r="JI92" s="552"/>
      <c r="JJ92" s="552"/>
      <c r="JK92" s="552"/>
      <c r="JL92" s="552"/>
      <c r="JM92" s="552"/>
      <c r="JN92" s="552"/>
      <c r="JO92" s="552"/>
      <c r="JP92" s="552"/>
      <c r="JQ92" s="552"/>
      <c r="JR92" s="552"/>
      <c r="JS92" s="552"/>
      <c r="JT92" s="552"/>
      <c r="JU92" s="552"/>
      <c r="JV92" s="552"/>
      <c r="JW92" s="552"/>
      <c r="JX92" s="552"/>
      <c r="JY92" s="552"/>
      <c r="JZ92" s="552"/>
      <c r="KA92" s="552"/>
      <c r="KB92" s="552"/>
      <c r="KC92" s="552"/>
      <c r="KD92" s="552"/>
      <c r="KE92" s="552"/>
      <c r="KF92" s="552"/>
      <c r="KG92" s="552"/>
      <c r="KH92" s="552"/>
      <c r="KI92" s="552"/>
      <c r="KJ92" s="552"/>
      <c r="KK92" s="552"/>
      <c r="KL92" s="552"/>
      <c r="KM92" s="552"/>
      <c r="KN92" s="552"/>
      <c r="KO92" s="552"/>
      <c r="KP92" s="552"/>
      <c r="KQ92" s="552"/>
      <c r="KR92" s="155"/>
      <c r="KS92" s="155"/>
      <c r="KV92" s="1120"/>
      <c r="KW92" s="1120"/>
      <c r="KX92" s="1120"/>
      <c r="KY92" s="1120"/>
      <c r="KZ92" s="1120"/>
      <c r="LA92" s="1120"/>
      <c r="LB92" s="1120"/>
      <c r="LC92" s="1120"/>
      <c r="LD92" s="1120"/>
      <c r="LE92" s="1120"/>
      <c r="LF92" s="1120"/>
      <c r="LG92" s="1120"/>
      <c r="LH92" s="1120"/>
      <c r="LI92" s="1120"/>
      <c r="LJ92" s="1120"/>
      <c r="LK92" s="1120"/>
      <c r="LL92" s="1120"/>
      <c r="LM92" s="1120"/>
      <c r="LN92" s="1120"/>
      <c r="LO92" s="1120"/>
      <c r="LP92" s="1120"/>
      <c r="LQ92" s="1120"/>
      <c r="LR92" s="1120"/>
      <c r="LS92" s="1120"/>
      <c r="LT92" s="1120"/>
      <c r="LV92" s="1122"/>
      <c r="LW92" s="1122"/>
      <c r="LX92" s="1122"/>
      <c r="LY92" s="1122"/>
      <c r="MA92" s="1122"/>
      <c r="MB92" s="1122"/>
      <c r="MC92" s="1122"/>
      <c r="MD92" s="1122"/>
      <c r="ME92" s="1122"/>
      <c r="MF92" s="1122"/>
      <c r="MG92" s="1122"/>
      <c r="MH92" s="1122"/>
      <c r="MI92" s="1122"/>
      <c r="MK92" s="1122"/>
      <c r="ML92" s="1122"/>
      <c r="MM92" s="1122"/>
      <c r="MN92" s="1122"/>
      <c r="MO92" s="1122"/>
      <c r="NP92" s="155"/>
      <c r="NQ92" s="155"/>
      <c r="QN92" s="155"/>
      <c r="QO92" s="155"/>
      <c r="TL92" s="155"/>
    </row>
    <row r="93" spans="1:532" ht="6.75" customHeight="1" x14ac:dyDescent="0.25">
      <c r="A93" s="155"/>
      <c r="B93" s="512"/>
      <c r="C93" s="1192"/>
      <c r="D93" s="1193"/>
      <c r="E93" s="1193"/>
      <c r="F93" s="1193"/>
      <c r="G93" s="1193"/>
      <c r="H93" s="1193"/>
      <c r="I93" s="1193"/>
      <c r="J93" s="1193"/>
      <c r="K93" s="1193"/>
      <c r="L93" s="1193"/>
      <c r="M93" s="1193"/>
      <c r="N93" s="1193"/>
      <c r="O93" s="1193"/>
      <c r="P93" s="1193"/>
      <c r="Q93" s="1193"/>
      <c r="R93" s="1193"/>
      <c r="S93" s="1193"/>
      <c r="T93" s="1193"/>
      <c r="U93" s="1193"/>
      <c r="V93" s="1193"/>
      <c r="W93" s="1193"/>
      <c r="X93" s="1193"/>
      <c r="Y93" s="1193"/>
      <c r="Z93" s="1193"/>
      <c r="AA93" s="1193"/>
      <c r="AB93" s="1193"/>
      <c r="AC93" s="1193"/>
      <c r="AD93" s="1193"/>
      <c r="AE93" s="1193"/>
      <c r="AF93" s="1193"/>
      <c r="AG93" s="1193"/>
      <c r="AH93" s="1193"/>
      <c r="AI93" s="1193"/>
      <c r="AJ93" s="1193"/>
      <c r="AK93" s="1193"/>
      <c r="AL93" s="1194"/>
      <c r="AM93" s="508"/>
      <c r="AN93" s="508"/>
      <c r="AO93" s="1183"/>
      <c r="AP93" s="1184"/>
      <c r="AQ93" s="1184"/>
      <c r="AR93" s="1184"/>
      <c r="AS93" s="1184"/>
      <c r="AT93" s="1184"/>
      <c r="AU93" s="1184"/>
      <c r="AV93" s="1184"/>
      <c r="AW93" s="1184"/>
      <c r="AX93" s="1184"/>
      <c r="AY93" s="1184"/>
      <c r="AZ93" s="1184"/>
      <c r="BA93" s="1184"/>
      <c r="BB93" s="1184"/>
      <c r="BC93" s="1184"/>
      <c r="BD93" s="1184"/>
      <c r="BE93" s="1184"/>
      <c r="BF93" s="1184"/>
      <c r="BG93" s="1184"/>
      <c r="BH93" s="1184"/>
      <c r="BI93" s="1184"/>
      <c r="BJ93" s="1184"/>
      <c r="BK93" s="1184"/>
      <c r="BL93" s="1184"/>
      <c r="BM93" s="1184"/>
      <c r="BN93" s="1184"/>
      <c r="BO93" s="1184"/>
      <c r="BP93" s="1184"/>
      <c r="BQ93" s="1184"/>
      <c r="BR93" s="1184"/>
      <c r="BS93" s="1184"/>
      <c r="BT93" s="1184"/>
      <c r="BU93" s="1184"/>
      <c r="BV93" s="1185"/>
      <c r="BW93" s="513"/>
      <c r="BX93" s="155"/>
      <c r="BY93" s="155"/>
      <c r="BZ93" s="150"/>
      <c r="CA93" s="1109" t="s">
        <v>6418</v>
      </c>
      <c r="CB93" s="1110"/>
      <c r="CC93" s="1110"/>
      <c r="CD93" s="1110"/>
      <c r="CE93" s="1110"/>
      <c r="CF93" s="1110"/>
      <c r="CG93" s="1110"/>
      <c r="CH93" s="1110"/>
      <c r="CI93" s="1110"/>
      <c r="CJ93" s="1110"/>
      <c r="CK93" s="1110"/>
      <c r="CL93" s="1110"/>
      <c r="CM93" s="1110"/>
      <c r="CN93" s="1110"/>
      <c r="CO93" s="1110"/>
      <c r="CP93" s="1110"/>
      <c r="CQ93" s="1110"/>
      <c r="CR93" s="1110"/>
      <c r="CS93" s="1110"/>
      <c r="CT93" s="1110"/>
      <c r="CU93" s="1110"/>
      <c r="CV93" s="1110"/>
      <c r="CW93" s="1110"/>
      <c r="CX93" s="1111"/>
      <c r="CZ93" s="1119"/>
      <c r="DA93" s="1119"/>
      <c r="DB93" s="1119"/>
      <c r="DC93" s="1119"/>
      <c r="DD93" s="1119"/>
      <c r="DE93" s="1119"/>
      <c r="DF93" s="1119"/>
      <c r="DG93" s="1119"/>
      <c r="DH93" s="1119"/>
      <c r="DI93" s="1119"/>
      <c r="DJ93" s="1119"/>
      <c r="DK93" s="1119"/>
      <c r="DL93" s="1119"/>
      <c r="DM93" s="1119"/>
      <c r="DN93" s="1119"/>
      <c r="DO93" s="1119"/>
      <c r="DP93" s="1119"/>
      <c r="DQ93" s="1119"/>
      <c r="DR93" s="1119"/>
      <c r="DS93" s="1119"/>
      <c r="DT93" s="1119"/>
      <c r="DU93" s="1119"/>
      <c r="DV93" s="1119"/>
      <c r="DW93" s="1119"/>
      <c r="DY93" s="1121"/>
      <c r="DZ93" s="1121"/>
      <c r="EA93" s="1121"/>
      <c r="EB93" s="1121"/>
      <c r="EC93" s="1121"/>
      <c r="ED93" s="1121"/>
      <c r="EE93" s="1121"/>
      <c r="EF93" s="1121"/>
      <c r="EG93" s="1121"/>
      <c r="EH93" s="1121"/>
      <c r="EI93" s="1121"/>
      <c r="EJ93" s="1121"/>
      <c r="EK93" s="1121"/>
      <c r="EL93" s="1121"/>
      <c r="EM93" s="1121"/>
      <c r="EN93" s="1121"/>
      <c r="EO93" s="1121"/>
      <c r="EP93" s="1121"/>
      <c r="EQ93" s="1121"/>
      <c r="ER93" s="1121"/>
      <c r="ES93" s="1121"/>
      <c r="ET93" s="1121"/>
      <c r="EU93" s="1121"/>
      <c r="EW93" s="155"/>
      <c r="EX93" s="552"/>
      <c r="EY93" s="552"/>
      <c r="EZ93" s="552"/>
      <c r="FA93" s="552"/>
      <c r="FB93" s="552"/>
      <c r="FC93" s="552"/>
      <c r="FD93" s="552"/>
      <c r="FE93" s="552"/>
      <c r="FF93" s="552"/>
      <c r="FG93" s="552"/>
      <c r="FH93" s="552"/>
      <c r="FI93" s="552"/>
      <c r="FJ93" s="552"/>
      <c r="FK93" s="552"/>
      <c r="FL93" s="552"/>
      <c r="FM93" s="552"/>
      <c r="FN93" s="552"/>
      <c r="FO93" s="552"/>
      <c r="FP93" s="552"/>
      <c r="FQ93" s="552"/>
      <c r="FR93" s="552"/>
      <c r="FS93" s="552"/>
      <c r="FT93" s="552"/>
      <c r="FU93" s="552"/>
      <c r="FV93" s="552"/>
      <c r="FW93" s="552"/>
      <c r="FX93" s="552"/>
      <c r="FY93" s="552"/>
      <c r="FZ93" s="552"/>
      <c r="GA93" s="552"/>
      <c r="GB93" s="552"/>
      <c r="GC93" s="552"/>
      <c r="GD93" s="552"/>
      <c r="GE93" s="552"/>
      <c r="GF93" s="552"/>
      <c r="GG93" s="552"/>
      <c r="GH93" s="552"/>
      <c r="GI93" s="552"/>
      <c r="GJ93" s="552"/>
      <c r="GK93" s="552"/>
      <c r="GL93" s="552"/>
      <c r="GM93" s="552"/>
      <c r="GN93" s="552"/>
      <c r="GO93" s="552"/>
      <c r="GP93" s="552"/>
      <c r="GQ93" s="552"/>
      <c r="GR93" s="552"/>
      <c r="GS93" s="552"/>
      <c r="GT93" s="552"/>
      <c r="GU93" s="552"/>
      <c r="GV93" s="552"/>
      <c r="GW93" s="552"/>
      <c r="GX93" s="552"/>
      <c r="GY93" s="552"/>
      <c r="GZ93" s="552"/>
      <c r="HA93" s="552"/>
      <c r="HB93" s="552"/>
      <c r="HC93" s="552"/>
      <c r="HD93" s="552"/>
      <c r="HE93" s="552"/>
      <c r="HF93" s="552"/>
      <c r="HG93" s="552"/>
      <c r="HH93" s="552"/>
      <c r="HI93" s="552"/>
      <c r="HJ93" s="552"/>
      <c r="HK93" s="552"/>
      <c r="HL93" s="552"/>
      <c r="HM93" s="552"/>
      <c r="HN93" s="552"/>
      <c r="HO93" s="552"/>
      <c r="HP93" s="552"/>
      <c r="HQ93" s="552"/>
      <c r="HR93" s="552"/>
      <c r="HS93" s="552"/>
      <c r="HT93" s="155"/>
      <c r="HU93" s="155"/>
      <c r="HV93" s="552"/>
      <c r="HW93" s="552"/>
      <c r="HX93" s="552"/>
      <c r="HY93" s="552"/>
      <c r="HZ93" s="552"/>
      <c r="IA93" s="552"/>
      <c r="IB93" s="552"/>
      <c r="IC93" s="552"/>
      <c r="ID93" s="552"/>
      <c r="IE93" s="552"/>
      <c r="IF93" s="552"/>
      <c r="IG93" s="552"/>
      <c r="IH93" s="552"/>
      <c r="II93" s="552"/>
      <c r="IJ93" s="552"/>
      <c r="IK93" s="552"/>
      <c r="IL93" s="552"/>
      <c r="IM93" s="552"/>
      <c r="IN93" s="552"/>
      <c r="IO93" s="552"/>
      <c r="IP93" s="552"/>
      <c r="IQ93" s="552"/>
      <c r="IR93" s="552"/>
      <c r="IS93" s="552"/>
      <c r="IT93" s="552"/>
      <c r="IU93" s="552"/>
      <c r="IV93" s="552"/>
      <c r="IW93" s="552"/>
      <c r="IX93" s="552"/>
      <c r="IY93" s="552"/>
      <c r="IZ93" s="552"/>
      <c r="JA93" s="552"/>
      <c r="JB93" s="552"/>
      <c r="JC93" s="552"/>
      <c r="JD93" s="552"/>
      <c r="JE93" s="552"/>
      <c r="JF93" s="552"/>
      <c r="JG93" s="552"/>
      <c r="JH93" s="552"/>
      <c r="JI93" s="552"/>
      <c r="JJ93" s="552"/>
      <c r="JK93" s="552"/>
      <c r="JL93" s="552"/>
      <c r="JM93" s="552"/>
      <c r="JN93" s="552"/>
      <c r="JO93" s="552"/>
      <c r="JP93" s="552"/>
      <c r="JQ93" s="552"/>
      <c r="JR93" s="552"/>
      <c r="JS93" s="552"/>
      <c r="JT93" s="552"/>
      <c r="JU93" s="552"/>
      <c r="JV93" s="552"/>
      <c r="JW93" s="552"/>
      <c r="JX93" s="552"/>
      <c r="JY93" s="552"/>
      <c r="JZ93" s="552"/>
      <c r="KA93" s="552"/>
      <c r="KB93" s="552"/>
      <c r="KC93" s="552"/>
      <c r="KD93" s="552"/>
      <c r="KE93" s="552"/>
      <c r="KF93" s="552"/>
      <c r="KG93" s="552"/>
      <c r="KH93" s="552"/>
      <c r="KI93" s="552"/>
      <c r="KJ93" s="552"/>
      <c r="KK93" s="552"/>
      <c r="KL93" s="552"/>
      <c r="KM93" s="552"/>
      <c r="KN93" s="552"/>
      <c r="KO93" s="552"/>
      <c r="KP93" s="552"/>
      <c r="KQ93" s="552"/>
      <c r="KR93" s="155"/>
      <c r="KS93" s="155"/>
      <c r="KV93" s="1121"/>
      <c r="KW93" s="1121"/>
      <c r="KX93" s="1121"/>
      <c r="KY93" s="1121"/>
      <c r="KZ93" s="1121"/>
      <c r="LA93" s="1121"/>
      <c r="LB93" s="1121"/>
      <c r="LC93" s="1121"/>
      <c r="LD93" s="1121"/>
      <c r="LE93" s="1121"/>
      <c r="LF93" s="1121"/>
      <c r="LG93" s="1121"/>
      <c r="LH93" s="1121"/>
      <c r="LI93" s="1121"/>
      <c r="LJ93" s="1121"/>
      <c r="LK93" s="1121"/>
      <c r="LL93" s="1121"/>
      <c r="LM93" s="1121"/>
      <c r="LN93" s="1121"/>
      <c r="LO93" s="1121"/>
      <c r="LP93" s="1121"/>
      <c r="LQ93" s="1121"/>
      <c r="LR93" s="1121"/>
      <c r="LS93" s="1121"/>
      <c r="LT93" s="1121"/>
      <c r="LV93" s="1123"/>
      <c r="LW93" s="1123"/>
      <c r="LX93" s="1123"/>
      <c r="LY93" s="1123"/>
      <c r="MA93" s="1123"/>
      <c r="MB93" s="1123"/>
      <c r="MC93" s="1123"/>
      <c r="MD93" s="1123"/>
      <c r="ME93" s="1123"/>
      <c r="MF93" s="1123"/>
      <c r="MG93" s="1123"/>
      <c r="MH93" s="1123"/>
      <c r="MI93" s="1123"/>
      <c r="MK93" s="1123"/>
      <c r="ML93" s="1123"/>
      <c r="MM93" s="1123"/>
      <c r="MN93" s="1123"/>
      <c r="MO93" s="1123"/>
      <c r="NP93" s="155"/>
      <c r="NQ93" s="155"/>
      <c r="QN93" s="155"/>
      <c r="QO93" s="155"/>
      <c r="TL93" s="155"/>
    </row>
    <row r="94" spans="1:532" ht="6.75" customHeight="1" x14ac:dyDescent="0.25">
      <c r="A94" s="155"/>
      <c r="B94" s="512"/>
      <c r="C94" s="1192"/>
      <c r="D94" s="1193"/>
      <c r="E94" s="1193"/>
      <c r="F94" s="1193"/>
      <c r="G94" s="1193"/>
      <c r="H94" s="1193"/>
      <c r="I94" s="1193"/>
      <c r="J94" s="1193"/>
      <c r="K94" s="1193"/>
      <c r="L94" s="1193"/>
      <c r="M94" s="1193"/>
      <c r="N94" s="1193"/>
      <c r="O94" s="1193"/>
      <c r="P94" s="1193"/>
      <c r="Q94" s="1193"/>
      <c r="R94" s="1193"/>
      <c r="S94" s="1193"/>
      <c r="T94" s="1193"/>
      <c r="U94" s="1193"/>
      <c r="V94" s="1193"/>
      <c r="W94" s="1193"/>
      <c r="X94" s="1193"/>
      <c r="Y94" s="1193"/>
      <c r="Z94" s="1193"/>
      <c r="AA94" s="1193"/>
      <c r="AB94" s="1193"/>
      <c r="AC94" s="1193"/>
      <c r="AD94" s="1193"/>
      <c r="AE94" s="1193"/>
      <c r="AF94" s="1193"/>
      <c r="AG94" s="1193"/>
      <c r="AH94" s="1193"/>
      <c r="AI94" s="1193"/>
      <c r="AJ94" s="1193"/>
      <c r="AK94" s="1193"/>
      <c r="AL94" s="1194"/>
      <c r="AM94" s="508"/>
      <c r="AN94" s="508"/>
      <c r="AO94" s="1183"/>
      <c r="AP94" s="1184"/>
      <c r="AQ94" s="1184"/>
      <c r="AR94" s="1184"/>
      <c r="AS94" s="1184"/>
      <c r="AT94" s="1184"/>
      <c r="AU94" s="1184"/>
      <c r="AV94" s="1184"/>
      <c r="AW94" s="1184"/>
      <c r="AX94" s="1184"/>
      <c r="AY94" s="1184"/>
      <c r="AZ94" s="1184"/>
      <c r="BA94" s="1184"/>
      <c r="BB94" s="1184"/>
      <c r="BC94" s="1184"/>
      <c r="BD94" s="1184"/>
      <c r="BE94" s="1184"/>
      <c r="BF94" s="1184"/>
      <c r="BG94" s="1184"/>
      <c r="BH94" s="1184"/>
      <c r="BI94" s="1184"/>
      <c r="BJ94" s="1184"/>
      <c r="BK94" s="1184"/>
      <c r="BL94" s="1184"/>
      <c r="BM94" s="1184"/>
      <c r="BN94" s="1184"/>
      <c r="BO94" s="1184"/>
      <c r="BP94" s="1184"/>
      <c r="BQ94" s="1184"/>
      <c r="BR94" s="1184"/>
      <c r="BS94" s="1184"/>
      <c r="BT94" s="1184"/>
      <c r="BU94" s="1184"/>
      <c r="BV94" s="1185"/>
      <c r="BW94" s="513"/>
      <c r="BX94" s="155"/>
      <c r="BY94" s="155"/>
      <c r="BZ94" s="150"/>
      <c r="CA94" s="1112"/>
      <c r="CB94" s="1113"/>
      <c r="CC94" s="1113"/>
      <c r="CD94" s="1113"/>
      <c r="CE94" s="1113"/>
      <c r="CF94" s="1113"/>
      <c r="CG94" s="1113"/>
      <c r="CH94" s="1113"/>
      <c r="CI94" s="1113"/>
      <c r="CJ94" s="1113"/>
      <c r="CK94" s="1113"/>
      <c r="CL94" s="1113"/>
      <c r="CM94" s="1113"/>
      <c r="CN94" s="1113"/>
      <c r="CO94" s="1113"/>
      <c r="CP94" s="1113"/>
      <c r="CQ94" s="1113"/>
      <c r="CR94" s="1113"/>
      <c r="CS94" s="1113"/>
      <c r="CT94" s="1113"/>
      <c r="CU94" s="1113"/>
      <c r="CV94" s="1113"/>
      <c r="CW94" s="1113"/>
      <c r="CX94" s="1114"/>
      <c r="CZ94" s="1119"/>
      <c r="DA94" s="1119"/>
      <c r="DB94" s="1119"/>
      <c r="DC94" s="1119"/>
      <c r="DD94" s="1119"/>
      <c r="DE94" s="1119"/>
      <c r="DF94" s="1119"/>
      <c r="DG94" s="1119"/>
      <c r="DH94" s="1119"/>
      <c r="DI94" s="1119"/>
      <c r="DJ94" s="1119"/>
      <c r="DK94" s="1119"/>
      <c r="DL94" s="1119"/>
      <c r="DM94" s="1119"/>
      <c r="DN94" s="1119"/>
      <c r="DO94" s="1119"/>
      <c r="DP94" s="1119"/>
      <c r="DQ94" s="1119"/>
      <c r="DR94" s="1119"/>
      <c r="DS94" s="1119"/>
      <c r="DT94" s="1119"/>
      <c r="DU94" s="1119"/>
      <c r="DV94" s="1119"/>
      <c r="DW94" s="1119"/>
      <c r="DY94" s="1120"/>
      <c r="DZ94" s="1120"/>
      <c r="EA94" s="1120"/>
      <c r="EB94" s="1120"/>
      <c r="EC94" s="1120"/>
      <c r="ED94" s="1120"/>
      <c r="EE94" s="1120"/>
      <c r="EF94" s="1120"/>
      <c r="EG94" s="1120"/>
      <c r="EH94" s="1120"/>
      <c r="EI94" s="1120"/>
      <c r="EJ94" s="1120"/>
      <c r="EK94" s="1120"/>
      <c r="EL94" s="1120"/>
      <c r="EM94" s="1120"/>
      <c r="EN94" s="1120"/>
      <c r="EO94" s="1120"/>
      <c r="EP94" s="1120"/>
      <c r="EQ94" s="1120"/>
      <c r="ER94" s="1120"/>
      <c r="ES94" s="1120"/>
      <c r="ET94" s="1120"/>
      <c r="EU94" s="1120"/>
      <c r="EW94" s="155"/>
      <c r="EX94" s="552"/>
      <c r="EY94" s="552"/>
      <c r="EZ94" s="552"/>
      <c r="FA94" s="552"/>
      <c r="FB94" s="552"/>
      <c r="FC94" s="552"/>
      <c r="FD94" s="552"/>
      <c r="FE94" s="552"/>
      <c r="FF94" s="552"/>
      <c r="FG94" s="552"/>
      <c r="FH94" s="552"/>
      <c r="FI94" s="552"/>
      <c r="FJ94" s="552"/>
      <c r="FK94" s="552"/>
      <c r="FL94" s="552"/>
      <c r="FM94" s="552"/>
      <c r="FN94" s="552"/>
      <c r="FO94" s="552"/>
      <c r="FP94" s="552"/>
      <c r="FQ94" s="552"/>
      <c r="FR94" s="552"/>
      <c r="FS94" s="552"/>
      <c r="FT94" s="552"/>
      <c r="FU94" s="552"/>
      <c r="FV94" s="552"/>
      <c r="FW94" s="552"/>
      <c r="FX94" s="552"/>
      <c r="FY94" s="552"/>
      <c r="FZ94" s="552"/>
      <c r="GA94" s="552"/>
      <c r="GB94" s="552"/>
      <c r="GC94" s="552"/>
      <c r="GD94" s="552"/>
      <c r="GE94" s="552"/>
      <c r="GF94" s="552"/>
      <c r="GG94" s="552"/>
      <c r="GH94" s="552"/>
      <c r="GI94" s="552"/>
      <c r="GJ94" s="552"/>
      <c r="GK94" s="552"/>
      <c r="GL94" s="552"/>
      <c r="GM94" s="552"/>
      <c r="GN94" s="552"/>
      <c r="GO94" s="552"/>
      <c r="GP94" s="552"/>
      <c r="GQ94" s="552"/>
      <c r="GR94" s="552"/>
      <c r="GS94" s="552"/>
      <c r="GT94" s="552"/>
      <c r="GU94" s="552"/>
      <c r="GV94" s="552"/>
      <c r="GW94" s="552"/>
      <c r="GX94" s="552"/>
      <c r="GY94" s="552"/>
      <c r="GZ94" s="552"/>
      <c r="HA94" s="552"/>
      <c r="HB94" s="552"/>
      <c r="HC94" s="552"/>
      <c r="HD94" s="552"/>
      <c r="HE94" s="552"/>
      <c r="HF94" s="552"/>
      <c r="HG94" s="552"/>
      <c r="HH94" s="552"/>
      <c r="HI94" s="552"/>
      <c r="HJ94" s="552"/>
      <c r="HK94" s="552"/>
      <c r="HL94" s="552"/>
      <c r="HM94" s="552"/>
      <c r="HN94" s="552"/>
      <c r="HO94" s="552"/>
      <c r="HP94" s="552"/>
      <c r="HQ94" s="552"/>
      <c r="HR94" s="552"/>
      <c r="HS94" s="552"/>
      <c r="HT94" s="155"/>
      <c r="HU94" s="155"/>
      <c r="HV94" s="552"/>
      <c r="HW94" s="552"/>
      <c r="HX94" s="552"/>
      <c r="HY94" s="552"/>
      <c r="HZ94" s="552"/>
      <c r="IA94" s="552"/>
      <c r="IB94" s="552"/>
      <c r="IC94" s="552"/>
      <c r="ID94" s="552"/>
      <c r="IE94" s="552"/>
      <c r="IF94" s="552"/>
      <c r="IG94" s="552"/>
      <c r="IH94" s="552"/>
      <c r="II94" s="552"/>
      <c r="IJ94" s="552"/>
      <c r="IK94" s="552"/>
      <c r="IL94" s="552"/>
      <c r="IM94" s="552"/>
      <c r="IN94" s="552"/>
      <c r="IO94" s="552"/>
      <c r="IP94" s="552"/>
      <c r="IQ94" s="552"/>
      <c r="IR94" s="552"/>
      <c r="IS94" s="552"/>
      <c r="IT94" s="552"/>
      <c r="IU94" s="552"/>
      <c r="IV94" s="552"/>
      <c r="IW94" s="552"/>
      <c r="IX94" s="552"/>
      <c r="IY94" s="552"/>
      <c r="IZ94" s="552"/>
      <c r="JA94" s="552"/>
      <c r="JB94" s="552"/>
      <c r="JC94" s="552"/>
      <c r="JD94" s="552"/>
      <c r="JE94" s="552"/>
      <c r="JF94" s="552"/>
      <c r="JG94" s="552"/>
      <c r="JH94" s="552"/>
      <c r="JI94" s="552"/>
      <c r="JJ94" s="552"/>
      <c r="JK94" s="552"/>
      <c r="JL94" s="552"/>
      <c r="JM94" s="552"/>
      <c r="JN94" s="552"/>
      <c r="JO94" s="552"/>
      <c r="JP94" s="552"/>
      <c r="JQ94" s="552"/>
      <c r="JR94" s="552"/>
      <c r="JS94" s="552"/>
      <c r="JT94" s="552"/>
      <c r="JU94" s="552"/>
      <c r="JV94" s="552"/>
      <c r="JW94" s="552"/>
      <c r="JX94" s="552"/>
      <c r="JY94" s="552"/>
      <c r="JZ94" s="552"/>
      <c r="KA94" s="552"/>
      <c r="KB94" s="552"/>
      <c r="KC94" s="552"/>
      <c r="KD94" s="552"/>
      <c r="KE94" s="552"/>
      <c r="KF94" s="552"/>
      <c r="KG94" s="552"/>
      <c r="KH94" s="552"/>
      <c r="KI94" s="552"/>
      <c r="KJ94" s="552"/>
      <c r="KK94" s="552"/>
      <c r="KL94" s="552"/>
      <c r="KM94" s="552"/>
      <c r="KN94" s="552"/>
      <c r="KO94" s="552"/>
      <c r="KP94" s="552"/>
      <c r="KQ94" s="552"/>
      <c r="KR94" s="155"/>
      <c r="KS94" s="155"/>
      <c r="KV94" s="1120"/>
      <c r="KW94" s="1120"/>
      <c r="KX94" s="1120"/>
      <c r="KY94" s="1120"/>
      <c r="KZ94" s="1120"/>
      <c r="LA94" s="1120"/>
      <c r="LB94" s="1120"/>
      <c r="LC94" s="1120"/>
      <c r="LD94" s="1120"/>
      <c r="LE94" s="1120"/>
      <c r="LF94" s="1120"/>
      <c r="LG94" s="1120"/>
      <c r="LH94" s="1120"/>
      <c r="LI94" s="1120"/>
      <c r="LJ94" s="1120"/>
      <c r="LK94" s="1120"/>
      <c r="LL94" s="1120"/>
      <c r="LM94" s="1120"/>
      <c r="LN94" s="1120"/>
      <c r="LO94" s="1120"/>
      <c r="LP94" s="1120"/>
      <c r="LQ94" s="1120"/>
      <c r="LR94" s="1120"/>
      <c r="LS94" s="1120"/>
      <c r="LT94" s="1120"/>
      <c r="LV94" s="1122"/>
      <c r="LW94" s="1122"/>
      <c r="LX94" s="1122"/>
      <c r="LY94" s="1122"/>
      <c r="MA94" s="1122"/>
      <c r="MB94" s="1122"/>
      <c r="MC94" s="1122"/>
      <c r="MD94" s="1122"/>
      <c r="ME94" s="1122"/>
      <c r="MF94" s="1122"/>
      <c r="MG94" s="1122"/>
      <c r="MH94" s="1122"/>
      <c r="MI94" s="1122"/>
      <c r="MK94" s="1122"/>
      <c r="ML94" s="1122"/>
      <c r="MM94" s="1122"/>
      <c r="MN94" s="1122"/>
      <c r="MO94" s="1122"/>
      <c r="NP94" s="155"/>
      <c r="NQ94" s="155"/>
      <c r="QN94" s="155"/>
      <c r="QO94" s="155"/>
      <c r="TL94" s="155"/>
    </row>
    <row r="95" spans="1:532" ht="6.75" customHeight="1" thickBot="1" x14ac:dyDescent="0.3">
      <c r="A95" s="155"/>
      <c r="B95" s="512"/>
      <c r="C95" s="1192"/>
      <c r="D95" s="1193"/>
      <c r="E95" s="1193"/>
      <c r="F95" s="1193"/>
      <c r="G95" s="1193"/>
      <c r="H95" s="1193"/>
      <c r="I95" s="1193"/>
      <c r="J95" s="1193"/>
      <c r="K95" s="1193"/>
      <c r="L95" s="1193"/>
      <c r="M95" s="1193"/>
      <c r="N95" s="1193"/>
      <c r="O95" s="1193"/>
      <c r="P95" s="1193"/>
      <c r="Q95" s="1193"/>
      <c r="R95" s="1193"/>
      <c r="S95" s="1193"/>
      <c r="T95" s="1193"/>
      <c r="U95" s="1193"/>
      <c r="V95" s="1193"/>
      <c r="W95" s="1193"/>
      <c r="X95" s="1193"/>
      <c r="Y95" s="1193"/>
      <c r="Z95" s="1193"/>
      <c r="AA95" s="1193"/>
      <c r="AB95" s="1193"/>
      <c r="AC95" s="1193"/>
      <c r="AD95" s="1193"/>
      <c r="AE95" s="1193"/>
      <c r="AF95" s="1193"/>
      <c r="AG95" s="1193"/>
      <c r="AH95" s="1193"/>
      <c r="AI95" s="1193"/>
      <c r="AJ95" s="1193"/>
      <c r="AK95" s="1193"/>
      <c r="AL95" s="1194"/>
      <c r="AM95" s="508"/>
      <c r="AN95" s="508"/>
      <c r="AO95" s="1186"/>
      <c r="AP95" s="1187"/>
      <c r="AQ95" s="1187"/>
      <c r="AR95" s="1187"/>
      <c r="AS95" s="1187"/>
      <c r="AT95" s="1187"/>
      <c r="AU95" s="1187"/>
      <c r="AV95" s="1187"/>
      <c r="AW95" s="1187"/>
      <c r="AX95" s="1187"/>
      <c r="AY95" s="1187"/>
      <c r="AZ95" s="1187"/>
      <c r="BA95" s="1187"/>
      <c r="BB95" s="1187"/>
      <c r="BC95" s="1187"/>
      <c r="BD95" s="1187"/>
      <c r="BE95" s="1187"/>
      <c r="BF95" s="1187"/>
      <c r="BG95" s="1187"/>
      <c r="BH95" s="1187"/>
      <c r="BI95" s="1187"/>
      <c r="BJ95" s="1187"/>
      <c r="BK95" s="1187"/>
      <c r="BL95" s="1187"/>
      <c r="BM95" s="1187"/>
      <c r="BN95" s="1187"/>
      <c r="BO95" s="1187"/>
      <c r="BP95" s="1187"/>
      <c r="BQ95" s="1187"/>
      <c r="BR95" s="1187"/>
      <c r="BS95" s="1187"/>
      <c r="BT95" s="1187"/>
      <c r="BU95" s="1187"/>
      <c r="BV95" s="1188"/>
      <c r="BW95" s="513"/>
      <c r="BX95" s="155"/>
      <c r="BY95" s="155"/>
      <c r="BZ95" s="150"/>
      <c r="CA95" s="1134"/>
      <c r="CB95" s="1135"/>
      <c r="CC95" s="1135"/>
      <c r="CD95" s="1135"/>
      <c r="CE95" s="1135"/>
      <c r="CF95" s="1135"/>
      <c r="CG95" s="1135"/>
      <c r="CH95" s="1135"/>
      <c r="CI95" s="1135"/>
      <c r="CJ95" s="1135"/>
      <c r="CK95" s="1135"/>
      <c r="CL95" s="1135"/>
      <c r="CM95" s="1135"/>
      <c r="CN95" s="1135"/>
      <c r="CO95" s="1135"/>
      <c r="CP95" s="1135"/>
      <c r="CQ95" s="1135"/>
      <c r="CR95" s="1135"/>
      <c r="CS95" s="1135"/>
      <c r="CT95" s="1135"/>
      <c r="CU95" s="1135"/>
      <c r="CV95" s="1135"/>
      <c r="CW95" s="1135"/>
      <c r="CX95" s="1136"/>
      <c r="CZ95" s="1119"/>
      <c r="DA95" s="1119"/>
      <c r="DB95" s="1119"/>
      <c r="DC95" s="1119"/>
      <c r="DD95" s="1119"/>
      <c r="DE95" s="1119"/>
      <c r="DF95" s="1119"/>
      <c r="DG95" s="1119"/>
      <c r="DH95" s="1119"/>
      <c r="DI95" s="1119"/>
      <c r="DJ95" s="1119"/>
      <c r="DK95" s="1119"/>
      <c r="DL95" s="1119"/>
      <c r="DM95" s="1119"/>
      <c r="DN95" s="1119"/>
      <c r="DO95" s="1119"/>
      <c r="DP95" s="1119"/>
      <c r="DQ95" s="1119"/>
      <c r="DR95" s="1119"/>
      <c r="DS95" s="1119"/>
      <c r="DT95" s="1119"/>
      <c r="DU95" s="1119"/>
      <c r="DV95" s="1119"/>
      <c r="DW95" s="1119"/>
      <c r="DY95" s="1121"/>
      <c r="DZ95" s="1121"/>
      <c r="EA95" s="1121"/>
      <c r="EB95" s="1121"/>
      <c r="EC95" s="1121"/>
      <c r="ED95" s="1121"/>
      <c r="EE95" s="1121"/>
      <c r="EF95" s="1121"/>
      <c r="EG95" s="1121"/>
      <c r="EH95" s="1121"/>
      <c r="EI95" s="1121"/>
      <c r="EJ95" s="1121"/>
      <c r="EK95" s="1121"/>
      <c r="EL95" s="1121"/>
      <c r="EM95" s="1121"/>
      <c r="EN95" s="1121"/>
      <c r="EO95" s="1121"/>
      <c r="EP95" s="1121"/>
      <c r="EQ95" s="1121"/>
      <c r="ER95" s="1121"/>
      <c r="ES95" s="1121"/>
      <c r="ET95" s="1121"/>
      <c r="EU95" s="1121"/>
      <c r="EW95" s="155"/>
      <c r="EX95" s="552"/>
      <c r="EY95" s="552"/>
      <c r="EZ95" s="552"/>
      <c r="FA95" s="552"/>
      <c r="FB95" s="552"/>
      <c r="FC95" s="552"/>
      <c r="FD95" s="552"/>
      <c r="FE95" s="552"/>
      <c r="FF95" s="552"/>
      <c r="FG95" s="552"/>
      <c r="FH95" s="552"/>
      <c r="FI95" s="552"/>
      <c r="FJ95" s="552"/>
      <c r="FK95" s="552"/>
      <c r="FL95" s="552"/>
      <c r="FM95" s="552"/>
      <c r="FN95" s="552"/>
      <c r="FO95" s="552"/>
      <c r="FP95" s="552"/>
      <c r="FQ95" s="552"/>
      <c r="FR95" s="552"/>
      <c r="FS95" s="552"/>
      <c r="FT95" s="552"/>
      <c r="FU95" s="552"/>
      <c r="FV95" s="552"/>
      <c r="FW95" s="552"/>
      <c r="FX95" s="552"/>
      <c r="FY95" s="552"/>
      <c r="FZ95" s="552"/>
      <c r="GA95" s="552"/>
      <c r="GB95" s="552"/>
      <c r="GC95" s="552"/>
      <c r="GD95" s="552"/>
      <c r="GE95" s="552"/>
      <c r="GF95" s="552"/>
      <c r="GG95" s="552"/>
      <c r="GH95" s="552"/>
      <c r="GI95" s="552"/>
      <c r="GJ95" s="552"/>
      <c r="GK95" s="552"/>
      <c r="GL95" s="552"/>
      <c r="GM95" s="552"/>
      <c r="GN95" s="552"/>
      <c r="GO95" s="552"/>
      <c r="GP95" s="552"/>
      <c r="GQ95" s="552"/>
      <c r="GR95" s="552"/>
      <c r="GS95" s="552"/>
      <c r="GT95" s="552"/>
      <c r="GU95" s="552"/>
      <c r="GV95" s="552"/>
      <c r="GW95" s="552"/>
      <c r="GX95" s="552"/>
      <c r="GY95" s="552"/>
      <c r="GZ95" s="552"/>
      <c r="HA95" s="552"/>
      <c r="HB95" s="552"/>
      <c r="HC95" s="552"/>
      <c r="HD95" s="552"/>
      <c r="HE95" s="552"/>
      <c r="HF95" s="552"/>
      <c r="HG95" s="552"/>
      <c r="HH95" s="552"/>
      <c r="HI95" s="552"/>
      <c r="HJ95" s="552"/>
      <c r="HK95" s="552"/>
      <c r="HL95" s="552"/>
      <c r="HM95" s="552"/>
      <c r="HN95" s="552"/>
      <c r="HO95" s="552"/>
      <c r="HP95" s="552"/>
      <c r="HQ95" s="552"/>
      <c r="HR95" s="552"/>
      <c r="HS95" s="552"/>
      <c r="HT95" s="155"/>
      <c r="HU95" s="155"/>
      <c r="HV95" s="552"/>
      <c r="HW95" s="552"/>
      <c r="HX95" s="552"/>
      <c r="HY95" s="552"/>
      <c r="HZ95" s="552"/>
      <c r="IA95" s="552"/>
      <c r="IB95" s="552"/>
      <c r="IC95" s="552"/>
      <c r="ID95" s="552"/>
      <c r="IE95" s="552"/>
      <c r="IF95" s="552"/>
      <c r="IG95" s="552"/>
      <c r="IH95" s="552"/>
      <c r="II95" s="552"/>
      <c r="IJ95" s="552"/>
      <c r="IK95" s="552"/>
      <c r="IL95" s="552"/>
      <c r="IM95" s="552"/>
      <c r="IN95" s="552"/>
      <c r="IO95" s="552"/>
      <c r="IP95" s="552"/>
      <c r="IQ95" s="552"/>
      <c r="IR95" s="552"/>
      <c r="IS95" s="552"/>
      <c r="IT95" s="552"/>
      <c r="IU95" s="552"/>
      <c r="IV95" s="552"/>
      <c r="IW95" s="552"/>
      <c r="IX95" s="552"/>
      <c r="IY95" s="552"/>
      <c r="IZ95" s="552"/>
      <c r="JA95" s="552"/>
      <c r="JB95" s="552"/>
      <c r="JC95" s="552"/>
      <c r="JD95" s="552"/>
      <c r="JE95" s="552"/>
      <c r="JF95" s="552"/>
      <c r="JG95" s="552"/>
      <c r="JH95" s="552"/>
      <c r="JI95" s="552"/>
      <c r="JJ95" s="552"/>
      <c r="JK95" s="552"/>
      <c r="JL95" s="552"/>
      <c r="JM95" s="552"/>
      <c r="JN95" s="552"/>
      <c r="JO95" s="552"/>
      <c r="JP95" s="552"/>
      <c r="JQ95" s="552"/>
      <c r="JR95" s="552"/>
      <c r="JS95" s="552"/>
      <c r="JT95" s="552"/>
      <c r="JU95" s="552"/>
      <c r="JV95" s="552"/>
      <c r="JW95" s="552"/>
      <c r="JX95" s="552"/>
      <c r="JY95" s="552"/>
      <c r="JZ95" s="552"/>
      <c r="KA95" s="552"/>
      <c r="KB95" s="552"/>
      <c r="KC95" s="552"/>
      <c r="KD95" s="552"/>
      <c r="KE95" s="552"/>
      <c r="KF95" s="552"/>
      <c r="KG95" s="552"/>
      <c r="KH95" s="552"/>
      <c r="KI95" s="552"/>
      <c r="KJ95" s="552"/>
      <c r="KK95" s="552"/>
      <c r="KL95" s="552"/>
      <c r="KM95" s="552"/>
      <c r="KN95" s="552"/>
      <c r="KO95" s="552"/>
      <c r="KP95" s="552"/>
      <c r="KQ95" s="552"/>
      <c r="KR95" s="155"/>
      <c r="KS95" s="155"/>
      <c r="KV95" s="1121"/>
      <c r="KW95" s="1121"/>
      <c r="KX95" s="1121"/>
      <c r="KY95" s="1121"/>
      <c r="KZ95" s="1121"/>
      <c r="LA95" s="1121"/>
      <c r="LB95" s="1121"/>
      <c r="LC95" s="1121"/>
      <c r="LD95" s="1121"/>
      <c r="LE95" s="1121"/>
      <c r="LF95" s="1121"/>
      <c r="LG95" s="1121"/>
      <c r="LH95" s="1121"/>
      <c r="LI95" s="1121"/>
      <c r="LJ95" s="1121"/>
      <c r="LK95" s="1121"/>
      <c r="LL95" s="1121"/>
      <c r="LM95" s="1121"/>
      <c r="LN95" s="1121"/>
      <c r="LO95" s="1121"/>
      <c r="LP95" s="1121"/>
      <c r="LQ95" s="1121"/>
      <c r="LR95" s="1121"/>
      <c r="LS95" s="1121"/>
      <c r="LT95" s="1121"/>
      <c r="LV95" s="1123"/>
      <c r="LW95" s="1123"/>
      <c r="LX95" s="1123"/>
      <c r="LY95" s="1123"/>
      <c r="MA95" s="1123"/>
      <c r="MB95" s="1123"/>
      <c r="MC95" s="1123"/>
      <c r="MD95" s="1123"/>
      <c r="ME95" s="1123"/>
      <c r="MF95" s="1123"/>
      <c r="MG95" s="1123"/>
      <c r="MH95" s="1123"/>
      <c r="MI95" s="1123"/>
      <c r="MK95" s="1123"/>
      <c r="ML95" s="1123"/>
      <c r="MM95" s="1123"/>
      <c r="MN95" s="1123"/>
      <c r="MO95" s="1123"/>
      <c r="NP95" s="155"/>
      <c r="NQ95" s="155"/>
      <c r="QN95" s="155"/>
      <c r="QO95" s="155"/>
      <c r="TL95" s="155"/>
    </row>
    <row r="96" spans="1:532" ht="6.75" customHeight="1" x14ac:dyDescent="0.25">
      <c r="A96" s="155"/>
      <c r="B96" s="512"/>
      <c r="C96" s="1192"/>
      <c r="D96" s="1193"/>
      <c r="E96" s="1193"/>
      <c r="F96" s="1193"/>
      <c r="G96" s="1193"/>
      <c r="H96" s="1193"/>
      <c r="I96" s="1193"/>
      <c r="J96" s="1193"/>
      <c r="K96" s="1193"/>
      <c r="L96" s="1193"/>
      <c r="M96" s="1193"/>
      <c r="N96" s="1193"/>
      <c r="O96" s="1193"/>
      <c r="P96" s="1193"/>
      <c r="Q96" s="1193"/>
      <c r="R96" s="1193"/>
      <c r="S96" s="1193"/>
      <c r="T96" s="1193"/>
      <c r="U96" s="1193"/>
      <c r="V96" s="1193"/>
      <c r="W96" s="1193"/>
      <c r="X96" s="1193"/>
      <c r="Y96" s="1193"/>
      <c r="Z96" s="1193"/>
      <c r="AA96" s="1193"/>
      <c r="AB96" s="1193"/>
      <c r="AC96" s="1193"/>
      <c r="AD96" s="1193"/>
      <c r="AE96" s="1193"/>
      <c r="AF96" s="1193"/>
      <c r="AG96" s="1193"/>
      <c r="AH96" s="1193"/>
      <c r="AI96" s="1193"/>
      <c r="AJ96" s="1193"/>
      <c r="AK96" s="1193"/>
      <c r="AL96" s="1194"/>
      <c r="AM96" s="508"/>
      <c r="AN96" s="508"/>
      <c r="AO96" s="1174" t="s">
        <v>4119</v>
      </c>
      <c r="AP96" s="1175"/>
      <c r="AQ96" s="1175"/>
      <c r="AR96" s="1175"/>
      <c r="AS96" s="1175"/>
      <c r="AT96" s="1175"/>
      <c r="AU96" s="1175"/>
      <c r="AV96" s="1175"/>
      <c r="AW96" s="1175"/>
      <c r="AX96" s="1175"/>
      <c r="AY96" s="1175"/>
      <c r="AZ96" s="1175"/>
      <c r="BA96" s="1175"/>
      <c r="BB96" s="1175"/>
      <c r="BC96" s="1175"/>
      <c r="BD96" s="1176"/>
      <c r="BE96" s="508"/>
      <c r="BF96" s="508"/>
      <c r="BG96" s="508"/>
      <c r="BH96" s="508"/>
      <c r="BI96" s="508"/>
      <c r="BJ96" s="508"/>
      <c r="BK96" s="508"/>
      <c r="BL96" s="508"/>
      <c r="BM96" s="508"/>
      <c r="BN96" s="508"/>
      <c r="BO96" s="508"/>
      <c r="BP96" s="508"/>
      <c r="BQ96" s="508"/>
      <c r="BR96" s="508"/>
      <c r="BS96" s="508"/>
      <c r="BT96" s="508"/>
      <c r="BU96" s="508"/>
      <c r="BV96" s="508"/>
      <c r="BW96" s="513"/>
      <c r="BX96" s="155"/>
      <c r="BY96" s="155"/>
      <c r="BZ96" s="150"/>
      <c r="CA96" s="1233" t="str">
        <f>CHAR(10)&amp;FeatsOutput</f>
        <v xml:space="preserve">
Dual Wielder
War Caster
Ability Score Improvement
Ability Score Improvement
Ability Score Improvement
Ability Score Improvement
Ability Score Improvement
</v>
      </c>
      <c r="CB96" s="1233"/>
      <c r="CC96" s="1233"/>
      <c r="CD96" s="1233"/>
      <c r="CE96" s="1233"/>
      <c r="CF96" s="1233"/>
      <c r="CG96" s="1233"/>
      <c r="CH96" s="1233"/>
      <c r="CI96" s="1233"/>
      <c r="CJ96" s="1233"/>
      <c r="CK96" s="1233"/>
      <c r="CL96" s="1233"/>
      <c r="CM96" s="1233"/>
      <c r="CN96" s="1233"/>
      <c r="CO96" s="1233"/>
      <c r="CP96" s="1233"/>
      <c r="CQ96" s="1233"/>
      <c r="CR96" s="1233"/>
      <c r="CS96" s="1233"/>
      <c r="CT96" s="1233"/>
      <c r="CU96" s="1233"/>
      <c r="CV96" s="1233"/>
      <c r="CW96" s="1233"/>
      <c r="CX96" s="1233"/>
      <c r="CZ96" s="1119"/>
      <c r="DA96" s="1119"/>
      <c r="DB96" s="1119"/>
      <c r="DC96" s="1119"/>
      <c r="DD96" s="1119"/>
      <c r="DE96" s="1119"/>
      <c r="DF96" s="1119"/>
      <c r="DG96" s="1119"/>
      <c r="DH96" s="1119"/>
      <c r="DI96" s="1119"/>
      <c r="DJ96" s="1119"/>
      <c r="DK96" s="1119"/>
      <c r="DL96" s="1119"/>
      <c r="DM96" s="1119"/>
      <c r="DN96" s="1119"/>
      <c r="DO96" s="1119"/>
      <c r="DP96" s="1119"/>
      <c r="DQ96" s="1119"/>
      <c r="DR96" s="1119"/>
      <c r="DS96" s="1119"/>
      <c r="DT96" s="1119"/>
      <c r="DU96" s="1119"/>
      <c r="DV96" s="1119"/>
      <c r="DW96" s="1119"/>
      <c r="DY96" s="1120"/>
      <c r="DZ96" s="1120"/>
      <c r="EA96" s="1120"/>
      <c r="EB96" s="1120"/>
      <c r="EC96" s="1120"/>
      <c r="ED96" s="1120"/>
      <c r="EE96" s="1120"/>
      <c r="EF96" s="1120"/>
      <c r="EG96" s="1120"/>
      <c r="EH96" s="1120"/>
      <c r="EI96" s="1120"/>
      <c r="EJ96" s="1120"/>
      <c r="EK96" s="1120"/>
      <c r="EL96" s="1120"/>
      <c r="EM96" s="1120"/>
      <c r="EN96" s="1120"/>
      <c r="EO96" s="1120"/>
      <c r="EP96" s="1120"/>
      <c r="EQ96" s="1120"/>
      <c r="ER96" s="1120"/>
      <c r="ES96" s="1120"/>
      <c r="ET96" s="1120"/>
      <c r="EU96" s="1120"/>
      <c r="EW96" s="155"/>
      <c r="EX96" s="552"/>
      <c r="EY96" s="552"/>
      <c r="EZ96" s="552"/>
      <c r="FA96" s="552"/>
      <c r="FB96" s="552"/>
      <c r="FC96" s="552"/>
      <c r="FD96" s="552"/>
      <c r="FE96" s="552"/>
      <c r="FF96" s="552"/>
      <c r="FG96" s="552"/>
      <c r="FH96" s="552"/>
      <c r="FI96" s="552"/>
      <c r="FJ96" s="552"/>
      <c r="FK96" s="552"/>
      <c r="FL96" s="552"/>
      <c r="FM96" s="552"/>
      <c r="FN96" s="552"/>
      <c r="FO96" s="552"/>
      <c r="FP96" s="552"/>
      <c r="FQ96" s="552"/>
      <c r="FR96" s="552"/>
      <c r="FS96" s="552"/>
      <c r="FT96" s="552"/>
      <c r="FU96" s="552"/>
      <c r="FV96" s="552"/>
      <c r="FW96" s="552"/>
      <c r="FX96" s="552"/>
      <c r="FY96" s="552"/>
      <c r="FZ96" s="552"/>
      <c r="GA96" s="552"/>
      <c r="GB96" s="552"/>
      <c r="GC96" s="552"/>
      <c r="GD96" s="552"/>
      <c r="GE96" s="552"/>
      <c r="GF96" s="552"/>
      <c r="GG96" s="552"/>
      <c r="GH96" s="552"/>
      <c r="GI96" s="552"/>
      <c r="GJ96" s="552"/>
      <c r="GK96" s="552"/>
      <c r="GL96" s="552"/>
      <c r="GM96" s="552"/>
      <c r="GN96" s="552"/>
      <c r="GO96" s="552"/>
      <c r="GP96" s="552"/>
      <c r="GQ96" s="552"/>
      <c r="GR96" s="552"/>
      <c r="GS96" s="552"/>
      <c r="GT96" s="552"/>
      <c r="GU96" s="552"/>
      <c r="GV96" s="552"/>
      <c r="GW96" s="552"/>
      <c r="GX96" s="552"/>
      <c r="GY96" s="552"/>
      <c r="GZ96" s="552"/>
      <c r="HA96" s="552"/>
      <c r="HB96" s="552"/>
      <c r="HC96" s="552"/>
      <c r="HD96" s="552"/>
      <c r="HE96" s="552"/>
      <c r="HF96" s="552"/>
      <c r="HG96" s="552"/>
      <c r="HH96" s="552"/>
      <c r="HI96" s="552"/>
      <c r="HJ96" s="552"/>
      <c r="HK96" s="552"/>
      <c r="HL96" s="552"/>
      <c r="HM96" s="552"/>
      <c r="HN96" s="552"/>
      <c r="HO96" s="552"/>
      <c r="HP96" s="552"/>
      <c r="HQ96" s="552"/>
      <c r="HR96" s="552"/>
      <c r="HS96" s="552"/>
      <c r="HT96" s="155"/>
      <c r="HU96" s="155"/>
      <c r="HV96" s="552"/>
      <c r="HW96" s="552"/>
      <c r="HX96" s="552"/>
      <c r="HY96" s="552"/>
      <c r="HZ96" s="552"/>
      <c r="IA96" s="552"/>
      <c r="IB96" s="552"/>
      <c r="IC96" s="552"/>
      <c r="ID96" s="552"/>
      <c r="IE96" s="552"/>
      <c r="IF96" s="552"/>
      <c r="IG96" s="552"/>
      <c r="IH96" s="552"/>
      <c r="II96" s="552"/>
      <c r="IJ96" s="552"/>
      <c r="IK96" s="552"/>
      <c r="IL96" s="552"/>
      <c r="IM96" s="552"/>
      <c r="IN96" s="552"/>
      <c r="IO96" s="552"/>
      <c r="IP96" s="552"/>
      <c r="IQ96" s="552"/>
      <c r="IR96" s="552"/>
      <c r="IS96" s="552"/>
      <c r="IT96" s="552"/>
      <c r="IU96" s="552"/>
      <c r="IV96" s="552"/>
      <c r="IW96" s="552"/>
      <c r="IX96" s="552"/>
      <c r="IY96" s="552"/>
      <c r="IZ96" s="552"/>
      <c r="JA96" s="552"/>
      <c r="JB96" s="552"/>
      <c r="JC96" s="552"/>
      <c r="JD96" s="552"/>
      <c r="JE96" s="552"/>
      <c r="JF96" s="552"/>
      <c r="JG96" s="552"/>
      <c r="JH96" s="552"/>
      <c r="JI96" s="552"/>
      <c r="JJ96" s="552"/>
      <c r="JK96" s="552"/>
      <c r="JL96" s="552"/>
      <c r="JM96" s="552"/>
      <c r="JN96" s="552"/>
      <c r="JO96" s="552"/>
      <c r="JP96" s="552"/>
      <c r="JQ96" s="552"/>
      <c r="JR96" s="552"/>
      <c r="JS96" s="552"/>
      <c r="JT96" s="552"/>
      <c r="JU96" s="552"/>
      <c r="JV96" s="552"/>
      <c r="JW96" s="552"/>
      <c r="JX96" s="552"/>
      <c r="JY96" s="552"/>
      <c r="JZ96" s="552"/>
      <c r="KA96" s="552"/>
      <c r="KB96" s="552"/>
      <c r="KC96" s="552"/>
      <c r="KD96" s="552"/>
      <c r="KE96" s="552"/>
      <c r="KF96" s="552"/>
      <c r="KG96" s="552"/>
      <c r="KH96" s="552"/>
      <c r="KI96" s="552"/>
      <c r="KJ96" s="552"/>
      <c r="KK96" s="552"/>
      <c r="KL96" s="552"/>
      <c r="KM96" s="552"/>
      <c r="KN96" s="552"/>
      <c r="KO96" s="552"/>
      <c r="KP96" s="552"/>
      <c r="KQ96" s="552"/>
      <c r="KR96" s="155"/>
      <c r="KS96" s="155"/>
      <c r="NP96" s="155"/>
      <c r="NQ96" s="155"/>
      <c r="QN96" s="155"/>
      <c r="QO96" s="155"/>
      <c r="TL96" s="155"/>
    </row>
    <row r="97" spans="1:532" ht="6.75" customHeight="1" thickBot="1" x14ac:dyDescent="0.3">
      <c r="A97" s="155"/>
      <c r="B97" s="512"/>
      <c r="C97" s="1192"/>
      <c r="D97" s="1193"/>
      <c r="E97" s="1193"/>
      <c r="F97" s="1193"/>
      <c r="G97" s="1193"/>
      <c r="H97" s="1193"/>
      <c r="I97" s="1193"/>
      <c r="J97" s="1193"/>
      <c r="K97" s="1193"/>
      <c r="L97" s="1193"/>
      <c r="M97" s="1193"/>
      <c r="N97" s="1193"/>
      <c r="O97" s="1193"/>
      <c r="P97" s="1193"/>
      <c r="Q97" s="1193"/>
      <c r="R97" s="1193"/>
      <c r="S97" s="1193"/>
      <c r="T97" s="1193"/>
      <c r="U97" s="1193"/>
      <c r="V97" s="1193"/>
      <c r="W97" s="1193"/>
      <c r="X97" s="1193"/>
      <c r="Y97" s="1193"/>
      <c r="Z97" s="1193"/>
      <c r="AA97" s="1193"/>
      <c r="AB97" s="1193"/>
      <c r="AC97" s="1193"/>
      <c r="AD97" s="1193"/>
      <c r="AE97" s="1193"/>
      <c r="AF97" s="1193"/>
      <c r="AG97" s="1193"/>
      <c r="AH97" s="1193"/>
      <c r="AI97" s="1193"/>
      <c r="AJ97" s="1193"/>
      <c r="AK97" s="1193"/>
      <c r="AL97" s="1194"/>
      <c r="AM97" s="508"/>
      <c r="AN97" s="508"/>
      <c r="AO97" s="1177"/>
      <c r="AP97" s="1178"/>
      <c r="AQ97" s="1178"/>
      <c r="AR97" s="1178"/>
      <c r="AS97" s="1178"/>
      <c r="AT97" s="1178"/>
      <c r="AU97" s="1178"/>
      <c r="AV97" s="1178"/>
      <c r="AW97" s="1178"/>
      <c r="AX97" s="1178"/>
      <c r="AY97" s="1178"/>
      <c r="AZ97" s="1178"/>
      <c r="BA97" s="1178"/>
      <c r="BB97" s="1178"/>
      <c r="BC97" s="1178"/>
      <c r="BD97" s="1179"/>
      <c r="BE97" s="508"/>
      <c r="BF97" s="508"/>
      <c r="BG97" s="508"/>
      <c r="BH97" s="508"/>
      <c r="BI97" s="508"/>
      <c r="BJ97" s="508"/>
      <c r="BK97" s="508"/>
      <c r="BL97" s="508"/>
      <c r="BM97" s="508"/>
      <c r="BN97" s="508"/>
      <c r="BO97" s="508"/>
      <c r="BP97" s="508"/>
      <c r="BQ97" s="508"/>
      <c r="BR97" s="508"/>
      <c r="BS97" s="508"/>
      <c r="BT97" s="508"/>
      <c r="BU97" s="508"/>
      <c r="BV97" s="508"/>
      <c r="BW97" s="513"/>
      <c r="BX97" s="155"/>
      <c r="BY97" s="155"/>
      <c r="BZ97" s="150"/>
      <c r="CA97" s="1234"/>
      <c r="CB97" s="1234"/>
      <c r="CC97" s="1234"/>
      <c r="CD97" s="1234"/>
      <c r="CE97" s="1234"/>
      <c r="CF97" s="1234"/>
      <c r="CG97" s="1234"/>
      <c r="CH97" s="1234"/>
      <c r="CI97" s="1234"/>
      <c r="CJ97" s="1234"/>
      <c r="CK97" s="1234"/>
      <c r="CL97" s="1234"/>
      <c r="CM97" s="1234"/>
      <c r="CN97" s="1234"/>
      <c r="CO97" s="1234"/>
      <c r="CP97" s="1234"/>
      <c r="CQ97" s="1234"/>
      <c r="CR97" s="1234"/>
      <c r="CS97" s="1234"/>
      <c r="CT97" s="1234"/>
      <c r="CU97" s="1234"/>
      <c r="CV97" s="1234"/>
      <c r="CW97" s="1234"/>
      <c r="CX97" s="1234"/>
      <c r="CZ97" s="1119"/>
      <c r="DA97" s="1119"/>
      <c r="DB97" s="1119"/>
      <c r="DC97" s="1119"/>
      <c r="DD97" s="1119"/>
      <c r="DE97" s="1119"/>
      <c r="DF97" s="1119"/>
      <c r="DG97" s="1119"/>
      <c r="DH97" s="1119"/>
      <c r="DI97" s="1119"/>
      <c r="DJ97" s="1119"/>
      <c r="DK97" s="1119"/>
      <c r="DL97" s="1119"/>
      <c r="DM97" s="1119"/>
      <c r="DN97" s="1119"/>
      <c r="DO97" s="1119"/>
      <c r="DP97" s="1119"/>
      <c r="DQ97" s="1119"/>
      <c r="DR97" s="1119"/>
      <c r="DS97" s="1119"/>
      <c r="DT97" s="1119"/>
      <c r="DU97" s="1119"/>
      <c r="DV97" s="1119"/>
      <c r="DW97" s="1119"/>
      <c r="DY97" s="1121"/>
      <c r="DZ97" s="1121"/>
      <c r="EA97" s="1121"/>
      <c r="EB97" s="1121"/>
      <c r="EC97" s="1121"/>
      <c r="ED97" s="1121"/>
      <c r="EE97" s="1121"/>
      <c r="EF97" s="1121"/>
      <c r="EG97" s="1121"/>
      <c r="EH97" s="1121"/>
      <c r="EI97" s="1121"/>
      <c r="EJ97" s="1121"/>
      <c r="EK97" s="1121"/>
      <c r="EL97" s="1121"/>
      <c r="EM97" s="1121"/>
      <c r="EN97" s="1121"/>
      <c r="EO97" s="1121"/>
      <c r="EP97" s="1121"/>
      <c r="EQ97" s="1121"/>
      <c r="ER97" s="1121"/>
      <c r="ES97" s="1121"/>
      <c r="ET97" s="1121"/>
      <c r="EU97" s="1121"/>
      <c r="EW97" s="155"/>
      <c r="EX97" s="552"/>
      <c r="EY97" s="552"/>
      <c r="EZ97" s="552"/>
      <c r="FA97" s="552"/>
      <c r="FB97" s="552"/>
      <c r="FC97" s="552"/>
      <c r="FD97" s="552"/>
      <c r="FE97" s="552"/>
      <c r="FF97" s="552"/>
      <c r="FG97" s="552"/>
      <c r="FH97" s="552"/>
      <c r="FI97" s="552"/>
      <c r="FJ97" s="552"/>
      <c r="FK97" s="552"/>
      <c r="FL97" s="552"/>
      <c r="FM97" s="552"/>
      <c r="FN97" s="552"/>
      <c r="FO97" s="552"/>
      <c r="FP97" s="552"/>
      <c r="FQ97" s="552"/>
      <c r="FR97" s="552"/>
      <c r="FS97" s="552"/>
      <c r="FT97" s="552"/>
      <c r="FU97" s="552"/>
      <c r="FV97" s="552"/>
      <c r="FW97" s="552"/>
      <c r="FX97" s="552"/>
      <c r="FY97" s="552"/>
      <c r="FZ97" s="552"/>
      <c r="GA97" s="552"/>
      <c r="GB97" s="552"/>
      <c r="GC97" s="552"/>
      <c r="GD97" s="552"/>
      <c r="GE97" s="552"/>
      <c r="GF97" s="552"/>
      <c r="GG97" s="552"/>
      <c r="GH97" s="552"/>
      <c r="GI97" s="552"/>
      <c r="GJ97" s="552"/>
      <c r="GK97" s="552"/>
      <c r="GL97" s="552"/>
      <c r="GM97" s="552"/>
      <c r="GN97" s="552"/>
      <c r="GO97" s="552"/>
      <c r="GP97" s="552"/>
      <c r="GQ97" s="552"/>
      <c r="GR97" s="552"/>
      <c r="GS97" s="552"/>
      <c r="GT97" s="552"/>
      <c r="GU97" s="552"/>
      <c r="GV97" s="552"/>
      <c r="GW97" s="552"/>
      <c r="GX97" s="552"/>
      <c r="GY97" s="552"/>
      <c r="GZ97" s="552"/>
      <c r="HA97" s="552"/>
      <c r="HB97" s="552"/>
      <c r="HC97" s="552"/>
      <c r="HD97" s="552"/>
      <c r="HE97" s="552"/>
      <c r="HF97" s="552"/>
      <c r="HG97" s="552"/>
      <c r="HH97" s="552"/>
      <c r="HI97" s="552"/>
      <c r="HJ97" s="552"/>
      <c r="HK97" s="552"/>
      <c r="HL97" s="552"/>
      <c r="HM97" s="552"/>
      <c r="HN97" s="552"/>
      <c r="HO97" s="552"/>
      <c r="HP97" s="552"/>
      <c r="HQ97" s="552"/>
      <c r="HR97" s="552"/>
      <c r="HS97" s="552"/>
      <c r="HT97" s="155"/>
      <c r="HU97" s="155"/>
      <c r="HV97" s="552"/>
      <c r="HW97" s="552"/>
      <c r="HX97" s="552"/>
      <c r="HY97" s="552"/>
      <c r="HZ97" s="552"/>
      <c r="IA97" s="552"/>
      <c r="IB97" s="552"/>
      <c r="IC97" s="552"/>
      <c r="ID97" s="552"/>
      <c r="IE97" s="552"/>
      <c r="IF97" s="552"/>
      <c r="IG97" s="552"/>
      <c r="IH97" s="552"/>
      <c r="II97" s="552"/>
      <c r="IJ97" s="552"/>
      <c r="IK97" s="552"/>
      <c r="IL97" s="552"/>
      <c r="IM97" s="552"/>
      <c r="IN97" s="552"/>
      <c r="IO97" s="552"/>
      <c r="IP97" s="552"/>
      <c r="IQ97" s="552"/>
      <c r="IR97" s="552"/>
      <c r="IS97" s="552"/>
      <c r="IT97" s="552"/>
      <c r="IU97" s="552"/>
      <c r="IV97" s="552"/>
      <c r="IW97" s="552"/>
      <c r="IX97" s="552"/>
      <c r="IY97" s="552"/>
      <c r="IZ97" s="552"/>
      <c r="JA97" s="552"/>
      <c r="JB97" s="552"/>
      <c r="JC97" s="552"/>
      <c r="JD97" s="552"/>
      <c r="JE97" s="552"/>
      <c r="JF97" s="552"/>
      <c r="JG97" s="552"/>
      <c r="JH97" s="552"/>
      <c r="JI97" s="552"/>
      <c r="JJ97" s="552"/>
      <c r="JK97" s="552"/>
      <c r="JL97" s="552"/>
      <c r="JM97" s="552"/>
      <c r="JN97" s="552"/>
      <c r="JO97" s="552"/>
      <c r="JP97" s="552"/>
      <c r="JQ97" s="552"/>
      <c r="JR97" s="552"/>
      <c r="JS97" s="552"/>
      <c r="JT97" s="552"/>
      <c r="JU97" s="552"/>
      <c r="JV97" s="552"/>
      <c r="JW97" s="552"/>
      <c r="JX97" s="552"/>
      <c r="JY97" s="552"/>
      <c r="JZ97" s="552"/>
      <c r="KA97" s="552"/>
      <c r="KB97" s="552"/>
      <c r="KC97" s="552"/>
      <c r="KD97" s="552"/>
      <c r="KE97" s="552"/>
      <c r="KF97" s="552"/>
      <c r="KG97" s="552"/>
      <c r="KH97" s="552"/>
      <c r="KI97" s="552"/>
      <c r="KJ97" s="552"/>
      <c r="KK97" s="552"/>
      <c r="KL97" s="552"/>
      <c r="KM97" s="552"/>
      <c r="KN97" s="552"/>
      <c r="KO97" s="552"/>
      <c r="KP97" s="552"/>
      <c r="KQ97" s="552"/>
      <c r="KR97" s="155"/>
      <c r="KS97" s="155"/>
      <c r="MD97" s="1052" t="s">
        <v>6442</v>
      </c>
      <c r="ME97" s="1052"/>
      <c r="MF97" s="1052"/>
      <c r="MG97" s="1052"/>
      <c r="MH97" s="1052"/>
      <c r="MI97" s="1052"/>
      <c r="MJ97" s="1052"/>
      <c r="MK97" s="1052"/>
      <c r="ML97" s="1052"/>
      <c r="MM97" s="1052"/>
      <c r="MN97" s="1052"/>
      <c r="MO97" s="1052"/>
      <c r="NP97" s="155"/>
      <c r="NQ97" s="155"/>
      <c r="QN97" s="155"/>
      <c r="QO97" s="155"/>
      <c r="TL97" s="155"/>
    </row>
    <row r="98" spans="1:532" ht="6.75" customHeight="1" thickBot="1" x14ac:dyDescent="0.3">
      <c r="A98" s="155"/>
      <c r="B98" s="512"/>
      <c r="C98" s="1195"/>
      <c r="D98" s="1196"/>
      <c r="E98" s="1196"/>
      <c r="F98" s="1196"/>
      <c r="G98" s="1196"/>
      <c r="H98" s="1196"/>
      <c r="I98" s="1196"/>
      <c r="J98" s="1196"/>
      <c r="K98" s="1196"/>
      <c r="L98" s="1196"/>
      <c r="M98" s="1196"/>
      <c r="N98" s="1196"/>
      <c r="O98" s="1196"/>
      <c r="P98" s="1196"/>
      <c r="Q98" s="1196"/>
      <c r="R98" s="1196"/>
      <c r="S98" s="1196"/>
      <c r="T98" s="1196"/>
      <c r="U98" s="1196"/>
      <c r="V98" s="1196"/>
      <c r="W98" s="1196"/>
      <c r="X98" s="1196"/>
      <c r="Y98" s="1196"/>
      <c r="Z98" s="1196"/>
      <c r="AA98" s="1196"/>
      <c r="AB98" s="1196"/>
      <c r="AC98" s="1196"/>
      <c r="AD98" s="1196"/>
      <c r="AE98" s="1196"/>
      <c r="AF98" s="1196"/>
      <c r="AG98" s="1196"/>
      <c r="AH98" s="1196"/>
      <c r="AI98" s="1196"/>
      <c r="AJ98" s="1196"/>
      <c r="AK98" s="1196"/>
      <c r="AL98" s="1197"/>
      <c r="AM98" s="508"/>
      <c r="AN98" s="508"/>
      <c r="AO98" s="1189" t="str">
        <f>OutputLanguages</f>
        <v xml:space="preserve">Common, Draconic, Abyssal, Elvish, </v>
      </c>
      <c r="AP98" s="1190"/>
      <c r="AQ98" s="1190"/>
      <c r="AR98" s="1190"/>
      <c r="AS98" s="1190"/>
      <c r="AT98" s="1190"/>
      <c r="AU98" s="1190"/>
      <c r="AV98" s="1190"/>
      <c r="AW98" s="1190"/>
      <c r="AX98" s="1190"/>
      <c r="AY98" s="1190"/>
      <c r="AZ98" s="1190"/>
      <c r="BA98" s="1190"/>
      <c r="BB98" s="1190"/>
      <c r="BC98" s="1190"/>
      <c r="BD98" s="1190"/>
      <c r="BE98" s="1190"/>
      <c r="BF98" s="1190"/>
      <c r="BG98" s="1190"/>
      <c r="BH98" s="1190"/>
      <c r="BI98" s="1190"/>
      <c r="BJ98" s="1190"/>
      <c r="BK98" s="1190"/>
      <c r="BL98" s="1190"/>
      <c r="BM98" s="1190"/>
      <c r="BN98" s="1190"/>
      <c r="BO98" s="1190"/>
      <c r="BP98" s="1190"/>
      <c r="BQ98" s="1190"/>
      <c r="BR98" s="1190"/>
      <c r="BS98" s="1190"/>
      <c r="BT98" s="1190"/>
      <c r="BU98" s="1190"/>
      <c r="BV98" s="1191"/>
      <c r="BW98" s="513"/>
      <c r="BX98" s="155"/>
      <c r="BY98" s="155"/>
      <c r="BZ98" s="150"/>
      <c r="CA98" s="1234"/>
      <c r="CB98" s="1234"/>
      <c r="CC98" s="1234"/>
      <c r="CD98" s="1234"/>
      <c r="CE98" s="1234"/>
      <c r="CF98" s="1234"/>
      <c r="CG98" s="1234"/>
      <c r="CH98" s="1234"/>
      <c r="CI98" s="1234"/>
      <c r="CJ98" s="1234"/>
      <c r="CK98" s="1234"/>
      <c r="CL98" s="1234"/>
      <c r="CM98" s="1234"/>
      <c r="CN98" s="1234"/>
      <c r="CO98" s="1234"/>
      <c r="CP98" s="1234"/>
      <c r="CQ98" s="1234"/>
      <c r="CR98" s="1234"/>
      <c r="CS98" s="1234"/>
      <c r="CT98" s="1234"/>
      <c r="CU98" s="1234"/>
      <c r="CV98" s="1234"/>
      <c r="CW98" s="1234"/>
      <c r="CX98" s="1234"/>
      <c r="CZ98" s="1119"/>
      <c r="DA98" s="1119"/>
      <c r="DB98" s="1119"/>
      <c r="DC98" s="1119"/>
      <c r="DD98" s="1119"/>
      <c r="DE98" s="1119"/>
      <c r="DF98" s="1119"/>
      <c r="DG98" s="1119"/>
      <c r="DH98" s="1119"/>
      <c r="DI98" s="1119"/>
      <c r="DJ98" s="1119"/>
      <c r="DK98" s="1119"/>
      <c r="DL98" s="1119"/>
      <c r="DM98" s="1119"/>
      <c r="DN98" s="1119"/>
      <c r="DO98" s="1119"/>
      <c r="DP98" s="1119"/>
      <c r="DQ98" s="1119"/>
      <c r="DR98" s="1119"/>
      <c r="DS98" s="1119"/>
      <c r="DT98" s="1119"/>
      <c r="DU98" s="1119"/>
      <c r="DV98" s="1119"/>
      <c r="DW98" s="1119"/>
      <c r="DY98" s="1120"/>
      <c r="DZ98" s="1120"/>
      <c r="EA98" s="1120"/>
      <c r="EB98" s="1120"/>
      <c r="EC98" s="1120"/>
      <c r="ED98" s="1120"/>
      <c r="EE98" s="1120"/>
      <c r="EF98" s="1120"/>
      <c r="EG98" s="1120"/>
      <c r="EH98" s="1120"/>
      <c r="EI98" s="1120"/>
      <c r="EJ98" s="1120"/>
      <c r="EK98" s="1120"/>
      <c r="EL98" s="1120"/>
      <c r="EM98" s="1120"/>
      <c r="EN98" s="1120"/>
      <c r="EO98" s="1120"/>
      <c r="EP98" s="1120"/>
      <c r="EQ98" s="1120"/>
      <c r="ER98" s="1120"/>
      <c r="ES98" s="1120"/>
      <c r="ET98" s="1120"/>
      <c r="EU98" s="1120"/>
      <c r="EW98" s="155"/>
      <c r="EX98" s="552"/>
      <c r="EY98" s="552"/>
      <c r="EZ98" s="552"/>
      <c r="FA98" s="552"/>
      <c r="FB98" s="552"/>
      <c r="FC98" s="552"/>
      <c r="FD98" s="552"/>
      <c r="FE98" s="552"/>
      <c r="FF98" s="552"/>
      <c r="FG98" s="552"/>
      <c r="FH98" s="552"/>
      <c r="FI98" s="552"/>
      <c r="FJ98" s="552"/>
      <c r="FK98" s="552"/>
      <c r="FL98" s="552"/>
      <c r="FM98" s="552"/>
      <c r="FN98" s="552"/>
      <c r="FO98" s="552"/>
      <c r="FP98" s="552"/>
      <c r="FQ98" s="552"/>
      <c r="FR98" s="552"/>
      <c r="FS98" s="552"/>
      <c r="FT98" s="552"/>
      <c r="FU98" s="552"/>
      <c r="FV98" s="552"/>
      <c r="FW98" s="552"/>
      <c r="FX98" s="552"/>
      <c r="FY98" s="552"/>
      <c r="FZ98" s="552"/>
      <c r="GA98" s="552"/>
      <c r="GB98" s="552"/>
      <c r="GC98" s="552"/>
      <c r="GD98" s="552"/>
      <c r="GE98" s="552"/>
      <c r="GF98" s="552"/>
      <c r="GG98" s="552"/>
      <c r="GH98" s="552"/>
      <c r="GI98" s="552"/>
      <c r="GJ98" s="552"/>
      <c r="GK98" s="552"/>
      <c r="GL98" s="552"/>
      <c r="GM98" s="552"/>
      <c r="GN98" s="552"/>
      <c r="GO98" s="552"/>
      <c r="GP98" s="552"/>
      <c r="GQ98" s="552"/>
      <c r="GR98" s="552"/>
      <c r="GS98" s="552"/>
      <c r="GT98" s="552"/>
      <c r="GU98" s="552"/>
      <c r="GV98" s="552"/>
      <c r="GW98" s="552"/>
      <c r="GX98" s="552"/>
      <c r="GY98" s="552"/>
      <c r="GZ98" s="552"/>
      <c r="HA98" s="552"/>
      <c r="HB98" s="552"/>
      <c r="HC98" s="552"/>
      <c r="HD98" s="552"/>
      <c r="HE98" s="552"/>
      <c r="HF98" s="552"/>
      <c r="HG98" s="552"/>
      <c r="HH98" s="552"/>
      <c r="HI98" s="552"/>
      <c r="HJ98" s="552"/>
      <c r="HK98" s="552"/>
      <c r="HL98" s="552"/>
      <c r="HM98" s="552"/>
      <c r="HN98" s="552"/>
      <c r="HO98" s="552"/>
      <c r="HP98" s="552"/>
      <c r="HQ98" s="552"/>
      <c r="HR98" s="552"/>
      <c r="HS98" s="552"/>
      <c r="HT98" s="155"/>
      <c r="HU98" s="155"/>
      <c r="HV98" s="552"/>
      <c r="HW98" s="552"/>
      <c r="HX98" s="552"/>
      <c r="HY98" s="552"/>
      <c r="HZ98" s="552"/>
      <c r="IA98" s="552"/>
      <c r="IB98" s="552"/>
      <c r="IC98" s="552"/>
      <c r="ID98" s="552"/>
      <c r="IE98" s="552"/>
      <c r="IF98" s="552"/>
      <c r="IG98" s="552"/>
      <c r="IH98" s="552"/>
      <c r="II98" s="552"/>
      <c r="IJ98" s="552"/>
      <c r="IK98" s="552"/>
      <c r="IL98" s="552"/>
      <c r="IM98" s="552"/>
      <c r="IN98" s="552"/>
      <c r="IO98" s="552"/>
      <c r="IP98" s="552"/>
      <c r="IQ98" s="552"/>
      <c r="IR98" s="552"/>
      <c r="IS98" s="552"/>
      <c r="IT98" s="552"/>
      <c r="IU98" s="552"/>
      <c r="IV98" s="552"/>
      <c r="IW98" s="552"/>
      <c r="IX98" s="552"/>
      <c r="IY98" s="552"/>
      <c r="IZ98" s="552"/>
      <c r="JA98" s="552"/>
      <c r="JB98" s="552"/>
      <c r="JC98" s="552"/>
      <c r="JD98" s="552"/>
      <c r="JE98" s="552"/>
      <c r="JF98" s="552"/>
      <c r="JG98" s="552"/>
      <c r="JH98" s="552"/>
      <c r="JI98" s="552"/>
      <c r="JJ98" s="552"/>
      <c r="JK98" s="552"/>
      <c r="JL98" s="552"/>
      <c r="JM98" s="552"/>
      <c r="JN98" s="552"/>
      <c r="JO98" s="552"/>
      <c r="JP98" s="552"/>
      <c r="JQ98" s="552"/>
      <c r="JR98" s="552"/>
      <c r="JS98" s="552"/>
      <c r="JT98" s="552"/>
      <c r="JU98" s="552"/>
      <c r="JV98" s="552"/>
      <c r="JW98" s="552"/>
      <c r="JX98" s="552"/>
      <c r="JY98" s="552"/>
      <c r="JZ98" s="552"/>
      <c r="KA98" s="552"/>
      <c r="KB98" s="552"/>
      <c r="KC98" s="552"/>
      <c r="KD98" s="552"/>
      <c r="KE98" s="552"/>
      <c r="KF98" s="552"/>
      <c r="KG98" s="552"/>
      <c r="KH98" s="552"/>
      <c r="KI98" s="552"/>
      <c r="KJ98" s="552"/>
      <c r="KK98" s="552"/>
      <c r="KL98" s="552"/>
      <c r="KM98" s="552"/>
      <c r="KN98" s="552"/>
      <c r="KO98" s="552"/>
      <c r="KP98" s="552"/>
      <c r="KQ98" s="552"/>
      <c r="KR98" s="155"/>
      <c r="KS98" s="155"/>
      <c r="MD98" s="1052"/>
      <c r="ME98" s="1052"/>
      <c r="MF98" s="1052"/>
      <c r="MG98" s="1052"/>
      <c r="MH98" s="1052"/>
      <c r="MI98" s="1052"/>
      <c r="MJ98" s="1052"/>
      <c r="MK98" s="1052"/>
      <c r="ML98" s="1052"/>
      <c r="MM98" s="1052"/>
      <c r="MN98" s="1052"/>
      <c r="MO98" s="1052"/>
      <c r="NP98" s="155"/>
      <c r="NQ98" s="155"/>
      <c r="QN98" s="155"/>
      <c r="QO98" s="155"/>
      <c r="TL98" s="155"/>
    </row>
    <row r="99" spans="1:532" ht="6.75" customHeight="1" x14ac:dyDescent="0.25">
      <c r="A99" s="155"/>
      <c r="B99" s="512"/>
      <c r="C99" s="1174" t="s">
        <v>6261</v>
      </c>
      <c r="D99" s="1175"/>
      <c r="E99" s="1175"/>
      <c r="F99" s="1175"/>
      <c r="G99" s="1175"/>
      <c r="H99" s="1175"/>
      <c r="I99" s="1175"/>
      <c r="J99" s="1175"/>
      <c r="K99" s="1175"/>
      <c r="L99" s="1175"/>
      <c r="M99" s="1175"/>
      <c r="N99" s="1175"/>
      <c r="O99" s="1175"/>
      <c r="P99" s="1175"/>
      <c r="Q99" s="1175"/>
      <c r="R99" s="1176"/>
      <c r="S99" s="508"/>
      <c r="T99" s="508"/>
      <c r="U99" s="508"/>
      <c r="V99" s="508"/>
      <c r="W99" s="508"/>
      <c r="X99" s="508"/>
      <c r="Y99" s="508"/>
      <c r="Z99" s="508"/>
      <c r="AA99" s="508"/>
      <c r="AB99" s="508"/>
      <c r="AC99" s="508"/>
      <c r="AD99" s="508"/>
      <c r="AE99" s="508"/>
      <c r="AF99" s="508"/>
      <c r="AG99" s="508"/>
      <c r="AH99" s="508"/>
      <c r="AI99" s="508"/>
      <c r="AJ99" s="508"/>
      <c r="AK99" s="508"/>
      <c r="AL99" s="508"/>
      <c r="AM99" s="508"/>
      <c r="AN99" s="508"/>
      <c r="AO99" s="1192"/>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4"/>
      <c r="BW99" s="513"/>
      <c r="BX99" s="155"/>
      <c r="BY99" s="155"/>
      <c r="BZ99" s="150"/>
      <c r="CA99" s="1234"/>
      <c r="CB99" s="1234"/>
      <c r="CC99" s="1234"/>
      <c r="CD99" s="1234"/>
      <c r="CE99" s="1234"/>
      <c r="CF99" s="1234"/>
      <c r="CG99" s="1234"/>
      <c r="CH99" s="1234"/>
      <c r="CI99" s="1234"/>
      <c r="CJ99" s="1234"/>
      <c r="CK99" s="1234"/>
      <c r="CL99" s="1234"/>
      <c r="CM99" s="1234"/>
      <c r="CN99" s="1234"/>
      <c r="CO99" s="1234"/>
      <c r="CP99" s="1234"/>
      <c r="CQ99" s="1234"/>
      <c r="CR99" s="1234"/>
      <c r="CS99" s="1234"/>
      <c r="CT99" s="1234"/>
      <c r="CU99" s="1234"/>
      <c r="CV99" s="1234"/>
      <c r="CW99" s="1234"/>
      <c r="CX99" s="1234"/>
      <c r="CZ99" s="1119"/>
      <c r="DA99" s="1119"/>
      <c r="DB99" s="1119"/>
      <c r="DC99" s="1119"/>
      <c r="DD99" s="1119"/>
      <c r="DE99" s="1119"/>
      <c r="DF99" s="1119"/>
      <c r="DG99" s="1119"/>
      <c r="DH99" s="1119"/>
      <c r="DI99" s="1119"/>
      <c r="DJ99" s="1119"/>
      <c r="DK99" s="1119"/>
      <c r="DL99" s="1119"/>
      <c r="DM99" s="1119"/>
      <c r="DN99" s="1119"/>
      <c r="DO99" s="1119"/>
      <c r="DP99" s="1119"/>
      <c r="DQ99" s="1119"/>
      <c r="DR99" s="1119"/>
      <c r="DS99" s="1119"/>
      <c r="DT99" s="1119"/>
      <c r="DU99" s="1119"/>
      <c r="DV99" s="1119"/>
      <c r="DW99" s="1119"/>
      <c r="DY99" s="1121"/>
      <c r="DZ99" s="1121"/>
      <c r="EA99" s="1121"/>
      <c r="EB99" s="1121"/>
      <c r="EC99" s="1121"/>
      <c r="ED99" s="1121"/>
      <c r="EE99" s="1121"/>
      <c r="EF99" s="1121"/>
      <c r="EG99" s="1121"/>
      <c r="EH99" s="1121"/>
      <c r="EI99" s="1121"/>
      <c r="EJ99" s="1121"/>
      <c r="EK99" s="1121"/>
      <c r="EL99" s="1121"/>
      <c r="EM99" s="1121"/>
      <c r="EN99" s="1121"/>
      <c r="EO99" s="1121"/>
      <c r="EP99" s="1121"/>
      <c r="EQ99" s="1121"/>
      <c r="ER99" s="1121"/>
      <c r="ES99" s="1121"/>
      <c r="ET99" s="1121"/>
      <c r="EU99" s="1121"/>
      <c r="EW99" s="155"/>
      <c r="EX99" s="552"/>
      <c r="EY99" s="552"/>
      <c r="EZ99" s="552"/>
      <c r="FA99" s="552"/>
      <c r="FB99" s="552"/>
      <c r="FC99" s="552"/>
      <c r="FD99" s="552"/>
      <c r="FE99" s="552"/>
      <c r="FF99" s="552"/>
      <c r="FG99" s="552"/>
      <c r="FH99" s="552"/>
      <c r="FI99" s="552"/>
      <c r="FJ99" s="552"/>
      <c r="FK99" s="552"/>
      <c r="FL99" s="552"/>
      <c r="FM99" s="552"/>
      <c r="FN99" s="552"/>
      <c r="FO99" s="552"/>
      <c r="FP99" s="552"/>
      <c r="FQ99" s="552"/>
      <c r="FR99" s="552"/>
      <c r="FS99" s="552"/>
      <c r="FT99" s="552"/>
      <c r="FU99" s="552"/>
      <c r="FV99" s="552"/>
      <c r="FW99" s="552"/>
      <c r="FX99" s="552"/>
      <c r="FY99" s="552"/>
      <c r="FZ99" s="552"/>
      <c r="GA99" s="552"/>
      <c r="GB99" s="552"/>
      <c r="GC99" s="552"/>
      <c r="GD99" s="552"/>
      <c r="GE99" s="552"/>
      <c r="GF99" s="552"/>
      <c r="GG99" s="552"/>
      <c r="GH99" s="552"/>
      <c r="GI99" s="552"/>
      <c r="GJ99" s="552"/>
      <c r="GK99" s="552"/>
      <c r="GL99" s="552"/>
      <c r="GM99" s="552"/>
      <c r="GN99" s="552"/>
      <c r="GO99" s="552"/>
      <c r="GP99" s="552"/>
      <c r="GQ99" s="552"/>
      <c r="GR99" s="552"/>
      <c r="GS99" s="552"/>
      <c r="GT99" s="552"/>
      <c r="GU99" s="552"/>
      <c r="GV99" s="552"/>
      <c r="GW99" s="552"/>
      <c r="GX99" s="552"/>
      <c r="GY99" s="552"/>
      <c r="GZ99" s="552"/>
      <c r="HA99" s="552"/>
      <c r="HB99" s="552"/>
      <c r="HC99" s="552"/>
      <c r="HD99" s="552"/>
      <c r="HE99" s="552"/>
      <c r="HF99" s="552"/>
      <c r="HG99" s="552"/>
      <c r="HH99" s="552"/>
      <c r="HI99" s="552"/>
      <c r="HJ99" s="552"/>
      <c r="HK99" s="552"/>
      <c r="HL99" s="552"/>
      <c r="HM99" s="552"/>
      <c r="HN99" s="552"/>
      <c r="HO99" s="552"/>
      <c r="HP99" s="552"/>
      <c r="HQ99" s="552"/>
      <c r="HR99" s="552"/>
      <c r="HS99" s="552"/>
      <c r="HT99" s="155"/>
      <c r="HU99" s="155"/>
      <c r="HV99" s="552"/>
      <c r="HW99" s="552"/>
      <c r="HX99" s="552"/>
      <c r="HY99" s="552"/>
      <c r="HZ99" s="552"/>
      <c r="IA99" s="552"/>
      <c r="IB99" s="552"/>
      <c r="IC99" s="552"/>
      <c r="ID99" s="552"/>
      <c r="IE99" s="552"/>
      <c r="IF99" s="552"/>
      <c r="IG99" s="552"/>
      <c r="IH99" s="552"/>
      <c r="II99" s="552"/>
      <c r="IJ99" s="552"/>
      <c r="IK99" s="552"/>
      <c r="IL99" s="552"/>
      <c r="IM99" s="552"/>
      <c r="IN99" s="552"/>
      <c r="IO99" s="552"/>
      <c r="IP99" s="552"/>
      <c r="IQ99" s="552"/>
      <c r="IR99" s="552"/>
      <c r="IS99" s="552"/>
      <c r="IT99" s="552"/>
      <c r="IU99" s="552"/>
      <c r="IV99" s="552"/>
      <c r="IW99" s="552"/>
      <c r="IX99" s="552"/>
      <c r="IY99" s="552"/>
      <c r="IZ99" s="552"/>
      <c r="JA99" s="552"/>
      <c r="JB99" s="552"/>
      <c r="JC99" s="552"/>
      <c r="JD99" s="552"/>
      <c r="JE99" s="552"/>
      <c r="JF99" s="552"/>
      <c r="JG99" s="552"/>
      <c r="JH99" s="552"/>
      <c r="JI99" s="552"/>
      <c r="JJ99" s="552"/>
      <c r="JK99" s="552"/>
      <c r="JL99" s="552"/>
      <c r="JM99" s="552"/>
      <c r="JN99" s="552"/>
      <c r="JO99" s="552"/>
      <c r="JP99" s="552"/>
      <c r="JQ99" s="552"/>
      <c r="JR99" s="552"/>
      <c r="JS99" s="552"/>
      <c r="JT99" s="552"/>
      <c r="JU99" s="552"/>
      <c r="JV99" s="552"/>
      <c r="JW99" s="552"/>
      <c r="JX99" s="552"/>
      <c r="JY99" s="552"/>
      <c r="JZ99" s="552"/>
      <c r="KA99" s="552"/>
      <c r="KB99" s="552"/>
      <c r="KC99" s="552"/>
      <c r="KD99" s="552"/>
      <c r="KE99" s="552"/>
      <c r="KF99" s="552"/>
      <c r="KG99" s="552"/>
      <c r="KH99" s="552"/>
      <c r="KI99" s="552"/>
      <c r="KJ99" s="552"/>
      <c r="KK99" s="552"/>
      <c r="KL99" s="552"/>
      <c r="KM99" s="552"/>
      <c r="KN99" s="552"/>
      <c r="KO99" s="552"/>
      <c r="KP99" s="552"/>
      <c r="KQ99" s="552"/>
      <c r="KR99" s="155"/>
      <c r="KS99" s="155"/>
      <c r="MD99" s="1052"/>
      <c r="ME99" s="1052"/>
      <c r="MF99" s="1052"/>
      <c r="MG99" s="1052"/>
      <c r="MH99" s="1052"/>
      <c r="MI99" s="1052"/>
      <c r="MJ99" s="1052"/>
      <c r="MK99" s="1052"/>
      <c r="ML99" s="1052"/>
      <c r="MM99" s="1052"/>
      <c r="MN99" s="1052"/>
      <c r="MO99" s="1052"/>
      <c r="NP99" s="155"/>
      <c r="NQ99" s="155"/>
      <c r="QN99" s="155"/>
      <c r="QO99" s="155"/>
      <c r="TL99" s="155"/>
    </row>
    <row r="100" spans="1:532" ht="6.75" customHeight="1" thickBot="1" x14ac:dyDescent="0.3">
      <c r="A100" s="155"/>
      <c r="B100" s="512"/>
      <c r="C100" s="1177"/>
      <c r="D100" s="1178"/>
      <c r="E100" s="1178"/>
      <c r="F100" s="1178"/>
      <c r="G100" s="1178"/>
      <c r="H100" s="1178"/>
      <c r="I100" s="1178"/>
      <c r="J100" s="1178"/>
      <c r="K100" s="1178"/>
      <c r="L100" s="1178"/>
      <c r="M100" s="1178"/>
      <c r="N100" s="1178"/>
      <c r="O100" s="1178"/>
      <c r="P100" s="1178"/>
      <c r="Q100" s="1178"/>
      <c r="R100" s="1179"/>
      <c r="S100" s="508"/>
      <c r="T100" s="508"/>
      <c r="U100" s="508"/>
      <c r="V100" s="508"/>
      <c r="W100" s="508"/>
      <c r="X100" s="508"/>
      <c r="Y100" s="508"/>
      <c r="Z100" s="508"/>
      <c r="AA100" s="508"/>
      <c r="AB100" s="508"/>
      <c r="AC100" s="508"/>
      <c r="AD100" s="508"/>
      <c r="AE100" s="508"/>
      <c r="AF100" s="508"/>
      <c r="AG100" s="508"/>
      <c r="AH100" s="508"/>
      <c r="AI100" s="508"/>
      <c r="AJ100" s="508"/>
      <c r="AK100" s="508"/>
      <c r="AL100" s="508"/>
      <c r="AM100" s="508"/>
      <c r="AN100" s="508"/>
      <c r="AO100" s="1192"/>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4"/>
      <c r="BW100" s="513"/>
      <c r="BX100" s="155"/>
      <c r="BY100" s="155"/>
      <c r="BZ100" s="150"/>
      <c r="CA100" s="1234"/>
      <c r="CB100" s="1234"/>
      <c r="CC100" s="1234"/>
      <c r="CD100" s="1234"/>
      <c r="CE100" s="1234"/>
      <c r="CF100" s="1234"/>
      <c r="CG100" s="1234"/>
      <c r="CH100" s="1234"/>
      <c r="CI100" s="1234"/>
      <c r="CJ100" s="1234"/>
      <c r="CK100" s="1234"/>
      <c r="CL100" s="1234"/>
      <c r="CM100" s="1234"/>
      <c r="CN100" s="1234"/>
      <c r="CO100" s="1234"/>
      <c r="CP100" s="1234"/>
      <c r="CQ100" s="1234"/>
      <c r="CR100" s="1234"/>
      <c r="CS100" s="1234"/>
      <c r="CT100" s="1234"/>
      <c r="CU100" s="1234"/>
      <c r="CV100" s="1234"/>
      <c r="CW100" s="1234"/>
      <c r="CX100" s="1234"/>
      <c r="CZ100" s="1119"/>
      <c r="DA100" s="1119"/>
      <c r="DB100" s="1119"/>
      <c r="DC100" s="1119"/>
      <c r="DD100" s="1119"/>
      <c r="DE100" s="1119"/>
      <c r="DF100" s="1119"/>
      <c r="DG100" s="1119"/>
      <c r="DH100" s="1119"/>
      <c r="DI100" s="1119"/>
      <c r="DJ100" s="1119"/>
      <c r="DK100" s="1119"/>
      <c r="DL100" s="1119"/>
      <c r="DM100" s="1119"/>
      <c r="DN100" s="1119"/>
      <c r="DO100" s="1119"/>
      <c r="DP100" s="1119"/>
      <c r="DQ100" s="1119"/>
      <c r="DR100" s="1119"/>
      <c r="DS100" s="1119"/>
      <c r="DT100" s="1119"/>
      <c r="DU100" s="1119"/>
      <c r="DV100" s="1119"/>
      <c r="DW100" s="1119"/>
      <c r="DY100" s="1120"/>
      <c r="DZ100" s="1120"/>
      <c r="EA100" s="1120"/>
      <c r="EB100" s="1120"/>
      <c r="EC100" s="1120"/>
      <c r="ED100" s="1120"/>
      <c r="EE100" s="1120"/>
      <c r="EF100" s="1120"/>
      <c r="EG100" s="1120"/>
      <c r="EH100" s="1120"/>
      <c r="EI100" s="1120"/>
      <c r="EJ100" s="1120"/>
      <c r="EK100" s="1120"/>
      <c r="EL100" s="1120"/>
      <c r="EM100" s="1120"/>
      <c r="EN100" s="1120"/>
      <c r="EO100" s="1120"/>
      <c r="EP100" s="1120"/>
      <c r="EQ100" s="1120"/>
      <c r="ER100" s="1120"/>
      <c r="ES100" s="1120"/>
      <c r="ET100" s="1120"/>
      <c r="EU100" s="1120"/>
      <c r="EW100" s="155"/>
      <c r="EX100" s="552"/>
      <c r="EY100" s="552"/>
      <c r="EZ100" s="552"/>
      <c r="FA100" s="552"/>
      <c r="FB100" s="552"/>
      <c r="FC100" s="552"/>
      <c r="FD100" s="552"/>
      <c r="FE100" s="552"/>
      <c r="FF100" s="552"/>
      <c r="FG100" s="552"/>
      <c r="FH100" s="552"/>
      <c r="FI100" s="552"/>
      <c r="FJ100" s="552"/>
      <c r="FK100" s="552"/>
      <c r="FL100" s="552"/>
      <c r="FM100" s="552"/>
      <c r="FN100" s="552"/>
      <c r="FO100" s="552"/>
      <c r="FP100" s="552"/>
      <c r="FQ100" s="552"/>
      <c r="FR100" s="552"/>
      <c r="FS100" s="552"/>
      <c r="FT100" s="552"/>
      <c r="FU100" s="552"/>
      <c r="FV100" s="552"/>
      <c r="FW100" s="552"/>
      <c r="FX100" s="552"/>
      <c r="FY100" s="552"/>
      <c r="FZ100" s="552"/>
      <c r="GA100" s="552"/>
      <c r="GB100" s="552"/>
      <c r="GC100" s="552"/>
      <c r="GD100" s="552"/>
      <c r="GE100" s="552"/>
      <c r="GF100" s="552"/>
      <c r="GG100" s="552"/>
      <c r="GH100" s="552"/>
      <c r="GI100" s="552"/>
      <c r="GJ100" s="552"/>
      <c r="GK100" s="552"/>
      <c r="GL100" s="552"/>
      <c r="GM100" s="552"/>
      <c r="GN100" s="552"/>
      <c r="GO100" s="552"/>
      <c r="GP100" s="552"/>
      <c r="GQ100" s="552"/>
      <c r="GR100" s="552"/>
      <c r="GS100" s="552"/>
      <c r="GT100" s="552"/>
      <c r="GU100" s="552"/>
      <c r="GV100" s="552"/>
      <c r="GW100" s="552"/>
      <c r="GX100" s="552"/>
      <c r="GY100" s="552"/>
      <c r="GZ100" s="552"/>
      <c r="HA100" s="552"/>
      <c r="HB100" s="552"/>
      <c r="HC100" s="552"/>
      <c r="HD100" s="552"/>
      <c r="HE100" s="552"/>
      <c r="HF100" s="552"/>
      <c r="HG100" s="552"/>
      <c r="HH100" s="552"/>
      <c r="HI100" s="552"/>
      <c r="HJ100" s="552"/>
      <c r="HK100" s="552"/>
      <c r="HL100" s="552"/>
      <c r="HM100" s="552"/>
      <c r="HN100" s="552"/>
      <c r="HO100" s="552"/>
      <c r="HP100" s="552"/>
      <c r="HQ100" s="552"/>
      <c r="HR100" s="552"/>
      <c r="HS100" s="552"/>
      <c r="HT100" s="155"/>
      <c r="HU100" s="155"/>
      <c r="HV100" s="552"/>
      <c r="HW100" s="552"/>
      <c r="HX100" s="552"/>
      <c r="HY100" s="552"/>
      <c r="HZ100" s="552"/>
      <c r="IA100" s="552"/>
      <c r="IB100" s="552"/>
      <c r="IC100" s="552"/>
      <c r="ID100" s="552"/>
      <c r="IE100" s="552"/>
      <c r="IF100" s="552"/>
      <c r="IG100" s="552"/>
      <c r="IH100" s="552"/>
      <c r="II100" s="552"/>
      <c r="IJ100" s="552"/>
      <c r="IK100" s="552"/>
      <c r="IL100" s="552"/>
      <c r="IM100" s="552"/>
      <c r="IN100" s="552"/>
      <c r="IO100" s="552"/>
      <c r="IP100" s="552"/>
      <c r="IQ100" s="552"/>
      <c r="IR100" s="552"/>
      <c r="IS100" s="552"/>
      <c r="IT100" s="552"/>
      <c r="IU100" s="552"/>
      <c r="IV100" s="552"/>
      <c r="IW100" s="552"/>
      <c r="IX100" s="552"/>
      <c r="IY100" s="552"/>
      <c r="IZ100" s="552"/>
      <c r="JA100" s="552"/>
      <c r="JB100" s="552"/>
      <c r="JC100" s="552"/>
      <c r="JD100" s="552"/>
      <c r="JE100" s="552"/>
      <c r="JF100" s="552"/>
      <c r="JG100" s="552"/>
      <c r="JH100" s="552"/>
      <c r="JI100" s="552"/>
      <c r="JJ100" s="552"/>
      <c r="JK100" s="552"/>
      <c r="JL100" s="552"/>
      <c r="JM100" s="552"/>
      <c r="JN100" s="552"/>
      <c r="JO100" s="552"/>
      <c r="JP100" s="552"/>
      <c r="JQ100" s="552"/>
      <c r="JR100" s="552"/>
      <c r="JS100" s="552"/>
      <c r="JT100" s="552"/>
      <c r="JU100" s="552"/>
      <c r="JV100" s="552"/>
      <c r="JW100" s="552"/>
      <c r="JX100" s="552"/>
      <c r="JY100" s="552"/>
      <c r="JZ100" s="552"/>
      <c r="KA100" s="552"/>
      <c r="KB100" s="552"/>
      <c r="KC100" s="552"/>
      <c r="KD100" s="552"/>
      <c r="KE100" s="552"/>
      <c r="KF100" s="552"/>
      <c r="KG100" s="552"/>
      <c r="KH100" s="552"/>
      <c r="KI100" s="552"/>
      <c r="KJ100" s="552"/>
      <c r="KK100" s="552"/>
      <c r="KL100" s="552"/>
      <c r="KM100" s="552"/>
      <c r="KN100" s="552"/>
      <c r="KO100" s="552"/>
      <c r="KP100" s="552"/>
      <c r="KQ100" s="552"/>
      <c r="KR100" s="155"/>
      <c r="KS100" s="155"/>
      <c r="MD100" s="1052" t="s">
        <v>6441</v>
      </c>
      <c r="ME100" s="1052"/>
      <c r="MF100" s="1052"/>
      <c r="MG100" s="1052"/>
      <c r="MH100" s="1052"/>
      <c r="MI100" s="1052"/>
      <c r="MJ100" s="1052"/>
      <c r="MK100" s="1052"/>
      <c r="ML100" s="1052"/>
      <c r="MM100" s="1052"/>
      <c r="MN100" s="1052"/>
      <c r="MO100" s="1052"/>
      <c r="NP100" s="155"/>
      <c r="NQ100" s="155"/>
      <c r="QN100" s="155"/>
      <c r="QO100" s="155"/>
      <c r="TL100" s="155"/>
    </row>
    <row r="101" spans="1:532" ht="6.75" customHeight="1" x14ac:dyDescent="0.25">
      <c r="A101" s="155"/>
      <c r="B101" s="512"/>
      <c r="C101" s="1180"/>
      <c r="D101" s="1181"/>
      <c r="E101" s="1181"/>
      <c r="F101" s="1181"/>
      <c r="G101" s="1181"/>
      <c r="H101" s="1181"/>
      <c r="I101" s="1181"/>
      <c r="J101" s="1181"/>
      <c r="K101" s="1181"/>
      <c r="L101" s="1181"/>
      <c r="M101" s="1181"/>
      <c r="N101" s="1181"/>
      <c r="O101" s="1181"/>
      <c r="P101" s="1181"/>
      <c r="Q101" s="1181"/>
      <c r="R101" s="1181"/>
      <c r="S101" s="1181"/>
      <c r="T101" s="1181"/>
      <c r="U101" s="1181"/>
      <c r="V101" s="1181"/>
      <c r="W101" s="1181"/>
      <c r="X101" s="1181"/>
      <c r="Y101" s="1181"/>
      <c r="Z101" s="1181"/>
      <c r="AA101" s="1181"/>
      <c r="AB101" s="1181"/>
      <c r="AC101" s="1181"/>
      <c r="AD101" s="1181"/>
      <c r="AE101" s="1181"/>
      <c r="AF101" s="1181"/>
      <c r="AG101" s="1181"/>
      <c r="AH101" s="1181"/>
      <c r="AI101" s="1181"/>
      <c r="AJ101" s="1181"/>
      <c r="AK101" s="1181"/>
      <c r="AL101" s="1182"/>
      <c r="AM101" s="507"/>
      <c r="AN101" s="507"/>
      <c r="AO101" s="1192"/>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4"/>
      <c r="BW101" s="513"/>
      <c r="BX101" s="155"/>
      <c r="BY101" s="155"/>
      <c r="BZ101" s="150"/>
      <c r="CA101" s="1234"/>
      <c r="CB101" s="1234"/>
      <c r="CC101" s="1234"/>
      <c r="CD101" s="1234"/>
      <c r="CE101" s="1234"/>
      <c r="CF101" s="1234"/>
      <c r="CG101" s="1234"/>
      <c r="CH101" s="1234"/>
      <c r="CI101" s="1234"/>
      <c r="CJ101" s="1234"/>
      <c r="CK101" s="1234"/>
      <c r="CL101" s="1234"/>
      <c r="CM101" s="1234"/>
      <c r="CN101" s="1234"/>
      <c r="CO101" s="1234"/>
      <c r="CP101" s="1234"/>
      <c r="CQ101" s="1234"/>
      <c r="CR101" s="1234"/>
      <c r="CS101" s="1234"/>
      <c r="CT101" s="1234"/>
      <c r="CU101" s="1234"/>
      <c r="CV101" s="1234"/>
      <c r="CW101" s="1234"/>
      <c r="CX101" s="1234"/>
      <c r="CZ101" s="1119"/>
      <c r="DA101" s="1119"/>
      <c r="DB101" s="1119"/>
      <c r="DC101" s="1119"/>
      <c r="DD101" s="1119"/>
      <c r="DE101" s="1119"/>
      <c r="DF101" s="1119"/>
      <c r="DG101" s="1119"/>
      <c r="DH101" s="1119"/>
      <c r="DI101" s="1119"/>
      <c r="DJ101" s="1119"/>
      <c r="DK101" s="1119"/>
      <c r="DL101" s="1119"/>
      <c r="DM101" s="1119"/>
      <c r="DN101" s="1119"/>
      <c r="DO101" s="1119"/>
      <c r="DP101" s="1119"/>
      <c r="DQ101" s="1119"/>
      <c r="DR101" s="1119"/>
      <c r="DS101" s="1119"/>
      <c r="DT101" s="1119"/>
      <c r="DU101" s="1119"/>
      <c r="DV101" s="1119"/>
      <c r="DW101" s="1119"/>
      <c r="DY101" s="1121"/>
      <c r="DZ101" s="1121"/>
      <c r="EA101" s="1121"/>
      <c r="EB101" s="1121"/>
      <c r="EC101" s="1121"/>
      <c r="ED101" s="1121"/>
      <c r="EE101" s="1121"/>
      <c r="EF101" s="1121"/>
      <c r="EG101" s="1121"/>
      <c r="EH101" s="1121"/>
      <c r="EI101" s="1121"/>
      <c r="EJ101" s="1121"/>
      <c r="EK101" s="1121"/>
      <c r="EL101" s="1121"/>
      <c r="EM101" s="1121"/>
      <c r="EN101" s="1121"/>
      <c r="EO101" s="1121"/>
      <c r="EP101" s="1121"/>
      <c r="EQ101" s="1121"/>
      <c r="ER101" s="1121"/>
      <c r="ES101" s="1121"/>
      <c r="ET101" s="1121"/>
      <c r="EU101" s="1121"/>
      <c r="EW101" s="155"/>
      <c r="EX101" s="552"/>
      <c r="EY101" s="552"/>
      <c r="EZ101" s="552"/>
      <c r="FA101" s="552"/>
      <c r="FB101" s="552"/>
      <c r="FC101" s="552"/>
      <c r="FD101" s="552"/>
      <c r="FE101" s="552"/>
      <c r="FF101" s="552"/>
      <c r="FG101" s="552"/>
      <c r="FH101" s="552"/>
      <c r="FI101" s="552"/>
      <c r="FJ101" s="552"/>
      <c r="FK101" s="552"/>
      <c r="FL101" s="552"/>
      <c r="FM101" s="552"/>
      <c r="FN101" s="552"/>
      <c r="FO101" s="552"/>
      <c r="FP101" s="552"/>
      <c r="FQ101" s="552"/>
      <c r="FR101" s="552"/>
      <c r="FS101" s="552"/>
      <c r="FT101" s="552"/>
      <c r="FU101" s="552"/>
      <c r="FV101" s="552"/>
      <c r="FW101" s="552"/>
      <c r="FX101" s="552"/>
      <c r="FY101" s="552"/>
      <c r="FZ101" s="552"/>
      <c r="GA101" s="552"/>
      <c r="GB101" s="552"/>
      <c r="GC101" s="552"/>
      <c r="GD101" s="552"/>
      <c r="GE101" s="552"/>
      <c r="GF101" s="552"/>
      <c r="GG101" s="552"/>
      <c r="GH101" s="552"/>
      <c r="GI101" s="552"/>
      <c r="GJ101" s="552"/>
      <c r="GK101" s="552"/>
      <c r="GL101" s="552"/>
      <c r="GM101" s="552"/>
      <c r="GN101" s="552"/>
      <c r="GO101" s="552"/>
      <c r="GP101" s="552"/>
      <c r="GQ101" s="552"/>
      <c r="GR101" s="552"/>
      <c r="GS101" s="552"/>
      <c r="GT101" s="552"/>
      <c r="GU101" s="552"/>
      <c r="GV101" s="552"/>
      <c r="GW101" s="552"/>
      <c r="GX101" s="552"/>
      <c r="GY101" s="552"/>
      <c r="GZ101" s="552"/>
      <c r="HA101" s="552"/>
      <c r="HB101" s="552"/>
      <c r="HC101" s="552"/>
      <c r="HD101" s="552"/>
      <c r="HE101" s="552"/>
      <c r="HF101" s="552"/>
      <c r="HG101" s="552"/>
      <c r="HH101" s="552"/>
      <c r="HI101" s="552"/>
      <c r="HJ101" s="552"/>
      <c r="HK101" s="552"/>
      <c r="HL101" s="552"/>
      <c r="HM101" s="552"/>
      <c r="HN101" s="552"/>
      <c r="HO101" s="552"/>
      <c r="HP101" s="552"/>
      <c r="HQ101" s="552"/>
      <c r="HR101" s="552"/>
      <c r="HS101" s="552"/>
      <c r="HT101" s="155"/>
      <c r="HU101" s="155"/>
      <c r="HV101" s="552"/>
      <c r="HW101" s="552"/>
      <c r="HX101" s="552"/>
      <c r="HY101" s="552"/>
      <c r="HZ101" s="552"/>
      <c r="IA101" s="552"/>
      <c r="IB101" s="552"/>
      <c r="IC101" s="552"/>
      <c r="ID101" s="552"/>
      <c r="IE101" s="552"/>
      <c r="IF101" s="552"/>
      <c r="IG101" s="552"/>
      <c r="IH101" s="552"/>
      <c r="II101" s="552"/>
      <c r="IJ101" s="552"/>
      <c r="IK101" s="552"/>
      <c r="IL101" s="552"/>
      <c r="IM101" s="552"/>
      <c r="IN101" s="552"/>
      <c r="IO101" s="552"/>
      <c r="IP101" s="552"/>
      <c r="IQ101" s="552"/>
      <c r="IR101" s="552"/>
      <c r="IS101" s="552"/>
      <c r="IT101" s="552"/>
      <c r="IU101" s="552"/>
      <c r="IV101" s="552"/>
      <c r="IW101" s="552"/>
      <c r="IX101" s="552"/>
      <c r="IY101" s="552"/>
      <c r="IZ101" s="552"/>
      <c r="JA101" s="552"/>
      <c r="JB101" s="552"/>
      <c r="JC101" s="552"/>
      <c r="JD101" s="552"/>
      <c r="JE101" s="552"/>
      <c r="JF101" s="552"/>
      <c r="JG101" s="552"/>
      <c r="JH101" s="552"/>
      <c r="JI101" s="552"/>
      <c r="JJ101" s="552"/>
      <c r="JK101" s="552"/>
      <c r="JL101" s="552"/>
      <c r="JM101" s="552"/>
      <c r="JN101" s="552"/>
      <c r="JO101" s="552"/>
      <c r="JP101" s="552"/>
      <c r="JQ101" s="552"/>
      <c r="JR101" s="552"/>
      <c r="JS101" s="552"/>
      <c r="JT101" s="552"/>
      <c r="JU101" s="552"/>
      <c r="JV101" s="552"/>
      <c r="JW101" s="552"/>
      <c r="JX101" s="552"/>
      <c r="JY101" s="552"/>
      <c r="JZ101" s="552"/>
      <c r="KA101" s="552"/>
      <c r="KB101" s="552"/>
      <c r="KC101" s="552"/>
      <c r="KD101" s="552"/>
      <c r="KE101" s="552"/>
      <c r="KF101" s="552"/>
      <c r="KG101" s="552"/>
      <c r="KH101" s="552"/>
      <c r="KI101" s="552"/>
      <c r="KJ101" s="552"/>
      <c r="KK101" s="552"/>
      <c r="KL101" s="552"/>
      <c r="KM101" s="552"/>
      <c r="KN101" s="552"/>
      <c r="KO101" s="552"/>
      <c r="KP101" s="552"/>
      <c r="KQ101" s="552"/>
      <c r="KR101" s="155"/>
      <c r="KS101" s="155"/>
      <c r="MD101" s="1052"/>
      <c r="ME101" s="1052"/>
      <c r="MF101" s="1052"/>
      <c r="MG101" s="1052"/>
      <c r="MH101" s="1052"/>
      <c r="MI101" s="1052"/>
      <c r="MJ101" s="1052"/>
      <c r="MK101" s="1052"/>
      <c r="ML101" s="1052"/>
      <c r="MM101" s="1052"/>
      <c r="MN101" s="1052"/>
      <c r="MO101" s="1052"/>
      <c r="NP101" s="155"/>
      <c r="NQ101" s="155"/>
      <c r="QN101" s="155"/>
      <c r="QO101" s="155"/>
      <c r="TL101" s="155"/>
    </row>
    <row r="102" spans="1:532" ht="6.75" customHeight="1" x14ac:dyDescent="0.25">
      <c r="A102" s="155"/>
      <c r="B102" s="512"/>
      <c r="C102" s="1183"/>
      <c r="D102" s="1184"/>
      <c r="E102" s="1184"/>
      <c r="F102" s="1184"/>
      <c r="G102" s="1184"/>
      <c r="H102" s="1184"/>
      <c r="I102" s="1184"/>
      <c r="J102" s="1184"/>
      <c r="K102" s="1184"/>
      <c r="L102" s="1184"/>
      <c r="M102" s="1184"/>
      <c r="N102" s="1184"/>
      <c r="O102" s="1184"/>
      <c r="P102" s="1184"/>
      <c r="Q102" s="1184"/>
      <c r="R102" s="1184"/>
      <c r="S102" s="1184"/>
      <c r="T102" s="1184"/>
      <c r="U102" s="1184"/>
      <c r="V102" s="1184"/>
      <c r="W102" s="1184"/>
      <c r="X102" s="1184"/>
      <c r="Y102" s="1184"/>
      <c r="Z102" s="1184"/>
      <c r="AA102" s="1184"/>
      <c r="AB102" s="1184"/>
      <c r="AC102" s="1184"/>
      <c r="AD102" s="1184"/>
      <c r="AE102" s="1184"/>
      <c r="AF102" s="1184"/>
      <c r="AG102" s="1184"/>
      <c r="AH102" s="1184"/>
      <c r="AI102" s="1184"/>
      <c r="AJ102" s="1184"/>
      <c r="AK102" s="1184"/>
      <c r="AL102" s="1185"/>
      <c r="AM102" s="507"/>
      <c r="AN102" s="507"/>
      <c r="AO102" s="1192"/>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4"/>
      <c r="BW102" s="513"/>
      <c r="BX102" s="155"/>
      <c r="BY102" s="155"/>
      <c r="BZ102" s="150"/>
      <c r="CA102" s="1234"/>
      <c r="CB102" s="1234"/>
      <c r="CC102" s="1234"/>
      <c r="CD102" s="1234"/>
      <c r="CE102" s="1234"/>
      <c r="CF102" s="1234"/>
      <c r="CG102" s="1234"/>
      <c r="CH102" s="1234"/>
      <c r="CI102" s="1234"/>
      <c r="CJ102" s="1234"/>
      <c r="CK102" s="1234"/>
      <c r="CL102" s="1234"/>
      <c r="CM102" s="1234"/>
      <c r="CN102" s="1234"/>
      <c r="CO102" s="1234"/>
      <c r="CP102" s="1234"/>
      <c r="CQ102" s="1234"/>
      <c r="CR102" s="1234"/>
      <c r="CS102" s="1234"/>
      <c r="CT102" s="1234"/>
      <c r="CU102" s="1234"/>
      <c r="CV102" s="1234"/>
      <c r="CW102" s="1234"/>
      <c r="CX102" s="1234"/>
      <c r="CZ102" s="1119"/>
      <c r="DA102" s="1119"/>
      <c r="DB102" s="1119"/>
      <c r="DC102" s="1119"/>
      <c r="DD102" s="1119"/>
      <c r="DE102" s="1119"/>
      <c r="DF102" s="1119"/>
      <c r="DG102" s="1119"/>
      <c r="DH102" s="1119"/>
      <c r="DI102" s="1119"/>
      <c r="DJ102" s="1119"/>
      <c r="DK102" s="1119"/>
      <c r="DL102" s="1119"/>
      <c r="DM102" s="1119"/>
      <c r="DN102" s="1119"/>
      <c r="DO102" s="1119"/>
      <c r="DP102" s="1119"/>
      <c r="DQ102" s="1119"/>
      <c r="DR102" s="1119"/>
      <c r="DS102" s="1119"/>
      <c r="DT102" s="1119"/>
      <c r="DU102" s="1119"/>
      <c r="DV102" s="1119"/>
      <c r="DW102" s="1119"/>
      <c r="DY102" s="1120"/>
      <c r="DZ102" s="1120"/>
      <c r="EA102" s="1120"/>
      <c r="EB102" s="1120"/>
      <c r="EC102" s="1120"/>
      <c r="ED102" s="1120"/>
      <c r="EE102" s="1120"/>
      <c r="EF102" s="1120"/>
      <c r="EG102" s="1120"/>
      <c r="EH102" s="1120"/>
      <c r="EI102" s="1120"/>
      <c r="EJ102" s="1120"/>
      <c r="EK102" s="1120"/>
      <c r="EL102" s="1120"/>
      <c r="EM102" s="1120"/>
      <c r="EN102" s="1120"/>
      <c r="EO102" s="1120"/>
      <c r="EP102" s="1120"/>
      <c r="EQ102" s="1120"/>
      <c r="ER102" s="1120"/>
      <c r="ES102" s="1120"/>
      <c r="ET102" s="1120"/>
      <c r="EU102" s="1120"/>
      <c r="EW102" s="155"/>
      <c r="EX102" s="552"/>
      <c r="EY102" s="552"/>
      <c r="EZ102" s="552"/>
      <c r="FA102" s="552"/>
      <c r="FB102" s="552"/>
      <c r="FC102" s="552"/>
      <c r="FD102" s="552"/>
      <c r="FE102" s="552"/>
      <c r="FF102" s="552"/>
      <c r="FG102" s="552"/>
      <c r="FH102" s="552"/>
      <c r="FI102" s="552"/>
      <c r="FJ102" s="552"/>
      <c r="FK102" s="552"/>
      <c r="FL102" s="552"/>
      <c r="FM102" s="552"/>
      <c r="FN102" s="552"/>
      <c r="FO102" s="552"/>
      <c r="FP102" s="552"/>
      <c r="FQ102" s="552"/>
      <c r="FR102" s="552"/>
      <c r="FS102" s="552"/>
      <c r="FT102" s="552"/>
      <c r="FU102" s="552"/>
      <c r="FV102" s="552"/>
      <c r="FW102" s="552"/>
      <c r="FX102" s="552"/>
      <c r="FY102" s="552"/>
      <c r="FZ102" s="552"/>
      <c r="GA102" s="552"/>
      <c r="GB102" s="552"/>
      <c r="GC102" s="552"/>
      <c r="GD102" s="552"/>
      <c r="GE102" s="552"/>
      <c r="GF102" s="552"/>
      <c r="GG102" s="552"/>
      <c r="GH102" s="552"/>
      <c r="GI102" s="552"/>
      <c r="GJ102" s="552"/>
      <c r="GK102" s="552"/>
      <c r="GL102" s="552"/>
      <c r="GM102" s="552"/>
      <c r="GN102" s="552"/>
      <c r="GO102" s="552"/>
      <c r="GP102" s="552"/>
      <c r="GQ102" s="552"/>
      <c r="GR102" s="552"/>
      <c r="GS102" s="552"/>
      <c r="GT102" s="552"/>
      <c r="GU102" s="552"/>
      <c r="GV102" s="552"/>
      <c r="GW102" s="552"/>
      <c r="GX102" s="552"/>
      <c r="GY102" s="552"/>
      <c r="GZ102" s="552"/>
      <c r="HA102" s="552"/>
      <c r="HB102" s="552"/>
      <c r="HC102" s="552"/>
      <c r="HD102" s="552"/>
      <c r="HE102" s="552"/>
      <c r="HF102" s="552"/>
      <c r="HG102" s="552"/>
      <c r="HH102" s="552"/>
      <c r="HI102" s="552"/>
      <c r="HJ102" s="552"/>
      <c r="HK102" s="552"/>
      <c r="HL102" s="552"/>
      <c r="HM102" s="552"/>
      <c r="HN102" s="552"/>
      <c r="HO102" s="552"/>
      <c r="HP102" s="552"/>
      <c r="HQ102" s="552"/>
      <c r="HR102" s="552"/>
      <c r="HS102" s="552"/>
      <c r="HT102" s="155"/>
      <c r="HU102" s="155"/>
      <c r="HV102" s="552"/>
      <c r="HW102" s="552"/>
      <c r="HX102" s="552"/>
      <c r="HY102" s="552"/>
      <c r="HZ102" s="552"/>
      <c r="IA102" s="552"/>
      <c r="IB102" s="552"/>
      <c r="IC102" s="552"/>
      <c r="ID102" s="552"/>
      <c r="IE102" s="552"/>
      <c r="IF102" s="552"/>
      <c r="IG102" s="552"/>
      <c r="IH102" s="552"/>
      <c r="II102" s="552"/>
      <c r="IJ102" s="552"/>
      <c r="IK102" s="552"/>
      <c r="IL102" s="552"/>
      <c r="IM102" s="552"/>
      <c r="IN102" s="552"/>
      <c r="IO102" s="552"/>
      <c r="IP102" s="552"/>
      <c r="IQ102" s="552"/>
      <c r="IR102" s="552"/>
      <c r="IS102" s="552"/>
      <c r="IT102" s="552"/>
      <c r="IU102" s="552"/>
      <c r="IV102" s="552"/>
      <c r="IW102" s="552"/>
      <c r="IX102" s="552"/>
      <c r="IY102" s="552"/>
      <c r="IZ102" s="552"/>
      <c r="JA102" s="552"/>
      <c r="JB102" s="552"/>
      <c r="JC102" s="552"/>
      <c r="JD102" s="552"/>
      <c r="JE102" s="552"/>
      <c r="JF102" s="552"/>
      <c r="JG102" s="552"/>
      <c r="JH102" s="552"/>
      <c r="JI102" s="552"/>
      <c r="JJ102" s="552"/>
      <c r="JK102" s="552"/>
      <c r="JL102" s="552"/>
      <c r="JM102" s="552"/>
      <c r="JN102" s="552"/>
      <c r="JO102" s="552"/>
      <c r="JP102" s="552"/>
      <c r="JQ102" s="552"/>
      <c r="JR102" s="552"/>
      <c r="JS102" s="552"/>
      <c r="JT102" s="552"/>
      <c r="JU102" s="552"/>
      <c r="JV102" s="552"/>
      <c r="JW102" s="552"/>
      <c r="JX102" s="552"/>
      <c r="JY102" s="552"/>
      <c r="JZ102" s="552"/>
      <c r="KA102" s="552"/>
      <c r="KB102" s="552"/>
      <c r="KC102" s="552"/>
      <c r="KD102" s="552"/>
      <c r="KE102" s="552"/>
      <c r="KF102" s="552"/>
      <c r="KG102" s="552"/>
      <c r="KH102" s="552"/>
      <c r="KI102" s="552"/>
      <c r="KJ102" s="552"/>
      <c r="KK102" s="552"/>
      <c r="KL102" s="552"/>
      <c r="KM102" s="552"/>
      <c r="KN102" s="552"/>
      <c r="KO102" s="552"/>
      <c r="KP102" s="552"/>
      <c r="KQ102" s="552"/>
      <c r="KR102" s="155"/>
      <c r="KS102" s="155"/>
      <c r="MD102" s="1052"/>
      <c r="ME102" s="1052"/>
      <c r="MF102" s="1052"/>
      <c r="MG102" s="1052"/>
      <c r="MH102" s="1052"/>
      <c r="MI102" s="1052"/>
      <c r="MJ102" s="1052"/>
      <c r="MK102" s="1052"/>
      <c r="ML102" s="1052"/>
      <c r="MM102" s="1052"/>
      <c r="MN102" s="1052"/>
      <c r="MO102" s="1052"/>
      <c r="NP102" s="155"/>
      <c r="NQ102" s="155"/>
      <c r="QN102" s="155"/>
      <c r="QO102" s="155"/>
      <c r="TL102" s="155"/>
    </row>
    <row r="103" spans="1:532" ht="6.75" customHeight="1" x14ac:dyDescent="0.25">
      <c r="A103" s="155"/>
      <c r="B103" s="512"/>
      <c r="C103" s="1183"/>
      <c r="D103" s="1184"/>
      <c r="E103" s="1184"/>
      <c r="F103" s="1184"/>
      <c r="G103" s="1184"/>
      <c r="H103" s="1184"/>
      <c r="I103" s="1184"/>
      <c r="J103" s="1184"/>
      <c r="K103" s="1184"/>
      <c r="L103" s="1184"/>
      <c r="M103" s="1184"/>
      <c r="N103" s="1184"/>
      <c r="O103" s="1184"/>
      <c r="P103" s="1184"/>
      <c r="Q103" s="1184"/>
      <c r="R103" s="1184"/>
      <c r="S103" s="1184"/>
      <c r="T103" s="1184"/>
      <c r="U103" s="1184"/>
      <c r="V103" s="1184"/>
      <c r="W103" s="1184"/>
      <c r="X103" s="1184"/>
      <c r="Y103" s="1184"/>
      <c r="Z103" s="1184"/>
      <c r="AA103" s="1184"/>
      <c r="AB103" s="1184"/>
      <c r="AC103" s="1184"/>
      <c r="AD103" s="1184"/>
      <c r="AE103" s="1184"/>
      <c r="AF103" s="1184"/>
      <c r="AG103" s="1184"/>
      <c r="AH103" s="1184"/>
      <c r="AI103" s="1184"/>
      <c r="AJ103" s="1184"/>
      <c r="AK103" s="1184"/>
      <c r="AL103" s="1185"/>
      <c r="AM103" s="507"/>
      <c r="AN103" s="507"/>
      <c r="AO103" s="1192"/>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4"/>
      <c r="BW103" s="513"/>
      <c r="BX103" s="155"/>
      <c r="BY103" s="155"/>
      <c r="BZ103" s="150"/>
      <c r="CA103" s="1234"/>
      <c r="CB103" s="1234"/>
      <c r="CC103" s="1234"/>
      <c r="CD103" s="1234"/>
      <c r="CE103" s="1234"/>
      <c r="CF103" s="1234"/>
      <c r="CG103" s="1234"/>
      <c r="CH103" s="1234"/>
      <c r="CI103" s="1234"/>
      <c r="CJ103" s="1234"/>
      <c r="CK103" s="1234"/>
      <c r="CL103" s="1234"/>
      <c r="CM103" s="1234"/>
      <c r="CN103" s="1234"/>
      <c r="CO103" s="1234"/>
      <c r="CP103" s="1234"/>
      <c r="CQ103" s="1234"/>
      <c r="CR103" s="1234"/>
      <c r="CS103" s="1234"/>
      <c r="CT103" s="1234"/>
      <c r="CU103" s="1234"/>
      <c r="CV103" s="1234"/>
      <c r="CW103" s="1234"/>
      <c r="CX103" s="1234"/>
      <c r="CZ103" s="1119"/>
      <c r="DA103" s="1119"/>
      <c r="DB103" s="1119"/>
      <c r="DC103" s="1119"/>
      <c r="DD103" s="1119"/>
      <c r="DE103" s="1119"/>
      <c r="DF103" s="1119"/>
      <c r="DG103" s="1119"/>
      <c r="DH103" s="1119"/>
      <c r="DI103" s="1119"/>
      <c r="DJ103" s="1119"/>
      <c r="DK103" s="1119"/>
      <c r="DL103" s="1119"/>
      <c r="DM103" s="1119"/>
      <c r="DN103" s="1119"/>
      <c r="DO103" s="1119"/>
      <c r="DP103" s="1119"/>
      <c r="DQ103" s="1119"/>
      <c r="DR103" s="1119"/>
      <c r="DS103" s="1119"/>
      <c r="DT103" s="1119"/>
      <c r="DU103" s="1119"/>
      <c r="DV103" s="1119"/>
      <c r="DW103" s="1119"/>
      <c r="DY103" s="1121"/>
      <c r="DZ103" s="1121"/>
      <c r="EA103" s="1121"/>
      <c r="EB103" s="1121"/>
      <c r="EC103" s="1121"/>
      <c r="ED103" s="1121"/>
      <c r="EE103" s="1121"/>
      <c r="EF103" s="1121"/>
      <c r="EG103" s="1121"/>
      <c r="EH103" s="1121"/>
      <c r="EI103" s="1121"/>
      <c r="EJ103" s="1121"/>
      <c r="EK103" s="1121"/>
      <c r="EL103" s="1121"/>
      <c r="EM103" s="1121"/>
      <c r="EN103" s="1121"/>
      <c r="EO103" s="1121"/>
      <c r="EP103" s="1121"/>
      <c r="EQ103" s="1121"/>
      <c r="ER103" s="1121"/>
      <c r="ES103" s="1121"/>
      <c r="ET103" s="1121"/>
      <c r="EU103" s="1121"/>
      <c r="EW103" s="155"/>
      <c r="EX103" s="552"/>
      <c r="EY103" s="552"/>
      <c r="EZ103" s="552"/>
      <c r="FA103" s="552"/>
      <c r="FB103" s="552"/>
      <c r="FC103" s="552"/>
      <c r="FD103" s="552"/>
      <c r="FE103" s="552"/>
      <c r="FF103" s="552"/>
      <c r="FG103" s="552"/>
      <c r="FH103" s="552"/>
      <c r="FI103" s="552"/>
      <c r="FJ103" s="552"/>
      <c r="FK103" s="552"/>
      <c r="FL103" s="552"/>
      <c r="FM103" s="552"/>
      <c r="FN103" s="552"/>
      <c r="FO103" s="552"/>
      <c r="FP103" s="552"/>
      <c r="FQ103" s="552"/>
      <c r="FR103" s="552"/>
      <c r="FS103" s="552"/>
      <c r="FT103" s="552"/>
      <c r="FU103" s="552"/>
      <c r="FV103" s="552"/>
      <c r="FW103" s="552"/>
      <c r="FX103" s="552"/>
      <c r="FY103" s="552"/>
      <c r="FZ103" s="552"/>
      <c r="GA103" s="552"/>
      <c r="GB103" s="552"/>
      <c r="GC103" s="552"/>
      <c r="GD103" s="552"/>
      <c r="GE103" s="552"/>
      <c r="GF103" s="552"/>
      <c r="GG103" s="552"/>
      <c r="GH103" s="552"/>
      <c r="GI103" s="552"/>
      <c r="GJ103" s="552"/>
      <c r="GK103" s="552"/>
      <c r="GL103" s="552"/>
      <c r="GM103" s="552"/>
      <c r="GN103" s="552"/>
      <c r="GO103" s="552"/>
      <c r="GP103" s="552"/>
      <c r="GQ103" s="552"/>
      <c r="GR103" s="552"/>
      <c r="GS103" s="552"/>
      <c r="GT103" s="552"/>
      <c r="GU103" s="552"/>
      <c r="GV103" s="552"/>
      <c r="GW103" s="552"/>
      <c r="GX103" s="552"/>
      <c r="GY103" s="552"/>
      <c r="GZ103" s="552"/>
      <c r="HA103" s="552"/>
      <c r="HB103" s="552"/>
      <c r="HC103" s="552"/>
      <c r="HD103" s="552"/>
      <c r="HE103" s="552"/>
      <c r="HF103" s="552"/>
      <c r="HG103" s="552"/>
      <c r="HH103" s="552"/>
      <c r="HI103" s="552"/>
      <c r="HJ103" s="552"/>
      <c r="HK103" s="552"/>
      <c r="HL103" s="552"/>
      <c r="HM103" s="552"/>
      <c r="HN103" s="552"/>
      <c r="HO103" s="552"/>
      <c r="HP103" s="552"/>
      <c r="HQ103" s="552"/>
      <c r="HR103" s="552"/>
      <c r="HS103" s="552"/>
      <c r="HT103" s="155"/>
      <c r="HU103" s="155"/>
      <c r="HV103" s="552"/>
      <c r="HW103" s="552"/>
      <c r="HX103" s="552"/>
      <c r="HY103" s="552"/>
      <c r="HZ103" s="552"/>
      <c r="IA103" s="552"/>
      <c r="IB103" s="552"/>
      <c r="IC103" s="552"/>
      <c r="ID103" s="552"/>
      <c r="IE103" s="552"/>
      <c r="IF103" s="552"/>
      <c r="IG103" s="552"/>
      <c r="IH103" s="552"/>
      <c r="II103" s="552"/>
      <c r="IJ103" s="552"/>
      <c r="IK103" s="552"/>
      <c r="IL103" s="552"/>
      <c r="IM103" s="552"/>
      <c r="IN103" s="552"/>
      <c r="IO103" s="552"/>
      <c r="IP103" s="552"/>
      <c r="IQ103" s="552"/>
      <c r="IR103" s="552"/>
      <c r="IS103" s="552"/>
      <c r="IT103" s="552"/>
      <c r="IU103" s="552"/>
      <c r="IV103" s="552"/>
      <c r="IW103" s="552"/>
      <c r="IX103" s="552"/>
      <c r="IY103" s="552"/>
      <c r="IZ103" s="552"/>
      <c r="JA103" s="552"/>
      <c r="JB103" s="552"/>
      <c r="JC103" s="552"/>
      <c r="JD103" s="552"/>
      <c r="JE103" s="552"/>
      <c r="JF103" s="552"/>
      <c r="JG103" s="552"/>
      <c r="JH103" s="552"/>
      <c r="JI103" s="552"/>
      <c r="JJ103" s="552"/>
      <c r="JK103" s="552"/>
      <c r="JL103" s="552"/>
      <c r="JM103" s="552"/>
      <c r="JN103" s="552"/>
      <c r="JO103" s="552"/>
      <c r="JP103" s="552"/>
      <c r="JQ103" s="552"/>
      <c r="JR103" s="552"/>
      <c r="JS103" s="552"/>
      <c r="JT103" s="552"/>
      <c r="JU103" s="552"/>
      <c r="JV103" s="552"/>
      <c r="JW103" s="552"/>
      <c r="JX103" s="552"/>
      <c r="JY103" s="552"/>
      <c r="JZ103" s="552"/>
      <c r="KA103" s="552"/>
      <c r="KB103" s="552"/>
      <c r="KC103" s="552"/>
      <c r="KD103" s="552"/>
      <c r="KE103" s="552"/>
      <c r="KF103" s="552"/>
      <c r="KG103" s="552"/>
      <c r="KH103" s="552"/>
      <c r="KI103" s="552"/>
      <c r="KJ103" s="552"/>
      <c r="KK103" s="552"/>
      <c r="KL103" s="552"/>
      <c r="KM103" s="552"/>
      <c r="KN103" s="552"/>
      <c r="KO103" s="552"/>
      <c r="KP103" s="552"/>
      <c r="KQ103" s="552"/>
      <c r="KR103" s="155"/>
      <c r="KS103" s="155"/>
      <c r="KV103" s="1052"/>
      <c r="KW103" s="1052"/>
      <c r="KX103" s="1052"/>
      <c r="KY103" s="1052"/>
      <c r="KZ103" s="1052"/>
      <c r="LA103" s="1052"/>
      <c r="LB103" s="1052"/>
      <c r="LC103" s="1052"/>
      <c r="LD103" s="1052"/>
      <c r="LE103" s="1052"/>
      <c r="LF103" s="1052"/>
      <c r="LG103" s="1052"/>
      <c r="LH103" s="1052"/>
      <c r="LI103" s="1052"/>
      <c r="LJ103" s="1052"/>
      <c r="LK103" s="1052"/>
      <c r="LL103" s="1052"/>
      <c r="LM103" s="1052"/>
      <c r="LN103" s="1052"/>
      <c r="LO103" s="1052"/>
      <c r="LP103" s="1052"/>
      <c r="LQ103" s="1052"/>
      <c r="LR103" s="1052"/>
      <c r="LS103" s="1052"/>
      <c r="LT103" s="1052"/>
      <c r="LU103" s="1052"/>
      <c r="LV103" s="1052"/>
      <c r="LW103" s="1052"/>
      <c r="LX103" s="1052"/>
      <c r="LY103" s="1052"/>
      <c r="LZ103" s="1052"/>
      <c r="MA103" s="1052"/>
      <c r="MB103" s="1052"/>
      <c r="MD103" s="1052" t="s">
        <v>6443</v>
      </c>
      <c r="ME103" s="1052"/>
      <c r="MF103" s="1052"/>
      <c r="MG103" s="1052"/>
      <c r="MH103" s="1052"/>
      <c r="MI103" s="1052"/>
      <c r="MJ103" s="1052"/>
      <c r="MK103" s="1052"/>
      <c r="ML103" s="1052"/>
      <c r="MM103" s="1052"/>
      <c r="MN103" s="1052"/>
      <c r="MO103" s="1052"/>
      <c r="NP103" s="155"/>
      <c r="NQ103" s="155"/>
      <c r="QN103" s="155"/>
      <c r="QO103" s="155"/>
      <c r="TL103" s="155"/>
    </row>
    <row r="104" spans="1:532" ht="6.75" customHeight="1" x14ac:dyDescent="0.25">
      <c r="A104" s="155"/>
      <c r="B104" s="512"/>
      <c r="C104" s="1183"/>
      <c r="D104" s="1184"/>
      <c r="E104" s="1184"/>
      <c r="F104" s="1184"/>
      <c r="G104" s="1184"/>
      <c r="H104" s="1184"/>
      <c r="I104" s="1184"/>
      <c r="J104" s="1184"/>
      <c r="K104" s="1184"/>
      <c r="L104" s="1184"/>
      <c r="M104" s="1184"/>
      <c r="N104" s="1184"/>
      <c r="O104" s="1184"/>
      <c r="P104" s="1184"/>
      <c r="Q104" s="1184"/>
      <c r="R104" s="1184"/>
      <c r="S104" s="1184"/>
      <c r="T104" s="1184"/>
      <c r="U104" s="1184"/>
      <c r="V104" s="1184"/>
      <c r="W104" s="1184"/>
      <c r="X104" s="1184"/>
      <c r="Y104" s="1184"/>
      <c r="Z104" s="1184"/>
      <c r="AA104" s="1184"/>
      <c r="AB104" s="1184"/>
      <c r="AC104" s="1184"/>
      <c r="AD104" s="1184"/>
      <c r="AE104" s="1184"/>
      <c r="AF104" s="1184"/>
      <c r="AG104" s="1184"/>
      <c r="AH104" s="1184"/>
      <c r="AI104" s="1184"/>
      <c r="AJ104" s="1184"/>
      <c r="AK104" s="1184"/>
      <c r="AL104" s="1185"/>
      <c r="AM104" s="507"/>
      <c r="AN104" s="507"/>
      <c r="AO104" s="1192"/>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4"/>
      <c r="BW104" s="513"/>
      <c r="BX104" s="155"/>
      <c r="BY104" s="155"/>
      <c r="BZ104" s="150"/>
      <c r="CA104" s="1234"/>
      <c r="CB104" s="1234"/>
      <c r="CC104" s="1234"/>
      <c r="CD104" s="1234"/>
      <c r="CE104" s="1234"/>
      <c r="CF104" s="1234"/>
      <c r="CG104" s="1234"/>
      <c r="CH104" s="1234"/>
      <c r="CI104" s="1234"/>
      <c r="CJ104" s="1234"/>
      <c r="CK104" s="1234"/>
      <c r="CL104" s="1234"/>
      <c r="CM104" s="1234"/>
      <c r="CN104" s="1234"/>
      <c r="CO104" s="1234"/>
      <c r="CP104" s="1234"/>
      <c r="CQ104" s="1234"/>
      <c r="CR104" s="1234"/>
      <c r="CS104" s="1234"/>
      <c r="CT104" s="1234"/>
      <c r="CU104" s="1234"/>
      <c r="CV104" s="1234"/>
      <c r="CW104" s="1234"/>
      <c r="CX104" s="1234"/>
      <c r="CZ104" s="1119"/>
      <c r="DA104" s="1119"/>
      <c r="DB104" s="1119"/>
      <c r="DC104" s="1119"/>
      <c r="DD104" s="1119"/>
      <c r="DE104" s="1119"/>
      <c r="DF104" s="1119"/>
      <c r="DG104" s="1119"/>
      <c r="DH104" s="1119"/>
      <c r="DI104" s="1119"/>
      <c r="DJ104" s="1119"/>
      <c r="DK104" s="1119"/>
      <c r="DL104" s="1119"/>
      <c r="DM104" s="1119"/>
      <c r="DN104" s="1119"/>
      <c r="DO104" s="1119"/>
      <c r="DP104" s="1119"/>
      <c r="DQ104" s="1119"/>
      <c r="DR104" s="1119"/>
      <c r="DS104" s="1119"/>
      <c r="DT104" s="1119"/>
      <c r="DU104" s="1119"/>
      <c r="DV104" s="1119"/>
      <c r="DW104" s="1119"/>
      <c r="DY104" s="1120"/>
      <c r="DZ104" s="1120"/>
      <c r="EA104" s="1120"/>
      <c r="EB104" s="1120"/>
      <c r="EC104" s="1120"/>
      <c r="ED104" s="1120"/>
      <c r="EE104" s="1120"/>
      <c r="EF104" s="1120"/>
      <c r="EG104" s="1120"/>
      <c r="EH104" s="1120"/>
      <c r="EI104" s="1120"/>
      <c r="EJ104" s="1120"/>
      <c r="EK104" s="1120"/>
      <c r="EL104" s="1120"/>
      <c r="EM104" s="1120"/>
      <c r="EN104" s="1120"/>
      <c r="EO104" s="1120"/>
      <c r="EP104" s="1120"/>
      <c r="EQ104" s="1120"/>
      <c r="ER104" s="1120"/>
      <c r="ES104" s="1120"/>
      <c r="ET104" s="1120"/>
      <c r="EU104" s="1120"/>
      <c r="EW104" s="155"/>
      <c r="EX104" s="552"/>
      <c r="EY104" s="552"/>
      <c r="EZ104" s="552"/>
      <c r="FA104" s="552"/>
      <c r="FB104" s="552"/>
      <c r="FC104" s="552"/>
      <c r="FD104" s="552"/>
      <c r="FE104" s="552"/>
      <c r="FF104" s="552"/>
      <c r="FG104" s="552"/>
      <c r="FH104" s="552"/>
      <c r="FI104" s="552"/>
      <c r="FJ104" s="552"/>
      <c r="FK104" s="552"/>
      <c r="FL104" s="552"/>
      <c r="FM104" s="552"/>
      <c r="FN104" s="552"/>
      <c r="FO104" s="552"/>
      <c r="FP104" s="552"/>
      <c r="FQ104" s="552"/>
      <c r="FR104" s="552"/>
      <c r="FS104" s="552"/>
      <c r="FT104" s="552"/>
      <c r="FU104" s="552"/>
      <c r="FV104" s="552"/>
      <c r="FW104" s="552"/>
      <c r="FX104" s="552"/>
      <c r="FY104" s="552"/>
      <c r="FZ104" s="552"/>
      <c r="GA104" s="552"/>
      <c r="GB104" s="552"/>
      <c r="GC104" s="552"/>
      <c r="GD104" s="552"/>
      <c r="GE104" s="552"/>
      <c r="GF104" s="552"/>
      <c r="GG104" s="552"/>
      <c r="GH104" s="552"/>
      <c r="GI104" s="552"/>
      <c r="GJ104" s="552"/>
      <c r="GK104" s="552"/>
      <c r="GL104" s="552"/>
      <c r="GM104" s="552"/>
      <c r="GN104" s="552"/>
      <c r="GO104" s="552"/>
      <c r="GP104" s="552"/>
      <c r="GQ104" s="552"/>
      <c r="GR104" s="552"/>
      <c r="GS104" s="552"/>
      <c r="GT104" s="552"/>
      <c r="GU104" s="552"/>
      <c r="GV104" s="552"/>
      <c r="GW104" s="552"/>
      <c r="GX104" s="552"/>
      <c r="GY104" s="552"/>
      <c r="GZ104" s="552"/>
      <c r="HA104" s="552"/>
      <c r="HB104" s="552"/>
      <c r="HC104" s="552"/>
      <c r="HD104" s="552"/>
      <c r="HE104" s="552"/>
      <c r="HF104" s="552"/>
      <c r="HG104" s="552"/>
      <c r="HH104" s="552"/>
      <c r="HI104" s="552"/>
      <c r="HJ104" s="552"/>
      <c r="HK104" s="552"/>
      <c r="HL104" s="552"/>
      <c r="HM104" s="552"/>
      <c r="HN104" s="552"/>
      <c r="HO104" s="552"/>
      <c r="HP104" s="552"/>
      <c r="HQ104" s="552"/>
      <c r="HR104" s="552"/>
      <c r="HS104" s="552"/>
      <c r="HT104" s="155"/>
      <c r="HU104" s="155"/>
      <c r="HV104" s="552"/>
      <c r="HW104" s="552"/>
      <c r="HX104" s="552"/>
      <c r="HY104" s="552"/>
      <c r="HZ104" s="552"/>
      <c r="IA104" s="552"/>
      <c r="IB104" s="552"/>
      <c r="IC104" s="552"/>
      <c r="ID104" s="552"/>
      <c r="IE104" s="552"/>
      <c r="IF104" s="552"/>
      <c r="IG104" s="552"/>
      <c r="IH104" s="552"/>
      <c r="II104" s="552"/>
      <c r="IJ104" s="552"/>
      <c r="IK104" s="552"/>
      <c r="IL104" s="552"/>
      <c r="IM104" s="552"/>
      <c r="IN104" s="552"/>
      <c r="IO104" s="552"/>
      <c r="IP104" s="552"/>
      <c r="IQ104" s="552"/>
      <c r="IR104" s="552"/>
      <c r="IS104" s="552"/>
      <c r="IT104" s="552"/>
      <c r="IU104" s="552"/>
      <c r="IV104" s="552"/>
      <c r="IW104" s="552"/>
      <c r="IX104" s="552"/>
      <c r="IY104" s="552"/>
      <c r="IZ104" s="552"/>
      <c r="JA104" s="552"/>
      <c r="JB104" s="552"/>
      <c r="JC104" s="552"/>
      <c r="JD104" s="552"/>
      <c r="JE104" s="552"/>
      <c r="JF104" s="552"/>
      <c r="JG104" s="552"/>
      <c r="JH104" s="552"/>
      <c r="JI104" s="552"/>
      <c r="JJ104" s="552"/>
      <c r="JK104" s="552"/>
      <c r="JL104" s="552"/>
      <c r="JM104" s="552"/>
      <c r="JN104" s="552"/>
      <c r="JO104" s="552"/>
      <c r="JP104" s="552"/>
      <c r="JQ104" s="552"/>
      <c r="JR104" s="552"/>
      <c r="JS104" s="552"/>
      <c r="JT104" s="552"/>
      <c r="JU104" s="552"/>
      <c r="JV104" s="552"/>
      <c r="JW104" s="552"/>
      <c r="JX104" s="552"/>
      <c r="JY104" s="552"/>
      <c r="JZ104" s="552"/>
      <c r="KA104" s="552"/>
      <c r="KB104" s="552"/>
      <c r="KC104" s="552"/>
      <c r="KD104" s="552"/>
      <c r="KE104" s="552"/>
      <c r="KF104" s="552"/>
      <c r="KG104" s="552"/>
      <c r="KH104" s="552"/>
      <c r="KI104" s="552"/>
      <c r="KJ104" s="552"/>
      <c r="KK104" s="552"/>
      <c r="KL104" s="552"/>
      <c r="KM104" s="552"/>
      <c r="KN104" s="552"/>
      <c r="KO104" s="552"/>
      <c r="KP104" s="552"/>
      <c r="KQ104" s="552"/>
      <c r="KR104" s="155"/>
      <c r="KS104" s="155"/>
      <c r="KV104" s="1052"/>
      <c r="KW104" s="1052"/>
      <c r="KX104" s="1052"/>
      <c r="KY104" s="1052"/>
      <c r="KZ104" s="1052"/>
      <c r="LA104" s="1052"/>
      <c r="LB104" s="1052"/>
      <c r="LC104" s="1052"/>
      <c r="LD104" s="1052"/>
      <c r="LE104" s="1052"/>
      <c r="LF104" s="1052"/>
      <c r="LG104" s="1052"/>
      <c r="LH104" s="1052"/>
      <c r="LI104" s="1052"/>
      <c r="LJ104" s="1052"/>
      <c r="LK104" s="1052"/>
      <c r="LL104" s="1052"/>
      <c r="LM104" s="1052"/>
      <c r="LN104" s="1052"/>
      <c r="LO104" s="1052"/>
      <c r="LP104" s="1052"/>
      <c r="LQ104" s="1052"/>
      <c r="LR104" s="1052"/>
      <c r="LS104" s="1052"/>
      <c r="LT104" s="1052"/>
      <c r="LU104" s="1052"/>
      <c r="LV104" s="1052"/>
      <c r="LW104" s="1052"/>
      <c r="LX104" s="1052"/>
      <c r="LY104" s="1052"/>
      <c r="LZ104" s="1052"/>
      <c r="MA104" s="1052"/>
      <c r="MB104" s="1052"/>
      <c r="MD104" s="1052"/>
      <c r="ME104" s="1052"/>
      <c r="MF104" s="1052"/>
      <c r="MG104" s="1052"/>
      <c r="MH104" s="1052"/>
      <c r="MI104" s="1052"/>
      <c r="MJ104" s="1052"/>
      <c r="MK104" s="1052"/>
      <c r="ML104" s="1052"/>
      <c r="MM104" s="1052"/>
      <c r="MN104" s="1052"/>
      <c r="MO104" s="1052"/>
      <c r="NP104" s="155"/>
      <c r="NQ104" s="155"/>
      <c r="QN104" s="155"/>
      <c r="QO104" s="155"/>
      <c r="TL104" s="155"/>
    </row>
    <row r="105" spans="1:532" ht="6.75" customHeight="1" x14ac:dyDescent="0.25">
      <c r="A105" s="155"/>
      <c r="B105" s="512"/>
      <c r="C105" s="1183"/>
      <c r="D105" s="1184"/>
      <c r="E105" s="1184"/>
      <c r="F105" s="1184"/>
      <c r="G105" s="1184"/>
      <c r="H105" s="1184"/>
      <c r="I105" s="1184"/>
      <c r="J105" s="1184"/>
      <c r="K105" s="1184"/>
      <c r="L105" s="1184"/>
      <c r="M105" s="1184"/>
      <c r="N105" s="1184"/>
      <c r="O105" s="1184"/>
      <c r="P105" s="1184"/>
      <c r="Q105" s="1184"/>
      <c r="R105" s="1184"/>
      <c r="S105" s="1184"/>
      <c r="T105" s="1184"/>
      <c r="U105" s="1184"/>
      <c r="V105" s="1184"/>
      <c r="W105" s="1184"/>
      <c r="X105" s="1184"/>
      <c r="Y105" s="1184"/>
      <c r="Z105" s="1184"/>
      <c r="AA105" s="1184"/>
      <c r="AB105" s="1184"/>
      <c r="AC105" s="1184"/>
      <c r="AD105" s="1184"/>
      <c r="AE105" s="1184"/>
      <c r="AF105" s="1184"/>
      <c r="AG105" s="1184"/>
      <c r="AH105" s="1184"/>
      <c r="AI105" s="1184"/>
      <c r="AJ105" s="1184"/>
      <c r="AK105" s="1184"/>
      <c r="AL105" s="1185"/>
      <c r="AM105" s="507"/>
      <c r="AN105" s="507"/>
      <c r="AO105" s="1192"/>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4"/>
      <c r="BW105" s="513"/>
      <c r="BX105" s="155"/>
      <c r="BY105" s="155"/>
      <c r="BZ105" s="150"/>
      <c r="CA105" s="1234"/>
      <c r="CB105" s="1234"/>
      <c r="CC105" s="1234"/>
      <c r="CD105" s="1234"/>
      <c r="CE105" s="1234"/>
      <c r="CF105" s="1234"/>
      <c r="CG105" s="1234"/>
      <c r="CH105" s="1234"/>
      <c r="CI105" s="1234"/>
      <c r="CJ105" s="1234"/>
      <c r="CK105" s="1234"/>
      <c r="CL105" s="1234"/>
      <c r="CM105" s="1234"/>
      <c r="CN105" s="1234"/>
      <c r="CO105" s="1234"/>
      <c r="CP105" s="1234"/>
      <c r="CQ105" s="1234"/>
      <c r="CR105" s="1234"/>
      <c r="CS105" s="1234"/>
      <c r="CT105" s="1234"/>
      <c r="CU105" s="1234"/>
      <c r="CV105" s="1234"/>
      <c r="CW105" s="1234"/>
      <c r="CX105" s="1234"/>
      <c r="CZ105" s="1119"/>
      <c r="DA105" s="1119"/>
      <c r="DB105" s="1119"/>
      <c r="DC105" s="1119"/>
      <c r="DD105" s="1119"/>
      <c r="DE105" s="1119"/>
      <c r="DF105" s="1119"/>
      <c r="DG105" s="1119"/>
      <c r="DH105" s="1119"/>
      <c r="DI105" s="1119"/>
      <c r="DJ105" s="1119"/>
      <c r="DK105" s="1119"/>
      <c r="DL105" s="1119"/>
      <c r="DM105" s="1119"/>
      <c r="DN105" s="1119"/>
      <c r="DO105" s="1119"/>
      <c r="DP105" s="1119"/>
      <c r="DQ105" s="1119"/>
      <c r="DR105" s="1119"/>
      <c r="DS105" s="1119"/>
      <c r="DT105" s="1119"/>
      <c r="DU105" s="1119"/>
      <c r="DV105" s="1119"/>
      <c r="DW105" s="1119"/>
      <c r="DY105" s="1121"/>
      <c r="DZ105" s="1121"/>
      <c r="EA105" s="1121"/>
      <c r="EB105" s="1121"/>
      <c r="EC105" s="1121"/>
      <c r="ED105" s="1121"/>
      <c r="EE105" s="1121"/>
      <c r="EF105" s="1121"/>
      <c r="EG105" s="1121"/>
      <c r="EH105" s="1121"/>
      <c r="EI105" s="1121"/>
      <c r="EJ105" s="1121"/>
      <c r="EK105" s="1121"/>
      <c r="EL105" s="1121"/>
      <c r="EM105" s="1121"/>
      <c r="EN105" s="1121"/>
      <c r="EO105" s="1121"/>
      <c r="EP105" s="1121"/>
      <c r="EQ105" s="1121"/>
      <c r="ER105" s="1121"/>
      <c r="ES105" s="1121"/>
      <c r="ET105" s="1121"/>
      <c r="EU105" s="1121"/>
      <c r="EW105" s="155"/>
      <c r="EX105" s="552"/>
      <c r="EY105" s="552"/>
      <c r="EZ105" s="552"/>
      <c r="FA105" s="552"/>
      <c r="FB105" s="552"/>
      <c r="FC105" s="552"/>
      <c r="FD105" s="552"/>
      <c r="FE105" s="552"/>
      <c r="FF105" s="552"/>
      <c r="FG105" s="552"/>
      <c r="FH105" s="552"/>
      <c r="FI105" s="552"/>
      <c r="FJ105" s="552"/>
      <c r="FK105" s="552"/>
      <c r="FL105" s="552"/>
      <c r="FM105" s="552"/>
      <c r="FN105" s="552"/>
      <c r="FO105" s="552"/>
      <c r="FP105" s="552"/>
      <c r="FQ105" s="552"/>
      <c r="FR105" s="552"/>
      <c r="FS105" s="552"/>
      <c r="FT105" s="552"/>
      <c r="FU105" s="552"/>
      <c r="FV105" s="552"/>
      <c r="FW105" s="552"/>
      <c r="FX105" s="552"/>
      <c r="FY105" s="552"/>
      <c r="FZ105" s="552"/>
      <c r="GA105" s="552"/>
      <c r="GB105" s="552"/>
      <c r="GC105" s="552"/>
      <c r="GD105" s="552"/>
      <c r="GE105" s="552"/>
      <c r="GF105" s="552"/>
      <c r="GG105" s="552"/>
      <c r="GH105" s="552"/>
      <c r="GI105" s="552"/>
      <c r="GJ105" s="552"/>
      <c r="GK105" s="552"/>
      <c r="GL105" s="552"/>
      <c r="GM105" s="552"/>
      <c r="GN105" s="552"/>
      <c r="GO105" s="552"/>
      <c r="GP105" s="552"/>
      <c r="GQ105" s="552"/>
      <c r="GR105" s="552"/>
      <c r="GS105" s="552"/>
      <c r="GT105" s="552"/>
      <c r="GU105" s="552"/>
      <c r="GV105" s="552"/>
      <c r="GW105" s="552"/>
      <c r="GX105" s="552"/>
      <c r="GY105" s="552"/>
      <c r="GZ105" s="552"/>
      <c r="HA105" s="552"/>
      <c r="HB105" s="552"/>
      <c r="HC105" s="552"/>
      <c r="HD105" s="552"/>
      <c r="HE105" s="552"/>
      <c r="HF105" s="552"/>
      <c r="HG105" s="552"/>
      <c r="HH105" s="552"/>
      <c r="HI105" s="552"/>
      <c r="HJ105" s="552"/>
      <c r="HK105" s="552"/>
      <c r="HL105" s="552"/>
      <c r="HM105" s="552"/>
      <c r="HN105" s="552"/>
      <c r="HO105" s="552"/>
      <c r="HP105" s="552"/>
      <c r="HQ105" s="552"/>
      <c r="HR105" s="552"/>
      <c r="HS105" s="552"/>
      <c r="HT105" s="155"/>
      <c r="HU105" s="155"/>
      <c r="HV105" s="552"/>
      <c r="HW105" s="552"/>
      <c r="HX105" s="552"/>
      <c r="HY105" s="552"/>
      <c r="HZ105" s="552"/>
      <c r="IA105" s="552"/>
      <c r="IB105" s="552"/>
      <c r="IC105" s="552"/>
      <c r="ID105" s="552"/>
      <c r="IE105" s="552"/>
      <c r="IF105" s="552"/>
      <c r="IG105" s="552"/>
      <c r="IH105" s="552"/>
      <c r="II105" s="552"/>
      <c r="IJ105" s="552"/>
      <c r="IK105" s="552"/>
      <c r="IL105" s="552"/>
      <c r="IM105" s="552"/>
      <c r="IN105" s="552"/>
      <c r="IO105" s="552"/>
      <c r="IP105" s="552"/>
      <c r="IQ105" s="552"/>
      <c r="IR105" s="552"/>
      <c r="IS105" s="552"/>
      <c r="IT105" s="552"/>
      <c r="IU105" s="552"/>
      <c r="IV105" s="552"/>
      <c r="IW105" s="552"/>
      <c r="IX105" s="552"/>
      <c r="IY105" s="552"/>
      <c r="IZ105" s="552"/>
      <c r="JA105" s="552"/>
      <c r="JB105" s="552"/>
      <c r="JC105" s="552"/>
      <c r="JD105" s="552"/>
      <c r="JE105" s="552"/>
      <c r="JF105" s="552"/>
      <c r="JG105" s="552"/>
      <c r="JH105" s="552"/>
      <c r="JI105" s="552"/>
      <c r="JJ105" s="552"/>
      <c r="JK105" s="552"/>
      <c r="JL105" s="552"/>
      <c r="JM105" s="552"/>
      <c r="JN105" s="552"/>
      <c r="JO105" s="552"/>
      <c r="JP105" s="552"/>
      <c r="JQ105" s="552"/>
      <c r="JR105" s="552"/>
      <c r="JS105" s="552"/>
      <c r="JT105" s="552"/>
      <c r="JU105" s="552"/>
      <c r="JV105" s="552"/>
      <c r="JW105" s="552"/>
      <c r="JX105" s="552"/>
      <c r="JY105" s="552"/>
      <c r="JZ105" s="552"/>
      <c r="KA105" s="552"/>
      <c r="KB105" s="552"/>
      <c r="KC105" s="552"/>
      <c r="KD105" s="552"/>
      <c r="KE105" s="552"/>
      <c r="KF105" s="552"/>
      <c r="KG105" s="552"/>
      <c r="KH105" s="552"/>
      <c r="KI105" s="552"/>
      <c r="KJ105" s="552"/>
      <c r="KK105" s="552"/>
      <c r="KL105" s="552"/>
      <c r="KM105" s="552"/>
      <c r="KN105" s="552"/>
      <c r="KO105" s="552"/>
      <c r="KP105" s="552"/>
      <c r="KQ105" s="552"/>
      <c r="KR105" s="155"/>
      <c r="KS105" s="155"/>
      <c r="KV105" s="1052"/>
      <c r="KW105" s="1052"/>
      <c r="KX105" s="1052"/>
      <c r="KY105" s="1052"/>
      <c r="KZ105" s="1052"/>
      <c r="LA105" s="1052"/>
      <c r="LB105" s="1052"/>
      <c r="LC105" s="1052"/>
      <c r="LD105" s="1052"/>
      <c r="LE105" s="1052"/>
      <c r="LF105" s="1052"/>
      <c r="LG105" s="1052"/>
      <c r="LH105" s="1052"/>
      <c r="LI105" s="1052"/>
      <c r="LJ105" s="1052"/>
      <c r="LK105" s="1052"/>
      <c r="LL105" s="1052"/>
      <c r="LM105" s="1052"/>
      <c r="LN105" s="1052"/>
      <c r="LO105" s="1052"/>
      <c r="LP105" s="1052"/>
      <c r="LQ105" s="1052"/>
      <c r="LR105" s="1052"/>
      <c r="LS105" s="1052"/>
      <c r="LT105" s="1052"/>
      <c r="LU105" s="1052"/>
      <c r="LV105" s="1052"/>
      <c r="LW105" s="1052"/>
      <c r="LX105" s="1052"/>
      <c r="LY105" s="1052"/>
      <c r="LZ105" s="1052"/>
      <c r="MA105" s="1052"/>
      <c r="MB105" s="1052"/>
      <c r="MD105" s="1052"/>
      <c r="ME105" s="1052"/>
      <c r="MF105" s="1052"/>
      <c r="MG105" s="1052"/>
      <c r="MH105" s="1052"/>
      <c r="MI105" s="1052"/>
      <c r="MJ105" s="1052"/>
      <c r="MK105" s="1052"/>
      <c r="ML105" s="1052"/>
      <c r="MM105" s="1052"/>
      <c r="MN105" s="1052"/>
      <c r="MO105" s="1052"/>
      <c r="NP105" s="155"/>
      <c r="NQ105" s="155"/>
      <c r="QN105" s="155"/>
      <c r="QO105" s="155"/>
      <c r="TL105" s="155"/>
    </row>
    <row r="106" spans="1:532" ht="6.75" customHeight="1" x14ac:dyDescent="0.25">
      <c r="A106" s="155"/>
      <c r="B106" s="512"/>
      <c r="C106" s="1183"/>
      <c r="D106" s="1184"/>
      <c r="E106" s="1184"/>
      <c r="F106" s="1184"/>
      <c r="G106" s="1184"/>
      <c r="H106" s="1184"/>
      <c r="I106" s="1184"/>
      <c r="J106" s="1184"/>
      <c r="K106" s="1184"/>
      <c r="L106" s="1184"/>
      <c r="M106" s="1184"/>
      <c r="N106" s="1184"/>
      <c r="O106" s="1184"/>
      <c r="P106" s="1184"/>
      <c r="Q106" s="1184"/>
      <c r="R106" s="1184"/>
      <c r="S106" s="1184"/>
      <c r="T106" s="1184"/>
      <c r="U106" s="1184"/>
      <c r="V106" s="1184"/>
      <c r="W106" s="1184"/>
      <c r="X106" s="1184"/>
      <c r="Y106" s="1184"/>
      <c r="Z106" s="1184"/>
      <c r="AA106" s="1184"/>
      <c r="AB106" s="1184"/>
      <c r="AC106" s="1184"/>
      <c r="AD106" s="1184"/>
      <c r="AE106" s="1184"/>
      <c r="AF106" s="1184"/>
      <c r="AG106" s="1184"/>
      <c r="AH106" s="1184"/>
      <c r="AI106" s="1184"/>
      <c r="AJ106" s="1184"/>
      <c r="AK106" s="1184"/>
      <c r="AL106" s="1185"/>
      <c r="AM106" s="507"/>
      <c r="AN106" s="507"/>
      <c r="AO106" s="1192"/>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4"/>
      <c r="BW106" s="513"/>
      <c r="BX106" s="155"/>
      <c r="BY106" s="155"/>
      <c r="BZ106" s="150"/>
      <c r="CA106" s="1234"/>
      <c r="CB106" s="1234"/>
      <c r="CC106" s="1234"/>
      <c r="CD106" s="1234"/>
      <c r="CE106" s="1234"/>
      <c r="CF106" s="1234"/>
      <c r="CG106" s="1234"/>
      <c r="CH106" s="1234"/>
      <c r="CI106" s="1234"/>
      <c r="CJ106" s="1234"/>
      <c r="CK106" s="1234"/>
      <c r="CL106" s="1234"/>
      <c r="CM106" s="1234"/>
      <c r="CN106" s="1234"/>
      <c r="CO106" s="1234"/>
      <c r="CP106" s="1234"/>
      <c r="CQ106" s="1234"/>
      <c r="CR106" s="1234"/>
      <c r="CS106" s="1234"/>
      <c r="CT106" s="1234"/>
      <c r="CU106" s="1234"/>
      <c r="CV106" s="1234"/>
      <c r="CW106" s="1234"/>
      <c r="CX106" s="1234"/>
      <c r="CZ106" s="1119"/>
      <c r="DA106" s="1119"/>
      <c r="DB106" s="1119"/>
      <c r="DC106" s="1119"/>
      <c r="DD106" s="1119"/>
      <c r="DE106" s="1119"/>
      <c r="DF106" s="1119"/>
      <c r="DG106" s="1119"/>
      <c r="DH106" s="1119"/>
      <c r="DI106" s="1119"/>
      <c r="DJ106" s="1119"/>
      <c r="DK106" s="1119"/>
      <c r="DL106" s="1119"/>
      <c r="DM106" s="1119"/>
      <c r="DN106" s="1119"/>
      <c r="DO106" s="1119"/>
      <c r="DP106" s="1119"/>
      <c r="DQ106" s="1119"/>
      <c r="DR106" s="1119"/>
      <c r="DS106" s="1119"/>
      <c r="DT106" s="1119"/>
      <c r="DU106" s="1119"/>
      <c r="DV106" s="1119"/>
      <c r="DW106" s="1119"/>
      <c r="DY106" s="1120"/>
      <c r="DZ106" s="1120"/>
      <c r="EA106" s="1120"/>
      <c r="EB106" s="1120"/>
      <c r="EC106" s="1120"/>
      <c r="ED106" s="1120"/>
      <c r="EE106" s="1120"/>
      <c r="EF106" s="1120"/>
      <c r="EG106" s="1120"/>
      <c r="EH106" s="1120"/>
      <c r="EI106" s="1120"/>
      <c r="EJ106" s="1120"/>
      <c r="EK106" s="1120"/>
      <c r="EL106" s="1120"/>
      <c r="EM106" s="1120"/>
      <c r="EN106" s="1120"/>
      <c r="EO106" s="1120"/>
      <c r="EP106" s="1120"/>
      <c r="EQ106" s="1120"/>
      <c r="ER106" s="1120"/>
      <c r="ES106" s="1120"/>
      <c r="ET106" s="1120"/>
      <c r="EU106" s="1120"/>
      <c r="EW106" s="155"/>
      <c r="EX106" s="552"/>
      <c r="EY106" s="552"/>
      <c r="EZ106" s="552"/>
      <c r="FA106" s="552"/>
      <c r="FB106" s="552"/>
      <c r="FC106" s="552"/>
      <c r="FD106" s="552"/>
      <c r="FE106" s="552"/>
      <c r="FF106" s="552"/>
      <c r="FG106" s="552"/>
      <c r="FH106" s="552"/>
      <c r="FI106" s="552"/>
      <c r="FJ106" s="552"/>
      <c r="FK106" s="552"/>
      <c r="FL106" s="552"/>
      <c r="FM106" s="552"/>
      <c r="FN106" s="552"/>
      <c r="FO106" s="552"/>
      <c r="FP106" s="552"/>
      <c r="FQ106" s="552"/>
      <c r="FR106" s="552"/>
      <c r="FS106" s="552"/>
      <c r="FT106" s="552"/>
      <c r="FU106" s="552"/>
      <c r="FV106" s="552"/>
      <c r="FW106" s="552"/>
      <c r="FX106" s="552"/>
      <c r="FY106" s="552"/>
      <c r="FZ106" s="552"/>
      <c r="GA106" s="552"/>
      <c r="GB106" s="552"/>
      <c r="GC106" s="552"/>
      <c r="GD106" s="552"/>
      <c r="GE106" s="552"/>
      <c r="GF106" s="552"/>
      <c r="GG106" s="552"/>
      <c r="GH106" s="552"/>
      <c r="GI106" s="552"/>
      <c r="GJ106" s="552"/>
      <c r="GK106" s="552"/>
      <c r="GL106" s="552"/>
      <c r="GM106" s="552"/>
      <c r="GN106" s="552"/>
      <c r="GO106" s="552"/>
      <c r="GP106" s="552"/>
      <c r="GQ106" s="552"/>
      <c r="GR106" s="552"/>
      <c r="GS106" s="552"/>
      <c r="GT106" s="552"/>
      <c r="GU106" s="552"/>
      <c r="GV106" s="552"/>
      <c r="GW106" s="552"/>
      <c r="GX106" s="552"/>
      <c r="GY106" s="552"/>
      <c r="GZ106" s="552"/>
      <c r="HA106" s="552"/>
      <c r="HB106" s="552"/>
      <c r="HC106" s="552"/>
      <c r="HD106" s="552"/>
      <c r="HE106" s="552"/>
      <c r="HF106" s="552"/>
      <c r="HG106" s="552"/>
      <c r="HH106" s="552"/>
      <c r="HI106" s="552"/>
      <c r="HJ106" s="552"/>
      <c r="HK106" s="552"/>
      <c r="HL106" s="552"/>
      <c r="HM106" s="552"/>
      <c r="HN106" s="552"/>
      <c r="HO106" s="552"/>
      <c r="HP106" s="552"/>
      <c r="HQ106" s="552"/>
      <c r="HR106" s="552"/>
      <c r="HS106" s="552"/>
      <c r="HT106" s="155"/>
      <c r="HU106" s="155"/>
      <c r="HV106" s="552"/>
      <c r="HW106" s="552"/>
      <c r="HX106" s="552"/>
      <c r="HY106" s="552"/>
      <c r="HZ106" s="552"/>
      <c r="IA106" s="552"/>
      <c r="IB106" s="552"/>
      <c r="IC106" s="552"/>
      <c r="ID106" s="552"/>
      <c r="IE106" s="552"/>
      <c r="IF106" s="552"/>
      <c r="IG106" s="552"/>
      <c r="IH106" s="552"/>
      <c r="II106" s="552"/>
      <c r="IJ106" s="552"/>
      <c r="IK106" s="552"/>
      <c r="IL106" s="552"/>
      <c r="IM106" s="552"/>
      <c r="IN106" s="552"/>
      <c r="IO106" s="552"/>
      <c r="IP106" s="552"/>
      <c r="IQ106" s="552"/>
      <c r="IR106" s="552"/>
      <c r="IS106" s="552"/>
      <c r="IT106" s="552"/>
      <c r="IU106" s="552"/>
      <c r="IV106" s="552"/>
      <c r="IW106" s="552"/>
      <c r="IX106" s="552"/>
      <c r="IY106" s="552"/>
      <c r="IZ106" s="552"/>
      <c r="JA106" s="552"/>
      <c r="JB106" s="552"/>
      <c r="JC106" s="552"/>
      <c r="JD106" s="552"/>
      <c r="JE106" s="552"/>
      <c r="JF106" s="552"/>
      <c r="JG106" s="552"/>
      <c r="JH106" s="552"/>
      <c r="JI106" s="552"/>
      <c r="JJ106" s="552"/>
      <c r="JK106" s="552"/>
      <c r="JL106" s="552"/>
      <c r="JM106" s="552"/>
      <c r="JN106" s="552"/>
      <c r="JO106" s="552"/>
      <c r="JP106" s="552"/>
      <c r="JQ106" s="552"/>
      <c r="JR106" s="552"/>
      <c r="JS106" s="552"/>
      <c r="JT106" s="552"/>
      <c r="JU106" s="552"/>
      <c r="JV106" s="552"/>
      <c r="JW106" s="552"/>
      <c r="JX106" s="552"/>
      <c r="JY106" s="552"/>
      <c r="JZ106" s="552"/>
      <c r="KA106" s="552"/>
      <c r="KB106" s="552"/>
      <c r="KC106" s="552"/>
      <c r="KD106" s="552"/>
      <c r="KE106" s="552"/>
      <c r="KF106" s="552"/>
      <c r="KG106" s="552"/>
      <c r="KH106" s="552"/>
      <c r="KI106" s="552"/>
      <c r="KJ106" s="552"/>
      <c r="KK106" s="552"/>
      <c r="KL106" s="552"/>
      <c r="KM106" s="552"/>
      <c r="KN106" s="552"/>
      <c r="KO106" s="552"/>
      <c r="KP106" s="552"/>
      <c r="KQ106" s="552"/>
      <c r="KR106" s="155"/>
      <c r="KS106" s="155"/>
      <c r="KV106" s="1052"/>
      <c r="KW106" s="1052"/>
      <c r="KX106" s="1052"/>
      <c r="KY106" s="1052"/>
      <c r="KZ106" s="1052"/>
      <c r="LA106" s="1052"/>
      <c r="LB106" s="1052"/>
      <c r="LC106" s="1052"/>
      <c r="LD106" s="1052"/>
      <c r="LE106" s="1052"/>
      <c r="LF106" s="1052"/>
      <c r="LG106" s="1052"/>
      <c r="LH106" s="1052"/>
      <c r="LI106" s="1052"/>
      <c r="LJ106" s="1052"/>
      <c r="LK106" s="1052"/>
      <c r="LL106" s="1052"/>
      <c r="LM106" s="1052"/>
      <c r="LN106" s="1052"/>
      <c r="LO106" s="1052"/>
      <c r="LP106" s="1052"/>
      <c r="LQ106" s="1052"/>
      <c r="LR106" s="1052"/>
      <c r="LS106" s="1052"/>
      <c r="LT106" s="1052"/>
      <c r="LU106" s="1052"/>
      <c r="LV106" s="1052"/>
      <c r="LW106" s="1052"/>
      <c r="LX106" s="1052"/>
      <c r="LY106" s="1052"/>
      <c r="LZ106" s="1052"/>
      <c r="MA106" s="1052"/>
      <c r="MB106" s="1052"/>
      <c r="MD106" s="1052" t="s">
        <v>6444</v>
      </c>
      <c r="ME106" s="1052"/>
      <c r="MF106" s="1052"/>
      <c r="MG106" s="1052"/>
      <c r="MH106" s="1052"/>
      <c r="MI106" s="1052"/>
      <c r="MJ106" s="1052"/>
      <c r="MK106" s="1052"/>
      <c r="ML106" s="1052"/>
      <c r="MM106" s="1052"/>
      <c r="MN106" s="1052"/>
      <c r="MO106" s="1052"/>
      <c r="NP106" s="155"/>
      <c r="NQ106" s="155"/>
      <c r="QN106" s="155"/>
      <c r="QO106" s="155"/>
      <c r="TL106" s="155"/>
    </row>
    <row r="107" spans="1:532" ht="6.75" customHeight="1" x14ac:dyDescent="0.25">
      <c r="A107" s="155"/>
      <c r="B107" s="512"/>
      <c r="C107" s="1183"/>
      <c r="D107" s="1184"/>
      <c r="E107" s="1184"/>
      <c r="F107" s="1184"/>
      <c r="G107" s="1184"/>
      <c r="H107" s="1184"/>
      <c r="I107" s="1184"/>
      <c r="J107" s="1184"/>
      <c r="K107" s="1184"/>
      <c r="L107" s="1184"/>
      <c r="M107" s="1184"/>
      <c r="N107" s="1184"/>
      <c r="O107" s="1184"/>
      <c r="P107" s="1184"/>
      <c r="Q107" s="1184"/>
      <c r="R107" s="1184"/>
      <c r="S107" s="1184"/>
      <c r="T107" s="1184"/>
      <c r="U107" s="1184"/>
      <c r="V107" s="1184"/>
      <c r="W107" s="1184"/>
      <c r="X107" s="1184"/>
      <c r="Y107" s="1184"/>
      <c r="Z107" s="1184"/>
      <c r="AA107" s="1184"/>
      <c r="AB107" s="1184"/>
      <c r="AC107" s="1184"/>
      <c r="AD107" s="1184"/>
      <c r="AE107" s="1184"/>
      <c r="AF107" s="1184"/>
      <c r="AG107" s="1184"/>
      <c r="AH107" s="1184"/>
      <c r="AI107" s="1184"/>
      <c r="AJ107" s="1184"/>
      <c r="AK107" s="1184"/>
      <c r="AL107" s="1185"/>
      <c r="AM107" s="507"/>
      <c r="AN107" s="507"/>
      <c r="AO107" s="1192"/>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4"/>
      <c r="BW107" s="513"/>
      <c r="BX107" s="155"/>
      <c r="BY107" s="155"/>
      <c r="BZ107" s="150"/>
      <c r="CA107" s="1234"/>
      <c r="CB107" s="1234"/>
      <c r="CC107" s="1234"/>
      <c r="CD107" s="1234"/>
      <c r="CE107" s="1234"/>
      <c r="CF107" s="1234"/>
      <c r="CG107" s="1234"/>
      <c r="CH107" s="1234"/>
      <c r="CI107" s="1234"/>
      <c r="CJ107" s="1234"/>
      <c r="CK107" s="1234"/>
      <c r="CL107" s="1234"/>
      <c r="CM107" s="1234"/>
      <c r="CN107" s="1234"/>
      <c r="CO107" s="1234"/>
      <c r="CP107" s="1234"/>
      <c r="CQ107" s="1234"/>
      <c r="CR107" s="1234"/>
      <c r="CS107" s="1234"/>
      <c r="CT107" s="1234"/>
      <c r="CU107" s="1234"/>
      <c r="CV107" s="1234"/>
      <c r="CW107" s="1234"/>
      <c r="CX107" s="1234"/>
      <c r="CZ107" s="1119"/>
      <c r="DA107" s="1119"/>
      <c r="DB107" s="1119"/>
      <c r="DC107" s="1119"/>
      <c r="DD107" s="1119"/>
      <c r="DE107" s="1119"/>
      <c r="DF107" s="1119"/>
      <c r="DG107" s="1119"/>
      <c r="DH107" s="1119"/>
      <c r="DI107" s="1119"/>
      <c r="DJ107" s="1119"/>
      <c r="DK107" s="1119"/>
      <c r="DL107" s="1119"/>
      <c r="DM107" s="1119"/>
      <c r="DN107" s="1119"/>
      <c r="DO107" s="1119"/>
      <c r="DP107" s="1119"/>
      <c r="DQ107" s="1119"/>
      <c r="DR107" s="1119"/>
      <c r="DS107" s="1119"/>
      <c r="DT107" s="1119"/>
      <c r="DU107" s="1119"/>
      <c r="DV107" s="1119"/>
      <c r="DW107" s="1119"/>
      <c r="DY107" s="1121"/>
      <c r="DZ107" s="1121"/>
      <c r="EA107" s="1121"/>
      <c r="EB107" s="1121"/>
      <c r="EC107" s="1121"/>
      <c r="ED107" s="1121"/>
      <c r="EE107" s="1121"/>
      <c r="EF107" s="1121"/>
      <c r="EG107" s="1121"/>
      <c r="EH107" s="1121"/>
      <c r="EI107" s="1121"/>
      <c r="EJ107" s="1121"/>
      <c r="EK107" s="1121"/>
      <c r="EL107" s="1121"/>
      <c r="EM107" s="1121"/>
      <c r="EN107" s="1121"/>
      <c r="EO107" s="1121"/>
      <c r="EP107" s="1121"/>
      <c r="EQ107" s="1121"/>
      <c r="ER107" s="1121"/>
      <c r="ES107" s="1121"/>
      <c r="ET107" s="1121"/>
      <c r="EU107" s="1121"/>
      <c r="EW107" s="155"/>
      <c r="EX107" s="552"/>
      <c r="EY107" s="552"/>
      <c r="EZ107" s="552"/>
      <c r="FA107" s="552"/>
      <c r="FB107" s="552"/>
      <c r="FC107" s="552"/>
      <c r="FD107" s="552"/>
      <c r="FE107" s="552"/>
      <c r="FF107" s="552"/>
      <c r="FG107" s="552"/>
      <c r="FH107" s="552"/>
      <c r="FI107" s="552"/>
      <c r="FJ107" s="552"/>
      <c r="FK107" s="552"/>
      <c r="FL107" s="552"/>
      <c r="FM107" s="552"/>
      <c r="FN107" s="552"/>
      <c r="FO107" s="552"/>
      <c r="FP107" s="552"/>
      <c r="FQ107" s="552"/>
      <c r="FR107" s="552"/>
      <c r="FS107" s="552"/>
      <c r="FT107" s="552"/>
      <c r="FU107" s="552"/>
      <c r="FV107" s="552"/>
      <c r="FW107" s="552"/>
      <c r="FX107" s="552"/>
      <c r="FY107" s="552"/>
      <c r="FZ107" s="552"/>
      <c r="GA107" s="552"/>
      <c r="GB107" s="552"/>
      <c r="GC107" s="552"/>
      <c r="GD107" s="552"/>
      <c r="GE107" s="552"/>
      <c r="GF107" s="552"/>
      <c r="GG107" s="552"/>
      <c r="GH107" s="552"/>
      <c r="GI107" s="552"/>
      <c r="GJ107" s="552"/>
      <c r="GK107" s="552"/>
      <c r="GL107" s="552"/>
      <c r="GM107" s="552"/>
      <c r="GN107" s="552"/>
      <c r="GO107" s="552"/>
      <c r="GP107" s="552"/>
      <c r="GQ107" s="552"/>
      <c r="GR107" s="552"/>
      <c r="GS107" s="552"/>
      <c r="GT107" s="552"/>
      <c r="GU107" s="552"/>
      <c r="GV107" s="552"/>
      <c r="GW107" s="552"/>
      <c r="GX107" s="552"/>
      <c r="GY107" s="552"/>
      <c r="GZ107" s="552"/>
      <c r="HA107" s="552"/>
      <c r="HB107" s="552"/>
      <c r="HC107" s="552"/>
      <c r="HD107" s="552"/>
      <c r="HE107" s="552"/>
      <c r="HF107" s="552"/>
      <c r="HG107" s="552"/>
      <c r="HH107" s="552"/>
      <c r="HI107" s="552"/>
      <c r="HJ107" s="552"/>
      <c r="HK107" s="552"/>
      <c r="HL107" s="552"/>
      <c r="HM107" s="552"/>
      <c r="HN107" s="552"/>
      <c r="HO107" s="552"/>
      <c r="HP107" s="552"/>
      <c r="HQ107" s="552"/>
      <c r="HR107" s="552"/>
      <c r="HS107" s="552"/>
      <c r="HT107" s="155"/>
      <c r="HU107" s="155"/>
      <c r="HV107" s="552"/>
      <c r="HW107" s="552"/>
      <c r="HX107" s="552"/>
      <c r="HY107" s="552"/>
      <c r="HZ107" s="552"/>
      <c r="IA107" s="552"/>
      <c r="IB107" s="552"/>
      <c r="IC107" s="552"/>
      <c r="ID107" s="552"/>
      <c r="IE107" s="552"/>
      <c r="IF107" s="552"/>
      <c r="IG107" s="552"/>
      <c r="IH107" s="552"/>
      <c r="II107" s="552"/>
      <c r="IJ107" s="552"/>
      <c r="IK107" s="552"/>
      <c r="IL107" s="552"/>
      <c r="IM107" s="552"/>
      <c r="IN107" s="552"/>
      <c r="IO107" s="552"/>
      <c r="IP107" s="552"/>
      <c r="IQ107" s="552"/>
      <c r="IR107" s="552"/>
      <c r="IS107" s="552"/>
      <c r="IT107" s="552"/>
      <c r="IU107" s="552"/>
      <c r="IV107" s="552"/>
      <c r="IW107" s="552"/>
      <c r="IX107" s="552"/>
      <c r="IY107" s="552"/>
      <c r="IZ107" s="552"/>
      <c r="JA107" s="552"/>
      <c r="JB107" s="552"/>
      <c r="JC107" s="552"/>
      <c r="JD107" s="552"/>
      <c r="JE107" s="552"/>
      <c r="JF107" s="552"/>
      <c r="JG107" s="552"/>
      <c r="JH107" s="552"/>
      <c r="JI107" s="552"/>
      <c r="JJ107" s="552"/>
      <c r="JK107" s="552"/>
      <c r="JL107" s="552"/>
      <c r="JM107" s="552"/>
      <c r="JN107" s="552"/>
      <c r="JO107" s="552"/>
      <c r="JP107" s="552"/>
      <c r="JQ107" s="552"/>
      <c r="JR107" s="552"/>
      <c r="JS107" s="552"/>
      <c r="JT107" s="552"/>
      <c r="JU107" s="552"/>
      <c r="JV107" s="552"/>
      <c r="JW107" s="552"/>
      <c r="JX107" s="552"/>
      <c r="JY107" s="552"/>
      <c r="JZ107" s="552"/>
      <c r="KA107" s="552"/>
      <c r="KB107" s="552"/>
      <c r="KC107" s="552"/>
      <c r="KD107" s="552"/>
      <c r="KE107" s="552"/>
      <c r="KF107" s="552"/>
      <c r="KG107" s="552"/>
      <c r="KH107" s="552"/>
      <c r="KI107" s="552"/>
      <c r="KJ107" s="552"/>
      <c r="KK107" s="552"/>
      <c r="KL107" s="552"/>
      <c r="KM107" s="552"/>
      <c r="KN107" s="552"/>
      <c r="KO107" s="552"/>
      <c r="KP107" s="552"/>
      <c r="KQ107" s="552"/>
      <c r="KR107" s="155"/>
      <c r="KS107" s="155"/>
      <c r="KV107" s="1052"/>
      <c r="KW107" s="1052"/>
      <c r="KX107" s="1052"/>
      <c r="KY107" s="1052"/>
      <c r="KZ107" s="1052"/>
      <c r="LA107" s="1052"/>
      <c r="LB107" s="1052"/>
      <c r="LC107" s="1052"/>
      <c r="LD107" s="1052"/>
      <c r="LE107" s="1052"/>
      <c r="LF107" s="1052"/>
      <c r="LG107" s="1052"/>
      <c r="LH107" s="1052"/>
      <c r="LI107" s="1052"/>
      <c r="LJ107" s="1052"/>
      <c r="LK107" s="1052"/>
      <c r="LL107" s="1052"/>
      <c r="LM107" s="1052"/>
      <c r="LN107" s="1052"/>
      <c r="LO107" s="1052"/>
      <c r="LP107" s="1052"/>
      <c r="LQ107" s="1052"/>
      <c r="LR107" s="1052"/>
      <c r="LS107" s="1052"/>
      <c r="LT107" s="1052"/>
      <c r="LU107" s="1052"/>
      <c r="LV107" s="1052"/>
      <c r="LW107" s="1052"/>
      <c r="LX107" s="1052"/>
      <c r="LY107" s="1052"/>
      <c r="LZ107" s="1052"/>
      <c r="MA107" s="1052"/>
      <c r="MB107" s="1052"/>
      <c r="MD107" s="1052"/>
      <c r="ME107" s="1052"/>
      <c r="MF107" s="1052"/>
      <c r="MG107" s="1052"/>
      <c r="MH107" s="1052"/>
      <c r="MI107" s="1052"/>
      <c r="MJ107" s="1052"/>
      <c r="MK107" s="1052"/>
      <c r="ML107" s="1052"/>
      <c r="MM107" s="1052"/>
      <c r="MN107" s="1052"/>
      <c r="MO107" s="1052"/>
      <c r="NP107" s="155"/>
      <c r="NQ107" s="155"/>
      <c r="QN107" s="155"/>
      <c r="QO107" s="155"/>
      <c r="TL107" s="155"/>
    </row>
    <row r="108" spans="1:532" ht="6.75" customHeight="1" x14ac:dyDescent="0.25">
      <c r="A108" s="155"/>
      <c r="B108" s="512"/>
      <c r="C108" s="1183"/>
      <c r="D108" s="1184"/>
      <c r="E108" s="1184"/>
      <c r="F108" s="1184"/>
      <c r="G108" s="1184"/>
      <c r="H108" s="1184"/>
      <c r="I108" s="1184"/>
      <c r="J108" s="1184"/>
      <c r="K108" s="1184"/>
      <c r="L108" s="1184"/>
      <c r="M108" s="1184"/>
      <c r="N108" s="1184"/>
      <c r="O108" s="1184"/>
      <c r="P108" s="1184"/>
      <c r="Q108" s="1184"/>
      <c r="R108" s="1184"/>
      <c r="S108" s="1184"/>
      <c r="T108" s="1184"/>
      <c r="U108" s="1184"/>
      <c r="V108" s="1184"/>
      <c r="W108" s="1184"/>
      <c r="X108" s="1184"/>
      <c r="Y108" s="1184"/>
      <c r="Z108" s="1184"/>
      <c r="AA108" s="1184"/>
      <c r="AB108" s="1184"/>
      <c r="AC108" s="1184"/>
      <c r="AD108" s="1184"/>
      <c r="AE108" s="1184"/>
      <c r="AF108" s="1184"/>
      <c r="AG108" s="1184"/>
      <c r="AH108" s="1184"/>
      <c r="AI108" s="1184"/>
      <c r="AJ108" s="1184"/>
      <c r="AK108" s="1184"/>
      <c r="AL108" s="1185"/>
      <c r="AM108" s="507"/>
      <c r="AN108" s="507"/>
      <c r="AO108" s="1192"/>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4"/>
      <c r="BW108" s="513"/>
      <c r="BX108" s="155"/>
      <c r="BY108" s="155"/>
      <c r="BZ108" s="150"/>
      <c r="CA108" s="1234"/>
      <c r="CB108" s="1234"/>
      <c r="CC108" s="1234"/>
      <c r="CD108" s="1234"/>
      <c r="CE108" s="1234"/>
      <c r="CF108" s="1234"/>
      <c r="CG108" s="1234"/>
      <c r="CH108" s="1234"/>
      <c r="CI108" s="1234"/>
      <c r="CJ108" s="1234"/>
      <c r="CK108" s="1234"/>
      <c r="CL108" s="1234"/>
      <c r="CM108" s="1234"/>
      <c r="CN108" s="1234"/>
      <c r="CO108" s="1234"/>
      <c r="CP108" s="1234"/>
      <c r="CQ108" s="1234"/>
      <c r="CR108" s="1234"/>
      <c r="CS108" s="1234"/>
      <c r="CT108" s="1234"/>
      <c r="CU108" s="1234"/>
      <c r="CV108" s="1234"/>
      <c r="CW108" s="1234"/>
      <c r="CX108" s="1234"/>
      <c r="CZ108" s="1119"/>
      <c r="DA108" s="1119"/>
      <c r="DB108" s="1119"/>
      <c r="DC108" s="1119"/>
      <c r="DD108" s="1119"/>
      <c r="DE108" s="1119"/>
      <c r="DF108" s="1119"/>
      <c r="DG108" s="1119"/>
      <c r="DH108" s="1119"/>
      <c r="DI108" s="1119"/>
      <c r="DJ108" s="1119"/>
      <c r="DK108" s="1119"/>
      <c r="DL108" s="1119"/>
      <c r="DM108" s="1119"/>
      <c r="DN108" s="1119"/>
      <c r="DO108" s="1119"/>
      <c r="DP108" s="1119"/>
      <c r="DQ108" s="1119"/>
      <c r="DR108" s="1119"/>
      <c r="DS108" s="1119"/>
      <c r="DT108" s="1119"/>
      <c r="DU108" s="1119"/>
      <c r="DV108" s="1119"/>
      <c r="DW108" s="1119"/>
      <c r="DY108" s="1120"/>
      <c r="DZ108" s="1120"/>
      <c r="EA108" s="1120"/>
      <c r="EB108" s="1120"/>
      <c r="EC108" s="1120"/>
      <c r="ED108" s="1120"/>
      <c r="EE108" s="1120"/>
      <c r="EF108" s="1120"/>
      <c r="EG108" s="1120"/>
      <c r="EH108" s="1120"/>
      <c r="EI108" s="1120"/>
      <c r="EJ108" s="1120"/>
      <c r="EK108" s="1120"/>
      <c r="EL108" s="1120"/>
      <c r="EM108" s="1120"/>
      <c r="EN108" s="1120"/>
      <c r="EO108" s="1120"/>
      <c r="EP108" s="1120"/>
      <c r="EQ108" s="1120"/>
      <c r="ER108" s="1120"/>
      <c r="ES108" s="1120"/>
      <c r="ET108" s="1120"/>
      <c r="EU108" s="1120"/>
      <c r="EW108" s="155"/>
      <c r="EX108" s="552"/>
      <c r="EY108" s="552"/>
      <c r="EZ108" s="552"/>
      <c r="FA108" s="552"/>
      <c r="FB108" s="552"/>
      <c r="FC108" s="552"/>
      <c r="FD108" s="552"/>
      <c r="FE108" s="552"/>
      <c r="FF108" s="552"/>
      <c r="FG108" s="552"/>
      <c r="FH108" s="552"/>
      <c r="FI108" s="552"/>
      <c r="FJ108" s="552"/>
      <c r="FK108" s="552"/>
      <c r="FL108" s="552"/>
      <c r="FM108" s="552"/>
      <c r="FN108" s="552"/>
      <c r="FO108" s="552"/>
      <c r="FP108" s="552"/>
      <c r="FQ108" s="552"/>
      <c r="FR108" s="552"/>
      <c r="FS108" s="552"/>
      <c r="FT108" s="552"/>
      <c r="FU108" s="552"/>
      <c r="FV108" s="552"/>
      <c r="FW108" s="552"/>
      <c r="FX108" s="552"/>
      <c r="FY108" s="552"/>
      <c r="FZ108" s="552"/>
      <c r="GA108" s="552"/>
      <c r="GB108" s="552"/>
      <c r="GC108" s="552"/>
      <c r="GD108" s="552"/>
      <c r="GE108" s="552"/>
      <c r="GF108" s="552"/>
      <c r="GG108" s="552"/>
      <c r="GH108" s="552"/>
      <c r="GI108" s="552"/>
      <c r="GJ108" s="552"/>
      <c r="GK108" s="552"/>
      <c r="GL108" s="552"/>
      <c r="GM108" s="552"/>
      <c r="GN108" s="552"/>
      <c r="GO108" s="552"/>
      <c r="GP108" s="552"/>
      <c r="GQ108" s="552"/>
      <c r="GR108" s="552"/>
      <c r="GS108" s="552"/>
      <c r="GT108" s="552"/>
      <c r="GU108" s="552"/>
      <c r="GV108" s="552"/>
      <c r="GW108" s="552"/>
      <c r="GX108" s="552"/>
      <c r="GY108" s="552"/>
      <c r="GZ108" s="552"/>
      <c r="HA108" s="552"/>
      <c r="HB108" s="552"/>
      <c r="HC108" s="552"/>
      <c r="HD108" s="552"/>
      <c r="HE108" s="552"/>
      <c r="HF108" s="552"/>
      <c r="HG108" s="552"/>
      <c r="HH108" s="552"/>
      <c r="HI108" s="552"/>
      <c r="HJ108" s="552"/>
      <c r="HK108" s="552"/>
      <c r="HL108" s="552"/>
      <c r="HM108" s="552"/>
      <c r="HN108" s="552"/>
      <c r="HO108" s="552"/>
      <c r="HP108" s="552"/>
      <c r="HQ108" s="552"/>
      <c r="HR108" s="552"/>
      <c r="HS108" s="552"/>
      <c r="HT108" s="155"/>
      <c r="HU108" s="155"/>
      <c r="HV108" s="552"/>
      <c r="HW108" s="552"/>
      <c r="HX108" s="552"/>
      <c r="HY108" s="552"/>
      <c r="HZ108" s="552"/>
      <c r="IA108" s="552"/>
      <c r="IB108" s="552"/>
      <c r="IC108" s="552"/>
      <c r="ID108" s="552"/>
      <c r="IE108" s="552"/>
      <c r="IF108" s="552"/>
      <c r="IG108" s="552"/>
      <c r="IH108" s="552"/>
      <c r="II108" s="552"/>
      <c r="IJ108" s="552"/>
      <c r="IK108" s="552"/>
      <c r="IL108" s="552"/>
      <c r="IM108" s="552"/>
      <c r="IN108" s="552"/>
      <c r="IO108" s="552"/>
      <c r="IP108" s="552"/>
      <c r="IQ108" s="552"/>
      <c r="IR108" s="552"/>
      <c r="IS108" s="552"/>
      <c r="IT108" s="552"/>
      <c r="IU108" s="552"/>
      <c r="IV108" s="552"/>
      <c r="IW108" s="552"/>
      <c r="IX108" s="552"/>
      <c r="IY108" s="552"/>
      <c r="IZ108" s="552"/>
      <c r="JA108" s="552"/>
      <c r="JB108" s="552"/>
      <c r="JC108" s="552"/>
      <c r="JD108" s="552"/>
      <c r="JE108" s="552"/>
      <c r="JF108" s="552"/>
      <c r="JG108" s="552"/>
      <c r="JH108" s="552"/>
      <c r="JI108" s="552"/>
      <c r="JJ108" s="552"/>
      <c r="JK108" s="552"/>
      <c r="JL108" s="552"/>
      <c r="JM108" s="552"/>
      <c r="JN108" s="552"/>
      <c r="JO108" s="552"/>
      <c r="JP108" s="552"/>
      <c r="JQ108" s="552"/>
      <c r="JR108" s="552"/>
      <c r="JS108" s="552"/>
      <c r="JT108" s="552"/>
      <c r="JU108" s="552"/>
      <c r="JV108" s="552"/>
      <c r="JW108" s="552"/>
      <c r="JX108" s="552"/>
      <c r="JY108" s="552"/>
      <c r="JZ108" s="552"/>
      <c r="KA108" s="552"/>
      <c r="KB108" s="552"/>
      <c r="KC108" s="552"/>
      <c r="KD108" s="552"/>
      <c r="KE108" s="552"/>
      <c r="KF108" s="552"/>
      <c r="KG108" s="552"/>
      <c r="KH108" s="552"/>
      <c r="KI108" s="552"/>
      <c r="KJ108" s="552"/>
      <c r="KK108" s="552"/>
      <c r="KL108" s="552"/>
      <c r="KM108" s="552"/>
      <c r="KN108" s="552"/>
      <c r="KO108" s="552"/>
      <c r="KP108" s="552"/>
      <c r="KQ108" s="552"/>
      <c r="KR108" s="155"/>
      <c r="KS108" s="155"/>
      <c r="KV108" s="1052"/>
      <c r="KW108" s="1052"/>
      <c r="KX108" s="1052"/>
      <c r="KY108" s="1052"/>
      <c r="KZ108" s="1052"/>
      <c r="LA108" s="1052"/>
      <c r="LB108" s="1052"/>
      <c r="LC108" s="1052"/>
      <c r="LD108" s="1052"/>
      <c r="LE108" s="1052"/>
      <c r="LF108" s="1052"/>
      <c r="LG108" s="1052"/>
      <c r="LH108" s="1052"/>
      <c r="LI108" s="1052"/>
      <c r="LJ108" s="1052"/>
      <c r="LK108" s="1052"/>
      <c r="LL108" s="1052"/>
      <c r="LM108" s="1052"/>
      <c r="LN108" s="1052"/>
      <c r="LO108" s="1052"/>
      <c r="LP108" s="1052"/>
      <c r="LQ108" s="1052"/>
      <c r="LR108" s="1052"/>
      <c r="LS108" s="1052"/>
      <c r="LT108" s="1052"/>
      <c r="LU108" s="1052"/>
      <c r="LV108" s="1052"/>
      <c r="LW108" s="1052"/>
      <c r="LX108" s="1052"/>
      <c r="LY108" s="1052"/>
      <c r="LZ108" s="1052"/>
      <c r="MA108" s="1052"/>
      <c r="MB108" s="1052"/>
      <c r="MC108" s="550"/>
      <c r="MD108" s="1052"/>
      <c r="ME108" s="1052"/>
      <c r="MF108" s="1052"/>
      <c r="MG108" s="1052"/>
      <c r="MH108" s="1052"/>
      <c r="MI108" s="1052"/>
      <c r="MJ108" s="1052"/>
      <c r="MK108" s="1052"/>
      <c r="ML108" s="1052"/>
      <c r="MM108" s="1052"/>
      <c r="MN108" s="1052"/>
      <c r="MO108" s="1052"/>
      <c r="NP108" s="155"/>
      <c r="NQ108" s="155"/>
      <c r="QN108" s="155"/>
      <c r="QO108" s="155"/>
      <c r="TL108" s="155"/>
    </row>
    <row r="109" spans="1:532" ht="6.75" customHeight="1" x14ac:dyDescent="0.25">
      <c r="A109" s="155"/>
      <c r="B109" s="512"/>
      <c r="C109" s="1183"/>
      <c r="D109" s="1184"/>
      <c r="E109" s="1184"/>
      <c r="F109" s="1184"/>
      <c r="G109" s="1184"/>
      <c r="H109" s="1184"/>
      <c r="I109" s="1184"/>
      <c r="J109" s="1184"/>
      <c r="K109" s="1184"/>
      <c r="L109" s="1184"/>
      <c r="M109" s="1184"/>
      <c r="N109" s="1184"/>
      <c r="O109" s="1184"/>
      <c r="P109" s="1184"/>
      <c r="Q109" s="1184"/>
      <c r="R109" s="1184"/>
      <c r="S109" s="1184"/>
      <c r="T109" s="1184"/>
      <c r="U109" s="1184"/>
      <c r="V109" s="1184"/>
      <c r="W109" s="1184"/>
      <c r="X109" s="1184"/>
      <c r="Y109" s="1184"/>
      <c r="Z109" s="1184"/>
      <c r="AA109" s="1184"/>
      <c r="AB109" s="1184"/>
      <c r="AC109" s="1184"/>
      <c r="AD109" s="1184"/>
      <c r="AE109" s="1184"/>
      <c r="AF109" s="1184"/>
      <c r="AG109" s="1184"/>
      <c r="AH109" s="1184"/>
      <c r="AI109" s="1184"/>
      <c r="AJ109" s="1184"/>
      <c r="AK109" s="1184"/>
      <c r="AL109" s="1185"/>
      <c r="AM109" s="507"/>
      <c r="AN109" s="507"/>
      <c r="AO109" s="1192"/>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4"/>
      <c r="BW109" s="513"/>
      <c r="BX109" s="155"/>
      <c r="BY109" s="155"/>
      <c r="BZ109" s="150"/>
      <c r="CA109" s="1234"/>
      <c r="CB109" s="1234"/>
      <c r="CC109" s="1234"/>
      <c r="CD109" s="1234"/>
      <c r="CE109" s="1234"/>
      <c r="CF109" s="1234"/>
      <c r="CG109" s="1234"/>
      <c r="CH109" s="1234"/>
      <c r="CI109" s="1234"/>
      <c r="CJ109" s="1234"/>
      <c r="CK109" s="1234"/>
      <c r="CL109" s="1234"/>
      <c r="CM109" s="1234"/>
      <c r="CN109" s="1234"/>
      <c r="CO109" s="1234"/>
      <c r="CP109" s="1234"/>
      <c r="CQ109" s="1234"/>
      <c r="CR109" s="1234"/>
      <c r="CS109" s="1234"/>
      <c r="CT109" s="1234"/>
      <c r="CU109" s="1234"/>
      <c r="CV109" s="1234"/>
      <c r="CW109" s="1234"/>
      <c r="CX109" s="1234"/>
      <c r="CZ109" s="1119"/>
      <c r="DA109" s="1119"/>
      <c r="DB109" s="1119"/>
      <c r="DC109" s="1119"/>
      <c r="DD109" s="1119"/>
      <c r="DE109" s="1119"/>
      <c r="DF109" s="1119"/>
      <c r="DG109" s="1119"/>
      <c r="DH109" s="1119"/>
      <c r="DI109" s="1119"/>
      <c r="DJ109" s="1119"/>
      <c r="DK109" s="1119"/>
      <c r="DL109" s="1119"/>
      <c r="DM109" s="1119"/>
      <c r="DN109" s="1119"/>
      <c r="DO109" s="1119"/>
      <c r="DP109" s="1119"/>
      <c r="DQ109" s="1119"/>
      <c r="DR109" s="1119"/>
      <c r="DS109" s="1119"/>
      <c r="DT109" s="1119"/>
      <c r="DU109" s="1119"/>
      <c r="DV109" s="1119"/>
      <c r="DW109" s="1119"/>
      <c r="DY109" s="1121"/>
      <c r="DZ109" s="1121"/>
      <c r="EA109" s="1121"/>
      <c r="EB109" s="1121"/>
      <c r="EC109" s="1121"/>
      <c r="ED109" s="1121"/>
      <c r="EE109" s="1121"/>
      <c r="EF109" s="1121"/>
      <c r="EG109" s="1121"/>
      <c r="EH109" s="1121"/>
      <c r="EI109" s="1121"/>
      <c r="EJ109" s="1121"/>
      <c r="EK109" s="1121"/>
      <c r="EL109" s="1121"/>
      <c r="EM109" s="1121"/>
      <c r="EN109" s="1121"/>
      <c r="EO109" s="1121"/>
      <c r="EP109" s="1121"/>
      <c r="EQ109" s="1121"/>
      <c r="ER109" s="1121"/>
      <c r="ES109" s="1121"/>
      <c r="ET109" s="1121"/>
      <c r="EU109" s="1121"/>
      <c r="EW109" s="155"/>
      <c r="EX109" s="552"/>
      <c r="EY109" s="552"/>
      <c r="EZ109" s="552"/>
      <c r="FA109" s="552"/>
      <c r="FB109" s="552"/>
      <c r="FC109" s="552"/>
      <c r="FD109" s="552"/>
      <c r="FE109" s="552"/>
      <c r="FF109" s="552"/>
      <c r="FG109" s="552"/>
      <c r="FH109" s="552"/>
      <c r="FI109" s="552"/>
      <c r="FJ109" s="552"/>
      <c r="FK109" s="552"/>
      <c r="FL109" s="552"/>
      <c r="FM109" s="552"/>
      <c r="FN109" s="552"/>
      <c r="FO109" s="552"/>
      <c r="FP109" s="552"/>
      <c r="FQ109" s="552"/>
      <c r="FR109" s="552"/>
      <c r="FS109" s="552"/>
      <c r="FT109" s="552"/>
      <c r="FU109" s="552"/>
      <c r="FV109" s="552"/>
      <c r="FW109" s="552"/>
      <c r="FX109" s="552"/>
      <c r="FY109" s="552"/>
      <c r="FZ109" s="552"/>
      <c r="GA109" s="552"/>
      <c r="GB109" s="552"/>
      <c r="GC109" s="552"/>
      <c r="GD109" s="552"/>
      <c r="GE109" s="552"/>
      <c r="GF109" s="552"/>
      <c r="GG109" s="552"/>
      <c r="GH109" s="552"/>
      <c r="GI109" s="552"/>
      <c r="GJ109" s="552"/>
      <c r="GK109" s="552"/>
      <c r="GL109" s="552"/>
      <c r="GM109" s="552"/>
      <c r="GN109" s="552"/>
      <c r="GO109" s="552"/>
      <c r="GP109" s="552"/>
      <c r="GQ109" s="552"/>
      <c r="GR109" s="552"/>
      <c r="GS109" s="552"/>
      <c r="GT109" s="552"/>
      <c r="GU109" s="552"/>
      <c r="GV109" s="552"/>
      <c r="GW109" s="552"/>
      <c r="GX109" s="552"/>
      <c r="GY109" s="552"/>
      <c r="GZ109" s="552"/>
      <c r="HA109" s="552"/>
      <c r="HB109" s="552"/>
      <c r="HC109" s="552"/>
      <c r="HD109" s="552"/>
      <c r="HE109" s="552"/>
      <c r="HF109" s="552"/>
      <c r="HG109" s="552"/>
      <c r="HH109" s="552"/>
      <c r="HI109" s="552"/>
      <c r="HJ109" s="552"/>
      <c r="HK109" s="552"/>
      <c r="HL109" s="552"/>
      <c r="HM109" s="552"/>
      <c r="HN109" s="552"/>
      <c r="HO109" s="552"/>
      <c r="HP109" s="552"/>
      <c r="HQ109" s="552"/>
      <c r="HR109" s="552"/>
      <c r="HS109" s="552"/>
      <c r="HT109" s="155"/>
      <c r="HU109" s="155"/>
      <c r="HV109" s="552"/>
      <c r="HW109" s="552"/>
      <c r="HX109" s="552"/>
      <c r="HY109" s="552"/>
      <c r="HZ109" s="552"/>
      <c r="IA109" s="552"/>
      <c r="IB109" s="552"/>
      <c r="IC109" s="552"/>
      <c r="ID109" s="552"/>
      <c r="IE109" s="552"/>
      <c r="IF109" s="552"/>
      <c r="IG109" s="552"/>
      <c r="IH109" s="552"/>
      <c r="II109" s="552"/>
      <c r="IJ109" s="552"/>
      <c r="IK109" s="552"/>
      <c r="IL109" s="552"/>
      <c r="IM109" s="552"/>
      <c r="IN109" s="552"/>
      <c r="IO109" s="552"/>
      <c r="IP109" s="552"/>
      <c r="IQ109" s="552"/>
      <c r="IR109" s="552"/>
      <c r="IS109" s="552"/>
      <c r="IT109" s="552"/>
      <c r="IU109" s="552"/>
      <c r="IV109" s="552"/>
      <c r="IW109" s="552"/>
      <c r="IX109" s="552"/>
      <c r="IY109" s="552"/>
      <c r="IZ109" s="552"/>
      <c r="JA109" s="552"/>
      <c r="JB109" s="552"/>
      <c r="JC109" s="552"/>
      <c r="JD109" s="552"/>
      <c r="JE109" s="552"/>
      <c r="JF109" s="552"/>
      <c r="JG109" s="552"/>
      <c r="JH109" s="552"/>
      <c r="JI109" s="552"/>
      <c r="JJ109" s="552"/>
      <c r="JK109" s="552"/>
      <c r="JL109" s="552"/>
      <c r="JM109" s="552"/>
      <c r="JN109" s="552"/>
      <c r="JO109" s="552"/>
      <c r="JP109" s="552"/>
      <c r="JQ109" s="552"/>
      <c r="JR109" s="552"/>
      <c r="JS109" s="552"/>
      <c r="JT109" s="552"/>
      <c r="JU109" s="552"/>
      <c r="JV109" s="552"/>
      <c r="JW109" s="552"/>
      <c r="JX109" s="552"/>
      <c r="JY109" s="552"/>
      <c r="JZ109" s="552"/>
      <c r="KA109" s="552"/>
      <c r="KB109" s="552"/>
      <c r="KC109" s="552"/>
      <c r="KD109" s="552"/>
      <c r="KE109" s="552"/>
      <c r="KF109" s="552"/>
      <c r="KG109" s="552"/>
      <c r="KH109" s="552"/>
      <c r="KI109" s="552"/>
      <c r="KJ109" s="552"/>
      <c r="KK109" s="552"/>
      <c r="KL109" s="552"/>
      <c r="KM109" s="552"/>
      <c r="KN109" s="552"/>
      <c r="KO109" s="552"/>
      <c r="KP109" s="552"/>
      <c r="KQ109" s="552"/>
      <c r="KR109" s="155"/>
      <c r="KS109" s="155"/>
      <c r="KV109" s="1052"/>
      <c r="KW109" s="1052"/>
      <c r="KX109" s="1052"/>
      <c r="KY109" s="1052"/>
      <c r="KZ109" s="1052"/>
      <c r="LA109" s="1052"/>
      <c r="LB109" s="1052"/>
      <c r="LC109" s="1052"/>
      <c r="LD109" s="1052"/>
      <c r="LE109" s="1052"/>
      <c r="LF109" s="1052"/>
      <c r="LG109" s="1052"/>
      <c r="LH109" s="1052"/>
      <c r="LI109" s="1052"/>
      <c r="LJ109" s="1052"/>
      <c r="LK109" s="1052"/>
      <c r="LL109" s="1052"/>
      <c r="LM109" s="1052"/>
      <c r="LN109" s="1052"/>
      <c r="LO109" s="1052"/>
      <c r="LP109" s="1052"/>
      <c r="LQ109" s="1052"/>
      <c r="LR109" s="1052"/>
      <c r="LS109" s="1052"/>
      <c r="LT109" s="1052"/>
      <c r="LU109" s="1052"/>
      <c r="LV109" s="1052"/>
      <c r="LW109" s="1052"/>
      <c r="LX109" s="1052"/>
      <c r="LY109" s="1052"/>
      <c r="LZ109" s="1052"/>
      <c r="MA109" s="1052"/>
      <c r="MB109" s="1052"/>
      <c r="MC109" s="550"/>
      <c r="MD109" s="1052" t="s">
        <v>6445</v>
      </c>
      <c r="ME109" s="1052"/>
      <c r="MF109" s="1052"/>
      <c r="MG109" s="1052"/>
      <c r="MH109" s="1052"/>
      <c r="MI109" s="1052"/>
      <c r="MJ109" s="1052"/>
      <c r="MK109" s="1052"/>
      <c r="ML109" s="1052"/>
      <c r="MM109" s="1052"/>
      <c r="MN109" s="1052"/>
      <c r="MO109" s="1052"/>
      <c r="NP109" s="155"/>
      <c r="NQ109" s="155"/>
      <c r="QN109" s="155"/>
      <c r="QO109" s="155"/>
      <c r="TL109" s="155"/>
    </row>
    <row r="110" spans="1:532" ht="6.75" customHeight="1" x14ac:dyDescent="0.25">
      <c r="A110" s="155"/>
      <c r="B110" s="512"/>
      <c r="C110" s="1183"/>
      <c r="D110" s="1184"/>
      <c r="E110" s="1184"/>
      <c r="F110" s="1184"/>
      <c r="G110" s="1184"/>
      <c r="H110" s="1184"/>
      <c r="I110" s="1184"/>
      <c r="J110" s="1184"/>
      <c r="K110" s="1184"/>
      <c r="L110" s="1184"/>
      <c r="M110" s="1184"/>
      <c r="N110" s="1184"/>
      <c r="O110" s="1184"/>
      <c r="P110" s="1184"/>
      <c r="Q110" s="1184"/>
      <c r="R110" s="1184"/>
      <c r="S110" s="1184"/>
      <c r="T110" s="1184"/>
      <c r="U110" s="1184"/>
      <c r="V110" s="1184"/>
      <c r="W110" s="1184"/>
      <c r="X110" s="1184"/>
      <c r="Y110" s="1184"/>
      <c r="Z110" s="1184"/>
      <c r="AA110" s="1184"/>
      <c r="AB110" s="1184"/>
      <c r="AC110" s="1184"/>
      <c r="AD110" s="1184"/>
      <c r="AE110" s="1184"/>
      <c r="AF110" s="1184"/>
      <c r="AG110" s="1184"/>
      <c r="AH110" s="1184"/>
      <c r="AI110" s="1184"/>
      <c r="AJ110" s="1184"/>
      <c r="AK110" s="1184"/>
      <c r="AL110" s="1185"/>
      <c r="AM110" s="507"/>
      <c r="AN110" s="507"/>
      <c r="AO110" s="1192"/>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4"/>
      <c r="BW110" s="513"/>
      <c r="BX110" s="155"/>
      <c r="BY110" s="155"/>
      <c r="BZ110" s="150"/>
      <c r="CA110" s="1234"/>
      <c r="CB110" s="1234"/>
      <c r="CC110" s="1234"/>
      <c r="CD110" s="1234"/>
      <c r="CE110" s="1234"/>
      <c r="CF110" s="1234"/>
      <c r="CG110" s="1234"/>
      <c r="CH110" s="1234"/>
      <c r="CI110" s="1234"/>
      <c r="CJ110" s="1234"/>
      <c r="CK110" s="1234"/>
      <c r="CL110" s="1234"/>
      <c r="CM110" s="1234"/>
      <c r="CN110" s="1234"/>
      <c r="CO110" s="1234"/>
      <c r="CP110" s="1234"/>
      <c r="CQ110" s="1234"/>
      <c r="CR110" s="1234"/>
      <c r="CS110" s="1234"/>
      <c r="CT110" s="1234"/>
      <c r="CU110" s="1234"/>
      <c r="CV110" s="1234"/>
      <c r="CW110" s="1234"/>
      <c r="CX110" s="1234"/>
      <c r="CZ110" s="1119"/>
      <c r="DA110" s="1119"/>
      <c r="DB110" s="1119"/>
      <c r="DC110" s="1119"/>
      <c r="DD110" s="1119"/>
      <c r="DE110" s="1119"/>
      <c r="DF110" s="1119"/>
      <c r="DG110" s="1119"/>
      <c r="DH110" s="1119"/>
      <c r="DI110" s="1119"/>
      <c r="DJ110" s="1119"/>
      <c r="DK110" s="1119"/>
      <c r="DL110" s="1119"/>
      <c r="DM110" s="1119"/>
      <c r="DN110" s="1119"/>
      <c r="DO110" s="1119"/>
      <c r="DP110" s="1119"/>
      <c r="DQ110" s="1119"/>
      <c r="DR110" s="1119"/>
      <c r="DS110" s="1119"/>
      <c r="DT110" s="1119"/>
      <c r="DU110" s="1119"/>
      <c r="DV110" s="1119"/>
      <c r="DW110" s="1119"/>
      <c r="DY110" s="1120"/>
      <c r="DZ110" s="1120"/>
      <c r="EA110" s="1120"/>
      <c r="EB110" s="1120"/>
      <c r="EC110" s="1120"/>
      <c r="ED110" s="1120"/>
      <c r="EE110" s="1120"/>
      <c r="EF110" s="1120"/>
      <c r="EG110" s="1120"/>
      <c r="EH110" s="1120"/>
      <c r="EI110" s="1120"/>
      <c r="EJ110" s="1120"/>
      <c r="EK110" s="1120"/>
      <c r="EL110" s="1120"/>
      <c r="EM110" s="1120"/>
      <c r="EN110" s="1120"/>
      <c r="EO110" s="1120"/>
      <c r="EP110" s="1120"/>
      <c r="EQ110" s="1120"/>
      <c r="ER110" s="1120"/>
      <c r="ES110" s="1120"/>
      <c r="ET110" s="1120"/>
      <c r="EU110" s="1120"/>
      <c r="EW110" s="155"/>
      <c r="EX110" s="552"/>
      <c r="EY110" s="552"/>
      <c r="EZ110" s="552"/>
      <c r="FA110" s="552"/>
      <c r="FB110" s="552"/>
      <c r="FC110" s="552"/>
      <c r="FD110" s="552"/>
      <c r="FE110" s="552"/>
      <c r="FF110" s="552"/>
      <c r="FG110" s="552"/>
      <c r="FH110" s="552"/>
      <c r="FI110" s="552"/>
      <c r="FJ110" s="552"/>
      <c r="FK110" s="552"/>
      <c r="FL110" s="552"/>
      <c r="FM110" s="552"/>
      <c r="FN110" s="552"/>
      <c r="FO110" s="552"/>
      <c r="FP110" s="552"/>
      <c r="FQ110" s="552"/>
      <c r="FR110" s="552"/>
      <c r="FS110" s="552"/>
      <c r="FT110" s="552"/>
      <c r="FU110" s="552"/>
      <c r="FV110" s="552"/>
      <c r="FW110" s="552"/>
      <c r="FX110" s="552"/>
      <c r="FY110" s="552"/>
      <c r="FZ110" s="552"/>
      <c r="GA110" s="552"/>
      <c r="GB110" s="552"/>
      <c r="GC110" s="552"/>
      <c r="GD110" s="552"/>
      <c r="GE110" s="552"/>
      <c r="GF110" s="552"/>
      <c r="GG110" s="552"/>
      <c r="GH110" s="552"/>
      <c r="GI110" s="552"/>
      <c r="GJ110" s="552"/>
      <c r="GK110" s="552"/>
      <c r="GL110" s="552"/>
      <c r="GM110" s="552"/>
      <c r="GN110" s="552"/>
      <c r="GO110" s="552"/>
      <c r="GP110" s="552"/>
      <c r="GQ110" s="552"/>
      <c r="GR110" s="552"/>
      <c r="GS110" s="552"/>
      <c r="GT110" s="552"/>
      <c r="GU110" s="552"/>
      <c r="GV110" s="552"/>
      <c r="GW110" s="552"/>
      <c r="GX110" s="552"/>
      <c r="GY110" s="552"/>
      <c r="GZ110" s="552"/>
      <c r="HA110" s="552"/>
      <c r="HB110" s="552"/>
      <c r="HC110" s="552"/>
      <c r="HD110" s="552"/>
      <c r="HE110" s="552"/>
      <c r="HF110" s="552"/>
      <c r="HG110" s="552"/>
      <c r="HH110" s="552"/>
      <c r="HI110" s="552"/>
      <c r="HJ110" s="552"/>
      <c r="HK110" s="552"/>
      <c r="HL110" s="552"/>
      <c r="HM110" s="552"/>
      <c r="HN110" s="552"/>
      <c r="HO110" s="552"/>
      <c r="HP110" s="552"/>
      <c r="HQ110" s="552"/>
      <c r="HR110" s="552"/>
      <c r="HS110" s="552"/>
      <c r="HT110" s="155"/>
      <c r="HU110" s="155"/>
      <c r="HV110" s="552"/>
      <c r="HW110" s="552"/>
      <c r="HX110" s="552"/>
      <c r="HY110" s="552"/>
      <c r="HZ110" s="552"/>
      <c r="IA110" s="552"/>
      <c r="IB110" s="552"/>
      <c r="IC110" s="552"/>
      <c r="ID110" s="552"/>
      <c r="IE110" s="552"/>
      <c r="IF110" s="552"/>
      <c r="IG110" s="552"/>
      <c r="IH110" s="552"/>
      <c r="II110" s="552"/>
      <c r="IJ110" s="552"/>
      <c r="IK110" s="552"/>
      <c r="IL110" s="552"/>
      <c r="IM110" s="552"/>
      <c r="IN110" s="552"/>
      <c r="IO110" s="552"/>
      <c r="IP110" s="552"/>
      <c r="IQ110" s="552"/>
      <c r="IR110" s="552"/>
      <c r="IS110" s="552"/>
      <c r="IT110" s="552"/>
      <c r="IU110" s="552"/>
      <c r="IV110" s="552"/>
      <c r="IW110" s="552"/>
      <c r="IX110" s="552"/>
      <c r="IY110" s="552"/>
      <c r="IZ110" s="552"/>
      <c r="JA110" s="552"/>
      <c r="JB110" s="552"/>
      <c r="JC110" s="552"/>
      <c r="JD110" s="552"/>
      <c r="JE110" s="552"/>
      <c r="JF110" s="552"/>
      <c r="JG110" s="552"/>
      <c r="JH110" s="552"/>
      <c r="JI110" s="552"/>
      <c r="JJ110" s="552"/>
      <c r="JK110" s="552"/>
      <c r="JL110" s="552"/>
      <c r="JM110" s="552"/>
      <c r="JN110" s="552"/>
      <c r="JO110" s="552"/>
      <c r="JP110" s="552"/>
      <c r="JQ110" s="552"/>
      <c r="JR110" s="552"/>
      <c r="JS110" s="552"/>
      <c r="JT110" s="552"/>
      <c r="JU110" s="552"/>
      <c r="JV110" s="552"/>
      <c r="JW110" s="552"/>
      <c r="JX110" s="552"/>
      <c r="JY110" s="552"/>
      <c r="JZ110" s="552"/>
      <c r="KA110" s="552"/>
      <c r="KB110" s="552"/>
      <c r="KC110" s="552"/>
      <c r="KD110" s="552"/>
      <c r="KE110" s="552"/>
      <c r="KF110" s="552"/>
      <c r="KG110" s="552"/>
      <c r="KH110" s="552"/>
      <c r="KI110" s="552"/>
      <c r="KJ110" s="552"/>
      <c r="KK110" s="552"/>
      <c r="KL110" s="552"/>
      <c r="KM110" s="552"/>
      <c r="KN110" s="552"/>
      <c r="KO110" s="552"/>
      <c r="KP110" s="552"/>
      <c r="KQ110" s="552"/>
      <c r="KR110" s="155"/>
      <c r="KS110" s="155"/>
      <c r="KV110" s="1052"/>
      <c r="KW110" s="1052"/>
      <c r="KX110" s="1052"/>
      <c r="KY110" s="1052"/>
      <c r="KZ110" s="1052"/>
      <c r="LA110" s="1052"/>
      <c r="LB110" s="1052"/>
      <c r="LC110" s="1052"/>
      <c r="LD110" s="1052"/>
      <c r="LE110" s="1052"/>
      <c r="LF110" s="1052"/>
      <c r="LG110" s="1052"/>
      <c r="LH110" s="1052"/>
      <c r="LI110" s="1052"/>
      <c r="LJ110" s="1052"/>
      <c r="LK110" s="1052"/>
      <c r="LL110" s="1052"/>
      <c r="LM110" s="1052"/>
      <c r="LN110" s="1052"/>
      <c r="LO110" s="1052"/>
      <c r="LP110" s="1052"/>
      <c r="LQ110" s="1052"/>
      <c r="LR110" s="1052"/>
      <c r="LS110" s="1052"/>
      <c r="LT110" s="1052"/>
      <c r="LU110" s="1052"/>
      <c r="LV110" s="1052"/>
      <c r="LW110" s="1052"/>
      <c r="LX110" s="1052"/>
      <c r="LY110" s="1052"/>
      <c r="LZ110" s="1052"/>
      <c r="MA110" s="1052"/>
      <c r="MB110" s="1052"/>
      <c r="MC110" s="550"/>
      <c r="MD110" s="1052"/>
      <c r="ME110" s="1052"/>
      <c r="MF110" s="1052"/>
      <c r="MG110" s="1052"/>
      <c r="MH110" s="1052"/>
      <c r="MI110" s="1052"/>
      <c r="MJ110" s="1052"/>
      <c r="MK110" s="1052"/>
      <c r="ML110" s="1052"/>
      <c r="MM110" s="1052"/>
      <c r="MN110" s="1052"/>
      <c r="MO110" s="1052"/>
      <c r="NP110" s="155"/>
      <c r="NQ110" s="155"/>
      <c r="QN110" s="155"/>
      <c r="QO110" s="155"/>
      <c r="TL110" s="155"/>
    </row>
    <row r="111" spans="1:532" ht="6.75" customHeight="1" thickBot="1" x14ac:dyDescent="0.3">
      <c r="A111" s="155"/>
      <c r="B111" s="512"/>
      <c r="C111" s="1186"/>
      <c r="D111" s="1187"/>
      <c r="E111" s="1187"/>
      <c r="F111" s="1187"/>
      <c r="G111" s="1187"/>
      <c r="H111" s="1187"/>
      <c r="I111" s="1187"/>
      <c r="J111" s="1187"/>
      <c r="K111" s="1187"/>
      <c r="L111" s="1187"/>
      <c r="M111" s="1187"/>
      <c r="N111" s="1187"/>
      <c r="O111" s="1187"/>
      <c r="P111" s="1187"/>
      <c r="Q111" s="1187"/>
      <c r="R111" s="1187"/>
      <c r="S111" s="1187"/>
      <c r="T111" s="1187"/>
      <c r="U111" s="1187"/>
      <c r="V111" s="1187"/>
      <c r="W111" s="1187"/>
      <c r="X111" s="1187"/>
      <c r="Y111" s="1187"/>
      <c r="Z111" s="1187"/>
      <c r="AA111" s="1187"/>
      <c r="AB111" s="1187"/>
      <c r="AC111" s="1187"/>
      <c r="AD111" s="1187"/>
      <c r="AE111" s="1187"/>
      <c r="AF111" s="1187"/>
      <c r="AG111" s="1187"/>
      <c r="AH111" s="1187"/>
      <c r="AI111" s="1187"/>
      <c r="AJ111" s="1187"/>
      <c r="AK111" s="1187"/>
      <c r="AL111" s="1188"/>
      <c r="AM111" s="507"/>
      <c r="AN111" s="507"/>
      <c r="AO111" s="1195"/>
      <c r="AP111" s="1196"/>
      <c r="AQ111" s="1196"/>
      <c r="AR111" s="1196"/>
      <c r="AS111" s="1196"/>
      <c r="AT111" s="1196"/>
      <c r="AU111" s="1196"/>
      <c r="AV111" s="1196"/>
      <c r="AW111" s="1196"/>
      <c r="AX111" s="1196"/>
      <c r="AY111" s="1196"/>
      <c r="AZ111" s="1196"/>
      <c r="BA111" s="1196"/>
      <c r="BB111" s="1196"/>
      <c r="BC111" s="1196"/>
      <c r="BD111" s="1196"/>
      <c r="BE111" s="1196"/>
      <c r="BF111" s="1196"/>
      <c r="BG111" s="1196"/>
      <c r="BH111" s="1196"/>
      <c r="BI111" s="1196"/>
      <c r="BJ111" s="1196"/>
      <c r="BK111" s="1196"/>
      <c r="BL111" s="1196"/>
      <c r="BM111" s="1196"/>
      <c r="BN111" s="1196"/>
      <c r="BO111" s="1196"/>
      <c r="BP111" s="1196"/>
      <c r="BQ111" s="1196"/>
      <c r="BR111" s="1196"/>
      <c r="BS111" s="1196"/>
      <c r="BT111" s="1196"/>
      <c r="BU111" s="1196"/>
      <c r="BV111" s="1197"/>
      <c r="BW111" s="513"/>
      <c r="BX111" s="155"/>
      <c r="BY111" s="155"/>
      <c r="BZ111" s="150"/>
      <c r="CA111" s="1234"/>
      <c r="CB111" s="1234"/>
      <c r="CC111" s="1234"/>
      <c r="CD111" s="1234"/>
      <c r="CE111" s="1234"/>
      <c r="CF111" s="1234"/>
      <c r="CG111" s="1234"/>
      <c r="CH111" s="1234"/>
      <c r="CI111" s="1234"/>
      <c r="CJ111" s="1234"/>
      <c r="CK111" s="1234"/>
      <c r="CL111" s="1234"/>
      <c r="CM111" s="1234"/>
      <c r="CN111" s="1234"/>
      <c r="CO111" s="1234"/>
      <c r="CP111" s="1234"/>
      <c r="CQ111" s="1234"/>
      <c r="CR111" s="1234"/>
      <c r="CS111" s="1234"/>
      <c r="CT111" s="1234"/>
      <c r="CU111" s="1234"/>
      <c r="CV111" s="1234"/>
      <c r="CW111" s="1234"/>
      <c r="CX111" s="1234"/>
      <c r="CZ111" s="1119"/>
      <c r="DA111" s="1119"/>
      <c r="DB111" s="1119"/>
      <c r="DC111" s="1119"/>
      <c r="DD111" s="1119"/>
      <c r="DE111" s="1119"/>
      <c r="DF111" s="1119"/>
      <c r="DG111" s="1119"/>
      <c r="DH111" s="1119"/>
      <c r="DI111" s="1119"/>
      <c r="DJ111" s="1119"/>
      <c r="DK111" s="1119"/>
      <c r="DL111" s="1119"/>
      <c r="DM111" s="1119"/>
      <c r="DN111" s="1119"/>
      <c r="DO111" s="1119"/>
      <c r="DP111" s="1119"/>
      <c r="DQ111" s="1119"/>
      <c r="DR111" s="1119"/>
      <c r="DS111" s="1119"/>
      <c r="DT111" s="1119"/>
      <c r="DU111" s="1119"/>
      <c r="DV111" s="1119"/>
      <c r="DW111" s="1119"/>
      <c r="DY111" s="1121"/>
      <c r="DZ111" s="1121"/>
      <c r="EA111" s="1121"/>
      <c r="EB111" s="1121"/>
      <c r="EC111" s="1121"/>
      <c r="ED111" s="1121"/>
      <c r="EE111" s="1121"/>
      <c r="EF111" s="1121"/>
      <c r="EG111" s="1121"/>
      <c r="EH111" s="1121"/>
      <c r="EI111" s="1121"/>
      <c r="EJ111" s="1121"/>
      <c r="EK111" s="1121"/>
      <c r="EL111" s="1121"/>
      <c r="EM111" s="1121"/>
      <c r="EN111" s="1121"/>
      <c r="EO111" s="1121"/>
      <c r="EP111" s="1121"/>
      <c r="EQ111" s="1121"/>
      <c r="ER111" s="1121"/>
      <c r="ES111" s="1121"/>
      <c r="ET111" s="1121"/>
      <c r="EU111" s="1121"/>
      <c r="EW111" s="155"/>
      <c r="EX111" s="552"/>
      <c r="EY111" s="552"/>
      <c r="EZ111" s="552"/>
      <c r="FA111" s="552"/>
      <c r="FB111" s="552"/>
      <c r="FC111" s="552"/>
      <c r="FD111" s="552"/>
      <c r="FE111" s="552"/>
      <c r="FF111" s="552"/>
      <c r="FG111" s="552"/>
      <c r="FH111" s="552"/>
      <c r="FI111" s="552"/>
      <c r="FJ111" s="552"/>
      <c r="FK111" s="552"/>
      <c r="FL111" s="552"/>
      <c r="FM111" s="552"/>
      <c r="FN111" s="552"/>
      <c r="FO111" s="552"/>
      <c r="FP111" s="552"/>
      <c r="FQ111" s="552"/>
      <c r="FR111" s="552"/>
      <c r="FS111" s="552"/>
      <c r="FT111" s="552"/>
      <c r="FU111" s="552"/>
      <c r="FV111" s="552"/>
      <c r="FW111" s="552"/>
      <c r="FX111" s="552"/>
      <c r="FY111" s="552"/>
      <c r="FZ111" s="552"/>
      <c r="GA111" s="552"/>
      <c r="GB111" s="552"/>
      <c r="GC111" s="552"/>
      <c r="GD111" s="552"/>
      <c r="GE111" s="552"/>
      <c r="GF111" s="552"/>
      <c r="GG111" s="552"/>
      <c r="GH111" s="552"/>
      <c r="GI111" s="552"/>
      <c r="GJ111" s="552"/>
      <c r="GK111" s="552"/>
      <c r="GL111" s="552"/>
      <c r="GM111" s="552"/>
      <c r="GN111" s="552"/>
      <c r="GO111" s="552"/>
      <c r="GP111" s="552"/>
      <c r="GQ111" s="552"/>
      <c r="GR111" s="552"/>
      <c r="GS111" s="552"/>
      <c r="GT111" s="552"/>
      <c r="GU111" s="552"/>
      <c r="GV111" s="552"/>
      <c r="GW111" s="552"/>
      <c r="GX111" s="552"/>
      <c r="GY111" s="552"/>
      <c r="GZ111" s="552"/>
      <c r="HA111" s="552"/>
      <c r="HB111" s="552"/>
      <c r="HC111" s="552"/>
      <c r="HD111" s="552"/>
      <c r="HE111" s="552"/>
      <c r="HF111" s="552"/>
      <c r="HG111" s="552"/>
      <c r="HH111" s="552"/>
      <c r="HI111" s="552"/>
      <c r="HJ111" s="552"/>
      <c r="HK111" s="552"/>
      <c r="HL111" s="552"/>
      <c r="HM111" s="552"/>
      <c r="HN111" s="552"/>
      <c r="HO111" s="552"/>
      <c r="HP111" s="552"/>
      <c r="HQ111" s="552"/>
      <c r="HR111" s="552"/>
      <c r="HS111" s="552"/>
      <c r="HT111" s="155"/>
      <c r="HU111" s="155"/>
      <c r="HV111" s="552"/>
      <c r="HW111" s="552"/>
      <c r="HX111" s="552"/>
      <c r="HY111" s="552"/>
      <c r="HZ111" s="552"/>
      <c r="IA111" s="552"/>
      <c r="IB111" s="552"/>
      <c r="IC111" s="552"/>
      <c r="ID111" s="552"/>
      <c r="IE111" s="552"/>
      <c r="IF111" s="552"/>
      <c r="IG111" s="552"/>
      <c r="IH111" s="552"/>
      <c r="II111" s="552"/>
      <c r="IJ111" s="552"/>
      <c r="IK111" s="552"/>
      <c r="IL111" s="552"/>
      <c r="IM111" s="552"/>
      <c r="IN111" s="552"/>
      <c r="IO111" s="552"/>
      <c r="IP111" s="552"/>
      <c r="IQ111" s="552"/>
      <c r="IR111" s="552"/>
      <c r="IS111" s="552"/>
      <c r="IT111" s="552"/>
      <c r="IU111" s="552"/>
      <c r="IV111" s="552"/>
      <c r="IW111" s="552"/>
      <c r="IX111" s="552"/>
      <c r="IY111" s="552"/>
      <c r="IZ111" s="552"/>
      <c r="JA111" s="552"/>
      <c r="JB111" s="552"/>
      <c r="JC111" s="552"/>
      <c r="JD111" s="552"/>
      <c r="JE111" s="552"/>
      <c r="JF111" s="552"/>
      <c r="JG111" s="552"/>
      <c r="JH111" s="552"/>
      <c r="JI111" s="552"/>
      <c r="JJ111" s="552"/>
      <c r="JK111" s="552"/>
      <c r="JL111" s="552"/>
      <c r="JM111" s="552"/>
      <c r="JN111" s="552"/>
      <c r="JO111" s="552"/>
      <c r="JP111" s="552"/>
      <c r="JQ111" s="552"/>
      <c r="JR111" s="552"/>
      <c r="JS111" s="552"/>
      <c r="JT111" s="552"/>
      <c r="JU111" s="552"/>
      <c r="JV111" s="552"/>
      <c r="JW111" s="552"/>
      <c r="JX111" s="552"/>
      <c r="JY111" s="552"/>
      <c r="JZ111" s="552"/>
      <c r="KA111" s="552"/>
      <c r="KB111" s="552"/>
      <c r="KC111" s="552"/>
      <c r="KD111" s="552"/>
      <c r="KE111" s="552"/>
      <c r="KF111" s="552"/>
      <c r="KG111" s="552"/>
      <c r="KH111" s="552"/>
      <c r="KI111" s="552"/>
      <c r="KJ111" s="552"/>
      <c r="KK111" s="552"/>
      <c r="KL111" s="552"/>
      <c r="KM111" s="552"/>
      <c r="KN111" s="552"/>
      <c r="KO111" s="552"/>
      <c r="KP111" s="552"/>
      <c r="KQ111" s="552"/>
      <c r="KR111" s="155"/>
      <c r="KS111" s="155"/>
      <c r="KV111" s="1052"/>
      <c r="KW111" s="1052"/>
      <c r="KX111" s="1052"/>
      <c r="KY111" s="1052"/>
      <c r="KZ111" s="1052"/>
      <c r="LA111" s="1052"/>
      <c r="LB111" s="1052"/>
      <c r="LC111" s="1052"/>
      <c r="LD111" s="1052"/>
      <c r="LE111" s="1052"/>
      <c r="LF111" s="1052"/>
      <c r="LG111" s="1052"/>
      <c r="LH111" s="1052"/>
      <c r="LI111" s="1052"/>
      <c r="LJ111" s="1052"/>
      <c r="LK111" s="1052"/>
      <c r="LL111" s="1052"/>
      <c r="LM111" s="1052"/>
      <c r="LN111" s="1052"/>
      <c r="LO111" s="1052"/>
      <c r="LP111" s="1052"/>
      <c r="LQ111" s="1052"/>
      <c r="LR111" s="1052"/>
      <c r="LS111" s="1052"/>
      <c r="LT111" s="1052"/>
      <c r="LU111" s="1052"/>
      <c r="LV111" s="1052"/>
      <c r="LW111" s="1052"/>
      <c r="LX111" s="1052"/>
      <c r="LY111" s="1052"/>
      <c r="LZ111" s="1052"/>
      <c r="MA111" s="1052"/>
      <c r="MB111" s="1052"/>
      <c r="MC111" s="550"/>
      <c r="MD111" s="1052"/>
      <c r="ME111" s="1052"/>
      <c r="MF111" s="1052"/>
      <c r="MG111" s="1052"/>
      <c r="MH111" s="1052"/>
      <c r="MI111" s="1052"/>
      <c r="MJ111" s="1052"/>
      <c r="MK111" s="1052"/>
      <c r="ML111" s="1052"/>
      <c r="MM111" s="1052"/>
      <c r="MN111" s="1052"/>
      <c r="MO111" s="1052"/>
      <c r="NP111" s="155"/>
      <c r="NQ111" s="155"/>
      <c r="QN111" s="155"/>
      <c r="QO111" s="155"/>
      <c r="TL111" s="155"/>
    </row>
    <row r="112" spans="1:532" ht="6.75" customHeight="1" thickBot="1" x14ac:dyDescent="0.3">
      <c r="A112" s="155"/>
      <c r="B112" s="517"/>
      <c r="C112" s="518"/>
      <c r="D112" s="518"/>
      <c r="E112" s="518"/>
      <c r="F112" s="518"/>
      <c r="G112" s="518"/>
      <c r="H112" s="518"/>
      <c r="I112" s="518"/>
      <c r="J112" s="518"/>
      <c r="K112" s="518"/>
      <c r="L112" s="518"/>
      <c r="M112" s="518"/>
      <c r="N112" s="518"/>
      <c r="O112" s="518"/>
      <c r="P112" s="518"/>
      <c r="Q112" s="518"/>
      <c r="R112" s="518"/>
      <c r="S112" s="518"/>
      <c r="T112" s="518"/>
      <c r="U112" s="518"/>
      <c r="V112" s="518"/>
      <c r="W112" s="518"/>
      <c r="X112" s="518"/>
      <c r="Y112" s="518"/>
      <c r="Z112" s="518"/>
      <c r="AA112" s="518"/>
      <c r="AB112" s="518"/>
      <c r="AC112" s="518"/>
      <c r="AD112" s="518"/>
      <c r="AE112" s="518"/>
      <c r="AF112" s="518"/>
      <c r="AG112" s="518"/>
      <c r="AH112" s="518"/>
      <c r="AI112" s="518"/>
      <c r="AJ112" s="518"/>
      <c r="AK112" s="518"/>
      <c r="AL112" s="518"/>
      <c r="AM112" s="518"/>
      <c r="AN112" s="518"/>
      <c r="AO112" s="518"/>
      <c r="AP112" s="518"/>
      <c r="AQ112" s="518"/>
      <c r="AR112" s="518"/>
      <c r="AS112" s="518"/>
      <c r="AT112" s="518"/>
      <c r="AU112" s="518"/>
      <c r="AV112" s="518"/>
      <c r="AW112" s="518"/>
      <c r="AX112" s="518"/>
      <c r="AY112" s="518"/>
      <c r="AZ112" s="518"/>
      <c r="BA112" s="518"/>
      <c r="BB112" s="518"/>
      <c r="BC112" s="518"/>
      <c r="BD112" s="518"/>
      <c r="BE112" s="518"/>
      <c r="BF112" s="518"/>
      <c r="BG112" s="518"/>
      <c r="BH112" s="518"/>
      <c r="BI112" s="518"/>
      <c r="BJ112" s="518"/>
      <c r="BK112" s="518"/>
      <c r="BL112" s="518"/>
      <c r="BM112" s="518"/>
      <c r="BN112" s="518"/>
      <c r="BO112" s="518"/>
      <c r="BP112" s="518"/>
      <c r="BQ112" s="518"/>
      <c r="BR112" s="518"/>
      <c r="BS112" s="518"/>
      <c r="BT112" s="518"/>
      <c r="BU112" s="518"/>
      <c r="BV112" s="518"/>
      <c r="BW112" s="519"/>
      <c r="BX112" s="155"/>
      <c r="BY112" s="155"/>
      <c r="BZ112" s="152"/>
      <c r="CA112" s="136"/>
      <c r="CB112" s="136"/>
      <c r="CC112" s="136"/>
      <c r="EW112" s="155"/>
      <c r="EX112" s="552"/>
      <c r="EY112" s="552"/>
      <c r="EZ112" s="552"/>
      <c r="FA112" s="552"/>
      <c r="FB112" s="552"/>
      <c r="FC112" s="552"/>
      <c r="FD112" s="552"/>
      <c r="FE112" s="552"/>
      <c r="FF112" s="552"/>
      <c r="FG112" s="552"/>
      <c r="FH112" s="552"/>
      <c r="FI112" s="552"/>
      <c r="FJ112" s="552"/>
      <c r="FK112" s="552"/>
      <c r="FL112" s="552"/>
      <c r="FM112" s="552"/>
      <c r="FN112" s="552"/>
      <c r="FO112" s="552"/>
      <c r="FP112" s="552"/>
      <c r="FQ112" s="552"/>
      <c r="FR112" s="552"/>
      <c r="FS112" s="552"/>
      <c r="FT112" s="552"/>
      <c r="FU112" s="552"/>
      <c r="FV112" s="552"/>
      <c r="FW112" s="552"/>
      <c r="FX112" s="552"/>
      <c r="FY112" s="552"/>
      <c r="FZ112" s="552"/>
      <c r="GA112" s="552"/>
      <c r="GB112" s="552"/>
      <c r="GC112" s="552"/>
      <c r="GD112" s="552"/>
      <c r="GE112" s="552"/>
      <c r="GF112" s="552"/>
      <c r="GG112" s="552"/>
      <c r="GH112" s="552"/>
      <c r="GI112" s="552"/>
      <c r="GJ112" s="552"/>
      <c r="GK112" s="552"/>
      <c r="GL112" s="552"/>
      <c r="GM112" s="552"/>
      <c r="GN112" s="552"/>
      <c r="GO112" s="552"/>
      <c r="GP112" s="552"/>
      <c r="GQ112" s="552"/>
      <c r="GR112" s="552"/>
      <c r="GS112" s="552"/>
      <c r="GT112" s="552"/>
      <c r="GU112" s="552"/>
      <c r="GV112" s="552"/>
      <c r="GW112" s="552"/>
      <c r="GX112" s="552"/>
      <c r="GY112" s="552"/>
      <c r="GZ112" s="552"/>
      <c r="HA112" s="552"/>
      <c r="HB112" s="552"/>
      <c r="HC112" s="552"/>
      <c r="HD112" s="552"/>
      <c r="HE112" s="552"/>
      <c r="HF112" s="552"/>
      <c r="HG112" s="552"/>
      <c r="HH112" s="552"/>
      <c r="HI112" s="552"/>
      <c r="HJ112" s="552"/>
      <c r="HK112" s="552"/>
      <c r="HL112" s="552"/>
      <c r="HM112" s="552"/>
      <c r="HN112" s="552"/>
      <c r="HO112" s="552"/>
      <c r="HP112" s="552"/>
      <c r="HQ112" s="552"/>
      <c r="HR112" s="552"/>
      <c r="HS112" s="552"/>
      <c r="HT112" s="155"/>
      <c r="HU112" s="155"/>
      <c r="HV112" s="552"/>
      <c r="HW112" s="552"/>
      <c r="HX112" s="552"/>
      <c r="HY112" s="552"/>
      <c r="HZ112" s="552"/>
      <c r="IA112" s="552"/>
      <c r="IB112" s="552"/>
      <c r="IC112" s="552"/>
      <c r="ID112" s="552"/>
      <c r="IE112" s="552"/>
      <c r="IF112" s="552"/>
      <c r="IG112" s="552"/>
      <c r="IH112" s="552"/>
      <c r="II112" s="552"/>
      <c r="IJ112" s="552"/>
      <c r="IK112" s="552"/>
      <c r="IL112" s="552"/>
      <c r="IM112" s="552"/>
      <c r="IN112" s="552"/>
      <c r="IO112" s="552"/>
      <c r="IP112" s="552"/>
      <c r="IQ112" s="552"/>
      <c r="IR112" s="552"/>
      <c r="IS112" s="552"/>
      <c r="IT112" s="552"/>
      <c r="IU112" s="552"/>
      <c r="IV112" s="552"/>
      <c r="IW112" s="552"/>
      <c r="IX112" s="552"/>
      <c r="IY112" s="552"/>
      <c r="IZ112" s="552"/>
      <c r="JA112" s="552"/>
      <c r="JB112" s="552"/>
      <c r="JC112" s="552"/>
      <c r="JD112" s="552"/>
      <c r="JE112" s="552"/>
      <c r="JF112" s="552"/>
      <c r="JG112" s="552"/>
      <c r="JH112" s="552"/>
      <c r="JI112" s="552"/>
      <c r="JJ112" s="552"/>
      <c r="JK112" s="552"/>
      <c r="JL112" s="552"/>
      <c r="JM112" s="552"/>
      <c r="JN112" s="552"/>
      <c r="JO112" s="552"/>
      <c r="JP112" s="552"/>
      <c r="JQ112" s="552"/>
      <c r="JR112" s="552"/>
      <c r="JS112" s="552"/>
      <c r="JT112" s="552"/>
      <c r="JU112" s="552"/>
      <c r="JV112" s="552"/>
      <c r="JW112" s="552"/>
      <c r="JX112" s="552"/>
      <c r="JY112" s="552"/>
      <c r="JZ112" s="552"/>
      <c r="KA112" s="552"/>
      <c r="KB112" s="552"/>
      <c r="KC112" s="552"/>
      <c r="KD112" s="552"/>
      <c r="KE112" s="552"/>
      <c r="KF112" s="552"/>
      <c r="KG112" s="552"/>
      <c r="KH112" s="552"/>
      <c r="KI112" s="552"/>
      <c r="KJ112" s="552"/>
      <c r="KK112" s="552"/>
      <c r="KL112" s="552"/>
      <c r="KM112" s="552"/>
      <c r="KN112" s="552"/>
      <c r="KO112" s="552"/>
      <c r="KP112" s="552"/>
      <c r="KQ112" s="552"/>
      <c r="KR112" s="155"/>
      <c r="KS112" s="155"/>
      <c r="NP112" s="155"/>
      <c r="NQ112" s="155"/>
      <c r="QN112" s="155"/>
      <c r="QO112" s="155"/>
      <c r="TL112" s="155"/>
    </row>
    <row r="113" spans="1:532" ht="6.75" customHeight="1" x14ac:dyDescent="0.25">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55"/>
      <c r="AK113" s="155"/>
      <c r="AL113" s="155"/>
      <c r="AM113" s="155"/>
      <c r="AN113" s="155"/>
      <c r="AO113" s="155"/>
      <c r="AP113" s="155"/>
      <c r="AQ113" s="155"/>
      <c r="AR113" s="155"/>
      <c r="AS113" s="155"/>
      <c r="AT113" s="155"/>
      <c r="AU113" s="155"/>
      <c r="AV113" s="155"/>
      <c r="AW113" s="155"/>
      <c r="AX113" s="155"/>
      <c r="AY113" s="155"/>
      <c r="AZ113" s="155"/>
      <c r="BA113" s="155"/>
      <c r="BB113" s="155"/>
      <c r="BC113" s="155"/>
      <c r="BD113" s="155"/>
      <c r="BE113" s="155"/>
      <c r="BF113" s="155"/>
      <c r="BG113" s="155"/>
      <c r="BH113" s="155"/>
      <c r="BI113" s="155"/>
      <c r="BJ113" s="155"/>
      <c r="BK113" s="155"/>
      <c r="BL113" s="155"/>
      <c r="BM113" s="155"/>
      <c r="BN113" s="155"/>
      <c r="BO113" s="155"/>
      <c r="BP113" s="155"/>
      <c r="BQ113" s="155"/>
      <c r="BR113" s="155"/>
      <c r="BS113" s="155"/>
      <c r="BT113" s="155"/>
      <c r="BU113" s="155"/>
      <c r="BV113" s="155"/>
      <c r="BW113" s="155"/>
      <c r="BX113" s="155"/>
      <c r="BY113" s="155"/>
      <c r="BZ113" s="155"/>
      <c r="CA113" s="155"/>
      <c r="CB113" s="155"/>
      <c r="CC113" s="155"/>
      <c r="CD113" s="155"/>
      <c r="CE113" s="155"/>
      <c r="CF113" s="155"/>
      <c r="CG113" s="155"/>
      <c r="CH113" s="155"/>
      <c r="CI113" s="155"/>
      <c r="CJ113" s="155"/>
      <c r="CK113" s="155"/>
      <c r="CL113" s="155"/>
      <c r="CM113" s="155"/>
      <c r="CN113" s="155"/>
      <c r="CO113" s="155"/>
      <c r="CP113" s="155"/>
      <c r="CQ113" s="155"/>
      <c r="CR113" s="155"/>
      <c r="CS113" s="155"/>
      <c r="CT113" s="155"/>
      <c r="CU113" s="155"/>
      <c r="CV113" s="155"/>
      <c r="CW113" s="155"/>
      <c r="CX113" s="155"/>
      <c r="CY113" s="155"/>
      <c r="CZ113" s="155"/>
      <c r="DA113" s="155"/>
      <c r="DB113" s="155"/>
      <c r="DC113" s="155"/>
      <c r="DD113" s="155"/>
      <c r="DE113" s="155"/>
      <c r="DF113" s="155"/>
      <c r="DG113" s="155"/>
      <c r="DH113" s="155"/>
      <c r="DI113" s="155"/>
      <c r="DJ113" s="155"/>
      <c r="DK113" s="155"/>
      <c r="DL113" s="155"/>
      <c r="DM113" s="155"/>
      <c r="DN113" s="155"/>
      <c r="DO113" s="155"/>
      <c r="DP113" s="155"/>
      <c r="DQ113" s="155"/>
      <c r="DR113" s="155"/>
      <c r="DS113" s="155"/>
      <c r="DT113" s="155"/>
      <c r="DU113" s="155"/>
      <c r="DV113" s="155"/>
      <c r="DW113" s="155"/>
      <c r="DX113" s="155"/>
      <c r="DY113" s="155"/>
      <c r="DZ113" s="155"/>
      <c r="EA113" s="155"/>
      <c r="EB113" s="155"/>
      <c r="EC113" s="155"/>
      <c r="ED113" s="155"/>
      <c r="EE113" s="155"/>
      <c r="EF113" s="155"/>
      <c r="EG113" s="155"/>
      <c r="EH113" s="155"/>
      <c r="EI113" s="155"/>
      <c r="EJ113" s="155"/>
      <c r="EK113" s="155"/>
      <c r="EL113" s="155"/>
      <c r="EM113" s="155"/>
      <c r="EN113" s="155"/>
      <c r="EO113" s="155"/>
      <c r="EP113" s="155"/>
      <c r="EQ113" s="155"/>
      <c r="ER113" s="155"/>
      <c r="ES113" s="155"/>
      <c r="ET113" s="155"/>
      <c r="EU113" s="155"/>
      <c r="EV113" s="155"/>
      <c r="EW113" s="155"/>
      <c r="EX113" s="155"/>
      <c r="EY113" s="155"/>
      <c r="EZ113" s="155"/>
      <c r="FA113" s="155"/>
      <c r="FB113" s="155"/>
      <c r="FC113" s="155"/>
      <c r="FD113" s="155"/>
      <c r="FE113" s="155"/>
      <c r="FF113" s="155"/>
      <c r="FG113" s="155"/>
      <c r="FH113" s="155"/>
      <c r="FI113" s="155"/>
      <c r="FJ113" s="155"/>
      <c r="FK113" s="155"/>
      <c r="FL113" s="155"/>
      <c r="FM113" s="155"/>
      <c r="FN113" s="155"/>
      <c r="FO113" s="155"/>
      <c r="FP113" s="155"/>
      <c r="FQ113" s="155"/>
      <c r="FR113" s="155"/>
      <c r="FS113" s="155"/>
      <c r="FT113" s="155"/>
      <c r="FU113" s="155"/>
      <c r="FV113" s="155"/>
      <c r="FW113" s="155"/>
      <c r="FX113" s="155"/>
      <c r="FY113" s="155"/>
      <c r="FZ113" s="155"/>
      <c r="GA113" s="155"/>
      <c r="GB113" s="155"/>
      <c r="GC113" s="155"/>
      <c r="GD113" s="155"/>
      <c r="GE113" s="155"/>
      <c r="GF113" s="155"/>
      <c r="GG113" s="155"/>
      <c r="GH113" s="155"/>
      <c r="GI113" s="155"/>
      <c r="GJ113" s="155"/>
      <c r="GK113" s="155"/>
      <c r="GL113" s="155"/>
      <c r="GM113" s="155"/>
      <c r="GN113" s="155"/>
      <c r="GO113" s="155"/>
      <c r="GP113" s="155"/>
      <c r="GQ113" s="155"/>
      <c r="GR113" s="155"/>
      <c r="GS113" s="155"/>
      <c r="GT113" s="155"/>
      <c r="GU113" s="155"/>
      <c r="GV113" s="155"/>
      <c r="GW113" s="155"/>
      <c r="GX113" s="155"/>
      <c r="GY113" s="155"/>
      <c r="GZ113" s="155"/>
      <c r="HA113" s="155"/>
      <c r="HB113" s="155"/>
      <c r="HC113" s="155"/>
      <c r="HD113" s="155"/>
      <c r="HE113" s="155"/>
      <c r="HF113" s="155"/>
      <c r="HG113" s="155"/>
      <c r="HH113" s="155"/>
      <c r="HI113" s="155"/>
      <c r="HJ113" s="155"/>
      <c r="HK113" s="155"/>
      <c r="HL113" s="155"/>
      <c r="HM113" s="155"/>
      <c r="HN113" s="155"/>
      <c r="HO113" s="155"/>
      <c r="HP113" s="155"/>
      <c r="HQ113" s="155"/>
      <c r="HR113" s="155"/>
      <c r="HS113" s="155"/>
      <c r="HT113" s="155"/>
      <c r="HU113" s="155"/>
      <c r="HV113" s="155"/>
      <c r="HW113" s="155"/>
      <c r="HX113" s="155"/>
      <c r="HY113" s="155"/>
      <c r="HZ113" s="155"/>
      <c r="IA113" s="155"/>
      <c r="IB113" s="155"/>
      <c r="IC113" s="155"/>
      <c r="ID113" s="155"/>
      <c r="IE113" s="155"/>
      <c r="IF113" s="155"/>
      <c r="IG113" s="155"/>
      <c r="IH113" s="155"/>
      <c r="II113" s="155"/>
      <c r="IJ113" s="155"/>
      <c r="IK113" s="155"/>
      <c r="IL113" s="155"/>
      <c r="IM113" s="155"/>
      <c r="IN113" s="155"/>
      <c r="IO113" s="155"/>
      <c r="IP113" s="155"/>
      <c r="IQ113" s="155"/>
      <c r="IR113" s="155"/>
      <c r="IS113" s="155"/>
      <c r="IT113" s="155"/>
      <c r="IU113" s="155"/>
      <c r="IV113" s="155"/>
      <c r="IW113" s="155"/>
      <c r="IX113" s="155"/>
      <c r="IY113" s="155"/>
      <c r="IZ113" s="155"/>
      <c r="JA113" s="155"/>
      <c r="JB113" s="155"/>
      <c r="JC113" s="155"/>
      <c r="JD113" s="155"/>
      <c r="JE113" s="155"/>
      <c r="JF113" s="155"/>
      <c r="JG113" s="155"/>
      <c r="JH113" s="155"/>
      <c r="JI113" s="155"/>
      <c r="JJ113" s="155"/>
      <c r="JK113" s="155"/>
      <c r="JL113" s="155"/>
      <c r="JM113" s="155"/>
      <c r="JN113" s="155"/>
      <c r="JO113" s="155"/>
      <c r="JP113" s="155"/>
      <c r="JQ113" s="155"/>
      <c r="JR113" s="155"/>
      <c r="JS113" s="155"/>
      <c r="JT113" s="155"/>
      <c r="JU113" s="155"/>
      <c r="JV113" s="155"/>
      <c r="JW113" s="155"/>
      <c r="JX113" s="155"/>
      <c r="JY113" s="155"/>
      <c r="JZ113" s="155"/>
      <c r="KA113" s="155"/>
      <c r="KB113" s="155"/>
      <c r="KC113" s="155"/>
      <c r="KD113" s="155"/>
      <c r="KE113" s="155"/>
      <c r="KF113" s="155"/>
      <c r="KG113" s="155"/>
      <c r="KH113" s="155"/>
      <c r="KI113" s="155"/>
      <c r="KJ113" s="155"/>
      <c r="KK113" s="155"/>
      <c r="KL113" s="155"/>
      <c r="KM113" s="155"/>
      <c r="KN113" s="155"/>
      <c r="KO113" s="155"/>
      <c r="KP113" s="155"/>
      <c r="KQ113" s="155"/>
      <c r="KR113" s="155"/>
      <c r="KS113" s="155"/>
      <c r="KT113" s="155"/>
      <c r="KU113" s="155"/>
      <c r="KV113" s="155"/>
      <c r="KW113" s="155"/>
      <c r="KX113" s="155"/>
      <c r="KY113" s="155"/>
      <c r="KZ113" s="155"/>
      <c r="LA113" s="155"/>
      <c r="LB113" s="155"/>
      <c r="LC113" s="155"/>
      <c r="LD113" s="155"/>
      <c r="LE113" s="155"/>
      <c r="LF113" s="155"/>
      <c r="LG113" s="155"/>
      <c r="LH113" s="155"/>
      <c r="LI113" s="155"/>
      <c r="LJ113" s="155"/>
      <c r="LK113" s="155"/>
      <c r="LL113" s="155"/>
      <c r="LM113" s="155"/>
      <c r="LN113" s="155"/>
      <c r="LO113" s="155"/>
      <c r="LP113" s="155"/>
      <c r="LQ113" s="155"/>
      <c r="LR113" s="155"/>
      <c r="LS113" s="155"/>
      <c r="LT113" s="155"/>
      <c r="LU113" s="155"/>
      <c r="LV113" s="155"/>
      <c r="LW113" s="155"/>
      <c r="LX113" s="155"/>
      <c r="LY113" s="155"/>
      <c r="LZ113" s="155"/>
      <c r="MA113" s="155"/>
      <c r="MB113" s="155"/>
      <c r="MC113" s="155"/>
      <c r="MD113" s="155"/>
      <c r="ME113" s="155"/>
      <c r="MF113" s="155"/>
      <c r="MG113" s="155"/>
      <c r="MH113" s="155"/>
      <c r="MI113" s="155"/>
      <c r="MJ113" s="155"/>
      <c r="MK113" s="155"/>
      <c r="ML113" s="155"/>
      <c r="MM113" s="155"/>
      <c r="MN113" s="155"/>
      <c r="MO113" s="155"/>
      <c r="MP113" s="155"/>
      <c r="MQ113" s="155"/>
      <c r="MR113" s="155"/>
      <c r="MS113" s="155"/>
      <c r="MT113" s="155"/>
      <c r="MU113" s="155"/>
      <c r="MV113" s="155"/>
      <c r="MW113" s="155"/>
      <c r="MX113" s="155"/>
      <c r="MY113" s="155"/>
      <c r="MZ113" s="155"/>
      <c r="NA113" s="155"/>
      <c r="NB113" s="155"/>
      <c r="NC113" s="155"/>
      <c r="ND113" s="155"/>
      <c r="NE113" s="155"/>
      <c r="NF113" s="155"/>
      <c r="NG113" s="155"/>
      <c r="NH113" s="155"/>
      <c r="NI113" s="155"/>
      <c r="NJ113" s="155"/>
      <c r="NK113" s="155"/>
      <c r="NL113" s="155"/>
      <c r="NM113" s="155"/>
      <c r="NN113" s="155"/>
      <c r="NO113" s="155"/>
      <c r="NP113" s="155"/>
      <c r="NQ113" s="155"/>
      <c r="NR113" s="155"/>
      <c r="NS113" s="155"/>
      <c r="NT113" s="155"/>
      <c r="NU113" s="155"/>
      <c r="NV113" s="155"/>
      <c r="NW113" s="155"/>
      <c r="NX113" s="155"/>
      <c r="NY113" s="155"/>
      <c r="NZ113" s="155"/>
      <c r="OA113" s="155"/>
      <c r="OB113" s="155"/>
      <c r="OC113" s="155"/>
      <c r="OD113" s="155"/>
      <c r="OE113" s="155"/>
      <c r="OF113" s="155"/>
      <c r="OG113" s="155"/>
      <c r="OH113" s="155"/>
      <c r="OI113" s="155"/>
      <c r="OJ113" s="155"/>
      <c r="OK113" s="155"/>
      <c r="OL113" s="155"/>
      <c r="OM113" s="155"/>
      <c r="ON113" s="155"/>
      <c r="OO113" s="155"/>
      <c r="OP113" s="155"/>
      <c r="OQ113" s="155"/>
      <c r="OR113" s="155"/>
      <c r="OS113" s="155"/>
      <c r="OT113" s="155"/>
      <c r="OU113" s="155"/>
      <c r="OV113" s="155"/>
      <c r="OW113" s="155"/>
      <c r="OX113" s="155"/>
      <c r="OY113" s="155"/>
      <c r="OZ113" s="155"/>
      <c r="PA113" s="155"/>
      <c r="PB113" s="155"/>
      <c r="PC113" s="155"/>
      <c r="PD113" s="155"/>
      <c r="PE113" s="155"/>
      <c r="PF113" s="155"/>
      <c r="PG113" s="155"/>
      <c r="PH113" s="155"/>
      <c r="PI113" s="155"/>
      <c r="PJ113" s="155"/>
      <c r="PK113" s="155"/>
      <c r="PL113" s="155"/>
      <c r="PM113" s="155"/>
      <c r="PN113" s="155"/>
      <c r="PO113" s="155"/>
      <c r="PP113" s="155"/>
      <c r="PQ113" s="155"/>
      <c r="PR113" s="155"/>
      <c r="PS113" s="155"/>
      <c r="PT113" s="155"/>
      <c r="PU113" s="155"/>
      <c r="PV113" s="155"/>
      <c r="PW113" s="155"/>
      <c r="PX113" s="155"/>
      <c r="PY113" s="155"/>
      <c r="PZ113" s="155"/>
      <c r="QA113" s="155"/>
      <c r="QB113" s="155"/>
      <c r="QC113" s="155"/>
      <c r="QD113" s="155"/>
      <c r="QE113" s="155"/>
      <c r="QF113" s="155"/>
      <c r="QG113" s="155"/>
      <c r="QH113" s="155"/>
      <c r="QI113" s="155"/>
      <c r="QJ113" s="155"/>
      <c r="QK113" s="155"/>
      <c r="QL113" s="155"/>
      <c r="QM113" s="155"/>
      <c r="QN113" s="155"/>
      <c r="QO113" s="155"/>
      <c r="QP113" s="155"/>
      <c r="QQ113" s="155"/>
      <c r="QR113" s="155"/>
      <c r="QS113" s="155"/>
      <c r="QT113" s="155"/>
      <c r="QU113" s="155"/>
      <c r="QV113" s="155"/>
      <c r="QW113" s="155"/>
      <c r="QX113" s="155"/>
      <c r="QY113" s="155"/>
      <c r="QZ113" s="155"/>
      <c r="RA113" s="155"/>
      <c r="RB113" s="155"/>
      <c r="RC113" s="155"/>
      <c r="RD113" s="155"/>
      <c r="RE113" s="155"/>
      <c r="RF113" s="155"/>
      <c r="RG113" s="155"/>
      <c r="RH113" s="155"/>
      <c r="RI113" s="155"/>
      <c r="RJ113" s="155"/>
      <c r="RK113" s="155"/>
      <c r="RL113" s="155"/>
      <c r="RM113" s="155"/>
      <c r="RN113" s="155"/>
      <c r="RO113" s="155"/>
      <c r="RP113" s="155"/>
      <c r="RQ113" s="155"/>
      <c r="RR113" s="155"/>
      <c r="RS113" s="155"/>
      <c r="RT113" s="155"/>
      <c r="RU113" s="155"/>
      <c r="RV113" s="155"/>
      <c r="RW113" s="155"/>
      <c r="RX113" s="155"/>
      <c r="RY113" s="155"/>
      <c r="RZ113" s="155"/>
      <c r="SA113" s="155"/>
      <c r="SB113" s="155"/>
      <c r="SC113" s="155"/>
      <c r="SD113" s="155"/>
      <c r="SE113" s="155"/>
      <c r="SF113" s="155"/>
      <c r="SG113" s="155"/>
      <c r="SH113" s="155"/>
      <c r="SI113" s="155"/>
      <c r="SJ113" s="155"/>
      <c r="SK113" s="155"/>
      <c r="SL113" s="155"/>
      <c r="SM113" s="155"/>
      <c r="SN113" s="155"/>
      <c r="SO113" s="155"/>
      <c r="SP113" s="155"/>
      <c r="SQ113" s="155"/>
      <c r="SR113" s="155"/>
      <c r="SS113" s="155"/>
      <c r="ST113" s="155"/>
      <c r="SU113" s="155"/>
      <c r="SV113" s="155"/>
      <c r="SW113" s="155"/>
      <c r="SX113" s="155"/>
      <c r="SY113" s="155"/>
      <c r="SZ113" s="155"/>
      <c r="TA113" s="155"/>
      <c r="TB113" s="155"/>
      <c r="TC113" s="155"/>
      <c r="TD113" s="155"/>
      <c r="TE113" s="155"/>
      <c r="TF113" s="155"/>
      <c r="TG113" s="155"/>
      <c r="TH113" s="155"/>
      <c r="TI113" s="155"/>
      <c r="TJ113" s="155"/>
      <c r="TK113" s="155"/>
      <c r="TL113" s="155"/>
    </row>
    <row r="114" spans="1:532" ht="6.75" customHeight="1" x14ac:dyDescent="0.25">
      <c r="B114" s="1048" t="s">
        <v>6618</v>
      </c>
      <c r="C114" s="1048"/>
      <c r="D114" s="1048"/>
      <c r="E114" s="1048"/>
      <c r="F114" s="1048"/>
      <c r="G114" s="1048"/>
      <c r="H114" s="1048"/>
      <c r="I114" s="1048"/>
      <c r="J114" s="1048"/>
      <c r="K114" s="1048"/>
      <c r="L114" s="1048"/>
      <c r="M114" s="1048"/>
      <c r="N114" s="1048"/>
      <c r="O114" s="1048"/>
      <c r="P114" s="1048"/>
      <c r="Q114" s="1048"/>
      <c r="R114" s="1048"/>
      <c r="S114" s="1048"/>
      <c r="T114" s="1048"/>
      <c r="U114" s="1048"/>
      <c r="V114" s="1048"/>
      <c r="W114" s="1048"/>
      <c r="X114" s="1048"/>
      <c r="Y114" s="1048"/>
      <c r="Z114" s="1048"/>
      <c r="AA114" s="1048"/>
      <c r="AB114" s="1048"/>
      <c r="AC114" s="1048"/>
      <c r="AD114" s="1048"/>
      <c r="AE114" s="1048"/>
      <c r="AF114" s="1048"/>
      <c r="AG114" s="1048"/>
      <c r="AH114" s="1048"/>
      <c r="AI114" s="1048"/>
      <c r="AJ114" s="1048"/>
      <c r="AK114" s="1048"/>
      <c r="AL114" s="1048"/>
      <c r="AM114" s="1048"/>
      <c r="AN114" s="1048"/>
      <c r="AO114" s="1048"/>
      <c r="AP114" s="1048"/>
      <c r="AQ114" s="1048"/>
      <c r="AR114" s="1048"/>
      <c r="AS114" s="1048"/>
      <c r="AT114" s="1048"/>
      <c r="AU114" s="1048"/>
      <c r="AV114" s="1048"/>
      <c r="AW114" s="1048"/>
      <c r="AX114" s="1048"/>
      <c r="AY114" s="1048"/>
      <c r="AZ114" s="1048"/>
      <c r="BA114" s="1048"/>
      <c r="BB114" s="1048"/>
      <c r="BC114" s="1048"/>
      <c r="BD114" s="1048"/>
      <c r="BE114" s="1048"/>
      <c r="BF114" s="1048"/>
      <c r="BG114" s="1048"/>
      <c r="BH114" s="1048"/>
      <c r="BI114" s="1048"/>
      <c r="BJ114" s="1048"/>
      <c r="BK114" s="1048"/>
      <c r="BL114" s="1048"/>
      <c r="BM114" s="1048"/>
      <c r="BN114" s="1048"/>
      <c r="BO114" s="1048"/>
      <c r="BP114" s="1048"/>
      <c r="BQ114" s="1048"/>
      <c r="BR114" s="1048"/>
      <c r="BS114" s="1048"/>
      <c r="BT114" s="1048"/>
      <c r="BU114" s="1048"/>
      <c r="BV114" s="1048"/>
      <c r="BW114" s="1048"/>
      <c r="BZ114" s="1048" t="s">
        <v>6619</v>
      </c>
      <c r="CA114" s="1048"/>
      <c r="CB114" s="1048"/>
      <c r="CC114" s="1048"/>
      <c r="CD114" s="1048"/>
      <c r="CE114" s="1048"/>
      <c r="CF114" s="1048"/>
      <c r="CG114" s="1048"/>
      <c r="CH114" s="1048"/>
      <c r="CI114" s="1048"/>
      <c r="CJ114" s="1048"/>
      <c r="CK114" s="1048"/>
      <c r="CL114" s="1048"/>
      <c r="CM114" s="1048"/>
      <c r="CN114" s="1048"/>
      <c r="CO114" s="1048"/>
      <c r="CP114" s="1048"/>
      <c r="CQ114" s="1048"/>
      <c r="CR114" s="1048"/>
      <c r="CS114" s="1048"/>
      <c r="CT114" s="1048"/>
      <c r="CU114" s="1048"/>
      <c r="CV114" s="1048"/>
      <c r="CW114" s="1048"/>
      <c r="CX114" s="1048"/>
      <c r="CY114" s="1048"/>
      <c r="CZ114" s="1048"/>
      <c r="DA114" s="1048"/>
      <c r="DB114" s="1048"/>
      <c r="DC114" s="1048"/>
      <c r="DD114" s="1048"/>
      <c r="DE114" s="1048"/>
      <c r="DF114" s="1048"/>
      <c r="DG114" s="1048"/>
      <c r="DH114" s="1048"/>
      <c r="DI114" s="1048"/>
      <c r="DJ114" s="1048"/>
      <c r="DK114" s="1048"/>
      <c r="DL114" s="1048"/>
      <c r="DM114" s="1048"/>
      <c r="DN114" s="1048"/>
      <c r="DO114" s="1048"/>
      <c r="DP114" s="1048"/>
      <c r="DQ114" s="1048"/>
      <c r="DR114" s="1048"/>
      <c r="DS114" s="1048"/>
      <c r="DT114" s="1048"/>
      <c r="DU114" s="1048"/>
      <c r="DV114" s="1048"/>
      <c r="DW114" s="1048"/>
      <c r="DX114" s="1048"/>
      <c r="DY114" s="1048"/>
      <c r="DZ114" s="1048"/>
      <c r="EA114" s="1048"/>
      <c r="EB114" s="1048"/>
      <c r="EC114" s="1048"/>
      <c r="ED114" s="1048"/>
      <c r="EE114" s="1048"/>
      <c r="EF114" s="1048"/>
      <c r="EG114" s="1048"/>
      <c r="EH114" s="1048"/>
      <c r="EI114" s="1048"/>
      <c r="EJ114" s="1048"/>
      <c r="EK114" s="1048"/>
      <c r="EL114" s="1048"/>
      <c r="EM114" s="1048"/>
      <c r="EN114" s="1048"/>
      <c r="EO114" s="1048"/>
      <c r="EP114" s="1048"/>
      <c r="EQ114" s="1048"/>
      <c r="ER114" s="1048"/>
      <c r="ES114" s="1048"/>
      <c r="ET114" s="1048"/>
      <c r="EU114" s="1048"/>
      <c r="EX114" s="1048" t="s">
        <v>6620</v>
      </c>
      <c r="EY114" s="1048"/>
      <c r="EZ114" s="1048"/>
      <c r="FA114" s="1048"/>
      <c r="FB114" s="1048"/>
      <c r="FC114" s="1048"/>
      <c r="FD114" s="1048"/>
      <c r="FE114" s="1048"/>
      <c r="FF114" s="1048"/>
      <c r="FG114" s="1048"/>
      <c r="FH114" s="1048"/>
      <c r="FI114" s="1048"/>
      <c r="FJ114" s="1048"/>
      <c r="FK114" s="1048"/>
      <c r="FL114" s="1048"/>
      <c r="FM114" s="1048"/>
      <c r="FN114" s="1048"/>
      <c r="FO114" s="1048"/>
      <c r="FP114" s="1048"/>
      <c r="FQ114" s="1048"/>
      <c r="FR114" s="1048"/>
      <c r="FS114" s="1048"/>
      <c r="FT114" s="1048"/>
      <c r="FU114" s="1048"/>
      <c r="FV114" s="1048"/>
      <c r="FW114" s="1048"/>
      <c r="FX114" s="1048"/>
      <c r="FY114" s="1048"/>
      <c r="FZ114" s="1048"/>
      <c r="GA114" s="1048"/>
      <c r="GB114" s="1048"/>
      <c r="GC114" s="1048"/>
      <c r="GD114" s="1048"/>
      <c r="GE114" s="1048"/>
      <c r="GF114" s="1048"/>
      <c r="GG114" s="1048"/>
      <c r="GH114" s="1048"/>
      <c r="GI114" s="1048"/>
      <c r="GJ114" s="1048"/>
      <c r="GK114" s="1048"/>
      <c r="GL114" s="1048"/>
      <c r="GM114" s="1048"/>
      <c r="GN114" s="1048"/>
      <c r="GO114" s="1048"/>
      <c r="GP114" s="1048"/>
      <c r="GQ114" s="1048"/>
      <c r="GR114" s="1048"/>
      <c r="GS114" s="1048"/>
      <c r="GT114" s="1048"/>
      <c r="GU114" s="1048"/>
      <c r="GV114" s="1048"/>
      <c r="GW114" s="1048"/>
      <c r="GX114" s="1048"/>
      <c r="GY114" s="1048"/>
      <c r="GZ114" s="1048"/>
      <c r="HA114" s="1048"/>
      <c r="HB114" s="1048"/>
      <c r="HC114" s="1048"/>
      <c r="HD114" s="1048"/>
      <c r="HE114" s="1048"/>
      <c r="HF114" s="1048"/>
      <c r="HG114" s="1048"/>
      <c r="HH114" s="1048"/>
      <c r="HI114" s="1048"/>
      <c r="HJ114" s="1048"/>
      <c r="HK114" s="1048"/>
      <c r="HL114" s="1048"/>
      <c r="HM114" s="1048"/>
      <c r="HN114" s="1048"/>
      <c r="HO114" s="1048"/>
      <c r="HP114" s="1048"/>
      <c r="HQ114" s="1048"/>
      <c r="HR114" s="1048"/>
      <c r="HS114" s="1048"/>
      <c r="HV114" s="1048" t="s">
        <v>6600</v>
      </c>
      <c r="HW114" s="1048"/>
      <c r="HX114" s="1048"/>
      <c r="HY114" s="1048"/>
      <c r="HZ114" s="1048"/>
      <c r="IA114" s="1048"/>
      <c r="IB114" s="1048"/>
      <c r="IC114" s="1048"/>
      <c r="ID114" s="1048"/>
      <c r="IE114" s="1048"/>
      <c r="IF114" s="1048"/>
      <c r="IG114" s="1048"/>
      <c r="IH114" s="1048"/>
      <c r="II114" s="1048"/>
      <c r="IJ114" s="1048"/>
      <c r="IK114" s="1048"/>
      <c r="IL114" s="1048"/>
      <c r="IM114" s="1048"/>
      <c r="IN114" s="1048"/>
      <c r="IO114" s="1048"/>
      <c r="IP114" s="1048"/>
      <c r="IQ114" s="1048"/>
      <c r="IR114" s="1048"/>
      <c r="IS114" s="1048"/>
      <c r="IT114" s="1048"/>
      <c r="IU114" s="1048"/>
      <c r="IV114" s="1048"/>
      <c r="IW114" s="1048"/>
      <c r="IX114" s="1048"/>
      <c r="IY114" s="1048"/>
      <c r="IZ114" s="1048"/>
      <c r="JA114" s="1048"/>
      <c r="JB114" s="1048"/>
      <c r="JC114" s="1048"/>
      <c r="JD114" s="1048"/>
      <c r="JE114" s="1048"/>
      <c r="JF114" s="1048"/>
      <c r="JG114" s="1048"/>
      <c r="JH114" s="1048"/>
      <c r="JI114" s="1048"/>
      <c r="JJ114" s="1048"/>
      <c r="JK114" s="1048"/>
      <c r="JL114" s="1048"/>
      <c r="JM114" s="1048"/>
      <c r="JN114" s="1048"/>
      <c r="JO114" s="1048"/>
      <c r="JP114" s="1048"/>
      <c r="JQ114" s="1048"/>
      <c r="JR114" s="1048"/>
      <c r="JS114" s="1048"/>
      <c r="JT114" s="1048"/>
      <c r="JU114" s="1048"/>
      <c r="JV114" s="1048"/>
      <c r="JW114" s="1048"/>
      <c r="JX114" s="1048"/>
      <c r="JY114" s="1048"/>
      <c r="JZ114" s="1048"/>
      <c r="KA114" s="1048"/>
      <c r="KB114" s="1048"/>
      <c r="KC114" s="1048"/>
      <c r="KD114" s="1048"/>
      <c r="KE114" s="1048"/>
      <c r="KF114" s="1048"/>
      <c r="KG114" s="1048"/>
      <c r="KH114" s="1048"/>
      <c r="KI114" s="1048"/>
      <c r="KJ114" s="1048"/>
      <c r="KK114" s="1048"/>
      <c r="KL114" s="1048"/>
      <c r="KM114" s="1048"/>
      <c r="KN114" s="1048"/>
      <c r="KO114" s="1048"/>
      <c r="KP114" s="1048"/>
      <c r="KQ114" s="1048"/>
      <c r="KT114" s="1048" t="s">
        <v>6437</v>
      </c>
      <c r="KU114" s="1048"/>
      <c r="KV114" s="1048"/>
      <c r="KW114" s="1048"/>
      <c r="KX114" s="1048"/>
      <c r="KY114" s="1048"/>
      <c r="KZ114" s="1048"/>
      <c r="LA114" s="1048"/>
      <c r="LB114" s="1048"/>
      <c r="LC114" s="1048"/>
      <c r="LD114" s="1048"/>
      <c r="LE114" s="1048"/>
      <c r="LF114" s="1048"/>
      <c r="LG114" s="1048"/>
      <c r="LH114" s="1048"/>
      <c r="LI114" s="1048"/>
      <c r="LJ114" s="1048"/>
      <c r="LK114" s="1048"/>
      <c r="LL114" s="1048"/>
      <c r="LM114" s="1048"/>
      <c r="LN114" s="1048"/>
      <c r="LO114" s="1048"/>
      <c r="LP114" s="1048"/>
      <c r="LQ114" s="1048"/>
      <c r="LR114" s="1048"/>
      <c r="LS114" s="1048"/>
      <c r="LT114" s="1048"/>
      <c r="LU114" s="1048"/>
      <c r="LV114" s="1048"/>
      <c r="LW114" s="1048"/>
      <c r="LX114" s="1048"/>
      <c r="LY114" s="1048"/>
      <c r="LZ114" s="1048"/>
      <c r="MA114" s="1048"/>
      <c r="MB114" s="1048"/>
      <c r="MC114" s="1048"/>
      <c r="MD114" s="1048"/>
      <c r="ME114" s="1048"/>
      <c r="MF114" s="1048"/>
      <c r="MG114" s="1048"/>
      <c r="MH114" s="1048"/>
      <c r="MI114" s="1048"/>
      <c r="MJ114" s="1048"/>
      <c r="MK114" s="1048"/>
      <c r="ML114" s="1048"/>
      <c r="MM114" s="1048"/>
      <c r="MN114" s="1048"/>
      <c r="MO114" s="1048"/>
      <c r="MP114" s="1048"/>
      <c r="MQ114" s="1048"/>
      <c r="MR114" s="1048"/>
      <c r="MS114" s="1048"/>
      <c r="MT114" s="1048"/>
      <c r="MU114" s="1048"/>
      <c r="MV114" s="1048"/>
      <c r="MW114" s="1048"/>
      <c r="MX114" s="1048"/>
      <c r="MY114" s="1048"/>
      <c r="MZ114" s="1048"/>
      <c r="NA114" s="1048"/>
      <c r="NB114" s="1048"/>
      <c r="NC114" s="1048"/>
      <c r="ND114" s="1048"/>
      <c r="NE114" s="1048"/>
      <c r="NF114" s="1048"/>
      <c r="NG114" s="1048"/>
      <c r="NH114" s="1048"/>
      <c r="NI114" s="1048"/>
      <c r="NJ114" s="1048"/>
      <c r="NK114" s="1048"/>
      <c r="NL114" s="1048"/>
      <c r="NM114" s="1048"/>
      <c r="NN114" s="1048"/>
      <c r="NO114" s="1048"/>
    </row>
    <row r="115" spans="1:532" ht="6.75" customHeight="1" x14ac:dyDescent="0.25">
      <c r="B115" s="1048"/>
      <c r="C115" s="1048"/>
      <c r="D115" s="1048"/>
      <c r="E115" s="1048"/>
      <c r="F115" s="1048"/>
      <c r="G115" s="1048"/>
      <c r="H115" s="1048"/>
      <c r="I115" s="1048"/>
      <c r="J115" s="1048"/>
      <c r="K115" s="1048"/>
      <c r="L115" s="1048"/>
      <c r="M115" s="1048"/>
      <c r="N115" s="1048"/>
      <c r="O115" s="1048"/>
      <c r="P115" s="1048"/>
      <c r="Q115" s="1048"/>
      <c r="R115" s="1048"/>
      <c r="S115" s="1048"/>
      <c r="T115" s="1048"/>
      <c r="U115" s="1048"/>
      <c r="V115" s="1048"/>
      <c r="W115" s="1048"/>
      <c r="X115" s="1048"/>
      <c r="Y115" s="1048"/>
      <c r="Z115" s="1048"/>
      <c r="AA115" s="1048"/>
      <c r="AB115" s="1048"/>
      <c r="AC115" s="1048"/>
      <c r="AD115" s="1048"/>
      <c r="AE115" s="1048"/>
      <c r="AF115" s="1048"/>
      <c r="AG115" s="1048"/>
      <c r="AH115" s="1048"/>
      <c r="AI115" s="1048"/>
      <c r="AJ115" s="1048"/>
      <c r="AK115" s="1048"/>
      <c r="AL115" s="1048"/>
      <c r="AM115" s="1048"/>
      <c r="AN115" s="1048"/>
      <c r="AO115" s="1048"/>
      <c r="AP115" s="1048"/>
      <c r="AQ115" s="1048"/>
      <c r="AR115" s="1048"/>
      <c r="AS115" s="1048"/>
      <c r="AT115" s="1048"/>
      <c r="AU115" s="1048"/>
      <c r="AV115" s="1048"/>
      <c r="AW115" s="1048"/>
      <c r="AX115" s="1048"/>
      <c r="AY115" s="1048"/>
      <c r="AZ115" s="1048"/>
      <c r="BA115" s="1048"/>
      <c r="BB115" s="1048"/>
      <c r="BC115" s="1048"/>
      <c r="BD115" s="1048"/>
      <c r="BE115" s="1048"/>
      <c r="BF115" s="1048"/>
      <c r="BG115" s="1048"/>
      <c r="BH115" s="1048"/>
      <c r="BI115" s="1048"/>
      <c r="BJ115" s="1048"/>
      <c r="BK115" s="1048"/>
      <c r="BL115" s="1048"/>
      <c r="BM115" s="1048"/>
      <c r="BN115" s="1048"/>
      <c r="BO115" s="1048"/>
      <c r="BP115" s="1048"/>
      <c r="BQ115" s="1048"/>
      <c r="BR115" s="1048"/>
      <c r="BS115" s="1048"/>
      <c r="BT115" s="1048"/>
      <c r="BU115" s="1048"/>
      <c r="BV115" s="1048"/>
      <c r="BW115" s="1048"/>
      <c r="BZ115" s="1048"/>
      <c r="CA115" s="1048"/>
      <c r="CB115" s="1048"/>
      <c r="CC115" s="1048"/>
      <c r="CD115" s="1048"/>
      <c r="CE115" s="1048"/>
      <c r="CF115" s="1048"/>
      <c r="CG115" s="1048"/>
      <c r="CH115" s="1048"/>
      <c r="CI115" s="1048"/>
      <c r="CJ115" s="1048"/>
      <c r="CK115" s="1048"/>
      <c r="CL115" s="1048"/>
      <c r="CM115" s="1048"/>
      <c r="CN115" s="1048"/>
      <c r="CO115" s="1048"/>
      <c r="CP115" s="1048"/>
      <c r="CQ115" s="1048"/>
      <c r="CR115" s="1048"/>
      <c r="CS115" s="1048"/>
      <c r="CT115" s="1048"/>
      <c r="CU115" s="1048"/>
      <c r="CV115" s="1048"/>
      <c r="CW115" s="1048"/>
      <c r="CX115" s="1048"/>
      <c r="CY115" s="1048"/>
      <c r="CZ115" s="1048"/>
      <c r="DA115" s="1048"/>
      <c r="DB115" s="1048"/>
      <c r="DC115" s="1048"/>
      <c r="DD115" s="1048"/>
      <c r="DE115" s="1048"/>
      <c r="DF115" s="1048"/>
      <c r="DG115" s="1048"/>
      <c r="DH115" s="1048"/>
      <c r="DI115" s="1048"/>
      <c r="DJ115" s="1048"/>
      <c r="DK115" s="1048"/>
      <c r="DL115" s="1048"/>
      <c r="DM115" s="1048"/>
      <c r="DN115" s="1048"/>
      <c r="DO115" s="1048"/>
      <c r="DP115" s="1048"/>
      <c r="DQ115" s="1048"/>
      <c r="DR115" s="1048"/>
      <c r="DS115" s="1048"/>
      <c r="DT115" s="1048"/>
      <c r="DU115" s="1048"/>
      <c r="DV115" s="1048"/>
      <c r="DW115" s="1048"/>
      <c r="DX115" s="1048"/>
      <c r="DY115" s="1048"/>
      <c r="DZ115" s="1048"/>
      <c r="EA115" s="1048"/>
      <c r="EB115" s="1048"/>
      <c r="EC115" s="1048"/>
      <c r="ED115" s="1048"/>
      <c r="EE115" s="1048"/>
      <c r="EF115" s="1048"/>
      <c r="EG115" s="1048"/>
      <c r="EH115" s="1048"/>
      <c r="EI115" s="1048"/>
      <c r="EJ115" s="1048"/>
      <c r="EK115" s="1048"/>
      <c r="EL115" s="1048"/>
      <c r="EM115" s="1048"/>
      <c r="EN115" s="1048"/>
      <c r="EO115" s="1048"/>
      <c r="EP115" s="1048"/>
      <c r="EQ115" s="1048"/>
      <c r="ER115" s="1048"/>
      <c r="ES115" s="1048"/>
      <c r="ET115" s="1048"/>
      <c r="EU115" s="1048"/>
      <c r="EX115" s="1048"/>
      <c r="EY115" s="1048"/>
      <c r="EZ115" s="1048"/>
      <c r="FA115" s="1048"/>
      <c r="FB115" s="1048"/>
      <c r="FC115" s="1048"/>
      <c r="FD115" s="1048"/>
      <c r="FE115" s="1048"/>
      <c r="FF115" s="1048"/>
      <c r="FG115" s="1048"/>
      <c r="FH115" s="1048"/>
      <c r="FI115" s="1048"/>
      <c r="FJ115" s="1048"/>
      <c r="FK115" s="1048"/>
      <c r="FL115" s="1048"/>
      <c r="FM115" s="1048"/>
      <c r="FN115" s="1048"/>
      <c r="FO115" s="1048"/>
      <c r="FP115" s="1048"/>
      <c r="FQ115" s="1048"/>
      <c r="FR115" s="1048"/>
      <c r="FS115" s="1048"/>
      <c r="FT115" s="1048"/>
      <c r="FU115" s="1048"/>
      <c r="FV115" s="1048"/>
      <c r="FW115" s="1048"/>
      <c r="FX115" s="1048"/>
      <c r="FY115" s="1048"/>
      <c r="FZ115" s="1048"/>
      <c r="GA115" s="1048"/>
      <c r="GB115" s="1048"/>
      <c r="GC115" s="1048"/>
      <c r="GD115" s="1048"/>
      <c r="GE115" s="1048"/>
      <c r="GF115" s="1048"/>
      <c r="GG115" s="1048"/>
      <c r="GH115" s="1048"/>
      <c r="GI115" s="1048"/>
      <c r="GJ115" s="1048"/>
      <c r="GK115" s="1048"/>
      <c r="GL115" s="1048"/>
      <c r="GM115" s="1048"/>
      <c r="GN115" s="1048"/>
      <c r="GO115" s="1048"/>
      <c r="GP115" s="1048"/>
      <c r="GQ115" s="1048"/>
      <c r="GR115" s="1048"/>
      <c r="GS115" s="1048"/>
      <c r="GT115" s="1048"/>
      <c r="GU115" s="1048"/>
      <c r="GV115" s="1048"/>
      <c r="GW115" s="1048"/>
      <c r="GX115" s="1048"/>
      <c r="GY115" s="1048"/>
      <c r="GZ115" s="1048"/>
      <c r="HA115" s="1048"/>
      <c r="HB115" s="1048"/>
      <c r="HC115" s="1048"/>
      <c r="HD115" s="1048"/>
      <c r="HE115" s="1048"/>
      <c r="HF115" s="1048"/>
      <c r="HG115" s="1048"/>
      <c r="HH115" s="1048"/>
      <c r="HI115" s="1048"/>
      <c r="HJ115" s="1048"/>
      <c r="HK115" s="1048"/>
      <c r="HL115" s="1048"/>
      <c r="HM115" s="1048"/>
      <c r="HN115" s="1048"/>
      <c r="HO115" s="1048"/>
      <c r="HP115" s="1048"/>
      <c r="HQ115" s="1048"/>
      <c r="HR115" s="1048"/>
      <c r="HS115" s="1048"/>
      <c r="HV115" s="1048"/>
      <c r="HW115" s="1048"/>
      <c r="HX115" s="1048"/>
      <c r="HY115" s="1048"/>
      <c r="HZ115" s="1048"/>
      <c r="IA115" s="1048"/>
      <c r="IB115" s="1048"/>
      <c r="IC115" s="1048"/>
      <c r="ID115" s="1048"/>
      <c r="IE115" s="1048"/>
      <c r="IF115" s="1048"/>
      <c r="IG115" s="1048"/>
      <c r="IH115" s="1048"/>
      <c r="II115" s="1048"/>
      <c r="IJ115" s="1048"/>
      <c r="IK115" s="1048"/>
      <c r="IL115" s="1048"/>
      <c r="IM115" s="1048"/>
      <c r="IN115" s="1048"/>
      <c r="IO115" s="1048"/>
      <c r="IP115" s="1048"/>
      <c r="IQ115" s="1048"/>
      <c r="IR115" s="1048"/>
      <c r="IS115" s="1048"/>
      <c r="IT115" s="1048"/>
      <c r="IU115" s="1048"/>
      <c r="IV115" s="1048"/>
      <c r="IW115" s="1048"/>
      <c r="IX115" s="1048"/>
      <c r="IY115" s="1048"/>
      <c r="IZ115" s="1048"/>
      <c r="JA115" s="1048"/>
      <c r="JB115" s="1048"/>
      <c r="JC115" s="1048"/>
      <c r="JD115" s="1048"/>
      <c r="JE115" s="1048"/>
      <c r="JF115" s="1048"/>
      <c r="JG115" s="1048"/>
      <c r="JH115" s="1048"/>
      <c r="JI115" s="1048"/>
      <c r="JJ115" s="1048"/>
      <c r="JK115" s="1048"/>
      <c r="JL115" s="1048"/>
      <c r="JM115" s="1048"/>
      <c r="JN115" s="1048"/>
      <c r="JO115" s="1048"/>
      <c r="JP115" s="1048"/>
      <c r="JQ115" s="1048"/>
      <c r="JR115" s="1048"/>
      <c r="JS115" s="1048"/>
      <c r="JT115" s="1048"/>
      <c r="JU115" s="1048"/>
      <c r="JV115" s="1048"/>
      <c r="JW115" s="1048"/>
      <c r="JX115" s="1048"/>
      <c r="JY115" s="1048"/>
      <c r="JZ115" s="1048"/>
      <c r="KA115" s="1048"/>
      <c r="KB115" s="1048"/>
      <c r="KC115" s="1048"/>
      <c r="KD115" s="1048"/>
      <c r="KE115" s="1048"/>
      <c r="KF115" s="1048"/>
      <c r="KG115" s="1048"/>
      <c r="KH115" s="1048"/>
      <c r="KI115" s="1048"/>
      <c r="KJ115" s="1048"/>
      <c r="KK115" s="1048"/>
      <c r="KL115" s="1048"/>
      <c r="KM115" s="1048"/>
      <c r="KN115" s="1048"/>
      <c r="KO115" s="1048"/>
      <c r="KP115" s="1048"/>
      <c r="KQ115" s="1048"/>
      <c r="KT115" s="1048"/>
      <c r="KU115" s="1048"/>
      <c r="KV115" s="1048"/>
      <c r="KW115" s="1048"/>
      <c r="KX115" s="1048"/>
      <c r="KY115" s="1048"/>
      <c r="KZ115" s="1048"/>
      <c r="LA115" s="1048"/>
      <c r="LB115" s="1048"/>
      <c r="LC115" s="1048"/>
      <c r="LD115" s="1048"/>
      <c r="LE115" s="1048"/>
      <c r="LF115" s="1048"/>
      <c r="LG115" s="1048"/>
      <c r="LH115" s="1048"/>
      <c r="LI115" s="1048"/>
      <c r="LJ115" s="1048"/>
      <c r="LK115" s="1048"/>
      <c r="LL115" s="1048"/>
      <c r="LM115" s="1048"/>
      <c r="LN115" s="1048"/>
      <c r="LO115" s="1048"/>
      <c r="LP115" s="1048"/>
      <c r="LQ115" s="1048"/>
      <c r="LR115" s="1048"/>
      <c r="LS115" s="1048"/>
      <c r="LT115" s="1048"/>
      <c r="LU115" s="1048"/>
      <c r="LV115" s="1048"/>
      <c r="LW115" s="1048"/>
      <c r="LX115" s="1048"/>
      <c r="LY115" s="1048"/>
      <c r="LZ115" s="1048"/>
      <c r="MA115" s="1048"/>
      <c r="MB115" s="1048"/>
      <c r="MC115" s="1048"/>
      <c r="MD115" s="1048"/>
      <c r="ME115" s="1048"/>
      <c r="MF115" s="1048"/>
      <c r="MG115" s="1048"/>
      <c r="MH115" s="1048"/>
      <c r="MI115" s="1048"/>
      <c r="MJ115" s="1048"/>
      <c r="MK115" s="1048"/>
      <c r="ML115" s="1048"/>
      <c r="MM115" s="1048"/>
      <c r="MN115" s="1048"/>
      <c r="MO115" s="1048"/>
      <c r="MP115" s="1048"/>
      <c r="MQ115" s="1048"/>
      <c r="MR115" s="1048"/>
      <c r="MS115" s="1048"/>
      <c r="MT115" s="1048"/>
      <c r="MU115" s="1048"/>
      <c r="MV115" s="1048"/>
      <c r="MW115" s="1048"/>
      <c r="MX115" s="1048"/>
      <c r="MY115" s="1048"/>
      <c r="MZ115" s="1048"/>
      <c r="NA115" s="1048"/>
      <c r="NB115" s="1048"/>
      <c r="NC115" s="1048"/>
      <c r="ND115" s="1048"/>
      <c r="NE115" s="1048"/>
      <c r="NF115" s="1048"/>
      <c r="NG115" s="1048"/>
      <c r="NH115" s="1048"/>
      <c r="NI115" s="1048"/>
      <c r="NJ115" s="1048"/>
      <c r="NK115" s="1048"/>
      <c r="NL115" s="1048"/>
      <c r="NM115" s="1048"/>
      <c r="NN115" s="1048"/>
      <c r="NO115" s="1048"/>
    </row>
  </sheetData>
  <mergeCells count="479">
    <mergeCell ref="MK38:MO39"/>
    <mergeCell ref="KV40:LT41"/>
    <mergeCell ref="LV40:LY41"/>
    <mergeCell ref="MA40:MI41"/>
    <mergeCell ref="LV14:LY15"/>
    <mergeCell ref="MA14:MI15"/>
    <mergeCell ref="MK14:MO15"/>
    <mergeCell ref="MA38:MI39"/>
    <mergeCell ref="MK20:MO21"/>
    <mergeCell ref="MK40:MO41"/>
    <mergeCell ref="MA18:MI19"/>
    <mergeCell ref="MK18:MO19"/>
    <mergeCell ref="KV20:LT21"/>
    <mergeCell ref="KV38:LT39"/>
    <mergeCell ref="KV18:LT19"/>
    <mergeCell ref="LV18:LY19"/>
    <mergeCell ref="KV16:LT17"/>
    <mergeCell ref="LV16:LY17"/>
    <mergeCell ref="MA16:MI17"/>
    <mergeCell ref="MK16:MO17"/>
    <mergeCell ref="MA34:MI35"/>
    <mergeCell ref="MK34:MO35"/>
    <mergeCell ref="KV36:LT37"/>
    <mergeCell ref="LV36:LY37"/>
    <mergeCell ref="AD9:AR11"/>
    <mergeCell ref="AF12:AP13"/>
    <mergeCell ref="CA93:CX95"/>
    <mergeCell ref="BB74:BE75"/>
    <mergeCell ref="BB76:BE77"/>
    <mergeCell ref="BB58:BE59"/>
    <mergeCell ref="BB60:BE61"/>
    <mergeCell ref="C90:AL98"/>
    <mergeCell ref="C79:AL87"/>
    <mergeCell ref="C88:R89"/>
    <mergeCell ref="AO64:BA65"/>
    <mergeCell ref="BS58:BV59"/>
    <mergeCell ref="BS60:BV61"/>
    <mergeCell ref="AG16:AK17"/>
    <mergeCell ref="C77:R78"/>
    <mergeCell ref="AA18:AE19"/>
    <mergeCell ref="AG18:AK19"/>
    <mergeCell ref="U20:Y23"/>
    <mergeCell ref="CA96:CX111"/>
    <mergeCell ref="CA28:CX91"/>
    <mergeCell ref="AO58:BA59"/>
    <mergeCell ref="AO60:BA61"/>
    <mergeCell ref="AO62:BA63"/>
    <mergeCell ref="AO66:BA67"/>
    <mergeCell ref="AA20:AE23"/>
    <mergeCell ref="IZ14:JD17"/>
    <mergeCell ref="JE15:JF16"/>
    <mergeCell ref="C55:R56"/>
    <mergeCell ref="JE19:JF20"/>
    <mergeCell ref="JP15:JQ16"/>
    <mergeCell ref="BS52:BV53"/>
    <mergeCell ref="BS54:BV55"/>
    <mergeCell ref="BS56:BV57"/>
    <mergeCell ref="C44:R45"/>
    <mergeCell ref="C27:AL43"/>
    <mergeCell ref="AO48:BA49"/>
    <mergeCell ref="AO56:BA57"/>
    <mergeCell ref="C46:AL54"/>
    <mergeCell ref="C25:R26"/>
    <mergeCell ref="AP25:AZ26"/>
    <mergeCell ref="BB56:BE57"/>
    <mergeCell ref="BF52:BR53"/>
    <mergeCell ref="BF54:BR55"/>
    <mergeCell ref="BF56:BR57"/>
    <mergeCell ref="AO50:BA51"/>
    <mergeCell ref="AO52:BA53"/>
    <mergeCell ref="AO54:BA55"/>
    <mergeCell ref="AO68:BA69"/>
    <mergeCell ref="BB42:BE43"/>
    <mergeCell ref="BB44:BE45"/>
    <mergeCell ref="BB46:BE47"/>
    <mergeCell ref="C68:AL76"/>
    <mergeCell ref="C66:R67"/>
    <mergeCell ref="KV42:LT43"/>
    <mergeCell ref="LV42:LY43"/>
    <mergeCell ref="MA42:MI43"/>
    <mergeCell ref="AO44:BA45"/>
    <mergeCell ref="AO46:BA47"/>
    <mergeCell ref="BF70:BR71"/>
    <mergeCell ref="BB70:BE71"/>
    <mergeCell ref="BF58:BR59"/>
    <mergeCell ref="BF60:BR61"/>
    <mergeCell ref="BF62:BR63"/>
    <mergeCell ref="BF64:BR65"/>
    <mergeCell ref="BB64:BE65"/>
    <mergeCell ref="BB66:BE67"/>
    <mergeCell ref="BB68:BE69"/>
    <mergeCell ref="BB48:BE49"/>
    <mergeCell ref="BB50:BE51"/>
    <mergeCell ref="BB52:BE53"/>
    <mergeCell ref="BB54:BE55"/>
    <mergeCell ref="JV14:JZ17"/>
    <mergeCell ref="JV18:JZ21"/>
    <mergeCell ref="BF48:BR49"/>
    <mergeCell ref="BF50:BR51"/>
    <mergeCell ref="BS48:BV49"/>
    <mergeCell ref="BS50:BV51"/>
    <mergeCell ref="JR14:JU17"/>
    <mergeCell ref="JK14:JO17"/>
    <mergeCell ref="JK18:JO21"/>
    <mergeCell ref="IV14:IY17"/>
    <mergeCell ref="IV18:IY21"/>
    <mergeCell ref="BF42:BR43"/>
    <mergeCell ref="BF44:BR45"/>
    <mergeCell ref="BF46:BR47"/>
    <mergeCell ref="BS44:BV45"/>
    <mergeCell ref="BS46:BV47"/>
    <mergeCell ref="IZ18:JD21"/>
    <mergeCell ref="JG14:JJ17"/>
    <mergeCell ref="JG18:JJ21"/>
    <mergeCell ref="BS42:BV43"/>
    <mergeCell ref="DY28:EU29"/>
    <mergeCell ref="DY30:EU31"/>
    <mergeCell ref="DY32:EU33"/>
    <mergeCell ref="JR18:JU21"/>
    <mergeCell ref="MA36:MI37"/>
    <mergeCell ref="MK36:MO37"/>
    <mergeCell ref="CA25:CX27"/>
    <mergeCell ref="BE16:BS18"/>
    <mergeCell ref="BG19:BQ20"/>
    <mergeCell ref="LV20:LY21"/>
    <mergeCell ref="MA20:MI21"/>
    <mergeCell ref="MA24:MI25"/>
    <mergeCell ref="MK24:MO25"/>
    <mergeCell ref="KV26:LT27"/>
    <mergeCell ref="LV26:LY27"/>
    <mergeCell ref="MA26:MI27"/>
    <mergeCell ref="MK26:MO27"/>
    <mergeCell ref="EY16:FG18"/>
    <mergeCell ref="KA15:KB16"/>
    <mergeCell ref="JP19:JQ20"/>
    <mergeCell ref="KV22:LT23"/>
    <mergeCell ref="LV22:LY23"/>
    <mergeCell ref="MA22:MI23"/>
    <mergeCell ref="MK22:MO23"/>
    <mergeCell ref="BG25:BQ26"/>
    <mergeCell ref="DY22:EU23"/>
    <mergeCell ref="DY24:EU25"/>
    <mergeCell ref="DY26:EU27"/>
    <mergeCell ref="BB72:BE73"/>
    <mergeCell ref="BB62:BE63"/>
    <mergeCell ref="AO42:BA43"/>
    <mergeCell ref="KV28:LT29"/>
    <mergeCell ref="LV28:LY29"/>
    <mergeCell ref="MA28:MI29"/>
    <mergeCell ref="MK28:MO29"/>
    <mergeCell ref="KV30:LT31"/>
    <mergeCell ref="LV30:LY31"/>
    <mergeCell ref="MA30:MI31"/>
    <mergeCell ref="MK30:MO31"/>
    <mergeCell ref="KV32:LT33"/>
    <mergeCell ref="LV32:LY33"/>
    <mergeCell ref="MA32:MI33"/>
    <mergeCell ref="MK32:MO33"/>
    <mergeCell ref="KV34:LT35"/>
    <mergeCell ref="LV34:LY35"/>
    <mergeCell ref="MK42:MO43"/>
    <mergeCell ref="KV44:LT45"/>
    <mergeCell ref="LV44:LY45"/>
    <mergeCell ref="MA44:MI45"/>
    <mergeCell ref="MK44:MO45"/>
    <mergeCell ref="KV46:LT47"/>
    <mergeCell ref="LV46:LY47"/>
    <mergeCell ref="C3:AC5"/>
    <mergeCell ref="AD3:AR5"/>
    <mergeCell ref="E6:AA7"/>
    <mergeCell ref="AF6:AP7"/>
    <mergeCell ref="C20:G23"/>
    <mergeCell ref="C16:G17"/>
    <mergeCell ref="I16:M17"/>
    <mergeCell ref="O16:S17"/>
    <mergeCell ref="C18:G19"/>
    <mergeCell ref="I18:M19"/>
    <mergeCell ref="O18:S19"/>
    <mergeCell ref="U18:Y19"/>
    <mergeCell ref="O20:S23"/>
    <mergeCell ref="U16:Y17"/>
    <mergeCell ref="I20:M23"/>
    <mergeCell ref="AN16:BB18"/>
    <mergeCell ref="AP19:AZ20"/>
    <mergeCell ref="AN22:BB24"/>
    <mergeCell ref="C9:AC11"/>
    <mergeCell ref="E12:AA13"/>
    <mergeCell ref="AA16:AE17"/>
    <mergeCell ref="AS3:BG5"/>
    <mergeCell ref="AU6:BE7"/>
    <mergeCell ref="AG20:AK23"/>
    <mergeCell ref="C99:R100"/>
    <mergeCell ref="C101:AL111"/>
    <mergeCell ref="AO80:BD81"/>
    <mergeCell ref="AO82:BV95"/>
    <mergeCell ref="AO96:BD97"/>
    <mergeCell ref="AO98:BV111"/>
    <mergeCell ref="BS62:BV63"/>
    <mergeCell ref="BS64:BV65"/>
    <mergeCell ref="BS66:BV67"/>
    <mergeCell ref="BS68:BV69"/>
    <mergeCell ref="BS70:BV71"/>
    <mergeCell ref="BS72:BV73"/>
    <mergeCell ref="BS74:BV75"/>
    <mergeCell ref="BS76:BV77"/>
    <mergeCell ref="BF72:BR73"/>
    <mergeCell ref="BF74:BR75"/>
    <mergeCell ref="AO70:BA71"/>
    <mergeCell ref="C57:AL65"/>
    <mergeCell ref="AO74:BA75"/>
    <mergeCell ref="AO76:BA77"/>
    <mergeCell ref="AO72:BA73"/>
    <mergeCell ref="BF76:BR77"/>
    <mergeCell ref="BF66:BR67"/>
    <mergeCell ref="BF68:BR69"/>
    <mergeCell ref="MA46:MI47"/>
    <mergeCell ref="MK46:MO47"/>
    <mergeCell ref="KV106:LA108"/>
    <mergeCell ref="KV109:LA111"/>
    <mergeCell ref="KV54:LT55"/>
    <mergeCell ref="LV54:LY55"/>
    <mergeCell ref="MA54:MI55"/>
    <mergeCell ref="MK54:MO55"/>
    <mergeCell ref="MD97:MI99"/>
    <mergeCell ref="MD100:MI102"/>
    <mergeCell ref="MD103:MI105"/>
    <mergeCell ref="LV66:LY67"/>
    <mergeCell ref="MA66:MI67"/>
    <mergeCell ref="MK66:MO67"/>
    <mergeCell ref="KV68:LT69"/>
    <mergeCell ref="LV68:LY69"/>
    <mergeCell ref="MA68:MI69"/>
    <mergeCell ref="MK68:MO69"/>
    <mergeCell ref="KV70:LT71"/>
    <mergeCell ref="LV70:LY71"/>
    <mergeCell ref="MA70:MI71"/>
    <mergeCell ref="MK70:MO71"/>
    <mergeCell ref="KV72:LT73"/>
    <mergeCell ref="LV72:LY73"/>
    <mergeCell ref="MA72:MI73"/>
    <mergeCell ref="MK72:MO73"/>
    <mergeCell ref="KV103:LA105"/>
    <mergeCell ref="KV52:LT53"/>
    <mergeCell ref="LV52:LY53"/>
    <mergeCell ref="MA52:MI53"/>
    <mergeCell ref="MK52:MO53"/>
    <mergeCell ref="KV56:LT57"/>
    <mergeCell ref="LV56:LY57"/>
    <mergeCell ref="MA56:MI57"/>
    <mergeCell ref="MK56:MO57"/>
    <mergeCell ref="KV58:LT59"/>
    <mergeCell ref="LV58:LY59"/>
    <mergeCell ref="MA58:MI59"/>
    <mergeCell ref="MK58:MO59"/>
    <mergeCell ref="MA64:MI65"/>
    <mergeCell ref="MK64:MO65"/>
    <mergeCell ref="KV66:LT67"/>
    <mergeCell ref="MA60:MI61"/>
    <mergeCell ref="MK60:MO61"/>
    <mergeCell ref="KV62:LT63"/>
    <mergeCell ref="LV62:LY63"/>
    <mergeCell ref="MA62:MI63"/>
    <mergeCell ref="MK62:MO63"/>
    <mergeCell ref="KV64:LT65"/>
    <mergeCell ref="LV64:LY65"/>
    <mergeCell ref="KV48:LT49"/>
    <mergeCell ref="LV48:LY49"/>
    <mergeCell ref="MA48:MI49"/>
    <mergeCell ref="MK48:MO49"/>
    <mergeCell ref="KV50:LT51"/>
    <mergeCell ref="LV50:LY51"/>
    <mergeCell ref="MA50:MI51"/>
    <mergeCell ref="MK50:MO51"/>
    <mergeCell ref="LB103:MB105"/>
    <mergeCell ref="LB106:MB108"/>
    <mergeCell ref="LB109:MB111"/>
    <mergeCell ref="MD106:MI108"/>
    <mergeCell ref="MD109:MI111"/>
    <mergeCell ref="MJ97:MO99"/>
    <mergeCell ref="MJ100:MO102"/>
    <mergeCell ref="MJ103:MO105"/>
    <mergeCell ref="MJ106:MO108"/>
    <mergeCell ref="MJ109:MO111"/>
    <mergeCell ref="HO7:HR7"/>
    <mergeCell ref="HK12:HN14"/>
    <mergeCell ref="MQ3:NN5"/>
    <mergeCell ref="MQ6:NN7"/>
    <mergeCell ref="MQ8:NN9"/>
    <mergeCell ref="MQ10:NN11"/>
    <mergeCell ref="KU3:MO5"/>
    <mergeCell ref="KU6:LU7"/>
    <mergeCell ref="LV6:LZ7"/>
    <mergeCell ref="MK6:MO7"/>
    <mergeCell ref="MA6:MJ7"/>
    <mergeCell ref="KV10:LT11"/>
    <mergeCell ref="MA10:MI11"/>
    <mergeCell ref="LV10:LY11"/>
    <mergeCell ref="MK10:MO11"/>
    <mergeCell ref="KV8:LT9"/>
    <mergeCell ref="LV8:LY9"/>
    <mergeCell ref="MA8:MI9"/>
    <mergeCell ref="MK8:MO9"/>
    <mergeCell ref="KV12:LT13"/>
    <mergeCell ref="LV12:LY13"/>
    <mergeCell ref="MA12:MI13"/>
    <mergeCell ref="MK12:MO13"/>
    <mergeCell ref="KV14:LT15"/>
    <mergeCell ref="BH3:BV5"/>
    <mergeCell ref="BJ6:BT7"/>
    <mergeCell ref="AS9:BG11"/>
    <mergeCell ref="AU12:BE13"/>
    <mergeCell ref="FU12:FX14"/>
    <mergeCell ref="FY12:GB14"/>
    <mergeCell ref="GC12:GF14"/>
    <mergeCell ref="GG12:GJ14"/>
    <mergeCell ref="GK12:GN14"/>
    <mergeCell ref="BH9:BV11"/>
    <mergeCell ref="BJ12:BT13"/>
    <mergeCell ref="CA3:CX5"/>
    <mergeCell ref="CA6:CX23"/>
    <mergeCell ref="BE22:BS24"/>
    <mergeCell ref="FI12:FL14"/>
    <mergeCell ref="FM12:FP14"/>
    <mergeCell ref="FQ12:FT14"/>
    <mergeCell ref="EY8:FG10"/>
    <mergeCell ref="EY12:FG14"/>
    <mergeCell ref="EY3:HR5"/>
    <mergeCell ref="GK7:GN7"/>
    <mergeCell ref="GO7:GR7"/>
    <mergeCell ref="GO8:GR10"/>
    <mergeCell ref="GG8:GJ10"/>
    <mergeCell ref="GK8:GN10"/>
    <mergeCell ref="FY8:GB10"/>
    <mergeCell ref="GC8:GF10"/>
    <mergeCell ref="FQ8:FT10"/>
    <mergeCell ref="FU8:FX10"/>
    <mergeCell ref="FM8:FP10"/>
    <mergeCell ref="GX8:HF10"/>
    <mergeCell ref="GX12:HF14"/>
    <mergeCell ref="DY20:EU21"/>
    <mergeCell ref="GO12:GR14"/>
    <mergeCell ref="MA80:MI81"/>
    <mergeCell ref="MK80:MO81"/>
    <mergeCell ref="KV82:LT83"/>
    <mergeCell ref="LV82:LY83"/>
    <mergeCell ref="MA82:MI83"/>
    <mergeCell ref="MK82:MO83"/>
    <mergeCell ref="LV84:LY85"/>
    <mergeCell ref="KV74:LT75"/>
    <mergeCell ref="LV74:LY75"/>
    <mergeCell ref="MA74:MI75"/>
    <mergeCell ref="MK74:MO75"/>
    <mergeCell ref="KV76:LT77"/>
    <mergeCell ref="LV76:LY77"/>
    <mergeCell ref="MA76:MI77"/>
    <mergeCell ref="MK76:MO77"/>
    <mergeCell ref="KV78:LT79"/>
    <mergeCell ref="LV78:LY79"/>
    <mergeCell ref="MA78:MI79"/>
    <mergeCell ref="MK78:MO79"/>
    <mergeCell ref="KV80:LT81"/>
    <mergeCell ref="LV80:LY81"/>
    <mergeCell ref="KV94:LT95"/>
    <mergeCell ref="LV94:LY95"/>
    <mergeCell ref="MA94:MI95"/>
    <mergeCell ref="MK94:MO95"/>
    <mergeCell ref="LV86:LY87"/>
    <mergeCell ref="KV84:LT85"/>
    <mergeCell ref="MA84:MI85"/>
    <mergeCell ref="MK84:MO85"/>
    <mergeCell ref="KV86:LT87"/>
    <mergeCell ref="MA86:MI87"/>
    <mergeCell ref="MK86:MO87"/>
    <mergeCell ref="KV88:LT89"/>
    <mergeCell ref="LV88:LY89"/>
    <mergeCell ref="MA88:MI89"/>
    <mergeCell ref="MK88:MO89"/>
    <mergeCell ref="KV90:LT91"/>
    <mergeCell ref="LV90:LY91"/>
    <mergeCell ref="KV24:LT25"/>
    <mergeCell ref="LV24:LY25"/>
    <mergeCell ref="KV60:LT61"/>
    <mergeCell ref="LV60:LY61"/>
    <mergeCell ref="LV38:LY39"/>
    <mergeCell ref="DY34:EU35"/>
    <mergeCell ref="DY36:EU37"/>
    <mergeCell ref="DY38:EU39"/>
    <mergeCell ref="DY40:EU41"/>
    <mergeCell ref="DY42:EU43"/>
    <mergeCell ref="DY44:EU45"/>
    <mergeCell ref="DY46:EU47"/>
    <mergeCell ref="DY48:EU49"/>
    <mergeCell ref="DY50:EU51"/>
    <mergeCell ref="KA19:KB20"/>
    <mergeCell ref="CZ3:DW5"/>
    <mergeCell ref="DY3:EU5"/>
    <mergeCell ref="DY6:EU7"/>
    <mergeCell ref="DY8:EU9"/>
    <mergeCell ref="DY10:EU11"/>
    <mergeCell ref="DY12:EU13"/>
    <mergeCell ref="DY14:EU15"/>
    <mergeCell ref="DY16:EU17"/>
    <mergeCell ref="DY18:EU19"/>
    <mergeCell ref="EY20:FG22"/>
    <mergeCell ref="FI8:FL10"/>
    <mergeCell ref="FI7:FL7"/>
    <mergeCell ref="FM7:FP7"/>
    <mergeCell ref="FQ7:FT7"/>
    <mergeCell ref="FU7:FX7"/>
    <mergeCell ref="FY7:GB7"/>
    <mergeCell ref="GC7:GF7"/>
    <mergeCell ref="GG7:GJ7"/>
    <mergeCell ref="HG8:HJ10"/>
    <mergeCell ref="HK8:HN10"/>
    <mergeCell ref="HO8:HR10"/>
    <mergeCell ref="HG7:HJ7"/>
    <mergeCell ref="HK7:HN7"/>
    <mergeCell ref="DY96:EU97"/>
    <mergeCell ref="DY98:EU99"/>
    <mergeCell ref="DY100:EU101"/>
    <mergeCell ref="DY102:EU103"/>
    <mergeCell ref="DY104:EU105"/>
    <mergeCell ref="DY70:EU71"/>
    <mergeCell ref="DY72:EU73"/>
    <mergeCell ref="DY74:EU75"/>
    <mergeCell ref="DY76:EU77"/>
    <mergeCell ref="DY78:EU79"/>
    <mergeCell ref="DY80:EU81"/>
    <mergeCell ref="DY82:EU83"/>
    <mergeCell ref="DY84:EU85"/>
    <mergeCell ref="DY86:EU87"/>
    <mergeCell ref="MQ36:NN37"/>
    <mergeCell ref="MQ38:NN39"/>
    <mergeCell ref="MQ40:NN41"/>
    <mergeCell ref="MQ42:NN43"/>
    <mergeCell ref="MQ44:NN45"/>
    <mergeCell ref="DY88:EU89"/>
    <mergeCell ref="DY90:EU91"/>
    <mergeCell ref="DY92:EU93"/>
    <mergeCell ref="DY94:EU95"/>
    <mergeCell ref="DY52:EU53"/>
    <mergeCell ref="DY54:EU55"/>
    <mergeCell ref="DY56:EU57"/>
    <mergeCell ref="DY58:EU59"/>
    <mergeCell ref="DY60:EU61"/>
    <mergeCell ref="DY62:EU63"/>
    <mergeCell ref="DY64:EU65"/>
    <mergeCell ref="DY66:EU67"/>
    <mergeCell ref="DY68:EU69"/>
    <mergeCell ref="MA90:MI91"/>
    <mergeCell ref="MK90:MO91"/>
    <mergeCell ref="KV92:LT93"/>
    <mergeCell ref="LV92:LY93"/>
    <mergeCell ref="MA92:MI93"/>
    <mergeCell ref="MK92:MO93"/>
    <mergeCell ref="B114:BW115"/>
    <mergeCell ref="BZ114:EU115"/>
    <mergeCell ref="EX114:HS115"/>
    <mergeCell ref="HV114:KQ115"/>
    <mergeCell ref="KT114:NO115"/>
    <mergeCell ref="CZ6:DW11"/>
    <mergeCell ref="CZ12:DW14"/>
    <mergeCell ref="CZ25:DW27"/>
    <mergeCell ref="CZ15:DW23"/>
    <mergeCell ref="CZ28:DW111"/>
    <mergeCell ref="DY106:EU107"/>
    <mergeCell ref="DY108:EU109"/>
    <mergeCell ref="DY110:EU111"/>
    <mergeCell ref="MQ12:NN13"/>
    <mergeCell ref="MQ14:NN15"/>
    <mergeCell ref="MQ16:NN17"/>
    <mergeCell ref="MQ19:NN21"/>
    <mergeCell ref="MQ22:NN23"/>
    <mergeCell ref="MQ24:NN25"/>
    <mergeCell ref="MQ26:NN27"/>
    <mergeCell ref="MQ28:NN29"/>
    <mergeCell ref="MQ30:NN31"/>
    <mergeCell ref="MQ32:NN33"/>
    <mergeCell ref="MQ34:NN35"/>
  </mergeCells>
  <conditionalFormatting sqref="EY27:FN28">
    <cfRule type="containsText" dxfId="94" priority="90" operator="containsText" text="&quot;1 level">
      <formula>NOT(ISERROR(SEARCH("""1 level",EY27)))</formula>
    </cfRule>
  </conditionalFormatting>
  <conditionalFormatting sqref="EY41:FN42">
    <cfRule type="containsText" dxfId="93" priority="89" operator="containsText" text="&quot;1 level">
      <formula>NOT(ISERROR(SEARCH("""1 level",EY41)))</formula>
    </cfRule>
  </conditionalFormatting>
  <conditionalFormatting sqref="EY55:FN56">
    <cfRule type="containsText" dxfId="92" priority="88" operator="containsText" text="&quot;1 level">
      <formula>NOT(ISERROR(SEARCH("""1 level",EY55)))</formula>
    </cfRule>
  </conditionalFormatting>
  <conditionalFormatting sqref="EY69:FN70">
    <cfRule type="containsText" dxfId="91" priority="87" operator="containsText" text="&quot;1 level">
      <formula>NOT(ISERROR(SEARCH("""1 level",EY69)))</formula>
    </cfRule>
  </conditionalFormatting>
  <conditionalFormatting sqref="EY83:FN84">
    <cfRule type="containsText" dxfId="90" priority="86" operator="containsText" text="&quot;1 level">
      <formula>NOT(ISERROR(SEARCH("""1 level",EY83)))</formula>
    </cfRule>
  </conditionalFormatting>
  <conditionalFormatting sqref="EY97:FN98">
    <cfRule type="containsText" dxfId="89" priority="85" operator="containsText" text="&quot;1 level">
      <formula>NOT(ISERROR(SEARCH("""1 level",EY97)))</formula>
    </cfRule>
  </conditionalFormatting>
  <conditionalFormatting sqref="FW27:GL28">
    <cfRule type="containsText" dxfId="88" priority="84" operator="containsText" text="&quot;1 level">
      <formula>NOT(ISERROR(SEARCH("""1 level",FW27)))</formula>
    </cfRule>
  </conditionalFormatting>
  <conditionalFormatting sqref="FW29:GL30">
    <cfRule type="containsText" dxfId="87" priority="83" operator="containsText" text="&quot;1 level">
      <formula>NOT(ISERROR(SEARCH("""1 level",FW29)))</formula>
    </cfRule>
  </conditionalFormatting>
  <conditionalFormatting sqref="FW31:GL32">
    <cfRule type="containsText" dxfId="86" priority="82" operator="containsText" text="&quot;1 level">
      <formula>NOT(ISERROR(SEARCH("""1 level",FW31)))</formula>
    </cfRule>
  </conditionalFormatting>
  <conditionalFormatting sqref="FW33:GL34">
    <cfRule type="containsText" dxfId="85" priority="81" operator="containsText" text="&quot;1 level">
      <formula>NOT(ISERROR(SEARCH("""1 level",FW33)))</formula>
    </cfRule>
  </conditionalFormatting>
  <conditionalFormatting sqref="FW35:GL36">
    <cfRule type="containsText" dxfId="84" priority="80" operator="containsText" text="&quot;1 level">
      <formula>NOT(ISERROR(SEARCH("""1 level",FW35)))</formula>
    </cfRule>
  </conditionalFormatting>
  <conditionalFormatting sqref="FW37:GL38">
    <cfRule type="containsText" dxfId="83" priority="79" operator="containsText" text="&quot;1 level">
      <formula>NOT(ISERROR(SEARCH("""1 level",FW37)))</formula>
    </cfRule>
  </conditionalFormatting>
  <conditionalFormatting sqref="FW39:GL40">
    <cfRule type="containsText" dxfId="82" priority="78" operator="containsText" text="&quot;1 level">
      <formula>NOT(ISERROR(SEARCH("""1 level",FW39)))</formula>
    </cfRule>
  </conditionalFormatting>
  <conditionalFormatting sqref="FW41:GL42">
    <cfRule type="containsText" dxfId="81" priority="77" operator="containsText" text="&quot;1 level">
      <formula>NOT(ISERROR(SEARCH("""1 level",FW41)))</formula>
    </cfRule>
  </conditionalFormatting>
  <conditionalFormatting sqref="FW43:GL44">
    <cfRule type="containsText" dxfId="80" priority="76" operator="containsText" text="&quot;1 level">
      <formula>NOT(ISERROR(SEARCH("""1 level",FW43)))</formula>
    </cfRule>
  </conditionalFormatting>
  <conditionalFormatting sqref="FW45:GL46">
    <cfRule type="containsText" dxfId="79" priority="75" operator="containsText" text="&quot;1 level">
      <formula>NOT(ISERROR(SEARCH("""1 level",FW45)))</formula>
    </cfRule>
  </conditionalFormatting>
  <conditionalFormatting sqref="FW47:GL48">
    <cfRule type="containsText" dxfId="78" priority="74" operator="containsText" text="&quot;1 level">
      <formula>NOT(ISERROR(SEARCH("""1 level",FW47)))</formula>
    </cfRule>
  </conditionalFormatting>
  <conditionalFormatting sqref="FW49:GL50">
    <cfRule type="containsText" dxfId="77" priority="73" operator="containsText" text="&quot;1 level">
      <formula>NOT(ISERROR(SEARCH("""1 level",FW49)))</formula>
    </cfRule>
  </conditionalFormatting>
  <conditionalFormatting sqref="FW51:GL52">
    <cfRule type="containsText" dxfId="76" priority="72" operator="containsText" text="&quot;1 level">
      <formula>NOT(ISERROR(SEARCH("""1 level",FW51)))</formula>
    </cfRule>
  </conditionalFormatting>
  <conditionalFormatting sqref="FW53:GL54">
    <cfRule type="containsText" dxfId="75" priority="71" operator="containsText" text="&quot;1 level">
      <formula>NOT(ISERROR(SEARCH("""1 level",FW53)))</formula>
    </cfRule>
  </conditionalFormatting>
  <conditionalFormatting sqref="FW55:GL56">
    <cfRule type="containsText" dxfId="74" priority="70" operator="containsText" text="&quot;1 level">
      <formula>NOT(ISERROR(SEARCH("""1 level",FW55)))</formula>
    </cfRule>
  </conditionalFormatting>
  <conditionalFormatting sqref="FW57:GL58">
    <cfRule type="containsText" dxfId="73" priority="69" operator="containsText" text="&quot;1 level">
      <formula>NOT(ISERROR(SEARCH("""1 level",FW57)))</formula>
    </cfRule>
  </conditionalFormatting>
  <conditionalFormatting sqref="FW59:GL60">
    <cfRule type="containsText" dxfId="72" priority="68" operator="containsText" text="&quot;1 level">
      <formula>NOT(ISERROR(SEARCH("""1 level",FW59)))</formula>
    </cfRule>
  </conditionalFormatting>
  <conditionalFormatting sqref="FW61:GL62">
    <cfRule type="containsText" dxfId="71" priority="67" operator="containsText" text="&quot;1 level">
      <formula>NOT(ISERROR(SEARCH("""1 level",FW61)))</formula>
    </cfRule>
  </conditionalFormatting>
  <conditionalFormatting sqref="FW63:GL64">
    <cfRule type="containsText" dxfId="70" priority="66" operator="containsText" text="&quot;1 level">
      <formula>NOT(ISERROR(SEARCH("""1 level",FW63)))</formula>
    </cfRule>
  </conditionalFormatting>
  <conditionalFormatting sqref="FW65:GL66">
    <cfRule type="containsText" dxfId="69" priority="65" operator="containsText" text="&quot;1 level">
      <formula>NOT(ISERROR(SEARCH("""1 level",FW65)))</formula>
    </cfRule>
  </conditionalFormatting>
  <conditionalFormatting sqref="FW67:GL68">
    <cfRule type="containsText" dxfId="68" priority="64" operator="containsText" text="&quot;1 level">
      <formula>NOT(ISERROR(SEARCH("""1 level",FW67)))</formula>
    </cfRule>
  </conditionalFormatting>
  <conditionalFormatting sqref="FW69:GL70">
    <cfRule type="containsText" dxfId="67" priority="63" operator="containsText" text="&quot;1 level">
      <formula>NOT(ISERROR(SEARCH("""1 level",FW69)))</formula>
    </cfRule>
  </conditionalFormatting>
  <conditionalFormatting sqref="FW71:GL72">
    <cfRule type="containsText" dxfId="66" priority="62" operator="containsText" text="&quot;1 level">
      <formula>NOT(ISERROR(SEARCH("""1 level",FW71)))</formula>
    </cfRule>
  </conditionalFormatting>
  <conditionalFormatting sqref="FW73:GL74">
    <cfRule type="containsText" dxfId="65" priority="61" operator="containsText" text="&quot;1 level">
      <formula>NOT(ISERROR(SEARCH("""1 level",FW73)))</formula>
    </cfRule>
  </conditionalFormatting>
  <conditionalFormatting sqref="FW75:GL76">
    <cfRule type="containsText" dxfId="64" priority="60" operator="containsText" text="&quot;1 level">
      <formula>NOT(ISERROR(SEARCH("""1 level",FW75)))</formula>
    </cfRule>
  </conditionalFormatting>
  <conditionalFormatting sqref="FW77:GL78">
    <cfRule type="containsText" dxfId="63" priority="59" operator="containsText" text="&quot;1 level">
      <formula>NOT(ISERROR(SEARCH("""1 level",FW77)))</formula>
    </cfRule>
  </conditionalFormatting>
  <conditionalFormatting sqref="FW79:GL80">
    <cfRule type="containsText" dxfId="62" priority="58" operator="containsText" text="&quot;1 level">
      <formula>NOT(ISERROR(SEARCH("""1 level",FW79)))</formula>
    </cfRule>
  </conditionalFormatting>
  <conditionalFormatting sqref="FW81:GL82">
    <cfRule type="containsText" dxfId="61" priority="57" operator="containsText" text="&quot;1 level">
      <formula>NOT(ISERROR(SEARCH("""1 level",FW81)))</formula>
    </cfRule>
  </conditionalFormatting>
  <conditionalFormatting sqref="FW83:GL84">
    <cfRule type="containsText" dxfId="60" priority="56" operator="containsText" text="&quot;1 level">
      <formula>NOT(ISERROR(SEARCH("""1 level",FW83)))</formula>
    </cfRule>
  </conditionalFormatting>
  <conditionalFormatting sqref="FW85:GL86">
    <cfRule type="containsText" dxfId="59" priority="55" operator="containsText" text="&quot;1 level">
      <formula>NOT(ISERROR(SEARCH("""1 level",FW85)))</formula>
    </cfRule>
  </conditionalFormatting>
  <conditionalFormatting sqref="FW87:GL88">
    <cfRule type="containsText" dxfId="58" priority="54" operator="containsText" text="&quot;1 level">
      <formula>NOT(ISERROR(SEARCH("""1 level",FW87)))</formula>
    </cfRule>
  </conditionalFormatting>
  <conditionalFormatting sqref="FW89:GL90">
    <cfRule type="containsText" dxfId="57" priority="53" operator="containsText" text="&quot;1 level">
      <formula>NOT(ISERROR(SEARCH("""1 level",FW89)))</formula>
    </cfRule>
  </conditionalFormatting>
  <conditionalFormatting sqref="FW91:GL92">
    <cfRule type="containsText" dxfId="56" priority="52" operator="containsText" text="&quot;1 level">
      <formula>NOT(ISERROR(SEARCH("""1 level",FW91)))</formula>
    </cfRule>
  </conditionalFormatting>
  <conditionalFormatting sqref="FW93:GL94">
    <cfRule type="containsText" dxfId="55" priority="51" operator="containsText" text="&quot;1 level">
      <formula>NOT(ISERROR(SEARCH("""1 level",FW93)))</formula>
    </cfRule>
  </conditionalFormatting>
  <conditionalFormatting sqref="FW95:GL96">
    <cfRule type="containsText" dxfId="54" priority="50" operator="containsText" text="&quot;1 level">
      <formula>NOT(ISERROR(SEARCH("""1 level",FW95)))</formula>
    </cfRule>
  </conditionalFormatting>
  <conditionalFormatting sqref="FW97:GL98">
    <cfRule type="containsText" dxfId="53" priority="49" operator="containsText" text="&quot;1 level">
      <formula>NOT(ISERROR(SEARCH("""1 level",FW97)))</formula>
    </cfRule>
  </conditionalFormatting>
  <conditionalFormatting sqref="FW99:GL100">
    <cfRule type="containsText" dxfId="52" priority="48" operator="containsText" text="&quot;1 level">
      <formula>NOT(ISERROR(SEARCH("""1 level",FW99)))</formula>
    </cfRule>
  </conditionalFormatting>
  <conditionalFormatting sqref="FW101:GL102">
    <cfRule type="containsText" dxfId="51" priority="47" operator="containsText" text="&quot;1 level">
      <formula>NOT(ISERROR(SEARCH("""1 level",FW101)))</formula>
    </cfRule>
  </conditionalFormatting>
  <conditionalFormatting sqref="FW103:GL104">
    <cfRule type="containsText" dxfId="50" priority="46" operator="containsText" text="&quot;1 level">
      <formula>NOT(ISERROR(SEARCH("""1 level",FW103)))</formula>
    </cfRule>
  </conditionalFormatting>
  <conditionalFormatting sqref="FW105:GL106">
    <cfRule type="containsText" dxfId="49" priority="45" operator="containsText" text="&quot;1 level">
      <formula>NOT(ISERROR(SEARCH("""1 level",FW105)))</formula>
    </cfRule>
  </conditionalFormatting>
  <conditionalFormatting sqref="FW107:GL108">
    <cfRule type="containsText" dxfId="48" priority="44" operator="containsText" text="&quot;1 level">
      <formula>NOT(ISERROR(SEARCH("""1 level",FW107)))</formula>
    </cfRule>
  </conditionalFormatting>
  <conditionalFormatting sqref="FW109:GL110">
    <cfRule type="containsText" dxfId="47" priority="43" operator="containsText" text="&quot;1 level">
      <formula>NOT(ISERROR(SEARCH("""1 level",FW109)))</formula>
    </cfRule>
  </conditionalFormatting>
  <conditionalFormatting sqref="GU27:HJ28">
    <cfRule type="containsText" dxfId="46" priority="42" operator="containsText" text="&quot;1 level">
      <formula>NOT(ISERROR(SEARCH("""1 level",GU27)))</formula>
    </cfRule>
  </conditionalFormatting>
  <conditionalFormatting sqref="GU29:HJ30">
    <cfRule type="containsText" dxfId="45" priority="41" operator="containsText" text="&quot;1 level">
      <formula>NOT(ISERROR(SEARCH("""1 level",GU29)))</formula>
    </cfRule>
  </conditionalFormatting>
  <conditionalFormatting sqref="GU31:HJ32">
    <cfRule type="containsText" dxfId="44" priority="40" operator="containsText" text="&quot;1 level">
      <formula>NOT(ISERROR(SEARCH("""1 level",GU31)))</formula>
    </cfRule>
  </conditionalFormatting>
  <conditionalFormatting sqref="GU33:HJ34">
    <cfRule type="containsText" dxfId="43" priority="39" operator="containsText" text="&quot;1 level">
      <formula>NOT(ISERROR(SEARCH("""1 level",GU33)))</formula>
    </cfRule>
  </conditionalFormatting>
  <conditionalFormatting sqref="GU35:HJ36">
    <cfRule type="containsText" dxfId="42" priority="38" operator="containsText" text="&quot;1 level">
      <formula>NOT(ISERROR(SEARCH("""1 level",GU35)))</formula>
    </cfRule>
  </conditionalFormatting>
  <conditionalFormatting sqref="GU37:HJ38">
    <cfRule type="containsText" dxfId="41" priority="37" operator="containsText" text="&quot;1 level">
      <formula>NOT(ISERROR(SEARCH("""1 level",GU37)))</formula>
    </cfRule>
  </conditionalFormatting>
  <conditionalFormatting sqref="GU39:HJ40">
    <cfRule type="containsText" dxfId="40" priority="36" operator="containsText" text="&quot;1 level">
      <formula>NOT(ISERROR(SEARCH("""1 level",GU39)))</formula>
    </cfRule>
  </conditionalFormatting>
  <conditionalFormatting sqref="GU41:HJ42">
    <cfRule type="containsText" dxfId="39" priority="35" operator="containsText" text="&quot;1 level">
      <formula>NOT(ISERROR(SEARCH("""1 level",GU41)))</formula>
    </cfRule>
  </conditionalFormatting>
  <conditionalFormatting sqref="GU43:HJ44">
    <cfRule type="containsText" dxfId="38" priority="34" operator="containsText" text="&quot;1 level">
      <formula>NOT(ISERROR(SEARCH("""1 level",GU43)))</formula>
    </cfRule>
  </conditionalFormatting>
  <conditionalFormatting sqref="GU45:HJ46">
    <cfRule type="containsText" dxfId="37" priority="33" operator="containsText" text="&quot;1 level">
      <formula>NOT(ISERROR(SEARCH("""1 level",GU45)))</formula>
    </cfRule>
  </conditionalFormatting>
  <conditionalFormatting sqref="GU47:HJ48">
    <cfRule type="containsText" dxfId="36" priority="32" operator="containsText" text="&quot;1 level">
      <formula>NOT(ISERROR(SEARCH("""1 level",GU47)))</formula>
    </cfRule>
  </conditionalFormatting>
  <conditionalFormatting sqref="GU49:HJ50">
    <cfRule type="containsText" dxfId="35" priority="31" operator="containsText" text="&quot;1 level">
      <formula>NOT(ISERROR(SEARCH("""1 level",GU49)))</formula>
    </cfRule>
  </conditionalFormatting>
  <conditionalFormatting sqref="GU51:HJ52">
    <cfRule type="containsText" dxfId="34" priority="30" operator="containsText" text="&quot;1 level">
      <formula>NOT(ISERROR(SEARCH("""1 level",GU51)))</formula>
    </cfRule>
  </conditionalFormatting>
  <conditionalFormatting sqref="GU53:HJ54">
    <cfRule type="containsText" dxfId="33" priority="29" operator="containsText" text="&quot;1 level">
      <formula>NOT(ISERROR(SEARCH("""1 level",GU53)))</formula>
    </cfRule>
  </conditionalFormatting>
  <conditionalFormatting sqref="GU55:HJ56">
    <cfRule type="containsText" dxfId="32" priority="28" operator="containsText" text="&quot;1 level">
      <formula>NOT(ISERROR(SEARCH("""1 level",GU55)))</formula>
    </cfRule>
  </conditionalFormatting>
  <conditionalFormatting sqref="GU57:HJ58">
    <cfRule type="containsText" dxfId="31" priority="27" operator="containsText" text="&quot;1 level">
      <formula>NOT(ISERROR(SEARCH("""1 level",GU57)))</formula>
    </cfRule>
  </conditionalFormatting>
  <conditionalFormatting sqref="GU59:HJ60">
    <cfRule type="containsText" dxfId="30" priority="26" operator="containsText" text="&quot;1 level">
      <formula>NOT(ISERROR(SEARCH("""1 level",GU59)))</formula>
    </cfRule>
  </conditionalFormatting>
  <conditionalFormatting sqref="GU61:HJ62">
    <cfRule type="containsText" dxfId="29" priority="25" operator="containsText" text="&quot;1 level">
      <formula>NOT(ISERROR(SEARCH("""1 level",GU61)))</formula>
    </cfRule>
  </conditionalFormatting>
  <conditionalFormatting sqref="GU63:HJ64">
    <cfRule type="containsText" dxfId="28" priority="24" operator="containsText" text="&quot;1 level">
      <formula>NOT(ISERROR(SEARCH("""1 level",GU63)))</formula>
    </cfRule>
  </conditionalFormatting>
  <conditionalFormatting sqref="GU65:HJ66">
    <cfRule type="containsText" dxfId="27" priority="23" operator="containsText" text="&quot;1 level">
      <formula>NOT(ISERROR(SEARCH("""1 level",GU65)))</formula>
    </cfRule>
  </conditionalFormatting>
  <conditionalFormatting sqref="GU67:HJ68">
    <cfRule type="containsText" dxfId="26" priority="22" operator="containsText" text="&quot;1 level">
      <formula>NOT(ISERROR(SEARCH("""1 level",GU67)))</formula>
    </cfRule>
  </conditionalFormatting>
  <conditionalFormatting sqref="GU69:HJ70">
    <cfRule type="containsText" dxfId="25" priority="21" operator="containsText" text="&quot;1 level">
      <formula>NOT(ISERROR(SEARCH("""1 level",GU69)))</formula>
    </cfRule>
  </conditionalFormatting>
  <conditionalFormatting sqref="GU71:HJ72">
    <cfRule type="containsText" dxfId="24" priority="20" operator="containsText" text="&quot;1 level">
      <formula>NOT(ISERROR(SEARCH("""1 level",GU71)))</formula>
    </cfRule>
  </conditionalFormatting>
  <conditionalFormatting sqref="GU73:HJ74">
    <cfRule type="containsText" dxfId="23" priority="19" operator="containsText" text="&quot;1 level">
      <formula>NOT(ISERROR(SEARCH("""1 level",GU73)))</formula>
    </cfRule>
  </conditionalFormatting>
  <conditionalFormatting sqref="GU75:HJ76">
    <cfRule type="containsText" dxfId="22" priority="18" operator="containsText" text="&quot;1 level">
      <formula>NOT(ISERROR(SEARCH("""1 level",GU75)))</formula>
    </cfRule>
  </conditionalFormatting>
  <conditionalFormatting sqref="GU77:HJ78">
    <cfRule type="containsText" dxfId="21" priority="17" operator="containsText" text="&quot;1 level">
      <formula>NOT(ISERROR(SEARCH("""1 level",GU77)))</formula>
    </cfRule>
  </conditionalFormatting>
  <conditionalFormatting sqref="GU79:HJ80">
    <cfRule type="containsText" dxfId="20" priority="16" operator="containsText" text="&quot;1 level">
      <formula>NOT(ISERROR(SEARCH("""1 level",GU79)))</formula>
    </cfRule>
  </conditionalFormatting>
  <conditionalFormatting sqref="GU81:HJ82">
    <cfRule type="containsText" dxfId="19" priority="15" operator="containsText" text="&quot;1 level">
      <formula>NOT(ISERROR(SEARCH("""1 level",GU81)))</formula>
    </cfRule>
  </conditionalFormatting>
  <conditionalFormatting sqref="GU83:HJ84">
    <cfRule type="containsText" dxfId="18" priority="14" operator="containsText" text="&quot;1 level">
      <formula>NOT(ISERROR(SEARCH("""1 level",GU83)))</formula>
    </cfRule>
  </conditionalFormatting>
  <conditionalFormatting sqref="GU85:HJ86">
    <cfRule type="containsText" dxfId="17" priority="13" operator="containsText" text="&quot;1 level">
      <formula>NOT(ISERROR(SEARCH("""1 level",GU85)))</formula>
    </cfRule>
  </conditionalFormatting>
  <conditionalFormatting sqref="GU87:HJ88">
    <cfRule type="containsText" dxfId="16" priority="12" operator="containsText" text="&quot;1 level">
      <formula>NOT(ISERROR(SEARCH("""1 level",GU87)))</formula>
    </cfRule>
  </conditionalFormatting>
  <conditionalFormatting sqref="GU89:HJ90">
    <cfRule type="containsText" dxfId="15" priority="11" operator="containsText" text="&quot;1 level">
      <formula>NOT(ISERROR(SEARCH("""1 level",GU89)))</formula>
    </cfRule>
  </conditionalFormatting>
  <conditionalFormatting sqref="GU91:HJ92">
    <cfRule type="containsText" dxfId="14" priority="10" operator="containsText" text="&quot;1 level">
      <formula>NOT(ISERROR(SEARCH("""1 level",GU91)))</formula>
    </cfRule>
  </conditionalFormatting>
  <conditionalFormatting sqref="GU93:HJ94">
    <cfRule type="containsText" dxfId="13" priority="9" operator="containsText" text="&quot;1 level">
      <formula>NOT(ISERROR(SEARCH("""1 level",GU93)))</formula>
    </cfRule>
  </conditionalFormatting>
  <conditionalFormatting sqref="GU95:HJ96">
    <cfRule type="containsText" dxfId="12" priority="8" operator="containsText" text="&quot;1 level">
      <formula>NOT(ISERROR(SEARCH("""1 level",GU95)))</formula>
    </cfRule>
  </conditionalFormatting>
  <conditionalFormatting sqref="GU97:HJ98">
    <cfRule type="containsText" dxfId="11" priority="7" operator="containsText" text="&quot;1 level">
      <formula>NOT(ISERROR(SEARCH("""1 level",GU97)))</formula>
    </cfRule>
  </conditionalFormatting>
  <conditionalFormatting sqref="GU99:HJ100">
    <cfRule type="containsText" dxfId="10" priority="6" operator="containsText" text="&quot;1 level">
      <formula>NOT(ISERROR(SEARCH("""1 level",GU99)))</formula>
    </cfRule>
  </conditionalFormatting>
  <conditionalFormatting sqref="GU101:HJ102">
    <cfRule type="containsText" dxfId="9" priority="5" operator="containsText" text="&quot;1 level">
      <formula>NOT(ISERROR(SEARCH("""1 level",GU101)))</formula>
    </cfRule>
  </conditionalFormatting>
  <conditionalFormatting sqref="GU103:HJ104">
    <cfRule type="containsText" dxfId="8" priority="4" operator="containsText" text="&quot;1 level">
      <formula>NOT(ISERROR(SEARCH("""1 level",GU103)))</formula>
    </cfRule>
  </conditionalFormatting>
  <conditionalFormatting sqref="GU105:HJ106">
    <cfRule type="containsText" dxfId="7" priority="3" operator="containsText" text="&quot;1 level">
      <formula>NOT(ISERROR(SEARCH("""1 level",GU105)))</formula>
    </cfRule>
  </conditionalFormatting>
  <conditionalFormatting sqref="GU107:HJ108">
    <cfRule type="containsText" dxfId="6" priority="2" operator="containsText" text="&quot;1 level">
      <formula>NOT(ISERROR(SEARCH("""1 level",GU107)))</formula>
    </cfRule>
  </conditionalFormatting>
  <conditionalFormatting sqref="GU109:HJ110">
    <cfRule type="containsText" dxfId="5" priority="1" operator="containsText" text="&quot;1 level">
      <formula>NOT(ISERROR(SEARCH("""1 level",GU109)))</formula>
    </cfRule>
  </conditionalFormatting>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4">
    <tabColor theme="7" tint="0.39997558519241921"/>
  </sheetPr>
  <dimension ref="A1:BJ104"/>
  <sheetViews>
    <sheetView workbookViewId="0">
      <pane xSplit="5" ySplit="1" topLeftCell="AV2" activePane="bottomRight" state="frozen"/>
      <selection activeCell="F43" sqref="F43"/>
      <selection pane="topRight" activeCell="F43" sqref="F43"/>
      <selection pane="bottomLeft" activeCell="F43" sqref="F43"/>
      <selection pane="bottomRight" activeCell="AJ2" sqref="AJ2"/>
    </sheetView>
  </sheetViews>
  <sheetFormatPr defaultColWidth="8.85546875" defaultRowHeight="12.75" outlineLevelCol="1" x14ac:dyDescent="0.2"/>
  <cols>
    <col min="1" max="1" width="4" style="3" customWidth="1"/>
    <col min="2" max="2" width="7" style="3" bestFit="1" customWidth="1"/>
    <col min="3" max="4" width="7" style="3" customWidth="1"/>
    <col min="5" max="5" width="14.7109375" style="3" bestFit="1" customWidth="1"/>
    <col min="6" max="8" width="14.7109375" style="3" customWidth="1"/>
    <col min="9" max="9" width="14.7109375" style="3" customWidth="1" outlineLevel="1"/>
    <col min="10" max="10" width="26.5703125" style="3" customWidth="1" outlineLevel="1"/>
    <col min="11" max="11" width="3.42578125" style="3" customWidth="1" outlineLevel="1"/>
    <col min="12" max="13" width="4.42578125" style="3" customWidth="1" outlineLevel="1"/>
    <col min="14" max="14" width="4" style="3" customWidth="1" outlineLevel="1"/>
    <col min="15" max="15" width="4.28515625" style="3" customWidth="1" outlineLevel="1"/>
    <col min="16" max="17" width="4.42578125" style="3" customWidth="1" outlineLevel="1"/>
    <col min="18" max="18" width="18.28515625" style="3" customWidth="1" outlineLevel="1"/>
    <col min="19" max="24" width="5.7109375" style="3" customWidth="1" outlineLevel="1"/>
    <col min="25" max="26" width="5" style="3" customWidth="1" outlineLevel="1"/>
    <col min="27" max="27" width="6.85546875" style="3" customWidth="1" outlineLevel="1"/>
    <col min="28" max="29" width="10.42578125" style="3" customWidth="1" outlineLevel="1"/>
    <col min="30" max="33" width="10.7109375" style="3" customWidth="1" outlineLevel="1"/>
    <col min="34" max="35" width="10.7109375" style="3" customWidth="1"/>
    <col min="36" max="36" width="82.85546875" style="3" bestFit="1" customWidth="1"/>
    <col min="37" max="45" width="20.7109375" style="3" customWidth="1"/>
    <col min="46" max="46" width="70.5703125" style="3" bestFit="1" customWidth="1"/>
    <col min="47" max="52" width="10.7109375" style="3" customWidth="1"/>
    <col min="53" max="53" width="12.140625" style="3" customWidth="1"/>
    <col min="54" max="54" width="41.42578125" style="3" bestFit="1" customWidth="1"/>
    <col min="55" max="55" width="11.85546875" style="3" bestFit="1" customWidth="1"/>
    <col min="56" max="56" width="15.5703125" style="3" bestFit="1" customWidth="1"/>
    <col min="57" max="57" width="12.42578125" style="3" bestFit="1" customWidth="1"/>
    <col min="58" max="58" width="9.7109375" style="3" bestFit="1" customWidth="1"/>
    <col min="59" max="59" width="22.5703125" style="3" bestFit="1" customWidth="1"/>
    <col min="60" max="61" width="10.7109375" style="3" customWidth="1"/>
    <col min="62" max="16384" width="8.85546875" style="3"/>
  </cols>
  <sheetData>
    <row r="1" spans="1:62" s="1" customFormat="1" ht="42.75" x14ac:dyDescent="0.2">
      <c r="A1" s="646"/>
      <c r="B1" s="647" t="s">
        <v>1</v>
      </c>
      <c r="C1" s="648"/>
      <c r="D1" s="644"/>
      <c r="E1" s="649" t="s">
        <v>10</v>
      </c>
      <c r="F1" s="644" t="s">
        <v>6956</v>
      </c>
      <c r="G1" s="644" t="s">
        <v>4290</v>
      </c>
      <c r="H1" s="644" t="s">
        <v>4291</v>
      </c>
      <c r="I1" s="644"/>
      <c r="J1" s="642" t="s">
        <v>4292</v>
      </c>
      <c r="K1" s="648" t="s">
        <v>3</v>
      </c>
      <c r="L1" s="650" t="s">
        <v>4</v>
      </c>
      <c r="M1" s="650" t="s">
        <v>5</v>
      </c>
      <c r="N1" s="650" t="s">
        <v>6</v>
      </c>
      <c r="O1" s="650" t="s">
        <v>7</v>
      </c>
      <c r="P1" s="651" t="s">
        <v>8</v>
      </c>
      <c r="Q1" s="645"/>
      <c r="R1" s="645" t="s">
        <v>569</v>
      </c>
      <c r="S1" s="648" t="s">
        <v>3</v>
      </c>
      <c r="T1" s="650" t="s">
        <v>4</v>
      </c>
      <c r="U1" s="650" t="s">
        <v>5</v>
      </c>
      <c r="V1" s="650" t="s">
        <v>6</v>
      </c>
      <c r="W1" s="650" t="s">
        <v>7</v>
      </c>
      <c r="X1" s="651" t="s">
        <v>8</v>
      </c>
      <c r="Y1" s="645" t="s">
        <v>11</v>
      </c>
      <c r="Z1" s="645" t="s">
        <v>12</v>
      </c>
      <c r="AA1" s="645" t="s">
        <v>13</v>
      </c>
      <c r="AB1" s="645" t="s">
        <v>14</v>
      </c>
      <c r="AC1" s="645" t="s">
        <v>585</v>
      </c>
      <c r="AD1" s="648" t="s">
        <v>3310</v>
      </c>
      <c r="AE1" s="650"/>
      <c r="AF1" s="650"/>
      <c r="AG1" s="650" t="s">
        <v>94</v>
      </c>
      <c r="AH1" s="651" t="s">
        <v>0</v>
      </c>
      <c r="AI1" s="645" t="s">
        <v>15</v>
      </c>
      <c r="AJ1" s="642" t="s">
        <v>3321</v>
      </c>
      <c r="AK1" s="648" t="s">
        <v>16</v>
      </c>
      <c r="AL1" s="650" t="s">
        <v>17</v>
      </c>
      <c r="AM1" s="650" t="s">
        <v>18</v>
      </c>
      <c r="AN1" s="650" t="s">
        <v>19</v>
      </c>
      <c r="AO1" s="650" t="s">
        <v>2207</v>
      </c>
      <c r="AP1" s="651" t="s">
        <v>3320</v>
      </c>
      <c r="AQ1" s="648" t="s">
        <v>64</v>
      </c>
      <c r="AR1" s="651" t="s">
        <v>65</v>
      </c>
      <c r="AS1" s="645" t="s">
        <v>1096</v>
      </c>
      <c r="AT1" s="644" t="s">
        <v>4252</v>
      </c>
      <c r="AU1" s="648" t="s">
        <v>20</v>
      </c>
      <c r="AV1" s="650" t="s">
        <v>21</v>
      </c>
      <c r="AW1" s="650" t="s">
        <v>22</v>
      </c>
      <c r="AX1" s="650" t="s">
        <v>23</v>
      </c>
      <c r="AY1" s="650" t="s">
        <v>24</v>
      </c>
      <c r="AZ1" s="651" t="s">
        <v>25</v>
      </c>
      <c r="BA1" s="645" t="s">
        <v>26</v>
      </c>
      <c r="BB1" s="645" t="s">
        <v>7056</v>
      </c>
      <c r="BC1" s="645" t="s">
        <v>27</v>
      </c>
      <c r="BD1" s="645" t="s">
        <v>28</v>
      </c>
      <c r="BE1" s="645" t="s">
        <v>29</v>
      </c>
      <c r="BF1" s="645" t="s">
        <v>30</v>
      </c>
      <c r="BG1" s="643" t="s">
        <v>4119</v>
      </c>
      <c r="BH1" s="645" t="s">
        <v>31</v>
      </c>
      <c r="BI1" s="645" t="s">
        <v>32</v>
      </c>
      <c r="BJ1" s="645" t="s">
        <v>3032</v>
      </c>
    </row>
    <row r="2" spans="1:62" s="1" customFormat="1" x14ac:dyDescent="0.2">
      <c r="A2" s="478">
        <v>1</v>
      </c>
      <c r="B2" s="478" t="s">
        <v>33</v>
      </c>
      <c r="C2" s="487">
        <f>IF(COUNTIF($B$2:B2,B2)=1,1,0)</f>
        <v>1</v>
      </c>
      <c r="D2" s="487">
        <f>IF(Race=B2,1,0)</f>
        <v>0</v>
      </c>
      <c r="E2" s="483" t="s">
        <v>34</v>
      </c>
      <c r="F2" s="483" t="s">
        <v>6952</v>
      </c>
      <c r="G2" s="483"/>
      <c r="H2" s="483" t="s">
        <v>6200</v>
      </c>
      <c r="I2" s="483"/>
      <c r="J2" s="652" t="str">
        <f t="shared" ref="J2:J51" si="0">SUBSTITUTE(IFERROR(LEFT(TRIM(IF(K2&lt;&gt;0,"Strength: +"&amp;K2&amp;", ","")&amp;" "&amp;IF(L2&lt;&gt;0,"Dexterity: +"&amp;L2&amp;", ","")&amp;" "&amp;IF(M2&lt;&gt;0,"Constitution: +"&amp;M2&amp;", ","")&amp;" "&amp;IF(N2&lt;&gt;0,"Intelligence: +"&amp;N2&amp;", ","")&amp;" "&amp;IF(O2&lt;&gt;0,"Wisdom: +"&amp;O2&amp;", ","")&amp;" "&amp;IF(P2&lt;&gt;0,"Charisma: +"&amp;P2&amp;", ","")),LEN(TRIM(IF(K2&lt;&gt;0,"Strength: +"&amp;K2&amp;", ","")&amp;" "&amp;IF(L2&lt;&gt;0,"Dexterity: +"&amp;L2&amp;", ","")&amp;" "&amp;IF(M2&lt;&gt;0,"Constitution: +"&amp;M2&amp;", ","")&amp;" "&amp;IF(N2&lt;&gt;0,"Intelligence: +"&amp;N2&amp;", ","")&amp;" "&amp;IF(O2&lt;&gt;0,"Wisdom: +"&amp;O2&amp;", ","")&amp;" "&amp;IF(P2&lt;&gt;0,"Charisma: +"&amp;P2&amp;", ","")))-1),""),"+-","-")</f>
        <v>Constitution: +2, Wisdom: +1</v>
      </c>
      <c r="K2" s="479">
        <v>0</v>
      </c>
      <c r="L2" s="479">
        <v>0</v>
      </c>
      <c r="M2" s="480">
        <v>2</v>
      </c>
      <c r="N2" s="479">
        <v>0</v>
      </c>
      <c r="O2" s="480">
        <v>1</v>
      </c>
      <c r="P2" s="479">
        <v>0</v>
      </c>
      <c r="Q2" s="479"/>
      <c r="R2" s="481"/>
      <c r="S2" s="481"/>
      <c r="T2" s="481"/>
      <c r="U2" s="481"/>
      <c r="V2" s="481"/>
      <c r="W2" s="481"/>
      <c r="X2" s="481"/>
      <c r="Y2" s="478" t="s">
        <v>599</v>
      </c>
      <c r="Z2" s="478">
        <v>10</v>
      </c>
      <c r="AA2" s="478">
        <v>25</v>
      </c>
      <c r="AB2" s="478">
        <v>60</v>
      </c>
      <c r="AC2" s="482"/>
      <c r="AD2" s="478" t="s">
        <v>5093</v>
      </c>
      <c r="AE2" s="478"/>
      <c r="AF2" s="478"/>
      <c r="AG2" s="478" t="s">
        <v>5095</v>
      </c>
      <c r="AH2" s="478" t="s">
        <v>6136</v>
      </c>
      <c r="AI2" s="485" t="s">
        <v>5097</v>
      </c>
      <c r="AJ2" s="486" t="str">
        <f>IFERROR(LEFT(IF(AK2="","",AK2&amp;", ")&amp;IF(AL2="","",AL2&amp;", ")&amp;IF(AM2="","",AM2&amp;", ")&amp;IF(AN2="","",AN2&amp;", ")&amp;IF(AO2="","",AO2&amp;", ")&amp;IF(AP2="","",AP2&amp;", "),LEN(IF(AK2="","",AK2&amp;", ")&amp;IF(AL2="","",AL2&amp;", ")&amp;IF(AM2="","",AM2&amp;", ")&amp;IF(AN2="","",AN2&amp;", ")&amp;IF(AO2="","",AO2&amp;", ")&amp;IF(AP2="","",AP2&amp;", "))-2),"")</f>
        <v>Darkvision, Dwarven Resilience, Dwarven Combat Training, Stonecunning, Dwarven Toughness</v>
      </c>
      <c r="AK2" s="478" t="s">
        <v>14</v>
      </c>
      <c r="AL2" s="478" t="s">
        <v>573</v>
      </c>
      <c r="AM2" s="478" t="s">
        <v>4556</v>
      </c>
      <c r="AN2" s="478" t="s">
        <v>2195</v>
      </c>
      <c r="AO2" s="478" t="s">
        <v>574</v>
      </c>
      <c r="AP2" s="482"/>
      <c r="AQ2" s="482"/>
      <c r="AR2" s="482"/>
      <c r="AS2" s="482"/>
      <c r="AT2" s="486" t="str">
        <f>IFERROR(LEFT(IF(AU2="","",AU2&amp;", ")&amp;IF(AV2="","",AV2&amp;", ")&amp;IF(AW2="","",AW2&amp;", ")&amp;IF(AX2="","",AX2&amp;", ")&amp;IF(AY2="","",AY2&amp;", ")&amp;IF(AZ2="","",AZ2&amp;", ")&amp;IF(AQ2="","",AQ2&amp;", ")&amp;IF(AR2="","",AR2&amp;", "),LEN(IF(AU2="","",AU2&amp;", ")&amp;IF(AV2="","",AV2&amp;", ")&amp;IF(AW2="","",AW2&amp;", ")&amp;IF(AX2="","",AX2&amp;", ")&amp;IF(AY2="","",AY2&amp;", ")&amp;IF(AZ2="","",AZ2&amp;", ")&amp;IF(AQ2="","",AQ2&amp;", ")&amp;IF(AR2="","",AR2&amp;", "))-2),"")</f>
        <v>Battleaxe, Handaxe, Throwing Hammer, Warhammer</v>
      </c>
      <c r="AU2" s="483" t="s">
        <v>35</v>
      </c>
      <c r="AV2" s="478" t="s">
        <v>36</v>
      </c>
      <c r="AW2" s="478" t="s">
        <v>37</v>
      </c>
      <c r="AX2" s="478" t="s">
        <v>38</v>
      </c>
      <c r="AY2" s="482"/>
      <c r="AZ2" s="482"/>
      <c r="BA2" s="478">
        <v>1</v>
      </c>
      <c r="BB2" s="478" t="s">
        <v>33</v>
      </c>
      <c r="BC2" s="478" t="s">
        <v>39</v>
      </c>
      <c r="BD2" s="478" t="s">
        <v>40</v>
      </c>
      <c r="BE2" s="478" t="s">
        <v>41</v>
      </c>
      <c r="BF2" s="482"/>
      <c r="BG2" s="486" t="str">
        <f>IFERROR(LEFT(IF(BH2="","",BH2&amp;", ")&amp;IF(BI2="","",BI2&amp;", ")&amp;IF(BJ2="","",BJ2&amp;", ")&amp;IF(BK2="","",BK2&amp;", "),LEN(IF(BH2="","",BH2&amp;", ")&amp;IF(BI2="","",BI2&amp;", ")&amp;IF(BJ2="","",BJ2&amp;", "))-2),"")</f>
        <v>Common, Dwarvish</v>
      </c>
      <c r="BH2" s="478" t="s">
        <v>43</v>
      </c>
      <c r="BI2" s="478" t="s">
        <v>42</v>
      </c>
      <c r="BJ2" s="478"/>
    </row>
    <row r="3" spans="1:62" s="1" customFormat="1" x14ac:dyDescent="0.2">
      <c r="A3" s="478">
        <v>2</v>
      </c>
      <c r="B3" s="478" t="s">
        <v>33</v>
      </c>
      <c r="C3" s="487">
        <f>IF(COUNTIF($B$2:B3,B3)=1,1,0)</f>
        <v>0</v>
      </c>
      <c r="D3" s="487">
        <f>IF(Race=B3,1+COUNTIF($D$2:D2,"&gt;0"),0)</f>
        <v>0</v>
      </c>
      <c r="E3" s="483" t="s">
        <v>44</v>
      </c>
      <c r="F3" s="483" t="s">
        <v>6952</v>
      </c>
      <c r="G3" s="483"/>
      <c r="H3" s="483" t="s">
        <v>6201</v>
      </c>
      <c r="I3" s="483"/>
      <c r="J3" s="652" t="str">
        <f t="shared" si="0"/>
        <v>Strength: +2, Constitution: +2</v>
      </c>
      <c r="K3" s="480">
        <v>2</v>
      </c>
      <c r="L3" s="479">
        <v>0</v>
      </c>
      <c r="M3" s="480">
        <v>2</v>
      </c>
      <c r="N3" s="479">
        <v>0</v>
      </c>
      <c r="O3" s="479">
        <v>0</v>
      </c>
      <c r="P3" s="479">
        <v>0</v>
      </c>
      <c r="Q3" s="479"/>
      <c r="R3" s="481"/>
      <c r="S3" s="481"/>
      <c r="T3" s="481"/>
      <c r="U3" s="481"/>
      <c r="V3" s="481"/>
      <c r="W3" s="481"/>
      <c r="X3" s="481"/>
      <c r="Y3" s="478" t="s">
        <v>599</v>
      </c>
      <c r="Z3" s="478">
        <v>10</v>
      </c>
      <c r="AA3" s="478">
        <v>25</v>
      </c>
      <c r="AB3" s="478">
        <v>60</v>
      </c>
      <c r="AC3" s="482"/>
      <c r="AD3" s="478" t="s">
        <v>5094</v>
      </c>
      <c r="AE3" s="478"/>
      <c r="AF3" s="478"/>
      <c r="AG3" s="478" t="s">
        <v>5096</v>
      </c>
      <c r="AH3" s="478" t="s">
        <v>6136</v>
      </c>
      <c r="AI3" s="485" t="s">
        <v>5097</v>
      </c>
      <c r="AJ3" s="486" t="str">
        <f t="shared" ref="AJ3:AJ53" si="1">IFERROR(LEFT(IF(AK3="","",AK3&amp;", ")&amp;IF(AL3="","",AL3&amp;", ")&amp;IF(AM3="","",AM3&amp;", ")&amp;IF(AN3="","",AN3&amp;", ")&amp;IF(AO3="","",AO3&amp;", ")&amp;IF(AP3="","",AP3&amp;", "),LEN(IF(AK3="","",AK3&amp;", ")&amp;IF(AL3="","",AL3&amp;", ")&amp;IF(AM3="","",AM3&amp;", ")&amp;IF(AN3="","",AN3&amp;", ")&amp;IF(AO3="","",AO3&amp;", ")&amp;IF(AP3="","",AP3&amp;", "))-2),"")</f>
        <v>Darkvision, Dwarven Resilience, Dwarven Combat Training, Stonecunning, Dwarven Armor Training</v>
      </c>
      <c r="AK3" s="478" t="s">
        <v>14</v>
      </c>
      <c r="AL3" s="478" t="s">
        <v>573</v>
      </c>
      <c r="AM3" s="478" t="s">
        <v>4556</v>
      </c>
      <c r="AN3" s="478" t="s">
        <v>2195</v>
      </c>
      <c r="AO3" s="478" t="s">
        <v>2196</v>
      </c>
      <c r="AP3" s="482"/>
      <c r="AQ3" s="482"/>
      <c r="AR3" s="482"/>
      <c r="AS3" s="482"/>
      <c r="AT3" s="486" t="str">
        <f t="shared" ref="AT3:AT53" si="2">IFERROR(LEFT(IF(AU3="","",AU3&amp;", ")&amp;IF(AV3="","",AV3&amp;", ")&amp;IF(AW3="","",AW3&amp;", ")&amp;IF(AX3="","",AX3&amp;", ")&amp;IF(AY3="","",AY3&amp;", ")&amp;IF(AZ3="","",AZ3&amp;", ")&amp;IF(AQ3="","",AQ3&amp;", ")&amp;IF(AR3="","",AR3&amp;", "),LEN(IF(AU3="","",AU3&amp;", ")&amp;IF(AV3="","",AV3&amp;", ")&amp;IF(AW3="","",AW3&amp;", ")&amp;IF(AX3="","",AX3&amp;", ")&amp;IF(AY3="","",AY3&amp;", ")&amp;IF(AZ3="","",AZ3&amp;", ")&amp;IF(AQ3="","",AQ3&amp;", ")&amp;IF(AR3="","",AR3&amp;", "))-2),"")</f>
        <v>Battleaxe, Handaxe, Throwing Hammer, Warhammer, Light armor, Medium armor</v>
      </c>
      <c r="AU3" s="483" t="s">
        <v>35</v>
      </c>
      <c r="AV3" s="478" t="s">
        <v>36</v>
      </c>
      <c r="AW3" s="478" t="s">
        <v>37</v>
      </c>
      <c r="AX3" s="478" t="s">
        <v>38</v>
      </c>
      <c r="AY3" s="478" t="s">
        <v>45</v>
      </c>
      <c r="AZ3" s="478" t="s">
        <v>46</v>
      </c>
      <c r="BA3" s="478">
        <v>1</v>
      </c>
      <c r="BB3" s="478" t="s">
        <v>33</v>
      </c>
      <c r="BC3" s="478" t="s">
        <v>39</v>
      </c>
      <c r="BD3" s="478" t="s">
        <v>40</v>
      </c>
      <c r="BE3" s="478" t="s">
        <v>41</v>
      </c>
      <c r="BF3" s="482"/>
      <c r="BG3" s="486" t="str">
        <f t="shared" ref="BG3:BG66" si="3">IFERROR(LEFT(IF(BH3="","",BH3&amp;", ")&amp;IF(BI3="","",BI3&amp;", ")&amp;IF(BJ3="","",BJ3&amp;", ")&amp;IF(BK3="","",BK3&amp;", "),LEN(IF(BH3="","",BH3&amp;", ")&amp;IF(BI3="","",BI3&amp;", ")&amp;IF(BJ3="","",BJ3&amp;", "))-2),"")</f>
        <v>Common, Dwarvish</v>
      </c>
      <c r="BH3" s="478" t="s">
        <v>43</v>
      </c>
      <c r="BI3" s="478" t="s">
        <v>42</v>
      </c>
      <c r="BJ3" s="478"/>
    </row>
    <row r="4" spans="1:62" s="1" customFormat="1" ht="15" x14ac:dyDescent="0.25">
      <c r="A4" s="478">
        <v>3</v>
      </c>
      <c r="B4" s="483" t="s">
        <v>47</v>
      </c>
      <c r="C4" s="487">
        <f>IF(COUNTIF($B$2:B4,B4)=1,1+COUNTIF($C$2:C3,"&gt;0"),0)</f>
        <v>2</v>
      </c>
      <c r="D4" s="487">
        <f>IF(Race=B4,1+COUNTIF($D$2:D3,"&gt;0"),0)</f>
        <v>0</v>
      </c>
      <c r="E4" s="483" t="s">
        <v>48</v>
      </c>
      <c r="F4" s="483" t="s">
        <v>6952</v>
      </c>
      <c r="G4" s="483"/>
      <c r="H4" s="483" t="s">
        <v>6195</v>
      </c>
      <c r="I4" s="483"/>
      <c r="J4" s="652" t="str">
        <f t="shared" si="0"/>
        <v>Dexterity: +2, Intelligence: +1</v>
      </c>
      <c r="K4" s="479">
        <v>0</v>
      </c>
      <c r="L4" s="480">
        <v>2</v>
      </c>
      <c r="M4" s="479">
        <v>0</v>
      </c>
      <c r="N4" s="480">
        <v>1</v>
      </c>
      <c r="O4" s="479">
        <v>0</v>
      </c>
      <c r="P4" s="479">
        <v>0</v>
      </c>
      <c r="Q4" s="479"/>
      <c r="R4" s="481"/>
      <c r="S4" s="481"/>
      <c r="T4" s="481"/>
      <c r="U4" s="481"/>
      <c r="V4" s="481"/>
      <c r="W4" s="481"/>
      <c r="X4" s="481"/>
      <c r="Y4" s="478" t="s">
        <v>599</v>
      </c>
      <c r="Z4" s="478">
        <v>10</v>
      </c>
      <c r="AA4" s="478">
        <v>30</v>
      </c>
      <c r="AB4" s="478">
        <v>60</v>
      </c>
      <c r="AC4" s="482"/>
      <c r="AD4" s="478" t="s">
        <v>5089</v>
      </c>
      <c r="AE4" s="478"/>
      <c r="AF4" s="478"/>
      <c r="AG4" s="478" t="s">
        <v>5092</v>
      </c>
      <c r="AH4" s="478" t="s">
        <v>6138</v>
      </c>
      <c r="AI4" s="485" t="s">
        <v>5098</v>
      </c>
      <c r="AJ4" s="486" t="str">
        <f t="shared" si="1"/>
        <v>Darkvision, Fey Ancestry, Trance, Elf Weapon Training, Innate Spellcasting (Elf), Keen Senses</v>
      </c>
      <c r="AK4" s="478" t="s">
        <v>14</v>
      </c>
      <c r="AL4" s="478" t="s">
        <v>570</v>
      </c>
      <c r="AM4" s="478" t="s">
        <v>571</v>
      </c>
      <c r="AN4" s="483" t="s">
        <v>2197</v>
      </c>
      <c r="AO4" s="443" t="s">
        <v>5137</v>
      </c>
      <c r="AP4" s="478" t="s">
        <v>2206</v>
      </c>
      <c r="AQ4" s="478" t="s">
        <v>49</v>
      </c>
      <c r="AR4" s="482"/>
      <c r="AS4" s="482"/>
      <c r="AT4" s="486" t="str">
        <f t="shared" si="2"/>
        <v>Longsword, Shortsword, Shortbow, Longbow, Perception</v>
      </c>
      <c r="AU4" s="478" t="s">
        <v>50</v>
      </c>
      <c r="AV4" s="478" t="s">
        <v>51</v>
      </c>
      <c r="AW4" s="478" t="s">
        <v>52</v>
      </c>
      <c r="AX4" s="478" t="s">
        <v>53</v>
      </c>
      <c r="AY4" s="478"/>
      <c r="AZ4" s="482"/>
      <c r="BA4" s="482"/>
      <c r="BB4" s="478" t="str">
        <f t="shared" ref="BB4:BB48" si="4">SUBSTITUTE(TRIM(IF(BC4="","",BC4&amp;", ")&amp;IF(BD4="","",BD4&amp;", ")&amp;IF(BE4="","",BE4&amp;", ")),", , ",", ")</f>
        <v/>
      </c>
      <c r="BC4" s="482"/>
      <c r="BD4" s="482"/>
      <c r="BE4" s="482"/>
      <c r="BF4" s="478">
        <v>1</v>
      </c>
      <c r="BG4" s="486" t="str">
        <f t="shared" si="3"/>
        <v>Common, Elvish</v>
      </c>
      <c r="BH4" s="478" t="s">
        <v>43</v>
      </c>
      <c r="BI4" s="478" t="s">
        <v>54</v>
      </c>
      <c r="BJ4" s="478"/>
    </row>
    <row r="5" spans="1:62" s="1" customFormat="1" x14ac:dyDescent="0.2">
      <c r="A5" s="478">
        <v>4</v>
      </c>
      <c r="B5" s="483" t="s">
        <v>47</v>
      </c>
      <c r="C5" s="487">
        <f>IF(COUNTIF($B$2:B5,B5)=1,1+COUNTIF($C$2:C4,"&gt;0"),0)</f>
        <v>0</v>
      </c>
      <c r="D5" s="487">
        <f>IF(Race=B5,1+COUNTIF($D$2:D4,"&gt;0"),0)</f>
        <v>0</v>
      </c>
      <c r="E5" s="483" t="s">
        <v>55</v>
      </c>
      <c r="F5" s="483" t="s">
        <v>6952</v>
      </c>
      <c r="G5" s="483"/>
      <c r="H5" s="483" t="s">
        <v>6196</v>
      </c>
      <c r="I5" s="483"/>
      <c r="J5" s="652" t="str">
        <f t="shared" si="0"/>
        <v>Dexterity: +2, Wisdom: +1</v>
      </c>
      <c r="K5" s="479">
        <v>0</v>
      </c>
      <c r="L5" s="480">
        <v>2</v>
      </c>
      <c r="M5" s="479">
        <v>0</v>
      </c>
      <c r="N5" s="479">
        <v>0</v>
      </c>
      <c r="O5" s="480">
        <v>1</v>
      </c>
      <c r="P5" s="479">
        <v>0</v>
      </c>
      <c r="Q5" s="479"/>
      <c r="R5" s="481"/>
      <c r="S5" s="481"/>
      <c r="T5" s="481"/>
      <c r="U5" s="481"/>
      <c r="V5" s="481"/>
      <c r="W5" s="481"/>
      <c r="X5" s="481"/>
      <c r="Y5" s="478" t="s">
        <v>599</v>
      </c>
      <c r="Z5" s="478">
        <v>10</v>
      </c>
      <c r="AA5" s="478">
        <v>35</v>
      </c>
      <c r="AB5" s="478">
        <v>60</v>
      </c>
      <c r="AC5" s="482"/>
      <c r="AD5" s="478" t="s">
        <v>5089</v>
      </c>
      <c r="AE5" s="478"/>
      <c r="AF5" s="478"/>
      <c r="AG5" s="478" t="s">
        <v>5091</v>
      </c>
      <c r="AH5" s="478" t="s">
        <v>6138</v>
      </c>
      <c r="AI5" s="485" t="s">
        <v>5098</v>
      </c>
      <c r="AJ5" s="486" t="str">
        <f t="shared" si="1"/>
        <v>Darkvision, Fey Ancestry, Trance, Elf Weapon Training, Mask of the Wild, Keen Senses</v>
      </c>
      <c r="AK5" s="478" t="s">
        <v>14</v>
      </c>
      <c r="AL5" s="478" t="s">
        <v>570</v>
      </c>
      <c r="AM5" s="478" t="s">
        <v>571</v>
      </c>
      <c r="AN5" s="483" t="s">
        <v>2197</v>
      </c>
      <c r="AO5" s="478" t="s">
        <v>575</v>
      </c>
      <c r="AP5" s="478" t="s">
        <v>2206</v>
      </c>
      <c r="AQ5" s="478" t="s">
        <v>49</v>
      </c>
      <c r="AR5" s="482"/>
      <c r="AS5" s="482"/>
      <c r="AT5" s="486" t="str">
        <f t="shared" si="2"/>
        <v>Longsword, Shortsword, Shortbow, Longbow, Perception</v>
      </c>
      <c r="AU5" s="478" t="s">
        <v>50</v>
      </c>
      <c r="AV5" s="478" t="s">
        <v>51</v>
      </c>
      <c r="AW5" s="478" t="s">
        <v>52</v>
      </c>
      <c r="AX5" s="478" t="s">
        <v>53</v>
      </c>
      <c r="AY5" s="478"/>
      <c r="AZ5" s="482"/>
      <c r="BA5" s="482"/>
      <c r="BB5" s="478" t="str">
        <f t="shared" si="4"/>
        <v/>
      </c>
      <c r="BC5" s="482"/>
      <c r="BD5" s="482"/>
      <c r="BE5" s="482"/>
      <c r="BF5" s="482"/>
      <c r="BG5" s="486" t="str">
        <f t="shared" si="3"/>
        <v>Common, Elvish</v>
      </c>
      <c r="BH5" s="478" t="s">
        <v>43</v>
      </c>
      <c r="BI5" s="478" t="s">
        <v>54</v>
      </c>
      <c r="BJ5" s="478"/>
    </row>
    <row r="6" spans="1:62" s="1" customFormat="1" x14ac:dyDescent="0.2">
      <c r="A6" s="478">
        <v>5</v>
      </c>
      <c r="B6" s="483" t="s">
        <v>56</v>
      </c>
      <c r="C6" s="487">
        <f>IF(COUNTIF($B$2:B6,B6)=1,1+COUNTIF($C$2:C5,"&gt;0"),0)</f>
        <v>3</v>
      </c>
      <c r="D6" s="487">
        <f>IF(Race=B6,1+COUNTIF($D$2:D5,"&gt;0"),0)</f>
        <v>0</v>
      </c>
      <c r="E6" s="483" t="s">
        <v>57</v>
      </c>
      <c r="F6" s="483" t="s">
        <v>6952</v>
      </c>
      <c r="G6" s="483"/>
      <c r="H6" s="483" t="s">
        <v>6198</v>
      </c>
      <c r="I6" s="483"/>
      <c r="J6" s="652" t="str">
        <f t="shared" si="0"/>
        <v>Dexterity: +2, Charisma: +1</v>
      </c>
      <c r="K6" s="479">
        <v>0</v>
      </c>
      <c r="L6" s="479">
        <v>2</v>
      </c>
      <c r="M6" s="479">
        <v>0</v>
      </c>
      <c r="N6" s="479">
        <v>0</v>
      </c>
      <c r="O6" s="479">
        <v>0</v>
      </c>
      <c r="P6" s="479">
        <v>1</v>
      </c>
      <c r="Q6" s="479"/>
      <c r="R6" s="481"/>
      <c r="S6" s="481"/>
      <c r="T6" s="481"/>
      <c r="U6" s="481"/>
      <c r="V6" s="481"/>
      <c r="W6" s="481"/>
      <c r="X6" s="481"/>
      <c r="Y6" s="478" t="s">
        <v>600</v>
      </c>
      <c r="Z6" s="478">
        <v>10</v>
      </c>
      <c r="AA6" s="478">
        <v>30</v>
      </c>
      <c r="AB6" s="482"/>
      <c r="AC6" s="482"/>
      <c r="AD6" s="478" t="s">
        <v>5087</v>
      </c>
      <c r="AE6" s="478"/>
      <c r="AF6" s="478"/>
      <c r="AG6" s="478" t="s">
        <v>5085</v>
      </c>
      <c r="AH6" s="478" t="s">
        <v>6137</v>
      </c>
      <c r="AI6" s="485" t="s">
        <v>5099</v>
      </c>
      <c r="AJ6" s="486" t="str">
        <f t="shared" si="1"/>
        <v>Lucky, Brave, Halfling Nimbleness, Naturally Stealthy</v>
      </c>
      <c r="AK6" s="478" t="s">
        <v>2170</v>
      </c>
      <c r="AL6" s="478" t="s">
        <v>572</v>
      </c>
      <c r="AM6" s="478" t="s">
        <v>2198</v>
      </c>
      <c r="AN6" s="483" t="s">
        <v>2199</v>
      </c>
      <c r="AO6" s="478"/>
      <c r="AP6" s="478"/>
      <c r="AQ6" s="478"/>
      <c r="AR6" s="478"/>
      <c r="AS6" s="478"/>
      <c r="AT6" s="486" t="str">
        <f t="shared" si="2"/>
        <v/>
      </c>
      <c r="AU6" s="478"/>
      <c r="AV6" s="478"/>
      <c r="AW6" s="478"/>
      <c r="AX6" s="478"/>
      <c r="AY6" s="478"/>
      <c r="AZ6" s="478"/>
      <c r="BA6" s="478"/>
      <c r="BB6" s="478" t="str">
        <f t="shared" si="4"/>
        <v/>
      </c>
      <c r="BC6" s="478"/>
      <c r="BD6" s="478"/>
      <c r="BE6" s="478"/>
      <c r="BF6" s="478"/>
      <c r="BG6" s="486" t="str">
        <f t="shared" si="3"/>
        <v>Common, Halfling</v>
      </c>
      <c r="BH6" s="478" t="s">
        <v>43</v>
      </c>
      <c r="BI6" s="478" t="s">
        <v>56</v>
      </c>
      <c r="BJ6" s="478"/>
    </row>
    <row r="7" spans="1:62" s="1" customFormat="1" x14ac:dyDescent="0.2">
      <c r="A7" s="478">
        <v>6</v>
      </c>
      <c r="B7" s="483" t="s">
        <v>56</v>
      </c>
      <c r="C7" s="487">
        <f>IF(COUNTIF($B$2:B7,B7)=1,1+COUNTIF($C$2:C5,"&gt;0"),0)</f>
        <v>0</v>
      </c>
      <c r="D7" s="487">
        <f>IF(Race=B7,1+COUNTIF($D$2:D6,"&gt;0"),0)</f>
        <v>0</v>
      </c>
      <c r="E7" s="483" t="s">
        <v>58</v>
      </c>
      <c r="F7" s="483" t="s">
        <v>6952</v>
      </c>
      <c r="G7" s="483"/>
      <c r="H7" s="483" t="s">
        <v>6199</v>
      </c>
      <c r="I7" s="483"/>
      <c r="J7" s="652" t="str">
        <f t="shared" si="0"/>
        <v>Dexterity: +2, Constitution: +1</v>
      </c>
      <c r="K7" s="479">
        <v>0</v>
      </c>
      <c r="L7" s="480">
        <v>2</v>
      </c>
      <c r="M7" s="479">
        <v>1</v>
      </c>
      <c r="N7" s="479">
        <v>0</v>
      </c>
      <c r="O7" s="479">
        <v>0</v>
      </c>
      <c r="P7" s="480">
        <v>0</v>
      </c>
      <c r="Q7" s="480"/>
      <c r="R7" s="481"/>
      <c r="S7" s="481"/>
      <c r="T7" s="481"/>
      <c r="U7" s="481"/>
      <c r="V7" s="481"/>
      <c r="W7" s="481"/>
      <c r="X7" s="481"/>
      <c r="Y7" s="478" t="s">
        <v>600</v>
      </c>
      <c r="Z7" s="478">
        <v>10</v>
      </c>
      <c r="AA7" s="478">
        <v>25</v>
      </c>
      <c r="AB7" s="482"/>
      <c r="AC7" s="482"/>
      <c r="AD7" s="478" t="s">
        <v>5087</v>
      </c>
      <c r="AE7" s="478"/>
      <c r="AF7" s="478"/>
      <c r="AG7" s="478" t="s">
        <v>5085</v>
      </c>
      <c r="AH7" s="478" t="s">
        <v>6137</v>
      </c>
      <c r="AI7" s="485" t="s">
        <v>5099</v>
      </c>
      <c r="AJ7" s="486" t="str">
        <f t="shared" si="1"/>
        <v>Lucky, Brave, Halfling Nimbleness, Stout Resilience</v>
      </c>
      <c r="AK7" s="478" t="s">
        <v>2170</v>
      </c>
      <c r="AL7" s="478" t="s">
        <v>572</v>
      </c>
      <c r="AM7" s="478" t="s">
        <v>2198</v>
      </c>
      <c r="AN7" s="478" t="s">
        <v>2200</v>
      </c>
      <c r="AO7" s="478"/>
      <c r="AP7" s="478"/>
      <c r="AQ7" s="478"/>
      <c r="AR7" s="478"/>
      <c r="AS7" s="478"/>
      <c r="AT7" s="486" t="str">
        <f t="shared" si="2"/>
        <v/>
      </c>
      <c r="AU7" s="478"/>
      <c r="AV7" s="478"/>
      <c r="AW7" s="478"/>
      <c r="AX7" s="478"/>
      <c r="AY7" s="478"/>
      <c r="AZ7" s="478"/>
      <c r="BA7" s="478"/>
      <c r="BB7" s="478" t="str">
        <f t="shared" si="4"/>
        <v/>
      </c>
      <c r="BC7" s="478"/>
      <c r="BD7" s="478"/>
      <c r="BE7" s="478"/>
      <c r="BF7" s="478"/>
      <c r="BG7" s="486" t="str">
        <f t="shared" si="3"/>
        <v>Common, Halfling</v>
      </c>
      <c r="BH7" s="478" t="s">
        <v>43</v>
      </c>
      <c r="BI7" s="478" t="s">
        <v>56</v>
      </c>
      <c r="BJ7" s="478"/>
    </row>
    <row r="8" spans="1:62" s="1" customFormat="1" x14ac:dyDescent="0.2">
      <c r="A8" s="478">
        <v>7</v>
      </c>
      <c r="B8" s="483" t="s">
        <v>59</v>
      </c>
      <c r="C8" s="487">
        <f>IF(COUNTIF($B$2:B8,B8)=1,1+COUNTIF($C$2:C7,"&gt;0"),0)</f>
        <v>4</v>
      </c>
      <c r="D8" s="487">
        <f>IF(Race=B8,1+COUNTIF($D$2:D7,"&gt;0"),0)</f>
        <v>1</v>
      </c>
      <c r="E8" s="483" t="s">
        <v>1080</v>
      </c>
      <c r="F8" s="483" t="s">
        <v>6953</v>
      </c>
      <c r="G8" s="483"/>
      <c r="H8" s="488" t="s">
        <v>6154</v>
      </c>
      <c r="I8" s="483"/>
      <c r="J8" s="652" t="str">
        <f t="shared" si="0"/>
        <v>Strength: +1, Dexterity: +1, Constitution: +1, Intelligence: +1, Wisdom: +1, Charisma: +1</v>
      </c>
      <c r="K8" s="479">
        <v>1</v>
      </c>
      <c r="L8" s="480">
        <v>1</v>
      </c>
      <c r="M8" s="480">
        <v>1</v>
      </c>
      <c r="N8" s="479">
        <v>1</v>
      </c>
      <c r="O8" s="479">
        <v>1</v>
      </c>
      <c r="P8" s="480">
        <v>1</v>
      </c>
      <c r="Q8" s="480"/>
      <c r="R8" s="481"/>
      <c r="S8" s="481"/>
      <c r="T8" s="481"/>
      <c r="U8" s="481"/>
      <c r="V8" s="481"/>
      <c r="W8" s="481"/>
      <c r="X8" s="481"/>
      <c r="Y8" s="478" t="s">
        <v>599</v>
      </c>
      <c r="Z8" s="478">
        <v>10</v>
      </c>
      <c r="AA8" s="478">
        <v>25</v>
      </c>
      <c r="AB8" s="482"/>
      <c r="AC8" s="482"/>
      <c r="AD8" s="478" t="s">
        <v>5086</v>
      </c>
      <c r="AE8" s="478"/>
      <c r="AF8" s="478"/>
      <c r="AG8" s="478" t="s">
        <v>5081</v>
      </c>
      <c r="AH8" s="478" t="s">
        <v>6153</v>
      </c>
      <c r="AI8" s="485" t="s">
        <v>5100</v>
      </c>
      <c r="AJ8" s="486" t="str">
        <f t="shared" si="1"/>
        <v/>
      </c>
      <c r="AK8" s="478"/>
      <c r="AL8" s="478"/>
      <c r="AM8" s="483"/>
      <c r="AN8" s="478"/>
      <c r="AO8" s="478"/>
      <c r="AP8" s="478"/>
      <c r="AQ8" s="478"/>
      <c r="AR8" s="478"/>
      <c r="AS8" s="478">
        <v>1</v>
      </c>
      <c r="AT8" s="486" t="str">
        <f t="shared" si="2"/>
        <v/>
      </c>
      <c r="AU8" s="478"/>
      <c r="AV8" s="478"/>
      <c r="AW8" s="478"/>
      <c r="AX8" s="478"/>
      <c r="AY8" s="478"/>
      <c r="AZ8" s="478"/>
      <c r="BA8" s="478"/>
      <c r="BB8" s="478" t="str">
        <f t="shared" si="4"/>
        <v/>
      </c>
      <c r="BC8" s="478"/>
      <c r="BD8" s="478"/>
      <c r="BE8" s="478"/>
      <c r="BF8" s="478"/>
      <c r="BG8" s="486" t="str">
        <f t="shared" si="3"/>
        <v>Common</v>
      </c>
      <c r="BH8" s="478" t="s">
        <v>43</v>
      </c>
      <c r="BI8" s="478"/>
      <c r="BJ8" s="478"/>
    </row>
    <row r="9" spans="1:62" s="1" customFormat="1" x14ac:dyDescent="0.2">
      <c r="A9" s="478">
        <v>8</v>
      </c>
      <c r="B9" s="483" t="s">
        <v>59</v>
      </c>
      <c r="C9" s="487">
        <f>IF(COUNTIF($B$2:B9,B9)=1,1+COUNTIF($C$2:C8,"&gt;0"),0)</f>
        <v>0</v>
      </c>
      <c r="D9" s="487">
        <f>IF(Race=B9,1+COUNTIF($D$2:D8,"&gt;0"),0)</f>
        <v>2</v>
      </c>
      <c r="E9" s="483" t="s">
        <v>1081</v>
      </c>
      <c r="F9" s="483" t="s">
        <v>6953</v>
      </c>
      <c r="G9" s="483"/>
      <c r="H9" s="488" t="s">
        <v>6155</v>
      </c>
      <c r="I9" s="483"/>
      <c r="J9" s="652" t="str">
        <f t="shared" si="0"/>
        <v>Strength: +1, Dexterity: +1, Constitution: +1, Intelligence: +1, Wisdom: +1, Charisma: +1</v>
      </c>
      <c r="K9" s="480">
        <v>1</v>
      </c>
      <c r="L9" s="480">
        <v>1</v>
      </c>
      <c r="M9" s="480">
        <v>1</v>
      </c>
      <c r="N9" s="480">
        <v>1</v>
      </c>
      <c r="O9" s="480">
        <v>1</v>
      </c>
      <c r="P9" s="480">
        <v>1</v>
      </c>
      <c r="Q9" s="480"/>
      <c r="R9" s="481"/>
      <c r="S9" s="481"/>
      <c r="T9" s="481"/>
      <c r="U9" s="481"/>
      <c r="V9" s="481"/>
      <c r="W9" s="481"/>
      <c r="X9" s="481"/>
      <c r="Y9" s="478" t="s">
        <v>599</v>
      </c>
      <c r="Z9" s="478">
        <v>10</v>
      </c>
      <c r="AA9" s="483">
        <v>30</v>
      </c>
      <c r="AB9" s="482"/>
      <c r="AC9" s="482"/>
      <c r="AD9" s="478" t="s">
        <v>5086</v>
      </c>
      <c r="AE9" s="478"/>
      <c r="AF9" s="478"/>
      <c r="AG9" s="478" t="s">
        <v>5081</v>
      </c>
      <c r="AH9" s="478" t="s">
        <v>6139</v>
      </c>
      <c r="AI9" s="485" t="s">
        <v>5100</v>
      </c>
      <c r="AJ9" s="486" t="str">
        <f t="shared" si="1"/>
        <v/>
      </c>
      <c r="AK9" s="478"/>
      <c r="AL9" s="478"/>
      <c r="AM9" s="478"/>
      <c r="AN9" s="478"/>
      <c r="AO9" s="478"/>
      <c r="AP9" s="478"/>
      <c r="AQ9" s="478"/>
      <c r="AR9" s="478"/>
      <c r="AS9" s="478">
        <v>1</v>
      </c>
      <c r="AT9" s="486" t="str">
        <f t="shared" si="2"/>
        <v/>
      </c>
      <c r="AU9" s="478"/>
      <c r="AV9" s="478"/>
      <c r="AW9" s="478"/>
      <c r="AX9" s="478"/>
      <c r="AY9" s="478"/>
      <c r="AZ9" s="478"/>
      <c r="BA9" s="478"/>
      <c r="BB9" s="478" t="str">
        <f t="shared" si="4"/>
        <v/>
      </c>
      <c r="BC9" s="478"/>
      <c r="BD9" s="478"/>
      <c r="BE9" s="478"/>
      <c r="BF9" s="478">
        <v>1</v>
      </c>
      <c r="BG9" s="486" t="str">
        <f t="shared" si="3"/>
        <v>Common</v>
      </c>
      <c r="BH9" s="478" t="s">
        <v>43</v>
      </c>
      <c r="BI9" s="478"/>
      <c r="BJ9" s="478"/>
    </row>
    <row r="10" spans="1:62" x14ac:dyDescent="0.2">
      <c r="A10" s="478">
        <v>9</v>
      </c>
      <c r="B10" s="483" t="s">
        <v>59</v>
      </c>
      <c r="C10" s="487">
        <f>IF(COUNTIF($B$2:B10,B10)=1,1+COUNTIF($C$2:C9,"&gt;0"),0)</f>
        <v>0</v>
      </c>
      <c r="D10" s="487">
        <f>IF(Race=B10,1+COUNTIF($D$2:D9,"&gt;0"),0)</f>
        <v>3</v>
      </c>
      <c r="E10" s="478" t="s">
        <v>1082</v>
      </c>
      <c r="F10" s="483" t="s">
        <v>6953</v>
      </c>
      <c r="G10" s="478"/>
      <c r="H10" s="478" t="s">
        <v>6140</v>
      </c>
      <c r="I10" s="478"/>
      <c r="J10" s="652" t="str">
        <f t="shared" si="0"/>
        <v>Strength: +1, Dexterity: +1, Constitution: +1, Intelligence: +1, Wisdom: +1, Charisma: +1</v>
      </c>
      <c r="K10" s="479">
        <v>1</v>
      </c>
      <c r="L10" s="479">
        <v>1</v>
      </c>
      <c r="M10" s="479">
        <v>1</v>
      </c>
      <c r="N10" s="479">
        <v>1</v>
      </c>
      <c r="O10" s="479">
        <v>1</v>
      </c>
      <c r="P10" s="479">
        <v>1</v>
      </c>
      <c r="Q10" s="479"/>
      <c r="R10" s="484"/>
      <c r="S10" s="484"/>
      <c r="T10" s="484"/>
      <c r="U10" s="484"/>
      <c r="V10" s="484"/>
      <c r="W10" s="484"/>
      <c r="X10" s="484"/>
      <c r="Y10" s="478" t="s">
        <v>599</v>
      </c>
      <c r="Z10" s="478">
        <v>10</v>
      </c>
      <c r="AA10" s="478">
        <v>30</v>
      </c>
      <c r="AB10" s="482"/>
      <c r="AC10" s="482"/>
      <c r="AD10" s="478" t="s">
        <v>5086</v>
      </c>
      <c r="AE10" s="478"/>
      <c r="AF10" s="478"/>
      <c r="AG10" s="478" t="s">
        <v>5081</v>
      </c>
      <c r="AH10" s="478" t="s">
        <v>6141</v>
      </c>
      <c r="AI10" s="485" t="s">
        <v>5100</v>
      </c>
      <c r="AJ10" s="486" t="str">
        <f t="shared" si="1"/>
        <v/>
      </c>
      <c r="AK10" s="478"/>
      <c r="AL10" s="478"/>
      <c r="AM10" s="478"/>
      <c r="AN10" s="478"/>
      <c r="AO10" s="478"/>
      <c r="AP10" s="478"/>
      <c r="AQ10" s="478"/>
      <c r="AR10" s="478"/>
      <c r="AS10" s="478">
        <v>1</v>
      </c>
      <c r="AT10" s="486" t="str">
        <f t="shared" si="2"/>
        <v/>
      </c>
      <c r="AU10" s="478"/>
      <c r="AV10" s="478"/>
      <c r="AW10" s="478"/>
      <c r="AX10" s="478"/>
      <c r="AY10" s="478"/>
      <c r="AZ10" s="478"/>
      <c r="BA10" s="478"/>
      <c r="BB10" s="478" t="str">
        <f t="shared" si="4"/>
        <v/>
      </c>
      <c r="BC10" s="478"/>
      <c r="BD10" s="478"/>
      <c r="BE10" s="478"/>
      <c r="BF10" s="478"/>
      <c r="BG10" s="486" t="str">
        <f t="shared" si="3"/>
        <v>Common</v>
      </c>
      <c r="BH10" s="478" t="s">
        <v>43</v>
      </c>
      <c r="BI10" s="478"/>
      <c r="BJ10" s="478"/>
    </row>
    <row r="11" spans="1:62" x14ac:dyDescent="0.2">
      <c r="A11" s="478">
        <v>10</v>
      </c>
      <c r="B11" s="483" t="s">
        <v>59</v>
      </c>
      <c r="C11" s="487">
        <f>IF(COUNTIF($B$2:B11,B11)=1,1+COUNTIF($C$2:C10,"&gt;0"),0)</f>
        <v>0</v>
      </c>
      <c r="D11" s="487">
        <f>IF(Race=B11,1+COUNTIF($D$2:D10,"&gt;0"),0)</f>
        <v>4</v>
      </c>
      <c r="E11" s="478" t="s">
        <v>1083</v>
      </c>
      <c r="F11" s="483" t="s">
        <v>6953</v>
      </c>
      <c r="G11" s="478"/>
      <c r="H11" s="478" t="s">
        <v>6142</v>
      </c>
      <c r="I11" s="478"/>
      <c r="J11" s="652" t="str">
        <f t="shared" si="0"/>
        <v>Strength: +1, Dexterity: +1, Constitution: +1, Intelligence: +1, Wisdom: +1, Charisma: +1</v>
      </c>
      <c r="K11" s="480">
        <v>1</v>
      </c>
      <c r="L11" s="479">
        <v>1</v>
      </c>
      <c r="M11" s="480">
        <v>1</v>
      </c>
      <c r="N11" s="479">
        <v>1</v>
      </c>
      <c r="O11" s="479">
        <v>1</v>
      </c>
      <c r="P11" s="479">
        <v>1</v>
      </c>
      <c r="Q11" s="479"/>
      <c r="R11" s="481"/>
      <c r="S11" s="481"/>
      <c r="T11" s="481"/>
      <c r="U11" s="481"/>
      <c r="V11" s="481"/>
      <c r="W11" s="481"/>
      <c r="X11" s="481"/>
      <c r="Y11" s="478" t="s">
        <v>599</v>
      </c>
      <c r="Z11" s="478">
        <v>10</v>
      </c>
      <c r="AA11" s="478">
        <v>30</v>
      </c>
      <c r="AB11" s="482"/>
      <c r="AC11" s="482"/>
      <c r="AD11" s="478" t="s">
        <v>5086</v>
      </c>
      <c r="AE11" s="478"/>
      <c r="AF11" s="478"/>
      <c r="AG11" s="478" t="s">
        <v>5081</v>
      </c>
      <c r="AH11" s="478" t="s">
        <v>6143</v>
      </c>
      <c r="AI11" s="485" t="s">
        <v>5100</v>
      </c>
      <c r="AJ11" s="486" t="str">
        <f t="shared" si="1"/>
        <v/>
      </c>
      <c r="AK11" s="478"/>
      <c r="AL11" s="478"/>
      <c r="AM11" s="478"/>
      <c r="AN11" s="478"/>
      <c r="AO11" s="478"/>
      <c r="AP11" s="478"/>
      <c r="AQ11" s="478"/>
      <c r="AR11" s="478"/>
      <c r="AS11" s="478">
        <v>1</v>
      </c>
      <c r="AT11" s="486" t="str">
        <f t="shared" si="2"/>
        <v/>
      </c>
      <c r="AU11" s="478"/>
      <c r="AV11" s="478"/>
      <c r="AW11" s="478"/>
      <c r="AX11" s="478"/>
      <c r="AY11" s="478"/>
      <c r="AZ11" s="478"/>
      <c r="BA11" s="478"/>
      <c r="BB11" s="478" t="str">
        <f t="shared" si="4"/>
        <v/>
      </c>
      <c r="BC11" s="478"/>
      <c r="BD11" s="478"/>
      <c r="BE11" s="478"/>
      <c r="BF11" s="478"/>
      <c r="BG11" s="486" t="str">
        <f t="shared" si="3"/>
        <v>Common</v>
      </c>
      <c r="BH11" s="478" t="s">
        <v>43</v>
      </c>
      <c r="BI11" s="478"/>
      <c r="BJ11" s="478"/>
    </row>
    <row r="12" spans="1:62" x14ac:dyDescent="0.2">
      <c r="A12" s="478">
        <v>11</v>
      </c>
      <c r="B12" s="483" t="s">
        <v>59</v>
      </c>
      <c r="C12" s="487">
        <f>IF(COUNTIF($B$2:B12,B12)=1,1+COUNTIF($C$2:C11,"&gt;0"),0)</f>
        <v>0</v>
      </c>
      <c r="D12" s="487">
        <f>IF(Race=B12,1+COUNTIF($D$2:D11,"&gt;0"),0)</f>
        <v>5</v>
      </c>
      <c r="E12" s="478" t="s">
        <v>1084</v>
      </c>
      <c r="F12" s="483" t="s">
        <v>6953</v>
      </c>
      <c r="G12" s="478"/>
      <c r="H12" s="488" t="s">
        <v>6144</v>
      </c>
      <c r="I12" s="478"/>
      <c r="J12" s="652" t="str">
        <f t="shared" si="0"/>
        <v>Strength: +1, Dexterity: +1, Constitution: +1, Intelligence: +1, Wisdom: +1, Charisma: +1</v>
      </c>
      <c r="K12" s="479">
        <v>1</v>
      </c>
      <c r="L12" s="479">
        <v>1</v>
      </c>
      <c r="M12" s="479">
        <v>1</v>
      </c>
      <c r="N12" s="479">
        <v>1</v>
      </c>
      <c r="O12" s="479">
        <v>1</v>
      </c>
      <c r="P12" s="479">
        <v>1</v>
      </c>
      <c r="Q12" s="479"/>
      <c r="R12" s="481"/>
      <c r="S12" s="481"/>
      <c r="T12" s="481"/>
      <c r="U12" s="481"/>
      <c r="V12" s="481"/>
      <c r="W12" s="481"/>
      <c r="X12" s="481"/>
      <c r="Y12" s="478" t="s">
        <v>599</v>
      </c>
      <c r="Z12" s="478">
        <v>10</v>
      </c>
      <c r="AA12" s="478">
        <v>30</v>
      </c>
      <c r="AB12" s="482"/>
      <c r="AC12" s="482"/>
      <c r="AD12" s="478" t="s">
        <v>5086</v>
      </c>
      <c r="AE12" s="478"/>
      <c r="AF12" s="478"/>
      <c r="AG12" s="478" t="s">
        <v>5081</v>
      </c>
      <c r="AH12" s="478" t="s">
        <v>6145</v>
      </c>
      <c r="AI12" s="485" t="s">
        <v>5100</v>
      </c>
      <c r="AJ12" s="486" t="str">
        <f t="shared" si="1"/>
        <v/>
      </c>
      <c r="AK12" s="478"/>
      <c r="AL12" s="478"/>
      <c r="AM12" s="478"/>
      <c r="AN12" s="478"/>
      <c r="AO12" s="478"/>
      <c r="AP12" s="478"/>
      <c r="AQ12" s="478"/>
      <c r="AR12" s="478"/>
      <c r="AS12" s="478">
        <v>1</v>
      </c>
      <c r="AT12" s="486" t="str">
        <f t="shared" si="2"/>
        <v/>
      </c>
      <c r="AU12" s="478"/>
      <c r="AV12" s="478"/>
      <c r="AW12" s="478"/>
      <c r="AX12" s="478"/>
      <c r="AY12" s="478"/>
      <c r="AZ12" s="478"/>
      <c r="BA12" s="478"/>
      <c r="BB12" s="478" t="str">
        <f t="shared" si="4"/>
        <v/>
      </c>
      <c r="BC12" s="478"/>
      <c r="BD12" s="478"/>
      <c r="BE12" s="478"/>
      <c r="BF12" s="478"/>
      <c r="BG12" s="486" t="str">
        <f t="shared" si="3"/>
        <v>Common</v>
      </c>
      <c r="BH12" s="478" t="s">
        <v>43</v>
      </c>
      <c r="BI12" s="478"/>
      <c r="BJ12" s="478"/>
    </row>
    <row r="13" spans="1:62" x14ac:dyDescent="0.2">
      <c r="A13" s="478">
        <v>12</v>
      </c>
      <c r="B13" s="483" t="s">
        <v>59</v>
      </c>
      <c r="C13" s="487">
        <f>IF(COUNTIF($B$2:B13,B13)=1,1+COUNTIF($C$2:C12,"&gt;0"),0)</f>
        <v>0</v>
      </c>
      <c r="D13" s="487">
        <f>IF(Race=B13,1+COUNTIF($D$2:D12,"&gt;0"),0)</f>
        <v>6</v>
      </c>
      <c r="E13" s="478" t="s">
        <v>1085</v>
      </c>
      <c r="F13" s="483" t="s">
        <v>6953</v>
      </c>
      <c r="G13" s="478"/>
      <c r="H13" s="478" t="s">
        <v>6146</v>
      </c>
      <c r="I13" s="478"/>
      <c r="J13" s="652" t="str">
        <f t="shared" si="0"/>
        <v>Strength: +1, Dexterity: +1, Constitution: +1, Intelligence: +1, Wisdom: +1, Charisma: +1</v>
      </c>
      <c r="K13" s="479">
        <v>1</v>
      </c>
      <c r="L13" s="479">
        <v>1</v>
      </c>
      <c r="M13" s="479">
        <v>1</v>
      </c>
      <c r="N13" s="479">
        <v>1</v>
      </c>
      <c r="O13" s="479">
        <v>1</v>
      </c>
      <c r="P13" s="479">
        <v>1</v>
      </c>
      <c r="Q13" s="479"/>
      <c r="R13" s="481"/>
      <c r="S13" s="481"/>
      <c r="T13" s="481"/>
      <c r="U13" s="481"/>
      <c r="V13" s="481"/>
      <c r="W13" s="481"/>
      <c r="X13" s="481"/>
      <c r="Y13" s="478" t="s">
        <v>599</v>
      </c>
      <c r="Z13" s="478">
        <v>10</v>
      </c>
      <c r="AA13" s="478">
        <v>30</v>
      </c>
      <c r="AB13" s="482"/>
      <c r="AC13" s="482"/>
      <c r="AD13" s="478" t="s">
        <v>5086</v>
      </c>
      <c r="AE13" s="478"/>
      <c r="AF13" s="478"/>
      <c r="AG13" s="478" t="s">
        <v>5081</v>
      </c>
      <c r="AH13" s="478" t="s">
        <v>6147</v>
      </c>
      <c r="AI13" s="485" t="s">
        <v>5100</v>
      </c>
      <c r="AJ13" s="486" t="str">
        <f t="shared" si="1"/>
        <v/>
      </c>
      <c r="AK13" s="478"/>
      <c r="AL13" s="478"/>
      <c r="AM13" s="478"/>
      <c r="AN13" s="478"/>
      <c r="AO13" s="478"/>
      <c r="AP13" s="478"/>
      <c r="AQ13" s="478"/>
      <c r="AR13" s="478"/>
      <c r="AS13" s="478">
        <v>1</v>
      </c>
      <c r="AT13" s="486" t="str">
        <f t="shared" si="2"/>
        <v/>
      </c>
      <c r="AU13" s="478"/>
      <c r="AV13" s="478"/>
      <c r="AW13" s="478"/>
      <c r="AX13" s="478"/>
      <c r="AY13" s="478"/>
      <c r="AZ13" s="478"/>
      <c r="BA13" s="478"/>
      <c r="BB13" s="478" t="str">
        <f t="shared" si="4"/>
        <v/>
      </c>
      <c r="BC13" s="478"/>
      <c r="BD13" s="478"/>
      <c r="BE13" s="478"/>
      <c r="BF13" s="478"/>
      <c r="BG13" s="486" t="str">
        <f t="shared" si="3"/>
        <v>Common</v>
      </c>
      <c r="BH13" s="478" t="s">
        <v>43</v>
      </c>
      <c r="BI13" s="478"/>
      <c r="BJ13" s="478"/>
    </row>
    <row r="14" spans="1:62" x14ac:dyDescent="0.2">
      <c r="A14" s="478">
        <v>13</v>
      </c>
      <c r="B14" s="483" t="s">
        <v>59</v>
      </c>
      <c r="C14" s="487">
        <f>IF(COUNTIF($B$2:B14,B14)=1,1+COUNTIF($C$2:C13,"&gt;0"),0)</f>
        <v>0</v>
      </c>
      <c r="D14" s="487">
        <f>IF(Race=B14,1+COUNTIF($D$2:D13,"&gt;0"),0)</f>
        <v>7</v>
      </c>
      <c r="E14" s="478" t="s">
        <v>1086</v>
      </c>
      <c r="F14" s="483" t="s">
        <v>6953</v>
      </c>
      <c r="G14" s="478"/>
      <c r="H14" s="488" t="s">
        <v>6149</v>
      </c>
      <c r="I14" s="478"/>
      <c r="J14" s="652" t="str">
        <f t="shared" si="0"/>
        <v>Strength: +1, Dexterity: +1, Constitution: +1, Intelligence: +1, Wisdom: +1, Charisma: +1</v>
      </c>
      <c r="K14" s="479">
        <v>1</v>
      </c>
      <c r="L14" s="479">
        <v>1</v>
      </c>
      <c r="M14" s="479">
        <v>1</v>
      </c>
      <c r="N14" s="479">
        <v>1</v>
      </c>
      <c r="O14" s="479">
        <v>1</v>
      </c>
      <c r="P14" s="479">
        <v>1</v>
      </c>
      <c r="Q14" s="479"/>
      <c r="R14" s="481"/>
      <c r="S14" s="481"/>
      <c r="T14" s="481"/>
      <c r="U14" s="481"/>
      <c r="V14" s="481"/>
      <c r="W14" s="481"/>
      <c r="X14" s="481"/>
      <c r="Y14" s="478" t="s">
        <v>599</v>
      </c>
      <c r="Z14" s="478">
        <v>10</v>
      </c>
      <c r="AA14" s="478">
        <v>30</v>
      </c>
      <c r="AB14" s="482"/>
      <c r="AC14" s="482"/>
      <c r="AD14" s="478" t="s">
        <v>5086</v>
      </c>
      <c r="AE14" s="478"/>
      <c r="AF14" s="478"/>
      <c r="AG14" s="478" t="s">
        <v>5081</v>
      </c>
      <c r="AH14" s="478" t="s">
        <v>6148</v>
      </c>
      <c r="AI14" s="485" t="s">
        <v>5100</v>
      </c>
      <c r="AJ14" s="486" t="str">
        <f t="shared" si="1"/>
        <v/>
      </c>
      <c r="AK14" s="478"/>
      <c r="AL14" s="478"/>
      <c r="AM14" s="478"/>
      <c r="AN14" s="478"/>
      <c r="AO14" s="478"/>
      <c r="AP14" s="478"/>
      <c r="AQ14" s="478"/>
      <c r="AR14" s="478"/>
      <c r="AS14" s="478">
        <v>1</v>
      </c>
      <c r="AT14" s="486" t="str">
        <f t="shared" si="2"/>
        <v/>
      </c>
      <c r="AU14" s="478"/>
      <c r="AV14" s="478"/>
      <c r="AW14" s="478"/>
      <c r="AX14" s="478"/>
      <c r="AY14" s="478"/>
      <c r="AZ14" s="478"/>
      <c r="BA14" s="478"/>
      <c r="BB14" s="478" t="str">
        <f t="shared" si="4"/>
        <v/>
      </c>
      <c r="BC14" s="478"/>
      <c r="BD14" s="478"/>
      <c r="BE14" s="478"/>
      <c r="BF14" s="478"/>
      <c r="BG14" s="486" t="str">
        <f t="shared" si="3"/>
        <v>Common</v>
      </c>
      <c r="BH14" s="478" t="s">
        <v>43</v>
      </c>
      <c r="BI14" s="478"/>
      <c r="BJ14" s="478"/>
    </row>
    <row r="15" spans="1:62" x14ac:dyDescent="0.2">
      <c r="A15" s="478">
        <v>14</v>
      </c>
      <c r="B15" s="483" t="s">
        <v>59</v>
      </c>
      <c r="C15" s="487">
        <f>IF(COUNTIF($B$2:B15,B15)=1,1+COUNTIF($C$2:C14,"&gt;0"),0)</f>
        <v>0</v>
      </c>
      <c r="D15" s="487">
        <f>IF(Race=B15,1+COUNTIF($D$2:D14,"&gt;0"),0)</f>
        <v>8</v>
      </c>
      <c r="E15" s="478" t="s">
        <v>1087</v>
      </c>
      <c r="F15" s="483" t="s">
        <v>6953</v>
      </c>
      <c r="G15" s="478"/>
      <c r="H15" s="478" t="s">
        <v>6150</v>
      </c>
      <c r="I15" s="478"/>
      <c r="J15" s="652" t="str">
        <f t="shared" si="0"/>
        <v>Strength: +1, Dexterity: +1, Constitution: +1, Intelligence: +1, Wisdom: +1, Charisma: +1</v>
      </c>
      <c r="K15" s="479">
        <v>1</v>
      </c>
      <c r="L15" s="479">
        <v>1</v>
      </c>
      <c r="M15" s="479">
        <v>1</v>
      </c>
      <c r="N15" s="479">
        <v>1</v>
      </c>
      <c r="O15" s="479">
        <v>1</v>
      </c>
      <c r="P15" s="479">
        <v>1</v>
      </c>
      <c r="Q15" s="479"/>
      <c r="R15" s="481"/>
      <c r="S15" s="481"/>
      <c r="T15" s="481"/>
      <c r="U15" s="481"/>
      <c r="V15" s="481"/>
      <c r="W15" s="481"/>
      <c r="X15" s="481"/>
      <c r="Y15" s="478" t="s">
        <v>599</v>
      </c>
      <c r="Z15" s="478">
        <v>10</v>
      </c>
      <c r="AA15" s="478">
        <v>30</v>
      </c>
      <c r="AB15" s="482"/>
      <c r="AC15" s="482"/>
      <c r="AD15" s="478" t="s">
        <v>5086</v>
      </c>
      <c r="AE15" s="478"/>
      <c r="AF15" s="478"/>
      <c r="AG15" s="478" t="s">
        <v>5081</v>
      </c>
      <c r="AH15" s="478"/>
      <c r="AI15" s="485" t="s">
        <v>5100</v>
      </c>
      <c r="AJ15" s="486" t="str">
        <f t="shared" si="1"/>
        <v/>
      </c>
      <c r="AK15" s="478"/>
      <c r="AL15" s="478"/>
      <c r="AM15" s="478"/>
      <c r="AN15" s="478"/>
      <c r="AO15" s="478"/>
      <c r="AP15" s="478"/>
      <c r="AQ15" s="478"/>
      <c r="AR15" s="478"/>
      <c r="AS15" s="478">
        <v>1</v>
      </c>
      <c r="AT15" s="486" t="str">
        <f t="shared" si="2"/>
        <v/>
      </c>
      <c r="AU15" s="478"/>
      <c r="AV15" s="478"/>
      <c r="AW15" s="478"/>
      <c r="AX15" s="478"/>
      <c r="AY15" s="478"/>
      <c r="AZ15" s="478"/>
      <c r="BA15" s="478"/>
      <c r="BB15" s="478" t="str">
        <f t="shared" si="4"/>
        <v/>
      </c>
      <c r="BC15" s="478"/>
      <c r="BD15" s="478"/>
      <c r="BE15" s="478"/>
      <c r="BF15" s="478"/>
      <c r="BG15" s="486" t="str">
        <f t="shared" si="3"/>
        <v>Common</v>
      </c>
      <c r="BH15" s="478" t="s">
        <v>43</v>
      </c>
      <c r="BI15" s="478"/>
      <c r="BJ15" s="478"/>
    </row>
    <row r="16" spans="1:62" x14ac:dyDescent="0.2">
      <c r="A16" s="478">
        <v>15</v>
      </c>
      <c r="B16" s="483" t="s">
        <v>59</v>
      </c>
      <c r="C16" s="487">
        <f>IF(COUNTIF($B$2:B16,B16)=1,1+COUNTIF($C$2:C15,"&gt;0"),0)</f>
        <v>0</v>
      </c>
      <c r="D16" s="487">
        <f>IF(Race=B16,1+COUNTIF($D$2:D15,"&gt;0"),0)</f>
        <v>9</v>
      </c>
      <c r="E16" s="478" t="s">
        <v>1088</v>
      </c>
      <c r="F16" s="483" t="s">
        <v>6953</v>
      </c>
      <c r="G16" s="478"/>
      <c r="H16" s="488" t="s">
        <v>6151</v>
      </c>
      <c r="I16" s="478"/>
      <c r="J16" s="652" t="str">
        <f t="shared" si="0"/>
        <v>Strength: +1, Dexterity: +1, Constitution: +1, Intelligence: +1, Wisdom: +1, Charisma: +1</v>
      </c>
      <c r="K16" s="479">
        <v>1</v>
      </c>
      <c r="L16" s="479">
        <v>1</v>
      </c>
      <c r="M16" s="479">
        <v>1</v>
      </c>
      <c r="N16" s="479">
        <v>1</v>
      </c>
      <c r="O16" s="479">
        <v>1</v>
      </c>
      <c r="P16" s="479">
        <v>1</v>
      </c>
      <c r="Q16" s="479"/>
      <c r="R16" s="481"/>
      <c r="S16" s="481"/>
      <c r="T16" s="481"/>
      <c r="U16" s="481"/>
      <c r="V16" s="481"/>
      <c r="W16" s="481"/>
      <c r="X16" s="481"/>
      <c r="Y16" s="478" t="s">
        <v>599</v>
      </c>
      <c r="Z16" s="478">
        <v>10</v>
      </c>
      <c r="AA16" s="478">
        <v>30</v>
      </c>
      <c r="AB16" s="482"/>
      <c r="AC16" s="482"/>
      <c r="AD16" s="478" t="s">
        <v>5086</v>
      </c>
      <c r="AE16" s="478"/>
      <c r="AF16" s="478"/>
      <c r="AG16" s="478" t="s">
        <v>5081</v>
      </c>
      <c r="AH16" s="478" t="s">
        <v>6152</v>
      </c>
      <c r="AI16" s="485" t="s">
        <v>5100</v>
      </c>
      <c r="AJ16" s="486" t="str">
        <f t="shared" si="1"/>
        <v/>
      </c>
      <c r="AK16" s="478"/>
      <c r="AL16" s="478"/>
      <c r="AM16" s="478"/>
      <c r="AN16" s="478"/>
      <c r="AO16" s="478"/>
      <c r="AP16" s="478"/>
      <c r="AQ16" s="478"/>
      <c r="AR16" s="478"/>
      <c r="AS16" s="478">
        <v>1</v>
      </c>
      <c r="AT16" s="486" t="str">
        <f t="shared" si="2"/>
        <v/>
      </c>
      <c r="AU16" s="478"/>
      <c r="AV16" s="478"/>
      <c r="AW16" s="478"/>
      <c r="AX16" s="478"/>
      <c r="AY16" s="478"/>
      <c r="AZ16" s="478"/>
      <c r="BA16" s="478"/>
      <c r="BB16" s="478" t="str">
        <f t="shared" si="4"/>
        <v/>
      </c>
      <c r="BC16" s="478"/>
      <c r="BD16" s="478"/>
      <c r="BE16" s="478"/>
      <c r="BF16" s="478"/>
      <c r="BG16" s="486" t="str">
        <f t="shared" si="3"/>
        <v>Common</v>
      </c>
      <c r="BH16" s="478" t="s">
        <v>43</v>
      </c>
      <c r="BI16" s="478"/>
      <c r="BJ16" s="478"/>
    </row>
    <row r="17" spans="1:62" x14ac:dyDescent="0.2">
      <c r="A17" s="478">
        <v>16</v>
      </c>
      <c r="B17" s="483" t="s">
        <v>59</v>
      </c>
      <c r="C17" s="487">
        <f>IF(COUNTIF($B$2:B17,B17)=1,1+COUNTIF($C$2:C16,"&gt;0"),0)</f>
        <v>0</v>
      </c>
      <c r="D17" s="487">
        <f>IF(Race=B17,1+COUNTIF($D$2:D16,"&gt;0"),0)</f>
        <v>10</v>
      </c>
      <c r="E17" s="478" t="s">
        <v>1089</v>
      </c>
      <c r="F17" s="483" t="s">
        <v>6952</v>
      </c>
      <c r="G17" s="478"/>
      <c r="H17" s="478"/>
      <c r="I17" s="478"/>
      <c r="J17" s="652" t="str">
        <f t="shared" si="0"/>
        <v/>
      </c>
      <c r="K17" s="479">
        <v>0</v>
      </c>
      <c r="L17" s="479">
        <v>0</v>
      </c>
      <c r="M17" s="479">
        <v>0</v>
      </c>
      <c r="N17" s="479">
        <v>0</v>
      </c>
      <c r="O17" s="479">
        <v>0</v>
      </c>
      <c r="P17" s="479">
        <v>0</v>
      </c>
      <c r="Q17" s="479"/>
      <c r="R17" s="479">
        <v>2</v>
      </c>
      <c r="S17" s="480" t="s">
        <v>584</v>
      </c>
      <c r="T17" s="480" t="s">
        <v>584</v>
      </c>
      <c r="U17" s="480" t="s">
        <v>584</v>
      </c>
      <c r="V17" s="480" t="s">
        <v>584</v>
      </c>
      <c r="W17" s="480" t="s">
        <v>584</v>
      </c>
      <c r="X17" s="480" t="s">
        <v>584</v>
      </c>
      <c r="Y17" s="478" t="s">
        <v>599</v>
      </c>
      <c r="Z17" s="478">
        <v>10</v>
      </c>
      <c r="AA17" s="478">
        <v>30</v>
      </c>
      <c r="AB17" s="482"/>
      <c r="AC17" s="482"/>
      <c r="AD17" s="478" t="s">
        <v>5086</v>
      </c>
      <c r="AE17" s="478"/>
      <c r="AF17" s="478"/>
      <c r="AG17" s="478" t="s">
        <v>5081</v>
      </c>
      <c r="AH17" s="478"/>
      <c r="AI17" s="485" t="s">
        <v>5100</v>
      </c>
      <c r="AJ17" s="486" t="str">
        <f t="shared" si="1"/>
        <v>Bonus Feat, Bonus Skill</v>
      </c>
      <c r="AK17" s="483" t="s">
        <v>2292</v>
      </c>
      <c r="AL17" s="478" t="s">
        <v>7479</v>
      </c>
      <c r="AM17" s="478"/>
      <c r="AN17" s="478"/>
      <c r="AO17" s="478"/>
      <c r="AP17" s="478"/>
      <c r="AQ17" s="478"/>
      <c r="AR17" s="478"/>
      <c r="AS17" s="478">
        <v>1</v>
      </c>
      <c r="AT17" s="486" t="str">
        <f t="shared" si="2"/>
        <v/>
      </c>
      <c r="AU17" s="478"/>
      <c r="AV17" s="478"/>
      <c r="AW17" s="478"/>
      <c r="AX17" s="478"/>
      <c r="AY17" s="478"/>
      <c r="AZ17" s="478"/>
      <c r="BA17" s="478"/>
      <c r="BB17" s="478" t="str">
        <f t="shared" si="4"/>
        <v/>
      </c>
      <c r="BC17" s="478"/>
      <c r="BD17" s="478"/>
      <c r="BE17" s="478"/>
      <c r="BF17" s="478">
        <v>1</v>
      </c>
      <c r="BG17" s="486" t="str">
        <f t="shared" si="3"/>
        <v>Common</v>
      </c>
      <c r="BH17" s="478" t="s">
        <v>43</v>
      </c>
      <c r="BI17" s="478"/>
      <c r="BJ17" s="478"/>
    </row>
    <row r="18" spans="1:62" x14ac:dyDescent="0.2">
      <c r="A18" s="478">
        <v>17</v>
      </c>
      <c r="B18" s="478" t="s">
        <v>580</v>
      </c>
      <c r="C18" s="487">
        <f>IF(COUNTIF($B$2:B18,B18)=1,1+COUNTIF($C$2:C17,"&gt;0"),0)</f>
        <v>5</v>
      </c>
      <c r="D18" s="487">
        <f>IF(Race=B18,1+COUNTIF($D$2:D17,"&gt;0"),0)</f>
        <v>0</v>
      </c>
      <c r="E18" s="478" t="s">
        <v>1090</v>
      </c>
      <c r="F18" s="483" t="s">
        <v>6952</v>
      </c>
      <c r="G18" s="478" t="s">
        <v>6158</v>
      </c>
      <c r="H18" s="478" t="s">
        <v>6159</v>
      </c>
      <c r="I18" s="478"/>
      <c r="J18" s="652" t="str">
        <f t="shared" si="0"/>
        <v>Intelligence: +2</v>
      </c>
      <c r="K18" s="479">
        <v>0</v>
      </c>
      <c r="L18" s="479">
        <v>0</v>
      </c>
      <c r="M18" s="479">
        <v>0</v>
      </c>
      <c r="N18" s="479">
        <v>2</v>
      </c>
      <c r="O18" s="479">
        <v>0</v>
      </c>
      <c r="P18" s="479">
        <v>0</v>
      </c>
      <c r="Q18" s="479"/>
      <c r="R18" s="481"/>
      <c r="S18" s="481"/>
      <c r="T18" s="481"/>
      <c r="U18" s="481"/>
      <c r="V18" s="481"/>
      <c r="W18" s="481"/>
      <c r="X18" s="481"/>
      <c r="Y18" s="478" t="s">
        <v>600</v>
      </c>
      <c r="Z18" s="478">
        <v>10</v>
      </c>
      <c r="AA18" s="478">
        <v>25</v>
      </c>
      <c r="AB18" s="482"/>
      <c r="AC18" s="482"/>
      <c r="AD18" s="478" t="s">
        <v>5084</v>
      </c>
      <c r="AE18" s="478"/>
      <c r="AF18" s="478"/>
      <c r="AG18" s="478" t="s">
        <v>5085</v>
      </c>
      <c r="AH18" s="478" t="s">
        <v>6157</v>
      </c>
      <c r="AI18" s="485" t="s">
        <v>5102</v>
      </c>
      <c r="AJ18" s="486" t="str">
        <f t="shared" si="1"/>
        <v>Darkvision, Gnome Cunning, Natural Illusionist, Speak with Small Beasts</v>
      </c>
      <c r="AK18" s="478" t="s">
        <v>14</v>
      </c>
      <c r="AL18" s="478" t="s">
        <v>2201</v>
      </c>
      <c r="AM18" s="478" t="s">
        <v>2202</v>
      </c>
      <c r="AN18" s="478" t="s">
        <v>2203</v>
      </c>
      <c r="AO18" s="478"/>
      <c r="AP18" s="478"/>
      <c r="AQ18" s="478"/>
      <c r="AR18" s="478"/>
      <c r="AS18" s="478"/>
      <c r="AT18" s="486" t="str">
        <f t="shared" si="2"/>
        <v/>
      </c>
      <c r="AU18" s="478"/>
      <c r="AV18" s="478"/>
      <c r="AW18" s="478"/>
      <c r="AX18" s="478"/>
      <c r="AY18" s="478"/>
      <c r="AZ18" s="478"/>
      <c r="BA18" s="478"/>
      <c r="BB18" s="478" t="s">
        <v>580</v>
      </c>
      <c r="BC18" s="478" t="s">
        <v>1123</v>
      </c>
      <c r="BD18" s="478"/>
      <c r="BE18" s="478"/>
      <c r="BF18" s="478"/>
      <c r="BG18" s="486" t="str">
        <f t="shared" si="3"/>
        <v>Common, Gnomish</v>
      </c>
      <c r="BH18" s="478" t="s">
        <v>43</v>
      </c>
      <c r="BI18" s="478" t="s">
        <v>1098</v>
      </c>
      <c r="BJ18" s="478"/>
    </row>
    <row r="19" spans="1:62" x14ac:dyDescent="0.2">
      <c r="A19" s="478">
        <v>18</v>
      </c>
      <c r="B19" s="478" t="s">
        <v>580</v>
      </c>
      <c r="C19" s="487">
        <f>IF(COUNTIF($B$2:B19,B19)=1,1+COUNTIF($C$2:C18,"&gt;0"),0)</f>
        <v>0</v>
      </c>
      <c r="D19" s="487">
        <f>IF(Race=B19,1+COUNTIF($D$2:D18,"&gt;0"),0)</f>
        <v>0</v>
      </c>
      <c r="E19" s="478" t="s">
        <v>1091</v>
      </c>
      <c r="F19" s="483" t="s">
        <v>6952</v>
      </c>
      <c r="G19" s="478"/>
      <c r="H19" s="478" t="s">
        <v>6158</v>
      </c>
      <c r="I19" s="478"/>
      <c r="J19" s="652" t="str">
        <f t="shared" si="0"/>
        <v>Intelligence: +2</v>
      </c>
      <c r="K19" s="479">
        <v>0</v>
      </c>
      <c r="L19" s="479">
        <v>0</v>
      </c>
      <c r="M19" s="479">
        <v>0</v>
      </c>
      <c r="N19" s="479">
        <v>2</v>
      </c>
      <c r="O19" s="479">
        <v>0</v>
      </c>
      <c r="P19" s="479">
        <v>0</v>
      </c>
      <c r="Q19" s="479"/>
      <c r="R19" s="481"/>
      <c r="S19" s="481"/>
      <c r="T19" s="481"/>
      <c r="U19" s="481"/>
      <c r="V19" s="481"/>
      <c r="W19" s="481"/>
      <c r="X19" s="481"/>
      <c r="Y19" s="478" t="s">
        <v>600</v>
      </c>
      <c r="Z19" s="478">
        <v>10</v>
      </c>
      <c r="AA19" s="478">
        <v>25</v>
      </c>
      <c r="AB19" s="482"/>
      <c r="AC19" s="482"/>
      <c r="AD19" s="478" t="s">
        <v>5084</v>
      </c>
      <c r="AE19" s="478"/>
      <c r="AF19" s="478"/>
      <c r="AG19" s="478" t="s">
        <v>5085</v>
      </c>
      <c r="AH19" s="478" t="s">
        <v>6157</v>
      </c>
      <c r="AI19" s="485" t="s">
        <v>5102</v>
      </c>
      <c r="AJ19" s="486" t="str">
        <f t="shared" si="1"/>
        <v>Darkvision, Artificer's Lore, Tinker</v>
      </c>
      <c r="AK19" s="478" t="s">
        <v>14</v>
      </c>
      <c r="AL19" s="478" t="s">
        <v>2204</v>
      </c>
      <c r="AM19" s="478" t="s">
        <v>2205</v>
      </c>
      <c r="AN19" s="478"/>
      <c r="AO19" s="478"/>
      <c r="AP19" s="478"/>
      <c r="AQ19" s="478"/>
      <c r="AR19" s="478"/>
      <c r="AS19" s="478"/>
      <c r="AT19" s="486" t="str">
        <f t="shared" si="2"/>
        <v/>
      </c>
      <c r="AU19" s="478"/>
      <c r="AV19" s="478"/>
      <c r="AW19" s="478"/>
      <c r="AX19" s="478"/>
      <c r="AY19" s="478"/>
      <c r="AZ19" s="478"/>
      <c r="BA19" s="478"/>
      <c r="BB19" s="478" t="str">
        <f t="shared" si="4"/>
        <v/>
      </c>
      <c r="BC19" s="478"/>
      <c r="BD19" s="478"/>
      <c r="BE19" s="478"/>
      <c r="BF19" s="478"/>
      <c r="BG19" s="486" t="str">
        <f t="shared" si="3"/>
        <v>Common, Gnomish</v>
      </c>
      <c r="BH19" s="478" t="s">
        <v>43</v>
      </c>
      <c r="BI19" s="478" t="s">
        <v>1098</v>
      </c>
      <c r="BJ19" s="478"/>
    </row>
    <row r="20" spans="1:62" x14ac:dyDescent="0.2">
      <c r="A20" s="478">
        <v>19</v>
      </c>
      <c r="B20" s="478" t="s">
        <v>1092</v>
      </c>
      <c r="C20" s="487">
        <f>IF(COUNTIF($B$2:B20,B20)=1,1+COUNTIF($C$2:C19,"&gt;0"),0)</f>
        <v>6</v>
      </c>
      <c r="D20" s="487">
        <f>IF(Race=B20,1+COUNTIF($D$2:D19,"&gt;0"),0)</f>
        <v>0</v>
      </c>
      <c r="E20" s="478" t="s">
        <v>1092</v>
      </c>
      <c r="F20" s="483" t="s">
        <v>6952</v>
      </c>
      <c r="G20" s="478" t="s">
        <v>6160</v>
      </c>
      <c r="H20" s="478"/>
      <c r="I20" s="478"/>
      <c r="J20" s="652" t="str">
        <f t="shared" si="0"/>
        <v>Charisma: +2</v>
      </c>
      <c r="K20" s="479">
        <v>0</v>
      </c>
      <c r="L20" s="479">
        <v>0</v>
      </c>
      <c r="M20" s="479">
        <v>0</v>
      </c>
      <c r="N20" s="479">
        <v>0</v>
      </c>
      <c r="O20" s="479">
        <v>0</v>
      </c>
      <c r="P20" s="479">
        <v>2</v>
      </c>
      <c r="Q20" s="479"/>
      <c r="R20" s="479">
        <v>2</v>
      </c>
      <c r="S20" s="480" t="s">
        <v>584</v>
      </c>
      <c r="T20" s="480" t="s">
        <v>584</v>
      </c>
      <c r="U20" s="480" t="s">
        <v>584</v>
      </c>
      <c r="V20" s="480" t="s">
        <v>584</v>
      </c>
      <c r="W20" s="480" t="s">
        <v>584</v>
      </c>
      <c r="X20" s="480" t="s">
        <v>615</v>
      </c>
      <c r="Y20" s="478" t="s">
        <v>599</v>
      </c>
      <c r="Z20" s="478">
        <v>10</v>
      </c>
      <c r="AA20" s="478">
        <v>30</v>
      </c>
      <c r="AB20" s="482"/>
      <c r="AC20" s="482"/>
      <c r="AD20" s="478" t="s">
        <v>5080</v>
      </c>
      <c r="AE20" s="478"/>
      <c r="AF20" s="478"/>
      <c r="AG20" s="478" t="s">
        <v>5081</v>
      </c>
      <c r="AH20" s="478"/>
      <c r="AI20" s="485" t="s">
        <v>5103</v>
      </c>
      <c r="AJ20" s="486" t="str">
        <f t="shared" si="1"/>
        <v>Darkvision, Fey Ancestry</v>
      </c>
      <c r="AK20" s="478" t="s">
        <v>14</v>
      </c>
      <c r="AL20" s="478" t="s">
        <v>570</v>
      </c>
      <c r="AM20" s="478"/>
      <c r="AN20" s="478"/>
      <c r="AO20" s="478"/>
      <c r="AP20" s="478"/>
      <c r="AQ20" s="478"/>
      <c r="AR20" s="478"/>
      <c r="AS20" s="478">
        <v>2</v>
      </c>
      <c r="AT20" s="486" t="str">
        <f t="shared" si="2"/>
        <v/>
      </c>
      <c r="AU20" s="478"/>
      <c r="AV20" s="478"/>
      <c r="AW20" s="478"/>
      <c r="AX20" s="478"/>
      <c r="AY20" s="478"/>
      <c r="AZ20" s="478"/>
      <c r="BA20" s="478"/>
      <c r="BB20" s="478" t="str">
        <f t="shared" si="4"/>
        <v/>
      </c>
      <c r="BC20" s="478"/>
      <c r="BD20" s="478"/>
      <c r="BE20" s="478"/>
      <c r="BF20" s="478"/>
      <c r="BG20" s="486" t="str">
        <f t="shared" si="3"/>
        <v>Common, Elvish</v>
      </c>
      <c r="BH20" s="478" t="s">
        <v>43</v>
      </c>
      <c r="BI20" s="478" t="s">
        <v>54</v>
      </c>
      <c r="BJ20" s="478"/>
    </row>
    <row r="21" spans="1:62" x14ac:dyDescent="0.2">
      <c r="A21" s="478">
        <v>20</v>
      </c>
      <c r="B21" s="478" t="s">
        <v>1093</v>
      </c>
      <c r="C21" s="487">
        <f>IF(COUNTIF($B$2:B21,B21)=1,1+COUNTIF($C$2:C20,"&gt;0"),0)</f>
        <v>7</v>
      </c>
      <c r="D21" s="487">
        <f>IF(Race=B21,1+COUNTIF($D$2:D20,"&gt;0"),0)</f>
        <v>0</v>
      </c>
      <c r="E21" s="478" t="s">
        <v>1093</v>
      </c>
      <c r="F21" s="483" t="s">
        <v>6952</v>
      </c>
      <c r="G21" s="478"/>
      <c r="H21" s="478"/>
      <c r="I21" s="478"/>
      <c r="J21" s="652" t="str">
        <f t="shared" si="0"/>
        <v>Strength: +2, Constitution: +1</v>
      </c>
      <c r="K21" s="479">
        <v>2</v>
      </c>
      <c r="L21" s="479">
        <v>0</v>
      </c>
      <c r="M21" s="479">
        <v>1</v>
      </c>
      <c r="N21" s="479">
        <v>0</v>
      </c>
      <c r="O21" s="479">
        <v>0</v>
      </c>
      <c r="P21" s="479">
        <v>0</v>
      </c>
      <c r="Q21" s="479"/>
      <c r="R21" s="481"/>
      <c r="S21" s="481"/>
      <c r="T21" s="481"/>
      <c r="U21" s="481"/>
      <c r="V21" s="481"/>
      <c r="W21" s="481"/>
      <c r="X21" s="481"/>
      <c r="Y21" s="478" t="s">
        <v>599</v>
      </c>
      <c r="Z21" s="478">
        <v>10</v>
      </c>
      <c r="AA21" s="478">
        <v>30</v>
      </c>
      <c r="AB21" s="482"/>
      <c r="AC21" s="482"/>
      <c r="AD21" s="478" t="s">
        <v>5082</v>
      </c>
      <c r="AE21" s="478"/>
      <c r="AF21" s="478"/>
      <c r="AG21" s="478" t="s">
        <v>5083</v>
      </c>
      <c r="AH21" s="478" t="s">
        <v>6203</v>
      </c>
      <c r="AI21" s="485" t="s">
        <v>5104</v>
      </c>
      <c r="AJ21" s="486" t="str">
        <f t="shared" si="1"/>
        <v>Darkvision, Relentless Endurance, Savage Attacks</v>
      </c>
      <c r="AK21" s="478" t="s">
        <v>14</v>
      </c>
      <c r="AL21" s="478" t="s">
        <v>2208</v>
      </c>
      <c r="AM21" s="478" t="s">
        <v>2209</v>
      </c>
      <c r="AN21" s="478"/>
      <c r="AO21" s="478"/>
      <c r="AP21" s="478"/>
      <c r="AQ21" s="478" t="s">
        <v>87</v>
      </c>
      <c r="AR21" s="478"/>
      <c r="AS21" s="478"/>
      <c r="AT21" s="486" t="str">
        <f t="shared" si="2"/>
        <v>Intimidation</v>
      </c>
      <c r="AU21" s="478"/>
      <c r="AV21" s="478"/>
      <c r="AW21" s="478"/>
      <c r="AX21" s="478"/>
      <c r="AY21" s="478"/>
      <c r="AZ21" s="478"/>
      <c r="BA21" s="478"/>
      <c r="BB21" s="478" t="str">
        <f t="shared" si="4"/>
        <v/>
      </c>
      <c r="BC21" s="478"/>
      <c r="BD21" s="478"/>
      <c r="BE21" s="478"/>
      <c r="BF21" s="478"/>
      <c r="BG21" s="486" t="str">
        <f t="shared" si="3"/>
        <v>Common, Orcish</v>
      </c>
      <c r="BH21" s="478" t="s">
        <v>43</v>
      </c>
      <c r="BI21" s="478" t="s">
        <v>2776</v>
      </c>
      <c r="BJ21" s="478"/>
    </row>
    <row r="22" spans="1:62" x14ac:dyDescent="0.2">
      <c r="A22" s="478">
        <v>21</v>
      </c>
      <c r="B22" s="478" t="s">
        <v>581</v>
      </c>
      <c r="C22" s="487">
        <f>IF(COUNTIF($B$2:B22,B22)=1,1+COUNTIF($C$2:C21,"&gt;0"),0)</f>
        <v>8</v>
      </c>
      <c r="D22" s="487">
        <f>IF(Race=B22,1+COUNTIF($D$2:D21,"&gt;0"),0)</f>
        <v>0</v>
      </c>
      <c r="E22" s="478" t="s">
        <v>581</v>
      </c>
      <c r="F22" s="483" t="s">
        <v>6952</v>
      </c>
      <c r="G22" s="478"/>
      <c r="H22" s="478"/>
      <c r="I22" s="478"/>
      <c r="J22" s="652" t="str">
        <f t="shared" si="0"/>
        <v>Intelligence: +1, Charisma: +2</v>
      </c>
      <c r="K22" s="479">
        <v>0</v>
      </c>
      <c r="L22" s="479">
        <v>0</v>
      </c>
      <c r="M22" s="479">
        <v>0</v>
      </c>
      <c r="N22" s="479">
        <v>1</v>
      </c>
      <c r="O22" s="479">
        <v>0</v>
      </c>
      <c r="P22" s="479">
        <v>2</v>
      </c>
      <c r="Q22" s="479"/>
      <c r="R22" s="481"/>
      <c r="S22" s="481"/>
      <c r="T22" s="481"/>
      <c r="U22" s="481"/>
      <c r="V22" s="481"/>
      <c r="W22" s="481"/>
      <c r="X22" s="481"/>
      <c r="Y22" s="478" t="s">
        <v>599</v>
      </c>
      <c r="Z22" s="478">
        <v>10</v>
      </c>
      <c r="AA22" s="478">
        <v>30</v>
      </c>
      <c r="AB22" s="482"/>
      <c r="AC22" s="482"/>
      <c r="AD22" s="478" t="s">
        <v>5080</v>
      </c>
      <c r="AE22" s="478"/>
      <c r="AF22" s="478"/>
      <c r="AG22" s="478" t="s">
        <v>5081</v>
      </c>
      <c r="AH22" s="478" t="s">
        <v>6161</v>
      </c>
      <c r="AI22" s="485" t="s">
        <v>5105</v>
      </c>
      <c r="AJ22" s="486" t="str">
        <f t="shared" si="1"/>
        <v>Darkvision, Hellish Resistance, Infernal Legacy</v>
      </c>
      <c r="AK22" s="478" t="s">
        <v>14</v>
      </c>
      <c r="AL22" s="478" t="s">
        <v>2210</v>
      </c>
      <c r="AM22" s="478" t="s">
        <v>2211</v>
      </c>
      <c r="AN22" s="478"/>
      <c r="AO22" s="478"/>
      <c r="AP22" s="478"/>
      <c r="AQ22" s="478"/>
      <c r="AR22" s="478"/>
      <c r="AS22" s="478"/>
      <c r="AT22" s="486" t="str">
        <f t="shared" si="2"/>
        <v/>
      </c>
      <c r="AU22" s="478"/>
      <c r="AV22" s="478"/>
      <c r="AW22" s="478"/>
      <c r="AX22" s="478"/>
      <c r="AY22" s="478"/>
      <c r="AZ22" s="478"/>
      <c r="BA22" s="478"/>
      <c r="BB22" s="478" t="str">
        <f t="shared" si="4"/>
        <v/>
      </c>
      <c r="BC22" s="478"/>
      <c r="BD22" s="478"/>
      <c r="BE22" s="478"/>
      <c r="BF22" s="478"/>
      <c r="BG22" s="486" t="str">
        <f t="shared" si="3"/>
        <v>Common, Infernal</v>
      </c>
      <c r="BH22" s="478" t="s">
        <v>43</v>
      </c>
      <c r="BI22" s="478" t="s">
        <v>1105</v>
      </c>
      <c r="BJ22" s="478"/>
    </row>
    <row r="23" spans="1:62" x14ac:dyDescent="0.2">
      <c r="A23" s="478">
        <v>22</v>
      </c>
      <c r="B23" s="478" t="s">
        <v>582</v>
      </c>
      <c r="C23" s="487">
        <f>IF(COUNTIF($B$2:B23,B23)=1,1+COUNTIF($C$2:C22,"&gt;0"),0)</f>
        <v>9</v>
      </c>
      <c r="D23" s="487">
        <f>IF(Race=B23,1+COUNTIF($D$2:D22,"&gt;0"),0)</f>
        <v>0</v>
      </c>
      <c r="E23" s="478" t="s">
        <v>1095</v>
      </c>
      <c r="F23" s="483" t="s">
        <v>6952</v>
      </c>
      <c r="G23" s="478"/>
      <c r="H23" s="478"/>
      <c r="I23" s="478"/>
      <c r="J23" s="652" t="str">
        <f t="shared" si="0"/>
        <v>Strength: +2, Charisma: +1</v>
      </c>
      <c r="K23" s="479">
        <v>2</v>
      </c>
      <c r="L23" s="479">
        <v>0</v>
      </c>
      <c r="M23" s="479">
        <v>0</v>
      </c>
      <c r="N23" s="479">
        <v>0</v>
      </c>
      <c r="O23" s="479">
        <v>0</v>
      </c>
      <c r="P23" s="479">
        <v>1</v>
      </c>
      <c r="Q23" s="479"/>
      <c r="R23" s="481"/>
      <c r="S23" s="481"/>
      <c r="T23" s="481"/>
      <c r="U23" s="481"/>
      <c r="V23" s="481"/>
      <c r="W23" s="481"/>
      <c r="X23" s="481"/>
      <c r="Y23" s="478" t="s">
        <v>599</v>
      </c>
      <c r="Z23" s="478">
        <v>10</v>
      </c>
      <c r="AA23" s="478">
        <v>30</v>
      </c>
      <c r="AB23" s="482"/>
      <c r="AC23" s="482"/>
      <c r="AD23" s="478" t="s">
        <v>5082</v>
      </c>
      <c r="AE23" s="478"/>
      <c r="AF23" s="478"/>
      <c r="AG23" s="478" t="s">
        <v>5083</v>
      </c>
      <c r="AH23" s="478" t="s">
        <v>6156</v>
      </c>
      <c r="AI23" s="485" t="s">
        <v>5101</v>
      </c>
      <c r="AJ23" s="486" t="str">
        <f t="shared" si="1"/>
        <v>Draconic Ancestry, Breath Weapon, Poison Resistance</v>
      </c>
      <c r="AK23" s="478" t="s">
        <v>2214</v>
      </c>
      <c r="AL23" s="478" t="s">
        <v>2212</v>
      </c>
      <c r="AM23" s="478" t="s">
        <v>4991</v>
      </c>
      <c r="AN23" s="478"/>
      <c r="AO23" s="478"/>
      <c r="AP23" s="478"/>
      <c r="AQ23" s="478"/>
      <c r="AR23" s="478"/>
      <c r="AS23" s="478"/>
      <c r="AT23" s="486" t="str">
        <f t="shared" si="2"/>
        <v/>
      </c>
      <c r="AU23" s="478"/>
      <c r="AV23" s="478"/>
      <c r="AW23" s="478"/>
      <c r="AX23" s="478"/>
      <c r="AY23" s="478"/>
      <c r="AZ23" s="478"/>
      <c r="BA23" s="478"/>
      <c r="BB23" s="478" t="str">
        <f t="shared" si="4"/>
        <v/>
      </c>
      <c r="BC23" s="478"/>
      <c r="BD23" s="478"/>
      <c r="BE23" s="478"/>
      <c r="BF23" s="478"/>
      <c r="BG23" s="486" t="str">
        <f t="shared" si="3"/>
        <v>Common, Draconic</v>
      </c>
      <c r="BH23" s="478" t="s">
        <v>43</v>
      </c>
      <c r="BI23" s="478" t="s">
        <v>1103</v>
      </c>
      <c r="BJ23" s="478"/>
    </row>
    <row r="24" spans="1:62" x14ac:dyDescent="0.2">
      <c r="A24" s="478">
        <v>23</v>
      </c>
      <c r="B24" s="478" t="s">
        <v>47</v>
      </c>
      <c r="C24" s="487">
        <f>IF(COUNTIF($B$2:B24,B24)=1,1+COUNTIF($C$2:C23,"&gt;0"),0)</f>
        <v>0</v>
      </c>
      <c r="D24" s="487">
        <f>IF(Race=B24,1+COUNTIF($D$2:D23,"&gt;0"),0)</f>
        <v>0</v>
      </c>
      <c r="E24" s="478" t="s">
        <v>1094</v>
      </c>
      <c r="F24" s="483" t="s">
        <v>6952</v>
      </c>
      <c r="G24" s="478"/>
      <c r="H24" s="478" t="s">
        <v>6197</v>
      </c>
      <c r="I24" s="478"/>
      <c r="J24" s="652" t="str">
        <f t="shared" si="0"/>
        <v>Dexterity: +2, Charisma: +1</v>
      </c>
      <c r="K24" s="479">
        <v>0</v>
      </c>
      <c r="L24" s="479">
        <v>2</v>
      </c>
      <c r="M24" s="479">
        <v>0</v>
      </c>
      <c r="N24" s="479">
        <v>0</v>
      </c>
      <c r="O24" s="479">
        <v>0</v>
      </c>
      <c r="P24" s="479">
        <v>1</v>
      </c>
      <c r="Q24" s="479"/>
      <c r="R24" s="481"/>
      <c r="S24" s="481"/>
      <c r="T24" s="481"/>
      <c r="U24" s="481"/>
      <c r="V24" s="481"/>
      <c r="W24" s="481"/>
      <c r="X24" s="481"/>
      <c r="Y24" s="478" t="s">
        <v>599</v>
      </c>
      <c r="Z24" s="478">
        <v>10</v>
      </c>
      <c r="AA24" s="478">
        <v>30</v>
      </c>
      <c r="AB24" s="478">
        <v>120</v>
      </c>
      <c r="AC24" s="482"/>
      <c r="AD24" s="478" t="s">
        <v>5088</v>
      </c>
      <c r="AE24" s="478"/>
      <c r="AF24" s="478"/>
      <c r="AG24" s="478" t="s">
        <v>5090</v>
      </c>
      <c r="AH24" s="478"/>
      <c r="AI24" s="485" t="s">
        <v>5098</v>
      </c>
      <c r="AJ24" s="486" t="str">
        <f t="shared" si="1"/>
        <v>Supreme Darkvision, Fey Ancestry, Trance, Drow Weapon Training, Drow Magic, Sun Sensitivity</v>
      </c>
      <c r="AK24" s="478" t="s">
        <v>3322</v>
      </c>
      <c r="AL24" s="478" t="s">
        <v>570</v>
      </c>
      <c r="AM24" s="478" t="s">
        <v>571</v>
      </c>
      <c r="AN24" s="483" t="s">
        <v>2215</v>
      </c>
      <c r="AO24" s="483" t="s">
        <v>2216</v>
      </c>
      <c r="AP24" s="478" t="s">
        <v>2217</v>
      </c>
      <c r="AQ24" s="478" t="s">
        <v>49</v>
      </c>
      <c r="AR24" s="478"/>
      <c r="AS24" s="478"/>
      <c r="AT24" s="486" t="str">
        <f t="shared" si="2"/>
        <v>Rapier, Shortsword, Hand Crossbow, Perception</v>
      </c>
      <c r="AU24" s="478" t="s">
        <v>149</v>
      </c>
      <c r="AV24" s="478" t="s">
        <v>51</v>
      </c>
      <c r="AW24" s="478" t="s">
        <v>135</v>
      </c>
      <c r="AX24" s="478"/>
      <c r="AY24" s="478"/>
      <c r="AZ24" s="478"/>
      <c r="BA24" s="478"/>
      <c r="BB24" s="478" t="str">
        <f t="shared" si="4"/>
        <v/>
      </c>
      <c r="BC24" s="478"/>
      <c r="BD24" s="478"/>
      <c r="BE24" s="478"/>
      <c r="BF24" s="478"/>
      <c r="BG24" s="486" t="str">
        <f t="shared" si="3"/>
        <v>Common, Undercommon</v>
      </c>
      <c r="BH24" s="478" t="s">
        <v>43</v>
      </c>
      <c r="BI24" s="478" t="s">
        <v>1108</v>
      </c>
      <c r="BJ24" s="478"/>
    </row>
    <row r="25" spans="1:62" x14ac:dyDescent="0.2">
      <c r="A25" s="478">
        <v>24</v>
      </c>
      <c r="B25" s="478" t="s">
        <v>583</v>
      </c>
      <c r="C25" s="487">
        <f>IF(COUNTIF($B$2:B25,B25)=1,1+COUNTIF($C$2:C24,"&gt;0"),0)</f>
        <v>10</v>
      </c>
      <c r="D25" s="487">
        <f>IF(Race=B25,1+COUNTIF($D$2:D24,"&gt;0"),0)</f>
        <v>0</v>
      </c>
      <c r="E25" s="478" t="s">
        <v>583</v>
      </c>
      <c r="F25" s="478" t="s">
        <v>6958</v>
      </c>
      <c r="G25" s="478" t="s">
        <v>4803</v>
      </c>
      <c r="H25" s="478"/>
      <c r="I25" s="478"/>
      <c r="J25" s="652" t="str">
        <f t="shared" si="0"/>
        <v>Strength: +1, Constitution: +1</v>
      </c>
      <c r="K25" s="479">
        <v>1</v>
      </c>
      <c r="L25" s="479">
        <v>0</v>
      </c>
      <c r="M25" s="479">
        <v>1</v>
      </c>
      <c r="N25" s="479">
        <v>0</v>
      </c>
      <c r="O25" s="479">
        <v>0</v>
      </c>
      <c r="P25" s="479">
        <v>0</v>
      </c>
      <c r="Q25" s="479"/>
      <c r="R25" s="481"/>
      <c r="S25" s="481"/>
      <c r="T25" s="481"/>
      <c r="U25" s="481"/>
      <c r="V25" s="481"/>
      <c r="W25" s="481"/>
      <c r="X25" s="481"/>
      <c r="Y25" s="478" t="s">
        <v>599</v>
      </c>
      <c r="Z25" s="478">
        <v>11</v>
      </c>
      <c r="AA25" s="478">
        <v>30</v>
      </c>
      <c r="AB25" s="482"/>
      <c r="AC25" s="482"/>
      <c r="AD25" s="478" t="s">
        <v>5082</v>
      </c>
      <c r="AE25" s="478"/>
      <c r="AF25" s="478"/>
      <c r="AG25" s="478" t="s">
        <v>5083</v>
      </c>
      <c r="AH25" s="478"/>
      <c r="AI25" s="478"/>
      <c r="AJ25" s="486" t="str">
        <f t="shared" si="1"/>
        <v>Composite Plating, Living Construct</v>
      </c>
      <c r="AK25" s="478" t="s">
        <v>2789</v>
      </c>
      <c r="AL25" s="478" t="s">
        <v>2790</v>
      </c>
      <c r="AM25" s="478"/>
      <c r="AN25" s="478"/>
      <c r="AO25" s="478"/>
      <c r="AP25" s="478"/>
      <c r="AQ25" s="478"/>
      <c r="AR25" s="478"/>
      <c r="AS25" s="478"/>
      <c r="AT25" s="486" t="str">
        <f t="shared" si="2"/>
        <v/>
      </c>
      <c r="AU25" s="478"/>
      <c r="AV25" s="478"/>
      <c r="AW25" s="478"/>
      <c r="AX25" s="478"/>
      <c r="AY25" s="478"/>
      <c r="AZ25" s="478"/>
      <c r="BA25" s="478"/>
      <c r="BB25" s="478" t="str">
        <f t="shared" si="4"/>
        <v/>
      </c>
      <c r="BC25" s="478"/>
      <c r="BD25" s="478"/>
      <c r="BE25" s="478"/>
      <c r="BF25" s="478">
        <v>1</v>
      </c>
      <c r="BG25" s="486" t="str">
        <f t="shared" si="3"/>
        <v>Common</v>
      </c>
      <c r="BH25" s="478" t="s">
        <v>43</v>
      </c>
      <c r="BI25" s="478"/>
      <c r="BJ25" s="478"/>
    </row>
    <row r="26" spans="1:62" x14ac:dyDescent="0.2">
      <c r="A26" s="478">
        <v>25</v>
      </c>
      <c r="B26" s="478" t="s">
        <v>2772</v>
      </c>
      <c r="C26" s="487">
        <f>IF(COUNTIF($B$2:B26,B26)=1,1+COUNTIF($C$2:C25,"&gt;0"),0)</f>
        <v>11</v>
      </c>
      <c r="D26" s="487">
        <f>IF(Race=B26,1+COUNTIF($D$2:D25,"&gt;0"),0)</f>
        <v>0</v>
      </c>
      <c r="E26" s="478" t="s">
        <v>2772</v>
      </c>
      <c r="F26" s="478" t="s">
        <v>6958</v>
      </c>
      <c r="G26" s="478"/>
      <c r="H26" s="478"/>
      <c r="I26" s="478"/>
      <c r="J26" s="652" t="str">
        <f t="shared" si="0"/>
        <v>Dexterity: +1, Charisma: +1</v>
      </c>
      <c r="K26" s="479">
        <v>0</v>
      </c>
      <c r="L26" s="479">
        <v>1</v>
      </c>
      <c r="M26" s="479">
        <v>0</v>
      </c>
      <c r="N26" s="479">
        <v>0</v>
      </c>
      <c r="O26" s="479">
        <v>0</v>
      </c>
      <c r="P26" s="479">
        <v>1</v>
      </c>
      <c r="Q26" s="479"/>
      <c r="R26" s="481"/>
      <c r="S26" s="481"/>
      <c r="T26" s="481"/>
      <c r="U26" s="481"/>
      <c r="V26" s="481"/>
      <c r="W26" s="481"/>
      <c r="X26" s="481"/>
      <c r="Y26" s="478" t="s">
        <v>599</v>
      </c>
      <c r="Z26" s="478">
        <v>10</v>
      </c>
      <c r="AA26" s="478">
        <v>30</v>
      </c>
      <c r="AB26" s="482"/>
      <c r="AC26" s="482"/>
      <c r="AD26" s="478" t="s">
        <v>5086</v>
      </c>
      <c r="AE26" s="478"/>
      <c r="AF26" s="478"/>
      <c r="AG26" s="478" t="s">
        <v>5081</v>
      </c>
      <c r="AH26" s="478"/>
      <c r="AI26" s="478"/>
      <c r="AJ26" s="486" t="str">
        <f t="shared" si="1"/>
        <v>Shapechanger, Duplicity</v>
      </c>
      <c r="AK26" s="478" t="s">
        <v>2773</v>
      </c>
      <c r="AL26" s="478" t="s">
        <v>2774</v>
      </c>
      <c r="AM26" s="478"/>
      <c r="AN26" s="478"/>
      <c r="AO26" s="478"/>
      <c r="AP26" s="478"/>
      <c r="AQ26" s="478" t="s">
        <v>74</v>
      </c>
      <c r="AR26" s="478"/>
      <c r="AS26" s="478"/>
      <c r="AT26" s="486" t="str">
        <f t="shared" si="2"/>
        <v>Deception</v>
      </c>
      <c r="AU26" s="478"/>
      <c r="AV26" s="478"/>
      <c r="AW26" s="478"/>
      <c r="AX26" s="478"/>
      <c r="AY26" s="478"/>
      <c r="AZ26" s="478"/>
      <c r="BA26" s="478"/>
      <c r="BB26" s="478" t="str">
        <f t="shared" si="4"/>
        <v/>
      </c>
      <c r="BC26" s="478"/>
      <c r="BD26" s="478"/>
      <c r="BE26" s="478"/>
      <c r="BF26" s="478">
        <v>2</v>
      </c>
      <c r="BG26" s="486" t="str">
        <f t="shared" si="3"/>
        <v>Common</v>
      </c>
      <c r="BH26" s="478" t="s">
        <v>43</v>
      </c>
      <c r="BI26" s="478"/>
      <c r="BJ26" s="478"/>
    </row>
    <row r="27" spans="1:62" x14ac:dyDescent="0.2">
      <c r="A27" s="478">
        <v>26</v>
      </c>
      <c r="B27" s="478" t="s">
        <v>2775</v>
      </c>
      <c r="C27" s="487">
        <f>IF(COUNTIF($B$2:B27,B27)=1,1+COUNTIF($C$2:C26,"&gt;0"),0)</f>
        <v>12</v>
      </c>
      <c r="D27" s="487">
        <f>IF(Race=B27,1+COUNTIF($D$2:D26,"&gt;0"),0)</f>
        <v>0</v>
      </c>
      <c r="E27" s="478" t="s">
        <v>2777</v>
      </c>
      <c r="F27" s="478" t="s">
        <v>6958</v>
      </c>
      <c r="G27" s="478"/>
      <c r="H27" s="478"/>
      <c r="I27" s="478"/>
      <c r="J27" s="652" t="str">
        <f t="shared" si="0"/>
        <v>Dexterity: +1, Constitution: +1</v>
      </c>
      <c r="K27" s="479">
        <v>0</v>
      </c>
      <c r="L27" s="479">
        <v>1</v>
      </c>
      <c r="M27" s="479">
        <v>1</v>
      </c>
      <c r="N27" s="479">
        <v>0</v>
      </c>
      <c r="O27" s="479">
        <v>0</v>
      </c>
      <c r="P27" s="479">
        <v>0</v>
      </c>
      <c r="Q27" s="479"/>
      <c r="R27" s="481"/>
      <c r="S27" s="481"/>
      <c r="T27" s="481"/>
      <c r="U27" s="481"/>
      <c r="V27" s="481"/>
      <c r="W27" s="481"/>
      <c r="X27" s="481"/>
      <c r="Y27" s="478" t="s">
        <v>599</v>
      </c>
      <c r="Z27" s="478">
        <v>10</v>
      </c>
      <c r="AA27" s="478">
        <v>30</v>
      </c>
      <c r="AB27" s="478">
        <v>60</v>
      </c>
      <c r="AC27" s="482"/>
      <c r="AD27" s="478" t="s">
        <v>5086</v>
      </c>
      <c r="AE27" s="478"/>
      <c r="AF27" s="478"/>
      <c r="AG27" s="478" t="s">
        <v>5081</v>
      </c>
      <c r="AH27" s="478"/>
      <c r="AI27" s="478"/>
      <c r="AJ27" s="486" t="str">
        <f t="shared" si="1"/>
        <v>Shifting (beasthide), Darkvision</v>
      </c>
      <c r="AK27" s="478" t="s">
        <v>2788</v>
      </c>
      <c r="AL27" s="478" t="s">
        <v>14</v>
      </c>
      <c r="AM27" s="478"/>
      <c r="AN27" s="478"/>
      <c r="AO27" s="478"/>
      <c r="AP27" s="478"/>
      <c r="AQ27" s="478"/>
      <c r="AR27" s="478"/>
      <c r="AS27" s="478"/>
      <c r="AT27" s="486" t="str">
        <f t="shared" si="2"/>
        <v/>
      </c>
      <c r="AU27" s="478"/>
      <c r="AV27" s="478"/>
      <c r="AW27" s="478"/>
      <c r="AX27" s="478"/>
      <c r="AY27" s="478"/>
      <c r="AZ27" s="478"/>
      <c r="BA27" s="478"/>
      <c r="BB27" s="478" t="str">
        <f t="shared" si="4"/>
        <v/>
      </c>
      <c r="BC27" s="478"/>
      <c r="BD27" s="478"/>
      <c r="BE27" s="478"/>
      <c r="BF27" s="478"/>
      <c r="BG27" s="486" t="str">
        <f t="shared" si="3"/>
        <v>Common, Sylvan</v>
      </c>
      <c r="BH27" s="478" t="s">
        <v>43</v>
      </c>
      <c r="BI27" s="478" t="s">
        <v>1107</v>
      </c>
      <c r="BJ27" s="478"/>
    </row>
    <row r="28" spans="1:62" x14ac:dyDescent="0.2">
      <c r="A28" s="478">
        <v>27</v>
      </c>
      <c r="B28" s="478" t="s">
        <v>2775</v>
      </c>
      <c r="C28" s="487">
        <f>IF(COUNTIF($B$2:B28,B28)=1,1+COUNTIF($C$2:C27,"&gt;0"),0)</f>
        <v>0</v>
      </c>
      <c r="D28" s="487">
        <f>IF(Race=B28,1+COUNTIF($D$2:D27,"&gt;0"),0)</f>
        <v>0</v>
      </c>
      <c r="E28" s="478" t="s">
        <v>2778</v>
      </c>
      <c r="F28" s="478" t="s">
        <v>6958</v>
      </c>
      <c r="G28" s="478"/>
      <c r="H28" s="478"/>
      <c r="I28" s="478"/>
      <c r="J28" s="652" t="str">
        <f t="shared" si="0"/>
        <v>Dexterity: +2</v>
      </c>
      <c r="K28" s="479">
        <v>0</v>
      </c>
      <c r="L28" s="479">
        <v>2</v>
      </c>
      <c r="M28" s="479">
        <v>0</v>
      </c>
      <c r="N28" s="479">
        <v>0</v>
      </c>
      <c r="O28" s="479">
        <v>0</v>
      </c>
      <c r="P28" s="479">
        <v>0</v>
      </c>
      <c r="Q28" s="479"/>
      <c r="R28" s="481"/>
      <c r="S28" s="481"/>
      <c r="T28" s="481"/>
      <c r="U28" s="481"/>
      <c r="V28" s="481"/>
      <c r="W28" s="481"/>
      <c r="X28" s="481"/>
      <c r="Y28" s="478" t="s">
        <v>599</v>
      </c>
      <c r="Z28" s="478">
        <v>10</v>
      </c>
      <c r="AA28" s="478">
        <v>30</v>
      </c>
      <c r="AB28" s="478">
        <v>60</v>
      </c>
      <c r="AC28" s="482"/>
      <c r="AD28" s="478" t="s">
        <v>5086</v>
      </c>
      <c r="AE28" s="478"/>
      <c r="AF28" s="478"/>
      <c r="AG28" s="478" t="s">
        <v>5081</v>
      </c>
      <c r="AH28" s="478"/>
      <c r="AI28" s="478"/>
      <c r="AJ28" s="486" t="str">
        <f t="shared" si="1"/>
        <v>Shifting (Cliffwalk), Darkvision</v>
      </c>
      <c r="AK28" s="478" t="s">
        <v>2783</v>
      </c>
      <c r="AL28" s="478" t="s">
        <v>14</v>
      </c>
      <c r="AM28" s="478"/>
      <c r="AN28" s="478"/>
      <c r="AO28" s="478"/>
      <c r="AP28" s="478"/>
      <c r="AQ28" s="478"/>
      <c r="AR28" s="478"/>
      <c r="AS28" s="478"/>
      <c r="AT28" s="486" t="str">
        <f t="shared" si="2"/>
        <v/>
      </c>
      <c r="AU28" s="478"/>
      <c r="AV28" s="478"/>
      <c r="AW28" s="478"/>
      <c r="AX28" s="478"/>
      <c r="AY28" s="478"/>
      <c r="AZ28" s="478"/>
      <c r="BA28" s="478"/>
      <c r="BB28" s="478" t="str">
        <f t="shared" si="4"/>
        <v/>
      </c>
      <c r="BC28" s="478"/>
      <c r="BD28" s="478"/>
      <c r="BE28" s="478"/>
      <c r="BF28" s="478"/>
      <c r="BG28" s="486" t="str">
        <f t="shared" si="3"/>
        <v>Common, Sylvan</v>
      </c>
      <c r="BH28" s="478" t="s">
        <v>43</v>
      </c>
      <c r="BI28" s="478" t="s">
        <v>1107</v>
      </c>
      <c r="BJ28" s="478"/>
    </row>
    <row r="29" spans="1:62" x14ac:dyDescent="0.2">
      <c r="A29" s="478">
        <v>28</v>
      </c>
      <c r="B29" s="478" t="s">
        <v>2775</v>
      </c>
      <c r="C29" s="487">
        <f>IF(COUNTIF($B$2:B29,B29)=1,1+COUNTIF($C$2:C28,"&gt;0"),0)</f>
        <v>0</v>
      </c>
      <c r="D29" s="487">
        <f>IF(Race=B29,1+COUNTIF($D$2:D28,"&gt;0"),0)</f>
        <v>0</v>
      </c>
      <c r="E29" s="478" t="s">
        <v>2779</v>
      </c>
      <c r="F29" s="478" t="s">
        <v>6958</v>
      </c>
      <c r="G29" s="478"/>
      <c r="H29" s="478"/>
      <c r="I29" s="478"/>
      <c r="J29" s="652" t="str">
        <f t="shared" si="0"/>
        <v>Dexterity: +2</v>
      </c>
      <c r="K29" s="479">
        <v>0</v>
      </c>
      <c r="L29" s="479">
        <v>2</v>
      </c>
      <c r="M29" s="479">
        <v>0</v>
      </c>
      <c r="N29" s="479">
        <v>0</v>
      </c>
      <c r="O29" s="479">
        <v>0</v>
      </c>
      <c r="P29" s="479">
        <v>0</v>
      </c>
      <c r="Q29" s="479"/>
      <c r="R29" s="481"/>
      <c r="S29" s="481"/>
      <c r="T29" s="481"/>
      <c r="U29" s="481"/>
      <c r="V29" s="481"/>
      <c r="W29" s="481"/>
      <c r="X29" s="481"/>
      <c r="Y29" s="478" t="s">
        <v>599</v>
      </c>
      <c r="Z29" s="478">
        <v>10</v>
      </c>
      <c r="AA29" s="478">
        <v>30</v>
      </c>
      <c r="AB29" s="478">
        <v>60</v>
      </c>
      <c r="AC29" s="482"/>
      <c r="AD29" s="478" t="s">
        <v>5086</v>
      </c>
      <c r="AE29" s="478"/>
      <c r="AF29" s="478"/>
      <c r="AG29" s="478" t="s">
        <v>5081</v>
      </c>
      <c r="AH29" s="478"/>
      <c r="AI29" s="478"/>
      <c r="AJ29" s="486" t="str">
        <f t="shared" si="1"/>
        <v>Shifting (Longstride), Darkvision</v>
      </c>
      <c r="AK29" s="478" t="s">
        <v>2784</v>
      </c>
      <c r="AL29" s="478" t="s">
        <v>14</v>
      </c>
      <c r="AM29" s="478"/>
      <c r="AN29" s="478"/>
      <c r="AO29" s="478"/>
      <c r="AP29" s="478"/>
      <c r="AQ29" s="478"/>
      <c r="AR29" s="478"/>
      <c r="AS29" s="478"/>
      <c r="AT29" s="486" t="str">
        <f t="shared" si="2"/>
        <v/>
      </c>
      <c r="AU29" s="478"/>
      <c r="AV29" s="478"/>
      <c r="AW29" s="478"/>
      <c r="AX29" s="478"/>
      <c r="AY29" s="478"/>
      <c r="AZ29" s="478"/>
      <c r="BA29" s="478"/>
      <c r="BB29" s="478" t="str">
        <f t="shared" si="4"/>
        <v/>
      </c>
      <c r="BC29" s="478"/>
      <c r="BD29" s="478"/>
      <c r="BE29" s="478"/>
      <c r="BF29" s="478"/>
      <c r="BG29" s="486" t="str">
        <f t="shared" si="3"/>
        <v>Common, Sylvan</v>
      </c>
      <c r="BH29" s="478" t="s">
        <v>43</v>
      </c>
      <c r="BI29" s="478" t="s">
        <v>1107</v>
      </c>
      <c r="BJ29" s="478"/>
    </row>
    <row r="30" spans="1:62" x14ac:dyDescent="0.2">
      <c r="A30" s="478">
        <v>29</v>
      </c>
      <c r="B30" s="478" t="s">
        <v>2775</v>
      </c>
      <c r="C30" s="487">
        <f>IF(COUNTIF($B$2:B30,B30)=1,1+COUNTIF($C$2:C29,"&gt;0"),0)</f>
        <v>0</v>
      </c>
      <c r="D30" s="487">
        <f>IF(Race=B30,1+COUNTIF($D$2:D29,"&gt;0"),0)</f>
        <v>0</v>
      </c>
      <c r="E30" s="478" t="s">
        <v>2780</v>
      </c>
      <c r="F30" s="478" t="s">
        <v>6958</v>
      </c>
      <c r="G30" s="478"/>
      <c r="H30" s="478"/>
      <c r="I30" s="478"/>
      <c r="J30" s="652" t="str">
        <f t="shared" si="0"/>
        <v>Strength: +1, Dexterity: +1</v>
      </c>
      <c r="K30" s="479">
        <v>1</v>
      </c>
      <c r="L30" s="479">
        <v>1</v>
      </c>
      <c r="M30" s="479">
        <v>0</v>
      </c>
      <c r="N30" s="479">
        <v>0</v>
      </c>
      <c r="O30" s="479">
        <v>0</v>
      </c>
      <c r="P30" s="479">
        <v>0</v>
      </c>
      <c r="Q30" s="479"/>
      <c r="R30" s="481"/>
      <c r="S30" s="481"/>
      <c r="T30" s="481"/>
      <c r="U30" s="481"/>
      <c r="V30" s="481"/>
      <c r="W30" s="481"/>
      <c r="X30" s="481"/>
      <c r="Y30" s="478" t="s">
        <v>599</v>
      </c>
      <c r="Z30" s="478">
        <v>10</v>
      </c>
      <c r="AA30" s="478">
        <v>30</v>
      </c>
      <c r="AB30" s="478">
        <v>60</v>
      </c>
      <c r="AC30" s="482"/>
      <c r="AD30" s="478" t="s">
        <v>5086</v>
      </c>
      <c r="AE30" s="478"/>
      <c r="AF30" s="478"/>
      <c r="AG30" s="478" t="s">
        <v>5081</v>
      </c>
      <c r="AH30" s="478"/>
      <c r="AI30" s="478"/>
      <c r="AJ30" s="486" t="str">
        <f t="shared" si="1"/>
        <v>Shifting (Longtooth), Darkvision</v>
      </c>
      <c r="AK30" s="478" t="s">
        <v>2785</v>
      </c>
      <c r="AL30" s="478" t="s">
        <v>14</v>
      </c>
      <c r="AM30" s="478"/>
      <c r="AN30" s="478"/>
      <c r="AO30" s="478"/>
      <c r="AP30" s="478"/>
      <c r="AQ30" s="478"/>
      <c r="AR30" s="478"/>
      <c r="AS30" s="478"/>
      <c r="AT30" s="486" t="str">
        <f t="shared" si="2"/>
        <v/>
      </c>
      <c r="AU30" s="478"/>
      <c r="AV30" s="478"/>
      <c r="AW30" s="478"/>
      <c r="AX30" s="478"/>
      <c r="AY30" s="478"/>
      <c r="AZ30" s="478"/>
      <c r="BA30" s="478"/>
      <c r="BB30" s="478" t="str">
        <f t="shared" si="4"/>
        <v/>
      </c>
      <c r="BC30" s="478"/>
      <c r="BD30" s="478"/>
      <c r="BE30" s="478"/>
      <c r="BF30" s="478"/>
      <c r="BG30" s="486" t="str">
        <f t="shared" si="3"/>
        <v>Common, Sylvan</v>
      </c>
      <c r="BH30" s="478" t="s">
        <v>43</v>
      </c>
      <c r="BI30" s="478" t="s">
        <v>1107</v>
      </c>
      <c r="BJ30" s="478"/>
    </row>
    <row r="31" spans="1:62" x14ac:dyDescent="0.2">
      <c r="A31" s="478">
        <v>30</v>
      </c>
      <c r="B31" s="478" t="s">
        <v>2775</v>
      </c>
      <c r="C31" s="487">
        <f>IF(COUNTIF($B$2:B31,B31)=1,1+COUNTIF($C$2:C30,"&gt;0"),0)</f>
        <v>0</v>
      </c>
      <c r="D31" s="487">
        <f>IF(Race=B31,1+COUNTIF($D$2:D30,"&gt;0"),0)</f>
        <v>0</v>
      </c>
      <c r="E31" s="478" t="s">
        <v>2781</v>
      </c>
      <c r="F31" s="478" t="s">
        <v>6958</v>
      </c>
      <c r="G31" s="478"/>
      <c r="H31" s="478"/>
      <c r="I31" s="478"/>
      <c r="J31" s="652" t="str">
        <f t="shared" si="0"/>
        <v>Dexterity: +2</v>
      </c>
      <c r="K31" s="479">
        <v>0</v>
      </c>
      <c r="L31" s="479">
        <v>2</v>
      </c>
      <c r="M31" s="479">
        <v>0</v>
      </c>
      <c r="N31" s="479">
        <v>0</v>
      </c>
      <c r="O31" s="479">
        <v>0</v>
      </c>
      <c r="P31" s="479">
        <v>0</v>
      </c>
      <c r="Q31" s="479"/>
      <c r="R31" s="481"/>
      <c r="S31" s="481"/>
      <c r="T31" s="481"/>
      <c r="U31" s="481"/>
      <c r="V31" s="481"/>
      <c r="W31" s="481"/>
      <c r="X31" s="481"/>
      <c r="Y31" s="478" t="s">
        <v>599</v>
      </c>
      <c r="Z31" s="478">
        <v>10</v>
      </c>
      <c r="AA31" s="478">
        <v>30</v>
      </c>
      <c r="AB31" s="478">
        <v>60</v>
      </c>
      <c r="AC31" s="482"/>
      <c r="AD31" s="478" t="s">
        <v>5086</v>
      </c>
      <c r="AE31" s="478"/>
      <c r="AF31" s="478"/>
      <c r="AG31" s="478" t="s">
        <v>5081</v>
      </c>
      <c r="AH31" s="478"/>
      <c r="AI31" s="478"/>
      <c r="AJ31" s="486" t="str">
        <f t="shared" si="1"/>
        <v>Shifting (Razorclaw), Darkvision</v>
      </c>
      <c r="AK31" s="478" t="s">
        <v>2786</v>
      </c>
      <c r="AL31" s="478" t="s">
        <v>14</v>
      </c>
      <c r="AM31" s="478"/>
      <c r="AN31" s="478"/>
      <c r="AO31" s="478"/>
      <c r="AP31" s="478"/>
      <c r="AQ31" s="478"/>
      <c r="AR31" s="478"/>
      <c r="AS31" s="478"/>
      <c r="AT31" s="486" t="str">
        <f t="shared" si="2"/>
        <v/>
      </c>
      <c r="AU31" s="478"/>
      <c r="AV31" s="478"/>
      <c r="AW31" s="478"/>
      <c r="AX31" s="478"/>
      <c r="AY31" s="478"/>
      <c r="AZ31" s="478"/>
      <c r="BA31" s="478"/>
      <c r="BB31" s="478" t="str">
        <f t="shared" si="4"/>
        <v/>
      </c>
      <c r="BC31" s="478"/>
      <c r="BD31" s="478"/>
      <c r="BE31" s="478"/>
      <c r="BF31" s="478"/>
      <c r="BG31" s="486" t="str">
        <f t="shared" si="3"/>
        <v>Common, Sylvan</v>
      </c>
      <c r="BH31" s="478" t="s">
        <v>43</v>
      </c>
      <c r="BI31" s="478" t="s">
        <v>1107</v>
      </c>
      <c r="BJ31" s="478"/>
    </row>
    <row r="32" spans="1:62" x14ac:dyDescent="0.2">
      <c r="A32" s="478">
        <v>31</v>
      </c>
      <c r="B32" s="478" t="s">
        <v>2775</v>
      </c>
      <c r="C32" s="487">
        <f>IF(COUNTIF($B$2:B32,B32)=1,1+COUNTIF($C$2:C31,"&gt;0"),0)</f>
        <v>0</v>
      </c>
      <c r="D32" s="487">
        <f>IF(Race=B32,1+COUNTIF($D$2:D31,"&gt;0"),0)</f>
        <v>0</v>
      </c>
      <c r="E32" s="478" t="s">
        <v>2782</v>
      </c>
      <c r="F32" s="478" t="s">
        <v>6958</v>
      </c>
      <c r="G32" s="478"/>
      <c r="H32" s="478"/>
      <c r="I32" s="478"/>
      <c r="J32" s="652" t="str">
        <f t="shared" si="0"/>
        <v>Dexterity: +1, Wisdom: +1</v>
      </c>
      <c r="K32" s="479">
        <v>0</v>
      </c>
      <c r="L32" s="479">
        <v>1</v>
      </c>
      <c r="M32" s="479">
        <v>0</v>
      </c>
      <c r="N32" s="479">
        <v>0</v>
      </c>
      <c r="O32" s="479">
        <v>1</v>
      </c>
      <c r="P32" s="479">
        <v>0</v>
      </c>
      <c r="Q32" s="479"/>
      <c r="R32" s="481"/>
      <c r="S32" s="481"/>
      <c r="T32" s="481"/>
      <c r="U32" s="481"/>
      <c r="V32" s="481"/>
      <c r="W32" s="481"/>
      <c r="X32" s="481"/>
      <c r="Y32" s="478" t="s">
        <v>599</v>
      </c>
      <c r="Z32" s="478">
        <v>10</v>
      </c>
      <c r="AA32" s="478">
        <v>30</v>
      </c>
      <c r="AB32" s="478">
        <v>60</v>
      </c>
      <c r="AC32" s="482"/>
      <c r="AD32" s="478" t="s">
        <v>5086</v>
      </c>
      <c r="AE32" s="478"/>
      <c r="AF32" s="478"/>
      <c r="AG32" s="478" t="s">
        <v>5081</v>
      </c>
      <c r="AH32" s="478"/>
      <c r="AI32" s="478"/>
      <c r="AJ32" s="486" t="str">
        <f t="shared" si="1"/>
        <v>Shifting (Wildhunt), Darkvision</v>
      </c>
      <c r="AK32" s="478" t="s">
        <v>2787</v>
      </c>
      <c r="AL32" s="478" t="s">
        <v>14</v>
      </c>
      <c r="AM32" s="478"/>
      <c r="AN32" s="478"/>
      <c r="AO32" s="478"/>
      <c r="AP32" s="478"/>
      <c r="AQ32" s="478"/>
      <c r="AR32" s="478"/>
      <c r="AS32" s="478"/>
      <c r="AT32" s="486" t="str">
        <f t="shared" si="2"/>
        <v/>
      </c>
      <c r="AU32" s="478"/>
      <c r="AV32" s="478"/>
      <c r="AW32" s="478"/>
      <c r="AX32" s="478"/>
      <c r="AY32" s="478"/>
      <c r="AZ32" s="478"/>
      <c r="BA32" s="478"/>
      <c r="BB32" s="478" t="str">
        <f t="shared" si="4"/>
        <v/>
      </c>
      <c r="BC32" s="478"/>
      <c r="BD32" s="478"/>
      <c r="BE32" s="478"/>
      <c r="BF32" s="478"/>
      <c r="BG32" s="486" t="str">
        <f t="shared" si="3"/>
        <v>Common, Sylvan</v>
      </c>
      <c r="BH32" s="478" t="s">
        <v>43</v>
      </c>
      <c r="BI32" s="478" t="s">
        <v>1107</v>
      </c>
      <c r="BJ32" s="478"/>
    </row>
    <row r="33" spans="1:62" x14ac:dyDescent="0.2">
      <c r="A33" s="478">
        <v>32</v>
      </c>
      <c r="B33" s="478" t="s">
        <v>2981</v>
      </c>
      <c r="C33" s="487">
        <f>IF(COUNTIF($B$2:B33,B33)=1,1+COUNTIF($C$2:C32,"&gt;0"),0)</f>
        <v>13</v>
      </c>
      <c r="D33" s="487">
        <f>IF(Race=B33,1+COUNTIF($D$2:D32,"&gt;0"),0)</f>
        <v>0</v>
      </c>
      <c r="E33" s="478" t="s">
        <v>2981</v>
      </c>
      <c r="F33" s="478" t="s">
        <v>6959</v>
      </c>
      <c r="G33" s="478"/>
      <c r="H33" s="478"/>
      <c r="I33" s="478"/>
      <c r="J33" s="652" t="str">
        <f t="shared" si="0"/>
        <v>Wisdom: +1, Charisma: +2</v>
      </c>
      <c r="K33" s="479">
        <v>0</v>
      </c>
      <c r="L33" s="479">
        <v>0</v>
      </c>
      <c r="M33" s="479">
        <v>0</v>
      </c>
      <c r="N33" s="479">
        <v>0</v>
      </c>
      <c r="O33" s="479">
        <v>1</v>
      </c>
      <c r="P33" s="479">
        <v>2</v>
      </c>
      <c r="Q33" s="479"/>
      <c r="R33" s="481"/>
      <c r="S33" s="481"/>
      <c r="T33" s="481"/>
      <c r="U33" s="481"/>
      <c r="V33" s="481"/>
      <c r="W33" s="481"/>
      <c r="X33" s="481"/>
      <c r="Y33" s="478" t="s">
        <v>599</v>
      </c>
      <c r="Z33" s="478">
        <v>10</v>
      </c>
      <c r="AA33" s="478">
        <v>30</v>
      </c>
      <c r="AB33" s="478">
        <v>60</v>
      </c>
      <c r="AC33" s="482"/>
      <c r="AD33" s="478" t="s">
        <v>5080</v>
      </c>
      <c r="AE33" s="478"/>
      <c r="AF33" s="478"/>
      <c r="AG33" s="478" t="s">
        <v>5081</v>
      </c>
      <c r="AH33" s="478"/>
      <c r="AI33" s="485" t="s">
        <v>5106</v>
      </c>
      <c r="AJ33" s="486" t="str">
        <f t="shared" si="1"/>
        <v>Celestial Resistance, Celestial Legacy, Darkvision</v>
      </c>
      <c r="AK33" s="478" t="s">
        <v>2982</v>
      </c>
      <c r="AL33" s="478" t="s">
        <v>2983</v>
      </c>
      <c r="AM33" s="478" t="s">
        <v>14</v>
      </c>
      <c r="AN33" s="478"/>
      <c r="AO33" s="478"/>
      <c r="AP33" s="478"/>
      <c r="AQ33" s="478"/>
      <c r="AR33" s="478"/>
      <c r="AS33" s="478"/>
      <c r="AT33" s="486" t="str">
        <f t="shared" si="2"/>
        <v/>
      </c>
      <c r="AU33" s="478"/>
      <c r="AV33" s="478"/>
      <c r="AW33" s="478"/>
      <c r="AX33" s="478"/>
      <c r="AY33" s="478"/>
      <c r="AZ33" s="478"/>
      <c r="BA33" s="478"/>
      <c r="BB33" s="478" t="str">
        <f t="shared" si="4"/>
        <v/>
      </c>
      <c r="BC33" s="478"/>
      <c r="BD33" s="478"/>
      <c r="BE33" s="478"/>
      <c r="BF33" s="478"/>
      <c r="BG33" s="486" t="str">
        <f t="shared" si="3"/>
        <v>Common, Celestial</v>
      </c>
      <c r="BH33" s="478" t="s">
        <v>43</v>
      </c>
      <c r="BI33" s="478" t="s">
        <v>1102</v>
      </c>
      <c r="BJ33" s="478"/>
    </row>
    <row r="34" spans="1:62" x14ac:dyDescent="0.2">
      <c r="A34" s="478">
        <v>33</v>
      </c>
      <c r="B34" s="478" t="s">
        <v>47</v>
      </c>
      <c r="C34" s="487">
        <f>IF(COUNTIF($B$2:B34,B34)=1,1+COUNTIF($C$2:C33,"&gt;0"),0)</f>
        <v>0</v>
      </c>
      <c r="D34" s="487">
        <f>IF(Race=B34,1+COUNTIF($D$2:D33,"&gt;0"),0)</f>
        <v>0</v>
      </c>
      <c r="E34" s="478" t="s">
        <v>2984</v>
      </c>
      <c r="F34" s="478" t="s">
        <v>6959</v>
      </c>
      <c r="G34" s="478"/>
      <c r="H34" s="478"/>
      <c r="I34" s="478"/>
      <c r="J34" s="652" t="str">
        <f t="shared" si="0"/>
        <v>Dexterity: +2, Intelligence: +1</v>
      </c>
      <c r="K34" s="479">
        <v>0</v>
      </c>
      <c r="L34" s="479">
        <v>2</v>
      </c>
      <c r="M34" s="479">
        <v>0</v>
      </c>
      <c r="N34" s="479">
        <v>1</v>
      </c>
      <c r="O34" s="479">
        <v>0</v>
      </c>
      <c r="P34" s="479">
        <v>0</v>
      </c>
      <c r="Q34" s="479"/>
      <c r="R34" s="481"/>
      <c r="S34" s="481"/>
      <c r="T34" s="481"/>
      <c r="U34" s="481"/>
      <c r="V34" s="481"/>
      <c r="W34" s="481"/>
      <c r="X34" s="481"/>
      <c r="Y34" s="478" t="s">
        <v>599</v>
      </c>
      <c r="Z34" s="478">
        <v>10</v>
      </c>
      <c r="AA34" s="478">
        <v>30</v>
      </c>
      <c r="AB34" s="478">
        <v>60</v>
      </c>
      <c r="AC34" s="482"/>
      <c r="AD34" s="478" t="s">
        <v>5089</v>
      </c>
      <c r="AE34" s="478"/>
      <c r="AF34" s="478"/>
      <c r="AG34" s="478" t="s">
        <v>5092</v>
      </c>
      <c r="AH34" s="478"/>
      <c r="AI34" s="485" t="s">
        <v>5098</v>
      </c>
      <c r="AJ34" s="486" t="str">
        <f t="shared" si="1"/>
        <v>Darkvision, Fey Ancestry, Trance, Elf Weapon Training, Fey Step, Keen Senses</v>
      </c>
      <c r="AK34" s="478" t="s">
        <v>14</v>
      </c>
      <c r="AL34" s="478" t="s">
        <v>570</v>
      </c>
      <c r="AM34" s="478" t="s">
        <v>571</v>
      </c>
      <c r="AN34" s="483" t="s">
        <v>2197</v>
      </c>
      <c r="AO34" s="478" t="s">
        <v>2985</v>
      </c>
      <c r="AP34" s="478" t="s">
        <v>2206</v>
      </c>
      <c r="AQ34" s="478" t="s">
        <v>49</v>
      </c>
      <c r="AR34" s="478"/>
      <c r="AS34" s="478"/>
      <c r="AT34" s="486" t="str">
        <f t="shared" si="2"/>
        <v>Longsword, Shortsword, Shortbow, Longbow, Perception</v>
      </c>
      <c r="AU34" s="478" t="s">
        <v>50</v>
      </c>
      <c r="AV34" s="478" t="s">
        <v>51</v>
      </c>
      <c r="AW34" s="478" t="s">
        <v>52</v>
      </c>
      <c r="AX34" s="478" t="s">
        <v>53</v>
      </c>
      <c r="AY34" s="478"/>
      <c r="AZ34" s="478"/>
      <c r="BA34" s="478"/>
      <c r="BB34" s="478" t="str">
        <f t="shared" si="4"/>
        <v/>
      </c>
      <c r="BC34" s="478"/>
      <c r="BD34" s="478"/>
      <c r="BE34" s="478"/>
      <c r="BF34" s="478"/>
      <c r="BG34" s="486" t="str">
        <f t="shared" si="3"/>
        <v>Common, Elvish</v>
      </c>
      <c r="BH34" s="478" t="s">
        <v>43</v>
      </c>
      <c r="BI34" s="478" t="s">
        <v>54</v>
      </c>
      <c r="BJ34" s="478"/>
    </row>
    <row r="35" spans="1:62" x14ac:dyDescent="0.2">
      <c r="A35" s="478">
        <v>34</v>
      </c>
      <c r="B35" s="478" t="s">
        <v>2994</v>
      </c>
      <c r="C35" s="487">
        <f>IF(COUNTIF($B$2:B35,B35)=1,1+COUNTIF($C$2:C34,"&gt;0"),0)</f>
        <v>14</v>
      </c>
      <c r="D35" s="487">
        <f>IF(Race=B35,1+COUNTIF($D$2:D34,"&gt;0"),0)</f>
        <v>0</v>
      </c>
      <c r="E35" s="478" t="s">
        <v>2994</v>
      </c>
      <c r="F35" s="478" t="s">
        <v>6957</v>
      </c>
      <c r="G35" s="478" t="s">
        <v>4804</v>
      </c>
      <c r="H35" s="478"/>
      <c r="I35" s="478"/>
      <c r="J35" s="652" t="str">
        <f t="shared" si="0"/>
        <v>Dexterity: +2, Wisdom: +1</v>
      </c>
      <c r="K35" s="479">
        <v>0</v>
      </c>
      <c r="L35" s="479">
        <v>2</v>
      </c>
      <c r="M35" s="479">
        <v>0</v>
      </c>
      <c r="N35" s="479">
        <v>0</v>
      </c>
      <c r="O35" s="479" t="s">
        <v>4264</v>
      </c>
      <c r="P35" s="479">
        <v>0</v>
      </c>
      <c r="Q35" s="479"/>
      <c r="R35" s="481"/>
      <c r="S35" s="481"/>
      <c r="T35" s="481"/>
      <c r="U35" s="481"/>
      <c r="V35" s="481"/>
      <c r="W35" s="481"/>
      <c r="X35" s="481"/>
      <c r="Y35" s="478" t="s">
        <v>599</v>
      </c>
      <c r="Z35" s="478">
        <v>10</v>
      </c>
      <c r="AA35" s="478">
        <v>25</v>
      </c>
      <c r="AB35" s="482"/>
      <c r="AC35" s="482"/>
      <c r="AD35" s="478"/>
      <c r="AE35" s="478"/>
      <c r="AF35" s="478"/>
      <c r="AG35" s="478"/>
      <c r="AH35" s="478"/>
      <c r="AI35" s="478"/>
      <c r="AJ35" s="486" t="str">
        <f t="shared" si="1"/>
        <v>Dive attack, Flight, Talons</v>
      </c>
      <c r="AK35" s="478" t="s">
        <v>3009</v>
      </c>
      <c r="AL35" s="478" t="s">
        <v>4265</v>
      </c>
      <c r="AM35" s="478" t="s">
        <v>4266</v>
      </c>
      <c r="AN35" s="478"/>
      <c r="AO35" s="478"/>
      <c r="AP35" s="478"/>
      <c r="AQ35" s="478"/>
      <c r="AR35" s="478"/>
      <c r="AS35" s="478"/>
      <c r="AT35" s="486" t="str">
        <f t="shared" si="2"/>
        <v/>
      </c>
      <c r="AU35" s="478"/>
      <c r="AV35" s="478"/>
      <c r="AW35" s="478"/>
      <c r="AX35" s="478"/>
      <c r="AY35" s="478"/>
      <c r="AZ35" s="478"/>
      <c r="BA35" s="478"/>
      <c r="BB35" s="478" t="str">
        <f t="shared" si="4"/>
        <v/>
      </c>
      <c r="BC35" s="478"/>
      <c r="BD35" s="478"/>
      <c r="BE35" s="478"/>
      <c r="BF35" s="478"/>
      <c r="BG35" s="486" t="str">
        <f t="shared" si="3"/>
        <v>Common, Aaracocra, Auran</v>
      </c>
      <c r="BH35" s="478" t="s">
        <v>43</v>
      </c>
      <c r="BI35" s="478" t="s">
        <v>4267</v>
      </c>
      <c r="BJ35" s="478" t="s">
        <v>3014</v>
      </c>
    </row>
    <row r="36" spans="1:62" x14ac:dyDescent="0.2">
      <c r="A36" s="478">
        <v>35</v>
      </c>
      <c r="B36" s="478" t="s">
        <v>2995</v>
      </c>
      <c r="C36" s="487">
        <f>IF(COUNTIF($B$2:B36,B36)=1,1+COUNTIF($C$2:C35,"&gt;0"),0)</f>
        <v>15</v>
      </c>
      <c r="D36" s="487">
        <f>IF(Race=B36,1+COUNTIF($D$2:D35,"&gt;0"),0)</f>
        <v>0</v>
      </c>
      <c r="E36" s="478" t="s">
        <v>2995</v>
      </c>
      <c r="F36" s="478" t="s">
        <v>6960</v>
      </c>
      <c r="G36" s="478"/>
      <c r="H36" s="478"/>
      <c r="I36" s="478"/>
      <c r="J36" s="652" t="str">
        <f t="shared" si="0"/>
        <v>Intelligence: -2, Charisma: -2</v>
      </c>
      <c r="K36" s="479">
        <v>0</v>
      </c>
      <c r="L36" s="479">
        <v>0</v>
      </c>
      <c r="M36" s="479">
        <v>0</v>
      </c>
      <c r="N36" s="480">
        <v>-2</v>
      </c>
      <c r="O36" s="479">
        <v>0</v>
      </c>
      <c r="P36" s="480">
        <v>-2</v>
      </c>
      <c r="Q36" s="480"/>
      <c r="R36" s="481"/>
      <c r="S36" s="481"/>
      <c r="T36" s="481"/>
      <c r="U36" s="481"/>
      <c r="V36" s="481"/>
      <c r="W36" s="481"/>
      <c r="X36" s="481"/>
      <c r="Y36" s="478" t="s">
        <v>599</v>
      </c>
      <c r="Z36" s="478">
        <v>10</v>
      </c>
      <c r="AA36" s="478">
        <v>20</v>
      </c>
      <c r="AB36" s="482"/>
      <c r="AC36" s="482"/>
      <c r="AD36" s="478"/>
      <c r="AE36" s="478"/>
      <c r="AF36" s="478"/>
      <c r="AG36" s="478"/>
      <c r="AH36" s="478"/>
      <c r="AI36" s="478"/>
      <c r="AJ36" s="486" t="str">
        <f t="shared" si="1"/>
        <v>Amphibious, Speak with Frogs and Toads, Swamp Camouflage, Standing Leap</v>
      </c>
      <c r="AK36" s="478" t="s">
        <v>3010</v>
      </c>
      <c r="AL36" s="478" t="s">
        <v>3011</v>
      </c>
      <c r="AM36" s="478" t="s">
        <v>3012</v>
      </c>
      <c r="AN36" s="478" t="s">
        <v>3013</v>
      </c>
      <c r="AO36" s="478"/>
      <c r="AP36" s="478"/>
      <c r="AQ36" s="478"/>
      <c r="AR36" s="478"/>
      <c r="AS36" s="478"/>
      <c r="AT36" s="486" t="str">
        <f t="shared" si="2"/>
        <v/>
      </c>
      <c r="AU36" s="478"/>
      <c r="AV36" s="478"/>
      <c r="AW36" s="478"/>
      <c r="AX36" s="478"/>
      <c r="AY36" s="478"/>
      <c r="AZ36" s="478"/>
      <c r="BA36" s="478"/>
      <c r="BB36" s="478" t="str">
        <f t="shared" si="4"/>
        <v/>
      </c>
      <c r="BC36" s="478"/>
      <c r="BD36" s="478"/>
      <c r="BE36" s="478"/>
      <c r="BF36" s="478"/>
      <c r="BG36" s="486" t="str">
        <f t="shared" si="3"/>
        <v>Bullywug</v>
      </c>
      <c r="BH36" s="478" t="s">
        <v>2995</v>
      </c>
      <c r="BI36" s="478"/>
      <c r="BJ36" s="478"/>
    </row>
    <row r="37" spans="1:62" x14ac:dyDescent="0.2">
      <c r="A37" s="478">
        <v>36</v>
      </c>
      <c r="B37" s="478" t="s">
        <v>2996</v>
      </c>
      <c r="C37" s="487">
        <f>IF(COUNTIF($B$2:B37,B37)=1,1+COUNTIF($C$2:C36,"&gt;0"),0)</f>
        <v>16</v>
      </c>
      <c r="D37" s="487">
        <f>IF(Race=B37,1+COUNTIF($D$2:D36,"&gt;0"),0)</f>
        <v>0</v>
      </c>
      <c r="E37" s="478" t="s">
        <v>2996</v>
      </c>
      <c r="F37" s="478" t="s">
        <v>6960</v>
      </c>
      <c r="G37" s="478"/>
      <c r="H37" s="478"/>
      <c r="I37" s="478"/>
      <c r="J37" s="652" t="str">
        <f t="shared" si="0"/>
        <v>Strength: +2, Intelligence: -2</v>
      </c>
      <c r="K37" s="479">
        <v>2</v>
      </c>
      <c r="L37" s="479">
        <v>0</v>
      </c>
      <c r="M37" s="479">
        <v>0</v>
      </c>
      <c r="N37" s="480">
        <v>-2</v>
      </c>
      <c r="O37" s="479">
        <v>0</v>
      </c>
      <c r="P37" s="479">
        <v>0</v>
      </c>
      <c r="Q37" s="479"/>
      <c r="R37" s="481"/>
      <c r="S37" s="481"/>
      <c r="T37" s="481"/>
      <c r="U37" s="481"/>
      <c r="V37" s="481"/>
      <c r="W37" s="481"/>
      <c r="X37" s="481"/>
      <c r="Y37" s="478" t="s">
        <v>599</v>
      </c>
      <c r="Z37" s="478">
        <v>10</v>
      </c>
      <c r="AA37" s="478">
        <v>30</v>
      </c>
      <c r="AB37" s="478">
        <v>60</v>
      </c>
      <c r="AC37" s="482"/>
      <c r="AD37" s="478"/>
      <c r="AE37" s="478"/>
      <c r="AF37" s="478"/>
      <c r="AG37" s="478"/>
      <c r="AH37" s="478"/>
      <c r="AI37" s="478"/>
      <c r="AJ37" s="486" t="str">
        <f t="shared" si="1"/>
        <v>Rampage, Darkvision</v>
      </c>
      <c r="AK37" s="478" t="s">
        <v>3015</v>
      </c>
      <c r="AL37" s="478" t="s">
        <v>14</v>
      </c>
      <c r="AM37" s="478"/>
      <c r="AN37" s="478"/>
      <c r="AO37" s="478"/>
      <c r="AP37" s="478"/>
      <c r="AQ37" s="478"/>
      <c r="AR37" s="478"/>
      <c r="AS37" s="478"/>
      <c r="AT37" s="486" t="str">
        <f t="shared" si="2"/>
        <v/>
      </c>
      <c r="AU37" s="478"/>
      <c r="AV37" s="478"/>
      <c r="AW37" s="478"/>
      <c r="AX37" s="478"/>
      <c r="AY37" s="478"/>
      <c r="AZ37" s="478"/>
      <c r="BA37" s="478"/>
      <c r="BB37" s="478" t="str">
        <f t="shared" si="4"/>
        <v/>
      </c>
      <c r="BC37" s="478"/>
      <c r="BD37" s="478"/>
      <c r="BE37" s="478"/>
      <c r="BF37" s="478"/>
      <c r="BG37" s="486" t="str">
        <f t="shared" si="3"/>
        <v>Common</v>
      </c>
      <c r="BH37" s="478" t="s">
        <v>43</v>
      </c>
      <c r="BI37" s="478"/>
      <c r="BJ37" s="478"/>
    </row>
    <row r="38" spans="1:62" x14ac:dyDescent="0.2">
      <c r="A38" s="478">
        <v>37</v>
      </c>
      <c r="B38" s="478" t="s">
        <v>580</v>
      </c>
      <c r="C38" s="487">
        <f>IF(COUNTIF($B$2:B38,B38)=1,1+COUNTIF($C$2:C37,"&gt;0"),0)</f>
        <v>0</v>
      </c>
      <c r="D38" s="487">
        <f>IF(Race=B38,1+COUNTIF($D$2:D37,"&gt;0"),0)</f>
        <v>0</v>
      </c>
      <c r="E38" s="478" t="s">
        <v>2997</v>
      </c>
      <c r="F38" s="478" t="s">
        <v>6959</v>
      </c>
      <c r="G38" s="478" t="s">
        <v>6125</v>
      </c>
      <c r="H38" s="478"/>
      <c r="I38" s="478"/>
      <c r="J38" s="652" t="str">
        <f t="shared" si="0"/>
        <v>Dexterity: +1, Intelligence: +2</v>
      </c>
      <c r="K38" s="479">
        <v>0</v>
      </c>
      <c r="L38" s="479" t="s">
        <v>4264</v>
      </c>
      <c r="M38" s="479">
        <v>0</v>
      </c>
      <c r="N38" s="479" t="s">
        <v>3006</v>
      </c>
      <c r="O38" s="479">
        <v>0</v>
      </c>
      <c r="P38" s="479">
        <v>0</v>
      </c>
      <c r="Q38" s="479"/>
      <c r="R38" s="481"/>
      <c r="S38" s="481"/>
      <c r="T38" s="481"/>
      <c r="U38" s="481"/>
      <c r="V38" s="481"/>
      <c r="W38" s="481"/>
      <c r="X38" s="481"/>
      <c r="Y38" s="478" t="s">
        <v>600</v>
      </c>
      <c r="Z38" s="478">
        <v>10</v>
      </c>
      <c r="AA38" s="478">
        <v>25</v>
      </c>
      <c r="AB38" s="478">
        <v>120</v>
      </c>
      <c r="AC38" s="482"/>
      <c r="AD38" s="478" t="s">
        <v>5084</v>
      </c>
      <c r="AE38" s="478"/>
      <c r="AF38" s="478"/>
      <c r="AG38" s="478" t="s">
        <v>5085</v>
      </c>
      <c r="AH38" s="478" t="s">
        <v>6126</v>
      </c>
      <c r="AI38" s="485" t="s">
        <v>5102</v>
      </c>
      <c r="AJ38" s="486" t="str">
        <f t="shared" si="1"/>
        <v>Gnome Cunning, Innate Spellcasting (deep gnome), Stone Camouflage, Supreme Darkvision</v>
      </c>
      <c r="AK38" s="478" t="s">
        <v>2201</v>
      </c>
      <c r="AL38" s="478" t="s">
        <v>3016</v>
      </c>
      <c r="AM38" s="478" t="s">
        <v>3017</v>
      </c>
      <c r="AN38" s="478" t="s">
        <v>3322</v>
      </c>
      <c r="AO38" s="478"/>
      <c r="AP38" s="478"/>
      <c r="AQ38" s="478"/>
      <c r="AR38" s="478"/>
      <c r="AS38" s="478"/>
      <c r="AT38" s="486" t="str">
        <f t="shared" si="2"/>
        <v/>
      </c>
      <c r="AU38" s="478"/>
      <c r="AV38" s="478"/>
      <c r="AW38" s="478"/>
      <c r="AX38" s="478"/>
      <c r="AY38" s="478"/>
      <c r="AZ38" s="478"/>
      <c r="BA38" s="478"/>
      <c r="BB38" s="478" t="str">
        <f t="shared" si="4"/>
        <v/>
      </c>
      <c r="BC38" s="478"/>
      <c r="BD38" s="478"/>
      <c r="BE38" s="478"/>
      <c r="BF38" s="478"/>
      <c r="BG38" s="486" t="str">
        <f t="shared" si="3"/>
        <v>Common, Gnomish, Undercommon</v>
      </c>
      <c r="BH38" s="478" t="s">
        <v>43</v>
      </c>
      <c r="BI38" s="478" t="s">
        <v>1098</v>
      </c>
      <c r="BJ38" s="478" t="s">
        <v>1108</v>
      </c>
    </row>
    <row r="39" spans="1:62" x14ac:dyDescent="0.2">
      <c r="A39" s="478">
        <v>38</v>
      </c>
      <c r="B39" s="478" t="s">
        <v>2998</v>
      </c>
      <c r="C39" s="487">
        <f>IF(COUNTIF($B$2:B39,B39)=1,1+COUNTIF($C$2:C38,"&gt;0"),0)</f>
        <v>17</v>
      </c>
      <c r="D39" s="487">
        <f>IF(Race=B39,1+COUNTIF($D$2:D38,"&gt;0"),0)</f>
        <v>0</v>
      </c>
      <c r="E39" s="478" t="s">
        <v>2998</v>
      </c>
      <c r="F39" s="478" t="s">
        <v>6960</v>
      </c>
      <c r="G39" s="478"/>
      <c r="H39" s="478"/>
      <c r="I39" s="478"/>
      <c r="J39" s="652" t="str">
        <f t="shared" si="0"/>
        <v>Strength: +2, Charisma: -2</v>
      </c>
      <c r="K39" s="479">
        <v>2</v>
      </c>
      <c r="L39" s="479">
        <v>0</v>
      </c>
      <c r="M39" s="479">
        <v>0</v>
      </c>
      <c r="N39" s="479">
        <v>0</v>
      </c>
      <c r="O39" s="479">
        <v>0</v>
      </c>
      <c r="P39" s="480">
        <v>-2</v>
      </c>
      <c r="Q39" s="480"/>
      <c r="R39" s="481"/>
      <c r="S39" s="481"/>
      <c r="T39" s="481"/>
      <c r="U39" s="481"/>
      <c r="V39" s="481"/>
      <c r="W39" s="481"/>
      <c r="X39" s="481"/>
      <c r="Y39" s="478" t="s">
        <v>599</v>
      </c>
      <c r="Z39" s="478">
        <v>10</v>
      </c>
      <c r="AA39" s="478">
        <v>30</v>
      </c>
      <c r="AB39" s="478">
        <v>0</v>
      </c>
      <c r="AC39" s="478">
        <v>30</v>
      </c>
      <c r="AD39" s="478"/>
      <c r="AE39" s="478"/>
      <c r="AF39" s="478"/>
      <c r="AG39" s="478"/>
      <c r="AH39" s="478"/>
      <c r="AI39" s="478"/>
      <c r="AJ39" s="486" t="str">
        <f t="shared" si="1"/>
        <v>Blind Senses, Keen Hearing and Smell, Stone Camouflage</v>
      </c>
      <c r="AK39" s="478" t="s">
        <v>3019</v>
      </c>
      <c r="AL39" s="478" t="s">
        <v>3020</v>
      </c>
      <c r="AM39" s="478" t="s">
        <v>3017</v>
      </c>
      <c r="AN39" s="478"/>
      <c r="AO39" s="478"/>
      <c r="AP39" s="478"/>
      <c r="AQ39" s="478"/>
      <c r="AR39" s="478"/>
      <c r="AS39" s="478"/>
      <c r="AT39" s="486" t="str">
        <f t="shared" si="2"/>
        <v/>
      </c>
      <c r="AU39" s="478"/>
      <c r="AV39" s="478"/>
      <c r="AW39" s="478"/>
      <c r="AX39" s="478"/>
      <c r="AY39" s="478"/>
      <c r="AZ39" s="478"/>
      <c r="BA39" s="478"/>
      <c r="BB39" s="478" t="str">
        <f t="shared" si="4"/>
        <v/>
      </c>
      <c r="BC39" s="478"/>
      <c r="BD39" s="478"/>
      <c r="BE39" s="478"/>
      <c r="BF39" s="478"/>
      <c r="BG39" s="486" t="str">
        <f t="shared" si="3"/>
        <v>Undercommon</v>
      </c>
      <c r="BH39" s="478" t="s">
        <v>1108</v>
      </c>
      <c r="BI39" s="478"/>
      <c r="BJ39" s="478"/>
    </row>
    <row r="40" spans="1:62" x14ac:dyDescent="0.2">
      <c r="A40" s="478">
        <v>39</v>
      </c>
      <c r="B40" s="478" t="s">
        <v>2999</v>
      </c>
      <c r="C40" s="487">
        <f>IF(COUNTIF($B$2:B40,B40)=1,1+COUNTIF($C$2:C39,"&gt;0"),0)</f>
        <v>18</v>
      </c>
      <c r="D40" s="487">
        <f>IF(Race=B40,1+COUNTIF($D$2:D39,"&gt;0"),0)</f>
        <v>0</v>
      </c>
      <c r="E40" s="478" t="s">
        <v>2999</v>
      </c>
      <c r="F40" s="478" t="s">
        <v>6960</v>
      </c>
      <c r="G40" s="478"/>
      <c r="H40" s="478"/>
      <c r="I40" s="478"/>
      <c r="J40" s="652" t="str">
        <f t="shared" si="0"/>
        <v/>
      </c>
      <c r="K40" s="479">
        <v>0</v>
      </c>
      <c r="L40" s="479">
        <v>0</v>
      </c>
      <c r="M40" s="479">
        <v>0</v>
      </c>
      <c r="N40" s="479">
        <v>0</v>
      </c>
      <c r="O40" s="479">
        <v>0</v>
      </c>
      <c r="P40" s="479">
        <v>0</v>
      </c>
      <c r="Q40" s="479"/>
      <c r="R40" s="481"/>
      <c r="S40" s="481"/>
      <c r="T40" s="481"/>
      <c r="U40" s="481"/>
      <c r="V40" s="481"/>
      <c r="W40" s="481"/>
      <c r="X40" s="481"/>
      <c r="Y40" s="478" t="s">
        <v>599</v>
      </c>
      <c r="Z40" s="478">
        <v>10</v>
      </c>
      <c r="AA40" s="478">
        <v>30</v>
      </c>
      <c r="AB40" s="478">
        <v>60</v>
      </c>
      <c r="AC40" s="482"/>
      <c r="AD40" s="478"/>
      <c r="AE40" s="478"/>
      <c r="AF40" s="478"/>
      <c r="AG40" s="478"/>
      <c r="AH40" s="478"/>
      <c r="AI40" s="478"/>
      <c r="AJ40" s="486" t="str">
        <f t="shared" si="1"/>
        <v>Martial Advantage, Darkvision</v>
      </c>
      <c r="AK40" s="478" t="s">
        <v>3021</v>
      </c>
      <c r="AL40" s="478" t="s">
        <v>14</v>
      </c>
      <c r="AM40" s="478"/>
      <c r="AN40" s="478"/>
      <c r="AO40" s="478"/>
      <c r="AP40" s="478"/>
      <c r="AQ40" s="478"/>
      <c r="AR40" s="478"/>
      <c r="AS40" s="478"/>
      <c r="AT40" s="486" t="str">
        <f t="shared" si="2"/>
        <v/>
      </c>
      <c r="AU40" s="478"/>
      <c r="AV40" s="478"/>
      <c r="AW40" s="478"/>
      <c r="AX40" s="478"/>
      <c r="AY40" s="478"/>
      <c r="AZ40" s="478"/>
      <c r="BA40" s="478"/>
      <c r="BB40" s="478" t="str">
        <f t="shared" si="4"/>
        <v/>
      </c>
      <c r="BC40" s="478"/>
      <c r="BD40" s="478"/>
      <c r="BE40" s="478"/>
      <c r="BF40" s="478"/>
      <c r="BG40" s="486" t="str">
        <f t="shared" si="3"/>
        <v>Common, Goblin</v>
      </c>
      <c r="BH40" s="478" t="s">
        <v>43</v>
      </c>
      <c r="BI40" s="478" t="s">
        <v>1099</v>
      </c>
      <c r="BJ40" s="478"/>
    </row>
    <row r="41" spans="1:62" x14ac:dyDescent="0.2">
      <c r="A41" s="478">
        <v>40</v>
      </c>
      <c r="B41" s="478" t="s">
        <v>3000</v>
      </c>
      <c r="C41" s="487">
        <f>IF(COUNTIF($B$2:B41,B41)=1,1+COUNTIF($C$2:C40,"&gt;0"),0)</f>
        <v>19</v>
      </c>
      <c r="D41" s="487">
        <f>IF(Race=B41,1+COUNTIF($D$2:D40,"&gt;0"),0)</f>
        <v>0</v>
      </c>
      <c r="E41" s="478" t="s">
        <v>3000</v>
      </c>
      <c r="F41" s="478" t="s">
        <v>6960</v>
      </c>
      <c r="G41" s="478"/>
      <c r="H41" s="478"/>
      <c r="I41" s="478"/>
      <c r="J41" s="652" t="str">
        <f t="shared" si="0"/>
        <v>Dexterity: +2</v>
      </c>
      <c r="K41" s="479">
        <v>0</v>
      </c>
      <c r="L41" s="479">
        <v>2</v>
      </c>
      <c r="M41" s="479">
        <v>0</v>
      </c>
      <c r="N41" s="479">
        <v>0</v>
      </c>
      <c r="O41" s="479">
        <v>0</v>
      </c>
      <c r="P41" s="479">
        <v>0</v>
      </c>
      <c r="Q41" s="479"/>
      <c r="R41" s="481"/>
      <c r="S41" s="481"/>
      <c r="T41" s="481"/>
      <c r="U41" s="481"/>
      <c r="V41" s="481"/>
      <c r="W41" s="481"/>
      <c r="X41" s="481"/>
      <c r="Y41" s="478" t="s">
        <v>599</v>
      </c>
      <c r="Z41" s="478">
        <v>10</v>
      </c>
      <c r="AA41" s="478">
        <v>30</v>
      </c>
      <c r="AB41" s="482"/>
      <c r="AC41" s="482"/>
      <c r="AD41" s="478"/>
      <c r="AE41" s="478"/>
      <c r="AF41" s="478"/>
      <c r="AG41" s="478"/>
      <c r="AH41" s="478"/>
      <c r="AI41" s="478"/>
      <c r="AJ41" s="486" t="str">
        <f t="shared" si="1"/>
        <v>Ambusher, Mimicry</v>
      </c>
      <c r="AK41" s="478" t="s">
        <v>3022</v>
      </c>
      <c r="AL41" s="478" t="s">
        <v>3023</v>
      </c>
      <c r="AM41" s="478"/>
      <c r="AN41" s="478"/>
      <c r="AO41" s="478"/>
      <c r="AP41" s="478"/>
      <c r="AQ41" s="478"/>
      <c r="AR41" s="478"/>
      <c r="AS41" s="478"/>
      <c r="AT41" s="486" t="str">
        <f t="shared" si="2"/>
        <v/>
      </c>
      <c r="AU41" s="478"/>
      <c r="AV41" s="478"/>
      <c r="AW41" s="478"/>
      <c r="AX41" s="478"/>
      <c r="AY41" s="478"/>
      <c r="AZ41" s="478"/>
      <c r="BA41" s="478"/>
      <c r="BB41" s="478" t="str">
        <f t="shared" si="4"/>
        <v/>
      </c>
      <c r="BC41" s="478"/>
      <c r="BD41" s="478"/>
      <c r="BE41" s="478"/>
      <c r="BF41" s="478"/>
      <c r="BG41" s="486" t="str">
        <f t="shared" si="3"/>
        <v>Auran, Common</v>
      </c>
      <c r="BH41" s="478" t="s">
        <v>3014</v>
      </c>
      <c r="BI41" s="478" t="s">
        <v>43</v>
      </c>
      <c r="BJ41" s="478"/>
    </row>
    <row r="42" spans="1:62" x14ac:dyDescent="0.2">
      <c r="A42" s="478">
        <v>41</v>
      </c>
      <c r="B42" s="478" t="s">
        <v>3001</v>
      </c>
      <c r="C42" s="487">
        <f>IF(COUNTIF($B$2:B42,B42)=1,1+COUNTIF($C$2:C41,"&gt;0"),0)</f>
        <v>20</v>
      </c>
      <c r="D42" s="487">
        <f>IF(Race=B42,1+COUNTIF($D$2:D41,"&gt;0"),0)</f>
        <v>0</v>
      </c>
      <c r="E42" s="478" t="s">
        <v>3001</v>
      </c>
      <c r="F42" s="478" t="s">
        <v>6960</v>
      </c>
      <c r="G42" s="478"/>
      <c r="H42" s="478"/>
      <c r="I42" s="478"/>
      <c r="J42" s="652" t="str">
        <f t="shared" si="0"/>
        <v>Strength: -4, Dexterity: +2</v>
      </c>
      <c r="K42" s="479" t="s">
        <v>3007</v>
      </c>
      <c r="L42" s="479" t="s">
        <v>3006</v>
      </c>
      <c r="M42" s="479">
        <v>0</v>
      </c>
      <c r="N42" s="479">
        <v>0</v>
      </c>
      <c r="O42" s="479">
        <v>0</v>
      </c>
      <c r="P42" s="479">
        <v>0</v>
      </c>
      <c r="Q42" s="479"/>
      <c r="R42" s="481"/>
      <c r="S42" s="481"/>
      <c r="T42" s="481"/>
      <c r="U42" s="481"/>
      <c r="V42" s="481"/>
      <c r="W42" s="481"/>
      <c r="X42" s="481"/>
      <c r="Y42" s="478" t="s">
        <v>600</v>
      </c>
      <c r="Z42" s="478">
        <v>10</v>
      </c>
      <c r="AA42" s="478">
        <v>30</v>
      </c>
      <c r="AB42" s="478">
        <v>60</v>
      </c>
      <c r="AC42" s="482"/>
      <c r="AD42" s="478"/>
      <c r="AE42" s="478"/>
      <c r="AF42" s="478"/>
      <c r="AG42" s="478"/>
      <c r="AH42" s="478"/>
      <c r="AI42" s="478"/>
      <c r="AJ42" s="486" t="str">
        <f t="shared" si="1"/>
        <v>Pack Tactics, Sunlight Sensitivity</v>
      </c>
      <c r="AK42" s="478" t="s">
        <v>3024</v>
      </c>
      <c r="AL42" s="478" t="s">
        <v>2967</v>
      </c>
      <c r="AM42" s="478"/>
      <c r="AN42" s="478"/>
      <c r="AO42" s="478"/>
      <c r="AP42" s="478"/>
      <c r="AQ42" s="478"/>
      <c r="AR42" s="478"/>
      <c r="AS42" s="478"/>
      <c r="AT42" s="486" t="str">
        <f t="shared" si="2"/>
        <v/>
      </c>
      <c r="AU42" s="478"/>
      <c r="AV42" s="478"/>
      <c r="AW42" s="478"/>
      <c r="AX42" s="478"/>
      <c r="AY42" s="478"/>
      <c r="AZ42" s="478"/>
      <c r="BA42" s="478"/>
      <c r="BB42" s="478" t="str">
        <f t="shared" si="4"/>
        <v/>
      </c>
      <c r="BC42" s="478"/>
      <c r="BD42" s="478"/>
      <c r="BE42" s="478"/>
      <c r="BF42" s="478"/>
      <c r="BG42" s="486" t="str">
        <f t="shared" si="3"/>
        <v>Common, Draconic</v>
      </c>
      <c r="BH42" s="478" t="s">
        <v>43</v>
      </c>
      <c r="BI42" s="478" t="s">
        <v>1103</v>
      </c>
      <c r="BJ42" s="478"/>
    </row>
    <row r="43" spans="1:62" x14ac:dyDescent="0.2">
      <c r="A43" s="478">
        <v>42</v>
      </c>
      <c r="B43" s="478" t="s">
        <v>3002</v>
      </c>
      <c r="C43" s="487">
        <f>IF(COUNTIF($B$2:B43,B43)=1,1+COUNTIF($C$2:C42,"&gt;0"),0)</f>
        <v>21</v>
      </c>
      <c r="D43" s="487">
        <f>IF(Race=B43,1+COUNTIF($D$2:D42,"&gt;0"),0)</f>
        <v>0</v>
      </c>
      <c r="E43" s="478" t="s">
        <v>3002</v>
      </c>
      <c r="F43" s="478" t="s">
        <v>6960</v>
      </c>
      <c r="G43" s="478"/>
      <c r="H43" s="478"/>
      <c r="I43" s="478"/>
      <c r="J43" s="652" t="str">
        <f t="shared" si="0"/>
        <v/>
      </c>
      <c r="K43" s="479">
        <v>0</v>
      </c>
      <c r="L43" s="479">
        <v>0</v>
      </c>
      <c r="M43" s="479">
        <v>0</v>
      </c>
      <c r="N43" s="479">
        <v>0</v>
      </c>
      <c r="O43" s="479">
        <v>0</v>
      </c>
      <c r="P43" s="479">
        <v>0</v>
      </c>
      <c r="Q43" s="479"/>
      <c r="R43" s="481"/>
      <c r="S43" s="481"/>
      <c r="T43" s="481"/>
      <c r="U43" s="481"/>
      <c r="V43" s="481"/>
      <c r="W43" s="481"/>
      <c r="X43" s="481"/>
      <c r="Y43" s="478" t="s">
        <v>599</v>
      </c>
      <c r="Z43" s="478">
        <v>10</v>
      </c>
      <c r="AA43" s="478">
        <v>30</v>
      </c>
      <c r="AB43" s="482"/>
      <c r="AC43" s="482"/>
      <c r="AD43" s="478"/>
      <c r="AE43" s="478"/>
      <c r="AF43" s="478"/>
      <c r="AG43" s="478"/>
      <c r="AH43" s="478"/>
      <c r="AI43" s="478"/>
      <c r="AJ43" s="486" t="str">
        <f t="shared" si="1"/>
        <v>Amphibious, Otherworldly Perception, Slippery, Sunlight Sensitivity</v>
      </c>
      <c r="AK43" s="478" t="s">
        <v>3010</v>
      </c>
      <c r="AL43" s="478" t="s">
        <v>3025</v>
      </c>
      <c r="AM43" s="478" t="s">
        <v>3026</v>
      </c>
      <c r="AN43" s="478" t="s">
        <v>2967</v>
      </c>
      <c r="AO43" s="478"/>
      <c r="AP43" s="478"/>
      <c r="AQ43" s="478"/>
      <c r="AR43" s="478"/>
      <c r="AS43" s="478"/>
      <c r="AT43" s="486" t="str">
        <f t="shared" si="2"/>
        <v/>
      </c>
      <c r="AU43" s="478"/>
      <c r="AV43" s="478"/>
      <c r="AW43" s="478"/>
      <c r="AX43" s="478"/>
      <c r="AY43" s="478"/>
      <c r="AZ43" s="478"/>
      <c r="BA43" s="478"/>
      <c r="BB43" s="478" t="str">
        <f t="shared" si="4"/>
        <v/>
      </c>
      <c r="BC43" s="478"/>
      <c r="BD43" s="478"/>
      <c r="BE43" s="478"/>
      <c r="BF43" s="478"/>
      <c r="BG43" s="486" t="str">
        <f t="shared" si="3"/>
        <v>Undercommon</v>
      </c>
      <c r="BH43" s="478" t="s">
        <v>1108</v>
      </c>
      <c r="BI43" s="478"/>
      <c r="BJ43" s="478"/>
    </row>
    <row r="44" spans="1:62" x14ac:dyDescent="0.2">
      <c r="A44" s="478">
        <v>43</v>
      </c>
      <c r="B44" s="478" t="s">
        <v>3003</v>
      </c>
      <c r="C44" s="487">
        <f>IF(COUNTIF($B$2:B44,B44)=1,1+COUNTIF($C$2:C43,"&gt;0"),0)</f>
        <v>22</v>
      </c>
      <c r="D44" s="487">
        <f>IF(Race=B44,1+COUNTIF($D$2:D43,"&gt;0"),0)</f>
        <v>0</v>
      </c>
      <c r="E44" s="478" t="s">
        <v>3003</v>
      </c>
      <c r="F44" s="478" t="s">
        <v>6960</v>
      </c>
      <c r="G44" s="478"/>
      <c r="H44" s="478"/>
      <c r="I44" s="478"/>
      <c r="J44" s="652" t="str">
        <f t="shared" si="0"/>
        <v>Strength: +2, Intelligence: -2</v>
      </c>
      <c r="K44" s="479" t="s">
        <v>3006</v>
      </c>
      <c r="L44" s="479">
        <v>0</v>
      </c>
      <c r="M44" s="479">
        <v>0</v>
      </c>
      <c r="N44" s="479" t="s">
        <v>3005</v>
      </c>
      <c r="O44" s="479">
        <v>0</v>
      </c>
      <c r="P44" s="479">
        <v>0</v>
      </c>
      <c r="Q44" s="479"/>
      <c r="R44" s="481"/>
      <c r="S44" s="481"/>
      <c r="T44" s="481"/>
      <c r="U44" s="481"/>
      <c r="V44" s="481"/>
      <c r="W44" s="481"/>
      <c r="X44" s="481"/>
      <c r="Y44" s="478" t="s">
        <v>599</v>
      </c>
      <c r="Z44" s="478">
        <v>13</v>
      </c>
      <c r="AA44" s="478">
        <v>30</v>
      </c>
      <c r="AB44" s="482"/>
      <c r="AC44" s="482"/>
      <c r="AD44" s="478"/>
      <c r="AE44" s="478"/>
      <c r="AF44" s="478"/>
      <c r="AG44" s="478"/>
      <c r="AH44" s="478"/>
      <c r="AI44" s="478"/>
      <c r="AJ44" s="486" t="str">
        <f t="shared" si="1"/>
        <v>Hold Breath</v>
      </c>
      <c r="AK44" s="478" t="s">
        <v>3027</v>
      </c>
      <c r="AL44" s="478"/>
      <c r="AM44" s="478"/>
      <c r="AN44" s="478"/>
      <c r="AO44" s="478"/>
      <c r="AP44" s="478"/>
      <c r="AQ44" s="478"/>
      <c r="AR44" s="478"/>
      <c r="AS44" s="478"/>
      <c r="AT44" s="486" t="str">
        <f t="shared" si="2"/>
        <v/>
      </c>
      <c r="AU44" s="478"/>
      <c r="AV44" s="478"/>
      <c r="AW44" s="478"/>
      <c r="AX44" s="478"/>
      <c r="AY44" s="478"/>
      <c r="AZ44" s="478"/>
      <c r="BA44" s="478"/>
      <c r="BB44" s="478" t="str">
        <f t="shared" si="4"/>
        <v/>
      </c>
      <c r="BC44" s="478"/>
      <c r="BD44" s="478"/>
      <c r="BE44" s="478"/>
      <c r="BF44" s="478"/>
      <c r="BG44" s="486" t="str">
        <f t="shared" si="3"/>
        <v>Draconic</v>
      </c>
      <c r="BH44" s="478" t="s">
        <v>1103</v>
      </c>
      <c r="BI44" s="478"/>
      <c r="BJ44" s="478"/>
    </row>
    <row r="45" spans="1:62" x14ac:dyDescent="0.2">
      <c r="A45" s="478">
        <v>44</v>
      </c>
      <c r="B45" s="478" t="s">
        <v>3004</v>
      </c>
      <c r="C45" s="487">
        <f>IF(COUNTIF($B$2:B45,B45)=1,1+COUNTIF($C$2:C44,"&gt;0"),0)</f>
        <v>23</v>
      </c>
      <c r="D45" s="487">
        <f>IF(Race=B45,1+COUNTIF($D$2:D44,"&gt;0"),0)</f>
        <v>0</v>
      </c>
      <c r="E45" s="478" t="s">
        <v>3004</v>
      </c>
      <c r="F45" s="478" t="s">
        <v>6960</v>
      </c>
      <c r="G45" s="478"/>
      <c r="H45" s="478"/>
      <c r="I45" s="478"/>
      <c r="J45" s="652" t="str">
        <f t="shared" si="0"/>
        <v/>
      </c>
      <c r="K45" s="479">
        <v>0</v>
      </c>
      <c r="L45" s="479">
        <v>0</v>
      </c>
      <c r="M45" s="479">
        <v>0</v>
      </c>
      <c r="N45" s="479">
        <v>0</v>
      </c>
      <c r="O45" s="479">
        <v>0</v>
      </c>
      <c r="P45" s="479">
        <v>0</v>
      </c>
      <c r="Q45" s="479"/>
      <c r="R45" s="481"/>
      <c r="S45" s="481"/>
      <c r="T45" s="481"/>
      <c r="U45" s="481"/>
      <c r="V45" s="481"/>
      <c r="W45" s="481"/>
      <c r="X45" s="481"/>
      <c r="Y45" s="478" t="s">
        <v>599</v>
      </c>
      <c r="Z45" s="478">
        <v>10</v>
      </c>
      <c r="AA45" s="478">
        <v>10</v>
      </c>
      <c r="AB45" s="482"/>
      <c r="AC45" s="482"/>
      <c r="AD45" s="478"/>
      <c r="AE45" s="478"/>
      <c r="AF45" s="478"/>
      <c r="AG45" s="478"/>
      <c r="AH45" s="478"/>
      <c r="AI45" s="478"/>
      <c r="AJ45" s="486" t="str">
        <f t="shared" si="1"/>
        <v>Amphibious</v>
      </c>
      <c r="AK45" s="478" t="s">
        <v>3010</v>
      </c>
      <c r="AL45" s="478"/>
      <c r="AM45" s="478"/>
      <c r="AN45" s="478"/>
      <c r="AO45" s="478"/>
      <c r="AP45" s="478"/>
      <c r="AQ45" s="478"/>
      <c r="AR45" s="478"/>
      <c r="AS45" s="478"/>
      <c r="AT45" s="486" t="str">
        <f t="shared" si="2"/>
        <v/>
      </c>
      <c r="AU45" s="478"/>
      <c r="AV45" s="478"/>
      <c r="AW45" s="478"/>
      <c r="AX45" s="478"/>
      <c r="AY45" s="478"/>
      <c r="AZ45" s="478"/>
      <c r="BA45" s="478"/>
      <c r="BB45" s="478" t="str">
        <f t="shared" si="4"/>
        <v/>
      </c>
      <c r="BC45" s="478"/>
      <c r="BD45" s="478"/>
      <c r="BE45" s="478"/>
      <c r="BF45" s="478"/>
      <c r="BG45" s="486" t="str">
        <f t="shared" si="3"/>
        <v>Aquan, Common</v>
      </c>
      <c r="BH45" s="478" t="s">
        <v>3018</v>
      </c>
      <c r="BI45" s="478" t="s">
        <v>43</v>
      </c>
      <c r="BJ45" s="478"/>
    </row>
    <row r="46" spans="1:62" x14ac:dyDescent="0.2">
      <c r="A46" s="478">
        <v>45</v>
      </c>
      <c r="B46" s="478" t="s">
        <v>1100</v>
      </c>
      <c r="C46" s="487">
        <f>IF(COUNTIF($B$2:B46,B46)=1,1+COUNTIF($C$2:C45,"&gt;0"),0)</f>
        <v>24</v>
      </c>
      <c r="D46" s="487">
        <f>IF(Race=B46,1+COUNTIF($D$2:D45,"&gt;0"),0)</f>
        <v>0</v>
      </c>
      <c r="E46" s="478" t="s">
        <v>1100</v>
      </c>
      <c r="F46" s="478" t="s">
        <v>6960</v>
      </c>
      <c r="G46" s="478"/>
      <c r="H46" s="478"/>
      <c r="I46" s="478"/>
      <c r="J46" s="652" t="str">
        <f t="shared" si="0"/>
        <v>Strength: +2, Intelligence: -2</v>
      </c>
      <c r="K46" s="479">
        <v>2</v>
      </c>
      <c r="L46" s="479">
        <v>0</v>
      </c>
      <c r="M46" s="479">
        <v>0</v>
      </c>
      <c r="N46" s="480">
        <v>-2</v>
      </c>
      <c r="O46" s="479">
        <v>0</v>
      </c>
      <c r="P46" s="479">
        <v>0</v>
      </c>
      <c r="Q46" s="479"/>
      <c r="R46" s="481"/>
      <c r="S46" s="481"/>
      <c r="T46" s="481"/>
      <c r="U46" s="481"/>
      <c r="V46" s="481"/>
      <c r="W46" s="481"/>
      <c r="X46" s="481"/>
      <c r="Y46" s="478" t="s">
        <v>599</v>
      </c>
      <c r="Z46" s="478">
        <v>10</v>
      </c>
      <c r="AA46" s="478">
        <v>30</v>
      </c>
      <c r="AB46" s="478">
        <v>60</v>
      </c>
      <c r="AC46" s="482"/>
      <c r="AD46" s="478"/>
      <c r="AE46" s="478"/>
      <c r="AF46" s="478"/>
      <c r="AG46" s="478"/>
      <c r="AH46" s="478"/>
      <c r="AI46" s="478"/>
      <c r="AJ46" s="486" t="str">
        <f t="shared" si="1"/>
        <v>Aggressive, Darkvision</v>
      </c>
      <c r="AK46" s="478" t="s">
        <v>3028</v>
      </c>
      <c r="AL46" s="478" t="s">
        <v>14</v>
      </c>
      <c r="AM46" s="478"/>
      <c r="AN46" s="478"/>
      <c r="AO46" s="478"/>
      <c r="AP46" s="478"/>
      <c r="AQ46" s="478"/>
      <c r="AR46" s="478"/>
      <c r="AS46" s="478"/>
      <c r="AT46" s="486" t="str">
        <f t="shared" si="2"/>
        <v/>
      </c>
      <c r="AU46" s="478"/>
      <c r="AV46" s="478"/>
      <c r="AW46" s="478"/>
      <c r="AX46" s="478"/>
      <c r="AY46" s="478"/>
      <c r="AZ46" s="478"/>
      <c r="BA46" s="478"/>
      <c r="BB46" s="478" t="str">
        <f t="shared" si="4"/>
        <v/>
      </c>
      <c r="BC46" s="478"/>
      <c r="BD46" s="478"/>
      <c r="BE46" s="478"/>
      <c r="BF46" s="478"/>
      <c r="BG46" s="486" t="str">
        <f t="shared" si="3"/>
        <v>Common, Orcish</v>
      </c>
      <c r="BH46" s="478" t="s">
        <v>43</v>
      </c>
      <c r="BI46" s="478" t="s">
        <v>2776</v>
      </c>
      <c r="BJ46" s="478"/>
    </row>
    <row r="47" spans="1:62" x14ac:dyDescent="0.2">
      <c r="A47" s="478">
        <v>46</v>
      </c>
      <c r="B47" s="478" t="s">
        <v>1099</v>
      </c>
      <c r="C47" s="487">
        <f>IF(COUNTIF($B$2:B47,B47)=1,1+COUNTIF($C$2:C46,"&gt;0"),0)</f>
        <v>25</v>
      </c>
      <c r="D47" s="487">
        <f>IF(Race=B47,1+COUNTIF($D$2:D46,"&gt;0"),0)</f>
        <v>0</v>
      </c>
      <c r="E47" s="478" t="s">
        <v>1099</v>
      </c>
      <c r="F47" s="478" t="s">
        <v>6960</v>
      </c>
      <c r="G47" s="478"/>
      <c r="H47" s="478"/>
      <c r="I47" s="478"/>
      <c r="J47" s="652" t="str">
        <f t="shared" si="0"/>
        <v>Strength: -2, Dexterity: +2</v>
      </c>
      <c r="K47" s="480">
        <v>-2</v>
      </c>
      <c r="L47" s="479">
        <v>2</v>
      </c>
      <c r="M47" s="479">
        <v>0</v>
      </c>
      <c r="N47" s="479">
        <v>0</v>
      </c>
      <c r="O47" s="479">
        <v>0</v>
      </c>
      <c r="P47" s="479">
        <v>0</v>
      </c>
      <c r="Q47" s="479"/>
      <c r="R47" s="481"/>
      <c r="S47" s="481"/>
      <c r="T47" s="481"/>
      <c r="U47" s="481"/>
      <c r="V47" s="481"/>
      <c r="W47" s="481"/>
      <c r="X47" s="481"/>
      <c r="Y47" s="478" t="s">
        <v>600</v>
      </c>
      <c r="Z47" s="478">
        <v>10</v>
      </c>
      <c r="AA47" s="478">
        <v>30</v>
      </c>
      <c r="AB47" s="478">
        <v>60</v>
      </c>
      <c r="AC47" s="482"/>
      <c r="AD47" s="478"/>
      <c r="AE47" s="478"/>
      <c r="AF47" s="478"/>
      <c r="AG47" s="478"/>
      <c r="AH47" s="478"/>
      <c r="AI47" s="478"/>
      <c r="AJ47" s="486" t="str">
        <f t="shared" si="1"/>
        <v>Nimble Escape, Darkvision</v>
      </c>
      <c r="AK47" s="478" t="s">
        <v>3029</v>
      </c>
      <c r="AL47" s="478" t="s">
        <v>14</v>
      </c>
      <c r="AM47" s="478"/>
      <c r="AN47" s="478"/>
      <c r="AO47" s="478"/>
      <c r="AP47" s="478"/>
      <c r="AQ47" s="478"/>
      <c r="AR47" s="478"/>
      <c r="AS47" s="478"/>
      <c r="AT47" s="486" t="str">
        <f t="shared" si="2"/>
        <v/>
      </c>
      <c r="AU47" s="478"/>
      <c r="AV47" s="478"/>
      <c r="AW47" s="478"/>
      <c r="AX47" s="478"/>
      <c r="AY47" s="478"/>
      <c r="AZ47" s="478"/>
      <c r="BA47" s="478"/>
      <c r="BB47" s="478" t="str">
        <f t="shared" si="4"/>
        <v/>
      </c>
      <c r="BC47" s="478"/>
      <c r="BD47" s="478"/>
      <c r="BE47" s="478"/>
      <c r="BF47" s="478"/>
      <c r="BG47" s="486" t="str">
        <f t="shared" si="3"/>
        <v>Common, Goblin</v>
      </c>
      <c r="BH47" s="478" t="s">
        <v>43</v>
      </c>
      <c r="BI47" s="478" t="s">
        <v>1099</v>
      </c>
      <c r="BJ47" s="478"/>
    </row>
    <row r="48" spans="1:62" x14ac:dyDescent="0.2">
      <c r="A48" s="478">
        <v>47</v>
      </c>
      <c r="B48" s="478" t="s">
        <v>3008</v>
      </c>
      <c r="C48" s="487">
        <f>IF(COUNTIF($B$2:B48,B48)=1,1+COUNTIF($C$2:C47,"&gt;0"),0)</f>
        <v>26</v>
      </c>
      <c r="D48" s="487">
        <f>IF(Race=B48,1+COUNTIF($D$2:D47,"&gt;0"),0)</f>
        <v>0</v>
      </c>
      <c r="E48" s="478" t="s">
        <v>3008</v>
      </c>
      <c r="F48" s="478" t="s">
        <v>6960</v>
      </c>
      <c r="G48" s="478"/>
      <c r="H48" s="478"/>
      <c r="I48" s="478"/>
      <c r="J48" s="652" t="str">
        <f t="shared" si="0"/>
        <v>Strength: +2, Constitution: +2, Intelligence: -4, Charisma: -4</v>
      </c>
      <c r="K48" s="479">
        <v>2</v>
      </c>
      <c r="L48" s="479"/>
      <c r="M48" s="479">
        <v>2</v>
      </c>
      <c r="N48" s="479" t="s">
        <v>3007</v>
      </c>
      <c r="O48" s="479"/>
      <c r="P48" s="479" t="s">
        <v>3007</v>
      </c>
      <c r="Q48" s="479"/>
      <c r="R48" s="481"/>
      <c r="S48" s="481"/>
      <c r="T48" s="481"/>
      <c r="U48" s="481"/>
      <c r="V48" s="481"/>
      <c r="W48" s="481"/>
      <c r="X48" s="481"/>
      <c r="Y48" s="478" t="s">
        <v>599</v>
      </c>
      <c r="Z48" s="478">
        <v>11</v>
      </c>
      <c r="AA48" s="478">
        <v>30</v>
      </c>
      <c r="AB48" s="478">
        <v>60</v>
      </c>
      <c r="AC48" s="482"/>
      <c r="AD48" s="478"/>
      <c r="AE48" s="478"/>
      <c r="AF48" s="478"/>
      <c r="AG48" s="478"/>
      <c r="AH48" s="478"/>
      <c r="AI48" s="478"/>
      <c r="AJ48" s="486" t="str">
        <f t="shared" si="1"/>
        <v>Chameleon Skin, Stench, Sunlight Sensitivity, Darkvision</v>
      </c>
      <c r="AK48" s="478" t="s">
        <v>3030</v>
      </c>
      <c r="AL48" s="478" t="s">
        <v>3031</v>
      </c>
      <c r="AM48" s="478" t="s">
        <v>2967</v>
      </c>
      <c r="AN48" s="478" t="s">
        <v>14</v>
      </c>
      <c r="AO48" s="478"/>
      <c r="AP48" s="478"/>
      <c r="AQ48" s="478"/>
      <c r="AR48" s="478"/>
      <c r="AS48" s="478"/>
      <c r="AT48" s="486" t="str">
        <f t="shared" si="2"/>
        <v/>
      </c>
      <c r="AU48" s="478"/>
      <c r="AV48" s="478"/>
      <c r="AW48" s="478"/>
      <c r="AX48" s="478"/>
      <c r="AY48" s="478"/>
      <c r="AZ48" s="478"/>
      <c r="BA48" s="478"/>
      <c r="BB48" s="478" t="str">
        <f t="shared" si="4"/>
        <v/>
      </c>
      <c r="BC48" s="478"/>
      <c r="BD48" s="478"/>
      <c r="BE48" s="478"/>
      <c r="BF48" s="478"/>
      <c r="BG48" s="486" t="str">
        <f t="shared" si="3"/>
        <v>Troglodyte</v>
      </c>
      <c r="BH48" s="478" t="s">
        <v>3008</v>
      </c>
      <c r="BI48" s="478"/>
      <c r="BJ48" s="478"/>
    </row>
    <row r="49" spans="1:62" x14ac:dyDescent="0.2">
      <c r="A49" s="478">
        <v>48</v>
      </c>
      <c r="B49" s="478" t="s">
        <v>4259</v>
      </c>
      <c r="C49" s="487">
        <f>IF(COUNTIF($B$2:B49,B49)=1,1+COUNTIF($C$2:C48,"&gt;0"),0)</f>
        <v>27</v>
      </c>
      <c r="D49" s="487">
        <f>IF(Race=B49,1+COUNTIF($D$2:D48,"&gt;0"),0)</f>
        <v>0</v>
      </c>
      <c r="E49" s="478" t="s">
        <v>4260</v>
      </c>
      <c r="F49" s="478" t="s">
        <v>6957</v>
      </c>
      <c r="G49" s="478" t="s">
        <v>6127</v>
      </c>
      <c r="H49" s="478"/>
      <c r="I49" s="478"/>
      <c r="J49" s="652" t="str">
        <f t="shared" si="0"/>
        <v>Dexterity: +1, Constitution: +2</v>
      </c>
      <c r="K49" s="479"/>
      <c r="L49" s="479">
        <v>1</v>
      </c>
      <c r="M49" s="479">
        <v>2</v>
      </c>
      <c r="N49" s="479"/>
      <c r="O49" s="479"/>
      <c r="P49" s="479"/>
      <c r="Q49" s="479"/>
      <c r="R49" s="481"/>
      <c r="S49" s="481"/>
      <c r="T49" s="481"/>
      <c r="U49" s="481"/>
      <c r="V49" s="481"/>
      <c r="W49" s="481"/>
      <c r="X49" s="481"/>
      <c r="Y49" s="478" t="s">
        <v>599</v>
      </c>
      <c r="Z49" s="478">
        <v>10</v>
      </c>
      <c r="AA49" s="478">
        <v>30</v>
      </c>
      <c r="AB49" s="482"/>
      <c r="AC49" s="482"/>
      <c r="AD49" s="478"/>
      <c r="AE49" s="478"/>
      <c r="AF49" s="478"/>
      <c r="AG49" s="478"/>
      <c r="AH49" s="478"/>
      <c r="AI49" s="478"/>
      <c r="AJ49" s="486" t="str">
        <f t="shared" si="1"/>
        <v>Unending Breath, Mingle with the Wind</v>
      </c>
      <c r="AK49" s="478" t="s">
        <v>4268</v>
      </c>
      <c r="AL49" s="478" t="s">
        <v>4269</v>
      </c>
      <c r="AM49" s="478"/>
      <c r="AN49" s="478"/>
      <c r="AO49" s="478"/>
      <c r="AP49" s="478"/>
      <c r="AQ49" s="478"/>
      <c r="AR49" s="478"/>
      <c r="AS49" s="478"/>
      <c r="AT49" s="486" t="str">
        <f t="shared" si="2"/>
        <v/>
      </c>
      <c r="AU49" s="478"/>
      <c r="AV49" s="478"/>
      <c r="AW49" s="478"/>
      <c r="AX49" s="478"/>
      <c r="AY49" s="478"/>
      <c r="AZ49" s="478"/>
      <c r="BA49" s="478"/>
      <c r="BB49" s="478"/>
      <c r="BC49" s="478"/>
      <c r="BD49" s="478"/>
      <c r="BE49" s="478"/>
      <c r="BF49" s="478"/>
      <c r="BG49" s="486" t="str">
        <f t="shared" si="3"/>
        <v>Common, Primordial</v>
      </c>
      <c r="BH49" s="478" t="s">
        <v>43</v>
      </c>
      <c r="BI49" s="478" t="s">
        <v>1106</v>
      </c>
      <c r="BJ49" s="478"/>
    </row>
    <row r="50" spans="1:62" x14ac:dyDescent="0.2">
      <c r="A50" s="478">
        <v>49</v>
      </c>
      <c r="B50" s="478" t="s">
        <v>4259</v>
      </c>
      <c r="C50" s="487">
        <f>IF(COUNTIF($B$2:B50,B50)=1,1+COUNTIF($C$2:C49,"&gt;0"),0)</f>
        <v>0</v>
      </c>
      <c r="D50" s="487">
        <f>IF(Race=B50,1+COUNTIF($D$2:D49,"&gt;0"),0)</f>
        <v>0</v>
      </c>
      <c r="E50" s="478" t="s">
        <v>4261</v>
      </c>
      <c r="F50" s="478" t="s">
        <v>6957</v>
      </c>
      <c r="G50" s="478" t="s">
        <v>6128</v>
      </c>
      <c r="H50" s="478"/>
      <c r="I50" s="478"/>
      <c r="J50" s="652" t="str">
        <f t="shared" si="0"/>
        <v>Constitution: +2, Intelligence: +1</v>
      </c>
      <c r="K50" s="479"/>
      <c r="L50" s="479"/>
      <c r="M50" s="479">
        <v>2</v>
      </c>
      <c r="N50" s="479">
        <v>1</v>
      </c>
      <c r="O50" s="479"/>
      <c r="P50" s="479"/>
      <c r="Q50" s="479"/>
      <c r="R50" s="481"/>
      <c r="S50" s="481"/>
      <c r="T50" s="481"/>
      <c r="U50" s="481"/>
      <c r="V50" s="481"/>
      <c r="W50" s="481"/>
      <c r="X50" s="481"/>
      <c r="Y50" s="478" t="s">
        <v>599</v>
      </c>
      <c r="Z50" s="478">
        <v>10</v>
      </c>
      <c r="AA50" s="478">
        <v>30</v>
      </c>
      <c r="AB50" s="478">
        <v>60</v>
      </c>
      <c r="AC50" s="482"/>
      <c r="AD50" s="478"/>
      <c r="AE50" s="478"/>
      <c r="AF50" s="478"/>
      <c r="AG50" s="478"/>
      <c r="AH50" s="478"/>
      <c r="AI50" s="478"/>
      <c r="AJ50" s="486" t="str">
        <f t="shared" si="1"/>
        <v>Fire Resistance, Reach to the Blaze, Darkvision</v>
      </c>
      <c r="AK50" s="478" t="s">
        <v>4272</v>
      </c>
      <c r="AL50" s="478" t="s">
        <v>4273</v>
      </c>
      <c r="AM50" s="478" t="s">
        <v>14</v>
      </c>
      <c r="AN50" s="478"/>
      <c r="AO50" s="478"/>
      <c r="AP50" s="478"/>
      <c r="AQ50" s="478"/>
      <c r="AR50" s="478"/>
      <c r="AS50" s="478"/>
      <c r="AT50" s="486" t="str">
        <f t="shared" si="2"/>
        <v/>
      </c>
      <c r="AU50" s="478"/>
      <c r="AV50" s="478"/>
      <c r="AW50" s="478"/>
      <c r="AX50" s="478"/>
      <c r="AY50" s="478"/>
      <c r="AZ50" s="478"/>
      <c r="BA50" s="478"/>
      <c r="BB50" s="478"/>
      <c r="BC50" s="478"/>
      <c r="BD50" s="478"/>
      <c r="BE50" s="478"/>
      <c r="BF50" s="478"/>
      <c r="BG50" s="486" t="str">
        <f t="shared" si="3"/>
        <v>Common, Primordial</v>
      </c>
      <c r="BH50" s="478" t="s">
        <v>43</v>
      </c>
      <c r="BI50" s="478" t="s">
        <v>1106</v>
      </c>
      <c r="BJ50" s="478"/>
    </row>
    <row r="51" spans="1:62" x14ac:dyDescent="0.2">
      <c r="A51" s="478">
        <v>50</v>
      </c>
      <c r="B51" s="478" t="s">
        <v>4259</v>
      </c>
      <c r="C51" s="487">
        <f>IF(COUNTIF($B$2:B51,B51)=1,1+COUNTIF($C$2:C50,"&gt;0"),0)</f>
        <v>0</v>
      </c>
      <c r="D51" s="487">
        <f>IF(Race=B51,1+COUNTIF($D$2:D50,"&gt;0"),0)</f>
        <v>0</v>
      </c>
      <c r="E51" s="478" t="s">
        <v>4262</v>
      </c>
      <c r="F51" s="478" t="s">
        <v>6957</v>
      </c>
      <c r="G51" s="478" t="s">
        <v>6129</v>
      </c>
      <c r="H51" s="478"/>
      <c r="I51" s="478"/>
      <c r="J51" s="652" t="str">
        <f t="shared" si="0"/>
        <v>Strength: +1, Constitution: +2</v>
      </c>
      <c r="K51" s="479">
        <v>1</v>
      </c>
      <c r="L51" s="479"/>
      <c r="M51" s="479">
        <v>2</v>
      </c>
      <c r="N51" s="479"/>
      <c r="O51" s="479"/>
      <c r="P51" s="479"/>
      <c r="Q51" s="479"/>
      <c r="R51" s="481"/>
      <c r="S51" s="481"/>
      <c r="T51" s="481"/>
      <c r="U51" s="481"/>
      <c r="V51" s="481"/>
      <c r="W51" s="481"/>
      <c r="X51" s="481"/>
      <c r="Y51" s="478" t="s">
        <v>599</v>
      </c>
      <c r="Z51" s="478">
        <v>10</v>
      </c>
      <c r="AA51" s="478">
        <v>30</v>
      </c>
      <c r="AB51" s="482"/>
      <c r="AC51" s="482"/>
      <c r="AD51" s="478"/>
      <c r="AE51" s="478"/>
      <c r="AF51" s="478"/>
      <c r="AG51" s="478"/>
      <c r="AH51" s="478"/>
      <c r="AI51" s="478"/>
      <c r="AJ51" s="486" t="str">
        <f t="shared" si="1"/>
        <v>Earth Walk, Merge with Stone</v>
      </c>
      <c r="AK51" s="478" t="s">
        <v>4270</v>
      </c>
      <c r="AL51" s="478" t="s">
        <v>4271</v>
      </c>
      <c r="AM51" s="478"/>
      <c r="AN51" s="478"/>
      <c r="AO51" s="478"/>
      <c r="AP51" s="478"/>
      <c r="AQ51" s="478"/>
      <c r="AR51" s="478"/>
      <c r="AS51" s="478"/>
      <c r="AT51" s="486" t="str">
        <f t="shared" si="2"/>
        <v/>
      </c>
      <c r="AU51" s="478"/>
      <c r="AV51" s="478"/>
      <c r="AW51" s="478"/>
      <c r="AX51" s="478"/>
      <c r="AY51" s="478"/>
      <c r="AZ51" s="478"/>
      <c r="BA51" s="478"/>
      <c r="BB51" s="478"/>
      <c r="BC51" s="478"/>
      <c r="BD51" s="478"/>
      <c r="BE51" s="478"/>
      <c r="BF51" s="478"/>
      <c r="BG51" s="486" t="str">
        <f t="shared" si="3"/>
        <v>Common, Primordial</v>
      </c>
      <c r="BH51" s="478" t="s">
        <v>43</v>
      </c>
      <c r="BI51" s="478" t="s">
        <v>1106</v>
      </c>
      <c r="BJ51" s="478"/>
    </row>
    <row r="52" spans="1:62" x14ac:dyDescent="0.2">
      <c r="A52" s="478">
        <v>51</v>
      </c>
      <c r="B52" s="478" t="s">
        <v>4259</v>
      </c>
      <c r="C52" s="487">
        <f>IF(COUNTIF($B$2:B52,B52)=1,1+COUNTIF($C$2:C51,"&gt;0"),0)</f>
        <v>0</v>
      </c>
      <c r="D52" s="487">
        <f>IF(Race=B52,1+COUNTIF($D$2:D51,"&gt;0"),0)</f>
        <v>0</v>
      </c>
      <c r="E52" s="478" t="s">
        <v>4263</v>
      </c>
      <c r="F52" s="478" t="s">
        <v>6957</v>
      </c>
      <c r="G52" s="478" t="s">
        <v>6130</v>
      </c>
      <c r="H52" s="478"/>
      <c r="I52" s="478"/>
      <c r="J52" s="652" t="str">
        <f>SUBSTITUTE(IFERROR(LEFT(TRIM(IF(K52&lt;&gt;0,"Strength: +"&amp;K52&amp;", ","")&amp;" "&amp;IF(L52&lt;&gt;0,"Dexterity: +"&amp;L52&amp;", ","")&amp;" "&amp;IF(M52&lt;&gt;0,"Constitution: +"&amp;M52&amp;", ","")&amp;" "&amp;IF(N52&lt;&gt;0,"Intelligence: +"&amp;N52&amp;", ","")&amp;" "&amp;IF(O52&lt;&gt;0,"Wisdom: +"&amp;O52&amp;", ","")&amp;" "&amp;IF(P52&lt;&gt;0,"Charisma: +"&amp;P52&amp;", ","")),LEN(TRIM(IF(K52&lt;&gt;0,"Strength: +"&amp;K52&amp;", ","")&amp;" "&amp;IF(L52&lt;&gt;0,"Dexterity: +"&amp;L52&amp;", ","")&amp;" "&amp;IF(M52&lt;&gt;0,"Constitution: +"&amp;M52&amp;", ","")&amp;" "&amp;IF(N52&lt;&gt;0,"Intelligence: +"&amp;N52&amp;", ","")&amp;" "&amp;IF(O52&lt;&gt;0,"Wisdom: +"&amp;O52&amp;", ","")&amp;" "&amp;IF(P52&lt;&gt;0,"Charisma: +"&amp;P52&amp;", ","")))-1),""),"+-","-")</f>
        <v>Constitution: +2, Wisdom: +1</v>
      </c>
      <c r="K52" s="479"/>
      <c r="L52" s="479"/>
      <c r="M52" s="479">
        <v>2</v>
      </c>
      <c r="N52" s="479"/>
      <c r="O52" s="479">
        <v>1</v>
      </c>
      <c r="P52" s="479"/>
      <c r="Q52" s="479"/>
      <c r="R52" s="481"/>
      <c r="S52" s="481"/>
      <c r="T52" s="481"/>
      <c r="U52" s="481"/>
      <c r="V52" s="481"/>
      <c r="W52" s="481"/>
      <c r="X52" s="481"/>
      <c r="Y52" s="478" t="s">
        <v>599</v>
      </c>
      <c r="Z52" s="478">
        <v>10</v>
      </c>
      <c r="AA52" s="478">
        <v>30</v>
      </c>
      <c r="AB52" s="482"/>
      <c r="AC52" s="482"/>
      <c r="AD52" s="478"/>
      <c r="AE52" s="478"/>
      <c r="AF52" s="478"/>
      <c r="AG52" s="478"/>
      <c r="AH52" s="478"/>
      <c r="AI52" s="478"/>
      <c r="AJ52" s="486" t="str">
        <f t="shared" si="1"/>
        <v>Acid Resistance, Amphibious, Swim, Call to the Wave</v>
      </c>
      <c r="AK52" s="478" t="s">
        <v>4274</v>
      </c>
      <c r="AL52" s="478" t="s">
        <v>3010</v>
      </c>
      <c r="AM52" s="478" t="s">
        <v>4275</v>
      </c>
      <c r="AN52" s="478" t="s">
        <v>4276</v>
      </c>
      <c r="AO52" s="478"/>
      <c r="AP52" s="478"/>
      <c r="AQ52" s="478"/>
      <c r="AR52" s="478"/>
      <c r="AS52" s="478"/>
      <c r="AT52" s="486" t="str">
        <f t="shared" si="2"/>
        <v/>
      </c>
      <c r="AU52" s="478"/>
      <c r="AV52" s="478"/>
      <c r="AW52" s="478"/>
      <c r="AX52" s="478"/>
      <c r="AY52" s="478"/>
      <c r="AZ52" s="478"/>
      <c r="BA52" s="478"/>
      <c r="BB52" s="478"/>
      <c r="BC52" s="478"/>
      <c r="BD52" s="478"/>
      <c r="BE52" s="478"/>
      <c r="BF52" s="478"/>
      <c r="BG52" s="486" t="str">
        <f t="shared" si="3"/>
        <v>Common, Primordial</v>
      </c>
      <c r="BH52" s="478" t="s">
        <v>43</v>
      </c>
      <c r="BI52" s="478" t="s">
        <v>1106</v>
      </c>
      <c r="BJ52" s="478"/>
    </row>
    <row r="53" spans="1:62" x14ac:dyDescent="0.2">
      <c r="A53" s="478">
        <v>52</v>
      </c>
      <c r="B53" s="478" t="s">
        <v>4277</v>
      </c>
      <c r="C53" s="487">
        <f>IF(COUNTIF($B$2:B53,B53)=1,1+COUNTIF($C$2:C52,"&gt;0"),0)</f>
        <v>28</v>
      </c>
      <c r="D53" s="487">
        <f>IF(Race=B53,1+COUNTIF($D$2:D52,"&gt;0"),0)</f>
        <v>0</v>
      </c>
      <c r="E53" s="478" t="s">
        <v>4277</v>
      </c>
      <c r="F53" s="478" t="s">
        <v>6957</v>
      </c>
      <c r="G53" s="478" t="s">
        <v>6131</v>
      </c>
      <c r="H53" s="478"/>
      <c r="I53" s="478"/>
      <c r="J53" s="652" t="str">
        <f>SUBSTITUTE(IFERROR(LEFT(TRIM(IF(K53&lt;&gt;0,"Strength: +"&amp;K53&amp;", ","")&amp;" "&amp;IF(L53&lt;&gt;0,"Dexterity: +"&amp;L53&amp;", ","")&amp;" "&amp;IF(M53&lt;&gt;0,"Constitution: +"&amp;M53&amp;", ","")&amp;" "&amp;IF(N53&lt;&gt;0,"Intelligence: +"&amp;N53&amp;", ","")&amp;" "&amp;IF(O53&lt;&gt;0,"Wisdom: +"&amp;O53&amp;", ","")&amp;" "&amp;IF(P53&lt;&gt;0,"Charisma: +"&amp;P53&amp;", ","")),LEN(TRIM(IF(K53&lt;&gt;0,"Strength: +"&amp;K53&amp;", ","")&amp;" "&amp;IF(L53&lt;&gt;0,"Dexterity: +"&amp;L53&amp;", ","")&amp;" "&amp;IF(M53&lt;&gt;0,"Constitution: +"&amp;M53&amp;", ","")&amp;" "&amp;IF(N53&lt;&gt;0,"Intelligence: +"&amp;N53&amp;", ","")&amp;" "&amp;IF(O53&lt;&gt;0,"Wisdom: +"&amp;O53&amp;", ","")&amp;" "&amp;IF(P53&lt;&gt;0,"Charisma: +"&amp;P53&amp;", ","")))-1),""),"+-","-")</f>
        <v>Strength: +2, Constitution: +1</v>
      </c>
      <c r="K53" s="479">
        <v>2</v>
      </c>
      <c r="L53" s="479"/>
      <c r="M53" s="479">
        <v>1</v>
      </c>
      <c r="N53" s="479"/>
      <c r="O53" s="479"/>
      <c r="P53" s="479"/>
      <c r="Q53" s="479"/>
      <c r="R53" s="481"/>
      <c r="S53" s="481"/>
      <c r="T53" s="481"/>
      <c r="U53" s="481"/>
      <c r="V53" s="481"/>
      <c r="W53" s="481"/>
      <c r="X53" s="481"/>
      <c r="Y53" s="478" t="s">
        <v>599</v>
      </c>
      <c r="Z53" s="478">
        <v>10</v>
      </c>
      <c r="AA53" s="478">
        <v>30</v>
      </c>
      <c r="AB53" s="482"/>
      <c r="AC53" s="482"/>
      <c r="AD53" s="478" t="s">
        <v>6133</v>
      </c>
      <c r="AE53" s="478"/>
      <c r="AF53" s="478"/>
      <c r="AG53" s="478" t="s">
        <v>6134</v>
      </c>
      <c r="AH53" s="478" t="s">
        <v>6132</v>
      </c>
      <c r="AI53" s="478" t="s">
        <v>6135</v>
      </c>
      <c r="AJ53" s="486" t="str">
        <f t="shared" si="1"/>
        <v>Natural Athlete, Stone's Endurance, Powerful Build, Mountain Born</v>
      </c>
      <c r="AK53" s="478" t="s">
        <v>4278</v>
      </c>
      <c r="AL53" s="478" t="s">
        <v>4279</v>
      </c>
      <c r="AM53" s="478" t="s">
        <v>4280</v>
      </c>
      <c r="AN53" s="478" t="s">
        <v>4281</v>
      </c>
      <c r="AO53" s="478"/>
      <c r="AP53" s="478"/>
      <c r="AQ53" s="478" t="s">
        <v>86</v>
      </c>
      <c r="AR53" s="478"/>
      <c r="AS53" s="478"/>
      <c r="AT53" s="486" t="str">
        <f t="shared" si="2"/>
        <v>Athletics</v>
      </c>
      <c r="AU53" s="478"/>
      <c r="AV53" s="478"/>
      <c r="AW53" s="478"/>
      <c r="AX53" s="478"/>
      <c r="AY53" s="478"/>
      <c r="AZ53" s="478"/>
      <c r="BA53" s="478"/>
      <c r="BB53" s="478"/>
      <c r="BC53" s="478"/>
      <c r="BD53" s="478"/>
      <c r="BE53" s="478"/>
      <c r="BF53" s="478"/>
      <c r="BG53" s="486" t="str">
        <f t="shared" si="3"/>
        <v>Common, Giant</v>
      </c>
      <c r="BH53" s="478" t="s">
        <v>43</v>
      </c>
      <c r="BI53" s="478" t="s">
        <v>1097</v>
      </c>
      <c r="BJ53" s="478"/>
    </row>
    <row r="54" spans="1:62" x14ac:dyDescent="0.2">
      <c r="A54" s="478">
        <v>53</v>
      </c>
      <c r="B54" s="478" t="s">
        <v>582</v>
      </c>
      <c r="C54" s="487">
        <f>IF(COUNTIF($B$2:B54,B54)=1,1+COUNTIF($C$2:C53,"&gt;0"),0)</f>
        <v>0</v>
      </c>
      <c r="D54" s="487">
        <f>IF(Race=B54,1+COUNTIF($D$2:D53,"&gt;0"),0)</f>
        <v>0</v>
      </c>
      <c r="E54" s="478" t="s">
        <v>4731</v>
      </c>
      <c r="F54" s="483" t="s">
        <v>6952</v>
      </c>
      <c r="G54" s="478"/>
      <c r="H54" s="478"/>
      <c r="I54" s="478"/>
      <c r="J54" s="652" t="str">
        <f>SUBSTITUTE(IFERROR(LEFT(TRIM(IF(K54&lt;&gt;0,"Strength: +"&amp;K54&amp;", ","")&amp;" "&amp;IF(L54&lt;&gt;0,"Dexterity: +"&amp;L54&amp;", ","")&amp;" "&amp;IF(M54&lt;&gt;0,"Constitution: +"&amp;M54&amp;", ","")&amp;" "&amp;IF(N54&lt;&gt;0,"Intelligence: +"&amp;N54&amp;", ","")&amp;" "&amp;IF(O54&lt;&gt;0,"Wisdom: +"&amp;O54&amp;", ","")&amp;" "&amp;IF(P54&lt;&gt;0,"Charisma: +"&amp;P54&amp;", ","")),LEN(TRIM(IF(K54&lt;&gt;0,"Strength: +"&amp;K54&amp;", ","")&amp;" "&amp;IF(L54&lt;&gt;0,"Dexterity: +"&amp;L54&amp;", ","")&amp;" "&amp;IF(M54&lt;&gt;0,"Constitution: +"&amp;M54&amp;", ","")&amp;" "&amp;IF(N54&lt;&gt;0,"Intelligence: +"&amp;N54&amp;", ","")&amp;" "&amp;IF(O54&lt;&gt;0,"Wisdom: +"&amp;O54&amp;", ","")&amp;" "&amp;IF(P54&lt;&gt;0,"Charisma: +"&amp;P54&amp;", ","")))-1),""),"+-","-")</f>
        <v>Strength: +2, Charisma: +1</v>
      </c>
      <c r="K54" s="479">
        <v>2</v>
      </c>
      <c r="L54" s="479">
        <v>0</v>
      </c>
      <c r="M54" s="479">
        <v>0</v>
      </c>
      <c r="N54" s="479">
        <v>0</v>
      </c>
      <c r="O54" s="479">
        <v>0</v>
      </c>
      <c r="P54" s="479">
        <v>1</v>
      </c>
      <c r="Q54" s="479"/>
      <c r="R54" s="481"/>
      <c r="S54" s="481"/>
      <c r="T54" s="481"/>
      <c r="U54" s="481"/>
      <c r="V54" s="481"/>
      <c r="W54" s="481"/>
      <c r="X54" s="481"/>
      <c r="Y54" s="478" t="s">
        <v>599</v>
      </c>
      <c r="Z54" s="478">
        <v>10</v>
      </c>
      <c r="AA54" s="478">
        <v>30</v>
      </c>
      <c r="AB54" s="482"/>
      <c r="AC54" s="482"/>
      <c r="AD54" s="478" t="s">
        <v>5082</v>
      </c>
      <c r="AE54" s="478"/>
      <c r="AF54" s="478"/>
      <c r="AG54" s="478" t="s">
        <v>5083</v>
      </c>
      <c r="AH54" s="478" t="s">
        <v>6156</v>
      </c>
      <c r="AI54" s="485" t="s">
        <v>5101</v>
      </c>
      <c r="AJ54" s="486" t="str">
        <f>IFERROR(LEFT(IF(AK54="","",AK54&amp;", ")&amp;IF(AL54="","",AL54&amp;", ")&amp;IF(AM54="","",AM54&amp;", ")&amp;IF(AN54="","",AN54&amp;", ")&amp;IF(AO54="","",AO54&amp;", ")&amp;IF(AP54="","",AP54&amp;", "),LEN(IF(AK54="","",AK54&amp;", ")&amp;IF(AL54="","",AL54&amp;", ")&amp;IF(AM54="","",AM54&amp;", ")&amp;IF(AN54="","",AN54&amp;", ")&amp;IF(AO54="","",AO54&amp;", ")&amp;IF(AP54="","",AP54&amp;", "))-2),"")</f>
        <v>Draconic Ancestry, Breath Weapon, Acid Resistance</v>
      </c>
      <c r="AK54" s="478" t="s">
        <v>2214</v>
      </c>
      <c r="AL54" s="478" t="s">
        <v>2212</v>
      </c>
      <c r="AM54" s="478" t="s">
        <v>4274</v>
      </c>
      <c r="AN54" s="478"/>
      <c r="AO54" s="478"/>
      <c r="AP54" s="478"/>
      <c r="AQ54" s="478"/>
      <c r="AR54" s="478"/>
      <c r="AS54" s="478"/>
      <c r="AT54" s="486" t="str">
        <f>IFERROR(LEFT(IF(AU54="","",AU54&amp;", ")&amp;IF(AV54="","",AV54&amp;", ")&amp;IF(AW54="","",AW54&amp;", ")&amp;IF(AX54="","",AX54&amp;", ")&amp;IF(AY54="","",AY54&amp;", ")&amp;IF(AZ54="","",AZ54&amp;", ")&amp;IF(AQ54="","",AQ54&amp;", ")&amp;IF(AR54="","",AR54&amp;", "),LEN(IF(AU54="","",AU54&amp;", ")&amp;IF(AV54="","",AV54&amp;", ")&amp;IF(AW54="","",AW54&amp;", ")&amp;IF(AX54="","",AX54&amp;", ")&amp;IF(AY54="","",AY54&amp;", ")&amp;IF(AZ54="","",AZ54&amp;", ")&amp;IF(AQ54="","",AQ54&amp;", ")&amp;IF(AR54="","",AR54&amp;", "))-2),"")</f>
        <v/>
      </c>
      <c r="AU54" s="478"/>
      <c r="AV54" s="478"/>
      <c r="AW54" s="478"/>
      <c r="AX54" s="478"/>
      <c r="AY54" s="478"/>
      <c r="AZ54" s="478"/>
      <c r="BA54" s="478"/>
      <c r="BB54" s="478" t="str">
        <f>SUBSTITUTE(TRIM(IF(BC54="","",BC54&amp;", ")&amp;IF(BD54="","",BD54&amp;", ")&amp;IF(BE54="","",BE54&amp;", ")),", , ",", ")</f>
        <v/>
      </c>
      <c r="BC54" s="478"/>
      <c r="BD54" s="478"/>
      <c r="BE54" s="478"/>
      <c r="BF54" s="478"/>
      <c r="BG54" s="486" t="str">
        <f>IFERROR(LEFT(IF(BH54="","",BH54&amp;", ")&amp;IF(BI54="","",BI54&amp;", ")&amp;IF(BJ54="","",BJ54&amp;", ")&amp;IF(BK54="","",BK54&amp;", "),LEN(IF(BH54="","",BH54&amp;", ")&amp;IF(BI54="","",BI54&amp;", ")&amp;IF(BJ54="","",BJ54&amp;", "))-2),"")</f>
        <v>Common, Draconic</v>
      </c>
      <c r="BH54" s="478" t="s">
        <v>43</v>
      </c>
      <c r="BI54" s="478" t="s">
        <v>1103</v>
      </c>
      <c r="BJ54" s="478"/>
    </row>
    <row r="55" spans="1:62" x14ac:dyDescent="0.2">
      <c r="A55" s="478">
        <v>54</v>
      </c>
      <c r="B55" s="478" t="s">
        <v>582</v>
      </c>
      <c r="C55" s="487">
        <f>IF(COUNTIF($B$2:B55,B55)=1,1+COUNTIF($C$2:C54,"&gt;0"),0)</f>
        <v>0</v>
      </c>
      <c r="D55" s="487">
        <f>IF(Race=B55,1+COUNTIF($D$2:D54,"&gt;0"),0)</f>
        <v>0</v>
      </c>
      <c r="E55" s="478" t="s">
        <v>4732</v>
      </c>
      <c r="F55" s="483" t="s">
        <v>6952</v>
      </c>
      <c r="G55" s="478"/>
      <c r="H55" s="478"/>
      <c r="I55" s="478"/>
      <c r="J55" s="652" t="str">
        <f t="shared" ref="J55:J64" si="5">SUBSTITUTE(IFERROR(LEFT(TRIM(IF(K55&lt;&gt;0,"Strength: +"&amp;K55&amp;", ","")&amp;" "&amp;IF(L55&lt;&gt;0,"Dexterity: +"&amp;L55&amp;", ","")&amp;" "&amp;IF(M55&lt;&gt;0,"Constitution: +"&amp;M55&amp;", ","")&amp;" "&amp;IF(N55&lt;&gt;0,"Intelligence: +"&amp;N55&amp;", ","")&amp;" "&amp;IF(O55&lt;&gt;0,"Wisdom: +"&amp;O55&amp;", ","")&amp;" "&amp;IF(P55&lt;&gt;0,"Charisma: +"&amp;P55&amp;", ","")),LEN(TRIM(IF(K55&lt;&gt;0,"Strength: +"&amp;K55&amp;", ","")&amp;" "&amp;IF(L55&lt;&gt;0,"Dexterity: +"&amp;L55&amp;", ","")&amp;" "&amp;IF(M55&lt;&gt;0,"Constitution: +"&amp;M55&amp;", ","")&amp;" "&amp;IF(N55&lt;&gt;0,"Intelligence: +"&amp;N55&amp;", ","")&amp;" "&amp;IF(O55&lt;&gt;0,"Wisdom: +"&amp;O55&amp;", ","")&amp;" "&amp;IF(P55&lt;&gt;0,"Charisma: +"&amp;P55&amp;", ","")))-1),""),"+-","-")</f>
        <v>Strength: +2, Charisma: +1</v>
      </c>
      <c r="K55" s="479">
        <v>2</v>
      </c>
      <c r="L55" s="479">
        <v>0</v>
      </c>
      <c r="M55" s="479">
        <v>0</v>
      </c>
      <c r="N55" s="479">
        <v>0</v>
      </c>
      <c r="O55" s="479">
        <v>0</v>
      </c>
      <c r="P55" s="479">
        <v>1</v>
      </c>
      <c r="Q55" s="479"/>
      <c r="R55" s="481"/>
      <c r="S55" s="481"/>
      <c r="T55" s="481"/>
      <c r="U55" s="481"/>
      <c r="V55" s="481"/>
      <c r="W55" s="481"/>
      <c r="X55" s="481"/>
      <c r="Y55" s="478" t="s">
        <v>599</v>
      </c>
      <c r="Z55" s="478">
        <v>10</v>
      </c>
      <c r="AA55" s="478">
        <v>30</v>
      </c>
      <c r="AB55" s="482"/>
      <c r="AC55" s="482"/>
      <c r="AD55" s="478" t="s">
        <v>5082</v>
      </c>
      <c r="AE55" s="478"/>
      <c r="AF55" s="478"/>
      <c r="AG55" s="478" t="s">
        <v>5083</v>
      </c>
      <c r="AH55" s="478" t="s">
        <v>6156</v>
      </c>
      <c r="AI55" s="485" t="s">
        <v>5101</v>
      </c>
      <c r="AJ55" s="486" t="str">
        <f t="shared" ref="AJ55:AJ101" si="6">IFERROR(LEFT(IF(AK55="","",AK55&amp;", ")&amp;IF(AL55="","",AL55&amp;", ")&amp;IF(AM55="","",AM55&amp;", ")&amp;IF(AN55="","",AN55&amp;", ")&amp;IF(AO55="","",AO55&amp;", ")&amp;IF(AP55="","",AP55&amp;", "),LEN(IF(AK55="","",AK55&amp;", ")&amp;IF(AL55="","",AL55&amp;", ")&amp;IF(AM55="","",AM55&amp;", ")&amp;IF(AN55="","",AN55&amp;", ")&amp;IF(AO55="","",AO55&amp;", ")&amp;IF(AP55="","",AP55&amp;", "))-2),"")</f>
        <v>Draconic Ancestry, Breath Weapon, Lightning Resistance</v>
      </c>
      <c r="AK55" s="478" t="s">
        <v>2214</v>
      </c>
      <c r="AL55" s="478" t="s">
        <v>2212</v>
      </c>
      <c r="AM55" s="478" t="s">
        <v>4990</v>
      </c>
      <c r="AN55" s="478"/>
      <c r="AO55" s="478"/>
      <c r="AP55" s="478"/>
      <c r="AQ55" s="478"/>
      <c r="AR55" s="478"/>
      <c r="AS55" s="478"/>
      <c r="AT55" s="486" t="str">
        <f t="shared" ref="AT55:AT101" si="7">IFERROR(LEFT(IF(AU55="","",AU55&amp;", ")&amp;IF(AV55="","",AV55&amp;", ")&amp;IF(AW55="","",AW55&amp;", ")&amp;IF(AX55="","",AX55&amp;", ")&amp;IF(AY55="","",AY55&amp;", ")&amp;IF(AZ55="","",AZ55&amp;", ")&amp;IF(AQ55="","",AQ55&amp;", ")&amp;IF(AR55="","",AR55&amp;", "),LEN(IF(AU55="","",AU55&amp;", ")&amp;IF(AV55="","",AV55&amp;", ")&amp;IF(AW55="","",AW55&amp;", ")&amp;IF(AX55="","",AX55&amp;", ")&amp;IF(AY55="","",AY55&amp;", ")&amp;IF(AZ55="","",AZ55&amp;", ")&amp;IF(AQ55="","",AQ55&amp;", ")&amp;IF(AR55="","",AR55&amp;", "))-2),"")</f>
        <v/>
      </c>
      <c r="AU55" s="478"/>
      <c r="AV55" s="478"/>
      <c r="AW55" s="478"/>
      <c r="AX55" s="478"/>
      <c r="AY55" s="478"/>
      <c r="AZ55" s="478"/>
      <c r="BA55" s="478"/>
      <c r="BB55" s="478" t="str">
        <f t="shared" ref="BB55:BB62" si="8">SUBSTITUTE(TRIM(IF(BC55="","",BC55&amp;", ")&amp;IF(BD55="","",BD55&amp;", ")&amp;IF(BE55="","",BE55&amp;", ")),", , ",", ")</f>
        <v/>
      </c>
      <c r="BC55" s="478"/>
      <c r="BD55" s="478"/>
      <c r="BE55" s="478"/>
      <c r="BF55" s="478"/>
      <c r="BG55" s="486" t="str">
        <f t="shared" ref="BG55:BG62" si="9">IFERROR(LEFT(IF(BH55="","",BH55&amp;", ")&amp;IF(BI55="","",BI55&amp;", ")&amp;IF(BJ55="","",BJ55&amp;", ")&amp;IF(BK55="","",BK55&amp;", "),LEN(IF(BH55="","",BH55&amp;", ")&amp;IF(BI55="","",BI55&amp;", ")&amp;IF(BJ55="","",BJ55&amp;", "))-2),"")</f>
        <v>Common, Draconic</v>
      </c>
      <c r="BH55" s="478" t="s">
        <v>43</v>
      </c>
      <c r="BI55" s="478" t="s">
        <v>1103</v>
      </c>
      <c r="BJ55" s="478"/>
    </row>
    <row r="56" spans="1:62" x14ac:dyDescent="0.2">
      <c r="A56" s="478">
        <v>55</v>
      </c>
      <c r="B56" s="478" t="s">
        <v>582</v>
      </c>
      <c r="C56" s="487">
        <f>IF(COUNTIF($B$2:B56,B56)=1,1+COUNTIF($C$2:C55,"&gt;0"),0)</f>
        <v>0</v>
      </c>
      <c r="D56" s="487">
        <f>IF(Race=B56,1+COUNTIF($D$2:D55,"&gt;0"),0)</f>
        <v>0</v>
      </c>
      <c r="E56" s="478" t="s">
        <v>4733</v>
      </c>
      <c r="F56" s="483" t="s">
        <v>6952</v>
      </c>
      <c r="G56" s="478"/>
      <c r="H56" s="478"/>
      <c r="I56" s="478"/>
      <c r="J56" s="652" t="str">
        <f t="shared" si="5"/>
        <v>Strength: +2, Charisma: +1</v>
      </c>
      <c r="K56" s="479">
        <v>2</v>
      </c>
      <c r="L56" s="479">
        <v>0</v>
      </c>
      <c r="M56" s="479">
        <v>0</v>
      </c>
      <c r="N56" s="479">
        <v>0</v>
      </c>
      <c r="O56" s="479">
        <v>0</v>
      </c>
      <c r="P56" s="479">
        <v>1</v>
      </c>
      <c r="Q56" s="479"/>
      <c r="R56" s="481"/>
      <c r="S56" s="481"/>
      <c r="T56" s="481"/>
      <c r="U56" s="481"/>
      <c r="V56" s="481"/>
      <c r="W56" s="481"/>
      <c r="X56" s="481"/>
      <c r="Y56" s="478" t="s">
        <v>599</v>
      </c>
      <c r="Z56" s="478">
        <v>10</v>
      </c>
      <c r="AA56" s="478">
        <v>30</v>
      </c>
      <c r="AB56" s="482"/>
      <c r="AC56" s="482"/>
      <c r="AD56" s="478" t="s">
        <v>5082</v>
      </c>
      <c r="AE56" s="478"/>
      <c r="AF56" s="478"/>
      <c r="AG56" s="478" t="s">
        <v>5083</v>
      </c>
      <c r="AH56" s="478" t="s">
        <v>6156</v>
      </c>
      <c r="AI56" s="485" t="s">
        <v>5101</v>
      </c>
      <c r="AJ56" s="486" t="str">
        <f t="shared" si="6"/>
        <v>Draconic Ancestry, Breath Weapon, Fire Resistance</v>
      </c>
      <c r="AK56" s="478" t="s">
        <v>2214</v>
      </c>
      <c r="AL56" s="478" t="s">
        <v>2212</v>
      </c>
      <c r="AM56" s="478" t="s">
        <v>4272</v>
      </c>
      <c r="AN56" s="478"/>
      <c r="AO56" s="478"/>
      <c r="AP56" s="478"/>
      <c r="AQ56" s="478"/>
      <c r="AR56" s="478"/>
      <c r="AS56" s="478"/>
      <c r="AT56" s="486" t="str">
        <f t="shared" si="7"/>
        <v/>
      </c>
      <c r="AU56" s="478"/>
      <c r="AV56" s="478"/>
      <c r="AW56" s="478"/>
      <c r="AX56" s="478"/>
      <c r="AY56" s="478"/>
      <c r="AZ56" s="478"/>
      <c r="BA56" s="478"/>
      <c r="BB56" s="478" t="str">
        <f t="shared" si="8"/>
        <v/>
      </c>
      <c r="BC56" s="478"/>
      <c r="BD56" s="478"/>
      <c r="BE56" s="478"/>
      <c r="BF56" s="478"/>
      <c r="BG56" s="486" t="str">
        <f t="shared" si="9"/>
        <v>Common, Draconic</v>
      </c>
      <c r="BH56" s="478" t="s">
        <v>43</v>
      </c>
      <c r="BI56" s="478" t="s">
        <v>1103</v>
      </c>
      <c r="BJ56" s="478"/>
    </row>
    <row r="57" spans="1:62" x14ac:dyDescent="0.2">
      <c r="A57" s="478">
        <v>56</v>
      </c>
      <c r="B57" s="478" t="s">
        <v>582</v>
      </c>
      <c r="C57" s="487">
        <f>IF(COUNTIF($B$2:B57,B57)=1,1+COUNTIF($C$2:C56,"&gt;0"),0)</f>
        <v>0</v>
      </c>
      <c r="D57" s="487">
        <f>IF(Race=B57,1+COUNTIF($D$2:D56,"&gt;0"),0)</f>
        <v>0</v>
      </c>
      <c r="E57" s="478" t="s">
        <v>4734</v>
      </c>
      <c r="F57" s="483" t="s">
        <v>6952</v>
      </c>
      <c r="G57" s="478"/>
      <c r="H57" s="478"/>
      <c r="I57" s="478"/>
      <c r="J57" s="652" t="str">
        <f t="shared" si="5"/>
        <v>Strength: +2, Charisma: +1</v>
      </c>
      <c r="K57" s="479">
        <v>2</v>
      </c>
      <c r="L57" s="479">
        <v>0</v>
      </c>
      <c r="M57" s="479">
        <v>0</v>
      </c>
      <c r="N57" s="479">
        <v>0</v>
      </c>
      <c r="O57" s="479">
        <v>0</v>
      </c>
      <c r="P57" s="479">
        <v>1</v>
      </c>
      <c r="Q57" s="479"/>
      <c r="R57" s="481"/>
      <c r="S57" s="481"/>
      <c r="T57" s="481"/>
      <c r="U57" s="481"/>
      <c r="V57" s="481"/>
      <c r="W57" s="481"/>
      <c r="X57" s="481"/>
      <c r="Y57" s="478" t="s">
        <v>599</v>
      </c>
      <c r="Z57" s="478">
        <v>10</v>
      </c>
      <c r="AA57" s="478">
        <v>30</v>
      </c>
      <c r="AB57" s="482"/>
      <c r="AC57" s="482"/>
      <c r="AD57" s="478" t="s">
        <v>5082</v>
      </c>
      <c r="AE57" s="478"/>
      <c r="AF57" s="478"/>
      <c r="AG57" s="478" t="s">
        <v>5083</v>
      </c>
      <c r="AH57" s="478" t="s">
        <v>6156</v>
      </c>
      <c r="AI57" s="485" t="s">
        <v>5101</v>
      </c>
      <c r="AJ57" s="486" t="str">
        <f t="shared" si="6"/>
        <v>Draconic Ancestry, Breath Weapon, Lightning Resistance</v>
      </c>
      <c r="AK57" s="478" t="s">
        <v>2214</v>
      </c>
      <c r="AL57" s="478" t="s">
        <v>2212</v>
      </c>
      <c r="AM57" s="478" t="s">
        <v>4990</v>
      </c>
      <c r="AN57" s="478"/>
      <c r="AO57" s="478"/>
      <c r="AP57" s="478"/>
      <c r="AQ57" s="478"/>
      <c r="AR57" s="478"/>
      <c r="AS57" s="478"/>
      <c r="AT57" s="486" t="str">
        <f t="shared" si="7"/>
        <v/>
      </c>
      <c r="AU57" s="478"/>
      <c r="AV57" s="478"/>
      <c r="AW57" s="478"/>
      <c r="AX57" s="478"/>
      <c r="AY57" s="478"/>
      <c r="AZ57" s="478"/>
      <c r="BA57" s="478"/>
      <c r="BB57" s="478" t="str">
        <f t="shared" si="8"/>
        <v/>
      </c>
      <c r="BC57" s="478"/>
      <c r="BD57" s="478"/>
      <c r="BE57" s="478"/>
      <c r="BF57" s="478"/>
      <c r="BG57" s="486" t="str">
        <f t="shared" si="9"/>
        <v>Common, Draconic</v>
      </c>
      <c r="BH57" s="478" t="s">
        <v>43</v>
      </c>
      <c r="BI57" s="478" t="s">
        <v>1103</v>
      </c>
      <c r="BJ57" s="478"/>
    </row>
    <row r="58" spans="1:62" x14ac:dyDescent="0.2">
      <c r="A58" s="478">
        <v>57</v>
      </c>
      <c r="B58" s="478" t="s">
        <v>582</v>
      </c>
      <c r="C58" s="487">
        <f>IF(COUNTIF($B$2:B58,B58)=1,1+COUNTIF($C$2:C57,"&gt;0"),0)</f>
        <v>0</v>
      </c>
      <c r="D58" s="487">
        <f>IF(Race=B58,1+COUNTIF($D$2:D57,"&gt;0"),0)</f>
        <v>0</v>
      </c>
      <c r="E58" s="478" t="s">
        <v>2976</v>
      </c>
      <c r="F58" s="483" t="s">
        <v>6952</v>
      </c>
      <c r="G58" s="478"/>
      <c r="H58" s="478"/>
      <c r="I58" s="478"/>
      <c r="J58" s="652" t="str">
        <f t="shared" si="5"/>
        <v>Strength: +2, Charisma: +1</v>
      </c>
      <c r="K58" s="479">
        <v>2</v>
      </c>
      <c r="L58" s="479">
        <v>0</v>
      </c>
      <c r="M58" s="479">
        <v>0</v>
      </c>
      <c r="N58" s="479">
        <v>0</v>
      </c>
      <c r="O58" s="479">
        <v>0</v>
      </c>
      <c r="P58" s="479">
        <v>1</v>
      </c>
      <c r="Q58" s="479"/>
      <c r="R58" s="481"/>
      <c r="S58" s="481"/>
      <c r="T58" s="481"/>
      <c r="U58" s="481"/>
      <c r="V58" s="481"/>
      <c r="W58" s="481"/>
      <c r="X58" s="481"/>
      <c r="Y58" s="478" t="s">
        <v>599</v>
      </c>
      <c r="Z58" s="478">
        <v>10</v>
      </c>
      <c r="AA58" s="478">
        <v>30</v>
      </c>
      <c r="AB58" s="482"/>
      <c r="AC58" s="482"/>
      <c r="AD58" s="478" t="s">
        <v>5082</v>
      </c>
      <c r="AE58" s="478"/>
      <c r="AF58" s="478"/>
      <c r="AG58" s="478" t="s">
        <v>5083</v>
      </c>
      <c r="AH58" s="478" t="s">
        <v>6156</v>
      </c>
      <c r="AI58" s="485" t="s">
        <v>5101</v>
      </c>
      <c r="AJ58" s="486" t="str">
        <f t="shared" si="6"/>
        <v>Draconic Ancestry, Breath Weapon, Acid Resistance</v>
      </c>
      <c r="AK58" s="478" t="s">
        <v>2214</v>
      </c>
      <c r="AL58" s="478" t="s">
        <v>2212</v>
      </c>
      <c r="AM58" s="478" t="s">
        <v>4274</v>
      </c>
      <c r="AN58" s="478"/>
      <c r="AO58" s="478"/>
      <c r="AP58" s="478"/>
      <c r="AQ58" s="478"/>
      <c r="AR58" s="478"/>
      <c r="AS58" s="478"/>
      <c r="AT58" s="486" t="str">
        <f t="shared" si="7"/>
        <v/>
      </c>
      <c r="AU58" s="478"/>
      <c r="AV58" s="478"/>
      <c r="AW58" s="478"/>
      <c r="AX58" s="478"/>
      <c r="AY58" s="478"/>
      <c r="AZ58" s="478"/>
      <c r="BA58" s="478"/>
      <c r="BB58" s="478" t="str">
        <f t="shared" si="8"/>
        <v/>
      </c>
      <c r="BC58" s="478"/>
      <c r="BD58" s="478"/>
      <c r="BE58" s="478"/>
      <c r="BF58" s="478"/>
      <c r="BG58" s="486" t="str">
        <f t="shared" si="9"/>
        <v>Common, Draconic</v>
      </c>
      <c r="BH58" s="478" t="s">
        <v>43</v>
      </c>
      <c r="BI58" s="478" t="s">
        <v>1103</v>
      </c>
      <c r="BJ58" s="478"/>
    </row>
    <row r="59" spans="1:62" x14ac:dyDescent="0.2">
      <c r="A59" s="478">
        <v>58</v>
      </c>
      <c r="B59" s="478" t="s">
        <v>582</v>
      </c>
      <c r="C59" s="487">
        <f>IF(COUNTIF($B$2:B59,B59)=1,1+COUNTIF($C$2:C58,"&gt;0"),0)</f>
        <v>0</v>
      </c>
      <c r="D59" s="487">
        <f>IF(Race=B59,1+COUNTIF($D$2:D58,"&gt;0"),0)</f>
        <v>0</v>
      </c>
      <c r="E59" s="478" t="s">
        <v>2978</v>
      </c>
      <c r="F59" s="483" t="s">
        <v>6952</v>
      </c>
      <c r="G59" s="478"/>
      <c r="H59" s="478"/>
      <c r="I59" s="478"/>
      <c r="J59" s="652" t="str">
        <f t="shared" si="5"/>
        <v>Strength: +2, Charisma: +1</v>
      </c>
      <c r="K59" s="479">
        <v>2</v>
      </c>
      <c r="L59" s="479">
        <v>0</v>
      </c>
      <c r="M59" s="479">
        <v>0</v>
      </c>
      <c r="N59" s="479">
        <v>0</v>
      </c>
      <c r="O59" s="479">
        <v>0</v>
      </c>
      <c r="P59" s="479">
        <v>1</v>
      </c>
      <c r="Q59" s="479"/>
      <c r="R59" s="481"/>
      <c r="S59" s="481"/>
      <c r="T59" s="481"/>
      <c r="U59" s="481"/>
      <c r="V59" s="481"/>
      <c r="W59" s="481"/>
      <c r="X59" s="481"/>
      <c r="Y59" s="478" t="s">
        <v>599</v>
      </c>
      <c r="Z59" s="478">
        <v>10</v>
      </c>
      <c r="AA59" s="478">
        <v>30</v>
      </c>
      <c r="AB59" s="482"/>
      <c r="AC59" s="482"/>
      <c r="AD59" s="478" t="s">
        <v>5082</v>
      </c>
      <c r="AE59" s="478"/>
      <c r="AF59" s="478"/>
      <c r="AG59" s="478" t="s">
        <v>5083</v>
      </c>
      <c r="AH59" s="478" t="s">
        <v>6156</v>
      </c>
      <c r="AI59" s="485" t="s">
        <v>5101</v>
      </c>
      <c r="AJ59" s="486" t="str">
        <f t="shared" si="6"/>
        <v>Draconic Ancestry, Breath Weapon, Fire Resistance</v>
      </c>
      <c r="AK59" s="478" t="s">
        <v>2214</v>
      </c>
      <c r="AL59" s="478" t="s">
        <v>2212</v>
      </c>
      <c r="AM59" s="478" t="s">
        <v>4272</v>
      </c>
      <c r="AN59" s="478"/>
      <c r="AO59" s="478"/>
      <c r="AP59" s="478"/>
      <c r="AQ59" s="478"/>
      <c r="AR59" s="478"/>
      <c r="AS59" s="478"/>
      <c r="AT59" s="486" t="str">
        <f t="shared" si="7"/>
        <v/>
      </c>
      <c r="AU59" s="478"/>
      <c r="AV59" s="478"/>
      <c r="AW59" s="478"/>
      <c r="AX59" s="478"/>
      <c r="AY59" s="478"/>
      <c r="AZ59" s="478"/>
      <c r="BA59" s="478"/>
      <c r="BB59" s="478" t="str">
        <f t="shared" si="8"/>
        <v/>
      </c>
      <c r="BC59" s="478"/>
      <c r="BD59" s="478"/>
      <c r="BE59" s="478"/>
      <c r="BF59" s="478"/>
      <c r="BG59" s="486" t="str">
        <f t="shared" si="9"/>
        <v>Common, Draconic</v>
      </c>
      <c r="BH59" s="478" t="s">
        <v>43</v>
      </c>
      <c r="BI59" s="478" t="s">
        <v>1103</v>
      </c>
      <c r="BJ59" s="478"/>
    </row>
    <row r="60" spans="1:62" x14ac:dyDescent="0.2">
      <c r="A60" s="478">
        <v>59</v>
      </c>
      <c r="B60" s="478" t="s">
        <v>582</v>
      </c>
      <c r="C60" s="487">
        <f>IF(COUNTIF($B$2:B60,B60)=1,1+COUNTIF($C$2:C59,"&gt;0"),0)</f>
        <v>0</v>
      </c>
      <c r="D60" s="487">
        <f>IF(Race=B60,1+COUNTIF($D$2:D59,"&gt;0"),0)</f>
        <v>0</v>
      </c>
      <c r="E60" s="478" t="s">
        <v>4735</v>
      </c>
      <c r="F60" s="483" t="s">
        <v>6952</v>
      </c>
      <c r="G60" s="478"/>
      <c r="H60" s="478"/>
      <c r="I60" s="478"/>
      <c r="J60" s="652" t="str">
        <f t="shared" si="5"/>
        <v>Strength: +2, Charisma: +1</v>
      </c>
      <c r="K60" s="479">
        <v>2</v>
      </c>
      <c r="L60" s="479">
        <v>0</v>
      </c>
      <c r="M60" s="479">
        <v>0</v>
      </c>
      <c r="N60" s="479">
        <v>0</v>
      </c>
      <c r="O60" s="479">
        <v>0</v>
      </c>
      <c r="P60" s="479">
        <v>1</v>
      </c>
      <c r="Q60" s="479"/>
      <c r="R60" s="481"/>
      <c r="S60" s="481"/>
      <c r="T60" s="481"/>
      <c r="U60" s="481"/>
      <c r="V60" s="481"/>
      <c r="W60" s="481"/>
      <c r="X60" s="481"/>
      <c r="Y60" s="478" t="s">
        <v>599</v>
      </c>
      <c r="Z60" s="478">
        <v>10</v>
      </c>
      <c r="AA60" s="478">
        <v>30</v>
      </c>
      <c r="AB60" s="482"/>
      <c r="AC60" s="482"/>
      <c r="AD60" s="478" t="s">
        <v>5082</v>
      </c>
      <c r="AE60" s="478"/>
      <c r="AF60" s="478"/>
      <c r="AG60" s="478" t="s">
        <v>5083</v>
      </c>
      <c r="AH60" s="478" t="s">
        <v>6156</v>
      </c>
      <c r="AI60" s="485" t="s">
        <v>5101</v>
      </c>
      <c r="AJ60" s="486" t="str">
        <f t="shared" si="6"/>
        <v>Draconic Ancestry, Breath Weapon, Fire Resistance</v>
      </c>
      <c r="AK60" s="478" t="s">
        <v>2214</v>
      </c>
      <c r="AL60" s="478" t="s">
        <v>2212</v>
      </c>
      <c r="AM60" s="478" t="s">
        <v>4272</v>
      </c>
      <c r="AN60" s="478"/>
      <c r="AO60" s="478"/>
      <c r="AP60" s="478"/>
      <c r="AQ60" s="478"/>
      <c r="AR60" s="478"/>
      <c r="AS60" s="478"/>
      <c r="AT60" s="486" t="str">
        <f t="shared" si="7"/>
        <v/>
      </c>
      <c r="AU60" s="478"/>
      <c r="AV60" s="478"/>
      <c r="AW60" s="478"/>
      <c r="AX60" s="478"/>
      <c r="AY60" s="478"/>
      <c r="AZ60" s="478"/>
      <c r="BA60" s="478"/>
      <c r="BB60" s="478" t="str">
        <f t="shared" si="8"/>
        <v/>
      </c>
      <c r="BC60" s="478"/>
      <c r="BD60" s="478"/>
      <c r="BE60" s="478"/>
      <c r="BF60" s="478"/>
      <c r="BG60" s="486" t="str">
        <f t="shared" si="9"/>
        <v>Common, Draconic</v>
      </c>
      <c r="BH60" s="478" t="s">
        <v>43</v>
      </c>
      <c r="BI60" s="478" t="s">
        <v>1103</v>
      </c>
      <c r="BJ60" s="478"/>
    </row>
    <row r="61" spans="1:62" x14ac:dyDescent="0.2">
      <c r="A61" s="478">
        <v>60</v>
      </c>
      <c r="B61" s="478" t="s">
        <v>582</v>
      </c>
      <c r="C61" s="487">
        <f>IF(COUNTIF($B$2:B61,B61)=1,1+COUNTIF($C$2:C60,"&gt;0"),0)</f>
        <v>0</v>
      </c>
      <c r="D61" s="487">
        <f>IF(Race=B61,1+COUNTIF($D$2:D60,"&gt;0"),0)</f>
        <v>0</v>
      </c>
      <c r="E61" s="478" t="s">
        <v>2977</v>
      </c>
      <c r="F61" s="483" t="s">
        <v>6952</v>
      </c>
      <c r="G61" s="478"/>
      <c r="H61" s="478"/>
      <c r="I61" s="478"/>
      <c r="J61" s="652" t="str">
        <f t="shared" si="5"/>
        <v>Strength: +2, Charisma: +1</v>
      </c>
      <c r="K61" s="479">
        <v>2</v>
      </c>
      <c r="L61" s="479">
        <v>0</v>
      </c>
      <c r="M61" s="479">
        <v>0</v>
      </c>
      <c r="N61" s="479">
        <v>0</v>
      </c>
      <c r="O61" s="479">
        <v>0</v>
      </c>
      <c r="P61" s="479">
        <v>1</v>
      </c>
      <c r="Q61" s="479"/>
      <c r="R61" s="481"/>
      <c r="S61" s="481"/>
      <c r="T61" s="481"/>
      <c r="U61" s="481"/>
      <c r="V61" s="481"/>
      <c r="W61" s="481"/>
      <c r="X61" s="481"/>
      <c r="Y61" s="478" t="s">
        <v>599</v>
      </c>
      <c r="Z61" s="478">
        <v>10</v>
      </c>
      <c r="AA61" s="478">
        <v>30</v>
      </c>
      <c r="AB61" s="482"/>
      <c r="AC61" s="482"/>
      <c r="AD61" s="478" t="s">
        <v>5082</v>
      </c>
      <c r="AE61" s="478"/>
      <c r="AF61" s="478"/>
      <c r="AG61" s="478" t="s">
        <v>5083</v>
      </c>
      <c r="AH61" s="478" t="s">
        <v>6156</v>
      </c>
      <c r="AI61" s="485" t="s">
        <v>5101</v>
      </c>
      <c r="AJ61" s="486" t="str">
        <f t="shared" si="6"/>
        <v>Draconic Ancestry, Breath Weapon, Cold Resistance</v>
      </c>
      <c r="AK61" s="478" t="s">
        <v>2214</v>
      </c>
      <c r="AL61" s="478" t="s">
        <v>2212</v>
      </c>
      <c r="AM61" s="478" t="s">
        <v>4992</v>
      </c>
      <c r="AN61" s="478"/>
      <c r="AO61" s="478"/>
      <c r="AP61" s="478"/>
      <c r="AQ61" s="478"/>
      <c r="AR61" s="478"/>
      <c r="AS61" s="478"/>
      <c r="AT61" s="486" t="str">
        <f t="shared" si="7"/>
        <v/>
      </c>
      <c r="AU61" s="478"/>
      <c r="AV61" s="478"/>
      <c r="AW61" s="478"/>
      <c r="AX61" s="478"/>
      <c r="AY61" s="478"/>
      <c r="AZ61" s="478"/>
      <c r="BA61" s="478"/>
      <c r="BB61" s="478" t="str">
        <f t="shared" si="8"/>
        <v/>
      </c>
      <c r="BC61" s="478"/>
      <c r="BD61" s="478"/>
      <c r="BE61" s="478"/>
      <c r="BF61" s="478"/>
      <c r="BG61" s="486" t="str">
        <f t="shared" si="9"/>
        <v>Common, Draconic</v>
      </c>
      <c r="BH61" s="478" t="s">
        <v>43</v>
      </c>
      <c r="BI61" s="478" t="s">
        <v>1103</v>
      </c>
      <c r="BJ61" s="478"/>
    </row>
    <row r="62" spans="1:62" x14ac:dyDescent="0.2">
      <c r="A62" s="478">
        <v>61</v>
      </c>
      <c r="B62" s="478" t="s">
        <v>582</v>
      </c>
      <c r="C62" s="487">
        <f>IF(COUNTIF($B$2:B62,B62)=1,1+COUNTIF($C$2:C61,"&gt;0"),0)</f>
        <v>0</v>
      </c>
      <c r="D62" s="487">
        <f>IF(Race=B62,1+COUNTIF($D$2:D61,"&gt;0"),0)</f>
        <v>0</v>
      </c>
      <c r="E62" s="478" t="s">
        <v>4736</v>
      </c>
      <c r="F62" s="483" t="s">
        <v>6952</v>
      </c>
      <c r="G62" s="478"/>
      <c r="H62" s="478"/>
      <c r="I62" s="478"/>
      <c r="J62" s="652" t="str">
        <f t="shared" si="5"/>
        <v>Strength: +2, Charisma: +1</v>
      </c>
      <c r="K62" s="479">
        <v>2</v>
      </c>
      <c r="L62" s="479">
        <v>0</v>
      </c>
      <c r="M62" s="479">
        <v>0</v>
      </c>
      <c r="N62" s="479">
        <v>0</v>
      </c>
      <c r="O62" s="479">
        <v>0</v>
      </c>
      <c r="P62" s="479">
        <v>1</v>
      </c>
      <c r="Q62" s="479"/>
      <c r="R62" s="481"/>
      <c r="S62" s="481"/>
      <c r="T62" s="481"/>
      <c r="U62" s="481"/>
      <c r="V62" s="481"/>
      <c r="W62" s="481"/>
      <c r="X62" s="481"/>
      <c r="Y62" s="478" t="s">
        <v>599</v>
      </c>
      <c r="Z62" s="478">
        <v>10</v>
      </c>
      <c r="AA62" s="478">
        <v>30</v>
      </c>
      <c r="AB62" s="482"/>
      <c r="AC62" s="482"/>
      <c r="AD62" s="478" t="s">
        <v>5082</v>
      </c>
      <c r="AE62" s="478"/>
      <c r="AF62" s="478"/>
      <c r="AG62" s="478" t="s">
        <v>5083</v>
      </c>
      <c r="AH62" s="478" t="s">
        <v>6156</v>
      </c>
      <c r="AI62" s="485" t="s">
        <v>5101</v>
      </c>
      <c r="AJ62" s="486" t="str">
        <f t="shared" si="6"/>
        <v>Draconic Ancestry, Breath Weapon, Cold Resistance</v>
      </c>
      <c r="AK62" s="478" t="s">
        <v>2214</v>
      </c>
      <c r="AL62" s="478" t="s">
        <v>2212</v>
      </c>
      <c r="AM62" s="478" t="s">
        <v>4992</v>
      </c>
      <c r="AN62" s="478"/>
      <c r="AO62" s="478"/>
      <c r="AP62" s="478"/>
      <c r="AQ62" s="478"/>
      <c r="AR62" s="478"/>
      <c r="AS62" s="478"/>
      <c r="AT62" s="486" t="str">
        <f t="shared" si="7"/>
        <v/>
      </c>
      <c r="AU62" s="478"/>
      <c r="AV62" s="478"/>
      <c r="AW62" s="478"/>
      <c r="AX62" s="478"/>
      <c r="AY62" s="478"/>
      <c r="AZ62" s="478"/>
      <c r="BA62" s="478"/>
      <c r="BB62" s="478" t="str">
        <f t="shared" si="8"/>
        <v/>
      </c>
      <c r="BC62" s="478"/>
      <c r="BD62" s="478"/>
      <c r="BE62" s="478"/>
      <c r="BF62" s="478"/>
      <c r="BG62" s="486" t="str">
        <f t="shared" si="9"/>
        <v>Common, Draconic</v>
      </c>
      <c r="BH62" s="478" t="s">
        <v>43</v>
      </c>
      <c r="BI62" s="478" t="s">
        <v>1103</v>
      </c>
      <c r="BJ62" s="478"/>
    </row>
    <row r="63" spans="1:62" ht="15" x14ac:dyDescent="0.25">
      <c r="A63" s="478">
        <v>62</v>
      </c>
      <c r="B63" s="478" t="s">
        <v>33</v>
      </c>
      <c r="C63" s="487">
        <f>IF(COUNTIF($B$2:B63,B63)=1,1+COUNTIF($C$2:C62,"&gt;0"),0)</f>
        <v>0</v>
      </c>
      <c r="D63" s="487">
        <f>IF(Race=B63,1+COUNTIF($D$2:D62,"&gt;0"),0)</f>
        <v>0</v>
      </c>
      <c r="E63" s="478" t="s">
        <v>6202</v>
      </c>
      <c r="F63" s="478" t="s">
        <v>6957</v>
      </c>
      <c r="G63" s="478"/>
      <c r="H63" s="478" t="s">
        <v>6207</v>
      </c>
      <c r="I63" s="478"/>
      <c r="J63" s="652" t="str">
        <f t="shared" si="5"/>
        <v>Strength: +2, Constitution: +2</v>
      </c>
      <c r="K63" s="479">
        <v>2</v>
      </c>
      <c r="L63" s="479"/>
      <c r="M63" s="479">
        <v>2</v>
      </c>
      <c r="N63" s="479"/>
      <c r="O63" s="479"/>
      <c r="P63" s="479"/>
      <c r="Q63" s="479"/>
      <c r="R63" s="481"/>
      <c r="S63" s="481"/>
      <c r="T63" s="481"/>
      <c r="U63" s="481"/>
      <c r="V63" s="481"/>
      <c r="W63" s="481"/>
      <c r="X63" s="481"/>
      <c r="Y63" s="478" t="s">
        <v>599</v>
      </c>
      <c r="Z63" s="478">
        <v>10</v>
      </c>
      <c r="AA63" s="478">
        <v>30</v>
      </c>
      <c r="AB63" s="478">
        <v>120</v>
      </c>
      <c r="AC63" s="482"/>
      <c r="AD63" s="478" t="s">
        <v>5093</v>
      </c>
      <c r="AE63" s="478"/>
      <c r="AF63" s="478"/>
      <c r="AG63" s="478" t="s">
        <v>5095</v>
      </c>
      <c r="AH63" s="478"/>
      <c r="AI63" s="478"/>
      <c r="AJ63" s="486" t="str">
        <f t="shared" si="6"/>
        <v>Supreme Darkvision, Duergar Resilience, Duergar Combat Training, Innate Spellcasting (duergar), Sunlight Sensitivity</v>
      </c>
      <c r="AK63" s="478" t="s">
        <v>3322</v>
      </c>
      <c r="AL63" s="478" t="s">
        <v>6204</v>
      </c>
      <c r="AM63" s="478" t="s">
        <v>6205</v>
      </c>
      <c r="AN63" s="443" t="s">
        <v>6208</v>
      </c>
      <c r="AO63" s="478" t="s">
        <v>2967</v>
      </c>
      <c r="AP63" s="478"/>
      <c r="AQ63" s="478"/>
      <c r="AR63" s="478"/>
      <c r="AS63" s="478"/>
      <c r="AT63" s="486" t="str">
        <f t="shared" si="7"/>
        <v>Battleaxe, Handaxe, Throwing Hammer, Warhammer</v>
      </c>
      <c r="AU63" s="483" t="s">
        <v>35</v>
      </c>
      <c r="AV63" s="478" t="s">
        <v>36</v>
      </c>
      <c r="AW63" s="478" t="s">
        <v>37</v>
      </c>
      <c r="AX63" s="478" t="s">
        <v>38</v>
      </c>
      <c r="AY63" s="478"/>
      <c r="AZ63" s="478"/>
      <c r="BA63" s="478"/>
      <c r="BB63" s="478"/>
      <c r="BC63" s="478"/>
      <c r="BD63" s="478"/>
      <c r="BE63" s="478"/>
      <c r="BF63" s="478"/>
      <c r="BG63" s="486" t="str">
        <f t="shared" si="3"/>
        <v>Common, Dwarvish, Undercommon</v>
      </c>
      <c r="BH63" s="478" t="s">
        <v>43</v>
      </c>
      <c r="BI63" s="478" t="s">
        <v>42</v>
      </c>
      <c r="BJ63" s="478" t="s">
        <v>1108</v>
      </c>
    </row>
    <row r="64" spans="1:62" ht="15" x14ac:dyDescent="0.25">
      <c r="A64" s="478">
        <v>63</v>
      </c>
      <c r="B64" s="478" t="s">
        <v>6961</v>
      </c>
      <c r="C64" s="487">
        <f>IF(COUNTIF($B$2:B64,B64)=1,1+COUNTIF($C$2:C63,"&gt;0"),0)</f>
        <v>29</v>
      </c>
      <c r="D64" s="487">
        <f>IF(Race=B64,1+COUNTIF($D$2:D63,"&gt;0"),0)</f>
        <v>0</v>
      </c>
      <c r="E64" s="478" t="s">
        <v>6995</v>
      </c>
      <c r="F64" s="478" t="s">
        <v>6962</v>
      </c>
      <c r="G64" s="478" t="s">
        <v>6996</v>
      </c>
      <c r="H64" s="478"/>
      <c r="I64" s="478"/>
      <c r="J64" s="652" t="str">
        <f t="shared" si="5"/>
        <v>Strength: +1</v>
      </c>
      <c r="K64" s="479">
        <v>1</v>
      </c>
      <c r="L64" s="479">
        <v>0</v>
      </c>
      <c r="M64" s="479">
        <v>0</v>
      </c>
      <c r="N64" s="479">
        <v>0</v>
      </c>
      <c r="O64" s="479">
        <v>0</v>
      </c>
      <c r="P64" s="479">
        <v>0</v>
      </c>
      <c r="Q64" s="479"/>
      <c r="R64" s="479" t="s">
        <v>4264</v>
      </c>
      <c r="S64" s="480" t="s">
        <v>584</v>
      </c>
      <c r="T64" s="479"/>
      <c r="U64" s="479"/>
      <c r="V64" s="480" t="s">
        <v>584</v>
      </c>
      <c r="W64" s="480" t="s">
        <v>584</v>
      </c>
      <c r="X64" s="479"/>
      <c r="Y64" s="478" t="s">
        <v>599</v>
      </c>
      <c r="Z64" s="478">
        <v>10</v>
      </c>
      <c r="AA64" s="478">
        <v>30</v>
      </c>
      <c r="AB64" s="478"/>
      <c r="AC64" s="478"/>
      <c r="AD64" s="478" t="s">
        <v>6963</v>
      </c>
      <c r="AE64" s="478"/>
      <c r="AF64" s="478"/>
      <c r="AG64" s="478">
        <v>300</v>
      </c>
      <c r="AH64" s="478" t="s">
        <v>6997</v>
      </c>
      <c r="AI64" s="478"/>
      <c r="AJ64" s="486" t="str">
        <f t="shared" si="6"/>
        <v>Horns, Goring Rush, Hammering Horns, Labyrinthine Recall, Sea Reaver</v>
      </c>
      <c r="AK64" s="478" t="s">
        <v>6964</v>
      </c>
      <c r="AL64" s="478" t="s">
        <v>6965</v>
      </c>
      <c r="AM64" s="478" t="s">
        <v>6966</v>
      </c>
      <c r="AN64" t="s">
        <v>6967</v>
      </c>
      <c r="AO64" t="s">
        <v>6968</v>
      </c>
      <c r="AP64" s="478"/>
      <c r="AQ64" s="478"/>
      <c r="AR64" s="478"/>
      <c r="AS64" s="478"/>
      <c r="AT64" s="486" t="str">
        <f t="shared" si="7"/>
        <v>Navigator's tools, Vehicle (water)</v>
      </c>
      <c r="AU64" s="478" t="s">
        <v>2975</v>
      </c>
      <c r="AV64" s="478" t="s">
        <v>6969</v>
      </c>
      <c r="AW64" s="478"/>
      <c r="AX64" s="478"/>
      <c r="AY64" s="478"/>
      <c r="AZ64" s="478"/>
      <c r="BA64" s="478"/>
      <c r="BB64" s="478"/>
      <c r="BC64" s="478"/>
      <c r="BD64" s="478"/>
      <c r="BE64" s="478"/>
      <c r="BF64" s="478"/>
      <c r="BG64" s="486" t="str">
        <f t="shared" si="3"/>
        <v>Common</v>
      </c>
      <c r="BH64" s="478" t="s">
        <v>43</v>
      </c>
      <c r="BI64" s="478"/>
      <c r="BJ64" s="478"/>
    </row>
    <row r="65" spans="1:62" x14ac:dyDescent="0.2">
      <c r="A65" s="478">
        <v>64</v>
      </c>
      <c r="B65" s="478"/>
      <c r="C65" s="487">
        <f>IF(COUNTIF($B$2:B65,B65)=1,1+COUNTIF($C$2:C64,"&gt;0"),0)</f>
        <v>0</v>
      </c>
      <c r="D65" s="487">
        <f>IF(Race=B65,1+COUNTIF($D$2:D64,"&gt;0"),0)</f>
        <v>0</v>
      </c>
      <c r="E65" s="478"/>
      <c r="F65" s="478"/>
      <c r="G65" s="478"/>
      <c r="H65" s="478"/>
      <c r="I65" s="478"/>
      <c r="J65" s="652"/>
      <c r="K65" s="479"/>
      <c r="L65" s="479"/>
      <c r="M65" s="479"/>
      <c r="N65" s="479"/>
      <c r="O65" s="479"/>
      <c r="P65" s="479"/>
      <c r="Q65" s="479"/>
      <c r="R65" s="479"/>
      <c r="S65" s="479"/>
      <c r="T65" s="479"/>
      <c r="U65" s="479"/>
      <c r="V65" s="479"/>
      <c r="W65" s="479"/>
      <c r="X65" s="479"/>
      <c r="Y65" s="478"/>
      <c r="Z65" s="478"/>
      <c r="AA65" s="478"/>
      <c r="AB65" s="478"/>
      <c r="AC65" s="478"/>
      <c r="AD65" s="478"/>
      <c r="AE65" s="478"/>
      <c r="AF65" s="478"/>
      <c r="AG65" s="478"/>
      <c r="AH65" s="478"/>
      <c r="AI65" s="478"/>
      <c r="AJ65" s="486" t="str">
        <f t="shared" si="6"/>
        <v/>
      </c>
      <c r="AK65" s="478"/>
      <c r="AL65" s="478"/>
      <c r="AM65" s="478"/>
      <c r="AN65" s="478"/>
      <c r="AO65" s="478"/>
      <c r="AP65" s="478"/>
      <c r="AQ65" s="478"/>
      <c r="AR65" s="478"/>
      <c r="AS65" s="478"/>
      <c r="AT65" s="486" t="str">
        <f t="shared" si="7"/>
        <v/>
      </c>
      <c r="AU65" s="478"/>
      <c r="AV65" s="478"/>
      <c r="AW65" s="478"/>
      <c r="AX65" s="478"/>
      <c r="AY65" s="478"/>
      <c r="AZ65" s="478"/>
      <c r="BA65" s="478"/>
      <c r="BB65" s="478"/>
      <c r="BC65" s="478"/>
      <c r="BD65" s="478"/>
      <c r="BE65" s="478"/>
      <c r="BF65" s="478"/>
      <c r="BG65" s="486" t="str">
        <f t="shared" si="3"/>
        <v/>
      </c>
      <c r="BH65" s="478"/>
      <c r="BI65" s="478"/>
      <c r="BJ65" s="478"/>
    </row>
    <row r="66" spans="1:62" x14ac:dyDescent="0.2">
      <c r="A66" s="478">
        <v>65</v>
      </c>
      <c r="B66" s="478"/>
      <c r="C66" s="487">
        <f>IF(COUNTIF($B$2:B66,B66)=1,1+COUNTIF($C$2:C65,"&gt;0"),0)</f>
        <v>0</v>
      </c>
      <c r="D66" s="487">
        <f>IF(Race=B66,1+COUNTIF($D$2:D65,"&gt;0"),0)</f>
        <v>0</v>
      </c>
      <c r="E66" s="478"/>
      <c r="F66" s="478"/>
      <c r="G66" s="478"/>
      <c r="H66" s="478"/>
      <c r="I66" s="478"/>
      <c r="J66" s="652"/>
      <c r="K66" s="479"/>
      <c r="L66" s="479"/>
      <c r="M66" s="479"/>
      <c r="N66" s="479"/>
      <c r="O66" s="479"/>
      <c r="P66" s="479"/>
      <c r="Q66" s="479"/>
      <c r="R66" s="479"/>
      <c r="S66" s="479"/>
      <c r="T66" s="479"/>
      <c r="U66" s="479"/>
      <c r="V66" s="479"/>
      <c r="W66" s="479"/>
      <c r="X66" s="479"/>
      <c r="Y66" s="478"/>
      <c r="Z66" s="478"/>
      <c r="AA66" s="478"/>
      <c r="AB66" s="478"/>
      <c r="AC66" s="478"/>
      <c r="AD66" s="478"/>
      <c r="AE66" s="478"/>
      <c r="AF66" s="478"/>
      <c r="AG66" s="478"/>
      <c r="AH66" s="478"/>
      <c r="AI66" s="478"/>
      <c r="AJ66" s="486" t="str">
        <f t="shared" si="6"/>
        <v/>
      </c>
      <c r="AK66" s="478"/>
      <c r="AL66" s="478"/>
      <c r="AM66" s="478"/>
      <c r="AN66" s="478"/>
      <c r="AO66" s="478"/>
      <c r="AP66" s="478"/>
      <c r="AQ66" s="478"/>
      <c r="AR66" s="478"/>
      <c r="AS66" s="478"/>
      <c r="AT66" s="486" t="str">
        <f t="shared" si="7"/>
        <v/>
      </c>
      <c r="AU66" s="478"/>
      <c r="AV66" s="478"/>
      <c r="AW66" s="478"/>
      <c r="AX66" s="478"/>
      <c r="AY66" s="478"/>
      <c r="AZ66" s="478"/>
      <c r="BA66" s="478"/>
      <c r="BB66" s="478"/>
      <c r="BC66" s="478"/>
      <c r="BD66" s="478"/>
      <c r="BE66" s="478"/>
      <c r="BF66" s="478"/>
      <c r="BG66" s="486" t="str">
        <f t="shared" si="3"/>
        <v/>
      </c>
      <c r="BH66" s="478"/>
      <c r="BI66" s="478"/>
      <c r="BJ66" s="478"/>
    </row>
    <row r="67" spans="1:62" x14ac:dyDescent="0.2">
      <c r="A67" s="478">
        <v>66</v>
      </c>
      <c r="B67" s="478"/>
      <c r="C67" s="487">
        <f>IF(COUNTIF($B$2:B67,B67)=1,1+COUNTIF($C$2:C66,"&gt;0"),0)</f>
        <v>0</v>
      </c>
      <c r="D67" s="487">
        <f>IF(Race=B67,1+COUNTIF($D$2:D66,"&gt;0"),0)</f>
        <v>0</v>
      </c>
      <c r="E67" s="478"/>
      <c r="F67" s="478"/>
      <c r="G67" s="478"/>
      <c r="H67" s="478"/>
      <c r="I67" s="478"/>
      <c r="J67" s="652"/>
      <c r="K67" s="479"/>
      <c r="L67" s="479"/>
      <c r="M67" s="479"/>
      <c r="N67" s="479"/>
      <c r="O67" s="479"/>
      <c r="P67" s="479"/>
      <c r="Q67" s="479"/>
      <c r="R67" s="479"/>
      <c r="S67" s="479"/>
      <c r="T67" s="479"/>
      <c r="U67" s="479"/>
      <c r="V67" s="479"/>
      <c r="W67" s="479"/>
      <c r="X67" s="479"/>
      <c r="Y67" s="478"/>
      <c r="Z67" s="478"/>
      <c r="AA67" s="478"/>
      <c r="AB67" s="478"/>
      <c r="AC67" s="478"/>
      <c r="AD67" s="478"/>
      <c r="AE67" s="478"/>
      <c r="AF67" s="478"/>
      <c r="AG67" s="478"/>
      <c r="AH67" s="478"/>
      <c r="AI67" s="478"/>
      <c r="AJ67" s="486" t="str">
        <f t="shared" si="6"/>
        <v/>
      </c>
      <c r="AK67" s="478"/>
      <c r="AL67" s="478"/>
      <c r="AM67" s="478"/>
      <c r="AN67" s="478"/>
      <c r="AO67" s="478"/>
      <c r="AP67" s="478"/>
      <c r="AQ67" s="478"/>
      <c r="AR67" s="478"/>
      <c r="AS67" s="478"/>
      <c r="AT67" s="486" t="str">
        <f t="shared" si="7"/>
        <v/>
      </c>
      <c r="AU67" s="478"/>
      <c r="AV67" s="478"/>
      <c r="AW67" s="478"/>
      <c r="AX67" s="478"/>
      <c r="AY67" s="478"/>
      <c r="AZ67" s="478"/>
      <c r="BA67" s="478"/>
      <c r="BB67" s="478"/>
      <c r="BC67" s="478"/>
      <c r="BD67" s="478"/>
      <c r="BE67" s="478"/>
      <c r="BF67" s="478"/>
      <c r="BG67" s="486" t="str">
        <f t="shared" ref="BG67:BG101" si="10">IFERROR(LEFT(IF(BH67="","",BH67&amp;", ")&amp;IF(BI67="","",BI67&amp;", ")&amp;IF(BJ67="","",BJ67&amp;", ")&amp;IF(BK67="","",BK67&amp;", "),LEN(IF(BH67="","",BH67&amp;", ")&amp;IF(BI67="","",BI67&amp;", ")&amp;IF(BJ67="","",BJ67&amp;", "))-2),"")</f>
        <v/>
      </c>
      <c r="BH67" s="478"/>
      <c r="BI67" s="478"/>
      <c r="BJ67" s="478"/>
    </row>
    <row r="68" spans="1:62" x14ac:dyDescent="0.2">
      <c r="A68" s="478">
        <v>67</v>
      </c>
      <c r="B68" s="478"/>
      <c r="C68" s="487">
        <f>IF(COUNTIF($B$2:B68,B68)=1,1+COUNTIF($C$2:C67,"&gt;0"),0)</f>
        <v>0</v>
      </c>
      <c r="D68" s="487">
        <f>IF(Race=B68,1+COUNTIF($D$2:D67,"&gt;0"),0)</f>
        <v>0</v>
      </c>
      <c r="E68" s="478"/>
      <c r="F68" s="478"/>
      <c r="G68" s="478"/>
      <c r="H68" s="478"/>
      <c r="I68" s="478"/>
      <c r="J68" s="652"/>
      <c r="K68" s="479"/>
      <c r="L68" s="479"/>
      <c r="M68" s="479"/>
      <c r="N68" s="479"/>
      <c r="O68" s="479"/>
      <c r="P68" s="479"/>
      <c r="Q68" s="479"/>
      <c r="R68" s="479"/>
      <c r="S68" s="479"/>
      <c r="T68" s="479"/>
      <c r="U68" s="479"/>
      <c r="V68" s="479"/>
      <c r="W68" s="479"/>
      <c r="X68" s="479"/>
      <c r="Y68" s="478"/>
      <c r="Z68" s="478"/>
      <c r="AA68" s="478"/>
      <c r="AB68" s="478"/>
      <c r="AC68" s="478"/>
      <c r="AD68" s="478"/>
      <c r="AE68" s="478"/>
      <c r="AF68" s="478"/>
      <c r="AG68" s="478"/>
      <c r="AH68" s="478"/>
      <c r="AI68" s="478"/>
      <c r="AJ68" s="486" t="str">
        <f t="shared" si="6"/>
        <v/>
      </c>
      <c r="AK68" s="478"/>
      <c r="AL68" s="478"/>
      <c r="AM68" s="478"/>
      <c r="AN68" s="478"/>
      <c r="AO68" s="478"/>
      <c r="AP68" s="478"/>
      <c r="AQ68" s="478"/>
      <c r="AR68" s="478"/>
      <c r="AS68" s="478"/>
      <c r="AT68" s="486" t="str">
        <f t="shared" si="7"/>
        <v/>
      </c>
      <c r="AU68" s="478"/>
      <c r="AV68" s="478"/>
      <c r="AW68" s="478"/>
      <c r="AX68" s="478"/>
      <c r="AY68" s="478"/>
      <c r="AZ68" s="478"/>
      <c r="BA68" s="478"/>
      <c r="BB68" s="478"/>
      <c r="BC68" s="478"/>
      <c r="BD68" s="478"/>
      <c r="BE68" s="478"/>
      <c r="BF68" s="478"/>
      <c r="BG68" s="486" t="str">
        <f t="shared" si="10"/>
        <v/>
      </c>
      <c r="BH68" s="478"/>
      <c r="BI68" s="478"/>
      <c r="BJ68" s="478"/>
    </row>
    <row r="69" spans="1:62" x14ac:dyDescent="0.2">
      <c r="A69" s="478">
        <v>68</v>
      </c>
      <c r="B69" s="478"/>
      <c r="C69" s="487">
        <f>IF(COUNTIF($B$2:B69,B69)=1,1+COUNTIF($C$2:C68,"&gt;0"),0)</f>
        <v>0</v>
      </c>
      <c r="D69" s="487">
        <f>IF(Race=B69,1+COUNTIF($D$2:D68,"&gt;0"),0)</f>
        <v>0</v>
      </c>
      <c r="E69" s="478"/>
      <c r="F69" s="478"/>
      <c r="G69" s="478"/>
      <c r="H69" s="478"/>
      <c r="I69" s="478"/>
      <c r="J69" s="652"/>
      <c r="K69" s="479"/>
      <c r="L69" s="479"/>
      <c r="M69" s="479"/>
      <c r="N69" s="479"/>
      <c r="O69" s="479"/>
      <c r="P69" s="479"/>
      <c r="Q69" s="479"/>
      <c r="R69" s="479"/>
      <c r="S69" s="479"/>
      <c r="T69" s="479"/>
      <c r="U69" s="479"/>
      <c r="V69" s="479"/>
      <c r="W69" s="479"/>
      <c r="X69" s="479"/>
      <c r="Y69" s="478"/>
      <c r="Z69" s="478"/>
      <c r="AA69" s="478"/>
      <c r="AB69" s="478"/>
      <c r="AC69" s="478"/>
      <c r="AD69" s="478"/>
      <c r="AE69" s="478"/>
      <c r="AF69" s="478"/>
      <c r="AG69" s="478"/>
      <c r="AH69" s="478"/>
      <c r="AI69" s="478"/>
      <c r="AJ69" s="486" t="str">
        <f t="shared" si="6"/>
        <v/>
      </c>
      <c r="AK69" s="478"/>
      <c r="AL69" s="478"/>
      <c r="AM69" s="478"/>
      <c r="AN69" s="478"/>
      <c r="AO69" s="478"/>
      <c r="AP69" s="478"/>
      <c r="AQ69" s="478"/>
      <c r="AR69" s="478"/>
      <c r="AS69" s="478"/>
      <c r="AT69" s="486" t="str">
        <f t="shared" si="7"/>
        <v/>
      </c>
      <c r="AU69" s="478"/>
      <c r="AV69" s="478"/>
      <c r="AW69" s="478"/>
      <c r="AX69" s="478"/>
      <c r="AY69" s="478"/>
      <c r="AZ69" s="478"/>
      <c r="BA69" s="478"/>
      <c r="BB69" s="478"/>
      <c r="BC69" s="478"/>
      <c r="BD69" s="478"/>
      <c r="BE69" s="478"/>
      <c r="BF69" s="478"/>
      <c r="BG69" s="486" t="str">
        <f t="shared" si="10"/>
        <v/>
      </c>
      <c r="BH69" s="478"/>
      <c r="BI69" s="478"/>
      <c r="BJ69" s="478"/>
    </row>
    <row r="70" spans="1:62" x14ac:dyDescent="0.2">
      <c r="A70" s="478">
        <v>69</v>
      </c>
      <c r="B70" s="478"/>
      <c r="C70" s="487">
        <f>IF(COUNTIF($B$2:B70,B70)=1,1+COUNTIF($C$2:C69,"&gt;0"),0)</f>
        <v>0</v>
      </c>
      <c r="D70" s="487">
        <f>IF(Race=B70,1+COUNTIF($D$2:D69,"&gt;0"),0)</f>
        <v>0</v>
      </c>
      <c r="E70" s="478"/>
      <c r="F70" s="478"/>
      <c r="G70" s="478"/>
      <c r="H70" s="478"/>
      <c r="I70" s="478"/>
      <c r="J70" s="652"/>
      <c r="K70" s="479"/>
      <c r="L70" s="479"/>
      <c r="M70" s="479"/>
      <c r="N70" s="479"/>
      <c r="O70" s="479"/>
      <c r="P70" s="479"/>
      <c r="Q70" s="479"/>
      <c r="R70" s="479"/>
      <c r="S70" s="479"/>
      <c r="T70" s="479"/>
      <c r="U70" s="479"/>
      <c r="V70" s="479"/>
      <c r="W70" s="479"/>
      <c r="X70" s="479"/>
      <c r="Y70" s="478"/>
      <c r="Z70" s="478"/>
      <c r="AA70" s="478"/>
      <c r="AB70" s="478"/>
      <c r="AC70" s="478"/>
      <c r="AD70" s="478"/>
      <c r="AE70" s="478"/>
      <c r="AF70" s="478"/>
      <c r="AG70" s="478"/>
      <c r="AH70" s="478"/>
      <c r="AI70" s="478"/>
      <c r="AJ70" s="486" t="str">
        <f t="shared" si="6"/>
        <v/>
      </c>
      <c r="AK70" s="478"/>
      <c r="AL70" s="478"/>
      <c r="AM70" s="478"/>
      <c r="AN70" s="478"/>
      <c r="AO70" s="478"/>
      <c r="AP70" s="478"/>
      <c r="AQ70" s="478"/>
      <c r="AR70" s="478"/>
      <c r="AS70" s="478"/>
      <c r="AT70" s="486" t="str">
        <f t="shared" si="7"/>
        <v/>
      </c>
      <c r="AU70" s="478"/>
      <c r="AV70" s="478"/>
      <c r="AW70" s="478"/>
      <c r="AX70" s="478"/>
      <c r="AY70" s="478"/>
      <c r="AZ70" s="478"/>
      <c r="BA70" s="478"/>
      <c r="BB70" s="478"/>
      <c r="BC70" s="478"/>
      <c r="BD70" s="478"/>
      <c r="BE70" s="478"/>
      <c r="BF70" s="478"/>
      <c r="BG70" s="486" t="str">
        <f t="shared" si="10"/>
        <v/>
      </c>
      <c r="BH70" s="478"/>
      <c r="BI70" s="478"/>
      <c r="BJ70" s="478"/>
    </row>
    <row r="71" spans="1:62" x14ac:dyDescent="0.2">
      <c r="A71" s="478">
        <v>70</v>
      </c>
      <c r="B71" s="478"/>
      <c r="C71" s="487">
        <f>IF(COUNTIF($B$2:B71,B71)=1,1+COUNTIF($C$2:C70,"&gt;0"),0)</f>
        <v>0</v>
      </c>
      <c r="D71" s="487">
        <f>IF(Race=B71,1+COUNTIF($D$2:D70,"&gt;0"),0)</f>
        <v>0</v>
      </c>
      <c r="E71" s="478"/>
      <c r="F71" s="478"/>
      <c r="G71" s="478"/>
      <c r="H71" s="478"/>
      <c r="I71" s="478"/>
      <c r="J71" s="652"/>
      <c r="K71" s="479"/>
      <c r="L71" s="479"/>
      <c r="M71" s="479"/>
      <c r="N71" s="479"/>
      <c r="O71" s="479"/>
      <c r="P71" s="479"/>
      <c r="Q71" s="479"/>
      <c r="R71" s="479"/>
      <c r="S71" s="479"/>
      <c r="T71" s="479"/>
      <c r="U71" s="479"/>
      <c r="V71" s="479"/>
      <c r="W71" s="479"/>
      <c r="X71" s="479"/>
      <c r="Y71" s="478"/>
      <c r="Z71" s="478"/>
      <c r="AA71" s="478"/>
      <c r="AB71" s="478"/>
      <c r="AC71" s="478"/>
      <c r="AD71" s="478"/>
      <c r="AE71" s="478"/>
      <c r="AF71" s="478"/>
      <c r="AG71" s="478"/>
      <c r="AH71" s="478"/>
      <c r="AI71" s="478"/>
      <c r="AJ71" s="486" t="str">
        <f t="shared" si="6"/>
        <v/>
      </c>
      <c r="AK71" s="478"/>
      <c r="AL71" s="478"/>
      <c r="AM71" s="478"/>
      <c r="AN71" s="478"/>
      <c r="AO71" s="478"/>
      <c r="AP71" s="478"/>
      <c r="AQ71" s="478"/>
      <c r="AR71" s="478"/>
      <c r="AS71" s="478"/>
      <c r="AT71" s="486" t="str">
        <f t="shared" si="7"/>
        <v/>
      </c>
      <c r="AU71" s="478"/>
      <c r="AV71" s="478"/>
      <c r="AW71" s="478"/>
      <c r="AX71" s="478"/>
      <c r="AY71" s="478"/>
      <c r="AZ71" s="478"/>
      <c r="BA71" s="478"/>
      <c r="BB71" s="478"/>
      <c r="BC71" s="478"/>
      <c r="BD71" s="478"/>
      <c r="BE71" s="478"/>
      <c r="BF71" s="478"/>
      <c r="BG71" s="486" t="str">
        <f t="shared" si="10"/>
        <v/>
      </c>
      <c r="BH71" s="478"/>
      <c r="BI71" s="478"/>
      <c r="BJ71" s="478"/>
    </row>
    <row r="72" spans="1:62" x14ac:dyDescent="0.2">
      <c r="A72" s="478">
        <v>71</v>
      </c>
      <c r="B72" s="478"/>
      <c r="C72" s="487">
        <f>IF(COUNTIF($B$2:B72,B72)=1,1+COUNTIF($C$2:C71,"&gt;0"),0)</f>
        <v>0</v>
      </c>
      <c r="D72" s="487">
        <f>IF(Race=B72,1+COUNTIF($D$2:D71,"&gt;0"),0)</f>
        <v>0</v>
      </c>
      <c r="E72" s="478"/>
      <c r="F72" s="478"/>
      <c r="G72" s="478"/>
      <c r="H72" s="478"/>
      <c r="I72" s="478"/>
      <c r="J72" s="652"/>
      <c r="K72" s="479"/>
      <c r="L72" s="479"/>
      <c r="M72" s="479"/>
      <c r="N72" s="479"/>
      <c r="O72" s="479"/>
      <c r="P72" s="479"/>
      <c r="Q72" s="479"/>
      <c r="R72" s="479"/>
      <c r="S72" s="479"/>
      <c r="T72" s="479"/>
      <c r="U72" s="479"/>
      <c r="V72" s="479"/>
      <c r="W72" s="479"/>
      <c r="X72" s="479"/>
      <c r="Y72" s="478"/>
      <c r="Z72" s="478"/>
      <c r="AA72" s="478"/>
      <c r="AB72" s="478"/>
      <c r="AC72" s="478"/>
      <c r="AD72" s="478"/>
      <c r="AE72" s="478"/>
      <c r="AF72" s="478"/>
      <c r="AG72" s="478"/>
      <c r="AH72" s="478"/>
      <c r="AI72" s="478"/>
      <c r="AJ72" s="486" t="str">
        <f t="shared" si="6"/>
        <v/>
      </c>
      <c r="AK72" s="478"/>
      <c r="AL72" s="478"/>
      <c r="AM72" s="478"/>
      <c r="AN72" s="478"/>
      <c r="AO72" s="478"/>
      <c r="AP72" s="478"/>
      <c r="AQ72" s="478"/>
      <c r="AR72" s="478"/>
      <c r="AS72" s="478"/>
      <c r="AT72" s="486" t="str">
        <f t="shared" si="7"/>
        <v/>
      </c>
      <c r="AU72" s="478"/>
      <c r="AV72" s="478"/>
      <c r="AW72" s="478"/>
      <c r="AX72" s="478"/>
      <c r="AY72" s="478"/>
      <c r="AZ72" s="478"/>
      <c r="BA72" s="478"/>
      <c r="BB72" s="478"/>
      <c r="BC72" s="478"/>
      <c r="BD72" s="478"/>
      <c r="BE72" s="478"/>
      <c r="BF72" s="478"/>
      <c r="BG72" s="486" t="str">
        <f t="shared" si="10"/>
        <v/>
      </c>
      <c r="BH72" s="478"/>
      <c r="BI72" s="478"/>
      <c r="BJ72" s="478"/>
    </row>
    <row r="73" spans="1:62" x14ac:dyDescent="0.2">
      <c r="A73" s="478">
        <v>72</v>
      </c>
      <c r="B73" s="478"/>
      <c r="C73" s="487">
        <f>IF(COUNTIF($B$2:B73,B73)=1,1+COUNTIF($C$2:C72,"&gt;0"),0)</f>
        <v>0</v>
      </c>
      <c r="D73" s="487">
        <f>IF(Race=B73,1+COUNTIF($D$2:D72,"&gt;0"),0)</f>
        <v>0</v>
      </c>
      <c r="E73" s="478"/>
      <c r="F73" s="478"/>
      <c r="G73" s="478"/>
      <c r="H73" s="478"/>
      <c r="I73" s="478"/>
      <c r="J73" s="652"/>
      <c r="K73" s="479"/>
      <c r="L73" s="479"/>
      <c r="M73" s="479"/>
      <c r="N73" s="479"/>
      <c r="O73" s="479"/>
      <c r="P73" s="479"/>
      <c r="Q73" s="479"/>
      <c r="R73" s="479"/>
      <c r="S73" s="479"/>
      <c r="T73" s="479"/>
      <c r="U73" s="479"/>
      <c r="V73" s="479"/>
      <c r="W73" s="479"/>
      <c r="X73" s="479"/>
      <c r="Y73" s="478"/>
      <c r="Z73" s="478"/>
      <c r="AA73" s="478"/>
      <c r="AB73" s="478"/>
      <c r="AC73" s="478"/>
      <c r="AD73" s="478"/>
      <c r="AE73" s="478"/>
      <c r="AF73" s="478"/>
      <c r="AG73" s="478"/>
      <c r="AH73" s="478"/>
      <c r="AI73" s="478"/>
      <c r="AJ73" s="486" t="str">
        <f t="shared" si="6"/>
        <v/>
      </c>
      <c r="AK73" s="478"/>
      <c r="AL73" s="478"/>
      <c r="AM73" s="478"/>
      <c r="AN73" s="478"/>
      <c r="AO73" s="478"/>
      <c r="AP73" s="478"/>
      <c r="AQ73" s="478"/>
      <c r="AR73" s="478"/>
      <c r="AS73" s="478"/>
      <c r="AT73" s="486" t="str">
        <f t="shared" si="7"/>
        <v/>
      </c>
      <c r="AU73" s="478"/>
      <c r="AV73" s="478"/>
      <c r="AW73" s="478"/>
      <c r="AX73" s="478"/>
      <c r="AY73" s="478"/>
      <c r="AZ73" s="478"/>
      <c r="BA73" s="478"/>
      <c r="BB73" s="478"/>
      <c r="BC73" s="478"/>
      <c r="BD73" s="478"/>
      <c r="BE73" s="478"/>
      <c r="BF73" s="478"/>
      <c r="BG73" s="486" t="str">
        <f t="shared" si="10"/>
        <v/>
      </c>
      <c r="BH73" s="478"/>
      <c r="BI73" s="478"/>
      <c r="BJ73" s="478"/>
    </row>
    <row r="74" spans="1:62" x14ac:dyDescent="0.2">
      <c r="A74" s="478">
        <v>73</v>
      </c>
      <c r="B74" s="478"/>
      <c r="C74" s="487">
        <f>IF(COUNTIF($B$2:B74,B74)=1,1+COUNTIF($C$2:C73,"&gt;0"),0)</f>
        <v>0</v>
      </c>
      <c r="D74" s="487">
        <f>IF(Race=B74,1+COUNTIF($D$2:D73,"&gt;0"),0)</f>
        <v>0</v>
      </c>
      <c r="E74" s="478"/>
      <c r="F74" s="478"/>
      <c r="G74" s="478"/>
      <c r="H74" s="478"/>
      <c r="I74" s="478"/>
      <c r="J74" s="652"/>
      <c r="K74" s="479"/>
      <c r="L74" s="479"/>
      <c r="M74" s="479"/>
      <c r="N74" s="479"/>
      <c r="O74" s="479"/>
      <c r="P74" s="479"/>
      <c r="Q74" s="479"/>
      <c r="R74" s="479"/>
      <c r="S74" s="479"/>
      <c r="T74" s="479"/>
      <c r="U74" s="479"/>
      <c r="V74" s="479"/>
      <c r="W74" s="479"/>
      <c r="X74" s="479"/>
      <c r="Y74" s="478"/>
      <c r="Z74" s="478"/>
      <c r="AA74" s="478"/>
      <c r="AB74" s="478"/>
      <c r="AC74" s="478"/>
      <c r="AD74" s="478"/>
      <c r="AE74" s="478"/>
      <c r="AF74" s="478"/>
      <c r="AG74" s="478"/>
      <c r="AH74" s="478"/>
      <c r="AI74" s="478"/>
      <c r="AJ74" s="486" t="str">
        <f t="shared" si="6"/>
        <v/>
      </c>
      <c r="AK74" s="478"/>
      <c r="AL74" s="478"/>
      <c r="AM74" s="478"/>
      <c r="AN74" s="478"/>
      <c r="AO74" s="478"/>
      <c r="AP74" s="478"/>
      <c r="AQ74" s="478"/>
      <c r="AR74" s="478"/>
      <c r="AS74" s="478"/>
      <c r="AT74" s="486" t="str">
        <f t="shared" si="7"/>
        <v/>
      </c>
      <c r="AU74" s="478"/>
      <c r="AV74" s="478"/>
      <c r="AW74" s="478"/>
      <c r="AX74" s="478"/>
      <c r="AY74" s="478"/>
      <c r="AZ74" s="478"/>
      <c r="BA74" s="478"/>
      <c r="BB74" s="478"/>
      <c r="BC74" s="478"/>
      <c r="BD74" s="478"/>
      <c r="BE74" s="478"/>
      <c r="BF74" s="478"/>
      <c r="BG74" s="486" t="str">
        <f t="shared" si="10"/>
        <v/>
      </c>
      <c r="BH74" s="478"/>
      <c r="BI74" s="478"/>
      <c r="BJ74" s="478"/>
    </row>
    <row r="75" spans="1:62" x14ac:dyDescent="0.2">
      <c r="A75" s="478">
        <v>74</v>
      </c>
      <c r="B75" s="478"/>
      <c r="C75" s="487">
        <f>IF(COUNTIF($B$2:B75,B75)=1,1+COUNTIF($C$2:C74,"&gt;0"),0)</f>
        <v>0</v>
      </c>
      <c r="D75" s="487">
        <f>IF(Race=B75,1+COUNTIF($D$2:D74,"&gt;0"),0)</f>
        <v>0</v>
      </c>
      <c r="E75" s="478"/>
      <c r="F75" s="478"/>
      <c r="G75" s="478"/>
      <c r="H75" s="478"/>
      <c r="I75" s="478"/>
      <c r="J75" s="652"/>
      <c r="K75" s="479"/>
      <c r="L75" s="479"/>
      <c r="M75" s="479"/>
      <c r="N75" s="479"/>
      <c r="O75" s="479"/>
      <c r="P75" s="479"/>
      <c r="Q75" s="479"/>
      <c r="R75" s="479"/>
      <c r="S75" s="479"/>
      <c r="T75" s="479"/>
      <c r="U75" s="479"/>
      <c r="V75" s="479"/>
      <c r="W75" s="479"/>
      <c r="X75" s="479"/>
      <c r="Y75" s="478"/>
      <c r="Z75" s="478"/>
      <c r="AA75" s="478"/>
      <c r="AB75" s="478"/>
      <c r="AC75" s="478"/>
      <c r="AD75" s="478"/>
      <c r="AE75" s="478"/>
      <c r="AF75" s="478"/>
      <c r="AG75" s="478"/>
      <c r="AH75" s="478"/>
      <c r="AI75" s="478"/>
      <c r="AJ75" s="486" t="str">
        <f t="shared" si="6"/>
        <v/>
      </c>
      <c r="AK75" s="478"/>
      <c r="AL75" s="478"/>
      <c r="AM75" s="478"/>
      <c r="AN75" s="478"/>
      <c r="AO75" s="478"/>
      <c r="AP75" s="478"/>
      <c r="AQ75" s="478"/>
      <c r="AR75" s="478"/>
      <c r="AS75" s="478"/>
      <c r="AT75" s="486" t="str">
        <f t="shared" si="7"/>
        <v/>
      </c>
      <c r="AU75" s="478"/>
      <c r="AV75" s="478"/>
      <c r="AW75" s="478"/>
      <c r="AX75" s="478"/>
      <c r="AY75" s="478"/>
      <c r="AZ75" s="478"/>
      <c r="BA75" s="478"/>
      <c r="BB75" s="478"/>
      <c r="BC75" s="478"/>
      <c r="BD75" s="478"/>
      <c r="BE75" s="478"/>
      <c r="BF75" s="478"/>
      <c r="BG75" s="486" t="str">
        <f t="shared" si="10"/>
        <v/>
      </c>
      <c r="BH75" s="478"/>
      <c r="BI75" s="478"/>
      <c r="BJ75" s="478"/>
    </row>
    <row r="76" spans="1:62" x14ac:dyDescent="0.2">
      <c r="A76" s="478">
        <v>75</v>
      </c>
      <c r="B76" s="478"/>
      <c r="C76" s="487">
        <f>IF(COUNTIF($B$2:B76,B76)=1,1+COUNTIF($C$2:C75,"&gt;0"),0)</f>
        <v>0</v>
      </c>
      <c r="D76" s="487">
        <f>IF(Race=B76,1+COUNTIF($D$2:D75,"&gt;0"),0)</f>
        <v>0</v>
      </c>
      <c r="E76" s="478"/>
      <c r="F76" s="478"/>
      <c r="G76" s="478"/>
      <c r="H76" s="478"/>
      <c r="I76" s="478"/>
      <c r="J76" s="652"/>
      <c r="K76" s="479"/>
      <c r="L76" s="479"/>
      <c r="M76" s="479"/>
      <c r="N76" s="479"/>
      <c r="O76" s="479"/>
      <c r="P76" s="479"/>
      <c r="Q76" s="479"/>
      <c r="R76" s="479"/>
      <c r="S76" s="479"/>
      <c r="T76" s="479"/>
      <c r="U76" s="479"/>
      <c r="V76" s="479"/>
      <c r="W76" s="479"/>
      <c r="X76" s="479"/>
      <c r="Y76" s="478"/>
      <c r="Z76" s="478"/>
      <c r="AA76" s="478"/>
      <c r="AB76" s="478"/>
      <c r="AC76" s="478"/>
      <c r="AD76" s="478"/>
      <c r="AE76" s="478"/>
      <c r="AF76" s="478"/>
      <c r="AG76" s="478"/>
      <c r="AH76" s="478"/>
      <c r="AI76" s="478"/>
      <c r="AJ76" s="486" t="str">
        <f t="shared" si="6"/>
        <v/>
      </c>
      <c r="AK76" s="478"/>
      <c r="AL76" s="478"/>
      <c r="AM76" s="478"/>
      <c r="AN76" s="478"/>
      <c r="AO76" s="478"/>
      <c r="AP76" s="478"/>
      <c r="AQ76" s="478"/>
      <c r="AR76" s="478"/>
      <c r="AS76" s="478"/>
      <c r="AT76" s="486" t="str">
        <f t="shared" si="7"/>
        <v/>
      </c>
      <c r="AU76" s="478"/>
      <c r="AV76" s="478"/>
      <c r="AW76" s="478"/>
      <c r="AX76" s="478"/>
      <c r="AY76" s="478"/>
      <c r="AZ76" s="478"/>
      <c r="BA76" s="478"/>
      <c r="BB76" s="478"/>
      <c r="BC76" s="478"/>
      <c r="BD76" s="478"/>
      <c r="BE76" s="478"/>
      <c r="BF76" s="478"/>
      <c r="BG76" s="486" t="str">
        <f t="shared" si="10"/>
        <v/>
      </c>
      <c r="BH76" s="478"/>
      <c r="BI76" s="478"/>
      <c r="BJ76" s="478"/>
    </row>
    <row r="77" spans="1:62" x14ac:dyDescent="0.2">
      <c r="A77" s="478">
        <v>76</v>
      </c>
      <c r="B77" s="478"/>
      <c r="C77" s="487">
        <f>IF(COUNTIF($B$2:B77,B77)=1,1+COUNTIF($C$2:C76,"&gt;0"),0)</f>
        <v>0</v>
      </c>
      <c r="D77" s="487">
        <f>IF(Race=B77,1+COUNTIF($D$2:D76,"&gt;0"),0)</f>
        <v>0</v>
      </c>
      <c r="E77" s="478"/>
      <c r="F77" s="478"/>
      <c r="G77" s="478"/>
      <c r="H77" s="478"/>
      <c r="I77" s="478"/>
      <c r="J77" s="652"/>
      <c r="K77" s="479"/>
      <c r="L77" s="479"/>
      <c r="M77" s="479"/>
      <c r="N77" s="479"/>
      <c r="O77" s="479"/>
      <c r="P77" s="479"/>
      <c r="Q77" s="479"/>
      <c r="R77" s="479"/>
      <c r="S77" s="479"/>
      <c r="T77" s="479"/>
      <c r="U77" s="479"/>
      <c r="V77" s="479"/>
      <c r="W77" s="479"/>
      <c r="X77" s="479"/>
      <c r="Y77" s="478"/>
      <c r="Z77" s="478"/>
      <c r="AA77" s="478"/>
      <c r="AB77" s="478"/>
      <c r="AC77" s="478"/>
      <c r="AD77" s="478"/>
      <c r="AE77" s="478"/>
      <c r="AF77" s="478"/>
      <c r="AG77" s="478"/>
      <c r="AH77" s="478"/>
      <c r="AI77" s="478"/>
      <c r="AJ77" s="486" t="str">
        <f t="shared" si="6"/>
        <v/>
      </c>
      <c r="AK77" s="478"/>
      <c r="AL77" s="478"/>
      <c r="AM77" s="478"/>
      <c r="AN77" s="478"/>
      <c r="AO77" s="478"/>
      <c r="AP77" s="478"/>
      <c r="AQ77" s="478"/>
      <c r="AR77" s="478"/>
      <c r="AS77" s="478"/>
      <c r="AT77" s="486" t="str">
        <f t="shared" si="7"/>
        <v/>
      </c>
      <c r="AU77" s="478"/>
      <c r="AV77" s="478"/>
      <c r="AW77" s="478"/>
      <c r="AX77" s="478"/>
      <c r="AY77" s="478"/>
      <c r="AZ77" s="478"/>
      <c r="BA77" s="478"/>
      <c r="BB77" s="478"/>
      <c r="BC77" s="478"/>
      <c r="BD77" s="478"/>
      <c r="BE77" s="478"/>
      <c r="BF77" s="478"/>
      <c r="BG77" s="486" t="str">
        <f t="shared" si="10"/>
        <v/>
      </c>
      <c r="BH77" s="478"/>
      <c r="BI77" s="478"/>
      <c r="BJ77" s="478"/>
    </row>
    <row r="78" spans="1:62" x14ac:dyDescent="0.2">
      <c r="A78" s="478">
        <v>77</v>
      </c>
      <c r="B78" s="478"/>
      <c r="C78" s="487">
        <f>IF(COUNTIF($B$2:B78,B78)=1,1+COUNTIF($C$2:C77,"&gt;0"),0)</f>
        <v>0</v>
      </c>
      <c r="D78" s="487">
        <f>IF(Race=B78,1+COUNTIF($D$2:D77,"&gt;0"),0)</f>
        <v>0</v>
      </c>
      <c r="E78" s="478"/>
      <c r="F78" s="478"/>
      <c r="G78" s="478"/>
      <c r="H78" s="478"/>
      <c r="I78" s="478"/>
      <c r="J78" s="652"/>
      <c r="K78" s="479"/>
      <c r="L78" s="479"/>
      <c r="M78" s="479"/>
      <c r="N78" s="479"/>
      <c r="O78" s="479"/>
      <c r="P78" s="479"/>
      <c r="Q78" s="479"/>
      <c r="R78" s="479"/>
      <c r="S78" s="479"/>
      <c r="T78" s="479"/>
      <c r="U78" s="479"/>
      <c r="V78" s="479"/>
      <c r="W78" s="479"/>
      <c r="X78" s="479"/>
      <c r="Y78" s="478"/>
      <c r="Z78" s="478"/>
      <c r="AA78" s="478"/>
      <c r="AB78" s="478"/>
      <c r="AC78" s="478"/>
      <c r="AD78" s="478"/>
      <c r="AE78" s="478"/>
      <c r="AF78" s="478"/>
      <c r="AG78" s="478"/>
      <c r="AH78" s="478"/>
      <c r="AI78" s="478"/>
      <c r="AJ78" s="486" t="str">
        <f t="shared" si="6"/>
        <v/>
      </c>
      <c r="AK78" s="478"/>
      <c r="AL78" s="478"/>
      <c r="AM78" s="478"/>
      <c r="AN78" s="478"/>
      <c r="AO78" s="478"/>
      <c r="AP78" s="478"/>
      <c r="AQ78" s="478"/>
      <c r="AR78" s="478"/>
      <c r="AS78" s="478"/>
      <c r="AT78" s="486" t="str">
        <f t="shared" si="7"/>
        <v/>
      </c>
      <c r="AU78" s="478"/>
      <c r="AV78" s="478"/>
      <c r="AW78" s="478"/>
      <c r="AX78" s="478"/>
      <c r="AY78" s="478"/>
      <c r="AZ78" s="478"/>
      <c r="BA78" s="478"/>
      <c r="BB78" s="478"/>
      <c r="BC78" s="478"/>
      <c r="BD78" s="478"/>
      <c r="BE78" s="478"/>
      <c r="BF78" s="478"/>
      <c r="BG78" s="486" t="str">
        <f t="shared" si="10"/>
        <v/>
      </c>
      <c r="BH78" s="478"/>
      <c r="BI78" s="478"/>
      <c r="BJ78" s="478"/>
    </row>
    <row r="79" spans="1:62" x14ac:dyDescent="0.2">
      <c r="A79" s="478">
        <v>78</v>
      </c>
      <c r="B79" s="478"/>
      <c r="C79" s="487">
        <f>IF(COUNTIF($B$2:B79,B79)=1,1+COUNTIF($C$2:C78,"&gt;0"),0)</f>
        <v>0</v>
      </c>
      <c r="D79" s="487">
        <f>IF(Race=B79,1+COUNTIF($D$2:D78,"&gt;0"),0)</f>
        <v>0</v>
      </c>
      <c r="E79" s="478"/>
      <c r="F79" s="478"/>
      <c r="G79" s="478"/>
      <c r="H79" s="478"/>
      <c r="I79" s="478"/>
      <c r="J79" s="652"/>
      <c r="K79" s="479"/>
      <c r="L79" s="479"/>
      <c r="M79" s="479"/>
      <c r="N79" s="479"/>
      <c r="O79" s="479"/>
      <c r="P79" s="479"/>
      <c r="Q79" s="479"/>
      <c r="R79" s="479"/>
      <c r="S79" s="479"/>
      <c r="T79" s="479"/>
      <c r="U79" s="479"/>
      <c r="V79" s="479"/>
      <c r="W79" s="479"/>
      <c r="X79" s="479"/>
      <c r="Y79" s="478"/>
      <c r="Z79" s="478"/>
      <c r="AA79" s="478"/>
      <c r="AB79" s="478"/>
      <c r="AC79" s="478"/>
      <c r="AD79" s="478"/>
      <c r="AE79" s="478"/>
      <c r="AF79" s="478"/>
      <c r="AG79" s="478"/>
      <c r="AH79" s="478"/>
      <c r="AI79" s="478"/>
      <c r="AJ79" s="486" t="str">
        <f t="shared" si="6"/>
        <v/>
      </c>
      <c r="AK79" s="478"/>
      <c r="AL79" s="478"/>
      <c r="AM79" s="478"/>
      <c r="AN79" s="478"/>
      <c r="AO79" s="478"/>
      <c r="AP79" s="478"/>
      <c r="AQ79" s="478"/>
      <c r="AR79" s="478"/>
      <c r="AS79" s="478"/>
      <c r="AT79" s="486" t="str">
        <f t="shared" si="7"/>
        <v/>
      </c>
      <c r="AU79" s="478"/>
      <c r="AV79" s="478"/>
      <c r="AW79" s="478"/>
      <c r="AX79" s="478"/>
      <c r="AY79" s="478"/>
      <c r="AZ79" s="478"/>
      <c r="BA79" s="478"/>
      <c r="BB79" s="478"/>
      <c r="BC79" s="478"/>
      <c r="BD79" s="478"/>
      <c r="BE79" s="478"/>
      <c r="BF79" s="478"/>
      <c r="BG79" s="486" t="str">
        <f t="shared" si="10"/>
        <v/>
      </c>
      <c r="BH79" s="478"/>
      <c r="BI79" s="478"/>
      <c r="BJ79" s="478"/>
    </row>
    <row r="80" spans="1:62" x14ac:dyDescent="0.2">
      <c r="A80" s="478">
        <v>79</v>
      </c>
      <c r="B80" s="478"/>
      <c r="C80" s="487">
        <f>IF(COUNTIF($B$2:B80,B80)=1,1+COUNTIF($C$2:C79,"&gt;0"),0)</f>
        <v>0</v>
      </c>
      <c r="D80" s="487">
        <f>IF(Race=B80,1+COUNTIF($D$2:D79,"&gt;0"),0)</f>
        <v>0</v>
      </c>
      <c r="E80" s="478"/>
      <c r="F80" s="478"/>
      <c r="G80" s="478"/>
      <c r="H80" s="478"/>
      <c r="I80" s="478"/>
      <c r="J80" s="652"/>
      <c r="K80" s="479"/>
      <c r="L80" s="479"/>
      <c r="M80" s="479"/>
      <c r="N80" s="479"/>
      <c r="O80" s="479"/>
      <c r="P80" s="479"/>
      <c r="Q80" s="479"/>
      <c r="R80" s="479"/>
      <c r="S80" s="479"/>
      <c r="T80" s="479"/>
      <c r="U80" s="479"/>
      <c r="V80" s="479"/>
      <c r="W80" s="479"/>
      <c r="X80" s="479"/>
      <c r="Y80" s="478"/>
      <c r="Z80" s="478"/>
      <c r="AA80" s="478"/>
      <c r="AB80" s="478"/>
      <c r="AC80" s="478"/>
      <c r="AD80" s="478"/>
      <c r="AE80" s="478"/>
      <c r="AF80" s="478"/>
      <c r="AG80" s="478"/>
      <c r="AH80" s="478"/>
      <c r="AI80" s="478"/>
      <c r="AJ80" s="486" t="str">
        <f t="shared" si="6"/>
        <v/>
      </c>
      <c r="AK80" s="478"/>
      <c r="AL80" s="478"/>
      <c r="AM80" s="478"/>
      <c r="AN80" s="478"/>
      <c r="AO80" s="478"/>
      <c r="AP80" s="478"/>
      <c r="AQ80" s="478"/>
      <c r="AR80" s="478"/>
      <c r="AS80" s="478"/>
      <c r="AT80" s="486" t="str">
        <f t="shared" si="7"/>
        <v/>
      </c>
      <c r="AU80" s="478"/>
      <c r="AV80" s="478"/>
      <c r="AW80" s="478"/>
      <c r="AX80" s="478"/>
      <c r="AY80" s="478"/>
      <c r="AZ80" s="478"/>
      <c r="BA80" s="478"/>
      <c r="BB80" s="478"/>
      <c r="BC80" s="478"/>
      <c r="BD80" s="478"/>
      <c r="BE80" s="478"/>
      <c r="BF80" s="478"/>
      <c r="BG80" s="486" t="str">
        <f t="shared" si="10"/>
        <v/>
      </c>
      <c r="BH80" s="478"/>
      <c r="BI80" s="478"/>
      <c r="BJ80" s="478"/>
    </row>
    <row r="81" spans="1:62" x14ac:dyDescent="0.2">
      <c r="A81" s="478">
        <v>80</v>
      </c>
      <c r="B81" s="478"/>
      <c r="C81" s="487">
        <f>IF(COUNTIF($B$2:B81,B81)=1,1+COUNTIF($C$2:C80,"&gt;0"),0)</f>
        <v>0</v>
      </c>
      <c r="D81" s="487">
        <f>IF(Race=B81,1+COUNTIF($D$2:D80,"&gt;0"),0)</f>
        <v>0</v>
      </c>
      <c r="E81" s="478"/>
      <c r="F81" s="478"/>
      <c r="G81" s="478"/>
      <c r="H81" s="478"/>
      <c r="I81" s="478"/>
      <c r="J81" s="652"/>
      <c r="K81" s="479"/>
      <c r="L81" s="479"/>
      <c r="M81" s="479"/>
      <c r="N81" s="479"/>
      <c r="O81" s="479"/>
      <c r="P81" s="479"/>
      <c r="Q81" s="479"/>
      <c r="R81" s="479"/>
      <c r="S81" s="479"/>
      <c r="T81" s="479"/>
      <c r="U81" s="479"/>
      <c r="V81" s="479"/>
      <c r="W81" s="479"/>
      <c r="X81" s="479"/>
      <c r="Y81" s="478"/>
      <c r="Z81" s="478"/>
      <c r="AA81" s="478"/>
      <c r="AB81" s="478"/>
      <c r="AC81" s="478"/>
      <c r="AD81" s="478"/>
      <c r="AE81" s="478"/>
      <c r="AF81" s="478"/>
      <c r="AG81" s="478"/>
      <c r="AH81" s="478"/>
      <c r="AI81" s="478"/>
      <c r="AJ81" s="486" t="str">
        <f t="shared" si="6"/>
        <v/>
      </c>
      <c r="AK81" s="478"/>
      <c r="AL81" s="478"/>
      <c r="AM81" s="478"/>
      <c r="AN81" s="478"/>
      <c r="AO81" s="478"/>
      <c r="AP81" s="478"/>
      <c r="AQ81" s="478"/>
      <c r="AR81" s="478"/>
      <c r="AS81" s="478"/>
      <c r="AT81" s="486" t="str">
        <f t="shared" si="7"/>
        <v/>
      </c>
      <c r="AU81" s="478"/>
      <c r="AV81" s="478"/>
      <c r="AW81" s="478"/>
      <c r="AX81" s="478"/>
      <c r="AY81" s="478"/>
      <c r="AZ81" s="478"/>
      <c r="BA81" s="478"/>
      <c r="BB81" s="478"/>
      <c r="BC81" s="478"/>
      <c r="BD81" s="478"/>
      <c r="BE81" s="478"/>
      <c r="BF81" s="478"/>
      <c r="BG81" s="486" t="str">
        <f t="shared" si="10"/>
        <v/>
      </c>
      <c r="BH81" s="478"/>
      <c r="BI81" s="478"/>
      <c r="BJ81" s="478"/>
    </row>
    <row r="82" spans="1:62" x14ac:dyDescent="0.2">
      <c r="A82" s="478">
        <v>81</v>
      </c>
      <c r="B82" s="478"/>
      <c r="C82" s="487">
        <f>IF(COUNTIF($B$2:B82,B82)=1,1+COUNTIF($C$2:C81,"&gt;0"),0)</f>
        <v>0</v>
      </c>
      <c r="D82" s="487">
        <f>IF(Race=B82,1+COUNTIF($D$2:D81,"&gt;0"),0)</f>
        <v>0</v>
      </c>
      <c r="E82" s="478"/>
      <c r="F82" s="478"/>
      <c r="G82" s="478"/>
      <c r="H82" s="478"/>
      <c r="I82" s="478"/>
      <c r="J82" s="652"/>
      <c r="K82" s="479"/>
      <c r="L82" s="479"/>
      <c r="M82" s="479"/>
      <c r="N82" s="479"/>
      <c r="O82" s="479"/>
      <c r="P82" s="479"/>
      <c r="Q82" s="479"/>
      <c r="R82" s="479"/>
      <c r="S82" s="479"/>
      <c r="T82" s="479"/>
      <c r="U82" s="479"/>
      <c r="V82" s="479"/>
      <c r="W82" s="479"/>
      <c r="X82" s="479"/>
      <c r="Y82" s="478"/>
      <c r="Z82" s="478"/>
      <c r="AA82" s="478"/>
      <c r="AB82" s="478"/>
      <c r="AC82" s="478"/>
      <c r="AD82" s="478"/>
      <c r="AE82" s="478"/>
      <c r="AF82" s="478"/>
      <c r="AG82" s="478"/>
      <c r="AH82" s="478"/>
      <c r="AI82" s="478"/>
      <c r="AJ82" s="486" t="str">
        <f t="shared" si="6"/>
        <v/>
      </c>
      <c r="AK82" s="478"/>
      <c r="AL82" s="478"/>
      <c r="AM82" s="478"/>
      <c r="AN82" s="478"/>
      <c r="AO82" s="478"/>
      <c r="AP82" s="478"/>
      <c r="AQ82" s="478"/>
      <c r="AR82" s="478"/>
      <c r="AS82" s="478"/>
      <c r="AT82" s="486" t="str">
        <f t="shared" si="7"/>
        <v/>
      </c>
      <c r="AU82" s="478"/>
      <c r="AV82" s="478"/>
      <c r="AW82" s="478"/>
      <c r="AX82" s="478"/>
      <c r="AY82" s="478"/>
      <c r="AZ82" s="478"/>
      <c r="BA82" s="478"/>
      <c r="BB82" s="478"/>
      <c r="BC82" s="478"/>
      <c r="BD82" s="478"/>
      <c r="BE82" s="478"/>
      <c r="BF82" s="478"/>
      <c r="BG82" s="486" t="str">
        <f t="shared" si="10"/>
        <v/>
      </c>
      <c r="BH82" s="478"/>
      <c r="BI82" s="478"/>
      <c r="BJ82" s="478"/>
    </row>
    <row r="83" spans="1:62" x14ac:dyDescent="0.2">
      <c r="A83" s="478">
        <v>82</v>
      </c>
      <c r="B83" s="478"/>
      <c r="C83" s="487">
        <f>IF(COUNTIF($B$2:B83,B83)=1,1+COUNTIF($C$2:C82,"&gt;0"),0)</f>
        <v>0</v>
      </c>
      <c r="D83" s="487">
        <f>IF(Race=B83,1+COUNTIF($D$2:D82,"&gt;0"),0)</f>
        <v>0</v>
      </c>
      <c r="E83" s="478"/>
      <c r="F83" s="478"/>
      <c r="G83" s="478"/>
      <c r="H83" s="478"/>
      <c r="I83" s="478"/>
      <c r="J83" s="652"/>
      <c r="K83" s="479"/>
      <c r="L83" s="479"/>
      <c r="M83" s="479"/>
      <c r="N83" s="479"/>
      <c r="O83" s="479"/>
      <c r="P83" s="479"/>
      <c r="Q83" s="479"/>
      <c r="R83" s="479"/>
      <c r="S83" s="479"/>
      <c r="T83" s="479"/>
      <c r="U83" s="479"/>
      <c r="V83" s="479"/>
      <c r="W83" s="479"/>
      <c r="X83" s="479"/>
      <c r="Y83" s="478"/>
      <c r="Z83" s="478"/>
      <c r="AA83" s="478"/>
      <c r="AB83" s="478"/>
      <c r="AC83" s="478"/>
      <c r="AD83" s="478"/>
      <c r="AE83" s="478"/>
      <c r="AF83" s="478"/>
      <c r="AG83" s="478"/>
      <c r="AH83" s="478"/>
      <c r="AI83" s="478"/>
      <c r="AJ83" s="486" t="str">
        <f t="shared" si="6"/>
        <v/>
      </c>
      <c r="AK83" s="478"/>
      <c r="AL83" s="478"/>
      <c r="AM83" s="478"/>
      <c r="AN83" s="478"/>
      <c r="AO83" s="478"/>
      <c r="AP83" s="478"/>
      <c r="AQ83" s="478"/>
      <c r="AR83" s="478"/>
      <c r="AS83" s="478"/>
      <c r="AT83" s="486" t="str">
        <f t="shared" si="7"/>
        <v/>
      </c>
      <c r="AU83" s="478"/>
      <c r="AV83" s="478"/>
      <c r="AW83" s="478"/>
      <c r="AX83" s="478"/>
      <c r="AY83" s="478"/>
      <c r="AZ83" s="478"/>
      <c r="BA83" s="478"/>
      <c r="BB83" s="478"/>
      <c r="BC83" s="478"/>
      <c r="BD83" s="478"/>
      <c r="BE83" s="478"/>
      <c r="BF83" s="478"/>
      <c r="BG83" s="486" t="str">
        <f t="shared" si="10"/>
        <v/>
      </c>
      <c r="BH83" s="478"/>
      <c r="BI83" s="478"/>
      <c r="BJ83" s="478"/>
    </row>
    <row r="84" spans="1:62" x14ac:dyDescent="0.2">
      <c r="A84" s="478">
        <v>83</v>
      </c>
      <c r="B84" s="478"/>
      <c r="C84" s="487">
        <f>IF(COUNTIF($B$2:B84,B84)=1,1+COUNTIF($C$2:C83,"&gt;0"),0)</f>
        <v>0</v>
      </c>
      <c r="D84" s="487">
        <f>IF(Race=B84,1+COUNTIF($D$2:D83,"&gt;0"),0)</f>
        <v>0</v>
      </c>
      <c r="E84" s="478"/>
      <c r="F84" s="478"/>
      <c r="G84" s="478"/>
      <c r="H84" s="478"/>
      <c r="I84" s="478"/>
      <c r="J84" s="652"/>
      <c r="K84" s="479"/>
      <c r="L84" s="479"/>
      <c r="M84" s="479"/>
      <c r="N84" s="479"/>
      <c r="O84" s="479"/>
      <c r="P84" s="479"/>
      <c r="Q84" s="479"/>
      <c r="R84" s="479"/>
      <c r="S84" s="479"/>
      <c r="T84" s="479"/>
      <c r="U84" s="479"/>
      <c r="V84" s="479"/>
      <c r="W84" s="479"/>
      <c r="X84" s="479"/>
      <c r="Y84" s="478"/>
      <c r="Z84" s="478"/>
      <c r="AA84" s="478"/>
      <c r="AB84" s="478"/>
      <c r="AC84" s="478"/>
      <c r="AD84" s="478"/>
      <c r="AE84" s="478"/>
      <c r="AF84" s="478"/>
      <c r="AG84" s="478"/>
      <c r="AH84" s="478"/>
      <c r="AI84" s="478"/>
      <c r="AJ84" s="486" t="str">
        <f t="shared" si="6"/>
        <v/>
      </c>
      <c r="AK84" s="478"/>
      <c r="AL84" s="478"/>
      <c r="AM84" s="478"/>
      <c r="AN84" s="478"/>
      <c r="AO84" s="478"/>
      <c r="AP84" s="478"/>
      <c r="AQ84" s="478"/>
      <c r="AR84" s="478"/>
      <c r="AS84" s="478"/>
      <c r="AT84" s="486" t="str">
        <f t="shared" si="7"/>
        <v/>
      </c>
      <c r="AU84" s="478"/>
      <c r="AV84" s="478"/>
      <c r="AW84" s="478"/>
      <c r="AX84" s="478"/>
      <c r="AY84" s="478"/>
      <c r="AZ84" s="478"/>
      <c r="BA84" s="478"/>
      <c r="BB84" s="478"/>
      <c r="BC84" s="478"/>
      <c r="BD84" s="478"/>
      <c r="BE84" s="478"/>
      <c r="BF84" s="478"/>
      <c r="BG84" s="486" t="str">
        <f t="shared" si="10"/>
        <v/>
      </c>
      <c r="BH84" s="478"/>
      <c r="BI84" s="478"/>
      <c r="BJ84" s="478"/>
    </row>
    <row r="85" spans="1:62" x14ac:dyDescent="0.2">
      <c r="A85" s="478">
        <v>84</v>
      </c>
      <c r="B85" s="478"/>
      <c r="C85" s="487">
        <f>IF(COUNTIF($B$2:B85,B85)=1,1+COUNTIF($C$2:C84,"&gt;0"),0)</f>
        <v>0</v>
      </c>
      <c r="D85" s="487">
        <f>IF(Race=B85,1+COUNTIF($D$2:D84,"&gt;0"),0)</f>
        <v>0</v>
      </c>
      <c r="E85" s="478"/>
      <c r="F85" s="478"/>
      <c r="G85" s="478"/>
      <c r="H85" s="478"/>
      <c r="I85" s="478"/>
      <c r="J85" s="652"/>
      <c r="K85" s="479"/>
      <c r="L85" s="479"/>
      <c r="M85" s="479"/>
      <c r="N85" s="479"/>
      <c r="O85" s="479"/>
      <c r="P85" s="479"/>
      <c r="Q85" s="479"/>
      <c r="R85" s="479"/>
      <c r="S85" s="479"/>
      <c r="T85" s="479"/>
      <c r="U85" s="479"/>
      <c r="V85" s="479"/>
      <c r="W85" s="479"/>
      <c r="X85" s="479"/>
      <c r="Y85" s="478"/>
      <c r="Z85" s="478"/>
      <c r="AA85" s="478"/>
      <c r="AB85" s="478"/>
      <c r="AC85" s="478"/>
      <c r="AD85" s="478"/>
      <c r="AE85" s="478"/>
      <c r="AF85" s="478"/>
      <c r="AG85" s="478"/>
      <c r="AH85" s="478"/>
      <c r="AI85" s="478"/>
      <c r="AJ85" s="486" t="str">
        <f t="shared" si="6"/>
        <v/>
      </c>
      <c r="AK85" s="478"/>
      <c r="AL85" s="478"/>
      <c r="AM85" s="478"/>
      <c r="AN85" s="478"/>
      <c r="AO85" s="478"/>
      <c r="AP85" s="478"/>
      <c r="AQ85" s="478"/>
      <c r="AR85" s="478"/>
      <c r="AS85" s="478"/>
      <c r="AT85" s="486" t="str">
        <f t="shared" si="7"/>
        <v/>
      </c>
      <c r="AU85" s="478"/>
      <c r="AV85" s="478"/>
      <c r="AW85" s="478"/>
      <c r="AX85" s="478"/>
      <c r="AY85" s="478"/>
      <c r="AZ85" s="478"/>
      <c r="BA85" s="478"/>
      <c r="BB85" s="478"/>
      <c r="BC85" s="478"/>
      <c r="BD85" s="478"/>
      <c r="BE85" s="478"/>
      <c r="BF85" s="478"/>
      <c r="BG85" s="486" t="str">
        <f t="shared" si="10"/>
        <v/>
      </c>
      <c r="BH85" s="478"/>
      <c r="BI85" s="478"/>
      <c r="BJ85" s="478"/>
    </row>
    <row r="86" spans="1:62" x14ac:dyDescent="0.2">
      <c r="A86" s="478">
        <v>85</v>
      </c>
      <c r="B86" s="478"/>
      <c r="C86" s="487">
        <f>IF(COUNTIF($B$2:B86,B86)=1,1+COUNTIF($C$2:C85,"&gt;0"),0)</f>
        <v>0</v>
      </c>
      <c r="D86" s="487">
        <f>IF(Race=B86,1+COUNTIF($D$2:D85,"&gt;0"),0)</f>
        <v>0</v>
      </c>
      <c r="E86" s="478"/>
      <c r="F86" s="478"/>
      <c r="G86" s="478"/>
      <c r="H86" s="478"/>
      <c r="I86" s="478"/>
      <c r="J86" s="652"/>
      <c r="K86" s="479"/>
      <c r="L86" s="479"/>
      <c r="M86" s="479"/>
      <c r="N86" s="479"/>
      <c r="O86" s="479"/>
      <c r="P86" s="479"/>
      <c r="Q86" s="479"/>
      <c r="R86" s="479"/>
      <c r="S86" s="479"/>
      <c r="T86" s="479"/>
      <c r="U86" s="479"/>
      <c r="V86" s="479"/>
      <c r="W86" s="479"/>
      <c r="X86" s="479"/>
      <c r="Y86" s="478"/>
      <c r="Z86" s="478"/>
      <c r="AA86" s="478"/>
      <c r="AB86" s="478"/>
      <c r="AC86" s="478"/>
      <c r="AD86" s="478"/>
      <c r="AE86" s="478"/>
      <c r="AF86" s="478"/>
      <c r="AG86" s="478"/>
      <c r="AH86" s="478"/>
      <c r="AI86" s="478"/>
      <c r="AJ86" s="486" t="str">
        <f t="shared" si="6"/>
        <v/>
      </c>
      <c r="AK86" s="478"/>
      <c r="AL86" s="478"/>
      <c r="AM86" s="478"/>
      <c r="AN86" s="478"/>
      <c r="AO86" s="478"/>
      <c r="AP86" s="478"/>
      <c r="AQ86" s="478"/>
      <c r="AR86" s="478"/>
      <c r="AS86" s="478"/>
      <c r="AT86" s="486" t="str">
        <f t="shared" si="7"/>
        <v/>
      </c>
      <c r="AU86" s="478"/>
      <c r="AV86" s="478"/>
      <c r="AW86" s="478"/>
      <c r="AX86" s="478"/>
      <c r="AY86" s="478"/>
      <c r="AZ86" s="478"/>
      <c r="BA86" s="478"/>
      <c r="BB86" s="478"/>
      <c r="BC86" s="478"/>
      <c r="BD86" s="478"/>
      <c r="BE86" s="478"/>
      <c r="BF86" s="478"/>
      <c r="BG86" s="486" t="str">
        <f t="shared" si="10"/>
        <v/>
      </c>
      <c r="BH86" s="478"/>
      <c r="BI86" s="478"/>
      <c r="BJ86" s="478"/>
    </row>
    <row r="87" spans="1:62" x14ac:dyDescent="0.2">
      <c r="A87" s="478">
        <v>86</v>
      </c>
      <c r="B87" s="478"/>
      <c r="C87" s="487">
        <f>IF(COUNTIF($B$2:B87,B87)=1,1+COUNTIF($C$2:C86,"&gt;0"),0)</f>
        <v>0</v>
      </c>
      <c r="D87" s="487">
        <f>IF(Race=B87,1+COUNTIF($D$2:D86,"&gt;0"),0)</f>
        <v>0</v>
      </c>
      <c r="E87" s="478"/>
      <c r="F87" s="478"/>
      <c r="G87" s="478"/>
      <c r="H87" s="478"/>
      <c r="I87" s="478"/>
      <c r="J87" s="652"/>
      <c r="K87" s="479"/>
      <c r="L87" s="479"/>
      <c r="M87" s="479"/>
      <c r="N87" s="479"/>
      <c r="O87" s="479"/>
      <c r="P87" s="479"/>
      <c r="Q87" s="479"/>
      <c r="R87" s="479"/>
      <c r="S87" s="479"/>
      <c r="T87" s="479"/>
      <c r="U87" s="479"/>
      <c r="V87" s="479"/>
      <c r="W87" s="479"/>
      <c r="X87" s="479"/>
      <c r="Y87" s="478"/>
      <c r="Z87" s="478"/>
      <c r="AA87" s="478"/>
      <c r="AB87" s="478"/>
      <c r="AC87" s="478"/>
      <c r="AD87" s="478"/>
      <c r="AE87" s="478"/>
      <c r="AF87" s="478"/>
      <c r="AG87" s="478"/>
      <c r="AH87" s="478"/>
      <c r="AI87" s="478"/>
      <c r="AJ87" s="486" t="str">
        <f t="shared" si="6"/>
        <v/>
      </c>
      <c r="AK87" s="478"/>
      <c r="AL87" s="478"/>
      <c r="AM87" s="478"/>
      <c r="AN87" s="478"/>
      <c r="AO87" s="478"/>
      <c r="AP87" s="478"/>
      <c r="AQ87" s="478"/>
      <c r="AR87" s="478"/>
      <c r="AS87" s="478"/>
      <c r="AT87" s="486" t="str">
        <f t="shared" si="7"/>
        <v/>
      </c>
      <c r="AU87" s="478"/>
      <c r="AV87" s="478"/>
      <c r="AW87" s="478"/>
      <c r="AX87" s="478"/>
      <c r="AY87" s="478"/>
      <c r="AZ87" s="478"/>
      <c r="BA87" s="478"/>
      <c r="BB87" s="478"/>
      <c r="BC87" s="478"/>
      <c r="BD87" s="478"/>
      <c r="BE87" s="478"/>
      <c r="BF87" s="478"/>
      <c r="BG87" s="486" t="str">
        <f t="shared" si="10"/>
        <v/>
      </c>
      <c r="BH87" s="478"/>
      <c r="BI87" s="478"/>
      <c r="BJ87" s="478"/>
    </row>
    <row r="88" spans="1:62" x14ac:dyDescent="0.2">
      <c r="A88" s="478">
        <v>87</v>
      </c>
      <c r="B88" s="478"/>
      <c r="C88" s="487">
        <f>IF(COUNTIF($B$2:B88,B88)=1,1+COUNTIF($C$2:C87,"&gt;0"),0)</f>
        <v>0</v>
      </c>
      <c r="D88" s="487">
        <f>IF(Race=B88,1+COUNTIF($D$2:D87,"&gt;0"),0)</f>
        <v>0</v>
      </c>
      <c r="E88" s="478"/>
      <c r="F88" s="478"/>
      <c r="G88" s="478"/>
      <c r="H88" s="478"/>
      <c r="I88" s="478"/>
      <c r="J88" s="652"/>
      <c r="K88" s="479"/>
      <c r="L88" s="479"/>
      <c r="M88" s="479"/>
      <c r="N88" s="479"/>
      <c r="O88" s="479"/>
      <c r="P88" s="479"/>
      <c r="Q88" s="479"/>
      <c r="R88" s="479"/>
      <c r="S88" s="479"/>
      <c r="T88" s="479"/>
      <c r="U88" s="479"/>
      <c r="V88" s="479"/>
      <c r="W88" s="479"/>
      <c r="X88" s="479"/>
      <c r="Y88" s="478"/>
      <c r="Z88" s="478"/>
      <c r="AA88" s="478"/>
      <c r="AB88" s="478"/>
      <c r="AC88" s="478"/>
      <c r="AD88" s="478"/>
      <c r="AE88" s="478"/>
      <c r="AF88" s="478"/>
      <c r="AG88" s="478"/>
      <c r="AH88" s="478"/>
      <c r="AI88" s="478"/>
      <c r="AJ88" s="486" t="str">
        <f t="shared" si="6"/>
        <v/>
      </c>
      <c r="AK88" s="478"/>
      <c r="AL88" s="478"/>
      <c r="AM88" s="478"/>
      <c r="AN88" s="478"/>
      <c r="AO88" s="478"/>
      <c r="AP88" s="478"/>
      <c r="AQ88" s="478"/>
      <c r="AR88" s="478"/>
      <c r="AS88" s="478"/>
      <c r="AT88" s="486" t="str">
        <f t="shared" si="7"/>
        <v/>
      </c>
      <c r="AU88" s="478"/>
      <c r="AV88" s="478"/>
      <c r="AW88" s="478"/>
      <c r="AX88" s="478"/>
      <c r="AY88" s="478"/>
      <c r="AZ88" s="478"/>
      <c r="BA88" s="478"/>
      <c r="BB88" s="478"/>
      <c r="BC88" s="478"/>
      <c r="BD88" s="478"/>
      <c r="BE88" s="478"/>
      <c r="BF88" s="478"/>
      <c r="BG88" s="486" t="str">
        <f t="shared" si="10"/>
        <v/>
      </c>
      <c r="BH88" s="478"/>
      <c r="BI88" s="478"/>
      <c r="BJ88" s="478"/>
    </row>
    <row r="89" spans="1:62" x14ac:dyDescent="0.2">
      <c r="A89" s="478">
        <v>88</v>
      </c>
      <c r="B89" s="478"/>
      <c r="C89" s="487">
        <f>IF(COUNTIF($B$2:B89,B89)=1,1+COUNTIF($C$2:C88,"&gt;0"),0)</f>
        <v>0</v>
      </c>
      <c r="D89" s="487">
        <f>IF(Race=B89,1+COUNTIF($D$2:D88,"&gt;0"),0)</f>
        <v>0</v>
      </c>
      <c r="E89" s="478"/>
      <c r="F89" s="478"/>
      <c r="G89" s="478"/>
      <c r="H89" s="478"/>
      <c r="I89" s="478"/>
      <c r="J89" s="652"/>
      <c r="K89" s="479"/>
      <c r="L89" s="479"/>
      <c r="M89" s="479"/>
      <c r="N89" s="479"/>
      <c r="O89" s="479"/>
      <c r="P89" s="479"/>
      <c r="Q89" s="479"/>
      <c r="R89" s="479"/>
      <c r="S89" s="479"/>
      <c r="T89" s="479"/>
      <c r="U89" s="479"/>
      <c r="V89" s="479"/>
      <c r="W89" s="479"/>
      <c r="X89" s="479"/>
      <c r="Y89" s="478"/>
      <c r="Z89" s="478"/>
      <c r="AA89" s="478"/>
      <c r="AB89" s="478"/>
      <c r="AC89" s="478"/>
      <c r="AD89" s="478"/>
      <c r="AE89" s="478"/>
      <c r="AF89" s="478"/>
      <c r="AG89" s="478"/>
      <c r="AH89" s="478"/>
      <c r="AI89" s="478"/>
      <c r="AJ89" s="486" t="str">
        <f t="shared" si="6"/>
        <v/>
      </c>
      <c r="AK89" s="478"/>
      <c r="AL89" s="478"/>
      <c r="AM89" s="478"/>
      <c r="AN89" s="478"/>
      <c r="AO89" s="478"/>
      <c r="AP89" s="478"/>
      <c r="AQ89" s="478"/>
      <c r="AR89" s="478"/>
      <c r="AS89" s="478"/>
      <c r="AT89" s="486" t="str">
        <f t="shared" si="7"/>
        <v/>
      </c>
      <c r="AU89" s="478"/>
      <c r="AV89" s="478"/>
      <c r="AW89" s="478"/>
      <c r="AX89" s="478"/>
      <c r="AY89" s="478"/>
      <c r="AZ89" s="478"/>
      <c r="BA89" s="478"/>
      <c r="BB89" s="478"/>
      <c r="BC89" s="478"/>
      <c r="BD89" s="478"/>
      <c r="BE89" s="478"/>
      <c r="BF89" s="478"/>
      <c r="BG89" s="486" t="str">
        <f t="shared" si="10"/>
        <v/>
      </c>
      <c r="BH89" s="478"/>
      <c r="BI89" s="478"/>
      <c r="BJ89" s="478"/>
    </row>
    <row r="90" spans="1:62" x14ac:dyDescent="0.2">
      <c r="A90" s="478">
        <v>89</v>
      </c>
      <c r="B90" s="478"/>
      <c r="C90" s="487">
        <f>IF(COUNTIF($B$2:B90,B90)=1,1+COUNTIF($C$2:C89,"&gt;0"),0)</f>
        <v>0</v>
      </c>
      <c r="D90" s="487">
        <f>IF(Race=B90,1+COUNTIF($D$2:D89,"&gt;0"),0)</f>
        <v>0</v>
      </c>
      <c r="E90" s="478"/>
      <c r="F90" s="478"/>
      <c r="G90" s="478"/>
      <c r="H90" s="478"/>
      <c r="I90" s="478"/>
      <c r="J90" s="652"/>
      <c r="K90" s="479"/>
      <c r="L90" s="479"/>
      <c r="M90" s="479"/>
      <c r="N90" s="479"/>
      <c r="O90" s="479"/>
      <c r="P90" s="479"/>
      <c r="Q90" s="479"/>
      <c r="R90" s="479"/>
      <c r="S90" s="479"/>
      <c r="T90" s="479"/>
      <c r="U90" s="479"/>
      <c r="V90" s="479"/>
      <c r="W90" s="479"/>
      <c r="X90" s="479"/>
      <c r="Y90" s="478"/>
      <c r="Z90" s="478"/>
      <c r="AA90" s="478"/>
      <c r="AB90" s="478"/>
      <c r="AC90" s="478"/>
      <c r="AD90" s="478"/>
      <c r="AE90" s="478"/>
      <c r="AF90" s="478"/>
      <c r="AG90" s="478"/>
      <c r="AH90" s="478"/>
      <c r="AI90" s="478"/>
      <c r="AJ90" s="486" t="str">
        <f t="shared" si="6"/>
        <v/>
      </c>
      <c r="AK90" s="478"/>
      <c r="AL90" s="478"/>
      <c r="AM90" s="478"/>
      <c r="AN90" s="478"/>
      <c r="AO90" s="478"/>
      <c r="AP90" s="478"/>
      <c r="AQ90" s="478"/>
      <c r="AR90" s="478"/>
      <c r="AS90" s="478"/>
      <c r="AT90" s="486" t="str">
        <f t="shared" si="7"/>
        <v/>
      </c>
      <c r="AU90" s="478"/>
      <c r="AV90" s="478"/>
      <c r="AW90" s="478"/>
      <c r="AX90" s="478"/>
      <c r="AY90" s="478"/>
      <c r="AZ90" s="478"/>
      <c r="BA90" s="478"/>
      <c r="BB90" s="478"/>
      <c r="BC90" s="478"/>
      <c r="BD90" s="478"/>
      <c r="BE90" s="478"/>
      <c r="BF90" s="478"/>
      <c r="BG90" s="486" t="str">
        <f t="shared" si="10"/>
        <v/>
      </c>
      <c r="BH90" s="478"/>
      <c r="BI90" s="478"/>
      <c r="BJ90" s="478"/>
    </row>
    <row r="91" spans="1:62" x14ac:dyDescent="0.2">
      <c r="A91" s="478">
        <v>90</v>
      </c>
      <c r="B91" s="478"/>
      <c r="C91" s="487">
        <f>IF(COUNTIF($B$2:B91,B91)=1,1+COUNTIF($C$2:C90,"&gt;0"),0)</f>
        <v>0</v>
      </c>
      <c r="D91" s="487">
        <f>IF(Race=B91,1+COUNTIF($D$2:D90,"&gt;0"),0)</f>
        <v>0</v>
      </c>
      <c r="E91" s="478"/>
      <c r="F91" s="478"/>
      <c r="G91" s="478"/>
      <c r="H91" s="478"/>
      <c r="I91" s="478"/>
      <c r="J91" s="652"/>
      <c r="K91" s="479"/>
      <c r="L91" s="479"/>
      <c r="M91" s="479"/>
      <c r="N91" s="479"/>
      <c r="O91" s="479"/>
      <c r="P91" s="479"/>
      <c r="Q91" s="479"/>
      <c r="R91" s="479"/>
      <c r="S91" s="479"/>
      <c r="T91" s="479"/>
      <c r="U91" s="479"/>
      <c r="V91" s="479"/>
      <c r="W91" s="479"/>
      <c r="X91" s="479"/>
      <c r="Y91" s="478"/>
      <c r="Z91" s="478"/>
      <c r="AA91" s="478"/>
      <c r="AB91" s="478"/>
      <c r="AC91" s="478"/>
      <c r="AD91" s="478"/>
      <c r="AE91" s="478"/>
      <c r="AF91" s="478"/>
      <c r="AG91" s="478"/>
      <c r="AH91" s="478"/>
      <c r="AI91" s="478"/>
      <c r="AJ91" s="486" t="str">
        <f t="shared" si="6"/>
        <v/>
      </c>
      <c r="AK91" s="478"/>
      <c r="AL91" s="478"/>
      <c r="AM91" s="478"/>
      <c r="AN91" s="478"/>
      <c r="AO91" s="478"/>
      <c r="AP91" s="478"/>
      <c r="AQ91" s="478"/>
      <c r="AR91" s="478"/>
      <c r="AS91" s="478"/>
      <c r="AT91" s="486" t="str">
        <f t="shared" si="7"/>
        <v/>
      </c>
      <c r="AU91" s="478"/>
      <c r="AV91" s="478"/>
      <c r="AW91" s="478"/>
      <c r="AX91" s="478"/>
      <c r="AY91" s="478"/>
      <c r="AZ91" s="478"/>
      <c r="BA91" s="478"/>
      <c r="BB91" s="478"/>
      <c r="BC91" s="478"/>
      <c r="BD91" s="478"/>
      <c r="BE91" s="478"/>
      <c r="BF91" s="478"/>
      <c r="BG91" s="486" t="str">
        <f t="shared" si="10"/>
        <v/>
      </c>
      <c r="BH91" s="478"/>
      <c r="BI91" s="478"/>
      <c r="BJ91" s="478"/>
    </row>
    <row r="92" spans="1:62" x14ac:dyDescent="0.2">
      <c r="A92" s="478">
        <v>91</v>
      </c>
      <c r="B92" s="478"/>
      <c r="C92" s="487">
        <f>IF(COUNTIF($B$2:B92,B92)=1,1+COUNTIF($C$2:C91,"&gt;0"),0)</f>
        <v>0</v>
      </c>
      <c r="D92" s="487">
        <f>IF(Race=B92,1+COUNTIF($D$2:D91,"&gt;0"),0)</f>
        <v>0</v>
      </c>
      <c r="E92" s="478"/>
      <c r="F92" s="478"/>
      <c r="G92" s="478"/>
      <c r="H92" s="478"/>
      <c r="I92" s="478"/>
      <c r="J92" s="652"/>
      <c r="K92" s="479"/>
      <c r="L92" s="479"/>
      <c r="M92" s="479"/>
      <c r="N92" s="479"/>
      <c r="O92" s="479"/>
      <c r="P92" s="479"/>
      <c r="Q92" s="479"/>
      <c r="R92" s="479"/>
      <c r="S92" s="479"/>
      <c r="T92" s="479"/>
      <c r="U92" s="479"/>
      <c r="V92" s="479"/>
      <c r="W92" s="479"/>
      <c r="X92" s="479"/>
      <c r="Y92" s="478"/>
      <c r="Z92" s="478"/>
      <c r="AA92" s="478"/>
      <c r="AB92" s="478"/>
      <c r="AC92" s="478"/>
      <c r="AD92" s="478"/>
      <c r="AE92" s="478"/>
      <c r="AF92" s="478"/>
      <c r="AG92" s="478"/>
      <c r="AH92" s="478"/>
      <c r="AI92" s="478"/>
      <c r="AJ92" s="486" t="str">
        <f t="shared" si="6"/>
        <v/>
      </c>
      <c r="AK92" s="478"/>
      <c r="AL92" s="478"/>
      <c r="AM92" s="478"/>
      <c r="AN92" s="478"/>
      <c r="AO92" s="478"/>
      <c r="AP92" s="478"/>
      <c r="AQ92" s="478"/>
      <c r="AR92" s="478"/>
      <c r="AS92" s="478"/>
      <c r="AT92" s="486" t="str">
        <f t="shared" si="7"/>
        <v/>
      </c>
      <c r="AU92" s="478"/>
      <c r="AV92" s="478"/>
      <c r="AW92" s="478"/>
      <c r="AX92" s="478"/>
      <c r="AY92" s="478"/>
      <c r="AZ92" s="478"/>
      <c r="BA92" s="478"/>
      <c r="BB92" s="478"/>
      <c r="BC92" s="478"/>
      <c r="BD92" s="478"/>
      <c r="BE92" s="478"/>
      <c r="BF92" s="478"/>
      <c r="BG92" s="486" t="str">
        <f t="shared" si="10"/>
        <v/>
      </c>
      <c r="BH92" s="478"/>
      <c r="BI92" s="478"/>
      <c r="BJ92" s="478"/>
    </row>
    <row r="93" spans="1:62" x14ac:dyDescent="0.2">
      <c r="A93" s="478">
        <v>92</v>
      </c>
      <c r="B93" s="478"/>
      <c r="C93" s="487">
        <f>IF(COUNTIF($B$2:B93,B93)=1,1+COUNTIF($C$2:C92,"&gt;0"),0)</f>
        <v>0</v>
      </c>
      <c r="D93" s="487">
        <f>IF(Race=B93,1+COUNTIF($D$2:D92,"&gt;0"),0)</f>
        <v>0</v>
      </c>
      <c r="E93" s="478"/>
      <c r="F93" s="478"/>
      <c r="G93" s="478"/>
      <c r="H93" s="478"/>
      <c r="I93" s="478"/>
      <c r="J93" s="652"/>
      <c r="K93" s="479"/>
      <c r="L93" s="479"/>
      <c r="M93" s="479"/>
      <c r="N93" s="479"/>
      <c r="O93" s="479"/>
      <c r="P93" s="479"/>
      <c r="Q93" s="479"/>
      <c r="R93" s="479"/>
      <c r="S93" s="479"/>
      <c r="T93" s="479"/>
      <c r="U93" s="479"/>
      <c r="V93" s="479"/>
      <c r="W93" s="479"/>
      <c r="X93" s="479"/>
      <c r="Y93" s="478"/>
      <c r="Z93" s="478"/>
      <c r="AA93" s="478"/>
      <c r="AB93" s="478"/>
      <c r="AC93" s="478"/>
      <c r="AD93" s="478"/>
      <c r="AE93" s="478"/>
      <c r="AF93" s="478"/>
      <c r="AG93" s="478"/>
      <c r="AH93" s="478"/>
      <c r="AI93" s="478"/>
      <c r="AJ93" s="486" t="str">
        <f t="shared" si="6"/>
        <v/>
      </c>
      <c r="AK93" s="478"/>
      <c r="AL93" s="478"/>
      <c r="AM93" s="478"/>
      <c r="AN93" s="478"/>
      <c r="AO93" s="478"/>
      <c r="AP93" s="478"/>
      <c r="AQ93" s="478"/>
      <c r="AR93" s="478"/>
      <c r="AS93" s="478"/>
      <c r="AT93" s="486" t="str">
        <f t="shared" si="7"/>
        <v/>
      </c>
      <c r="AU93" s="478"/>
      <c r="AV93" s="478"/>
      <c r="AW93" s="478"/>
      <c r="AX93" s="478"/>
      <c r="AY93" s="478"/>
      <c r="AZ93" s="478"/>
      <c r="BA93" s="478"/>
      <c r="BB93" s="478"/>
      <c r="BC93" s="478"/>
      <c r="BD93" s="478"/>
      <c r="BE93" s="478"/>
      <c r="BF93" s="478"/>
      <c r="BG93" s="486" t="str">
        <f t="shared" si="10"/>
        <v/>
      </c>
      <c r="BH93" s="478"/>
      <c r="BI93" s="478"/>
      <c r="BJ93" s="478"/>
    </row>
    <row r="94" spans="1:62" x14ac:dyDescent="0.2">
      <c r="A94" s="478">
        <v>93</v>
      </c>
      <c r="B94" s="478"/>
      <c r="C94" s="487">
        <f>IF(COUNTIF($B$2:B94,B94)=1,1+COUNTIF($C$2:C93,"&gt;0"),0)</f>
        <v>0</v>
      </c>
      <c r="D94" s="487">
        <f>IF(Race=B94,1+COUNTIF($D$2:D93,"&gt;0"),0)</f>
        <v>0</v>
      </c>
      <c r="E94" s="478"/>
      <c r="F94" s="478"/>
      <c r="G94" s="478"/>
      <c r="H94" s="478"/>
      <c r="I94" s="478"/>
      <c r="J94" s="652"/>
      <c r="K94" s="479"/>
      <c r="L94" s="479"/>
      <c r="M94" s="479"/>
      <c r="N94" s="479"/>
      <c r="O94" s="479"/>
      <c r="P94" s="479"/>
      <c r="Q94" s="479"/>
      <c r="R94" s="479"/>
      <c r="S94" s="479"/>
      <c r="T94" s="479"/>
      <c r="U94" s="479"/>
      <c r="V94" s="479"/>
      <c r="W94" s="479"/>
      <c r="X94" s="479"/>
      <c r="Y94" s="478"/>
      <c r="Z94" s="478"/>
      <c r="AA94" s="478"/>
      <c r="AB94" s="478"/>
      <c r="AC94" s="478"/>
      <c r="AD94" s="478"/>
      <c r="AE94" s="478"/>
      <c r="AF94" s="478"/>
      <c r="AG94" s="478"/>
      <c r="AH94" s="478"/>
      <c r="AI94" s="478"/>
      <c r="AJ94" s="486" t="str">
        <f t="shared" si="6"/>
        <v/>
      </c>
      <c r="AK94" s="478"/>
      <c r="AL94" s="478"/>
      <c r="AM94" s="478"/>
      <c r="AN94" s="478"/>
      <c r="AO94" s="478"/>
      <c r="AP94" s="478"/>
      <c r="AQ94" s="478"/>
      <c r="AR94" s="478"/>
      <c r="AS94" s="478"/>
      <c r="AT94" s="486" t="str">
        <f t="shared" si="7"/>
        <v/>
      </c>
      <c r="AU94" s="478"/>
      <c r="AV94" s="478"/>
      <c r="AW94" s="478"/>
      <c r="AX94" s="478"/>
      <c r="AY94" s="478"/>
      <c r="AZ94" s="478"/>
      <c r="BA94" s="478"/>
      <c r="BB94" s="478"/>
      <c r="BC94" s="478"/>
      <c r="BD94" s="478"/>
      <c r="BE94" s="478"/>
      <c r="BF94" s="478"/>
      <c r="BG94" s="486" t="str">
        <f t="shared" si="10"/>
        <v/>
      </c>
      <c r="BH94" s="478"/>
      <c r="BI94" s="478"/>
      <c r="BJ94" s="478"/>
    </row>
    <row r="95" spans="1:62" x14ac:dyDescent="0.2">
      <c r="A95" s="478">
        <v>94</v>
      </c>
      <c r="B95" s="478"/>
      <c r="C95" s="487">
        <f>IF(COUNTIF($B$2:B95,B95)=1,1+COUNTIF($C$2:C94,"&gt;0"),0)</f>
        <v>0</v>
      </c>
      <c r="D95" s="487">
        <f>IF(Race=B95,1+COUNTIF($D$2:D94,"&gt;0"),0)</f>
        <v>0</v>
      </c>
      <c r="E95" s="478"/>
      <c r="F95" s="478"/>
      <c r="G95" s="478"/>
      <c r="H95" s="478"/>
      <c r="I95" s="478"/>
      <c r="J95" s="652"/>
      <c r="K95" s="479"/>
      <c r="L95" s="479"/>
      <c r="M95" s="479"/>
      <c r="N95" s="479"/>
      <c r="O95" s="479"/>
      <c r="P95" s="479"/>
      <c r="Q95" s="479"/>
      <c r="R95" s="479"/>
      <c r="S95" s="479"/>
      <c r="T95" s="479"/>
      <c r="U95" s="479"/>
      <c r="V95" s="479"/>
      <c r="W95" s="479"/>
      <c r="X95" s="479"/>
      <c r="Y95" s="478"/>
      <c r="Z95" s="478"/>
      <c r="AA95" s="478"/>
      <c r="AB95" s="478"/>
      <c r="AC95" s="478"/>
      <c r="AD95" s="478"/>
      <c r="AE95" s="478"/>
      <c r="AF95" s="478"/>
      <c r="AG95" s="478"/>
      <c r="AH95" s="478"/>
      <c r="AI95" s="478"/>
      <c r="AJ95" s="486" t="str">
        <f t="shared" si="6"/>
        <v/>
      </c>
      <c r="AK95" s="478"/>
      <c r="AL95" s="478"/>
      <c r="AM95" s="478"/>
      <c r="AN95" s="478"/>
      <c r="AO95" s="478"/>
      <c r="AP95" s="478"/>
      <c r="AQ95" s="478"/>
      <c r="AR95" s="478"/>
      <c r="AS95" s="478"/>
      <c r="AT95" s="486" t="str">
        <f t="shared" si="7"/>
        <v/>
      </c>
      <c r="AU95" s="478"/>
      <c r="AV95" s="478"/>
      <c r="AW95" s="478"/>
      <c r="AX95" s="478"/>
      <c r="AY95" s="478"/>
      <c r="AZ95" s="478"/>
      <c r="BA95" s="478"/>
      <c r="BB95" s="478"/>
      <c r="BC95" s="478"/>
      <c r="BD95" s="478"/>
      <c r="BE95" s="478"/>
      <c r="BF95" s="478"/>
      <c r="BG95" s="486" t="str">
        <f t="shared" si="10"/>
        <v/>
      </c>
      <c r="BH95" s="478"/>
      <c r="BI95" s="478"/>
      <c r="BJ95" s="478"/>
    </row>
    <row r="96" spans="1:62" x14ac:dyDescent="0.2">
      <c r="A96" s="478">
        <v>95</v>
      </c>
      <c r="B96" s="478"/>
      <c r="C96" s="487">
        <f>IF(COUNTIF($B$2:B96,B96)=1,1+COUNTIF($C$2:C95,"&gt;0"),0)</f>
        <v>0</v>
      </c>
      <c r="D96" s="487">
        <f>IF(Race=B96,1+COUNTIF($D$2:D95,"&gt;0"),0)</f>
        <v>0</v>
      </c>
      <c r="E96" s="478"/>
      <c r="F96" s="478"/>
      <c r="G96" s="478"/>
      <c r="H96" s="478"/>
      <c r="I96" s="478"/>
      <c r="J96" s="652"/>
      <c r="K96" s="479"/>
      <c r="L96" s="479"/>
      <c r="M96" s="479"/>
      <c r="N96" s="479"/>
      <c r="O96" s="479"/>
      <c r="P96" s="479"/>
      <c r="Q96" s="479"/>
      <c r="R96" s="479"/>
      <c r="S96" s="479"/>
      <c r="T96" s="479"/>
      <c r="U96" s="479"/>
      <c r="V96" s="479"/>
      <c r="W96" s="479"/>
      <c r="X96" s="479"/>
      <c r="Y96" s="478"/>
      <c r="Z96" s="478"/>
      <c r="AA96" s="478"/>
      <c r="AB96" s="478"/>
      <c r="AC96" s="478"/>
      <c r="AD96" s="478"/>
      <c r="AE96" s="478"/>
      <c r="AF96" s="478"/>
      <c r="AG96" s="478"/>
      <c r="AH96" s="478"/>
      <c r="AI96" s="478"/>
      <c r="AJ96" s="486" t="str">
        <f t="shared" si="6"/>
        <v/>
      </c>
      <c r="AK96" s="478"/>
      <c r="AL96" s="478"/>
      <c r="AM96" s="478"/>
      <c r="AN96" s="478"/>
      <c r="AO96" s="478"/>
      <c r="AP96" s="478"/>
      <c r="AQ96" s="478"/>
      <c r="AR96" s="478"/>
      <c r="AS96" s="478"/>
      <c r="AT96" s="486" t="str">
        <f t="shared" si="7"/>
        <v/>
      </c>
      <c r="AU96" s="478"/>
      <c r="AV96" s="478"/>
      <c r="AW96" s="478"/>
      <c r="AX96" s="478"/>
      <c r="AY96" s="478"/>
      <c r="AZ96" s="478"/>
      <c r="BA96" s="478"/>
      <c r="BB96" s="478"/>
      <c r="BC96" s="478"/>
      <c r="BD96" s="478"/>
      <c r="BE96" s="478"/>
      <c r="BF96" s="478"/>
      <c r="BG96" s="486" t="str">
        <f t="shared" si="10"/>
        <v/>
      </c>
      <c r="BH96" s="478"/>
      <c r="BI96" s="478"/>
      <c r="BJ96" s="478"/>
    </row>
    <row r="97" spans="1:62" x14ac:dyDescent="0.2">
      <c r="A97" s="478">
        <v>96</v>
      </c>
      <c r="B97" s="478"/>
      <c r="C97" s="487">
        <f>IF(COUNTIF($B$2:B97,B97)=1,1+COUNTIF($C$2:C96,"&gt;0"),0)</f>
        <v>0</v>
      </c>
      <c r="D97" s="487">
        <f>IF(Race=B97,1+COUNTIF($D$2:D96,"&gt;0"),0)</f>
        <v>0</v>
      </c>
      <c r="E97" s="478"/>
      <c r="F97" s="478"/>
      <c r="G97" s="478"/>
      <c r="H97" s="478"/>
      <c r="I97" s="478"/>
      <c r="J97" s="652"/>
      <c r="K97" s="479"/>
      <c r="L97" s="479"/>
      <c r="M97" s="479"/>
      <c r="N97" s="479"/>
      <c r="O97" s="479"/>
      <c r="P97" s="479"/>
      <c r="Q97" s="479"/>
      <c r="R97" s="479"/>
      <c r="S97" s="479"/>
      <c r="T97" s="479"/>
      <c r="U97" s="479"/>
      <c r="V97" s="479"/>
      <c r="W97" s="479"/>
      <c r="X97" s="479"/>
      <c r="Y97" s="478"/>
      <c r="Z97" s="478"/>
      <c r="AA97" s="478"/>
      <c r="AB97" s="478"/>
      <c r="AC97" s="478"/>
      <c r="AD97" s="478"/>
      <c r="AE97" s="478"/>
      <c r="AF97" s="478"/>
      <c r="AG97" s="478"/>
      <c r="AH97" s="478"/>
      <c r="AI97" s="478"/>
      <c r="AJ97" s="486" t="str">
        <f t="shared" si="6"/>
        <v/>
      </c>
      <c r="AK97" s="478"/>
      <c r="AL97" s="478"/>
      <c r="AM97" s="478"/>
      <c r="AN97" s="478"/>
      <c r="AO97" s="478"/>
      <c r="AP97" s="478"/>
      <c r="AQ97" s="478"/>
      <c r="AR97" s="478"/>
      <c r="AS97" s="478"/>
      <c r="AT97" s="486" t="str">
        <f t="shared" si="7"/>
        <v/>
      </c>
      <c r="AU97" s="478"/>
      <c r="AV97" s="478"/>
      <c r="AW97" s="478"/>
      <c r="AX97" s="478"/>
      <c r="AY97" s="478"/>
      <c r="AZ97" s="478"/>
      <c r="BA97" s="478"/>
      <c r="BB97" s="478"/>
      <c r="BC97" s="478"/>
      <c r="BD97" s="478"/>
      <c r="BE97" s="478"/>
      <c r="BF97" s="478"/>
      <c r="BG97" s="486" t="str">
        <f t="shared" si="10"/>
        <v/>
      </c>
      <c r="BH97" s="478"/>
      <c r="BI97" s="478"/>
      <c r="BJ97" s="478"/>
    </row>
    <row r="98" spans="1:62" x14ac:dyDescent="0.2">
      <c r="A98" s="478">
        <v>97</v>
      </c>
      <c r="B98" s="478"/>
      <c r="C98" s="487">
        <f>IF(COUNTIF($B$2:B98,B98)=1,1+COUNTIF($C$2:C97,"&gt;0"),0)</f>
        <v>0</v>
      </c>
      <c r="D98" s="487">
        <f>IF(Race=B98,1+COUNTIF($D$2:D97,"&gt;0"),0)</f>
        <v>0</v>
      </c>
      <c r="E98" s="478"/>
      <c r="F98" s="478"/>
      <c r="G98" s="478"/>
      <c r="H98" s="478"/>
      <c r="I98" s="478"/>
      <c r="J98" s="652"/>
      <c r="K98" s="479"/>
      <c r="L98" s="479"/>
      <c r="M98" s="479"/>
      <c r="N98" s="479"/>
      <c r="O98" s="479"/>
      <c r="P98" s="479"/>
      <c r="Q98" s="479"/>
      <c r="R98" s="479"/>
      <c r="S98" s="479"/>
      <c r="T98" s="479"/>
      <c r="U98" s="479"/>
      <c r="V98" s="479"/>
      <c r="W98" s="479"/>
      <c r="X98" s="479"/>
      <c r="Y98" s="478"/>
      <c r="Z98" s="478"/>
      <c r="AA98" s="478"/>
      <c r="AB98" s="478"/>
      <c r="AC98" s="478"/>
      <c r="AD98" s="478"/>
      <c r="AE98" s="478"/>
      <c r="AF98" s="478"/>
      <c r="AG98" s="478"/>
      <c r="AH98" s="478"/>
      <c r="AI98" s="478"/>
      <c r="AJ98" s="486" t="str">
        <f t="shared" si="6"/>
        <v/>
      </c>
      <c r="AK98" s="478"/>
      <c r="AL98" s="478"/>
      <c r="AM98" s="478"/>
      <c r="AN98" s="478"/>
      <c r="AO98" s="478"/>
      <c r="AP98" s="478"/>
      <c r="AQ98" s="478"/>
      <c r="AR98" s="478"/>
      <c r="AS98" s="478"/>
      <c r="AT98" s="486" t="str">
        <f t="shared" si="7"/>
        <v/>
      </c>
      <c r="AU98" s="478"/>
      <c r="AV98" s="478"/>
      <c r="AW98" s="478"/>
      <c r="AX98" s="478"/>
      <c r="AY98" s="478"/>
      <c r="AZ98" s="478"/>
      <c r="BA98" s="478"/>
      <c r="BB98" s="478"/>
      <c r="BC98" s="478"/>
      <c r="BD98" s="478"/>
      <c r="BE98" s="478"/>
      <c r="BF98" s="478"/>
      <c r="BG98" s="486" t="str">
        <f t="shared" si="10"/>
        <v/>
      </c>
      <c r="BH98" s="478"/>
      <c r="BI98" s="478"/>
      <c r="BJ98" s="478"/>
    </row>
    <row r="99" spans="1:62" x14ac:dyDescent="0.2">
      <c r="A99" s="478">
        <v>98</v>
      </c>
      <c r="B99" s="478"/>
      <c r="C99" s="487">
        <f>IF(COUNTIF($B$2:B99,B99)=1,1+COUNTIF($C$2:C98,"&gt;0"),0)</f>
        <v>0</v>
      </c>
      <c r="D99" s="487">
        <f>IF(Race=B99,1+COUNTIF($D$2:D98,"&gt;0"),0)</f>
        <v>0</v>
      </c>
      <c r="E99" s="478"/>
      <c r="F99" s="478"/>
      <c r="G99" s="478"/>
      <c r="H99" s="478"/>
      <c r="I99" s="478"/>
      <c r="J99" s="652"/>
      <c r="K99" s="479"/>
      <c r="L99" s="479"/>
      <c r="M99" s="479"/>
      <c r="N99" s="479"/>
      <c r="O99" s="479"/>
      <c r="P99" s="479"/>
      <c r="Q99" s="479"/>
      <c r="R99" s="479"/>
      <c r="S99" s="479"/>
      <c r="T99" s="479"/>
      <c r="U99" s="479"/>
      <c r="V99" s="479"/>
      <c r="W99" s="479"/>
      <c r="X99" s="479"/>
      <c r="Y99" s="478"/>
      <c r="Z99" s="478"/>
      <c r="AA99" s="478"/>
      <c r="AB99" s="478"/>
      <c r="AC99" s="478"/>
      <c r="AD99" s="478"/>
      <c r="AE99" s="478"/>
      <c r="AF99" s="478"/>
      <c r="AG99" s="478"/>
      <c r="AH99" s="478"/>
      <c r="AI99" s="478"/>
      <c r="AJ99" s="486" t="str">
        <f t="shared" si="6"/>
        <v/>
      </c>
      <c r="AK99" s="478"/>
      <c r="AL99" s="478"/>
      <c r="AM99" s="478"/>
      <c r="AN99" s="478"/>
      <c r="AO99" s="478"/>
      <c r="AP99" s="478"/>
      <c r="AQ99" s="478"/>
      <c r="AR99" s="478"/>
      <c r="AS99" s="478"/>
      <c r="AT99" s="486" t="str">
        <f t="shared" si="7"/>
        <v/>
      </c>
      <c r="AU99" s="478"/>
      <c r="AV99" s="478"/>
      <c r="AW99" s="478"/>
      <c r="AX99" s="478"/>
      <c r="AY99" s="478"/>
      <c r="AZ99" s="478"/>
      <c r="BA99" s="478"/>
      <c r="BB99" s="478"/>
      <c r="BC99" s="478"/>
      <c r="BD99" s="478"/>
      <c r="BE99" s="478"/>
      <c r="BF99" s="478"/>
      <c r="BG99" s="486" t="str">
        <f t="shared" si="10"/>
        <v/>
      </c>
      <c r="BH99" s="478"/>
      <c r="BI99" s="478"/>
      <c r="BJ99" s="478"/>
    </row>
    <row r="100" spans="1:62" x14ac:dyDescent="0.2">
      <c r="A100" s="478">
        <v>99</v>
      </c>
      <c r="B100" s="478"/>
      <c r="C100" s="487">
        <f>IF(COUNTIF($B$2:B100,B100)=1,1+COUNTIF($C$2:C99,"&gt;0"),0)</f>
        <v>0</v>
      </c>
      <c r="D100" s="487">
        <f>IF(Race=B100,1+COUNTIF($D$2:D99,"&gt;0"),0)</f>
        <v>0</v>
      </c>
      <c r="E100" s="478"/>
      <c r="F100" s="478"/>
      <c r="G100" s="478"/>
      <c r="H100" s="478"/>
      <c r="I100" s="478"/>
      <c r="J100" s="652"/>
      <c r="K100" s="479"/>
      <c r="L100" s="479"/>
      <c r="M100" s="479"/>
      <c r="N100" s="479"/>
      <c r="O100" s="479"/>
      <c r="P100" s="479"/>
      <c r="Q100" s="479"/>
      <c r="R100" s="479"/>
      <c r="S100" s="479"/>
      <c r="T100" s="479"/>
      <c r="U100" s="479"/>
      <c r="V100" s="479"/>
      <c r="W100" s="479"/>
      <c r="X100" s="479"/>
      <c r="Y100" s="478"/>
      <c r="Z100" s="478"/>
      <c r="AA100" s="478"/>
      <c r="AB100" s="478"/>
      <c r="AC100" s="478"/>
      <c r="AD100" s="478"/>
      <c r="AE100" s="478"/>
      <c r="AF100" s="478"/>
      <c r="AG100" s="478"/>
      <c r="AH100" s="478"/>
      <c r="AI100" s="478"/>
      <c r="AJ100" s="486" t="str">
        <f t="shared" si="6"/>
        <v/>
      </c>
      <c r="AK100" s="478"/>
      <c r="AL100" s="478"/>
      <c r="AM100" s="478"/>
      <c r="AN100" s="478"/>
      <c r="AO100" s="478"/>
      <c r="AP100" s="478"/>
      <c r="AQ100" s="478"/>
      <c r="AR100" s="478"/>
      <c r="AS100" s="478"/>
      <c r="AT100" s="486" t="str">
        <f t="shared" si="7"/>
        <v/>
      </c>
      <c r="AU100" s="478"/>
      <c r="AV100" s="478"/>
      <c r="AW100" s="478"/>
      <c r="AX100" s="478"/>
      <c r="AY100" s="478"/>
      <c r="AZ100" s="478"/>
      <c r="BA100" s="478"/>
      <c r="BB100" s="478"/>
      <c r="BC100" s="478"/>
      <c r="BD100" s="478"/>
      <c r="BE100" s="478"/>
      <c r="BF100" s="478"/>
      <c r="BG100" s="486" t="str">
        <f t="shared" si="10"/>
        <v/>
      </c>
      <c r="BH100" s="478"/>
      <c r="BI100" s="478"/>
      <c r="BJ100" s="478"/>
    </row>
    <row r="101" spans="1:62" x14ac:dyDescent="0.2">
      <c r="A101" s="478">
        <v>100</v>
      </c>
      <c r="B101" s="478"/>
      <c r="C101" s="487">
        <f>IF(COUNTIF($B$2:B101,B101)=1,1+COUNTIF($C$2:C100,"&gt;0"),0)</f>
        <v>0</v>
      </c>
      <c r="D101" s="487">
        <f>IF(Race=B101,1+COUNTIF($D$2:D100,"&gt;0"),0)</f>
        <v>0</v>
      </c>
      <c r="E101" s="478"/>
      <c r="F101" s="478"/>
      <c r="G101" s="478"/>
      <c r="H101" s="478"/>
      <c r="I101" s="478"/>
      <c r="J101" s="652"/>
      <c r="K101" s="479"/>
      <c r="L101" s="479"/>
      <c r="M101" s="479"/>
      <c r="N101" s="479"/>
      <c r="O101" s="479"/>
      <c r="P101" s="479"/>
      <c r="Q101" s="479"/>
      <c r="R101" s="479"/>
      <c r="S101" s="479"/>
      <c r="T101" s="479"/>
      <c r="U101" s="479"/>
      <c r="V101" s="479"/>
      <c r="W101" s="479"/>
      <c r="X101" s="479"/>
      <c r="Y101" s="478"/>
      <c r="Z101" s="478"/>
      <c r="AA101" s="478"/>
      <c r="AB101" s="478"/>
      <c r="AC101" s="478"/>
      <c r="AD101" s="478"/>
      <c r="AE101" s="478"/>
      <c r="AF101" s="478"/>
      <c r="AG101" s="478"/>
      <c r="AH101" s="478"/>
      <c r="AI101" s="478"/>
      <c r="AJ101" s="486" t="str">
        <f t="shared" si="6"/>
        <v/>
      </c>
      <c r="AK101" s="478"/>
      <c r="AL101" s="478"/>
      <c r="AM101" s="478"/>
      <c r="AN101" s="478"/>
      <c r="AO101" s="478"/>
      <c r="AP101" s="478"/>
      <c r="AQ101" s="478"/>
      <c r="AR101" s="478"/>
      <c r="AS101" s="478"/>
      <c r="AT101" s="486" t="str">
        <f t="shared" si="7"/>
        <v/>
      </c>
      <c r="AU101" s="478"/>
      <c r="AV101" s="478"/>
      <c r="AW101" s="478"/>
      <c r="AX101" s="478"/>
      <c r="AY101" s="478"/>
      <c r="AZ101" s="478"/>
      <c r="BA101" s="478"/>
      <c r="BB101" s="478"/>
      <c r="BC101" s="478"/>
      <c r="BD101" s="478"/>
      <c r="BE101" s="478"/>
      <c r="BF101" s="478"/>
      <c r="BG101" s="486" t="str">
        <f t="shared" si="10"/>
        <v/>
      </c>
      <c r="BH101" s="478"/>
      <c r="BI101" s="478"/>
      <c r="BJ101" s="478"/>
    </row>
    <row r="102" spans="1:62" x14ac:dyDescent="0.2">
      <c r="B102" s="8"/>
      <c r="C102" s="9"/>
      <c r="D102" s="8"/>
      <c r="E102" s="8"/>
      <c r="F102" s="8"/>
      <c r="G102" s="8"/>
      <c r="H102" s="8"/>
      <c r="I102" s="8"/>
      <c r="J102" s="8"/>
      <c r="K102" s="8"/>
      <c r="L102" s="8"/>
      <c r="M102" s="8"/>
      <c r="N102" s="8"/>
      <c r="O102" s="8"/>
      <c r="P102" s="8"/>
      <c r="Q102" s="8"/>
      <c r="R102" s="8"/>
      <c r="S102" s="8"/>
      <c r="T102" s="8"/>
      <c r="U102" s="8"/>
      <c r="V102" s="8"/>
      <c r="W102" s="8"/>
      <c r="X102" s="8"/>
      <c r="Y102" s="8"/>
      <c r="Z102" s="8"/>
      <c r="AA102" s="8"/>
      <c r="AB102" s="8"/>
      <c r="AC102" s="8"/>
      <c r="AD102" s="8"/>
      <c r="AE102" s="8"/>
      <c r="AF102" s="8"/>
      <c r="AG102" s="8"/>
      <c r="AH102" s="8"/>
      <c r="AI102" s="8"/>
      <c r="AJ102" s="8"/>
      <c r="AK102" s="8"/>
      <c r="AL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row>
    <row r="103" spans="1:62" x14ac:dyDescent="0.2">
      <c r="B103" s="8"/>
      <c r="C103" s="8"/>
      <c r="D103" s="8"/>
      <c r="E103" s="8"/>
      <c r="F103" s="8"/>
      <c r="G103" s="8"/>
      <c r="H103" s="8"/>
      <c r="I103" s="8"/>
      <c r="J103" s="8"/>
      <c r="K103" s="8"/>
      <c r="L103" s="8"/>
      <c r="M103" s="8"/>
      <c r="N103" s="8"/>
      <c r="O103" s="8"/>
      <c r="P103" s="8"/>
      <c r="Q103" s="8"/>
      <c r="R103" s="8"/>
      <c r="S103" s="8"/>
      <c r="T103" s="8"/>
      <c r="U103" s="8"/>
      <c r="V103" s="8"/>
      <c r="W103" s="8"/>
      <c r="X103" s="8"/>
      <c r="Y103" s="8"/>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row>
    <row r="104" spans="1:62" x14ac:dyDescent="0.2">
      <c r="B104" s="8"/>
      <c r="C104" s="8"/>
      <c r="D104" s="8"/>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c r="AF104" s="8"/>
      <c r="AG104" s="8"/>
      <c r="AH104" s="8"/>
      <c r="AI104" s="8"/>
      <c r="AJ104" s="8"/>
      <c r="AK104" s="8"/>
      <c r="AL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row>
  </sheetData>
  <autoFilter ref="A1:BJ101" xr:uid="{00000000-0009-0000-0000-000016000000}"/>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13">
    <tabColor theme="7" tint="0.39997558519241921"/>
  </sheetPr>
  <dimension ref="A1:E100"/>
  <sheetViews>
    <sheetView topLeftCell="C82" workbookViewId="0">
      <selection activeCell="E90" sqref="E90"/>
    </sheetView>
  </sheetViews>
  <sheetFormatPr defaultRowHeight="15" x14ac:dyDescent="0.25"/>
  <cols>
    <col min="2" max="3" width="17.140625" customWidth="1"/>
    <col min="4" max="4" width="81.5703125" customWidth="1"/>
    <col min="5" max="5" width="16.42578125" bestFit="1" customWidth="1"/>
  </cols>
  <sheetData>
    <row r="1" spans="1:5" x14ac:dyDescent="0.25">
      <c r="B1" s="1237" t="s">
        <v>5135</v>
      </c>
      <c r="C1" s="1237" t="s">
        <v>5136</v>
      </c>
      <c r="D1" s="1235" t="s">
        <v>177</v>
      </c>
      <c r="E1" s="1235" t="s">
        <v>7057</v>
      </c>
    </row>
    <row r="2" spans="1:5" x14ac:dyDescent="0.25">
      <c r="A2" s="655"/>
      <c r="B2" s="1238"/>
      <c r="C2" s="1238"/>
      <c r="D2" s="1236"/>
      <c r="E2" s="1236"/>
    </row>
    <row r="3" spans="1:5" x14ac:dyDescent="0.25">
      <c r="A3" s="134">
        <f>IF(B3="","",1)</f>
        <v>1</v>
      </c>
      <c r="B3" s="343" t="s">
        <v>4274</v>
      </c>
      <c r="C3" s="343" t="s">
        <v>4274</v>
      </c>
      <c r="D3" s="341" t="s">
        <v>5138</v>
      </c>
      <c r="E3" s="4" t="s">
        <v>7391</v>
      </c>
    </row>
    <row r="4" spans="1:5" x14ac:dyDescent="0.25">
      <c r="A4" s="134">
        <f>IF(B4="","",A3+1)</f>
        <v>2</v>
      </c>
      <c r="B4" s="343" t="s">
        <v>3028</v>
      </c>
      <c r="C4" s="343" t="s">
        <v>3028</v>
      </c>
      <c r="D4" s="340" t="s">
        <v>3034</v>
      </c>
      <c r="E4" s="4"/>
    </row>
    <row r="5" spans="1:5" x14ac:dyDescent="0.25">
      <c r="A5" s="134">
        <f t="shared" ref="A5:A68" si="0">IF(B5="","",A4+1)</f>
        <v>3</v>
      </c>
      <c r="B5" s="343" t="s">
        <v>3022</v>
      </c>
      <c r="C5" s="343" t="s">
        <v>3022</v>
      </c>
      <c r="D5" s="340" t="s">
        <v>3034</v>
      </c>
      <c r="E5" s="4"/>
    </row>
    <row r="6" spans="1:5" x14ac:dyDescent="0.25">
      <c r="A6" s="134">
        <f t="shared" si="0"/>
        <v>4</v>
      </c>
      <c r="B6" s="343" t="s">
        <v>3010</v>
      </c>
      <c r="C6" s="343" t="s">
        <v>3010</v>
      </c>
      <c r="D6" s="340" t="s">
        <v>3034</v>
      </c>
      <c r="E6" s="4"/>
    </row>
    <row r="7" spans="1:5" x14ac:dyDescent="0.25">
      <c r="A7" s="134">
        <f t="shared" si="0"/>
        <v>5</v>
      </c>
      <c r="B7" s="343" t="s">
        <v>2204</v>
      </c>
      <c r="C7" s="343" t="s">
        <v>2204</v>
      </c>
      <c r="D7" s="450" t="s">
        <v>4580</v>
      </c>
      <c r="E7" s="4"/>
    </row>
    <row r="8" spans="1:5" x14ac:dyDescent="0.25">
      <c r="A8" s="134">
        <f t="shared" si="0"/>
        <v>6</v>
      </c>
      <c r="B8" s="343" t="s">
        <v>3019</v>
      </c>
      <c r="C8" s="343" t="s">
        <v>3019</v>
      </c>
      <c r="D8" s="340" t="s">
        <v>3034</v>
      </c>
      <c r="E8" s="4"/>
    </row>
    <row r="9" spans="1:5" x14ac:dyDescent="0.25">
      <c r="A9" s="134">
        <f t="shared" si="0"/>
        <v>7</v>
      </c>
      <c r="B9" s="343" t="s">
        <v>2292</v>
      </c>
      <c r="C9" s="343" t="s">
        <v>2292</v>
      </c>
      <c r="D9" s="340" t="s">
        <v>3034</v>
      </c>
      <c r="E9" s="4"/>
    </row>
    <row r="10" spans="1:5" x14ac:dyDescent="0.25">
      <c r="A10" s="134">
        <f t="shared" si="0"/>
        <v>8</v>
      </c>
      <c r="B10" s="344" t="s">
        <v>572</v>
      </c>
      <c r="C10" s="344" t="s">
        <v>572</v>
      </c>
      <c r="D10" s="340" t="s">
        <v>4558</v>
      </c>
      <c r="E10" s="4"/>
    </row>
    <row r="11" spans="1:5" x14ac:dyDescent="0.25">
      <c r="A11" s="134">
        <f t="shared" si="0"/>
        <v>9</v>
      </c>
      <c r="B11" s="344" t="s">
        <v>6104</v>
      </c>
      <c r="C11" s="344" t="s">
        <v>2212</v>
      </c>
      <c r="D11" s="340" t="s">
        <v>3034</v>
      </c>
      <c r="E11" s="4"/>
    </row>
    <row r="12" spans="1:5" x14ac:dyDescent="0.25">
      <c r="A12" s="134">
        <f t="shared" si="0"/>
        <v>10</v>
      </c>
      <c r="B12" s="343" t="s">
        <v>4276</v>
      </c>
      <c r="C12" s="343" t="s">
        <v>4276</v>
      </c>
      <c r="D12" s="340" t="s">
        <v>4806</v>
      </c>
      <c r="E12" s="4" t="s">
        <v>7392</v>
      </c>
    </row>
    <row r="13" spans="1:5" x14ac:dyDescent="0.25">
      <c r="A13" s="134">
        <f t="shared" si="0"/>
        <v>11</v>
      </c>
      <c r="B13" s="343" t="s">
        <v>2983</v>
      </c>
      <c r="C13" s="343" t="s">
        <v>2983</v>
      </c>
      <c r="D13" s="340" t="s">
        <v>4828</v>
      </c>
      <c r="E13" s="4" t="s">
        <v>7419</v>
      </c>
    </row>
    <row r="14" spans="1:5" x14ac:dyDescent="0.25">
      <c r="A14" s="134">
        <f t="shared" si="0"/>
        <v>12</v>
      </c>
      <c r="B14" s="343" t="s">
        <v>2982</v>
      </c>
      <c r="C14" s="343" t="s">
        <v>2982</v>
      </c>
      <c r="D14" s="341" t="s">
        <v>4829</v>
      </c>
      <c r="E14" s="4" t="s">
        <v>7393</v>
      </c>
    </row>
    <row r="15" spans="1:5" x14ac:dyDescent="0.25">
      <c r="A15" s="134">
        <f t="shared" si="0"/>
        <v>13</v>
      </c>
      <c r="B15" s="343" t="s">
        <v>3030</v>
      </c>
      <c r="C15" s="343" t="s">
        <v>3030</v>
      </c>
      <c r="D15" s="341" t="s">
        <v>3034</v>
      </c>
      <c r="E15" s="4"/>
    </row>
    <row r="16" spans="1:5" x14ac:dyDescent="0.25">
      <c r="A16" s="134">
        <f t="shared" si="0"/>
        <v>14</v>
      </c>
      <c r="B16" s="343" t="s">
        <v>2789</v>
      </c>
      <c r="C16" s="343" t="s">
        <v>2789</v>
      </c>
      <c r="D16" s="341" t="s">
        <v>4801</v>
      </c>
      <c r="E16" s="4" t="s">
        <v>7427</v>
      </c>
    </row>
    <row r="17" spans="1:5" x14ac:dyDescent="0.25">
      <c r="A17" s="134">
        <f t="shared" si="0"/>
        <v>15</v>
      </c>
      <c r="B17" s="343" t="s">
        <v>2213</v>
      </c>
      <c r="C17" s="343" t="s">
        <v>2213</v>
      </c>
      <c r="D17" s="341" t="s">
        <v>3034</v>
      </c>
      <c r="E17" s="4"/>
    </row>
    <row r="18" spans="1:5" x14ac:dyDescent="0.25">
      <c r="A18" s="134">
        <f t="shared" si="0"/>
        <v>16</v>
      </c>
      <c r="B18" s="343" t="s">
        <v>14</v>
      </c>
      <c r="C18" s="343" t="s">
        <v>14</v>
      </c>
      <c r="D18" s="450" t="s">
        <v>4572</v>
      </c>
      <c r="E18" s="4" t="s">
        <v>7425</v>
      </c>
    </row>
    <row r="19" spans="1:5" x14ac:dyDescent="0.25">
      <c r="A19" s="134">
        <f t="shared" si="0"/>
        <v>17</v>
      </c>
      <c r="B19" s="343" t="s">
        <v>3009</v>
      </c>
      <c r="C19" s="343" t="s">
        <v>3009</v>
      </c>
      <c r="D19" s="341" t="s">
        <v>3034</v>
      </c>
      <c r="E19" s="4"/>
    </row>
    <row r="20" spans="1:5" x14ac:dyDescent="0.25">
      <c r="A20" s="134">
        <f t="shared" si="0"/>
        <v>18</v>
      </c>
      <c r="B20" s="343" t="s">
        <v>2214</v>
      </c>
      <c r="C20" s="343" t="s">
        <v>2214</v>
      </c>
      <c r="D20" s="342" t="s">
        <v>3034</v>
      </c>
      <c r="E20" s="4"/>
    </row>
    <row r="21" spans="1:5" x14ac:dyDescent="0.25">
      <c r="A21" s="134">
        <f t="shared" si="0"/>
        <v>19</v>
      </c>
      <c r="B21" s="343" t="s">
        <v>2216</v>
      </c>
      <c r="C21" s="343" t="s">
        <v>2216</v>
      </c>
      <c r="D21" s="341" t="s">
        <v>4563</v>
      </c>
      <c r="E21" s="4" t="s">
        <v>7420</v>
      </c>
    </row>
    <row r="22" spans="1:5" x14ac:dyDescent="0.25">
      <c r="A22" s="134">
        <f t="shared" si="0"/>
        <v>20</v>
      </c>
      <c r="B22" s="343" t="s">
        <v>2215</v>
      </c>
      <c r="C22" s="343" t="s">
        <v>2215</v>
      </c>
      <c r="D22" s="341" t="s">
        <v>4562</v>
      </c>
      <c r="E22" s="4" t="s">
        <v>7394</v>
      </c>
    </row>
    <row r="23" spans="1:5" x14ac:dyDescent="0.25">
      <c r="A23" s="134">
        <f t="shared" si="0"/>
        <v>21</v>
      </c>
      <c r="B23" s="343" t="s">
        <v>2774</v>
      </c>
      <c r="C23" s="343" t="s">
        <v>2774</v>
      </c>
      <c r="D23" s="341" t="s">
        <v>4802</v>
      </c>
      <c r="E23" s="4" t="s">
        <v>7395</v>
      </c>
    </row>
    <row r="24" spans="1:5" x14ac:dyDescent="0.25">
      <c r="A24" s="134">
        <f t="shared" si="0"/>
        <v>22</v>
      </c>
      <c r="B24" s="343" t="s">
        <v>2196</v>
      </c>
      <c r="C24" s="343" t="s">
        <v>2196</v>
      </c>
      <c r="D24" s="450" t="s">
        <v>4573</v>
      </c>
      <c r="E24" s="4" t="s">
        <v>7396</v>
      </c>
    </row>
    <row r="25" spans="1:5" x14ac:dyDescent="0.25">
      <c r="A25" s="134">
        <f t="shared" si="0"/>
        <v>23</v>
      </c>
      <c r="B25" s="343" t="s">
        <v>4556</v>
      </c>
      <c r="C25" s="343" t="s">
        <v>4556</v>
      </c>
      <c r="D25" s="450" t="s">
        <v>4575</v>
      </c>
      <c r="E25" s="4" t="s">
        <v>7397</v>
      </c>
    </row>
    <row r="26" spans="1:5" x14ac:dyDescent="0.25">
      <c r="A26" s="134">
        <f t="shared" si="0"/>
        <v>24</v>
      </c>
      <c r="B26" s="343" t="s">
        <v>573</v>
      </c>
      <c r="C26" s="343" t="s">
        <v>573</v>
      </c>
      <c r="D26" s="450" t="s">
        <v>4561</v>
      </c>
      <c r="E26" s="4" t="s">
        <v>7398</v>
      </c>
    </row>
    <row r="27" spans="1:5" x14ac:dyDescent="0.25">
      <c r="A27" s="134">
        <f t="shared" si="0"/>
        <v>25</v>
      </c>
      <c r="B27" s="344" t="s">
        <v>574</v>
      </c>
      <c r="C27" s="344" t="s">
        <v>574</v>
      </c>
      <c r="D27" s="450" t="s">
        <v>4574</v>
      </c>
      <c r="E27" s="4" t="s">
        <v>7400</v>
      </c>
    </row>
    <row r="28" spans="1:5" x14ac:dyDescent="0.25">
      <c r="A28" s="134">
        <f t="shared" si="0"/>
        <v>26</v>
      </c>
      <c r="B28" s="344" t="s">
        <v>4270</v>
      </c>
      <c r="C28" s="344" t="s">
        <v>4270</v>
      </c>
      <c r="D28" s="341" t="s">
        <v>4807</v>
      </c>
      <c r="E28" s="4"/>
    </row>
    <row r="29" spans="1:5" x14ac:dyDescent="0.25">
      <c r="A29" s="134">
        <f t="shared" si="0"/>
        <v>27</v>
      </c>
      <c r="B29" s="343" t="s">
        <v>2197</v>
      </c>
      <c r="C29" s="343" t="s">
        <v>2197</v>
      </c>
      <c r="D29" s="450" t="s">
        <v>4568</v>
      </c>
      <c r="E29" s="4" t="s">
        <v>7399</v>
      </c>
    </row>
    <row r="30" spans="1:5" x14ac:dyDescent="0.25">
      <c r="A30" s="134">
        <f t="shared" si="0"/>
        <v>28</v>
      </c>
      <c r="B30" s="343" t="s">
        <v>570</v>
      </c>
      <c r="C30" s="343" t="s">
        <v>570</v>
      </c>
      <c r="D30" s="446" t="s">
        <v>4570</v>
      </c>
      <c r="E30" s="4"/>
    </row>
    <row r="31" spans="1:5" x14ac:dyDescent="0.25">
      <c r="A31" s="134">
        <f t="shared" si="0"/>
        <v>29</v>
      </c>
      <c r="B31" s="343" t="s">
        <v>2985</v>
      </c>
      <c r="C31" s="343" t="s">
        <v>2985</v>
      </c>
      <c r="D31" s="341" t="s">
        <v>4830</v>
      </c>
      <c r="E31" s="4" t="s">
        <v>7421</v>
      </c>
    </row>
    <row r="32" spans="1:5" x14ac:dyDescent="0.25">
      <c r="A32" s="134">
        <f t="shared" si="0"/>
        <v>30</v>
      </c>
      <c r="B32" s="343" t="s">
        <v>4272</v>
      </c>
      <c r="C32" s="343" t="s">
        <v>4272</v>
      </c>
      <c r="D32" s="341" t="s">
        <v>4586</v>
      </c>
      <c r="E32" s="4" t="s">
        <v>7401</v>
      </c>
    </row>
    <row r="33" spans="1:5" x14ac:dyDescent="0.25">
      <c r="A33" s="134">
        <f t="shared" si="0"/>
        <v>31</v>
      </c>
      <c r="B33" s="344" t="s">
        <v>4265</v>
      </c>
      <c r="C33" s="344" t="s">
        <v>4265</v>
      </c>
      <c r="D33" s="341" t="s">
        <v>4808</v>
      </c>
      <c r="E33" s="4" t="s">
        <v>7416</v>
      </c>
    </row>
    <row r="34" spans="1:5" x14ac:dyDescent="0.25">
      <c r="A34" s="134">
        <f t="shared" si="0"/>
        <v>32</v>
      </c>
      <c r="B34" s="443" t="s">
        <v>2201</v>
      </c>
      <c r="C34" s="443" t="s">
        <v>2201</v>
      </c>
      <c r="D34" s="450" t="s">
        <v>4578</v>
      </c>
      <c r="E34" s="4"/>
    </row>
    <row r="35" spans="1:5" x14ac:dyDescent="0.25">
      <c r="A35" s="134">
        <f t="shared" si="0"/>
        <v>33</v>
      </c>
      <c r="B35" s="443" t="s">
        <v>2198</v>
      </c>
      <c r="C35" s="443" t="s">
        <v>2198</v>
      </c>
      <c r="D35" s="341" t="s">
        <v>4559</v>
      </c>
      <c r="E35" s="4"/>
    </row>
    <row r="36" spans="1:5" x14ac:dyDescent="0.25">
      <c r="A36" s="134">
        <f t="shared" si="0"/>
        <v>34</v>
      </c>
      <c r="B36" s="443" t="s">
        <v>2210</v>
      </c>
      <c r="C36" s="443" t="s">
        <v>2210</v>
      </c>
      <c r="D36" s="450" t="s">
        <v>4586</v>
      </c>
      <c r="E36" s="4" t="s">
        <v>7401</v>
      </c>
    </row>
    <row r="37" spans="1:5" x14ac:dyDescent="0.25">
      <c r="A37" s="134">
        <f t="shared" si="0"/>
        <v>35</v>
      </c>
      <c r="B37" s="443" t="s">
        <v>3027</v>
      </c>
      <c r="C37" s="443" t="s">
        <v>3027</v>
      </c>
      <c r="D37" s="340" t="s">
        <v>3034</v>
      </c>
      <c r="E37" s="4"/>
    </row>
    <row r="38" spans="1:5" x14ac:dyDescent="0.25">
      <c r="A38" s="134">
        <f t="shared" si="0"/>
        <v>36</v>
      </c>
      <c r="B38" s="443" t="s">
        <v>2211</v>
      </c>
      <c r="C38" s="443" t="s">
        <v>2211</v>
      </c>
      <c r="D38" s="446" t="s">
        <v>4809</v>
      </c>
      <c r="E38" s="4" t="s">
        <v>7402</v>
      </c>
    </row>
    <row r="39" spans="1:5" x14ac:dyDescent="0.25">
      <c r="A39" s="134">
        <f t="shared" si="0"/>
        <v>37</v>
      </c>
      <c r="B39" s="443" t="s">
        <v>3016</v>
      </c>
      <c r="C39" s="443" t="s">
        <v>3016</v>
      </c>
      <c r="D39" s="340" t="s">
        <v>3034</v>
      </c>
      <c r="E39" s="4"/>
    </row>
    <row r="40" spans="1:5" x14ac:dyDescent="0.25">
      <c r="A40" s="134">
        <f t="shared" si="0"/>
        <v>38</v>
      </c>
      <c r="B40" s="443" t="s">
        <v>3020</v>
      </c>
      <c r="C40" s="443" t="s">
        <v>3020</v>
      </c>
      <c r="D40" s="340" t="s">
        <v>3034</v>
      </c>
      <c r="E40" s="4"/>
    </row>
    <row r="41" spans="1:5" x14ac:dyDescent="0.25">
      <c r="A41" s="134">
        <f t="shared" si="0"/>
        <v>39</v>
      </c>
      <c r="B41" s="443" t="s">
        <v>2206</v>
      </c>
      <c r="C41" s="443" t="s">
        <v>2206</v>
      </c>
      <c r="D41" s="450" t="s">
        <v>4571</v>
      </c>
      <c r="E41" s="4" t="s">
        <v>7403</v>
      </c>
    </row>
    <row r="42" spans="1:5" x14ac:dyDescent="0.25">
      <c r="A42" s="134">
        <f t="shared" si="0"/>
        <v>40</v>
      </c>
      <c r="B42" s="443" t="s">
        <v>2790</v>
      </c>
      <c r="C42" s="443" t="s">
        <v>2790</v>
      </c>
      <c r="D42" s="340" t="s">
        <v>4810</v>
      </c>
      <c r="E42" s="4" t="s">
        <v>7385</v>
      </c>
    </row>
    <row r="43" spans="1:5" x14ac:dyDescent="0.25">
      <c r="A43" s="134">
        <f t="shared" si="0"/>
        <v>41</v>
      </c>
      <c r="B43" s="443" t="s">
        <v>2170</v>
      </c>
      <c r="C43" s="443" t="s">
        <v>2170</v>
      </c>
      <c r="D43" s="340" t="s">
        <v>4557</v>
      </c>
      <c r="E43" s="4"/>
    </row>
    <row r="44" spans="1:5" x14ac:dyDescent="0.25">
      <c r="A44" s="134">
        <f t="shared" si="0"/>
        <v>42</v>
      </c>
      <c r="B44" s="343" t="s">
        <v>3021</v>
      </c>
      <c r="C44" s="343" t="s">
        <v>3021</v>
      </c>
      <c r="D44" s="340" t="s">
        <v>3034</v>
      </c>
      <c r="E44" s="4"/>
    </row>
    <row r="45" spans="1:5" x14ac:dyDescent="0.25">
      <c r="A45" s="134">
        <f t="shared" si="0"/>
        <v>43</v>
      </c>
      <c r="B45" s="343" t="s">
        <v>575</v>
      </c>
      <c r="C45" s="343" t="s">
        <v>575</v>
      </c>
      <c r="D45" s="450" t="s">
        <v>4569</v>
      </c>
      <c r="E45" s="4"/>
    </row>
    <row r="46" spans="1:5" x14ac:dyDescent="0.25">
      <c r="A46" s="134">
        <f t="shared" si="0"/>
        <v>44</v>
      </c>
      <c r="B46" s="443" t="s">
        <v>4271</v>
      </c>
      <c r="C46" s="443" t="s">
        <v>4271</v>
      </c>
      <c r="D46" s="340" t="s">
        <v>4811</v>
      </c>
      <c r="E46" s="4" t="s">
        <v>7417</v>
      </c>
    </row>
    <row r="47" spans="1:5" x14ac:dyDescent="0.25">
      <c r="A47" s="134">
        <f t="shared" si="0"/>
        <v>45</v>
      </c>
      <c r="B47" s="443" t="s">
        <v>3023</v>
      </c>
      <c r="C47" s="443" t="s">
        <v>3023</v>
      </c>
      <c r="D47" s="340" t="s">
        <v>3034</v>
      </c>
      <c r="E47" s="4"/>
    </row>
    <row r="48" spans="1:5" x14ac:dyDescent="0.25">
      <c r="A48" s="134">
        <f t="shared" si="0"/>
        <v>46</v>
      </c>
      <c r="B48" s="443" t="s">
        <v>4269</v>
      </c>
      <c r="C48" s="443" t="s">
        <v>4269</v>
      </c>
      <c r="D48" s="340" t="s">
        <v>4812</v>
      </c>
      <c r="E48" s="4" t="s">
        <v>7418</v>
      </c>
    </row>
    <row r="49" spans="1:5" x14ac:dyDescent="0.25">
      <c r="A49" s="134">
        <f t="shared" si="0"/>
        <v>47</v>
      </c>
      <c r="B49" s="443" t="s">
        <v>4281</v>
      </c>
      <c r="C49" s="443" t="s">
        <v>4281</v>
      </c>
      <c r="D49" s="340" t="s">
        <v>4813</v>
      </c>
      <c r="E49" s="4"/>
    </row>
    <row r="50" spans="1:5" x14ac:dyDescent="0.25">
      <c r="A50" s="134">
        <f t="shared" si="0"/>
        <v>48</v>
      </c>
      <c r="B50" s="443" t="s">
        <v>4278</v>
      </c>
      <c r="C50" s="443" t="s">
        <v>4278</v>
      </c>
      <c r="D50" s="340" t="s">
        <v>4814</v>
      </c>
      <c r="E50" s="4" t="s">
        <v>7404</v>
      </c>
    </row>
    <row r="51" spans="1:5" x14ac:dyDescent="0.25">
      <c r="A51" s="134">
        <f t="shared" si="0"/>
        <v>49</v>
      </c>
      <c r="B51" s="443" t="s">
        <v>2202</v>
      </c>
      <c r="C51" s="443" t="s">
        <v>2202</v>
      </c>
      <c r="D51" s="450" t="s">
        <v>4815</v>
      </c>
      <c r="E51" s="4" t="s">
        <v>7422</v>
      </c>
    </row>
    <row r="52" spans="1:5" x14ac:dyDescent="0.25">
      <c r="A52" s="134">
        <f t="shared" si="0"/>
        <v>50</v>
      </c>
      <c r="B52" s="443" t="s">
        <v>2199</v>
      </c>
      <c r="C52" s="443" t="s">
        <v>2199</v>
      </c>
      <c r="D52" s="340" t="s">
        <v>4560</v>
      </c>
      <c r="E52" s="4"/>
    </row>
    <row r="53" spans="1:5" x14ac:dyDescent="0.25">
      <c r="A53" s="134">
        <f t="shared" si="0"/>
        <v>51</v>
      </c>
      <c r="B53" s="443" t="s">
        <v>3029</v>
      </c>
      <c r="C53" s="443" t="s">
        <v>3029</v>
      </c>
      <c r="D53" s="340" t="s">
        <v>3034</v>
      </c>
      <c r="E53" s="4"/>
    </row>
    <row r="54" spans="1:5" x14ac:dyDescent="0.25">
      <c r="A54" s="134">
        <f t="shared" si="0"/>
        <v>52</v>
      </c>
      <c r="B54" s="443" t="s">
        <v>3025</v>
      </c>
      <c r="C54" s="443" t="s">
        <v>3025</v>
      </c>
      <c r="D54" s="340" t="s">
        <v>3034</v>
      </c>
      <c r="E54" s="4"/>
    </row>
    <row r="55" spans="1:5" x14ac:dyDescent="0.25">
      <c r="A55" s="134">
        <f t="shared" si="0"/>
        <v>53</v>
      </c>
      <c r="B55" s="443" t="s">
        <v>3024</v>
      </c>
      <c r="C55" s="443" t="s">
        <v>3024</v>
      </c>
      <c r="D55" s="340" t="s">
        <v>3034</v>
      </c>
      <c r="E55" s="4"/>
    </row>
    <row r="56" spans="1:5" x14ac:dyDescent="0.25">
      <c r="A56" s="134">
        <f t="shared" si="0"/>
        <v>54</v>
      </c>
      <c r="B56" s="443" t="s">
        <v>4280</v>
      </c>
      <c r="C56" s="443" t="s">
        <v>4280</v>
      </c>
      <c r="D56" s="340" t="s">
        <v>4816</v>
      </c>
      <c r="E56" s="4"/>
    </row>
    <row r="57" spans="1:5" x14ac:dyDescent="0.25">
      <c r="A57" s="134">
        <f t="shared" si="0"/>
        <v>55</v>
      </c>
      <c r="B57" s="443" t="s">
        <v>3015</v>
      </c>
      <c r="C57" s="443" t="s">
        <v>3015</v>
      </c>
      <c r="D57" s="340" t="s">
        <v>3034</v>
      </c>
      <c r="E57" s="4"/>
    </row>
    <row r="58" spans="1:5" x14ac:dyDescent="0.25">
      <c r="A58" s="134">
        <f t="shared" si="0"/>
        <v>56</v>
      </c>
      <c r="B58" s="443" t="s">
        <v>4273</v>
      </c>
      <c r="C58" s="443" t="s">
        <v>4273</v>
      </c>
      <c r="D58" s="340" t="s">
        <v>4817</v>
      </c>
      <c r="E58" s="4" t="s">
        <v>7423</v>
      </c>
    </row>
    <row r="59" spans="1:5" x14ac:dyDescent="0.25">
      <c r="A59" s="134">
        <f t="shared" si="0"/>
        <v>57</v>
      </c>
      <c r="B59" s="443" t="s">
        <v>2208</v>
      </c>
      <c r="C59" s="443" t="s">
        <v>2208</v>
      </c>
      <c r="D59" s="446" t="s">
        <v>4584</v>
      </c>
      <c r="E59" s="4"/>
    </row>
    <row r="60" spans="1:5" x14ac:dyDescent="0.25">
      <c r="A60" s="134">
        <f t="shared" si="0"/>
        <v>58</v>
      </c>
      <c r="B60" s="443" t="s">
        <v>2209</v>
      </c>
      <c r="C60" s="443" t="s">
        <v>2209</v>
      </c>
      <c r="D60" s="446" t="s">
        <v>4585</v>
      </c>
      <c r="E60" s="4"/>
    </row>
    <row r="61" spans="1:5" x14ac:dyDescent="0.25">
      <c r="A61" s="134">
        <f t="shared" si="0"/>
        <v>59</v>
      </c>
      <c r="B61" s="443" t="s">
        <v>2773</v>
      </c>
      <c r="C61" s="443" t="s">
        <v>2773</v>
      </c>
      <c r="D61" s="340" t="s">
        <v>4800</v>
      </c>
      <c r="E61" s="4"/>
    </row>
    <row r="62" spans="1:5" x14ac:dyDescent="0.25">
      <c r="A62" s="134">
        <f t="shared" si="0"/>
        <v>60</v>
      </c>
      <c r="B62" s="443" t="s">
        <v>2788</v>
      </c>
      <c r="C62" s="443" t="s">
        <v>6102</v>
      </c>
      <c r="D62" s="340" t="s">
        <v>4818</v>
      </c>
      <c r="E62" s="4"/>
    </row>
    <row r="63" spans="1:5" x14ac:dyDescent="0.25">
      <c r="A63" s="134">
        <f t="shared" si="0"/>
        <v>61</v>
      </c>
      <c r="B63" s="443" t="s">
        <v>2783</v>
      </c>
      <c r="C63" s="443" t="s">
        <v>6102</v>
      </c>
      <c r="D63" s="340" t="s">
        <v>4819</v>
      </c>
      <c r="E63" s="4"/>
    </row>
    <row r="64" spans="1:5" x14ac:dyDescent="0.25">
      <c r="A64" s="134">
        <f t="shared" si="0"/>
        <v>62</v>
      </c>
      <c r="B64" s="443" t="s">
        <v>2784</v>
      </c>
      <c r="C64" s="443" t="s">
        <v>6102</v>
      </c>
      <c r="D64" s="340" t="s">
        <v>4820</v>
      </c>
      <c r="E64" s="4"/>
    </row>
    <row r="65" spans="1:5" x14ac:dyDescent="0.25">
      <c r="A65" s="134">
        <f t="shared" si="0"/>
        <v>63</v>
      </c>
      <c r="B65" s="443" t="s">
        <v>2785</v>
      </c>
      <c r="C65" s="443" t="s">
        <v>6102</v>
      </c>
      <c r="D65" s="340" t="s">
        <v>4821</v>
      </c>
      <c r="E65" s="4"/>
    </row>
    <row r="66" spans="1:5" x14ac:dyDescent="0.25">
      <c r="A66" s="134">
        <f t="shared" si="0"/>
        <v>64</v>
      </c>
      <c r="B66" s="443" t="s">
        <v>2786</v>
      </c>
      <c r="C66" s="443" t="s">
        <v>6102</v>
      </c>
      <c r="D66" s="340" t="s">
        <v>4822</v>
      </c>
      <c r="E66" s="4"/>
    </row>
    <row r="67" spans="1:5" x14ac:dyDescent="0.25">
      <c r="A67" s="134">
        <f t="shared" si="0"/>
        <v>65</v>
      </c>
      <c r="B67" s="443" t="s">
        <v>2787</v>
      </c>
      <c r="C67" s="443" t="s">
        <v>6102</v>
      </c>
      <c r="D67" s="340" t="s">
        <v>4823</v>
      </c>
      <c r="E67" s="4"/>
    </row>
    <row r="68" spans="1:5" x14ac:dyDescent="0.25">
      <c r="A68" s="134">
        <f t="shared" si="0"/>
        <v>66</v>
      </c>
      <c r="B68" s="443" t="s">
        <v>3026</v>
      </c>
      <c r="C68" s="443" t="s">
        <v>3026</v>
      </c>
      <c r="D68" s="340" t="s">
        <v>3034</v>
      </c>
      <c r="E68" s="4"/>
    </row>
    <row r="69" spans="1:5" x14ac:dyDescent="0.25">
      <c r="A69" s="134">
        <f t="shared" ref="A69:A100" si="1">IF(B69="","",A68+1)</f>
        <v>67</v>
      </c>
      <c r="B69" s="443" t="s">
        <v>3011</v>
      </c>
      <c r="C69" s="443" t="s">
        <v>3011</v>
      </c>
      <c r="D69" s="340" t="s">
        <v>3034</v>
      </c>
      <c r="E69" s="4"/>
    </row>
    <row r="70" spans="1:5" x14ac:dyDescent="0.25">
      <c r="A70" s="134">
        <f t="shared" si="1"/>
        <v>68</v>
      </c>
      <c r="B70" s="443" t="s">
        <v>2203</v>
      </c>
      <c r="C70" s="443" t="s">
        <v>2203</v>
      </c>
      <c r="D70" s="450" t="s">
        <v>4579</v>
      </c>
      <c r="E70" s="4"/>
    </row>
    <row r="71" spans="1:5" x14ac:dyDescent="0.25">
      <c r="A71" s="134">
        <f t="shared" si="1"/>
        <v>69</v>
      </c>
      <c r="B71" s="443" t="s">
        <v>5137</v>
      </c>
      <c r="C71" s="443" t="s">
        <v>6103</v>
      </c>
      <c r="D71" s="340" t="s">
        <v>3034</v>
      </c>
      <c r="E71" s="4"/>
    </row>
    <row r="72" spans="1:5" x14ac:dyDescent="0.25">
      <c r="A72" s="134">
        <f t="shared" si="1"/>
        <v>70</v>
      </c>
      <c r="B72" s="443" t="s">
        <v>3013</v>
      </c>
      <c r="C72" s="443" t="s">
        <v>3013</v>
      </c>
      <c r="D72" s="340" t="s">
        <v>3034</v>
      </c>
      <c r="E72" s="4"/>
    </row>
    <row r="73" spans="1:5" x14ac:dyDescent="0.25">
      <c r="A73" s="134">
        <f t="shared" si="1"/>
        <v>71</v>
      </c>
      <c r="B73" s="443" t="s">
        <v>3031</v>
      </c>
      <c r="C73" s="443" t="s">
        <v>3031</v>
      </c>
      <c r="D73" s="340" t="s">
        <v>3034</v>
      </c>
      <c r="E73" s="4"/>
    </row>
    <row r="74" spans="1:5" x14ac:dyDescent="0.25">
      <c r="A74" s="134">
        <f t="shared" si="1"/>
        <v>72</v>
      </c>
      <c r="B74" s="443" t="s">
        <v>3017</v>
      </c>
      <c r="C74" s="443" t="s">
        <v>3017</v>
      </c>
      <c r="D74" s="340" t="s">
        <v>3034</v>
      </c>
      <c r="E74" s="4"/>
    </row>
    <row r="75" spans="1:5" x14ac:dyDescent="0.25">
      <c r="A75" s="134">
        <f t="shared" si="1"/>
        <v>73</v>
      </c>
      <c r="B75" s="443" t="s">
        <v>2195</v>
      </c>
      <c r="C75" s="443" t="s">
        <v>2195</v>
      </c>
      <c r="D75" s="450" t="s">
        <v>4576</v>
      </c>
      <c r="E75" s="4"/>
    </row>
    <row r="76" spans="1:5" x14ac:dyDescent="0.25">
      <c r="A76" s="134">
        <f t="shared" si="1"/>
        <v>74</v>
      </c>
      <c r="B76" s="443" t="s">
        <v>4279</v>
      </c>
      <c r="C76" s="443" t="s">
        <v>4279</v>
      </c>
      <c r="D76" s="340" t="s">
        <v>4824</v>
      </c>
      <c r="E76" s="4"/>
    </row>
    <row r="77" spans="1:5" x14ac:dyDescent="0.25">
      <c r="A77" s="134">
        <f t="shared" si="1"/>
        <v>75</v>
      </c>
      <c r="B77" s="443" t="s">
        <v>2200</v>
      </c>
      <c r="C77" s="443" t="s">
        <v>2200</v>
      </c>
      <c r="D77" s="340" t="s">
        <v>4561</v>
      </c>
      <c r="E77" s="4" t="s">
        <v>7398</v>
      </c>
    </row>
    <row r="78" spans="1:5" x14ac:dyDescent="0.25">
      <c r="A78" s="134">
        <f t="shared" si="1"/>
        <v>76</v>
      </c>
      <c r="B78" s="443" t="s">
        <v>2217</v>
      </c>
      <c r="C78" s="443" t="s">
        <v>2217</v>
      </c>
      <c r="D78" s="340" t="s">
        <v>4564</v>
      </c>
      <c r="E78" s="4"/>
    </row>
    <row r="79" spans="1:5" x14ac:dyDescent="0.25">
      <c r="A79" s="134">
        <f t="shared" si="1"/>
        <v>77</v>
      </c>
      <c r="B79" s="443" t="s">
        <v>2967</v>
      </c>
      <c r="C79" s="443" t="s">
        <v>2967</v>
      </c>
      <c r="D79" s="340" t="s">
        <v>4564</v>
      </c>
      <c r="E79" s="4"/>
    </row>
    <row r="80" spans="1:5" x14ac:dyDescent="0.25">
      <c r="A80" s="134">
        <f t="shared" si="1"/>
        <v>78</v>
      </c>
      <c r="B80" s="443" t="s">
        <v>3322</v>
      </c>
      <c r="C80" s="443" t="s">
        <v>3322</v>
      </c>
      <c r="D80" s="340" t="s">
        <v>4565</v>
      </c>
      <c r="E80" s="4" t="s">
        <v>7424</v>
      </c>
    </row>
    <row r="81" spans="1:5" x14ac:dyDescent="0.25">
      <c r="A81" s="134">
        <f t="shared" si="1"/>
        <v>79</v>
      </c>
      <c r="B81" s="443" t="s">
        <v>3012</v>
      </c>
      <c r="C81" s="443" t="s">
        <v>3012</v>
      </c>
      <c r="D81" s="340" t="s">
        <v>3034</v>
      </c>
      <c r="E81" s="4"/>
    </row>
    <row r="82" spans="1:5" x14ac:dyDescent="0.25">
      <c r="A82" s="134">
        <f t="shared" si="1"/>
        <v>80</v>
      </c>
      <c r="B82" s="443" t="s">
        <v>4275</v>
      </c>
      <c r="C82" s="443" t="s">
        <v>4275</v>
      </c>
      <c r="D82" s="340" t="s">
        <v>4805</v>
      </c>
      <c r="E82" s="4" t="s">
        <v>7405</v>
      </c>
    </row>
    <row r="83" spans="1:5" x14ac:dyDescent="0.25">
      <c r="A83" s="134">
        <f t="shared" si="1"/>
        <v>81</v>
      </c>
      <c r="B83" s="443" t="s">
        <v>4266</v>
      </c>
      <c r="C83" s="443" t="s">
        <v>4266</v>
      </c>
      <c r="D83" s="340" t="s">
        <v>4825</v>
      </c>
      <c r="E83" s="4" t="s">
        <v>7406</v>
      </c>
    </row>
    <row r="84" spans="1:5" x14ac:dyDescent="0.25">
      <c r="A84" s="134">
        <f t="shared" si="1"/>
        <v>82</v>
      </c>
      <c r="B84" s="443" t="s">
        <v>2205</v>
      </c>
      <c r="C84" s="443" t="s">
        <v>2205</v>
      </c>
      <c r="D84" s="340" t="s">
        <v>4826</v>
      </c>
      <c r="E84" s="4" t="s">
        <v>7407</v>
      </c>
    </row>
    <row r="85" spans="1:5" x14ac:dyDescent="0.25">
      <c r="A85" s="134">
        <f t="shared" si="1"/>
        <v>83</v>
      </c>
      <c r="B85" s="443" t="s">
        <v>571</v>
      </c>
      <c r="C85" s="443" t="s">
        <v>571</v>
      </c>
      <c r="D85" s="340" t="s">
        <v>3034</v>
      </c>
      <c r="E85" s="4"/>
    </row>
    <row r="86" spans="1:5" x14ac:dyDescent="0.25">
      <c r="A86" s="134">
        <f t="shared" si="1"/>
        <v>84</v>
      </c>
      <c r="B86" s="443" t="s">
        <v>4268</v>
      </c>
      <c r="C86" s="443" t="s">
        <v>4268</v>
      </c>
      <c r="D86" s="340" t="s">
        <v>4827</v>
      </c>
      <c r="E86" s="4"/>
    </row>
    <row r="87" spans="1:5" x14ac:dyDescent="0.25">
      <c r="A87" s="134">
        <f t="shared" si="1"/>
        <v>85</v>
      </c>
      <c r="B87" s="447" t="s">
        <v>4567</v>
      </c>
      <c r="C87" s="447" t="s">
        <v>4567</v>
      </c>
      <c r="D87" s="340" t="s">
        <v>4566</v>
      </c>
      <c r="E87" s="4" t="s">
        <v>7426</v>
      </c>
    </row>
    <row r="88" spans="1:5" x14ac:dyDescent="0.25">
      <c r="A88" s="134">
        <f t="shared" si="1"/>
        <v>86</v>
      </c>
      <c r="B88" s="447" t="s">
        <v>6106</v>
      </c>
      <c r="C88" s="447" t="s">
        <v>6107</v>
      </c>
      <c r="D88" s="450" t="s">
        <v>4577</v>
      </c>
      <c r="E88" s="4" t="s">
        <v>7408</v>
      </c>
    </row>
    <row r="89" spans="1:5" x14ac:dyDescent="0.25">
      <c r="A89" s="134">
        <f t="shared" si="1"/>
        <v>87</v>
      </c>
      <c r="B89" s="447" t="s">
        <v>4582</v>
      </c>
      <c r="C89" s="447" t="s">
        <v>4582</v>
      </c>
      <c r="D89" s="446" t="s">
        <v>4581</v>
      </c>
      <c r="E89" s="4" t="s">
        <v>7409</v>
      </c>
    </row>
    <row r="90" spans="1:5" x14ac:dyDescent="0.25">
      <c r="A90" s="134">
        <f t="shared" si="1"/>
        <v>88</v>
      </c>
      <c r="B90" s="443" t="s">
        <v>4583</v>
      </c>
      <c r="C90" s="443" t="s">
        <v>4583</v>
      </c>
      <c r="D90" s="450" t="s">
        <v>6105</v>
      </c>
      <c r="E90" s="4" t="s">
        <v>7410</v>
      </c>
    </row>
    <row r="91" spans="1:5" x14ac:dyDescent="0.25">
      <c r="A91" s="134">
        <f t="shared" si="1"/>
        <v>89</v>
      </c>
      <c r="B91" s="4" t="s">
        <v>4990</v>
      </c>
      <c r="C91" s="4" t="s">
        <v>4990</v>
      </c>
      <c r="D91" s="341" t="s">
        <v>5139</v>
      </c>
      <c r="E91" s="4" t="s">
        <v>7411</v>
      </c>
    </row>
    <row r="92" spans="1:5" x14ac:dyDescent="0.25">
      <c r="A92" s="134">
        <f t="shared" si="1"/>
        <v>90</v>
      </c>
      <c r="B92" s="4" t="s">
        <v>4991</v>
      </c>
      <c r="C92" s="4" t="s">
        <v>4991</v>
      </c>
      <c r="D92" s="341" t="s">
        <v>5140</v>
      </c>
      <c r="E92" s="4" t="s">
        <v>7398</v>
      </c>
    </row>
    <row r="93" spans="1:5" x14ac:dyDescent="0.25">
      <c r="A93" s="134">
        <f t="shared" si="1"/>
        <v>91</v>
      </c>
      <c r="B93" s="4" t="s">
        <v>4992</v>
      </c>
      <c r="C93" s="4" t="s">
        <v>4992</v>
      </c>
      <c r="D93" s="341" t="s">
        <v>5141</v>
      </c>
      <c r="E93" s="4" t="s">
        <v>7412</v>
      </c>
    </row>
    <row r="94" spans="1:5" x14ac:dyDescent="0.25">
      <c r="A94" s="489">
        <f t="shared" si="1"/>
        <v>92</v>
      </c>
      <c r="B94" s="478" t="s">
        <v>6204</v>
      </c>
      <c r="C94" s="478" t="s">
        <v>6204</v>
      </c>
      <c r="D94" s="168" t="s">
        <v>7413</v>
      </c>
      <c r="E94" s="168"/>
    </row>
    <row r="95" spans="1:5" x14ac:dyDescent="0.25">
      <c r="A95" s="134">
        <f t="shared" si="1"/>
        <v>93</v>
      </c>
      <c r="B95" s="443" t="s">
        <v>6208</v>
      </c>
      <c r="C95" s="443" t="s">
        <v>6103</v>
      </c>
      <c r="D95" s="490" t="s">
        <v>6206</v>
      </c>
      <c r="E95" s="693" t="s">
        <v>7414</v>
      </c>
    </row>
    <row r="96" spans="1:5" x14ac:dyDescent="0.25">
      <c r="A96" s="134">
        <f t="shared" si="1"/>
        <v>94</v>
      </c>
      <c r="B96" s="637" t="s">
        <v>6998</v>
      </c>
      <c r="C96" s="637" t="s">
        <v>6964</v>
      </c>
      <c r="D96" s="168" t="s">
        <v>6999</v>
      </c>
    </row>
    <row r="97" spans="1:5" x14ac:dyDescent="0.25">
      <c r="A97" s="134">
        <f t="shared" si="1"/>
        <v>95</v>
      </c>
      <c r="B97" s="637" t="s">
        <v>6965</v>
      </c>
      <c r="C97" s="637" t="s">
        <v>6965</v>
      </c>
      <c r="D97" t="s">
        <v>7003</v>
      </c>
    </row>
    <row r="98" spans="1:5" x14ac:dyDescent="0.25">
      <c r="A98" s="134">
        <f t="shared" si="1"/>
        <v>96</v>
      </c>
      <c r="B98" s="637" t="s">
        <v>6966</v>
      </c>
      <c r="C98" s="637" t="s">
        <v>6966</v>
      </c>
      <c r="D98" t="s">
        <v>7002</v>
      </c>
    </row>
    <row r="99" spans="1:5" x14ac:dyDescent="0.25">
      <c r="A99" s="134">
        <f t="shared" si="1"/>
        <v>97</v>
      </c>
      <c r="B99" t="s">
        <v>6967</v>
      </c>
      <c r="C99" t="s">
        <v>6967</v>
      </c>
      <c r="D99" t="s">
        <v>7001</v>
      </c>
    </row>
    <row r="100" spans="1:5" x14ac:dyDescent="0.25">
      <c r="A100" s="134">
        <f t="shared" si="1"/>
        <v>98</v>
      </c>
      <c r="B100" t="s">
        <v>6968</v>
      </c>
      <c r="C100" t="s">
        <v>6968</v>
      </c>
      <c r="D100" t="s">
        <v>7000</v>
      </c>
      <c r="E100" t="s">
        <v>7415</v>
      </c>
    </row>
  </sheetData>
  <mergeCells count="4">
    <mergeCell ref="D1:D2"/>
    <mergeCell ref="B1:B2"/>
    <mergeCell ref="C1:C2"/>
    <mergeCell ref="E1:E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5">
    <tabColor theme="7" tint="0.39997558519241921"/>
  </sheetPr>
  <dimension ref="A1:CQ104"/>
  <sheetViews>
    <sheetView zoomScale="70" zoomScaleNormal="70" workbookViewId="0">
      <pane xSplit="2" ySplit="1" topLeftCell="CQ60" activePane="bottomRight" state="frozen"/>
      <selection activeCell="F43" sqref="F43"/>
      <selection pane="topRight" activeCell="F43" sqref="F43"/>
      <selection pane="bottomLeft" activeCell="F43" sqref="F43"/>
      <selection pane="bottomRight" activeCell="CU1" sqref="CU1:DA102"/>
    </sheetView>
  </sheetViews>
  <sheetFormatPr defaultRowHeight="12.75" x14ac:dyDescent="0.2"/>
  <cols>
    <col min="1" max="1" width="5" style="3" customWidth="1"/>
    <col min="2" max="83" width="20.7109375" style="3" customWidth="1"/>
    <col min="84" max="84" width="76.7109375" style="3" bestFit="1" customWidth="1"/>
    <col min="85" max="99" width="9.140625" style="3"/>
    <col min="100" max="100" width="15.5703125" style="3" customWidth="1"/>
    <col min="101" max="101" width="21.42578125" style="3" customWidth="1"/>
    <col min="102" max="16384" width="9.140625" style="3"/>
  </cols>
  <sheetData>
    <row r="1" spans="1:95" ht="14.25" x14ac:dyDescent="0.25">
      <c r="A1" s="656" t="s">
        <v>590</v>
      </c>
      <c r="B1" s="657" t="s">
        <v>2</v>
      </c>
      <c r="C1" s="658" t="s">
        <v>6951</v>
      </c>
      <c r="D1" s="658" t="s">
        <v>4293</v>
      </c>
      <c r="E1" s="667" t="s">
        <v>4253</v>
      </c>
      <c r="F1" s="659" t="s">
        <v>64</v>
      </c>
      <c r="G1" s="660" t="s">
        <v>65</v>
      </c>
      <c r="H1" s="661" t="s">
        <v>66</v>
      </c>
      <c r="I1" s="662" t="s">
        <v>67</v>
      </c>
      <c r="J1" s="667" t="s">
        <v>4128</v>
      </c>
      <c r="K1" s="663" t="s">
        <v>68</v>
      </c>
      <c r="L1" s="657" t="s">
        <v>69</v>
      </c>
      <c r="M1" s="659" t="s">
        <v>31</v>
      </c>
      <c r="N1" s="661" t="s">
        <v>32</v>
      </c>
      <c r="O1" s="662" t="s">
        <v>30</v>
      </c>
      <c r="P1" s="662" t="s">
        <v>553</v>
      </c>
      <c r="Q1" s="662" t="s">
        <v>592</v>
      </c>
      <c r="R1" s="662" t="s">
        <v>556</v>
      </c>
      <c r="S1" s="664" t="s">
        <v>596</v>
      </c>
      <c r="T1" s="659" t="s">
        <v>557</v>
      </c>
      <c r="U1" s="660" t="s">
        <v>558</v>
      </c>
      <c r="V1" s="660" t="s">
        <v>559</v>
      </c>
      <c r="W1" s="660" t="s">
        <v>560</v>
      </c>
      <c r="X1" s="660" t="s">
        <v>561</v>
      </c>
      <c r="Y1" s="660" t="s">
        <v>562</v>
      </c>
      <c r="Z1" s="660" t="s">
        <v>563</v>
      </c>
      <c r="AA1" s="660" t="s">
        <v>564</v>
      </c>
      <c r="AB1" s="660" t="s">
        <v>565</v>
      </c>
      <c r="AC1" s="660" t="s">
        <v>566</v>
      </c>
      <c r="AD1" s="660" t="s">
        <v>1038</v>
      </c>
      <c r="AE1" s="660" t="s">
        <v>1039</v>
      </c>
      <c r="AF1" s="660" t="s">
        <v>1040</v>
      </c>
      <c r="AG1" s="660" t="s">
        <v>1041</v>
      </c>
      <c r="AH1" s="660" t="s">
        <v>1042</v>
      </c>
      <c r="AI1" s="660" t="s">
        <v>1043</v>
      </c>
      <c r="AJ1" s="660" t="s">
        <v>1044</v>
      </c>
      <c r="AK1" s="660" t="s">
        <v>1045</v>
      </c>
      <c r="AL1" s="660" t="s">
        <v>1046</v>
      </c>
      <c r="AM1" s="660" t="s">
        <v>1047</v>
      </c>
      <c r="AN1" s="661"/>
      <c r="AO1" s="663" t="s">
        <v>512</v>
      </c>
      <c r="AP1" s="665" t="s">
        <v>513</v>
      </c>
      <c r="AQ1" s="665" t="s">
        <v>514</v>
      </c>
      <c r="AR1" s="665" t="s">
        <v>515</v>
      </c>
      <c r="AS1" s="665" t="s">
        <v>516</v>
      </c>
      <c r="AT1" s="665" t="s">
        <v>517</v>
      </c>
      <c r="AU1" s="665" t="s">
        <v>518</v>
      </c>
      <c r="AV1" s="665" t="s">
        <v>519</v>
      </c>
      <c r="AW1" s="665" t="s">
        <v>521</v>
      </c>
      <c r="AX1" s="665" t="s">
        <v>522</v>
      </c>
      <c r="AY1" s="665"/>
      <c r="AZ1" s="665" t="s">
        <v>523</v>
      </c>
      <c r="BA1" s="665" t="s">
        <v>524</v>
      </c>
      <c r="BB1" s="665" t="s">
        <v>525</v>
      </c>
      <c r="BC1" s="665" t="s">
        <v>526</v>
      </c>
      <c r="BD1" s="665" t="s">
        <v>527</v>
      </c>
      <c r="BE1" s="665" t="s">
        <v>528</v>
      </c>
      <c r="BF1" s="665" t="s">
        <v>529</v>
      </c>
      <c r="BG1" s="665" t="s">
        <v>530</v>
      </c>
      <c r="BH1" s="665" t="s">
        <v>531</v>
      </c>
      <c r="BI1" s="665" t="s">
        <v>532</v>
      </c>
      <c r="BJ1" s="665"/>
      <c r="BK1" s="665" t="s">
        <v>533</v>
      </c>
      <c r="BL1" s="665" t="s">
        <v>534</v>
      </c>
      <c r="BM1" s="665" t="s">
        <v>535</v>
      </c>
      <c r="BN1" s="665" t="s">
        <v>536</v>
      </c>
      <c r="BO1" s="665" t="s">
        <v>537</v>
      </c>
      <c r="BP1" s="665" t="s">
        <v>538</v>
      </c>
      <c r="BQ1" s="665" t="s">
        <v>539</v>
      </c>
      <c r="BR1" s="665" t="s">
        <v>540</v>
      </c>
      <c r="BS1" s="665" t="s">
        <v>541</v>
      </c>
      <c r="BT1" s="665" t="s">
        <v>542</v>
      </c>
      <c r="BU1" s="665"/>
      <c r="BV1" s="665" t="s">
        <v>543</v>
      </c>
      <c r="BW1" s="665" t="s">
        <v>544</v>
      </c>
      <c r="BX1" s="665" t="s">
        <v>545</v>
      </c>
      <c r="BY1" s="665" t="s">
        <v>546</v>
      </c>
      <c r="BZ1" s="665" t="s">
        <v>547</v>
      </c>
      <c r="CA1" s="665" t="s">
        <v>548</v>
      </c>
      <c r="CB1" s="665" t="s">
        <v>549</v>
      </c>
      <c r="CC1" s="665" t="s">
        <v>550</v>
      </c>
      <c r="CD1" s="665" t="s">
        <v>551</v>
      </c>
      <c r="CE1" s="665" t="s">
        <v>552</v>
      </c>
      <c r="CF1" s="667" t="s">
        <v>4255</v>
      </c>
      <c r="CG1" s="666" t="s">
        <v>2793</v>
      </c>
      <c r="CH1" s="666" t="s">
        <v>2794</v>
      </c>
      <c r="CI1" s="666" t="s">
        <v>2795</v>
      </c>
      <c r="CJ1" s="666" t="s">
        <v>2796</v>
      </c>
      <c r="CK1" s="666" t="s">
        <v>2797</v>
      </c>
      <c r="CL1" s="666" t="s">
        <v>2798</v>
      </c>
      <c r="CM1" s="666" t="s">
        <v>2799</v>
      </c>
      <c r="CN1" s="666" t="s">
        <v>2809</v>
      </c>
      <c r="CO1" s="666" t="s">
        <v>2825</v>
      </c>
      <c r="CP1" s="666" t="s">
        <v>2826</v>
      </c>
      <c r="CQ1" s="666" t="s">
        <v>6694</v>
      </c>
    </row>
    <row r="2" spans="1:95" ht="15" x14ac:dyDescent="0.2">
      <c r="A2" s="489">
        <f>IF(B2="","",1)</f>
        <v>1</v>
      </c>
      <c r="B2" s="473" t="s">
        <v>70</v>
      </c>
      <c r="C2" s="473" t="s">
        <v>6952</v>
      </c>
      <c r="D2" s="473" t="s">
        <v>6174</v>
      </c>
      <c r="E2" s="474" t="str">
        <f>IFERROR(LEFT(TRIM(IF(F2="","",F2&amp;", ")&amp;IF(G2="","",G2&amp;", ")&amp;IF(H2="","",H2&amp;", ")),LEN(TRIM(IF(F2="","",F2&amp;", ")&amp;IF(G2="","",G2&amp;", ")&amp;IF(H2="","",H2&amp;", ")))-1),"")</f>
        <v>Insight, Religion</v>
      </c>
      <c r="F2" s="628" t="s">
        <v>71</v>
      </c>
      <c r="G2" s="628" t="s">
        <v>72</v>
      </c>
      <c r="H2" s="628"/>
      <c r="I2" s="476"/>
      <c r="J2" s="474" t="str">
        <f>IFERROR(TRIM(IF(K2="","",K2&amp;", ")&amp;IF(L2="","",L2&amp;", ")),"")</f>
        <v/>
      </c>
      <c r="K2" s="476"/>
      <c r="L2" s="476"/>
      <c r="M2" s="628"/>
      <c r="N2" s="628"/>
      <c r="O2" s="476">
        <v>2</v>
      </c>
      <c r="P2" s="476" t="s">
        <v>629</v>
      </c>
      <c r="Q2" s="475" t="s">
        <v>3331</v>
      </c>
      <c r="R2" s="476" t="s">
        <v>1070</v>
      </c>
      <c r="S2" s="476">
        <f t="shared" ref="S2:S9" si="0">COUNTA(T2:AM2)</f>
        <v>3</v>
      </c>
      <c r="T2" s="476" t="s">
        <v>1036</v>
      </c>
      <c r="U2" s="476" t="s">
        <v>500</v>
      </c>
      <c r="V2" s="476" t="s">
        <v>1037</v>
      </c>
      <c r="W2" s="476"/>
      <c r="X2" s="476"/>
      <c r="Y2" s="476"/>
      <c r="Z2" s="476"/>
      <c r="AA2" s="476"/>
      <c r="AB2" s="476"/>
      <c r="AC2" s="476"/>
      <c r="AD2" s="476"/>
      <c r="AE2" s="476"/>
      <c r="AF2" s="476"/>
      <c r="AG2" s="476"/>
      <c r="AH2" s="476"/>
      <c r="AI2" s="476"/>
      <c r="AJ2" s="476"/>
      <c r="AK2" s="476"/>
      <c r="AL2" s="476"/>
      <c r="AM2" s="476"/>
      <c r="AN2" s="476">
        <f>COUNTA(AO2:AX2)</f>
        <v>8</v>
      </c>
      <c r="AO2" s="476" t="s">
        <v>642</v>
      </c>
      <c r="AP2" s="476" t="s">
        <v>643</v>
      </c>
      <c r="AQ2" s="476" t="s">
        <v>644</v>
      </c>
      <c r="AR2" s="476" t="s">
        <v>645</v>
      </c>
      <c r="AS2" s="476" t="s">
        <v>646</v>
      </c>
      <c r="AT2" s="476" t="s">
        <v>647</v>
      </c>
      <c r="AU2" s="476" t="s">
        <v>648</v>
      </c>
      <c r="AV2" s="476" t="s">
        <v>649</v>
      </c>
      <c r="AW2" s="476"/>
      <c r="AX2" s="476"/>
      <c r="AY2" s="476">
        <f>COUNTA(AZ2:BI2)</f>
        <v>6</v>
      </c>
      <c r="AZ2" s="476" t="s">
        <v>746</v>
      </c>
      <c r="BA2" s="476" t="s">
        <v>747</v>
      </c>
      <c r="BB2" s="476" t="s">
        <v>748</v>
      </c>
      <c r="BC2" s="476" t="s">
        <v>749</v>
      </c>
      <c r="BD2" s="476" t="s">
        <v>750</v>
      </c>
      <c r="BE2" s="476" t="s">
        <v>751</v>
      </c>
      <c r="BF2" s="476"/>
      <c r="BG2" s="476"/>
      <c r="BH2" s="476"/>
      <c r="BI2" s="476"/>
      <c r="BJ2" s="476">
        <f>COUNTA(BK2:BT2)</f>
        <v>6</v>
      </c>
      <c r="BK2" s="476" t="s">
        <v>824</v>
      </c>
      <c r="BL2" s="476" t="s">
        <v>825</v>
      </c>
      <c r="BM2" s="476" t="s">
        <v>826</v>
      </c>
      <c r="BN2" s="476" t="s">
        <v>827</v>
      </c>
      <c r="BO2" s="476" t="s">
        <v>828</v>
      </c>
      <c r="BP2" s="476" t="s">
        <v>829</v>
      </c>
      <c r="BQ2" s="476"/>
      <c r="BR2" s="476"/>
      <c r="BS2" s="476"/>
      <c r="BT2" s="476"/>
      <c r="BU2" s="476">
        <f>COUNTA(BV2:CE2)</f>
        <v>6</v>
      </c>
      <c r="BV2" s="476" t="s">
        <v>902</v>
      </c>
      <c r="BW2" s="476" t="s">
        <v>903</v>
      </c>
      <c r="BX2" s="476" t="s">
        <v>904</v>
      </c>
      <c r="BY2" s="476" t="s">
        <v>905</v>
      </c>
      <c r="BZ2" s="476" t="s">
        <v>906</v>
      </c>
      <c r="CA2" s="476" t="s">
        <v>907</v>
      </c>
      <c r="CB2" s="476"/>
      <c r="CC2" s="476"/>
      <c r="CD2" s="476"/>
      <c r="CE2" s="476"/>
      <c r="CF2" s="629" t="str">
        <f>IFERROR(TRIM(IF(CG2="","",CG2&amp;", ")&amp;IF(CH2="","",CH2&amp;", ")&amp;IF(CI2="","",CI2&amp;", ")&amp;IF(CJ2="","",CJ2&amp;", ")&amp;IF(CK2="","",CK2&amp;", ")&amp;IF(CL2="","",CL2&amp;", ")&amp;IF(CM2="","",CM2&amp;", ")&amp;IF(CN2="","",CN2&amp;"gp, ")),"")</f>
        <v>holy symbol, prayer book, vestments, belt pouch, 5 sticks incense, common clothes, 15gp,</v>
      </c>
      <c r="CG2" s="476" t="s">
        <v>2800</v>
      </c>
      <c r="CH2" s="476" t="s">
        <v>2801</v>
      </c>
      <c r="CI2" s="476" t="s">
        <v>2802</v>
      </c>
      <c r="CJ2" s="476" t="s">
        <v>2804</v>
      </c>
      <c r="CK2" s="476" t="s">
        <v>2805</v>
      </c>
      <c r="CL2" s="476"/>
      <c r="CM2" s="476" t="s">
        <v>2803</v>
      </c>
      <c r="CN2" s="476">
        <v>15</v>
      </c>
      <c r="CO2" s="476"/>
      <c r="CP2" s="476"/>
      <c r="CQ2" s="476" t="s">
        <v>6822</v>
      </c>
    </row>
    <row r="3" spans="1:95" ht="15" x14ac:dyDescent="0.2">
      <c r="A3" s="489">
        <f>IF(B3="","",A2+1)</f>
        <v>2</v>
      </c>
      <c r="B3" s="473" t="s">
        <v>73</v>
      </c>
      <c r="C3" s="473" t="s">
        <v>6952</v>
      </c>
      <c r="D3" s="473" t="s">
        <v>6175</v>
      </c>
      <c r="E3" s="474" t="str">
        <f t="shared" ref="E3:E17" si="1">IFERROR(LEFT(TRIM(IF(F3="","",F3&amp;", ")&amp;IF(G3="","",G3&amp;", ")&amp;IF(H3="","",H3&amp;", ")),LEN(TRIM(IF(F3="","",F3&amp;", ")&amp;IF(G3="","",G3&amp;", ")&amp;IF(H3="","",H3&amp;", ")))-1),"")</f>
        <v>Deception, Stealth</v>
      </c>
      <c r="F3" s="628" t="s">
        <v>74</v>
      </c>
      <c r="G3" s="628" t="s">
        <v>75</v>
      </c>
      <c r="H3" s="628"/>
      <c r="I3" s="628">
        <v>1</v>
      </c>
      <c r="J3" s="474" t="str">
        <f>IFERROR(TRIM(IF(K3="","",K3&amp;", ")&amp;IF(L3="","",L3&amp;", ")),"")</f>
        <v>Gaming set, Thieve's tools,</v>
      </c>
      <c r="K3" s="628" t="s">
        <v>77</v>
      </c>
      <c r="L3" s="476" t="s">
        <v>76</v>
      </c>
      <c r="M3" s="476"/>
      <c r="N3" s="476"/>
      <c r="O3" s="476">
        <v>0</v>
      </c>
      <c r="P3" s="476" t="s">
        <v>630</v>
      </c>
      <c r="Q3" s="475" t="s">
        <v>3333</v>
      </c>
      <c r="R3" s="476" t="s">
        <v>1071</v>
      </c>
      <c r="S3" s="476">
        <f t="shared" si="0"/>
        <v>9</v>
      </c>
      <c r="T3" s="476" t="s">
        <v>6111</v>
      </c>
      <c r="U3" s="476" t="s">
        <v>6112</v>
      </c>
      <c r="V3" s="476" t="s">
        <v>6113</v>
      </c>
      <c r="W3" s="476" t="s">
        <v>6114</v>
      </c>
      <c r="X3" s="476" t="s">
        <v>6115</v>
      </c>
      <c r="Y3" s="476" t="s">
        <v>6116</v>
      </c>
      <c r="Z3" s="476" t="s">
        <v>6117</v>
      </c>
      <c r="AA3" s="476" t="s">
        <v>6118</v>
      </c>
      <c r="AB3" s="476" t="s">
        <v>6119</v>
      </c>
      <c r="AC3" s="476"/>
      <c r="AD3" s="476"/>
      <c r="AE3" s="476"/>
      <c r="AF3" s="476"/>
      <c r="AG3" s="476"/>
      <c r="AH3" s="476"/>
      <c r="AI3" s="476"/>
      <c r="AJ3" s="476"/>
      <c r="AK3" s="476"/>
      <c r="AL3" s="476"/>
      <c r="AM3" s="476"/>
      <c r="AN3" s="476">
        <f>COUNTA(AO3:AX3)</f>
        <v>8</v>
      </c>
      <c r="AO3" s="476" t="s">
        <v>650</v>
      </c>
      <c r="AP3" s="476" t="s">
        <v>651</v>
      </c>
      <c r="AQ3" s="476" t="s">
        <v>652</v>
      </c>
      <c r="AR3" s="476" t="s">
        <v>653</v>
      </c>
      <c r="AS3" s="476" t="s">
        <v>654</v>
      </c>
      <c r="AT3" s="476" t="s">
        <v>655</v>
      </c>
      <c r="AU3" s="476" t="s">
        <v>656</v>
      </c>
      <c r="AV3" s="476" t="s">
        <v>657</v>
      </c>
      <c r="AW3" s="476"/>
      <c r="AX3" s="476"/>
      <c r="AY3" s="476">
        <f>COUNTA(AZ3:BI3)</f>
        <v>6</v>
      </c>
      <c r="AZ3" s="476" t="s">
        <v>752</v>
      </c>
      <c r="BA3" s="476" t="s">
        <v>753</v>
      </c>
      <c r="BB3" s="476" t="s">
        <v>754</v>
      </c>
      <c r="BC3" s="476" t="s">
        <v>755</v>
      </c>
      <c r="BD3" s="476" t="s">
        <v>756</v>
      </c>
      <c r="BE3" s="476" t="s">
        <v>757</v>
      </c>
      <c r="BF3" s="476"/>
      <c r="BG3" s="476"/>
      <c r="BH3" s="476"/>
      <c r="BI3" s="476"/>
      <c r="BJ3" s="476">
        <f>COUNTA(BK3:BT3)</f>
        <v>6</v>
      </c>
      <c r="BK3" s="476" t="s">
        <v>830</v>
      </c>
      <c r="BL3" s="476" t="s">
        <v>831</v>
      </c>
      <c r="BM3" s="476" t="s">
        <v>832</v>
      </c>
      <c r="BN3" s="476" t="s">
        <v>833</v>
      </c>
      <c r="BO3" s="476" t="s">
        <v>834</v>
      </c>
      <c r="BP3" s="476" t="s">
        <v>835</v>
      </c>
      <c r="BQ3" s="476"/>
      <c r="BR3" s="476"/>
      <c r="BS3" s="476"/>
      <c r="BT3" s="476"/>
      <c r="BU3" s="476">
        <f>COUNTA(BV3:CE3)</f>
        <v>6</v>
      </c>
      <c r="BV3" s="476" t="s">
        <v>908</v>
      </c>
      <c r="BW3" s="476" t="s">
        <v>909</v>
      </c>
      <c r="BX3" s="476" t="s">
        <v>910</v>
      </c>
      <c r="BY3" s="476" t="s">
        <v>911</v>
      </c>
      <c r="BZ3" s="476" t="s">
        <v>912</v>
      </c>
      <c r="CA3" s="476" t="s">
        <v>913</v>
      </c>
      <c r="CB3" s="476"/>
      <c r="CC3" s="476"/>
      <c r="CD3" s="476"/>
      <c r="CE3" s="476"/>
      <c r="CF3" s="629" t="str">
        <f t="shared" ref="CF3:CF14" si="2">IFERROR(TRIM(IF(CG3="","",CG3&amp;", ")&amp;IF(CH3="","",CH3&amp;", ")&amp;IF(CI3="","",CI3&amp;", ")&amp;IF(CJ3="","",CJ3&amp;", ")&amp;IF(CK3="","",CK3&amp;", ")&amp;IF(CL3="","",CL3&amp;", ")&amp;IF(CM3="","",CM3&amp;", ")&amp;IF(CN3="","",CN3&amp;"gp, ")),"")</f>
        <v>crowbar, belt pouch, dark common clothes with hood, 15gp,</v>
      </c>
      <c r="CG3" s="476" t="s">
        <v>2806</v>
      </c>
      <c r="CH3" s="476" t="s">
        <v>2804</v>
      </c>
      <c r="CI3" s="476"/>
      <c r="CJ3" s="476"/>
      <c r="CK3" s="476"/>
      <c r="CL3" s="476"/>
      <c r="CM3" s="476" t="s">
        <v>2807</v>
      </c>
      <c r="CN3" s="476">
        <v>15</v>
      </c>
      <c r="CO3" s="476"/>
      <c r="CP3" s="476"/>
      <c r="CQ3" s="476" t="s">
        <v>6740</v>
      </c>
    </row>
    <row r="4" spans="1:95" ht="15" x14ac:dyDescent="0.2">
      <c r="A4" s="489">
        <f t="shared" ref="A4:A67" si="3">IF(B4="","",A3+1)</f>
        <v>3</v>
      </c>
      <c r="B4" s="473" t="s">
        <v>78</v>
      </c>
      <c r="C4" s="473" t="s">
        <v>6952</v>
      </c>
      <c r="D4" s="473" t="s">
        <v>6178</v>
      </c>
      <c r="E4" s="474" t="str">
        <f t="shared" si="1"/>
        <v>Animal Handling, Survival</v>
      </c>
      <c r="F4" s="473" t="s">
        <v>79</v>
      </c>
      <c r="G4" s="628" t="s">
        <v>80</v>
      </c>
      <c r="H4" s="628"/>
      <c r="I4" s="628">
        <v>1</v>
      </c>
      <c r="J4" s="474" t="str">
        <f>IFERROR(TRIM(IF(K4="","",K4&amp;", ")&amp;IF(L4="","",L4&amp;", ")),"")</f>
        <v>Artisan's Tools, Vehicles (land),</v>
      </c>
      <c r="K4" s="628" t="s">
        <v>1122</v>
      </c>
      <c r="L4" s="628" t="s">
        <v>81</v>
      </c>
      <c r="M4" s="476"/>
      <c r="N4" s="476"/>
      <c r="O4" s="476">
        <v>0</v>
      </c>
      <c r="P4" s="476" t="s">
        <v>631</v>
      </c>
      <c r="Q4" s="475" t="s">
        <v>3335</v>
      </c>
      <c r="R4" s="476" t="s">
        <v>1072</v>
      </c>
      <c r="S4" s="476">
        <f t="shared" si="0"/>
        <v>10</v>
      </c>
      <c r="T4" s="476" t="s">
        <v>996</v>
      </c>
      <c r="U4" s="476" t="s">
        <v>997</v>
      </c>
      <c r="V4" s="476" t="s">
        <v>998</v>
      </c>
      <c r="W4" s="476" t="s">
        <v>999</v>
      </c>
      <c r="X4" s="476" t="s">
        <v>1000</v>
      </c>
      <c r="Y4" s="476" t="s">
        <v>1001</v>
      </c>
      <c r="Z4" s="476" t="s">
        <v>1002</v>
      </c>
      <c r="AA4" s="476" t="s">
        <v>1003</v>
      </c>
      <c r="AB4" s="476" t="s">
        <v>1004</v>
      </c>
      <c r="AC4" s="476" t="s">
        <v>1005</v>
      </c>
      <c r="AD4" s="476"/>
      <c r="AE4" s="476"/>
      <c r="AF4" s="476"/>
      <c r="AG4" s="476"/>
      <c r="AH4" s="476"/>
      <c r="AI4" s="476"/>
      <c r="AJ4" s="476"/>
      <c r="AK4" s="476"/>
      <c r="AL4" s="476"/>
      <c r="AM4" s="476"/>
      <c r="AN4" s="476">
        <f>COUNTA(AO4:AX4)</f>
        <v>8</v>
      </c>
      <c r="AO4" s="476" t="s">
        <v>658</v>
      </c>
      <c r="AP4" s="476" t="s">
        <v>659</v>
      </c>
      <c r="AQ4" s="476" t="s">
        <v>660</v>
      </c>
      <c r="AR4" s="476" t="s">
        <v>661</v>
      </c>
      <c r="AS4" s="476" t="s">
        <v>662</v>
      </c>
      <c r="AT4" s="476" t="s">
        <v>663</v>
      </c>
      <c r="AU4" s="476" t="s">
        <v>664</v>
      </c>
      <c r="AV4" s="476" t="s">
        <v>665</v>
      </c>
      <c r="AW4" s="476"/>
      <c r="AX4" s="476"/>
      <c r="AY4" s="476">
        <f>COUNTA(AZ4:BI4)</f>
        <v>6</v>
      </c>
      <c r="AZ4" s="476" t="s">
        <v>758</v>
      </c>
      <c r="BA4" s="476" t="s">
        <v>759</v>
      </c>
      <c r="BB4" s="476" t="s">
        <v>760</v>
      </c>
      <c r="BC4" s="476" t="s">
        <v>761</v>
      </c>
      <c r="BD4" s="476" t="s">
        <v>762</v>
      </c>
      <c r="BE4" s="476" t="s">
        <v>763</v>
      </c>
      <c r="BF4" s="476"/>
      <c r="BG4" s="476"/>
      <c r="BH4" s="476"/>
      <c r="BI4" s="476"/>
      <c r="BJ4" s="476">
        <f>COUNTA(BK4:BT4)</f>
        <v>6</v>
      </c>
      <c r="BK4" s="476" t="s">
        <v>836</v>
      </c>
      <c r="BL4" s="476" t="s">
        <v>837</v>
      </c>
      <c r="BM4" s="476" t="s">
        <v>838</v>
      </c>
      <c r="BN4" s="476" t="s">
        <v>839</v>
      </c>
      <c r="BO4" s="476" t="s">
        <v>840</v>
      </c>
      <c r="BP4" s="476" t="s">
        <v>841</v>
      </c>
      <c r="BQ4" s="476"/>
      <c r="BR4" s="476"/>
      <c r="BS4" s="476"/>
      <c r="BT4" s="476"/>
      <c r="BU4" s="476">
        <f>COUNTA(BV4:CE4)</f>
        <v>6</v>
      </c>
      <c r="BV4" s="476" t="s">
        <v>914</v>
      </c>
      <c r="BW4" s="476" t="s">
        <v>915</v>
      </c>
      <c r="BX4" s="476" t="s">
        <v>916</v>
      </c>
      <c r="BY4" s="476" t="s">
        <v>917</v>
      </c>
      <c r="BZ4" s="476" t="s">
        <v>918</v>
      </c>
      <c r="CA4" s="476" t="s">
        <v>919</v>
      </c>
      <c r="CB4" s="476"/>
      <c r="CC4" s="476"/>
      <c r="CD4" s="476"/>
      <c r="CE4" s="476"/>
      <c r="CF4" s="629" t="str">
        <f t="shared" si="2"/>
        <v>Shovel, Iron pot, belt pouch, common clothes, 10gp,</v>
      </c>
      <c r="CG4" s="476" t="s">
        <v>2811</v>
      </c>
      <c r="CH4" s="476" t="s">
        <v>2812</v>
      </c>
      <c r="CI4" s="476" t="s">
        <v>2804</v>
      </c>
      <c r="CJ4" s="476"/>
      <c r="CK4" s="476"/>
      <c r="CL4" s="476"/>
      <c r="CM4" s="476" t="s">
        <v>2803</v>
      </c>
      <c r="CN4" s="476">
        <v>10</v>
      </c>
      <c r="CO4" s="476" t="s">
        <v>2810</v>
      </c>
      <c r="CP4" s="476"/>
      <c r="CQ4" s="476" t="s">
        <v>6822</v>
      </c>
    </row>
    <row r="5" spans="1:95" ht="15" x14ac:dyDescent="0.2">
      <c r="A5" s="489">
        <f t="shared" si="3"/>
        <v>4</v>
      </c>
      <c r="B5" s="473" t="s">
        <v>503</v>
      </c>
      <c r="C5" s="473" t="s">
        <v>6952</v>
      </c>
      <c r="D5" s="473" t="s">
        <v>6193</v>
      </c>
      <c r="E5" s="474" t="str">
        <f t="shared" si="1"/>
        <v>History, Persuasion</v>
      </c>
      <c r="F5" s="473" t="s">
        <v>84</v>
      </c>
      <c r="G5" s="628" t="s">
        <v>613</v>
      </c>
      <c r="H5" s="628"/>
      <c r="I5" s="476"/>
      <c r="J5" s="474" t="str">
        <f t="shared" ref="J5:J15" si="4">IFERROR(TRIM(IF(K5="","",K5&amp;", ")&amp;IF(L5="","",L5&amp;", ")),"")</f>
        <v>Gaming set,</v>
      </c>
      <c r="K5" s="628" t="s">
        <v>77</v>
      </c>
      <c r="L5" s="476"/>
      <c r="M5" s="636"/>
      <c r="N5" s="636"/>
      <c r="O5" s="476">
        <v>1</v>
      </c>
      <c r="P5" s="476" t="s">
        <v>632</v>
      </c>
      <c r="Q5" s="475" t="s">
        <v>3338</v>
      </c>
      <c r="R5" s="476"/>
      <c r="S5" s="476">
        <f t="shared" si="0"/>
        <v>1</v>
      </c>
      <c r="T5" s="476" t="str">
        <f>""</f>
        <v/>
      </c>
      <c r="U5" s="476"/>
      <c r="V5" s="476"/>
      <c r="W5" s="476"/>
      <c r="X5" s="476"/>
      <c r="Y5" s="476"/>
      <c r="Z5" s="476"/>
      <c r="AA5" s="476"/>
      <c r="AB5" s="476"/>
      <c r="AC5" s="476"/>
      <c r="AD5" s="476"/>
      <c r="AE5" s="476"/>
      <c r="AF5" s="476"/>
      <c r="AG5" s="476"/>
      <c r="AH5" s="476"/>
      <c r="AI5" s="476"/>
      <c r="AJ5" s="476"/>
      <c r="AK5" s="476"/>
      <c r="AL5" s="476"/>
      <c r="AM5" s="476"/>
      <c r="AN5" s="476">
        <f>COUNTA(AO5:AX5)</f>
        <v>8</v>
      </c>
      <c r="AO5" s="476" t="s">
        <v>666</v>
      </c>
      <c r="AP5" s="476" t="s">
        <v>667</v>
      </c>
      <c r="AQ5" s="476" t="s">
        <v>668</v>
      </c>
      <c r="AR5" s="476" t="s">
        <v>669</v>
      </c>
      <c r="AS5" s="476" t="s">
        <v>670</v>
      </c>
      <c r="AT5" s="476" t="s">
        <v>671</v>
      </c>
      <c r="AU5" s="476" t="s">
        <v>672</v>
      </c>
      <c r="AV5" s="476" t="s">
        <v>673</v>
      </c>
      <c r="AW5" s="476"/>
      <c r="AX5" s="476"/>
      <c r="AY5" s="476">
        <f>COUNTA(AZ5:BI5)</f>
        <v>6</v>
      </c>
      <c r="AZ5" s="476" t="s">
        <v>764</v>
      </c>
      <c r="BA5" s="476" t="s">
        <v>765</v>
      </c>
      <c r="BB5" s="476" t="s">
        <v>766</v>
      </c>
      <c r="BC5" s="476" t="s">
        <v>767</v>
      </c>
      <c r="BD5" s="476" t="s">
        <v>768</v>
      </c>
      <c r="BE5" s="476" t="s">
        <v>769</v>
      </c>
      <c r="BF5" s="476"/>
      <c r="BG5" s="476"/>
      <c r="BH5" s="476"/>
      <c r="BI5" s="476"/>
      <c r="BJ5" s="476">
        <f>COUNTA(BK5:BT5)</f>
        <v>6</v>
      </c>
      <c r="BK5" s="476" t="s">
        <v>842</v>
      </c>
      <c r="BL5" s="476" t="s">
        <v>843</v>
      </c>
      <c r="BM5" s="476" t="s">
        <v>844</v>
      </c>
      <c r="BN5" s="476" t="s">
        <v>845</v>
      </c>
      <c r="BO5" s="476" t="s">
        <v>846</v>
      </c>
      <c r="BP5" s="476" t="s">
        <v>847</v>
      </c>
      <c r="BQ5" s="476"/>
      <c r="BR5" s="476"/>
      <c r="BS5" s="476"/>
      <c r="BT5" s="476"/>
      <c r="BU5" s="476">
        <f>COUNTA(BV5:CE5)</f>
        <v>6</v>
      </c>
      <c r="BV5" s="476" t="s">
        <v>920</v>
      </c>
      <c r="BW5" s="476" t="s">
        <v>921</v>
      </c>
      <c r="BX5" s="476" t="s">
        <v>922</v>
      </c>
      <c r="BY5" s="476" t="s">
        <v>923</v>
      </c>
      <c r="BZ5" s="476" t="s">
        <v>924</v>
      </c>
      <c r="CA5" s="476" t="s">
        <v>925</v>
      </c>
      <c r="CB5" s="476"/>
      <c r="CC5" s="476"/>
      <c r="CD5" s="476"/>
      <c r="CE5" s="476"/>
      <c r="CF5" s="629" t="str">
        <f t="shared" si="2"/>
        <v>signet ring, scroll of pedigree, purse, fine clothes, 25gp,</v>
      </c>
      <c r="CG5" s="476" t="s">
        <v>2815</v>
      </c>
      <c r="CH5" s="476" t="s">
        <v>2813</v>
      </c>
      <c r="CI5" s="476" t="s">
        <v>2816</v>
      </c>
      <c r="CJ5" s="476"/>
      <c r="CK5" s="476"/>
      <c r="CL5" s="476"/>
      <c r="CM5" s="476" t="s">
        <v>2814</v>
      </c>
      <c r="CN5" s="476">
        <v>25</v>
      </c>
      <c r="CO5" s="476"/>
      <c r="CP5" s="476"/>
      <c r="CQ5" s="476" t="s">
        <v>6794</v>
      </c>
    </row>
    <row r="6" spans="1:95" ht="15" x14ac:dyDescent="0.2">
      <c r="A6" s="489">
        <f t="shared" si="3"/>
        <v>5</v>
      </c>
      <c r="B6" s="473" t="s">
        <v>82</v>
      </c>
      <c r="C6" s="473" t="s">
        <v>6952</v>
      </c>
      <c r="D6" s="473" t="s">
        <v>6187</v>
      </c>
      <c r="E6" s="474" t="str">
        <f t="shared" si="1"/>
        <v>Arcana, History</v>
      </c>
      <c r="F6" s="473" t="s">
        <v>83</v>
      </c>
      <c r="G6" s="628" t="s">
        <v>84</v>
      </c>
      <c r="H6" s="628"/>
      <c r="I6" s="628">
        <v>1</v>
      </c>
      <c r="J6" s="474" t="str">
        <f t="shared" si="4"/>
        <v>Vehicles (land),</v>
      </c>
      <c r="K6" s="628" t="s">
        <v>81</v>
      </c>
      <c r="L6" s="476"/>
      <c r="M6" s="476"/>
      <c r="N6" s="476"/>
      <c r="O6" s="476">
        <v>2</v>
      </c>
      <c r="P6" s="476" t="s">
        <v>633</v>
      </c>
      <c r="Q6" s="475" t="s">
        <v>3340</v>
      </c>
      <c r="R6" s="476" t="s">
        <v>1071</v>
      </c>
      <c r="S6" s="476">
        <f t="shared" si="0"/>
        <v>8</v>
      </c>
      <c r="T6" s="476" t="s">
        <v>1024</v>
      </c>
      <c r="U6" s="476" t="s">
        <v>1025</v>
      </c>
      <c r="V6" s="476" t="s">
        <v>1026</v>
      </c>
      <c r="W6" s="476" t="s">
        <v>633</v>
      </c>
      <c r="X6" s="476" t="s">
        <v>2771</v>
      </c>
      <c r="Y6" s="476" t="s">
        <v>1027</v>
      </c>
      <c r="Z6" s="476" t="s">
        <v>1028</v>
      </c>
      <c r="AA6" s="476" t="s">
        <v>1029</v>
      </c>
      <c r="AB6" s="476"/>
      <c r="AC6" s="476"/>
      <c r="AD6" s="476"/>
      <c r="AE6" s="476"/>
      <c r="AF6" s="476"/>
      <c r="AG6" s="476"/>
      <c r="AH6" s="476"/>
      <c r="AI6" s="476"/>
      <c r="AJ6" s="476"/>
      <c r="AK6" s="476"/>
      <c r="AL6" s="476"/>
      <c r="AM6" s="476"/>
      <c r="AN6" s="476">
        <f>COUNTA(AO6:AX6)</f>
        <v>10</v>
      </c>
      <c r="AO6" s="476" t="s">
        <v>674</v>
      </c>
      <c r="AP6" s="476" t="s">
        <v>675</v>
      </c>
      <c r="AQ6" s="476" t="s">
        <v>676</v>
      </c>
      <c r="AR6" s="476" t="s">
        <v>677</v>
      </c>
      <c r="AS6" s="476" t="s">
        <v>678</v>
      </c>
      <c r="AT6" s="476" t="s">
        <v>679</v>
      </c>
      <c r="AU6" s="476" t="s">
        <v>680</v>
      </c>
      <c r="AV6" s="476" t="s">
        <v>681</v>
      </c>
      <c r="AW6" s="476" t="s">
        <v>594</v>
      </c>
      <c r="AX6" s="476" t="s">
        <v>595</v>
      </c>
      <c r="AY6" s="476">
        <f>COUNTA(AZ6:BI6)</f>
        <v>6</v>
      </c>
      <c r="AZ6" s="476" t="s">
        <v>770</v>
      </c>
      <c r="BA6" s="476" t="s">
        <v>771</v>
      </c>
      <c r="BB6" s="476" t="s">
        <v>772</v>
      </c>
      <c r="BC6" s="476" t="s">
        <v>773</v>
      </c>
      <c r="BD6" s="476" t="s">
        <v>774</v>
      </c>
      <c r="BE6" s="476" t="s">
        <v>775</v>
      </c>
      <c r="BF6" s="476"/>
      <c r="BG6" s="476"/>
      <c r="BH6" s="476"/>
      <c r="BI6" s="476"/>
      <c r="BJ6" s="476">
        <f>COUNTA(BK6:BT6)</f>
        <v>6</v>
      </c>
      <c r="BK6" s="476" t="s">
        <v>848</v>
      </c>
      <c r="BL6" s="476" t="s">
        <v>849</v>
      </c>
      <c r="BM6" s="476" t="s">
        <v>850</v>
      </c>
      <c r="BN6" s="476" t="s">
        <v>851</v>
      </c>
      <c r="BO6" s="476" t="s">
        <v>852</v>
      </c>
      <c r="BP6" s="476" t="s">
        <v>853</v>
      </c>
      <c r="BQ6" s="476"/>
      <c r="BR6" s="476"/>
      <c r="BS6" s="476"/>
      <c r="BT6" s="476"/>
      <c r="BU6" s="476">
        <f>COUNTA(BV6:CE6)</f>
        <v>6</v>
      </c>
      <c r="BV6" s="476" t="s">
        <v>926</v>
      </c>
      <c r="BW6" s="476" t="s">
        <v>927</v>
      </c>
      <c r="BX6" s="476" t="s">
        <v>928</v>
      </c>
      <c r="BY6" s="476" t="s">
        <v>929</v>
      </c>
      <c r="BZ6" s="476" t="s">
        <v>930</v>
      </c>
      <c r="CA6" s="476" t="s">
        <v>931</v>
      </c>
      <c r="CB6" s="476"/>
      <c r="CC6" s="476"/>
      <c r="CD6" s="476"/>
      <c r="CE6" s="476"/>
      <c r="CF6" s="629" t="str">
        <f t="shared" si="2"/>
        <v>bottle of black ink, quill, small knife, a letter from a dead colleague posing a question you have not yet been able to answe, belt pouch, common clothes, 10gp,</v>
      </c>
      <c r="CG6" s="476" t="s">
        <v>2817</v>
      </c>
      <c r="CH6" s="476" t="s">
        <v>2818</v>
      </c>
      <c r="CI6" s="476" t="s">
        <v>2819</v>
      </c>
      <c r="CJ6" s="476" t="s">
        <v>2820</v>
      </c>
      <c r="CK6" s="476" t="s">
        <v>2804</v>
      </c>
      <c r="CL6" s="476"/>
      <c r="CM6" s="476" t="s">
        <v>2803</v>
      </c>
      <c r="CN6" s="476">
        <v>10</v>
      </c>
      <c r="CO6" s="476"/>
      <c r="CP6" s="476"/>
      <c r="CQ6" s="476" t="s">
        <v>6822</v>
      </c>
    </row>
    <row r="7" spans="1:95" ht="15" x14ac:dyDescent="0.2">
      <c r="A7" s="489">
        <f t="shared" si="3"/>
        <v>6</v>
      </c>
      <c r="B7" s="473" t="s">
        <v>85</v>
      </c>
      <c r="C7" s="473" t="s">
        <v>6952</v>
      </c>
      <c r="D7" s="473" t="s">
        <v>6190</v>
      </c>
      <c r="E7" s="474" t="str">
        <f t="shared" si="1"/>
        <v>Athletics, Intimidation</v>
      </c>
      <c r="F7" s="476" t="s">
        <v>86</v>
      </c>
      <c r="G7" s="476" t="s">
        <v>87</v>
      </c>
      <c r="H7" s="476"/>
      <c r="I7" s="476"/>
      <c r="J7" s="474" t="str">
        <f t="shared" si="4"/>
        <v>Gaming set, Vehicles (land),</v>
      </c>
      <c r="K7" s="628" t="s">
        <v>77</v>
      </c>
      <c r="L7" s="628" t="s">
        <v>81</v>
      </c>
      <c r="M7" s="476"/>
      <c r="N7" s="476"/>
      <c r="O7" s="476">
        <v>0</v>
      </c>
      <c r="P7" s="476" t="s">
        <v>634</v>
      </c>
      <c r="Q7" s="475" t="s">
        <v>3330</v>
      </c>
      <c r="R7" s="476" t="s">
        <v>1073</v>
      </c>
      <c r="S7" s="476">
        <f t="shared" si="0"/>
        <v>8</v>
      </c>
      <c r="T7" s="476" t="s">
        <v>1030</v>
      </c>
      <c r="U7" s="476" t="s">
        <v>1031</v>
      </c>
      <c r="V7" s="476" t="s">
        <v>1032</v>
      </c>
      <c r="W7" s="476" t="s">
        <v>1033</v>
      </c>
      <c r="X7" s="476" t="s">
        <v>593</v>
      </c>
      <c r="Y7" s="476" t="s">
        <v>1034</v>
      </c>
      <c r="Z7" s="476" t="s">
        <v>567</v>
      </c>
      <c r="AA7" s="476" t="s">
        <v>1035</v>
      </c>
      <c r="AB7" s="476"/>
      <c r="AC7" s="476"/>
      <c r="AD7" s="476"/>
      <c r="AE7" s="476"/>
      <c r="AF7" s="476"/>
      <c r="AG7" s="476"/>
      <c r="AH7" s="476"/>
      <c r="AI7" s="476"/>
      <c r="AJ7" s="476"/>
      <c r="AK7" s="476"/>
      <c r="AL7" s="476"/>
      <c r="AM7" s="476"/>
      <c r="AN7" s="476">
        <f t="shared" ref="AN7:AN14" si="5">COUNTA(AO7:AX7)</f>
        <v>8</v>
      </c>
      <c r="AO7" s="476" t="s">
        <v>682</v>
      </c>
      <c r="AP7" s="476" t="s">
        <v>683</v>
      </c>
      <c r="AQ7" s="476" t="s">
        <v>684</v>
      </c>
      <c r="AR7" s="476" t="s">
        <v>685</v>
      </c>
      <c r="AS7" s="476" t="s">
        <v>686</v>
      </c>
      <c r="AT7" s="476" t="s">
        <v>687</v>
      </c>
      <c r="AU7" s="476" t="s">
        <v>688</v>
      </c>
      <c r="AV7" s="476" t="s">
        <v>689</v>
      </c>
      <c r="AW7" s="476"/>
      <c r="AX7" s="476"/>
      <c r="AY7" s="476">
        <f t="shared" ref="AY7:AY14" si="6">COUNTA(AZ7:BI7)</f>
        <v>6</v>
      </c>
      <c r="AZ7" s="476" t="s">
        <v>776</v>
      </c>
      <c r="BA7" s="476" t="s">
        <v>777</v>
      </c>
      <c r="BB7" s="476" t="s">
        <v>778</v>
      </c>
      <c r="BC7" s="476" t="s">
        <v>779</v>
      </c>
      <c r="BD7" s="476" t="s">
        <v>780</v>
      </c>
      <c r="BE7" s="476" t="s">
        <v>781</v>
      </c>
      <c r="BF7" s="476"/>
      <c r="BG7" s="476"/>
      <c r="BH7" s="476"/>
      <c r="BI7" s="476"/>
      <c r="BJ7" s="476">
        <f t="shared" ref="BJ7:BJ14" si="7">COUNTA(BK7:BT7)</f>
        <v>6</v>
      </c>
      <c r="BK7" s="476" t="s">
        <v>854</v>
      </c>
      <c r="BL7" s="476" t="s">
        <v>855</v>
      </c>
      <c r="BM7" s="476" t="s">
        <v>856</v>
      </c>
      <c r="BN7" s="476" t="s">
        <v>857</v>
      </c>
      <c r="BO7" s="476" t="s">
        <v>858</v>
      </c>
      <c r="BP7" s="476" t="s">
        <v>859</v>
      </c>
      <c r="BQ7" s="476"/>
      <c r="BR7" s="476"/>
      <c r="BS7" s="476"/>
      <c r="BT7" s="476"/>
      <c r="BU7" s="476">
        <f t="shared" ref="BU7:BU14" si="8">COUNTA(BV7:CE7)</f>
        <v>6</v>
      </c>
      <c r="BV7" s="476" t="s">
        <v>932</v>
      </c>
      <c r="BW7" s="476" t="s">
        <v>933</v>
      </c>
      <c r="BX7" s="476" t="s">
        <v>934</v>
      </c>
      <c r="BY7" s="476" t="s">
        <v>935</v>
      </c>
      <c r="BZ7" s="476" t="s">
        <v>936</v>
      </c>
      <c r="CA7" s="476" t="s">
        <v>937</v>
      </c>
      <c r="CB7" s="476"/>
      <c r="CC7" s="476"/>
      <c r="CD7" s="476"/>
      <c r="CE7" s="476"/>
      <c r="CF7" s="629" t="str">
        <f t="shared" si="2"/>
        <v>insignia of rank, gaming set, belt pouch, common clothes, 10gp,</v>
      </c>
      <c r="CG7" s="476" t="s">
        <v>2821</v>
      </c>
      <c r="CH7" s="476" t="s">
        <v>2823</v>
      </c>
      <c r="CI7" s="476" t="s">
        <v>2804</v>
      </c>
      <c r="CJ7" s="476"/>
      <c r="CK7" s="476"/>
      <c r="CL7" s="476"/>
      <c r="CM7" s="476" t="s">
        <v>2803</v>
      </c>
      <c r="CN7" s="476">
        <v>10</v>
      </c>
      <c r="CO7" s="476" t="s">
        <v>77</v>
      </c>
      <c r="CP7" s="476" t="s">
        <v>2822</v>
      </c>
      <c r="CQ7" s="476" t="s">
        <v>6822</v>
      </c>
    </row>
    <row r="8" spans="1:95" ht="15" x14ac:dyDescent="0.2">
      <c r="A8" s="489">
        <f t="shared" si="3"/>
        <v>7</v>
      </c>
      <c r="B8" s="473" t="s">
        <v>626</v>
      </c>
      <c r="C8" s="473" t="s">
        <v>6952</v>
      </c>
      <c r="D8" s="473" t="s">
        <v>6175</v>
      </c>
      <c r="E8" s="474" t="str">
        <f t="shared" si="1"/>
        <v>Deception, Sleight of Hand</v>
      </c>
      <c r="F8" s="476" t="s">
        <v>74</v>
      </c>
      <c r="G8" s="476" t="s">
        <v>614</v>
      </c>
      <c r="H8" s="476"/>
      <c r="I8" s="476"/>
      <c r="J8" s="474" t="str">
        <f t="shared" si="4"/>
        <v>Disguise kit, Forgery Kit,</v>
      </c>
      <c r="K8" s="476" t="s">
        <v>287</v>
      </c>
      <c r="L8" s="476" t="s">
        <v>4254</v>
      </c>
      <c r="M8" s="476"/>
      <c r="N8" s="476"/>
      <c r="O8" s="476">
        <v>0</v>
      </c>
      <c r="P8" s="476" t="s">
        <v>635</v>
      </c>
      <c r="Q8" s="475" t="s">
        <v>3332</v>
      </c>
      <c r="R8" s="476" t="s">
        <v>1074</v>
      </c>
      <c r="S8" s="476">
        <f t="shared" si="0"/>
        <v>6</v>
      </c>
      <c r="T8" s="476" t="s">
        <v>980</v>
      </c>
      <c r="U8" s="476" t="s">
        <v>981</v>
      </c>
      <c r="V8" s="476" t="s">
        <v>982</v>
      </c>
      <c r="W8" s="476" t="s">
        <v>983</v>
      </c>
      <c r="X8" s="476" t="s">
        <v>984</v>
      </c>
      <c r="Y8" s="476" t="s">
        <v>985</v>
      </c>
      <c r="Z8" s="476"/>
      <c r="AA8" s="476"/>
      <c r="AB8" s="476"/>
      <c r="AC8" s="476"/>
      <c r="AD8" s="476"/>
      <c r="AE8" s="476"/>
      <c r="AF8" s="476"/>
      <c r="AG8" s="476"/>
      <c r="AH8" s="476"/>
      <c r="AI8" s="476"/>
      <c r="AJ8" s="476"/>
      <c r="AK8" s="476"/>
      <c r="AL8" s="476"/>
      <c r="AM8" s="476"/>
      <c r="AN8" s="476">
        <f t="shared" si="5"/>
        <v>8</v>
      </c>
      <c r="AO8" s="476" t="s">
        <v>690</v>
      </c>
      <c r="AP8" s="476" t="s">
        <v>691</v>
      </c>
      <c r="AQ8" s="476" t="s">
        <v>692</v>
      </c>
      <c r="AR8" s="476" t="s">
        <v>693</v>
      </c>
      <c r="AS8" s="476" t="s">
        <v>694</v>
      </c>
      <c r="AT8" s="476" t="s">
        <v>695</v>
      </c>
      <c r="AU8" s="476" t="s">
        <v>696</v>
      </c>
      <c r="AV8" s="476" t="s">
        <v>697</v>
      </c>
      <c r="AW8" s="476"/>
      <c r="AX8" s="476"/>
      <c r="AY8" s="476">
        <f t="shared" si="6"/>
        <v>6</v>
      </c>
      <c r="AZ8" s="476" t="s">
        <v>782</v>
      </c>
      <c r="BA8" s="476" t="s">
        <v>783</v>
      </c>
      <c r="BB8" s="476" t="s">
        <v>784</v>
      </c>
      <c r="BC8" s="476" t="s">
        <v>785</v>
      </c>
      <c r="BD8" s="476" t="s">
        <v>786</v>
      </c>
      <c r="BE8" s="476" t="s">
        <v>787</v>
      </c>
      <c r="BF8" s="476"/>
      <c r="BG8" s="476"/>
      <c r="BH8" s="476"/>
      <c r="BI8" s="476"/>
      <c r="BJ8" s="476">
        <f t="shared" si="7"/>
        <v>6</v>
      </c>
      <c r="BK8" s="476" t="s">
        <v>860</v>
      </c>
      <c r="BL8" s="476" t="s">
        <v>861</v>
      </c>
      <c r="BM8" s="476" t="s">
        <v>862</v>
      </c>
      <c r="BN8" s="476" t="s">
        <v>863</v>
      </c>
      <c r="BO8" s="476" t="s">
        <v>864</v>
      </c>
      <c r="BP8" s="476" t="s">
        <v>865</v>
      </c>
      <c r="BQ8" s="476"/>
      <c r="BR8" s="476"/>
      <c r="BS8" s="476"/>
      <c r="BT8" s="476"/>
      <c r="BU8" s="476">
        <f t="shared" si="8"/>
        <v>6</v>
      </c>
      <c r="BV8" s="476" t="s">
        <v>938</v>
      </c>
      <c r="BW8" s="476" t="s">
        <v>939</v>
      </c>
      <c r="BX8" s="476" t="s">
        <v>940</v>
      </c>
      <c r="BY8" s="476" t="s">
        <v>941</v>
      </c>
      <c r="BZ8" s="476" t="s">
        <v>942</v>
      </c>
      <c r="CA8" s="476" t="s">
        <v>943</v>
      </c>
      <c r="CB8" s="476"/>
      <c r="CC8" s="476"/>
      <c r="CD8" s="476"/>
      <c r="CE8" s="476"/>
      <c r="CF8" s="629" t="str">
        <f t="shared" si="2"/>
        <v>Disguise kit, belt pouch, fine clothes, 15gp,</v>
      </c>
      <c r="CG8" s="476" t="s">
        <v>287</v>
      </c>
      <c r="CH8" s="476" t="s">
        <v>2804</v>
      </c>
      <c r="CI8" s="476"/>
      <c r="CJ8" s="476"/>
      <c r="CK8" s="476"/>
      <c r="CL8" s="476"/>
      <c r="CM8" s="476" t="s">
        <v>2814</v>
      </c>
      <c r="CN8" s="476">
        <v>15</v>
      </c>
      <c r="CO8" s="476" t="s">
        <v>2824</v>
      </c>
      <c r="CP8" s="476"/>
      <c r="CQ8" s="476" t="s">
        <v>6849</v>
      </c>
    </row>
    <row r="9" spans="1:95" ht="15" x14ac:dyDescent="0.2">
      <c r="A9" s="489">
        <f t="shared" si="3"/>
        <v>8</v>
      </c>
      <c r="B9" s="473" t="s">
        <v>555</v>
      </c>
      <c r="C9" s="473" t="s">
        <v>6952</v>
      </c>
      <c r="D9" s="473" t="s">
        <v>6192</v>
      </c>
      <c r="E9" s="474" t="str">
        <f t="shared" si="1"/>
        <v>Acrobatics, Performance</v>
      </c>
      <c r="F9" s="476" t="s">
        <v>607</v>
      </c>
      <c r="G9" s="476" t="s">
        <v>612</v>
      </c>
      <c r="H9" s="476"/>
      <c r="I9" s="476"/>
      <c r="J9" s="474" t="str">
        <f t="shared" si="4"/>
        <v>Disguise kit, Musical Instrument,</v>
      </c>
      <c r="K9" s="476" t="s">
        <v>287</v>
      </c>
      <c r="L9" s="476" t="s">
        <v>2974</v>
      </c>
      <c r="M9" s="476"/>
      <c r="N9" s="476"/>
      <c r="O9" s="476">
        <v>0</v>
      </c>
      <c r="P9" s="476" t="s">
        <v>636</v>
      </c>
      <c r="Q9" s="475" t="s">
        <v>3334</v>
      </c>
      <c r="R9" s="476" t="s">
        <v>1075</v>
      </c>
      <c r="S9" s="476">
        <f t="shared" si="0"/>
        <v>10</v>
      </c>
      <c r="T9" s="476" t="s">
        <v>986</v>
      </c>
      <c r="U9" s="476" t="s">
        <v>987</v>
      </c>
      <c r="V9" s="476" t="s">
        <v>988</v>
      </c>
      <c r="W9" s="476" t="s">
        <v>989</v>
      </c>
      <c r="X9" s="476" t="s">
        <v>990</v>
      </c>
      <c r="Y9" s="476" t="s">
        <v>991</v>
      </c>
      <c r="Z9" s="476" t="s">
        <v>992</v>
      </c>
      <c r="AA9" s="476" t="s">
        <v>993</v>
      </c>
      <c r="AB9" s="476" t="s">
        <v>994</v>
      </c>
      <c r="AC9" s="476" t="s">
        <v>995</v>
      </c>
      <c r="AD9" s="476"/>
      <c r="AE9" s="476"/>
      <c r="AF9" s="476"/>
      <c r="AG9" s="476"/>
      <c r="AH9" s="476"/>
      <c r="AI9" s="476"/>
      <c r="AJ9" s="476"/>
      <c r="AK9" s="476"/>
      <c r="AL9" s="476"/>
      <c r="AM9" s="476"/>
      <c r="AN9" s="476">
        <f t="shared" si="5"/>
        <v>8</v>
      </c>
      <c r="AO9" s="476" t="s">
        <v>698</v>
      </c>
      <c r="AP9" s="476" t="s">
        <v>699</v>
      </c>
      <c r="AQ9" s="476" t="s">
        <v>700</v>
      </c>
      <c r="AR9" s="476" t="s">
        <v>701</v>
      </c>
      <c r="AS9" s="476" t="s">
        <v>702</v>
      </c>
      <c r="AT9" s="476" t="s">
        <v>703</v>
      </c>
      <c r="AU9" s="476" t="s">
        <v>704</v>
      </c>
      <c r="AV9" s="476" t="s">
        <v>705</v>
      </c>
      <c r="AW9" s="476"/>
      <c r="AX9" s="476"/>
      <c r="AY9" s="476">
        <f t="shared" si="6"/>
        <v>6</v>
      </c>
      <c r="AZ9" s="476" t="s">
        <v>788</v>
      </c>
      <c r="BA9" s="476" t="s">
        <v>789</v>
      </c>
      <c r="BB9" s="476" t="s">
        <v>790</v>
      </c>
      <c r="BC9" s="476" t="s">
        <v>791</v>
      </c>
      <c r="BD9" s="476" t="s">
        <v>792</v>
      </c>
      <c r="BE9" s="476" t="s">
        <v>793</v>
      </c>
      <c r="BF9" s="476"/>
      <c r="BG9" s="476"/>
      <c r="BH9" s="476"/>
      <c r="BI9" s="476"/>
      <c r="BJ9" s="476">
        <f t="shared" si="7"/>
        <v>6</v>
      </c>
      <c r="BK9" s="476" t="s">
        <v>866</v>
      </c>
      <c r="BL9" s="476" t="s">
        <v>867</v>
      </c>
      <c r="BM9" s="476" t="s">
        <v>868</v>
      </c>
      <c r="BN9" s="476" t="s">
        <v>869</v>
      </c>
      <c r="BO9" s="476" t="s">
        <v>870</v>
      </c>
      <c r="BP9" s="476" t="s">
        <v>871</v>
      </c>
      <c r="BQ9" s="476"/>
      <c r="BR9" s="476"/>
      <c r="BS9" s="476"/>
      <c r="BT9" s="476"/>
      <c r="BU9" s="476">
        <f t="shared" si="8"/>
        <v>6</v>
      </c>
      <c r="BV9" s="476" t="s">
        <v>944</v>
      </c>
      <c r="BW9" s="476" t="s">
        <v>945</v>
      </c>
      <c r="BX9" s="476" t="s">
        <v>946</v>
      </c>
      <c r="BY9" s="476" t="s">
        <v>947</v>
      </c>
      <c r="BZ9" s="476" t="s">
        <v>948</v>
      </c>
      <c r="CA9" s="476" t="s">
        <v>949</v>
      </c>
      <c r="CB9" s="476"/>
      <c r="CC9" s="476"/>
      <c r="CD9" s="476"/>
      <c r="CE9" s="476"/>
      <c r="CF9" s="629" t="str">
        <f t="shared" si="2"/>
        <v>belt pouch, Costume, 15gp,</v>
      </c>
      <c r="CG9" s="476" t="s">
        <v>2804</v>
      </c>
      <c r="CH9" s="476"/>
      <c r="CI9" s="476"/>
      <c r="CJ9" s="476"/>
      <c r="CK9" s="476"/>
      <c r="CL9" s="476"/>
      <c r="CM9" s="476" t="s">
        <v>274</v>
      </c>
      <c r="CN9" s="476">
        <v>15</v>
      </c>
      <c r="CO9" s="476" t="s">
        <v>202</v>
      </c>
      <c r="CP9" s="476" t="s">
        <v>2827</v>
      </c>
      <c r="CQ9" s="476" t="s">
        <v>6822</v>
      </c>
    </row>
    <row r="10" spans="1:95" ht="15" x14ac:dyDescent="0.2">
      <c r="A10" s="489">
        <f t="shared" si="3"/>
        <v>9</v>
      </c>
      <c r="B10" s="473" t="s">
        <v>627</v>
      </c>
      <c r="C10" s="473" t="s">
        <v>6952</v>
      </c>
      <c r="D10" s="451" t="s">
        <v>6179</v>
      </c>
      <c r="E10" s="474" t="str">
        <f t="shared" si="1"/>
        <v>Insight, Persuasion</v>
      </c>
      <c r="F10" s="476" t="s">
        <v>71</v>
      </c>
      <c r="G10" s="476" t="s">
        <v>613</v>
      </c>
      <c r="H10" s="476"/>
      <c r="I10" s="476"/>
      <c r="J10" s="474" t="str">
        <f t="shared" si="4"/>
        <v>Artisan's Tools,</v>
      </c>
      <c r="K10" s="628" t="s">
        <v>1122</v>
      </c>
      <c r="L10" s="476"/>
      <c r="M10" s="476"/>
      <c r="N10" s="476"/>
      <c r="O10" s="476">
        <v>1</v>
      </c>
      <c r="P10" s="476" t="s">
        <v>637</v>
      </c>
      <c r="Q10" s="475" t="s">
        <v>3336</v>
      </c>
      <c r="R10" s="476" t="s">
        <v>1076</v>
      </c>
      <c r="S10" s="476">
        <f>COUNTA(T10:AM10)</f>
        <v>20</v>
      </c>
      <c r="T10" s="476" t="s">
        <v>1048</v>
      </c>
      <c r="U10" s="476" t="s">
        <v>1049</v>
      </c>
      <c r="V10" s="476" t="s">
        <v>1050</v>
      </c>
      <c r="W10" s="476" t="s">
        <v>1051</v>
      </c>
      <c r="X10" s="476" t="s">
        <v>1052</v>
      </c>
      <c r="Y10" s="476" t="s">
        <v>1053</v>
      </c>
      <c r="Z10" s="476" t="s">
        <v>1054</v>
      </c>
      <c r="AA10" s="476" t="s">
        <v>1055</v>
      </c>
      <c r="AB10" s="476" t="s">
        <v>1056</v>
      </c>
      <c r="AC10" s="476" t="s">
        <v>1057</v>
      </c>
      <c r="AD10" s="476" t="s">
        <v>1058</v>
      </c>
      <c r="AE10" s="476" t="s">
        <v>1059</v>
      </c>
      <c r="AF10" s="476" t="s">
        <v>1060</v>
      </c>
      <c r="AG10" s="476" t="s">
        <v>1061</v>
      </c>
      <c r="AH10" s="476" t="s">
        <v>1062</v>
      </c>
      <c r="AI10" s="476" t="s">
        <v>1063</v>
      </c>
      <c r="AJ10" s="476" t="s">
        <v>1064</v>
      </c>
      <c r="AK10" s="476" t="s">
        <v>1065</v>
      </c>
      <c r="AL10" s="476" t="s">
        <v>1066</v>
      </c>
      <c r="AM10" s="476" t="s">
        <v>1067</v>
      </c>
      <c r="AN10" s="476">
        <f t="shared" si="5"/>
        <v>8</v>
      </c>
      <c r="AO10" s="476" t="s">
        <v>706</v>
      </c>
      <c r="AP10" s="476" t="s">
        <v>707</v>
      </c>
      <c r="AQ10" s="476" t="s">
        <v>708</v>
      </c>
      <c r="AR10" s="476" t="s">
        <v>709</v>
      </c>
      <c r="AS10" s="476" t="s">
        <v>710</v>
      </c>
      <c r="AT10" s="476" t="s">
        <v>711</v>
      </c>
      <c r="AU10" s="476" t="s">
        <v>712</v>
      </c>
      <c r="AV10" s="476" t="s">
        <v>713</v>
      </c>
      <c r="AW10" s="476"/>
      <c r="AX10" s="476"/>
      <c r="AY10" s="476">
        <f t="shared" si="6"/>
        <v>6</v>
      </c>
      <c r="AZ10" s="476" t="s">
        <v>794</v>
      </c>
      <c r="BA10" s="476" t="s">
        <v>795</v>
      </c>
      <c r="BB10" s="476" t="s">
        <v>796</v>
      </c>
      <c r="BC10" s="476" t="s">
        <v>797</v>
      </c>
      <c r="BD10" s="476" t="s">
        <v>798</v>
      </c>
      <c r="BE10" s="476" t="s">
        <v>799</v>
      </c>
      <c r="BF10" s="476"/>
      <c r="BG10" s="476"/>
      <c r="BH10" s="476"/>
      <c r="BI10" s="476"/>
      <c r="BJ10" s="476">
        <f t="shared" si="7"/>
        <v>6</v>
      </c>
      <c r="BK10" s="476" t="s">
        <v>872</v>
      </c>
      <c r="BL10" s="476" t="s">
        <v>873</v>
      </c>
      <c r="BM10" s="476" t="s">
        <v>874</v>
      </c>
      <c r="BN10" s="476" t="s">
        <v>875</v>
      </c>
      <c r="BO10" s="476" t="s">
        <v>876</v>
      </c>
      <c r="BP10" s="476" t="s">
        <v>877</v>
      </c>
      <c r="BQ10" s="476"/>
      <c r="BR10" s="476"/>
      <c r="BS10" s="476"/>
      <c r="BT10" s="476"/>
      <c r="BU10" s="476">
        <f t="shared" si="8"/>
        <v>6</v>
      </c>
      <c r="BV10" s="476" t="s">
        <v>950</v>
      </c>
      <c r="BW10" s="476" t="s">
        <v>951</v>
      </c>
      <c r="BX10" s="476" t="s">
        <v>952</v>
      </c>
      <c r="BY10" s="476" t="s">
        <v>953</v>
      </c>
      <c r="BZ10" s="476" t="s">
        <v>954</v>
      </c>
      <c r="CA10" s="476" t="s">
        <v>955</v>
      </c>
      <c r="CB10" s="476"/>
      <c r="CC10" s="476"/>
      <c r="CD10" s="476"/>
      <c r="CE10" s="476"/>
      <c r="CF10" s="629" t="str">
        <f t="shared" si="2"/>
        <v>Letter of introduction from your guild, belt pouch, traveler's clothes, 15gp,</v>
      </c>
      <c r="CG10" s="476" t="s">
        <v>2828</v>
      </c>
      <c r="CH10" s="476" t="s">
        <v>2804</v>
      </c>
      <c r="CI10" s="476"/>
      <c r="CJ10" s="476"/>
      <c r="CK10" s="476"/>
      <c r="CL10" s="476"/>
      <c r="CM10" s="476" t="s">
        <v>2829</v>
      </c>
      <c r="CN10" s="476">
        <v>15</v>
      </c>
      <c r="CO10" s="476" t="s">
        <v>2810</v>
      </c>
      <c r="CP10" s="476"/>
      <c r="CQ10" s="476" t="s">
        <v>6849</v>
      </c>
    </row>
    <row r="11" spans="1:95" ht="15" x14ac:dyDescent="0.2">
      <c r="A11" s="489">
        <f t="shared" si="3"/>
        <v>10</v>
      </c>
      <c r="B11" s="473" t="s">
        <v>507</v>
      </c>
      <c r="C11" s="473" t="s">
        <v>6952</v>
      </c>
      <c r="D11" s="473" t="s">
        <v>6184</v>
      </c>
      <c r="E11" s="474" t="str">
        <f t="shared" si="1"/>
        <v>Medicine, Religion</v>
      </c>
      <c r="F11" s="476" t="s">
        <v>610</v>
      </c>
      <c r="G11" s="476" t="s">
        <v>72</v>
      </c>
      <c r="H11" s="476"/>
      <c r="I11" s="476"/>
      <c r="J11" s="474" t="str">
        <f t="shared" si="4"/>
        <v>Herbalism kit,</v>
      </c>
      <c r="K11" s="476" t="s">
        <v>333</v>
      </c>
      <c r="L11" s="476"/>
      <c r="M11" s="476"/>
      <c r="N11" s="476"/>
      <c r="O11" s="476">
        <v>1</v>
      </c>
      <c r="P11" s="476" t="s">
        <v>638</v>
      </c>
      <c r="Q11" s="475" t="s">
        <v>3337</v>
      </c>
      <c r="R11" s="476" t="s">
        <v>1077</v>
      </c>
      <c r="S11" s="476">
        <f t="shared" ref="S11:S17" si="9">COUNTA(T11:AM11)</f>
        <v>8</v>
      </c>
      <c r="T11" s="476" t="s">
        <v>1006</v>
      </c>
      <c r="U11" s="476" t="s">
        <v>1007</v>
      </c>
      <c r="V11" s="476" t="s">
        <v>1008</v>
      </c>
      <c r="W11" s="476" t="s">
        <v>1009</v>
      </c>
      <c r="X11" s="476" t="s">
        <v>1010</v>
      </c>
      <c r="Y11" s="476" t="s">
        <v>1011</v>
      </c>
      <c r="Z11" s="476" t="s">
        <v>1012</v>
      </c>
      <c r="AA11" s="476" t="s">
        <v>1013</v>
      </c>
      <c r="AB11" s="476"/>
      <c r="AC11" s="476"/>
      <c r="AD11" s="476"/>
      <c r="AE11" s="476"/>
      <c r="AF11" s="476"/>
      <c r="AG11" s="476"/>
      <c r="AH11" s="476"/>
      <c r="AI11" s="476"/>
      <c r="AJ11" s="476"/>
      <c r="AK11" s="476"/>
      <c r="AL11" s="476"/>
      <c r="AM11" s="476"/>
      <c r="AN11" s="476">
        <f t="shared" si="5"/>
        <v>8</v>
      </c>
      <c r="AO11" s="476" t="s">
        <v>714</v>
      </c>
      <c r="AP11" s="476" t="s">
        <v>715</v>
      </c>
      <c r="AQ11" s="476" t="s">
        <v>716</v>
      </c>
      <c r="AR11" s="476" t="s">
        <v>717</v>
      </c>
      <c r="AS11" s="476" t="s">
        <v>718</v>
      </c>
      <c r="AT11" s="476" t="s">
        <v>719</v>
      </c>
      <c r="AU11" s="476" t="s">
        <v>720</v>
      </c>
      <c r="AV11" s="476" t="s">
        <v>721</v>
      </c>
      <c r="AW11" s="476"/>
      <c r="AX11" s="476"/>
      <c r="AY11" s="476">
        <f t="shared" si="6"/>
        <v>6</v>
      </c>
      <c r="AZ11" s="476" t="s">
        <v>800</v>
      </c>
      <c r="BA11" s="476" t="s">
        <v>801</v>
      </c>
      <c r="BB11" s="476" t="s">
        <v>802</v>
      </c>
      <c r="BC11" s="476" t="s">
        <v>803</v>
      </c>
      <c r="BD11" s="476" t="s">
        <v>804</v>
      </c>
      <c r="BE11" s="476" t="s">
        <v>805</v>
      </c>
      <c r="BF11" s="476"/>
      <c r="BG11" s="476"/>
      <c r="BH11" s="476"/>
      <c r="BI11" s="476"/>
      <c r="BJ11" s="476">
        <f t="shared" si="7"/>
        <v>6</v>
      </c>
      <c r="BK11" s="476" t="s">
        <v>878</v>
      </c>
      <c r="BL11" s="476" t="s">
        <v>879</v>
      </c>
      <c r="BM11" s="476" t="s">
        <v>880</v>
      </c>
      <c r="BN11" s="476" t="s">
        <v>881</v>
      </c>
      <c r="BO11" s="476" t="s">
        <v>882</v>
      </c>
      <c r="BP11" s="476" t="s">
        <v>883</v>
      </c>
      <c r="BQ11" s="476"/>
      <c r="BR11" s="476"/>
      <c r="BS11" s="476"/>
      <c r="BT11" s="476"/>
      <c r="BU11" s="476">
        <f t="shared" si="8"/>
        <v>6</v>
      </c>
      <c r="BV11" s="476" t="s">
        <v>956</v>
      </c>
      <c r="BW11" s="476" t="s">
        <v>957</v>
      </c>
      <c r="BX11" s="476" t="s">
        <v>958</v>
      </c>
      <c r="BY11" s="476" t="s">
        <v>959</v>
      </c>
      <c r="BZ11" s="476" t="s">
        <v>960</v>
      </c>
      <c r="CA11" s="476" t="s">
        <v>961</v>
      </c>
      <c r="CB11" s="476"/>
      <c r="CC11" s="476"/>
      <c r="CD11" s="476"/>
      <c r="CE11" s="476"/>
      <c r="CF11" s="629" t="str">
        <f t="shared" si="2"/>
        <v>A scroll case stuffed full of notes from your studies or prayers, winter blanket, herbalism kit, common clothes, 5gp,</v>
      </c>
      <c r="CG11" s="476" t="s">
        <v>2830</v>
      </c>
      <c r="CH11" s="476" t="s">
        <v>2831</v>
      </c>
      <c r="CI11" s="476" t="s">
        <v>2808</v>
      </c>
      <c r="CJ11" s="476"/>
      <c r="CK11" s="476"/>
      <c r="CL11" s="476"/>
      <c r="CM11" s="476" t="s">
        <v>2803</v>
      </c>
      <c r="CN11" s="476">
        <v>5</v>
      </c>
      <c r="CO11" s="476"/>
      <c r="CP11" s="476"/>
      <c r="CQ11" s="476" t="s">
        <v>6740</v>
      </c>
    </row>
    <row r="12" spans="1:95" ht="15" x14ac:dyDescent="0.2">
      <c r="A12" s="489">
        <f t="shared" si="3"/>
        <v>11</v>
      </c>
      <c r="B12" s="476" t="s">
        <v>506</v>
      </c>
      <c r="C12" s="473" t="s">
        <v>6952</v>
      </c>
      <c r="D12" s="476" t="s">
        <v>6187</v>
      </c>
      <c r="E12" s="474" t="str">
        <f t="shared" si="1"/>
        <v>Athletics, Survival</v>
      </c>
      <c r="F12" s="476" t="s">
        <v>86</v>
      </c>
      <c r="G12" s="476" t="s">
        <v>80</v>
      </c>
      <c r="H12" s="476"/>
      <c r="I12" s="476"/>
      <c r="J12" s="474" t="str">
        <f t="shared" si="4"/>
        <v>Musical Instrument,</v>
      </c>
      <c r="K12" s="476" t="s">
        <v>2974</v>
      </c>
      <c r="L12" s="476"/>
      <c r="M12" s="476"/>
      <c r="N12" s="476"/>
      <c r="O12" s="476">
        <v>0</v>
      </c>
      <c r="P12" s="476" t="s">
        <v>639</v>
      </c>
      <c r="Q12" s="475" t="s">
        <v>3339</v>
      </c>
      <c r="R12" s="476" t="s">
        <v>1078</v>
      </c>
      <c r="S12" s="476">
        <f t="shared" si="9"/>
        <v>10</v>
      </c>
      <c r="T12" s="476" t="s">
        <v>1014</v>
      </c>
      <c r="U12" s="476" t="s">
        <v>1015</v>
      </c>
      <c r="V12" s="476" t="s">
        <v>1016</v>
      </c>
      <c r="W12" s="476" t="s">
        <v>1017</v>
      </c>
      <c r="X12" s="476" t="s">
        <v>1018</v>
      </c>
      <c r="Y12" s="476" t="s">
        <v>1019</v>
      </c>
      <c r="Z12" s="476" t="s">
        <v>1020</v>
      </c>
      <c r="AA12" s="476" t="s">
        <v>1021</v>
      </c>
      <c r="AB12" s="476" t="s">
        <v>1022</v>
      </c>
      <c r="AC12" s="476" t="s">
        <v>1023</v>
      </c>
      <c r="AD12" s="476"/>
      <c r="AE12" s="476"/>
      <c r="AF12" s="476"/>
      <c r="AG12" s="476"/>
      <c r="AH12" s="476"/>
      <c r="AI12" s="476"/>
      <c r="AJ12" s="476"/>
      <c r="AK12" s="476"/>
      <c r="AL12" s="476"/>
      <c r="AM12" s="476"/>
      <c r="AN12" s="476">
        <f t="shared" si="5"/>
        <v>8</v>
      </c>
      <c r="AO12" s="476" t="s">
        <v>722</v>
      </c>
      <c r="AP12" s="476" t="s">
        <v>723</v>
      </c>
      <c r="AQ12" s="476" t="s">
        <v>724</v>
      </c>
      <c r="AR12" s="476" t="s">
        <v>725</v>
      </c>
      <c r="AS12" s="476" t="s">
        <v>726</v>
      </c>
      <c r="AT12" s="476" t="s">
        <v>727</v>
      </c>
      <c r="AU12" s="476" t="s">
        <v>728</v>
      </c>
      <c r="AV12" s="476" t="s">
        <v>729</v>
      </c>
      <c r="AW12" s="476"/>
      <c r="AX12" s="476"/>
      <c r="AY12" s="476">
        <f t="shared" si="6"/>
        <v>6</v>
      </c>
      <c r="AZ12" s="476" t="s">
        <v>806</v>
      </c>
      <c r="BA12" s="476" t="s">
        <v>807</v>
      </c>
      <c r="BB12" s="476" t="s">
        <v>808</v>
      </c>
      <c r="BC12" s="476" t="s">
        <v>809</v>
      </c>
      <c r="BD12" s="476" t="s">
        <v>810</v>
      </c>
      <c r="BE12" s="476" t="s">
        <v>811</v>
      </c>
      <c r="BF12" s="476"/>
      <c r="BG12" s="476"/>
      <c r="BH12" s="476"/>
      <c r="BI12" s="476"/>
      <c r="BJ12" s="476">
        <f t="shared" si="7"/>
        <v>6</v>
      </c>
      <c r="BK12" s="476" t="s">
        <v>884</v>
      </c>
      <c r="BL12" s="476" t="s">
        <v>885</v>
      </c>
      <c r="BM12" s="476" t="s">
        <v>886</v>
      </c>
      <c r="BN12" s="476" t="s">
        <v>887</v>
      </c>
      <c r="BO12" s="476" t="s">
        <v>888</v>
      </c>
      <c r="BP12" s="476" t="s">
        <v>889</v>
      </c>
      <c r="BQ12" s="476"/>
      <c r="BR12" s="476"/>
      <c r="BS12" s="476"/>
      <c r="BT12" s="476"/>
      <c r="BU12" s="476">
        <f t="shared" si="8"/>
        <v>6</v>
      </c>
      <c r="BV12" s="476" t="s">
        <v>962</v>
      </c>
      <c r="BW12" s="476" t="s">
        <v>963</v>
      </c>
      <c r="BX12" s="476" t="s">
        <v>964</v>
      </c>
      <c r="BY12" s="476" t="s">
        <v>965</v>
      </c>
      <c r="BZ12" s="476" t="s">
        <v>966</v>
      </c>
      <c r="CA12" s="476" t="s">
        <v>967</v>
      </c>
      <c r="CB12" s="476"/>
      <c r="CC12" s="476"/>
      <c r="CD12" s="476"/>
      <c r="CE12" s="476"/>
      <c r="CF12" s="629" t="str">
        <f t="shared" si="2"/>
        <v>staff, hunting trap, belt pouch, traveler's clothes, 10gp,</v>
      </c>
      <c r="CG12" s="476" t="s">
        <v>2832</v>
      </c>
      <c r="CH12" s="476" t="s">
        <v>2833</v>
      </c>
      <c r="CI12" s="476" t="s">
        <v>2804</v>
      </c>
      <c r="CJ12" s="476"/>
      <c r="CK12" s="476"/>
      <c r="CL12" s="476"/>
      <c r="CM12" s="476" t="s">
        <v>2829</v>
      </c>
      <c r="CN12" s="476">
        <v>10</v>
      </c>
      <c r="CO12" s="476" t="s">
        <v>2834</v>
      </c>
      <c r="CP12" s="476"/>
      <c r="CQ12" s="476" t="s">
        <v>6740</v>
      </c>
    </row>
    <row r="13" spans="1:95" ht="15" x14ac:dyDescent="0.2">
      <c r="A13" s="489">
        <f t="shared" si="3"/>
        <v>12</v>
      </c>
      <c r="B13" s="476" t="s">
        <v>505</v>
      </c>
      <c r="C13" s="473" t="s">
        <v>6952</v>
      </c>
      <c r="D13" s="476" t="s">
        <v>6188</v>
      </c>
      <c r="E13" s="474" t="str">
        <f t="shared" si="1"/>
        <v>Athletics, Perception</v>
      </c>
      <c r="F13" s="476" t="s">
        <v>86</v>
      </c>
      <c r="G13" s="476" t="s">
        <v>49</v>
      </c>
      <c r="H13" s="476"/>
      <c r="I13" s="476"/>
      <c r="J13" s="474" t="str">
        <f t="shared" si="4"/>
        <v>Navigator's tools, Vehicles (water),</v>
      </c>
      <c r="K13" s="476" t="s">
        <v>2975</v>
      </c>
      <c r="L13" s="476" t="s">
        <v>3569</v>
      </c>
      <c r="M13" s="476"/>
      <c r="N13" s="476"/>
      <c r="O13" s="476">
        <v>0</v>
      </c>
      <c r="P13" s="476" t="s">
        <v>640</v>
      </c>
      <c r="Q13" s="475" t="s">
        <v>3341</v>
      </c>
      <c r="R13" s="476" t="s">
        <v>1079</v>
      </c>
      <c r="S13" s="476">
        <f t="shared" si="9"/>
        <v>1</v>
      </c>
      <c r="T13" s="476" t="str">
        <f>""</f>
        <v/>
      </c>
      <c r="U13" s="476"/>
      <c r="V13" s="476"/>
      <c r="W13" s="476"/>
      <c r="X13" s="476"/>
      <c r="Y13" s="476"/>
      <c r="Z13" s="476"/>
      <c r="AA13" s="476"/>
      <c r="AB13" s="476"/>
      <c r="AC13" s="476"/>
      <c r="AD13" s="476"/>
      <c r="AE13" s="476"/>
      <c r="AF13" s="476"/>
      <c r="AG13" s="476"/>
      <c r="AH13" s="476"/>
      <c r="AI13" s="476"/>
      <c r="AJ13" s="476"/>
      <c r="AK13" s="476"/>
      <c r="AL13" s="476"/>
      <c r="AM13" s="476"/>
      <c r="AN13" s="476">
        <f t="shared" si="5"/>
        <v>8</v>
      </c>
      <c r="AO13" s="476" t="s">
        <v>730</v>
      </c>
      <c r="AP13" s="476" t="s">
        <v>731</v>
      </c>
      <c r="AQ13" s="476" t="s">
        <v>732</v>
      </c>
      <c r="AR13" s="476" t="s">
        <v>733</v>
      </c>
      <c r="AS13" s="476" t="s">
        <v>734</v>
      </c>
      <c r="AT13" s="476" t="s">
        <v>735</v>
      </c>
      <c r="AU13" s="476" t="s">
        <v>736</v>
      </c>
      <c r="AV13" s="476" t="s">
        <v>737</v>
      </c>
      <c r="AW13" s="476"/>
      <c r="AX13" s="476"/>
      <c r="AY13" s="476">
        <f t="shared" si="6"/>
        <v>6</v>
      </c>
      <c r="AZ13" s="476" t="s">
        <v>812</v>
      </c>
      <c r="BA13" s="476" t="s">
        <v>813</v>
      </c>
      <c r="BB13" s="476" t="s">
        <v>814</v>
      </c>
      <c r="BC13" s="476" t="s">
        <v>815</v>
      </c>
      <c r="BD13" s="476" t="s">
        <v>816</v>
      </c>
      <c r="BE13" s="476" t="s">
        <v>817</v>
      </c>
      <c r="BF13" s="476"/>
      <c r="BG13" s="476"/>
      <c r="BH13" s="476"/>
      <c r="BI13" s="476"/>
      <c r="BJ13" s="476">
        <f t="shared" si="7"/>
        <v>6</v>
      </c>
      <c r="BK13" s="476" t="s">
        <v>890</v>
      </c>
      <c r="BL13" s="476" t="s">
        <v>891</v>
      </c>
      <c r="BM13" s="476" t="s">
        <v>892</v>
      </c>
      <c r="BN13" s="476" t="s">
        <v>893</v>
      </c>
      <c r="BO13" s="476" t="s">
        <v>894</v>
      </c>
      <c r="BP13" s="476" t="s">
        <v>895</v>
      </c>
      <c r="BQ13" s="476"/>
      <c r="BR13" s="476"/>
      <c r="BS13" s="476"/>
      <c r="BT13" s="476"/>
      <c r="BU13" s="476">
        <f t="shared" si="8"/>
        <v>6</v>
      </c>
      <c r="BV13" s="476" t="s">
        <v>968</v>
      </c>
      <c r="BW13" s="476" t="s">
        <v>969</v>
      </c>
      <c r="BX13" s="476" t="s">
        <v>970</v>
      </c>
      <c r="BY13" s="476" t="s">
        <v>971</v>
      </c>
      <c r="BZ13" s="476" t="s">
        <v>972</v>
      </c>
      <c r="CA13" s="476" t="s">
        <v>973</v>
      </c>
      <c r="CB13" s="476"/>
      <c r="CC13" s="476"/>
      <c r="CD13" s="476"/>
      <c r="CE13" s="476"/>
      <c r="CF13" s="629" t="str">
        <f t="shared" si="2"/>
        <v>club, silk rope (50ft), belt pouch, common clothes, 10gp,</v>
      </c>
      <c r="CG13" s="476" t="s">
        <v>2836</v>
      </c>
      <c r="CH13" s="476" t="s">
        <v>2837</v>
      </c>
      <c r="CI13" s="476" t="s">
        <v>2804</v>
      </c>
      <c r="CJ13" s="476"/>
      <c r="CK13" s="476"/>
      <c r="CL13" s="476"/>
      <c r="CM13" s="476" t="s">
        <v>2803</v>
      </c>
      <c r="CN13" s="476">
        <v>10</v>
      </c>
      <c r="CO13" s="476" t="s">
        <v>2835</v>
      </c>
      <c r="CP13" s="476"/>
      <c r="CQ13" s="476" t="s">
        <v>6822</v>
      </c>
    </row>
    <row r="14" spans="1:95" ht="15" x14ac:dyDescent="0.2">
      <c r="A14" s="489">
        <f t="shared" si="3"/>
        <v>13</v>
      </c>
      <c r="B14" s="473" t="s">
        <v>502</v>
      </c>
      <c r="C14" s="473" t="s">
        <v>6952</v>
      </c>
      <c r="D14" s="473" t="s">
        <v>6191</v>
      </c>
      <c r="E14" s="474" t="str">
        <f t="shared" si="1"/>
        <v>Sleight of Hand, Stealth</v>
      </c>
      <c r="F14" s="476" t="s">
        <v>614</v>
      </c>
      <c r="G14" s="628" t="s">
        <v>75</v>
      </c>
      <c r="H14" s="476"/>
      <c r="I14" s="476"/>
      <c r="J14" s="474" t="str">
        <f t="shared" si="4"/>
        <v>Disguise kit, Thieve's tools,</v>
      </c>
      <c r="K14" s="476" t="s">
        <v>287</v>
      </c>
      <c r="L14" s="476" t="s">
        <v>76</v>
      </c>
      <c r="M14" s="476"/>
      <c r="N14" s="476"/>
      <c r="O14" s="476">
        <v>0</v>
      </c>
      <c r="P14" s="476" t="s">
        <v>641</v>
      </c>
      <c r="Q14" s="475" t="s">
        <v>3342</v>
      </c>
      <c r="R14" s="476" t="s">
        <v>1069</v>
      </c>
      <c r="S14" s="476">
        <f t="shared" si="9"/>
        <v>1</v>
      </c>
      <c r="T14" s="476" t="str">
        <f>""</f>
        <v/>
      </c>
      <c r="U14" s="476"/>
      <c r="V14" s="476"/>
      <c r="W14" s="476"/>
      <c r="X14" s="476"/>
      <c r="Y14" s="476"/>
      <c r="Z14" s="476"/>
      <c r="AA14" s="476"/>
      <c r="AB14" s="476"/>
      <c r="AC14" s="476"/>
      <c r="AD14" s="476"/>
      <c r="AE14" s="476"/>
      <c r="AF14" s="476"/>
      <c r="AG14" s="476"/>
      <c r="AH14" s="476"/>
      <c r="AI14" s="476"/>
      <c r="AJ14" s="476"/>
      <c r="AK14" s="476"/>
      <c r="AL14" s="476"/>
      <c r="AM14" s="476"/>
      <c r="AN14" s="476">
        <f t="shared" si="5"/>
        <v>8</v>
      </c>
      <c r="AO14" s="476" t="s">
        <v>738</v>
      </c>
      <c r="AP14" s="476" t="s">
        <v>739</v>
      </c>
      <c r="AQ14" s="476" t="s">
        <v>740</v>
      </c>
      <c r="AR14" s="476" t="s">
        <v>741</v>
      </c>
      <c r="AS14" s="476" t="s">
        <v>742</v>
      </c>
      <c r="AT14" s="476" t="s">
        <v>743</v>
      </c>
      <c r="AU14" s="476" t="s">
        <v>744</v>
      </c>
      <c r="AV14" s="476" t="s">
        <v>745</v>
      </c>
      <c r="AW14" s="476"/>
      <c r="AX14" s="476"/>
      <c r="AY14" s="476">
        <f t="shared" si="6"/>
        <v>6</v>
      </c>
      <c r="AZ14" s="476" t="s">
        <v>818</v>
      </c>
      <c r="BA14" s="476" t="s">
        <v>819</v>
      </c>
      <c r="BB14" s="476" t="s">
        <v>820</v>
      </c>
      <c r="BC14" s="476" t="s">
        <v>821</v>
      </c>
      <c r="BD14" s="476" t="s">
        <v>822</v>
      </c>
      <c r="BE14" s="476" t="s">
        <v>823</v>
      </c>
      <c r="BF14" s="476"/>
      <c r="BG14" s="476"/>
      <c r="BH14" s="476"/>
      <c r="BI14" s="476"/>
      <c r="BJ14" s="476">
        <f t="shared" si="7"/>
        <v>6</v>
      </c>
      <c r="BK14" s="476" t="s">
        <v>896</v>
      </c>
      <c r="BL14" s="476" t="s">
        <v>897</v>
      </c>
      <c r="BM14" s="476" t="s">
        <v>898</v>
      </c>
      <c r="BN14" s="476" t="s">
        <v>899</v>
      </c>
      <c r="BO14" s="476" t="s">
        <v>900</v>
      </c>
      <c r="BP14" s="476" t="s">
        <v>901</v>
      </c>
      <c r="BQ14" s="476"/>
      <c r="BR14" s="476"/>
      <c r="BS14" s="476"/>
      <c r="BT14" s="476"/>
      <c r="BU14" s="476">
        <f t="shared" si="8"/>
        <v>6</v>
      </c>
      <c r="BV14" s="476" t="s">
        <v>974</v>
      </c>
      <c r="BW14" s="476" t="s">
        <v>975</v>
      </c>
      <c r="BX14" s="476" t="s">
        <v>976</v>
      </c>
      <c r="BY14" s="476" t="s">
        <v>977</v>
      </c>
      <c r="BZ14" s="476" t="s">
        <v>978</v>
      </c>
      <c r="CA14" s="476" t="s">
        <v>979</v>
      </c>
      <c r="CB14" s="476"/>
      <c r="CC14" s="476"/>
      <c r="CD14" s="476"/>
      <c r="CE14" s="476"/>
      <c r="CF14" s="629" t="str">
        <f t="shared" si="2"/>
        <v>pet mouse, small knife, belt pouch, map of the city, common clothes, 10gp,</v>
      </c>
      <c r="CG14" s="476" t="s">
        <v>2839</v>
      </c>
      <c r="CH14" s="476" t="s">
        <v>2819</v>
      </c>
      <c r="CI14" s="476" t="s">
        <v>2804</v>
      </c>
      <c r="CJ14" s="476" t="s">
        <v>2840</v>
      </c>
      <c r="CK14" s="476"/>
      <c r="CL14" s="476"/>
      <c r="CM14" s="476" t="s">
        <v>2803</v>
      </c>
      <c r="CN14" s="476">
        <v>10</v>
      </c>
      <c r="CO14" s="476" t="s">
        <v>2838</v>
      </c>
      <c r="CP14" s="476"/>
      <c r="CQ14" s="476" t="s">
        <v>6822</v>
      </c>
    </row>
    <row r="15" spans="1:95" ht="15" x14ac:dyDescent="0.2">
      <c r="A15" s="489">
        <f t="shared" si="3"/>
        <v>14</v>
      </c>
      <c r="B15" s="473" t="s">
        <v>628</v>
      </c>
      <c r="C15" s="473" t="s">
        <v>6952</v>
      </c>
      <c r="D15" s="451" t="s">
        <v>6176</v>
      </c>
      <c r="E15" s="474" t="str">
        <f t="shared" si="1"/>
        <v>Deception, Stealth</v>
      </c>
      <c r="F15" s="628" t="s">
        <v>74</v>
      </c>
      <c r="G15" s="628" t="s">
        <v>75</v>
      </c>
      <c r="H15" s="476"/>
      <c r="I15" s="476"/>
      <c r="J15" s="474" t="str">
        <f t="shared" si="4"/>
        <v>Gaming set, Thieve's tools,</v>
      </c>
      <c r="K15" s="628" t="s">
        <v>77</v>
      </c>
      <c r="L15" s="476" t="s">
        <v>76</v>
      </c>
      <c r="M15" s="476"/>
      <c r="N15" s="476"/>
      <c r="O15" s="476">
        <v>0</v>
      </c>
      <c r="P15" s="476" t="s">
        <v>630</v>
      </c>
      <c r="Q15" s="475" t="s">
        <v>3333</v>
      </c>
      <c r="R15" s="476" t="s">
        <v>1071</v>
      </c>
      <c r="S15" s="476">
        <f t="shared" si="9"/>
        <v>9</v>
      </c>
      <c r="T15" s="476" t="s">
        <v>6111</v>
      </c>
      <c r="U15" s="476" t="s">
        <v>6112</v>
      </c>
      <c r="V15" s="476" t="s">
        <v>6113</v>
      </c>
      <c r="W15" s="476" t="s">
        <v>6114</v>
      </c>
      <c r="X15" s="476" t="s">
        <v>6115</v>
      </c>
      <c r="Y15" s="476" t="s">
        <v>6116</v>
      </c>
      <c r="Z15" s="476" t="s">
        <v>6117</v>
      </c>
      <c r="AA15" s="476" t="s">
        <v>6118</v>
      </c>
      <c r="AB15" s="476" t="s">
        <v>6119</v>
      </c>
      <c r="AC15" s="476"/>
      <c r="AD15" s="476"/>
      <c r="AE15" s="476"/>
      <c r="AF15" s="476"/>
      <c r="AG15" s="476"/>
      <c r="AH15" s="476"/>
      <c r="AI15" s="476"/>
      <c r="AJ15" s="476"/>
      <c r="AK15" s="476"/>
      <c r="AL15" s="476"/>
      <c r="AM15" s="476"/>
      <c r="AN15" s="476">
        <f>COUNTA(AO15:AX15)</f>
        <v>8</v>
      </c>
      <c r="AO15" s="476" t="s">
        <v>650</v>
      </c>
      <c r="AP15" s="476" t="s">
        <v>651</v>
      </c>
      <c r="AQ15" s="476" t="s">
        <v>652</v>
      </c>
      <c r="AR15" s="476" t="s">
        <v>653</v>
      </c>
      <c r="AS15" s="476" t="s">
        <v>654</v>
      </c>
      <c r="AT15" s="476" t="s">
        <v>655</v>
      </c>
      <c r="AU15" s="476" t="s">
        <v>656</v>
      </c>
      <c r="AV15" s="476" t="s">
        <v>657</v>
      </c>
      <c r="AW15" s="476"/>
      <c r="AX15" s="476"/>
      <c r="AY15" s="476">
        <f>COUNTA(AZ15:BI15)</f>
        <v>6</v>
      </c>
      <c r="AZ15" s="476" t="s">
        <v>752</v>
      </c>
      <c r="BA15" s="476" t="s">
        <v>753</v>
      </c>
      <c r="BB15" s="476" t="s">
        <v>754</v>
      </c>
      <c r="BC15" s="476" t="s">
        <v>755</v>
      </c>
      <c r="BD15" s="476" t="s">
        <v>756</v>
      </c>
      <c r="BE15" s="476" t="s">
        <v>757</v>
      </c>
      <c r="BF15" s="476"/>
      <c r="BG15" s="476"/>
      <c r="BH15" s="476"/>
      <c r="BI15" s="476"/>
      <c r="BJ15" s="476">
        <f t="shared" ref="BJ15:BJ29" si="10">COUNTA(BK15:BT15)</f>
        <v>6</v>
      </c>
      <c r="BK15" s="476" t="s">
        <v>830</v>
      </c>
      <c r="BL15" s="476" t="s">
        <v>831</v>
      </c>
      <c r="BM15" s="476" t="s">
        <v>832</v>
      </c>
      <c r="BN15" s="476" t="s">
        <v>833</v>
      </c>
      <c r="BO15" s="476" t="s">
        <v>834</v>
      </c>
      <c r="BP15" s="476" t="s">
        <v>835</v>
      </c>
      <c r="BQ15" s="476"/>
      <c r="BR15" s="476"/>
      <c r="BS15" s="476"/>
      <c r="BT15" s="476"/>
      <c r="BU15" s="476">
        <f t="shared" ref="BU15:BU29" si="11">COUNTA(BV15:CE15)</f>
        <v>6</v>
      </c>
      <c r="BV15" s="476" t="s">
        <v>908</v>
      </c>
      <c r="BW15" s="476" t="s">
        <v>909</v>
      </c>
      <c r="BX15" s="476" t="s">
        <v>910</v>
      </c>
      <c r="BY15" s="476" t="s">
        <v>911</v>
      </c>
      <c r="BZ15" s="476" t="s">
        <v>912</v>
      </c>
      <c r="CA15" s="476" t="s">
        <v>913</v>
      </c>
      <c r="CB15" s="476"/>
      <c r="CC15" s="476"/>
      <c r="CD15" s="476"/>
      <c r="CE15" s="476"/>
      <c r="CF15" s="629" t="str">
        <f t="shared" ref="CF15:CF29" si="12">IFERROR(TRIM(IF(CG15="","",CG15&amp;", ")&amp;IF(CH15="","",CH15&amp;", ")&amp;IF(CI15="","",CI15&amp;", ")&amp;IF(CJ15="","",CJ15&amp;", ")&amp;IF(CK15="","",CK15&amp;", ")&amp;IF(CL15="","",CL15&amp;", ")&amp;IF(CM15="","",CM15&amp;", ")&amp;IF(CN15="","",CN15&amp;"gp, ")),"")</f>
        <v>crowbar, belt pouch, dark common clothes with hood, 15gp,</v>
      </c>
      <c r="CG15" s="476" t="s">
        <v>2806</v>
      </c>
      <c r="CH15" s="476" t="s">
        <v>2804</v>
      </c>
      <c r="CI15" s="476"/>
      <c r="CJ15" s="476"/>
      <c r="CK15" s="476"/>
      <c r="CL15" s="476"/>
      <c r="CM15" s="476" t="s">
        <v>2807</v>
      </c>
      <c r="CN15" s="476">
        <v>15</v>
      </c>
      <c r="CO15" s="476"/>
      <c r="CP15" s="476"/>
      <c r="CQ15" s="476" t="s">
        <v>6822</v>
      </c>
    </row>
    <row r="16" spans="1:95" ht="15" x14ac:dyDescent="0.2">
      <c r="A16" s="489">
        <f t="shared" si="3"/>
        <v>15</v>
      </c>
      <c r="B16" s="476" t="s">
        <v>554</v>
      </c>
      <c r="C16" s="473" t="s">
        <v>6952</v>
      </c>
      <c r="D16" s="476" t="s">
        <v>6177</v>
      </c>
      <c r="E16" s="474" t="str">
        <f t="shared" si="1"/>
        <v>Deception, Stealth</v>
      </c>
      <c r="F16" s="628" t="s">
        <v>74</v>
      </c>
      <c r="G16" s="628" t="s">
        <v>75</v>
      </c>
      <c r="H16" s="476"/>
      <c r="I16" s="476"/>
      <c r="J16" s="474" t="str">
        <f>IFERROR(TRIM(IF(K16="","",K16&amp;", ")&amp;IF(L16="","",L16&amp;", ")),"")</f>
        <v>Disguise kit, Musical Instrument,</v>
      </c>
      <c r="K16" s="476" t="s">
        <v>287</v>
      </c>
      <c r="L16" s="476" t="s">
        <v>2974</v>
      </c>
      <c r="M16" s="476"/>
      <c r="N16" s="476"/>
      <c r="O16" s="476">
        <v>0</v>
      </c>
      <c r="P16" s="476" t="s">
        <v>636</v>
      </c>
      <c r="Q16" s="475" t="s">
        <v>6121</v>
      </c>
      <c r="R16" s="476" t="s">
        <v>1075</v>
      </c>
      <c r="S16" s="476">
        <f t="shared" si="9"/>
        <v>10</v>
      </c>
      <c r="T16" s="476" t="s">
        <v>986</v>
      </c>
      <c r="U16" s="476" t="s">
        <v>987</v>
      </c>
      <c r="V16" s="476" t="s">
        <v>988</v>
      </c>
      <c r="W16" s="476" t="s">
        <v>989</v>
      </c>
      <c r="X16" s="476" t="s">
        <v>990</v>
      </c>
      <c r="Y16" s="476" t="s">
        <v>991</v>
      </c>
      <c r="Z16" s="476" t="s">
        <v>992</v>
      </c>
      <c r="AA16" s="476" t="s">
        <v>993</v>
      </c>
      <c r="AB16" s="476" t="s">
        <v>994</v>
      </c>
      <c r="AC16" s="476" t="s">
        <v>995</v>
      </c>
      <c r="AD16" s="476"/>
      <c r="AE16" s="476"/>
      <c r="AF16" s="476"/>
      <c r="AG16" s="476"/>
      <c r="AH16" s="476"/>
      <c r="AI16" s="476"/>
      <c r="AJ16" s="476"/>
      <c r="AK16" s="476"/>
      <c r="AL16" s="476"/>
      <c r="AM16" s="476"/>
      <c r="AN16" s="476">
        <f>COUNTA(AO16:AX16)</f>
        <v>8</v>
      </c>
      <c r="AO16" s="476" t="s">
        <v>698</v>
      </c>
      <c r="AP16" s="476" t="s">
        <v>699</v>
      </c>
      <c r="AQ16" s="476" t="s">
        <v>700</v>
      </c>
      <c r="AR16" s="476" t="s">
        <v>701</v>
      </c>
      <c r="AS16" s="476" t="s">
        <v>702</v>
      </c>
      <c r="AT16" s="476" t="s">
        <v>703</v>
      </c>
      <c r="AU16" s="476" t="s">
        <v>704</v>
      </c>
      <c r="AV16" s="476" t="s">
        <v>705</v>
      </c>
      <c r="AW16" s="476"/>
      <c r="AX16" s="476"/>
      <c r="AY16" s="476">
        <f>COUNTA(AZ16:BI16)</f>
        <v>6</v>
      </c>
      <c r="AZ16" s="476" t="s">
        <v>788</v>
      </c>
      <c r="BA16" s="476" t="s">
        <v>789</v>
      </c>
      <c r="BB16" s="476" t="s">
        <v>790</v>
      </c>
      <c r="BC16" s="476" t="s">
        <v>791</v>
      </c>
      <c r="BD16" s="476" t="s">
        <v>792</v>
      </c>
      <c r="BE16" s="476" t="s">
        <v>793</v>
      </c>
      <c r="BF16" s="476"/>
      <c r="BG16" s="476"/>
      <c r="BH16" s="476"/>
      <c r="BI16" s="476"/>
      <c r="BJ16" s="476">
        <f t="shared" si="10"/>
        <v>6</v>
      </c>
      <c r="BK16" s="476" t="s">
        <v>866</v>
      </c>
      <c r="BL16" s="476" t="s">
        <v>867</v>
      </c>
      <c r="BM16" s="476" t="s">
        <v>868</v>
      </c>
      <c r="BN16" s="476" t="s">
        <v>869</v>
      </c>
      <c r="BO16" s="476" t="s">
        <v>870</v>
      </c>
      <c r="BP16" s="476" t="s">
        <v>871</v>
      </c>
      <c r="BQ16" s="476"/>
      <c r="BR16" s="476"/>
      <c r="BS16" s="476"/>
      <c r="BT16" s="476"/>
      <c r="BU16" s="476">
        <f t="shared" si="11"/>
        <v>6</v>
      </c>
      <c r="BV16" s="476" t="s">
        <v>944</v>
      </c>
      <c r="BW16" s="476" t="s">
        <v>945</v>
      </c>
      <c r="BX16" s="476" t="s">
        <v>946</v>
      </c>
      <c r="BY16" s="476" t="s">
        <v>947</v>
      </c>
      <c r="BZ16" s="476" t="s">
        <v>948</v>
      </c>
      <c r="CA16" s="476" t="s">
        <v>949</v>
      </c>
      <c r="CB16" s="476"/>
      <c r="CC16" s="476"/>
      <c r="CD16" s="476"/>
      <c r="CE16" s="476"/>
      <c r="CF16" s="629" t="str">
        <f t="shared" si="12"/>
        <v>belt pouch, Costume, 15gp,</v>
      </c>
      <c r="CG16" s="476" t="s">
        <v>2804</v>
      </c>
      <c r="CH16" s="476"/>
      <c r="CI16" s="476"/>
      <c r="CJ16" s="476"/>
      <c r="CK16" s="476"/>
      <c r="CL16" s="476"/>
      <c r="CM16" s="476" t="s">
        <v>274</v>
      </c>
      <c r="CN16" s="476">
        <v>15</v>
      </c>
      <c r="CO16" s="476" t="s">
        <v>202</v>
      </c>
      <c r="CP16" s="476" t="s">
        <v>2827</v>
      </c>
      <c r="CQ16" s="476" t="s">
        <v>6822</v>
      </c>
    </row>
    <row r="17" spans="1:95" x14ac:dyDescent="0.2">
      <c r="A17" s="489">
        <f t="shared" si="3"/>
        <v>16</v>
      </c>
      <c r="B17" s="476" t="s">
        <v>504</v>
      </c>
      <c r="C17" s="473" t="s">
        <v>6952</v>
      </c>
      <c r="D17" s="476" t="s">
        <v>6186</v>
      </c>
      <c r="E17" s="474" t="str">
        <f t="shared" si="1"/>
        <v>History, Persuasion</v>
      </c>
      <c r="F17" s="473" t="s">
        <v>84</v>
      </c>
      <c r="G17" s="628" t="s">
        <v>613</v>
      </c>
      <c r="H17" s="476"/>
      <c r="I17" s="476"/>
      <c r="J17" s="474" t="str">
        <f>IFERROR(TRIM(IF(K17="","",K17&amp;", ")&amp;IF(L17="","",L17&amp;", ")),"")</f>
        <v>Gaming set,</v>
      </c>
      <c r="K17" s="628" t="s">
        <v>77</v>
      </c>
      <c r="L17" s="476"/>
      <c r="M17" s="636"/>
      <c r="N17" s="636"/>
      <c r="O17" s="476">
        <v>1</v>
      </c>
      <c r="P17" s="476" t="s">
        <v>6120</v>
      </c>
      <c r="Q17" s="630" t="s">
        <v>6185</v>
      </c>
      <c r="R17" s="476"/>
      <c r="S17" s="476">
        <f t="shared" si="9"/>
        <v>1</v>
      </c>
      <c r="T17" s="476" t="str">
        <f>""</f>
        <v/>
      </c>
      <c r="U17" s="476"/>
      <c r="V17" s="476"/>
      <c r="W17" s="476"/>
      <c r="X17" s="476"/>
      <c r="Y17" s="476"/>
      <c r="Z17" s="476"/>
      <c r="AA17" s="476"/>
      <c r="AB17" s="476"/>
      <c r="AC17" s="476"/>
      <c r="AD17" s="476"/>
      <c r="AE17" s="476"/>
      <c r="AF17" s="476"/>
      <c r="AG17" s="476"/>
      <c r="AH17" s="476"/>
      <c r="AI17" s="476"/>
      <c r="AJ17" s="476"/>
      <c r="AK17" s="476"/>
      <c r="AL17" s="476"/>
      <c r="AM17" s="476"/>
      <c r="AN17" s="476">
        <f>COUNTA(AO17:AX17)</f>
        <v>8</v>
      </c>
      <c r="AO17" s="476" t="s">
        <v>666</v>
      </c>
      <c r="AP17" s="476" t="s">
        <v>667</v>
      </c>
      <c r="AQ17" s="476" t="s">
        <v>668</v>
      </c>
      <c r="AR17" s="476" t="s">
        <v>669</v>
      </c>
      <c r="AS17" s="476" t="s">
        <v>670</v>
      </c>
      <c r="AT17" s="476" t="s">
        <v>671</v>
      </c>
      <c r="AU17" s="476" t="s">
        <v>672</v>
      </c>
      <c r="AV17" s="476" t="s">
        <v>673</v>
      </c>
      <c r="AW17" s="476"/>
      <c r="AX17" s="476"/>
      <c r="AY17" s="476">
        <f>COUNTA(AZ17:BI17)</f>
        <v>6</v>
      </c>
      <c r="AZ17" s="476" t="s">
        <v>764</v>
      </c>
      <c r="BA17" s="476" t="s">
        <v>765</v>
      </c>
      <c r="BB17" s="476" t="s">
        <v>766</v>
      </c>
      <c r="BC17" s="476" t="s">
        <v>767</v>
      </c>
      <c r="BD17" s="476" t="s">
        <v>768</v>
      </c>
      <c r="BE17" s="476" t="s">
        <v>769</v>
      </c>
      <c r="BF17" s="476"/>
      <c r="BG17" s="476"/>
      <c r="BH17" s="476"/>
      <c r="BI17" s="476"/>
      <c r="BJ17" s="476">
        <f t="shared" si="10"/>
        <v>6</v>
      </c>
      <c r="BK17" s="476" t="s">
        <v>842</v>
      </c>
      <c r="BL17" s="476" t="s">
        <v>843</v>
      </c>
      <c r="BM17" s="476" t="s">
        <v>844</v>
      </c>
      <c r="BN17" s="476" t="s">
        <v>845</v>
      </c>
      <c r="BO17" s="476" t="s">
        <v>846</v>
      </c>
      <c r="BP17" s="476" t="s">
        <v>847</v>
      </c>
      <c r="BQ17" s="476"/>
      <c r="BR17" s="476"/>
      <c r="BS17" s="476"/>
      <c r="BT17" s="476"/>
      <c r="BU17" s="476">
        <f t="shared" si="11"/>
        <v>6</v>
      </c>
      <c r="BV17" s="476" t="s">
        <v>920</v>
      </c>
      <c r="BW17" s="476" t="s">
        <v>921</v>
      </c>
      <c r="BX17" s="476" t="s">
        <v>922</v>
      </c>
      <c r="BY17" s="476" t="s">
        <v>923</v>
      </c>
      <c r="BZ17" s="476" t="s">
        <v>924</v>
      </c>
      <c r="CA17" s="476" t="s">
        <v>925</v>
      </c>
      <c r="CB17" s="476"/>
      <c r="CC17" s="476"/>
      <c r="CD17" s="476"/>
      <c r="CE17" s="476"/>
      <c r="CF17" s="629" t="str">
        <f t="shared" si="12"/>
        <v>signet ring, scroll of pedigree, purse, fine clothes, 25gp,</v>
      </c>
      <c r="CG17" s="476" t="s">
        <v>2815</v>
      </c>
      <c r="CH17" s="476" t="s">
        <v>2813</v>
      </c>
      <c r="CI17" s="476" t="s">
        <v>2816</v>
      </c>
      <c r="CJ17" s="476"/>
      <c r="CK17" s="476"/>
      <c r="CL17" s="476"/>
      <c r="CM17" s="476" t="s">
        <v>2814</v>
      </c>
      <c r="CN17" s="476">
        <v>25</v>
      </c>
      <c r="CO17" s="476"/>
      <c r="CP17" s="476"/>
      <c r="CQ17" s="476" t="s">
        <v>6794</v>
      </c>
    </row>
    <row r="18" spans="1:95" ht="15" x14ac:dyDescent="0.2">
      <c r="A18" s="489">
        <f t="shared" si="3"/>
        <v>17</v>
      </c>
      <c r="B18" s="476" t="s">
        <v>6122</v>
      </c>
      <c r="C18" s="473" t="s">
        <v>6952</v>
      </c>
      <c r="D18" s="476" t="s">
        <v>6189</v>
      </c>
      <c r="E18" s="474" t="str">
        <f t="shared" ref="E18:E29" si="13">IFERROR(LEFT(TRIM(IF(F18="","",F18&amp;", ")&amp;IF(G18="","",G18&amp;", ")&amp;IF(H18="","",H18&amp;", ")),LEN(TRIM(IF(F18="","",F18&amp;", ")&amp;IF(G18="","",G18&amp;", ")&amp;IF(H18="","",H18&amp;", ")))-1),"")</f>
        <v>Athletics, Perception</v>
      </c>
      <c r="F18" s="476" t="s">
        <v>86</v>
      </c>
      <c r="G18" s="476" t="s">
        <v>49</v>
      </c>
      <c r="H18" s="476"/>
      <c r="I18" s="476"/>
      <c r="J18" s="474" t="str">
        <f>IFERROR(TRIM(IF(K18="","",K18&amp;", ")&amp;IF(L18="","",L18&amp;", ")),"")</f>
        <v>Navigator's tools, Vehicles (water),</v>
      </c>
      <c r="K18" s="476" t="s">
        <v>2975</v>
      </c>
      <c r="L18" s="476" t="s">
        <v>3569</v>
      </c>
      <c r="M18" s="476"/>
      <c r="N18" s="476"/>
      <c r="O18" s="476">
        <v>0</v>
      </c>
      <c r="P18" s="476" t="s">
        <v>6123</v>
      </c>
      <c r="Q18" s="475" t="s">
        <v>6124</v>
      </c>
      <c r="R18" s="476" t="s">
        <v>1079</v>
      </c>
      <c r="S18" s="476">
        <f>COUNTA(T18:AM18)</f>
        <v>1</v>
      </c>
      <c r="T18" s="476" t="str">
        <f>""</f>
        <v/>
      </c>
      <c r="U18" s="476"/>
      <c r="V18" s="476"/>
      <c r="W18" s="476"/>
      <c r="X18" s="476"/>
      <c r="Y18" s="476"/>
      <c r="Z18" s="476"/>
      <c r="AA18" s="476"/>
      <c r="AB18" s="476"/>
      <c r="AC18" s="476"/>
      <c r="AD18" s="476"/>
      <c r="AE18" s="476"/>
      <c r="AF18" s="476"/>
      <c r="AG18" s="476"/>
      <c r="AH18" s="476"/>
      <c r="AI18" s="476"/>
      <c r="AJ18" s="476"/>
      <c r="AK18" s="476"/>
      <c r="AL18" s="476"/>
      <c r="AM18" s="476"/>
      <c r="AN18" s="476">
        <f t="shared" ref="AN18:AN29" si="14">COUNTA(AO18:AX18)</f>
        <v>8</v>
      </c>
      <c r="AO18" s="476" t="s">
        <v>730</v>
      </c>
      <c r="AP18" s="476" t="s">
        <v>731</v>
      </c>
      <c r="AQ18" s="476" t="s">
        <v>732</v>
      </c>
      <c r="AR18" s="476" t="s">
        <v>733</v>
      </c>
      <c r="AS18" s="476" t="s">
        <v>734</v>
      </c>
      <c r="AT18" s="476" t="s">
        <v>735</v>
      </c>
      <c r="AU18" s="476" t="s">
        <v>736</v>
      </c>
      <c r="AV18" s="476" t="s">
        <v>737</v>
      </c>
      <c r="AW18" s="476"/>
      <c r="AX18" s="476"/>
      <c r="AY18" s="476">
        <f t="shared" ref="AY18:AY29" si="15">COUNTA(AZ18:BI18)</f>
        <v>6</v>
      </c>
      <c r="AZ18" s="476" t="s">
        <v>812</v>
      </c>
      <c r="BA18" s="476" t="s">
        <v>813</v>
      </c>
      <c r="BB18" s="476" t="s">
        <v>814</v>
      </c>
      <c r="BC18" s="476" t="s">
        <v>815</v>
      </c>
      <c r="BD18" s="476" t="s">
        <v>816</v>
      </c>
      <c r="BE18" s="476" t="s">
        <v>817</v>
      </c>
      <c r="BF18" s="476"/>
      <c r="BG18" s="476"/>
      <c r="BH18" s="476"/>
      <c r="BI18" s="476"/>
      <c r="BJ18" s="476">
        <f t="shared" si="10"/>
        <v>6</v>
      </c>
      <c r="BK18" s="476" t="s">
        <v>890</v>
      </c>
      <c r="BL18" s="476" t="s">
        <v>891</v>
      </c>
      <c r="BM18" s="476" t="s">
        <v>892</v>
      </c>
      <c r="BN18" s="476" t="s">
        <v>893</v>
      </c>
      <c r="BO18" s="476" t="s">
        <v>894</v>
      </c>
      <c r="BP18" s="476" t="s">
        <v>895</v>
      </c>
      <c r="BQ18" s="476"/>
      <c r="BR18" s="476"/>
      <c r="BS18" s="476"/>
      <c r="BT18" s="476"/>
      <c r="BU18" s="476">
        <f t="shared" si="11"/>
        <v>6</v>
      </c>
      <c r="BV18" s="476" t="s">
        <v>968</v>
      </c>
      <c r="BW18" s="476" t="s">
        <v>969</v>
      </c>
      <c r="BX18" s="476" t="s">
        <v>970</v>
      </c>
      <c r="BY18" s="476" t="s">
        <v>971</v>
      </c>
      <c r="BZ18" s="476" t="s">
        <v>972</v>
      </c>
      <c r="CA18" s="476" t="s">
        <v>973</v>
      </c>
      <c r="CB18" s="476"/>
      <c r="CC18" s="476"/>
      <c r="CD18" s="476"/>
      <c r="CE18" s="476"/>
      <c r="CF18" s="629" t="str">
        <f t="shared" si="12"/>
        <v>club, silk rope (50ft), belt pouch, common clothes, 10gp,</v>
      </c>
      <c r="CG18" s="476" t="s">
        <v>2836</v>
      </c>
      <c r="CH18" s="476" t="s">
        <v>2837</v>
      </c>
      <c r="CI18" s="476" t="s">
        <v>2804</v>
      </c>
      <c r="CJ18" s="476"/>
      <c r="CK18" s="476"/>
      <c r="CL18" s="476"/>
      <c r="CM18" s="476" t="s">
        <v>2803</v>
      </c>
      <c r="CN18" s="476">
        <v>10</v>
      </c>
      <c r="CO18" s="476" t="s">
        <v>2835</v>
      </c>
      <c r="CP18" s="476"/>
      <c r="CQ18" s="476" t="s">
        <v>6822</v>
      </c>
    </row>
    <row r="19" spans="1:95" ht="15" x14ac:dyDescent="0.2">
      <c r="A19" s="489">
        <f t="shared" si="3"/>
        <v>18</v>
      </c>
      <c r="B19" s="476" t="s">
        <v>6180</v>
      </c>
      <c r="C19" s="473" t="s">
        <v>6952</v>
      </c>
      <c r="D19" s="476" t="s">
        <v>6181</v>
      </c>
      <c r="E19" s="474" t="str">
        <f t="shared" si="13"/>
        <v>Insight, Persuasion</v>
      </c>
      <c r="F19" s="476" t="s">
        <v>71</v>
      </c>
      <c r="G19" s="476" t="s">
        <v>613</v>
      </c>
      <c r="H19" s="476"/>
      <c r="I19" s="476"/>
      <c r="J19" s="474" t="str">
        <f>IFERROR(TRIM(IF(K19="","",K19&amp;", ")&amp;IF(L19="","",L19&amp;", ")),"")</f>
        <v>Navigator's tools,</v>
      </c>
      <c r="K19" s="628" t="s">
        <v>2975</v>
      </c>
      <c r="L19" s="476"/>
      <c r="M19" s="476"/>
      <c r="N19" s="476"/>
      <c r="O19" s="476">
        <v>1</v>
      </c>
      <c r="P19" s="476" t="s">
        <v>637</v>
      </c>
      <c r="Q19" s="475" t="s">
        <v>3336</v>
      </c>
      <c r="R19" s="476" t="s">
        <v>1076</v>
      </c>
      <c r="S19" s="476">
        <f>COUNTA(T19:AM19)</f>
        <v>20</v>
      </c>
      <c r="T19" s="476" t="s">
        <v>1048</v>
      </c>
      <c r="U19" s="476" t="s">
        <v>1049</v>
      </c>
      <c r="V19" s="476" t="s">
        <v>1050</v>
      </c>
      <c r="W19" s="476" t="s">
        <v>1051</v>
      </c>
      <c r="X19" s="476" t="s">
        <v>1052</v>
      </c>
      <c r="Y19" s="476" t="s">
        <v>1053</v>
      </c>
      <c r="Z19" s="476" t="s">
        <v>1054</v>
      </c>
      <c r="AA19" s="476" t="s">
        <v>1055</v>
      </c>
      <c r="AB19" s="476" t="s">
        <v>1056</v>
      </c>
      <c r="AC19" s="476" t="s">
        <v>1057</v>
      </c>
      <c r="AD19" s="476" t="s">
        <v>1058</v>
      </c>
      <c r="AE19" s="476" t="s">
        <v>1059</v>
      </c>
      <c r="AF19" s="476" t="s">
        <v>1060</v>
      </c>
      <c r="AG19" s="476" t="s">
        <v>1061</v>
      </c>
      <c r="AH19" s="476" t="s">
        <v>1062</v>
      </c>
      <c r="AI19" s="476" t="s">
        <v>1063</v>
      </c>
      <c r="AJ19" s="476" t="s">
        <v>1064</v>
      </c>
      <c r="AK19" s="476" t="s">
        <v>1065</v>
      </c>
      <c r="AL19" s="476" t="s">
        <v>1066</v>
      </c>
      <c r="AM19" s="476" t="s">
        <v>1067</v>
      </c>
      <c r="AN19" s="476">
        <f t="shared" si="14"/>
        <v>8</v>
      </c>
      <c r="AO19" s="476" t="s">
        <v>706</v>
      </c>
      <c r="AP19" s="476" t="s">
        <v>707</v>
      </c>
      <c r="AQ19" s="476" t="s">
        <v>708</v>
      </c>
      <c r="AR19" s="476" t="s">
        <v>709</v>
      </c>
      <c r="AS19" s="476" t="s">
        <v>710</v>
      </c>
      <c r="AT19" s="476" t="s">
        <v>711</v>
      </c>
      <c r="AU19" s="476" t="s">
        <v>712</v>
      </c>
      <c r="AV19" s="476" t="s">
        <v>713</v>
      </c>
      <c r="AW19" s="476"/>
      <c r="AX19" s="476"/>
      <c r="AY19" s="476">
        <f t="shared" si="15"/>
        <v>6</v>
      </c>
      <c r="AZ19" s="476" t="s">
        <v>794</v>
      </c>
      <c r="BA19" s="476" t="s">
        <v>795</v>
      </c>
      <c r="BB19" s="476" t="s">
        <v>796</v>
      </c>
      <c r="BC19" s="476" t="s">
        <v>797</v>
      </c>
      <c r="BD19" s="476" t="s">
        <v>798</v>
      </c>
      <c r="BE19" s="476" t="s">
        <v>799</v>
      </c>
      <c r="BF19" s="476"/>
      <c r="BG19" s="476"/>
      <c r="BH19" s="476"/>
      <c r="BI19" s="476"/>
      <c r="BJ19" s="476">
        <f t="shared" si="10"/>
        <v>6</v>
      </c>
      <c r="BK19" s="476" t="s">
        <v>872</v>
      </c>
      <c r="BL19" s="476" t="s">
        <v>873</v>
      </c>
      <c r="BM19" s="476" t="s">
        <v>874</v>
      </c>
      <c r="BN19" s="476" t="s">
        <v>875</v>
      </c>
      <c r="BO19" s="476" t="s">
        <v>876</v>
      </c>
      <c r="BP19" s="476" t="s">
        <v>877</v>
      </c>
      <c r="BQ19" s="476"/>
      <c r="BR19" s="476"/>
      <c r="BS19" s="476"/>
      <c r="BT19" s="476"/>
      <c r="BU19" s="476">
        <f t="shared" si="11"/>
        <v>6</v>
      </c>
      <c r="BV19" s="476" t="s">
        <v>950</v>
      </c>
      <c r="BW19" s="476" t="s">
        <v>951</v>
      </c>
      <c r="BX19" s="476" t="s">
        <v>952</v>
      </c>
      <c r="BY19" s="476" t="s">
        <v>953</v>
      </c>
      <c r="BZ19" s="476" t="s">
        <v>954</v>
      </c>
      <c r="CA19" s="476" t="s">
        <v>955</v>
      </c>
      <c r="CB19" s="476"/>
      <c r="CC19" s="476"/>
      <c r="CD19" s="476"/>
      <c r="CE19" s="476"/>
      <c r="CF19" s="629" t="str">
        <f t="shared" si="12"/>
        <v>Letter of introduction from your guild, belt pouch, mule, cart, traveler's clothes, 15gp,</v>
      </c>
      <c r="CG19" s="476" t="s">
        <v>2828</v>
      </c>
      <c r="CH19" s="476" t="s">
        <v>2804</v>
      </c>
      <c r="CI19" s="476" t="s">
        <v>6182</v>
      </c>
      <c r="CJ19" s="476" t="s">
        <v>6183</v>
      </c>
      <c r="CK19" s="476"/>
      <c r="CL19" s="476"/>
      <c r="CM19" s="476" t="s">
        <v>2829</v>
      </c>
      <c r="CN19" s="476">
        <v>15</v>
      </c>
      <c r="CO19" s="476"/>
      <c r="CP19" s="476"/>
      <c r="CQ19" s="476" t="s">
        <v>6849</v>
      </c>
    </row>
    <row r="20" spans="1:95" x14ac:dyDescent="0.2">
      <c r="A20" s="489">
        <f t="shared" si="3"/>
        <v>19</v>
      </c>
      <c r="B20" s="632" t="s">
        <v>6235</v>
      </c>
      <c r="C20" s="632" t="s">
        <v>6953</v>
      </c>
      <c r="D20" s="476"/>
      <c r="E20" s="474" t="str">
        <f t="shared" si="13"/>
        <v>Athletics, Medicine</v>
      </c>
      <c r="F20" s="476" t="s">
        <v>86</v>
      </c>
      <c r="G20" s="476" t="s">
        <v>610</v>
      </c>
      <c r="H20" s="476"/>
      <c r="I20" s="476"/>
      <c r="J20" s="474" t="str">
        <f t="shared" ref="J20:J29" si="16">IFERROR(TRIM(IF(K20="","",K20&amp;", ")&amp;IF(L20="","",L20&amp;", ")),"")</f>
        <v>Gaming set, Vehicles (land),</v>
      </c>
      <c r="K20" s="628" t="s">
        <v>77</v>
      </c>
      <c r="L20" s="628" t="s">
        <v>81</v>
      </c>
      <c r="M20" s="476"/>
      <c r="N20" s="476"/>
      <c r="O20" s="476">
        <v>1</v>
      </c>
      <c r="P20" s="631" t="s">
        <v>6235</v>
      </c>
      <c r="Q20" s="476"/>
      <c r="R20" s="476" t="s">
        <v>6236</v>
      </c>
      <c r="S20" s="476">
        <f>COUNTA(T20:AM20)</f>
        <v>5</v>
      </c>
      <c r="T20" s="476" t="s">
        <v>593</v>
      </c>
      <c r="U20" s="476" t="s">
        <v>6237</v>
      </c>
      <c r="V20" s="476" t="s">
        <v>567</v>
      </c>
      <c r="W20" s="476" t="s">
        <v>6238</v>
      </c>
      <c r="X20" s="476" t="s">
        <v>1035</v>
      </c>
      <c r="Y20" s="476"/>
      <c r="Z20" s="476"/>
      <c r="AA20" s="476"/>
      <c r="AB20" s="476"/>
      <c r="AC20" s="476"/>
      <c r="AD20" s="476"/>
      <c r="AE20" s="476"/>
      <c r="AF20" s="476"/>
      <c r="AG20" s="476"/>
      <c r="AH20" s="476"/>
      <c r="AI20" s="476"/>
      <c r="AJ20" s="476"/>
      <c r="AK20" s="476"/>
      <c r="AL20" s="476"/>
      <c r="AM20" s="476"/>
      <c r="AN20" s="476">
        <f t="shared" si="14"/>
        <v>7</v>
      </c>
      <c r="AO20" s="476" t="s">
        <v>651</v>
      </c>
      <c r="AP20" s="476" t="s">
        <v>650</v>
      </c>
      <c r="AQ20" s="476" t="s">
        <v>656</v>
      </c>
      <c r="AR20" s="476" t="s">
        <v>687</v>
      </c>
      <c r="AS20" s="476" t="s">
        <v>686</v>
      </c>
      <c r="AT20" s="476" t="s">
        <v>688</v>
      </c>
      <c r="AU20" s="476" t="s">
        <v>689</v>
      </c>
      <c r="AV20" s="476"/>
      <c r="AW20" s="476"/>
      <c r="AX20" s="476"/>
      <c r="AY20" s="476">
        <f t="shared" si="15"/>
        <v>4</v>
      </c>
      <c r="AZ20" s="476" t="s">
        <v>778</v>
      </c>
      <c r="BA20" s="476" t="s">
        <v>779</v>
      </c>
      <c r="BB20" s="476" t="s">
        <v>780</v>
      </c>
      <c r="BC20" s="476" t="s">
        <v>755</v>
      </c>
      <c r="BD20" s="476"/>
      <c r="BE20" s="476"/>
      <c r="BF20" s="476"/>
      <c r="BG20" s="476"/>
      <c r="BH20" s="476"/>
      <c r="BI20" s="476"/>
      <c r="BJ20" s="476">
        <f t="shared" si="10"/>
        <v>0</v>
      </c>
      <c r="BK20" s="476"/>
      <c r="BL20" s="476"/>
      <c r="BM20" s="476"/>
      <c r="BN20" s="476"/>
      <c r="BO20" s="476"/>
      <c r="BP20" s="476"/>
      <c r="BQ20" s="476"/>
      <c r="BR20" s="476"/>
      <c r="BS20" s="476"/>
      <c r="BT20" s="476"/>
      <c r="BU20" s="476">
        <f t="shared" si="11"/>
        <v>0</v>
      </c>
      <c r="BV20" s="633"/>
      <c r="BW20" s="633"/>
      <c r="BX20" s="633"/>
      <c r="BY20" s="633"/>
      <c r="BZ20" s="633"/>
      <c r="CA20" s="633"/>
      <c r="CB20" s="476"/>
      <c r="CC20" s="476"/>
      <c r="CD20" s="476"/>
      <c r="CE20" s="476"/>
      <c r="CF20" s="629" t="str">
        <f t="shared" si="12"/>
        <v>backpack, short sword, leather armor, light crossbow, traveler's clothes, 15gp,</v>
      </c>
      <c r="CG20" s="476" t="s">
        <v>2871</v>
      </c>
      <c r="CH20" s="476" t="s">
        <v>6239</v>
      </c>
      <c r="CI20" s="476" t="s">
        <v>2847</v>
      </c>
      <c r="CJ20" s="476" t="s">
        <v>6240</v>
      </c>
      <c r="CK20" s="476"/>
      <c r="CL20" s="476"/>
      <c r="CM20" s="476" t="s">
        <v>2829</v>
      </c>
      <c r="CN20" s="476">
        <v>15</v>
      </c>
      <c r="CO20" s="476"/>
      <c r="CP20" s="476"/>
      <c r="CQ20" s="476" t="s">
        <v>6740</v>
      </c>
    </row>
    <row r="21" spans="1:95" s="477" customFormat="1" x14ac:dyDescent="0.2">
      <c r="A21" s="489">
        <f t="shared" si="3"/>
        <v>20</v>
      </c>
      <c r="B21" s="631" t="s">
        <v>6565</v>
      </c>
      <c r="C21" s="631" t="s">
        <v>6954</v>
      </c>
      <c r="D21" s="632" t="s">
        <v>6566</v>
      </c>
      <c r="E21" s="474"/>
      <c r="F21" s="476" t="s">
        <v>86</v>
      </c>
      <c r="G21" s="476" t="s">
        <v>80</v>
      </c>
      <c r="H21" s="476"/>
      <c r="I21" s="476"/>
      <c r="J21" s="474" t="str">
        <f t="shared" si="16"/>
        <v>Artisan's Tools, Vehicles (land),</v>
      </c>
      <c r="K21" s="628" t="s">
        <v>1122</v>
      </c>
      <c r="L21" s="628" t="s">
        <v>81</v>
      </c>
      <c r="M21" s="476"/>
      <c r="N21" s="476"/>
      <c r="O21" s="476">
        <v>0</v>
      </c>
      <c r="P21" s="476" t="s">
        <v>6567</v>
      </c>
      <c r="Q21" s="476" t="s">
        <v>6568</v>
      </c>
      <c r="R21" s="476"/>
      <c r="S21" s="476">
        <f t="shared" ref="S21:S29" si="17">COUNTA(T21:AM21)</f>
        <v>0</v>
      </c>
      <c r="T21" s="476"/>
      <c r="U21" s="476"/>
      <c r="V21" s="476"/>
      <c r="W21" s="476"/>
      <c r="X21" s="476"/>
      <c r="Y21" s="476"/>
      <c r="Z21" s="476"/>
      <c r="AA21" s="476"/>
      <c r="AB21" s="476"/>
      <c r="AC21" s="476"/>
      <c r="AD21" s="476"/>
      <c r="AE21" s="476"/>
      <c r="AF21" s="476"/>
      <c r="AG21" s="476"/>
      <c r="AH21" s="476"/>
      <c r="AI21" s="476"/>
      <c r="AJ21" s="476"/>
      <c r="AK21" s="476"/>
      <c r="AL21" s="476"/>
      <c r="AM21" s="476"/>
      <c r="AN21" s="476">
        <f t="shared" si="14"/>
        <v>7</v>
      </c>
      <c r="AO21" s="476" t="s">
        <v>6569</v>
      </c>
      <c r="AP21" s="476" t="s">
        <v>6570</v>
      </c>
      <c r="AQ21" s="476" t="s">
        <v>6571</v>
      </c>
      <c r="AR21" s="476" t="s">
        <v>6572</v>
      </c>
      <c r="AS21" s="476" t="s">
        <v>6573</v>
      </c>
      <c r="AT21" s="476" t="s">
        <v>6574</v>
      </c>
      <c r="AU21" s="476" t="s">
        <v>6575</v>
      </c>
      <c r="AV21" s="476"/>
      <c r="AW21" s="476"/>
      <c r="AX21" s="476"/>
      <c r="AY21" s="476">
        <f t="shared" si="15"/>
        <v>6</v>
      </c>
      <c r="AZ21" s="476" t="s">
        <v>6576</v>
      </c>
      <c r="BA21" s="476" t="s">
        <v>6577</v>
      </c>
      <c r="BB21" s="476" t="s">
        <v>6578</v>
      </c>
      <c r="BC21" s="476" t="s">
        <v>6579</v>
      </c>
      <c r="BD21" s="476" t="s">
        <v>6580</v>
      </c>
      <c r="BE21" s="476" t="s">
        <v>6581</v>
      </c>
      <c r="BF21" s="476"/>
      <c r="BG21" s="476"/>
      <c r="BH21" s="476"/>
      <c r="BI21" s="476"/>
      <c r="BJ21" s="476">
        <f t="shared" si="10"/>
        <v>6</v>
      </c>
      <c r="BK21" s="476" t="s">
        <v>6582</v>
      </c>
      <c r="BL21" s="476" t="s">
        <v>6583</v>
      </c>
      <c r="BM21" s="476" t="s">
        <v>6584</v>
      </c>
      <c r="BN21" s="476" t="s">
        <v>6585</v>
      </c>
      <c r="BO21" s="476" t="s">
        <v>6586</v>
      </c>
      <c r="BP21" s="476" t="s">
        <v>6587</v>
      </c>
      <c r="BQ21" s="476"/>
      <c r="BR21" s="476"/>
      <c r="BS21" s="476"/>
      <c r="BT21" s="476"/>
      <c r="BU21" s="476">
        <f t="shared" si="11"/>
        <v>6</v>
      </c>
      <c r="BV21" s="476" t="s">
        <v>6588</v>
      </c>
      <c r="BW21" s="476" t="s">
        <v>6589</v>
      </c>
      <c r="BX21" s="476" t="s">
        <v>6590</v>
      </c>
      <c r="BY21" s="476" t="s">
        <v>6591</v>
      </c>
      <c r="BZ21" s="476" t="s">
        <v>6592</v>
      </c>
      <c r="CA21" s="476" t="s">
        <v>6593</v>
      </c>
      <c r="CB21" s="476"/>
      <c r="CC21" s="476"/>
      <c r="CD21" s="476"/>
      <c r="CE21" s="476"/>
      <c r="CF21" s="629" t="str">
        <f t="shared" si="12"/>
        <v>Small wood axe, two-person tent, belt pouch, common clothes, 10gp,</v>
      </c>
      <c r="CG21" s="476" t="s">
        <v>6594</v>
      </c>
      <c r="CH21" s="476" t="s">
        <v>6595</v>
      </c>
      <c r="CI21" s="476" t="s">
        <v>2804</v>
      </c>
      <c r="CJ21" s="476"/>
      <c r="CK21" s="476"/>
      <c r="CL21" s="476"/>
      <c r="CM21" s="476" t="s">
        <v>2803</v>
      </c>
      <c r="CN21" s="476">
        <v>10</v>
      </c>
      <c r="CO21" s="476" t="s">
        <v>2810</v>
      </c>
      <c r="CP21" s="476" t="s">
        <v>6596</v>
      </c>
      <c r="CQ21" s="476" t="s">
        <v>6740</v>
      </c>
    </row>
    <row r="22" spans="1:95" ht="15" x14ac:dyDescent="0.25">
      <c r="A22" s="489">
        <f t="shared" si="3"/>
        <v>21</v>
      </c>
      <c r="B22" s="476" t="s">
        <v>6669</v>
      </c>
      <c r="C22" s="476" t="s">
        <v>7005</v>
      </c>
      <c r="D22" s="476" t="s">
        <v>6670</v>
      </c>
      <c r="E22" s="474" t="str">
        <f t="shared" si="13"/>
        <v>Animal Handling, Survival</v>
      </c>
      <c r="F22" s="476" t="s">
        <v>79</v>
      </c>
      <c r="G22" s="476" t="s">
        <v>80</v>
      </c>
      <c r="H22" s="476"/>
      <c r="I22" s="476"/>
      <c r="J22" s="474" t="str">
        <f t="shared" si="16"/>
        <v>Vehicles (land),</v>
      </c>
      <c r="K22" s="628" t="s">
        <v>81</v>
      </c>
      <c r="L22" s="476"/>
      <c r="M22" s="476"/>
      <c r="N22" s="476"/>
      <c r="O22" s="476">
        <v>1</v>
      </c>
      <c r="P22" s="476" t="s">
        <v>6671</v>
      </c>
      <c r="Q22" s="476" t="s">
        <v>6672</v>
      </c>
      <c r="R22" s="476"/>
      <c r="S22" s="476">
        <f t="shared" si="17"/>
        <v>0</v>
      </c>
      <c r="T22" s="476"/>
      <c r="U22" s="476"/>
      <c r="V22" s="476"/>
      <c r="W22" s="476"/>
      <c r="X22" s="476"/>
      <c r="Y22" s="476"/>
      <c r="Z22" s="476"/>
      <c r="AA22" s="476"/>
      <c r="AB22" s="476"/>
      <c r="AC22" s="476"/>
      <c r="AD22" s="476"/>
      <c r="AE22" s="476"/>
      <c r="AF22" s="476"/>
      <c r="AG22" s="476"/>
      <c r="AH22" s="476"/>
      <c r="AI22" s="476"/>
      <c r="AJ22" s="476"/>
      <c r="AK22" s="476"/>
      <c r="AL22" s="476"/>
      <c r="AM22" s="476"/>
      <c r="AN22" s="476">
        <f t="shared" si="14"/>
        <v>8</v>
      </c>
      <c r="AO22" s="255" t="s">
        <v>6712</v>
      </c>
      <c r="AP22" s="255" t="s">
        <v>6713</v>
      </c>
      <c r="AQ22" s="255" t="s">
        <v>6714</v>
      </c>
      <c r="AR22" s="255" t="s">
        <v>6715</v>
      </c>
      <c r="AS22" s="255" t="s">
        <v>6716</v>
      </c>
      <c r="AT22" s="255" t="s">
        <v>6717</v>
      </c>
      <c r="AU22" s="255" t="s">
        <v>6718</v>
      </c>
      <c r="AV22" s="255" t="s">
        <v>6719</v>
      </c>
      <c r="AW22" s="476"/>
      <c r="AX22" s="476"/>
      <c r="AY22" s="476">
        <f t="shared" si="15"/>
        <v>6</v>
      </c>
      <c r="AZ22" s="255" t="s">
        <v>6720</v>
      </c>
      <c r="BA22" s="255" t="s">
        <v>6721</v>
      </c>
      <c r="BB22" s="255" t="s">
        <v>6722</v>
      </c>
      <c r="BC22" s="255" t="s">
        <v>6723</v>
      </c>
      <c r="BD22" s="255" t="s">
        <v>6724</v>
      </c>
      <c r="BE22" s="255" t="s">
        <v>6725</v>
      </c>
      <c r="BF22" s="476"/>
      <c r="BG22" s="476"/>
      <c r="BH22" s="476"/>
      <c r="BI22" s="476"/>
      <c r="BJ22" s="476">
        <f t="shared" si="10"/>
        <v>6</v>
      </c>
      <c r="BK22" s="255" t="s">
        <v>6726</v>
      </c>
      <c r="BL22" s="255" t="s">
        <v>6727</v>
      </c>
      <c r="BM22" s="255" t="s">
        <v>6728</v>
      </c>
      <c r="BN22" s="255" t="s">
        <v>6729</v>
      </c>
      <c r="BO22" s="255" t="s">
        <v>6730</v>
      </c>
      <c r="BP22" s="255" t="s">
        <v>6731</v>
      </c>
      <c r="BQ22" s="476"/>
      <c r="BR22" s="476"/>
      <c r="BS22" s="476"/>
      <c r="BT22" s="476"/>
      <c r="BU22" s="476">
        <f t="shared" si="11"/>
        <v>6</v>
      </c>
      <c r="BV22" s="255" t="s">
        <v>6732</v>
      </c>
      <c r="BW22" s="255" t="s">
        <v>6733</v>
      </c>
      <c r="BX22" s="255" t="s">
        <v>6734</v>
      </c>
      <c r="BY22" s="255" t="s">
        <v>6735</v>
      </c>
      <c r="BZ22" s="255" t="s">
        <v>6736</v>
      </c>
      <c r="CA22" s="255" t="s">
        <v>6737</v>
      </c>
      <c r="CB22" s="476"/>
      <c r="CC22" s="476"/>
      <c r="CD22" s="476"/>
      <c r="CE22" s="476"/>
      <c r="CF22" s="629" t="str">
        <f t="shared" si="12"/>
        <v>Whip, Tent, Regional Map, belt pouch, traveler's clothes, 10gp,</v>
      </c>
      <c r="CG22" s="476" t="s">
        <v>159</v>
      </c>
      <c r="CH22" s="476" t="s">
        <v>6738</v>
      </c>
      <c r="CI22" s="476" t="s">
        <v>6739</v>
      </c>
      <c r="CJ22" s="476" t="s">
        <v>2804</v>
      </c>
      <c r="CK22" s="476"/>
      <c r="CL22" s="476"/>
      <c r="CM22" s="476" t="s">
        <v>2829</v>
      </c>
      <c r="CN22" s="476">
        <v>10</v>
      </c>
      <c r="CO22" s="476"/>
      <c r="CP22" s="476"/>
      <c r="CQ22" s="476" t="s">
        <v>6740</v>
      </c>
    </row>
    <row r="23" spans="1:95" ht="15" x14ac:dyDescent="0.25">
      <c r="A23" s="489">
        <f t="shared" si="3"/>
        <v>22</v>
      </c>
      <c r="B23" s="476" t="s">
        <v>6692</v>
      </c>
      <c r="C23" s="476" t="s">
        <v>7005</v>
      </c>
      <c r="D23" s="476" t="s">
        <v>6673</v>
      </c>
      <c r="E23" s="474" t="str">
        <f t="shared" si="13"/>
        <v>Athletics, Survival</v>
      </c>
      <c r="F23" s="476" t="s">
        <v>86</v>
      </c>
      <c r="G23" s="476" t="s">
        <v>80</v>
      </c>
      <c r="H23" s="476"/>
      <c r="I23" s="476"/>
      <c r="J23" s="474" t="str">
        <f t="shared" si="16"/>
        <v/>
      </c>
      <c r="K23" s="476"/>
      <c r="L23" s="476"/>
      <c r="M23" s="476" t="s">
        <v>5980</v>
      </c>
      <c r="N23" s="476" t="s">
        <v>1108</v>
      </c>
      <c r="O23" s="476">
        <v>0</v>
      </c>
      <c r="P23" s="476" t="s">
        <v>6674</v>
      </c>
      <c r="Q23" s="476" t="s">
        <v>6675</v>
      </c>
      <c r="R23" s="476"/>
      <c r="S23" s="476">
        <f t="shared" si="17"/>
        <v>0</v>
      </c>
      <c r="T23" s="476"/>
      <c r="U23" s="476"/>
      <c r="V23" s="476"/>
      <c r="W23" s="476"/>
      <c r="X23" s="476"/>
      <c r="Y23" s="476"/>
      <c r="Z23" s="476"/>
      <c r="AA23" s="476"/>
      <c r="AB23" s="476"/>
      <c r="AC23" s="476"/>
      <c r="AD23" s="476"/>
      <c r="AE23" s="476"/>
      <c r="AF23" s="476"/>
      <c r="AG23" s="476"/>
      <c r="AH23" s="476"/>
      <c r="AI23" s="476"/>
      <c r="AJ23" s="476"/>
      <c r="AK23" s="476"/>
      <c r="AL23" s="476"/>
      <c r="AM23" s="476"/>
      <c r="AN23" s="476">
        <f t="shared" si="14"/>
        <v>8</v>
      </c>
      <c r="AO23" s="633" t="s">
        <v>6743</v>
      </c>
      <c r="AP23" s="476" t="s">
        <v>6744</v>
      </c>
      <c r="AQ23" s="476" t="s">
        <v>6745</v>
      </c>
      <c r="AR23" s="476" t="s">
        <v>6746</v>
      </c>
      <c r="AS23" s="476" t="s">
        <v>6747</v>
      </c>
      <c r="AT23" s="476" t="s">
        <v>6748</v>
      </c>
      <c r="AU23" s="476" t="s">
        <v>6749</v>
      </c>
      <c r="AV23" s="476" t="s">
        <v>6750</v>
      </c>
      <c r="AW23" s="476"/>
      <c r="AX23" s="476"/>
      <c r="AY23" s="476">
        <f t="shared" si="15"/>
        <v>6</v>
      </c>
      <c r="AZ23" s="255" t="s">
        <v>6751</v>
      </c>
      <c r="BA23" s="255" t="s">
        <v>6752</v>
      </c>
      <c r="BB23" s="255" t="s">
        <v>6753</v>
      </c>
      <c r="BC23" s="255" t="s">
        <v>6754</v>
      </c>
      <c r="BD23" s="255" t="s">
        <v>6755</v>
      </c>
      <c r="BE23" s="255" t="s">
        <v>6756</v>
      </c>
      <c r="BF23" s="476"/>
      <c r="BG23" s="476"/>
      <c r="BH23" s="476"/>
      <c r="BI23" s="476"/>
      <c r="BJ23" s="476">
        <f t="shared" si="10"/>
        <v>6</v>
      </c>
      <c r="BK23" s="255" t="s">
        <v>6757</v>
      </c>
      <c r="BL23" s="255" t="s">
        <v>6758</v>
      </c>
      <c r="BM23" s="255" t="s">
        <v>6759</v>
      </c>
      <c r="BN23" s="255" t="s">
        <v>6760</v>
      </c>
      <c r="BO23" s="255" t="s">
        <v>6761</v>
      </c>
      <c r="BP23" s="255" t="s">
        <v>6762</v>
      </c>
      <c r="BQ23" s="476"/>
      <c r="BR23" s="476"/>
      <c r="BS23" s="476"/>
      <c r="BT23" s="476"/>
      <c r="BU23" s="476">
        <f t="shared" si="11"/>
        <v>6</v>
      </c>
      <c r="BV23" s="255" t="s">
        <v>6763</v>
      </c>
      <c r="BW23" s="255" t="s">
        <v>6764</v>
      </c>
      <c r="BX23" s="255" t="s">
        <v>6765</v>
      </c>
      <c r="BY23" s="255" t="s">
        <v>6766</v>
      </c>
      <c r="BZ23" s="255" t="s">
        <v>6767</v>
      </c>
      <c r="CA23" s="255" t="s">
        <v>6768</v>
      </c>
      <c r="CB23" s="476"/>
      <c r="CC23" s="476"/>
      <c r="CD23" s="476"/>
      <c r="CE23" s="476"/>
      <c r="CF23" s="629" t="str">
        <f t="shared" si="12"/>
        <v>Block and tackle, Climber's kit, belt pouch, shovel or miner's pick, common clothes, 5gp,</v>
      </c>
      <c r="CG23" s="476" t="s">
        <v>222</v>
      </c>
      <c r="CH23" s="476" t="s">
        <v>6741</v>
      </c>
      <c r="CI23" s="476" t="s">
        <v>2804</v>
      </c>
      <c r="CJ23" s="476" t="s">
        <v>6742</v>
      </c>
      <c r="CK23" s="476"/>
      <c r="CL23" s="476"/>
      <c r="CM23" s="476" t="s">
        <v>2803</v>
      </c>
      <c r="CN23" s="476">
        <v>5</v>
      </c>
      <c r="CO23" s="476"/>
      <c r="CP23" s="476"/>
      <c r="CQ23" s="476" t="s">
        <v>6740</v>
      </c>
    </row>
    <row r="24" spans="1:95" ht="15" x14ac:dyDescent="0.25">
      <c r="A24" s="489">
        <f t="shared" si="3"/>
        <v>23</v>
      </c>
      <c r="B24" s="476" t="s">
        <v>6693</v>
      </c>
      <c r="C24" s="476" t="s">
        <v>7005</v>
      </c>
      <c r="D24" s="476" t="s">
        <v>6676</v>
      </c>
      <c r="E24" s="474" t="str">
        <f t="shared" si="13"/>
        <v>Athletics, Sleight of Hand</v>
      </c>
      <c r="F24" s="476" t="s">
        <v>86</v>
      </c>
      <c r="G24" s="476" t="s">
        <v>614</v>
      </c>
      <c r="H24" s="476"/>
      <c r="I24" s="476"/>
      <c r="J24" s="474" t="str">
        <f t="shared" si="16"/>
        <v>Gaming set, Vehicles (water),</v>
      </c>
      <c r="K24" s="476" t="s">
        <v>77</v>
      </c>
      <c r="L24" s="476" t="s">
        <v>3569</v>
      </c>
      <c r="M24" s="476"/>
      <c r="N24" s="476"/>
      <c r="O24" s="476">
        <v>0</v>
      </c>
      <c r="P24" s="476" t="s">
        <v>6677</v>
      </c>
      <c r="Q24" s="476" t="s">
        <v>6678</v>
      </c>
      <c r="R24" s="476"/>
      <c r="S24" s="476">
        <f t="shared" si="17"/>
        <v>0</v>
      </c>
      <c r="T24" s="476"/>
      <c r="U24" s="476"/>
      <c r="V24" s="476"/>
      <c r="W24" s="476"/>
      <c r="X24" s="476"/>
      <c r="Y24" s="476"/>
      <c r="Z24" s="476"/>
      <c r="AA24" s="476"/>
      <c r="AB24" s="476"/>
      <c r="AC24" s="476"/>
      <c r="AD24" s="476"/>
      <c r="AE24" s="476"/>
      <c r="AF24" s="476"/>
      <c r="AG24" s="476"/>
      <c r="AH24" s="476"/>
      <c r="AI24" s="476"/>
      <c r="AJ24" s="476"/>
      <c r="AK24" s="476"/>
      <c r="AL24" s="476"/>
      <c r="AM24" s="476"/>
      <c r="AN24" s="476">
        <f t="shared" si="14"/>
        <v>8</v>
      </c>
      <c r="AO24" s="633" t="s">
        <v>6771</v>
      </c>
      <c r="AP24" s="476" t="s">
        <v>6772</v>
      </c>
      <c r="AQ24" s="476" t="s">
        <v>6773</v>
      </c>
      <c r="AR24" s="476" t="s">
        <v>6774</v>
      </c>
      <c r="AS24" s="476" t="s">
        <v>6775</v>
      </c>
      <c r="AT24" s="476" t="s">
        <v>6776</v>
      </c>
      <c r="AU24" s="476" t="s">
        <v>6777</v>
      </c>
      <c r="AV24" s="476" t="s">
        <v>6778</v>
      </c>
      <c r="AW24" s="476"/>
      <c r="AX24" s="476"/>
      <c r="AY24" s="476">
        <f t="shared" si="15"/>
        <v>6</v>
      </c>
      <c r="AZ24" s="476" t="s">
        <v>6779</v>
      </c>
      <c r="BA24" s="476" t="s">
        <v>6780</v>
      </c>
      <c r="BB24" s="476" t="s">
        <v>6781</v>
      </c>
      <c r="BC24" s="476" t="s">
        <v>6782</v>
      </c>
      <c r="BD24" s="476" t="s">
        <v>6783</v>
      </c>
      <c r="BE24" s="476" t="s">
        <v>6784</v>
      </c>
      <c r="BF24" s="476"/>
      <c r="BG24" s="476"/>
      <c r="BH24" s="476"/>
      <c r="BI24" s="476"/>
      <c r="BJ24" s="476">
        <f t="shared" si="10"/>
        <v>7</v>
      </c>
      <c r="BK24" s="255" t="s">
        <v>6785</v>
      </c>
      <c r="BL24" s="255" t="s">
        <v>6786</v>
      </c>
      <c r="BM24" s="255" t="s">
        <v>6705</v>
      </c>
      <c r="BN24" s="255" t="s">
        <v>6787</v>
      </c>
      <c r="BO24" s="255" t="s">
        <v>6703</v>
      </c>
      <c r="BP24" s="255" t="s">
        <v>6788</v>
      </c>
      <c r="BQ24" s="255" t="s">
        <v>6789</v>
      </c>
      <c r="BR24" s="476"/>
      <c r="BS24" s="476"/>
      <c r="BT24" s="476"/>
      <c r="BU24" s="476">
        <f t="shared" si="11"/>
        <v>6</v>
      </c>
      <c r="BV24" s="255" t="s">
        <v>6790</v>
      </c>
      <c r="BW24" s="255" t="s">
        <v>6704</v>
      </c>
      <c r="BX24" s="255" t="s">
        <v>6791</v>
      </c>
      <c r="BY24" s="255" t="s">
        <v>6792</v>
      </c>
      <c r="BZ24" s="255" t="s">
        <v>6793</v>
      </c>
      <c r="CA24" s="255" t="s">
        <v>6702</v>
      </c>
      <c r="CB24" s="476"/>
      <c r="CC24" s="476"/>
      <c r="CD24" s="476"/>
      <c r="CE24" s="476"/>
      <c r="CF24" s="629" t="str">
        <f t="shared" si="12"/>
        <v>fishing tackle, rowboat, belt pouch, common clothes, 5gp,</v>
      </c>
      <c r="CG24" s="476" t="s">
        <v>6769</v>
      </c>
      <c r="CH24" s="476" t="s">
        <v>6770</v>
      </c>
      <c r="CI24" s="476" t="s">
        <v>2804</v>
      </c>
      <c r="CJ24" s="476"/>
      <c r="CK24" s="476"/>
      <c r="CL24" s="476"/>
      <c r="CM24" s="476" t="s">
        <v>2803</v>
      </c>
      <c r="CN24" s="476">
        <v>5</v>
      </c>
      <c r="CO24" s="476" t="s">
        <v>77</v>
      </c>
      <c r="CP24" s="476"/>
      <c r="CQ24" s="476" t="s">
        <v>6740</v>
      </c>
    </row>
    <row r="25" spans="1:95" ht="15" x14ac:dyDescent="0.25">
      <c r="A25" s="489">
        <f t="shared" si="3"/>
        <v>24</v>
      </c>
      <c r="B25" s="476" t="s">
        <v>6679</v>
      </c>
      <c r="C25" s="476" t="s">
        <v>7005</v>
      </c>
      <c r="D25" s="476" t="s">
        <v>6681</v>
      </c>
      <c r="E25" s="474" t="str">
        <f t="shared" si="13"/>
        <v>Deception, Performance</v>
      </c>
      <c r="F25" s="476" t="s">
        <v>74</v>
      </c>
      <c r="G25" s="476" t="s">
        <v>612</v>
      </c>
      <c r="H25" s="476"/>
      <c r="I25" s="476"/>
      <c r="J25" s="474" t="str">
        <f t="shared" si="16"/>
        <v>Artisan's Tools, Musical Instrument,</v>
      </c>
      <c r="K25" s="476" t="s">
        <v>1122</v>
      </c>
      <c r="L25" s="476" t="s">
        <v>2974</v>
      </c>
      <c r="M25" s="476"/>
      <c r="N25" s="476"/>
      <c r="O25" s="476">
        <v>0</v>
      </c>
      <c r="P25" s="476" t="s">
        <v>6682</v>
      </c>
      <c r="Q25" s="476" t="s">
        <v>6680</v>
      </c>
      <c r="R25" s="476"/>
      <c r="S25" s="476">
        <f t="shared" si="17"/>
        <v>0</v>
      </c>
      <c r="T25" s="476"/>
      <c r="U25" s="476"/>
      <c r="V25" s="476"/>
      <c r="W25" s="476"/>
      <c r="X25" s="476"/>
      <c r="Y25" s="476"/>
      <c r="Z25" s="476"/>
      <c r="AA25" s="476"/>
      <c r="AB25" s="476"/>
      <c r="AC25" s="476"/>
      <c r="AD25" s="476"/>
      <c r="AE25" s="476"/>
      <c r="AF25" s="476"/>
      <c r="AG25" s="476"/>
      <c r="AH25" s="476"/>
      <c r="AI25" s="476"/>
      <c r="AJ25" s="476"/>
      <c r="AK25" s="476"/>
      <c r="AL25" s="476"/>
      <c r="AM25" s="476"/>
      <c r="AN25" s="476">
        <f t="shared" si="14"/>
        <v>8</v>
      </c>
      <c r="AO25" s="633" t="s">
        <v>6795</v>
      </c>
      <c r="AP25" s="476" t="s">
        <v>6796</v>
      </c>
      <c r="AQ25" s="476" t="s">
        <v>6797</v>
      </c>
      <c r="AR25" s="476" t="s">
        <v>6798</v>
      </c>
      <c r="AS25" s="476" t="s">
        <v>6799</v>
      </c>
      <c r="AT25" s="476" t="s">
        <v>6800</v>
      </c>
      <c r="AU25" s="476" t="s">
        <v>6801</v>
      </c>
      <c r="AV25" s="476" t="s">
        <v>6802</v>
      </c>
      <c r="AW25" s="476"/>
      <c r="AX25" s="476"/>
      <c r="AY25" s="476">
        <f t="shared" si="15"/>
        <v>6</v>
      </c>
      <c r="AZ25" s="255" t="s">
        <v>6803</v>
      </c>
      <c r="BA25" s="255" t="s">
        <v>6804</v>
      </c>
      <c r="BB25" s="255" t="s">
        <v>6805</v>
      </c>
      <c r="BC25" s="255" t="s">
        <v>6806</v>
      </c>
      <c r="BD25" s="255" t="s">
        <v>6807</v>
      </c>
      <c r="BE25" s="255" t="s">
        <v>6808</v>
      </c>
      <c r="BF25" s="476"/>
      <c r="BG25" s="476"/>
      <c r="BH25" s="476"/>
      <c r="BI25" s="476"/>
      <c r="BJ25" s="476">
        <f t="shared" si="10"/>
        <v>6</v>
      </c>
      <c r="BK25" s="255" t="s">
        <v>6809</v>
      </c>
      <c r="BL25" s="255" t="s">
        <v>6810</v>
      </c>
      <c r="BM25" s="255" t="s">
        <v>6811</v>
      </c>
      <c r="BN25" s="255" t="s">
        <v>6812</v>
      </c>
      <c r="BO25" s="255" t="s">
        <v>6813</v>
      </c>
      <c r="BP25" s="255" t="s">
        <v>6814</v>
      </c>
      <c r="BQ25" s="476"/>
      <c r="BR25" s="476"/>
      <c r="BS25" s="476"/>
      <c r="BT25" s="476"/>
      <c r="BU25" s="476">
        <f t="shared" si="11"/>
        <v>6</v>
      </c>
      <c r="BV25" s="255" t="s">
        <v>6815</v>
      </c>
      <c r="BW25" s="255" t="s">
        <v>6816</v>
      </c>
      <c r="BX25" s="255" t="s">
        <v>6817</v>
      </c>
      <c r="BY25" s="255" t="s">
        <v>6818</v>
      </c>
      <c r="BZ25" s="255" t="s">
        <v>6819</v>
      </c>
      <c r="CA25" s="255" t="s">
        <v>6820</v>
      </c>
      <c r="CB25" s="476"/>
      <c r="CC25" s="476"/>
      <c r="CD25" s="476"/>
      <c r="CE25" s="476"/>
      <c r="CF25" s="629" t="str">
        <f t="shared" si="12"/>
        <v>purse, fine clothes, 10gp,</v>
      </c>
      <c r="CG25" s="476" t="s">
        <v>2816</v>
      </c>
      <c r="CH25" s="476"/>
      <c r="CI25" s="476"/>
      <c r="CJ25" s="476"/>
      <c r="CK25" s="476"/>
      <c r="CL25" s="476"/>
      <c r="CM25" s="476" t="s">
        <v>2814</v>
      </c>
      <c r="CN25" s="476">
        <v>10</v>
      </c>
      <c r="CO25" s="476" t="s">
        <v>2810</v>
      </c>
      <c r="CP25" s="476" t="s">
        <v>202</v>
      </c>
      <c r="CQ25" s="476" t="s">
        <v>6794</v>
      </c>
    </row>
    <row r="26" spans="1:95" ht="15" x14ac:dyDescent="0.25">
      <c r="A26" s="489">
        <f t="shared" si="3"/>
        <v>25</v>
      </c>
      <c r="B26" s="476" t="s">
        <v>6683</v>
      </c>
      <c r="C26" s="476" t="s">
        <v>7005</v>
      </c>
      <c r="D26" s="476" t="s">
        <v>6684</v>
      </c>
      <c r="E26" s="474" t="str">
        <f t="shared" si="13"/>
        <v>Insight, Athletics</v>
      </c>
      <c r="F26" s="476" t="s">
        <v>71</v>
      </c>
      <c r="G26" s="476" t="s">
        <v>86</v>
      </c>
      <c r="H26" s="476"/>
      <c r="I26" s="476"/>
      <c r="J26" s="474" t="str">
        <f t="shared" si="16"/>
        <v>Artisan's Tools,</v>
      </c>
      <c r="K26" s="476" t="s">
        <v>1122</v>
      </c>
      <c r="L26" s="476"/>
      <c r="M26" s="476"/>
      <c r="N26" s="476"/>
      <c r="O26" s="476">
        <v>1</v>
      </c>
      <c r="P26" s="476" t="s">
        <v>6685</v>
      </c>
      <c r="Q26" s="476" t="s">
        <v>6686</v>
      </c>
      <c r="R26" s="476"/>
      <c r="S26" s="476">
        <f t="shared" si="17"/>
        <v>0</v>
      </c>
      <c r="T26" s="476"/>
      <c r="U26" s="476"/>
      <c r="V26" s="476"/>
      <c r="W26" s="476"/>
      <c r="X26" s="476"/>
      <c r="Y26" s="476"/>
      <c r="Z26" s="476"/>
      <c r="AA26" s="476"/>
      <c r="AB26" s="476"/>
      <c r="AC26" s="476"/>
      <c r="AD26" s="476"/>
      <c r="AE26" s="476"/>
      <c r="AF26" s="476"/>
      <c r="AG26" s="476"/>
      <c r="AH26" s="476"/>
      <c r="AI26" s="476"/>
      <c r="AJ26" s="476"/>
      <c r="AK26" s="476"/>
      <c r="AL26" s="476"/>
      <c r="AM26" s="476"/>
      <c r="AN26" s="476">
        <f t="shared" si="14"/>
        <v>8</v>
      </c>
      <c r="AO26" s="255" t="s">
        <v>6823</v>
      </c>
      <c r="AP26" s="255" t="s">
        <v>6824</v>
      </c>
      <c r="AQ26" s="255" t="s">
        <v>6825</v>
      </c>
      <c r="AR26" s="255" t="s">
        <v>6826</v>
      </c>
      <c r="AS26" s="255" t="s">
        <v>6827</v>
      </c>
      <c r="AT26" s="255" t="s">
        <v>6828</v>
      </c>
      <c r="AU26" s="255" t="s">
        <v>6829</v>
      </c>
      <c r="AV26" s="255" t="s">
        <v>6830</v>
      </c>
      <c r="AW26" s="476"/>
      <c r="AX26" s="476"/>
      <c r="AY26" s="476">
        <f t="shared" si="15"/>
        <v>6</v>
      </c>
      <c r="AZ26" s="476" t="s">
        <v>6831</v>
      </c>
      <c r="BA26" s="476" t="s">
        <v>6832</v>
      </c>
      <c r="BB26" s="476" t="s">
        <v>6833</v>
      </c>
      <c r="BC26" s="476" t="s">
        <v>6834</v>
      </c>
      <c r="BD26" s="476" t="s">
        <v>6835</v>
      </c>
      <c r="BE26" s="476" t="s">
        <v>6836</v>
      </c>
      <c r="BF26" s="476"/>
      <c r="BG26" s="476"/>
      <c r="BH26" s="476"/>
      <c r="BI26" s="476"/>
      <c r="BJ26" s="476">
        <f t="shared" si="10"/>
        <v>6</v>
      </c>
      <c r="BK26" s="476" t="s">
        <v>6837</v>
      </c>
      <c r="BL26" s="476" t="s">
        <v>6838</v>
      </c>
      <c r="BM26" s="476" t="s">
        <v>6839</v>
      </c>
      <c r="BN26" s="476" t="s">
        <v>6840</v>
      </c>
      <c r="BO26" s="476" t="s">
        <v>6841</v>
      </c>
      <c r="BP26" s="476" t="s">
        <v>6842</v>
      </c>
      <c r="BQ26" s="476"/>
      <c r="BR26" s="476"/>
      <c r="BS26" s="476"/>
      <c r="BT26" s="476"/>
      <c r="BU26" s="476">
        <f t="shared" si="11"/>
        <v>6</v>
      </c>
      <c r="BV26" s="476" t="s">
        <v>6843</v>
      </c>
      <c r="BW26" s="476" t="s">
        <v>6844</v>
      </c>
      <c r="BX26" s="476" t="s">
        <v>6845</v>
      </c>
      <c r="BY26" s="476" t="s">
        <v>6846</v>
      </c>
      <c r="BZ26" s="476" t="s">
        <v>6847</v>
      </c>
      <c r="CA26" s="476" t="s">
        <v>6848</v>
      </c>
      <c r="CB26" s="476"/>
      <c r="CC26" s="476"/>
      <c r="CD26" s="476"/>
      <c r="CE26" s="476"/>
      <c r="CF26" s="629" t="str">
        <f t="shared" si="12"/>
        <v>belt pouch, traveler's clothes, 15gp,</v>
      </c>
      <c r="CG26" s="476" t="s">
        <v>2804</v>
      </c>
      <c r="CH26" s="476"/>
      <c r="CI26" s="476"/>
      <c r="CJ26" s="476"/>
      <c r="CK26" s="476"/>
      <c r="CL26" s="476"/>
      <c r="CM26" s="476" t="s">
        <v>2829</v>
      </c>
      <c r="CN26" s="476">
        <v>15</v>
      </c>
      <c r="CO26" s="476" t="s">
        <v>2810</v>
      </c>
      <c r="CP26" s="476" t="s">
        <v>6821</v>
      </c>
      <c r="CQ26" s="476" t="s">
        <v>6822</v>
      </c>
    </row>
    <row r="27" spans="1:95" ht="15" x14ac:dyDescent="0.25">
      <c r="A27" s="489">
        <f t="shared" si="3"/>
        <v>26</v>
      </c>
      <c r="B27" s="476" t="s">
        <v>6919</v>
      </c>
      <c r="C27" s="476" t="s">
        <v>6955</v>
      </c>
      <c r="D27" s="476" t="s">
        <v>6920</v>
      </c>
      <c r="E27" s="474" t="str">
        <f t="shared" si="13"/>
        <v>Insight, Persuasion</v>
      </c>
      <c r="F27" s="476" t="s">
        <v>71</v>
      </c>
      <c r="G27" s="476" t="s">
        <v>613</v>
      </c>
      <c r="H27" s="476"/>
      <c r="I27" s="476"/>
      <c r="J27" s="474" t="str">
        <f t="shared" si="16"/>
        <v/>
      </c>
      <c r="K27" s="476"/>
      <c r="L27" s="476"/>
      <c r="M27" s="476"/>
      <c r="N27" s="476"/>
      <c r="O27" s="476">
        <v>2</v>
      </c>
      <c r="P27" s="476" t="s">
        <v>6921</v>
      </c>
      <c r="Q27" s="476" t="s">
        <v>6922</v>
      </c>
      <c r="R27" s="476"/>
      <c r="S27" s="476">
        <f t="shared" si="17"/>
        <v>0</v>
      </c>
      <c r="T27" s="476"/>
      <c r="U27" s="476"/>
      <c r="V27" s="476"/>
      <c r="W27" s="476"/>
      <c r="X27" s="476"/>
      <c r="Y27" s="476"/>
      <c r="Z27" s="476"/>
      <c r="AA27" s="476"/>
      <c r="AB27" s="476"/>
      <c r="AC27" s="476"/>
      <c r="AD27" s="476"/>
      <c r="AE27" s="476"/>
      <c r="AF27" s="476"/>
      <c r="AG27" s="476"/>
      <c r="AH27" s="476"/>
      <c r="AI27" s="476"/>
      <c r="AJ27" s="476"/>
      <c r="AK27" s="476"/>
      <c r="AL27" s="476"/>
      <c r="AM27" s="476"/>
      <c r="AN27" s="476">
        <f t="shared" si="14"/>
        <v>8</v>
      </c>
      <c r="AO27" s="668" t="s">
        <v>6923</v>
      </c>
      <c r="AP27" s="669" t="s">
        <v>6924</v>
      </c>
      <c r="AQ27" s="668" t="s">
        <v>6925</v>
      </c>
      <c r="AR27" s="670" t="s">
        <v>6926</v>
      </c>
      <c r="AS27" s="668" t="s">
        <v>6927</v>
      </c>
      <c r="AT27" s="668" t="s">
        <v>6928</v>
      </c>
      <c r="AU27" s="668" t="s">
        <v>6929</v>
      </c>
      <c r="AV27" s="476" t="s">
        <v>6930</v>
      </c>
      <c r="AW27" s="476"/>
      <c r="AX27" s="476"/>
      <c r="AY27" s="476">
        <f t="shared" si="15"/>
        <v>6</v>
      </c>
      <c r="AZ27" s="476" t="s">
        <v>6931</v>
      </c>
      <c r="BA27" s="476" t="s">
        <v>6932</v>
      </c>
      <c r="BB27" s="476" t="s">
        <v>6933</v>
      </c>
      <c r="BC27" s="476" t="s">
        <v>6935</v>
      </c>
      <c r="BD27" s="476" t="s">
        <v>6934</v>
      </c>
      <c r="BE27" s="671" t="s">
        <v>6936</v>
      </c>
      <c r="BF27" s="476"/>
      <c r="BG27" s="476"/>
      <c r="BH27" s="476"/>
      <c r="BI27" s="476"/>
      <c r="BJ27" s="476">
        <f t="shared" si="10"/>
        <v>6</v>
      </c>
      <c r="BK27" s="255" t="s">
        <v>6937</v>
      </c>
      <c r="BL27" s="255" t="s">
        <v>6938</v>
      </c>
      <c r="BM27" s="255" t="s">
        <v>6939</v>
      </c>
      <c r="BN27" s="255" t="s">
        <v>6940</v>
      </c>
      <c r="BO27" s="255" t="s">
        <v>6941</v>
      </c>
      <c r="BP27" s="255" t="s">
        <v>6942</v>
      </c>
      <c r="BQ27" s="476"/>
      <c r="BR27" s="476"/>
      <c r="BS27" s="476"/>
      <c r="BT27" s="476"/>
      <c r="BU27" s="476">
        <f t="shared" si="11"/>
        <v>7</v>
      </c>
      <c r="BV27" s="255" t="s">
        <v>6943</v>
      </c>
      <c r="BW27" s="255" t="s">
        <v>6944</v>
      </c>
      <c r="BX27" s="255"/>
      <c r="BY27" s="255" t="s">
        <v>6945</v>
      </c>
      <c r="BZ27" s="255" t="s">
        <v>6946</v>
      </c>
      <c r="CA27" s="255" t="s">
        <v>6947</v>
      </c>
      <c r="CB27" s="255" t="s">
        <v>6947</v>
      </c>
      <c r="CC27" s="255" t="s">
        <v>6948</v>
      </c>
      <c r="CD27" s="476"/>
      <c r="CE27" s="476"/>
      <c r="CF27" s="629" t="str">
        <f t="shared" si="12"/>
        <v>family heirloom, fine clothes,</v>
      </c>
      <c r="CG27" s="476" t="s">
        <v>6949</v>
      </c>
      <c r="CH27" s="476"/>
      <c r="CI27" s="476"/>
      <c r="CJ27" s="476"/>
      <c r="CK27" s="476"/>
      <c r="CL27" s="476"/>
      <c r="CM27" s="476" t="s">
        <v>2814</v>
      </c>
      <c r="CN27" s="476"/>
      <c r="CO27" s="476" t="s">
        <v>6950</v>
      </c>
      <c r="CP27" s="476"/>
      <c r="CQ27" s="476" t="s">
        <v>6822</v>
      </c>
    </row>
    <row r="28" spans="1:95" ht="191.25" x14ac:dyDescent="0.2">
      <c r="A28" s="489">
        <f t="shared" si="3"/>
        <v>27</v>
      </c>
      <c r="B28" s="672" t="s">
        <v>7020</v>
      </c>
      <c r="C28" s="476" t="s">
        <v>7022</v>
      </c>
      <c r="D28" s="673" t="s">
        <v>7021</v>
      </c>
      <c r="E28" s="474" t="str">
        <f t="shared" si="13"/>
        <v>Insight, Intimidation</v>
      </c>
      <c r="F28" s="476" t="s">
        <v>71</v>
      </c>
      <c r="G28" s="476" t="s">
        <v>87</v>
      </c>
      <c r="H28" s="476"/>
      <c r="I28" s="476"/>
      <c r="J28" s="474" t="str">
        <f t="shared" si="16"/>
        <v>Gaming set,</v>
      </c>
      <c r="K28" s="476" t="s">
        <v>77</v>
      </c>
      <c r="L28" s="476"/>
      <c r="M28" s="476"/>
      <c r="N28" s="476"/>
      <c r="O28" s="476">
        <v>1</v>
      </c>
      <c r="P28" s="476" t="s">
        <v>7023</v>
      </c>
      <c r="Q28" s="674" t="s">
        <v>7024</v>
      </c>
      <c r="R28" s="476"/>
      <c r="S28" s="476">
        <f t="shared" si="17"/>
        <v>0</v>
      </c>
      <c r="T28" s="476"/>
      <c r="U28" s="476"/>
      <c r="V28" s="476"/>
      <c r="W28" s="476"/>
      <c r="X28" s="476"/>
      <c r="Y28" s="476"/>
      <c r="Z28" s="476"/>
      <c r="AA28" s="476"/>
      <c r="AB28" s="476"/>
      <c r="AC28" s="476"/>
      <c r="AD28" s="476"/>
      <c r="AE28" s="476"/>
      <c r="AF28" s="476"/>
      <c r="AG28" s="476"/>
      <c r="AH28" s="476"/>
      <c r="AI28" s="476"/>
      <c r="AJ28" s="476"/>
      <c r="AK28" s="476"/>
      <c r="AL28" s="476"/>
      <c r="AM28" s="476"/>
      <c r="AN28" s="476">
        <f t="shared" si="14"/>
        <v>8</v>
      </c>
      <c r="AO28" s="674" t="s">
        <v>7025</v>
      </c>
      <c r="AP28" s="674" t="s">
        <v>7026</v>
      </c>
      <c r="AQ28" s="674" t="s">
        <v>7027</v>
      </c>
      <c r="AR28" s="674" t="s">
        <v>7028</v>
      </c>
      <c r="AS28" s="674" t="s">
        <v>7029</v>
      </c>
      <c r="AT28" s="674" t="s">
        <v>7030</v>
      </c>
      <c r="AU28" s="674" t="s">
        <v>7031</v>
      </c>
      <c r="AV28" s="674" t="s">
        <v>7032</v>
      </c>
      <c r="AW28" s="476"/>
      <c r="AX28" s="476"/>
      <c r="AY28" s="476">
        <f t="shared" si="15"/>
        <v>6</v>
      </c>
      <c r="AZ28" s="674" t="s">
        <v>7034</v>
      </c>
      <c r="BA28" s="674" t="s">
        <v>7035</v>
      </c>
      <c r="BB28" s="674" t="s">
        <v>7036</v>
      </c>
      <c r="BC28" s="674" t="s">
        <v>7037</v>
      </c>
      <c r="BD28" s="674" t="s">
        <v>7038</v>
      </c>
      <c r="BE28" s="674" t="s">
        <v>7039</v>
      </c>
      <c r="BF28" s="476"/>
      <c r="BG28" s="476"/>
      <c r="BH28" s="476"/>
      <c r="BI28" s="476"/>
      <c r="BJ28" s="476">
        <f t="shared" si="10"/>
        <v>6</v>
      </c>
      <c r="BK28" s="674" t="s">
        <v>7041</v>
      </c>
      <c r="BL28" s="674" t="s">
        <v>7042</v>
      </c>
      <c r="BM28" s="674" t="s">
        <v>7043</v>
      </c>
      <c r="BN28" s="674" t="s">
        <v>7044</v>
      </c>
      <c r="BO28" s="674" t="s">
        <v>7045</v>
      </c>
      <c r="BP28" s="674" t="s">
        <v>7046</v>
      </c>
      <c r="BQ28" s="476"/>
      <c r="BR28" s="476"/>
      <c r="BS28" s="476"/>
      <c r="BT28" s="476"/>
      <c r="BU28" s="476">
        <f t="shared" si="11"/>
        <v>6</v>
      </c>
      <c r="BV28" s="674" t="s">
        <v>7048</v>
      </c>
      <c r="BW28" s="674" t="s">
        <v>7049</v>
      </c>
      <c r="BX28" s="674" t="s">
        <v>7050</v>
      </c>
      <c r="BY28" s="674" t="s">
        <v>7051</v>
      </c>
      <c r="BZ28" s="674" t="s">
        <v>7052</v>
      </c>
      <c r="CA28" s="674" t="s">
        <v>7053</v>
      </c>
      <c r="CB28" s="476"/>
      <c r="CC28" s="476"/>
      <c r="CD28" s="476"/>
      <c r="CE28" s="476"/>
      <c r="CF28" s="629" t="str">
        <f t="shared" si="12"/>
        <v/>
      </c>
      <c r="CG28" s="476"/>
      <c r="CH28" s="476"/>
      <c r="CI28" s="476"/>
      <c r="CJ28" s="476"/>
      <c r="CK28" s="476"/>
      <c r="CL28" s="476"/>
      <c r="CM28" s="476"/>
      <c r="CN28" s="476"/>
      <c r="CO28" s="476"/>
      <c r="CP28" s="476"/>
      <c r="CQ28" s="476"/>
    </row>
    <row r="29" spans="1:95" ht="14.25" x14ac:dyDescent="0.2">
      <c r="A29" s="489" t="str">
        <f t="shared" si="3"/>
        <v/>
      </c>
      <c r="B29" s="476"/>
      <c r="C29" s="476"/>
      <c r="D29" s="476"/>
      <c r="E29" s="474" t="str">
        <f t="shared" si="13"/>
        <v/>
      </c>
      <c r="F29" s="476"/>
      <c r="G29" s="476"/>
      <c r="H29" s="476"/>
      <c r="I29" s="476"/>
      <c r="J29" s="474" t="str">
        <f t="shared" si="16"/>
        <v/>
      </c>
      <c r="K29" s="476"/>
      <c r="L29" s="476"/>
      <c r="M29" s="476"/>
      <c r="N29" s="476"/>
      <c r="O29" s="476"/>
      <c r="P29" s="476"/>
      <c r="Q29" s="674"/>
      <c r="R29" s="476"/>
      <c r="S29" s="476">
        <f t="shared" si="17"/>
        <v>0</v>
      </c>
      <c r="T29" s="476"/>
      <c r="U29" s="476"/>
      <c r="V29" s="476"/>
      <c r="W29" s="476"/>
      <c r="X29" s="476"/>
      <c r="Y29" s="476"/>
      <c r="Z29" s="476"/>
      <c r="AA29" s="476"/>
      <c r="AB29" s="476"/>
      <c r="AC29" s="476"/>
      <c r="AD29" s="476"/>
      <c r="AE29" s="476"/>
      <c r="AF29" s="476"/>
      <c r="AG29" s="476"/>
      <c r="AH29" s="476"/>
      <c r="AI29" s="476"/>
      <c r="AJ29" s="476"/>
      <c r="AK29" s="476"/>
      <c r="AL29" s="476"/>
      <c r="AM29" s="476"/>
      <c r="AN29" s="476">
        <f t="shared" si="14"/>
        <v>0</v>
      </c>
      <c r="AO29" s="476"/>
      <c r="AP29" s="476"/>
      <c r="AQ29" s="476"/>
      <c r="AR29" s="476"/>
      <c r="AS29" s="476"/>
      <c r="AT29" s="476"/>
      <c r="AU29" s="476"/>
      <c r="AV29" s="476"/>
      <c r="AW29" s="476"/>
      <c r="AX29" s="476"/>
      <c r="AY29" s="476">
        <f t="shared" si="15"/>
        <v>0</v>
      </c>
      <c r="AZ29" s="476"/>
      <c r="BA29" s="476"/>
      <c r="BB29" s="476"/>
      <c r="BC29" s="476"/>
      <c r="BD29" s="476"/>
      <c r="BE29" s="476"/>
      <c r="BF29" s="476"/>
      <c r="BG29" s="476"/>
      <c r="BH29" s="476"/>
      <c r="BI29" s="476"/>
      <c r="BJ29" s="476">
        <f t="shared" si="10"/>
        <v>0</v>
      </c>
      <c r="BK29" s="476"/>
      <c r="BL29" s="476"/>
      <c r="BM29" s="476"/>
      <c r="BN29" s="476"/>
      <c r="BO29" s="476"/>
      <c r="BP29" s="476"/>
      <c r="BQ29" s="476"/>
      <c r="BR29" s="476"/>
      <c r="BS29" s="476"/>
      <c r="BT29" s="476"/>
      <c r="BU29" s="476">
        <f t="shared" si="11"/>
        <v>0</v>
      </c>
      <c r="BV29" s="476"/>
      <c r="BW29" s="476"/>
      <c r="BX29" s="476"/>
      <c r="BY29" s="476"/>
      <c r="BZ29" s="476"/>
      <c r="CA29" s="476"/>
      <c r="CB29" s="476"/>
      <c r="CC29" s="476"/>
      <c r="CD29" s="476"/>
      <c r="CE29" s="476"/>
      <c r="CF29" s="629" t="str">
        <f t="shared" si="12"/>
        <v/>
      </c>
      <c r="CG29" s="476"/>
      <c r="CH29" s="476"/>
      <c r="CI29" s="476"/>
      <c r="CJ29" s="476"/>
      <c r="CK29" s="476"/>
      <c r="CL29" s="476"/>
      <c r="CM29" s="476"/>
      <c r="CN29" s="476"/>
      <c r="CO29" s="476"/>
      <c r="CP29" s="476"/>
      <c r="CQ29" s="476"/>
    </row>
    <row r="30" spans="1:95" ht="15" x14ac:dyDescent="0.25">
      <c r="A30" s="489" t="str">
        <f t="shared" si="3"/>
        <v/>
      </c>
      <c r="B30" s="2"/>
      <c r="C30" s="2"/>
      <c r="D30" s="2"/>
      <c r="E30" s="2"/>
      <c r="F30" s="2"/>
      <c r="G30" s="2"/>
      <c r="H30" s="2"/>
      <c r="I30" s="2"/>
      <c r="J30" s="2"/>
      <c r="K30" s="2"/>
      <c r="L30" s="2"/>
      <c r="M30" s="2"/>
      <c r="N30" s="2"/>
      <c r="O30" s="2"/>
      <c r="P30" s="2"/>
      <c r="Q30" s="675"/>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row>
    <row r="31" spans="1:95" ht="14.25" x14ac:dyDescent="0.2">
      <c r="A31" s="489" t="str">
        <f t="shared" si="3"/>
        <v/>
      </c>
      <c r="B31" s="2"/>
      <c r="C31" s="2"/>
      <c r="D31" s="2"/>
      <c r="E31" s="2"/>
      <c r="F31" s="2"/>
      <c r="G31" s="2"/>
      <c r="H31" s="2"/>
      <c r="I31" s="2"/>
      <c r="J31" s="2"/>
      <c r="K31" s="2"/>
      <c r="L31" s="2"/>
      <c r="M31" s="2"/>
      <c r="N31" s="2"/>
      <c r="O31" s="674" t="s">
        <v>7025</v>
      </c>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674" t="s">
        <v>7034</v>
      </c>
      <c r="AZ31" s="2"/>
      <c r="BA31" s="2"/>
      <c r="BB31" s="2"/>
      <c r="BC31" s="2"/>
      <c r="BD31" s="2"/>
      <c r="BE31" s="2"/>
      <c r="BF31" s="2"/>
      <c r="BG31" s="2"/>
      <c r="BH31" s="2"/>
      <c r="BI31" s="2"/>
      <c r="BJ31" s="2"/>
      <c r="BK31" s="674" t="s">
        <v>7041</v>
      </c>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row>
    <row r="32" spans="1:95" ht="14.25" x14ac:dyDescent="0.2">
      <c r="A32" s="489" t="str">
        <f t="shared" si="3"/>
        <v/>
      </c>
      <c r="B32" s="2"/>
      <c r="C32" s="2"/>
      <c r="D32" s="2"/>
      <c r="E32" s="2"/>
      <c r="F32" s="2"/>
      <c r="G32" s="2"/>
      <c r="H32" s="2"/>
      <c r="I32" s="2"/>
      <c r="J32" s="2"/>
      <c r="K32" s="2"/>
      <c r="L32" s="2"/>
      <c r="M32" s="2"/>
      <c r="N32" s="2"/>
      <c r="O32" s="674" t="s">
        <v>7026</v>
      </c>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674" t="s">
        <v>7035</v>
      </c>
      <c r="AZ32" s="2"/>
      <c r="BA32" s="2"/>
      <c r="BB32" s="2"/>
      <c r="BC32" s="2"/>
      <c r="BD32" s="2"/>
      <c r="BE32" s="2"/>
      <c r="BF32" s="2"/>
      <c r="BG32" s="2"/>
      <c r="BH32" s="2"/>
      <c r="BI32" s="2"/>
      <c r="BJ32" s="2"/>
      <c r="BK32" s="674" t="s">
        <v>7042</v>
      </c>
      <c r="BL32" s="2"/>
      <c r="BM32" s="2"/>
      <c r="BN32" s="2"/>
      <c r="BO32" s="2"/>
      <c r="BP32" s="2"/>
      <c r="BQ32" s="2"/>
      <c r="BR32" s="2"/>
      <c r="BS32" s="2"/>
      <c r="BT32" s="2"/>
      <c r="BU32" s="2"/>
      <c r="BV32" s="674" t="s">
        <v>7048</v>
      </c>
      <c r="BW32" s="2"/>
      <c r="BX32" s="2"/>
      <c r="BY32" s="2"/>
      <c r="BZ32" s="2"/>
      <c r="CA32" s="2"/>
      <c r="CB32" s="2"/>
      <c r="CC32" s="2"/>
      <c r="CD32" s="2"/>
      <c r="CE32" s="2"/>
      <c r="CF32" s="2"/>
      <c r="CG32" s="2"/>
      <c r="CH32" s="2"/>
      <c r="CI32" s="2"/>
      <c r="CJ32" s="2"/>
      <c r="CK32" s="2"/>
      <c r="CL32" s="2"/>
      <c r="CM32" s="2"/>
      <c r="CN32" s="2"/>
      <c r="CO32" s="2"/>
      <c r="CP32" s="2"/>
      <c r="CQ32" s="2"/>
    </row>
    <row r="33" spans="1:95" ht="14.25" x14ac:dyDescent="0.2">
      <c r="A33" s="489" t="str">
        <f t="shared" si="3"/>
        <v/>
      </c>
      <c r="B33" s="2"/>
      <c r="C33" s="2"/>
      <c r="D33" s="2"/>
      <c r="E33" s="2"/>
      <c r="F33" s="2"/>
      <c r="G33" s="2"/>
      <c r="H33" s="2"/>
      <c r="I33" s="2"/>
      <c r="J33" s="2"/>
      <c r="K33" s="2"/>
      <c r="L33" s="2"/>
      <c r="M33" s="2"/>
      <c r="N33" s="2"/>
      <c r="O33" s="674" t="s">
        <v>7027</v>
      </c>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674" t="s">
        <v>7036</v>
      </c>
      <c r="AZ33" s="2"/>
      <c r="BA33" s="2"/>
      <c r="BB33" s="2"/>
      <c r="BC33" s="2"/>
      <c r="BD33" s="2"/>
      <c r="BE33" s="2"/>
      <c r="BF33" s="2"/>
      <c r="BG33" s="2"/>
      <c r="BH33" s="2"/>
      <c r="BI33" s="2"/>
      <c r="BJ33" s="2"/>
      <c r="BK33" s="674" t="s">
        <v>7043</v>
      </c>
      <c r="BL33" s="2"/>
      <c r="BM33" s="2"/>
      <c r="BN33" s="2"/>
      <c r="BO33" s="2"/>
      <c r="BP33" s="2"/>
      <c r="BQ33" s="2"/>
      <c r="BR33" s="2"/>
      <c r="BS33" s="2"/>
      <c r="BT33" s="2"/>
      <c r="BU33" s="2"/>
      <c r="BV33" s="674" t="s">
        <v>7049</v>
      </c>
      <c r="BW33" s="2"/>
      <c r="BX33" s="2"/>
      <c r="BY33" s="2"/>
      <c r="BZ33" s="2"/>
      <c r="CA33" s="2"/>
      <c r="CB33" s="2"/>
      <c r="CC33" s="2"/>
      <c r="CD33" s="2"/>
      <c r="CE33" s="2"/>
      <c r="CF33" s="2"/>
      <c r="CG33" s="2"/>
      <c r="CH33" s="2"/>
      <c r="CI33" s="2"/>
      <c r="CJ33" s="2"/>
      <c r="CK33" s="2"/>
      <c r="CL33" s="2"/>
      <c r="CM33" s="2"/>
      <c r="CN33" s="2"/>
      <c r="CO33" s="2"/>
      <c r="CP33" s="2"/>
      <c r="CQ33" s="2"/>
    </row>
    <row r="34" spans="1:95" ht="14.25" x14ac:dyDescent="0.2">
      <c r="A34" s="489" t="str">
        <f t="shared" si="3"/>
        <v/>
      </c>
      <c r="B34" s="2"/>
      <c r="C34" s="2"/>
      <c r="D34" s="2"/>
      <c r="E34" s="2"/>
      <c r="F34" s="2"/>
      <c r="G34" s="2"/>
      <c r="H34" s="2"/>
      <c r="I34" s="2"/>
      <c r="J34" s="2"/>
      <c r="K34" s="2"/>
      <c r="L34" s="2"/>
      <c r="M34" s="2"/>
      <c r="N34" s="2"/>
      <c r="O34" s="674" t="s">
        <v>7028</v>
      </c>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674" t="s">
        <v>7037</v>
      </c>
      <c r="AZ34" s="2"/>
      <c r="BA34" s="2"/>
      <c r="BB34" s="2"/>
      <c r="BC34" s="2"/>
      <c r="BD34" s="2"/>
      <c r="BE34" s="2"/>
      <c r="BF34" s="2"/>
      <c r="BG34" s="2"/>
      <c r="BH34" s="2"/>
      <c r="BI34" s="2"/>
      <c r="BJ34" s="2"/>
      <c r="BK34" s="674" t="s">
        <v>7044</v>
      </c>
      <c r="BL34" s="2"/>
      <c r="BM34" s="2"/>
      <c r="BN34" s="2"/>
      <c r="BO34" s="2"/>
      <c r="BP34" s="2"/>
      <c r="BQ34" s="2"/>
      <c r="BR34" s="2"/>
      <c r="BS34" s="2"/>
      <c r="BT34" s="2"/>
      <c r="BU34" s="2"/>
      <c r="BV34" s="674" t="s">
        <v>7050</v>
      </c>
      <c r="BW34" s="2"/>
      <c r="BX34" s="2"/>
      <c r="BY34" s="2"/>
      <c r="BZ34" s="2"/>
      <c r="CA34" s="2"/>
      <c r="CB34" s="2"/>
      <c r="CC34" s="2"/>
      <c r="CD34" s="2"/>
      <c r="CE34" s="2"/>
      <c r="CF34" s="2"/>
      <c r="CG34" s="2"/>
      <c r="CH34" s="2"/>
      <c r="CI34" s="2"/>
      <c r="CJ34" s="2"/>
      <c r="CK34" s="2"/>
      <c r="CL34" s="2"/>
      <c r="CM34" s="2"/>
      <c r="CN34" s="2"/>
      <c r="CO34" s="2"/>
      <c r="CP34" s="2"/>
      <c r="CQ34" s="2"/>
    </row>
    <row r="35" spans="1:95" ht="14.25" x14ac:dyDescent="0.2">
      <c r="A35" s="489" t="str">
        <f t="shared" si="3"/>
        <v/>
      </c>
      <c r="B35" s="2"/>
      <c r="C35" s="2"/>
      <c r="D35" s="2"/>
      <c r="E35" s="2"/>
      <c r="F35" s="2"/>
      <c r="G35" s="2"/>
      <c r="H35" s="2"/>
      <c r="I35" s="2"/>
      <c r="J35" s="2"/>
      <c r="K35" s="2"/>
      <c r="L35" s="2"/>
      <c r="M35" s="2"/>
      <c r="N35" s="2"/>
      <c r="O35" s="674" t="s">
        <v>7029</v>
      </c>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674" t="s">
        <v>7038</v>
      </c>
      <c r="AZ35" s="2"/>
      <c r="BA35" s="2"/>
      <c r="BB35" s="2"/>
      <c r="BC35" s="2"/>
      <c r="BD35" s="2"/>
      <c r="BE35" s="2"/>
      <c r="BF35" s="2"/>
      <c r="BG35" s="2"/>
      <c r="BH35" s="2"/>
      <c r="BI35" s="2"/>
      <c r="BJ35" s="2"/>
      <c r="BK35" s="674" t="s">
        <v>7045</v>
      </c>
      <c r="BL35" s="2"/>
      <c r="BM35" s="2"/>
      <c r="BN35" s="2"/>
      <c r="BO35" s="2"/>
      <c r="BP35" s="2"/>
      <c r="BQ35" s="2"/>
      <c r="BR35" s="2"/>
      <c r="BS35" s="2"/>
      <c r="BT35" s="2"/>
      <c r="BU35" s="2"/>
      <c r="BV35" s="674" t="s">
        <v>7051</v>
      </c>
      <c r="BW35" s="2"/>
      <c r="BX35" s="2"/>
      <c r="BY35" s="2"/>
      <c r="BZ35" s="2"/>
      <c r="CA35" s="2"/>
      <c r="CB35" s="2"/>
      <c r="CC35" s="2"/>
      <c r="CD35" s="2"/>
      <c r="CE35" s="2"/>
      <c r="CF35" s="2"/>
      <c r="CG35" s="2"/>
      <c r="CH35" s="2"/>
      <c r="CI35" s="2"/>
      <c r="CJ35" s="2"/>
      <c r="CK35" s="2"/>
      <c r="CL35" s="2"/>
      <c r="CM35" s="2"/>
      <c r="CN35" s="2"/>
      <c r="CO35" s="2"/>
      <c r="CP35" s="2"/>
      <c r="CQ35" s="2"/>
    </row>
    <row r="36" spans="1:95" ht="14.25" x14ac:dyDescent="0.2">
      <c r="A36" s="489" t="str">
        <f t="shared" si="3"/>
        <v/>
      </c>
      <c r="B36" s="2"/>
      <c r="C36" s="2"/>
      <c r="D36" s="2"/>
      <c r="E36" s="2"/>
      <c r="F36" s="2"/>
      <c r="G36" s="2"/>
      <c r="H36" s="2"/>
      <c r="I36" s="2"/>
      <c r="J36" s="2"/>
      <c r="K36" s="2"/>
      <c r="L36" s="2"/>
      <c r="M36" s="2"/>
      <c r="N36" s="2"/>
      <c r="O36" s="674" t="s">
        <v>7030</v>
      </c>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674" t="s">
        <v>7039</v>
      </c>
      <c r="AZ36" s="2"/>
      <c r="BA36" s="2"/>
      <c r="BB36" s="2"/>
      <c r="BC36" s="2"/>
      <c r="BD36" s="2"/>
      <c r="BE36" s="2"/>
      <c r="BF36" s="2"/>
      <c r="BG36" s="2"/>
      <c r="BH36" s="2"/>
      <c r="BI36" s="2"/>
      <c r="BJ36" s="2"/>
      <c r="BK36" s="674" t="s">
        <v>7046</v>
      </c>
      <c r="BL36" s="2"/>
      <c r="BM36" s="2"/>
      <c r="BN36" s="2"/>
      <c r="BO36" s="2"/>
      <c r="BP36" s="2"/>
      <c r="BQ36" s="2"/>
      <c r="BR36" s="2"/>
      <c r="BS36" s="2"/>
      <c r="BT36" s="2"/>
      <c r="BU36" s="2"/>
      <c r="BV36" s="674" t="s">
        <v>7052</v>
      </c>
      <c r="BW36" s="2"/>
      <c r="BX36" s="2"/>
      <c r="BY36" s="2"/>
      <c r="BZ36" s="2"/>
      <c r="CA36" s="2"/>
      <c r="CB36" s="2"/>
      <c r="CC36" s="2"/>
      <c r="CD36" s="2"/>
      <c r="CE36" s="2"/>
      <c r="CF36" s="2"/>
      <c r="CG36" s="2"/>
      <c r="CH36" s="2"/>
      <c r="CI36" s="2"/>
      <c r="CJ36" s="2"/>
      <c r="CK36" s="2"/>
      <c r="CL36" s="2"/>
      <c r="CM36" s="2"/>
      <c r="CN36" s="2"/>
      <c r="CO36" s="2"/>
      <c r="CP36" s="2"/>
      <c r="CQ36" s="2"/>
    </row>
    <row r="37" spans="1:95" ht="14.25" x14ac:dyDescent="0.2">
      <c r="A37" s="489" t="str">
        <f t="shared" si="3"/>
        <v/>
      </c>
      <c r="B37" s="2"/>
      <c r="C37" s="2"/>
      <c r="D37" s="673"/>
      <c r="E37" s="2"/>
      <c r="F37" s="2"/>
      <c r="G37" s="2"/>
      <c r="H37" s="2"/>
      <c r="I37" s="2"/>
      <c r="J37" s="2"/>
      <c r="K37" s="2"/>
      <c r="L37" s="2"/>
      <c r="M37" s="2"/>
      <c r="N37" s="2"/>
      <c r="O37" s="674" t="s">
        <v>7031</v>
      </c>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674"/>
      <c r="AZ37" s="2"/>
      <c r="BA37" s="2"/>
      <c r="BB37" s="2"/>
      <c r="BC37" s="2"/>
      <c r="BD37" s="2"/>
      <c r="BE37" s="2"/>
      <c r="BF37" s="2"/>
      <c r="BG37" s="2"/>
      <c r="BH37" s="2"/>
      <c r="BI37" s="2"/>
      <c r="BJ37" s="2"/>
      <c r="BK37" s="674"/>
      <c r="BL37" s="2"/>
      <c r="BM37" s="2"/>
      <c r="BN37" s="2"/>
      <c r="BO37" s="2"/>
      <c r="BP37" s="2"/>
      <c r="BQ37" s="2"/>
      <c r="BR37" s="2"/>
      <c r="BS37" s="2"/>
      <c r="BT37" s="2"/>
      <c r="BU37" s="2"/>
      <c r="BV37" s="674" t="s">
        <v>7053</v>
      </c>
      <c r="BW37" s="2"/>
      <c r="BX37" s="2"/>
      <c r="BY37" s="2"/>
      <c r="BZ37" s="2"/>
      <c r="CA37" s="2"/>
      <c r="CB37" s="2"/>
      <c r="CC37" s="2"/>
      <c r="CD37" s="2"/>
      <c r="CE37" s="2"/>
      <c r="CF37" s="2"/>
      <c r="CG37" s="2"/>
      <c r="CH37" s="2"/>
      <c r="CI37" s="2"/>
      <c r="CJ37" s="2"/>
      <c r="CK37" s="2"/>
      <c r="CL37" s="2"/>
      <c r="CM37" s="2"/>
      <c r="CN37" s="2"/>
      <c r="CO37" s="2"/>
      <c r="CP37" s="2"/>
      <c r="CQ37" s="2"/>
    </row>
    <row r="38" spans="1:95" ht="15" x14ac:dyDescent="0.25">
      <c r="A38" s="489" t="str">
        <f t="shared" si="3"/>
        <v/>
      </c>
      <c r="B38" s="2"/>
      <c r="C38" s="2"/>
      <c r="D38" s="2"/>
      <c r="E38" s="2"/>
      <c r="F38" s="2"/>
      <c r="G38" s="2"/>
      <c r="H38" s="2"/>
      <c r="I38" s="2"/>
      <c r="J38" s="2"/>
      <c r="K38" s="2"/>
      <c r="L38" s="2"/>
      <c r="M38" s="2"/>
      <c r="N38" s="2"/>
      <c r="O38" s="674" t="s">
        <v>7032</v>
      </c>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675" t="s">
        <v>7040</v>
      </c>
      <c r="AZ38" s="2"/>
      <c r="BA38" s="2"/>
      <c r="BB38" s="2"/>
      <c r="BC38" s="2"/>
      <c r="BD38" s="2"/>
      <c r="BE38" s="2"/>
      <c r="BF38" s="2"/>
      <c r="BG38" s="2"/>
      <c r="BH38" s="2"/>
      <c r="BI38" s="2"/>
      <c r="BJ38" s="2"/>
      <c r="BK38" s="675" t="s">
        <v>7047</v>
      </c>
      <c r="BL38" s="2"/>
      <c r="BM38" s="2"/>
      <c r="BN38" s="2"/>
      <c r="BO38" s="2"/>
      <c r="BP38" s="2"/>
      <c r="BQ38" s="2"/>
      <c r="BR38" s="2"/>
      <c r="BS38" s="2"/>
      <c r="BT38" s="2"/>
      <c r="BU38" s="2"/>
      <c r="BV38" s="674"/>
      <c r="BW38" s="2"/>
      <c r="BX38" s="2"/>
      <c r="BY38" s="2"/>
      <c r="BZ38" s="2"/>
      <c r="CA38" s="2"/>
      <c r="CB38" s="2"/>
      <c r="CC38" s="2"/>
      <c r="CD38" s="2"/>
      <c r="CE38" s="2"/>
      <c r="CF38" s="2"/>
      <c r="CG38" s="2"/>
      <c r="CH38" s="2"/>
      <c r="CI38" s="2"/>
      <c r="CJ38" s="2"/>
      <c r="CK38" s="2"/>
      <c r="CL38" s="2"/>
      <c r="CM38" s="2"/>
      <c r="CN38" s="2"/>
      <c r="CO38" s="2"/>
      <c r="CP38" s="2"/>
      <c r="CQ38" s="2"/>
    </row>
    <row r="39" spans="1:95" ht="15" x14ac:dyDescent="0.25">
      <c r="A39" s="489" t="str">
        <f t="shared" si="3"/>
        <v/>
      </c>
      <c r="B39" s="2"/>
      <c r="C39" s="2"/>
      <c r="D39" s="2"/>
      <c r="E39" s="2"/>
      <c r="F39" s="2"/>
      <c r="G39" s="2"/>
      <c r="H39" s="2"/>
      <c r="I39" s="2"/>
      <c r="J39" s="2"/>
      <c r="K39" s="2"/>
      <c r="L39" s="2"/>
      <c r="M39" s="2"/>
      <c r="N39" s="2"/>
      <c r="O39" s="674"/>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675" t="s">
        <v>7054</v>
      </c>
      <c r="BW39" s="2"/>
      <c r="BX39" s="2"/>
      <c r="BY39" s="2"/>
      <c r="BZ39" s="2"/>
      <c r="CA39" s="2"/>
      <c r="CB39" s="2"/>
      <c r="CC39" s="2"/>
      <c r="CD39" s="2"/>
      <c r="CE39" s="2"/>
      <c r="CF39" s="2"/>
      <c r="CG39" s="2"/>
      <c r="CH39" s="2"/>
      <c r="CI39" s="2"/>
      <c r="CJ39" s="2"/>
      <c r="CK39" s="2"/>
      <c r="CL39" s="2"/>
      <c r="CM39" s="2"/>
      <c r="CN39" s="2"/>
      <c r="CO39" s="2"/>
      <c r="CP39" s="2"/>
      <c r="CQ39" s="2"/>
    </row>
    <row r="40" spans="1:95" ht="15" x14ac:dyDescent="0.25">
      <c r="A40" s="489" t="str">
        <f t="shared" si="3"/>
        <v/>
      </c>
      <c r="B40" s="2"/>
      <c r="C40" s="2"/>
      <c r="D40" s="2"/>
      <c r="E40" s="2"/>
      <c r="F40" s="2"/>
      <c r="G40" s="2"/>
      <c r="H40" s="2"/>
      <c r="I40" s="2"/>
      <c r="J40" s="2"/>
      <c r="K40" s="2"/>
      <c r="L40" s="2"/>
      <c r="M40" s="2"/>
      <c r="N40" s="2"/>
      <c r="O40" s="675" t="s">
        <v>7033</v>
      </c>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row>
    <row r="41" spans="1:95" x14ac:dyDescent="0.2">
      <c r="A41" s="489" t="str">
        <f t="shared" si="3"/>
        <v/>
      </c>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row>
    <row r="42" spans="1:95" x14ac:dyDescent="0.2">
      <c r="A42" s="489" t="str">
        <f t="shared" si="3"/>
        <v/>
      </c>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row>
    <row r="43" spans="1:95" x14ac:dyDescent="0.2">
      <c r="A43" s="489" t="str">
        <f t="shared" si="3"/>
        <v/>
      </c>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row>
    <row r="44" spans="1:95" x14ac:dyDescent="0.2">
      <c r="A44" s="489" t="str">
        <f t="shared" si="3"/>
        <v/>
      </c>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row>
    <row r="45" spans="1:95" x14ac:dyDescent="0.2">
      <c r="A45" s="489" t="str">
        <f t="shared" si="3"/>
        <v/>
      </c>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row>
    <row r="46" spans="1:95" x14ac:dyDescent="0.2">
      <c r="A46" s="489" t="str">
        <f t="shared" si="3"/>
        <v/>
      </c>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row>
    <row r="47" spans="1:95" x14ac:dyDescent="0.2">
      <c r="A47" s="489" t="str">
        <f t="shared" si="3"/>
        <v/>
      </c>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row>
    <row r="48" spans="1:95" x14ac:dyDescent="0.2">
      <c r="A48" s="489" t="str">
        <f t="shared" si="3"/>
        <v/>
      </c>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row>
    <row r="49" spans="1:95" x14ac:dyDescent="0.2">
      <c r="A49" s="489" t="str">
        <f t="shared" si="3"/>
        <v/>
      </c>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row>
    <row r="50" spans="1:95" x14ac:dyDescent="0.2">
      <c r="A50" s="489" t="str">
        <f t="shared" si="3"/>
        <v/>
      </c>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row>
    <row r="51" spans="1:95" x14ac:dyDescent="0.2">
      <c r="A51" s="489" t="str">
        <f t="shared" si="3"/>
        <v/>
      </c>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row>
    <row r="52" spans="1:95" x14ac:dyDescent="0.2">
      <c r="A52" s="489" t="str">
        <f t="shared" si="3"/>
        <v/>
      </c>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row>
    <row r="53" spans="1:95" x14ac:dyDescent="0.2">
      <c r="A53" s="489" t="str">
        <f t="shared" si="3"/>
        <v/>
      </c>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row>
    <row r="54" spans="1:95" x14ac:dyDescent="0.2">
      <c r="A54" s="489" t="str">
        <f t="shared" si="3"/>
        <v/>
      </c>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row>
    <row r="55" spans="1:95" x14ac:dyDescent="0.2">
      <c r="A55" s="489" t="str">
        <f t="shared" si="3"/>
        <v/>
      </c>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row>
    <row r="56" spans="1:95" x14ac:dyDescent="0.2">
      <c r="A56" s="489" t="str">
        <f t="shared" si="3"/>
        <v/>
      </c>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row>
    <row r="57" spans="1:95" x14ac:dyDescent="0.2">
      <c r="A57" s="489" t="str">
        <f t="shared" si="3"/>
        <v/>
      </c>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row>
    <row r="58" spans="1:95" x14ac:dyDescent="0.2">
      <c r="A58" s="489" t="str">
        <f t="shared" si="3"/>
        <v/>
      </c>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row>
    <row r="59" spans="1:95" x14ac:dyDescent="0.2">
      <c r="A59" s="489" t="str">
        <f t="shared" si="3"/>
        <v/>
      </c>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row>
    <row r="60" spans="1:95" x14ac:dyDescent="0.2">
      <c r="A60" s="489" t="str">
        <f t="shared" si="3"/>
        <v/>
      </c>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row>
    <row r="61" spans="1:95" x14ac:dyDescent="0.2">
      <c r="A61" s="489" t="str">
        <f t="shared" si="3"/>
        <v/>
      </c>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row>
    <row r="62" spans="1:95" x14ac:dyDescent="0.2">
      <c r="A62" s="489" t="str">
        <f t="shared" si="3"/>
        <v/>
      </c>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row>
    <row r="63" spans="1:95" x14ac:dyDescent="0.2">
      <c r="A63" s="489" t="str">
        <f t="shared" si="3"/>
        <v/>
      </c>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row>
    <row r="64" spans="1:95" x14ac:dyDescent="0.2">
      <c r="A64" s="489" t="str">
        <f t="shared" si="3"/>
        <v/>
      </c>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row>
    <row r="65" spans="1:95" x14ac:dyDescent="0.2">
      <c r="A65" s="489" t="str">
        <f t="shared" si="3"/>
        <v/>
      </c>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row>
    <row r="66" spans="1:95" x14ac:dyDescent="0.2">
      <c r="A66" s="489" t="str">
        <f t="shared" si="3"/>
        <v/>
      </c>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row>
    <row r="67" spans="1:95" x14ac:dyDescent="0.2">
      <c r="A67" s="489" t="str">
        <f t="shared" si="3"/>
        <v/>
      </c>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row>
    <row r="68" spans="1:95" x14ac:dyDescent="0.2">
      <c r="A68" s="489" t="str">
        <f t="shared" ref="A68:A102" si="18">IF(B68="","",A67+1)</f>
        <v/>
      </c>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row>
    <row r="69" spans="1:95" x14ac:dyDescent="0.2">
      <c r="A69" s="489" t="str">
        <f t="shared" si="18"/>
        <v/>
      </c>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row>
    <row r="70" spans="1:95" x14ac:dyDescent="0.2">
      <c r="A70" s="489" t="str">
        <f t="shared" si="18"/>
        <v/>
      </c>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row>
    <row r="71" spans="1:95" x14ac:dyDescent="0.2">
      <c r="A71" s="489" t="str">
        <f t="shared" si="18"/>
        <v/>
      </c>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row>
    <row r="72" spans="1:95" x14ac:dyDescent="0.2">
      <c r="A72" s="489" t="str">
        <f t="shared" si="18"/>
        <v/>
      </c>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row>
    <row r="73" spans="1:95" x14ac:dyDescent="0.2">
      <c r="A73" s="489" t="str">
        <f t="shared" si="18"/>
        <v/>
      </c>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row>
    <row r="74" spans="1:95" x14ac:dyDescent="0.2">
      <c r="A74" s="489" t="str">
        <f t="shared" si="18"/>
        <v/>
      </c>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row>
    <row r="75" spans="1:95" x14ac:dyDescent="0.2">
      <c r="A75" s="489" t="str">
        <f t="shared" si="18"/>
        <v/>
      </c>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row>
    <row r="76" spans="1:95" x14ac:dyDescent="0.2">
      <c r="A76" s="489" t="str">
        <f t="shared" si="18"/>
        <v/>
      </c>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row>
    <row r="77" spans="1:95" x14ac:dyDescent="0.2">
      <c r="A77" s="489" t="str">
        <f t="shared" si="18"/>
        <v/>
      </c>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row>
    <row r="78" spans="1:95" x14ac:dyDescent="0.2">
      <c r="A78" s="489" t="str">
        <f t="shared" si="18"/>
        <v/>
      </c>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row>
    <row r="79" spans="1:95" x14ac:dyDescent="0.2">
      <c r="A79" s="489" t="str">
        <f t="shared" si="18"/>
        <v/>
      </c>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row>
    <row r="80" spans="1:95" x14ac:dyDescent="0.2">
      <c r="A80" s="489" t="str">
        <f t="shared" si="18"/>
        <v/>
      </c>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row>
    <row r="81" spans="1:95" x14ac:dyDescent="0.2">
      <c r="A81" s="489" t="str">
        <f t="shared" si="18"/>
        <v/>
      </c>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row>
    <row r="82" spans="1:95" x14ac:dyDescent="0.2">
      <c r="A82" s="489" t="str">
        <f t="shared" si="18"/>
        <v/>
      </c>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row>
    <row r="83" spans="1:95" x14ac:dyDescent="0.2">
      <c r="A83" s="489" t="str">
        <f t="shared" si="18"/>
        <v/>
      </c>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row>
    <row r="84" spans="1:95" x14ac:dyDescent="0.2">
      <c r="A84" s="489" t="str">
        <f t="shared" si="18"/>
        <v/>
      </c>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row>
    <row r="85" spans="1:95" x14ac:dyDescent="0.2">
      <c r="A85" s="489" t="str">
        <f t="shared" si="18"/>
        <v/>
      </c>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row>
    <row r="86" spans="1:95" x14ac:dyDescent="0.2">
      <c r="A86" s="489" t="str">
        <f t="shared" si="18"/>
        <v/>
      </c>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row>
    <row r="87" spans="1:95" x14ac:dyDescent="0.2">
      <c r="A87" s="489" t="str">
        <f t="shared" si="18"/>
        <v/>
      </c>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row>
    <row r="88" spans="1:95" x14ac:dyDescent="0.2">
      <c r="A88" s="489" t="str">
        <f t="shared" si="18"/>
        <v/>
      </c>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row>
    <row r="89" spans="1:95" x14ac:dyDescent="0.2">
      <c r="A89" s="489" t="str">
        <f t="shared" si="18"/>
        <v/>
      </c>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row>
    <row r="90" spans="1:95" x14ac:dyDescent="0.2">
      <c r="A90" s="489" t="str">
        <f t="shared" si="18"/>
        <v/>
      </c>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row>
    <row r="91" spans="1:95" x14ac:dyDescent="0.2">
      <c r="A91" s="489" t="str">
        <f t="shared" si="18"/>
        <v/>
      </c>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row>
    <row r="92" spans="1:95" x14ac:dyDescent="0.2">
      <c r="A92" s="489" t="str">
        <f t="shared" si="18"/>
        <v/>
      </c>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row>
    <row r="93" spans="1:95" x14ac:dyDescent="0.2">
      <c r="A93" s="489" t="str">
        <f t="shared" si="18"/>
        <v/>
      </c>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row>
    <row r="94" spans="1:95" x14ac:dyDescent="0.2">
      <c r="A94" s="489" t="str">
        <f t="shared" si="18"/>
        <v/>
      </c>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row>
    <row r="95" spans="1:95" x14ac:dyDescent="0.2">
      <c r="A95" s="489" t="str">
        <f t="shared" si="18"/>
        <v/>
      </c>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row>
    <row r="96" spans="1:95" x14ac:dyDescent="0.2">
      <c r="A96" s="489" t="str">
        <f t="shared" si="18"/>
        <v/>
      </c>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row>
    <row r="97" spans="1:95" x14ac:dyDescent="0.2">
      <c r="A97" s="489" t="str">
        <f t="shared" si="18"/>
        <v/>
      </c>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row>
    <row r="98" spans="1:95" x14ac:dyDescent="0.2">
      <c r="A98" s="489" t="str">
        <f t="shared" si="18"/>
        <v/>
      </c>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row>
    <row r="99" spans="1:95" x14ac:dyDescent="0.2">
      <c r="A99" s="489" t="str">
        <f t="shared" si="18"/>
        <v/>
      </c>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row>
    <row r="100" spans="1:95" x14ac:dyDescent="0.2">
      <c r="A100" s="489" t="str">
        <f t="shared" si="18"/>
        <v/>
      </c>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row>
    <row r="101" spans="1:95" x14ac:dyDescent="0.2">
      <c r="A101" s="489" t="str">
        <f t="shared" si="18"/>
        <v/>
      </c>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row>
    <row r="102" spans="1:95" x14ac:dyDescent="0.2">
      <c r="A102" s="489" t="str">
        <f t="shared" si="18"/>
        <v/>
      </c>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row>
    <row r="103" spans="1:95" x14ac:dyDescent="0.2">
      <c r="A103" s="676"/>
      <c r="B103" s="676"/>
      <c r="C103" s="676"/>
      <c r="D103" s="676"/>
      <c r="E103" s="676"/>
      <c r="F103" s="676"/>
      <c r="G103" s="676"/>
      <c r="H103" s="676"/>
      <c r="I103" s="676"/>
      <c r="J103" s="676"/>
      <c r="K103" s="676"/>
      <c r="L103" s="676"/>
      <c r="M103" s="676"/>
      <c r="N103" s="676"/>
      <c r="O103" s="676"/>
      <c r="P103" s="676"/>
      <c r="Q103" s="676"/>
      <c r="R103" s="676"/>
      <c r="S103" s="676"/>
      <c r="T103" s="676"/>
      <c r="U103" s="676"/>
      <c r="V103" s="676"/>
      <c r="W103" s="676"/>
      <c r="X103" s="676"/>
      <c r="Y103" s="676"/>
      <c r="Z103" s="676"/>
      <c r="AA103" s="676"/>
      <c r="AB103" s="676"/>
      <c r="AC103" s="676"/>
      <c r="AD103" s="676"/>
      <c r="AE103" s="676"/>
      <c r="AF103" s="676"/>
      <c r="AG103" s="676"/>
      <c r="AH103" s="676"/>
      <c r="AI103" s="676"/>
      <c r="AJ103" s="676"/>
      <c r="AK103" s="676"/>
      <c r="AL103" s="676"/>
      <c r="AM103" s="676"/>
      <c r="AN103" s="676"/>
      <c r="AO103" s="676"/>
      <c r="AP103" s="676"/>
      <c r="AQ103" s="676"/>
      <c r="AR103" s="676"/>
      <c r="AS103" s="676"/>
      <c r="AT103" s="676"/>
      <c r="AU103" s="676"/>
      <c r="AV103" s="676"/>
      <c r="AW103" s="676"/>
      <c r="AX103" s="676"/>
      <c r="AY103" s="676"/>
      <c r="AZ103" s="676"/>
      <c r="BA103" s="676"/>
      <c r="BB103" s="676"/>
      <c r="BC103" s="676"/>
      <c r="BD103" s="676"/>
      <c r="BE103" s="676"/>
      <c r="BF103" s="676"/>
      <c r="BG103" s="676"/>
      <c r="BH103" s="676"/>
      <c r="BI103" s="676"/>
      <c r="BJ103" s="676"/>
      <c r="BK103" s="676"/>
      <c r="BL103" s="676"/>
      <c r="BM103" s="676"/>
      <c r="BN103" s="676"/>
      <c r="BO103" s="676"/>
      <c r="BP103" s="676"/>
      <c r="BQ103" s="676"/>
      <c r="BR103" s="676"/>
      <c r="BS103" s="676"/>
      <c r="BT103" s="676"/>
      <c r="BU103" s="676"/>
      <c r="BV103" s="676"/>
      <c r="BW103" s="676"/>
      <c r="BX103" s="676"/>
      <c r="BY103" s="676"/>
      <c r="BZ103" s="676"/>
      <c r="CA103" s="676"/>
      <c r="CB103" s="676"/>
      <c r="CC103" s="676"/>
      <c r="CD103" s="676"/>
      <c r="CE103" s="676"/>
      <c r="CF103" s="676"/>
      <c r="CG103" s="676"/>
      <c r="CH103" s="676"/>
      <c r="CI103" s="676"/>
      <c r="CJ103" s="676"/>
      <c r="CK103" s="676"/>
      <c r="CL103" s="676"/>
      <c r="CM103" s="676"/>
      <c r="CN103" s="676"/>
      <c r="CO103" s="676"/>
      <c r="CP103" s="676"/>
      <c r="CQ103" s="676"/>
    </row>
    <row r="104" spans="1:95" x14ac:dyDescent="0.2">
      <c r="A104" s="676"/>
      <c r="B104" s="676"/>
      <c r="C104" s="676"/>
      <c r="D104" s="676"/>
      <c r="E104" s="676"/>
      <c r="F104" s="676"/>
      <c r="G104" s="676"/>
      <c r="H104" s="676"/>
      <c r="I104" s="676"/>
      <c r="J104" s="676"/>
      <c r="K104" s="676"/>
      <c r="L104" s="676"/>
      <c r="M104" s="676"/>
      <c r="N104" s="676"/>
      <c r="O104" s="676"/>
      <c r="P104" s="676"/>
      <c r="Q104" s="676"/>
      <c r="R104" s="676"/>
      <c r="S104" s="676"/>
      <c r="T104" s="676"/>
      <c r="U104" s="676"/>
      <c r="V104" s="676"/>
      <c r="W104" s="676"/>
      <c r="X104" s="676"/>
      <c r="Y104" s="676"/>
      <c r="Z104" s="676"/>
      <c r="AA104" s="676"/>
      <c r="AB104" s="676"/>
      <c r="AC104" s="676"/>
      <c r="AD104" s="676"/>
      <c r="AE104" s="676"/>
      <c r="AF104" s="676"/>
      <c r="AG104" s="676"/>
      <c r="AH104" s="676"/>
      <c r="AI104" s="676"/>
      <c r="AJ104" s="676"/>
      <c r="AK104" s="676"/>
      <c r="AL104" s="676"/>
      <c r="AM104" s="676"/>
      <c r="AN104" s="676"/>
      <c r="AO104" s="676"/>
      <c r="AP104" s="676"/>
      <c r="AQ104" s="676"/>
      <c r="AR104" s="676"/>
      <c r="AS104" s="676"/>
      <c r="AT104" s="676"/>
      <c r="AU104" s="676"/>
      <c r="AV104" s="676"/>
      <c r="AW104" s="676"/>
      <c r="AX104" s="676"/>
      <c r="AY104" s="676"/>
      <c r="AZ104" s="676"/>
      <c r="BA104" s="676"/>
      <c r="BB104" s="676"/>
      <c r="BC104" s="676"/>
      <c r="BD104" s="676"/>
      <c r="BE104" s="676"/>
      <c r="BF104" s="676"/>
      <c r="BG104" s="676"/>
      <c r="BH104" s="676"/>
      <c r="BI104" s="676"/>
      <c r="BJ104" s="676"/>
      <c r="BK104" s="676"/>
      <c r="BL104" s="676"/>
      <c r="BM104" s="676"/>
      <c r="BN104" s="676"/>
      <c r="BO104" s="676"/>
      <c r="BP104" s="676"/>
      <c r="BQ104" s="676"/>
      <c r="BR104" s="676"/>
      <c r="BS104" s="676"/>
      <c r="BT104" s="676"/>
      <c r="BU104" s="676"/>
      <c r="BV104" s="676"/>
      <c r="BW104" s="676"/>
      <c r="BX104" s="676"/>
      <c r="BY104" s="676"/>
      <c r="BZ104" s="676"/>
      <c r="CA104" s="676"/>
      <c r="CB104" s="676"/>
      <c r="CC104" s="676"/>
      <c r="CD104" s="676"/>
      <c r="CE104" s="676"/>
      <c r="CF104" s="676"/>
      <c r="CG104" s="676"/>
      <c r="CH104" s="676"/>
      <c r="CI104" s="676"/>
      <c r="CJ104" s="676"/>
      <c r="CK104" s="676"/>
      <c r="CL104" s="676"/>
      <c r="CM104" s="676"/>
      <c r="CN104" s="676"/>
      <c r="CO104" s="676"/>
      <c r="CP104" s="676"/>
      <c r="CQ104" s="676"/>
    </row>
  </sheetData>
  <hyperlinks>
    <hyperlink ref="O40" r:id="rId1" location="ixzz3ZCzRBtmj" display="http://www.enworld.org/forum/5ebackgrounds/showentry.php?e=40&amp;catid=1 - ixzz3ZCzRBtmj" xr:uid="{00000000-0004-0000-1800-000000000000}"/>
    <hyperlink ref="AY38" r:id="rId2" location="ixzz3ZCzWPK2d" display="http://www.enworld.org/forum/5ebackgrounds/showentry.php?e=40&amp;catid=1 - ixzz3ZCzWPK2d" xr:uid="{00000000-0004-0000-1800-000001000000}"/>
    <hyperlink ref="BK38" r:id="rId3" location="ixzz3ZCzZlqXy" display="http://www.enworld.org/forum/5ebackgrounds/showentry.php?e=40&amp;catid=1 - ixzz3ZCzZlqXy" xr:uid="{00000000-0004-0000-1800-000002000000}"/>
    <hyperlink ref="BV39" r:id="rId4" location="ixzz3ZCzhQv9i" display="http://www.enworld.org/forum/5ebackgrounds/showentry.php?e=40&amp;catid=1 - ixzz3ZCzhQv9i" xr:uid="{00000000-0004-0000-1800-000003000000}"/>
  </hyperlinks>
  <pageMargins left="0.7" right="0.7" top="0.75" bottom="0.75" header="0.3" footer="0.3"/>
  <pageSetup paperSize="9" orientation="portrait"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6">
    <tabColor theme="7" tint="0.39997558519241921"/>
  </sheetPr>
  <dimension ref="A1:BY45"/>
  <sheetViews>
    <sheetView topLeftCell="Q1" zoomScale="70" zoomScaleNormal="70" workbookViewId="0">
      <selection activeCell="Z3" sqref="Z3:AA44"/>
    </sheetView>
  </sheetViews>
  <sheetFormatPr defaultRowHeight="15" x14ac:dyDescent="0.25"/>
  <cols>
    <col min="3" max="3" width="11.85546875" customWidth="1"/>
    <col min="22" max="22" width="14.28515625" bestFit="1" customWidth="1"/>
    <col min="23" max="23" width="17.140625" bestFit="1" customWidth="1"/>
    <col min="26" max="26" width="21.42578125" bestFit="1" customWidth="1"/>
  </cols>
  <sheetData>
    <row r="1" spans="1:73" ht="15.75" thickBot="1" x14ac:dyDescent="0.3">
      <c r="A1" s="457"/>
      <c r="B1" s="657" t="s">
        <v>6100</v>
      </c>
      <c r="C1" s="657" t="s">
        <v>6101</v>
      </c>
      <c r="D1" s="657" t="s">
        <v>616</v>
      </c>
      <c r="E1" s="657" t="s">
        <v>1109</v>
      </c>
      <c r="F1" s="657" t="s">
        <v>617</v>
      </c>
      <c r="G1" s="657" t="s">
        <v>618</v>
      </c>
      <c r="H1" s="657" t="s">
        <v>619</v>
      </c>
      <c r="I1" s="657" t="s">
        <v>620</v>
      </c>
      <c r="J1" s="657" t="s">
        <v>1110</v>
      </c>
      <c r="K1" s="657" t="s">
        <v>621</v>
      </c>
      <c r="L1" s="657" t="s">
        <v>622</v>
      </c>
      <c r="M1" s="657" t="s">
        <v>623</v>
      </c>
      <c r="N1" s="657" t="s">
        <v>624</v>
      </c>
      <c r="O1" s="657" t="s">
        <v>625</v>
      </c>
      <c r="P1" s="657" t="s">
        <v>4699</v>
      </c>
      <c r="Q1" s="657" t="s">
        <v>4686</v>
      </c>
      <c r="R1" s="657" t="s">
        <v>5239</v>
      </c>
      <c r="V1" t="s">
        <v>5981</v>
      </c>
    </row>
    <row r="2" spans="1:73" x14ac:dyDescent="0.25">
      <c r="A2" s="8">
        <f>IF(B2="","",1)</f>
        <v>1</v>
      </c>
      <c r="B2" s="463" t="s">
        <v>607</v>
      </c>
      <c r="C2" s="463" t="s">
        <v>4</v>
      </c>
      <c r="D2" s="460"/>
      <c r="E2" s="460">
        <v>1</v>
      </c>
      <c r="F2" s="460"/>
      <c r="G2" s="460"/>
      <c r="H2" s="460">
        <v>1</v>
      </c>
      <c r="I2" s="460">
        <v>1</v>
      </c>
      <c r="J2" s="460"/>
      <c r="K2" s="460"/>
      <c r="L2" s="460">
        <v>1</v>
      </c>
      <c r="M2" s="460"/>
      <c r="N2" s="460"/>
      <c r="O2" s="460"/>
      <c r="P2" s="460"/>
      <c r="Q2" s="460"/>
      <c r="R2" s="460"/>
      <c r="U2" s="4"/>
      <c r="V2" s="657" t="s">
        <v>5982</v>
      </c>
      <c r="W2" s="657" t="s">
        <v>5983</v>
      </c>
      <c r="Z2" s="459"/>
      <c r="AA2" s="657" t="s">
        <v>33</v>
      </c>
      <c r="AB2" s="657" t="s">
        <v>580</v>
      </c>
      <c r="AC2" s="657" t="s">
        <v>1122</v>
      </c>
      <c r="AD2" s="657" t="s">
        <v>2974</v>
      </c>
      <c r="AE2" s="657" t="s">
        <v>3568</v>
      </c>
      <c r="AF2" s="657" t="s">
        <v>77</v>
      </c>
      <c r="AG2" s="657" t="s">
        <v>5985</v>
      </c>
      <c r="AH2" s="657" t="s">
        <v>620</v>
      </c>
      <c r="AI2" s="657" t="s">
        <v>186</v>
      </c>
      <c r="AJ2" s="657" t="s">
        <v>229</v>
      </c>
      <c r="AK2" s="657" t="s">
        <v>234</v>
      </c>
      <c r="AL2" s="657" t="s">
        <v>244</v>
      </c>
      <c r="AM2" s="657" t="s">
        <v>248</v>
      </c>
      <c r="AN2" s="657" t="s">
        <v>264</v>
      </c>
      <c r="AO2" s="657" t="s">
        <v>273</v>
      </c>
      <c r="AP2" s="657" t="s">
        <v>325</v>
      </c>
      <c r="AQ2" s="657" t="s">
        <v>349</v>
      </c>
      <c r="AR2" s="657" t="s">
        <v>359</v>
      </c>
      <c r="AS2" s="657" t="s">
        <v>373</v>
      </c>
      <c r="AT2" s="657" t="s">
        <v>394</v>
      </c>
      <c r="AU2" s="657" t="s">
        <v>413</v>
      </c>
      <c r="AV2" s="657" t="s">
        <v>454</v>
      </c>
      <c r="AW2" s="657" t="s">
        <v>475</v>
      </c>
      <c r="AX2" s="657" t="s">
        <v>495</v>
      </c>
      <c r="AY2" s="657" t="s">
        <v>497</v>
      </c>
      <c r="AZ2" s="657" t="s">
        <v>287</v>
      </c>
      <c r="BA2" s="657" t="s">
        <v>317</v>
      </c>
      <c r="BB2" s="657" t="s">
        <v>284</v>
      </c>
      <c r="BC2" s="657" t="s">
        <v>294</v>
      </c>
      <c r="BD2" s="657" t="s">
        <v>400</v>
      </c>
      <c r="BE2" s="657" t="s">
        <v>472</v>
      </c>
      <c r="BF2" s="657" t="s">
        <v>333</v>
      </c>
      <c r="BG2" s="657" t="s">
        <v>203</v>
      </c>
      <c r="BH2" s="657" t="s">
        <v>295</v>
      </c>
      <c r="BI2" s="657" t="s">
        <v>296</v>
      </c>
      <c r="BJ2" s="657" t="s">
        <v>316</v>
      </c>
      <c r="BK2" s="657" t="s">
        <v>339</v>
      </c>
      <c r="BL2" s="657" t="s">
        <v>365</v>
      </c>
      <c r="BM2" s="657" t="s">
        <v>366</v>
      </c>
      <c r="BN2" s="657" t="s">
        <v>395</v>
      </c>
      <c r="BO2" s="657" t="s">
        <v>441</v>
      </c>
      <c r="BP2" s="657" t="s">
        <v>485</v>
      </c>
      <c r="BQ2" s="657" t="s">
        <v>387</v>
      </c>
      <c r="BR2" s="657" t="s">
        <v>401</v>
      </c>
      <c r="BS2" s="657" t="s">
        <v>76</v>
      </c>
      <c r="BT2" s="657" t="s">
        <v>81</v>
      </c>
      <c r="BU2" s="657" t="s">
        <v>3569</v>
      </c>
    </row>
    <row r="3" spans="1:73" x14ac:dyDescent="0.25">
      <c r="A3" s="8">
        <f t="shared" ref="A3:A19" si="0">IF(B3="","",A2+1)</f>
        <v>2</v>
      </c>
      <c r="B3" s="463" t="s">
        <v>79</v>
      </c>
      <c r="C3" s="463" t="s">
        <v>7</v>
      </c>
      <c r="D3" s="460">
        <v>1</v>
      </c>
      <c r="E3" s="460">
        <v>1</v>
      </c>
      <c r="F3" s="460"/>
      <c r="G3" s="460">
        <v>1</v>
      </c>
      <c r="H3" s="460">
        <v>1</v>
      </c>
      <c r="I3" s="460"/>
      <c r="J3" s="460"/>
      <c r="K3" s="460">
        <v>1</v>
      </c>
      <c r="L3" s="460"/>
      <c r="M3" s="460"/>
      <c r="N3" s="460"/>
      <c r="O3" s="460"/>
      <c r="P3" s="460"/>
      <c r="Q3" s="460">
        <v>1</v>
      </c>
      <c r="R3" s="460"/>
      <c r="U3" s="134">
        <f>IF(V3="","",1)</f>
        <v>1</v>
      </c>
      <c r="V3" s="463" t="s">
        <v>43</v>
      </c>
      <c r="W3" s="4"/>
      <c r="Z3" s="461" t="s">
        <v>186</v>
      </c>
      <c r="AA3" s="460"/>
      <c r="AB3" s="460"/>
      <c r="AC3" s="460">
        <v>1</v>
      </c>
      <c r="AD3" s="460"/>
      <c r="AE3" s="460"/>
      <c r="AF3" s="460"/>
      <c r="AG3" s="460">
        <v>1</v>
      </c>
      <c r="AH3" s="460" t="str">
        <f>AC3&amp;AD3</f>
        <v>1</v>
      </c>
      <c r="AI3" s="460">
        <v>1</v>
      </c>
      <c r="AJ3" s="460"/>
      <c r="AK3" s="460"/>
      <c r="AL3" s="460"/>
      <c r="AM3" s="460"/>
      <c r="AN3" s="460"/>
      <c r="AO3" s="460"/>
      <c r="AP3" s="460"/>
      <c r="AQ3" s="460"/>
      <c r="AR3" s="460"/>
      <c r="AS3" s="460"/>
      <c r="AT3" s="460"/>
      <c r="AU3" s="460"/>
      <c r="AV3" s="460"/>
      <c r="AW3" s="460"/>
      <c r="AX3" s="460"/>
      <c r="AY3" s="460"/>
      <c r="AZ3" s="460"/>
      <c r="BA3" s="460"/>
      <c r="BB3" s="460"/>
      <c r="BC3" s="460"/>
      <c r="BD3" s="460"/>
      <c r="BE3" s="460"/>
      <c r="BF3" s="460"/>
      <c r="BG3" s="460"/>
      <c r="BH3" s="460"/>
      <c r="BI3" s="460"/>
      <c r="BJ3" s="460"/>
      <c r="BK3" s="460"/>
      <c r="BL3" s="460"/>
      <c r="BM3" s="460"/>
      <c r="BN3" s="460"/>
      <c r="BO3" s="460"/>
      <c r="BP3" s="460"/>
      <c r="BQ3" s="460"/>
      <c r="BR3" s="460"/>
      <c r="BS3" s="460"/>
      <c r="BT3" s="460"/>
      <c r="BU3" s="460"/>
    </row>
    <row r="4" spans="1:73" x14ac:dyDescent="0.25">
      <c r="A4" s="8">
        <f t="shared" si="0"/>
        <v>3</v>
      </c>
      <c r="B4" s="463" t="s">
        <v>83</v>
      </c>
      <c r="C4" s="463" t="s">
        <v>6</v>
      </c>
      <c r="D4" s="460"/>
      <c r="E4" s="460">
        <v>1</v>
      </c>
      <c r="F4" s="460"/>
      <c r="G4" s="460">
        <v>1</v>
      </c>
      <c r="H4" s="460"/>
      <c r="I4" s="460"/>
      <c r="J4" s="460"/>
      <c r="K4" s="460"/>
      <c r="L4" s="460"/>
      <c r="M4" s="460">
        <v>1</v>
      </c>
      <c r="N4" s="460">
        <v>1</v>
      </c>
      <c r="O4" s="460">
        <v>1</v>
      </c>
      <c r="P4" s="460">
        <v>1</v>
      </c>
      <c r="Q4" s="460"/>
      <c r="R4" s="460"/>
      <c r="U4" s="134">
        <f t="shared" ref="U4:U18" si="1">IF(V4="","",U3+1)</f>
        <v>2</v>
      </c>
      <c r="V4" s="463" t="s">
        <v>54</v>
      </c>
      <c r="W4" s="4"/>
      <c r="Z4" s="461" t="s">
        <v>229</v>
      </c>
      <c r="AA4" s="460">
        <v>1</v>
      </c>
      <c r="AB4" s="460"/>
      <c r="AC4" s="460">
        <v>1</v>
      </c>
      <c r="AD4" s="460"/>
      <c r="AE4" s="460"/>
      <c r="AF4" s="460"/>
      <c r="AG4" s="460">
        <v>1</v>
      </c>
      <c r="AH4" s="460" t="str">
        <f t="shared" ref="AH4:AH41" si="2">AC4&amp;AD4</f>
        <v>1</v>
      </c>
      <c r="AI4" s="460"/>
      <c r="AJ4" s="460">
        <v>1</v>
      </c>
      <c r="AK4" s="460"/>
      <c r="AL4" s="460"/>
      <c r="AM4" s="460"/>
      <c r="AN4" s="460"/>
      <c r="AO4" s="460"/>
      <c r="AP4" s="460"/>
      <c r="AQ4" s="460"/>
      <c r="AR4" s="460"/>
      <c r="AS4" s="460"/>
      <c r="AT4" s="460"/>
      <c r="AU4" s="460"/>
      <c r="AV4" s="460"/>
      <c r="AW4" s="460"/>
      <c r="AX4" s="460"/>
      <c r="AY4" s="460"/>
      <c r="AZ4" s="460"/>
      <c r="BA4" s="460"/>
      <c r="BB4" s="460"/>
      <c r="BC4" s="460"/>
      <c r="BD4" s="460"/>
      <c r="BE4" s="460"/>
      <c r="BF4" s="460"/>
      <c r="BG4" s="460"/>
      <c r="BH4" s="460"/>
      <c r="BI4" s="460"/>
      <c r="BJ4" s="460"/>
      <c r="BK4" s="460"/>
      <c r="BL4" s="460"/>
      <c r="BM4" s="460"/>
      <c r="BN4" s="460"/>
      <c r="BO4" s="460"/>
      <c r="BP4" s="460"/>
      <c r="BQ4" s="460"/>
      <c r="BR4" s="460"/>
      <c r="BS4" s="460"/>
      <c r="BT4" s="460"/>
      <c r="BU4" s="460"/>
    </row>
    <row r="5" spans="1:73" x14ac:dyDescent="0.25">
      <c r="A5" s="8">
        <f t="shared" si="0"/>
        <v>4</v>
      </c>
      <c r="B5" s="463" t="s">
        <v>86</v>
      </c>
      <c r="C5" s="463" t="s">
        <v>3</v>
      </c>
      <c r="D5" s="460">
        <v>1</v>
      </c>
      <c r="E5" s="460">
        <v>1</v>
      </c>
      <c r="F5" s="460"/>
      <c r="G5" s="460"/>
      <c r="H5" s="460">
        <v>1</v>
      </c>
      <c r="I5" s="460">
        <v>1</v>
      </c>
      <c r="J5" s="460">
        <v>1</v>
      </c>
      <c r="K5" s="460">
        <v>1</v>
      </c>
      <c r="L5" s="460">
        <v>1</v>
      </c>
      <c r="M5" s="460"/>
      <c r="N5" s="460"/>
      <c r="O5" s="460"/>
      <c r="P5" s="460"/>
      <c r="Q5" s="460"/>
      <c r="R5" s="460"/>
      <c r="U5" s="134">
        <f t="shared" si="1"/>
        <v>3</v>
      </c>
      <c r="V5" s="463" t="s">
        <v>42</v>
      </c>
      <c r="W5" s="4"/>
      <c r="Z5" s="461" t="s">
        <v>234</v>
      </c>
      <c r="AA5" s="460"/>
      <c r="AB5" s="460"/>
      <c r="AC5" s="460">
        <v>1</v>
      </c>
      <c r="AD5" s="460"/>
      <c r="AE5" s="460"/>
      <c r="AF5" s="460"/>
      <c r="AG5" s="460">
        <v>1</v>
      </c>
      <c r="AH5" s="460" t="str">
        <f t="shared" si="2"/>
        <v>1</v>
      </c>
      <c r="AI5" s="460"/>
      <c r="AJ5" s="460"/>
      <c r="AK5" s="460">
        <v>1</v>
      </c>
      <c r="AL5" s="460"/>
      <c r="AM5" s="460"/>
      <c r="AN5" s="460"/>
      <c r="AO5" s="460"/>
      <c r="AP5" s="460"/>
      <c r="AQ5" s="460"/>
      <c r="AR5" s="460"/>
      <c r="AS5" s="460"/>
      <c r="AT5" s="460"/>
      <c r="AU5" s="460"/>
      <c r="AV5" s="460"/>
      <c r="AW5" s="460"/>
      <c r="AX5" s="460"/>
      <c r="AY5" s="460"/>
      <c r="AZ5" s="460"/>
      <c r="BA5" s="460"/>
      <c r="BB5" s="460"/>
      <c r="BC5" s="460"/>
      <c r="BD5" s="460"/>
      <c r="BE5" s="460"/>
      <c r="BF5" s="460"/>
      <c r="BG5" s="460"/>
      <c r="BH5" s="460"/>
      <c r="BI5" s="460"/>
      <c r="BJ5" s="460"/>
      <c r="BK5" s="460"/>
      <c r="BL5" s="460"/>
      <c r="BM5" s="460"/>
      <c r="BN5" s="460"/>
      <c r="BO5" s="460"/>
      <c r="BP5" s="460"/>
      <c r="BQ5" s="460"/>
      <c r="BR5" s="460"/>
      <c r="BS5" s="460"/>
      <c r="BT5" s="460"/>
      <c r="BU5" s="460"/>
    </row>
    <row r="6" spans="1:73" x14ac:dyDescent="0.25">
      <c r="A6" s="8">
        <f t="shared" si="0"/>
        <v>5</v>
      </c>
      <c r="B6" s="463" t="s">
        <v>74</v>
      </c>
      <c r="C6" s="463" t="s">
        <v>8</v>
      </c>
      <c r="D6" s="460"/>
      <c r="E6" s="460">
        <v>1</v>
      </c>
      <c r="F6" s="460"/>
      <c r="G6" s="460"/>
      <c r="H6" s="460"/>
      <c r="I6" s="460"/>
      <c r="J6" s="460"/>
      <c r="K6" s="460"/>
      <c r="L6" s="460">
        <v>1</v>
      </c>
      <c r="M6" s="460">
        <v>1</v>
      </c>
      <c r="N6" s="460">
        <v>1</v>
      </c>
      <c r="O6" s="460"/>
      <c r="P6" s="460"/>
      <c r="Q6" s="460"/>
      <c r="R6" s="460">
        <v>1</v>
      </c>
      <c r="U6" s="134">
        <f t="shared" si="1"/>
        <v>4</v>
      </c>
      <c r="V6" s="463" t="s">
        <v>1097</v>
      </c>
      <c r="W6" s="4"/>
      <c r="Z6" s="461" t="s">
        <v>244</v>
      </c>
      <c r="AA6" s="460"/>
      <c r="AB6" s="460"/>
      <c r="AC6" s="460">
        <v>1</v>
      </c>
      <c r="AD6" s="460"/>
      <c r="AE6" s="460"/>
      <c r="AF6" s="460"/>
      <c r="AG6" s="460">
        <v>1</v>
      </c>
      <c r="AH6" s="460" t="str">
        <f t="shared" si="2"/>
        <v>1</v>
      </c>
      <c r="AI6" s="460"/>
      <c r="AJ6" s="460"/>
      <c r="AK6" s="460"/>
      <c r="AL6" s="460">
        <v>1</v>
      </c>
      <c r="AM6" s="460"/>
      <c r="AN6" s="460"/>
      <c r="AO6" s="460"/>
      <c r="AP6" s="460"/>
      <c r="AQ6" s="460"/>
      <c r="AR6" s="460"/>
      <c r="AS6" s="460"/>
      <c r="AT6" s="460"/>
      <c r="AU6" s="460"/>
      <c r="AV6" s="460"/>
      <c r="AW6" s="460"/>
      <c r="AX6" s="460"/>
      <c r="AY6" s="460"/>
      <c r="AZ6" s="460"/>
      <c r="BA6" s="460"/>
      <c r="BB6" s="460"/>
      <c r="BC6" s="460"/>
      <c r="BD6" s="460"/>
      <c r="BE6" s="460"/>
      <c r="BF6" s="460"/>
      <c r="BG6" s="460"/>
      <c r="BH6" s="460"/>
      <c r="BI6" s="460"/>
      <c r="BJ6" s="460"/>
      <c r="BK6" s="460"/>
      <c r="BL6" s="460"/>
      <c r="BM6" s="460"/>
      <c r="BN6" s="460"/>
      <c r="BO6" s="460"/>
      <c r="BP6" s="460"/>
      <c r="BQ6" s="460"/>
      <c r="BR6" s="460"/>
      <c r="BS6" s="460"/>
      <c r="BT6" s="460"/>
      <c r="BU6" s="460"/>
    </row>
    <row r="7" spans="1:73" x14ac:dyDescent="0.25">
      <c r="A7" s="8">
        <f t="shared" si="0"/>
        <v>6</v>
      </c>
      <c r="B7" s="463" t="s">
        <v>84</v>
      </c>
      <c r="C7" s="463" t="s">
        <v>6</v>
      </c>
      <c r="D7" s="460"/>
      <c r="E7" s="460">
        <v>1</v>
      </c>
      <c r="F7" s="460">
        <v>1</v>
      </c>
      <c r="G7" s="460"/>
      <c r="H7" s="460">
        <v>1</v>
      </c>
      <c r="I7" s="460">
        <v>1</v>
      </c>
      <c r="J7" s="460"/>
      <c r="K7" s="460"/>
      <c r="L7" s="460"/>
      <c r="M7" s="460"/>
      <c r="N7" s="460">
        <v>1</v>
      </c>
      <c r="O7" s="460">
        <v>1</v>
      </c>
      <c r="P7" s="460">
        <v>1</v>
      </c>
      <c r="Q7" s="460"/>
      <c r="R7" s="460"/>
      <c r="U7" s="134">
        <f t="shared" si="1"/>
        <v>5</v>
      </c>
      <c r="V7" s="463" t="s">
        <v>1098</v>
      </c>
      <c r="W7" s="4"/>
      <c r="Z7" s="461" t="s">
        <v>248</v>
      </c>
      <c r="AA7" s="460"/>
      <c r="AB7" s="460"/>
      <c r="AC7" s="460">
        <v>1</v>
      </c>
      <c r="AD7" s="460"/>
      <c r="AE7" s="460"/>
      <c r="AF7" s="460"/>
      <c r="AG7" s="460">
        <v>1</v>
      </c>
      <c r="AH7" s="460" t="str">
        <f t="shared" si="2"/>
        <v>1</v>
      </c>
      <c r="AI7" s="460"/>
      <c r="AJ7" s="460"/>
      <c r="AK7" s="460"/>
      <c r="AL7" s="460"/>
      <c r="AM7" s="460">
        <v>1</v>
      </c>
      <c r="AN7" s="460"/>
      <c r="AO7" s="460"/>
      <c r="AP7" s="460"/>
      <c r="AQ7" s="460"/>
      <c r="AR7" s="460"/>
      <c r="AS7" s="460"/>
      <c r="AT7" s="460"/>
      <c r="AU7" s="460"/>
      <c r="AV7" s="460"/>
      <c r="AW7" s="460"/>
      <c r="AX7" s="460"/>
      <c r="AY7" s="460"/>
      <c r="AZ7" s="460"/>
      <c r="BA7" s="460"/>
      <c r="BB7" s="460"/>
      <c r="BC7" s="460"/>
      <c r="BD7" s="460"/>
      <c r="BE7" s="460"/>
      <c r="BF7" s="460"/>
      <c r="BG7" s="460"/>
      <c r="BH7" s="460"/>
      <c r="BI7" s="460"/>
      <c r="BJ7" s="460"/>
      <c r="BK7" s="460"/>
      <c r="BL7" s="460"/>
      <c r="BM7" s="460"/>
      <c r="BN7" s="460"/>
      <c r="BO7" s="460"/>
      <c r="BP7" s="460"/>
      <c r="BQ7" s="460"/>
      <c r="BR7" s="460"/>
      <c r="BS7" s="460"/>
      <c r="BT7" s="460"/>
      <c r="BU7" s="460"/>
    </row>
    <row r="8" spans="1:73" x14ac:dyDescent="0.25">
      <c r="A8" s="8">
        <f t="shared" si="0"/>
        <v>7</v>
      </c>
      <c r="B8" s="463" t="s">
        <v>71</v>
      </c>
      <c r="C8" s="463" t="s">
        <v>7</v>
      </c>
      <c r="D8" s="460"/>
      <c r="E8" s="460">
        <v>1</v>
      </c>
      <c r="F8" s="460">
        <v>1</v>
      </c>
      <c r="G8" s="460">
        <v>1</v>
      </c>
      <c r="H8" s="460">
        <v>1</v>
      </c>
      <c r="I8" s="460">
        <v>1</v>
      </c>
      <c r="J8" s="460">
        <v>1</v>
      </c>
      <c r="K8" s="460">
        <v>1</v>
      </c>
      <c r="L8" s="460">
        <v>1</v>
      </c>
      <c r="M8" s="460">
        <v>1</v>
      </c>
      <c r="N8" s="460"/>
      <c r="O8" s="460">
        <v>1</v>
      </c>
      <c r="P8" s="460"/>
      <c r="Q8" s="460"/>
      <c r="R8" s="460"/>
      <c r="U8" s="134">
        <f t="shared" si="1"/>
        <v>6</v>
      </c>
      <c r="V8" s="463" t="s">
        <v>1099</v>
      </c>
      <c r="W8" s="4"/>
      <c r="Z8" s="461" t="s">
        <v>264</v>
      </c>
      <c r="AA8" s="460"/>
      <c r="AB8" s="460"/>
      <c r="AC8" s="460">
        <v>1</v>
      </c>
      <c r="AD8" s="460"/>
      <c r="AE8" s="460"/>
      <c r="AF8" s="460"/>
      <c r="AG8" s="460">
        <v>1</v>
      </c>
      <c r="AH8" s="460" t="str">
        <f t="shared" si="2"/>
        <v>1</v>
      </c>
      <c r="AI8" s="460"/>
      <c r="AJ8" s="460"/>
      <c r="AK8" s="460"/>
      <c r="AL8" s="460"/>
      <c r="AM8" s="460"/>
      <c r="AN8" s="460">
        <v>1</v>
      </c>
      <c r="AO8" s="460"/>
      <c r="AP8" s="460"/>
      <c r="AQ8" s="460"/>
      <c r="AR8" s="460"/>
      <c r="AS8" s="460"/>
      <c r="AT8" s="460"/>
      <c r="AU8" s="460"/>
      <c r="AV8" s="460"/>
      <c r="AW8" s="460"/>
      <c r="AX8" s="460"/>
      <c r="AY8" s="460"/>
      <c r="AZ8" s="460"/>
      <c r="BA8" s="460"/>
      <c r="BB8" s="460"/>
      <c r="BC8" s="460"/>
      <c r="BD8" s="460"/>
      <c r="BE8" s="460"/>
      <c r="BF8" s="460"/>
      <c r="BG8" s="460"/>
      <c r="BH8" s="460"/>
      <c r="BI8" s="460"/>
      <c r="BJ8" s="460"/>
      <c r="BK8" s="460"/>
      <c r="BL8" s="460"/>
      <c r="BM8" s="460"/>
      <c r="BN8" s="460"/>
      <c r="BO8" s="460"/>
      <c r="BP8" s="460"/>
      <c r="BQ8" s="460"/>
      <c r="BR8" s="460"/>
      <c r="BS8" s="460"/>
      <c r="BT8" s="460"/>
      <c r="BU8" s="460"/>
    </row>
    <row r="9" spans="1:73" x14ac:dyDescent="0.25">
      <c r="A9" s="8">
        <f t="shared" si="0"/>
        <v>8</v>
      </c>
      <c r="B9" s="463" t="s">
        <v>87</v>
      </c>
      <c r="C9" s="463" t="s">
        <v>8</v>
      </c>
      <c r="D9" s="460">
        <v>1</v>
      </c>
      <c r="E9" s="460">
        <v>1</v>
      </c>
      <c r="F9" s="460"/>
      <c r="G9" s="460"/>
      <c r="H9" s="460">
        <v>1</v>
      </c>
      <c r="I9" s="460"/>
      <c r="J9" s="460">
        <v>1</v>
      </c>
      <c r="K9" s="460"/>
      <c r="L9" s="460">
        <v>1</v>
      </c>
      <c r="M9" s="460">
        <v>1</v>
      </c>
      <c r="N9" s="460">
        <v>1</v>
      </c>
      <c r="O9" s="460"/>
      <c r="P9" s="460"/>
      <c r="Q9" s="460"/>
      <c r="R9" s="460">
        <v>1</v>
      </c>
      <c r="U9" s="134">
        <f t="shared" si="1"/>
        <v>7</v>
      </c>
      <c r="V9" s="463" t="s">
        <v>56</v>
      </c>
      <c r="W9" s="4"/>
      <c r="Z9" s="461" t="s">
        <v>273</v>
      </c>
      <c r="AA9" s="460"/>
      <c r="AB9" s="460"/>
      <c r="AC9" s="460">
        <v>1</v>
      </c>
      <c r="AD9" s="460"/>
      <c r="AE9" s="460"/>
      <c r="AF9" s="460"/>
      <c r="AG9" s="460">
        <v>1</v>
      </c>
      <c r="AH9" s="460" t="str">
        <f t="shared" si="2"/>
        <v>1</v>
      </c>
      <c r="AI9" s="460"/>
      <c r="AJ9" s="460"/>
      <c r="AK9" s="460"/>
      <c r="AL9" s="460"/>
      <c r="AM9" s="460"/>
      <c r="AN9" s="460"/>
      <c r="AO9" s="460">
        <v>1</v>
      </c>
      <c r="AP9" s="460"/>
      <c r="AQ9" s="460"/>
      <c r="AR9" s="460"/>
      <c r="AS9" s="460"/>
      <c r="AT9" s="460"/>
      <c r="AU9" s="460"/>
      <c r="AV9" s="460"/>
      <c r="AW9" s="460"/>
      <c r="AX9" s="460"/>
      <c r="AY9" s="460"/>
      <c r="AZ9" s="460"/>
      <c r="BA9" s="460"/>
      <c r="BB9" s="460"/>
      <c r="BC9" s="460"/>
      <c r="BD9" s="460"/>
      <c r="BE9" s="460"/>
      <c r="BF9" s="460"/>
      <c r="BG9" s="460"/>
      <c r="BH9" s="460"/>
      <c r="BI9" s="460"/>
      <c r="BJ9" s="460"/>
      <c r="BK9" s="460"/>
      <c r="BL9" s="460"/>
      <c r="BM9" s="460"/>
      <c r="BN9" s="460"/>
      <c r="BO9" s="460"/>
      <c r="BP9" s="460"/>
      <c r="BQ9" s="460"/>
      <c r="BR9" s="460"/>
      <c r="BS9" s="460"/>
      <c r="BT9" s="460"/>
      <c r="BU9" s="460"/>
    </row>
    <row r="10" spans="1:73" x14ac:dyDescent="0.25">
      <c r="A10" s="8">
        <f t="shared" si="0"/>
        <v>9</v>
      </c>
      <c r="B10" s="463" t="s">
        <v>609</v>
      </c>
      <c r="C10" s="463" t="s">
        <v>6</v>
      </c>
      <c r="D10" s="460"/>
      <c r="E10" s="460">
        <v>1</v>
      </c>
      <c r="F10" s="460"/>
      <c r="G10" s="460"/>
      <c r="H10" s="460"/>
      <c r="I10" s="460"/>
      <c r="J10" s="460"/>
      <c r="K10" s="460">
        <v>1</v>
      </c>
      <c r="L10" s="460">
        <v>1</v>
      </c>
      <c r="M10" s="460"/>
      <c r="N10" s="460">
        <v>1</v>
      </c>
      <c r="O10" s="460">
        <v>1</v>
      </c>
      <c r="P10" s="460"/>
      <c r="Q10" s="460"/>
      <c r="R10" s="460"/>
      <c r="U10" s="134">
        <f t="shared" si="1"/>
        <v>8</v>
      </c>
      <c r="V10" s="463" t="s">
        <v>1100</v>
      </c>
      <c r="W10" s="4"/>
      <c r="Z10" s="461" t="s">
        <v>325</v>
      </c>
      <c r="AA10" s="460"/>
      <c r="AB10" s="460"/>
      <c r="AC10" s="460">
        <v>1</v>
      </c>
      <c r="AD10" s="460"/>
      <c r="AE10" s="460"/>
      <c r="AF10" s="460"/>
      <c r="AG10" s="460">
        <v>1</v>
      </c>
      <c r="AH10" s="460" t="str">
        <f t="shared" si="2"/>
        <v>1</v>
      </c>
      <c r="AI10" s="460"/>
      <c r="AJ10" s="460"/>
      <c r="AK10" s="460"/>
      <c r="AL10" s="460"/>
      <c r="AM10" s="460"/>
      <c r="AN10" s="460"/>
      <c r="AO10" s="460"/>
      <c r="AP10" s="460">
        <v>1</v>
      </c>
      <c r="AQ10" s="460"/>
      <c r="AR10" s="460"/>
      <c r="AS10" s="460"/>
      <c r="AT10" s="460"/>
      <c r="AU10" s="460"/>
      <c r="AV10" s="460"/>
      <c r="AW10" s="460"/>
      <c r="AX10" s="460"/>
      <c r="AY10" s="460"/>
      <c r="AZ10" s="460"/>
      <c r="BA10" s="460"/>
      <c r="BB10" s="460"/>
      <c r="BC10" s="460"/>
      <c r="BD10" s="460"/>
      <c r="BE10" s="460"/>
      <c r="BF10" s="460"/>
      <c r="BG10" s="460"/>
      <c r="BH10" s="460"/>
      <c r="BI10" s="460"/>
      <c r="BJ10" s="460"/>
      <c r="BK10" s="460"/>
      <c r="BL10" s="460"/>
      <c r="BM10" s="460"/>
      <c r="BN10" s="460"/>
      <c r="BO10" s="460"/>
      <c r="BP10" s="460"/>
      <c r="BQ10" s="460"/>
      <c r="BR10" s="460"/>
      <c r="BS10" s="460"/>
      <c r="BT10" s="460"/>
      <c r="BU10" s="460"/>
    </row>
    <row r="11" spans="1:73" x14ac:dyDescent="0.25">
      <c r="A11" s="8">
        <f t="shared" si="0"/>
        <v>10</v>
      </c>
      <c r="B11" s="463" t="s">
        <v>610</v>
      </c>
      <c r="C11" s="463" t="s">
        <v>7</v>
      </c>
      <c r="D11" s="460"/>
      <c r="E11" s="460">
        <v>1</v>
      </c>
      <c r="F11" s="460">
        <v>1</v>
      </c>
      <c r="G11" s="460">
        <v>1</v>
      </c>
      <c r="H11" s="460"/>
      <c r="I11" s="460"/>
      <c r="J11" s="460">
        <v>1</v>
      </c>
      <c r="K11" s="460"/>
      <c r="L11" s="460"/>
      <c r="M11" s="460"/>
      <c r="N11" s="460"/>
      <c r="O11" s="460">
        <v>1</v>
      </c>
      <c r="P11" s="460"/>
      <c r="Q11" s="460"/>
      <c r="R11" s="460"/>
      <c r="U11" s="134">
        <f t="shared" si="1"/>
        <v>9</v>
      </c>
      <c r="V11" s="463" t="s">
        <v>1101</v>
      </c>
      <c r="W11" s="4"/>
      <c r="Z11" s="461" t="s">
        <v>349</v>
      </c>
      <c r="AA11" s="460"/>
      <c r="AB11" s="460"/>
      <c r="AC11" s="460">
        <v>1</v>
      </c>
      <c r="AD11" s="460"/>
      <c r="AE11" s="460"/>
      <c r="AF11" s="460"/>
      <c r="AG11" s="460">
        <v>1</v>
      </c>
      <c r="AH11" s="460" t="str">
        <f t="shared" si="2"/>
        <v>1</v>
      </c>
      <c r="AI11" s="460"/>
      <c r="AJ11" s="460"/>
      <c r="AK11" s="460"/>
      <c r="AL11" s="460"/>
      <c r="AM11" s="460"/>
      <c r="AN11" s="460"/>
      <c r="AO11" s="460"/>
      <c r="AP11" s="460"/>
      <c r="AQ11" s="460">
        <v>1</v>
      </c>
      <c r="AR11" s="460"/>
      <c r="AS11" s="460"/>
      <c r="AT11" s="460"/>
      <c r="AU11" s="460"/>
      <c r="AV11" s="460"/>
      <c r="AW11" s="460"/>
      <c r="AX11" s="460"/>
      <c r="AY11" s="460"/>
      <c r="AZ11" s="460"/>
      <c r="BA11" s="460"/>
      <c r="BB11" s="460"/>
      <c r="BC11" s="460"/>
      <c r="BD11" s="460"/>
      <c r="BE11" s="460"/>
      <c r="BF11" s="460"/>
      <c r="BG11" s="460"/>
      <c r="BH11" s="460"/>
      <c r="BI11" s="460"/>
      <c r="BJ11" s="460"/>
      <c r="BK11" s="460"/>
      <c r="BL11" s="460"/>
      <c r="BM11" s="460"/>
      <c r="BN11" s="460"/>
      <c r="BO11" s="460"/>
      <c r="BP11" s="460"/>
      <c r="BQ11" s="460"/>
      <c r="BR11" s="460"/>
      <c r="BS11" s="460"/>
      <c r="BT11" s="460"/>
      <c r="BU11" s="460"/>
    </row>
    <row r="12" spans="1:73" x14ac:dyDescent="0.25">
      <c r="A12" s="8">
        <f t="shared" si="0"/>
        <v>11</v>
      </c>
      <c r="B12" s="463" t="s">
        <v>611</v>
      </c>
      <c r="C12" s="463" t="s">
        <v>6</v>
      </c>
      <c r="D12" s="460">
        <v>1</v>
      </c>
      <c r="E12" s="460">
        <v>1</v>
      </c>
      <c r="F12" s="460"/>
      <c r="G12" s="460">
        <v>1</v>
      </c>
      <c r="H12" s="460"/>
      <c r="I12" s="460"/>
      <c r="J12" s="460"/>
      <c r="K12" s="460">
        <v>1</v>
      </c>
      <c r="L12" s="460"/>
      <c r="M12" s="460"/>
      <c r="N12" s="460">
        <v>1</v>
      </c>
      <c r="O12" s="460"/>
      <c r="P12" s="460">
        <v>1</v>
      </c>
      <c r="Q12" s="460">
        <v>1</v>
      </c>
      <c r="R12" s="460"/>
      <c r="U12" s="134">
        <f t="shared" si="1"/>
        <v>10</v>
      </c>
      <c r="V12" s="463" t="s">
        <v>1102</v>
      </c>
      <c r="W12" s="4"/>
      <c r="Z12" s="461" t="s">
        <v>359</v>
      </c>
      <c r="AA12" s="460"/>
      <c r="AB12" s="460"/>
      <c r="AC12" s="460">
        <v>1</v>
      </c>
      <c r="AD12" s="460"/>
      <c r="AE12" s="460"/>
      <c r="AF12" s="460"/>
      <c r="AG12" s="460">
        <v>1</v>
      </c>
      <c r="AH12" s="460" t="str">
        <f t="shared" si="2"/>
        <v>1</v>
      </c>
      <c r="AI12" s="460"/>
      <c r="AJ12" s="460"/>
      <c r="AK12" s="460"/>
      <c r="AL12" s="460"/>
      <c r="AM12" s="460"/>
      <c r="AN12" s="460"/>
      <c r="AO12" s="460"/>
      <c r="AP12" s="460"/>
      <c r="AQ12" s="460"/>
      <c r="AR12" s="460">
        <v>1</v>
      </c>
      <c r="AS12" s="460"/>
      <c r="AT12" s="460"/>
      <c r="AU12" s="460"/>
      <c r="AV12" s="460"/>
      <c r="AW12" s="460"/>
      <c r="AX12" s="460"/>
      <c r="AY12" s="460"/>
      <c r="AZ12" s="460"/>
      <c r="BA12" s="460"/>
      <c r="BB12" s="460"/>
      <c r="BC12" s="460"/>
      <c r="BD12" s="460"/>
      <c r="BE12" s="460"/>
      <c r="BF12" s="460"/>
      <c r="BG12" s="460"/>
      <c r="BH12" s="460"/>
      <c r="BI12" s="460"/>
      <c r="BJ12" s="460"/>
      <c r="BK12" s="460"/>
      <c r="BL12" s="460"/>
      <c r="BM12" s="460"/>
      <c r="BN12" s="460"/>
      <c r="BO12" s="460"/>
      <c r="BP12" s="460"/>
      <c r="BQ12" s="460"/>
      <c r="BR12" s="460"/>
      <c r="BS12" s="460"/>
      <c r="BT12" s="460"/>
      <c r="BU12" s="460"/>
    </row>
    <row r="13" spans="1:73" x14ac:dyDescent="0.25">
      <c r="A13" s="8">
        <f t="shared" si="0"/>
        <v>12</v>
      </c>
      <c r="B13" s="463" t="s">
        <v>49</v>
      </c>
      <c r="C13" s="463" t="s">
        <v>7</v>
      </c>
      <c r="D13" s="460">
        <v>1</v>
      </c>
      <c r="E13" s="460">
        <v>1</v>
      </c>
      <c r="F13" s="460"/>
      <c r="G13" s="460">
        <v>1</v>
      </c>
      <c r="H13" s="460">
        <v>1</v>
      </c>
      <c r="I13" s="460"/>
      <c r="J13" s="460"/>
      <c r="K13" s="460">
        <v>1</v>
      </c>
      <c r="L13" s="460">
        <v>1</v>
      </c>
      <c r="M13" s="460">
        <v>1</v>
      </c>
      <c r="N13" s="460"/>
      <c r="O13" s="460"/>
      <c r="P13" s="460"/>
      <c r="Q13" s="460"/>
      <c r="R13" s="460"/>
      <c r="U13" s="134">
        <f t="shared" si="1"/>
        <v>11</v>
      </c>
      <c r="V13" s="463" t="s">
        <v>1103</v>
      </c>
      <c r="W13" s="4"/>
      <c r="Z13" s="461" t="s">
        <v>373</v>
      </c>
      <c r="AA13" s="460">
        <v>1</v>
      </c>
      <c r="AB13" s="460"/>
      <c r="AC13" s="460">
        <v>1</v>
      </c>
      <c r="AD13" s="460"/>
      <c r="AE13" s="460"/>
      <c r="AF13" s="460"/>
      <c r="AG13" s="460">
        <v>1</v>
      </c>
      <c r="AH13" s="460" t="str">
        <f t="shared" si="2"/>
        <v>1</v>
      </c>
      <c r="AI13" s="460"/>
      <c r="AJ13" s="460"/>
      <c r="AK13" s="460"/>
      <c r="AL13" s="460"/>
      <c r="AM13" s="460"/>
      <c r="AN13" s="460"/>
      <c r="AO13" s="460"/>
      <c r="AP13" s="460"/>
      <c r="AQ13" s="460"/>
      <c r="AR13" s="460"/>
      <c r="AS13" s="460">
        <v>1</v>
      </c>
      <c r="AT13" s="460"/>
      <c r="AU13" s="460"/>
      <c r="AV13" s="460"/>
      <c r="AW13" s="460"/>
      <c r="AX13" s="460"/>
      <c r="AY13" s="460"/>
      <c r="AZ13" s="460"/>
      <c r="BA13" s="460"/>
      <c r="BB13" s="460"/>
      <c r="BC13" s="460"/>
      <c r="BD13" s="460"/>
      <c r="BE13" s="460"/>
      <c r="BF13" s="460"/>
      <c r="BG13" s="460"/>
      <c r="BH13" s="460"/>
      <c r="BI13" s="460"/>
      <c r="BJ13" s="460"/>
      <c r="BK13" s="460"/>
      <c r="BL13" s="460"/>
      <c r="BM13" s="460"/>
      <c r="BN13" s="460"/>
      <c r="BO13" s="460"/>
      <c r="BP13" s="460"/>
      <c r="BQ13" s="460"/>
      <c r="BR13" s="460"/>
      <c r="BS13" s="460"/>
      <c r="BT13" s="460"/>
      <c r="BU13" s="460"/>
    </row>
    <row r="14" spans="1:73" x14ac:dyDescent="0.25">
      <c r="A14" s="8">
        <f t="shared" si="0"/>
        <v>13</v>
      </c>
      <c r="B14" s="463" t="s">
        <v>612</v>
      </c>
      <c r="C14" s="463" t="s">
        <v>8</v>
      </c>
      <c r="D14" s="460"/>
      <c r="E14" s="460">
        <v>1</v>
      </c>
      <c r="F14" s="460"/>
      <c r="G14" s="460"/>
      <c r="H14" s="460"/>
      <c r="I14" s="460"/>
      <c r="J14" s="460"/>
      <c r="K14" s="460"/>
      <c r="L14" s="460">
        <v>1</v>
      </c>
      <c r="M14" s="460"/>
      <c r="N14" s="460"/>
      <c r="O14" s="460"/>
      <c r="P14" s="460"/>
      <c r="Q14" s="460"/>
      <c r="R14" s="460"/>
      <c r="U14" s="134">
        <f t="shared" si="1"/>
        <v>12</v>
      </c>
      <c r="V14" s="463" t="s">
        <v>1104</v>
      </c>
      <c r="W14" s="4"/>
      <c r="Z14" s="461" t="s">
        <v>394</v>
      </c>
      <c r="AA14" s="460"/>
      <c r="AB14" s="460"/>
      <c r="AC14" s="460">
        <v>1</v>
      </c>
      <c r="AD14" s="460"/>
      <c r="AE14" s="460"/>
      <c r="AF14" s="460"/>
      <c r="AG14" s="460">
        <v>1</v>
      </c>
      <c r="AH14" s="460" t="str">
        <f t="shared" si="2"/>
        <v>1</v>
      </c>
      <c r="AI14" s="460"/>
      <c r="AJ14" s="460"/>
      <c r="AK14" s="460"/>
      <c r="AL14" s="460"/>
      <c r="AM14" s="460"/>
      <c r="AN14" s="460"/>
      <c r="AO14" s="460"/>
      <c r="AP14" s="460"/>
      <c r="AQ14" s="460"/>
      <c r="AR14" s="460"/>
      <c r="AS14" s="460"/>
      <c r="AT14" s="460">
        <v>1</v>
      </c>
      <c r="AU14" s="460"/>
      <c r="AV14" s="460"/>
      <c r="AW14" s="460"/>
      <c r="AX14" s="460"/>
      <c r="AY14" s="460"/>
      <c r="AZ14" s="460"/>
      <c r="BA14" s="460"/>
      <c r="BB14" s="460"/>
      <c r="BC14" s="460"/>
      <c r="BD14" s="460"/>
      <c r="BE14" s="460"/>
      <c r="BF14" s="460"/>
      <c r="BG14" s="460"/>
      <c r="BH14" s="460"/>
      <c r="BI14" s="460"/>
      <c r="BJ14" s="460"/>
      <c r="BK14" s="460"/>
      <c r="BL14" s="460"/>
      <c r="BM14" s="460"/>
      <c r="BN14" s="460"/>
      <c r="BO14" s="460"/>
      <c r="BP14" s="460"/>
      <c r="BQ14" s="460"/>
      <c r="BR14" s="460"/>
      <c r="BS14" s="460"/>
      <c r="BT14" s="460"/>
      <c r="BU14" s="460"/>
    </row>
    <row r="15" spans="1:73" x14ac:dyDescent="0.25">
      <c r="A15" s="8">
        <f t="shared" si="0"/>
        <v>14</v>
      </c>
      <c r="B15" s="463" t="s">
        <v>613</v>
      </c>
      <c r="C15" s="463" t="s">
        <v>8</v>
      </c>
      <c r="D15" s="460"/>
      <c r="E15" s="460">
        <v>1</v>
      </c>
      <c r="F15" s="460">
        <v>1</v>
      </c>
      <c r="G15" s="460"/>
      <c r="H15" s="460"/>
      <c r="I15" s="460"/>
      <c r="J15" s="460">
        <v>1</v>
      </c>
      <c r="K15" s="460"/>
      <c r="L15" s="460">
        <v>1</v>
      </c>
      <c r="M15" s="460"/>
      <c r="N15" s="460"/>
      <c r="O15" s="460"/>
      <c r="P15" s="460"/>
      <c r="Q15" s="460"/>
      <c r="R15" s="460"/>
      <c r="U15" s="134">
        <f t="shared" si="1"/>
        <v>13</v>
      </c>
      <c r="V15" s="463" t="s">
        <v>1105</v>
      </c>
      <c r="W15" s="4"/>
      <c r="Z15" s="461" t="s">
        <v>413</v>
      </c>
      <c r="AA15" s="460"/>
      <c r="AB15" s="460"/>
      <c r="AC15" s="460">
        <v>1</v>
      </c>
      <c r="AD15" s="460"/>
      <c r="AE15" s="460"/>
      <c r="AF15" s="460"/>
      <c r="AG15" s="460">
        <v>1</v>
      </c>
      <c r="AH15" s="460" t="str">
        <f t="shared" si="2"/>
        <v>1</v>
      </c>
      <c r="AI15" s="460"/>
      <c r="AJ15" s="460"/>
      <c r="AK15" s="460"/>
      <c r="AL15" s="460"/>
      <c r="AM15" s="460"/>
      <c r="AN15" s="460"/>
      <c r="AO15" s="460"/>
      <c r="AP15" s="460"/>
      <c r="AQ15" s="460"/>
      <c r="AR15" s="460"/>
      <c r="AS15" s="460"/>
      <c r="AT15" s="460"/>
      <c r="AU15" s="460">
        <v>1</v>
      </c>
      <c r="AV15" s="460"/>
      <c r="AW15" s="460"/>
      <c r="AX15" s="460"/>
      <c r="AY15" s="460"/>
      <c r="AZ15" s="460"/>
      <c r="BA15" s="460"/>
      <c r="BB15" s="460"/>
      <c r="BC15" s="460"/>
      <c r="BD15" s="460"/>
      <c r="BE15" s="460"/>
      <c r="BF15" s="460"/>
      <c r="BG15" s="460"/>
      <c r="BH15" s="460"/>
      <c r="BI15" s="460"/>
      <c r="BJ15" s="460"/>
      <c r="BK15" s="460"/>
      <c r="BL15" s="460"/>
      <c r="BM15" s="460"/>
      <c r="BN15" s="460"/>
      <c r="BO15" s="460"/>
      <c r="BP15" s="460"/>
      <c r="BQ15" s="460"/>
      <c r="BR15" s="460"/>
      <c r="BS15" s="460"/>
      <c r="BT15" s="460"/>
      <c r="BU15" s="460"/>
    </row>
    <row r="16" spans="1:73" x14ac:dyDescent="0.25">
      <c r="A16" s="8">
        <f t="shared" si="0"/>
        <v>15</v>
      </c>
      <c r="B16" s="463" t="s">
        <v>72</v>
      </c>
      <c r="C16" s="463" t="s">
        <v>6</v>
      </c>
      <c r="D16" s="460"/>
      <c r="E16" s="460">
        <v>1</v>
      </c>
      <c r="F16" s="460">
        <v>1</v>
      </c>
      <c r="G16" s="460">
        <v>1</v>
      </c>
      <c r="H16" s="460"/>
      <c r="I16" s="460">
        <v>1</v>
      </c>
      <c r="J16" s="460">
        <v>1</v>
      </c>
      <c r="K16" s="460"/>
      <c r="L16" s="460"/>
      <c r="M16" s="460">
        <v>1</v>
      </c>
      <c r="N16" s="460">
        <v>1</v>
      </c>
      <c r="O16" s="460">
        <v>1</v>
      </c>
      <c r="P16" s="460">
        <v>1</v>
      </c>
      <c r="Q16" s="460"/>
      <c r="R16" s="460"/>
      <c r="U16" s="134">
        <f t="shared" si="1"/>
        <v>14</v>
      </c>
      <c r="V16" s="463" t="s">
        <v>1106</v>
      </c>
      <c r="W16" s="4"/>
      <c r="Z16" s="461" t="s">
        <v>454</v>
      </c>
      <c r="AA16" s="460">
        <v>1</v>
      </c>
      <c r="AB16" s="460"/>
      <c r="AC16" s="460">
        <v>1</v>
      </c>
      <c r="AD16" s="460"/>
      <c r="AE16" s="460"/>
      <c r="AF16" s="460"/>
      <c r="AG16" s="460">
        <v>1</v>
      </c>
      <c r="AH16" s="460" t="str">
        <f t="shared" si="2"/>
        <v>1</v>
      </c>
      <c r="AI16" s="460"/>
      <c r="AJ16" s="460"/>
      <c r="AK16" s="460"/>
      <c r="AL16" s="460"/>
      <c r="AM16" s="460"/>
      <c r="AN16" s="460"/>
      <c r="AO16" s="460"/>
      <c r="AP16" s="460"/>
      <c r="AQ16" s="460"/>
      <c r="AR16" s="460"/>
      <c r="AS16" s="460"/>
      <c r="AT16" s="460"/>
      <c r="AU16" s="460"/>
      <c r="AV16" s="460">
        <v>1</v>
      </c>
      <c r="AW16" s="460"/>
      <c r="AX16" s="460"/>
      <c r="AY16" s="460"/>
      <c r="AZ16" s="460"/>
      <c r="BA16" s="460"/>
      <c r="BB16" s="460"/>
      <c r="BC16" s="460"/>
      <c r="BD16" s="460"/>
      <c r="BE16" s="460"/>
      <c r="BF16" s="460"/>
      <c r="BG16" s="460"/>
      <c r="BH16" s="460"/>
      <c r="BI16" s="460"/>
      <c r="BJ16" s="460"/>
      <c r="BK16" s="460"/>
      <c r="BL16" s="460"/>
      <c r="BM16" s="460"/>
      <c r="BN16" s="460"/>
      <c r="BO16" s="460"/>
      <c r="BP16" s="460"/>
      <c r="BQ16" s="460"/>
      <c r="BR16" s="460"/>
      <c r="BS16" s="460"/>
      <c r="BT16" s="460"/>
      <c r="BU16" s="460"/>
    </row>
    <row r="17" spans="1:73" x14ac:dyDescent="0.25">
      <c r="A17" s="8">
        <f t="shared" si="0"/>
        <v>16</v>
      </c>
      <c r="B17" s="463" t="s">
        <v>614</v>
      </c>
      <c r="C17" s="463" t="s">
        <v>4</v>
      </c>
      <c r="D17" s="460"/>
      <c r="E17" s="460">
        <v>1</v>
      </c>
      <c r="F17" s="460"/>
      <c r="G17" s="460"/>
      <c r="H17" s="460"/>
      <c r="I17" s="460"/>
      <c r="J17" s="460"/>
      <c r="K17" s="460"/>
      <c r="L17" s="460">
        <v>1</v>
      </c>
      <c r="M17" s="460"/>
      <c r="N17" s="460"/>
      <c r="O17" s="460"/>
      <c r="P17" s="460"/>
      <c r="Q17" s="460"/>
      <c r="R17" s="460"/>
      <c r="U17" s="134">
        <f t="shared" si="1"/>
        <v>15</v>
      </c>
      <c r="V17" s="463" t="s">
        <v>1107</v>
      </c>
      <c r="W17" s="4"/>
      <c r="Z17" s="461" t="s">
        <v>475</v>
      </c>
      <c r="AA17" s="460"/>
      <c r="AB17" s="460">
        <v>1</v>
      </c>
      <c r="AC17" s="460">
        <v>1</v>
      </c>
      <c r="AD17" s="460"/>
      <c r="AE17" s="460"/>
      <c r="AF17" s="460"/>
      <c r="AG17" s="460">
        <v>1</v>
      </c>
      <c r="AH17" s="460" t="str">
        <f t="shared" si="2"/>
        <v>1</v>
      </c>
      <c r="AI17" s="460"/>
      <c r="AJ17" s="460"/>
      <c r="AK17" s="460"/>
      <c r="AL17" s="460"/>
      <c r="AM17" s="460"/>
      <c r="AN17" s="460"/>
      <c r="AO17" s="460"/>
      <c r="AP17" s="460"/>
      <c r="AQ17" s="460"/>
      <c r="AR17" s="460"/>
      <c r="AS17" s="460"/>
      <c r="AT17" s="460"/>
      <c r="AU17" s="460"/>
      <c r="AV17" s="460"/>
      <c r="AW17" s="460">
        <v>1</v>
      </c>
      <c r="AX17" s="460"/>
      <c r="AY17" s="460"/>
      <c r="AZ17" s="460"/>
      <c r="BA17" s="460"/>
      <c r="BB17" s="460"/>
      <c r="BC17" s="460"/>
      <c r="BD17" s="460"/>
      <c r="BE17" s="460"/>
      <c r="BF17" s="460"/>
      <c r="BG17" s="460"/>
      <c r="BH17" s="460"/>
      <c r="BI17" s="460"/>
      <c r="BJ17" s="460"/>
      <c r="BK17" s="460"/>
      <c r="BL17" s="460"/>
      <c r="BM17" s="460"/>
      <c r="BN17" s="460"/>
      <c r="BO17" s="460"/>
      <c r="BP17" s="460"/>
      <c r="BQ17" s="460"/>
      <c r="BR17" s="460"/>
      <c r="BS17" s="460"/>
      <c r="BT17" s="460"/>
      <c r="BU17" s="460"/>
    </row>
    <row r="18" spans="1:73" x14ac:dyDescent="0.25">
      <c r="A18" s="8">
        <f t="shared" si="0"/>
        <v>17</v>
      </c>
      <c r="B18" s="463" t="s">
        <v>75</v>
      </c>
      <c r="C18" s="463" t="s">
        <v>4</v>
      </c>
      <c r="D18" s="460"/>
      <c r="E18" s="460">
        <v>1</v>
      </c>
      <c r="F18" s="460"/>
      <c r="G18" s="460"/>
      <c r="H18" s="460"/>
      <c r="I18" s="460">
        <v>1</v>
      </c>
      <c r="J18" s="460"/>
      <c r="K18" s="460">
        <v>1</v>
      </c>
      <c r="L18" s="460">
        <v>1</v>
      </c>
      <c r="M18" s="460"/>
      <c r="N18" s="460"/>
      <c r="O18" s="460"/>
      <c r="P18" s="460"/>
      <c r="Q18" s="460"/>
      <c r="R18" s="460"/>
      <c r="U18" s="134">
        <f t="shared" si="1"/>
        <v>16</v>
      </c>
      <c r="V18" s="463" t="s">
        <v>1108</v>
      </c>
      <c r="W18" s="4"/>
      <c r="Z18" s="461" t="s">
        <v>495</v>
      </c>
      <c r="AA18" s="460"/>
      <c r="AB18" s="460"/>
      <c r="AC18" s="460">
        <v>1</v>
      </c>
      <c r="AD18" s="460"/>
      <c r="AE18" s="460"/>
      <c r="AF18" s="460"/>
      <c r="AG18" s="460">
        <v>1</v>
      </c>
      <c r="AH18" s="460" t="str">
        <f t="shared" si="2"/>
        <v>1</v>
      </c>
      <c r="AI18" s="460"/>
      <c r="AJ18" s="460"/>
      <c r="AK18" s="460"/>
      <c r="AL18" s="460"/>
      <c r="AM18" s="460"/>
      <c r="AN18" s="460"/>
      <c r="AO18" s="460"/>
      <c r="AP18" s="460"/>
      <c r="AQ18" s="460"/>
      <c r="AR18" s="460"/>
      <c r="AS18" s="460"/>
      <c r="AT18" s="460"/>
      <c r="AU18" s="460"/>
      <c r="AV18" s="460"/>
      <c r="AW18" s="460"/>
      <c r="AX18" s="460">
        <v>1</v>
      </c>
      <c r="AY18" s="460"/>
      <c r="AZ18" s="460"/>
      <c r="BA18" s="460"/>
      <c r="BB18" s="460"/>
      <c r="BC18" s="460"/>
      <c r="BD18" s="460"/>
      <c r="BE18" s="460"/>
      <c r="BF18" s="460"/>
      <c r="BG18" s="460"/>
      <c r="BH18" s="460"/>
      <c r="BI18" s="460"/>
      <c r="BJ18" s="460"/>
      <c r="BK18" s="460"/>
      <c r="BL18" s="460"/>
      <c r="BM18" s="460"/>
      <c r="BN18" s="460"/>
      <c r="BO18" s="460"/>
      <c r="BP18" s="460"/>
      <c r="BQ18" s="460"/>
      <c r="BR18" s="460"/>
      <c r="BS18" s="460"/>
      <c r="BT18" s="460"/>
      <c r="BU18" s="460"/>
    </row>
    <row r="19" spans="1:73" x14ac:dyDescent="0.25">
      <c r="A19" s="8">
        <f t="shared" si="0"/>
        <v>18</v>
      </c>
      <c r="B19" s="463" t="s">
        <v>80</v>
      </c>
      <c r="C19" s="463" t="s">
        <v>7</v>
      </c>
      <c r="D19" s="460">
        <v>1</v>
      </c>
      <c r="E19" s="460">
        <v>1</v>
      </c>
      <c r="F19" s="460"/>
      <c r="G19" s="460">
        <v>1</v>
      </c>
      <c r="H19" s="460">
        <v>1</v>
      </c>
      <c r="I19" s="460"/>
      <c r="J19" s="460"/>
      <c r="K19" s="460">
        <v>1</v>
      </c>
      <c r="L19" s="460"/>
      <c r="M19" s="460"/>
      <c r="N19" s="460"/>
      <c r="O19" s="460"/>
      <c r="P19" s="460"/>
      <c r="Q19" s="460">
        <v>1</v>
      </c>
      <c r="R19" s="460"/>
      <c r="U19" s="134">
        <f>IF(V19="","",U18+1)</f>
        <v>17</v>
      </c>
      <c r="V19" s="464" t="s">
        <v>1097</v>
      </c>
      <c r="W19" s="4"/>
      <c r="Z19" s="461" t="s">
        <v>497</v>
      </c>
      <c r="AA19" s="460"/>
      <c r="AB19" s="460"/>
      <c r="AC19" s="460">
        <v>1</v>
      </c>
      <c r="AD19" s="460"/>
      <c r="AE19" s="460"/>
      <c r="AF19" s="460"/>
      <c r="AG19" s="460">
        <v>1</v>
      </c>
      <c r="AH19" s="460" t="str">
        <f t="shared" si="2"/>
        <v>1</v>
      </c>
      <c r="AI19" s="460"/>
      <c r="AJ19" s="460"/>
      <c r="AK19" s="460"/>
      <c r="AL19" s="460"/>
      <c r="AM19" s="460"/>
      <c r="AN19" s="460"/>
      <c r="AO19" s="460"/>
      <c r="AP19" s="460"/>
      <c r="AQ19" s="460"/>
      <c r="AR19" s="460"/>
      <c r="AS19" s="460"/>
      <c r="AT19" s="460"/>
      <c r="AU19" s="460"/>
      <c r="AV19" s="460"/>
      <c r="AW19" s="460"/>
      <c r="AX19" s="460"/>
      <c r="AY19" s="460">
        <v>1</v>
      </c>
      <c r="AZ19" s="460"/>
      <c r="BA19" s="460"/>
      <c r="BB19" s="460"/>
      <c r="BC19" s="460"/>
      <c r="BD19" s="460"/>
      <c r="BE19" s="460"/>
      <c r="BF19" s="460"/>
      <c r="BG19" s="460"/>
      <c r="BH19" s="460"/>
      <c r="BI19" s="460"/>
      <c r="BJ19" s="460"/>
      <c r="BK19" s="460"/>
      <c r="BL19" s="460"/>
      <c r="BM19" s="460"/>
      <c r="BN19" s="460"/>
      <c r="BO19" s="460"/>
      <c r="BP19" s="460"/>
      <c r="BQ19" s="460"/>
      <c r="BR19" s="460"/>
      <c r="BS19" s="460"/>
      <c r="BT19" s="460"/>
      <c r="BU19" s="460"/>
    </row>
    <row r="20" spans="1:73" x14ac:dyDescent="0.25">
      <c r="U20" s="134">
        <f>IF(V20="","",U19+1)</f>
        <v>18</v>
      </c>
      <c r="V20" s="465" t="s">
        <v>2972</v>
      </c>
      <c r="W20" s="4"/>
      <c r="Z20" s="461" t="s">
        <v>287</v>
      </c>
      <c r="AA20" s="460"/>
      <c r="AB20" s="460"/>
      <c r="AC20" s="460"/>
      <c r="AD20" s="460"/>
      <c r="AE20" s="460"/>
      <c r="AF20" s="460"/>
      <c r="AG20" s="460">
        <v>1</v>
      </c>
      <c r="AH20" s="460" t="str">
        <f t="shared" si="2"/>
        <v/>
      </c>
      <c r="AI20" s="460"/>
      <c r="AJ20" s="460"/>
      <c r="AK20" s="460"/>
      <c r="AL20" s="460"/>
      <c r="AM20" s="460"/>
      <c r="AN20" s="460"/>
      <c r="AO20" s="460"/>
      <c r="AP20" s="460"/>
      <c r="AQ20" s="460"/>
      <c r="AR20" s="460"/>
      <c r="AS20" s="460"/>
      <c r="AT20" s="460"/>
      <c r="AU20" s="460"/>
      <c r="AV20" s="460"/>
      <c r="AW20" s="460"/>
      <c r="AX20" s="460"/>
      <c r="AY20" s="460"/>
      <c r="AZ20" s="460">
        <v>1</v>
      </c>
      <c r="BA20" s="460"/>
      <c r="BB20" s="460"/>
      <c r="BC20" s="460"/>
      <c r="BD20" s="460"/>
      <c r="BE20" s="460"/>
      <c r="BF20" s="460"/>
      <c r="BG20" s="460"/>
      <c r="BH20" s="460"/>
      <c r="BI20" s="460"/>
      <c r="BJ20" s="460"/>
      <c r="BK20" s="460"/>
      <c r="BL20" s="460"/>
      <c r="BM20" s="460"/>
      <c r="BN20" s="460"/>
      <c r="BO20" s="460"/>
      <c r="BP20" s="460"/>
      <c r="BQ20" s="460"/>
      <c r="BR20" s="460"/>
      <c r="BS20" s="460"/>
      <c r="BT20" s="460"/>
      <c r="BU20" s="460"/>
    </row>
    <row r="21" spans="1:73" x14ac:dyDescent="0.25">
      <c r="U21" s="134">
        <f>IF(V21="","",U20+1)</f>
        <v>19</v>
      </c>
      <c r="V21" s="465" t="s">
        <v>5984</v>
      </c>
      <c r="W21" s="4"/>
      <c r="Z21" s="461" t="s">
        <v>317</v>
      </c>
      <c r="AA21" s="460"/>
      <c r="AB21" s="460"/>
      <c r="AC21" s="460"/>
      <c r="AD21" s="460"/>
      <c r="AE21" s="460"/>
      <c r="AF21" s="460"/>
      <c r="AG21" s="460">
        <v>1</v>
      </c>
      <c r="AH21" s="460" t="str">
        <f t="shared" si="2"/>
        <v/>
      </c>
      <c r="AI21" s="460"/>
      <c r="AJ21" s="460"/>
      <c r="AK21" s="460"/>
      <c r="AL21" s="460"/>
      <c r="AM21" s="460"/>
      <c r="AN21" s="460"/>
      <c r="AO21" s="460"/>
      <c r="AP21" s="460"/>
      <c r="AQ21" s="460"/>
      <c r="AR21" s="460"/>
      <c r="AS21" s="460"/>
      <c r="AT21" s="460"/>
      <c r="AU21" s="460"/>
      <c r="AV21" s="460"/>
      <c r="AW21" s="460"/>
      <c r="AX21" s="460"/>
      <c r="AY21" s="460"/>
      <c r="AZ21" s="460"/>
      <c r="BA21" s="460">
        <v>1</v>
      </c>
      <c r="BB21" s="460"/>
      <c r="BC21" s="460"/>
      <c r="BD21" s="460"/>
      <c r="BE21" s="460"/>
      <c r="BF21" s="460"/>
      <c r="BG21" s="460"/>
      <c r="BH21" s="460"/>
      <c r="BI21" s="460"/>
      <c r="BJ21" s="460"/>
      <c r="BK21" s="460"/>
      <c r="BL21" s="460"/>
      <c r="BM21" s="460"/>
      <c r="BN21" s="460"/>
      <c r="BO21" s="460"/>
      <c r="BP21" s="460"/>
      <c r="BQ21" s="460"/>
      <c r="BR21" s="460"/>
      <c r="BS21" s="460"/>
      <c r="BT21" s="460"/>
      <c r="BU21" s="460"/>
    </row>
    <row r="22" spans="1:73" x14ac:dyDescent="0.25">
      <c r="Z22" s="461" t="s">
        <v>284</v>
      </c>
      <c r="AA22" s="460"/>
      <c r="AB22" s="460"/>
      <c r="AC22" s="460"/>
      <c r="AD22" s="460"/>
      <c r="AE22" s="460"/>
      <c r="AF22" s="460">
        <v>1</v>
      </c>
      <c r="AG22" s="460">
        <v>1</v>
      </c>
      <c r="AH22" s="460" t="str">
        <f t="shared" si="2"/>
        <v/>
      </c>
      <c r="AI22" s="460"/>
      <c r="AJ22" s="460"/>
      <c r="AK22" s="460"/>
      <c r="AL22" s="460"/>
      <c r="AM22" s="460"/>
      <c r="AN22" s="460"/>
      <c r="AO22" s="460"/>
      <c r="AP22" s="460"/>
      <c r="AQ22" s="460"/>
      <c r="AR22" s="460"/>
      <c r="AS22" s="460"/>
      <c r="AT22" s="460"/>
      <c r="AU22" s="460"/>
      <c r="AV22" s="460"/>
      <c r="AW22" s="460"/>
      <c r="AX22" s="460"/>
      <c r="AY22" s="460"/>
      <c r="AZ22" s="460"/>
      <c r="BA22" s="460"/>
      <c r="BB22" s="460">
        <v>1</v>
      </c>
      <c r="BC22" s="460"/>
      <c r="BD22" s="460"/>
      <c r="BE22" s="460"/>
      <c r="BF22" s="460"/>
      <c r="BG22" s="460"/>
      <c r="BH22" s="460"/>
      <c r="BI22" s="460"/>
      <c r="BJ22" s="460"/>
      <c r="BK22" s="460"/>
      <c r="BL22" s="460"/>
      <c r="BM22" s="460"/>
      <c r="BN22" s="460"/>
      <c r="BO22" s="460"/>
      <c r="BP22" s="460"/>
      <c r="BQ22" s="460"/>
      <c r="BR22" s="460"/>
      <c r="BS22" s="460"/>
      <c r="BT22" s="460"/>
      <c r="BU22" s="460"/>
    </row>
    <row r="23" spans="1:73" x14ac:dyDescent="0.25">
      <c r="Z23" s="461" t="s">
        <v>294</v>
      </c>
      <c r="AA23" s="460"/>
      <c r="AB23" s="460"/>
      <c r="AC23" s="460"/>
      <c r="AD23" s="460"/>
      <c r="AE23" s="460"/>
      <c r="AF23" s="460">
        <v>1</v>
      </c>
      <c r="AG23" s="460">
        <v>1</v>
      </c>
      <c r="AH23" s="460" t="str">
        <f t="shared" si="2"/>
        <v/>
      </c>
      <c r="AI23" s="460"/>
      <c r="AJ23" s="460"/>
      <c r="AK23" s="460"/>
      <c r="AL23" s="460"/>
      <c r="AM23" s="460"/>
      <c r="AN23" s="460"/>
      <c r="AO23" s="460"/>
      <c r="AP23" s="460"/>
      <c r="AQ23" s="460"/>
      <c r="AR23" s="460"/>
      <c r="AS23" s="460"/>
      <c r="AT23" s="460"/>
      <c r="AU23" s="460"/>
      <c r="AV23" s="460"/>
      <c r="AW23" s="460"/>
      <c r="AX23" s="460"/>
      <c r="AY23" s="460"/>
      <c r="AZ23" s="460"/>
      <c r="BA23" s="460"/>
      <c r="BB23" s="460"/>
      <c r="BC23" s="460">
        <v>1</v>
      </c>
      <c r="BD23" s="460"/>
      <c r="BE23" s="460"/>
      <c r="BF23" s="460"/>
      <c r="BG23" s="460"/>
      <c r="BH23" s="460"/>
      <c r="BI23" s="460"/>
      <c r="BJ23" s="460"/>
      <c r="BK23" s="460"/>
      <c r="BL23" s="460"/>
      <c r="BM23" s="460"/>
      <c r="BN23" s="460"/>
      <c r="BO23" s="460"/>
      <c r="BP23" s="460"/>
      <c r="BQ23" s="460"/>
      <c r="BR23" s="460"/>
      <c r="BS23" s="460"/>
      <c r="BT23" s="460"/>
      <c r="BU23" s="460"/>
    </row>
    <row r="24" spans="1:73" x14ac:dyDescent="0.25">
      <c r="Z24" s="461" t="s">
        <v>400</v>
      </c>
      <c r="AA24" s="460"/>
      <c r="AB24" s="460"/>
      <c r="AC24" s="460"/>
      <c r="AD24" s="460"/>
      <c r="AE24" s="460"/>
      <c r="AF24" s="460">
        <v>1</v>
      </c>
      <c r="AG24" s="460">
        <v>1</v>
      </c>
      <c r="AH24" s="460" t="str">
        <f t="shared" si="2"/>
        <v/>
      </c>
      <c r="AI24" s="460"/>
      <c r="AJ24" s="460"/>
      <c r="AK24" s="460"/>
      <c r="AL24" s="460"/>
      <c r="AM24" s="460"/>
      <c r="AN24" s="460"/>
      <c r="AO24" s="460"/>
      <c r="AP24" s="460"/>
      <c r="AQ24" s="460"/>
      <c r="AR24" s="460"/>
      <c r="AS24" s="460"/>
      <c r="AT24" s="460"/>
      <c r="AU24" s="460"/>
      <c r="AV24" s="460"/>
      <c r="AW24" s="460"/>
      <c r="AX24" s="460"/>
      <c r="AY24" s="460"/>
      <c r="AZ24" s="460"/>
      <c r="BA24" s="460"/>
      <c r="BB24" s="460"/>
      <c r="BC24" s="460"/>
      <c r="BD24" s="460">
        <v>1</v>
      </c>
      <c r="BE24" s="460"/>
      <c r="BF24" s="460"/>
      <c r="BG24" s="460"/>
      <c r="BH24" s="460"/>
      <c r="BI24" s="460"/>
      <c r="BJ24" s="460"/>
      <c r="BK24" s="460"/>
      <c r="BL24" s="460"/>
      <c r="BM24" s="460"/>
      <c r="BN24" s="460"/>
      <c r="BO24" s="460"/>
      <c r="BP24" s="460"/>
      <c r="BQ24" s="460"/>
      <c r="BR24" s="460"/>
      <c r="BS24" s="460"/>
      <c r="BT24" s="460"/>
      <c r="BU24" s="460"/>
    </row>
    <row r="25" spans="1:73" x14ac:dyDescent="0.25">
      <c r="Z25" s="461" t="s">
        <v>472</v>
      </c>
      <c r="AA25" s="460"/>
      <c r="AB25" s="460"/>
      <c r="AC25" s="460"/>
      <c r="AD25" s="460"/>
      <c r="AE25" s="460"/>
      <c r="AF25" s="460">
        <v>1</v>
      </c>
      <c r="AG25" s="460">
        <v>1</v>
      </c>
      <c r="AH25" s="460" t="str">
        <f t="shared" si="2"/>
        <v/>
      </c>
      <c r="AI25" s="460"/>
      <c r="AJ25" s="460"/>
      <c r="AK25" s="460"/>
      <c r="AL25" s="460"/>
      <c r="AM25" s="460"/>
      <c r="AN25" s="460"/>
      <c r="AO25" s="460"/>
      <c r="AP25" s="460"/>
      <c r="AQ25" s="460"/>
      <c r="AR25" s="460"/>
      <c r="AS25" s="460"/>
      <c r="AT25" s="460"/>
      <c r="AU25" s="460"/>
      <c r="AV25" s="460"/>
      <c r="AW25" s="460"/>
      <c r="AX25" s="460"/>
      <c r="AY25" s="460"/>
      <c r="AZ25" s="460"/>
      <c r="BA25" s="460"/>
      <c r="BB25" s="460"/>
      <c r="BC25" s="460"/>
      <c r="BD25" s="460"/>
      <c r="BE25" s="460">
        <v>1</v>
      </c>
      <c r="BF25" s="460"/>
      <c r="BG25" s="460"/>
      <c r="BH25" s="460"/>
      <c r="BI25" s="460"/>
      <c r="BJ25" s="460"/>
      <c r="BK25" s="460"/>
      <c r="BL25" s="460"/>
      <c r="BM25" s="460"/>
      <c r="BN25" s="460"/>
      <c r="BO25" s="460"/>
      <c r="BP25" s="460"/>
      <c r="BQ25" s="460"/>
      <c r="BR25" s="460"/>
      <c r="BS25" s="460"/>
      <c r="BT25" s="460"/>
      <c r="BU25" s="460"/>
    </row>
    <row r="26" spans="1:73" x14ac:dyDescent="0.25">
      <c r="Z26" s="461" t="s">
        <v>333</v>
      </c>
      <c r="AA26" s="460"/>
      <c r="AB26" s="460"/>
      <c r="AC26" s="460"/>
      <c r="AD26" s="460"/>
      <c r="AE26" s="460"/>
      <c r="AF26" s="460"/>
      <c r="AG26" s="460">
        <v>1</v>
      </c>
      <c r="AH26" s="460" t="str">
        <f t="shared" si="2"/>
        <v/>
      </c>
      <c r="AI26" s="460"/>
      <c r="AJ26" s="460"/>
      <c r="AK26" s="460"/>
      <c r="AL26" s="460"/>
      <c r="AM26" s="460"/>
      <c r="AN26" s="460"/>
      <c r="AO26" s="460"/>
      <c r="AP26" s="460"/>
      <c r="AQ26" s="460"/>
      <c r="AR26" s="460"/>
      <c r="AS26" s="460"/>
      <c r="AT26" s="460"/>
      <c r="AU26" s="460"/>
      <c r="AV26" s="460"/>
      <c r="AW26" s="460"/>
      <c r="AX26" s="460"/>
      <c r="AY26" s="460"/>
      <c r="AZ26" s="460"/>
      <c r="BA26" s="460"/>
      <c r="BB26" s="460"/>
      <c r="BC26" s="460"/>
      <c r="BD26" s="460"/>
      <c r="BE26" s="460"/>
      <c r="BF26" s="460">
        <v>1</v>
      </c>
      <c r="BG26" s="460"/>
      <c r="BH26" s="460"/>
      <c r="BI26" s="460"/>
      <c r="BJ26" s="460"/>
      <c r="BK26" s="460"/>
      <c r="BL26" s="460"/>
      <c r="BM26" s="460"/>
      <c r="BN26" s="460"/>
      <c r="BO26" s="460"/>
      <c r="BP26" s="460"/>
      <c r="BQ26" s="460"/>
      <c r="BR26" s="460"/>
      <c r="BS26" s="460"/>
      <c r="BT26" s="460"/>
      <c r="BU26" s="460"/>
    </row>
    <row r="27" spans="1:73" x14ac:dyDescent="0.25">
      <c r="Z27" s="461" t="s">
        <v>203</v>
      </c>
      <c r="AA27" s="460"/>
      <c r="AB27" s="460"/>
      <c r="AC27" s="460"/>
      <c r="AD27" s="460">
        <v>1</v>
      </c>
      <c r="AE27" s="460"/>
      <c r="AF27" s="460"/>
      <c r="AG27" s="460">
        <v>1</v>
      </c>
      <c r="AH27" s="460" t="str">
        <f t="shared" si="2"/>
        <v>1</v>
      </c>
      <c r="AI27" s="460"/>
      <c r="AJ27" s="460"/>
      <c r="AK27" s="460"/>
      <c r="AL27" s="460"/>
      <c r="AM27" s="460"/>
      <c r="AN27" s="460"/>
      <c r="AO27" s="460"/>
      <c r="AP27" s="460"/>
      <c r="AQ27" s="460"/>
      <c r="AR27" s="460"/>
      <c r="AS27" s="460"/>
      <c r="AT27" s="460"/>
      <c r="AU27" s="460"/>
      <c r="AV27" s="460"/>
      <c r="AW27" s="460"/>
      <c r="AX27" s="460"/>
      <c r="AY27" s="460"/>
      <c r="AZ27" s="460"/>
      <c r="BA27" s="460"/>
      <c r="BB27" s="460"/>
      <c r="BC27" s="460"/>
      <c r="BD27" s="460"/>
      <c r="BE27" s="460"/>
      <c r="BF27" s="460"/>
      <c r="BG27" s="460">
        <v>1</v>
      </c>
      <c r="BH27" s="460"/>
      <c r="BI27" s="460"/>
      <c r="BJ27" s="460"/>
      <c r="BK27" s="460"/>
      <c r="BL27" s="460"/>
      <c r="BM27" s="460"/>
      <c r="BN27" s="460"/>
      <c r="BO27" s="460"/>
      <c r="BP27" s="460"/>
      <c r="BQ27" s="460"/>
      <c r="BR27" s="460"/>
      <c r="BS27" s="460"/>
      <c r="BT27" s="460"/>
      <c r="BU27" s="460"/>
    </row>
    <row r="28" spans="1:73" x14ac:dyDescent="0.25">
      <c r="Z28" s="461" t="s">
        <v>295</v>
      </c>
      <c r="AA28" s="460"/>
      <c r="AB28" s="460"/>
      <c r="AC28" s="460"/>
      <c r="AD28" s="460">
        <v>1</v>
      </c>
      <c r="AE28" s="460"/>
      <c r="AF28" s="460"/>
      <c r="AG28" s="460">
        <v>1</v>
      </c>
      <c r="AH28" s="460" t="str">
        <f t="shared" si="2"/>
        <v>1</v>
      </c>
      <c r="AI28" s="460"/>
      <c r="AJ28" s="460"/>
      <c r="AK28" s="460"/>
      <c r="AL28" s="460"/>
      <c r="AM28" s="460"/>
      <c r="AN28" s="460"/>
      <c r="AO28" s="460"/>
      <c r="AP28" s="460"/>
      <c r="AQ28" s="460"/>
      <c r="AR28" s="460"/>
      <c r="AS28" s="460"/>
      <c r="AT28" s="460"/>
      <c r="AU28" s="460"/>
      <c r="AV28" s="460"/>
      <c r="AW28" s="460"/>
      <c r="AX28" s="460"/>
      <c r="AY28" s="460"/>
      <c r="AZ28" s="460"/>
      <c r="BA28" s="460"/>
      <c r="BB28" s="460"/>
      <c r="BC28" s="460"/>
      <c r="BD28" s="460"/>
      <c r="BE28" s="460"/>
      <c r="BF28" s="460"/>
      <c r="BG28" s="460"/>
      <c r="BH28" s="460">
        <v>1</v>
      </c>
      <c r="BI28" s="460"/>
      <c r="BJ28" s="460"/>
      <c r="BK28" s="460"/>
      <c r="BL28" s="460"/>
      <c r="BM28" s="460"/>
      <c r="BN28" s="460"/>
      <c r="BO28" s="460"/>
      <c r="BP28" s="460"/>
      <c r="BQ28" s="460"/>
      <c r="BR28" s="460"/>
      <c r="BS28" s="460"/>
      <c r="BT28" s="460"/>
      <c r="BU28" s="460"/>
    </row>
    <row r="29" spans="1:73" x14ac:dyDescent="0.25">
      <c r="Z29" s="461" t="s">
        <v>296</v>
      </c>
      <c r="AA29" s="460"/>
      <c r="AB29" s="460"/>
      <c r="AC29" s="460"/>
      <c r="AD29" s="460">
        <v>1</v>
      </c>
      <c r="AE29" s="460"/>
      <c r="AF29" s="460"/>
      <c r="AG29" s="460">
        <v>1</v>
      </c>
      <c r="AH29" s="460" t="str">
        <f t="shared" si="2"/>
        <v>1</v>
      </c>
      <c r="AI29" s="460"/>
      <c r="AJ29" s="460"/>
      <c r="AK29" s="460"/>
      <c r="AL29" s="460"/>
      <c r="AM29" s="460"/>
      <c r="AN29" s="460"/>
      <c r="AO29" s="460"/>
      <c r="AP29" s="460"/>
      <c r="AQ29" s="460"/>
      <c r="AR29" s="460"/>
      <c r="AS29" s="460"/>
      <c r="AT29" s="460"/>
      <c r="AU29" s="460"/>
      <c r="AV29" s="460"/>
      <c r="AW29" s="460"/>
      <c r="AX29" s="460"/>
      <c r="AY29" s="460"/>
      <c r="AZ29" s="460"/>
      <c r="BA29" s="460"/>
      <c r="BB29" s="460"/>
      <c r="BC29" s="460"/>
      <c r="BD29" s="460"/>
      <c r="BE29" s="460"/>
      <c r="BF29" s="460"/>
      <c r="BG29" s="460"/>
      <c r="BH29" s="460"/>
      <c r="BI29" s="460">
        <v>1</v>
      </c>
      <c r="BJ29" s="460"/>
      <c r="BK29" s="460"/>
      <c r="BL29" s="460"/>
      <c r="BM29" s="460"/>
      <c r="BN29" s="460"/>
      <c r="BO29" s="460"/>
      <c r="BP29" s="460"/>
      <c r="BQ29" s="460"/>
      <c r="BR29" s="460"/>
      <c r="BS29" s="460"/>
      <c r="BT29" s="460"/>
      <c r="BU29" s="460"/>
    </row>
    <row r="30" spans="1:73" x14ac:dyDescent="0.25">
      <c r="Z30" s="461" t="s">
        <v>316</v>
      </c>
      <c r="AA30" s="460"/>
      <c r="AB30" s="460"/>
      <c r="AC30" s="460"/>
      <c r="AD30" s="460">
        <v>1</v>
      </c>
      <c r="AE30" s="460"/>
      <c r="AF30" s="460"/>
      <c r="AG30" s="460">
        <v>1</v>
      </c>
      <c r="AH30" s="460" t="str">
        <f t="shared" si="2"/>
        <v>1</v>
      </c>
      <c r="AI30" s="460"/>
      <c r="AJ30" s="460"/>
      <c r="AK30" s="460"/>
      <c r="AL30" s="460"/>
      <c r="AM30" s="460"/>
      <c r="AN30" s="460"/>
      <c r="AO30" s="460"/>
      <c r="AP30" s="460"/>
      <c r="AQ30" s="460"/>
      <c r="AR30" s="460"/>
      <c r="AS30" s="460"/>
      <c r="AT30" s="460"/>
      <c r="AU30" s="460"/>
      <c r="AV30" s="460"/>
      <c r="AW30" s="460"/>
      <c r="AX30" s="460"/>
      <c r="AY30" s="460"/>
      <c r="AZ30" s="460"/>
      <c r="BA30" s="460"/>
      <c r="BB30" s="460"/>
      <c r="BC30" s="460"/>
      <c r="BD30" s="460"/>
      <c r="BE30" s="460"/>
      <c r="BF30" s="460"/>
      <c r="BG30" s="460"/>
      <c r="BH30" s="460"/>
      <c r="BI30" s="460"/>
      <c r="BJ30" s="460">
        <v>1</v>
      </c>
      <c r="BK30" s="460"/>
      <c r="BL30" s="460"/>
      <c r="BM30" s="460"/>
      <c r="BN30" s="460"/>
      <c r="BO30" s="460"/>
      <c r="BP30" s="460"/>
      <c r="BQ30" s="460"/>
      <c r="BR30" s="460"/>
      <c r="BS30" s="460"/>
      <c r="BT30" s="460"/>
      <c r="BU30" s="460"/>
    </row>
    <row r="31" spans="1:73" x14ac:dyDescent="0.25">
      <c r="Z31" s="461" t="s">
        <v>339</v>
      </c>
      <c r="AA31" s="460"/>
      <c r="AB31" s="460"/>
      <c r="AC31" s="460"/>
      <c r="AD31" s="460">
        <v>1</v>
      </c>
      <c r="AE31" s="460"/>
      <c r="AF31" s="460"/>
      <c r="AG31" s="460">
        <v>1</v>
      </c>
      <c r="AH31" s="460" t="str">
        <f t="shared" si="2"/>
        <v>1</v>
      </c>
      <c r="AI31" s="460"/>
      <c r="AJ31" s="460"/>
      <c r="AK31" s="460"/>
      <c r="AL31" s="460"/>
      <c r="AM31" s="460"/>
      <c r="AN31" s="460"/>
      <c r="AO31" s="460"/>
      <c r="AP31" s="460"/>
      <c r="AQ31" s="460"/>
      <c r="AR31" s="460"/>
      <c r="AS31" s="460"/>
      <c r="AT31" s="460"/>
      <c r="AU31" s="460"/>
      <c r="AV31" s="460"/>
      <c r="AW31" s="460"/>
      <c r="AX31" s="460"/>
      <c r="AY31" s="460"/>
      <c r="AZ31" s="460"/>
      <c r="BA31" s="460"/>
      <c r="BB31" s="460"/>
      <c r="BC31" s="460"/>
      <c r="BD31" s="460"/>
      <c r="BE31" s="460"/>
      <c r="BF31" s="460"/>
      <c r="BG31" s="460"/>
      <c r="BH31" s="460"/>
      <c r="BI31" s="460"/>
      <c r="BJ31" s="460"/>
      <c r="BK31" s="460">
        <v>1</v>
      </c>
      <c r="BL31" s="460"/>
      <c r="BM31" s="460"/>
      <c r="BN31" s="460"/>
      <c r="BO31" s="460"/>
      <c r="BP31" s="460"/>
      <c r="BQ31" s="460"/>
      <c r="BR31" s="460"/>
      <c r="BS31" s="460"/>
      <c r="BT31" s="460"/>
      <c r="BU31" s="460"/>
    </row>
    <row r="32" spans="1:73" x14ac:dyDescent="0.25">
      <c r="Z32" s="461" t="s">
        <v>365</v>
      </c>
      <c r="AA32" s="460"/>
      <c r="AB32" s="460"/>
      <c r="AC32" s="460"/>
      <c r="AD32" s="460">
        <v>1</v>
      </c>
      <c r="AE32" s="460"/>
      <c r="AF32" s="460"/>
      <c r="AG32" s="460">
        <v>1</v>
      </c>
      <c r="AH32" s="460" t="str">
        <f t="shared" si="2"/>
        <v>1</v>
      </c>
      <c r="AI32" s="460"/>
      <c r="AJ32" s="460"/>
      <c r="AK32" s="460"/>
      <c r="AL32" s="460"/>
      <c r="AM32" s="460"/>
      <c r="AN32" s="460"/>
      <c r="AO32" s="460"/>
      <c r="AP32" s="460"/>
      <c r="AQ32" s="460"/>
      <c r="AR32" s="460"/>
      <c r="AS32" s="460"/>
      <c r="AT32" s="460"/>
      <c r="AU32" s="460"/>
      <c r="AV32" s="460"/>
      <c r="AW32" s="460"/>
      <c r="AX32" s="460"/>
      <c r="AY32" s="460"/>
      <c r="AZ32" s="460"/>
      <c r="BA32" s="460"/>
      <c r="BB32" s="460"/>
      <c r="BC32" s="460"/>
      <c r="BD32" s="460"/>
      <c r="BE32" s="460"/>
      <c r="BF32" s="460"/>
      <c r="BG32" s="460"/>
      <c r="BH32" s="460"/>
      <c r="BI32" s="460"/>
      <c r="BJ32" s="460"/>
      <c r="BK32" s="460"/>
      <c r="BL32" s="460">
        <v>1</v>
      </c>
      <c r="BM32" s="460"/>
      <c r="BN32" s="460"/>
      <c r="BO32" s="460"/>
      <c r="BP32" s="460"/>
      <c r="BQ32" s="460"/>
      <c r="BR32" s="460"/>
      <c r="BS32" s="460"/>
      <c r="BT32" s="460"/>
      <c r="BU32" s="460"/>
    </row>
    <row r="33" spans="26:77" x14ac:dyDescent="0.25">
      <c r="Z33" s="461" t="s">
        <v>366</v>
      </c>
      <c r="AA33" s="460"/>
      <c r="AB33" s="460"/>
      <c r="AC33" s="460"/>
      <c r="AD33" s="460">
        <v>1</v>
      </c>
      <c r="AE33" s="460"/>
      <c r="AF33" s="460"/>
      <c r="AG33" s="460">
        <v>1</v>
      </c>
      <c r="AH33" s="460" t="str">
        <f t="shared" si="2"/>
        <v>1</v>
      </c>
      <c r="AI33" s="460"/>
      <c r="AJ33" s="460"/>
      <c r="AK33" s="460"/>
      <c r="AL33" s="460"/>
      <c r="AM33" s="460"/>
      <c r="AN33" s="460"/>
      <c r="AO33" s="460"/>
      <c r="AP33" s="460"/>
      <c r="AQ33" s="460"/>
      <c r="AR33" s="460"/>
      <c r="AS33" s="460"/>
      <c r="AT33" s="460"/>
      <c r="AU33" s="460"/>
      <c r="AV33" s="460"/>
      <c r="AW33" s="460"/>
      <c r="AX33" s="460"/>
      <c r="AY33" s="460"/>
      <c r="AZ33" s="460"/>
      <c r="BA33" s="460"/>
      <c r="BB33" s="460"/>
      <c r="BC33" s="460"/>
      <c r="BD33" s="460"/>
      <c r="BE33" s="460"/>
      <c r="BF33" s="460"/>
      <c r="BG33" s="460"/>
      <c r="BH33" s="460"/>
      <c r="BI33" s="460"/>
      <c r="BJ33" s="460"/>
      <c r="BK33" s="460"/>
      <c r="BL33" s="460"/>
      <c r="BM33" s="460">
        <v>1</v>
      </c>
      <c r="BN33" s="460"/>
      <c r="BO33" s="460"/>
      <c r="BP33" s="460"/>
      <c r="BQ33" s="460"/>
      <c r="BR33" s="460"/>
      <c r="BS33" s="460"/>
      <c r="BT33" s="460"/>
      <c r="BU33" s="460"/>
    </row>
    <row r="34" spans="26:77" x14ac:dyDescent="0.25">
      <c r="Z34" s="461" t="s">
        <v>395</v>
      </c>
      <c r="AA34" s="460"/>
      <c r="AB34" s="460"/>
      <c r="AC34" s="460"/>
      <c r="AD34" s="460">
        <v>1</v>
      </c>
      <c r="AE34" s="460"/>
      <c r="AF34" s="460"/>
      <c r="AG34" s="460">
        <v>1</v>
      </c>
      <c r="AH34" s="460" t="str">
        <f t="shared" si="2"/>
        <v>1</v>
      </c>
      <c r="AI34" s="460"/>
      <c r="AJ34" s="460"/>
      <c r="AK34" s="460"/>
      <c r="AL34" s="460"/>
      <c r="AM34" s="460"/>
      <c r="AN34" s="460"/>
      <c r="AO34" s="460"/>
      <c r="AP34" s="460"/>
      <c r="AQ34" s="460"/>
      <c r="AR34" s="460"/>
      <c r="AS34" s="460"/>
      <c r="AT34" s="460"/>
      <c r="AU34" s="460"/>
      <c r="AV34" s="460"/>
      <c r="AW34" s="460"/>
      <c r="AX34" s="460"/>
      <c r="AY34" s="460"/>
      <c r="AZ34" s="460"/>
      <c r="BA34" s="460"/>
      <c r="BB34" s="460"/>
      <c r="BC34" s="460"/>
      <c r="BD34" s="460"/>
      <c r="BE34" s="460"/>
      <c r="BF34" s="460"/>
      <c r="BG34" s="460"/>
      <c r="BH34" s="460"/>
      <c r="BI34" s="460"/>
      <c r="BJ34" s="460"/>
      <c r="BK34" s="460"/>
      <c r="BL34" s="460"/>
      <c r="BM34" s="460"/>
      <c r="BN34" s="460">
        <v>1</v>
      </c>
      <c r="BO34" s="460"/>
      <c r="BP34" s="460"/>
      <c r="BQ34" s="460"/>
      <c r="BR34" s="460"/>
      <c r="BS34" s="460"/>
      <c r="BT34" s="460"/>
      <c r="BU34" s="460"/>
    </row>
    <row r="35" spans="26:77" x14ac:dyDescent="0.25">
      <c r="Z35" s="461" t="s">
        <v>441</v>
      </c>
      <c r="AA35" s="460"/>
      <c r="AB35" s="460"/>
      <c r="AC35" s="460"/>
      <c r="AD35" s="460">
        <v>1</v>
      </c>
      <c r="AE35" s="460"/>
      <c r="AF35" s="460"/>
      <c r="AG35" s="460">
        <v>1</v>
      </c>
      <c r="AH35" s="460" t="str">
        <f t="shared" si="2"/>
        <v>1</v>
      </c>
      <c r="AI35" s="460"/>
      <c r="AJ35" s="460"/>
      <c r="AK35" s="460"/>
      <c r="AL35" s="460"/>
      <c r="AM35" s="460"/>
      <c r="AN35" s="460"/>
      <c r="AO35" s="460"/>
      <c r="AP35" s="460"/>
      <c r="AQ35" s="460"/>
      <c r="AR35" s="460"/>
      <c r="AS35" s="460"/>
      <c r="AT35" s="460"/>
      <c r="AU35" s="460"/>
      <c r="AV35" s="460"/>
      <c r="AW35" s="460"/>
      <c r="AX35" s="460"/>
      <c r="AY35" s="460"/>
      <c r="AZ35" s="460"/>
      <c r="BA35" s="460"/>
      <c r="BB35" s="460"/>
      <c r="BC35" s="460"/>
      <c r="BD35" s="460"/>
      <c r="BE35" s="460"/>
      <c r="BF35" s="460"/>
      <c r="BG35" s="460"/>
      <c r="BH35" s="460"/>
      <c r="BI35" s="460"/>
      <c r="BJ35" s="460"/>
      <c r="BK35" s="460"/>
      <c r="BL35" s="460"/>
      <c r="BM35" s="460"/>
      <c r="BN35" s="460"/>
      <c r="BO35" s="460">
        <v>1</v>
      </c>
      <c r="BP35" s="460"/>
      <c r="BQ35" s="460"/>
      <c r="BR35" s="460"/>
      <c r="BS35" s="460"/>
      <c r="BT35" s="460"/>
      <c r="BU35" s="460"/>
    </row>
    <row r="36" spans="26:77" x14ac:dyDescent="0.25">
      <c r="Z36" s="461" t="s">
        <v>485</v>
      </c>
      <c r="AA36" s="460"/>
      <c r="AB36" s="460"/>
      <c r="AC36" s="460"/>
      <c r="AD36" s="460">
        <v>1</v>
      </c>
      <c r="AE36" s="460"/>
      <c r="AF36" s="460"/>
      <c r="AG36" s="460">
        <v>1</v>
      </c>
      <c r="AH36" s="460" t="str">
        <f t="shared" si="2"/>
        <v>1</v>
      </c>
      <c r="AI36" s="460"/>
      <c r="AJ36" s="460"/>
      <c r="AK36" s="460"/>
      <c r="AL36" s="460"/>
      <c r="AM36" s="460"/>
      <c r="AN36" s="460"/>
      <c r="AO36" s="460"/>
      <c r="AP36" s="460"/>
      <c r="AQ36" s="460"/>
      <c r="AR36" s="460"/>
      <c r="AS36" s="460"/>
      <c r="AT36" s="460"/>
      <c r="AU36" s="460"/>
      <c r="AV36" s="460"/>
      <c r="AW36" s="460"/>
      <c r="AX36" s="460"/>
      <c r="AY36" s="460"/>
      <c r="AZ36" s="460"/>
      <c r="BA36" s="460"/>
      <c r="BB36" s="460"/>
      <c r="BC36" s="460"/>
      <c r="BD36" s="460"/>
      <c r="BE36" s="460"/>
      <c r="BF36" s="460"/>
      <c r="BG36" s="460"/>
      <c r="BH36" s="460"/>
      <c r="BI36" s="460"/>
      <c r="BJ36" s="460"/>
      <c r="BK36" s="460"/>
      <c r="BL36" s="460"/>
      <c r="BM36" s="460"/>
      <c r="BN36" s="460"/>
      <c r="BO36" s="460"/>
      <c r="BP36" s="460">
        <v>1</v>
      </c>
      <c r="BQ36" s="460"/>
      <c r="BR36" s="460"/>
      <c r="BS36" s="460"/>
      <c r="BT36" s="460"/>
      <c r="BU36" s="460"/>
    </row>
    <row r="37" spans="26:77" x14ac:dyDescent="0.25">
      <c r="Z37" s="461" t="s">
        <v>387</v>
      </c>
      <c r="AA37" s="460"/>
      <c r="AB37" s="460"/>
      <c r="AC37" s="460"/>
      <c r="AD37" s="460"/>
      <c r="AE37" s="460"/>
      <c r="AF37" s="460"/>
      <c r="AG37" s="460">
        <v>1</v>
      </c>
      <c r="AH37" s="460" t="str">
        <f t="shared" si="2"/>
        <v/>
      </c>
      <c r="AI37" s="460"/>
      <c r="AJ37" s="460"/>
      <c r="AK37" s="460"/>
      <c r="AL37" s="460"/>
      <c r="AM37" s="460"/>
      <c r="AN37" s="460"/>
      <c r="AO37" s="460"/>
      <c r="AP37" s="460"/>
      <c r="AQ37" s="460"/>
      <c r="AR37" s="460"/>
      <c r="AS37" s="460"/>
      <c r="AT37" s="460"/>
      <c r="AU37" s="460"/>
      <c r="AV37" s="460"/>
      <c r="AW37" s="460"/>
      <c r="AX37" s="460"/>
      <c r="AY37" s="460"/>
      <c r="AZ37" s="460"/>
      <c r="BA37" s="460"/>
      <c r="BB37" s="460"/>
      <c r="BC37" s="460"/>
      <c r="BD37" s="460"/>
      <c r="BE37" s="460"/>
      <c r="BF37" s="460"/>
      <c r="BG37" s="460"/>
      <c r="BH37" s="460"/>
      <c r="BI37" s="460"/>
      <c r="BJ37" s="460"/>
      <c r="BK37" s="460"/>
      <c r="BL37" s="460"/>
      <c r="BM37" s="460"/>
      <c r="BN37" s="460"/>
      <c r="BO37" s="460"/>
      <c r="BP37" s="460"/>
      <c r="BQ37" s="460">
        <v>1</v>
      </c>
      <c r="BR37" s="460"/>
      <c r="BS37" s="460"/>
      <c r="BT37" s="460"/>
      <c r="BU37" s="460"/>
    </row>
    <row r="38" spans="26:77" x14ac:dyDescent="0.25">
      <c r="Z38" s="461" t="s">
        <v>401</v>
      </c>
      <c r="AA38" s="460"/>
      <c r="AB38" s="460"/>
      <c r="AC38" s="460"/>
      <c r="AD38" s="460"/>
      <c r="AE38" s="460"/>
      <c r="AF38" s="460"/>
      <c r="AG38" s="460">
        <v>1</v>
      </c>
      <c r="AH38" s="460" t="str">
        <f t="shared" si="2"/>
        <v/>
      </c>
      <c r="AI38" s="460"/>
      <c r="AJ38" s="460"/>
      <c r="AK38" s="460"/>
      <c r="AL38" s="460"/>
      <c r="AM38" s="460"/>
      <c r="AN38" s="460"/>
      <c r="AO38" s="460"/>
      <c r="AP38" s="460"/>
      <c r="AQ38" s="460"/>
      <c r="AR38" s="460"/>
      <c r="AS38" s="460"/>
      <c r="AT38" s="460"/>
      <c r="AU38" s="460"/>
      <c r="AV38" s="460"/>
      <c r="AW38" s="460"/>
      <c r="AX38" s="460"/>
      <c r="AY38" s="460"/>
      <c r="AZ38" s="460"/>
      <c r="BA38" s="460"/>
      <c r="BB38" s="460"/>
      <c r="BC38" s="460"/>
      <c r="BD38" s="460"/>
      <c r="BE38" s="460"/>
      <c r="BF38" s="460"/>
      <c r="BG38" s="460"/>
      <c r="BH38" s="460"/>
      <c r="BI38" s="460"/>
      <c r="BJ38" s="460"/>
      <c r="BK38" s="460"/>
      <c r="BL38" s="460"/>
      <c r="BM38" s="460"/>
      <c r="BN38" s="460"/>
      <c r="BO38" s="460"/>
      <c r="BP38" s="460"/>
      <c r="BQ38" s="460"/>
      <c r="BR38" s="460">
        <v>1</v>
      </c>
      <c r="BS38" s="460"/>
      <c r="BT38" s="460"/>
      <c r="BU38" s="460"/>
    </row>
    <row r="39" spans="26:77" x14ac:dyDescent="0.25">
      <c r="Z39" s="461" t="s">
        <v>76</v>
      </c>
      <c r="AA39" s="460"/>
      <c r="AB39" s="460"/>
      <c r="AC39" s="460"/>
      <c r="AD39" s="460"/>
      <c r="AE39" s="460">
        <v>1</v>
      </c>
      <c r="AF39" s="460"/>
      <c r="AG39" s="460">
        <v>1</v>
      </c>
      <c r="AH39" s="460" t="str">
        <f t="shared" si="2"/>
        <v/>
      </c>
      <c r="AI39" s="460"/>
      <c r="AJ39" s="460"/>
      <c r="AK39" s="460"/>
      <c r="AL39" s="460"/>
      <c r="AM39" s="460"/>
      <c r="AN39" s="460"/>
      <c r="AO39" s="460"/>
      <c r="AP39" s="460"/>
      <c r="AQ39" s="460"/>
      <c r="AR39" s="460"/>
      <c r="AS39" s="460"/>
      <c r="AT39" s="460"/>
      <c r="AU39" s="460"/>
      <c r="AV39" s="460"/>
      <c r="AW39" s="460"/>
      <c r="AX39" s="460"/>
      <c r="AY39" s="460"/>
      <c r="AZ39" s="460"/>
      <c r="BA39" s="460"/>
      <c r="BB39" s="460"/>
      <c r="BC39" s="460"/>
      <c r="BD39" s="460"/>
      <c r="BE39" s="460"/>
      <c r="BF39" s="460"/>
      <c r="BG39" s="460"/>
      <c r="BH39" s="460"/>
      <c r="BI39" s="460"/>
      <c r="BJ39" s="460"/>
      <c r="BK39" s="460"/>
      <c r="BL39" s="460"/>
      <c r="BM39" s="460"/>
      <c r="BN39" s="460"/>
      <c r="BO39" s="460"/>
      <c r="BP39" s="460"/>
      <c r="BQ39" s="460"/>
      <c r="BR39" s="460"/>
      <c r="BS39" s="460">
        <v>1</v>
      </c>
      <c r="BT39" s="460"/>
      <c r="BU39" s="460"/>
    </row>
    <row r="40" spans="26:77" x14ac:dyDescent="0.25">
      <c r="Z40" s="461" t="s">
        <v>81</v>
      </c>
      <c r="AA40" s="460"/>
      <c r="AB40" s="460"/>
      <c r="AC40" s="460"/>
      <c r="AD40" s="460"/>
      <c r="AE40" s="460"/>
      <c r="AF40" s="460"/>
      <c r="AG40" s="460">
        <v>1</v>
      </c>
      <c r="AH40" s="460" t="str">
        <f t="shared" si="2"/>
        <v/>
      </c>
      <c r="AI40" s="460"/>
      <c r="AJ40" s="460"/>
      <c r="AK40" s="460"/>
      <c r="AL40" s="460"/>
      <c r="AM40" s="460"/>
      <c r="AN40" s="460"/>
      <c r="AO40" s="460"/>
      <c r="AP40" s="460"/>
      <c r="AQ40" s="460"/>
      <c r="AR40" s="460"/>
      <c r="AS40" s="460"/>
      <c r="AT40" s="460"/>
      <c r="AU40" s="460"/>
      <c r="AV40" s="460"/>
      <c r="AW40" s="460"/>
      <c r="AX40" s="460"/>
      <c r="AY40" s="460"/>
      <c r="AZ40" s="460"/>
      <c r="BA40" s="460"/>
      <c r="BB40" s="460"/>
      <c r="BC40" s="460"/>
      <c r="BD40" s="460"/>
      <c r="BE40" s="460"/>
      <c r="BF40" s="460"/>
      <c r="BG40" s="460"/>
      <c r="BH40" s="460"/>
      <c r="BI40" s="460"/>
      <c r="BJ40" s="460"/>
      <c r="BK40" s="460"/>
      <c r="BL40" s="460"/>
      <c r="BM40" s="460"/>
      <c r="BN40" s="460"/>
      <c r="BO40" s="460"/>
      <c r="BP40" s="460"/>
      <c r="BQ40" s="460"/>
      <c r="BR40" s="460"/>
      <c r="BS40" s="460"/>
      <c r="BT40" s="460">
        <v>1</v>
      </c>
      <c r="BU40" s="460"/>
    </row>
    <row r="41" spans="26:77" ht="15.75" thickBot="1" x14ac:dyDescent="0.3">
      <c r="Z41" s="462" t="s">
        <v>3569</v>
      </c>
      <c r="AA41" s="460"/>
      <c r="AB41" s="460"/>
      <c r="AC41" s="460"/>
      <c r="AD41" s="460"/>
      <c r="AE41" s="460"/>
      <c r="AF41" s="460"/>
      <c r="AG41" s="460">
        <v>1</v>
      </c>
      <c r="AH41" s="460" t="str">
        <f t="shared" si="2"/>
        <v/>
      </c>
      <c r="AI41" s="460"/>
      <c r="AJ41" s="460"/>
      <c r="AK41" s="460"/>
      <c r="AL41" s="460"/>
      <c r="AM41" s="460"/>
      <c r="AN41" s="460"/>
      <c r="AO41" s="460"/>
      <c r="AP41" s="460"/>
      <c r="AQ41" s="460"/>
      <c r="AR41" s="460"/>
      <c r="AS41" s="460"/>
      <c r="AT41" s="460"/>
      <c r="AU41" s="460"/>
      <c r="AV41" s="460"/>
      <c r="AW41" s="460"/>
      <c r="AX41" s="460"/>
      <c r="AY41" s="460"/>
      <c r="AZ41" s="460"/>
      <c r="BA41" s="460"/>
      <c r="BB41" s="460"/>
      <c r="BC41" s="460"/>
      <c r="BD41" s="460"/>
      <c r="BE41" s="460"/>
      <c r="BF41" s="460"/>
      <c r="BG41" s="460"/>
      <c r="BH41" s="460"/>
      <c r="BI41" s="460"/>
      <c r="BJ41" s="460"/>
      <c r="BK41" s="460"/>
      <c r="BL41" s="460"/>
      <c r="BM41" s="460"/>
      <c r="BN41" s="460"/>
      <c r="BO41" s="460"/>
      <c r="BP41" s="460"/>
      <c r="BQ41" s="460"/>
      <c r="BR41" s="460"/>
      <c r="BS41" s="460"/>
      <c r="BT41" s="460"/>
      <c r="BU41" s="460">
        <v>1</v>
      </c>
    </row>
    <row r="42" spans="26:77" x14ac:dyDescent="0.25">
      <c r="BV42">
        <v>1</v>
      </c>
    </row>
    <row r="43" spans="26:77" x14ac:dyDescent="0.25">
      <c r="BW43">
        <v>1</v>
      </c>
    </row>
    <row r="44" spans="26:77" x14ac:dyDescent="0.25">
      <c r="BX44">
        <v>1</v>
      </c>
    </row>
    <row r="45" spans="26:77" ht="15.75" thickBot="1" x14ac:dyDescent="0.3">
      <c r="AF45" s="461"/>
      <c r="AG45" s="461"/>
      <c r="AH45" s="461"/>
      <c r="AI45" s="461"/>
      <c r="AJ45" s="461"/>
      <c r="AK45" s="461"/>
      <c r="AL45" s="461"/>
      <c r="AM45" s="461"/>
      <c r="AN45" s="461"/>
      <c r="AO45" s="461"/>
      <c r="AP45" s="461"/>
      <c r="AQ45" s="461"/>
      <c r="AR45" s="461"/>
      <c r="AS45" s="461"/>
      <c r="AT45" s="461"/>
      <c r="AU45" s="461"/>
      <c r="AV45" s="461"/>
      <c r="AW45" s="461"/>
      <c r="AX45" s="461"/>
      <c r="AY45" s="461"/>
      <c r="AZ45" s="461"/>
      <c r="BA45" s="461"/>
      <c r="BB45" s="461"/>
      <c r="BC45" s="461"/>
      <c r="BD45" s="461"/>
      <c r="BE45" s="461"/>
      <c r="BF45" s="461"/>
      <c r="BG45" s="461"/>
      <c r="BH45" s="461"/>
      <c r="BI45" s="461"/>
      <c r="BJ45" s="461"/>
      <c r="BK45" s="461"/>
      <c r="BL45" s="461"/>
      <c r="BM45" s="461"/>
      <c r="BN45" s="461"/>
      <c r="BO45" s="461"/>
      <c r="BP45" s="461"/>
      <c r="BQ45" s="461"/>
      <c r="BR45" s="462"/>
      <c r="BY45">
        <v>1</v>
      </c>
    </row>
  </sheetData>
  <conditionalFormatting sqref="AA3:BU41">
    <cfRule type="expression" dxfId="4" priority="2">
      <formula>AA3&lt;&gt;0</formula>
    </cfRule>
  </conditionalFormatting>
  <conditionalFormatting sqref="D2:R101">
    <cfRule type="expression" dxfId="3" priority="1">
      <formula>D2&lt;&gt;0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7">
    <tabColor theme="7" tint="0.39997558519241921"/>
  </sheetPr>
  <dimension ref="A1:DB103"/>
  <sheetViews>
    <sheetView topLeftCell="CJ1" zoomScale="115" zoomScaleNormal="115" workbookViewId="0">
      <selection activeCell="L103" sqref="L103:DB103"/>
    </sheetView>
  </sheetViews>
  <sheetFormatPr defaultRowHeight="15" outlineLevelCol="1" x14ac:dyDescent="0.25"/>
  <cols>
    <col min="3" max="3" width="14.140625" customWidth="1"/>
    <col min="5" max="5" width="11.7109375" customWidth="1"/>
    <col min="6" max="6" width="13.7109375" customWidth="1"/>
    <col min="7" max="7" width="11.140625" customWidth="1"/>
    <col min="8" max="8" width="12.28515625" customWidth="1"/>
    <col min="9" max="9" width="10.7109375" customWidth="1"/>
    <col min="12" max="12" width="11.7109375" customWidth="1"/>
    <col min="13" max="13" width="11.85546875" customWidth="1"/>
    <col min="14" max="14" width="12" customWidth="1"/>
    <col min="15" max="15" width="14.28515625" customWidth="1"/>
    <col min="18" max="19" width="12" customWidth="1"/>
    <col min="21" max="22" width="9.140625" customWidth="1" outlineLevel="1"/>
    <col min="24" max="25" width="9.140625" customWidth="1" outlineLevel="1"/>
    <col min="28" max="32" width="9.140625" customWidth="1" outlineLevel="1"/>
    <col min="34" max="52" width="9.140625" customWidth="1" outlineLevel="1"/>
    <col min="53" max="53" width="9.140625" customWidth="1"/>
    <col min="54" max="72" width="9.140625" customWidth="1" outlineLevel="1"/>
    <col min="74" max="74" width="20" customWidth="1"/>
    <col min="79" max="86" width="9.140625" customWidth="1" outlineLevel="1"/>
    <col min="90" max="105" width="9.140625" customWidth="1" outlineLevel="1"/>
  </cols>
  <sheetData>
    <row r="1" spans="1:106" ht="23.25" customHeight="1" x14ac:dyDescent="0.25">
      <c r="A1" s="456"/>
      <c r="B1" s="1250" t="s">
        <v>60</v>
      </c>
      <c r="C1" s="1241" t="s">
        <v>177</v>
      </c>
      <c r="D1" s="1241" t="s">
        <v>61</v>
      </c>
      <c r="E1" s="1241" t="s">
        <v>4356</v>
      </c>
      <c r="F1" s="1241" t="s">
        <v>5929</v>
      </c>
      <c r="G1" s="1241" t="s">
        <v>4157</v>
      </c>
      <c r="H1" s="1241" t="s">
        <v>4158</v>
      </c>
      <c r="I1" s="1241" t="s">
        <v>4128</v>
      </c>
      <c r="J1" s="1243" t="s">
        <v>1112</v>
      </c>
      <c r="K1" s="1244"/>
      <c r="L1" s="1245"/>
      <c r="M1" s="1241" t="s">
        <v>3301</v>
      </c>
      <c r="N1" s="1241" t="s">
        <v>4133</v>
      </c>
      <c r="O1" s="1246" t="s">
        <v>3345</v>
      </c>
      <c r="P1" s="1241" t="s">
        <v>2251</v>
      </c>
      <c r="Q1" s="1241" t="s">
        <v>2252</v>
      </c>
      <c r="R1" s="657" t="s">
        <v>4133</v>
      </c>
      <c r="S1" s="1239" t="s">
        <v>6531</v>
      </c>
      <c r="T1" s="1243" t="s">
        <v>392</v>
      </c>
      <c r="U1" s="1244"/>
      <c r="V1" s="1245"/>
      <c r="W1" s="1243" t="s">
        <v>89</v>
      </c>
      <c r="X1" s="1244"/>
      <c r="Y1" s="1245"/>
      <c r="Z1" s="657" t="s">
        <v>2958</v>
      </c>
      <c r="AA1" s="1243" t="s">
        <v>2959</v>
      </c>
      <c r="AB1" s="1244"/>
      <c r="AC1" s="1244"/>
      <c r="AD1" s="1244"/>
      <c r="AE1" s="1244"/>
      <c r="AF1" s="1245"/>
      <c r="AG1" s="1243" t="s">
        <v>7058</v>
      </c>
      <c r="AH1" s="1244"/>
      <c r="AI1" s="1244"/>
      <c r="AJ1" s="1244"/>
      <c r="AK1" s="1244"/>
      <c r="AL1" s="1244"/>
      <c r="AM1" s="1244"/>
      <c r="AN1" s="1244"/>
      <c r="AO1" s="1244"/>
      <c r="AP1" s="1244"/>
      <c r="AQ1" s="1244"/>
      <c r="AR1" s="1244"/>
      <c r="AS1" s="1244"/>
      <c r="AT1" s="1244"/>
      <c r="AU1" s="1244"/>
      <c r="AV1" s="1244"/>
      <c r="AW1" s="1244"/>
      <c r="AX1" s="1244"/>
      <c r="AY1" s="1244"/>
      <c r="AZ1" s="1245"/>
      <c r="BA1" s="1243" t="s">
        <v>7059</v>
      </c>
      <c r="BB1" s="1244"/>
      <c r="BC1" s="1244"/>
      <c r="BD1" s="1244"/>
      <c r="BE1" s="1244"/>
      <c r="BF1" s="1244"/>
      <c r="BG1" s="1244"/>
      <c r="BH1" s="1244"/>
      <c r="BI1" s="1244"/>
      <c r="BJ1" s="1244"/>
      <c r="BK1" s="1244"/>
      <c r="BL1" s="1244"/>
      <c r="BM1" s="1244"/>
      <c r="BN1" s="1244"/>
      <c r="BO1" s="1244"/>
      <c r="BP1" s="1244"/>
      <c r="BQ1" s="1244"/>
      <c r="BR1" s="1244"/>
      <c r="BS1" s="1244"/>
      <c r="BT1" s="1245"/>
      <c r="BU1" s="657" t="s">
        <v>2948</v>
      </c>
      <c r="BV1" s="657"/>
      <c r="BW1" s="1239" t="s">
        <v>2238</v>
      </c>
      <c r="BX1" s="1243" t="s">
        <v>3090</v>
      </c>
      <c r="BY1" s="1244"/>
      <c r="BZ1" s="1244"/>
      <c r="CA1" s="1244"/>
      <c r="CB1" s="1244"/>
      <c r="CC1" s="1244"/>
      <c r="CD1" s="1244"/>
      <c r="CE1" s="1244"/>
      <c r="CF1" s="1244"/>
      <c r="CG1" s="1245"/>
      <c r="CH1" s="1243" t="s">
        <v>4296</v>
      </c>
      <c r="CI1" s="1244"/>
      <c r="CJ1" s="1244"/>
      <c r="CK1" s="1244"/>
      <c r="CL1" s="1244"/>
      <c r="CM1" s="1244"/>
      <c r="CN1" s="1244"/>
      <c r="CO1" s="1244"/>
      <c r="CP1" s="1244"/>
      <c r="CQ1" s="1244"/>
      <c r="CR1" s="1244"/>
      <c r="CS1" s="1244"/>
      <c r="CT1" s="1244"/>
      <c r="CU1" s="1244"/>
      <c r="CV1" s="1244"/>
      <c r="CW1" s="1244"/>
      <c r="CX1" s="1244"/>
      <c r="CY1" s="1244"/>
      <c r="CZ1" s="1244"/>
      <c r="DA1" s="1245"/>
      <c r="DB1" s="1248" t="s">
        <v>62</v>
      </c>
    </row>
    <row r="2" spans="1:106" ht="21.75" customHeight="1" x14ac:dyDescent="0.25">
      <c r="A2" s="678">
        <f>MAX(A3:A102)</f>
        <v>12</v>
      </c>
      <c r="B2" s="1251"/>
      <c r="C2" s="1242"/>
      <c r="D2" s="1242"/>
      <c r="E2" s="1242"/>
      <c r="F2" s="1242"/>
      <c r="G2" s="1242"/>
      <c r="H2" s="1242"/>
      <c r="I2" s="1242"/>
      <c r="J2" s="657" t="s">
        <v>4294</v>
      </c>
      <c r="K2" s="657" t="s">
        <v>4295</v>
      </c>
      <c r="L2" s="657" t="s">
        <v>4129</v>
      </c>
      <c r="M2" s="1242"/>
      <c r="N2" s="1242"/>
      <c r="O2" s="1247"/>
      <c r="P2" s="1242"/>
      <c r="Q2" s="1242"/>
      <c r="R2" s="657"/>
      <c r="S2" s="1240"/>
      <c r="T2" s="657" t="s">
        <v>2843</v>
      </c>
      <c r="U2" s="657" t="s">
        <v>2844</v>
      </c>
      <c r="V2" s="657" t="s">
        <v>2859</v>
      </c>
      <c r="W2" s="657" t="s">
        <v>2860</v>
      </c>
      <c r="X2" s="657" t="s">
        <v>2861</v>
      </c>
      <c r="Y2" s="657" t="s">
        <v>2862</v>
      </c>
      <c r="Z2" s="657" t="s">
        <v>2863</v>
      </c>
      <c r="AA2" s="657" t="s">
        <v>2793</v>
      </c>
      <c r="AB2" s="657" t="s">
        <v>2865</v>
      </c>
      <c r="AC2" s="657" t="s">
        <v>2794</v>
      </c>
      <c r="AD2" s="657" t="s">
        <v>2866</v>
      </c>
      <c r="AE2" s="657" t="s">
        <v>2795</v>
      </c>
      <c r="AF2" s="657" t="s">
        <v>2869</v>
      </c>
      <c r="AG2" s="657" t="s">
        <v>7060</v>
      </c>
      <c r="AH2" s="657" t="s">
        <v>7061</v>
      </c>
      <c r="AI2" s="657" t="s">
        <v>7062</v>
      </c>
      <c r="AJ2" s="657" t="s">
        <v>7063</v>
      </c>
      <c r="AK2" s="657" t="s">
        <v>7064</v>
      </c>
      <c r="AL2" s="657" t="s">
        <v>7065</v>
      </c>
      <c r="AM2" s="657" t="s">
        <v>7066</v>
      </c>
      <c r="AN2" s="657" t="s">
        <v>7067</v>
      </c>
      <c r="AO2" s="657" t="s">
        <v>7068</v>
      </c>
      <c r="AP2" s="657" t="s">
        <v>7069</v>
      </c>
      <c r="AQ2" s="657" t="s">
        <v>7070</v>
      </c>
      <c r="AR2" s="657" t="s">
        <v>7071</v>
      </c>
      <c r="AS2" s="657" t="s">
        <v>7072</v>
      </c>
      <c r="AT2" s="657" t="s">
        <v>7073</v>
      </c>
      <c r="AU2" s="657" t="s">
        <v>7074</v>
      </c>
      <c r="AV2" s="657" t="s">
        <v>7075</v>
      </c>
      <c r="AW2" s="657" t="s">
        <v>7076</v>
      </c>
      <c r="AX2" s="657" t="s">
        <v>7077</v>
      </c>
      <c r="AY2" s="657" t="s">
        <v>7078</v>
      </c>
      <c r="AZ2" s="657" t="s">
        <v>7079</v>
      </c>
      <c r="BA2" s="657" t="s">
        <v>7080</v>
      </c>
      <c r="BB2" s="657" t="s">
        <v>7081</v>
      </c>
      <c r="BC2" s="657" t="s">
        <v>7082</v>
      </c>
      <c r="BD2" s="657" t="s">
        <v>7083</v>
      </c>
      <c r="BE2" s="657" t="s">
        <v>7084</v>
      </c>
      <c r="BF2" s="657" t="s">
        <v>7085</v>
      </c>
      <c r="BG2" s="657" t="s">
        <v>7086</v>
      </c>
      <c r="BH2" s="657" t="s">
        <v>7087</v>
      </c>
      <c r="BI2" s="657" t="s">
        <v>7088</v>
      </c>
      <c r="BJ2" s="657" t="s">
        <v>7089</v>
      </c>
      <c r="BK2" s="657" t="s">
        <v>7090</v>
      </c>
      <c r="BL2" s="657" t="s">
        <v>7091</v>
      </c>
      <c r="BM2" s="657" t="s">
        <v>7092</v>
      </c>
      <c r="BN2" s="657" t="s">
        <v>7093</v>
      </c>
      <c r="BO2" s="657" t="s">
        <v>7094</v>
      </c>
      <c r="BP2" s="657" t="s">
        <v>7095</v>
      </c>
      <c r="BQ2" s="657" t="s">
        <v>7096</v>
      </c>
      <c r="BR2" s="657" t="s">
        <v>7097</v>
      </c>
      <c r="BS2" s="657" t="s">
        <v>7098</v>
      </c>
      <c r="BT2" s="657" t="s">
        <v>7099</v>
      </c>
      <c r="BU2" s="657" t="s">
        <v>2952</v>
      </c>
      <c r="BV2" s="657" t="s">
        <v>2948</v>
      </c>
      <c r="BW2" s="1240"/>
      <c r="BX2" s="657" t="s">
        <v>3078</v>
      </c>
      <c r="BY2" s="657" t="s">
        <v>4178</v>
      </c>
      <c r="BZ2" s="657"/>
      <c r="CA2" s="657" t="s">
        <v>20</v>
      </c>
      <c r="CB2" s="657" t="s">
        <v>21</v>
      </c>
      <c r="CC2" s="657" t="s">
        <v>22</v>
      </c>
      <c r="CD2" s="657" t="s">
        <v>23</v>
      </c>
      <c r="CE2" s="657" t="s">
        <v>24</v>
      </c>
      <c r="CF2" s="657" t="s">
        <v>4133</v>
      </c>
      <c r="CG2" s="657" t="s">
        <v>4128</v>
      </c>
      <c r="CH2" s="677">
        <v>1</v>
      </c>
      <c r="CI2" s="677">
        <v>2</v>
      </c>
      <c r="CJ2" s="677">
        <v>3</v>
      </c>
      <c r="CK2" s="677">
        <v>4</v>
      </c>
      <c r="CL2" s="677">
        <v>5</v>
      </c>
      <c r="CM2" s="677">
        <v>6</v>
      </c>
      <c r="CN2" s="677">
        <v>7</v>
      </c>
      <c r="CO2" s="677">
        <v>8</v>
      </c>
      <c r="CP2" s="677">
        <v>9</v>
      </c>
      <c r="CQ2" s="677">
        <v>10</v>
      </c>
      <c r="CR2" s="677">
        <v>11</v>
      </c>
      <c r="CS2" s="677">
        <v>12</v>
      </c>
      <c r="CT2" s="677">
        <v>13</v>
      </c>
      <c r="CU2" s="677">
        <v>14</v>
      </c>
      <c r="CV2" s="677">
        <v>15</v>
      </c>
      <c r="CW2" s="677">
        <v>16</v>
      </c>
      <c r="CX2" s="677">
        <v>17</v>
      </c>
      <c r="CY2" s="677">
        <v>18</v>
      </c>
      <c r="CZ2" s="677">
        <v>19</v>
      </c>
      <c r="DA2" s="677">
        <v>20</v>
      </c>
      <c r="DB2" s="1249"/>
    </row>
    <row r="3" spans="1:106" x14ac:dyDescent="0.25">
      <c r="A3" s="134">
        <f>IF(B3="","",1)</f>
        <v>1</v>
      </c>
      <c r="B3" s="603" t="s">
        <v>616</v>
      </c>
      <c r="C3" s="680" t="s">
        <v>5118</v>
      </c>
      <c r="D3" s="603">
        <v>12</v>
      </c>
      <c r="E3" s="603" t="s">
        <v>6162</v>
      </c>
      <c r="F3" s="681" t="s">
        <v>5130</v>
      </c>
      <c r="G3" s="603" t="s">
        <v>4148</v>
      </c>
      <c r="H3" s="603" t="s">
        <v>4154</v>
      </c>
      <c r="I3" s="603" t="s">
        <v>1114</v>
      </c>
      <c r="J3" s="603" t="s">
        <v>1114</v>
      </c>
      <c r="K3" s="603" t="s">
        <v>1114</v>
      </c>
      <c r="L3" s="603" t="s">
        <v>1114</v>
      </c>
      <c r="M3" s="603" t="s">
        <v>4163</v>
      </c>
      <c r="N3" s="603">
        <v>2</v>
      </c>
      <c r="O3" s="603" t="str">
        <f>IF(P3="Str","Strength",IF(P3="Dex","Dexterity",IF(P3="Con","Constitution",IF(P3="Int","Intelligence",IF(P3="Wis","Wisdom",IF(P3="Cha","Charisma;"""))))))&amp;", "&amp;IF(Q3="Str","Strength",IF(Q3="Dex","Dexterity",IF(Q3="Con","Constitution",IF(Q3="Int","Intelligence",IF(Q3="Wis","Wisdom",IF(Q3="Cha","Charisma",""))))))</f>
        <v>Strength, Constitution</v>
      </c>
      <c r="P3" s="603" t="s">
        <v>3</v>
      </c>
      <c r="Q3" s="603" t="s">
        <v>5</v>
      </c>
      <c r="R3" s="603"/>
      <c r="S3" s="680" t="s">
        <v>6542</v>
      </c>
      <c r="T3" s="603" t="s">
        <v>2842</v>
      </c>
      <c r="U3" s="603"/>
      <c r="V3" s="603"/>
      <c r="W3" s="603" t="s">
        <v>1068</v>
      </c>
      <c r="X3" s="603"/>
      <c r="Y3" s="603"/>
      <c r="Z3" s="603"/>
      <c r="AA3" s="603"/>
      <c r="AB3" s="603"/>
      <c r="AC3" s="603"/>
      <c r="AD3" s="603"/>
      <c r="AE3" s="603"/>
      <c r="AF3" s="603"/>
      <c r="AG3" s="603" t="s">
        <v>35</v>
      </c>
      <c r="AH3" s="603" t="s">
        <v>125</v>
      </c>
      <c r="AI3" s="603" t="s">
        <v>127</v>
      </c>
      <c r="AJ3" s="603" t="s">
        <v>130</v>
      </c>
      <c r="AK3" s="603" t="s">
        <v>132</v>
      </c>
      <c r="AL3" s="603" t="s">
        <v>134</v>
      </c>
      <c r="AM3" s="603" t="s">
        <v>140</v>
      </c>
      <c r="AN3" s="603" t="s">
        <v>50</v>
      </c>
      <c r="AO3" s="603" t="s">
        <v>144</v>
      </c>
      <c r="AP3" s="603" t="s">
        <v>145</v>
      </c>
      <c r="AQ3" s="603" t="s">
        <v>146</v>
      </c>
      <c r="AR3" s="603" t="s">
        <v>147</v>
      </c>
      <c r="AS3" s="603" t="s">
        <v>149</v>
      </c>
      <c r="AT3" s="603" t="s">
        <v>151</v>
      </c>
      <c r="AU3" s="603" t="s">
        <v>51</v>
      </c>
      <c r="AV3" s="603" t="s">
        <v>156</v>
      </c>
      <c r="AW3" s="603" t="s">
        <v>158</v>
      </c>
      <c r="AX3" s="603" t="s">
        <v>38</v>
      </c>
      <c r="AY3" s="603" t="s">
        <v>159</v>
      </c>
      <c r="AZ3" s="603"/>
      <c r="BA3" s="603" t="s">
        <v>1068</v>
      </c>
      <c r="BB3" s="603"/>
      <c r="BC3" s="603"/>
      <c r="BD3" s="603"/>
      <c r="BE3" s="603"/>
      <c r="BF3" s="603"/>
      <c r="BG3" s="603"/>
      <c r="BH3" s="603"/>
      <c r="BI3" s="603"/>
      <c r="BJ3" s="603"/>
      <c r="BK3" s="603"/>
      <c r="BL3" s="603"/>
      <c r="BM3" s="603"/>
      <c r="BN3" s="603"/>
      <c r="BO3" s="603"/>
      <c r="BP3" s="603"/>
      <c r="BQ3" s="603"/>
      <c r="BR3" s="603"/>
      <c r="BS3" s="603"/>
      <c r="BT3" s="603"/>
      <c r="BU3" s="603"/>
      <c r="BV3" s="603"/>
      <c r="BW3" s="603" t="s">
        <v>2240</v>
      </c>
      <c r="BX3" s="603" t="s">
        <v>93</v>
      </c>
      <c r="BY3" s="603" t="s">
        <v>4171</v>
      </c>
      <c r="BZ3" s="682"/>
      <c r="CA3" s="603"/>
      <c r="CB3" s="603"/>
      <c r="CC3" s="603"/>
      <c r="CD3" s="603"/>
      <c r="CE3" s="603"/>
      <c r="CF3" s="603"/>
      <c r="CG3" s="603"/>
      <c r="CH3" s="603" t="s">
        <v>4497</v>
      </c>
      <c r="CI3" s="603" t="s">
        <v>4179</v>
      </c>
      <c r="CJ3" s="603" t="s">
        <v>4493</v>
      </c>
      <c r="CK3" s="603" t="s">
        <v>4180</v>
      </c>
      <c r="CL3" s="603" t="s">
        <v>4181</v>
      </c>
      <c r="CM3" s="603" t="s">
        <v>4324</v>
      </c>
      <c r="CN3" s="603" t="s">
        <v>4182</v>
      </c>
      <c r="CO3" s="603" t="s">
        <v>4180</v>
      </c>
      <c r="CP3" s="603" t="s">
        <v>4183</v>
      </c>
      <c r="CQ3" s="603" t="s">
        <v>4325</v>
      </c>
      <c r="CR3" s="603" t="s">
        <v>4184</v>
      </c>
      <c r="CS3" s="603" t="s">
        <v>4180</v>
      </c>
      <c r="CT3" s="603" t="s">
        <v>4183</v>
      </c>
      <c r="CU3" s="603" t="s">
        <v>4326</v>
      </c>
      <c r="CV3" s="603" t="s">
        <v>4185</v>
      </c>
      <c r="CW3" s="603" t="s">
        <v>4180</v>
      </c>
      <c r="CX3" s="603" t="s">
        <v>4183</v>
      </c>
      <c r="CY3" s="603" t="s">
        <v>4186</v>
      </c>
      <c r="CZ3" s="603" t="s">
        <v>4180</v>
      </c>
      <c r="DA3" s="603" t="s">
        <v>4187</v>
      </c>
      <c r="DB3" s="603">
        <v>3</v>
      </c>
    </row>
    <row r="4" spans="1:106" x14ac:dyDescent="0.25">
      <c r="A4" s="134">
        <f>IF(B4="","",A3+1)</f>
        <v>2</v>
      </c>
      <c r="B4" s="603" t="s">
        <v>1109</v>
      </c>
      <c r="C4" s="680" t="s">
        <v>5119</v>
      </c>
      <c r="D4" s="603">
        <v>8</v>
      </c>
      <c r="E4" s="681" t="s">
        <v>6163</v>
      </c>
      <c r="F4" s="681" t="s">
        <v>5131</v>
      </c>
      <c r="G4" s="603" t="s">
        <v>4149</v>
      </c>
      <c r="H4" s="603" t="s">
        <v>4155</v>
      </c>
      <c r="I4" s="603" t="s">
        <v>2974</v>
      </c>
      <c r="J4" s="603" t="s">
        <v>2974</v>
      </c>
      <c r="K4" s="603"/>
      <c r="L4" s="603">
        <v>3</v>
      </c>
      <c r="M4" s="603" t="s">
        <v>4159</v>
      </c>
      <c r="N4" s="603">
        <v>3</v>
      </c>
      <c r="O4" s="603" t="str">
        <f t="shared" ref="O4:O67" si="0">IF(P4="Str","Strength",IF(P4="Dex","Dexterity",IF(P4="Con","Constitution",IF(P4="Int","Intelligence",IF(P4="Wis","Wisdom",IF(P4="Cha","Charisma;"""))))))&amp;", "&amp;IF(Q4="Str","Strength",IF(Q4="Dex","Dexterity",IF(Q4="Con","Constitution",IF(Q4="Int","Intelligence",IF(Q4="Wis","Wisdom",IF(Q4="Cha","Charisma",""))))))</f>
        <v>Dexterity, Charisma</v>
      </c>
      <c r="P4" s="603" t="s">
        <v>4</v>
      </c>
      <c r="Q4" s="603" t="s">
        <v>8</v>
      </c>
      <c r="R4" s="603"/>
      <c r="S4" s="680" t="s">
        <v>6532</v>
      </c>
      <c r="T4" s="603" t="s">
        <v>2845</v>
      </c>
      <c r="U4" s="603" t="s">
        <v>2900</v>
      </c>
      <c r="V4" s="603"/>
      <c r="W4" s="603" t="s">
        <v>2847</v>
      </c>
      <c r="X4" s="603"/>
      <c r="Y4" s="603"/>
      <c r="Z4" s="603" t="s">
        <v>2846</v>
      </c>
      <c r="AA4" s="603" t="s">
        <v>2848</v>
      </c>
      <c r="AB4" s="603">
        <v>1</v>
      </c>
      <c r="AC4" s="603"/>
      <c r="AD4" s="603"/>
      <c r="AE4" s="603"/>
      <c r="AF4" s="603"/>
      <c r="AG4" s="603" t="s">
        <v>119</v>
      </c>
      <c r="AH4" s="603" t="s">
        <v>123</v>
      </c>
      <c r="AI4" s="603" t="s">
        <v>124</v>
      </c>
      <c r="AJ4" s="603" t="s">
        <v>129</v>
      </c>
      <c r="AK4" s="603" t="s">
        <v>36</v>
      </c>
      <c r="AL4" s="603" t="s">
        <v>138</v>
      </c>
      <c r="AM4" s="603" t="s">
        <v>142</v>
      </c>
      <c r="AN4" s="603" t="s">
        <v>143</v>
      </c>
      <c r="AO4" s="603" t="s">
        <v>148</v>
      </c>
      <c r="AP4" s="603" t="s">
        <v>152</v>
      </c>
      <c r="AQ4" s="603" t="s">
        <v>155</v>
      </c>
      <c r="AR4" s="603" t="s">
        <v>149</v>
      </c>
      <c r="AS4" s="603" t="s">
        <v>50</v>
      </c>
      <c r="AT4" s="603"/>
      <c r="AU4" s="603"/>
      <c r="AV4" s="603"/>
      <c r="AW4" s="603"/>
      <c r="AX4" s="603"/>
      <c r="AY4" s="603"/>
      <c r="AZ4" s="603"/>
      <c r="BA4" s="603" t="s">
        <v>1068</v>
      </c>
      <c r="BB4" s="603"/>
      <c r="BC4" s="603"/>
      <c r="BD4" s="603"/>
      <c r="BE4" s="603"/>
      <c r="BF4" s="603"/>
      <c r="BG4" s="603"/>
      <c r="BH4" s="603"/>
      <c r="BI4" s="603"/>
      <c r="BJ4" s="603"/>
      <c r="BK4" s="603"/>
      <c r="BL4" s="603"/>
      <c r="BM4" s="603"/>
      <c r="BN4" s="603"/>
      <c r="BO4" s="603"/>
      <c r="BP4" s="603"/>
      <c r="BQ4" s="603"/>
      <c r="BR4" s="603"/>
      <c r="BS4" s="603"/>
      <c r="BT4" s="603"/>
      <c r="BU4" s="603"/>
      <c r="BV4" s="603"/>
      <c r="BW4" s="603" t="s">
        <v>2239</v>
      </c>
      <c r="BX4" s="603" t="s">
        <v>2968</v>
      </c>
      <c r="BY4" s="603" t="s">
        <v>4172</v>
      </c>
      <c r="BZ4" s="682"/>
      <c r="CA4" s="603" t="s">
        <v>3084</v>
      </c>
      <c r="CB4" s="603"/>
      <c r="CC4" s="603"/>
      <c r="CD4" s="603"/>
      <c r="CE4" s="603"/>
      <c r="CF4" s="603" t="s">
        <v>3085</v>
      </c>
      <c r="CG4" s="603" t="s">
        <v>3086</v>
      </c>
      <c r="CH4" s="603" t="s">
        <v>4320</v>
      </c>
      <c r="CI4" s="603" t="s">
        <v>4188</v>
      </c>
      <c r="CJ4" s="603" t="s">
        <v>6214</v>
      </c>
      <c r="CK4" s="603" t="s">
        <v>4180</v>
      </c>
      <c r="CL4" s="603" t="s">
        <v>4189</v>
      </c>
      <c r="CM4" s="603" t="s">
        <v>4314</v>
      </c>
      <c r="CN4" s="603" t="s">
        <v>3034</v>
      </c>
      <c r="CO4" s="603" t="s">
        <v>4180</v>
      </c>
      <c r="CP4" s="603" t="s">
        <v>4190</v>
      </c>
      <c r="CQ4" s="603" t="s">
        <v>4191</v>
      </c>
      <c r="CR4" s="603" t="s">
        <v>3034</v>
      </c>
      <c r="CS4" s="603" t="s">
        <v>4180</v>
      </c>
      <c r="CT4" s="603" t="s">
        <v>4190</v>
      </c>
      <c r="CU4" s="603" t="s">
        <v>4315</v>
      </c>
      <c r="CV4" s="603" t="s">
        <v>4192</v>
      </c>
      <c r="CW4" s="603" t="s">
        <v>4180</v>
      </c>
      <c r="CX4" s="603" t="s">
        <v>4190</v>
      </c>
      <c r="CY4" s="603" t="s">
        <v>4193</v>
      </c>
      <c r="CZ4" s="603" t="s">
        <v>4180</v>
      </c>
      <c r="DA4" s="603" t="s">
        <v>4194</v>
      </c>
      <c r="DB4" s="603">
        <v>3</v>
      </c>
    </row>
    <row r="5" spans="1:106" x14ac:dyDescent="0.25">
      <c r="A5" s="134">
        <f t="shared" ref="A5:A68" si="1">IF(B5="","",A4+1)</f>
        <v>3</v>
      </c>
      <c r="B5" s="603" t="s">
        <v>617</v>
      </c>
      <c r="C5" s="680" t="s">
        <v>5120</v>
      </c>
      <c r="D5" s="603">
        <v>8</v>
      </c>
      <c r="E5" s="681" t="s">
        <v>6164</v>
      </c>
      <c r="F5" s="681" t="s">
        <v>5131</v>
      </c>
      <c r="G5" s="603" t="s">
        <v>3082</v>
      </c>
      <c r="H5" s="603" t="s">
        <v>4154</v>
      </c>
      <c r="I5" s="603" t="s">
        <v>1114</v>
      </c>
      <c r="J5" s="603" t="s">
        <v>1114</v>
      </c>
      <c r="K5" s="603" t="s">
        <v>1114</v>
      </c>
      <c r="L5" s="603" t="s">
        <v>1114</v>
      </c>
      <c r="M5" s="603" t="s">
        <v>4164</v>
      </c>
      <c r="N5" s="603">
        <v>2</v>
      </c>
      <c r="O5" s="603" t="str">
        <f t="shared" si="0"/>
        <v>Wisdom, Charisma</v>
      </c>
      <c r="P5" s="603" t="s">
        <v>7</v>
      </c>
      <c r="Q5" s="603" t="s">
        <v>8</v>
      </c>
      <c r="R5" s="603"/>
      <c r="S5" s="680" t="s">
        <v>6533</v>
      </c>
      <c r="T5" s="603" t="s">
        <v>2851</v>
      </c>
      <c r="U5" s="603" t="s">
        <v>2842</v>
      </c>
      <c r="V5" s="603"/>
      <c r="W5" s="603" t="s">
        <v>2847</v>
      </c>
      <c r="X5" s="603" t="s">
        <v>2849</v>
      </c>
      <c r="Y5" s="603" t="s">
        <v>2850</v>
      </c>
      <c r="Z5" s="603" t="s">
        <v>2800</v>
      </c>
      <c r="AA5" s="603" t="s">
        <v>2867</v>
      </c>
      <c r="AB5" s="603">
        <v>1</v>
      </c>
      <c r="AC5" s="603"/>
      <c r="AD5" s="603"/>
      <c r="AE5" s="603"/>
      <c r="AF5" s="603"/>
      <c r="AG5" s="603" t="s">
        <v>143</v>
      </c>
      <c r="AH5" s="603" t="s">
        <v>38</v>
      </c>
      <c r="AI5" s="603"/>
      <c r="AJ5" s="603"/>
      <c r="AK5" s="603"/>
      <c r="AL5" s="603"/>
      <c r="AM5" s="603"/>
      <c r="AN5" s="603"/>
      <c r="AO5" s="603"/>
      <c r="AP5" s="603"/>
      <c r="AQ5" s="603"/>
      <c r="AR5" s="603"/>
      <c r="AS5" s="603"/>
      <c r="AT5" s="603"/>
      <c r="AU5" s="603"/>
      <c r="AV5" s="603"/>
      <c r="AW5" s="603"/>
      <c r="AX5" s="603"/>
      <c r="AY5" s="603"/>
      <c r="AZ5" s="603"/>
      <c r="BA5" s="603" t="s">
        <v>119</v>
      </c>
      <c r="BB5" s="603" t="s">
        <v>123</v>
      </c>
      <c r="BC5" s="603" t="s">
        <v>124</v>
      </c>
      <c r="BD5" s="603" t="s">
        <v>129</v>
      </c>
      <c r="BE5" s="603" t="s">
        <v>36</v>
      </c>
      <c r="BF5" s="603" t="s">
        <v>138</v>
      </c>
      <c r="BG5" s="603" t="s">
        <v>141</v>
      </c>
      <c r="BH5" s="603" t="s">
        <v>142</v>
      </c>
      <c r="BI5" s="603" t="s">
        <v>143</v>
      </c>
      <c r="BJ5" s="603" t="s">
        <v>148</v>
      </c>
      <c r="BK5" s="603" t="s">
        <v>52</v>
      </c>
      <c r="BL5" s="603" t="s">
        <v>152</v>
      </c>
      <c r="BM5" s="603" t="s">
        <v>153</v>
      </c>
      <c r="BN5" s="603" t="s">
        <v>155</v>
      </c>
      <c r="BO5" s="603"/>
      <c r="BP5" s="603"/>
      <c r="BQ5" s="603"/>
      <c r="BR5" s="603"/>
      <c r="BS5" s="603"/>
      <c r="BT5" s="603"/>
      <c r="BU5" s="603"/>
      <c r="BV5" s="603"/>
      <c r="BW5" s="603" t="s">
        <v>2241</v>
      </c>
      <c r="BX5" s="603" t="s">
        <v>2969</v>
      </c>
      <c r="BY5" s="603" t="s">
        <v>4173</v>
      </c>
      <c r="BZ5" s="682"/>
      <c r="CA5" s="603" t="s">
        <v>3084</v>
      </c>
      <c r="CB5" s="603" t="s">
        <v>3087</v>
      </c>
      <c r="CC5" s="603" t="s">
        <v>3088</v>
      </c>
      <c r="CD5" s="603"/>
      <c r="CE5" s="603"/>
      <c r="CF5" s="603"/>
      <c r="CG5" s="603"/>
      <c r="CH5" s="603" t="s">
        <v>7100</v>
      </c>
      <c r="CI5" s="603" t="s">
        <v>4327</v>
      </c>
      <c r="CJ5" s="603" t="s">
        <v>3034</v>
      </c>
      <c r="CK5" s="603" t="s">
        <v>4180</v>
      </c>
      <c r="CL5" s="603" t="s">
        <v>4195</v>
      </c>
      <c r="CM5" s="603" t="s">
        <v>4328</v>
      </c>
      <c r="CN5" s="603" t="s">
        <v>3034</v>
      </c>
      <c r="CO5" s="603" t="s">
        <v>4329</v>
      </c>
      <c r="CP5" s="603" t="s">
        <v>3034</v>
      </c>
      <c r="CQ5" s="603" t="s">
        <v>4196</v>
      </c>
      <c r="CR5" s="603" t="s">
        <v>4195</v>
      </c>
      <c r="CS5" s="603" t="s">
        <v>4180</v>
      </c>
      <c r="CT5" s="603" t="s">
        <v>3034</v>
      </c>
      <c r="CU5" s="603" t="s">
        <v>4195</v>
      </c>
      <c r="CV5" s="603" t="s">
        <v>3034</v>
      </c>
      <c r="CW5" s="603" t="s">
        <v>4180</v>
      </c>
      <c r="CX5" s="603" t="s">
        <v>4330</v>
      </c>
      <c r="CY5" s="603" t="s">
        <v>4197</v>
      </c>
      <c r="CZ5" s="603" t="s">
        <v>4180</v>
      </c>
      <c r="DA5" s="603" t="s">
        <v>4198</v>
      </c>
      <c r="DB5" s="603">
        <v>1</v>
      </c>
    </row>
    <row r="6" spans="1:106" x14ac:dyDescent="0.25">
      <c r="A6" s="134">
        <f t="shared" si="1"/>
        <v>4</v>
      </c>
      <c r="B6" s="603" t="s">
        <v>618</v>
      </c>
      <c r="C6" s="680" t="s">
        <v>5121</v>
      </c>
      <c r="D6" s="603">
        <v>8</v>
      </c>
      <c r="E6" s="681" t="s">
        <v>6165</v>
      </c>
      <c r="F6" s="681" t="s">
        <v>5130</v>
      </c>
      <c r="G6" s="603" t="s">
        <v>4150</v>
      </c>
      <c r="H6" s="603" t="s">
        <v>4154</v>
      </c>
      <c r="I6" s="603" t="s">
        <v>1115</v>
      </c>
      <c r="J6" s="603" t="s">
        <v>1115</v>
      </c>
      <c r="K6" s="603" t="s">
        <v>1114</v>
      </c>
      <c r="L6" s="603">
        <v>1</v>
      </c>
      <c r="M6" s="603" t="s">
        <v>4165</v>
      </c>
      <c r="N6" s="603">
        <v>2</v>
      </c>
      <c r="O6" s="603" t="str">
        <f t="shared" si="0"/>
        <v>Intelligence, Wisdom</v>
      </c>
      <c r="P6" s="603" t="s">
        <v>6</v>
      </c>
      <c r="Q6" s="603" t="s">
        <v>7</v>
      </c>
      <c r="R6" s="603"/>
      <c r="S6" s="680" t="s">
        <v>6534</v>
      </c>
      <c r="T6" s="603" t="s">
        <v>2842</v>
      </c>
      <c r="U6" s="603"/>
      <c r="V6" s="603"/>
      <c r="W6" s="603" t="s">
        <v>2847</v>
      </c>
      <c r="X6" s="603"/>
      <c r="Y6" s="603"/>
      <c r="Z6" s="603" t="s">
        <v>2852</v>
      </c>
      <c r="AA6" s="603"/>
      <c r="AB6" s="603"/>
      <c r="AC6" s="603"/>
      <c r="AD6" s="603"/>
      <c r="AE6" s="603"/>
      <c r="AF6" s="603"/>
      <c r="AG6" s="603" t="s">
        <v>119</v>
      </c>
      <c r="AH6" s="603" t="s">
        <v>123</v>
      </c>
      <c r="AI6" s="603" t="s">
        <v>124</v>
      </c>
      <c r="AJ6" s="603" t="s">
        <v>129</v>
      </c>
      <c r="AK6" s="603" t="s">
        <v>36</v>
      </c>
      <c r="AL6" s="603" t="s">
        <v>138</v>
      </c>
      <c r="AM6" s="603" t="s">
        <v>142</v>
      </c>
      <c r="AN6" s="603" t="s">
        <v>143</v>
      </c>
      <c r="AO6" s="603" t="s">
        <v>148</v>
      </c>
      <c r="AP6" s="603" t="s">
        <v>152</v>
      </c>
      <c r="AQ6" s="603" t="s">
        <v>155</v>
      </c>
      <c r="AR6" s="603" t="s">
        <v>151</v>
      </c>
      <c r="AS6" s="603"/>
      <c r="AT6" s="603"/>
      <c r="AU6" s="603"/>
      <c r="AV6" s="603"/>
      <c r="AW6" s="603"/>
      <c r="AX6" s="603"/>
      <c r="AY6" s="603"/>
      <c r="AZ6" s="603"/>
      <c r="BA6" s="603" t="s">
        <v>119</v>
      </c>
      <c r="BB6" s="603" t="s">
        <v>123</v>
      </c>
      <c r="BC6" s="603" t="s">
        <v>124</v>
      </c>
      <c r="BD6" s="603" t="s">
        <v>129</v>
      </c>
      <c r="BE6" s="603" t="s">
        <v>36</v>
      </c>
      <c r="BF6" s="603" t="s">
        <v>138</v>
      </c>
      <c r="BG6" s="603" t="s">
        <v>141</v>
      </c>
      <c r="BH6" s="603" t="s">
        <v>142</v>
      </c>
      <c r="BI6" s="603" t="s">
        <v>143</v>
      </c>
      <c r="BJ6" s="603" t="s">
        <v>148</v>
      </c>
      <c r="BK6" s="603" t="s">
        <v>52</v>
      </c>
      <c r="BL6" s="603" t="s">
        <v>152</v>
      </c>
      <c r="BM6" s="603" t="s">
        <v>153</v>
      </c>
      <c r="BN6" s="603" t="s">
        <v>155</v>
      </c>
      <c r="BO6" s="603" t="s">
        <v>110</v>
      </c>
      <c r="BP6" s="603"/>
      <c r="BQ6" s="603"/>
      <c r="BR6" s="603"/>
      <c r="BS6" s="603"/>
      <c r="BT6" s="603"/>
      <c r="BU6" s="603"/>
      <c r="BV6" s="603"/>
      <c r="BW6" s="603" t="s">
        <v>2242</v>
      </c>
      <c r="BX6" s="603" t="s">
        <v>2969</v>
      </c>
      <c r="BY6" s="603" t="s">
        <v>4173</v>
      </c>
      <c r="BZ6" s="682"/>
      <c r="CA6" s="603" t="s">
        <v>3084</v>
      </c>
      <c r="CB6" s="603" t="s">
        <v>3087</v>
      </c>
      <c r="CC6" s="603" t="s">
        <v>3088</v>
      </c>
      <c r="CD6" s="603"/>
      <c r="CE6" s="603"/>
      <c r="CF6" s="603"/>
      <c r="CG6" s="603"/>
      <c r="CH6" s="603" t="s">
        <v>4331</v>
      </c>
      <c r="CI6" s="603" t="s">
        <v>4199</v>
      </c>
      <c r="CJ6" s="603" t="s">
        <v>4471</v>
      </c>
      <c r="CK6" s="603" t="s">
        <v>4200</v>
      </c>
      <c r="CL6" s="603" t="s">
        <v>3034</v>
      </c>
      <c r="CM6" s="603" t="s">
        <v>4332</v>
      </c>
      <c r="CN6" s="603" t="s">
        <v>3034</v>
      </c>
      <c r="CO6" s="603" t="s">
        <v>4200</v>
      </c>
      <c r="CP6" s="603" t="s">
        <v>3034</v>
      </c>
      <c r="CQ6" s="603" t="s">
        <v>4333</v>
      </c>
      <c r="CR6" s="603" t="s">
        <v>3034</v>
      </c>
      <c r="CS6" s="603" t="s">
        <v>4180</v>
      </c>
      <c r="CT6" s="603" t="s">
        <v>3034</v>
      </c>
      <c r="CU6" s="603" t="s">
        <v>4334</v>
      </c>
      <c r="CV6" s="603" t="s">
        <v>3034</v>
      </c>
      <c r="CW6" s="603" t="s">
        <v>4180</v>
      </c>
      <c r="CX6" s="603" t="s">
        <v>3034</v>
      </c>
      <c r="CY6" s="603" t="s">
        <v>4201</v>
      </c>
      <c r="CZ6" s="603" t="s">
        <v>4180</v>
      </c>
      <c r="DA6" s="603" t="s">
        <v>4202</v>
      </c>
      <c r="DB6" s="603">
        <v>2</v>
      </c>
    </row>
    <row r="7" spans="1:106" x14ac:dyDescent="0.25">
      <c r="A7" s="134">
        <f t="shared" si="1"/>
        <v>5</v>
      </c>
      <c r="B7" s="603" t="s">
        <v>619</v>
      </c>
      <c r="C7" s="680" t="s">
        <v>5122</v>
      </c>
      <c r="D7" s="603">
        <v>10</v>
      </c>
      <c r="E7" s="681" t="s">
        <v>6166</v>
      </c>
      <c r="F7" s="681" t="s">
        <v>5131</v>
      </c>
      <c r="G7" s="603" t="s">
        <v>4151</v>
      </c>
      <c r="H7" s="603" t="s">
        <v>4156</v>
      </c>
      <c r="I7" s="603" t="s">
        <v>1114</v>
      </c>
      <c r="J7" s="603" t="s">
        <v>1114</v>
      </c>
      <c r="K7" s="603" t="s">
        <v>1114</v>
      </c>
      <c r="L7" s="603" t="s">
        <v>1114</v>
      </c>
      <c r="M7" s="603" t="s">
        <v>4160</v>
      </c>
      <c r="N7" s="603">
        <v>2</v>
      </c>
      <c r="O7" s="603" t="str">
        <f t="shared" si="0"/>
        <v>Strength, Constitution</v>
      </c>
      <c r="P7" s="603" t="s">
        <v>3</v>
      </c>
      <c r="Q7" s="603" t="s">
        <v>5</v>
      </c>
      <c r="R7" s="603"/>
      <c r="S7" s="680" t="s">
        <v>6535</v>
      </c>
      <c r="T7" s="603" t="s">
        <v>2853</v>
      </c>
      <c r="U7" s="603" t="s">
        <v>2842</v>
      </c>
      <c r="V7" s="603"/>
      <c r="W7" s="603" t="s">
        <v>2847</v>
      </c>
      <c r="X7" s="603" t="s">
        <v>2850</v>
      </c>
      <c r="Y7" s="603"/>
      <c r="Z7" s="603"/>
      <c r="AA7" s="603"/>
      <c r="AB7" s="603"/>
      <c r="AC7" s="603"/>
      <c r="AD7" s="603"/>
      <c r="AE7" s="603"/>
      <c r="AF7" s="603"/>
      <c r="AG7" s="603" t="s">
        <v>35</v>
      </c>
      <c r="AH7" s="603" t="s">
        <v>125</v>
      </c>
      <c r="AI7" s="603" t="s">
        <v>127</v>
      </c>
      <c r="AJ7" s="603" t="s">
        <v>130</v>
      </c>
      <c r="AK7" s="603" t="s">
        <v>132</v>
      </c>
      <c r="AL7" s="603" t="s">
        <v>134</v>
      </c>
      <c r="AM7" s="603" t="s">
        <v>140</v>
      </c>
      <c r="AN7" s="603" t="s">
        <v>50</v>
      </c>
      <c r="AO7" s="603" t="s">
        <v>144</v>
      </c>
      <c r="AP7" s="603" t="s">
        <v>145</v>
      </c>
      <c r="AQ7" s="603" t="s">
        <v>146</v>
      </c>
      <c r="AR7" s="603" t="s">
        <v>147</v>
      </c>
      <c r="AS7" s="603" t="s">
        <v>149</v>
      </c>
      <c r="AT7" s="603" t="s">
        <v>151</v>
      </c>
      <c r="AU7" s="603" t="s">
        <v>51</v>
      </c>
      <c r="AV7" s="603" t="s">
        <v>156</v>
      </c>
      <c r="AW7" s="603" t="s">
        <v>158</v>
      </c>
      <c r="AX7" s="603" t="s">
        <v>38</v>
      </c>
      <c r="AY7" s="603" t="s">
        <v>159</v>
      </c>
      <c r="AZ7" s="603"/>
      <c r="BA7" s="603" t="s">
        <v>123</v>
      </c>
      <c r="BB7" s="603" t="s">
        <v>124</v>
      </c>
      <c r="BC7" s="603" t="s">
        <v>129</v>
      </c>
      <c r="BD7" s="603" t="s">
        <v>36</v>
      </c>
      <c r="BE7" s="603" t="s">
        <v>138</v>
      </c>
      <c r="BF7" s="603" t="s">
        <v>141</v>
      </c>
      <c r="BG7" s="603" t="s">
        <v>142</v>
      </c>
      <c r="BH7" s="603" t="s">
        <v>143</v>
      </c>
      <c r="BI7" s="603" t="s">
        <v>148</v>
      </c>
      <c r="BJ7" s="603" t="s">
        <v>52</v>
      </c>
      <c r="BK7" s="603" t="s">
        <v>152</v>
      </c>
      <c r="BL7" s="603" t="s">
        <v>153</v>
      </c>
      <c r="BM7" s="603" t="s">
        <v>155</v>
      </c>
      <c r="BN7" s="603"/>
      <c r="BO7" s="603"/>
      <c r="BP7" s="603"/>
      <c r="BQ7" s="603"/>
      <c r="BR7" s="603"/>
      <c r="BS7" s="603"/>
      <c r="BT7" s="603"/>
      <c r="BU7" s="603" t="s">
        <v>2847</v>
      </c>
      <c r="BV7" s="603" t="s">
        <v>53</v>
      </c>
      <c r="BW7" s="603" t="s">
        <v>2243</v>
      </c>
      <c r="BX7" s="603" t="s">
        <v>3079</v>
      </c>
      <c r="BY7" s="603" t="s">
        <v>4174</v>
      </c>
      <c r="BZ7" s="682"/>
      <c r="CA7" s="603" t="s">
        <v>3084</v>
      </c>
      <c r="CB7" s="603" t="s">
        <v>3087</v>
      </c>
      <c r="CC7" s="603" t="s">
        <v>3088</v>
      </c>
      <c r="CD7" s="603" t="s">
        <v>3082</v>
      </c>
      <c r="CE7" s="603" t="s">
        <v>3083</v>
      </c>
      <c r="CF7" s="603"/>
      <c r="CG7" s="603"/>
      <c r="CH7" s="603" t="s">
        <v>4392</v>
      </c>
      <c r="CI7" s="603" t="s">
        <v>4203</v>
      </c>
      <c r="CJ7" s="603" t="s">
        <v>4313</v>
      </c>
      <c r="CK7" s="603" t="s">
        <v>4180</v>
      </c>
      <c r="CL7" s="603" t="s">
        <v>4204</v>
      </c>
      <c r="CM7" s="603" t="s">
        <v>4180</v>
      </c>
      <c r="CN7" s="603" t="s">
        <v>4298</v>
      </c>
      <c r="CO7" s="603" t="s">
        <v>4180</v>
      </c>
      <c r="CP7" s="603" t="s">
        <v>4205</v>
      </c>
      <c r="CQ7" s="603" t="s">
        <v>4299</v>
      </c>
      <c r="CR7" s="603" t="s">
        <v>4206</v>
      </c>
      <c r="CS7" s="603" t="s">
        <v>4180</v>
      </c>
      <c r="CT7" s="603" t="s">
        <v>4205</v>
      </c>
      <c r="CU7" s="603" t="s">
        <v>4180</v>
      </c>
      <c r="CV7" s="603" t="s">
        <v>4300</v>
      </c>
      <c r="CW7" s="603" t="s">
        <v>4180</v>
      </c>
      <c r="CX7" s="603" t="s">
        <v>4207</v>
      </c>
      <c r="CY7" s="603" t="s">
        <v>4301</v>
      </c>
      <c r="CZ7" s="603" t="s">
        <v>4180</v>
      </c>
      <c r="DA7" s="603" t="s">
        <v>4208</v>
      </c>
      <c r="DB7" s="603">
        <v>3</v>
      </c>
    </row>
    <row r="8" spans="1:106" x14ac:dyDescent="0.25">
      <c r="A8" s="134">
        <f t="shared" si="1"/>
        <v>6</v>
      </c>
      <c r="B8" s="603" t="s">
        <v>620</v>
      </c>
      <c r="C8" s="680" t="s">
        <v>5123</v>
      </c>
      <c r="D8" s="603">
        <v>8</v>
      </c>
      <c r="E8" s="683" t="s">
        <v>6167</v>
      </c>
      <c r="F8" s="681" t="s">
        <v>5132</v>
      </c>
      <c r="G8" s="603" t="s">
        <v>4152</v>
      </c>
      <c r="H8" s="603" t="s">
        <v>3203</v>
      </c>
      <c r="I8" s="603" t="s">
        <v>4285</v>
      </c>
      <c r="J8" s="603" t="s">
        <v>2974</v>
      </c>
      <c r="K8" s="603" t="s">
        <v>2810</v>
      </c>
      <c r="L8" s="603">
        <v>1</v>
      </c>
      <c r="M8" s="603" t="s">
        <v>4161</v>
      </c>
      <c r="N8" s="603">
        <v>2</v>
      </c>
      <c r="O8" s="603" t="str">
        <f t="shared" si="0"/>
        <v>Strength, Dexterity</v>
      </c>
      <c r="P8" s="603" t="s">
        <v>3</v>
      </c>
      <c r="Q8" s="603" t="s">
        <v>4</v>
      </c>
      <c r="R8" s="603"/>
      <c r="S8" s="680" t="s">
        <v>6536</v>
      </c>
      <c r="T8" s="603" t="s">
        <v>2853</v>
      </c>
      <c r="U8" s="603" t="s">
        <v>2842</v>
      </c>
      <c r="V8" s="603"/>
      <c r="W8" s="603" t="s">
        <v>1068</v>
      </c>
      <c r="X8" s="603"/>
      <c r="Y8" s="603"/>
      <c r="Z8" s="603"/>
      <c r="AA8" s="603" t="s">
        <v>2868</v>
      </c>
      <c r="AB8" s="603">
        <v>10</v>
      </c>
      <c r="AC8" s="603"/>
      <c r="AD8" s="603"/>
      <c r="AE8" s="603"/>
      <c r="AF8" s="603"/>
      <c r="AG8" s="603" t="s">
        <v>119</v>
      </c>
      <c r="AH8" s="603" t="s">
        <v>123</v>
      </c>
      <c r="AI8" s="603" t="s">
        <v>124</v>
      </c>
      <c r="AJ8" s="603" t="s">
        <v>129</v>
      </c>
      <c r="AK8" s="603" t="s">
        <v>36</v>
      </c>
      <c r="AL8" s="603" t="s">
        <v>138</v>
      </c>
      <c r="AM8" s="603" t="s">
        <v>142</v>
      </c>
      <c r="AN8" s="603" t="s">
        <v>143</v>
      </c>
      <c r="AO8" s="603" t="s">
        <v>148</v>
      </c>
      <c r="AP8" s="603" t="s">
        <v>152</v>
      </c>
      <c r="AQ8" s="603" t="s">
        <v>155</v>
      </c>
      <c r="AR8" s="603" t="s">
        <v>51</v>
      </c>
      <c r="AS8" s="603"/>
      <c r="AT8" s="603"/>
      <c r="AU8" s="603"/>
      <c r="AV8" s="603"/>
      <c r="AW8" s="603"/>
      <c r="AX8" s="603"/>
      <c r="AY8" s="603"/>
      <c r="AZ8" s="603"/>
      <c r="BA8" s="603" t="s">
        <v>1068</v>
      </c>
      <c r="BB8" s="603"/>
      <c r="BC8" s="603"/>
      <c r="BD8" s="603"/>
      <c r="BE8" s="603"/>
      <c r="BF8" s="603"/>
      <c r="BG8" s="603"/>
      <c r="BH8" s="603"/>
      <c r="BI8" s="603"/>
      <c r="BJ8" s="603"/>
      <c r="BK8" s="603"/>
      <c r="BL8" s="603"/>
      <c r="BM8" s="603"/>
      <c r="BN8" s="603"/>
      <c r="BO8" s="603"/>
      <c r="BP8" s="603"/>
      <c r="BQ8" s="603"/>
      <c r="BR8" s="603"/>
      <c r="BS8" s="603"/>
      <c r="BT8" s="603"/>
      <c r="BU8" s="603"/>
      <c r="BV8" s="603"/>
      <c r="BW8" s="603" t="s">
        <v>2245</v>
      </c>
      <c r="BX8" s="603" t="s">
        <v>3080</v>
      </c>
      <c r="BY8" s="603" t="s">
        <v>4152</v>
      </c>
      <c r="BZ8" s="682"/>
      <c r="CA8" s="603" t="s">
        <v>3082</v>
      </c>
      <c r="CB8" s="603" t="s">
        <v>3089</v>
      </c>
      <c r="CC8" s="603"/>
      <c r="CD8" s="603"/>
      <c r="CE8" s="603"/>
      <c r="CF8" s="603"/>
      <c r="CG8" s="603"/>
      <c r="CH8" s="603" t="s">
        <v>4498</v>
      </c>
      <c r="CI8" s="603" t="s">
        <v>4209</v>
      </c>
      <c r="CJ8" s="603" t="s">
        <v>4494</v>
      </c>
      <c r="CK8" s="603" t="s">
        <v>4180</v>
      </c>
      <c r="CL8" s="603" t="s">
        <v>4210</v>
      </c>
      <c r="CM8" s="603" t="s">
        <v>4337</v>
      </c>
      <c r="CN8" s="603" t="s">
        <v>4211</v>
      </c>
      <c r="CO8" s="603" t="s">
        <v>4180</v>
      </c>
      <c r="CP8" s="603" t="s">
        <v>4212</v>
      </c>
      <c r="CQ8" s="603" t="s">
        <v>4213</v>
      </c>
      <c r="CR8" s="603" t="s">
        <v>4336</v>
      </c>
      <c r="CS8" s="603" t="s">
        <v>4180</v>
      </c>
      <c r="CT8" s="603" t="s">
        <v>4214</v>
      </c>
      <c r="CU8" s="603" t="s">
        <v>4215</v>
      </c>
      <c r="CV8" s="603" t="s">
        <v>4216</v>
      </c>
      <c r="CW8" s="603" t="s">
        <v>4180</v>
      </c>
      <c r="CX8" s="603" t="s">
        <v>4335</v>
      </c>
      <c r="CY8" s="603" t="s">
        <v>4217</v>
      </c>
      <c r="CZ8" s="603" t="s">
        <v>4180</v>
      </c>
      <c r="DA8" s="603" t="s">
        <v>4218</v>
      </c>
      <c r="DB8" s="603">
        <v>3</v>
      </c>
    </row>
    <row r="9" spans="1:106" x14ac:dyDescent="0.25">
      <c r="A9" s="134">
        <f t="shared" si="1"/>
        <v>7</v>
      </c>
      <c r="B9" s="603" t="s">
        <v>1110</v>
      </c>
      <c r="C9" s="680" t="s">
        <v>5124</v>
      </c>
      <c r="D9" s="603">
        <v>10</v>
      </c>
      <c r="E9" s="681" t="s">
        <v>6168</v>
      </c>
      <c r="F9" s="681" t="s">
        <v>5131</v>
      </c>
      <c r="G9" s="603" t="s">
        <v>4151</v>
      </c>
      <c r="H9" s="603" t="s">
        <v>4156</v>
      </c>
      <c r="I9" s="603" t="s">
        <v>1114</v>
      </c>
      <c r="J9" s="603" t="s">
        <v>1114</v>
      </c>
      <c r="K9" s="603" t="s">
        <v>1114</v>
      </c>
      <c r="L9" s="603" t="s">
        <v>1114</v>
      </c>
      <c r="M9" s="603" t="s">
        <v>4166</v>
      </c>
      <c r="N9" s="603">
        <v>2</v>
      </c>
      <c r="O9" s="603" t="str">
        <f t="shared" si="0"/>
        <v>Wisdom, Charisma</v>
      </c>
      <c r="P9" s="603" t="s">
        <v>7</v>
      </c>
      <c r="Q9" s="603" t="s">
        <v>8</v>
      </c>
      <c r="R9" s="603"/>
      <c r="S9" s="680" t="s">
        <v>6543</v>
      </c>
      <c r="T9" s="603" t="s">
        <v>2851</v>
      </c>
      <c r="U9" s="603" t="s">
        <v>2842</v>
      </c>
      <c r="V9" s="603"/>
      <c r="W9" s="603" t="s">
        <v>2850</v>
      </c>
      <c r="X9" s="603"/>
      <c r="Y9" s="603"/>
      <c r="Z9" s="603" t="s">
        <v>2800</v>
      </c>
      <c r="AA9" s="603"/>
      <c r="AB9" s="603"/>
      <c r="AC9" s="603"/>
      <c r="AD9" s="603"/>
      <c r="AE9" s="603"/>
      <c r="AF9" s="603"/>
      <c r="AG9" s="603" t="s">
        <v>35</v>
      </c>
      <c r="AH9" s="603" t="s">
        <v>125</v>
      </c>
      <c r="AI9" s="603" t="s">
        <v>127</v>
      </c>
      <c r="AJ9" s="603" t="s">
        <v>130</v>
      </c>
      <c r="AK9" s="603" t="s">
        <v>132</v>
      </c>
      <c r="AL9" s="603" t="s">
        <v>134</v>
      </c>
      <c r="AM9" s="603" t="s">
        <v>140</v>
      </c>
      <c r="AN9" s="603" t="s">
        <v>50</v>
      </c>
      <c r="AO9" s="603" t="s">
        <v>144</v>
      </c>
      <c r="AP9" s="603" t="s">
        <v>145</v>
      </c>
      <c r="AQ9" s="603" t="s">
        <v>146</v>
      </c>
      <c r="AR9" s="603" t="s">
        <v>147</v>
      </c>
      <c r="AS9" s="603" t="s">
        <v>149</v>
      </c>
      <c r="AT9" s="603" t="s">
        <v>151</v>
      </c>
      <c r="AU9" s="603" t="s">
        <v>51</v>
      </c>
      <c r="AV9" s="603" t="s">
        <v>156</v>
      </c>
      <c r="AW9" s="603" t="s">
        <v>158</v>
      </c>
      <c r="AX9" s="603" t="s">
        <v>38</v>
      </c>
      <c r="AY9" s="603" t="s">
        <v>159</v>
      </c>
      <c r="AZ9" s="603"/>
      <c r="BA9" s="603" t="s">
        <v>119</v>
      </c>
      <c r="BB9" s="603" t="s">
        <v>123</v>
      </c>
      <c r="BC9" s="603" t="s">
        <v>124</v>
      </c>
      <c r="BD9" s="603" t="s">
        <v>129</v>
      </c>
      <c r="BE9" s="603" t="s">
        <v>36</v>
      </c>
      <c r="BF9" s="603" t="s">
        <v>138</v>
      </c>
      <c r="BG9" s="603" t="s">
        <v>142</v>
      </c>
      <c r="BH9" s="603" t="s">
        <v>143</v>
      </c>
      <c r="BI9" s="603" t="s">
        <v>148</v>
      </c>
      <c r="BJ9" s="603" t="s">
        <v>152</v>
      </c>
      <c r="BK9" s="603" t="s">
        <v>155</v>
      </c>
      <c r="BL9" s="603"/>
      <c r="BM9" s="603"/>
      <c r="BN9" s="603"/>
      <c r="BO9" s="603"/>
      <c r="BP9" s="603"/>
      <c r="BQ9" s="603"/>
      <c r="BR9" s="603"/>
      <c r="BS9" s="603"/>
      <c r="BT9" s="603"/>
      <c r="BU9" s="603"/>
      <c r="BV9" s="603"/>
      <c r="BW9" s="603" t="s">
        <v>2244</v>
      </c>
      <c r="BX9" s="603" t="s">
        <v>3081</v>
      </c>
      <c r="BY9" s="603" t="s">
        <v>4174</v>
      </c>
      <c r="BZ9" s="682"/>
      <c r="CA9" s="603" t="s">
        <v>3084</v>
      </c>
      <c r="CB9" s="603" t="s">
        <v>3087</v>
      </c>
      <c r="CC9" s="603" t="s">
        <v>3088</v>
      </c>
      <c r="CD9" s="603" t="s">
        <v>3082</v>
      </c>
      <c r="CE9" s="603" t="s">
        <v>3083</v>
      </c>
      <c r="CF9" s="603"/>
      <c r="CG9" s="603"/>
      <c r="CH9" s="603" t="s">
        <v>4219</v>
      </c>
      <c r="CI9" s="603" t="s">
        <v>4502</v>
      </c>
      <c r="CJ9" s="603" t="s">
        <v>4495</v>
      </c>
      <c r="CK9" s="603" t="s">
        <v>4180</v>
      </c>
      <c r="CL9" s="603" t="s">
        <v>4204</v>
      </c>
      <c r="CM9" s="603" t="s">
        <v>4220</v>
      </c>
      <c r="CN9" s="603" t="s">
        <v>4338</v>
      </c>
      <c r="CO9" s="603" t="s">
        <v>4180</v>
      </c>
      <c r="CP9" s="603" t="s">
        <v>3034</v>
      </c>
      <c r="CQ9" s="603" t="s">
        <v>4221</v>
      </c>
      <c r="CR9" s="603" t="s">
        <v>4222</v>
      </c>
      <c r="CS9" s="603" t="s">
        <v>4180</v>
      </c>
      <c r="CT9" s="603" t="s">
        <v>3034</v>
      </c>
      <c r="CU9" s="603" t="s">
        <v>4223</v>
      </c>
      <c r="CV9" s="603" t="s">
        <v>4339</v>
      </c>
      <c r="CW9" s="603" t="s">
        <v>4180</v>
      </c>
      <c r="CX9" s="603" t="s">
        <v>3034</v>
      </c>
      <c r="CY9" s="603" t="s">
        <v>4224</v>
      </c>
      <c r="CZ9" s="603" t="s">
        <v>4180</v>
      </c>
      <c r="DA9" s="603" t="s">
        <v>4340</v>
      </c>
      <c r="DB9" s="603">
        <v>3</v>
      </c>
    </row>
    <row r="10" spans="1:106" x14ac:dyDescent="0.25">
      <c r="A10" s="134">
        <f t="shared" si="1"/>
        <v>8</v>
      </c>
      <c r="B10" s="603" t="s">
        <v>621</v>
      </c>
      <c r="C10" s="680" t="s">
        <v>5125</v>
      </c>
      <c r="D10" s="603">
        <v>10</v>
      </c>
      <c r="E10" s="681" t="s">
        <v>6169</v>
      </c>
      <c r="F10" s="681" t="s">
        <v>5131</v>
      </c>
      <c r="G10" s="603" t="s">
        <v>4151</v>
      </c>
      <c r="H10" s="603" t="s">
        <v>4154</v>
      </c>
      <c r="I10" s="603" t="s">
        <v>1114</v>
      </c>
      <c r="J10" s="603" t="s">
        <v>1114</v>
      </c>
      <c r="K10" s="603" t="s">
        <v>1114</v>
      </c>
      <c r="L10" s="603" t="s">
        <v>1114</v>
      </c>
      <c r="M10" s="603" t="s">
        <v>4167</v>
      </c>
      <c r="N10" s="603">
        <v>3</v>
      </c>
      <c r="O10" s="603" t="str">
        <f t="shared" si="0"/>
        <v>Strength, Dexterity</v>
      </c>
      <c r="P10" s="603" t="s">
        <v>3</v>
      </c>
      <c r="Q10" s="603" t="s">
        <v>4</v>
      </c>
      <c r="R10" s="603"/>
      <c r="S10" s="680" t="s">
        <v>6537</v>
      </c>
      <c r="T10" s="603" t="s">
        <v>2853</v>
      </c>
      <c r="U10" s="603" t="s">
        <v>2842</v>
      </c>
      <c r="V10" s="603"/>
      <c r="W10" s="603" t="s">
        <v>2849</v>
      </c>
      <c r="X10" s="603" t="s">
        <v>2847</v>
      </c>
      <c r="Y10" s="603"/>
      <c r="Z10" s="603"/>
      <c r="AA10" s="603" t="s">
        <v>2854</v>
      </c>
      <c r="AB10" s="603">
        <v>1</v>
      </c>
      <c r="AC10" s="603"/>
      <c r="AD10" s="603"/>
      <c r="AE10" s="603"/>
      <c r="AF10" s="603"/>
      <c r="AG10" s="603" t="s">
        <v>119</v>
      </c>
      <c r="AH10" s="603" t="s">
        <v>123</v>
      </c>
      <c r="AI10" s="603" t="s">
        <v>124</v>
      </c>
      <c r="AJ10" s="603" t="s">
        <v>129</v>
      </c>
      <c r="AK10" s="603" t="s">
        <v>36</v>
      </c>
      <c r="AL10" s="603" t="s">
        <v>138</v>
      </c>
      <c r="AM10" s="603" t="s">
        <v>142</v>
      </c>
      <c r="AN10" s="603" t="s">
        <v>143</v>
      </c>
      <c r="AO10" s="603" t="s">
        <v>148</v>
      </c>
      <c r="AP10" s="603" t="s">
        <v>152</v>
      </c>
      <c r="AQ10" s="603" t="s">
        <v>155</v>
      </c>
      <c r="AR10" s="603" t="s">
        <v>51</v>
      </c>
      <c r="AS10" s="603"/>
      <c r="AT10" s="603"/>
      <c r="AU10" s="603"/>
      <c r="AV10" s="603"/>
      <c r="AW10" s="603"/>
      <c r="AX10" s="603"/>
      <c r="AY10" s="603"/>
      <c r="AZ10" s="603"/>
      <c r="BA10" s="603" t="s">
        <v>119</v>
      </c>
      <c r="BB10" s="603" t="s">
        <v>123</v>
      </c>
      <c r="BC10" s="603" t="s">
        <v>124</v>
      </c>
      <c r="BD10" s="603" t="s">
        <v>129</v>
      </c>
      <c r="BE10" s="603" t="s">
        <v>36</v>
      </c>
      <c r="BF10" s="603" t="s">
        <v>138</v>
      </c>
      <c r="BG10" s="603" t="s">
        <v>142</v>
      </c>
      <c r="BH10" s="603" t="s">
        <v>143</v>
      </c>
      <c r="BI10" s="603" t="s">
        <v>148</v>
      </c>
      <c r="BJ10" s="603" t="s">
        <v>152</v>
      </c>
      <c r="BK10" s="603" t="s">
        <v>155</v>
      </c>
      <c r="BL10" s="603" t="s">
        <v>51</v>
      </c>
      <c r="BM10" s="603"/>
      <c r="BN10" s="603"/>
      <c r="BO10" s="603"/>
      <c r="BP10" s="603"/>
      <c r="BQ10" s="603"/>
      <c r="BR10" s="603"/>
      <c r="BS10" s="603"/>
      <c r="BT10" s="603"/>
      <c r="BU10" s="603"/>
      <c r="BV10" s="603"/>
      <c r="BW10" s="603" t="s">
        <v>2246</v>
      </c>
      <c r="BX10" s="603" t="s">
        <v>3080</v>
      </c>
      <c r="BY10" s="603" t="s">
        <v>4175</v>
      </c>
      <c r="BZ10" s="682"/>
      <c r="CA10" s="603" t="s">
        <v>3084</v>
      </c>
      <c r="CB10" s="603" t="s">
        <v>3087</v>
      </c>
      <c r="CC10" s="603" t="s">
        <v>3088</v>
      </c>
      <c r="CD10" s="603" t="s">
        <v>3082</v>
      </c>
      <c r="CE10" s="603" t="s">
        <v>3083</v>
      </c>
      <c r="CF10" s="603" t="s">
        <v>3085</v>
      </c>
      <c r="CG10" s="603"/>
      <c r="CH10" s="603" t="s">
        <v>4225</v>
      </c>
      <c r="CI10" s="603" t="s">
        <v>4501</v>
      </c>
      <c r="CJ10" s="603" t="s">
        <v>4507</v>
      </c>
      <c r="CK10" s="603" t="s">
        <v>4180</v>
      </c>
      <c r="CL10" s="603" t="s">
        <v>4204</v>
      </c>
      <c r="CM10" s="603" t="s">
        <v>4225</v>
      </c>
      <c r="CN10" s="603" t="s">
        <v>4343</v>
      </c>
      <c r="CO10" s="603" t="s">
        <v>4703</v>
      </c>
      <c r="CP10" s="603" t="s">
        <v>3034</v>
      </c>
      <c r="CQ10" s="603" t="s">
        <v>4226</v>
      </c>
      <c r="CR10" s="603" t="s">
        <v>4342</v>
      </c>
      <c r="CS10" s="603" t="s">
        <v>4180</v>
      </c>
      <c r="CT10" s="603" t="s">
        <v>3034</v>
      </c>
      <c r="CU10" s="603" t="s">
        <v>4227</v>
      </c>
      <c r="CV10" s="603" t="s">
        <v>4341</v>
      </c>
      <c r="CW10" s="603" t="s">
        <v>4180</v>
      </c>
      <c r="CX10" s="603" t="s">
        <v>3034</v>
      </c>
      <c r="CY10" s="603" t="s">
        <v>4228</v>
      </c>
      <c r="CZ10" s="603" t="s">
        <v>4180</v>
      </c>
      <c r="DA10" s="603" t="s">
        <v>4229</v>
      </c>
      <c r="DB10" s="603">
        <v>3</v>
      </c>
    </row>
    <row r="11" spans="1:106" x14ac:dyDescent="0.25">
      <c r="A11" s="134">
        <f t="shared" si="1"/>
        <v>9</v>
      </c>
      <c r="B11" s="603" t="s">
        <v>622</v>
      </c>
      <c r="C11" s="680" t="s">
        <v>5126</v>
      </c>
      <c r="D11" s="603">
        <v>8</v>
      </c>
      <c r="E11" s="681" t="s">
        <v>6170</v>
      </c>
      <c r="F11" s="681" t="s">
        <v>5133</v>
      </c>
      <c r="G11" s="603" t="s">
        <v>4149</v>
      </c>
      <c r="H11" s="603" t="s">
        <v>4155</v>
      </c>
      <c r="I11" s="603" t="s">
        <v>76</v>
      </c>
      <c r="J11" s="603" t="s">
        <v>76</v>
      </c>
      <c r="K11" s="603" t="s">
        <v>1114</v>
      </c>
      <c r="L11" s="603">
        <v>1</v>
      </c>
      <c r="M11" s="603" t="s">
        <v>4162</v>
      </c>
      <c r="N11" s="603">
        <v>4</v>
      </c>
      <c r="O11" s="603" t="str">
        <f t="shared" si="0"/>
        <v>Dexterity, Intelligence</v>
      </c>
      <c r="P11" s="603" t="s">
        <v>4</v>
      </c>
      <c r="Q11" s="603" t="s">
        <v>6</v>
      </c>
      <c r="R11" s="603"/>
      <c r="S11" s="680" t="s">
        <v>6538</v>
      </c>
      <c r="T11" s="603" t="s">
        <v>2855</v>
      </c>
      <c r="U11" s="603" t="s">
        <v>2853</v>
      </c>
      <c r="V11" s="603" t="s">
        <v>2842</v>
      </c>
      <c r="W11" s="603" t="s">
        <v>2847</v>
      </c>
      <c r="X11" s="603"/>
      <c r="Y11" s="603"/>
      <c r="Z11" s="603"/>
      <c r="AA11" s="603" t="s">
        <v>2848</v>
      </c>
      <c r="AB11" s="603">
        <v>2</v>
      </c>
      <c r="AC11" s="603" t="s">
        <v>2856</v>
      </c>
      <c r="AD11" s="603">
        <v>1</v>
      </c>
      <c r="AE11" s="603"/>
      <c r="AF11" s="603"/>
      <c r="AG11" s="603" t="s">
        <v>149</v>
      </c>
      <c r="AH11" s="603" t="s">
        <v>51</v>
      </c>
      <c r="AI11" s="603"/>
      <c r="AJ11" s="603"/>
      <c r="AK11" s="603"/>
      <c r="AL11" s="603"/>
      <c r="AM11" s="603"/>
      <c r="AN11" s="603"/>
      <c r="AO11" s="603"/>
      <c r="AP11" s="603"/>
      <c r="AQ11" s="603"/>
      <c r="AR11" s="603"/>
      <c r="AS11" s="603"/>
      <c r="AT11" s="603"/>
      <c r="AU11" s="603"/>
      <c r="AV11" s="603"/>
      <c r="AW11" s="603"/>
      <c r="AX11" s="603"/>
      <c r="AY11" s="603"/>
      <c r="AZ11" s="603"/>
      <c r="BA11" s="603" t="s">
        <v>52</v>
      </c>
      <c r="BB11" s="603" t="s">
        <v>51</v>
      </c>
      <c r="BC11" s="603"/>
      <c r="BD11" s="603"/>
      <c r="BE11" s="603"/>
      <c r="BF11" s="603"/>
      <c r="BG11" s="603"/>
      <c r="BH11" s="603"/>
      <c r="BI11" s="603"/>
      <c r="BJ11" s="603"/>
      <c r="BK11" s="603"/>
      <c r="BL11" s="603"/>
      <c r="BM11" s="603"/>
      <c r="BN11" s="603"/>
      <c r="BO11" s="603"/>
      <c r="BP11" s="603"/>
      <c r="BQ11" s="603"/>
      <c r="BR11" s="603"/>
      <c r="BS11" s="603"/>
      <c r="BT11" s="603"/>
      <c r="BU11" s="603"/>
      <c r="BV11" s="603"/>
      <c r="BW11" s="603" t="s">
        <v>2247</v>
      </c>
      <c r="BX11" s="603" t="s">
        <v>2970</v>
      </c>
      <c r="BY11" s="603" t="s">
        <v>4176</v>
      </c>
      <c r="BZ11" s="682"/>
      <c r="CA11" s="603" t="s">
        <v>3084</v>
      </c>
      <c r="CB11" s="603" t="s">
        <v>3085</v>
      </c>
      <c r="CC11" s="603"/>
      <c r="CD11" s="603"/>
      <c r="CE11" s="603"/>
      <c r="CF11" s="603"/>
      <c r="CG11" s="603" t="s">
        <v>76</v>
      </c>
      <c r="CH11" s="603" t="s">
        <v>4230</v>
      </c>
      <c r="CI11" s="603" t="s">
        <v>4231</v>
      </c>
      <c r="CJ11" s="603" t="s">
        <v>6242</v>
      </c>
      <c r="CK11" s="603" t="s">
        <v>4180</v>
      </c>
      <c r="CL11" s="603" t="s">
        <v>4232</v>
      </c>
      <c r="CM11" s="603" t="s">
        <v>4233</v>
      </c>
      <c r="CN11" s="603" t="s">
        <v>4234</v>
      </c>
      <c r="CO11" s="603" t="s">
        <v>4180</v>
      </c>
      <c r="CP11" s="603" t="s">
        <v>4344</v>
      </c>
      <c r="CQ11" s="603" t="s">
        <v>4180</v>
      </c>
      <c r="CR11" s="603" t="s">
        <v>4235</v>
      </c>
      <c r="CS11" s="603" t="s">
        <v>4180</v>
      </c>
      <c r="CT11" s="603" t="s">
        <v>4345</v>
      </c>
      <c r="CU11" s="603" t="s">
        <v>4236</v>
      </c>
      <c r="CV11" s="603" t="s">
        <v>4237</v>
      </c>
      <c r="CW11" s="603" t="s">
        <v>4180</v>
      </c>
      <c r="CX11" s="603" t="s">
        <v>4346</v>
      </c>
      <c r="CY11" s="603" t="s">
        <v>4238</v>
      </c>
      <c r="CZ11" s="603" t="s">
        <v>4180</v>
      </c>
      <c r="DA11" s="603" t="s">
        <v>4239</v>
      </c>
      <c r="DB11" s="603">
        <v>3</v>
      </c>
    </row>
    <row r="12" spans="1:106" x14ac:dyDescent="0.25">
      <c r="A12" s="134">
        <f t="shared" si="1"/>
        <v>10</v>
      </c>
      <c r="B12" s="603" t="s">
        <v>623</v>
      </c>
      <c r="C12" s="680" t="s">
        <v>5127</v>
      </c>
      <c r="D12" s="603">
        <v>6</v>
      </c>
      <c r="E12" s="681" t="s">
        <v>6171</v>
      </c>
      <c r="F12" s="681" t="s">
        <v>5134</v>
      </c>
      <c r="G12" s="603" t="s">
        <v>4153</v>
      </c>
      <c r="H12" s="603" t="s">
        <v>3203</v>
      </c>
      <c r="I12" s="603" t="s">
        <v>1114</v>
      </c>
      <c r="J12" s="603" t="s">
        <v>1114</v>
      </c>
      <c r="K12" s="603" t="s">
        <v>1114</v>
      </c>
      <c r="L12" s="603" t="s">
        <v>1114</v>
      </c>
      <c r="M12" s="603" t="s">
        <v>4168</v>
      </c>
      <c r="N12" s="603">
        <v>2</v>
      </c>
      <c r="O12" s="603" t="str">
        <f t="shared" si="0"/>
        <v>Dexterity, Charisma</v>
      </c>
      <c r="P12" s="603" t="s">
        <v>4</v>
      </c>
      <c r="Q12" s="603" t="s">
        <v>8</v>
      </c>
      <c r="R12" s="603"/>
      <c r="S12" s="680" t="s">
        <v>6539</v>
      </c>
      <c r="T12" s="603" t="s">
        <v>2853</v>
      </c>
      <c r="U12" s="603" t="s">
        <v>2842</v>
      </c>
      <c r="V12" s="603"/>
      <c r="W12" s="603" t="s">
        <v>1068</v>
      </c>
      <c r="X12" s="603"/>
      <c r="Y12" s="603"/>
      <c r="Z12" s="603" t="s">
        <v>2864</v>
      </c>
      <c r="AA12" s="603" t="s">
        <v>2848</v>
      </c>
      <c r="AB12" s="603">
        <v>2</v>
      </c>
      <c r="AC12" s="603"/>
      <c r="AD12" s="603"/>
      <c r="AE12" s="603"/>
      <c r="AF12" s="603"/>
      <c r="AG12" s="603" t="s">
        <v>119</v>
      </c>
      <c r="AH12" s="603" t="s">
        <v>123</v>
      </c>
      <c r="AI12" s="603" t="s">
        <v>124</v>
      </c>
      <c r="AJ12" s="603" t="s">
        <v>129</v>
      </c>
      <c r="AK12" s="603" t="s">
        <v>36</v>
      </c>
      <c r="AL12" s="603" t="s">
        <v>138</v>
      </c>
      <c r="AM12" s="603" t="s">
        <v>141</v>
      </c>
      <c r="AN12" s="603" t="s">
        <v>142</v>
      </c>
      <c r="AO12" s="603" t="s">
        <v>143</v>
      </c>
      <c r="AP12" s="603" t="s">
        <v>148</v>
      </c>
      <c r="AQ12" s="603" t="s">
        <v>52</v>
      </c>
      <c r="AR12" s="603" t="s">
        <v>152</v>
      </c>
      <c r="AS12" s="603" t="s">
        <v>153</v>
      </c>
      <c r="AT12" s="603" t="s">
        <v>155</v>
      </c>
      <c r="AU12" s="603"/>
      <c r="AV12" s="603"/>
      <c r="AW12" s="603"/>
      <c r="AX12" s="603"/>
      <c r="AY12" s="603"/>
      <c r="AZ12" s="603"/>
      <c r="BA12" s="603" t="s">
        <v>1068</v>
      </c>
      <c r="BB12" s="603"/>
      <c r="BC12" s="603"/>
      <c r="BD12" s="603"/>
      <c r="BE12" s="603"/>
      <c r="BF12" s="603"/>
      <c r="BG12" s="603"/>
      <c r="BH12" s="603"/>
      <c r="BI12" s="603"/>
      <c r="BJ12" s="603"/>
      <c r="BK12" s="603"/>
      <c r="BL12" s="603"/>
      <c r="BM12" s="603"/>
      <c r="BN12" s="603"/>
      <c r="BO12" s="603"/>
      <c r="BP12" s="603"/>
      <c r="BQ12" s="603"/>
      <c r="BR12" s="603"/>
      <c r="BS12" s="603"/>
      <c r="BT12" s="603"/>
      <c r="BU12" s="603"/>
      <c r="BV12" s="603"/>
      <c r="BW12" s="603" t="s">
        <v>2248</v>
      </c>
      <c r="BX12" s="603" t="s">
        <v>2968</v>
      </c>
      <c r="BY12" s="603" t="s">
        <v>3034</v>
      </c>
      <c r="BZ12" s="682"/>
      <c r="CA12" s="603"/>
      <c r="CB12" s="603"/>
      <c r="CC12" s="603"/>
      <c r="CD12" s="603"/>
      <c r="CE12" s="603"/>
      <c r="CF12" s="603"/>
      <c r="CG12" s="603"/>
      <c r="CH12" s="603" t="s">
        <v>4347</v>
      </c>
      <c r="CI12" s="603" t="s">
        <v>4240</v>
      </c>
      <c r="CJ12" s="603" t="s">
        <v>4241</v>
      </c>
      <c r="CK12" s="603" t="s">
        <v>4180</v>
      </c>
      <c r="CL12" s="603" t="s">
        <v>3034</v>
      </c>
      <c r="CM12" s="603" t="s">
        <v>6994</v>
      </c>
      <c r="CN12" s="603" t="s">
        <v>3034</v>
      </c>
      <c r="CO12" s="603" t="s">
        <v>4180</v>
      </c>
      <c r="CP12" s="603" t="s">
        <v>3034</v>
      </c>
      <c r="CQ12" s="603" t="s">
        <v>4241</v>
      </c>
      <c r="CR12" s="603" t="s">
        <v>3034</v>
      </c>
      <c r="CS12" s="603" t="s">
        <v>4180</v>
      </c>
      <c r="CT12" s="603" t="s">
        <v>3034</v>
      </c>
      <c r="CU12" s="603" t="s">
        <v>4348</v>
      </c>
      <c r="CV12" s="603" t="s">
        <v>3034</v>
      </c>
      <c r="CW12" s="603" t="s">
        <v>4180</v>
      </c>
      <c r="CX12" s="603" t="s">
        <v>4241</v>
      </c>
      <c r="CY12" s="603" t="s">
        <v>4349</v>
      </c>
      <c r="CZ12" s="603" t="s">
        <v>4180</v>
      </c>
      <c r="DA12" s="603" t="s">
        <v>4242</v>
      </c>
      <c r="DB12" s="603">
        <v>1</v>
      </c>
    </row>
    <row r="13" spans="1:106" x14ac:dyDescent="0.25">
      <c r="A13" s="134">
        <f t="shared" si="1"/>
        <v>11</v>
      </c>
      <c r="B13" s="603" t="s">
        <v>624</v>
      </c>
      <c r="C13" s="680" t="s">
        <v>5129</v>
      </c>
      <c r="D13" s="603">
        <v>6</v>
      </c>
      <c r="E13" s="681" t="s">
        <v>6172</v>
      </c>
      <c r="F13" s="681" t="s">
        <v>5133</v>
      </c>
      <c r="G13" s="603" t="s">
        <v>4153</v>
      </c>
      <c r="H13" s="603" t="s">
        <v>3203</v>
      </c>
      <c r="I13" s="603" t="s">
        <v>1114</v>
      </c>
      <c r="J13" s="603" t="s">
        <v>1114</v>
      </c>
      <c r="K13" s="603" t="s">
        <v>1114</v>
      </c>
      <c r="L13" s="603" t="s">
        <v>1114</v>
      </c>
      <c r="M13" s="603" t="s">
        <v>4169</v>
      </c>
      <c r="N13" s="603">
        <v>2</v>
      </c>
      <c r="O13" s="603" t="str">
        <f t="shared" si="0"/>
        <v>Wisdom, Charisma</v>
      </c>
      <c r="P13" s="603" t="s">
        <v>7</v>
      </c>
      <c r="Q13" s="603" t="s">
        <v>8</v>
      </c>
      <c r="R13" s="603"/>
      <c r="S13" s="680" t="s">
        <v>6540</v>
      </c>
      <c r="T13" s="603" t="s">
        <v>2857</v>
      </c>
      <c r="U13" s="603" t="s">
        <v>2853</v>
      </c>
      <c r="V13" s="603"/>
      <c r="W13" s="603" t="s">
        <v>2847</v>
      </c>
      <c r="X13" s="603"/>
      <c r="Y13" s="603"/>
      <c r="Z13" s="603" t="s">
        <v>2864</v>
      </c>
      <c r="AA13" s="603" t="s">
        <v>2848</v>
      </c>
      <c r="AB13" s="603">
        <v>2</v>
      </c>
      <c r="AC13" s="603"/>
      <c r="AD13" s="603"/>
      <c r="AE13" s="603"/>
      <c r="AF13" s="603"/>
      <c r="AG13" s="603" t="s">
        <v>119</v>
      </c>
      <c r="AH13" s="603" t="s">
        <v>123</v>
      </c>
      <c r="AI13" s="603" t="s">
        <v>124</v>
      </c>
      <c r="AJ13" s="603" t="s">
        <v>129</v>
      </c>
      <c r="AK13" s="603" t="s">
        <v>36</v>
      </c>
      <c r="AL13" s="603" t="s">
        <v>138</v>
      </c>
      <c r="AM13" s="603" t="s">
        <v>141</v>
      </c>
      <c r="AN13" s="603" t="s">
        <v>142</v>
      </c>
      <c r="AO13" s="603" t="s">
        <v>143</v>
      </c>
      <c r="AP13" s="603" t="s">
        <v>148</v>
      </c>
      <c r="AQ13" s="603" t="s">
        <v>52</v>
      </c>
      <c r="AR13" s="603" t="s">
        <v>152</v>
      </c>
      <c r="AS13" s="603" t="s">
        <v>153</v>
      </c>
      <c r="AT13" s="603" t="s">
        <v>155</v>
      </c>
      <c r="AU13" s="603"/>
      <c r="AV13" s="603"/>
      <c r="AW13" s="603"/>
      <c r="AX13" s="603"/>
      <c r="AY13" s="603"/>
      <c r="AZ13" s="603"/>
      <c r="BA13" s="603" t="s">
        <v>1068</v>
      </c>
      <c r="BB13" s="603"/>
      <c r="BC13" s="603"/>
      <c r="BD13" s="603"/>
      <c r="BE13" s="603"/>
      <c r="BF13" s="603"/>
      <c r="BG13" s="603"/>
      <c r="BH13" s="603"/>
      <c r="BI13" s="603"/>
      <c r="BJ13" s="603"/>
      <c r="BK13" s="603"/>
      <c r="BL13" s="603"/>
      <c r="BM13" s="603"/>
      <c r="BN13" s="603"/>
      <c r="BO13" s="603"/>
      <c r="BP13" s="603"/>
      <c r="BQ13" s="603"/>
      <c r="BR13" s="603"/>
      <c r="BS13" s="603"/>
      <c r="BT13" s="603"/>
      <c r="BU13" s="603"/>
      <c r="BV13" s="603"/>
      <c r="BW13" s="603" t="s">
        <v>2249</v>
      </c>
      <c r="BX13" s="603" t="s">
        <v>2968</v>
      </c>
      <c r="BY13" s="603" t="s">
        <v>4177</v>
      </c>
      <c r="BZ13" s="682"/>
      <c r="CA13" s="603" t="s">
        <v>3084</v>
      </c>
      <c r="CB13" s="603" t="s">
        <v>3082</v>
      </c>
      <c r="CC13" s="603"/>
      <c r="CD13" s="603"/>
      <c r="CE13" s="603"/>
      <c r="CF13" s="603"/>
      <c r="CG13" s="603"/>
      <c r="CH13" s="603" t="s">
        <v>4243</v>
      </c>
      <c r="CI13" s="603" t="s">
        <v>4244</v>
      </c>
      <c r="CJ13" s="603" t="s">
        <v>4245</v>
      </c>
      <c r="CK13" s="603" t="s">
        <v>4180</v>
      </c>
      <c r="CL13" s="603" t="s">
        <v>3034</v>
      </c>
      <c r="CM13" s="603" t="s">
        <v>4352</v>
      </c>
      <c r="CN13" s="603" t="s">
        <v>3034</v>
      </c>
      <c r="CO13" s="603" t="s">
        <v>4180</v>
      </c>
      <c r="CP13" s="603" t="s">
        <v>3034</v>
      </c>
      <c r="CQ13" s="603" t="s">
        <v>4351</v>
      </c>
      <c r="CR13" s="603" t="s">
        <v>4246</v>
      </c>
      <c r="CS13" s="603" t="s">
        <v>4180</v>
      </c>
      <c r="CT13" s="603" t="s">
        <v>4246</v>
      </c>
      <c r="CU13" s="603" t="s">
        <v>4350</v>
      </c>
      <c r="CV13" s="603" t="s">
        <v>4246</v>
      </c>
      <c r="CW13" s="603" t="s">
        <v>4180</v>
      </c>
      <c r="CX13" s="603" t="s">
        <v>4246</v>
      </c>
      <c r="CY13" s="603" t="s">
        <v>3034</v>
      </c>
      <c r="CZ13" s="603" t="s">
        <v>4180</v>
      </c>
      <c r="DA13" s="603" t="s">
        <v>4247</v>
      </c>
      <c r="DB13" s="603">
        <v>1</v>
      </c>
    </row>
    <row r="14" spans="1:106" x14ac:dyDescent="0.25">
      <c r="A14" s="134">
        <f t="shared" si="1"/>
        <v>12</v>
      </c>
      <c r="B14" s="603" t="s">
        <v>625</v>
      </c>
      <c r="C14" s="680" t="s">
        <v>5128</v>
      </c>
      <c r="D14" s="603">
        <v>6</v>
      </c>
      <c r="E14" s="681" t="s">
        <v>6173</v>
      </c>
      <c r="F14" s="681" t="s">
        <v>5133</v>
      </c>
      <c r="G14" s="603" t="s">
        <v>4153</v>
      </c>
      <c r="H14" s="603" t="s">
        <v>3203</v>
      </c>
      <c r="I14" s="603" t="s">
        <v>1114</v>
      </c>
      <c r="J14" s="603" t="s">
        <v>1114</v>
      </c>
      <c r="K14" s="603" t="s">
        <v>1114</v>
      </c>
      <c r="L14" s="603" t="s">
        <v>1114</v>
      </c>
      <c r="M14" s="603" t="s">
        <v>4170</v>
      </c>
      <c r="N14" s="603">
        <v>2</v>
      </c>
      <c r="O14" s="603" t="str">
        <f t="shared" si="0"/>
        <v>Intelligence, Wisdom</v>
      </c>
      <c r="P14" s="603" t="s">
        <v>6</v>
      </c>
      <c r="Q14" s="603" t="s">
        <v>7</v>
      </c>
      <c r="R14" s="603"/>
      <c r="S14" s="680" t="s">
        <v>6541</v>
      </c>
      <c r="T14" s="603" t="s">
        <v>2857</v>
      </c>
      <c r="U14" s="603" t="s">
        <v>2842</v>
      </c>
      <c r="V14" s="603"/>
      <c r="W14" s="603" t="s">
        <v>1068</v>
      </c>
      <c r="X14" s="603"/>
      <c r="Y14" s="603"/>
      <c r="Z14" s="603" t="s">
        <v>2864</v>
      </c>
      <c r="AA14" s="603" t="s">
        <v>2858</v>
      </c>
      <c r="AB14" s="603">
        <v>1</v>
      </c>
      <c r="AC14" s="603"/>
      <c r="AD14" s="603"/>
      <c r="AE14" s="603"/>
      <c r="AF14" s="603"/>
      <c r="AG14" s="603" t="s">
        <v>123</v>
      </c>
      <c r="AH14" s="603" t="s">
        <v>148</v>
      </c>
      <c r="AI14" s="603"/>
      <c r="AJ14" s="603"/>
      <c r="AK14" s="603"/>
      <c r="AL14" s="603"/>
      <c r="AM14" s="603"/>
      <c r="AN14" s="603"/>
      <c r="AO14" s="603"/>
      <c r="AP14" s="603"/>
      <c r="AQ14" s="603"/>
      <c r="AR14" s="603"/>
      <c r="AS14" s="603"/>
      <c r="AT14" s="603"/>
      <c r="AU14" s="603"/>
      <c r="AV14" s="603"/>
      <c r="AW14" s="603"/>
      <c r="AX14" s="603"/>
      <c r="AY14" s="603"/>
      <c r="AZ14" s="603"/>
      <c r="BA14" s="603" t="s">
        <v>1068</v>
      </c>
      <c r="BB14" s="603"/>
      <c r="BC14" s="603"/>
      <c r="BD14" s="603"/>
      <c r="BE14" s="603"/>
      <c r="BF14" s="603"/>
      <c r="BG14" s="603"/>
      <c r="BH14" s="603"/>
      <c r="BI14" s="603"/>
      <c r="BJ14" s="603"/>
      <c r="BK14" s="603"/>
      <c r="BL14" s="603"/>
      <c r="BM14" s="603"/>
      <c r="BN14" s="603"/>
      <c r="BO14" s="603"/>
      <c r="BP14" s="603"/>
      <c r="BQ14" s="603"/>
      <c r="BR14" s="603"/>
      <c r="BS14" s="603"/>
      <c r="BT14" s="603"/>
      <c r="BU14" s="603"/>
      <c r="BV14" s="603"/>
      <c r="BW14" s="603" t="s">
        <v>1118</v>
      </c>
      <c r="BX14" s="603" t="s">
        <v>2971</v>
      </c>
      <c r="BY14" s="603" t="s">
        <v>3034</v>
      </c>
      <c r="BZ14" s="682"/>
      <c r="CA14" s="603"/>
      <c r="CB14" s="603"/>
      <c r="CC14" s="603"/>
      <c r="CD14" s="603"/>
      <c r="CE14" s="603"/>
      <c r="CF14" s="603"/>
      <c r="CG14" s="603"/>
      <c r="CH14" s="603" t="s">
        <v>4496</v>
      </c>
      <c r="CI14" s="603" t="s">
        <v>4248</v>
      </c>
      <c r="CJ14" s="603" t="s">
        <v>3034</v>
      </c>
      <c r="CK14" s="603" t="s">
        <v>4180</v>
      </c>
      <c r="CL14" s="603" t="s">
        <v>3034</v>
      </c>
      <c r="CM14" s="603" t="s">
        <v>4353</v>
      </c>
      <c r="CN14" s="603" t="s">
        <v>3034</v>
      </c>
      <c r="CO14" s="603" t="s">
        <v>4180</v>
      </c>
      <c r="CP14" s="603" t="s">
        <v>3034</v>
      </c>
      <c r="CQ14" s="603" t="s">
        <v>4354</v>
      </c>
      <c r="CR14" s="603" t="s">
        <v>3034</v>
      </c>
      <c r="CS14" s="603" t="s">
        <v>4180</v>
      </c>
      <c r="CT14" s="603" t="s">
        <v>3034</v>
      </c>
      <c r="CU14" s="603" t="s">
        <v>4355</v>
      </c>
      <c r="CV14" s="603" t="s">
        <v>3034</v>
      </c>
      <c r="CW14" s="603" t="s">
        <v>4180</v>
      </c>
      <c r="CX14" s="603" t="s">
        <v>3034</v>
      </c>
      <c r="CY14" s="603" t="s">
        <v>4249</v>
      </c>
      <c r="CZ14" s="603" t="s">
        <v>4180</v>
      </c>
      <c r="DA14" s="603" t="s">
        <v>4250</v>
      </c>
      <c r="DB14" s="603">
        <v>2</v>
      </c>
    </row>
    <row r="15" spans="1:106" x14ac:dyDescent="0.25">
      <c r="A15" s="134" t="str">
        <f t="shared" si="1"/>
        <v/>
      </c>
      <c r="B15" s="137"/>
      <c r="C15" s="137"/>
      <c r="D15" s="137"/>
      <c r="E15" s="137"/>
      <c r="F15" s="137"/>
      <c r="G15" s="137"/>
      <c r="H15" s="137"/>
      <c r="I15" s="137"/>
      <c r="J15" s="137"/>
      <c r="K15" s="137"/>
      <c r="L15" s="137"/>
      <c r="M15" s="137"/>
      <c r="N15" s="137"/>
      <c r="O15" s="137" t="str">
        <f t="shared" si="0"/>
        <v xml:space="preserve">FALSE, </v>
      </c>
      <c r="P15" s="137"/>
      <c r="Q15" s="137"/>
      <c r="R15" s="137"/>
      <c r="S15" s="137"/>
      <c r="T15" s="137"/>
      <c r="U15" s="137"/>
      <c r="V15" s="137"/>
      <c r="W15" s="137"/>
      <c r="X15" s="137"/>
      <c r="Y15" s="137"/>
      <c r="Z15" s="137"/>
      <c r="AA15" s="137"/>
      <c r="AB15" s="137"/>
      <c r="AC15" s="137"/>
      <c r="AD15" s="137"/>
      <c r="AE15" s="137"/>
      <c r="AF15" s="137"/>
      <c r="AG15" s="137"/>
      <c r="AH15" s="137"/>
      <c r="AI15" s="137"/>
      <c r="AJ15" s="137"/>
      <c r="AK15" s="137"/>
      <c r="AL15" s="137"/>
      <c r="AM15" s="137"/>
      <c r="AN15" s="137"/>
      <c r="AO15" s="137"/>
      <c r="AP15" s="137"/>
      <c r="AQ15" s="137"/>
      <c r="AR15" s="137"/>
      <c r="AS15" s="137"/>
      <c r="AT15" s="137"/>
      <c r="AU15" s="137"/>
      <c r="AV15" s="137"/>
      <c r="AW15" s="137"/>
      <c r="AX15" s="137"/>
      <c r="AY15" s="137"/>
      <c r="AZ15" s="137"/>
      <c r="BA15" s="137"/>
      <c r="BB15" s="137"/>
      <c r="BC15" s="137"/>
      <c r="BD15" s="137"/>
      <c r="BE15" s="137"/>
      <c r="BF15" s="137"/>
      <c r="BG15" s="137"/>
      <c r="BH15" s="137"/>
      <c r="BI15" s="137"/>
      <c r="BJ15" s="137"/>
      <c r="BK15" s="137"/>
      <c r="BL15" s="137"/>
      <c r="BM15" s="137"/>
      <c r="BN15" s="137"/>
      <c r="BO15" s="137"/>
      <c r="BP15" s="137"/>
      <c r="BQ15" s="137"/>
      <c r="BR15" s="137"/>
      <c r="BS15" s="137"/>
      <c r="BT15" s="137"/>
      <c r="BU15" s="137"/>
      <c r="BV15" s="137"/>
      <c r="BW15" s="137"/>
      <c r="BX15" s="137"/>
      <c r="BY15" s="137"/>
      <c r="BZ15" s="137"/>
      <c r="CA15" s="137"/>
      <c r="CB15" s="137"/>
      <c r="CC15" s="137"/>
      <c r="CD15" s="137"/>
      <c r="CE15" s="137"/>
      <c r="CF15" s="137"/>
      <c r="CG15" s="137"/>
      <c r="CH15" s="137"/>
      <c r="CI15" s="137"/>
      <c r="CJ15" s="137"/>
      <c r="CK15" s="137"/>
      <c r="CL15" s="137"/>
      <c r="CM15" s="137"/>
      <c r="CN15" s="137"/>
      <c r="CO15" s="137"/>
      <c r="CP15" s="137"/>
      <c r="CQ15" s="137"/>
      <c r="CR15" s="137"/>
      <c r="CS15" s="137"/>
      <c r="CT15" s="137"/>
      <c r="CU15" s="137"/>
      <c r="CV15" s="137"/>
      <c r="CW15" s="137"/>
      <c r="CX15" s="137"/>
      <c r="CY15" s="137"/>
      <c r="CZ15" s="137"/>
      <c r="DA15" s="137"/>
      <c r="DB15" s="137"/>
    </row>
    <row r="16" spans="1:106" x14ac:dyDescent="0.25">
      <c r="A16" s="134" t="str">
        <f t="shared" si="1"/>
        <v/>
      </c>
      <c r="B16" s="137"/>
      <c r="C16" s="137"/>
      <c r="D16" s="137"/>
      <c r="E16" s="137"/>
      <c r="F16" s="137"/>
      <c r="G16" s="137"/>
      <c r="H16" s="137"/>
      <c r="I16" s="137"/>
      <c r="J16" s="137"/>
      <c r="K16" s="137"/>
      <c r="L16" s="137"/>
      <c r="M16" s="137"/>
      <c r="N16" s="137"/>
      <c r="O16" s="137" t="str">
        <f t="shared" si="0"/>
        <v xml:space="preserve">FALSE, </v>
      </c>
      <c r="P16" s="137"/>
      <c r="Q16" s="137"/>
      <c r="R16" s="137"/>
      <c r="S16" s="137"/>
      <c r="T16" s="137"/>
      <c r="U16" s="137"/>
      <c r="V16" s="137"/>
      <c r="W16" s="137"/>
      <c r="X16" s="137"/>
      <c r="Y16" s="137"/>
      <c r="Z16" s="137"/>
      <c r="AA16" s="137"/>
      <c r="AB16" s="137"/>
      <c r="AC16" s="137"/>
      <c r="AD16" s="137"/>
      <c r="AE16" s="137"/>
      <c r="AF16" s="137"/>
      <c r="AG16" s="137"/>
      <c r="AH16" s="137"/>
      <c r="AI16" s="137"/>
      <c r="AJ16" s="137"/>
      <c r="AK16" s="137"/>
      <c r="AL16" s="137"/>
      <c r="AM16" s="137"/>
      <c r="AN16" s="137"/>
      <c r="AO16" s="137"/>
      <c r="AP16" s="137"/>
      <c r="AQ16" s="137"/>
      <c r="AR16" s="137"/>
      <c r="AS16" s="137"/>
      <c r="AT16" s="137"/>
      <c r="AU16" s="137"/>
      <c r="AV16" s="137"/>
      <c r="AW16" s="137"/>
      <c r="AX16" s="137"/>
      <c r="AY16" s="137"/>
      <c r="AZ16" s="137"/>
      <c r="BA16" s="137"/>
      <c r="BB16" s="137"/>
      <c r="BC16" s="137"/>
      <c r="BD16" s="137"/>
      <c r="BE16" s="137"/>
      <c r="BF16" s="137"/>
      <c r="BG16" s="137"/>
      <c r="BH16" s="137"/>
      <c r="BI16" s="137"/>
      <c r="BJ16" s="137"/>
      <c r="BK16" s="137"/>
      <c r="BL16" s="137"/>
      <c r="BM16" s="137"/>
      <c r="BN16" s="137"/>
      <c r="BO16" s="137"/>
      <c r="BP16" s="137"/>
      <c r="BQ16" s="137"/>
      <c r="BR16" s="137"/>
      <c r="BS16" s="137"/>
      <c r="BT16" s="137"/>
      <c r="BU16" s="137"/>
      <c r="BV16" s="137"/>
      <c r="BW16" s="137"/>
      <c r="BX16" s="137"/>
      <c r="BY16" s="137"/>
      <c r="BZ16" s="137"/>
      <c r="CA16" s="137"/>
      <c r="CB16" s="137"/>
      <c r="CC16" s="137"/>
      <c r="CD16" s="137"/>
      <c r="CE16" s="137"/>
      <c r="CF16" s="137"/>
      <c r="CG16" s="137"/>
      <c r="CH16" s="137"/>
      <c r="CI16" s="137"/>
      <c r="CJ16" s="137"/>
      <c r="CK16" s="137"/>
      <c r="CL16" s="137"/>
      <c r="CM16" s="137"/>
      <c r="CN16" s="137"/>
      <c r="CO16" s="137"/>
      <c r="CP16" s="137"/>
      <c r="CQ16" s="137"/>
      <c r="CR16" s="137"/>
      <c r="CS16" s="137"/>
      <c r="CT16" s="137"/>
      <c r="CU16" s="137"/>
      <c r="CV16" s="137"/>
      <c r="CW16" s="137"/>
      <c r="CX16" s="137"/>
      <c r="CY16" s="137"/>
      <c r="CZ16" s="137"/>
      <c r="DA16" s="137"/>
      <c r="DB16" s="137"/>
    </row>
    <row r="17" spans="1:106" x14ac:dyDescent="0.25">
      <c r="A17" s="134" t="str">
        <f t="shared" si="1"/>
        <v/>
      </c>
      <c r="B17" s="137"/>
      <c r="C17" s="137"/>
      <c r="D17" s="137"/>
      <c r="E17" s="137"/>
      <c r="F17" s="137"/>
      <c r="G17" s="137"/>
      <c r="H17" s="137"/>
      <c r="I17" s="137"/>
      <c r="J17" s="137"/>
      <c r="K17" s="137"/>
      <c r="L17" s="137"/>
      <c r="M17" s="137"/>
      <c r="N17" s="137"/>
      <c r="O17" s="137" t="str">
        <f t="shared" si="0"/>
        <v xml:space="preserve">FALSE, </v>
      </c>
      <c r="P17" s="137"/>
      <c r="Q17" s="137"/>
      <c r="R17" s="137"/>
      <c r="S17" s="137"/>
      <c r="T17" s="137"/>
      <c r="U17" s="137"/>
      <c r="V17" s="137"/>
      <c r="W17" s="137"/>
      <c r="X17" s="137"/>
      <c r="Y17" s="137"/>
      <c r="Z17" s="137"/>
      <c r="AA17" s="137"/>
      <c r="AB17" s="137"/>
      <c r="AC17" s="137"/>
      <c r="AD17" s="137"/>
      <c r="AE17" s="137"/>
      <c r="AF17" s="137"/>
      <c r="AG17" s="137"/>
      <c r="AH17" s="137"/>
      <c r="AI17" s="137"/>
      <c r="AJ17" s="137"/>
      <c r="AK17" s="137"/>
      <c r="AL17" s="137"/>
      <c r="AM17" s="137"/>
      <c r="AN17" s="137"/>
      <c r="AO17" s="137"/>
      <c r="AP17" s="137"/>
      <c r="AQ17" s="137"/>
      <c r="AR17" s="137"/>
      <c r="AS17" s="137"/>
      <c r="AT17" s="137"/>
      <c r="AU17" s="137"/>
      <c r="AV17" s="137"/>
      <c r="AW17" s="137"/>
      <c r="AX17" s="137"/>
      <c r="AY17" s="137"/>
      <c r="AZ17" s="137"/>
      <c r="BA17" s="137"/>
      <c r="BB17" s="137"/>
      <c r="BC17" s="137"/>
      <c r="BD17" s="137"/>
      <c r="BE17" s="137"/>
      <c r="BF17" s="137"/>
      <c r="BG17" s="137"/>
      <c r="BH17" s="137"/>
      <c r="BI17" s="137"/>
      <c r="BJ17" s="137"/>
      <c r="BK17" s="137"/>
      <c r="BL17" s="137"/>
      <c r="BM17" s="137"/>
      <c r="BN17" s="137"/>
      <c r="BO17" s="137"/>
      <c r="BP17" s="137"/>
      <c r="BQ17" s="137"/>
      <c r="BR17" s="137"/>
      <c r="BS17" s="137"/>
      <c r="BT17" s="137"/>
      <c r="BU17" s="137"/>
      <c r="BV17" s="137"/>
      <c r="BW17" s="137"/>
      <c r="BX17" s="137"/>
      <c r="BY17" s="137"/>
      <c r="BZ17" s="137"/>
      <c r="CA17" s="137"/>
      <c r="CB17" s="137"/>
      <c r="CC17" s="137"/>
      <c r="CD17" s="137"/>
      <c r="CE17" s="137"/>
      <c r="CF17" s="137"/>
      <c r="CG17" s="137"/>
      <c r="CH17" s="137"/>
      <c r="CI17" s="137"/>
      <c r="CJ17" s="137"/>
      <c r="CK17" s="137"/>
      <c r="CL17" s="137"/>
      <c r="CM17" s="137"/>
      <c r="CN17" s="137"/>
      <c r="CO17" s="137"/>
      <c r="CP17" s="137"/>
      <c r="CQ17" s="137"/>
      <c r="CR17" s="137"/>
      <c r="CS17" s="137"/>
      <c r="CT17" s="137"/>
      <c r="CU17" s="137"/>
      <c r="CV17" s="137"/>
      <c r="CW17" s="137"/>
      <c r="CX17" s="137"/>
      <c r="CY17" s="137"/>
      <c r="CZ17" s="137"/>
      <c r="DA17" s="137"/>
      <c r="DB17" s="137"/>
    </row>
    <row r="18" spans="1:106" x14ac:dyDescent="0.25">
      <c r="A18" s="134" t="str">
        <f t="shared" si="1"/>
        <v/>
      </c>
      <c r="B18" s="137"/>
      <c r="C18" s="684"/>
      <c r="D18" s="137"/>
      <c r="E18" s="137"/>
      <c r="F18" s="137"/>
      <c r="G18" s="137"/>
      <c r="H18" s="137"/>
      <c r="I18" s="137"/>
      <c r="J18" s="137"/>
      <c r="K18" s="137"/>
      <c r="L18" s="137"/>
      <c r="M18" s="137"/>
      <c r="N18" s="137"/>
      <c r="O18" s="137" t="str">
        <f t="shared" si="0"/>
        <v xml:space="preserve">FALSE, </v>
      </c>
      <c r="P18" s="137"/>
      <c r="Q18" s="137"/>
      <c r="R18" s="137"/>
      <c r="S18" s="137"/>
      <c r="T18" s="137"/>
      <c r="U18" s="137"/>
      <c r="V18" s="137"/>
      <c r="W18" s="137"/>
      <c r="X18" s="137"/>
      <c r="Y18" s="137"/>
      <c r="Z18" s="137"/>
      <c r="AA18" s="137"/>
      <c r="AB18" s="137"/>
      <c r="AC18" s="137"/>
      <c r="AD18" s="137"/>
      <c r="AE18" s="137"/>
      <c r="AF18" s="137"/>
      <c r="AG18" s="137"/>
      <c r="AH18" s="137"/>
      <c r="AI18" s="137"/>
      <c r="AJ18" s="137"/>
      <c r="AK18" s="137"/>
      <c r="AL18" s="137"/>
      <c r="AM18" s="137"/>
      <c r="AN18" s="137"/>
      <c r="AO18" s="137"/>
      <c r="AP18" s="137"/>
      <c r="AQ18" s="137"/>
      <c r="AR18" s="137"/>
      <c r="AS18" s="137"/>
      <c r="AT18" s="137"/>
      <c r="AU18" s="137"/>
      <c r="AV18" s="137"/>
      <c r="AW18" s="137"/>
      <c r="AX18" s="137"/>
      <c r="AY18" s="137"/>
      <c r="AZ18" s="137"/>
      <c r="BA18" s="137"/>
      <c r="BB18" s="137"/>
      <c r="BC18" s="137"/>
      <c r="BD18" s="137"/>
      <c r="BE18" s="137"/>
      <c r="BF18" s="137"/>
      <c r="BG18" s="137"/>
      <c r="BH18" s="137"/>
      <c r="BI18" s="137"/>
      <c r="BJ18" s="137"/>
      <c r="BK18" s="137"/>
      <c r="BL18" s="137"/>
      <c r="BM18" s="137"/>
      <c r="BN18" s="137"/>
      <c r="BO18" s="137"/>
      <c r="BP18" s="137"/>
      <c r="BQ18" s="137"/>
      <c r="BR18" s="137"/>
      <c r="BS18" s="137"/>
      <c r="BT18" s="137"/>
      <c r="BU18" s="137"/>
      <c r="BV18" s="137"/>
      <c r="BW18" s="137"/>
      <c r="BX18" s="137"/>
      <c r="BY18" s="137"/>
      <c r="BZ18" s="137"/>
      <c r="CA18" s="137"/>
      <c r="CB18" s="137"/>
      <c r="CC18" s="137"/>
      <c r="CD18" s="137"/>
      <c r="CE18" s="137"/>
      <c r="CF18" s="137"/>
      <c r="CG18" s="137"/>
      <c r="CH18" s="137"/>
      <c r="CI18" s="137"/>
      <c r="CJ18" s="137"/>
      <c r="CK18" s="137"/>
      <c r="CL18" s="137"/>
      <c r="CM18" s="137"/>
      <c r="CN18" s="137"/>
      <c r="CO18" s="137"/>
      <c r="CP18" s="137"/>
      <c r="CQ18" s="137"/>
      <c r="CR18" s="137"/>
      <c r="CS18" s="137"/>
      <c r="CT18" s="137"/>
      <c r="CU18" s="137"/>
      <c r="CV18" s="137"/>
      <c r="CW18" s="137"/>
      <c r="CX18" s="137"/>
      <c r="CY18" s="137"/>
      <c r="CZ18" s="137"/>
      <c r="DA18" s="137"/>
      <c r="DB18" s="137"/>
    </row>
    <row r="19" spans="1:106" x14ac:dyDescent="0.25">
      <c r="A19" s="134" t="str">
        <f t="shared" si="1"/>
        <v/>
      </c>
      <c r="B19" s="137"/>
      <c r="C19" s="137"/>
      <c r="D19" s="137"/>
      <c r="E19" s="137"/>
      <c r="F19" s="137"/>
      <c r="G19" s="137"/>
      <c r="H19" s="137"/>
      <c r="I19" s="137"/>
      <c r="J19" s="137"/>
      <c r="K19" s="137"/>
      <c r="L19" s="137"/>
      <c r="M19" s="137"/>
      <c r="N19" s="137"/>
      <c r="O19" s="137" t="str">
        <f t="shared" si="0"/>
        <v xml:space="preserve">FALSE, </v>
      </c>
      <c r="P19" s="137"/>
      <c r="Q19" s="137"/>
      <c r="R19" s="137"/>
      <c r="S19" s="137"/>
      <c r="T19" s="137"/>
      <c r="U19" s="137"/>
      <c r="V19" s="137"/>
      <c r="W19" s="137"/>
      <c r="X19" s="137"/>
      <c r="Y19" s="137"/>
      <c r="Z19" s="137"/>
      <c r="AA19" s="137"/>
      <c r="AB19" s="137"/>
      <c r="AC19" s="137"/>
      <c r="AD19" s="137"/>
      <c r="AE19" s="137"/>
      <c r="AF19" s="137"/>
      <c r="AG19" s="137"/>
      <c r="AH19" s="137"/>
      <c r="AI19" s="137"/>
      <c r="AJ19" s="137"/>
      <c r="AK19" s="137"/>
      <c r="AL19" s="137"/>
      <c r="AM19" s="137"/>
      <c r="AN19" s="137"/>
      <c r="AO19" s="137"/>
      <c r="AP19" s="137"/>
      <c r="AQ19" s="137"/>
      <c r="AR19" s="137"/>
      <c r="AS19" s="137"/>
      <c r="AT19" s="137"/>
      <c r="AU19" s="137"/>
      <c r="AV19" s="137"/>
      <c r="AW19" s="137"/>
      <c r="AX19" s="137"/>
      <c r="AY19" s="137"/>
      <c r="AZ19" s="137"/>
      <c r="BA19" s="137"/>
      <c r="BB19" s="137"/>
      <c r="BC19" s="137"/>
      <c r="BD19" s="137"/>
      <c r="BE19" s="137"/>
      <c r="BF19" s="137"/>
      <c r="BG19" s="137"/>
      <c r="BH19" s="137"/>
      <c r="BI19" s="137"/>
      <c r="BJ19" s="137"/>
      <c r="BK19" s="137"/>
      <c r="BL19" s="137"/>
      <c r="BM19" s="137"/>
      <c r="BN19" s="137"/>
      <c r="BO19" s="137"/>
      <c r="BP19" s="137"/>
      <c r="BQ19" s="137"/>
      <c r="BR19" s="137"/>
      <c r="BS19" s="137"/>
      <c r="BT19" s="137"/>
      <c r="BU19" s="137"/>
      <c r="BV19" s="137"/>
      <c r="BW19" s="137"/>
      <c r="BX19" s="137"/>
      <c r="BY19" s="137"/>
      <c r="BZ19" s="137"/>
      <c r="CA19" s="137"/>
      <c r="CB19" s="137"/>
      <c r="CC19" s="137"/>
      <c r="CD19" s="137"/>
      <c r="CE19" s="137"/>
      <c r="CF19" s="137"/>
      <c r="CG19" s="137"/>
      <c r="CH19" s="137"/>
      <c r="CI19" s="137"/>
      <c r="CJ19" s="137"/>
      <c r="CK19" s="137"/>
      <c r="CL19" s="137"/>
      <c r="CM19" s="137"/>
      <c r="CN19" s="137"/>
      <c r="CO19" s="137"/>
      <c r="CP19" s="137"/>
      <c r="CQ19" s="137"/>
      <c r="CR19" s="137"/>
      <c r="CS19" s="137"/>
      <c r="CT19" s="137"/>
      <c r="CU19" s="137"/>
      <c r="CV19" s="137"/>
      <c r="CW19" s="137"/>
      <c r="CX19" s="137"/>
      <c r="CY19" s="137"/>
      <c r="CZ19" s="137"/>
      <c r="DA19" s="137"/>
      <c r="DB19" s="137"/>
    </row>
    <row r="20" spans="1:106" x14ac:dyDescent="0.25">
      <c r="A20" s="134" t="str">
        <f t="shared" si="1"/>
        <v/>
      </c>
      <c r="B20" s="137"/>
      <c r="C20" s="137"/>
      <c r="D20" s="137"/>
      <c r="E20" s="137"/>
      <c r="F20" s="137"/>
      <c r="G20" s="137"/>
      <c r="H20" s="137"/>
      <c r="I20" s="137"/>
      <c r="J20" s="137"/>
      <c r="K20" s="137"/>
      <c r="L20" s="137"/>
      <c r="M20" s="137"/>
      <c r="N20" s="137"/>
      <c r="O20" s="137" t="str">
        <f t="shared" si="0"/>
        <v xml:space="preserve">FALSE, </v>
      </c>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137"/>
      <c r="AO20" s="137"/>
      <c r="AP20" s="137"/>
      <c r="AQ20" s="137"/>
      <c r="AR20" s="137"/>
      <c r="AS20" s="137"/>
      <c r="AT20" s="137"/>
      <c r="AU20" s="137"/>
      <c r="AV20" s="137"/>
      <c r="AW20" s="137"/>
      <c r="AX20" s="137"/>
      <c r="AY20" s="137"/>
      <c r="AZ20" s="137"/>
      <c r="BA20" s="137"/>
      <c r="BB20" s="137"/>
      <c r="BC20" s="137"/>
      <c r="BD20" s="137"/>
      <c r="BE20" s="137"/>
      <c r="BF20" s="137"/>
      <c r="BG20" s="137"/>
      <c r="BH20" s="137"/>
      <c r="BI20" s="137"/>
      <c r="BJ20" s="137"/>
      <c r="BK20" s="137"/>
      <c r="BL20" s="137"/>
      <c r="BM20" s="137"/>
      <c r="BN20" s="137"/>
      <c r="BO20" s="137"/>
      <c r="BP20" s="137"/>
      <c r="BQ20" s="137"/>
      <c r="BR20" s="137"/>
      <c r="BS20" s="137"/>
      <c r="BT20" s="137"/>
      <c r="BU20" s="137"/>
      <c r="BV20" s="137"/>
      <c r="BW20" s="137"/>
      <c r="BX20" s="137"/>
      <c r="BY20" s="137"/>
      <c r="BZ20" s="137"/>
      <c r="CA20" s="137"/>
      <c r="CB20" s="137"/>
      <c r="CC20" s="137"/>
      <c r="CD20" s="137"/>
      <c r="CE20" s="137"/>
      <c r="CF20" s="137"/>
      <c r="CG20" s="137"/>
      <c r="CH20" s="137"/>
      <c r="CI20" s="137"/>
      <c r="CJ20" s="137"/>
      <c r="CK20" s="137"/>
      <c r="CL20" s="137"/>
      <c r="CM20" s="137"/>
      <c r="CN20" s="137"/>
      <c r="CO20" s="137"/>
      <c r="CP20" s="137"/>
      <c r="CQ20" s="137"/>
      <c r="CR20" s="137"/>
      <c r="CS20" s="137"/>
      <c r="CT20" s="137"/>
      <c r="CU20" s="137"/>
      <c r="CV20" s="137"/>
      <c r="CW20" s="137"/>
      <c r="CX20" s="137"/>
      <c r="CY20" s="137"/>
      <c r="CZ20" s="137"/>
      <c r="DA20" s="137"/>
      <c r="DB20" s="137"/>
    </row>
    <row r="21" spans="1:106" x14ac:dyDescent="0.25">
      <c r="A21" s="134" t="str">
        <f t="shared" si="1"/>
        <v/>
      </c>
      <c r="B21" s="137"/>
      <c r="C21" s="137"/>
      <c r="D21" s="137"/>
      <c r="E21" s="137"/>
      <c r="F21" s="137"/>
      <c r="G21" s="137"/>
      <c r="H21" s="137"/>
      <c r="I21" s="137"/>
      <c r="J21" s="137"/>
      <c r="K21" s="137"/>
      <c r="L21" s="137"/>
      <c r="M21" s="137"/>
      <c r="N21" s="137"/>
      <c r="O21" s="137" t="str">
        <f t="shared" si="0"/>
        <v xml:space="preserve">FALSE, </v>
      </c>
      <c r="P21" s="137"/>
      <c r="Q21" s="137"/>
      <c r="R21" s="137"/>
      <c r="S21" s="137"/>
      <c r="T21" s="137"/>
      <c r="U21" s="137"/>
      <c r="V21" s="137"/>
      <c r="W21" s="137"/>
      <c r="X21" s="137"/>
      <c r="Y21" s="137"/>
      <c r="Z21" s="137"/>
      <c r="AA21" s="137"/>
      <c r="AB21" s="137"/>
      <c r="AC21" s="137"/>
      <c r="AD21" s="137"/>
      <c r="AE21" s="137"/>
      <c r="AF21" s="137"/>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c r="BE21" s="137"/>
      <c r="BF21" s="137"/>
      <c r="BG21" s="137"/>
      <c r="BH21" s="137"/>
      <c r="BI21" s="137"/>
      <c r="BJ21" s="137"/>
      <c r="BK21" s="137"/>
      <c r="BL21" s="137"/>
      <c r="BM21" s="137"/>
      <c r="BN21" s="137"/>
      <c r="BO21" s="137"/>
      <c r="BP21" s="137"/>
      <c r="BQ21" s="137"/>
      <c r="BR21" s="137"/>
      <c r="BS21" s="137"/>
      <c r="BT21" s="137"/>
      <c r="BU21" s="137"/>
      <c r="BV21" s="137"/>
      <c r="BW21" s="137"/>
      <c r="BX21" s="137"/>
      <c r="BY21" s="137"/>
      <c r="BZ21" s="137"/>
      <c r="CA21" s="137"/>
      <c r="CB21" s="137"/>
      <c r="CC21" s="137"/>
      <c r="CD21" s="137"/>
      <c r="CE21" s="137"/>
      <c r="CF21" s="137"/>
      <c r="CG21" s="137"/>
      <c r="CH21" s="137"/>
      <c r="CI21" s="137"/>
      <c r="CJ21" s="137"/>
      <c r="CK21" s="137"/>
      <c r="CL21" s="137"/>
      <c r="CM21" s="137"/>
      <c r="CN21" s="137"/>
      <c r="CO21" s="137"/>
      <c r="CP21" s="137"/>
      <c r="CQ21" s="137"/>
      <c r="CR21" s="137"/>
      <c r="CS21" s="137"/>
      <c r="CT21" s="137"/>
      <c r="CU21" s="137"/>
      <c r="CV21" s="137"/>
      <c r="CW21" s="137"/>
      <c r="CX21" s="137"/>
      <c r="CY21" s="137"/>
      <c r="CZ21" s="137"/>
      <c r="DA21" s="137"/>
      <c r="DB21" s="137"/>
    </row>
    <row r="22" spans="1:106" x14ac:dyDescent="0.25">
      <c r="A22" s="134" t="str">
        <f t="shared" si="1"/>
        <v/>
      </c>
      <c r="B22" s="137"/>
      <c r="C22" s="137"/>
      <c r="D22" s="137"/>
      <c r="E22" s="137"/>
      <c r="F22" s="137"/>
      <c r="G22" s="137"/>
      <c r="H22" s="137"/>
      <c r="I22" s="137"/>
      <c r="J22" s="137"/>
      <c r="K22" s="137"/>
      <c r="L22" s="137"/>
      <c r="M22" s="137"/>
      <c r="N22" s="137"/>
      <c r="O22" s="137" t="str">
        <f t="shared" si="0"/>
        <v xml:space="preserve">FALSE, </v>
      </c>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c r="BE22" s="137"/>
      <c r="BF22" s="137"/>
      <c r="BG22" s="137"/>
      <c r="BH22" s="137"/>
      <c r="BI22" s="137"/>
      <c r="BJ22" s="137"/>
      <c r="BK22" s="137"/>
      <c r="BL22" s="137"/>
      <c r="BM22" s="137"/>
      <c r="BN22" s="137"/>
      <c r="BO22" s="137"/>
      <c r="BP22" s="137"/>
      <c r="BQ22" s="137"/>
      <c r="BR22" s="137"/>
      <c r="BS22" s="137"/>
      <c r="BT22" s="137"/>
      <c r="BU22" s="137"/>
      <c r="BV22" s="137"/>
      <c r="BW22" s="137"/>
      <c r="BX22" s="137"/>
      <c r="BY22" s="137"/>
      <c r="BZ22" s="137"/>
      <c r="CA22" s="137"/>
      <c r="CB22" s="137"/>
      <c r="CC22" s="137"/>
      <c r="CD22" s="137"/>
      <c r="CE22" s="137"/>
      <c r="CF22" s="137"/>
      <c r="CG22" s="137"/>
      <c r="CH22" s="137"/>
      <c r="CI22" s="137"/>
      <c r="CJ22" s="137"/>
      <c r="CK22" s="137"/>
      <c r="CL22" s="137"/>
      <c r="CM22" s="137"/>
      <c r="CN22" s="137"/>
      <c r="CO22" s="137"/>
      <c r="CP22" s="137"/>
      <c r="CQ22" s="137"/>
      <c r="CR22" s="137"/>
      <c r="CS22" s="137"/>
      <c r="CT22" s="137"/>
      <c r="CU22" s="137"/>
      <c r="CV22" s="137"/>
      <c r="CW22" s="137"/>
      <c r="CX22" s="137"/>
      <c r="CY22" s="137"/>
      <c r="CZ22" s="137"/>
      <c r="DA22" s="137"/>
      <c r="DB22" s="137"/>
    </row>
    <row r="23" spans="1:106" x14ac:dyDescent="0.25">
      <c r="A23" s="134" t="str">
        <f t="shared" si="1"/>
        <v/>
      </c>
      <c r="B23" s="137"/>
      <c r="C23" s="137"/>
      <c r="D23" s="137"/>
      <c r="E23" s="137"/>
      <c r="F23" s="137"/>
      <c r="G23" s="137"/>
      <c r="H23" s="137"/>
      <c r="I23" s="137"/>
      <c r="J23" s="137"/>
      <c r="K23" s="137"/>
      <c r="L23" s="137"/>
      <c r="M23" s="137"/>
      <c r="N23" s="137"/>
      <c r="O23" s="137" t="str">
        <f t="shared" si="0"/>
        <v xml:space="preserve">FALSE, </v>
      </c>
      <c r="P23" s="137"/>
      <c r="Q23" s="137"/>
      <c r="R23" s="137"/>
      <c r="S23" s="137"/>
      <c r="T23" s="137"/>
      <c r="U23" s="137"/>
      <c r="V23" s="137"/>
      <c r="W23" s="137"/>
      <c r="X23" s="137"/>
      <c r="Y23" s="137"/>
      <c r="Z23" s="137"/>
      <c r="AA23" s="137"/>
      <c r="AB23" s="137"/>
      <c r="AC23" s="137"/>
      <c r="AD23" s="137"/>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c r="BE23" s="137"/>
      <c r="BF23" s="137"/>
      <c r="BG23" s="137"/>
      <c r="BH23" s="137"/>
      <c r="BI23" s="137"/>
      <c r="BJ23" s="137"/>
      <c r="BK23" s="137"/>
      <c r="BL23" s="137"/>
      <c r="BM23" s="137"/>
      <c r="BN23" s="137"/>
      <c r="BO23" s="137"/>
      <c r="BP23" s="137"/>
      <c r="BQ23" s="137"/>
      <c r="BR23" s="137"/>
      <c r="BS23" s="137"/>
      <c r="BT23" s="137"/>
      <c r="BU23" s="137"/>
      <c r="BV23" s="137"/>
      <c r="BW23" s="137"/>
      <c r="BX23" s="137"/>
      <c r="BY23" s="137"/>
      <c r="BZ23" s="137"/>
      <c r="CA23" s="137"/>
      <c r="CB23" s="137"/>
      <c r="CC23" s="137"/>
      <c r="CD23" s="137"/>
      <c r="CE23" s="137"/>
      <c r="CF23" s="137"/>
      <c r="CG23" s="137"/>
      <c r="CH23" s="137"/>
      <c r="CI23" s="137"/>
      <c r="CJ23" s="137"/>
      <c r="CK23" s="137"/>
      <c r="CL23" s="137"/>
      <c r="CM23" s="137"/>
      <c r="CN23" s="137"/>
      <c r="CO23" s="137"/>
      <c r="CP23" s="137"/>
      <c r="CQ23" s="137"/>
      <c r="CR23" s="137"/>
      <c r="CS23" s="137"/>
      <c r="CT23" s="137"/>
      <c r="CU23" s="137"/>
      <c r="CV23" s="137"/>
      <c r="CW23" s="137"/>
      <c r="CX23" s="137"/>
      <c r="CY23" s="137"/>
      <c r="CZ23" s="137"/>
      <c r="DA23" s="137"/>
      <c r="DB23" s="137"/>
    </row>
    <row r="24" spans="1:106" x14ac:dyDescent="0.25">
      <c r="A24" s="134" t="str">
        <f t="shared" si="1"/>
        <v/>
      </c>
      <c r="B24" s="137"/>
      <c r="C24" s="137"/>
      <c r="D24" s="137"/>
      <c r="E24" s="137"/>
      <c r="F24" s="137"/>
      <c r="G24" s="137"/>
      <c r="H24" s="137"/>
      <c r="I24" s="137"/>
      <c r="J24" s="137"/>
      <c r="K24" s="137"/>
      <c r="L24" s="137"/>
      <c r="M24" s="137"/>
      <c r="N24" s="137"/>
      <c r="O24" s="137" t="str">
        <f t="shared" si="0"/>
        <v xml:space="preserve">FALSE, </v>
      </c>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37"/>
      <c r="BG24" s="137"/>
      <c r="BH24" s="137"/>
      <c r="BI24" s="137"/>
      <c r="BJ24" s="137"/>
      <c r="BK24" s="137"/>
      <c r="BL24" s="137"/>
      <c r="BM24" s="137"/>
      <c r="BN24" s="137"/>
      <c r="BO24" s="137"/>
      <c r="BP24" s="137"/>
      <c r="BQ24" s="137"/>
      <c r="BR24" s="137"/>
      <c r="BS24" s="137"/>
      <c r="BT24" s="137"/>
      <c r="BU24" s="137"/>
      <c r="BV24" s="137"/>
      <c r="BW24" s="137"/>
      <c r="BX24" s="137"/>
      <c r="BY24" s="137"/>
      <c r="BZ24" s="137"/>
      <c r="CA24" s="137"/>
      <c r="CB24" s="137"/>
      <c r="CC24" s="137"/>
      <c r="CD24" s="137"/>
      <c r="CE24" s="137"/>
      <c r="CF24" s="137"/>
      <c r="CG24" s="137"/>
      <c r="CH24" s="137"/>
      <c r="CI24" s="137"/>
      <c r="CJ24" s="137"/>
      <c r="CK24" s="137"/>
      <c r="CL24" s="137"/>
      <c r="CM24" s="137"/>
      <c r="CN24" s="137"/>
      <c r="CO24" s="137"/>
      <c r="CP24" s="137"/>
      <c r="CQ24" s="137"/>
      <c r="CR24" s="137"/>
      <c r="CS24" s="137"/>
      <c r="CT24" s="137"/>
      <c r="CU24" s="137"/>
      <c r="CV24" s="137"/>
      <c r="CW24" s="137"/>
      <c r="CX24" s="137"/>
      <c r="CY24" s="137"/>
      <c r="CZ24" s="137"/>
      <c r="DA24" s="137"/>
      <c r="DB24" s="137"/>
    </row>
    <row r="25" spans="1:106" x14ac:dyDescent="0.25">
      <c r="A25" s="134" t="str">
        <f t="shared" si="1"/>
        <v/>
      </c>
      <c r="B25" s="137"/>
      <c r="C25" s="137"/>
      <c r="D25" s="137"/>
      <c r="E25" s="137"/>
      <c r="F25" s="137"/>
      <c r="G25" s="137"/>
      <c r="H25" s="137"/>
      <c r="I25" s="137"/>
      <c r="J25" s="137"/>
      <c r="K25" s="137"/>
      <c r="L25" s="137"/>
      <c r="M25" s="137"/>
      <c r="N25" s="137"/>
      <c r="O25" s="137" t="str">
        <f t="shared" si="0"/>
        <v xml:space="preserve">FALSE, </v>
      </c>
      <c r="P25" s="137"/>
      <c r="Q25" s="137"/>
      <c r="R25" s="137"/>
      <c r="S25" s="137"/>
      <c r="T25" s="137"/>
      <c r="U25" s="137"/>
      <c r="V25" s="137"/>
      <c r="W25" s="137"/>
      <c r="X25" s="137"/>
      <c r="Y25" s="137"/>
      <c r="Z25" s="137"/>
      <c r="AA25" s="137"/>
      <c r="AB25" s="137"/>
      <c r="AC25" s="137"/>
      <c r="AD25" s="137"/>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c r="BE25" s="137"/>
      <c r="BF25" s="137"/>
      <c r="BG25" s="137"/>
      <c r="BH25" s="137"/>
      <c r="BI25" s="137"/>
      <c r="BJ25" s="137"/>
      <c r="BK25" s="137"/>
      <c r="BL25" s="137"/>
      <c r="BM25" s="137"/>
      <c r="BN25" s="137"/>
      <c r="BO25" s="137"/>
      <c r="BP25" s="137"/>
      <c r="BQ25" s="137"/>
      <c r="BR25" s="137"/>
      <c r="BS25" s="137"/>
      <c r="BT25" s="137"/>
      <c r="BU25" s="137"/>
      <c r="BV25" s="137"/>
      <c r="BW25" s="137"/>
      <c r="BX25" s="137"/>
      <c r="BY25" s="137"/>
      <c r="BZ25" s="137"/>
      <c r="CA25" s="137"/>
      <c r="CB25" s="137"/>
      <c r="CC25" s="137"/>
      <c r="CD25" s="137"/>
      <c r="CE25" s="137"/>
      <c r="CF25" s="137"/>
      <c r="CG25" s="137"/>
      <c r="CH25" s="137"/>
      <c r="CI25" s="137"/>
      <c r="CJ25" s="137"/>
      <c r="CK25" s="137"/>
      <c r="CL25" s="137"/>
      <c r="CM25" s="137"/>
      <c r="CN25" s="137"/>
      <c r="CO25" s="137"/>
      <c r="CP25" s="137"/>
      <c r="CQ25" s="137"/>
      <c r="CR25" s="137"/>
      <c r="CS25" s="137"/>
      <c r="CT25" s="137"/>
      <c r="CU25" s="137"/>
      <c r="CV25" s="137"/>
      <c r="CW25" s="137"/>
      <c r="CX25" s="137"/>
      <c r="CY25" s="137"/>
      <c r="CZ25" s="137"/>
      <c r="DA25" s="137"/>
      <c r="DB25" s="137"/>
    </row>
    <row r="26" spans="1:106" x14ac:dyDescent="0.25">
      <c r="A26" s="134" t="str">
        <f t="shared" si="1"/>
        <v/>
      </c>
      <c r="B26" s="137"/>
      <c r="C26" s="137"/>
      <c r="D26" s="137"/>
      <c r="E26" s="137"/>
      <c r="F26" s="137"/>
      <c r="G26" s="137"/>
      <c r="H26" s="137"/>
      <c r="I26" s="137"/>
      <c r="J26" s="137"/>
      <c r="K26" s="137"/>
      <c r="L26" s="137"/>
      <c r="M26" s="137"/>
      <c r="N26" s="137"/>
      <c r="O26" s="137" t="str">
        <f t="shared" si="0"/>
        <v xml:space="preserve">FALSE, </v>
      </c>
      <c r="P26" s="137"/>
      <c r="Q26" s="137"/>
      <c r="R26" s="137"/>
      <c r="S26" s="137"/>
      <c r="T26" s="137"/>
      <c r="U26" s="137"/>
      <c r="V26" s="137"/>
      <c r="W26" s="137"/>
      <c r="X26" s="137"/>
      <c r="Y26" s="137"/>
      <c r="Z26" s="137"/>
      <c r="AA26" s="137"/>
      <c r="AB26" s="137"/>
      <c r="AC26" s="137"/>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c r="BE26" s="137"/>
      <c r="BF26" s="137"/>
      <c r="BG26" s="137"/>
      <c r="BH26" s="137"/>
      <c r="BI26" s="137"/>
      <c r="BJ26" s="137"/>
      <c r="BK26" s="137"/>
      <c r="BL26" s="137"/>
      <c r="BM26" s="137"/>
      <c r="BN26" s="137"/>
      <c r="BO26" s="137"/>
      <c r="BP26" s="137"/>
      <c r="BQ26" s="137"/>
      <c r="BR26" s="137"/>
      <c r="BS26" s="137"/>
      <c r="BT26" s="137"/>
      <c r="BU26" s="137"/>
      <c r="BV26" s="137"/>
      <c r="BW26" s="137"/>
      <c r="BX26" s="137"/>
      <c r="BY26" s="137"/>
      <c r="BZ26" s="137"/>
      <c r="CA26" s="137"/>
      <c r="CB26" s="137"/>
      <c r="CC26" s="137"/>
      <c r="CD26" s="137"/>
      <c r="CE26" s="137"/>
      <c r="CF26" s="137"/>
      <c r="CG26" s="137"/>
      <c r="CH26" s="137"/>
      <c r="CI26" s="137"/>
      <c r="CJ26" s="137"/>
      <c r="CK26" s="137"/>
      <c r="CL26" s="137"/>
      <c r="CM26" s="137"/>
      <c r="CN26" s="137"/>
      <c r="CO26" s="137"/>
      <c r="CP26" s="137"/>
      <c r="CQ26" s="137"/>
      <c r="CR26" s="137"/>
      <c r="CS26" s="137"/>
      <c r="CT26" s="137"/>
      <c r="CU26" s="137"/>
      <c r="CV26" s="137"/>
      <c r="CW26" s="137"/>
      <c r="CX26" s="137"/>
      <c r="CY26" s="137"/>
      <c r="CZ26" s="137"/>
      <c r="DA26" s="137"/>
      <c r="DB26" s="137"/>
    </row>
    <row r="27" spans="1:106" x14ac:dyDescent="0.25">
      <c r="A27" s="134" t="str">
        <f t="shared" si="1"/>
        <v/>
      </c>
      <c r="B27" s="137"/>
      <c r="C27" s="137"/>
      <c r="D27" s="137"/>
      <c r="E27" s="137"/>
      <c r="F27" s="137"/>
      <c r="G27" s="137"/>
      <c r="H27" s="137"/>
      <c r="I27" s="137"/>
      <c r="J27" s="137"/>
      <c r="K27" s="137"/>
      <c r="L27" s="137"/>
      <c r="M27" s="137"/>
      <c r="N27" s="137"/>
      <c r="O27" s="137" t="str">
        <f t="shared" si="0"/>
        <v xml:space="preserve">FALSE, </v>
      </c>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c r="BE27" s="137"/>
      <c r="BF27" s="137"/>
      <c r="BG27" s="137"/>
      <c r="BH27" s="137"/>
      <c r="BI27" s="137"/>
      <c r="BJ27" s="137"/>
      <c r="BK27" s="137"/>
      <c r="BL27" s="137"/>
      <c r="BM27" s="137"/>
      <c r="BN27" s="137"/>
      <c r="BO27" s="137"/>
      <c r="BP27" s="137"/>
      <c r="BQ27" s="137"/>
      <c r="BR27" s="137"/>
      <c r="BS27" s="137"/>
      <c r="BT27" s="137"/>
      <c r="BU27" s="137"/>
      <c r="BV27" s="137"/>
      <c r="BW27" s="137"/>
      <c r="BX27" s="137"/>
      <c r="BY27" s="137"/>
      <c r="BZ27" s="137"/>
      <c r="CA27" s="137"/>
      <c r="CB27" s="137"/>
      <c r="CC27" s="137"/>
      <c r="CD27" s="137"/>
      <c r="CE27" s="137"/>
      <c r="CF27" s="137"/>
      <c r="CG27" s="137"/>
      <c r="CH27" s="137"/>
      <c r="CI27" s="137"/>
      <c r="CJ27" s="137"/>
      <c r="CK27" s="137"/>
      <c r="CL27" s="137"/>
      <c r="CM27" s="137"/>
      <c r="CN27" s="137"/>
      <c r="CO27" s="137"/>
      <c r="CP27" s="137"/>
      <c r="CQ27" s="137"/>
      <c r="CR27" s="137"/>
      <c r="CS27" s="137"/>
      <c r="CT27" s="137"/>
      <c r="CU27" s="137"/>
      <c r="CV27" s="137"/>
      <c r="CW27" s="137"/>
      <c r="CX27" s="137"/>
      <c r="CY27" s="137"/>
      <c r="CZ27" s="137"/>
      <c r="DA27" s="137"/>
      <c r="DB27" s="137"/>
    </row>
    <row r="28" spans="1:106" x14ac:dyDescent="0.25">
      <c r="A28" s="134" t="str">
        <f t="shared" si="1"/>
        <v/>
      </c>
      <c r="B28" s="137"/>
      <c r="C28" s="137"/>
      <c r="D28" s="137"/>
      <c r="E28" s="137"/>
      <c r="F28" s="137"/>
      <c r="G28" s="137"/>
      <c r="H28" s="137"/>
      <c r="I28" s="137"/>
      <c r="J28" s="137"/>
      <c r="K28" s="137"/>
      <c r="L28" s="137"/>
      <c r="M28" s="137"/>
      <c r="N28" s="137"/>
      <c r="O28" s="137" t="str">
        <f t="shared" si="0"/>
        <v xml:space="preserve">FALSE, </v>
      </c>
      <c r="P28" s="137"/>
      <c r="Q28" s="137"/>
      <c r="R28" s="137"/>
      <c r="S28" s="137"/>
      <c r="T28" s="137"/>
      <c r="U28" s="137"/>
      <c r="V28" s="137"/>
      <c r="W28" s="137"/>
      <c r="X28" s="137"/>
      <c r="Y28" s="137"/>
      <c r="Z28" s="137"/>
      <c r="AA28" s="137"/>
      <c r="AB28" s="137"/>
      <c r="AC28" s="137"/>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c r="BE28" s="137"/>
      <c r="BF28" s="137"/>
      <c r="BG28" s="137"/>
      <c r="BH28" s="137"/>
      <c r="BI28" s="137"/>
      <c r="BJ28" s="137"/>
      <c r="BK28" s="137"/>
      <c r="BL28" s="137"/>
      <c r="BM28" s="137"/>
      <c r="BN28" s="137"/>
      <c r="BO28" s="137"/>
      <c r="BP28" s="137"/>
      <c r="BQ28" s="137"/>
      <c r="BR28" s="137"/>
      <c r="BS28" s="137"/>
      <c r="BT28" s="137"/>
      <c r="BU28" s="137"/>
      <c r="BV28" s="137"/>
      <c r="BW28" s="137"/>
      <c r="BX28" s="137"/>
      <c r="BY28" s="137"/>
      <c r="BZ28" s="137"/>
      <c r="CA28" s="137"/>
      <c r="CB28" s="137"/>
      <c r="CC28" s="137"/>
      <c r="CD28" s="137"/>
      <c r="CE28" s="137"/>
      <c r="CF28" s="137"/>
      <c r="CG28" s="137"/>
      <c r="CH28" s="137"/>
      <c r="CI28" s="137"/>
      <c r="CJ28" s="137"/>
      <c r="CK28" s="137"/>
      <c r="CL28" s="137"/>
      <c r="CM28" s="137"/>
      <c r="CN28" s="137"/>
      <c r="CO28" s="137"/>
      <c r="CP28" s="137"/>
      <c r="CQ28" s="137"/>
      <c r="CR28" s="137"/>
      <c r="CS28" s="137"/>
      <c r="CT28" s="137"/>
      <c r="CU28" s="137"/>
      <c r="CV28" s="137"/>
      <c r="CW28" s="137"/>
      <c r="CX28" s="137"/>
      <c r="CY28" s="137"/>
      <c r="CZ28" s="137"/>
      <c r="DA28" s="137"/>
      <c r="DB28" s="137"/>
    </row>
    <row r="29" spans="1:106" x14ac:dyDescent="0.25">
      <c r="A29" s="134" t="str">
        <f t="shared" si="1"/>
        <v/>
      </c>
      <c r="B29" s="137"/>
      <c r="C29" s="137"/>
      <c r="D29" s="137"/>
      <c r="E29" s="137"/>
      <c r="F29" s="137"/>
      <c r="G29" s="137"/>
      <c r="H29" s="137"/>
      <c r="I29" s="137"/>
      <c r="J29" s="137"/>
      <c r="K29" s="137"/>
      <c r="L29" s="137"/>
      <c r="M29" s="137"/>
      <c r="N29" s="137"/>
      <c r="O29" s="137" t="str">
        <f t="shared" si="0"/>
        <v xml:space="preserve">FALSE, </v>
      </c>
      <c r="P29" s="137"/>
      <c r="Q29" s="137"/>
      <c r="R29" s="137"/>
      <c r="S29" s="137"/>
      <c r="T29" s="137"/>
      <c r="U29" s="137"/>
      <c r="V29" s="137"/>
      <c r="W29" s="137"/>
      <c r="X29" s="137"/>
      <c r="Y29" s="137"/>
      <c r="Z29" s="137"/>
      <c r="AA29" s="137"/>
      <c r="AB29" s="137"/>
      <c r="AC29" s="137"/>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c r="BE29" s="137"/>
      <c r="BF29" s="137"/>
      <c r="BG29" s="137"/>
      <c r="BH29" s="137"/>
      <c r="BI29" s="137"/>
      <c r="BJ29" s="137"/>
      <c r="BK29" s="137"/>
      <c r="BL29" s="137"/>
      <c r="BM29" s="137"/>
      <c r="BN29" s="137"/>
      <c r="BO29" s="137"/>
      <c r="BP29" s="137"/>
      <c r="BQ29" s="137"/>
      <c r="BR29" s="137"/>
      <c r="BS29" s="137"/>
      <c r="BT29" s="137"/>
      <c r="BU29" s="137"/>
      <c r="BV29" s="137"/>
      <c r="BW29" s="137"/>
      <c r="BX29" s="137"/>
      <c r="BY29" s="137"/>
      <c r="BZ29" s="137"/>
      <c r="CA29" s="137"/>
      <c r="CB29" s="137"/>
      <c r="CC29" s="137"/>
      <c r="CD29" s="137"/>
      <c r="CE29" s="137"/>
      <c r="CF29" s="137"/>
      <c r="CG29" s="137"/>
      <c r="CH29" s="137"/>
      <c r="CI29" s="137"/>
      <c r="CJ29" s="137"/>
      <c r="CK29" s="137"/>
      <c r="CL29" s="137"/>
      <c r="CM29" s="137"/>
      <c r="CN29" s="137"/>
      <c r="CO29" s="137"/>
      <c r="CP29" s="137"/>
      <c r="CQ29" s="137"/>
      <c r="CR29" s="137"/>
      <c r="CS29" s="137"/>
      <c r="CT29" s="137"/>
      <c r="CU29" s="137"/>
      <c r="CV29" s="137"/>
      <c r="CW29" s="137"/>
      <c r="CX29" s="137"/>
      <c r="CY29" s="137"/>
      <c r="CZ29" s="137"/>
      <c r="DA29" s="137"/>
      <c r="DB29" s="137"/>
    </row>
    <row r="30" spans="1:106" x14ac:dyDescent="0.25">
      <c r="A30" s="134" t="str">
        <f t="shared" si="1"/>
        <v/>
      </c>
      <c r="B30" s="137"/>
      <c r="C30" s="137"/>
      <c r="D30" s="137"/>
      <c r="E30" s="137"/>
      <c r="F30" s="137"/>
      <c r="G30" s="137"/>
      <c r="H30" s="137"/>
      <c r="I30" s="137"/>
      <c r="J30" s="137"/>
      <c r="K30" s="137"/>
      <c r="L30" s="137"/>
      <c r="M30" s="137"/>
      <c r="N30" s="137"/>
      <c r="O30" s="137" t="str">
        <f t="shared" si="0"/>
        <v xml:space="preserve">FALSE, </v>
      </c>
      <c r="P30" s="137"/>
      <c r="Q30" s="137"/>
      <c r="R30" s="137"/>
      <c r="S30" s="137"/>
      <c r="T30" s="137"/>
      <c r="U30" s="137"/>
      <c r="V30" s="137"/>
      <c r="W30" s="137"/>
      <c r="X30" s="137"/>
      <c r="Y30" s="137"/>
      <c r="Z30" s="137"/>
      <c r="AA30" s="137"/>
      <c r="AB30" s="137"/>
      <c r="AC30" s="137"/>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c r="BE30" s="137"/>
      <c r="BF30" s="137"/>
      <c r="BG30" s="137"/>
      <c r="BH30" s="137"/>
      <c r="BI30" s="137"/>
      <c r="BJ30" s="137"/>
      <c r="BK30" s="137"/>
      <c r="BL30" s="137"/>
      <c r="BM30" s="137"/>
      <c r="BN30" s="137"/>
      <c r="BO30" s="137"/>
      <c r="BP30" s="137"/>
      <c r="BQ30" s="137"/>
      <c r="BR30" s="137"/>
      <c r="BS30" s="137"/>
      <c r="BT30" s="137"/>
      <c r="BU30" s="137"/>
      <c r="BV30" s="137"/>
      <c r="BW30" s="137"/>
      <c r="BX30" s="137"/>
      <c r="BY30" s="137"/>
      <c r="BZ30" s="137"/>
      <c r="CA30" s="137"/>
      <c r="CB30" s="137"/>
      <c r="CC30" s="137"/>
      <c r="CD30" s="137"/>
      <c r="CE30" s="137"/>
      <c r="CF30" s="137"/>
      <c r="CG30" s="137"/>
      <c r="CH30" s="137"/>
      <c r="CI30" s="137"/>
      <c r="CJ30" s="137"/>
      <c r="CK30" s="137"/>
      <c r="CL30" s="137"/>
      <c r="CM30" s="137"/>
      <c r="CN30" s="137"/>
      <c r="CO30" s="137"/>
      <c r="CP30" s="137"/>
      <c r="CQ30" s="137"/>
      <c r="CR30" s="137"/>
      <c r="CS30" s="137"/>
      <c r="CT30" s="137"/>
      <c r="CU30" s="137"/>
      <c r="CV30" s="137"/>
      <c r="CW30" s="137"/>
      <c r="CX30" s="137"/>
      <c r="CY30" s="137"/>
      <c r="CZ30" s="137"/>
      <c r="DA30" s="137"/>
      <c r="DB30" s="137"/>
    </row>
    <row r="31" spans="1:106" x14ac:dyDescent="0.25">
      <c r="A31" s="134" t="str">
        <f t="shared" si="1"/>
        <v/>
      </c>
      <c r="B31" s="137"/>
      <c r="C31" s="137"/>
      <c r="D31" s="137"/>
      <c r="E31" s="137"/>
      <c r="F31" s="137"/>
      <c r="G31" s="137"/>
      <c r="H31" s="137"/>
      <c r="I31" s="137"/>
      <c r="J31" s="137"/>
      <c r="K31" s="137"/>
      <c r="L31" s="137"/>
      <c r="M31" s="137"/>
      <c r="N31" s="137"/>
      <c r="O31" s="137" t="str">
        <f t="shared" si="0"/>
        <v xml:space="preserve">FALSE, </v>
      </c>
      <c r="P31" s="137"/>
      <c r="Q31" s="137"/>
      <c r="R31" s="137"/>
      <c r="S31" s="137"/>
      <c r="T31" s="137"/>
      <c r="U31" s="137"/>
      <c r="V31" s="137"/>
      <c r="W31" s="137"/>
      <c r="X31" s="137"/>
      <c r="Y31" s="137"/>
      <c r="Z31" s="137"/>
      <c r="AA31" s="137"/>
      <c r="AB31" s="137"/>
      <c r="AC31" s="137"/>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c r="BE31" s="137"/>
      <c r="BF31" s="137"/>
      <c r="BG31" s="137"/>
      <c r="BH31" s="137"/>
      <c r="BI31" s="137"/>
      <c r="BJ31" s="137"/>
      <c r="BK31" s="137"/>
      <c r="BL31" s="137"/>
      <c r="BM31" s="137"/>
      <c r="BN31" s="137"/>
      <c r="BO31" s="137"/>
      <c r="BP31" s="137"/>
      <c r="BQ31" s="137"/>
      <c r="BR31" s="137"/>
      <c r="BS31" s="137"/>
      <c r="BT31" s="137"/>
      <c r="BU31" s="137"/>
      <c r="BV31" s="137"/>
      <c r="BW31" s="137"/>
      <c r="BX31" s="137"/>
      <c r="BY31" s="137"/>
      <c r="BZ31" s="137"/>
      <c r="CA31" s="137"/>
      <c r="CB31" s="137"/>
      <c r="CC31" s="137"/>
      <c r="CD31" s="137"/>
      <c r="CE31" s="137"/>
      <c r="CF31" s="137"/>
      <c r="CG31" s="137"/>
      <c r="CH31" s="137"/>
      <c r="CI31" s="137"/>
      <c r="CJ31" s="137"/>
      <c r="CK31" s="137"/>
      <c r="CL31" s="137"/>
      <c r="CM31" s="137"/>
      <c r="CN31" s="137"/>
      <c r="CO31" s="137"/>
      <c r="CP31" s="137"/>
      <c r="CQ31" s="137"/>
      <c r="CR31" s="137"/>
      <c r="CS31" s="137"/>
      <c r="CT31" s="137"/>
      <c r="CU31" s="137"/>
      <c r="CV31" s="137"/>
      <c r="CW31" s="137"/>
      <c r="CX31" s="137"/>
      <c r="CY31" s="137"/>
      <c r="CZ31" s="137"/>
      <c r="DA31" s="137"/>
      <c r="DB31" s="137"/>
    </row>
    <row r="32" spans="1:106" x14ac:dyDescent="0.25">
      <c r="A32" s="134" t="str">
        <f t="shared" si="1"/>
        <v/>
      </c>
      <c r="B32" s="137"/>
      <c r="C32" s="137"/>
      <c r="D32" s="137"/>
      <c r="E32" s="137"/>
      <c r="F32" s="137"/>
      <c r="G32" s="137"/>
      <c r="H32" s="137"/>
      <c r="I32" s="137"/>
      <c r="J32" s="137"/>
      <c r="K32" s="137"/>
      <c r="L32" s="137"/>
      <c r="M32" s="137"/>
      <c r="N32" s="137"/>
      <c r="O32" s="137" t="str">
        <f t="shared" si="0"/>
        <v xml:space="preserve">FALSE, </v>
      </c>
      <c r="P32" s="137"/>
      <c r="Q32" s="137"/>
      <c r="R32" s="137"/>
      <c r="S32" s="137"/>
      <c r="T32" s="137"/>
      <c r="U32" s="137"/>
      <c r="V32" s="137"/>
      <c r="W32" s="137"/>
      <c r="X32" s="137"/>
      <c r="Y32" s="137"/>
      <c r="Z32" s="137"/>
      <c r="AA32" s="137"/>
      <c r="AB32" s="137"/>
      <c r="AC32" s="137"/>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c r="BE32" s="137"/>
      <c r="BF32" s="137"/>
      <c r="BG32" s="137"/>
      <c r="BH32" s="137"/>
      <c r="BI32" s="137"/>
      <c r="BJ32" s="137"/>
      <c r="BK32" s="137"/>
      <c r="BL32" s="137"/>
      <c r="BM32" s="137"/>
      <c r="BN32" s="137"/>
      <c r="BO32" s="137"/>
      <c r="BP32" s="137"/>
      <c r="BQ32" s="137"/>
      <c r="BR32" s="137"/>
      <c r="BS32" s="137"/>
      <c r="BT32" s="137"/>
      <c r="BU32" s="137"/>
      <c r="BV32" s="137"/>
      <c r="BW32" s="137"/>
      <c r="BX32" s="137"/>
      <c r="BY32" s="137"/>
      <c r="BZ32" s="137"/>
      <c r="CA32" s="137"/>
      <c r="CB32" s="137"/>
      <c r="CC32" s="137"/>
      <c r="CD32" s="137"/>
      <c r="CE32" s="137"/>
      <c r="CF32" s="137"/>
      <c r="CG32" s="137"/>
      <c r="CH32" s="137"/>
      <c r="CI32" s="137"/>
      <c r="CJ32" s="137"/>
      <c r="CK32" s="137"/>
      <c r="CL32" s="137"/>
      <c r="CM32" s="137"/>
      <c r="CN32" s="137"/>
      <c r="CO32" s="137"/>
      <c r="CP32" s="137"/>
      <c r="CQ32" s="137"/>
      <c r="CR32" s="137"/>
      <c r="CS32" s="137"/>
      <c r="CT32" s="137"/>
      <c r="CU32" s="137"/>
      <c r="CV32" s="137"/>
      <c r="CW32" s="137"/>
      <c r="CX32" s="137"/>
      <c r="CY32" s="137"/>
      <c r="CZ32" s="137"/>
      <c r="DA32" s="137"/>
      <c r="DB32" s="137"/>
    </row>
    <row r="33" spans="1:106" x14ac:dyDescent="0.25">
      <c r="A33" s="134" t="str">
        <f t="shared" si="1"/>
        <v/>
      </c>
      <c r="B33" s="137"/>
      <c r="C33" s="137"/>
      <c r="D33" s="137"/>
      <c r="E33" s="137"/>
      <c r="F33" s="137"/>
      <c r="G33" s="137"/>
      <c r="H33" s="137"/>
      <c r="I33" s="137"/>
      <c r="J33" s="137"/>
      <c r="K33" s="137"/>
      <c r="L33" s="137"/>
      <c r="M33" s="137"/>
      <c r="N33" s="137"/>
      <c r="O33" s="137" t="str">
        <f t="shared" si="0"/>
        <v xml:space="preserve">FALSE, </v>
      </c>
      <c r="P33" s="137"/>
      <c r="Q33" s="137"/>
      <c r="R33" s="137"/>
      <c r="S33" s="137"/>
      <c r="T33" s="137"/>
      <c r="U33" s="137"/>
      <c r="V33" s="137"/>
      <c r="W33" s="137"/>
      <c r="X33" s="137"/>
      <c r="Y33" s="137"/>
      <c r="Z33" s="137"/>
      <c r="AA33" s="137"/>
      <c r="AB33" s="137"/>
      <c r="AC33" s="137"/>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c r="BE33" s="137"/>
      <c r="BF33" s="137"/>
      <c r="BG33" s="137"/>
      <c r="BH33" s="137"/>
      <c r="BI33" s="137"/>
      <c r="BJ33" s="137"/>
      <c r="BK33" s="137"/>
      <c r="BL33" s="137"/>
      <c r="BM33" s="137"/>
      <c r="BN33" s="137"/>
      <c r="BO33" s="137"/>
      <c r="BP33" s="137"/>
      <c r="BQ33" s="137"/>
      <c r="BR33" s="137"/>
      <c r="BS33" s="137"/>
      <c r="BT33" s="137"/>
      <c r="BU33" s="137"/>
      <c r="BV33" s="137"/>
      <c r="BW33" s="137"/>
      <c r="BX33" s="137"/>
      <c r="BY33" s="137"/>
      <c r="BZ33" s="137"/>
      <c r="CA33" s="137"/>
      <c r="CB33" s="137"/>
      <c r="CC33" s="137"/>
      <c r="CD33" s="137"/>
      <c r="CE33" s="137"/>
      <c r="CF33" s="137"/>
      <c r="CG33" s="137"/>
      <c r="CH33" s="137"/>
      <c r="CI33" s="137"/>
      <c r="CJ33" s="137"/>
      <c r="CK33" s="137"/>
      <c r="CL33" s="137"/>
      <c r="CM33" s="137"/>
      <c r="CN33" s="137"/>
      <c r="CO33" s="137"/>
      <c r="CP33" s="137"/>
      <c r="CQ33" s="137"/>
      <c r="CR33" s="137"/>
      <c r="CS33" s="137"/>
      <c r="CT33" s="137"/>
      <c r="CU33" s="137"/>
      <c r="CV33" s="137"/>
      <c r="CW33" s="137"/>
      <c r="CX33" s="137"/>
      <c r="CY33" s="137"/>
      <c r="CZ33" s="137"/>
      <c r="DA33" s="137"/>
      <c r="DB33" s="137"/>
    </row>
    <row r="34" spans="1:106" x14ac:dyDescent="0.25">
      <c r="A34" s="134" t="str">
        <f t="shared" si="1"/>
        <v/>
      </c>
      <c r="B34" s="137"/>
      <c r="C34" s="137"/>
      <c r="D34" s="137"/>
      <c r="E34" s="137"/>
      <c r="F34" s="137"/>
      <c r="G34" s="137"/>
      <c r="H34" s="137"/>
      <c r="I34" s="137"/>
      <c r="J34" s="137"/>
      <c r="K34" s="137"/>
      <c r="L34" s="137"/>
      <c r="M34" s="137"/>
      <c r="N34" s="137"/>
      <c r="O34" s="137" t="str">
        <f t="shared" si="0"/>
        <v xml:space="preserve">FALSE, </v>
      </c>
      <c r="P34" s="137"/>
      <c r="Q34" s="137"/>
      <c r="R34" s="137"/>
      <c r="S34" s="137"/>
      <c r="T34" s="137"/>
      <c r="U34" s="137"/>
      <c r="V34" s="137"/>
      <c r="W34" s="137"/>
      <c r="X34" s="137"/>
      <c r="Y34" s="137"/>
      <c r="Z34" s="137"/>
      <c r="AA34" s="137"/>
      <c r="AB34" s="137"/>
      <c r="AC34" s="137"/>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c r="BE34" s="137"/>
      <c r="BF34" s="137"/>
      <c r="BG34" s="137"/>
      <c r="BH34" s="137"/>
      <c r="BI34" s="137"/>
      <c r="BJ34" s="137"/>
      <c r="BK34" s="137"/>
      <c r="BL34" s="137"/>
      <c r="BM34" s="137"/>
      <c r="BN34" s="137"/>
      <c r="BO34" s="137"/>
      <c r="BP34" s="137"/>
      <c r="BQ34" s="137"/>
      <c r="BR34" s="137"/>
      <c r="BS34" s="137"/>
      <c r="BT34" s="137"/>
      <c r="BU34" s="137"/>
      <c r="BV34" s="137"/>
      <c r="BW34" s="137"/>
      <c r="BX34" s="137"/>
      <c r="BY34" s="137"/>
      <c r="BZ34" s="137"/>
      <c r="CA34" s="137"/>
      <c r="CB34" s="137"/>
      <c r="CC34" s="137"/>
      <c r="CD34" s="137"/>
      <c r="CE34" s="137"/>
      <c r="CF34" s="137"/>
      <c r="CG34" s="137"/>
      <c r="CH34" s="137"/>
      <c r="CI34" s="137"/>
      <c r="CJ34" s="137"/>
      <c r="CK34" s="137"/>
      <c r="CL34" s="137"/>
      <c r="CM34" s="137"/>
      <c r="CN34" s="137"/>
      <c r="CO34" s="137"/>
      <c r="CP34" s="137"/>
      <c r="CQ34" s="137"/>
      <c r="CR34" s="137"/>
      <c r="CS34" s="137"/>
      <c r="CT34" s="137"/>
      <c r="CU34" s="137"/>
      <c r="CV34" s="137"/>
      <c r="CW34" s="137"/>
      <c r="CX34" s="137"/>
      <c r="CY34" s="137"/>
      <c r="CZ34" s="137"/>
      <c r="DA34" s="137"/>
      <c r="DB34" s="137"/>
    </row>
    <row r="35" spans="1:106" x14ac:dyDescent="0.25">
      <c r="A35" s="134" t="str">
        <f t="shared" si="1"/>
        <v/>
      </c>
      <c r="B35" s="137"/>
      <c r="C35" s="137"/>
      <c r="D35" s="137"/>
      <c r="E35" s="137"/>
      <c r="F35" s="137"/>
      <c r="G35" s="137"/>
      <c r="H35" s="137"/>
      <c r="I35" s="137"/>
      <c r="J35" s="137"/>
      <c r="K35" s="137"/>
      <c r="L35" s="137"/>
      <c r="M35" s="137"/>
      <c r="N35" s="137"/>
      <c r="O35" s="137" t="str">
        <f t="shared" si="0"/>
        <v xml:space="preserve">FALSE, </v>
      </c>
      <c r="P35" s="137"/>
      <c r="Q35" s="137"/>
      <c r="R35" s="137"/>
      <c r="S35" s="137"/>
      <c r="T35" s="137"/>
      <c r="U35" s="137"/>
      <c r="V35" s="137"/>
      <c r="W35" s="137"/>
      <c r="X35" s="137"/>
      <c r="Y35" s="137"/>
      <c r="Z35" s="137"/>
      <c r="AA35" s="137"/>
      <c r="AB35" s="137"/>
      <c r="AC35" s="137"/>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c r="BE35" s="137"/>
      <c r="BF35" s="137"/>
      <c r="BG35" s="137"/>
      <c r="BH35" s="137"/>
      <c r="BI35" s="137"/>
      <c r="BJ35" s="137"/>
      <c r="BK35" s="137"/>
      <c r="BL35" s="137"/>
      <c r="BM35" s="137"/>
      <c r="BN35" s="137"/>
      <c r="BO35" s="137"/>
      <c r="BP35" s="137"/>
      <c r="BQ35" s="137"/>
      <c r="BR35" s="137"/>
      <c r="BS35" s="137"/>
      <c r="BT35" s="137"/>
      <c r="BU35" s="137"/>
      <c r="BV35" s="137"/>
      <c r="BW35" s="137"/>
      <c r="BX35" s="137"/>
      <c r="BY35" s="137"/>
      <c r="BZ35" s="137"/>
      <c r="CA35" s="137"/>
      <c r="CB35" s="137"/>
      <c r="CC35" s="137"/>
      <c r="CD35" s="137"/>
      <c r="CE35" s="137"/>
      <c r="CF35" s="137"/>
      <c r="CG35" s="137"/>
      <c r="CH35" s="137"/>
      <c r="CI35" s="137"/>
      <c r="CJ35" s="137"/>
      <c r="CK35" s="137"/>
      <c r="CL35" s="137"/>
      <c r="CM35" s="137"/>
      <c r="CN35" s="137"/>
      <c r="CO35" s="137"/>
      <c r="CP35" s="137"/>
      <c r="CQ35" s="137"/>
      <c r="CR35" s="137"/>
      <c r="CS35" s="137"/>
      <c r="CT35" s="137"/>
      <c r="CU35" s="137"/>
      <c r="CV35" s="137"/>
      <c r="CW35" s="137"/>
      <c r="CX35" s="137"/>
      <c r="CY35" s="137"/>
      <c r="CZ35" s="137"/>
      <c r="DA35" s="137"/>
      <c r="DB35" s="137"/>
    </row>
    <row r="36" spans="1:106" x14ac:dyDescent="0.25">
      <c r="A36" s="134" t="str">
        <f t="shared" si="1"/>
        <v/>
      </c>
      <c r="B36" s="137"/>
      <c r="C36" s="137"/>
      <c r="D36" s="137"/>
      <c r="E36" s="137"/>
      <c r="F36" s="137"/>
      <c r="G36" s="137"/>
      <c r="H36" s="137"/>
      <c r="I36" s="137"/>
      <c r="J36" s="137"/>
      <c r="K36" s="137"/>
      <c r="L36" s="137"/>
      <c r="M36" s="137"/>
      <c r="N36" s="137"/>
      <c r="O36" s="137" t="str">
        <f t="shared" si="0"/>
        <v xml:space="preserve">FALSE, </v>
      </c>
      <c r="P36" s="137"/>
      <c r="Q36" s="137"/>
      <c r="R36" s="137"/>
      <c r="S36" s="137"/>
      <c r="T36" s="137"/>
      <c r="U36" s="137"/>
      <c r="V36" s="137"/>
      <c r="W36" s="137"/>
      <c r="X36" s="137"/>
      <c r="Y36" s="137"/>
      <c r="Z36" s="137"/>
      <c r="AA36" s="137"/>
      <c r="AB36" s="137"/>
      <c r="AC36" s="137"/>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c r="BE36" s="137"/>
      <c r="BF36" s="137"/>
      <c r="BG36" s="137"/>
      <c r="BH36" s="137"/>
      <c r="BI36" s="137"/>
      <c r="BJ36" s="137"/>
      <c r="BK36" s="137"/>
      <c r="BL36" s="137"/>
      <c r="BM36" s="137"/>
      <c r="BN36" s="137"/>
      <c r="BO36" s="137"/>
      <c r="BP36" s="137"/>
      <c r="BQ36" s="137"/>
      <c r="BR36" s="137"/>
      <c r="BS36" s="137"/>
      <c r="BT36" s="137"/>
      <c r="BU36" s="137"/>
      <c r="BV36" s="137"/>
      <c r="BW36" s="137"/>
      <c r="BX36" s="137"/>
      <c r="BY36" s="137"/>
      <c r="BZ36" s="137"/>
      <c r="CA36" s="137"/>
      <c r="CB36" s="137"/>
      <c r="CC36" s="137"/>
      <c r="CD36" s="137"/>
      <c r="CE36" s="137"/>
      <c r="CF36" s="137"/>
      <c r="CG36" s="137"/>
      <c r="CH36" s="137"/>
      <c r="CI36" s="137"/>
      <c r="CJ36" s="137"/>
      <c r="CK36" s="137"/>
      <c r="CL36" s="137"/>
      <c r="CM36" s="137"/>
      <c r="CN36" s="137"/>
      <c r="CO36" s="137"/>
      <c r="CP36" s="137"/>
      <c r="CQ36" s="137"/>
      <c r="CR36" s="137"/>
      <c r="CS36" s="137"/>
      <c r="CT36" s="137"/>
      <c r="CU36" s="137"/>
      <c r="CV36" s="137"/>
      <c r="CW36" s="137"/>
      <c r="CX36" s="137"/>
      <c r="CY36" s="137"/>
      <c r="CZ36" s="137"/>
      <c r="DA36" s="137"/>
      <c r="DB36" s="137"/>
    </row>
    <row r="37" spans="1:106" x14ac:dyDescent="0.25">
      <c r="A37" s="134" t="str">
        <f t="shared" si="1"/>
        <v/>
      </c>
      <c r="B37" s="137"/>
      <c r="C37" s="137"/>
      <c r="D37" s="137"/>
      <c r="E37" s="137"/>
      <c r="F37" s="137"/>
      <c r="G37" s="137"/>
      <c r="H37" s="137"/>
      <c r="I37" s="137"/>
      <c r="J37" s="137"/>
      <c r="K37" s="137"/>
      <c r="L37" s="137"/>
      <c r="M37" s="137"/>
      <c r="N37" s="137"/>
      <c r="O37" s="137" t="str">
        <f t="shared" si="0"/>
        <v xml:space="preserve">FALSE, </v>
      </c>
      <c r="P37" s="137"/>
      <c r="Q37" s="137"/>
      <c r="R37" s="137"/>
      <c r="S37" s="137"/>
      <c r="T37" s="137"/>
      <c r="U37" s="137"/>
      <c r="V37" s="137"/>
      <c r="W37" s="137"/>
      <c r="X37" s="137"/>
      <c r="Y37" s="137"/>
      <c r="Z37" s="137"/>
      <c r="AA37" s="137"/>
      <c r="AB37" s="137"/>
      <c r="AC37" s="137"/>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c r="BE37" s="137"/>
      <c r="BF37" s="137"/>
      <c r="BG37" s="137"/>
      <c r="BH37" s="137"/>
      <c r="BI37" s="137"/>
      <c r="BJ37" s="137"/>
      <c r="BK37" s="137"/>
      <c r="BL37" s="137"/>
      <c r="BM37" s="137"/>
      <c r="BN37" s="137"/>
      <c r="BO37" s="137"/>
      <c r="BP37" s="137"/>
      <c r="BQ37" s="137"/>
      <c r="BR37" s="137"/>
      <c r="BS37" s="137"/>
      <c r="BT37" s="137"/>
      <c r="BU37" s="137"/>
      <c r="BV37" s="137"/>
      <c r="BW37" s="137"/>
      <c r="BX37" s="137"/>
      <c r="BY37" s="137"/>
      <c r="BZ37" s="137"/>
      <c r="CA37" s="137"/>
      <c r="CB37" s="137"/>
      <c r="CC37" s="137"/>
      <c r="CD37" s="137"/>
      <c r="CE37" s="137"/>
      <c r="CF37" s="137"/>
      <c r="CG37" s="137"/>
      <c r="CH37" s="137"/>
      <c r="CI37" s="137"/>
      <c r="CJ37" s="137"/>
      <c r="CK37" s="137"/>
      <c r="CL37" s="137"/>
      <c r="CM37" s="137"/>
      <c r="CN37" s="137"/>
      <c r="CO37" s="137"/>
      <c r="CP37" s="137"/>
      <c r="CQ37" s="137"/>
      <c r="CR37" s="137"/>
      <c r="CS37" s="137"/>
      <c r="CT37" s="137"/>
      <c r="CU37" s="137"/>
      <c r="CV37" s="137"/>
      <c r="CW37" s="137"/>
      <c r="CX37" s="137"/>
      <c r="CY37" s="137"/>
      <c r="CZ37" s="137"/>
      <c r="DA37" s="137"/>
      <c r="DB37" s="137"/>
    </row>
    <row r="38" spans="1:106" x14ac:dyDescent="0.25">
      <c r="A38" s="134" t="str">
        <f t="shared" si="1"/>
        <v/>
      </c>
      <c r="B38" s="137"/>
      <c r="C38" s="137"/>
      <c r="D38" s="137"/>
      <c r="E38" s="137"/>
      <c r="F38" s="137"/>
      <c r="G38" s="137"/>
      <c r="H38" s="137"/>
      <c r="I38" s="137"/>
      <c r="J38" s="137"/>
      <c r="K38" s="137"/>
      <c r="L38" s="137"/>
      <c r="M38" s="137"/>
      <c r="N38" s="137"/>
      <c r="O38" s="137" t="str">
        <f t="shared" si="0"/>
        <v xml:space="preserve">FALSE, </v>
      </c>
      <c r="P38" s="137"/>
      <c r="Q38" s="137"/>
      <c r="R38" s="137"/>
      <c r="S38" s="137"/>
      <c r="T38" s="137"/>
      <c r="U38" s="137"/>
      <c r="V38" s="137"/>
      <c r="W38" s="137"/>
      <c r="X38" s="137"/>
      <c r="Y38" s="137"/>
      <c r="Z38" s="137"/>
      <c r="AA38" s="137"/>
      <c r="AB38" s="137"/>
      <c r="AC38" s="137"/>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c r="BE38" s="137"/>
      <c r="BF38" s="137"/>
      <c r="BG38" s="137"/>
      <c r="BH38" s="137"/>
      <c r="BI38" s="137"/>
      <c r="BJ38" s="137"/>
      <c r="BK38" s="137"/>
      <c r="BL38" s="137"/>
      <c r="BM38" s="137"/>
      <c r="BN38" s="137"/>
      <c r="BO38" s="137"/>
      <c r="BP38" s="137"/>
      <c r="BQ38" s="137"/>
      <c r="BR38" s="137"/>
      <c r="BS38" s="137"/>
      <c r="BT38" s="137"/>
      <c r="BU38" s="137"/>
      <c r="BV38" s="137"/>
      <c r="BW38" s="137"/>
      <c r="BX38" s="137"/>
      <c r="BY38" s="137"/>
      <c r="BZ38" s="137"/>
      <c r="CA38" s="137"/>
      <c r="CB38" s="137"/>
      <c r="CC38" s="137"/>
      <c r="CD38" s="137"/>
      <c r="CE38" s="137"/>
      <c r="CF38" s="137"/>
      <c r="CG38" s="137"/>
      <c r="CH38" s="137"/>
      <c r="CI38" s="137"/>
      <c r="CJ38" s="137"/>
      <c r="CK38" s="137"/>
      <c r="CL38" s="137"/>
      <c r="CM38" s="137"/>
      <c r="CN38" s="137"/>
      <c r="CO38" s="137"/>
      <c r="CP38" s="137"/>
      <c r="CQ38" s="137"/>
      <c r="CR38" s="137"/>
      <c r="CS38" s="137"/>
      <c r="CT38" s="137"/>
      <c r="CU38" s="137"/>
      <c r="CV38" s="137"/>
      <c r="CW38" s="137"/>
      <c r="CX38" s="137"/>
      <c r="CY38" s="137"/>
      <c r="CZ38" s="137"/>
      <c r="DA38" s="137"/>
      <c r="DB38" s="137"/>
    </row>
    <row r="39" spans="1:106" x14ac:dyDescent="0.25">
      <c r="A39" s="134" t="str">
        <f t="shared" si="1"/>
        <v/>
      </c>
      <c r="B39" s="137"/>
      <c r="C39" s="137"/>
      <c r="D39" s="137"/>
      <c r="E39" s="137"/>
      <c r="F39" s="137"/>
      <c r="G39" s="137"/>
      <c r="H39" s="137"/>
      <c r="I39" s="137"/>
      <c r="J39" s="137"/>
      <c r="K39" s="137"/>
      <c r="L39" s="137"/>
      <c r="M39" s="137"/>
      <c r="N39" s="137"/>
      <c r="O39" s="137" t="str">
        <f t="shared" si="0"/>
        <v xml:space="preserve">FALSE, </v>
      </c>
      <c r="P39" s="137"/>
      <c r="Q39" s="137"/>
      <c r="R39" s="137"/>
      <c r="S39" s="137"/>
      <c r="T39" s="137"/>
      <c r="U39" s="137"/>
      <c r="V39" s="137"/>
      <c r="W39" s="137"/>
      <c r="X39" s="137"/>
      <c r="Y39" s="137"/>
      <c r="Z39" s="137"/>
      <c r="AA39" s="137"/>
      <c r="AB39" s="137"/>
      <c r="AC39" s="137"/>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c r="BE39" s="137"/>
      <c r="BF39" s="137"/>
      <c r="BG39" s="137"/>
      <c r="BH39" s="137"/>
      <c r="BI39" s="137"/>
      <c r="BJ39" s="137"/>
      <c r="BK39" s="137"/>
      <c r="BL39" s="137"/>
      <c r="BM39" s="137"/>
      <c r="BN39" s="137"/>
      <c r="BO39" s="137"/>
      <c r="BP39" s="137"/>
      <c r="BQ39" s="137"/>
      <c r="BR39" s="137"/>
      <c r="BS39" s="137"/>
      <c r="BT39" s="137"/>
      <c r="BU39" s="137"/>
      <c r="BV39" s="137"/>
      <c r="BW39" s="137"/>
      <c r="BX39" s="137"/>
      <c r="BY39" s="137"/>
      <c r="BZ39" s="137"/>
      <c r="CA39" s="137"/>
      <c r="CB39" s="137"/>
      <c r="CC39" s="137"/>
      <c r="CD39" s="137"/>
      <c r="CE39" s="137"/>
      <c r="CF39" s="137"/>
      <c r="CG39" s="137"/>
      <c r="CH39" s="137"/>
      <c r="CI39" s="137"/>
      <c r="CJ39" s="137"/>
      <c r="CK39" s="137"/>
      <c r="CL39" s="137"/>
      <c r="CM39" s="137"/>
      <c r="CN39" s="137"/>
      <c r="CO39" s="137"/>
      <c r="CP39" s="137"/>
      <c r="CQ39" s="137"/>
      <c r="CR39" s="137"/>
      <c r="CS39" s="137"/>
      <c r="CT39" s="137"/>
      <c r="CU39" s="137"/>
      <c r="CV39" s="137"/>
      <c r="CW39" s="137"/>
      <c r="CX39" s="137"/>
      <c r="CY39" s="137"/>
      <c r="CZ39" s="137"/>
      <c r="DA39" s="137"/>
      <c r="DB39" s="137"/>
    </row>
    <row r="40" spans="1:106" x14ac:dyDescent="0.25">
      <c r="A40" s="134" t="str">
        <f t="shared" si="1"/>
        <v/>
      </c>
      <c r="B40" s="137"/>
      <c r="C40" s="137"/>
      <c r="D40" s="137"/>
      <c r="E40" s="137"/>
      <c r="F40" s="137"/>
      <c r="G40" s="137"/>
      <c r="H40" s="137"/>
      <c r="I40" s="137"/>
      <c r="J40" s="137"/>
      <c r="K40" s="137"/>
      <c r="L40" s="137"/>
      <c r="M40" s="137"/>
      <c r="N40" s="137"/>
      <c r="O40" s="137" t="str">
        <f t="shared" si="0"/>
        <v xml:space="preserve">FALSE, </v>
      </c>
      <c r="P40" s="137"/>
      <c r="Q40" s="137"/>
      <c r="R40" s="137"/>
      <c r="S40" s="137"/>
      <c r="T40" s="137"/>
      <c r="U40" s="137"/>
      <c r="V40" s="137"/>
      <c r="W40" s="137"/>
      <c r="X40" s="137"/>
      <c r="Y40" s="137"/>
      <c r="Z40" s="137"/>
      <c r="AA40" s="137"/>
      <c r="AB40" s="137"/>
      <c r="AC40" s="137"/>
      <c r="AD40" s="137"/>
      <c r="AE40" s="137"/>
      <c r="AF40" s="137"/>
      <c r="AG40" s="137"/>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c r="BE40" s="137"/>
      <c r="BF40" s="137"/>
      <c r="BG40" s="137"/>
      <c r="BH40" s="137"/>
      <c r="BI40" s="137"/>
      <c r="BJ40" s="137"/>
      <c r="BK40" s="137"/>
      <c r="BL40" s="137"/>
      <c r="BM40" s="137"/>
      <c r="BN40" s="137"/>
      <c r="BO40" s="137"/>
      <c r="BP40" s="137"/>
      <c r="BQ40" s="137"/>
      <c r="BR40" s="137"/>
      <c r="BS40" s="137"/>
      <c r="BT40" s="137"/>
      <c r="BU40" s="137"/>
      <c r="BV40" s="137"/>
      <c r="BW40" s="137"/>
      <c r="BX40" s="137"/>
      <c r="BY40" s="137"/>
      <c r="BZ40" s="137"/>
      <c r="CA40" s="137"/>
      <c r="CB40" s="137"/>
      <c r="CC40" s="137"/>
      <c r="CD40" s="137"/>
      <c r="CE40" s="137"/>
      <c r="CF40" s="137"/>
      <c r="CG40" s="137"/>
      <c r="CH40" s="137"/>
      <c r="CI40" s="137"/>
      <c r="CJ40" s="137"/>
      <c r="CK40" s="137"/>
      <c r="CL40" s="137"/>
      <c r="CM40" s="137"/>
      <c r="CN40" s="137"/>
      <c r="CO40" s="137"/>
      <c r="CP40" s="137"/>
      <c r="CQ40" s="137"/>
      <c r="CR40" s="137"/>
      <c r="CS40" s="137"/>
      <c r="CT40" s="137"/>
      <c r="CU40" s="137"/>
      <c r="CV40" s="137"/>
      <c r="CW40" s="137"/>
      <c r="CX40" s="137"/>
      <c r="CY40" s="137"/>
      <c r="CZ40" s="137"/>
      <c r="DA40" s="137"/>
      <c r="DB40" s="137"/>
    </row>
    <row r="41" spans="1:106" x14ac:dyDescent="0.25">
      <c r="A41" s="134" t="str">
        <f t="shared" si="1"/>
        <v/>
      </c>
      <c r="B41" s="137"/>
      <c r="C41" s="137"/>
      <c r="D41" s="137"/>
      <c r="E41" s="137"/>
      <c r="F41" s="137"/>
      <c r="G41" s="137"/>
      <c r="H41" s="137"/>
      <c r="I41" s="137"/>
      <c r="J41" s="137"/>
      <c r="K41" s="137"/>
      <c r="L41" s="137"/>
      <c r="M41" s="137"/>
      <c r="N41" s="137"/>
      <c r="O41" s="137" t="str">
        <f t="shared" si="0"/>
        <v xml:space="preserve">FALSE, </v>
      </c>
      <c r="P41" s="137"/>
      <c r="Q41" s="137"/>
      <c r="R41" s="137"/>
      <c r="S41" s="137"/>
      <c r="T41" s="137"/>
      <c r="U41" s="137"/>
      <c r="V41" s="137"/>
      <c r="W41" s="137"/>
      <c r="X41" s="137"/>
      <c r="Y41" s="137"/>
      <c r="Z41" s="137"/>
      <c r="AA41" s="137"/>
      <c r="AB41" s="137"/>
      <c r="AC41" s="137"/>
      <c r="AD41" s="137"/>
      <c r="AE41" s="137"/>
      <c r="AF41" s="137"/>
      <c r="AG41" s="137"/>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c r="BE41" s="137"/>
      <c r="BF41" s="137"/>
      <c r="BG41" s="137"/>
      <c r="BH41" s="137"/>
      <c r="BI41" s="137"/>
      <c r="BJ41" s="137"/>
      <c r="BK41" s="137"/>
      <c r="BL41" s="137"/>
      <c r="BM41" s="137"/>
      <c r="BN41" s="137"/>
      <c r="BO41" s="137"/>
      <c r="BP41" s="137"/>
      <c r="BQ41" s="137"/>
      <c r="BR41" s="137"/>
      <c r="BS41" s="137"/>
      <c r="BT41" s="137"/>
      <c r="BU41" s="137"/>
      <c r="BV41" s="137"/>
      <c r="BW41" s="137"/>
      <c r="BX41" s="137"/>
      <c r="BY41" s="137"/>
      <c r="BZ41" s="137"/>
      <c r="CA41" s="137"/>
      <c r="CB41" s="137"/>
      <c r="CC41" s="137"/>
      <c r="CD41" s="137"/>
      <c r="CE41" s="137"/>
      <c r="CF41" s="137"/>
      <c r="CG41" s="137"/>
      <c r="CH41" s="137"/>
      <c r="CI41" s="137"/>
      <c r="CJ41" s="137"/>
      <c r="CK41" s="137"/>
      <c r="CL41" s="137"/>
      <c r="CM41" s="137"/>
      <c r="CN41" s="137"/>
      <c r="CO41" s="137"/>
      <c r="CP41" s="137"/>
      <c r="CQ41" s="137"/>
      <c r="CR41" s="137"/>
      <c r="CS41" s="137"/>
      <c r="CT41" s="137"/>
      <c r="CU41" s="137"/>
      <c r="CV41" s="137"/>
      <c r="CW41" s="137"/>
      <c r="CX41" s="137"/>
      <c r="CY41" s="137"/>
      <c r="CZ41" s="137"/>
      <c r="DA41" s="137"/>
      <c r="DB41" s="137"/>
    </row>
    <row r="42" spans="1:106" x14ac:dyDescent="0.25">
      <c r="A42" s="134" t="str">
        <f t="shared" si="1"/>
        <v/>
      </c>
      <c r="B42" s="137"/>
      <c r="C42" s="137"/>
      <c r="D42" s="137"/>
      <c r="E42" s="137"/>
      <c r="F42" s="137"/>
      <c r="G42" s="137"/>
      <c r="H42" s="137"/>
      <c r="I42" s="137"/>
      <c r="J42" s="137"/>
      <c r="K42" s="137"/>
      <c r="L42" s="137"/>
      <c r="M42" s="137"/>
      <c r="N42" s="137"/>
      <c r="O42" s="137" t="str">
        <f t="shared" si="0"/>
        <v xml:space="preserve">FALSE, </v>
      </c>
      <c r="P42" s="137"/>
      <c r="Q42" s="137"/>
      <c r="R42" s="137"/>
      <c r="S42" s="137"/>
      <c r="T42" s="137"/>
      <c r="U42" s="137"/>
      <c r="V42" s="137"/>
      <c r="W42" s="137"/>
      <c r="X42" s="137"/>
      <c r="Y42" s="137"/>
      <c r="Z42" s="137"/>
      <c r="AA42" s="137"/>
      <c r="AB42" s="137"/>
      <c r="AC42" s="137"/>
      <c r="AD42" s="137"/>
      <c r="AE42" s="137"/>
      <c r="AF42" s="137"/>
      <c r="AG42" s="137"/>
      <c r="AH42" s="137"/>
      <c r="AI42" s="137"/>
      <c r="AJ42" s="137"/>
      <c r="AK42" s="137"/>
      <c r="AL42" s="137"/>
      <c r="AM42" s="137"/>
      <c r="AN42" s="137"/>
      <c r="AO42" s="137"/>
      <c r="AP42" s="137"/>
      <c r="AQ42" s="137"/>
      <c r="AR42" s="137"/>
      <c r="AS42" s="137"/>
      <c r="AT42" s="137"/>
      <c r="AU42" s="137"/>
      <c r="AV42" s="137"/>
      <c r="AW42" s="137"/>
      <c r="AX42" s="137"/>
      <c r="AY42" s="137"/>
      <c r="AZ42" s="137"/>
      <c r="BA42" s="137"/>
      <c r="BB42" s="137"/>
      <c r="BC42" s="137"/>
      <c r="BD42" s="137"/>
      <c r="BE42" s="137"/>
      <c r="BF42" s="137"/>
      <c r="BG42" s="137"/>
      <c r="BH42" s="137"/>
      <c r="BI42" s="137"/>
      <c r="BJ42" s="137"/>
      <c r="BK42" s="137"/>
      <c r="BL42" s="137"/>
      <c r="BM42" s="137"/>
      <c r="BN42" s="137"/>
      <c r="BO42" s="137"/>
      <c r="BP42" s="137"/>
      <c r="BQ42" s="137"/>
      <c r="BR42" s="137"/>
      <c r="BS42" s="137"/>
      <c r="BT42" s="137"/>
      <c r="BU42" s="137"/>
      <c r="BV42" s="137"/>
      <c r="BW42" s="137"/>
      <c r="BX42" s="137"/>
      <c r="BY42" s="137"/>
      <c r="BZ42" s="137"/>
      <c r="CA42" s="137"/>
      <c r="CB42" s="137"/>
      <c r="CC42" s="137"/>
      <c r="CD42" s="137"/>
      <c r="CE42" s="137"/>
      <c r="CF42" s="137"/>
      <c r="CG42" s="137"/>
      <c r="CH42" s="137"/>
      <c r="CI42" s="137"/>
      <c r="CJ42" s="137"/>
      <c r="CK42" s="137"/>
      <c r="CL42" s="137"/>
      <c r="CM42" s="137"/>
      <c r="CN42" s="137"/>
      <c r="CO42" s="137"/>
      <c r="CP42" s="137"/>
      <c r="CQ42" s="137"/>
      <c r="CR42" s="137"/>
      <c r="CS42" s="137"/>
      <c r="CT42" s="137"/>
      <c r="CU42" s="137"/>
      <c r="CV42" s="137"/>
      <c r="CW42" s="137"/>
      <c r="CX42" s="137"/>
      <c r="CY42" s="137"/>
      <c r="CZ42" s="137"/>
      <c r="DA42" s="137"/>
      <c r="DB42" s="137"/>
    </row>
    <row r="43" spans="1:106" x14ac:dyDescent="0.25">
      <c r="A43" s="134" t="str">
        <f t="shared" si="1"/>
        <v/>
      </c>
      <c r="B43" s="137"/>
      <c r="C43" s="137"/>
      <c r="D43" s="137"/>
      <c r="E43" s="137"/>
      <c r="F43" s="137"/>
      <c r="G43" s="137"/>
      <c r="H43" s="137"/>
      <c r="I43" s="137"/>
      <c r="J43" s="137"/>
      <c r="K43" s="137"/>
      <c r="L43" s="137"/>
      <c r="M43" s="137"/>
      <c r="N43" s="137"/>
      <c r="O43" s="137" t="str">
        <f t="shared" si="0"/>
        <v xml:space="preserve">FALSE, </v>
      </c>
      <c r="P43" s="137"/>
      <c r="Q43" s="137"/>
      <c r="R43" s="137"/>
      <c r="S43" s="137"/>
      <c r="T43" s="137"/>
      <c r="U43" s="137"/>
      <c r="V43" s="137"/>
      <c r="W43" s="137"/>
      <c r="X43" s="137"/>
      <c r="Y43" s="137"/>
      <c r="Z43" s="137"/>
      <c r="AA43" s="137"/>
      <c r="AB43" s="137"/>
      <c r="AC43" s="137"/>
      <c r="AD43" s="137"/>
      <c r="AE43" s="137"/>
      <c r="AF43" s="137"/>
      <c r="AG43" s="137"/>
      <c r="AH43" s="137"/>
      <c r="AI43" s="137"/>
      <c r="AJ43" s="137"/>
      <c r="AK43" s="137"/>
      <c r="AL43" s="137"/>
      <c r="AM43" s="137"/>
      <c r="AN43" s="137"/>
      <c r="AO43" s="137"/>
      <c r="AP43" s="137"/>
      <c r="AQ43" s="137"/>
      <c r="AR43" s="137"/>
      <c r="AS43" s="137"/>
      <c r="AT43" s="137"/>
      <c r="AU43" s="137"/>
      <c r="AV43" s="137"/>
      <c r="AW43" s="137"/>
      <c r="AX43" s="137"/>
      <c r="AY43" s="137"/>
      <c r="AZ43" s="137"/>
      <c r="BA43" s="137"/>
      <c r="BB43" s="137"/>
      <c r="BC43" s="137"/>
      <c r="BD43" s="137"/>
      <c r="BE43" s="137"/>
      <c r="BF43" s="137"/>
      <c r="BG43" s="137"/>
      <c r="BH43" s="137"/>
      <c r="BI43" s="137"/>
      <c r="BJ43" s="137"/>
      <c r="BK43" s="137"/>
      <c r="BL43" s="137"/>
      <c r="BM43" s="137"/>
      <c r="BN43" s="137"/>
      <c r="BO43" s="137"/>
      <c r="BP43" s="137"/>
      <c r="BQ43" s="137"/>
      <c r="BR43" s="137"/>
      <c r="BS43" s="137"/>
      <c r="BT43" s="137"/>
      <c r="BU43" s="137"/>
      <c r="BV43" s="137"/>
      <c r="BW43" s="137"/>
      <c r="BX43" s="137"/>
      <c r="BY43" s="137"/>
      <c r="BZ43" s="137"/>
      <c r="CA43" s="137"/>
      <c r="CB43" s="137"/>
      <c r="CC43" s="137"/>
      <c r="CD43" s="137"/>
      <c r="CE43" s="137"/>
      <c r="CF43" s="137"/>
      <c r="CG43" s="137"/>
      <c r="CH43" s="137"/>
      <c r="CI43" s="137"/>
      <c r="CJ43" s="137"/>
      <c r="CK43" s="137"/>
      <c r="CL43" s="137"/>
      <c r="CM43" s="137"/>
      <c r="CN43" s="137"/>
      <c r="CO43" s="137"/>
      <c r="CP43" s="137"/>
      <c r="CQ43" s="137"/>
      <c r="CR43" s="137"/>
      <c r="CS43" s="137"/>
      <c r="CT43" s="137"/>
      <c r="CU43" s="137"/>
      <c r="CV43" s="137"/>
      <c r="CW43" s="137"/>
      <c r="CX43" s="137"/>
      <c r="CY43" s="137"/>
      <c r="CZ43" s="137"/>
      <c r="DA43" s="137"/>
      <c r="DB43" s="137"/>
    </row>
    <row r="44" spans="1:106" x14ac:dyDescent="0.25">
      <c r="A44" s="134" t="str">
        <f t="shared" si="1"/>
        <v/>
      </c>
      <c r="B44" s="137"/>
      <c r="C44" s="137"/>
      <c r="D44" s="137"/>
      <c r="E44" s="137"/>
      <c r="F44" s="137"/>
      <c r="G44" s="137"/>
      <c r="H44" s="137"/>
      <c r="I44" s="137"/>
      <c r="J44" s="137"/>
      <c r="K44" s="137"/>
      <c r="L44" s="137"/>
      <c r="M44" s="137"/>
      <c r="N44" s="137"/>
      <c r="O44" s="137" t="str">
        <f t="shared" si="0"/>
        <v xml:space="preserve">FALSE, </v>
      </c>
      <c r="P44" s="137"/>
      <c r="Q44" s="137"/>
      <c r="R44" s="137"/>
      <c r="S44" s="137"/>
      <c r="T44" s="137"/>
      <c r="U44" s="137"/>
      <c r="V44" s="137"/>
      <c r="W44" s="137"/>
      <c r="X44" s="137"/>
      <c r="Y44" s="137"/>
      <c r="Z44" s="137"/>
      <c r="AA44" s="137"/>
      <c r="AB44" s="137"/>
      <c r="AC44" s="137"/>
      <c r="AD44" s="137"/>
      <c r="AE44" s="137"/>
      <c r="AF44" s="137"/>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c r="BE44" s="137"/>
      <c r="BF44" s="137"/>
      <c r="BG44" s="137"/>
      <c r="BH44" s="137"/>
      <c r="BI44" s="137"/>
      <c r="BJ44" s="137"/>
      <c r="BK44" s="137"/>
      <c r="BL44" s="137"/>
      <c r="BM44" s="137"/>
      <c r="BN44" s="137"/>
      <c r="BO44" s="137"/>
      <c r="BP44" s="137"/>
      <c r="BQ44" s="137"/>
      <c r="BR44" s="137"/>
      <c r="BS44" s="137"/>
      <c r="BT44" s="137"/>
      <c r="BU44" s="137"/>
      <c r="BV44" s="137"/>
      <c r="BW44" s="137"/>
      <c r="BX44" s="137"/>
      <c r="BY44" s="137"/>
      <c r="BZ44" s="137"/>
      <c r="CA44" s="137"/>
      <c r="CB44" s="137"/>
      <c r="CC44" s="137"/>
      <c r="CD44" s="137"/>
      <c r="CE44" s="137"/>
      <c r="CF44" s="137"/>
      <c r="CG44" s="137"/>
      <c r="CH44" s="137"/>
      <c r="CI44" s="137"/>
      <c r="CJ44" s="137"/>
      <c r="CK44" s="137"/>
      <c r="CL44" s="137"/>
      <c r="CM44" s="137"/>
      <c r="CN44" s="137"/>
      <c r="CO44" s="137"/>
      <c r="CP44" s="137"/>
      <c r="CQ44" s="137"/>
      <c r="CR44" s="137"/>
      <c r="CS44" s="137"/>
      <c r="CT44" s="137"/>
      <c r="CU44" s="137"/>
      <c r="CV44" s="137"/>
      <c r="CW44" s="137"/>
      <c r="CX44" s="137"/>
      <c r="CY44" s="137"/>
      <c r="CZ44" s="137"/>
      <c r="DA44" s="137"/>
      <c r="DB44" s="137"/>
    </row>
    <row r="45" spans="1:106" x14ac:dyDescent="0.25">
      <c r="A45" s="134" t="str">
        <f t="shared" si="1"/>
        <v/>
      </c>
      <c r="B45" s="137"/>
      <c r="C45" s="137"/>
      <c r="D45" s="137"/>
      <c r="E45" s="137"/>
      <c r="F45" s="137"/>
      <c r="G45" s="137"/>
      <c r="H45" s="137"/>
      <c r="I45" s="137"/>
      <c r="J45" s="137"/>
      <c r="K45" s="137"/>
      <c r="L45" s="137"/>
      <c r="M45" s="137"/>
      <c r="N45" s="137"/>
      <c r="O45" s="137" t="str">
        <f t="shared" si="0"/>
        <v xml:space="preserve">FALSE, </v>
      </c>
      <c r="P45" s="137"/>
      <c r="Q45" s="137"/>
      <c r="R45" s="137"/>
      <c r="S45" s="137"/>
      <c r="T45" s="137"/>
      <c r="U45" s="137"/>
      <c r="V45" s="137"/>
      <c r="W45" s="137"/>
      <c r="X45" s="137"/>
      <c r="Y45" s="137"/>
      <c r="Z45" s="137"/>
      <c r="AA45" s="137"/>
      <c r="AB45" s="137"/>
      <c r="AC45" s="137"/>
      <c r="AD45" s="137"/>
      <c r="AE45" s="137"/>
      <c r="AF45" s="137"/>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c r="BE45" s="137"/>
      <c r="BF45" s="137"/>
      <c r="BG45" s="137"/>
      <c r="BH45" s="137"/>
      <c r="BI45" s="137"/>
      <c r="BJ45" s="137"/>
      <c r="BK45" s="137"/>
      <c r="BL45" s="137"/>
      <c r="BM45" s="137"/>
      <c r="BN45" s="137"/>
      <c r="BO45" s="137"/>
      <c r="BP45" s="137"/>
      <c r="BQ45" s="137"/>
      <c r="BR45" s="137"/>
      <c r="BS45" s="137"/>
      <c r="BT45" s="137"/>
      <c r="BU45" s="137"/>
      <c r="BV45" s="137"/>
      <c r="BW45" s="137"/>
      <c r="BX45" s="137"/>
      <c r="BY45" s="137"/>
      <c r="BZ45" s="137"/>
      <c r="CA45" s="137"/>
      <c r="CB45" s="137"/>
      <c r="CC45" s="137"/>
      <c r="CD45" s="137"/>
      <c r="CE45" s="137"/>
      <c r="CF45" s="137"/>
      <c r="CG45" s="137"/>
      <c r="CH45" s="137"/>
      <c r="CI45" s="137"/>
      <c r="CJ45" s="137"/>
      <c r="CK45" s="137"/>
      <c r="CL45" s="137"/>
      <c r="CM45" s="137"/>
      <c r="CN45" s="137"/>
      <c r="CO45" s="137"/>
      <c r="CP45" s="137"/>
      <c r="CQ45" s="137"/>
      <c r="CR45" s="137"/>
      <c r="CS45" s="137"/>
      <c r="CT45" s="137"/>
      <c r="CU45" s="137"/>
      <c r="CV45" s="137"/>
      <c r="CW45" s="137"/>
      <c r="CX45" s="137"/>
      <c r="CY45" s="137"/>
      <c r="CZ45" s="137"/>
      <c r="DA45" s="137"/>
      <c r="DB45" s="137"/>
    </row>
    <row r="46" spans="1:106" x14ac:dyDescent="0.25">
      <c r="A46" s="134" t="str">
        <f t="shared" si="1"/>
        <v/>
      </c>
      <c r="B46" s="137"/>
      <c r="C46" s="137"/>
      <c r="D46" s="137"/>
      <c r="E46" s="137"/>
      <c r="F46" s="137"/>
      <c r="G46" s="137"/>
      <c r="H46" s="137"/>
      <c r="I46" s="137"/>
      <c r="J46" s="137"/>
      <c r="K46" s="137"/>
      <c r="L46" s="137"/>
      <c r="M46" s="137"/>
      <c r="N46" s="137"/>
      <c r="O46" s="137" t="str">
        <f t="shared" si="0"/>
        <v xml:space="preserve">FALSE, </v>
      </c>
      <c r="P46" s="137"/>
      <c r="Q46" s="137"/>
      <c r="R46" s="137"/>
      <c r="S46" s="137"/>
      <c r="T46" s="137"/>
      <c r="U46" s="137"/>
      <c r="V46" s="137"/>
      <c r="W46" s="137"/>
      <c r="X46" s="137"/>
      <c r="Y46" s="137"/>
      <c r="Z46" s="137"/>
      <c r="AA46" s="137"/>
      <c r="AB46" s="137"/>
      <c r="AC46" s="137"/>
      <c r="AD46" s="137"/>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c r="BE46" s="137"/>
      <c r="BF46" s="137"/>
      <c r="BG46" s="137"/>
      <c r="BH46" s="137"/>
      <c r="BI46" s="137"/>
      <c r="BJ46" s="137"/>
      <c r="BK46" s="137"/>
      <c r="BL46" s="137"/>
      <c r="BM46" s="137"/>
      <c r="BN46" s="137"/>
      <c r="BO46" s="137"/>
      <c r="BP46" s="137"/>
      <c r="BQ46" s="137"/>
      <c r="BR46" s="137"/>
      <c r="BS46" s="137"/>
      <c r="BT46" s="137"/>
      <c r="BU46" s="137"/>
      <c r="BV46" s="137"/>
      <c r="BW46" s="137"/>
      <c r="BX46" s="137"/>
      <c r="BY46" s="137"/>
      <c r="BZ46" s="137"/>
      <c r="CA46" s="137"/>
      <c r="CB46" s="137"/>
      <c r="CC46" s="137"/>
      <c r="CD46" s="137"/>
      <c r="CE46" s="137"/>
      <c r="CF46" s="137"/>
      <c r="CG46" s="137"/>
      <c r="CH46" s="137"/>
      <c r="CI46" s="137"/>
      <c r="CJ46" s="137"/>
      <c r="CK46" s="137"/>
      <c r="CL46" s="137"/>
      <c r="CM46" s="137"/>
      <c r="CN46" s="137"/>
      <c r="CO46" s="137"/>
      <c r="CP46" s="137"/>
      <c r="CQ46" s="137"/>
      <c r="CR46" s="137"/>
      <c r="CS46" s="137"/>
      <c r="CT46" s="137"/>
      <c r="CU46" s="137"/>
      <c r="CV46" s="137"/>
      <c r="CW46" s="137"/>
      <c r="CX46" s="137"/>
      <c r="CY46" s="137"/>
      <c r="CZ46" s="137"/>
      <c r="DA46" s="137"/>
      <c r="DB46" s="137"/>
    </row>
    <row r="47" spans="1:106" x14ac:dyDescent="0.25">
      <c r="A47" s="134" t="str">
        <f t="shared" si="1"/>
        <v/>
      </c>
      <c r="B47" s="137"/>
      <c r="C47" s="137"/>
      <c r="D47" s="137"/>
      <c r="E47" s="137"/>
      <c r="F47" s="137"/>
      <c r="G47" s="137"/>
      <c r="H47" s="137"/>
      <c r="I47" s="137"/>
      <c r="J47" s="137"/>
      <c r="K47" s="137"/>
      <c r="L47" s="137"/>
      <c r="M47" s="137"/>
      <c r="N47" s="137"/>
      <c r="O47" s="137" t="str">
        <f t="shared" si="0"/>
        <v xml:space="preserve">FALSE, </v>
      </c>
      <c r="P47" s="137"/>
      <c r="Q47" s="137"/>
      <c r="R47" s="137"/>
      <c r="S47" s="137"/>
      <c r="T47" s="137"/>
      <c r="U47" s="137"/>
      <c r="V47" s="137"/>
      <c r="W47" s="137"/>
      <c r="X47" s="137"/>
      <c r="Y47" s="137"/>
      <c r="Z47" s="137"/>
      <c r="AA47" s="137"/>
      <c r="AB47" s="137"/>
      <c r="AC47" s="137"/>
      <c r="AD47" s="137"/>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c r="BE47" s="137"/>
      <c r="BF47" s="137"/>
      <c r="BG47" s="137"/>
      <c r="BH47" s="137"/>
      <c r="BI47" s="137"/>
      <c r="BJ47" s="137"/>
      <c r="BK47" s="137"/>
      <c r="BL47" s="137"/>
      <c r="BM47" s="137"/>
      <c r="BN47" s="137"/>
      <c r="BO47" s="137"/>
      <c r="BP47" s="137"/>
      <c r="BQ47" s="137"/>
      <c r="BR47" s="137"/>
      <c r="BS47" s="137"/>
      <c r="BT47" s="137"/>
      <c r="BU47" s="137"/>
      <c r="BV47" s="137"/>
      <c r="BW47" s="137"/>
      <c r="BX47" s="137"/>
      <c r="BY47" s="137"/>
      <c r="BZ47" s="137"/>
      <c r="CA47" s="137"/>
      <c r="CB47" s="137"/>
      <c r="CC47" s="137"/>
      <c r="CD47" s="137"/>
      <c r="CE47" s="137"/>
      <c r="CF47" s="137"/>
      <c r="CG47" s="137"/>
      <c r="CH47" s="137"/>
      <c r="CI47" s="137"/>
      <c r="CJ47" s="137"/>
      <c r="CK47" s="137"/>
      <c r="CL47" s="137"/>
      <c r="CM47" s="137"/>
      <c r="CN47" s="137"/>
      <c r="CO47" s="137"/>
      <c r="CP47" s="137"/>
      <c r="CQ47" s="137"/>
      <c r="CR47" s="137"/>
      <c r="CS47" s="137"/>
      <c r="CT47" s="137"/>
      <c r="CU47" s="137"/>
      <c r="CV47" s="137"/>
      <c r="CW47" s="137"/>
      <c r="CX47" s="137"/>
      <c r="CY47" s="137"/>
      <c r="CZ47" s="137"/>
      <c r="DA47" s="137"/>
      <c r="DB47" s="137"/>
    </row>
    <row r="48" spans="1:106" x14ac:dyDescent="0.25">
      <c r="A48" s="134" t="str">
        <f t="shared" si="1"/>
        <v/>
      </c>
      <c r="B48" s="137"/>
      <c r="C48" s="137"/>
      <c r="D48" s="137"/>
      <c r="E48" s="137"/>
      <c r="F48" s="137"/>
      <c r="G48" s="137"/>
      <c r="H48" s="137"/>
      <c r="I48" s="137"/>
      <c r="J48" s="137"/>
      <c r="K48" s="137"/>
      <c r="L48" s="137"/>
      <c r="M48" s="137"/>
      <c r="N48" s="137"/>
      <c r="O48" s="137" t="str">
        <f t="shared" si="0"/>
        <v xml:space="preserve">FALSE, </v>
      </c>
      <c r="P48" s="137"/>
      <c r="Q48" s="137"/>
      <c r="R48" s="137"/>
      <c r="S48" s="137"/>
      <c r="T48" s="137"/>
      <c r="U48" s="137"/>
      <c r="V48" s="137"/>
      <c r="W48" s="137"/>
      <c r="X48" s="137"/>
      <c r="Y48" s="137"/>
      <c r="Z48" s="137"/>
      <c r="AA48" s="137"/>
      <c r="AB48" s="137"/>
      <c r="AC48" s="137"/>
      <c r="AD48" s="137"/>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c r="BE48" s="137"/>
      <c r="BF48" s="137"/>
      <c r="BG48" s="137"/>
      <c r="BH48" s="137"/>
      <c r="BI48" s="137"/>
      <c r="BJ48" s="137"/>
      <c r="BK48" s="137"/>
      <c r="BL48" s="137"/>
      <c r="BM48" s="137"/>
      <c r="BN48" s="137"/>
      <c r="BO48" s="137"/>
      <c r="BP48" s="137"/>
      <c r="BQ48" s="137"/>
      <c r="BR48" s="137"/>
      <c r="BS48" s="137"/>
      <c r="BT48" s="137"/>
      <c r="BU48" s="137"/>
      <c r="BV48" s="137"/>
      <c r="BW48" s="137"/>
      <c r="BX48" s="137"/>
      <c r="BY48" s="137"/>
      <c r="BZ48" s="137"/>
      <c r="CA48" s="137"/>
      <c r="CB48" s="137"/>
      <c r="CC48" s="137"/>
      <c r="CD48" s="137"/>
      <c r="CE48" s="137"/>
      <c r="CF48" s="137"/>
      <c r="CG48" s="137"/>
      <c r="CH48" s="137"/>
      <c r="CI48" s="137"/>
      <c r="CJ48" s="137"/>
      <c r="CK48" s="137"/>
      <c r="CL48" s="137"/>
      <c r="CM48" s="137"/>
      <c r="CN48" s="137"/>
      <c r="CO48" s="137"/>
      <c r="CP48" s="137"/>
      <c r="CQ48" s="137"/>
      <c r="CR48" s="137"/>
      <c r="CS48" s="137"/>
      <c r="CT48" s="137"/>
      <c r="CU48" s="137"/>
      <c r="CV48" s="137"/>
      <c r="CW48" s="137"/>
      <c r="CX48" s="137"/>
      <c r="CY48" s="137"/>
      <c r="CZ48" s="137"/>
      <c r="DA48" s="137"/>
      <c r="DB48" s="137"/>
    </row>
    <row r="49" spans="1:106" x14ac:dyDescent="0.25">
      <c r="A49" s="134" t="str">
        <f t="shared" si="1"/>
        <v/>
      </c>
      <c r="B49" s="137"/>
      <c r="C49" s="137"/>
      <c r="D49" s="137"/>
      <c r="E49" s="137"/>
      <c r="F49" s="137"/>
      <c r="G49" s="137"/>
      <c r="H49" s="137"/>
      <c r="I49" s="137"/>
      <c r="J49" s="137"/>
      <c r="K49" s="137"/>
      <c r="L49" s="137"/>
      <c r="M49" s="137"/>
      <c r="N49" s="137"/>
      <c r="O49" s="137" t="str">
        <f t="shared" si="0"/>
        <v xml:space="preserve">FALSE, </v>
      </c>
      <c r="P49" s="137"/>
      <c r="Q49" s="137"/>
      <c r="R49" s="137"/>
      <c r="S49" s="137"/>
      <c r="T49" s="137"/>
      <c r="U49" s="137"/>
      <c r="V49" s="137"/>
      <c r="W49" s="137"/>
      <c r="X49" s="137"/>
      <c r="Y49" s="137"/>
      <c r="Z49" s="137"/>
      <c r="AA49" s="137"/>
      <c r="AB49" s="137"/>
      <c r="AC49" s="137"/>
      <c r="AD49" s="137"/>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c r="BE49" s="137"/>
      <c r="BF49" s="137"/>
      <c r="BG49" s="137"/>
      <c r="BH49" s="137"/>
      <c r="BI49" s="137"/>
      <c r="BJ49" s="137"/>
      <c r="BK49" s="137"/>
      <c r="BL49" s="137"/>
      <c r="BM49" s="137"/>
      <c r="BN49" s="137"/>
      <c r="BO49" s="137"/>
      <c r="BP49" s="137"/>
      <c r="BQ49" s="137"/>
      <c r="BR49" s="137"/>
      <c r="BS49" s="137"/>
      <c r="BT49" s="137"/>
      <c r="BU49" s="137"/>
      <c r="BV49" s="137"/>
      <c r="BW49" s="137"/>
      <c r="BX49" s="137"/>
      <c r="BY49" s="137"/>
      <c r="BZ49" s="137"/>
      <c r="CA49" s="137"/>
      <c r="CB49" s="137"/>
      <c r="CC49" s="137"/>
      <c r="CD49" s="137"/>
      <c r="CE49" s="137"/>
      <c r="CF49" s="137"/>
      <c r="CG49" s="137"/>
      <c r="CH49" s="137"/>
      <c r="CI49" s="137"/>
      <c r="CJ49" s="137"/>
      <c r="CK49" s="137"/>
      <c r="CL49" s="137"/>
      <c r="CM49" s="137"/>
      <c r="CN49" s="137"/>
      <c r="CO49" s="137"/>
      <c r="CP49" s="137"/>
      <c r="CQ49" s="137"/>
      <c r="CR49" s="137"/>
      <c r="CS49" s="137"/>
      <c r="CT49" s="137"/>
      <c r="CU49" s="137"/>
      <c r="CV49" s="137"/>
      <c r="CW49" s="137"/>
      <c r="CX49" s="137"/>
      <c r="CY49" s="137"/>
      <c r="CZ49" s="137"/>
      <c r="DA49" s="137"/>
      <c r="DB49" s="137"/>
    </row>
    <row r="50" spans="1:106" x14ac:dyDescent="0.25">
      <c r="A50" s="134" t="str">
        <f t="shared" si="1"/>
        <v/>
      </c>
      <c r="B50" s="137"/>
      <c r="C50" s="137"/>
      <c r="D50" s="137"/>
      <c r="E50" s="137"/>
      <c r="F50" s="137"/>
      <c r="G50" s="137"/>
      <c r="H50" s="137"/>
      <c r="I50" s="137"/>
      <c r="J50" s="137"/>
      <c r="K50" s="137"/>
      <c r="L50" s="137"/>
      <c r="M50" s="137"/>
      <c r="N50" s="137"/>
      <c r="O50" s="137" t="str">
        <f t="shared" si="0"/>
        <v xml:space="preserve">FALSE, </v>
      </c>
      <c r="P50" s="137"/>
      <c r="Q50" s="137"/>
      <c r="R50" s="137"/>
      <c r="S50" s="137"/>
      <c r="T50" s="137"/>
      <c r="U50" s="137"/>
      <c r="V50" s="137"/>
      <c r="W50" s="137"/>
      <c r="X50" s="137"/>
      <c r="Y50" s="137"/>
      <c r="Z50" s="137"/>
      <c r="AA50" s="137"/>
      <c r="AB50" s="137"/>
      <c r="AC50" s="137"/>
      <c r="AD50" s="137"/>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c r="BE50" s="137"/>
      <c r="BF50" s="137"/>
      <c r="BG50" s="137"/>
      <c r="BH50" s="137"/>
      <c r="BI50" s="137"/>
      <c r="BJ50" s="137"/>
      <c r="BK50" s="137"/>
      <c r="BL50" s="137"/>
      <c r="BM50" s="137"/>
      <c r="BN50" s="137"/>
      <c r="BO50" s="137"/>
      <c r="BP50" s="137"/>
      <c r="BQ50" s="137"/>
      <c r="BR50" s="137"/>
      <c r="BS50" s="137"/>
      <c r="BT50" s="137"/>
      <c r="BU50" s="137"/>
      <c r="BV50" s="137"/>
      <c r="BW50" s="137"/>
      <c r="BX50" s="137"/>
      <c r="BY50" s="137"/>
      <c r="BZ50" s="137"/>
      <c r="CA50" s="137"/>
      <c r="CB50" s="137"/>
      <c r="CC50" s="137"/>
      <c r="CD50" s="137"/>
      <c r="CE50" s="137"/>
      <c r="CF50" s="137"/>
      <c r="CG50" s="137"/>
      <c r="CH50" s="137"/>
      <c r="CI50" s="137"/>
      <c r="CJ50" s="137"/>
      <c r="CK50" s="137"/>
      <c r="CL50" s="137"/>
      <c r="CM50" s="137"/>
      <c r="CN50" s="137"/>
      <c r="CO50" s="137"/>
      <c r="CP50" s="137"/>
      <c r="CQ50" s="137"/>
      <c r="CR50" s="137"/>
      <c r="CS50" s="137"/>
      <c r="CT50" s="137"/>
      <c r="CU50" s="137"/>
      <c r="CV50" s="137"/>
      <c r="CW50" s="137"/>
      <c r="CX50" s="137"/>
      <c r="CY50" s="137"/>
      <c r="CZ50" s="137"/>
      <c r="DA50" s="137"/>
      <c r="DB50" s="137"/>
    </row>
    <row r="51" spans="1:106" x14ac:dyDescent="0.25">
      <c r="A51" s="134" t="str">
        <f t="shared" si="1"/>
        <v/>
      </c>
      <c r="B51" s="137"/>
      <c r="C51" s="137"/>
      <c r="D51" s="137"/>
      <c r="E51" s="137"/>
      <c r="F51" s="137"/>
      <c r="G51" s="137"/>
      <c r="H51" s="137"/>
      <c r="I51" s="137"/>
      <c r="J51" s="137"/>
      <c r="K51" s="137"/>
      <c r="L51" s="137"/>
      <c r="M51" s="137"/>
      <c r="N51" s="137"/>
      <c r="O51" s="137" t="str">
        <f t="shared" si="0"/>
        <v xml:space="preserve">FALSE, </v>
      </c>
      <c r="P51" s="137"/>
      <c r="Q51" s="137"/>
      <c r="R51" s="137"/>
      <c r="S51" s="137"/>
      <c r="T51" s="137"/>
      <c r="U51" s="137"/>
      <c r="V51" s="137"/>
      <c r="W51" s="137"/>
      <c r="X51" s="137"/>
      <c r="Y51" s="137"/>
      <c r="Z51" s="137"/>
      <c r="AA51" s="137"/>
      <c r="AB51" s="137"/>
      <c r="AC51" s="137"/>
      <c r="AD51" s="137"/>
      <c r="AE51" s="137"/>
      <c r="AF51" s="137"/>
      <c r="AG51" s="137"/>
      <c r="AH51" s="137"/>
      <c r="AI51" s="137"/>
      <c r="AJ51" s="137"/>
      <c r="AK51" s="137"/>
      <c r="AL51" s="137"/>
      <c r="AM51" s="137"/>
      <c r="AN51" s="137"/>
      <c r="AO51" s="137"/>
      <c r="AP51" s="137"/>
      <c r="AQ51" s="137"/>
      <c r="AR51" s="137"/>
      <c r="AS51" s="137"/>
      <c r="AT51" s="137"/>
      <c r="AU51" s="137"/>
      <c r="AV51" s="137"/>
      <c r="AW51" s="137"/>
      <c r="AX51" s="137"/>
      <c r="AY51" s="137"/>
      <c r="AZ51" s="137"/>
      <c r="BA51" s="137"/>
      <c r="BB51" s="137"/>
      <c r="BC51" s="137"/>
      <c r="BD51" s="137"/>
      <c r="BE51" s="137"/>
      <c r="BF51" s="137"/>
      <c r="BG51" s="137"/>
      <c r="BH51" s="137"/>
      <c r="BI51" s="137"/>
      <c r="BJ51" s="137"/>
      <c r="BK51" s="137"/>
      <c r="BL51" s="137"/>
      <c r="BM51" s="137"/>
      <c r="BN51" s="137"/>
      <c r="BO51" s="137"/>
      <c r="BP51" s="137"/>
      <c r="BQ51" s="137"/>
      <c r="BR51" s="137"/>
      <c r="BS51" s="137"/>
      <c r="BT51" s="137"/>
      <c r="BU51" s="137"/>
      <c r="BV51" s="137"/>
      <c r="BW51" s="137"/>
      <c r="BX51" s="137"/>
      <c r="BY51" s="137"/>
      <c r="BZ51" s="137"/>
      <c r="CA51" s="137"/>
      <c r="CB51" s="137"/>
      <c r="CC51" s="137"/>
      <c r="CD51" s="137"/>
      <c r="CE51" s="137"/>
      <c r="CF51" s="137"/>
      <c r="CG51" s="137"/>
      <c r="CH51" s="137"/>
      <c r="CI51" s="137"/>
      <c r="CJ51" s="137"/>
      <c r="CK51" s="137"/>
      <c r="CL51" s="137"/>
      <c r="CM51" s="137"/>
      <c r="CN51" s="137"/>
      <c r="CO51" s="137"/>
      <c r="CP51" s="137"/>
      <c r="CQ51" s="137"/>
      <c r="CR51" s="137"/>
      <c r="CS51" s="137"/>
      <c r="CT51" s="137"/>
      <c r="CU51" s="137"/>
      <c r="CV51" s="137"/>
      <c r="CW51" s="137"/>
      <c r="CX51" s="137"/>
      <c r="CY51" s="137"/>
      <c r="CZ51" s="137"/>
      <c r="DA51" s="137"/>
      <c r="DB51" s="137"/>
    </row>
    <row r="52" spans="1:106" x14ac:dyDescent="0.25">
      <c r="A52" s="134" t="str">
        <f t="shared" si="1"/>
        <v/>
      </c>
      <c r="B52" s="137"/>
      <c r="C52" s="137"/>
      <c r="D52" s="137"/>
      <c r="E52" s="137"/>
      <c r="F52" s="137"/>
      <c r="G52" s="137"/>
      <c r="H52" s="137"/>
      <c r="I52" s="137"/>
      <c r="J52" s="137"/>
      <c r="K52" s="137"/>
      <c r="L52" s="137"/>
      <c r="M52" s="137"/>
      <c r="N52" s="137"/>
      <c r="O52" s="137" t="str">
        <f t="shared" si="0"/>
        <v xml:space="preserve">FALSE, </v>
      </c>
      <c r="P52" s="137"/>
      <c r="Q52" s="137"/>
      <c r="R52" s="137"/>
      <c r="S52" s="137"/>
      <c r="T52" s="137"/>
      <c r="U52" s="137"/>
      <c r="V52" s="137"/>
      <c r="W52" s="137"/>
      <c r="X52" s="137"/>
      <c r="Y52" s="137"/>
      <c r="Z52" s="137"/>
      <c r="AA52" s="137"/>
      <c r="AB52" s="137"/>
      <c r="AC52" s="137"/>
      <c r="AD52" s="137"/>
      <c r="AE52" s="137"/>
      <c r="AF52" s="137"/>
      <c r="AG52" s="137"/>
      <c r="AH52" s="137"/>
      <c r="AI52" s="137"/>
      <c r="AJ52" s="137"/>
      <c r="AK52" s="137"/>
      <c r="AL52" s="137"/>
      <c r="AM52" s="137"/>
      <c r="AN52" s="137"/>
      <c r="AO52" s="137"/>
      <c r="AP52" s="137"/>
      <c r="AQ52" s="137"/>
      <c r="AR52" s="137"/>
      <c r="AS52" s="137"/>
      <c r="AT52" s="137"/>
      <c r="AU52" s="137"/>
      <c r="AV52" s="137"/>
      <c r="AW52" s="137"/>
      <c r="AX52" s="137"/>
      <c r="AY52" s="137"/>
      <c r="AZ52" s="137"/>
      <c r="BA52" s="137"/>
      <c r="BB52" s="137"/>
      <c r="BC52" s="137"/>
      <c r="BD52" s="137"/>
      <c r="BE52" s="137"/>
      <c r="BF52" s="137"/>
      <c r="BG52" s="137"/>
      <c r="BH52" s="137"/>
      <c r="BI52" s="137"/>
      <c r="BJ52" s="137"/>
      <c r="BK52" s="137"/>
      <c r="BL52" s="137"/>
      <c r="BM52" s="137"/>
      <c r="BN52" s="137"/>
      <c r="BO52" s="137"/>
      <c r="BP52" s="137"/>
      <c r="BQ52" s="137"/>
      <c r="BR52" s="137"/>
      <c r="BS52" s="137"/>
      <c r="BT52" s="137"/>
      <c r="BU52" s="137"/>
      <c r="BV52" s="137"/>
      <c r="BW52" s="137"/>
      <c r="BX52" s="137"/>
      <c r="BY52" s="137"/>
      <c r="BZ52" s="137"/>
      <c r="CA52" s="137"/>
      <c r="CB52" s="137"/>
      <c r="CC52" s="137"/>
      <c r="CD52" s="137"/>
      <c r="CE52" s="137"/>
      <c r="CF52" s="137"/>
      <c r="CG52" s="137"/>
      <c r="CH52" s="137"/>
      <c r="CI52" s="137"/>
      <c r="CJ52" s="137"/>
      <c r="CK52" s="137"/>
      <c r="CL52" s="137"/>
      <c r="CM52" s="137"/>
      <c r="CN52" s="137"/>
      <c r="CO52" s="137"/>
      <c r="CP52" s="137"/>
      <c r="CQ52" s="137"/>
      <c r="CR52" s="137"/>
      <c r="CS52" s="137"/>
      <c r="CT52" s="137"/>
      <c r="CU52" s="137"/>
      <c r="CV52" s="137"/>
      <c r="CW52" s="137"/>
      <c r="CX52" s="137"/>
      <c r="CY52" s="137"/>
      <c r="CZ52" s="137"/>
      <c r="DA52" s="137"/>
      <c r="DB52" s="137"/>
    </row>
    <row r="53" spans="1:106" x14ac:dyDescent="0.25">
      <c r="A53" s="134" t="str">
        <f t="shared" si="1"/>
        <v/>
      </c>
      <c r="B53" s="137"/>
      <c r="C53" s="137"/>
      <c r="D53" s="137"/>
      <c r="E53" s="137"/>
      <c r="F53" s="137"/>
      <c r="G53" s="137"/>
      <c r="H53" s="137"/>
      <c r="I53" s="137"/>
      <c r="J53" s="137"/>
      <c r="K53" s="137"/>
      <c r="L53" s="137"/>
      <c r="M53" s="137"/>
      <c r="N53" s="137"/>
      <c r="O53" s="137" t="str">
        <f t="shared" si="0"/>
        <v xml:space="preserve">FALSE, </v>
      </c>
      <c r="P53" s="137"/>
      <c r="Q53" s="137"/>
      <c r="R53" s="137"/>
      <c r="S53" s="137"/>
      <c r="T53" s="137"/>
      <c r="U53" s="137"/>
      <c r="V53" s="137"/>
      <c r="W53" s="137"/>
      <c r="X53" s="137"/>
      <c r="Y53" s="137"/>
      <c r="Z53" s="137"/>
      <c r="AA53" s="137"/>
      <c r="AB53" s="137"/>
      <c r="AC53" s="137"/>
      <c r="AD53" s="137"/>
      <c r="AE53" s="137"/>
      <c r="AF53" s="137"/>
      <c r="AG53" s="137"/>
      <c r="AH53" s="137"/>
      <c r="AI53" s="137"/>
      <c r="AJ53" s="137"/>
      <c r="AK53" s="137"/>
      <c r="AL53" s="137"/>
      <c r="AM53" s="137"/>
      <c r="AN53" s="137"/>
      <c r="AO53" s="137"/>
      <c r="AP53" s="137"/>
      <c r="AQ53" s="137"/>
      <c r="AR53" s="137"/>
      <c r="AS53" s="137"/>
      <c r="AT53" s="137"/>
      <c r="AU53" s="137"/>
      <c r="AV53" s="137"/>
      <c r="AW53" s="137"/>
      <c r="AX53" s="137"/>
      <c r="AY53" s="137"/>
      <c r="AZ53" s="137"/>
      <c r="BA53" s="137"/>
      <c r="BB53" s="137"/>
      <c r="BC53" s="137"/>
      <c r="BD53" s="137"/>
      <c r="BE53" s="137"/>
      <c r="BF53" s="137"/>
      <c r="BG53" s="137"/>
      <c r="BH53" s="137"/>
      <c r="BI53" s="137"/>
      <c r="BJ53" s="137"/>
      <c r="BK53" s="137"/>
      <c r="BL53" s="137"/>
      <c r="BM53" s="137"/>
      <c r="BN53" s="137"/>
      <c r="BO53" s="137"/>
      <c r="BP53" s="137"/>
      <c r="BQ53" s="137"/>
      <c r="BR53" s="137"/>
      <c r="BS53" s="137"/>
      <c r="BT53" s="137"/>
      <c r="BU53" s="137"/>
      <c r="BV53" s="137"/>
      <c r="BW53" s="137"/>
      <c r="BX53" s="137"/>
      <c r="BY53" s="137"/>
      <c r="BZ53" s="137"/>
      <c r="CA53" s="137"/>
      <c r="CB53" s="137"/>
      <c r="CC53" s="137"/>
      <c r="CD53" s="137"/>
      <c r="CE53" s="137"/>
      <c r="CF53" s="137"/>
      <c r="CG53" s="137"/>
      <c r="CH53" s="137"/>
      <c r="CI53" s="137"/>
      <c r="CJ53" s="137"/>
      <c r="CK53" s="137"/>
      <c r="CL53" s="137"/>
      <c r="CM53" s="137"/>
      <c r="CN53" s="137"/>
      <c r="CO53" s="137"/>
      <c r="CP53" s="137"/>
      <c r="CQ53" s="137"/>
      <c r="CR53" s="137"/>
      <c r="CS53" s="137"/>
      <c r="CT53" s="137"/>
      <c r="CU53" s="137"/>
      <c r="CV53" s="137"/>
      <c r="CW53" s="137"/>
      <c r="CX53" s="137"/>
      <c r="CY53" s="137"/>
      <c r="CZ53" s="137"/>
      <c r="DA53" s="137"/>
      <c r="DB53" s="137"/>
    </row>
    <row r="54" spans="1:106" x14ac:dyDescent="0.25">
      <c r="A54" s="134" t="str">
        <f t="shared" si="1"/>
        <v/>
      </c>
      <c r="B54" s="137"/>
      <c r="C54" s="137"/>
      <c r="D54" s="137"/>
      <c r="E54" s="137"/>
      <c r="F54" s="137"/>
      <c r="G54" s="137"/>
      <c r="H54" s="137"/>
      <c r="I54" s="137"/>
      <c r="J54" s="137"/>
      <c r="K54" s="137"/>
      <c r="L54" s="137"/>
      <c r="M54" s="137"/>
      <c r="N54" s="137"/>
      <c r="O54" s="137" t="str">
        <f t="shared" si="0"/>
        <v xml:space="preserve">FALSE, </v>
      </c>
      <c r="P54" s="137"/>
      <c r="Q54" s="137"/>
      <c r="R54" s="137"/>
      <c r="S54" s="137"/>
      <c r="T54" s="137"/>
      <c r="U54" s="137"/>
      <c r="V54" s="137"/>
      <c r="W54" s="137"/>
      <c r="X54" s="137"/>
      <c r="Y54" s="137"/>
      <c r="Z54" s="137"/>
      <c r="AA54" s="137"/>
      <c r="AB54" s="137"/>
      <c r="AC54" s="137"/>
      <c r="AD54" s="137"/>
      <c r="AE54" s="137"/>
      <c r="AF54" s="137"/>
      <c r="AG54" s="137"/>
      <c r="AH54" s="137"/>
      <c r="AI54" s="137"/>
      <c r="AJ54" s="137"/>
      <c r="AK54" s="137"/>
      <c r="AL54" s="137"/>
      <c r="AM54" s="137"/>
      <c r="AN54" s="137"/>
      <c r="AO54" s="137"/>
      <c r="AP54" s="137"/>
      <c r="AQ54" s="137"/>
      <c r="AR54" s="137"/>
      <c r="AS54" s="137"/>
      <c r="AT54" s="137"/>
      <c r="AU54" s="137"/>
      <c r="AV54" s="137"/>
      <c r="AW54" s="137"/>
      <c r="AX54" s="137"/>
      <c r="AY54" s="137"/>
      <c r="AZ54" s="137"/>
      <c r="BA54" s="137"/>
      <c r="BB54" s="137"/>
      <c r="BC54" s="137"/>
      <c r="BD54" s="137"/>
      <c r="BE54" s="137"/>
      <c r="BF54" s="137"/>
      <c r="BG54" s="137"/>
      <c r="BH54" s="137"/>
      <c r="BI54" s="137"/>
      <c r="BJ54" s="137"/>
      <c r="BK54" s="137"/>
      <c r="BL54" s="137"/>
      <c r="BM54" s="137"/>
      <c r="BN54" s="137"/>
      <c r="BO54" s="137"/>
      <c r="BP54" s="137"/>
      <c r="BQ54" s="137"/>
      <c r="BR54" s="137"/>
      <c r="BS54" s="137"/>
      <c r="BT54" s="137"/>
      <c r="BU54" s="137"/>
      <c r="BV54" s="137"/>
      <c r="BW54" s="137"/>
      <c r="BX54" s="137"/>
      <c r="BY54" s="137"/>
      <c r="BZ54" s="137"/>
      <c r="CA54" s="137"/>
      <c r="CB54" s="137"/>
      <c r="CC54" s="137"/>
      <c r="CD54" s="137"/>
      <c r="CE54" s="137"/>
      <c r="CF54" s="137"/>
      <c r="CG54" s="137"/>
      <c r="CH54" s="137"/>
      <c r="CI54" s="137"/>
      <c r="CJ54" s="137"/>
      <c r="CK54" s="137"/>
      <c r="CL54" s="137"/>
      <c r="CM54" s="137"/>
      <c r="CN54" s="137"/>
      <c r="CO54" s="137"/>
      <c r="CP54" s="137"/>
      <c r="CQ54" s="137"/>
      <c r="CR54" s="137"/>
      <c r="CS54" s="137"/>
      <c r="CT54" s="137"/>
      <c r="CU54" s="137"/>
      <c r="CV54" s="137"/>
      <c r="CW54" s="137"/>
      <c r="CX54" s="137"/>
      <c r="CY54" s="137"/>
      <c r="CZ54" s="137"/>
      <c r="DA54" s="137"/>
      <c r="DB54" s="137"/>
    </row>
    <row r="55" spans="1:106" x14ac:dyDescent="0.25">
      <c r="A55" s="134" t="str">
        <f t="shared" si="1"/>
        <v/>
      </c>
      <c r="B55" s="137"/>
      <c r="C55" s="137"/>
      <c r="D55" s="137"/>
      <c r="E55" s="137"/>
      <c r="F55" s="137"/>
      <c r="G55" s="137"/>
      <c r="H55" s="137"/>
      <c r="I55" s="137"/>
      <c r="J55" s="137"/>
      <c r="K55" s="137"/>
      <c r="L55" s="137"/>
      <c r="M55" s="137"/>
      <c r="N55" s="137"/>
      <c r="O55" s="137" t="str">
        <f t="shared" si="0"/>
        <v xml:space="preserve">FALSE, </v>
      </c>
      <c r="P55" s="137"/>
      <c r="Q55" s="137"/>
      <c r="R55" s="137"/>
      <c r="S55" s="137"/>
      <c r="T55" s="137"/>
      <c r="U55" s="137"/>
      <c r="V55" s="137"/>
      <c r="W55" s="137"/>
      <c r="X55" s="137"/>
      <c r="Y55" s="137"/>
      <c r="Z55" s="137"/>
      <c r="AA55" s="137"/>
      <c r="AB55" s="137"/>
      <c r="AC55" s="137"/>
      <c r="AD55" s="137"/>
      <c r="AE55" s="137"/>
      <c r="AF55" s="137"/>
      <c r="AG55" s="137"/>
      <c r="AH55" s="137"/>
      <c r="AI55" s="137"/>
      <c r="AJ55" s="137"/>
      <c r="AK55" s="137"/>
      <c r="AL55" s="137"/>
      <c r="AM55" s="137"/>
      <c r="AN55" s="137"/>
      <c r="AO55" s="137"/>
      <c r="AP55" s="137"/>
      <c r="AQ55" s="137"/>
      <c r="AR55" s="137"/>
      <c r="AS55" s="137"/>
      <c r="AT55" s="137"/>
      <c r="AU55" s="137"/>
      <c r="AV55" s="137"/>
      <c r="AW55" s="137"/>
      <c r="AX55" s="137"/>
      <c r="AY55" s="137"/>
      <c r="AZ55" s="137"/>
      <c r="BA55" s="137"/>
      <c r="BB55" s="137"/>
      <c r="BC55" s="137"/>
      <c r="BD55" s="137"/>
      <c r="BE55" s="137"/>
      <c r="BF55" s="137"/>
      <c r="BG55" s="137"/>
      <c r="BH55" s="137"/>
      <c r="BI55" s="137"/>
      <c r="BJ55" s="137"/>
      <c r="BK55" s="137"/>
      <c r="BL55" s="137"/>
      <c r="BM55" s="137"/>
      <c r="BN55" s="137"/>
      <c r="BO55" s="137"/>
      <c r="BP55" s="137"/>
      <c r="BQ55" s="137"/>
      <c r="BR55" s="137"/>
      <c r="BS55" s="137"/>
      <c r="BT55" s="137"/>
      <c r="BU55" s="137"/>
      <c r="BV55" s="137"/>
      <c r="BW55" s="137"/>
      <c r="BX55" s="137"/>
      <c r="BY55" s="137"/>
      <c r="BZ55" s="137"/>
      <c r="CA55" s="137"/>
      <c r="CB55" s="137"/>
      <c r="CC55" s="137"/>
      <c r="CD55" s="137"/>
      <c r="CE55" s="137"/>
      <c r="CF55" s="137"/>
      <c r="CG55" s="137"/>
      <c r="CH55" s="137"/>
      <c r="CI55" s="137"/>
      <c r="CJ55" s="137"/>
      <c r="CK55" s="137"/>
      <c r="CL55" s="137"/>
      <c r="CM55" s="137"/>
      <c r="CN55" s="137"/>
      <c r="CO55" s="137"/>
      <c r="CP55" s="137"/>
      <c r="CQ55" s="137"/>
      <c r="CR55" s="137"/>
      <c r="CS55" s="137"/>
      <c r="CT55" s="137"/>
      <c r="CU55" s="137"/>
      <c r="CV55" s="137"/>
      <c r="CW55" s="137"/>
      <c r="CX55" s="137"/>
      <c r="CY55" s="137"/>
      <c r="CZ55" s="137"/>
      <c r="DA55" s="137"/>
      <c r="DB55" s="137"/>
    </row>
    <row r="56" spans="1:106" x14ac:dyDescent="0.25">
      <c r="A56" s="134" t="str">
        <f t="shared" si="1"/>
        <v/>
      </c>
      <c r="B56" s="137"/>
      <c r="C56" s="137"/>
      <c r="D56" s="137"/>
      <c r="E56" s="137"/>
      <c r="F56" s="137"/>
      <c r="G56" s="137"/>
      <c r="H56" s="137"/>
      <c r="I56" s="137"/>
      <c r="J56" s="137"/>
      <c r="K56" s="137"/>
      <c r="L56" s="137"/>
      <c r="M56" s="137"/>
      <c r="N56" s="137"/>
      <c r="O56" s="137" t="str">
        <f t="shared" si="0"/>
        <v xml:space="preserve">FALSE, </v>
      </c>
      <c r="P56" s="137"/>
      <c r="Q56" s="137"/>
      <c r="R56" s="137"/>
      <c r="S56" s="137"/>
      <c r="T56" s="137"/>
      <c r="U56" s="137"/>
      <c r="V56" s="137"/>
      <c r="W56" s="137"/>
      <c r="X56" s="137"/>
      <c r="Y56" s="137"/>
      <c r="Z56" s="137"/>
      <c r="AA56" s="137"/>
      <c r="AB56" s="137"/>
      <c r="AC56" s="137"/>
      <c r="AD56" s="137"/>
      <c r="AE56" s="137"/>
      <c r="AF56" s="137"/>
      <c r="AG56" s="137"/>
      <c r="AH56" s="137"/>
      <c r="AI56" s="137"/>
      <c r="AJ56" s="137"/>
      <c r="AK56" s="137"/>
      <c r="AL56" s="137"/>
      <c r="AM56" s="137"/>
      <c r="AN56" s="137"/>
      <c r="AO56" s="137"/>
      <c r="AP56" s="137"/>
      <c r="AQ56" s="137"/>
      <c r="AR56" s="137"/>
      <c r="AS56" s="137"/>
      <c r="AT56" s="137"/>
      <c r="AU56" s="137"/>
      <c r="AV56" s="137"/>
      <c r="AW56" s="137"/>
      <c r="AX56" s="137"/>
      <c r="AY56" s="137"/>
      <c r="AZ56" s="137"/>
      <c r="BA56" s="137"/>
      <c r="BB56" s="137"/>
      <c r="BC56" s="137"/>
      <c r="BD56" s="137"/>
      <c r="BE56" s="137"/>
      <c r="BF56" s="137"/>
      <c r="BG56" s="137"/>
      <c r="BH56" s="137"/>
      <c r="BI56" s="137"/>
      <c r="BJ56" s="137"/>
      <c r="BK56" s="137"/>
      <c r="BL56" s="137"/>
      <c r="BM56" s="137"/>
      <c r="BN56" s="137"/>
      <c r="BO56" s="137"/>
      <c r="BP56" s="137"/>
      <c r="BQ56" s="137"/>
      <c r="BR56" s="137"/>
      <c r="BS56" s="137"/>
      <c r="BT56" s="137"/>
      <c r="BU56" s="137"/>
      <c r="BV56" s="137"/>
      <c r="BW56" s="137"/>
      <c r="BX56" s="137"/>
      <c r="BY56" s="137"/>
      <c r="BZ56" s="137"/>
      <c r="CA56" s="137"/>
      <c r="CB56" s="137"/>
      <c r="CC56" s="137"/>
      <c r="CD56" s="137"/>
      <c r="CE56" s="137"/>
      <c r="CF56" s="137"/>
      <c r="CG56" s="137"/>
      <c r="CH56" s="137"/>
      <c r="CI56" s="137"/>
      <c r="CJ56" s="137"/>
      <c r="CK56" s="137"/>
      <c r="CL56" s="137"/>
      <c r="CM56" s="137"/>
      <c r="CN56" s="137"/>
      <c r="CO56" s="137"/>
      <c r="CP56" s="137"/>
      <c r="CQ56" s="137"/>
      <c r="CR56" s="137"/>
      <c r="CS56" s="137"/>
      <c r="CT56" s="137"/>
      <c r="CU56" s="137"/>
      <c r="CV56" s="137"/>
      <c r="CW56" s="137"/>
      <c r="CX56" s="137"/>
      <c r="CY56" s="137"/>
      <c r="CZ56" s="137"/>
      <c r="DA56" s="137"/>
      <c r="DB56" s="137"/>
    </row>
    <row r="57" spans="1:106" x14ac:dyDescent="0.25">
      <c r="A57" s="134" t="str">
        <f t="shared" si="1"/>
        <v/>
      </c>
      <c r="B57" s="137"/>
      <c r="C57" s="137"/>
      <c r="D57" s="137"/>
      <c r="E57" s="137"/>
      <c r="F57" s="137"/>
      <c r="G57" s="137"/>
      <c r="H57" s="137"/>
      <c r="I57" s="137"/>
      <c r="J57" s="137"/>
      <c r="K57" s="137"/>
      <c r="L57" s="137"/>
      <c r="M57" s="137"/>
      <c r="N57" s="137"/>
      <c r="O57" s="137" t="str">
        <f t="shared" si="0"/>
        <v xml:space="preserve">FALSE, </v>
      </c>
      <c r="P57" s="137"/>
      <c r="Q57" s="137"/>
      <c r="R57" s="137"/>
      <c r="S57" s="137"/>
      <c r="T57" s="137"/>
      <c r="U57" s="137"/>
      <c r="V57" s="137"/>
      <c r="W57" s="137"/>
      <c r="X57" s="137"/>
      <c r="Y57" s="137"/>
      <c r="Z57" s="137"/>
      <c r="AA57" s="137"/>
      <c r="AB57" s="137"/>
      <c r="AC57" s="137"/>
      <c r="AD57" s="137"/>
      <c r="AE57" s="137"/>
      <c r="AF57" s="137"/>
      <c r="AG57" s="137"/>
      <c r="AH57" s="137"/>
      <c r="AI57" s="137"/>
      <c r="AJ57" s="137"/>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137"/>
      <c r="BG57" s="137"/>
      <c r="BH57" s="137"/>
      <c r="BI57" s="137"/>
      <c r="BJ57" s="137"/>
      <c r="BK57" s="137"/>
      <c r="BL57" s="137"/>
      <c r="BM57" s="137"/>
      <c r="BN57" s="137"/>
      <c r="BO57" s="137"/>
      <c r="BP57" s="137"/>
      <c r="BQ57" s="137"/>
      <c r="BR57" s="137"/>
      <c r="BS57" s="137"/>
      <c r="BT57" s="137"/>
      <c r="BU57" s="137"/>
      <c r="BV57" s="137"/>
      <c r="BW57" s="137"/>
      <c r="BX57" s="137"/>
      <c r="BY57" s="137"/>
      <c r="BZ57" s="137"/>
      <c r="CA57" s="137"/>
      <c r="CB57" s="137"/>
      <c r="CC57" s="137"/>
      <c r="CD57" s="137"/>
      <c r="CE57" s="137"/>
      <c r="CF57" s="137"/>
      <c r="CG57" s="137"/>
      <c r="CH57" s="137"/>
      <c r="CI57" s="137"/>
      <c r="CJ57" s="137"/>
      <c r="CK57" s="137"/>
      <c r="CL57" s="137"/>
      <c r="CM57" s="137"/>
      <c r="CN57" s="137"/>
      <c r="CO57" s="137"/>
      <c r="CP57" s="137"/>
      <c r="CQ57" s="137"/>
      <c r="CR57" s="137"/>
      <c r="CS57" s="137"/>
      <c r="CT57" s="137"/>
      <c r="CU57" s="137"/>
      <c r="CV57" s="137"/>
      <c r="CW57" s="137"/>
      <c r="CX57" s="137"/>
      <c r="CY57" s="137"/>
      <c r="CZ57" s="137"/>
      <c r="DA57" s="137"/>
      <c r="DB57" s="137"/>
    </row>
    <row r="58" spans="1:106" x14ac:dyDescent="0.25">
      <c r="A58" s="134" t="str">
        <f t="shared" si="1"/>
        <v/>
      </c>
      <c r="B58" s="137"/>
      <c r="C58" s="137"/>
      <c r="D58" s="137"/>
      <c r="E58" s="137"/>
      <c r="F58" s="137"/>
      <c r="G58" s="137"/>
      <c r="H58" s="137"/>
      <c r="I58" s="137"/>
      <c r="J58" s="137"/>
      <c r="K58" s="137"/>
      <c r="L58" s="137"/>
      <c r="M58" s="137"/>
      <c r="N58" s="137"/>
      <c r="O58" s="137" t="str">
        <f t="shared" si="0"/>
        <v xml:space="preserve">FALSE, </v>
      </c>
      <c r="P58" s="137"/>
      <c r="Q58" s="137"/>
      <c r="R58" s="137"/>
      <c r="S58" s="137"/>
      <c r="T58" s="137"/>
      <c r="U58" s="137"/>
      <c r="V58" s="137"/>
      <c r="W58" s="137"/>
      <c r="X58" s="137"/>
      <c r="Y58" s="137"/>
      <c r="Z58" s="137"/>
      <c r="AA58" s="137"/>
      <c r="AB58" s="137"/>
      <c r="AC58" s="137"/>
      <c r="AD58" s="137"/>
      <c r="AE58" s="137"/>
      <c r="AF58" s="137"/>
      <c r="AG58" s="137"/>
      <c r="AH58" s="137"/>
      <c r="AI58" s="137"/>
      <c r="AJ58" s="137"/>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137"/>
      <c r="BG58" s="137"/>
      <c r="BH58" s="137"/>
      <c r="BI58" s="137"/>
      <c r="BJ58" s="137"/>
      <c r="BK58" s="137"/>
      <c r="BL58" s="137"/>
      <c r="BM58" s="137"/>
      <c r="BN58" s="137"/>
      <c r="BO58" s="137"/>
      <c r="BP58" s="137"/>
      <c r="BQ58" s="137"/>
      <c r="BR58" s="137"/>
      <c r="BS58" s="137"/>
      <c r="BT58" s="137"/>
      <c r="BU58" s="137"/>
      <c r="BV58" s="137"/>
      <c r="BW58" s="137"/>
      <c r="BX58" s="137"/>
      <c r="BY58" s="137"/>
      <c r="BZ58" s="137"/>
      <c r="CA58" s="137"/>
      <c r="CB58" s="137"/>
      <c r="CC58" s="137"/>
      <c r="CD58" s="137"/>
      <c r="CE58" s="137"/>
      <c r="CF58" s="137"/>
      <c r="CG58" s="137"/>
      <c r="CH58" s="137"/>
      <c r="CI58" s="137"/>
      <c r="CJ58" s="137"/>
      <c r="CK58" s="137"/>
      <c r="CL58" s="137"/>
      <c r="CM58" s="137"/>
      <c r="CN58" s="137"/>
      <c r="CO58" s="137"/>
      <c r="CP58" s="137"/>
      <c r="CQ58" s="137"/>
      <c r="CR58" s="137"/>
      <c r="CS58" s="137"/>
      <c r="CT58" s="137"/>
      <c r="CU58" s="137"/>
      <c r="CV58" s="137"/>
      <c r="CW58" s="137"/>
      <c r="CX58" s="137"/>
      <c r="CY58" s="137"/>
      <c r="CZ58" s="137"/>
      <c r="DA58" s="137"/>
      <c r="DB58" s="137"/>
    </row>
    <row r="59" spans="1:106" x14ac:dyDescent="0.25">
      <c r="A59" s="134" t="str">
        <f t="shared" si="1"/>
        <v/>
      </c>
      <c r="B59" s="137"/>
      <c r="C59" s="137"/>
      <c r="D59" s="137"/>
      <c r="E59" s="137"/>
      <c r="F59" s="137"/>
      <c r="G59" s="137"/>
      <c r="H59" s="137"/>
      <c r="I59" s="137"/>
      <c r="J59" s="137"/>
      <c r="K59" s="137"/>
      <c r="L59" s="137"/>
      <c r="M59" s="137"/>
      <c r="N59" s="137"/>
      <c r="O59" s="137" t="str">
        <f t="shared" si="0"/>
        <v xml:space="preserve">FALSE, </v>
      </c>
      <c r="P59" s="137"/>
      <c r="Q59" s="137"/>
      <c r="R59" s="137"/>
      <c r="S59" s="137"/>
      <c r="T59" s="137"/>
      <c r="U59" s="137"/>
      <c r="V59" s="137"/>
      <c r="W59" s="137"/>
      <c r="X59" s="137"/>
      <c r="Y59" s="137"/>
      <c r="Z59" s="137"/>
      <c r="AA59" s="137"/>
      <c r="AB59" s="137"/>
      <c r="AC59" s="137"/>
      <c r="AD59" s="137"/>
      <c r="AE59" s="137"/>
      <c r="AF59" s="137"/>
      <c r="AG59" s="137"/>
      <c r="AH59" s="137"/>
      <c r="AI59" s="137"/>
      <c r="AJ59" s="137"/>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137"/>
      <c r="BG59" s="137"/>
      <c r="BH59" s="137"/>
      <c r="BI59" s="137"/>
      <c r="BJ59" s="137"/>
      <c r="BK59" s="137"/>
      <c r="BL59" s="137"/>
      <c r="BM59" s="137"/>
      <c r="BN59" s="137"/>
      <c r="BO59" s="137"/>
      <c r="BP59" s="137"/>
      <c r="BQ59" s="137"/>
      <c r="BR59" s="137"/>
      <c r="BS59" s="137"/>
      <c r="BT59" s="137"/>
      <c r="BU59" s="137"/>
      <c r="BV59" s="137"/>
      <c r="BW59" s="137"/>
      <c r="BX59" s="137"/>
      <c r="BY59" s="137"/>
      <c r="BZ59" s="137"/>
      <c r="CA59" s="137"/>
      <c r="CB59" s="137"/>
      <c r="CC59" s="137"/>
      <c r="CD59" s="137"/>
      <c r="CE59" s="137"/>
      <c r="CF59" s="137"/>
      <c r="CG59" s="137"/>
      <c r="CH59" s="137"/>
      <c r="CI59" s="137"/>
      <c r="CJ59" s="137"/>
      <c r="CK59" s="137"/>
      <c r="CL59" s="137"/>
      <c r="CM59" s="137"/>
      <c r="CN59" s="137"/>
      <c r="CO59" s="137"/>
      <c r="CP59" s="137"/>
      <c r="CQ59" s="137"/>
      <c r="CR59" s="137"/>
      <c r="CS59" s="137"/>
      <c r="CT59" s="137"/>
      <c r="CU59" s="137"/>
      <c r="CV59" s="137"/>
      <c r="CW59" s="137"/>
      <c r="CX59" s="137"/>
      <c r="CY59" s="137"/>
      <c r="CZ59" s="137"/>
      <c r="DA59" s="137"/>
      <c r="DB59" s="137"/>
    </row>
    <row r="60" spans="1:106" x14ac:dyDescent="0.25">
      <c r="A60" s="134" t="str">
        <f t="shared" si="1"/>
        <v/>
      </c>
      <c r="B60" s="137"/>
      <c r="C60" s="137"/>
      <c r="D60" s="137"/>
      <c r="E60" s="137"/>
      <c r="F60" s="137"/>
      <c r="G60" s="137"/>
      <c r="H60" s="137"/>
      <c r="I60" s="137"/>
      <c r="J60" s="137"/>
      <c r="K60" s="137"/>
      <c r="L60" s="137"/>
      <c r="M60" s="137"/>
      <c r="N60" s="137"/>
      <c r="O60" s="137" t="str">
        <f t="shared" si="0"/>
        <v xml:space="preserve">FALSE, </v>
      </c>
      <c r="P60" s="137"/>
      <c r="Q60" s="137"/>
      <c r="R60" s="137"/>
      <c r="S60" s="137"/>
      <c r="T60" s="137"/>
      <c r="U60" s="137"/>
      <c r="V60" s="137"/>
      <c r="W60" s="137"/>
      <c r="X60" s="137"/>
      <c r="Y60" s="137"/>
      <c r="Z60" s="137"/>
      <c r="AA60" s="137"/>
      <c r="AB60" s="137"/>
      <c r="AC60" s="137"/>
      <c r="AD60" s="137"/>
      <c r="AE60" s="137"/>
      <c r="AF60" s="137"/>
      <c r="AG60" s="137"/>
      <c r="AH60" s="137"/>
      <c r="AI60" s="137"/>
      <c r="AJ60" s="137"/>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137"/>
      <c r="BG60" s="137"/>
      <c r="BH60" s="137"/>
      <c r="BI60" s="137"/>
      <c r="BJ60" s="137"/>
      <c r="BK60" s="137"/>
      <c r="BL60" s="137"/>
      <c r="BM60" s="137"/>
      <c r="BN60" s="137"/>
      <c r="BO60" s="137"/>
      <c r="BP60" s="137"/>
      <c r="BQ60" s="137"/>
      <c r="BR60" s="137"/>
      <c r="BS60" s="137"/>
      <c r="BT60" s="137"/>
      <c r="BU60" s="137"/>
      <c r="BV60" s="137"/>
      <c r="BW60" s="137"/>
      <c r="BX60" s="137"/>
      <c r="BY60" s="137"/>
      <c r="BZ60" s="137"/>
      <c r="CA60" s="137"/>
      <c r="CB60" s="137"/>
      <c r="CC60" s="137"/>
      <c r="CD60" s="137"/>
      <c r="CE60" s="137"/>
      <c r="CF60" s="137"/>
      <c r="CG60" s="137"/>
      <c r="CH60" s="137"/>
      <c r="CI60" s="137"/>
      <c r="CJ60" s="137"/>
      <c r="CK60" s="137"/>
      <c r="CL60" s="137"/>
      <c r="CM60" s="137"/>
      <c r="CN60" s="137"/>
      <c r="CO60" s="137"/>
      <c r="CP60" s="137"/>
      <c r="CQ60" s="137"/>
      <c r="CR60" s="137"/>
      <c r="CS60" s="137"/>
      <c r="CT60" s="137"/>
      <c r="CU60" s="137"/>
      <c r="CV60" s="137"/>
      <c r="CW60" s="137"/>
      <c r="CX60" s="137"/>
      <c r="CY60" s="137"/>
      <c r="CZ60" s="137"/>
      <c r="DA60" s="137"/>
      <c r="DB60" s="137"/>
    </row>
    <row r="61" spans="1:106" x14ac:dyDescent="0.25">
      <c r="A61" s="134" t="str">
        <f t="shared" si="1"/>
        <v/>
      </c>
      <c r="B61" s="137"/>
      <c r="C61" s="137"/>
      <c r="D61" s="137"/>
      <c r="E61" s="137"/>
      <c r="F61" s="137"/>
      <c r="G61" s="137"/>
      <c r="H61" s="137"/>
      <c r="I61" s="137"/>
      <c r="J61" s="137"/>
      <c r="K61" s="137"/>
      <c r="L61" s="137"/>
      <c r="M61" s="137"/>
      <c r="N61" s="137"/>
      <c r="O61" s="137" t="str">
        <f t="shared" si="0"/>
        <v xml:space="preserve">FALSE, </v>
      </c>
      <c r="P61" s="137"/>
      <c r="Q61" s="137"/>
      <c r="R61" s="137"/>
      <c r="S61" s="137"/>
      <c r="T61" s="137"/>
      <c r="U61" s="137"/>
      <c r="V61" s="137"/>
      <c r="W61" s="137"/>
      <c r="X61" s="137"/>
      <c r="Y61" s="137"/>
      <c r="Z61" s="137"/>
      <c r="AA61" s="137"/>
      <c r="AB61" s="137"/>
      <c r="AC61" s="137"/>
      <c r="AD61" s="137"/>
      <c r="AE61" s="137"/>
      <c r="AF61" s="137"/>
      <c r="AG61" s="137"/>
      <c r="AH61" s="137"/>
      <c r="AI61" s="137"/>
      <c r="AJ61" s="137"/>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137"/>
      <c r="BG61" s="137"/>
      <c r="BH61" s="137"/>
      <c r="BI61" s="137"/>
      <c r="BJ61" s="137"/>
      <c r="BK61" s="137"/>
      <c r="BL61" s="137"/>
      <c r="BM61" s="137"/>
      <c r="BN61" s="137"/>
      <c r="BO61" s="137"/>
      <c r="BP61" s="137"/>
      <c r="BQ61" s="137"/>
      <c r="BR61" s="137"/>
      <c r="BS61" s="137"/>
      <c r="BT61" s="137"/>
      <c r="BU61" s="137"/>
      <c r="BV61" s="137"/>
      <c r="BW61" s="137"/>
      <c r="BX61" s="137"/>
      <c r="BY61" s="137"/>
      <c r="BZ61" s="137"/>
      <c r="CA61" s="137"/>
      <c r="CB61" s="137"/>
      <c r="CC61" s="137"/>
      <c r="CD61" s="137"/>
      <c r="CE61" s="137"/>
      <c r="CF61" s="137"/>
      <c r="CG61" s="137"/>
      <c r="CH61" s="137"/>
      <c r="CI61" s="137"/>
      <c r="CJ61" s="137"/>
      <c r="CK61" s="137"/>
      <c r="CL61" s="137"/>
      <c r="CM61" s="137"/>
      <c r="CN61" s="137"/>
      <c r="CO61" s="137"/>
      <c r="CP61" s="137"/>
      <c r="CQ61" s="137"/>
      <c r="CR61" s="137"/>
      <c r="CS61" s="137"/>
      <c r="CT61" s="137"/>
      <c r="CU61" s="137"/>
      <c r="CV61" s="137"/>
      <c r="CW61" s="137"/>
      <c r="CX61" s="137"/>
      <c r="CY61" s="137"/>
      <c r="CZ61" s="137"/>
      <c r="DA61" s="137"/>
      <c r="DB61" s="137"/>
    </row>
    <row r="62" spans="1:106" x14ac:dyDescent="0.25">
      <c r="A62" s="134" t="str">
        <f t="shared" si="1"/>
        <v/>
      </c>
      <c r="B62" s="137"/>
      <c r="C62" s="137"/>
      <c r="D62" s="137"/>
      <c r="E62" s="137"/>
      <c r="F62" s="137"/>
      <c r="G62" s="137"/>
      <c r="H62" s="137"/>
      <c r="I62" s="137"/>
      <c r="J62" s="137"/>
      <c r="K62" s="137"/>
      <c r="L62" s="137"/>
      <c r="M62" s="137"/>
      <c r="N62" s="137"/>
      <c r="O62" s="137" t="str">
        <f t="shared" si="0"/>
        <v xml:space="preserve">FALSE, </v>
      </c>
      <c r="P62" s="137"/>
      <c r="Q62" s="137"/>
      <c r="R62" s="137"/>
      <c r="S62" s="137"/>
      <c r="T62" s="137"/>
      <c r="U62" s="137"/>
      <c r="V62" s="137"/>
      <c r="W62" s="137"/>
      <c r="X62" s="137"/>
      <c r="Y62" s="137"/>
      <c r="Z62" s="137"/>
      <c r="AA62" s="137"/>
      <c r="AB62" s="137"/>
      <c r="AC62" s="137"/>
      <c r="AD62" s="137"/>
      <c r="AE62" s="137"/>
      <c r="AF62" s="137"/>
      <c r="AG62" s="137"/>
      <c r="AH62" s="137"/>
      <c r="AI62" s="137"/>
      <c r="AJ62" s="137"/>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137"/>
      <c r="BG62" s="137"/>
      <c r="BH62" s="137"/>
      <c r="BI62" s="137"/>
      <c r="BJ62" s="137"/>
      <c r="BK62" s="137"/>
      <c r="BL62" s="137"/>
      <c r="BM62" s="137"/>
      <c r="BN62" s="137"/>
      <c r="BO62" s="137"/>
      <c r="BP62" s="137"/>
      <c r="BQ62" s="137"/>
      <c r="BR62" s="137"/>
      <c r="BS62" s="137"/>
      <c r="BT62" s="137"/>
      <c r="BU62" s="137"/>
      <c r="BV62" s="137"/>
      <c r="BW62" s="137"/>
      <c r="BX62" s="137"/>
      <c r="BY62" s="137"/>
      <c r="BZ62" s="137"/>
      <c r="CA62" s="137"/>
      <c r="CB62" s="137"/>
      <c r="CC62" s="137"/>
      <c r="CD62" s="137"/>
      <c r="CE62" s="137"/>
      <c r="CF62" s="137"/>
      <c r="CG62" s="137"/>
      <c r="CH62" s="137"/>
      <c r="CI62" s="137"/>
      <c r="CJ62" s="137"/>
      <c r="CK62" s="137"/>
      <c r="CL62" s="137"/>
      <c r="CM62" s="137"/>
      <c r="CN62" s="137"/>
      <c r="CO62" s="137"/>
      <c r="CP62" s="137"/>
      <c r="CQ62" s="137"/>
      <c r="CR62" s="137"/>
      <c r="CS62" s="137"/>
      <c r="CT62" s="137"/>
      <c r="CU62" s="137"/>
      <c r="CV62" s="137"/>
      <c r="CW62" s="137"/>
      <c r="CX62" s="137"/>
      <c r="CY62" s="137"/>
      <c r="CZ62" s="137"/>
      <c r="DA62" s="137"/>
      <c r="DB62" s="137"/>
    </row>
    <row r="63" spans="1:106" x14ac:dyDescent="0.25">
      <c r="A63" s="134" t="str">
        <f t="shared" si="1"/>
        <v/>
      </c>
      <c r="B63" s="137"/>
      <c r="C63" s="137"/>
      <c r="D63" s="137"/>
      <c r="E63" s="137"/>
      <c r="F63" s="137"/>
      <c r="G63" s="137"/>
      <c r="H63" s="137"/>
      <c r="I63" s="137"/>
      <c r="J63" s="137"/>
      <c r="K63" s="137"/>
      <c r="L63" s="137"/>
      <c r="M63" s="137"/>
      <c r="N63" s="137"/>
      <c r="O63" s="137" t="str">
        <f t="shared" si="0"/>
        <v xml:space="preserve">FALSE, </v>
      </c>
      <c r="P63" s="137"/>
      <c r="Q63" s="137"/>
      <c r="R63" s="137"/>
      <c r="S63" s="137"/>
      <c r="T63" s="137"/>
      <c r="U63" s="137"/>
      <c r="V63" s="137"/>
      <c r="W63" s="137"/>
      <c r="X63" s="137"/>
      <c r="Y63" s="137"/>
      <c r="Z63" s="137"/>
      <c r="AA63" s="137"/>
      <c r="AB63" s="137"/>
      <c r="AC63" s="137"/>
      <c r="AD63" s="137"/>
      <c r="AE63" s="137"/>
      <c r="AF63" s="137"/>
      <c r="AG63" s="137"/>
      <c r="AH63" s="137"/>
      <c r="AI63" s="137"/>
      <c r="AJ63" s="137"/>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137"/>
      <c r="BG63" s="137"/>
      <c r="BH63" s="137"/>
      <c r="BI63" s="137"/>
      <c r="BJ63" s="137"/>
      <c r="BK63" s="137"/>
      <c r="BL63" s="137"/>
      <c r="BM63" s="137"/>
      <c r="BN63" s="137"/>
      <c r="BO63" s="137"/>
      <c r="BP63" s="137"/>
      <c r="BQ63" s="137"/>
      <c r="BR63" s="137"/>
      <c r="BS63" s="137"/>
      <c r="BT63" s="137"/>
      <c r="BU63" s="137"/>
      <c r="BV63" s="137"/>
      <c r="BW63" s="137"/>
      <c r="BX63" s="137"/>
      <c r="BY63" s="137"/>
      <c r="BZ63" s="137"/>
      <c r="CA63" s="137"/>
      <c r="CB63" s="137"/>
      <c r="CC63" s="137"/>
      <c r="CD63" s="137"/>
      <c r="CE63" s="137"/>
      <c r="CF63" s="137"/>
      <c r="CG63" s="137"/>
      <c r="CH63" s="137"/>
      <c r="CI63" s="137"/>
      <c r="CJ63" s="137"/>
      <c r="CK63" s="137"/>
      <c r="CL63" s="137"/>
      <c r="CM63" s="137"/>
      <c r="CN63" s="137"/>
      <c r="CO63" s="137"/>
      <c r="CP63" s="137"/>
      <c r="CQ63" s="137"/>
      <c r="CR63" s="137"/>
      <c r="CS63" s="137"/>
      <c r="CT63" s="137"/>
      <c r="CU63" s="137"/>
      <c r="CV63" s="137"/>
      <c r="CW63" s="137"/>
      <c r="CX63" s="137"/>
      <c r="CY63" s="137"/>
      <c r="CZ63" s="137"/>
      <c r="DA63" s="137"/>
      <c r="DB63" s="137"/>
    </row>
    <row r="64" spans="1:106" x14ac:dyDescent="0.25">
      <c r="A64" s="134" t="str">
        <f t="shared" si="1"/>
        <v/>
      </c>
      <c r="B64" s="137"/>
      <c r="C64" s="137"/>
      <c r="D64" s="137"/>
      <c r="E64" s="137"/>
      <c r="F64" s="137"/>
      <c r="G64" s="137"/>
      <c r="H64" s="137"/>
      <c r="I64" s="137"/>
      <c r="J64" s="137"/>
      <c r="K64" s="137"/>
      <c r="L64" s="137"/>
      <c r="M64" s="137"/>
      <c r="N64" s="137"/>
      <c r="O64" s="137" t="str">
        <f t="shared" si="0"/>
        <v xml:space="preserve">FALSE, </v>
      </c>
      <c r="P64" s="137"/>
      <c r="Q64" s="137"/>
      <c r="R64" s="137"/>
      <c r="S64" s="137"/>
      <c r="T64" s="137"/>
      <c r="U64" s="137"/>
      <c r="V64" s="137"/>
      <c r="W64" s="137"/>
      <c r="X64" s="137"/>
      <c r="Y64" s="137"/>
      <c r="Z64" s="137"/>
      <c r="AA64" s="137"/>
      <c r="AB64" s="137"/>
      <c r="AC64" s="137"/>
      <c r="AD64" s="137"/>
      <c r="AE64" s="137"/>
      <c r="AF64" s="137"/>
      <c r="AG64" s="137"/>
      <c r="AH64" s="137"/>
      <c r="AI64" s="137"/>
      <c r="AJ64" s="137"/>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137"/>
      <c r="BG64" s="137"/>
      <c r="BH64" s="137"/>
      <c r="BI64" s="137"/>
      <c r="BJ64" s="137"/>
      <c r="BK64" s="137"/>
      <c r="BL64" s="137"/>
      <c r="BM64" s="137"/>
      <c r="BN64" s="137"/>
      <c r="BO64" s="137"/>
      <c r="BP64" s="137"/>
      <c r="BQ64" s="137"/>
      <c r="BR64" s="137"/>
      <c r="BS64" s="137"/>
      <c r="BT64" s="137"/>
      <c r="BU64" s="137"/>
      <c r="BV64" s="137"/>
      <c r="BW64" s="137"/>
      <c r="BX64" s="137"/>
      <c r="BY64" s="137"/>
      <c r="BZ64" s="137"/>
      <c r="CA64" s="137"/>
      <c r="CB64" s="137"/>
      <c r="CC64" s="137"/>
      <c r="CD64" s="137"/>
      <c r="CE64" s="137"/>
      <c r="CF64" s="137"/>
      <c r="CG64" s="137"/>
      <c r="CH64" s="137"/>
      <c r="CI64" s="137"/>
      <c r="CJ64" s="137"/>
      <c r="CK64" s="137"/>
      <c r="CL64" s="137"/>
      <c r="CM64" s="137"/>
      <c r="CN64" s="137"/>
      <c r="CO64" s="137"/>
      <c r="CP64" s="137"/>
      <c r="CQ64" s="137"/>
      <c r="CR64" s="137"/>
      <c r="CS64" s="137"/>
      <c r="CT64" s="137"/>
      <c r="CU64" s="137"/>
      <c r="CV64" s="137"/>
      <c r="CW64" s="137"/>
      <c r="CX64" s="137"/>
      <c r="CY64" s="137"/>
      <c r="CZ64" s="137"/>
      <c r="DA64" s="137"/>
      <c r="DB64" s="137"/>
    </row>
    <row r="65" spans="1:106" x14ac:dyDescent="0.25">
      <c r="A65" s="134" t="str">
        <f t="shared" si="1"/>
        <v/>
      </c>
      <c r="B65" s="137"/>
      <c r="C65" s="137"/>
      <c r="D65" s="137"/>
      <c r="E65" s="137"/>
      <c r="F65" s="137"/>
      <c r="G65" s="137"/>
      <c r="H65" s="137"/>
      <c r="I65" s="137"/>
      <c r="J65" s="137"/>
      <c r="K65" s="137"/>
      <c r="L65" s="137"/>
      <c r="M65" s="137"/>
      <c r="N65" s="137"/>
      <c r="O65" s="137" t="str">
        <f t="shared" si="0"/>
        <v xml:space="preserve">FALSE, </v>
      </c>
      <c r="P65" s="137"/>
      <c r="Q65" s="137"/>
      <c r="R65" s="137"/>
      <c r="S65" s="137"/>
      <c r="T65" s="137"/>
      <c r="U65" s="137"/>
      <c r="V65" s="137"/>
      <c r="W65" s="137"/>
      <c r="X65" s="137"/>
      <c r="Y65" s="137"/>
      <c r="Z65" s="137"/>
      <c r="AA65" s="137"/>
      <c r="AB65" s="137"/>
      <c r="AC65" s="137"/>
      <c r="AD65" s="137"/>
      <c r="AE65" s="137"/>
      <c r="AF65" s="137"/>
      <c r="AG65" s="137"/>
      <c r="AH65" s="137"/>
      <c r="AI65" s="137"/>
      <c r="AJ65" s="137"/>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137"/>
      <c r="BG65" s="137"/>
      <c r="BH65" s="137"/>
      <c r="BI65" s="137"/>
      <c r="BJ65" s="137"/>
      <c r="BK65" s="137"/>
      <c r="BL65" s="137"/>
      <c r="BM65" s="137"/>
      <c r="BN65" s="137"/>
      <c r="BO65" s="137"/>
      <c r="BP65" s="137"/>
      <c r="BQ65" s="137"/>
      <c r="BR65" s="137"/>
      <c r="BS65" s="137"/>
      <c r="BT65" s="137"/>
      <c r="BU65" s="137"/>
      <c r="BV65" s="137"/>
      <c r="BW65" s="137"/>
      <c r="BX65" s="137"/>
      <c r="BY65" s="137"/>
      <c r="BZ65" s="137"/>
      <c r="CA65" s="137"/>
      <c r="CB65" s="137"/>
      <c r="CC65" s="137"/>
      <c r="CD65" s="137"/>
      <c r="CE65" s="137"/>
      <c r="CF65" s="137"/>
      <c r="CG65" s="137"/>
      <c r="CH65" s="137"/>
      <c r="CI65" s="137"/>
      <c r="CJ65" s="137"/>
      <c r="CK65" s="137"/>
      <c r="CL65" s="137"/>
      <c r="CM65" s="137"/>
      <c r="CN65" s="137"/>
      <c r="CO65" s="137"/>
      <c r="CP65" s="137"/>
      <c r="CQ65" s="137"/>
      <c r="CR65" s="137"/>
      <c r="CS65" s="137"/>
      <c r="CT65" s="137"/>
      <c r="CU65" s="137"/>
      <c r="CV65" s="137"/>
      <c r="CW65" s="137"/>
      <c r="CX65" s="137"/>
      <c r="CY65" s="137"/>
      <c r="CZ65" s="137"/>
      <c r="DA65" s="137"/>
      <c r="DB65" s="137"/>
    </row>
    <row r="66" spans="1:106" x14ac:dyDescent="0.25">
      <c r="A66" s="134" t="str">
        <f t="shared" si="1"/>
        <v/>
      </c>
      <c r="B66" s="137"/>
      <c r="C66" s="137"/>
      <c r="D66" s="137"/>
      <c r="E66" s="137"/>
      <c r="F66" s="137"/>
      <c r="G66" s="137"/>
      <c r="H66" s="137"/>
      <c r="I66" s="137"/>
      <c r="J66" s="137"/>
      <c r="K66" s="137"/>
      <c r="L66" s="137"/>
      <c r="M66" s="137"/>
      <c r="N66" s="137"/>
      <c r="O66" s="137" t="str">
        <f t="shared" si="0"/>
        <v xml:space="preserve">FALSE, </v>
      </c>
      <c r="P66" s="137"/>
      <c r="Q66" s="137"/>
      <c r="R66" s="137"/>
      <c r="S66" s="137"/>
      <c r="T66" s="137"/>
      <c r="U66" s="137"/>
      <c r="V66" s="137"/>
      <c r="W66" s="137"/>
      <c r="X66" s="137"/>
      <c r="Y66" s="137"/>
      <c r="Z66" s="137"/>
      <c r="AA66" s="137"/>
      <c r="AB66" s="137"/>
      <c r="AC66" s="137"/>
      <c r="AD66" s="137"/>
      <c r="AE66" s="137"/>
      <c r="AF66" s="137"/>
      <c r="AG66" s="137"/>
      <c r="AH66" s="137"/>
      <c r="AI66" s="137"/>
      <c r="AJ66" s="137"/>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137"/>
      <c r="BG66" s="137"/>
      <c r="BH66" s="137"/>
      <c r="BI66" s="137"/>
      <c r="BJ66" s="137"/>
      <c r="BK66" s="137"/>
      <c r="BL66" s="137"/>
      <c r="BM66" s="137"/>
      <c r="BN66" s="137"/>
      <c r="BO66" s="137"/>
      <c r="BP66" s="137"/>
      <c r="BQ66" s="137"/>
      <c r="BR66" s="137"/>
      <c r="BS66" s="137"/>
      <c r="BT66" s="137"/>
      <c r="BU66" s="137"/>
      <c r="BV66" s="137"/>
      <c r="BW66" s="137"/>
      <c r="BX66" s="137"/>
      <c r="BY66" s="137"/>
      <c r="BZ66" s="137"/>
      <c r="CA66" s="137"/>
      <c r="CB66" s="137"/>
      <c r="CC66" s="137"/>
      <c r="CD66" s="137"/>
      <c r="CE66" s="137"/>
      <c r="CF66" s="137"/>
      <c r="CG66" s="137"/>
      <c r="CH66" s="137"/>
      <c r="CI66" s="137"/>
      <c r="CJ66" s="137"/>
      <c r="CK66" s="137"/>
      <c r="CL66" s="137"/>
      <c r="CM66" s="137"/>
      <c r="CN66" s="137"/>
      <c r="CO66" s="137"/>
      <c r="CP66" s="137"/>
      <c r="CQ66" s="137"/>
      <c r="CR66" s="137"/>
      <c r="CS66" s="137"/>
      <c r="CT66" s="137"/>
      <c r="CU66" s="137"/>
      <c r="CV66" s="137"/>
      <c r="CW66" s="137"/>
      <c r="CX66" s="137"/>
      <c r="CY66" s="137"/>
      <c r="CZ66" s="137"/>
      <c r="DA66" s="137"/>
      <c r="DB66" s="137"/>
    </row>
    <row r="67" spans="1:106" x14ac:dyDescent="0.25">
      <c r="A67" s="134" t="str">
        <f t="shared" si="1"/>
        <v/>
      </c>
      <c r="B67" s="137"/>
      <c r="C67" s="137"/>
      <c r="D67" s="137"/>
      <c r="E67" s="137"/>
      <c r="F67" s="137"/>
      <c r="G67" s="137"/>
      <c r="H67" s="137"/>
      <c r="I67" s="137"/>
      <c r="J67" s="137"/>
      <c r="K67" s="137"/>
      <c r="L67" s="137"/>
      <c r="M67" s="137"/>
      <c r="N67" s="137"/>
      <c r="O67" s="137" t="str">
        <f t="shared" si="0"/>
        <v xml:space="preserve">FALSE, </v>
      </c>
      <c r="P67" s="137"/>
      <c r="Q67" s="137"/>
      <c r="R67" s="137"/>
      <c r="S67" s="137"/>
      <c r="T67" s="137"/>
      <c r="U67" s="137"/>
      <c r="V67" s="137"/>
      <c r="W67" s="137"/>
      <c r="X67" s="137"/>
      <c r="Y67" s="137"/>
      <c r="Z67" s="137"/>
      <c r="AA67" s="137"/>
      <c r="AB67" s="137"/>
      <c r="AC67" s="137"/>
      <c r="AD67" s="137"/>
      <c r="AE67" s="137"/>
      <c r="AF67" s="137"/>
      <c r="AG67" s="137"/>
      <c r="AH67" s="137"/>
      <c r="AI67" s="137"/>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137"/>
      <c r="BG67" s="137"/>
      <c r="BH67" s="137"/>
      <c r="BI67" s="137"/>
      <c r="BJ67" s="137"/>
      <c r="BK67" s="137"/>
      <c r="BL67" s="137"/>
      <c r="BM67" s="137"/>
      <c r="BN67" s="137"/>
      <c r="BO67" s="137"/>
      <c r="BP67" s="137"/>
      <c r="BQ67" s="137"/>
      <c r="BR67" s="137"/>
      <c r="BS67" s="137"/>
      <c r="BT67" s="137"/>
      <c r="BU67" s="137"/>
      <c r="BV67" s="137"/>
      <c r="BW67" s="137"/>
      <c r="BX67" s="137"/>
      <c r="BY67" s="137"/>
      <c r="BZ67" s="137"/>
      <c r="CA67" s="137"/>
      <c r="CB67" s="137"/>
      <c r="CC67" s="137"/>
      <c r="CD67" s="137"/>
      <c r="CE67" s="137"/>
      <c r="CF67" s="137"/>
      <c r="CG67" s="137"/>
      <c r="CH67" s="137"/>
      <c r="CI67" s="137"/>
      <c r="CJ67" s="137"/>
      <c r="CK67" s="137"/>
      <c r="CL67" s="137"/>
      <c r="CM67" s="137"/>
      <c r="CN67" s="137"/>
      <c r="CO67" s="137"/>
      <c r="CP67" s="137"/>
      <c r="CQ67" s="137"/>
      <c r="CR67" s="137"/>
      <c r="CS67" s="137"/>
      <c r="CT67" s="137"/>
      <c r="CU67" s="137"/>
      <c r="CV67" s="137"/>
      <c r="CW67" s="137"/>
      <c r="CX67" s="137"/>
      <c r="CY67" s="137"/>
      <c r="CZ67" s="137"/>
      <c r="DA67" s="137"/>
      <c r="DB67" s="137"/>
    </row>
    <row r="68" spans="1:106" x14ac:dyDescent="0.25">
      <c r="A68" s="134" t="str">
        <f t="shared" si="1"/>
        <v/>
      </c>
      <c r="B68" s="137"/>
      <c r="C68" s="137"/>
      <c r="D68" s="137"/>
      <c r="E68" s="137"/>
      <c r="F68" s="137"/>
      <c r="G68" s="137"/>
      <c r="H68" s="137"/>
      <c r="I68" s="137"/>
      <c r="J68" s="137"/>
      <c r="K68" s="137"/>
      <c r="L68" s="137"/>
      <c r="M68" s="137"/>
      <c r="N68" s="137"/>
      <c r="O68" s="137" t="str">
        <f t="shared" ref="O68:O102" si="2">IF(P68="Str","Strength",IF(P68="Dex","Dexterity",IF(P68="Con","Constitution",IF(P68="Int","Intelligence",IF(P68="Wis","Wisdom",IF(P68="Cha","Charisma;"""))))))&amp;", "&amp;IF(Q68="Str","Strength",IF(Q68="Dex","Dexterity",IF(Q68="Con","Constitution",IF(Q68="Int","Intelligence",IF(Q68="Wis","Wisdom",IF(Q68="Cha","Charisma",""))))))</f>
        <v xml:space="preserve">FALSE, </v>
      </c>
      <c r="P68" s="137"/>
      <c r="Q68" s="137"/>
      <c r="R68" s="137"/>
      <c r="S68" s="137"/>
      <c r="T68" s="137"/>
      <c r="U68" s="137"/>
      <c r="V68" s="137"/>
      <c r="W68" s="137"/>
      <c r="X68" s="137"/>
      <c r="Y68" s="137"/>
      <c r="Z68" s="137"/>
      <c r="AA68" s="137"/>
      <c r="AB68" s="137"/>
      <c r="AC68" s="137"/>
      <c r="AD68" s="137"/>
      <c r="AE68" s="137"/>
      <c r="AF68" s="137"/>
      <c r="AG68" s="137"/>
      <c r="AH68" s="137"/>
      <c r="AI68" s="137"/>
      <c r="AJ68" s="137"/>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137"/>
      <c r="BG68" s="137"/>
      <c r="BH68" s="137"/>
      <c r="BI68" s="137"/>
      <c r="BJ68" s="137"/>
      <c r="BK68" s="137"/>
      <c r="BL68" s="137"/>
      <c r="BM68" s="137"/>
      <c r="BN68" s="137"/>
      <c r="BO68" s="137"/>
      <c r="BP68" s="137"/>
      <c r="BQ68" s="137"/>
      <c r="BR68" s="137"/>
      <c r="BS68" s="137"/>
      <c r="BT68" s="137"/>
      <c r="BU68" s="137"/>
      <c r="BV68" s="137"/>
      <c r="BW68" s="137"/>
      <c r="BX68" s="137"/>
      <c r="BY68" s="137"/>
      <c r="BZ68" s="137"/>
      <c r="CA68" s="137"/>
      <c r="CB68" s="137"/>
      <c r="CC68" s="137"/>
      <c r="CD68" s="137"/>
      <c r="CE68" s="137"/>
      <c r="CF68" s="137"/>
      <c r="CG68" s="137"/>
      <c r="CH68" s="137"/>
      <c r="CI68" s="137"/>
      <c r="CJ68" s="137"/>
      <c r="CK68" s="137"/>
      <c r="CL68" s="137"/>
      <c r="CM68" s="137"/>
      <c r="CN68" s="137"/>
      <c r="CO68" s="137"/>
      <c r="CP68" s="137"/>
      <c r="CQ68" s="137"/>
      <c r="CR68" s="137"/>
      <c r="CS68" s="137"/>
      <c r="CT68" s="137"/>
      <c r="CU68" s="137"/>
      <c r="CV68" s="137"/>
      <c r="CW68" s="137"/>
      <c r="CX68" s="137"/>
      <c r="CY68" s="137"/>
      <c r="CZ68" s="137"/>
      <c r="DA68" s="137"/>
      <c r="DB68" s="137"/>
    </row>
    <row r="69" spans="1:106" x14ac:dyDescent="0.25">
      <c r="A69" s="134" t="str">
        <f t="shared" ref="A69:A102" si="3">IF(B69="","",A68+1)</f>
        <v/>
      </c>
      <c r="B69" s="137"/>
      <c r="C69" s="137"/>
      <c r="D69" s="137"/>
      <c r="E69" s="137"/>
      <c r="F69" s="137"/>
      <c r="G69" s="137"/>
      <c r="H69" s="137"/>
      <c r="I69" s="137"/>
      <c r="J69" s="137"/>
      <c r="K69" s="137"/>
      <c r="L69" s="137"/>
      <c r="M69" s="137"/>
      <c r="N69" s="137"/>
      <c r="O69" s="137" t="str">
        <f t="shared" si="2"/>
        <v xml:space="preserve">FALSE, </v>
      </c>
      <c r="P69" s="137"/>
      <c r="Q69" s="137"/>
      <c r="R69" s="137"/>
      <c r="S69" s="137"/>
      <c r="T69" s="137"/>
      <c r="U69" s="137"/>
      <c r="V69" s="137"/>
      <c r="W69" s="137"/>
      <c r="X69" s="137"/>
      <c r="Y69" s="137"/>
      <c r="Z69" s="137"/>
      <c r="AA69" s="137"/>
      <c r="AB69" s="137"/>
      <c r="AC69" s="137"/>
      <c r="AD69" s="137"/>
      <c r="AE69" s="137"/>
      <c r="AF69" s="137"/>
      <c r="AG69" s="137"/>
      <c r="AH69" s="137"/>
      <c r="AI69" s="137"/>
      <c r="AJ69" s="137"/>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137"/>
      <c r="BG69" s="137"/>
      <c r="BH69" s="137"/>
      <c r="BI69" s="137"/>
      <c r="BJ69" s="137"/>
      <c r="BK69" s="137"/>
      <c r="BL69" s="137"/>
      <c r="BM69" s="137"/>
      <c r="BN69" s="137"/>
      <c r="BO69" s="137"/>
      <c r="BP69" s="137"/>
      <c r="BQ69" s="137"/>
      <c r="BR69" s="137"/>
      <c r="BS69" s="137"/>
      <c r="BT69" s="137"/>
      <c r="BU69" s="137"/>
      <c r="BV69" s="137"/>
      <c r="BW69" s="137"/>
      <c r="BX69" s="137"/>
      <c r="BY69" s="137"/>
      <c r="BZ69" s="137"/>
      <c r="CA69" s="137"/>
      <c r="CB69" s="137"/>
      <c r="CC69" s="137"/>
      <c r="CD69" s="137"/>
      <c r="CE69" s="137"/>
      <c r="CF69" s="137"/>
      <c r="CG69" s="137"/>
      <c r="CH69" s="137"/>
      <c r="CI69" s="137"/>
      <c r="CJ69" s="137"/>
      <c r="CK69" s="137"/>
      <c r="CL69" s="137"/>
      <c r="CM69" s="137"/>
      <c r="CN69" s="137"/>
      <c r="CO69" s="137"/>
      <c r="CP69" s="137"/>
      <c r="CQ69" s="137"/>
      <c r="CR69" s="137"/>
      <c r="CS69" s="137"/>
      <c r="CT69" s="137"/>
      <c r="CU69" s="137"/>
      <c r="CV69" s="137"/>
      <c r="CW69" s="137"/>
      <c r="CX69" s="137"/>
      <c r="CY69" s="137"/>
      <c r="CZ69" s="137"/>
      <c r="DA69" s="137"/>
      <c r="DB69" s="137"/>
    </row>
    <row r="70" spans="1:106" x14ac:dyDescent="0.25">
      <c r="A70" s="134" t="str">
        <f t="shared" si="3"/>
        <v/>
      </c>
      <c r="B70" s="137"/>
      <c r="C70" s="137"/>
      <c r="D70" s="137"/>
      <c r="E70" s="137"/>
      <c r="F70" s="137"/>
      <c r="G70" s="137"/>
      <c r="H70" s="137"/>
      <c r="I70" s="137"/>
      <c r="J70" s="137"/>
      <c r="K70" s="137"/>
      <c r="L70" s="137"/>
      <c r="M70" s="137"/>
      <c r="N70" s="137"/>
      <c r="O70" s="137" t="str">
        <f t="shared" si="2"/>
        <v xml:space="preserve">FALSE, </v>
      </c>
      <c r="P70" s="137"/>
      <c r="Q70" s="137"/>
      <c r="R70" s="137"/>
      <c r="S70" s="137"/>
      <c r="T70" s="137"/>
      <c r="U70" s="137"/>
      <c r="V70" s="137"/>
      <c r="W70" s="137"/>
      <c r="X70" s="137"/>
      <c r="Y70" s="137"/>
      <c r="Z70" s="137"/>
      <c r="AA70" s="137"/>
      <c r="AB70" s="137"/>
      <c r="AC70" s="137"/>
      <c r="AD70" s="137"/>
      <c r="AE70" s="137"/>
      <c r="AF70" s="137"/>
      <c r="AG70" s="137"/>
      <c r="AH70" s="137"/>
      <c r="AI70" s="137"/>
      <c r="AJ70" s="137"/>
      <c r="AK70" s="137"/>
      <c r="AL70" s="137"/>
      <c r="AM70" s="137"/>
      <c r="AN70" s="137"/>
      <c r="AO70" s="137"/>
      <c r="AP70" s="137"/>
      <c r="AQ70" s="137"/>
      <c r="AR70" s="137"/>
      <c r="AS70" s="137"/>
      <c r="AT70" s="137"/>
      <c r="AU70" s="137"/>
      <c r="AV70" s="137"/>
      <c r="AW70" s="137"/>
      <c r="AX70" s="137"/>
      <c r="AY70" s="137"/>
      <c r="AZ70" s="137"/>
      <c r="BA70" s="137"/>
      <c r="BB70" s="137"/>
      <c r="BC70" s="137"/>
      <c r="BD70" s="137"/>
      <c r="BE70" s="137"/>
      <c r="BF70" s="137"/>
      <c r="BG70" s="137"/>
      <c r="BH70" s="137"/>
      <c r="BI70" s="137"/>
      <c r="BJ70" s="137"/>
      <c r="BK70" s="137"/>
      <c r="BL70" s="137"/>
      <c r="BM70" s="137"/>
      <c r="BN70" s="137"/>
      <c r="BO70" s="137"/>
      <c r="BP70" s="137"/>
      <c r="BQ70" s="137"/>
      <c r="BR70" s="137"/>
      <c r="BS70" s="137"/>
      <c r="BT70" s="137"/>
      <c r="BU70" s="137"/>
      <c r="BV70" s="137"/>
      <c r="BW70" s="137"/>
      <c r="BX70" s="137"/>
      <c r="BY70" s="137"/>
      <c r="BZ70" s="137"/>
      <c r="CA70" s="137"/>
      <c r="CB70" s="137"/>
      <c r="CC70" s="137"/>
      <c r="CD70" s="137"/>
      <c r="CE70" s="137"/>
      <c r="CF70" s="137"/>
      <c r="CG70" s="137"/>
      <c r="CH70" s="137"/>
      <c r="CI70" s="137"/>
      <c r="CJ70" s="137"/>
      <c r="CK70" s="137"/>
      <c r="CL70" s="137"/>
      <c r="CM70" s="137"/>
      <c r="CN70" s="137"/>
      <c r="CO70" s="137"/>
      <c r="CP70" s="137"/>
      <c r="CQ70" s="137"/>
      <c r="CR70" s="137"/>
      <c r="CS70" s="137"/>
      <c r="CT70" s="137"/>
      <c r="CU70" s="137"/>
      <c r="CV70" s="137"/>
      <c r="CW70" s="137"/>
      <c r="CX70" s="137"/>
      <c r="CY70" s="137"/>
      <c r="CZ70" s="137"/>
      <c r="DA70" s="137"/>
      <c r="DB70" s="137"/>
    </row>
    <row r="71" spans="1:106" x14ac:dyDescent="0.25">
      <c r="A71" s="134" t="str">
        <f t="shared" si="3"/>
        <v/>
      </c>
      <c r="B71" s="137"/>
      <c r="C71" s="137"/>
      <c r="D71" s="137"/>
      <c r="E71" s="137"/>
      <c r="F71" s="137"/>
      <c r="G71" s="137"/>
      <c r="H71" s="137"/>
      <c r="I71" s="137"/>
      <c r="J71" s="137"/>
      <c r="K71" s="137"/>
      <c r="L71" s="137"/>
      <c r="M71" s="137"/>
      <c r="N71" s="137"/>
      <c r="O71" s="137" t="str">
        <f t="shared" si="2"/>
        <v xml:space="preserve">FALSE, </v>
      </c>
      <c r="P71" s="137"/>
      <c r="Q71" s="137"/>
      <c r="R71" s="137"/>
      <c r="S71" s="137"/>
      <c r="T71" s="137"/>
      <c r="U71" s="137"/>
      <c r="V71" s="137"/>
      <c r="W71" s="137"/>
      <c r="X71" s="137"/>
      <c r="Y71" s="137"/>
      <c r="Z71" s="137"/>
      <c r="AA71" s="137"/>
      <c r="AB71" s="137"/>
      <c r="AC71" s="137"/>
      <c r="AD71" s="137"/>
      <c r="AE71" s="137"/>
      <c r="AF71" s="137"/>
      <c r="AG71" s="137"/>
      <c r="AH71" s="137"/>
      <c r="AI71" s="137"/>
      <c r="AJ71" s="137"/>
      <c r="AK71" s="137"/>
      <c r="AL71" s="137"/>
      <c r="AM71" s="137"/>
      <c r="AN71" s="137"/>
      <c r="AO71" s="137"/>
      <c r="AP71" s="137"/>
      <c r="AQ71" s="137"/>
      <c r="AR71" s="137"/>
      <c r="AS71" s="137"/>
      <c r="AT71" s="137"/>
      <c r="AU71" s="137"/>
      <c r="AV71" s="137"/>
      <c r="AW71" s="137"/>
      <c r="AX71" s="137"/>
      <c r="AY71" s="137"/>
      <c r="AZ71" s="137"/>
      <c r="BA71" s="137"/>
      <c r="BB71" s="137"/>
      <c r="BC71" s="137"/>
      <c r="BD71" s="137"/>
      <c r="BE71" s="137"/>
      <c r="BF71" s="137"/>
      <c r="BG71" s="137"/>
      <c r="BH71" s="137"/>
      <c r="BI71" s="137"/>
      <c r="BJ71" s="137"/>
      <c r="BK71" s="137"/>
      <c r="BL71" s="137"/>
      <c r="BM71" s="137"/>
      <c r="BN71" s="137"/>
      <c r="BO71" s="137"/>
      <c r="BP71" s="137"/>
      <c r="BQ71" s="137"/>
      <c r="BR71" s="137"/>
      <c r="BS71" s="137"/>
      <c r="BT71" s="137"/>
      <c r="BU71" s="137"/>
      <c r="BV71" s="137"/>
      <c r="BW71" s="137"/>
      <c r="BX71" s="137"/>
      <c r="BY71" s="137"/>
      <c r="BZ71" s="137"/>
      <c r="CA71" s="137"/>
      <c r="CB71" s="137"/>
      <c r="CC71" s="137"/>
      <c r="CD71" s="137"/>
      <c r="CE71" s="137"/>
      <c r="CF71" s="137"/>
      <c r="CG71" s="137"/>
      <c r="CH71" s="137"/>
      <c r="CI71" s="137"/>
      <c r="CJ71" s="137"/>
      <c r="CK71" s="137"/>
      <c r="CL71" s="137"/>
      <c r="CM71" s="137"/>
      <c r="CN71" s="137"/>
      <c r="CO71" s="137"/>
      <c r="CP71" s="137"/>
      <c r="CQ71" s="137"/>
      <c r="CR71" s="137"/>
      <c r="CS71" s="137"/>
      <c r="CT71" s="137"/>
      <c r="CU71" s="137"/>
      <c r="CV71" s="137"/>
      <c r="CW71" s="137"/>
      <c r="CX71" s="137"/>
      <c r="CY71" s="137"/>
      <c r="CZ71" s="137"/>
      <c r="DA71" s="137"/>
      <c r="DB71" s="137"/>
    </row>
    <row r="72" spans="1:106" x14ac:dyDescent="0.25">
      <c r="A72" s="134" t="str">
        <f t="shared" si="3"/>
        <v/>
      </c>
      <c r="B72" s="137"/>
      <c r="C72" s="137"/>
      <c r="D72" s="137"/>
      <c r="E72" s="137"/>
      <c r="F72" s="137"/>
      <c r="G72" s="137"/>
      <c r="H72" s="137"/>
      <c r="I72" s="137"/>
      <c r="J72" s="137"/>
      <c r="K72" s="137"/>
      <c r="L72" s="137"/>
      <c r="M72" s="137"/>
      <c r="N72" s="137"/>
      <c r="O72" s="137" t="str">
        <f t="shared" si="2"/>
        <v xml:space="preserve">FALSE, </v>
      </c>
      <c r="P72" s="137"/>
      <c r="Q72" s="137"/>
      <c r="R72" s="137"/>
      <c r="S72" s="137"/>
      <c r="T72" s="137"/>
      <c r="U72" s="137"/>
      <c r="V72" s="137"/>
      <c r="W72" s="137"/>
      <c r="X72" s="137"/>
      <c r="Y72" s="137"/>
      <c r="Z72" s="137"/>
      <c r="AA72" s="137"/>
      <c r="AB72" s="137"/>
      <c r="AC72" s="137"/>
      <c r="AD72" s="137"/>
      <c r="AE72" s="137"/>
      <c r="AF72" s="137"/>
      <c r="AG72" s="137"/>
      <c r="AH72" s="137"/>
      <c r="AI72" s="137"/>
      <c r="AJ72" s="137"/>
      <c r="AK72" s="137"/>
      <c r="AL72" s="137"/>
      <c r="AM72" s="137"/>
      <c r="AN72" s="137"/>
      <c r="AO72" s="137"/>
      <c r="AP72" s="137"/>
      <c r="AQ72" s="137"/>
      <c r="AR72" s="137"/>
      <c r="AS72" s="137"/>
      <c r="AT72" s="137"/>
      <c r="AU72" s="137"/>
      <c r="AV72" s="137"/>
      <c r="AW72" s="137"/>
      <c r="AX72" s="137"/>
      <c r="AY72" s="137"/>
      <c r="AZ72" s="137"/>
      <c r="BA72" s="137"/>
      <c r="BB72" s="137"/>
      <c r="BC72" s="137"/>
      <c r="BD72" s="137"/>
      <c r="BE72" s="137"/>
      <c r="BF72" s="137"/>
      <c r="BG72" s="137"/>
      <c r="BH72" s="137"/>
      <c r="BI72" s="137"/>
      <c r="BJ72" s="137"/>
      <c r="BK72" s="137"/>
      <c r="BL72" s="137"/>
      <c r="BM72" s="137"/>
      <c r="BN72" s="137"/>
      <c r="BO72" s="137"/>
      <c r="BP72" s="137"/>
      <c r="BQ72" s="137"/>
      <c r="BR72" s="137"/>
      <c r="BS72" s="137"/>
      <c r="BT72" s="137"/>
      <c r="BU72" s="137"/>
      <c r="BV72" s="137"/>
      <c r="BW72" s="137"/>
      <c r="BX72" s="137"/>
      <c r="BY72" s="137"/>
      <c r="BZ72" s="137"/>
      <c r="CA72" s="137"/>
      <c r="CB72" s="137"/>
      <c r="CC72" s="137"/>
      <c r="CD72" s="137"/>
      <c r="CE72" s="137"/>
      <c r="CF72" s="137"/>
      <c r="CG72" s="137"/>
      <c r="CH72" s="137"/>
      <c r="CI72" s="137"/>
      <c r="CJ72" s="137"/>
      <c r="CK72" s="137"/>
      <c r="CL72" s="137"/>
      <c r="CM72" s="137"/>
      <c r="CN72" s="137"/>
      <c r="CO72" s="137"/>
      <c r="CP72" s="137"/>
      <c r="CQ72" s="137"/>
      <c r="CR72" s="137"/>
      <c r="CS72" s="137"/>
      <c r="CT72" s="137"/>
      <c r="CU72" s="137"/>
      <c r="CV72" s="137"/>
      <c r="CW72" s="137"/>
      <c r="CX72" s="137"/>
      <c r="CY72" s="137"/>
      <c r="CZ72" s="137"/>
      <c r="DA72" s="137"/>
      <c r="DB72" s="137"/>
    </row>
    <row r="73" spans="1:106" x14ac:dyDescent="0.25">
      <c r="A73" s="134" t="str">
        <f t="shared" si="3"/>
        <v/>
      </c>
      <c r="B73" s="137"/>
      <c r="C73" s="137"/>
      <c r="D73" s="137"/>
      <c r="E73" s="137"/>
      <c r="F73" s="137"/>
      <c r="G73" s="137"/>
      <c r="H73" s="137"/>
      <c r="I73" s="137"/>
      <c r="J73" s="137"/>
      <c r="K73" s="137"/>
      <c r="L73" s="137"/>
      <c r="M73" s="137"/>
      <c r="N73" s="137"/>
      <c r="O73" s="137" t="str">
        <f t="shared" si="2"/>
        <v xml:space="preserve">FALSE, </v>
      </c>
      <c r="P73" s="137"/>
      <c r="Q73" s="137"/>
      <c r="R73" s="137"/>
      <c r="S73" s="137"/>
      <c r="T73" s="137"/>
      <c r="U73" s="137"/>
      <c r="V73" s="137"/>
      <c r="W73" s="137"/>
      <c r="X73" s="137"/>
      <c r="Y73" s="137"/>
      <c r="Z73" s="137"/>
      <c r="AA73" s="137"/>
      <c r="AB73" s="137"/>
      <c r="AC73" s="137"/>
      <c r="AD73" s="137"/>
      <c r="AE73" s="137"/>
      <c r="AF73" s="137"/>
      <c r="AG73" s="137"/>
      <c r="AH73" s="137"/>
      <c r="AI73" s="137"/>
      <c r="AJ73" s="137"/>
      <c r="AK73" s="137"/>
      <c r="AL73" s="137"/>
      <c r="AM73" s="137"/>
      <c r="AN73" s="137"/>
      <c r="AO73" s="137"/>
      <c r="AP73" s="137"/>
      <c r="AQ73" s="137"/>
      <c r="AR73" s="137"/>
      <c r="AS73" s="137"/>
      <c r="AT73" s="137"/>
      <c r="AU73" s="137"/>
      <c r="AV73" s="137"/>
      <c r="AW73" s="137"/>
      <c r="AX73" s="137"/>
      <c r="AY73" s="137"/>
      <c r="AZ73" s="137"/>
      <c r="BA73" s="137"/>
      <c r="BB73" s="137"/>
      <c r="BC73" s="137"/>
      <c r="BD73" s="137"/>
      <c r="BE73" s="137"/>
      <c r="BF73" s="137"/>
      <c r="BG73" s="137"/>
      <c r="BH73" s="137"/>
      <c r="BI73" s="137"/>
      <c r="BJ73" s="137"/>
      <c r="BK73" s="137"/>
      <c r="BL73" s="137"/>
      <c r="BM73" s="137"/>
      <c r="BN73" s="137"/>
      <c r="BO73" s="137"/>
      <c r="BP73" s="137"/>
      <c r="BQ73" s="137"/>
      <c r="BR73" s="137"/>
      <c r="BS73" s="137"/>
      <c r="BT73" s="137"/>
      <c r="BU73" s="137"/>
      <c r="BV73" s="137"/>
      <c r="BW73" s="137"/>
      <c r="BX73" s="137"/>
      <c r="BY73" s="137"/>
      <c r="BZ73" s="137"/>
      <c r="CA73" s="137"/>
      <c r="CB73" s="137"/>
      <c r="CC73" s="137"/>
      <c r="CD73" s="137"/>
      <c r="CE73" s="137"/>
      <c r="CF73" s="137"/>
      <c r="CG73" s="137"/>
      <c r="CH73" s="137"/>
      <c r="CI73" s="137"/>
      <c r="CJ73" s="137"/>
      <c r="CK73" s="137"/>
      <c r="CL73" s="137"/>
      <c r="CM73" s="137"/>
      <c r="CN73" s="137"/>
      <c r="CO73" s="137"/>
      <c r="CP73" s="137"/>
      <c r="CQ73" s="137"/>
      <c r="CR73" s="137"/>
      <c r="CS73" s="137"/>
      <c r="CT73" s="137"/>
      <c r="CU73" s="137"/>
      <c r="CV73" s="137"/>
      <c r="CW73" s="137"/>
      <c r="CX73" s="137"/>
      <c r="CY73" s="137"/>
      <c r="CZ73" s="137"/>
      <c r="DA73" s="137"/>
      <c r="DB73" s="137"/>
    </row>
    <row r="74" spans="1:106" x14ac:dyDescent="0.25">
      <c r="A74" s="134" t="str">
        <f t="shared" si="3"/>
        <v/>
      </c>
      <c r="B74" s="137"/>
      <c r="C74" s="137"/>
      <c r="D74" s="137"/>
      <c r="E74" s="137"/>
      <c r="F74" s="137"/>
      <c r="G74" s="137"/>
      <c r="H74" s="137"/>
      <c r="I74" s="137"/>
      <c r="J74" s="137"/>
      <c r="K74" s="137"/>
      <c r="L74" s="137"/>
      <c r="M74" s="137"/>
      <c r="N74" s="137"/>
      <c r="O74" s="137" t="str">
        <f t="shared" si="2"/>
        <v xml:space="preserve">FALSE, </v>
      </c>
      <c r="P74" s="137"/>
      <c r="Q74" s="137"/>
      <c r="R74" s="137"/>
      <c r="S74" s="137"/>
      <c r="T74" s="137"/>
      <c r="U74" s="137"/>
      <c r="V74" s="137"/>
      <c r="W74" s="137"/>
      <c r="X74" s="137"/>
      <c r="Y74" s="137"/>
      <c r="Z74" s="137"/>
      <c r="AA74" s="137"/>
      <c r="AB74" s="137"/>
      <c r="AC74" s="137"/>
      <c r="AD74" s="137"/>
      <c r="AE74" s="137"/>
      <c r="AF74" s="137"/>
      <c r="AG74" s="137"/>
      <c r="AH74" s="137"/>
      <c r="AI74" s="137"/>
      <c r="AJ74" s="137"/>
      <c r="AK74" s="137"/>
      <c r="AL74" s="137"/>
      <c r="AM74" s="137"/>
      <c r="AN74" s="137"/>
      <c r="AO74" s="137"/>
      <c r="AP74" s="137"/>
      <c r="AQ74" s="137"/>
      <c r="AR74" s="137"/>
      <c r="AS74" s="137"/>
      <c r="AT74" s="137"/>
      <c r="AU74" s="137"/>
      <c r="AV74" s="137"/>
      <c r="AW74" s="137"/>
      <c r="AX74" s="137"/>
      <c r="AY74" s="137"/>
      <c r="AZ74" s="137"/>
      <c r="BA74" s="137"/>
      <c r="BB74" s="137"/>
      <c r="BC74" s="137"/>
      <c r="BD74" s="137"/>
      <c r="BE74" s="137"/>
      <c r="BF74" s="137"/>
      <c r="BG74" s="137"/>
      <c r="BH74" s="137"/>
      <c r="BI74" s="137"/>
      <c r="BJ74" s="137"/>
      <c r="BK74" s="137"/>
      <c r="BL74" s="137"/>
      <c r="BM74" s="137"/>
      <c r="BN74" s="137"/>
      <c r="BO74" s="137"/>
      <c r="BP74" s="137"/>
      <c r="BQ74" s="137"/>
      <c r="BR74" s="137"/>
      <c r="BS74" s="137"/>
      <c r="BT74" s="137"/>
      <c r="BU74" s="137"/>
      <c r="BV74" s="137"/>
      <c r="BW74" s="137"/>
      <c r="BX74" s="137"/>
      <c r="BY74" s="137"/>
      <c r="BZ74" s="137"/>
      <c r="CA74" s="137"/>
      <c r="CB74" s="137"/>
      <c r="CC74" s="137"/>
      <c r="CD74" s="137"/>
      <c r="CE74" s="137"/>
      <c r="CF74" s="137"/>
      <c r="CG74" s="137"/>
      <c r="CH74" s="137"/>
      <c r="CI74" s="137"/>
      <c r="CJ74" s="137"/>
      <c r="CK74" s="137"/>
      <c r="CL74" s="137"/>
      <c r="CM74" s="137"/>
      <c r="CN74" s="137"/>
      <c r="CO74" s="137"/>
      <c r="CP74" s="137"/>
      <c r="CQ74" s="137"/>
      <c r="CR74" s="137"/>
      <c r="CS74" s="137"/>
      <c r="CT74" s="137"/>
      <c r="CU74" s="137"/>
      <c r="CV74" s="137"/>
      <c r="CW74" s="137"/>
      <c r="CX74" s="137"/>
      <c r="CY74" s="137"/>
      <c r="CZ74" s="137"/>
      <c r="DA74" s="137"/>
      <c r="DB74" s="137"/>
    </row>
    <row r="75" spans="1:106" x14ac:dyDescent="0.25">
      <c r="A75" s="134" t="str">
        <f t="shared" si="3"/>
        <v/>
      </c>
      <c r="B75" s="137"/>
      <c r="C75" s="137"/>
      <c r="D75" s="137"/>
      <c r="E75" s="137"/>
      <c r="F75" s="137"/>
      <c r="G75" s="137"/>
      <c r="H75" s="137"/>
      <c r="I75" s="137"/>
      <c r="J75" s="137"/>
      <c r="K75" s="137"/>
      <c r="L75" s="137"/>
      <c r="M75" s="137"/>
      <c r="N75" s="137"/>
      <c r="O75" s="137" t="str">
        <f t="shared" si="2"/>
        <v xml:space="preserve">FALSE, </v>
      </c>
      <c r="P75" s="137"/>
      <c r="Q75" s="137"/>
      <c r="R75" s="137"/>
      <c r="S75" s="137"/>
      <c r="T75" s="137"/>
      <c r="U75" s="137"/>
      <c r="V75" s="137"/>
      <c r="W75" s="137"/>
      <c r="X75" s="137"/>
      <c r="Y75" s="137"/>
      <c r="Z75" s="137"/>
      <c r="AA75" s="137"/>
      <c r="AB75" s="137"/>
      <c r="AC75" s="137"/>
      <c r="AD75" s="137"/>
      <c r="AE75" s="137"/>
      <c r="AF75" s="137"/>
      <c r="AG75" s="137"/>
      <c r="AH75" s="137"/>
      <c r="AI75" s="137"/>
      <c r="AJ75" s="137"/>
      <c r="AK75" s="137"/>
      <c r="AL75" s="137"/>
      <c r="AM75" s="137"/>
      <c r="AN75" s="137"/>
      <c r="AO75" s="137"/>
      <c r="AP75" s="137"/>
      <c r="AQ75" s="137"/>
      <c r="AR75" s="137"/>
      <c r="AS75" s="137"/>
      <c r="AT75" s="137"/>
      <c r="AU75" s="137"/>
      <c r="AV75" s="137"/>
      <c r="AW75" s="137"/>
      <c r="AX75" s="137"/>
      <c r="AY75" s="137"/>
      <c r="AZ75" s="137"/>
      <c r="BA75" s="137"/>
      <c r="BB75" s="137"/>
      <c r="BC75" s="137"/>
      <c r="BD75" s="137"/>
      <c r="BE75" s="137"/>
      <c r="BF75" s="137"/>
      <c r="BG75" s="137"/>
      <c r="BH75" s="137"/>
      <c r="BI75" s="137"/>
      <c r="BJ75" s="137"/>
      <c r="BK75" s="137"/>
      <c r="BL75" s="137"/>
      <c r="BM75" s="137"/>
      <c r="BN75" s="137"/>
      <c r="BO75" s="137"/>
      <c r="BP75" s="137"/>
      <c r="BQ75" s="137"/>
      <c r="BR75" s="137"/>
      <c r="BS75" s="137"/>
      <c r="BT75" s="137"/>
      <c r="BU75" s="137"/>
      <c r="BV75" s="137"/>
      <c r="BW75" s="137"/>
      <c r="BX75" s="137"/>
      <c r="BY75" s="137"/>
      <c r="BZ75" s="137"/>
      <c r="CA75" s="137"/>
      <c r="CB75" s="137"/>
      <c r="CC75" s="137"/>
      <c r="CD75" s="137"/>
      <c r="CE75" s="137"/>
      <c r="CF75" s="137"/>
      <c r="CG75" s="137"/>
      <c r="CH75" s="137"/>
      <c r="CI75" s="137"/>
      <c r="CJ75" s="137"/>
      <c r="CK75" s="137"/>
      <c r="CL75" s="137"/>
      <c r="CM75" s="137"/>
      <c r="CN75" s="137"/>
      <c r="CO75" s="137"/>
      <c r="CP75" s="137"/>
      <c r="CQ75" s="137"/>
      <c r="CR75" s="137"/>
      <c r="CS75" s="137"/>
      <c r="CT75" s="137"/>
      <c r="CU75" s="137"/>
      <c r="CV75" s="137"/>
      <c r="CW75" s="137"/>
      <c r="CX75" s="137"/>
      <c r="CY75" s="137"/>
      <c r="CZ75" s="137"/>
      <c r="DA75" s="137"/>
      <c r="DB75" s="137"/>
    </row>
    <row r="76" spans="1:106" x14ac:dyDescent="0.25">
      <c r="A76" s="134" t="str">
        <f t="shared" si="3"/>
        <v/>
      </c>
      <c r="B76" s="137"/>
      <c r="C76" s="137"/>
      <c r="D76" s="137"/>
      <c r="E76" s="137"/>
      <c r="F76" s="137"/>
      <c r="G76" s="137"/>
      <c r="H76" s="137"/>
      <c r="I76" s="137"/>
      <c r="J76" s="137"/>
      <c r="K76" s="137"/>
      <c r="L76" s="137"/>
      <c r="M76" s="137"/>
      <c r="N76" s="137"/>
      <c r="O76" s="137" t="str">
        <f t="shared" si="2"/>
        <v xml:space="preserve">FALSE, </v>
      </c>
      <c r="P76" s="137"/>
      <c r="Q76" s="137"/>
      <c r="R76" s="137"/>
      <c r="S76" s="137"/>
      <c r="T76" s="137"/>
      <c r="U76" s="137"/>
      <c r="V76" s="137"/>
      <c r="W76" s="137"/>
      <c r="X76" s="137"/>
      <c r="Y76" s="137"/>
      <c r="Z76" s="137"/>
      <c r="AA76" s="137"/>
      <c r="AB76" s="137"/>
      <c r="AC76" s="137"/>
      <c r="AD76" s="137"/>
      <c r="AE76" s="137"/>
      <c r="AF76" s="137"/>
      <c r="AG76" s="137"/>
      <c r="AH76" s="137"/>
      <c r="AI76" s="137"/>
      <c r="AJ76" s="137"/>
      <c r="AK76" s="137"/>
      <c r="AL76" s="137"/>
      <c r="AM76" s="137"/>
      <c r="AN76" s="137"/>
      <c r="AO76" s="137"/>
      <c r="AP76" s="137"/>
      <c r="AQ76" s="137"/>
      <c r="AR76" s="137"/>
      <c r="AS76" s="137"/>
      <c r="AT76" s="137"/>
      <c r="AU76" s="137"/>
      <c r="AV76" s="137"/>
      <c r="AW76" s="137"/>
      <c r="AX76" s="137"/>
      <c r="AY76" s="137"/>
      <c r="AZ76" s="137"/>
      <c r="BA76" s="137"/>
      <c r="BB76" s="137"/>
      <c r="BC76" s="137"/>
      <c r="BD76" s="137"/>
      <c r="BE76" s="137"/>
      <c r="BF76" s="137"/>
      <c r="BG76" s="137"/>
      <c r="BH76" s="137"/>
      <c r="BI76" s="137"/>
      <c r="BJ76" s="137"/>
      <c r="BK76" s="137"/>
      <c r="BL76" s="137"/>
      <c r="BM76" s="137"/>
      <c r="BN76" s="137"/>
      <c r="BO76" s="137"/>
      <c r="BP76" s="137"/>
      <c r="BQ76" s="137"/>
      <c r="BR76" s="137"/>
      <c r="BS76" s="137"/>
      <c r="BT76" s="137"/>
      <c r="BU76" s="137"/>
      <c r="BV76" s="137"/>
      <c r="BW76" s="137"/>
      <c r="BX76" s="137"/>
      <c r="BY76" s="137"/>
      <c r="BZ76" s="137"/>
      <c r="CA76" s="137"/>
      <c r="CB76" s="137"/>
      <c r="CC76" s="137"/>
      <c r="CD76" s="137"/>
      <c r="CE76" s="137"/>
      <c r="CF76" s="137"/>
      <c r="CG76" s="137"/>
      <c r="CH76" s="137"/>
      <c r="CI76" s="137"/>
      <c r="CJ76" s="137"/>
      <c r="CK76" s="137"/>
      <c r="CL76" s="137"/>
      <c r="CM76" s="137"/>
      <c r="CN76" s="137"/>
      <c r="CO76" s="137"/>
      <c r="CP76" s="137"/>
      <c r="CQ76" s="137"/>
      <c r="CR76" s="137"/>
      <c r="CS76" s="137"/>
      <c r="CT76" s="137"/>
      <c r="CU76" s="137"/>
      <c r="CV76" s="137"/>
      <c r="CW76" s="137"/>
      <c r="CX76" s="137"/>
      <c r="CY76" s="137"/>
      <c r="CZ76" s="137"/>
      <c r="DA76" s="137"/>
      <c r="DB76" s="137"/>
    </row>
    <row r="77" spans="1:106" x14ac:dyDescent="0.25">
      <c r="A77" s="134" t="str">
        <f t="shared" si="3"/>
        <v/>
      </c>
      <c r="B77" s="137"/>
      <c r="C77" s="137"/>
      <c r="D77" s="137"/>
      <c r="E77" s="137"/>
      <c r="F77" s="137"/>
      <c r="G77" s="137"/>
      <c r="H77" s="137"/>
      <c r="I77" s="137"/>
      <c r="J77" s="137"/>
      <c r="K77" s="137"/>
      <c r="L77" s="137"/>
      <c r="M77" s="137"/>
      <c r="N77" s="137"/>
      <c r="O77" s="137" t="str">
        <f t="shared" si="2"/>
        <v xml:space="preserve">FALSE, </v>
      </c>
      <c r="P77" s="137"/>
      <c r="Q77" s="137"/>
      <c r="R77" s="137"/>
      <c r="S77" s="137"/>
      <c r="T77" s="137"/>
      <c r="U77" s="137"/>
      <c r="V77" s="137"/>
      <c r="W77" s="137"/>
      <c r="X77" s="137"/>
      <c r="Y77" s="137"/>
      <c r="Z77" s="137"/>
      <c r="AA77" s="137"/>
      <c r="AB77" s="137"/>
      <c r="AC77" s="137"/>
      <c r="AD77" s="137"/>
      <c r="AE77" s="137"/>
      <c r="AF77" s="137"/>
      <c r="AG77" s="137"/>
      <c r="AH77" s="137"/>
      <c r="AI77" s="137"/>
      <c r="AJ77" s="137"/>
      <c r="AK77" s="137"/>
      <c r="AL77" s="137"/>
      <c r="AM77" s="137"/>
      <c r="AN77" s="137"/>
      <c r="AO77" s="137"/>
      <c r="AP77" s="137"/>
      <c r="AQ77" s="137"/>
      <c r="AR77" s="137"/>
      <c r="AS77" s="137"/>
      <c r="AT77" s="137"/>
      <c r="AU77" s="137"/>
      <c r="AV77" s="137"/>
      <c r="AW77" s="137"/>
      <c r="AX77" s="137"/>
      <c r="AY77" s="137"/>
      <c r="AZ77" s="137"/>
      <c r="BA77" s="137"/>
      <c r="BB77" s="137"/>
      <c r="BC77" s="137"/>
      <c r="BD77" s="137"/>
      <c r="BE77" s="137"/>
      <c r="BF77" s="137"/>
      <c r="BG77" s="137"/>
      <c r="BH77" s="137"/>
      <c r="BI77" s="137"/>
      <c r="BJ77" s="137"/>
      <c r="BK77" s="137"/>
      <c r="BL77" s="137"/>
      <c r="BM77" s="137"/>
      <c r="BN77" s="137"/>
      <c r="BO77" s="137"/>
      <c r="BP77" s="137"/>
      <c r="BQ77" s="137"/>
      <c r="BR77" s="137"/>
      <c r="BS77" s="137"/>
      <c r="BT77" s="137"/>
      <c r="BU77" s="137"/>
      <c r="BV77" s="137"/>
      <c r="BW77" s="137"/>
      <c r="BX77" s="137"/>
      <c r="BY77" s="137"/>
      <c r="BZ77" s="137"/>
      <c r="CA77" s="137"/>
      <c r="CB77" s="137"/>
      <c r="CC77" s="137"/>
      <c r="CD77" s="137"/>
      <c r="CE77" s="137"/>
      <c r="CF77" s="137"/>
      <c r="CG77" s="137"/>
      <c r="CH77" s="137"/>
      <c r="CI77" s="137"/>
      <c r="CJ77" s="137"/>
      <c r="CK77" s="137"/>
      <c r="CL77" s="137"/>
      <c r="CM77" s="137"/>
      <c r="CN77" s="137"/>
      <c r="CO77" s="137"/>
      <c r="CP77" s="137"/>
      <c r="CQ77" s="137"/>
      <c r="CR77" s="137"/>
      <c r="CS77" s="137"/>
      <c r="CT77" s="137"/>
      <c r="CU77" s="137"/>
      <c r="CV77" s="137"/>
      <c r="CW77" s="137"/>
      <c r="CX77" s="137"/>
      <c r="CY77" s="137"/>
      <c r="CZ77" s="137"/>
      <c r="DA77" s="137"/>
      <c r="DB77" s="137"/>
    </row>
    <row r="78" spans="1:106" x14ac:dyDescent="0.25">
      <c r="A78" s="134" t="str">
        <f t="shared" si="3"/>
        <v/>
      </c>
      <c r="B78" s="137"/>
      <c r="C78" s="137"/>
      <c r="D78" s="137"/>
      <c r="E78" s="137"/>
      <c r="F78" s="137"/>
      <c r="G78" s="137"/>
      <c r="H78" s="137"/>
      <c r="I78" s="137"/>
      <c r="J78" s="137"/>
      <c r="K78" s="137"/>
      <c r="L78" s="137"/>
      <c r="M78" s="137"/>
      <c r="N78" s="137"/>
      <c r="O78" s="137" t="str">
        <f t="shared" si="2"/>
        <v xml:space="preserve">FALSE, </v>
      </c>
      <c r="P78" s="137"/>
      <c r="Q78" s="137"/>
      <c r="R78" s="137"/>
      <c r="S78" s="137"/>
      <c r="T78" s="137"/>
      <c r="U78" s="137"/>
      <c r="V78" s="137"/>
      <c r="W78" s="137"/>
      <c r="X78" s="137"/>
      <c r="Y78" s="137"/>
      <c r="Z78" s="137"/>
      <c r="AA78" s="137"/>
      <c r="AB78" s="137"/>
      <c r="AC78" s="137"/>
      <c r="AD78" s="137"/>
      <c r="AE78" s="137"/>
      <c r="AF78" s="137"/>
      <c r="AG78" s="137"/>
      <c r="AH78" s="137"/>
      <c r="AI78" s="137"/>
      <c r="AJ78" s="137"/>
      <c r="AK78" s="137"/>
      <c r="AL78" s="137"/>
      <c r="AM78" s="137"/>
      <c r="AN78" s="137"/>
      <c r="AO78" s="137"/>
      <c r="AP78" s="137"/>
      <c r="AQ78" s="137"/>
      <c r="AR78" s="137"/>
      <c r="AS78" s="137"/>
      <c r="AT78" s="137"/>
      <c r="AU78" s="137"/>
      <c r="AV78" s="137"/>
      <c r="AW78" s="137"/>
      <c r="AX78" s="137"/>
      <c r="AY78" s="137"/>
      <c r="AZ78" s="137"/>
      <c r="BA78" s="137"/>
      <c r="BB78" s="137"/>
      <c r="BC78" s="137"/>
      <c r="BD78" s="137"/>
      <c r="BE78" s="137"/>
      <c r="BF78" s="137"/>
      <c r="BG78" s="137"/>
      <c r="BH78" s="137"/>
      <c r="BI78" s="137"/>
      <c r="BJ78" s="137"/>
      <c r="BK78" s="137"/>
      <c r="BL78" s="137"/>
      <c r="BM78" s="137"/>
      <c r="BN78" s="137"/>
      <c r="BO78" s="137"/>
      <c r="BP78" s="137"/>
      <c r="BQ78" s="137"/>
      <c r="BR78" s="137"/>
      <c r="BS78" s="137"/>
      <c r="BT78" s="137"/>
      <c r="BU78" s="137"/>
      <c r="BV78" s="137"/>
      <c r="BW78" s="137"/>
      <c r="BX78" s="137"/>
      <c r="BY78" s="137"/>
      <c r="BZ78" s="137"/>
      <c r="CA78" s="137"/>
      <c r="CB78" s="137"/>
      <c r="CC78" s="137"/>
      <c r="CD78" s="137"/>
      <c r="CE78" s="137"/>
      <c r="CF78" s="137"/>
      <c r="CG78" s="137"/>
      <c r="CH78" s="137"/>
      <c r="CI78" s="137"/>
      <c r="CJ78" s="137"/>
      <c r="CK78" s="137"/>
      <c r="CL78" s="137"/>
      <c r="CM78" s="137"/>
      <c r="CN78" s="137"/>
      <c r="CO78" s="137"/>
      <c r="CP78" s="137"/>
      <c r="CQ78" s="137"/>
      <c r="CR78" s="137"/>
      <c r="CS78" s="137"/>
      <c r="CT78" s="137"/>
      <c r="CU78" s="137"/>
      <c r="CV78" s="137"/>
      <c r="CW78" s="137"/>
      <c r="CX78" s="137"/>
      <c r="CY78" s="137"/>
      <c r="CZ78" s="137"/>
      <c r="DA78" s="137"/>
      <c r="DB78" s="137"/>
    </row>
    <row r="79" spans="1:106" x14ac:dyDescent="0.25">
      <c r="A79" s="134" t="str">
        <f t="shared" si="3"/>
        <v/>
      </c>
      <c r="B79" s="137"/>
      <c r="C79" s="137"/>
      <c r="D79" s="137"/>
      <c r="E79" s="137"/>
      <c r="F79" s="137"/>
      <c r="G79" s="137"/>
      <c r="H79" s="137"/>
      <c r="I79" s="137"/>
      <c r="J79" s="137"/>
      <c r="K79" s="137"/>
      <c r="L79" s="137"/>
      <c r="M79" s="137"/>
      <c r="N79" s="137"/>
      <c r="O79" s="137" t="str">
        <f t="shared" si="2"/>
        <v xml:space="preserve">FALSE, </v>
      </c>
      <c r="P79" s="137"/>
      <c r="Q79" s="137"/>
      <c r="R79" s="137"/>
      <c r="S79" s="137"/>
      <c r="T79" s="137"/>
      <c r="U79" s="137"/>
      <c r="V79" s="137"/>
      <c r="W79" s="137"/>
      <c r="X79" s="137"/>
      <c r="Y79" s="137"/>
      <c r="Z79" s="137"/>
      <c r="AA79" s="137"/>
      <c r="AB79" s="137"/>
      <c r="AC79" s="137"/>
      <c r="AD79" s="137"/>
      <c r="AE79" s="137"/>
      <c r="AF79" s="137"/>
      <c r="AG79" s="137"/>
      <c r="AH79" s="137"/>
      <c r="AI79" s="137"/>
      <c r="AJ79" s="137"/>
      <c r="AK79" s="137"/>
      <c r="AL79" s="137"/>
      <c r="AM79" s="137"/>
      <c r="AN79" s="137"/>
      <c r="AO79" s="137"/>
      <c r="AP79" s="137"/>
      <c r="AQ79" s="137"/>
      <c r="AR79" s="137"/>
      <c r="AS79" s="137"/>
      <c r="AT79" s="137"/>
      <c r="AU79" s="137"/>
      <c r="AV79" s="137"/>
      <c r="AW79" s="137"/>
      <c r="AX79" s="137"/>
      <c r="AY79" s="137"/>
      <c r="AZ79" s="137"/>
      <c r="BA79" s="137"/>
      <c r="BB79" s="137"/>
      <c r="BC79" s="137"/>
      <c r="BD79" s="137"/>
      <c r="BE79" s="137"/>
      <c r="BF79" s="137"/>
      <c r="BG79" s="137"/>
      <c r="BH79" s="137"/>
      <c r="BI79" s="137"/>
      <c r="BJ79" s="137"/>
      <c r="BK79" s="137"/>
      <c r="BL79" s="137"/>
      <c r="BM79" s="137"/>
      <c r="BN79" s="137"/>
      <c r="BO79" s="137"/>
      <c r="BP79" s="137"/>
      <c r="BQ79" s="137"/>
      <c r="BR79" s="137"/>
      <c r="BS79" s="137"/>
      <c r="BT79" s="137"/>
      <c r="BU79" s="137"/>
      <c r="BV79" s="137"/>
      <c r="BW79" s="137"/>
      <c r="BX79" s="137"/>
      <c r="BY79" s="137"/>
      <c r="BZ79" s="137"/>
      <c r="CA79" s="137"/>
      <c r="CB79" s="137"/>
      <c r="CC79" s="137"/>
      <c r="CD79" s="137"/>
      <c r="CE79" s="137"/>
      <c r="CF79" s="137"/>
      <c r="CG79" s="137"/>
      <c r="CH79" s="137"/>
      <c r="CI79" s="137"/>
      <c r="CJ79" s="137"/>
      <c r="CK79" s="137"/>
      <c r="CL79" s="137"/>
      <c r="CM79" s="137"/>
      <c r="CN79" s="137"/>
      <c r="CO79" s="137"/>
      <c r="CP79" s="137"/>
      <c r="CQ79" s="137"/>
      <c r="CR79" s="137"/>
      <c r="CS79" s="137"/>
      <c r="CT79" s="137"/>
      <c r="CU79" s="137"/>
      <c r="CV79" s="137"/>
      <c r="CW79" s="137"/>
      <c r="CX79" s="137"/>
      <c r="CY79" s="137"/>
      <c r="CZ79" s="137"/>
      <c r="DA79" s="137"/>
      <c r="DB79" s="137"/>
    </row>
    <row r="80" spans="1:106" x14ac:dyDescent="0.25">
      <c r="A80" s="134" t="str">
        <f t="shared" si="3"/>
        <v/>
      </c>
      <c r="B80" s="137"/>
      <c r="C80" s="137"/>
      <c r="D80" s="137"/>
      <c r="E80" s="137"/>
      <c r="F80" s="137"/>
      <c r="G80" s="137"/>
      <c r="H80" s="137"/>
      <c r="I80" s="137"/>
      <c r="J80" s="137"/>
      <c r="K80" s="137"/>
      <c r="L80" s="137"/>
      <c r="M80" s="137"/>
      <c r="N80" s="137"/>
      <c r="O80" s="137" t="str">
        <f t="shared" si="2"/>
        <v xml:space="preserve">FALSE, </v>
      </c>
      <c r="P80" s="137"/>
      <c r="Q80" s="137"/>
      <c r="R80" s="137"/>
      <c r="S80" s="137"/>
      <c r="T80" s="137"/>
      <c r="U80" s="137"/>
      <c r="V80" s="137"/>
      <c r="W80" s="137"/>
      <c r="X80" s="137"/>
      <c r="Y80" s="137"/>
      <c r="Z80" s="137"/>
      <c r="AA80" s="137"/>
      <c r="AB80" s="137"/>
      <c r="AC80" s="137"/>
      <c r="AD80" s="137"/>
      <c r="AE80" s="137"/>
      <c r="AF80" s="137"/>
      <c r="AG80" s="137"/>
      <c r="AH80" s="137"/>
      <c r="AI80" s="137"/>
      <c r="AJ80" s="137"/>
      <c r="AK80" s="137"/>
      <c r="AL80" s="137"/>
      <c r="AM80" s="137"/>
      <c r="AN80" s="137"/>
      <c r="AO80" s="137"/>
      <c r="AP80" s="137"/>
      <c r="AQ80" s="137"/>
      <c r="AR80" s="137"/>
      <c r="AS80" s="137"/>
      <c r="AT80" s="137"/>
      <c r="AU80" s="137"/>
      <c r="AV80" s="137"/>
      <c r="AW80" s="137"/>
      <c r="AX80" s="137"/>
      <c r="AY80" s="137"/>
      <c r="AZ80" s="137"/>
      <c r="BA80" s="137"/>
      <c r="BB80" s="137"/>
      <c r="BC80" s="137"/>
      <c r="BD80" s="137"/>
      <c r="BE80" s="137"/>
      <c r="BF80" s="137"/>
      <c r="BG80" s="137"/>
      <c r="BH80" s="137"/>
      <c r="BI80" s="137"/>
      <c r="BJ80" s="137"/>
      <c r="BK80" s="137"/>
      <c r="BL80" s="137"/>
      <c r="BM80" s="137"/>
      <c r="BN80" s="137"/>
      <c r="BO80" s="137"/>
      <c r="BP80" s="137"/>
      <c r="BQ80" s="137"/>
      <c r="BR80" s="137"/>
      <c r="BS80" s="137"/>
      <c r="BT80" s="137"/>
      <c r="BU80" s="137"/>
      <c r="BV80" s="137"/>
      <c r="BW80" s="137"/>
      <c r="BX80" s="137"/>
      <c r="BY80" s="137"/>
      <c r="BZ80" s="137"/>
      <c r="CA80" s="137"/>
      <c r="CB80" s="137"/>
      <c r="CC80" s="137"/>
      <c r="CD80" s="137"/>
      <c r="CE80" s="137"/>
      <c r="CF80" s="137"/>
      <c r="CG80" s="137"/>
      <c r="CH80" s="137"/>
      <c r="CI80" s="137"/>
      <c r="CJ80" s="137"/>
      <c r="CK80" s="137"/>
      <c r="CL80" s="137"/>
      <c r="CM80" s="137"/>
      <c r="CN80" s="137"/>
      <c r="CO80" s="137"/>
      <c r="CP80" s="137"/>
      <c r="CQ80" s="137"/>
      <c r="CR80" s="137"/>
      <c r="CS80" s="137"/>
      <c r="CT80" s="137"/>
      <c r="CU80" s="137"/>
      <c r="CV80" s="137"/>
      <c r="CW80" s="137"/>
      <c r="CX80" s="137"/>
      <c r="CY80" s="137"/>
      <c r="CZ80" s="137"/>
      <c r="DA80" s="137"/>
      <c r="DB80" s="137"/>
    </row>
    <row r="81" spans="1:106" x14ac:dyDescent="0.25">
      <c r="A81" s="134" t="str">
        <f t="shared" si="3"/>
        <v/>
      </c>
      <c r="B81" s="137"/>
      <c r="C81" s="137"/>
      <c r="D81" s="137"/>
      <c r="E81" s="137"/>
      <c r="F81" s="137"/>
      <c r="G81" s="137"/>
      <c r="H81" s="137"/>
      <c r="I81" s="137"/>
      <c r="J81" s="137"/>
      <c r="K81" s="137"/>
      <c r="L81" s="137"/>
      <c r="M81" s="137"/>
      <c r="N81" s="137"/>
      <c r="O81" s="137" t="str">
        <f t="shared" si="2"/>
        <v xml:space="preserve">FALSE, </v>
      </c>
      <c r="P81" s="137"/>
      <c r="Q81" s="137"/>
      <c r="R81" s="137"/>
      <c r="S81" s="137"/>
      <c r="T81" s="137"/>
      <c r="U81" s="137"/>
      <c r="V81" s="137"/>
      <c r="W81" s="137"/>
      <c r="X81" s="137"/>
      <c r="Y81" s="137"/>
      <c r="Z81" s="137"/>
      <c r="AA81" s="137"/>
      <c r="AB81" s="137"/>
      <c r="AC81" s="137"/>
      <c r="AD81" s="137"/>
      <c r="AE81" s="137"/>
      <c r="AF81" s="137"/>
      <c r="AG81" s="137"/>
      <c r="AH81" s="137"/>
      <c r="AI81" s="137"/>
      <c r="AJ81" s="137"/>
      <c r="AK81" s="137"/>
      <c r="AL81" s="137"/>
      <c r="AM81" s="137"/>
      <c r="AN81" s="137"/>
      <c r="AO81" s="137"/>
      <c r="AP81" s="137"/>
      <c r="AQ81" s="137"/>
      <c r="AR81" s="137"/>
      <c r="AS81" s="137"/>
      <c r="AT81" s="137"/>
      <c r="AU81" s="137"/>
      <c r="AV81" s="137"/>
      <c r="AW81" s="137"/>
      <c r="AX81" s="137"/>
      <c r="AY81" s="137"/>
      <c r="AZ81" s="137"/>
      <c r="BA81" s="137"/>
      <c r="BB81" s="137"/>
      <c r="BC81" s="137"/>
      <c r="BD81" s="137"/>
      <c r="BE81" s="137"/>
      <c r="BF81" s="137"/>
      <c r="BG81" s="137"/>
      <c r="BH81" s="137"/>
      <c r="BI81" s="137"/>
      <c r="BJ81" s="137"/>
      <c r="BK81" s="137"/>
      <c r="BL81" s="137"/>
      <c r="BM81" s="137"/>
      <c r="BN81" s="137"/>
      <c r="BO81" s="137"/>
      <c r="BP81" s="137"/>
      <c r="BQ81" s="137"/>
      <c r="BR81" s="137"/>
      <c r="BS81" s="137"/>
      <c r="BT81" s="137"/>
      <c r="BU81" s="137"/>
      <c r="BV81" s="137"/>
      <c r="BW81" s="137"/>
      <c r="BX81" s="137"/>
      <c r="BY81" s="137"/>
      <c r="BZ81" s="137"/>
      <c r="CA81" s="137"/>
      <c r="CB81" s="137"/>
      <c r="CC81" s="137"/>
      <c r="CD81" s="137"/>
      <c r="CE81" s="137"/>
      <c r="CF81" s="137"/>
      <c r="CG81" s="137"/>
      <c r="CH81" s="137"/>
      <c r="CI81" s="137"/>
      <c r="CJ81" s="137"/>
      <c r="CK81" s="137"/>
      <c r="CL81" s="137"/>
      <c r="CM81" s="137"/>
      <c r="CN81" s="137"/>
      <c r="CO81" s="137"/>
      <c r="CP81" s="137"/>
      <c r="CQ81" s="137"/>
      <c r="CR81" s="137"/>
      <c r="CS81" s="137"/>
      <c r="CT81" s="137"/>
      <c r="CU81" s="137"/>
      <c r="CV81" s="137"/>
      <c r="CW81" s="137"/>
      <c r="CX81" s="137"/>
      <c r="CY81" s="137"/>
      <c r="CZ81" s="137"/>
      <c r="DA81" s="137"/>
      <c r="DB81" s="137"/>
    </row>
    <row r="82" spans="1:106" x14ac:dyDescent="0.25">
      <c r="A82" s="134" t="str">
        <f t="shared" si="3"/>
        <v/>
      </c>
      <c r="B82" s="137"/>
      <c r="C82" s="137"/>
      <c r="D82" s="137"/>
      <c r="E82" s="137"/>
      <c r="F82" s="137"/>
      <c r="G82" s="137"/>
      <c r="H82" s="137"/>
      <c r="I82" s="137"/>
      <c r="J82" s="137"/>
      <c r="K82" s="137"/>
      <c r="L82" s="137"/>
      <c r="M82" s="137"/>
      <c r="N82" s="137"/>
      <c r="O82" s="137" t="str">
        <f t="shared" si="2"/>
        <v xml:space="preserve">FALSE, </v>
      </c>
      <c r="P82" s="137"/>
      <c r="Q82" s="137"/>
      <c r="R82" s="137"/>
      <c r="S82" s="137"/>
      <c r="T82" s="137"/>
      <c r="U82" s="137"/>
      <c r="V82" s="137"/>
      <c r="W82" s="137"/>
      <c r="X82" s="137"/>
      <c r="Y82" s="137"/>
      <c r="Z82" s="137"/>
      <c r="AA82" s="137"/>
      <c r="AB82" s="137"/>
      <c r="AC82" s="137"/>
      <c r="AD82" s="137"/>
      <c r="AE82" s="137"/>
      <c r="AF82" s="137"/>
      <c r="AG82" s="137"/>
      <c r="AH82" s="137"/>
      <c r="AI82" s="137"/>
      <c r="AJ82" s="137"/>
      <c r="AK82" s="137"/>
      <c r="AL82" s="137"/>
      <c r="AM82" s="137"/>
      <c r="AN82" s="137"/>
      <c r="AO82" s="137"/>
      <c r="AP82" s="137"/>
      <c r="AQ82" s="137"/>
      <c r="AR82" s="137"/>
      <c r="AS82" s="137"/>
      <c r="AT82" s="137"/>
      <c r="AU82" s="137"/>
      <c r="AV82" s="137"/>
      <c r="AW82" s="137"/>
      <c r="AX82" s="137"/>
      <c r="AY82" s="137"/>
      <c r="AZ82" s="137"/>
      <c r="BA82" s="137"/>
      <c r="BB82" s="137"/>
      <c r="BC82" s="137"/>
      <c r="BD82" s="137"/>
      <c r="BE82" s="137"/>
      <c r="BF82" s="137"/>
      <c r="BG82" s="137"/>
      <c r="BH82" s="137"/>
      <c r="BI82" s="137"/>
      <c r="BJ82" s="137"/>
      <c r="BK82" s="137"/>
      <c r="BL82" s="137"/>
      <c r="BM82" s="137"/>
      <c r="BN82" s="137"/>
      <c r="BO82" s="137"/>
      <c r="BP82" s="137"/>
      <c r="BQ82" s="137"/>
      <c r="BR82" s="137"/>
      <c r="BS82" s="137"/>
      <c r="BT82" s="137"/>
      <c r="BU82" s="137"/>
      <c r="BV82" s="137"/>
      <c r="BW82" s="137"/>
      <c r="BX82" s="137"/>
      <c r="BY82" s="137"/>
      <c r="BZ82" s="137"/>
      <c r="CA82" s="137"/>
      <c r="CB82" s="137"/>
      <c r="CC82" s="137"/>
      <c r="CD82" s="137"/>
      <c r="CE82" s="137"/>
      <c r="CF82" s="137"/>
      <c r="CG82" s="137"/>
      <c r="CH82" s="137"/>
      <c r="CI82" s="137"/>
      <c r="CJ82" s="137"/>
      <c r="CK82" s="137"/>
      <c r="CL82" s="137"/>
      <c r="CM82" s="137"/>
      <c r="CN82" s="137"/>
      <c r="CO82" s="137"/>
      <c r="CP82" s="137"/>
      <c r="CQ82" s="137"/>
      <c r="CR82" s="137"/>
      <c r="CS82" s="137"/>
      <c r="CT82" s="137"/>
      <c r="CU82" s="137"/>
      <c r="CV82" s="137"/>
      <c r="CW82" s="137"/>
      <c r="CX82" s="137"/>
      <c r="CY82" s="137"/>
      <c r="CZ82" s="137"/>
      <c r="DA82" s="137"/>
      <c r="DB82" s="137"/>
    </row>
    <row r="83" spans="1:106" x14ac:dyDescent="0.25">
      <c r="A83" s="134" t="str">
        <f t="shared" si="3"/>
        <v/>
      </c>
      <c r="B83" s="137"/>
      <c r="C83" s="137"/>
      <c r="D83" s="137"/>
      <c r="E83" s="137"/>
      <c r="F83" s="137"/>
      <c r="G83" s="137"/>
      <c r="H83" s="137"/>
      <c r="I83" s="137"/>
      <c r="J83" s="137"/>
      <c r="K83" s="137"/>
      <c r="L83" s="137"/>
      <c r="M83" s="137"/>
      <c r="N83" s="137"/>
      <c r="O83" s="137" t="str">
        <f t="shared" si="2"/>
        <v xml:space="preserve">FALSE, </v>
      </c>
      <c r="P83" s="137"/>
      <c r="Q83" s="137"/>
      <c r="R83" s="137"/>
      <c r="S83" s="137"/>
      <c r="T83" s="137"/>
      <c r="U83" s="137"/>
      <c r="V83" s="137"/>
      <c r="W83" s="137"/>
      <c r="X83" s="137"/>
      <c r="Y83" s="137"/>
      <c r="Z83" s="137"/>
      <c r="AA83" s="137"/>
      <c r="AB83" s="137"/>
      <c r="AC83" s="137"/>
      <c r="AD83" s="137"/>
      <c r="AE83" s="137"/>
      <c r="AF83" s="137"/>
      <c r="AG83" s="137"/>
      <c r="AH83" s="137"/>
      <c r="AI83" s="137"/>
      <c r="AJ83" s="137"/>
      <c r="AK83" s="137"/>
      <c r="AL83" s="137"/>
      <c r="AM83" s="137"/>
      <c r="AN83" s="137"/>
      <c r="AO83" s="137"/>
      <c r="AP83" s="137"/>
      <c r="AQ83" s="137"/>
      <c r="AR83" s="137"/>
      <c r="AS83" s="137"/>
      <c r="AT83" s="137"/>
      <c r="AU83" s="137"/>
      <c r="AV83" s="137"/>
      <c r="AW83" s="137"/>
      <c r="AX83" s="137"/>
      <c r="AY83" s="137"/>
      <c r="AZ83" s="137"/>
      <c r="BA83" s="137"/>
      <c r="BB83" s="137"/>
      <c r="BC83" s="137"/>
      <c r="BD83" s="137"/>
      <c r="BE83" s="137"/>
      <c r="BF83" s="137"/>
      <c r="BG83" s="137"/>
      <c r="BH83" s="137"/>
      <c r="BI83" s="137"/>
      <c r="BJ83" s="137"/>
      <c r="BK83" s="137"/>
      <c r="BL83" s="137"/>
      <c r="BM83" s="137"/>
      <c r="BN83" s="137"/>
      <c r="BO83" s="137"/>
      <c r="BP83" s="137"/>
      <c r="BQ83" s="137"/>
      <c r="BR83" s="137"/>
      <c r="BS83" s="137"/>
      <c r="BT83" s="137"/>
      <c r="BU83" s="137"/>
      <c r="BV83" s="137"/>
      <c r="BW83" s="137"/>
      <c r="BX83" s="137"/>
      <c r="BY83" s="137"/>
      <c r="BZ83" s="137"/>
      <c r="CA83" s="137"/>
      <c r="CB83" s="137"/>
      <c r="CC83" s="137"/>
      <c r="CD83" s="137"/>
      <c r="CE83" s="137"/>
      <c r="CF83" s="137"/>
      <c r="CG83" s="137"/>
      <c r="CH83" s="137"/>
      <c r="CI83" s="137"/>
      <c r="CJ83" s="137"/>
      <c r="CK83" s="137"/>
      <c r="CL83" s="137"/>
      <c r="CM83" s="137"/>
      <c r="CN83" s="137"/>
      <c r="CO83" s="137"/>
      <c r="CP83" s="137"/>
      <c r="CQ83" s="137"/>
      <c r="CR83" s="137"/>
      <c r="CS83" s="137"/>
      <c r="CT83" s="137"/>
      <c r="CU83" s="137"/>
      <c r="CV83" s="137"/>
      <c r="CW83" s="137"/>
      <c r="CX83" s="137"/>
      <c r="CY83" s="137"/>
      <c r="CZ83" s="137"/>
      <c r="DA83" s="137"/>
      <c r="DB83" s="137"/>
    </row>
    <row r="84" spans="1:106" x14ac:dyDescent="0.25">
      <c r="A84" s="134" t="str">
        <f t="shared" si="3"/>
        <v/>
      </c>
      <c r="B84" s="137"/>
      <c r="C84" s="137"/>
      <c r="D84" s="137"/>
      <c r="E84" s="137"/>
      <c r="F84" s="137"/>
      <c r="G84" s="137"/>
      <c r="H84" s="137"/>
      <c r="I84" s="137"/>
      <c r="J84" s="137"/>
      <c r="K84" s="137"/>
      <c r="L84" s="137"/>
      <c r="M84" s="137"/>
      <c r="N84" s="137"/>
      <c r="O84" s="137" t="str">
        <f t="shared" si="2"/>
        <v xml:space="preserve">FALSE, </v>
      </c>
      <c r="P84" s="137"/>
      <c r="Q84" s="137"/>
      <c r="R84" s="137"/>
      <c r="S84" s="137"/>
      <c r="T84" s="137"/>
      <c r="U84" s="137"/>
      <c r="V84" s="137"/>
      <c r="W84" s="137"/>
      <c r="X84" s="137"/>
      <c r="Y84" s="137"/>
      <c r="Z84" s="137"/>
      <c r="AA84" s="137"/>
      <c r="AB84" s="137"/>
      <c r="AC84" s="137"/>
      <c r="AD84" s="137"/>
      <c r="AE84" s="137"/>
      <c r="AF84" s="137"/>
      <c r="AG84" s="137"/>
      <c r="AH84" s="137"/>
      <c r="AI84" s="137"/>
      <c r="AJ84" s="137"/>
      <c r="AK84" s="137"/>
      <c r="AL84" s="137"/>
      <c r="AM84" s="137"/>
      <c r="AN84" s="137"/>
      <c r="AO84" s="137"/>
      <c r="AP84" s="137"/>
      <c r="AQ84" s="137"/>
      <c r="AR84" s="137"/>
      <c r="AS84" s="137"/>
      <c r="AT84" s="137"/>
      <c r="AU84" s="137"/>
      <c r="AV84" s="137"/>
      <c r="AW84" s="137"/>
      <c r="AX84" s="137"/>
      <c r="AY84" s="137"/>
      <c r="AZ84" s="137"/>
      <c r="BA84" s="137"/>
      <c r="BB84" s="137"/>
      <c r="BC84" s="137"/>
      <c r="BD84" s="137"/>
      <c r="BE84" s="137"/>
      <c r="BF84" s="137"/>
      <c r="BG84" s="137"/>
      <c r="BH84" s="137"/>
      <c r="BI84" s="137"/>
      <c r="BJ84" s="137"/>
      <c r="BK84" s="137"/>
      <c r="BL84" s="137"/>
      <c r="BM84" s="137"/>
      <c r="BN84" s="137"/>
      <c r="BO84" s="137"/>
      <c r="BP84" s="137"/>
      <c r="BQ84" s="137"/>
      <c r="BR84" s="137"/>
      <c r="BS84" s="137"/>
      <c r="BT84" s="137"/>
      <c r="BU84" s="137"/>
      <c r="BV84" s="137"/>
      <c r="BW84" s="137"/>
      <c r="BX84" s="137"/>
      <c r="BY84" s="137"/>
      <c r="BZ84" s="137"/>
      <c r="CA84" s="137"/>
      <c r="CB84" s="137"/>
      <c r="CC84" s="137"/>
      <c r="CD84" s="137"/>
      <c r="CE84" s="137"/>
      <c r="CF84" s="137"/>
      <c r="CG84" s="137"/>
      <c r="CH84" s="137"/>
      <c r="CI84" s="137"/>
      <c r="CJ84" s="137"/>
      <c r="CK84" s="137"/>
      <c r="CL84" s="137"/>
      <c r="CM84" s="137"/>
      <c r="CN84" s="137"/>
      <c r="CO84" s="137"/>
      <c r="CP84" s="137"/>
      <c r="CQ84" s="137"/>
      <c r="CR84" s="137"/>
      <c r="CS84" s="137"/>
      <c r="CT84" s="137"/>
      <c r="CU84" s="137"/>
      <c r="CV84" s="137"/>
      <c r="CW84" s="137"/>
      <c r="CX84" s="137"/>
      <c r="CY84" s="137"/>
      <c r="CZ84" s="137"/>
      <c r="DA84" s="137"/>
      <c r="DB84" s="137"/>
    </row>
    <row r="85" spans="1:106" x14ac:dyDescent="0.25">
      <c r="A85" s="134" t="str">
        <f t="shared" si="3"/>
        <v/>
      </c>
      <c r="B85" s="137"/>
      <c r="C85" s="137"/>
      <c r="D85" s="137"/>
      <c r="E85" s="137"/>
      <c r="F85" s="137"/>
      <c r="G85" s="137"/>
      <c r="H85" s="137"/>
      <c r="I85" s="137"/>
      <c r="J85" s="137"/>
      <c r="K85" s="137"/>
      <c r="L85" s="137"/>
      <c r="M85" s="137"/>
      <c r="N85" s="137"/>
      <c r="O85" s="137" t="str">
        <f t="shared" si="2"/>
        <v xml:space="preserve">FALSE, </v>
      </c>
      <c r="P85" s="137"/>
      <c r="Q85" s="137"/>
      <c r="R85" s="137"/>
      <c r="S85" s="137"/>
      <c r="T85" s="137"/>
      <c r="U85" s="137"/>
      <c r="V85" s="137"/>
      <c r="W85" s="137"/>
      <c r="X85" s="137"/>
      <c r="Y85" s="137"/>
      <c r="Z85" s="137"/>
      <c r="AA85" s="137"/>
      <c r="AB85" s="137"/>
      <c r="AC85" s="137"/>
      <c r="AD85" s="137"/>
      <c r="AE85" s="137"/>
      <c r="AF85" s="137"/>
      <c r="AG85" s="137"/>
      <c r="AH85" s="137"/>
      <c r="AI85" s="137"/>
      <c r="AJ85" s="137"/>
      <c r="AK85" s="137"/>
      <c r="AL85" s="137"/>
      <c r="AM85" s="137"/>
      <c r="AN85" s="137"/>
      <c r="AO85" s="137"/>
      <c r="AP85" s="137"/>
      <c r="AQ85" s="137"/>
      <c r="AR85" s="137"/>
      <c r="AS85" s="137"/>
      <c r="AT85" s="137"/>
      <c r="AU85" s="137"/>
      <c r="AV85" s="137"/>
      <c r="AW85" s="137"/>
      <c r="AX85" s="137"/>
      <c r="AY85" s="137"/>
      <c r="AZ85" s="137"/>
      <c r="BA85" s="137"/>
      <c r="BB85" s="137"/>
      <c r="BC85" s="137"/>
      <c r="BD85" s="137"/>
      <c r="BE85" s="137"/>
      <c r="BF85" s="137"/>
      <c r="BG85" s="137"/>
      <c r="BH85" s="137"/>
      <c r="BI85" s="137"/>
      <c r="BJ85" s="137"/>
      <c r="BK85" s="137"/>
      <c r="BL85" s="137"/>
      <c r="BM85" s="137"/>
      <c r="BN85" s="137"/>
      <c r="BO85" s="137"/>
      <c r="BP85" s="137"/>
      <c r="BQ85" s="137"/>
      <c r="BR85" s="137"/>
      <c r="BS85" s="137"/>
      <c r="BT85" s="137"/>
      <c r="BU85" s="137"/>
      <c r="BV85" s="137"/>
      <c r="BW85" s="137"/>
      <c r="BX85" s="137"/>
      <c r="BY85" s="137"/>
      <c r="BZ85" s="137"/>
      <c r="CA85" s="137"/>
      <c r="CB85" s="137"/>
      <c r="CC85" s="137"/>
      <c r="CD85" s="137"/>
      <c r="CE85" s="137"/>
      <c r="CF85" s="137"/>
      <c r="CG85" s="137"/>
      <c r="CH85" s="137"/>
      <c r="CI85" s="137"/>
      <c r="CJ85" s="137"/>
      <c r="CK85" s="137"/>
      <c r="CL85" s="137"/>
      <c r="CM85" s="137"/>
      <c r="CN85" s="137"/>
      <c r="CO85" s="137"/>
      <c r="CP85" s="137"/>
      <c r="CQ85" s="137"/>
      <c r="CR85" s="137"/>
      <c r="CS85" s="137"/>
      <c r="CT85" s="137"/>
      <c r="CU85" s="137"/>
      <c r="CV85" s="137"/>
      <c r="CW85" s="137"/>
      <c r="CX85" s="137"/>
      <c r="CY85" s="137"/>
      <c r="CZ85" s="137"/>
      <c r="DA85" s="137"/>
      <c r="DB85" s="137"/>
    </row>
    <row r="86" spans="1:106" x14ac:dyDescent="0.25">
      <c r="A86" s="134" t="str">
        <f t="shared" si="3"/>
        <v/>
      </c>
      <c r="B86" s="137"/>
      <c r="C86" s="137"/>
      <c r="D86" s="137"/>
      <c r="E86" s="137"/>
      <c r="F86" s="137"/>
      <c r="G86" s="137"/>
      <c r="H86" s="137"/>
      <c r="I86" s="137"/>
      <c r="J86" s="137"/>
      <c r="K86" s="137"/>
      <c r="L86" s="137"/>
      <c r="M86" s="137"/>
      <c r="N86" s="137"/>
      <c r="O86" s="137" t="str">
        <f t="shared" si="2"/>
        <v xml:space="preserve">FALSE, </v>
      </c>
      <c r="P86" s="137"/>
      <c r="Q86" s="137"/>
      <c r="R86" s="137"/>
      <c r="S86" s="137"/>
      <c r="T86" s="137"/>
      <c r="U86" s="137"/>
      <c r="V86" s="137"/>
      <c r="W86" s="137"/>
      <c r="X86" s="137"/>
      <c r="Y86" s="137"/>
      <c r="Z86" s="137"/>
      <c r="AA86" s="137"/>
      <c r="AB86" s="137"/>
      <c r="AC86" s="137"/>
      <c r="AD86" s="137"/>
      <c r="AE86" s="137"/>
      <c r="AF86" s="137"/>
      <c r="AG86" s="137"/>
      <c r="AH86" s="137"/>
      <c r="AI86" s="137"/>
      <c r="AJ86" s="137"/>
      <c r="AK86" s="137"/>
      <c r="AL86" s="137"/>
      <c r="AM86" s="137"/>
      <c r="AN86" s="137"/>
      <c r="AO86" s="137"/>
      <c r="AP86" s="137"/>
      <c r="AQ86" s="137"/>
      <c r="AR86" s="137"/>
      <c r="AS86" s="137"/>
      <c r="AT86" s="137"/>
      <c r="AU86" s="137"/>
      <c r="AV86" s="137"/>
      <c r="AW86" s="137"/>
      <c r="AX86" s="137"/>
      <c r="AY86" s="137"/>
      <c r="AZ86" s="137"/>
      <c r="BA86" s="137"/>
      <c r="BB86" s="137"/>
      <c r="BC86" s="137"/>
      <c r="BD86" s="137"/>
      <c r="BE86" s="137"/>
      <c r="BF86" s="137"/>
      <c r="BG86" s="137"/>
      <c r="BH86" s="137"/>
      <c r="BI86" s="137"/>
      <c r="BJ86" s="137"/>
      <c r="BK86" s="137"/>
      <c r="BL86" s="137"/>
      <c r="BM86" s="137"/>
      <c r="BN86" s="137"/>
      <c r="BO86" s="137"/>
      <c r="BP86" s="137"/>
      <c r="BQ86" s="137"/>
      <c r="BR86" s="137"/>
      <c r="BS86" s="137"/>
      <c r="BT86" s="137"/>
      <c r="BU86" s="137"/>
      <c r="BV86" s="137"/>
      <c r="BW86" s="137"/>
      <c r="BX86" s="137"/>
      <c r="BY86" s="137"/>
      <c r="BZ86" s="137"/>
      <c r="CA86" s="137"/>
      <c r="CB86" s="137"/>
      <c r="CC86" s="137"/>
      <c r="CD86" s="137"/>
      <c r="CE86" s="137"/>
      <c r="CF86" s="137"/>
      <c r="CG86" s="137"/>
      <c r="CH86" s="137"/>
      <c r="CI86" s="137"/>
      <c r="CJ86" s="137"/>
      <c r="CK86" s="137"/>
      <c r="CL86" s="137"/>
      <c r="CM86" s="137"/>
      <c r="CN86" s="137"/>
      <c r="CO86" s="137"/>
      <c r="CP86" s="137"/>
      <c r="CQ86" s="137"/>
      <c r="CR86" s="137"/>
      <c r="CS86" s="137"/>
      <c r="CT86" s="137"/>
      <c r="CU86" s="137"/>
      <c r="CV86" s="137"/>
      <c r="CW86" s="137"/>
      <c r="CX86" s="137"/>
      <c r="CY86" s="137"/>
      <c r="CZ86" s="137"/>
      <c r="DA86" s="137"/>
      <c r="DB86" s="137"/>
    </row>
    <row r="87" spans="1:106" x14ac:dyDescent="0.25">
      <c r="A87" s="134" t="str">
        <f t="shared" si="3"/>
        <v/>
      </c>
      <c r="B87" s="137"/>
      <c r="C87" s="137"/>
      <c r="D87" s="137"/>
      <c r="E87" s="137"/>
      <c r="F87" s="137"/>
      <c r="G87" s="137"/>
      <c r="H87" s="137"/>
      <c r="I87" s="137"/>
      <c r="J87" s="137"/>
      <c r="K87" s="137"/>
      <c r="L87" s="137"/>
      <c r="M87" s="137"/>
      <c r="N87" s="137"/>
      <c r="O87" s="137" t="str">
        <f t="shared" si="2"/>
        <v xml:space="preserve">FALSE, </v>
      </c>
      <c r="P87" s="137"/>
      <c r="Q87" s="137"/>
      <c r="R87" s="137"/>
      <c r="S87" s="137"/>
      <c r="T87" s="137"/>
      <c r="U87" s="137"/>
      <c r="V87" s="137"/>
      <c r="W87" s="137"/>
      <c r="X87" s="137"/>
      <c r="Y87" s="137"/>
      <c r="Z87" s="137"/>
      <c r="AA87" s="137"/>
      <c r="AB87" s="137"/>
      <c r="AC87" s="137"/>
      <c r="AD87" s="137"/>
      <c r="AE87" s="137"/>
      <c r="AF87" s="137"/>
      <c r="AG87" s="137"/>
      <c r="AH87" s="137"/>
      <c r="AI87" s="137"/>
      <c r="AJ87" s="137"/>
      <c r="AK87" s="137"/>
      <c r="AL87" s="137"/>
      <c r="AM87" s="137"/>
      <c r="AN87" s="137"/>
      <c r="AO87" s="137"/>
      <c r="AP87" s="137"/>
      <c r="AQ87" s="137"/>
      <c r="AR87" s="137"/>
      <c r="AS87" s="137"/>
      <c r="AT87" s="137"/>
      <c r="AU87" s="137"/>
      <c r="AV87" s="137"/>
      <c r="AW87" s="137"/>
      <c r="AX87" s="137"/>
      <c r="AY87" s="137"/>
      <c r="AZ87" s="137"/>
      <c r="BA87" s="137"/>
      <c r="BB87" s="137"/>
      <c r="BC87" s="137"/>
      <c r="BD87" s="137"/>
      <c r="BE87" s="137"/>
      <c r="BF87" s="137"/>
      <c r="BG87" s="137"/>
      <c r="BH87" s="137"/>
      <c r="BI87" s="137"/>
      <c r="BJ87" s="137"/>
      <c r="BK87" s="137"/>
      <c r="BL87" s="137"/>
      <c r="BM87" s="137"/>
      <c r="BN87" s="137"/>
      <c r="BO87" s="137"/>
      <c r="BP87" s="137"/>
      <c r="BQ87" s="137"/>
      <c r="BR87" s="137"/>
      <c r="BS87" s="137"/>
      <c r="BT87" s="137"/>
      <c r="BU87" s="137"/>
      <c r="BV87" s="137"/>
      <c r="BW87" s="137"/>
      <c r="BX87" s="137"/>
      <c r="BY87" s="137"/>
      <c r="BZ87" s="137"/>
      <c r="CA87" s="137"/>
      <c r="CB87" s="137"/>
      <c r="CC87" s="137"/>
      <c r="CD87" s="137"/>
      <c r="CE87" s="137"/>
      <c r="CF87" s="137"/>
      <c r="CG87" s="137"/>
      <c r="CH87" s="137"/>
      <c r="CI87" s="137"/>
      <c r="CJ87" s="137"/>
      <c r="CK87" s="137"/>
      <c r="CL87" s="137"/>
      <c r="CM87" s="137"/>
      <c r="CN87" s="137"/>
      <c r="CO87" s="137"/>
      <c r="CP87" s="137"/>
      <c r="CQ87" s="137"/>
      <c r="CR87" s="137"/>
      <c r="CS87" s="137"/>
      <c r="CT87" s="137"/>
      <c r="CU87" s="137"/>
      <c r="CV87" s="137"/>
      <c r="CW87" s="137"/>
      <c r="CX87" s="137"/>
      <c r="CY87" s="137"/>
      <c r="CZ87" s="137"/>
      <c r="DA87" s="137"/>
      <c r="DB87" s="137"/>
    </row>
    <row r="88" spans="1:106" x14ac:dyDescent="0.25">
      <c r="A88" s="134" t="str">
        <f t="shared" si="3"/>
        <v/>
      </c>
      <c r="B88" s="137"/>
      <c r="C88" s="137"/>
      <c r="D88" s="137"/>
      <c r="E88" s="137"/>
      <c r="F88" s="137"/>
      <c r="G88" s="137"/>
      <c r="H88" s="137"/>
      <c r="I88" s="137"/>
      <c r="J88" s="137"/>
      <c r="K88" s="137"/>
      <c r="L88" s="137"/>
      <c r="M88" s="137"/>
      <c r="N88" s="137"/>
      <c r="O88" s="137" t="str">
        <f t="shared" si="2"/>
        <v xml:space="preserve">FALSE, </v>
      </c>
      <c r="P88" s="137"/>
      <c r="Q88" s="137"/>
      <c r="R88" s="137"/>
      <c r="S88" s="137"/>
      <c r="T88" s="137"/>
      <c r="U88" s="137"/>
      <c r="V88" s="137"/>
      <c r="W88" s="137"/>
      <c r="X88" s="137"/>
      <c r="Y88" s="137"/>
      <c r="Z88" s="137"/>
      <c r="AA88" s="137"/>
      <c r="AB88" s="137"/>
      <c r="AC88" s="137"/>
      <c r="AD88" s="137"/>
      <c r="AE88" s="137"/>
      <c r="AF88" s="137"/>
      <c r="AG88" s="137"/>
      <c r="AH88" s="137"/>
      <c r="AI88" s="137"/>
      <c r="AJ88" s="137"/>
      <c r="AK88" s="137"/>
      <c r="AL88" s="137"/>
      <c r="AM88" s="137"/>
      <c r="AN88" s="137"/>
      <c r="AO88" s="137"/>
      <c r="AP88" s="137"/>
      <c r="AQ88" s="137"/>
      <c r="AR88" s="137"/>
      <c r="AS88" s="137"/>
      <c r="AT88" s="137"/>
      <c r="AU88" s="137"/>
      <c r="AV88" s="137"/>
      <c r="AW88" s="137"/>
      <c r="AX88" s="137"/>
      <c r="AY88" s="137"/>
      <c r="AZ88" s="137"/>
      <c r="BA88" s="137"/>
      <c r="BB88" s="137"/>
      <c r="BC88" s="137"/>
      <c r="BD88" s="137"/>
      <c r="BE88" s="137"/>
      <c r="BF88" s="137"/>
      <c r="BG88" s="137"/>
      <c r="BH88" s="137"/>
      <c r="BI88" s="137"/>
      <c r="BJ88" s="137"/>
      <c r="BK88" s="137"/>
      <c r="BL88" s="137"/>
      <c r="BM88" s="137"/>
      <c r="BN88" s="137"/>
      <c r="BO88" s="137"/>
      <c r="BP88" s="137"/>
      <c r="BQ88" s="137"/>
      <c r="BR88" s="137"/>
      <c r="BS88" s="137"/>
      <c r="BT88" s="137"/>
      <c r="BU88" s="137"/>
      <c r="BV88" s="137"/>
      <c r="BW88" s="137"/>
      <c r="BX88" s="137"/>
      <c r="BY88" s="137"/>
      <c r="BZ88" s="137"/>
      <c r="CA88" s="137"/>
      <c r="CB88" s="137"/>
      <c r="CC88" s="137"/>
      <c r="CD88" s="137"/>
      <c r="CE88" s="137"/>
      <c r="CF88" s="137"/>
      <c r="CG88" s="137"/>
      <c r="CH88" s="137"/>
      <c r="CI88" s="137"/>
      <c r="CJ88" s="137"/>
      <c r="CK88" s="137"/>
      <c r="CL88" s="137"/>
      <c r="CM88" s="137"/>
      <c r="CN88" s="137"/>
      <c r="CO88" s="137"/>
      <c r="CP88" s="137"/>
      <c r="CQ88" s="137"/>
      <c r="CR88" s="137"/>
      <c r="CS88" s="137"/>
      <c r="CT88" s="137"/>
      <c r="CU88" s="137"/>
      <c r="CV88" s="137"/>
      <c r="CW88" s="137"/>
      <c r="CX88" s="137"/>
      <c r="CY88" s="137"/>
      <c r="CZ88" s="137"/>
      <c r="DA88" s="137"/>
      <c r="DB88" s="137"/>
    </row>
    <row r="89" spans="1:106" x14ac:dyDescent="0.25">
      <c r="A89" s="134" t="str">
        <f t="shared" si="3"/>
        <v/>
      </c>
      <c r="B89" s="137"/>
      <c r="C89" s="137"/>
      <c r="D89" s="137"/>
      <c r="E89" s="137"/>
      <c r="F89" s="137"/>
      <c r="G89" s="137"/>
      <c r="H89" s="137"/>
      <c r="I89" s="137"/>
      <c r="J89" s="137"/>
      <c r="K89" s="137"/>
      <c r="L89" s="137"/>
      <c r="M89" s="137"/>
      <c r="N89" s="137"/>
      <c r="O89" s="137" t="str">
        <f t="shared" si="2"/>
        <v xml:space="preserve">FALSE, </v>
      </c>
      <c r="P89" s="137"/>
      <c r="Q89" s="137"/>
      <c r="R89" s="137"/>
      <c r="S89" s="137"/>
      <c r="T89" s="137"/>
      <c r="U89" s="137"/>
      <c r="V89" s="137"/>
      <c r="W89" s="137"/>
      <c r="X89" s="137"/>
      <c r="Y89" s="137"/>
      <c r="Z89" s="137"/>
      <c r="AA89" s="137"/>
      <c r="AB89" s="137"/>
      <c r="AC89" s="137"/>
      <c r="AD89" s="137"/>
      <c r="AE89" s="137"/>
      <c r="AF89" s="137"/>
      <c r="AG89" s="137"/>
      <c r="AH89" s="137"/>
      <c r="AI89" s="137"/>
      <c r="AJ89" s="137"/>
      <c r="AK89" s="137"/>
      <c r="AL89" s="137"/>
      <c r="AM89" s="137"/>
      <c r="AN89" s="137"/>
      <c r="AO89" s="137"/>
      <c r="AP89" s="137"/>
      <c r="AQ89" s="137"/>
      <c r="AR89" s="137"/>
      <c r="AS89" s="137"/>
      <c r="AT89" s="137"/>
      <c r="AU89" s="137"/>
      <c r="AV89" s="137"/>
      <c r="AW89" s="137"/>
      <c r="AX89" s="137"/>
      <c r="AY89" s="137"/>
      <c r="AZ89" s="137"/>
      <c r="BA89" s="137"/>
      <c r="BB89" s="137"/>
      <c r="BC89" s="137"/>
      <c r="BD89" s="137"/>
      <c r="BE89" s="137"/>
      <c r="BF89" s="137"/>
      <c r="BG89" s="137"/>
      <c r="BH89" s="137"/>
      <c r="BI89" s="137"/>
      <c r="BJ89" s="137"/>
      <c r="BK89" s="137"/>
      <c r="BL89" s="137"/>
      <c r="BM89" s="137"/>
      <c r="BN89" s="137"/>
      <c r="BO89" s="137"/>
      <c r="BP89" s="137"/>
      <c r="BQ89" s="137"/>
      <c r="BR89" s="137"/>
      <c r="BS89" s="137"/>
      <c r="BT89" s="137"/>
      <c r="BU89" s="137"/>
      <c r="BV89" s="137"/>
      <c r="BW89" s="137"/>
      <c r="BX89" s="137"/>
      <c r="BY89" s="137"/>
      <c r="BZ89" s="137"/>
      <c r="CA89" s="137"/>
      <c r="CB89" s="137"/>
      <c r="CC89" s="137"/>
      <c r="CD89" s="137"/>
      <c r="CE89" s="137"/>
      <c r="CF89" s="137"/>
      <c r="CG89" s="137"/>
      <c r="CH89" s="137"/>
      <c r="CI89" s="137"/>
      <c r="CJ89" s="137"/>
      <c r="CK89" s="137"/>
      <c r="CL89" s="137"/>
      <c r="CM89" s="137"/>
      <c r="CN89" s="137"/>
      <c r="CO89" s="137"/>
      <c r="CP89" s="137"/>
      <c r="CQ89" s="137"/>
      <c r="CR89" s="137"/>
      <c r="CS89" s="137"/>
      <c r="CT89" s="137"/>
      <c r="CU89" s="137"/>
      <c r="CV89" s="137"/>
      <c r="CW89" s="137"/>
      <c r="CX89" s="137"/>
      <c r="CY89" s="137"/>
      <c r="CZ89" s="137"/>
      <c r="DA89" s="137"/>
      <c r="DB89" s="137"/>
    </row>
    <row r="90" spans="1:106" x14ac:dyDescent="0.25">
      <c r="A90" s="134" t="str">
        <f t="shared" si="3"/>
        <v/>
      </c>
      <c r="B90" s="137"/>
      <c r="C90" s="137"/>
      <c r="D90" s="137"/>
      <c r="E90" s="137"/>
      <c r="F90" s="137"/>
      <c r="G90" s="137"/>
      <c r="H90" s="137"/>
      <c r="I90" s="137"/>
      <c r="J90" s="137"/>
      <c r="K90" s="137"/>
      <c r="L90" s="137"/>
      <c r="M90" s="137"/>
      <c r="N90" s="137"/>
      <c r="O90" s="137" t="str">
        <f t="shared" si="2"/>
        <v xml:space="preserve">FALSE, </v>
      </c>
      <c r="P90" s="137"/>
      <c r="Q90" s="137"/>
      <c r="R90" s="137"/>
      <c r="S90" s="137"/>
      <c r="T90" s="137"/>
      <c r="U90" s="137"/>
      <c r="V90" s="137"/>
      <c r="W90" s="137"/>
      <c r="X90" s="137"/>
      <c r="Y90" s="137"/>
      <c r="Z90" s="137"/>
      <c r="AA90" s="137"/>
      <c r="AB90" s="137"/>
      <c r="AC90" s="137"/>
      <c r="AD90" s="137"/>
      <c r="AE90" s="137"/>
      <c r="AF90" s="137"/>
      <c r="AG90" s="137"/>
      <c r="AH90" s="137"/>
      <c r="AI90" s="137"/>
      <c r="AJ90" s="137"/>
      <c r="AK90" s="137"/>
      <c r="AL90" s="137"/>
      <c r="AM90" s="137"/>
      <c r="AN90" s="137"/>
      <c r="AO90" s="137"/>
      <c r="AP90" s="137"/>
      <c r="AQ90" s="137"/>
      <c r="AR90" s="137"/>
      <c r="AS90" s="137"/>
      <c r="AT90" s="137"/>
      <c r="AU90" s="137"/>
      <c r="AV90" s="137"/>
      <c r="AW90" s="137"/>
      <c r="AX90" s="137"/>
      <c r="AY90" s="137"/>
      <c r="AZ90" s="137"/>
      <c r="BA90" s="137"/>
      <c r="BB90" s="137"/>
      <c r="BC90" s="137"/>
      <c r="BD90" s="137"/>
      <c r="BE90" s="137"/>
      <c r="BF90" s="137"/>
      <c r="BG90" s="137"/>
      <c r="BH90" s="137"/>
      <c r="BI90" s="137"/>
      <c r="BJ90" s="137"/>
      <c r="BK90" s="137"/>
      <c r="BL90" s="137"/>
      <c r="BM90" s="137"/>
      <c r="BN90" s="137"/>
      <c r="BO90" s="137"/>
      <c r="BP90" s="137"/>
      <c r="BQ90" s="137"/>
      <c r="BR90" s="137"/>
      <c r="BS90" s="137"/>
      <c r="BT90" s="137"/>
      <c r="BU90" s="137"/>
      <c r="BV90" s="137"/>
      <c r="BW90" s="137"/>
      <c r="BX90" s="137"/>
      <c r="BY90" s="137"/>
      <c r="BZ90" s="137"/>
      <c r="CA90" s="137"/>
      <c r="CB90" s="137"/>
      <c r="CC90" s="137"/>
      <c r="CD90" s="137"/>
      <c r="CE90" s="137"/>
      <c r="CF90" s="137"/>
      <c r="CG90" s="137"/>
      <c r="CH90" s="137"/>
      <c r="CI90" s="137"/>
      <c r="CJ90" s="137"/>
      <c r="CK90" s="137"/>
      <c r="CL90" s="137"/>
      <c r="CM90" s="137"/>
      <c r="CN90" s="137"/>
      <c r="CO90" s="137"/>
      <c r="CP90" s="137"/>
      <c r="CQ90" s="137"/>
      <c r="CR90" s="137"/>
      <c r="CS90" s="137"/>
      <c r="CT90" s="137"/>
      <c r="CU90" s="137"/>
      <c r="CV90" s="137"/>
      <c r="CW90" s="137"/>
      <c r="CX90" s="137"/>
      <c r="CY90" s="137"/>
      <c r="CZ90" s="137"/>
      <c r="DA90" s="137"/>
      <c r="DB90" s="137"/>
    </row>
    <row r="91" spans="1:106" x14ac:dyDescent="0.25">
      <c r="A91" s="134" t="str">
        <f t="shared" si="3"/>
        <v/>
      </c>
      <c r="B91" s="137"/>
      <c r="C91" s="137"/>
      <c r="D91" s="137"/>
      <c r="E91" s="137"/>
      <c r="F91" s="137"/>
      <c r="G91" s="137"/>
      <c r="H91" s="137"/>
      <c r="I91" s="137"/>
      <c r="J91" s="137"/>
      <c r="K91" s="137"/>
      <c r="L91" s="137"/>
      <c r="M91" s="137"/>
      <c r="N91" s="137"/>
      <c r="O91" s="137" t="str">
        <f t="shared" si="2"/>
        <v xml:space="preserve">FALSE, </v>
      </c>
      <c r="P91" s="137"/>
      <c r="Q91" s="137"/>
      <c r="R91" s="137"/>
      <c r="S91" s="137"/>
      <c r="T91" s="137"/>
      <c r="U91" s="137"/>
      <c r="V91" s="137"/>
      <c r="W91" s="137"/>
      <c r="X91" s="137"/>
      <c r="Y91" s="137"/>
      <c r="Z91" s="137"/>
      <c r="AA91" s="137"/>
      <c r="AB91" s="137"/>
      <c r="AC91" s="137"/>
      <c r="AD91" s="137"/>
      <c r="AE91" s="137"/>
      <c r="AF91" s="137"/>
      <c r="AG91" s="137"/>
      <c r="AH91" s="137"/>
      <c r="AI91" s="137"/>
      <c r="AJ91" s="137"/>
      <c r="AK91" s="137"/>
      <c r="AL91" s="137"/>
      <c r="AM91" s="137"/>
      <c r="AN91" s="137"/>
      <c r="AO91" s="137"/>
      <c r="AP91" s="137"/>
      <c r="AQ91" s="137"/>
      <c r="AR91" s="137"/>
      <c r="AS91" s="137"/>
      <c r="AT91" s="137"/>
      <c r="AU91" s="137"/>
      <c r="AV91" s="137"/>
      <c r="AW91" s="137"/>
      <c r="AX91" s="137"/>
      <c r="AY91" s="137"/>
      <c r="AZ91" s="137"/>
      <c r="BA91" s="137"/>
      <c r="BB91" s="137"/>
      <c r="BC91" s="137"/>
      <c r="BD91" s="137"/>
      <c r="BE91" s="137"/>
      <c r="BF91" s="137"/>
      <c r="BG91" s="137"/>
      <c r="BH91" s="137"/>
      <c r="BI91" s="137"/>
      <c r="BJ91" s="137"/>
      <c r="BK91" s="137"/>
      <c r="BL91" s="137"/>
      <c r="BM91" s="137"/>
      <c r="BN91" s="137"/>
      <c r="BO91" s="137"/>
      <c r="BP91" s="137"/>
      <c r="BQ91" s="137"/>
      <c r="BR91" s="137"/>
      <c r="BS91" s="137"/>
      <c r="BT91" s="137"/>
      <c r="BU91" s="137"/>
      <c r="BV91" s="137"/>
      <c r="BW91" s="137"/>
      <c r="BX91" s="137"/>
      <c r="BY91" s="137"/>
      <c r="BZ91" s="137"/>
      <c r="CA91" s="137"/>
      <c r="CB91" s="137"/>
      <c r="CC91" s="137"/>
      <c r="CD91" s="137"/>
      <c r="CE91" s="137"/>
      <c r="CF91" s="137"/>
      <c r="CG91" s="137"/>
      <c r="CH91" s="137"/>
      <c r="CI91" s="137"/>
      <c r="CJ91" s="137"/>
      <c r="CK91" s="137"/>
      <c r="CL91" s="137"/>
      <c r="CM91" s="137"/>
      <c r="CN91" s="137"/>
      <c r="CO91" s="137"/>
      <c r="CP91" s="137"/>
      <c r="CQ91" s="137"/>
      <c r="CR91" s="137"/>
      <c r="CS91" s="137"/>
      <c r="CT91" s="137"/>
      <c r="CU91" s="137"/>
      <c r="CV91" s="137"/>
      <c r="CW91" s="137"/>
      <c r="CX91" s="137"/>
      <c r="CY91" s="137"/>
      <c r="CZ91" s="137"/>
      <c r="DA91" s="137"/>
      <c r="DB91" s="137"/>
    </row>
    <row r="92" spans="1:106" x14ac:dyDescent="0.25">
      <c r="A92" s="134" t="str">
        <f t="shared" si="3"/>
        <v/>
      </c>
      <c r="B92" s="137"/>
      <c r="C92" s="137"/>
      <c r="D92" s="137"/>
      <c r="E92" s="137"/>
      <c r="F92" s="137"/>
      <c r="G92" s="137"/>
      <c r="H92" s="137"/>
      <c r="I92" s="137"/>
      <c r="J92" s="137"/>
      <c r="K92" s="137"/>
      <c r="L92" s="137"/>
      <c r="M92" s="137"/>
      <c r="N92" s="137"/>
      <c r="O92" s="137" t="str">
        <f t="shared" si="2"/>
        <v xml:space="preserve">FALSE, </v>
      </c>
      <c r="P92" s="137"/>
      <c r="Q92" s="137"/>
      <c r="R92" s="137"/>
      <c r="S92" s="137"/>
      <c r="T92" s="137"/>
      <c r="U92" s="137"/>
      <c r="V92" s="137"/>
      <c r="W92" s="137"/>
      <c r="X92" s="137"/>
      <c r="Y92" s="137"/>
      <c r="Z92" s="137"/>
      <c r="AA92" s="137"/>
      <c r="AB92" s="137"/>
      <c r="AC92" s="137"/>
      <c r="AD92" s="137"/>
      <c r="AE92" s="137"/>
      <c r="AF92" s="137"/>
      <c r="AG92" s="137"/>
      <c r="AH92" s="137"/>
      <c r="AI92" s="137"/>
      <c r="AJ92" s="137"/>
      <c r="AK92" s="137"/>
      <c r="AL92" s="137"/>
      <c r="AM92" s="137"/>
      <c r="AN92" s="137"/>
      <c r="AO92" s="137"/>
      <c r="AP92" s="137"/>
      <c r="AQ92" s="137"/>
      <c r="AR92" s="137"/>
      <c r="AS92" s="137"/>
      <c r="AT92" s="137"/>
      <c r="AU92" s="137"/>
      <c r="AV92" s="137"/>
      <c r="AW92" s="137"/>
      <c r="AX92" s="137"/>
      <c r="AY92" s="137"/>
      <c r="AZ92" s="137"/>
      <c r="BA92" s="137"/>
      <c r="BB92" s="137"/>
      <c r="BC92" s="137"/>
      <c r="BD92" s="137"/>
      <c r="BE92" s="137"/>
      <c r="BF92" s="137"/>
      <c r="BG92" s="137"/>
      <c r="BH92" s="137"/>
      <c r="BI92" s="137"/>
      <c r="BJ92" s="137"/>
      <c r="BK92" s="137"/>
      <c r="BL92" s="137"/>
      <c r="BM92" s="137"/>
      <c r="BN92" s="137"/>
      <c r="BO92" s="137"/>
      <c r="BP92" s="137"/>
      <c r="BQ92" s="137"/>
      <c r="BR92" s="137"/>
      <c r="BS92" s="137"/>
      <c r="BT92" s="137"/>
      <c r="BU92" s="137"/>
      <c r="BV92" s="137"/>
      <c r="BW92" s="137"/>
      <c r="BX92" s="137"/>
      <c r="BY92" s="137"/>
      <c r="BZ92" s="137"/>
      <c r="CA92" s="137"/>
      <c r="CB92" s="137"/>
      <c r="CC92" s="137"/>
      <c r="CD92" s="137"/>
      <c r="CE92" s="137"/>
      <c r="CF92" s="137"/>
      <c r="CG92" s="137"/>
      <c r="CH92" s="137"/>
      <c r="CI92" s="137"/>
      <c r="CJ92" s="137"/>
      <c r="CK92" s="137"/>
      <c r="CL92" s="137"/>
      <c r="CM92" s="137"/>
      <c r="CN92" s="137"/>
      <c r="CO92" s="137"/>
      <c r="CP92" s="137"/>
      <c r="CQ92" s="137"/>
      <c r="CR92" s="137"/>
      <c r="CS92" s="137"/>
      <c r="CT92" s="137"/>
      <c r="CU92" s="137"/>
      <c r="CV92" s="137"/>
      <c r="CW92" s="137"/>
      <c r="CX92" s="137"/>
      <c r="CY92" s="137"/>
      <c r="CZ92" s="137"/>
      <c r="DA92" s="137"/>
      <c r="DB92" s="137"/>
    </row>
    <row r="93" spans="1:106" x14ac:dyDescent="0.25">
      <c r="A93" s="134" t="str">
        <f t="shared" si="3"/>
        <v/>
      </c>
      <c r="B93" s="137"/>
      <c r="C93" s="137"/>
      <c r="D93" s="137"/>
      <c r="E93" s="137"/>
      <c r="F93" s="137"/>
      <c r="G93" s="137"/>
      <c r="H93" s="137"/>
      <c r="I93" s="137"/>
      <c r="J93" s="137"/>
      <c r="K93" s="137"/>
      <c r="L93" s="137"/>
      <c r="M93" s="137"/>
      <c r="N93" s="137"/>
      <c r="O93" s="137" t="str">
        <f t="shared" si="2"/>
        <v xml:space="preserve">FALSE, </v>
      </c>
      <c r="P93" s="137"/>
      <c r="Q93" s="137"/>
      <c r="R93" s="137"/>
      <c r="S93" s="137"/>
      <c r="T93" s="137"/>
      <c r="U93" s="137"/>
      <c r="V93" s="137"/>
      <c r="W93" s="137"/>
      <c r="X93" s="137"/>
      <c r="Y93" s="137"/>
      <c r="Z93" s="137"/>
      <c r="AA93" s="137"/>
      <c r="AB93" s="137"/>
      <c r="AC93" s="137"/>
      <c r="AD93" s="137"/>
      <c r="AE93" s="137"/>
      <c r="AF93" s="137"/>
      <c r="AG93" s="137"/>
      <c r="AH93" s="137"/>
      <c r="AI93" s="137"/>
      <c r="AJ93" s="137"/>
      <c r="AK93" s="137"/>
      <c r="AL93" s="137"/>
      <c r="AM93" s="137"/>
      <c r="AN93" s="137"/>
      <c r="AO93" s="137"/>
      <c r="AP93" s="137"/>
      <c r="AQ93" s="137"/>
      <c r="AR93" s="137"/>
      <c r="AS93" s="137"/>
      <c r="AT93" s="137"/>
      <c r="AU93" s="137"/>
      <c r="AV93" s="137"/>
      <c r="AW93" s="137"/>
      <c r="AX93" s="137"/>
      <c r="AY93" s="137"/>
      <c r="AZ93" s="137"/>
      <c r="BA93" s="137"/>
      <c r="BB93" s="137"/>
      <c r="BC93" s="137"/>
      <c r="BD93" s="137"/>
      <c r="BE93" s="137"/>
      <c r="BF93" s="137"/>
      <c r="BG93" s="137"/>
      <c r="BH93" s="137"/>
      <c r="BI93" s="137"/>
      <c r="BJ93" s="137"/>
      <c r="BK93" s="137"/>
      <c r="BL93" s="137"/>
      <c r="BM93" s="137"/>
      <c r="BN93" s="137"/>
      <c r="BO93" s="137"/>
      <c r="BP93" s="137"/>
      <c r="BQ93" s="137"/>
      <c r="BR93" s="137"/>
      <c r="BS93" s="137"/>
      <c r="BT93" s="137"/>
      <c r="BU93" s="137"/>
      <c r="BV93" s="137"/>
      <c r="BW93" s="137"/>
      <c r="BX93" s="137"/>
      <c r="BY93" s="137"/>
      <c r="BZ93" s="137"/>
      <c r="CA93" s="137"/>
      <c r="CB93" s="137"/>
      <c r="CC93" s="137"/>
      <c r="CD93" s="137"/>
      <c r="CE93" s="137"/>
      <c r="CF93" s="137"/>
      <c r="CG93" s="137"/>
      <c r="CH93" s="137"/>
      <c r="CI93" s="137"/>
      <c r="CJ93" s="137"/>
      <c r="CK93" s="137"/>
      <c r="CL93" s="137"/>
      <c r="CM93" s="137"/>
      <c r="CN93" s="137"/>
      <c r="CO93" s="137"/>
      <c r="CP93" s="137"/>
      <c r="CQ93" s="137"/>
      <c r="CR93" s="137"/>
      <c r="CS93" s="137"/>
      <c r="CT93" s="137"/>
      <c r="CU93" s="137"/>
      <c r="CV93" s="137"/>
      <c r="CW93" s="137"/>
      <c r="CX93" s="137"/>
      <c r="CY93" s="137"/>
      <c r="CZ93" s="137"/>
      <c r="DA93" s="137"/>
      <c r="DB93" s="137"/>
    </row>
    <row r="94" spans="1:106" x14ac:dyDescent="0.25">
      <c r="A94" s="134" t="str">
        <f t="shared" si="3"/>
        <v/>
      </c>
      <c r="B94" s="137"/>
      <c r="C94" s="137"/>
      <c r="D94" s="137"/>
      <c r="E94" s="137"/>
      <c r="F94" s="137"/>
      <c r="G94" s="137"/>
      <c r="H94" s="137"/>
      <c r="I94" s="137"/>
      <c r="J94" s="137"/>
      <c r="K94" s="137"/>
      <c r="L94" s="137"/>
      <c r="M94" s="137"/>
      <c r="N94" s="137"/>
      <c r="O94" s="137" t="str">
        <f t="shared" si="2"/>
        <v xml:space="preserve">FALSE, </v>
      </c>
      <c r="P94" s="137"/>
      <c r="Q94" s="137"/>
      <c r="R94" s="137"/>
      <c r="S94" s="137"/>
      <c r="T94" s="137"/>
      <c r="U94" s="137"/>
      <c r="V94" s="137"/>
      <c r="W94" s="137"/>
      <c r="X94" s="137"/>
      <c r="Y94" s="137"/>
      <c r="Z94" s="137"/>
      <c r="AA94" s="137"/>
      <c r="AB94" s="137"/>
      <c r="AC94" s="137"/>
      <c r="AD94" s="137"/>
      <c r="AE94" s="137"/>
      <c r="AF94" s="137"/>
      <c r="AG94" s="137"/>
      <c r="AH94" s="137"/>
      <c r="AI94" s="137"/>
      <c r="AJ94" s="137"/>
      <c r="AK94" s="137"/>
      <c r="AL94" s="137"/>
      <c r="AM94" s="137"/>
      <c r="AN94" s="137"/>
      <c r="AO94" s="137"/>
      <c r="AP94" s="137"/>
      <c r="AQ94" s="137"/>
      <c r="AR94" s="137"/>
      <c r="AS94" s="137"/>
      <c r="AT94" s="137"/>
      <c r="AU94" s="137"/>
      <c r="AV94" s="137"/>
      <c r="AW94" s="137"/>
      <c r="AX94" s="137"/>
      <c r="AY94" s="137"/>
      <c r="AZ94" s="137"/>
      <c r="BA94" s="137"/>
      <c r="BB94" s="137"/>
      <c r="BC94" s="137"/>
      <c r="BD94" s="137"/>
      <c r="BE94" s="137"/>
      <c r="BF94" s="137"/>
      <c r="BG94" s="137"/>
      <c r="BH94" s="137"/>
      <c r="BI94" s="137"/>
      <c r="BJ94" s="137"/>
      <c r="BK94" s="137"/>
      <c r="BL94" s="137"/>
      <c r="BM94" s="137"/>
      <c r="BN94" s="137"/>
      <c r="BO94" s="137"/>
      <c r="BP94" s="137"/>
      <c r="BQ94" s="137"/>
      <c r="BR94" s="137"/>
      <c r="BS94" s="137"/>
      <c r="BT94" s="137"/>
      <c r="BU94" s="137"/>
      <c r="BV94" s="137"/>
      <c r="BW94" s="137"/>
      <c r="BX94" s="137"/>
      <c r="BY94" s="137"/>
      <c r="BZ94" s="137"/>
      <c r="CA94" s="137"/>
      <c r="CB94" s="137"/>
      <c r="CC94" s="137"/>
      <c r="CD94" s="137"/>
      <c r="CE94" s="137"/>
      <c r="CF94" s="137"/>
      <c r="CG94" s="137"/>
      <c r="CH94" s="137"/>
      <c r="CI94" s="137"/>
      <c r="CJ94" s="137"/>
      <c r="CK94" s="137"/>
      <c r="CL94" s="137"/>
      <c r="CM94" s="137"/>
      <c r="CN94" s="137"/>
      <c r="CO94" s="137"/>
      <c r="CP94" s="137"/>
      <c r="CQ94" s="137"/>
      <c r="CR94" s="137"/>
      <c r="CS94" s="137"/>
      <c r="CT94" s="137"/>
      <c r="CU94" s="137"/>
      <c r="CV94" s="137"/>
      <c r="CW94" s="137"/>
      <c r="CX94" s="137"/>
      <c r="CY94" s="137"/>
      <c r="CZ94" s="137"/>
      <c r="DA94" s="137"/>
      <c r="DB94" s="137"/>
    </row>
    <row r="95" spans="1:106" x14ac:dyDescent="0.25">
      <c r="A95" s="134" t="str">
        <f t="shared" si="3"/>
        <v/>
      </c>
      <c r="B95" s="137"/>
      <c r="C95" s="137"/>
      <c r="D95" s="137"/>
      <c r="E95" s="137"/>
      <c r="F95" s="137"/>
      <c r="G95" s="137"/>
      <c r="H95" s="137"/>
      <c r="I95" s="137"/>
      <c r="J95" s="137"/>
      <c r="K95" s="137"/>
      <c r="L95" s="137"/>
      <c r="M95" s="137"/>
      <c r="N95" s="137"/>
      <c r="O95" s="137" t="str">
        <f t="shared" si="2"/>
        <v xml:space="preserve">FALSE, </v>
      </c>
      <c r="P95" s="137"/>
      <c r="Q95" s="137"/>
      <c r="R95" s="137"/>
      <c r="S95" s="137"/>
      <c r="T95" s="137"/>
      <c r="U95" s="137"/>
      <c r="V95" s="137"/>
      <c r="W95" s="137"/>
      <c r="X95" s="137"/>
      <c r="Y95" s="137"/>
      <c r="Z95" s="137"/>
      <c r="AA95" s="137"/>
      <c r="AB95" s="137"/>
      <c r="AC95" s="137"/>
      <c r="AD95" s="137"/>
      <c r="AE95" s="137"/>
      <c r="AF95" s="137"/>
      <c r="AG95" s="137"/>
      <c r="AH95" s="137"/>
      <c r="AI95" s="137"/>
      <c r="AJ95" s="137"/>
      <c r="AK95" s="137"/>
      <c r="AL95" s="137"/>
      <c r="AM95" s="137"/>
      <c r="AN95" s="137"/>
      <c r="AO95" s="137"/>
      <c r="AP95" s="137"/>
      <c r="AQ95" s="137"/>
      <c r="AR95" s="137"/>
      <c r="AS95" s="137"/>
      <c r="AT95" s="137"/>
      <c r="AU95" s="137"/>
      <c r="AV95" s="137"/>
      <c r="AW95" s="137"/>
      <c r="AX95" s="137"/>
      <c r="AY95" s="137"/>
      <c r="AZ95" s="137"/>
      <c r="BA95" s="137"/>
      <c r="BB95" s="137"/>
      <c r="BC95" s="137"/>
      <c r="BD95" s="137"/>
      <c r="BE95" s="137"/>
      <c r="BF95" s="137"/>
      <c r="BG95" s="137"/>
      <c r="BH95" s="137"/>
      <c r="BI95" s="137"/>
      <c r="BJ95" s="137"/>
      <c r="BK95" s="137"/>
      <c r="BL95" s="137"/>
      <c r="BM95" s="137"/>
      <c r="BN95" s="137"/>
      <c r="BO95" s="137"/>
      <c r="BP95" s="137"/>
      <c r="BQ95" s="137"/>
      <c r="BR95" s="137"/>
      <c r="BS95" s="137"/>
      <c r="BT95" s="137"/>
      <c r="BU95" s="137"/>
      <c r="BV95" s="137"/>
      <c r="BW95" s="137"/>
      <c r="BX95" s="137"/>
      <c r="BY95" s="137"/>
      <c r="BZ95" s="137"/>
      <c r="CA95" s="137"/>
      <c r="CB95" s="137"/>
      <c r="CC95" s="137"/>
      <c r="CD95" s="137"/>
      <c r="CE95" s="137"/>
      <c r="CF95" s="137"/>
      <c r="CG95" s="137"/>
      <c r="CH95" s="137"/>
      <c r="CI95" s="137"/>
      <c r="CJ95" s="137"/>
      <c r="CK95" s="137"/>
      <c r="CL95" s="137"/>
      <c r="CM95" s="137"/>
      <c r="CN95" s="137"/>
      <c r="CO95" s="137"/>
      <c r="CP95" s="137"/>
      <c r="CQ95" s="137"/>
      <c r="CR95" s="137"/>
      <c r="CS95" s="137"/>
      <c r="CT95" s="137"/>
      <c r="CU95" s="137"/>
      <c r="CV95" s="137"/>
      <c r="CW95" s="137"/>
      <c r="CX95" s="137"/>
      <c r="CY95" s="137"/>
      <c r="CZ95" s="137"/>
      <c r="DA95" s="137"/>
      <c r="DB95" s="137"/>
    </row>
    <row r="96" spans="1:106" x14ac:dyDescent="0.25">
      <c r="A96" s="134" t="str">
        <f t="shared" si="3"/>
        <v/>
      </c>
      <c r="B96" s="137"/>
      <c r="C96" s="137"/>
      <c r="D96" s="137"/>
      <c r="E96" s="137"/>
      <c r="F96" s="137"/>
      <c r="G96" s="137"/>
      <c r="H96" s="137"/>
      <c r="I96" s="137"/>
      <c r="J96" s="137"/>
      <c r="K96" s="137"/>
      <c r="L96" s="137"/>
      <c r="M96" s="137"/>
      <c r="N96" s="137"/>
      <c r="O96" s="137" t="str">
        <f t="shared" si="2"/>
        <v xml:space="preserve">FALSE, </v>
      </c>
      <c r="P96" s="137"/>
      <c r="Q96" s="137"/>
      <c r="R96" s="137"/>
      <c r="S96" s="137"/>
      <c r="T96" s="137"/>
      <c r="U96" s="137"/>
      <c r="V96" s="137"/>
      <c r="W96" s="137"/>
      <c r="X96" s="137"/>
      <c r="Y96" s="137"/>
      <c r="Z96" s="137"/>
      <c r="AA96" s="137"/>
      <c r="AB96" s="137"/>
      <c r="AC96" s="137"/>
      <c r="AD96" s="137"/>
      <c r="AE96" s="137"/>
      <c r="AF96" s="137"/>
      <c r="AG96" s="137"/>
      <c r="AH96" s="137"/>
      <c r="AI96" s="137"/>
      <c r="AJ96" s="137"/>
      <c r="AK96" s="137"/>
      <c r="AL96" s="137"/>
      <c r="AM96" s="137"/>
      <c r="AN96" s="137"/>
      <c r="AO96" s="137"/>
      <c r="AP96" s="137"/>
      <c r="AQ96" s="137"/>
      <c r="AR96" s="137"/>
      <c r="AS96" s="137"/>
      <c r="AT96" s="137"/>
      <c r="AU96" s="137"/>
      <c r="AV96" s="137"/>
      <c r="AW96" s="137"/>
      <c r="AX96" s="137"/>
      <c r="AY96" s="137"/>
      <c r="AZ96" s="137"/>
      <c r="BA96" s="137"/>
      <c r="BB96" s="137"/>
      <c r="BC96" s="137"/>
      <c r="BD96" s="137"/>
      <c r="BE96" s="137"/>
      <c r="BF96" s="137"/>
      <c r="BG96" s="137"/>
      <c r="BH96" s="137"/>
      <c r="BI96" s="137"/>
      <c r="BJ96" s="137"/>
      <c r="BK96" s="137"/>
      <c r="BL96" s="137"/>
      <c r="BM96" s="137"/>
      <c r="BN96" s="137"/>
      <c r="BO96" s="137"/>
      <c r="BP96" s="137"/>
      <c r="BQ96" s="137"/>
      <c r="BR96" s="137"/>
      <c r="BS96" s="137"/>
      <c r="BT96" s="137"/>
      <c r="BU96" s="137"/>
      <c r="BV96" s="137"/>
      <c r="BW96" s="137"/>
      <c r="BX96" s="137"/>
      <c r="BY96" s="137"/>
      <c r="BZ96" s="137"/>
      <c r="CA96" s="137"/>
      <c r="CB96" s="137"/>
      <c r="CC96" s="137"/>
      <c r="CD96" s="137"/>
      <c r="CE96" s="137"/>
      <c r="CF96" s="137"/>
      <c r="CG96" s="137"/>
      <c r="CH96" s="137"/>
      <c r="CI96" s="137"/>
      <c r="CJ96" s="137"/>
      <c r="CK96" s="137"/>
      <c r="CL96" s="137"/>
      <c r="CM96" s="137"/>
      <c r="CN96" s="137"/>
      <c r="CO96" s="137"/>
      <c r="CP96" s="137"/>
      <c r="CQ96" s="137"/>
      <c r="CR96" s="137"/>
      <c r="CS96" s="137"/>
      <c r="CT96" s="137"/>
      <c r="CU96" s="137"/>
      <c r="CV96" s="137"/>
      <c r="CW96" s="137"/>
      <c r="CX96" s="137"/>
      <c r="CY96" s="137"/>
      <c r="CZ96" s="137"/>
      <c r="DA96" s="137"/>
      <c r="DB96" s="137"/>
    </row>
    <row r="97" spans="1:106" x14ac:dyDescent="0.25">
      <c r="A97" s="134" t="str">
        <f t="shared" si="3"/>
        <v/>
      </c>
      <c r="B97" s="137"/>
      <c r="C97" s="137"/>
      <c r="D97" s="137"/>
      <c r="E97" s="137"/>
      <c r="F97" s="137"/>
      <c r="G97" s="137"/>
      <c r="H97" s="137"/>
      <c r="I97" s="137"/>
      <c r="J97" s="137"/>
      <c r="K97" s="137"/>
      <c r="L97" s="137"/>
      <c r="M97" s="137"/>
      <c r="N97" s="137"/>
      <c r="O97" s="137" t="str">
        <f t="shared" si="2"/>
        <v xml:space="preserve">FALSE, </v>
      </c>
      <c r="P97" s="137"/>
      <c r="Q97" s="137"/>
      <c r="R97" s="137"/>
      <c r="S97" s="137"/>
      <c r="T97" s="137"/>
      <c r="U97" s="137"/>
      <c r="V97" s="137"/>
      <c r="W97" s="137"/>
      <c r="X97" s="137"/>
      <c r="Y97" s="137"/>
      <c r="Z97" s="137"/>
      <c r="AA97" s="137"/>
      <c r="AB97" s="137"/>
      <c r="AC97" s="137"/>
      <c r="AD97" s="137"/>
      <c r="AE97" s="137"/>
      <c r="AF97" s="137"/>
      <c r="AG97" s="137"/>
      <c r="AH97" s="137"/>
      <c r="AI97" s="137"/>
      <c r="AJ97" s="137"/>
      <c r="AK97" s="137"/>
      <c r="AL97" s="137"/>
      <c r="AM97" s="137"/>
      <c r="AN97" s="137"/>
      <c r="AO97" s="137"/>
      <c r="AP97" s="137"/>
      <c r="AQ97" s="137"/>
      <c r="AR97" s="137"/>
      <c r="AS97" s="137"/>
      <c r="AT97" s="137"/>
      <c r="AU97" s="137"/>
      <c r="AV97" s="137"/>
      <c r="AW97" s="137"/>
      <c r="AX97" s="137"/>
      <c r="AY97" s="137"/>
      <c r="AZ97" s="137"/>
      <c r="BA97" s="137"/>
      <c r="BB97" s="137"/>
      <c r="BC97" s="137"/>
      <c r="BD97" s="137"/>
      <c r="BE97" s="137"/>
      <c r="BF97" s="137"/>
      <c r="BG97" s="137"/>
      <c r="BH97" s="137"/>
      <c r="BI97" s="137"/>
      <c r="BJ97" s="137"/>
      <c r="BK97" s="137"/>
      <c r="BL97" s="137"/>
      <c r="BM97" s="137"/>
      <c r="BN97" s="137"/>
      <c r="BO97" s="137"/>
      <c r="BP97" s="137"/>
      <c r="BQ97" s="137"/>
      <c r="BR97" s="137"/>
      <c r="BS97" s="137"/>
      <c r="BT97" s="137"/>
      <c r="BU97" s="137"/>
      <c r="BV97" s="137"/>
      <c r="BW97" s="137"/>
      <c r="BX97" s="137"/>
      <c r="BY97" s="137"/>
      <c r="BZ97" s="137"/>
      <c r="CA97" s="137"/>
      <c r="CB97" s="137"/>
      <c r="CC97" s="137"/>
      <c r="CD97" s="137"/>
      <c r="CE97" s="137"/>
      <c r="CF97" s="137"/>
      <c r="CG97" s="137"/>
      <c r="CH97" s="137"/>
      <c r="CI97" s="137"/>
      <c r="CJ97" s="137"/>
      <c r="CK97" s="137"/>
      <c r="CL97" s="137"/>
      <c r="CM97" s="137"/>
      <c r="CN97" s="137"/>
      <c r="CO97" s="137"/>
      <c r="CP97" s="137"/>
      <c r="CQ97" s="137"/>
      <c r="CR97" s="137"/>
      <c r="CS97" s="137"/>
      <c r="CT97" s="137"/>
      <c r="CU97" s="137"/>
      <c r="CV97" s="137"/>
      <c r="CW97" s="137"/>
      <c r="CX97" s="137"/>
      <c r="CY97" s="137"/>
      <c r="CZ97" s="137"/>
      <c r="DA97" s="137"/>
      <c r="DB97" s="137"/>
    </row>
    <row r="98" spans="1:106" x14ac:dyDescent="0.25">
      <c r="A98" s="134" t="str">
        <f t="shared" si="3"/>
        <v/>
      </c>
      <c r="B98" s="137"/>
      <c r="C98" s="137"/>
      <c r="D98" s="137"/>
      <c r="E98" s="137"/>
      <c r="F98" s="137"/>
      <c r="G98" s="137"/>
      <c r="H98" s="137"/>
      <c r="I98" s="137"/>
      <c r="J98" s="137"/>
      <c r="K98" s="137"/>
      <c r="L98" s="137"/>
      <c r="M98" s="137"/>
      <c r="N98" s="137"/>
      <c r="O98" s="137" t="str">
        <f t="shared" si="2"/>
        <v xml:space="preserve">FALSE, </v>
      </c>
      <c r="P98" s="137"/>
      <c r="Q98" s="137"/>
      <c r="R98" s="137"/>
      <c r="S98" s="137"/>
      <c r="T98" s="137"/>
      <c r="U98" s="137"/>
      <c r="V98" s="137"/>
      <c r="W98" s="137"/>
      <c r="X98" s="137"/>
      <c r="Y98" s="137"/>
      <c r="Z98" s="137"/>
      <c r="AA98" s="137"/>
      <c r="AB98" s="137"/>
      <c r="AC98" s="137"/>
      <c r="AD98" s="137"/>
      <c r="AE98" s="137"/>
      <c r="AF98" s="137"/>
      <c r="AG98" s="137"/>
      <c r="AH98" s="137"/>
      <c r="AI98" s="137"/>
      <c r="AJ98" s="137"/>
      <c r="AK98" s="137"/>
      <c r="AL98" s="137"/>
      <c r="AM98" s="137"/>
      <c r="AN98" s="137"/>
      <c r="AO98" s="137"/>
      <c r="AP98" s="137"/>
      <c r="AQ98" s="137"/>
      <c r="AR98" s="137"/>
      <c r="AS98" s="137"/>
      <c r="AT98" s="137"/>
      <c r="AU98" s="137"/>
      <c r="AV98" s="137"/>
      <c r="AW98" s="137"/>
      <c r="AX98" s="137"/>
      <c r="AY98" s="137"/>
      <c r="AZ98" s="137"/>
      <c r="BA98" s="137"/>
      <c r="BB98" s="137"/>
      <c r="BC98" s="137"/>
      <c r="BD98" s="137"/>
      <c r="BE98" s="137"/>
      <c r="BF98" s="137"/>
      <c r="BG98" s="137"/>
      <c r="BH98" s="137"/>
      <c r="BI98" s="137"/>
      <c r="BJ98" s="137"/>
      <c r="BK98" s="137"/>
      <c r="BL98" s="137"/>
      <c r="BM98" s="137"/>
      <c r="BN98" s="137"/>
      <c r="BO98" s="137"/>
      <c r="BP98" s="137"/>
      <c r="BQ98" s="137"/>
      <c r="BR98" s="137"/>
      <c r="BS98" s="137"/>
      <c r="BT98" s="137"/>
      <c r="BU98" s="137"/>
      <c r="BV98" s="137"/>
      <c r="BW98" s="137"/>
      <c r="BX98" s="137"/>
      <c r="BY98" s="137"/>
      <c r="BZ98" s="137"/>
      <c r="CA98" s="137"/>
      <c r="CB98" s="137"/>
      <c r="CC98" s="137"/>
      <c r="CD98" s="137"/>
      <c r="CE98" s="137"/>
      <c r="CF98" s="137"/>
      <c r="CG98" s="137"/>
      <c r="CH98" s="137"/>
      <c r="CI98" s="137"/>
      <c r="CJ98" s="137"/>
      <c r="CK98" s="137"/>
      <c r="CL98" s="137"/>
      <c r="CM98" s="137"/>
      <c r="CN98" s="137"/>
      <c r="CO98" s="137"/>
      <c r="CP98" s="137"/>
      <c r="CQ98" s="137"/>
      <c r="CR98" s="137"/>
      <c r="CS98" s="137"/>
      <c r="CT98" s="137"/>
      <c r="CU98" s="137"/>
      <c r="CV98" s="137"/>
      <c r="CW98" s="137"/>
      <c r="CX98" s="137"/>
      <c r="CY98" s="137"/>
      <c r="CZ98" s="137"/>
      <c r="DA98" s="137"/>
      <c r="DB98" s="137"/>
    </row>
    <row r="99" spans="1:106" x14ac:dyDescent="0.25">
      <c r="A99" s="134" t="str">
        <f t="shared" si="3"/>
        <v/>
      </c>
      <c r="B99" s="137"/>
      <c r="C99" s="137"/>
      <c r="D99" s="137"/>
      <c r="E99" s="137"/>
      <c r="F99" s="137"/>
      <c r="G99" s="137"/>
      <c r="H99" s="137"/>
      <c r="I99" s="137"/>
      <c r="J99" s="137"/>
      <c r="K99" s="137"/>
      <c r="L99" s="137"/>
      <c r="M99" s="137"/>
      <c r="N99" s="137"/>
      <c r="O99" s="137" t="str">
        <f t="shared" si="2"/>
        <v xml:space="preserve">FALSE, </v>
      </c>
      <c r="P99" s="137"/>
      <c r="Q99" s="137"/>
      <c r="R99" s="137"/>
      <c r="S99" s="137"/>
      <c r="T99" s="137"/>
      <c r="U99" s="137"/>
      <c r="V99" s="137"/>
      <c r="W99" s="137"/>
      <c r="X99" s="137"/>
      <c r="Y99" s="137"/>
      <c r="Z99" s="137"/>
      <c r="AA99" s="137"/>
      <c r="AB99" s="137"/>
      <c r="AC99" s="137"/>
      <c r="AD99" s="137"/>
      <c r="AE99" s="137"/>
      <c r="AF99" s="137"/>
      <c r="AG99" s="137"/>
      <c r="AH99" s="137"/>
      <c r="AI99" s="137"/>
      <c r="AJ99" s="137"/>
      <c r="AK99" s="137"/>
      <c r="AL99" s="137"/>
      <c r="AM99" s="137"/>
      <c r="AN99" s="137"/>
      <c r="AO99" s="137"/>
      <c r="AP99" s="137"/>
      <c r="AQ99" s="137"/>
      <c r="AR99" s="137"/>
      <c r="AS99" s="137"/>
      <c r="AT99" s="137"/>
      <c r="AU99" s="137"/>
      <c r="AV99" s="137"/>
      <c r="AW99" s="137"/>
      <c r="AX99" s="137"/>
      <c r="AY99" s="137"/>
      <c r="AZ99" s="137"/>
      <c r="BA99" s="137"/>
      <c r="BB99" s="137"/>
      <c r="BC99" s="137"/>
      <c r="BD99" s="137"/>
      <c r="BE99" s="137"/>
      <c r="BF99" s="137"/>
      <c r="BG99" s="137"/>
      <c r="BH99" s="137"/>
      <c r="BI99" s="137"/>
      <c r="BJ99" s="137"/>
      <c r="BK99" s="137"/>
      <c r="BL99" s="137"/>
      <c r="BM99" s="137"/>
      <c r="BN99" s="137"/>
      <c r="BO99" s="137"/>
      <c r="BP99" s="137"/>
      <c r="BQ99" s="137"/>
      <c r="BR99" s="137"/>
      <c r="BS99" s="137"/>
      <c r="BT99" s="137"/>
      <c r="BU99" s="137"/>
      <c r="BV99" s="137"/>
      <c r="BW99" s="137"/>
      <c r="BX99" s="137"/>
      <c r="BY99" s="137"/>
      <c r="BZ99" s="137"/>
      <c r="CA99" s="137"/>
      <c r="CB99" s="137"/>
      <c r="CC99" s="137"/>
      <c r="CD99" s="137"/>
      <c r="CE99" s="137"/>
      <c r="CF99" s="137"/>
      <c r="CG99" s="137"/>
      <c r="CH99" s="137"/>
      <c r="CI99" s="137"/>
      <c r="CJ99" s="137"/>
      <c r="CK99" s="137"/>
      <c r="CL99" s="137"/>
      <c r="CM99" s="137"/>
      <c r="CN99" s="137"/>
      <c r="CO99" s="137"/>
      <c r="CP99" s="137"/>
      <c r="CQ99" s="137"/>
      <c r="CR99" s="137"/>
      <c r="CS99" s="137"/>
      <c r="CT99" s="137"/>
      <c r="CU99" s="137"/>
      <c r="CV99" s="137"/>
      <c r="CW99" s="137"/>
      <c r="CX99" s="137"/>
      <c r="CY99" s="137"/>
      <c r="CZ99" s="137"/>
      <c r="DA99" s="137"/>
      <c r="DB99" s="137"/>
    </row>
    <row r="100" spans="1:106" x14ac:dyDescent="0.25">
      <c r="A100" s="134" t="str">
        <f t="shared" si="3"/>
        <v/>
      </c>
      <c r="B100" s="137"/>
      <c r="C100" s="137"/>
      <c r="D100" s="137"/>
      <c r="E100" s="137"/>
      <c r="F100" s="137"/>
      <c r="G100" s="137"/>
      <c r="H100" s="137"/>
      <c r="I100" s="137"/>
      <c r="J100" s="137"/>
      <c r="K100" s="137"/>
      <c r="L100" s="137"/>
      <c r="M100" s="137"/>
      <c r="N100" s="137"/>
      <c r="O100" s="137" t="str">
        <f t="shared" si="2"/>
        <v xml:space="preserve">FALSE, </v>
      </c>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37"/>
      <c r="AK100" s="137"/>
      <c r="AL100" s="137"/>
      <c r="AM100" s="137"/>
      <c r="AN100" s="137"/>
      <c r="AO100" s="137"/>
      <c r="AP100" s="137"/>
      <c r="AQ100" s="137"/>
      <c r="AR100" s="137"/>
      <c r="AS100" s="137"/>
      <c r="AT100" s="137"/>
      <c r="AU100" s="137"/>
      <c r="AV100" s="137"/>
      <c r="AW100" s="137"/>
      <c r="AX100" s="137"/>
      <c r="AY100" s="137"/>
      <c r="AZ100" s="137"/>
      <c r="BA100" s="137"/>
      <c r="BB100" s="137"/>
      <c r="BC100" s="137"/>
      <c r="BD100" s="137"/>
      <c r="BE100" s="137"/>
      <c r="BF100" s="137"/>
      <c r="BG100" s="137"/>
      <c r="BH100" s="137"/>
      <c r="BI100" s="137"/>
      <c r="BJ100" s="137"/>
      <c r="BK100" s="137"/>
      <c r="BL100" s="137"/>
      <c r="BM100" s="137"/>
      <c r="BN100" s="137"/>
      <c r="BO100" s="137"/>
      <c r="BP100" s="137"/>
      <c r="BQ100" s="137"/>
      <c r="BR100" s="137"/>
      <c r="BS100" s="137"/>
      <c r="BT100" s="137"/>
      <c r="BU100" s="137"/>
      <c r="BV100" s="137"/>
      <c r="BW100" s="137"/>
      <c r="BX100" s="137"/>
      <c r="BY100" s="137"/>
      <c r="BZ100" s="137"/>
      <c r="CA100" s="137"/>
      <c r="CB100" s="137"/>
      <c r="CC100" s="137"/>
      <c r="CD100" s="137"/>
      <c r="CE100" s="137"/>
      <c r="CF100" s="137"/>
      <c r="CG100" s="137"/>
      <c r="CH100" s="137"/>
      <c r="CI100" s="137"/>
      <c r="CJ100" s="137"/>
      <c r="CK100" s="137"/>
      <c r="CL100" s="137"/>
      <c r="CM100" s="137"/>
      <c r="CN100" s="137"/>
      <c r="CO100" s="137"/>
      <c r="CP100" s="137"/>
      <c r="CQ100" s="137"/>
      <c r="CR100" s="137"/>
      <c r="CS100" s="137"/>
      <c r="CT100" s="137"/>
      <c r="CU100" s="137"/>
      <c r="CV100" s="137"/>
      <c r="CW100" s="137"/>
      <c r="CX100" s="137"/>
      <c r="CY100" s="137"/>
      <c r="CZ100" s="137"/>
      <c r="DA100" s="137"/>
      <c r="DB100" s="137"/>
    </row>
    <row r="101" spans="1:106" x14ac:dyDescent="0.25">
      <c r="A101" s="134" t="str">
        <f t="shared" si="3"/>
        <v/>
      </c>
      <c r="B101" s="137"/>
      <c r="C101" s="137"/>
      <c r="D101" s="137"/>
      <c r="E101" s="137"/>
      <c r="F101" s="137"/>
      <c r="G101" s="137"/>
      <c r="H101" s="137"/>
      <c r="I101" s="137"/>
      <c r="J101" s="137"/>
      <c r="K101" s="137"/>
      <c r="L101" s="137"/>
      <c r="M101" s="137"/>
      <c r="N101" s="137"/>
      <c r="O101" s="137" t="str">
        <f t="shared" si="2"/>
        <v xml:space="preserve">FALSE, </v>
      </c>
      <c r="P101" s="137"/>
      <c r="Q101" s="137"/>
      <c r="R101" s="137"/>
      <c r="S101" s="137"/>
      <c r="T101" s="137"/>
      <c r="U101" s="137"/>
      <c r="V101" s="137"/>
      <c r="W101" s="137"/>
      <c r="X101" s="137"/>
      <c r="Y101" s="137"/>
      <c r="Z101" s="137"/>
      <c r="AA101" s="137"/>
      <c r="AB101" s="137"/>
      <c r="AC101" s="137"/>
      <c r="AD101" s="137"/>
      <c r="AE101" s="137"/>
      <c r="AF101" s="137"/>
      <c r="AG101" s="137"/>
      <c r="AH101" s="137"/>
      <c r="AI101" s="137"/>
      <c r="AJ101" s="137"/>
      <c r="AK101" s="137"/>
      <c r="AL101" s="137"/>
      <c r="AM101" s="137"/>
      <c r="AN101" s="137"/>
      <c r="AO101" s="137"/>
      <c r="AP101" s="137"/>
      <c r="AQ101" s="137"/>
      <c r="AR101" s="137"/>
      <c r="AS101" s="137"/>
      <c r="AT101" s="137"/>
      <c r="AU101" s="137"/>
      <c r="AV101" s="137"/>
      <c r="AW101" s="137"/>
      <c r="AX101" s="137"/>
      <c r="AY101" s="137"/>
      <c r="AZ101" s="137"/>
      <c r="BA101" s="137"/>
      <c r="BB101" s="137"/>
      <c r="BC101" s="137"/>
      <c r="BD101" s="137"/>
      <c r="BE101" s="137"/>
      <c r="BF101" s="137"/>
      <c r="BG101" s="137"/>
      <c r="BH101" s="137"/>
      <c r="BI101" s="137"/>
      <c r="BJ101" s="137"/>
      <c r="BK101" s="137"/>
      <c r="BL101" s="137"/>
      <c r="BM101" s="137"/>
      <c r="BN101" s="137"/>
      <c r="BO101" s="137"/>
      <c r="BP101" s="137"/>
      <c r="BQ101" s="137"/>
      <c r="BR101" s="137"/>
      <c r="BS101" s="137"/>
      <c r="BT101" s="137"/>
      <c r="BU101" s="137"/>
      <c r="BV101" s="137"/>
      <c r="BW101" s="137"/>
      <c r="BX101" s="137"/>
      <c r="BY101" s="137"/>
      <c r="BZ101" s="137"/>
      <c r="CA101" s="137"/>
      <c r="CB101" s="137"/>
      <c r="CC101" s="137"/>
      <c r="CD101" s="137"/>
      <c r="CE101" s="137"/>
      <c r="CF101" s="137"/>
      <c r="CG101" s="137"/>
      <c r="CH101" s="137"/>
      <c r="CI101" s="137"/>
      <c r="CJ101" s="137"/>
      <c r="CK101" s="137"/>
      <c r="CL101" s="137"/>
      <c r="CM101" s="137"/>
      <c r="CN101" s="137"/>
      <c r="CO101" s="137"/>
      <c r="CP101" s="137"/>
      <c r="CQ101" s="137"/>
      <c r="CR101" s="137"/>
      <c r="CS101" s="137"/>
      <c r="CT101" s="137"/>
      <c r="CU101" s="137"/>
      <c r="CV101" s="137"/>
      <c r="CW101" s="137"/>
      <c r="CX101" s="137"/>
      <c r="CY101" s="137"/>
      <c r="CZ101" s="137"/>
      <c r="DA101" s="137"/>
      <c r="DB101" s="137"/>
    </row>
    <row r="102" spans="1:106" x14ac:dyDescent="0.25">
      <c r="A102" s="134" t="str">
        <f t="shared" si="3"/>
        <v/>
      </c>
      <c r="B102" s="137"/>
      <c r="C102" s="137"/>
      <c r="D102" s="137"/>
      <c r="E102" s="137"/>
      <c r="F102" s="137"/>
      <c r="G102" s="137"/>
      <c r="H102" s="137"/>
      <c r="I102" s="137"/>
      <c r="J102" s="137"/>
      <c r="K102" s="137"/>
      <c r="L102" s="137"/>
      <c r="M102" s="137"/>
      <c r="N102" s="137"/>
      <c r="O102" s="137" t="str">
        <f t="shared" si="2"/>
        <v xml:space="preserve">FALSE, </v>
      </c>
      <c r="P102" s="137"/>
      <c r="Q102" s="137"/>
      <c r="R102" s="137"/>
      <c r="S102" s="137"/>
      <c r="T102" s="137"/>
      <c r="U102" s="137"/>
      <c r="V102" s="137"/>
      <c r="W102" s="137"/>
      <c r="X102" s="137"/>
      <c r="Y102" s="137"/>
      <c r="Z102" s="137"/>
      <c r="AA102" s="137"/>
      <c r="AB102" s="137"/>
      <c r="AC102" s="137"/>
      <c r="AD102" s="137"/>
      <c r="AE102" s="137"/>
      <c r="AF102" s="137"/>
      <c r="AG102" s="137"/>
      <c r="AH102" s="137"/>
      <c r="AI102" s="137"/>
      <c r="AJ102" s="137"/>
      <c r="AK102" s="137"/>
      <c r="AL102" s="137"/>
      <c r="AM102" s="137"/>
      <c r="AN102" s="137"/>
      <c r="AO102" s="137"/>
      <c r="AP102" s="137"/>
      <c r="AQ102" s="137"/>
      <c r="AR102" s="137"/>
      <c r="AS102" s="137"/>
      <c r="AT102" s="137"/>
      <c r="AU102" s="137"/>
      <c r="AV102" s="137"/>
      <c r="AW102" s="137"/>
      <c r="AX102" s="137"/>
      <c r="AY102" s="137"/>
      <c r="AZ102" s="137"/>
      <c r="BA102" s="137"/>
      <c r="BB102" s="137"/>
      <c r="BC102" s="137"/>
      <c r="BD102" s="137"/>
      <c r="BE102" s="137"/>
      <c r="BF102" s="137"/>
      <c r="BG102" s="137"/>
      <c r="BH102" s="137"/>
      <c r="BI102" s="137"/>
      <c r="BJ102" s="137"/>
      <c r="BK102" s="137"/>
      <c r="BL102" s="137"/>
      <c r="BM102" s="137"/>
      <c r="BN102" s="137"/>
      <c r="BO102" s="137"/>
      <c r="BP102" s="137"/>
      <c r="BQ102" s="137"/>
      <c r="BR102" s="137"/>
      <c r="BS102" s="137"/>
      <c r="BT102" s="137"/>
      <c r="BU102" s="137"/>
      <c r="BV102" s="137"/>
      <c r="BW102" s="137"/>
      <c r="BX102" s="137"/>
      <c r="BY102" s="137"/>
      <c r="BZ102" s="137"/>
      <c r="CA102" s="137"/>
      <c r="CB102" s="137"/>
      <c r="CC102" s="137"/>
      <c r="CD102" s="137"/>
      <c r="CE102" s="137"/>
      <c r="CF102" s="137"/>
      <c r="CG102" s="137"/>
      <c r="CH102" s="137"/>
      <c r="CI102" s="137"/>
      <c r="CJ102" s="137"/>
      <c r="CK102" s="137"/>
      <c r="CL102" s="137"/>
      <c r="CM102" s="137"/>
      <c r="CN102" s="137"/>
      <c r="CO102" s="137"/>
      <c r="CP102" s="137"/>
      <c r="CQ102" s="137"/>
      <c r="CR102" s="137"/>
      <c r="CS102" s="137"/>
      <c r="CT102" s="137"/>
      <c r="CU102" s="137"/>
      <c r="CV102" s="137"/>
      <c r="CW102" s="137"/>
      <c r="CX102" s="137"/>
      <c r="CY102" s="137"/>
      <c r="CZ102" s="137"/>
      <c r="DA102" s="137"/>
      <c r="DB102" s="137"/>
    </row>
    <row r="103" spans="1:106" x14ac:dyDescent="0.25">
      <c r="A103" s="138"/>
      <c r="B103" s="138"/>
      <c r="C103" s="138"/>
      <c r="D103" s="138"/>
      <c r="E103" s="138"/>
      <c r="F103" s="138"/>
      <c r="G103" s="138"/>
      <c r="H103" s="138"/>
      <c r="I103" s="138"/>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38"/>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c r="BC103" s="138"/>
      <c r="BD103" s="138"/>
      <c r="BE103" s="138"/>
      <c r="BF103" s="138"/>
      <c r="BG103" s="138"/>
      <c r="BH103" s="138"/>
      <c r="BI103" s="138"/>
      <c r="BJ103" s="138"/>
      <c r="BK103" s="138"/>
      <c r="BL103" s="138"/>
      <c r="BM103" s="138"/>
      <c r="BN103" s="138"/>
      <c r="BO103" s="138"/>
      <c r="BP103" s="138"/>
      <c r="BQ103" s="138"/>
      <c r="BR103" s="138"/>
      <c r="BS103" s="138"/>
      <c r="BT103" s="138"/>
      <c r="BU103" s="138"/>
      <c r="BV103" s="138"/>
      <c r="BW103" s="138"/>
      <c r="BX103" s="138"/>
      <c r="BY103" s="138"/>
      <c r="BZ103" s="138"/>
      <c r="CA103" s="138"/>
      <c r="CB103" s="138"/>
      <c r="CC103" s="138"/>
      <c r="CD103" s="138"/>
      <c r="CE103" s="138"/>
      <c r="CF103" s="138"/>
      <c r="CG103" s="138"/>
      <c r="CH103" s="138"/>
      <c r="CI103" s="138"/>
      <c r="CJ103" s="138"/>
      <c r="CK103" s="138"/>
      <c r="CL103" s="138"/>
      <c r="CM103" s="138"/>
      <c r="CN103" s="138"/>
      <c r="CO103" s="138"/>
      <c r="CP103" s="138"/>
      <c r="CQ103" s="138"/>
      <c r="CR103" s="138"/>
      <c r="CS103" s="138"/>
      <c r="CT103" s="138"/>
      <c r="CU103" s="138"/>
      <c r="CV103" s="138"/>
      <c r="CW103" s="138"/>
      <c r="CX103" s="138"/>
      <c r="CY103" s="138"/>
      <c r="CZ103" s="138"/>
      <c r="DA103" s="138"/>
      <c r="DB103" s="138"/>
    </row>
  </sheetData>
  <sortState xmlns:xlrd2="http://schemas.microsoft.com/office/spreadsheetml/2017/richdata2" ref="B2:R13">
    <sortCondition ref="B2"/>
  </sortState>
  <mergeCells count="24">
    <mergeCell ref="DB1:DB2"/>
    <mergeCell ref="B1:B2"/>
    <mergeCell ref="D1:D2"/>
    <mergeCell ref="G1:G2"/>
    <mergeCell ref="H1:H2"/>
    <mergeCell ref="M1:M2"/>
    <mergeCell ref="J1:L1"/>
    <mergeCell ref="I1:I2"/>
    <mergeCell ref="C1:C2"/>
    <mergeCell ref="F1:F2"/>
    <mergeCell ref="E1:E2"/>
    <mergeCell ref="BX1:CG1"/>
    <mergeCell ref="BW1:BW2"/>
    <mergeCell ref="T1:V1"/>
    <mergeCell ref="AG1:AZ1"/>
    <mergeCell ref="BA1:BT1"/>
    <mergeCell ref="S1:S2"/>
    <mergeCell ref="N1:N2"/>
    <mergeCell ref="CH1:DA1"/>
    <mergeCell ref="O1:O2"/>
    <mergeCell ref="P1:P2"/>
    <mergeCell ref="Q1:Q2"/>
    <mergeCell ref="W1:Y1"/>
    <mergeCell ref="AA1:AF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C487A-BFC7-4BC0-95B6-FDD5D43FEF30}">
  <sheetPr>
    <tabColor theme="7" tint="0.39997558519241921"/>
  </sheetPr>
  <dimension ref="A1"/>
  <sheetViews>
    <sheetView tabSelected="1" topLeftCell="A21" workbookViewId="0"/>
  </sheetViews>
  <sheetFormatPr defaultRowHeight="15" x14ac:dyDescent="0.2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19">
    <tabColor theme="7" tint="0.39997558519241921"/>
  </sheetPr>
  <dimension ref="A1:AP528"/>
  <sheetViews>
    <sheetView zoomScale="85" zoomScaleNormal="85" workbookViewId="0">
      <pane xSplit="2" ySplit="1" topLeftCell="E2" activePane="bottomRight" state="frozen"/>
      <selection pane="topRight" activeCell="C1" sqref="C1"/>
      <selection pane="bottomLeft" activeCell="A2" sqref="A2"/>
      <selection pane="bottomRight" activeCell="K76" sqref="K76"/>
    </sheetView>
  </sheetViews>
  <sheetFormatPr defaultRowHeight="15" x14ac:dyDescent="0.25"/>
  <cols>
    <col min="2" max="5" width="39.140625" customWidth="1"/>
    <col min="6" max="6" width="39.140625" style="338" customWidth="1"/>
    <col min="7" max="7" width="39.140625" customWidth="1"/>
    <col min="8" max="8" width="18" style="223" customWidth="1"/>
    <col min="9" max="11" width="14" style="223" customWidth="1"/>
    <col min="12" max="12" width="15.7109375" style="556" customWidth="1"/>
    <col min="13" max="15" width="14" style="639" customWidth="1"/>
    <col min="16" max="16" width="14" style="641" customWidth="1"/>
    <col min="17" max="19" width="14" style="223" customWidth="1"/>
    <col min="20" max="21" width="17.5703125" style="223" bestFit="1" customWidth="1"/>
    <col min="22" max="22" width="11.140625" style="223" customWidth="1"/>
  </cols>
  <sheetData>
    <row r="1" spans="1:42" ht="49.5" x14ac:dyDescent="0.3">
      <c r="A1" s="686"/>
      <c r="B1" s="687" t="s">
        <v>4308</v>
      </c>
      <c r="C1" s="687" t="s">
        <v>4309</v>
      </c>
      <c r="D1" s="687" t="s">
        <v>6951</v>
      </c>
      <c r="E1" s="687" t="s">
        <v>6473</v>
      </c>
      <c r="F1" s="687" t="s">
        <v>177</v>
      </c>
      <c r="G1" s="687" t="s">
        <v>5112</v>
      </c>
      <c r="H1" s="687" t="s">
        <v>161</v>
      </c>
      <c r="I1" s="687" t="s">
        <v>60</v>
      </c>
      <c r="J1" s="691" t="s">
        <v>6265</v>
      </c>
      <c r="K1" s="691" t="s">
        <v>6267</v>
      </c>
      <c r="L1" s="691" t="s">
        <v>6450</v>
      </c>
      <c r="M1" s="691" t="s">
        <v>7107</v>
      </c>
      <c r="N1" s="691" t="s">
        <v>7241</v>
      </c>
      <c r="O1" s="691" t="s">
        <v>7240</v>
      </c>
      <c r="P1" s="691"/>
      <c r="Q1" s="687" t="s">
        <v>5249</v>
      </c>
      <c r="R1" s="687" t="s">
        <v>3036</v>
      </c>
      <c r="S1" s="688" t="s">
        <v>6481</v>
      </c>
      <c r="T1" s="687" t="s">
        <v>7105</v>
      </c>
      <c r="U1" s="687" t="s">
        <v>7106</v>
      </c>
      <c r="V1" s="687" t="s">
        <v>3559</v>
      </c>
      <c r="W1" s="654" t="s">
        <v>2962</v>
      </c>
      <c r="X1" s="654" t="s">
        <v>2963</v>
      </c>
      <c r="Y1" s="654" t="s">
        <v>3075</v>
      </c>
      <c r="Z1" s="654" t="s">
        <v>3076</v>
      </c>
      <c r="AA1" s="654" t="s">
        <v>3077</v>
      </c>
      <c r="AB1" s="654" t="s">
        <v>4478</v>
      </c>
      <c r="AC1" s="654" t="s">
        <v>4479</v>
      </c>
      <c r="AD1" s="654" t="s">
        <v>4480</v>
      </c>
      <c r="AE1" s="654" t="s">
        <v>4481</v>
      </c>
      <c r="AF1" s="654" t="s">
        <v>4482</v>
      </c>
      <c r="AG1" s="654" t="s">
        <v>4483</v>
      </c>
      <c r="AH1" s="654" t="s">
        <v>4484</v>
      </c>
      <c r="AI1" s="654" t="s">
        <v>4485</v>
      </c>
      <c r="AJ1" s="654" t="s">
        <v>4486</v>
      </c>
      <c r="AK1" s="654" t="s">
        <v>4487</v>
      </c>
      <c r="AL1" s="654" t="s">
        <v>4488</v>
      </c>
      <c r="AM1" s="654" t="s">
        <v>4489</v>
      </c>
      <c r="AN1" s="654" t="s">
        <v>4490</v>
      </c>
      <c r="AO1" s="654" t="s">
        <v>4491</v>
      </c>
      <c r="AP1" s="654" t="s">
        <v>4492</v>
      </c>
    </row>
    <row r="2" spans="1:42" x14ac:dyDescent="0.25">
      <c r="A2" s="134">
        <f>IF(B2="","",1)</f>
        <v>1</v>
      </c>
      <c r="B2" s="443" t="s">
        <v>3038</v>
      </c>
      <c r="C2" s="443" t="s">
        <v>3038</v>
      </c>
      <c r="D2" s="443"/>
      <c r="E2" s="443"/>
      <c r="F2" s="444" t="s">
        <v>3034</v>
      </c>
      <c r="G2" s="4"/>
      <c r="H2" s="640" t="s">
        <v>3038</v>
      </c>
      <c r="I2" s="640"/>
      <c r="J2" s="653"/>
      <c r="K2" s="653" t="s">
        <v>6269</v>
      </c>
      <c r="L2" s="653"/>
      <c r="M2" s="653"/>
      <c r="N2" s="653"/>
      <c r="O2" s="653"/>
      <c r="P2" s="653"/>
      <c r="Q2" s="640"/>
      <c r="R2" s="640"/>
      <c r="S2" s="640"/>
      <c r="T2" s="460"/>
      <c r="U2" s="460"/>
      <c r="V2" s="685">
        <f>COUNTA(W2:AP2)</f>
        <v>0</v>
      </c>
      <c r="W2" s="690"/>
      <c r="X2" s="690"/>
      <c r="Y2" s="690"/>
      <c r="Z2" s="690"/>
      <c r="AA2" s="690"/>
      <c r="AB2" s="690"/>
      <c r="AC2" s="690"/>
      <c r="AD2" s="690"/>
      <c r="AE2" s="690"/>
      <c r="AF2" s="690"/>
      <c r="AG2" s="690"/>
      <c r="AH2" s="690"/>
      <c r="AI2" s="690"/>
      <c r="AJ2" s="690"/>
      <c r="AK2" s="690"/>
      <c r="AL2" s="690"/>
      <c r="AM2" s="690"/>
      <c r="AN2" s="690"/>
      <c r="AO2" s="690"/>
      <c r="AP2" s="690"/>
    </row>
    <row r="3" spans="1:42" x14ac:dyDescent="0.25">
      <c r="A3" s="134">
        <f t="shared" ref="A3:A34" si="0">IF(B3="","",1+A2)</f>
        <v>2</v>
      </c>
      <c r="B3" s="443" t="s">
        <v>2319</v>
      </c>
      <c r="C3" s="443" t="s">
        <v>2319</v>
      </c>
      <c r="D3" s="443"/>
      <c r="E3" s="443" t="s">
        <v>7157</v>
      </c>
      <c r="F3" s="444" t="s">
        <v>4853</v>
      </c>
      <c r="G3" s="4"/>
      <c r="H3" s="640"/>
      <c r="I3" s="640" t="s">
        <v>619</v>
      </c>
      <c r="J3" s="653" t="s">
        <v>6266</v>
      </c>
      <c r="K3" s="653" t="s">
        <v>6268</v>
      </c>
      <c r="L3" s="653"/>
      <c r="M3" s="653"/>
      <c r="N3" s="653" t="s">
        <v>7390</v>
      </c>
      <c r="O3" s="653" t="s">
        <v>7357</v>
      </c>
      <c r="P3" s="653"/>
      <c r="Q3" s="640"/>
      <c r="R3" s="640"/>
      <c r="S3" s="640"/>
      <c r="T3" s="460"/>
      <c r="U3" s="460"/>
      <c r="V3" s="685">
        <f t="shared" ref="V3:V66" si="1">COUNTA(W3:AP3)</f>
        <v>0</v>
      </c>
      <c r="W3" s="690"/>
      <c r="X3" s="690"/>
      <c r="Y3" s="690"/>
      <c r="Z3" s="690"/>
      <c r="AA3" s="690"/>
      <c r="AB3" s="690"/>
      <c r="AC3" s="690"/>
      <c r="AD3" s="690"/>
      <c r="AE3" s="690"/>
      <c r="AF3" s="690"/>
      <c r="AG3" s="690"/>
      <c r="AH3" s="690"/>
      <c r="AI3" s="690"/>
      <c r="AJ3" s="690"/>
      <c r="AK3" s="690"/>
      <c r="AL3" s="690"/>
      <c r="AM3" s="690"/>
      <c r="AN3" s="690"/>
      <c r="AO3" s="690"/>
      <c r="AP3" s="690"/>
    </row>
    <row r="4" spans="1:42" x14ac:dyDescent="0.25">
      <c r="A4" s="134">
        <f t="shared" si="0"/>
        <v>3</v>
      </c>
      <c r="B4" s="443" t="s">
        <v>2280</v>
      </c>
      <c r="C4" s="443" t="s">
        <v>2280</v>
      </c>
      <c r="D4" s="443"/>
      <c r="E4" s="443" t="s">
        <v>7158</v>
      </c>
      <c r="F4" s="444" t="s">
        <v>4854</v>
      </c>
      <c r="G4" s="4"/>
      <c r="H4" s="640"/>
      <c r="I4" s="640"/>
      <c r="J4" s="653"/>
      <c r="K4" s="653" t="s">
        <v>6268</v>
      </c>
      <c r="L4" s="653"/>
      <c r="M4" s="653"/>
      <c r="N4" s="653">
        <v>1</v>
      </c>
      <c r="O4" s="653" t="s">
        <v>7358</v>
      </c>
      <c r="P4" s="653"/>
      <c r="Q4" s="640"/>
      <c r="R4" s="640"/>
      <c r="S4" s="640"/>
      <c r="T4" s="460"/>
      <c r="U4" s="460"/>
      <c r="V4" s="685">
        <f t="shared" si="1"/>
        <v>0</v>
      </c>
      <c r="W4" s="690"/>
      <c r="X4" s="690"/>
      <c r="Y4" s="690"/>
      <c r="Z4" s="690"/>
      <c r="AA4" s="690"/>
      <c r="AB4" s="690"/>
      <c r="AC4" s="690"/>
      <c r="AD4" s="690"/>
      <c r="AE4" s="690"/>
      <c r="AF4" s="690"/>
      <c r="AG4" s="690"/>
      <c r="AH4" s="690"/>
      <c r="AI4" s="690"/>
      <c r="AJ4" s="690"/>
      <c r="AK4" s="690"/>
      <c r="AL4" s="690"/>
      <c r="AM4" s="690"/>
      <c r="AN4" s="690"/>
      <c r="AO4" s="690"/>
      <c r="AP4" s="690"/>
    </row>
    <row r="5" spans="1:42" x14ac:dyDescent="0.25">
      <c r="A5" s="134">
        <f t="shared" si="0"/>
        <v>4</v>
      </c>
      <c r="B5" s="443" t="s">
        <v>1118</v>
      </c>
      <c r="C5" s="443" t="s">
        <v>1118</v>
      </c>
      <c r="D5" s="443"/>
      <c r="E5" s="443"/>
      <c r="F5" s="444" t="s">
        <v>4831</v>
      </c>
      <c r="G5" s="4"/>
      <c r="H5" s="640"/>
      <c r="I5" s="640" t="s">
        <v>625</v>
      </c>
      <c r="J5" s="653"/>
      <c r="K5" s="653"/>
      <c r="L5" s="653"/>
      <c r="M5" s="653"/>
      <c r="N5" s="653"/>
      <c r="O5" s="653"/>
      <c r="P5" s="653"/>
      <c r="Q5" s="640"/>
      <c r="R5" s="640"/>
      <c r="S5" s="640"/>
      <c r="T5" s="640" t="s">
        <v>171</v>
      </c>
      <c r="U5" s="460"/>
      <c r="V5" s="685">
        <f t="shared" si="1"/>
        <v>9</v>
      </c>
      <c r="W5" s="4" t="s">
        <v>3141</v>
      </c>
      <c r="X5" s="4" t="s">
        <v>3142</v>
      </c>
      <c r="Y5" s="4" t="s">
        <v>3143</v>
      </c>
      <c r="Z5" s="4" t="s">
        <v>3144</v>
      </c>
      <c r="AA5" s="4" t="s">
        <v>3145</v>
      </c>
      <c r="AB5" s="4" t="s">
        <v>3146</v>
      </c>
      <c r="AC5" s="4" t="s">
        <v>3147</v>
      </c>
      <c r="AD5" s="4" t="s">
        <v>3148</v>
      </c>
      <c r="AE5" s="4" t="s">
        <v>4793</v>
      </c>
      <c r="AF5" s="690"/>
      <c r="AG5" s="690"/>
      <c r="AH5" s="690"/>
      <c r="AI5" s="690"/>
      <c r="AJ5" s="690"/>
      <c r="AK5" s="690"/>
      <c r="AL5" s="690"/>
      <c r="AM5" s="690"/>
      <c r="AN5" s="690"/>
      <c r="AO5" s="690"/>
      <c r="AP5" s="690"/>
    </row>
    <row r="6" spans="1:42" x14ac:dyDescent="0.25">
      <c r="A6" s="134">
        <f t="shared" si="0"/>
        <v>5</v>
      </c>
      <c r="B6" s="443" t="s">
        <v>4396</v>
      </c>
      <c r="C6" s="443" t="s">
        <v>3091</v>
      </c>
      <c r="D6" s="443"/>
      <c r="E6" s="443"/>
      <c r="F6" s="444" t="s">
        <v>3034</v>
      </c>
      <c r="G6" s="4"/>
      <c r="H6" s="640"/>
      <c r="I6" s="640" t="s">
        <v>625</v>
      </c>
      <c r="J6" s="653"/>
      <c r="K6" s="653"/>
      <c r="L6" s="653"/>
      <c r="M6" s="653"/>
      <c r="N6" s="653"/>
      <c r="O6" s="653"/>
      <c r="P6" s="653"/>
      <c r="Q6" s="640"/>
      <c r="R6" s="640"/>
      <c r="S6" s="640"/>
      <c r="T6" s="460"/>
      <c r="U6" s="640" t="s">
        <v>171</v>
      </c>
      <c r="V6" s="685">
        <f t="shared" si="1"/>
        <v>0</v>
      </c>
      <c r="W6" s="690"/>
      <c r="X6" s="690"/>
      <c r="Y6" s="690"/>
      <c r="Z6" s="690"/>
      <c r="AA6" s="690"/>
      <c r="AB6" s="690"/>
      <c r="AC6" s="690"/>
      <c r="AD6" s="690"/>
      <c r="AE6" s="690"/>
      <c r="AF6" s="690"/>
      <c r="AG6" s="690"/>
      <c r="AH6" s="690"/>
      <c r="AI6" s="690"/>
      <c r="AJ6" s="690"/>
      <c r="AK6" s="690"/>
      <c r="AL6" s="690"/>
      <c r="AM6" s="690"/>
      <c r="AN6" s="690"/>
      <c r="AO6" s="690"/>
      <c r="AP6" s="690"/>
    </row>
    <row r="7" spans="1:42" x14ac:dyDescent="0.25">
      <c r="A7" s="134">
        <f t="shared" si="0"/>
        <v>6</v>
      </c>
      <c r="B7" s="443" t="s">
        <v>4397</v>
      </c>
      <c r="C7" s="443" t="s">
        <v>3091</v>
      </c>
      <c r="D7" s="443"/>
      <c r="E7" s="443"/>
      <c r="F7" s="444" t="s">
        <v>3034</v>
      </c>
      <c r="G7" s="4"/>
      <c r="H7" s="640"/>
      <c r="I7" s="640" t="s">
        <v>625</v>
      </c>
      <c r="J7" s="653"/>
      <c r="K7" s="653"/>
      <c r="L7" s="653"/>
      <c r="M7" s="653"/>
      <c r="N7" s="653"/>
      <c r="O7" s="653"/>
      <c r="P7" s="653"/>
      <c r="Q7" s="640"/>
      <c r="R7" s="640"/>
      <c r="S7" s="640"/>
      <c r="T7" s="460"/>
      <c r="U7" s="640" t="s">
        <v>171</v>
      </c>
      <c r="V7" s="685">
        <f t="shared" si="1"/>
        <v>0</v>
      </c>
      <c r="W7" s="690"/>
      <c r="X7" s="690"/>
      <c r="Y7" s="690"/>
      <c r="Z7" s="690"/>
      <c r="AA7" s="690"/>
      <c r="AB7" s="690"/>
      <c r="AC7" s="690"/>
      <c r="AD7" s="690"/>
      <c r="AE7" s="690"/>
      <c r="AF7" s="690"/>
      <c r="AG7" s="690"/>
      <c r="AH7" s="690"/>
      <c r="AI7" s="690"/>
      <c r="AJ7" s="690"/>
      <c r="AK7" s="690"/>
      <c r="AL7" s="690"/>
      <c r="AM7" s="690"/>
      <c r="AN7" s="690"/>
      <c r="AO7" s="690"/>
      <c r="AP7" s="690"/>
    </row>
    <row r="8" spans="1:42" x14ac:dyDescent="0.25">
      <c r="A8" s="134">
        <f t="shared" si="0"/>
        <v>7</v>
      </c>
      <c r="B8" s="443" t="s">
        <v>4395</v>
      </c>
      <c r="C8" s="443" t="s">
        <v>3091</v>
      </c>
      <c r="D8" s="443"/>
      <c r="E8" s="443"/>
      <c r="F8" s="444" t="s">
        <v>3034</v>
      </c>
      <c r="G8" s="4"/>
      <c r="H8" s="640"/>
      <c r="I8" s="640" t="s">
        <v>625</v>
      </c>
      <c r="J8" s="653"/>
      <c r="K8" s="653"/>
      <c r="L8" s="653"/>
      <c r="M8" s="653"/>
      <c r="N8" s="653"/>
      <c r="O8" s="653"/>
      <c r="P8" s="653"/>
      <c r="Q8" s="640"/>
      <c r="R8" s="640"/>
      <c r="S8" s="640"/>
      <c r="T8" s="460"/>
      <c r="U8" s="640" t="s">
        <v>171</v>
      </c>
      <c r="V8" s="685">
        <f t="shared" si="1"/>
        <v>0</v>
      </c>
      <c r="W8" s="690"/>
      <c r="X8" s="690"/>
      <c r="Y8" s="690"/>
      <c r="Z8" s="690"/>
      <c r="AA8" s="690"/>
      <c r="AB8" s="690"/>
      <c r="AC8" s="690"/>
      <c r="AD8" s="690"/>
      <c r="AE8" s="690"/>
      <c r="AF8" s="690"/>
      <c r="AG8" s="690"/>
      <c r="AH8" s="690"/>
      <c r="AI8" s="690"/>
      <c r="AJ8" s="690"/>
      <c r="AK8" s="690"/>
      <c r="AL8" s="690"/>
      <c r="AM8" s="690"/>
      <c r="AN8" s="690"/>
      <c r="AO8" s="690"/>
      <c r="AP8" s="690"/>
    </row>
    <row r="9" spans="1:42" x14ac:dyDescent="0.25">
      <c r="A9" s="134">
        <f t="shared" si="0"/>
        <v>8</v>
      </c>
      <c r="B9" s="443" t="s">
        <v>4398</v>
      </c>
      <c r="C9" s="443" t="s">
        <v>3091</v>
      </c>
      <c r="D9" s="443"/>
      <c r="E9" s="443"/>
      <c r="F9" s="444" t="s">
        <v>3034</v>
      </c>
      <c r="G9" s="4"/>
      <c r="H9" s="640"/>
      <c r="I9" s="640" t="s">
        <v>625</v>
      </c>
      <c r="J9" s="653"/>
      <c r="K9" s="653"/>
      <c r="L9" s="653"/>
      <c r="M9" s="653"/>
      <c r="N9" s="653"/>
      <c r="O9" s="653"/>
      <c r="P9" s="653"/>
      <c r="Q9" s="640"/>
      <c r="R9" s="640"/>
      <c r="S9" s="640"/>
      <c r="T9" s="460"/>
      <c r="U9" s="640" t="s">
        <v>171</v>
      </c>
      <c r="V9" s="685">
        <f t="shared" si="1"/>
        <v>0</v>
      </c>
      <c r="W9" s="690"/>
      <c r="X9" s="690"/>
      <c r="Y9" s="690"/>
      <c r="Z9" s="690"/>
      <c r="AA9" s="690"/>
      <c r="AB9" s="690"/>
      <c r="AC9" s="690"/>
      <c r="AD9" s="690"/>
      <c r="AE9" s="690"/>
      <c r="AF9" s="690"/>
      <c r="AG9" s="690"/>
      <c r="AH9" s="690"/>
      <c r="AI9" s="690"/>
      <c r="AJ9" s="690"/>
      <c r="AK9" s="690"/>
      <c r="AL9" s="690"/>
      <c r="AM9" s="690"/>
      <c r="AN9" s="690"/>
      <c r="AO9" s="690"/>
      <c r="AP9" s="690"/>
    </row>
    <row r="10" spans="1:42" x14ac:dyDescent="0.25">
      <c r="A10" s="134">
        <f t="shared" si="0"/>
        <v>9</v>
      </c>
      <c r="B10" s="443" t="s">
        <v>4399</v>
      </c>
      <c r="C10" s="443" t="s">
        <v>3091</v>
      </c>
      <c r="D10" s="443"/>
      <c r="E10" s="443"/>
      <c r="F10" s="444" t="s">
        <v>3034</v>
      </c>
      <c r="G10" s="4"/>
      <c r="H10" s="640"/>
      <c r="I10" s="640" t="s">
        <v>625</v>
      </c>
      <c r="J10" s="653"/>
      <c r="K10" s="653"/>
      <c r="L10" s="653"/>
      <c r="M10" s="653"/>
      <c r="N10" s="653"/>
      <c r="O10" s="653"/>
      <c r="P10" s="653"/>
      <c r="Q10" s="640"/>
      <c r="R10" s="640"/>
      <c r="S10" s="640"/>
      <c r="T10" s="460"/>
      <c r="U10" s="640" t="s">
        <v>171</v>
      </c>
      <c r="V10" s="685">
        <f t="shared" si="1"/>
        <v>0</v>
      </c>
      <c r="W10" s="690"/>
      <c r="X10" s="690"/>
      <c r="Y10" s="690"/>
      <c r="Z10" s="690"/>
      <c r="AA10" s="690"/>
      <c r="AB10" s="690"/>
      <c r="AC10" s="690"/>
      <c r="AD10" s="690"/>
      <c r="AE10" s="690"/>
      <c r="AF10" s="690"/>
      <c r="AG10" s="690"/>
      <c r="AH10" s="690"/>
      <c r="AI10" s="690"/>
      <c r="AJ10" s="690"/>
      <c r="AK10" s="690"/>
      <c r="AL10" s="690"/>
      <c r="AM10" s="690"/>
      <c r="AN10" s="690"/>
      <c r="AO10" s="690"/>
      <c r="AP10" s="690"/>
    </row>
    <row r="11" spans="1:42" x14ac:dyDescent="0.25">
      <c r="A11" s="134">
        <f t="shared" si="0"/>
        <v>10</v>
      </c>
      <c r="B11" s="443" t="s">
        <v>3112</v>
      </c>
      <c r="C11" s="443" t="s">
        <v>3112</v>
      </c>
      <c r="D11" s="443"/>
      <c r="E11" s="443" t="s">
        <v>7159</v>
      </c>
      <c r="F11" s="444" t="s">
        <v>4644</v>
      </c>
      <c r="G11" s="4"/>
      <c r="H11" s="640"/>
      <c r="I11" s="640" t="s">
        <v>618</v>
      </c>
      <c r="J11" s="653"/>
      <c r="K11" s="653" t="s">
        <v>6269</v>
      </c>
      <c r="L11" s="653"/>
      <c r="M11" s="653"/>
      <c r="N11" s="653"/>
      <c r="O11" s="653"/>
      <c r="P11" s="653"/>
      <c r="Q11" s="640"/>
      <c r="R11" s="640"/>
      <c r="S11" s="640"/>
      <c r="T11" s="460"/>
      <c r="U11" s="460"/>
      <c r="V11" s="685">
        <f t="shared" si="1"/>
        <v>0</v>
      </c>
      <c r="W11" s="690"/>
      <c r="X11" s="690"/>
      <c r="Y11" s="690"/>
      <c r="Z11" s="690"/>
      <c r="AA11" s="690"/>
      <c r="AB11" s="690"/>
      <c r="AC11" s="690"/>
      <c r="AD11" s="690"/>
      <c r="AE11" s="690"/>
      <c r="AF11" s="690"/>
      <c r="AG11" s="690"/>
      <c r="AH11" s="690"/>
      <c r="AI11" s="690"/>
      <c r="AJ11" s="690"/>
      <c r="AK11" s="690"/>
      <c r="AL11" s="690"/>
      <c r="AM11" s="690"/>
      <c r="AN11" s="690"/>
      <c r="AO11" s="690"/>
      <c r="AP11" s="690"/>
    </row>
    <row r="12" spans="1:42" x14ac:dyDescent="0.25">
      <c r="A12" s="134">
        <f t="shared" si="0"/>
        <v>11</v>
      </c>
      <c r="B12" s="443" t="s">
        <v>3126</v>
      </c>
      <c r="C12" s="443" t="s">
        <v>3126</v>
      </c>
      <c r="D12" s="443"/>
      <c r="E12" s="444" t="s">
        <v>4685</v>
      </c>
      <c r="F12" s="444" t="s">
        <v>4685</v>
      </c>
      <c r="G12" s="4" t="s">
        <v>7365</v>
      </c>
      <c r="H12" s="640"/>
      <c r="I12" s="640"/>
      <c r="J12" s="653" t="s">
        <v>6266</v>
      </c>
      <c r="K12" s="653" t="s">
        <v>6269</v>
      </c>
      <c r="L12" s="653"/>
      <c r="M12" s="653"/>
      <c r="N12" s="653"/>
      <c r="O12" s="653"/>
      <c r="P12" s="653"/>
      <c r="Q12" s="640"/>
      <c r="R12" s="640"/>
      <c r="S12" s="640"/>
      <c r="T12" s="460"/>
      <c r="U12" s="460"/>
      <c r="V12" s="685">
        <f t="shared" si="1"/>
        <v>0</v>
      </c>
      <c r="W12" s="690"/>
      <c r="X12" s="690"/>
      <c r="Y12" s="690"/>
      <c r="Z12" s="690"/>
      <c r="AA12" s="690"/>
      <c r="AB12" s="690"/>
      <c r="AC12" s="690"/>
      <c r="AD12" s="690"/>
      <c r="AE12" s="690"/>
      <c r="AF12" s="690"/>
      <c r="AG12" s="690"/>
      <c r="AH12" s="690"/>
      <c r="AI12" s="690"/>
      <c r="AJ12" s="690"/>
      <c r="AK12" s="690"/>
      <c r="AL12" s="690"/>
      <c r="AM12" s="690"/>
      <c r="AN12" s="690"/>
      <c r="AO12" s="690"/>
      <c r="AP12" s="690"/>
    </row>
    <row r="13" spans="1:42" x14ac:dyDescent="0.25">
      <c r="A13" s="134">
        <f t="shared" si="0"/>
        <v>12</v>
      </c>
      <c r="B13" s="443" t="s">
        <v>3129</v>
      </c>
      <c r="C13" s="443" t="s">
        <v>3129</v>
      </c>
      <c r="D13" s="443"/>
      <c r="E13" s="443" t="s">
        <v>7160</v>
      </c>
      <c r="F13" s="444" t="s">
        <v>4855</v>
      </c>
      <c r="G13" s="4"/>
      <c r="H13" s="640"/>
      <c r="I13" s="640"/>
      <c r="J13" s="653" t="s">
        <v>6266</v>
      </c>
      <c r="K13" s="653" t="s">
        <v>6269</v>
      </c>
      <c r="L13" s="653"/>
      <c r="M13" s="653"/>
      <c r="N13" s="653"/>
      <c r="O13" s="653"/>
      <c r="P13" s="653"/>
      <c r="Q13" s="640"/>
      <c r="R13" s="640"/>
      <c r="S13" s="640"/>
      <c r="T13" s="460"/>
      <c r="U13" s="460"/>
      <c r="V13" s="685">
        <f t="shared" si="1"/>
        <v>0</v>
      </c>
      <c r="W13" s="690"/>
      <c r="X13" s="690"/>
      <c r="Y13" s="690"/>
      <c r="Z13" s="690"/>
      <c r="AA13" s="690"/>
      <c r="AB13" s="690"/>
      <c r="AC13" s="690"/>
      <c r="AD13" s="690"/>
      <c r="AE13" s="690"/>
      <c r="AF13" s="690"/>
      <c r="AG13" s="690"/>
      <c r="AH13" s="690"/>
      <c r="AI13" s="690"/>
      <c r="AJ13" s="690"/>
      <c r="AK13" s="690"/>
      <c r="AL13" s="690"/>
      <c r="AM13" s="690"/>
      <c r="AN13" s="690"/>
      <c r="AO13" s="690"/>
      <c r="AP13" s="690"/>
    </row>
    <row r="14" spans="1:42" x14ac:dyDescent="0.25">
      <c r="A14" s="134">
        <f t="shared" si="0"/>
        <v>13</v>
      </c>
      <c r="B14" s="443" t="s">
        <v>3124</v>
      </c>
      <c r="C14" s="443" t="s">
        <v>3124</v>
      </c>
      <c r="D14" s="443"/>
      <c r="E14" s="443" t="s">
        <v>7161</v>
      </c>
      <c r="F14" s="444" t="s">
        <v>4832</v>
      </c>
      <c r="G14" s="4" t="s">
        <v>5117</v>
      </c>
      <c r="H14" s="640"/>
      <c r="I14" s="640"/>
      <c r="J14" s="653" t="s">
        <v>6266</v>
      </c>
      <c r="K14" s="653" t="s">
        <v>6269</v>
      </c>
      <c r="L14" s="653"/>
      <c r="M14" s="653"/>
      <c r="N14" s="653"/>
      <c r="O14" s="653"/>
      <c r="P14" s="653"/>
      <c r="Q14" s="640"/>
      <c r="R14" s="640"/>
      <c r="S14" s="640"/>
      <c r="T14" s="460"/>
      <c r="U14" s="460"/>
      <c r="V14" s="685">
        <f t="shared" si="1"/>
        <v>0</v>
      </c>
      <c r="W14" s="690"/>
      <c r="X14" s="690"/>
      <c r="Y14" s="690"/>
      <c r="Z14" s="690"/>
      <c r="AA14" s="690"/>
      <c r="AB14" s="690"/>
      <c r="AC14" s="690"/>
      <c r="AD14" s="690"/>
      <c r="AE14" s="690"/>
      <c r="AF14" s="690"/>
      <c r="AG14" s="690"/>
      <c r="AH14" s="690"/>
      <c r="AI14" s="690"/>
      <c r="AJ14" s="690"/>
      <c r="AK14" s="690"/>
      <c r="AL14" s="690"/>
      <c r="AM14" s="690"/>
      <c r="AN14" s="690"/>
      <c r="AO14" s="690"/>
      <c r="AP14" s="690"/>
    </row>
    <row r="15" spans="1:42" x14ac:dyDescent="0.25">
      <c r="A15" s="134">
        <f t="shared" si="0"/>
        <v>14</v>
      </c>
      <c r="B15" s="443" t="s">
        <v>3053</v>
      </c>
      <c r="C15" s="443" t="s">
        <v>3053</v>
      </c>
      <c r="D15" s="443"/>
      <c r="E15" s="443"/>
      <c r="F15" s="444" t="s">
        <v>3034</v>
      </c>
      <c r="G15" s="4"/>
      <c r="H15" s="640"/>
      <c r="I15" s="640" t="s">
        <v>1109</v>
      </c>
      <c r="J15" s="653"/>
      <c r="K15" s="653"/>
      <c r="L15" s="653"/>
      <c r="M15" s="653"/>
      <c r="N15" s="653"/>
      <c r="O15" s="653"/>
      <c r="P15" s="653"/>
      <c r="Q15" s="640"/>
      <c r="R15" s="640"/>
      <c r="S15" s="640"/>
      <c r="T15" s="640" t="s">
        <v>171</v>
      </c>
      <c r="U15" s="460"/>
      <c r="V15" s="685">
        <f t="shared" si="1"/>
        <v>2</v>
      </c>
      <c r="W15" s="4" t="s">
        <v>3150</v>
      </c>
      <c r="X15" s="4" t="s">
        <v>3151</v>
      </c>
      <c r="Y15" s="690"/>
      <c r="Z15" s="690"/>
      <c r="AA15" s="690"/>
      <c r="AB15" s="690"/>
      <c r="AC15" s="690"/>
      <c r="AD15" s="690"/>
      <c r="AE15" s="690"/>
      <c r="AF15" s="690"/>
      <c r="AG15" s="690"/>
      <c r="AH15" s="690"/>
      <c r="AI15" s="690"/>
      <c r="AJ15" s="690"/>
      <c r="AK15" s="690"/>
      <c r="AL15" s="690"/>
      <c r="AM15" s="690"/>
      <c r="AN15" s="690"/>
      <c r="AO15" s="690"/>
      <c r="AP15" s="690"/>
    </row>
    <row r="16" spans="1:42" x14ac:dyDescent="0.25">
      <c r="A16" s="134">
        <f t="shared" si="0"/>
        <v>15</v>
      </c>
      <c r="B16" s="443" t="s">
        <v>3102</v>
      </c>
      <c r="C16" s="443" t="s">
        <v>3102</v>
      </c>
      <c r="D16" s="443"/>
      <c r="E16" s="443"/>
      <c r="F16" s="444" t="s">
        <v>3034</v>
      </c>
      <c r="G16" s="4"/>
      <c r="H16" s="640"/>
      <c r="I16" s="640" t="s">
        <v>1109</v>
      </c>
      <c r="J16" s="653"/>
      <c r="K16" s="653"/>
      <c r="L16" s="653"/>
      <c r="M16" s="653"/>
      <c r="N16" s="653"/>
      <c r="O16" s="653"/>
      <c r="P16" s="653"/>
      <c r="Q16" s="640"/>
      <c r="R16" s="640"/>
      <c r="S16" s="640"/>
      <c r="T16" s="460"/>
      <c r="U16" s="640" t="s">
        <v>171</v>
      </c>
      <c r="V16" s="685">
        <f t="shared" si="1"/>
        <v>0</v>
      </c>
      <c r="W16" s="690"/>
      <c r="X16" s="690"/>
      <c r="Y16" s="690"/>
      <c r="Z16" s="690"/>
      <c r="AA16" s="690"/>
      <c r="AB16" s="690"/>
      <c r="AC16" s="690"/>
      <c r="AD16" s="690"/>
      <c r="AE16" s="690"/>
      <c r="AF16" s="690"/>
      <c r="AG16" s="690"/>
      <c r="AH16" s="690"/>
      <c r="AI16" s="690"/>
      <c r="AJ16" s="690"/>
      <c r="AK16" s="690"/>
      <c r="AL16" s="690"/>
      <c r="AM16" s="690"/>
      <c r="AN16" s="690"/>
      <c r="AO16" s="690"/>
      <c r="AP16" s="690"/>
    </row>
    <row r="17" spans="1:42" x14ac:dyDescent="0.25">
      <c r="A17" s="134">
        <f t="shared" si="0"/>
        <v>16</v>
      </c>
      <c r="B17" s="443" t="s">
        <v>4316</v>
      </c>
      <c r="C17" s="443" t="s">
        <v>3102</v>
      </c>
      <c r="D17" s="443"/>
      <c r="E17" s="443"/>
      <c r="F17" s="444" t="s">
        <v>3034</v>
      </c>
      <c r="G17" s="4"/>
      <c r="H17" s="640"/>
      <c r="I17" s="640" t="s">
        <v>1109</v>
      </c>
      <c r="J17" s="653"/>
      <c r="K17" s="653"/>
      <c r="L17" s="653"/>
      <c r="M17" s="653"/>
      <c r="N17" s="653"/>
      <c r="O17" s="653"/>
      <c r="P17" s="653"/>
      <c r="Q17" s="640"/>
      <c r="R17" s="640"/>
      <c r="S17" s="640"/>
      <c r="T17" s="460"/>
      <c r="U17" s="640" t="s">
        <v>171</v>
      </c>
      <c r="V17" s="685">
        <f t="shared" si="1"/>
        <v>0</v>
      </c>
      <c r="W17" s="690"/>
      <c r="X17" s="690"/>
      <c r="Y17" s="690"/>
      <c r="Z17" s="690"/>
      <c r="AA17" s="690"/>
      <c r="AB17" s="690"/>
      <c r="AC17" s="690"/>
      <c r="AD17" s="690"/>
      <c r="AE17" s="690"/>
      <c r="AF17" s="690"/>
      <c r="AG17" s="690"/>
      <c r="AH17" s="690"/>
      <c r="AI17" s="690"/>
      <c r="AJ17" s="690"/>
      <c r="AK17" s="690"/>
      <c r="AL17" s="690"/>
      <c r="AM17" s="690"/>
      <c r="AN17" s="690"/>
      <c r="AO17" s="690"/>
      <c r="AP17" s="690"/>
    </row>
    <row r="18" spans="1:42" x14ac:dyDescent="0.25">
      <c r="A18" s="134">
        <f t="shared" si="0"/>
        <v>17</v>
      </c>
      <c r="B18" s="443" t="s">
        <v>4317</v>
      </c>
      <c r="C18" s="443" t="s">
        <v>3102</v>
      </c>
      <c r="D18" s="443"/>
      <c r="E18" s="443"/>
      <c r="F18" s="444" t="s">
        <v>3034</v>
      </c>
      <c r="G18" s="4"/>
      <c r="H18" s="640"/>
      <c r="I18" s="640" t="s">
        <v>1109</v>
      </c>
      <c r="J18" s="653"/>
      <c r="K18" s="653"/>
      <c r="L18" s="653"/>
      <c r="M18" s="653"/>
      <c r="N18" s="653"/>
      <c r="O18" s="653"/>
      <c r="P18" s="653"/>
      <c r="Q18" s="640"/>
      <c r="R18" s="640"/>
      <c r="S18" s="640"/>
      <c r="T18" s="460"/>
      <c r="U18" s="640" t="s">
        <v>171</v>
      </c>
      <c r="V18" s="685">
        <f t="shared" si="1"/>
        <v>0</v>
      </c>
      <c r="W18" s="690"/>
      <c r="X18" s="690"/>
      <c r="Y18" s="690"/>
      <c r="Z18" s="690"/>
      <c r="AA18" s="690"/>
      <c r="AB18" s="690"/>
      <c r="AC18" s="690"/>
      <c r="AD18" s="690"/>
      <c r="AE18" s="690"/>
      <c r="AF18" s="690"/>
      <c r="AG18" s="690"/>
      <c r="AH18" s="690"/>
      <c r="AI18" s="690"/>
      <c r="AJ18" s="690"/>
      <c r="AK18" s="690"/>
      <c r="AL18" s="690"/>
      <c r="AM18" s="690"/>
      <c r="AN18" s="690"/>
      <c r="AO18" s="690"/>
      <c r="AP18" s="690"/>
    </row>
    <row r="19" spans="1:42" x14ac:dyDescent="0.25">
      <c r="A19" s="134">
        <f t="shared" si="0"/>
        <v>18</v>
      </c>
      <c r="B19" s="443" t="s">
        <v>4318</v>
      </c>
      <c r="C19" s="443" t="s">
        <v>3102</v>
      </c>
      <c r="D19" s="443"/>
      <c r="E19" s="443"/>
      <c r="F19" s="444" t="s">
        <v>3034</v>
      </c>
      <c r="G19" s="4"/>
      <c r="H19" s="640"/>
      <c r="I19" s="640" t="s">
        <v>1109</v>
      </c>
      <c r="J19" s="653"/>
      <c r="K19" s="653"/>
      <c r="L19" s="653"/>
      <c r="M19" s="653"/>
      <c r="N19" s="653"/>
      <c r="O19" s="653"/>
      <c r="P19" s="653"/>
      <c r="Q19" s="640"/>
      <c r="R19" s="640"/>
      <c r="S19" s="640"/>
      <c r="T19" s="460"/>
      <c r="U19" s="640" t="s">
        <v>171</v>
      </c>
      <c r="V19" s="685">
        <f t="shared" si="1"/>
        <v>0</v>
      </c>
      <c r="W19" s="690"/>
      <c r="X19" s="690"/>
      <c r="Y19" s="690"/>
      <c r="Z19" s="690"/>
      <c r="AA19" s="690"/>
      <c r="AB19" s="690"/>
      <c r="AC19" s="690"/>
      <c r="AD19" s="690"/>
      <c r="AE19" s="690"/>
      <c r="AF19" s="690"/>
      <c r="AG19" s="690"/>
      <c r="AH19" s="690"/>
      <c r="AI19" s="690"/>
      <c r="AJ19" s="690"/>
      <c r="AK19" s="690"/>
      <c r="AL19" s="690"/>
      <c r="AM19" s="690"/>
      <c r="AN19" s="690"/>
      <c r="AO19" s="690"/>
      <c r="AP19" s="690"/>
    </row>
    <row r="20" spans="1:42" x14ac:dyDescent="0.25">
      <c r="A20" s="134">
        <f t="shared" si="0"/>
        <v>19</v>
      </c>
      <c r="B20" s="443" t="s">
        <v>4319</v>
      </c>
      <c r="C20" s="443" t="s">
        <v>3102</v>
      </c>
      <c r="D20" s="443"/>
      <c r="E20" s="443"/>
      <c r="F20" s="444" t="s">
        <v>3034</v>
      </c>
      <c r="G20" s="4"/>
      <c r="H20" s="640"/>
      <c r="I20" s="640" t="s">
        <v>1109</v>
      </c>
      <c r="J20" s="653"/>
      <c r="K20" s="653"/>
      <c r="L20" s="653"/>
      <c r="M20" s="653"/>
      <c r="N20" s="653"/>
      <c r="O20" s="653"/>
      <c r="P20" s="653"/>
      <c r="Q20" s="640"/>
      <c r="R20" s="640"/>
      <c r="S20" s="640"/>
      <c r="T20" s="460"/>
      <c r="U20" s="640" t="s">
        <v>171</v>
      </c>
      <c r="V20" s="685">
        <f t="shared" si="1"/>
        <v>0</v>
      </c>
      <c r="W20" s="690"/>
      <c r="X20" s="690"/>
      <c r="Y20" s="690"/>
      <c r="Z20" s="690"/>
      <c r="AA20" s="690"/>
      <c r="AB20" s="690"/>
      <c r="AC20" s="690"/>
      <c r="AD20" s="690"/>
      <c r="AE20" s="690"/>
      <c r="AF20" s="690"/>
      <c r="AG20" s="690"/>
      <c r="AH20" s="690"/>
      <c r="AI20" s="690"/>
      <c r="AJ20" s="690"/>
      <c r="AK20" s="690"/>
      <c r="AL20" s="690"/>
      <c r="AM20" s="690"/>
      <c r="AN20" s="690"/>
      <c r="AO20" s="690"/>
      <c r="AP20" s="690"/>
    </row>
    <row r="21" spans="1:42" x14ac:dyDescent="0.25">
      <c r="A21" s="134">
        <f t="shared" si="0"/>
        <v>20</v>
      </c>
      <c r="B21" s="443" t="s">
        <v>2309</v>
      </c>
      <c r="C21" s="443" t="s">
        <v>2309</v>
      </c>
      <c r="D21" s="443"/>
      <c r="E21" s="443"/>
      <c r="F21" s="444" t="s">
        <v>4856</v>
      </c>
      <c r="G21" s="4"/>
      <c r="H21" s="640"/>
      <c r="I21" s="640" t="s">
        <v>1109</v>
      </c>
      <c r="J21" s="653" t="s">
        <v>6266</v>
      </c>
      <c r="K21" s="653" t="s">
        <v>6270</v>
      </c>
      <c r="L21" s="653"/>
      <c r="M21" s="653"/>
      <c r="N21" s="653" t="s">
        <v>7360</v>
      </c>
      <c r="O21" s="653" t="s">
        <v>7358</v>
      </c>
      <c r="P21" s="653"/>
      <c r="Q21" s="640"/>
      <c r="R21" s="640"/>
      <c r="S21" s="640"/>
      <c r="T21" s="460"/>
      <c r="U21" s="460"/>
      <c r="V21" s="685">
        <f t="shared" si="1"/>
        <v>0</v>
      </c>
      <c r="W21" s="690"/>
      <c r="X21" s="690"/>
      <c r="Y21" s="690"/>
      <c r="Z21" s="690"/>
      <c r="AA21" s="690"/>
      <c r="AB21" s="690"/>
      <c r="AC21" s="690"/>
      <c r="AD21" s="690"/>
      <c r="AE21" s="690"/>
      <c r="AF21" s="690"/>
      <c r="AG21" s="690"/>
      <c r="AH21" s="690"/>
      <c r="AI21" s="690"/>
      <c r="AJ21" s="690"/>
      <c r="AK21" s="690"/>
      <c r="AL21" s="690"/>
      <c r="AM21" s="690"/>
      <c r="AN21" s="690"/>
      <c r="AO21" s="690"/>
      <c r="AP21" s="690"/>
    </row>
    <row r="22" spans="1:42" x14ac:dyDescent="0.25">
      <c r="A22" s="134">
        <f t="shared" si="0"/>
        <v>21</v>
      </c>
      <c r="B22" s="443" t="s">
        <v>3111</v>
      </c>
      <c r="C22" s="443" t="s">
        <v>3111</v>
      </c>
      <c r="D22" s="443"/>
      <c r="E22" s="443"/>
      <c r="F22" s="444"/>
      <c r="G22" s="4"/>
      <c r="H22" s="640"/>
      <c r="I22" s="640" t="s">
        <v>618</v>
      </c>
      <c r="J22" s="653" t="s">
        <v>6266</v>
      </c>
      <c r="K22" s="653" t="s">
        <v>6269</v>
      </c>
      <c r="L22" s="653"/>
      <c r="M22" s="653"/>
      <c r="N22" s="653"/>
      <c r="O22" s="653"/>
      <c r="P22" s="653"/>
      <c r="Q22" s="640"/>
      <c r="R22" s="640"/>
      <c r="S22" s="640"/>
      <c r="T22" s="460"/>
      <c r="U22" s="460"/>
      <c r="V22" s="685">
        <f t="shared" si="1"/>
        <v>0</v>
      </c>
      <c r="W22" s="690"/>
      <c r="X22" s="690"/>
      <c r="Y22" s="690"/>
      <c r="Z22" s="690"/>
      <c r="AA22" s="690"/>
      <c r="AB22" s="690"/>
      <c r="AC22" s="690"/>
      <c r="AD22" s="690"/>
      <c r="AE22" s="690"/>
      <c r="AF22" s="690"/>
      <c r="AG22" s="690"/>
      <c r="AH22" s="690"/>
      <c r="AI22" s="690"/>
      <c r="AJ22" s="690"/>
      <c r="AK22" s="690"/>
      <c r="AL22" s="690"/>
      <c r="AM22" s="690"/>
      <c r="AN22" s="690"/>
      <c r="AO22" s="690"/>
      <c r="AP22" s="690"/>
    </row>
    <row r="23" spans="1:42" x14ac:dyDescent="0.25">
      <c r="A23" s="134">
        <f t="shared" si="0"/>
        <v>22</v>
      </c>
      <c r="B23" s="443" t="s">
        <v>3133</v>
      </c>
      <c r="C23" s="443" t="s">
        <v>3133</v>
      </c>
      <c r="D23" s="443"/>
      <c r="E23" s="443" t="s">
        <v>7162</v>
      </c>
      <c r="F23" s="444" t="s">
        <v>4720</v>
      </c>
      <c r="G23" s="4"/>
      <c r="H23" s="640"/>
      <c r="I23" s="640"/>
      <c r="J23" s="653" t="s">
        <v>6266</v>
      </c>
      <c r="K23" s="653" t="s">
        <v>6269</v>
      </c>
      <c r="L23" s="653"/>
      <c r="M23" s="653"/>
      <c r="N23" s="653"/>
      <c r="O23" s="653"/>
      <c r="P23" s="653"/>
      <c r="Q23" s="640"/>
      <c r="R23" s="640"/>
      <c r="S23" s="640"/>
      <c r="T23" s="460"/>
      <c r="U23" s="460"/>
      <c r="V23" s="685">
        <f t="shared" si="1"/>
        <v>0</v>
      </c>
      <c r="W23" s="690"/>
      <c r="X23" s="690"/>
      <c r="Y23" s="690"/>
      <c r="Z23" s="690"/>
      <c r="AA23" s="690"/>
      <c r="AB23" s="690"/>
      <c r="AC23" s="690"/>
      <c r="AD23" s="690"/>
      <c r="AE23" s="690"/>
      <c r="AF23" s="690"/>
      <c r="AG23" s="690"/>
      <c r="AH23" s="690"/>
      <c r="AI23" s="690"/>
      <c r="AJ23" s="690"/>
      <c r="AK23" s="690"/>
      <c r="AL23" s="690"/>
      <c r="AM23" s="690"/>
      <c r="AN23" s="690"/>
      <c r="AO23" s="690"/>
      <c r="AP23" s="690"/>
    </row>
    <row r="24" spans="1:42" x14ac:dyDescent="0.25">
      <c r="A24" s="134">
        <f t="shared" si="0"/>
        <v>23</v>
      </c>
      <c r="B24" s="443" t="s">
        <v>2341</v>
      </c>
      <c r="C24" s="443" t="s">
        <v>2341</v>
      </c>
      <c r="D24" s="443"/>
      <c r="E24" s="443" t="s">
        <v>7163</v>
      </c>
      <c r="F24" s="444" t="s">
        <v>4857</v>
      </c>
      <c r="G24" s="4"/>
      <c r="H24" s="640"/>
      <c r="I24" s="640"/>
      <c r="J24" s="653" t="s">
        <v>6266</v>
      </c>
      <c r="K24" s="653" t="s">
        <v>6269</v>
      </c>
      <c r="L24" s="653"/>
      <c r="M24" s="653"/>
      <c r="N24" s="653"/>
      <c r="O24" s="653"/>
      <c r="P24" s="653"/>
      <c r="Q24" s="640"/>
      <c r="R24" s="640"/>
      <c r="S24" s="640"/>
      <c r="T24" s="460"/>
      <c r="U24" s="460"/>
      <c r="V24" s="685">
        <f t="shared" si="1"/>
        <v>0</v>
      </c>
      <c r="W24" s="690"/>
      <c r="X24" s="690"/>
      <c r="Y24" s="690"/>
      <c r="Z24" s="690"/>
      <c r="AA24" s="690"/>
      <c r="AB24" s="690"/>
      <c r="AC24" s="690"/>
      <c r="AD24" s="690"/>
      <c r="AE24" s="690"/>
      <c r="AF24" s="690"/>
      <c r="AG24" s="690"/>
      <c r="AH24" s="690"/>
      <c r="AI24" s="690"/>
      <c r="AJ24" s="690"/>
      <c r="AK24" s="690"/>
      <c r="AL24" s="690"/>
      <c r="AM24" s="690"/>
      <c r="AN24" s="690"/>
      <c r="AO24" s="690"/>
      <c r="AP24" s="690"/>
    </row>
    <row r="25" spans="1:42" x14ac:dyDescent="0.25">
      <c r="A25" s="134">
        <f t="shared" si="0"/>
        <v>24</v>
      </c>
      <c r="B25" s="443" t="s">
        <v>2311</v>
      </c>
      <c r="C25" s="443" t="s">
        <v>2311</v>
      </c>
      <c r="D25" s="443"/>
      <c r="E25" s="443" t="s">
        <v>7164</v>
      </c>
      <c r="F25" s="444" t="s">
        <v>4858</v>
      </c>
      <c r="G25" s="4"/>
      <c r="H25" s="640"/>
      <c r="I25" s="640"/>
      <c r="J25" s="653" t="s">
        <v>6266</v>
      </c>
      <c r="K25" s="653" t="s">
        <v>6270</v>
      </c>
      <c r="L25" s="653"/>
      <c r="M25" s="653"/>
      <c r="N25" s="653"/>
      <c r="O25" s="653" t="s">
        <v>7357</v>
      </c>
      <c r="P25" s="653"/>
      <c r="Q25" s="640"/>
      <c r="R25" s="640"/>
      <c r="S25" s="640"/>
      <c r="T25" s="460"/>
      <c r="U25" s="460"/>
      <c r="V25" s="685">
        <f t="shared" si="1"/>
        <v>0</v>
      </c>
      <c r="W25" s="690"/>
      <c r="X25" s="690"/>
      <c r="Y25" s="690"/>
      <c r="Z25" s="690"/>
      <c r="AA25" s="690"/>
      <c r="AB25" s="690"/>
      <c r="AC25" s="690"/>
      <c r="AD25" s="690"/>
      <c r="AE25" s="690"/>
      <c r="AF25" s="690"/>
      <c r="AG25" s="690"/>
      <c r="AH25" s="690"/>
      <c r="AI25" s="690"/>
      <c r="AJ25" s="690"/>
      <c r="AK25" s="690"/>
      <c r="AL25" s="690"/>
      <c r="AM25" s="690"/>
      <c r="AN25" s="690"/>
      <c r="AO25" s="690"/>
      <c r="AP25" s="690"/>
    </row>
    <row r="26" spans="1:42" x14ac:dyDescent="0.25">
      <c r="A26" s="134">
        <f t="shared" si="0"/>
        <v>25</v>
      </c>
      <c r="B26" s="443" t="s">
        <v>3127</v>
      </c>
      <c r="C26" s="443" t="s">
        <v>3127</v>
      </c>
      <c r="D26" s="443"/>
      <c r="E26" s="443" t="s">
        <v>7165</v>
      </c>
      <c r="F26" s="444" t="s">
        <v>4859</v>
      </c>
      <c r="G26" s="4"/>
      <c r="H26" s="640"/>
      <c r="I26" s="640"/>
      <c r="J26" s="653" t="s">
        <v>6266</v>
      </c>
      <c r="K26" s="653" t="s">
        <v>6270</v>
      </c>
      <c r="L26" s="653"/>
      <c r="M26" s="653"/>
      <c r="N26" s="653" t="s">
        <v>7360</v>
      </c>
      <c r="O26" s="653" t="s">
        <v>7358</v>
      </c>
      <c r="P26" s="653"/>
      <c r="Q26" s="640"/>
      <c r="R26" s="640"/>
      <c r="S26" s="640"/>
      <c r="T26" s="460"/>
      <c r="U26" s="460"/>
      <c r="V26" s="685">
        <f t="shared" si="1"/>
        <v>0</v>
      </c>
      <c r="W26" s="690"/>
      <c r="X26" s="690"/>
      <c r="Y26" s="690"/>
      <c r="Z26" s="690"/>
      <c r="AA26" s="690"/>
      <c r="AB26" s="690"/>
      <c r="AC26" s="690"/>
      <c r="AD26" s="690"/>
      <c r="AE26" s="690"/>
      <c r="AF26" s="690"/>
      <c r="AG26" s="690"/>
      <c r="AH26" s="690"/>
      <c r="AI26" s="690"/>
      <c r="AJ26" s="690"/>
      <c r="AK26" s="690"/>
      <c r="AL26" s="690"/>
      <c r="AM26" s="690"/>
      <c r="AN26" s="690"/>
      <c r="AO26" s="690"/>
      <c r="AP26" s="690"/>
    </row>
    <row r="27" spans="1:42" x14ac:dyDescent="0.25">
      <c r="A27" s="134">
        <f t="shared" si="0"/>
        <v>26</v>
      </c>
      <c r="B27" s="443" t="s">
        <v>3101</v>
      </c>
      <c r="C27" s="443" t="s">
        <v>3101</v>
      </c>
      <c r="D27" s="443"/>
      <c r="E27" s="443" t="s">
        <v>7166</v>
      </c>
      <c r="F27" s="444" t="s">
        <v>4860</v>
      </c>
      <c r="G27" s="4"/>
      <c r="H27" s="640"/>
      <c r="I27" s="640"/>
      <c r="J27" s="653" t="s">
        <v>6266</v>
      </c>
      <c r="K27" s="653" t="s">
        <v>6270</v>
      </c>
      <c r="L27" s="653"/>
      <c r="M27" s="653"/>
      <c r="N27" s="653"/>
      <c r="O27" s="653"/>
      <c r="P27" s="653"/>
      <c r="Q27" s="640"/>
      <c r="R27" s="640"/>
      <c r="S27" s="640"/>
      <c r="T27" s="460"/>
      <c r="U27" s="460"/>
      <c r="V27" s="685">
        <f t="shared" si="1"/>
        <v>0</v>
      </c>
      <c r="W27" s="690"/>
      <c r="X27" s="690"/>
      <c r="Y27" s="690"/>
      <c r="Z27" s="690"/>
      <c r="AA27" s="690"/>
      <c r="AB27" s="690"/>
      <c r="AC27" s="690"/>
      <c r="AD27" s="690"/>
      <c r="AE27" s="690"/>
      <c r="AF27" s="690"/>
      <c r="AG27" s="690"/>
      <c r="AH27" s="690"/>
      <c r="AI27" s="690"/>
      <c r="AJ27" s="690"/>
      <c r="AK27" s="690"/>
      <c r="AL27" s="690"/>
      <c r="AM27" s="690"/>
      <c r="AN27" s="690"/>
      <c r="AO27" s="690"/>
      <c r="AP27" s="690"/>
    </row>
    <row r="28" spans="1:42" x14ac:dyDescent="0.25">
      <c r="A28" s="134">
        <f t="shared" si="0"/>
        <v>27</v>
      </c>
      <c r="B28" s="443" t="s">
        <v>1117</v>
      </c>
      <c r="C28" s="443" t="s">
        <v>1117</v>
      </c>
      <c r="D28" s="443"/>
      <c r="E28" s="443" t="s">
        <v>7167</v>
      </c>
      <c r="F28" s="444" t="s">
        <v>4717</v>
      </c>
      <c r="G28" s="4"/>
      <c r="H28" s="640"/>
      <c r="I28" s="640"/>
      <c r="J28" s="653" t="s">
        <v>6266</v>
      </c>
      <c r="K28" s="653" t="s">
        <v>6269</v>
      </c>
      <c r="L28" s="653"/>
      <c r="M28" s="653"/>
      <c r="N28" s="653"/>
      <c r="O28" s="653"/>
      <c r="P28" s="653"/>
      <c r="Q28" s="640"/>
      <c r="R28" s="640"/>
      <c r="S28" s="640"/>
      <c r="T28" s="460"/>
      <c r="U28" s="460"/>
      <c r="V28" s="685">
        <f t="shared" si="1"/>
        <v>0</v>
      </c>
      <c r="W28" s="690"/>
      <c r="X28" s="690"/>
      <c r="Y28" s="690"/>
      <c r="Z28" s="690"/>
      <c r="AA28" s="690"/>
      <c r="AB28" s="690"/>
      <c r="AC28" s="690"/>
      <c r="AD28" s="690"/>
      <c r="AE28" s="690"/>
      <c r="AF28" s="690"/>
      <c r="AG28" s="690"/>
      <c r="AH28" s="690"/>
      <c r="AI28" s="690"/>
      <c r="AJ28" s="690"/>
      <c r="AK28" s="690"/>
      <c r="AL28" s="690"/>
      <c r="AM28" s="690"/>
      <c r="AN28" s="690"/>
      <c r="AO28" s="690"/>
      <c r="AP28" s="690"/>
    </row>
    <row r="29" spans="1:42" x14ac:dyDescent="0.25">
      <c r="A29" s="134">
        <f t="shared" si="0"/>
        <v>28</v>
      </c>
      <c r="B29" s="443" t="s">
        <v>2281</v>
      </c>
      <c r="C29" s="443" t="s">
        <v>2281</v>
      </c>
      <c r="D29" s="443"/>
      <c r="E29" s="443" t="s">
        <v>7168</v>
      </c>
      <c r="F29" s="444" t="s">
        <v>4861</v>
      </c>
      <c r="G29" s="4"/>
      <c r="H29" s="640"/>
      <c r="I29" s="640"/>
      <c r="J29" s="653" t="s">
        <v>6266</v>
      </c>
      <c r="K29" s="653" t="s">
        <v>6269</v>
      </c>
      <c r="L29" s="653"/>
      <c r="M29" s="653"/>
      <c r="N29" s="653"/>
      <c r="O29" s="653"/>
      <c r="P29" s="653"/>
      <c r="Q29" s="640"/>
      <c r="R29" s="640"/>
      <c r="S29" s="640"/>
      <c r="T29" s="460"/>
      <c r="U29" s="460"/>
      <c r="V29" s="685">
        <f t="shared" si="1"/>
        <v>0</v>
      </c>
      <c r="W29" s="690"/>
      <c r="X29" s="690"/>
      <c r="Y29" s="690"/>
      <c r="Z29" s="690"/>
      <c r="AA29" s="690"/>
      <c r="AB29" s="690"/>
      <c r="AC29" s="690"/>
      <c r="AD29" s="690"/>
      <c r="AE29" s="690"/>
      <c r="AF29" s="690"/>
      <c r="AG29" s="690"/>
      <c r="AH29" s="690"/>
      <c r="AI29" s="690"/>
      <c r="AJ29" s="690"/>
      <c r="AK29" s="690"/>
      <c r="AL29" s="690"/>
      <c r="AM29" s="690"/>
      <c r="AN29" s="690"/>
      <c r="AO29" s="690"/>
      <c r="AP29" s="690"/>
    </row>
    <row r="30" spans="1:42" x14ac:dyDescent="0.25">
      <c r="A30" s="134">
        <f t="shared" si="0"/>
        <v>29</v>
      </c>
      <c r="B30" s="443" t="s">
        <v>3056</v>
      </c>
      <c r="C30" s="443" t="s">
        <v>3056</v>
      </c>
      <c r="D30" s="443"/>
      <c r="E30" s="443" t="s">
        <v>7169</v>
      </c>
      <c r="F30" s="444" t="s">
        <v>4862</v>
      </c>
      <c r="G30" s="4"/>
      <c r="H30" s="640"/>
      <c r="I30" s="640"/>
      <c r="J30" s="653" t="s">
        <v>6266</v>
      </c>
      <c r="K30" s="653" t="s">
        <v>6270</v>
      </c>
      <c r="L30" s="653"/>
      <c r="M30" s="653" t="s">
        <v>7103</v>
      </c>
      <c r="N30" s="653"/>
      <c r="O30" s="653"/>
      <c r="P30" s="653"/>
      <c r="Q30" s="640"/>
      <c r="R30" s="640"/>
      <c r="S30" s="640"/>
      <c r="T30" s="460"/>
      <c r="U30" s="460"/>
      <c r="V30" s="685">
        <f t="shared" si="1"/>
        <v>0</v>
      </c>
      <c r="W30" s="690"/>
      <c r="X30" s="690"/>
      <c r="Y30" s="690"/>
      <c r="Z30" s="690"/>
      <c r="AA30" s="690"/>
      <c r="AB30" s="690"/>
      <c r="AC30" s="690"/>
      <c r="AD30" s="690"/>
      <c r="AE30" s="690"/>
      <c r="AF30" s="690"/>
      <c r="AG30" s="690"/>
      <c r="AH30" s="690"/>
      <c r="AI30" s="690"/>
      <c r="AJ30" s="690"/>
      <c r="AK30" s="690"/>
      <c r="AL30" s="690"/>
      <c r="AM30" s="690"/>
      <c r="AN30" s="690"/>
      <c r="AO30" s="690"/>
      <c r="AP30" s="690"/>
    </row>
    <row r="31" spans="1:42" x14ac:dyDescent="0.25">
      <c r="A31" s="134">
        <f t="shared" si="0"/>
        <v>30</v>
      </c>
      <c r="B31" s="443" t="s">
        <v>3196</v>
      </c>
      <c r="C31" s="443" t="s">
        <v>3196</v>
      </c>
      <c r="D31" s="443"/>
      <c r="E31" s="443" t="s">
        <v>7170</v>
      </c>
      <c r="F31" s="444" t="s">
        <v>4609</v>
      </c>
      <c r="G31" s="4"/>
      <c r="H31" s="640"/>
      <c r="I31" s="640"/>
      <c r="J31" s="653" t="s">
        <v>6266</v>
      </c>
      <c r="K31" s="653" t="s">
        <v>6269</v>
      </c>
      <c r="L31" s="653"/>
      <c r="M31" s="653"/>
      <c r="N31" s="653"/>
      <c r="O31" s="653"/>
      <c r="P31" s="653"/>
      <c r="Q31" s="640"/>
      <c r="R31" s="640"/>
      <c r="S31" s="640"/>
      <c r="T31" s="460"/>
      <c r="U31" s="460"/>
      <c r="V31" s="685">
        <f t="shared" si="1"/>
        <v>0</v>
      </c>
      <c r="W31" s="690"/>
      <c r="X31" s="690"/>
      <c r="Y31" s="690"/>
      <c r="Z31" s="690"/>
      <c r="AA31" s="690"/>
      <c r="AB31" s="690"/>
      <c r="AC31" s="690"/>
      <c r="AD31" s="690"/>
      <c r="AE31" s="690"/>
      <c r="AF31" s="690"/>
      <c r="AG31" s="690"/>
      <c r="AH31" s="690"/>
      <c r="AI31" s="690"/>
      <c r="AJ31" s="690"/>
      <c r="AK31" s="690"/>
      <c r="AL31" s="690"/>
      <c r="AM31" s="690"/>
      <c r="AN31" s="690"/>
      <c r="AO31" s="690"/>
      <c r="AP31" s="690"/>
    </row>
    <row r="32" spans="1:42" x14ac:dyDescent="0.25">
      <c r="A32" s="134">
        <f t="shared" si="0"/>
        <v>31</v>
      </c>
      <c r="B32" s="443" t="s">
        <v>3121</v>
      </c>
      <c r="C32" s="443" t="s">
        <v>3121</v>
      </c>
      <c r="D32" s="443"/>
      <c r="E32" s="443"/>
      <c r="F32" s="445"/>
      <c r="G32" s="4"/>
      <c r="H32" s="640"/>
      <c r="I32" s="640"/>
      <c r="J32" s="653"/>
      <c r="K32" s="653" t="s">
        <v>6269</v>
      </c>
      <c r="L32" s="653"/>
      <c r="M32" s="653" t="s">
        <v>7103</v>
      </c>
      <c r="N32" s="653"/>
      <c r="O32" s="653"/>
      <c r="P32" s="653"/>
      <c r="Q32" s="640"/>
      <c r="R32" s="640"/>
      <c r="S32" s="640"/>
      <c r="T32" s="460"/>
      <c r="U32" s="460"/>
      <c r="V32" s="685">
        <f t="shared" si="1"/>
        <v>0</v>
      </c>
      <c r="W32" s="690"/>
      <c r="X32" s="690"/>
      <c r="Y32" s="690"/>
      <c r="Z32" s="690"/>
      <c r="AA32" s="690"/>
      <c r="AB32" s="690"/>
      <c r="AC32" s="690"/>
      <c r="AD32" s="690"/>
      <c r="AE32" s="690"/>
      <c r="AF32" s="690"/>
      <c r="AG32" s="690"/>
      <c r="AH32" s="690"/>
      <c r="AI32" s="690"/>
      <c r="AJ32" s="690"/>
      <c r="AK32" s="690"/>
      <c r="AL32" s="690"/>
      <c r="AM32" s="690"/>
      <c r="AN32" s="690"/>
      <c r="AO32" s="690"/>
      <c r="AP32" s="690"/>
    </row>
    <row r="33" spans="1:42" x14ac:dyDescent="0.25">
      <c r="A33" s="134">
        <f t="shared" si="0"/>
        <v>32</v>
      </c>
      <c r="B33" s="443" t="s">
        <v>2266</v>
      </c>
      <c r="C33" s="443" t="s">
        <v>2266</v>
      </c>
      <c r="D33" s="443"/>
      <c r="E33" s="443"/>
      <c r="F33" s="444" t="s">
        <v>3034</v>
      </c>
      <c r="G33" s="4"/>
      <c r="H33" s="640"/>
      <c r="I33" s="640" t="s">
        <v>617</v>
      </c>
      <c r="J33" s="653"/>
      <c r="K33" s="653" t="s">
        <v>6269</v>
      </c>
      <c r="L33" s="653"/>
      <c r="M33" s="653"/>
      <c r="N33" s="653"/>
      <c r="O33" s="653"/>
      <c r="P33" s="653"/>
      <c r="Q33" s="640"/>
      <c r="R33" s="640"/>
      <c r="S33" s="640"/>
      <c r="T33" s="640" t="s">
        <v>171</v>
      </c>
      <c r="U33" s="460"/>
      <c r="V33" s="685">
        <f t="shared" si="1"/>
        <v>8</v>
      </c>
      <c r="W33" s="4" t="s">
        <v>3156</v>
      </c>
      <c r="X33" s="4" t="s">
        <v>3152</v>
      </c>
      <c r="Y33" s="4" t="s">
        <v>3153</v>
      </c>
      <c r="Z33" s="4" t="s">
        <v>3154</v>
      </c>
      <c r="AA33" s="4" t="s">
        <v>3155</v>
      </c>
      <c r="AB33" s="4" t="s">
        <v>3157</v>
      </c>
      <c r="AC33" s="4" t="s">
        <v>3158</v>
      </c>
      <c r="AD33" s="4" t="s">
        <v>3159</v>
      </c>
      <c r="AE33" s="690"/>
      <c r="AF33" s="690"/>
      <c r="AG33" s="690"/>
      <c r="AH33" s="690"/>
      <c r="AI33" s="690"/>
      <c r="AJ33" s="690"/>
      <c r="AK33" s="690"/>
      <c r="AL33" s="690"/>
      <c r="AM33" s="690"/>
      <c r="AN33" s="690"/>
      <c r="AO33" s="690"/>
      <c r="AP33" s="690"/>
    </row>
    <row r="34" spans="1:42" x14ac:dyDescent="0.25">
      <c r="A34" s="134">
        <f t="shared" si="0"/>
        <v>33</v>
      </c>
      <c r="B34" s="443" t="s">
        <v>4469</v>
      </c>
      <c r="C34" s="443" t="s">
        <v>3054</v>
      </c>
      <c r="D34" s="443"/>
      <c r="E34" s="443"/>
      <c r="F34" s="444" t="s">
        <v>3034</v>
      </c>
      <c r="G34" s="4"/>
      <c r="H34" s="640"/>
      <c r="I34" s="640" t="s">
        <v>617</v>
      </c>
      <c r="J34" s="653"/>
      <c r="K34" s="653"/>
      <c r="L34" s="653"/>
      <c r="M34" s="653"/>
      <c r="N34" s="653"/>
      <c r="O34" s="653"/>
      <c r="P34" s="653"/>
      <c r="Q34" s="640"/>
      <c r="R34" s="640"/>
      <c r="S34" s="640"/>
      <c r="T34" s="460"/>
      <c r="U34" s="640" t="s">
        <v>171</v>
      </c>
      <c r="V34" s="685">
        <f t="shared" si="1"/>
        <v>0</v>
      </c>
      <c r="W34" s="690"/>
      <c r="X34" s="690"/>
      <c r="Y34" s="690"/>
      <c r="Z34" s="690"/>
      <c r="AA34" s="690"/>
      <c r="AB34" s="690"/>
      <c r="AC34" s="690"/>
      <c r="AD34" s="690"/>
      <c r="AE34" s="690"/>
      <c r="AF34" s="690"/>
      <c r="AG34" s="690"/>
      <c r="AH34" s="690"/>
      <c r="AI34" s="690"/>
      <c r="AJ34" s="690"/>
      <c r="AK34" s="690"/>
      <c r="AL34" s="690"/>
      <c r="AM34" s="690"/>
      <c r="AN34" s="690"/>
      <c r="AO34" s="690"/>
      <c r="AP34" s="690"/>
    </row>
    <row r="35" spans="1:42" x14ac:dyDescent="0.25">
      <c r="A35" s="134">
        <f t="shared" ref="A35:A66" si="2">IF(B35="","",1+A34)</f>
        <v>34</v>
      </c>
      <c r="B35" s="443" t="s">
        <v>4470</v>
      </c>
      <c r="C35" s="443" t="s">
        <v>3054</v>
      </c>
      <c r="D35" s="443"/>
      <c r="E35" s="443"/>
      <c r="F35" s="444" t="s">
        <v>3034</v>
      </c>
      <c r="G35" s="4"/>
      <c r="H35" s="640"/>
      <c r="I35" s="640" t="s">
        <v>617</v>
      </c>
      <c r="J35" s="653"/>
      <c r="K35" s="653"/>
      <c r="L35" s="653"/>
      <c r="M35" s="653"/>
      <c r="N35" s="653"/>
      <c r="O35" s="653"/>
      <c r="P35" s="653"/>
      <c r="Q35" s="640"/>
      <c r="R35" s="640"/>
      <c r="S35" s="640"/>
      <c r="T35" s="460"/>
      <c r="U35" s="640" t="s">
        <v>171</v>
      </c>
      <c r="V35" s="685">
        <f t="shared" si="1"/>
        <v>0</v>
      </c>
      <c r="W35" s="690"/>
      <c r="X35" s="690"/>
      <c r="Y35" s="690"/>
      <c r="Z35" s="690"/>
      <c r="AA35" s="690"/>
      <c r="AB35" s="690"/>
      <c r="AC35" s="690"/>
      <c r="AD35" s="690"/>
      <c r="AE35" s="690"/>
      <c r="AF35" s="690"/>
      <c r="AG35" s="690"/>
      <c r="AH35" s="690"/>
      <c r="AI35" s="690"/>
      <c r="AJ35" s="690"/>
      <c r="AK35" s="690"/>
      <c r="AL35" s="690"/>
      <c r="AM35" s="690"/>
      <c r="AN35" s="690"/>
      <c r="AO35" s="690"/>
      <c r="AP35" s="690"/>
    </row>
    <row r="36" spans="1:42" x14ac:dyDescent="0.25">
      <c r="A36" s="134">
        <f t="shared" si="2"/>
        <v>35</v>
      </c>
      <c r="B36" s="443" t="s">
        <v>4400</v>
      </c>
      <c r="C36" s="443" t="s">
        <v>3054</v>
      </c>
      <c r="D36" s="443"/>
      <c r="E36" s="443"/>
      <c r="F36" s="444" t="s">
        <v>3034</v>
      </c>
      <c r="G36" s="4"/>
      <c r="H36" s="640"/>
      <c r="I36" s="640" t="s">
        <v>617</v>
      </c>
      <c r="J36" s="653"/>
      <c r="K36" s="653"/>
      <c r="L36" s="653"/>
      <c r="M36" s="653"/>
      <c r="N36" s="653"/>
      <c r="O36" s="653"/>
      <c r="P36" s="653"/>
      <c r="Q36" s="640"/>
      <c r="R36" s="640"/>
      <c r="S36" s="640"/>
      <c r="T36" s="460"/>
      <c r="U36" s="640" t="s">
        <v>171</v>
      </c>
      <c r="V36" s="685">
        <f t="shared" si="1"/>
        <v>0</v>
      </c>
      <c r="W36" s="690"/>
      <c r="X36" s="690"/>
      <c r="Y36" s="690"/>
      <c r="Z36" s="690"/>
      <c r="AA36" s="690"/>
      <c r="AB36" s="690"/>
      <c r="AC36" s="690"/>
      <c r="AD36" s="690"/>
      <c r="AE36" s="690"/>
      <c r="AF36" s="690"/>
      <c r="AG36" s="690"/>
      <c r="AH36" s="690"/>
      <c r="AI36" s="690"/>
      <c r="AJ36" s="690"/>
      <c r="AK36" s="690"/>
      <c r="AL36" s="690"/>
      <c r="AM36" s="690"/>
      <c r="AN36" s="690"/>
      <c r="AO36" s="690"/>
      <c r="AP36" s="690"/>
    </row>
    <row r="37" spans="1:42" x14ac:dyDescent="0.25">
      <c r="A37" s="134">
        <f t="shared" si="2"/>
        <v>36</v>
      </c>
      <c r="B37" s="443" t="s">
        <v>4401</v>
      </c>
      <c r="C37" s="443" t="s">
        <v>3054</v>
      </c>
      <c r="D37" s="443"/>
      <c r="E37" s="443"/>
      <c r="F37" s="444" t="s">
        <v>3034</v>
      </c>
      <c r="G37" s="4"/>
      <c r="H37" s="640"/>
      <c r="I37" s="640" t="s">
        <v>617</v>
      </c>
      <c r="J37" s="653"/>
      <c r="K37" s="653"/>
      <c r="L37" s="653"/>
      <c r="M37" s="653"/>
      <c r="N37" s="653"/>
      <c r="O37" s="653"/>
      <c r="P37" s="653"/>
      <c r="Q37" s="640"/>
      <c r="R37" s="640"/>
      <c r="S37" s="640"/>
      <c r="T37" s="460"/>
      <c r="U37" s="640" t="s">
        <v>171</v>
      </c>
      <c r="V37" s="685">
        <f t="shared" si="1"/>
        <v>0</v>
      </c>
      <c r="W37" s="690"/>
      <c r="X37" s="690"/>
      <c r="Y37" s="690"/>
      <c r="Z37" s="690"/>
      <c r="AA37" s="690"/>
      <c r="AB37" s="690"/>
      <c r="AC37" s="690"/>
      <c r="AD37" s="690"/>
      <c r="AE37" s="690"/>
      <c r="AF37" s="690"/>
      <c r="AG37" s="690"/>
      <c r="AH37" s="690"/>
      <c r="AI37" s="690"/>
      <c r="AJ37" s="690"/>
      <c r="AK37" s="690"/>
      <c r="AL37" s="690"/>
      <c r="AM37" s="690"/>
      <c r="AN37" s="690"/>
      <c r="AO37" s="690"/>
      <c r="AP37" s="690"/>
    </row>
    <row r="38" spans="1:42" x14ac:dyDescent="0.25">
      <c r="A38" s="134">
        <f t="shared" si="2"/>
        <v>37</v>
      </c>
      <c r="B38" s="443" t="s">
        <v>4402</v>
      </c>
      <c r="C38" s="443" t="s">
        <v>3054</v>
      </c>
      <c r="D38" s="443"/>
      <c r="E38" s="443"/>
      <c r="F38" s="444" t="s">
        <v>3034</v>
      </c>
      <c r="G38" s="4"/>
      <c r="H38" s="640"/>
      <c r="I38" s="640" t="s">
        <v>617</v>
      </c>
      <c r="J38" s="653"/>
      <c r="K38" s="653"/>
      <c r="L38" s="653"/>
      <c r="M38" s="653"/>
      <c r="N38" s="653"/>
      <c r="O38" s="653"/>
      <c r="P38" s="653"/>
      <c r="Q38" s="640"/>
      <c r="R38" s="640"/>
      <c r="S38" s="640"/>
      <c r="T38" s="460"/>
      <c r="U38" s="640" t="s">
        <v>171</v>
      </c>
      <c r="V38" s="685">
        <f t="shared" si="1"/>
        <v>0</v>
      </c>
      <c r="W38" s="690"/>
      <c r="X38" s="690"/>
      <c r="Y38" s="690"/>
      <c r="Z38" s="690"/>
      <c r="AA38" s="690"/>
      <c r="AB38" s="690"/>
      <c r="AC38" s="690"/>
      <c r="AD38" s="690"/>
      <c r="AE38" s="690"/>
      <c r="AF38" s="690"/>
      <c r="AG38" s="690"/>
      <c r="AH38" s="690"/>
      <c r="AI38" s="690"/>
      <c r="AJ38" s="690"/>
      <c r="AK38" s="690"/>
      <c r="AL38" s="690"/>
      <c r="AM38" s="690"/>
      <c r="AN38" s="690"/>
      <c r="AO38" s="690"/>
      <c r="AP38" s="690"/>
    </row>
    <row r="39" spans="1:42" x14ac:dyDescent="0.25">
      <c r="A39" s="134">
        <f t="shared" si="2"/>
        <v>38</v>
      </c>
      <c r="B39" s="443" t="s">
        <v>4403</v>
      </c>
      <c r="C39" s="443" t="s">
        <v>3054</v>
      </c>
      <c r="D39" s="443"/>
      <c r="E39" s="443"/>
      <c r="F39" s="444" t="s">
        <v>3034</v>
      </c>
      <c r="G39" s="4"/>
      <c r="H39" s="640"/>
      <c r="I39" s="640" t="s">
        <v>617</v>
      </c>
      <c r="J39" s="653"/>
      <c r="K39" s="653"/>
      <c r="L39" s="653"/>
      <c r="M39" s="653"/>
      <c r="N39" s="653"/>
      <c r="O39" s="653"/>
      <c r="P39" s="653"/>
      <c r="Q39" s="640"/>
      <c r="R39" s="640"/>
      <c r="S39" s="640"/>
      <c r="T39" s="460"/>
      <c r="U39" s="640" t="s">
        <v>171</v>
      </c>
      <c r="V39" s="685">
        <f t="shared" si="1"/>
        <v>0</v>
      </c>
      <c r="W39" s="690"/>
      <c r="X39" s="690"/>
      <c r="Y39" s="690"/>
      <c r="Z39" s="690"/>
      <c r="AA39" s="690"/>
      <c r="AB39" s="690"/>
      <c r="AC39" s="690"/>
      <c r="AD39" s="690"/>
      <c r="AE39" s="690"/>
      <c r="AF39" s="690"/>
      <c r="AG39" s="690"/>
      <c r="AH39" s="690"/>
      <c r="AI39" s="690"/>
      <c r="AJ39" s="690"/>
      <c r="AK39" s="690"/>
      <c r="AL39" s="690"/>
      <c r="AM39" s="690"/>
      <c r="AN39" s="690"/>
      <c r="AO39" s="690"/>
      <c r="AP39" s="690"/>
    </row>
    <row r="40" spans="1:42" x14ac:dyDescent="0.25">
      <c r="A40" s="134">
        <f t="shared" si="2"/>
        <v>39</v>
      </c>
      <c r="B40" s="443" t="s">
        <v>3106</v>
      </c>
      <c r="C40" s="443" t="s">
        <v>3106</v>
      </c>
      <c r="D40" s="443"/>
      <c r="E40" s="443" t="s">
        <v>7171</v>
      </c>
      <c r="F40" s="444" t="s">
        <v>4863</v>
      </c>
      <c r="G40" s="4"/>
      <c r="H40" s="640"/>
      <c r="I40" s="640" t="s">
        <v>617</v>
      </c>
      <c r="J40" s="653" t="s">
        <v>6266</v>
      </c>
      <c r="K40" s="653" t="s">
        <v>6270</v>
      </c>
      <c r="L40" s="653"/>
      <c r="M40" s="653"/>
      <c r="N40" s="653">
        <v>1</v>
      </c>
      <c r="O40" s="653" t="s">
        <v>7358</v>
      </c>
      <c r="P40" s="653"/>
      <c r="Q40" s="640"/>
      <c r="R40" s="640"/>
      <c r="S40" s="640"/>
      <c r="T40" s="460"/>
      <c r="U40" s="460"/>
      <c r="V40" s="685">
        <f t="shared" si="1"/>
        <v>0</v>
      </c>
      <c r="W40" s="690"/>
      <c r="X40" s="690"/>
      <c r="Y40" s="690"/>
      <c r="Z40" s="690"/>
      <c r="AA40" s="690"/>
      <c r="AB40" s="690"/>
      <c r="AC40" s="690"/>
      <c r="AD40" s="690"/>
      <c r="AE40" s="690"/>
      <c r="AF40" s="690"/>
      <c r="AG40" s="690"/>
      <c r="AH40" s="690"/>
      <c r="AI40" s="690"/>
      <c r="AJ40" s="690"/>
      <c r="AK40" s="690"/>
      <c r="AL40" s="690"/>
      <c r="AM40" s="690"/>
      <c r="AN40" s="690"/>
      <c r="AO40" s="690"/>
      <c r="AP40" s="690"/>
    </row>
    <row r="41" spans="1:42" x14ac:dyDescent="0.25">
      <c r="A41" s="134">
        <f t="shared" si="2"/>
        <v>40</v>
      </c>
      <c r="B41" s="443" t="s">
        <v>3107</v>
      </c>
      <c r="C41" s="443" t="s">
        <v>3107</v>
      </c>
      <c r="D41" s="443"/>
      <c r="E41" s="443" t="s">
        <v>7172</v>
      </c>
      <c r="F41" s="444" t="s">
        <v>4610</v>
      </c>
      <c r="G41" s="4"/>
      <c r="H41" s="640"/>
      <c r="I41" s="640" t="s">
        <v>617</v>
      </c>
      <c r="J41" s="653"/>
      <c r="K41" s="653" t="s">
        <v>6269</v>
      </c>
      <c r="L41" s="653"/>
      <c r="M41" s="653"/>
      <c r="N41" s="653"/>
      <c r="O41" s="653"/>
      <c r="P41" s="653"/>
      <c r="Q41" s="640"/>
      <c r="R41" s="640"/>
      <c r="S41" s="640"/>
      <c r="T41" s="460"/>
      <c r="U41" s="460"/>
      <c r="V41" s="685">
        <f t="shared" si="1"/>
        <v>0</v>
      </c>
      <c r="W41" s="690"/>
      <c r="X41" s="690"/>
      <c r="Y41" s="690"/>
      <c r="Z41" s="690"/>
      <c r="AA41" s="690"/>
      <c r="AB41" s="690"/>
      <c r="AC41" s="690"/>
      <c r="AD41" s="690"/>
      <c r="AE41" s="690"/>
      <c r="AF41" s="690"/>
      <c r="AG41" s="690"/>
      <c r="AH41" s="690"/>
      <c r="AI41" s="690"/>
      <c r="AJ41" s="690"/>
      <c r="AK41" s="690"/>
      <c r="AL41" s="690"/>
      <c r="AM41" s="690"/>
      <c r="AN41" s="690"/>
      <c r="AO41" s="690"/>
      <c r="AP41" s="690"/>
    </row>
    <row r="42" spans="1:42" x14ac:dyDescent="0.25">
      <c r="A42" s="134">
        <f t="shared" si="2"/>
        <v>41</v>
      </c>
      <c r="B42" s="443" t="s">
        <v>2271</v>
      </c>
      <c r="C42" s="443" t="s">
        <v>2271</v>
      </c>
      <c r="D42" s="443"/>
      <c r="E42" s="443" t="s">
        <v>7173</v>
      </c>
      <c r="F42" s="444" t="s">
        <v>4864</v>
      </c>
      <c r="G42" s="4"/>
      <c r="H42" s="640"/>
      <c r="I42" s="640"/>
      <c r="J42" s="653"/>
      <c r="K42" s="653" t="s">
        <v>6270</v>
      </c>
      <c r="L42" s="653"/>
      <c r="M42" s="653"/>
      <c r="N42" s="653" t="s">
        <v>7359</v>
      </c>
      <c r="O42" s="653" t="s">
        <v>7358</v>
      </c>
      <c r="P42" s="653"/>
      <c r="Q42" s="640"/>
      <c r="R42" s="640"/>
      <c r="S42" s="640"/>
      <c r="T42" s="460"/>
      <c r="U42" s="460"/>
      <c r="V42" s="685">
        <f t="shared" si="1"/>
        <v>0</v>
      </c>
      <c r="W42" s="690"/>
      <c r="X42" s="690"/>
      <c r="Y42" s="690"/>
      <c r="Z42" s="690"/>
      <c r="AA42" s="690"/>
      <c r="AB42" s="690"/>
      <c r="AC42" s="690"/>
      <c r="AD42" s="690"/>
      <c r="AE42" s="690"/>
      <c r="AF42" s="690"/>
      <c r="AG42" s="690"/>
      <c r="AH42" s="690"/>
      <c r="AI42" s="690"/>
      <c r="AJ42" s="690"/>
      <c r="AK42" s="690"/>
      <c r="AL42" s="690"/>
      <c r="AM42" s="690"/>
      <c r="AN42" s="690"/>
      <c r="AO42" s="690"/>
      <c r="AP42" s="690"/>
    </row>
    <row r="43" spans="1:42" x14ac:dyDescent="0.25">
      <c r="A43" s="134">
        <f t="shared" si="2"/>
        <v>42</v>
      </c>
      <c r="B43" s="443" t="s">
        <v>3050</v>
      </c>
      <c r="C43" s="443" t="s">
        <v>3050</v>
      </c>
      <c r="D43" s="443"/>
      <c r="E43" s="443" t="s">
        <v>7174</v>
      </c>
      <c r="F43" s="444" t="s">
        <v>4681</v>
      </c>
      <c r="G43" s="4"/>
      <c r="H43" s="640"/>
      <c r="I43" s="640"/>
      <c r="J43" s="653" t="s">
        <v>6266</v>
      </c>
      <c r="K43" s="653" t="s">
        <v>6270</v>
      </c>
      <c r="L43" s="653"/>
      <c r="M43" s="653" t="s">
        <v>7110</v>
      </c>
      <c r="N43" s="653"/>
      <c r="O43" s="653"/>
      <c r="P43" s="653"/>
      <c r="Q43" s="640"/>
      <c r="R43" s="640"/>
      <c r="S43" s="640"/>
      <c r="T43" s="460"/>
      <c r="U43" s="460"/>
      <c r="V43" s="685">
        <f t="shared" si="1"/>
        <v>0</v>
      </c>
      <c r="W43" s="690"/>
      <c r="X43" s="690"/>
      <c r="Y43" s="690"/>
      <c r="Z43" s="690"/>
      <c r="AA43" s="690"/>
      <c r="AB43" s="690"/>
      <c r="AC43" s="690"/>
      <c r="AD43" s="690"/>
      <c r="AE43" s="690"/>
      <c r="AF43" s="690"/>
      <c r="AG43" s="690"/>
      <c r="AH43" s="690"/>
      <c r="AI43" s="690"/>
      <c r="AJ43" s="690"/>
      <c r="AK43" s="690"/>
      <c r="AL43" s="690"/>
      <c r="AM43" s="690"/>
      <c r="AN43" s="690"/>
      <c r="AO43" s="690"/>
      <c r="AP43" s="690"/>
    </row>
    <row r="44" spans="1:42" x14ac:dyDescent="0.25">
      <c r="A44" s="134">
        <f t="shared" si="2"/>
        <v>43</v>
      </c>
      <c r="B44" s="443" t="s">
        <v>2286</v>
      </c>
      <c r="C44" s="443" t="s">
        <v>2286</v>
      </c>
      <c r="D44" s="443"/>
      <c r="E44" s="443"/>
      <c r="F44" s="444" t="s">
        <v>3034</v>
      </c>
      <c r="G44" s="4"/>
      <c r="H44" s="640"/>
      <c r="I44" s="640" t="s">
        <v>618</v>
      </c>
      <c r="J44" s="653"/>
      <c r="K44" s="653"/>
      <c r="L44" s="653"/>
      <c r="M44" s="653"/>
      <c r="N44" s="653"/>
      <c r="O44" s="653"/>
      <c r="P44" s="653"/>
      <c r="Q44" s="640"/>
      <c r="R44" s="640"/>
      <c r="S44" s="640"/>
      <c r="T44" s="640" t="s">
        <v>171</v>
      </c>
      <c r="U44" s="460"/>
      <c r="V44" s="685">
        <f t="shared" si="1"/>
        <v>2</v>
      </c>
      <c r="W44" s="4" t="s">
        <v>3161</v>
      </c>
      <c r="X44" s="4" t="s">
        <v>3160</v>
      </c>
      <c r="Y44" s="690"/>
      <c r="Z44" s="690"/>
      <c r="AA44" s="690"/>
      <c r="AB44" s="690"/>
      <c r="AC44" s="690"/>
      <c r="AD44" s="690"/>
      <c r="AE44" s="690"/>
      <c r="AF44" s="690"/>
      <c r="AG44" s="690"/>
      <c r="AH44" s="690"/>
      <c r="AI44" s="690"/>
      <c r="AJ44" s="690"/>
      <c r="AK44" s="690"/>
      <c r="AL44" s="690"/>
      <c r="AM44" s="690"/>
      <c r="AN44" s="690"/>
      <c r="AO44" s="690"/>
      <c r="AP44" s="690"/>
    </row>
    <row r="45" spans="1:42" x14ac:dyDescent="0.25">
      <c r="A45" s="134">
        <f t="shared" si="2"/>
        <v>44</v>
      </c>
      <c r="B45" s="443" t="s">
        <v>4404</v>
      </c>
      <c r="C45" s="443" t="s">
        <v>3109</v>
      </c>
      <c r="D45" s="443"/>
      <c r="E45" s="443"/>
      <c r="F45" s="444" t="s">
        <v>3034</v>
      </c>
      <c r="G45" s="4"/>
      <c r="H45" s="640"/>
      <c r="I45" s="640" t="s">
        <v>618</v>
      </c>
      <c r="J45" s="653"/>
      <c r="K45" s="653"/>
      <c r="L45" s="653"/>
      <c r="M45" s="653"/>
      <c r="N45" s="653"/>
      <c r="O45" s="653"/>
      <c r="P45" s="653"/>
      <c r="Q45" s="640"/>
      <c r="R45" s="640"/>
      <c r="S45" s="640"/>
      <c r="T45" s="460"/>
      <c r="U45" s="640" t="s">
        <v>171</v>
      </c>
      <c r="V45" s="685">
        <f t="shared" si="1"/>
        <v>0</v>
      </c>
      <c r="W45" s="690"/>
      <c r="X45" s="690"/>
      <c r="Y45" s="690"/>
      <c r="Z45" s="690"/>
      <c r="AA45" s="690"/>
      <c r="AB45" s="690"/>
      <c r="AC45" s="690"/>
      <c r="AD45" s="690"/>
      <c r="AE45" s="690"/>
      <c r="AF45" s="690"/>
      <c r="AG45" s="690"/>
      <c r="AH45" s="690"/>
      <c r="AI45" s="690"/>
      <c r="AJ45" s="690"/>
      <c r="AK45" s="690"/>
      <c r="AL45" s="690"/>
      <c r="AM45" s="690"/>
      <c r="AN45" s="690"/>
      <c r="AO45" s="690"/>
      <c r="AP45" s="690"/>
    </row>
    <row r="46" spans="1:42" x14ac:dyDescent="0.25">
      <c r="A46" s="134">
        <f t="shared" si="2"/>
        <v>45</v>
      </c>
      <c r="B46" s="443" t="s">
        <v>4405</v>
      </c>
      <c r="C46" s="443" t="s">
        <v>3109</v>
      </c>
      <c r="D46" s="443"/>
      <c r="E46" s="443"/>
      <c r="F46" s="444" t="s">
        <v>3034</v>
      </c>
      <c r="G46" s="4"/>
      <c r="H46" s="640"/>
      <c r="I46" s="640" t="s">
        <v>618</v>
      </c>
      <c r="J46" s="653"/>
      <c r="K46" s="653"/>
      <c r="L46" s="653"/>
      <c r="M46" s="653"/>
      <c r="N46" s="653"/>
      <c r="O46" s="653"/>
      <c r="P46" s="653"/>
      <c r="Q46" s="640"/>
      <c r="R46" s="640"/>
      <c r="S46" s="640"/>
      <c r="T46" s="460"/>
      <c r="U46" s="640" t="s">
        <v>171</v>
      </c>
      <c r="V46" s="685">
        <f t="shared" si="1"/>
        <v>0</v>
      </c>
      <c r="W46" s="690"/>
      <c r="X46" s="690"/>
      <c r="Y46" s="690"/>
      <c r="Z46" s="690"/>
      <c r="AA46" s="690"/>
      <c r="AB46" s="690"/>
      <c r="AC46" s="690"/>
      <c r="AD46" s="690"/>
      <c r="AE46" s="690"/>
      <c r="AF46" s="690"/>
      <c r="AG46" s="690"/>
      <c r="AH46" s="690"/>
      <c r="AI46" s="690"/>
      <c r="AJ46" s="690"/>
      <c r="AK46" s="690"/>
      <c r="AL46" s="690"/>
      <c r="AM46" s="690"/>
      <c r="AN46" s="690"/>
      <c r="AO46" s="690"/>
      <c r="AP46" s="690"/>
    </row>
    <row r="47" spans="1:42" x14ac:dyDescent="0.25">
      <c r="A47" s="134">
        <f t="shared" si="2"/>
        <v>46</v>
      </c>
      <c r="B47" s="443" t="s">
        <v>4406</v>
      </c>
      <c r="C47" s="443" t="s">
        <v>3109</v>
      </c>
      <c r="D47" s="443"/>
      <c r="E47" s="443"/>
      <c r="F47" s="444" t="s">
        <v>3034</v>
      </c>
      <c r="G47" s="4"/>
      <c r="H47" s="640"/>
      <c r="I47" s="640" t="s">
        <v>618</v>
      </c>
      <c r="J47" s="653"/>
      <c r="K47" s="653"/>
      <c r="L47" s="653"/>
      <c r="M47" s="653"/>
      <c r="N47" s="653"/>
      <c r="O47" s="653"/>
      <c r="P47" s="653"/>
      <c r="Q47" s="640"/>
      <c r="R47" s="640"/>
      <c r="S47" s="640"/>
      <c r="T47" s="460"/>
      <c r="U47" s="640" t="s">
        <v>171</v>
      </c>
      <c r="V47" s="685">
        <f t="shared" si="1"/>
        <v>0</v>
      </c>
      <c r="W47" s="690"/>
      <c r="X47" s="690"/>
      <c r="Y47" s="690"/>
      <c r="Z47" s="690"/>
      <c r="AA47" s="690"/>
      <c r="AB47" s="690"/>
      <c r="AC47" s="690"/>
      <c r="AD47" s="690"/>
      <c r="AE47" s="690"/>
      <c r="AF47" s="690"/>
      <c r="AG47" s="690"/>
      <c r="AH47" s="690"/>
      <c r="AI47" s="690"/>
      <c r="AJ47" s="690"/>
      <c r="AK47" s="690"/>
      <c r="AL47" s="690"/>
      <c r="AM47" s="690"/>
      <c r="AN47" s="690"/>
      <c r="AO47" s="690"/>
      <c r="AP47" s="690"/>
    </row>
    <row r="48" spans="1:42" x14ac:dyDescent="0.25">
      <c r="A48" s="134">
        <f t="shared" si="2"/>
        <v>47</v>
      </c>
      <c r="B48" s="443" t="s">
        <v>4407</v>
      </c>
      <c r="C48" s="443" t="s">
        <v>3109</v>
      </c>
      <c r="D48" s="443"/>
      <c r="E48" s="443"/>
      <c r="F48" s="444" t="s">
        <v>3034</v>
      </c>
      <c r="G48" s="4"/>
      <c r="H48" s="640"/>
      <c r="I48" s="640" t="s">
        <v>618</v>
      </c>
      <c r="J48" s="653"/>
      <c r="K48" s="653"/>
      <c r="L48" s="653"/>
      <c r="M48" s="653"/>
      <c r="N48" s="653"/>
      <c r="O48" s="653"/>
      <c r="P48" s="653"/>
      <c r="Q48" s="640"/>
      <c r="R48" s="640"/>
      <c r="S48" s="640"/>
      <c r="T48" s="460"/>
      <c r="U48" s="640" t="s">
        <v>171</v>
      </c>
      <c r="V48" s="685">
        <f t="shared" si="1"/>
        <v>0</v>
      </c>
      <c r="W48" s="690"/>
      <c r="X48" s="690"/>
      <c r="Y48" s="690"/>
      <c r="Z48" s="690"/>
      <c r="AA48" s="690"/>
      <c r="AB48" s="690"/>
      <c r="AC48" s="690"/>
      <c r="AD48" s="690"/>
      <c r="AE48" s="690"/>
      <c r="AF48" s="690"/>
      <c r="AG48" s="690"/>
      <c r="AH48" s="690"/>
      <c r="AI48" s="690"/>
      <c r="AJ48" s="690"/>
      <c r="AK48" s="690"/>
      <c r="AL48" s="690"/>
      <c r="AM48" s="690"/>
      <c r="AN48" s="690"/>
      <c r="AO48" s="690"/>
      <c r="AP48" s="690"/>
    </row>
    <row r="49" spans="1:42" x14ac:dyDescent="0.25">
      <c r="A49" s="134">
        <f t="shared" si="2"/>
        <v>48</v>
      </c>
      <c r="B49" s="443" t="s">
        <v>4408</v>
      </c>
      <c r="C49" s="443" t="s">
        <v>3109</v>
      </c>
      <c r="D49" s="443"/>
      <c r="E49" s="443"/>
      <c r="F49" s="444" t="s">
        <v>3034</v>
      </c>
      <c r="G49" s="4"/>
      <c r="H49" s="640"/>
      <c r="I49" s="640" t="s">
        <v>618</v>
      </c>
      <c r="J49" s="653"/>
      <c r="K49" s="653"/>
      <c r="L49" s="653"/>
      <c r="M49" s="653"/>
      <c r="N49" s="653"/>
      <c r="O49" s="653"/>
      <c r="P49" s="653"/>
      <c r="Q49" s="640"/>
      <c r="R49" s="640"/>
      <c r="S49" s="640"/>
      <c r="T49" s="460"/>
      <c r="U49" s="640" t="s">
        <v>171</v>
      </c>
      <c r="V49" s="685">
        <f t="shared" si="1"/>
        <v>0</v>
      </c>
      <c r="W49" s="690"/>
      <c r="X49" s="690"/>
      <c r="Y49" s="690"/>
      <c r="Z49" s="690"/>
      <c r="AA49" s="690"/>
      <c r="AB49" s="690"/>
      <c r="AC49" s="690"/>
      <c r="AD49" s="690"/>
      <c r="AE49" s="690"/>
      <c r="AF49" s="690"/>
      <c r="AG49" s="690"/>
      <c r="AH49" s="690"/>
      <c r="AI49" s="690"/>
      <c r="AJ49" s="690"/>
      <c r="AK49" s="690"/>
      <c r="AL49" s="690"/>
      <c r="AM49" s="690"/>
      <c r="AN49" s="690"/>
      <c r="AO49" s="690"/>
      <c r="AP49" s="690"/>
    </row>
    <row r="50" spans="1:42" x14ac:dyDescent="0.25">
      <c r="A50" s="134">
        <f t="shared" si="2"/>
        <v>49</v>
      </c>
      <c r="B50" s="443" t="s">
        <v>2267</v>
      </c>
      <c r="C50" s="443" t="s">
        <v>2267</v>
      </c>
      <c r="D50" s="443"/>
      <c r="E50" s="443" t="s">
        <v>7175</v>
      </c>
      <c r="F50" s="444" t="s">
        <v>4642</v>
      </c>
      <c r="G50" s="4" t="s">
        <v>7364</v>
      </c>
      <c r="H50" s="640"/>
      <c r="I50" s="640" t="s">
        <v>618</v>
      </c>
      <c r="J50" s="653"/>
      <c r="K50" s="653" t="s">
        <v>6269</v>
      </c>
      <c r="L50" s="653"/>
      <c r="M50" s="653"/>
      <c r="N50" s="653"/>
      <c r="O50" s="653"/>
      <c r="P50" s="653"/>
      <c r="Q50" s="640"/>
      <c r="R50" s="640"/>
      <c r="S50" s="640"/>
      <c r="T50" s="460"/>
      <c r="U50" s="460"/>
      <c r="V50" s="685">
        <f t="shared" si="1"/>
        <v>0</v>
      </c>
      <c r="W50" s="690"/>
      <c r="X50" s="690"/>
      <c r="Y50" s="690"/>
      <c r="Z50" s="690"/>
      <c r="AA50" s="690"/>
      <c r="AB50" s="690"/>
      <c r="AC50" s="690"/>
      <c r="AD50" s="690"/>
      <c r="AE50" s="690"/>
      <c r="AF50" s="690"/>
      <c r="AG50" s="690"/>
      <c r="AH50" s="690"/>
      <c r="AI50" s="690"/>
      <c r="AJ50" s="690"/>
      <c r="AK50" s="690"/>
      <c r="AL50" s="690"/>
      <c r="AM50" s="690"/>
      <c r="AN50" s="690"/>
      <c r="AO50" s="690"/>
      <c r="AP50" s="690"/>
    </row>
    <row r="51" spans="1:42" x14ac:dyDescent="0.25">
      <c r="A51" s="134">
        <f t="shared" si="2"/>
        <v>50</v>
      </c>
      <c r="B51" s="443" t="s">
        <v>3059</v>
      </c>
      <c r="C51" s="443" t="s">
        <v>3059</v>
      </c>
      <c r="D51" s="443"/>
      <c r="E51" s="443" t="s">
        <v>7176</v>
      </c>
      <c r="F51" s="444" t="s">
        <v>4865</v>
      </c>
      <c r="G51" s="4" t="s">
        <v>7115</v>
      </c>
      <c r="H51" s="640"/>
      <c r="I51" s="640" t="s">
        <v>624</v>
      </c>
      <c r="J51" s="653"/>
      <c r="K51" s="653" t="s">
        <v>6269</v>
      </c>
      <c r="L51" s="653"/>
      <c r="M51" s="653"/>
      <c r="N51" s="653"/>
      <c r="O51" s="653"/>
      <c r="P51" s="653"/>
      <c r="Q51" s="640"/>
      <c r="R51" s="640"/>
      <c r="S51" s="640"/>
      <c r="T51" s="460"/>
      <c r="U51" s="460"/>
      <c r="V51" s="685">
        <f t="shared" si="1"/>
        <v>0</v>
      </c>
      <c r="W51" s="690"/>
      <c r="X51" s="690"/>
      <c r="Y51" s="690"/>
      <c r="Z51" s="690"/>
      <c r="AA51" s="690"/>
      <c r="AB51" s="690"/>
      <c r="AC51" s="690"/>
      <c r="AD51" s="690"/>
      <c r="AE51" s="690"/>
      <c r="AF51" s="690"/>
      <c r="AG51" s="690"/>
      <c r="AH51" s="690"/>
      <c r="AI51" s="690"/>
      <c r="AJ51" s="690"/>
      <c r="AK51" s="690"/>
      <c r="AL51" s="690"/>
      <c r="AM51" s="690"/>
      <c r="AN51" s="690"/>
      <c r="AO51" s="690"/>
      <c r="AP51" s="690"/>
    </row>
    <row r="52" spans="1:42" x14ac:dyDescent="0.25">
      <c r="A52" s="134">
        <f t="shared" si="2"/>
        <v>51</v>
      </c>
      <c r="B52" s="443" t="s">
        <v>3140</v>
      </c>
      <c r="C52" s="443" t="s">
        <v>3140</v>
      </c>
      <c r="D52" s="443"/>
      <c r="E52" s="443" t="s">
        <v>7177</v>
      </c>
      <c r="F52" s="446" t="s">
        <v>4743</v>
      </c>
      <c r="G52" s="4"/>
      <c r="H52" s="640"/>
      <c r="I52" s="640"/>
      <c r="J52" s="653"/>
      <c r="K52" s="653" t="s">
        <v>6270</v>
      </c>
      <c r="L52" s="653"/>
      <c r="M52" s="653"/>
      <c r="N52" s="653">
        <v>1</v>
      </c>
      <c r="O52" s="653" t="s">
        <v>7358</v>
      </c>
      <c r="P52" s="653"/>
      <c r="Q52" s="640"/>
      <c r="R52" s="640"/>
      <c r="S52" s="640"/>
      <c r="T52" s="460"/>
      <c r="U52" s="460"/>
      <c r="V52" s="685">
        <f t="shared" si="1"/>
        <v>0</v>
      </c>
      <c r="W52" s="690"/>
      <c r="X52" s="690"/>
      <c r="Y52" s="690"/>
      <c r="Z52" s="690"/>
      <c r="AA52" s="690"/>
      <c r="AB52" s="690"/>
      <c r="AC52" s="690"/>
      <c r="AD52" s="690"/>
      <c r="AE52" s="690"/>
      <c r="AF52" s="690"/>
      <c r="AG52" s="690"/>
      <c r="AH52" s="690"/>
      <c r="AI52" s="690"/>
      <c r="AJ52" s="690"/>
      <c r="AK52" s="690"/>
      <c r="AL52" s="690"/>
      <c r="AM52" s="690"/>
      <c r="AN52" s="690"/>
      <c r="AO52" s="690"/>
      <c r="AP52" s="690"/>
    </row>
    <row r="53" spans="1:42" x14ac:dyDescent="0.25">
      <c r="A53" s="134">
        <f t="shared" si="2"/>
        <v>52</v>
      </c>
      <c r="B53" s="443" t="s">
        <v>3135</v>
      </c>
      <c r="C53" s="443" t="s">
        <v>3135</v>
      </c>
      <c r="D53" s="443"/>
      <c r="E53" s="443" t="s">
        <v>7178</v>
      </c>
      <c r="F53" s="447" t="s">
        <v>4722</v>
      </c>
      <c r="G53" s="4"/>
      <c r="H53" s="640"/>
      <c r="I53" s="640"/>
      <c r="J53" s="653" t="s">
        <v>6266</v>
      </c>
      <c r="K53" s="653" t="s">
        <v>6269</v>
      </c>
      <c r="L53" s="653"/>
      <c r="M53" s="653"/>
      <c r="N53" s="653"/>
      <c r="O53" s="653"/>
      <c r="P53" s="653"/>
      <c r="Q53" s="640"/>
      <c r="R53" s="640"/>
      <c r="S53" s="640"/>
      <c r="T53" s="460"/>
      <c r="U53" s="460"/>
      <c r="V53" s="685">
        <f t="shared" si="1"/>
        <v>0</v>
      </c>
      <c r="W53" s="690"/>
      <c r="X53" s="690"/>
      <c r="Y53" s="690"/>
      <c r="Z53" s="690"/>
      <c r="AA53" s="690"/>
      <c r="AB53" s="690"/>
      <c r="AC53" s="690"/>
      <c r="AD53" s="690"/>
      <c r="AE53" s="690"/>
      <c r="AF53" s="690"/>
      <c r="AG53" s="690"/>
      <c r="AH53" s="690"/>
      <c r="AI53" s="690"/>
      <c r="AJ53" s="690"/>
      <c r="AK53" s="690"/>
      <c r="AL53" s="690"/>
      <c r="AM53" s="690"/>
      <c r="AN53" s="690"/>
      <c r="AO53" s="690"/>
      <c r="AP53" s="690"/>
    </row>
    <row r="54" spans="1:42" x14ac:dyDescent="0.25">
      <c r="A54" s="134">
        <f t="shared" si="2"/>
        <v>53</v>
      </c>
      <c r="B54" s="443" t="s">
        <v>3122</v>
      </c>
      <c r="C54" s="443" t="s">
        <v>3122</v>
      </c>
      <c r="D54" s="443"/>
      <c r="E54" s="443" t="s">
        <v>7179</v>
      </c>
      <c r="F54" s="444" t="s">
        <v>4866</v>
      </c>
      <c r="G54" s="4"/>
      <c r="H54" s="640"/>
      <c r="I54" s="640"/>
      <c r="J54" s="653" t="s">
        <v>6266</v>
      </c>
      <c r="K54" s="653" t="s">
        <v>6270</v>
      </c>
      <c r="L54" s="653"/>
      <c r="M54" s="653" t="s">
        <v>7103</v>
      </c>
      <c r="N54" s="653"/>
      <c r="O54" s="653"/>
      <c r="P54" s="653"/>
      <c r="Q54" s="640"/>
      <c r="R54" s="640"/>
      <c r="S54" s="640"/>
      <c r="T54" s="460"/>
      <c r="U54" s="460"/>
      <c r="V54" s="685">
        <f t="shared" si="1"/>
        <v>0</v>
      </c>
      <c r="W54" s="690"/>
      <c r="X54" s="690"/>
      <c r="Y54" s="690"/>
      <c r="Z54" s="690"/>
      <c r="AA54" s="690"/>
      <c r="AB54" s="690"/>
      <c r="AC54" s="690"/>
      <c r="AD54" s="690"/>
      <c r="AE54" s="690"/>
      <c r="AF54" s="690"/>
      <c r="AG54" s="690"/>
      <c r="AH54" s="690"/>
      <c r="AI54" s="690"/>
      <c r="AJ54" s="690"/>
      <c r="AK54" s="690"/>
      <c r="AL54" s="690"/>
      <c r="AM54" s="690"/>
      <c r="AN54" s="690"/>
      <c r="AO54" s="690"/>
      <c r="AP54" s="690"/>
    </row>
    <row r="55" spans="1:42" x14ac:dyDescent="0.25">
      <c r="A55" s="134">
        <f t="shared" si="2"/>
        <v>54</v>
      </c>
      <c r="B55" s="443" t="s">
        <v>3116</v>
      </c>
      <c r="C55" s="443" t="s">
        <v>3116</v>
      </c>
      <c r="D55" s="443"/>
      <c r="E55" s="443" t="s">
        <v>7180</v>
      </c>
      <c r="F55" s="444" t="s">
        <v>4668</v>
      </c>
      <c r="G55" s="4"/>
      <c r="H55" s="640"/>
      <c r="I55" s="640"/>
      <c r="J55" s="653" t="s">
        <v>6266</v>
      </c>
      <c r="K55" s="653" t="s">
        <v>6269</v>
      </c>
      <c r="L55" s="653"/>
      <c r="M55" s="653"/>
      <c r="N55" s="653"/>
      <c r="O55" s="653"/>
      <c r="P55" s="653"/>
      <c r="Q55" s="640"/>
      <c r="R55" s="640"/>
      <c r="S55" s="640"/>
      <c r="T55" s="460"/>
      <c r="U55" s="460"/>
      <c r="V55" s="685">
        <f t="shared" si="1"/>
        <v>0</v>
      </c>
      <c r="W55" s="690"/>
      <c r="X55" s="690"/>
      <c r="Y55" s="690"/>
      <c r="Z55" s="690"/>
      <c r="AA55" s="690"/>
      <c r="AB55" s="690"/>
      <c r="AC55" s="690"/>
      <c r="AD55" s="690"/>
      <c r="AE55" s="690"/>
      <c r="AF55" s="690"/>
      <c r="AG55" s="690"/>
      <c r="AH55" s="690"/>
      <c r="AI55" s="690"/>
      <c r="AJ55" s="690"/>
      <c r="AK55" s="690"/>
      <c r="AL55" s="690"/>
      <c r="AM55" s="690"/>
      <c r="AN55" s="690"/>
      <c r="AO55" s="690"/>
      <c r="AP55" s="690"/>
    </row>
    <row r="56" spans="1:42" x14ac:dyDescent="0.25">
      <c r="A56" s="134">
        <f t="shared" si="2"/>
        <v>55</v>
      </c>
      <c r="B56" s="443" t="s">
        <v>2274</v>
      </c>
      <c r="C56" s="443" t="s">
        <v>2274</v>
      </c>
      <c r="D56" s="443"/>
      <c r="E56" s="443" t="s">
        <v>7181</v>
      </c>
      <c r="F56" s="444" t="s">
        <v>4867</v>
      </c>
      <c r="G56" s="4"/>
      <c r="H56" s="640"/>
      <c r="I56" s="640"/>
      <c r="J56" s="653"/>
      <c r="K56" s="653" t="s">
        <v>6269</v>
      </c>
      <c r="L56" s="653" t="s">
        <v>7101</v>
      </c>
      <c r="M56" s="653"/>
      <c r="N56" s="653"/>
      <c r="O56" s="653"/>
      <c r="P56" s="653"/>
      <c r="Q56" s="640"/>
      <c r="R56" s="640"/>
      <c r="S56" s="640"/>
      <c r="T56" s="460"/>
      <c r="U56" s="460"/>
      <c r="V56" s="685">
        <f t="shared" si="1"/>
        <v>0</v>
      </c>
      <c r="W56" s="690"/>
      <c r="X56" s="690"/>
      <c r="Y56" s="690"/>
      <c r="Z56" s="690"/>
      <c r="AA56" s="690"/>
      <c r="AB56" s="690"/>
      <c r="AC56" s="690"/>
      <c r="AD56" s="690"/>
      <c r="AE56" s="690"/>
      <c r="AF56" s="690"/>
      <c r="AG56" s="690"/>
      <c r="AH56" s="690"/>
      <c r="AI56" s="690"/>
      <c r="AJ56" s="690"/>
      <c r="AK56" s="690"/>
      <c r="AL56" s="690"/>
      <c r="AM56" s="690"/>
      <c r="AN56" s="690"/>
      <c r="AO56" s="690"/>
      <c r="AP56" s="690"/>
    </row>
    <row r="57" spans="1:42" x14ac:dyDescent="0.25">
      <c r="A57" s="134">
        <f t="shared" si="2"/>
        <v>56</v>
      </c>
      <c r="B57" s="443" t="s">
        <v>3039</v>
      </c>
      <c r="C57" s="443" t="s">
        <v>3039</v>
      </c>
      <c r="D57" s="443"/>
      <c r="E57" s="443" t="s">
        <v>7182</v>
      </c>
      <c r="F57" s="445" t="s">
        <v>4589</v>
      </c>
      <c r="G57" s="4"/>
      <c r="H57" s="640"/>
      <c r="I57" s="640"/>
      <c r="J57" s="653" t="s">
        <v>6266</v>
      </c>
      <c r="K57" s="653" t="s">
        <v>6269</v>
      </c>
      <c r="L57" s="653"/>
      <c r="M57" s="653"/>
      <c r="N57" s="653"/>
      <c r="O57" s="653"/>
      <c r="P57" s="653"/>
      <c r="Q57" s="640"/>
      <c r="R57" s="640"/>
      <c r="S57" s="640"/>
      <c r="T57" s="460"/>
      <c r="U57" s="460"/>
      <c r="V57" s="685">
        <f t="shared" si="1"/>
        <v>0</v>
      </c>
      <c r="W57" s="690"/>
      <c r="X57" s="690"/>
      <c r="Y57" s="690"/>
      <c r="Z57" s="690"/>
      <c r="AA57" s="690"/>
      <c r="AB57" s="690"/>
      <c r="AC57" s="690"/>
      <c r="AD57" s="690"/>
      <c r="AE57" s="690"/>
      <c r="AF57" s="690"/>
      <c r="AG57" s="690"/>
      <c r="AH57" s="690"/>
      <c r="AI57" s="690"/>
      <c r="AJ57" s="690"/>
      <c r="AK57" s="690"/>
      <c r="AL57" s="690"/>
      <c r="AM57" s="690"/>
      <c r="AN57" s="690"/>
      <c r="AO57" s="690"/>
      <c r="AP57" s="690"/>
    </row>
    <row r="58" spans="1:42" x14ac:dyDescent="0.25">
      <c r="A58" s="134">
        <f t="shared" si="2"/>
        <v>57</v>
      </c>
      <c r="B58" s="443" t="s">
        <v>3047</v>
      </c>
      <c r="C58" s="443" t="s">
        <v>3047</v>
      </c>
      <c r="D58" s="443"/>
      <c r="E58" s="443" t="s">
        <v>7183</v>
      </c>
      <c r="F58" s="445" t="s">
        <v>4980</v>
      </c>
      <c r="G58" s="4"/>
      <c r="H58" s="640"/>
      <c r="I58" s="640" t="s">
        <v>619</v>
      </c>
      <c r="J58" s="653" t="s">
        <v>6266</v>
      </c>
      <c r="K58" s="653" t="s">
        <v>6269</v>
      </c>
      <c r="L58" s="653"/>
      <c r="M58" s="653"/>
      <c r="N58" s="653"/>
      <c r="O58" s="653"/>
      <c r="P58" s="653"/>
      <c r="Q58" s="640"/>
      <c r="R58" s="640"/>
      <c r="S58" s="640"/>
      <c r="T58" s="460"/>
      <c r="U58" s="460"/>
      <c r="V58" s="685">
        <f t="shared" si="1"/>
        <v>0</v>
      </c>
      <c r="W58" s="690"/>
      <c r="X58" s="690"/>
      <c r="Y58" s="690"/>
      <c r="Z58" s="690"/>
      <c r="AA58" s="690"/>
      <c r="AB58" s="690"/>
      <c r="AC58" s="690"/>
      <c r="AD58" s="690"/>
      <c r="AE58" s="690"/>
      <c r="AF58" s="690"/>
      <c r="AG58" s="690"/>
      <c r="AH58" s="690"/>
      <c r="AI58" s="690"/>
      <c r="AJ58" s="690"/>
      <c r="AK58" s="690"/>
      <c r="AL58" s="690"/>
      <c r="AM58" s="690"/>
      <c r="AN58" s="690"/>
      <c r="AO58" s="690"/>
      <c r="AP58" s="690"/>
    </row>
    <row r="59" spans="1:42" x14ac:dyDescent="0.25">
      <c r="A59" s="134">
        <f t="shared" si="2"/>
        <v>58</v>
      </c>
      <c r="B59" s="443" t="s">
        <v>3048</v>
      </c>
      <c r="C59" s="443" t="s">
        <v>3048</v>
      </c>
      <c r="D59" s="443"/>
      <c r="E59" s="443" t="s">
        <v>7184</v>
      </c>
      <c r="F59" s="445" t="s">
        <v>4981</v>
      </c>
      <c r="G59" s="4"/>
      <c r="H59" s="640"/>
      <c r="I59" s="640" t="s">
        <v>619</v>
      </c>
      <c r="J59" s="653" t="s">
        <v>6266</v>
      </c>
      <c r="K59" s="653" t="s">
        <v>6269</v>
      </c>
      <c r="L59" s="653"/>
      <c r="M59" s="653"/>
      <c r="N59" s="653"/>
      <c r="O59" s="653"/>
      <c r="P59" s="653"/>
      <c r="Q59" s="640"/>
      <c r="R59" s="640"/>
      <c r="S59" s="640"/>
      <c r="T59" s="460"/>
      <c r="U59" s="460"/>
      <c r="V59" s="685">
        <f t="shared" si="1"/>
        <v>0</v>
      </c>
      <c r="W59" s="690"/>
      <c r="X59" s="690"/>
      <c r="Y59" s="690"/>
      <c r="Z59" s="690"/>
      <c r="AA59" s="690"/>
      <c r="AB59" s="690"/>
      <c r="AC59" s="690"/>
      <c r="AD59" s="690"/>
      <c r="AE59" s="690"/>
      <c r="AF59" s="690"/>
      <c r="AG59" s="690"/>
      <c r="AH59" s="690"/>
      <c r="AI59" s="690"/>
      <c r="AJ59" s="690"/>
      <c r="AK59" s="690"/>
      <c r="AL59" s="690"/>
      <c r="AM59" s="690"/>
      <c r="AN59" s="690"/>
      <c r="AO59" s="690"/>
      <c r="AP59" s="690"/>
    </row>
    <row r="60" spans="1:42" x14ac:dyDescent="0.25">
      <c r="A60" s="134">
        <f t="shared" si="2"/>
        <v>59</v>
      </c>
      <c r="B60" s="443" t="s">
        <v>3094</v>
      </c>
      <c r="C60" s="443" t="s">
        <v>3094</v>
      </c>
      <c r="D60" s="443"/>
      <c r="E60" s="443" t="s">
        <v>7185</v>
      </c>
      <c r="F60" s="445" t="s">
        <v>4590</v>
      </c>
      <c r="G60" s="4" t="s">
        <v>7366</v>
      </c>
      <c r="H60" s="640"/>
      <c r="I60" s="640" t="s">
        <v>4591</v>
      </c>
      <c r="J60" s="653" t="s">
        <v>6266</v>
      </c>
      <c r="K60" s="653" t="s">
        <v>6269</v>
      </c>
      <c r="L60" s="653"/>
      <c r="M60" s="653"/>
      <c r="N60" s="653"/>
      <c r="O60" s="653"/>
      <c r="P60" s="653"/>
      <c r="Q60" s="640"/>
      <c r="R60" s="640"/>
      <c r="S60" s="640"/>
      <c r="T60" s="460"/>
      <c r="U60" s="460"/>
      <c r="V60" s="685">
        <f t="shared" si="1"/>
        <v>0</v>
      </c>
      <c r="W60" s="690"/>
      <c r="X60" s="690"/>
      <c r="Y60" s="690"/>
      <c r="Z60" s="690"/>
      <c r="AA60" s="690"/>
      <c r="AB60" s="690"/>
      <c r="AC60" s="690"/>
      <c r="AD60" s="690"/>
      <c r="AE60" s="690"/>
      <c r="AF60" s="690"/>
      <c r="AG60" s="690"/>
      <c r="AH60" s="690"/>
      <c r="AI60" s="690"/>
      <c r="AJ60" s="690"/>
      <c r="AK60" s="690"/>
      <c r="AL60" s="690"/>
      <c r="AM60" s="690"/>
      <c r="AN60" s="690"/>
      <c r="AO60" s="690"/>
      <c r="AP60" s="690"/>
    </row>
    <row r="61" spans="1:42" x14ac:dyDescent="0.25">
      <c r="A61" s="134">
        <f t="shared" si="2"/>
        <v>60</v>
      </c>
      <c r="B61" s="443" t="s">
        <v>2273</v>
      </c>
      <c r="C61" s="443" t="s">
        <v>2273</v>
      </c>
      <c r="D61" s="443"/>
      <c r="E61" s="443" t="s">
        <v>7186</v>
      </c>
      <c r="F61" s="444" t="s">
        <v>4868</v>
      </c>
      <c r="G61" s="4" t="s">
        <v>7367</v>
      </c>
      <c r="H61" s="640"/>
      <c r="I61" s="640" t="s">
        <v>621</v>
      </c>
      <c r="J61" s="653"/>
      <c r="K61" s="653" t="s">
        <v>6269</v>
      </c>
      <c r="L61" s="653"/>
      <c r="M61" s="653"/>
      <c r="N61" s="653"/>
      <c r="O61" s="653"/>
      <c r="P61" s="653"/>
      <c r="Q61" s="640"/>
      <c r="R61" s="640"/>
      <c r="S61" s="640"/>
      <c r="T61" s="460"/>
      <c r="U61" s="460"/>
      <c r="V61" s="685">
        <f t="shared" si="1"/>
        <v>13</v>
      </c>
      <c r="W61" s="4" t="s">
        <v>3648</v>
      </c>
      <c r="X61" s="4" t="s">
        <v>3649</v>
      </c>
      <c r="Y61" s="4" t="s">
        <v>3650</v>
      </c>
      <c r="Z61" s="4" t="s">
        <v>3651</v>
      </c>
      <c r="AA61" s="4" t="s">
        <v>3652</v>
      </c>
      <c r="AB61" s="4" t="s">
        <v>3653</v>
      </c>
      <c r="AC61" s="4" t="s">
        <v>3654</v>
      </c>
      <c r="AD61" s="4" t="s">
        <v>3655</v>
      </c>
      <c r="AE61" s="4" t="s">
        <v>3656</v>
      </c>
      <c r="AF61" s="4" t="s">
        <v>3657</v>
      </c>
      <c r="AG61" s="4" t="s">
        <v>3658</v>
      </c>
      <c r="AH61" s="4" t="s">
        <v>3659</v>
      </c>
      <c r="AI61" s="4" t="s">
        <v>3660</v>
      </c>
      <c r="AJ61" s="690"/>
      <c r="AK61" s="690"/>
      <c r="AL61" s="690"/>
      <c r="AM61" s="690"/>
      <c r="AN61" s="690"/>
      <c r="AO61" s="690"/>
      <c r="AP61" s="690"/>
    </row>
    <row r="62" spans="1:42" x14ac:dyDescent="0.25">
      <c r="A62" s="134">
        <f t="shared" si="2"/>
        <v>61</v>
      </c>
      <c r="B62" s="443" t="s">
        <v>3095</v>
      </c>
      <c r="C62" s="443" t="s">
        <v>3095</v>
      </c>
      <c r="D62" s="443"/>
      <c r="E62" s="443" t="s">
        <v>7187</v>
      </c>
      <c r="F62" s="444" t="s">
        <v>4869</v>
      </c>
      <c r="G62" s="4"/>
      <c r="H62" s="640"/>
      <c r="I62" s="640" t="s">
        <v>4591</v>
      </c>
      <c r="J62" s="653" t="s">
        <v>6266</v>
      </c>
      <c r="K62" s="653" t="s">
        <v>6269</v>
      </c>
      <c r="L62" s="653"/>
      <c r="M62" s="653"/>
      <c r="N62" s="653"/>
      <c r="O62" s="653"/>
      <c r="P62" s="653"/>
      <c r="Q62" s="640"/>
      <c r="R62" s="640"/>
      <c r="S62" s="640"/>
      <c r="T62" s="460"/>
      <c r="U62" s="460"/>
      <c r="V62" s="685">
        <f t="shared" si="1"/>
        <v>0</v>
      </c>
      <c r="W62" s="690"/>
      <c r="X62" s="690"/>
      <c r="Y62" s="690"/>
      <c r="Z62" s="690"/>
      <c r="AA62" s="690"/>
      <c r="AB62" s="690"/>
      <c r="AC62" s="690"/>
      <c r="AD62" s="690"/>
      <c r="AE62" s="690"/>
      <c r="AF62" s="690"/>
      <c r="AG62" s="690"/>
      <c r="AH62" s="690"/>
      <c r="AI62" s="690"/>
      <c r="AJ62" s="690"/>
      <c r="AK62" s="690"/>
      <c r="AL62" s="690"/>
      <c r="AM62" s="690"/>
      <c r="AN62" s="690"/>
      <c r="AO62" s="690"/>
      <c r="AP62" s="690"/>
    </row>
    <row r="63" spans="1:42" x14ac:dyDescent="0.25">
      <c r="A63" s="134">
        <f t="shared" si="2"/>
        <v>62</v>
      </c>
      <c r="B63" s="443" t="s">
        <v>3044</v>
      </c>
      <c r="C63" s="443" t="s">
        <v>3044</v>
      </c>
      <c r="D63" s="443"/>
      <c r="E63" s="443" t="s">
        <v>7188</v>
      </c>
      <c r="F63" s="444" t="s">
        <v>4870</v>
      </c>
      <c r="G63" s="4"/>
      <c r="H63" s="640"/>
      <c r="I63" s="640"/>
      <c r="J63" s="653" t="s">
        <v>6266</v>
      </c>
      <c r="K63" s="653" t="s">
        <v>6269</v>
      </c>
      <c r="L63" s="653"/>
      <c r="M63" s="653"/>
      <c r="N63" s="653"/>
      <c r="O63" s="653"/>
      <c r="P63" s="653"/>
      <c r="Q63" s="640"/>
      <c r="R63" s="640"/>
      <c r="S63" s="640"/>
      <c r="T63" s="460"/>
      <c r="U63" s="460"/>
      <c r="V63" s="685">
        <f t="shared" si="1"/>
        <v>0</v>
      </c>
      <c r="W63" s="690"/>
      <c r="X63" s="690"/>
      <c r="Y63" s="690"/>
      <c r="Z63" s="690"/>
      <c r="AA63" s="690"/>
      <c r="AB63" s="690"/>
      <c r="AC63" s="690"/>
      <c r="AD63" s="690"/>
      <c r="AE63" s="690"/>
      <c r="AF63" s="690"/>
      <c r="AG63" s="690"/>
      <c r="AH63" s="690"/>
      <c r="AI63" s="690"/>
      <c r="AJ63" s="690"/>
      <c r="AK63" s="690"/>
      <c r="AL63" s="690"/>
      <c r="AM63" s="690"/>
      <c r="AN63" s="690"/>
      <c r="AO63" s="690"/>
      <c r="AP63" s="690"/>
    </row>
    <row r="64" spans="1:42" x14ac:dyDescent="0.25">
      <c r="A64" s="134">
        <f t="shared" si="2"/>
        <v>63</v>
      </c>
      <c r="B64" s="443" t="s">
        <v>4393</v>
      </c>
      <c r="C64" s="443" t="s">
        <v>2769</v>
      </c>
      <c r="D64" s="443"/>
      <c r="E64" s="443"/>
      <c r="F64" s="444" t="s">
        <v>3034</v>
      </c>
      <c r="G64" s="4"/>
      <c r="H64" s="640"/>
      <c r="I64" s="640" t="s">
        <v>619</v>
      </c>
      <c r="J64" s="653" t="s">
        <v>6266</v>
      </c>
      <c r="K64" s="653" t="s">
        <v>6269</v>
      </c>
      <c r="L64" s="653"/>
      <c r="M64" s="653"/>
      <c r="N64" s="653"/>
      <c r="O64" s="653"/>
      <c r="P64" s="653"/>
      <c r="Q64" s="640"/>
      <c r="R64" s="640"/>
      <c r="S64" s="640"/>
      <c r="T64" s="460"/>
      <c r="U64" s="460"/>
      <c r="V64" s="685">
        <f t="shared" si="1"/>
        <v>6</v>
      </c>
      <c r="W64" s="137" t="s">
        <v>3197</v>
      </c>
      <c r="X64" s="137" t="s">
        <v>3198</v>
      </c>
      <c r="Y64" s="137" t="s">
        <v>3199</v>
      </c>
      <c r="Z64" s="137" t="s">
        <v>3200</v>
      </c>
      <c r="AA64" s="137" t="s">
        <v>3201</v>
      </c>
      <c r="AB64" s="137" t="s">
        <v>3202</v>
      </c>
      <c r="AC64" s="690"/>
      <c r="AD64" s="690"/>
      <c r="AE64" s="690"/>
      <c r="AF64" s="690"/>
      <c r="AG64" s="690"/>
      <c r="AH64" s="690"/>
      <c r="AI64" s="690"/>
      <c r="AJ64" s="690"/>
      <c r="AK64" s="690"/>
      <c r="AL64" s="690"/>
      <c r="AM64" s="690"/>
      <c r="AN64" s="690"/>
      <c r="AO64" s="690"/>
      <c r="AP64" s="690"/>
    </row>
    <row r="65" spans="1:42" x14ac:dyDescent="0.25">
      <c r="A65" s="134">
        <f t="shared" si="2"/>
        <v>64</v>
      </c>
      <c r="B65" s="443" t="s">
        <v>3045</v>
      </c>
      <c r="C65" s="443" t="s">
        <v>3045</v>
      </c>
      <c r="D65" s="443"/>
      <c r="E65" s="443" t="s">
        <v>7189</v>
      </c>
      <c r="F65" s="444" t="s">
        <v>4705</v>
      </c>
      <c r="G65" s="4"/>
      <c r="H65" s="640"/>
      <c r="I65" s="640"/>
      <c r="J65" s="653" t="s">
        <v>6266</v>
      </c>
      <c r="K65" s="653" t="s">
        <v>6270</v>
      </c>
      <c r="L65" s="653"/>
      <c r="M65" s="653"/>
      <c r="N65" s="653"/>
      <c r="O65" s="653"/>
      <c r="P65" s="653"/>
      <c r="Q65" s="640"/>
      <c r="R65" s="640"/>
      <c r="S65" s="640"/>
      <c r="T65" s="460"/>
      <c r="U65" s="460"/>
      <c r="V65" s="685">
        <f t="shared" si="1"/>
        <v>0</v>
      </c>
      <c r="W65" s="690"/>
      <c r="X65" s="690"/>
      <c r="Y65" s="690"/>
      <c r="Z65" s="690"/>
      <c r="AA65" s="690"/>
      <c r="AB65" s="690"/>
      <c r="AC65" s="690"/>
      <c r="AD65" s="690"/>
      <c r="AE65" s="690"/>
      <c r="AF65" s="690"/>
      <c r="AG65" s="690"/>
      <c r="AH65" s="690"/>
      <c r="AI65" s="690"/>
      <c r="AJ65" s="690"/>
      <c r="AK65" s="690"/>
      <c r="AL65" s="690"/>
      <c r="AM65" s="690"/>
      <c r="AN65" s="690"/>
      <c r="AO65" s="690"/>
      <c r="AP65" s="690"/>
    </row>
    <row r="66" spans="1:42" x14ac:dyDescent="0.25">
      <c r="A66" s="134">
        <f t="shared" si="2"/>
        <v>65</v>
      </c>
      <c r="B66" s="443" t="s">
        <v>3100</v>
      </c>
      <c r="C66" s="443" t="s">
        <v>3100</v>
      </c>
      <c r="D66" s="443"/>
      <c r="E66" s="443" t="s">
        <v>7190</v>
      </c>
      <c r="F66" s="444" t="s">
        <v>4600</v>
      </c>
      <c r="G66" s="4"/>
      <c r="H66" s="640"/>
      <c r="I66" s="640"/>
      <c r="J66" s="653"/>
      <c r="K66" s="653" t="s">
        <v>6269</v>
      </c>
      <c r="L66" s="653"/>
      <c r="M66" s="653"/>
      <c r="N66" s="653"/>
      <c r="O66" s="653" t="s">
        <v>7357</v>
      </c>
      <c r="P66" s="653"/>
      <c r="Q66" s="640"/>
      <c r="R66" s="640"/>
      <c r="S66" s="640"/>
      <c r="T66" s="460"/>
      <c r="U66" s="460"/>
      <c r="V66" s="685">
        <f t="shared" si="1"/>
        <v>0</v>
      </c>
      <c r="W66" s="690"/>
      <c r="X66" s="690"/>
      <c r="Y66" s="690"/>
      <c r="Z66" s="690"/>
      <c r="AA66" s="690"/>
      <c r="AB66" s="690"/>
      <c r="AC66" s="690"/>
      <c r="AD66" s="690"/>
      <c r="AE66" s="690"/>
      <c r="AF66" s="690"/>
      <c r="AG66" s="690"/>
      <c r="AH66" s="690"/>
      <c r="AI66" s="690"/>
      <c r="AJ66" s="690"/>
      <c r="AK66" s="690"/>
      <c r="AL66" s="690"/>
      <c r="AM66" s="690"/>
      <c r="AN66" s="690"/>
      <c r="AO66" s="690"/>
      <c r="AP66" s="690"/>
    </row>
    <row r="67" spans="1:42" x14ac:dyDescent="0.25">
      <c r="A67" s="134">
        <f t="shared" ref="A67:A98" si="3">IF(B67="","",1+A66)</f>
        <v>66</v>
      </c>
      <c r="B67" s="443" t="s">
        <v>1119</v>
      </c>
      <c r="C67" s="443" t="s">
        <v>1119</v>
      </c>
      <c r="D67" s="443"/>
      <c r="E67" s="443"/>
      <c r="F67" s="444" t="s">
        <v>3034</v>
      </c>
      <c r="G67" s="4"/>
      <c r="H67" s="640"/>
      <c r="I67" s="640"/>
      <c r="J67" s="653"/>
      <c r="K67" s="653"/>
      <c r="L67" s="653"/>
      <c r="M67" s="653"/>
      <c r="N67" s="653"/>
      <c r="O67" s="653"/>
      <c r="P67" s="653"/>
      <c r="Q67" s="640"/>
      <c r="R67" s="640"/>
      <c r="S67" s="640"/>
      <c r="T67" s="460"/>
      <c r="U67" s="460"/>
      <c r="V67" s="685">
        <f t="shared" ref="V67:V130" si="4">COUNTA(W67:AP67)</f>
        <v>0</v>
      </c>
      <c r="W67" s="690"/>
      <c r="X67" s="690"/>
      <c r="Y67" s="690"/>
      <c r="Z67" s="690"/>
      <c r="AA67" s="690"/>
      <c r="AB67" s="690"/>
      <c r="AC67" s="690"/>
      <c r="AD67" s="690"/>
      <c r="AE67" s="690"/>
      <c r="AF67" s="690"/>
      <c r="AG67" s="690"/>
      <c r="AH67" s="690"/>
      <c r="AI67" s="690"/>
      <c r="AJ67" s="690"/>
      <c r="AK67" s="690"/>
      <c r="AL67" s="690"/>
      <c r="AM67" s="690"/>
      <c r="AN67" s="690"/>
      <c r="AO67" s="690"/>
      <c r="AP67" s="690"/>
    </row>
    <row r="68" spans="1:42" x14ac:dyDescent="0.25">
      <c r="A68" s="134">
        <f t="shared" si="3"/>
        <v>67</v>
      </c>
      <c r="B68" s="443" t="s">
        <v>3042</v>
      </c>
      <c r="C68" s="443" t="s">
        <v>3042</v>
      </c>
      <c r="D68" s="443"/>
      <c r="E68" s="443" t="s">
        <v>7191</v>
      </c>
      <c r="F68" s="444" t="s">
        <v>4871</v>
      </c>
      <c r="G68" s="4"/>
      <c r="H68" s="640"/>
      <c r="I68" s="640"/>
      <c r="J68" s="653"/>
      <c r="K68" s="653" t="s">
        <v>6270</v>
      </c>
      <c r="L68" s="653"/>
      <c r="M68" s="653"/>
      <c r="N68" s="653"/>
      <c r="O68" s="653"/>
      <c r="P68" s="653"/>
      <c r="Q68" s="640"/>
      <c r="R68" s="640"/>
      <c r="S68" s="640"/>
      <c r="T68" s="460"/>
      <c r="U68" s="460"/>
      <c r="V68" s="685">
        <f t="shared" si="4"/>
        <v>0</v>
      </c>
      <c r="W68" s="690"/>
      <c r="X68" s="690"/>
      <c r="Y68" s="690"/>
      <c r="Z68" s="690"/>
      <c r="AA68" s="690"/>
      <c r="AB68" s="690"/>
      <c r="AC68" s="690"/>
      <c r="AD68" s="690"/>
      <c r="AE68" s="690"/>
      <c r="AF68" s="690"/>
      <c r="AG68" s="690"/>
      <c r="AH68" s="690"/>
      <c r="AI68" s="690"/>
      <c r="AJ68" s="690"/>
      <c r="AK68" s="690"/>
      <c r="AL68" s="690"/>
      <c r="AM68" s="690"/>
      <c r="AN68" s="690"/>
      <c r="AO68" s="690"/>
      <c r="AP68" s="690"/>
    </row>
    <row r="69" spans="1:42" x14ac:dyDescent="0.25">
      <c r="A69" s="134">
        <f t="shared" si="3"/>
        <v>68</v>
      </c>
      <c r="B69" s="443" t="s">
        <v>3128</v>
      </c>
      <c r="C69" s="443" t="s">
        <v>3128</v>
      </c>
      <c r="D69" s="443"/>
      <c r="E69" s="443" t="s">
        <v>7192</v>
      </c>
      <c r="F69" s="444" t="s">
        <v>7111</v>
      </c>
      <c r="G69" s="4" t="s">
        <v>7116</v>
      </c>
      <c r="H69" s="640"/>
      <c r="I69" s="640"/>
      <c r="J69" s="653" t="s">
        <v>6266</v>
      </c>
      <c r="K69" s="653" t="s">
        <v>6269</v>
      </c>
      <c r="L69" s="653"/>
      <c r="M69" s="653" t="s">
        <v>7110</v>
      </c>
      <c r="N69" s="653"/>
      <c r="O69" s="653"/>
      <c r="P69" s="653"/>
      <c r="Q69" s="640"/>
      <c r="R69" s="640"/>
      <c r="S69" s="640"/>
      <c r="T69" s="460"/>
      <c r="U69" s="460"/>
      <c r="V69" s="685">
        <f t="shared" si="4"/>
        <v>0</v>
      </c>
      <c r="W69" s="690"/>
      <c r="X69" s="690"/>
      <c r="Y69" s="690"/>
      <c r="Z69" s="690"/>
      <c r="AA69" s="690"/>
      <c r="AB69" s="690"/>
      <c r="AC69" s="690"/>
      <c r="AD69" s="690"/>
      <c r="AE69" s="690"/>
      <c r="AF69" s="690"/>
      <c r="AG69" s="690"/>
      <c r="AH69" s="690"/>
      <c r="AI69" s="690"/>
      <c r="AJ69" s="690"/>
      <c r="AK69" s="690"/>
      <c r="AL69" s="690"/>
      <c r="AM69" s="690"/>
      <c r="AN69" s="690"/>
      <c r="AO69" s="690"/>
      <c r="AP69" s="690"/>
    </row>
    <row r="70" spans="1:42" x14ac:dyDescent="0.25">
      <c r="A70" s="134">
        <f t="shared" si="3"/>
        <v>69</v>
      </c>
      <c r="B70" s="443" t="s">
        <v>2320</v>
      </c>
      <c r="C70" s="443" t="s">
        <v>2320</v>
      </c>
      <c r="D70" s="443"/>
      <c r="E70" s="443" t="s">
        <v>7193</v>
      </c>
      <c r="F70" s="444" t="s">
        <v>4872</v>
      </c>
      <c r="G70" s="4"/>
      <c r="H70" s="640"/>
      <c r="I70" s="640" t="s">
        <v>619</v>
      </c>
      <c r="J70" s="653" t="s">
        <v>6266</v>
      </c>
      <c r="K70" s="653" t="s">
        <v>6270</v>
      </c>
      <c r="L70" s="653"/>
      <c r="M70" s="653"/>
      <c r="N70" s="653" t="s">
        <v>7361</v>
      </c>
      <c r="O70" s="653" t="s">
        <v>7358</v>
      </c>
      <c r="P70" s="653"/>
      <c r="Q70" s="640"/>
      <c r="R70" s="640"/>
      <c r="S70" s="640"/>
      <c r="T70" s="460"/>
      <c r="U70" s="460"/>
      <c r="V70" s="685">
        <f t="shared" si="4"/>
        <v>0</v>
      </c>
      <c r="W70" s="690"/>
      <c r="X70" s="690"/>
      <c r="Y70" s="690"/>
      <c r="Z70" s="690"/>
      <c r="AA70" s="690"/>
      <c r="AB70" s="690"/>
      <c r="AC70" s="690"/>
      <c r="AD70" s="690"/>
      <c r="AE70" s="690"/>
      <c r="AF70" s="690"/>
      <c r="AG70" s="690"/>
      <c r="AH70" s="690"/>
      <c r="AI70" s="690"/>
      <c r="AJ70" s="690"/>
      <c r="AK70" s="690"/>
      <c r="AL70" s="690"/>
      <c r="AM70" s="690"/>
      <c r="AN70" s="690"/>
      <c r="AO70" s="690"/>
      <c r="AP70" s="690"/>
    </row>
    <row r="71" spans="1:42" x14ac:dyDescent="0.25">
      <c r="A71" s="134">
        <f t="shared" si="3"/>
        <v>70</v>
      </c>
      <c r="B71" s="443" t="s">
        <v>3098</v>
      </c>
      <c r="C71" s="443" t="s">
        <v>3098</v>
      </c>
      <c r="D71" s="443"/>
      <c r="E71" s="443" t="s">
        <v>7118</v>
      </c>
      <c r="F71" s="444" t="s">
        <v>4593</v>
      </c>
      <c r="G71" s="4"/>
      <c r="H71" s="640"/>
      <c r="I71" s="640" t="s">
        <v>616</v>
      </c>
      <c r="J71" s="653" t="s">
        <v>6266</v>
      </c>
      <c r="K71" s="653" t="s">
        <v>6269</v>
      </c>
      <c r="L71" s="653"/>
      <c r="M71" s="653"/>
      <c r="N71" s="653"/>
      <c r="O71" s="653"/>
      <c r="P71" s="653"/>
      <c r="Q71" s="640"/>
      <c r="R71" s="640"/>
      <c r="S71" s="640"/>
      <c r="T71" s="460"/>
      <c r="U71" s="460"/>
      <c r="V71" s="685">
        <f t="shared" si="4"/>
        <v>0</v>
      </c>
      <c r="W71" s="690"/>
      <c r="X71" s="690"/>
      <c r="Y71" s="690"/>
      <c r="Z71" s="690"/>
      <c r="AA71" s="690"/>
      <c r="AB71" s="690"/>
      <c r="AC71" s="690"/>
      <c r="AD71" s="690"/>
      <c r="AE71" s="690"/>
      <c r="AF71" s="690"/>
      <c r="AG71" s="690"/>
      <c r="AH71" s="690"/>
      <c r="AI71" s="690"/>
      <c r="AJ71" s="690"/>
      <c r="AK71" s="690"/>
      <c r="AL71" s="690"/>
      <c r="AM71" s="690"/>
      <c r="AN71" s="690"/>
      <c r="AO71" s="690"/>
      <c r="AP71" s="690"/>
    </row>
    <row r="72" spans="1:42" x14ac:dyDescent="0.25">
      <c r="A72" s="134">
        <f t="shared" si="3"/>
        <v>71</v>
      </c>
      <c r="B72" s="443" t="s">
        <v>3052</v>
      </c>
      <c r="C72" s="443" t="s">
        <v>3052</v>
      </c>
      <c r="D72" s="443"/>
      <c r="E72" s="443" t="s">
        <v>7119</v>
      </c>
      <c r="F72" s="444" t="s">
        <v>4599</v>
      </c>
      <c r="G72" s="4" t="s">
        <v>7117</v>
      </c>
      <c r="H72" s="640"/>
      <c r="I72" s="640" t="s">
        <v>1109</v>
      </c>
      <c r="J72" s="653"/>
      <c r="K72" s="653" t="s">
        <v>6269</v>
      </c>
      <c r="L72" s="653" t="s">
        <v>7102</v>
      </c>
      <c r="M72" s="653"/>
      <c r="N72" s="653"/>
      <c r="O72" s="653"/>
      <c r="P72" s="653"/>
      <c r="Q72" s="640"/>
      <c r="R72" s="640"/>
      <c r="S72" s="640"/>
      <c r="T72" s="460"/>
      <c r="U72" s="460"/>
      <c r="V72" s="685">
        <f t="shared" si="4"/>
        <v>0</v>
      </c>
      <c r="W72" s="690"/>
      <c r="X72" s="690"/>
      <c r="Y72" s="690"/>
      <c r="Z72" s="690"/>
      <c r="AA72" s="690"/>
      <c r="AB72" s="690"/>
      <c r="AC72" s="690"/>
      <c r="AD72" s="690"/>
      <c r="AE72" s="690"/>
      <c r="AF72" s="690"/>
      <c r="AG72" s="690"/>
      <c r="AH72" s="690"/>
      <c r="AI72" s="690"/>
      <c r="AJ72" s="690"/>
      <c r="AK72" s="690"/>
      <c r="AL72" s="690"/>
      <c r="AM72" s="690"/>
      <c r="AN72" s="690"/>
      <c r="AO72" s="690"/>
      <c r="AP72" s="690"/>
    </row>
    <row r="73" spans="1:42" x14ac:dyDescent="0.25">
      <c r="A73" s="134">
        <f t="shared" si="3"/>
        <v>72</v>
      </c>
      <c r="B73" s="443" t="s">
        <v>2321</v>
      </c>
      <c r="C73" s="443" t="s">
        <v>2321</v>
      </c>
      <c r="D73" s="443"/>
      <c r="E73" s="443"/>
      <c r="F73" s="444" t="s">
        <v>4873</v>
      </c>
      <c r="G73" s="4"/>
      <c r="H73" s="640"/>
      <c r="I73" s="640" t="s">
        <v>620</v>
      </c>
      <c r="J73" s="653" t="s">
        <v>6266</v>
      </c>
      <c r="K73" s="653" t="s">
        <v>6270</v>
      </c>
      <c r="L73" s="653"/>
      <c r="M73" s="653"/>
      <c r="N73" s="653"/>
      <c r="O73" s="653" t="s">
        <v>7357</v>
      </c>
      <c r="P73" s="653"/>
      <c r="Q73" s="640"/>
      <c r="R73" s="640"/>
      <c r="S73" s="640"/>
      <c r="T73" s="460"/>
      <c r="U73" s="460"/>
      <c r="V73" s="685">
        <f t="shared" si="4"/>
        <v>0</v>
      </c>
      <c r="W73" s="690"/>
      <c r="X73" s="690"/>
      <c r="Y73" s="690"/>
      <c r="Z73" s="690"/>
      <c r="AA73" s="690"/>
      <c r="AB73" s="690"/>
      <c r="AC73" s="690"/>
      <c r="AD73" s="690"/>
      <c r="AE73" s="690"/>
      <c r="AF73" s="690"/>
      <c r="AG73" s="690"/>
      <c r="AH73" s="690"/>
      <c r="AI73" s="690"/>
      <c r="AJ73" s="690"/>
      <c r="AK73" s="690"/>
      <c r="AL73" s="690"/>
      <c r="AM73" s="690"/>
      <c r="AN73" s="690"/>
      <c r="AO73" s="690"/>
      <c r="AP73" s="690"/>
    </row>
    <row r="74" spans="1:42" x14ac:dyDescent="0.25">
      <c r="A74" s="134">
        <f t="shared" si="3"/>
        <v>73</v>
      </c>
      <c r="B74" s="443" t="s">
        <v>3114</v>
      </c>
      <c r="C74" s="443" t="s">
        <v>3114</v>
      </c>
      <c r="D74" s="443"/>
      <c r="E74" s="443" t="s">
        <v>7120</v>
      </c>
      <c r="F74" s="444" t="s">
        <v>4667</v>
      </c>
      <c r="G74" s="4"/>
      <c r="H74" s="640"/>
      <c r="I74" s="640" t="s">
        <v>620</v>
      </c>
      <c r="J74" s="653" t="s">
        <v>6266</v>
      </c>
      <c r="K74" s="653" t="s">
        <v>6269</v>
      </c>
      <c r="L74" s="653"/>
      <c r="M74" s="653"/>
      <c r="N74" s="653"/>
      <c r="O74" s="653"/>
      <c r="P74" s="653"/>
      <c r="Q74" s="640"/>
      <c r="R74" s="640"/>
      <c r="S74" s="640"/>
      <c r="T74" s="460"/>
      <c r="U74" s="460"/>
      <c r="V74" s="685">
        <f t="shared" si="4"/>
        <v>0</v>
      </c>
      <c r="W74" s="690"/>
      <c r="X74" s="690"/>
      <c r="Y74" s="690"/>
      <c r="Z74" s="690"/>
      <c r="AA74" s="690"/>
      <c r="AB74" s="690"/>
      <c r="AC74" s="690"/>
      <c r="AD74" s="690"/>
      <c r="AE74" s="690"/>
      <c r="AF74" s="690"/>
      <c r="AG74" s="690"/>
      <c r="AH74" s="690"/>
      <c r="AI74" s="690"/>
      <c r="AJ74" s="690"/>
      <c r="AK74" s="690"/>
      <c r="AL74" s="690"/>
      <c r="AM74" s="690"/>
      <c r="AN74" s="690"/>
      <c r="AO74" s="690"/>
      <c r="AP74" s="690"/>
    </row>
    <row r="75" spans="1:42" x14ac:dyDescent="0.25">
      <c r="A75" s="134">
        <f t="shared" si="3"/>
        <v>74</v>
      </c>
      <c r="B75" s="443" t="s">
        <v>4702</v>
      </c>
      <c r="C75" s="443" t="s">
        <v>3041</v>
      </c>
      <c r="D75" s="443"/>
      <c r="E75" s="443" t="s">
        <v>7194</v>
      </c>
      <c r="F75" s="444" t="s">
        <v>4874</v>
      </c>
      <c r="G75" s="4"/>
      <c r="H75" s="640"/>
      <c r="I75" s="640" t="s">
        <v>621</v>
      </c>
      <c r="J75" s="653"/>
      <c r="K75" s="653" t="s">
        <v>6269</v>
      </c>
      <c r="L75" s="653"/>
      <c r="M75" s="653"/>
      <c r="N75" s="653"/>
      <c r="O75" s="653"/>
      <c r="P75" s="653"/>
      <c r="Q75" s="640"/>
      <c r="R75" s="640"/>
      <c r="S75" s="640"/>
      <c r="T75" s="460"/>
      <c r="U75" s="460"/>
      <c r="V75" s="685">
        <f t="shared" si="4"/>
        <v>0</v>
      </c>
      <c r="W75" s="690"/>
      <c r="X75" s="690"/>
      <c r="Y75" s="690"/>
      <c r="Z75" s="690"/>
      <c r="AA75" s="690"/>
      <c r="AB75" s="690"/>
      <c r="AC75" s="690"/>
      <c r="AD75" s="690"/>
      <c r="AE75" s="690"/>
      <c r="AF75" s="690"/>
      <c r="AG75" s="690"/>
      <c r="AH75" s="690"/>
      <c r="AI75" s="690"/>
      <c r="AJ75" s="690"/>
      <c r="AK75" s="690"/>
      <c r="AL75" s="690"/>
      <c r="AM75" s="690"/>
      <c r="AN75" s="690"/>
      <c r="AO75" s="690"/>
      <c r="AP75" s="690"/>
    </row>
    <row r="76" spans="1:42" x14ac:dyDescent="0.25">
      <c r="A76" s="134">
        <f t="shared" si="3"/>
        <v>75</v>
      </c>
      <c r="B76" s="443" t="s">
        <v>2270</v>
      </c>
      <c r="C76" s="443" t="s">
        <v>2270</v>
      </c>
      <c r="D76" s="443"/>
      <c r="E76" s="443" t="s">
        <v>7195</v>
      </c>
      <c r="F76" s="444" t="s">
        <v>4875</v>
      </c>
      <c r="G76" s="4"/>
      <c r="H76" s="640"/>
      <c r="I76" s="640" t="s">
        <v>1110</v>
      </c>
      <c r="J76" s="653" t="s">
        <v>6266</v>
      </c>
      <c r="K76" s="653" t="s">
        <v>6270</v>
      </c>
      <c r="L76" s="653"/>
      <c r="M76" s="653"/>
      <c r="N76" s="653" t="s">
        <v>7362</v>
      </c>
      <c r="O76" s="653" t="s">
        <v>7358</v>
      </c>
      <c r="P76" s="653"/>
      <c r="Q76" s="640"/>
      <c r="R76" s="640"/>
      <c r="S76" s="640"/>
      <c r="T76" s="460"/>
      <c r="U76" s="460"/>
      <c r="V76" s="685">
        <f t="shared" si="4"/>
        <v>0</v>
      </c>
      <c r="W76" s="690"/>
      <c r="X76" s="690"/>
      <c r="Y76" s="690"/>
      <c r="Z76" s="690"/>
      <c r="AA76" s="690"/>
      <c r="AB76" s="690"/>
      <c r="AC76" s="690"/>
      <c r="AD76" s="690"/>
      <c r="AE76" s="690"/>
      <c r="AF76" s="690"/>
      <c r="AG76" s="690"/>
      <c r="AH76" s="690"/>
      <c r="AI76" s="690"/>
      <c r="AJ76" s="690"/>
      <c r="AK76" s="690"/>
      <c r="AL76" s="690"/>
      <c r="AM76" s="690"/>
      <c r="AN76" s="690"/>
      <c r="AO76" s="690"/>
      <c r="AP76" s="690"/>
    </row>
    <row r="77" spans="1:42" x14ac:dyDescent="0.25">
      <c r="A77" s="134">
        <f t="shared" si="3"/>
        <v>76</v>
      </c>
      <c r="B77" s="443" t="s">
        <v>3104</v>
      </c>
      <c r="C77" s="443" t="s">
        <v>3104</v>
      </c>
      <c r="D77" s="443"/>
      <c r="E77" s="443" t="s">
        <v>7121</v>
      </c>
      <c r="F77" s="444" t="s">
        <v>4876</v>
      </c>
      <c r="G77" s="4" t="s">
        <v>7372</v>
      </c>
      <c r="H77" s="640"/>
      <c r="I77" s="640" t="s">
        <v>1109</v>
      </c>
      <c r="J77" s="653"/>
      <c r="K77" s="653" t="s">
        <v>6269</v>
      </c>
      <c r="L77" s="653"/>
      <c r="M77" s="653"/>
      <c r="N77" s="653"/>
      <c r="O77" s="653"/>
      <c r="P77" s="653"/>
      <c r="Q77" s="640"/>
      <c r="R77" s="640"/>
      <c r="S77" s="640"/>
      <c r="T77" s="460"/>
      <c r="U77" s="460"/>
      <c r="V77" s="685">
        <f t="shared" si="4"/>
        <v>0</v>
      </c>
      <c r="W77" s="690"/>
      <c r="X77" s="690"/>
      <c r="Y77" s="690"/>
      <c r="Z77" s="690"/>
      <c r="AA77" s="690"/>
      <c r="AB77" s="690"/>
      <c r="AC77" s="690"/>
      <c r="AD77" s="690"/>
      <c r="AE77" s="690"/>
      <c r="AF77" s="690"/>
      <c r="AG77" s="690"/>
      <c r="AH77" s="690"/>
      <c r="AI77" s="690"/>
      <c r="AJ77" s="690"/>
      <c r="AK77" s="690"/>
      <c r="AL77" s="690"/>
      <c r="AM77" s="690"/>
      <c r="AN77" s="690"/>
      <c r="AO77" s="690"/>
      <c r="AP77" s="690"/>
    </row>
    <row r="78" spans="1:42" x14ac:dyDescent="0.25">
      <c r="A78" s="134">
        <f t="shared" si="3"/>
        <v>77</v>
      </c>
      <c r="B78" s="443" t="s">
        <v>2243</v>
      </c>
      <c r="C78" s="443" t="s">
        <v>2243</v>
      </c>
      <c r="D78" s="443"/>
      <c r="E78" s="443"/>
      <c r="F78" s="444" t="s">
        <v>3034</v>
      </c>
      <c r="G78" s="4"/>
      <c r="H78" s="640"/>
      <c r="I78" s="640" t="s">
        <v>619</v>
      </c>
      <c r="J78" s="653"/>
      <c r="K78" s="653"/>
      <c r="L78" s="653"/>
      <c r="M78" s="653"/>
      <c r="N78" s="653"/>
      <c r="O78" s="653"/>
      <c r="P78" s="653"/>
      <c r="Q78" s="640"/>
      <c r="R78" s="640"/>
      <c r="S78" s="640"/>
      <c r="T78" s="640" t="s">
        <v>171</v>
      </c>
      <c r="U78" s="460"/>
      <c r="V78" s="685">
        <f t="shared" si="4"/>
        <v>3</v>
      </c>
      <c r="W78" s="4" t="s">
        <v>3162</v>
      </c>
      <c r="X78" s="4" t="s">
        <v>3163</v>
      </c>
      <c r="Y78" s="4" t="s">
        <v>3164</v>
      </c>
      <c r="Z78" s="690"/>
      <c r="AA78" s="690"/>
      <c r="AB78" s="690"/>
      <c r="AC78" s="690"/>
      <c r="AD78" s="690"/>
      <c r="AE78" s="690"/>
      <c r="AF78" s="690"/>
      <c r="AG78" s="690"/>
      <c r="AH78" s="690"/>
      <c r="AI78" s="690"/>
      <c r="AJ78" s="690"/>
      <c r="AK78" s="690"/>
      <c r="AL78" s="690"/>
      <c r="AM78" s="690"/>
      <c r="AN78" s="690"/>
      <c r="AO78" s="690"/>
      <c r="AP78" s="690"/>
    </row>
    <row r="79" spans="1:42" x14ac:dyDescent="0.25">
      <c r="A79" s="134">
        <f t="shared" si="3"/>
        <v>78</v>
      </c>
      <c r="B79" s="443" t="s">
        <v>4310</v>
      </c>
      <c r="C79" s="443" t="s">
        <v>3046</v>
      </c>
      <c r="D79" s="443"/>
      <c r="E79" s="443"/>
      <c r="F79" s="444" t="s">
        <v>3034</v>
      </c>
      <c r="G79" s="4"/>
      <c r="H79" s="640"/>
      <c r="I79" s="640" t="s">
        <v>619</v>
      </c>
      <c r="J79" s="653"/>
      <c r="K79" s="653"/>
      <c r="L79" s="653"/>
      <c r="M79" s="653"/>
      <c r="N79" s="653"/>
      <c r="O79" s="653"/>
      <c r="P79" s="653"/>
      <c r="Q79" s="640"/>
      <c r="R79" s="640"/>
      <c r="S79" s="640"/>
      <c r="T79" s="460"/>
      <c r="U79" s="640" t="s">
        <v>171</v>
      </c>
      <c r="V79" s="685">
        <f t="shared" si="4"/>
        <v>0</v>
      </c>
      <c r="W79" s="690"/>
      <c r="X79" s="690"/>
      <c r="Y79" s="690"/>
      <c r="Z79" s="690"/>
      <c r="AA79" s="690"/>
      <c r="AB79" s="690"/>
      <c r="AC79" s="690"/>
      <c r="AD79" s="690"/>
      <c r="AE79" s="690"/>
      <c r="AF79" s="690"/>
      <c r="AG79" s="690"/>
      <c r="AH79" s="690"/>
      <c r="AI79" s="690"/>
      <c r="AJ79" s="690"/>
      <c r="AK79" s="690"/>
      <c r="AL79" s="690"/>
      <c r="AM79" s="690"/>
      <c r="AN79" s="690"/>
      <c r="AO79" s="690"/>
      <c r="AP79" s="690"/>
    </row>
    <row r="80" spans="1:42" x14ac:dyDescent="0.25">
      <c r="A80" s="134">
        <f t="shared" si="3"/>
        <v>79</v>
      </c>
      <c r="B80" s="443" t="s">
        <v>4311</v>
      </c>
      <c r="C80" s="443" t="s">
        <v>3046</v>
      </c>
      <c r="D80" s="443"/>
      <c r="E80" s="443"/>
      <c r="F80" s="444" t="s">
        <v>3034</v>
      </c>
      <c r="G80" s="4"/>
      <c r="H80" s="640"/>
      <c r="I80" s="640" t="s">
        <v>619</v>
      </c>
      <c r="J80" s="653"/>
      <c r="K80" s="653"/>
      <c r="L80" s="653"/>
      <c r="M80" s="653"/>
      <c r="N80" s="653"/>
      <c r="O80" s="653"/>
      <c r="P80" s="653"/>
      <c r="Q80" s="640"/>
      <c r="R80" s="640"/>
      <c r="S80" s="640"/>
      <c r="T80" s="460"/>
      <c r="U80" s="640" t="s">
        <v>171</v>
      </c>
      <c r="V80" s="685">
        <f t="shared" si="4"/>
        <v>0</v>
      </c>
      <c r="W80" s="690"/>
      <c r="X80" s="690"/>
      <c r="Y80" s="690"/>
      <c r="Z80" s="690"/>
      <c r="AA80" s="690"/>
      <c r="AB80" s="690"/>
      <c r="AC80" s="690"/>
      <c r="AD80" s="690"/>
      <c r="AE80" s="690"/>
      <c r="AF80" s="690"/>
      <c r="AG80" s="690"/>
      <c r="AH80" s="690"/>
      <c r="AI80" s="690"/>
      <c r="AJ80" s="690"/>
      <c r="AK80" s="690"/>
      <c r="AL80" s="690"/>
      <c r="AM80" s="690"/>
      <c r="AN80" s="690"/>
      <c r="AO80" s="690"/>
      <c r="AP80" s="690"/>
    </row>
    <row r="81" spans="1:42" x14ac:dyDescent="0.25">
      <c r="A81" s="134">
        <f t="shared" si="3"/>
        <v>80</v>
      </c>
      <c r="B81" s="443" t="s">
        <v>4302</v>
      </c>
      <c r="C81" s="443" t="s">
        <v>3046</v>
      </c>
      <c r="D81" s="443"/>
      <c r="E81" s="443"/>
      <c r="F81" s="444" t="s">
        <v>3034</v>
      </c>
      <c r="G81" s="4"/>
      <c r="H81" s="640"/>
      <c r="I81" s="640" t="s">
        <v>619</v>
      </c>
      <c r="J81" s="653"/>
      <c r="K81" s="653"/>
      <c r="L81" s="653"/>
      <c r="M81" s="653"/>
      <c r="N81" s="653"/>
      <c r="O81" s="653"/>
      <c r="P81" s="653"/>
      <c r="Q81" s="640"/>
      <c r="R81" s="640"/>
      <c r="S81" s="640"/>
      <c r="T81" s="460"/>
      <c r="U81" s="640" t="s">
        <v>171</v>
      </c>
      <c r="V81" s="685">
        <f t="shared" si="4"/>
        <v>0</v>
      </c>
      <c r="W81" s="690"/>
      <c r="X81" s="690"/>
      <c r="Y81" s="690"/>
      <c r="Z81" s="690"/>
      <c r="AA81" s="690"/>
      <c r="AB81" s="690"/>
      <c r="AC81" s="690"/>
      <c r="AD81" s="690"/>
      <c r="AE81" s="690"/>
      <c r="AF81" s="690"/>
      <c r="AG81" s="690"/>
      <c r="AH81" s="690"/>
      <c r="AI81" s="690"/>
      <c r="AJ81" s="690"/>
      <c r="AK81" s="690"/>
      <c r="AL81" s="690"/>
      <c r="AM81" s="690"/>
      <c r="AN81" s="690"/>
      <c r="AO81" s="690"/>
      <c r="AP81" s="690"/>
    </row>
    <row r="82" spans="1:42" x14ac:dyDescent="0.25">
      <c r="A82" s="134">
        <f t="shared" si="3"/>
        <v>81</v>
      </c>
      <c r="B82" s="443" t="s">
        <v>4303</v>
      </c>
      <c r="C82" s="443" t="s">
        <v>3046</v>
      </c>
      <c r="D82" s="443"/>
      <c r="E82" s="443"/>
      <c r="F82" s="444" t="s">
        <v>3034</v>
      </c>
      <c r="G82" s="4"/>
      <c r="H82" s="640"/>
      <c r="I82" s="640" t="s">
        <v>619</v>
      </c>
      <c r="J82" s="653"/>
      <c r="K82" s="653"/>
      <c r="L82" s="653"/>
      <c r="M82" s="653"/>
      <c r="N82" s="653"/>
      <c r="O82" s="653"/>
      <c r="P82" s="653"/>
      <c r="Q82" s="640"/>
      <c r="R82" s="640"/>
      <c r="S82" s="640"/>
      <c r="T82" s="460"/>
      <c r="U82" s="640" t="s">
        <v>171</v>
      </c>
      <c r="V82" s="685">
        <f t="shared" si="4"/>
        <v>0</v>
      </c>
      <c r="W82" s="690"/>
      <c r="X82" s="690"/>
      <c r="Y82" s="690"/>
      <c r="Z82" s="690"/>
      <c r="AA82" s="690"/>
      <c r="AB82" s="690"/>
      <c r="AC82" s="690"/>
      <c r="AD82" s="690"/>
      <c r="AE82" s="690"/>
      <c r="AF82" s="690"/>
      <c r="AG82" s="690"/>
      <c r="AH82" s="690"/>
      <c r="AI82" s="690"/>
      <c r="AJ82" s="690"/>
      <c r="AK82" s="690"/>
      <c r="AL82" s="690"/>
      <c r="AM82" s="690"/>
      <c r="AN82" s="690"/>
      <c r="AO82" s="690"/>
      <c r="AP82" s="690"/>
    </row>
    <row r="83" spans="1:42" x14ac:dyDescent="0.25">
      <c r="A83" s="134">
        <f t="shared" si="3"/>
        <v>82</v>
      </c>
      <c r="B83" s="443" t="s">
        <v>4304</v>
      </c>
      <c r="C83" s="443" t="s">
        <v>3046</v>
      </c>
      <c r="D83" s="443"/>
      <c r="E83" s="443"/>
      <c r="F83" s="444" t="s">
        <v>3034</v>
      </c>
      <c r="G83" s="4"/>
      <c r="H83" s="640"/>
      <c r="I83" s="640" t="s">
        <v>619</v>
      </c>
      <c r="J83" s="653"/>
      <c r="K83" s="653"/>
      <c r="L83" s="653"/>
      <c r="M83" s="653"/>
      <c r="N83" s="653"/>
      <c r="O83" s="653"/>
      <c r="P83" s="653"/>
      <c r="Q83" s="640"/>
      <c r="R83" s="640"/>
      <c r="S83" s="640"/>
      <c r="T83" s="460"/>
      <c r="U83" s="640" t="s">
        <v>171</v>
      </c>
      <c r="V83" s="685">
        <f t="shared" si="4"/>
        <v>0</v>
      </c>
      <c r="W83" s="690"/>
      <c r="X83" s="690"/>
      <c r="Y83" s="690"/>
      <c r="Z83" s="690"/>
      <c r="AA83" s="690"/>
      <c r="AB83" s="690"/>
      <c r="AC83" s="690"/>
      <c r="AD83" s="690"/>
      <c r="AE83" s="690"/>
      <c r="AF83" s="690"/>
      <c r="AG83" s="690"/>
      <c r="AH83" s="690"/>
      <c r="AI83" s="690"/>
      <c r="AJ83" s="690"/>
      <c r="AK83" s="690"/>
      <c r="AL83" s="690"/>
      <c r="AM83" s="690"/>
      <c r="AN83" s="690"/>
      <c r="AO83" s="690"/>
      <c r="AP83" s="690"/>
    </row>
    <row r="84" spans="1:42" x14ac:dyDescent="0.25">
      <c r="A84" s="134">
        <f t="shared" si="3"/>
        <v>83</v>
      </c>
      <c r="B84" s="443" t="s">
        <v>4305</v>
      </c>
      <c r="C84" s="443" t="s">
        <v>3046</v>
      </c>
      <c r="D84" s="443"/>
      <c r="E84" s="443"/>
      <c r="F84" s="444" t="s">
        <v>3034</v>
      </c>
      <c r="G84" s="4"/>
      <c r="H84" s="640"/>
      <c r="I84" s="640" t="s">
        <v>619</v>
      </c>
      <c r="J84" s="653"/>
      <c r="K84" s="653"/>
      <c r="L84" s="653"/>
      <c r="M84" s="653"/>
      <c r="N84" s="653"/>
      <c r="O84" s="653"/>
      <c r="P84" s="653"/>
      <c r="Q84" s="640"/>
      <c r="R84" s="640"/>
      <c r="S84" s="640"/>
      <c r="T84" s="460"/>
      <c r="U84" s="640" t="s">
        <v>171</v>
      </c>
      <c r="V84" s="685">
        <f t="shared" si="4"/>
        <v>0</v>
      </c>
      <c r="W84" s="690"/>
      <c r="X84" s="690"/>
      <c r="Y84" s="690"/>
      <c r="Z84" s="690"/>
      <c r="AA84" s="690"/>
      <c r="AB84" s="690"/>
      <c r="AC84" s="690"/>
      <c r="AD84" s="690"/>
      <c r="AE84" s="690"/>
      <c r="AF84" s="690"/>
      <c r="AG84" s="690"/>
      <c r="AH84" s="690"/>
      <c r="AI84" s="690"/>
      <c r="AJ84" s="690"/>
      <c r="AK84" s="690"/>
      <c r="AL84" s="690"/>
      <c r="AM84" s="690"/>
      <c r="AN84" s="690"/>
      <c r="AO84" s="690"/>
      <c r="AP84" s="690"/>
    </row>
    <row r="85" spans="1:42" x14ac:dyDescent="0.25">
      <c r="A85" s="134">
        <f t="shared" si="3"/>
        <v>84</v>
      </c>
      <c r="B85" s="443" t="s">
        <v>2269</v>
      </c>
      <c r="C85" s="443" t="s">
        <v>2269</v>
      </c>
      <c r="D85" s="443"/>
      <c r="E85" s="340" t="s">
        <v>7123</v>
      </c>
      <c r="F85" s="444" t="s">
        <v>7122</v>
      </c>
      <c r="G85" s="4"/>
      <c r="H85" s="640"/>
      <c r="I85" s="640" t="s">
        <v>620</v>
      </c>
      <c r="J85" s="653" t="s">
        <v>6266</v>
      </c>
      <c r="K85" s="653" t="s">
        <v>6269</v>
      </c>
      <c r="L85" s="653"/>
      <c r="M85" s="653"/>
      <c r="N85" s="653"/>
      <c r="O85" s="653"/>
      <c r="P85" s="653"/>
      <c r="Q85" s="640"/>
      <c r="R85" s="640"/>
      <c r="S85" s="640"/>
      <c r="T85" s="460"/>
      <c r="U85" s="460"/>
      <c r="V85" s="685">
        <f t="shared" si="4"/>
        <v>0</v>
      </c>
      <c r="W85" s="690"/>
      <c r="X85" s="690"/>
      <c r="Y85" s="690"/>
      <c r="Z85" s="690"/>
      <c r="AA85" s="690"/>
      <c r="AB85" s="690"/>
      <c r="AC85" s="690"/>
      <c r="AD85" s="690"/>
      <c r="AE85" s="690"/>
      <c r="AF85" s="690"/>
      <c r="AG85" s="690"/>
      <c r="AH85" s="690"/>
      <c r="AI85" s="690"/>
      <c r="AJ85" s="690"/>
      <c r="AK85" s="690"/>
      <c r="AL85" s="690"/>
      <c r="AM85" s="690"/>
      <c r="AN85" s="690"/>
      <c r="AO85" s="690"/>
      <c r="AP85" s="690"/>
    </row>
    <row r="86" spans="1:42" x14ac:dyDescent="0.25">
      <c r="A86" s="134">
        <f t="shared" si="3"/>
        <v>85</v>
      </c>
      <c r="B86" s="443" t="s">
        <v>3058</v>
      </c>
      <c r="C86" s="443" t="s">
        <v>3058</v>
      </c>
      <c r="D86" s="443"/>
      <c r="E86" s="443"/>
      <c r="F86" s="444" t="s">
        <v>3034</v>
      </c>
      <c r="G86" s="4"/>
      <c r="H86" s="640"/>
      <c r="I86" s="640" t="s">
        <v>623</v>
      </c>
      <c r="J86" s="653"/>
      <c r="K86" s="653" t="s">
        <v>6269</v>
      </c>
      <c r="L86" s="653"/>
      <c r="M86" s="653"/>
      <c r="N86" s="653"/>
      <c r="O86" s="653"/>
      <c r="P86" s="653"/>
      <c r="Q86" s="640"/>
      <c r="R86" s="640"/>
      <c r="S86" s="640"/>
      <c r="T86" s="460"/>
      <c r="U86" s="460"/>
      <c r="V86" s="685">
        <f t="shared" si="4"/>
        <v>0</v>
      </c>
      <c r="W86" s="690"/>
      <c r="X86" s="690"/>
      <c r="Y86" s="690"/>
      <c r="Z86" s="690"/>
      <c r="AA86" s="690"/>
      <c r="AB86" s="690"/>
      <c r="AC86" s="690"/>
      <c r="AD86" s="690"/>
      <c r="AE86" s="690"/>
      <c r="AF86" s="690"/>
      <c r="AG86" s="690"/>
      <c r="AH86" s="690"/>
      <c r="AI86" s="690"/>
      <c r="AJ86" s="690"/>
      <c r="AK86" s="690"/>
      <c r="AL86" s="690"/>
      <c r="AM86" s="690"/>
      <c r="AN86" s="690"/>
      <c r="AO86" s="690"/>
      <c r="AP86" s="690"/>
    </row>
    <row r="87" spans="1:42" x14ac:dyDescent="0.25">
      <c r="A87" s="134">
        <f t="shared" si="3"/>
        <v>86</v>
      </c>
      <c r="B87" s="443" t="s">
        <v>3055</v>
      </c>
      <c r="C87" s="443" t="s">
        <v>3055</v>
      </c>
      <c r="D87" s="443"/>
      <c r="E87" s="443"/>
      <c r="F87" s="444" t="s">
        <v>3034</v>
      </c>
      <c r="G87" s="4"/>
      <c r="H87" s="640"/>
      <c r="I87" s="640" t="s">
        <v>620</v>
      </c>
      <c r="J87" s="653"/>
      <c r="K87" s="653"/>
      <c r="L87" s="653"/>
      <c r="M87" s="653"/>
      <c r="N87" s="653"/>
      <c r="O87" s="653"/>
      <c r="P87" s="653"/>
      <c r="Q87" s="640"/>
      <c r="R87" s="640"/>
      <c r="S87" s="640"/>
      <c r="T87" s="640" t="s">
        <v>171</v>
      </c>
      <c r="U87" s="460"/>
      <c r="V87" s="685">
        <f t="shared" si="4"/>
        <v>3</v>
      </c>
      <c r="W87" s="4" t="s">
        <v>3165</v>
      </c>
      <c r="X87" s="4" t="s">
        <v>3166</v>
      </c>
      <c r="Y87" s="4" t="s">
        <v>3167</v>
      </c>
      <c r="Z87" s="690"/>
      <c r="AA87" s="690"/>
      <c r="AB87" s="690"/>
      <c r="AC87" s="690"/>
      <c r="AD87" s="690"/>
      <c r="AE87" s="690"/>
      <c r="AF87" s="690"/>
      <c r="AG87" s="690"/>
      <c r="AH87" s="690"/>
      <c r="AI87" s="690"/>
      <c r="AJ87" s="690"/>
      <c r="AK87" s="690"/>
      <c r="AL87" s="690"/>
      <c r="AM87" s="690"/>
      <c r="AN87" s="690"/>
      <c r="AO87" s="690"/>
      <c r="AP87" s="690"/>
    </row>
    <row r="88" spans="1:42" x14ac:dyDescent="0.25">
      <c r="A88" s="134">
        <f t="shared" si="3"/>
        <v>87</v>
      </c>
      <c r="B88" s="443" t="s">
        <v>4409</v>
      </c>
      <c r="C88" s="443" t="s">
        <v>3115</v>
      </c>
      <c r="D88" s="443"/>
      <c r="E88" s="443"/>
      <c r="F88" s="444" t="s">
        <v>3034</v>
      </c>
      <c r="G88" s="4"/>
      <c r="H88" s="640"/>
      <c r="I88" s="640" t="s">
        <v>620</v>
      </c>
      <c r="J88" s="653"/>
      <c r="K88" s="653"/>
      <c r="L88" s="653"/>
      <c r="M88" s="653"/>
      <c r="N88" s="653"/>
      <c r="O88" s="653"/>
      <c r="P88" s="653"/>
      <c r="Q88" s="640"/>
      <c r="R88" s="640"/>
      <c r="S88" s="640"/>
      <c r="T88" s="460"/>
      <c r="U88" s="640" t="s">
        <v>171</v>
      </c>
      <c r="V88" s="685">
        <f t="shared" si="4"/>
        <v>0</v>
      </c>
      <c r="W88" s="690"/>
      <c r="X88" s="690"/>
      <c r="Y88" s="690"/>
      <c r="Z88" s="690"/>
      <c r="AA88" s="690"/>
      <c r="AB88" s="690"/>
      <c r="AC88" s="690"/>
      <c r="AD88" s="690"/>
      <c r="AE88" s="690"/>
      <c r="AF88" s="690"/>
      <c r="AG88" s="690"/>
      <c r="AH88" s="690"/>
      <c r="AI88" s="690"/>
      <c r="AJ88" s="690"/>
      <c r="AK88" s="690"/>
      <c r="AL88" s="690"/>
      <c r="AM88" s="690"/>
      <c r="AN88" s="690"/>
      <c r="AO88" s="690"/>
      <c r="AP88" s="690"/>
    </row>
    <row r="89" spans="1:42" x14ac:dyDescent="0.25">
      <c r="A89" s="134">
        <f t="shared" si="3"/>
        <v>88</v>
      </c>
      <c r="B89" s="443" t="s">
        <v>4410</v>
      </c>
      <c r="C89" s="443" t="s">
        <v>3115</v>
      </c>
      <c r="D89" s="443"/>
      <c r="E89" s="443"/>
      <c r="F89" s="444" t="s">
        <v>3034</v>
      </c>
      <c r="G89" s="4"/>
      <c r="H89" s="640"/>
      <c r="I89" s="640" t="s">
        <v>620</v>
      </c>
      <c r="J89" s="653"/>
      <c r="K89" s="653"/>
      <c r="L89" s="653"/>
      <c r="M89" s="653"/>
      <c r="N89" s="653"/>
      <c r="O89" s="653"/>
      <c r="P89" s="653"/>
      <c r="Q89" s="640"/>
      <c r="R89" s="640"/>
      <c r="S89" s="640"/>
      <c r="T89" s="460"/>
      <c r="U89" s="640" t="s">
        <v>171</v>
      </c>
      <c r="V89" s="685">
        <f t="shared" si="4"/>
        <v>0</v>
      </c>
      <c r="W89" s="690"/>
      <c r="X89" s="690"/>
      <c r="Y89" s="690"/>
      <c r="Z89" s="690"/>
      <c r="AA89" s="690"/>
      <c r="AB89" s="690"/>
      <c r="AC89" s="690"/>
      <c r="AD89" s="690"/>
      <c r="AE89" s="690"/>
      <c r="AF89" s="690"/>
      <c r="AG89" s="690"/>
      <c r="AH89" s="690"/>
      <c r="AI89" s="690"/>
      <c r="AJ89" s="690"/>
      <c r="AK89" s="690"/>
      <c r="AL89" s="690"/>
      <c r="AM89" s="690"/>
      <c r="AN89" s="690"/>
      <c r="AO89" s="690"/>
      <c r="AP89" s="690"/>
    </row>
    <row r="90" spans="1:42" x14ac:dyDescent="0.25">
      <c r="A90" s="134">
        <f t="shared" si="3"/>
        <v>89</v>
      </c>
      <c r="B90" s="443" t="s">
        <v>4411</v>
      </c>
      <c r="C90" s="443" t="s">
        <v>3115</v>
      </c>
      <c r="D90" s="443"/>
      <c r="E90" s="443"/>
      <c r="F90" s="444" t="s">
        <v>3034</v>
      </c>
      <c r="G90" s="4"/>
      <c r="H90" s="640"/>
      <c r="I90" s="640" t="s">
        <v>620</v>
      </c>
      <c r="J90" s="653"/>
      <c r="K90" s="653"/>
      <c r="L90" s="653"/>
      <c r="M90" s="653"/>
      <c r="N90" s="653"/>
      <c r="O90" s="653"/>
      <c r="P90" s="653"/>
      <c r="Q90" s="640"/>
      <c r="R90" s="640"/>
      <c r="S90" s="640"/>
      <c r="T90" s="460"/>
      <c r="U90" s="640" t="s">
        <v>171</v>
      </c>
      <c r="V90" s="685">
        <f t="shared" si="4"/>
        <v>0</v>
      </c>
      <c r="W90" s="690"/>
      <c r="X90" s="690"/>
      <c r="Y90" s="690"/>
      <c r="Z90" s="690"/>
      <c r="AA90" s="690"/>
      <c r="AB90" s="690"/>
      <c r="AC90" s="690"/>
      <c r="AD90" s="690"/>
      <c r="AE90" s="690"/>
      <c r="AF90" s="690"/>
      <c r="AG90" s="690"/>
      <c r="AH90" s="690"/>
      <c r="AI90" s="690"/>
      <c r="AJ90" s="690"/>
      <c r="AK90" s="690"/>
      <c r="AL90" s="690"/>
      <c r="AM90" s="690"/>
      <c r="AN90" s="690"/>
      <c r="AO90" s="690"/>
      <c r="AP90" s="690"/>
    </row>
    <row r="91" spans="1:42" x14ac:dyDescent="0.25">
      <c r="A91" s="134">
        <f t="shared" si="3"/>
        <v>90</v>
      </c>
      <c r="B91" s="443" t="s">
        <v>4412</v>
      </c>
      <c r="C91" s="443" t="s">
        <v>3115</v>
      </c>
      <c r="D91" s="443"/>
      <c r="E91" s="443"/>
      <c r="F91" s="444" t="s">
        <v>3034</v>
      </c>
      <c r="G91" s="4"/>
      <c r="H91" s="640"/>
      <c r="I91" s="640" t="s">
        <v>620</v>
      </c>
      <c r="J91" s="653"/>
      <c r="K91" s="653"/>
      <c r="L91" s="653"/>
      <c r="M91" s="653"/>
      <c r="N91" s="653"/>
      <c r="O91" s="653"/>
      <c r="P91" s="653"/>
      <c r="Q91" s="640"/>
      <c r="R91" s="640"/>
      <c r="S91" s="640"/>
      <c r="T91" s="460"/>
      <c r="U91" s="640" t="s">
        <v>171</v>
      </c>
      <c r="V91" s="685">
        <f t="shared" si="4"/>
        <v>0</v>
      </c>
      <c r="W91" s="690"/>
      <c r="X91" s="690"/>
      <c r="Y91" s="690"/>
      <c r="Z91" s="690"/>
      <c r="AA91" s="690"/>
      <c r="AB91" s="690"/>
      <c r="AC91" s="690"/>
      <c r="AD91" s="690"/>
      <c r="AE91" s="690"/>
      <c r="AF91" s="690"/>
      <c r="AG91" s="690"/>
      <c r="AH91" s="690"/>
      <c r="AI91" s="690"/>
      <c r="AJ91" s="690"/>
      <c r="AK91" s="690"/>
      <c r="AL91" s="690"/>
      <c r="AM91" s="690"/>
      <c r="AN91" s="690"/>
      <c r="AO91" s="690"/>
      <c r="AP91" s="690"/>
    </row>
    <row r="92" spans="1:42" x14ac:dyDescent="0.25">
      <c r="A92" s="134">
        <f t="shared" si="3"/>
        <v>91</v>
      </c>
      <c r="B92" s="443" t="s">
        <v>3194</v>
      </c>
      <c r="C92" s="443" t="s">
        <v>3194</v>
      </c>
      <c r="D92" s="443"/>
      <c r="E92" s="443" t="s">
        <v>7124</v>
      </c>
      <c r="F92" s="444" t="s">
        <v>4877</v>
      </c>
      <c r="G92" s="4"/>
      <c r="H92" s="640"/>
      <c r="I92" s="640" t="s">
        <v>624</v>
      </c>
      <c r="J92" s="653"/>
      <c r="K92" s="653" t="s">
        <v>6269</v>
      </c>
      <c r="L92" s="653"/>
      <c r="M92" s="653"/>
      <c r="N92" s="653">
        <v>1</v>
      </c>
      <c r="O92" s="653" t="s">
        <v>7358</v>
      </c>
      <c r="P92" s="653"/>
      <c r="Q92" s="640"/>
      <c r="R92" s="640"/>
      <c r="S92" s="640"/>
      <c r="T92" s="460"/>
      <c r="U92" s="460"/>
      <c r="V92" s="685">
        <f t="shared" si="4"/>
        <v>0</v>
      </c>
      <c r="W92" s="690"/>
      <c r="X92" s="690"/>
      <c r="Y92" s="690"/>
      <c r="Z92" s="690"/>
      <c r="AA92" s="690"/>
      <c r="AB92" s="690"/>
      <c r="AC92" s="690"/>
      <c r="AD92" s="690"/>
      <c r="AE92" s="690"/>
      <c r="AF92" s="690"/>
      <c r="AG92" s="690"/>
      <c r="AH92" s="690"/>
      <c r="AI92" s="690"/>
      <c r="AJ92" s="690"/>
      <c r="AK92" s="690"/>
      <c r="AL92" s="690"/>
      <c r="AM92" s="690"/>
      <c r="AN92" s="690"/>
      <c r="AO92" s="690"/>
      <c r="AP92" s="690"/>
    </row>
    <row r="93" spans="1:42" x14ac:dyDescent="0.25">
      <c r="A93" s="134">
        <f t="shared" si="3"/>
        <v>92</v>
      </c>
      <c r="B93" s="443" t="s">
        <v>2272</v>
      </c>
      <c r="C93" s="443" t="s">
        <v>2272</v>
      </c>
      <c r="D93" s="443"/>
      <c r="E93" s="340" t="s">
        <v>7125</v>
      </c>
      <c r="F93" s="444" t="s">
        <v>4878</v>
      </c>
      <c r="G93" s="4"/>
      <c r="H93" s="640"/>
      <c r="I93" s="640" t="s">
        <v>621</v>
      </c>
      <c r="J93" s="653"/>
      <c r="K93" s="653" t="s">
        <v>6269</v>
      </c>
      <c r="L93" s="653"/>
      <c r="M93" s="653"/>
      <c r="N93" s="653"/>
      <c r="O93" s="653"/>
      <c r="P93" s="653"/>
      <c r="Q93" s="640"/>
      <c r="R93" s="640"/>
      <c r="S93" s="640"/>
      <c r="T93" s="460"/>
      <c r="U93" s="460"/>
      <c r="V93" s="685">
        <f t="shared" si="4"/>
        <v>8</v>
      </c>
      <c r="W93" s="4" t="s">
        <v>3168</v>
      </c>
      <c r="X93" s="4" t="s">
        <v>3169</v>
      </c>
      <c r="Y93" s="4" t="s">
        <v>3170</v>
      </c>
      <c r="Z93" s="4" t="s">
        <v>3171</v>
      </c>
      <c r="AA93" s="4" t="s">
        <v>3172</v>
      </c>
      <c r="AB93" s="4" t="s">
        <v>3173</v>
      </c>
      <c r="AC93" s="4" t="s">
        <v>3174</v>
      </c>
      <c r="AD93" s="4" t="s">
        <v>3175</v>
      </c>
      <c r="AE93" s="690"/>
      <c r="AF93" s="690"/>
      <c r="AG93" s="690"/>
      <c r="AH93" s="690"/>
      <c r="AI93" s="690"/>
      <c r="AJ93" s="690"/>
      <c r="AK93" s="690"/>
      <c r="AL93" s="690"/>
      <c r="AM93" s="690"/>
      <c r="AN93" s="690"/>
      <c r="AO93" s="690"/>
      <c r="AP93" s="690"/>
    </row>
    <row r="94" spans="1:42" x14ac:dyDescent="0.25">
      <c r="A94" s="134">
        <f t="shared" si="3"/>
        <v>93</v>
      </c>
      <c r="B94" s="443" t="s">
        <v>2278</v>
      </c>
      <c r="C94" s="443" t="s">
        <v>2278</v>
      </c>
      <c r="D94" s="443"/>
      <c r="E94" s="443"/>
      <c r="F94" s="444" t="s">
        <v>3034</v>
      </c>
      <c r="G94" s="4"/>
      <c r="H94" s="640"/>
      <c r="I94" s="640" t="s">
        <v>624</v>
      </c>
      <c r="J94" s="653"/>
      <c r="K94" s="653"/>
      <c r="L94" s="653"/>
      <c r="M94" s="653"/>
      <c r="N94" s="653"/>
      <c r="O94" s="653"/>
      <c r="P94" s="653"/>
      <c r="Q94" s="640"/>
      <c r="R94" s="640"/>
      <c r="S94" s="640"/>
      <c r="T94" s="640" t="s">
        <v>171</v>
      </c>
      <c r="U94" s="460"/>
      <c r="V94" s="685">
        <f t="shared" si="4"/>
        <v>3</v>
      </c>
      <c r="W94" s="4" t="s">
        <v>3176</v>
      </c>
      <c r="X94" s="4" t="s">
        <v>3177</v>
      </c>
      <c r="Y94" s="4" t="s">
        <v>3178</v>
      </c>
      <c r="Z94" s="690"/>
      <c r="AA94" s="690"/>
      <c r="AB94" s="690"/>
      <c r="AC94" s="690"/>
      <c r="AD94" s="690"/>
      <c r="AE94" s="690"/>
      <c r="AF94" s="690"/>
      <c r="AG94" s="690"/>
      <c r="AH94" s="690"/>
      <c r="AI94" s="690"/>
      <c r="AJ94" s="690"/>
      <c r="AK94" s="690"/>
      <c r="AL94" s="690"/>
      <c r="AM94" s="690"/>
      <c r="AN94" s="690"/>
      <c r="AO94" s="690"/>
      <c r="AP94" s="690"/>
    </row>
    <row r="95" spans="1:42" x14ac:dyDescent="0.25">
      <c r="A95" s="134">
        <f t="shared" si="3"/>
        <v>94</v>
      </c>
      <c r="B95" s="443" t="s">
        <v>4439</v>
      </c>
      <c r="C95" s="443" t="s">
        <v>3139</v>
      </c>
      <c r="D95" s="443"/>
      <c r="E95" s="443"/>
      <c r="F95" s="444" t="s">
        <v>3034</v>
      </c>
      <c r="G95" s="4"/>
      <c r="H95" s="640"/>
      <c r="I95" s="640" t="s">
        <v>624</v>
      </c>
      <c r="J95" s="653"/>
      <c r="K95" s="653"/>
      <c r="L95" s="653"/>
      <c r="M95" s="653"/>
      <c r="N95" s="653"/>
      <c r="O95" s="653"/>
      <c r="P95" s="653"/>
      <c r="Q95" s="640"/>
      <c r="R95" s="640"/>
      <c r="S95" s="640"/>
      <c r="T95" s="460"/>
      <c r="U95" s="640" t="s">
        <v>171</v>
      </c>
      <c r="V95" s="685">
        <f t="shared" si="4"/>
        <v>0</v>
      </c>
      <c r="W95" s="690"/>
      <c r="X95" s="690"/>
      <c r="Y95" s="690"/>
      <c r="Z95" s="690"/>
      <c r="AA95" s="690"/>
      <c r="AB95" s="690"/>
      <c r="AC95" s="690"/>
      <c r="AD95" s="690"/>
      <c r="AE95" s="690"/>
      <c r="AF95" s="690"/>
      <c r="AG95" s="690"/>
      <c r="AH95" s="690"/>
      <c r="AI95" s="690"/>
      <c r="AJ95" s="690"/>
      <c r="AK95" s="690"/>
      <c r="AL95" s="690"/>
      <c r="AM95" s="690"/>
      <c r="AN95" s="690"/>
      <c r="AO95" s="690"/>
      <c r="AP95" s="690"/>
    </row>
    <row r="96" spans="1:42" x14ac:dyDescent="0.25">
      <c r="A96" s="134">
        <f t="shared" si="3"/>
        <v>95</v>
      </c>
      <c r="B96" s="443" t="s">
        <v>4440</v>
      </c>
      <c r="C96" s="443" t="s">
        <v>3139</v>
      </c>
      <c r="D96" s="443"/>
      <c r="E96" s="443"/>
      <c r="F96" s="444" t="s">
        <v>3034</v>
      </c>
      <c r="G96" s="4"/>
      <c r="H96" s="640"/>
      <c r="I96" s="640" t="s">
        <v>624</v>
      </c>
      <c r="J96" s="653"/>
      <c r="K96" s="653"/>
      <c r="L96" s="653"/>
      <c r="M96" s="653"/>
      <c r="N96" s="653"/>
      <c r="O96" s="653"/>
      <c r="P96" s="653"/>
      <c r="Q96" s="640"/>
      <c r="R96" s="640"/>
      <c r="S96" s="640"/>
      <c r="T96" s="460"/>
      <c r="U96" s="640" t="s">
        <v>171</v>
      </c>
      <c r="V96" s="685">
        <f t="shared" si="4"/>
        <v>0</v>
      </c>
      <c r="W96" s="690"/>
      <c r="X96" s="690"/>
      <c r="Y96" s="690"/>
      <c r="Z96" s="690"/>
      <c r="AA96" s="690"/>
      <c r="AB96" s="690"/>
      <c r="AC96" s="690"/>
      <c r="AD96" s="690"/>
      <c r="AE96" s="690"/>
      <c r="AF96" s="690"/>
      <c r="AG96" s="690"/>
      <c r="AH96" s="690"/>
      <c r="AI96" s="690"/>
      <c r="AJ96" s="690"/>
      <c r="AK96" s="690"/>
      <c r="AL96" s="690"/>
      <c r="AM96" s="690"/>
      <c r="AN96" s="690"/>
      <c r="AO96" s="690"/>
      <c r="AP96" s="690"/>
    </row>
    <row r="97" spans="1:42" x14ac:dyDescent="0.25">
      <c r="A97" s="134">
        <f t="shared" si="3"/>
        <v>96</v>
      </c>
      <c r="B97" s="443" t="s">
        <v>4441</v>
      </c>
      <c r="C97" s="443" t="s">
        <v>3139</v>
      </c>
      <c r="D97" s="443"/>
      <c r="E97" s="443"/>
      <c r="F97" s="444" t="s">
        <v>3034</v>
      </c>
      <c r="G97" s="4"/>
      <c r="H97" s="640"/>
      <c r="I97" s="640" t="s">
        <v>624</v>
      </c>
      <c r="J97" s="653"/>
      <c r="K97" s="653"/>
      <c r="L97" s="653"/>
      <c r="M97" s="653"/>
      <c r="N97" s="653"/>
      <c r="O97" s="653"/>
      <c r="P97" s="653"/>
      <c r="Q97" s="640"/>
      <c r="R97" s="640"/>
      <c r="S97" s="640"/>
      <c r="T97" s="460"/>
      <c r="U97" s="640" t="s">
        <v>171</v>
      </c>
      <c r="V97" s="685">
        <f t="shared" si="4"/>
        <v>0</v>
      </c>
      <c r="W97" s="690"/>
      <c r="X97" s="690"/>
      <c r="Y97" s="690"/>
      <c r="Z97" s="690"/>
      <c r="AA97" s="690"/>
      <c r="AB97" s="690"/>
      <c r="AC97" s="690"/>
      <c r="AD97" s="690"/>
      <c r="AE97" s="690"/>
      <c r="AF97" s="690"/>
      <c r="AG97" s="690"/>
      <c r="AH97" s="690"/>
      <c r="AI97" s="690"/>
      <c r="AJ97" s="690"/>
      <c r="AK97" s="690"/>
      <c r="AL97" s="690"/>
      <c r="AM97" s="690"/>
      <c r="AN97" s="690"/>
      <c r="AO97" s="690"/>
      <c r="AP97" s="690"/>
    </row>
    <row r="98" spans="1:42" x14ac:dyDescent="0.25">
      <c r="A98" s="134">
        <f t="shared" si="3"/>
        <v>97</v>
      </c>
      <c r="B98" s="443" t="s">
        <v>4442</v>
      </c>
      <c r="C98" s="443" t="s">
        <v>3139</v>
      </c>
      <c r="D98" s="443"/>
      <c r="E98" s="443"/>
      <c r="F98" s="444" t="s">
        <v>3034</v>
      </c>
      <c r="G98" s="4"/>
      <c r="H98" s="640"/>
      <c r="I98" s="640" t="s">
        <v>624</v>
      </c>
      <c r="J98" s="653"/>
      <c r="K98" s="653"/>
      <c r="L98" s="653"/>
      <c r="M98" s="653"/>
      <c r="N98" s="653"/>
      <c r="O98" s="653"/>
      <c r="P98" s="653"/>
      <c r="Q98" s="640"/>
      <c r="R98" s="640"/>
      <c r="S98" s="640"/>
      <c r="T98" s="460"/>
      <c r="U98" s="640" t="s">
        <v>171</v>
      </c>
      <c r="V98" s="685">
        <f t="shared" si="4"/>
        <v>0</v>
      </c>
      <c r="W98" s="690"/>
      <c r="X98" s="690"/>
      <c r="Y98" s="690"/>
      <c r="Z98" s="690"/>
      <c r="AA98" s="690"/>
      <c r="AB98" s="690"/>
      <c r="AC98" s="690"/>
      <c r="AD98" s="690"/>
      <c r="AE98" s="690"/>
      <c r="AF98" s="690"/>
      <c r="AG98" s="690"/>
      <c r="AH98" s="690"/>
      <c r="AI98" s="690"/>
      <c r="AJ98" s="690"/>
      <c r="AK98" s="690"/>
      <c r="AL98" s="690"/>
      <c r="AM98" s="690"/>
      <c r="AN98" s="690"/>
      <c r="AO98" s="690"/>
      <c r="AP98" s="690"/>
    </row>
    <row r="99" spans="1:42" x14ac:dyDescent="0.25">
      <c r="A99" s="134">
        <f t="shared" ref="A99:A130" si="5">IF(B99="","",1+A98)</f>
        <v>98</v>
      </c>
      <c r="B99" s="443" t="s">
        <v>4443</v>
      </c>
      <c r="C99" s="443" t="s">
        <v>3139</v>
      </c>
      <c r="D99" s="443"/>
      <c r="E99" s="443"/>
      <c r="F99" s="444" t="s">
        <v>3034</v>
      </c>
      <c r="G99" s="4"/>
      <c r="H99" s="640"/>
      <c r="I99" s="640" t="s">
        <v>624</v>
      </c>
      <c r="J99" s="653"/>
      <c r="K99" s="653"/>
      <c r="L99" s="653"/>
      <c r="M99" s="653"/>
      <c r="N99" s="653"/>
      <c r="O99" s="653"/>
      <c r="P99" s="653"/>
      <c r="Q99" s="640"/>
      <c r="R99" s="640"/>
      <c r="S99" s="640"/>
      <c r="T99" s="460"/>
      <c r="U99" s="640" t="s">
        <v>171</v>
      </c>
      <c r="V99" s="685">
        <f t="shared" si="4"/>
        <v>0</v>
      </c>
      <c r="W99" s="690"/>
      <c r="X99" s="690"/>
      <c r="Y99" s="690"/>
      <c r="Z99" s="690"/>
      <c r="AA99" s="690"/>
      <c r="AB99" s="690"/>
      <c r="AC99" s="690"/>
      <c r="AD99" s="690"/>
      <c r="AE99" s="690"/>
      <c r="AF99" s="690"/>
      <c r="AG99" s="690"/>
      <c r="AH99" s="690"/>
      <c r="AI99" s="690"/>
      <c r="AJ99" s="690"/>
      <c r="AK99" s="690"/>
      <c r="AL99" s="690"/>
      <c r="AM99" s="690"/>
      <c r="AN99" s="690"/>
      <c r="AO99" s="690"/>
      <c r="AP99" s="690"/>
    </row>
    <row r="100" spans="1:42" x14ac:dyDescent="0.25">
      <c r="A100" s="134">
        <f t="shared" si="5"/>
        <v>99</v>
      </c>
      <c r="B100" s="443" t="s">
        <v>3060</v>
      </c>
      <c r="C100" s="443" t="s">
        <v>3060</v>
      </c>
      <c r="D100" s="443"/>
      <c r="E100" s="443"/>
      <c r="F100" s="444" t="s">
        <v>4742</v>
      </c>
      <c r="G100" s="4"/>
      <c r="H100" s="640"/>
      <c r="I100" s="640" t="s">
        <v>624</v>
      </c>
      <c r="J100" s="653"/>
      <c r="K100" s="653" t="s">
        <v>6269</v>
      </c>
      <c r="L100" s="653"/>
      <c r="M100" s="653"/>
      <c r="N100" s="653"/>
      <c r="O100" s="653"/>
      <c r="P100" s="653"/>
      <c r="Q100" s="640"/>
      <c r="R100" s="640"/>
      <c r="S100" s="640"/>
      <c r="T100" s="460"/>
      <c r="U100" s="460"/>
      <c r="V100" s="685">
        <f t="shared" si="4"/>
        <v>3</v>
      </c>
      <c r="W100" s="4" t="s">
        <v>3179</v>
      </c>
      <c r="X100" s="4" t="s">
        <v>3180</v>
      </c>
      <c r="Y100" s="4" t="s">
        <v>3181</v>
      </c>
      <c r="Z100" s="690"/>
      <c r="AA100" s="690"/>
      <c r="AB100" s="690"/>
      <c r="AC100" s="690"/>
      <c r="AD100" s="690"/>
      <c r="AE100" s="690"/>
      <c r="AF100" s="690"/>
      <c r="AG100" s="690"/>
      <c r="AH100" s="690"/>
      <c r="AI100" s="690"/>
      <c r="AJ100" s="690"/>
      <c r="AK100" s="690"/>
      <c r="AL100" s="690"/>
      <c r="AM100" s="690"/>
      <c r="AN100" s="690"/>
      <c r="AO100" s="690"/>
      <c r="AP100" s="690"/>
    </row>
    <row r="101" spans="1:42" x14ac:dyDescent="0.25">
      <c r="A101" s="134">
        <f t="shared" si="5"/>
        <v>100</v>
      </c>
      <c r="B101" s="443" t="s">
        <v>3123</v>
      </c>
      <c r="C101" s="443" t="s">
        <v>3123</v>
      </c>
      <c r="D101" s="443"/>
      <c r="E101" s="443" t="s">
        <v>7126</v>
      </c>
      <c r="F101" s="444" t="s">
        <v>4675</v>
      </c>
      <c r="G101" s="4"/>
      <c r="H101" s="640"/>
      <c r="I101" s="640" t="s">
        <v>620</v>
      </c>
      <c r="J101" s="653" t="s">
        <v>6266</v>
      </c>
      <c r="K101" s="653" t="s">
        <v>6269</v>
      </c>
      <c r="L101" s="653"/>
      <c r="M101" s="653"/>
      <c r="N101" s="653"/>
      <c r="O101" s="653"/>
      <c r="P101" s="653"/>
      <c r="Q101" s="640"/>
      <c r="R101" s="640"/>
      <c r="S101" s="640"/>
      <c r="T101" s="460"/>
      <c r="U101" s="460"/>
      <c r="V101" s="685">
        <f t="shared" si="4"/>
        <v>0</v>
      </c>
      <c r="W101" s="690"/>
      <c r="X101" s="690"/>
      <c r="Y101" s="690"/>
      <c r="Z101" s="690"/>
      <c r="AA101" s="690"/>
      <c r="AB101" s="690"/>
      <c r="AC101" s="690"/>
      <c r="AD101" s="690"/>
      <c r="AE101" s="690"/>
      <c r="AF101" s="690"/>
      <c r="AG101" s="690"/>
      <c r="AH101" s="690"/>
      <c r="AI101" s="690"/>
      <c r="AJ101" s="690"/>
      <c r="AK101" s="690"/>
      <c r="AL101" s="690"/>
      <c r="AM101" s="690"/>
      <c r="AN101" s="690"/>
      <c r="AO101" s="690"/>
      <c r="AP101" s="690"/>
    </row>
    <row r="102" spans="1:42" x14ac:dyDescent="0.25">
      <c r="A102" s="134">
        <f t="shared" si="5"/>
        <v>101</v>
      </c>
      <c r="B102" s="443" t="s">
        <v>3097</v>
      </c>
      <c r="C102" s="443" t="s">
        <v>3097</v>
      </c>
      <c r="D102" s="443"/>
      <c r="E102" s="443" t="s">
        <v>7127</v>
      </c>
      <c r="F102" s="444" t="s">
        <v>4592</v>
      </c>
      <c r="G102" s="4"/>
      <c r="H102" s="640"/>
      <c r="I102" s="640" t="s">
        <v>616</v>
      </c>
      <c r="J102" s="653" t="s">
        <v>6266</v>
      </c>
      <c r="K102" s="653" t="s">
        <v>6269</v>
      </c>
      <c r="L102" s="653"/>
      <c r="M102" s="653"/>
      <c r="N102" s="653"/>
      <c r="O102" s="653"/>
      <c r="P102" s="653"/>
      <c r="Q102" s="640"/>
      <c r="R102" s="640"/>
      <c r="S102" s="640"/>
      <c r="T102" s="460"/>
      <c r="U102" s="460"/>
      <c r="V102" s="685">
        <f t="shared" si="4"/>
        <v>0</v>
      </c>
      <c r="W102" s="690"/>
      <c r="X102" s="690"/>
      <c r="Y102" s="690"/>
      <c r="Z102" s="690"/>
      <c r="AA102" s="690"/>
      <c r="AB102" s="690"/>
      <c r="AC102" s="690"/>
      <c r="AD102" s="690"/>
      <c r="AE102" s="690"/>
      <c r="AF102" s="690"/>
      <c r="AG102" s="690"/>
      <c r="AH102" s="690"/>
      <c r="AI102" s="690"/>
      <c r="AJ102" s="690"/>
      <c r="AK102" s="690"/>
      <c r="AL102" s="690"/>
      <c r="AM102" s="690"/>
      <c r="AN102" s="690"/>
      <c r="AO102" s="690"/>
      <c r="AP102" s="690"/>
    </row>
    <row r="103" spans="1:42" x14ac:dyDescent="0.25">
      <c r="A103" s="134">
        <f t="shared" si="5"/>
        <v>102</v>
      </c>
      <c r="B103" s="443" t="s">
        <v>3099</v>
      </c>
      <c r="C103" s="443" t="s">
        <v>3099</v>
      </c>
      <c r="D103" s="443"/>
      <c r="E103" s="443" t="s">
        <v>7128</v>
      </c>
      <c r="F103" s="444" t="s">
        <v>4594</v>
      </c>
      <c r="G103" s="4" t="s">
        <v>7130</v>
      </c>
      <c r="H103" s="640"/>
      <c r="I103" s="640" t="s">
        <v>616</v>
      </c>
      <c r="J103" s="653"/>
      <c r="K103" s="653" t="s">
        <v>6269</v>
      </c>
      <c r="L103" s="653"/>
      <c r="M103" s="653"/>
      <c r="N103" s="653"/>
      <c r="O103" s="653"/>
      <c r="P103" s="653"/>
      <c r="Q103" s="640"/>
      <c r="R103" s="640"/>
      <c r="S103" s="640"/>
      <c r="T103" s="460"/>
      <c r="U103" s="460"/>
      <c r="V103" s="685">
        <f t="shared" si="4"/>
        <v>0</v>
      </c>
      <c r="W103" s="690"/>
      <c r="X103" s="690"/>
      <c r="Y103" s="690"/>
      <c r="Z103" s="690"/>
      <c r="AA103" s="690"/>
      <c r="AB103" s="690"/>
      <c r="AC103" s="690"/>
      <c r="AD103" s="690"/>
      <c r="AE103" s="690"/>
      <c r="AF103" s="690"/>
      <c r="AG103" s="690"/>
      <c r="AH103" s="690"/>
      <c r="AI103" s="690"/>
      <c r="AJ103" s="690"/>
      <c r="AK103" s="690"/>
      <c r="AL103" s="690"/>
      <c r="AM103" s="690"/>
      <c r="AN103" s="690"/>
      <c r="AO103" s="690"/>
      <c r="AP103" s="690"/>
    </row>
    <row r="104" spans="1:42" x14ac:dyDescent="0.25">
      <c r="A104" s="134">
        <f t="shared" si="5"/>
        <v>103</v>
      </c>
      <c r="B104" s="443" t="s">
        <v>3051</v>
      </c>
      <c r="C104" s="443" t="s">
        <v>3051</v>
      </c>
      <c r="D104" s="443"/>
      <c r="E104" s="443"/>
      <c r="F104" s="444" t="s">
        <v>3034</v>
      </c>
      <c r="G104" s="4"/>
      <c r="H104" s="640"/>
      <c r="I104" s="640" t="s">
        <v>616</v>
      </c>
      <c r="J104" s="653"/>
      <c r="K104" s="653"/>
      <c r="L104" s="653"/>
      <c r="M104" s="653"/>
      <c r="N104" s="653"/>
      <c r="O104" s="653"/>
      <c r="P104" s="653"/>
      <c r="Q104" s="640"/>
      <c r="R104" s="640"/>
      <c r="S104" s="640"/>
      <c r="T104" s="640" t="s">
        <v>171</v>
      </c>
      <c r="U104" s="460"/>
      <c r="V104" s="685">
        <f t="shared" si="4"/>
        <v>2</v>
      </c>
      <c r="W104" s="4" t="s">
        <v>3182</v>
      </c>
      <c r="X104" s="4" t="s">
        <v>3183</v>
      </c>
      <c r="Y104" s="690"/>
      <c r="Z104" s="690"/>
      <c r="AA104" s="690"/>
      <c r="AB104" s="690"/>
      <c r="AC104" s="690"/>
      <c r="AD104" s="690"/>
      <c r="AE104" s="690"/>
      <c r="AF104" s="690"/>
      <c r="AG104" s="690"/>
      <c r="AH104" s="690"/>
      <c r="AI104" s="690"/>
      <c r="AJ104" s="690"/>
      <c r="AK104" s="690"/>
      <c r="AL104" s="690"/>
      <c r="AM104" s="690"/>
      <c r="AN104" s="690"/>
      <c r="AO104" s="690"/>
      <c r="AP104" s="690"/>
    </row>
    <row r="105" spans="1:42" x14ac:dyDescent="0.25">
      <c r="A105" s="134">
        <f t="shared" si="5"/>
        <v>104</v>
      </c>
      <c r="B105" s="443" t="s">
        <v>4463</v>
      </c>
      <c r="C105" s="443" t="s">
        <v>4468</v>
      </c>
      <c r="D105" s="443"/>
      <c r="E105" s="443"/>
      <c r="F105" s="444" t="s">
        <v>3034</v>
      </c>
      <c r="G105" s="4"/>
      <c r="H105" s="640"/>
      <c r="I105" s="640" t="s">
        <v>616</v>
      </c>
      <c r="J105" s="653"/>
      <c r="K105" s="653"/>
      <c r="L105" s="653"/>
      <c r="M105" s="653"/>
      <c r="N105" s="653"/>
      <c r="O105" s="653"/>
      <c r="P105" s="653"/>
      <c r="Q105" s="640"/>
      <c r="R105" s="640"/>
      <c r="S105" s="640"/>
      <c r="T105" s="460"/>
      <c r="U105" s="640" t="s">
        <v>171</v>
      </c>
      <c r="V105" s="685">
        <f t="shared" si="4"/>
        <v>0</v>
      </c>
      <c r="W105" s="690"/>
      <c r="X105" s="690"/>
      <c r="Y105" s="690"/>
      <c r="Z105" s="690"/>
      <c r="AA105" s="690"/>
      <c r="AB105" s="690"/>
      <c r="AC105" s="690"/>
      <c r="AD105" s="690"/>
      <c r="AE105" s="690"/>
      <c r="AF105" s="690"/>
      <c r="AG105" s="690"/>
      <c r="AH105" s="690"/>
      <c r="AI105" s="690"/>
      <c r="AJ105" s="690"/>
      <c r="AK105" s="690"/>
      <c r="AL105" s="690"/>
      <c r="AM105" s="690"/>
      <c r="AN105" s="690"/>
      <c r="AO105" s="690"/>
      <c r="AP105" s="690"/>
    </row>
    <row r="106" spans="1:42" x14ac:dyDescent="0.25">
      <c r="A106" s="134">
        <f t="shared" si="5"/>
        <v>105</v>
      </c>
      <c r="B106" s="443" t="s">
        <v>4464</v>
      </c>
      <c r="C106" s="443" t="s">
        <v>4468</v>
      </c>
      <c r="D106" s="443"/>
      <c r="E106" s="443"/>
      <c r="F106" s="444" t="s">
        <v>3034</v>
      </c>
      <c r="G106" s="4"/>
      <c r="H106" s="640"/>
      <c r="I106" s="640" t="s">
        <v>616</v>
      </c>
      <c r="J106" s="653"/>
      <c r="K106" s="653"/>
      <c r="L106" s="653"/>
      <c r="M106" s="653"/>
      <c r="N106" s="653"/>
      <c r="O106" s="653"/>
      <c r="P106" s="653"/>
      <c r="Q106" s="640"/>
      <c r="R106" s="640"/>
      <c r="S106" s="640"/>
      <c r="T106" s="460"/>
      <c r="U106" s="640" t="s">
        <v>171</v>
      </c>
      <c r="V106" s="685">
        <f t="shared" si="4"/>
        <v>0</v>
      </c>
      <c r="W106" s="690"/>
      <c r="X106" s="690"/>
      <c r="Y106" s="690"/>
      <c r="Z106" s="690"/>
      <c r="AA106" s="690"/>
      <c r="AB106" s="690"/>
      <c r="AC106" s="690"/>
      <c r="AD106" s="690"/>
      <c r="AE106" s="690"/>
      <c r="AF106" s="690"/>
      <c r="AG106" s="690"/>
      <c r="AH106" s="690"/>
      <c r="AI106" s="690"/>
      <c r="AJ106" s="690"/>
      <c r="AK106" s="690"/>
      <c r="AL106" s="690"/>
      <c r="AM106" s="690"/>
      <c r="AN106" s="690"/>
      <c r="AO106" s="690"/>
      <c r="AP106" s="690"/>
    </row>
    <row r="107" spans="1:42" x14ac:dyDescent="0.25">
      <c r="A107" s="134">
        <f t="shared" si="5"/>
        <v>106</v>
      </c>
      <c r="B107" s="443" t="s">
        <v>4465</v>
      </c>
      <c r="C107" s="443" t="s">
        <v>4468</v>
      </c>
      <c r="D107" s="443"/>
      <c r="E107" s="443"/>
      <c r="F107" s="444" t="s">
        <v>3034</v>
      </c>
      <c r="G107" s="4"/>
      <c r="H107" s="640"/>
      <c r="I107" s="640" t="s">
        <v>616</v>
      </c>
      <c r="J107" s="653"/>
      <c r="K107" s="653"/>
      <c r="L107" s="653"/>
      <c r="M107" s="653"/>
      <c r="N107" s="653"/>
      <c r="O107" s="653"/>
      <c r="P107" s="653"/>
      <c r="Q107" s="640"/>
      <c r="R107" s="640"/>
      <c r="S107" s="640"/>
      <c r="T107" s="460"/>
      <c r="U107" s="640" t="s">
        <v>171</v>
      </c>
      <c r="V107" s="685">
        <f t="shared" si="4"/>
        <v>0</v>
      </c>
      <c r="W107" s="690"/>
      <c r="X107" s="690"/>
      <c r="Y107" s="690"/>
      <c r="Z107" s="690"/>
      <c r="AA107" s="690"/>
      <c r="AB107" s="690"/>
      <c r="AC107" s="690"/>
      <c r="AD107" s="690"/>
      <c r="AE107" s="690"/>
      <c r="AF107" s="690"/>
      <c r="AG107" s="690"/>
      <c r="AH107" s="690"/>
      <c r="AI107" s="690"/>
      <c r="AJ107" s="690"/>
      <c r="AK107" s="690"/>
      <c r="AL107" s="690"/>
      <c r="AM107" s="690"/>
      <c r="AN107" s="690"/>
      <c r="AO107" s="690"/>
      <c r="AP107" s="690"/>
    </row>
    <row r="108" spans="1:42" x14ac:dyDescent="0.25">
      <c r="A108" s="134">
        <f t="shared" si="5"/>
        <v>107</v>
      </c>
      <c r="B108" s="443" t="s">
        <v>4466</v>
      </c>
      <c r="C108" s="443" t="s">
        <v>4468</v>
      </c>
      <c r="D108" s="443"/>
      <c r="E108" s="443"/>
      <c r="F108" s="444" t="s">
        <v>3034</v>
      </c>
      <c r="G108" s="4"/>
      <c r="H108" s="640"/>
      <c r="I108" s="640" t="s">
        <v>616</v>
      </c>
      <c r="J108" s="653"/>
      <c r="K108" s="653"/>
      <c r="L108" s="653"/>
      <c r="M108" s="653"/>
      <c r="N108" s="653"/>
      <c r="O108" s="653"/>
      <c r="P108" s="653"/>
      <c r="Q108" s="640"/>
      <c r="R108" s="640"/>
      <c r="S108" s="640"/>
      <c r="T108" s="460"/>
      <c r="U108" s="640" t="s">
        <v>171</v>
      </c>
      <c r="V108" s="685">
        <f t="shared" si="4"/>
        <v>0</v>
      </c>
      <c r="W108" s="690"/>
      <c r="X108" s="690"/>
      <c r="Y108" s="690"/>
      <c r="Z108" s="690"/>
      <c r="AA108" s="690"/>
      <c r="AB108" s="690"/>
      <c r="AC108" s="690"/>
      <c r="AD108" s="690"/>
      <c r="AE108" s="690"/>
      <c r="AF108" s="690"/>
      <c r="AG108" s="690"/>
      <c r="AH108" s="690"/>
      <c r="AI108" s="690"/>
      <c r="AJ108" s="690"/>
      <c r="AK108" s="690"/>
      <c r="AL108" s="690"/>
      <c r="AM108" s="690"/>
      <c r="AN108" s="690"/>
      <c r="AO108" s="690"/>
      <c r="AP108" s="690"/>
    </row>
    <row r="109" spans="1:42" x14ac:dyDescent="0.25">
      <c r="A109" s="134">
        <f t="shared" si="5"/>
        <v>108</v>
      </c>
      <c r="B109" s="443" t="s">
        <v>4467</v>
      </c>
      <c r="C109" s="443" t="s">
        <v>4468</v>
      </c>
      <c r="D109" s="443"/>
      <c r="E109" s="443"/>
      <c r="F109" s="444" t="s">
        <v>3034</v>
      </c>
      <c r="G109" s="4"/>
      <c r="H109" s="640"/>
      <c r="I109" s="640" t="s">
        <v>616</v>
      </c>
      <c r="J109" s="653"/>
      <c r="K109" s="653"/>
      <c r="L109" s="653"/>
      <c r="M109" s="653"/>
      <c r="N109" s="653"/>
      <c r="O109" s="653"/>
      <c r="P109" s="653"/>
      <c r="Q109" s="640"/>
      <c r="R109" s="640"/>
      <c r="S109" s="640"/>
      <c r="T109" s="460"/>
      <c r="U109" s="640" t="s">
        <v>171</v>
      </c>
      <c r="V109" s="685">
        <f t="shared" si="4"/>
        <v>0</v>
      </c>
      <c r="W109" s="690"/>
      <c r="X109" s="690"/>
      <c r="Y109" s="690"/>
      <c r="Z109" s="690"/>
      <c r="AA109" s="690"/>
      <c r="AB109" s="690"/>
      <c r="AC109" s="690"/>
      <c r="AD109" s="690"/>
      <c r="AE109" s="690"/>
      <c r="AF109" s="690"/>
      <c r="AG109" s="690"/>
      <c r="AH109" s="690"/>
      <c r="AI109" s="690"/>
      <c r="AJ109" s="690"/>
      <c r="AK109" s="690"/>
      <c r="AL109" s="690"/>
      <c r="AM109" s="690"/>
      <c r="AN109" s="690"/>
      <c r="AO109" s="690"/>
      <c r="AP109" s="690"/>
    </row>
    <row r="110" spans="1:42" x14ac:dyDescent="0.25">
      <c r="A110" s="134">
        <f t="shared" si="5"/>
        <v>109</v>
      </c>
      <c r="B110" s="443" t="s">
        <v>3037</v>
      </c>
      <c r="C110" s="443" t="s">
        <v>3037</v>
      </c>
      <c r="D110" s="443"/>
      <c r="E110" s="443" t="s">
        <v>7196</v>
      </c>
      <c r="F110" s="444" t="s">
        <v>4701</v>
      </c>
      <c r="G110" s="4"/>
      <c r="H110" s="640"/>
      <c r="I110" s="640"/>
      <c r="J110" s="653"/>
      <c r="K110" s="653" t="s">
        <v>6270</v>
      </c>
      <c r="L110" s="653"/>
      <c r="M110" s="653" t="s">
        <v>7110</v>
      </c>
      <c r="N110" s="653"/>
      <c r="O110" s="653"/>
      <c r="P110" s="653"/>
      <c r="Q110" s="640"/>
      <c r="R110" s="640"/>
      <c r="S110" s="640"/>
      <c r="T110" s="460"/>
      <c r="U110" s="460"/>
      <c r="V110" s="685">
        <f t="shared" si="4"/>
        <v>0</v>
      </c>
      <c r="W110" s="690"/>
      <c r="X110" s="690"/>
      <c r="Y110" s="690"/>
      <c r="Z110" s="690"/>
      <c r="AA110" s="690"/>
      <c r="AB110" s="690"/>
      <c r="AC110" s="690"/>
      <c r="AD110" s="690"/>
      <c r="AE110" s="690"/>
      <c r="AF110" s="690"/>
      <c r="AG110" s="690"/>
      <c r="AH110" s="690"/>
      <c r="AI110" s="690"/>
      <c r="AJ110" s="690"/>
      <c r="AK110" s="690"/>
      <c r="AL110" s="690"/>
      <c r="AM110" s="690"/>
      <c r="AN110" s="690"/>
      <c r="AO110" s="690"/>
      <c r="AP110" s="690"/>
    </row>
    <row r="111" spans="1:42" x14ac:dyDescent="0.25">
      <c r="A111" s="134">
        <f t="shared" si="5"/>
        <v>110</v>
      </c>
      <c r="B111" s="443" t="s">
        <v>3119</v>
      </c>
      <c r="C111" s="443" t="s">
        <v>3119</v>
      </c>
      <c r="D111" s="443"/>
      <c r="E111" s="443" t="s">
        <v>7129</v>
      </c>
      <c r="F111" s="444" t="s">
        <v>4670</v>
      </c>
      <c r="G111" s="4" t="s">
        <v>7274</v>
      </c>
      <c r="H111" s="640"/>
      <c r="I111" s="640"/>
      <c r="J111" s="653"/>
      <c r="K111" s="653" t="s">
        <v>6269</v>
      </c>
      <c r="L111" s="653"/>
      <c r="M111" s="653"/>
      <c r="N111" s="653"/>
      <c r="O111" s="653"/>
      <c r="P111" s="653"/>
      <c r="Q111" s="640"/>
      <c r="R111" s="640"/>
      <c r="S111" s="640"/>
      <c r="T111" s="460"/>
      <c r="U111" s="460"/>
      <c r="V111" s="685">
        <f t="shared" si="4"/>
        <v>0</v>
      </c>
      <c r="W111" s="690"/>
      <c r="X111" s="690"/>
      <c r="Y111" s="690"/>
      <c r="Z111" s="690"/>
      <c r="AA111" s="690"/>
      <c r="AB111" s="690"/>
      <c r="AC111" s="690"/>
      <c r="AD111" s="690"/>
      <c r="AE111" s="690"/>
      <c r="AF111" s="690"/>
      <c r="AG111" s="690"/>
      <c r="AH111" s="690"/>
      <c r="AI111" s="690"/>
      <c r="AJ111" s="690"/>
      <c r="AK111" s="690"/>
      <c r="AL111" s="690"/>
      <c r="AM111" s="690"/>
      <c r="AN111" s="690"/>
      <c r="AO111" s="690"/>
      <c r="AP111" s="690"/>
    </row>
    <row r="112" spans="1:42" x14ac:dyDescent="0.25">
      <c r="A112" s="134">
        <f t="shared" si="5"/>
        <v>111</v>
      </c>
      <c r="B112" s="443" t="s">
        <v>2264</v>
      </c>
      <c r="C112" s="443" t="s">
        <v>2264</v>
      </c>
      <c r="D112" s="443"/>
      <c r="E112" s="443" t="s">
        <v>7197</v>
      </c>
      <c r="F112" s="444" t="s">
        <v>4879</v>
      </c>
      <c r="G112" s="4"/>
      <c r="H112" s="640"/>
      <c r="I112" s="640" t="s">
        <v>616</v>
      </c>
      <c r="J112" s="653" t="s">
        <v>6266</v>
      </c>
      <c r="K112" s="653" t="s">
        <v>6270</v>
      </c>
      <c r="L112" s="653"/>
      <c r="M112" s="653"/>
      <c r="N112" s="653"/>
      <c r="O112" s="653" t="s">
        <v>7358</v>
      </c>
      <c r="P112" s="653"/>
      <c r="Q112" s="640"/>
      <c r="R112" s="640"/>
      <c r="S112" s="640"/>
      <c r="T112" s="460"/>
      <c r="U112" s="460"/>
      <c r="V112" s="685">
        <f t="shared" si="4"/>
        <v>0</v>
      </c>
      <c r="W112" s="690"/>
      <c r="X112" s="690"/>
      <c r="Y112" s="690"/>
      <c r="Z112" s="690"/>
      <c r="AA112" s="690"/>
      <c r="AB112" s="690"/>
      <c r="AC112" s="690"/>
      <c r="AD112" s="690"/>
      <c r="AE112" s="690"/>
      <c r="AF112" s="690"/>
      <c r="AG112" s="690"/>
      <c r="AH112" s="690"/>
      <c r="AI112" s="690"/>
      <c r="AJ112" s="690"/>
      <c r="AK112" s="690"/>
      <c r="AL112" s="690"/>
      <c r="AM112" s="690"/>
      <c r="AN112" s="690"/>
      <c r="AO112" s="690"/>
      <c r="AP112" s="690"/>
    </row>
    <row r="113" spans="1:42" x14ac:dyDescent="0.25">
      <c r="A113" s="134">
        <f t="shared" si="5"/>
        <v>112</v>
      </c>
      <c r="B113" s="443" t="s">
        <v>2246</v>
      </c>
      <c r="C113" s="443" t="s">
        <v>2246</v>
      </c>
      <c r="D113" s="443"/>
      <c r="E113" s="443"/>
      <c r="F113" s="444" t="s">
        <v>3034</v>
      </c>
      <c r="G113" s="4"/>
      <c r="H113" s="640"/>
      <c r="I113" s="640" t="s">
        <v>621</v>
      </c>
      <c r="J113" s="653"/>
      <c r="K113" s="653"/>
      <c r="L113" s="653"/>
      <c r="M113" s="653"/>
      <c r="N113" s="653"/>
      <c r="O113" s="653"/>
      <c r="P113" s="653"/>
      <c r="Q113" s="640"/>
      <c r="R113" s="640"/>
      <c r="S113" s="640"/>
      <c r="T113" s="640" t="s">
        <v>171</v>
      </c>
      <c r="U113" s="460"/>
      <c r="V113" s="685">
        <f t="shared" si="4"/>
        <v>2</v>
      </c>
      <c r="W113" s="4" t="s">
        <v>3184</v>
      </c>
      <c r="X113" s="4" t="s">
        <v>3185</v>
      </c>
      <c r="Y113" s="690"/>
      <c r="Z113" s="690"/>
      <c r="AA113" s="690"/>
      <c r="AB113" s="690"/>
      <c r="AC113" s="690"/>
      <c r="AD113" s="690"/>
      <c r="AE113" s="690"/>
      <c r="AF113" s="690"/>
      <c r="AG113" s="690"/>
      <c r="AH113" s="690"/>
      <c r="AI113" s="690"/>
      <c r="AJ113" s="690"/>
      <c r="AK113" s="690"/>
      <c r="AL113" s="690"/>
      <c r="AM113" s="690"/>
      <c r="AN113" s="690"/>
      <c r="AO113" s="690"/>
      <c r="AP113" s="690"/>
    </row>
    <row r="114" spans="1:42" x14ac:dyDescent="0.25">
      <c r="A114" s="134">
        <f t="shared" si="5"/>
        <v>113</v>
      </c>
      <c r="B114" s="443" t="s">
        <v>4444</v>
      </c>
      <c r="C114" s="443" t="s">
        <v>3040</v>
      </c>
      <c r="D114" s="443"/>
      <c r="E114" s="443"/>
      <c r="F114" s="444" t="s">
        <v>3034</v>
      </c>
      <c r="G114" s="4"/>
      <c r="H114" s="640"/>
      <c r="I114" s="640" t="s">
        <v>621</v>
      </c>
      <c r="J114" s="653"/>
      <c r="K114" s="653"/>
      <c r="L114" s="653"/>
      <c r="M114" s="653"/>
      <c r="N114" s="653"/>
      <c r="O114" s="653"/>
      <c r="P114" s="653"/>
      <c r="Q114" s="640"/>
      <c r="R114" s="640"/>
      <c r="S114" s="640"/>
      <c r="T114" s="460"/>
      <c r="U114" s="640" t="s">
        <v>171</v>
      </c>
      <c r="V114" s="685">
        <f t="shared" si="4"/>
        <v>0</v>
      </c>
      <c r="W114" s="690"/>
      <c r="X114" s="690"/>
      <c r="Y114" s="690"/>
      <c r="Z114" s="690"/>
      <c r="AA114" s="690"/>
      <c r="AB114" s="690"/>
      <c r="AC114" s="690"/>
      <c r="AD114" s="690"/>
      <c r="AE114" s="690"/>
      <c r="AF114" s="690"/>
      <c r="AG114" s="690"/>
      <c r="AH114" s="690"/>
      <c r="AI114" s="690"/>
      <c r="AJ114" s="690"/>
      <c r="AK114" s="690"/>
      <c r="AL114" s="690"/>
      <c r="AM114" s="690"/>
      <c r="AN114" s="690"/>
      <c r="AO114" s="690"/>
      <c r="AP114" s="690"/>
    </row>
    <row r="115" spans="1:42" x14ac:dyDescent="0.25">
      <c r="A115" s="134">
        <f t="shared" si="5"/>
        <v>114</v>
      </c>
      <c r="B115" s="443" t="s">
        <v>4445</v>
      </c>
      <c r="C115" s="443" t="s">
        <v>3040</v>
      </c>
      <c r="D115" s="443"/>
      <c r="E115" s="443"/>
      <c r="F115" s="444" t="s">
        <v>3034</v>
      </c>
      <c r="G115" s="4"/>
      <c r="H115" s="640"/>
      <c r="I115" s="640" t="s">
        <v>621</v>
      </c>
      <c r="J115" s="653"/>
      <c r="K115" s="653"/>
      <c r="L115" s="653"/>
      <c r="M115" s="653"/>
      <c r="N115" s="653"/>
      <c r="O115" s="653"/>
      <c r="P115" s="653"/>
      <c r="Q115" s="640"/>
      <c r="R115" s="640"/>
      <c r="S115" s="640"/>
      <c r="T115" s="460"/>
      <c r="U115" s="640" t="s">
        <v>171</v>
      </c>
      <c r="V115" s="685">
        <f t="shared" si="4"/>
        <v>0</v>
      </c>
      <c r="W115" s="690"/>
      <c r="X115" s="690"/>
      <c r="Y115" s="690"/>
      <c r="Z115" s="690"/>
      <c r="AA115" s="690"/>
      <c r="AB115" s="690"/>
      <c r="AC115" s="690"/>
      <c r="AD115" s="690"/>
      <c r="AE115" s="690"/>
      <c r="AF115" s="690"/>
      <c r="AG115" s="690"/>
      <c r="AH115" s="690"/>
      <c r="AI115" s="690"/>
      <c r="AJ115" s="690"/>
      <c r="AK115" s="690"/>
      <c r="AL115" s="690"/>
      <c r="AM115" s="690"/>
      <c r="AN115" s="690"/>
      <c r="AO115" s="690"/>
      <c r="AP115" s="690"/>
    </row>
    <row r="116" spans="1:42" x14ac:dyDescent="0.25">
      <c r="A116" s="134">
        <f t="shared" si="5"/>
        <v>115</v>
      </c>
      <c r="B116" s="443" t="s">
        <v>4446</v>
      </c>
      <c r="C116" s="443" t="s">
        <v>3040</v>
      </c>
      <c r="D116" s="443"/>
      <c r="E116" s="443"/>
      <c r="F116" s="444" t="s">
        <v>3034</v>
      </c>
      <c r="G116" s="4"/>
      <c r="H116" s="640"/>
      <c r="I116" s="640" t="s">
        <v>621</v>
      </c>
      <c r="J116" s="653"/>
      <c r="K116" s="653"/>
      <c r="L116" s="653"/>
      <c r="M116" s="653"/>
      <c r="N116" s="653"/>
      <c r="O116" s="653"/>
      <c r="P116" s="653"/>
      <c r="Q116" s="640"/>
      <c r="R116" s="640"/>
      <c r="S116" s="640"/>
      <c r="T116" s="460"/>
      <c r="U116" s="640" t="s">
        <v>171</v>
      </c>
      <c r="V116" s="685">
        <f t="shared" si="4"/>
        <v>0</v>
      </c>
      <c r="W116" s="690"/>
      <c r="X116" s="690"/>
      <c r="Y116" s="690"/>
      <c r="Z116" s="690"/>
      <c r="AA116" s="690"/>
      <c r="AB116" s="690"/>
      <c r="AC116" s="690"/>
      <c r="AD116" s="690"/>
      <c r="AE116" s="690"/>
      <c r="AF116" s="690"/>
      <c r="AG116" s="690"/>
      <c r="AH116" s="690"/>
      <c r="AI116" s="690"/>
      <c r="AJ116" s="690"/>
      <c r="AK116" s="690"/>
      <c r="AL116" s="690"/>
      <c r="AM116" s="690"/>
      <c r="AN116" s="690"/>
      <c r="AO116" s="690"/>
      <c r="AP116" s="690"/>
    </row>
    <row r="117" spans="1:42" x14ac:dyDescent="0.25">
      <c r="A117" s="134">
        <f t="shared" si="5"/>
        <v>116</v>
      </c>
      <c r="B117" s="443" t="s">
        <v>4447</v>
      </c>
      <c r="C117" s="443" t="s">
        <v>3040</v>
      </c>
      <c r="D117" s="443"/>
      <c r="E117" s="443"/>
      <c r="F117" s="444" t="s">
        <v>3034</v>
      </c>
      <c r="G117" s="4"/>
      <c r="H117" s="640"/>
      <c r="I117" s="640" t="s">
        <v>621</v>
      </c>
      <c r="J117" s="653"/>
      <c r="K117" s="653"/>
      <c r="L117" s="653"/>
      <c r="M117" s="653"/>
      <c r="N117" s="653"/>
      <c r="O117" s="653"/>
      <c r="P117" s="653"/>
      <c r="Q117" s="640"/>
      <c r="R117" s="640"/>
      <c r="S117" s="640"/>
      <c r="T117" s="460"/>
      <c r="U117" s="640" t="s">
        <v>171</v>
      </c>
      <c r="V117" s="685">
        <f t="shared" si="4"/>
        <v>0</v>
      </c>
      <c r="W117" s="690"/>
      <c r="X117" s="690"/>
      <c r="Y117" s="690"/>
      <c r="Z117" s="690"/>
      <c r="AA117" s="690"/>
      <c r="AB117" s="690"/>
      <c r="AC117" s="690"/>
      <c r="AD117" s="690"/>
      <c r="AE117" s="690"/>
      <c r="AF117" s="690"/>
      <c r="AG117" s="690"/>
      <c r="AH117" s="690"/>
      <c r="AI117" s="690"/>
      <c r="AJ117" s="690"/>
      <c r="AK117" s="690"/>
      <c r="AL117" s="690"/>
      <c r="AM117" s="690"/>
      <c r="AN117" s="690"/>
      <c r="AO117" s="690"/>
      <c r="AP117" s="690"/>
    </row>
    <row r="118" spans="1:42" x14ac:dyDescent="0.25">
      <c r="A118" s="134">
        <f t="shared" si="5"/>
        <v>117</v>
      </c>
      <c r="B118" s="443" t="s">
        <v>2282</v>
      </c>
      <c r="C118" s="443" t="s">
        <v>2282</v>
      </c>
      <c r="D118" s="443"/>
      <c r="E118" s="443" t="s">
        <v>7198</v>
      </c>
      <c r="F118" s="444" t="s">
        <v>4588</v>
      </c>
      <c r="G118" s="4"/>
      <c r="H118" s="640"/>
      <c r="I118" s="640"/>
      <c r="J118" s="653" t="s">
        <v>6266</v>
      </c>
      <c r="K118" s="653" t="s">
        <v>6270</v>
      </c>
      <c r="L118" s="653"/>
      <c r="M118" s="653"/>
      <c r="N118" s="653"/>
      <c r="O118" s="653"/>
      <c r="P118" s="653"/>
      <c r="Q118" s="640"/>
      <c r="R118" s="640"/>
      <c r="S118" s="640"/>
      <c r="T118" s="460"/>
      <c r="U118" s="460"/>
      <c r="V118" s="685">
        <f t="shared" si="4"/>
        <v>0</v>
      </c>
      <c r="W118" s="690"/>
      <c r="X118" s="690"/>
      <c r="Y118" s="690"/>
      <c r="Z118" s="690"/>
      <c r="AA118" s="690"/>
      <c r="AB118" s="690"/>
      <c r="AC118" s="690"/>
      <c r="AD118" s="690"/>
      <c r="AE118" s="690"/>
      <c r="AF118" s="690"/>
      <c r="AG118" s="690"/>
      <c r="AH118" s="690"/>
      <c r="AI118" s="690"/>
      <c r="AJ118" s="690"/>
      <c r="AK118" s="690"/>
      <c r="AL118" s="690"/>
      <c r="AM118" s="690"/>
      <c r="AN118" s="690"/>
      <c r="AO118" s="690"/>
      <c r="AP118" s="690"/>
    </row>
    <row r="119" spans="1:42" x14ac:dyDescent="0.25">
      <c r="A119" s="134">
        <f t="shared" si="5"/>
        <v>118</v>
      </c>
      <c r="B119" s="443" t="s">
        <v>3096</v>
      </c>
      <c r="C119" s="443" t="s">
        <v>3096</v>
      </c>
      <c r="D119" s="443"/>
      <c r="E119" s="443" t="s">
        <v>7131</v>
      </c>
      <c r="F119" s="444" t="s">
        <v>4880</v>
      </c>
      <c r="G119" s="4"/>
      <c r="H119" s="640"/>
      <c r="I119" s="640" t="s">
        <v>616</v>
      </c>
      <c r="J119" s="653" t="s">
        <v>6266</v>
      </c>
      <c r="K119" s="653" t="s">
        <v>6269</v>
      </c>
      <c r="L119" s="653"/>
      <c r="M119" s="653"/>
      <c r="N119" s="653"/>
      <c r="O119" s="653" t="s">
        <v>7357</v>
      </c>
      <c r="P119" s="653"/>
      <c r="Q119" s="640"/>
      <c r="R119" s="640"/>
      <c r="S119" s="640"/>
      <c r="T119" s="460"/>
      <c r="U119" s="460"/>
      <c r="V119" s="685">
        <f t="shared" si="4"/>
        <v>0</v>
      </c>
      <c r="W119" s="690"/>
      <c r="X119" s="690"/>
      <c r="Y119" s="690"/>
      <c r="Z119" s="690"/>
      <c r="AA119" s="690"/>
      <c r="AB119" s="690"/>
      <c r="AC119" s="690"/>
      <c r="AD119" s="690"/>
      <c r="AE119" s="690"/>
      <c r="AF119" s="690"/>
      <c r="AG119" s="690"/>
      <c r="AH119" s="690"/>
      <c r="AI119" s="690"/>
      <c r="AJ119" s="690"/>
      <c r="AK119" s="690"/>
      <c r="AL119" s="690"/>
      <c r="AM119" s="690"/>
      <c r="AN119" s="690"/>
      <c r="AO119" s="690"/>
      <c r="AP119" s="690"/>
    </row>
    <row r="120" spans="1:42" x14ac:dyDescent="0.25">
      <c r="A120" s="134">
        <f t="shared" si="5"/>
        <v>119</v>
      </c>
      <c r="B120" s="443" t="s">
        <v>3132</v>
      </c>
      <c r="C120" s="443" t="s">
        <v>3132</v>
      </c>
      <c r="D120" s="443"/>
      <c r="E120" s="443" t="s">
        <v>7132</v>
      </c>
      <c r="F120" s="444" t="s">
        <v>4719</v>
      </c>
      <c r="G120" s="4"/>
      <c r="H120" s="640"/>
      <c r="I120" s="640"/>
      <c r="J120" s="653"/>
      <c r="K120" s="653" t="s">
        <v>6269</v>
      </c>
      <c r="L120" s="653"/>
      <c r="M120" s="653"/>
      <c r="N120" s="653"/>
      <c r="O120" s="653"/>
      <c r="P120" s="653"/>
      <c r="Q120" s="640"/>
      <c r="R120" s="640"/>
      <c r="S120" s="640"/>
      <c r="T120" s="460"/>
      <c r="U120" s="460"/>
      <c r="V120" s="685">
        <f t="shared" si="4"/>
        <v>0</v>
      </c>
      <c r="W120" s="690"/>
      <c r="X120" s="690"/>
      <c r="Y120" s="690"/>
      <c r="Z120" s="690"/>
      <c r="AA120" s="690"/>
      <c r="AB120" s="690"/>
      <c r="AC120" s="690"/>
      <c r="AD120" s="690"/>
      <c r="AE120" s="690"/>
      <c r="AF120" s="690"/>
      <c r="AG120" s="690"/>
      <c r="AH120" s="690"/>
      <c r="AI120" s="690"/>
      <c r="AJ120" s="690"/>
      <c r="AK120" s="690"/>
      <c r="AL120" s="690"/>
      <c r="AM120" s="690"/>
      <c r="AN120" s="690"/>
      <c r="AO120" s="690"/>
      <c r="AP120" s="690"/>
    </row>
    <row r="121" spans="1:42" x14ac:dyDescent="0.25">
      <c r="A121" s="134">
        <f t="shared" si="5"/>
        <v>120</v>
      </c>
      <c r="B121" s="443" t="s">
        <v>3057</v>
      </c>
      <c r="C121" s="443" t="s">
        <v>3057</v>
      </c>
      <c r="D121" s="443"/>
      <c r="E121" s="443"/>
      <c r="F121" s="444" t="s">
        <v>3034</v>
      </c>
      <c r="G121" s="4"/>
      <c r="H121" s="640"/>
      <c r="I121" s="640" t="s">
        <v>622</v>
      </c>
      <c r="J121" s="653"/>
      <c r="K121" s="653"/>
      <c r="L121" s="653"/>
      <c r="M121" s="653"/>
      <c r="N121" s="653"/>
      <c r="O121" s="653"/>
      <c r="P121" s="653"/>
      <c r="Q121" s="640"/>
      <c r="R121" s="640"/>
      <c r="S121" s="640"/>
      <c r="T121" s="640" t="s">
        <v>171</v>
      </c>
      <c r="U121" s="460"/>
      <c r="V121" s="685">
        <f t="shared" si="4"/>
        <v>4</v>
      </c>
      <c r="W121" s="4" t="s">
        <v>3186</v>
      </c>
      <c r="X121" s="4" t="s">
        <v>5244</v>
      </c>
      <c r="Y121" s="4" t="s">
        <v>3188</v>
      </c>
      <c r="Z121" s="4" t="s">
        <v>6982</v>
      </c>
      <c r="AA121" s="690"/>
      <c r="AB121" s="690"/>
      <c r="AC121" s="690"/>
      <c r="AD121" s="690"/>
      <c r="AE121" s="690"/>
      <c r="AF121" s="690"/>
      <c r="AG121" s="690"/>
      <c r="AH121" s="690"/>
      <c r="AI121" s="690"/>
      <c r="AJ121" s="690"/>
      <c r="AK121" s="690"/>
      <c r="AL121" s="690"/>
      <c r="AM121" s="690"/>
      <c r="AN121" s="690"/>
      <c r="AO121" s="690"/>
      <c r="AP121" s="690"/>
    </row>
    <row r="122" spans="1:42" x14ac:dyDescent="0.25">
      <c r="A122" s="134">
        <f t="shared" si="5"/>
        <v>121</v>
      </c>
      <c r="B122" s="443" t="s">
        <v>4448</v>
      </c>
      <c r="C122" s="443" t="s">
        <v>3131</v>
      </c>
      <c r="D122" s="443"/>
      <c r="E122" s="443"/>
      <c r="F122" s="444" t="s">
        <v>3034</v>
      </c>
      <c r="G122" s="4"/>
      <c r="H122" s="640"/>
      <c r="I122" s="640" t="s">
        <v>622</v>
      </c>
      <c r="J122" s="653"/>
      <c r="K122" s="653"/>
      <c r="L122" s="653"/>
      <c r="M122" s="653"/>
      <c r="N122" s="653"/>
      <c r="O122" s="653"/>
      <c r="P122" s="653"/>
      <c r="Q122" s="640"/>
      <c r="R122" s="640"/>
      <c r="S122" s="640"/>
      <c r="T122" s="460"/>
      <c r="U122" s="640" t="s">
        <v>171</v>
      </c>
      <c r="V122" s="685">
        <f t="shared" si="4"/>
        <v>0</v>
      </c>
      <c r="W122" s="690"/>
      <c r="X122" s="690"/>
      <c r="Y122" s="690"/>
      <c r="Z122" s="690"/>
      <c r="AA122" s="690"/>
      <c r="AB122" s="690"/>
      <c r="AC122" s="690"/>
      <c r="AD122" s="690"/>
      <c r="AE122" s="690"/>
      <c r="AF122" s="690"/>
      <c r="AG122" s="690"/>
      <c r="AH122" s="690"/>
      <c r="AI122" s="690"/>
      <c r="AJ122" s="690"/>
      <c r="AK122" s="690"/>
      <c r="AL122" s="690"/>
      <c r="AM122" s="690"/>
      <c r="AN122" s="690"/>
      <c r="AO122" s="690"/>
      <c r="AP122" s="690"/>
    </row>
    <row r="123" spans="1:42" x14ac:dyDescent="0.25">
      <c r="A123" s="134">
        <f t="shared" si="5"/>
        <v>122</v>
      </c>
      <c r="B123" s="443" t="s">
        <v>4449</v>
      </c>
      <c r="C123" s="443" t="s">
        <v>3131</v>
      </c>
      <c r="D123" s="443"/>
      <c r="E123" s="443"/>
      <c r="F123" s="444" t="s">
        <v>3034</v>
      </c>
      <c r="G123" s="4"/>
      <c r="H123" s="640"/>
      <c r="I123" s="640" t="s">
        <v>622</v>
      </c>
      <c r="J123" s="653"/>
      <c r="K123" s="653"/>
      <c r="L123" s="653"/>
      <c r="M123" s="653"/>
      <c r="N123" s="653"/>
      <c r="O123" s="653"/>
      <c r="P123" s="653"/>
      <c r="Q123" s="640"/>
      <c r="R123" s="640"/>
      <c r="S123" s="640"/>
      <c r="T123" s="460"/>
      <c r="U123" s="640" t="s">
        <v>171</v>
      </c>
      <c r="V123" s="685">
        <f t="shared" si="4"/>
        <v>0</v>
      </c>
      <c r="W123" s="690"/>
      <c r="X123" s="690"/>
      <c r="Y123" s="690"/>
      <c r="Z123" s="690"/>
      <c r="AA123" s="690"/>
      <c r="AB123" s="690"/>
      <c r="AC123" s="690"/>
      <c r="AD123" s="690"/>
      <c r="AE123" s="690"/>
      <c r="AF123" s="690"/>
      <c r="AG123" s="690"/>
      <c r="AH123" s="690"/>
      <c r="AI123" s="690"/>
      <c r="AJ123" s="690"/>
      <c r="AK123" s="690"/>
      <c r="AL123" s="690"/>
      <c r="AM123" s="690"/>
      <c r="AN123" s="690"/>
      <c r="AO123" s="690"/>
      <c r="AP123" s="690"/>
    </row>
    <row r="124" spans="1:42" x14ac:dyDescent="0.25">
      <c r="A124" s="134">
        <f t="shared" si="5"/>
        <v>123</v>
      </c>
      <c r="B124" s="443" t="s">
        <v>4450</v>
      </c>
      <c r="C124" s="443" t="s">
        <v>3131</v>
      </c>
      <c r="D124" s="443"/>
      <c r="E124" s="443"/>
      <c r="F124" s="444" t="s">
        <v>3034</v>
      </c>
      <c r="G124" s="4"/>
      <c r="H124" s="640"/>
      <c r="I124" s="640" t="s">
        <v>622</v>
      </c>
      <c r="J124" s="653"/>
      <c r="K124" s="653"/>
      <c r="L124" s="653"/>
      <c r="M124" s="653"/>
      <c r="N124" s="653"/>
      <c r="O124" s="653"/>
      <c r="P124" s="653"/>
      <c r="Q124" s="640"/>
      <c r="R124" s="640"/>
      <c r="S124" s="640"/>
      <c r="T124" s="460"/>
      <c r="U124" s="640" t="s">
        <v>171</v>
      </c>
      <c r="V124" s="685">
        <f t="shared" si="4"/>
        <v>0</v>
      </c>
      <c r="W124" s="690"/>
      <c r="X124" s="690"/>
      <c r="Y124" s="690"/>
      <c r="Z124" s="690"/>
      <c r="AA124" s="690"/>
      <c r="AB124" s="690"/>
      <c r="AC124" s="690"/>
      <c r="AD124" s="690"/>
      <c r="AE124" s="690"/>
      <c r="AF124" s="690"/>
      <c r="AG124" s="690"/>
      <c r="AH124" s="690"/>
      <c r="AI124" s="690"/>
      <c r="AJ124" s="690"/>
      <c r="AK124" s="690"/>
      <c r="AL124" s="690"/>
      <c r="AM124" s="690"/>
      <c r="AN124" s="690"/>
      <c r="AO124" s="690"/>
      <c r="AP124" s="690"/>
    </row>
    <row r="125" spans="1:42" x14ac:dyDescent="0.25">
      <c r="A125" s="134">
        <f t="shared" si="5"/>
        <v>124</v>
      </c>
      <c r="B125" s="443" t="s">
        <v>4451</v>
      </c>
      <c r="C125" s="443" t="s">
        <v>3131</v>
      </c>
      <c r="D125" s="443"/>
      <c r="E125" s="443"/>
      <c r="F125" s="444" t="s">
        <v>3034</v>
      </c>
      <c r="G125" s="4"/>
      <c r="H125" s="640"/>
      <c r="I125" s="640" t="s">
        <v>622</v>
      </c>
      <c r="J125" s="653"/>
      <c r="K125" s="653"/>
      <c r="L125" s="653"/>
      <c r="M125" s="653"/>
      <c r="N125" s="653"/>
      <c r="O125" s="653"/>
      <c r="P125" s="653"/>
      <c r="Q125" s="640"/>
      <c r="R125" s="640"/>
      <c r="S125" s="640"/>
      <c r="T125" s="460"/>
      <c r="U125" s="640" t="s">
        <v>171</v>
      </c>
      <c r="V125" s="685">
        <f t="shared" si="4"/>
        <v>0</v>
      </c>
      <c r="W125" s="690"/>
      <c r="X125" s="690"/>
      <c r="Y125" s="690"/>
      <c r="Z125" s="690"/>
      <c r="AA125" s="690"/>
      <c r="AB125" s="690"/>
      <c r="AC125" s="690"/>
      <c r="AD125" s="690"/>
      <c r="AE125" s="690"/>
      <c r="AF125" s="690"/>
      <c r="AG125" s="690"/>
      <c r="AH125" s="690"/>
      <c r="AI125" s="690"/>
      <c r="AJ125" s="690"/>
      <c r="AK125" s="690"/>
      <c r="AL125" s="690"/>
      <c r="AM125" s="690"/>
      <c r="AN125" s="690"/>
      <c r="AO125" s="690"/>
      <c r="AP125" s="690"/>
    </row>
    <row r="126" spans="1:42" x14ac:dyDescent="0.25">
      <c r="A126" s="134">
        <f t="shared" si="5"/>
        <v>125</v>
      </c>
      <c r="B126" s="443" t="s">
        <v>4452</v>
      </c>
      <c r="C126" s="443" t="s">
        <v>3131</v>
      </c>
      <c r="D126" s="443"/>
      <c r="E126" s="443"/>
      <c r="F126" s="444" t="s">
        <v>3034</v>
      </c>
      <c r="G126" s="4"/>
      <c r="H126" s="640"/>
      <c r="I126" s="640" t="s">
        <v>622</v>
      </c>
      <c r="J126" s="653"/>
      <c r="K126" s="653"/>
      <c r="L126" s="653"/>
      <c r="M126" s="653"/>
      <c r="N126" s="653"/>
      <c r="O126" s="653"/>
      <c r="P126" s="653"/>
      <c r="Q126" s="640"/>
      <c r="R126" s="640"/>
      <c r="S126" s="640"/>
      <c r="T126" s="460"/>
      <c r="U126" s="640" t="s">
        <v>171</v>
      </c>
      <c r="V126" s="685">
        <f t="shared" si="4"/>
        <v>0</v>
      </c>
      <c r="W126" s="690"/>
      <c r="X126" s="690"/>
      <c r="Y126" s="690"/>
      <c r="Z126" s="690"/>
      <c r="AA126" s="690"/>
      <c r="AB126" s="690"/>
      <c r="AC126" s="690"/>
      <c r="AD126" s="690"/>
      <c r="AE126" s="690"/>
      <c r="AF126" s="690"/>
      <c r="AG126" s="690"/>
      <c r="AH126" s="690"/>
      <c r="AI126" s="690"/>
      <c r="AJ126" s="690"/>
      <c r="AK126" s="690"/>
      <c r="AL126" s="690"/>
      <c r="AM126" s="690"/>
      <c r="AN126" s="690"/>
      <c r="AO126" s="690"/>
      <c r="AP126" s="690"/>
    </row>
    <row r="127" spans="1:42" x14ac:dyDescent="0.25">
      <c r="A127" s="134">
        <f t="shared" si="5"/>
        <v>126</v>
      </c>
      <c r="B127" s="443" t="s">
        <v>3049</v>
      </c>
      <c r="C127" s="443" t="s">
        <v>3049</v>
      </c>
      <c r="D127" s="443"/>
      <c r="E127" s="443"/>
      <c r="F127" s="444" t="s">
        <v>3034</v>
      </c>
      <c r="G127" s="4"/>
      <c r="H127" s="640"/>
      <c r="I127" s="640" t="s">
        <v>1110</v>
      </c>
      <c r="J127" s="653"/>
      <c r="K127" s="653"/>
      <c r="L127" s="653"/>
      <c r="M127" s="653"/>
      <c r="N127" s="653"/>
      <c r="O127" s="653"/>
      <c r="P127" s="653"/>
      <c r="Q127" s="640"/>
      <c r="R127" s="640"/>
      <c r="S127" s="640"/>
      <c r="T127" s="640" t="s">
        <v>171</v>
      </c>
      <c r="U127" s="460"/>
      <c r="V127" s="685">
        <f t="shared" si="4"/>
        <v>4</v>
      </c>
      <c r="W127" s="4" t="s">
        <v>3189</v>
      </c>
      <c r="X127" s="4" t="s">
        <v>3190</v>
      </c>
      <c r="Y127" s="4" t="s">
        <v>3191</v>
      </c>
      <c r="Z127" s="4" t="s">
        <v>3192</v>
      </c>
      <c r="AA127" s="690"/>
      <c r="AB127" s="690"/>
      <c r="AC127" s="690"/>
      <c r="AD127" s="690"/>
      <c r="AE127" s="690"/>
      <c r="AF127" s="690"/>
      <c r="AG127" s="690"/>
      <c r="AH127" s="690"/>
      <c r="AI127" s="690"/>
      <c r="AJ127" s="690"/>
      <c r="AK127" s="690"/>
      <c r="AL127" s="690"/>
      <c r="AM127" s="690"/>
      <c r="AN127" s="690"/>
      <c r="AO127" s="690"/>
      <c r="AP127" s="690"/>
    </row>
    <row r="128" spans="1:42" x14ac:dyDescent="0.25">
      <c r="A128" s="134">
        <f t="shared" si="5"/>
        <v>127</v>
      </c>
      <c r="B128" s="443" t="s">
        <v>4453</v>
      </c>
      <c r="C128" s="443" t="s">
        <v>3125</v>
      </c>
      <c r="D128" s="443"/>
      <c r="E128" s="443"/>
      <c r="F128" s="444" t="s">
        <v>3034</v>
      </c>
      <c r="G128" s="4"/>
      <c r="H128" s="640"/>
      <c r="I128" s="640" t="s">
        <v>1110</v>
      </c>
      <c r="J128" s="653"/>
      <c r="K128" s="653"/>
      <c r="L128" s="653"/>
      <c r="M128" s="653"/>
      <c r="N128" s="653"/>
      <c r="O128" s="653"/>
      <c r="P128" s="653"/>
      <c r="Q128" s="640"/>
      <c r="R128" s="640"/>
      <c r="S128" s="640"/>
      <c r="T128" s="460"/>
      <c r="U128" s="640" t="s">
        <v>171</v>
      </c>
      <c r="V128" s="685">
        <f t="shared" si="4"/>
        <v>0</v>
      </c>
      <c r="W128" s="690"/>
      <c r="X128" s="690"/>
      <c r="Y128" s="690"/>
      <c r="Z128" s="690"/>
      <c r="AA128" s="690"/>
      <c r="AB128" s="690"/>
      <c r="AC128" s="690"/>
      <c r="AD128" s="690"/>
      <c r="AE128" s="690"/>
      <c r="AF128" s="690"/>
      <c r="AG128" s="690"/>
      <c r="AH128" s="690"/>
      <c r="AI128" s="690"/>
      <c r="AJ128" s="690"/>
      <c r="AK128" s="690"/>
      <c r="AL128" s="690"/>
      <c r="AM128" s="690"/>
      <c r="AN128" s="690"/>
      <c r="AO128" s="690"/>
      <c r="AP128" s="690"/>
    </row>
    <row r="129" spans="1:42" x14ac:dyDescent="0.25">
      <c r="A129" s="134">
        <f t="shared" si="5"/>
        <v>128</v>
      </c>
      <c r="B129" s="443" t="s">
        <v>4454</v>
      </c>
      <c r="C129" s="443" t="s">
        <v>3125</v>
      </c>
      <c r="D129" s="443"/>
      <c r="E129" s="443"/>
      <c r="F129" s="444" t="s">
        <v>3034</v>
      </c>
      <c r="G129" s="4"/>
      <c r="H129" s="640"/>
      <c r="I129" s="640" t="s">
        <v>1110</v>
      </c>
      <c r="J129" s="653"/>
      <c r="K129" s="653"/>
      <c r="L129" s="653"/>
      <c r="M129" s="653"/>
      <c r="N129" s="653"/>
      <c r="O129" s="653"/>
      <c r="P129" s="653"/>
      <c r="Q129" s="640"/>
      <c r="R129" s="640"/>
      <c r="S129" s="640"/>
      <c r="T129" s="460"/>
      <c r="U129" s="640" t="s">
        <v>171</v>
      </c>
      <c r="V129" s="685">
        <f t="shared" si="4"/>
        <v>0</v>
      </c>
      <c r="W129" s="690"/>
      <c r="X129" s="690"/>
      <c r="Y129" s="690"/>
      <c r="Z129" s="690"/>
      <c r="AA129" s="690"/>
      <c r="AB129" s="690"/>
      <c r="AC129" s="690"/>
      <c r="AD129" s="690"/>
      <c r="AE129" s="690"/>
      <c r="AF129" s="690"/>
      <c r="AG129" s="690"/>
      <c r="AH129" s="690"/>
      <c r="AI129" s="690"/>
      <c r="AJ129" s="690"/>
      <c r="AK129" s="690"/>
      <c r="AL129" s="690"/>
      <c r="AM129" s="690"/>
      <c r="AN129" s="690"/>
      <c r="AO129" s="690"/>
      <c r="AP129" s="690"/>
    </row>
    <row r="130" spans="1:42" x14ac:dyDescent="0.25">
      <c r="A130" s="134">
        <f t="shared" si="5"/>
        <v>129</v>
      </c>
      <c r="B130" s="443" t="s">
        <v>4455</v>
      </c>
      <c r="C130" s="443" t="s">
        <v>3125</v>
      </c>
      <c r="D130" s="443"/>
      <c r="E130" s="443"/>
      <c r="F130" s="444" t="s">
        <v>3034</v>
      </c>
      <c r="G130" s="4"/>
      <c r="H130" s="640"/>
      <c r="I130" s="640" t="s">
        <v>1110</v>
      </c>
      <c r="J130" s="653"/>
      <c r="K130" s="653"/>
      <c r="L130" s="653"/>
      <c r="M130" s="653"/>
      <c r="N130" s="653"/>
      <c r="O130" s="653"/>
      <c r="P130" s="653"/>
      <c r="Q130" s="640"/>
      <c r="R130" s="640"/>
      <c r="S130" s="640"/>
      <c r="T130" s="460"/>
      <c r="U130" s="640" t="s">
        <v>171</v>
      </c>
      <c r="V130" s="685">
        <f t="shared" si="4"/>
        <v>0</v>
      </c>
      <c r="W130" s="690"/>
      <c r="X130" s="690"/>
      <c r="Y130" s="690"/>
      <c r="Z130" s="690"/>
      <c r="AA130" s="690"/>
      <c r="AB130" s="690"/>
      <c r="AC130" s="690"/>
      <c r="AD130" s="690"/>
      <c r="AE130" s="690"/>
      <c r="AF130" s="690"/>
      <c r="AG130" s="690"/>
      <c r="AH130" s="690"/>
      <c r="AI130" s="690"/>
      <c r="AJ130" s="690"/>
      <c r="AK130" s="690"/>
      <c r="AL130" s="690"/>
      <c r="AM130" s="690"/>
      <c r="AN130" s="690"/>
      <c r="AO130" s="690"/>
      <c r="AP130" s="690"/>
    </row>
    <row r="131" spans="1:42" x14ac:dyDescent="0.25">
      <c r="A131" s="134">
        <f t="shared" ref="A131:A194" si="6">IF(B131="","",1+A130)</f>
        <v>130</v>
      </c>
      <c r="B131" s="443" t="s">
        <v>4456</v>
      </c>
      <c r="C131" s="443" t="s">
        <v>3125</v>
      </c>
      <c r="D131" s="443"/>
      <c r="E131" s="443"/>
      <c r="F131" s="444" t="s">
        <v>3034</v>
      </c>
      <c r="G131" s="4"/>
      <c r="H131" s="640"/>
      <c r="I131" s="640" t="s">
        <v>1110</v>
      </c>
      <c r="J131" s="653"/>
      <c r="K131" s="653"/>
      <c r="L131" s="653"/>
      <c r="M131" s="653"/>
      <c r="N131" s="653"/>
      <c r="O131" s="653"/>
      <c r="P131" s="653"/>
      <c r="Q131" s="640"/>
      <c r="R131" s="640"/>
      <c r="S131" s="640"/>
      <c r="T131" s="460"/>
      <c r="U131" s="640" t="s">
        <v>171</v>
      </c>
      <c r="V131" s="685">
        <f t="shared" ref="V131:V194" si="7">COUNTA(W131:AP131)</f>
        <v>0</v>
      </c>
      <c r="W131" s="690"/>
      <c r="X131" s="690"/>
      <c r="Y131" s="690"/>
      <c r="Z131" s="690"/>
      <c r="AA131" s="690"/>
      <c r="AB131" s="690"/>
      <c r="AC131" s="690"/>
      <c r="AD131" s="690"/>
      <c r="AE131" s="690"/>
      <c r="AF131" s="690"/>
      <c r="AG131" s="690"/>
      <c r="AH131" s="690"/>
      <c r="AI131" s="690"/>
      <c r="AJ131" s="690"/>
      <c r="AK131" s="690"/>
      <c r="AL131" s="690"/>
      <c r="AM131" s="690"/>
      <c r="AN131" s="690"/>
      <c r="AO131" s="690"/>
      <c r="AP131" s="690"/>
    </row>
    <row r="132" spans="1:42" x14ac:dyDescent="0.25">
      <c r="A132" s="134">
        <f t="shared" si="6"/>
        <v>131</v>
      </c>
      <c r="B132" s="443" t="s">
        <v>4457</v>
      </c>
      <c r="C132" s="443" t="s">
        <v>3125</v>
      </c>
      <c r="D132" s="443"/>
      <c r="E132" s="443"/>
      <c r="F132" s="444" t="s">
        <v>3034</v>
      </c>
      <c r="G132" s="4"/>
      <c r="H132" s="640"/>
      <c r="I132" s="640" t="s">
        <v>1110</v>
      </c>
      <c r="J132" s="653"/>
      <c r="K132" s="653"/>
      <c r="L132" s="653"/>
      <c r="M132" s="653"/>
      <c r="N132" s="653"/>
      <c r="O132" s="653"/>
      <c r="P132" s="653"/>
      <c r="Q132" s="640"/>
      <c r="R132" s="640"/>
      <c r="S132" s="640"/>
      <c r="T132" s="460"/>
      <c r="U132" s="640" t="s">
        <v>171</v>
      </c>
      <c r="V132" s="685">
        <f t="shared" si="7"/>
        <v>0</v>
      </c>
      <c r="W132" s="690"/>
      <c r="X132" s="690"/>
      <c r="Y132" s="690"/>
      <c r="Z132" s="690"/>
      <c r="AA132" s="690"/>
      <c r="AB132" s="690"/>
      <c r="AC132" s="690"/>
      <c r="AD132" s="690"/>
      <c r="AE132" s="690"/>
      <c r="AF132" s="690"/>
      <c r="AG132" s="690"/>
      <c r="AH132" s="690"/>
      <c r="AI132" s="690"/>
      <c r="AJ132" s="690"/>
      <c r="AK132" s="690"/>
      <c r="AL132" s="690"/>
      <c r="AM132" s="690"/>
      <c r="AN132" s="690"/>
      <c r="AO132" s="690"/>
      <c r="AP132" s="690"/>
    </row>
    <row r="133" spans="1:42" x14ac:dyDescent="0.25">
      <c r="A133" s="134">
        <f t="shared" si="6"/>
        <v>132</v>
      </c>
      <c r="B133" s="443" t="s">
        <v>2268</v>
      </c>
      <c r="C133" s="443" t="s">
        <v>2268</v>
      </c>
      <c r="D133" s="443"/>
      <c r="E133" s="443" t="s">
        <v>7199</v>
      </c>
      <c r="F133" s="444" t="s">
        <v>4881</v>
      </c>
      <c r="G133" s="4"/>
      <c r="H133" s="640"/>
      <c r="I133" s="640" t="s">
        <v>619</v>
      </c>
      <c r="J133" s="653" t="s">
        <v>6266</v>
      </c>
      <c r="K133" s="653" t="s">
        <v>6270</v>
      </c>
      <c r="L133" s="653"/>
      <c r="M133" s="653"/>
      <c r="N133" s="653"/>
      <c r="O133" s="653" t="s">
        <v>7357</v>
      </c>
      <c r="P133" s="653"/>
      <c r="Q133" s="640"/>
      <c r="R133" s="640"/>
      <c r="S133" s="640"/>
      <c r="T133" s="460"/>
      <c r="U133" s="460"/>
      <c r="V133" s="685">
        <f t="shared" si="7"/>
        <v>0</v>
      </c>
      <c r="W133" s="690"/>
      <c r="X133" s="690"/>
      <c r="Y133" s="690"/>
      <c r="Z133" s="690"/>
      <c r="AA133" s="690"/>
      <c r="AB133" s="690"/>
      <c r="AC133" s="690"/>
      <c r="AD133" s="690"/>
      <c r="AE133" s="690"/>
      <c r="AF133" s="690"/>
      <c r="AG133" s="690"/>
      <c r="AH133" s="690"/>
      <c r="AI133" s="690"/>
      <c r="AJ133" s="690"/>
      <c r="AK133" s="690"/>
      <c r="AL133" s="690"/>
      <c r="AM133" s="690"/>
      <c r="AN133" s="690"/>
      <c r="AO133" s="690"/>
      <c r="AP133" s="690"/>
    </row>
    <row r="134" spans="1:42" x14ac:dyDescent="0.25">
      <c r="A134" s="134">
        <f t="shared" si="6"/>
        <v>133</v>
      </c>
      <c r="B134" s="443" t="s">
        <v>3093</v>
      </c>
      <c r="C134" s="443" t="s">
        <v>3093</v>
      </c>
      <c r="D134" s="443"/>
      <c r="E134" s="443" t="s">
        <v>7133</v>
      </c>
      <c r="F134" s="444" t="s">
        <v>4882</v>
      </c>
      <c r="G134" s="4"/>
      <c r="H134" s="640"/>
      <c r="I134" s="640" t="s">
        <v>625</v>
      </c>
      <c r="J134" s="653"/>
      <c r="K134" s="653" t="s">
        <v>6269</v>
      </c>
      <c r="L134" s="653"/>
      <c r="M134" s="653"/>
      <c r="N134" s="653"/>
      <c r="O134" s="653" t="s">
        <v>7357</v>
      </c>
      <c r="P134" s="653"/>
      <c r="Q134" s="640"/>
      <c r="R134" s="640"/>
      <c r="S134" s="640"/>
      <c r="T134" s="460"/>
      <c r="U134" s="460"/>
      <c r="V134" s="685">
        <f t="shared" si="7"/>
        <v>0</v>
      </c>
      <c r="W134" s="690"/>
      <c r="X134" s="690"/>
      <c r="Y134" s="690"/>
      <c r="Z134" s="690"/>
      <c r="AA134" s="690"/>
      <c r="AB134" s="690"/>
      <c r="AC134" s="690"/>
      <c r="AD134" s="690"/>
      <c r="AE134" s="690"/>
      <c r="AF134" s="690"/>
      <c r="AG134" s="690"/>
      <c r="AH134" s="690"/>
      <c r="AI134" s="690"/>
      <c r="AJ134" s="690"/>
      <c r="AK134" s="690"/>
      <c r="AL134" s="690"/>
      <c r="AM134" s="690"/>
      <c r="AN134" s="690"/>
      <c r="AO134" s="690"/>
      <c r="AP134" s="690"/>
    </row>
    <row r="135" spans="1:42" x14ac:dyDescent="0.25">
      <c r="A135" s="134">
        <f t="shared" si="6"/>
        <v>134</v>
      </c>
      <c r="B135" s="443" t="s">
        <v>3134</v>
      </c>
      <c r="C135" s="443" t="s">
        <v>3134</v>
      </c>
      <c r="D135" s="443"/>
      <c r="E135" s="443" t="s">
        <v>7200</v>
      </c>
      <c r="F135" s="446" t="s">
        <v>4721</v>
      </c>
      <c r="G135" s="4" t="s">
        <v>7368</v>
      </c>
      <c r="H135" s="640"/>
      <c r="I135" s="640"/>
      <c r="J135" s="653"/>
      <c r="K135" s="653" t="s">
        <v>6269</v>
      </c>
      <c r="L135" s="653"/>
      <c r="M135" s="653"/>
      <c r="N135" s="653"/>
      <c r="O135" s="653"/>
      <c r="P135" s="653"/>
      <c r="Q135" s="640"/>
      <c r="R135" s="640"/>
      <c r="S135" s="640"/>
      <c r="T135" s="460"/>
      <c r="U135" s="460"/>
      <c r="V135" s="685">
        <f t="shared" si="7"/>
        <v>0</v>
      </c>
      <c r="W135" s="690"/>
      <c r="X135" s="690"/>
      <c r="Y135" s="690"/>
      <c r="Z135" s="690"/>
      <c r="AA135" s="690"/>
      <c r="AB135" s="690"/>
      <c r="AC135" s="690"/>
      <c r="AD135" s="690"/>
      <c r="AE135" s="690"/>
      <c r="AF135" s="690"/>
      <c r="AG135" s="690"/>
      <c r="AH135" s="690"/>
      <c r="AI135" s="690"/>
      <c r="AJ135" s="690"/>
      <c r="AK135" s="690"/>
      <c r="AL135" s="690"/>
      <c r="AM135" s="690"/>
      <c r="AN135" s="690"/>
      <c r="AO135" s="690"/>
      <c r="AP135" s="690"/>
    </row>
    <row r="136" spans="1:42" x14ac:dyDescent="0.25">
      <c r="A136" s="134">
        <f t="shared" si="6"/>
        <v>135</v>
      </c>
      <c r="B136" s="443" t="s">
        <v>2275</v>
      </c>
      <c r="C136" s="443" t="s">
        <v>2275</v>
      </c>
      <c r="D136" s="443"/>
      <c r="E136" s="443" t="s">
        <v>7201</v>
      </c>
      <c r="F136" s="444" t="s">
        <v>4883</v>
      </c>
      <c r="G136" s="4"/>
      <c r="H136" s="640"/>
      <c r="I136" s="640" t="s">
        <v>622</v>
      </c>
      <c r="J136" s="653" t="s">
        <v>6266</v>
      </c>
      <c r="K136" s="653" t="s">
        <v>6270</v>
      </c>
      <c r="L136" s="653"/>
      <c r="M136" s="653"/>
      <c r="N136" s="653"/>
      <c r="O136" s="653"/>
      <c r="P136" s="653"/>
      <c r="Q136" s="640"/>
      <c r="R136" s="640"/>
      <c r="S136" s="640"/>
      <c r="T136" s="460"/>
      <c r="U136" s="460"/>
      <c r="V136" s="685">
        <f t="shared" si="7"/>
        <v>0</v>
      </c>
      <c r="W136" s="690"/>
      <c r="X136" s="690"/>
      <c r="Y136" s="690"/>
      <c r="Z136" s="690"/>
      <c r="AA136" s="690"/>
      <c r="AB136" s="690"/>
      <c r="AC136" s="690"/>
      <c r="AD136" s="690"/>
      <c r="AE136" s="690"/>
      <c r="AF136" s="690"/>
      <c r="AG136" s="690"/>
      <c r="AH136" s="690"/>
      <c r="AI136" s="690"/>
      <c r="AJ136" s="690"/>
      <c r="AK136" s="690"/>
      <c r="AL136" s="690"/>
      <c r="AM136" s="690"/>
      <c r="AN136" s="690"/>
      <c r="AO136" s="690"/>
      <c r="AP136" s="690"/>
    </row>
    <row r="137" spans="1:42" x14ac:dyDescent="0.25">
      <c r="A137" s="134">
        <f t="shared" si="6"/>
        <v>136</v>
      </c>
      <c r="B137" s="443" t="s">
        <v>2310</v>
      </c>
      <c r="C137" s="443" t="s">
        <v>2310</v>
      </c>
      <c r="D137" s="443"/>
      <c r="E137" s="443" t="s">
        <v>7202</v>
      </c>
      <c r="F137" s="444" t="s">
        <v>7203</v>
      </c>
      <c r="G137" s="4"/>
      <c r="H137" s="640"/>
      <c r="I137" s="640" t="s">
        <v>1109</v>
      </c>
      <c r="J137" s="653"/>
      <c r="K137" s="653" t="s">
        <v>6270</v>
      </c>
      <c r="L137" s="653"/>
      <c r="M137" s="653"/>
      <c r="N137" s="653"/>
      <c r="O137" s="653"/>
      <c r="P137" s="653"/>
      <c r="Q137" s="640"/>
      <c r="R137" s="640"/>
      <c r="S137" s="640"/>
      <c r="T137" s="460"/>
      <c r="U137" s="460"/>
      <c r="V137" s="685">
        <f t="shared" si="7"/>
        <v>0</v>
      </c>
      <c r="W137" s="690"/>
      <c r="X137" s="690"/>
      <c r="Y137" s="690"/>
      <c r="Z137" s="690"/>
      <c r="AA137" s="690"/>
      <c r="AB137" s="690"/>
      <c r="AC137" s="690"/>
      <c r="AD137" s="690"/>
      <c r="AE137" s="690"/>
      <c r="AF137" s="690"/>
      <c r="AG137" s="690"/>
      <c r="AH137" s="690"/>
      <c r="AI137" s="690"/>
      <c r="AJ137" s="690"/>
      <c r="AK137" s="690"/>
      <c r="AL137" s="690"/>
      <c r="AM137" s="690"/>
      <c r="AN137" s="690"/>
      <c r="AO137" s="690"/>
      <c r="AP137" s="690"/>
    </row>
    <row r="138" spans="1:42" x14ac:dyDescent="0.25">
      <c r="A138" s="134">
        <f t="shared" si="6"/>
        <v>137</v>
      </c>
      <c r="B138" s="443" t="s">
        <v>2277</v>
      </c>
      <c r="C138" s="443" t="s">
        <v>2277</v>
      </c>
      <c r="D138" s="443"/>
      <c r="E138" s="443"/>
      <c r="F138" s="444" t="s">
        <v>3034</v>
      </c>
      <c r="G138" s="4"/>
      <c r="H138" s="640"/>
      <c r="I138" s="640" t="s">
        <v>623</v>
      </c>
      <c r="J138" s="653"/>
      <c r="K138" s="653"/>
      <c r="L138" s="653"/>
      <c r="M138" s="653"/>
      <c r="N138" s="653"/>
      <c r="O138" s="653"/>
      <c r="P138" s="653"/>
      <c r="Q138" s="640"/>
      <c r="R138" s="640"/>
      <c r="S138" s="640"/>
      <c r="T138" s="640" t="s">
        <v>171</v>
      </c>
      <c r="U138" s="460"/>
      <c r="V138" s="685">
        <f t="shared" si="7"/>
        <v>3</v>
      </c>
      <c r="W138" s="4" t="s">
        <v>3193</v>
      </c>
      <c r="X138" s="4" t="s">
        <v>2770</v>
      </c>
      <c r="Y138" s="4" t="s">
        <v>6453</v>
      </c>
      <c r="Z138" s="690"/>
      <c r="AA138" s="690"/>
      <c r="AB138" s="690"/>
      <c r="AC138" s="690"/>
      <c r="AD138" s="690"/>
      <c r="AE138" s="690"/>
      <c r="AF138" s="690"/>
      <c r="AG138" s="690"/>
      <c r="AH138" s="690"/>
      <c r="AI138" s="690"/>
      <c r="AJ138" s="690"/>
      <c r="AK138" s="690"/>
      <c r="AL138" s="690"/>
      <c r="AM138" s="690"/>
      <c r="AN138" s="690"/>
      <c r="AO138" s="690"/>
      <c r="AP138" s="690"/>
    </row>
    <row r="139" spans="1:42" x14ac:dyDescent="0.25">
      <c r="A139" s="134">
        <f t="shared" si="6"/>
        <v>138</v>
      </c>
      <c r="B139" s="443" t="s">
        <v>4458</v>
      </c>
      <c r="C139" s="443" t="s">
        <v>3138</v>
      </c>
      <c r="D139" s="443"/>
      <c r="E139" s="443"/>
      <c r="F139" s="444" t="s">
        <v>3034</v>
      </c>
      <c r="G139" s="4"/>
      <c r="H139" s="640"/>
      <c r="I139" s="640" t="s">
        <v>623</v>
      </c>
      <c r="J139" s="653"/>
      <c r="K139" s="653"/>
      <c r="L139" s="653"/>
      <c r="M139" s="653"/>
      <c r="N139" s="653"/>
      <c r="O139" s="653"/>
      <c r="P139" s="653"/>
      <c r="Q139" s="640"/>
      <c r="R139" s="640"/>
      <c r="S139" s="640"/>
      <c r="T139" s="460"/>
      <c r="U139" s="640" t="s">
        <v>171</v>
      </c>
      <c r="V139" s="685">
        <f t="shared" si="7"/>
        <v>0</v>
      </c>
      <c r="W139" s="690"/>
      <c r="X139" s="690"/>
      <c r="Y139" s="690"/>
      <c r="Z139" s="690"/>
      <c r="AA139" s="690"/>
      <c r="AB139" s="690"/>
      <c r="AC139" s="690"/>
      <c r="AD139" s="690"/>
      <c r="AE139" s="690"/>
      <c r="AF139" s="690"/>
      <c r="AG139" s="690"/>
      <c r="AH139" s="690"/>
      <c r="AI139" s="690"/>
      <c r="AJ139" s="690"/>
      <c r="AK139" s="690"/>
      <c r="AL139" s="690"/>
      <c r="AM139" s="690"/>
      <c r="AN139" s="690"/>
      <c r="AO139" s="690"/>
      <c r="AP139" s="690"/>
    </row>
    <row r="140" spans="1:42" x14ac:dyDescent="0.25">
      <c r="A140" s="134">
        <f t="shared" si="6"/>
        <v>139</v>
      </c>
      <c r="B140" s="443" t="s">
        <v>4459</v>
      </c>
      <c r="C140" s="443" t="s">
        <v>3138</v>
      </c>
      <c r="D140" s="443"/>
      <c r="E140" s="443"/>
      <c r="F140" s="444" t="s">
        <v>3034</v>
      </c>
      <c r="G140" s="4"/>
      <c r="H140" s="640"/>
      <c r="I140" s="640" t="s">
        <v>623</v>
      </c>
      <c r="J140" s="653"/>
      <c r="K140" s="653"/>
      <c r="L140" s="653"/>
      <c r="M140" s="653"/>
      <c r="N140" s="653"/>
      <c r="O140" s="653"/>
      <c r="P140" s="653"/>
      <c r="Q140" s="640"/>
      <c r="R140" s="640"/>
      <c r="S140" s="640"/>
      <c r="T140" s="460"/>
      <c r="U140" s="640" t="s">
        <v>171</v>
      </c>
      <c r="V140" s="685">
        <f t="shared" si="7"/>
        <v>0</v>
      </c>
      <c r="W140" s="690"/>
      <c r="X140" s="690"/>
      <c r="Y140" s="690"/>
      <c r="Z140" s="690"/>
      <c r="AA140" s="690"/>
      <c r="AB140" s="690"/>
      <c r="AC140" s="690"/>
      <c r="AD140" s="690"/>
      <c r="AE140" s="690"/>
      <c r="AF140" s="690"/>
      <c r="AG140" s="690"/>
      <c r="AH140" s="690"/>
      <c r="AI140" s="690"/>
      <c r="AJ140" s="690"/>
      <c r="AK140" s="690"/>
      <c r="AL140" s="690"/>
      <c r="AM140" s="690"/>
      <c r="AN140" s="690"/>
      <c r="AO140" s="690"/>
      <c r="AP140" s="690"/>
    </row>
    <row r="141" spans="1:42" x14ac:dyDescent="0.25">
      <c r="A141" s="134">
        <f t="shared" si="6"/>
        <v>140</v>
      </c>
      <c r="B141" s="443" t="s">
        <v>4460</v>
      </c>
      <c r="C141" s="443" t="s">
        <v>3138</v>
      </c>
      <c r="D141" s="443"/>
      <c r="E141" s="443"/>
      <c r="F141" s="444" t="s">
        <v>3034</v>
      </c>
      <c r="G141" s="4"/>
      <c r="H141" s="640"/>
      <c r="I141" s="640" t="s">
        <v>623</v>
      </c>
      <c r="J141" s="653"/>
      <c r="K141" s="653"/>
      <c r="L141" s="653"/>
      <c r="M141" s="653"/>
      <c r="N141" s="653"/>
      <c r="O141" s="653"/>
      <c r="P141" s="653"/>
      <c r="Q141" s="640"/>
      <c r="R141" s="640"/>
      <c r="S141" s="640"/>
      <c r="T141" s="460"/>
      <c r="U141" s="640" t="s">
        <v>171</v>
      </c>
      <c r="V141" s="685">
        <f t="shared" si="7"/>
        <v>0</v>
      </c>
      <c r="W141" s="690"/>
      <c r="X141" s="690"/>
      <c r="Y141" s="690"/>
      <c r="Z141" s="690"/>
      <c r="AA141" s="690"/>
      <c r="AB141" s="690"/>
      <c r="AC141" s="690"/>
      <c r="AD141" s="690"/>
      <c r="AE141" s="690"/>
      <c r="AF141" s="690"/>
      <c r="AG141" s="690"/>
      <c r="AH141" s="690"/>
      <c r="AI141" s="690"/>
      <c r="AJ141" s="690"/>
      <c r="AK141" s="690"/>
      <c r="AL141" s="690"/>
      <c r="AM141" s="690"/>
      <c r="AN141" s="690"/>
      <c r="AO141" s="690"/>
      <c r="AP141" s="690"/>
    </row>
    <row r="142" spans="1:42" x14ac:dyDescent="0.25">
      <c r="A142" s="134">
        <f t="shared" si="6"/>
        <v>141</v>
      </c>
      <c r="B142" s="443" t="s">
        <v>4461</v>
      </c>
      <c r="C142" s="443" t="s">
        <v>3138</v>
      </c>
      <c r="D142" s="443"/>
      <c r="E142" s="443"/>
      <c r="F142" s="444" t="s">
        <v>3034</v>
      </c>
      <c r="G142" s="4"/>
      <c r="H142" s="640"/>
      <c r="I142" s="640" t="s">
        <v>623</v>
      </c>
      <c r="J142" s="653"/>
      <c r="K142" s="653"/>
      <c r="L142" s="653"/>
      <c r="M142" s="653"/>
      <c r="N142" s="653"/>
      <c r="O142" s="653"/>
      <c r="P142" s="653"/>
      <c r="Q142" s="640"/>
      <c r="R142" s="640"/>
      <c r="S142" s="640"/>
      <c r="T142" s="460"/>
      <c r="U142" s="640" t="s">
        <v>171</v>
      </c>
      <c r="V142" s="685">
        <f t="shared" si="7"/>
        <v>0</v>
      </c>
      <c r="W142" s="690"/>
      <c r="X142" s="690"/>
      <c r="Y142" s="690"/>
      <c r="Z142" s="690"/>
      <c r="AA142" s="690"/>
      <c r="AB142" s="690"/>
      <c r="AC142" s="690"/>
      <c r="AD142" s="690"/>
      <c r="AE142" s="690"/>
      <c r="AF142" s="690"/>
      <c r="AG142" s="690"/>
      <c r="AH142" s="690"/>
      <c r="AI142" s="690"/>
      <c r="AJ142" s="690"/>
      <c r="AK142" s="690"/>
      <c r="AL142" s="690"/>
      <c r="AM142" s="690"/>
      <c r="AN142" s="690"/>
      <c r="AO142" s="690"/>
      <c r="AP142" s="690"/>
    </row>
    <row r="143" spans="1:42" x14ac:dyDescent="0.25">
      <c r="A143" s="134">
        <f t="shared" si="6"/>
        <v>142</v>
      </c>
      <c r="B143" s="443" t="s">
        <v>4462</v>
      </c>
      <c r="C143" s="443" t="s">
        <v>3138</v>
      </c>
      <c r="D143" s="443"/>
      <c r="E143" s="443"/>
      <c r="F143" s="444" t="s">
        <v>3034</v>
      </c>
      <c r="G143" s="4"/>
      <c r="H143" s="640"/>
      <c r="I143" s="640" t="s">
        <v>623</v>
      </c>
      <c r="J143" s="653"/>
      <c r="K143" s="653"/>
      <c r="L143" s="653"/>
      <c r="M143" s="653"/>
      <c r="N143" s="653"/>
      <c r="O143" s="653"/>
      <c r="P143" s="653"/>
      <c r="Q143" s="640"/>
      <c r="R143" s="640"/>
      <c r="S143" s="640"/>
      <c r="T143" s="460"/>
      <c r="U143" s="640" t="s">
        <v>171</v>
      </c>
      <c r="V143" s="685">
        <f t="shared" si="7"/>
        <v>0</v>
      </c>
      <c r="W143" s="690"/>
      <c r="X143" s="690"/>
      <c r="Y143" s="690"/>
      <c r="Z143" s="690"/>
      <c r="AA143" s="690"/>
      <c r="AB143" s="690"/>
      <c r="AC143" s="690"/>
      <c r="AD143" s="690"/>
      <c r="AE143" s="690"/>
      <c r="AF143" s="690"/>
      <c r="AG143" s="690"/>
      <c r="AH143" s="690"/>
      <c r="AI143" s="690"/>
      <c r="AJ143" s="690"/>
      <c r="AK143" s="690"/>
      <c r="AL143" s="690"/>
      <c r="AM143" s="690"/>
      <c r="AN143" s="690"/>
      <c r="AO143" s="690"/>
      <c r="AP143" s="690"/>
    </row>
    <row r="144" spans="1:42" x14ac:dyDescent="0.25">
      <c r="A144" s="134">
        <f t="shared" si="6"/>
        <v>143</v>
      </c>
      <c r="B144" s="443" t="s">
        <v>3137</v>
      </c>
      <c r="C144" s="443" t="s">
        <v>3137</v>
      </c>
      <c r="D144" s="443"/>
      <c r="E144" s="443"/>
      <c r="F144" s="444" t="s">
        <v>3034</v>
      </c>
      <c r="G144" s="4"/>
      <c r="H144" s="640"/>
      <c r="I144" s="640" t="s">
        <v>623</v>
      </c>
      <c r="J144" s="653"/>
      <c r="K144" s="653"/>
      <c r="L144" s="653"/>
      <c r="M144" s="653"/>
      <c r="N144" s="653"/>
      <c r="O144" s="653"/>
      <c r="P144" s="653"/>
      <c r="Q144" s="640"/>
      <c r="R144" s="640"/>
      <c r="S144" s="640"/>
      <c r="T144" s="460"/>
      <c r="U144" s="460"/>
      <c r="V144" s="685">
        <f t="shared" si="7"/>
        <v>0</v>
      </c>
      <c r="W144" s="690"/>
      <c r="X144" s="690"/>
      <c r="Y144" s="690"/>
      <c r="Z144" s="690"/>
      <c r="AA144" s="690"/>
      <c r="AB144" s="690"/>
      <c r="AC144" s="690"/>
      <c r="AD144" s="690"/>
      <c r="AE144" s="690"/>
      <c r="AF144" s="690"/>
      <c r="AG144" s="690"/>
      <c r="AH144" s="690"/>
      <c r="AI144" s="690"/>
      <c r="AJ144" s="690"/>
      <c r="AK144" s="690"/>
      <c r="AL144" s="690"/>
      <c r="AM144" s="690"/>
      <c r="AN144" s="690"/>
      <c r="AO144" s="690"/>
      <c r="AP144" s="690"/>
    </row>
    <row r="145" spans="1:42" x14ac:dyDescent="0.25">
      <c r="A145" s="134">
        <f t="shared" si="6"/>
        <v>144</v>
      </c>
      <c r="B145" s="443" t="s">
        <v>3092</v>
      </c>
      <c r="C145" s="443" t="s">
        <v>3092</v>
      </c>
      <c r="D145" s="443"/>
      <c r="E145" s="443" t="s">
        <v>7134</v>
      </c>
      <c r="F145" s="444" t="s">
        <v>5146</v>
      </c>
      <c r="G145" s="4"/>
      <c r="H145" s="640"/>
      <c r="I145" s="640" t="s">
        <v>625</v>
      </c>
      <c r="J145" s="653"/>
      <c r="K145" s="653" t="s">
        <v>6269</v>
      </c>
      <c r="L145" s="653"/>
      <c r="M145" s="653"/>
      <c r="N145" s="653"/>
      <c r="O145" s="653"/>
      <c r="P145" s="653"/>
      <c r="Q145" s="640"/>
      <c r="R145" s="640"/>
      <c r="S145" s="640"/>
      <c r="T145" s="460"/>
      <c r="U145" s="460"/>
      <c r="V145" s="685">
        <f t="shared" si="7"/>
        <v>0</v>
      </c>
      <c r="W145" s="690"/>
      <c r="X145" s="690"/>
      <c r="Y145" s="690"/>
      <c r="Z145" s="690"/>
      <c r="AA145" s="690"/>
      <c r="AB145" s="690"/>
      <c r="AC145" s="690"/>
      <c r="AD145" s="690"/>
      <c r="AE145" s="690"/>
      <c r="AF145" s="690"/>
      <c r="AG145" s="690"/>
      <c r="AH145" s="690"/>
      <c r="AI145" s="690"/>
      <c r="AJ145" s="690"/>
      <c r="AK145" s="690"/>
      <c r="AL145" s="690"/>
      <c r="AM145" s="690"/>
      <c r="AN145" s="690"/>
      <c r="AO145" s="690"/>
      <c r="AP145" s="690"/>
    </row>
    <row r="146" spans="1:42" x14ac:dyDescent="0.25">
      <c r="A146" s="134">
        <f t="shared" si="6"/>
        <v>145</v>
      </c>
      <c r="B146" s="443" t="s">
        <v>270</v>
      </c>
      <c r="C146" s="443" t="s">
        <v>270</v>
      </c>
      <c r="D146" s="443"/>
      <c r="E146" s="443"/>
      <c r="F146" s="444" t="s">
        <v>3034</v>
      </c>
      <c r="G146" s="4"/>
      <c r="H146" s="640"/>
      <c r="I146" s="640"/>
      <c r="J146" s="653"/>
      <c r="K146" s="653"/>
      <c r="L146" s="653"/>
      <c r="M146" s="653"/>
      <c r="N146" s="653"/>
      <c r="O146" s="653"/>
      <c r="P146" s="653"/>
      <c r="Q146" s="640"/>
      <c r="R146" s="640"/>
      <c r="S146" s="640"/>
      <c r="T146" s="460"/>
      <c r="U146" s="460"/>
      <c r="V146" s="685">
        <f t="shared" si="7"/>
        <v>0</v>
      </c>
      <c r="W146" s="690"/>
      <c r="X146" s="690"/>
      <c r="Y146" s="690"/>
      <c r="Z146" s="690"/>
      <c r="AA146" s="690"/>
      <c r="AB146" s="690"/>
      <c r="AC146" s="690"/>
      <c r="AD146" s="690"/>
      <c r="AE146" s="690"/>
      <c r="AF146" s="690"/>
      <c r="AG146" s="690"/>
      <c r="AH146" s="690"/>
      <c r="AI146" s="690"/>
      <c r="AJ146" s="690"/>
      <c r="AK146" s="690"/>
      <c r="AL146" s="690"/>
      <c r="AM146" s="690"/>
      <c r="AN146" s="690"/>
      <c r="AO146" s="690"/>
      <c r="AP146" s="690"/>
    </row>
    <row r="147" spans="1:42" x14ac:dyDescent="0.25">
      <c r="A147" s="134">
        <f t="shared" si="6"/>
        <v>146</v>
      </c>
      <c r="B147" s="443" t="s">
        <v>3117</v>
      </c>
      <c r="C147" s="443" t="s">
        <v>3117</v>
      </c>
      <c r="D147" s="443"/>
      <c r="E147" s="443" t="s">
        <v>7228</v>
      </c>
      <c r="F147" s="444" t="s">
        <v>4669</v>
      </c>
      <c r="G147" s="4"/>
      <c r="H147" s="640"/>
      <c r="I147" s="640"/>
      <c r="J147" s="653" t="s">
        <v>6266</v>
      </c>
      <c r="K147" s="653" t="s">
        <v>6270</v>
      </c>
      <c r="L147" s="653"/>
      <c r="M147" s="653"/>
      <c r="N147" s="653"/>
      <c r="O147" s="653"/>
      <c r="P147" s="653"/>
      <c r="Q147" s="640"/>
      <c r="R147" s="640"/>
      <c r="S147" s="640"/>
      <c r="T147" s="460"/>
      <c r="U147" s="460"/>
      <c r="V147" s="685">
        <f t="shared" si="7"/>
        <v>0</v>
      </c>
      <c r="W147" s="690"/>
      <c r="X147" s="690"/>
      <c r="Y147" s="690"/>
      <c r="Z147" s="690"/>
      <c r="AA147" s="690"/>
      <c r="AB147" s="690"/>
      <c r="AC147" s="690"/>
      <c r="AD147" s="690"/>
      <c r="AE147" s="690"/>
      <c r="AF147" s="690"/>
      <c r="AG147" s="690"/>
      <c r="AH147" s="690"/>
      <c r="AI147" s="690"/>
      <c r="AJ147" s="690"/>
      <c r="AK147" s="690"/>
      <c r="AL147" s="690"/>
      <c r="AM147" s="690"/>
      <c r="AN147" s="690"/>
      <c r="AO147" s="690"/>
      <c r="AP147" s="690"/>
    </row>
    <row r="148" spans="1:42" x14ac:dyDescent="0.25">
      <c r="A148" s="134">
        <f t="shared" si="6"/>
        <v>147</v>
      </c>
      <c r="B148" s="443" t="s">
        <v>3136</v>
      </c>
      <c r="C148" s="443" t="s">
        <v>3136</v>
      </c>
      <c r="D148" s="443"/>
      <c r="E148" s="443" t="s">
        <v>7135</v>
      </c>
      <c r="F148" s="444" t="s">
        <v>4884</v>
      </c>
      <c r="G148" s="4"/>
      <c r="H148" s="640"/>
      <c r="I148" s="640" t="s">
        <v>622</v>
      </c>
      <c r="J148" s="653"/>
      <c r="K148" s="653" t="s">
        <v>6269</v>
      </c>
      <c r="L148" s="653"/>
      <c r="M148" s="653"/>
      <c r="N148" s="653"/>
      <c r="O148" s="653" t="s">
        <v>7357</v>
      </c>
      <c r="P148" s="653"/>
      <c r="Q148" s="640"/>
      <c r="R148" s="640"/>
      <c r="S148" s="640"/>
      <c r="T148" s="460"/>
      <c r="U148" s="460"/>
      <c r="V148" s="685">
        <f t="shared" si="7"/>
        <v>0</v>
      </c>
      <c r="W148" s="690"/>
      <c r="X148" s="690"/>
      <c r="Y148" s="690"/>
      <c r="Z148" s="690"/>
      <c r="AA148" s="690"/>
      <c r="AB148" s="690"/>
      <c r="AC148" s="690"/>
      <c r="AD148" s="690"/>
      <c r="AE148" s="690"/>
      <c r="AF148" s="690"/>
      <c r="AG148" s="690"/>
      <c r="AH148" s="690"/>
      <c r="AI148" s="690"/>
      <c r="AJ148" s="690"/>
      <c r="AK148" s="690"/>
      <c r="AL148" s="690"/>
      <c r="AM148" s="690"/>
      <c r="AN148" s="690"/>
      <c r="AO148" s="690"/>
      <c r="AP148" s="690"/>
    </row>
    <row r="149" spans="1:42" x14ac:dyDescent="0.25">
      <c r="A149" s="134">
        <f t="shared" si="6"/>
        <v>148</v>
      </c>
      <c r="B149" s="443" t="s">
        <v>3113</v>
      </c>
      <c r="C149" s="443" t="s">
        <v>3113</v>
      </c>
      <c r="D149" s="443"/>
      <c r="E149" s="443" t="s">
        <v>7204</v>
      </c>
      <c r="F149" s="444" t="s">
        <v>4666</v>
      </c>
      <c r="G149" s="4"/>
      <c r="H149" s="640"/>
      <c r="I149" s="640" t="s">
        <v>620</v>
      </c>
      <c r="J149" s="653" t="s">
        <v>6266</v>
      </c>
      <c r="K149" s="653" t="s">
        <v>6270</v>
      </c>
      <c r="L149" s="653"/>
      <c r="M149" s="653" t="s">
        <v>7103</v>
      </c>
      <c r="N149" s="653"/>
      <c r="O149" s="653"/>
      <c r="P149" s="653"/>
      <c r="Q149" s="640"/>
      <c r="R149" s="640"/>
      <c r="S149" s="640"/>
      <c r="T149" s="460"/>
      <c r="U149" s="460"/>
      <c r="V149" s="685">
        <f t="shared" si="7"/>
        <v>0</v>
      </c>
      <c r="W149" s="690"/>
      <c r="X149" s="690"/>
      <c r="Y149" s="690"/>
      <c r="Z149" s="690"/>
      <c r="AA149" s="690"/>
      <c r="AB149" s="690"/>
      <c r="AC149" s="690"/>
      <c r="AD149" s="690"/>
      <c r="AE149" s="690"/>
      <c r="AF149" s="690"/>
      <c r="AG149" s="690"/>
      <c r="AH149" s="690"/>
      <c r="AI149" s="690"/>
      <c r="AJ149" s="690"/>
      <c r="AK149" s="690"/>
      <c r="AL149" s="690"/>
      <c r="AM149" s="690"/>
      <c r="AN149" s="690"/>
      <c r="AO149" s="690"/>
      <c r="AP149" s="690"/>
    </row>
    <row r="150" spans="1:42" x14ac:dyDescent="0.25">
      <c r="A150" s="134">
        <f t="shared" si="6"/>
        <v>149</v>
      </c>
      <c r="B150" s="443" t="s">
        <v>3105</v>
      </c>
      <c r="C150" s="443" t="s">
        <v>3105</v>
      </c>
      <c r="D150" s="443"/>
      <c r="E150" s="443"/>
      <c r="F150" s="444" t="s">
        <v>3034</v>
      </c>
      <c r="G150" s="4"/>
      <c r="H150" s="640"/>
      <c r="I150" s="640" t="s">
        <v>1109</v>
      </c>
      <c r="J150" s="653"/>
      <c r="K150" s="653" t="s">
        <v>6269</v>
      </c>
      <c r="L150" s="653"/>
      <c r="M150" s="653"/>
      <c r="N150" s="653"/>
      <c r="O150" s="653"/>
      <c r="P150" s="653"/>
      <c r="Q150" s="640"/>
      <c r="R150" s="640"/>
      <c r="S150" s="640"/>
      <c r="T150" s="460"/>
      <c r="U150" s="460"/>
      <c r="V150" s="685">
        <f t="shared" si="7"/>
        <v>0</v>
      </c>
      <c r="W150" s="690"/>
      <c r="X150" s="690"/>
      <c r="Y150" s="690"/>
      <c r="Z150" s="690"/>
      <c r="AA150" s="690"/>
      <c r="AB150" s="690"/>
      <c r="AC150" s="690"/>
      <c r="AD150" s="690"/>
      <c r="AE150" s="690"/>
      <c r="AF150" s="690"/>
      <c r="AG150" s="690"/>
      <c r="AH150" s="690"/>
      <c r="AI150" s="690"/>
      <c r="AJ150" s="690"/>
      <c r="AK150" s="690"/>
      <c r="AL150" s="690"/>
      <c r="AM150" s="690"/>
      <c r="AN150" s="690"/>
      <c r="AO150" s="690"/>
      <c r="AP150" s="690"/>
    </row>
    <row r="151" spans="1:42" x14ac:dyDescent="0.25">
      <c r="A151" s="134">
        <f t="shared" si="6"/>
        <v>150</v>
      </c>
      <c r="B151" s="443" t="s">
        <v>2276</v>
      </c>
      <c r="C151" s="443" t="s">
        <v>2276</v>
      </c>
      <c r="D151" s="443"/>
      <c r="E151" s="443" t="s">
        <v>7136</v>
      </c>
      <c r="F151" s="444" t="s">
        <v>4885</v>
      </c>
      <c r="G151" s="4" t="s">
        <v>7369</v>
      </c>
      <c r="H151" s="640"/>
      <c r="I151" s="640"/>
      <c r="J151" s="653"/>
      <c r="K151" s="653" t="s">
        <v>6269</v>
      </c>
      <c r="L151" s="653"/>
      <c r="M151" s="653"/>
      <c r="N151" s="653"/>
      <c r="O151" s="653"/>
      <c r="P151" s="653"/>
      <c r="Q151" s="640"/>
      <c r="R151" s="640"/>
      <c r="S151" s="640"/>
      <c r="T151" s="460"/>
      <c r="U151" s="460"/>
      <c r="V151" s="685">
        <f t="shared" si="7"/>
        <v>0</v>
      </c>
      <c r="W151" s="690"/>
      <c r="X151" s="690"/>
      <c r="Y151" s="690"/>
      <c r="Z151" s="690"/>
      <c r="AA151" s="690"/>
      <c r="AB151" s="690"/>
      <c r="AC151" s="690"/>
      <c r="AD151" s="690"/>
      <c r="AE151" s="690"/>
      <c r="AF151" s="690"/>
      <c r="AG151" s="690"/>
      <c r="AH151" s="690"/>
      <c r="AI151" s="690"/>
      <c r="AJ151" s="690"/>
      <c r="AK151" s="690"/>
      <c r="AL151" s="690"/>
      <c r="AM151" s="690"/>
      <c r="AN151" s="690"/>
      <c r="AO151" s="690"/>
      <c r="AP151" s="690"/>
    </row>
    <row r="152" spans="1:42" x14ac:dyDescent="0.25">
      <c r="A152" s="134">
        <f t="shared" si="6"/>
        <v>151</v>
      </c>
      <c r="B152" s="443" t="s">
        <v>4674</v>
      </c>
      <c r="C152" s="443" t="s">
        <v>3110</v>
      </c>
      <c r="D152" s="443"/>
      <c r="E152" s="443" t="s">
        <v>7137</v>
      </c>
      <c r="F152" s="444" t="s">
        <v>4673</v>
      </c>
      <c r="G152" s="4"/>
      <c r="H152" s="640"/>
      <c r="I152" s="640"/>
      <c r="J152" s="653"/>
      <c r="K152" s="653" t="s">
        <v>6269</v>
      </c>
      <c r="L152" s="653"/>
      <c r="M152" s="653"/>
      <c r="N152" s="653"/>
      <c r="O152" s="653"/>
      <c r="P152" s="653"/>
      <c r="Q152" s="640"/>
      <c r="R152" s="640"/>
      <c r="S152" s="640"/>
      <c r="T152" s="460"/>
      <c r="U152" s="460"/>
      <c r="V152" s="685">
        <f t="shared" si="7"/>
        <v>0</v>
      </c>
      <c r="W152" s="690"/>
      <c r="X152" s="690"/>
      <c r="Y152" s="690"/>
      <c r="Z152" s="690"/>
      <c r="AA152" s="690"/>
      <c r="AB152" s="690"/>
      <c r="AC152" s="690"/>
      <c r="AD152" s="690"/>
      <c r="AE152" s="690"/>
      <c r="AF152" s="690"/>
      <c r="AG152" s="690"/>
      <c r="AH152" s="690"/>
      <c r="AI152" s="690"/>
      <c r="AJ152" s="690"/>
      <c r="AK152" s="690"/>
      <c r="AL152" s="690"/>
      <c r="AM152" s="690"/>
      <c r="AN152" s="690"/>
      <c r="AO152" s="690"/>
      <c r="AP152" s="690"/>
    </row>
    <row r="153" spans="1:42" x14ac:dyDescent="0.25">
      <c r="A153" s="134">
        <f t="shared" si="6"/>
        <v>152</v>
      </c>
      <c r="B153" s="443" t="s">
        <v>4672</v>
      </c>
      <c r="C153" s="443" t="s">
        <v>3110</v>
      </c>
      <c r="D153" s="443"/>
      <c r="E153" s="443" t="s">
        <v>7138</v>
      </c>
      <c r="F153" s="444" t="s">
        <v>4643</v>
      </c>
      <c r="G153" s="4"/>
      <c r="H153" s="640"/>
      <c r="I153" s="640"/>
      <c r="J153" s="653"/>
      <c r="K153" s="653" t="s">
        <v>6269</v>
      </c>
      <c r="L153" s="653"/>
      <c r="M153" s="653"/>
      <c r="N153" s="653"/>
      <c r="O153" s="653"/>
      <c r="P153" s="653"/>
      <c r="Q153" s="640"/>
      <c r="R153" s="640"/>
      <c r="S153" s="640"/>
      <c r="T153" s="460"/>
      <c r="U153" s="460"/>
      <c r="V153" s="685">
        <f t="shared" si="7"/>
        <v>0</v>
      </c>
      <c r="W153" s="690"/>
      <c r="X153" s="690"/>
      <c r="Y153" s="690"/>
      <c r="Z153" s="690"/>
      <c r="AA153" s="690"/>
      <c r="AB153" s="690"/>
      <c r="AC153" s="690"/>
      <c r="AD153" s="690"/>
      <c r="AE153" s="690"/>
      <c r="AF153" s="690"/>
      <c r="AG153" s="690"/>
      <c r="AH153" s="690"/>
      <c r="AI153" s="690"/>
      <c r="AJ153" s="690"/>
      <c r="AK153" s="690"/>
      <c r="AL153" s="690"/>
      <c r="AM153" s="690"/>
      <c r="AN153" s="690"/>
      <c r="AO153" s="690"/>
      <c r="AP153" s="690"/>
    </row>
    <row r="154" spans="1:42" x14ac:dyDescent="0.25">
      <c r="A154" s="134">
        <f t="shared" si="6"/>
        <v>153</v>
      </c>
      <c r="B154" s="443" t="s">
        <v>3120</v>
      </c>
      <c r="C154" s="443" t="s">
        <v>3120</v>
      </c>
      <c r="D154" s="443"/>
      <c r="E154" s="443" t="s">
        <v>7139</v>
      </c>
      <c r="F154" s="444" t="s">
        <v>4671</v>
      </c>
      <c r="G154" s="4"/>
      <c r="H154" s="640"/>
      <c r="I154" s="640"/>
      <c r="J154" s="653"/>
      <c r="K154" s="653" t="s">
        <v>6269</v>
      </c>
      <c r="L154" s="653"/>
      <c r="M154" s="653"/>
      <c r="N154" s="653"/>
      <c r="O154" s="653"/>
      <c r="P154" s="653"/>
      <c r="Q154" s="640"/>
      <c r="R154" s="640"/>
      <c r="S154" s="640"/>
      <c r="T154" s="460"/>
      <c r="U154" s="460"/>
      <c r="V154" s="685">
        <f t="shared" si="7"/>
        <v>0</v>
      </c>
      <c r="W154" s="690"/>
      <c r="X154" s="690"/>
      <c r="Y154" s="690"/>
      <c r="Z154" s="690"/>
      <c r="AA154" s="690"/>
      <c r="AB154" s="690"/>
      <c r="AC154" s="690"/>
      <c r="AD154" s="690"/>
      <c r="AE154" s="690"/>
      <c r="AF154" s="690"/>
      <c r="AG154" s="690"/>
      <c r="AH154" s="690"/>
      <c r="AI154" s="690"/>
      <c r="AJ154" s="690"/>
      <c r="AK154" s="690"/>
      <c r="AL154" s="690"/>
      <c r="AM154" s="690"/>
      <c r="AN154" s="690"/>
      <c r="AO154" s="690"/>
      <c r="AP154" s="690"/>
    </row>
    <row r="155" spans="1:42" x14ac:dyDescent="0.25">
      <c r="A155" s="134">
        <f t="shared" si="6"/>
        <v>154</v>
      </c>
      <c r="B155" s="443" t="s">
        <v>4500</v>
      </c>
      <c r="C155" s="443" t="s">
        <v>3103</v>
      </c>
      <c r="D155" s="443"/>
      <c r="E155" s="443" t="s">
        <v>7140</v>
      </c>
      <c r="F155" s="444" t="s">
        <v>4587</v>
      </c>
      <c r="G155" s="4" t="s">
        <v>7370</v>
      </c>
      <c r="H155" s="640"/>
      <c r="I155" s="640" t="s">
        <v>616</v>
      </c>
      <c r="J155" s="653" t="s">
        <v>6266</v>
      </c>
      <c r="K155" s="653" t="s">
        <v>6269</v>
      </c>
      <c r="L155" s="653"/>
      <c r="M155" s="653"/>
      <c r="N155" s="653"/>
      <c r="O155" s="653"/>
      <c r="P155" s="653"/>
      <c r="Q155" s="640"/>
      <c r="R155" s="640"/>
      <c r="S155" s="640"/>
      <c r="T155" s="460"/>
      <c r="U155" s="460"/>
      <c r="V155" s="685">
        <f t="shared" si="7"/>
        <v>0</v>
      </c>
      <c r="W155" s="690"/>
      <c r="X155" s="690"/>
      <c r="Y155" s="690"/>
      <c r="Z155" s="690"/>
      <c r="AA155" s="690"/>
      <c r="AB155" s="690"/>
      <c r="AC155" s="690"/>
      <c r="AD155" s="690"/>
      <c r="AE155" s="690"/>
      <c r="AF155" s="690"/>
      <c r="AG155" s="690"/>
      <c r="AH155" s="690"/>
      <c r="AI155" s="690"/>
      <c r="AJ155" s="690"/>
      <c r="AK155" s="690"/>
      <c r="AL155" s="690"/>
      <c r="AM155" s="690"/>
      <c r="AN155" s="690"/>
      <c r="AO155" s="690"/>
      <c r="AP155" s="690"/>
    </row>
    <row r="156" spans="1:42" x14ac:dyDescent="0.25">
      <c r="A156" s="134">
        <f t="shared" si="6"/>
        <v>155</v>
      </c>
      <c r="B156" s="443" t="s">
        <v>2287</v>
      </c>
      <c r="C156" s="443" t="s">
        <v>2287</v>
      </c>
      <c r="D156" s="443"/>
      <c r="E156" s="443" t="s">
        <v>7141</v>
      </c>
      <c r="F156" s="444" t="s">
        <v>4833</v>
      </c>
      <c r="G156" s="4" t="s">
        <v>7371</v>
      </c>
      <c r="H156" s="640"/>
      <c r="I156" s="640"/>
      <c r="J156" s="653" t="s">
        <v>6266</v>
      </c>
      <c r="K156" s="653" t="s">
        <v>6269</v>
      </c>
      <c r="L156" s="653"/>
      <c r="M156" s="653"/>
      <c r="N156" s="653"/>
      <c r="O156" s="653"/>
      <c r="P156" s="653"/>
      <c r="Q156" s="640"/>
      <c r="R156" s="640"/>
      <c r="S156" s="640"/>
      <c r="T156" s="460"/>
      <c r="U156" s="460"/>
      <c r="V156" s="685">
        <f t="shared" si="7"/>
        <v>0</v>
      </c>
      <c r="W156" s="690"/>
      <c r="X156" s="690"/>
      <c r="Y156" s="690"/>
      <c r="Z156" s="690"/>
      <c r="AA156" s="690"/>
      <c r="AB156" s="690"/>
      <c r="AC156" s="690"/>
      <c r="AD156" s="690"/>
      <c r="AE156" s="690"/>
      <c r="AF156" s="690"/>
      <c r="AG156" s="690"/>
      <c r="AH156" s="690"/>
      <c r="AI156" s="690"/>
      <c r="AJ156" s="690"/>
      <c r="AK156" s="690"/>
      <c r="AL156" s="690"/>
      <c r="AM156" s="690"/>
      <c r="AN156" s="690"/>
      <c r="AO156" s="690"/>
      <c r="AP156" s="690"/>
    </row>
    <row r="157" spans="1:42" x14ac:dyDescent="0.25">
      <c r="A157" s="134">
        <f t="shared" si="6"/>
        <v>156</v>
      </c>
      <c r="B157" s="443" t="s">
        <v>3118</v>
      </c>
      <c r="C157" s="443" t="s">
        <v>3118</v>
      </c>
      <c r="D157" s="443"/>
      <c r="E157" s="443" t="s">
        <v>7142</v>
      </c>
      <c r="F157" s="444" t="s">
        <v>4663</v>
      </c>
      <c r="G157" s="4"/>
      <c r="H157" s="640"/>
      <c r="I157" s="640"/>
      <c r="J157" s="653" t="s">
        <v>6266</v>
      </c>
      <c r="K157" s="653" t="s">
        <v>6269</v>
      </c>
      <c r="L157" s="653"/>
      <c r="M157" s="653"/>
      <c r="N157" s="653"/>
      <c r="O157" s="653"/>
      <c r="P157" s="653"/>
      <c r="Q157" s="640"/>
      <c r="R157" s="640"/>
      <c r="S157" s="640"/>
      <c r="T157" s="460"/>
      <c r="U157" s="460"/>
      <c r="V157" s="685">
        <f t="shared" si="7"/>
        <v>0</v>
      </c>
      <c r="W157" s="690"/>
      <c r="X157" s="690"/>
      <c r="Y157" s="690"/>
      <c r="Z157" s="690"/>
      <c r="AA157" s="690"/>
      <c r="AB157" s="690"/>
      <c r="AC157" s="690"/>
      <c r="AD157" s="690"/>
      <c r="AE157" s="690"/>
      <c r="AF157" s="690"/>
      <c r="AG157" s="690"/>
      <c r="AH157" s="690"/>
      <c r="AI157" s="690"/>
      <c r="AJ157" s="690"/>
      <c r="AK157" s="690"/>
      <c r="AL157" s="690"/>
      <c r="AM157" s="690"/>
      <c r="AN157" s="690"/>
      <c r="AO157" s="690"/>
      <c r="AP157" s="690"/>
    </row>
    <row r="158" spans="1:42" x14ac:dyDescent="0.25">
      <c r="A158" s="134">
        <f t="shared" si="6"/>
        <v>157</v>
      </c>
      <c r="B158" s="443" t="s">
        <v>3130</v>
      </c>
      <c r="C158" s="443" t="s">
        <v>3130</v>
      </c>
      <c r="D158" s="443"/>
      <c r="E158" s="443" t="s">
        <v>7205</v>
      </c>
      <c r="F158" s="444" t="s">
        <v>4718</v>
      </c>
      <c r="G158" s="4"/>
      <c r="H158" s="640"/>
      <c r="I158" s="640"/>
      <c r="J158" s="653" t="s">
        <v>6266</v>
      </c>
      <c r="K158" s="653" t="s">
        <v>6270</v>
      </c>
      <c r="L158" s="653"/>
      <c r="M158" s="653"/>
      <c r="N158" s="653"/>
      <c r="O158" s="653"/>
      <c r="P158" s="653"/>
      <c r="Q158" s="640"/>
      <c r="R158" s="640"/>
      <c r="S158" s="640"/>
      <c r="T158" s="460"/>
      <c r="U158" s="460"/>
      <c r="V158" s="685">
        <f t="shared" si="7"/>
        <v>0</v>
      </c>
      <c r="W158" s="690"/>
      <c r="X158" s="690"/>
      <c r="Y158" s="690"/>
      <c r="Z158" s="690"/>
      <c r="AA158" s="690"/>
      <c r="AB158" s="690"/>
      <c r="AC158" s="690"/>
      <c r="AD158" s="690"/>
      <c r="AE158" s="690"/>
      <c r="AF158" s="690"/>
      <c r="AG158" s="690"/>
      <c r="AH158" s="690"/>
      <c r="AI158" s="690"/>
      <c r="AJ158" s="690"/>
      <c r="AK158" s="690"/>
      <c r="AL158" s="690"/>
      <c r="AM158" s="690"/>
      <c r="AN158" s="690"/>
      <c r="AO158" s="690"/>
      <c r="AP158" s="690"/>
    </row>
    <row r="159" spans="1:42" x14ac:dyDescent="0.25">
      <c r="A159" s="134">
        <f t="shared" si="6"/>
        <v>158</v>
      </c>
      <c r="B159" s="443" t="s">
        <v>3043</v>
      </c>
      <c r="C159" s="443" t="s">
        <v>3043</v>
      </c>
      <c r="D159" s="443"/>
      <c r="E159" s="443" t="s">
        <v>7206</v>
      </c>
      <c r="F159" s="444" t="s">
        <v>4704</v>
      </c>
      <c r="G159" s="4"/>
      <c r="H159" s="640"/>
      <c r="I159" s="640"/>
      <c r="J159" s="653" t="s">
        <v>6266</v>
      </c>
      <c r="K159" s="653" t="s">
        <v>6270</v>
      </c>
      <c r="L159" s="653"/>
      <c r="M159" s="653"/>
      <c r="N159" s="653"/>
      <c r="O159" s="653"/>
      <c r="P159" s="653"/>
      <c r="Q159" s="640"/>
      <c r="R159" s="640"/>
      <c r="S159" s="640"/>
      <c r="T159" s="460"/>
      <c r="U159" s="460"/>
      <c r="V159" s="685">
        <f t="shared" si="7"/>
        <v>0</v>
      </c>
      <c r="W159" s="690"/>
      <c r="X159" s="690"/>
      <c r="Y159" s="690"/>
      <c r="Z159" s="690"/>
      <c r="AA159" s="690"/>
      <c r="AB159" s="690"/>
      <c r="AC159" s="690"/>
      <c r="AD159" s="690"/>
      <c r="AE159" s="690"/>
      <c r="AF159" s="690"/>
      <c r="AG159" s="690"/>
      <c r="AH159" s="690"/>
      <c r="AI159" s="690"/>
      <c r="AJ159" s="690"/>
      <c r="AK159" s="690"/>
      <c r="AL159" s="690"/>
      <c r="AM159" s="690"/>
      <c r="AN159" s="690"/>
      <c r="AO159" s="690"/>
      <c r="AP159" s="690"/>
    </row>
    <row r="160" spans="1:42" x14ac:dyDescent="0.25">
      <c r="A160" s="134">
        <f t="shared" si="6"/>
        <v>159</v>
      </c>
      <c r="B160" s="443" t="s">
        <v>2285</v>
      </c>
      <c r="C160" s="443" t="s">
        <v>2285</v>
      </c>
      <c r="D160" s="443"/>
      <c r="E160" s="443" t="s">
        <v>7207</v>
      </c>
      <c r="F160" s="444" t="s">
        <v>4886</v>
      </c>
      <c r="G160" s="4"/>
      <c r="H160" s="640"/>
      <c r="I160" s="640" t="s">
        <v>618</v>
      </c>
      <c r="J160" s="653" t="s">
        <v>6266</v>
      </c>
      <c r="K160" s="653" t="s">
        <v>6270</v>
      </c>
      <c r="L160" s="653"/>
      <c r="M160" s="653"/>
      <c r="N160" s="653"/>
      <c r="O160" s="653" t="s">
        <v>7357</v>
      </c>
      <c r="P160" s="653"/>
      <c r="Q160" s="640"/>
      <c r="R160" s="640"/>
      <c r="S160" s="640"/>
      <c r="T160" s="460"/>
      <c r="U160" s="460"/>
      <c r="V160" s="685">
        <f t="shared" si="7"/>
        <v>0</v>
      </c>
      <c r="W160" s="690"/>
      <c r="X160" s="690"/>
      <c r="Y160" s="690"/>
      <c r="Z160" s="690"/>
      <c r="AA160" s="690"/>
      <c r="AB160" s="690"/>
      <c r="AC160" s="690"/>
      <c r="AD160" s="690"/>
      <c r="AE160" s="690"/>
      <c r="AF160" s="690"/>
      <c r="AG160" s="690"/>
      <c r="AH160" s="690"/>
      <c r="AI160" s="690"/>
      <c r="AJ160" s="690"/>
      <c r="AK160" s="690"/>
      <c r="AL160" s="690"/>
      <c r="AM160" s="690"/>
      <c r="AN160" s="690"/>
      <c r="AO160" s="690"/>
      <c r="AP160" s="690"/>
    </row>
    <row r="161" spans="1:42" x14ac:dyDescent="0.25">
      <c r="A161" s="134">
        <f t="shared" si="6"/>
        <v>160</v>
      </c>
      <c r="B161" s="443" t="s">
        <v>3108</v>
      </c>
      <c r="C161" s="443" t="s">
        <v>3108</v>
      </c>
      <c r="D161" s="443"/>
      <c r="E161" s="443"/>
      <c r="F161" s="444" t="s">
        <v>3034</v>
      </c>
      <c r="G161" s="4"/>
      <c r="H161" s="640"/>
      <c r="I161" s="640" t="s">
        <v>618</v>
      </c>
      <c r="J161" s="653"/>
      <c r="K161" s="653" t="s">
        <v>6269</v>
      </c>
      <c r="L161" s="653"/>
      <c r="M161" s="653"/>
      <c r="N161" s="653"/>
      <c r="O161" s="653"/>
      <c r="P161" s="653"/>
      <c r="Q161" s="640"/>
      <c r="R161" s="640"/>
      <c r="S161" s="640"/>
      <c r="T161" s="460"/>
      <c r="U161" s="460"/>
      <c r="V161" s="685">
        <f t="shared" si="7"/>
        <v>0</v>
      </c>
      <c r="W161" s="690"/>
      <c r="X161" s="690"/>
      <c r="Y161" s="690"/>
      <c r="Z161" s="690"/>
      <c r="AA161" s="690"/>
      <c r="AB161" s="690"/>
      <c r="AC161" s="690"/>
      <c r="AD161" s="690"/>
      <c r="AE161" s="690"/>
      <c r="AF161" s="690"/>
      <c r="AG161" s="690"/>
      <c r="AH161" s="690"/>
      <c r="AI161" s="690"/>
      <c r="AJ161" s="690"/>
      <c r="AK161" s="690"/>
      <c r="AL161" s="690"/>
      <c r="AM161" s="690"/>
      <c r="AN161" s="690"/>
      <c r="AO161" s="690"/>
      <c r="AP161" s="690"/>
    </row>
    <row r="162" spans="1:42" x14ac:dyDescent="0.25">
      <c r="A162" s="134">
        <f t="shared" si="6"/>
        <v>161</v>
      </c>
      <c r="B162" s="443" t="s">
        <v>3380</v>
      </c>
      <c r="C162" s="443" t="s">
        <v>3380</v>
      </c>
      <c r="D162" s="443"/>
      <c r="E162" s="443" t="s">
        <v>7208</v>
      </c>
      <c r="F162" s="444" t="s">
        <v>4834</v>
      </c>
      <c r="G162" s="4"/>
      <c r="H162" s="640"/>
      <c r="I162" s="640" t="s">
        <v>616</v>
      </c>
      <c r="J162" s="653" t="s">
        <v>6266</v>
      </c>
      <c r="K162" s="653" t="s">
        <v>6270</v>
      </c>
      <c r="L162" s="653"/>
      <c r="M162" s="653"/>
      <c r="N162" s="653"/>
      <c r="O162" s="653"/>
      <c r="P162" s="653"/>
      <c r="Q162" s="640"/>
      <c r="R162" s="640" t="s">
        <v>3182</v>
      </c>
      <c r="S162" s="640" t="s">
        <v>4463</v>
      </c>
      <c r="T162" s="460"/>
      <c r="U162" s="640" t="s">
        <v>171</v>
      </c>
      <c r="V162" s="685">
        <f t="shared" si="7"/>
        <v>0</v>
      </c>
      <c r="W162" s="690"/>
      <c r="X162" s="690"/>
      <c r="Y162" s="690"/>
      <c r="Z162" s="690"/>
      <c r="AA162" s="690"/>
      <c r="AB162" s="690"/>
      <c r="AC162" s="690"/>
      <c r="AD162" s="690"/>
      <c r="AE162" s="690"/>
      <c r="AF162" s="690"/>
      <c r="AG162" s="690"/>
      <c r="AH162" s="690"/>
      <c r="AI162" s="690"/>
      <c r="AJ162" s="690"/>
      <c r="AK162" s="690"/>
      <c r="AL162" s="690"/>
      <c r="AM162" s="690"/>
      <c r="AN162" s="690"/>
      <c r="AO162" s="690"/>
      <c r="AP162" s="690"/>
    </row>
    <row r="163" spans="1:42" x14ac:dyDescent="0.25">
      <c r="A163" s="134">
        <f t="shared" si="6"/>
        <v>162</v>
      </c>
      <c r="B163" s="443" t="s">
        <v>3381</v>
      </c>
      <c r="C163" s="443" t="s">
        <v>3381</v>
      </c>
      <c r="D163" s="443"/>
      <c r="E163" s="443" t="s">
        <v>7209</v>
      </c>
      <c r="F163" s="444" t="s">
        <v>4595</v>
      </c>
      <c r="G163" s="4"/>
      <c r="H163" s="640"/>
      <c r="I163" s="640" t="s">
        <v>616</v>
      </c>
      <c r="J163" s="653"/>
      <c r="K163" s="653"/>
      <c r="L163" s="653"/>
      <c r="M163" s="653"/>
      <c r="N163" s="653"/>
      <c r="O163" s="653"/>
      <c r="P163" s="653"/>
      <c r="Q163" s="640"/>
      <c r="R163" s="640" t="s">
        <v>3182</v>
      </c>
      <c r="S163" s="640" t="s">
        <v>4465</v>
      </c>
      <c r="T163" s="460"/>
      <c r="U163" s="640" t="s">
        <v>171</v>
      </c>
      <c r="V163" s="685">
        <f t="shared" si="7"/>
        <v>0</v>
      </c>
      <c r="W163" s="690"/>
      <c r="X163" s="690"/>
      <c r="Y163" s="690"/>
      <c r="Z163" s="690"/>
      <c r="AA163" s="690"/>
      <c r="AB163" s="690"/>
      <c r="AC163" s="690"/>
      <c r="AD163" s="690"/>
      <c r="AE163" s="690"/>
      <c r="AF163" s="690"/>
      <c r="AG163" s="690"/>
      <c r="AH163" s="690"/>
      <c r="AI163" s="690"/>
      <c r="AJ163" s="690"/>
      <c r="AK163" s="690"/>
      <c r="AL163" s="690"/>
      <c r="AM163" s="690"/>
      <c r="AN163" s="690"/>
      <c r="AO163" s="690"/>
      <c r="AP163" s="690"/>
    </row>
    <row r="164" spans="1:42" x14ac:dyDescent="0.25">
      <c r="A164" s="134">
        <f t="shared" si="6"/>
        <v>163</v>
      </c>
      <c r="B164" s="443" t="s">
        <v>3382</v>
      </c>
      <c r="C164" s="443" t="s">
        <v>3382</v>
      </c>
      <c r="D164" s="443"/>
      <c r="E164" s="443" t="s">
        <v>7210</v>
      </c>
      <c r="F164" s="444" t="s">
        <v>4887</v>
      </c>
      <c r="G164" s="4"/>
      <c r="H164" s="640"/>
      <c r="I164" s="640" t="s">
        <v>616</v>
      </c>
      <c r="J164" s="653" t="s">
        <v>6266</v>
      </c>
      <c r="K164" s="653" t="s">
        <v>6270</v>
      </c>
      <c r="L164" s="653"/>
      <c r="M164" s="653"/>
      <c r="N164" s="653"/>
      <c r="O164" s="653"/>
      <c r="P164" s="653"/>
      <c r="Q164" s="640"/>
      <c r="R164" s="640" t="s">
        <v>3182</v>
      </c>
      <c r="S164" s="640" t="s">
        <v>4466</v>
      </c>
      <c r="T164" s="460"/>
      <c r="U164" s="640" t="s">
        <v>171</v>
      </c>
      <c r="V164" s="685">
        <f t="shared" si="7"/>
        <v>0</v>
      </c>
      <c r="W164" s="690"/>
      <c r="X164" s="690"/>
      <c r="Y164" s="690"/>
      <c r="Z164" s="690"/>
      <c r="AA164" s="690"/>
      <c r="AB164" s="690"/>
      <c r="AC164" s="690"/>
      <c r="AD164" s="690"/>
      <c r="AE164" s="690"/>
      <c r="AF164" s="690"/>
      <c r="AG164" s="690"/>
      <c r="AH164" s="690"/>
      <c r="AI164" s="690"/>
      <c r="AJ164" s="690"/>
      <c r="AK164" s="690"/>
      <c r="AL164" s="690"/>
      <c r="AM164" s="690"/>
      <c r="AN164" s="690"/>
      <c r="AO164" s="690"/>
      <c r="AP164" s="690"/>
    </row>
    <row r="165" spans="1:42" x14ac:dyDescent="0.25">
      <c r="A165" s="134">
        <f t="shared" si="6"/>
        <v>164</v>
      </c>
      <c r="B165" s="443" t="s">
        <v>3383</v>
      </c>
      <c r="C165" s="443" t="s">
        <v>3383</v>
      </c>
      <c r="D165" s="443"/>
      <c r="E165" s="443" t="s">
        <v>7211</v>
      </c>
      <c r="F165" s="444" t="s">
        <v>4596</v>
      </c>
      <c r="G165" s="4"/>
      <c r="H165" s="640"/>
      <c r="I165" s="640" t="s">
        <v>616</v>
      </c>
      <c r="J165" s="653" t="s">
        <v>6266</v>
      </c>
      <c r="K165" s="653" t="s">
        <v>6270</v>
      </c>
      <c r="L165" s="653"/>
      <c r="M165" s="653"/>
      <c r="N165" s="653"/>
      <c r="O165" s="653"/>
      <c r="P165" s="653"/>
      <c r="Q165" s="640"/>
      <c r="R165" s="640" t="s">
        <v>3182</v>
      </c>
      <c r="S165" s="640" t="s">
        <v>4467</v>
      </c>
      <c r="T165" s="460"/>
      <c r="U165" s="640" t="s">
        <v>171</v>
      </c>
      <c r="V165" s="685">
        <f t="shared" si="7"/>
        <v>0</v>
      </c>
      <c r="W165" s="690"/>
      <c r="X165" s="690"/>
      <c r="Y165" s="690"/>
      <c r="Z165" s="690"/>
      <c r="AA165" s="690"/>
      <c r="AB165" s="690"/>
      <c r="AC165" s="690"/>
      <c r="AD165" s="690"/>
      <c r="AE165" s="690"/>
      <c r="AF165" s="690"/>
      <c r="AG165" s="690"/>
      <c r="AH165" s="690"/>
      <c r="AI165" s="690"/>
      <c r="AJ165" s="690"/>
      <c r="AK165" s="690"/>
      <c r="AL165" s="690"/>
      <c r="AM165" s="690"/>
      <c r="AN165" s="690"/>
      <c r="AO165" s="690"/>
      <c r="AP165" s="690"/>
    </row>
    <row r="166" spans="1:42" x14ac:dyDescent="0.25">
      <c r="A166" s="134">
        <f t="shared" si="6"/>
        <v>165</v>
      </c>
      <c r="B166" s="443" t="s">
        <v>3384</v>
      </c>
      <c r="C166" s="443" t="s">
        <v>3384</v>
      </c>
      <c r="D166" s="443"/>
      <c r="E166" s="443" t="s">
        <v>7212</v>
      </c>
      <c r="F166" s="444" t="s">
        <v>4597</v>
      </c>
      <c r="G166" s="4" t="s">
        <v>7213</v>
      </c>
      <c r="H166" s="640"/>
      <c r="I166" s="640" t="s">
        <v>616</v>
      </c>
      <c r="J166" s="653"/>
      <c r="K166" s="653"/>
      <c r="L166" s="653"/>
      <c r="M166" s="653"/>
      <c r="N166" s="653"/>
      <c r="O166" s="653"/>
      <c r="P166" s="653"/>
      <c r="Q166" s="640"/>
      <c r="R166" s="640" t="s">
        <v>3183</v>
      </c>
      <c r="S166" s="640" t="s">
        <v>4463</v>
      </c>
      <c r="T166" s="460"/>
      <c r="U166" s="640" t="s">
        <v>171</v>
      </c>
      <c r="V166" s="685">
        <f t="shared" si="7"/>
        <v>0</v>
      </c>
      <c r="W166" s="690"/>
      <c r="X166" s="690"/>
      <c r="Y166" s="690"/>
      <c r="Z166" s="690"/>
      <c r="AA166" s="690"/>
      <c r="AB166" s="690"/>
      <c r="AC166" s="690"/>
      <c r="AD166" s="690"/>
      <c r="AE166" s="690"/>
      <c r="AF166" s="690"/>
      <c r="AG166" s="690"/>
      <c r="AH166" s="690"/>
      <c r="AI166" s="690"/>
      <c r="AJ166" s="690"/>
      <c r="AK166" s="690"/>
      <c r="AL166" s="690"/>
      <c r="AM166" s="690"/>
      <c r="AN166" s="690"/>
      <c r="AO166" s="690"/>
      <c r="AP166" s="690"/>
    </row>
    <row r="167" spans="1:42" x14ac:dyDescent="0.25">
      <c r="A167" s="134">
        <f t="shared" si="6"/>
        <v>166</v>
      </c>
      <c r="B167" s="443" t="s">
        <v>3385</v>
      </c>
      <c r="C167" s="443" t="s">
        <v>3385</v>
      </c>
      <c r="D167" s="443"/>
      <c r="E167" s="443"/>
      <c r="F167" s="444" t="s">
        <v>4888</v>
      </c>
      <c r="G167" s="4" t="s">
        <v>7214</v>
      </c>
      <c r="H167" s="640"/>
      <c r="I167" s="640" t="s">
        <v>616</v>
      </c>
      <c r="J167" s="653" t="s">
        <v>6266</v>
      </c>
      <c r="K167" s="653" t="s">
        <v>6269</v>
      </c>
      <c r="L167" s="653"/>
      <c r="M167" s="653"/>
      <c r="N167" s="653"/>
      <c r="O167" s="653"/>
      <c r="P167" s="653"/>
      <c r="Q167" s="640"/>
      <c r="R167" s="640" t="s">
        <v>3183</v>
      </c>
      <c r="S167" s="640" t="s">
        <v>4464</v>
      </c>
      <c r="T167" s="460"/>
      <c r="U167" s="640" t="s">
        <v>171</v>
      </c>
      <c r="V167" s="685">
        <f t="shared" si="7"/>
        <v>3</v>
      </c>
      <c r="W167" s="4" t="s">
        <v>3638</v>
      </c>
      <c r="X167" s="4" t="s">
        <v>3641</v>
      </c>
      <c r="Y167" s="4" t="s">
        <v>3644</v>
      </c>
      <c r="Z167" s="690"/>
      <c r="AA167" s="690"/>
      <c r="AB167" s="690"/>
      <c r="AC167" s="690"/>
      <c r="AD167" s="690"/>
      <c r="AE167" s="690"/>
      <c r="AF167" s="690"/>
      <c r="AG167" s="690"/>
      <c r="AH167" s="690"/>
      <c r="AI167" s="690"/>
      <c r="AJ167" s="690"/>
      <c r="AK167" s="690"/>
      <c r="AL167" s="690"/>
      <c r="AM167" s="690"/>
      <c r="AN167" s="690"/>
      <c r="AO167" s="690"/>
      <c r="AP167" s="690"/>
    </row>
    <row r="168" spans="1:42" x14ac:dyDescent="0.25">
      <c r="A168" s="134">
        <f t="shared" si="6"/>
        <v>167</v>
      </c>
      <c r="B168" s="443" t="s">
        <v>3386</v>
      </c>
      <c r="C168" s="443" t="s">
        <v>3386</v>
      </c>
      <c r="D168" s="443"/>
      <c r="E168" s="443"/>
      <c r="F168" s="444" t="s">
        <v>4889</v>
      </c>
      <c r="G168" s="4" t="s">
        <v>7214</v>
      </c>
      <c r="H168" s="640"/>
      <c r="I168" s="640" t="s">
        <v>616</v>
      </c>
      <c r="J168" s="653"/>
      <c r="K168" s="653"/>
      <c r="L168" s="653"/>
      <c r="M168" s="653"/>
      <c r="N168" s="653"/>
      <c r="O168" s="653"/>
      <c r="P168" s="653"/>
      <c r="Q168" s="640"/>
      <c r="R168" s="640" t="s">
        <v>3183</v>
      </c>
      <c r="S168" s="640" t="s">
        <v>4465</v>
      </c>
      <c r="T168" s="460"/>
      <c r="U168" s="640" t="s">
        <v>171</v>
      </c>
      <c r="V168" s="685">
        <f t="shared" si="7"/>
        <v>3</v>
      </c>
      <c r="W168" s="4" t="s">
        <v>3638</v>
      </c>
      <c r="X168" s="4" t="s">
        <v>3641</v>
      </c>
      <c r="Y168" s="4" t="s">
        <v>3644</v>
      </c>
      <c r="Z168" s="690"/>
      <c r="AA168" s="690"/>
      <c r="AB168" s="690"/>
      <c r="AC168" s="690"/>
      <c r="AD168" s="690"/>
      <c r="AE168" s="690"/>
      <c r="AF168" s="690"/>
      <c r="AG168" s="690"/>
      <c r="AH168" s="690"/>
      <c r="AI168" s="690"/>
      <c r="AJ168" s="690"/>
      <c r="AK168" s="690"/>
      <c r="AL168" s="690"/>
      <c r="AM168" s="690"/>
      <c r="AN168" s="690"/>
      <c r="AO168" s="690"/>
      <c r="AP168" s="690"/>
    </row>
    <row r="169" spans="1:42" x14ac:dyDescent="0.25">
      <c r="A169" s="134">
        <f t="shared" si="6"/>
        <v>168</v>
      </c>
      <c r="B169" s="443" t="s">
        <v>3387</v>
      </c>
      <c r="C169" s="443" t="s">
        <v>3387</v>
      </c>
      <c r="D169" s="443"/>
      <c r="E169" s="443" t="s">
        <v>7215</v>
      </c>
      <c r="F169" s="444" t="s">
        <v>4598</v>
      </c>
      <c r="G169" s="4"/>
      <c r="H169" s="640"/>
      <c r="I169" s="640" t="s">
        <v>616</v>
      </c>
      <c r="J169" s="653"/>
      <c r="K169" s="653"/>
      <c r="L169" s="653"/>
      <c r="M169" s="653"/>
      <c r="N169" s="653"/>
      <c r="O169" s="653"/>
      <c r="P169" s="653"/>
      <c r="Q169" s="640"/>
      <c r="R169" s="640" t="s">
        <v>3183</v>
      </c>
      <c r="S169" s="640" t="s">
        <v>4466</v>
      </c>
      <c r="T169" s="460"/>
      <c r="U169" s="640" t="s">
        <v>171</v>
      </c>
      <c r="V169" s="685">
        <f t="shared" si="7"/>
        <v>0</v>
      </c>
      <c r="W169" s="690"/>
      <c r="X169" s="690"/>
      <c r="Y169" s="690"/>
      <c r="Z169" s="690"/>
      <c r="AA169" s="690"/>
      <c r="AB169" s="690"/>
      <c r="AC169" s="690"/>
      <c r="AD169" s="690"/>
      <c r="AE169" s="690"/>
      <c r="AF169" s="690"/>
      <c r="AG169" s="690"/>
      <c r="AH169" s="690"/>
      <c r="AI169" s="690"/>
      <c r="AJ169" s="690"/>
      <c r="AK169" s="690"/>
      <c r="AL169" s="690"/>
      <c r="AM169" s="690"/>
      <c r="AN169" s="690"/>
      <c r="AO169" s="690"/>
      <c r="AP169" s="690"/>
    </row>
    <row r="170" spans="1:42" x14ac:dyDescent="0.25">
      <c r="A170" s="134">
        <f t="shared" si="6"/>
        <v>169</v>
      </c>
      <c r="B170" s="443" t="s">
        <v>3388</v>
      </c>
      <c r="C170" s="443" t="s">
        <v>3388</v>
      </c>
      <c r="D170" s="443"/>
      <c r="E170" s="443" t="s">
        <v>7216</v>
      </c>
      <c r="F170" s="444" t="s">
        <v>7217</v>
      </c>
      <c r="G170" s="4"/>
      <c r="H170" s="640"/>
      <c r="I170" s="640" t="s">
        <v>616</v>
      </c>
      <c r="J170" s="653" t="s">
        <v>6266</v>
      </c>
      <c r="K170" s="653" t="s">
        <v>6269</v>
      </c>
      <c r="L170" s="653"/>
      <c r="M170" s="653"/>
      <c r="N170" s="653"/>
      <c r="O170" s="653"/>
      <c r="P170" s="653"/>
      <c r="Q170" s="640"/>
      <c r="R170" s="640" t="s">
        <v>3183</v>
      </c>
      <c r="S170" s="640" t="s">
        <v>4467</v>
      </c>
      <c r="T170" s="460"/>
      <c r="U170" s="640" t="s">
        <v>171</v>
      </c>
      <c r="V170" s="685">
        <f t="shared" si="7"/>
        <v>3</v>
      </c>
      <c r="W170" s="4" t="s">
        <v>3638</v>
      </c>
      <c r="X170" s="4" t="s">
        <v>3641</v>
      </c>
      <c r="Y170" s="4" t="s">
        <v>3644</v>
      </c>
      <c r="Z170" s="690"/>
      <c r="AA170" s="690"/>
      <c r="AB170" s="690"/>
      <c r="AC170" s="690"/>
      <c r="AD170" s="690"/>
      <c r="AE170" s="690"/>
      <c r="AF170" s="690"/>
      <c r="AG170" s="690"/>
      <c r="AH170" s="690"/>
      <c r="AI170" s="690"/>
      <c r="AJ170" s="690"/>
      <c r="AK170" s="690"/>
      <c r="AL170" s="690"/>
      <c r="AM170" s="690"/>
      <c r="AN170" s="690"/>
      <c r="AO170" s="690"/>
      <c r="AP170" s="690"/>
    </row>
    <row r="171" spans="1:42" x14ac:dyDescent="0.25">
      <c r="A171" s="134">
        <f t="shared" si="6"/>
        <v>170</v>
      </c>
      <c r="B171" s="443" t="s">
        <v>3393</v>
      </c>
      <c r="C171" s="443" t="s">
        <v>3393</v>
      </c>
      <c r="D171" s="443"/>
      <c r="E171" s="443"/>
      <c r="F171" s="444" t="s">
        <v>4601</v>
      </c>
      <c r="G171" s="4" t="s">
        <v>7218</v>
      </c>
      <c r="H171" s="640"/>
      <c r="I171" s="640" t="s">
        <v>1109</v>
      </c>
      <c r="J171" s="653"/>
      <c r="K171" s="653"/>
      <c r="L171" s="653"/>
      <c r="M171" s="653"/>
      <c r="N171" s="653"/>
      <c r="O171" s="653"/>
      <c r="P171" s="653"/>
      <c r="Q171" s="640"/>
      <c r="R171" s="640" t="s">
        <v>3150</v>
      </c>
      <c r="S171" s="640" t="s">
        <v>4316</v>
      </c>
      <c r="T171" s="460"/>
      <c r="U171" s="640" t="s">
        <v>171</v>
      </c>
      <c r="V171" s="685">
        <f t="shared" si="7"/>
        <v>0</v>
      </c>
      <c r="W171" s="690"/>
      <c r="X171" s="690"/>
      <c r="Y171" s="690"/>
      <c r="Z171" s="690"/>
      <c r="AA171" s="690"/>
      <c r="AB171" s="690"/>
      <c r="AC171" s="690"/>
      <c r="AD171" s="690"/>
      <c r="AE171" s="690"/>
      <c r="AF171" s="690"/>
      <c r="AG171" s="690"/>
      <c r="AH171" s="690"/>
      <c r="AI171" s="690"/>
      <c r="AJ171" s="690"/>
      <c r="AK171" s="690"/>
      <c r="AL171" s="690"/>
      <c r="AM171" s="690"/>
      <c r="AN171" s="690"/>
      <c r="AO171" s="690"/>
      <c r="AP171" s="690"/>
    </row>
    <row r="172" spans="1:42" x14ac:dyDescent="0.25">
      <c r="A172" s="134">
        <f t="shared" si="6"/>
        <v>171</v>
      </c>
      <c r="B172" s="443" t="s">
        <v>3389</v>
      </c>
      <c r="C172" s="443" t="s">
        <v>3389</v>
      </c>
      <c r="D172" s="443"/>
      <c r="E172" s="443" t="s">
        <v>7219</v>
      </c>
      <c r="F172" s="444" t="s">
        <v>4602</v>
      </c>
      <c r="G172" s="4"/>
      <c r="H172" s="640"/>
      <c r="I172" s="640" t="s">
        <v>1109</v>
      </c>
      <c r="J172" s="653" t="s">
        <v>6266</v>
      </c>
      <c r="K172" s="653" t="s">
        <v>6270</v>
      </c>
      <c r="L172" s="653"/>
      <c r="M172" s="653"/>
      <c r="N172" s="653"/>
      <c r="O172" s="653"/>
      <c r="P172" s="653"/>
      <c r="Q172" s="640"/>
      <c r="R172" s="640" t="s">
        <v>3150</v>
      </c>
      <c r="S172" s="640" t="s">
        <v>4317</v>
      </c>
      <c r="T172" s="460"/>
      <c r="U172" s="640" t="s">
        <v>171</v>
      </c>
      <c r="V172" s="685">
        <f t="shared" si="7"/>
        <v>0</v>
      </c>
      <c r="W172" s="690"/>
      <c r="X172" s="690"/>
      <c r="Y172" s="690"/>
      <c r="Z172" s="690"/>
      <c r="AA172" s="690"/>
      <c r="AB172" s="690"/>
      <c r="AC172" s="690"/>
      <c r="AD172" s="690"/>
      <c r="AE172" s="690"/>
      <c r="AF172" s="690"/>
      <c r="AG172" s="690"/>
      <c r="AH172" s="690"/>
      <c r="AI172" s="690"/>
      <c r="AJ172" s="690"/>
      <c r="AK172" s="690"/>
      <c r="AL172" s="690"/>
      <c r="AM172" s="690"/>
      <c r="AN172" s="690"/>
      <c r="AO172" s="690"/>
      <c r="AP172" s="690"/>
    </row>
    <row r="173" spans="1:42" x14ac:dyDescent="0.25">
      <c r="A173" s="134">
        <f t="shared" si="6"/>
        <v>172</v>
      </c>
      <c r="B173" s="443" t="s">
        <v>3391</v>
      </c>
      <c r="C173" s="443" t="s">
        <v>3391</v>
      </c>
      <c r="D173" s="443"/>
      <c r="E173" s="443"/>
      <c r="F173" s="444" t="s">
        <v>4603</v>
      </c>
      <c r="G173" s="4" t="s">
        <v>7372</v>
      </c>
      <c r="H173" s="640"/>
      <c r="I173" s="640" t="s">
        <v>1109</v>
      </c>
      <c r="J173" s="653"/>
      <c r="K173" s="653"/>
      <c r="L173" s="653"/>
      <c r="M173" s="653"/>
      <c r="N173" s="653"/>
      <c r="O173" s="653"/>
      <c r="P173" s="653"/>
      <c r="Q173" s="640"/>
      <c r="R173" s="640" t="s">
        <v>3150</v>
      </c>
      <c r="S173" s="640" t="s">
        <v>4318</v>
      </c>
      <c r="T173" s="460"/>
      <c r="U173" s="640" t="s">
        <v>171</v>
      </c>
      <c r="V173" s="685">
        <f t="shared" si="7"/>
        <v>0</v>
      </c>
      <c r="W173" s="690"/>
      <c r="X173" s="690"/>
      <c r="Y173" s="690"/>
      <c r="Z173" s="690"/>
      <c r="AA173" s="690"/>
      <c r="AB173" s="690"/>
      <c r="AC173" s="690"/>
      <c r="AD173" s="690"/>
      <c r="AE173" s="690"/>
      <c r="AF173" s="690"/>
      <c r="AG173" s="690"/>
      <c r="AH173" s="690"/>
      <c r="AI173" s="690"/>
      <c r="AJ173" s="690"/>
      <c r="AK173" s="690"/>
      <c r="AL173" s="690"/>
      <c r="AM173" s="690"/>
      <c r="AN173" s="690"/>
      <c r="AO173" s="690"/>
      <c r="AP173" s="690"/>
    </row>
    <row r="174" spans="1:42" x14ac:dyDescent="0.25">
      <c r="A174" s="134">
        <f t="shared" si="6"/>
        <v>173</v>
      </c>
      <c r="B174" s="443" t="s">
        <v>3390</v>
      </c>
      <c r="C174" s="443" t="s">
        <v>3390</v>
      </c>
      <c r="D174" s="443"/>
      <c r="E174" s="443" t="s">
        <v>7220</v>
      </c>
      <c r="F174" s="444" t="s">
        <v>4604</v>
      </c>
      <c r="G174" s="4"/>
      <c r="H174" s="640"/>
      <c r="I174" s="640" t="s">
        <v>1109</v>
      </c>
      <c r="J174" s="653"/>
      <c r="K174" s="653"/>
      <c r="L174" s="653"/>
      <c r="M174" s="653"/>
      <c r="N174" s="653"/>
      <c r="O174" s="653"/>
      <c r="P174" s="653"/>
      <c r="Q174" s="640"/>
      <c r="R174" s="640" t="s">
        <v>3150</v>
      </c>
      <c r="S174" s="640" t="s">
        <v>4319</v>
      </c>
      <c r="T174" s="460"/>
      <c r="U174" s="640" t="s">
        <v>171</v>
      </c>
      <c r="V174" s="685">
        <f t="shared" si="7"/>
        <v>0</v>
      </c>
      <c r="W174" s="690"/>
      <c r="X174" s="690"/>
      <c r="Y174" s="690"/>
      <c r="Z174" s="690"/>
      <c r="AA174" s="690"/>
      <c r="AB174" s="690"/>
      <c r="AC174" s="690"/>
      <c r="AD174" s="690"/>
      <c r="AE174" s="690"/>
      <c r="AF174" s="690"/>
      <c r="AG174" s="690"/>
      <c r="AH174" s="690"/>
      <c r="AI174" s="690"/>
      <c r="AJ174" s="690"/>
      <c r="AK174" s="690"/>
      <c r="AL174" s="690"/>
      <c r="AM174" s="690"/>
      <c r="AN174" s="690"/>
      <c r="AO174" s="690"/>
      <c r="AP174" s="690"/>
    </row>
    <row r="175" spans="1:42" x14ac:dyDescent="0.25">
      <c r="A175" s="134">
        <f t="shared" si="6"/>
        <v>174</v>
      </c>
      <c r="B175" s="443" t="s">
        <v>3392</v>
      </c>
      <c r="C175" s="443" t="s">
        <v>3392</v>
      </c>
      <c r="D175" s="443"/>
      <c r="E175" s="443" t="s">
        <v>7221</v>
      </c>
      <c r="F175" s="444" t="s">
        <v>4605</v>
      </c>
      <c r="G175" s="4" t="s">
        <v>7373</v>
      </c>
      <c r="H175" s="640"/>
      <c r="I175" s="640" t="s">
        <v>1109</v>
      </c>
      <c r="J175" s="653"/>
      <c r="K175" s="653"/>
      <c r="L175" s="653"/>
      <c r="M175" s="653"/>
      <c r="N175" s="653"/>
      <c r="O175" s="653"/>
      <c r="P175" s="653"/>
      <c r="Q175" s="640"/>
      <c r="R175" s="640" t="s">
        <v>3151</v>
      </c>
      <c r="S175" s="640" t="s">
        <v>4316</v>
      </c>
      <c r="T175" s="460"/>
      <c r="U175" s="640" t="s">
        <v>171</v>
      </c>
      <c r="V175" s="685">
        <f t="shared" si="7"/>
        <v>0</v>
      </c>
      <c r="W175" s="690"/>
      <c r="X175" s="690"/>
      <c r="Y175" s="690"/>
      <c r="Z175" s="690"/>
      <c r="AA175" s="690"/>
      <c r="AB175" s="690"/>
      <c r="AC175" s="690"/>
      <c r="AD175" s="690"/>
      <c r="AE175" s="690"/>
      <c r="AF175" s="690"/>
      <c r="AG175" s="690"/>
      <c r="AH175" s="690"/>
      <c r="AI175" s="690"/>
      <c r="AJ175" s="690"/>
      <c r="AK175" s="690"/>
      <c r="AL175" s="690"/>
      <c r="AM175" s="690"/>
      <c r="AN175" s="690"/>
      <c r="AO175" s="690"/>
      <c r="AP175" s="690"/>
    </row>
    <row r="176" spans="1:42" x14ac:dyDescent="0.25">
      <c r="A176" s="134">
        <f t="shared" si="6"/>
        <v>175</v>
      </c>
      <c r="B176" s="443" t="s">
        <v>3394</v>
      </c>
      <c r="C176" s="443" t="s">
        <v>3394</v>
      </c>
      <c r="D176" s="443"/>
      <c r="E176" s="443" t="s">
        <v>7222</v>
      </c>
      <c r="F176" s="444" t="s">
        <v>4890</v>
      </c>
      <c r="G176" s="4"/>
      <c r="H176" s="640"/>
      <c r="I176" s="640" t="s">
        <v>1109</v>
      </c>
      <c r="J176" s="653" t="s">
        <v>6266</v>
      </c>
      <c r="K176" s="653" t="s">
        <v>6270</v>
      </c>
      <c r="L176" s="653"/>
      <c r="M176" s="653"/>
      <c r="N176" s="653"/>
      <c r="O176" s="653"/>
      <c r="P176" s="653"/>
      <c r="Q176" s="640"/>
      <c r="R176" s="640" t="s">
        <v>3151</v>
      </c>
      <c r="S176" s="640" t="s">
        <v>4317</v>
      </c>
      <c r="T176" s="460"/>
      <c r="U176" s="640" t="s">
        <v>171</v>
      </c>
      <c r="V176" s="685">
        <f t="shared" si="7"/>
        <v>0</v>
      </c>
      <c r="W176" s="690"/>
      <c r="X176" s="690"/>
      <c r="Y176" s="690"/>
      <c r="Z176" s="690"/>
      <c r="AA176" s="690"/>
      <c r="AB176" s="690"/>
      <c r="AC176" s="690"/>
      <c r="AD176" s="690"/>
      <c r="AE176" s="690"/>
      <c r="AF176" s="690"/>
      <c r="AG176" s="690"/>
      <c r="AH176" s="690"/>
      <c r="AI176" s="690"/>
      <c r="AJ176" s="690"/>
      <c r="AK176" s="690"/>
      <c r="AL176" s="690"/>
      <c r="AM176" s="690"/>
      <c r="AN176" s="690"/>
      <c r="AO176" s="690"/>
      <c r="AP176" s="690"/>
    </row>
    <row r="177" spans="1:42" x14ac:dyDescent="0.25">
      <c r="A177" s="134">
        <f t="shared" si="6"/>
        <v>176</v>
      </c>
      <c r="B177" s="443" t="s">
        <v>3039</v>
      </c>
      <c r="C177" s="443" t="s">
        <v>3039</v>
      </c>
      <c r="D177" s="443"/>
      <c r="E177" s="443" t="s">
        <v>7223</v>
      </c>
      <c r="F177" s="444" t="s">
        <v>4606</v>
      </c>
      <c r="G177" s="4"/>
      <c r="H177" s="640"/>
      <c r="I177" s="640" t="s">
        <v>1109</v>
      </c>
      <c r="J177" s="653" t="s">
        <v>6266</v>
      </c>
      <c r="K177" s="653" t="s">
        <v>6270</v>
      </c>
      <c r="L177" s="653"/>
      <c r="M177" s="653"/>
      <c r="N177" s="653"/>
      <c r="O177" s="653"/>
      <c r="P177" s="653"/>
      <c r="Q177" s="640"/>
      <c r="R177" s="640" t="s">
        <v>3151</v>
      </c>
      <c r="S177" s="640" t="s">
        <v>4318</v>
      </c>
      <c r="T177" s="460"/>
      <c r="U177" s="640" t="s">
        <v>171</v>
      </c>
      <c r="V177" s="685">
        <f t="shared" si="7"/>
        <v>0</v>
      </c>
      <c r="W177" s="690"/>
      <c r="X177" s="690"/>
      <c r="Y177" s="690"/>
      <c r="Z177" s="690"/>
      <c r="AA177" s="690"/>
      <c r="AB177" s="690"/>
      <c r="AC177" s="690"/>
      <c r="AD177" s="690"/>
      <c r="AE177" s="690"/>
      <c r="AF177" s="690"/>
      <c r="AG177" s="690"/>
      <c r="AH177" s="690"/>
      <c r="AI177" s="690"/>
      <c r="AJ177" s="690"/>
      <c r="AK177" s="690"/>
      <c r="AL177" s="690"/>
      <c r="AM177" s="690"/>
      <c r="AN177" s="690"/>
      <c r="AO177" s="690"/>
      <c r="AP177" s="690"/>
    </row>
    <row r="178" spans="1:42" x14ac:dyDescent="0.25">
      <c r="A178" s="134">
        <f t="shared" si="6"/>
        <v>177</v>
      </c>
      <c r="B178" s="443" t="s">
        <v>3395</v>
      </c>
      <c r="C178" s="443" t="s">
        <v>3395</v>
      </c>
      <c r="D178" s="443"/>
      <c r="E178" s="443" t="s">
        <v>7224</v>
      </c>
      <c r="F178" s="444" t="s">
        <v>4607</v>
      </c>
      <c r="G178" s="4"/>
      <c r="H178" s="640"/>
      <c r="I178" s="640" t="s">
        <v>1109</v>
      </c>
      <c r="J178" s="653" t="s">
        <v>6266</v>
      </c>
      <c r="K178" s="653" t="s">
        <v>6270</v>
      </c>
      <c r="L178" s="653"/>
      <c r="M178" s="653"/>
      <c r="N178" s="653"/>
      <c r="O178" s="653"/>
      <c r="P178" s="653"/>
      <c r="Q178" s="640"/>
      <c r="R178" s="640" t="s">
        <v>3151</v>
      </c>
      <c r="S178" s="640" t="s">
        <v>4319</v>
      </c>
      <c r="T178" s="460"/>
      <c r="U178" s="640" t="s">
        <v>171</v>
      </c>
      <c r="V178" s="685">
        <f t="shared" si="7"/>
        <v>0</v>
      </c>
      <c r="W178" s="690"/>
      <c r="X178" s="690"/>
      <c r="Y178" s="690"/>
      <c r="Z178" s="690"/>
      <c r="AA178" s="690"/>
      <c r="AB178" s="690"/>
      <c r="AC178" s="690"/>
      <c r="AD178" s="690"/>
      <c r="AE178" s="690"/>
      <c r="AF178" s="690"/>
      <c r="AG178" s="690"/>
      <c r="AH178" s="690"/>
      <c r="AI178" s="690"/>
      <c r="AJ178" s="690"/>
      <c r="AK178" s="690"/>
      <c r="AL178" s="690"/>
      <c r="AM178" s="690"/>
      <c r="AN178" s="690"/>
      <c r="AO178" s="690"/>
      <c r="AP178" s="690"/>
    </row>
    <row r="179" spans="1:42" x14ac:dyDescent="0.25">
      <c r="A179" s="134">
        <f t="shared" si="6"/>
        <v>178</v>
      </c>
      <c r="B179" s="443" t="s">
        <v>3396</v>
      </c>
      <c r="C179" s="443" t="s">
        <v>3396</v>
      </c>
      <c r="D179" s="443"/>
      <c r="E179" s="443" t="s">
        <v>7225</v>
      </c>
      <c r="F179" s="444" t="s">
        <v>4891</v>
      </c>
      <c r="G179" s="4" t="s">
        <v>7451</v>
      </c>
      <c r="H179" s="640"/>
      <c r="I179" s="640" t="s">
        <v>617</v>
      </c>
      <c r="J179" s="653"/>
      <c r="K179" s="653"/>
      <c r="L179" s="653"/>
      <c r="M179" s="653"/>
      <c r="N179" s="653"/>
      <c r="O179" s="653"/>
      <c r="P179" s="653"/>
      <c r="Q179" s="640"/>
      <c r="R179" s="640" t="s">
        <v>3156</v>
      </c>
      <c r="S179" s="448" t="s">
        <v>4469</v>
      </c>
      <c r="T179" s="460"/>
      <c r="U179" s="640" t="s">
        <v>171</v>
      </c>
      <c r="V179" s="685">
        <f t="shared" si="7"/>
        <v>0</v>
      </c>
      <c r="W179" s="690"/>
      <c r="X179" s="690"/>
      <c r="Y179" s="690"/>
      <c r="Z179" s="690"/>
      <c r="AA179" s="690"/>
      <c r="AB179" s="690"/>
      <c r="AC179" s="690"/>
      <c r="AD179" s="690"/>
      <c r="AE179" s="690"/>
      <c r="AF179" s="690"/>
      <c r="AG179" s="690"/>
      <c r="AH179" s="690"/>
      <c r="AI179" s="690"/>
      <c r="AJ179" s="690"/>
      <c r="AK179" s="690"/>
      <c r="AL179" s="690"/>
      <c r="AM179" s="690"/>
      <c r="AN179" s="690"/>
      <c r="AO179" s="690"/>
      <c r="AP179" s="690"/>
    </row>
    <row r="180" spans="1:42" x14ac:dyDescent="0.25">
      <c r="A180" s="134">
        <f t="shared" si="6"/>
        <v>179</v>
      </c>
      <c r="B180" s="443" t="s">
        <v>3397</v>
      </c>
      <c r="C180" s="443" t="s">
        <v>3397</v>
      </c>
      <c r="D180" s="443"/>
      <c r="E180" s="443" t="s">
        <v>7226</v>
      </c>
      <c r="F180" s="444" t="s">
        <v>4611</v>
      </c>
      <c r="G180" s="4"/>
      <c r="H180" s="640"/>
      <c r="I180" s="640" t="s">
        <v>617</v>
      </c>
      <c r="J180" s="653"/>
      <c r="K180" s="653"/>
      <c r="L180" s="653"/>
      <c r="M180" s="653" t="s">
        <v>7227</v>
      </c>
      <c r="N180" s="653"/>
      <c r="O180" s="653"/>
      <c r="P180" s="653"/>
      <c r="Q180" s="640"/>
      <c r="R180" s="640" t="s">
        <v>3156</v>
      </c>
      <c r="S180" s="448" t="s">
        <v>4400</v>
      </c>
      <c r="T180" s="460"/>
      <c r="U180" s="640" t="s">
        <v>171</v>
      </c>
      <c r="V180" s="685">
        <f t="shared" si="7"/>
        <v>0</v>
      </c>
      <c r="W180" s="690"/>
      <c r="X180" s="690"/>
      <c r="Y180" s="690"/>
      <c r="Z180" s="690"/>
      <c r="AA180" s="690"/>
      <c r="AB180" s="690"/>
      <c r="AC180" s="690"/>
      <c r="AD180" s="690"/>
      <c r="AE180" s="690"/>
      <c r="AF180" s="690"/>
      <c r="AG180" s="690"/>
      <c r="AH180" s="690"/>
      <c r="AI180" s="690"/>
      <c r="AJ180" s="690"/>
      <c r="AK180" s="690"/>
      <c r="AL180" s="690"/>
      <c r="AM180" s="690"/>
      <c r="AN180" s="690"/>
      <c r="AO180" s="690"/>
      <c r="AP180" s="690"/>
    </row>
    <row r="181" spans="1:42" x14ac:dyDescent="0.25">
      <c r="A181" s="134">
        <f t="shared" si="6"/>
        <v>180</v>
      </c>
      <c r="B181" s="443" t="s">
        <v>3398</v>
      </c>
      <c r="C181" s="443" t="s">
        <v>3398</v>
      </c>
      <c r="D181" s="443"/>
      <c r="E181" s="443" t="s">
        <v>7229</v>
      </c>
      <c r="F181" s="444" t="s">
        <v>4892</v>
      </c>
      <c r="G181" s="4"/>
      <c r="H181" s="640"/>
      <c r="I181" s="640" t="s">
        <v>617</v>
      </c>
      <c r="J181" s="653"/>
      <c r="K181" s="653"/>
      <c r="L181" s="653"/>
      <c r="M181" s="653" t="s">
        <v>7227</v>
      </c>
      <c r="N181" s="653"/>
      <c r="O181" s="653" t="s">
        <v>7358</v>
      </c>
      <c r="P181" s="653"/>
      <c r="Q181" s="640"/>
      <c r="R181" s="640" t="s">
        <v>3156</v>
      </c>
      <c r="S181" s="448" t="s">
        <v>4401</v>
      </c>
      <c r="T181" s="460"/>
      <c r="U181" s="640" t="s">
        <v>171</v>
      </c>
      <c r="V181" s="685">
        <f t="shared" si="7"/>
        <v>0</v>
      </c>
      <c r="W181" s="690"/>
      <c r="X181" s="690"/>
      <c r="Y181" s="690"/>
      <c r="Z181" s="690"/>
      <c r="AA181" s="690"/>
      <c r="AB181" s="690"/>
      <c r="AC181" s="690"/>
      <c r="AD181" s="690"/>
      <c r="AE181" s="690"/>
      <c r="AF181" s="690"/>
      <c r="AG181" s="690"/>
      <c r="AH181" s="690"/>
      <c r="AI181" s="690"/>
      <c r="AJ181" s="690"/>
      <c r="AK181" s="690"/>
      <c r="AL181" s="690"/>
      <c r="AM181" s="690"/>
      <c r="AN181" s="690"/>
      <c r="AO181" s="690"/>
      <c r="AP181" s="690"/>
    </row>
    <row r="182" spans="1:42" x14ac:dyDescent="0.25">
      <c r="A182" s="134">
        <f t="shared" si="6"/>
        <v>181</v>
      </c>
      <c r="B182" s="443" t="s">
        <v>4613</v>
      </c>
      <c r="C182" s="443" t="s">
        <v>3399</v>
      </c>
      <c r="D182" s="443"/>
      <c r="E182" s="443" t="s">
        <v>7230</v>
      </c>
      <c r="F182" s="444" t="s">
        <v>4612</v>
      </c>
      <c r="G182" s="4" t="s">
        <v>7374</v>
      </c>
      <c r="H182" s="640"/>
      <c r="I182" s="640" t="s">
        <v>617</v>
      </c>
      <c r="J182" s="653"/>
      <c r="K182" s="653"/>
      <c r="L182" s="653"/>
      <c r="M182" s="653"/>
      <c r="N182" s="653"/>
      <c r="O182" s="653"/>
      <c r="P182" s="653"/>
      <c r="Q182" s="640"/>
      <c r="R182" s="640" t="s">
        <v>3156</v>
      </c>
      <c r="S182" s="448" t="s">
        <v>4402</v>
      </c>
      <c r="T182" s="460"/>
      <c r="U182" s="640" t="s">
        <v>171</v>
      </c>
      <c r="V182" s="685">
        <f t="shared" si="7"/>
        <v>0</v>
      </c>
      <c r="W182" s="690"/>
      <c r="X182" s="690"/>
      <c r="Y182" s="690"/>
      <c r="Z182" s="690"/>
      <c r="AA182" s="690"/>
      <c r="AB182" s="690"/>
      <c r="AC182" s="690"/>
      <c r="AD182" s="690"/>
      <c r="AE182" s="690"/>
      <c r="AF182" s="690"/>
      <c r="AG182" s="690"/>
      <c r="AH182" s="690"/>
      <c r="AI182" s="690"/>
      <c r="AJ182" s="690"/>
      <c r="AK182" s="690"/>
      <c r="AL182" s="690"/>
      <c r="AM182" s="690"/>
      <c r="AN182" s="690"/>
      <c r="AO182" s="690"/>
      <c r="AP182" s="690"/>
    </row>
    <row r="183" spans="1:42" x14ac:dyDescent="0.25">
      <c r="A183" s="134">
        <f t="shared" si="6"/>
        <v>182</v>
      </c>
      <c r="B183" s="443" t="s">
        <v>3400</v>
      </c>
      <c r="C183" s="443" t="s">
        <v>3400</v>
      </c>
      <c r="D183" s="443"/>
      <c r="E183" s="443" t="s">
        <v>7231</v>
      </c>
      <c r="F183" s="444" t="s">
        <v>4893</v>
      </c>
      <c r="G183" s="4"/>
      <c r="H183" s="640"/>
      <c r="I183" s="640" t="s">
        <v>617</v>
      </c>
      <c r="J183" s="653"/>
      <c r="K183" s="653"/>
      <c r="L183" s="653"/>
      <c r="M183" s="653"/>
      <c r="N183" s="653"/>
      <c r="O183" s="653" t="s">
        <v>7357</v>
      </c>
      <c r="P183" s="653"/>
      <c r="Q183" s="640"/>
      <c r="R183" s="640" t="s">
        <v>3156</v>
      </c>
      <c r="S183" s="448" t="s">
        <v>4403</v>
      </c>
      <c r="T183" s="460"/>
      <c r="U183" s="640" t="s">
        <v>171</v>
      </c>
      <c r="V183" s="685">
        <f t="shared" si="7"/>
        <v>0</v>
      </c>
      <c r="W183" s="690"/>
      <c r="X183" s="690"/>
      <c r="Y183" s="690"/>
      <c r="Z183" s="690"/>
      <c r="AA183" s="690"/>
      <c r="AB183" s="690"/>
      <c r="AC183" s="690"/>
      <c r="AD183" s="690"/>
      <c r="AE183" s="690"/>
      <c r="AF183" s="690"/>
      <c r="AG183" s="690"/>
      <c r="AH183" s="690"/>
      <c r="AI183" s="690"/>
      <c r="AJ183" s="690"/>
      <c r="AK183" s="690"/>
      <c r="AL183" s="690"/>
      <c r="AM183" s="690"/>
      <c r="AN183" s="690"/>
      <c r="AO183" s="690"/>
      <c r="AP183" s="690"/>
    </row>
    <row r="184" spans="1:42" x14ac:dyDescent="0.25">
      <c r="A184" s="134">
        <f t="shared" si="6"/>
        <v>183</v>
      </c>
      <c r="B184" s="443" t="s">
        <v>3401</v>
      </c>
      <c r="C184" s="443" t="s">
        <v>3401</v>
      </c>
      <c r="D184" s="443"/>
      <c r="E184" s="443" t="s">
        <v>7232</v>
      </c>
      <c r="F184" s="444" t="s">
        <v>4614</v>
      </c>
      <c r="G184" s="4" t="s">
        <v>7375</v>
      </c>
      <c r="H184" s="640"/>
      <c r="I184" s="640" t="s">
        <v>617</v>
      </c>
      <c r="J184" s="653"/>
      <c r="K184" s="653"/>
      <c r="L184" s="653"/>
      <c r="M184" s="653"/>
      <c r="N184" s="653"/>
      <c r="O184" s="653"/>
      <c r="P184" s="653"/>
      <c r="Q184" s="640"/>
      <c r="R184" s="640" t="s">
        <v>3152</v>
      </c>
      <c r="S184" s="448" t="s">
        <v>4469</v>
      </c>
      <c r="T184" s="460"/>
      <c r="U184" s="640" t="s">
        <v>171</v>
      </c>
      <c r="V184" s="685">
        <f t="shared" si="7"/>
        <v>0</v>
      </c>
      <c r="W184" s="690"/>
      <c r="X184" s="690"/>
      <c r="Y184" s="690"/>
      <c r="Z184" s="690"/>
      <c r="AA184" s="690"/>
      <c r="AB184" s="690"/>
      <c r="AC184" s="690"/>
      <c r="AD184" s="690"/>
      <c r="AE184" s="690"/>
      <c r="AF184" s="690"/>
      <c r="AG184" s="690"/>
      <c r="AH184" s="690"/>
      <c r="AI184" s="690"/>
      <c r="AJ184" s="690"/>
      <c r="AK184" s="690"/>
      <c r="AL184" s="690"/>
      <c r="AM184" s="690"/>
      <c r="AN184" s="690"/>
      <c r="AO184" s="690"/>
      <c r="AP184" s="690"/>
    </row>
    <row r="185" spans="1:42" x14ac:dyDescent="0.25">
      <c r="A185" s="134">
        <f t="shared" si="6"/>
        <v>184</v>
      </c>
      <c r="B185" s="443" t="s">
        <v>3402</v>
      </c>
      <c r="C185" s="443" t="s">
        <v>3402</v>
      </c>
      <c r="D185" s="443"/>
      <c r="E185" s="443" t="s">
        <v>7233</v>
      </c>
      <c r="F185" s="444" t="s">
        <v>4615</v>
      </c>
      <c r="G185" s="4"/>
      <c r="H185" s="640"/>
      <c r="I185" s="640" t="s">
        <v>617</v>
      </c>
      <c r="J185" s="653"/>
      <c r="K185" s="653"/>
      <c r="L185" s="653"/>
      <c r="M185" s="653"/>
      <c r="N185" s="653"/>
      <c r="O185" s="653"/>
      <c r="P185" s="653"/>
      <c r="Q185" s="640"/>
      <c r="R185" s="640" t="s">
        <v>3152</v>
      </c>
      <c r="S185" s="448" t="s">
        <v>4470</v>
      </c>
      <c r="T185" s="460"/>
      <c r="U185" s="640" t="s">
        <v>171</v>
      </c>
      <c r="V185" s="685">
        <f t="shared" si="7"/>
        <v>0</v>
      </c>
      <c r="W185" s="690"/>
      <c r="X185" s="690"/>
      <c r="Y185" s="690"/>
      <c r="Z185" s="690"/>
      <c r="AA185" s="690"/>
      <c r="AB185" s="690"/>
      <c r="AC185" s="690"/>
      <c r="AD185" s="690"/>
      <c r="AE185" s="690"/>
      <c r="AF185" s="690"/>
      <c r="AG185" s="690"/>
      <c r="AH185" s="690"/>
      <c r="AI185" s="690"/>
      <c r="AJ185" s="690"/>
      <c r="AK185" s="690"/>
      <c r="AL185" s="690"/>
      <c r="AM185" s="690"/>
      <c r="AN185" s="690"/>
      <c r="AO185" s="690"/>
      <c r="AP185" s="690"/>
    </row>
    <row r="186" spans="1:42" x14ac:dyDescent="0.25">
      <c r="A186" s="134">
        <f t="shared" si="6"/>
        <v>185</v>
      </c>
      <c r="B186" s="443" t="s">
        <v>3403</v>
      </c>
      <c r="C186" s="443" t="s">
        <v>3403</v>
      </c>
      <c r="D186" s="443"/>
      <c r="E186" s="443" t="s">
        <v>7234</v>
      </c>
      <c r="F186" s="444" t="s">
        <v>4894</v>
      </c>
      <c r="G186" s="4"/>
      <c r="H186" s="640"/>
      <c r="I186" s="640" t="s">
        <v>617</v>
      </c>
      <c r="J186" s="653" t="s">
        <v>6266</v>
      </c>
      <c r="K186" s="653" t="s">
        <v>6270</v>
      </c>
      <c r="L186" s="653"/>
      <c r="M186" s="653" t="s">
        <v>7227</v>
      </c>
      <c r="N186" s="653"/>
      <c r="O186" s="653"/>
      <c r="P186" s="653"/>
      <c r="Q186" s="640"/>
      <c r="R186" s="640" t="s">
        <v>3152</v>
      </c>
      <c r="S186" s="448" t="s">
        <v>4400</v>
      </c>
      <c r="T186" s="460"/>
      <c r="U186" s="640" t="s">
        <v>171</v>
      </c>
      <c r="V186" s="685">
        <f t="shared" si="7"/>
        <v>0</v>
      </c>
      <c r="W186" s="690"/>
      <c r="X186" s="690"/>
      <c r="Y186" s="690"/>
      <c r="Z186" s="690"/>
      <c r="AA186" s="690"/>
      <c r="AB186" s="690"/>
      <c r="AC186" s="690"/>
      <c r="AD186" s="690"/>
      <c r="AE186" s="690"/>
      <c r="AF186" s="690"/>
      <c r="AG186" s="690"/>
      <c r="AH186" s="690"/>
      <c r="AI186" s="690"/>
      <c r="AJ186" s="690"/>
      <c r="AK186" s="690"/>
      <c r="AL186" s="690"/>
      <c r="AM186" s="690"/>
      <c r="AN186" s="690"/>
      <c r="AO186" s="690"/>
      <c r="AP186" s="690"/>
    </row>
    <row r="187" spans="1:42" x14ac:dyDescent="0.25">
      <c r="A187" s="134">
        <f t="shared" si="6"/>
        <v>186</v>
      </c>
      <c r="B187" s="443" t="s">
        <v>3404</v>
      </c>
      <c r="C187" s="443" t="s">
        <v>3404</v>
      </c>
      <c r="D187" s="443"/>
      <c r="E187" s="443" t="s">
        <v>7235</v>
      </c>
      <c r="F187" s="444" t="s">
        <v>4616</v>
      </c>
      <c r="G187" s="4"/>
      <c r="H187" s="640"/>
      <c r="I187" s="640" t="s">
        <v>617</v>
      </c>
      <c r="J187" s="653"/>
      <c r="K187" s="653"/>
      <c r="L187" s="653"/>
      <c r="M187" s="653"/>
      <c r="N187" s="653"/>
      <c r="O187" s="653"/>
      <c r="P187" s="653"/>
      <c r="Q187" s="640"/>
      <c r="R187" s="640" t="s">
        <v>3152</v>
      </c>
      <c r="S187" s="448" t="s">
        <v>4401</v>
      </c>
      <c r="T187" s="460"/>
      <c r="U187" s="640" t="s">
        <v>171</v>
      </c>
      <c r="V187" s="685">
        <f t="shared" si="7"/>
        <v>0</v>
      </c>
      <c r="W187" s="690"/>
      <c r="X187" s="690"/>
      <c r="Y187" s="690"/>
      <c r="Z187" s="690"/>
      <c r="AA187" s="690"/>
      <c r="AB187" s="690"/>
      <c r="AC187" s="690"/>
      <c r="AD187" s="690"/>
      <c r="AE187" s="690"/>
      <c r="AF187" s="690"/>
      <c r="AG187" s="690"/>
      <c r="AH187" s="690"/>
      <c r="AI187" s="690"/>
      <c r="AJ187" s="690"/>
      <c r="AK187" s="690"/>
      <c r="AL187" s="690"/>
      <c r="AM187" s="690"/>
      <c r="AN187" s="690"/>
      <c r="AO187" s="690"/>
      <c r="AP187" s="690"/>
    </row>
    <row r="188" spans="1:42" x14ac:dyDescent="0.25">
      <c r="A188" s="134">
        <f t="shared" si="6"/>
        <v>187</v>
      </c>
      <c r="B188" s="443" t="s">
        <v>4618</v>
      </c>
      <c r="C188" s="443" t="s">
        <v>3405</v>
      </c>
      <c r="D188" s="443"/>
      <c r="E188" s="443" t="s">
        <v>7236</v>
      </c>
      <c r="F188" s="444" t="s">
        <v>4617</v>
      </c>
      <c r="G188" s="4"/>
      <c r="H188" s="640"/>
      <c r="I188" s="640" t="s">
        <v>617</v>
      </c>
      <c r="J188" s="653"/>
      <c r="K188" s="653"/>
      <c r="L188" s="653"/>
      <c r="M188" s="653"/>
      <c r="N188" s="653"/>
      <c r="O188" s="653"/>
      <c r="P188" s="653"/>
      <c r="Q188" s="640"/>
      <c r="R188" s="640" t="s">
        <v>3152</v>
      </c>
      <c r="S188" s="448" t="s">
        <v>4402</v>
      </c>
      <c r="T188" s="460"/>
      <c r="U188" s="640" t="s">
        <v>171</v>
      </c>
      <c r="V188" s="685">
        <f t="shared" si="7"/>
        <v>0</v>
      </c>
      <c r="W188" s="690"/>
      <c r="X188" s="690"/>
      <c r="Y188" s="690"/>
      <c r="Z188" s="690"/>
      <c r="AA188" s="690"/>
      <c r="AB188" s="690"/>
      <c r="AC188" s="690"/>
      <c r="AD188" s="690"/>
      <c r="AE188" s="690"/>
      <c r="AF188" s="690"/>
      <c r="AG188" s="690"/>
      <c r="AH188" s="690"/>
      <c r="AI188" s="690"/>
      <c r="AJ188" s="690"/>
      <c r="AK188" s="690"/>
      <c r="AL188" s="690"/>
      <c r="AM188" s="690"/>
      <c r="AN188" s="690"/>
      <c r="AO188" s="690"/>
      <c r="AP188" s="690"/>
    </row>
    <row r="189" spans="1:42" x14ac:dyDescent="0.25">
      <c r="A189" s="134">
        <f t="shared" si="6"/>
        <v>188</v>
      </c>
      <c r="B189" s="443" t="s">
        <v>3406</v>
      </c>
      <c r="C189" s="443" t="s">
        <v>3406</v>
      </c>
      <c r="D189" s="443"/>
      <c r="E189" s="443" t="s">
        <v>7237</v>
      </c>
      <c r="F189" s="444" t="s">
        <v>4895</v>
      </c>
      <c r="G189" s="4"/>
      <c r="H189" s="640"/>
      <c r="I189" s="640" t="s">
        <v>617</v>
      </c>
      <c r="J189" s="653"/>
      <c r="K189" s="653"/>
      <c r="L189" s="653"/>
      <c r="M189" s="653"/>
      <c r="N189" s="653"/>
      <c r="O189" s="653"/>
      <c r="P189" s="653"/>
      <c r="Q189" s="640"/>
      <c r="R189" s="640" t="s">
        <v>3152</v>
      </c>
      <c r="S189" s="448" t="s">
        <v>4403</v>
      </c>
      <c r="T189" s="460"/>
      <c r="U189" s="640" t="s">
        <v>171</v>
      </c>
      <c r="V189" s="685">
        <f t="shared" si="7"/>
        <v>0</v>
      </c>
      <c r="W189" s="690"/>
      <c r="X189" s="690"/>
      <c r="Y189" s="690"/>
      <c r="Z189" s="690"/>
      <c r="AA189" s="690"/>
      <c r="AB189" s="690"/>
      <c r="AC189" s="690"/>
      <c r="AD189" s="690"/>
      <c r="AE189" s="690"/>
      <c r="AF189" s="690"/>
      <c r="AG189" s="690"/>
      <c r="AH189" s="690"/>
      <c r="AI189" s="690"/>
      <c r="AJ189" s="690"/>
      <c r="AK189" s="690"/>
      <c r="AL189" s="690"/>
      <c r="AM189" s="690"/>
      <c r="AN189" s="690"/>
      <c r="AO189" s="690"/>
      <c r="AP189" s="690"/>
    </row>
    <row r="190" spans="1:42" x14ac:dyDescent="0.25">
      <c r="A190" s="134">
        <f t="shared" si="6"/>
        <v>189</v>
      </c>
      <c r="B190" s="443" t="s">
        <v>3551</v>
      </c>
      <c r="C190" s="443" t="s">
        <v>3551</v>
      </c>
      <c r="D190" s="443"/>
      <c r="E190" s="443"/>
      <c r="F190" s="444" t="s">
        <v>4619</v>
      </c>
      <c r="G190" s="4" t="s">
        <v>7238</v>
      </c>
      <c r="H190" s="640"/>
      <c r="I190" s="640" t="s">
        <v>617</v>
      </c>
      <c r="J190" s="653"/>
      <c r="K190" s="653"/>
      <c r="L190" s="653"/>
      <c r="M190" s="653"/>
      <c r="N190" s="653"/>
      <c r="O190" s="653"/>
      <c r="P190" s="653"/>
      <c r="Q190" s="640"/>
      <c r="R190" s="640" t="s">
        <v>122</v>
      </c>
      <c r="S190" s="448" t="s">
        <v>4469</v>
      </c>
      <c r="T190" s="460"/>
      <c r="U190" s="640" t="s">
        <v>171</v>
      </c>
      <c r="V190" s="685">
        <f t="shared" si="7"/>
        <v>0</v>
      </c>
      <c r="W190" s="690"/>
      <c r="X190" s="690"/>
      <c r="Y190" s="690"/>
      <c r="Z190" s="690"/>
      <c r="AA190" s="690"/>
      <c r="AB190" s="690"/>
      <c r="AC190" s="690"/>
      <c r="AD190" s="690"/>
      <c r="AE190" s="690"/>
      <c r="AF190" s="690"/>
      <c r="AG190" s="690"/>
      <c r="AH190" s="690"/>
      <c r="AI190" s="690"/>
      <c r="AJ190" s="690"/>
      <c r="AK190" s="690"/>
      <c r="AL190" s="690"/>
      <c r="AM190" s="690"/>
      <c r="AN190" s="690"/>
      <c r="AO190" s="690"/>
      <c r="AP190" s="690"/>
    </row>
    <row r="191" spans="1:42" x14ac:dyDescent="0.25">
      <c r="A191" s="134">
        <f t="shared" si="6"/>
        <v>190</v>
      </c>
      <c r="B191" s="443" t="s">
        <v>3410</v>
      </c>
      <c r="C191" s="443" t="s">
        <v>3410</v>
      </c>
      <c r="D191" s="443"/>
      <c r="E191" s="443" t="s">
        <v>7239</v>
      </c>
      <c r="F191" s="444" t="s">
        <v>4896</v>
      </c>
      <c r="G191" s="4"/>
      <c r="H191" s="640"/>
      <c r="I191" s="640" t="s">
        <v>617</v>
      </c>
      <c r="J191" s="653"/>
      <c r="K191" s="653"/>
      <c r="L191" s="653"/>
      <c r="M191" s="653"/>
      <c r="N191" s="653" t="s">
        <v>7363</v>
      </c>
      <c r="O191" s="653" t="s">
        <v>7358</v>
      </c>
      <c r="P191" s="653"/>
      <c r="Q191" s="640"/>
      <c r="R191" s="640" t="s">
        <v>122</v>
      </c>
      <c r="S191" s="448" t="s">
        <v>4470</v>
      </c>
      <c r="T191" s="460"/>
      <c r="U191" s="640" t="s">
        <v>171</v>
      </c>
      <c r="V191" s="685">
        <f t="shared" si="7"/>
        <v>0</v>
      </c>
      <c r="W191" s="690"/>
      <c r="X191" s="690"/>
      <c r="Y191" s="690"/>
      <c r="Z191" s="690"/>
      <c r="AA191" s="690"/>
      <c r="AB191" s="690"/>
      <c r="AC191" s="690"/>
      <c r="AD191" s="690"/>
      <c r="AE191" s="690"/>
      <c r="AF191" s="690"/>
      <c r="AG191" s="690"/>
      <c r="AH191" s="690"/>
      <c r="AI191" s="690"/>
      <c r="AJ191" s="690"/>
      <c r="AK191" s="690"/>
      <c r="AL191" s="690"/>
      <c r="AM191" s="690"/>
      <c r="AN191" s="690"/>
      <c r="AO191" s="690"/>
      <c r="AP191" s="690"/>
    </row>
    <row r="192" spans="1:42" x14ac:dyDescent="0.25">
      <c r="A192" s="134">
        <f t="shared" si="6"/>
        <v>191</v>
      </c>
      <c r="B192" s="443" t="s">
        <v>3407</v>
      </c>
      <c r="C192" s="443" t="s">
        <v>3407</v>
      </c>
      <c r="D192" s="443"/>
      <c r="E192" s="443" t="s">
        <v>7242</v>
      </c>
      <c r="F192" s="444" t="s">
        <v>4897</v>
      </c>
      <c r="G192" s="4"/>
      <c r="H192" s="640"/>
      <c r="I192" s="640" t="s">
        <v>617</v>
      </c>
      <c r="J192" s="653" t="s">
        <v>6266</v>
      </c>
      <c r="K192" s="653" t="s">
        <v>6270</v>
      </c>
      <c r="L192" s="653"/>
      <c r="M192" s="653" t="s">
        <v>7227</v>
      </c>
      <c r="N192" s="653"/>
      <c r="O192" s="653"/>
      <c r="P192" s="653"/>
      <c r="Q192" s="640"/>
      <c r="R192" s="640" t="s">
        <v>122</v>
      </c>
      <c r="S192" s="448" t="s">
        <v>4400</v>
      </c>
      <c r="T192" s="460"/>
      <c r="U192" s="640" t="s">
        <v>171</v>
      </c>
      <c r="V192" s="685">
        <f t="shared" si="7"/>
        <v>0</v>
      </c>
      <c r="W192" s="690"/>
      <c r="X192" s="690"/>
      <c r="Y192" s="690"/>
      <c r="Z192" s="690"/>
      <c r="AA192" s="690"/>
      <c r="AB192" s="690"/>
      <c r="AC192" s="690"/>
      <c r="AD192" s="690"/>
      <c r="AE192" s="690"/>
      <c r="AF192" s="690"/>
      <c r="AG192" s="690"/>
      <c r="AH192" s="690"/>
      <c r="AI192" s="690"/>
      <c r="AJ192" s="690"/>
      <c r="AK192" s="690"/>
      <c r="AL192" s="690"/>
      <c r="AM192" s="690"/>
      <c r="AN192" s="690"/>
      <c r="AO192" s="690"/>
      <c r="AP192" s="690"/>
    </row>
    <row r="193" spans="1:42" x14ac:dyDescent="0.25">
      <c r="A193" s="134">
        <f t="shared" si="6"/>
        <v>192</v>
      </c>
      <c r="B193" s="443" t="s">
        <v>3408</v>
      </c>
      <c r="C193" s="443" t="s">
        <v>3408</v>
      </c>
      <c r="D193" s="443"/>
      <c r="E193" s="443" t="s">
        <v>7243</v>
      </c>
      <c r="F193" s="444" t="s">
        <v>4620</v>
      </c>
      <c r="G193" s="4"/>
      <c r="H193" s="640"/>
      <c r="I193" s="640" t="s">
        <v>617</v>
      </c>
      <c r="J193" s="653"/>
      <c r="K193" s="653"/>
      <c r="L193" s="653"/>
      <c r="M193" s="653"/>
      <c r="N193" s="653"/>
      <c r="O193" s="653"/>
      <c r="P193" s="653"/>
      <c r="Q193" s="640"/>
      <c r="R193" s="640" t="s">
        <v>122</v>
      </c>
      <c r="S193" s="448" t="s">
        <v>4401</v>
      </c>
      <c r="T193" s="460"/>
      <c r="U193" s="640" t="s">
        <v>171</v>
      </c>
      <c r="V193" s="685">
        <f t="shared" si="7"/>
        <v>0</v>
      </c>
      <c r="W193" s="690"/>
      <c r="X193" s="690"/>
      <c r="Y193" s="690"/>
      <c r="Z193" s="690"/>
      <c r="AA193" s="690"/>
      <c r="AB193" s="690"/>
      <c r="AC193" s="690"/>
      <c r="AD193" s="690"/>
      <c r="AE193" s="690"/>
      <c r="AF193" s="690"/>
      <c r="AG193" s="690"/>
      <c r="AH193" s="690"/>
      <c r="AI193" s="690"/>
      <c r="AJ193" s="690"/>
      <c r="AK193" s="690"/>
      <c r="AL193" s="690"/>
      <c r="AM193" s="690"/>
      <c r="AN193" s="690"/>
      <c r="AO193" s="690"/>
      <c r="AP193" s="690"/>
    </row>
    <row r="194" spans="1:42" x14ac:dyDescent="0.25">
      <c r="A194" s="134">
        <f t="shared" si="6"/>
        <v>193</v>
      </c>
      <c r="B194" s="443" t="s">
        <v>3399</v>
      </c>
      <c r="C194" s="443" t="s">
        <v>3399</v>
      </c>
      <c r="D194" s="443"/>
      <c r="E194" s="443" t="s">
        <v>7230</v>
      </c>
      <c r="F194" s="444" t="s">
        <v>4612</v>
      </c>
      <c r="G194" s="4"/>
      <c r="H194" s="640"/>
      <c r="I194" s="640" t="s">
        <v>617</v>
      </c>
      <c r="J194" s="653"/>
      <c r="K194" s="653"/>
      <c r="L194" s="653"/>
      <c r="M194" s="653"/>
      <c r="N194" s="653"/>
      <c r="O194" s="653"/>
      <c r="P194" s="653"/>
      <c r="Q194" s="640"/>
      <c r="R194" s="640" t="s">
        <v>122</v>
      </c>
      <c r="S194" s="448" t="s">
        <v>4402</v>
      </c>
      <c r="T194" s="460"/>
      <c r="U194" s="640" t="s">
        <v>171</v>
      </c>
      <c r="V194" s="685">
        <f t="shared" si="7"/>
        <v>0</v>
      </c>
      <c r="W194" s="690"/>
      <c r="X194" s="690"/>
      <c r="Y194" s="690"/>
      <c r="Z194" s="690"/>
      <c r="AA194" s="690"/>
      <c r="AB194" s="690"/>
      <c r="AC194" s="690"/>
      <c r="AD194" s="690"/>
      <c r="AE194" s="690"/>
      <c r="AF194" s="690"/>
      <c r="AG194" s="690"/>
      <c r="AH194" s="690"/>
      <c r="AI194" s="690"/>
      <c r="AJ194" s="690"/>
      <c r="AK194" s="690"/>
      <c r="AL194" s="690"/>
      <c r="AM194" s="690"/>
      <c r="AN194" s="690"/>
      <c r="AO194" s="690"/>
      <c r="AP194" s="690"/>
    </row>
    <row r="195" spans="1:42" x14ac:dyDescent="0.25">
      <c r="A195" s="134">
        <f t="shared" ref="A195:A258" si="8">IF(B195="","",1+A194)</f>
        <v>194</v>
      </c>
      <c r="B195" s="443" t="s">
        <v>3409</v>
      </c>
      <c r="C195" s="443" t="s">
        <v>3409</v>
      </c>
      <c r="D195" s="443"/>
      <c r="E195" s="443" t="s">
        <v>7244</v>
      </c>
      <c r="F195" s="444" t="s">
        <v>4621</v>
      </c>
      <c r="G195" s="4"/>
      <c r="H195" s="640"/>
      <c r="I195" s="640" t="s">
        <v>617</v>
      </c>
      <c r="J195" s="653" t="s">
        <v>6266</v>
      </c>
      <c r="K195" s="653" t="s">
        <v>6270</v>
      </c>
      <c r="L195" s="653"/>
      <c r="M195" s="653"/>
      <c r="N195" s="653"/>
      <c r="O195" s="653"/>
      <c r="P195" s="653"/>
      <c r="Q195" s="640"/>
      <c r="R195" s="640" t="s">
        <v>122</v>
      </c>
      <c r="S195" s="448" t="s">
        <v>4403</v>
      </c>
      <c r="T195" s="460"/>
      <c r="U195" s="640" t="s">
        <v>171</v>
      </c>
      <c r="V195" s="685">
        <f t="shared" ref="V195:V258" si="9">COUNTA(W195:AP195)</f>
        <v>0</v>
      </c>
      <c r="W195" s="690"/>
      <c r="X195" s="690"/>
      <c r="Y195" s="690"/>
      <c r="Z195" s="690"/>
      <c r="AA195" s="690"/>
      <c r="AB195" s="690"/>
      <c r="AC195" s="690"/>
      <c r="AD195" s="690"/>
      <c r="AE195" s="690"/>
      <c r="AF195" s="690"/>
      <c r="AG195" s="690"/>
      <c r="AH195" s="690"/>
      <c r="AI195" s="690"/>
      <c r="AJ195" s="690"/>
      <c r="AK195" s="690"/>
      <c r="AL195" s="690"/>
      <c r="AM195" s="690"/>
      <c r="AN195" s="690"/>
      <c r="AO195" s="690"/>
      <c r="AP195" s="690"/>
    </row>
    <row r="196" spans="1:42" x14ac:dyDescent="0.25">
      <c r="A196" s="134">
        <f t="shared" si="8"/>
        <v>195</v>
      </c>
      <c r="B196" s="443" t="s">
        <v>3547</v>
      </c>
      <c r="C196" s="443" t="s">
        <v>3547</v>
      </c>
      <c r="D196" s="443"/>
      <c r="E196" s="443" t="s">
        <v>7245</v>
      </c>
      <c r="F196" s="444" t="s">
        <v>4622</v>
      </c>
      <c r="G196" s="4" t="s">
        <v>7449</v>
      </c>
      <c r="H196" s="640"/>
      <c r="I196" s="640" t="s">
        <v>617</v>
      </c>
      <c r="J196" s="653"/>
      <c r="K196" s="653"/>
      <c r="L196" s="653"/>
      <c r="M196" s="653"/>
      <c r="N196" s="653"/>
      <c r="O196" s="653"/>
      <c r="P196" s="653"/>
      <c r="Q196" s="640"/>
      <c r="R196" s="640" t="s">
        <v>611</v>
      </c>
      <c r="S196" s="448" t="s">
        <v>4469</v>
      </c>
      <c r="T196" s="460"/>
      <c r="U196" s="640" t="s">
        <v>171</v>
      </c>
      <c r="V196" s="685">
        <f t="shared" si="9"/>
        <v>0</v>
      </c>
      <c r="W196" s="690"/>
      <c r="X196" s="690"/>
      <c r="Y196" s="690"/>
      <c r="Z196" s="690"/>
      <c r="AA196" s="690"/>
      <c r="AB196" s="690"/>
      <c r="AC196" s="690"/>
      <c r="AD196" s="690"/>
      <c r="AE196" s="690"/>
      <c r="AF196" s="690"/>
      <c r="AG196" s="690"/>
      <c r="AH196" s="690"/>
      <c r="AI196" s="690"/>
      <c r="AJ196" s="690"/>
      <c r="AK196" s="690"/>
      <c r="AL196" s="690"/>
      <c r="AM196" s="690"/>
      <c r="AN196" s="690"/>
      <c r="AO196" s="690"/>
      <c r="AP196" s="690"/>
    </row>
    <row r="197" spans="1:42" x14ac:dyDescent="0.25">
      <c r="A197" s="134">
        <f t="shared" si="8"/>
        <v>196</v>
      </c>
      <c r="B197" s="443" t="s">
        <v>3411</v>
      </c>
      <c r="C197" s="443" t="s">
        <v>3411</v>
      </c>
      <c r="D197" s="443"/>
      <c r="E197" s="443" t="s">
        <v>7246</v>
      </c>
      <c r="F197" s="444" t="s">
        <v>4898</v>
      </c>
      <c r="G197" s="4"/>
      <c r="H197" s="640"/>
      <c r="I197" s="640" t="s">
        <v>617</v>
      </c>
      <c r="J197" s="653" t="s">
        <v>6266</v>
      </c>
      <c r="K197" s="653" t="s">
        <v>6270</v>
      </c>
      <c r="L197" s="653"/>
      <c r="M197" s="653" t="s">
        <v>7227</v>
      </c>
      <c r="N197" s="653"/>
      <c r="O197" s="653"/>
      <c r="P197" s="653"/>
      <c r="Q197" s="640"/>
      <c r="R197" s="640" t="s">
        <v>611</v>
      </c>
      <c r="S197" s="448" t="s">
        <v>4400</v>
      </c>
      <c r="T197" s="460"/>
      <c r="U197" s="640" t="s">
        <v>171</v>
      </c>
      <c r="V197" s="685">
        <f t="shared" si="9"/>
        <v>0</v>
      </c>
      <c r="W197" s="690"/>
      <c r="X197" s="690"/>
      <c r="Y197" s="690"/>
      <c r="Z197" s="690"/>
      <c r="AA197" s="690"/>
      <c r="AB197" s="690"/>
      <c r="AC197" s="690"/>
      <c r="AD197" s="690"/>
      <c r="AE197" s="690"/>
      <c r="AF197" s="690"/>
      <c r="AG197" s="690"/>
      <c r="AH197" s="690"/>
      <c r="AI197" s="690"/>
      <c r="AJ197" s="690"/>
      <c r="AK197" s="690"/>
      <c r="AL197" s="690"/>
      <c r="AM197" s="690"/>
      <c r="AN197" s="690"/>
      <c r="AO197" s="690"/>
      <c r="AP197" s="690"/>
    </row>
    <row r="198" spans="1:42" x14ac:dyDescent="0.25">
      <c r="A198" s="134">
        <f t="shared" si="8"/>
        <v>197</v>
      </c>
      <c r="B198" s="443" t="s">
        <v>3412</v>
      </c>
      <c r="C198" s="443" t="s">
        <v>3412</v>
      </c>
      <c r="D198" s="443"/>
      <c r="E198" s="443" t="s">
        <v>7247</v>
      </c>
      <c r="F198" s="444" t="s">
        <v>4624</v>
      </c>
      <c r="G198" s="4"/>
      <c r="H198" s="640"/>
      <c r="I198" s="640" t="s">
        <v>617</v>
      </c>
      <c r="J198" s="653" t="s">
        <v>6266</v>
      </c>
      <c r="K198" s="653" t="s">
        <v>6270</v>
      </c>
      <c r="L198" s="653"/>
      <c r="M198" s="653"/>
      <c r="N198" s="653"/>
      <c r="O198" s="653"/>
      <c r="P198" s="653"/>
      <c r="Q198" s="640"/>
      <c r="R198" s="640" t="s">
        <v>611</v>
      </c>
      <c r="S198" s="448" t="s">
        <v>4401</v>
      </c>
      <c r="T198" s="460"/>
      <c r="U198" s="640" t="s">
        <v>171</v>
      </c>
      <c r="V198" s="685">
        <f t="shared" si="9"/>
        <v>0</v>
      </c>
      <c r="W198" s="690"/>
      <c r="X198" s="690"/>
      <c r="Y198" s="690"/>
      <c r="Z198" s="690"/>
      <c r="AA198" s="690"/>
      <c r="AB198" s="690"/>
      <c r="AC198" s="690"/>
      <c r="AD198" s="690"/>
      <c r="AE198" s="690"/>
      <c r="AF198" s="690"/>
      <c r="AG198" s="690"/>
      <c r="AH198" s="690"/>
      <c r="AI198" s="690"/>
      <c r="AJ198" s="690"/>
      <c r="AK198" s="690"/>
      <c r="AL198" s="690"/>
      <c r="AM198" s="690"/>
      <c r="AN198" s="690"/>
      <c r="AO198" s="690"/>
      <c r="AP198" s="690"/>
    </row>
    <row r="199" spans="1:42" x14ac:dyDescent="0.25">
      <c r="A199" s="134">
        <f t="shared" si="8"/>
        <v>198</v>
      </c>
      <c r="B199" s="443" t="s">
        <v>3413</v>
      </c>
      <c r="C199" s="443" t="s">
        <v>3413</v>
      </c>
      <c r="D199" s="443"/>
      <c r="E199" s="443" t="s">
        <v>7248</v>
      </c>
      <c r="F199" s="445" t="s">
        <v>4626</v>
      </c>
      <c r="G199" s="4"/>
      <c r="H199" s="448"/>
      <c r="I199" s="640" t="s">
        <v>617</v>
      </c>
      <c r="J199" s="653" t="s">
        <v>6266</v>
      </c>
      <c r="K199" s="653" t="s">
        <v>6270</v>
      </c>
      <c r="L199" s="653"/>
      <c r="M199" s="653"/>
      <c r="N199" s="653"/>
      <c r="O199" s="653"/>
      <c r="P199" s="653"/>
      <c r="Q199" s="640"/>
      <c r="R199" s="640" t="s">
        <v>611</v>
      </c>
      <c r="S199" s="448" t="s">
        <v>4403</v>
      </c>
      <c r="T199" s="460"/>
      <c r="U199" s="640" t="s">
        <v>171</v>
      </c>
      <c r="V199" s="685">
        <f t="shared" si="9"/>
        <v>0</v>
      </c>
      <c r="W199" s="690"/>
      <c r="X199" s="690"/>
      <c r="Y199" s="690"/>
      <c r="Z199" s="690"/>
      <c r="AA199" s="690"/>
      <c r="AB199" s="690"/>
      <c r="AC199" s="690"/>
      <c r="AD199" s="690"/>
      <c r="AE199" s="690"/>
      <c r="AF199" s="690"/>
      <c r="AG199" s="690"/>
      <c r="AH199" s="690"/>
      <c r="AI199" s="690"/>
      <c r="AJ199" s="690"/>
      <c r="AK199" s="690"/>
      <c r="AL199" s="690"/>
      <c r="AM199" s="690"/>
      <c r="AN199" s="690"/>
      <c r="AO199" s="690"/>
      <c r="AP199" s="690"/>
    </row>
    <row r="200" spans="1:42" x14ac:dyDescent="0.25">
      <c r="A200" s="134">
        <f t="shared" si="8"/>
        <v>199</v>
      </c>
      <c r="B200" s="443" t="s">
        <v>4627</v>
      </c>
      <c r="C200" s="443" t="s">
        <v>3405</v>
      </c>
      <c r="D200" s="443"/>
      <c r="E200" s="443" t="s">
        <v>7249</v>
      </c>
      <c r="F200" s="444" t="s">
        <v>4625</v>
      </c>
      <c r="G200" s="4"/>
      <c r="H200" s="640"/>
      <c r="I200" s="640" t="s">
        <v>617</v>
      </c>
      <c r="J200" s="653"/>
      <c r="K200" s="653"/>
      <c r="L200" s="653"/>
      <c r="M200" s="653"/>
      <c r="N200" s="653"/>
      <c r="O200" s="653"/>
      <c r="P200" s="653"/>
      <c r="Q200" s="640"/>
      <c r="R200" s="640" t="s">
        <v>611</v>
      </c>
      <c r="S200" s="448" t="s">
        <v>4402</v>
      </c>
      <c r="T200" s="460"/>
      <c r="U200" s="640" t="s">
        <v>171</v>
      </c>
      <c r="V200" s="685">
        <f t="shared" si="9"/>
        <v>0</v>
      </c>
      <c r="W200" s="690"/>
      <c r="X200" s="690"/>
      <c r="Y200" s="690"/>
      <c r="Z200" s="690"/>
      <c r="AA200" s="690"/>
      <c r="AB200" s="690"/>
      <c r="AC200" s="690"/>
      <c r="AD200" s="690"/>
      <c r="AE200" s="690"/>
      <c r="AF200" s="690"/>
      <c r="AG200" s="690"/>
      <c r="AH200" s="690"/>
      <c r="AI200" s="690"/>
      <c r="AJ200" s="690"/>
      <c r="AK200" s="690"/>
      <c r="AL200" s="690"/>
      <c r="AM200" s="690"/>
      <c r="AN200" s="690"/>
      <c r="AO200" s="690"/>
      <c r="AP200" s="690"/>
    </row>
    <row r="201" spans="1:42" x14ac:dyDescent="0.25">
      <c r="A201" s="134">
        <f t="shared" si="8"/>
        <v>200</v>
      </c>
      <c r="B201" s="443" t="s">
        <v>3414</v>
      </c>
      <c r="C201" s="443" t="s">
        <v>3414</v>
      </c>
      <c r="D201" s="443"/>
      <c r="E201" s="443" t="s">
        <v>7250</v>
      </c>
      <c r="F201" s="444" t="s">
        <v>4623</v>
      </c>
      <c r="G201" s="4" t="s">
        <v>7375</v>
      </c>
      <c r="H201" s="640"/>
      <c r="I201" s="640" t="s">
        <v>617</v>
      </c>
      <c r="J201" s="653"/>
      <c r="K201" s="653"/>
      <c r="L201" s="653"/>
      <c r="M201" s="653"/>
      <c r="N201" s="653"/>
      <c r="O201" s="653"/>
      <c r="P201" s="653"/>
      <c r="Q201" s="640"/>
      <c r="R201" s="640" t="s">
        <v>611</v>
      </c>
      <c r="S201" s="448" t="s">
        <v>4470</v>
      </c>
      <c r="T201" s="460"/>
      <c r="U201" s="640" t="s">
        <v>171</v>
      </c>
      <c r="V201" s="685">
        <f t="shared" si="9"/>
        <v>0</v>
      </c>
      <c r="W201" s="690"/>
      <c r="X201" s="690"/>
      <c r="Y201" s="690"/>
      <c r="Z201" s="690"/>
      <c r="AA201" s="690"/>
      <c r="AB201" s="690"/>
      <c r="AC201" s="690"/>
      <c r="AD201" s="690"/>
      <c r="AE201" s="690"/>
      <c r="AF201" s="690"/>
      <c r="AG201" s="690"/>
      <c r="AH201" s="690"/>
      <c r="AI201" s="690"/>
      <c r="AJ201" s="690"/>
      <c r="AK201" s="690"/>
      <c r="AL201" s="690"/>
      <c r="AM201" s="690"/>
      <c r="AN201" s="690"/>
      <c r="AO201" s="690"/>
      <c r="AP201" s="690"/>
    </row>
    <row r="202" spans="1:42" x14ac:dyDescent="0.25">
      <c r="A202" s="134">
        <f t="shared" si="8"/>
        <v>201</v>
      </c>
      <c r="B202" s="443" t="s">
        <v>3548</v>
      </c>
      <c r="C202" s="443" t="s">
        <v>3548</v>
      </c>
      <c r="D202" s="443"/>
      <c r="E202" s="443" t="s">
        <v>7251</v>
      </c>
      <c r="F202" s="445" t="s">
        <v>4628</v>
      </c>
      <c r="G202" s="4" t="s">
        <v>7376</v>
      </c>
      <c r="H202" s="640"/>
      <c r="I202" s="640" t="s">
        <v>617</v>
      </c>
      <c r="J202" s="653"/>
      <c r="K202" s="653"/>
      <c r="L202" s="653"/>
      <c r="M202" s="653"/>
      <c r="N202" s="653"/>
      <c r="O202" s="653"/>
      <c r="P202" s="653"/>
      <c r="Q202" s="640"/>
      <c r="R202" s="640" t="s">
        <v>3424</v>
      </c>
      <c r="S202" s="448" t="s">
        <v>4469</v>
      </c>
      <c r="T202" s="460"/>
      <c r="U202" s="640" t="s">
        <v>171</v>
      </c>
      <c r="V202" s="685">
        <f t="shared" si="9"/>
        <v>0</v>
      </c>
      <c r="W202" s="690"/>
      <c r="X202" s="690"/>
      <c r="Y202" s="690"/>
      <c r="Z202" s="690"/>
      <c r="AA202" s="690"/>
      <c r="AB202" s="690"/>
      <c r="AC202" s="690"/>
      <c r="AD202" s="690"/>
      <c r="AE202" s="690"/>
      <c r="AF202" s="690"/>
      <c r="AG202" s="690"/>
      <c r="AH202" s="690"/>
      <c r="AI202" s="690"/>
      <c r="AJ202" s="690"/>
      <c r="AK202" s="690"/>
      <c r="AL202" s="690"/>
      <c r="AM202" s="690"/>
      <c r="AN202" s="690"/>
      <c r="AO202" s="690"/>
      <c r="AP202" s="690"/>
    </row>
    <row r="203" spans="1:42" x14ac:dyDescent="0.25">
      <c r="A203" s="134">
        <f t="shared" si="8"/>
        <v>202</v>
      </c>
      <c r="B203" s="443" t="s">
        <v>3415</v>
      </c>
      <c r="C203" s="443" t="s">
        <v>3415</v>
      </c>
      <c r="D203" s="443"/>
      <c r="E203" s="443" t="s">
        <v>7252</v>
      </c>
      <c r="F203" s="444" t="s">
        <v>4899</v>
      </c>
      <c r="G203" s="4"/>
      <c r="H203" s="640"/>
      <c r="I203" s="640" t="s">
        <v>617</v>
      </c>
      <c r="J203" s="653" t="s">
        <v>6266</v>
      </c>
      <c r="K203" s="653" t="s">
        <v>6270</v>
      </c>
      <c r="L203" s="653"/>
      <c r="M203" s="653"/>
      <c r="N203" s="653" t="s">
        <v>7363</v>
      </c>
      <c r="O203" s="653" t="s">
        <v>7358</v>
      </c>
      <c r="P203" s="653"/>
      <c r="Q203" s="640"/>
      <c r="R203" s="640" t="s">
        <v>3424</v>
      </c>
      <c r="S203" s="448" t="s">
        <v>4470</v>
      </c>
      <c r="T203" s="460"/>
      <c r="U203" s="640" t="s">
        <v>171</v>
      </c>
      <c r="V203" s="685">
        <f t="shared" si="9"/>
        <v>0</v>
      </c>
      <c r="W203" s="690"/>
      <c r="X203" s="690"/>
      <c r="Y203" s="690"/>
      <c r="Z203" s="690"/>
      <c r="AA203" s="690"/>
      <c r="AB203" s="690"/>
      <c r="AC203" s="690"/>
      <c r="AD203" s="690"/>
      <c r="AE203" s="690"/>
      <c r="AF203" s="690"/>
      <c r="AG203" s="690"/>
      <c r="AH203" s="690"/>
      <c r="AI203" s="690"/>
      <c r="AJ203" s="690"/>
      <c r="AK203" s="690"/>
      <c r="AL203" s="690"/>
      <c r="AM203" s="690"/>
      <c r="AN203" s="690"/>
      <c r="AO203" s="690"/>
      <c r="AP203" s="690"/>
    </row>
    <row r="204" spans="1:42" x14ac:dyDescent="0.25">
      <c r="A204" s="134">
        <f t="shared" si="8"/>
        <v>203</v>
      </c>
      <c r="B204" s="443" t="s">
        <v>3416</v>
      </c>
      <c r="C204" s="443" t="s">
        <v>3416</v>
      </c>
      <c r="D204" s="443"/>
      <c r="E204" s="443" t="s">
        <v>7253</v>
      </c>
      <c r="F204" s="444" t="s">
        <v>4900</v>
      </c>
      <c r="G204" s="4"/>
      <c r="H204" s="640"/>
      <c r="I204" s="640" t="s">
        <v>617</v>
      </c>
      <c r="J204" s="653"/>
      <c r="K204" s="653"/>
      <c r="L204" s="653"/>
      <c r="M204" s="653" t="s">
        <v>7227</v>
      </c>
      <c r="N204" s="653"/>
      <c r="O204" s="653"/>
      <c r="P204" s="653"/>
      <c r="Q204" s="640"/>
      <c r="R204" s="640" t="s">
        <v>3424</v>
      </c>
      <c r="S204" s="448" t="s">
        <v>4400</v>
      </c>
      <c r="T204" s="460"/>
      <c r="U204" s="640" t="s">
        <v>171</v>
      </c>
      <c r="V204" s="685">
        <f t="shared" si="9"/>
        <v>0</v>
      </c>
      <c r="W204" s="690"/>
      <c r="X204" s="690"/>
      <c r="Y204" s="690"/>
      <c r="Z204" s="690"/>
      <c r="AA204" s="690"/>
      <c r="AB204" s="690"/>
      <c r="AC204" s="690"/>
      <c r="AD204" s="690"/>
      <c r="AE204" s="690"/>
      <c r="AF204" s="690"/>
      <c r="AG204" s="690"/>
      <c r="AH204" s="690"/>
      <c r="AI204" s="690"/>
      <c r="AJ204" s="690"/>
      <c r="AK204" s="690"/>
      <c r="AL204" s="690"/>
      <c r="AM204" s="690"/>
      <c r="AN204" s="690"/>
      <c r="AO204" s="690"/>
      <c r="AP204" s="690"/>
    </row>
    <row r="205" spans="1:42" x14ac:dyDescent="0.25">
      <c r="A205" s="134">
        <f t="shared" si="8"/>
        <v>204</v>
      </c>
      <c r="B205" s="443" t="s">
        <v>3417</v>
      </c>
      <c r="C205" s="443" t="s">
        <v>3417</v>
      </c>
      <c r="D205" s="443"/>
      <c r="E205" s="443" t="s">
        <v>7254</v>
      </c>
      <c r="F205" s="444" t="s">
        <v>4629</v>
      </c>
      <c r="G205" s="4"/>
      <c r="H205" s="640"/>
      <c r="I205" s="640" t="s">
        <v>617</v>
      </c>
      <c r="J205" s="653"/>
      <c r="K205" s="653"/>
      <c r="L205" s="653"/>
      <c r="M205" s="653"/>
      <c r="N205" s="653"/>
      <c r="O205" s="653"/>
      <c r="P205" s="653"/>
      <c r="Q205" s="640"/>
      <c r="R205" s="640" t="s">
        <v>3424</v>
      </c>
      <c r="S205" s="448" t="s">
        <v>4401</v>
      </c>
      <c r="T205" s="460"/>
      <c r="U205" s="640" t="s">
        <v>171</v>
      </c>
      <c r="V205" s="685">
        <f t="shared" si="9"/>
        <v>0</v>
      </c>
      <c r="W205" s="690"/>
      <c r="X205" s="690"/>
      <c r="Y205" s="690"/>
      <c r="Z205" s="690"/>
      <c r="AA205" s="690"/>
      <c r="AB205" s="690"/>
      <c r="AC205" s="690"/>
      <c r="AD205" s="690"/>
      <c r="AE205" s="690"/>
      <c r="AF205" s="690"/>
      <c r="AG205" s="690"/>
      <c r="AH205" s="690"/>
      <c r="AI205" s="690"/>
      <c r="AJ205" s="690"/>
      <c r="AK205" s="690"/>
      <c r="AL205" s="690"/>
      <c r="AM205" s="690"/>
      <c r="AN205" s="690"/>
      <c r="AO205" s="690"/>
      <c r="AP205" s="690"/>
    </row>
    <row r="206" spans="1:42" x14ac:dyDescent="0.25">
      <c r="A206" s="134">
        <f t="shared" si="8"/>
        <v>205</v>
      </c>
      <c r="B206" s="443" t="s">
        <v>4631</v>
      </c>
      <c r="C206" s="443" t="s">
        <v>3405</v>
      </c>
      <c r="D206" s="443"/>
      <c r="E206" s="443" t="s">
        <v>7255</v>
      </c>
      <c r="F206" s="444" t="s">
        <v>4630</v>
      </c>
      <c r="G206" s="4"/>
      <c r="H206" s="640"/>
      <c r="I206" s="640" t="s">
        <v>617</v>
      </c>
      <c r="J206" s="653"/>
      <c r="K206" s="653"/>
      <c r="L206" s="653"/>
      <c r="M206" s="653"/>
      <c r="N206" s="653"/>
      <c r="O206" s="653"/>
      <c r="P206" s="653"/>
      <c r="Q206" s="640"/>
      <c r="R206" s="640" t="s">
        <v>3424</v>
      </c>
      <c r="S206" s="448" t="s">
        <v>4402</v>
      </c>
      <c r="T206" s="460"/>
      <c r="U206" s="640" t="s">
        <v>171</v>
      </c>
      <c r="V206" s="685">
        <f t="shared" si="9"/>
        <v>0</v>
      </c>
      <c r="W206" s="690"/>
      <c r="X206" s="690"/>
      <c r="Y206" s="690"/>
      <c r="Z206" s="690"/>
      <c r="AA206" s="690"/>
      <c r="AB206" s="690"/>
      <c r="AC206" s="690"/>
      <c r="AD206" s="690"/>
      <c r="AE206" s="690"/>
      <c r="AF206" s="690"/>
      <c r="AG206" s="690"/>
      <c r="AH206" s="690"/>
      <c r="AI206" s="690"/>
      <c r="AJ206" s="690"/>
      <c r="AK206" s="690"/>
      <c r="AL206" s="690"/>
      <c r="AM206" s="690"/>
      <c r="AN206" s="690"/>
      <c r="AO206" s="690"/>
      <c r="AP206" s="690"/>
    </row>
    <row r="207" spans="1:42" x14ac:dyDescent="0.25">
      <c r="A207" s="134">
        <f t="shared" si="8"/>
        <v>206</v>
      </c>
      <c r="B207" s="443" t="s">
        <v>3418</v>
      </c>
      <c r="C207" s="443" t="s">
        <v>3418</v>
      </c>
      <c r="D207" s="443"/>
      <c r="E207" s="443" t="s">
        <v>7256</v>
      </c>
      <c r="F207" s="444" t="s">
        <v>4632</v>
      </c>
      <c r="G207" s="4" t="s">
        <v>7257</v>
      </c>
      <c r="H207" s="640"/>
      <c r="I207" s="640" t="s">
        <v>617</v>
      </c>
      <c r="J207" s="653"/>
      <c r="K207" s="653"/>
      <c r="L207" s="653"/>
      <c r="M207" s="653"/>
      <c r="N207" s="653"/>
      <c r="O207" s="653"/>
      <c r="P207" s="653"/>
      <c r="Q207" s="640"/>
      <c r="R207" s="640" t="s">
        <v>3424</v>
      </c>
      <c r="S207" s="448" t="s">
        <v>4403</v>
      </c>
      <c r="T207" s="460"/>
      <c r="U207" s="640" t="s">
        <v>171</v>
      </c>
      <c r="V207" s="685">
        <f t="shared" si="9"/>
        <v>0</v>
      </c>
      <c r="W207" s="690"/>
      <c r="X207" s="690"/>
      <c r="Y207" s="690"/>
      <c r="Z207" s="690"/>
      <c r="AA207" s="690"/>
      <c r="AB207" s="690"/>
      <c r="AC207" s="690"/>
      <c r="AD207" s="690"/>
      <c r="AE207" s="690"/>
      <c r="AF207" s="690"/>
      <c r="AG207" s="690"/>
      <c r="AH207" s="690"/>
      <c r="AI207" s="690"/>
      <c r="AJ207" s="690"/>
      <c r="AK207" s="690"/>
      <c r="AL207" s="690"/>
      <c r="AM207" s="690"/>
      <c r="AN207" s="690"/>
      <c r="AO207" s="690"/>
      <c r="AP207" s="690"/>
    </row>
    <row r="208" spans="1:42" x14ac:dyDescent="0.25">
      <c r="A208" s="134">
        <f t="shared" si="8"/>
        <v>207</v>
      </c>
      <c r="B208" s="443" t="s">
        <v>3419</v>
      </c>
      <c r="C208" s="443" t="s">
        <v>3419</v>
      </c>
      <c r="D208" s="443"/>
      <c r="E208" s="443" t="s">
        <v>7258</v>
      </c>
      <c r="F208" s="444" t="s">
        <v>4633</v>
      </c>
      <c r="G208" s="4"/>
      <c r="H208" s="640"/>
      <c r="I208" s="640" t="s">
        <v>617</v>
      </c>
      <c r="J208" s="653"/>
      <c r="K208" s="653"/>
      <c r="L208" s="653"/>
      <c r="M208" s="653"/>
      <c r="N208" s="653"/>
      <c r="O208" s="653"/>
      <c r="P208" s="653"/>
      <c r="Q208" s="640"/>
      <c r="R208" s="640" t="s">
        <v>3423</v>
      </c>
      <c r="S208" s="448" t="s">
        <v>4469</v>
      </c>
      <c r="T208" s="460"/>
      <c r="U208" s="640" t="s">
        <v>171</v>
      </c>
      <c r="V208" s="685">
        <f t="shared" si="9"/>
        <v>0</v>
      </c>
      <c r="W208" s="690"/>
      <c r="X208" s="690"/>
      <c r="Y208" s="690"/>
      <c r="Z208" s="690"/>
      <c r="AA208" s="690"/>
      <c r="AB208" s="690"/>
      <c r="AC208" s="690"/>
      <c r="AD208" s="690"/>
      <c r="AE208" s="690"/>
      <c r="AF208" s="690"/>
      <c r="AG208" s="690"/>
      <c r="AH208" s="690"/>
      <c r="AI208" s="690"/>
      <c r="AJ208" s="690"/>
      <c r="AK208" s="690"/>
      <c r="AL208" s="690"/>
      <c r="AM208" s="690"/>
      <c r="AN208" s="690"/>
      <c r="AO208" s="690"/>
      <c r="AP208" s="690"/>
    </row>
    <row r="209" spans="1:42" x14ac:dyDescent="0.25">
      <c r="A209" s="134">
        <f t="shared" si="8"/>
        <v>208</v>
      </c>
      <c r="B209" s="443" t="s">
        <v>3420</v>
      </c>
      <c r="C209" s="443" t="s">
        <v>3420</v>
      </c>
      <c r="D209" s="443"/>
      <c r="E209" s="443" t="s">
        <v>7259</v>
      </c>
      <c r="F209" s="444" t="s">
        <v>4901</v>
      </c>
      <c r="G209" s="4"/>
      <c r="H209" s="640"/>
      <c r="I209" s="640" t="s">
        <v>617</v>
      </c>
      <c r="J209" s="653" t="s">
        <v>6266</v>
      </c>
      <c r="K209" s="653" t="s">
        <v>6270</v>
      </c>
      <c r="L209" s="653"/>
      <c r="M209" s="653" t="s">
        <v>7227</v>
      </c>
      <c r="N209" s="653"/>
      <c r="O209" s="653"/>
      <c r="P209" s="653"/>
      <c r="Q209" s="640"/>
      <c r="R209" s="640" t="s">
        <v>3423</v>
      </c>
      <c r="S209" s="448" t="s">
        <v>4400</v>
      </c>
      <c r="T209" s="460"/>
      <c r="U209" s="640" t="s">
        <v>171</v>
      </c>
      <c r="V209" s="685">
        <f t="shared" si="9"/>
        <v>0</v>
      </c>
      <c r="W209" s="690"/>
      <c r="X209" s="690"/>
      <c r="Y209" s="690"/>
      <c r="Z209" s="690"/>
      <c r="AA209" s="690"/>
      <c r="AB209" s="690"/>
      <c r="AC209" s="690"/>
      <c r="AD209" s="690"/>
      <c r="AE209" s="690"/>
      <c r="AF209" s="690"/>
      <c r="AG209" s="690"/>
      <c r="AH209" s="690"/>
      <c r="AI209" s="690"/>
      <c r="AJ209" s="690"/>
      <c r="AK209" s="690"/>
      <c r="AL209" s="690"/>
      <c r="AM209" s="690"/>
      <c r="AN209" s="690"/>
      <c r="AO209" s="690"/>
      <c r="AP209" s="690"/>
    </row>
    <row r="210" spans="1:42" x14ac:dyDescent="0.25">
      <c r="A210" s="134">
        <f t="shared" si="8"/>
        <v>209</v>
      </c>
      <c r="B210" s="443" t="s">
        <v>3421</v>
      </c>
      <c r="C210" s="443" t="s">
        <v>3421</v>
      </c>
      <c r="D210" s="443"/>
      <c r="E210" s="443" t="s">
        <v>7260</v>
      </c>
      <c r="F210" s="444" t="s">
        <v>4902</v>
      </c>
      <c r="G210" s="4"/>
      <c r="H210" s="640"/>
      <c r="I210" s="640" t="s">
        <v>617</v>
      </c>
      <c r="J210" s="653" t="s">
        <v>6266</v>
      </c>
      <c r="K210" s="653" t="s">
        <v>6270</v>
      </c>
      <c r="L210" s="653"/>
      <c r="M210" s="653" t="s">
        <v>7227</v>
      </c>
      <c r="N210" s="653"/>
      <c r="O210" s="653"/>
      <c r="P210" s="653"/>
      <c r="Q210" s="640"/>
      <c r="R210" s="640" t="s">
        <v>3423</v>
      </c>
      <c r="S210" s="448" t="s">
        <v>4401</v>
      </c>
      <c r="T210" s="460"/>
      <c r="U210" s="640" t="s">
        <v>171</v>
      </c>
      <c r="V210" s="685">
        <f t="shared" si="9"/>
        <v>0</v>
      </c>
      <c r="W210" s="690"/>
      <c r="X210" s="690"/>
      <c r="Y210" s="690"/>
      <c r="Z210" s="690"/>
      <c r="AA210" s="690"/>
      <c r="AB210" s="690"/>
      <c r="AC210" s="690"/>
      <c r="AD210" s="690"/>
      <c r="AE210" s="690"/>
      <c r="AF210" s="690"/>
      <c r="AG210" s="690"/>
      <c r="AH210" s="690"/>
      <c r="AI210" s="690"/>
      <c r="AJ210" s="690"/>
      <c r="AK210" s="690"/>
      <c r="AL210" s="690"/>
      <c r="AM210" s="690"/>
      <c r="AN210" s="690"/>
      <c r="AO210" s="690"/>
      <c r="AP210" s="690"/>
    </row>
    <row r="211" spans="1:42" x14ac:dyDescent="0.25">
      <c r="A211" s="134">
        <f t="shared" si="8"/>
        <v>210</v>
      </c>
      <c r="B211" s="443" t="s">
        <v>4635</v>
      </c>
      <c r="C211" s="443" t="s">
        <v>3405</v>
      </c>
      <c r="D211" s="443"/>
      <c r="E211" s="443" t="s">
        <v>7261</v>
      </c>
      <c r="F211" s="444" t="s">
        <v>4634</v>
      </c>
      <c r="G211" s="4"/>
      <c r="H211" s="640"/>
      <c r="I211" s="640" t="s">
        <v>617</v>
      </c>
      <c r="J211" s="653"/>
      <c r="K211" s="653"/>
      <c r="L211" s="653"/>
      <c r="M211" s="653"/>
      <c r="N211" s="653"/>
      <c r="O211" s="653"/>
      <c r="P211" s="653"/>
      <c r="Q211" s="640"/>
      <c r="R211" s="640" t="s">
        <v>3423</v>
      </c>
      <c r="S211" s="448" t="s">
        <v>4402</v>
      </c>
      <c r="T211" s="460"/>
      <c r="U211" s="640" t="s">
        <v>171</v>
      </c>
      <c r="V211" s="685">
        <f t="shared" si="9"/>
        <v>0</v>
      </c>
      <c r="W211" s="690"/>
      <c r="X211" s="690"/>
      <c r="Y211" s="690"/>
      <c r="Z211" s="690"/>
      <c r="AA211" s="690"/>
      <c r="AB211" s="690"/>
      <c r="AC211" s="690"/>
      <c r="AD211" s="690"/>
      <c r="AE211" s="690"/>
      <c r="AF211" s="690"/>
      <c r="AG211" s="690"/>
      <c r="AH211" s="690"/>
      <c r="AI211" s="690"/>
      <c r="AJ211" s="690"/>
      <c r="AK211" s="690"/>
      <c r="AL211" s="690"/>
      <c r="AM211" s="690"/>
      <c r="AN211" s="690"/>
      <c r="AO211" s="690"/>
      <c r="AP211" s="690"/>
    </row>
    <row r="212" spans="1:42" x14ac:dyDescent="0.25">
      <c r="A212" s="134">
        <f t="shared" si="8"/>
        <v>211</v>
      </c>
      <c r="B212" s="443" t="s">
        <v>3422</v>
      </c>
      <c r="C212" s="443" t="s">
        <v>3422</v>
      </c>
      <c r="D212" s="443"/>
      <c r="E212" s="443" t="s">
        <v>7262</v>
      </c>
      <c r="F212" s="444" t="s">
        <v>4636</v>
      </c>
      <c r="G212" s="4"/>
      <c r="H212" s="640"/>
      <c r="I212" s="640" t="s">
        <v>617</v>
      </c>
      <c r="J212" s="653" t="s">
        <v>6266</v>
      </c>
      <c r="K212" s="653" t="s">
        <v>6270</v>
      </c>
      <c r="L212" s="653"/>
      <c r="M212" s="653"/>
      <c r="N212" s="653"/>
      <c r="O212" s="653"/>
      <c r="P212" s="653"/>
      <c r="Q212" s="640"/>
      <c r="R212" s="640" t="s">
        <v>3423</v>
      </c>
      <c r="S212" s="448" t="s">
        <v>4403</v>
      </c>
      <c r="T212" s="460"/>
      <c r="U212" s="640" t="s">
        <v>171</v>
      </c>
      <c r="V212" s="685">
        <f t="shared" si="9"/>
        <v>0</v>
      </c>
      <c r="W212" s="690"/>
      <c r="X212" s="690"/>
      <c r="Y212" s="690"/>
      <c r="Z212" s="690"/>
      <c r="AA212" s="690"/>
      <c r="AB212" s="690"/>
      <c r="AC212" s="690"/>
      <c r="AD212" s="690"/>
      <c r="AE212" s="690"/>
      <c r="AF212" s="690"/>
      <c r="AG212" s="690"/>
      <c r="AH212" s="690"/>
      <c r="AI212" s="690"/>
      <c r="AJ212" s="690"/>
      <c r="AK212" s="690"/>
      <c r="AL212" s="690"/>
      <c r="AM212" s="690"/>
      <c r="AN212" s="690"/>
      <c r="AO212" s="690"/>
      <c r="AP212" s="690"/>
    </row>
    <row r="213" spans="1:42" x14ac:dyDescent="0.25">
      <c r="A213" s="134">
        <f t="shared" si="8"/>
        <v>212</v>
      </c>
      <c r="B213" s="443" t="s">
        <v>3425</v>
      </c>
      <c r="C213" s="443" t="s">
        <v>3425</v>
      </c>
      <c r="D213" s="443"/>
      <c r="E213" s="443" t="s">
        <v>7263</v>
      </c>
      <c r="F213" s="444" t="s">
        <v>4903</v>
      </c>
      <c r="G213" s="4"/>
      <c r="H213" s="640"/>
      <c r="I213" s="640" t="s">
        <v>617</v>
      </c>
      <c r="J213" s="653" t="s">
        <v>6266</v>
      </c>
      <c r="K213" s="653" t="s">
        <v>6270</v>
      </c>
      <c r="L213" s="653"/>
      <c r="M213" s="653"/>
      <c r="N213" s="653" t="s">
        <v>7363</v>
      </c>
      <c r="O213" s="653" t="s">
        <v>7358</v>
      </c>
      <c r="P213" s="653"/>
      <c r="Q213" s="640"/>
      <c r="R213" s="640" t="s">
        <v>3426</v>
      </c>
      <c r="S213" s="448" t="s">
        <v>4469</v>
      </c>
      <c r="T213" s="460"/>
      <c r="U213" s="640" t="s">
        <v>171</v>
      </c>
      <c r="V213" s="685">
        <f t="shared" si="9"/>
        <v>0</v>
      </c>
      <c r="W213" s="690"/>
      <c r="X213" s="690"/>
      <c r="Y213" s="690"/>
      <c r="Z213" s="690"/>
      <c r="AA213" s="690"/>
      <c r="AB213" s="690"/>
      <c r="AC213" s="690"/>
      <c r="AD213" s="690"/>
      <c r="AE213" s="690"/>
      <c r="AF213" s="690"/>
      <c r="AG213" s="690"/>
      <c r="AH213" s="690"/>
      <c r="AI213" s="690"/>
      <c r="AJ213" s="690"/>
      <c r="AK213" s="690"/>
      <c r="AL213" s="690"/>
      <c r="AM213" s="690"/>
      <c r="AN213" s="690"/>
      <c r="AO213" s="690"/>
      <c r="AP213" s="690"/>
    </row>
    <row r="214" spans="1:42" x14ac:dyDescent="0.25">
      <c r="A214" s="134">
        <f t="shared" si="8"/>
        <v>213</v>
      </c>
      <c r="B214" s="443" t="s">
        <v>3549</v>
      </c>
      <c r="C214" s="443" t="s">
        <v>3549</v>
      </c>
      <c r="D214" s="443"/>
      <c r="E214" s="443" t="s">
        <v>7264</v>
      </c>
      <c r="F214" s="445" t="s">
        <v>4628</v>
      </c>
      <c r="G214" s="4" t="s">
        <v>7376</v>
      </c>
      <c r="H214" s="640"/>
      <c r="I214" s="640" t="s">
        <v>617</v>
      </c>
      <c r="J214" s="653"/>
      <c r="K214" s="653"/>
      <c r="L214" s="653"/>
      <c r="M214" s="653"/>
      <c r="N214" s="653"/>
      <c r="O214" s="653"/>
      <c r="P214" s="653"/>
      <c r="Q214" s="640"/>
      <c r="R214" s="640" t="s">
        <v>3426</v>
      </c>
      <c r="S214" s="448" t="s">
        <v>4470</v>
      </c>
      <c r="T214" s="460"/>
      <c r="U214" s="640" t="s">
        <v>171</v>
      </c>
      <c r="V214" s="685">
        <f t="shared" si="9"/>
        <v>0</v>
      </c>
      <c r="W214" s="690"/>
      <c r="X214" s="690"/>
      <c r="Y214" s="690"/>
      <c r="Z214" s="690"/>
      <c r="AA214" s="690"/>
      <c r="AB214" s="690"/>
      <c r="AC214" s="690"/>
      <c r="AD214" s="690"/>
      <c r="AE214" s="690"/>
      <c r="AF214" s="690"/>
      <c r="AG214" s="690"/>
      <c r="AH214" s="690"/>
      <c r="AI214" s="690"/>
      <c r="AJ214" s="690"/>
      <c r="AK214" s="690"/>
      <c r="AL214" s="690"/>
      <c r="AM214" s="690"/>
      <c r="AN214" s="690"/>
      <c r="AO214" s="690"/>
      <c r="AP214" s="690"/>
    </row>
    <row r="215" spans="1:42" x14ac:dyDescent="0.25">
      <c r="A215" s="134">
        <f t="shared" si="8"/>
        <v>214</v>
      </c>
      <c r="B215" s="443" t="s">
        <v>3427</v>
      </c>
      <c r="C215" s="443" t="s">
        <v>3427</v>
      </c>
      <c r="D215" s="443"/>
      <c r="E215" s="443" t="s">
        <v>7265</v>
      </c>
      <c r="F215" s="444" t="s">
        <v>4637</v>
      </c>
      <c r="G215" s="4"/>
      <c r="H215" s="640"/>
      <c r="I215" s="640" t="s">
        <v>617</v>
      </c>
      <c r="J215" s="653"/>
      <c r="K215" s="653"/>
      <c r="L215" s="653"/>
      <c r="M215" s="653" t="s">
        <v>7227</v>
      </c>
      <c r="N215" s="653"/>
      <c r="O215" s="653"/>
      <c r="P215" s="653"/>
      <c r="Q215" s="640"/>
      <c r="R215" s="640" t="s">
        <v>3426</v>
      </c>
      <c r="S215" s="448" t="s">
        <v>4400</v>
      </c>
      <c r="T215" s="460"/>
      <c r="U215" s="640" t="s">
        <v>171</v>
      </c>
      <c r="V215" s="685">
        <f t="shared" si="9"/>
        <v>0</v>
      </c>
      <c r="W215" s="690"/>
      <c r="X215" s="690"/>
      <c r="Y215" s="690"/>
      <c r="Z215" s="690"/>
      <c r="AA215" s="690"/>
      <c r="AB215" s="690"/>
      <c r="AC215" s="690"/>
      <c r="AD215" s="690"/>
      <c r="AE215" s="690"/>
      <c r="AF215" s="690"/>
      <c r="AG215" s="690"/>
      <c r="AH215" s="690"/>
      <c r="AI215" s="690"/>
      <c r="AJ215" s="690"/>
      <c r="AK215" s="690"/>
      <c r="AL215" s="690"/>
      <c r="AM215" s="690"/>
      <c r="AN215" s="690"/>
      <c r="AO215" s="690"/>
      <c r="AP215" s="690"/>
    </row>
    <row r="216" spans="1:42" x14ac:dyDescent="0.25">
      <c r="A216" s="134">
        <f t="shared" si="8"/>
        <v>215</v>
      </c>
      <c r="B216" s="443" t="s">
        <v>3428</v>
      </c>
      <c r="C216" s="443" t="s">
        <v>3428</v>
      </c>
      <c r="D216" s="443"/>
      <c r="E216" s="443" t="s">
        <v>7266</v>
      </c>
      <c r="F216" s="444" t="s">
        <v>4638</v>
      </c>
      <c r="G216" s="4"/>
      <c r="H216" s="640"/>
      <c r="I216" s="640" t="s">
        <v>617</v>
      </c>
      <c r="J216" s="653" t="s">
        <v>6266</v>
      </c>
      <c r="K216" s="653" t="s">
        <v>6270</v>
      </c>
      <c r="L216" s="653"/>
      <c r="M216" s="653" t="s">
        <v>7227</v>
      </c>
      <c r="N216" s="653"/>
      <c r="O216" s="653"/>
      <c r="P216" s="653"/>
      <c r="Q216" s="640"/>
      <c r="R216" s="640" t="s">
        <v>3426</v>
      </c>
      <c r="S216" s="448" t="s">
        <v>4401</v>
      </c>
      <c r="T216" s="460"/>
      <c r="U216" s="640" t="s">
        <v>171</v>
      </c>
      <c r="V216" s="685">
        <f t="shared" si="9"/>
        <v>0</v>
      </c>
      <c r="W216" s="690"/>
      <c r="X216" s="690"/>
      <c r="Y216" s="690"/>
      <c r="Z216" s="690"/>
      <c r="AA216" s="690"/>
      <c r="AB216" s="690"/>
      <c r="AC216" s="690"/>
      <c r="AD216" s="690"/>
      <c r="AE216" s="690"/>
      <c r="AF216" s="690"/>
      <c r="AG216" s="690"/>
      <c r="AH216" s="690"/>
      <c r="AI216" s="690"/>
      <c r="AJ216" s="690"/>
      <c r="AK216" s="690"/>
      <c r="AL216" s="690"/>
      <c r="AM216" s="690"/>
      <c r="AN216" s="690"/>
      <c r="AO216" s="690"/>
      <c r="AP216" s="690"/>
    </row>
    <row r="217" spans="1:42" x14ac:dyDescent="0.25">
      <c r="A217" s="134">
        <f t="shared" si="8"/>
        <v>216</v>
      </c>
      <c r="B217" s="443" t="s">
        <v>4640</v>
      </c>
      <c r="C217" s="443" t="s">
        <v>3405</v>
      </c>
      <c r="D217" s="443"/>
      <c r="E217" s="443" t="s">
        <v>7267</v>
      </c>
      <c r="F217" s="444" t="s">
        <v>4639</v>
      </c>
      <c r="G217" s="4"/>
      <c r="H217" s="640"/>
      <c r="I217" s="640" t="s">
        <v>617</v>
      </c>
      <c r="J217" s="653"/>
      <c r="K217" s="653"/>
      <c r="L217" s="653"/>
      <c r="M217" s="653"/>
      <c r="N217" s="653"/>
      <c r="O217" s="653"/>
      <c r="P217" s="653"/>
      <c r="Q217" s="640"/>
      <c r="R217" s="640" t="s">
        <v>3426</v>
      </c>
      <c r="S217" s="448" t="s">
        <v>4402</v>
      </c>
      <c r="T217" s="460"/>
      <c r="U217" s="640" t="s">
        <v>171</v>
      </c>
      <c r="V217" s="685">
        <f t="shared" si="9"/>
        <v>0</v>
      </c>
      <c r="W217" s="690"/>
      <c r="X217" s="690"/>
      <c r="Y217" s="690"/>
      <c r="Z217" s="690"/>
      <c r="AA217" s="690"/>
      <c r="AB217" s="690"/>
      <c r="AC217" s="690"/>
      <c r="AD217" s="690"/>
      <c r="AE217" s="690"/>
      <c r="AF217" s="690"/>
      <c r="AG217" s="690"/>
      <c r="AH217" s="690"/>
      <c r="AI217" s="690"/>
      <c r="AJ217" s="690"/>
      <c r="AK217" s="690"/>
      <c r="AL217" s="690"/>
      <c r="AM217" s="690"/>
      <c r="AN217" s="690"/>
      <c r="AO217" s="690"/>
      <c r="AP217" s="690"/>
    </row>
    <row r="218" spans="1:42" x14ac:dyDescent="0.25">
      <c r="A218" s="134">
        <f t="shared" si="8"/>
        <v>217</v>
      </c>
      <c r="B218" s="443" t="s">
        <v>3429</v>
      </c>
      <c r="C218" s="443" t="s">
        <v>3429</v>
      </c>
      <c r="D218" s="443"/>
      <c r="E218" s="443" t="s">
        <v>7268</v>
      </c>
      <c r="F218" s="444" t="s">
        <v>4641</v>
      </c>
      <c r="G218" s="4" t="s">
        <v>7269</v>
      </c>
      <c r="H218" s="640"/>
      <c r="I218" s="640" t="s">
        <v>617</v>
      </c>
      <c r="J218" s="653"/>
      <c r="K218" s="653"/>
      <c r="L218" s="653"/>
      <c r="M218" s="653"/>
      <c r="N218" s="653"/>
      <c r="O218" s="653"/>
      <c r="P218" s="653"/>
      <c r="Q218" s="640"/>
      <c r="R218" s="640" t="s">
        <v>3426</v>
      </c>
      <c r="S218" s="448" t="s">
        <v>4403</v>
      </c>
      <c r="T218" s="460"/>
      <c r="U218" s="640" t="s">
        <v>171</v>
      </c>
      <c r="V218" s="685">
        <f t="shared" si="9"/>
        <v>0</v>
      </c>
      <c r="W218" s="690"/>
      <c r="X218" s="690"/>
      <c r="Y218" s="690"/>
      <c r="Z218" s="690"/>
      <c r="AA218" s="690"/>
      <c r="AB218" s="690"/>
      <c r="AC218" s="690"/>
      <c r="AD218" s="690"/>
      <c r="AE218" s="690"/>
      <c r="AF218" s="690"/>
      <c r="AG218" s="690"/>
      <c r="AH218" s="690"/>
      <c r="AI218" s="690"/>
      <c r="AJ218" s="690"/>
      <c r="AK218" s="690"/>
      <c r="AL218" s="690"/>
      <c r="AM218" s="690"/>
      <c r="AN218" s="690"/>
      <c r="AO218" s="690"/>
      <c r="AP218" s="690"/>
    </row>
    <row r="219" spans="1:42" x14ac:dyDescent="0.25">
      <c r="A219" s="134">
        <f t="shared" si="8"/>
        <v>218</v>
      </c>
      <c r="B219" s="443" t="s">
        <v>3550</v>
      </c>
      <c r="C219" s="443" t="s">
        <v>3550</v>
      </c>
      <c r="D219" s="443"/>
      <c r="E219" s="443" t="s">
        <v>7270</v>
      </c>
      <c r="F219" s="444" t="s">
        <v>4645</v>
      </c>
      <c r="G219" s="4" t="s">
        <v>7450</v>
      </c>
      <c r="H219" s="640"/>
      <c r="I219" s="640" t="s">
        <v>618</v>
      </c>
      <c r="J219" s="653"/>
      <c r="K219" s="653"/>
      <c r="L219" s="653"/>
      <c r="M219" s="653"/>
      <c r="N219" s="653"/>
      <c r="O219" s="653"/>
      <c r="P219" s="653"/>
      <c r="Q219" s="640"/>
      <c r="R219" s="640" t="s">
        <v>3160</v>
      </c>
      <c r="S219" s="640" t="s">
        <v>4404</v>
      </c>
      <c r="T219" s="460"/>
      <c r="U219" s="640" t="s">
        <v>171</v>
      </c>
      <c r="V219" s="685">
        <f t="shared" si="9"/>
        <v>0</v>
      </c>
      <c r="W219" s="690"/>
      <c r="X219" s="690"/>
      <c r="Y219" s="690"/>
      <c r="Z219" s="690"/>
      <c r="AA219" s="690"/>
      <c r="AB219" s="690"/>
      <c r="AC219" s="690"/>
      <c r="AD219" s="690"/>
      <c r="AE219" s="690"/>
      <c r="AF219" s="690"/>
      <c r="AG219" s="690"/>
      <c r="AH219" s="690"/>
      <c r="AI219" s="690"/>
      <c r="AJ219" s="690"/>
      <c r="AK219" s="690"/>
      <c r="AL219" s="690"/>
      <c r="AM219" s="690"/>
      <c r="AN219" s="690"/>
      <c r="AO219" s="690"/>
      <c r="AP219" s="690"/>
    </row>
    <row r="220" spans="1:42" x14ac:dyDescent="0.25">
      <c r="A220" s="134">
        <f t="shared" si="8"/>
        <v>219</v>
      </c>
      <c r="B220" s="443" t="s">
        <v>3430</v>
      </c>
      <c r="C220" s="443" t="s">
        <v>3430</v>
      </c>
      <c r="D220" s="443"/>
      <c r="E220" s="443" t="s">
        <v>7271</v>
      </c>
      <c r="F220" s="444" t="s">
        <v>4904</v>
      </c>
      <c r="G220" s="4"/>
      <c r="H220" s="640"/>
      <c r="I220" s="640" t="s">
        <v>618</v>
      </c>
      <c r="J220" s="653"/>
      <c r="K220" s="653"/>
      <c r="L220" s="653"/>
      <c r="M220" s="653"/>
      <c r="N220" s="653">
        <v>1</v>
      </c>
      <c r="O220" s="653" t="s">
        <v>7358</v>
      </c>
      <c r="P220" s="653"/>
      <c r="Q220" s="640"/>
      <c r="R220" s="640" t="s">
        <v>3160</v>
      </c>
      <c r="S220" s="640" t="s">
        <v>4405</v>
      </c>
      <c r="T220" s="460"/>
      <c r="U220" s="640" t="s">
        <v>171</v>
      </c>
      <c r="V220" s="685">
        <f t="shared" si="9"/>
        <v>0</v>
      </c>
      <c r="W220" s="690"/>
      <c r="X220" s="690"/>
      <c r="Y220" s="690"/>
      <c r="Z220" s="690"/>
      <c r="AA220" s="690"/>
      <c r="AB220" s="690"/>
      <c r="AC220" s="690"/>
      <c r="AD220" s="690"/>
      <c r="AE220" s="690"/>
      <c r="AF220" s="690"/>
      <c r="AG220" s="690"/>
      <c r="AH220" s="690"/>
      <c r="AI220" s="690"/>
      <c r="AJ220" s="690"/>
      <c r="AK220" s="690"/>
      <c r="AL220" s="690"/>
      <c r="AM220" s="690"/>
      <c r="AN220" s="690"/>
      <c r="AO220" s="690"/>
      <c r="AP220" s="690"/>
    </row>
    <row r="221" spans="1:42" x14ac:dyDescent="0.25">
      <c r="A221" s="134">
        <f t="shared" si="8"/>
        <v>220</v>
      </c>
      <c r="B221" s="443" t="s">
        <v>3431</v>
      </c>
      <c r="C221" s="443" t="s">
        <v>3431</v>
      </c>
      <c r="D221" s="443"/>
      <c r="E221" s="443" t="s">
        <v>7272</v>
      </c>
      <c r="F221" s="444" t="s">
        <v>4905</v>
      </c>
      <c r="G221" s="4"/>
      <c r="H221" s="640"/>
      <c r="I221" s="640" t="s">
        <v>618</v>
      </c>
      <c r="J221" s="653"/>
      <c r="K221" s="653"/>
      <c r="L221" s="653"/>
      <c r="M221" s="653"/>
      <c r="N221" s="653"/>
      <c r="O221" s="653"/>
      <c r="P221" s="653"/>
      <c r="Q221" s="640"/>
      <c r="R221" s="640" t="s">
        <v>3160</v>
      </c>
      <c r="S221" s="640" t="s">
        <v>4471</v>
      </c>
      <c r="T221" s="460"/>
      <c r="U221" s="640" t="s">
        <v>171</v>
      </c>
      <c r="V221" s="685">
        <f t="shared" si="9"/>
        <v>8</v>
      </c>
      <c r="W221" s="4" t="s">
        <v>3168</v>
      </c>
      <c r="X221" s="4" t="s">
        <v>3169</v>
      </c>
      <c r="Y221" s="4" t="s">
        <v>3170</v>
      </c>
      <c r="Z221" s="4" t="s">
        <v>3171</v>
      </c>
      <c r="AA221" s="4" t="s">
        <v>3172</v>
      </c>
      <c r="AB221" s="4" t="s">
        <v>3173</v>
      </c>
      <c r="AC221" s="4" t="s">
        <v>3174</v>
      </c>
      <c r="AD221" s="4" t="s">
        <v>3175</v>
      </c>
      <c r="AE221" s="690"/>
      <c r="AF221" s="690"/>
      <c r="AG221" s="690"/>
      <c r="AH221" s="690"/>
      <c r="AI221" s="690"/>
      <c r="AJ221" s="690"/>
      <c r="AK221" s="690"/>
      <c r="AL221" s="690"/>
      <c r="AM221" s="690"/>
      <c r="AN221" s="690"/>
      <c r="AO221" s="690"/>
      <c r="AP221" s="690"/>
    </row>
    <row r="222" spans="1:42" x14ac:dyDescent="0.25">
      <c r="A222" s="134">
        <f t="shared" si="8"/>
        <v>221</v>
      </c>
      <c r="B222" s="443" t="s">
        <v>3041</v>
      </c>
      <c r="C222" s="443" t="s">
        <v>3041</v>
      </c>
      <c r="D222" s="443"/>
      <c r="E222" s="443" t="s">
        <v>7194</v>
      </c>
      <c r="F222" s="444" t="s">
        <v>4906</v>
      </c>
      <c r="G222" s="4"/>
      <c r="H222" s="640"/>
      <c r="I222" s="640" t="s">
        <v>618</v>
      </c>
      <c r="J222" s="653"/>
      <c r="K222" s="653"/>
      <c r="L222" s="653"/>
      <c r="M222" s="653"/>
      <c r="N222" s="653"/>
      <c r="O222" s="653"/>
      <c r="P222" s="653"/>
      <c r="Q222" s="640"/>
      <c r="R222" s="640" t="s">
        <v>3160</v>
      </c>
      <c r="S222" s="640" t="s">
        <v>4406</v>
      </c>
      <c r="T222" s="460"/>
      <c r="U222" s="640" t="s">
        <v>171</v>
      </c>
      <c r="V222" s="685">
        <f t="shared" si="9"/>
        <v>0</v>
      </c>
      <c r="W222" s="690"/>
      <c r="X222" s="690"/>
      <c r="Y222" s="690"/>
      <c r="Z222" s="690"/>
      <c r="AA222" s="690"/>
      <c r="AB222" s="690"/>
      <c r="AC222" s="690"/>
      <c r="AD222" s="690"/>
      <c r="AE222" s="690"/>
      <c r="AF222" s="690"/>
      <c r="AG222" s="690"/>
      <c r="AH222" s="690"/>
      <c r="AI222" s="690"/>
      <c r="AJ222" s="690"/>
      <c r="AK222" s="690"/>
      <c r="AL222" s="690"/>
      <c r="AM222" s="690"/>
      <c r="AN222" s="690"/>
      <c r="AO222" s="690"/>
      <c r="AP222" s="690"/>
    </row>
    <row r="223" spans="1:42" x14ac:dyDescent="0.25">
      <c r="A223" s="134">
        <f t="shared" si="8"/>
        <v>222</v>
      </c>
      <c r="B223" s="443" t="s">
        <v>3432</v>
      </c>
      <c r="C223" s="443" t="s">
        <v>3432</v>
      </c>
      <c r="D223" s="443"/>
      <c r="E223" s="443" t="s">
        <v>7273</v>
      </c>
      <c r="F223" s="444" t="s">
        <v>4646</v>
      </c>
      <c r="G223" s="4" t="s">
        <v>7274</v>
      </c>
      <c r="H223" s="640"/>
      <c r="I223" s="640" t="s">
        <v>618</v>
      </c>
      <c r="J223" s="653"/>
      <c r="K223" s="653"/>
      <c r="L223" s="653"/>
      <c r="M223" s="653"/>
      <c r="N223" s="653"/>
      <c r="O223" s="653"/>
      <c r="P223" s="653"/>
      <c r="Q223" s="640"/>
      <c r="R223" s="640" t="s">
        <v>3160</v>
      </c>
      <c r="S223" s="640" t="s">
        <v>4407</v>
      </c>
      <c r="T223" s="460"/>
      <c r="U223" s="640" t="s">
        <v>171</v>
      </c>
      <c r="V223" s="685">
        <f t="shared" si="9"/>
        <v>0</v>
      </c>
      <c r="W223" s="690"/>
      <c r="X223" s="690"/>
      <c r="Y223" s="690"/>
      <c r="Z223" s="690"/>
      <c r="AA223" s="690"/>
      <c r="AB223" s="690"/>
      <c r="AC223" s="690"/>
      <c r="AD223" s="690"/>
      <c r="AE223" s="690"/>
      <c r="AF223" s="690"/>
      <c r="AG223" s="690"/>
      <c r="AH223" s="690"/>
      <c r="AI223" s="690"/>
      <c r="AJ223" s="690"/>
      <c r="AK223" s="690"/>
      <c r="AL223" s="690"/>
      <c r="AM223" s="690"/>
      <c r="AN223" s="690"/>
      <c r="AO223" s="690"/>
      <c r="AP223" s="690"/>
    </row>
    <row r="224" spans="1:42" x14ac:dyDescent="0.25">
      <c r="A224" s="134">
        <f t="shared" si="8"/>
        <v>223</v>
      </c>
      <c r="B224" s="443" t="s">
        <v>3433</v>
      </c>
      <c r="C224" s="443" t="s">
        <v>3433</v>
      </c>
      <c r="D224" s="443"/>
      <c r="E224" s="443" t="s">
        <v>7275</v>
      </c>
      <c r="F224" s="444" t="s">
        <v>4907</v>
      </c>
      <c r="G224" s="4"/>
      <c r="H224" s="640"/>
      <c r="I224" s="640" t="s">
        <v>618</v>
      </c>
      <c r="J224" s="653"/>
      <c r="K224" s="653"/>
      <c r="L224" s="653"/>
      <c r="M224" s="653"/>
      <c r="N224" s="653"/>
      <c r="O224" s="653"/>
      <c r="P224" s="653"/>
      <c r="Q224" s="640"/>
      <c r="R224" s="640" t="s">
        <v>3160</v>
      </c>
      <c r="S224" s="640" t="s">
        <v>4408</v>
      </c>
      <c r="T224" s="460"/>
      <c r="U224" s="640" t="s">
        <v>171</v>
      </c>
      <c r="V224" s="685">
        <f t="shared" si="9"/>
        <v>0</v>
      </c>
      <c r="W224" s="690"/>
      <c r="X224" s="690"/>
      <c r="Y224" s="690"/>
      <c r="Z224" s="690"/>
      <c r="AA224" s="690"/>
      <c r="AB224" s="690"/>
      <c r="AC224" s="690"/>
      <c r="AD224" s="690"/>
      <c r="AE224" s="690"/>
      <c r="AF224" s="690"/>
      <c r="AG224" s="690"/>
      <c r="AH224" s="690"/>
      <c r="AI224" s="690"/>
      <c r="AJ224" s="690"/>
      <c r="AK224" s="690"/>
      <c r="AL224" s="690"/>
      <c r="AM224" s="690"/>
      <c r="AN224" s="690"/>
      <c r="AO224" s="690"/>
      <c r="AP224" s="690"/>
    </row>
    <row r="225" spans="1:42" x14ac:dyDescent="0.25">
      <c r="A225" s="134">
        <f t="shared" si="8"/>
        <v>224</v>
      </c>
      <c r="B225" s="443" t="s">
        <v>3434</v>
      </c>
      <c r="C225" s="443" t="s">
        <v>3434</v>
      </c>
      <c r="D225" s="443"/>
      <c r="E225" s="443" t="s">
        <v>7276</v>
      </c>
      <c r="F225" s="444" t="s">
        <v>4908</v>
      </c>
      <c r="G225" s="4"/>
      <c r="H225" s="640"/>
      <c r="I225" s="640" t="s">
        <v>618</v>
      </c>
      <c r="J225" s="653" t="s">
        <v>6266</v>
      </c>
      <c r="K225" s="653" t="s">
        <v>6270</v>
      </c>
      <c r="L225" s="653"/>
      <c r="M225" s="653"/>
      <c r="N225" s="653"/>
      <c r="O225" s="653"/>
      <c r="P225" s="653"/>
      <c r="Q225" s="640"/>
      <c r="R225" s="640" t="s">
        <v>3161</v>
      </c>
      <c r="S225" s="640" t="s">
        <v>4404</v>
      </c>
      <c r="T225" s="460"/>
      <c r="U225" s="640" t="s">
        <v>171</v>
      </c>
      <c r="V225" s="685">
        <f t="shared" si="9"/>
        <v>0</v>
      </c>
      <c r="W225" s="690"/>
      <c r="X225" s="690"/>
      <c r="Y225" s="690"/>
      <c r="Z225" s="690"/>
      <c r="AA225" s="690"/>
      <c r="AB225" s="690"/>
      <c r="AC225" s="690"/>
      <c r="AD225" s="690"/>
      <c r="AE225" s="690"/>
      <c r="AF225" s="690"/>
      <c r="AG225" s="690"/>
      <c r="AH225" s="690"/>
      <c r="AI225" s="690"/>
      <c r="AJ225" s="690"/>
      <c r="AK225" s="690"/>
      <c r="AL225" s="690"/>
      <c r="AM225" s="690"/>
      <c r="AN225" s="690"/>
      <c r="AO225" s="690"/>
      <c r="AP225" s="690"/>
    </row>
    <row r="226" spans="1:42" x14ac:dyDescent="0.25">
      <c r="A226" s="134">
        <f t="shared" si="8"/>
        <v>225</v>
      </c>
      <c r="B226" s="443" t="s">
        <v>3435</v>
      </c>
      <c r="C226" s="443" t="s">
        <v>3435</v>
      </c>
      <c r="D226" s="443"/>
      <c r="E226" s="443" t="s">
        <v>7277</v>
      </c>
      <c r="F226" s="444" t="s">
        <v>4909</v>
      </c>
      <c r="G226" s="4"/>
      <c r="H226" s="640"/>
      <c r="I226" s="640" t="s">
        <v>618</v>
      </c>
      <c r="J226" s="653"/>
      <c r="K226" s="653"/>
      <c r="L226" s="653"/>
      <c r="M226" s="653"/>
      <c r="N226" s="653"/>
      <c r="O226" s="653"/>
      <c r="P226" s="653"/>
      <c r="Q226" s="640"/>
      <c r="R226" s="640" t="s">
        <v>3161</v>
      </c>
      <c r="S226" s="640" t="s">
        <v>4405</v>
      </c>
      <c r="T226" s="460"/>
      <c r="U226" s="640" t="s">
        <v>171</v>
      </c>
      <c r="V226" s="685">
        <f t="shared" si="9"/>
        <v>0</v>
      </c>
      <c r="W226" s="690"/>
      <c r="X226" s="690"/>
      <c r="Y226" s="690"/>
      <c r="Z226" s="690"/>
      <c r="AA226" s="690"/>
      <c r="AB226" s="690"/>
      <c r="AC226" s="690"/>
      <c r="AD226" s="690"/>
      <c r="AE226" s="690"/>
      <c r="AF226" s="690"/>
      <c r="AG226" s="690"/>
      <c r="AH226" s="690"/>
      <c r="AI226" s="690"/>
      <c r="AJ226" s="690"/>
      <c r="AK226" s="690"/>
      <c r="AL226" s="690"/>
      <c r="AM226" s="690"/>
      <c r="AN226" s="690"/>
      <c r="AO226" s="690"/>
      <c r="AP226" s="690"/>
    </row>
    <row r="227" spans="1:42" x14ac:dyDescent="0.25">
      <c r="A227" s="134">
        <f t="shared" si="8"/>
        <v>226</v>
      </c>
      <c r="B227" s="443" t="s">
        <v>3436</v>
      </c>
      <c r="C227" s="443" t="s">
        <v>3436</v>
      </c>
      <c r="D227" s="443"/>
      <c r="E227" s="443" t="s">
        <v>7278</v>
      </c>
      <c r="F227" s="444" t="s">
        <v>4649</v>
      </c>
      <c r="G227" s="4"/>
      <c r="H227" s="640"/>
      <c r="I227" s="640" t="s">
        <v>618</v>
      </c>
      <c r="J227" s="653"/>
      <c r="K227" s="653"/>
      <c r="L227" s="653"/>
      <c r="M227" s="653"/>
      <c r="N227" s="653"/>
      <c r="O227" s="653"/>
      <c r="P227" s="653"/>
      <c r="Q227" s="640"/>
      <c r="R227" s="640" t="s">
        <v>3161</v>
      </c>
      <c r="S227" s="640" t="s">
        <v>4406</v>
      </c>
      <c r="T227" s="460"/>
      <c r="U227" s="640" t="s">
        <v>171</v>
      </c>
      <c r="V227" s="685">
        <f t="shared" si="9"/>
        <v>0</v>
      </c>
      <c r="W227" s="690"/>
      <c r="X227" s="690"/>
      <c r="Y227" s="690"/>
      <c r="Z227" s="690"/>
      <c r="AA227" s="690"/>
      <c r="AB227" s="690"/>
      <c r="AC227" s="690"/>
      <c r="AD227" s="690"/>
      <c r="AE227" s="690"/>
      <c r="AF227" s="690"/>
      <c r="AG227" s="690"/>
      <c r="AH227" s="690"/>
      <c r="AI227" s="690"/>
      <c r="AJ227" s="690"/>
      <c r="AK227" s="690"/>
      <c r="AL227" s="690"/>
      <c r="AM227" s="690"/>
      <c r="AN227" s="690"/>
      <c r="AO227" s="690"/>
      <c r="AP227" s="690"/>
    </row>
    <row r="228" spans="1:42" x14ac:dyDescent="0.25">
      <c r="A228" s="134">
        <f t="shared" si="8"/>
        <v>227</v>
      </c>
      <c r="B228" s="443" t="s">
        <v>3437</v>
      </c>
      <c r="C228" s="443" t="s">
        <v>3437</v>
      </c>
      <c r="D228" s="443"/>
      <c r="E228" s="443" t="s">
        <v>7279</v>
      </c>
      <c r="F228" s="444" t="s">
        <v>4647</v>
      </c>
      <c r="G228" s="4"/>
      <c r="H228" s="640"/>
      <c r="I228" s="640" t="s">
        <v>618</v>
      </c>
      <c r="J228" s="653"/>
      <c r="K228" s="653"/>
      <c r="L228" s="653"/>
      <c r="M228" s="653"/>
      <c r="N228" s="653"/>
      <c r="O228" s="653"/>
      <c r="P228" s="653"/>
      <c r="Q228" s="640"/>
      <c r="R228" s="640" t="s">
        <v>3161</v>
      </c>
      <c r="S228" s="640" t="s">
        <v>4407</v>
      </c>
      <c r="T228" s="460"/>
      <c r="U228" s="640" t="s">
        <v>171</v>
      </c>
      <c r="V228" s="685">
        <f t="shared" si="9"/>
        <v>0</v>
      </c>
      <c r="W228" s="690"/>
      <c r="X228" s="690"/>
      <c r="Y228" s="690"/>
      <c r="Z228" s="690"/>
      <c r="AA228" s="690"/>
      <c r="AB228" s="690"/>
      <c r="AC228" s="690"/>
      <c r="AD228" s="690"/>
      <c r="AE228" s="690"/>
      <c r="AF228" s="690"/>
      <c r="AG228" s="690"/>
      <c r="AH228" s="690"/>
      <c r="AI228" s="690"/>
      <c r="AJ228" s="690"/>
      <c r="AK228" s="690"/>
      <c r="AL228" s="690"/>
      <c r="AM228" s="690"/>
      <c r="AN228" s="690"/>
      <c r="AO228" s="690"/>
      <c r="AP228" s="690"/>
    </row>
    <row r="229" spans="1:42" x14ac:dyDescent="0.25">
      <c r="A229" s="134">
        <f t="shared" si="8"/>
        <v>228</v>
      </c>
      <c r="B229" s="443" t="s">
        <v>3438</v>
      </c>
      <c r="C229" s="443" t="s">
        <v>3438</v>
      </c>
      <c r="D229" s="443"/>
      <c r="E229" s="443" t="s">
        <v>7280</v>
      </c>
      <c r="F229" s="444" t="s">
        <v>4648</v>
      </c>
      <c r="G229" s="4" t="s">
        <v>7281</v>
      </c>
      <c r="H229" s="640"/>
      <c r="I229" s="640" t="s">
        <v>618</v>
      </c>
      <c r="J229" s="653"/>
      <c r="K229" s="653"/>
      <c r="L229" s="653"/>
      <c r="M229" s="653"/>
      <c r="N229" s="653"/>
      <c r="O229" s="653"/>
      <c r="P229" s="653"/>
      <c r="Q229" s="640"/>
      <c r="R229" s="640" t="s">
        <v>3161</v>
      </c>
      <c r="S229" s="640" t="s">
        <v>4408</v>
      </c>
      <c r="T229" s="460"/>
      <c r="U229" s="640" t="s">
        <v>171</v>
      </c>
      <c r="V229" s="685">
        <f t="shared" si="9"/>
        <v>0</v>
      </c>
      <c r="W229" s="690"/>
      <c r="X229" s="690"/>
      <c r="Y229" s="690"/>
      <c r="Z229" s="690"/>
      <c r="AA229" s="690"/>
      <c r="AB229" s="690"/>
      <c r="AC229" s="690"/>
      <c r="AD229" s="690"/>
      <c r="AE229" s="690"/>
      <c r="AF229" s="690"/>
      <c r="AG229" s="690"/>
      <c r="AH229" s="690"/>
      <c r="AI229" s="690"/>
      <c r="AJ229" s="690"/>
      <c r="AK229" s="690"/>
      <c r="AL229" s="690"/>
      <c r="AM229" s="690"/>
      <c r="AN229" s="690"/>
      <c r="AO229" s="690"/>
      <c r="AP229" s="690"/>
    </row>
    <row r="230" spans="1:42" x14ac:dyDescent="0.25">
      <c r="A230" s="134">
        <f t="shared" si="8"/>
        <v>229</v>
      </c>
      <c r="B230" s="443" t="s">
        <v>3439</v>
      </c>
      <c r="C230" s="443" t="s">
        <v>3439</v>
      </c>
      <c r="D230" s="443"/>
      <c r="E230" s="443" t="s">
        <v>7282</v>
      </c>
      <c r="F230" s="444" t="s">
        <v>4650</v>
      </c>
      <c r="G230" s="4" t="s">
        <v>7283</v>
      </c>
      <c r="H230" s="640"/>
      <c r="I230" s="640" t="s">
        <v>619</v>
      </c>
      <c r="J230" s="653"/>
      <c r="K230" s="653"/>
      <c r="L230" s="653"/>
      <c r="M230" s="653"/>
      <c r="N230" s="653"/>
      <c r="O230" s="653"/>
      <c r="P230" s="653"/>
      <c r="Q230" s="640"/>
      <c r="R230" s="640" t="s">
        <v>3163</v>
      </c>
      <c r="S230" s="640" t="s">
        <v>4310</v>
      </c>
      <c r="T230" s="460"/>
      <c r="U230" s="640" t="s">
        <v>171</v>
      </c>
      <c r="V230" s="685">
        <f t="shared" si="9"/>
        <v>0</v>
      </c>
      <c r="W230" s="690"/>
      <c r="X230" s="690"/>
      <c r="Y230" s="690"/>
      <c r="Z230" s="690"/>
      <c r="AA230" s="690"/>
      <c r="AB230" s="690"/>
      <c r="AC230" s="690"/>
      <c r="AD230" s="690"/>
      <c r="AE230" s="690"/>
      <c r="AF230" s="690"/>
      <c r="AG230" s="690"/>
      <c r="AH230" s="690"/>
      <c r="AI230" s="690"/>
      <c r="AJ230" s="690"/>
      <c r="AK230" s="690"/>
      <c r="AL230" s="690"/>
      <c r="AM230" s="690"/>
      <c r="AN230" s="690"/>
      <c r="AO230" s="690"/>
      <c r="AP230" s="690"/>
    </row>
    <row r="231" spans="1:42" x14ac:dyDescent="0.25">
      <c r="A231" s="134">
        <f t="shared" si="8"/>
        <v>230</v>
      </c>
      <c r="B231" s="443" t="s">
        <v>3440</v>
      </c>
      <c r="C231" s="443" t="s">
        <v>3440</v>
      </c>
      <c r="D231" s="443"/>
      <c r="E231" s="443" t="s">
        <v>7284</v>
      </c>
      <c r="F231" s="444" t="s">
        <v>4910</v>
      </c>
      <c r="G231" s="4" t="s">
        <v>7214</v>
      </c>
      <c r="H231" s="640"/>
      <c r="I231" s="640" t="s">
        <v>619</v>
      </c>
      <c r="J231" s="653"/>
      <c r="K231" s="653"/>
      <c r="L231" s="653"/>
      <c r="M231" s="653"/>
      <c r="N231" s="653"/>
      <c r="O231" s="653"/>
      <c r="P231" s="653"/>
      <c r="Q231" s="640"/>
      <c r="R231" s="640" t="s">
        <v>3163</v>
      </c>
      <c r="S231" s="640" t="s">
        <v>4302</v>
      </c>
      <c r="T231" s="460"/>
      <c r="U231" s="640" t="s">
        <v>171</v>
      </c>
      <c r="V231" s="685">
        <f t="shared" si="9"/>
        <v>0</v>
      </c>
      <c r="W231" s="690"/>
      <c r="X231" s="690"/>
      <c r="Y231" s="690"/>
      <c r="Z231" s="690"/>
      <c r="AA231" s="690"/>
      <c r="AB231" s="690"/>
      <c r="AC231" s="690"/>
      <c r="AD231" s="690"/>
      <c r="AE231" s="690"/>
      <c r="AF231" s="690"/>
      <c r="AG231" s="690"/>
      <c r="AH231" s="690"/>
      <c r="AI231" s="690"/>
      <c r="AJ231" s="690"/>
      <c r="AK231" s="690"/>
      <c r="AL231" s="690"/>
      <c r="AM231" s="690"/>
      <c r="AN231" s="690"/>
      <c r="AO231" s="690"/>
      <c r="AP231" s="690"/>
    </row>
    <row r="232" spans="1:42" x14ac:dyDescent="0.25">
      <c r="A232" s="134">
        <f t="shared" si="8"/>
        <v>231</v>
      </c>
      <c r="B232" s="443" t="s">
        <v>3441</v>
      </c>
      <c r="C232" s="443" t="s">
        <v>3441</v>
      </c>
      <c r="D232" s="443"/>
      <c r="E232" s="443" t="s">
        <v>7285</v>
      </c>
      <c r="F232" s="444" t="s">
        <v>4911</v>
      </c>
      <c r="G232" s="4"/>
      <c r="H232" s="640"/>
      <c r="I232" s="640" t="s">
        <v>619</v>
      </c>
      <c r="J232" s="653"/>
      <c r="K232" s="653"/>
      <c r="L232" s="653"/>
      <c r="M232" s="653"/>
      <c r="N232" s="653"/>
      <c r="O232" s="653"/>
      <c r="P232" s="653"/>
      <c r="Q232" s="640"/>
      <c r="R232" s="640" t="s">
        <v>3163</v>
      </c>
      <c r="S232" s="640" t="s">
        <v>4303</v>
      </c>
      <c r="T232" s="460"/>
      <c r="U232" s="640" t="s">
        <v>171</v>
      </c>
      <c r="V232" s="685">
        <f t="shared" si="9"/>
        <v>7</v>
      </c>
      <c r="W232" s="137" t="s">
        <v>3197</v>
      </c>
      <c r="X232" s="137" t="s">
        <v>3198</v>
      </c>
      <c r="Y232" s="137" t="s">
        <v>3199</v>
      </c>
      <c r="Z232" s="137" t="s">
        <v>3200</v>
      </c>
      <c r="AA232" s="137" t="s">
        <v>3201</v>
      </c>
      <c r="AB232" s="137" t="s">
        <v>3202</v>
      </c>
      <c r="AC232" s="4" t="s">
        <v>6970</v>
      </c>
      <c r="AD232" s="690"/>
      <c r="AE232" s="690"/>
      <c r="AF232" s="690"/>
      <c r="AG232" s="690"/>
      <c r="AH232" s="690"/>
      <c r="AI232" s="690"/>
      <c r="AJ232" s="690"/>
      <c r="AK232" s="690"/>
      <c r="AL232" s="690"/>
      <c r="AM232" s="690"/>
      <c r="AN232" s="690"/>
      <c r="AO232" s="690"/>
      <c r="AP232" s="690"/>
    </row>
    <row r="233" spans="1:42" x14ac:dyDescent="0.25">
      <c r="A233" s="134">
        <f t="shared" si="8"/>
        <v>232</v>
      </c>
      <c r="B233" s="443" t="s">
        <v>3442</v>
      </c>
      <c r="C233" s="443" t="s">
        <v>3442</v>
      </c>
      <c r="D233" s="443"/>
      <c r="E233" s="443" t="s">
        <v>7286</v>
      </c>
      <c r="F233" s="444" t="s">
        <v>4651</v>
      </c>
      <c r="G233" s="4" t="s">
        <v>7287</v>
      </c>
      <c r="H233" s="640"/>
      <c r="I233" s="640" t="s">
        <v>619</v>
      </c>
      <c r="J233" s="653"/>
      <c r="K233" s="653"/>
      <c r="L233" s="653"/>
      <c r="M233" s="653"/>
      <c r="N233" s="653"/>
      <c r="O233" s="653"/>
      <c r="P233" s="653"/>
      <c r="Q233" s="640"/>
      <c r="R233" s="640" t="s">
        <v>3163</v>
      </c>
      <c r="S233" s="640" t="s">
        <v>4304</v>
      </c>
      <c r="T233" s="460"/>
      <c r="U233" s="640" t="s">
        <v>171</v>
      </c>
      <c r="V233" s="685">
        <f t="shared" si="9"/>
        <v>0</v>
      </c>
      <c r="W233" s="690"/>
      <c r="X233" s="690"/>
      <c r="Y233" s="690"/>
      <c r="Z233" s="690"/>
      <c r="AA233" s="690"/>
      <c r="AB233" s="690"/>
      <c r="AC233" s="690"/>
      <c r="AD233" s="690"/>
      <c r="AE233" s="690"/>
      <c r="AF233" s="690"/>
      <c r="AG233" s="690"/>
      <c r="AH233" s="690"/>
      <c r="AI233" s="690"/>
      <c r="AJ233" s="690"/>
      <c r="AK233" s="690"/>
      <c r="AL233" s="690"/>
      <c r="AM233" s="690"/>
      <c r="AN233" s="690"/>
      <c r="AO233" s="690"/>
      <c r="AP233" s="690"/>
    </row>
    <row r="234" spans="1:42" x14ac:dyDescent="0.25">
      <c r="A234" s="134">
        <f t="shared" si="8"/>
        <v>233</v>
      </c>
      <c r="B234" s="443" t="s">
        <v>3443</v>
      </c>
      <c r="C234" s="443" t="s">
        <v>3443</v>
      </c>
      <c r="D234" s="443"/>
      <c r="E234" s="443" t="s">
        <v>7288</v>
      </c>
      <c r="F234" s="444" t="s">
        <v>4652</v>
      </c>
      <c r="G234" s="4"/>
      <c r="H234" s="640"/>
      <c r="I234" s="640" t="s">
        <v>619</v>
      </c>
      <c r="J234" s="653"/>
      <c r="K234" s="653"/>
      <c r="L234" s="653"/>
      <c r="M234" s="653"/>
      <c r="N234" s="653"/>
      <c r="O234" s="653"/>
      <c r="P234" s="653"/>
      <c r="Q234" s="640"/>
      <c r="R234" s="640" t="s">
        <v>3163</v>
      </c>
      <c r="S234" s="640" t="s">
        <v>4305</v>
      </c>
      <c r="T234" s="460"/>
      <c r="U234" s="640" t="s">
        <v>171</v>
      </c>
      <c r="V234" s="685">
        <f t="shared" si="9"/>
        <v>0</v>
      </c>
      <c r="W234" s="690"/>
      <c r="X234" s="690"/>
      <c r="Y234" s="690"/>
      <c r="Z234" s="690"/>
      <c r="AA234" s="690"/>
      <c r="AB234" s="690"/>
      <c r="AC234" s="690"/>
      <c r="AD234" s="690"/>
      <c r="AE234" s="690"/>
      <c r="AF234" s="690"/>
      <c r="AG234" s="690"/>
      <c r="AH234" s="690"/>
      <c r="AI234" s="690"/>
      <c r="AJ234" s="690"/>
      <c r="AK234" s="690"/>
      <c r="AL234" s="690"/>
      <c r="AM234" s="690"/>
      <c r="AN234" s="690"/>
      <c r="AO234" s="690"/>
      <c r="AP234" s="690"/>
    </row>
    <row r="235" spans="1:42" x14ac:dyDescent="0.25">
      <c r="A235" s="134">
        <f t="shared" si="8"/>
        <v>234</v>
      </c>
      <c r="B235" s="443" t="s">
        <v>3444</v>
      </c>
      <c r="C235" s="443" t="s">
        <v>3444</v>
      </c>
      <c r="D235" s="443"/>
      <c r="E235" s="443" t="s">
        <v>7289</v>
      </c>
      <c r="F235" s="444" t="s">
        <v>4912</v>
      </c>
      <c r="G235" s="4" t="s">
        <v>7452</v>
      </c>
      <c r="H235" s="640"/>
      <c r="I235" s="640" t="s">
        <v>619</v>
      </c>
      <c r="J235" s="653"/>
      <c r="K235" s="653"/>
      <c r="L235" s="653"/>
      <c r="M235" s="653"/>
      <c r="N235" s="653"/>
      <c r="O235" s="653" t="s">
        <v>7357</v>
      </c>
      <c r="P235" s="653"/>
      <c r="Q235" s="640"/>
      <c r="R235" s="640" t="s">
        <v>6257</v>
      </c>
      <c r="S235" s="640" t="s">
        <v>4310</v>
      </c>
      <c r="T235" s="460"/>
      <c r="U235" s="640" t="s">
        <v>171</v>
      </c>
      <c r="V235" s="685">
        <f t="shared" si="9"/>
        <v>0</v>
      </c>
      <c r="W235" s="690"/>
      <c r="X235" s="690"/>
      <c r="Y235" s="690"/>
      <c r="Z235" s="690"/>
      <c r="AA235" s="690"/>
      <c r="AB235" s="690"/>
      <c r="AC235" s="690"/>
      <c r="AD235" s="690"/>
      <c r="AE235" s="690"/>
      <c r="AF235" s="690"/>
      <c r="AG235" s="690"/>
      <c r="AH235" s="690"/>
      <c r="AI235" s="690"/>
      <c r="AJ235" s="690"/>
      <c r="AK235" s="690"/>
      <c r="AL235" s="690"/>
      <c r="AM235" s="690"/>
      <c r="AN235" s="690"/>
      <c r="AO235" s="690"/>
      <c r="AP235" s="690"/>
    </row>
    <row r="236" spans="1:42" x14ac:dyDescent="0.25">
      <c r="A236" s="134">
        <f t="shared" si="8"/>
        <v>235</v>
      </c>
      <c r="B236" s="443" t="s">
        <v>3445</v>
      </c>
      <c r="C236" s="443" t="s">
        <v>3445</v>
      </c>
      <c r="D236" s="443"/>
      <c r="E236" s="443" t="s">
        <v>7290</v>
      </c>
      <c r="F236" s="444" t="s">
        <v>4653</v>
      </c>
      <c r="G236" s="133" t="s">
        <v>7377</v>
      </c>
      <c r="H236" s="640"/>
      <c r="I236" s="640" t="s">
        <v>619</v>
      </c>
      <c r="J236" s="653"/>
      <c r="K236" s="653"/>
      <c r="L236" s="653"/>
      <c r="M236" s="653"/>
      <c r="N236" s="653"/>
      <c r="O236" s="653"/>
      <c r="P236" s="653"/>
      <c r="Q236" s="640"/>
      <c r="R236" s="640" t="s">
        <v>6257</v>
      </c>
      <c r="S236" s="640" t="s">
        <v>4311</v>
      </c>
      <c r="T236" s="460"/>
      <c r="U236" s="640" t="s">
        <v>171</v>
      </c>
      <c r="V236" s="685">
        <f t="shared" si="9"/>
        <v>0</v>
      </c>
      <c r="W236" s="690"/>
      <c r="X236" s="690"/>
      <c r="Y236" s="690"/>
      <c r="Z236" s="690"/>
      <c r="AA236" s="690"/>
      <c r="AB236" s="690"/>
      <c r="AC236" s="690"/>
      <c r="AD236" s="690"/>
      <c r="AE236" s="690"/>
      <c r="AF236" s="690"/>
      <c r="AG236" s="690"/>
      <c r="AH236" s="690"/>
      <c r="AI236" s="690"/>
      <c r="AJ236" s="690"/>
      <c r="AK236" s="690"/>
      <c r="AL236" s="690"/>
      <c r="AM236" s="690"/>
      <c r="AN236" s="690"/>
      <c r="AO236" s="690"/>
      <c r="AP236" s="690"/>
    </row>
    <row r="237" spans="1:42" x14ac:dyDescent="0.25">
      <c r="A237" s="134">
        <f t="shared" si="8"/>
        <v>236</v>
      </c>
      <c r="B237" s="443" t="s">
        <v>3446</v>
      </c>
      <c r="C237" s="443" t="s">
        <v>3446</v>
      </c>
      <c r="D237" s="443"/>
      <c r="E237" s="443" t="s">
        <v>7291</v>
      </c>
      <c r="F237" s="444" t="s">
        <v>4913</v>
      </c>
      <c r="G237" s="4"/>
      <c r="H237" s="640"/>
      <c r="I237" s="640" t="s">
        <v>619</v>
      </c>
      <c r="J237" s="653"/>
      <c r="K237" s="653"/>
      <c r="L237" s="653"/>
      <c r="M237" s="653"/>
      <c r="N237" s="653"/>
      <c r="O237" s="653"/>
      <c r="P237" s="653"/>
      <c r="Q237" s="640"/>
      <c r="R237" s="640" t="s">
        <v>3453</v>
      </c>
      <c r="S237" s="640" t="s">
        <v>4302</v>
      </c>
      <c r="T237" s="460"/>
      <c r="U237" s="640" t="s">
        <v>171</v>
      </c>
      <c r="V237" s="685">
        <f t="shared" si="9"/>
        <v>0</v>
      </c>
      <c r="W237" s="690"/>
      <c r="X237" s="690"/>
      <c r="Y237" s="690"/>
      <c r="Z237" s="690"/>
      <c r="AA237" s="690"/>
      <c r="AB237" s="690"/>
      <c r="AC237" s="690"/>
      <c r="AD237" s="690"/>
      <c r="AE237" s="690"/>
      <c r="AF237" s="690"/>
      <c r="AG237" s="690"/>
      <c r="AH237" s="690"/>
      <c r="AI237" s="690"/>
      <c r="AJ237" s="690"/>
      <c r="AK237" s="690"/>
      <c r="AL237" s="690"/>
      <c r="AM237" s="690"/>
      <c r="AN237" s="690"/>
      <c r="AO237" s="690"/>
      <c r="AP237" s="690"/>
    </row>
    <row r="238" spans="1:42" x14ac:dyDescent="0.25">
      <c r="A238" s="134">
        <f t="shared" si="8"/>
        <v>237</v>
      </c>
      <c r="B238" s="443" t="s">
        <v>4307</v>
      </c>
      <c r="C238" s="443" t="s">
        <v>4312</v>
      </c>
      <c r="D238" s="443"/>
      <c r="E238" s="443" t="s">
        <v>7293</v>
      </c>
      <c r="F238" s="444" t="s">
        <v>7292</v>
      </c>
      <c r="G238" s="4"/>
      <c r="H238" s="640"/>
      <c r="I238" s="640" t="s">
        <v>619</v>
      </c>
      <c r="J238" s="653"/>
      <c r="K238" s="653"/>
      <c r="L238" s="653"/>
      <c r="M238" s="653"/>
      <c r="N238" s="653"/>
      <c r="O238" s="653"/>
      <c r="P238" s="653"/>
      <c r="Q238" s="640"/>
      <c r="R238" s="640" t="s">
        <v>3453</v>
      </c>
      <c r="S238" s="640" t="s">
        <v>4303</v>
      </c>
      <c r="T238" s="460"/>
      <c r="U238" s="640" t="s">
        <v>171</v>
      </c>
      <c r="V238" s="685">
        <f t="shared" si="9"/>
        <v>0</v>
      </c>
      <c r="W238" s="690"/>
      <c r="X238" s="690"/>
      <c r="Y238" s="690"/>
      <c r="Z238" s="690"/>
      <c r="AA238" s="690"/>
      <c r="AB238" s="690"/>
      <c r="AC238" s="690"/>
      <c r="AD238" s="690"/>
      <c r="AE238" s="690"/>
      <c r="AF238" s="690"/>
      <c r="AG238" s="690"/>
      <c r="AH238" s="690"/>
      <c r="AI238" s="690"/>
      <c r="AJ238" s="690"/>
      <c r="AK238" s="690"/>
      <c r="AL238" s="690"/>
      <c r="AM238" s="690"/>
      <c r="AN238" s="690"/>
      <c r="AO238" s="690"/>
      <c r="AP238" s="690"/>
    </row>
    <row r="239" spans="1:42" x14ac:dyDescent="0.25">
      <c r="A239" s="134">
        <f t="shared" si="8"/>
        <v>238</v>
      </c>
      <c r="B239" s="443" t="s">
        <v>4306</v>
      </c>
      <c r="C239" s="443" t="s">
        <v>4312</v>
      </c>
      <c r="D239" s="443"/>
      <c r="E239" s="443" t="s">
        <v>7294</v>
      </c>
      <c r="F239" s="444" t="s">
        <v>4914</v>
      </c>
      <c r="G239" s="4"/>
      <c r="H239" s="640"/>
      <c r="I239" s="640" t="s">
        <v>619</v>
      </c>
      <c r="J239" s="653"/>
      <c r="K239" s="653"/>
      <c r="L239" s="653"/>
      <c r="M239" s="653"/>
      <c r="N239" s="653"/>
      <c r="O239" s="653"/>
      <c r="P239" s="653"/>
      <c r="Q239" s="640"/>
      <c r="R239" s="640" t="s">
        <v>3453</v>
      </c>
      <c r="S239" s="640" t="s">
        <v>4305</v>
      </c>
      <c r="T239" s="460"/>
      <c r="U239" s="640" t="s">
        <v>171</v>
      </c>
      <c r="V239" s="685">
        <f t="shared" si="9"/>
        <v>0</v>
      </c>
      <c r="W239" s="690"/>
      <c r="X239" s="690"/>
      <c r="Y239" s="690"/>
      <c r="Z239" s="690"/>
      <c r="AA239" s="690"/>
      <c r="AB239" s="690"/>
      <c r="AC239" s="690"/>
      <c r="AD239" s="690"/>
      <c r="AE239" s="690"/>
      <c r="AF239" s="690"/>
      <c r="AG239" s="690"/>
      <c r="AH239" s="690"/>
      <c r="AI239" s="690"/>
      <c r="AJ239" s="690"/>
      <c r="AK239" s="690"/>
      <c r="AL239" s="690"/>
      <c r="AM239" s="690"/>
      <c r="AN239" s="690"/>
      <c r="AO239" s="690"/>
      <c r="AP239" s="690"/>
    </row>
    <row r="240" spans="1:42" x14ac:dyDescent="0.25">
      <c r="A240" s="134">
        <f t="shared" si="8"/>
        <v>239</v>
      </c>
      <c r="B240" s="443" t="s">
        <v>3447</v>
      </c>
      <c r="C240" s="443" t="s">
        <v>3447</v>
      </c>
      <c r="D240" s="443"/>
      <c r="E240" s="443" t="s">
        <v>7295</v>
      </c>
      <c r="F240" s="444" t="s">
        <v>4654</v>
      </c>
      <c r="G240" s="4"/>
      <c r="H240" s="640"/>
      <c r="I240" s="640" t="s">
        <v>619</v>
      </c>
      <c r="J240" s="653"/>
      <c r="K240" s="653"/>
      <c r="L240" s="653"/>
      <c r="M240" s="653"/>
      <c r="N240" s="653"/>
      <c r="O240" s="653"/>
      <c r="P240" s="653"/>
      <c r="Q240" s="640"/>
      <c r="R240" s="640" t="s">
        <v>3453</v>
      </c>
      <c r="S240" s="640" t="s">
        <v>4304</v>
      </c>
      <c r="T240" s="460"/>
      <c r="U240" s="640" t="s">
        <v>171</v>
      </c>
      <c r="V240" s="685">
        <f t="shared" si="9"/>
        <v>0</v>
      </c>
      <c r="W240" s="690"/>
      <c r="X240" s="690"/>
      <c r="Y240" s="690"/>
      <c r="Z240" s="690"/>
      <c r="AA240" s="690"/>
      <c r="AB240" s="690"/>
      <c r="AC240" s="690"/>
      <c r="AD240" s="690"/>
      <c r="AE240" s="690"/>
      <c r="AF240" s="690"/>
      <c r="AG240" s="690"/>
      <c r="AH240" s="690"/>
      <c r="AI240" s="690"/>
      <c r="AJ240" s="690"/>
      <c r="AK240" s="690"/>
      <c r="AL240" s="690"/>
      <c r="AM240" s="690"/>
      <c r="AN240" s="690"/>
      <c r="AO240" s="690"/>
      <c r="AP240" s="690"/>
    </row>
    <row r="241" spans="1:42" x14ac:dyDescent="0.25">
      <c r="A241" s="134">
        <f t="shared" si="8"/>
        <v>240</v>
      </c>
      <c r="B241" s="443" t="s">
        <v>3448</v>
      </c>
      <c r="C241" s="443" t="s">
        <v>3448</v>
      </c>
      <c r="D241" s="443"/>
      <c r="E241" s="443" t="s">
        <v>7296</v>
      </c>
      <c r="F241" s="444" t="s">
        <v>4915</v>
      </c>
      <c r="G241" s="4"/>
      <c r="H241" s="640"/>
      <c r="I241" s="640" t="s">
        <v>619</v>
      </c>
      <c r="J241" s="653"/>
      <c r="K241" s="653"/>
      <c r="L241" s="653"/>
      <c r="M241" s="653"/>
      <c r="N241" s="653"/>
      <c r="O241" s="653"/>
      <c r="P241" s="653"/>
      <c r="Q241" s="640"/>
      <c r="R241" s="640" t="s">
        <v>3164</v>
      </c>
      <c r="S241" s="640" t="s">
        <v>4311</v>
      </c>
      <c r="T241" s="460"/>
      <c r="U241" s="640" t="s">
        <v>171</v>
      </c>
      <c r="V241" s="685">
        <f t="shared" si="9"/>
        <v>0</v>
      </c>
      <c r="W241" s="690"/>
      <c r="X241" s="690"/>
      <c r="Y241" s="690"/>
      <c r="Z241" s="690"/>
      <c r="AA241" s="690"/>
      <c r="AB241" s="690"/>
      <c r="AC241" s="690"/>
      <c r="AD241" s="690"/>
      <c r="AE241" s="690"/>
      <c r="AF241" s="690"/>
      <c r="AG241" s="690"/>
      <c r="AH241" s="690"/>
      <c r="AI241" s="690"/>
      <c r="AJ241" s="690"/>
      <c r="AK241" s="690"/>
      <c r="AL241" s="690"/>
      <c r="AM241" s="690"/>
      <c r="AN241" s="690"/>
      <c r="AO241" s="690"/>
      <c r="AP241" s="690"/>
    </row>
    <row r="242" spans="1:42" x14ac:dyDescent="0.25">
      <c r="A242" s="134">
        <f t="shared" si="8"/>
        <v>241</v>
      </c>
      <c r="B242" s="443" t="s">
        <v>3449</v>
      </c>
      <c r="C242" s="443" t="s">
        <v>3449</v>
      </c>
      <c r="D242" s="443"/>
      <c r="E242" s="443" t="s">
        <v>7297</v>
      </c>
      <c r="F242" s="445" t="s">
        <v>4655</v>
      </c>
      <c r="G242" s="4"/>
      <c r="H242" s="640"/>
      <c r="I242" s="640" t="s">
        <v>619</v>
      </c>
      <c r="J242" s="653" t="s">
        <v>6266</v>
      </c>
      <c r="K242" s="653" t="s">
        <v>6270</v>
      </c>
      <c r="L242" s="653"/>
      <c r="M242" s="653"/>
      <c r="N242" s="653"/>
      <c r="O242" s="653"/>
      <c r="P242" s="653"/>
      <c r="Q242" s="640"/>
      <c r="R242" s="640" t="s">
        <v>3164</v>
      </c>
      <c r="S242" s="640" t="s">
        <v>4302</v>
      </c>
      <c r="T242" s="460"/>
      <c r="U242" s="640" t="s">
        <v>171</v>
      </c>
      <c r="V242" s="685">
        <f t="shared" si="9"/>
        <v>0</v>
      </c>
      <c r="W242" s="690"/>
      <c r="X242" s="690"/>
      <c r="Y242" s="690"/>
      <c r="Z242" s="690"/>
      <c r="AA242" s="690"/>
      <c r="AB242" s="690"/>
      <c r="AC242" s="690"/>
      <c r="AD242" s="690"/>
      <c r="AE242" s="690"/>
      <c r="AF242" s="690"/>
      <c r="AG242" s="690"/>
      <c r="AH242" s="690"/>
      <c r="AI242" s="690"/>
      <c r="AJ242" s="690"/>
      <c r="AK242" s="690"/>
      <c r="AL242" s="690"/>
      <c r="AM242" s="690"/>
      <c r="AN242" s="690"/>
      <c r="AO242" s="690"/>
      <c r="AP242" s="690"/>
    </row>
    <row r="243" spans="1:42" x14ac:dyDescent="0.25">
      <c r="A243" s="134">
        <f t="shared" si="8"/>
        <v>242</v>
      </c>
      <c r="B243" s="443" t="s">
        <v>3450</v>
      </c>
      <c r="C243" s="443" t="s">
        <v>3450</v>
      </c>
      <c r="D243" s="443"/>
      <c r="E243" s="443" t="s">
        <v>7298</v>
      </c>
      <c r="F243" s="444" t="s">
        <v>4656</v>
      </c>
      <c r="G243" s="4"/>
      <c r="H243" s="640"/>
      <c r="I243" s="640" t="s">
        <v>619</v>
      </c>
      <c r="J243" s="653"/>
      <c r="K243" s="653"/>
      <c r="L243" s="653"/>
      <c r="M243" s="653"/>
      <c r="N243" s="653"/>
      <c r="O243" s="653"/>
      <c r="P243" s="653"/>
      <c r="Q243" s="640"/>
      <c r="R243" s="640" t="s">
        <v>3164</v>
      </c>
      <c r="S243" s="640" t="s">
        <v>4303</v>
      </c>
      <c r="T243" s="460"/>
      <c r="U243" s="640" t="s">
        <v>171</v>
      </c>
      <c r="V243" s="685">
        <f t="shared" si="9"/>
        <v>0</v>
      </c>
      <c r="W243" s="690"/>
      <c r="X243" s="690"/>
      <c r="Y243" s="690"/>
      <c r="Z243" s="690"/>
      <c r="AA243" s="690"/>
      <c r="AB243" s="690"/>
      <c r="AC243" s="690"/>
      <c r="AD243" s="690"/>
      <c r="AE243" s="690"/>
      <c r="AF243" s="690"/>
      <c r="AG243" s="690"/>
      <c r="AH243" s="690"/>
      <c r="AI243" s="690"/>
      <c r="AJ243" s="690"/>
      <c r="AK243" s="690"/>
      <c r="AL243" s="690"/>
      <c r="AM243" s="690"/>
      <c r="AN243" s="690"/>
      <c r="AO243" s="690"/>
      <c r="AP243" s="690"/>
    </row>
    <row r="244" spans="1:42" x14ac:dyDescent="0.25">
      <c r="A244" s="134">
        <f t="shared" si="8"/>
        <v>243</v>
      </c>
      <c r="B244" s="443" t="s">
        <v>3451</v>
      </c>
      <c r="C244" s="443" t="s">
        <v>3451</v>
      </c>
      <c r="D244" s="443"/>
      <c r="E244" s="443" t="s">
        <v>7299</v>
      </c>
      <c r="F244" s="444" t="s">
        <v>4657</v>
      </c>
      <c r="G244" s="4"/>
      <c r="H244" s="640"/>
      <c r="I244" s="640" t="s">
        <v>619</v>
      </c>
      <c r="J244" s="653" t="s">
        <v>6266</v>
      </c>
      <c r="K244" s="653" t="s">
        <v>6270</v>
      </c>
      <c r="L244" s="653"/>
      <c r="M244" s="653"/>
      <c r="N244" s="653"/>
      <c r="O244" s="653"/>
      <c r="P244" s="653"/>
      <c r="Q244" s="640"/>
      <c r="R244" s="640" t="s">
        <v>3164</v>
      </c>
      <c r="S244" s="640" t="s">
        <v>4304</v>
      </c>
      <c r="T244" s="460"/>
      <c r="U244" s="640" t="s">
        <v>171</v>
      </c>
      <c r="V244" s="685">
        <f t="shared" si="9"/>
        <v>0</v>
      </c>
      <c r="W244" s="690"/>
      <c r="X244" s="690"/>
      <c r="Y244" s="690"/>
      <c r="Z244" s="690"/>
      <c r="AA244" s="690"/>
      <c r="AB244" s="690"/>
      <c r="AC244" s="690"/>
      <c r="AD244" s="690"/>
      <c r="AE244" s="690"/>
      <c r="AF244" s="690"/>
      <c r="AG244" s="690"/>
      <c r="AH244" s="690"/>
      <c r="AI244" s="690"/>
      <c r="AJ244" s="690"/>
      <c r="AK244" s="690"/>
      <c r="AL244" s="690"/>
      <c r="AM244" s="690"/>
      <c r="AN244" s="690"/>
      <c r="AO244" s="690"/>
      <c r="AP244" s="690"/>
    </row>
    <row r="245" spans="1:42" x14ac:dyDescent="0.25">
      <c r="A245" s="134">
        <f t="shared" si="8"/>
        <v>244</v>
      </c>
      <c r="B245" s="443" t="s">
        <v>3452</v>
      </c>
      <c r="C245" s="443" t="s">
        <v>3452</v>
      </c>
      <c r="D245" s="443"/>
      <c r="E245" s="443" t="s">
        <v>7300</v>
      </c>
      <c r="F245" s="444" t="s">
        <v>4835</v>
      </c>
      <c r="G245" s="4"/>
      <c r="H245" s="640"/>
      <c r="I245" s="640" t="s">
        <v>619</v>
      </c>
      <c r="J245" s="653" t="s">
        <v>6266</v>
      </c>
      <c r="K245" s="653" t="s">
        <v>6270</v>
      </c>
      <c r="L245" s="653"/>
      <c r="M245" s="653"/>
      <c r="N245" s="653"/>
      <c r="O245" s="653"/>
      <c r="P245" s="653"/>
      <c r="Q245" s="640"/>
      <c r="R245" s="640" t="s">
        <v>3164</v>
      </c>
      <c r="S245" s="640" t="s">
        <v>4305</v>
      </c>
      <c r="T245" s="460"/>
      <c r="U245" s="640" t="s">
        <v>171</v>
      </c>
      <c r="V245" s="685">
        <f t="shared" si="9"/>
        <v>0</v>
      </c>
      <c r="W245" s="690"/>
      <c r="X245" s="690"/>
      <c r="Y245" s="690"/>
      <c r="Z245" s="690"/>
      <c r="AA245" s="690"/>
      <c r="AB245" s="690"/>
      <c r="AC245" s="690"/>
      <c r="AD245" s="690"/>
      <c r="AE245" s="690"/>
      <c r="AF245" s="690"/>
      <c r="AG245" s="690"/>
      <c r="AH245" s="690"/>
      <c r="AI245" s="690"/>
      <c r="AJ245" s="690"/>
      <c r="AK245" s="690"/>
      <c r="AL245" s="690"/>
      <c r="AM245" s="690"/>
      <c r="AN245" s="690"/>
      <c r="AO245" s="690"/>
      <c r="AP245" s="690"/>
    </row>
    <row r="246" spans="1:42" x14ac:dyDescent="0.25">
      <c r="A246" s="134">
        <f t="shared" si="8"/>
        <v>245</v>
      </c>
      <c r="B246" s="443" t="s">
        <v>2297</v>
      </c>
      <c r="C246" s="443" t="s">
        <v>270</v>
      </c>
      <c r="D246" s="443"/>
      <c r="E246" s="443"/>
      <c r="F246" s="444" t="s">
        <v>7301</v>
      </c>
      <c r="G246" s="4"/>
      <c r="H246" s="640"/>
      <c r="I246" s="640" t="s">
        <v>619</v>
      </c>
      <c r="J246" s="653"/>
      <c r="K246" s="653"/>
      <c r="L246" s="653"/>
      <c r="M246" s="653"/>
      <c r="N246" s="653"/>
      <c r="O246" s="653"/>
      <c r="P246" s="653"/>
      <c r="Q246" s="640"/>
      <c r="R246" s="640" t="s">
        <v>3164</v>
      </c>
      <c r="S246" s="640" t="s">
        <v>4310</v>
      </c>
      <c r="T246" s="460"/>
      <c r="U246" s="640" t="s">
        <v>171</v>
      </c>
      <c r="V246" s="685">
        <f t="shared" si="9"/>
        <v>0</v>
      </c>
      <c r="W246" s="690"/>
      <c r="X246" s="690"/>
      <c r="Y246" s="690"/>
      <c r="Z246" s="690"/>
      <c r="AA246" s="690"/>
      <c r="AB246" s="690"/>
      <c r="AC246" s="690"/>
      <c r="AD246" s="690"/>
      <c r="AE246" s="690"/>
      <c r="AF246" s="690"/>
      <c r="AG246" s="690"/>
      <c r="AH246" s="690"/>
      <c r="AI246" s="690"/>
      <c r="AJ246" s="690"/>
      <c r="AK246" s="690"/>
      <c r="AL246" s="690"/>
      <c r="AM246" s="690"/>
      <c r="AN246" s="690"/>
      <c r="AO246" s="690"/>
      <c r="AP246" s="690"/>
    </row>
    <row r="247" spans="1:42" x14ac:dyDescent="0.25">
      <c r="A247" s="134">
        <f t="shared" si="8"/>
        <v>246</v>
      </c>
      <c r="B247" s="443" t="s">
        <v>3454</v>
      </c>
      <c r="C247" s="443" t="s">
        <v>3454</v>
      </c>
      <c r="D247" s="443"/>
      <c r="E247" s="443" t="s">
        <v>7302</v>
      </c>
      <c r="F247" s="444" t="s">
        <v>4916</v>
      </c>
      <c r="G247" s="4"/>
      <c r="H247" s="640"/>
      <c r="I247" s="640" t="s">
        <v>620</v>
      </c>
      <c r="J247" s="653" t="s">
        <v>6266</v>
      </c>
      <c r="K247" s="653" t="s">
        <v>6270</v>
      </c>
      <c r="L247" s="653"/>
      <c r="M247" s="653" t="s">
        <v>7103</v>
      </c>
      <c r="N247" s="653"/>
      <c r="O247" s="653"/>
      <c r="P247" s="653"/>
      <c r="Q247" s="640"/>
      <c r="R247" s="640" t="s">
        <v>3165</v>
      </c>
      <c r="S247" s="640" t="s">
        <v>4409</v>
      </c>
      <c r="T247" s="460"/>
      <c r="U247" s="640" t="s">
        <v>171</v>
      </c>
      <c r="V247" s="685">
        <f t="shared" si="9"/>
        <v>0</v>
      </c>
      <c r="W247" s="690"/>
      <c r="X247" s="690"/>
      <c r="Y247" s="690"/>
      <c r="Z247" s="690"/>
      <c r="AA247" s="690"/>
      <c r="AB247" s="690"/>
      <c r="AC247" s="690"/>
      <c r="AD247" s="690"/>
      <c r="AE247" s="690"/>
      <c r="AF247" s="690"/>
      <c r="AG247" s="690"/>
      <c r="AH247" s="690"/>
      <c r="AI247" s="690"/>
      <c r="AJ247" s="690"/>
      <c r="AK247" s="690"/>
      <c r="AL247" s="690"/>
      <c r="AM247" s="690"/>
      <c r="AN247" s="690"/>
      <c r="AO247" s="690"/>
      <c r="AP247" s="690"/>
    </row>
    <row r="248" spans="1:42" x14ac:dyDescent="0.25">
      <c r="A248" s="134">
        <f t="shared" si="8"/>
        <v>247</v>
      </c>
      <c r="B248" s="443" t="s">
        <v>3455</v>
      </c>
      <c r="C248" s="443" t="s">
        <v>3455</v>
      </c>
      <c r="D248" s="443"/>
      <c r="E248" s="443" t="s">
        <v>7303</v>
      </c>
      <c r="F248" s="444" t="s">
        <v>4676</v>
      </c>
      <c r="G248" s="4"/>
      <c r="H248" s="640"/>
      <c r="I248" s="640" t="s">
        <v>620</v>
      </c>
      <c r="J248" s="653" t="s">
        <v>6266</v>
      </c>
      <c r="K248" s="653" t="s">
        <v>6270</v>
      </c>
      <c r="L248" s="653"/>
      <c r="M248" s="653"/>
      <c r="N248" s="653">
        <v>1</v>
      </c>
      <c r="O248" s="653" t="s">
        <v>7358</v>
      </c>
      <c r="P248" s="653"/>
      <c r="Q248" s="640"/>
      <c r="R248" s="640" t="s">
        <v>3165</v>
      </c>
      <c r="S248" s="640" t="s">
        <v>4410</v>
      </c>
      <c r="T248" s="460"/>
      <c r="U248" s="640" t="s">
        <v>171</v>
      </c>
      <c r="V248" s="685">
        <f t="shared" si="9"/>
        <v>0</v>
      </c>
      <c r="W248" s="690"/>
      <c r="X248" s="690"/>
      <c r="Y248" s="690"/>
      <c r="Z248" s="690"/>
      <c r="AA248" s="690"/>
      <c r="AB248" s="690"/>
      <c r="AC248" s="690"/>
      <c r="AD248" s="690"/>
      <c r="AE248" s="690"/>
      <c r="AF248" s="690"/>
      <c r="AG248" s="690"/>
      <c r="AH248" s="690"/>
      <c r="AI248" s="690"/>
      <c r="AJ248" s="690"/>
      <c r="AK248" s="690"/>
      <c r="AL248" s="690"/>
      <c r="AM248" s="690"/>
      <c r="AN248" s="690"/>
      <c r="AO248" s="690"/>
      <c r="AP248" s="690"/>
    </row>
    <row r="249" spans="1:42" x14ac:dyDescent="0.25">
      <c r="A249" s="134">
        <f t="shared" si="8"/>
        <v>248</v>
      </c>
      <c r="B249" s="443" t="s">
        <v>3456</v>
      </c>
      <c r="C249" s="443" t="s">
        <v>3456</v>
      </c>
      <c r="D249" s="443"/>
      <c r="E249" s="443" t="s">
        <v>7304</v>
      </c>
      <c r="F249" s="445" t="s">
        <v>4836</v>
      </c>
      <c r="G249" s="4"/>
      <c r="H249" s="640"/>
      <c r="I249" s="640" t="s">
        <v>620</v>
      </c>
      <c r="J249" s="653"/>
      <c r="K249" s="653"/>
      <c r="L249" s="653"/>
      <c r="M249" s="653"/>
      <c r="N249" s="653"/>
      <c r="O249" s="653"/>
      <c r="P249" s="653"/>
      <c r="Q249" s="640"/>
      <c r="R249" s="640" t="s">
        <v>3165</v>
      </c>
      <c r="S249" s="640" t="s">
        <v>4411</v>
      </c>
      <c r="T249" s="460"/>
      <c r="U249" s="640" t="s">
        <v>171</v>
      </c>
      <c r="V249" s="685">
        <f t="shared" si="9"/>
        <v>0</v>
      </c>
      <c r="W249" s="690"/>
      <c r="X249" s="690"/>
      <c r="Y249" s="690"/>
      <c r="Z249" s="690"/>
      <c r="AA249" s="690"/>
      <c r="AB249" s="690"/>
      <c r="AC249" s="690"/>
      <c r="AD249" s="690"/>
      <c r="AE249" s="690"/>
      <c r="AF249" s="690"/>
      <c r="AG249" s="690"/>
      <c r="AH249" s="690"/>
      <c r="AI249" s="690"/>
      <c r="AJ249" s="690"/>
      <c r="AK249" s="690"/>
      <c r="AL249" s="690"/>
      <c r="AM249" s="690"/>
      <c r="AN249" s="690"/>
      <c r="AO249" s="690"/>
      <c r="AP249" s="690"/>
    </row>
    <row r="250" spans="1:42" x14ac:dyDescent="0.25">
      <c r="A250" s="134">
        <f t="shared" si="8"/>
        <v>249</v>
      </c>
      <c r="B250" s="443" t="s">
        <v>3457</v>
      </c>
      <c r="C250" s="443" t="s">
        <v>3457</v>
      </c>
      <c r="D250" s="443"/>
      <c r="E250" s="443" t="s">
        <v>7305</v>
      </c>
      <c r="F250" s="444" t="s">
        <v>7306</v>
      </c>
      <c r="G250" s="4"/>
      <c r="H250" s="640"/>
      <c r="I250" s="640" t="s">
        <v>620</v>
      </c>
      <c r="J250" s="653" t="s">
        <v>6266</v>
      </c>
      <c r="K250" s="653" t="s">
        <v>6270</v>
      </c>
      <c r="L250" s="653"/>
      <c r="M250" s="653" t="s">
        <v>7103</v>
      </c>
      <c r="N250" s="653"/>
      <c r="O250" s="653"/>
      <c r="P250" s="653"/>
      <c r="Q250" s="640"/>
      <c r="R250" s="640" t="s">
        <v>3165</v>
      </c>
      <c r="S250" s="640" t="s">
        <v>4412</v>
      </c>
      <c r="T250" s="460"/>
      <c r="U250" s="640" t="s">
        <v>171</v>
      </c>
      <c r="V250" s="685">
        <f t="shared" si="9"/>
        <v>0</v>
      </c>
      <c r="W250" s="690"/>
      <c r="X250" s="690"/>
      <c r="Y250" s="690"/>
      <c r="Z250" s="690"/>
      <c r="AA250" s="690"/>
      <c r="AB250" s="690"/>
      <c r="AC250" s="690"/>
      <c r="AD250" s="690"/>
      <c r="AE250" s="690"/>
      <c r="AF250" s="690"/>
      <c r="AG250" s="690"/>
      <c r="AH250" s="690"/>
      <c r="AI250" s="690"/>
      <c r="AJ250" s="690"/>
      <c r="AK250" s="690"/>
      <c r="AL250" s="690"/>
      <c r="AM250" s="690"/>
      <c r="AN250" s="690"/>
      <c r="AO250" s="690"/>
      <c r="AP250" s="690"/>
    </row>
    <row r="251" spans="1:42" x14ac:dyDescent="0.25">
      <c r="A251" s="134">
        <f t="shared" si="8"/>
        <v>250</v>
      </c>
      <c r="B251" s="443" t="s">
        <v>3458</v>
      </c>
      <c r="C251" s="443" t="s">
        <v>3458</v>
      </c>
      <c r="D251" s="443"/>
      <c r="E251" s="443" t="s">
        <v>7307</v>
      </c>
      <c r="F251" s="444" t="s">
        <v>4677</v>
      </c>
      <c r="G251" s="4" t="s">
        <v>7308</v>
      </c>
      <c r="H251" s="640"/>
      <c r="I251" s="640" t="s">
        <v>620</v>
      </c>
      <c r="J251" s="653" t="s">
        <v>6266</v>
      </c>
      <c r="K251" s="653" t="s">
        <v>6270</v>
      </c>
      <c r="L251" s="653"/>
      <c r="M251" s="653" t="s">
        <v>7103</v>
      </c>
      <c r="N251" s="653"/>
      <c r="O251" s="653"/>
      <c r="P251" s="653"/>
      <c r="Q251" s="640"/>
      <c r="R251" s="640" t="s">
        <v>3167</v>
      </c>
      <c r="S251" s="640" t="s">
        <v>4409</v>
      </c>
      <c r="T251" s="460"/>
      <c r="U251" s="640" t="s">
        <v>171</v>
      </c>
      <c r="V251" s="685">
        <f t="shared" si="9"/>
        <v>0</v>
      </c>
      <c r="W251" s="690"/>
      <c r="X251" s="690"/>
      <c r="Y251" s="690"/>
      <c r="Z251" s="690"/>
      <c r="AA251" s="690"/>
      <c r="AB251" s="690"/>
      <c r="AC251" s="690"/>
      <c r="AD251" s="690"/>
      <c r="AE251" s="690"/>
      <c r="AF251" s="690"/>
      <c r="AG251" s="690"/>
      <c r="AH251" s="690"/>
      <c r="AI251" s="690"/>
      <c r="AJ251" s="690"/>
      <c r="AK251" s="690"/>
      <c r="AL251" s="690"/>
      <c r="AM251" s="690"/>
      <c r="AN251" s="690"/>
      <c r="AO251" s="690"/>
      <c r="AP251" s="690"/>
    </row>
    <row r="252" spans="1:42" x14ac:dyDescent="0.25">
      <c r="A252" s="134">
        <f t="shared" si="8"/>
        <v>251</v>
      </c>
      <c r="B252" s="443" t="s">
        <v>3459</v>
      </c>
      <c r="C252" s="443" t="s">
        <v>3459</v>
      </c>
      <c r="D252" s="443"/>
      <c r="E252" s="443" t="s">
        <v>7309</v>
      </c>
      <c r="F252" s="444" t="s">
        <v>4678</v>
      </c>
      <c r="G252" s="4"/>
      <c r="H252" s="640"/>
      <c r="I252" s="640" t="s">
        <v>620</v>
      </c>
      <c r="J252" s="653" t="s">
        <v>6266</v>
      </c>
      <c r="K252" s="653" t="s">
        <v>6270</v>
      </c>
      <c r="L252" s="653"/>
      <c r="M252" s="653"/>
      <c r="N252" s="653"/>
      <c r="O252" s="653"/>
      <c r="P252" s="653"/>
      <c r="Q252" s="640"/>
      <c r="R252" s="640" t="s">
        <v>3167</v>
      </c>
      <c r="S252" s="640" t="s">
        <v>4410</v>
      </c>
      <c r="T252" s="460"/>
      <c r="U252" s="640" t="s">
        <v>171</v>
      </c>
      <c r="V252" s="685">
        <f t="shared" si="9"/>
        <v>0</v>
      </c>
      <c r="W252" s="690"/>
      <c r="X252" s="690"/>
      <c r="Y252" s="690"/>
      <c r="Z252" s="690"/>
      <c r="AA252" s="690"/>
      <c r="AB252" s="690"/>
      <c r="AC252" s="690"/>
      <c r="AD252" s="690"/>
      <c r="AE252" s="690"/>
      <c r="AF252" s="690"/>
      <c r="AG252" s="690"/>
      <c r="AH252" s="690"/>
      <c r="AI252" s="690"/>
      <c r="AJ252" s="690"/>
      <c r="AK252" s="690"/>
      <c r="AL252" s="690"/>
      <c r="AM252" s="690"/>
      <c r="AN252" s="690"/>
      <c r="AO252" s="690"/>
      <c r="AP252" s="690"/>
    </row>
    <row r="253" spans="1:42" x14ac:dyDescent="0.25">
      <c r="A253" s="134">
        <f t="shared" si="8"/>
        <v>252</v>
      </c>
      <c r="B253" s="443" t="s">
        <v>3460</v>
      </c>
      <c r="C253" s="443" t="s">
        <v>3460</v>
      </c>
      <c r="D253" s="443"/>
      <c r="E253" s="443" t="s">
        <v>7310</v>
      </c>
      <c r="F253" s="444" t="s">
        <v>4679</v>
      </c>
      <c r="G253" s="4"/>
      <c r="H253" s="640"/>
      <c r="I253" s="640" t="s">
        <v>620</v>
      </c>
      <c r="J253" s="653" t="s">
        <v>6266</v>
      </c>
      <c r="K253" s="653" t="s">
        <v>6270</v>
      </c>
      <c r="L253" s="653"/>
      <c r="M253" s="653"/>
      <c r="N253" s="653"/>
      <c r="O253" s="653"/>
      <c r="P253" s="653"/>
      <c r="Q253" s="640"/>
      <c r="R253" s="640" t="s">
        <v>3167</v>
      </c>
      <c r="S253" s="640" t="s">
        <v>4411</v>
      </c>
      <c r="T253" s="460"/>
      <c r="U253" s="640" t="s">
        <v>171</v>
      </c>
      <c r="V253" s="685">
        <f t="shared" si="9"/>
        <v>0</v>
      </c>
      <c r="W253" s="690"/>
      <c r="X253" s="690"/>
      <c r="Y253" s="690"/>
      <c r="Z253" s="690"/>
      <c r="AA253" s="690"/>
      <c r="AB253" s="690"/>
      <c r="AC253" s="690"/>
      <c r="AD253" s="690"/>
      <c r="AE253" s="690"/>
      <c r="AF253" s="690"/>
      <c r="AG253" s="690"/>
      <c r="AH253" s="690"/>
      <c r="AI253" s="690"/>
      <c r="AJ253" s="690"/>
      <c r="AK253" s="690"/>
      <c r="AL253" s="690"/>
      <c r="AM253" s="690"/>
      <c r="AN253" s="690"/>
      <c r="AO253" s="690"/>
      <c r="AP253" s="690"/>
    </row>
    <row r="254" spans="1:42" x14ac:dyDescent="0.25">
      <c r="A254" s="134">
        <f t="shared" si="8"/>
        <v>253</v>
      </c>
      <c r="B254" s="443" t="s">
        <v>3461</v>
      </c>
      <c r="C254" s="443" t="s">
        <v>3461</v>
      </c>
      <c r="D254" s="443"/>
      <c r="E254" s="443" t="s">
        <v>7311</v>
      </c>
      <c r="F254" s="445" t="s">
        <v>4680</v>
      </c>
      <c r="G254" s="4"/>
      <c r="H254" s="640"/>
      <c r="I254" s="640" t="s">
        <v>620</v>
      </c>
      <c r="J254" s="653" t="s">
        <v>6266</v>
      </c>
      <c r="K254" s="653" t="s">
        <v>6270</v>
      </c>
      <c r="L254" s="653"/>
      <c r="M254" s="653"/>
      <c r="N254" s="653"/>
      <c r="O254" s="653"/>
      <c r="P254" s="653"/>
      <c r="Q254" s="640"/>
      <c r="R254" s="640" t="s">
        <v>3167</v>
      </c>
      <c r="S254" s="640" t="s">
        <v>4412</v>
      </c>
      <c r="T254" s="460"/>
      <c r="U254" s="640" t="s">
        <v>171</v>
      </c>
      <c r="V254" s="685">
        <f t="shared" si="9"/>
        <v>0</v>
      </c>
      <c r="W254" s="690"/>
      <c r="X254" s="690"/>
      <c r="Y254" s="690"/>
      <c r="Z254" s="690"/>
      <c r="AA254" s="690"/>
      <c r="AB254" s="690"/>
      <c r="AC254" s="690"/>
      <c r="AD254" s="690"/>
      <c r="AE254" s="690"/>
      <c r="AF254" s="690"/>
      <c r="AG254" s="690"/>
      <c r="AH254" s="690"/>
      <c r="AI254" s="690"/>
      <c r="AJ254" s="690"/>
      <c r="AK254" s="690"/>
      <c r="AL254" s="690"/>
      <c r="AM254" s="690"/>
      <c r="AN254" s="690"/>
      <c r="AO254" s="690"/>
      <c r="AP254" s="690"/>
    </row>
    <row r="255" spans="1:42" x14ac:dyDescent="0.25">
      <c r="A255" s="134">
        <f t="shared" si="8"/>
        <v>254</v>
      </c>
      <c r="B255" s="443" t="s">
        <v>3462</v>
      </c>
      <c r="C255" s="443" t="s">
        <v>3462</v>
      </c>
      <c r="D255" s="443"/>
      <c r="E255" s="443" t="s">
        <v>7312</v>
      </c>
      <c r="F255" s="444" t="s">
        <v>4917</v>
      </c>
      <c r="G255" s="4" t="s">
        <v>7313</v>
      </c>
      <c r="H255" s="640"/>
      <c r="I255" s="640" t="s">
        <v>620</v>
      </c>
      <c r="J255" s="653"/>
      <c r="K255" s="653"/>
      <c r="L255" s="653"/>
      <c r="M255" s="653"/>
      <c r="N255" s="653"/>
      <c r="O255" s="653"/>
      <c r="P255" s="653"/>
      <c r="Q255" s="640"/>
      <c r="R255" s="640" t="s">
        <v>3166</v>
      </c>
      <c r="S255" s="640" t="s">
        <v>4409</v>
      </c>
      <c r="T255" s="460"/>
      <c r="U255" s="640" t="s">
        <v>171</v>
      </c>
      <c r="V255" s="685">
        <f t="shared" si="9"/>
        <v>0</v>
      </c>
      <c r="W255" s="690"/>
      <c r="X255" s="690"/>
      <c r="Y255" s="690"/>
      <c r="Z255" s="690"/>
      <c r="AA255" s="690"/>
      <c r="AB255" s="690"/>
      <c r="AC255" s="690"/>
      <c r="AD255" s="690"/>
      <c r="AE255" s="690"/>
      <c r="AF255" s="690"/>
      <c r="AG255" s="690"/>
      <c r="AH255" s="690"/>
      <c r="AI255" s="690"/>
      <c r="AJ255" s="690"/>
      <c r="AK255" s="690"/>
      <c r="AL255" s="690"/>
      <c r="AM255" s="690"/>
      <c r="AN255" s="690"/>
      <c r="AO255" s="690"/>
      <c r="AP255" s="690"/>
    </row>
    <row r="256" spans="1:42" x14ac:dyDescent="0.25">
      <c r="A256" s="134">
        <f t="shared" si="8"/>
        <v>255</v>
      </c>
      <c r="B256" s="443" t="s">
        <v>3463</v>
      </c>
      <c r="C256" s="443" t="s">
        <v>3463</v>
      </c>
      <c r="D256" s="443"/>
      <c r="E256" s="443" t="s">
        <v>7314</v>
      </c>
      <c r="F256" s="444" t="s">
        <v>4918</v>
      </c>
      <c r="G256" s="4"/>
      <c r="H256" s="640"/>
      <c r="I256" s="640" t="s">
        <v>1110</v>
      </c>
      <c r="J256" s="653" t="s">
        <v>6266</v>
      </c>
      <c r="K256" s="653" t="s">
        <v>6270</v>
      </c>
      <c r="L256" s="653"/>
      <c r="M256" s="653" t="s">
        <v>7227</v>
      </c>
      <c r="N256" s="653"/>
      <c r="O256" s="653"/>
      <c r="P256" s="653"/>
      <c r="Q256" s="640"/>
      <c r="R256" s="640" t="s">
        <v>3189</v>
      </c>
      <c r="S256" s="640" t="s">
        <v>4453</v>
      </c>
      <c r="T256" s="460"/>
      <c r="U256" s="640" t="s">
        <v>171</v>
      </c>
      <c r="V256" s="685">
        <f t="shared" si="9"/>
        <v>0</v>
      </c>
      <c r="W256" s="690"/>
      <c r="X256" s="690"/>
      <c r="Y256" s="690"/>
      <c r="Z256" s="690"/>
      <c r="AA256" s="690"/>
      <c r="AB256" s="690"/>
      <c r="AC256" s="690"/>
      <c r="AD256" s="690"/>
      <c r="AE256" s="690"/>
      <c r="AF256" s="690"/>
      <c r="AG256" s="690"/>
      <c r="AH256" s="690"/>
      <c r="AI256" s="690"/>
      <c r="AJ256" s="690"/>
      <c r="AK256" s="690"/>
      <c r="AL256" s="690"/>
      <c r="AM256" s="690"/>
      <c r="AN256" s="690"/>
      <c r="AO256" s="690"/>
      <c r="AP256" s="690"/>
    </row>
    <row r="257" spans="1:42" x14ac:dyDescent="0.25">
      <c r="A257" s="134">
        <f t="shared" si="8"/>
        <v>256</v>
      </c>
      <c r="B257" s="443" t="s">
        <v>3464</v>
      </c>
      <c r="C257" s="443" t="s">
        <v>3464</v>
      </c>
      <c r="D257" s="443"/>
      <c r="E257" s="443" t="s">
        <v>7332</v>
      </c>
      <c r="F257" s="444" t="s">
        <v>4919</v>
      </c>
      <c r="G257" s="4"/>
      <c r="H257" s="640"/>
      <c r="I257" s="640" t="s">
        <v>1110</v>
      </c>
      <c r="J257" s="653" t="s">
        <v>6266</v>
      </c>
      <c r="K257" s="653" t="s">
        <v>6270</v>
      </c>
      <c r="L257" s="653"/>
      <c r="M257" s="653" t="s">
        <v>7227</v>
      </c>
      <c r="N257" s="653"/>
      <c r="O257" s="653"/>
      <c r="P257" s="653"/>
      <c r="Q257" s="640"/>
      <c r="R257" s="640" t="s">
        <v>3189</v>
      </c>
      <c r="S257" s="640" t="s">
        <v>4454</v>
      </c>
      <c r="T257" s="460"/>
      <c r="U257" s="640" t="s">
        <v>171</v>
      </c>
      <c r="V257" s="685">
        <f t="shared" si="9"/>
        <v>0</v>
      </c>
      <c r="W257" s="690"/>
      <c r="X257" s="690"/>
      <c r="Y257" s="690"/>
      <c r="Z257" s="690"/>
      <c r="AA257" s="690"/>
      <c r="AB257" s="690"/>
      <c r="AC257" s="690"/>
      <c r="AD257" s="690"/>
      <c r="AE257" s="690"/>
      <c r="AF257" s="690"/>
      <c r="AG257" s="690"/>
      <c r="AH257" s="690"/>
      <c r="AI257" s="690"/>
      <c r="AJ257" s="690"/>
      <c r="AK257" s="690"/>
      <c r="AL257" s="690"/>
      <c r="AM257" s="690"/>
      <c r="AN257" s="690"/>
      <c r="AO257" s="690"/>
      <c r="AP257" s="690"/>
    </row>
    <row r="258" spans="1:42" x14ac:dyDescent="0.25">
      <c r="A258" s="134">
        <f t="shared" si="8"/>
        <v>257</v>
      </c>
      <c r="B258" s="443" t="s">
        <v>3465</v>
      </c>
      <c r="C258" s="443" t="s">
        <v>3465</v>
      </c>
      <c r="D258" s="443"/>
      <c r="E258" s="443" t="s">
        <v>7315</v>
      </c>
      <c r="F258" s="444" t="s">
        <v>4920</v>
      </c>
      <c r="G258" s="4"/>
      <c r="H258" s="640"/>
      <c r="I258" s="640" t="s">
        <v>1110</v>
      </c>
      <c r="J258" s="653"/>
      <c r="K258" s="653"/>
      <c r="L258" s="653"/>
      <c r="M258" s="653"/>
      <c r="N258" s="653"/>
      <c r="O258" s="653"/>
      <c r="P258" s="653"/>
      <c r="Q258" s="640"/>
      <c r="R258" s="640" t="s">
        <v>3189</v>
      </c>
      <c r="S258" s="640" t="s">
        <v>4455</v>
      </c>
      <c r="T258" s="460"/>
      <c r="U258" s="640" t="s">
        <v>171</v>
      </c>
      <c r="V258" s="685">
        <f t="shared" si="9"/>
        <v>0</v>
      </c>
      <c r="W258" s="690"/>
      <c r="X258" s="690"/>
      <c r="Y258" s="690"/>
      <c r="Z258" s="690"/>
      <c r="AA258" s="690"/>
      <c r="AB258" s="690"/>
      <c r="AC258" s="690"/>
      <c r="AD258" s="690"/>
      <c r="AE258" s="690"/>
      <c r="AF258" s="690"/>
      <c r="AG258" s="690"/>
      <c r="AH258" s="690"/>
      <c r="AI258" s="690"/>
      <c r="AJ258" s="690"/>
      <c r="AK258" s="690"/>
      <c r="AL258" s="690"/>
      <c r="AM258" s="690"/>
      <c r="AN258" s="690"/>
      <c r="AO258" s="690"/>
      <c r="AP258" s="690"/>
    </row>
    <row r="259" spans="1:42" x14ac:dyDescent="0.25">
      <c r="A259" s="134">
        <f t="shared" ref="A259:A322" si="10">IF(B259="","",1+A258)</f>
        <v>258</v>
      </c>
      <c r="B259" s="443" t="s">
        <v>3466</v>
      </c>
      <c r="C259" s="443" t="s">
        <v>3466</v>
      </c>
      <c r="D259" s="443"/>
      <c r="E259" s="443" t="s">
        <v>7316</v>
      </c>
      <c r="F259" s="445" t="s">
        <v>4837</v>
      </c>
      <c r="G259" s="4"/>
      <c r="H259" s="640"/>
      <c r="I259" s="640" t="s">
        <v>1110</v>
      </c>
      <c r="J259" s="653"/>
      <c r="K259" s="653"/>
      <c r="L259" s="653"/>
      <c r="M259" s="653"/>
      <c r="N259" s="653"/>
      <c r="O259" s="653"/>
      <c r="P259" s="653"/>
      <c r="Q259" s="640"/>
      <c r="R259" s="640" t="s">
        <v>3189</v>
      </c>
      <c r="S259" s="640" t="s">
        <v>4456</v>
      </c>
      <c r="T259" s="460"/>
      <c r="U259" s="640" t="s">
        <v>171</v>
      </c>
      <c r="V259" s="685">
        <f t="shared" ref="V259:V322" si="11">COUNTA(W259:AP259)</f>
        <v>0</v>
      </c>
      <c r="W259" s="690"/>
      <c r="X259" s="690"/>
      <c r="Y259" s="690"/>
      <c r="Z259" s="690"/>
      <c r="AA259" s="690"/>
      <c r="AB259" s="690"/>
      <c r="AC259" s="690"/>
      <c r="AD259" s="690"/>
      <c r="AE259" s="690"/>
      <c r="AF259" s="690"/>
      <c r="AG259" s="690"/>
      <c r="AH259" s="690"/>
      <c r="AI259" s="690"/>
      <c r="AJ259" s="690"/>
      <c r="AK259" s="690"/>
      <c r="AL259" s="690"/>
      <c r="AM259" s="690"/>
      <c r="AN259" s="690"/>
      <c r="AO259" s="690"/>
      <c r="AP259" s="690"/>
    </row>
    <row r="260" spans="1:42" x14ac:dyDescent="0.25">
      <c r="A260" s="134">
        <f t="shared" si="10"/>
        <v>259</v>
      </c>
      <c r="B260" s="443" t="s">
        <v>3467</v>
      </c>
      <c r="C260" s="443" t="s">
        <v>3467</v>
      </c>
      <c r="D260" s="443"/>
      <c r="E260" s="443" t="s">
        <v>7317</v>
      </c>
      <c r="F260" s="444" t="s">
        <v>4921</v>
      </c>
      <c r="G260" s="4"/>
      <c r="H260" s="640"/>
      <c r="I260" s="640" t="s">
        <v>1110</v>
      </c>
      <c r="J260" s="653" t="s">
        <v>6266</v>
      </c>
      <c r="K260" s="653" t="s">
        <v>6270</v>
      </c>
      <c r="L260" s="653"/>
      <c r="M260" s="653"/>
      <c r="N260" s="653">
        <v>1</v>
      </c>
      <c r="O260" s="653" t="s">
        <v>7358</v>
      </c>
      <c r="P260" s="653"/>
      <c r="Q260" s="640"/>
      <c r="R260" s="640" t="s">
        <v>3189</v>
      </c>
      <c r="S260" s="640" t="s">
        <v>4457</v>
      </c>
      <c r="T260" s="460"/>
      <c r="U260" s="640" t="s">
        <v>171</v>
      </c>
      <c r="V260" s="685">
        <f t="shared" si="11"/>
        <v>0</v>
      </c>
      <c r="W260" s="690"/>
      <c r="X260" s="690"/>
      <c r="Y260" s="690"/>
      <c r="Z260" s="690"/>
      <c r="AA260" s="690"/>
      <c r="AB260" s="690"/>
      <c r="AC260" s="690"/>
      <c r="AD260" s="690"/>
      <c r="AE260" s="690"/>
      <c r="AF260" s="690"/>
      <c r="AG260" s="690"/>
      <c r="AH260" s="690"/>
      <c r="AI260" s="690"/>
      <c r="AJ260" s="690"/>
      <c r="AK260" s="690"/>
      <c r="AL260" s="690"/>
      <c r="AM260" s="690"/>
      <c r="AN260" s="690"/>
      <c r="AO260" s="690"/>
      <c r="AP260" s="690"/>
    </row>
    <row r="261" spans="1:42" x14ac:dyDescent="0.25">
      <c r="A261" s="134">
        <f t="shared" si="10"/>
        <v>260</v>
      </c>
      <c r="B261" s="443" t="s">
        <v>3468</v>
      </c>
      <c r="C261" s="443" t="s">
        <v>3468</v>
      </c>
      <c r="D261" s="443"/>
      <c r="E261" s="443" t="s">
        <v>7318</v>
      </c>
      <c r="F261" s="444" t="s">
        <v>4922</v>
      </c>
      <c r="G261" s="4"/>
      <c r="H261" s="640"/>
      <c r="I261" s="640" t="s">
        <v>1110</v>
      </c>
      <c r="J261" s="653" t="s">
        <v>6266</v>
      </c>
      <c r="K261" s="653" t="s">
        <v>6270</v>
      </c>
      <c r="L261" s="653"/>
      <c r="M261" s="653"/>
      <c r="N261" s="653"/>
      <c r="O261" s="653"/>
      <c r="P261" s="653"/>
      <c r="Q261" s="640"/>
      <c r="R261" s="640" t="s">
        <v>3190</v>
      </c>
      <c r="S261" s="640" t="s">
        <v>4453</v>
      </c>
      <c r="T261" s="460"/>
      <c r="U261" s="640" t="s">
        <v>171</v>
      </c>
      <c r="V261" s="685">
        <f t="shared" si="11"/>
        <v>0</v>
      </c>
      <c r="W261" s="690"/>
      <c r="X261" s="690"/>
      <c r="Y261" s="690"/>
      <c r="Z261" s="690"/>
      <c r="AA261" s="690"/>
      <c r="AB261" s="690"/>
      <c r="AC261" s="690"/>
      <c r="AD261" s="690"/>
      <c r="AE261" s="690"/>
      <c r="AF261" s="690"/>
      <c r="AG261" s="690"/>
      <c r="AH261" s="690"/>
      <c r="AI261" s="690"/>
      <c r="AJ261" s="690"/>
      <c r="AK261" s="690"/>
      <c r="AL261" s="690"/>
      <c r="AM261" s="690"/>
      <c r="AN261" s="690"/>
      <c r="AO261" s="690"/>
      <c r="AP261" s="690"/>
    </row>
    <row r="262" spans="1:42" x14ac:dyDescent="0.25">
      <c r="A262" s="134">
        <f t="shared" si="10"/>
        <v>261</v>
      </c>
      <c r="B262" s="443" t="s">
        <v>3469</v>
      </c>
      <c r="C262" s="443" t="s">
        <v>3469</v>
      </c>
      <c r="D262" s="443"/>
      <c r="E262" s="443" t="s">
        <v>7319</v>
      </c>
      <c r="F262" s="444" t="s">
        <v>4923</v>
      </c>
      <c r="G262" s="4"/>
      <c r="H262" s="640"/>
      <c r="I262" s="640" t="s">
        <v>1110</v>
      </c>
      <c r="J262" s="653" t="s">
        <v>6266</v>
      </c>
      <c r="K262" s="653" t="s">
        <v>6270</v>
      </c>
      <c r="L262" s="653"/>
      <c r="M262" s="653"/>
      <c r="N262" s="653"/>
      <c r="O262" s="653"/>
      <c r="P262" s="653"/>
      <c r="Q262" s="640"/>
      <c r="R262" s="640" t="s">
        <v>3190</v>
      </c>
      <c r="S262" s="640" t="s">
        <v>4454</v>
      </c>
      <c r="T262" s="460"/>
      <c r="U262" s="640" t="s">
        <v>171</v>
      </c>
      <c r="V262" s="685">
        <f t="shared" si="11"/>
        <v>0</v>
      </c>
      <c r="W262" s="690"/>
      <c r="X262" s="690"/>
      <c r="Y262" s="690"/>
      <c r="Z262" s="690"/>
      <c r="AA262" s="690"/>
      <c r="AB262" s="690"/>
      <c r="AC262" s="690"/>
      <c r="AD262" s="690"/>
      <c r="AE262" s="690"/>
      <c r="AF262" s="690"/>
      <c r="AG262" s="690"/>
      <c r="AH262" s="690"/>
      <c r="AI262" s="690"/>
      <c r="AJ262" s="690"/>
      <c r="AK262" s="690"/>
      <c r="AL262" s="690"/>
      <c r="AM262" s="690"/>
      <c r="AN262" s="690"/>
      <c r="AO262" s="690"/>
      <c r="AP262" s="690"/>
    </row>
    <row r="263" spans="1:42" x14ac:dyDescent="0.25">
      <c r="A263" s="134">
        <f t="shared" si="10"/>
        <v>262</v>
      </c>
      <c r="B263" s="443" t="s">
        <v>3470</v>
      </c>
      <c r="C263" s="443" t="s">
        <v>3470</v>
      </c>
      <c r="D263" s="443"/>
      <c r="E263" s="443" t="s">
        <v>7320</v>
      </c>
      <c r="F263" s="444" t="s">
        <v>4924</v>
      </c>
      <c r="G263" s="4"/>
      <c r="H263" s="640"/>
      <c r="I263" s="640" t="s">
        <v>1110</v>
      </c>
      <c r="J263" s="653"/>
      <c r="K263" s="653"/>
      <c r="L263" s="653"/>
      <c r="M263" s="653"/>
      <c r="N263" s="653"/>
      <c r="O263" s="653"/>
      <c r="P263" s="653"/>
      <c r="Q263" s="640"/>
      <c r="R263" s="640" t="s">
        <v>3190</v>
      </c>
      <c r="S263" s="640" t="s">
        <v>4455</v>
      </c>
      <c r="T263" s="460"/>
      <c r="U263" s="640" t="s">
        <v>171</v>
      </c>
      <c r="V263" s="685">
        <f t="shared" si="11"/>
        <v>0</v>
      </c>
      <c r="W263" s="690"/>
      <c r="X263" s="690"/>
      <c r="Y263" s="690"/>
      <c r="Z263" s="690"/>
      <c r="AA263" s="690"/>
      <c r="AB263" s="690"/>
      <c r="AC263" s="690"/>
      <c r="AD263" s="690"/>
      <c r="AE263" s="690"/>
      <c r="AF263" s="690"/>
      <c r="AG263" s="690"/>
      <c r="AH263" s="690"/>
      <c r="AI263" s="690"/>
      <c r="AJ263" s="690"/>
      <c r="AK263" s="690"/>
      <c r="AL263" s="690"/>
      <c r="AM263" s="690"/>
      <c r="AN263" s="690"/>
      <c r="AO263" s="690"/>
      <c r="AP263" s="690"/>
    </row>
    <row r="264" spans="1:42" x14ac:dyDescent="0.25">
      <c r="A264" s="134">
        <f t="shared" si="10"/>
        <v>263</v>
      </c>
      <c r="B264" s="443" t="s">
        <v>3471</v>
      </c>
      <c r="C264" s="443" t="s">
        <v>3471</v>
      </c>
      <c r="D264" s="443"/>
      <c r="E264" s="443" t="s">
        <v>7321</v>
      </c>
      <c r="F264" s="444" t="s">
        <v>4925</v>
      </c>
      <c r="G264" s="4"/>
      <c r="H264" s="640"/>
      <c r="I264" s="640" t="s">
        <v>1110</v>
      </c>
      <c r="J264" s="653"/>
      <c r="K264" s="653"/>
      <c r="L264" s="653"/>
      <c r="M264" s="653"/>
      <c r="N264" s="653">
        <v>1</v>
      </c>
      <c r="O264" s="653" t="s">
        <v>7358</v>
      </c>
      <c r="P264" s="653"/>
      <c r="Q264" s="640"/>
      <c r="R264" s="640" t="s">
        <v>3190</v>
      </c>
      <c r="S264" s="640" t="s">
        <v>4456</v>
      </c>
      <c r="T264" s="460"/>
      <c r="U264" s="640" t="s">
        <v>171</v>
      </c>
      <c r="V264" s="685">
        <f t="shared" si="11"/>
        <v>0</v>
      </c>
      <c r="W264" s="690"/>
      <c r="X264" s="690"/>
      <c r="Y264" s="690"/>
      <c r="Z264" s="690"/>
      <c r="AA264" s="690"/>
      <c r="AB264" s="690"/>
      <c r="AC264" s="690"/>
      <c r="AD264" s="690"/>
      <c r="AE264" s="690"/>
      <c r="AF264" s="690"/>
      <c r="AG264" s="690"/>
      <c r="AH264" s="690"/>
      <c r="AI264" s="690"/>
      <c r="AJ264" s="690"/>
      <c r="AK264" s="690"/>
      <c r="AL264" s="690"/>
      <c r="AM264" s="690"/>
      <c r="AN264" s="690"/>
      <c r="AO264" s="690"/>
      <c r="AP264" s="690"/>
    </row>
    <row r="265" spans="1:42" x14ac:dyDescent="0.25">
      <c r="A265" s="134">
        <f t="shared" si="10"/>
        <v>264</v>
      </c>
      <c r="B265" s="443" t="s">
        <v>3472</v>
      </c>
      <c r="C265" s="443" t="s">
        <v>3472</v>
      </c>
      <c r="D265" s="443"/>
      <c r="E265" s="340" t="s">
        <v>7323</v>
      </c>
      <c r="F265" s="444" t="s">
        <v>7322</v>
      </c>
      <c r="G265" s="4"/>
      <c r="H265" s="640"/>
      <c r="I265" s="640" t="s">
        <v>1110</v>
      </c>
      <c r="J265" s="653" t="s">
        <v>6266</v>
      </c>
      <c r="K265" s="653" t="s">
        <v>6270</v>
      </c>
      <c r="L265" s="653"/>
      <c r="M265" s="653"/>
      <c r="N265" s="653">
        <v>1</v>
      </c>
      <c r="O265" s="653" t="s">
        <v>7358</v>
      </c>
      <c r="P265" s="653"/>
      <c r="Q265" s="640"/>
      <c r="R265" s="640" t="s">
        <v>3190</v>
      </c>
      <c r="S265" s="640" t="s">
        <v>4457</v>
      </c>
      <c r="T265" s="460"/>
      <c r="U265" s="640" t="s">
        <v>171</v>
      </c>
      <c r="V265" s="685">
        <f t="shared" si="11"/>
        <v>0</v>
      </c>
      <c r="W265" s="690"/>
      <c r="X265" s="690"/>
      <c r="Y265" s="690"/>
      <c r="Z265" s="690"/>
      <c r="AA265" s="690"/>
      <c r="AB265" s="690"/>
      <c r="AC265" s="690"/>
      <c r="AD265" s="690"/>
      <c r="AE265" s="690"/>
      <c r="AF265" s="690"/>
      <c r="AG265" s="690"/>
      <c r="AH265" s="690"/>
      <c r="AI265" s="690"/>
      <c r="AJ265" s="690"/>
      <c r="AK265" s="690"/>
      <c r="AL265" s="690"/>
      <c r="AM265" s="690"/>
      <c r="AN265" s="690"/>
      <c r="AO265" s="690"/>
      <c r="AP265" s="690"/>
    </row>
    <row r="266" spans="1:42" x14ac:dyDescent="0.25">
      <c r="A266" s="134">
        <f t="shared" si="10"/>
        <v>265</v>
      </c>
      <c r="B266" s="443" t="s">
        <v>3473</v>
      </c>
      <c r="C266" s="443" t="s">
        <v>3473</v>
      </c>
      <c r="D266" s="443"/>
      <c r="E266" s="443"/>
      <c r="F266" s="449" t="s">
        <v>3034</v>
      </c>
      <c r="G266" s="4"/>
      <c r="H266" s="640"/>
      <c r="I266" s="640" t="s">
        <v>1110</v>
      </c>
      <c r="J266" s="653"/>
      <c r="K266" s="653"/>
      <c r="L266" s="653"/>
      <c r="M266" s="653" t="s">
        <v>7227</v>
      </c>
      <c r="N266" s="653"/>
      <c r="O266" s="653"/>
      <c r="P266" s="653"/>
      <c r="Q266" s="640"/>
      <c r="R266" s="640" t="s">
        <v>3191</v>
      </c>
      <c r="S266" s="640" t="s">
        <v>4453</v>
      </c>
      <c r="T266" s="460"/>
      <c r="U266" s="640" t="s">
        <v>171</v>
      </c>
      <c r="V266" s="685">
        <f t="shared" si="11"/>
        <v>0</v>
      </c>
      <c r="W266" s="690"/>
      <c r="X266" s="690"/>
      <c r="Y266" s="690"/>
      <c r="Z266" s="690"/>
      <c r="AA266" s="690"/>
      <c r="AB266" s="690"/>
      <c r="AC266" s="690"/>
      <c r="AD266" s="690"/>
      <c r="AE266" s="690"/>
      <c r="AF266" s="690"/>
      <c r="AG266" s="690"/>
      <c r="AH266" s="690"/>
      <c r="AI266" s="690"/>
      <c r="AJ266" s="690"/>
      <c r="AK266" s="690"/>
      <c r="AL266" s="690"/>
      <c r="AM266" s="690"/>
      <c r="AN266" s="690"/>
      <c r="AO266" s="690"/>
      <c r="AP266" s="690"/>
    </row>
    <row r="267" spans="1:42" x14ac:dyDescent="0.25">
      <c r="A267" s="134">
        <f t="shared" si="10"/>
        <v>266</v>
      </c>
      <c r="B267" s="443" t="s">
        <v>3474</v>
      </c>
      <c r="C267" s="443" t="s">
        <v>3474</v>
      </c>
      <c r="D267" s="443"/>
      <c r="E267" s="443"/>
      <c r="F267" s="449" t="s">
        <v>3034</v>
      </c>
      <c r="G267" s="4"/>
      <c r="H267" s="640"/>
      <c r="I267" s="640" t="s">
        <v>1110</v>
      </c>
      <c r="J267" s="653"/>
      <c r="K267" s="653"/>
      <c r="L267" s="653"/>
      <c r="M267" s="653" t="s">
        <v>7227</v>
      </c>
      <c r="N267" s="653"/>
      <c r="O267" s="653"/>
      <c r="P267" s="653"/>
      <c r="Q267" s="640"/>
      <c r="R267" s="640" t="s">
        <v>3191</v>
      </c>
      <c r="S267" s="640" t="s">
        <v>4454</v>
      </c>
      <c r="T267" s="460"/>
      <c r="U267" s="640" t="s">
        <v>171</v>
      </c>
      <c r="V267" s="685">
        <f t="shared" si="11"/>
        <v>0</v>
      </c>
      <c r="W267" s="690"/>
      <c r="X267" s="690"/>
      <c r="Y267" s="690"/>
      <c r="Z267" s="690"/>
      <c r="AA267" s="690"/>
      <c r="AB267" s="690"/>
      <c r="AC267" s="690"/>
      <c r="AD267" s="690"/>
      <c r="AE267" s="690"/>
      <c r="AF267" s="690"/>
      <c r="AG267" s="690"/>
      <c r="AH267" s="690"/>
      <c r="AI267" s="690"/>
      <c r="AJ267" s="690"/>
      <c r="AK267" s="690"/>
      <c r="AL267" s="690"/>
      <c r="AM267" s="690"/>
      <c r="AN267" s="690"/>
      <c r="AO267" s="690"/>
      <c r="AP267" s="690"/>
    </row>
    <row r="268" spans="1:42" x14ac:dyDescent="0.25">
      <c r="A268" s="134">
        <f t="shared" si="10"/>
        <v>267</v>
      </c>
      <c r="B268" s="443" t="s">
        <v>3475</v>
      </c>
      <c r="C268" s="443" t="s">
        <v>3475</v>
      </c>
      <c r="D268" s="443"/>
      <c r="E268" s="443"/>
      <c r="F268" s="449" t="s">
        <v>3034</v>
      </c>
      <c r="G268" s="4"/>
      <c r="H268" s="640"/>
      <c r="I268" s="640" t="s">
        <v>1110</v>
      </c>
      <c r="J268" s="653"/>
      <c r="K268" s="653"/>
      <c r="L268" s="653"/>
      <c r="M268" s="653"/>
      <c r="N268" s="653"/>
      <c r="O268" s="653"/>
      <c r="P268" s="653"/>
      <c r="Q268" s="640"/>
      <c r="R268" s="640" t="s">
        <v>3191</v>
      </c>
      <c r="S268" s="640" t="s">
        <v>4455</v>
      </c>
      <c r="T268" s="460"/>
      <c r="U268" s="640" t="s">
        <v>171</v>
      </c>
      <c r="V268" s="685">
        <f t="shared" si="11"/>
        <v>0</v>
      </c>
      <c r="W268" s="690"/>
      <c r="X268" s="690"/>
      <c r="Y268" s="690"/>
      <c r="Z268" s="690"/>
      <c r="AA268" s="690"/>
      <c r="AB268" s="690"/>
      <c r="AC268" s="690"/>
      <c r="AD268" s="690"/>
      <c r="AE268" s="690"/>
      <c r="AF268" s="690"/>
      <c r="AG268" s="690"/>
      <c r="AH268" s="690"/>
      <c r="AI268" s="690"/>
      <c r="AJ268" s="690"/>
      <c r="AK268" s="690"/>
      <c r="AL268" s="690"/>
      <c r="AM268" s="690"/>
      <c r="AN268" s="690"/>
      <c r="AO268" s="690"/>
      <c r="AP268" s="690"/>
    </row>
    <row r="269" spans="1:42" x14ac:dyDescent="0.25">
      <c r="A269" s="134">
        <f t="shared" si="10"/>
        <v>268</v>
      </c>
      <c r="B269" s="443" t="s">
        <v>3476</v>
      </c>
      <c r="C269" s="443" t="s">
        <v>3476</v>
      </c>
      <c r="D269" s="443"/>
      <c r="E269" s="443"/>
      <c r="F269" s="449" t="s">
        <v>3034</v>
      </c>
      <c r="G269" s="4"/>
      <c r="H269" s="640"/>
      <c r="I269" s="640" t="s">
        <v>1110</v>
      </c>
      <c r="J269" s="653"/>
      <c r="K269" s="653"/>
      <c r="L269" s="653"/>
      <c r="M269" s="653"/>
      <c r="N269" s="653"/>
      <c r="O269" s="653"/>
      <c r="P269" s="653"/>
      <c r="Q269" s="640"/>
      <c r="R269" s="640" t="s">
        <v>3191</v>
      </c>
      <c r="S269" s="640" t="s">
        <v>4456</v>
      </c>
      <c r="T269" s="460"/>
      <c r="U269" s="640" t="s">
        <v>171</v>
      </c>
      <c r="V269" s="685">
        <f t="shared" si="11"/>
        <v>0</v>
      </c>
      <c r="W269" s="690"/>
      <c r="X269" s="690"/>
      <c r="Y269" s="690"/>
      <c r="Z269" s="690"/>
      <c r="AA269" s="690"/>
      <c r="AB269" s="690"/>
      <c r="AC269" s="690"/>
      <c r="AD269" s="690"/>
      <c r="AE269" s="690"/>
      <c r="AF269" s="690"/>
      <c r="AG269" s="690"/>
      <c r="AH269" s="690"/>
      <c r="AI269" s="690"/>
      <c r="AJ269" s="690"/>
      <c r="AK269" s="690"/>
      <c r="AL269" s="690"/>
      <c r="AM269" s="690"/>
      <c r="AN269" s="690"/>
      <c r="AO269" s="690"/>
      <c r="AP269" s="690"/>
    </row>
    <row r="270" spans="1:42" x14ac:dyDescent="0.25">
      <c r="A270" s="134">
        <f t="shared" si="10"/>
        <v>269</v>
      </c>
      <c r="B270" s="443" t="s">
        <v>3477</v>
      </c>
      <c r="C270" s="443" t="s">
        <v>3477</v>
      </c>
      <c r="D270" s="443"/>
      <c r="E270" s="443"/>
      <c r="F270" s="449" t="s">
        <v>3034</v>
      </c>
      <c r="G270" s="4"/>
      <c r="H270" s="640"/>
      <c r="I270" s="640" t="s">
        <v>1110</v>
      </c>
      <c r="J270" s="653"/>
      <c r="K270" s="653"/>
      <c r="L270" s="653"/>
      <c r="M270" s="653"/>
      <c r="N270" s="653"/>
      <c r="O270" s="653"/>
      <c r="P270" s="653"/>
      <c r="Q270" s="640"/>
      <c r="R270" s="640" t="s">
        <v>3191</v>
      </c>
      <c r="S270" s="640" t="s">
        <v>4457</v>
      </c>
      <c r="T270" s="460"/>
      <c r="U270" s="640" t="s">
        <v>171</v>
      </c>
      <c r="V270" s="685">
        <f t="shared" si="11"/>
        <v>0</v>
      </c>
      <c r="W270" s="690"/>
      <c r="X270" s="690"/>
      <c r="Y270" s="690"/>
      <c r="Z270" s="690"/>
      <c r="AA270" s="690"/>
      <c r="AB270" s="690"/>
      <c r="AC270" s="690"/>
      <c r="AD270" s="690"/>
      <c r="AE270" s="690"/>
      <c r="AF270" s="690"/>
      <c r="AG270" s="690"/>
      <c r="AH270" s="690"/>
      <c r="AI270" s="690"/>
      <c r="AJ270" s="690"/>
      <c r="AK270" s="690"/>
      <c r="AL270" s="690"/>
      <c r="AM270" s="690"/>
      <c r="AN270" s="690"/>
      <c r="AO270" s="690"/>
      <c r="AP270" s="690"/>
    </row>
    <row r="271" spans="1:42" x14ac:dyDescent="0.25">
      <c r="A271" s="134">
        <f t="shared" si="10"/>
        <v>270</v>
      </c>
      <c r="B271" s="443" t="s">
        <v>3478</v>
      </c>
      <c r="C271" s="443" t="s">
        <v>3478</v>
      </c>
      <c r="D271" s="443"/>
      <c r="E271" s="443"/>
      <c r="F271" s="449" t="s">
        <v>3034</v>
      </c>
      <c r="G271" s="4"/>
      <c r="H271" s="640"/>
      <c r="I271" s="640" t="s">
        <v>621</v>
      </c>
      <c r="J271" s="653"/>
      <c r="K271" s="653"/>
      <c r="L271" s="653"/>
      <c r="M271" s="653"/>
      <c r="N271" s="653"/>
      <c r="O271" s="653"/>
      <c r="P271" s="653"/>
      <c r="Q271" s="640"/>
      <c r="R271" s="640" t="s">
        <v>3184</v>
      </c>
      <c r="S271" s="640" t="s">
        <v>4444</v>
      </c>
      <c r="T271" s="460"/>
      <c r="U271" s="640" t="s">
        <v>171</v>
      </c>
      <c r="V271" s="685">
        <f t="shared" si="11"/>
        <v>3</v>
      </c>
      <c r="W271" s="4" t="s">
        <v>3661</v>
      </c>
      <c r="X271" s="4" t="s">
        <v>3662</v>
      </c>
      <c r="Y271" s="4" t="s">
        <v>3663</v>
      </c>
      <c r="Z271" s="690"/>
      <c r="AA271" s="690"/>
      <c r="AB271" s="690"/>
      <c r="AC271" s="690"/>
      <c r="AD271" s="690"/>
      <c r="AE271" s="690"/>
      <c r="AF271" s="690"/>
      <c r="AG271" s="690"/>
      <c r="AH271" s="690"/>
      <c r="AI271" s="690"/>
      <c r="AJ271" s="690"/>
      <c r="AK271" s="690"/>
      <c r="AL271" s="690"/>
      <c r="AM271" s="690"/>
      <c r="AN271" s="690"/>
      <c r="AO271" s="690"/>
      <c r="AP271" s="690"/>
    </row>
    <row r="272" spans="1:42" x14ac:dyDescent="0.25">
      <c r="A272" s="134">
        <f t="shared" si="10"/>
        <v>271</v>
      </c>
      <c r="B272" s="443" t="s">
        <v>3479</v>
      </c>
      <c r="C272" s="443" t="s">
        <v>3479</v>
      </c>
      <c r="D272" s="443"/>
      <c r="E272" s="443"/>
      <c r="F272" s="449" t="s">
        <v>3034</v>
      </c>
      <c r="G272" s="4"/>
      <c r="H272" s="640"/>
      <c r="I272" s="640" t="s">
        <v>621</v>
      </c>
      <c r="J272" s="653"/>
      <c r="K272" s="653"/>
      <c r="L272" s="653"/>
      <c r="M272" s="653"/>
      <c r="N272" s="653"/>
      <c r="O272" s="653"/>
      <c r="P272" s="653"/>
      <c r="Q272" s="640"/>
      <c r="R272" s="640" t="s">
        <v>3184</v>
      </c>
      <c r="S272" s="640" t="s">
        <v>4445</v>
      </c>
      <c r="T272" s="460"/>
      <c r="U272" s="640" t="s">
        <v>171</v>
      </c>
      <c r="V272" s="685">
        <f t="shared" si="11"/>
        <v>3</v>
      </c>
      <c r="W272" s="4" t="s">
        <v>3664</v>
      </c>
      <c r="X272" s="4" t="s">
        <v>3665</v>
      </c>
      <c r="Y272" s="4" t="s">
        <v>3666</v>
      </c>
      <c r="Z272" s="690"/>
      <c r="AA272" s="690"/>
      <c r="AB272" s="690"/>
      <c r="AC272" s="690"/>
      <c r="AD272" s="690"/>
      <c r="AE272" s="690"/>
      <c r="AF272" s="690"/>
      <c r="AG272" s="690"/>
      <c r="AH272" s="690"/>
      <c r="AI272" s="690"/>
      <c r="AJ272" s="690"/>
      <c r="AK272" s="690"/>
      <c r="AL272" s="690"/>
      <c r="AM272" s="690"/>
      <c r="AN272" s="690"/>
      <c r="AO272" s="690"/>
      <c r="AP272" s="690"/>
    </row>
    <row r="273" spans="1:42" x14ac:dyDescent="0.25">
      <c r="A273" s="134">
        <f t="shared" si="10"/>
        <v>272</v>
      </c>
      <c r="B273" s="443" t="s">
        <v>3480</v>
      </c>
      <c r="C273" s="443" t="s">
        <v>3480</v>
      </c>
      <c r="D273" s="443"/>
      <c r="E273" s="443"/>
      <c r="F273" s="449" t="s">
        <v>3034</v>
      </c>
      <c r="G273" s="4"/>
      <c r="H273" s="640"/>
      <c r="I273" s="640" t="s">
        <v>621</v>
      </c>
      <c r="J273" s="653"/>
      <c r="K273" s="653"/>
      <c r="L273" s="653"/>
      <c r="M273" s="653"/>
      <c r="N273" s="653"/>
      <c r="O273" s="653"/>
      <c r="P273" s="653"/>
      <c r="Q273" s="640"/>
      <c r="R273" s="640" t="s">
        <v>3184</v>
      </c>
      <c r="S273" s="640" t="s">
        <v>4446</v>
      </c>
      <c r="T273" s="460"/>
      <c r="U273" s="640" t="s">
        <v>171</v>
      </c>
      <c r="V273" s="685">
        <f t="shared" si="11"/>
        <v>2</v>
      </c>
      <c r="W273" s="4" t="s">
        <v>3667</v>
      </c>
      <c r="X273" s="4" t="s">
        <v>3668</v>
      </c>
      <c r="Y273" s="690"/>
      <c r="Z273" s="690"/>
      <c r="AA273" s="690"/>
      <c r="AB273" s="690"/>
      <c r="AC273" s="690"/>
      <c r="AD273" s="690"/>
      <c r="AE273" s="690"/>
      <c r="AF273" s="690"/>
      <c r="AG273" s="690"/>
      <c r="AH273" s="690"/>
      <c r="AI273" s="690"/>
      <c r="AJ273" s="690"/>
      <c r="AK273" s="690"/>
      <c r="AL273" s="690"/>
      <c r="AM273" s="690"/>
      <c r="AN273" s="690"/>
      <c r="AO273" s="690"/>
      <c r="AP273" s="690"/>
    </row>
    <row r="274" spans="1:42" x14ac:dyDescent="0.25">
      <c r="A274" s="134">
        <f t="shared" si="10"/>
        <v>273</v>
      </c>
      <c r="B274" s="443" t="s">
        <v>3481</v>
      </c>
      <c r="C274" s="443" t="s">
        <v>3481</v>
      </c>
      <c r="D274" s="443"/>
      <c r="E274" s="443"/>
      <c r="F274" s="449" t="s">
        <v>3034</v>
      </c>
      <c r="G274" s="4"/>
      <c r="H274" s="640"/>
      <c r="I274" s="640" t="s">
        <v>621</v>
      </c>
      <c r="J274" s="653"/>
      <c r="K274" s="653"/>
      <c r="L274" s="653"/>
      <c r="M274" s="653"/>
      <c r="N274" s="653"/>
      <c r="O274" s="653"/>
      <c r="P274" s="653"/>
      <c r="Q274" s="640"/>
      <c r="R274" s="640" t="s">
        <v>3184</v>
      </c>
      <c r="S274" s="640" t="s">
        <v>4447</v>
      </c>
      <c r="T274" s="460"/>
      <c r="U274" s="640" t="s">
        <v>171</v>
      </c>
      <c r="V274" s="685">
        <f t="shared" si="11"/>
        <v>3</v>
      </c>
      <c r="W274" s="4" t="s">
        <v>3116</v>
      </c>
      <c r="X274" s="4" t="s">
        <v>3669</v>
      </c>
      <c r="Y274" s="4" t="s">
        <v>3130</v>
      </c>
      <c r="Z274" s="690"/>
      <c r="AA274" s="690"/>
      <c r="AB274" s="690"/>
      <c r="AC274" s="690"/>
      <c r="AD274" s="690"/>
      <c r="AE274" s="690"/>
      <c r="AF274" s="690"/>
      <c r="AG274" s="690"/>
      <c r="AH274" s="690"/>
      <c r="AI274" s="690"/>
      <c r="AJ274" s="690"/>
      <c r="AK274" s="690"/>
      <c r="AL274" s="690"/>
      <c r="AM274" s="690"/>
      <c r="AN274" s="690"/>
      <c r="AO274" s="690"/>
      <c r="AP274" s="690"/>
    </row>
    <row r="275" spans="1:42" x14ac:dyDescent="0.25">
      <c r="A275" s="134">
        <f t="shared" si="10"/>
        <v>274</v>
      </c>
      <c r="B275" s="443" t="s">
        <v>3482</v>
      </c>
      <c r="C275" s="443" t="s">
        <v>3482</v>
      </c>
      <c r="D275" s="443"/>
      <c r="E275" s="443" t="s">
        <v>7324</v>
      </c>
      <c r="F275" s="450" t="s">
        <v>4926</v>
      </c>
      <c r="G275" s="4"/>
      <c r="H275" s="640"/>
      <c r="I275" s="640" t="s">
        <v>621</v>
      </c>
      <c r="J275" s="653"/>
      <c r="K275" s="653"/>
      <c r="L275" s="653"/>
      <c r="M275" s="653"/>
      <c r="N275" s="653"/>
      <c r="O275" s="653"/>
      <c r="P275" s="653"/>
      <c r="Q275" s="640"/>
      <c r="R275" s="640" t="s">
        <v>3185</v>
      </c>
      <c r="S275" s="640" t="s">
        <v>4444</v>
      </c>
      <c r="T275" s="460"/>
      <c r="U275" s="640" t="s">
        <v>171</v>
      </c>
      <c r="V275" s="685">
        <f t="shared" si="11"/>
        <v>0</v>
      </c>
      <c r="W275" s="690"/>
      <c r="X275" s="690"/>
      <c r="Y275" s="690"/>
      <c r="Z275" s="690"/>
      <c r="AA275" s="690"/>
      <c r="AB275" s="690"/>
      <c r="AC275" s="690"/>
      <c r="AD275" s="690"/>
      <c r="AE275" s="690"/>
      <c r="AF275" s="690"/>
      <c r="AG275" s="690"/>
      <c r="AH275" s="690"/>
      <c r="AI275" s="690"/>
      <c r="AJ275" s="690"/>
      <c r="AK275" s="690"/>
      <c r="AL275" s="690"/>
      <c r="AM275" s="690"/>
      <c r="AN275" s="690"/>
      <c r="AO275" s="690"/>
      <c r="AP275" s="690"/>
    </row>
    <row r="276" spans="1:42" x14ac:dyDescent="0.25">
      <c r="A276" s="134">
        <f t="shared" si="10"/>
        <v>275</v>
      </c>
      <c r="B276" s="443" t="s">
        <v>3483</v>
      </c>
      <c r="C276" s="443" t="s">
        <v>3483</v>
      </c>
      <c r="D276" s="443"/>
      <c r="E276" s="443" t="s">
        <v>7325</v>
      </c>
      <c r="F276" s="444" t="s">
        <v>4715</v>
      </c>
      <c r="G276" s="4"/>
      <c r="H276" s="640"/>
      <c r="I276" s="640" t="s">
        <v>621</v>
      </c>
      <c r="J276" s="653"/>
      <c r="K276" s="653"/>
      <c r="L276" s="653"/>
      <c r="M276" s="653"/>
      <c r="N276" s="653"/>
      <c r="O276" s="653"/>
      <c r="P276" s="653"/>
      <c r="Q276" s="640"/>
      <c r="R276" s="640" t="s">
        <v>3185</v>
      </c>
      <c r="S276" s="640" t="s">
        <v>4445</v>
      </c>
      <c r="T276" s="460"/>
      <c r="U276" s="640" t="s">
        <v>171</v>
      </c>
      <c r="V276" s="685">
        <f t="shared" si="11"/>
        <v>0</v>
      </c>
      <c r="W276" s="690"/>
      <c r="X276" s="690"/>
      <c r="Y276" s="690"/>
      <c r="Z276" s="690"/>
      <c r="AA276" s="690"/>
      <c r="AB276" s="690"/>
      <c r="AC276" s="690"/>
      <c r="AD276" s="690"/>
      <c r="AE276" s="690"/>
      <c r="AF276" s="690"/>
      <c r="AG276" s="690"/>
      <c r="AH276" s="690"/>
      <c r="AI276" s="690"/>
      <c r="AJ276" s="690"/>
      <c r="AK276" s="690"/>
      <c r="AL276" s="690"/>
      <c r="AM276" s="690"/>
      <c r="AN276" s="690"/>
      <c r="AO276" s="690"/>
      <c r="AP276" s="690"/>
    </row>
    <row r="277" spans="1:42" x14ac:dyDescent="0.25">
      <c r="A277" s="134">
        <f t="shared" si="10"/>
        <v>276</v>
      </c>
      <c r="B277" s="443" t="s">
        <v>3484</v>
      </c>
      <c r="C277" s="443" t="s">
        <v>3484</v>
      </c>
      <c r="D277" s="443"/>
      <c r="E277" s="443" t="s">
        <v>7326</v>
      </c>
      <c r="F277" s="444" t="s">
        <v>4716</v>
      </c>
      <c r="G277" s="4"/>
      <c r="H277" s="640"/>
      <c r="I277" s="640" t="s">
        <v>621</v>
      </c>
      <c r="J277" s="653"/>
      <c r="K277" s="653"/>
      <c r="L277" s="653"/>
      <c r="M277" s="653"/>
      <c r="N277" s="653"/>
      <c r="O277" s="653"/>
      <c r="P277" s="653"/>
      <c r="Q277" s="640"/>
      <c r="R277" s="640" t="s">
        <v>3185</v>
      </c>
      <c r="S277" s="640" t="s">
        <v>4446</v>
      </c>
      <c r="T277" s="460"/>
      <c r="U277" s="640" t="s">
        <v>171</v>
      </c>
      <c r="V277" s="685">
        <f t="shared" si="11"/>
        <v>0</v>
      </c>
      <c r="W277" s="690"/>
      <c r="X277" s="690"/>
      <c r="Y277" s="690"/>
      <c r="Z277" s="690"/>
      <c r="AA277" s="690"/>
      <c r="AB277" s="690"/>
      <c r="AC277" s="690"/>
      <c r="AD277" s="690"/>
      <c r="AE277" s="690"/>
      <c r="AF277" s="690"/>
      <c r="AG277" s="690"/>
      <c r="AH277" s="690"/>
      <c r="AI277" s="690"/>
      <c r="AJ277" s="690"/>
      <c r="AK277" s="690"/>
      <c r="AL277" s="690"/>
      <c r="AM277" s="690"/>
      <c r="AN277" s="690"/>
      <c r="AO277" s="690"/>
      <c r="AP277" s="690"/>
    </row>
    <row r="278" spans="1:42" x14ac:dyDescent="0.25">
      <c r="A278" s="134">
        <f t="shared" si="10"/>
        <v>277</v>
      </c>
      <c r="B278" s="443" t="s">
        <v>3485</v>
      </c>
      <c r="C278" s="443" t="s">
        <v>3485</v>
      </c>
      <c r="D278" s="443"/>
      <c r="E278" s="443" t="s">
        <v>7327</v>
      </c>
      <c r="F278" s="444" t="s">
        <v>4838</v>
      </c>
      <c r="G278" s="4"/>
      <c r="H278" s="640"/>
      <c r="I278" s="640" t="s">
        <v>621</v>
      </c>
      <c r="J278" s="653"/>
      <c r="K278" s="653"/>
      <c r="L278" s="653"/>
      <c r="M278" s="653"/>
      <c r="N278" s="653"/>
      <c r="O278" s="653"/>
      <c r="P278" s="653"/>
      <c r="Q278" s="640"/>
      <c r="R278" s="640" t="s">
        <v>3185</v>
      </c>
      <c r="S278" s="640" t="s">
        <v>4447</v>
      </c>
      <c r="T278" s="460"/>
      <c r="U278" s="640" t="s">
        <v>171</v>
      </c>
      <c r="V278" s="685">
        <f t="shared" si="11"/>
        <v>0</v>
      </c>
      <c r="W278" s="690"/>
      <c r="X278" s="690"/>
      <c r="Y278" s="690"/>
      <c r="Z278" s="690"/>
      <c r="AA278" s="690"/>
      <c r="AB278" s="690"/>
      <c r="AC278" s="690"/>
      <c r="AD278" s="690"/>
      <c r="AE278" s="690"/>
      <c r="AF278" s="690"/>
      <c r="AG278" s="690"/>
      <c r="AH278" s="690"/>
      <c r="AI278" s="690"/>
      <c r="AJ278" s="690"/>
      <c r="AK278" s="690"/>
      <c r="AL278" s="690"/>
      <c r="AM278" s="690"/>
      <c r="AN278" s="690"/>
      <c r="AO278" s="690"/>
      <c r="AP278" s="690"/>
    </row>
    <row r="279" spans="1:42" x14ac:dyDescent="0.25">
      <c r="A279" s="134">
        <f t="shared" si="10"/>
        <v>278</v>
      </c>
      <c r="B279" s="443" t="s">
        <v>3486</v>
      </c>
      <c r="C279" s="443" t="s">
        <v>3486</v>
      </c>
      <c r="D279" s="443"/>
      <c r="E279" s="443" t="s">
        <v>7328</v>
      </c>
      <c r="F279" s="446" t="s">
        <v>4723</v>
      </c>
      <c r="G279" s="4"/>
      <c r="H279" s="640"/>
      <c r="I279" s="640" t="s">
        <v>622</v>
      </c>
      <c r="J279" s="653"/>
      <c r="K279" s="653"/>
      <c r="L279" s="653"/>
      <c r="M279" s="653"/>
      <c r="N279" s="653"/>
      <c r="O279" s="653"/>
      <c r="P279" s="653"/>
      <c r="Q279" s="640"/>
      <c r="R279" s="640" t="s">
        <v>3186</v>
      </c>
      <c r="S279" s="640" t="s">
        <v>4448</v>
      </c>
      <c r="T279" s="460"/>
      <c r="U279" s="640" t="s">
        <v>171</v>
      </c>
      <c r="V279" s="685">
        <f t="shared" si="11"/>
        <v>0</v>
      </c>
      <c r="W279" s="690"/>
      <c r="X279" s="690"/>
      <c r="Y279" s="690"/>
      <c r="Z279" s="690"/>
      <c r="AA279" s="690"/>
      <c r="AB279" s="690"/>
      <c r="AC279" s="690"/>
      <c r="AD279" s="690"/>
      <c r="AE279" s="690"/>
      <c r="AF279" s="690"/>
      <c r="AG279" s="690"/>
      <c r="AH279" s="690"/>
      <c r="AI279" s="690"/>
      <c r="AJ279" s="690"/>
      <c r="AK279" s="690"/>
      <c r="AL279" s="690"/>
      <c r="AM279" s="690"/>
      <c r="AN279" s="690"/>
      <c r="AO279" s="690"/>
      <c r="AP279" s="690"/>
    </row>
    <row r="280" spans="1:42" x14ac:dyDescent="0.25">
      <c r="A280" s="134">
        <f t="shared" si="10"/>
        <v>279</v>
      </c>
      <c r="B280" s="443" t="s">
        <v>3487</v>
      </c>
      <c r="C280" s="443" t="s">
        <v>3487</v>
      </c>
      <c r="D280" s="443"/>
      <c r="E280" s="443" t="s">
        <v>7330</v>
      </c>
      <c r="F280" s="444" t="s">
        <v>4927</v>
      </c>
      <c r="G280" s="4"/>
      <c r="H280" s="640"/>
      <c r="I280" s="640" t="s">
        <v>622</v>
      </c>
      <c r="J280" s="653"/>
      <c r="K280" s="653"/>
      <c r="L280" s="653"/>
      <c r="M280" s="653"/>
      <c r="N280" s="653"/>
      <c r="O280" s="653"/>
      <c r="P280" s="653"/>
      <c r="Q280" s="640"/>
      <c r="R280" s="640" t="s">
        <v>3186</v>
      </c>
      <c r="S280" s="640" t="s">
        <v>4449</v>
      </c>
      <c r="T280" s="460"/>
      <c r="U280" s="640" t="s">
        <v>171</v>
      </c>
      <c r="V280" s="685">
        <f t="shared" si="11"/>
        <v>0</v>
      </c>
      <c r="W280" s="690"/>
      <c r="X280" s="690"/>
      <c r="Y280" s="690"/>
      <c r="Z280" s="690"/>
      <c r="AA280" s="690"/>
      <c r="AB280" s="690"/>
      <c r="AC280" s="690"/>
      <c r="AD280" s="690"/>
      <c r="AE280" s="690"/>
      <c r="AF280" s="690"/>
      <c r="AG280" s="690"/>
      <c r="AH280" s="690"/>
      <c r="AI280" s="690"/>
      <c r="AJ280" s="690"/>
      <c r="AK280" s="690"/>
      <c r="AL280" s="690"/>
      <c r="AM280" s="690"/>
      <c r="AN280" s="690"/>
      <c r="AO280" s="690"/>
      <c r="AP280" s="690"/>
    </row>
    <row r="281" spans="1:42" x14ac:dyDescent="0.25">
      <c r="A281" s="134">
        <f t="shared" si="10"/>
        <v>280</v>
      </c>
      <c r="B281" s="443" t="s">
        <v>3488</v>
      </c>
      <c r="C281" s="443" t="s">
        <v>3488</v>
      </c>
      <c r="D281" s="443"/>
      <c r="E281" s="443" t="s">
        <v>7329</v>
      </c>
      <c r="F281" s="444" t="s">
        <v>4724</v>
      </c>
      <c r="G281" s="4"/>
      <c r="H281" s="640"/>
      <c r="I281" s="640" t="s">
        <v>622</v>
      </c>
      <c r="J281" s="653"/>
      <c r="K281" s="653"/>
      <c r="L281" s="653"/>
      <c r="M281" s="653"/>
      <c r="N281" s="653"/>
      <c r="O281" s="653"/>
      <c r="P281" s="653"/>
      <c r="Q281" s="640"/>
      <c r="R281" s="640" t="s">
        <v>3186</v>
      </c>
      <c r="S281" s="640" t="s">
        <v>4450</v>
      </c>
      <c r="T281" s="460"/>
      <c r="U281" s="640" t="s">
        <v>171</v>
      </c>
      <c r="V281" s="685">
        <f t="shared" si="11"/>
        <v>0</v>
      </c>
      <c r="W281" s="690"/>
      <c r="X281" s="690"/>
      <c r="Y281" s="690"/>
      <c r="Z281" s="690"/>
      <c r="AA281" s="690"/>
      <c r="AB281" s="690"/>
      <c r="AC281" s="690"/>
      <c r="AD281" s="690"/>
      <c r="AE281" s="690"/>
      <c r="AF281" s="690"/>
      <c r="AG281" s="690"/>
      <c r="AH281" s="690"/>
      <c r="AI281" s="690"/>
      <c r="AJ281" s="690"/>
      <c r="AK281" s="690"/>
      <c r="AL281" s="690"/>
      <c r="AM281" s="690"/>
      <c r="AN281" s="690"/>
      <c r="AO281" s="690"/>
      <c r="AP281" s="690"/>
    </row>
    <row r="282" spans="1:42" x14ac:dyDescent="0.25">
      <c r="A282" s="134">
        <f t="shared" si="10"/>
        <v>281</v>
      </c>
      <c r="B282" s="443" t="s">
        <v>3489</v>
      </c>
      <c r="C282" s="443" t="s">
        <v>3489</v>
      </c>
      <c r="D282" s="443"/>
      <c r="E282" s="443" t="s">
        <v>7331</v>
      </c>
      <c r="F282" s="444" t="s">
        <v>4725</v>
      </c>
      <c r="G282" s="4"/>
      <c r="H282" s="640"/>
      <c r="I282" s="640" t="s">
        <v>622</v>
      </c>
      <c r="J282" s="653"/>
      <c r="K282" s="653"/>
      <c r="L282" s="653"/>
      <c r="M282" s="653"/>
      <c r="N282" s="653"/>
      <c r="O282" s="653"/>
      <c r="P282" s="653"/>
      <c r="Q282" s="640"/>
      <c r="R282" s="640" t="s">
        <v>3186</v>
      </c>
      <c r="S282" s="640" t="s">
        <v>4451</v>
      </c>
      <c r="T282" s="460"/>
      <c r="U282" s="640" t="s">
        <v>171</v>
      </c>
      <c r="V282" s="685">
        <f t="shared" si="11"/>
        <v>0</v>
      </c>
      <c r="W282" s="690"/>
      <c r="X282" s="690"/>
      <c r="Y282" s="690"/>
      <c r="Z282" s="690"/>
      <c r="AA282" s="690"/>
      <c r="AB282" s="690"/>
      <c r="AC282" s="690"/>
      <c r="AD282" s="690"/>
      <c r="AE282" s="690"/>
      <c r="AF282" s="690"/>
      <c r="AG282" s="690"/>
      <c r="AH282" s="690"/>
      <c r="AI282" s="690"/>
      <c r="AJ282" s="690"/>
      <c r="AK282" s="690"/>
      <c r="AL282" s="690"/>
      <c r="AM282" s="690"/>
      <c r="AN282" s="690"/>
      <c r="AO282" s="690"/>
      <c r="AP282" s="690"/>
    </row>
    <row r="283" spans="1:42" x14ac:dyDescent="0.25">
      <c r="A283" s="134">
        <f t="shared" si="10"/>
        <v>282</v>
      </c>
      <c r="B283" s="443" t="s">
        <v>3490</v>
      </c>
      <c r="C283" s="443" t="s">
        <v>3490</v>
      </c>
      <c r="D283" s="443"/>
      <c r="E283" s="443" t="s">
        <v>7333</v>
      </c>
      <c r="F283" s="444" t="s">
        <v>4726</v>
      </c>
      <c r="G283" s="4"/>
      <c r="H283" s="640"/>
      <c r="I283" s="640" t="s">
        <v>622</v>
      </c>
      <c r="J283" s="653"/>
      <c r="K283" s="653"/>
      <c r="L283" s="653"/>
      <c r="M283" s="653"/>
      <c r="N283" s="653"/>
      <c r="O283" s="653"/>
      <c r="P283" s="653"/>
      <c r="Q283" s="640"/>
      <c r="R283" s="640" t="s">
        <v>3186</v>
      </c>
      <c r="S283" s="640" t="s">
        <v>4452</v>
      </c>
      <c r="T283" s="460"/>
      <c r="U283" s="640" t="s">
        <v>171</v>
      </c>
      <c r="V283" s="685">
        <f t="shared" si="11"/>
        <v>0</v>
      </c>
      <c r="W283" s="690"/>
      <c r="X283" s="690"/>
      <c r="Y283" s="690"/>
      <c r="Z283" s="690"/>
      <c r="AA283" s="690"/>
      <c r="AB283" s="690"/>
      <c r="AC283" s="690"/>
      <c r="AD283" s="690"/>
      <c r="AE283" s="690"/>
      <c r="AF283" s="690"/>
      <c r="AG283" s="690"/>
      <c r="AH283" s="690"/>
      <c r="AI283" s="690"/>
      <c r="AJ283" s="690"/>
      <c r="AK283" s="690"/>
      <c r="AL283" s="690"/>
      <c r="AM283" s="690"/>
      <c r="AN283" s="690"/>
      <c r="AO283" s="690"/>
      <c r="AP283" s="690"/>
    </row>
    <row r="284" spans="1:42" x14ac:dyDescent="0.25">
      <c r="A284" s="134">
        <f t="shared" si="10"/>
        <v>283</v>
      </c>
      <c r="B284" s="443" t="s">
        <v>5243</v>
      </c>
      <c r="C284" s="443" t="s">
        <v>5243</v>
      </c>
      <c r="D284" s="443"/>
      <c r="E284" s="443" t="s">
        <v>7336</v>
      </c>
      <c r="F284" s="444" t="s">
        <v>4727</v>
      </c>
      <c r="G284" s="4" t="s">
        <v>7334</v>
      </c>
      <c r="H284" s="640"/>
      <c r="I284" s="640" t="s">
        <v>622</v>
      </c>
      <c r="J284" s="653"/>
      <c r="K284" s="653"/>
      <c r="L284" s="653"/>
      <c r="M284" s="653"/>
      <c r="N284" s="653"/>
      <c r="O284" s="653"/>
      <c r="P284" s="653"/>
      <c r="Q284" s="640"/>
      <c r="R284" s="640" t="s">
        <v>5244</v>
      </c>
      <c r="S284" s="640" t="s">
        <v>4448</v>
      </c>
      <c r="T284" s="460"/>
      <c r="U284" s="640" t="s">
        <v>171</v>
      </c>
      <c r="V284" s="685">
        <f t="shared" si="11"/>
        <v>0</v>
      </c>
      <c r="W284" s="690"/>
      <c r="X284" s="690"/>
      <c r="Y284" s="690"/>
      <c r="Z284" s="690"/>
      <c r="AA284" s="690"/>
      <c r="AB284" s="690"/>
      <c r="AC284" s="690"/>
      <c r="AD284" s="690"/>
      <c r="AE284" s="690"/>
      <c r="AF284" s="690"/>
      <c r="AG284" s="690"/>
      <c r="AH284" s="690"/>
      <c r="AI284" s="690"/>
      <c r="AJ284" s="690"/>
      <c r="AK284" s="690"/>
      <c r="AL284" s="690"/>
      <c r="AM284" s="690"/>
      <c r="AN284" s="690"/>
      <c r="AO284" s="690"/>
      <c r="AP284" s="690"/>
    </row>
    <row r="285" spans="1:42" x14ac:dyDescent="0.25">
      <c r="A285" s="134">
        <f t="shared" si="10"/>
        <v>284</v>
      </c>
      <c r="B285" s="443" t="s">
        <v>6258</v>
      </c>
      <c r="C285" s="443" t="s">
        <v>6258</v>
      </c>
      <c r="D285" s="443"/>
      <c r="E285" s="443" t="s">
        <v>7335</v>
      </c>
      <c r="F285" s="444" t="s">
        <v>4728</v>
      </c>
      <c r="G285" s="4"/>
      <c r="H285" s="640"/>
      <c r="I285" s="640" t="s">
        <v>622</v>
      </c>
      <c r="J285" s="653"/>
      <c r="K285" s="653"/>
      <c r="L285" s="653"/>
      <c r="M285" s="653"/>
      <c r="N285" s="653"/>
      <c r="O285" s="653"/>
      <c r="P285" s="653"/>
      <c r="Q285" s="640"/>
      <c r="R285" s="640" t="s">
        <v>5244</v>
      </c>
      <c r="S285" s="640" t="s">
        <v>4449</v>
      </c>
      <c r="T285" s="460"/>
      <c r="U285" s="640" t="s">
        <v>171</v>
      </c>
      <c r="V285" s="685">
        <f t="shared" si="11"/>
        <v>0</v>
      </c>
      <c r="W285" s="690"/>
      <c r="X285" s="690"/>
      <c r="Y285" s="690"/>
      <c r="Z285" s="690"/>
      <c r="AA285" s="690"/>
      <c r="AB285" s="690"/>
      <c r="AC285" s="690"/>
      <c r="AD285" s="690"/>
      <c r="AE285" s="690"/>
      <c r="AF285" s="690"/>
      <c r="AG285" s="690"/>
      <c r="AH285" s="690"/>
      <c r="AI285" s="690"/>
      <c r="AJ285" s="690"/>
      <c r="AK285" s="690"/>
      <c r="AL285" s="690"/>
      <c r="AM285" s="690"/>
      <c r="AN285" s="690"/>
      <c r="AO285" s="690"/>
      <c r="AP285" s="690"/>
    </row>
    <row r="286" spans="1:42" x14ac:dyDescent="0.25">
      <c r="A286" s="134">
        <f t="shared" si="10"/>
        <v>285</v>
      </c>
      <c r="B286" s="443" t="s">
        <v>3491</v>
      </c>
      <c r="C286" s="443" t="s">
        <v>3491</v>
      </c>
      <c r="D286" s="443"/>
      <c r="E286" s="443" t="s">
        <v>7337</v>
      </c>
      <c r="F286" s="444" t="s">
        <v>4928</v>
      </c>
      <c r="G286" s="4"/>
      <c r="H286" s="640"/>
      <c r="I286" s="640" t="s">
        <v>622</v>
      </c>
      <c r="J286" s="653"/>
      <c r="K286" s="653"/>
      <c r="L286" s="653"/>
      <c r="M286" s="653"/>
      <c r="N286" s="653"/>
      <c r="O286" s="653"/>
      <c r="P286" s="653"/>
      <c r="Q286" s="640"/>
      <c r="R286" s="640" t="s">
        <v>3187</v>
      </c>
      <c r="S286" s="640" t="s">
        <v>4450</v>
      </c>
      <c r="T286" s="460"/>
      <c r="U286" s="640" t="s">
        <v>171</v>
      </c>
      <c r="V286" s="685">
        <f t="shared" si="11"/>
        <v>0</v>
      </c>
      <c r="W286" s="690"/>
      <c r="X286" s="690"/>
      <c r="Y286" s="690"/>
      <c r="Z286" s="690"/>
      <c r="AA286" s="690"/>
      <c r="AB286" s="690"/>
      <c r="AC286" s="690"/>
      <c r="AD286" s="690"/>
      <c r="AE286" s="690"/>
      <c r="AF286" s="690"/>
      <c r="AG286" s="690"/>
      <c r="AH286" s="690"/>
      <c r="AI286" s="690"/>
      <c r="AJ286" s="690"/>
      <c r="AK286" s="690"/>
      <c r="AL286" s="690"/>
      <c r="AM286" s="690"/>
      <c r="AN286" s="690"/>
      <c r="AO286" s="690"/>
      <c r="AP286" s="690"/>
    </row>
    <row r="287" spans="1:42" x14ac:dyDescent="0.25">
      <c r="A287" s="134">
        <f t="shared" si="10"/>
        <v>286</v>
      </c>
      <c r="B287" s="443" t="s">
        <v>3492</v>
      </c>
      <c r="C287" s="443" t="s">
        <v>3492</v>
      </c>
      <c r="D287" s="443"/>
      <c r="E287" s="443" t="s">
        <v>7338</v>
      </c>
      <c r="F287" s="444" t="s">
        <v>4929</v>
      </c>
      <c r="G287" s="4"/>
      <c r="H287" s="640"/>
      <c r="I287" s="640" t="s">
        <v>622</v>
      </c>
      <c r="J287" s="653"/>
      <c r="K287" s="653"/>
      <c r="L287" s="653"/>
      <c r="M287" s="653"/>
      <c r="N287" s="653"/>
      <c r="O287" s="653"/>
      <c r="P287" s="653"/>
      <c r="Q287" s="640"/>
      <c r="R287" s="640" t="s">
        <v>3187</v>
      </c>
      <c r="S287" s="640" t="s">
        <v>4451</v>
      </c>
      <c r="T287" s="460"/>
      <c r="U287" s="640" t="s">
        <v>171</v>
      </c>
      <c r="V287" s="685">
        <f t="shared" si="11"/>
        <v>0</v>
      </c>
      <c r="W287" s="690"/>
      <c r="X287" s="690"/>
      <c r="Y287" s="690"/>
      <c r="Z287" s="690"/>
      <c r="AA287" s="690"/>
      <c r="AB287" s="690"/>
      <c r="AC287" s="690"/>
      <c r="AD287" s="690"/>
      <c r="AE287" s="690"/>
      <c r="AF287" s="690"/>
      <c r="AG287" s="690"/>
      <c r="AH287" s="690"/>
      <c r="AI287" s="690"/>
      <c r="AJ287" s="690"/>
      <c r="AK287" s="690"/>
      <c r="AL287" s="690"/>
      <c r="AM287" s="690"/>
      <c r="AN287" s="690"/>
      <c r="AO287" s="690"/>
      <c r="AP287" s="690"/>
    </row>
    <row r="288" spans="1:42" x14ac:dyDescent="0.25">
      <c r="A288" s="134">
        <f t="shared" si="10"/>
        <v>287</v>
      </c>
      <c r="B288" s="443" t="s">
        <v>3493</v>
      </c>
      <c r="C288" s="443" t="s">
        <v>3493</v>
      </c>
      <c r="D288" s="443"/>
      <c r="E288" s="443" t="s">
        <v>7339</v>
      </c>
      <c r="F288" s="444" t="s">
        <v>4729</v>
      </c>
      <c r="G288" s="4"/>
      <c r="H288" s="640"/>
      <c r="I288" s="640" t="s">
        <v>622</v>
      </c>
      <c r="J288" s="653"/>
      <c r="K288" s="653"/>
      <c r="L288" s="653"/>
      <c r="M288" s="653"/>
      <c r="N288" s="653"/>
      <c r="O288" s="653"/>
      <c r="P288" s="653"/>
      <c r="Q288" s="640"/>
      <c r="R288" s="640" t="s">
        <v>3187</v>
      </c>
      <c r="S288" s="640" t="s">
        <v>4452</v>
      </c>
      <c r="T288" s="460"/>
      <c r="U288" s="640" t="s">
        <v>171</v>
      </c>
      <c r="V288" s="685">
        <f t="shared" si="11"/>
        <v>0</v>
      </c>
      <c r="W288" s="690"/>
      <c r="X288" s="690"/>
      <c r="Y288" s="690"/>
      <c r="Z288" s="690"/>
      <c r="AA288" s="690"/>
      <c r="AB288" s="690"/>
      <c r="AC288" s="690"/>
      <c r="AD288" s="690"/>
      <c r="AE288" s="690"/>
      <c r="AF288" s="690"/>
      <c r="AG288" s="690"/>
      <c r="AH288" s="690"/>
      <c r="AI288" s="690"/>
      <c r="AJ288" s="690"/>
      <c r="AK288" s="690"/>
      <c r="AL288" s="690"/>
      <c r="AM288" s="690"/>
      <c r="AN288" s="690"/>
      <c r="AO288" s="690"/>
      <c r="AP288" s="690"/>
    </row>
    <row r="289" spans="1:42" x14ac:dyDescent="0.25">
      <c r="A289" s="134">
        <f t="shared" si="10"/>
        <v>288</v>
      </c>
      <c r="B289" s="443" t="s">
        <v>2298</v>
      </c>
      <c r="C289" s="443" t="s">
        <v>270</v>
      </c>
      <c r="D289" s="443"/>
      <c r="E289" s="443"/>
      <c r="F289" s="444" t="s">
        <v>4930</v>
      </c>
      <c r="G289" s="4"/>
      <c r="H289" s="640"/>
      <c r="I289" s="640" t="s">
        <v>622</v>
      </c>
      <c r="J289" s="653"/>
      <c r="K289" s="653"/>
      <c r="L289" s="653"/>
      <c r="M289" s="653"/>
      <c r="N289" s="653"/>
      <c r="O289" s="653"/>
      <c r="P289" s="653"/>
      <c r="Q289" s="640"/>
      <c r="R289" s="640" t="s">
        <v>3188</v>
      </c>
      <c r="S289" s="640" t="s">
        <v>4448</v>
      </c>
      <c r="T289" s="460"/>
      <c r="U289" s="640" t="s">
        <v>171</v>
      </c>
      <c r="V289" s="685">
        <f t="shared" si="11"/>
        <v>0</v>
      </c>
      <c r="W289" s="690"/>
      <c r="X289" s="690"/>
      <c r="Y289" s="690"/>
      <c r="Z289" s="690"/>
      <c r="AA289" s="690"/>
      <c r="AB289" s="690"/>
      <c r="AC289" s="690"/>
      <c r="AD289" s="690"/>
      <c r="AE289" s="690"/>
      <c r="AF289" s="690"/>
      <c r="AG289" s="690"/>
      <c r="AH289" s="690"/>
      <c r="AI289" s="690"/>
      <c r="AJ289" s="690"/>
      <c r="AK289" s="690"/>
      <c r="AL289" s="690"/>
      <c r="AM289" s="690"/>
      <c r="AN289" s="690"/>
      <c r="AO289" s="690"/>
      <c r="AP289" s="690"/>
    </row>
    <row r="290" spans="1:42" x14ac:dyDescent="0.25">
      <c r="A290" s="134">
        <f t="shared" si="10"/>
        <v>289</v>
      </c>
      <c r="B290" s="443" t="s">
        <v>3494</v>
      </c>
      <c r="C290" s="443" t="s">
        <v>3494</v>
      </c>
      <c r="D290" s="443"/>
      <c r="E290" s="443" t="s">
        <v>7341</v>
      </c>
      <c r="F290" s="444" t="s">
        <v>7340</v>
      </c>
      <c r="G290" s="4"/>
      <c r="H290" s="640"/>
      <c r="I290" s="640" t="s">
        <v>622</v>
      </c>
      <c r="J290" s="653"/>
      <c r="K290" s="653"/>
      <c r="L290" s="653"/>
      <c r="M290" s="653"/>
      <c r="N290" s="653"/>
      <c r="O290" s="653"/>
      <c r="P290" s="653"/>
      <c r="Q290" s="640"/>
      <c r="R290" s="640" t="s">
        <v>3188</v>
      </c>
      <c r="S290" s="640" t="s">
        <v>4449</v>
      </c>
      <c r="T290" s="460"/>
      <c r="U290" s="640" t="s">
        <v>171</v>
      </c>
      <c r="V290" s="685">
        <f t="shared" si="11"/>
        <v>0</v>
      </c>
      <c r="W290" s="690"/>
      <c r="X290" s="690"/>
      <c r="Y290" s="690"/>
      <c r="Z290" s="690"/>
      <c r="AA290" s="690"/>
      <c r="AB290" s="690"/>
      <c r="AC290" s="690"/>
      <c r="AD290" s="690"/>
      <c r="AE290" s="690"/>
      <c r="AF290" s="690"/>
      <c r="AG290" s="690"/>
      <c r="AH290" s="690"/>
      <c r="AI290" s="690"/>
      <c r="AJ290" s="690"/>
      <c r="AK290" s="690"/>
      <c r="AL290" s="690"/>
      <c r="AM290" s="690"/>
      <c r="AN290" s="690"/>
      <c r="AO290" s="690"/>
      <c r="AP290" s="690"/>
    </row>
    <row r="291" spans="1:42" x14ac:dyDescent="0.25">
      <c r="A291" s="134">
        <f t="shared" si="10"/>
        <v>290</v>
      </c>
      <c r="B291" s="443" t="s">
        <v>3495</v>
      </c>
      <c r="C291" s="443" t="s">
        <v>3495</v>
      </c>
      <c r="D291" s="443"/>
      <c r="E291" s="443" t="s">
        <v>7342</v>
      </c>
      <c r="F291" s="444" t="s">
        <v>4730</v>
      </c>
      <c r="G291" s="4"/>
      <c r="H291" s="640"/>
      <c r="I291" s="640" t="s">
        <v>622</v>
      </c>
      <c r="J291" s="653"/>
      <c r="K291" s="653"/>
      <c r="L291" s="653"/>
      <c r="M291" s="653"/>
      <c r="N291" s="653"/>
      <c r="O291" s="653"/>
      <c r="P291" s="653"/>
      <c r="Q291" s="640"/>
      <c r="R291" s="640" t="s">
        <v>3188</v>
      </c>
      <c r="S291" s="640" t="s">
        <v>4450</v>
      </c>
      <c r="T291" s="460"/>
      <c r="U291" s="640" t="s">
        <v>171</v>
      </c>
      <c r="V291" s="685">
        <f t="shared" si="11"/>
        <v>0</v>
      </c>
      <c r="W291" s="690"/>
      <c r="X291" s="690"/>
      <c r="Y291" s="690"/>
      <c r="Z291" s="690"/>
      <c r="AA291" s="690"/>
      <c r="AB291" s="690"/>
      <c r="AC291" s="690"/>
      <c r="AD291" s="690"/>
      <c r="AE291" s="690"/>
      <c r="AF291" s="690"/>
      <c r="AG291" s="690"/>
      <c r="AH291" s="690"/>
      <c r="AI291" s="690"/>
      <c r="AJ291" s="690"/>
      <c r="AK291" s="690"/>
      <c r="AL291" s="690"/>
      <c r="AM291" s="690"/>
      <c r="AN291" s="690"/>
      <c r="AO291" s="690"/>
      <c r="AP291" s="690"/>
    </row>
    <row r="292" spans="1:42" x14ac:dyDescent="0.25">
      <c r="A292" s="134">
        <f t="shared" si="10"/>
        <v>291</v>
      </c>
      <c r="B292" s="443" t="s">
        <v>3496</v>
      </c>
      <c r="C292" s="443" t="s">
        <v>3496</v>
      </c>
      <c r="D292" s="443"/>
      <c r="E292" s="443" t="s">
        <v>7343</v>
      </c>
      <c r="F292" s="446" t="s">
        <v>4839</v>
      </c>
      <c r="G292" s="4"/>
      <c r="H292" s="640"/>
      <c r="I292" s="640" t="s">
        <v>622</v>
      </c>
      <c r="J292" s="653"/>
      <c r="K292" s="653"/>
      <c r="L292" s="653"/>
      <c r="M292" s="653"/>
      <c r="N292" s="653"/>
      <c r="O292" s="653"/>
      <c r="P292" s="653"/>
      <c r="Q292" s="640"/>
      <c r="R292" s="640" t="s">
        <v>3188</v>
      </c>
      <c r="S292" s="640" t="s">
        <v>4451</v>
      </c>
      <c r="T292" s="460"/>
      <c r="U292" s="640" t="s">
        <v>171</v>
      </c>
      <c r="V292" s="685">
        <f t="shared" si="11"/>
        <v>0</v>
      </c>
      <c r="W292" s="690"/>
      <c r="X292" s="690"/>
      <c r="Y292" s="690"/>
      <c r="Z292" s="690"/>
      <c r="AA292" s="690"/>
      <c r="AB292" s="690"/>
      <c r="AC292" s="690"/>
      <c r="AD292" s="690"/>
      <c r="AE292" s="690"/>
      <c r="AF292" s="690"/>
      <c r="AG292" s="690"/>
      <c r="AH292" s="690"/>
      <c r="AI292" s="690"/>
      <c r="AJ292" s="690"/>
      <c r="AK292" s="690"/>
      <c r="AL292" s="690"/>
      <c r="AM292" s="690"/>
      <c r="AN292" s="690"/>
      <c r="AO292" s="690"/>
      <c r="AP292" s="690"/>
    </row>
    <row r="293" spans="1:42" x14ac:dyDescent="0.25">
      <c r="A293" s="134">
        <f t="shared" si="10"/>
        <v>292</v>
      </c>
      <c r="B293" s="443" t="s">
        <v>3497</v>
      </c>
      <c r="C293" s="443" t="s">
        <v>3497</v>
      </c>
      <c r="D293" s="443"/>
      <c r="E293" s="443" t="s">
        <v>7344</v>
      </c>
      <c r="F293" s="444" t="s">
        <v>4931</v>
      </c>
      <c r="G293" s="4"/>
      <c r="H293" s="640"/>
      <c r="I293" s="640" t="s">
        <v>622</v>
      </c>
      <c r="J293" s="653"/>
      <c r="K293" s="653"/>
      <c r="L293" s="653"/>
      <c r="M293" s="653"/>
      <c r="N293" s="653">
        <v>1</v>
      </c>
      <c r="O293" s="653" t="s">
        <v>7358</v>
      </c>
      <c r="P293" s="653"/>
      <c r="Q293" s="640"/>
      <c r="R293" s="640" t="s">
        <v>3188</v>
      </c>
      <c r="S293" s="640" t="s">
        <v>4452</v>
      </c>
      <c r="T293" s="460"/>
      <c r="U293" s="640" t="s">
        <v>171</v>
      </c>
      <c r="V293" s="685">
        <f t="shared" si="11"/>
        <v>0</v>
      </c>
      <c r="W293" s="690"/>
      <c r="X293" s="690"/>
      <c r="Y293" s="690"/>
      <c r="Z293" s="690"/>
      <c r="AA293" s="690"/>
      <c r="AB293" s="690"/>
      <c r="AC293" s="690"/>
      <c r="AD293" s="690"/>
      <c r="AE293" s="690"/>
      <c r="AF293" s="690"/>
      <c r="AG293" s="690"/>
      <c r="AH293" s="690"/>
      <c r="AI293" s="690"/>
      <c r="AJ293" s="690"/>
      <c r="AK293" s="690"/>
      <c r="AL293" s="690"/>
      <c r="AM293" s="690"/>
      <c r="AN293" s="690"/>
      <c r="AO293" s="690"/>
      <c r="AP293" s="690"/>
    </row>
    <row r="294" spans="1:42" x14ac:dyDescent="0.25">
      <c r="A294" s="134">
        <f t="shared" si="10"/>
        <v>293</v>
      </c>
      <c r="B294" s="443" t="s">
        <v>3498</v>
      </c>
      <c r="C294" s="443" t="s">
        <v>3498</v>
      </c>
      <c r="D294" s="443"/>
      <c r="E294" s="443" t="s">
        <v>7345</v>
      </c>
      <c r="F294" s="447" t="s">
        <v>4737</v>
      </c>
      <c r="G294" s="4" t="s">
        <v>7378</v>
      </c>
      <c r="H294" s="640"/>
      <c r="I294" s="640" t="s">
        <v>623</v>
      </c>
      <c r="J294" s="653"/>
      <c r="K294" s="653"/>
      <c r="L294" s="653"/>
      <c r="M294" s="653"/>
      <c r="N294" s="653"/>
      <c r="O294" s="653"/>
      <c r="P294" s="653"/>
      <c r="Q294" s="640"/>
      <c r="R294" s="640" t="s">
        <v>3193</v>
      </c>
      <c r="S294" s="640" t="s">
        <v>4458</v>
      </c>
      <c r="T294" s="460"/>
      <c r="U294" s="640" t="s">
        <v>171</v>
      </c>
      <c r="V294" s="685">
        <f t="shared" si="11"/>
        <v>10</v>
      </c>
      <c r="W294" s="4" t="s">
        <v>4731</v>
      </c>
      <c r="X294" s="4" t="s">
        <v>4732</v>
      </c>
      <c r="Y294" s="4" t="s">
        <v>4733</v>
      </c>
      <c r="Z294" s="4" t="s">
        <v>4734</v>
      </c>
      <c r="AA294" s="4" t="s">
        <v>2976</v>
      </c>
      <c r="AB294" s="4" t="s">
        <v>2978</v>
      </c>
      <c r="AC294" s="4" t="s">
        <v>1095</v>
      </c>
      <c r="AD294" s="4" t="s">
        <v>4735</v>
      </c>
      <c r="AE294" s="4" t="s">
        <v>2977</v>
      </c>
      <c r="AF294" s="4" t="s">
        <v>4736</v>
      </c>
      <c r="AG294" s="690"/>
      <c r="AH294" s="690"/>
      <c r="AI294" s="690"/>
      <c r="AJ294" s="690"/>
      <c r="AK294" s="690"/>
      <c r="AL294" s="690"/>
      <c r="AM294" s="690"/>
      <c r="AN294" s="690"/>
      <c r="AO294" s="690"/>
      <c r="AP294" s="690"/>
    </row>
    <row r="295" spans="1:42" x14ac:dyDescent="0.25">
      <c r="A295" s="134">
        <f t="shared" si="10"/>
        <v>294</v>
      </c>
      <c r="B295" s="443" t="s">
        <v>3499</v>
      </c>
      <c r="C295" s="443" t="s">
        <v>3499</v>
      </c>
      <c r="D295" s="443"/>
      <c r="E295" s="443" t="s">
        <v>7346</v>
      </c>
      <c r="F295" s="444" t="s">
        <v>4932</v>
      </c>
      <c r="G295" s="4" t="s">
        <v>7379</v>
      </c>
      <c r="H295" s="640"/>
      <c r="I295" s="640" t="s">
        <v>623</v>
      </c>
      <c r="J295" s="653"/>
      <c r="K295" s="653"/>
      <c r="L295" s="653"/>
      <c r="M295" s="653"/>
      <c r="N295" s="653"/>
      <c r="O295" s="653"/>
      <c r="P295" s="653"/>
      <c r="Q295" s="640"/>
      <c r="R295" s="640" t="s">
        <v>3193</v>
      </c>
      <c r="S295" s="640" t="s">
        <v>4459</v>
      </c>
      <c r="T295" s="460"/>
      <c r="U295" s="640" t="s">
        <v>171</v>
      </c>
      <c r="V295" s="685">
        <f t="shared" si="11"/>
        <v>0</v>
      </c>
      <c r="W295" s="690"/>
      <c r="X295" s="690"/>
      <c r="Y295" s="690"/>
      <c r="Z295" s="690"/>
      <c r="AA295" s="690"/>
      <c r="AB295" s="690"/>
      <c r="AC295" s="690"/>
      <c r="AD295" s="690"/>
      <c r="AE295" s="690"/>
      <c r="AF295" s="690"/>
      <c r="AG295" s="690"/>
      <c r="AH295" s="690"/>
      <c r="AI295" s="690"/>
      <c r="AJ295" s="690"/>
      <c r="AK295" s="690"/>
      <c r="AL295" s="690"/>
      <c r="AM295" s="690"/>
      <c r="AN295" s="690"/>
      <c r="AO295" s="690"/>
      <c r="AP295" s="690"/>
    </row>
    <row r="296" spans="1:42" x14ac:dyDescent="0.25">
      <c r="A296" s="134">
        <f t="shared" si="10"/>
        <v>295</v>
      </c>
      <c r="B296" s="443" t="s">
        <v>3500</v>
      </c>
      <c r="C296" s="443" t="s">
        <v>3500</v>
      </c>
      <c r="D296" s="443"/>
      <c r="E296" s="443" t="s">
        <v>7347</v>
      </c>
      <c r="F296" s="444" t="s">
        <v>4933</v>
      </c>
      <c r="G296" s="4"/>
      <c r="H296" s="640"/>
      <c r="I296" s="640" t="s">
        <v>623</v>
      </c>
      <c r="J296" s="653"/>
      <c r="K296" s="653"/>
      <c r="L296" s="653"/>
      <c r="M296" s="653"/>
      <c r="N296" s="653"/>
      <c r="O296" s="653"/>
      <c r="P296" s="653"/>
      <c r="Q296" s="640"/>
      <c r="R296" s="640" t="s">
        <v>3193</v>
      </c>
      <c r="S296" s="640" t="s">
        <v>4460</v>
      </c>
      <c r="T296" s="460"/>
      <c r="U296" s="640" t="s">
        <v>171</v>
      </c>
      <c r="V296" s="685">
        <f t="shared" si="11"/>
        <v>0</v>
      </c>
      <c r="W296" s="690"/>
      <c r="X296" s="690"/>
      <c r="Y296" s="690"/>
      <c r="Z296" s="690"/>
      <c r="AA296" s="690"/>
      <c r="AB296" s="690"/>
      <c r="AC296" s="690"/>
      <c r="AD296" s="690"/>
      <c r="AE296" s="690"/>
      <c r="AF296" s="690"/>
      <c r="AG296" s="690"/>
      <c r="AH296" s="690"/>
      <c r="AI296" s="690"/>
      <c r="AJ296" s="690"/>
      <c r="AK296" s="690"/>
      <c r="AL296" s="690"/>
      <c r="AM296" s="690"/>
      <c r="AN296" s="690"/>
      <c r="AO296" s="690"/>
      <c r="AP296" s="690"/>
    </row>
    <row r="297" spans="1:42" x14ac:dyDescent="0.25">
      <c r="A297" s="134">
        <f t="shared" si="10"/>
        <v>296</v>
      </c>
      <c r="B297" s="443" t="s">
        <v>3501</v>
      </c>
      <c r="C297" s="443" t="s">
        <v>3501</v>
      </c>
      <c r="D297" s="443"/>
      <c r="E297" s="443" t="s">
        <v>7348</v>
      </c>
      <c r="F297" s="444" t="s">
        <v>4934</v>
      </c>
      <c r="G297" s="4"/>
      <c r="H297" s="640"/>
      <c r="I297" s="640" t="s">
        <v>623</v>
      </c>
      <c r="J297" s="653"/>
      <c r="K297" s="653"/>
      <c r="L297" s="653"/>
      <c r="M297" s="653"/>
      <c r="N297" s="653"/>
      <c r="O297" s="653"/>
      <c r="P297" s="653"/>
      <c r="Q297" s="640"/>
      <c r="R297" s="640" t="s">
        <v>3193</v>
      </c>
      <c r="S297" s="640" t="s">
        <v>4461</v>
      </c>
      <c r="T297" s="460"/>
      <c r="U297" s="640" t="s">
        <v>171</v>
      </c>
      <c r="V297" s="685">
        <f t="shared" si="11"/>
        <v>0</v>
      </c>
      <c r="W297" s="690"/>
      <c r="X297" s="690"/>
      <c r="Y297" s="690"/>
      <c r="Z297" s="690"/>
      <c r="AA297" s="690"/>
      <c r="AB297" s="690"/>
      <c r="AC297" s="690"/>
      <c r="AD297" s="690"/>
      <c r="AE297" s="690"/>
      <c r="AF297" s="690"/>
      <c r="AG297" s="690"/>
      <c r="AH297" s="690"/>
      <c r="AI297" s="690"/>
      <c r="AJ297" s="690"/>
      <c r="AK297" s="690"/>
      <c r="AL297" s="690"/>
      <c r="AM297" s="690"/>
      <c r="AN297" s="690"/>
      <c r="AO297" s="690"/>
      <c r="AP297" s="690"/>
    </row>
    <row r="298" spans="1:42" x14ac:dyDescent="0.25">
      <c r="A298" s="134">
        <f t="shared" si="10"/>
        <v>297</v>
      </c>
      <c r="B298" s="443" t="s">
        <v>3502</v>
      </c>
      <c r="C298" s="443" t="s">
        <v>3502</v>
      </c>
      <c r="D298" s="443"/>
      <c r="E298" s="443" t="s">
        <v>7349</v>
      </c>
      <c r="F298" s="444" t="s">
        <v>4738</v>
      </c>
      <c r="G298" s="4"/>
      <c r="H298" s="640"/>
      <c r="I298" s="640" t="s">
        <v>623</v>
      </c>
      <c r="J298" s="653"/>
      <c r="K298" s="653"/>
      <c r="L298" s="653"/>
      <c r="M298" s="653"/>
      <c r="N298" s="653"/>
      <c r="O298" s="653"/>
      <c r="P298" s="653"/>
      <c r="Q298" s="640"/>
      <c r="R298" s="640" t="s">
        <v>3193</v>
      </c>
      <c r="S298" s="640" t="s">
        <v>4462</v>
      </c>
      <c r="T298" s="460"/>
      <c r="U298" s="640" t="s">
        <v>171</v>
      </c>
      <c r="V298" s="685">
        <f t="shared" si="11"/>
        <v>0</v>
      </c>
      <c r="W298" s="690"/>
      <c r="X298" s="690"/>
      <c r="Y298" s="690"/>
      <c r="Z298" s="690"/>
      <c r="AA298" s="690"/>
      <c r="AB298" s="690"/>
      <c r="AC298" s="690"/>
      <c r="AD298" s="690"/>
      <c r="AE298" s="690"/>
      <c r="AF298" s="690"/>
      <c r="AG298" s="690"/>
      <c r="AH298" s="690"/>
      <c r="AI298" s="690"/>
      <c r="AJ298" s="690"/>
      <c r="AK298" s="690"/>
      <c r="AL298" s="690"/>
      <c r="AM298" s="690"/>
      <c r="AN298" s="690"/>
      <c r="AO298" s="690"/>
      <c r="AP298" s="690"/>
    </row>
    <row r="299" spans="1:42" x14ac:dyDescent="0.25">
      <c r="A299" s="134">
        <f t="shared" si="10"/>
        <v>298</v>
      </c>
      <c r="B299" s="443" t="s">
        <v>3503</v>
      </c>
      <c r="C299" s="443" t="s">
        <v>3503</v>
      </c>
      <c r="D299" s="443"/>
      <c r="E299" s="443" t="s">
        <v>7350</v>
      </c>
      <c r="F299" s="444" t="s">
        <v>4739</v>
      </c>
      <c r="G299" s="4"/>
      <c r="H299" s="640"/>
      <c r="I299" s="640" t="s">
        <v>623</v>
      </c>
      <c r="J299" s="653"/>
      <c r="K299" s="653"/>
      <c r="L299" s="653"/>
      <c r="M299" s="653"/>
      <c r="N299" s="653"/>
      <c r="O299" s="653"/>
      <c r="P299" s="653"/>
      <c r="Q299" s="640"/>
      <c r="R299" s="640" t="s">
        <v>2770</v>
      </c>
      <c r="S299" s="640" t="s">
        <v>4458</v>
      </c>
      <c r="T299" s="460"/>
      <c r="U299" s="640" t="s">
        <v>171</v>
      </c>
      <c r="V299" s="685">
        <f t="shared" si="11"/>
        <v>0</v>
      </c>
      <c r="W299" s="690"/>
      <c r="X299" s="690"/>
      <c r="Y299" s="690"/>
      <c r="Z299" s="690"/>
      <c r="AA299" s="690"/>
      <c r="AB299" s="690"/>
      <c r="AC299" s="690"/>
      <c r="AD299" s="690"/>
      <c r="AE299" s="690"/>
      <c r="AF299" s="690"/>
      <c r="AG299" s="690"/>
      <c r="AH299" s="690"/>
      <c r="AI299" s="690"/>
      <c r="AJ299" s="690"/>
      <c r="AK299" s="690"/>
      <c r="AL299" s="690"/>
      <c r="AM299" s="690"/>
      <c r="AN299" s="690"/>
      <c r="AO299" s="690"/>
      <c r="AP299" s="690"/>
    </row>
    <row r="300" spans="1:42" x14ac:dyDescent="0.25">
      <c r="A300" s="134">
        <f t="shared" si="10"/>
        <v>299</v>
      </c>
      <c r="B300" s="443" t="s">
        <v>3504</v>
      </c>
      <c r="C300" s="443" t="s">
        <v>3504</v>
      </c>
      <c r="D300" s="443"/>
      <c r="E300" s="443" t="s">
        <v>7351</v>
      </c>
      <c r="F300" s="444" t="s">
        <v>4935</v>
      </c>
      <c r="G300" s="4"/>
      <c r="H300" s="640"/>
      <c r="I300" s="640" t="s">
        <v>623</v>
      </c>
      <c r="J300" s="653"/>
      <c r="K300" s="653"/>
      <c r="L300" s="653"/>
      <c r="M300" s="653"/>
      <c r="N300" s="653"/>
      <c r="O300" s="653"/>
      <c r="P300" s="653"/>
      <c r="Q300" s="640"/>
      <c r="R300" s="640" t="s">
        <v>2770</v>
      </c>
      <c r="S300" s="640" t="s">
        <v>4459</v>
      </c>
      <c r="T300" s="460"/>
      <c r="U300" s="640" t="s">
        <v>171</v>
      </c>
      <c r="V300" s="685">
        <f t="shared" si="11"/>
        <v>0</v>
      </c>
      <c r="W300" s="690"/>
      <c r="X300" s="690"/>
      <c r="Y300" s="690"/>
      <c r="Z300" s="690"/>
      <c r="AA300" s="690"/>
      <c r="AB300" s="690"/>
      <c r="AC300" s="690"/>
      <c r="AD300" s="690"/>
      <c r="AE300" s="690"/>
      <c r="AF300" s="690"/>
      <c r="AG300" s="690"/>
      <c r="AH300" s="690"/>
      <c r="AI300" s="690"/>
      <c r="AJ300" s="690"/>
      <c r="AK300" s="690"/>
      <c r="AL300" s="690"/>
      <c r="AM300" s="690"/>
      <c r="AN300" s="690"/>
      <c r="AO300" s="690"/>
      <c r="AP300" s="690"/>
    </row>
    <row r="301" spans="1:42" x14ac:dyDescent="0.25">
      <c r="A301" s="134">
        <f t="shared" si="10"/>
        <v>300</v>
      </c>
      <c r="B301" s="443" t="s">
        <v>3505</v>
      </c>
      <c r="C301" s="443" t="s">
        <v>3505</v>
      </c>
      <c r="D301" s="443"/>
      <c r="E301" s="443" t="s">
        <v>7352</v>
      </c>
      <c r="F301" s="444" t="s">
        <v>4936</v>
      </c>
      <c r="G301" s="4"/>
      <c r="H301" s="640"/>
      <c r="I301" s="640" t="s">
        <v>623</v>
      </c>
      <c r="J301" s="653"/>
      <c r="K301" s="653"/>
      <c r="L301" s="653"/>
      <c r="M301" s="653"/>
      <c r="N301" s="653"/>
      <c r="O301" s="653"/>
      <c r="P301" s="653"/>
      <c r="Q301" s="640"/>
      <c r="R301" s="640" t="s">
        <v>2770</v>
      </c>
      <c r="S301" s="640" t="s">
        <v>4460</v>
      </c>
      <c r="T301" s="460"/>
      <c r="U301" s="640" t="s">
        <v>171</v>
      </c>
      <c r="V301" s="685">
        <f t="shared" si="11"/>
        <v>0</v>
      </c>
      <c r="W301" s="690"/>
      <c r="X301" s="690"/>
      <c r="Y301" s="690"/>
      <c r="Z301" s="690"/>
      <c r="AA301" s="690"/>
      <c r="AB301" s="690"/>
      <c r="AC301" s="690"/>
      <c r="AD301" s="690"/>
      <c r="AE301" s="690"/>
      <c r="AF301" s="690"/>
      <c r="AG301" s="690"/>
      <c r="AH301" s="690"/>
      <c r="AI301" s="690"/>
      <c r="AJ301" s="690"/>
      <c r="AK301" s="690"/>
      <c r="AL301" s="690"/>
      <c r="AM301" s="690"/>
      <c r="AN301" s="690"/>
      <c r="AO301" s="690"/>
      <c r="AP301" s="690"/>
    </row>
    <row r="302" spans="1:42" x14ac:dyDescent="0.25">
      <c r="A302" s="134">
        <f t="shared" si="10"/>
        <v>301</v>
      </c>
      <c r="B302" s="443" t="s">
        <v>3506</v>
      </c>
      <c r="C302" s="443" t="s">
        <v>3506</v>
      </c>
      <c r="D302" s="443"/>
      <c r="E302" s="443" t="s">
        <v>7353</v>
      </c>
      <c r="F302" s="444" t="s">
        <v>4740</v>
      </c>
      <c r="G302" s="4"/>
      <c r="H302" s="640"/>
      <c r="I302" s="640" t="s">
        <v>623</v>
      </c>
      <c r="J302" s="653"/>
      <c r="K302" s="653"/>
      <c r="L302" s="653"/>
      <c r="M302" s="653"/>
      <c r="N302" s="653"/>
      <c r="O302" s="653"/>
      <c r="P302" s="653"/>
      <c r="Q302" s="640"/>
      <c r="R302" s="640" t="s">
        <v>2770</v>
      </c>
      <c r="S302" s="640" t="s">
        <v>4461</v>
      </c>
      <c r="T302" s="460"/>
      <c r="U302" s="640" t="s">
        <v>171</v>
      </c>
      <c r="V302" s="685">
        <f t="shared" si="11"/>
        <v>0</v>
      </c>
      <c r="W302" s="690"/>
      <c r="X302" s="690"/>
      <c r="Y302" s="690"/>
      <c r="Z302" s="690"/>
      <c r="AA302" s="690"/>
      <c r="AB302" s="690"/>
      <c r="AC302" s="690"/>
      <c r="AD302" s="690"/>
      <c r="AE302" s="690"/>
      <c r="AF302" s="690"/>
      <c r="AG302" s="690"/>
      <c r="AH302" s="690"/>
      <c r="AI302" s="690"/>
      <c r="AJ302" s="690"/>
      <c r="AK302" s="690"/>
      <c r="AL302" s="690"/>
      <c r="AM302" s="690"/>
      <c r="AN302" s="690"/>
      <c r="AO302" s="690"/>
      <c r="AP302" s="690"/>
    </row>
    <row r="303" spans="1:42" x14ac:dyDescent="0.25">
      <c r="A303" s="134">
        <f t="shared" si="10"/>
        <v>302</v>
      </c>
      <c r="B303" s="443" t="s">
        <v>3507</v>
      </c>
      <c r="C303" s="443" t="s">
        <v>3507</v>
      </c>
      <c r="D303" s="443"/>
      <c r="E303" s="443" t="s">
        <v>7354</v>
      </c>
      <c r="F303" s="444" t="s">
        <v>4741</v>
      </c>
      <c r="G303" s="4"/>
      <c r="H303" s="640"/>
      <c r="I303" s="640" t="s">
        <v>623</v>
      </c>
      <c r="J303" s="653"/>
      <c r="K303" s="653"/>
      <c r="L303" s="653"/>
      <c r="M303" s="653"/>
      <c r="N303" s="653"/>
      <c r="O303" s="653"/>
      <c r="P303" s="653"/>
      <c r="Q303" s="640"/>
      <c r="R303" s="640" t="s">
        <v>2770</v>
      </c>
      <c r="S303" s="640" t="s">
        <v>4462</v>
      </c>
      <c r="T303" s="460"/>
      <c r="U303" s="640" t="s">
        <v>171</v>
      </c>
      <c r="V303" s="685">
        <f t="shared" si="11"/>
        <v>0</v>
      </c>
      <c r="W303" s="690"/>
      <c r="X303" s="690"/>
      <c r="Y303" s="690"/>
      <c r="Z303" s="690"/>
      <c r="AA303" s="690"/>
      <c r="AB303" s="690"/>
      <c r="AC303" s="690"/>
      <c r="AD303" s="690"/>
      <c r="AE303" s="690"/>
      <c r="AF303" s="690"/>
      <c r="AG303" s="690"/>
      <c r="AH303" s="690"/>
      <c r="AI303" s="690"/>
      <c r="AJ303" s="690"/>
      <c r="AK303" s="690"/>
      <c r="AL303" s="690"/>
      <c r="AM303" s="690"/>
      <c r="AN303" s="690"/>
      <c r="AO303" s="690"/>
      <c r="AP303" s="690"/>
    </row>
    <row r="304" spans="1:42" x14ac:dyDescent="0.25">
      <c r="A304" s="134">
        <f t="shared" si="10"/>
        <v>303</v>
      </c>
      <c r="B304" s="443" t="s">
        <v>3508</v>
      </c>
      <c r="C304" s="443" t="s">
        <v>3508</v>
      </c>
      <c r="D304" s="443"/>
      <c r="E304" s="443" t="s">
        <v>7355</v>
      </c>
      <c r="F304" s="444" t="s">
        <v>4771</v>
      </c>
      <c r="G304" s="4"/>
      <c r="H304" s="640"/>
      <c r="I304" s="640" t="s">
        <v>625</v>
      </c>
      <c r="J304" s="653"/>
      <c r="K304" s="653"/>
      <c r="L304" s="653"/>
      <c r="M304" s="653"/>
      <c r="N304" s="653"/>
      <c r="O304" s="653"/>
      <c r="P304" s="653"/>
      <c r="Q304" s="640"/>
      <c r="R304" s="640" t="s">
        <v>3141</v>
      </c>
      <c r="S304" s="640" t="s">
        <v>4396</v>
      </c>
      <c r="T304" s="460"/>
      <c r="U304" s="640" t="s">
        <v>171</v>
      </c>
      <c r="V304" s="685">
        <f t="shared" si="11"/>
        <v>0</v>
      </c>
      <c r="W304" s="690"/>
      <c r="X304" s="690"/>
      <c r="Y304" s="690"/>
      <c r="Z304" s="690"/>
      <c r="AA304" s="690"/>
      <c r="AB304" s="690"/>
      <c r="AC304" s="690"/>
      <c r="AD304" s="690"/>
      <c r="AE304" s="690"/>
      <c r="AF304" s="690"/>
      <c r="AG304" s="690"/>
      <c r="AH304" s="690"/>
      <c r="AI304" s="690"/>
      <c r="AJ304" s="690"/>
      <c r="AK304" s="690"/>
      <c r="AL304" s="690"/>
      <c r="AM304" s="690"/>
      <c r="AN304" s="690"/>
      <c r="AO304" s="690"/>
      <c r="AP304" s="690"/>
    </row>
    <row r="305" spans="1:42" x14ac:dyDescent="0.25">
      <c r="A305" s="134">
        <f t="shared" si="10"/>
        <v>304</v>
      </c>
      <c r="B305" s="443" t="s">
        <v>3509</v>
      </c>
      <c r="C305" s="443" t="s">
        <v>3509</v>
      </c>
      <c r="D305" s="443"/>
      <c r="E305" s="443" t="s">
        <v>7356</v>
      </c>
      <c r="F305" s="444" t="s">
        <v>4937</v>
      </c>
      <c r="G305" s="4"/>
      <c r="H305" s="640"/>
      <c r="I305" s="640" t="s">
        <v>625</v>
      </c>
      <c r="J305" s="653"/>
      <c r="K305" s="653"/>
      <c r="L305" s="653"/>
      <c r="M305" s="653"/>
      <c r="N305" s="653">
        <v>1</v>
      </c>
      <c r="O305" s="653" t="s">
        <v>7358</v>
      </c>
      <c r="P305" s="653"/>
      <c r="Q305" s="640"/>
      <c r="R305" s="640" t="s">
        <v>3141</v>
      </c>
      <c r="S305" s="640" t="s">
        <v>4397</v>
      </c>
      <c r="T305" s="460"/>
      <c r="U305" s="640" t="s">
        <v>171</v>
      </c>
      <c r="V305" s="685">
        <f t="shared" si="11"/>
        <v>0</v>
      </c>
      <c r="W305" s="690"/>
      <c r="X305" s="690"/>
      <c r="Y305" s="690"/>
      <c r="Z305" s="690"/>
      <c r="AA305" s="690"/>
      <c r="AB305" s="690"/>
      <c r="AC305" s="690"/>
      <c r="AD305" s="690"/>
      <c r="AE305" s="690"/>
      <c r="AF305" s="690"/>
      <c r="AG305" s="690"/>
      <c r="AH305" s="690"/>
      <c r="AI305" s="690"/>
      <c r="AJ305" s="690"/>
      <c r="AK305" s="690"/>
      <c r="AL305" s="690"/>
      <c r="AM305" s="690"/>
      <c r="AN305" s="690"/>
      <c r="AO305" s="690"/>
      <c r="AP305" s="690"/>
    </row>
    <row r="306" spans="1:42" x14ac:dyDescent="0.25">
      <c r="A306" s="134">
        <f t="shared" si="10"/>
        <v>305</v>
      </c>
      <c r="B306" s="443" t="s">
        <v>3510</v>
      </c>
      <c r="C306" s="443" t="s">
        <v>3510</v>
      </c>
      <c r="D306" s="443"/>
      <c r="E306" s="443"/>
      <c r="F306" s="444" t="s">
        <v>4772</v>
      </c>
      <c r="G306" s="4"/>
      <c r="H306" s="640"/>
      <c r="I306" s="640" t="s">
        <v>625</v>
      </c>
      <c r="J306" s="653"/>
      <c r="K306" s="653"/>
      <c r="L306" s="653"/>
      <c r="M306" s="653"/>
      <c r="N306" s="653"/>
      <c r="O306" s="653"/>
      <c r="P306" s="653"/>
      <c r="Q306" s="640"/>
      <c r="R306" s="640" t="s">
        <v>3141</v>
      </c>
      <c r="S306" s="640" t="s">
        <v>4395</v>
      </c>
      <c r="T306" s="460"/>
      <c r="U306" s="640" t="s">
        <v>171</v>
      </c>
      <c r="V306" s="685">
        <f t="shared" si="11"/>
        <v>0</v>
      </c>
      <c r="W306" s="690"/>
      <c r="X306" s="690"/>
      <c r="Y306" s="690"/>
      <c r="Z306" s="690"/>
      <c r="AA306" s="690"/>
      <c r="AB306" s="690"/>
      <c r="AC306" s="690"/>
      <c r="AD306" s="690"/>
      <c r="AE306" s="690"/>
      <c r="AF306" s="690"/>
      <c r="AG306" s="690"/>
      <c r="AH306" s="690"/>
      <c r="AI306" s="690"/>
      <c r="AJ306" s="690"/>
      <c r="AK306" s="690"/>
      <c r="AL306" s="690"/>
      <c r="AM306" s="690"/>
      <c r="AN306" s="690"/>
      <c r="AO306" s="690"/>
      <c r="AP306" s="690"/>
    </row>
    <row r="307" spans="1:42" x14ac:dyDescent="0.25">
      <c r="A307" s="134">
        <f t="shared" si="10"/>
        <v>306</v>
      </c>
      <c r="B307" s="443" t="s">
        <v>3511</v>
      </c>
      <c r="C307" s="443" t="s">
        <v>3511</v>
      </c>
      <c r="D307" s="443"/>
      <c r="E307" s="443"/>
      <c r="F307" s="444" t="s">
        <v>4773</v>
      </c>
      <c r="G307" s="4"/>
      <c r="H307" s="640"/>
      <c r="I307" s="640" t="s">
        <v>625</v>
      </c>
      <c r="J307" s="653"/>
      <c r="K307" s="653"/>
      <c r="L307" s="653"/>
      <c r="M307" s="653"/>
      <c r="N307" s="653"/>
      <c r="O307" s="653"/>
      <c r="P307" s="653"/>
      <c r="Q307" s="640"/>
      <c r="R307" s="640" t="s">
        <v>3141</v>
      </c>
      <c r="S307" s="640" t="s">
        <v>4398</v>
      </c>
      <c r="T307" s="460"/>
      <c r="U307" s="640" t="s">
        <v>171</v>
      </c>
      <c r="V307" s="685">
        <f t="shared" si="11"/>
        <v>0</v>
      </c>
      <c r="W307" s="690"/>
      <c r="X307" s="690"/>
      <c r="Y307" s="690"/>
      <c r="Z307" s="690"/>
      <c r="AA307" s="690"/>
      <c r="AB307" s="690"/>
      <c r="AC307" s="690"/>
      <c r="AD307" s="690"/>
      <c r="AE307" s="690"/>
      <c r="AF307" s="690"/>
      <c r="AG307" s="690"/>
      <c r="AH307" s="690"/>
      <c r="AI307" s="690"/>
      <c r="AJ307" s="690"/>
      <c r="AK307" s="690"/>
      <c r="AL307" s="690"/>
      <c r="AM307" s="690"/>
      <c r="AN307" s="690"/>
      <c r="AO307" s="690"/>
      <c r="AP307" s="690"/>
    </row>
    <row r="308" spans="1:42" x14ac:dyDescent="0.25">
      <c r="A308" s="134">
        <f t="shared" si="10"/>
        <v>307</v>
      </c>
      <c r="B308" s="443" t="s">
        <v>3512</v>
      </c>
      <c r="C308" s="443" t="s">
        <v>3512</v>
      </c>
      <c r="D308" s="443"/>
      <c r="E308" s="443"/>
      <c r="F308" s="444" t="s">
        <v>4938</v>
      </c>
      <c r="G308" s="4"/>
      <c r="H308" s="640"/>
      <c r="I308" s="640" t="s">
        <v>625</v>
      </c>
      <c r="J308" s="653"/>
      <c r="K308" s="653"/>
      <c r="L308" s="653"/>
      <c r="M308" s="653"/>
      <c r="N308" s="653"/>
      <c r="O308" s="653"/>
      <c r="P308" s="653"/>
      <c r="Q308" s="640"/>
      <c r="R308" s="640" t="s">
        <v>3141</v>
      </c>
      <c r="S308" s="640" t="s">
        <v>4399</v>
      </c>
      <c r="T308" s="460"/>
      <c r="U308" s="640" t="s">
        <v>171</v>
      </c>
      <c r="V308" s="685">
        <f t="shared" si="11"/>
        <v>0</v>
      </c>
      <c r="W308" s="690"/>
      <c r="X308" s="690"/>
      <c r="Y308" s="690"/>
      <c r="Z308" s="690"/>
      <c r="AA308" s="690"/>
      <c r="AB308" s="690"/>
      <c r="AC308" s="690"/>
      <c r="AD308" s="690"/>
      <c r="AE308" s="690"/>
      <c r="AF308" s="690"/>
      <c r="AG308" s="690"/>
      <c r="AH308" s="690"/>
      <c r="AI308" s="690"/>
      <c r="AJ308" s="690"/>
      <c r="AK308" s="690"/>
      <c r="AL308" s="690"/>
      <c r="AM308" s="690"/>
      <c r="AN308" s="690"/>
      <c r="AO308" s="690"/>
      <c r="AP308" s="690"/>
    </row>
    <row r="309" spans="1:42" x14ac:dyDescent="0.25">
      <c r="A309" s="134">
        <f t="shared" si="10"/>
        <v>308</v>
      </c>
      <c r="B309" s="443" t="s">
        <v>3513</v>
      </c>
      <c r="C309" s="443" t="s">
        <v>3513</v>
      </c>
      <c r="D309" s="443"/>
      <c r="E309" s="443"/>
      <c r="F309" s="444" t="s">
        <v>4774</v>
      </c>
      <c r="G309" s="4"/>
      <c r="H309" s="640"/>
      <c r="I309" s="640" t="s">
        <v>625</v>
      </c>
      <c r="J309" s="653"/>
      <c r="K309" s="653"/>
      <c r="L309" s="653"/>
      <c r="M309" s="653"/>
      <c r="N309" s="653"/>
      <c r="O309" s="653"/>
      <c r="P309" s="653"/>
      <c r="Q309" s="640"/>
      <c r="R309" s="640" t="s">
        <v>3142</v>
      </c>
      <c r="S309" s="640" t="s">
        <v>4396</v>
      </c>
      <c r="T309" s="460"/>
      <c r="U309" s="640" t="s">
        <v>171</v>
      </c>
      <c r="V309" s="685">
        <f t="shared" si="11"/>
        <v>0</v>
      </c>
      <c r="W309" s="690"/>
      <c r="X309" s="690"/>
      <c r="Y309" s="690"/>
      <c r="Z309" s="690"/>
      <c r="AA309" s="690"/>
      <c r="AB309" s="690"/>
      <c r="AC309" s="690"/>
      <c r="AD309" s="690"/>
      <c r="AE309" s="690"/>
      <c r="AF309" s="690"/>
      <c r="AG309" s="690"/>
      <c r="AH309" s="690"/>
      <c r="AI309" s="690"/>
      <c r="AJ309" s="690"/>
      <c r="AK309" s="690"/>
      <c r="AL309" s="690"/>
      <c r="AM309" s="690"/>
      <c r="AN309" s="690"/>
      <c r="AO309" s="690"/>
      <c r="AP309" s="690"/>
    </row>
    <row r="310" spans="1:42" x14ac:dyDescent="0.25">
      <c r="A310" s="134">
        <f t="shared" si="10"/>
        <v>309</v>
      </c>
      <c r="B310" s="443" t="s">
        <v>3514</v>
      </c>
      <c r="C310" s="443" t="s">
        <v>3514</v>
      </c>
      <c r="D310" s="443"/>
      <c r="E310" s="443"/>
      <c r="F310" s="444" t="s">
        <v>4939</v>
      </c>
      <c r="G310" s="4"/>
      <c r="H310" s="640"/>
      <c r="I310" s="640" t="s">
        <v>625</v>
      </c>
      <c r="J310" s="653"/>
      <c r="K310" s="653"/>
      <c r="L310" s="653"/>
      <c r="M310" s="653"/>
      <c r="N310" s="653"/>
      <c r="O310" s="653"/>
      <c r="P310" s="653"/>
      <c r="Q310" s="640"/>
      <c r="R310" s="640" t="s">
        <v>3142</v>
      </c>
      <c r="S310" s="640" t="s">
        <v>4397</v>
      </c>
      <c r="T310" s="460"/>
      <c r="U310" s="640" t="s">
        <v>171</v>
      </c>
      <c r="V310" s="685">
        <f t="shared" si="11"/>
        <v>0</v>
      </c>
      <c r="W310" s="690"/>
      <c r="X310" s="690"/>
      <c r="Y310" s="690"/>
      <c r="Z310" s="690"/>
      <c r="AA310" s="690"/>
      <c r="AB310" s="690"/>
      <c r="AC310" s="690"/>
      <c r="AD310" s="690"/>
      <c r="AE310" s="690"/>
      <c r="AF310" s="690"/>
      <c r="AG310" s="690"/>
      <c r="AH310" s="690"/>
      <c r="AI310" s="690"/>
      <c r="AJ310" s="690"/>
      <c r="AK310" s="690"/>
      <c r="AL310" s="690"/>
      <c r="AM310" s="690"/>
      <c r="AN310" s="690"/>
      <c r="AO310" s="690"/>
      <c r="AP310" s="690"/>
    </row>
    <row r="311" spans="1:42" x14ac:dyDescent="0.25">
      <c r="A311" s="134">
        <f t="shared" si="10"/>
        <v>310</v>
      </c>
      <c r="B311" s="443" t="s">
        <v>3515</v>
      </c>
      <c r="C311" s="443" t="s">
        <v>3515</v>
      </c>
      <c r="D311" s="443"/>
      <c r="E311" s="443"/>
      <c r="F311" s="444" t="s">
        <v>4940</v>
      </c>
      <c r="G311" s="4"/>
      <c r="H311" s="640"/>
      <c r="I311" s="640" t="s">
        <v>625</v>
      </c>
      <c r="J311" s="653"/>
      <c r="K311" s="653"/>
      <c r="L311" s="653"/>
      <c r="M311" s="653"/>
      <c r="N311" s="653"/>
      <c r="O311" s="653"/>
      <c r="P311" s="653"/>
      <c r="Q311" s="640"/>
      <c r="R311" s="640" t="s">
        <v>3142</v>
      </c>
      <c r="S311" s="640" t="s">
        <v>4395</v>
      </c>
      <c r="T311" s="460"/>
      <c r="U311" s="640" t="s">
        <v>171</v>
      </c>
      <c r="V311" s="685">
        <f t="shared" si="11"/>
        <v>0</v>
      </c>
      <c r="W311" s="690"/>
      <c r="X311" s="690"/>
      <c r="Y311" s="690"/>
      <c r="Z311" s="690"/>
      <c r="AA311" s="690"/>
      <c r="AB311" s="690"/>
      <c r="AC311" s="690"/>
      <c r="AD311" s="690"/>
      <c r="AE311" s="690"/>
      <c r="AF311" s="690"/>
      <c r="AG311" s="690"/>
      <c r="AH311" s="690"/>
      <c r="AI311" s="690"/>
      <c r="AJ311" s="690"/>
      <c r="AK311" s="690"/>
      <c r="AL311" s="690"/>
      <c r="AM311" s="690"/>
      <c r="AN311" s="690"/>
      <c r="AO311" s="690"/>
      <c r="AP311" s="690"/>
    </row>
    <row r="312" spans="1:42" x14ac:dyDescent="0.25">
      <c r="A312" s="134">
        <f t="shared" si="10"/>
        <v>311</v>
      </c>
      <c r="B312" s="443" t="s">
        <v>3516</v>
      </c>
      <c r="C312" s="443" t="s">
        <v>3516</v>
      </c>
      <c r="D312" s="443"/>
      <c r="E312" s="443"/>
      <c r="F312" s="451" t="s">
        <v>4775</v>
      </c>
      <c r="G312" s="4"/>
      <c r="H312" s="640"/>
      <c r="I312" s="640" t="s">
        <v>625</v>
      </c>
      <c r="J312" s="653"/>
      <c r="K312" s="653"/>
      <c r="L312" s="653"/>
      <c r="M312" s="653"/>
      <c r="N312" s="653"/>
      <c r="O312" s="653"/>
      <c r="P312" s="653"/>
      <c r="Q312" s="640"/>
      <c r="R312" s="640" t="s">
        <v>3142</v>
      </c>
      <c r="S312" s="640" t="s">
        <v>4398</v>
      </c>
      <c r="T312" s="460"/>
      <c r="U312" s="640" t="s">
        <v>171</v>
      </c>
      <c r="V312" s="685">
        <f t="shared" si="11"/>
        <v>0</v>
      </c>
      <c r="W312" s="690"/>
      <c r="X312" s="690"/>
      <c r="Y312" s="690"/>
      <c r="Z312" s="690"/>
      <c r="AA312" s="690"/>
      <c r="AB312" s="690"/>
      <c r="AC312" s="690"/>
      <c r="AD312" s="690"/>
      <c r="AE312" s="690"/>
      <c r="AF312" s="690"/>
      <c r="AG312" s="690"/>
      <c r="AH312" s="690"/>
      <c r="AI312" s="690"/>
      <c r="AJ312" s="690"/>
      <c r="AK312" s="690"/>
      <c r="AL312" s="690"/>
      <c r="AM312" s="690"/>
      <c r="AN312" s="690"/>
      <c r="AO312" s="690"/>
      <c r="AP312" s="690"/>
    </row>
    <row r="313" spans="1:42" x14ac:dyDescent="0.25">
      <c r="A313" s="134">
        <f t="shared" si="10"/>
        <v>312</v>
      </c>
      <c r="B313" s="443" t="s">
        <v>3517</v>
      </c>
      <c r="C313" s="443" t="s">
        <v>3517</v>
      </c>
      <c r="D313" s="443"/>
      <c r="E313" s="443"/>
      <c r="F313" s="444" t="s">
        <v>4776</v>
      </c>
      <c r="G313" s="4"/>
      <c r="H313" s="640"/>
      <c r="I313" s="640" t="s">
        <v>625</v>
      </c>
      <c r="J313" s="653"/>
      <c r="K313" s="653"/>
      <c r="L313" s="653"/>
      <c r="M313" s="653"/>
      <c r="N313" s="653"/>
      <c r="O313" s="653"/>
      <c r="P313" s="653"/>
      <c r="Q313" s="640"/>
      <c r="R313" s="640" t="s">
        <v>3142</v>
      </c>
      <c r="S313" s="640" t="s">
        <v>4399</v>
      </c>
      <c r="T313" s="460"/>
      <c r="U313" s="640" t="s">
        <v>171</v>
      </c>
      <c r="V313" s="685">
        <f t="shared" si="11"/>
        <v>0</v>
      </c>
      <c r="W313" s="690"/>
      <c r="X313" s="690"/>
      <c r="Y313" s="690"/>
      <c r="Z313" s="690"/>
      <c r="AA313" s="690"/>
      <c r="AB313" s="690"/>
      <c r="AC313" s="690"/>
      <c r="AD313" s="690"/>
      <c r="AE313" s="690"/>
      <c r="AF313" s="690"/>
      <c r="AG313" s="690"/>
      <c r="AH313" s="690"/>
      <c r="AI313" s="690"/>
      <c r="AJ313" s="690"/>
      <c r="AK313" s="690"/>
      <c r="AL313" s="690"/>
      <c r="AM313" s="690"/>
      <c r="AN313" s="690"/>
      <c r="AO313" s="690"/>
      <c r="AP313" s="690"/>
    </row>
    <row r="314" spans="1:42" x14ac:dyDescent="0.25">
      <c r="A314" s="134">
        <f t="shared" si="10"/>
        <v>313</v>
      </c>
      <c r="B314" s="443" t="s">
        <v>3518</v>
      </c>
      <c r="C314" s="443" t="s">
        <v>3518</v>
      </c>
      <c r="D314" s="443"/>
      <c r="E314" s="443"/>
      <c r="F314" s="444" t="s">
        <v>4777</v>
      </c>
      <c r="G314" s="4"/>
      <c r="H314" s="640"/>
      <c r="I314" s="640" t="s">
        <v>625</v>
      </c>
      <c r="J314" s="653"/>
      <c r="K314" s="653"/>
      <c r="L314" s="653"/>
      <c r="M314" s="653"/>
      <c r="N314" s="653"/>
      <c r="O314" s="653"/>
      <c r="P314" s="653"/>
      <c r="Q314" s="640"/>
      <c r="R314" s="640" t="s">
        <v>3143</v>
      </c>
      <c r="S314" s="640" t="s">
        <v>4396</v>
      </c>
      <c r="T314" s="460"/>
      <c r="U314" s="640" t="s">
        <v>171</v>
      </c>
      <c r="V314" s="685">
        <f t="shared" si="11"/>
        <v>0</v>
      </c>
      <c r="W314" s="690"/>
      <c r="X314" s="690"/>
      <c r="Y314" s="690"/>
      <c r="Z314" s="690"/>
      <c r="AA314" s="690"/>
      <c r="AB314" s="690"/>
      <c r="AC314" s="690"/>
      <c r="AD314" s="690"/>
      <c r="AE314" s="690"/>
      <c r="AF314" s="690"/>
      <c r="AG314" s="690"/>
      <c r="AH314" s="690"/>
      <c r="AI314" s="690"/>
      <c r="AJ314" s="690"/>
      <c r="AK314" s="690"/>
      <c r="AL314" s="690"/>
      <c r="AM314" s="690"/>
      <c r="AN314" s="690"/>
      <c r="AO314" s="690"/>
      <c r="AP314" s="690"/>
    </row>
    <row r="315" spans="1:42" x14ac:dyDescent="0.25">
      <c r="A315" s="134">
        <f t="shared" si="10"/>
        <v>314</v>
      </c>
      <c r="B315" s="443" t="s">
        <v>3519</v>
      </c>
      <c r="C315" s="443" t="s">
        <v>3519</v>
      </c>
      <c r="D315" s="443"/>
      <c r="E315" s="443"/>
      <c r="F315" s="444" t="s">
        <v>4941</v>
      </c>
      <c r="G315" s="4"/>
      <c r="H315" s="640"/>
      <c r="I315" s="640" t="s">
        <v>625</v>
      </c>
      <c r="J315" s="653"/>
      <c r="K315" s="653"/>
      <c r="L315" s="653"/>
      <c r="M315" s="653"/>
      <c r="N315" s="653"/>
      <c r="O315" s="653"/>
      <c r="P315" s="653"/>
      <c r="Q315" s="640"/>
      <c r="R315" s="640" t="s">
        <v>3143</v>
      </c>
      <c r="S315" s="640" t="s">
        <v>4397</v>
      </c>
      <c r="T315" s="460"/>
      <c r="U315" s="640" t="s">
        <v>171</v>
      </c>
      <c r="V315" s="685">
        <f t="shared" si="11"/>
        <v>0</v>
      </c>
      <c r="W315" s="690"/>
      <c r="X315" s="690"/>
      <c r="Y315" s="690"/>
      <c r="Z315" s="690"/>
      <c r="AA315" s="690"/>
      <c r="AB315" s="690"/>
      <c r="AC315" s="690"/>
      <c r="AD315" s="690"/>
      <c r="AE315" s="690"/>
      <c r="AF315" s="690"/>
      <c r="AG315" s="690"/>
      <c r="AH315" s="690"/>
      <c r="AI315" s="690"/>
      <c r="AJ315" s="690"/>
      <c r="AK315" s="690"/>
      <c r="AL315" s="690"/>
      <c r="AM315" s="690"/>
      <c r="AN315" s="690"/>
      <c r="AO315" s="690"/>
      <c r="AP315" s="690"/>
    </row>
    <row r="316" spans="1:42" x14ac:dyDescent="0.25">
      <c r="A316" s="134">
        <f t="shared" si="10"/>
        <v>315</v>
      </c>
      <c r="B316" s="443" t="s">
        <v>3520</v>
      </c>
      <c r="C316" s="443" t="s">
        <v>3520</v>
      </c>
      <c r="D316" s="443"/>
      <c r="E316" s="443"/>
      <c r="F316" s="444" t="s">
        <v>4778</v>
      </c>
      <c r="G316" s="4"/>
      <c r="H316" s="640"/>
      <c r="I316" s="640" t="s">
        <v>625</v>
      </c>
      <c r="J316" s="653"/>
      <c r="K316" s="653"/>
      <c r="L316" s="653"/>
      <c r="M316" s="653"/>
      <c r="N316" s="653"/>
      <c r="O316" s="653"/>
      <c r="P316" s="653"/>
      <c r="Q316" s="640"/>
      <c r="R316" s="640" t="s">
        <v>3143</v>
      </c>
      <c r="S316" s="640" t="s">
        <v>4395</v>
      </c>
      <c r="T316" s="460"/>
      <c r="U316" s="640" t="s">
        <v>171</v>
      </c>
      <c r="V316" s="685">
        <f t="shared" si="11"/>
        <v>0</v>
      </c>
      <c r="W316" s="690"/>
      <c r="X316" s="690"/>
      <c r="Y316" s="690"/>
      <c r="Z316" s="690"/>
      <c r="AA316" s="690"/>
      <c r="AB316" s="690"/>
      <c r="AC316" s="690"/>
      <c r="AD316" s="690"/>
      <c r="AE316" s="690"/>
      <c r="AF316" s="690"/>
      <c r="AG316" s="690"/>
      <c r="AH316" s="690"/>
      <c r="AI316" s="690"/>
      <c r="AJ316" s="690"/>
      <c r="AK316" s="690"/>
      <c r="AL316" s="690"/>
      <c r="AM316" s="690"/>
      <c r="AN316" s="690"/>
      <c r="AO316" s="690"/>
      <c r="AP316" s="690"/>
    </row>
    <row r="317" spans="1:42" x14ac:dyDescent="0.25">
      <c r="A317" s="134">
        <f t="shared" si="10"/>
        <v>316</v>
      </c>
      <c r="B317" s="443" t="s">
        <v>3521</v>
      </c>
      <c r="C317" s="443" t="s">
        <v>3521</v>
      </c>
      <c r="D317" s="443"/>
      <c r="E317" s="443"/>
      <c r="F317" s="444" t="s">
        <v>4942</v>
      </c>
      <c r="G317" s="4"/>
      <c r="H317" s="640"/>
      <c r="I317" s="640" t="s">
        <v>625</v>
      </c>
      <c r="J317" s="653"/>
      <c r="K317" s="653"/>
      <c r="L317" s="653"/>
      <c r="M317" s="653"/>
      <c r="N317" s="653"/>
      <c r="O317" s="653" t="s">
        <v>7357</v>
      </c>
      <c r="P317" s="653"/>
      <c r="Q317" s="640"/>
      <c r="R317" s="640" t="s">
        <v>3143</v>
      </c>
      <c r="S317" s="640" t="s">
        <v>4398</v>
      </c>
      <c r="T317" s="460"/>
      <c r="U317" s="640" t="s">
        <v>171</v>
      </c>
      <c r="V317" s="685">
        <f t="shared" si="11"/>
        <v>0</v>
      </c>
      <c r="W317" s="690"/>
      <c r="X317" s="690"/>
      <c r="Y317" s="690"/>
      <c r="Z317" s="690"/>
      <c r="AA317" s="690"/>
      <c r="AB317" s="690"/>
      <c r="AC317" s="690"/>
      <c r="AD317" s="690"/>
      <c r="AE317" s="690"/>
      <c r="AF317" s="690"/>
      <c r="AG317" s="690"/>
      <c r="AH317" s="690"/>
      <c r="AI317" s="690"/>
      <c r="AJ317" s="690"/>
      <c r="AK317" s="690"/>
      <c r="AL317" s="690"/>
      <c r="AM317" s="690"/>
      <c r="AN317" s="690"/>
      <c r="AO317" s="690"/>
      <c r="AP317" s="690"/>
    </row>
    <row r="318" spans="1:42" x14ac:dyDescent="0.25">
      <c r="A318" s="134">
        <f t="shared" si="10"/>
        <v>317</v>
      </c>
      <c r="B318" s="443" t="s">
        <v>3522</v>
      </c>
      <c r="C318" s="443" t="s">
        <v>3522</v>
      </c>
      <c r="D318" s="443"/>
      <c r="E318" s="443"/>
      <c r="F318" s="444" t="s">
        <v>4779</v>
      </c>
      <c r="G318" s="4"/>
      <c r="H318" s="640"/>
      <c r="I318" s="640" t="s">
        <v>625</v>
      </c>
      <c r="J318" s="653"/>
      <c r="K318" s="653"/>
      <c r="L318" s="653"/>
      <c r="M318" s="653"/>
      <c r="N318" s="653"/>
      <c r="O318" s="653"/>
      <c r="P318" s="653"/>
      <c r="Q318" s="640"/>
      <c r="R318" s="640" t="s">
        <v>3143</v>
      </c>
      <c r="S318" s="640" t="s">
        <v>4399</v>
      </c>
      <c r="T318" s="460"/>
      <c r="U318" s="640" t="s">
        <v>171</v>
      </c>
      <c r="V318" s="685">
        <f t="shared" si="11"/>
        <v>0</v>
      </c>
      <c r="W318" s="690"/>
      <c r="X318" s="690"/>
      <c r="Y318" s="690"/>
      <c r="Z318" s="690"/>
      <c r="AA318" s="690"/>
      <c r="AB318" s="690"/>
      <c r="AC318" s="690"/>
      <c r="AD318" s="690"/>
      <c r="AE318" s="690"/>
      <c r="AF318" s="690"/>
      <c r="AG318" s="690"/>
      <c r="AH318" s="690"/>
      <c r="AI318" s="690"/>
      <c r="AJ318" s="690"/>
      <c r="AK318" s="690"/>
      <c r="AL318" s="690"/>
      <c r="AM318" s="690"/>
      <c r="AN318" s="690"/>
      <c r="AO318" s="690"/>
      <c r="AP318" s="690"/>
    </row>
    <row r="319" spans="1:42" x14ac:dyDescent="0.25">
      <c r="A319" s="134">
        <f t="shared" si="10"/>
        <v>318</v>
      </c>
      <c r="B319" s="443" t="s">
        <v>3523</v>
      </c>
      <c r="C319" s="443" t="s">
        <v>3523</v>
      </c>
      <c r="D319" s="443"/>
      <c r="E319" s="443"/>
      <c r="F319" s="444" t="s">
        <v>4780</v>
      </c>
      <c r="G319" s="4"/>
      <c r="H319" s="640"/>
      <c r="I319" s="640" t="s">
        <v>625</v>
      </c>
      <c r="J319" s="653"/>
      <c r="K319" s="653"/>
      <c r="L319" s="653"/>
      <c r="M319" s="653"/>
      <c r="N319" s="653"/>
      <c r="O319" s="653"/>
      <c r="P319" s="653"/>
      <c r="Q319" s="640"/>
      <c r="R319" s="640" t="s">
        <v>3144</v>
      </c>
      <c r="S319" s="640" t="s">
        <v>4396</v>
      </c>
      <c r="T319" s="460"/>
      <c r="U319" s="640" t="s">
        <v>171</v>
      </c>
      <c r="V319" s="685">
        <f t="shared" si="11"/>
        <v>0</v>
      </c>
      <c r="W319" s="690"/>
      <c r="X319" s="690"/>
      <c r="Y319" s="690"/>
      <c r="Z319" s="690"/>
      <c r="AA319" s="690"/>
      <c r="AB319" s="690"/>
      <c r="AC319" s="690"/>
      <c r="AD319" s="690"/>
      <c r="AE319" s="690"/>
      <c r="AF319" s="690"/>
      <c r="AG319" s="690"/>
      <c r="AH319" s="690"/>
      <c r="AI319" s="690"/>
      <c r="AJ319" s="690"/>
      <c r="AK319" s="690"/>
      <c r="AL319" s="690"/>
      <c r="AM319" s="690"/>
      <c r="AN319" s="690"/>
      <c r="AO319" s="690"/>
      <c r="AP319" s="690"/>
    </row>
    <row r="320" spans="1:42" x14ac:dyDescent="0.25">
      <c r="A320" s="134">
        <f t="shared" si="10"/>
        <v>319</v>
      </c>
      <c r="B320" s="443" t="s">
        <v>3524</v>
      </c>
      <c r="C320" s="443" t="s">
        <v>3524</v>
      </c>
      <c r="D320" s="443"/>
      <c r="E320" s="443"/>
      <c r="F320" s="444" t="s">
        <v>4943</v>
      </c>
      <c r="G320" s="4"/>
      <c r="H320" s="640"/>
      <c r="I320" s="640" t="s">
        <v>625</v>
      </c>
      <c r="J320" s="653"/>
      <c r="K320" s="653"/>
      <c r="L320" s="653"/>
      <c r="M320" s="653"/>
      <c r="N320" s="653"/>
      <c r="O320" s="653" t="s">
        <v>7357</v>
      </c>
      <c r="P320" s="653"/>
      <c r="Q320" s="640"/>
      <c r="R320" s="640" t="s">
        <v>3144</v>
      </c>
      <c r="S320" s="640" t="s">
        <v>4397</v>
      </c>
      <c r="T320" s="460"/>
      <c r="U320" s="640" t="s">
        <v>171</v>
      </c>
      <c r="V320" s="685">
        <f t="shared" si="11"/>
        <v>0</v>
      </c>
      <c r="W320" s="690"/>
      <c r="X320" s="690"/>
      <c r="Y320" s="690"/>
      <c r="Z320" s="690"/>
      <c r="AA320" s="690"/>
      <c r="AB320" s="690"/>
      <c r="AC320" s="690"/>
      <c r="AD320" s="690"/>
      <c r="AE320" s="690"/>
      <c r="AF320" s="690"/>
      <c r="AG320" s="690"/>
      <c r="AH320" s="690"/>
      <c r="AI320" s="690"/>
      <c r="AJ320" s="690"/>
      <c r="AK320" s="690"/>
      <c r="AL320" s="690"/>
      <c r="AM320" s="690"/>
      <c r="AN320" s="690"/>
      <c r="AO320" s="690"/>
      <c r="AP320" s="690"/>
    </row>
    <row r="321" spans="1:42" x14ac:dyDescent="0.25">
      <c r="A321" s="134">
        <f t="shared" si="10"/>
        <v>320</v>
      </c>
      <c r="B321" s="443" t="s">
        <v>3525</v>
      </c>
      <c r="C321" s="443" t="s">
        <v>3525</v>
      </c>
      <c r="D321" s="443"/>
      <c r="E321" s="443"/>
      <c r="F321" s="444" t="s">
        <v>4944</v>
      </c>
      <c r="G321" s="4"/>
      <c r="H321" s="640"/>
      <c r="I321" s="640" t="s">
        <v>625</v>
      </c>
      <c r="J321" s="653"/>
      <c r="K321" s="653"/>
      <c r="L321" s="653"/>
      <c r="M321" s="653"/>
      <c r="N321" s="653"/>
      <c r="O321" s="653"/>
      <c r="P321" s="653"/>
      <c r="Q321" s="640"/>
      <c r="R321" s="640" t="s">
        <v>3144</v>
      </c>
      <c r="S321" s="640" t="s">
        <v>4395</v>
      </c>
      <c r="T321" s="460"/>
      <c r="U321" s="640" t="s">
        <v>171</v>
      </c>
      <c r="V321" s="685">
        <f t="shared" si="11"/>
        <v>0</v>
      </c>
      <c r="W321" s="690"/>
      <c r="X321" s="690"/>
      <c r="Y321" s="690"/>
      <c r="Z321" s="690"/>
      <c r="AA321" s="690"/>
      <c r="AB321" s="690"/>
      <c r="AC321" s="690"/>
      <c r="AD321" s="690"/>
      <c r="AE321" s="690"/>
      <c r="AF321" s="690"/>
      <c r="AG321" s="690"/>
      <c r="AH321" s="690"/>
      <c r="AI321" s="690"/>
      <c r="AJ321" s="690"/>
      <c r="AK321" s="690"/>
      <c r="AL321" s="690"/>
      <c r="AM321" s="690"/>
      <c r="AN321" s="690"/>
      <c r="AO321" s="690"/>
      <c r="AP321" s="690"/>
    </row>
    <row r="322" spans="1:42" x14ac:dyDescent="0.25">
      <c r="A322" s="134">
        <f t="shared" si="10"/>
        <v>321</v>
      </c>
      <c r="B322" s="443" t="s">
        <v>3526</v>
      </c>
      <c r="C322" s="443" t="s">
        <v>3526</v>
      </c>
      <c r="D322" s="443"/>
      <c r="E322" s="443"/>
      <c r="F322" s="444" t="s">
        <v>4781</v>
      </c>
      <c r="G322" s="4"/>
      <c r="H322" s="640"/>
      <c r="I322" s="640" t="s">
        <v>625</v>
      </c>
      <c r="J322" s="653"/>
      <c r="K322" s="653"/>
      <c r="L322" s="653"/>
      <c r="M322" s="653"/>
      <c r="N322" s="653"/>
      <c r="O322" s="653"/>
      <c r="P322" s="653"/>
      <c r="Q322" s="640"/>
      <c r="R322" s="640" t="s">
        <v>3144</v>
      </c>
      <c r="S322" s="640" t="s">
        <v>4398</v>
      </c>
      <c r="T322" s="460"/>
      <c r="U322" s="640" t="s">
        <v>171</v>
      </c>
      <c r="V322" s="685">
        <f t="shared" si="11"/>
        <v>0</v>
      </c>
      <c r="W322" s="690"/>
      <c r="X322" s="690"/>
      <c r="Y322" s="690"/>
      <c r="Z322" s="690"/>
      <c r="AA322" s="690"/>
      <c r="AB322" s="690"/>
      <c r="AC322" s="690"/>
      <c r="AD322" s="690"/>
      <c r="AE322" s="690"/>
      <c r="AF322" s="690"/>
      <c r="AG322" s="690"/>
      <c r="AH322" s="690"/>
      <c r="AI322" s="690"/>
      <c r="AJ322" s="690"/>
      <c r="AK322" s="690"/>
      <c r="AL322" s="690"/>
      <c r="AM322" s="690"/>
      <c r="AN322" s="690"/>
      <c r="AO322" s="690"/>
      <c r="AP322" s="690"/>
    </row>
    <row r="323" spans="1:42" x14ac:dyDescent="0.25">
      <c r="A323" s="134">
        <f t="shared" ref="A323:A386" si="12">IF(B323="","",1+A322)</f>
        <v>322</v>
      </c>
      <c r="B323" s="443" t="s">
        <v>3527</v>
      </c>
      <c r="C323" s="443" t="s">
        <v>3527</v>
      </c>
      <c r="D323" s="443"/>
      <c r="E323" s="443"/>
      <c r="F323" s="444" t="s">
        <v>4945</v>
      </c>
      <c r="G323" s="4"/>
      <c r="H323" s="640"/>
      <c r="I323" s="640" t="s">
        <v>625</v>
      </c>
      <c r="J323" s="653"/>
      <c r="K323" s="653"/>
      <c r="L323" s="653"/>
      <c r="M323" s="653"/>
      <c r="N323" s="653"/>
      <c r="O323" s="653"/>
      <c r="P323" s="653"/>
      <c r="Q323" s="640"/>
      <c r="R323" s="640" t="s">
        <v>3144</v>
      </c>
      <c r="S323" s="640" t="s">
        <v>4399</v>
      </c>
      <c r="T323" s="460"/>
      <c r="U323" s="640" t="s">
        <v>171</v>
      </c>
      <c r="V323" s="685">
        <f t="shared" ref="V323:V386" si="13">COUNTA(W323:AP323)</f>
        <v>0</v>
      </c>
      <c r="W323" s="690"/>
      <c r="X323" s="690"/>
      <c r="Y323" s="690"/>
      <c r="Z323" s="690"/>
      <c r="AA323" s="690"/>
      <c r="AB323" s="690"/>
      <c r="AC323" s="690"/>
      <c r="AD323" s="690"/>
      <c r="AE323" s="690"/>
      <c r="AF323" s="690"/>
      <c r="AG323" s="690"/>
      <c r="AH323" s="690"/>
      <c r="AI323" s="690"/>
      <c r="AJ323" s="690"/>
      <c r="AK323" s="690"/>
      <c r="AL323" s="690"/>
      <c r="AM323" s="690"/>
      <c r="AN323" s="690"/>
      <c r="AO323" s="690"/>
      <c r="AP323" s="690"/>
    </row>
    <row r="324" spans="1:42" x14ac:dyDescent="0.25">
      <c r="A324" s="134">
        <f t="shared" si="12"/>
        <v>323</v>
      </c>
      <c r="B324" s="443" t="s">
        <v>3528</v>
      </c>
      <c r="C324" s="443" t="s">
        <v>3528</v>
      </c>
      <c r="D324" s="443"/>
      <c r="E324" s="443"/>
      <c r="F324" s="444" t="s">
        <v>4782</v>
      </c>
      <c r="G324" s="4"/>
      <c r="H324" s="640"/>
      <c r="I324" s="640" t="s">
        <v>625</v>
      </c>
      <c r="J324" s="653"/>
      <c r="K324" s="653"/>
      <c r="L324" s="653"/>
      <c r="M324" s="653"/>
      <c r="N324" s="653"/>
      <c r="O324" s="653"/>
      <c r="P324" s="653"/>
      <c r="Q324" s="640"/>
      <c r="R324" s="640" t="s">
        <v>3145</v>
      </c>
      <c r="S324" s="640" t="s">
        <v>4396</v>
      </c>
      <c r="T324" s="460"/>
      <c r="U324" s="640" t="s">
        <v>171</v>
      </c>
      <c r="V324" s="685">
        <f t="shared" si="13"/>
        <v>0</v>
      </c>
      <c r="W324" s="690"/>
      <c r="X324" s="690"/>
      <c r="Y324" s="690"/>
      <c r="Z324" s="690"/>
      <c r="AA324" s="690"/>
      <c r="AB324" s="690"/>
      <c r="AC324" s="690"/>
      <c r="AD324" s="690"/>
      <c r="AE324" s="690"/>
      <c r="AF324" s="690"/>
      <c r="AG324" s="690"/>
      <c r="AH324" s="690"/>
      <c r="AI324" s="690"/>
      <c r="AJ324" s="690"/>
      <c r="AK324" s="690"/>
      <c r="AL324" s="690"/>
      <c r="AM324" s="690"/>
      <c r="AN324" s="690"/>
      <c r="AO324" s="690"/>
      <c r="AP324" s="690"/>
    </row>
    <row r="325" spans="1:42" x14ac:dyDescent="0.25">
      <c r="A325" s="134">
        <f t="shared" si="12"/>
        <v>324</v>
      </c>
      <c r="B325" s="443" t="s">
        <v>3529</v>
      </c>
      <c r="C325" s="443" t="s">
        <v>3529</v>
      </c>
      <c r="D325" s="443"/>
      <c r="E325" s="443"/>
      <c r="F325" s="444" t="s">
        <v>4783</v>
      </c>
      <c r="G325" s="4"/>
      <c r="H325" s="640"/>
      <c r="I325" s="640" t="s">
        <v>625</v>
      </c>
      <c r="J325" s="653"/>
      <c r="K325" s="653"/>
      <c r="L325" s="653"/>
      <c r="M325" s="653"/>
      <c r="N325" s="653"/>
      <c r="O325" s="653"/>
      <c r="P325" s="653"/>
      <c r="Q325" s="640"/>
      <c r="R325" s="640" t="s">
        <v>3145</v>
      </c>
      <c r="S325" s="640" t="s">
        <v>4397</v>
      </c>
      <c r="T325" s="460"/>
      <c r="U325" s="640" t="s">
        <v>171</v>
      </c>
      <c r="V325" s="685">
        <f t="shared" si="13"/>
        <v>0</v>
      </c>
      <c r="W325" s="690"/>
      <c r="X325" s="690"/>
      <c r="Y325" s="690"/>
      <c r="Z325" s="690"/>
      <c r="AA325" s="690"/>
      <c r="AB325" s="690"/>
      <c r="AC325" s="690"/>
      <c r="AD325" s="690"/>
      <c r="AE325" s="690"/>
      <c r="AF325" s="690"/>
      <c r="AG325" s="690"/>
      <c r="AH325" s="690"/>
      <c r="AI325" s="690"/>
      <c r="AJ325" s="690"/>
      <c r="AK325" s="690"/>
      <c r="AL325" s="690"/>
      <c r="AM325" s="690"/>
      <c r="AN325" s="690"/>
      <c r="AO325" s="690"/>
      <c r="AP325" s="690"/>
    </row>
    <row r="326" spans="1:42" x14ac:dyDescent="0.25">
      <c r="A326" s="134">
        <f t="shared" si="12"/>
        <v>325</v>
      </c>
      <c r="B326" s="443" t="s">
        <v>3530</v>
      </c>
      <c r="C326" s="443" t="s">
        <v>3530</v>
      </c>
      <c r="D326" s="443"/>
      <c r="E326" s="443"/>
      <c r="F326" s="451" t="s">
        <v>4784</v>
      </c>
      <c r="G326" s="4"/>
      <c r="H326" s="640"/>
      <c r="I326" s="640" t="s">
        <v>625</v>
      </c>
      <c r="J326" s="653"/>
      <c r="K326" s="653"/>
      <c r="L326" s="653"/>
      <c r="M326" s="653"/>
      <c r="N326" s="653"/>
      <c r="O326" s="653"/>
      <c r="P326" s="653"/>
      <c r="Q326" s="640"/>
      <c r="R326" s="640" t="s">
        <v>3145</v>
      </c>
      <c r="S326" s="640" t="s">
        <v>4395</v>
      </c>
      <c r="T326" s="460"/>
      <c r="U326" s="640" t="s">
        <v>171</v>
      </c>
      <c r="V326" s="685">
        <f t="shared" si="13"/>
        <v>0</v>
      </c>
      <c r="W326" s="690"/>
      <c r="X326" s="690"/>
      <c r="Y326" s="690"/>
      <c r="Z326" s="690"/>
      <c r="AA326" s="690"/>
      <c r="AB326" s="690"/>
      <c r="AC326" s="690"/>
      <c r="AD326" s="690"/>
      <c r="AE326" s="690"/>
      <c r="AF326" s="690"/>
      <c r="AG326" s="690"/>
      <c r="AH326" s="690"/>
      <c r="AI326" s="690"/>
      <c r="AJ326" s="690"/>
      <c r="AK326" s="690"/>
      <c r="AL326" s="690"/>
      <c r="AM326" s="690"/>
      <c r="AN326" s="690"/>
      <c r="AO326" s="690"/>
      <c r="AP326" s="690"/>
    </row>
    <row r="327" spans="1:42" x14ac:dyDescent="0.25">
      <c r="A327" s="134">
        <f t="shared" si="12"/>
        <v>326</v>
      </c>
      <c r="B327" s="443" t="s">
        <v>3531</v>
      </c>
      <c r="C327" s="443" t="s">
        <v>3531</v>
      </c>
      <c r="D327" s="443"/>
      <c r="E327" s="443"/>
      <c r="F327" s="452" t="s">
        <v>4785</v>
      </c>
      <c r="G327" s="4"/>
      <c r="H327" s="640"/>
      <c r="I327" s="640" t="s">
        <v>625</v>
      </c>
      <c r="J327" s="653"/>
      <c r="K327" s="653"/>
      <c r="L327" s="653"/>
      <c r="M327" s="653"/>
      <c r="N327" s="653"/>
      <c r="O327" s="653"/>
      <c r="P327" s="653"/>
      <c r="Q327" s="640"/>
      <c r="R327" s="640" t="s">
        <v>3145</v>
      </c>
      <c r="S327" s="640" t="s">
        <v>4398</v>
      </c>
      <c r="T327" s="460"/>
      <c r="U327" s="640" t="s">
        <v>171</v>
      </c>
      <c r="V327" s="685">
        <f t="shared" si="13"/>
        <v>0</v>
      </c>
      <c r="W327" s="690"/>
      <c r="X327" s="690"/>
      <c r="Y327" s="690"/>
      <c r="Z327" s="690"/>
      <c r="AA327" s="690"/>
      <c r="AB327" s="690"/>
      <c r="AC327" s="690"/>
      <c r="AD327" s="690"/>
      <c r="AE327" s="690"/>
      <c r="AF327" s="690"/>
      <c r="AG327" s="690"/>
      <c r="AH327" s="690"/>
      <c r="AI327" s="690"/>
      <c r="AJ327" s="690"/>
      <c r="AK327" s="690"/>
      <c r="AL327" s="690"/>
      <c r="AM327" s="690"/>
      <c r="AN327" s="690"/>
      <c r="AO327" s="690"/>
      <c r="AP327" s="690"/>
    </row>
    <row r="328" spans="1:42" x14ac:dyDescent="0.25">
      <c r="A328" s="134">
        <f t="shared" si="12"/>
        <v>327</v>
      </c>
      <c r="B328" s="443" t="s">
        <v>3532</v>
      </c>
      <c r="C328" s="443" t="s">
        <v>3532</v>
      </c>
      <c r="D328" s="443"/>
      <c r="E328" s="443"/>
      <c r="F328" s="444" t="s">
        <v>4946</v>
      </c>
      <c r="G328" s="4"/>
      <c r="H328" s="640"/>
      <c r="I328" s="640" t="s">
        <v>625</v>
      </c>
      <c r="J328" s="653"/>
      <c r="K328" s="653"/>
      <c r="L328" s="653"/>
      <c r="M328" s="653"/>
      <c r="N328" s="653"/>
      <c r="O328" s="653"/>
      <c r="P328" s="653"/>
      <c r="Q328" s="640"/>
      <c r="R328" s="640" t="s">
        <v>3145</v>
      </c>
      <c r="S328" s="640" t="s">
        <v>4399</v>
      </c>
      <c r="T328" s="460"/>
      <c r="U328" s="640" t="s">
        <v>171</v>
      </c>
      <c r="V328" s="685">
        <f t="shared" si="13"/>
        <v>0</v>
      </c>
      <c r="W328" s="690"/>
      <c r="X328" s="690"/>
      <c r="Y328" s="690"/>
      <c r="Z328" s="690"/>
      <c r="AA328" s="690"/>
      <c r="AB328" s="690"/>
      <c r="AC328" s="690"/>
      <c r="AD328" s="690"/>
      <c r="AE328" s="690"/>
      <c r="AF328" s="690"/>
      <c r="AG328" s="690"/>
      <c r="AH328" s="690"/>
      <c r="AI328" s="690"/>
      <c r="AJ328" s="690"/>
      <c r="AK328" s="690"/>
      <c r="AL328" s="690"/>
      <c r="AM328" s="690"/>
      <c r="AN328" s="690"/>
      <c r="AO328" s="690"/>
      <c r="AP328" s="690"/>
    </row>
    <row r="329" spans="1:42" x14ac:dyDescent="0.25">
      <c r="A329" s="134">
        <f t="shared" si="12"/>
        <v>328</v>
      </c>
      <c r="B329" s="443" t="s">
        <v>3533</v>
      </c>
      <c r="C329" s="443" t="s">
        <v>3533</v>
      </c>
      <c r="D329" s="443"/>
      <c r="E329" s="443"/>
      <c r="F329" s="444" t="s">
        <v>4786</v>
      </c>
      <c r="G329" s="4"/>
      <c r="H329" s="640"/>
      <c r="I329" s="640" t="s">
        <v>625</v>
      </c>
      <c r="J329" s="653"/>
      <c r="K329" s="653"/>
      <c r="L329" s="653"/>
      <c r="M329" s="653"/>
      <c r="N329" s="653"/>
      <c r="O329" s="653"/>
      <c r="P329" s="653"/>
      <c r="Q329" s="640"/>
      <c r="R329" s="640" t="s">
        <v>3146</v>
      </c>
      <c r="S329" s="640" t="s">
        <v>4396</v>
      </c>
      <c r="T329" s="460"/>
      <c r="U329" s="640" t="s">
        <v>171</v>
      </c>
      <c r="V329" s="685">
        <f t="shared" si="13"/>
        <v>0</v>
      </c>
      <c r="W329" s="690"/>
      <c r="X329" s="690"/>
      <c r="Y329" s="690"/>
      <c r="Z329" s="690"/>
      <c r="AA329" s="690"/>
      <c r="AB329" s="690"/>
      <c r="AC329" s="690"/>
      <c r="AD329" s="690"/>
      <c r="AE329" s="690"/>
      <c r="AF329" s="690"/>
      <c r="AG329" s="690"/>
      <c r="AH329" s="690"/>
      <c r="AI329" s="690"/>
      <c r="AJ329" s="690"/>
      <c r="AK329" s="690"/>
      <c r="AL329" s="690"/>
      <c r="AM329" s="690"/>
      <c r="AN329" s="690"/>
      <c r="AO329" s="690"/>
      <c r="AP329" s="690"/>
    </row>
    <row r="330" spans="1:42" x14ac:dyDescent="0.25">
      <c r="A330" s="134">
        <f t="shared" si="12"/>
        <v>329</v>
      </c>
      <c r="B330" s="443" t="s">
        <v>3534</v>
      </c>
      <c r="C330" s="443" t="s">
        <v>3534</v>
      </c>
      <c r="D330" s="443"/>
      <c r="E330" s="443"/>
      <c r="F330" s="444" t="s">
        <v>4947</v>
      </c>
      <c r="G330" s="4"/>
      <c r="H330" s="640"/>
      <c r="I330" s="640" t="s">
        <v>625</v>
      </c>
      <c r="J330" s="653"/>
      <c r="K330" s="653"/>
      <c r="L330" s="653"/>
      <c r="M330" s="653"/>
      <c r="N330" s="653"/>
      <c r="O330" s="653"/>
      <c r="P330" s="653"/>
      <c r="Q330" s="640"/>
      <c r="R330" s="640" t="s">
        <v>3146</v>
      </c>
      <c r="S330" s="640" t="s">
        <v>4397</v>
      </c>
      <c r="T330" s="460"/>
      <c r="U330" s="640" t="s">
        <v>171</v>
      </c>
      <c r="V330" s="685">
        <f t="shared" si="13"/>
        <v>0</v>
      </c>
      <c r="W330" s="690"/>
      <c r="X330" s="690"/>
      <c r="Y330" s="690"/>
      <c r="Z330" s="690"/>
      <c r="AA330" s="690"/>
      <c r="AB330" s="690"/>
      <c r="AC330" s="690"/>
      <c r="AD330" s="690"/>
      <c r="AE330" s="690"/>
      <c r="AF330" s="690"/>
      <c r="AG330" s="690"/>
      <c r="AH330" s="690"/>
      <c r="AI330" s="690"/>
      <c r="AJ330" s="690"/>
      <c r="AK330" s="690"/>
      <c r="AL330" s="690"/>
      <c r="AM330" s="690"/>
      <c r="AN330" s="690"/>
      <c r="AO330" s="690"/>
      <c r="AP330" s="690"/>
    </row>
    <row r="331" spans="1:42" x14ac:dyDescent="0.25">
      <c r="A331" s="134">
        <f t="shared" si="12"/>
        <v>330</v>
      </c>
      <c r="B331" s="443" t="s">
        <v>3535</v>
      </c>
      <c r="C331" s="443" t="s">
        <v>3535</v>
      </c>
      <c r="D331" s="443"/>
      <c r="E331" s="443"/>
      <c r="F331" s="444" t="s">
        <v>4787</v>
      </c>
      <c r="G331" s="4"/>
      <c r="H331" s="640"/>
      <c r="I331" s="640" t="s">
        <v>625</v>
      </c>
      <c r="J331" s="653"/>
      <c r="K331" s="653"/>
      <c r="L331" s="653"/>
      <c r="M331" s="653"/>
      <c r="N331" s="653"/>
      <c r="O331" s="653"/>
      <c r="P331" s="653"/>
      <c r="Q331" s="640"/>
      <c r="R331" s="640" t="s">
        <v>3146</v>
      </c>
      <c r="S331" s="640" t="s">
        <v>4395</v>
      </c>
      <c r="T331" s="460"/>
      <c r="U331" s="640" t="s">
        <v>171</v>
      </c>
      <c r="V331" s="685">
        <f t="shared" si="13"/>
        <v>0</v>
      </c>
      <c r="W331" s="690"/>
      <c r="X331" s="690"/>
      <c r="Y331" s="690"/>
      <c r="Z331" s="690"/>
      <c r="AA331" s="690"/>
      <c r="AB331" s="690"/>
      <c r="AC331" s="690"/>
      <c r="AD331" s="690"/>
      <c r="AE331" s="690"/>
      <c r="AF331" s="690"/>
      <c r="AG331" s="690"/>
      <c r="AH331" s="690"/>
      <c r="AI331" s="690"/>
      <c r="AJ331" s="690"/>
      <c r="AK331" s="690"/>
      <c r="AL331" s="690"/>
      <c r="AM331" s="690"/>
      <c r="AN331" s="690"/>
      <c r="AO331" s="690"/>
      <c r="AP331" s="690"/>
    </row>
    <row r="332" spans="1:42" x14ac:dyDescent="0.25">
      <c r="A332" s="134">
        <f t="shared" si="12"/>
        <v>331</v>
      </c>
      <c r="B332" s="443" t="s">
        <v>3536</v>
      </c>
      <c r="C332" s="443" t="s">
        <v>3536</v>
      </c>
      <c r="D332" s="443"/>
      <c r="E332" s="443"/>
      <c r="F332" s="444" t="s">
        <v>4948</v>
      </c>
      <c r="G332" s="4"/>
      <c r="H332" s="640"/>
      <c r="I332" s="640" t="s">
        <v>625</v>
      </c>
      <c r="J332" s="653"/>
      <c r="K332" s="653"/>
      <c r="L332" s="653"/>
      <c r="M332" s="653"/>
      <c r="N332" s="653"/>
      <c r="O332" s="653" t="s">
        <v>7357</v>
      </c>
      <c r="P332" s="653"/>
      <c r="Q332" s="640"/>
      <c r="R332" s="640" t="s">
        <v>3146</v>
      </c>
      <c r="S332" s="640" t="s">
        <v>4398</v>
      </c>
      <c r="T332" s="460"/>
      <c r="U332" s="640" t="s">
        <v>171</v>
      </c>
      <c r="V332" s="685">
        <f t="shared" si="13"/>
        <v>0</v>
      </c>
      <c r="W332" s="690"/>
      <c r="X332" s="690"/>
      <c r="Y332" s="690"/>
      <c r="Z332" s="690"/>
      <c r="AA332" s="690"/>
      <c r="AB332" s="690"/>
      <c r="AC332" s="690"/>
      <c r="AD332" s="690"/>
      <c r="AE332" s="690"/>
      <c r="AF332" s="690"/>
      <c r="AG332" s="690"/>
      <c r="AH332" s="690"/>
      <c r="AI332" s="690"/>
      <c r="AJ332" s="690"/>
      <c r="AK332" s="690"/>
      <c r="AL332" s="690"/>
      <c r="AM332" s="690"/>
      <c r="AN332" s="690"/>
      <c r="AO332" s="690"/>
      <c r="AP332" s="690"/>
    </row>
    <row r="333" spans="1:42" x14ac:dyDescent="0.25">
      <c r="A333" s="134">
        <f t="shared" si="12"/>
        <v>332</v>
      </c>
      <c r="B333" s="443" t="s">
        <v>3537</v>
      </c>
      <c r="C333" s="443" t="s">
        <v>3537</v>
      </c>
      <c r="D333" s="443"/>
      <c r="E333" s="443"/>
      <c r="F333" s="444" t="s">
        <v>4949</v>
      </c>
      <c r="G333" s="4"/>
      <c r="H333" s="640"/>
      <c r="I333" s="640" t="s">
        <v>625</v>
      </c>
      <c r="J333" s="653"/>
      <c r="K333" s="653"/>
      <c r="L333" s="653"/>
      <c r="M333" s="653"/>
      <c r="N333" s="653"/>
      <c r="O333" s="653"/>
      <c r="P333" s="653"/>
      <c r="Q333" s="640"/>
      <c r="R333" s="640" t="s">
        <v>3146</v>
      </c>
      <c r="S333" s="640" t="s">
        <v>4399</v>
      </c>
      <c r="T333" s="460"/>
      <c r="U333" s="640" t="s">
        <v>171</v>
      </c>
      <c r="V333" s="685">
        <f t="shared" si="13"/>
        <v>0</v>
      </c>
      <c r="W333" s="690"/>
      <c r="X333" s="690"/>
      <c r="Y333" s="690"/>
      <c r="Z333" s="690"/>
      <c r="AA333" s="690"/>
      <c r="AB333" s="690"/>
      <c r="AC333" s="690"/>
      <c r="AD333" s="690"/>
      <c r="AE333" s="690"/>
      <c r="AF333" s="690"/>
      <c r="AG333" s="690"/>
      <c r="AH333" s="690"/>
      <c r="AI333" s="690"/>
      <c r="AJ333" s="690"/>
      <c r="AK333" s="690"/>
      <c r="AL333" s="690"/>
      <c r="AM333" s="690"/>
      <c r="AN333" s="690"/>
      <c r="AO333" s="690"/>
      <c r="AP333" s="690"/>
    </row>
    <row r="334" spans="1:42" x14ac:dyDescent="0.25">
      <c r="A334" s="134">
        <f t="shared" si="12"/>
        <v>333</v>
      </c>
      <c r="B334" s="443" t="s">
        <v>3538</v>
      </c>
      <c r="C334" s="443" t="s">
        <v>3538</v>
      </c>
      <c r="D334" s="443"/>
      <c r="E334" s="443"/>
      <c r="F334" s="444" t="s">
        <v>4788</v>
      </c>
      <c r="G334" s="4"/>
      <c r="H334" s="640"/>
      <c r="I334" s="640" t="s">
        <v>625</v>
      </c>
      <c r="J334" s="653"/>
      <c r="K334" s="653"/>
      <c r="L334" s="653"/>
      <c r="M334" s="653"/>
      <c r="N334" s="653"/>
      <c r="O334" s="653"/>
      <c r="P334" s="653"/>
      <c r="Q334" s="640"/>
      <c r="R334" s="640" t="s">
        <v>3147</v>
      </c>
      <c r="S334" s="640" t="s">
        <v>4396</v>
      </c>
      <c r="T334" s="460"/>
      <c r="U334" s="640" t="s">
        <v>171</v>
      </c>
      <c r="V334" s="685">
        <f t="shared" si="13"/>
        <v>0</v>
      </c>
      <c r="W334" s="690"/>
      <c r="X334" s="690"/>
      <c r="Y334" s="690"/>
      <c r="Z334" s="690"/>
      <c r="AA334" s="690"/>
      <c r="AB334" s="690"/>
      <c r="AC334" s="690"/>
      <c r="AD334" s="690"/>
      <c r="AE334" s="690"/>
      <c r="AF334" s="690"/>
      <c r="AG334" s="690"/>
      <c r="AH334" s="690"/>
      <c r="AI334" s="690"/>
      <c r="AJ334" s="690"/>
      <c r="AK334" s="690"/>
      <c r="AL334" s="690"/>
      <c r="AM334" s="690"/>
      <c r="AN334" s="690"/>
      <c r="AO334" s="690"/>
      <c r="AP334" s="690"/>
    </row>
    <row r="335" spans="1:42" x14ac:dyDescent="0.25">
      <c r="A335" s="134">
        <f t="shared" si="12"/>
        <v>334</v>
      </c>
      <c r="B335" s="443" t="s">
        <v>3539</v>
      </c>
      <c r="C335" s="443" t="s">
        <v>3539</v>
      </c>
      <c r="D335" s="443"/>
      <c r="E335" s="443"/>
      <c r="F335" s="444" t="s">
        <v>4789</v>
      </c>
      <c r="G335" s="4"/>
      <c r="H335" s="640"/>
      <c r="I335" s="640" t="s">
        <v>625</v>
      </c>
      <c r="J335" s="653"/>
      <c r="K335" s="653"/>
      <c r="L335" s="653"/>
      <c r="M335" s="653"/>
      <c r="N335" s="653"/>
      <c r="O335" s="653"/>
      <c r="P335" s="653"/>
      <c r="Q335" s="640"/>
      <c r="R335" s="640" t="s">
        <v>3147</v>
      </c>
      <c r="S335" s="640" t="s">
        <v>4397</v>
      </c>
      <c r="T335" s="460"/>
      <c r="U335" s="640" t="s">
        <v>171</v>
      </c>
      <c r="V335" s="685">
        <f t="shared" si="13"/>
        <v>0</v>
      </c>
      <c r="W335" s="690"/>
      <c r="X335" s="690"/>
      <c r="Y335" s="690"/>
      <c r="Z335" s="690"/>
      <c r="AA335" s="690"/>
      <c r="AB335" s="690"/>
      <c r="AC335" s="690"/>
      <c r="AD335" s="690"/>
      <c r="AE335" s="690"/>
      <c r="AF335" s="690"/>
      <c r="AG335" s="690"/>
      <c r="AH335" s="690"/>
      <c r="AI335" s="690"/>
      <c r="AJ335" s="690"/>
      <c r="AK335" s="690"/>
      <c r="AL335" s="690"/>
      <c r="AM335" s="690"/>
      <c r="AN335" s="690"/>
      <c r="AO335" s="690"/>
      <c r="AP335" s="690"/>
    </row>
    <row r="336" spans="1:42" x14ac:dyDescent="0.25">
      <c r="A336" s="134">
        <f t="shared" si="12"/>
        <v>335</v>
      </c>
      <c r="B336" s="443" t="s">
        <v>3540</v>
      </c>
      <c r="C336" s="443" t="s">
        <v>3540</v>
      </c>
      <c r="D336" s="443"/>
      <c r="E336" s="443"/>
      <c r="F336" s="444" t="s">
        <v>4950</v>
      </c>
      <c r="G336" s="4"/>
      <c r="H336" s="640"/>
      <c r="I336" s="640" t="s">
        <v>625</v>
      </c>
      <c r="J336" s="653"/>
      <c r="K336" s="653"/>
      <c r="L336" s="653"/>
      <c r="M336" s="653"/>
      <c r="N336" s="653"/>
      <c r="O336" s="653"/>
      <c r="P336" s="653"/>
      <c r="Q336" s="640"/>
      <c r="R336" s="640" t="s">
        <v>3147</v>
      </c>
      <c r="S336" s="640" t="s">
        <v>4395</v>
      </c>
      <c r="T336" s="460"/>
      <c r="U336" s="640" t="s">
        <v>171</v>
      </c>
      <c r="V336" s="685">
        <f t="shared" si="13"/>
        <v>0</v>
      </c>
      <c r="W336" s="690"/>
      <c r="X336" s="690"/>
      <c r="Y336" s="690"/>
      <c r="Z336" s="690"/>
      <c r="AA336" s="690"/>
      <c r="AB336" s="690"/>
      <c r="AC336" s="690"/>
      <c r="AD336" s="690"/>
      <c r="AE336" s="690"/>
      <c r="AF336" s="690"/>
      <c r="AG336" s="690"/>
      <c r="AH336" s="690"/>
      <c r="AI336" s="690"/>
      <c r="AJ336" s="690"/>
      <c r="AK336" s="690"/>
      <c r="AL336" s="690"/>
      <c r="AM336" s="690"/>
      <c r="AN336" s="690"/>
      <c r="AO336" s="690"/>
      <c r="AP336" s="690"/>
    </row>
    <row r="337" spans="1:42" x14ac:dyDescent="0.25">
      <c r="A337" s="134">
        <f t="shared" si="12"/>
        <v>336</v>
      </c>
      <c r="B337" s="443" t="s">
        <v>3541</v>
      </c>
      <c r="C337" s="443" t="s">
        <v>3541</v>
      </c>
      <c r="D337" s="443"/>
      <c r="E337" s="443"/>
      <c r="F337" s="444" t="s">
        <v>4790</v>
      </c>
      <c r="G337" s="4"/>
      <c r="H337" s="640"/>
      <c r="I337" s="640" t="s">
        <v>625</v>
      </c>
      <c r="J337" s="653"/>
      <c r="K337" s="653"/>
      <c r="L337" s="653"/>
      <c r="M337" s="653"/>
      <c r="N337" s="653"/>
      <c r="O337" s="653"/>
      <c r="P337" s="653"/>
      <c r="Q337" s="640"/>
      <c r="R337" s="640" t="s">
        <v>3147</v>
      </c>
      <c r="S337" s="640" t="s">
        <v>4398</v>
      </c>
      <c r="T337" s="460"/>
      <c r="U337" s="640" t="s">
        <v>171</v>
      </c>
      <c r="V337" s="685">
        <f t="shared" si="13"/>
        <v>0</v>
      </c>
      <c r="W337" s="690"/>
      <c r="X337" s="690"/>
      <c r="Y337" s="690"/>
      <c r="Z337" s="690"/>
      <c r="AA337" s="690"/>
      <c r="AB337" s="690"/>
      <c r="AC337" s="690"/>
      <c r="AD337" s="690"/>
      <c r="AE337" s="690"/>
      <c r="AF337" s="690"/>
      <c r="AG337" s="690"/>
      <c r="AH337" s="690"/>
      <c r="AI337" s="690"/>
      <c r="AJ337" s="690"/>
      <c r="AK337" s="690"/>
      <c r="AL337" s="690"/>
      <c r="AM337" s="690"/>
      <c r="AN337" s="690"/>
      <c r="AO337" s="690"/>
      <c r="AP337" s="690"/>
    </row>
    <row r="338" spans="1:42" x14ac:dyDescent="0.25">
      <c r="A338" s="134">
        <f t="shared" si="12"/>
        <v>337</v>
      </c>
      <c r="B338" s="443" t="s">
        <v>3542</v>
      </c>
      <c r="C338" s="443" t="s">
        <v>3542</v>
      </c>
      <c r="D338" s="443"/>
      <c r="E338" s="443"/>
      <c r="F338" s="444" t="s">
        <v>4951</v>
      </c>
      <c r="G338" s="4"/>
      <c r="H338" s="640"/>
      <c r="I338" s="640" t="s">
        <v>625</v>
      </c>
      <c r="J338" s="653"/>
      <c r="K338" s="653"/>
      <c r="L338" s="653"/>
      <c r="M338" s="653"/>
      <c r="N338" s="653"/>
      <c r="O338" s="653"/>
      <c r="P338" s="653"/>
      <c r="Q338" s="640"/>
      <c r="R338" s="640" t="s">
        <v>3147</v>
      </c>
      <c r="S338" s="640" t="s">
        <v>4399</v>
      </c>
      <c r="T338" s="460"/>
      <c r="U338" s="640" t="s">
        <v>171</v>
      </c>
      <c r="V338" s="685">
        <f t="shared" si="13"/>
        <v>0</v>
      </c>
      <c r="W338" s="690"/>
      <c r="X338" s="690"/>
      <c r="Y338" s="690"/>
      <c r="Z338" s="690"/>
      <c r="AA338" s="690"/>
      <c r="AB338" s="690"/>
      <c r="AC338" s="690"/>
      <c r="AD338" s="690"/>
      <c r="AE338" s="690"/>
      <c r="AF338" s="690"/>
      <c r="AG338" s="690"/>
      <c r="AH338" s="690"/>
      <c r="AI338" s="690"/>
      <c r="AJ338" s="690"/>
      <c r="AK338" s="690"/>
      <c r="AL338" s="690"/>
      <c r="AM338" s="690"/>
      <c r="AN338" s="690"/>
      <c r="AO338" s="690"/>
      <c r="AP338" s="690"/>
    </row>
    <row r="339" spans="1:42" x14ac:dyDescent="0.25">
      <c r="A339" s="134">
        <f t="shared" si="12"/>
        <v>338</v>
      </c>
      <c r="B339" s="443" t="s">
        <v>3543</v>
      </c>
      <c r="C339" s="443" t="s">
        <v>3543</v>
      </c>
      <c r="D339" s="443"/>
      <c r="E339" s="443"/>
      <c r="F339" s="444" t="s">
        <v>4791</v>
      </c>
      <c r="G339" s="4"/>
      <c r="H339" s="640"/>
      <c r="I339" s="640" t="s">
        <v>625</v>
      </c>
      <c r="J339" s="653"/>
      <c r="K339" s="653"/>
      <c r="L339" s="653"/>
      <c r="M339" s="653"/>
      <c r="N339" s="653"/>
      <c r="O339" s="653"/>
      <c r="P339" s="653"/>
      <c r="Q339" s="640"/>
      <c r="R339" s="640" t="s">
        <v>3148</v>
      </c>
      <c r="S339" s="640" t="s">
        <v>4396</v>
      </c>
      <c r="T339" s="460"/>
      <c r="U339" s="640" t="s">
        <v>171</v>
      </c>
      <c r="V339" s="685">
        <f t="shared" si="13"/>
        <v>0</v>
      </c>
      <c r="W339" s="690"/>
      <c r="X339" s="690"/>
      <c r="Y339" s="690"/>
      <c r="Z339" s="690"/>
      <c r="AA339" s="690"/>
      <c r="AB339" s="690"/>
      <c r="AC339" s="690"/>
      <c r="AD339" s="690"/>
      <c r="AE339" s="690"/>
      <c r="AF339" s="690"/>
      <c r="AG339" s="690"/>
      <c r="AH339" s="690"/>
      <c r="AI339" s="690"/>
      <c r="AJ339" s="690"/>
      <c r="AK339" s="690"/>
      <c r="AL339" s="690"/>
      <c r="AM339" s="690"/>
      <c r="AN339" s="690"/>
      <c r="AO339" s="690"/>
      <c r="AP339" s="690"/>
    </row>
    <row r="340" spans="1:42" x14ac:dyDescent="0.25">
      <c r="A340" s="134">
        <f t="shared" si="12"/>
        <v>339</v>
      </c>
      <c r="B340" s="443" t="s">
        <v>3544</v>
      </c>
      <c r="C340" s="443" t="s">
        <v>3544</v>
      </c>
      <c r="D340" s="443"/>
      <c r="E340" s="443"/>
      <c r="F340" s="444" t="s">
        <v>4792</v>
      </c>
      <c r="G340" s="4"/>
      <c r="H340" s="640"/>
      <c r="I340" s="640" t="s">
        <v>625</v>
      </c>
      <c r="J340" s="653"/>
      <c r="K340" s="653"/>
      <c r="L340" s="653"/>
      <c r="M340" s="653"/>
      <c r="N340" s="653"/>
      <c r="O340" s="653"/>
      <c r="P340" s="653"/>
      <c r="Q340" s="640"/>
      <c r="R340" s="640" t="s">
        <v>3148</v>
      </c>
      <c r="S340" s="640" t="s">
        <v>4397</v>
      </c>
      <c r="T340" s="460"/>
      <c r="U340" s="640" t="s">
        <v>171</v>
      </c>
      <c r="V340" s="685">
        <f t="shared" si="13"/>
        <v>0</v>
      </c>
      <c r="W340" s="690"/>
      <c r="X340" s="690"/>
      <c r="Y340" s="690"/>
      <c r="Z340" s="690"/>
      <c r="AA340" s="690"/>
      <c r="AB340" s="690"/>
      <c r="AC340" s="690"/>
      <c r="AD340" s="690"/>
      <c r="AE340" s="690"/>
      <c r="AF340" s="690"/>
      <c r="AG340" s="690"/>
      <c r="AH340" s="690"/>
      <c r="AI340" s="690"/>
      <c r="AJ340" s="690"/>
      <c r="AK340" s="690"/>
      <c r="AL340" s="690"/>
      <c r="AM340" s="690"/>
      <c r="AN340" s="690"/>
      <c r="AO340" s="690"/>
      <c r="AP340" s="690"/>
    </row>
    <row r="341" spans="1:42" x14ac:dyDescent="0.25">
      <c r="A341" s="134">
        <f t="shared" si="12"/>
        <v>340</v>
      </c>
      <c r="B341" s="443" t="s">
        <v>3545</v>
      </c>
      <c r="C341" s="443" t="s">
        <v>3545</v>
      </c>
      <c r="D341" s="443"/>
      <c r="E341" s="443"/>
      <c r="F341" s="444" t="s">
        <v>4952</v>
      </c>
      <c r="G341" s="4"/>
      <c r="H341" s="640"/>
      <c r="I341" s="640" t="s">
        <v>625</v>
      </c>
      <c r="J341" s="653"/>
      <c r="K341" s="653"/>
      <c r="L341" s="653"/>
      <c r="M341" s="653"/>
      <c r="N341" s="653"/>
      <c r="O341" s="653"/>
      <c r="P341" s="653"/>
      <c r="Q341" s="640"/>
      <c r="R341" s="640" t="s">
        <v>3148</v>
      </c>
      <c r="S341" s="640" t="s">
        <v>4395</v>
      </c>
      <c r="T341" s="460"/>
      <c r="U341" s="640" t="s">
        <v>171</v>
      </c>
      <c r="V341" s="685">
        <f t="shared" si="13"/>
        <v>0</v>
      </c>
      <c r="W341" s="690"/>
      <c r="X341" s="690"/>
      <c r="Y341" s="690"/>
      <c r="Z341" s="690"/>
      <c r="AA341" s="690"/>
      <c r="AB341" s="690"/>
      <c r="AC341" s="690"/>
      <c r="AD341" s="690"/>
      <c r="AE341" s="690"/>
      <c r="AF341" s="690"/>
      <c r="AG341" s="690"/>
      <c r="AH341" s="690"/>
      <c r="AI341" s="690"/>
      <c r="AJ341" s="690"/>
      <c r="AK341" s="690"/>
      <c r="AL341" s="690"/>
      <c r="AM341" s="690"/>
      <c r="AN341" s="690"/>
      <c r="AO341" s="690"/>
      <c r="AP341" s="690"/>
    </row>
    <row r="342" spans="1:42" x14ac:dyDescent="0.25">
      <c r="A342" s="134">
        <f t="shared" si="12"/>
        <v>341</v>
      </c>
      <c r="B342" s="443" t="s">
        <v>2773</v>
      </c>
      <c r="C342" s="443" t="s">
        <v>2773</v>
      </c>
      <c r="D342" s="443"/>
      <c r="E342" s="443"/>
      <c r="F342" s="444" t="s">
        <v>4953</v>
      </c>
      <c r="G342" s="4"/>
      <c r="H342" s="640"/>
      <c r="I342" s="640" t="s">
        <v>625</v>
      </c>
      <c r="J342" s="653"/>
      <c r="K342" s="653"/>
      <c r="L342" s="653"/>
      <c r="M342" s="653"/>
      <c r="N342" s="653"/>
      <c r="O342" s="653" t="s">
        <v>7357</v>
      </c>
      <c r="P342" s="653"/>
      <c r="Q342" s="640"/>
      <c r="R342" s="640" t="s">
        <v>3148</v>
      </c>
      <c r="S342" s="640" t="s">
        <v>4398</v>
      </c>
      <c r="T342" s="460"/>
      <c r="U342" s="640" t="s">
        <v>171</v>
      </c>
      <c r="V342" s="685">
        <f t="shared" si="13"/>
        <v>0</v>
      </c>
      <c r="W342" s="690"/>
      <c r="X342" s="690"/>
      <c r="Y342" s="690"/>
      <c r="Z342" s="690"/>
      <c r="AA342" s="690"/>
      <c r="AB342" s="690"/>
      <c r="AC342" s="690"/>
      <c r="AD342" s="690"/>
      <c r="AE342" s="690"/>
      <c r="AF342" s="690"/>
      <c r="AG342" s="690"/>
      <c r="AH342" s="690"/>
      <c r="AI342" s="690"/>
      <c r="AJ342" s="690"/>
      <c r="AK342" s="690"/>
      <c r="AL342" s="690"/>
      <c r="AM342" s="690"/>
      <c r="AN342" s="690"/>
      <c r="AO342" s="690"/>
      <c r="AP342" s="690"/>
    </row>
    <row r="343" spans="1:42" x14ac:dyDescent="0.25">
      <c r="A343" s="134">
        <f t="shared" si="12"/>
        <v>342</v>
      </c>
      <c r="B343" s="443" t="s">
        <v>3546</v>
      </c>
      <c r="C343" s="443" t="s">
        <v>3546</v>
      </c>
      <c r="D343" s="443"/>
      <c r="E343" s="443"/>
      <c r="F343" s="444" t="s">
        <v>4954</v>
      </c>
      <c r="G343" s="4"/>
      <c r="H343" s="640"/>
      <c r="I343" s="640" t="s">
        <v>625</v>
      </c>
      <c r="J343" s="653"/>
      <c r="K343" s="653" t="s">
        <v>6270</v>
      </c>
      <c r="L343" s="653"/>
      <c r="M343" s="653"/>
      <c r="N343" s="653"/>
      <c r="O343" s="653"/>
      <c r="P343" s="653"/>
      <c r="Q343" s="640"/>
      <c r="R343" s="640" t="s">
        <v>3148</v>
      </c>
      <c r="S343" s="640" t="s">
        <v>4399</v>
      </c>
      <c r="T343" s="460"/>
      <c r="U343" s="640" t="s">
        <v>171</v>
      </c>
      <c r="V343" s="685">
        <f t="shared" si="13"/>
        <v>0</v>
      </c>
      <c r="W343" s="690"/>
      <c r="X343" s="690"/>
      <c r="Y343" s="690"/>
      <c r="Z343" s="690"/>
      <c r="AA343" s="690"/>
      <c r="AB343" s="690"/>
      <c r="AC343" s="690"/>
      <c r="AD343" s="690"/>
      <c r="AE343" s="690"/>
      <c r="AF343" s="690"/>
      <c r="AG343" s="690"/>
      <c r="AH343" s="690"/>
      <c r="AI343" s="690"/>
      <c r="AJ343" s="690"/>
      <c r="AK343" s="690"/>
      <c r="AL343" s="690"/>
      <c r="AM343" s="690"/>
      <c r="AN343" s="690"/>
      <c r="AO343" s="690"/>
      <c r="AP343" s="690"/>
    </row>
    <row r="344" spans="1:42" x14ac:dyDescent="0.25">
      <c r="A344" s="134">
        <f t="shared" si="12"/>
        <v>343</v>
      </c>
      <c r="B344" s="443" t="s">
        <v>4321</v>
      </c>
      <c r="C344" s="443" t="s">
        <v>270</v>
      </c>
      <c r="D344" s="443"/>
      <c r="E344" s="443"/>
      <c r="F344" s="444" t="s">
        <v>3034</v>
      </c>
      <c r="G344" s="4" t="s">
        <v>5113</v>
      </c>
      <c r="H344" s="640" t="s">
        <v>270</v>
      </c>
      <c r="I344" s="640" t="s">
        <v>1109</v>
      </c>
      <c r="J344" s="653"/>
      <c r="K344" s="653"/>
      <c r="L344" s="653"/>
      <c r="M344" s="653"/>
      <c r="N344" s="653"/>
      <c r="O344" s="653"/>
      <c r="P344" s="653"/>
      <c r="Q344" s="640"/>
      <c r="R344" s="640"/>
      <c r="S344" s="640"/>
      <c r="T344" s="460"/>
      <c r="U344" s="460"/>
      <c r="V344" s="685">
        <f t="shared" si="13"/>
        <v>0</v>
      </c>
      <c r="W344" s="690"/>
      <c r="X344" s="690"/>
      <c r="Y344" s="690"/>
      <c r="Z344" s="690"/>
      <c r="AA344" s="690"/>
      <c r="AB344" s="690"/>
      <c r="AC344" s="690"/>
      <c r="AD344" s="690"/>
      <c r="AE344" s="690"/>
      <c r="AF344" s="690"/>
      <c r="AG344" s="690"/>
      <c r="AH344" s="690"/>
      <c r="AI344" s="690"/>
      <c r="AJ344" s="690"/>
      <c r="AK344" s="690"/>
      <c r="AL344" s="690"/>
      <c r="AM344" s="690"/>
      <c r="AN344" s="690"/>
      <c r="AO344" s="690"/>
      <c r="AP344" s="690"/>
    </row>
    <row r="345" spans="1:42" x14ac:dyDescent="0.25">
      <c r="A345" s="134">
        <f t="shared" si="12"/>
        <v>344</v>
      </c>
      <c r="B345" s="453" t="s">
        <v>3197</v>
      </c>
      <c r="C345" s="443" t="s">
        <v>3197</v>
      </c>
      <c r="D345" s="443"/>
      <c r="E345" s="444" t="s">
        <v>4358</v>
      </c>
      <c r="F345" s="444" t="s">
        <v>4358</v>
      </c>
      <c r="G345" s="4" t="s">
        <v>7143</v>
      </c>
      <c r="H345" s="640" t="s">
        <v>3195</v>
      </c>
      <c r="I345" s="640"/>
      <c r="J345" s="653" t="s">
        <v>6266</v>
      </c>
      <c r="K345" s="653" t="s">
        <v>6269</v>
      </c>
      <c r="L345" s="653"/>
      <c r="M345" s="653"/>
      <c r="N345" s="653"/>
      <c r="O345" s="653"/>
      <c r="P345" s="653"/>
      <c r="Q345" s="640"/>
      <c r="R345" s="640"/>
      <c r="S345" s="640"/>
      <c r="T345" s="460"/>
      <c r="U345" s="460"/>
      <c r="V345" s="685">
        <f t="shared" si="13"/>
        <v>0</v>
      </c>
      <c r="W345" s="690"/>
      <c r="X345" s="690"/>
      <c r="Y345" s="690"/>
      <c r="Z345" s="690"/>
      <c r="AA345" s="690"/>
      <c r="AB345" s="690"/>
      <c r="AC345" s="690"/>
      <c r="AD345" s="690"/>
      <c r="AE345" s="690"/>
      <c r="AF345" s="690"/>
      <c r="AG345" s="690"/>
      <c r="AH345" s="690"/>
      <c r="AI345" s="690"/>
      <c r="AJ345" s="690"/>
      <c r="AK345" s="690"/>
      <c r="AL345" s="690"/>
      <c r="AM345" s="690"/>
      <c r="AN345" s="690"/>
      <c r="AO345" s="690"/>
      <c r="AP345" s="690"/>
    </row>
    <row r="346" spans="1:42" x14ac:dyDescent="0.25">
      <c r="A346" s="134">
        <f t="shared" si="12"/>
        <v>345</v>
      </c>
      <c r="B346" s="453" t="s">
        <v>3198</v>
      </c>
      <c r="C346" s="443" t="s">
        <v>3198</v>
      </c>
      <c r="D346" s="443"/>
      <c r="E346" s="444" t="s">
        <v>4359</v>
      </c>
      <c r="F346" s="444" t="s">
        <v>4359</v>
      </c>
      <c r="G346" s="4" t="s">
        <v>7144</v>
      </c>
      <c r="H346" s="640" t="s">
        <v>3195</v>
      </c>
      <c r="I346" s="640"/>
      <c r="J346" s="653" t="s">
        <v>6266</v>
      </c>
      <c r="K346" s="653" t="s">
        <v>6269</v>
      </c>
      <c r="L346" s="653"/>
      <c r="M346" s="653"/>
      <c r="N346" s="653"/>
      <c r="O346" s="653"/>
      <c r="P346" s="653"/>
      <c r="Q346" s="640"/>
      <c r="R346" s="640"/>
      <c r="S346" s="640"/>
      <c r="T346" s="460"/>
      <c r="U346" s="460"/>
      <c r="V346" s="685">
        <f t="shared" si="13"/>
        <v>0</v>
      </c>
      <c r="W346" s="690"/>
      <c r="X346" s="690"/>
      <c r="Y346" s="690"/>
      <c r="Z346" s="690"/>
      <c r="AA346" s="690"/>
      <c r="AB346" s="690"/>
      <c r="AC346" s="690"/>
      <c r="AD346" s="690"/>
      <c r="AE346" s="690"/>
      <c r="AF346" s="690"/>
      <c r="AG346" s="690"/>
      <c r="AH346" s="690"/>
      <c r="AI346" s="690"/>
      <c r="AJ346" s="690"/>
      <c r="AK346" s="690"/>
      <c r="AL346" s="690"/>
      <c r="AM346" s="690"/>
      <c r="AN346" s="690"/>
      <c r="AO346" s="690"/>
      <c r="AP346" s="690"/>
    </row>
    <row r="347" spans="1:42" x14ac:dyDescent="0.25">
      <c r="A347" s="134">
        <f t="shared" si="12"/>
        <v>346</v>
      </c>
      <c r="B347" s="453" t="s">
        <v>3199</v>
      </c>
      <c r="C347" s="443" t="s">
        <v>3199</v>
      </c>
      <c r="D347" s="443"/>
      <c r="E347" s="444" t="s">
        <v>4360</v>
      </c>
      <c r="F347" s="444" t="s">
        <v>4360</v>
      </c>
      <c r="G347" s="4" t="s">
        <v>7380</v>
      </c>
      <c r="H347" s="640" t="s">
        <v>3195</v>
      </c>
      <c r="I347" s="640"/>
      <c r="J347" s="653" t="s">
        <v>6266</v>
      </c>
      <c r="K347" s="653" t="s">
        <v>6269</v>
      </c>
      <c r="L347" s="653"/>
      <c r="M347" s="653"/>
      <c r="N347" s="653"/>
      <c r="O347" s="653"/>
      <c r="P347" s="653"/>
      <c r="Q347" s="640"/>
      <c r="R347" s="640"/>
      <c r="S347" s="640"/>
      <c r="T347" s="460"/>
      <c r="U347" s="460"/>
      <c r="V347" s="685">
        <f t="shared" si="13"/>
        <v>0</v>
      </c>
      <c r="W347" s="690"/>
      <c r="X347" s="690"/>
      <c r="Y347" s="690"/>
      <c r="Z347" s="690"/>
      <c r="AA347" s="690"/>
      <c r="AB347" s="690"/>
      <c r="AC347" s="690"/>
      <c r="AD347" s="690"/>
      <c r="AE347" s="690"/>
      <c r="AF347" s="690"/>
      <c r="AG347" s="690"/>
      <c r="AH347" s="690"/>
      <c r="AI347" s="690"/>
      <c r="AJ347" s="690"/>
      <c r="AK347" s="690"/>
      <c r="AL347" s="690"/>
      <c r="AM347" s="690"/>
      <c r="AN347" s="690"/>
      <c r="AO347" s="690"/>
      <c r="AP347" s="690"/>
    </row>
    <row r="348" spans="1:42" x14ac:dyDescent="0.25">
      <c r="A348" s="134">
        <f t="shared" si="12"/>
        <v>347</v>
      </c>
      <c r="B348" s="453" t="s">
        <v>3200</v>
      </c>
      <c r="C348" s="443" t="s">
        <v>3200</v>
      </c>
      <c r="D348" s="443"/>
      <c r="E348" s="444" t="s">
        <v>4840</v>
      </c>
      <c r="F348" s="444" t="s">
        <v>4840</v>
      </c>
      <c r="G348" s="4"/>
      <c r="H348" s="640" t="s">
        <v>3195</v>
      </c>
      <c r="I348" s="640"/>
      <c r="J348" s="653" t="s">
        <v>6266</v>
      </c>
      <c r="K348" s="653" t="s">
        <v>6269</v>
      </c>
      <c r="L348" s="653"/>
      <c r="M348" s="653"/>
      <c r="N348" s="653"/>
      <c r="O348" s="653"/>
      <c r="P348" s="653"/>
      <c r="Q348" s="640"/>
      <c r="R348" s="640"/>
      <c r="S348" s="640"/>
      <c r="T348" s="460"/>
      <c r="U348" s="460"/>
      <c r="V348" s="685">
        <f t="shared" si="13"/>
        <v>0</v>
      </c>
      <c r="W348" s="690"/>
      <c r="X348" s="690"/>
      <c r="Y348" s="690"/>
      <c r="Z348" s="690"/>
      <c r="AA348" s="690"/>
      <c r="AB348" s="690"/>
      <c r="AC348" s="690"/>
      <c r="AD348" s="690"/>
      <c r="AE348" s="690"/>
      <c r="AF348" s="690"/>
      <c r="AG348" s="690"/>
      <c r="AH348" s="690"/>
      <c r="AI348" s="690"/>
      <c r="AJ348" s="690"/>
      <c r="AK348" s="690"/>
      <c r="AL348" s="690"/>
      <c r="AM348" s="690"/>
      <c r="AN348" s="690"/>
      <c r="AO348" s="690"/>
      <c r="AP348" s="690"/>
    </row>
    <row r="349" spans="1:42" x14ac:dyDescent="0.25">
      <c r="A349" s="134">
        <f t="shared" si="12"/>
        <v>348</v>
      </c>
      <c r="B349" s="453" t="s">
        <v>3201</v>
      </c>
      <c r="C349" s="443" t="s">
        <v>3201</v>
      </c>
      <c r="D349" s="443"/>
      <c r="E349" s="443"/>
      <c r="F349" s="444" t="s">
        <v>4841</v>
      </c>
      <c r="G349" s="4"/>
      <c r="H349" s="640" t="s">
        <v>3195</v>
      </c>
      <c r="I349" s="640"/>
      <c r="J349" s="653" t="s">
        <v>6266</v>
      </c>
      <c r="K349" s="653" t="s">
        <v>6270</v>
      </c>
      <c r="L349" s="653"/>
      <c r="M349" s="653"/>
      <c r="N349" s="653"/>
      <c r="O349" s="653"/>
      <c r="P349" s="653"/>
      <c r="Q349" s="640"/>
      <c r="R349" s="640"/>
      <c r="S349" s="640"/>
      <c r="T349" s="460"/>
      <c r="U349" s="460"/>
      <c r="V349" s="685">
        <f t="shared" si="13"/>
        <v>0</v>
      </c>
      <c r="W349" s="690"/>
      <c r="X349" s="690"/>
      <c r="Y349" s="690"/>
      <c r="Z349" s="690"/>
      <c r="AA349" s="690"/>
      <c r="AB349" s="690"/>
      <c r="AC349" s="690"/>
      <c r="AD349" s="690"/>
      <c r="AE349" s="690"/>
      <c r="AF349" s="690"/>
      <c r="AG349" s="690"/>
      <c r="AH349" s="690"/>
      <c r="AI349" s="690"/>
      <c r="AJ349" s="690"/>
      <c r="AK349" s="690"/>
      <c r="AL349" s="690"/>
      <c r="AM349" s="690"/>
      <c r="AN349" s="690"/>
      <c r="AO349" s="690"/>
      <c r="AP349" s="690"/>
    </row>
    <row r="350" spans="1:42" x14ac:dyDescent="0.25">
      <c r="A350" s="134">
        <f t="shared" si="12"/>
        <v>349</v>
      </c>
      <c r="B350" s="453" t="s">
        <v>3202</v>
      </c>
      <c r="C350" s="443" t="s">
        <v>3202</v>
      </c>
      <c r="D350" s="443"/>
      <c r="E350" s="444" t="s">
        <v>4361</v>
      </c>
      <c r="F350" s="444" t="s">
        <v>4361</v>
      </c>
      <c r="G350" s="4" t="s">
        <v>7145</v>
      </c>
      <c r="H350" s="640" t="s">
        <v>3195</v>
      </c>
      <c r="I350" s="640"/>
      <c r="J350" s="653" t="s">
        <v>6266</v>
      </c>
      <c r="K350" s="653" t="s">
        <v>6269</v>
      </c>
      <c r="L350" s="653"/>
      <c r="M350" s="653"/>
      <c r="N350" s="653"/>
      <c r="O350" s="653"/>
      <c r="P350" s="653"/>
      <c r="Q350" s="640"/>
      <c r="R350" s="640"/>
      <c r="S350" s="640"/>
      <c r="T350" s="460"/>
      <c r="U350" s="460"/>
      <c r="V350" s="685">
        <f t="shared" si="13"/>
        <v>0</v>
      </c>
      <c r="W350" s="690"/>
      <c r="X350" s="690"/>
      <c r="Y350" s="690"/>
      <c r="Z350" s="690"/>
      <c r="AA350" s="690"/>
      <c r="AB350" s="690"/>
      <c r="AC350" s="690"/>
      <c r="AD350" s="690"/>
      <c r="AE350" s="690"/>
      <c r="AF350" s="690"/>
      <c r="AG350" s="690"/>
      <c r="AH350" s="690"/>
      <c r="AI350" s="690"/>
      <c r="AJ350" s="690"/>
      <c r="AK350" s="690"/>
      <c r="AL350" s="690"/>
      <c r="AM350" s="690"/>
      <c r="AN350" s="690"/>
      <c r="AO350" s="690"/>
      <c r="AP350" s="690"/>
    </row>
    <row r="351" spans="1:42" x14ac:dyDescent="0.25">
      <c r="A351" s="134">
        <f t="shared" si="12"/>
        <v>350</v>
      </c>
      <c r="B351" s="443" t="s">
        <v>3606</v>
      </c>
      <c r="C351" s="443" t="s">
        <v>3606</v>
      </c>
      <c r="D351" s="443"/>
      <c r="E351" s="443"/>
      <c r="F351" s="444" t="s">
        <v>4362</v>
      </c>
      <c r="G351" s="4"/>
      <c r="H351" s="640" t="s">
        <v>4378</v>
      </c>
      <c r="I351" s="640"/>
      <c r="J351" s="653" t="s">
        <v>6266</v>
      </c>
      <c r="K351" s="653" t="s">
        <v>6270</v>
      </c>
      <c r="L351" s="653"/>
      <c r="M351" s="653" t="s">
        <v>7108</v>
      </c>
      <c r="N351" s="653"/>
      <c r="O351" s="653"/>
      <c r="P351" s="653"/>
      <c r="Q351" s="640"/>
      <c r="R351" s="640"/>
      <c r="S351" s="640"/>
      <c r="T351" s="460"/>
      <c r="U351" s="460"/>
      <c r="V351" s="685">
        <f t="shared" si="13"/>
        <v>0</v>
      </c>
      <c r="W351" s="690"/>
      <c r="X351" s="690"/>
      <c r="Y351" s="690"/>
      <c r="Z351" s="690"/>
      <c r="AA351" s="690"/>
      <c r="AB351" s="690"/>
      <c r="AC351" s="690"/>
      <c r="AD351" s="690"/>
      <c r="AE351" s="690"/>
      <c r="AF351" s="690"/>
      <c r="AG351" s="690"/>
      <c r="AH351" s="690"/>
      <c r="AI351" s="690"/>
      <c r="AJ351" s="690"/>
      <c r="AK351" s="690"/>
      <c r="AL351" s="690"/>
      <c r="AM351" s="690"/>
      <c r="AN351" s="690"/>
      <c r="AO351" s="690"/>
      <c r="AP351" s="690"/>
    </row>
    <row r="352" spans="1:42" x14ac:dyDescent="0.25">
      <c r="A352" s="134">
        <f t="shared" si="12"/>
        <v>351</v>
      </c>
      <c r="B352" s="443" t="s">
        <v>3607</v>
      </c>
      <c r="C352" s="443" t="s">
        <v>3607</v>
      </c>
      <c r="D352" s="443"/>
      <c r="E352" s="443"/>
      <c r="F352" s="444" t="s">
        <v>4363</v>
      </c>
      <c r="G352" s="4"/>
      <c r="H352" s="640" t="s">
        <v>4378</v>
      </c>
      <c r="I352" s="640"/>
      <c r="J352" s="653" t="s">
        <v>6266</v>
      </c>
      <c r="K352" s="653" t="s">
        <v>6270</v>
      </c>
      <c r="L352" s="653"/>
      <c r="M352" s="653" t="s">
        <v>7108</v>
      </c>
      <c r="N352" s="653"/>
      <c r="O352" s="653"/>
      <c r="P352" s="653"/>
      <c r="Q352" s="640"/>
      <c r="R352" s="640"/>
      <c r="S352" s="640"/>
      <c r="T352" s="460"/>
      <c r="U352" s="460"/>
      <c r="V352" s="685">
        <f t="shared" si="13"/>
        <v>0</v>
      </c>
      <c r="W352" s="690"/>
      <c r="X352" s="690"/>
      <c r="Y352" s="690"/>
      <c r="Z352" s="690"/>
      <c r="AA352" s="690"/>
      <c r="AB352" s="690"/>
      <c r="AC352" s="690"/>
      <c r="AD352" s="690"/>
      <c r="AE352" s="690"/>
      <c r="AF352" s="690"/>
      <c r="AG352" s="690"/>
      <c r="AH352" s="690"/>
      <c r="AI352" s="690"/>
      <c r="AJ352" s="690"/>
      <c r="AK352" s="690"/>
      <c r="AL352" s="690"/>
      <c r="AM352" s="690"/>
      <c r="AN352" s="690"/>
      <c r="AO352" s="690"/>
      <c r="AP352" s="690"/>
    </row>
    <row r="353" spans="1:42" x14ac:dyDescent="0.25">
      <c r="A353" s="134">
        <f t="shared" si="12"/>
        <v>352</v>
      </c>
      <c r="B353" s="443" t="s">
        <v>3608</v>
      </c>
      <c r="C353" s="443" t="s">
        <v>3608</v>
      </c>
      <c r="D353" s="443"/>
      <c r="E353" s="443"/>
      <c r="F353" s="444" t="s">
        <v>4364</v>
      </c>
      <c r="G353" s="4"/>
      <c r="H353" s="640" t="s">
        <v>4378</v>
      </c>
      <c r="I353" s="640"/>
      <c r="J353" s="653" t="s">
        <v>6266</v>
      </c>
      <c r="K353" s="653" t="s">
        <v>6270</v>
      </c>
      <c r="L353" s="653"/>
      <c r="M353" s="653" t="s">
        <v>7108</v>
      </c>
      <c r="N353" s="653"/>
      <c r="O353" s="653"/>
      <c r="P353" s="653"/>
      <c r="Q353" s="640"/>
      <c r="R353" s="640"/>
      <c r="S353" s="640"/>
      <c r="T353" s="460"/>
      <c r="U353" s="460"/>
      <c r="V353" s="685">
        <f t="shared" si="13"/>
        <v>0</v>
      </c>
      <c r="W353" s="690"/>
      <c r="X353" s="690"/>
      <c r="Y353" s="690"/>
      <c r="Z353" s="690"/>
      <c r="AA353" s="690"/>
      <c r="AB353" s="690"/>
      <c r="AC353" s="690"/>
      <c r="AD353" s="690"/>
      <c r="AE353" s="690"/>
      <c r="AF353" s="690"/>
      <c r="AG353" s="690"/>
      <c r="AH353" s="690"/>
      <c r="AI353" s="690"/>
      <c r="AJ353" s="690"/>
      <c r="AK353" s="690"/>
      <c r="AL353" s="690"/>
      <c r="AM353" s="690"/>
      <c r="AN353" s="690"/>
      <c r="AO353" s="690"/>
      <c r="AP353" s="690"/>
    </row>
    <row r="354" spans="1:42" x14ac:dyDescent="0.25">
      <c r="A354" s="134">
        <f t="shared" si="12"/>
        <v>353</v>
      </c>
      <c r="B354" s="443" t="s">
        <v>3609</v>
      </c>
      <c r="C354" s="443" t="s">
        <v>3609</v>
      </c>
      <c r="D354" s="443"/>
      <c r="E354" s="443"/>
      <c r="F354" s="444" t="s">
        <v>4365</v>
      </c>
      <c r="G354" s="4"/>
      <c r="H354" s="640" t="s">
        <v>4378</v>
      </c>
      <c r="I354" s="640"/>
      <c r="J354" s="653" t="s">
        <v>6266</v>
      </c>
      <c r="K354" s="653" t="s">
        <v>6270</v>
      </c>
      <c r="L354" s="653"/>
      <c r="M354" s="653" t="s">
        <v>7108</v>
      </c>
      <c r="N354" s="653"/>
      <c r="O354" s="653"/>
      <c r="P354" s="653"/>
      <c r="Q354" s="640"/>
      <c r="R354" s="640"/>
      <c r="S354" s="640"/>
      <c r="T354" s="460"/>
      <c r="U354" s="460"/>
      <c r="V354" s="685">
        <f t="shared" si="13"/>
        <v>0</v>
      </c>
      <c r="W354" s="690"/>
      <c r="X354" s="690"/>
      <c r="Y354" s="690"/>
      <c r="Z354" s="690"/>
      <c r="AA354" s="690"/>
      <c r="AB354" s="690"/>
      <c r="AC354" s="690"/>
      <c r="AD354" s="690"/>
      <c r="AE354" s="690"/>
      <c r="AF354" s="690"/>
      <c r="AG354" s="690"/>
      <c r="AH354" s="690"/>
      <c r="AI354" s="690"/>
      <c r="AJ354" s="690"/>
      <c r="AK354" s="690"/>
      <c r="AL354" s="690"/>
      <c r="AM354" s="690"/>
      <c r="AN354" s="690"/>
      <c r="AO354" s="690"/>
      <c r="AP354" s="690"/>
    </row>
    <row r="355" spans="1:42" x14ac:dyDescent="0.25">
      <c r="A355" s="134">
        <f t="shared" si="12"/>
        <v>354</v>
      </c>
      <c r="B355" s="443" t="s">
        <v>3610</v>
      </c>
      <c r="C355" s="443" t="s">
        <v>3610</v>
      </c>
      <c r="D355" s="443"/>
      <c r="E355" s="443"/>
      <c r="F355" s="444" t="s">
        <v>4366</v>
      </c>
      <c r="G355" s="4"/>
      <c r="H355" s="640" t="s">
        <v>4378</v>
      </c>
      <c r="I355" s="640"/>
      <c r="J355" s="653" t="s">
        <v>6266</v>
      </c>
      <c r="K355" s="653" t="s">
        <v>6270</v>
      </c>
      <c r="L355" s="653"/>
      <c r="M355" s="653" t="s">
        <v>7108</v>
      </c>
      <c r="N355" s="653"/>
      <c r="O355" s="653"/>
      <c r="P355" s="653"/>
      <c r="Q355" s="640"/>
      <c r="R355" s="640"/>
      <c r="S355" s="640"/>
      <c r="T355" s="460"/>
      <c r="U355" s="460"/>
      <c r="V355" s="685">
        <f t="shared" si="13"/>
        <v>0</v>
      </c>
      <c r="W355" s="690"/>
      <c r="X355" s="690"/>
      <c r="Y355" s="690"/>
      <c r="Z355" s="690"/>
      <c r="AA355" s="690"/>
      <c r="AB355" s="690"/>
      <c r="AC355" s="690"/>
      <c r="AD355" s="690"/>
      <c r="AE355" s="690"/>
      <c r="AF355" s="690"/>
      <c r="AG355" s="690"/>
      <c r="AH355" s="690"/>
      <c r="AI355" s="690"/>
      <c r="AJ355" s="690"/>
      <c r="AK355" s="690"/>
      <c r="AL355" s="690"/>
      <c r="AM355" s="690"/>
      <c r="AN355" s="690"/>
      <c r="AO355" s="690"/>
      <c r="AP355" s="690"/>
    </row>
    <row r="356" spans="1:42" x14ac:dyDescent="0.25">
      <c r="A356" s="134">
        <f t="shared" si="12"/>
        <v>355</v>
      </c>
      <c r="B356" s="443" t="s">
        <v>3611</v>
      </c>
      <c r="C356" s="443" t="s">
        <v>3611</v>
      </c>
      <c r="D356" s="443"/>
      <c r="E356" s="443"/>
      <c r="F356" s="444" t="s">
        <v>4367</v>
      </c>
      <c r="G356" s="4"/>
      <c r="H356" s="640" t="s">
        <v>4378</v>
      </c>
      <c r="I356" s="640"/>
      <c r="J356" s="653" t="s">
        <v>6266</v>
      </c>
      <c r="K356" s="653" t="s">
        <v>6270</v>
      </c>
      <c r="L356" s="653"/>
      <c r="M356" s="653" t="s">
        <v>7108</v>
      </c>
      <c r="N356" s="653"/>
      <c r="O356" s="653"/>
      <c r="P356" s="653"/>
      <c r="Q356" s="640"/>
      <c r="R356" s="640"/>
      <c r="S356" s="640"/>
      <c r="T356" s="460"/>
      <c r="U356" s="460"/>
      <c r="V356" s="685">
        <f t="shared" si="13"/>
        <v>0</v>
      </c>
      <c r="W356" s="690"/>
      <c r="X356" s="690"/>
      <c r="Y356" s="690"/>
      <c r="Z356" s="690"/>
      <c r="AA356" s="690"/>
      <c r="AB356" s="690"/>
      <c r="AC356" s="690"/>
      <c r="AD356" s="690"/>
      <c r="AE356" s="690"/>
      <c r="AF356" s="690"/>
      <c r="AG356" s="690"/>
      <c r="AH356" s="690"/>
      <c r="AI356" s="690"/>
      <c r="AJ356" s="690"/>
      <c r="AK356" s="690"/>
      <c r="AL356" s="690"/>
      <c r="AM356" s="690"/>
      <c r="AN356" s="690"/>
      <c r="AO356" s="690"/>
      <c r="AP356" s="690"/>
    </row>
    <row r="357" spans="1:42" x14ac:dyDescent="0.25">
      <c r="A357" s="134">
        <f t="shared" si="12"/>
        <v>356</v>
      </c>
      <c r="B357" s="443" t="s">
        <v>3612</v>
      </c>
      <c r="C357" s="443" t="s">
        <v>3612</v>
      </c>
      <c r="D357" s="443"/>
      <c r="E357" s="443"/>
      <c r="F357" s="444" t="s">
        <v>4368</v>
      </c>
      <c r="G357" s="4"/>
      <c r="H357" s="640" t="s">
        <v>4378</v>
      </c>
      <c r="I357" s="640"/>
      <c r="J357" s="653" t="s">
        <v>6266</v>
      </c>
      <c r="K357" s="653" t="s">
        <v>6270</v>
      </c>
      <c r="L357" s="653"/>
      <c r="M357" s="653" t="s">
        <v>7108</v>
      </c>
      <c r="N357" s="653"/>
      <c r="O357" s="653"/>
      <c r="P357" s="653"/>
      <c r="Q357" s="640"/>
      <c r="R357" s="640"/>
      <c r="S357" s="640"/>
      <c r="T357" s="460"/>
      <c r="U357" s="460"/>
      <c r="V357" s="685">
        <f t="shared" si="13"/>
        <v>0</v>
      </c>
      <c r="W357" s="690"/>
      <c r="X357" s="690"/>
      <c r="Y357" s="690"/>
      <c r="Z357" s="690"/>
      <c r="AA357" s="690"/>
      <c r="AB357" s="690"/>
      <c r="AC357" s="690"/>
      <c r="AD357" s="690"/>
      <c r="AE357" s="690"/>
      <c r="AF357" s="690"/>
      <c r="AG357" s="690"/>
      <c r="AH357" s="690"/>
      <c r="AI357" s="690"/>
      <c r="AJ357" s="690"/>
      <c r="AK357" s="690"/>
      <c r="AL357" s="690"/>
      <c r="AM357" s="690"/>
      <c r="AN357" s="690"/>
      <c r="AO357" s="690"/>
      <c r="AP357" s="690"/>
    </row>
    <row r="358" spans="1:42" x14ac:dyDescent="0.25">
      <c r="A358" s="134">
        <f t="shared" si="12"/>
        <v>357</v>
      </c>
      <c r="B358" s="443" t="s">
        <v>3613</v>
      </c>
      <c r="C358" s="443" t="s">
        <v>3613</v>
      </c>
      <c r="D358" s="443"/>
      <c r="E358" s="443"/>
      <c r="F358" s="444" t="s">
        <v>4369</v>
      </c>
      <c r="G358" s="4"/>
      <c r="H358" s="640" t="s">
        <v>4378</v>
      </c>
      <c r="I358" s="640"/>
      <c r="J358" s="653" t="s">
        <v>6266</v>
      </c>
      <c r="K358" s="653" t="s">
        <v>6270</v>
      </c>
      <c r="L358" s="653"/>
      <c r="M358" s="653" t="s">
        <v>7108</v>
      </c>
      <c r="N358" s="653"/>
      <c r="O358" s="653"/>
      <c r="P358" s="653"/>
      <c r="Q358" s="640"/>
      <c r="R358" s="640"/>
      <c r="S358" s="640"/>
      <c r="T358" s="460"/>
      <c r="U358" s="460"/>
      <c r="V358" s="685">
        <f t="shared" si="13"/>
        <v>0</v>
      </c>
      <c r="W358" s="690"/>
      <c r="X358" s="690"/>
      <c r="Y358" s="690"/>
      <c r="Z358" s="690"/>
      <c r="AA358" s="690"/>
      <c r="AB358" s="690"/>
      <c r="AC358" s="690"/>
      <c r="AD358" s="690"/>
      <c r="AE358" s="690"/>
      <c r="AF358" s="690"/>
      <c r="AG358" s="690"/>
      <c r="AH358" s="690"/>
      <c r="AI358" s="690"/>
      <c r="AJ358" s="690"/>
      <c r="AK358" s="690"/>
      <c r="AL358" s="690"/>
      <c r="AM358" s="690"/>
      <c r="AN358" s="690"/>
      <c r="AO358" s="690"/>
      <c r="AP358" s="690"/>
    </row>
    <row r="359" spans="1:42" x14ac:dyDescent="0.25">
      <c r="A359" s="134">
        <f t="shared" si="12"/>
        <v>358</v>
      </c>
      <c r="B359" s="443" t="s">
        <v>3614</v>
      </c>
      <c r="C359" s="443" t="s">
        <v>3614</v>
      </c>
      <c r="D359" s="443"/>
      <c r="E359" s="443"/>
      <c r="F359" s="444" t="s">
        <v>4370</v>
      </c>
      <c r="G359" s="4"/>
      <c r="H359" s="640" t="s">
        <v>4378</v>
      </c>
      <c r="I359" s="640"/>
      <c r="J359" s="653" t="s">
        <v>6266</v>
      </c>
      <c r="K359" s="653" t="s">
        <v>6270</v>
      </c>
      <c r="L359" s="653"/>
      <c r="M359" s="653" t="s">
        <v>7108</v>
      </c>
      <c r="N359" s="653"/>
      <c r="O359" s="653"/>
      <c r="P359" s="653"/>
      <c r="Q359" s="640"/>
      <c r="R359" s="640"/>
      <c r="S359" s="640"/>
      <c r="T359" s="460"/>
      <c r="U359" s="460"/>
      <c r="V359" s="685">
        <f t="shared" si="13"/>
        <v>0</v>
      </c>
      <c r="W359" s="690"/>
      <c r="X359" s="690"/>
      <c r="Y359" s="690"/>
      <c r="Z359" s="690"/>
      <c r="AA359" s="690"/>
      <c r="AB359" s="690"/>
      <c r="AC359" s="690"/>
      <c r="AD359" s="690"/>
      <c r="AE359" s="690"/>
      <c r="AF359" s="690"/>
      <c r="AG359" s="690"/>
      <c r="AH359" s="690"/>
      <c r="AI359" s="690"/>
      <c r="AJ359" s="690"/>
      <c r="AK359" s="690"/>
      <c r="AL359" s="690"/>
      <c r="AM359" s="690"/>
      <c r="AN359" s="690"/>
      <c r="AO359" s="690"/>
      <c r="AP359" s="690"/>
    </row>
    <row r="360" spans="1:42" x14ac:dyDescent="0.25">
      <c r="A360" s="134">
        <f t="shared" si="12"/>
        <v>359</v>
      </c>
      <c r="B360" s="443" t="s">
        <v>3615</v>
      </c>
      <c r="C360" s="443" t="s">
        <v>3615</v>
      </c>
      <c r="D360" s="443"/>
      <c r="E360" s="443"/>
      <c r="F360" s="444" t="s">
        <v>4371</v>
      </c>
      <c r="G360" s="4"/>
      <c r="H360" s="640" t="s">
        <v>4378</v>
      </c>
      <c r="I360" s="640"/>
      <c r="J360" s="653" t="s">
        <v>6266</v>
      </c>
      <c r="K360" s="653" t="s">
        <v>6270</v>
      </c>
      <c r="L360" s="653"/>
      <c r="M360" s="653" t="s">
        <v>7108</v>
      </c>
      <c r="N360" s="653"/>
      <c r="O360" s="653"/>
      <c r="P360" s="653"/>
      <c r="Q360" s="640"/>
      <c r="R360" s="640"/>
      <c r="S360" s="640"/>
      <c r="T360" s="460"/>
      <c r="U360" s="460"/>
      <c r="V360" s="685">
        <f t="shared" si="13"/>
        <v>0</v>
      </c>
      <c r="W360" s="690"/>
      <c r="X360" s="690"/>
      <c r="Y360" s="690"/>
      <c r="Z360" s="690"/>
      <c r="AA360" s="690"/>
      <c r="AB360" s="690"/>
      <c r="AC360" s="690"/>
      <c r="AD360" s="690"/>
      <c r="AE360" s="690"/>
      <c r="AF360" s="690"/>
      <c r="AG360" s="690"/>
      <c r="AH360" s="690"/>
      <c r="AI360" s="690"/>
      <c r="AJ360" s="690"/>
      <c r="AK360" s="690"/>
      <c r="AL360" s="690"/>
      <c r="AM360" s="690"/>
      <c r="AN360" s="690"/>
      <c r="AO360" s="690"/>
      <c r="AP360" s="690"/>
    </row>
    <row r="361" spans="1:42" x14ac:dyDescent="0.25">
      <c r="A361" s="134">
        <f t="shared" si="12"/>
        <v>360</v>
      </c>
      <c r="B361" s="443" t="s">
        <v>3616</v>
      </c>
      <c r="C361" s="443" t="s">
        <v>3616</v>
      </c>
      <c r="D361" s="443"/>
      <c r="E361" s="443"/>
      <c r="F361" s="444" t="s">
        <v>4372</v>
      </c>
      <c r="G361" s="4"/>
      <c r="H361" s="640" t="s">
        <v>4378</v>
      </c>
      <c r="I361" s="640"/>
      <c r="J361" s="653" t="s">
        <v>6266</v>
      </c>
      <c r="K361" s="653" t="s">
        <v>6270</v>
      </c>
      <c r="L361" s="653"/>
      <c r="M361" s="653" t="s">
        <v>7108</v>
      </c>
      <c r="N361" s="653"/>
      <c r="O361" s="653"/>
      <c r="P361" s="653"/>
      <c r="Q361" s="640"/>
      <c r="R361" s="640"/>
      <c r="S361" s="640"/>
      <c r="T361" s="460"/>
      <c r="U361" s="460"/>
      <c r="V361" s="685">
        <f t="shared" si="13"/>
        <v>0</v>
      </c>
      <c r="W361" s="690"/>
      <c r="X361" s="690"/>
      <c r="Y361" s="690"/>
      <c r="Z361" s="690"/>
      <c r="AA361" s="690"/>
      <c r="AB361" s="690"/>
      <c r="AC361" s="690"/>
      <c r="AD361" s="690"/>
      <c r="AE361" s="690"/>
      <c r="AF361" s="690"/>
      <c r="AG361" s="690"/>
      <c r="AH361" s="690"/>
      <c r="AI361" s="690"/>
      <c r="AJ361" s="690"/>
      <c r="AK361" s="690"/>
      <c r="AL361" s="690"/>
      <c r="AM361" s="690"/>
      <c r="AN361" s="690"/>
      <c r="AO361" s="690"/>
      <c r="AP361" s="690"/>
    </row>
    <row r="362" spans="1:42" x14ac:dyDescent="0.25">
      <c r="A362" s="134">
        <f t="shared" si="12"/>
        <v>361</v>
      </c>
      <c r="B362" s="443" t="s">
        <v>3617</v>
      </c>
      <c r="C362" s="443" t="s">
        <v>3617</v>
      </c>
      <c r="D362" s="443"/>
      <c r="E362" s="443"/>
      <c r="F362" s="444" t="s">
        <v>4373</v>
      </c>
      <c r="G362" s="4"/>
      <c r="H362" s="640" t="s">
        <v>4378</v>
      </c>
      <c r="I362" s="640"/>
      <c r="J362" s="653" t="s">
        <v>6266</v>
      </c>
      <c r="K362" s="653" t="s">
        <v>6270</v>
      </c>
      <c r="L362" s="653"/>
      <c r="M362" s="653" t="s">
        <v>7108</v>
      </c>
      <c r="N362" s="653"/>
      <c r="O362" s="653"/>
      <c r="P362" s="653"/>
      <c r="Q362" s="640"/>
      <c r="R362" s="640"/>
      <c r="S362" s="640"/>
      <c r="T362" s="460"/>
      <c r="U362" s="460"/>
      <c r="V362" s="685">
        <f t="shared" si="13"/>
        <v>0</v>
      </c>
      <c r="W362" s="690"/>
      <c r="X362" s="690"/>
      <c r="Y362" s="690"/>
      <c r="Z362" s="690"/>
      <c r="AA362" s="690"/>
      <c r="AB362" s="690"/>
      <c r="AC362" s="690"/>
      <c r="AD362" s="690"/>
      <c r="AE362" s="690"/>
      <c r="AF362" s="690"/>
      <c r="AG362" s="690"/>
      <c r="AH362" s="690"/>
      <c r="AI362" s="690"/>
      <c r="AJ362" s="690"/>
      <c r="AK362" s="690"/>
      <c r="AL362" s="690"/>
      <c r="AM362" s="690"/>
      <c r="AN362" s="690"/>
      <c r="AO362" s="690"/>
      <c r="AP362" s="690"/>
    </row>
    <row r="363" spans="1:42" x14ac:dyDescent="0.25">
      <c r="A363" s="134">
        <f t="shared" si="12"/>
        <v>362</v>
      </c>
      <c r="B363" s="443" t="s">
        <v>3618</v>
      </c>
      <c r="C363" s="443" t="s">
        <v>3618</v>
      </c>
      <c r="D363" s="443"/>
      <c r="E363" s="443"/>
      <c r="F363" s="444" t="s">
        <v>4374</v>
      </c>
      <c r="G363" s="4"/>
      <c r="H363" s="640" t="s">
        <v>4378</v>
      </c>
      <c r="I363" s="640"/>
      <c r="J363" s="653" t="s">
        <v>6266</v>
      </c>
      <c r="K363" s="653" t="s">
        <v>6270</v>
      </c>
      <c r="L363" s="653"/>
      <c r="M363" s="653" t="s">
        <v>7108</v>
      </c>
      <c r="N363" s="653"/>
      <c r="O363" s="653"/>
      <c r="P363" s="653"/>
      <c r="Q363" s="640"/>
      <c r="R363" s="640"/>
      <c r="S363" s="640"/>
      <c r="T363" s="460"/>
      <c r="U363" s="460"/>
      <c r="V363" s="685">
        <f t="shared" si="13"/>
        <v>0</v>
      </c>
      <c r="W363" s="690"/>
      <c r="X363" s="690"/>
      <c r="Y363" s="690"/>
      <c r="Z363" s="690"/>
      <c r="AA363" s="690"/>
      <c r="AB363" s="690"/>
      <c r="AC363" s="690"/>
      <c r="AD363" s="690"/>
      <c r="AE363" s="690"/>
      <c r="AF363" s="690"/>
      <c r="AG363" s="690"/>
      <c r="AH363" s="690"/>
      <c r="AI363" s="690"/>
      <c r="AJ363" s="690"/>
      <c r="AK363" s="690"/>
      <c r="AL363" s="690"/>
      <c r="AM363" s="690"/>
      <c r="AN363" s="690"/>
      <c r="AO363" s="690"/>
      <c r="AP363" s="690"/>
    </row>
    <row r="364" spans="1:42" x14ac:dyDescent="0.25">
      <c r="A364" s="134">
        <f t="shared" si="12"/>
        <v>363</v>
      </c>
      <c r="B364" s="443" t="s">
        <v>3619</v>
      </c>
      <c r="C364" s="443" t="s">
        <v>3619</v>
      </c>
      <c r="D364" s="443"/>
      <c r="E364" s="443"/>
      <c r="F364" s="444" t="s">
        <v>4375</v>
      </c>
      <c r="G364" s="4"/>
      <c r="H364" s="640" t="s">
        <v>4378</v>
      </c>
      <c r="I364" s="640"/>
      <c r="J364" s="653" t="s">
        <v>6266</v>
      </c>
      <c r="K364" s="653" t="s">
        <v>6270</v>
      </c>
      <c r="L364" s="653"/>
      <c r="M364" s="653" t="s">
        <v>7108</v>
      </c>
      <c r="N364" s="653"/>
      <c r="O364" s="653"/>
      <c r="P364" s="653"/>
      <c r="Q364" s="640"/>
      <c r="R364" s="640"/>
      <c r="S364" s="640"/>
      <c r="T364" s="460"/>
      <c r="U364" s="460"/>
      <c r="V364" s="685">
        <f t="shared" si="13"/>
        <v>0</v>
      </c>
      <c r="W364" s="690"/>
      <c r="X364" s="690"/>
      <c r="Y364" s="690"/>
      <c r="Z364" s="690"/>
      <c r="AA364" s="690"/>
      <c r="AB364" s="690"/>
      <c r="AC364" s="690"/>
      <c r="AD364" s="690"/>
      <c r="AE364" s="690"/>
      <c r="AF364" s="690"/>
      <c r="AG364" s="690"/>
      <c r="AH364" s="690"/>
      <c r="AI364" s="690"/>
      <c r="AJ364" s="690"/>
      <c r="AK364" s="690"/>
      <c r="AL364" s="690"/>
      <c r="AM364" s="690"/>
      <c r="AN364" s="690"/>
      <c r="AO364" s="690"/>
      <c r="AP364" s="690"/>
    </row>
    <row r="365" spans="1:42" x14ac:dyDescent="0.25">
      <c r="A365" s="134">
        <f t="shared" si="12"/>
        <v>364</v>
      </c>
      <c r="B365" s="443" t="s">
        <v>3620</v>
      </c>
      <c r="C365" s="443" t="s">
        <v>3620</v>
      </c>
      <c r="D365" s="443"/>
      <c r="E365" s="443"/>
      <c r="F365" s="444" t="s">
        <v>4376</v>
      </c>
      <c r="G365" s="4"/>
      <c r="H365" s="640" t="s">
        <v>4378</v>
      </c>
      <c r="I365" s="640"/>
      <c r="J365" s="653" t="s">
        <v>6266</v>
      </c>
      <c r="K365" s="653" t="s">
        <v>6270</v>
      </c>
      <c r="L365" s="653"/>
      <c r="M365" s="653" t="s">
        <v>7108</v>
      </c>
      <c r="N365" s="653"/>
      <c r="O365" s="653"/>
      <c r="P365" s="653"/>
      <c r="Q365" s="640"/>
      <c r="R365" s="640"/>
      <c r="S365" s="640"/>
      <c r="T365" s="460"/>
      <c r="U365" s="460"/>
      <c r="V365" s="685">
        <f t="shared" si="13"/>
        <v>0</v>
      </c>
      <c r="W365" s="690"/>
      <c r="X365" s="690"/>
      <c r="Y365" s="690"/>
      <c r="Z365" s="690"/>
      <c r="AA365" s="690"/>
      <c r="AB365" s="690"/>
      <c r="AC365" s="690"/>
      <c r="AD365" s="690"/>
      <c r="AE365" s="690"/>
      <c r="AF365" s="690"/>
      <c r="AG365" s="690"/>
      <c r="AH365" s="690"/>
      <c r="AI365" s="690"/>
      <c r="AJ365" s="690"/>
      <c r="AK365" s="690"/>
      <c r="AL365" s="690"/>
      <c r="AM365" s="690"/>
      <c r="AN365" s="690"/>
      <c r="AO365" s="690"/>
      <c r="AP365" s="690"/>
    </row>
    <row r="366" spans="1:42" x14ac:dyDescent="0.25">
      <c r="A366" s="134">
        <f t="shared" si="12"/>
        <v>365</v>
      </c>
      <c r="B366" s="443" t="s">
        <v>3621</v>
      </c>
      <c r="C366" s="443" t="s">
        <v>3621</v>
      </c>
      <c r="D366" s="443"/>
      <c r="E366" s="443"/>
      <c r="F366" s="444" t="s">
        <v>4377</v>
      </c>
      <c r="G366" s="4"/>
      <c r="H366" s="640" t="s">
        <v>4378</v>
      </c>
      <c r="I366" s="640"/>
      <c r="J366" s="653" t="s">
        <v>6266</v>
      </c>
      <c r="K366" s="653" t="s">
        <v>6270</v>
      </c>
      <c r="L366" s="653"/>
      <c r="M366" s="653" t="s">
        <v>7108</v>
      </c>
      <c r="N366" s="653"/>
      <c r="O366" s="653"/>
      <c r="P366" s="653"/>
      <c r="Q366" s="640"/>
      <c r="R366" s="640"/>
      <c r="S366" s="640"/>
      <c r="T366" s="460"/>
      <c r="U366" s="460"/>
      <c r="V366" s="685">
        <f t="shared" si="13"/>
        <v>0</v>
      </c>
      <c r="W366" s="690"/>
      <c r="X366" s="690"/>
      <c r="Y366" s="690"/>
      <c r="Z366" s="690"/>
      <c r="AA366" s="690"/>
      <c r="AB366" s="690"/>
      <c r="AC366" s="690"/>
      <c r="AD366" s="690"/>
      <c r="AE366" s="690"/>
      <c r="AF366" s="690"/>
      <c r="AG366" s="690"/>
      <c r="AH366" s="690"/>
      <c r="AI366" s="690"/>
      <c r="AJ366" s="690"/>
      <c r="AK366" s="690"/>
      <c r="AL366" s="690"/>
      <c r="AM366" s="690"/>
      <c r="AN366" s="690"/>
      <c r="AO366" s="690"/>
      <c r="AP366" s="690"/>
    </row>
    <row r="367" spans="1:42" x14ac:dyDescent="0.25">
      <c r="A367" s="134">
        <f t="shared" si="12"/>
        <v>366</v>
      </c>
      <c r="B367" s="443" t="s">
        <v>3622</v>
      </c>
      <c r="C367" s="443" t="s">
        <v>3622</v>
      </c>
      <c r="D367" s="443"/>
      <c r="E367" s="443"/>
      <c r="F367" s="444" t="s">
        <v>4379</v>
      </c>
      <c r="G367" s="4"/>
      <c r="H367" s="640" t="s">
        <v>4391</v>
      </c>
      <c r="I367" s="640" t="s">
        <v>620</v>
      </c>
      <c r="J367" s="653" t="s">
        <v>6266</v>
      </c>
      <c r="K367" s="653" t="s">
        <v>6270</v>
      </c>
      <c r="L367" s="653"/>
      <c r="M367" s="653" t="s">
        <v>7103</v>
      </c>
      <c r="N367" s="653"/>
      <c r="O367" s="653"/>
      <c r="P367" s="653"/>
      <c r="Q367" s="640"/>
      <c r="R367" s="640"/>
      <c r="S367" s="640"/>
      <c r="T367" s="460"/>
      <c r="U367" s="460"/>
      <c r="V367" s="685">
        <f t="shared" si="13"/>
        <v>0</v>
      </c>
      <c r="W367" s="690"/>
      <c r="X367" s="690"/>
      <c r="Y367" s="690"/>
      <c r="Z367" s="690"/>
      <c r="AA367" s="690"/>
      <c r="AB367" s="690"/>
      <c r="AC367" s="690"/>
      <c r="AD367" s="690"/>
      <c r="AE367" s="690"/>
      <c r="AF367" s="690"/>
      <c r="AG367" s="690"/>
      <c r="AH367" s="690"/>
      <c r="AI367" s="690"/>
      <c r="AJ367" s="690"/>
      <c r="AK367" s="690"/>
      <c r="AL367" s="690"/>
      <c r="AM367" s="690"/>
      <c r="AN367" s="690"/>
      <c r="AO367" s="690"/>
      <c r="AP367" s="690"/>
    </row>
    <row r="368" spans="1:42" x14ac:dyDescent="0.25">
      <c r="A368" s="134">
        <f t="shared" si="12"/>
        <v>367</v>
      </c>
      <c r="B368" s="443" t="s">
        <v>3623</v>
      </c>
      <c r="C368" s="443" t="s">
        <v>3623</v>
      </c>
      <c r="D368" s="443"/>
      <c r="E368" s="443"/>
      <c r="F368" s="444" t="s">
        <v>4380</v>
      </c>
      <c r="G368" s="4"/>
      <c r="H368" s="640" t="s">
        <v>4391</v>
      </c>
      <c r="I368" s="640" t="s">
        <v>620</v>
      </c>
      <c r="J368" s="653" t="s">
        <v>6266</v>
      </c>
      <c r="K368" s="653" t="s">
        <v>6270</v>
      </c>
      <c r="L368" s="653"/>
      <c r="M368" s="653" t="s">
        <v>7103</v>
      </c>
      <c r="N368" s="653"/>
      <c r="O368" s="653"/>
      <c r="P368" s="653"/>
      <c r="Q368" s="640"/>
      <c r="R368" s="640"/>
      <c r="S368" s="640"/>
      <c r="T368" s="460"/>
      <c r="U368" s="460"/>
      <c r="V368" s="685">
        <f t="shared" si="13"/>
        <v>0</v>
      </c>
      <c r="W368" s="690"/>
      <c r="X368" s="690"/>
      <c r="Y368" s="690"/>
      <c r="Z368" s="690"/>
      <c r="AA368" s="690"/>
      <c r="AB368" s="690"/>
      <c r="AC368" s="690"/>
      <c r="AD368" s="690"/>
      <c r="AE368" s="690"/>
      <c r="AF368" s="690"/>
      <c r="AG368" s="690"/>
      <c r="AH368" s="690"/>
      <c r="AI368" s="690"/>
      <c r="AJ368" s="690"/>
      <c r="AK368" s="690"/>
      <c r="AL368" s="690"/>
      <c r="AM368" s="690"/>
      <c r="AN368" s="690"/>
      <c r="AO368" s="690"/>
      <c r="AP368" s="690"/>
    </row>
    <row r="369" spans="1:42" x14ac:dyDescent="0.25">
      <c r="A369" s="134">
        <f t="shared" si="12"/>
        <v>368</v>
      </c>
      <c r="B369" s="443" t="s">
        <v>3624</v>
      </c>
      <c r="C369" s="443" t="s">
        <v>3624</v>
      </c>
      <c r="D369" s="443"/>
      <c r="E369" s="443"/>
      <c r="F369" s="444" t="s">
        <v>4381</v>
      </c>
      <c r="G369" s="4"/>
      <c r="H369" s="640" t="s">
        <v>4391</v>
      </c>
      <c r="I369" s="640" t="s">
        <v>620</v>
      </c>
      <c r="J369" s="653" t="s">
        <v>6266</v>
      </c>
      <c r="K369" s="653" t="s">
        <v>6270</v>
      </c>
      <c r="L369" s="653"/>
      <c r="M369" s="653" t="s">
        <v>7103</v>
      </c>
      <c r="N369" s="653"/>
      <c r="O369" s="653"/>
      <c r="P369" s="653"/>
      <c r="Q369" s="640"/>
      <c r="R369" s="640"/>
      <c r="S369" s="640"/>
      <c r="T369" s="460"/>
      <c r="U369" s="460"/>
      <c r="V369" s="685">
        <f t="shared" si="13"/>
        <v>0</v>
      </c>
      <c r="W369" s="690"/>
      <c r="X369" s="690"/>
      <c r="Y369" s="690"/>
      <c r="Z369" s="690"/>
      <c r="AA369" s="690"/>
      <c r="AB369" s="690"/>
      <c r="AC369" s="690"/>
      <c r="AD369" s="690"/>
      <c r="AE369" s="690"/>
      <c r="AF369" s="690"/>
      <c r="AG369" s="690"/>
      <c r="AH369" s="690"/>
      <c r="AI369" s="690"/>
      <c r="AJ369" s="690"/>
      <c r="AK369" s="690"/>
      <c r="AL369" s="690"/>
      <c r="AM369" s="690"/>
      <c r="AN369" s="690"/>
      <c r="AO369" s="690"/>
      <c r="AP369" s="690"/>
    </row>
    <row r="370" spans="1:42" x14ac:dyDescent="0.25">
      <c r="A370" s="134">
        <f t="shared" si="12"/>
        <v>369</v>
      </c>
      <c r="B370" s="443" t="s">
        <v>3625</v>
      </c>
      <c r="C370" s="443" t="s">
        <v>3625</v>
      </c>
      <c r="D370" s="443"/>
      <c r="E370" s="443"/>
      <c r="F370" s="444" t="s">
        <v>4842</v>
      </c>
      <c r="G370" s="4"/>
      <c r="H370" s="640" t="s">
        <v>4391</v>
      </c>
      <c r="I370" s="640" t="s">
        <v>620</v>
      </c>
      <c r="J370" s="653" t="s">
        <v>6266</v>
      </c>
      <c r="K370" s="653" t="s">
        <v>6270</v>
      </c>
      <c r="L370" s="653"/>
      <c r="M370" s="653" t="s">
        <v>7103</v>
      </c>
      <c r="N370" s="653"/>
      <c r="O370" s="653"/>
      <c r="P370" s="653"/>
      <c r="Q370" s="640"/>
      <c r="R370" s="640"/>
      <c r="S370" s="640"/>
      <c r="T370" s="460"/>
      <c r="U370" s="460"/>
      <c r="V370" s="685">
        <f t="shared" si="13"/>
        <v>0</v>
      </c>
      <c r="W370" s="690"/>
      <c r="X370" s="690"/>
      <c r="Y370" s="690"/>
      <c r="Z370" s="690"/>
      <c r="AA370" s="690"/>
      <c r="AB370" s="690"/>
      <c r="AC370" s="690"/>
      <c r="AD370" s="690"/>
      <c r="AE370" s="690"/>
      <c r="AF370" s="690"/>
      <c r="AG370" s="690"/>
      <c r="AH370" s="690"/>
      <c r="AI370" s="690"/>
      <c r="AJ370" s="690"/>
      <c r="AK370" s="690"/>
      <c r="AL370" s="690"/>
      <c r="AM370" s="690"/>
      <c r="AN370" s="690"/>
      <c r="AO370" s="690"/>
      <c r="AP370" s="690"/>
    </row>
    <row r="371" spans="1:42" x14ac:dyDescent="0.25">
      <c r="A371" s="134">
        <f t="shared" si="12"/>
        <v>370</v>
      </c>
      <c r="B371" s="443" t="s">
        <v>3626</v>
      </c>
      <c r="C371" s="443" t="s">
        <v>3626</v>
      </c>
      <c r="D371" s="443"/>
      <c r="E371" s="443"/>
      <c r="F371" s="444" t="s">
        <v>4382</v>
      </c>
      <c r="G371" s="4"/>
      <c r="H371" s="640" t="s">
        <v>4391</v>
      </c>
      <c r="I371" s="640" t="s">
        <v>620</v>
      </c>
      <c r="J371" s="653" t="s">
        <v>6266</v>
      </c>
      <c r="K371" s="653" t="s">
        <v>6270</v>
      </c>
      <c r="L371" s="653"/>
      <c r="M371" s="653" t="s">
        <v>7103</v>
      </c>
      <c r="N371" s="653"/>
      <c r="O371" s="653"/>
      <c r="P371" s="653"/>
      <c r="Q371" s="640"/>
      <c r="R371" s="640"/>
      <c r="S371" s="640"/>
      <c r="T371" s="460"/>
      <c r="U371" s="460"/>
      <c r="V371" s="685">
        <f t="shared" si="13"/>
        <v>0</v>
      </c>
      <c r="W371" s="690"/>
      <c r="X371" s="690"/>
      <c r="Y371" s="690"/>
      <c r="Z371" s="690"/>
      <c r="AA371" s="690"/>
      <c r="AB371" s="690"/>
      <c r="AC371" s="690"/>
      <c r="AD371" s="690"/>
      <c r="AE371" s="690"/>
      <c r="AF371" s="690"/>
      <c r="AG371" s="690"/>
      <c r="AH371" s="690"/>
      <c r="AI371" s="690"/>
      <c r="AJ371" s="690"/>
      <c r="AK371" s="690"/>
      <c r="AL371" s="690"/>
      <c r="AM371" s="690"/>
      <c r="AN371" s="690"/>
      <c r="AO371" s="690"/>
      <c r="AP371" s="690"/>
    </row>
    <row r="372" spans="1:42" x14ac:dyDescent="0.25">
      <c r="A372" s="134">
        <f t="shared" si="12"/>
        <v>371</v>
      </c>
      <c r="B372" s="443" t="s">
        <v>3627</v>
      </c>
      <c r="C372" s="443" t="s">
        <v>3627</v>
      </c>
      <c r="D372" s="443"/>
      <c r="E372" s="443"/>
      <c r="F372" s="444" t="s">
        <v>4843</v>
      </c>
      <c r="G372" s="4"/>
      <c r="H372" s="640" t="s">
        <v>4391</v>
      </c>
      <c r="I372" s="640" t="s">
        <v>620</v>
      </c>
      <c r="J372" s="653" t="s">
        <v>6266</v>
      </c>
      <c r="K372" s="653" t="s">
        <v>6270</v>
      </c>
      <c r="L372" s="653"/>
      <c r="M372" s="653" t="s">
        <v>7103</v>
      </c>
      <c r="N372" s="653"/>
      <c r="O372" s="653"/>
      <c r="P372" s="653"/>
      <c r="Q372" s="640"/>
      <c r="R372" s="640"/>
      <c r="S372" s="640"/>
      <c r="T372" s="460"/>
      <c r="U372" s="460"/>
      <c r="V372" s="685">
        <f t="shared" si="13"/>
        <v>0</v>
      </c>
      <c r="W372" s="690"/>
      <c r="X372" s="690"/>
      <c r="Y372" s="690"/>
      <c r="Z372" s="690"/>
      <c r="AA372" s="690"/>
      <c r="AB372" s="690"/>
      <c r="AC372" s="690"/>
      <c r="AD372" s="690"/>
      <c r="AE372" s="690"/>
      <c r="AF372" s="690"/>
      <c r="AG372" s="690"/>
      <c r="AH372" s="690"/>
      <c r="AI372" s="690"/>
      <c r="AJ372" s="690"/>
      <c r="AK372" s="690"/>
      <c r="AL372" s="690"/>
      <c r="AM372" s="690"/>
      <c r="AN372" s="690"/>
      <c r="AO372" s="690"/>
      <c r="AP372" s="690"/>
    </row>
    <row r="373" spans="1:42" x14ac:dyDescent="0.25">
      <c r="A373" s="134">
        <f t="shared" si="12"/>
        <v>372</v>
      </c>
      <c r="B373" s="443" t="s">
        <v>3628</v>
      </c>
      <c r="C373" s="443" t="s">
        <v>3628</v>
      </c>
      <c r="D373" s="443"/>
      <c r="E373" s="443"/>
      <c r="F373" s="444" t="s">
        <v>4383</v>
      </c>
      <c r="G373" s="4"/>
      <c r="H373" s="640" t="s">
        <v>4391</v>
      </c>
      <c r="I373" s="640" t="s">
        <v>620</v>
      </c>
      <c r="J373" s="653" t="s">
        <v>6266</v>
      </c>
      <c r="K373" s="653" t="s">
        <v>6270</v>
      </c>
      <c r="L373" s="653"/>
      <c r="M373" s="653" t="s">
        <v>7103</v>
      </c>
      <c r="N373" s="653"/>
      <c r="O373" s="653"/>
      <c r="P373" s="653"/>
      <c r="Q373" s="640"/>
      <c r="R373" s="640"/>
      <c r="S373" s="640"/>
      <c r="T373" s="460"/>
      <c r="U373" s="460"/>
      <c r="V373" s="685">
        <f t="shared" si="13"/>
        <v>0</v>
      </c>
      <c r="W373" s="690"/>
      <c r="X373" s="690"/>
      <c r="Y373" s="690"/>
      <c r="Z373" s="690"/>
      <c r="AA373" s="690"/>
      <c r="AB373" s="690"/>
      <c r="AC373" s="690"/>
      <c r="AD373" s="690"/>
      <c r="AE373" s="690"/>
      <c r="AF373" s="690"/>
      <c r="AG373" s="690"/>
      <c r="AH373" s="690"/>
      <c r="AI373" s="690"/>
      <c r="AJ373" s="690"/>
      <c r="AK373" s="690"/>
      <c r="AL373" s="690"/>
      <c r="AM373" s="690"/>
      <c r="AN373" s="690"/>
      <c r="AO373" s="690"/>
      <c r="AP373" s="690"/>
    </row>
    <row r="374" spans="1:42" x14ac:dyDescent="0.25">
      <c r="A374" s="134">
        <f t="shared" si="12"/>
        <v>373</v>
      </c>
      <c r="B374" s="443" t="s">
        <v>3629</v>
      </c>
      <c r="C374" s="443" t="s">
        <v>3629</v>
      </c>
      <c r="D374" s="443"/>
      <c r="E374" s="443"/>
      <c r="F374" s="444" t="s">
        <v>4384</v>
      </c>
      <c r="G374" s="4"/>
      <c r="H374" s="640" t="s">
        <v>4391</v>
      </c>
      <c r="I374" s="640" t="s">
        <v>620</v>
      </c>
      <c r="J374" s="653" t="s">
        <v>6266</v>
      </c>
      <c r="K374" s="653" t="s">
        <v>6270</v>
      </c>
      <c r="L374" s="653"/>
      <c r="M374" s="653" t="s">
        <v>7103</v>
      </c>
      <c r="N374" s="653"/>
      <c r="O374" s="653"/>
      <c r="P374" s="653"/>
      <c r="Q374" s="640"/>
      <c r="R374" s="640"/>
      <c r="S374" s="640"/>
      <c r="T374" s="460"/>
      <c r="U374" s="460"/>
      <c r="V374" s="685">
        <f t="shared" si="13"/>
        <v>0</v>
      </c>
      <c r="W374" s="690"/>
      <c r="X374" s="690"/>
      <c r="Y374" s="690"/>
      <c r="Z374" s="690"/>
      <c r="AA374" s="690"/>
      <c r="AB374" s="690"/>
      <c r="AC374" s="690"/>
      <c r="AD374" s="690"/>
      <c r="AE374" s="690"/>
      <c r="AF374" s="690"/>
      <c r="AG374" s="690"/>
      <c r="AH374" s="690"/>
      <c r="AI374" s="690"/>
      <c r="AJ374" s="690"/>
      <c r="AK374" s="690"/>
      <c r="AL374" s="690"/>
      <c r="AM374" s="690"/>
      <c r="AN374" s="690"/>
      <c r="AO374" s="690"/>
      <c r="AP374" s="690"/>
    </row>
    <row r="375" spans="1:42" x14ac:dyDescent="0.25">
      <c r="A375" s="134">
        <f t="shared" si="12"/>
        <v>374</v>
      </c>
      <c r="B375" s="443" t="s">
        <v>3630</v>
      </c>
      <c r="C375" s="443" t="s">
        <v>3630</v>
      </c>
      <c r="D375" s="443"/>
      <c r="E375" s="443"/>
      <c r="F375" s="444" t="s">
        <v>4385</v>
      </c>
      <c r="G375" s="4"/>
      <c r="H375" s="640" t="s">
        <v>4391</v>
      </c>
      <c r="I375" s="640" t="s">
        <v>620</v>
      </c>
      <c r="J375" s="653" t="s">
        <v>6266</v>
      </c>
      <c r="K375" s="653" t="s">
        <v>6270</v>
      </c>
      <c r="L375" s="653"/>
      <c r="M375" s="653" t="s">
        <v>7103</v>
      </c>
      <c r="N375" s="653"/>
      <c r="O375" s="653"/>
      <c r="P375" s="653"/>
      <c r="Q375" s="640"/>
      <c r="R375" s="640"/>
      <c r="S375" s="640"/>
      <c r="T375" s="460"/>
      <c r="U375" s="460"/>
      <c r="V375" s="685">
        <f t="shared" si="13"/>
        <v>0</v>
      </c>
      <c r="W375" s="690"/>
      <c r="X375" s="690"/>
      <c r="Y375" s="690"/>
      <c r="Z375" s="690"/>
      <c r="AA375" s="690"/>
      <c r="AB375" s="690"/>
      <c r="AC375" s="690"/>
      <c r="AD375" s="690"/>
      <c r="AE375" s="690"/>
      <c r="AF375" s="690"/>
      <c r="AG375" s="690"/>
      <c r="AH375" s="690"/>
      <c r="AI375" s="690"/>
      <c r="AJ375" s="690"/>
      <c r="AK375" s="690"/>
      <c r="AL375" s="690"/>
      <c r="AM375" s="690"/>
      <c r="AN375" s="690"/>
      <c r="AO375" s="690"/>
      <c r="AP375" s="690"/>
    </row>
    <row r="376" spans="1:42" x14ac:dyDescent="0.25">
      <c r="A376" s="134">
        <f t="shared" si="12"/>
        <v>375</v>
      </c>
      <c r="B376" s="443" t="s">
        <v>3631</v>
      </c>
      <c r="C376" s="443" t="s">
        <v>3631</v>
      </c>
      <c r="D376" s="443"/>
      <c r="E376" s="443"/>
      <c r="F376" s="444" t="s">
        <v>4386</v>
      </c>
      <c r="G376" s="4"/>
      <c r="H376" s="640" t="s">
        <v>4391</v>
      </c>
      <c r="I376" s="640" t="s">
        <v>620</v>
      </c>
      <c r="J376" s="653" t="s">
        <v>6266</v>
      </c>
      <c r="K376" s="653" t="s">
        <v>6270</v>
      </c>
      <c r="L376" s="653"/>
      <c r="M376" s="653" t="s">
        <v>7103</v>
      </c>
      <c r="N376" s="653"/>
      <c r="O376" s="653"/>
      <c r="P376" s="653"/>
      <c r="Q376" s="640"/>
      <c r="R376" s="640"/>
      <c r="S376" s="640"/>
      <c r="T376" s="460"/>
      <c r="U376" s="460"/>
      <c r="V376" s="685">
        <f t="shared" si="13"/>
        <v>0</v>
      </c>
      <c r="W376" s="690"/>
      <c r="X376" s="690"/>
      <c r="Y376" s="690"/>
      <c r="Z376" s="690"/>
      <c r="AA376" s="690"/>
      <c r="AB376" s="690"/>
      <c r="AC376" s="690"/>
      <c r="AD376" s="690"/>
      <c r="AE376" s="690"/>
      <c r="AF376" s="690"/>
      <c r="AG376" s="690"/>
      <c r="AH376" s="690"/>
      <c r="AI376" s="690"/>
      <c r="AJ376" s="690"/>
      <c r="AK376" s="690"/>
      <c r="AL376" s="690"/>
      <c r="AM376" s="690"/>
      <c r="AN376" s="690"/>
      <c r="AO376" s="690"/>
      <c r="AP376" s="690"/>
    </row>
    <row r="377" spans="1:42" x14ac:dyDescent="0.25">
      <c r="A377" s="134">
        <f t="shared" si="12"/>
        <v>376</v>
      </c>
      <c r="B377" s="443" t="s">
        <v>3632</v>
      </c>
      <c r="C377" s="443" t="s">
        <v>3632</v>
      </c>
      <c r="D377" s="443"/>
      <c r="E377" s="443"/>
      <c r="F377" s="444" t="s">
        <v>4387</v>
      </c>
      <c r="G377" s="4"/>
      <c r="H377" s="640" t="s">
        <v>4391</v>
      </c>
      <c r="I377" s="640" t="s">
        <v>620</v>
      </c>
      <c r="J377" s="653" t="s">
        <v>6266</v>
      </c>
      <c r="K377" s="653" t="s">
        <v>6270</v>
      </c>
      <c r="L377" s="653"/>
      <c r="M377" s="653" t="s">
        <v>7103</v>
      </c>
      <c r="N377" s="653"/>
      <c r="O377" s="653"/>
      <c r="P377" s="653"/>
      <c r="Q377" s="640"/>
      <c r="R377" s="640"/>
      <c r="S377" s="640"/>
      <c r="T377" s="460"/>
      <c r="U377" s="460"/>
      <c r="V377" s="685">
        <f t="shared" si="13"/>
        <v>0</v>
      </c>
      <c r="W377" s="690"/>
      <c r="X377" s="690"/>
      <c r="Y377" s="690"/>
      <c r="Z377" s="690"/>
      <c r="AA377" s="690"/>
      <c r="AB377" s="690"/>
      <c r="AC377" s="690"/>
      <c r="AD377" s="690"/>
      <c r="AE377" s="690"/>
      <c r="AF377" s="690"/>
      <c r="AG377" s="690"/>
      <c r="AH377" s="690"/>
      <c r="AI377" s="690"/>
      <c r="AJ377" s="690"/>
      <c r="AK377" s="690"/>
      <c r="AL377" s="690"/>
      <c r="AM377" s="690"/>
      <c r="AN377" s="690"/>
      <c r="AO377" s="690"/>
      <c r="AP377" s="690"/>
    </row>
    <row r="378" spans="1:42" x14ac:dyDescent="0.25">
      <c r="A378" s="134">
        <f t="shared" si="12"/>
        <v>377</v>
      </c>
      <c r="B378" s="443" t="s">
        <v>3633</v>
      </c>
      <c r="C378" s="443" t="s">
        <v>3633</v>
      </c>
      <c r="D378" s="443"/>
      <c r="E378" s="443"/>
      <c r="F378" s="444" t="s">
        <v>4388</v>
      </c>
      <c r="G378" s="4"/>
      <c r="H378" s="640" t="s">
        <v>4391</v>
      </c>
      <c r="I378" s="640" t="s">
        <v>620</v>
      </c>
      <c r="J378" s="653" t="s">
        <v>6266</v>
      </c>
      <c r="K378" s="653" t="s">
        <v>6270</v>
      </c>
      <c r="L378" s="653"/>
      <c r="M378" s="653" t="s">
        <v>7103</v>
      </c>
      <c r="N378" s="653"/>
      <c r="O378" s="653"/>
      <c r="P378" s="653"/>
      <c r="Q378" s="640"/>
      <c r="R378" s="640"/>
      <c r="S378" s="640"/>
      <c r="T378" s="460"/>
      <c r="U378" s="460"/>
      <c r="V378" s="685">
        <f t="shared" si="13"/>
        <v>0</v>
      </c>
      <c r="W378" s="690"/>
      <c r="X378" s="690"/>
      <c r="Y378" s="690"/>
      <c r="Z378" s="690"/>
      <c r="AA378" s="690"/>
      <c r="AB378" s="690"/>
      <c r="AC378" s="690"/>
      <c r="AD378" s="690"/>
      <c r="AE378" s="690"/>
      <c r="AF378" s="690"/>
      <c r="AG378" s="690"/>
      <c r="AH378" s="690"/>
      <c r="AI378" s="690"/>
      <c r="AJ378" s="690"/>
      <c r="AK378" s="690"/>
      <c r="AL378" s="690"/>
      <c r="AM378" s="690"/>
      <c r="AN378" s="690"/>
      <c r="AO378" s="690"/>
      <c r="AP378" s="690"/>
    </row>
    <row r="379" spans="1:42" x14ac:dyDescent="0.25">
      <c r="A379" s="134">
        <f t="shared" si="12"/>
        <v>378</v>
      </c>
      <c r="B379" s="443" t="s">
        <v>3634</v>
      </c>
      <c r="C379" s="443" t="s">
        <v>3634</v>
      </c>
      <c r="D379" s="443"/>
      <c r="E379" s="443"/>
      <c r="F379" s="444" t="s">
        <v>4844</v>
      </c>
      <c r="G379" s="4"/>
      <c r="H379" s="640" t="s">
        <v>4391</v>
      </c>
      <c r="I379" s="640" t="s">
        <v>620</v>
      </c>
      <c r="J379" s="653" t="s">
        <v>6266</v>
      </c>
      <c r="K379" s="653" t="s">
        <v>6270</v>
      </c>
      <c r="L379" s="653"/>
      <c r="M379" s="653" t="s">
        <v>7103</v>
      </c>
      <c r="N379" s="653"/>
      <c r="O379" s="653"/>
      <c r="P379" s="653"/>
      <c r="Q379" s="640"/>
      <c r="R379" s="640"/>
      <c r="S379" s="640"/>
      <c r="T379" s="460"/>
      <c r="U379" s="460"/>
      <c r="V379" s="685">
        <f t="shared" si="13"/>
        <v>0</v>
      </c>
      <c r="W379" s="690"/>
      <c r="X379" s="690"/>
      <c r="Y379" s="690"/>
      <c r="Z379" s="690"/>
      <c r="AA379" s="690"/>
      <c r="AB379" s="690"/>
      <c r="AC379" s="690"/>
      <c r="AD379" s="690"/>
      <c r="AE379" s="690"/>
      <c r="AF379" s="690"/>
      <c r="AG379" s="690"/>
      <c r="AH379" s="690"/>
      <c r="AI379" s="690"/>
      <c r="AJ379" s="690"/>
      <c r="AK379" s="690"/>
      <c r="AL379" s="690"/>
      <c r="AM379" s="690"/>
      <c r="AN379" s="690"/>
      <c r="AO379" s="690"/>
      <c r="AP379" s="690"/>
    </row>
    <row r="380" spans="1:42" x14ac:dyDescent="0.25">
      <c r="A380" s="134">
        <f t="shared" si="12"/>
        <v>379</v>
      </c>
      <c r="B380" s="443" t="s">
        <v>3635</v>
      </c>
      <c r="C380" s="443" t="s">
        <v>3635</v>
      </c>
      <c r="D380" s="443"/>
      <c r="E380" s="443"/>
      <c r="F380" s="444" t="s">
        <v>4389</v>
      </c>
      <c r="G380" s="4"/>
      <c r="H380" s="640" t="s">
        <v>4391</v>
      </c>
      <c r="I380" s="640" t="s">
        <v>620</v>
      </c>
      <c r="J380" s="653" t="s">
        <v>6266</v>
      </c>
      <c r="K380" s="653" t="s">
        <v>6270</v>
      </c>
      <c r="L380" s="653"/>
      <c r="M380" s="653" t="s">
        <v>7103</v>
      </c>
      <c r="N380" s="653"/>
      <c r="O380" s="653"/>
      <c r="P380" s="653"/>
      <c r="Q380" s="640"/>
      <c r="R380" s="640"/>
      <c r="S380" s="640"/>
      <c r="T380" s="460"/>
      <c r="U380" s="460"/>
      <c r="V380" s="685">
        <f t="shared" si="13"/>
        <v>0</v>
      </c>
      <c r="W380" s="690"/>
      <c r="X380" s="690"/>
      <c r="Y380" s="690"/>
      <c r="Z380" s="690"/>
      <c r="AA380" s="690"/>
      <c r="AB380" s="690"/>
      <c r="AC380" s="690"/>
      <c r="AD380" s="690"/>
      <c r="AE380" s="690"/>
      <c r="AF380" s="690"/>
      <c r="AG380" s="690"/>
      <c r="AH380" s="690"/>
      <c r="AI380" s="690"/>
      <c r="AJ380" s="690"/>
      <c r="AK380" s="690"/>
      <c r="AL380" s="690"/>
      <c r="AM380" s="690"/>
      <c r="AN380" s="690"/>
      <c r="AO380" s="690"/>
      <c r="AP380" s="690"/>
    </row>
    <row r="381" spans="1:42" x14ac:dyDescent="0.25">
      <c r="A381" s="134">
        <f t="shared" si="12"/>
        <v>380</v>
      </c>
      <c r="B381" s="443" t="s">
        <v>3636</v>
      </c>
      <c r="C381" s="443" t="s">
        <v>3636</v>
      </c>
      <c r="D381" s="443"/>
      <c r="E381" s="443"/>
      <c r="F381" s="444" t="s">
        <v>4845</v>
      </c>
      <c r="G381" s="4"/>
      <c r="H381" s="640" t="s">
        <v>4391</v>
      </c>
      <c r="I381" s="640" t="s">
        <v>620</v>
      </c>
      <c r="J381" s="653" t="s">
        <v>6266</v>
      </c>
      <c r="K381" s="653" t="s">
        <v>6270</v>
      </c>
      <c r="L381" s="653"/>
      <c r="M381" s="653" t="s">
        <v>7103</v>
      </c>
      <c r="N381" s="653"/>
      <c r="O381" s="653"/>
      <c r="P381" s="653"/>
      <c r="Q381" s="640"/>
      <c r="R381" s="640"/>
      <c r="S381" s="640"/>
      <c r="T381" s="460"/>
      <c r="U381" s="460"/>
      <c r="V381" s="685">
        <f t="shared" si="13"/>
        <v>0</v>
      </c>
      <c r="W381" s="690"/>
      <c r="X381" s="690"/>
      <c r="Y381" s="690"/>
      <c r="Z381" s="690"/>
      <c r="AA381" s="690"/>
      <c r="AB381" s="690"/>
      <c r="AC381" s="690"/>
      <c r="AD381" s="690"/>
      <c r="AE381" s="690"/>
      <c r="AF381" s="690"/>
      <c r="AG381" s="690"/>
      <c r="AH381" s="690"/>
      <c r="AI381" s="690"/>
      <c r="AJ381" s="690"/>
      <c r="AK381" s="690"/>
      <c r="AL381" s="690"/>
      <c r="AM381" s="690"/>
      <c r="AN381" s="690"/>
      <c r="AO381" s="690"/>
      <c r="AP381" s="690"/>
    </row>
    <row r="382" spans="1:42" x14ac:dyDescent="0.25">
      <c r="A382" s="134">
        <f t="shared" si="12"/>
        <v>381</v>
      </c>
      <c r="B382" s="443" t="s">
        <v>3637</v>
      </c>
      <c r="C382" s="443" t="s">
        <v>3637</v>
      </c>
      <c r="D382" s="443"/>
      <c r="E382" s="443"/>
      <c r="F382" s="444" t="s">
        <v>4390</v>
      </c>
      <c r="G382" s="4"/>
      <c r="H382" s="640" t="s">
        <v>4391</v>
      </c>
      <c r="I382" s="640" t="s">
        <v>620</v>
      </c>
      <c r="J382" s="653" t="s">
        <v>6266</v>
      </c>
      <c r="K382" s="653" t="s">
        <v>6270</v>
      </c>
      <c r="L382" s="653"/>
      <c r="M382" s="653" t="s">
        <v>7103</v>
      </c>
      <c r="N382" s="653"/>
      <c r="O382" s="653"/>
      <c r="P382" s="653"/>
      <c r="Q382" s="640"/>
      <c r="R382" s="640"/>
      <c r="S382" s="640"/>
      <c r="T382" s="460"/>
      <c r="U382" s="460"/>
      <c r="V382" s="685">
        <f t="shared" si="13"/>
        <v>0</v>
      </c>
      <c r="W382" s="690"/>
      <c r="X382" s="690"/>
      <c r="Y382" s="690"/>
      <c r="Z382" s="690"/>
      <c r="AA382" s="690"/>
      <c r="AB382" s="690"/>
      <c r="AC382" s="690"/>
      <c r="AD382" s="690"/>
      <c r="AE382" s="690"/>
      <c r="AF382" s="690"/>
      <c r="AG382" s="690"/>
      <c r="AH382" s="690"/>
      <c r="AI382" s="690"/>
      <c r="AJ382" s="690"/>
      <c r="AK382" s="690"/>
      <c r="AL382" s="690"/>
      <c r="AM382" s="690"/>
      <c r="AN382" s="690"/>
      <c r="AO382" s="690"/>
      <c r="AP382" s="690"/>
    </row>
    <row r="383" spans="1:42" x14ac:dyDescent="0.25">
      <c r="A383" s="134">
        <f t="shared" si="12"/>
        <v>382</v>
      </c>
      <c r="B383" s="443" t="s">
        <v>3678</v>
      </c>
      <c r="C383" s="443" t="s">
        <v>3678</v>
      </c>
      <c r="D383" s="443"/>
      <c r="E383" s="443" t="s">
        <v>7146</v>
      </c>
      <c r="F383" s="444" t="s">
        <v>4413</v>
      </c>
      <c r="G383" s="4" t="s">
        <v>7381</v>
      </c>
      <c r="H383" s="640" t="s">
        <v>4394</v>
      </c>
      <c r="I383" s="640" t="s">
        <v>624</v>
      </c>
      <c r="J383" s="653" t="s">
        <v>6266</v>
      </c>
      <c r="K383" s="653" t="s">
        <v>6269</v>
      </c>
      <c r="L383" s="653"/>
      <c r="M383" s="653"/>
      <c r="N383" s="653"/>
      <c r="O383" s="653"/>
      <c r="P383" s="653"/>
      <c r="Q383" s="640" t="s">
        <v>5252</v>
      </c>
      <c r="R383" s="640"/>
      <c r="S383" s="640"/>
      <c r="T383" s="460"/>
      <c r="U383" s="460"/>
      <c r="V383" s="685">
        <f t="shared" si="13"/>
        <v>0</v>
      </c>
      <c r="W383" s="690"/>
      <c r="X383" s="690"/>
      <c r="Y383" s="690"/>
      <c r="Z383" s="690"/>
      <c r="AA383" s="690"/>
      <c r="AB383" s="690"/>
      <c r="AC383" s="690"/>
      <c r="AD383" s="690"/>
      <c r="AE383" s="690"/>
      <c r="AF383" s="690"/>
      <c r="AG383" s="690"/>
      <c r="AH383" s="690"/>
      <c r="AI383" s="690"/>
      <c r="AJ383" s="690"/>
      <c r="AK383" s="690"/>
      <c r="AL383" s="690"/>
      <c r="AM383" s="690"/>
      <c r="AN383" s="690"/>
      <c r="AO383" s="690"/>
      <c r="AP383" s="690"/>
    </row>
    <row r="384" spans="1:42" x14ac:dyDescent="0.25">
      <c r="A384" s="134">
        <f t="shared" si="12"/>
        <v>383</v>
      </c>
      <c r="B384" s="443" t="s">
        <v>3679</v>
      </c>
      <c r="C384" s="443" t="s">
        <v>3679</v>
      </c>
      <c r="D384" s="443"/>
      <c r="E384" s="443"/>
      <c r="F384" s="444" t="s">
        <v>4414</v>
      </c>
      <c r="G384" s="4"/>
      <c r="H384" s="640" t="s">
        <v>4394</v>
      </c>
      <c r="I384" s="640" t="s">
        <v>624</v>
      </c>
      <c r="J384" s="653" t="s">
        <v>6266</v>
      </c>
      <c r="K384" s="653" t="s">
        <v>6270</v>
      </c>
      <c r="L384" s="653"/>
      <c r="M384" s="653"/>
      <c r="N384" s="653"/>
      <c r="O384" s="653"/>
      <c r="P384" s="653"/>
      <c r="Q384" s="640"/>
      <c r="R384" s="640"/>
      <c r="S384" s="640"/>
      <c r="T384" s="460"/>
      <c r="U384" s="460"/>
      <c r="V384" s="685">
        <f t="shared" si="13"/>
        <v>0</v>
      </c>
      <c r="W384" s="690"/>
      <c r="X384" s="690"/>
      <c r="Y384" s="690"/>
      <c r="Z384" s="690"/>
      <c r="AA384" s="690"/>
      <c r="AB384" s="690"/>
      <c r="AC384" s="690"/>
      <c r="AD384" s="690"/>
      <c r="AE384" s="690"/>
      <c r="AF384" s="690"/>
      <c r="AG384" s="690"/>
      <c r="AH384" s="690"/>
      <c r="AI384" s="690"/>
      <c r="AJ384" s="690"/>
      <c r="AK384" s="690"/>
      <c r="AL384" s="690"/>
      <c r="AM384" s="690"/>
      <c r="AN384" s="690"/>
      <c r="AO384" s="690"/>
      <c r="AP384" s="690"/>
    </row>
    <row r="385" spans="1:42" x14ac:dyDescent="0.25">
      <c r="A385" s="134">
        <f t="shared" si="12"/>
        <v>384</v>
      </c>
      <c r="B385" s="443" t="s">
        <v>3680</v>
      </c>
      <c r="C385" s="443" t="s">
        <v>3680</v>
      </c>
      <c r="D385" s="443"/>
      <c r="E385" s="443"/>
      <c r="F385" s="444" t="s">
        <v>4415</v>
      </c>
      <c r="G385" s="4"/>
      <c r="H385" s="640" t="s">
        <v>4394</v>
      </c>
      <c r="I385" s="640" t="s">
        <v>624</v>
      </c>
      <c r="J385" s="653" t="s">
        <v>6266</v>
      </c>
      <c r="K385" s="653" t="s">
        <v>6270</v>
      </c>
      <c r="L385" s="653"/>
      <c r="M385" s="653"/>
      <c r="N385" s="653"/>
      <c r="O385" s="653"/>
      <c r="P385" s="653"/>
      <c r="Q385" s="640" t="s">
        <v>5250</v>
      </c>
      <c r="R385" s="640"/>
      <c r="S385" s="640"/>
      <c r="T385" s="460"/>
      <c r="U385" s="460"/>
      <c r="V385" s="685">
        <f t="shared" si="13"/>
        <v>0</v>
      </c>
      <c r="W385" s="690"/>
      <c r="X385" s="690"/>
      <c r="Y385" s="690"/>
      <c r="Z385" s="690"/>
      <c r="AA385" s="690"/>
      <c r="AB385" s="690"/>
      <c r="AC385" s="690"/>
      <c r="AD385" s="690"/>
      <c r="AE385" s="690"/>
      <c r="AF385" s="690"/>
      <c r="AG385" s="690"/>
      <c r="AH385" s="690"/>
      <c r="AI385" s="690"/>
      <c r="AJ385" s="690"/>
      <c r="AK385" s="690"/>
      <c r="AL385" s="690"/>
      <c r="AM385" s="690"/>
      <c r="AN385" s="690"/>
      <c r="AO385" s="690"/>
      <c r="AP385" s="690"/>
    </row>
    <row r="386" spans="1:42" x14ac:dyDescent="0.25">
      <c r="A386" s="134">
        <f t="shared" si="12"/>
        <v>385</v>
      </c>
      <c r="B386" s="443" t="s">
        <v>3681</v>
      </c>
      <c r="C386" s="443" t="s">
        <v>3681</v>
      </c>
      <c r="D386" s="443"/>
      <c r="E386" s="444" t="s">
        <v>4416</v>
      </c>
      <c r="F386" s="444" t="s">
        <v>4416</v>
      </c>
      <c r="G386" s="4"/>
      <c r="H386" s="640" t="s">
        <v>4394</v>
      </c>
      <c r="I386" s="640" t="s">
        <v>624</v>
      </c>
      <c r="J386" s="653"/>
      <c r="K386" s="653" t="s">
        <v>6269</v>
      </c>
      <c r="L386" s="653"/>
      <c r="M386" s="653"/>
      <c r="N386" s="653"/>
      <c r="O386" s="653"/>
      <c r="P386" s="653"/>
      <c r="Q386" s="640"/>
      <c r="R386" s="640"/>
      <c r="S386" s="640"/>
      <c r="T386" s="460"/>
      <c r="U386" s="460"/>
      <c r="V386" s="685">
        <f t="shared" si="13"/>
        <v>0</v>
      </c>
      <c r="W386" s="690"/>
      <c r="X386" s="690"/>
      <c r="Y386" s="690"/>
      <c r="Z386" s="690"/>
      <c r="AA386" s="690"/>
      <c r="AB386" s="690"/>
      <c r="AC386" s="690"/>
      <c r="AD386" s="690"/>
      <c r="AE386" s="690"/>
      <c r="AF386" s="690"/>
      <c r="AG386" s="690"/>
      <c r="AH386" s="690"/>
      <c r="AI386" s="690"/>
      <c r="AJ386" s="690"/>
      <c r="AK386" s="690"/>
      <c r="AL386" s="690"/>
      <c r="AM386" s="690"/>
      <c r="AN386" s="690"/>
      <c r="AO386" s="690"/>
      <c r="AP386" s="690"/>
    </row>
    <row r="387" spans="1:42" x14ac:dyDescent="0.25">
      <c r="A387" s="134">
        <f t="shared" ref="A387:A450" si="14">IF(B387="","",1+A386)</f>
        <v>386</v>
      </c>
      <c r="B387" s="443" t="s">
        <v>3682</v>
      </c>
      <c r="C387" s="443" t="s">
        <v>3682</v>
      </c>
      <c r="D387" s="443"/>
      <c r="E387" s="444" t="s">
        <v>4417</v>
      </c>
      <c r="F387" s="444" t="s">
        <v>4417</v>
      </c>
      <c r="G387" s="4" t="s">
        <v>7382</v>
      </c>
      <c r="H387" s="640" t="s">
        <v>4394</v>
      </c>
      <c r="I387" s="640" t="s">
        <v>624</v>
      </c>
      <c r="J387" s="653"/>
      <c r="K387" s="653" t="s">
        <v>6269</v>
      </c>
      <c r="L387" s="653" t="s">
        <v>7104</v>
      </c>
      <c r="M387" s="653"/>
      <c r="N387" s="653"/>
      <c r="O387" s="653"/>
      <c r="P387" s="653"/>
      <c r="Q387" s="640"/>
      <c r="R387" s="640"/>
      <c r="S387" s="640"/>
      <c r="T387" s="460"/>
      <c r="U387" s="460"/>
      <c r="V387" s="685">
        <f t="shared" ref="V387:V450" si="15">COUNTA(W387:AP387)</f>
        <v>0</v>
      </c>
      <c r="W387" s="690"/>
      <c r="X387" s="690"/>
      <c r="Y387" s="690"/>
      <c r="Z387" s="690"/>
      <c r="AA387" s="690"/>
      <c r="AB387" s="690"/>
      <c r="AC387" s="690"/>
      <c r="AD387" s="690"/>
      <c r="AE387" s="690"/>
      <c r="AF387" s="690"/>
      <c r="AG387" s="690"/>
      <c r="AH387" s="690"/>
      <c r="AI387" s="690"/>
      <c r="AJ387" s="690"/>
      <c r="AK387" s="690"/>
      <c r="AL387" s="690"/>
      <c r="AM387" s="690"/>
      <c r="AN387" s="690"/>
      <c r="AO387" s="690"/>
      <c r="AP387" s="690"/>
    </row>
    <row r="388" spans="1:42" x14ac:dyDescent="0.25">
      <c r="A388" s="134">
        <f t="shared" si="14"/>
        <v>387</v>
      </c>
      <c r="B388" s="443" t="s">
        <v>3683</v>
      </c>
      <c r="C388" s="443" t="s">
        <v>3683</v>
      </c>
      <c r="D388" s="443"/>
      <c r="E388" s="443"/>
      <c r="F388" s="444" t="s">
        <v>4418</v>
      </c>
      <c r="G388" s="4"/>
      <c r="H388" s="640" t="s">
        <v>4394</v>
      </c>
      <c r="I388" s="640" t="s">
        <v>624</v>
      </c>
      <c r="J388" s="653"/>
      <c r="K388" s="653" t="s">
        <v>6270</v>
      </c>
      <c r="L388" s="653"/>
      <c r="M388" s="653"/>
      <c r="N388" s="653"/>
      <c r="O388" s="653"/>
      <c r="P388" s="653"/>
      <c r="Q388" s="640" t="s">
        <v>5251</v>
      </c>
      <c r="R388" s="640"/>
      <c r="S388" s="640"/>
      <c r="T388" s="460"/>
      <c r="U388" s="460"/>
      <c r="V388" s="685">
        <f t="shared" si="15"/>
        <v>0</v>
      </c>
      <c r="W388" s="690"/>
      <c r="X388" s="690"/>
      <c r="Y388" s="690"/>
      <c r="Z388" s="690"/>
      <c r="AA388" s="690"/>
      <c r="AB388" s="690"/>
      <c r="AC388" s="690"/>
      <c r="AD388" s="690"/>
      <c r="AE388" s="690"/>
      <c r="AF388" s="690"/>
      <c r="AG388" s="690"/>
      <c r="AH388" s="690"/>
      <c r="AI388" s="690"/>
      <c r="AJ388" s="690"/>
      <c r="AK388" s="690"/>
      <c r="AL388" s="690"/>
      <c r="AM388" s="690"/>
      <c r="AN388" s="690"/>
      <c r="AO388" s="690"/>
      <c r="AP388" s="690"/>
    </row>
    <row r="389" spans="1:42" x14ac:dyDescent="0.25">
      <c r="A389" s="134">
        <f t="shared" si="14"/>
        <v>388</v>
      </c>
      <c r="B389" s="443" t="s">
        <v>3684</v>
      </c>
      <c r="C389" s="443" t="s">
        <v>3684</v>
      </c>
      <c r="D389" s="443"/>
      <c r="E389" s="443"/>
      <c r="F389" s="444" t="s">
        <v>4846</v>
      </c>
      <c r="G389" s="4"/>
      <c r="H389" s="640" t="s">
        <v>4394</v>
      </c>
      <c r="I389" s="640" t="s">
        <v>624</v>
      </c>
      <c r="J389" s="653"/>
      <c r="K389" s="653" t="s">
        <v>6269</v>
      </c>
      <c r="L389" s="653"/>
      <c r="M389" s="653"/>
      <c r="N389" s="653"/>
      <c r="O389" s="653"/>
      <c r="P389" s="653"/>
      <c r="Q389" s="640" t="s">
        <v>3181</v>
      </c>
      <c r="R389" s="640"/>
      <c r="S389" s="640"/>
      <c r="T389" s="460"/>
      <c r="U389" s="460"/>
      <c r="V389" s="685">
        <f t="shared" si="15"/>
        <v>0</v>
      </c>
      <c r="W389" s="690"/>
      <c r="X389" s="690"/>
      <c r="Y389" s="690"/>
      <c r="Z389" s="690"/>
      <c r="AA389" s="690"/>
      <c r="AB389" s="690"/>
      <c r="AC389" s="690"/>
      <c r="AD389" s="690"/>
      <c r="AE389" s="690"/>
      <c r="AF389" s="690"/>
      <c r="AG389" s="690"/>
      <c r="AH389" s="690"/>
      <c r="AI389" s="690"/>
      <c r="AJ389" s="690"/>
      <c r="AK389" s="690"/>
      <c r="AL389" s="690"/>
      <c r="AM389" s="690"/>
      <c r="AN389" s="690"/>
      <c r="AO389" s="690"/>
      <c r="AP389" s="690"/>
    </row>
    <row r="390" spans="1:42" x14ac:dyDescent="0.25">
      <c r="A390" s="134">
        <f t="shared" si="14"/>
        <v>389</v>
      </c>
      <c r="B390" s="443" t="s">
        <v>3685</v>
      </c>
      <c r="C390" s="443" t="s">
        <v>3685</v>
      </c>
      <c r="D390" s="443"/>
      <c r="E390" s="443"/>
      <c r="F390" s="444" t="s">
        <v>4847</v>
      </c>
      <c r="G390" s="4"/>
      <c r="H390" s="640" t="s">
        <v>4394</v>
      </c>
      <c r="I390" s="640" t="s">
        <v>624</v>
      </c>
      <c r="J390" s="653" t="s">
        <v>6266</v>
      </c>
      <c r="K390" s="653" t="s">
        <v>6270</v>
      </c>
      <c r="L390" s="653"/>
      <c r="M390" s="653"/>
      <c r="N390" s="653"/>
      <c r="O390" s="653"/>
      <c r="P390" s="653"/>
      <c r="Q390" s="640" t="s">
        <v>5255</v>
      </c>
      <c r="R390" s="640"/>
      <c r="S390" s="640"/>
      <c r="T390" s="460"/>
      <c r="U390" s="460"/>
      <c r="V390" s="685">
        <f t="shared" si="15"/>
        <v>0</v>
      </c>
      <c r="W390" s="690"/>
      <c r="X390" s="690"/>
      <c r="Y390" s="690"/>
      <c r="Z390" s="690"/>
      <c r="AA390" s="690"/>
      <c r="AB390" s="690"/>
      <c r="AC390" s="690"/>
      <c r="AD390" s="690"/>
      <c r="AE390" s="690"/>
      <c r="AF390" s="690"/>
      <c r="AG390" s="690"/>
      <c r="AH390" s="690"/>
      <c r="AI390" s="690"/>
      <c r="AJ390" s="690"/>
      <c r="AK390" s="690"/>
      <c r="AL390" s="690"/>
      <c r="AM390" s="690"/>
      <c r="AN390" s="690"/>
      <c r="AO390" s="690"/>
      <c r="AP390" s="690"/>
    </row>
    <row r="391" spans="1:42" x14ac:dyDescent="0.25">
      <c r="A391" s="134">
        <f t="shared" si="14"/>
        <v>390</v>
      </c>
      <c r="B391" s="443" t="s">
        <v>3686</v>
      </c>
      <c r="C391" s="443" t="s">
        <v>3686</v>
      </c>
      <c r="D391" s="443"/>
      <c r="E391" s="444" t="s">
        <v>4419</v>
      </c>
      <c r="F391" s="444" t="s">
        <v>4419</v>
      </c>
      <c r="G391" s="444"/>
      <c r="H391" s="640" t="s">
        <v>4394</v>
      </c>
      <c r="I391" s="640" t="s">
        <v>624</v>
      </c>
      <c r="J391" s="653"/>
      <c r="K391" s="653" t="s">
        <v>6269</v>
      </c>
      <c r="L391" s="653"/>
      <c r="M391" s="653"/>
      <c r="N391" s="653"/>
      <c r="O391" s="653"/>
      <c r="P391" s="653"/>
      <c r="Q391" s="640"/>
      <c r="R391" s="640"/>
      <c r="S391" s="640"/>
      <c r="T391" s="460"/>
      <c r="U391" s="460"/>
      <c r="V391" s="685">
        <f t="shared" si="15"/>
        <v>0</v>
      </c>
      <c r="W391" s="690"/>
      <c r="X391" s="690"/>
      <c r="Y391" s="690"/>
      <c r="Z391" s="690"/>
      <c r="AA391" s="690"/>
      <c r="AB391" s="690"/>
      <c r="AC391" s="690"/>
      <c r="AD391" s="690"/>
      <c r="AE391" s="690"/>
      <c r="AF391" s="690"/>
      <c r="AG391" s="690"/>
      <c r="AH391" s="690"/>
      <c r="AI391" s="690"/>
      <c r="AJ391" s="690"/>
      <c r="AK391" s="690"/>
      <c r="AL391" s="690"/>
      <c r="AM391" s="690"/>
      <c r="AN391" s="690"/>
      <c r="AO391" s="690"/>
      <c r="AP391" s="690"/>
    </row>
    <row r="392" spans="1:42" x14ac:dyDescent="0.25">
      <c r="A392" s="134">
        <f t="shared" si="14"/>
        <v>391</v>
      </c>
      <c r="B392" s="443" t="s">
        <v>3687</v>
      </c>
      <c r="C392" s="443" t="s">
        <v>3687</v>
      </c>
      <c r="D392" s="443"/>
      <c r="E392" s="443"/>
      <c r="F392" s="444" t="s">
        <v>4420</v>
      </c>
      <c r="G392" s="4"/>
      <c r="H392" s="640" t="s">
        <v>4394</v>
      </c>
      <c r="I392" s="640" t="s">
        <v>624</v>
      </c>
      <c r="J392" s="653" t="s">
        <v>6266</v>
      </c>
      <c r="K392" s="653" t="s">
        <v>6270</v>
      </c>
      <c r="L392" s="653"/>
      <c r="M392" s="653"/>
      <c r="N392" s="653">
        <v>1</v>
      </c>
      <c r="O392" s="653" t="s">
        <v>7358</v>
      </c>
      <c r="P392" s="653"/>
      <c r="Q392" s="640" t="s">
        <v>5251</v>
      </c>
      <c r="R392" s="640"/>
      <c r="S392" s="640"/>
      <c r="T392" s="460"/>
      <c r="U392" s="460"/>
      <c r="V392" s="685">
        <f t="shared" si="15"/>
        <v>0</v>
      </c>
      <c r="W392" s="690"/>
      <c r="X392" s="690"/>
      <c r="Y392" s="690"/>
      <c r="Z392" s="690"/>
      <c r="AA392" s="690"/>
      <c r="AB392" s="690"/>
      <c r="AC392" s="690"/>
      <c r="AD392" s="690"/>
      <c r="AE392" s="690"/>
      <c r="AF392" s="690"/>
      <c r="AG392" s="690"/>
      <c r="AH392" s="690"/>
      <c r="AI392" s="690"/>
      <c r="AJ392" s="690"/>
      <c r="AK392" s="690"/>
      <c r="AL392" s="690"/>
      <c r="AM392" s="690"/>
      <c r="AN392" s="690"/>
      <c r="AO392" s="690"/>
      <c r="AP392" s="690"/>
    </row>
    <row r="393" spans="1:42" x14ac:dyDescent="0.25">
      <c r="A393" s="134">
        <f t="shared" si="14"/>
        <v>392</v>
      </c>
      <c r="B393" s="443" t="s">
        <v>3688</v>
      </c>
      <c r="C393" s="443" t="s">
        <v>3688</v>
      </c>
      <c r="D393" s="443"/>
      <c r="E393" s="443"/>
      <c r="F393" s="444" t="s">
        <v>4421</v>
      </c>
      <c r="G393" s="4"/>
      <c r="H393" s="640" t="s">
        <v>4394</v>
      </c>
      <c r="I393" s="640" t="s">
        <v>624</v>
      </c>
      <c r="J393" s="653"/>
      <c r="K393" s="653" t="s">
        <v>6270</v>
      </c>
      <c r="L393" s="653"/>
      <c r="M393" s="653"/>
      <c r="N393" s="653"/>
      <c r="O393" s="653"/>
      <c r="P393" s="653"/>
      <c r="Q393" s="640"/>
      <c r="R393" s="640"/>
      <c r="S393" s="640"/>
      <c r="T393" s="460"/>
      <c r="U393" s="460"/>
      <c r="V393" s="685">
        <f t="shared" si="15"/>
        <v>0</v>
      </c>
      <c r="W393" s="690"/>
      <c r="X393" s="690"/>
      <c r="Y393" s="690"/>
      <c r="Z393" s="690"/>
      <c r="AA393" s="690"/>
      <c r="AB393" s="690"/>
      <c r="AC393" s="690"/>
      <c r="AD393" s="690"/>
      <c r="AE393" s="690"/>
      <c r="AF393" s="690"/>
      <c r="AG393" s="690"/>
      <c r="AH393" s="690"/>
      <c r="AI393" s="690"/>
      <c r="AJ393" s="690"/>
      <c r="AK393" s="690"/>
      <c r="AL393" s="690"/>
      <c r="AM393" s="690"/>
      <c r="AN393" s="690"/>
      <c r="AO393" s="690"/>
      <c r="AP393" s="690"/>
    </row>
    <row r="394" spans="1:42" x14ac:dyDescent="0.25">
      <c r="A394" s="134">
        <f t="shared" si="14"/>
        <v>393</v>
      </c>
      <c r="B394" s="443" t="s">
        <v>3689</v>
      </c>
      <c r="C394" s="443" t="s">
        <v>3689</v>
      </c>
      <c r="D394" s="443"/>
      <c r="E394" s="444" t="s">
        <v>4422</v>
      </c>
      <c r="F394" s="444" t="s">
        <v>4422</v>
      </c>
      <c r="G394" s="4" t="s">
        <v>7383</v>
      </c>
      <c r="H394" s="640" t="s">
        <v>4394</v>
      </c>
      <c r="I394" s="640" t="s">
        <v>624</v>
      </c>
      <c r="J394" s="653" t="s">
        <v>6266</v>
      </c>
      <c r="K394" s="653" t="s">
        <v>6269</v>
      </c>
      <c r="L394" s="653"/>
      <c r="M394" s="653"/>
      <c r="N394" s="653"/>
      <c r="O394" s="653"/>
      <c r="P394" s="653"/>
      <c r="Q394" s="640" t="s">
        <v>5252</v>
      </c>
      <c r="R394" s="640"/>
      <c r="S394" s="640"/>
      <c r="T394" s="460"/>
      <c r="U394" s="460"/>
      <c r="V394" s="685">
        <f t="shared" si="15"/>
        <v>0</v>
      </c>
      <c r="W394" s="690"/>
      <c r="X394" s="690"/>
      <c r="Y394" s="690"/>
      <c r="Z394" s="690"/>
      <c r="AA394" s="690"/>
      <c r="AB394" s="690"/>
      <c r="AC394" s="690"/>
      <c r="AD394" s="690"/>
      <c r="AE394" s="690"/>
      <c r="AF394" s="690"/>
      <c r="AG394" s="690"/>
      <c r="AH394" s="690"/>
      <c r="AI394" s="690"/>
      <c r="AJ394" s="690"/>
      <c r="AK394" s="690"/>
      <c r="AL394" s="690"/>
      <c r="AM394" s="690"/>
      <c r="AN394" s="690"/>
      <c r="AO394" s="690"/>
      <c r="AP394" s="690"/>
    </row>
    <row r="395" spans="1:42" x14ac:dyDescent="0.25">
      <c r="A395" s="134">
        <f t="shared" si="14"/>
        <v>394</v>
      </c>
      <c r="B395" s="443" t="s">
        <v>3690</v>
      </c>
      <c r="C395" s="443" t="s">
        <v>3690</v>
      </c>
      <c r="D395" s="443"/>
      <c r="E395" s="444" t="s">
        <v>4423</v>
      </c>
      <c r="F395" s="444" t="s">
        <v>4423</v>
      </c>
      <c r="G395" s="4"/>
      <c r="H395" s="640" t="s">
        <v>4394</v>
      </c>
      <c r="I395" s="640" t="s">
        <v>624</v>
      </c>
      <c r="J395" s="653"/>
      <c r="K395" s="653" t="s">
        <v>6269</v>
      </c>
      <c r="L395" s="653"/>
      <c r="M395" s="653"/>
      <c r="N395" s="653"/>
      <c r="O395" s="653"/>
      <c r="P395" s="653"/>
      <c r="Q395" s="640"/>
      <c r="R395" s="640"/>
      <c r="S395" s="640"/>
      <c r="T395" s="460"/>
      <c r="U395" s="460"/>
      <c r="V395" s="685">
        <f t="shared" si="15"/>
        <v>0</v>
      </c>
      <c r="W395" s="690"/>
      <c r="X395" s="690"/>
      <c r="Y395" s="690"/>
      <c r="Z395" s="690"/>
      <c r="AA395" s="690"/>
      <c r="AB395" s="690"/>
      <c r="AC395" s="690"/>
      <c r="AD395" s="690"/>
      <c r="AE395" s="690"/>
      <c r="AF395" s="690"/>
      <c r="AG395" s="690"/>
      <c r="AH395" s="690"/>
      <c r="AI395" s="690"/>
      <c r="AJ395" s="690"/>
      <c r="AK395" s="690"/>
      <c r="AL395" s="690"/>
      <c r="AM395" s="690"/>
      <c r="AN395" s="690"/>
      <c r="AO395" s="690"/>
      <c r="AP395" s="690"/>
    </row>
    <row r="396" spans="1:42" x14ac:dyDescent="0.25">
      <c r="A396" s="134">
        <f t="shared" si="14"/>
        <v>395</v>
      </c>
      <c r="B396" s="443" t="s">
        <v>3691</v>
      </c>
      <c r="C396" s="443" t="s">
        <v>3691</v>
      </c>
      <c r="D396" s="443"/>
      <c r="E396" s="443"/>
      <c r="F396" s="444" t="s">
        <v>4424</v>
      </c>
      <c r="G396" s="4"/>
      <c r="H396" s="640" t="s">
        <v>4394</v>
      </c>
      <c r="I396" s="640" t="s">
        <v>624</v>
      </c>
      <c r="J396" s="653" t="s">
        <v>6266</v>
      </c>
      <c r="K396" s="653" t="s">
        <v>6270</v>
      </c>
      <c r="L396" s="653"/>
      <c r="M396" s="653"/>
      <c r="N396" s="653"/>
      <c r="O396" s="653"/>
      <c r="P396" s="653"/>
      <c r="Q396" s="640"/>
      <c r="R396" s="640"/>
      <c r="S396" s="640"/>
      <c r="T396" s="460"/>
      <c r="U396" s="460"/>
      <c r="V396" s="685">
        <f t="shared" si="15"/>
        <v>0</v>
      </c>
      <c r="W396" s="690"/>
      <c r="X396" s="690"/>
      <c r="Y396" s="690"/>
      <c r="Z396" s="690"/>
      <c r="AA396" s="690"/>
      <c r="AB396" s="690"/>
      <c r="AC396" s="690"/>
      <c r="AD396" s="690"/>
      <c r="AE396" s="690"/>
      <c r="AF396" s="690"/>
      <c r="AG396" s="690"/>
      <c r="AH396" s="690"/>
      <c r="AI396" s="690"/>
      <c r="AJ396" s="690"/>
      <c r="AK396" s="690"/>
      <c r="AL396" s="690"/>
      <c r="AM396" s="690"/>
      <c r="AN396" s="690"/>
      <c r="AO396" s="690"/>
      <c r="AP396" s="690"/>
    </row>
    <row r="397" spans="1:42" x14ac:dyDescent="0.25">
      <c r="A397" s="134">
        <f t="shared" si="14"/>
        <v>396</v>
      </c>
      <c r="B397" s="443" t="s">
        <v>3692</v>
      </c>
      <c r="C397" s="443" t="s">
        <v>3692</v>
      </c>
      <c r="D397" s="443"/>
      <c r="E397" s="443"/>
      <c r="F397" s="444" t="s">
        <v>4848</v>
      </c>
      <c r="G397" s="4"/>
      <c r="H397" s="640" t="s">
        <v>4394</v>
      </c>
      <c r="I397" s="640" t="s">
        <v>624</v>
      </c>
      <c r="J397" s="653"/>
      <c r="K397" s="653" t="s">
        <v>6270</v>
      </c>
      <c r="L397" s="653"/>
      <c r="M397" s="653"/>
      <c r="N397" s="653"/>
      <c r="O397" s="653"/>
      <c r="P397" s="653"/>
      <c r="Q397" s="640"/>
      <c r="R397" s="640"/>
      <c r="S397" s="640"/>
      <c r="T397" s="460"/>
      <c r="U397" s="460"/>
      <c r="V397" s="685">
        <f t="shared" si="15"/>
        <v>0</v>
      </c>
      <c r="W397" s="690"/>
      <c r="X397" s="690"/>
      <c r="Y397" s="690"/>
      <c r="Z397" s="690"/>
      <c r="AA397" s="690"/>
      <c r="AB397" s="690"/>
      <c r="AC397" s="690"/>
      <c r="AD397" s="690"/>
      <c r="AE397" s="690"/>
      <c r="AF397" s="690"/>
      <c r="AG397" s="690"/>
      <c r="AH397" s="690"/>
      <c r="AI397" s="690"/>
      <c r="AJ397" s="690"/>
      <c r="AK397" s="690"/>
      <c r="AL397" s="690"/>
      <c r="AM397" s="690"/>
      <c r="AN397" s="690"/>
      <c r="AO397" s="690"/>
      <c r="AP397" s="690"/>
    </row>
    <row r="398" spans="1:42" x14ac:dyDescent="0.25">
      <c r="A398" s="134">
        <f t="shared" si="14"/>
        <v>397</v>
      </c>
      <c r="B398" s="443" t="s">
        <v>3693</v>
      </c>
      <c r="C398" s="443" t="s">
        <v>3693</v>
      </c>
      <c r="D398" s="443"/>
      <c r="E398" s="443"/>
      <c r="F398" s="444" t="s">
        <v>4425</v>
      </c>
      <c r="G398" s="4"/>
      <c r="H398" s="640" t="s">
        <v>4394</v>
      </c>
      <c r="I398" s="640" t="s">
        <v>624</v>
      </c>
      <c r="J398" s="653"/>
      <c r="K398" s="653" t="s">
        <v>6269</v>
      </c>
      <c r="L398" s="653"/>
      <c r="M398" s="653"/>
      <c r="N398" s="653"/>
      <c r="O398" s="653"/>
      <c r="P398" s="653"/>
      <c r="Q398" s="640" t="s">
        <v>5256</v>
      </c>
      <c r="R398" s="640"/>
      <c r="S398" s="640"/>
      <c r="T398" s="460"/>
      <c r="U398" s="460"/>
      <c r="V398" s="685">
        <f t="shared" si="15"/>
        <v>0</v>
      </c>
      <c r="W398" s="690"/>
      <c r="X398" s="690"/>
      <c r="Y398" s="690"/>
      <c r="Z398" s="690"/>
      <c r="AA398" s="690"/>
      <c r="AB398" s="690"/>
      <c r="AC398" s="690"/>
      <c r="AD398" s="690"/>
      <c r="AE398" s="690"/>
      <c r="AF398" s="690"/>
      <c r="AG398" s="690"/>
      <c r="AH398" s="690"/>
      <c r="AI398" s="690"/>
      <c r="AJ398" s="690"/>
      <c r="AK398" s="690"/>
      <c r="AL398" s="690"/>
      <c r="AM398" s="690"/>
      <c r="AN398" s="690"/>
      <c r="AO398" s="690"/>
      <c r="AP398" s="690"/>
    </row>
    <row r="399" spans="1:42" x14ac:dyDescent="0.25">
      <c r="A399" s="134">
        <f t="shared" si="14"/>
        <v>398</v>
      </c>
      <c r="B399" s="443" t="s">
        <v>3694</v>
      </c>
      <c r="C399" s="443" t="s">
        <v>3694</v>
      </c>
      <c r="D399" s="443"/>
      <c r="E399" s="443"/>
      <c r="F399" s="444" t="s">
        <v>4426</v>
      </c>
      <c r="G399" s="4"/>
      <c r="H399" s="640" t="s">
        <v>4394</v>
      </c>
      <c r="I399" s="640" t="s">
        <v>624</v>
      </c>
      <c r="J399" s="653"/>
      <c r="K399" s="653" t="s">
        <v>6270</v>
      </c>
      <c r="L399" s="653"/>
      <c r="M399" s="653"/>
      <c r="N399" s="653"/>
      <c r="O399" s="653"/>
      <c r="P399" s="653"/>
      <c r="Q399" s="640"/>
      <c r="R399" s="640"/>
      <c r="S399" s="640"/>
      <c r="T399" s="460"/>
      <c r="U399" s="460"/>
      <c r="V399" s="685">
        <f t="shared" si="15"/>
        <v>0</v>
      </c>
      <c r="W399" s="690"/>
      <c r="X399" s="690"/>
      <c r="Y399" s="690"/>
      <c r="Z399" s="690"/>
      <c r="AA399" s="690"/>
      <c r="AB399" s="690"/>
      <c r="AC399" s="690"/>
      <c r="AD399" s="690"/>
      <c r="AE399" s="690"/>
      <c r="AF399" s="690"/>
      <c r="AG399" s="690"/>
      <c r="AH399" s="690"/>
      <c r="AI399" s="690"/>
      <c r="AJ399" s="690"/>
      <c r="AK399" s="690"/>
      <c r="AL399" s="690"/>
      <c r="AM399" s="690"/>
      <c r="AN399" s="690"/>
      <c r="AO399" s="690"/>
      <c r="AP399" s="690"/>
    </row>
    <row r="400" spans="1:42" x14ac:dyDescent="0.25">
      <c r="A400" s="134">
        <f t="shared" si="14"/>
        <v>399</v>
      </c>
      <c r="B400" s="443" t="s">
        <v>3695</v>
      </c>
      <c r="C400" s="443" t="s">
        <v>3695</v>
      </c>
      <c r="D400" s="443"/>
      <c r="E400" s="443"/>
      <c r="F400" s="444" t="s">
        <v>4427</v>
      </c>
      <c r="G400" s="4"/>
      <c r="H400" s="640" t="s">
        <v>4394</v>
      </c>
      <c r="I400" s="640" t="s">
        <v>624</v>
      </c>
      <c r="J400" s="653"/>
      <c r="K400" s="653" t="s">
        <v>6270</v>
      </c>
      <c r="L400" s="653"/>
      <c r="M400" s="653"/>
      <c r="N400" s="653"/>
      <c r="O400" s="653"/>
      <c r="P400" s="653"/>
      <c r="Q400" s="640" t="s">
        <v>5253</v>
      </c>
      <c r="R400" s="640"/>
      <c r="S400" s="640"/>
      <c r="T400" s="460"/>
      <c r="U400" s="460"/>
      <c r="V400" s="685">
        <f t="shared" si="15"/>
        <v>0</v>
      </c>
      <c r="W400" s="690"/>
      <c r="X400" s="690"/>
      <c r="Y400" s="690"/>
      <c r="Z400" s="690"/>
      <c r="AA400" s="690"/>
      <c r="AB400" s="690"/>
      <c r="AC400" s="690"/>
      <c r="AD400" s="690"/>
      <c r="AE400" s="690"/>
      <c r="AF400" s="690"/>
      <c r="AG400" s="690"/>
      <c r="AH400" s="690"/>
      <c r="AI400" s="690"/>
      <c r="AJ400" s="690"/>
      <c r="AK400" s="690"/>
      <c r="AL400" s="690"/>
      <c r="AM400" s="690"/>
      <c r="AN400" s="690"/>
      <c r="AO400" s="690"/>
      <c r="AP400" s="690"/>
    </row>
    <row r="401" spans="1:42" x14ac:dyDescent="0.25">
      <c r="A401" s="134">
        <f t="shared" si="14"/>
        <v>400</v>
      </c>
      <c r="B401" s="443" t="s">
        <v>3696</v>
      </c>
      <c r="C401" s="443" t="s">
        <v>3696</v>
      </c>
      <c r="D401" s="443"/>
      <c r="E401" s="443"/>
      <c r="F401" s="444" t="s">
        <v>4428</v>
      </c>
      <c r="G401" s="4"/>
      <c r="H401" s="640" t="s">
        <v>4394</v>
      </c>
      <c r="I401" s="640" t="s">
        <v>624</v>
      </c>
      <c r="J401" s="653"/>
      <c r="K401" s="653" t="s">
        <v>6270</v>
      </c>
      <c r="L401" s="653"/>
      <c r="M401" s="653"/>
      <c r="N401" s="653">
        <v>1</v>
      </c>
      <c r="O401" s="653" t="s">
        <v>7358</v>
      </c>
      <c r="P401" s="653"/>
      <c r="Q401" s="640" t="s">
        <v>5250</v>
      </c>
      <c r="R401" s="640"/>
      <c r="S401" s="640"/>
      <c r="T401" s="460"/>
      <c r="U401" s="460"/>
      <c r="V401" s="685">
        <f t="shared" si="15"/>
        <v>0</v>
      </c>
      <c r="W401" s="690"/>
      <c r="X401" s="690"/>
      <c r="Y401" s="690"/>
      <c r="Z401" s="690"/>
      <c r="AA401" s="690"/>
      <c r="AB401" s="690"/>
      <c r="AC401" s="690"/>
      <c r="AD401" s="690"/>
      <c r="AE401" s="690"/>
      <c r="AF401" s="690"/>
      <c r="AG401" s="690"/>
      <c r="AH401" s="690"/>
      <c r="AI401" s="690"/>
      <c r="AJ401" s="690"/>
      <c r="AK401" s="690"/>
      <c r="AL401" s="690"/>
      <c r="AM401" s="690"/>
      <c r="AN401" s="690"/>
      <c r="AO401" s="690"/>
      <c r="AP401" s="690"/>
    </row>
    <row r="402" spans="1:42" x14ac:dyDescent="0.25">
      <c r="A402" s="134">
        <f t="shared" si="14"/>
        <v>401</v>
      </c>
      <c r="B402" s="443" t="s">
        <v>3697</v>
      </c>
      <c r="C402" s="443" t="s">
        <v>3697</v>
      </c>
      <c r="D402" s="443"/>
      <c r="E402" s="443"/>
      <c r="F402" s="444" t="s">
        <v>4429</v>
      </c>
      <c r="G402" s="4"/>
      <c r="H402" s="640" t="s">
        <v>4394</v>
      </c>
      <c r="I402" s="640" t="s">
        <v>624</v>
      </c>
      <c r="J402" s="653" t="s">
        <v>6266</v>
      </c>
      <c r="K402" s="653" t="s">
        <v>6270</v>
      </c>
      <c r="L402" s="653"/>
      <c r="M402" s="653"/>
      <c r="N402" s="653">
        <v>1</v>
      </c>
      <c r="O402" s="653" t="s">
        <v>7358</v>
      </c>
      <c r="P402" s="653"/>
      <c r="Q402" s="640" t="s">
        <v>5254</v>
      </c>
      <c r="R402" s="640"/>
      <c r="S402" s="640"/>
      <c r="T402" s="460"/>
      <c r="U402" s="460"/>
      <c r="V402" s="685">
        <f t="shared" si="15"/>
        <v>0</v>
      </c>
      <c r="W402" s="690"/>
      <c r="X402" s="690"/>
      <c r="Y402" s="690"/>
      <c r="Z402" s="690"/>
      <c r="AA402" s="690"/>
      <c r="AB402" s="690"/>
      <c r="AC402" s="690"/>
      <c r="AD402" s="690"/>
      <c r="AE402" s="690"/>
      <c r="AF402" s="690"/>
      <c r="AG402" s="690"/>
      <c r="AH402" s="690"/>
      <c r="AI402" s="690"/>
      <c r="AJ402" s="690"/>
      <c r="AK402" s="690"/>
      <c r="AL402" s="690"/>
      <c r="AM402" s="690"/>
      <c r="AN402" s="690"/>
      <c r="AO402" s="690"/>
      <c r="AP402" s="690"/>
    </row>
    <row r="403" spans="1:42" x14ac:dyDescent="0.25">
      <c r="A403" s="134">
        <f t="shared" si="14"/>
        <v>402</v>
      </c>
      <c r="B403" s="443" t="s">
        <v>3698</v>
      </c>
      <c r="C403" s="443" t="s">
        <v>3698</v>
      </c>
      <c r="D403" s="443"/>
      <c r="E403" s="443"/>
      <c r="F403" s="444" t="s">
        <v>4430</v>
      </c>
      <c r="G403" s="4"/>
      <c r="H403" s="640" t="s">
        <v>4394</v>
      </c>
      <c r="I403" s="640" t="s">
        <v>624</v>
      </c>
      <c r="J403" s="653" t="s">
        <v>6266</v>
      </c>
      <c r="K403" s="653" t="s">
        <v>6270</v>
      </c>
      <c r="L403" s="653"/>
      <c r="M403" s="653"/>
      <c r="N403" s="653"/>
      <c r="O403" s="653"/>
      <c r="P403" s="653"/>
      <c r="Q403" s="640"/>
      <c r="R403" s="640"/>
      <c r="S403" s="640"/>
      <c r="T403" s="460"/>
      <c r="U403" s="460"/>
      <c r="V403" s="685">
        <f t="shared" si="15"/>
        <v>0</v>
      </c>
      <c r="W403" s="690"/>
      <c r="X403" s="690"/>
      <c r="Y403" s="690"/>
      <c r="Z403" s="690"/>
      <c r="AA403" s="690"/>
      <c r="AB403" s="690"/>
      <c r="AC403" s="690"/>
      <c r="AD403" s="690"/>
      <c r="AE403" s="690"/>
      <c r="AF403" s="690"/>
      <c r="AG403" s="690"/>
      <c r="AH403" s="690"/>
      <c r="AI403" s="690"/>
      <c r="AJ403" s="690"/>
      <c r="AK403" s="690"/>
      <c r="AL403" s="690"/>
      <c r="AM403" s="690"/>
      <c r="AN403" s="690"/>
      <c r="AO403" s="690"/>
      <c r="AP403" s="690"/>
    </row>
    <row r="404" spans="1:42" x14ac:dyDescent="0.25">
      <c r="A404" s="134">
        <f t="shared" si="14"/>
        <v>403</v>
      </c>
      <c r="B404" s="443" t="s">
        <v>3699</v>
      </c>
      <c r="C404" s="443" t="s">
        <v>3699</v>
      </c>
      <c r="D404" s="443"/>
      <c r="E404" s="443"/>
      <c r="F404" s="444" t="s">
        <v>4849</v>
      </c>
      <c r="G404" s="4"/>
      <c r="H404" s="640" t="s">
        <v>4394</v>
      </c>
      <c r="I404" s="640" t="s">
        <v>624</v>
      </c>
      <c r="J404" s="653"/>
      <c r="K404" s="653" t="s">
        <v>6270</v>
      </c>
      <c r="L404" s="653"/>
      <c r="M404" s="653"/>
      <c r="N404" s="653"/>
      <c r="O404" s="653"/>
      <c r="P404" s="653"/>
      <c r="Q404" s="640" t="s">
        <v>5254</v>
      </c>
      <c r="R404" s="640"/>
      <c r="S404" s="640"/>
      <c r="T404" s="460"/>
      <c r="U404" s="460"/>
      <c r="V404" s="685">
        <f t="shared" si="15"/>
        <v>0</v>
      </c>
      <c r="W404" s="690"/>
      <c r="X404" s="690"/>
      <c r="Y404" s="690"/>
      <c r="Z404" s="690"/>
      <c r="AA404" s="690"/>
      <c r="AB404" s="690"/>
      <c r="AC404" s="690"/>
      <c r="AD404" s="690"/>
      <c r="AE404" s="690"/>
      <c r="AF404" s="690"/>
      <c r="AG404" s="690"/>
      <c r="AH404" s="690"/>
      <c r="AI404" s="690"/>
      <c r="AJ404" s="690"/>
      <c r="AK404" s="690"/>
      <c r="AL404" s="690"/>
      <c r="AM404" s="690"/>
      <c r="AN404" s="690"/>
      <c r="AO404" s="690"/>
      <c r="AP404" s="690"/>
    </row>
    <row r="405" spans="1:42" x14ac:dyDescent="0.25">
      <c r="A405" s="134">
        <f t="shared" si="14"/>
        <v>404</v>
      </c>
      <c r="B405" s="443" t="s">
        <v>3700</v>
      </c>
      <c r="C405" s="443" t="s">
        <v>3700</v>
      </c>
      <c r="D405" s="443"/>
      <c r="E405" s="443"/>
      <c r="F405" s="444" t="s">
        <v>4431</v>
      </c>
      <c r="G405" s="4"/>
      <c r="H405" s="640" t="s">
        <v>4394</v>
      </c>
      <c r="I405" s="640" t="s">
        <v>624</v>
      </c>
      <c r="J405" s="653"/>
      <c r="K405" s="653" t="s">
        <v>6270</v>
      </c>
      <c r="L405" s="653"/>
      <c r="M405" s="653"/>
      <c r="N405" s="653"/>
      <c r="O405" s="653"/>
      <c r="P405" s="653"/>
      <c r="Q405" s="640" t="s">
        <v>5250</v>
      </c>
      <c r="R405" s="640"/>
      <c r="S405" s="640"/>
      <c r="T405" s="460"/>
      <c r="U405" s="460"/>
      <c r="V405" s="685">
        <f t="shared" si="15"/>
        <v>0</v>
      </c>
      <c r="W405" s="690"/>
      <c r="X405" s="690"/>
      <c r="Y405" s="690"/>
      <c r="Z405" s="690"/>
      <c r="AA405" s="690"/>
      <c r="AB405" s="690"/>
      <c r="AC405" s="690"/>
      <c r="AD405" s="690"/>
      <c r="AE405" s="690"/>
      <c r="AF405" s="690"/>
      <c r="AG405" s="690"/>
      <c r="AH405" s="690"/>
      <c r="AI405" s="690"/>
      <c r="AJ405" s="690"/>
      <c r="AK405" s="690"/>
      <c r="AL405" s="690"/>
      <c r="AM405" s="690"/>
      <c r="AN405" s="690"/>
      <c r="AO405" s="690"/>
      <c r="AP405" s="690"/>
    </row>
    <row r="406" spans="1:42" x14ac:dyDescent="0.25">
      <c r="A406" s="134">
        <f t="shared" si="14"/>
        <v>405</v>
      </c>
      <c r="B406" s="443" t="s">
        <v>3701</v>
      </c>
      <c r="C406" s="443" t="s">
        <v>3701</v>
      </c>
      <c r="D406" s="443"/>
      <c r="E406" s="443"/>
      <c r="F406" s="444" t="s">
        <v>4432</v>
      </c>
      <c r="G406" s="4"/>
      <c r="H406" s="640" t="s">
        <v>4394</v>
      </c>
      <c r="I406" s="640" t="s">
        <v>624</v>
      </c>
      <c r="J406" s="653" t="s">
        <v>6266</v>
      </c>
      <c r="K406" s="653" t="s">
        <v>6270</v>
      </c>
      <c r="L406" s="653"/>
      <c r="M406" s="653"/>
      <c r="N406" s="653"/>
      <c r="O406" s="653"/>
      <c r="P406" s="653"/>
      <c r="Q406" s="640" t="s">
        <v>5252</v>
      </c>
      <c r="R406" s="640"/>
      <c r="S406" s="640"/>
      <c r="T406" s="460"/>
      <c r="U406" s="460"/>
      <c r="V406" s="685">
        <f t="shared" si="15"/>
        <v>0</v>
      </c>
      <c r="W406" s="690"/>
      <c r="X406" s="690"/>
      <c r="Y406" s="690"/>
      <c r="Z406" s="690"/>
      <c r="AA406" s="690"/>
      <c r="AB406" s="690"/>
      <c r="AC406" s="690"/>
      <c r="AD406" s="690"/>
      <c r="AE406" s="690"/>
      <c r="AF406" s="690"/>
      <c r="AG406" s="690"/>
      <c r="AH406" s="690"/>
      <c r="AI406" s="690"/>
      <c r="AJ406" s="690"/>
      <c r="AK406" s="690"/>
      <c r="AL406" s="690"/>
      <c r="AM406" s="690"/>
      <c r="AN406" s="690"/>
      <c r="AO406" s="690"/>
      <c r="AP406" s="690"/>
    </row>
    <row r="407" spans="1:42" x14ac:dyDescent="0.25">
      <c r="A407" s="134">
        <f t="shared" si="14"/>
        <v>406</v>
      </c>
      <c r="B407" s="443" t="s">
        <v>3702</v>
      </c>
      <c r="C407" s="443" t="s">
        <v>3702</v>
      </c>
      <c r="D407" s="443"/>
      <c r="E407" s="443"/>
      <c r="F407" s="444" t="s">
        <v>4433</v>
      </c>
      <c r="G407" s="4"/>
      <c r="H407" s="640" t="s">
        <v>4394</v>
      </c>
      <c r="I407" s="640" t="s">
        <v>624</v>
      </c>
      <c r="J407" s="653" t="s">
        <v>6266</v>
      </c>
      <c r="K407" s="653" t="s">
        <v>6270</v>
      </c>
      <c r="L407" s="653"/>
      <c r="M407" s="653"/>
      <c r="N407" s="653">
        <v>1</v>
      </c>
      <c r="O407" s="653" t="s">
        <v>7358</v>
      </c>
      <c r="P407" s="653"/>
      <c r="Q407" s="640" t="s">
        <v>5251</v>
      </c>
      <c r="R407" s="640"/>
      <c r="S407" s="640"/>
      <c r="T407" s="460"/>
      <c r="U407" s="460"/>
      <c r="V407" s="685">
        <f t="shared" si="15"/>
        <v>0</v>
      </c>
      <c r="W407" s="690"/>
      <c r="X407" s="690"/>
      <c r="Y407" s="690"/>
      <c r="Z407" s="690"/>
      <c r="AA407" s="690"/>
      <c r="AB407" s="690"/>
      <c r="AC407" s="690"/>
      <c r="AD407" s="690"/>
      <c r="AE407" s="690"/>
      <c r="AF407" s="690"/>
      <c r="AG407" s="690"/>
      <c r="AH407" s="690"/>
      <c r="AI407" s="690"/>
      <c r="AJ407" s="690"/>
      <c r="AK407" s="690"/>
      <c r="AL407" s="690"/>
      <c r="AM407" s="690"/>
      <c r="AN407" s="690"/>
      <c r="AO407" s="690"/>
      <c r="AP407" s="690"/>
    </row>
    <row r="408" spans="1:42" x14ac:dyDescent="0.25">
      <c r="A408" s="134">
        <f t="shared" si="14"/>
        <v>407</v>
      </c>
      <c r="B408" s="443" t="s">
        <v>3703</v>
      </c>
      <c r="C408" s="443" t="s">
        <v>3703</v>
      </c>
      <c r="D408" s="443"/>
      <c r="E408" s="443"/>
      <c r="F408" s="444" t="s">
        <v>4434</v>
      </c>
      <c r="G408" s="4"/>
      <c r="H408" s="640" t="s">
        <v>4394</v>
      </c>
      <c r="I408" s="640" t="s">
        <v>624</v>
      </c>
      <c r="J408" s="653" t="s">
        <v>6266</v>
      </c>
      <c r="K408" s="653" t="s">
        <v>6270</v>
      </c>
      <c r="L408" s="653"/>
      <c r="M408" s="653"/>
      <c r="N408" s="653">
        <v>1</v>
      </c>
      <c r="O408" s="653" t="s">
        <v>7358</v>
      </c>
      <c r="P408" s="653"/>
      <c r="Q408" s="640" t="s">
        <v>5254</v>
      </c>
      <c r="R408" s="640"/>
      <c r="S408" s="640"/>
      <c r="T408" s="460"/>
      <c r="U408" s="460"/>
      <c r="V408" s="685">
        <f t="shared" si="15"/>
        <v>0</v>
      </c>
      <c r="W408" s="690"/>
      <c r="X408" s="690"/>
      <c r="Y408" s="690"/>
      <c r="Z408" s="690"/>
      <c r="AA408" s="690"/>
      <c r="AB408" s="690"/>
      <c r="AC408" s="690"/>
      <c r="AD408" s="690"/>
      <c r="AE408" s="690"/>
      <c r="AF408" s="690"/>
      <c r="AG408" s="690"/>
      <c r="AH408" s="690"/>
      <c r="AI408" s="690"/>
      <c r="AJ408" s="690"/>
      <c r="AK408" s="690"/>
      <c r="AL408" s="690"/>
      <c r="AM408" s="690"/>
      <c r="AN408" s="690"/>
      <c r="AO408" s="690"/>
      <c r="AP408" s="690"/>
    </row>
    <row r="409" spans="1:42" x14ac:dyDescent="0.25">
      <c r="A409" s="134">
        <f t="shared" si="14"/>
        <v>408</v>
      </c>
      <c r="B409" s="443" t="s">
        <v>3704</v>
      </c>
      <c r="C409" s="443" t="s">
        <v>3704</v>
      </c>
      <c r="D409" s="443"/>
      <c r="E409" s="443"/>
      <c r="F409" s="444" t="s">
        <v>4435</v>
      </c>
      <c r="G409" s="4"/>
      <c r="H409" s="640" t="s">
        <v>4394</v>
      </c>
      <c r="I409" s="640" t="s">
        <v>624</v>
      </c>
      <c r="J409" s="653" t="s">
        <v>6266</v>
      </c>
      <c r="K409" s="653" t="s">
        <v>6270</v>
      </c>
      <c r="L409" s="653"/>
      <c r="M409" s="653"/>
      <c r="N409" s="653">
        <v>1</v>
      </c>
      <c r="O409" s="653" t="s">
        <v>7358</v>
      </c>
      <c r="P409" s="653"/>
      <c r="Q409" s="640"/>
      <c r="R409" s="640"/>
      <c r="S409" s="640"/>
      <c r="T409" s="460"/>
      <c r="U409" s="460"/>
      <c r="V409" s="685">
        <f t="shared" si="15"/>
        <v>0</v>
      </c>
      <c r="W409" s="690"/>
      <c r="X409" s="690"/>
      <c r="Y409" s="690"/>
      <c r="Z409" s="690"/>
      <c r="AA409" s="690"/>
      <c r="AB409" s="690"/>
      <c r="AC409" s="690"/>
      <c r="AD409" s="690"/>
      <c r="AE409" s="690"/>
      <c r="AF409" s="690"/>
      <c r="AG409" s="690"/>
      <c r="AH409" s="690"/>
      <c r="AI409" s="690"/>
      <c r="AJ409" s="690"/>
      <c r="AK409" s="690"/>
      <c r="AL409" s="690"/>
      <c r="AM409" s="690"/>
      <c r="AN409" s="690"/>
      <c r="AO409" s="690"/>
      <c r="AP409" s="690"/>
    </row>
    <row r="410" spans="1:42" x14ac:dyDescent="0.25">
      <c r="A410" s="134">
        <f t="shared" si="14"/>
        <v>409</v>
      </c>
      <c r="B410" s="443" t="s">
        <v>3705</v>
      </c>
      <c r="C410" s="443" t="s">
        <v>3705</v>
      </c>
      <c r="D410" s="443"/>
      <c r="E410" s="443"/>
      <c r="F410" s="444" t="s">
        <v>4436</v>
      </c>
      <c r="G410" s="4"/>
      <c r="H410" s="640" t="s">
        <v>4394</v>
      </c>
      <c r="I410" s="640" t="s">
        <v>624</v>
      </c>
      <c r="J410" s="653" t="s">
        <v>6266</v>
      </c>
      <c r="K410" s="653" t="s">
        <v>6270</v>
      </c>
      <c r="L410" s="653"/>
      <c r="M410" s="653"/>
      <c r="N410" s="653"/>
      <c r="O410" s="653"/>
      <c r="P410" s="653"/>
      <c r="Q410" s="640" t="s">
        <v>5257</v>
      </c>
      <c r="R410" s="640"/>
      <c r="S410" s="640"/>
      <c r="T410" s="460"/>
      <c r="U410" s="460"/>
      <c r="V410" s="685">
        <f t="shared" si="15"/>
        <v>0</v>
      </c>
      <c r="W410" s="690"/>
      <c r="X410" s="690"/>
      <c r="Y410" s="690"/>
      <c r="Z410" s="690"/>
      <c r="AA410" s="690"/>
      <c r="AB410" s="690"/>
      <c r="AC410" s="690"/>
      <c r="AD410" s="690"/>
      <c r="AE410" s="690"/>
      <c r="AF410" s="690"/>
      <c r="AG410" s="690"/>
      <c r="AH410" s="690"/>
      <c r="AI410" s="690"/>
      <c r="AJ410" s="690"/>
      <c r="AK410" s="690"/>
      <c r="AL410" s="690"/>
      <c r="AM410" s="690"/>
      <c r="AN410" s="690"/>
      <c r="AO410" s="690"/>
      <c r="AP410" s="690"/>
    </row>
    <row r="411" spans="1:42" x14ac:dyDescent="0.25">
      <c r="A411" s="134">
        <f t="shared" si="14"/>
        <v>410</v>
      </c>
      <c r="B411" s="443" t="s">
        <v>3706</v>
      </c>
      <c r="C411" s="443" t="s">
        <v>3706</v>
      </c>
      <c r="D411" s="443"/>
      <c r="E411" s="443"/>
      <c r="F411" s="444" t="s">
        <v>4437</v>
      </c>
      <c r="G411" s="4"/>
      <c r="H411" s="640" t="s">
        <v>4394</v>
      </c>
      <c r="I411" s="640" t="s">
        <v>624</v>
      </c>
      <c r="J411" s="653"/>
      <c r="K411" s="653" t="s">
        <v>6270</v>
      </c>
      <c r="L411" s="653"/>
      <c r="M411" s="653"/>
      <c r="N411" s="653"/>
      <c r="O411" s="653"/>
      <c r="P411" s="653"/>
      <c r="Q411" s="640" t="s">
        <v>5253</v>
      </c>
      <c r="R411" s="640"/>
      <c r="S411" s="640"/>
      <c r="T411" s="460"/>
      <c r="U411" s="460"/>
      <c r="V411" s="685">
        <f t="shared" si="15"/>
        <v>0</v>
      </c>
      <c r="W411" s="690"/>
      <c r="X411" s="690"/>
      <c r="Y411" s="690"/>
      <c r="Z411" s="690"/>
      <c r="AA411" s="690"/>
      <c r="AB411" s="690"/>
      <c r="AC411" s="690"/>
      <c r="AD411" s="690"/>
      <c r="AE411" s="690"/>
      <c r="AF411" s="690"/>
      <c r="AG411" s="690"/>
      <c r="AH411" s="690"/>
      <c r="AI411" s="690"/>
      <c r="AJ411" s="690"/>
      <c r="AK411" s="690"/>
      <c r="AL411" s="690"/>
      <c r="AM411" s="690"/>
      <c r="AN411" s="690"/>
      <c r="AO411" s="690"/>
      <c r="AP411" s="690"/>
    </row>
    <row r="412" spans="1:42" x14ac:dyDescent="0.25">
      <c r="A412" s="134">
        <f t="shared" si="14"/>
        <v>411</v>
      </c>
      <c r="B412" s="443" t="s">
        <v>3707</v>
      </c>
      <c r="C412" s="443" t="s">
        <v>3707</v>
      </c>
      <c r="D412" s="443"/>
      <c r="E412" s="443"/>
      <c r="F412" s="444" t="s">
        <v>4850</v>
      </c>
      <c r="G412" s="4"/>
      <c r="H412" s="640" t="s">
        <v>4394</v>
      </c>
      <c r="I412" s="640" t="s">
        <v>624</v>
      </c>
      <c r="J412" s="653"/>
      <c r="K412" s="653" t="s">
        <v>6269</v>
      </c>
      <c r="L412" s="653"/>
      <c r="M412" s="653"/>
      <c r="N412" s="653"/>
      <c r="O412" s="653"/>
      <c r="P412" s="653"/>
      <c r="Q412" s="640" t="s">
        <v>3179</v>
      </c>
      <c r="R412" s="640"/>
      <c r="S412" s="640"/>
      <c r="T412" s="460"/>
      <c r="U412" s="460"/>
      <c r="V412" s="685">
        <f t="shared" si="15"/>
        <v>0</v>
      </c>
      <c r="W412" s="690"/>
      <c r="X412" s="690"/>
      <c r="Y412" s="690"/>
      <c r="Z412" s="690"/>
      <c r="AA412" s="690"/>
      <c r="AB412" s="690"/>
      <c r="AC412" s="690"/>
      <c r="AD412" s="690"/>
      <c r="AE412" s="690"/>
      <c r="AF412" s="690"/>
      <c r="AG412" s="690"/>
      <c r="AH412" s="690"/>
      <c r="AI412" s="690"/>
      <c r="AJ412" s="690"/>
      <c r="AK412" s="690"/>
      <c r="AL412" s="690"/>
      <c r="AM412" s="690"/>
      <c r="AN412" s="690"/>
      <c r="AO412" s="690"/>
      <c r="AP412" s="690"/>
    </row>
    <row r="413" spans="1:42" x14ac:dyDescent="0.25">
      <c r="A413" s="134">
        <f t="shared" si="14"/>
        <v>412</v>
      </c>
      <c r="B413" s="443" t="s">
        <v>3708</v>
      </c>
      <c r="C413" s="443" t="s">
        <v>3708</v>
      </c>
      <c r="D413" s="443"/>
      <c r="E413" s="443"/>
      <c r="F413" s="444" t="s">
        <v>4438</v>
      </c>
      <c r="G413" s="4"/>
      <c r="H413" s="640" t="s">
        <v>4394</v>
      </c>
      <c r="I413" s="640" t="s">
        <v>624</v>
      </c>
      <c r="J413" s="653"/>
      <c r="K413" s="653" t="s">
        <v>6269</v>
      </c>
      <c r="L413" s="653"/>
      <c r="M413" s="653"/>
      <c r="N413" s="653"/>
      <c r="O413" s="653"/>
      <c r="P413" s="653"/>
      <c r="Q413" s="640" t="s">
        <v>5250</v>
      </c>
      <c r="R413" s="640"/>
      <c r="S413" s="640"/>
      <c r="T413" s="460"/>
      <c r="U413" s="460"/>
      <c r="V413" s="685">
        <f t="shared" si="15"/>
        <v>0</v>
      </c>
      <c r="W413" s="690"/>
      <c r="X413" s="690"/>
      <c r="Y413" s="690"/>
      <c r="Z413" s="690"/>
      <c r="AA413" s="690"/>
      <c r="AB413" s="690"/>
      <c r="AC413" s="690"/>
      <c r="AD413" s="690"/>
      <c r="AE413" s="690"/>
      <c r="AF413" s="690"/>
      <c r="AG413" s="690"/>
      <c r="AH413" s="690"/>
      <c r="AI413" s="690"/>
      <c r="AJ413" s="690"/>
      <c r="AK413" s="690"/>
      <c r="AL413" s="690"/>
      <c r="AM413" s="690"/>
      <c r="AN413" s="690"/>
      <c r="AO413" s="690"/>
      <c r="AP413" s="690"/>
    </row>
    <row r="414" spans="1:42" x14ac:dyDescent="0.25">
      <c r="A414" s="134">
        <f t="shared" si="14"/>
        <v>413</v>
      </c>
      <c r="B414" s="443" t="s">
        <v>3709</v>
      </c>
      <c r="C414" s="443" t="s">
        <v>3709</v>
      </c>
      <c r="D414" s="443"/>
      <c r="E414" s="443"/>
      <c r="F414" s="444" t="s">
        <v>4851</v>
      </c>
      <c r="G414" s="4"/>
      <c r="H414" s="640" t="s">
        <v>4394</v>
      </c>
      <c r="I414" s="640" t="s">
        <v>624</v>
      </c>
      <c r="J414" s="653"/>
      <c r="K414" s="653" t="s">
        <v>6269</v>
      </c>
      <c r="L414" s="653"/>
      <c r="M414" s="653"/>
      <c r="N414" s="653"/>
      <c r="O414" s="653"/>
      <c r="P414" s="653"/>
      <c r="Q414" s="640" t="s">
        <v>5253</v>
      </c>
      <c r="R414" s="640"/>
      <c r="S414" s="640"/>
      <c r="T414" s="460"/>
      <c r="U414" s="460"/>
      <c r="V414" s="685">
        <f t="shared" si="15"/>
        <v>0</v>
      </c>
      <c r="W414" s="690"/>
      <c r="X414" s="690"/>
      <c r="Y414" s="690"/>
      <c r="Z414" s="690"/>
      <c r="AA414" s="690"/>
      <c r="AB414" s="690"/>
      <c r="AC414" s="690"/>
      <c r="AD414" s="690"/>
      <c r="AE414" s="690"/>
      <c r="AF414" s="690"/>
      <c r="AG414" s="690"/>
      <c r="AH414" s="690"/>
      <c r="AI414" s="690"/>
      <c r="AJ414" s="690"/>
      <c r="AK414" s="690"/>
      <c r="AL414" s="690"/>
      <c r="AM414" s="690"/>
      <c r="AN414" s="690"/>
      <c r="AO414" s="690"/>
      <c r="AP414" s="690"/>
    </row>
    <row r="415" spans="1:42" x14ac:dyDescent="0.25">
      <c r="A415" s="134">
        <f t="shared" si="14"/>
        <v>414</v>
      </c>
      <c r="B415" s="443" t="s">
        <v>4472</v>
      </c>
      <c r="C415" s="443" t="s">
        <v>270</v>
      </c>
      <c r="D415" s="443"/>
      <c r="E415" s="443"/>
      <c r="F415" s="449" t="s">
        <v>3034</v>
      </c>
      <c r="G415" s="4" t="s">
        <v>5142</v>
      </c>
      <c r="H415" s="640" t="s">
        <v>270</v>
      </c>
      <c r="I415" s="640" t="s">
        <v>625</v>
      </c>
      <c r="J415" s="653"/>
      <c r="K415" s="653"/>
      <c r="L415" s="653"/>
      <c r="M415" s="653"/>
      <c r="N415" s="653"/>
      <c r="O415" s="653"/>
      <c r="P415" s="653"/>
      <c r="Q415" s="640"/>
      <c r="R415" s="640"/>
      <c r="S415" s="640"/>
      <c r="T415" s="460"/>
      <c r="U415" s="460"/>
      <c r="V415" s="685">
        <f t="shared" si="15"/>
        <v>0</v>
      </c>
      <c r="W415" s="690"/>
      <c r="X415" s="690"/>
      <c r="Y415" s="690"/>
      <c r="Z415" s="690"/>
      <c r="AA415" s="690"/>
      <c r="AB415" s="690"/>
      <c r="AC415" s="690"/>
      <c r="AD415" s="690"/>
      <c r="AE415" s="690"/>
      <c r="AF415" s="690"/>
      <c r="AG415" s="690"/>
      <c r="AH415" s="690"/>
      <c r="AI415" s="690"/>
      <c r="AJ415" s="690"/>
      <c r="AK415" s="690"/>
      <c r="AL415" s="690"/>
      <c r="AM415" s="690"/>
      <c r="AN415" s="690"/>
      <c r="AO415" s="690"/>
      <c r="AP415" s="690"/>
    </row>
    <row r="416" spans="1:42" x14ac:dyDescent="0.25">
      <c r="A416" s="134">
        <f t="shared" si="14"/>
        <v>415</v>
      </c>
      <c r="B416" s="443" t="s">
        <v>4473</v>
      </c>
      <c r="C416" s="443" t="s">
        <v>270</v>
      </c>
      <c r="D416" s="443"/>
      <c r="E416" s="443"/>
      <c r="F416" s="449" t="s">
        <v>3034</v>
      </c>
      <c r="G416" s="4" t="s">
        <v>5114</v>
      </c>
      <c r="H416" s="640" t="s">
        <v>270</v>
      </c>
      <c r="I416" s="640" t="s">
        <v>623</v>
      </c>
      <c r="J416" s="653"/>
      <c r="K416" s="653"/>
      <c r="L416" s="653"/>
      <c r="M416" s="653"/>
      <c r="N416" s="653"/>
      <c r="O416" s="653"/>
      <c r="P416" s="653"/>
      <c r="Q416" s="640"/>
      <c r="R416" s="640"/>
      <c r="S416" s="640"/>
      <c r="T416" s="460"/>
      <c r="U416" s="460"/>
      <c r="V416" s="685">
        <f t="shared" si="15"/>
        <v>0</v>
      </c>
      <c r="W416" s="690"/>
      <c r="X416" s="690"/>
      <c r="Y416" s="690"/>
      <c r="Z416" s="690"/>
      <c r="AA416" s="690"/>
      <c r="AB416" s="690"/>
      <c r="AC416" s="690"/>
      <c r="AD416" s="690"/>
      <c r="AE416" s="690"/>
      <c r="AF416" s="690"/>
      <c r="AG416" s="690"/>
      <c r="AH416" s="690"/>
      <c r="AI416" s="690"/>
      <c r="AJ416" s="690"/>
      <c r="AK416" s="690"/>
      <c r="AL416" s="690"/>
      <c r="AM416" s="690"/>
      <c r="AN416" s="690"/>
      <c r="AO416" s="690"/>
      <c r="AP416" s="690"/>
    </row>
    <row r="417" spans="1:42" x14ac:dyDescent="0.25">
      <c r="A417" s="134">
        <f t="shared" si="14"/>
        <v>416</v>
      </c>
      <c r="B417" s="443" t="s">
        <v>4474</v>
      </c>
      <c r="C417" s="443" t="s">
        <v>270</v>
      </c>
      <c r="D417" s="443"/>
      <c r="E417" s="443"/>
      <c r="F417" s="449" t="s">
        <v>3034</v>
      </c>
      <c r="G417" s="4" t="s">
        <v>5143</v>
      </c>
      <c r="H417" s="640" t="s">
        <v>270</v>
      </c>
      <c r="I417" s="640" t="s">
        <v>617</v>
      </c>
      <c r="J417" s="653"/>
      <c r="K417" s="653"/>
      <c r="L417" s="653"/>
      <c r="M417" s="653"/>
      <c r="N417" s="653"/>
      <c r="O417" s="653"/>
      <c r="P417" s="653"/>
      <c r="Q417" s="640"/>
      <c r="R417" s="640"/>
      <c r="S417" s="640"/>
      <c r="T417" s="460"/>
      <c r="U417" s="460"/>
      <c r="V417" s="685">
        <f t="shared" si="15"/>
        <v>0</v>
      </c>
      <c r="W417" s="690"/>
      <c r="X417" s="690"/>
      <c r="Y417" s="690"/>
      <c r="Z417" s="690"/>
      <c r="AA417" s="690"/>
      <c r="AB417" s="690"/>
      <c r="AC417" s="690"/>
      <c r="AD417" s="690"/>
      <c r="AE417" s="690"/>
      <c r="AF417" s="690"/>
      <c r="AG417" s="690"/>
      <c r="AH417" s="690"/>
      <c r="AI417" s="690"/>
      <c r="AJ417" s="690"/>
      <c r="AK417" s="690"/>
      <c r="AL417" s="690"/>
      <c r="AM417" s="690"/>
      <c r="AN417" s="690"/>
      <c r="AO417" s="690"/>
      <c r="AP417" s="690"/>
    </row>
    <row r="418" spans="1:42" x14ac:dyDescent="0.25">
      <c r="A418" s="134">
        <f t="shared" si="14"/>
        <v>417</v>
      </c>
      <c r="B418" s="443" t="s">
        <v>4475</v>
      </c>
      <c r="C418" s="443" t="s">
        <v>270</v>
      </c>
      <c r="D418" s="443"/>
      <c r="E418" s="443"/>
      <c r="F418" s="449" t="s">
        <v>3034</v>
      </c>
      <c r="G418" s="4" t="s">
        <v>5144</v>
      </c>
      <c r="H418" s="640" t="s">
        <v>270</v>
      </c>
      <c r="I418" s="640" t="s">
        <v>618</v>
      </c>
      <c r="J418" s="653"/>
      <c r="K418" s="653"/>
      <c r="L418" s="653"/>
      <c r="M418" s="653"/>
      <c r="N418" s="653"/>
      <c r="O418" s="653"/>
      <c r="P418" s="653"/>
      <c r="Q418" s="640"/>
      <c r="R418" s="640"/>
      <c r="S418" s="640"/>
      <c r="T418" s="460"/>
      <c r="U418" s="460"/>
      <c r="V418" s="685">
        <f t="shared" si="15"/>
        <v>0</v>
      </c>
      <c r="W418" s="690"/>
      <c r="X418" s="690"/>
      <c r="Y418" s="690"/>
      <c r="Z418" s="690"/>
      <c r="AA418" s="690"/>
      <c r="AB418" s="690"/>
      <c r="AC418" s="690"/>
      <c r="AD418" s="690"/>
      <c r="AE418" s="690"/>
      <c r="AF418" s="690"/>
      <c r="AG418" s="690"/>
      <c r="AH418" s="690"/>
      <c r="AI418" s="690"/>
      <c r="AJ418" s="690"/>
      <c r="AK418" s="690"/>
      <c r="AL418" s="690"/>
      <c r="AM418" s="690"/>
      <c r="AN418" s="690"/>
      <c r="AO418" s="690"/>
      <c r="AP418" s="690"/>
    </row>
    <row r="419" spans="1:42" x14ac:dyDescent="0.25">
      <c r="A419" s="134">
        <f t="shared" si="14"/>
        <v>418</v>
      </c>
      <c r="B419" s="443" t="s">
        <v>4476</v>
      </c>
      <c r="C419" s="443" t="s">
        <v>270</v>
      </c>
      <c r="D419" s="443"/>
      <c r="E419" s="443"/>
      <c r="F419" s="449" t="s">
        <v>3034</v>
      </c>
      <c r="G419" s="4" t="s">
        <v>5115</v>
      </c>
      <c r="H419" s="640" t="s">
        <v>270</v>
      </c>
      <c r="I419" s="640" t="s">
        <v>621</v>
      </c>
      <c r="J419" s="653"/>
      <c r="K419" s="653"/>
      <c r="L419" s="653"/>
      <c r="M419" s="653"/>
      <c r="N419" s="653"/>
      <c r="O419" s="653"/>
      <c r="P419" s="653"/>
      <c r="Q419" s="640"/>
      <c r="R419" s="640"/>
      <c r="S419" s="640"/>
      <c r="T419" s="460"/>
      <c r="U419" s="460"/>
      <c r="V419" s="685">
        <f t="shared" si="15"/>
        <v>0</v>
      </c>
      <c r="W419" s="690"/>
      <c r="X419" s="690"/>
      <c r="Y419" s="690"/>
      <c r="Z419" s="690"/>
      <c r="AA419" s="690"/>
      <c r="AB419" s="690"/>
      <c r="AC419" s="690"/>
      <c r="AD419" s="690"/>
      <c r="AE419" s="690"/>
      <c r="AF419" s="690"/>
      <c r="AG419" s="690"/>
      <c r="AH419" s="690"/>
      <c r="AI419" s="690"/>
      <c r="AJ419" s="690"/>
      <c r="AK419" s="690"/>
      <c r="AL419" s="690"/>
      <c r="AM419" s="690"/>
      <c r="AN419" s="690"/>
      <c r="AO419" s="690"/>
      <c r="AP419" s="690"/>
    </row>
    <row r="420" spans="1:42" x14ac:dyDescent="0.25">
      <c r="A420" s="134">
        <f t="shared" si="14"/>
        <v>419</v>
      </c>
      <c r="B420" s="443" t="s">
        <v>4477</v>
      </c>
      <c r="C420" s="443" t="s">
        <v>270</v>
      </c>
      <c r="D420" s="443"/>
      <c r="E420" s="443"/>
      <c r="F420" s="449" t="s">
        <v>3034</v>
      </c>
      <c r="G420" s="4" t="s">
        <v>5116</v>
      </c>
      <c r="H420" s="640" t="s">
        <v>270</v>
      </c>
      <c r="I420" s="640" t="s">
        <v>1110</v>
      </c>
      <c r="J420" s="653"/>
      <c r="K420" s="653"/>
      <c r="L420" s="653"/>
      <c r="M420" s="653"/>
      <c r="N420" s="653"/>
      <c r="O420" s="653"/>
      <c r="P420" s="653"/>
      <c r="Q420" s="640"/>
      <c r="R420" s="640"/>
      <c r="S420" s="640"/>
      <c r="T420" s="460"/>
      <c r="U420" s="460"/>
      <c r="V420" s="685">
        <f t="shared" si="15"/>
        <v>0</v>
      </c>
      <c r="W420" s="690"/>
      <c r="X420" s="690"/>
      <c r="Y420" s="690"/>
      <c r="Z420" s="690"/>
      <c r="AA420" s="690"/>
      <c r="AB420" s="690"/>
      <c r="AC420" s="690"/>
      <c r="AD420" s="690"/>
      <c r="AE420" s="690"/>
      <c r="AF420" s="690"/>
      <c r="AG420" s="690"/>
      <c r="AH420" s="690"/>
      <c r="AI420" s="690"/>
      <c r="AJ420" s="690"/>
      <c r="AK420" s="690"/>
      <c r="AL420" s="690"/>
      <c r="AM420" s="690"/>
      <c r="AN420" s="690"/>
      <c r="AO420" s="690"/>
      <c r="AP420" s="690"/>
    </row>
    <row r="421" spans="1:42" x14ac:dyDescent="0.25">
      <c r="A421" s="134">
        <f t="shared" si="14"/>
        <v>420</v>
      </c>
      <c r="B421" s="443" t="s">
        <v>4499</v>
      </c>
      <c r="C421" s="443" t="s">
        <v>3103</v>
      </c>
      <c r="D421" s="443"/>
      <c r="E421" s="443" t="s">
        <v>7147</v>
      </c>
      <c r="F421" s="444" t="s">
        <v>4658</v>
      </c>
      <c r="G421" s="4" t="s">
        <v>7384</v>
      </c>
      <c r="H421" s="640"/>
      <c r="I421" s="640" t="s">
        <v>620</v>
      </c>
      <c r="J421" s="653" t="s">
        <v>6266</v>
      </c>
      <c r="K421" s="653" t="s">
        <v>6269</v>
      </c>
      <c r="L421" s="653"/>
      <c r="M421" s="653"/>
      <c r="N421" s="653"/>
      <c r="O421" s="653"/>
      <c r="P421" s="653"/>
      <c r="Q421" s="640"/>
      <c r="R421" s="640"/>
      <c r="S421" s="640"/>
      <c r="T421" s="460"/>
      <c r="U421" s="460"/>
      <c r="V421" s="685">
        <f t="shared" si="15"/>
        <v>0</v>
      </c>
      <c r="W421" s="690"/>
      <c r="X421" s="690"/>
      <c r="Y421" s="690"/>
      <c r="Z421" s="690"/>
      <c r="AA421" s="690"/>
      <c r="AB421" s="690"/>
      <c r="AC421" s="690"/>
      <c r="AD421" s="690"/>
      <c r="AE421" s="690"/>
      <c r="AF421" s="690"/>
      <c r="AG421" s="690"/>
      <c r="AH421" s="690"/>
      <c r="AI421" s="690"/>
      <c r="AJ421" s="690"/>
      <c r="AK421" s="690"/>
      <c r="AL421" s="690"/>
      <c r="AM421" s="690"/>
      <c r="AN421" s="690"/>
      <c r="AO421" s="690"/>
      <c r="AP421" s="690"/>
    </row>
    <row r="422" spans="1:42" x14ac:dyDescent="0.25">
      <c r="A422" s="134">
        <f t="shared" si="14"/>
        <v>421</v>
      </c>
      <c r="B422" s="443" t="s">
        <v>4503</v>
      </c>
      <c r="C422" s="443" t="s">
        <v>2769</v>
      </c>
      <c r="D422" s="443"/>
      <c r="E422" s="443"/>
      <c r="F422" s="449" t="s">
        <v>3034</v>
      </c>
      <c r="G422" s="4"/>
      <c r="H422" s="640"/>
      <c r="I422" s="640" t="s">
        <v>1110</v>
      </c>
      <c r="J422" s="653"/>
      <c r="K422" s="653" t="s">
        <v>6269</v>
      </c>
      <c r="L422" s="653"/>
      <c r="M422" s="653"/>
      <c r="N422" s="653"/>
      <c r="O422" s="653"/>
      <c r="P422" s="653"/>
      <c r="Q422" s="640"/>
      <c r="R422" s="640"/>
      <c r="S422" s="640"/>
      <c r="T422" s="460"/>
      <c r="U422" s="460"/>
      <c r="V422" s="685">
        <f t="shared" si="15"/>
        <v>5</v>
      </c>
      <c r="W422" s="137" t="s">
        <v>3198</v>
      </c>
      <c r="X422" s="137" t="s">
        <v>3199</v>
      </c>
      <c r="Y422" s="137" t="s">
        <v>3200</v>
      </c>
      <c r="Z422" s="137" t="s">
        <v>3201</v>
      </c>
      <c r="AA422" s="137" t="s">
        <v>6970</v>
      </c>
      <c r="AB422" s="690"/>
      <c r="AC422" s="690"/>
      <c r="AD422" s="690"/>
      <c r="AE422" s="690"/>
      <c r="AF422" s="690"/>
      <c r="AG422" s="690"/>
      <c r="AH422" s="690"/>
      <c r="AI422" s="690"/>
      <c r="AJ422" s="690"/>
      <c r="AK422" s="690"/>
      <c r="AL422" s="690"/>
      <c r="AM422" s="690"/>
      <c r="AN422" s="690"/>
      <c r="AO422" s="690"/>
      <c r="AP422" s="690"/>
    </row>
    <row r="423" spans="1:42" x14ac:dyDescent="0.25">
      <c r="A423" s="134">
        <f t="shared" si="14"/>
        <v>422</v>
      </c>
      <c r="B423" s="443" t="s">
        <v>4504</v>
      </c>
      <c r="C423" s="443" t="s">
        <v>2769</v>
      </c>
      <c r="D423" s="443"/>
      <c r="E423" s="443"/>
      <c r="F423" s="449" t="s">
        <v>3034</v>
      </c>
      <c r="G423" s="4"/>
      <c r="H423" s="640"/>
      <c r="I423" s="640" t="s">
        <v>621</v>
      </c>
      <c r="J423" s="653"/>
      <c r="K423" s="653" t="s">
        <v>6269</v>
      </c>
      <c r="L423" s="653"/>
      <c r="M423" s="653"/>
      <c r="N423" s="653"/>
      <c r="O423" s="653"/>
      <c r="P423" s="653"/>
      <c r="Q423" s="640"/>
      <c r="R423" s="640"/>
      <c r="S423" s="640"/>
      <c r="T423" s="460"/>
      <c r="U423" s="460"/>
      <c r="V423" s="685">
        <f t="shared" si="15"/>
        <v>5</v>
      </c>
      <c r="W423" s="137" t="s">
        <v>3197</v>
      </c>
      <c r="X423" s="137" t="s">
        <v>3198</v>
      </c>
      <c r="Y423" s="137" t="s">
        <v>3199</v>
      </c>
      <c r="Z423" s="137" t="s">
        <v>3202</v>
      </c>
      <c r="AA423" s="4" t="s">
        <v>6970</v>
      </c>
      <c r="AB423" s="690"/>
      <c r="AC423" s="690"/>
      <c r="AD423" s="690"/>
      <c r="AE423" s="690"/>
      <c r="AF423" s="690"/>
      <c r="AG423" s="690"/>
      <c r="AH423" s="690"/>
      <c r="AI423" s="690"/>
      <c r="AJ423" s="690"/>
      <c r="AK423" s="690"/>
      <c r="AL423" s="690"/>
      <c r="AM423" s="690"/>
      <c r="AN423" s="690"/>
      <c r="AO423" s="690"/>
      <c r="AP423" s="690"/>
    </row>
    <row r="424" spans="1:42" x14ac:dyDescent="0.25">
      <c r="A424" s="134">
        <f t="shared" si="14"/>
        <v>423</v>
      </c>
      <c r="B424" s="443" t="s">
        <v>4525</v>
      </c>
      <c r="C424" s="443" t="s">
        <v>4525</v>
      </c>
      <c r="D424" s="443" t="s">
        <v>6959</v>
      </c>
      <c r="E424" s="443"/>
      <c r="F424" s="449" t="s">
        <v>4955</v>
      </c>
      <c r="G424" s="4"/>
      <c r="H424" s="640"/>
      <c r="I424" s="640" t="s">
        <v>617</v>
      </c>
      <c r="J424" s="653"/>
      <c r="K424" s="653"/>
      <c r="L424" s="653"/>
      <c r="M424" s="653"/>
      <c r="N424" s="653"/>
      <c r="O424" s="653"/>
      <c r="P424" s="653"/>
      <c r="Q424" s="640"/>
      <c r="R424" s="640" t="s">
        <v>3159</v>
      </c>
      <c r="S424" s="448" t="s">
        <v>4469</v>
      </c>
      <c r="T424" s="460"/>
      <c r="U424" s="640" t="s">
        <v>584</v>
      </c>
      <c r="V424" s="685">
        <f t="shared" si="15"/>
        <v>0</v>
      </c>
      <c r="W424" s="690"/>
      <c r="X424" s="690"/>
      <c r="Y424" s="690"/>
      <c r="Z424" s="690"/>
      <c r="AA424" s="690"/>
      <c r="AB424" s="690"/>
      <c r="AC424" s="690"/>
      <c r="AD424" s="690"/>
      <c r="AE424" s="690"/>
      <c r="AF424" s="690"/>
      <c r="AG424" s="690"/>
      <c r="AH424" s="690"/>
      <c r="AI424" s="690"/>
      <c r="AJ424" s="690"/>
      <c r="AK424" s="690"/>
      <c r="AL424" s="690"/>
      <c r="AM424" s="690"/>
      <c r="AN424" s="690"/>
      <c r="AO424" s="690"/>
      <c r="AP424" s="690"/>
    </row>
    <row r="425" spans="1:42" x14ac:dyDescent="0.25">
      <c r="A425" s="134">
        <f t="shared" si="14"/>
        <v>424</v>
      </c>
      <c r="B425" s="443" t="s">
        <v>4527</v>
      </c>
      <c r="C425" s="443" t="s">
        <v>4527</v>
      </c>
      <c r="D425" s="443" t="s">
        <v>6959</v>
      </c>
      <c r="E425" s="443"/>
      <c r="F425" s="449" t="s">
        <v>4956</v>
      </c>
      <c r="G425" s="4"/>
      <c r="H425" s="640"/>
      <c r="I425" s="640" t="s">
        <v>617</v>
      </c>
      <c r="J425" s="653"/>
      <c r="K425" s="653"/>
      <c r="L425" s="653"/>
      <c r="M425" s="653"/>
      <c r="N425" s="653"/>
      <c r="O425" s="653"/>
      <c r="P425" s="653"/>
      <c r="Q425" s="640"/>
      <c r="R425" s="640" t="s">
        <v>3159</v>
      </c>
      <c r="S425" s="448" t="s">
        <v>4470</v>
      </c>
      <c r="T425" s="460"/>
      <c r="U425" s="640" t="s">
        <v>584</v>
      </c>
      <c r="V425" s="685">
        <f t="shared" si="15"/>
        <v>0</v>
      </c>
      <c r="W425" s="690"/>
      <c r="X425" s="690"/>
      <c r="Y425" s="690"/>
      <c r="Z425" s="690"/>
      <c r="AA425" s="690"/>
      <c r="AB425" s="690"/>
      <c r="AC425" s="690"/>
      <c r="AD425" s="690"/>
      <c r="AE425" s="690"/>
      <c r="AF425" s="690"/>
      <c r="AG425" s="690"/>
      <c r="AH425" s="690"/>
      <c r="AI425" s="690"/>
      <c r="AJ425" s="690"/>
      <c r="AK425" s="690"/>
      <c r="AL425" s="690"/>
      <c r="AM425" s="690"/>
      <c r="AN425" s="690"/>
      <c r="AO425" s="690"/>
      <c r="AP425" s="690"/>
    </row>
    <row r="426" spans="1:42" x14ac:dyDescent="0.25">
      <c r="A426" s="134">
        <f t="shared" si="14"/>
        <v>425</v>
      </c>
      <c r="B426" s="443" t="s">
        <v>4526</v>
      </c>
      <c r="C426" s="443" t="s">
        <v>4526</v>
      </c>
      <c r="D426" s="443" t="s">
        <v>6959</v>
      </c>
      <c r="E426" s="443"/>
      <c r="F426" s="449" t="s">
        <v>4957</v>
      </c>
      <c r="G426" s="4"/>
      <c r="H426" s="640"/>
      <c r="I426" s="640" t="s">
        <v>617</v>
      </c>
      <c r="J426" s="653"/>
      <c r="K426" s="653"/>
      <c r="L426" s="653"/>
      <c r="M426" s="653" t="s">
        <v>7227</v>
      </c>
      <c r="N426" s="653"/>
      <c r="O426" s="653"/>
      <c r="P426" s="653"/>
      <c r="Q426" s="640"/>
      <c r="R426" s="640" t="s">
        <v>3159</v>
      </c>
      <c r="S426" s="448" t="s">
        <v>4400</v>
      </c>
      <c r="T426" s="460"/>
      <c r="U426" s="640" t="s">
        <v>584</v>
      </c>
      <c r="V426" s="685">
        <f t="shared" si="15"/>
        <v>0</v>
      </c>
      <c r="W426" s="690"/>
      <c r="X426" s="690"/>
      <c r="Y426" s="690"/>
      <c r="Z426" s="690"/>
      <c r="AA426" s="690"/>
      <c r="AB426" s="690"/>
      <c r="AC426" s="690"/>
      <c r="AD426" s="690"/>
      <c r="AE426" s="690"/>
      <c r="AF426" s="690"/>
      <c r="AG426" s="690"/>
      <c r="AH426" s="690"/>
      <c r="AI426" s="690"/>
      <c r="AJ426" s="690"/>
      <c r="AK426" s="690"/>
      <c r="AL426" s="690"/>
      <c r="AM426" s="690"/>
      <c r="AN426" s="690"/>
      <c r="AO426" s="690"/>
      <c r="AP426" s="690"/>
    </row>
    <row r="427" spans="1:42" x14ac:dyDescent="0.25">
      <c r="A427" s="134">
        <f t="shared" si="14"/>
        <v>426</v>
      </c>
      <c r="B427" s="443" t="s">
        <v>4528</v>
      </c>
      <c r="C427" s="443" t="s">
        <v>4528</v>
      </c>
      <c r="D427" s="443" t="s">
        <v>6959</v>
      </c>
      <c r="E427" s="443"/>
      <c r="F427" s="449" t="s">
        <v>4958</v>
      </c>
      <c r="G427" s="4"/>
      <c r="H427" s="640"/>
      <c r="I427" s="640" t="s">
        <v>617</v>
      </c>
      <c r="J427" s="653"/>
      <c r="K427" s="653"/>
      <c r="L427" s="653"/>
      <c r="M427" s="653"/>
      <c r="N427" s="653"/>
      <c r="O427" s="653"/>
      <c r="P427" s="653"/>
      <c r="Q427" s="640"/>
      <c r="R427" s="640" t="s">
        <v>3159</v>
      </c>
      <c r="S427" s="448" t="s">
        <v>4401</v>
      </c>
      <c r="T427" s="460"/>
      <c r="U427" s="640" t="s">
        <v>584</v>
      </c>
      <c r="V427" s="685">
        <f t="shared" si="15"/>
        <v>0</v>
      </c>
      <c r="W427" s="690"/>
      <c r="X427" s="690"/>
      <c r="Y427" s="690"/>
      <c r="Z427" s="690"/>
      <c r="AA427" s="690"/>
      <c r="AB427" s="690"/>
      <c r="AC427" s="690"/>
      <c r="AD427" s="690"/>
      <c r="AE427" s="690"/>
      <c r="AF427" s="690"/>
      <c r="AG427" s="690"/>
      <c r="AH427" s="690"/>
      <c r="AI427" s="690"/>
      <c r="AJ427" s="690"/>
      <c r="AK427" s="690"/>
      <c r="AL427" s="690"/>
      <c r="AM427" s="690"/>
      <c r="AN427" s="690"/>
      <c r="AO427" s="690"/>
      <c r="AP427" s="690"/>
    </row>
    <row r="428" spans="1:42" x14ac:dyDescent="0.25">
      <c r="A428" s="134">
        <f t="shared" si="14"/>
        <v>427</v>
      </c>
      <c r="B428" s="443" t="s">
        <v>4529</v>
      </c>
      <c r="C428" s="443" t="s">
        <v>3405</v>
      </c>
      <c r="D428" s="443" t="s">
        <v>6959</v>
      </c>
      <c r="E428" s="443"/>
      <c r="F428" s="444" t="s">
        <v>5238</v>
      </c>
      <c r="G428" s="4"/>
      <c r="H428" s="640"/>
      <c r="I428" s="640" t="s">
        <v>617</v>
      </c>
      <c r="J428" s="653"/>
      <c r="K428" s="653"/>
      <c r="L428" s="653"/>
      <c r="M428" s="653"/>
      <c r="N428" s="653"/>
      <c r="O428" s="653"/>
      <c r="P428" s="653"/>
      <c r="Q428" s="640"/>
      <c r="R428" s="640" t="s">
        <v>3159</v>
      </c>
      <c r="S428" s="448" t="s">
        <v>4402</v>
      </c>
      <c r="T428" s="460"/>
      <c r="U428" s="640" t="s">
        <v>584</v>
      </c>
      <c r="V428" s="685">
        <f t="shared" si="15"/>
        <v>0</v>
      </c>
      <c r="W428" s="690"/>
      <c r="X428" s="690"/>
      <c r="Y428" s="690"/>
      <c r="Z428" s="690"/>
      <c r="AA428" s="690"/>
      <c r="AB428" s="690"/>
      <c r="AC428" s="690"/>
      <c r="AD428" s="690"/>
      <c r="AE428" s="690"/>
      <c r="AF428" s="690"/>
      <c r="AG428" s="690"/>
      <c r="AH428" s="690"/>
      <c r="AI428" s="690"/>
      <c r="AJ428" s="690"/>
      <c r="AK428" s="690"/>
      <c r="AL428" s="690"/>
      <c r="AM428" s="690"/>
      <c r="AN428" s="690"/>
      <c r="AO428" s="690"/>
      <c r="AP428" s="690"/>
    </row>
    <row r="429" spans="1:42" x14ac:dyDescent="0.25">
      <c r="A429" s="134">
        <f t="shared" si="14"/>
        <v>428</v>
      </c>
      <c r="B429" s="443" t="s">
        <v>4530</v>
      </c>
      <c r="C429" s="443" t="s">
        <v>4530</v>
      </c>
      <c r="D429" s="443" t="s">
        <v>6959</v>
      </c>
      <c r="E429" s="443"/>
      <c r="F429" s="449" t="s">
        <v>4959</v>
      </c>
      <c r="G429" s="4"/>
      <c r="H429" s="640"/>
      <c r="I429" s="640" t="s">
        <v>617</v>
      </c>
      <c r="J429" s="653"/>
      <c r="K429" s="653"/>
      <c r="L429" s="653"/>
      <c r="M429" s="653"/>
      <c r="N429" s="653"/>
      <c r="O429" s="653"/>
      <c r="P429" s="653"/>
      <c r="Q429" s="640"/>
      <c r="R429" s="640" t="s">
        <v>3159</v>
      </c>
      <c r="S429" s="448" t="s">
        <v>4403</v>
      </c>
      <c r="T429" s="460"/>
      <c r="U429" s="640" t="s">
        <v>584</v>
      </c>
      <c r="V429" s="685">
        <f t="shared" si="15"/>
        <v>0</v>
      </c>
      <c r="W429" s="690"/>
      <c r="X429" s="690"/>
      <c r="Y429" s="690"/>
      <c r="Z429" s="690"/>
      <c r="AA429" s="690"/>
      <c r="AB429" s="690"/>
      <c r="AC429" s="690"/>
      <c r="AD429" s="690"/>
      <c r="AE429" s="690"/>
      <c r="AF429" s="690"/>
      <c r="AG429" s="690"/>
      <c r="AH429" s="690"/>
      <c r="AI429" s="690"/>
      <c r="AJ429" s="690"/>
      <c r="AK429" s="690"/>
      <c r="AL429" s="690"/>
      <c r="AM429" s="690"/>
      <c r="AN429" s="690"/>
      <c r="AO429" s="690"/>
      <c r="AP429" s="690"/>
    </row>
    <row r="430" spans="1:42" x14ac:dyDescent="0.25">
      <c r="A430" s="134">
        <f t="shared" si="14"/>
        <v>429</v>
      </c>
      <c r="B430" s="443" t="s">
        <v>4531</v>
      </c>
      <c r="C430" s="443" t="s">
        <v>4531</v>
      </c>
      <c r="D430" s="443" t="s">
        <v>6959</v>
      </c>
      <c r="E430" s="443"/>
      <c r="F430" s="449" t="s">
        <v>4960</v>
      </c>
      <c r="G430" s="4"/>
      <c r="H430" s="640"/>
      <c r="I430" s="640" t="s">
        <v>1110</v>
      </c>
      <c r="J430" s="653"/>
      <c r="K430" s="653"/>
      <c r="L430" s="653"/>
      <c r="M430" s="653" t="s">
        <v>7227</v>
      </c>
      <c r="N430" s="653"/>
      <c r="O430" s="653"/>
      <c r="P430" s="653"/>
      <c r="Q430" s="640"/>
      <c r="R430" s="640" t="s">
        <v>3192</v>
      </c>
      <c r="S430" s="640" t="s">
        <v>4453</v>
      </c>
      <c r="T430" s="460"/>
      <c r="U430" s="640" t="s">
        <v>584</v>
      </c>
      <c r="V430" s="685">
        <f t="shared" si="15"/>
        <v>0</v>
      </c>
      <c r="W430" s="690"/>
      <c r="X430" s="690"/>
      <c r="Y430" s="690"/>
      <c r="Z430" s="690"/>
      <c r="AA430" s="690"/>
      <c r="AB430" s="690"/>
      <c r="AC430" s="690"/>
      <c r="AD430" s="690"/>
      <c r="AE430" s="690"/>
      <c r="AF430" s="690"/>
      <c r="AG430" s="690"/>
      <c r="AH430" s="690"/>
      <c r="AI430" s="690"/>
      <c r="AJ430" s="690"/>
      <c r="AK430" s="690"/>
      <c r="AL430" s="690"/>
      <c r="AM430" s="690"/>
      <c r="AN430" s="690"/>
      <c r="AO430" s="690"/>
      <c r="AP430" s="690"/>
    </row>
    <row r="431" spans="1:42" x14ac:dyDescent="0.25">
      <c r="A431" s="134">
        <f t="shared" si="14"/>
        <v>430</v>
      </c>
      <c r="B431" s="443" t="s">
        <v>4532</v>
      </c>
      <c r="C431" s="443" t="s">
        <v>4532</v>
      </c>
      <c r="D431" s="443" t="s">
        <v>6959</v>
      </c>
      <c r="E431" s="443"/>
      <c r="F431" s="449" t="s">
        <v>4961</v>
      </c>
      <c r="G431" s="4"/>
      <c r="H431" s="640"/>
      <c r="I431" s="640" t="s">
        <v>1110</v>
      </c>
      <c r="J431" s="653"/>
      <c r="K431" s="653"/>
      <c r="L431" s="653"/>
      <c r="M431" s="653" t="s">
        <v>7227</v>
      </c>
      <c r="N431" s="653"/>
      <c r="O431" s="653"/>
      <c r="P431" s="653"/>
      <c r="Q431" s="640"/>
      <c r="R431" s="640" t="s">
        <v>3192</v>
      </c>
      <c r="S431" s="640" t="s">
        <v>4454</v>
      </c>
      <c r="T431" s="460"/>
      <c r="U431" s="640" t="s">
        <v>584</v>
      </c>
      <c r="V431" s="685">
        <f t="shared" si="15"/>
        <v>0</v>
      </c>
      <c r="W431" s="690"/>
      <c r="X431" s="690"/>
      <c r="Y431" s="690"/>
      <c r="Z431" s="690"/>
      <c r="AA431" s="690"/>
      <c r="AB431" s="690"/>
      <c r="AC431" s="690"/>
      <c r="AD431" s="690"/>
      <c r="AE431" s="690"/>
      <c r="AF431" s="690"/>
      <c r="AG431" s="690"/>
      <c r="AH431" s="690"/>
      <c r="AI431" s="690"/>
      <c r="AJ431" s="690"/>
      <c r="AK431" s="690"/>
      <c r="AL431" s="690"/>
      <c r="AM431" s="690"/>
      <c r="AN431" s="690"/>
      <c r="AO431" s="690"/>
      <c r="AP431" s="690"/>
    </row>
    <row r="432" spans="1:42" x14ac:dyDescent="0.25">
      <c r="A432" s="134">
        <f t="shared" si="14"/>
        <v>431</v>
      </c>
      <c r="B432" s="443" t="s">
        <v>4533</v>
      </c>
      <c r="C432" s="443" t="s">
        <v>4533</v>
      </c>
      <c r="D432" s="443" t="s">
        <v>6959</v>
      </c>
      <c r="E432" s="443"/>
      <c r="F432" s="449" t="s">
        <v>4962</v>
      </c>
      <c r="G432" s="4"/>
      <c r="H432" s="640"/>
      <c r="I432" s="640" t="s">
        <v>1110</v>
      </c>
      <c r="J432" s="653"/>
      <c r="K432" s="653"/>
      <c r="L432" s="653"/>
      <c r="M432" s="653"/>
      <c r="N432" s="653"/>
      <c r="O432" s="653"/>
      <c r="P432" s="653"/>
      <c r="Q432" s="640"/>
      <c r="R432" s="640" t="s">
        <v>3192</v>
      </c>
      <c r="S432" s="640" t="s">
        <v>4455</v>
      </c>
      <c r="T432" s="460"/>
      <c r="U432" s="640" t="s">
        <v>584</v>
      </c>
      <c r="V432" s="685">
        <f t="shared" si="15"/>
        <v>0</v>
      </c>
      <c r="W432" s="690"/>
      <c r="X432" s="690"/>
      <c r="Y432" s="690"/>
      <c r="Z432" s="690"/>
      <c r="AA432" s="690"/>
      <c r="AB432" s="690"/>
      <c r="AC432" s="690"/>
      <c r="AD432" s="690"/>
      <c r="AE432" s="690"/>
      <c r="AF432" s="690"/>
      <c r="AG432" s="690"/>
      <c r="AH432" s="690"/>
      <c r="AI432" s="690"/>
      <c r="AJ432" s="690"/>
      <c r="AK432" s="690"/>
      <c r="AL432" s="690"/>
      <c r="AM432" s="690"/>
      <c r="AN432" s="690"/>
      <c r="AO432" s="690"/>
      <c r="AP432" s="690"/>
    </row>
    <row r="433" spans="1:42" x14ac:dyDescent="0.25">
      <c r="A433" s="134">
        <f t="shared" si="14"/>
        <v>432</v>
      </c>
      <c r="B433" s="443" t="s">
        <v>4534</v>
      </c>
      <c r="C433" s="443" t="s">
        <v>4534</v>
      </c>
      <c r="D433" s="443" t="s">
        <v>6959</v>
      </c>
      <c r="E433" s="443"/>
      <c r="F433" s="449" t="s">
        <v>4963</v>
      </c>
      <c r="G433" s="4"/>
      <c r="H433" s="640"/>
      <c r="I433" s="640" t="s">
        <v>1110</v>
      </c>
      <c r="J433" s="653"/>
      <c r="K433" s="653"/>
      <c r="L433" s="653"/>
      <c r="M433" s="653"/>
      <c r="N433" s="653"/>
      <c r="O433" s="653"/>
      <c r="P433" s="653"/>
      <c r="Q433" s="640"/>
      <c r="R433" s="640" t="s">
        <v>3192</v>
      </c>
      <c r="S433" s="640" t="s">
        <v>4456</v>
      </c>
      <c r="T433" s="460"/>
      <c r="U433" s="640" t="s">
        <v>584</v>
      </c>
      <c r="V433" s="685">
        <f t="shared" si="15"/>
        <v>0</v>
      </c>
      <c r="W433" s="690"/>
      <c r="X433" s="690"/>
      <c r="Y433" s="690"/>
      <c r="Z433" s="690"/>
      <c r="AA433" s="690"/>
      <c r="AB433" s="690"/>
      <c r="AC433" s="690"/>
      <c r="AD433" s="690"/>
      <c r="AE433" s="690"/>
      <c r="AF433" s="690"/>
      <c r="AG433" s="690"/>
      <c r="AH433" s="690"/>
      <c r="AI433" s="690"/>
      <c r="AJ433" s="690"/>
      <c r="AK433" s="690"/>
      <c r="AL433" s="690"/>
      <c r="AM433" s="690"/>
      <c r="AN433" s="690"/>
      <c r="AO433" s="690"/>
      <c r="AP433" s="690"/>
    </row>
    <row r="434" spans="1:42" x14ac:dyDescent="0.25">
      <c r="A434" s="134">
        <f t="shared" si="14"/>
        <v>433</v>
      </c>
      <c r="B434" s="443" t="s">
        <v>4535</v>
      </c>
      <c r="C434" s="443" t="s">
        <v>4535</v>
      </c>
      <c r="D434" s="443" t="s">
        <v>6959</v>
      </c>
      <c r="E434" s="443"/>
      <c r="F434" s="449" t="s">
        <v>4964</v>
      </c>
      <c r="G434" s="4"/>
      <c r="H434" s="640"/>
      <c r="I434" s="640" t="s">
        <v>1110</v>
      </c>
      <c r="J434" s="653"/>
      <c r="K434" s="653"/>
      <c r="L434" s="653"/>
      <c r="M434" s="653"/>
      <c r="N434" s="653">
        <v>1</v>
      </c>
      <c r="O434" s="653" t="s">
        <v>7358</v>
      </c>
      <c r="P434" s="653"/>
      <c r="Q434" s="640"/>
      <c r="R434" s="640" t="s">
        <v>3192</v>
      </c>
      <c r="S434" s="640" t="s">
        <v>4457</v>
      </c>
      <c r="T434" s="460"/>
      <c r="U434" s="640" t="s">
        <v>584</v>
      </c>
      <c r="V434" s="685">
        <f t="shared" si="15"/>
        <v>0</v>
      </c>
      <c r="W434" s="690"/>
      <c r="X434" s="690"/>
      <c r="Y434" s="690"/>
      <c r="Z434" s="690"/>
      <c r="AA434" s="690"/>
      <c r="AB434" s="690"/>
      <c r="AC434" s="690"/>
      <c r="AD434" s="690"/>
      <c r="AE434" s="690"/>
      <c r="AF434" s="690"/>
      <c r="AG434" s="690"/>
      <c r="AH434" s="690"/>
      <c r="AI434" s="690"/>
      <c r="AJ434" s="690"/>
      <c r="AK434" s="690"/>
      <c r="AL434" s="690"/>
      <c r="AM434" s="690"/>
      <c r="AN434" s="690"/>
      <c r="AO434" s="690"/>
      <c r="AP434" s="690"/>
    </row>
    <row r="435" spans="1:42" x14ac:dyDescent="0.25">
      <c r="A435" s="134">
        <f t="shared" si="14"/>
        <v>434</v>
      </c>
      <c r="B435" s="443" t="s">
        <v>5145</v>
      </c>
      <c r="C435" s="443" t="s">
        <v>4608</v>
      </c>
      <c r="D435" s="443"/>
      <c r="E435" s="443"/>
      <c r="F435" s="444" t="s">
        <v>4965</v>
      </c>
      <c r="G435" s="4"/>
      <c r="H435" s="640"/>
      <c r="I435" s="640" t="s">
        <v>617</v>
      </c>
      <c r="J435" s="653" t="s">
        <v>6266</v>
      </c>
      <c r="K435" s="653" t="s">
        <v>6270</v>
      </c>
      <c r="L435" s="653"/>
      <c r="M435" s="653" t="s">
        <v>7227</v>
      </c>
      <c r="N435" s="653"/>
      <c r="O435" s="653"/>
      <c r="P435" s="653"/>
      <c r="Q435" s="640"/>
      <c r="R435" s="640"/>
      <c r="S435" s="640"/>
      <c r="T435" s="460"/>
      <c r="U435" s="460"/>
      <c r="V435" s="685">
        <f t="shared" si="15"/>
        <v>0</v>
      </c>
      <c r="W435" s="690"/>
      <c r="X435" s="690"/>
      <c r="Y435" s="690"/>
      <c r="Z435" s="690"/>
      <c r="AA435" s="690"/>
      <c r="AB435" s="690"/>
      <c r="AC435" s="690"/>
      <c r="AD435" s="690"/>
      <c r="AE435" s="690"/>
      <c r="AF435" s="690"/>
      <c r="AG435" s="690"/>
      <c r="AH435" s="690"/>
      <c r="AI435" s="690"/>
      <c r="AJ435" s="690"/>
      <c r="AK435" s="690"/>
      <c r="AL435" s="690"/>
      <c r="AM435" s="690"/>
      <c r="AN435" s="690"/>
      <c r="AO435" s="690"/>
      <c r="AP435" s="690"/>
    </row>
    <row r="436" spans="1:42" x14ac:dyDescent="0.25">
      <c r="A436" s="134">
        <f t="shared" si="14"/>
        <v>435</v>
      </c>
      <c r="B436" s="443" t="s">
        <v>4659</v>
      </c>
      <c r="C436" s="443" t="s">
        <v>4659</v>
      </c>
      <c r="D436" s="443"/>
      <c r="E436" s="443"/>
      <c r="F436" s="444" t="s">
        <v>4660</v>
      </c>
      <c r="G436" s="4"/>
      <c r="H436" s="640"/>
      <c r="I436" s="640" t="s">
        <v>620</v>
      </c>
      <c r="J436" s="653" t="s">
        <v>6266</v>
      </c>
      <c r="K436" s="653" t="s">
        <v>6270</v>
      </c>
      <c r="L436" s="653"/>
      <c r="M436" s="653" t="s">
        <v>7103</v>
      </c>
      <c r="N436" s="653"/>
      <c r="O436" s="653"/>
      <c r="P436" s="653"/>
      <c r="Q436" s="640"/>
      <c r="R436" s="640"/>
      <c r="S436" s="640"/>
      <c r="T436" s="460"/>
      <c r="U436" s="460"/>
      <c r="V436" s="685">
        <f t="shared" si="15"/>
        <v>0</v>
      </c>
      <c r="W436" s="690"/>
      <c r="X436" s="690"/>
      <c r="Y436" s="690"/>
      <c r="Z436" s="690"/>
      <c r="AA436" s="690"/>
      <c r="AB436" s="690"/>
      <c r="AC436" s="690"/>
      <c r="AD436" s="690"/>
      <c r="AE436" s="690"/>
      <c r="AF436" s="690"/>
      <c r="AG436" s="690"/>
      <c r="AH436" s="690"/>
      <c r="AI436" s="690"/>
      <c r="AJ436" s="690"/>
      <c r="AK436" s="690"/>
      <c r="AL436" s="690"/>
      <c r="AM436" s="690"/>
      <c r="AN436" s="690"/>
      <c r="AO436" s="690"/>
      <c r="AP436" s="690"/>
    </row>
    <row r="437" spans="1:42" x14ac:dyDescent="0.25">
      <c r="A437" s="134">
        <f t="shared" si="14"/>
        <v>436</v>
      </c>
      <c r="B437" s="443" t="s">
        <v>4661</v>
      </c>
      <c r="C437" s="443" t="s">
        <v>4661</v>
      </c>
      <c r="D437" s="443"/>
      <c r="E437" s="443"/>
      <c r="F437" s="444" t="s">
        <v>4662</v>
      </c>
      <c r="G437" s="4"/>
      <c r="H437" s="640"/>
      <c r="I437" s="640" t="s">
        <v>620</v>
      </c>
      <c r="J437" s="653" t="s">
        <v>6266</v>
      </c>
      <c r="K437" s="653" t="s">
        <v>6270</v>
      </c>
      <c r="L437" s="653"/>
      <c r="M437" s="653" t="s">
        <v>7103</v>
      </c>
      <c r="N437" s="653"/>
      <c r="O437" s="653"/>
      <c r="P437" s="653"/>
      <c r="Q437" s="640"/>
      <c r="R437" s="640"/>
      <c r="S437" s="640"/>
      <c r="T437" s="460"/>
      <c r="U437" s="460"/>
      <c r="V437" s="685">
        <f t="shared" si="15"/>
        <v>0</v>
      </c>
      <c r="W437" s="690"/>
      <c r="X437" s="690"/>
      <c r="Y437" s="690"/>
      <c r="Z437" s="690"/>
      <c r="AA437" s="690"/>
      <c r="AB437" s="690"/>
      <c r="AC437" s="690"/>
      <c r="AD437" s="690"/>
      <c r="AE437" s="690"/>
      <c r="AF437" s="690"/>
      <c r="AG437" s="690"/>
      <c r="AH437" s="690"/>
      <c r="AI437" s="690"/>
      <c r="AJ437" s="690"/>
      <c r="AK437" s="690"/>
      <c r="AL437" s="690"/>
      <c r="AM437" s="690"/>
      <c r="AN437" s="690"/>
      <c r="AO437" s="690"/>
      <c r="AP437" s="690"/>
    </row>
    <row r="438" spans="1:42" x14ac:dyDescent="0.25">
      <c r="A438" s="134">
        <f t="shared" si="14"/>
        <v>437</v>
      </c>
      <c r="B438" s="443" t="s">
        <v>4664</v>
      </c>
      <c r="C438" s="443" t="s">
        <v>4664</v>
      </c>
      <c r="D438" s="443"/>
      <c r="E438" s="443" t="s">
        <v>7148</v>
      </c>
      <c r="F438" s="444" t="s">
        <v>4665</v>
      </c>
      <c r="G438" s="4"/>
      <c r="H438" s="640"/>
      <c r="I438" s="640" t="s">
        <v>620</v>
      </c>
      <c r="J438" s="653"/>
      <c r="K438" s="653" t="s">
        <v>6269</v>
      </c>
      <c r="L438" s="653"/>
      <c r="M438" s="653"/>
      <c r="N438" s="653"/>
      <c r="O438" s="653"/>
      <c r="P438" s="653"/>
      <c r="Q438" s="640"/>
      <c r="R438" s="640"/>
      <c r="S438" s="640"/>
      <c r="T438" s="460"/>
      <c r="U438" s="460"/>
      <c r="V438" s="685">
        <f t="shared" si="15"/>
        <v>0</v>
      </c>
      <c r="W438" s="690"/>
      <c r="X438" s="690"/>
      <c r="Y438" s="690"/>
      <c r="Z438" s="690"/>
      <c r="AA438" s="690"/>
      <c r="AB438" s="690"/>
      <c r="AC438" s="690"/>
      <c r="AD438" s="690"/>
      <c r="AE438" s="690"/>
      <c r="AF438" s="690"/>
      <c r="AG438" s="690"/>
      <c r="AH438" s="690"/>
      <c r="AI438" s="690"/>
      <c r="AJ438" s="690"/>
      <c r="AK438" s="690"/>
      <c r="AL438" s="690"/>
      <c r="AM438" s="690"/>
      <c r="AN438" s="690"/>
      <c r="AO438" s="690"/>
      <c r="AP438" s="690"/>
    </row>
    <row r="439" spans="1:42" x14ac:dyDescent="0.25">
      <c r="A439" s="134">
        <f t="shared" si="14"/>
        <v>438</v>
      </c>
      <c r="B439" s="443" t="s">
        <v>4682</v>
      </c>
      <c r="C439" s="443" t="s">
        <v>4682</v>
      </c>
      <c r="D439" s="443"/>
      <c r="E439" s="443" t="s">
        <v>7149</v>
      </c>
      <c r="F439" s="444" t="s">
        <v>4683</v>
      </c>
      <c r="G439" s="4" t="s">
        <v>7385</v>
      </c>
      <c r="H439" s="640"/>
      <c r="I439" s="640" t="s">
        <v>1110</v>
      </c>
      <c r="J439" s="653"/>
      <c r="K439" s="653" t="s">
        <v>6269</v>
      </c>
      <c r="L439" s="653"/>
      <c r="M439" s="653"/>
      <c r="N439" s="653"/>
      <c r="O439" s="653"/>
      <c r="P439" s="653"/>
      <c r="Q439" s="640"/>
      <c r="R439" s="640"/>
      <c r="S439" s="640"/>
      <c r="T439" s="460"/>
      <c r="U439" s="460"/>
      <c r="V439" s="685">
        <f t="shared" si="15"/>
        <v>0</v>
      </c>
      <c r="W439" s="690"/>
      <c r="X439" s="690"/>
      <c r="Y439" s="690"/>
      <c r="Z439" s="690"/>
      <c r="AA439" s="690"/>
      <c r="AB439" s="690"/>
      <c r="AC439" s="690"/>
      <c r="AD439" s="690"/>
      <c r="AE439" s="690"/>
      <c r="AF439" s="690"/>
      <c r="AG439" s="690"/>
      <c r="AH439" s="690"/>
      <c r="AI439" s="690"/>
      <c r="AJ439" s="690"/>
      <c r="AK439" s="690"/>
      <c r="AL439" s="690"/>
      <c r="AM439" s="690"/>
      <c r="AN439" s="690"/>
      <c r="AO439" s="690"/>
      <c r="AP439" s="690"/>
    </row>
    <row r="440" spans="1:42" x14ac:dyDescent="0.25">
      <c r="A440" s="134">
        <f t="shared" si="14"/>
        <v>439</v>
      </c>
      <c r="B440" s="447" t="s">
        <v>3661</v>
      </c>
      <c r="C440" s="443" t="s">
        <v>3661</v>
      </c>
      <c r="D440" s="443"/>
      <c r="E440" s="443"/>
      <c r="F440" s="443" t="s">
        <v>4706</v>
      </c>
      <c r="G440" s="4"/>
      <c r="H440" s="640"/>
      <c r="I440" s="640" t="s">
        <v>621</v>
      </c>
      <c r="J440" s="653" t="s">
        <v>6266</v>
      </c>
      <c r="K440" s="653" t="s">
        <v>6269</v>
      </c>
      <c r="L440" s="653"/>
      <c r="M440" s="653"/>
      <c r="N440" s="653"/>
      <c r="O440" s="653"/>
      <c r="P440" s="653"/>
      <c r="Q440" s="640"/>
      <c r="R440" s="640"/>
      <c r="S440" s="640"/>
      <c r="T440" s="460"/>
      <c r="U440" s="460"/>
      <c r="V440" s="685">
        <f t="shared" si="15"/>
        <v>0</v>
      </c>
      <c r="W440" s="690"/>
      <c r="X440" s="690"/>
      <c r="Y440" s="690"/>
      <c r="Z440" s="690"/>
      <c r="AA440" s="690"/>
      <c r="AB440" s="690"/>
      <c r="AC440" s="690"/>
      <c r="AD440" s="690"/>
      <c r="AE440" s="690"/>
      <c r="AF440" s="690"/>
      <c r="AG440" s="690"/>
      <c r="AH440" s="690"/>
      <c r="AI440" s="690"/>
      <c r="AJ440" s="690"/>
      <c r="AK440" s="690"/>
      <c r="AL440" s="690"/>
      <c r="AM440" s="690"/>
      <c r="AN440" s="690"/>
      <c r="AO440" s="690"/>
      <c r="AP440" s="690"/>
    </row>
    <row r="441" spans="1:42" x14ac:dyDescent="0.25">
      <c r="A441" s="134">
        <f t="shared" si="14"/>
        <v>440</v>
      </c>
      <c r="B441" s="447" t="s">
        <v>3662</v>
      </c>
      <c r="C441" s="443" t="s">
        <v>3662</v>
      </c>
      <c r="D441" s="443"/>
      <c r="E441" s="443"/>
      <c r="F441" s="443" t="s">
        <v>4707</v>
      </c>
      <c r="G441" s="4"/>
      <c r="H441" s="640"/>
      <c r="I441" s="640" t="s">
        <v>621</v>
      </c>
      <c r="J441" s="653" t="s">
        <v>6266</v>
      </c>
      <c r="K441" s="653" t="s">
        <v>6270</v>
      </c>
      <c r="L441" s="653"/>
      <c r="M441" s="653"/>
      <c r="N441" s="653"/>
      <c r="O441" s="653"/>
      <c r="P441" s="653"/>
      <c r="Q441" s="640"/>
      <c r="R441" s="640"/>
      <c r="S441" s="640"/>
      <c r="T441" s="460"/>
      <c r="U441" s="460"/>
      <c r="V441" s="685">
        <f t="shared" si="15"/>
        <v>0</v>
      </c>
      <c r="W441" s="690"/>
      <c r="X441" s="690"/>
      <c r="Y441" s="690"/>
      <c r="Z441" s="690"/>
      <c r="AA441" s="690"/>
      <c r="AB441" s="690"/>
      <c r="AC441" s="690"/>
      <c r="AD441" s="690"/>
      <c r="AE441" s="690"/>
      <c r="AF441" s="690"/>
      <c r="AG441" s="690"/>
      <c r="AH441" s="690"/>
      <c r="AI441" s="690"/>
      <c r="AJ441" s="690"/>
      <c r="AK441" s="690"/>
      <c r="AL441" s="690"/>
      <c r="AM441" s="690"/>
      <c r="AN441" s="690"/>
      <c r="AO441" s="690"/>
      <c r="AP441" s="690"/>
    </row>
    <row r="442" spans="1:42" x14ac:dyDescent="0.25">
      <c r="A442" s="134">
        <f t="shared" si="14"/>
        <v>441</v>
      </c>
      <c r="B442" s="447" t="s">
        <v>3663</v>
      </c>
      <c r="C442" s="443" t="s">
        <v>3663</v>
      </c>
      <c r="D442" s="443"/>
      <c r="E442" s="443" t="s">
        <v>4708</v>
      </c>
      <c r="F442" s="443" t="s">
        <v>4708</v>
      </c>
      <c r="G442" s="4"/>
      <c r="H442" s="640"/>
      <c r="I442" s="640" t="s">
        <v>621</v>
      </c>
      <c r="J442" s="653" t="s">
        <v>6266</v>
      </c>
      <c r="K442" s="653" t="s">
        <v>6269</v>
      </c>
      <c r="L442" s="653"/>
      <c r="M442" s="653"/>
      <c r="N442" s="653"/>
      <c r="O442" s="653"/>
      <c r="P442" s="653"/>
      <c r="Q442" s="640"/>
      <c r="R442" s="640"/>
      <c r="S442" s="640"/>
      <c r="T442" s="460"/>
      <c r="U442" s="460"/>
      <c r="V442" s="685">
        <f t="shared" si="15"/>
        <v>0</v>
      </c>
      <c r="W442" s="690"/>
      <c r="X442" s="690"/>
      <c r="Y442" s="690"/>
      <c r="Z442" s="690"/>
      <c r="AA442" s="690"/>
      <c r="AB442" s="690"/>
      <c r="AC442" s="690"/>
      <c r="AD442" s="690"/>
      <c r="AE442" s="690"/>
      <c r="AF442" s="690"/>
      <c r="AG442" s="690"/>
      <c r="AH442" s="690"/>
      <c r="AI442" s="690"/>
      <c r="AJ442" s="690"/>
      <c r="AK442" s="690"/>
      <c r="AL442" s="690"/>
      <c r="AM442" s="690"/>
      <c r="AN442" s="690"/>
      <c r="AO442" s="690"/>
      <c r="AP442" s="690"/>
    </row>
    <row r="443" spans="1:42" x14ac:dyDescent="0.25">
      <c r="A443" s="134">
        <f t="shared" si="14"/>
        <v>442</v>
      </c>
      <c r="B443" s="447" t="s">
        <v>3664</v>
      </c>
      <c r="C443" s="443" t="s">
        <v>3664</v>
      </c>
      <c r="D443" s="443"/>
      <c r="E443" s="447" t="s">
        <v>4709</v>
      </c>
      <c r="F443" s="447" t="s">
        <v>4709</v>
      </c>
      <c r="G443" s="4"/>
      <c r="H443" s="640"/>
      <c r="I443" s="640" t="s">
        <v>621</v>
      </c>
      <c r="J443" s="653" t="s">
        <v>6266</v>
      </c>
      <c r="K443" s="653" t="s">
        <v>6269</v>
      </c>
      <c r="L443" s="653"/>
      <c r="M443" s="653"/>
      <c r="N443" s="653"/>
      <c r="O443" s="653"/>
      <c r="P443" s="653"/>
      <c r="Q443" s="640"/>
      <c r="R443" s="640"/>
      <c r="S443" s="640"/>
      <c r="T443" s="460"/>
      <c r="U443" s="460"/>
      <c r="V443" s="685">
        <f t="shared" si="15"/>
        <v>0</v>
      </c>
      <c r="W443" s="690"/>
      <c r="X443" s="690"/>
      <c r="Y443" s="690"/>
      <c r="Z443" s="690"/>
      <c r="AA443" s="690"/>
      <c r="AB443" s="690"/>
      <c r="AC443" s="690"/>
      <c r="AD443" s="690"/>
      <c r="AE443" s="690"/>
      <c r="AF443" s="690"/>
      <c r="AG443" s="690"/>
      <c r="AH443" s="690"/>
      <c r="AI443" s="690"/>
      <c r="AJ443" s="690"/>
      <c r="AK443" s="690"/>
      <c r="AL443" s="690"/>
      <c r="AM443" s="690"/>
      <c r="AN443" s="690"/>
      <c r="AO443" s="690"/>
      <c r="AP443" s="690"/>
    </row>
    <row r="444" spans="1:42" x14ac:dyDescent="0.25">
      <c r="A444" s="134">
        <f t="shared" si="14"/>
        <v>443</v>
      </c>
      <c r="B444" s="447" t="s">
        <v>3665</v>
      </c>
      <c r="C444" s="443" t="s">
        <v>3665</v>
      </c>
      <c r="D444" s="443"/>
      <c r="E444" s="447" t="s">
        <v>4710</v>
      </c>
      <c r="F444" s="447" t="s">
        <v>4710</v>
      </c>
      <c r="G444" s="4"/>
      <c r="H444" s="640"/>
      <c r="I444" s="640" t="s">
        <v>621</v>
      </c>
      <c r="J444" s="653" t="s">
        <v>6266</v>
      </c>
      <c r="K444" s="653" t="s">
        <v>6269</v>
      </c>
      <c r="L444" s="653"/>
      <c r="M444" s="653"/>
      <c r="N444" s="653"/>
      <c r="O444" s="653"/>
      <c r="P444" s="653"/>
      <c r="Q444" s="640"/>
      <c r="R444" s="640"/>
      <c r="S444" s="640"/>
      <c r="T444" s="460"/>
      <c r="U444" s="460"/>
      <c r="V444" s="685">
        <f t="shared" si="15"/>
        <v>0</v>
      </c>
      <c r="W444" s="690"/>
      <c r="X444" s="690"/>
      <c r="Y444" s="690"/>
      <c r="Z444" s="690"/>
      <c r="AA444" s="690"/>
      <c r="AB444" s="690"/>
      <c r="AC444" s="690"/>
      <c r="AD444" s="690"/>
      <c r="AE444" s="690"/>
      <c r="AF444" s="690"/>
      <c r="AG444" s="690"/>
      <c r="AH444" s="690"/>
      <c r="AI444" s="690"/>
      <c r="AJ444" s="690"/>
      <c r="AK444" s="690"/>
      <c r="AL444" s="690"/>
      <c r="AM444" s="690"/>
      <c r="AN444" s="690"/>
      <c r="AO444" s="690"/>
      <c r="AP444" s="690"/>
    </row>
    <row r="445" spans="1:42" x14ac:dyDescent="0.25">
      <c r="A445" s="134">
        <f t="shared" si="14"/>
        <v>444</v>
      </c>
      <c r="B445" s="447" t="s">
        <v>3666</v>
      </c>
      <c r="C445" s="443" t="s">
        <v>3666</v>
      </c>
      <c r="D445" s="443"/>
      <c r="E445" s="447" t="s">
        <v>4558</v>
      </c>
      <c r="F445" s="447" t="s">
        <v>4558</v>
      </c>
      <c r="G445" s="4"/>
      <c r="H445" s="640"/>
      <c r="I445" s="640" t="s">
        <v>621</v>
      </c>
      <c r="J445" s="653" t="s">
        <v>6266</v>
      </c>
      <c r="K445" s="653" t="s">
        <v>6269</v>
      </c>
      <c r="L445" s="653"/>
      <c r="M445" s="653"/>
      <c r="N445" s="653"/>
      <c r="O445" s="653"/>
      <c r="P445" s="653"/>
      <c r="Q445" s="640"/>
      <c r="R445" s="640"/>
      <c r="S445" s="640"/>
      <c r="T445" s="460"/>
      <c r="U445" s="460"/>
      <c r="V445" s="685">
        <f t="shared" si="15"/>
        <v>0</v>
      </c>
      <c r="W445" s="690"/>
      <c r="X445" s="690"/>
      <c r="Y445" s="690"/>
      <c r="Z445" s="690"/>
      <c r="AA445" s="690"/>
      <c r="AB445" s="690"/>
      <c r="AC445" s="690"/>
      <c r="AD445" s="690"/>
      <c r="AE445" s="690"/>
      <c r="AF445" s="690"/>
      <c r="AG445" s="690"/>
      <c r="AH445" s="690"/>
      <c r="AI445" s="690"/>
      <c r="AJ445" s="690"/>
      <c r="AK445" s="690"/>
      <c r="AL445" s="690"/>
      <c r="AM445" s="690"/>
      <c r="AN445" s="690"/>
      <c r="AO445" s="690"/>
      <c r="AP445" s="690"/>
    </row>
    <row r="446" spans="1:42" x14ac:dyDescent="0.25">
      <c r="A446" s="134">
        <f t="shared" si="14"/>
        <v>445</v>
      </c>
      <c r="B446" s="446" t="s">
        <v>3667</v>
      </c>
      <c r="C446" s="443" t="s">
        <v>3667</v>
      </c>
      <c r="D446" s="443"/>
      <c r="E446" s="443"/>
      <c r="F446" s="443" t="s">
        <v>4711</v>
      </c>
      <c r="G446" s="4"/>
      <c r="H446" s="640"/>
      <c r="I446" s="640" t="s">
        <v>621</v>
      </c>
      <c r="J446" s="653" t="s">
        <v>6266</v>
      </c>
      <c r="K446" s="653" t="s">
        <v>6270</v>
      </c>
      <c r="L446" s="653"/>
      <c r="M446" s="653"/>
      <c r="N446" s="653"/>
      <c r="O446" s="653"/>
      <c r="P446" s="653"/>
      <c r="Q446" s="640"/>
      <c r="R446" s="640"/>
      <c r="S446" s="640"/>
      <c r="T446" s="460"/>
      <c r="U446" s="460"/>
      <c r="V446" s="685">
        <f t="shared" si="15"/>
        <v>0</v>
      </c>
      <c r="W446" s="690"/>
      <c r="X446" s="690"/>
      <c r="Y446" s="690"/>
      <c r="Z446" s="690"/>
      <c r="AA446" s="690"/>
      <c r="AB446" s="690"/>
      <c r="AC446" s="690"/>
      <c r="AD446" s="690"/>
      <c r="AE446" s="690"/>
      <c r="AF446" s="690"/>
      <c r="AG446" s="690"/>
      <c r="AH446" s="690"/>
      <c r="AI446" s="690"/>
      <c r="AJ446" s="690"/>
      <c r="AK446" s="690"/>
      <c r="AL446" s="690"/>
      <c r="AM446" s="690"/>
      <c r="AN446" s="690"/>
      <c r="AO446" s="690"/>
      <c r="AP446" s="690"/>
    </row>
    <row r="447" spans="1:42" x14ac:dyDescent="0.25">
      <c r="A447" s="134">
        <f t="shared" si="14"/>
        <v>446</v>
      </c>
      <c r="B447" s="447" t="s">
        <v>3668</v>
      </c>
      <c r="C447" s="443" t="s">
        <v>3668</v>
      </c>
      <c r="D447" s="443"/>
      <c r="E447" s="443"/>
      <c r="F447" s="447" t="s">
        <v>4712</v>
      </c>
      <c r="G447" s="4"/>
      <c r="H447" s="640"/>
      <c r="I447" s="640" t="s">
        <v>621</v>
      </c>
      <c r="J447" s="653" t="s">
        <v>6266</v>
      </c>
      <c r="K447" s="653" t="s">
        <v>6270</v>
      </c>
      <c r="L447" s="653"/>
      <c r="M447" s="653"/>
      <c r="N447" s="653"/>
      <c r="O447" s="653"/>
      <c r="P447" s="653"/>
      <c r="Q447" s="640"/>
      <c r="R447" s="640"/>
      <c r="S447" s="640"/>
      <c r="T447" s="460"/>
      <c r="U447" s="460"/>
      <c r="V447" s="685">
        <f t="shared" si="15"/>
        <v>0</v>
      </c>
      <c r="W447" s="690"/>
      <c r="X447" s="690"/>
      <c r="Y447" s="690"/>
      <c r="Z447" s="690"/>
      <c r="AA447" s="690"/>
      <c r="AB447" s="690"/>
      <c r="AC447" s="690"/>
      <c r="AD447" s="690"/>
      <c r="AE447" s="690"/>
      <c r="AF447" s="690"/>
      <c r="AG447" s="690"/>
      <c r="AH447" s="690"/>
      <c r="AI447" s="690"/>
      <c r="AJ447" s="690"/>
      <c r="AK447" s="690"/>
      <c r="AL447" s="690"/>
      <c r="AM447" s="690"/>
      <c r="AN447" s="690"/>
      <c r="AO447" s="690"/>
      <c r="AP447" s="690"/>
    </row>
    <row r="448" spans="1:42" x14ac:dyDescent="0.25">
      <c r="A448" s="134">
        <f t="shared" si="14"/>
        <v>447</v>
      </c>
      <c r="B448" s="447" t="s">
        <v>3116</v>
      </c>
      <c r="C448" s="443" t="s">
        <v>3116</v>
      </c>
      <c r="D448" s="443"/>
      <c r="E448" s="443"/>
      <c r="F448" s="446" t="s">
        <v>4852</v>
      </c>
      <c r="G448" s="4"/>
      <c r="H448" s="640"/>
      <c r="I448" s="640" t="s">
        <v>621</v>
      </c>
      <c r="J448" s="653" t="s">
        <v>6266</v>
      </c>
      <c r="K448" s="653" t="s">
        <v>6269</v>
      </c>
      <c r="L448" s="653"/>
      <c r="M448" s="653"/>
      <c r="N448" s="653"/>
      <c r="O448" s="653"/>
      <c r="P448" s="653"/>
      <c r="Q448" s="640"/>
      <c r="R448" s="640"/>
      <c r="S448" s="640"/>
      <c r="T448" s="460"/>
      <c r="U448" s="460"/>
      <c r="V448" s="685">
        <f t="shared" si="15"/>
        <v>0</v>
      </c>
      <c r="W448" s="690"/>
      <c r="X448" s="690"/>
      <c r="Y448" s="690"/>
      <c r="Z448" s="690"/>
      <c r="AA448" s="690"/>
      <c r="AB448" s="690"/>
      <c r="AC448" s="690"/>
      <c r="AD448" s="690"/>
      <c r="AE448" s="690"/>
      <c r="AF448" s="690"/>
      <c r="AG448" s="690"/>
      <c r="AH448" s="690"/>
      <c r="AI448" s="690"/>
      <c r="AJ448" s="690"/>
      <c r="AK448" s="690"/>
      <c r="AL448" s="690"/>
      <c r="AM448" s="690"/>
      <c r="AN448" s="690"/>
      <c r="AO448" s="690"/>
      <c r="AP448" s="690"/>
    </row>
    <row r="449" spans="1:42" x14ac:dyDescent="0.25">
      <c r="A449" s="134">
        <f t="shared" si="14"/>
        <v>448</v>
      </c>
      <c r="B449" s="447" t="s">
        <v>3669</v>
      </c>
      <c r="C449" s="443" t="s">
        <v>3669</v>
      </c>
      <c r="D449" s="443"/>
      <c r="E449" s="443"/>
      <c r="F449" s="447" t="s">
        <v>4714</v>
      </c>
      <c r="G449" s="4"/>
      <c r="H449" s="640"/>
      <c r="I449" s="640" t="s">
        <v>621</v>
      </c>
      <c r="J449" s="653" t="s">
        <v>6266</v>
      </c>
      <c r="K449" s="653" t="s">
        <v>6270</v>
      </c>
      <c r="L449" s="653"/>
      <c r="M449" s="653"/>
      <c r="N449" s="653"/>
      <c r="O449" s="653"/>
      <c r="P449" s="653"/>
      <c r="Q449" s="640"/>
      <c r="R449" s="640"/>
      <c r="S449" s="640"/>
      <c r="T449" s="460"/>
      <c r="U449" s="460"/>
      <c r="V449" s="685">
        <f t="shared" si="15"/>
        <v>0</v>
      </c>
      <c r="W449" s="690"/>
      <c r="X449" s="690"/>
      <c r="Y449" s="690"/>
      <c r="Z449" s="690"/>
      <c r="AA449" s="690"/>
      <c r="AB449" s="690"/>
      <c r="AC449" s="690"/>
      <c r="AD449" s="690"/>
      <c r="AE449" s="690"/>
      <c r="AF449" s="690"/>
      <c r="AG449" s="690"/>
      <c r="AH449" s="690"/>
      <c r="AI449" s="690"/>
      <c r="AJ449" s="690"/>
      <c r="AK449" s="690"/>
      <c r="AL449" s="690"/>
      <c r="AM449" s="690"/>
      <c r="AN449" s="690"/>
      <c r="AO449" s="690"/>
      <c r="AP449" s="690"/>
    </row>
    <row r="450" spans="1:42" x14ac:dyDescent="0.25">
      <c r="A450" s="134">
        <f t="shared" si="14"/>
        <v>449</v>
      </c>
      <c r="B450" s="447" t="s">
        <v>3130</v>
      </c>
      <c r="C450" s="443" t="s">
        <v>3130</v>
      </c>
      <c r="D450" s="443"/>
      <c r="E450" s="443"/>
      <c r="F450" s="447" t="s">
        <v>4713</v>
      </c>
      <c r="G450" s="4"/>
      <c r="H450" s="640"/>
      <c r="I450" s="640" t="s">
        <v>621</v>
      </c>
      <c r="J450" s="653" t="s">
        <v>6266</v>
      </c>
      <c r="K450" s="653" t="s">
        <v>6270</v>
      </c>
      <c r="L450" s="653"/>
      <c r="M450" s="653"/>
      <c r="N450" s="653"/>
      <c r="O450" s="653"/>
      <c r="P450" s="653"/>
      <c r="Q450" s="640"/>
      <c r="R450" s="640"/>
      <c r="S450" s="640"/>
      <c r="T450" s="460"/>
      <c r="U450" s="460"/>
      <c r="V450" s="685">
        <f t="shared" si="15"/>
        <v>0</v>
      </c>
      <c r="W450" s="690"/>
      <c r="X450" s="690"/>
      <c r="Y450" s="690"/>
      <c r="Z450" s="690"/>
      <c r="AA450" s="690"/>
      <c r="AB450" s="690"/>
      <c r="AC450" s="690"/>
      <c r="AD450" s="690"/>
      <c r="AE450" s="690"/>
      <c r="AF450" s="690"/>
      <c r="AG450" s="690"/>
      <c r="AH450" s="690"/>
      <c r="AI450" s="690"/>
      <c r="AJ450" s="690"/>
      <c r="AK450" s="690"/>
      <c r="AL450" s="690"/>
      <c r="AM450" s="690"/>
      <c r="AN450" s="690"/>
      <c r="AO450" s="690"/>
      <c r="AP450" s="690"/>
    </row>
    <row r="451" spans="1:42" x14ac:dyDescent="0.25">
      <c r="A451" s="134">
        <f t="shared" ref="A451:A514" si="16">IF(B451="","",1+A450)</f>
        <v>450</v>
      </c>
      <c r="B451" s="454" t="s">
        <v>3179</v>
      </c>
      <c r="C451" s="454" t="s">
        <v>3179</v>
      </c>
      <c r="D451" s="454"/>
      <c r="E451" s="454"/>
      <c r="F451" s="443" t="s">
        <v>4966</v>
      </c>
      <c r="G451" s="4"/>
      <c r="H451" s="640"/>
      <c r="I451" s="640" t="s">
        <v>624</v>
      </c>
      <c r="J451" s="653"/>
      <c r="K451" s="653" t="s">
        <v>6269</v>
      </c>
      <c r="L451" s="653"/>
      <c r="M451" s="653"/>
      <c r="N451" s="653"/>
      <c r="O451" s="653"/>
      <c r="P451" s="653"/>
      <c r="Q451" s="640"/>
      <c r="R451" s="640"/>
      <c r="S451" s="640"/>
      <c r="T451" s="460"/>
      <c r="U451" s="460"/>
      <c r="V451" s="685">
        <f t="shared" ref="V451:V514" si="17">COUNTA(W451:AP451)</f>
        <v>0</v>
      </c>
      <c r="W451" s="690"/>
      <c r="X451" s="690"/>
      <c r="Y451" s="690"/>
      <c r="Z451" s="690"/>
      <c r="AA451" s="690"/>
      <c r="AB451" s="690"/>
      <c r="AC451" s="690"/>
      <c r="AD451" s="690"/>
      <c r="AE451" s="690"/>
      <c r="AF451" s="690"/>
      <c r="AG451" s="690"/>
      <c r="AH451" s="690"/>
      <c r="AI451" s="690"/>
      <c r="AJ451" s="690"/>
      <c r="AK451" s="690"/>
      <c r="AL451" s="690"/>
      <c r="AM451" s="690"/>
      <c r="AN451" s="690"/>
      <c r="AO451" s="690"/>
      <c r="AP451" s="690"/>
    </row>
    <row r="452" spans="1:42" x14ac:dyDescent="0.25">
      <c r="A452" s="134">
        <f t="shared" si="16"/>
        <v>451</v>
      </c>
      <c r="B452" s="454" t="s">
        <v>3180</v>
      </c>
      <c r="C452" s="454" t="s">
        <v>3180</v>
      </c>
      <c r="D452" s="454"/>
      <c r="E452" s="454"/>
      <c r="F452" s="443" t="s">
        <v>4967</v>
      </c>
      <c r="G452" s="4"/>
      <c r="H452" s="640"/>
      <c r="I452" s="640" t="s">
        <v>624</v>
      </c>
      <c r="J452" s="653" t="s">
        <v>6266</v>
      </c>
      <c r="K452" s="653" t="s">
        <v>6269</v>
      </c>
      <c r="L452" s="653"/>
      <c r="M452" s="653"/>
      <c r="N452" s="653"/>
      <c r="O452" s="653"/>
      <c r="P452" s="653"/>
      <c r="Q452" s="640"/>
      <c r="R452" s="640"/>
      <c r="S452" s="640"/>
      <c r="T452" s="460"/>
      <c r="U452" s="460"/>
      <c r="V452" s="685">
        <f t="shared" si="17"/>
        <v>0</v>
      </c>
      <c r="W452" s="690"/>
      <c r="X452" s="690"/>
      <c r="Y452" s="690"/>
      <c r="Z452" s="690"/>
      <c r="AA452" s="690"/>
      <c r="AB452" s="690"/>
      <c r="AC452" s="690"/>
      <c r="AD452" s="690"/>
      <c r="AE452" s="690"/>
      <c r="AF452" s="690"/>
      <c r="AG452" s="690"/>
      <c r="AH452" s="690"/>
      <c r="AI452" s="690"/>
      <c r="AJ452" s="690"/>
      <c r="AK452" s="690"/>
      <c r="AL452" s="690"/>
      <c r="AM452" s="690"/>
      <c r="AN452" s="690"/>
      <c r="AO452" s="690"/>
      <c r="AP452" s="690"/>
    </row>
    <row r="453" spans="1:42" x14ac:dyDescent="0.25">
      <c r="A453" s="134">
        <f t="shared" si="16"/>
        <v>452</v>
      </c>
      <c r="B453" s="446" t="s">
        <v>3181</v>
      </c>
      <c r="C453" s="446" t="s">
        <v>3181</v>
      </c>
      <c r="D453" s="446"/>
      <c r="E453" s="446"/>
      <c r="F453" s="443" t="s">
        <v>4968</v>
      </c>
      <c r="G453" s="4"/>
      <c r="H453" s="640"/>
      <c r="I453" s="640" t="s">
        <v>624</v>
      </c>
      <c r="J453" s="653"/>
      <c r="K453" s="653" t="s">
        <v>6269</v>
      </c>
      <c r="L453" s="653"/>
      <c r="M453" s="653"/>
      <c r="N453" s="653"/>
      <c r="O453" s="653"/>
      <c r="P453" s="653"/>
      <c r="Q453" s="640"/>
      <c r="R453" s="640"/>
      <c r="S453" s="640"/>
      <c r="T453" s="460"/>
      <c r="U453" s="460"/>
      <c r="V453" s="685">
        <f t="shared" si="17"/>
        <v>0</v>
      </c>
      <c r="W453" s="690"/>
      <c r="X453" s="690"/>
      <c r="Y453" s="690"/>
      <c r="Z453" s="690"/>
      <c r="AA453" s="690"/>
      <c r="AB453" s="690"/>
      <c r="AC453" s="690"/>
      <c r="AD453" s="690"/>
      <c r="AE453" s="690"/>
      <c r="AF453" s="690"/>
      <c r="AG453" s="690"/>
      <c r="AH453" s="690"/>
      <c r="AI453" s="690"/>
      <c r="AJ453" s="690"/>
      <c r="AK453" s="690"/>
      <c r="AL453" s="690"/>
      <c r="AM453" s="690"/>
      <c r="AN453" s="690"/>
      <c r="AO453" s="690"/>
      <c r="AP453" s="690"/>
    </row>
    <row r="454" spans="1:42" x14ac:dyDescent="0.25">
      <c r="A454" s="134">
        <f t="shared" si="16"/>
        <v>453</v>
      </c>
      <c r="B454" s="454" t="s">
        <v>4744</v>
      </c>
      <c r="C454" s="454" t="s">
        <v>4744</v>
      </c>
      <c r="D454" s="454"/>
      <c r="E454" s="454"/>
      <c r="F454" s="443" t="s">
        <v>4745</v>
      </c>
      <c r="G454" s="4"/>
      <c r="H454" s="640"/>
      <c r="I454" s="640" t="s">
        <v>624</v>
      </c>
      <c r="J454" s="653"/>
      <c r="K454" s="653"/>
      <c r="L454" s="653"/>
      <c r="M454" s="653"/>
      <c r="N454" s="653"/>
      <c r="O454" s="653"/>
      <c r="P454" s="653"/>
      <c r="Q454" s="640"/>
      <c r="R454" s="640" t="s">
        <v>4769</v>
      </c>
      <c r="S454" s="640" t="s">
        <v>4439</v>
      </c>
      <c r="T454" s="460"/>
      <c r="U454" s="640" t="s">
        <v>4770</v>
      </c>
      <c r="V454" s="685">
        <f t="shared" si="17"/>
        <v>0</v>
      </c>
      <c r="W454" s="690"/>
      <c r="X454" s="690"/>
      <c r="Y454" s="690"/>
      <c r="Z454" s="690"/>
      <c r="AA454" s="690"/>
      <c r="AB454" s="690"/>
      <c r="AC454" s="690"/>
      <c r="AD454" s="690"/>
      <c r="AE454" s="690"/>
      <c r="AF454" s="690"/>
      <c r="AG454" s="690"/>
      <c r="AH454" s="690"/>
      <c r="AI454" s="690"/>
      <c r="AJ454" s="690"/>
      <c r="AK454" s="690"/>
      <c r="AL454" s="690"/>
      <c r="AM454" s="690"/>
      <c r="AN454" s="690"/>
      <c r="AO454" s="690"/>
      <c r="AP454" s="690"/>
    </row>
    <row r="455" spans="1:42" x14ac:dyDescent="0.25">
      <c r="A455" s="134">
        <f t="shared" si="16"/>
        <v>454</v>
      </c>
      <c r="B455" s="454" t="s">
        <v>4756</v>
      </c>
      <c r="C455" s="454" t="s">
        <v>4756</v>
      </c>
      <c r="D455" s="454"/>
      <c r="E455" s="454"/>
      <c r="F455" s="443" t="s">
        <v>4969</v>
      </c>
      <c r="G455" s="4"/>
      <c r="H455" s="640"/>
      <c r="I455" s="640" t="s">
        <v>624</v>
      </c>
      <c r="J455" s="653"/>
      <c r="K455" s="653"/>
      <c r="L455" s="653"/>
      <c r="M455" s="653"/>
      <c r="N455" s="653"/>
      <c r="O455" s="653" t="s">
        <v>7357</v>
      </c>
      <c r="P455" s="653"/>
      <c r="Q455" s="640"/>
      <c r="R455" s="640" t="s">
        <v>4769</v>
      </c>
      <c r="S455" s="640" t="s">
        <v>4440</v>
      </c>
      <c r="T455" s="460"/>
      <c r="U455" s="640" t="s">
        <v>4770</v>
      </c>
      <c r="V455" s="685">
        <f t="shared" si="17"/>
        <v>0</v>
      </c>
      <c r="W455" s="690"/>
      <c r="X455" s="690"/>
      <c r="Y455" s="690"/>
      <c r="Z455" s="690"/>
      <c r="AA455" s="690"/>
      <c r="AB455" s="690"/>
      <c r="AC455" s="690"/>
      <c r="AD455" s="690"/>
      <c r="AE455" s="690"/>
      <c r="AF455" s="690"/>
      <c r="AG455" s="690"/>
      <c r="AH455" s="690"/>
      <c r="AI455" s="690"/>
      <c r="AJ455" s="690"/>
      <c r="AK455" s="690"/>
      <c r="AL455" s="690"/>
      <c r="AM455" s="690"/>
      <c r="AN455" s="690"/>
      <c r="AO455" s="690"/>
      <c r="AP455" s="690"/>
    </row>
    <row r="456" spans="1:42" x14ac:dyDescent="0.25">
      <c r="A456" s="134">
        <f t="shared" si="16"/>
        <v>455</v>
      </c>
      <c r="B456" s="446" t="s">
        <v>4746</v>
      </c>
      <c r="C456" s="446" t="s">
        <v>4746</v>
      </c>
      <c r="D456" s="446"/>
      <c r="E456" s="446"/>
      <c r="F456" s="443" t="s">
        <v>4970</v>
      </c>
      <c r="G456" s="4"/>
      <c r="H456" s="640"/>
      <c r="I456" s="640" t="s">
        <v>624</v>
      </c>
      <c r="J456" s="653"/>
      <c r="K456" s="653"/>
      <c r="L456" s="653"/>
      <c r="M456" s="653"/>
      <c r="N456" s="653"/>
      <c r="O456" s="653" t="s">
        <v>7357</v>
      </c>
      <c r="P456" s="653"/>
      <c r="Q456" s="640"/>
      <c r="R456" s="640" t="s">
        <v>4769</v>
      </c>
      <c r="S456" s="640" t="s">
        <v>4441</v>
      </c>
      <c r="T456" s="460"/>
      <c r="U456" s="640" t="s">
        <v>4770</v>
      </c>
      <c r="V456" s="685">
        <f t="shared" si="17"/>
        <v>0</v>
      </c>
      <c r="W456" s="690"/>
      <c r="X456" s="690"/>
      <c r="Y456" s="690"/>
      <c r="Z456" s="690"/>
      <c r="AA456" s="690"/>
      <c r="AB456" s="690"/>
      <c r="AC456" s="690"/>
      <c r="AD456" s="690"/>
      <c r="AE456" s="690"/>
      <c r="AF456" s="690"/>
      <c r="AG456" s="690"/>
      <c r="AH456" s="690"/>
      <c r="AI456" s="690"/>
      <c r="AJ456" s="690"/>
      <c r="AK456" s="690"/>
      <c r="AL456" s="690"/>
      <c r="AM456" s="690"/>
      <c r="AN456" s="690"/>
      <c r="AO456" s="690"/>
      <c r="AP456" s="690"/>
    </row>
    <row r="457" spans="1:42" x14ac:dyDescent="0.25">
      <c r="A457" s="134">
        <f t="shared" si="16"/>
        <v>456</v>
      </c>
      <c r="B457" s="454" t="s">
        <v>4758</v>
      </c>
      <c r="C457" s="454" t="s">
        <v>4758</v>
      </c>
      <c r="D457" s="454"/>
      <c r="E457" s="454"/>
      <c r="F457" s="443" t="s">
        <v>4747</v>
      </c>
      <c r="G457" s="4"/>
      <c r="H457" s="640"/>
      <c r="I457" s="640" t="s">
        <v>624</v>
      </c>
      <c r="J457" s="653"/>
      <c r="K457" s="653"/>
      <c r="L457" s="653"/>
      <c r="M457" s="653"/>
      <c r="N457" s="653"/>
      <c r="O457" s="653"/>
      <c r="P457" s="653"/>
      <c r="Q457" s="640"/>
      <c r="R457" s="640" t="s">
        <v>4769</v>
      </c>
      <c r="S457" s="640" t="s">
        <v>4442</v>
      </c>
      <c r="T457" s="460"/>
      <c r="U457" s="640" t="s">
        <v>4770</v>
      </c>
      <c r="V457" s="685">
        <f t="shared" si="17"/>
        <v>0</v>
      </c>
      <c r="W457" s="690"/>
      <c r="X457" s="690"/>
      <c r="Y457" s="690"/>
      <c r="Z457" s="690"/>
      <c r="AA457" s="690"/>
      <c r="AB457" s="690"/>
      <c r="AC457" s="690"/>
      <c r="AD457" s="690"/>
      <c r="AE457" s="690"/>
      <c r="AF457" s="690"/>
      <c r="AG457" s="690"/>
      <c r="AH457" s="690"/>
      <c r="AI457" s="690"/>
      <c r="AJ457" s="690"/>
      <c r="AK457" s="690"/>
      <c r="AL457" s="690"/>
      <c r="AM457" s="690"/>
      <c r="AN457" s="690"/>
      <c r="AO457" s="690"/>
      <c r="AP457" s="690"/>
    </row>
    <row r="458" spans="1:42" x14ac:dyDescent="0.25">
      <c r="A458" s="134">
        <f t="shared" si="16"/>
        <v>457</v>
      </c>
      <c r="B458" s="454" t="s">
        <v>4757</v>
      </c>
      <c r="C458" s="454" t="s">
        <v>4757</v>
      </c>
      <c r="D458" s="454"/>
      <c r="E458" s="454"/>
      <c r="F458" s="443" t="s">
        <v>4971</v>
      </c>
      <c r="G458" s="4"/>
      <c r="H458" s="640"/>
      <c r="I458" s="640" t="s">
        <v>624</v>
      </c>
      <c r="J458" s="653"/>
      <c r="K458" s="653"/>
      <c r="L458" s="653"/>
      <c r="M458" s="653"/>
      <c r="N458" s="653"/>
      <c r="O458" s="653" t="s">
        <v>7357</v>
      </c>
      <c r="P458" s="653"/>
      <c r="Q458" s="640"/>
      <c r="R458" s="640" t="s">
        <v>4769</v>
      </c>
      <c r="S458" s="640" t="s">
        <v>4443</v>
      </c>
      <c r="T458" s="460"/>
      <c r="U458" s="640" t="s">
        <v>4770</v>
      </c>
      <c r="V458" s="685">
        <f t="shared" si="17"/>
        <v>0</v>
      </c>
      <c r="W458" s="690"/>
      <c r="X458" s="690"/>
      <c r="Y458" s="690"/>
      <c r="Z458" s="690"/>
      <c r="AA458" s="690"/>
      <c r="AB458" s="690"/>
      <c r="AC458" s="690"/>
      <c r="AD458" s="690"/>
      <c r="AE458" s="690"/>
      <c r="AF458" s="690"/>
      <c r="AG458" s="690"/>
      <c r="AH458" s="690"/>
      <c r="AI458" s="690"/>
      <c r="AJ458" s="690"/>
      <c r="AK458" s="690"/>
      <c r="AL458" s="690"/>
      <c r="AM458" s="690"/>
      <c r="AN458" s="690"/>
      <c r="AO458" s="690"/>
      <c r="AP458" s="690"/>
    </row>
    <row r="459" spans="1:42" x14ac:dyDescent="0.25">
      <c r="A459" s="134">
        <f t="shared" si="16"/>
        <v>458</v>
      </c>
      <c r="B459" s="454" t="s">
        <v>4748</v>
      </c>
      <c r="C459" s="454" t="s">
        <v>4748</v>
      </c>
      <c r="D459" s="454"/>
      <c r="E459" s="454"/>
      <c r="F459" s="443" t="s">
        <v>4766</v>
      </c>
      <c r="G459" s="4"/>
      <c r="H459" s="640"/>
      <c r="I459" s="640" t="s">
        <v>624</v>
      </c>
      <c r="J459" s="653"/>
      <c r="K459" s="653"/>
      <c r="L459" s="653"/>
      <c r="M459" s="653"/>
      <c r="N459" s="653"/>
      <c r="O459" s="653"/>
      <c r="P459" s="653"/>
      <c r="Q459" s="640"/>
      <c r="R459" s="640" t="s">
        <v>4768</v>
      </c>
      <c r="S459" s="640" t="s">
        <v>4439</v>
      </c>
      <c r="T459" s="460"/>
      <c r="U459" s="640" t="s">
        <v>4770</v>
      </c>
      <c r="V459" s="685">
        <f t="shared" si="17"/>
        <v>0</v>
      </c>
      <c r="W459" s="690"/>
      <c r="X459" s="690"/>
      <c r="Y459" s="690"/>
      <c r="Z459" s="690"/>
      <c r="AA459" s="690"/>
      <c r="AB459" s="690"/>
      <c r="AC459" s="690"/>
      <c r="AD459" s="690"/>
      <c r="AE459" s="690"/>
      <c r="AF459" s="690"/>
      <c r="AG459" s="690"/>
      <c r="AH459" s="690"/>
      <c r="AI459" s="690"/>
      <c r="AJ459" s="690"/>
      <c r="AK459" s="690"/>
      <c r="AL459" s="690"/>
      <c r="AM459" s="690"/>
      <c r="AN459" s="690"/>
      <c r="AO459" s="690"/>
      <c r="AP459" s="690"/>
    </row>
    <row r="460" spans="1:42" x14ac:dyDescent="0.25">
      <c r="A460" s="134">
        <f t="shared" si="16"/>
        <v>459</v>
      </c>
      <c r="B460" s="446" t="s">
        <v>4749</v>
      </c>
      <c r="C460" s="454" t="s">
        <v>4749</v>
      </c>
      <c r="D460" s="454"/>
      <c r="E460" s="454"/>
      <c r="F460" s="443" t="s">
        <v>4751</v>
      </c>
      <c r="G460" s="4"/>
      <c r="H460" s="640"/>
      <c r="I460" s="640" t="s">
        <v>624</v>
      </c>
      <c r="J460" s="653"/>
      <c r="K460" s="653"/>
      <c r="L460" s="653"/>
      <c r="M460" s="653"/>
      <c r="N460" s="653"/>
      <c r="O460" s="653"/>
      <c r="P460" s="653"/>
      <c r="Q460" s="640"/>
      <c r="R460" s="640" t="s">
        <v>4768</v>
      </c>
      <c r="S460" s="640" t="s">
        <v>4440</v>
      </c>
      <c r="T460" s="460"/>
      <c r="U460" s="640" t="s">
        <v>4770</v>
      </c>
      <c r="V460" s="685">
        <f t="shared" si="17"/>
        <v>0</v>
      </c>
      <c r="W460" s="690"/>
      <c r="X460" s="690"/>
      <c r="Y460" s="690"/>
      <c r="Z460" s="690"/>
      <c r="AA460" s="690"/>
      <c r="AB460" s="690"/>
      <c r="AC460" s="690"/>
      <c r="AD460" s="690"/>
      <c r="AE460" s="690"/>
      <c r="AF460" s="690"/>
      <c r="AG460" s="690"/>
      <c r="AH460" s="690"/>
      <c r="AI460" s="690"/>
      <c r="AJ460" s="690"/>
      <c r="AK460" s="690"/>
      <c r="AL460" s="690"/>
      <c r="AM460" s="690"/>
      <c r="AN460" s="690"/>
      <c r="AO460" s="690"/>
      <c r="AP460" s="690"/>
    </row>
    <row r="461" spans="1:42" x14ac:dyDescent="0.25">
      <c r="A461" s="134">
        <f t="shared" si="16"/>
        <v>460</v>
      </c>
      <c r="B461" s="454" t="s">
        <v>4759</v>
      </c>
      <c r="C461" s="454" t="s">
        <v>4759</v>
      </c>
      <c r="D461" s="454"/>
      <c r="E461" s="454"/>
      <c r="F461" s="340" t="s">
        <v>4972</v>
      </c>
      <c r="G461" s="4"/>
      <c r="H461" s="640"/>
      <c r="I461" s="640" t="s">
        <v>624</v>
      </c>
      <c r="J461" s="653"/>
      <c r="K461" s="653"/>
      <c r="L461" s="653"/>
      <c r="M461" s="653"/>
      <c r="N461" s="653"/>
      <c r="O461" s="653" t="s">
        <v>7357</v>
      </c>
      <c r="P461" s="653"/>
      <c r="Q461" s="640"/>
      <c r="R461" s="640" t="s">
        <v>4768</v>
      </c>
      <c r="S461" s="640" t="s">
        <v>4441</v>
      </c>
      <c r="T461" s="460"/>
      <c r="U461" s="640" t="s">
        <v>4770</v>
      </c>
      <c r="V461" s="685">
        <f t="shared" si="17"/>
        <v>0</v>
      </c>
      <c r="W461" s="690"/>
      <c r="X461" s="690"/>
      <c r="Y461" s="690"/>
      <c r="Z461" s="690"/>
      <c r="AA461" s="690"/>
      <c r="AB461" s="690"/>
      <c r="AC461" s="690"/>
      <c r="AD461" s="690"/>
      <c r="AE461" s="690"/>
      <c r="AF461" s="690"/>
      <c r="AG461" s="690"/>
      <c r="AH461" s="690"/>
      <c r="AI461" s="690"/>
      <c r="AJ461" s="690"/>
      <c r="AK461" s="690"/>
      <c r="AL461" s="690"/>
      <c r="AM461" s="690"/>
      <c r="AN461" s="690"/>
      <c r="AO461" s="690"/>
      <c r="AP461" s="690"/>
    </row>
    <row r="462" spans="1:42" x14ac:dyDescent="0.25">
      <c r="A462" s="134">
        <f t="shared" si="16"/>
        <v>461</v>
      </c>
      <c r="B462" s="454" t="s">
        <v>4760</v>
      </c>
      <c r="C462" s="454" t="s">
        <v>4760</v>
      </c>
      <c r="D462" s="454"/>
      <c r="E462" s="454"/>
      <c r="F462" s="443" t="s">
        <v>4750</v>
      </c>
      <c r="G462" s="4"/>
      <c r="H462" s="640"/>
      <c r="I462" s="640" t="s">
        <v>624</v>
      </c>
      <c r="J462" s="653"/>
      <c r="K462" s="653"/>
      <c r="L462" s="653"/>
      <c r="M462" s="653"/>
      <c r="N462" s="653"/>
      <c r="O462" s="653"/>
      <c r="P462" s="653"/>
      <c r="Q462" s="640"/>
      <c r="R462" s="640" t="s">
        <v>4768</v>
      </c>
      <c r="S462" s="640" t="s">
        <v>4442</v>
      </c>
      <c r="T462" s="460"/>
      <c r="U462" s="640" t="s">
        <v>4770</v>
      </c>
      <c r="V462" s="685">
        <f t="shared" si="17"/>
        <v>0</v>
      </c>
      <c r="W462" s="690"/>
      <c r="X462" s="690"/>
      <c r="Y462" s="690"/>
      <c r="Z462" s="690"/>
      <c r="AA462" s="690"/>
      <c r="AB462" s="690"/>
      <c r="AC462" s="690"/>
      <c r="AD462" s="690"/>
      <c r="AE462" s="690"/>
      <c r="AF462" s="690"/>
      <c r="AG462" s="690"/>
      <c r="AH462" s="690"/>
      <c r="AI462" s="690"/>
      <c r="AJ462" s="690"/>
      <c r="AK462" s="690"/>
      <c r="AL462" s="690"/>
      <c r="AM462" s="690"/>
      <c r="AN462" s="690"/>
      <c r="AO462" s="690"/>
      <c r="AP462" s="690"/>
    </row>
    <row r="463" spans="1:42" x14ac:dyDescent="0.25">
      <c r="A463" s="134">
        <f t="shared" si="16"/>
        <v>462</v>
      </c>
      <c r="B463" s="454" t="s">
        <v>4761</v>
      </c>
      <c r="C463" s="454" t="s">
        <v>4761</v>
      </c>
      <c r="D463" s="454"/>
      <c r="E463" s="454"/>
      <c r="F463" s="340" t="s">
        <v>4973</v>
      </c>
      <c r="G463" s="4"/>
      <c r="H463" s="640"/>
      <c r="I463" s="640" t="s">
        <v>624</v>
      </c>
      <c r="J463" s="653"/>
      <c r="K463" s="653"/>
      <c r="L463" s="653"/>
      <c r="M463" s="653"/>
      <c r="N463" s="653">
        <v>1</v>
      </c>
      <c r="O463" s="653" t="s">
        <v>7358</v>
      </c>
      <c r="P463" s="653"/>
      <c r="Q463" s="640"/>
      <c r="R463" s="640" t="s">
        <v>4768</v>
      </c>
      <c r="S463" s="640" t="s">
        <v>4443</v>
      </c>
      <c r="T463" s="460"/>
      <c r="U463" s="640" t="s">
        <v>4770</v>
      </c>
      <c r="V463" s="685">
        <f t="shared" si="17"/>
        <v>0</v>
      </c>
      <c r="W463" s="690"/>
      <c r="X463" s="690"/>
      <c r="Y463" s="690"/>
      <c r="Z463" s="690"/>
      <c r="AA463" s="690"/>
      <c r="AB463" s="690"/>
      <c r="AC463" s="690"/>
      <c r="AD463" s="690"/>
      <c r="AE463" s="690"/>
      <c r="AF463" s="690"/>
      <c r="AG463" s="690"/>
      <c r="AH463" s="690"/>
      <c r="AI463" s="690"/>
      <c r="AJ463" s="690"/>
      <c r="AK463" s="690"/>
      <c r="AL463" s="690"/>
      <c r="AM463" s="690"/>
      <c r="AN463" s="690"/>
      <c r="AO463" s="690"/>
      <c r="AP463" s="690"/>
    </row>
    <row r="464" spans="1:42" x14ac:dyDescent="0.25">
      <c r="A464" s="134">
        <f t="shared" si="16"/>
        <v>463</v>
      </c>
      <c r="B464" s="454" t="s">
        <v>4754</v>
      </c>
      <c r="C464" s="454" t="s">
        <v>4754</v>
      </c>
      <c r="D464" s="454"/>
      <c r="E464" s="454"/>
      <c r="F464" s="340" t="s">
        <v>4755</v>
      </c>
      <c r="G464" s="4"/>
      <c r="H464" s="640"/>
      <c r="I464" s="640" t="s">
        <v>624</v>
      </c>
      <c r="J464" s="653"/>
      <c r="K464" s="653"/>
      <c r="L464" s="653"/>
      <c r="M464" s="653"/>
      <c r="N464" s="653"/>
      <c r="O464" s="653"/>
      <c r="P464" s="653"/>
      <c r="Q464" s="640"/>
      <c r="R464" s="640" t="s">
        <v>4767</v>
      </c>
      <c r="S464" s="640" t="s">
        <v>4439</v>
      </c>
      <c r="T464" s="460"/>
      <c r="U464" s="640" t="s">
        <v>4770</v>
      </c>
      <c r="V464" s="685">
        <f t="shared" si="17"/>
        <v>0</v>
      </c>
      <c r="W464" s="690"/>
      <c r="X464" s="690"/>
      <c r="Y464" s="690"/>
      <c r="Z464" s="690"/>
      <c r="AA464" s="690"/>
      <c r="AB464" s="690"/>
      <c r="AC464" s="690"/>
      <c r="AD464" s="690"/>
      <c r="AE464" s="690"/>
      <c r="AF464" s="690"/>
      <c r="AG464" s="690"/>
      <c r="AH464" s="690"/>
      <c r="AI464" s="690"/>
      <c r="AJ464" s="690"/>
      <c r="AK464" s="690"/>
      <c r="AL464" s="690"/>
      <c r="AM464" s="690"/>
      <c r="AN464" s="690"/>
      <c r="AO464" s="690"/>
      <c r="AP464" s="690"/>
    </row>
    <row r="465" spans="1:42" x14ac:dyDescent="0.25">
      <c r="A465" s="134">
        <f t="shared" si="16"/>
        <v>464</v>
      </c>
      <c r="B465" s="454" t="s">
        <v>4762</v>
      </c>
      <c r="C465" s="454" t="s">
        <v>4762</v>
      </c>
      <c r="D465" s="454"/>
      <c r="E465" s="454"/>
      <c r="F465" s="340" t="s">
        <v>4753</v>
      </c>
      <c r="G465" s="4"/>
      <c r="H465" s="640"/>
      <c r="I465" s="640" t="s">
        <v>624</v>
      </c>
      <c r="J465" s="653"/>
      <c r="K465" s="653"/>
      <c r="L465" s="653"/>
      <c r="M465" s="653"/>
      <c r="N465" s="653"/>
      <c r="O465" s="653"/>
      <c r="P465" s="653"/>
      <c r="Q465" s="640"/>
      <c r="R465" s="640" t="s">
        <v>4767</v>
      </c>
      <c r="S465" s="640" t="s">
        <v>4440</v>
      </c>
      <c r="T465" s="460"/>
      <c r="U465" s="640" t="s">
        <v>4770</v>
      </c>
      <c r="V465" s="685">
        <f t="shared" si="17"/>
        <v>0</v>
      </c>
      <c r="W465" s="690"/>
      <c r="X465" s="690"/>
      <c r="Y465" s="690"/>
      <c r="Z465" s="690"/>
      <c r="AA465" s="690"/>
      <c r="AB465" s="690"/>
      <c r="AC465" s="690"/>
      <c r="AD465" s="690"/>
      <c r="AE465" s="690"/>
      <c r="AF465" s="690"/>
      <c r="AG465" s="690"/>
      <c r="AH465" s="690"/>
      <c r="AI465" s="690"/>
      <c r="AJ465" s="690"/>
      <c r="AK465" s="690"/>
      <c r="AL465" s="690"/>
      <c r="AM465" s="690"/>
      <c r="AN465" s="690"/>
      <c r="AO465" s="690"/>
      <c r="AP465" s="690"/>
    </row>
    <row r="466" spans="1:42" x14ac:dyDescent="0.25">
      <c r="A466" s="134">
        <f t="shared" si="16"/>
        <v>465</v>
      </c>
      <c r="B466" s="454" t="s">
        <v>4763</v>
      </c>
      <c r="C466" s="454" t="s">
        <v>4763</v>
      </c>
      <c r="D466" s="454"/>
      <c r="E466" s="454"/>
      <c r="F466" s="340" t="s">
        <v>4974</v>
      </c>
      <c r="G466" s="4"/>
      <c r="H466" s="640"/>
      <c r="I466" s="640" t="s">
        <v>624</v>
      </c>
      <c r="J466" s="653"/>
      <c r="K466" s="653"/>
      <c r="L466" s="653"/>
      <c r="M466" s="653"/>
      <c r="N466" s="653"/>
      <c r="O466" s="653" t="s">
        <v>7357</v>
      </c>
      <c r="P466" s="653"/>
      <c r="Q466" s="640"/>
      <c r="R466" s="640" t="s">
        <v>4767</v>
      </c>
      <c r="S466" s="640" t="s">
        <v>4441</v>
      </c>
      <c r="T466" s="460"/>
      <c r="U466" s="640" t="s">
        <v>4770</v>
      </c>
      <c r="V466" s="685">
        <f t="shared" si="17"/>
        <v>0</v>
      </c>
      <c r="W466" s="690"/>
      <c r="X466" s="690"/>
      <c r="Y466" s="690"/>
      <c r="Z466" s="690"/>
      <c r="AA466" s="690"/>
      <c r="AB466" s="690"/>
      <c r="AC466" s="690"/>
      <c r="AD466" s="690"/>
      <c r="AE466" s="690"/>
      <c r="AF466" s="690"/>
      <c r="AG466" s="690"/>
      <c r="AH466" s="690"/>
      <c r="AI466" s="690"/>
      <c r="AJ466" s="690"/>
      <c r="AK466" s="690"/>
      <c r="AL466" s="690"/>
      <c r="AM466" s="690"/>
      <c r="AN466" s="690"/>
      <c r="AO466" s="690"/>
      <c r="AP466" s="690"/>
    </row>
    <row r="467" spans="1:42" x14ac:dyDescent="0.25">
      <c r="A467" s="134">
        <f t="shared" si="16"/>
        <v>466</v>
      </c>
      <c r="B467" s="454" t="s">
        <v>4764</v>
      </c>
      <c r="C467" s="454" t="s">
        <v>4764</v>
      </c>
      <c r="D467" s="454"/>
      <c r="E467" s="454"/>
      <c r="F467" s="340" t="s">
        <v>4752</v>
      </c>
      <c r="G467" s="4"/>
      <c r="H467" s="640"/>
      <c r="I467" s="640" t="s">
        <v>624</v>
      </c>
      <c r="J467" s="653"/>
      <c r="K467" s="653"/>
      <c r="L467" s="653"/>
      <c r="M467" s="653"/>
      <c r="N467" s="653"/>
      <c r="O467" s="653"/>
      <c r="P467" s="653"/>
      <c r="Q467" s="640"/>
      <c r="R467" s="640" t="s">
        <v>4767</v>
      </c>
      <c r="S467" s="640" t="s">
        <v>4442</v>
      </c>
      <c r="T467" s="460"/>
      <c r="U467" s="640" t="s">
        <v>4770</v>
      </c>
      <c r="V467" s="685">
        <f t="shared" si="17"/>
        <v>0</v>
      </c>
      <c r="W467" s="690"/>
      <c r="X467" s="690"/>
      <c r="Y467" s="690"/>
      <c r="Z467" s="690"/>
      <c r="AA467" s="690"/>
      <c r="AB467" s="690"/>
      <c r="AC467" s="690"/>
      <c r="AD467" s="690"/>
      <c r="AE467" s="690"/>
      <c r="AF467" s="690"/>
      <c r="AG467" s="690"/>
      <c r="AH467" s="690"/>
      <c r="AI467" s="690"/>
      <c r="AJ467" s="690"/>
      <c r="AK467" s="690"/>
      <c r="AL467" s="690"/>
      <c r="AM467" s="690"/>
      <c r="AN467" s="690"/>
      <c r="AO467" s="690"/>
      <c r="AP467" s="690"/>
    </row>
    <row r="468" spans="1:42" x14ac:dyDescent="0.25">
      <c r="A468" s="134">
        <f t="shared" si="16"/>
        <v>467</v>
      </c>
      <c r="B468" s="454" t="s">
        <v>4765</v>
      </c>
      <c r="C468" s="454" t="s">
        <v>4765</v>
      </c>
      <c r="D468" s="454"/>
      <c r="E468" s="454"/>
      <c r="F468" s="340" t="s">
        <v>4975</v>
      </c>
      <c r="G468" s="4"/>
      <c r="H468" s="640"/>
      <c r="I468" s="640" t="s">
        <v>624</v>
      </c>
      <c r="J468" s="653"/>
      <c r="K468" s="653"/>
      <c r="L468" s="653"/>
      <c r="M468" s="653"/>
      <c r="N468" s="653"/>
      <c r="O468" s="653"/>
      <c r="P468" s="653"/>
      <c r="Q468" s="640"/>
      <c r="R468" s="640" t="s">
        <v>4767</v>
      </c>
      <c r="S468" s="640" t="s">
        <v>4443</v>
      </c>
      <c r="T468" s="460"/>
      <c r="U468" s="640" t="s">
        <v>4770</v>
      </c>
      <c r="V468" s="685">
        <f t="shared" si="17"/>
        <v>0</v>
      </c>
      <c r="W468" s="690"/>
      <c r="X468" s="690"/>
      <c r="Y468" s="690"/>
      <c r="Z468" s="690"/>
      <c r="AA468" s="690"/>
      <c r="AB468" s="690"/>
      <c r="AC468" s="690"/>
      <c r="AD468" s="690"/>
      <c r="AE468" s="690"/>
      <c r="AF468" s="690"/>
      <c r="AG468" s="690"/>
      <c r="AH468" s="690"/>
      <c r="AI468" s="690"/>
      <c r="AJ468" s="690"/>
      <c r="AK468" s="690"/>
      <c r="AL468" s="690"/>
      <c r="AM468" s="690"/>
      <c r="AN468" s="690"/>
      <c r="AO468" s="690"/>
      <c r="AP468" s="690"/>
    </row>
    <row r="469" spans="1:42" x14ac:dyDescent="0.25">
      <c r="A469" s="134">
        <f t="shared" si="16"/>
        <v>468</v>
      </c>
      <c r="B469" s="4" t="s">
        <v>4794</v>
      </c>
      <c r="C469" s="4" t="s">
        <v>4794</v>
      </c>
      <c r="D469" s="455" t="s">
        <v>6958</v>
      </c>
      <c r="E469" s="4"/>
      <c r="F469" s="340" t="s">
        <v>4976</v>
      </c>
      <c r="G469" s="4"/>
      <c r="H469" s="640"/>
      <c r="I469" s="640" t="s">
        <v>625</v>
      </c>
      <c r="J469" s="653"/>
      <c r="K469" s="653"/>
      <c r="L469" s="653"/>
      <c r="M469" s="653"/>
      <c r="N469" s="653"/>
      <c r="O469" s="653"/>
      <c r="P469" s="653"/>
      <c r="Q469" s="640"/>
      <c r="R469" s="640" t="s">
        <v>4793</v>
      </c>
      <c r="S469" s="640" t="s">
        <v>4396</v>
      </c>
      <c r="T469" s="460"/>
      <c r="U469" s="640" t="s">
        <v>171</v>
      </c>
      <c r="V469" s="685">
        <f t="shared" si="17"/>
        <v>0</v>
      </c>
      <c r="W469" s="690"/>
      <c r="X469" s="690"/>
      <c r="Y469" s="690"/>
      <c r="Z469" s="690"/>
      <c r="AA469" s="690"/>
      <c r="AB469" s="690"/>
      <c r="AC469" s="690"/>
      <c r="AD469" s="690"/>
      <c r="AE469" s="690"/>
      <c r="AF469" s="690"/>
      <c r="AG469" s="690"/>
      <c r="AH469" s="690"/>
      <c r="AI469" s="690"/>
      <c r="AJ469" s="690"/>
      <c r="AK469" s="690"/>
      <c r="AL469" s="690"/>
      <c r="AM469" s="690"/>
      <c r="AN469" s="690"/>
      <c r="AO469" s="690"/>
      <c r="AP469" s="690"/>
    </row>
    <row r="470" spans="1:42" x14ac:dyDescent="0.25">
      <c r="A470" s="134">
        <f t="shared" si="16"/>
        <v>469</v>
      </c>
      <c r="B470" s="454" t="s">
        <v>4795</v>
      </c>
      <c r="C470" s="454" t="s">
        <v>4795</v>
      </c>
      <c r="D470" s="455" t="s">
        <v>6958</v>
      </c>
      <c r="E470" s="454"/>
      <c r="F470" s="340" t="s">
        <v>4977</v>
      </c>
      <c r="G470" s="4"/>
      <c r="H470" s="640"/>
      <c r="I470" s="640" t="s">
        <v>625</v>
      </c>
      <c r="J470" s="653"/>
      <c r="K470" s="653"/>
      <c r="L470" s="653"/>
      <c r="M470" s="653"/>
      <c r="N470" s="653"/>
      <c r="O470" s="653"/>
      <c r="P470" s="653"/>
      <c r="Q470" s="640"/>
      <c r="R470" s="640" t="s">
        <v>4793</v>
      </c>
      <c r="S470" s="640" t="s">
        <v>4397</v>
      </c>
      <c r="T470" s="460"/>
      <c r="U470" s="640" t="s">
        <v>171</v>
      </c>
      <c r="V470" s="685">
        <f t="shared" si="17"/>
        <v>0</v>
      </c>
      <c r="W470" s="690"/>
      <c r="X470" s="690"/>
      <c r="Y470" s="690"/>
      <c r="Z470" s="690"/>
      <c r="AA470" s="690"/>
      <c r="AB470" s="690"/>
      <c r="AC470" s="690"/>
      <c r="AD470" s="690"/>
      <c r="AE470" s="690"/>
      <c r="AF470" s="690"/>
      <c r="AG470" s="690"/>
      <c r="AH470" s="690"/>
      <c r="AI470" s="690"/>
      <c r="AJ470" s="690"/>
      <c r="AK470" s="690"/>
      <c r="AL470" s="690"/>
      <c r="AM470" s="690"/>
      <c r="AN470" s="690"/>
      <c r="AO470" s="690"/>
      <c r="AP470" s="690"/>
    </row>
    <row r="471" spans="1:42" x14ac:dyDescent="0.25">
      <c r="A471" s="134">
        <f t="shared" si="16"/>
        <v>470</v>
      </c>
      <c r="B471" s="455" t="s">
        <v>4796</v>
      </c>
      <c r="C471" s="455" t="s">
        <v>4796</v>
      </c>
      <c r="D471" s="455" t="s">
        <v>6958</v>
      </c>
      <c r="E471" s="455"/>
      <c r="F471" s="340" t="s">
        <v>4978</v>
      </c>
      <c r="G471" s="4"/>
      <c r="H471" s="640"/>
      <c r="I471" s="640" t="s">
        <v>625</v>
      </c>
      <c r="J471" s="653"/>
      <c r="K471" s="653"/>
      <c r="L471" s="653"/>
      <c r="M471" s="653" t="s">
        <v>7110</v>
      </c>
      <c r="N471" s="653"/>
      <c r="O471" s="653"/>
      <c r="P471" s="653"/>
      <c r="Q471" s="640"/>
      <c r="R471" s="640" t="s">
        <v>4793</v>
      </c>
      <c r="S471" s="640" t="s">
        <v>4395</v>
      </c>
      <c r="T471" s="460"/>
      <c r="U471" s="640" t="s">
        <v>171</v>
      </c>
      <c r="V471" s="685">
        <f t="shared" si="17"/>
        <v>0</v>
      </c>
      <c r="W471" s="690"/>
      <c r="X471" s="690"/>
      <c r="Y471" s="690"/>
      <c r="Z471" s="690"/>
      <c r="AA471" s="690"/>
      <c r="AB471" s="690"/>
      <c r="AC471" s="690"/>
      <c r="AD471" s="690"/>
      <c r="AE471" s="690"/>
      <c r="AF471" s="690"/>
      <c r="AG471" s="690"/>
      <c r="AH471" s="690"/>
      <c r="AI471" s="690"/>
      <c r="AJ471" s="690"/>
      <c r="AK471" s="690"/>
      <c r="AL471" s="690"/>
      <c r="AM471" s="690"/>
      <c r="AN471" s="690"/>
      <c r="AO471" s="690"/>
      <c r="AP471" s="690"/>
    </row>
    <row r="472" spans="1:42" x14ac:dyDescent="0.25">
      <c r="A472" s="134">
        <f t="shared" si="16"/>
        <v>471</v>
      </c>
      <c r="B472" s="454" t="s">
        <v>4797</v>
      </c>
      <c r="C472" s="454" t="s">
        <v>4797</v>
      </c>
      <c r="D472" s="455" t="s">
        <v>6958</v>
      </c>
      <c r="E472" s="454"/>
      <c r="F472" s="340" t="s">
        <v>4979</v>
      </c>
      <c r="G472" s="4"/>
      <c r="H472" s="640"/>
      <c r="I472" s="640" t="s">
        <v>625</v>
      </c>
      <c r="J472" s="653"/>
      <c r="K472" s="653"/>
      <c r="L472" s="653"/>
      <c r="M472" s="653"/>
      <c r="N472" s="653"/>
      <c r="O472" s="653"/>
      <c r="P472" s="653"/>
      <c r="Q472" s="640"/>
      <c r="R472" s="640" t="s">
        <v>4793</v>
      </c>
      <c r="S472" s="640" t="s">
        <v>4398</v>
      </c>
      <c r="T472" s="460"/>
      <c r="U472" s="640" t="s">
        <v>171</v>
      </c>
      <c r="V472" s="685">
        <f t="shared" si="17"/>
        <v>0</v>
      </c>
      <c r="W472" s="690"/>
      <c r="X472" s="690"/>
      <c r="Y472" s="690"/>
      <c r="Z472" s="690"/>
      <c r="AA472" s="690"/>
      <c r="AB472" s="690"/>
      <c r="AC472" s="690"/>
      <c r="AD472" s="690"/>
      <c r="AE472" s="690"/>
      <c r="AF472" s="690"/>
      <c r="AG472" s="690"/>
      <c r="AH472" s="690"/>
      <c r="AI472" s="690"/>
      <c r="AJ472" s="690"/>
      <c r="AK472" s="690"/>
      <c r="AL472" s="690"/>
      <c r="AM472" s="690"/>
      <c r="AN472" s="690"/>
      <c r="AO472" s="690"/>
      <c r="AP472" s="690"/>
    </row>
    <row r="473" spans="1:42" x14ac:dyDescent="0.25">
      <c r="A473" s="134">
        <f t="shared" si="16"/>
        <v>472</v>
      </c>
      <c r="B473" s="454" t="s">
        <v>4799</v>
      </c>
      <c r="C473" s="454" t="s">
        <v>4799</v>
      </c>
      <c r="D473" s="455" t="s">
        <v>6958</v>
      </c>
      <c r="E473" s="454"/>
      <c r="F473" s="340" t="s">
        <v>4798</v>
      </c>
      <c r="G473" s="4"/>
      <c r="H473" s="640"/>
      <c r="I473" s="640" t="s">
        <v>625</v>
      </c>
      <c r="J473" s="653"/>
      <c r="K473" s="653"/>
      <c r="L473" s="653"/>
      <c r="M473" s="653"/>
      <c r="N473" s="653"/>
      <c r="O473" s="653"/>
      <c r="P473" s="653"/>
      <c r="Q473" s="640"/>
      <c r="R473" s="640" t="s">
        <v>4793</v>
      </c>
      <c r="S473" s="640" t="s">
        <v>4399</v>
      </c>
      <c r="T473" s="460"/>
      <c r="U473" s="640" t="s">
        <v>171</v>
      </c>
      <c r="V473" s="685">
        <f t="shared" si="17"/>
        <v>0</v>
      </c>
      <c r="W473" s="690"/>
      <c r="X473" s="690"/>
      <c r="Y473" s="690"/>
      <c r="Z473" s="690"/>
      <c r="AA473" s="690"/>
      <c r="AB473" s="690"/>
      <c r="AC473" s="690"/>
      <c r="AD473" s="690"/>
      <c r="AE473" s="690"/>
      <c r="AF473" s="690"/>
      <c r="AG473" s="690"/>
      <c r="AH473" s="690"/>
      <c r="AI473" s="690"/>
      <c r="AJ473" s="690"/>
      <c r="AK473" s="690"/>
      <c r="AL473" s="690"/>
      <c r="AM473" s="690"/>
      <c r="AN473" s="690"/>
      <c r="AO473" s="690"/>
      <c r="AP473" s="690"/>
    </row>
    <row r="474" spans="1:42" x14ac:dyDescent="0.25">
      <c r="A474" s="134">
        <f t="shared" si="16"/>
        <v>473</v>
      </c>
      <c r="B474" s="4" t="s">
        <v>3670</v>
      </c>
      <c r="C474" s="4" t="s">
        <v>3670</v>
      </c>
      <c r="D474" s="4"/>
      <c r="E474" s="4"/>
      <c r="F474" s="443" t="s">
        <v>4982</v>
      </c>
      <c r="G474" s="4"/>
      <c r="H474" s="640" t="s">
        <v>3058</v>
      </c>
      <c r="I474" s="640" t="s">
        <v>623</v>
      </c>
      <c r="J474" s="653" t="s">
        <v>6266</v>
      </c>
      <c r="K474" s="653" t="s">
        <v>6270</v>
      </c>
      <c r="L474" s="653"/>
      <c r="M474" s="653" t="s">
        <v>7109</v>
      </c>
      <c r="N474" s="653"/>
      <c r="O474" s="653"/>
      <c r="P474" s="653"/>
      <c r="Q474" s="640"/>
      <c r="R474" s="640"/>
      <c r="S474" s="640"/>
      <c r="T474" s="460"/>
      <c r="U474" s="460"/>
      <c r="V474" s="685">
        <f t="shared" si="17"/>
        <v>0</v>
      </c>
      <c r="W474" s="690"/>
      <c r="X474" s="690"/>
      <c r="Y474" s="690"/>
      <c r="Z474" s="690"/>
      <c r="AA474" s="690"/>
      <c r="AB474" s="690"/>
      <c r="AC474" s="690"/>
      <c r="AD474" s="690"/>
      <c r="AE474" s="690"/>
      <c r="AF474" s="690"/>
      <c r="AG474" s="690"/>
      <c r="AH474" s="690"/>
      <c r="AI474" s="690"/>
      <c r="AJ474" s="690"/>
      <c r="AK474" s="690"/>
      <c r="AL474" s="690"/>
      <c r="AM474" s="690"/>
      <c r="AN474" s="690"/>
      <c r="AO474" s="690"/>
      <c r="AP474" s="690"/>
    </row>
    <row r="475" spans="1:42" x14ac:dyDescent="0.25">
      <c r="A475" s="134">
        <f t="shared" si="16"/>
        <v>474</v>
      </c>
      <c r="B475" s="4" t="s">
        <v>3671</v>
      </c>
      <c r="C475" s="4" t="s">
        <v>3671</v>
      </c>
      <c r="D475" s="4"/>
      <c r="E475" s="4"/>
      <c r="F475" s="443" t="s">
        <v>4983</v>
      </c>
      <c r="G475" s="4"/>
      <c r="H475" s="640" t="s">
        <v>3058</v>
      </c>
      <c r="I475" s="640" t="s">
        <v>623</v>
      </c>
      <c r="J475" s="653" t="s">
        <v>6266</v>
      </c>
      <c r="K475" s="653" t="s">
        <v>6270</v>
      </c>
      <c r="L475" s="653"/>
      <c r="M475" s="653" t="s">
        <v>7109</v>
      </c>
      <c r="N475" s="653"/>
      <c r="O475" s="653"/>
      <c r="P475" s="653"/>
      <c r="Q475" s="640"/>
      <c r="R475" s="640"/>
      <c r="S475" s="640"/>
      <c r="T475" s="460"/>
      <c r="U475" s="460"/>
      <c r="V475" s="685">
        <f t="shared" si="17"/>
        <v>0</v>
      </c>
      <c r="W475" s="690"/>
      <c r="X475" s="690"/>
      <c r="Y475" s="690"/>
      <c r="Z475" s="690"/>
      <c r="AA475" s="690"/>
      <c r="AB475" s="690"/>
      <c r="AC475" s="690"/>
      <c r="AD475" s="690"/>
      <c r="AE475" s="690"/>
      <c r="AF475" s="690"/>
      <c r="AG475" s="690"/>
      <c r="AH475" s="690"/>
      <c r="AI475" s="690"/>
      <c r="AJ475" s="690"/>
      <c r="AK475" s="690"/>
      <c r="AL475" s="690"/>
      <c r="AM475" s="690"/>
      <c r="AN475" s="690"/>
      <c r="AO475" s="690"/>
      <c r="AP475" s="690"/>
    </row>
    <row r="476" spans="1:42" x14ac:dyDescent="0.25">
      <c r="A476" s="134">
        <f t="shared" si="16"/>
        <v>475</v>
      </c>
      <c r="B476" s="4" t="s">
        <v>3672</v>
      </c>
      <c r="C476" s="4" t="s">
        <v>3672</v>
      </c>
      <c r="D476" s="4"/>
      <c r="E476" s="4"/>
      <c r="F476" s="443" t="s">
        <v>4984</v>
      </c>
      <c r="G476" s="4"/>
      <c r="H476" s="640" t="s">
        <v>3058</v>
      </c>
      <c r="I476" s="640" t="s">
        <v>623</v>
      </c>
      <c r="J476" s="653" t="s">
        <v>6266</v>
      </c>
      <c r="K476" s="653" t="s">
        <v>6270</v>
      </c>
      <c r="L476" s="653"/>
      <c r="M476" s="653" t="s">
        <v>7109</v>
      </c>
      <c r="N476" s="653"/>
      <c r="O476" s="653"/>
      <c r="P476" s="653"/>
      <c r="Q476" s="640"/>
      <c r="R476" s="640"/>
      <c r="S476" s="640"/>
      <c r="T476" s="460"/>
      <c r="U476" s="460"/>
      <c r="V476" s="685">
        <f t="shared" si="17"/>
        <v>0</v>
      </c>
      <c r="W476" s="690"/>
      <c r="X476" s="690"/>
      <c r="Y476" s="690"/>
      <c r="Z476" s="690"/>
      <c r="AA476" s="690"/>
      <c r="AB476" s="690"/>
      <c r="AC476" s="690"/>
      <c r="AD476" s="690"/>
      <c r="AE476" s="690"/>
      <c r="AF476" s="690"/>
      <c r="AG476" s="690"/>
      <c r="AH476" s="690"/>
      <c r="AI476" s="690"/>
      <c r="AJ476" s="690"/>
      <c r="AK476" s="690"/>
      <c r="AL476" s="690"/>
      <c r="AM476" s="690"/>
      <c r="AN476" s="690"/>
      <c r="AO476" s="690"/>
      <c r="AP476" s="690"/>
    </row>
    <row r="477" spans="1:42" x14ac:dyDescent="0.25">
      <c r="A477" s="134">
        <f t="shared" si="16"/>
        <v>476</v>
      </c>
      <c r="B477" s="4" t="s">
        <v>3673</v>
      </c>
      <c r="C477" s="4" t="s">
        <v>3673</v>
      </c>
      <c r="D477" s="4"/>
      <c r="E477" s="4"/>
      <c r="F477" s="443" t="s">
        <v>4985</v>
      </c>
      <c r="G477" s="4"/>
      <c r="H477" s="640" t="s">
        <v>3058</v>
      </c>
      <c r="I477" s="640" t="s">
        <v>623</v>
      </c>
      <c r="J477" s="653" t="s">
        <v>6266</v>
      </c>
      <c r="K477" s="653" t="s">
        <v>6270</v>
      </c>
      <c r="L477" s="653"/>
      <c r="M477" s="653" t="s">
        <v>7109</v>
      </c>
      <c r="N477" s="653"/>
      <c r="O477" s="653"/>
      <c r="P477" s="653"/>
      <c r="Q477" s="640"/>
      <c r="R477" s="640"/>
      <c r="S477" s="640"/>
      <c r="T477" s="460"/>
      <c r="U477" s="460"/>
      <c r="V477" s="685">
        <f t="shared" si="17"/>
        <v>0</v>
      </c>
      <c r="W477" s="690"/>
      <c r="X477" s="690"/>
      <c r="Y477" s="690"/>
      <c r="Z477" s="690"/>
      <c r="AA477" s="690"/>
      <c r="AB477" s="690"/>
      <c r="AC477" s="690"/>
      <c r="AD477" s="690"/>
      <c r="AE477" s="690"/>
      <c r="AF477" s="690"/>
      <c r="AG477" s="690"/>
      <c r="AH477" s="690"/>
      <c r="AI477" s="690"/>
      <c r="AJ477" s="690"/>
      <c r="AK477" s="690"/>
      <c r="AL477" s="690"/>
      <c r="AM477" s="690"/>
      <c r="AN477" s="690"/>
      <c r="AO477" s="690"/>
      <c r="AP477" s="690"/>
    </row>
    <row r="478" spans="1:42" x14ac:dyDescent="0.25">
      <c r="A478" s="134">
        <f t="shared" si="16"/>
        <v>477</v>
      </c>
      <c r="B478" s="4" t="s">
        <v>3674</v>
      </c>
      <c r="C478" s="4" t="s">
        <v>3674</v>
      </c>
      <c r="D478" s="4"/>
      <c r="E478" s="4"/>
      <c r="F478" s="443" t="s">
        <v>4986</v>
      </c>
      <c r="G478" s="4"/>
      <c r="H478" s="640" t="s">
        <v>3058</v>
      </c>
      <c r="I478" s="640" t="s">
        <v>623</v>
      </c>
      <c r="J478" s="653" t="s">
        <v>6266</v>
      </c>
      <c r="K478" s="653" t="s">
        <v>6270</v>
      </c>
      <c r="L478" s="653"/>
      <c r="M478" s="653" t="s">
        <v>7109</v>
      </c>
      <c r="N478" s="653"/>
      <c r="O478" s="653"/>
      <c r="P478" s="653"/>
      <c r="Q478" s="640"/>
      <c r="R478" s="640"/>
      <c r="S478" s="640"/>
      <c r="T478" s="460"/>
      <c r="U478" s="460"/>
      <c r="V478" s="685">
        <f t="shared" si="17"/>
        <v>0</v>
      </c>
      <c r="W478" s="690"/>
      <c r="X478" s="690"/>
      <c r="Y478" s="690"/>
      <c r="Z478" s="690"/>
      <c r="AA478" s="690"/>
      <c r="AB478" s="690"/>
      <c r="AC478" s="690"/>
      <c r="AD478" s="690"/>
      <c r="AE478" s="690"/>
      <c r="AF478" s="690"/>
      <c r="AG478" s="690"/>
      <c r="AH478" s="690"/>
      <c r="AI478" s="690"/>
      <c r="AJ478" s="690"/>
      <c r="AK478" s="690"/>
      <c r="AL478" s="690"/>
      <c r="AM478" s="690"/>
      <c r="AN478" s="690"/>
      <c r="AO478" s="690"/>
      <c r="AP478" s="690"/>
    </row>
    <row r="479" spans="1:42" x14ac:dyDescent="0.25">
      <c r="A479" s="134">
        <f t="shared" si="16"/>
        <v>478</v>
      </c>
      <c r="B479" s="4" t="s">
        <v>3675</v>
      </c>
      <c r="C479" s="4" t="s">
        <v>3675</v>
      </c>
      <c r="D479" s="4"/>
      <c r="E479" s="4"/>
      <c r="F479" s="443" t="s">
        <v>4987</v>
      </c>
      <c r="G479" s="4"/>
      <c r="H479" s="640" t="s">
        <v>3058</v>
      </c>
      <c r="I479" s="640" t="s">
        <v>623</v>
      </c>
      <c r="J479" s="653" t="s">
        <v>6266</v>
      </c>
      <c r="K479" s="653" t="s">
        <v>6270</v>
      </c>
      <c r="L479" s="653"/>
      <c r="M479" s="653" t="s">
        <v>7109</v>
      </c>
      <c r="N479" s="653"/>
      <c r="O479" s="653"/>
      <c r="P479" s="653"/>
      <c r="Q479" s="640"/>
      <c r="R479" s="640"/>
      <c r="S479" s="640"/>
      <c r="T479" s="460"/>
      <c r="U479" s="460"/>
      <c r="V479" s="685">
        <f t="shared" si="17"/>
        <v>0</v>
      </c>
      <c r="W479" s="690"/>
      <c r="X479" s="690"/>
      <c r="Y479" s="690"/>
      <c r="Z479" s="690"/>
      <c r="AA479" s="690"/>
      <c r="AB479" s="690"/>
      <c r="AC479" s="690"/>
      <c r="AD479" s="690"/>
      <c r="AE479" s="690"/>
      <c r="AF479" s="690"/>
      <c r="AG479" s="690"/>
      <c r="AH479" s="690"/>
      <c r="AI479" s="690"/>
      <c r="AJ479" s="690"/>
      <c r="AK479" s="690"/>
      <c r="AL479" s="690"/>
      <c r="AM479" s="690"/>
      <c r="AN479" s="690"/>
      <c r="AO479" s="690"/>
      <c r="AP479" s="690"/>
    </row>
    <row r="480" spans="1:42" x14ac:dyDescent="0.25">
      <c r="A480" s="134">
        <f t="shared" si="16"/>
        <v>479</v>
      </c>
      <c r="B480" s="4" t="s">
        <v>3676</v>
      </c>
      <c r="C480" s="4" t="s">
        <v>3676</v>
      </c>
      <c r="D480" s="4"/>
      <c r="E480" s="4"/>
      <c r="F480" s="443" t="s">
        <v>4988</v>
      </c>
      <c r="G480" s="4"/>
      <c r="H480" s="640" t="s">
        <v>3058</v>
      </c>
      <c r="I480" s="640" t="s">
        <v>623</v>
      </c>
      <c r="J480" s="653" t="s">
        <v>6266</v>
      </c>
      <c r="K480" s="653" t="s">
        <v>6270</v>
      </c>
      <c r="L480" s="653"/>
      <c r="M480" s="653" t="s">
        <v>7109</v>
      </c>
      <c r="N480" s="653"/>
      <c r="O480" s="653"/>
      <c r="P480" s="653"/>
      <c r="Q480" s="640"/>
      <c r="R480" s="640"/>
      <c r="S480" s="640"/>
      <c r="T480" s="460"/>
      <c r="U480" s="460"/>
      <c r="V480" s="685">
        <f t="shared" si="17"/>
        <v>0</v>
      </c>
      <c r="W480" s="690"/>
      <c r="X480" s="690"/>
      <c r="Y480" s="690"/>
      <c r="Z480" s="690"/>
      <c r="AA480" s="690"/>
      <c r="AB480" s="690"/>
      <c r="AC480" s="690"/>
      <c r="AD480" s="690"/>
      <c r="AE480" s="690"/>
      <c r="AF480" s="690"/>
      <c r="AG480" s="690"/>
      <c r="AH480" s="690"/>
      <c r="AI480" s="690"/>
      <c r="AJ480" s="690"/>
      <c r="AK480" s="690"/>
      <c r="AL480" s="690"/>
      <c r="AM480" s="690"/>
      <c r="AN480" s="690"/>
      <c r="AO480" s="690"/>
      <c r="AP480" s="690"/>
    </row>
    <row r="481" spans="1:42" x14ac:dyDescent="0.25">
      <c r="A481" s="134">
        <f t="shared" si="16"/>
        <v>480</v>
      </c>
      <c r="B481" s="4" t="s">
        <v>3677</v>
      </c>
      <c r="C481" s="4" t="s">
        <v>3677</v>
      </c>
      <c r="D481" s="4"/>
      <c r="E481" s="4"/>
      <c r="F481" s="443" t="s">
        <v>4989</v>
      </c>
      <c r="G481" s="4"/>
      <c r="H481" s="640" t="s">
        <v>3058</v>
      </c>
      <c r="I481" s="640" t="s">
        <v>623</v>
      </c>
      <c r="J481" s="653" t="s">
        <v>6266</v>
      </c>
      <c r="K481" s="653" t="s">
        <v>6270</v>
      </c>
      <c r="L481" s="653"/>
      <c r="M481" s="653" t="s">
        <v>7109</v>
      </c>
      <c r="N481" s="653"/>
      <c r="O481" s="653"/>
      <c r="P481" s="653"/>
      <c r="Q481" s="640"/>
      <c r="R481" s="640"/>
      <c r="S481" s="640"/>
      <c r="T481" s="460"/>
      <c r="U481" s="460"/>
      <c r="V481" s="685">
        <f t="shared" si="17"/>
        <v>0</v>
      </c>
      <c r="W481" s="690"/>
      <c r="X481" s="690"/>
      <c r="Y481" s="690"/>
      <c r="Z481" s="690"/>
      <c r="AA481" s="690"/>
      <c r="AB481" s="690"/>
      <c r="AC481" s="690"/>
      <c r="AD481" s="690"/>
      <c r="AE481" s="690"/>
      <c r="AF481" s="690"/>
      <c r="AG481" s="690"/>
      <c r="AH481" s="690"/>
      <c r="AI481" s="690"/>
      <c r="AJ481" s="690"/>
      <c r="AK481" s="690"/>
      <c r="AL481" s="690"/>
      <c r="AM481" s="690"/>
      <c r="AN481" s="690"/>
      <c r="AO481" s="690"/>
      <c r="AP481" s="690"/>
    </row>
    <row r="482" spans="1:42" x14ac:dyDescent="0.25">
      <c r="A482" s="134">
        <f t="shared" si="16"/>
        <v>481</v>
      </c>
      <c r="B482" s="137" t="s">
        <v>6213</v>
      </c>
      <c r="C482" s="137" t="s">
        <v>6213</v>
      </c>
      <c r="D482" s="137"/>
      <c r="E482" s="137"/>
      <c r="F482" s="443"/>
      <c r="G482" s="4"/>
      <c r="H482" s="640"/>
      <c r="I482" s="640" t="s">
        <v>620</v>
      </c>
      <c r="J482" s="653"/>
      <c r="K482" s="653" t="s">
        <v>6269</v>
      </c>
      <c r="L482" s="653"/>
      <c r="M482" s="653"/>
      <c r="N482" s="653"/>
      <c r="O482" s="653"/>
      <c r="P482" s="653"/>
      <c r="Q482" s="640"/>
      <c r="R482" s="640" t="s">
        <v>3166</v>
      </c>
      <c r="S482" s="640" t="s">
        <v>4410</v>
      </c>
      <c r="T482" s="460"/>
      <c r="U482" s="460"/>
      <c r="V482" s="685">
        <f t="shared" si="17"/>
        <v>0</v>
      </c>
      <c r="W482" s="690"/>
      <c r="X482" s="690"/>
      <c r="Y482" s="690"/>
      <c r="Z482" s="690"/>
      <c r="AA482" s="690"/>
      <c r="AB482" s="690"/>
      <c r="AC482" s="690"/>
      <c r="AD482" s="690"/>
      <c r="AE482" s="690"/>
      <c r="AF482" s="690"/>
      <c r="AG482" s="690"/>
      <c r="AH482" s="690"/>
      <c r="AI482" s="690"/>
      <c r="AJ482" s="690"/>
      <c r="AK482" s="690"/>
      <c r="AL482" s="690"/>
      <c r="AM482" s="690"/>
      <c r="AN482" s="690"/>
      <c r="AO482" s="690"/>
      <c r="AP482" s="690"/>
    </row>
    <row r="483" spans="1:42" x14ac:dyDescent="0.25">
      <c r="A483" s="134">
        <f t="shared" si="16"/>
        <v>482</v>
      </c>
      <c r="B483" s="137" t="s">
        <v>6213</v>
      </c>
      <c r="C483" s="137" t="s">
        <v>6213</v>
      </c>
      <c r="D483" s="137"/>
      <c r="E483" s="137"/>
      <c r="F483" s="443"/>
      <c r="G483" s="4"/>
      <c r="H483" s="640"/>
      <c r="I483" s="640" t="s">
        <v>620</v>
      </c>
      <c r="J483" s="653"/>
      <c r="K483" s="653" t="s">
        <v>6269</v>
      </c>
      <c r="L483" s="653"/>
      <c r="M483" s="653"/>
      <c r="N483" s="653"/>
      <c r="O483" s="653"/>
      <c r="P483" s="653"/>
      <c r="Q483" s="640"/>
      <c r="R483" s="640" t="s">
        <v>3166</v>
      </c>
      <c r="S483" s="640" t="s">
        <v>4411</v>
      </c>
      <c r="T483" s="460"/>
      <c r="U483" s="460"/>
      <c r="V483" s="685">
        <f t="shared" si="17"/>
        <v>0</v>
      </c>
      <c r="W483" s="690"/>
      <c r="X483" s="690"/>
      <c r="Y483" s="690"/>
      <c r="Z483" s="690"/>
      <c r="AA483" s="690"/>
      <c r="AB483" s="690"/>
      <c r="AC483" s="690"/>
      <c r="AD483" s="690"/>
      <c r="AE483" s="690"/>
      <c r="AF483" s="690"/>
      <c r="AG483" s="690"/>
      <c r="AH483" s="690"/>
      <c r="AI483" s="690"/>
      <c r="AJ483" s="690"/>
      <c r="AK483" s="690"/>
      <c r="AL483" s="690"/>
      <c r="AM483" s="690"/>
      <c r="AN483" s="690"/>
      <c r="AO483" s="690"/>
      <c r="AP483" s="690"/>
    </row>
    <row r="484" spans="1:42" x14ac:dyDescent="0.25">
      <c r="A484" s="134">
        <f t="shared" si="16"/>
        <v>483</v>
      </c>
      <c r="B484" s="137" t="s">
        <v>6213</v>
      </c>
      <c r="C484" s="137" t="s">
        <v>6213</v>
      </c>
      <c r="D484" s="137"/>
      <c r="E484" s="137"/>
      <c r="F484" s="443"/>
      <c r="G484" s="4"/>
      <c r="H484" s="640"/>
      <c r="I484" s="640" t="s">
        <v>620</v>
      </c>
      <c r="J484" s="653"/>
      <c r="K484" s="653" t="s">
        <v>6269</v>
      </c>
      <c r="L484" s="653"/>
      <c r="M484" s="653"/>
      <c r="N484" s="653"/>
      <c r="O484" s="653"/>
      <c r="P484" s="653"/>
      <c r="Q484" s="640"/>
      <c r="R484" s="640" t="s">
        <v>3166</v>
      </c>
      <c r="S484" s="640" t="s">
        <v>4412</v>
      </c>
      <c r="T484" s="460"/>
      <c r="U484" s="460"/>
      <c r="V484" s="685">
        <f t="shared" si="17"/>
        <v>0</v>
      </c>
      <c r="W484" s="690"/>
      <c r="X484" s="690"/>
      <c r="Y484" s="690"/>
      <c r="Z484" s="690"/>
      <c r="AA484" s="690"/>
      <c r="AB484" s="690"/>
      <c r="AC484" s="690"/>
      <c r="AD484" s="690"/>
      <c r="AE484" s="690"/>
      <c r="AF484" s="690"/>
      <c r="AG484" s="690"/>
      <c r="AH484" s="690"/>
      <c r="AI484" s="690"/>
      <c r="AJ484" s="690"/>
      <c r="AK484" s="690"/>
      <c r="AL484" s="690"/>
      <c r="AM484" s="690"/>
      <c r="AN484" s="690"/>
      <c r="AO484" s="690"/>
      <c r="AP484" s="690"/>
    </row>
    <row r="485" spans="1:42" x14ac:dyDescent="0.25">
      <c r="A485" s="134">
        <f t="shared" si="16"/>
        <v>484</v>
      </c>
      <c r="B485" s="4" t="s">
        <v>3168</v>
      </c>
      <c r="C485" s="4" t="s">
        <v>6335</v>
      </c>
      <c r="D485" s="4"/>
      <c r="E485" s="4" t="s">
        <v>7150</v>
      </c>
      <c r="F485" s="443"/>
      <c r="G485" s="4" t="s">
        <v>6327</v>
      </c>
      <c r="H485" s="640"/>
      <c r="I485" s="640" t="s">
        <v>618</v>
      </c>
      <c r="J485" s="653"/>
      <c r="K485" s="653" t="s">
        <v>6269</v>
      </c>
      <c r="L485" s="653"/>
      <c r="M485" s="653"/>
      <c r="N485" s="653"/>
      <c r="O485" s="653"/>
      <c r="P485" s="653"/>
      <c r="Q485" s="640"/>
      <c r="R485" s="640"/>
      <c r="S485" s="640"/>
      <c r="T485" s="460"/>
      <c r="U485" s="460"/>
      <c r="V485" s="685">
        <f t="shared" si="17"/>
        <v>0</v>
      </c>
      <c r="W485" s="690"/>
      <c r="X485" s="690"/>
      <c r="Y485" s="690"/>
      <c r="Z485" s="690"/>
      <c r="AA485" s="690"/>
      <c r="AB485" s="690"/>
      <c r="AC485" s="690"/>
      <c r="AD485" s="690"/>
      <c r="AE485" s="690"/>
      <c r="AF485" s="690"/>
      <c r="AG485" s="690"/>
      <c r="AH485" s="690"/>
      <c r="AI485" s="690"/>
      <c r="AJ485" s="690"/>
      <c r="AK485" s="690"/>
      <c r="AL485" s="690"/>
      <c r="AM485" s="690"/>
      <c r="AN485" s="690"/>
      <c r="AO485" s="690"/>
      <c r="AP485" s="690"/>
    </row>
    <row r="486" spans="1:42" x14ac:dyDescent="0.25">
      <c r="A486" s="134">
        <f t="shared" si="16"/>
        <v>485</v>
      </c>
      <c r="B486" s="4" t="s">
        <v>3169</v>
      </c>
      <c r="C486" s="4" t="s">
        <v>6336</v>
      </c>
      <c r="D486" s="4"/>
      <c r="E486" s="4" t="s">
        <v>7150</v>
      </c>
      <c r="F486" s="443"/>
      <c r="G486" s="4" t="s">
        <v>6328</v>
      </c>
      <c r="H486" s="640"/>
      <c r="I486" s="640" t="s">
        <v>618</v>
      </c>
      <c r="J486" s="653"/>
      <c r="K486" s="653" t="s">
        <v>6269</v>
      </c>
      <c r="L486" s="653"/>
      <c r="M486" s="653"/>
      <c r="N486" s="653"/>
      <c r="O486" s="653"/>
      <c r="P486" s="653"/>
      <c r="Q486" s="640"/>
      <c r="R486" s="640"/>
      <c r="S486" s="640"/>
      <c r="T486" s="460"/>
      <c r="U486" s="460"/>
      <c r="V486" s="685">
        <f t="shared" si="17"/>
        <v>0</v>
      </c>
      <c r="W486" s="690"/>
      <c r="X486" s="690"/>
      <c r="Y486" s="690"/>
      <c r="Z486" s="690"/>
      <c r="AA486" s="690"/>
      <c r="AB486" s="690"/>
      <c r="AC486" s="690"/>
      <c r="AD486" s="690"/>
      <c r="AE486" s="690"/>
      <c r="AF486" s="690"/>
      <c r="AG486" s="690"/>
      <c r="AH486" s="690"/>
      <c r="AI486" s="690"/>
      <c r="AJ486" s="690"/>
      <c r="AK486" s="690"/>
      <c r="AL486" s="690"/>
      <c r="AM486" s="690"/>
      <c r="AN486" s="690"/>
      <c r="AO486" s="690"/>
      <c r="AP486" s="690"/>
    </row>
    <row r="487" spans="1:42" x14ac:dyDescent="0.25">
      <c r="A487" s="134">
        <f t="shared" si="16"/>
        <v>486</v>
      </c>
      <c r="B487" s="4" t="s">
        <v>3170</v>
      </c>
      <c r="C487" s="4" t="s">
        <v>6337</v>
      </c>
      <c r="D487" s="4"/>
      <c r="E487" s="4" t="s">
        <v>7150</v>
      </c>
      <c r="F487" s="443"/>
      <c r="G487" s="4" t="s">
        <v>6329</v>
      </c>
      <c r="H487" s="640"/>
      <c r="I487" s="640" t="s">
        <v>618</v>
      </c>
      <c r="J487" s="653"/>
      <c r="K487" s="653" t="s">
        <v>6269</v>
      </c>
      <c r="L487" s="653"/>
      <c r="M487" s="653"/>
      <c r="N487" s="653"/>
      <c r="O487" s="653"/>
      <c r="P487" s="653"/>
      <c r="Q487" s="640"/>
      <c r="R487" s="640"/>
      <c r="S487" s="640"/>
      <c r="T487" s="460"/>
      <c r="U487" s="460"/>
      <c r="V487" s="685">
        <f t="shared" si="17"/>
        <v>0</v>
      </c>
      <c r="W487" s="690"/>
      <c r="X487" s="690"/>
      <c r="Y487" s="690"/>
      <c r="Z487" s="690"/>
      <c r="AA487" s="690"/>
      <c r="AB487" s="690"/>
      <c r="AC487" s="690"/>
      <c r="AD487" s="690"/>
      <c r="AE487" s="690"/>
      <c r="AF487" s="690"/>
      <c r="AG487" s="690"/>
      <c r="AH487" s="690"/>
      <c r="AI487" s="690"/>
      <c r="AJ487" s="690"/>
      <c r="AK487" s="690"/>
      <c r="AL487" s="690"/>
      <c r="AM487" s="690"/>
      <c r="AN487" s="690"/>
      <c r="AO487" s="690"/>
      <c r="AP487" s="690"/>
    </row>
    <row r="488" spans="1:42" x14ac:dyDescent="0.25">
      <c r="A488" s="134">
        <f t="shared" si="16"/>
        <v>487</v>
      </c>
      <c r="B488" s="4" t="s">
        <v>3171</v>
      </c>
      <c r="C488" s="4" t="s">
        <v>6338</v>
      </c>
      <c r="D488" s="4"/>
      <c r="E488" s="4" t="s">
        <v>7150</v>
      </c>
      <c r="F488" s="443"/>
      <c r="G488" s="4" t="s">
        <v>6330</v>
      </c>
      <c r="H488" s="640"/>
      <c r="I488" s="640" t="s">
        <v>618</v>
      </c>
      <c r="J488" s="653"/>
      <c r="K488" s="653" t="s">
        <v>6269</v>
      </c>
      <c r="L488" s="653"/>
      <c r="M488" s="653"/>
      <c r="N488" s="653"/>
      <c r="O488" s="653"/>
      <c r="P488" s="653"/>
      <c r="Q488" s="640"/>
      <c r="R488" s="640"/>
      <c r="S488" s="640"/>
      <c r="T488" s="460"/>
      <c r="U488" s="460"/>
      <c r="V488" s="685">
        <f t="shared" si="17"/>
        <v>0</v>
      </c>
      <c r="W488" s="690"/>
      <c r="X488" s="690"/>
      <c r="Y488" s="690"/>
      <c r="Z488" s="690"/>
      <c r="AA488" s="690"/>
      <c r="AB488" s="690"/>
      <c r="AC488" s="690"/>
      <c r="AD488" s="690"/>
      <c r="AE488" s="690"/>
      <c r="AF488" s="690"/>
      <c r="AG488" s="690"/>
      <c r="AH488" s="690"/>
      <c r="AI488" s="690"/>
      <c r="AJ488" s="690"/>
      <c r="AK488" s="690"/>
      <c r="AL488" s="690"/>
      <c r="AM488" s="690"/>
      <c r="AN488" s="690"/>
      <c r="AO488" s="690"/>
      <c r="AP488" s="690"/>
    </row>
    <row r="489" spans="1:42" x14ac:dyDescent="0.25">
      <c r="A489" s="134">
        <f t="shared" si="16"/>
        <v>488</v>
      </c>
      <c r="B489" s="4" t="s">
        <v>3172</v>
      </c>
      <c r="C489" s="4" t="s">
        <v>6339</v>
      </c>
      <c r="D489" s="4"/>
      <c r="E489" s="4" t="s">
        <v>7150</v>
      </c>
      <c r="F489" s="443"/>
      <c r="G489" s="4" t="s">
        <v>6331</v>
      </c>
      <c r="H489" s="640"/>
      <c r="I489" s="640" t="s">
        <v>618</v>
      </c>
      <c r="J489" s="653"/>
      <c r="K489" s="653" t="s">
        <v>6269</v>
      </c>
      <c r="L489" s="653"/>
      <c r="M489" s="653"/>
      <c r="N489" s="653"/>
      <c r="O489" s="653"/>
      <c r="P489" s="653"/>
      <c r="Q489" s="640"/>
      <c r="R489" s="640"/>
      <c r="S489" s="640"/>
      <c r="T489" s="460"/>
      <c r="U489" s="460"/>
      <c r="V489" s="685">
        <f t="shared" si="17"/>
        <v>0</v>
      </c>
      <c r="W489" s="690"/>
      <c r="X489" s="690"/>
      <c r="Y489" s="690"/>
      <c r="Z489" s="690"/>
      <c r="AA489" s="690"/>
      <c r="AB489" s="690"/>
      <c r="AC489" s="690"/>
      <c r="AD489" s="690"/>
      <c r="AE489" s="690"/>
      <c r="AF489" s="690"/>
      <c r="AG489" s="690"/>
      <c r="AH489" s="690"/>
      <c r="AI489" s="690"/>
      <c r="AJ489" s="690"/>
      <c r="AK489" s="690"/>
      <c r="AL489" s="690"/>
      <c r="AM489" s="690"/>
      <c r="AN489" s="690"/>
      <c r="AO489" s="690"/>
      <c r="AP489" s="690"/>
    </row>
    <row r="490" spans="1:42" x14ac:dyDescent="0.25">
      <c r="A490" s="134">
        <f t="shared" si="16"/>
        <v>489</v>
      </c>
      <c r="B490" s="4" t="s">
        <v>3173</v>
      </c>
      <c r="C490" s="4" t="s">
        <v>6340</v>
      </c>
      <c r="D490" s="4"/>
      <c r="E490" s="4" t="s">
        <v>7150</v>
      </c>
      <c r="F490" s="443"/>
      <c r="G490" s="4" t="s">
        <v>6332</v>
      </c>
      <c r="H490" s="640"/>
      <c r="I490" s="640" t="s">
        <v>618</v>
      </c>
      <c r="J490" s="653"/>
      <c r="K490" s="653" t="s">
        <v>6269</v>
      </c>
      <c r="L490" s="653"/>
      <c r="M490" s="653"/>
      <c r="N490" s="653"/>
      <c r="O490" s="653"/>
      <c r="P490" s="653"/>
      <c r="Q490" s="640"/>
      <c r="R490" s="640"/>
      <c r="S490" s="640"/>
      <c r="T490" s="460"/>
      <c r="U490" s="460"/>
      <c r="V490" s="685">
        <f t="shared" si="17"/>
        <v>0</v>
      </c>
      <c r="W490" s="690"/>
      <c r="X490" s="690"/>
      <c r="Y490" s="690"/>
      <c r="Z490" s="690"/>
      <c r="AA490" s="690"/>
      <c r="AB490" s="690"/>
      <c r="AC490" s="690"/>
      <c r="AD490" s="690"/>
      <c r="AE490" s="690"/>
      <c r="AF490" s="690"/>
      <c r="AG490" s="690"/>
      <c r="AH490" s="690"/>
      <c r="AI490" s="690"/>
      <c r="AJ490" s="690"/>
      <c r="AK490" s="690"/>
      <c r="AL490" s="690"/>
      <c r="AM490" s="690"/>
      <c r="AN490" s="690"/>
      <c r="AO490" s="690"/>
      <c r="AP490" s="690"/>
    </row>
    <row r="491" spans="1:42" x14ac:dyDescent="0.25">
      <c r="A491" s="134">
        <f t="shared" si="16"/>
        <v>490</v>
      </c>
      <c r="B491" s="4" t="s">
        <v>3174</v>
      </c>
      <c r="C491" s="4" t="s">
        <v>6341</v>
      </c>
      <c r="D491" s="4"/>
      <c r="E491" s="4" t="s">
        <v>7150</v>
      </c>
      <c r="F491" s="443"/>
      <c r="G491" s="4" t="s">
        <v>6333</v>
      </c>
      <c r="H491" s="640"/>
      <c r="I491" s="640" t="s">
        <v>618</v>
      </c>
      <c r="J491" s="653"/>
      <c r="K491" s="653" t="s">
        <v>6269</v>
      </c>
      <c r="L491" s="653"/>
      <c r="M491" s="653"/>
      <c r="N491" s="653"/>
      <c r="O491" s="653"/>
      <c r="P491" s="653"/>
      <c r="Q491" s="640"/>
      <c r="R491" s="640"/>
      <c r="S491" s="640"/>
      <c r="T491" s="460"/>
      <c r="U491" s="460"/>
      <c r="V491" s="685">
        <f t="shared" si="17"/>
        <v>0</v>
      </c>
      <c r="W491" s="690"/>
      <c r="X491" s="690"/>
      <c r="Y491" s="690"/>
      <c r="Z491" s="690"/>
      <c r="AA491" s="690"/>
      <c r="AB491" s="690"/>
      <c r="AC491" s="690"/>
      <c r="AD491" s="690"/>
      <c r="AE491" s="690"/>
      <c r="AF491" s="690"/>
      <c r="AG491" s="690"/>
      <c r="AH491" s="690"/>
      <c r="AI491" s="690"/>
      <c r="AJ491" s="690"/>
      <c r="AK491" s="690"/>
      <c r="AL491" s="690"/>
      <c r="AM491" s="690"/>
      <c r="AN491" s="690"/>
      <c r="AO491" s="690"/>
      <c r="AP491" s="690"/>
    </row>
    <row r="492" spans="1:42" x14ac:dyDescent="0.25">
      <c r="A492" s="134">
        <f t="shared" si="16"/>
        <v>491</v>
      </c>
      <c r="B492" s="4" t="s">
        <v>3175</v>
      </c>
      <c r="C492" s="4" t="s">
        <v>6342</v>
      </c>
      <c r="D492" s="4"/>
      <c r="E492" s="4" t="s">
        <v>7150</v>
      </c>
      <c r="F492" s="443"/>
      <c r="G492" s="4" t="s">
        <v>6334</v>
      </c>
      <c r="H492" s="640"/>
      <c r="I492" s="640" t="s">
        <v>618</v>
      </c>
      <c r="J492" s="653"/>
      <c r="K492" s="653" t="s">
        <v>6269</v>
      </c>
      <c r="L492" s="653"/>
      <c r="M492" s="653"/>
      <c r="N492" s="653"/>
      <c r="O492" s="653"/>
      <c r="P492" s="653"/>
      <c r="Q492" s="640"/>
      <c r="R492" s="640"/>
      <c r="S492" s="640"/>
      <c r="T492" s="460"/>
      <c r="U492" s="460"/>
      <c r="V492" s="685">
        <f t="shared" si="17"/>
        <v>0</v>
      </c>
      <c r="W492" s="690"/>
      <c r="X492" s="690"/>
      <c r="Y492" s="690"/>
      <c r="Z492" s="690"/>
      <c r="AA492" s="690"/>
      <c r="AB492" s="690"/>
      <c r="AC492" s="690"/>
      <c r="AD492" s="690"/>
      <c r="AE492" s="690"/>
      <c r="AF492" s="690"/>
      <c r="AG492" s="690"/>
      <c r="AH492" s="690"/>
      <c r="AI492" s="690"/>
      <c r="AJ492" s="690"/>
      <c r="AK492" s="690"/>
      <c r="AL492" s="690"/>
      <c r="AM492" s="690"/>
      <c r="AN492" s="690"/>
      <c r="AO492" s="690"/>
      <c r="AP492" s="690"/>
    </row>
    <row r="493" spans="1:42" x14ac:dyDescent="0.25">
      <c r="A493" s="134">
        <f t="shared" si="16"/>
        <v>492</v>
      </c>
      <c r="B493" s="4" t="s">
        <v>3562</v>
      </c>
      <c r="C493" s="4" t="s">
        <v>6371</v>
      </c>
      <c r="D493" s="4"/>
      <c r="E493" s="4" t="s">
        <v>7150</v>
      </c>
      <c r="F493" s="443"/>
      <c r="G493" s="4" t="s">
        <v>6363</v>
      </c>
      <c r="H493" s="640"/>
      <c r="I493" s="640" t="s">
        <v>617</v>
      </c>
      <c r="J493" s="653"/>
      <c r="K493" s="653" t="s">
        <v>6269</v>
      </c>
      <c r="L493" s="653"/>
      <c r="M493" s="653"/>
      <c r="N493" s="653"/>
      <c r="O493" s="653"/>
      <c r="P493" s="653"/>
      <c r="Q493" s="640"/>
      <c r="R493" s="640"/>
      <c r="S493" s="640"/>
      <c r="T493" s="460"/>
      <c r="U493" s="460"/>
      <c r="V493" s="685">
        <f t="shared" si="17"/>
        <v>0</v>
      </c>
      <c r="W493" s="690"/>
      <c r="X493" s="690"/>
      <c r="Y493" s="690"/>
      <c r="Z493" s="690"/>
      <c r="AA493" s="690"/>
      <c r="AB493" s="690"/>
      <c r="AC493" s="690"/>
      <c r="AD493" s="690"/>
      <c r="AE493" s="690"/>
      <c r="AF493" s="690"/>
      <c r="AG493" s="690"/>
      <c r="AH493" s="690"/>
      <c r="AI493" s="690"/>
      <c r="AJ493" s="690"/>
      <c r="AK493" s="690"/>
      <c r="AL493" s="690"/>
      <c r="AM493" s="690"/>
      <c r="AN493" s="690"/>
      <c r="AO493" s="690"/>
      <c r="AP493" s="690"/>
    </row>
    <row r="494" spans="1:42" x14ac:dyDescent="0.25">
      <c r="A494" s="134">
        <f t="shared" si="16"/>
        <v>493</v>
      </c>
      <c r="B494" s="4" t="s">
        <v>2966</v>
      </c>
      <c r="C494" s="4" t="s">
        <v>6372</v>
      </c>
      <c r="D494" s="4"/>
      <c r="E494" s="4" t="s">
        <v>7150</v>
      </c>
      <c r="F494" s="443"/>
      <c r="G494" s="4" t="s">
        <v>6364</v>
      </c>
      <c r="H494" s="640"/>
      <c r="I494" s="640" t="s">
        <v>617</v>
      </c>
      <c r="J494" s="653"/>
      <c r="K494" s="653" t="s">
        <v>6269</v>
      </c>
      <c r="L494" s="653"/>
      <c r="M494" s="653"/>
      <c r="N494" s="653"/>
      <c r="O494" s="653"/>
      <c r="P494" s="653"/>
      <c r="Q494" s="640"/>
      <c r="R494" s="640"/>
      <c r="S494" s="640"/>
      <c r="T494" s="460"/>
      <c r="U494" s="460"/>
      <c r="V494" s="685">
        <f t="shared" si="17"/>
        <v>0</v>
      </c>
      <c r="W494" s="690"/>
      <c r="X494" s="690"/>
      <c r="Y494" s="690"/>
      <c r="Z494" s="690"/>
      <c r="AA494" s="690"/>
      <c r="AB494" s="690"/>
      <c r="AC494" s="690"/>
      <c r="AD494" s="690"/>
      <c r="AE494" s="690"/>
      <c r="AF494" s="690"/>
      <c r="AG494" s="690"/>
      <c r="AH494" s="690"/>
      <c r="AI494" s="690"/>
      <c r="AJ494" s="690"/>
      <c r="AK494" s="690"/>
      <c r="AL494" s="690"/>
      <c r="AM494" s="690"/>
      <c r="AN494" s="690"/>
      <c r="AO494" s="690"/>
      <c r="AP494" s="690"/>
    </row>
    <row r="495" spans="1:42" x14ac:dyDescent="0.25">
      <c r="A495" s="134">
        <f t="shared" si="16"/>
        <v>494</v>
      </c>
      <c r="B495" s="4" t="s">
        <v>122</v>
      </c>
      <c r="C495" s="4" t="s">
        <v>6373</v>
      </c>
      <c r="D495" s="4"/>
      <c r="E495" s="4" t="s">
        <v>7150</v>
      </c>
      <c r="F495" s="443"/>
      <c r="G495" s="4" t="s">
        <v>6365</v>
      </c>
      <c r="H495" s="640"/>
      <c r="I495" s="640" t="s">
        <v>617</v>
      </c>
      <c r="J495" s="653"/>
      <c r="K495" s="653" t="s">
        <v>6269</v>
      </c>
      <c r="L495" s="653"/>
      <c r="M495" s="653"/>
      <c r="N495" s="653"/>
      <c r="O495" s="653"/>
      <c r="P495" s="653"/>
      <c r="Q495" s="640"/>
      <c r="R495" s="640"/>
      <c r="S495" s="640"/>
      <c r="T495" s="460"/>
      <c r="U495" s="460"/>
      <c r="V495" s="685">
        <f t="shared" si="17"/>
        <v>0</v>
      </c>
      <c r="W495" s="690"/>
      <c r="X495" s="690"/>
      <c r="Y495" s="690"/>
      <c r="Z495" s="690"/>
      <c r="AA495" s="690"/>
      <c r="AB495" s="690"/>
      <c r="AC495" s="690"/>
      <c r="AD495" s="690"/>
      <c r="AE495" s="690"/>
      <c r="AF495" s="690"/>
      <c r="AG495" s="690"/>
      <c r="AH495" s="690"/>
      <c r="AI495" s="690"/>
      <c r="AJ495" s="690"/>
      <c r="AK495" s="690"/>
      <c r="AL495" s="690"/>
      <c r="AM495" s="690"/>
      <c r="AN495" s="690"/>
      <c r="AO495" s="690"/>
      <c r="AP495" s="690"/>
    </row>
    <row r="496" spans="1:42" x14ac:dyDescent="0.25">
      <c r="A496" s="134">
        <f t="shared" si="16"/>
        <v>495</v>
      </c>
      <c r="B496" s="4" t="s">
        <v>611</v>
      </c>
      <c r="C496" s="4" t="s">
        <v>6374</v>
      </c>
      <c r="D496" s="4"/>
      <c r="E496" s="4" t="s">
        <v>7150</v>
      </c>
      <c r="F496" s="443"/>
      <c r="G496" s="4" t="s">
        <v>6366</v>
      </c>
      <c r="H496" s="640"/>
      <c r="I496" s="640" t="s">
        <v>617</v>
      </c>
      <c r="J496" s="653"/>
      <c r="K496" s="653" t="s">
        <v>6269</v>
      </c>
      <c r="L496" s="653"/>
      <c r="M496" s="653"/>
      <c r="N496" s="653"/>
      <c r="O496" s="653"/>
      <c r="P496" s="653"/>
      <c r="Q496" s="640"/>
      <c r="R496" s="640"/>
      <c r="S496" s="640"/>
      <c r="T496" s="460"/>
      <c r="U496" s="460"/>
      <c r="V496" s="685">
        <f t="shared" si="17"/>
        <v>0</v>
      </c>
      <c r="W496" s="690"/>
      <c r="X496" s="690"/>
      <c r="Y496" s="690"/>
      <c r="Z496" s="690"/>
      <c r="AA496" s="690"/>
      <c r="AB496" s="690"/>
      <c r="AC496" s="690"/>
      <c r="AD496" s="690"/>
      <c r="AE496" s="690"/>
      <c r="AF496" s="690"/>
      <c r="AG496" s="690"/>
      <c r="AH496" s="690"/>
      <c r="AI496" s="690"/>
      <c r="AJ496" s="690"/>
      <c r="AK496" s="690"/>
      <c r="AL496" s="690"/>
      <c r="AM496" s="690"/>
      <c r="AN496" s="690"/>
      <c r="AO496" s="690"/>
      <c r="AP496" s="690"/>
    </row>
    <row r="497" spans="1:42" x14ac:dyDescent="0.25">
      <c r="A497" s="134">
        <f t="shared" si="16"/>
        <v>496</v>
      </c>
      <c r="B497" s="4" t="s">
        <v>3424</v>
      </c>
      <c r="C497" s="4" t="s">
        <v>6375</v>
      </c>
      <c r="D497" s="4"/>
      <c r="E497" s="4" t="s">
        <v>7150</v>
      </c>
      <c r="F497" s="443"/>
      <c r="G497" s="4" t="s">
        <v>6367</v>
      </c>
      <c r="H497" s="640"/>
      <c r="I497" s="640" t="s">
        <v>617</v>
      </c>
      <c r="J497" s="653"/>
      <c r="K497" s="653" t="s">
        <v>6269</v>
      </c>
      <c r="L497" s="653"/>
      <c r="M497" s="653"/>
      <c r="N497" s="653"/>
      <c r="O497" s="653"/>
      <c r="P497" s="653"/>
      <c r="Q497" s="640"/>
      <c r="R497" s="640"/>
      <c r="S497" s="640"/>
      <c r="T497" s="460"/>
      <c r="U497" s="460"/>
      <c r="V497" s="685">
        <f t="shared" si="17"/>
        <v>0</v>
      </c>
      <c r="W497" s="690"/>
      <c r="X497" s="690"/>
      <c r="Y497" s="690"/>
      <c r="Z497" s="690"/>
      <c r="AA497" s="690"/>
      <c r="AB497" s="690"/>
      <c r="AC497" s="690"/>
      <c r="AD497" s="690"/>
      <c r="AE497" s="690"/>
      <c r="AF497" s="690"/>
      <c r="AG497" s="690"/>
      <c r="AH497" s="690"/>
      <c r="AI497" s="690"/>
      <c r="AJ497" s="690"/>
      <c r="AK497" s="690"/>
      <c r="AL497" s="690"/>
      <c r="AM497" s="690"/>
      <c r="AN497" s="690"/>
      <c r="AO497" s="690"/>
      <c r="AP497" s="690"/>
    </row>
    <row r="498" spans="1:42" x14ac:dyDescent="0.25">
      <c r="A498" s="134">
        <f t="shared" si="16"/>
        <v>497</v>
      </c>
      <c r="B498" s="4" t="s">
        <v>3727</v>
      </c>
      <c r="C498" s="4" t="s">
        <v>6376</v>
      </c>
      <c r="D498" s="4"/>
      <c r="E498" s="4" t="s">
        <v>7150</v>
      </c>
      <c r="F498" s="443"/>
      <c r="G498" s="4" t="s">
        <v>6368</v>
      </c>
      <c r="H498" s="640"/>
      <c r="I498" s="640" t="s">
        <v>617</v>
      </c>
      <c r="J498" s="653"/>
      <c r="K498" s="653" t="s">
        <v>6269</v>
      </c>
      <c r="L498" s="653"/>
      <c r="M498" s="653"/>
      <c r="N498" s="653"/>
      <c r="O498" s="653"/>
      <c r="P498" s="653"/>
      <c r="Q498" s="640"/>
      <c r="R498" s="640"/>
      <c r="S498" s="640"/>
      <c r="T498" s="460"/>
      <c r="U498" s="460"/>
      <c r="V498" s="685">
        <f t="shared" si="17"/>
        <v>0</v>
      </c>
      <c r="W498" s="690"/>
      <c r="X498" s="690"/>
      <c r="Y498" s="690"/>
      <c r="Z498" s="690"/>
      <c r="AA498" s="690"/>
      <c r="AB498" s="690"/>
      <c r="AC498" s="690"/>
      <c r="AD498" s="690"/>
      <c r="AE498" s="690"/>
      <c r="AF498" s="690"/>
      <c r="AG498" s="690"/>
      <c r="AH498" s="690"/>
      <c r="AI498" s="690"/>
      <c r="AJ498" s="690"/>
      <c r="AK498" s="690"/>
      <c r="AL498" s="690"/>
      <c r="AM498" s="690"/>
      <c r="AN498" s="690"/>
      <c r="AO498" s="690"/>
      <c r="AP498" s="690"/>
    </row>
    <row r="499" spans="1:42" x14ac:dyDescent="0.25">
      <c r="A499" s="134">
        <f t="shared" si="16"/>
        <v>498</v>
      </c>
      <c r="B499" s="4" t="s">
        <v>3426</v>
      </c>
      <c r="C499" s="4" t="s">
        <v>6377</v>
      </c>
      <c r="D499" s="4"/>
      <c r="E499" s="4" t="s">
        <v>7150</v>
      </c>
      <c r="F499" s="443"/>
      <c r="G499" s="4" t="s">
        <v>6369</v>
      </c>
      <c r="H499" s="640"/>
      <c r="I499" s="640" t="s">
        <v>617</v>
      </c>
      <c r="J499" s="653"/>
      <c r="K499" s="653" t="s">
        <v>6269</v>
      </c>
      <c r="L499" s="653"/>
      <c r="M499" s="653"/>
      <c r="N499" s="653"/>
      <c r="O499" s="653"/>
      <c r="P499" s="653"/>
      <c r="Q499" s="640"/>
      <c r="R499" s="640"/>
      <c r="S499" s="640"/>
      <c r="T499" s="460"/>
      <c r="U499" s="460"/>
      <c r="V499" s="685">
        <f t="shared" si="17"/>
        <v>0</v>
      </c>
      <c r="W499" s="690"/>
      <c r="X499" s="690"/>
      <c r="Y499" s="690"/>
      <c r="Z499" s="690"/>
      <c r="AA499" s="690"/>
      <c r="AB499" s="690"/>
      <c r="AC499" s="690"/>
      <c r="AD499" s="690"/>
      <c r="AE499" s="690"/>
      <c r="AF499" s="690"/>
      <c r="AG499" s="690"/>
      <c r="AH499" s="690"/>
      <c r="AI499" s="690"/>
      <c r="AJ499" s="690"/>
      <c r="AK499" s="690"/>
      <c r="AL499" s="690"/>
      <c r="AM499" s="690"/>
      <c r="AN499" s="690"/>
      <c r="AO499" s="690"/>
      <c r="AP499" s="690"/>
    </row>
    <row r="500" spans="1:42" x14ac:dyDescent="0.25">
      <c r="A500" s="134">
        <f t="shared" si="16"/>
        <v>499</v>
      </c>
      <c r="B500" s="4" t="s">
        <v>3731</v>
      </c>
      <c r="C500" s="4" t="s">
        <v>6378</v>
      </c>
      <c r="D500" s="4"/>
      <c r="E500" s="4" t="s">
        <v>7150</v>
      </c>
      <c r="F500" s="443"/>
      <c r="G500" s="4" t="s">
        <v>6370</v>
      </c>
      <c r="H500" s="640"/>
      <c r="I500" s="640" t="s">
        <v>617</v>
      </c>
      <c r="J500" s="653"/>
      <c r="K500" s="653" t="s">
        <v>6269</v>
      </c>
      <c r="L500" s="653"/>
      <c r="M500" s="653"/>
      <c r="N500" s="653"/>
      <c r="O500" s="653"/>
      <c r="P500" s="653"/>
      <c r="Q500" s="640"/>
      <c r="R500" s="640"/>
      <c r="S500" s="640"/>
      <c r="T500" s="460"/>
      <c r="U500" s="460"/>
      <c r="V500" s="685">
        <f t="shared" si="17"/>
        <v>0</v>
      </c>
      <c r="W500" s="690"/>
      <c r="X500" s="690"/>
      <c r="Y500" s="690"/>
      <c r="Z500" s="690"/>
      <c r="AA500" s="690"/>
      <c r="AB500" s="690"/>
      <c r="AC500" s="690"/>
      <c r="AD500" s="690"/>
      <c r="AE500" s="690"/>
      <c r="AF500" s="690"/>
      <c r="AG500" s="690"/>
      <c r="AH500" s="690"/>
      <c r="AI500" s="690"/>
      <c r="AJ500" s="690"/>
      <c r="AK500" s="690"/>
      <c r="AL500" s="690"/>
      <c r="AM500" s="690"/>
      <c r="AN500" s="690"/>
      <c r="AO500" s="690"/>
      <c r="AP500" s="690"/>
    </row>
    <row r="501" spans="1:42" x14ac:dyDescent="0.25">
      <c r="A501" s="134">
        <f t="shared" si="16"/>
        <v>500</v>
      </c>
      <c r="B501" s="4" t="s">
        <v>6320</v>
      </c>
      <c r="C501" s="4" t="s">
        <v>3189</v>
      </c>
      <c r="D501" s="4"/>
      <c r="E501" s="4" t="s">
        <v>7150</v>
      </c>
      <c r="F501" s="443"/>
      <c r="G501" s="4" t="s">
        <v>6402</v>
      </c>
      <c r="H501" s="640"/>
      <c r="I501" s="640" t="s">
        <v>1110</v>
      </c>
      <c r="J501" s="653"/>
      <c r="K501" s="653" t="s">
        <v>6269</v>
      </c>
      <c r="L501" s="653"/>
      <c r="M501" s="653"/>
      <c r="N501" s="653"/>
      <c r="O501" s="653"/>
      <c r="P501" s="653"/>
      <c r="Q501" s="640"/>
      <c r="R501" s="640"/>
      <c r="S501" s="640"/>
      <c r="T501" s="460"/>
      <c r="U501" s="460"/>
      <c r="V501" s="685">
        <f t="shared" si="17"/>
        <v>0</v>
      </c>
      <c r="W501" s="690"/>
      <c r="X501" s="690"/>
      <c r="Y501" s="690"/>
      <c r="Z501" s="690"/>
      <c r="AA501" s="690"/>
      <c r="AB501" s="690"/>
      <c r="AC501" s="690"/>
      <c r="AD501" s="690"/>
      <c r="AE501" s="690"/>
      <c r="AF501" s="690"/>
      <c r="AG501" s="690"/>
      <c r="AH501" s="690"/>
      <c r="AI501" s="690"/>
      <c r="AJ501" s="690"/>
      <c r="AK501" s="690"/>
      <c r="AL501" s="690"/>
      <c r="AM501" s="690"/>
      <c r="AN501" s="690"/>
      <c r="AO501" s="690"/>
      <c r="AP501" s="690"/>
    </row>
    <row r="502" spans="1:42" x14ac:dyDescent="0.25">
      <c r="A502" s="134">
        <f t="shared" si="16"/>
        <v>501</v>
      </c>
      <c r="B502" s="4" t="s">
        <v>6321</v>
      </c>
      <c r="C502" s="4" t="s">
        <v>3191</v>
      </c>
      <c r="D502" s="4"/>
      <c r="E502" s="4" t="s">
        <v>7150</v>
      </c>
      <c r="F502" s="443"/>
      <c r="G502" s="4" t="s">
        <v>6404</v>
      </c>
      <c r="H502" s="640"/>
      <c r="I502" s="640" t="s">
        <v>1110</v>
      </c>
      <c r="J502" s="653"/>
      <c r="K502" s="653" t="s">
        <v>6269</v>
      </c>
      <c r="L502" s="653"/>
      <c r="M502" s="653"/>
      <c r="N502" s="653"/>
      <c r="O502" s="653"/>
      <c r="P502" s="653"/>
      <c r="Q502" s="640"/>
      <c r="R502" s="640"/>
      <c r="S502" s="640"/>
      <c r="T502" s="460"/>
      <c r="U502" s="460"/>
      <c r="V502" s="685">
        <f t="shared" si="17"/>
        <v>0</v>
      </c>
      <c r="W502" s="690"/>
      <c r="X502" s="690"/>
      <c r="Y502" s="690"/>
      <c r="Z502" s="690"/>
      <c r="AA502" s="690"/>
      <c r="AB502" s="690"/>
      <c r="AC502" s="690"/>
      <c r="AD502" s="690"/>
      <c r="AE502" s="690"/>
      <c r="AF502" s="690"/>
      <c r="AG502" s="690"/>
      <c r="AH502" s="690"/>
      <c r="AI502" s="690"/>
      <c r="AJ502" s="690"/>
      <c r="AK502" s="690"/>
      <c r="AL502" s="690"/>
      <c r="AM502" s="690"/>
      <c r="AN502" s="690"/>
      <c r="AO502" s="690"/>
      <c r="AP502" s="690"/>
    </row>
    <row r="503" spans="1:42" x14ac:dyDescent="0.25">
      <c r="A503" s="134">
        <f t="shared" si="16"/>
        <v>502</v>
      </c>
      <c r="B503" s="4" t="s">
        <v>6322</v>
      </c>
      <c r="C503" s="4" t="s">
        <v>6406</v>
      </c>
      <c r="D503" s="4"/>
      <c r="E503" s="4" t="s">
        <v>7150</v>
      </c>
      <c r="F503" s="443"/>
      <c r="G503" s="4" t="s">
        <v>6403</v>
      </c>
      <c r="H503" s="640"/>
      <c r="I503" s="640" t="s">
        <v>1110</v>
      </c>
      <c r="J503" s="653"/>
      <c r="K503" s="653" t="s">
        <v>6269</v>
      </c>
      <c r="L503" s="653"/>
      <c r="M503" s="653"/>
      <c r="N503" s="653"/>
      <c r="O503" s="653"/>
      <c r="P503" s="653"/>
      <c r="Q503" s="640"/>
      <c r="R503" s="640"/>
      <c r="S503" s="640"/>
      <c r="T503" s="460"/>
      <c r="U503" s="460"/>
      <c r="V503" s="685">
        <f t="shared" si="17"/>
        <v>0</v>
      </c>
      <c r="W503" s="690"/>
      <c r="X503" s="690"/>
      <c r="Y503" s="690"/>
      <c r="Z503" s="690"/>
      <c r="AA503" s="690"/>
      <c r="AB503" s="690"/>
      <c r="AC503" s="690"/>
      <c r="AD503" s="690"/>
      <c r="AE503" s="690"/>
      <c r="AF503" s="690"/>
      <c r="AG503" s="690"/>
      <c r="AH503" s="690"/>
      <c r="AI503" s="690"/>
      <c r="AJ503" s="690"/>
      <c r="AK503" s="690"/>
      <c r="AL503" s="690"/>
      <c r="AM503" s="690"/>
      <c r="AN503" s="690"/>
      <c r="AO503" s="690"/>
      <c r="AP503" s="690"/>
    </row>
    <row r="504" spans="1:42" x14ac:dyDescent="0.25">
      <c r="A504" s="134">
        <f t="shared" si="16"/>
        <v>503</v>
      </c>
      <c r="B504" s="4" t="s">
        <v>3192</v>
      </c>
      <c r="C504" s="4" t="s">
        <v>3192</v>
      </c>
      <c r="D504" s="4"/>
      <c r="E504" s="4" t="s">
        <v>7150</v>
      </c>
      <c r="F504" s="443"/>
      <c r="G504" s="4" t="s">
        <v>6405</v>
      </c>
      <c r="H504" s="640"/>
      <c r="I504" s="640" t="s">
        <v>1110</v>
      </c>
      <c r="J504" s="653"/>
      <c r="K504" s="653" t="s">
        <v>6269</v>
      </c>
      <c r="L504" s="653"/>
      <c r="M504" s="653"/>
      <c r="N504" s="653"/>
      <c r="O504" s="653"/>
      <c r="P504" s="653"/>
      <c r="Q504" s="640"/>
      <c r="R504" s="640"/>
      <c r="S504" s="640"/>
      <c r="T504" s="460"/>
      <c r="U504" s="460"/>
      <c r="V504" s="685">
        <f t="shared" si="17"/>
        <v>0</v>
      </c>
      <c r="W504" s="690"/>
      <c r="X504" s="690"/>
      <c r="Y504" s="690"/>
      <c r="Z504" s="690"/>
      <c r="AA504" s="690"/>
      <c r="AB504" s="690"/>
      <c r="AC504" s="690"/>
      <c r="AD504" s="690"/>
      <c r="AE504" s="690"/>
      <c r="AF504" s="690"/>
      <c r="AG504" s="690"/>
      <c r="AH504" s="690"/>
      <c r="AI504" s="690"/>
      <c r="AJ504" s="690"/>
      <c r="AK504" s="690"/>
      <c r="AL504" s="690"/>
      <c r="AM504" s="690"/>
      <c r="AN504" s="690"/>
      <c r="AO504" s="690"/>
      <c r="AP504" s="690"/>
    </row>
    <row r="505" spans="1:42" x14ac:dyDescent="0.25">
      <c r="A505" s="134">
        <f t="shared" si="16"/>
        <v>504</v>
      </c>
      <c r="B505" s="4" t="s">
        <v>6313</v>
      </c>
      <c r="C505" s="4" t="s">
        <v>6313</v>
      </c>
      <c r="D505" s="4"/>
      <c r="E505" s="4" t="s">
        <v>7150</v>
      </c>
      <c r="F505" s="443"/>
      <c r="G505" s="4" t="s">
        <v>6413</v>
      </c>
      <c r="H505" s="640"/>
      <c r="I505" s="640" t="s">
        <v>624</v>
      </c>
      <c r="J505" s="653"/>
      <c r="K505" s="653" t="s">
        <v>6269</v>
      </c>
      <c r="L505" s="653"/>
      <c r="M505" s="653"/>
      <c r="N505" s="653"/>
      <c r="O505" s="653"/>
      <c r="P505" s="653"/>
      <c r="Q505" s="640"/>
      <c r="R505" s="640"/>
      <c r="S505" s="640"/>
      <c r="T505" s="460"/>
      <c r="U505" s="460"/>
      <c r="V505" s="685">
        <f t="shared" si="17"/>
        <v>0</v>
      </c>
      <c r="W505" s="690"/>
      <c r="X505" s="690"/>
      <c r="Y505" s="690"/>
      <c r="Z505" s="690"/>
      <c r="AA505" s="690"/>
      <c r="AB505" s="690"/>
      <c r="AC505" s="690"/>
      <c r="AD505" s="690"/>
      <c r="AE505" s="690"/>
      <c r="AF505" s="690"/>
      <c r="AG505" s="690"/>
      <c r="AH505" s="690"/>
      <c r="AI505" s="690"/>
      <c r="AJ505" s="690"/>
      <c r="AK505" s="690"/>
      <c r="AL505" s="690"/>
      <c r="AM505" s="690"/>
      <c r="AN505" s="690"/>
      <c r="AO505" s="690"/>
      <c r="AP505" s="690"/>
    </row>
    <row r="506" spans="1:42" x14ac:dyDescent="0.25">
      <c r="A506" s="134">
        <f t="shared" si="16"/>
        <v>505</v>
      </c>
      <c r="B506" s="4" t="s">
        <v>6314</v>
      </c>
      <c r="C506" s="4" t="s">
        <v>6314</v>
      </c>
      <c r="D506" s="4"/>
      <c r="E506" s="4" t="s">
        <v>7150</v>
      </c>
      <c r="F506" s="443"/>
      <c r="G506" s="4" t="s">
        <v>6414</v>
      </c>
      <c r="H506" s="640"/>
      <c r="I506" s="640" t="s">
        <v>624</v>
      </c>
      <c r="J506" s="653"/>
      <c r="K506" s="653" t="s">
        <v>6269</v>
      </c>
      <c r="L506" s="653"/>
      <c r="M506" s="653"/>
      <c r="N506" s="653"/>
      <c r="O506" s="653"/>
      <c r="P506" s="653"/>
      <c r="Q506" s="640"/>
      <c r="R506" s="640"/>
      <c r="S506" s="640"/>
      <c r="T506" s="460"/>
      <c r="U506" s="460"/>
      <c r="V506" s="685">
        <f t="shared" si="17"/>
        <v>0</v>
      </c>
      <c r="W506" s="690"/>
      <c r="X506" s="690"/>
      <c r="Y506" s="690"/>
      <c r="Z506" s="690"/>
      <c r="AA506" s="690"/>
      <c r="AB506" s="690"/>
      <c r="AC506" s="690"/>
      <c r="AD506" s="690"/>
      <c r="AE506" s="690"/>
      <c r="AF506" s="690"/>
      <c r="AG506" s="690"/>
      <c r="AH506" s="690"/>
      <c r="AI506" s="690"/>
      <c r="AJ506" s="690"/>
      <c r="AK506" s="690"/>
      <c r="AL506" s="690"/>
      <c r="AM506" s="690"/>
      <c r="AN506" s="690"/>
      <c r="AO506" s="690"/>
      <c r="AP506" s="690"/>
    </row>
    <row r="507" spans="1:42" x14ac:dyDescent="0.25">
      <c r="A507" s="134">
        <f t="shared" si="16"/>
        <v>506</v>
      </c>
      <c r="B507" s="4" t="s">
        <v>6412</v>
      </c>
      <c r="C507" s="4" t="s">
        <v>6412</v>
      </c>
      <c r="D507" s="4"/>
      <c r="E507" s="4" t="s">
        <v>7150</v>
      </c>
      <c r="F507" s="443"/>
      <c r="G507" s="4" t="s">
        <v>6415</v>
      </c>
      <c r="H507" s="640"/>
      <c r="I507" s="640" t="s">
        <v>624</v>
      </c>
      <c r="J507" s="653"/>
      <c r="K507" s="653" t="s">
        <v>6269</v>
      </c>
      <c r="L507" s="653"/>
      <c r="M507" s="653"/>
      <c r="N507" s="653"/>
      <c r="O507" s="653"/>
      <c r="P507" s="653"/>
      <c r="Q507" s="640"/>
      <c r="R507" s="640"/>
      <c r="S507" s="640"/>
      <c r="T507" s="460"/>
      <c r="U507" s="460"/>
      <c r="V507" s="685">
        <f t="shared" si="17"/>
        <v>0</v>
      </c>
      <c r="W507" s="690"/>
      <c r="X507" s="690"/>
      <c r="Y507" s="690"/>
      <c r="Z507" s="690"/>
      <c r="AA507" s="690"/>
      <c r="AB507" s="690"/>
      <c r="AC507" s="690"/>
      <c r="AD507" s="690"/>
      <c r="AE507" s="690"/>
      <c r="AF507" s="690"/>
      <c r="AG507" s="690"/>
      <c r="AH507" s="690"/>
      <c r="AI507" s="690"/>
      <c r="AJ507" s="690"/>
      <c r="AK507" s="690"/>
      <c r="AL507" s="690"/>
      <c r="AM507" s="690"/>
      <c r="AN507" s="690"/>
      <c r="AO507" s="690"/>
      <c r="AP507" s="690"/>
    </row>
    <row r="508" spans="1:42" x14ac:dyDescent="0.25">
      <c r="A508" s="134">
        <f t="shared" si="16"/>
        <v>507</v>
      </c>
      <c r="B508" s="4" t="s">
        <v>6455</v>
      </c>
      <c r="C508" s="4" t="s">
        <v>6455</v>
      </c>
      <c r="D508" s="4" t="s">
        <v>7007</v>
      </c>
      <c r="E508" s="4"/>
      <c r="F508" s="443" t="s">
        <v>6454</v>
      </c>
      <c r="G508" s="4"/>
      <c r="H508" s="640"/>
      <c r="I508" s="640" t="s">
        <v>623</v>
      </c>
      <c r="J508" s="653"/>
      <c r="K508" s="653"/>
      <c r="L508" s="653"/>
      <c r="M508" s="653"/>
      <c r="N508" s="653"/>
      <c r="O508" s="653"/>
      <c r="P508" s="653"/>
      <c r="Q508" s="640"/>
      <c r="R508" s="640" t="s">
        <v>6453</v>
      </c>
      <c r="S508" s="640" t="s">
        <v>4458</v>
      </c>
      <c r="T508" s="460"/>
      <c r="U508" s="640" t="s">
        <v>171</v>
      </c>
      <c r="V508" s="685">
        <f t="shared" si="17"/>
        <v>0</v>
      </c>
      <c r="W508" s="690"/>
      <c r="X508" s="690"/>
      <c r="Y508" s="690"/>
      <c r="Z508" s="690"/>
      <c r="AA508" s="690"/>
      <c r="AB508" s="690"/>
      <c r="AC508" s="690"/>
      <c r="AD508" s="690"/>
      <c r="AE508" s="690"/>
      <c r="AF508" s="690"/>
      <c r="AG508" s="690"/>
      <c r="AH508" s="690"/>
      <c r="AI508" s="690"/>
      <c r="AJ508" s="690"/>
      <c r="AK508" s="690"/>
      <c r="AL508" s="690"/>
      <c r="AM508" s="690"/>
      <c r="AN508" s="690"/>
      <c r="AO508" s="690"/>
      <c r="AP508" s="690"/>
    </row>
    <row r="509" spans="1:42" x14ac:dyDescent="0.25">
      <c r="A509" s="134">
        <f t="shared" si="16"/>
        <v>508</v>
      </c>
      <c r="B509" s="4" t="s">
        <v>6456</v>
      </c>
      <c r="C509" s="4" t="s">
        <v>26</v>
      </c>
      <c r="D509" s="4" t="s">
        <v>7007</v>
      </c>
      <c r="E509" s="4"/>
      <c r="F509" s="443" t="s">
        <v>6457</v>
      </c>
      <c r="G509" s="4"/>
      <c r="H509" s="640"/>
      <c r="I509" s="640" t="s">
        <v>623</v>
      </c>
      <c r="J509" s="653"/>
      <c r="K509" s="653" t="s">
        <v>6472</v>
      </c>
      <c r="L509" s="653"/>
      <c r="M509" s="653"/>
      <c r="N509" s="653"/>
      <c r="O509" s="653"/>
      <c r="P509" s="653"/>
      <c r="Q509" s="640"/>
      <c r="R509" s="640" t="s">
        <v>6453</v>
      </c>
      <c r="S509" s="640" t="s">
        <v>4459</v>
      </c>
      <c r="T509" s="460"/>
      <c r="U509" s="640" t="s">
        <v>171</v>
      </c>
      <c r="V509" s="685">
        <f t="shared" si="17"/>
        <v>0</v>
      </c>
      <c r="W509" s="690"/>
      <c r="X509" s="690"/>
      <c r="Y509" s="690"/>
      <c r="Z509" s="690"/>
      <c r="AA509" s="690"/>
      <c r="AB509" s="690"/>
      <c r="AC509" s="690"/>
      <c r="AD509" s="690"/>
      <c r="AE509" s="690"/>
      <c r="AF509" s="690"/>
      <c r="AG509" s="690"/>
      <c r="AH509" s="690"/>
      <c r="AI509" s="690"/>
      <c r="AJ509" s="690"/>
      <c r="AK509" s="690"/>
      <c r="AL509" s="690"/>
      <c r="AM509" s="690"/>
      <c r="AN509" s="690"/>
      <c r="AO509" s="690"/>
      <c r="AP509" s="690"/>
    </row>
    <row r="510" spans="1:42" x14ac:dyDescent="0.25">
      <c r="A510" s="134">
        <f t="shared" si="16"/>
        <v>509</v>
      </c>
      <c r="B510" s="4" t="s">
        <v>3039</v>
      </c>
      <c r="C510" s="443" t="s">
        <v>3039</v>
      </c>
      <c r="D510" s="443"/>
      <c r="E510" s="443"/>
      <c r="F510" s="443" t="s">
        <v>4606</v>
      </c>
      <c r="G510" s="4"/>
      <c r="H510" s="640"/>
      <c r="I510" s="640" t="s">
        <v>623</v>
      </c>
      <c r="J510" s="653"/>
      <c r="K510" s="653"/>
      <c r="L510" s="653"/>
      <c r="M510" s="653"/>
      <c r="N510" s="653"/>
      <c r="O510" s="653"/>
      <c r="P510" s="653"/>
      <c r="Q510" s="640"/>
      <c r="R510" s="640" t="s">
        <v>6453</v>
      </c>
      <c r="S510" s="640" t="s">
        <v>4460</v>
      </c>
      <c r="T510" s="460"/>
      <c r="U510" s="640" t="s">
        <v>171</v>
      </c>
      <c r="V510" s="685">
        <f t="shared" si="17"/>
        <v>0</v>
      </c>
      <c r="W510" s="690"/>
      <c r="X510" s="690"/>
      <c r="Y510" s="690"/>
      <c r="Z510" s="690"/>
      <c r="AA510" s="690"/>
      <c r="AB510" s="690"/>
      <c r="AC510" s="690"/>
      <c r="AD510" s="690"/>
      <c r="AE510" s="690"/>
      <c r="AF510" s="690"/>
      <c r="AG510" s="690"/>
      <c r="AH510" s="690"/>
      <c r="AI510" s="690"/>
      <c r="AJ510" s="690"/>
      <c r="AK510" s="690"/>
      <c r="AL510" s="690"/>
      <c r="AM510" s="690"/>
      <c r="AN510" s="690"/>
      <c r="AO510" s="690"/>
      <c r="AP510" s="690"/>
    </row>
    <row r="511" spans="1:42" x14ac:dyDescent="0.25">
      <c r="A511" s="134">
        <f t="shared" si="16"/>
        <v>510</v>
      </c>
      <c r="B511" s="4" t="s">
        <v>6458</v>
      </c>
      <c r="C511" s="443" t="s">
        <v>6458</v>
      </c>
      <c r="D511" s="4" t="s">
        <v>7007</v>
      </c>
      <c r="E511" s="443"/>
      <c r="F511" s="340" t="s">
        <v>6459</v>
      </c>
      <c r="G511" s="4"/>
      <c r="H511" s="640"/>
      <c r="I511" s="640" t="s">
        <v>623</v>
      </c>
      <c r="J511" s="653"/>
      <c r="K511" s="653"/>
      <c r="L511" s="653"/>
      <c r="M511" s="653"/>
      <c r="N511" s="653"/>
      <c r="O511" s="653"/>
      <c r="P511" s="653"/>
      <c r="Q511" s="640"/>
      <c r="R511" s="640" t="s">
        <v>6453</v>
      </c>
      <c r="S511" s="640" t="s">
        <v>4461</v>
      </c>
      <c r="T511" s="460"/>
      <c r="U511" s="640" t="s">
        <v>171</v>
      </c>
      <c r="V511" s="685">
        <f t="shared" si="17"/>
        <v>0</v>
      </c>
      <c r="W511" s="690"/>
      <c r="X511" s="690"/>
      <c r="Y511" s="690"/>
      <c r="Z511" s="690"/>
      <c r="AA511" s="690"/>
      <c r="AB511" s="690"/>
      <c r="AC511" s="690"/>
      <c r="AD511" s="690"/>
      <c r="AE511" s="690"/>
      <c r="AF511" s="690"/>
      <c r="AG511" s="690"/>
      <c r="AH511" s="690"/>
      <c r="AI511" s="690"/>
      <c r="AJ511" s="690"/>
      <c r="AK511" s="690"/>
      <c r="AL511" s="690"/>
      <c r="AM511" s="690"/>
      <c r="AN511" s="690"/>
      <c r="AO511" s="690"/>
      <c r="AP511" s="690"/>
    </row>
    <row r="512" spans="1:42" x14ac:dyDescent="0.25">
      <c r="A512" s="134">
        <f t="shared" si="16"/>
        <v>511</v>
      </c>
      <c r="B512" s="4" t="s">
        <v>6460</v>
      </c>
      <c r="C512" s="4" t="s">
        <v>6460</v>
      </c>
      <c r="D512" s="4" t="s">
        <v>7007</v>
      </c>
      <c r="E512" s="4"/>
      <c r="F512" s="689" t="s">
        <v>6461</v>
      </c>
      <c r="G512" s="4"/>
      <c r="H512" s="640"/>
      <c r="I512" s="640" t="s">
        <v>623</v>
      </c>
      <c r="J512" s="653"/>
      <c r="K512" s="653"/>
      <c r="L512" s="653"/>
      <c r="M512" s="653"/>
      <c r="N512" s="653"/>
      <c r="O512" s="653"/>
      <c r="P512" s="653"/>
      <c r="Q512" s="640"/>
      <c r="R512" s="640" t="s">
        <v>6453</v>
      </c>
      <c r="S512" s="640" t="s">
        <v>4462</v>
      </c>
      <c r="T512" s="460"/>
      <c r="U512" s="640" t="s">
        <v>171</v>
      </c>
      <c r="V512" s="685">
        <f t="shared" si="17"/>
        <v>0</v>
      </c>
      <c r="W512" s="690"/>
      <c r="X512" s="690"/>
      <c r="Y512" s="690"/>
      <c r="Z512" s="690"/>
      <c r="AA512" s="690"/>
      <c r="AB512" s="690"/>
      <c r="AC512" s="690"/>
      <c r="AD512" s="690"/>
      <c r="AE512" s="690"/>
      <c r="AF512" s="690"/>
      <c r="AG512" s="690"/>
      <c r="AH512" s="690"/>
      <c r="AI512" s="690"/>
      <c r="AJ512" s="690"/>
      <c r="AK512" s="690"/>
      <c r="AL512" s="690"/>
      <c r="AM512" s="690"/>
      <c r="AN512" s="690"/>
      <c r="AO512" s="690"/>
      <c r="AP512" s="690"/>
    </row>
    <row r="513" spans="1:42" x14ac:dyDescent="0.25">
      <c r="A513" s="134">
        <f t="shared" si="16"/>
        <v>512</v>
      </c>
      <c r="B513" s="4" t="s">
        <v>6462</v>
      </c>
      <c r="C513" s="4" t="s">
        <v>6462</v>
      </c>
      <c r="D513" s="4" t="s">
        <v>7007</v>
      </c>
      <c r="E513" s="4"/>
      <c r="F513" s="340" t="s">
        <v>6463</v>
      </c>
      <c r="G513" s="4"/>
      <c r="H513" s="640"/>
      <c r="I513" s="640" t="s">
        <v>621</v>
      </c>
      <c r="J513" s="653"/>
      <c r="K513" s="653" t="s">
        <v>6269</v>
      </c>
      <c r="L513" s="653"/>
      <c r="M513" s="653"/>
      <c r="N513" s="653"/>
      <c r="O513" s="653"/>
      <c r="P513" s="653"/>
      <c r="Q513" s="640"/>
      <c r="R513" s="640"/>
      <c r="S513" s="640"/>
      <c r="T513" s="460"/>
      <c r="U513" s="460"/>
      <c r="V513" s="685">
        <f t="shared" si="17"/>
        <v>0</v>
      </c>
      <c r="W513" s="690"/>
      <c r="X513" s="690"/>
      <c r="Y513" s="690"/>
      <c r="Z513" s="690"/>
      <c r="AA513" s="690"/>
      <c r="AB513" s="690"/>
      <c r="AC513" s="690"/>
      <c r="AD513" s="690"/>
      <c r="AE513" s="690"/>
      <c r="AF513" s="690"/>
      <c r="AG513" s="690"/>
      <c r="AH513" s="690"/>
      <c r="AI513" s="690"/>
      <c r="AJ513" s="690"/>
      <c r="AK513" s="690"/>
      <c r="AL513" s="690"/>
      <c r="AM513" s="690"/>
      <c r="AN513" s="690"/>
      <c r="AO513" s="690"/>
      <c r="AP513" s="690"/>
    </row>
    <row r="514" spans="1:42" x14ac:dyDescent="0.25">
      <c r="A514" s="134">
        <f t="shared" si="16"/>
        <v>513</v>
      </c>
      <c r="B514" s="4" t="s">
        <v>6464</v>
      </c>
      <c r="C514" s="4" t="s">
        <v>6464</v>
      </c>
      <c r="D514" s="4" t="s">
        <v>7007</v>
      </c>
      <c r="E514" s="4" t="s">
        <v>7151</v>
      </c>
      <c r="F514" s="689" t="s">
        <v>6465</v>
      </c>
      <c r="G514" s="4"/>
      <c r="H514" s="640"/>
      <c r="I514" s="640" t="s">
        <v>621</v>
      </c>
      <c r="J514" s="653" t="s">
        <v>6266</v>
      </c>
      <c r="K514" s="653" t="s">
        <v>6269</v>
      </c>
      <c r="L514" s="653"/>
      <c r="M514" s="653"/>
      <c r="N514" s="653"/>
      <c r="O514" s="653"/>
      <c r="P514" s="653"/>
      <c r="Q514" s="640"/>
      <c r="R514" s="640"/>
      <c r="S514" s="640"/>
      <c r="T514" s="460"/>
      <c r="U514" s="460"/>
      <c r="V514" s="685">
        <f t="shared" si="17"/>
        <v>0</v>
      </c>
      <c r="W514" s="690"/>
      <c r="X514" s="690"/>
      <c r="Y514" s="690"/>
      <c r="Z514" s="690"/>
      <c r="AA514" s="690"/>
      <c r="AB514" s="690"/>
      <c r="AC514" s="690"/>
      <c r="AD514" s="690"/>
      <c r="AE514" s="690"/>
      <c r="AF514" s="690"/>
      <c r="AG514" s="690"/>
      <c r="AH514" s="690"/>
      <c r="AI514" s="690"/>
      <c r="AJ514" s="690"/>
      <c r="AK514" s="690"/>
      <c r="AL514" s="690"/>
      <c r="AM514" s="690"/>
      <c r="AN514" s="690"/>
      <c r="AO514" s="690"/>
      <c r="AP514" s="690"/>
    </row>
    <row r="515" spans="1:42" x14ac:dyDescent="0.25">
      <c r="A515" s="134">
        <f>IF(B515="","",1+A514)</f>
        <v>514</v>
      </c>
      <c r="B515" s="4" t="s">
        <v>6466</v>
      </c>
      <c r="C515" s="4" t="s">
        <v>6466</v>
      </c>
      <c r="D515" s="4" t="s">
        <v>7007</v>
      </c>
      <c r="E515" s="4"/>
      <c r="F515" s="340" t="s">
        <v>6467</v>
      </c>
      <c r="G515" s="4"/>
      <c r="H515" s="640"/>
      <c r="I515" s="640" t="s">
        <v>621</v>
      </c>
      <c r="J515" s="653" t="s">
        <v>6266</v>
      </c>
      <c r="K515" s="653" t="s">
        <v>6270</v>
      </c>
      <c r="L515" s="653"/>
      <c r="M515" s="653"/>
      <c r="N515" s="653"/>
      <c r="O515" s="653"/>
      <c r="P515" s="653"/>
      <c r="Q515" s="640"/>
      <c r="R515" s="640"/>
      <c r="S515" s="640"/>
      <c r="T515" s="460"/>
      <c r="U515" s="460"/>
      <c r="V515" s="685">
        <f t="shared" ref="V515:V528" si="18">COUNTA(W515:AP515)</f>
        <v>0</v>
      </c>
      <c r="W515" s="690"/>
      <c r="X515" s="690"/>
      <c r="Y515" s="690"/>
      <c r="Z515" s="690"/>
      <c r="AA515" s="690"/>
      <c r="AB515" s="690"/>
      <c r="AC515" s="690"/>
      <c r="AD515" s="690"/>
      <c r="AE515" s="690"/>
      <c r="AF515" s="690"/>
      <c r="AG515" s="690"/>
      <c r="AH515" s="690"/>
      <c r="AI515" s="690"/>
      <c r="AJ515" s="690"/>
      <c r="AK515" s="690"/>
      <c r="AL515" s="690"/>
      <c r="AM515" s="690"/>
      <c r="AN515" s="690"/>
      <c r="AO515" s="690"/>
      <c r="AP515" s="690"/>
    </row>
    <row r="516" spans="1:42" x14ac:dyDescent="0.25">
      <c r="A516" s="134">
        <f>IF(B516="","",1+A515)</f>
        <v>515</v>
      </c>
      <c r="B516" s="4" t="s">
        <v>6468</v>
      </c>
      <c r="C516" s="4" t="s">
        <v>6468</v>
      </c>
      <c r="D516" s="4" t="s">
        <v>7007</v>
      </c>
      <c r="E516" s="4" t="s">
        <v>7152</v>
      </c>
      <c r="F516" s="689" t="s">
        <v>6469</v>
      </c>
      <c r="G516" s="4"/>
      <c r="H516" s="640"/>
      <c r="I516" s="640" t="s">
        <v>621</v>
      </c>
      <c r="J516" s="653" t="s">
        <v>6266</v>
      </c>
      <c r="K516" s="653" t="s">
        <v>6269</v>
      </c>
      <c r="L516" s="653"/>
      <c r="M516" s="653"/>
      <c r="N516" s="653"/>
      <c r="O516" s="653"/>
      <c r="P516" s="653"/>
      <c r="Q516" s="640"/>
      <c r="R516" s="640"/>
      <c r="S516" s="640"/>
      <c r="T516" s="460"/>
      <c r="U516" s="460"/>
      <c r="V516" s="685">
        <f t="shared" si="18"/>
        <v>0</v>
      </c>
      <c r="W516" s="690"/>
      <c r="X516" s="690"/>
      <c r="Y516" s="690"/>
      <c r="Z516" s="690"/>
      <c r="AA516" s="690"/>
      <c r="AB516" s="690"/>
      <c r="AC516" s="690"/>
      <c r="AD516" s="690"/>
      <c r="AE516" s="690"/>
      <c r="AF516" s="690"/>
      <c r="AG516" s="690"/>
      <c r="AH516" s="690"/>
      <c r="AI516" s="690"/>
      <c r="AJ516" s="690"/>
      <c r="AK516" s="690"/>
      <c r="AL516" s="690"/>
      <c r="AM516" s="690"/>
      <c r="AN516" s="690"/>
      <c r="AO516" s="690"/>
      <c r="AP516" s="690"/>
    </row>
    <row r="517" spans="1:42" x14ac:dyDescent="0.25">
      <c r="A517" s="134">
        <f>IF(B517="","",1+A516)</f>
        <v>516</v>
      </c>
      <c r="B517" s="4" t="s">
        <v>6970</v>
      </c>
      <c r="C517" s="4" t="s">
        <v>6970</v>
      </c>
      <c r="D517" s="4" t="s">
        <v>7006</v>
      </c>
      <c r="E517" s="4" t="s">
        <v>7153</v>
      </c>
      <c r="F517" s="340" t="s">
        <v>7004</v>
      </c>
      <c r="G517" s="692" t="s">
        <v>7386</v>
      </c>
      <c r="H517" s="640" t="s">
        <v>3195</v>
      </c>
      <c r="I517" s="640"/>
      <c r="J517" s="653" t="s">
        <v>6266</v>
      </c>
      <c r="K517" s="653" t="s">
        <v>6269</v>
      </c>
      <c r="L517" s="653"/>
      <c r="M517" s="653"/>
      <c r="N517" s="653"/>
      <c r="O517" s="653"/>
      <c r="P517" s="653"/>
      <c r="Q517" s="640"/>
      <c r="R517" s="640"/>
      <c r="S517" s="640"/>
      <c r="T517" s="460"/>
      <c r="U517" s="460"/>
      <c r="V517" s="685">
        <f t="shared" si="18"/>
        <v>0</v>
      </c>
      <c r="W517" s="690"/>
      <c r="X517" s="690"/>
      <c r="Y517" s="690"/>
      <c r="Z517" s="690"/>
      <c r="AA517" s="690"/>
      <c r="AB517" s="690"/>
      <c r="AC517" s="690"/>
      <c r="AD517" s="690"/>
      <c r="AE517" s="690"/>
      <c r="AF517" s="690"/>
      <c r="AG517" s="690"/>
      <c r="AH517" s="690"/>
      <c r="AI517" s="690"/>
      <c r="AJ517" s="690"/>
      <c r="AK517" s="690"/>
      <c r="AL517" s="690"/>
      <c r="AM517" s="690"/>
      <c r="AN517" s="690"/>
      <c r="AO517" s="690"/>
      <c r="AP517" s="690"/>
    </row>
    <row r="518" spans="1:42" x14ac:dyDescent="0.25">
      <c r="A518" s="134">
        <f t="shared" ref="A518:A528" si="19">IF(B518="","",1+A517)</f>
        <v>517</v>
      </c>
      <c r="B518" s="4" t="s">
        <v>6971</v>
      </c>
      <c r="C518" s="4" t="s">
        <v>6971</v>
      </c>
      <c r="D518" s="4" t="s">
        <v>7006</v>
      </c>
      <c r="E518" s="4"/>
      <c r="F518" s="4" t="s">
        <v>6973</v>
      </c>
      <c r="G518" s="4"/>
      <c r="H518" s="640"/>
      <c r="I518" s="640" t="s">
        <v>622</v>
      </c>
      <c r="J518" s="653"/>
      <c r="K518" s="653"/>
      <c r="L518" s="653"/>
      <c r="M518" s="653"/>
      <c r="N518" s="653"/>
      <c r="O518" s="653"/>
      <c r="P518" s="653"/>
      <c r="Q518" s="640"/>
      <c r="R518" s="640"/>
      <c r="S518" s="640" t="s">
        <v>4448</v>
      </c>
      <c r="T518" s="640" t="s">
        <v>171</v>
      </c>
      <c r="U518" s="460"/>
      <c r="V518" s="685">
        <f t="shared" si="18"/>
        <v>0</v>
      </c>
      <c r="W518" s="690"/>
      <c r="X518" s="690"/>
      <c r="Y518" s="690"/>
      <c r="Z518" s="690"/>
      <c r="AA518" s="690"/>
      <c r="AB518" s="690"/>
      <c r="AC518" s="690"/>
      <c r="AD518" s="690"/>
      <c r="AE518" s="690"/>
      <c r="AF518" s="690"/>
      <c r="AG518" s="690"/>
      <c r="AH518" s="690"/>
      <c r="AI518" s="690"/>
      <c r="AJ518" s="690"/>
      <c r="AK518" s="690"/>
      <c r="AL518" s="690"/>
      <c r="AM518" s="690"/>
      <c r="AN518" s="690"/>
      <c r="AO518" s="690"/>
      <c r="AP518" s="690"/>
    </row>
    <row r="519" spans="1:42" x14ac:dyDescent="0.25">
      <c r="A519" s="134">
        <f t="shared" si="19"/>
        <v>518</v>
      </c>
      <c r="B519" s="4" t="s">
        <v>6972</v>
      </c>
      <c r="C519" s="4" t="s">
        <v>6972</v>
      </c>
      <c r="D519" s="4" t="s">
        <v>7006</v>
      </c>
      <c r="E519" s="4" t="s">
        <v>7154</v>
      </c>
      <c r="F519" s="4" t="s">
        <v>6974</v>
      </c>
      <c r="G519" s="692" t="s">
        <v>7387</v>
      </c>
      <c r="H519" s="640"/>
      <c r="I519" s="640" t="s">
        <v>622</v>
      </c>
      <c r="J519" s="653" t="s">
        <v>6266</v>
      </c>
      <c r="K519" s="653" t="s">
        <v>6269</v>
      </c>
      <c r="L519" s="653"/>
      <c r="M519" s="653"/>
      <c r="N519" s="653"/>
      <c r="O519" s="653"/>
      <c r="P519" s="653"/>
      <c r="Q519" s="640"/>
      <c r="R519" s="640"/>
      <c r="S519" s="640" t="s">
        <v>4449</v>
      </c>
      <c r="T519" s="640" t="s">
        <v>171</v>
      </c>
      <c r="U519" s="460"/>
      <c r="V519" s="685">
        <f t="shared" si="18"/>
        <v>0</v>
      </c>
      <c r="W519" s="690"/>
      <c r="X519" s="690"/>
      <c r="Y519" s="690"/>
      <c r="Z519" s="690"/>
      <c r="AA519" s="690"/>
      <c r="AB519" s="690"/>
      <c r="AC519" s="690"/>
      <c r="AD519" s="690"/>
      <c r="AE519" s="690"/>
      <c r="AF519" s="690"/>
      <c r="AG519" s="690"/>
      <c r="AH519" s="690"/>
      <c r="AI519" s="690"/>
      <c r="AJ519" s="690"/>
      <c r="AK519" s="690"/>
      <c r="AL519" s="690"/>
      <c r="AM519" s="690"/>
      <c r="AN519" s="690"/>
      <c r="AO519" s="690"/>
      <c r="AP519" s="690"/>
    </row>
    <row r="520" spans="1:42" x14ac:dyDescent="0.25">
      <c r="A520" s="134">
        <f t="shared" si="19"/>
        <v>519</v>
      </c>
      <c r="B520" s="4" t="s">
        <v>6975</v>
      </c>
      <c r="C520" s="4" t="s">
        <v>6975</v>
      </c>
      <c r="D520" s="4" t="s">
        <v>7006</v>
      </c>
      <c r="E520" s="4"/>
      <c r="F520" s="4" t="s">
        <v>6976</v>
      </c>
      <c r="G520" s="4"/>
      <c r="H520" s="640"/>
      <c r="I520" s="640" t="s">
        <v>622</v>
      </c>
      <c r="J520" s="653" t="s">
        <v>6266</v>
      </c>
      <c r="K520" s="653" t="s">
        <v>6270</v>
      </c>
      <c r="L520" s="653"/>
      <c r="M520" s="653"/>
      <c r="N520" s="653"/>
      <c r="O520" s="653"/>
      <c r="P520" s="653"/>
      <c r="Q520" s="640"/>
      <c r="R520" s="640"/>
      <c r="S520" s="640" t="s">
        <v>4450</v>
      </c>
      <c r="T520" s="640" t="s">
        <v>171</v>
      </c>
      <c r="U520" s="460"/>
      <c r="V520" s="685">
        <f t="shared" si="18"/>
        <v>0</v>
      </c>
      <c r="W520" s="690"/>
      <c r="X520" s="690"/>
      <c r="Y520" s="690"/>
      <c r="Z520" s="690"/>
      <c r="AA520" s="690"/>
      <c r="AB520" s="690"/>
      <c r="AC520" s="690"/>
      <c r="AD520" s="690"/>
      <c r="AE520" s="690"/>
      <c r="AF520" s="690"/>
      <c r="AG520" s="690"/>
      <c r="AH520" s="690"/>
      <c r="AI520" s="690"/>
      <c r="AJ520" s="690"/>
      <c r="AK520" s="690"/>
      <c r="AL520" s="690"/>
      <c r="AM520" s="690"/>
      <c r="AN520" s="690"/>
      <c r="AO520" s="690"/>
      <c r="AP520" s="690"/>
    </row>
    <row r="521" spans="1:42" x14ac:dyDescent="0.25">
      <c r="A521" s="134">
        <f t="shared" si="19"/>
        <v>520</v>
      </c>
      <c r="B521" s="679" t="s">
        <v>6978</v>
      </c>
      <c r="C521" s="679" t="s">
        <v>6978</v>
      </c>
      <c r="D521" s="4" t="s">
        <v>7006</v>
      </c>
      <c r="E521" s="4" t="s">
        <v>7155</v>
      </c>
      <c r="F521" s="255" t="s">
        <v>6977</v>
      </c>
      <c r="G521" s="4"/>
      <c r="H521" s="640"/>
      <c r="I521" s="640" t="s">
        <v>622</v>
      </c>
      <c r="J521" s="653" t="s">
        <v>6266</v>
      </c>
      <c r="K521" s="653" t="s">
        <v>6269</v>
      </c>
      <c r="L521" s="653"/>
      <c r="M521" s="653"/>
      <c r="N521" s="653"/>
      <c r="O521" s="653"/>
      <c r="P521" s="653"/>
      <c r="Q521" s="640"/>
      <c r="R521" s="640"/>
      <c r="S521" s="640" t="s">
        <v>4451</v>
      </c>
      <c r="T521" s="640" t="s">
        <v>171</v>
      </c>
      <c r="U521" s="460"/>
      <c r="V521" s="685">
        <f t="shared" si="18"/>
        <v>0</v>
      </c>
      <c r="W521" s="690"/>
      <c r="X521" s="690"/>
      <c r="Y521" s="690"/>
      <c r="Z521" s="690"/>
      <c r="AA521" s="690"/>
      <c r="AB521" s="690"/>
      <c r="AC521" s="690"/>
      <c r="AD521" s="690"/>
      <c r="AE521" s="690"/>
      <c r="AF521" s="690"/>
      <c r="AG521" s="690"/>
      <c r="AH521" s="690"/>
      <c r="AI521" s="690"/>
      <c r="AJ521" s="690"/>
      <c r="AK521" s="690"/>
      <c r="AL521" s="690"/>
      <c r="AM521" s="690"/>
      <c r="AN521" s="690"/>
      <c r="AO521" s="690"/>
      <c r="AP521" s="690"/>
    </row>
    <row r="522" spans="1:42" x14ac:dyDescent="0.25">
      <c r="A522" s="134">
        <f t="shared" si="19"/>
        <v>521</v>
      </c>
      <c r="B522" s="4" t="s">
        <v>6979</v>
      </c>
      <c r="C522" s="4" t="s">
        <v>6981</v>
      </c>
      <c r="D522" s="4" t="s">
        <v>7006</v>
      </c>
      <c r="E522" s="4"/>
      <c r="F522" s="340" t="s">
        <v>6980</v>
      </c>
      <c r="G522" s="4"/>
      <c r="H522" s="640"/>
      <c r="I522" s="640" t="s">
        <v>622</v>
      </c>
      <c r="J522" s="653" t="s">
        <v>6266</v>
      </c>
      <c r="K522" s="653" t="s">
        <v>6270</v>
      </c>
      <c r="L522" s="653"/>
      <c r="M522" s="653"/>
      <c r="N522" s="653"/>
      <c r="O522" s="653" t="s">
        <v>7357</v>
      </c>
      <c r="P522" s="653"/>
      <c r="Q522" s="640"/>
      <c r="R522" s="640"/>
      <c r="S522" s="640" t="s">
        <v>4452</v>
      </c>
      <c r="T522" s="640" t="s">
        <v>171</v>
      </c>
      <c r="U522" s="460"/>
      <c r="V522" s="685">
        <f t="shared" si="18"/>
        <v>0</v>
      </c>
      <c r="W522" s="690"/>
      <c r="X522" s="690"/>
      <c r="Y522" s="690"/>
      <c r="Z522" s="690"/>
      <c r="AA522" s="690"/>
      <c r="AB522" s="690"/>
      <c r="AC522" s="690"/>
      <c r="AD522" s="690"/>
      <c r="AE522" s="690"/>
      <c r="AF522" s="690"/>
      <c r="AG522" s="690"/>
      <c r="AH522" s="690"/>
      <c r="AI522" s="690"/>
      <c r="AJ522" s="690"/>
      <c r="AK522" s="690"/>
      <c r="AL522" s="690"/>
      <c r="AM522" s="690"/>
      <c r="AN522" s="690"/>
      <c r="AO522" s="690"/>
      <c r="AP522" s="690"/>
    </row>
    <row r="523" spans="1:42" x14ac:dyDescent="0.25">
      <c r="A523" s="134">
        <f t="shared" si="19"/>
        <v>522</v>
      </c>
      <c r="B523" s="4" t="s">
        <v>3418</v>
      </c>
      <c r="C523" s="4" t="s">
        <v>3418</v>
      </c>
      <c r="D523" s="4" t="s">
        <v>7006</v>
      </c>
      <c r="E523" s="4"/>
      <c r="F523" s="340" t="s">
        <v>7114</v>
      </c>
      <c r="G523" s="4" t="s">
        <v>7112</v>
      </c>
      <c r="H523" s="640" t="s">
        <v>7113</v>
      </c>
      <c r="I523" s="640" t="s">
        <v>623</v>
      </c>
      <c r="J523" s="653"/>
      <c r="K523" s="653"/>
      <c r="L523" s="653" t="s">
        <v>1106</v>
      </c>
      <c r="M523" s="653"/>
      <c r="N523" s="653"/>
      <c r="O523" s="653"/>
      <c r="P523" s="653"/>
      <c r="Q523" s="640"/>
      <c r="R523" s="640" t="s">
        <v>3418</v>
      </c>
      <c r="S523" s="640" t="s">
        <v>4458</v>
      </c>
      <c r="T523" s="460"/>
      <c r="U523" s="640" t="s">
        <v>171</v>
      </c>
      <c r="V523" s="685">
        <f t="shared" si="18"/>
        <v>0</v>
      </c>
      <c r="W523" s="690"/>
      <c r="X523" s="690"/>
      <c r="Y523" s="690"/>
      <c r="Z523" s="690"/>
      <c r="AA523" s="690"/>
      <c r="AB523" s="690"/>
      <c r="AC523" s="690"/>
      <c r="AD523" s="690"/>
      <c r="AE523" s="690"/>
      <c r="AF523" s="690"/>
      <c r="AG523" s="690"/>
      <c r="AH523" s="690"/>
      <c r="AI523" s="690"/>
      <c r="AJ523" s="690"/>
      <c r="AK523" s="690"/>
      <c r="AL523" s="690"/>
      <c r="AM523" s="690"/>
      <c r="AN523" s="690"/>
      <c r="AO523" s="690"/>
      <c r="AP523" s="690"/>
    </row>
    <row r="524" spans="1:42" x14ac:dyDescent="0.25">
      <c r="A524" s="134">
        <f t="shared" si="19"/>
        <v>523</v>
      </c>
      <c r="B524" s="4" t="s">
        <v>6983</v>
      </c>
      <c r="C524" s="4" t="s">
        <v>6983</v>
      </c>
      <c r="D524" s="4" t="s">
        <v>7006</v>
      </c>
      <c r="E524" s="4" t="s">
        <v>7156</v>
      </c>
      <c r="F524" s="340" t="s">
        <v>6987</v>
      </c>
      <c r="G524" s="4"/>
      <c r="H524" s="640"/>
      <c r="I524" s="640" t="s">
        <v>623</v>
      </c>
      <c r="J524" s="653"/>
      <c r="K524" s="653" t="s">
        <v>6269</v>
      </c>
      <c r="L524" s="653" t="s">
        <v>6472</v>
      </c>
      <c r="M524" s="653"/>
      <c r="N524" s="653"/>
      <c r="O524" s="653"/>
      <c r="P524" s="653"/>
      <c r="Q524" s="640"/>
      <c r="R524" s="640" t="s">
        <v>3418</v>
      </c>
      <c r="S524" s="640" t="s">
        <v>4459</v>
      </c>
      <c r="T524" s="460"/>
      <c r="U524" s="640" t="s">
        <v>171</v>
      </c>
      <c r="V524" s="685">
        <f t="shared" si="18"/>
        <v>0</v>
      </c>
      <c r="W524" s="690"/>
      <c r="X524" s="690"/>
      <c r="Y524" s="690"/>
      <c r="Z524" s="690"/>
      <c r="AA524" s="690"/>
      <c r="AB524" s="690"/>
      <c r="AC524" s="690"/>
      <c r="AD524" s="690"/>
      <c r="AE524" s="690"/>
      <c r="AF524" s="690"/>
      <c r="AG524" s="690"/>
      <c r="AH524" s="690"/>
      <c r="AI524" s="690"/>
      <c r="AJ524" s="690"/>
      <c r="AK524" s="690"/>
      <c r="AL524" s="690"/>
      <c r="AM524" s="690"/>
      <c r="AN524" s="690"/>
      <c r="AO524" s="690"/>
      <c r="AP524" s="690"/>
    </row>
    <row r="525" spans="1:42" x14ac:dyDescent="0.25">
      <c r="A525" s="134">
        <f t="shared" si="19"/>
        <v>524</v>
      </c>
      <c r="B525" s="4" t="s">
        <v>6984</v>
      </c>
      <c r="C525" s="4" t="s">
        <v>6984</v>
      </c>
      <c r="D525" s="4" t="s">
        <v>7006</v>
      </c>
      <c r="E525" s="4"/>
      <c r="F525" s="340" t="s">
        <v>6988</v>
      </c>
      <c r="G525" s="4" t="s">
        <v>7388</v>
      </c>
      <c r="H525" s="640"/>
      <c r="I525" s="640" t="s">
        <v>623</v>
      </c>
      <c r="J525" s="653"/>
      <c r="K525" s="653"/>
      <c r="L525" s="653"/>
      <c r="M525" s="653"/>
      <c r="N525" s="653"/>
      <c r="O525" s="653"/>
      <c r="P525" s="653"/>
      <c r="Q525" s="640"/>
      <c r="R525" s="640" t="s">
        <v>3418</v>
      </c>
      <c r="S525" s="640" t="s">
        <v>4460</v>
      </c>
      <c r="T525" s="460"/>
      <c r="U525" s="640" t="s">
        <v>171</v>
      </c>
      <c r="V525" s="685">
        <f t="shared" si="18"/>
        <v>0</v>
      </c>
      <c r="W525" s="690"/>
      <c r="X525" s="690"/>
      <c r="Y525" s="690"/>
      <c r="Z525" s="690"/>
      <c r="AA525" s="690"/>
      <c r="AB525" s="690"/>
      <c r="AC525" s="690"/>
      <c r="AD525" s="690"/>
      <c r="AE525" s="690"/>
      <c r="AF525" s="690"/>
      <c r="AG525" s="690"/>
      <c r="AH525" s="690"/>
      <c r="AI525" s="690"/>
      <c r="AJ525" s="690"/>
      <c r="AK525" s="690"/>
      <c r="AL525" s="690"/>
      <c r="AM525" s="690"/>
      <c r="AN525" s="690"/>
      <c r="AO525" s="690"/>
      <c r="AP525" s="690"/>
    </row>
    <row r="526" spans="1:42" x14ac:dyDescent="0.25">
      <c r="A526" s="134">
        <f t="shared" si="19"/>
        <v>525</v>
      </c>
      <c r="B526" s="4" t="s">
        <v>6985</v>
      </c>
      <c r="C526" s="4" t="s">
        <v>6985</v>
      </c>
      <c r="D526" s="4" t="s">
        <v>7006</v>
      </c>
      <c r="E526" s="4"/>
      <c r="F526" s="340" t="s">
        <v>6989</v>
      </c>
      <c r="G526" s="4"/>
      <c r="H526" s="640"/>
      <c r="I526" s="640" t="s">
        <v>623</v>
      </c>
      <c r="J526" s="653"/>
      <c r="K526" s="653"/>
      <c r="L526" s="653"/>
      <c r="M526" s="653"/>
      <c r="N526" s="653"/>
      <c r="O526" s="653"/>
      <c r="P526" s="653"/>
      <c r="Q526" s="640"/>
      <c r="R526" s="640" t="s">
        <v>3418</v>
      </c>
      <c r="S526" s="640" t="s">
        <v>4461</v>
      </c>
      <c r="T526" s="460"/>
      <c r="U526" s="640" t="s">
        <v>171</v>
      </c>
      <c r="V526" s="685">
        <f t="shared" si="18"/>
        <v>0</v>
      </c>
      <c r="W526" s="690"/>
      <c r="X526" s="690"/>
      <c r="Y526" s="690"/>
      <c r="Z526" s="690"/>
      <c r="AA526" s="690"/>
      <c r="AB526" s="690"/>
      <c r="AC526" s="690"/>
      <c r="AD526" s="690"/>
      <c r="AE526" s="690"/>
      <c r="AF526" s="690"/>
      <c r="AG526" s="690"/>
      <c r="AH526" s="690"/>
      <c r="AI526" s="690"/>
      <c r="AJ526" s="690"/>
      <c r="AK526" s="690"/>
      <c r="AL526" s="690"/>
      <c r="AM526" s="690"/>
      <c r="AN526" s="690"/>
      <c r="AO526" s="690"/>
      <c r="AP526" s="690"/>
    </row>
    <row r="527" spans="1:42" x14ac:dyDescent="0.25">
      <c r="A527" s="134">
        <f t="shared" si="19"/>
        <v>526</v>
      </c>
      <c r="B527" s="4" t="s">
        <v>6986</v>
      </c>
      <c r="C527" s="4" t="s">
        <v>6986</v>
      </c>
      <c r="D527" s="4" t="s">
        <v>7006</v>
      </c>
      <c r="E527" s="4"/>
      <c r="F527" s="340" t="s">
        <v>6990</v>
      </c>
      <c r="G527" s="4" t="s">
        <v>7389</v>
      </c>
      <c r="H527" s="640"/>
      <c r="I527" s="640" t="s">
        <v>623</v>
      </c>
      <c r="J527" s="653"/>
      <c r="K527" s="653"/>
      <c r="L527" s="653"/>
      <c r="M527" s="653"/>
      <c r="N527" s="653"/>
      <c r="O527" s="653"/>
      <c r="P527" s="653"/>
      <c r="Q527" s="640"/>
      <c r="R527" s="640" t="s">
        <v>3418</v>
      </c>
      <c r="S527" s="640" t="s">
        <v>4462</v>
      </c>
      <c r="T527" s="460"/>
      <c r="U527" s="640" t="s">
        <v>171</v>
      </c>
      <c r="V527" s="685">
        <f t="shared" si="18"/>
        <v>0</v>
      </c>
      <c r="W527" s="690"/>
      <c r="X527" s="690"/>
      <c r="Y527" s="690"/>
      <c r="Z527" s="690"/>
      <c r="AA527" s="690"/>
      <c r="AB527" s="690"/>
      <c r="AC527" s="690"/>
      <c r="AD527" s="690"/>
      <c r="AE527" s="690"/>
      <c r="AF527" s="690"/>
      <c r="AG527" s="690"/>
      <c r="AH527" s="690"/>
      <c r="AI527" s="690"/>
      <c r="AJ527" s="690"/>
      <c r="AK527" s="690"/>
      <c r="AL527" s="690"/>
      <c r="AM527" s="690"/>
      <c r="AN527" s="690"/>
      <c r="AO527" s="690"/>
      <c r="AP527" s="690"/>
    </row>
    <row r="528" spans="1:42" x14ac:dyDescent="0.25">
      <c r="A528" s="134">
        <f t="shared" si="19"/>
        <v>527</v>
      </c>
      <c r="B528" s="4" t="s">
        <v>6991</v>
      </c>
      <c r="C528" s="4" t="s">
        <v>6991</v>
      </c>
      <c r="D528" s="4" t="s">
        <v>7006</v>
      </c>
      <c r="E528" s="4"/>
      <c r="F528" s="4" t="s">
        <v>6992</v>
      </c>
      <c r="G528" s="4"/>
      <c r="H528" s="640"/>
      <c r="I528" s="640" t="s">
        <v>623</v>
      </c>
      <c r="J528" s="653"/>
      <c r="K528" s="653"/>
      <c r="L528" s="653"/>
      <c r="M528" s="653"/>
      <c r="N528" s="653"/>
      <c r="O528" s="653"/>
      <c r="P528" s="653"/>
      <c r="Q528" s="640"/>
      <c r="R528" s="640" t="s">
        <v>3418</v>
      </c>
      <c r="S528" s="640" t="s">
        <v>6993</v>
      </c>
      <c r="T528" s="460"/>
      <c r="U528" s="640" t="s">
        <v>171</v>
      </c>
      <c r="V528" s="685">
        <f t="shared" si="18"/>
        <v>0</v>
      </c>
      <c r="W528" s="690"/>
      <c r="X528" s="690"/>
      <c r="Y528" s="690"/>
      <c r="Z528" s="690"/>
      <c r="AA528" s="690"/>
      <c r="AB528" s="690"/>
      <c r="AC528" s="690"/>
      <c r="AD528" s="690"/>
      <c r="AE528" s="690"/>
      <c r="AF528" s="690"/>
      <c r="AG528" s="690"/>
      <c r="AH528" s="690"/>
      <c r="AI528" s="690"/>
      <c r="AJ528" s="690"/>
      <c r="AK528" s="690"/>
      <c r="AL528" s="690"/>
      <c r="AM528" s="690"/>
      <c r="AN528" s="690"/>
      <c r="AO528" s="690"/>
      <c r="AP528" s="690"/>
    </row>
  </sheetData>
  <autoFilter ref="A1:AE528" xr:uid="{00000000-0009-0000-0000-00001B000000}"/>
  <conditionalFormatting sqref="B314:B318">
    <cfRule type="duplicateValues" dxfId="2" priority="2"/>
  </conditionalFormatting>
  <conditionalFormatting sqref="C314:E318">
    <cfRule type="duplicateValues" dxfId="1" priority="1"/>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3">
    <tabColor theme="7" tint="0.39997558519241921"/>
  </sheetPr>
  <dimension ref="A1:BV69"/>
  <sheetViews>
    <sheetView topLeftCell="AP1" zoomScaleNormal="100" workbookViewId="0">
      <selection activeCell="AP2" sqref="AP2"/>
    </sheetView>
  </sheetViews>
  <sheetFormatPr defaultRowHeight="15" x14ac:dyDescent="0.25"/>
  <cols>
    <col min="1" max="1" width="9.140625" style="168"/>
    <col min="2" max="2" width="9.85546875" style="168" bestFit="1" customWidth="1"/>
    <col min="3" max="3" width="16.140625" style="168" bestFit="1" customWidth="1"/>
    <col min="4" max="20" width="9.140625" style="168"/>
    <col min="21" max="21" width="8.5703125" style="168" customWidth="1"/>
    <col min="22" max="56" width="9.140625" style="168"/>
    <col min="57" max="57" width="9.140625" style="176"/>
    <col min="58" max="16384" width="9.140625" style="168"/>
  </cols>
  <sheetData>
    <row r="1" spans="1:74" ht="16.5" x14ac:dyDescent="0.25">
      <c r="A1" s="1255" t="s">
        <v>62</v>
      </c>
      <c r="B1" s="1257" t="s">
        <v>6099</v>
      </c>
      <c r="C1" s="1257" t="s">
        <v>63</v>
      </c>
      <c r="D1" s="1260" t="s">
        <v>6007</v>
      </c>
      <c r="E1" s="1252" t="s">
        <v>3061</v>
      </c>
      <c r="F1" s="1253"/>
      <c r="G1" s="1253"/>
      <c r="H1" s="1253"/>
      <c r="I1" s="1253"/>
      <c r="J1" s="1253"/>
      <c r="K1" s="1253"/>
      <c r="L1" s="1253"/>
      <c r="M1" s="1254"/>
      <c r="N1" s="1262" t="s">
        <v>6007</v>
      </c>
      <c r="O1" s="1253" t="s">
        <v>3063</v>
      </c>
      <c r="P1" s="1253"/>
      <c r="Q1" s="1253"/>
      <c r="R1" s="1253"/>
      <c r="S1" s="1254"/>
      <c r="T1" s="1262" t="s">
        <v>6007</v>
      </c>
      <c r="U1" s="1253" t="s">
        <v>3062</v>
      </c>
      <c r="V1" s="1253"/>
      <c r="W1" s="1253"/>
      <c r="X1" s="1254"/>
      <c r="Y1" s="1259" t="s">
        <v>3064</v>
      </c>
      <c r="Z1" s="1253"/>
      <c r="AA1" s="1253"/>
      <c r="AB1" s="1253"/>
      <c r="AC1" s="1254"/>
      <c r="AD1" s="1252" t="s">
        <v>617</v>
      </c>
      <c r="AE1" s="1254"/>
      <c r="AF1" s="1252" t="s">
        <v>3065</v>
      </c>
      <c r="AG1" s="1253"/>
      <c r="AH1" s="1253"/>
      <c r="AI1" s="1254"/>
      <c r="AJ1" s="1252" t="s">
        <v>3066</v>
      </c>
      <c r="AK1" s="1254"/>
      <c r="AL1" s="1252" t="s">
        <v>3067</v>
      </c>
      <c r="AM1" s="1253"/>
      <c r="AN1" s="1254"/>
      <c r="AO1" s="1252" t="s">
        <v>3068</v>
      </c>
      <c r="AP1" s="1254"/>
      <c r="AQ1" s="1264" t="s">
        <v>3069</v>
      </c>
      <c r="AR1" s="1265"/>
      <c r="AS1" s="1265"/>
      <c r="AT1" s="1259" t="s">
        <v>3070</v>
      </c>
      <c r="AU1" s="1253"/>
      <c r="AV1" s="1254"/>
      <c r="AW1" s="1259" t="s">
        <v>623</v>
      </c>
      <c r="AX1" s="1253"/>
      <c r="AY1" s="1254"/>
      <c r="AZ1" s="1259" t="s">
        <v>3071</v>
      </c>
      <c r="BA1" s="1253"/>
      <c r="BB1" s="1253"/>
      <c r="BC1" s="1253"/>
      <c r="BD1" s="1254"/>
      <c r="BE1" s="694" t="s">
        <v>6410</v>
      </c>
      <c r="BF1" s="1252" t="s">
        <v>3072</v>
      </c>
      <c r="BG1" s="1253"/>
      <c r="BH1" s="1254"/>
      <c r="BM1" s="1266" t="s">
        <v>6850</v>
      </c>
      <c r="BN1" s="1266" t="s">
        <v>6874</v>
      </c>
      <c r="BO1" s="1266" t="s">
        <v>6875</v>
      </c>
      <c r="BP1" s="1266" t="s">
        <v>6876</v>
      </c>
      <c r="BQ1" s="1266" t="s">
        <v>6877</v>
      </c>
      <c r="BR1" s="1266" t="s">
        <v>6878</v>
      </c>
      <c r="BS1" s="1266" t="s">
        <v>6879</v>
      </c>
      <c r="BT1" s="1266" t="s">
        <v>6880</v>
      </c>
      <c r="BU1" s="1266" t="s">
        <v>6881</v>
      </c>
      <c r="BV1" s="1266" t="s">
        <v>2721</v>
      </c>
    </row>
    <row r="2" spans="1:74" ht="17.25" thickBot="1" x14ac:dyDescent="0.3">
      <c r="A2" s="1256"/>
      <c r="B2" s="1258"/>
      <c r="C2" s="1258"/>
      <c r="D2" s="1261"/>
      <c r="E2" s="696">
        <v>1</v>
      </c>
      <c r="F2" s="697">
        <v>2</v>
      </c>
      <c r="G2" s="697">
        <v>3</v>
      </c>
      <c r="H2" s="697">
        <v>4</v>
      </c>
      <c r="I2" s="697">
        <v>5</v>
      </c>
      <c r="J2" s="697">
        <v>6</v>
      </c>
      <c r="K2" s="697">
        <v>7</v>
      </c>
      <c r="L2" s="697">
        <v>8</v>
      </c>
      <c r="M2" s="698">
        <v>9</v>
      </c>
      <c r="N2" s="1263"/>
      <c r="O2" s="697">
        <v>1</v>
      </c>
      <c r="P2" s="697">
        <v>2</v>
      </c>
      <c r="Q2" s="697">
        <v>3</v>
      </c>
      <c r="R2" s="697">
        <v>4</v>
      </c>
      <c r="S2" s="698">
        <v>5</v>
      </c>
      <c r="T2" s="1263"/>
      <c r="U2" s="697">
        <v>1</v>
      </c>
      <c r="V2" s="697">
        <v>2</v>
      </c>
      <c r="W2" s="697">
        <v>3</v>
      </c>
      <c r="X2" s="698">
        <v>4</v>
      </c>
      <c r="Y2" s="699" t="s">
        <v>2305</v>
      </c>
      <c r="Z2" s="697" t="s">
        <v>2306</v>
      </c>
      <c r="AA2" s="697" t="s">
        <v>2308</v>
      </c>
      <c r="AB2" s="697" t="s">
        <v>2309</v>
      </c>
      <c r="AC2" s="698" t="s">
        <v>2310</v>
      </c>
      <c r="AD2" s="696" t="s">
        <v>2305</v>
      </c>
      <c r="AE2" s="698" t="s">
        <v>2311</v>
      </c>
      <c r="AF2" s="696" t="s">
        <v>2305</v>
      </c>
      <c r="AG2" s="697" t="s">
        <v>2312</v>
      </c>
      <c r="AH2" s="697" t="s">
        <v>2313</v>
      </c>
      <c r="AI2" s="698" t="s">
        <v>2314</v>
      </c>
      <c r="AJ2" s="696" t="s">
        <v>2305</v>
      </c>
      <c r="AK2" s="698" t="s">
        <v>2306</v>
      </c>
      <c r="AL2" s="696" t="s">
        <v>2321</v>
      </c>
      <c r="AM2" s="697" t="s">
        <v>2269</v>
      </c>
      <c r="AN2" s="698" t="s">
        <v>2322</v>
      </c>
      <c r="AO2" s="696" t="s">
        <v>2271</v>
      </c>
      <c r="AP2" s="698" t="s">
        <v>2270</v>
      </c>
      <c r="AQ2" s="695" t="s">
        <v>2306</v>
      </c>
      <c r="AR2" s="700" t="s">
        <v>4505</v>
      </c>
      <c r="AS2" s="700" t="s">
        <v>4506</v>
      </c>
      <c r="AT2" s="699" t="s">
        <v>2305</v>
      </c>
      <c r="AU2" s="697" t="s">
        <v>2306</v>
      </c>
      <c r="AV2" s="698" t="s">
        <v>2275</v>
      </c>
      <c r="AW2" s="699" t="s">
        <v>2305</v>
      </c>
      <c r="AX2" s="697" t="s">
        <v>2306</v>
      </c>
      <c r="AY2" s="698" t="s">
        <v>2336</v>
      </c>
      <c r="AZ2" s="699" t="s">
        <v>2305</v>
      </c>
      <c r="BA2" s="697" t="s">
        <v>2306</v>
      </c>
      <c r="BB2" s="697" t="s">
        <v>2307</v>
      </c>
      <c r="BC2" s="697" t="s">
        <v>2337</v>
      </c>
      <c r="BD2" s="698" t="s">
        <v>2338</v>
      </c>
      <c r="BE2" s="695" t="s">
        <v>2305</v>
      </c>
      <c r="BF2" s="696" t="s">
        <v>2339</v>
      </c>
      <c r="BG2" s="697" t="s">
        <v>2340</v>
      </c>
      <c r="BH2" s="698" t="s">
        <v>2341</v>
      </c>
      <c r="BM2" s="1267"/>
      <c r="BN2" s="1267"/>
      <c r="BO2" s="1267"/>
      <c r="BP2" s="1267"/>
      <c r="BQ2" s="1267"/>
      <c r="BR2" s="1267"/>
      <c r="BS2" s="1267"/>
      <c r="BT2" s="1267"/>
      <c r="BU2" s="1267"/>
      <c r="BV2" s="1267"/>
    </row>
    <row r="3" spans="1:74" ht="15.75" thickBot="1" x14ac:dyDescent="0.3">
      <c r="A3" s="224"/>
      <c r="B3" s="225"/>
      <c r="C3" s="431"/>
      <c r="D3" s="438"/>
      <c r="E3" s="227"/>
      <c r="F3" s="227"/>
      <c r="G3" s="227"/>
      <c r="H3" s="227"/>
      <c r="I3" s="227"/>
      <c r="J3" s="227"/>
      <c r="K3" s="227"/>
      <c r="L3" s="227"/>
      <c r="M3" s="228"/>
      <c r="N3" s="433"/>
      <c r="O3" s="226"/>
      <c r="P3" s="227"/>
      <c r="Q3" s="227"/>
      <c r="R3" s="227"/>
      <c r="S3" s="228"/>
      <c r="T3" s="434"/>
      <c r="U3" s="226"/>
      <c r="V3" s="227"/>
      <c r="W3" s="227"/>
      <c r="X3" s="228"/>
      <c r="Y3" s="168" t="s">
        <v>3347</v>
      </c>
      <c r="Z3" s="168" t="s">
        <v>3348</v>
      </c>
      <c r="AA3" s="168" t="s">
        <v>3349</v>
      </c>
      <c r="AB3" s="168" t="s">
        <v>3350</v>
      </c>
      <c r="AC3" s="168" t="s">
        <v>3351</v>
      </c>
      <c r="AD3" s="168" t="s">
        <v>3352</v>
      </c>
      <c r="AE3" s="168" t="s">
        <v>3353</v>
      </c>
      <c r="AF3" s="168" t="s">
        <v>3354</v>
      </c>
      <c r="AG3" s="168" t="s">
        <v>3355</v>
      </c>
      <c r="AH3" s="168" t="s">
        <v>3356</v>
      </c>
      <c r="AI3" s="229"/>
      <c r="AJ3" s="168" t="s">
        <v>3357</v>
      </c>
      <c r="AK3" s="168" t="s">
        <v>3358</v>
      </c>
      <c r="AL3" s="168" t="s">
        <v>3359</v>
      </c>
      <c r="AM3" s="168" t="s">
        <v>3360</v>
      </c>
      <c r="AN3" s="168" t="s">
        <v>3361</v>
      </c>
      <c r="AO3" s="168" t="s">
        <v>3362</v>
      </c>
      <c r="AP3" s="168" t="s">
        <v>3363</v>
      </c>
      <c r="AQ3" s="168" t="s">
        <v>3364</v>
      </c>
      <c r="AR3" s="168" t="s">
        <v>3583</v>
      </c>
      <c r="AT3" s="168" t="s">
        <v>3365</v>
      </c>
      <c r="AU3" s="168" t="s">
        <v>3366</v>
      </c>
      <c r="AV3" s="168" t="s">
        <v>3367</v>
      </c>
      <c r="AW3" s="168" t="s">
        <v>3368</v>
      </c>
      <c r="AX3" s="168" t="s">
        <v>3369</v>
      </c>
      <c r="AY3" s="168" t="s">
        <v>3370</v>
      </c>
      <c r="AZ3" s="168" t="s">
        <v>3371</v>
      </c>
      <c r="BA3" s="168" t="s">
        <v>3372</v>
      </c>
      <c r="BB3" s="168" t="s">
        <v>3373</v>
      </c>
      <c r="BC3" s="230" t="s">
        <v>3375</v>
      </c>
      <c r="BD3" s="168" t="s">
        <v>3375</v>
      </c>
      <c r="BE3" s="168" t="s">
        <v>3376</v>
      </c>
      <c r="BF3" s="176" t="s">
        <v>3377</v>
      </c>
      <c r="BG3" s="168" t="s">
        <v>3378</v>
      </c>
      <c r="BH3" s="168" t="s">
        <v>3379</v>
      </c>
      <c r="BM3" s="168" t="s">
        <v>6852</v>
      </c>
      <c r="BN3" s="168" t="s">
        <v>6885</v>
      </c>
      <c r="BO3" s="168" t="s">
        <v>6886</v>
      </c>
      <c r="BP3" s="168" t="s">
        <v>6887</v>
      </c>
      <c r="BQ3" s="168" t="s">
        <v>6888</v>
      </c>
      <c r="BR3" s="168" t="s">
        <v>6889</v>
      </c>
      <c r="BS3" s="168" t="s">
        <v>6882</v>
      </c>
      <c r="BT3" s="168" t="s">
        <v>6883</v>
      </c>
      <c r="BU3" s="168" t="s">
        <v>6884</v>
      </c>
    </row>
    <row r="4" spans="1:74" x14ac:dyDescent="0.25">
      <c r="A4" s="174">
        <v>1</v>
      </c>
      <c r="B4" s="175">
        <v>0</v>
      </c>
      <c r="C4" s="432">
        <v>2</v>
      </c>
      <c r="D4" s="202">
        <v>1</v>
      </c>
      <c r="E4" s="198">
        <v>2</v>
      </c>
      <c r="F4" s="187">
        <v>0</v>
      </c>
      <c r="G4" s="187">
        <v>0</v>
      </c>
      <c r="H4" s="187">
        <v>0</v>
      </c>
      <c r="I4" s="187">
        <v>0</v>
      </c>
      <c r="J4" s="187">
        <v>0</v>
      </c>
      <c r="K4" s="187">
        <v>0</v>
      </c>
      <c r="L4" s="187">
        <v>0</v>
      </c>
      <c r="M4" s="183">
        <v>0</v>
      </c>
      <c r="N4" s="439">
        <v>0</v>
      </c>
      <c r="O4" s="436">
        <v>0</v>
      </c>
      <c r="P4" s="436">
        <v>0</v>
      </c>
      <c r="Q4" s="436">
        <v>0</v>
      </c>
      <c r="R4" s="436">
        <v>0</v>
      </c>
      <c r="S4" s="437">
        <v>0</v>
      </c>
      <c r="T4" s="435">
        <v>0</v>
      </c>
      <c r="U4" s="436">
        <v>0</v>
      </c>
      <c r="V4" s="436">
        <v>0</v>
      </c>
      <c r="W4" s="436">
        <v>0</v>
      </c>
      <c r="X4" s="437">
        <v>0</v>
      </c>
      <c r="Y4" s="194">
        <v>2</v>
      </c>
      <c r="Z4" s="190">
        <v>4</v>
      </c>
      <c r="AA4" s="191">
        <v>1</v>
      </c>
      <c r="AB4" s="191" t="s">
        <v>136</v>
      </c>
      <c r="AC4" s="178">
        <v>0</v>
      </c>
      <c r="AD4" s="189">
        <v>3</v>
      </c>
      <c r="AE4" s="192">
        <v>1</v>
      </c>
      <c r="AF4" s="189">
        <v>2</v>
      </c>
      <c r="AG4" s="179"/>
      <c r="AH4" s="179"/>
      <c r="AI4" s="178"/>
      <c r="AJ4" s="180"/>
      <c r="AK4" s="181"/>
      <c r="AL4" s="193" t="s">
        <v>1121</v>
      </c>
      <c r="AM4" s="191" t="s">
        <v>120</v>
      </c>
      <c r="AN4" s="178"/>
      <c r="AO4" s="193">
        <v>1</v>
      </c>
      <c r="AP4" s="192">
        <v>5</v>
      </c>
      <c r="AQ4" s="184"/>
      <c r="AR4" s="260">
        <v>1</v>
      </c>
      <c r="AS4" s="260">
        <v>1</v>
      </c>
      <c r="AT4" s="177">
        <v>0</v>
      </c>
      <c r="AU4" s="185">
        <v>0</v>
      </c>
      <c r="AV4" s="192" t="s">
        <v>136</v>
      </c>
      <c r="AW4" s="194">
        <v>4</v>
      </c>
      <c r="AX4" s="190">
        <v>2</v>
      </c>
      <c r="AY4" s="192" t="s">
        <v>1121</v>
      </c>
      <c r="AZ4" s="194">
        <v>2</v>
      </c>
      <c r="BA4" s="190">
        <v>2</v>
      </c>
      <c r="BB4" s="190">
        <v>1</v>
      </c>
      <c r="BC4" s="191">
        <v>0</v>
      </c>
      <c r="BD4" s="192">
        <v>1</v>
      </c>
      <c r="BE4" s="195">
        <v>3</v>
      </c>
      <c r="BF4" s="193">
        <v>2</v>
      </c>
      <c r="BG4" s="191">
        <v>2</v>
      </c>
      <c r="BH4" s="178"/>
      <c r="BM4" t="s">
        <v>6853</v>
      </c>
      <c r="BN4" s="168" t="s">
        <v>6916</v>
      </c>
      <c r="BO4" s="168" t="s">
        <v>3644</v>
      </c>
      <c r="BP4" s="168" t="s">
        <v>6917</v>
      </c>
      <c r="BQ4" s="168" t="s">
        <v>6918</v>
      </c>
      <c r="BR4" s="168" t="s">
        <v>4535</v>
      </c>
      <c r="BS4" s="168" t="s">
        <v>6913</v>
      </c>
      <c r="BT4" s="168" t="s">
        <v>6914</v>
      </c>
      <c r="BU4" s="168" t="s">
        <v>6915</v>
      </c>
    </row>
    <row r="5" spans="1:74" x14ac:dyDescent="0.25">
      <c r="A5" s="169">
        <v>2</v>
      </c>
      <c r="B5" s="171">
        <v>300</v>
      </c>
      <c r="C5" s="349">
        <v>2</v>
      </c>
      <c r="D5" s="202">
        <v>1</v>
      </c>
      <c r="E5" s="198">
        <v>3</v>
      </c>
      <c r="F5" s="187">
        <v>0</v>
      </c>
      <c r="G5" s="187">
        <v>0</v>
      </c>
      <c r="H5" s="187">
        <v>0</v>
      </c>
      <c r="I5" s="187">
        <v>0</v>
      </c>
      <c r="J5" s="187">
        <v>0</v>
      </c>
      <c r="K5" s="187">
        <v>0</v>
      </c>
      <c r="L5" s="187">
        <v>0</v>
      </c>
      <c r="M5" s="183">
        <v>0</v>
      </c>
      <c r="N5" s="197">
        <v>1</v>
      </c>
      <c r="O5" s="198">
        <v>2</v>
      </c>
      <c r="P5" s="187">
        <v>0</v>
      </c>
      <c r="Q5" s="187">
        <v>0</v>
      </c>
      <c r="R5" s="187">
        <v>0</v>
      </c>
      <c r="S5" s="183">
        <v>0</v>
      </c>
      <c r="T5" s="182">
        <v>0</v>
      </c>
      <c r="U5" s="187">
        <v>0</v>
      </c>
      <c r="V5" s="187">
        <v>0</v>
      </c>
      <c r="W5" s="187">
        <v>0</v>
      </c>
      <c r="X5" s="183">
        <v>0</v>
      </c>
      <c r="Y5" s="197">
        <v>2</v>
      </c>
      <c r="Z5" s="198">
        <v>5</v>
      </c>
      <c r="AA5" s="199">
        <v>1</v>
      </c>
      <c r="AB5" s="199" t="s">
        <v>136</v>
      </c>
      <c r="AC5" s="196" t="s">
        <v>136</v>
      </c>
      <c r="AD5" s="202">
        <v>3</v>
      </c>
      <c r="AE5" s="196">
        <v>1</v>
      </c>
      <c r="AF5" s="202">
        <v>2</v>
      </c>
      <c r="AG5" s="203" t="s">
        <v>2315</v>
      </c>
      <c r="AH5" s="199">
        <v>1</v>
      </c>
      <c r="AI5" s="196" t="s">
        <v>2316</v>
      </c>
      <c r="AJ5" s="182"/>
      <c r="AK5" s="183"/>
      <c r="AL5" s="201">
        <v>2</v>
      </c>
      <c r="AM5" s="199" t="s">
        <v>120</v>
      </c>
      <c r="AN5" s="196" t="s">
        <v>2323</v>
      </c>
      <c r="AO5" s="201">
        <v>1</v>
      </c>
      <c r="AP5" s="196">
        <v>5</v>
      </c>
      <c r="AQ5" s="204">
        <v>2</v>
      </c>
      <c r="AR5" s="261">
        <v>1</v>
      </c>
      <c r="AS5" s="261">
        <v>1</v>
      </c>
      <c r="AT5" s="186">
        <v>0</v>
      </c>
      <c r="AU5" s="187">
        <v>0</v>
      </c>
      <c r="AV5" s="196" t="s">
        <v>136</v>
      </c>
      <c r="AW5" s="197">
        <v>4</v>
      </c>
      <c r="AX5" s="198">
        <v>3</v>
      </c>
      <c r="AY5" s="196">
        <v>2</v>
      </c>
      <c r="AZ5" s="197">
        <v>2</v>
      </c>
      <c r="BA5" s="198">
        <v>3</v>
      </c>
      <c r="BB5" s="198">
        <v>2</v>
      </c>
      <c r="BC5" s="199">
        <v>2</v>
      </c>
      <c r="BD5" s="196">
        <v>1</v>
      </c>
      <c r="BE5" s="200">
        <v>3</v>
      </c>
      <c r="BF5" s="201">
        <v>2</v>
      </c>
      <c r="BG5" s="199">
        <v>2</v>
      </c>
      <c r="BH5" s="188"/>
      <c r="BM5" t="s">
        <v>6854</v>
      </c>
      <c r="BN5" s="168" t="s">
        <v>6901</v>
      </c>
      <c r="BO5" s="168" t="s">
        <v>6902</v>
      </c>
      <c r="BP5" s="168" t="s">
        <v>6903</v>
      </c>
      <c r="BQ5" s="168" t="s">
        <v>6904</v>
      </c>
      <c r="BR5" s="168" t="s">
        <v>6905</v>
      </c>
      <c r="BS5" s="168" t="s">
        <v>6898</v>
      </c>
      <c r="BT5" s="168" t="s">
        <v>6899</v>
      </c>
      <c r="BU5" s="168" t="s">
        <v>6900</v>
      </c>
    </row>
    <row r="6" spans="1:74" x14ac:dyDescent="0.25">
      <c r="A6" s="169">
        <v>3</v>
      </c>
      <c r="B6" s="171">
        <v>900</v>
      </c>
      <c r="C6" s="349">
        <v>2</v>
      </c>
      <c r="D6" s="202">
        <v>2</v>
      </c>
      <c r="E6" s="198">
        <v>4</v>
      </c>
      <c r="F6" s="198">
        <v>2</v>
      </c>
      <c r="G6" s="187">
        <v>0</v>
      </c>
      <c r="H6" s="187">
        <v>0</v>
      </c>
      <c r="I6" s="187">
        <v>0</v>
      </c>
      <c r="J6" s="187">
        <v>0</v>
      </c>
      <c r="K6" s="187">
        <v>0</v>
      </c>
      <c r="L6" s="187">
        <v>0</v>
      </c>
      <c r="M6" s="183">
        <v>0</v>
      </c>
      <c r="N6" s="197">
        <v>1</v>
      </c>
      <c r="O6" s="198">
        <v>3</v>
      </c>
      <c r="P6" s="187">
        <v>0</v>
      </c>
      <c r="Q6" s="187">
        <v>0</v>
      </c>
      <c r="R6" s="187">
        <v>0</v>
      </c>
      <c r="S6" s="183">
        <v>0</v>
      </c>
      <c r="T6" s="202">
        <v>1</v>
      </c>
      <c r="U6" s="198">
        <v>2</v>
      </c>
      <c r="V6" s="187">
        <v>0</v>
      </c>
      <c r="W6" s="187">
        <v>0</v>
      </c>
      <c r="X6" s="183">
        <v>0</v>
      </c>
      <c r="Y6" s="197">
        <v>2</v>
      </c>
      <c r="Z6" s="198">
        <v>6</v>
      </c>
      <c r="AA6" s="199">
        <v>1</v>
      </c>
      <c r="AB6" s="199" t="s">
        <v>136</v>
      </c>
      <c r="AC6" s="196" t="s">
        <v>136</v>
      </c>
      <c r="AD6" s="202">
        <v>3</v>
      </c>
      <c r="AE6" s="196">
        <v>1</v>
      </c>
      <c r="AF6" s="202">
        <v>2</v>
      </c>
      <c r="AG6" s="203" t="s">
        <v>2315</v>
      </c>
      <c r="AH6" s="199">
        <v>1</v>
      </c>
      <c r="AI6" s="196" t="s">
        <v>2316</v>
      </c>
      <c r="AJ6" s="202">
        <v>2</v>
      </c>
      <c r="AK6" s="205">
        <v>3</v>
      </c>
      <c r="AL6" s="201">
        <v>3</v>
      </c>
      <c r="AM6" s="199" t="s">
        <v>120</v>
      </c>
      <c r="AN6" s="196" t="s">
        <v>2323</v>
      </c>
      <c r="AO6" s="201">
        <v>1</v>
      </c>
      <c r="AP6" s="196">
        <v>5</v>
      </c>
      <c r="AQ6" s="204">
        <v>3</v>
      </c>
      <c r="AR6" s="261">
        <v>1</v>
      </c>
      <c r="AS6" s="261">
        <v>1</v>
      </c>
      <c r="AT6" s="197">
        <v>3</v>
      </c>
      <c r="AU6" s="198">
        <v>3</v>
      </c>
      <c r="AV6" s="196" t="s">
        <v>133</v>
      </c>
      <c r="AW6" s="197">
        <v>4</v>
      </c>
      <c r="AX6" s="198">
        <v>4</v>
      </c>
      <c r="AY6" s="196">
        <v>3</v>
      </c>
      <c r="AZ6" s="197">
        <v>2</v>
      </c>
      <c r="BA6" s="198">
        <v>4</v>
      </c>
      <c r="BB6" s="198">
        <v>2</v>
      </c>
      <c r="BC6" s="199">
        <v>2</v>
      </c>
      <c r="BD6" s="196">
        <v>2</v>
      </c>
      <c r="BE6" s="200">
        <v>3</v>
      </c>
      <c r="BF6" s="201">
        <v>3</v>
      </c>
      <c r="BG6" s="199">
        <v>2</v>
      </c>
      <c r="BH6" s="188"/>
      <c r="BM6" t="s">
        <v>6855</v>
      </c>
      <c r="BN6" s="168" t="s">
        <v>1439</v>
      </c>
      <c r="BO6" s="168" t="s">
        <v>6909</v>
      </c>
      <c r="BP6" s="168" t="s">
        <v>6910</v>
      </c>
      <c r="BQ6" s="168" t="s">
        <v>6911</v>
      </c>
      <c r="BR6" s="168" t="s">
        <v>6912</v>
      </c>
      <c r="BS6" s="168" t="s">
        <v>6906</v>
      </c>
      <c r="BT6" s="168" t="s">
        <v>6907</v>
      </c>
      <c r="BU6" s="168" t="s">
        <v>6908</v>
      </c>
    </row>
    <row r="7" spans="1:74" x14ac:dyDescent="0.25">
      <c r="A7" s="169">
        <v>4</v>
      </c>
      <c r="B7" s="171">
        <v>2700</v>
      </c>
      <c r="C7" s="349">
        <v>2</v>
      </c>
      <c r="D7" s="202">
        <v>2</v>
      </c>
      <c r="E7" s="198">
        <v>4</v>
      </c>
      <c r="F7" s="198">
        <v>3</v>
      </c>
      <c r="G7" s="187">
        <v>0</v>
      </c>
      <c r="H7" s="187">
        <v>0</v>
      </c>
      <c r="I7" s="187">
        <v>0</v>
      </c>
      <c r="J7" s="187">
        <v>0</v>
      </c>
      <c r="K7" s="187">
        <v>0</v>
      </c>
      <c r="L7" s="187">
        <v>0</v>
      </c>
      <c r="M7" s="183">
        <v>0</v>
      </c>
      <c r="N7" s="197">
        <v>1</v>
      </c>
      <c r="O7" s="198">
        <v>3</v>
      </c>
      <c r="P7" s="187">
        <v>0</v>
      </c>
      <c r="Q7" s="187">
        <v>0</v>
      </c>
      <c r="R7" s="187">
        <v>0</v>
      </c>
      <c r="S7" s="183">
        <v>0</v>
      </c>
      <c r="T7" s="202">
        <v>1</v>
      </c>
      <c r="U7" s="198">
        <v>3</v>
      </c>
      <c r="V7" s="187">
        <v>0</v>
      </c>
      <c r="W7" s="187">
        <v>0</v>
      </c>
      <c r="X7" s="183">
        <v>0</v>
      </c>
      <c r="Y7" s="197">
        <v>3</v>
      </c>
      <c r="Z7" s="198">
        <v>7</v>
      </c>
      <c r="AA7" s="199">
        <v>1</v>
      </c>
      <c r="AB7" s="199" t="s">
        <v>136</v>
      </c>
      <c r="AC7" s="196" t="s">
        <v>136</v>
      </c>
      <c r="AD7" s="202">
        <v>4</v>
      </c>
      <c r="AE7" s="196">
        <v>1</v>
      </c>
      <c r="AF7" s="202">
        <v>3</v>
      </c>
      <c r="AG7" s="203" t="s">
        <v>2317</v>
      </c>
      <c r="AH7" s="199">
        <v>1</v>
      </c>
      <c r="AI7" s="196" t="s">
        <v>2318</v>
      </c>
      <c r="AJ7" s="202">
        <v>2</v>
      </c>
      <c r="AK7" s="205">
        <v>4</v>
      </c>
      <c r="AL7" s="201">
        <v>4</v>
      </c>
      <c r="AM7" s="199" t="s">
        <v>120</v>
      </c>
      <c r="AN7" s="196" t="s">
        <v>2323</v>
      </c>
      <c r="AO7" s="201">
        <v>1</v>
      </c>
      <c r="AP7" s="196">
        <v>5</v>
      </c>
      <c r="AQ7" s="204">
        <v>3</v>
      </c>
      <c r="AR7" s="261">
        <v>1</v>
      </c>
      <c r="AS7" s="261">
        <v>1</v>
      </c>
      <c r="AT7" s="197">
        <v>3</v>
      </c>
      <c r="AU7" s="198">
        <v>4</v>
      </c>
      <c r="AV7" s="196" t="s">
        <v>133</v>
      </c>
      <c r="AW7" s="197">
        <v>5</v>
      </c>
      <c r="AX7" s="198">
        <v>5</v>
      </c>
      <c r="AY7" s="196">
        <v>4</v>
      </c>
      <c r="AZ7" s="197">
        <v>3</v>
      </c>
      <c r="BA7" s="198">
        <v>5</v>
      </c>
      <c r="BB7" s="198">
        <v>2</v>
      </c>
      <c r="BC7" s="199">
        <v>2</v>
      </c>
      <c r="BD7" s="196">
        <v>2</v>
      </c>
      <c r="BE7" s="200">
        <v>4</v>
      </c>
      <c r="BF7" s="201">
        <v>3</v>
      </c>
      <c r="BG7" s="199">
        <v>2</v>
      </c>
      <c r="BH7" s="188"/>
      <c r="BM7" t="s">
        <v>6856</v>
      </c>
      <c r="BN7" s="168" t="s">
        <v>6893</v>
      </c>
      <c r="BO7" s="168" t="s">
        <v>6894</v>
      </c>
      <c r="BP7" s="168" t="s">
        <v>6895</v>
      </c>
      <c r="BQ7" s="168" t="s">
        <v>6896</v>
      </c>
      <c r="BR7" s="168" t="s">
        <v>6897</v>
      </c>
      <c r="BS7" s="168" t="s">
        <v>6890</v>
      </c>
      <c r="BT7" s="168" t="s">
        <v>6892</v>
      </c>
      <c r="BU7" s="168" t="s">
        <v>6891</v>
      </c>
    </row>
    <row r="8" spans="1:74" x14ac:dyDescent="0.25">
      <c r="A8" s="169">
        <v>5</v>
      </c>
      <c r="B8" s="171">
        <v>6500</v>
      </c>
      <c r="C8" s="349">
        <v>3</v>
      </c>
      <c r="D8" s="202">
        <v>3</v>
      </c>
      <c r="E8" s="198">
        <v>4</v>
      </c>
      <c r="F8" s="198">
        <v>3</v>
      </c>
      <c r="G8" s="198">
        <v>2</v>
      </c>
      <c r="H8" s="187">
        <v>0</v>
      </c>
      <c r="I8" s="187">
        <v>0</v>
      </c>
      <c r="J8" s="187">
        <v>0</v>
      </c>
      <c r="K8" s="187">
        <v>0</v>
      </c>
      <c r="L8" s="187">
        <v>0</v>
      </c>
      <c r="M8" s="183">
        <v>0</v>
      </c>
      <c r="N8" s="197">
        <v>2</v>
      </c>
      <c r="O8" s="198">
        <v>4</v>
      </c>
      <c r="P8" s="198">
        <v>2</v>
      </c>
      <c r="Q8" s="187">
        <v>0</v>
      </c>
      <c r="R8" s="187">
        <v>0</v>
      </c>
      <c r="S8" s="183">
        <v>0</v>
      </c>
      <c r="T8" s="202">
        <v>1</v>
      </c>
      <c r="U8" s="198">
        <v>3</v>
      </c>
      <c r="V8" s="187">
        <v>0</v>
      </c>
      <c r="W8" s="187">
        <v>0</v>
      </c>
      <c r="X8" s="183">
        <v>0</v>
      </c>
      <c r="Y8" s="197">
        <v>3</v>
      </c>
      <c r="Z8" s="198">
        <v>8</v>
      </c>
      <c r="AA8" s="199">
        <v>1</v>
      </c>
      <c r="AB8" s="199" t="s">
        <v>126</v>
      </c>
      <c r="AC8" s="196" t="s">
        <v>136</v>
      </c>
      <c r="AD8" s="202">
        <v>4</v>
      </c>
      <c r="AE8" s="196">
        <v>1</v>
      </c>
      <c r="AF8" s="202">
        <v>3</v>
      </c>
      <c r="AG8" s="203" t="s">
        <v>2317</v>
      </c>
      <c r="AH8" s="199">
        <v>1</v>
      </c>
      <c r="AI8" s="196" t="s">
        <v>2318</v>
      </c>
      <c r="AJ8" s="202">
        <v>2</v>
      </c>
      <c r="AK8" s="205">
        <v>4</v>
      </c>
      <c r="AL8" s="201">
        <v>5</v>
      </c>
      <c r="AM8" s="199" t="s">
        <v>136</v>
      </c>
      <c r="AN8" s="196" t="s">
        <v>2323</v>
      </c>
      <c r="AO8" s="201">
        <v>1</v>
      </c>
      <c r="AP8" s="196">
        <v>5</v>
      </c>
      <c r="AQ8" s="204">
        <v>4</v>
      </c>
      <c r="AR8" s="261">
        <v>1</v>
      </c>
      <c r="AS8" s="261">
        <v>1</v>
      </c>
      <c r="AT8" s="197">
        <v>3</v>
      </c>
      <c r="AU8" s="198">
        <v>4</v>
      </c>
      <c r="AV8" s="196" t="s">
        <v>2328</v>
      </c>
      <c r="AW8" s="197">
        <v>5</v>
      </c>
      <c r="AX8" s="198">
        <v>6</v>
      </c>
      <c r="AY8" s="196">
        <v>5</v>
      </c>
      <c r="AZ8" s="197">
        <v>3</v>
      </c>
      <c r="BA8" s="198">
        <v>6</v>
      </c>
      <c r="BB8" s="198">
        <v>2</v>
      </c>
      <c r="BC8" s="199">
        <v>3</v>
      </c>
      <c r="BD8" s="196">
        <v>3</v>
      </c>
      <c r="BE8" s="200">
        <v>4</v>
      </c>
      <c r="BF8" s="201">
        <v>3</v>
      </c>
      <c r="BG8" s="199">
        <v>2</v>
      </c>
      <c r="BH8" s="188"/>
    </row>
    <row r="9" spans="1:74" x14ac:dyDescent="0.25">
      <c r="A9" s="169">
        <v>6</v>
      </c>
      <c r="B9" s="171">
        <v>14000</v>
      </c>
      <c r="C9" s="349">
        <v>3</v>
      </c>
      <c r="D9" s="202">
        <v>3</v>
      </c>
      <c r="E9" s="198">
        <v>4</v>
      </c>
      <c r="F9" s="198">
        <v>3</v>
      </c>
      <c r="G9" s="198">
        <v>3</v>
      </c>
      <c r="H9" s="187">
        <v>0</v>
      </c>
      <c r="I9" s="187">
        <v>0</v>
      </c>
      <c r="J9" s="187">
        <v>0</v>
      </c>
      <c r="K9" s="187">
        <v>0</v>
      </c>
      <c r="L9" s="187">
        <v>0</v>
      </c>
      <c r="M9" s="183">
        <v>0</v>
      </c>
      <c r="N9" s="197">
        <v>2</v>
      </c>
      <c r="O9" s="198">
        <v>4</v>
      </c>
      <c r="P9" s="198">
        <v>2</v>
      </c>
      <c r="Q9" s="187">
        <v>0</v>
      </c>
      <c r="R9" s="187">
        <v>0</v>
      </c>
      <c r="S9" s="183">
        <v>0</v>
      </c>
      <c r="T9" s="202">
        <v>1</v>
      </c>
      <c r="U9" s="198">
        <v>3</v>
      </c>
      <c r="V9" s="187">
        <v>0</v>
      </c>
      <c r="W9" s="187">
        <v>0</v>
      </c>
      <c r="X9" s="183">
        <v>0</v>
      </c>
      <c r="Y9" s="197">
        <v>3</v>
      </c>
      <c r="Z9" s="198">
        <v>9</v>
      </c>
      <c r="AA9" s="199">
        <v>1</v>
      </c>
      <c r="AB9" s="199" t="s">
        <v>126</v>
      </c>
      <c r="AC9" s="196" t="s">
        <v>136</v>
      </c>
      <c r="AD9" s="202">
        <v>4</v>
      </c>
      <c r="AE9" s="196">
        <v>2</v>
      </c>
      <c r="AF9" s="202">
        <v>3</v>
      </c>
      <c r="AG9" s="203" t="s">
        <v>2317</v>
      </c>
      <c r="AH9" s="199">
        <v>0</v>
      </c>
      <c r="AI9" s="196" t="s">
        <v>2318</v>
      </c>
      <c r="AJ9" s="202">
        <v>2</v>
      </c>
      <c r="AK9" s="205">
        <v>4</v>
      </c>
      <c r="AL9" s="201">
        <v>6</v>
      </c>
      <c r="AM9" s="199" t="s">
        <v>136</v>
      </c>
      <c r="AN9" s="196" t="s">
        <v>2324</v>
      </c>
      <c r="AO9" s="201">
        <v>1</v>
      </c>
      <c r="AP9" s="196">
        <v>5</v>
      </c>
      <c r="AQ9" s="204">
        <v>4</v>
      </c>
      <c r="AR9" s="261">
        <v>2</v>
      </c>
      <c r="AS9" s="261">
        <v>2</v>
      </c>
      <c r="AT9" s="197">
        <v>3</v>
      </c>
      <c r="AU9" s="198">
        <v>4</v>
      </c>
      <c r="AV9" s="196" t="s">
        <v>2328</v>
      </c>
      <c r="AW9" s="197">
        <v>5</v>
      </c>
      <c r="AX9" s="198">
        <v>7</v>
      </c>
      <c r="AY9" s="196">
        <v>6</v>
      </c>
      <c r="AZ9" s="197">
        <v>3</v>
      </c>
      <c r="BA9" s="198">
        <v>7</v>
      </c>
      <c r="BB9" s="198">
        <v>2</v>
      </c>
      <c r="BC9" s="199">
        <v>3</v>
      </c>
      <c r="BD9" s="196">
        <v>3</v>
      </c>
      <c r="BE9" s="200">
        <v>4</v>
      </c>
      <c r="BF9" s="201">
        <v>4</v>
      </c>
      <c r="BG9" s="199">
        <v>2</v>
      </c>
      <c r="BH9" s="188"/>
    </row>
    <row r="10" spans="1:74" x14ac:dyDescent="0.25">
      <c r="A10" s="169">
        <v>7</v>
      </c>
      <c r="B10" s="171">
        <v>23000</v>
      </c>
      <c r="C10" s="349">
        <v>3</v>
      </c>
      <c r="D10" s="202">
        <v>4</v>
      </c>
      <c r="E10" s="198">
        <v>4</v>
      </c>
      <c r="F10" s="198">
        <v>3</v>
      </c>
      <c r="G10" s="198">
        <v>3</v>
      </c>
      <c r="H10" s="198">
        <v>1</v>
      </c>
      <c r="I10" s="187">
        <v>0</v>
      </c>
      <c r="J10" s="187">
        <v>0</v>
      </c>
      <c r="K10" s="187">
        <v>0</v>
      </c>
      <c r="L10" s="187">
        <v>0</v>
      </c>
      <c r="M10" s="183">
        <v>0</v>
      </c>
      <c r="N10" s="197">
        <v>2</v>
      </c>
      <c r="O10" s="198">
        <v>4</v>
      </c>
      <c r="P10" s="198">
        <v>3</v>
      </c>
      <c r="Q10" s="187">
        <v>0</v>
      </c>
      <c r="R10" s="187">
        <v>0</v>
      </c>
      <c r="S10" s="183">
        <v>0</v>
      </c>
      <c r="T10" s="202">
        <v>2</v>
      </c>
      <c r="U10" s="198">
        <v>4</v>
      </c>
      <c r="V10" s="198">
        <v>2</v>
      </c>
      <c r="W10" s="187">
        <v>0</v>
      </c>
      <c r="X10" s="183">
        <v>0</v>
      </c>
      <c r="Y10" s="197">
        <v>3</v>
      </c>
      <c r="Z10" s="198">
        <v>10</v>
      </c>
      <c r="AA10" s="199">
        <v>1</v>
      </c>
      <c r="AB10" s="199" t="s">
        <v>126</v>
      </c>
      <c r="AC10" s="196" t="s">
        <v>136</v>
      </c>
      <c r="AD10" s="202">
        <v>4</v>
      </c>
      <c r="AE10" s="196">
        <v>2</v>
      </c>
      <c r="AF10" s="202">
        <v>3</v>
      </c>
      <c r="AG10" s="203" t="s">
        <v>2317</v>
      </c>
      <c r="AH10" s="199">
        <v>0</v>
      </c>
      <c r="AI10" s="196" t="s">
        <v>2318</v>
      </c>
      <c r="AJ10" s="202">
        <v>2</v>
      </c>
      <c r="AK10" s="205">
        <v>5</v>
      </c>
      <c r="AL10" s="201">
        <v>7</v>
      </c>
      <c r="AM10" s="199" t="s">
        <v>136</v>
      </c>
      <c r="AN10" s="196" t="s">
        <v>2324</v>
      </c>
      <c r="AO10" s="201">
        <v>1</v>
      </c>
      <c r="AP10" s="196">
        <v>5</v>
      </c>
      <c r="AQ10" s="204">
        <v>5</v>
      </c>
      <c r="AR10" s="261">
        <v>2</v>
      </c>
      <c r="AS10" s="261">
        <v>2</v>
      </c>
      <c r="AT10" s="197">
        <v>3</v>
      </c>
      <c r="AU10" s="198">
        <v>5</v>
      </c>
      <c r="AV10" s="196" t="s">
        <v>2329</v>
      </c>
      <c r="AW10" s="197">
        <v>5</v>
      </c>
      <c r="AX10" s="198">
        <v>8</v>
      </c>
      <c r="AY10" s="196">
        <v>7</v>
      </c>
      <c r="AZ10" s="197">
        <v>3</v>
      </c>
      <c r="BA10" s="198">
        <v>8</v>
      </c>
      <c r="BB10" s="198">
        <v>2</v>
      </c>
      <c r="BC10" s="199">
        <v>4</v>
      </c>
      <c r="BD10" s="196">
        <v>4</v>
      </c>
      <c r="BE10" s="200">
        <v>4</v>
      </c>
      <c r="BF10" s="201">
        <v>4</v>
      </c>
      <c r="BG10" s="199">
        <v>2</v>
      </c>
      <c r="BH10" s="188"/>
    </row>
    <row r="11" spans="1:74" x14ac:dyDescent="0.25">
      <c r="A11" s="169">
        <v>8</v>
      </c>
      <c r="B11" s="171">
        <v>34000</v>
      </c>
      <c r="C11" s="349">
        <v>3</v>
      </c>
      <c r="D11" s="202">
        <v>4</v>
      </c>
      <c r="E11" s="198">
        <v>4</v>
      </c>
      <c r="F11" s="198">
        <v>3</v>
      </c>
      <c r="G11" s="198">
        <v>3</v>
      </c>
      <c r="H11" s="198">
        <v>2</v>
      </c>
      <c r="I11" s="187">
        <v>0</v>
      </c>
      <c r="J11" s="187">
        <v>0</v>
      </c>
      <c r="K11" s="187">
        <v>0</v>
      </c>
      <c r="L11" s="187">
        <v>0</v>
      </c>
      <c r="M11" s="183">
        <v>0</v>
      </c>
      <c r="N11" s="197">
        <v>2</v>
      </c>
      <c r="O11" s="198">
        <v>4</v>
      </c>
      <c r="P11" s="198">
        <v>3</v>
      </c>
      <c r="Q11" s="187">
        <v>0</v>
      </c>
      <c r="R11" s="187">
        <v>0</v>
      </c>
      <c r="S11" s="183">
        <v>0</v>
      </c>
      <c r="T11" s="202">
        <v>2</v>
      </c>
      <c r="U11" s="198">
        <v>4</v>
      </c>
      <c r="V11" s="198">
        <v>2</v>
      </c>
      <c r="W11" s="187">
        <v>0</v>
      </c>
      <c r="X11" s="183">
        <v>0</v>
      </c>
      <c r="Y11" s="197">
        <v>3</v>
      </c>
      <c r="Z11" s="198">
        <v>11</v>
      </c>
      <c r="AA11" s="199">
        <v>1</v>
      </c>
      <c r="AB11" s="199" t="s">
        <v>126</v>
      </c>
      <c r="AC11" s="196" t="s">
        <v>136</v>
      </c>
      <c r="AD11" s="202">
        <v>4</v>
      </c>
      <c r="AE11" s="196">
        <v>2</v>
      </c>
      <c r="AF11" s="202">
        <v>3</v>
      </c>
      <c r="AG11" s="199">
        <v>1</v>
      </c>
      <c r="AH11" s="199">
        <v>0</v>
      </c>
      <c r="AI11" s="196" t="s">
        <v>1114</v>
      </c>
      <c r="AJ11" s="202">
        <v>2</v>
      </c>
      <c r="AK11" s="205">
        <v>6</v>
      </c>
      <c r="AL11" s="201">
        <v>8</v>
      </c>
      <c r="AM11" s="199" t="s">
        <v>136</v>
      </c>
      <c r="AN11" s="196" t="s">
        <v>2324</v>
      </c>
      <c r="AO11" s="201">
        <v>1</v>
      </c>
      <c r="AP11" s="196">
        <v>5</v>
      </c>
      <c r="AQ11" s="204">
        <v>5</v>
      </c>
      <c r="AR11" s="261">
        <v>2</v>
      </c>
      <c r="AS11" s="261">
        <v>2</v>
      </c>
      <c r="AT11" s="197">
        <v>3</v>
      </c>
      <c r="AU11" s="198">
        <v>6</v>
      </c>
      <c r="AV11" s="196" t="s">
        <v>2329</v>
      </c>
      <c r="AW11" s="197">
        <v>5</v>
      </c>
      <c r="AX11" s="198">
        <v>9</v>
      </c>
      <c r="AY11" s="196">
        <v>8</v>
      </c>
      <c r="AZ11" s="197">
        <v>3</v>
      </c>
      <c r="BA11" s="198">
        <v>9</v>
      </c>
      <c r="BB11" s="198">
        <v>2</v>
      </c>
      <c r="BC11" s="199">
        <v>4</v>
      </c>
      <c r="BD11" s="196">
        <v>4</v>
      </c>
      <c r="BE11" s="200">
        <v>4</v>
      </c>
      <c r="BF11" s="201">
        <v>4</v>
      </c>
      <c r="BG11" s="199">
        <v>2</v>
      </c>
      <c r="BH11" s="188"/>
    </row>
    <row r="12" spans="1:74" x14ac:dyDescent="0.25">
      <c r="A12" s="169">
        <v>9</v>
      </c>
      <c r="B12" s="171">
        <v>48000</v>
      </c>
      <c r="C12" s="349">
        <v>4</v>
      </c>
      <c r="D12" s="202">
        <v>5</v>
      </c>
      <c r="E12" s="198">
        <v>4</v>
      </c>
      <c r="F12" s="198">
        <v>3</v>
      </c>
      <c r="G12" s="198">
        <v>3</v>
      </c>
      <c r="H12" s="198">
        <v>3</v>
      </c>
      <c r="I12" s="198">
        <v>1</v>
      </c>
      <c r="J12" s="187">
        <v>0</v>
      </c>
      <c r="K12" s="187">
        <v>0</v>
      </c>
      <c r="L12" s="187">
        <v>0</v>
      </c>
      <c r="M12" s="183">
        <v>0</v>
      </c>
      <c r="N12" s="197">
        <v>3</v>
      </c>
      <c r="O12" s="198">
        <v>4</v>
      </c>
      <c r="P12" s="198">
        <v>3</v>
      </c>
      <c r="Q12" s="198">
        <v>2</v>
      </c>
      <c r="R12" s="187">
        <v>0</v>
      </c>
      <c r="S12" s="183">
        <v>0</v>
      </c>
      <c r="T12" s="202">
        <v>2</v>
      </c>
      <c r="U12" s="198">
        <v>4</v>
      </c>
      <c r="V12" s="198">
        <v>2</v>
      </c>
      <c r="W12" s="187">
        <v>0</v>
      </c>
      <c r="X12" s="183">
        <v>0</v>
      </c>
      <c r="Y12" s="197">
        <v>3</v>
      </c>
      <c r="Z12" s="198">
        <v>12</v>
      </c>
      <c r="AA12" s="199">
        <v>1</v>
      </c>
      <c r="AB12" s="199" t="s">
        <v>126</v>
      </c>
      <c r="AC12" s="196" t="s">
        <v>126</v>
      </c>
      <c r="AD12" s="202">
        <v>4</v>
      </c>
      <c r="AE12" s="196">
        <v>2</v>
      </c>
      <c r="AF12" s="202">
        <v>3</v>
      </c>
      <c r="AG12" s="199">
        <v>1</v>
      </c>
      <c r="AH12" s="199">
        <v>0</v>
      </c>
      <c r="AI12" s="196" t="s">
        <v>1114</v>
      </c>
      <c r="AJ12" s="202">
        <v>2</v>
      </c>
      <c r="AK12" s="205">
        <v>6</v>
      </c>
      <c r="AL12" s="201">
        <v>9</v>
      </c>
      <c r="AM12" s="199" t="s">
        <v>136</v>
      </c>
      <c r="AN12" s="196" t="s">
        <v>2324</v>
      </c>
      <c r="AO12" s="201">
        <v>1</v>
      </c>
      <c r="AP12" s="196">
        <v>5</v>
      </c>
      <c r="AQ12" s="204">
        <v>6</v>
      </c>
      <c r="AR12" s="261">
        <v>2</v>
      </c>
      <c r="AS12" s="261">
        <v>2</v>
      </c>
      <c r="AT12" s="197">
        <v>3</v>
      </c>
      <c r="AU12" s="198">
        <v>6</v>
      </c>
      <c r="AV12" s="196" t="s">
        <v>2330</v>
      </c>
      <c r="AW12" s="197">
        <v>5</v>
      </c>
      <c r="AX12" s="198">
        <v>10</v>
      </c>
      <c r="AY12" s="196">
        <v>9</v>
      </c>
      <c r="AZ12" s="197">
        <v>3</v>
      </c>
      <c r="BA12" s="198">
        <v>10</v>
      </c>
      <c r="BB12" s="198">
        <v>2</v>
      </c>
      <c r="BC12" s="199">
        <v>5</v>
      </c>
      <c r="BD12" s="196">
        <v>5</v>
      </c>
      <c r="BE12" s="200">
        <v>4</v>
      </c>
      <c r="BF12" s="201">
        <v>4</v>
      </c>
      <c r="BG12" s="199">
        <v>3</v>
      </c>
      <c r="BH12" s="206" t="s">
        <v>2342</v>
      </c>
    </row>
    <row r="13" spans="1:74" x14ac:dyDescent="0.25">
      <c r="A13" s="169">
        <v>10</v>
      </c>
      <c r="B13" s="171">
        <v>64000</v>
      </c>
      <c r="C13" s="349">
        <v>4</v>
      </c>
      <c r="D13" s="202">
        <v>5</v>
      </c>
      <c r="E13" s="198">
        <v>4</v>
      </c>
      <c r="F13" s="198">
        <v>3</v>
      </c>
      <c r="G13" s="198">
        <v>3</v>
      </c>
      <c r="H13" s="198">
        <v>3</v>
      </c>
      <c r="I13" s="198">
        <v>2</v>
      </c>
      <c r="J13" s="187">
        <v>0</v>
      </c>
      <c r="K13" s="187">
        <v>0</v>
      </c>
      <c r="L13" s="187">
        <v>0</v>
      </c>
      <c r="M13" s="183">
        <v>0</v>
      </c>
      <c r="N13" s="197">
        <v>3</v>
      </c>
      <c r="O13" s="198">
        <v>4</v>
      </c>
      <c r="P13" s="198">
        <v>3</v>
      </c>
      <c r="Q13" s="198">
        <v>2</v>
      </c>
      <c r="R13" s="187">
        <v>0</v>
      </c>
      <c r="S13" s="183">
        <v>0</v>
      </c>
      <c r="T13" s="202">
        <v>2</v>
      </c>
      <c r="U13" s="198">
        <v>4</v>
      </c>
      <c r="V13" s="198">
        <v>3</v>
      </c>
      <c r="W13" s="187">
        <v>0</v>
      </c>
      <c r="X13" s="183">
        <v>0</v>
      </c>
      <c r="Y13" s="197">
        <v>4</v>
      </c>
      <c r="Z13" s="198">
        <v>14</v>
      </c>
      <c r="AA13" s="199">
        <v>1</v>
      </c>
      <c r="AB13" s="199" t="s">
        <v>128</v>
      </c>
      <c r="AC13" s="196" t="s">
        <v>126</v>
      </c>
      <c r="AD13" s="202">
        <v>5</v>
      </c>
      <c r="AE13" s="196">
        <v>2</v>
      </c>
      <c r="AF13" s="202">
        <v>4</v>
      </c>
      <c r="AG13" s="199">
        <v>1</v>
      </c>
      <c r="AH13" s="199">
        <v>0</v>
      </c>
      <c r="AI13" s="196" t="s">
        <v>1114</v>
      </c>
      <c r="AJ13" s="202">
        <v>3</v>
      </c>
      <c r="AK13" s="205">
        <v>7</v>
      </c>
      <c r="AL13" s="201">
        <v>10</v>
      </c>
      <c r="AM13" s="199" t="s">
        <v>136</v>
      </c>
      <c r="AN13" s="196" t="s">
        <v>2325</v>
      </c>
      <c r="AO13" s="201">
        <v>1</v>
      </c>
      <c r="AP13" s="196">
        <v>5</v>
      </c>
      <c r="AQ13" s="204">
        <v>6</v>
      </c>
      <c r="AR13" s="261">
        <v>2</v>
      </c>
      <c r="AS13" s="261">
        <v>3</v>
      </c>
      <c r="AT13" s="197">
        <v>4</v>
      </c>
      <c r="AU13" s="198">
        <v>7</v>
      </c>
      <c r="AV13" s="196" t="s">
        <v>2330</v>
      </c>
      <c r="AW13" s="197">
        <v>6</v>
      </c>
      <c r="AX13" s="198">
        <v>11</v>
      </c>
      <c r="AY13" s="196">
        <v>10</v>
      </c>
      <c r="AZ13" s="197">
        <v>4</v>
      </c>
      <c r="BA13" s="198">
        <v>10</v>
      </c>
      <c r="BB13" s="198">
        <v>2</v>
      </c>
      <c r="BC13" s="199">
        <v>5</v>
      </c>
      <c r="BD13" s="196">
        <v>5</v>
      </c>
      <c r="BE13" s="200">
        <v>5</v>
      </c>
      <c r="BF13" s="201">
        <v>4</v>
      </c>
      <c r="BG13" s="199">
        <v>3</v>
      </c>
      <c r="BH13" s="206" t="s">
        <v>2342</v>
      </c>
    </row>
    <row r="14" spans="1:74" x14ac:dyDescent="0.25">
      <c r="A14" s="169">
        <v>11</v>
      </c>
      <c r="B14" s="171">
        <v>85000</v>
      </c>
      <c r="C14" s="349">
        <v>4</v>
      </c>
      <c r="D14" s="202">
        <v>6</v>
      </c>
      <c r="E14" s="198">
        <v>4</v>
      </c>
      <c r="F14" s="198">
        <v>3</v>
      </c>
      <c r="G14" s="198">
        <v>3</v>
      </c>
      <c r="H14" s="198">
        <v>3</v>
      </c>
      <c r="I14" s="198">
        <v>2</v>
      </c>
      <c r="J14" s="198">
        <v>1</v>
      </c>
      <c r="K14" s="187">
        <v>0</v>
      </c>
      <c r="L14" s="187">
        <v>0</v>
      </c>
      <c r="M14" s="183">
        <v>0</v>
      </c>
      <c r="N14" s="197">
        <v>3</v>
      </c>
      <c r="O14" s="198">
        <v>4</v>
      </c>
      <c r="P14" s="198">
        <v>3</v>
      </c>
      <c r="Q14" s="198">
        <v>3</v>
      </c>
      <c r="R14" s="187">
        <v>0</v>
      </c>
      <c r="S14" s="183">
        <v>0</v>
      </c>
      <c r="T14" s="202">
        <v>2</v>
      </c>
      <c r="U14" s="198">
        <v>4</v>
      </c>
      <c r="V14" s="198">
        <v>3</v>
      </c>
      <c r="W14" s="187">
        <v>0</v>
      </c>
      <c r="X14" s="183">
        <v>0</v>
      </c>
      <c r="Y14" s="197">
        <v>4</v>
      </c>
      <c r="Z14" s="198">
        <v>15</v>
      </c>
      <c r="AA14" s="199">
        <v>1</v>
      </c>
      <c r="AB14" s="199" t="s">
        <v>128</v>
      </c>
      <c r="AC14" s="196" t="s">
        <v>126</v>
      </c>
      <c r="AD14" s="202">
        <v>5</v>
      </c>
      <c r="AE14" s="196">
        <v>2</v>
      </c>
      <c r="AF14" s="202">
        <v>4</v>
      </c>
      <c r="AG14" s="199">
        <v>1</v>
      </c>
      <c r="AH14" s="199">
        <v>0</v>
      </c>
      <c r="AI14" s="196" t="s">
        <v>1114</v>
      </c>
      <c r="AJ14" s="202">
        <v>3</v>
      </c>
      <c r="AK14" s="205">
        <v>8</v>
      </c>
      <c r="AL14" s="201">
        <v>11</v>
      </c>
      <c r="AM14" s="199" t="s">
        <v>126</v>
      </c>
      <c r="AN14" s="196" t="s">
        <v>2325</v>
      </c>
      <c r="AO14" s="201">
        <v>1</v>
      </c>
      <c r="AP14" s="196">
        <v>5</v>
      </c>
      <c r="AQ14" s="204">
        <v>7</v>
      </c>
      <c r="AR14" s="261">
        <v>2</v>
      </c>
      <c r="AS14" s="261">
        <v>3</v>
      </c>
      <c r="AT14" s="197">
        <v>4</v>
      </c>
      <c r="AU14" s="198">
        <v>8</v>
      </c>
      <c r="AV14" s="196" t="s">
        <v>2331</v>
      </c>
      <c r="AW14" s="197">
        <v>6</v>
      </c>
      <c r="AX14" s="198">
        <v>12</v>
      </c>
      <c r="AY14" s="196">
        <v>11</v>
      </c>
      <c r="AZ14" s="197">
        <v>4</v>
      </c>
      <c r="BA14" s="198">
        <v>11</v>
      </c>
      <c r="BB14" s="198">
        <v>3</v>
      </c>
      <c r="BC14" s="199">
        <v>5</v>
      </c>
      <c r="BD14" s="196">
        <v>5</v>
      </c>
      <c r="BE14" s="200">
        <v>5</v>
      </c>
      <c r="BF14" s="201">
        <v>4</v>
      </c>
      <c r="BG14" s="199">
        <v>3</v>
      </c>
      <c r="BH14" s="206" t="s">
        <v>2342</v>
      </c>
    </row>
    <row r="15" spans="1:74" x14ac:dyDescent="0.25">
      <c r="A15" s="169">
        <v>12</v>
      </c>
      <c r="B15" s="171">
        <v>100000</v>
      </c>
      <c r="C15" s="349">
        <v>4</v>
      </c>
      <c r="D15" s="202">
        <v>6</v>
      </c>
      <c r="E15" s="198">
        <v>4</v>
      </c>
      <c r="F15" s="198">
        <v>3</v>
      </c>
      <c r="G15" s="198">
        <v>3</v>
      </c>
      <c r="H15" s="198">
        <v>3</v>
      </c>
      <c r="I15" s="198">
        <v>2</v>
      </c>
      <c r="J15" s="198">
        <v>1</v>
      </c>
      <c r="K15" s="187">
        <v>0</v>
      </c>
      <c r="L15" s="187">
        <v>0</v>
      </c>
      <c r="M15" s="183">
        <v>0</v>
      </c>
      <c r="N15" s="197">
        <v>3</v>
      </c>
      <c r="O15" s="198">
        <v>4</v>
      </c>
      <c r="P15" s="198">
        <v>3</v>
      </c>
      <c r="Q15" s="198">
        <v>3</v>
      </c>
      <c r="R15" s="187">
        <v>0</v>
      </c>
      <c r="S15" s="183">
        <v>0</v>
      </c>
      <c r="T15" s="202">
        <v>2</v>
      </c>
      <c r="U15" s="198">
        <v>4</v>
      </c>
      <c r="V15" s="198">
        <v>3</v>
      </c>
      <c r="W15" s="187">
        <v>0</v>
      </c>
      <c r="X15" s="183">
        <v>0</v>
      </c>
      <c r="Y15" s="197">
        <v>4</v>
      </c>
      <c r="Z15" s="198">
        <v>15</v>
      </c>
      <c r="AA15" s="199">
        <v>1</v>
      </c>
      <c r="AB15" s="199" t="s">
        <v>128</v>
      </c>
      <c r="AC15" s="196" t="s">
        <v>126</v>
      </c>
      <c r="AD15" s="202">
        <v>5</v>
      </c>
      <c r="AE15" s="196">
        <v>2</v>
      </c>
      <c r="AF15" s="202">
        <v>4</v>
      </c>
      <c r="AG15" s="199">
        <v>1</v>
      </c>
      <c r="AH15" s="199">
        <v>0</v>
      </c>
      <c r="AI15" s="196" t="s">
        <v>1114</v>
      </c>
      <c r="AJ15" s="202">
        <v>3</v>
      </c>
      <c r="AK15" s="205">
        <v>8</v>
      </c>
      <c r="AL15" s="201">
        <v>12</v>
      </c>
      <c r="AM15" s="199" t="s">
        <v>126</v>
      </c>
      <c r="AN15" s="196" t="s">
        <v>2325</v>
      </c>
      <c r="AO15" s="201">
        <v>1</v>
      </c>
      <c r="AP15" s="196">
        <v>5</v>
      </c>
      <c r="AQ15" s="204">
        <v>7</v>
      </c>
      <c r="AR15" s="261">
        <v>2</v>
      </c>
      <c r="AS15" s="261">
        <v>3</v>
      </c>
      <c r="AT15" s="197">
        <v>4</v>
      </c>
      <c r="AU15" s="198">
        <v>8</v>
      </c>
      <c r="AV15" s="196" t="s">
        <v>2331</v>
      </c>
      <c r="AW15" s="197">
        <v>6</v>
      </c>
      <c r="AX15" s="198">
        <v>12</v>
      </c>
      <c r="AY15" s="196">
        <v>12</v>
      </c>
      <c r="AZ15" s="197">
        <v>4</v>
      </c>
      <c r="BA15" s="198">
        <v>11</v>
      </c>
      <c r="BB15" s="198">
        <v>3</v>
      </c>
      <c r="BC15" s="199">
        <v>6</v>
      </c>
      <c r="BD15" s="196">
        <v>5</v>
      </c>
      <c r="BE15" s="200">
        <v>5</v>
      </c>
      <c r="BF15" s="201">
        <v>5</v>
      </c>
      <c r="BG15" s="199">
        <v>3</v>
      </c>
      <c r="BH15" s="206" t="s">
        <v>2342</v>
      </c>
    </row>
    <row r="16" spans="1:74" x14ac:dyDescent="0.25">
      <c r="A16" s="169">
        <v>13</v>
      </c>
      <c r="B16" s="171">
        <v>120000</v>
      </c>
      <c r="C16" s="349">
        <v>5</v>
      </c>
      <c r="D16" s="202">
        <v>7</v>
      </c>
      <c r="E16" s="198">
        <v>4</v>
      </c>
      <c r="F16" s="198">
        <v>3</v>
      </c>
      <c r="G16" s="198">
        <v>3</v>
      </c>
      <c r="H16" s="198">
        <v>3</v>
      </c>
      <c r="I16" s="198">
        <v>2</v>
      </c>
      <c r="J16" s="198">
        <v>1</v>
      </c>
      <c r="K16" s="198">
        <v>1</v>
      </c>
      <c r="L16" s="187">
        <v>0</v>
      </c>
      <c r="M16" s="183">
        <v>0</v>
      </c>
      <c r="N16" s="197">
        <v>4</v>
      </c>
      <c r="O16" s="198">
        <v>4</v>
      </c>
      <c r="P16" s="198">
        <v>3</v>
      </c>
      <c r="Q16" s="198">
        <v>3</v>
      </c>
      <c r="R16" s="198">
        <v>1</v>
      </c>
      <c r="S16" s="183">
        <v>0</v>
      </c>
      <c r="T16" s="202">
        <v>3</v>
      </c>
      <c r="U16" s="198">
        <v>4</v>
      </c>
      <c r="V16" s="198">
        <v>3</v>
      </c>
      <c r="W16" s="198">
        <v>2</v>
      </c>
      <c r="X16" s="183">
        <v>0</v>
      </c>
      <c r="Y16" s="197">
        <v>4</v>
      </c>
      <c r="Z16" s="198">
        <v>16</v>
      </c>
      <c r="AA16" s="199">
        <v>1</v>
      </c>
      <c r="AB16" s="199" t="s">
        <v>128</v>
      </c>
      <c r="AC16" s="196" t="s">
        <v>128</v>
      </c>
      <c r="AD16" s="202">
        <v>5</v>
      </c>
      <c r="AE16" s="196">
        <v>2</v>
      </c>
      <c r="AF16" s="202">
        <v>4</v>
      </c>
      <c r="AG16" s="199">
        <v>1</v>
      </c>
      <c r="AH16" s="199">
        <v>0</v>
      </c>
      <c r="AI16" s="196" t="s">
        <v>1114</v>
      </c>
      <c r="AJ16" s="202">
        <v>3</v>
      </c>
      <c r="AK16" s="205">
        <v>9</v>
      </c>
      <c r="AL16" s="201">
        <v>13</v>
      </c>
      <c r="AM16" s="199" t="s">
        <v>126</v>
      </c>
      <c r="AN16" s="196" t="s">
        <v>2325</v>
      </c>
      <c r="AO16" s="201">
        <v>1</v>
      </c>
      <c r="AP16" s="196">
        <v>5</v>
      </c>
      <c r="AQ16" s="204">
        <v>8</v>
      </c>
      <c r="AR16" s="261">
        <v>2</v>
      </c>
      <c r="AS16" s="261">
        <v>3</v>
      </c>
      <c r="AT16" s="197">
        <v>4</v>
      </c>
      <c r="AU16" s="198">
        <v>9</v>
      </c>
      <c r="AV16" s="196" t="s">
        <v>2332</v>
      </c>
      <c r="AW16" s="197">
        <v>6</v>
      </c>
      <c r="AX16" s="198">
        <v>13</v>
      </c>
      <c r="AY16" s="196">
        <v>13</v>
      </c>
      <c r="AZ16" s="197">
        <v>4</v>
      </c>
      <c r="BA16" s="198">
        <v>12</v>
      </c>
      <c r="BB16" s="198">
        <v>3</v>
      </c>
      <c r="BC16" s="199">
        <v>6</v>
      </c>
      <c r="BD16" s="196">
        <v>5</v>
      </c>
      <c r="BE16" s="200">
        <v>5</v>
      </c>
      <c r="BF16" s="201">
        <v>5</v>
      </c>
      <c r="BG16" s="199">
        <v>3</v>
      </c>
      <c r="BH16" s="206" t="s">
        <v>2343</v>
      </c>
    </row>
    <row r="17" spans="1:60" x14ac:dyDescent="0.25">
      <c r="A17" s="169">
        <v>14</v>
      </c>
      <c r="B17" s="171">
        <v>140000</v>
      </c>
      <c r="C17" s="349">
        <v>5</v>
      </c>
      <c r="D17" s="202">
        <v>7</v>
      </c>
      <c r="E17" s="198">
        <v>4</v>
      </c>
      <c r="F17" s="198">
        <v>3</v>
      </c>
      <c r="G17" s="198">
        <v>3</v>
      </c>
      <c r="H17" s="198">
        <v>3</v>
      </c>
      <c r="I17" s="198">
        <v>2</v>
      </c>
      <c r="J17" s="198">
        <v>1</v>
      </c>
      <c r="K17" s="198">
        <v>1</v>
      </c>
      <c r="L17" s="187">
        <v>0</v>
      </c>
      <c r="M17" s="183">
        <v>0</v>
      </c>
      <c r="N17" s="197">
        <v>4</v>
      </c>
      <c r="O17" s="198">
        <v>4</v>
      </c>
      <c r="P17" s="198">
        <v>3</v>
      </c>
      <c r="Q17" s="198">
        <v>3</v>
      </c>
      <c r="R17" s="198">
        <v>1</v>
      </c>
      <c r="S17" s="183">
        <v>0</v>
      </c>
      <c r="T17" s="202">
        <v>3</v>
      </c>
      <c r="U17" s="198">
        <v>4</v>
      </c>
      <c r="V17" s="198">
        <v>3</v>
      </c>
      <c r="W17" s="198">
        <v>2</v>
      </c>
      <c r="X17" s="183">
        <v>0</v>
      </c>
      <c r="Y17" s="197">
        <v>4</v>
      </c>
      <c r="Z17" s="198">
        <v>18</v>
      </c>
      <c r="AA17" s="199">
        <v>1</v>
      </c>
      <c r="AB17" s="199" t="s">
        <v>128</v>
      </c>
      <c r="AC17" s="196" t="s">
        <v>128</v>
      </c>
      <c r="AD17" s="202">
        <v>5</v>
      </c>
      <c r="AE17" s="196">
        <v>2</v>
      </c>
      <c r="AF17" s="202">
        <v>4</v>
      </c>
      <c r="AG17" s="199">
        <v>1</v>
      </c>
      <c r="AH17" s="199">
        <v>0</v>
      </c>
      <c r="AI17" s="196" t="s">
        <v>1114</v>
      </c>
      <c r="AJ17" s="202">
        <v>3</v>
      </c>
      <c r="AK17" s="205">
        <v>10</v>
      </c>
      <c r="AL17" s="201">
        <v>14</v>
      </c>
      <c r="AM17" s="199" t="s">
        <v>126</v>
      </c>
      <c r="AN17" s="196" t="s">
        <v>2326</v>
      </c>
      <c r="AO17" s="201">
        <v>1</v>
      </c>
      <c r="AP17" s="196">
        <v>5</v>
      </c>
      <c r="AQ17" s="204">
        <v>8</v>
      </c>
      <c r="AR17" s="261">
        <v>3</v>
      </c>
      <c r="AS17" s="261">
        <v>3</v>
      </c>
      <c r="AT17" s="197">
        <v>4</v>
      </c>
      <c r="AU17" s="198">
        <v>10</v>
      </c>
      <c r="AV17" s="196" t="s">
        <v>2332</v>
      </c>
      <c r="AW17" s="197">
        <v>6</v>
      </c>
      <c r="AX17" s="198">
        <v>13</v>
      </c>
      <c r="AY17" s="196">
        <v>14</v>
      </c>
      <c r="AZ17" s="197">
        <v>4</v>
      </c>
      <c r="BA17" s="198">
        <v>12</v>
      </c>
      <c r="BB17" s="198">
        <v>3</v>
      </c>
      <c r="BC17" s="199">
        <v>6</v>
      </c>
      <c r="BD17" s="196">
        <v>5</v>
      </c>
      <c r="BE17" s="200">
        <v>5</v>
      </c>
      <c r="BF17" s="201">
        <v>5</v>
      </c>
      <c r="BG17" s="199">
        <v>3</v>
      </c>
      <c r="BH17" s="206" t="s">
        <v>2343</v>
      </c>
    </row>
    <row r="18" spans="1:60" x14ac:dyDescent="0.25">
      <c r="A18" s="169">
        <v>15</v>
      </c>
      <c r="B18" s="171">
        <v>165000</v>
      </c>
      <c r="C18" s="349">
        <v>5</v>
      </c>
      <c r="D18" s="202">
        <v>8</v>
      </c>
      <c r="E18" s="198">
        <v>4</v>
      </c>
      <c r="F18" s="198">
        <v>3</v>
      </c>
      <c r="G18" s="198">
        <v>3</v>
      </c>
      <c r="H18" s="198">
        <v>3</v>
      </c>
      <c r="I18" s="198">
        <v>2</v>
      </c>
      <c r="J18" s="198">
        <v>1</v>
      </c>
      <c r="K18" s="198">
        <v>1</v>
      </c>
      <c r="L18" s="198">
        <v>1</v>
      </c>
      <c r="M18" s="183">
        <v>0</v>
      </c>
      <c r="N18" s="197">
        <v>4</v>
      </c>
      <c r="O18" s="198">
        <v>4</v>
      </c>
      <c r="P18" s="198">
        <v>3</v>
      </c>
      <c r="Q18" s="198">
        <v>3</v>
      </c>
      <c r="R18" s="198">
        <v>2</v>
      </c>
      <c r="S18" s="183">
        <v>0</v>
      </c>
      <c r="T18" s="202">
        <v>3</v>
      </c>
      <c r="U18" s="198">
        <v>4</v>
      </c>
      <c r="V18" s="198">
        <v>3</v>
      </c>
      <c r="W18" s="198">
        <v>2</v>
      </c>
      <c r="X18" s="183">
        <v>0</v>
      </c>
      <c r="Y18" s="197">
        <v>4</v>
      </c>
      <c r="Z18" s="198">
        <v>19</v>
      </c>
      <c r="AA18" s="199">
        <v>1</v>
      </c>
      <c r="AB18" s="199" t="s">
        <v>131</v>
      </c>
      <c r="AC18" s="196" t="s">
        <v>128</v>
      </c>
      <c r="AD18" s="202">
        <v>5</v>
      </c>
      <c r="AE18" s="196">
        <v>2</v>
      </c>
      <c r="AF18" s="202">
        <v>4</v>
      </c>
      <c r="AG18" s="199">
        <v>1</v>
      </c>
      <c r="AH18" s="199">
        <v>0</v>
      </c>
      <c r="AI18" s="196" t="s">
        <v>1114</v>
      </c>
      <c r="AJ18" s="202">
        <v>3</v>
      </c>
      <c r="AK18" s="205">
        <v>10</v>
      </c>
      <c r="AL18" s="201">
        <v>15</v>
      </c>
      <c r="AM18" s="199" t="s">
        <v>126</v>
      </c>
      <c r="AN18" s="196" t="s">
        <v>2326</v>
      </c>
      <c r="AO18" s="201">
        <v>1</v>
      </c>
      <c r="AP18" s="196">
        <v>5</v>
      </c>
      <c r="AQ18" s="204">
        <v>9</v>
      </c>
      <c r="AR18" s="261">
        <v>3</v>
      </c>
      <c r="AS18" s="261">
        <v>3</v>
      </c>
      <c r="AT18" s="197">
        <v>4</v>
      </c>
      <c r="AU18" s="198">
        <v>10</v>
      </c>
      <c r="AV18" s="196" t="s">
        <v>2333</v>
      </c>
      <c r="AW18" s="197">
        <v>6</v>
      </c>
      <c r="AX18" s="198">
        <v>14</v>
      </c>
      <c r="AY18" s="196">
        <v>15</v>
      </c>
      <c r="AZ18" s="197">
        <v>4</v>
      </c>
      <c r="BA18" s="198">
        <v>13</v>
      </c>
      <c r="BB18" s="198">
        <v>3</v>
      </c>
      <c r="BC18" s="199">
        <v>7</v>
      </c>
      <c r="BD18" s="196">
        <v>5</v>
      </c>
      <c r="BE18" s="200">
        <v>5</v>
      </c>
      <c r="BF18" s="201">
        <v>5</v>
      </c>
      <c r="BG18" s="199">
        <v>3</v>
      </c>
      <c r="BH18" s="206" t="s">
        <v>2343</v>
      </c>
    </row>
    <row r="19" spans="1:60" x14ac:dyDescent="0.25">
      <c r="A19" s="169">
        <v>16</v>
      </c>
      <c r="B19" s="171">
        <v>195000</v>
      </c>
      <c r="C19" s="349">
        <v>5</v>
      </c>
      <c r="D19" s="202">
        <v>8</v>
      </c>
      <c r="E19" s="198">
        <v>4</v>
      </c>
      <c r="F19" s="198">
        <v>3</v>
      </c>
      <c r="G19" s="198">
        <v>3</v>
      </c>
      <c r="H19" s="198">
        <v>3</v>
      </c>
      <c r="I19" s="198">
        <v>2</v>
      </c>
      <c r="J19" s="198">
        <v>1</v>
      </c>
      <c r="K19" s="198">
        <v>1</v>
      </c>
      <c r="L19" s="198">
        <v>1</v>
      </c>
      <c r="M19" s="183">
        <v>0</v>
      </c>
      <c r="N19" s="197">
        <v>4</v>
      </c>
      <c r="O19" s="198">
        <v>4</v>
      </c>
      <c r="P19" s="198">
        <v>3</v>
      </c>
      <c r="Q19" s="198">
        <v>3</v>
      </c>
      <c r="R19" s="198">
        <v>2</v>
      </c>
      <c r="S19" s="183">
        <v>0</v>
      </c>
      <c r="T19" s="202">
        <v>3</v>
      </c>
      <c r="U19" s="198">
        <v>4</v>
      </c>
      <c r="V19" s="198">
        <v>3</v>
      </c>
      <c r="W19" s="198">
        <v>3</v>
      </c>
      <c r="X19" s="183">
        <v>0</v>
      </c>
      <c r="Y19" s="197">
        <v>4</v>
      </c>
      <c r="Z19" s="198">
        <v>19</v>
      </c>
      <c r="AA19" s="199">
        <v>1</v>
      </c>
      <c r="AB19" s="199" t="s">
        <v>131</v>
      </c>
      <c r="AC19" s="196" t="s">
        <v>128</v>
      </c>
      <c r="AD19" s="202">
        <v>5</v>
      </c>
      <c r="AE19" s="196">
        <v>2</v>
      </c>
      <c r="AF19" s="202">
        <v>4</v>
      </c>
      <c r="AG19" s="199">
        <v>1</v>
      </c>
      <c r="AH19" s="199">
        <v>0</v>
      </c>
      <c r="AI19" s="196" t="s">
        <v>1114</v>
      </c>
      <c r="AJ19" s="202">
        <v>3</v>
      </c>
      <c r="AK19" s="205">
        <v>11</v>
      </c>
      <c r="AL19" s="201">
        <v>16</v>
      </c>
      <c r="AM19" s="199" t="s">
        <v>126</v>
      </c>
      <c r="AN19" s="196" t="s">
        <v>2326</v>
      </c>
      <c r="AO19" s="201">
        <v>1</v>
      </c>
      <c r="AP19" s="196">
        <v>5</v>
      </c>
      <c r="AQ19" s="204">
        <v>9</v>
      </c>
      <c r="AR19" s="261">
        <v>3</v>
      </c>
      <c r="AS19" s="261">
        <v>3</v>
      </c>
      <c r="AT19" s="197">
        <v>4</v>
      </c>
      <c r="AU19" s="198">
        <v>11</v>
      </c>
      <c r="AV19" s="196" t="s">
        <v>2333</v>
      </c>
      <c r="AW19" s="197">
        <v>6</v>
      </c>
      <c r="AX19" s="198">
        <v>14</v>
      </c>
      <c r="AY19" s="196">
        <v>16</v>
      </c>
      <c r="AZ19" s="197">
        <v>4</v>
      </c>
      <c r="BA19" s="198">
        <v>13</v>
      </c>
      <c r="BB19" s="198">
        <v>3</v>
      </c>
      <c r="BC19" s="199">
        <v>7</v>
      </c>
      <c r="BD19" s="196">
        <v>5</v>
      </c>
      <c r="BE19" s="200">
        <v>5</v>
      </c>
      <c r="BF19" s="201">
        <v>5</v>
      </c>
      <c r="BG19" s="199">
        <v>4</v>
      </c>
      <c r="BH19" s="206" t="s">
        <v>2343</v>
      </c>
    </row>
    <row r="20" spans="1:60" x14ac:dyDescent="0.25">
      <c r="A20" s="169">
        <v>17</v>
      </c>
      <c r="B20" s="171">
        <v>225000</v>
      </c>
      <c r="C20" s="349">
        <v>6</v>
      </c>
      <c r="D20" s="202">
        <v>9</v>
      </c>
      <c r="E20" s="198">
        <v>4</v>
      </c>
      <c r="F20" s="198">
        <v>3</v>
      </c>
      <c r="G20" s="198">
        <v>3</v>
      </c>
      <c r="H20" s="198">
        <v>3</v>
      </c>
      <c r="I20" s="198">
        <v>2</v>
      </c>
      <c r="J20" s="198">
        <v>1</v>
      </c>
      <c r="K20" s="198">
        <v>1</v>
      </c>
      <c r="L20" s="198">
        <v>1</v>
      </c>
      <c r="M20" s="205">
        <v>1</v>
      </c>
      <c r="N20" s="197">
        <v>5</v>
      </c>
      <c r="O20" s="198">
        <v>4</v>
      </c>
      <c r="P20" s="198">
        <v>3</v>
      </c>
      <c r="Q20" s="198">
        <v>3</v>
      </c>
      <c r="R20" s="198">
        <v>3</v>
      </c>
      <c r="S20" s="205">
        <v>1</v>
      </c>
      <c r="T20" s="202">
        <v>3</v>
      </c>
      <c r="U20" s="198">
        <v>4</v>
      </c>
      <c r="V20" s="198">
        <v>3</v>
      </c>
      <c r="W20" s="198">
        <v>3</v>
      </c>
      <c r="X20" s="183">
        <v>0</v>
      </c>
      <c r="Y20" s="197">
        <v>4</v>
      </c>
      <c r="Z20" s="198">
        <v>20</v>
      </c>
      <c r="AA20" s="199">
        <v>1</v>
      </c>
      <c r="AB20" s="199" t="s">
        <v>131</v>
      </c>
      <c r="AC20" s="196" t="s">
        <v>131</v>
      </c>
      <c r="AD20" s="202">
        <v>5</v>
      </c>
      <c r="AE20" s="196">
        <v>2</v>
      </c>
      <c r="AF20" s="202">
        <v>4</v>
      </c>
      <c r="AG20" s="199">
        <v>1</v>
      </c>
      <c r="AH20" s="199">
        <v>0</v>
      </c>
      <c r="AI20" s="196" t="s">
        <v>1114</v>
      </c>
      <c r="AJ20" s="202">
        <v>3</v>
      </c>
      <c r="AK20" s="205">
        <v>11</v>
      </c>
      <c r="AL20" s="201">
        <v>17</v>
      </c>
      <c r="AM20" s="199" t="s">
        <v>128</v>
      </c>
      <c r="AN20" s="196" t="s">
        <v>2326</v>
      </c>
      <c r="AO20" s="201">
        <v>1</v>
      </c>
      <c r="AP20" s="196">
        <v>5</v>
      </c>
      <c r="AQ20" s="204">
        <v>10</v>
      </c>
      <c r="AR20" s="261">
        <v>3</v>
      </c>
      <c r="AS20" s="261">
        <v>3</v>
      </c>
      <c r="AT20" s="197">
        <v>4</v>
      </c>
      <c r="AU20" s="198">
        <v>11</v>
      </c>
      <c r="AV20" s="196" t="s">
        <v>2334</v>
      </c>
      <c r="AW20" s="197">
        <v>6</v>
      </c>
      <c r="AX20" s="198">
        <v>15</v>
      </c>
      <c r="AY20" s="196">
        <v>17</v>
      </c>
      <c r="AZ20" s="197">
        <v>4</v>
      </c>
      <c r="BA20" s="198">
        <v>14</v>
      </c>
      <c r="BB20" s="198">
        <v>4</v>
      </c>
      <c r="BC20" s="199">
        <v>7</v>
      </c>
      <c r="BD20" s="196">
        <v>5</v>
      </c>
      <c r="BE20" s="200">
        <v>5</v>
      </c>
      <c r="BF20" s="201">
        <v>6</v>
      </c>
      <c r="BG20" s="199">
        <v>4</v>
      </c>
      <c r="BH20" s="206" t="s">
        <v>2344</v>
      </c>
    </row>
    <row r="21" spans="1:60" x14ac:dyDescent="0.25">
      <c r="A21" s="169">
        <v>18</v>
      </c>
      <c r="B21" s="171">
        <v>265000</v>
      </c>
      <c r="C21" s="349">
        <v>6</v>
      </c>
      <c r="D21" s="202">
        <v>9</v>
      </c>
      <c r="E21" s="198">
        <v>4</v>
      </c>
      <c r="F21" s="198">
        <v>3</v>
      </c>
      <c r="G21" s="198">
        <v>3</v>
      </c>
      <c r="H21" s="198">
        <v>3</v>
      </c>
      <c r="I21" s="198">
        <v>3</v>
      </c>
      <c r="J21" s="198">
        <v>1</v>
      </c>
      <c r="K21" s="198">
        <v>1</v>
      </c>
      <c r="L21" s="198">
        <v>1</v>
      </c>
      <c r="M21" s="205">
        <v>1</v>
      </c>
      <c r="N21" s="197">
        <v>5</v>
      </c>
      <c r="O21" s="198">
        <v>4</v>
      </c>
      <c r="P21" s="198">
        <v>3</v>
      </c>
      <c r="Q21" s="198">
        <v>3</v>
      </c>
      <c r="R21" s="198">
        <v>3</v>
      </c>
      <c r="S21" s="205">
        <v>1</v>
      </c>
      <c r="T21" s="202">
        <v>3</v>
      </c>
      <c r="U21" s="198">
        <v>4</v>
      </c>
      <c r="V21" s="198">
        <v>3</v>
      </c>
      <c r="W21" s="198">
        <v>3</v>
      </c>
      <c r="X21" s="183">
        <v>0</v>
      </c>
      <c r="Y21" s="197">
        <v>4</v>
      </c>
      <c r="Z21" s="198">
        <v>22</v>
      </c>
      <c r="AA21" s="199">
        <v>1</v>
      </c>
      <c r="AB21" s="199" t="s">
        <v>131</v>
      </c>
      <c r="AC21" s="196" t="s">
        <v>131</v>
      </c>
      <c r="AD21" s="202">
        <v>5</v>
      </c>
      <c r="AE21" s="196">
        <v>3</v>
      </c>
      <c r="AF21" s="202">
        <v>4</v>
      </c>
      <c r="AG21" s="199">
        <v>1</v>
      </c>
      <c r="AH21" s="199">
        <v>0</v>
      </c>
      <c r="AI21" s="196" t="s">
        <v>1114</v>
      </c>
      <c r="AJ21" s="202">
        <v>3</v>
      </c>
      <c r="AK21" s="205">
        <v>11</v>
      </c>
      <c r="AL21" s="201">
        <v>18</v>
      </c>
      <c r="AM21" s="199" t="s">
        <v>128</v>
      </c>
      <c r="AN21" s="196" t="s">
        <v>2327</v>
      </c>
      <c r="AO21" s="201">
        <v>1</v>
      </c>
      <c r="AP21" s="196">
        <v>5</v>
      </c>
      <c r="AQ21" s="204">
        <v>10</v>
      </c>
      <c r="AR21" s="261">
        <v>3</v>
      </c>
      <c r="AS21" s="261">
        <v>3</v>
      </c>
      <c r="AT21" s="197">
        <v>4</v>
      </c>
      <c r="AU21" s="198">
        <v>11</v>
      </c>
      <c r="AV21" s="196" t="s">
        <v>2334</v>
      </c>
      <c r="AW21" s="197">
        <v>6</v>
      </c>
      <c r="AX21" s="198">
        <v>15</v>
      </c>
      <c r="AY21" s="196">
        <v>18</v>
      </c>
      <c r="AZ21" s="197">
        <v>4</v>
      </c>
      <c r="BA21" s="198">
        <v>14</v>
      </c>
      <c r="BB21" s="198">
        <v>4</v>
      </c>
      <c r="BC21" s="199">
        <v>8</v>
      </c>
      <c r="BD21" s="196">
        <v>5</v>
      </c>
      <c r="BE21" s="200">
        <v>5</v>
      </c>
      <c r="BF21" s="201">
        <v>6</v>
      </c>
      <c r="BG21" s="199">
        <v>4</v>
      </c>
      <c r="BH21" s="206" t="s">
        <v>2344</v>
      </c>
    </row>
    <row r="22" spans="1:60" x14ac:dyDescent="0.25">
      <c r="A22" s="169">
        <v>19</v>
      </c>
      <c r="B22" s="171">
        <v>305000</v>
      </c>
      <c r="C22" s="349">
        <v>6</v>
      </c>
      <c r="D22" s="202">
        <v>9</v>
      </c>
      <c r="E22" s="198">
        <v>4</v>
      </c>
      <c r="F22" s="198">
        <v>3</v>
      </c>
      <c r="G22" s="198">
        <v>3</v>
      </c>
      <c r="H22" s="198">
        <v>3</v>
      </c>
      <c r="I22" s="198">
        <v>3</v>
      </c>
      <c r="J22" s="198">
        <v>2</v>
      </c>
      <c r="K22" s="198">
        <v>1</v>
      </c>
      <c r="L22" s="198">
        <v>1</v>
      </c>
      <c r="M22" s="205">
        <v>1</v>
      </c>
      <c r="N22" s="197">
        <v>5</v>
      </c>
      <c r="O22" s="198">
        <v>4</v>
      </c>
      <c r="P22" s="198">
        <v>3</v>
      </c>
      <c r="Q22" s="198">
        <v>3</v>
      </c>
      <c r="R22" s="198">
        <v>3</v>
      </c>
      <c r="S22" s="205">
        <v>2</v>
      </c>
      <c r="T22" s="202">
        <v>4</v>
      </c>
      <c r="U22" s="198">
        <v>4</v>
      </c>
      <c r="V22" s="198">
        <v>3</v>
      </c>
      <c r="W22" s="198">
        <v>3</v>
      </c>
      <c r="X22" s="205">
        <v>1</v>
      </c>
      <c r="Y22" s="197">
        <v>4</v>
      </c>
      <c r="Z22" s="198">
        <v>22</v>
      </c>
      <c r="AA22" s="199">
        <v>1</v>
      </c>
      <c r="AB22" s="199" t="s">
        <v>131</v>
      </c>
      <c r="AC22" s="196" t="s">
        <v>131</v>
      </c>
      <c r="AD22" s="202">
        <v>5</v>
      </c>
      <c r="AE22" s="196">
        <v>3</v>
      </c>
      <c r="AF22" s="202">
        <v>4</v>
      </c>
      <c r="AG22" s="199">
        <v>1</v>
      </c>
      <c r="AH22" s="199">
        <v>0</v>
      </c>
      <c r="AI22" s="196" t="s">
        <v>1114</v>
      </c>
      <c r="AJ22" s="202">
        <v>3</v>
      </c>
      <c r="AK22" s="205">
        <v>12</v>
      </c>
      <c r="AL22" s="201">
        <v>19</v>
      </c>
      <c r="AM22" s="199" t="s">
        <v>128</v>
      </c>
      <c r="AN22" s="196" t="s">
        <v>2327</v>
      </c>
      <c r="AO22" s="201">
        <v>1</v>
      </c>
      <c r="AP22" s="196">
        <v>5</v>
      </c>
      <c r="AQ22" s="204">
        <v>11</v>
      </c>
      <c r="AR22" s="261">
        <v>3</v>
      </c>
      <c r="AS22" s="261">
        <v>3</v>
      </c>
      <c r="AT22" s="197">
        <v>4</v>
      </c>
      <c r="AU22" s="198">
        <v>12</v>
      </c>
      <c r="AV22" s="196" t="s">
        <v>2335</v>
      </c>
      <c r="AW22" s="197">
        <v>6</v>
      </c>
      <c r="AX22" s="198">
        <v>15</v>
      </c>
      <c r="AY22" s="196">
        <v>19</v>
      </c>
      <c r="AZ22" s="197">
        <v>4</v>
      </c>
      <c r="BA22" s="198">
        <v>15</v>
      </c>
      <c r="BB22" s="198">
        <v>4</v>
      </c>
      <c r="BC22" s="199">
        <v>8</v>
      </c>
      <c r="BD22" s="196">
        <v>5</v>
      </c>
      <c r="BE22" s="200">
        <v>5</v>
      </c>
      <c r="BF22" s="201">
        <v>6</v>
      </c>
      <c r="BG22" s="199">
        <v>4</v>
      </c>
      <c r="BH22" s="206" t="s">
        <v>2344</v>
      </c>
    </row>
    <row r="23" spans="1:60" ht="15.75" thickBot="1" x14ac:dyDescent="0.3">
      <c r="A23" s="170">
        <v>20</v>
      </c>
      <c r="B23" s="172">
        <v>355000</v>
      </c>
      <c r="C23" s="259">
        <v>6</v>
      </c>
      <c r="D23" s="210">
        <v>9</v>
      </c>
      <c r="E23" s="208">
        <v>4</v>
      </c>
      <c r="F23" s="208">
        <v>3</v>
      </c>
      <c r="G23" s="208">
        <v>3</v>
      </c>
      <c r="H23" s="208">
        <v>3</v>
      </c>
      <c r="I23" s="208">
        <v>3</v>
      </c>
      <c r="J23" s="208">
        <v>2</v>
      </c>
      <c r="K23" s="208">
        <v>2</v>
      </c>
      <c r="L23" s="208">
        <v>1</v>
      </c>
      <c r="M23" s="209">
        <v>1</v>
      </c>
      <c r="N23" s="207">
        <v>5</v>
      </c>
      <c r="O23" s="208">
        <v>4</v>
      </c>
      <c r="P23" s="208">
        <v>3</v>
      </c>
      <c r="Q23" s="208">
        <v>3</v>
      </c>
      <c r="R23" s="208">
        <v>3</v>
      </c>
      <c r="S23" s="209">
        <v>2</v>
      </c>
      <c r="T23" s="210">
        <v>4</v>
      </c>
      <c r="U23" s="208">
        <v>4</v>
      </c>
      <c r="V23" s="208">
        <v>3</v>
      </c>
      <c r="W23" s="208">
        <v>3</v>
      </c>
      <c r="X23" s="209">
        <v>1</v>
      </c>
      <c r="Y23" s="207">
        <v>4</v>
      </c>
      <c r="Z23" s="208">
        <v>22</v>
      </c>
      <c r="AA23" s="211">
        <v>1</v>
      </c>
      <c r="AB23" s="211" t="s">
        <v>131</v>
      </c>
      <c r="AC23" s="212" t="s">
        <v>131</v>
      </c>
      <c r="AD23" s="210">
        <v>5</v>
      </c>
      <c r="AE23" s="212">
        <v>3</v>
      </c>
      <c r="AF23" s="210">
        <v>4</v>
      </c>
      <c r="AG23" s="211">
        <v>1</v>
      </c>
      <c r="AH23" s="211">
        <v>0</v>
      </c>
      <c r="AI23" s="212" t="s">
        <v>1114</v>
      </c>
      <c r="AJ23" s="210">
        <v>3</v>
      </c>
      <c r="AK23" s="209">
        <v>13</v>
      </c>
      <c r="AL23" s="213">
        <v>20</v>
      </c>
      <c r="AM23" s="211" t="s">
        <v>128</v>
      </c>
      <c r="AN23" s="212" t="s">
        <v>2327</v>
      </c>
      <c r="AO23" s="213">
        <v>1</v>
      </c>
      <c r="AP23" s="212">
        <v>5</v>
      </c>
      <c r="AQ23" s="214">
        <v>11</v>
      </c>
      <c r="AR23" s="261">
        <v>3</v>
      </c>
      <c r="AS23" s="262">
        <v>3</v>
      </c>
      <c r="AT23" s="207">
        <v>4</v>
      </c>
      <c r="AU23" s="208">
        <v>13</v>
      </c>
      <c r="AV23" s="212" t="s">
        <v>2335</v>
      </c>
      <c r="AW23" s="207">
        <v>6</v>
      </c>
      <c r="AX23" s="208">
        <v>15</v>
      </c>
      <c r="AY23" s="212">
        <v>20</v>
      </c>
      <c r="AZ23" s="207">
        <v>4</v>
      </c>
      <c r="BA23" s="208">
        <v>15</v>
      </c>
      <c r="BB23" s="208">
        <v>4</v>
      </c>
      <c r="BC23" s="211">
        <v>8</v>
      </c>
      <c r="BD23" s="212">
        <v>5</v>
      </c>
      <c r="BE23" s="215">
        <v>5</v>
      </c>
      <c r="BF23" s="213" t="s">
        <v>2345</v>
      </c>
      <c r="BG23" s="211">
        <v>4</v>
      </c>
      <c r="BH23" s="216" t="s">
        <v>2344</v>
      </c>
    </row>
    <row r="24" spans="1:60" x14ac:dyDescent="0.25">
      <c r="BE24" s="168"/>
    </row>
    <row r="26" spans="1:60" x14ac:dyDescent="0.25">
      <c r="C26" s="168" t="s">
        <v>3756</v>
      </c>
      <c r="E26" s="168" t="s">
        <v>5259</v>
      </c>
      <c r="G26" t="s">
        <v>3648</v>
      </c>
      <c r="H26"/>
      <c r="I26" t="s">
        <v>5936</v>
      </c>
    </row>
    <row r="27" spans="1:60" x14ac:dyDescent="0.25">
      <c r="C27" s="168" t="s">
        <v>3735</v>
      </c>
      <c r="E27" s="168" t="s">
        <v>5260</v>
      </c>
      <c r="G27" t="s">
        <v>3649</v>
      </c>
      <c r="H27"/>
      <c r="I27" t="s">
        <v>5937</v>
      </c>
    </row>
    <row r="28" spans="1:60" x14ac:dyDescent="0.25">
      <c r="C28" s="168" t="s">
        <v>3771</v>
      </c>
      <c r="E28" s="168" t="s">
        <v>5261</v>
      </c>
      <c r="G28" t="s">
        <v>3650</v>
      </c>
      <c r="H28"/>
      <c r="I28" t="s">
        <v>5938</v>
      </c>
    </row>
    <row r="29" spans="1:60" x14ac:dyDescent="0.25">
      <c r="C29" s="168" t="s">
        <v>3600</v>
      </c>
      <c r="E29" s="168" t="s">
        <v>5262</v>
      </c>
      <c r="G29" t="s">
        <v>3651</v>
      </c>
      <c r="H29"/>
      <c r="I29" t="s">
        <v>5939</v>
      </c>
    </row>
    <row r="30" spans="1:60" x14ac:dyDescent="0.25">
      <c r="C30" s="168" t="s">
        <v>3601</v>
      </c>
      <c r="E30" s="168" t="s">
        <v>5263</v>
      </c>
      <c r="G30" t="s">
        <v>3652</v>
      </c>
      <c r="H30"/>
      <c r="I30" t="s">
        <v>5940</v>
      </c>
    </row>
    <row r="31" spans="1:60" x14ac:dyDescent="0.25">
      <c r="C31" s="168" t="s">
        <v>3767</v>
      </c>
      <c r="E31" s="168" t="s">
        <v>5264</v>
      </c>
      <c r="G31" t="s">
        <v>3653</v>
      </c>
      <c r="H31"/>
      <c r="I31" t="s">
        <v>5941</v>
      </c>
    </row>
    <row r="32" spans="1:60" x14ac:dyDescent="0.25">
      <c r="C32" s="168" t="s">
        <v>3722</v>
      </c>
      <c r="E32" s="168" t="s">
        <v>5265</v>
      </c>
      <c r="G32" t="s">
        <v>3654</v>
      </c>
      <c r="H32"/>
      <c r="I32" t="s">
        <v>5942</v>
      </c>
      <c r="J32" s="168" t="s">
        <v>1103</v>
      </c>
    </row>
    <row r="33" spans="3:10" x14ac:dyDescent="0.25">
      <c r="C33" s="168" t="s">
        <v>3714</v>
      </c>
      <c r="E33" s="168" t="s">
        <v>5266</v>
      </c>
      <c r="G33" t="s">
        <v>3655</v>
      </c>
      <c r="H33"/>
      <c r="I33" t="s">
        <v>5943</v>
      </c>
      <c r="J33" s="168" t="s">
        <v>5980</v>
      </c>
    </row>
    <row r="34" spans="3:10" x14ac:dyDescent="0.25">
      <c r="C34" s="168" t="s">
        <v>3726</v>
      </c>
      <c r="E34" s="168" t="s">
        <v>5267</v>
      </c>
      <c r="G34" t="s">
        <v>3656</v>
      </c>
      <c r="H34"/>
      <c r="I34" t="s">
        <v>5944</v>
      </c>
      <c r="J34" s="168" t="s">
        <v>54</v>
      </c>
    </row>
    <row r="35" spans="3:10" x14ac:dyDescent="0.25">
      <c r="G35" t="s">
        <v>3657</v>
      </c>
      <c r="H35"/>
      <c r="I35" t="s">
        <v>5945</v>
      </c>
      <c r="J35" s="168" t="s">
        <v>54</v>
      </c>
    </row>
    <row r="36" spans="3:10" x14ac:dyDescent="0.25">
      <c r="G36" t="s">
        <v>3658</v>
      </c>
      <c r="H36"/>
      <c r="I36" t="s">
        <v>5946</v>
      </c>
      <c r="J36" s="168" t="s">
        <v>1106</v>
      </c>
    </row>
    <row r="37" spans="3:10" x14ac:dyDescent="0.25">
      <c r="G37" t="s">
        <v>3659</v>
      </c>
      <c r="H37"/>
      <c r="I37" t="s">
        <v>5947</v>
      </c>
    </row>
    <row r="38" spans="3:10" x14ac:dyDescent="0.25">
      <c r="G38" t="s">
        <v>3660</v>
      </c>
      <c r="H38"/>
      <c r="I38" t="s">
        <v>5948</v>
      </c>
    </row>
    <row r="39" spans="3:10" x14ac:dyDescent="0.25">
      <c r="G39"/>
      <c r="H39"/>
      <c r="I39" t="s">
        <v>5949</v>
      </c>
    </row>
    <row r="40" spans="3:10" x14ac:dyDescent="0.25">
      <c r="G40"/>
      <c r="H40"/>
      <c r="I40" t="s">
        <v>5950</v>
      </c>
    </row>
    <row r="41" spans="3:10" x14ac:dyDescent="0.25">
      <c r="G41"/>
      <c r="H41"/>
      <c r="I41" t="s">
        <v>5951</v>
      </c>
      <c r="J41" s="168" t="s">
        <v>1098</v>
      </c>
    </row>
    <row r="42" spans="3:10" x14ac:dyDescent="0.25">
      <c r="G42"/>
      <c r="H42"/>
      <c r="I42" t="s">
        <v>5952</v>
      </c>
      <c r="J42" s="168" t="s">
        <v>1099</v>
      </c>
    </row>
    <row r="43" spans="3:10" x14ac:dyDescent="0.25">
      <c r="G43"/>
      <c r="H43"/>
      <c r="I43" t="s">
        <v>5953</v>
      </c>
    </row>
    <row r="44" spans="3:10" x14ac:dyDescent="0.25">
      <c r="G44"/>
      <c r="H44"/>
      <c r="I44" t="s">
        <v>5954</v>
      </c>
    </row>
    <row r="45" spans="3:10" x14ac:dyDescent="0.25">
      <c r="G45"/>
      <c r="H45"/>
      <c r="I45" t="s">
        <v>5955</v>
      </c>
      <c r="J45" s="168" t="s">
        <v>54</v>
      </c>
    </row>
    <row r="46" spans="3:10" x14ac:dyDescent="0.25">
      <c r="G46"/>
      <c r="H46"/>
      <c r="I46" t="s">
        <v>5956</v>
      </c>
      <c r="J46" s="168" t="s">
        <v>2776</v>
      </c>
    </row>
    <row r="47" spans="3:10" x14ac:dyDescent="0.25">
      <c r="G47"/>
      <c r="H47"/>
      <c r="I47" t="s">
        <v>5957</v>
      </c>
    </row>
    <row r="48" spans="3:10" x14ac:dyDescent="0.25">
      <c r="G48"/>
      <c r="H48"/>
      <c r="I48" t="s">
        <v>5958</v>
      </c>
    </row>
    <row r="49" spans="7:9" x14ac:dyDescent="0.25">
      <c r="G49"/>
      <c r="H49"/>
      <c r="I49" t="s">
        <v>5959</v>
      </c>
    </row>
    <row r="50" spans="7:9" x14ac:dyDescent="0.25">
      <c r="G50"/>
      <c r="H50"/>
      <c r="I50" t="s">
        <v>5960</v>
      </c>
    </row>
    <row r="51" spans="7:9" x14ac:dyDescent="0.25">
      <c r="G51"/>
      <c r="H51"/>
      <c r="I51" t="s">
        <v>5961</v>
      </c>
    </row>
    <row r="52" spans="7:9" x14ac:dyDescent="0.25">
      <c r="G52"/>
      <c r="H52"/>
      <c r="I52" t="s">
        <v>5962</v>
      </c>
    </row>
    <row r="53" spans="7:9" x14ac:dyDescent="0.25">
      <c r="G53"/>
      <c r="H53"/>
      <c r="I53" t="s">
        <v>5963</v>
      </c>
    </row>
    <row r="54" spans="7:9" x14ac:dyDescent="0.25">
      <c r="G54"/>
      <c r="H54"/>
      <c r="I54" t="s">
        <v>5964</v>
      </c>
    </row>
    <row r="55" spans="7:9" x14ac:dyDescent="0.25">
      <c r="G55"/>
      <c r="H55"/>
      <c r="I55" t="s">
        <v>5965</v>
      </c>
    </row>
    <row r="56" spans="7:9" x14ac:dyDescent="0.25">
      <c r="G56"/>
      <c r="H56"/>
      <c r="I56" t="s">
        <v>5966</v>
      </c>
    </row>
    <row r="57" spans="7:9" x14ac:dyDescent="0.25">
      <c r="G57"/>
      <c r="H57"/>
      <c r="I57" t="s">
        <v>5967</v>
      </c>
    </row>
    <row r="58" spans="7:9" x14ac:dyDescent="0.25">
      <c r="G58"/>
      <c r="H58"/>
      <c r="I58" t="s">
        <v>5968</v>
      </c>
    </row>
    <row r="59" spans="7:9" x14ac:dyDescent="0.25">
      <c r="G59"/>
      <c r="H59"/>
      <c r="I59" t="s">
        <v>5969</v>
      </c>
    </row>
    <row r="60" spans="7:9" x14ac:dyDescent="0.25">
      <c r="G60"/>
      <c r="H60"/>
      <c r="I60" t="s">
        <v>5970</v>
      </c>
    </row>
    <row r="61" spans="7:9" x14ac:dyDescent="0.25">
      <c r="G61"/>
      <c r="H61"/>
      <c r="I61" t="s">
        <v>5971</v>
      </c>
    </row>
    <row r="62" spans="7:9" x14ac:dyDescent="0.25">
      <c r="G62"/>
      <c r="H62"/>
      <c r="I62" t="s">
        <v>5972</v>
      </c>
    </row>
    <row r="63" spans="7:9" x14ac:dyDescent="0.25">
      <c r="G63"/>
      <c r="H63"/>
      <c r="I63" t="s">
        <v>5973</v>
      </c>
    </row>
    <row r="64" spans="7:9" x14ac:dyDescent="0.25">
      <c r="G64"/>
      <c r="H64"/>
      <c r="I64" t="s">
        <v>5974</v>
      </c>
    </row>
    <row r="65" spans="7:9" x14ac:dyDescent="0.25">
      <c r="G65"/>
      <c r="H65"/>
      <c r="I65" t="s">
        <v>5975</v>
      </c>
    </row>
    <row r="66" spans="7:9" x14ac:dyDescent="0.25">
      <c r="G66"/>
      <c r="H66"/>
      <c r="I66" t="s">
        <v>5976</v>
      </c>
    </row>
    <row r="67" spans="7:9" x14ac:dyDescent="0.25">
      <c r="G67"/>
      <c r="H67"/>
      <c r="I67" t="s">
        <v>5977</v>
      </c>
    </row>
    <row r="68" spans="7:9" x14ac:dyDescent="0.25">
      <c r="G68"/>
      <c r="H68"/>
      <c r="I68" t="s">
        <v>5978</v>
      </c>
    </row>
    <row r="69" spans="7:9" x14ac:dyDescent="0.25">
      <c r="G69"/>
      <c r="H69"/>
      <c r="I69" t="s">
        <v>5979</v>
      </c>
    </row>
  </sheetData>
  <mergeCells count="30">
    <mergeCell ref="BR1:BR2"/>
    <mergeCell ref="BS1:BS2"/>
    <mergeCell ref="BT1:BT2"/>
    <mergeCell ref="BU1:BU2"/>
    <mergeCell ref="BV1:BV2"/>
    <mergeCell ref="BM1:BM2"/>
    <mergeCell ref="BN1:BN2"/>
    <mergeCell ref="BO1:BO2"/>
    <mergeCell ref="BP1:BP2"/>
    <mergeCell ref="BQ1:BQ2"/>
    <mergeCell ref="BF1:BH1"/>
    <mergeCell ref="AJ1:AK1"/>
    <mergeCell ref="AL1:AN1"/>
    <mergeCell ref="AO1:AP1"/>
    <mergeCell ref="AT1:AV1"/>
    <mergeCell ref="AW1:AY1"/>
    <mergeCell ref="AZ1:BD1"/>
    <mergeCell ref="AQ1:AS1"/>
    <mergeCell ref="AF1:AI1"/>
    <mergeCell ref="A1:A2"/>
    <mergeCell ref="B1:B2"/>
    <mergeCell ref="C1:C2"/>
    <mergeCell ref="E1:M1"/>
    <mergeCell ref="U1:X1"/>
    <mergeCell ref="O1:S1"/>
    <mergeCell ref="Y1:AC1"/>
    <mergeCell ref="AD1:AE1"/>
    <mergeCell ref="D1:D2"/>
    <mergeCell ref="N1:N2"/>
    <mergeCell ref="T1:T2"/>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26">
    <tabColor theme="7" tint="0.39997558519241921"/>
  </sheetPr>
  <dimension ref="A1:F46"/>
  <sheetViews>
    <sheetView topLeftCell="D1" zoomScaleNormal="100" workbookViewId="0">
      <selection activeCell="F17" sqref="F17"/>
    </sheetView>
  </sheetViews>
  <sheetFormatPr defaultRowHeight="15" outlineLevelCol="1" x14ac:dyDescent="0.25"/>
  <cols>
    <col min="1" max="1" width="25.140625" bestFit="1" customWidth="1"/>
    <col min="2" max="2" width="32.5703125" bestFit="1" customWidth="1"/>
    <col min="3" max="3" width="50" customWidth="1"/>
    <col min="4" max="4" width="36.85546875" customWidth="1"/>
    <col min="5" max="5" width="29.42578125" bestFit="1" customWidth="1" outlineLevel="1"/>
    <col min="6" max="6" width="91" bestFit="1" customWidth="1" outlineLevel="1"/>
  </cols>
  <sheetData>
    <row r="1" spans="1:6" x14ac:dyDescent="0.25">
      <c r="A1" s="1270" t="s">
        <v>3298</v>
      </c>
      <c r="B1" s="1270" t="s">
        <v>3299</v>
      </c>
      <c r="C1" s="1270" t="s">
        <v>3300</v>
      </c>
      <c r="D1" s="1270" t="s">
        <v>3300</v>
      </c>
      <c r="E1" s="1271" t="s">
        <v>3596</v>
      </c>
      <c r="F1" s="1268" t="s">
        <v>5112</v>
      </c>
    </row>
    <row r="2" spans="1:6" x14ac:dyDescent="0.25">
      <c r="A2" s="1270"/>
      <c r="B2" s="1270"/>
      <c r="C2" s="1270"/>
      <c r="D2" s="1270"/>
      <c r="E2" s="1272"/>
      <c r="F2" s="1269"/>
    </row>
    <row r="3" spans="1:6" x14ac:dyDescent="0.25">
      <c r="A3" t="s">
        <v>3038</v>
      </c>
      <c r="B3" t="s">
        <v>3203</v>
      </c>
      <c r="C3" t="s">
        <v>3204</v>
      </c>
      <c r="D3" t="s">
        <v>3205</v>
      </c>
      <c r="E3" s="234" t="s">
        <v>3203</v>
      </c>
      <c r="F3" s="233"/>
    </row>
    <row r="4" spans="1:6" x14ac:dyDescent="0.25">
      <c r="A4" t="s">
        <v>2155</v>
      </c>
      <c r="B4" t="s">
        <v>3203</v>
      </c>
      <c r="C4" t="s">
        <v>3206</v>
      </c>
      <c r="D4" t="s">
        <v>3207</v>
      </c>
      <c r="E4" s="234" t="s">
        <v>3203</v>
      </c>
      <c r="F4" s="4" t="s">
        <v>7428</v>
      </c>
    </row>
    <row r="5" spans="1:6" x14ac:dyDescent="0.25">
      <c r="A5" t="s">
        <v>2156</v>
      </c>
      <c r="B5" t="s">
        <v>3203</v>
      </c>
      <c r="C5" t="s">
        <v>3208</v>
      </c>
      <c r="D5" t="s">
        <v>3209</v>
      </c>
      <c r="E5" s="234" t="s">
        <v>3203</v>
      </c>
      <c r="F5" s="4" t="s">
        <v>7448</v>
      </c>
    </row>
    <row r="6" spans="1:6" x14ac:dyDescent="0.25">
      <c r="A6" t="s">
        <v>2157</v>
      </c>
      <c r="B6" t="s">
        <v>3203</v>
      </c>
      <c r="C6" t="s">
        <v>3210</v>
      </c>
      <c r="D6" t="s">
        <v>3211</v>
      </c>
      <c r="E6" s="234" t="s">
        <v>3203</v>
      </c>
      <c r="F6" s="4" t="s">
        <v>7429</v>
      </c>
    </row>
    <row r="7" spans="1:6" x14ac:dyDescent="0.25">
      <c r="A7" t="s">
        <v>3212</v>
      </c>
      <c r="B7" t="s">
        <v>3203</v>
      </c>
      <c r="C7" t="s">
        <v>3213</v>
      </c>
      <c r="D7" t="s">
        <v>3214</v>
      </c>
      <c r="E7" s="234" t="s">
        <v>3203</v>
      </c>
      <c r="F7" s="4"/>
    </row>
    <row r="8" spans="1:6" x14ac:dyDescent="0.25">
      <c r="A8" t="s">
        <v>3215</v>
      </c>
      <c r="B8" t="s">
        <v>3203</v>
      </c>
      <c r="C8" t="s">
        <v>3216</v>
      </c>
      <c r="D8" t="s">
        <v>3217</v>
      </c>
      <c r="E8" s="234" t="s">
        <v>3203</v>
      </c>
      <c r="F8" s="4"/>
    </row>
    <row r="9" spans="1:6" x14ac:dyDescent="0.25">
      <c r="A9" t="s">
        <v>2158</v>
      </c>
      <c r="B9" t="s">
        <v>3218</v>
      </c>
      <c r="C9" t="s">
        <v>3219</v>
      </c>
      <c r="D9" t="s">
        <v>3220</v>
      </c>
      <c r="E9" s="234" t="s">
        <v>5107</v>
      </c>
      <c r="F9" s="4"/>
    </row>
    <row r="10" spans="1:6" x14ac:dyDescent="0.25">
      <c r="A10" t="s">
        <v>3221</v>
      </c>
      <c r="B10" t="s">
        <v>3203</v>
      </c>
      <c r="C10" t="s">
        <v>3222</v>
      </c>
      <c r="D10" t="s">
        <v>3223</v>
      </c>
      <c r="E10" s="234" t="s">
        <v>3203</v>
      </c>
      <c r="F10" s="4" t="s">
        <v>7430</v>
      </c>
    </row>
    <row r="11" spans="1:6" x14ac:dyDescent="0.25">
      <c r="A11" t="s">
        <v>2159</v>
      </c>
      <c r="B11" t="s">
        <v>3203</v>
      </c>
      <c r="C11" t="s">
        <v>3224</v>
      </c>
      <c r="D11" t="s">
        <v>3225</v>
      </c>
      <c r="E11" s="234" t="s">
        <v>3203</v>
      </c>
      <c r="F11" s="4"/>
    </row>
    <row r="12" spans="1:6" x14ac:dyDescent="0.25">
      <c r="A12" t="s">
        <v>2160</v>
      </c>
      <c r="B12" t="s">
        <v>3203</v>
      </c>
      <c r="C12" t="s">
        <v>3226</v>
      </c>
      <c r="D12" t="s">
        <v>3227</v>
      </c>
      <c r="E12" s="234" t="s">
        <v>3203</v>
      </c>
      <c r="F12" s="4" t="s">
        <v>7431</v>
      </c>
    </row>
    <row r="13" spans="1:6" x14ac:dyDescent="0.25">
      <c r="A13" t="s">
        <v>2161</v>
      </c>
      <c r="B13" t="s">
        <v>3228</v>
      </c>
      <c r="C13" t="s">
        <v>3229</v>
      </c>
      <c r="D13" t="s">
        <v>3230</v>
      </c>
      <c r="E13" s="234" t="s">
        <v>5108</v>
      </c>
      <c r="F13" s="4"/>
    </row>
    <row r="14" spans="1:6" x14ac:dyDescent="0.25">
      <c r="A14" t="s">
        <v>2162</v>
      </c>
      <c r="B14" t="s">
        <v>3231</v>
      </c>
      <c r="C14" t="s">
        <v>3232</v>
      </c>
      <c r="D14" t="s">
        <v>3233</v>
      </c>
      <c r="E14" s="234" t="s">
        <v>5109</v>
      </c>
      <c r="F14" s="4"/>
    </row>
    <row r="15" spans="1:6" x14ac:dyDescent="0.25">
      <c r="A15" t="s">
        <v>2163</v>
      </c>
      <c r="B15" t="s">
        <v>3203</v>
      </c>
      <c r="C15" t="s">
        <v>3234</v>
      </c>
      <c r="D15" t="s">
        <v>3235</v>
      </c>
      <c r="E15" s="234" t="s">
        <v>3203</v>
      </c>
      <c r="F15" s="4"/>
    </row>
    <row r="16" spans="1:6" x14ac:dyDescent="0.25">
      <c r="A16" t="s">
        <v>1035</v>
      </c>
      <c r="B16" t="s">
        <v>3203</v>
      </c>
      <c r="C16" t="s">
        <v>3236</v>
      </c>
      <c r="D16" t="s">
        <v>3237</v>
      </c>
      <c r="E16" s="234" t="s">
        <v>3203</v>
      </c>
      <c r="F16" s="4"/>
    </row>
    <row r="17" spans="1:6" x14ac:dyDescent="0.25">
      <c r="A17" t="s">
        <v>2164</v>
      </c>
      <c r="B17" t="s">
        <v>3238</v>
      </c>
      <c r="C17" t="s">
        <v>3239</v>
      </c>
      <c r="D17" t="s">
        <v>3240</v>
      </c>
      <c r="E17" t="s">
        <v>3238</v>
      </c>
      <c r="F17" s="4" t="s">
        <v>7432</v>
      </c>
    </row>
    <row r="18" spans="1:6" x14ac:dyDescent="0.25">
      <c r="A18" t="s">
        <v>2165</v>
      </c>
      <c r="B18" t="s">
        <v>3241</v>
      </c>
      <c r="C18" t="s">
        <v>3242</v>
      </c>
      <c r="D18" t="s">
        <v>3243</v>
      </c>
      <c r="E18" t="s">
        <v>3241</v>
      </c>
      <c r="F18" s="4" t="s">
        <v>7375</v>
      </c>
    </row>
    <row r="19" spans="1:6" x14ac:dyDescent="0.25">
      <c r="A19" t="s">
        <v>2166</v>
      </c>
      <c r="B19" t="s">
        <v>3244</v>
      </c>
      <c r="C19" t="s">
        <v>3245</v>
      </c>
      <c r="D19" t="s">
        <v>3246</v>
      </c>
      <c r="E19" s="234" t="s">
        <v>5110</v>
      </c>
      <c r="F19" s="4"/>
    </row>
    <row r="20" spans="1:6" x14ac:dyDescent="0.25">
      <c r="A20" t="s">
        <v>2167</v>
      </c>
      <c r="B20" t="s">
        <v>3203</v>
      </c>
      <c r="C20" t="s">
        <v>3247</v>
      </c>
      <c r="D20" t="s">
        <v>3248</v>
      </c>
      <c r="E20" s="234" t="s">
        <v>3203</v>
      </c>
      <c r="F20" s="4" t="s">
        <v>7433</v>
      </c>
    </row>
    <row r="21" spans="1:6" x14ac:dyDescent="0.25">
      <c r="A21" t="s">
        <v>2168</v>
      </c>
      <c r="B21" t="s">
        <v>3203</v>
      </c>
      <c r="C21" t="s">
        <v>3249</v>
      </c>
      <c r="D21" t="s">
        <v>3250</v>
      </c>
      <c r="E21" s="234" t="s">
        <v>3203</v>
      </c>
      <c r="F21" s="4" t="s">
        <v>7434</v>
      </c>
    </row>
    <row r="22" spans="1:6" x14ac:dyDescent="0.25">
      <c r="A22" t="s">
        <v>2169</v>
      </c>
      <c r="B22" t="s">
        <v>3203</v>
      </c>
      <c r="C22" t="s">
        <v>3251</v>
      </c>
      <c r="D22" s="173"/>
      <c r="E22" s="234" t="s">
        <v>3203</v>
      </c>
      <c r="F22" s="4" t="s">
        <v>7447</v>
      </c>
    </row>
    <row r="23" spans="1:6" x14ac:dyDescent="0.25">
      <c r="A23" t="s">
        <v>2170</v>
      </c>
      <c r="B23" t="s">
        <v>3203</v>
      </c>
      <c r="C23" t="s">
        <v>3252</v>
      </c>
      <c r="D23" t="s">
        <v>3253</v>
      </c>
      <c r="E23" s="234" t="s">
        <v>3203</v>
      </c>
      <c r="F23" s="4"/>
    </row>
    <row r="24" spans="1:6" x14ac:dyDescent="0.25">
      <c r="A24" t="s">
        <v>2171</v>
      </c>
      <c r="B24" t="s">
        <v>3203</v>
      </c>
      <c r="C24" t="s">
        <v>3254</v>
      </c>
      <c r="D24" t="s">
        <v>3255</v>
      </c>
      <c r="E24" s="234" t="s">
        <v>3203</v>
      </c>
      <c r="F24" s="4"/>
    </row>
    <row r="25" spans="1:6" x14ac:dyDescent="0.25">
      <c r="A25" t="s">
        <v>2172</v>
      </c>
      <c r="B25" t="s">
        <v>3203</v>
      </c>
      <c r="C25" t="s">
        <v>3256</v>
      </c>
      <c r="D25" t="s">
        <v>3257</v>
      </c>
      <c r="E25" s="234" t="s">
        <v>3203</v>
      </c>
      <c r="F25" s="4" t="s">
        <v>7435</v>
      </c>
    </row>
    <row r="26" spans="1:6" x14ac:dyDescent="0.25">
      <c r="A26" t="s">
        <v>2173</v>
      </c>
      <c r="B26" t="s">
        <v>3203</v>
      </c>
      <c r="C26" t="s">
        <v>3258</v>
      </c>
      <c r="D26" s="173"/>
      <c r="E26" s="234" t="s">
        <v>3203</v>
      </c>
      <c r="F26" s="4" t="s">
        <v>7436</v>
      </c>
    </row>
    <row r="27" spans="1:6" x14ac:dyDescent="0.25">
      <c r="A27" t="s">
        <v>2174</v>
      </c>
      <c r="B27" t="s">
        <v>3203</v>
      </c>
      <c r="C27" t="s">
        <v>3259</v>
      </c>
      <c r="D27" t="s">
        <v>3260</v>
      </c>
      <c r="E27" s="234" t="s">
        <v>3203</v>
      </c>
      <c r="F27" s="4"/>
    </row>
    <row r="28" spans="1:6" x14ac:dyDescent="0.25">
      <c r="A28" t="s">
        <v>2175</v>
      </c>
      <c r="B28" t="s">
        <v>3203</v>
      </c>
      <c r="C28" t="s">
        <v>3261</v>
      </c>
      <c r="D28" t="s">
        <v>3262</v>
      </c>
      <c r="E28" s="234" t="s">
        <v>3203</v>
      </c>
      <c r="F28" s="4" t="s">
        <v>7437</v>
      </c>
    </row>
    <row r="29" spans="1:6" x14ac:dyDescent="0.25">
      <c r="A29" t="s">
        <v>2176</v>
      </c>
      <c r="B29" t="s">
        <v>3263</v>
      </c>
      <c r="C29" t="s">
        <v>3264</v>
      </c>
      <c r="D29" t="s">
        <v>3265</v>
      </c>
      <c r="E29" t="s">
        <v>3263</v>
      </c>
      <c r="F29" s="4" t="s">
        <v>7438</v>
      </c>
    </row>
    <row r="30" spans="1:6" x14ac:dyDescent="0.25">
      <c r="A30" t="s">
        <v>2177</v>
      </c>
      <c r="B30" t="s">
        <v>3203</v>
      </c>
      <c r="C30" t="s">
        <v>3266</v>
      </c>
      <c r="D30" t="s">
        <v>3267</v>
      </c>
      <c r="E30" s="234" t="s">
        <v>3203</v>
      </c>
      <c r="F30" s="4"/>
    </row>
    <row r="31" spans="1:6" x14ac:dyDescent="0.25">
      <c r="A31" t="s">
        <v>2178</v>
      </c>
      <c r="B31" t="s">
        <v>3203</v>
      </c>
      <c r="C31" t="s">
        <v>3268</v>
      </c>
      <c r="D31" t="s">
        <v>3269</v>
      </c>
      <c r="E31" s="234" t="s">
        <v>3203</v>
      </c>
      <c r="F31" s="4" t="s">
        <v>7439</v>
      </c>
    </row>
    <row r="32" spans="1:6" x14ac:dyDescent="0.25">
      <c r="A32" t="s">
        <v>2179</v>
      </c>
      <c r="B32" t="s">
        <v>3203</v>
      </c>
      <c r="C32" t="s">
        <v>3270</v>
      </c>
      <c r="D32" t="s">
        <v>3271</v>
      </c>
      <c r="E32" s="234" t="s">
        <v>3203</v>
      </c>
      <c r="F32" s="4"/>
    </row>
    <row r="33" spans="1:6" x14ac:dyDescent="0.25">
      <c r="A33" t="s">
        <v>2180</v>
      </c>
      <c r="B33" t="s">
        <v>3203</v>
      </c>
      <c r="C33" t="s">
        <v>3272</v>
      </c>
      <c r="D33" t="s">
        <v>3273</v>
      </c>
      <c r="E33" s="234" t="s">
        <v>3203</v>
      </c>
      <c r="F33" s="4" t="s">
        <v>7440</v>
      </c>
    </row>
    <row r="34" spans="1:6" x14ac:dyDescent="0.25">
      <c r="A34" t="s">
        <v>2181</v>
      </c>
      <c r="B34" t="s">
        <v>3203</v>
      </c>
      <c r="C34" t="s">
        <v>3274</v>
      </c>
      <c r="D34" t="s">
        <v>3275</v>
      </c>
      <c r="E34" s="234" t="s">
        <v>3203</v>
      </c>
      <c r="F34" s="4" t="s">
        <v>7213</v>
      </c>
    </row>
    <row r="35" spans="1:6" x14ac:dyDescent="0.25">
      <c r="A35" t="s">
        <v>2182</v>
      </c>
      <c r="B35" t="s">
        <v>3203</v>
      </c>
      <c r="C35" t="s">
        <v>3276</v>
      </c>
      <c r="D35" t="s">
        <v>3277</v>
      </c>
      <c r="E35" s="234" t="s">
        <v>3203</v>
      </c>
      <c r="F35" s="4"/>
    </row>
    <row r="36" spans="1:6" x14ac:dyDescent="0.25">
      <c r="A36" t="s">
        <v>2183</v>
      </c>
      <c r="B36" t="s">
        <v>3203</v>
      </c>
      <c r="C36" t="s">
        <v>3278</v>
      </c>
      <c r="D36" t="s">
        <v>3279</v>
      </c>
      <c r="E36" s="234" t="s">
        <v>3203</v>
      </c>
      <c r="F36" s="4"/>
    </row>
    <row r="37" spans="1:6" x14ac:dyDescent="0.25">
      <c r="A37" t="s">
        <v>2184</v>
      </c>
      <c r="B37" t="s">
        <v>3203</v>
      </c>
      <c r="C37" t="s">
        <v>3280</v>
      </c>
      <c r="D37" t="s">
        <v>3281</v>
      </c>
      <c r="E37" s="234" t="s">
        <v>3203</v>
      </c>
      <c r="F37" s="4"/>
    </row>
    <row r="38" spans="1:6" x14ac:dyDescent="0.25">
      <c r="A38" t="s">
        <v>2185</v>
      </c>
      <c r="B38" t="s">
        <v>3203</v>
      </c>
      <c r="C38" t="s">
        <v>3282</v>
      </c>
      <c r="D38" t="s">
        <v>3283</v>
      </c>
      <c r="E38" s="234" t="s">
        <v>3203</v>
      </c>
      <c r="F38" s="4" t="s">
        <v>7441</v>
      </c>
    </row>
    <row r="39" spans="1:6" x14ac:dyDescent="0.25">
      <c r="A39" t="s">
        <v>2186</v>
      </c>
      <c r="B39" t="s">
        <v>3203</v>
      </c>
      <c r="C39" t="s">
        <v>3284</v>
      </c>
      <c r="D39" t="s">
        <v>3285</v>
      </c>
      <c r="E39" s="234" t="s">
        <v>3203</v>
      </c>
      <c r="F39" s="4" t="s">
        <v>7446</v>
      </c>
    </row>
    <row r="40" spans="1:6" x14ac:dyDescent="0.25">
      <c r="A40" t="s">
        <v>2187</v>
      </c>
      <c r="B40" t="s">
        <v>3218</v>
      </c>
      <c r="C40" t="s">
        <v>3286</v>
      </c>
      <c r="D40" t="s">
        <v>3287</v>
      </c>
      <c r="E40" s="234" t="s">
        <v>5107</v>
      </c>
      <c r="F40" s="4"/>
    </row>
    <row r="41" spans="1:6" x14ac:dyDescent="0.25">
      <c r="A41" t="s">
        <v>2188</v>
      </c>
      <c r="B41" t="s">
        <v>3228</v>
      </c>
      <c r="C41" t="s">
        <v>3288</v>
      </c>
      <c r="D41" t="s">
        <v>3289</v>
      </c>
      <c r="E41" s="234" t="s">
        <v>5108</v>
      </c>
      <c r="F41" s="4" t="s">
        <v>7445</v>
      </c>
    </row>
    <row r="42" spans="1:6" x14ac:dyDescent="0.25">
      <c r="A42" t="s">
        <v>2189</v>
      </c>
      <c r="B42" t="s">
        <v>3203</v>
      </c>
      <c r="C42" t="s">
        <v>3290</v>
      </c>
      <c r="D42" t="s">
        <v>3291</v>
      </c>
      <c r="E42" s="234" t="s">
        <v>3203</v>
      </c>
      <c r="F42" s="4" t="s">
        <v>7442</v>
      </c>
    </row>
    <row r="43" spans="1:6" x14ac:dyDescent="0.25">
      <c r="A43" t="s">
        <v>2190</v>
      </c>
      <c r="B43" t="s">
        <v>3203</v>
      </c>
      <c r="C43" t="s">
        <v>3292</v>
      </c>
      <c r="D43" t="s">
        <v>3293</v>
      </c>
      <c r="E43" s="234" t="s">
        <v>3203</v>
      </c>
      <c r="F43" s="4" t="s">
        <v>7443</v>
      </c>
    </row>
    <row r="44" spans="1:6" x14ac:dyDescent="0.25">
      <c r="A44" t="s">
        <v>2191</v>
      </c>
      <c r="B44" t="s">
        <v>3228</v>
      </c>
      <c r="C44" t="s">
        <v>3294</v>
      </c>
      <c r="D44" t="s">
        <v>3295</v>
      </c>
      <c r="E44" s="234" t="s">
        <v>5108</v>
      </c>
      <c r="F44" s="4"/>
    </row>
    <row r="45" spans="1:6" x14ac:dyDescent="0.25">
      <c r="A45" t="s">
        <v>2192</v>
      </c>
      <c r="B45" t="s">
        <v>3203</v>
      </c>
      <c r="C45" t="s">
        <v>3296</v>
      </c>
      <c r="D45" t="s">
        <v>3297</v>
      </c>
      <c r="E45" s="234" t="s">
        <v>3203</v>
      </c>
      <c r="F45" s="4" t="s">
        <v>7444</v>
      </c>
    </row>
    <row r="46" spans="1:6" ht="150" x14ac:dyDescent="0.25">
      <c r="A46" t="s">
        <v>6549</v>
      </c>
      <c r="B46" t="s">
        <v>3203</v>
      </c>
      <c r="C46" s="612" t="s">
        <v>6550</v>
      </c>
    </row>
  </sheetData>
  <mergeCells count="6">
    <mergeCell ref="F1:F2"/>
    <mergeCell ref="C1:C2"/>
    <mergeCell ref="B1:B2"/>
    <mergeCell ref="A1:A2"/>
    <mergeCell ref="E1:E2"/>
    <mergeCell ref="D1:D2"/>
  </mergeCells>
  <conditionalFormatting sqref="F4:F45">
    <cfRule type="expression" dxfId="0" priority="1">
      <formula>F4=""</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8">
    <tabColor theme="7" tint="0.39997558519241921"/>
  </sheetPr>
  <dimension ref="A1:G130"/>
  <sheetViews>
    <sheetView topLeftCell="A2" workbookViewId="0">
      <selection activeCell="BH23" sqref="BH23"/>
    </sheetView>
  </sheetViews>
  <sheetFormatPr defaultRowHeight="15" x14ac:dyDescent="0.25"/>
  <cols>
    <col min="2" max="2" width="16.7109375" bestFit="1" customWidth="1"/>
    <col min="3" max="3" width="28.7109375" bestFit="1" customWidth="1"/>
    <col min="4" max="4" width="39.28515625" bestFit="1" customWidth="1"/>
    <col min="5" max="5" width="14.85546875" bestFit="1" customWidth="1"/>
    <col min="6" max="6" width="19.28515625" bestFit="1" customWidth="1"/>
    <col min="7" max="7" width="71.5703125" bestFit="1" customWidth="1"/>
  </cols>
  <sheetData>
    <row r="1" spans="1:7" x14ac:dyDescent="0.25">
      <c r="B1" s="458" t="s">
        <v>4134</v>
      </c>
      <c r="C1" s="458" t="s">
        <v>0</v>
      </c>
      <c r="D1" s="458" t="s">
        <v>3710</v>
      </c>
      <c r="E1" s="458" t="s">
        <v>3311</v>
      </c>
      <c r="F1" s="458" t="s">
        <v>3711</v>
      </c>
      <c r="G1" s="458" t="s">
        <v>2721</v>
      </c>
    </row>
    <row r="2" spans="1:7" x14ac:dyDescent="0.25">
      <c r="A2" s="8">
        <f>IF(C2="","",1)</f>
        <v>1</v>
      </c>
      <c r="B2" s="4" t="s">
        <v>4135</v>
      </c>
      <c r="C2" s="4" t="s">
        <v>3712</v>
      </c>
      <c r="D2" s="4" t="s">
        <v>3713</v>
      </c>
      <c r="E2" s="4" t="s">
        <v>3714</v>
      </c>
      <c r="F2" s="4" t="s">
        <v>3715</v>
      </c>
      <c r="G2" s="4" t="s">
        <v>3716</v>
      </c>
    </row>
    <row r="3" spans="1:7" x14ac:dyDescent="0.25">
      <c r="A3" s="8">
        <f>IF(C3="","",A2+1)</f>
        <v>2</v>
      </c>
      <c r="B3" s="4" t="s">
        <v>4135</v>
      </c>
      <c r="C3" s="4" t="s">
        <v>3717</v>
      </c>
      <c r="D3" s="4" t="s">
        <v>3718</v>
      </c>
      <c r="E3" s="4" t="s">
        <v>3600</v>
      </c>
      <c r="F3" s="4" t="s">
        <v>3562</v>
      </c>
      <c r="G3" s="4" t="s">
        <v>3719</v>
      </c>
    </row>
    <row r="4" spans="1:7" x14ac:dyDescent="0.25">
      <c r="A4" s="8">
        <f t="shared" ref="A4:A67" si="0">IF(C4="","",A3+1)</f>
        <v>3</v>
      </c>
      <c r="B4" s="4" t="s">
        <v>4135</v>
      </c>
      <c r="C4" s="4" t="s">
        <v>3720</v>
      </c>
      <c r="D4" s="4" t="s">
        <v>3721</v>
      </c>
      <c r="E4" s="4" t="s">
        <v>3722</v>
      </c>
      <c r="F4" s="4" t="s">
        <v>3426</v>
      </c>
      <c r="G4" s="4" t="s">
        <v>3723</v>
      </c>
    </row>
    <row r="5" spans="1:7" x14ac:dyDescent="0.25">
      <c r="A5" s="8">
        <f t="shared" si="0"/>
        <v>4</v>
      </c>
      <c r="B5" s="4" t="s">
        <v>4135</v>
      </c>
      <c r="C5" s="4" t="s">
        <v>3724</v>
      </c>
      <c r="D5" s="4" t="s">
        <v>3725</v>
      </c>
      <c r="E5" s="4" t="s">
        <v>3726</v>
      </c>
      <c r="F5" s="4" t="s">
        <v>3727</v>
      </c>
      <c r="G5" s="4" t="s">
        <v>3728</v>
      </c>
    </row>
    <row r="6" spans="1:7" x14ac:dyDescent="0.25">
      <c r="A6" s="8">
        <f t="shared" si="0"/>
        <v>5</v>
      </c>
      <c r="B6" s="4" t="s">
        <v>4135</v>
      </c>
      <c r="C6" s="4" t="s">
        <v>3729</v>
      </c>
      <c r="D6" s="4" t="s">
        <v>3730</v>
      </c>
      <c r="E6" s="4" t="s">
        <v>3714</v>
      </c>
      <c r="F6" s="4" t="s">
        <v>3731</v>
      </c>
      <c r="G6" s="4" t="s">
        <v>3732</v>
      </c>
    </row>
    <row r="7" spans="1:7" x14ac:dyDescent="0.25">
      <c r="A7" s="8">
        <f t="shared" si="0"/>
        <v>6</v>
      </c>
      <c r="B7" s="4" t="s">
        <v>4135</v>
      </c>
      <c r="C7" s="4" t="s">
        <v>3733</v>
      </c>
      <c r="D7" s="4" t="s">
        <v>3734</v>
      </c>
      <c r="E7" s="4" t="s">
        <v>3735</v>
      </c>
      <c r="F7" s="4" t="s">
        <v>2966</v>
      </c>
      <c r="G7" s="4" t="s">
        <v>3736</v>
      </c>
    </row>
    <row r="8" spans="1:7" x14ac:dyDescent="0.25">
      <c r="A8" s="8">
        <f t="shared" si="0"/>
        <v>7</v>
      </c>
      <c r="B8" s="4" t="s">
        <v>4135</v>
      </c>
      <c r="C8" s="4" t="s">
        <v>3737</v>
      </c>
      <c r="D8" s="4" t="s">
        <v>3738</v>
      </c>
      <c r="E8" s="4" t="s">
        <v>3726</v>
      </c>
      <c r="F8" s="4" t="s">
        <v>3727</v>
      </c>
      <c r="G8" s="4" t="s">
        <v>3739</v>
      </c>
    </row>
    <row r="9" spans="1:7" x14ac:dyDescent="0.25">
      <c r="A9" s="8">
        <f t="shared" si="0"/>
        <v>8</v>
      </c>
      <c r="B9" s="4" t="s">
        <v>4135</v>
      </c>
      <c r="C9" s="4" t="s">
        <v>3740</v>
      </c>
      <c r="D9" s="4" t="s">
        <v>3741</v>
      </c>
      <c r="E9" s="4" t="s">
        <v>3735</v>
      </c>
      <c r="F9" s="4" t="s">
        <v>3562</v>
      </c>
      <c r="G9" s="4" t="s">
        <v>3742</v>
      </c>
    </row>
    <row r="10" spans="1:7" x14ac:dyDescent="0.25">
      <c r="A10" s="8">
        <f t="shared" si="0"/>
        <v>9</v>
      </c>
      <c r="B10" s="4" t="s">
        <v>4135</v>
      </c>
      <c r="C10" s="4" t="s">
        <v>3743</v>
      </c>
      <c r="D10" s="4" t="s">
        <v>3744</v>
      </c>
      <c r="E10" s="4" t="s">
        <v>3735</v>
      </c>
      <c r="F10" s="4" t="s">
        <v>3745</v>
      </c>
      <c r="G10" s="4" t="s">
        <v>3746</v>
      </c>
    </row>
    <row r="11" spans="1:7" x14ac:dyDescent="0.25">
      <c r="A11" s="8">
        <f t="shared" si="0"/>
        <v>10</v>
      </c>
      <c r="B11" s="4" t="s">
        <v>4135</v>
      </c>
      <c r="C11" s="4" t="s">
        <v>3747</v>
      </c>
      <c r="D11" s="4" t="s">
        <v>3748</v>
      </c>
      <c r="E11" s="4" t="s">
        <v>3601</v>
      </c>
      <c r="F11" s="4" t="s">
        <v>3562</v>
      </c>
      <c r="G11" s="4" t="s">
        <v>3749</v>
      </c>
    </row>
    <row r="12" spans="1:7" x14ac:dyDescent="0.25">
      <c r="A12" s="8">
        <f t="shared" si="0"/>
        <v>11</v>
      </c>
      <c r="B12" s="4" t="s">
        <v>4135</v>
      </c>
      <c r="C12" s="4" t="s">
        <v>3750</v>
      </c>
      <c r="D12" s="4" t="s">
        <v>3751</v>
      </c>
      <c r="E12" s="4" t="s">
        <v>3600</v>
      </c>
      <c r="F12" s="4" t="s">
        <v>3752</v>
      </c>
      <c r="G12" s="4" t="s">
        <v>3753</v>
      </c>
    </row>
    <row r="13" spans="1:7" x14ac:dyDescent="0.25">
      <c r="A13" s="8">
        <f t="shared" si="0"/>
        <v>12</v>
      </c>
      <c r="B13" s="4" t="s">
        <v>4135</v>
      </c>
      <c r="C13" s="4" t="s">
        <v>3754</v>
      </c>
      <c r="D13" s="4" t="s">
        <v>3755</v>
      </c>
      <c r="E13" s="4" t="s">
        <v>3756</v>
      </c>
      <c r="F13" s="4" t="s">
        <v>2966</v>
      </c>
      <c r="G13" s="4" t="s">
        <v>3757</v>
      </c>
    </row>
    <row r="14" spans="1:7" x14ac:dyDescent="0.25">
      <c r="A14" s="8">
        <f t="shared" si="0"/>
        <v>13</v>
      </c>
      <c r="B14" s="4" t="s">
        <v>4135</v>
      </c>
      <c r="C14" s="4" t="s">
        <v>3758</v>
      </c>
      <c r="D14" s="4" t="s">
        <v>3759</v>
      </c>
      <c r="E14" s="4" t="s">
        <v>3600</v>
      </c>
      <c r="F14" s="4" t="s">
        <v>3731</v>
      </c>
      <c r="G14" s="4" t="s">
        <v>3760</v>
      </c>
    </row>
    <row r="15" spans="1:7" x14ac:dyDescent="0.25">
      <c r="A15" s="8">
        <f t="shared" si="0"/>
        <v>14</v>
      </c>
      <c r="B15" s="4" t="s">
        <v>4135</v>
      </c>
      <c r="C15" s="4" t="s">
        <v>3761</v>
      </c>
      <c r="D15" s="4" t="s">
        <v>3762</v>
      </c>
      <c r="E15" s="4" t="s">
        <v>3735</v>
      </c>
      <c r="F15" s="4" t="s">
        <v>3763</v>
      </c>
      <c r="G15" s="4" t="s">
        <v>3764</v>
      </c>
    </row>
    <row r="16" spans="1:7" x14ac:dyDescent="0.25">
      <c r="A16" s="8">
        <f t="shared" si="0"/>
        <v>15</v>
      </c>
      <c r="B16" s="4" t="s">
        <v>4135</v>
      </c>
      <c r="C16" s="4" t="s">
        <v>3765</v>
      </c>
      <c r="D16" s="4" t="s">
        <v>3766</v>
      </c>
      <c r="E16" s="4" t="s">
        <v>3767</v>
      </c>
      <c r="F16" s="4" t="s">
        <v>3727</v>
      </c>
      <c r="G16" s="4" t="s">
        <v>3768</v>
      </c>
    </row>
    <row r="17" spans="1:7" x14ac:dyDescent="0.25">
      <c r="A17" s="8">
        <f t="shared" si="0"/>
        <v>16</v>
      </c>
      <c r="B17" s="4" t="s">
        <v>4135</v>
      </c>
      <c r="C17" s="4" t="s">
        <v>3769</v>
      </c>
      <c r="D17" s="4" t="s">
        <v>3770</v>
      </c>
      <c r="E17" s="4" t="s">
        <v>3771</v>
      </c>
      <c r="F17" s="4" t="s">
        <v>2966</v>
      </c>
      <c r="G17" s="4" t="s">
        <v>3772</v>
      </c>
    </row>
    <row r="18" spans="1:7" x14ac:dyDescent="0.25">
      <c r="A18" s="8">
        <f t="shared" si="0"/>
        <v>17</v>
      </c>
      <c r="B18" s="4" t="s">
        <v>4135</v>
      </c>
      <c r="C18" s="4" t="s">
        <v>3773</v>
      </c>
      <c r="D18" s="4" t="s">
        <v>3774</v>
      </c>
      <c r="E18" s="4" t="s">
        <v>3722</v>
      </c>
      <c r="F18" s="4" t="s">
        <v>3731</v>
      </c>
      <c r="G18" s="4" t="s">
        <v>3775</v>
      </c>
    </row>
    <row r="19" spans="1:7" x14ac:dyDescent="0.25">
      <c r="A19" s="8">
        <f t="shared" si="0"/>
        <v>18</v>
      </c>
      <c r="B19" s="4" t="s">
        <v>4135</v>
      </c>
      <c r="C19" s="4" t="s">
        <v>3776</v>
      </c>
      <c r="D19" s="4" t="s">
        <v>3777</v>
      </c>
      <c r="E19" s="4" t="s">
        <v>3726</v>
      </c>
      <c r="F19" s="4" t="s">
        <v>611</v>
      </c>
      <c r="G19" s="4" t="s">
        <v>3778</v>
      </c>
    </row>
    <row r="20" spans="1:7" x14ac:dyDescent="0.25">
      <c r="A20" s="8">
        <f t="shared" si="0"/>
        <v>19</v>
      </c>
      <c r="B20" s="4" t="s">
        <v>4135</v>
      </c>
      <c r="C20" s="4" t="s">
        <v>3779</v>
      </c>
      <c r="D20" s="4" t="s">
        <v>3780</v>
      </c>
      <c r="E20" s="4" t="s">
        <v>3767</v>
      </c>
      <c r="F20" s="4" t="s">
        <v>3727</v>
      </c>
      <c r="G20" s="4" t="s">
        <v>3781</v>
      </c>
    </row>
    <row r="21" spans="1:7" x14ac:dyDescent="0.25">
      <c r="A21" s="8">
        <f t="shared" si="0"/>
        <v>20</v>
      </c>
      <c r="B21" s="4" t="s">
        <v>4135</v>
      </c>
      <c r="C21" s="4" t="s">
        <v>3782</v>
      </c>
      <c r="D21" s="4" t="s">
        <v>3783</v>
      </c>
      <c r="E21" s="4" t="s">
        <v>3735</v>
      </c>
      <c r="F21" s="4" t="s">
        <v>611</v>
      </c>
      <c r="G21" s="4" t="s">
        <v>3784</v>
      </c>
    </row>
    <row r="22" spans="1:7" x14ac:dyDescent="0.25">
      <c r="A22" s="8">
        <f t="shared" si="0"/>
        <v>21</v>
      </c>
      <c r="B22" s="4" t="s">
        <v>4135</v>
      </c>
      <c r="C22" s="4" t="s">
        <v>3785</v>
      </c>
      <c r="D22" s="4" t="s">
        <v>3786</v>
      </c>
      <c r="E22" s="4" t="s">
        <v>3735</v>
      </c>
      <c r="F22" s="4" t="s">
        <v>122</v>
      </c>
      <c r="G22" s="4" t="s">
        <v>3787</v>
      </c>
    </row>
    <row r="23" spans="1:7" x14ac:dyDescent="0.25">
      <c r="A23" s="8">
        <f t="shared" si="0"/>
        <v>22</v>
      </c>
      <c r="B23" s="4" t="s">
        <v>4135</v>
      </c>
      <c r="C23" s="4" t="s">
        <v>3788</v>
      </c>
      <c r="D23" s="4" t="s">
        <v>3789</v>
      </c>
      <c r="E23" s="4" t="s">
        <v>3714</v>
      </c>
      <c r="F23" s="4" t="s">
        <v>3731</v>
      </c>
      <c r="G23" s="4" t="s">
        <v>3790</v>
      </c>
    </row>
    <row r="24" spans="1:7" x14ac:dyDescent="0.25">
      <c r="A24" s="8">
        <f t="shared" si="0"/>
        <v>23</v>
      </c>
      <c r="B24" s="4" t="s">
        <v>4135</v>
      </c>
      <c r="C24" s="4" t="s">
        <v>3791</v>
      </c>
      <c r="D24" s="4" t="s">
        <v>3792</v>
      </c>
      <c r="E24" s="4" t="s">
        <v>3735</v>
      </c>
      <c r="F24" s="4" t="s">
        <v>3562</v>
      </c>
      <c r="G24" s="4" t="s">
        <v>3793</v>
      </c>
    </row>
    <row r="25" spans="1:7" x14ac:dyDescent="0.25">
      <c r="A25" s="8">
        <f t="shared" si="0"/>
        <v>24</v>
      </c>
      <c r="B25" s="4" t="s">
        <v>4135</v>
      </c>
      <c r="C25" s="4" t="s">
        <v>3794</v>
      </c>
      <c r="D25" s="4" t="s">
        <v>3795</v>
      </c>
      <c r="E25" s="4" t="s">
        <v>3601</v>
      </c>
      <c r="F25" s="4" t="s">
        <v>3562</v>
      </c>
      <c r="G25" s="4" t="s">
        <v>3796</v>
      </c>
    </row>
    <row r="26" spans="1:7" x14ac:dyDescent="0.25">
      <c r="A26" s="8">
        <f t="shared" si="0"/>
        <v>25</v>
      </c>
      <c r="B26" s="4" t="s">
        <v>4135</v>
      </c>
      <c r="C26" s="4" t="s">
        <v>3797</v>
      </c>
      <c r="D26" s="4" t="s">
        <v>3798</v>
      </c>
      <c r="E26" s="4" t="s">
        <v>3600</v>
      </c>
      <c r="F26" s="4" t="s">
        <v>3562</v>
      </c>
      <c r="G26" s="4" t="s">
        <v>3799</v>
      </c>
    </row>
    <row r="27" spans="1:7" x14ac:dyDescent="0.25">
      <c r="A27" s="8">
        <f t="shared" si="0"/>
        <v>26</v>
      </c>
      <c r="B27" s="4" t="s">
        <v>4135</v>
      </c>
      <c r="C27" s="4" t="s">
        <v>3800</v>
      </c>
      <c r="D27" s="4" t="s">
        <v>3801</v>
      </c>
      <c r="E27" s="4" t="s">
        <v>3771</v>
      </c>
      <c r="F27" s="4" t="s">
        <v>3802</v>
      </c>
      <c r="G27" s="4" t="s">
        <v>3803</v>
      </c>
    </row>
    <row r="28" spans="1:7" x14ac:dyDescent="0.25">
      <c r="A28" s="8">
        <f t="shared" si="0"/>
        <v>27</v>
      </c>
      <c r="B28" s="4" t="s">
        <v>4135</v>
      </c>
      <c r="C28" s="4" t="s">
        <v>3804</v>
      </c>
      <c r="D28" s="4" t="s">
        <v>3805</v>
      </c>
      <c r="E28" s="4" t="s">
        <v>3714</v>
      </c>
      <c r="F28" s="4" t="s">
        <v>3806</v>
      </c>
      <c r="G28" s="4" t="s">
        <v>3807</v>
      </c>
    </row>
    <row r="29" spans="1:7" x14ac:dyDescent="0.25">
      <c r="A29" s="8">
        <f t="shared" si="0"/>
        <v>28</v>
      </c>
      <c r="B29" s="4" t="s">
        <v>4135</v>
      </c>
      <c r="C29" s="4" t="s">
        <v>3808</v>
      </c>
      <c r="D29" s="4" t="s">
        <v>3809</v>
      </c>
      <c r="E29" s="4" t="s">
        <v>3601</v>
      </c>
      <c r="F29" s="4" t="s">
        <v>611</v>
      </c>
      <c r="G29" s="4" t="s">
        <v>3810</v>
      </c>
    </row>
    <row r="30" spans="1:7" x14ac:dyDescent="0.25">
      <c r="A30" s="8">
        <f t="shared" si="0"/>
        <v>29</v>
      </c>
      <c r="B30" s="4" t="s">
        <v>4135</v>
      </c>
      <c r="C30" s="4" t="s">
        <v>3811</v>
      </c>
      <c r="D30" s="4" t="s">
        <v>3812</v>
      </c>
      <c r="E30" s="4" t="s">
        <v>3771</v>
      </c>
      <c r="F30" s="4" t="s">
        <v>3752</v>
      </c>
      <c r="G30" s="4" t="s">
        <v>3813</v>
      </c>
    </row>
    <row r="31" spans="1:7" x14ac:dyDescent="0.25">
      <c r="A31" s="8">
        <f t="shared" si="0"/>
        <v>30</v>
      </c>
      <c r="B31" s="4" t="s">
        <v>4135</v>
      </c>
      <c r="C31" s="4" t="s">
        <v>3814</v>
      </c>
      <c r="D31" s="4" t="s">
        <v>3815</v>
      </c>
      <c r="E31" s="4" t="s">
        <v>3726</v>
      </c>
      <c r="F31" s="4" t="s">
        <v>3731</v>
      </c>
      <c r="G31" s="4" t="s">
        <v>3816</v>
      </c>
    </row>
    <row r="32" spans="1:7" x14ac:dyDescent="0.25">
      <c r="A32" s="8">
        <f t="shared" si="0"/>
        <v>31</v>
      </c>
      <c r="B32" s="4" t="s">
        <v>4135</v>
      </c>
      <c r="C32" s="4" t="s">
        <v>3817</v>
      </c>
      <c r="D32" s="4" t="s">
        <v>3818</v>
      </c>
      <c r="E32" s="4" t="s">
        <v>3726</v>
      </c>
      <c r="F32" s="4" t="s">
        <v>3424</v>
      </c>
      <c r="G32" s="4" t="s">
        <v>3819</v>
      </c>
    </row>
    <row r="33" spans="1:7" x14ac:dyDescent="0.25">
      <c r="A33" s="8">
        <f t="shared" si="0"/>
        <v>32</v>
      </c>
      <c r="B33" s="4" t="s">
        <v>4135</v>
      </c>
      <c r="C33" s="4" t="s">
        <v>3820</v>
      </c>
      <c r="D33" s="4" t="s">
        <v>3821</v>
      </c>
      <c r="E33" s="4" t="s">
        <v>3601</v>
      </c>
      <c r="F33" s="4" t="s">
        <v>3426</v>
      </c>
      <c r="G33" s="4" t="s">
        <v>3822</v>
      </c>
    </row>
    <row r="34" spans="1:7" x14ac:dyDescent="0.25">
      <c r="A34" s="8">
        <f t="shared" si="0"/>
        <v>33</v>
      </c>
      <c r="B34" s="4" t="s">
        <v>4135</v>
      </c>
      <c r="C34" s="4" t="s">
        <v>3823</v>
      </c>
      <c r="D34" s="4" t="s">
        <v>3824</v>
      </c>
      <c r="E34" s="4" t="s">
        <v>3756</v>
      </c>
      <c r="F34" s="4" t="s">
        <v>3426</v>
      </c>
      <c r="G34" s="4" t="s">
        <v>3825</v>
      </c>
    </row>
    <row r="35" spans="1:7" x14ac:dyDescent="0.25">
      <c r="A35" s="8">
        <f t="shared" si="0"/>
        <v>34</v>
      </c>
      <c r="B35" s="4" t="s">
        <v>4135</v>
      </c>
      <c r="C35" s="4" t="s">
        <v>3826</v>
      </c>
      <c r="D35" s="4" t="s">
        <v>3827</v>
      </c>
      <c r="E35" s="4" t="s">
        <v>3771</v>
      </c>
      <c r="F35" s="4" t="s">
        <v>3727</v>
      </c>
      <c r="G35" s="4" t="s">
        <v>3828</v>
      </c>
    </row>
    <row r="36" spans="1:7" x14ac:dyDescent="0.25">
      <c r="A36" s="8">
        <f t="shared" si="0"/>
        <v>35</v>
      </c>
      <c r="B36" s="4" t="s">
        <v>4135</v>
      </c>
      <c r="C36" s="4" t="s">
        <v>3829</v>
      </c>
      <c r="D36" s="4" t="s">
        <v>3830</v>
      </c>
      <c r="E36" s="4" t="s">
        <v>3756</v>
      </c>
      <c r="F36" s="4" t="s">
        <v>3426</v>
      </c>
      <c r="G36" s="4" t="s">
        <v>3831</v>
      </c>
    </row>
    <row r="37" spans="1:7" x14ac:dyDescent="0.25">
      <c r="A37" s="8">
        <f t="shared" si="0"/>
        <v>36</v>
      </c>
      <c r="B37" s="4" t="s">
        <v>4135</v>
      </c>
      <c r="C37" s="4" t="s">
        <v>3832</v>
      </c>
      <c r="D37" s="4" t="s">
        <v>3833</v>
      </c>
      <c r="E37" s="4" t="s">
        <v>3726</v>
      </c>
      <c r="F37" s="4" t="s">
        <v>3424</v>
      </c>
      <c r="G37" s="4" t="s">
        <v>3834</v>
      </c>
    </row>
    <row r="38" spans="1:7" x14ac:dyDescent="0.25">
      <c r="A38" s="8">
        <f t="shared" si="0"/>
        <v>37</v>
      </c>
      <c r="B38" s="4" t="s">
        <v>4135</v>
      </c>
      <c r="C38" s="4" t="s">
        <v>3835</v>
      </c>
      <c r="D38" s="4" t="s">
        <v>3836</v>
      </c>
      <c r="E38" s="4" t="s">
        <v>3601</v>
      </c>
      <c r="F38" s="4" t="s">
        <v>3837</v>
      </c>
      <c r="G38" s="4" t="s">
        <v>3838</v>
      </c>
    </row>
    <row r="39" spans="1:7" x14ac:dyDescent="0.25">
      <c r="A39" s="8">
        <f t="shared" si="0"/>
        <v>38</v>
      </c>
      <c r="B39" s="4" t="s">
        <v>4136</v>
      </c>
      <c r="C39" s="4" t="s">
        <v>3839</v>
      </c>
      <c r="D39" s="4" t="s">
        <v>3840</v>
      </c>
      <c r="E39" s="4" t="s">
        <v>3601</v>
      </c>
      <c r="F39" s="4" t="s">
        <v>611</v>
      </c>
      <c r="G39" s="4" t="s">
        <v>3841</v>
      </c>
    </row>
    <row r="40" spans="1:7" x14ac:dyDescent="0.25">
      <c r="A40" s="8">
        <f t="shared" si="0"/>
        <v>39</v>
      </c>
      <c r="B40" s="4" t="s">
        <v>4136</v>
      </c>
      <c r="C40" s="4" t="s">
        <v>3842</v>
      </c>
      <c r="D40" s="4" t="s">
        <v>3843</v>
      </c>
      <c r="E40" s="4" t="s">
        <v>3601</v>
      </c>
      <c r="F40" s="4" t="s">
        <v>3562</v>
      </c>
      <c r="G40" s="4" t="s">
        <v>3844</v>
      </c>
    </row>
    <row r="41" spans="1:7" x14ac:dyDescent="0.25">
      <c r="A41" s="8">
        <f t="shared" si="0"/>
        <v>40</v>
      </c>
      <c r="B41" s="4" t="s">
        <v>4136</v>
      </c>
      <c r="C41" s="4" t="s">
        <v>3845</v>
      </c>
      <c r="D41" s="4" t="s">
        <v>3846</v>
      </c>
      <c r="E41" s="4" t="s">
        <v>3601</v>
      </c>
      <c r="F41" s="4" t="s">
        <v>3562</v>
      </c>
      <c r="G41" s="4" t="s">
        <v>3847</v>
      </c>
    </row>
    <row r="42" spans="1:7" x14ac:dyDescent="0.25">
      <c r="A42" s="8">
        <f t="shared" si="0"/>
        <v>41</v>
      </c>
      <c r="B42" s="4" t="s">
        <v>4136</v>
      </c>
      <c r="C42" s="4" t="s">
        <v>3848</v>
      </c>
      <c r="D42" s="4" t="s">
        <v>3849</v>
      </c>
      <c r="E42" s="4" t="s">
        <v>3756</v>
      </c>
      <c r="F42" s="4" t="s">
        <v>3745</v>
      </c>
      <c r="G42" s="4" t="s">
        <v>3850</v>
      </c>
    </row>
    <row r="43" spans="1:7" x14ac:dyDescent="0.25">
      <c r="A43" s="8">
        <f t="shared" si="0"/>
        <v>42</v>
      </c>
      <c r="B43" s="4" t="s">
        <v>4136</v>
      </c>
      <c r="C43" s="4" t="s">
        <v>3851</v>
      </c>
      <c r="D43" s="4" t="s">
        <v>3852</v>
      </c>
      <c r="E43" s="4" t="s">
        <v>3726</v>
      </c>
      <c r="F43" s="4" t="s">
        <v>3426</v>
      </c>
      <c r="G43" s="4" t="s">
        <v>3853</v>
      </c>
    </row>
    <row r="44" spans="1:7" x14ac:dyDescent="0.25">
      <c r="A44" s="8">
        <f t="shared" si="0"/>
        <v>43</v>
      </c>
      <c r="B44" s="4" t="s">
        <v>4136</v>
      </c>
      <c r="C44" s="4" t="s">
        <v>3854</v>
      </c>
      <c r="D44" s="4" t="s">
        <v>3855</v>
      </c>
      <c r="E44" s="4" t="s">
        <v>3756</v>
      </c>
      <c r="F44" s="4" t="s">
        <v>3837</v>
      </c>
      <c r="G44" s="4" t="s">
        <v>3856</v>
      </c>
    </row>
    <row r="45" spans="1:7" x14ac:dyDescent="0.25">
      <c r="A45" s="8">
        <f t="shared" si="0"/>
        <v>44</v>
      </c>
      <c r="B45" s="4" t="s">
        <v>4136</v>
      </c>
      <c r="C45" s="4" t="s">
        <v>3857</v>
      </c>
      <c r="D45" s="4" t="s">
        <v>3858</v>
      </c>
      <c r="E45" s="4" t="s">
        <v>3756</v>
      </c>
      <c r="F45" s="4" t="s">
        <v>3426</v>
      </c>
      <c r="G45" s="4" t="s">
        <v>3859</v>
      </c>
    </row>
    <row r="46" spans="1:7" x14ac:dyDescent="0.25">
      <c r="A46" s="8">
        <f t="shared" si="0"/>
        <v>45</v>
      </c>
      <c r="B46" s="4" t="s">
        <v>4136</v>
      </c>
      <c r="C46" s="4" t="s">
        <v>3860</v>
      </c>
      <c r="D46" s="4" t="s">
        <v>3861</v>
      </c>
      <c r="E46" s="4" t="s">
        <v>3722</v>
      </c>
      <c r="F46" s="4" t="s">
        <v>3426</v>
      </c>
      <c r="G46" s="4" t="s">
        <v>3862</v>
      </c>
    </row>
    <row r="47" spans="1:7" x14ac:dyDescent="0.25">
      <c r="A47" s="8">
        <f t="shared" si="0"/>
        <v>46</v>
      </c>
      <c r="B47" s="4" t="s">
        <v>4136</v>
      </c>
      <c r="C47" s="4" t="s">
        <v>3863</v>
      </c>
      <c r="D47" s="4" t="s">
        <v>3864</v>
      </c>
      <c r="E47" s="4" t="s">
        <v>3714</v>
      </c>
      <c r="F47" s="4" t="s">
        <v>3731</v>
      </c>
      <c r="G47" s="4" t="s">
        <v>3865</v>
      </c>
    </row>
    <row r="48" spans="1:7" x14ac:dyDescent="0.25">
      <c r="A48" s="8">
        <f t="shared" si="0"/>
        <v>47</v>
      </c>
      <c r="B48" s="4" t="s">
        <v>4136</v>
      </c>
      <c r="C48" s="4" t="s">
        <v>3866</v>
      </c>
      <c r="D48" s="4" t="s">
        <v>3867</v>
      </c>
      <c r="E48" s="4" t="s">
        <v>3601</v>
      </c>
      <c r="F48" s="4" t="s">
        <v>3562</v>
      </c>
      <c r="G48" s="4" t="s">
        <v>3868</v>
      </c>
    </row>
    <row r="49" spans="1:7" x14ac:dyDescent="0.25">
      <c r="A49" s="8">
        <f t="shared" si="0"/>
        <v>48</v>
      </c>
      <c r="B49" s="4" t="s">
        <v>4136</v>
      </c>
      <c r="C49" s="4" t="s">
        <v>3869</v>
      </c>
      <c r="D49" s="4" t="s">
        <v>3870</v>
      </c>
      <c r="E49" s="4" t="s">
        <v>3771</v>
      </c>
      <c r="F49" s="4" t="s">
        <v>3871</v>
      </c>
      <c r="G49" s="4" t="s">
        <v>3872</v>
      </c>
    </row>
    <row r="50" spans="1:7" x14ac:dyDescent="0.25">
      <c r="A50" s="8">
        <f t="shared" si="0"/>
        <v>49</v>
      </c>
      <c r="B50" s="4" t="s">
        <v>4136</v>
      </c>
      <c r="C50" s="4" t="s">
        <v>3873</v>
      </c>
      <c r="D50" s="4" t="s">
        <v>3874</v>
      </c>
      <c r="E50" s="4" t="s">
        <v>3726</v>
      </c>
      <c r="F50" s="4" t="s">
        <v>3731</v>
      </c>
      <c r="G50" s="4" t="s">
        <v>3875</v>
      </c>
    </row>
    <row r="51" spans="1:7" x14ac:dyDescent="0.25">
      <c r="A51" s="8">
        <f t="shared" si="0"/>
        <v>50</v>
      </c>
      <c r="B51" s="4" t="s">
        <v>4136</v>
      </c>
      <c r="C51" s="4" t="s">
        <v>3876</v>
      </c>
      <c r="D51" s="4" t="s">
        <v>3877</v>
      </c>
      <c r="E51" s="4" t="s">
        <v>3714</v>
      </c>
      <c r="F51" s="4" t="s">
        <v>3731</v>
      </c>
      <c r="G51" s="4" t="s">
        <v>3878</v>
      </c>
    </row>
    <row r="52" spans="1:7" x14ac:dyDescent="0.25">
      <c r="A52" s="8">
        <f t="shared" si="0"/>
        <v>51</v>
      </c>
      <c r="B52" s="4" t="s">
        <v>4136</v>
      </c>
      <c r="C52" s="4" t="s">
        <v>3879</v>
      </c>
      <c r="D52" s="4" t="s">
        <v>3880</v>
      </c>
      <c r="E52" s="4" t="s">
        <v>3601</v>
      </c>
      <c r="F52" s="4" t="s">
        <v>611</v>
      </c>
      <c r="G52" s="4" t="s">
        <v>3881</v>
      </c>
    </row>
    <row r="53" spans="1:7" x14ac:dyDescent="0.25">
      <c r="A53" s="8">
        <f t="shared" si="0"/>
        <v>52</v>
      </c>
      <c r="B53" s="4" t="s">
        <v>4136</v>
      </c>
      <c r="C53" s="4" t="s">
        <v>3882</v>
      </c>
      <c r="D53" s="4" t="s">
        <v>3883</v>
      </c>
      <c r="E53" s="4" t="s">
        <v>3767</v>
      </c>
      <c r="F53" s="4" t="s">
        <v>3727</v>
      </c>
      <c r="G53" s="4" t="s">
        <v>3884</v>
      </c>
    </row>
    <row r="54" spans="1:7" x14ac:dyDescent="0.25">
      <c r="A54" s="8">
        <f t="shared" si="0"/>
        <v>53</v>
      </c>
      <c r="B54" s="4" t="s">
        <v>4136</v>
      </c>
      <c r="C54" s="4" t="s">
        <v>3885</v>
      </c>
      <c r="D54" s="4" t="s">
        <v>3886</v>
      </c>
      <c r="E54" s="4" t="s">
        <v>3735</v>
      </c>
      <c r="F54" s="4" t="s">
        <v>3752</v>
      </c>
      <c r="G54" s="4" t="s">
        <v>3887</v>
      </c>
    </row>
    <row r="55" spans="1:7" x14ac:dyDescent="0.25">
      <c r="A55" s="8">
        <f t="shared" si="0"/>
        <v>54</v>
      </c>
      <c r="B55" s="4" t="s">
        <v>4136</v>
      </c>
      <c r="C55" s="4" t="s">
        <v>3888</v>
      </c>
      <c r="D55" s="4" t="s">
        <v>3889</v>
      </c>
      <c r="E55" s="4" t="s">
        <v>3756</v>
      </c>
      <c r="F55" s="4" t="s">
        <v>122</v>
      </c>
      <c r="G55" s="4" t="s">
        <v>3890</v>
      </c>
    </row>
    <row r="56" spans="1:7" x14ac:dyDescent="0.25">
      <c r="A56" s="8">
        <f t="shared" si="0"/>
        <v>55</v>
      </c>
      <c r="B56" s="4" t="s">
        <v>4136</v>
      </c>
      <c r="C56" s="4" t="s">
        <v>3891</v>
      </c>
      <c r="D56" s="4" t="s">
        <v>3892</v>
      </c>
      <c r="E56" s="4" t="s">
        <v>3767</v>
      </c>
      <c r="F56" s="4" t="s">
        <v>3727</v>
      </c>
      <c r="G56" s="4" t="s">
        <v>3893</v>
      </c>
    </row>
    <row r="57" spans="1:7" x14ac:dyDescent="0.25">
      <c r="A57" s="8">
        <f t="shared" si="0"/>
        <v>56</v>
      </c>
      <c r="B57" s="4" t="s">
        <v>4136</v>
      </c>
      <c r="C57" s="4" t="s">
        <v>3894</v>
      </c>
      <c r="D57" s="4" t="s">
        <v>3895</v>
      </c>
      <c r="E57" s="4" t="s">
        <v>3756</v>
      </c>
      <c r="F57" s="4" t="s">
        <v>3562</v>
      </c>
      <c r="G57" s="4" t="s">
        <v>3896</v>
      </c>
    </row>
    <row r="58" spans="1:7" x14ac:dyDescent="0.25">
      <c r="A58" s="8">
        <f t="shared" si="0"/>
        <v>57</v>
      </c>
      <c r="B58" s="4" t="s">
        <v>4136</v>
      </c>
      <c r="C58" s="4" t="s">
        <v>3897</v>
      </c>
      <c r="D58" s="4" t="s">
        <v>3898</v>
      </c>
      <c r="E58" s="4" t="s">
        <v>3600</v>
      </c>
      <c r="F58" s="4" t="s">
        <v>3562</v>
      </c>
      <c r="G58" s="4" t="s">
        <v>3899</v>
      </c>
    </row>
    <row r="59" spans="1:7" x14ac:dyDescent="0.25">
      <c r="A59" s="8">
        <f t="shared" si="0"/>
        <v>58</v>
      </c>
      <c r="B59" s="4" t="s">
        <v>4136</v>
      </c>
      <c r="C59" s="4" t="s">
        <v>3900</v>
      </c>
      <c r="D59" s="4" t="s">
        <v>3901</v>
      </c>
      <c r="E59" s="4" t="s">
        <v>3726</v>
      </c>
      <c r="F59" s="4" t="s">
        <v>3727</v>
      </c>
      <c r="G59" s="4" t="s">
        <v>3902</v>
      </c>
    </row>
    <row r="60" spans="1:7" x14ac:dyDescent="0.25">
      <c r="A60" s="8">
        <f t="shared" si="0"/>
        <v>59</v>
      </c>
      <c r="B60" s="4" t="s">
        <v>4136</v>
      </c>
      <c r="C60" s="4" t="s">
        <v>3903</v>
      </c>
      <c r="D60" s="4" t="s">
        <v>3904</v>
      </c>
      <c r="E60" s="4" t="s">
        <v>3771</v>
      </c>
      <c r="F60" s="4" t="s">
        <v>3426</v>
      </c>
      <c r="G60" s="4" t="s">
        <v>3905</v>
      </c>
    </row>
    <row r="61" spans="1:7" x14ac:dyDescent="0.25">
      <c r="A61" s="8">
        <f t="shared" si="0"/>
        <v>60</v>
      </c>
      <c r="B61" s="4" t="s">
        <v>4136</v>
      </c>
      <c r="C61" s="4" t="s">
        <v>3906</v>
      </c>
      <c r="D61" s="4" t="s">
        <v>3907</v>
      </c>
      <c r="E61" s="4" t="s">
        <v>3756</v>
      </c>
      <c r="F61" s="4" t="s">
        <v>3908</v>
      </c>
      <c r="G61" s="4" t="s">
        <v>3909</v>
      </c>
    </row>
    <row r="62" spans="1:7" x14ac:dyDescent="0.25">
      <c r="A62" s="8">
        <f t="shared" si="0"/>
        <v>61</v>
      </c>
      <c r="B62" s="4" t="s">
        <v>4136</v>
      </c>
      <c r="C62" s="4" t="s">
        <v>3910</v>
      </c>
      <c r="D62" s="4" t="s">
        <v>3911</v>
      </c>
      <c r="E62" s="4" t="s">
        <v>3714</v>
      </c>
      <c r="F62" s="4" t="s">
        <v>3562</v>
      </c>
      <c r="G62" s="4" t="s">
        <v>3912</v>
      </c>
    </row>
    <row r="63" spans="1:7" x14ac:dyDescent="0.25">
      <c r="A63" s="8">
        <f t="shared" si="0"/>
        <v>62</v>
      </c>
      <c r="B63" s="4" t="s">
        <v>4136</v>
      </c>
      <c r="C63" s="4" t="s">
        <v>3913</v>
      </c>
      <c r="D63" s="4" t="s">
        <v>3914</v>
      </c>
      <c r="E63" s="4" t="s">
        <v>3600</v>
      </c>
      <c r="F63" s="4" t="s">
        <v>3915</v>
      </c>
      <c r="G63" s="4" t="s">
        <v>3916</v>
      </c>
    </row>
    <row r="64" spans="1:7" x14ac:dyDescent="0.25">
      <c r="A64" s="8">
        <f t="shared" si="0"/>
        <v>63</v>
      </c>
      <c r="B64" s="4" t="s">
        <v>4137</v>
      </c>
      <c r="C64" s="4" t="s">
        <v>3917</v>
      </c>
      <c r="D64" s="4" t="s">
        <v>3918</v>
      </c>
      <c r="E64" s="4" t="s">
        <v>3756</v>
      </c>
      <c r="F64" s="4" t="s">
        <v>122</v>
      </c>
      <c r="G64" s="4" t="s">
        <v>3919</v>
      </c>
    </row>
    <row r="65" spans="1:7" x14ac:dyDescent="0.25">
      <c r="A65" s="8">
        <f t="shared" si="0"/>
        <v>64</v>
      </c>
      <c r="B65" s="4" t="s">
        <v>4137</v>
      </c>
      <c r="C65" s="4" t="s">
        <v>3920</v>
      </c>
      <c r="D65" s="4" t="s">
        <v>3921</v>
      </c>
      <c r="E65" s="4" t="s">
        <v>3756</v>
      </c>
      <c r="F65" s="4" t="s">
        <v>3922</v>
      </c>
      <c r="G65" s="4" t="s">
        <v>3923</v>
      </c>
    </row>
    <row r="66" spans="1:7" x14ac:dyDescent="0.25">
      <c r="A66" s="8">
        <f t="shared" si="0"/>
        <v>65</v>
      </c>
      <c r="B66" s="4" t="s">
        <v>4137</v>
      </c>
      <c r="C66" s="4" t="s">
        <v>3924</v>
      </c>
      <c r="D66" s="4" t="s">
        <v>3925</v>
      </c>
      <c r="E66" s="4" t="s">
        <v>3756</v>
      </c>
      <c r="F66" s="4" t="s">
        <v>3426</v>
      </c>
      <c r="G66" s="4" t="s">
        <v>3926</v>
      </c>
    </row>
    <row r="67" spans="1:7" x14ac:dyDescent="0.25">
      <c r="A67" s="8">
        <f t="shared" si="0"/>
        <v>66</v>
      </c>
      <c r="B67" s="4" t="s">
        <v>4137</v>
      </c>
      <c r="C67" s="4" t="s">
        <v>3927</v>
      </c>
      <c r="D67" s="4" t="s">
        <v>3928</v>
      </c>
      <c r="E67" s="4" t="s">
        <v>3756</v>
      </c>
      <c r="F67" s="4" t="s">
        <v>3562</v>
      </c>
      <c r="G67" s="4" t="s">
        <v>3929</v>
      </c>
    </row>
    <row r="68" spans="1:7" x14ac:dyDescent="0.25">
      <c r="A68" s="8">
        <f t="shared" ref="A68:A130" si="1">IF(C68="","",A67+1)</f>
        <v>67</v>
      </c>
      <c r="B68" s="4" t="s">
        <v>4137</v>
      </c>
      <c r="C68" s="4" t="s">
        <v>3930</v>
      </c>
      <c r="D68" s="4" t="s">
        <v>3931</v>
      </c>
      <c r="E68" s="4" t="s">
        <v>3756</v>
      </c>
      <c r="F68" s="4" t="s">
        <v>3932</v>
      </c>
      <c r="G68" s="4" t="s">
        <v>3933</v>
      </c>
    </row>
    <row r="69" spans="1:7" x14ac:dyDescent="0.25">
      <c r="A69" s="8">
        <f t="shared" si="1"/>
        <v>68</v>
      </c>
      <c r="B69" s="4" t="s">
        <v>4137</v>
      </c>
      <c r="C69" s="4" t="s">
        <v>3934</v>
      </c>
      <c r="D69" s="4" t="s">
        <v>3935</v>
      </c>
      <c r="E69" s="4" t="s">
        <v>3756</v>
      </c>
      <c r="F69" s="4" t="s">
        <v>3426</v>
      </c>
      <c r="G69" s="4" t="s">
        <v>3936</v>
      </c>
    </row>
    <row r="70" spans="1:7" x14ac:dyDescent="0.25">
      <c r="A70" s="8">
        <f t="shared" si="1"/>
        <v>69</v>
      </c>
      <c r="B70" s="4" t="s">
        <v>4137</v>
      </c>
      <c r="C70" s="4" t="s">
        <v>3937</v>
      </c>
      <c r="D70" s="4" t="s">
        <v>3938</v>
      </c>
      <c r="E70" s="4" t="s">
        <v>3756</v>
      </c>
      <c r="F70" s="4" t="s">
        <v>3939</v>
      </c>
      <c r="G70" s="4" t="s">
        <v>3940</v>
      </c>
    </row>
    <row r="71" spans="1:7" x14ac:dyDescent="0.25">
      <c r="A71" s="8">
        <f t="shared" si="1"/>
        <v>70</v>
      </c>
      <c r="B71" s="4" t="s">
        <v>4137</v>
      </c>
      <c r="C71" s="4" t="s">
        <v>3941</v>
      </c>
      <c r="D71" s="4" t="s">
        <v>3840</v>
      </c>
      <c r="E71" s="4" t="s">
        <v>3601</v>
      </c>
      <c r="F71" s="4" t="s">
        <v>611</v>
      </c>
      <c r="G71" s="4" t="s">
        <v>3942</v>
      </c>
    </row>
    <row r="72" spans="1:7" x14ac:dyDescent="0.25">
      <c r="A72" s="8">
        <f t="shared" si="1"/>
        <v>71</v>
      </c>
      <c r="B72" s="4" t="s">
        <v>4137</v>
      </c>
      <c r="C72" s="4" t="s">
        <v>3943</v>
      </c>
      <c r="D72" s="4" t="s">
        <v>3944</v>
      </c>
      <c r="E72" s="4" t="s">
        <v>3601</v>
      </c>
      <c r="F72" s="4" t="s">
        <v>3562</v>
      </c>
      <c r="G72" s="4" t="s">
        <v>3945</v>
      </c>
    </row>
    <row r="73" spans="1:7" x14ac:dyDescent="0.25">
      <c r="A73" s="8">
        <f t="shared" si="1"/>
        <v>72</v>
      </c>
      <c r="B73" s="4" t="s">
        <v>4137</v>
      </c>
      <c r="C73" s="4" t="s">
        <v>3946</v>
      </c>
      <c r="D73" s="4" t="s">
        <v>3947</v>
      </c>
      <c r="E73" s="4" t="s">
        <v>3601</v>
      </c>
      <c r="F73" s="4" t="s">
        <v>3939</v>
      </c>
      <c r="G73" s="4" t="s">
        <v>3948</v>
      </c>
    </row>
    <row r="74" spans="1:7" x14ac:dyDescent="0.25">
      <c r="A74" s="8">
        <f t="shared" si="1"/>
        <v>73</v>
      </c>
      <c r="B74" s="4" t="s">
        <v>4137</v>
      </c>
      <c r="C74" s="4" t="s">
        <v>3949</v>
      </c>
      <c r="D74" s="4" t="s">
        <v>3950</v>
      </c>
      <c r="E74" s="4" t="s">
        <v>3601</v>
      </c>
      <c r="F74" s="4" t="s">
        <v>3562</v>
      </c>
      <c r="G74" s="4" t="s">
        <v>3951</v>
      </c>
    </row>
    <row r="75" spans="1:7" x14ac:dyDescent="0.25">
      <c r="A75" s="8">
        <f t="shared" si="1"/>
        <v>74</v>
      </c>
      <c r="B75" s="4" t="s">
        <v>4137</v>
      </c>
      <c r="C75" s="4" t="s">
        <v>3952</v>
      </c>
      <c r="D75" s="4" t="s">
        <v>3953</v>
      </c>
      <c r="E75" s="4" t="s">
        <v>3601</v>
      </c>
      <c r="F75" s="4" t="s">
        <v>3954</v>
      </c>
      <c r="G75" s="4" t="s">
        <v>3955</v>
      </c>
    </row>
    <row r="76" spans="1:7" x14ac:dyDescent="0.25">
      <c r="A76" s="8">
        <f t="shared" si="1"/>
        <v>75</v>
      </c>
      <c r="B76" s="4" t="s">
        <v>4137</v>
      </c>
      <c r="C76" s="4" t="s">
        <v>3956</v>
      </c>
      <c r="D76" s="4" t="s">
        <v>3957</v>
      </c>
      <c r="E76" s="4" t="s">
        <v>3601</v>
      </c>
      <c r="F76" s="4" t="s">
        <v>611</v>
      </c>
      <c r="G76" s="4" t="s">
        <v>3958</v>
      </c>
    </row>
    <row r="77" spans="1:7" x14ac:dyDescent="0.25">
      <c r="A77" s="8">
        <f t="shared" si="1"/>
        <v>76</v>
      </c>
      <c r="B77" s="4" t="s">
        <v>4137</v>
      </c>
      <c r="C77" s="4" t="s">
        <v>3959</v>
      </c>
      <c r="D77" s="4" t="s">
        <v>3960</v>
      </c>
      <c r="E77" s="4" t="s">
        <v>3601</v>
      </c>
      <c r="F77" s="4" t="s">
        <v>3562</v>
      </c>
      <c r="G77" s="4" t="s">
        <v>3961</v>
      </c>
    </row>
    <row r="78" spans="1:7" x14ac:dyDescent="0.25">
      <c r="A78" s="8">
        <f t="shared" si="1"/>
        <v>77</v>
      </c>
      <c r="B78" s="4" t="s">
        <v>4137</v>
      </c>
      <c r="C78" s="4" t="s">
        <v>3962</v>
      </c>
      <c r="D78" s="4" t="s">
        <v>3963</v>
      </c>
      <c r="E78" s="4" t="s">
        <v>3722</v>
      </c>
      <c r="F78" s="4" t="s">
        <v>3731</v>
      </c>
      <c r="G78" s="4" t="s">
        <v>3964</v>
      </c>
    </row>
    <row r="79" spans="1:7" x14ac:dyDescent="0.25">
      <c r="A79" s="8">
        <f t="shared" si="1"/>
        <v>78</v>
      </c>
      <c r="B79" s="4" t="s">
        <v>4137</v>
      </c>
      <c r="C79" s="4" t="s">
        <v>3965</v>
      </c>
      <c r="D79" s="4" t="s">
        <v>3966</v>
      </c>
      <c r="E79" s="4" t="s">
        <v>3726</v>
      </c>
      <c r="F79" s="4" t="s">
        <v>3727</v>
      </c>
      <c r="G79" s="4" t="s">
        <v>3967</v>
      </c>
    </row>
    <row r="80" spans="1:7" x14ac:dyDescent="0.25">
      <c r="A80" s="8">
        <f t="shared" si="1"/>
        <v>79</v>
      </c>
      <c r="B80" s="4" t="s">
        <v>4137</v>
      </c>
      <c r="C80" s="4" t="s">
        <v>3968</v>
      </c>
      <c r="D80" s="4" t="s">
        <v>3969</v>
      </c>
      <c r="E80" s="4" t="s">
        <v>3714</v>
      </c>
      <c r="F80" s="4" t="s">
        <v>3731</v>
      </c>
      <c r="G80" s="4" t="s">
        <v>3970</v>
      </c>
    </row>
    <row r="81" spans="1:7" x14ac:dyDescent="0.25">
      <c r="A81" s="8">
        <f t="shared" si="1"/>
        <v>80</v>
      </c>
      <c r="B81" s="4" t="s">
        <v>4137</v>
      </c>
      <c r="C81" s="4" t="s">
        <v>3971</v>
      </c>
      <c r="D81" s="4" t="s">
        <v>3972</v>
      </c>
      <c r="E81" s="4" t="s">
        <v>3722</v>
      </c>
      <c r="F81" s="4" t="s">
        <v>3939</v>
      </c>
      <c r="G81" s="4" t="s">
        <v>3973</v>
      </c>
    </row>
    <row r="82" spans="1:7" x14ac:dyDescent="0.25">
      <c r="A82" s="8">
        <f t="shared" si="1"/>
        <v>81</v>
      </c>
      <c r="B82" s="4" t="s">
        <v>4137</v>
      </c>
      <c r="C82" s="4" t="s">
        <v>3974</v>
      </c>
      <c r="D82" s="4" t="s">
        <v>3975</v>
      </c>
      <c r="E82" s="4" t="s">
        <v>3722</v>
      </c>
      <c r="F82" s="4" t="s">
        <v>3426</v>
      </c>
      <c r="G82" s="4" t="s">
        <v>3976</v>
      </c>
    </row>
    <row r="83" spans="1:7" x14ac:dyDescent="0.25">
      <c r="A83" s="8">
        <f t="shared" si="1"/>
        <v>82</v>
      </c>
      <c r="B83" s="4" t="s">
        <v>4137</v>
      </c>
      <c r="C83" s="4" t="s">
        <v>3977</v>
      </c>
      <c r="D83" s="4" t="s">
        <v>3978</v>
      </c>
      <c r="E83" s="4" t="s">
        <v>3722</v>
      </c>
      <c r="F83" s="4" t="s">
        <v>3731</v>
      </c>
      <c r="G83" s="4" t="s">
        <v>3979</v>
      </c>
    </row>
    <row r="84" spans="1:7" x14ac:dyDescent="0.25">
      <c r="A84" s="8">
        <f t="shared" si="1"/>
        <v>83</v>
      </c>
      <c r="B84" s="4" t="s">
        <v>4137</v>
      </c>
      <c r="C84" s="4" t="s">
        <v>3980</v>
      </c>
      <c r="D84" s="4" t="s">
        <v>3981</v>
      </c>
      <c r="E84" s="4" t="s">
        <v>3726</v>
      </c>
      <c r="F84" s="4" t="s">
        <v>3424</v>
      </c>
      <c r="G84" s="4" t="s">
        <v>3982</v>
      </c>
    </row>
    <row r="85" spans="1:7" x14ac:dyDescent="0.25">
      <c r="A85" s="8">
        <f t="shared" si="1"/>
        <v>84</v>
      </c>
      <c r="B85" s="4" t="s">
        <v>4138</v>
      </c>
      <c r="C85" s="4" t="s">
        <v>3983</v>
      </c>
      <c r="D85" s="4" t="s">
        <v>3984</v>
      </c>
      <c r="E85" s="4" t="s">
        <v>3311</v>
      </c>
      <c r="F85" s="4" t="s">
        <v>3711</v>
      </c>
      <c r="G85" s="4" t="s">
        <v>2721</v>
      </c>
    </row>
    <row r="86" spans="1:7" x14ac:dyDescent="0.25">
      <c r="A86" s="8">
        <f t="shared" si="1"/>
        <v>85</v>
      </c>
      <c r="B86" s="4" t="s">
        <v>4138</v>
      </c>
      <c r="C86" s="4" t="s">
        <v>3985</v>
      </c>
      <c r="D86" s="4" t="s">
        <v>3986</v>
      </c>
      <c r="E86" s="4" t="s">
        <v>3735</v>
      </c>
      <c r="F86" s="4" t="s">
        <v>3745</v>
      </c>
      <c r="G86" s="4" t="s">
        <v>3987</v>
      </c>
    </row>
    <row r="87" spans="1:7" x14ac:dyDescent="0.25">
      <c r="A87" s="8">
        <f t="shared" si="1"/>
        <v>86</v>
      </c>
      <c r="B87" s="4" t="s">
        <v>4138</v>
      </c>
      <c r="C87" s="4" t="s">
        <v>3988</v>
      </c>
      <c r="D87" s="4" t="s">
        <v>3989</v>
      </c>
      <c r="E87" s="4" t="s">
        <v>3600</v>
      </c>
      <c r="F87" s="4" t="s">
        <v>3562</v>
      </c>
      <c r="G87" s="4" t="s">
        <v>3990</v>
      </c>
    </row>
    <row r="88" spans="1:7" x14ac:dyDescent="0.25">
      <c r="A88" s="8">
        <f t="shared" si="1"/>
        <v>87</v>
      </c>
      <c r="B88" s="4" t="s">
        <v>4138</v>
      </c>
      <c r="C88" s="4" t="s">
        <v>3991</v>
      </c>
      <c r="D88" s="4" t="s">
        <v>3992</v>
      </c>
      <c r="E88" s="4" t="s">
        <v>3601</v>
      </c>
      <c r="F88" s="4" t="s">
        <v>3745</v>
      </c>
      <c r="G88" s="4" t="s">
        <v>3993</v>
      </c>
    </row>
    <row r="89" spans="1:7" x14ac:dyDescent="0.25">
      <c r="A89" s="8">
        <f t="shared" si="1"/>
        <v>88</v>
      </c>
      <c r="B89" s="4" t="s">
        <v>4138</v>
      </c>
      <c r="C89" s="4" t="s">
        <v>3994</v>
      </c>
      <c r="D89" s="4" t="s">
        <v>3995</v>
      </c>
      <c r="E89" s="4" t="s">
        <v>3756</v>
      </c>
      <c r="F89" s="4" t="s">
        <v>2966</v>
      </c>
      <c r="G89" s="4" t="s">
        <v>3996</v>
      </c>
    </row>
    <row r="90" spans="1:7" x14ac:dyDescent="0.25">
      <c r="A90" s="8">
        <f t="shared" si="1"/>
        <v>89</v>
      </c>
      <c r="B90" s="4" t="s">
        <v>4138</v>
      </c>
      <c r="C90" s="4" t="s">
        <v>3997</v>
      </c>
      <c r="D90" s="4" t="s">
        <v>3998</v>
      </c>
      <c r="E90" s="4" t="s">
        <v>3756</v>
      </c>
      <c r="F90" s="4" t="s">
        <v>3999</v>
      </c>
      <c r="G90" s="4" t="s">
        <v>4000</v>
      </c>
    </row>
    <row r="91" spans="1:7" x14ac:dyDescent="0.25">
      <c r="A91" s="8">
        <f t="shared" si="1"/>
        <v>90</v>
      </c>
      <c r="B91" s="4" t="s">
        <v>4138</v>
      </c>
      <c r="C91" s="4" t="s">
        <v>4001</v>
      </c>
      <c r="D91" s="4" t="s">
        <v>4002</v>
      </c>
      <c r="E91" s="4" t="s">
        <v>3771</v>
      </c>
      <c r="F91" s="4" t="s">
        <v>3426</v>
      </c>
      <c r="G91" s="4" t="s">
        <v>4003</v>
      </c>
    </row>
    <row r="92" spans="1:7" x14ac:dyDescent="0.25">
      <c r="A92" s="8">
        <f t="shared" si="1"/>
        <v>91</v>
      </c>
      <c r="B92" s="4" t="s">
        <v>4138</v>
      </c>
      <c r="C92" s="4" t="s">
        <v>4004</v>
      </c>
      <c r="D92" s="4" t="s">
        <v>4005</v>
      </c>
      <c r="E92" s="4" t="s">
        <v>3601</v>
      </c>
      <c r="F92" s="4" t="s">
        <v>3727</v>
      </c>
      <c r="G92" s="4" t="s">
        <v>4006</v>
      </c>
    </row>
    <row r="93" spans="1:7" x14ac:dyDescent="0.25">
      <c r="A93" s="8">
        <f t="shared" si="1"/>
        <v>92</v>
      </c>
      <c r="B93" s="4" t="s">
        <v>4138</v>
      </c>
      <c r="C93" s="4" t="s">
        <v>4007</v>
      </c>
      <c r="D93" s="4" t="s">
        <v>4008</v>
      </c>
      <c r="E93" s="4" t="s">
        <v>3735</v>
      </c>
      <c r="F93" s="4" t="s">
        <v>4009</v>
      </c>
      <c r="G93" s="4" t="s">
        <v>4010</v>
      </c>
    </row>
    <row r="94" spans="1:7" x14ac:dyDescent="0.25">
      <c r="A94" s="8">
        <f t="shared" si="1"/>
        <v>93</v>
      </c>
      <c r="B94" s="4" t="s">
        <v>4138</v>
      </c>
      <c r="C94" s="4" t="s">
        <v>4011</v>
      </c>
      <c r="D94" s="4" t="s">
        <v>3950</v>
      </c>
      <c r="E94" s="4" t="s">
        <v>3735</v>
      </c>
      <c r="F94" s="4" t="s">
        <v>3562</v>
      </c>
      <c r="G94" s="4" t="s">
        <v>4012</v>
      </c>
    </row>
    <row r="95" spans="1:7" x14ac:dyDescent="0.25">
      <c r="A95" s="8">
        <f t="shared" si="1"/>
        <v>94</v>
      </c>
      <c r="B95" s="4" t="s">
        <v>4138</v>
      </c>
      <c r="C95" s="4" t="s">
        <v>4013</v>
      </c>
      <c r="D95" s="4" t="s">
        <v>4014</v>
      </c>
      <c r="E95" s="4" t="s">
        <v>3714</v>
      </c>
      <c r="F95" s="4" t="s">
        <v>3424</v>
      </c>
      <c r="G95" s="4" t="s">
        <v>4015</v>
      </c>
    </row>
    <row r="96" spans="1:7" x14ac:dyDescent="0.25">
      <c r="A96" s="8">
        <f t="shared" si="1"/>
        <v>95</v>
      </c>
      <c r="B96" s="4" t="s">
        <v>4138</v>
      </c>
      <c r="C96" s="4" t="s">
        <v>4016</v>
      </c>
      <c r="D96" s="4" t="s">
        <v>4017</v>
      </c>
      <c r="E96" s="4" t="s">
        <v>3714</v>
      </c>
      <c r="F96" s="4" t="s">
        <v>3426</v>
      </c>
      <c r="G96" s="4" t="s">
        <v>4018</v>
      </c>
    </row>
    <row r="97" spans="1:7" x14ac:dyDescent="0.25">
      <c r="A97" s="8">
        <f t="shared" si="1"/>
        <v>96</v>
      </c>
      <c r="B97" s="4" t="s">
        <v>4138</v>
      </c>
      <c r="C97" s="4" t="s">
        <v>4019</v>
      </c>
      <c r="D97" s="4" t="s">
        <v>4020</v>
      </c>
      <c r="E97" s="4" t="s">
        <v>3714</v>
      </c>
      <c r="F97" s="4" t="s">
        <v>3731</v>
      </c>
      <c r="G97" s="4" t="s">
        <v>4021</v>
      </c>
    </row>
    <row r="98" spans="1:7" x14ac:dyDescent="0.25">
      <c r="A98" s="8">
        <f t="shared" si="1"/>
        <v>97</v>
      </c>
      <c r="B98" s="4" t="s">
        <v>4138</v>
      </c>
      <c r="C98" s="4" t="s">
        <v>4022</v>
      </c>
      <c r="D98" s="4" t="s">
        <v>4023</v>
      </c>
      <c r="E98" s="4" t="s">
        <v>3714</v>
      </c>
      <c r="F98" s="4" t="s">
        <v>3426</v>
      </c>
      <c r="G98" s="4" t="s">
        <v>4024</v>
      </c>
    </row>
    <row r="99" spans="1:7" x14ac:dyDescent="0.25">
      <c r="A99" s="8">
        <f t="shared" si="1"/>
        <v>98</v>
      </c>
      <c r="B99" s="4" t="s">
        <v>4138</v>
      </c>
      <c r="C99" s="4" t="s">
        <v>4025</v>
      </c>
      <c r="D99" s="4" t="s">
        <v>4026</v>
      </c>
      <c r="E99" s="4" t="s">
        <v>3726</v>
      </c>
      <c r="F99" s="4" t="s">
        <v>3562</v>
      </c>
      <c r="G99" s="4" t="s">
        <v>4027</v>
      </c>
    </row>
    <row r="100" spans="1:7" x14ac:dyDescent="0.25">
      <c r="A100" s="8">
        <f t="shared" si="1"/>
        <v>99</v>
      </c>
      <c r="B100" s="4" t="s">
        <v>4138</v>
      </c>
      <c r="C100" s="4" t="s">
        <v>4028</v>
      </c>
      <c r="D100" s="4" t="s">
        <v>4029</v>
      </c>
      <c r="E100" s="4" t="s">
        <v>3767</v>
      </c>
      <c r="F100" s="4" t="s">
        <v>3837</v>
      </c>
      <c r="G100" s="4" t="s">
        <v>4030</v>
      </c>
    </row>
    <row r="101" spans="1:7" x14ac:dyDescent="0.25">
      <c r="A101" s="8">
        <f t="shared" si="1"/>
        <v>100</v>
      </c>
      <c r="B101" s="4" t="s">
        <v>4138</v>
      </c>
      <c r="C101" s="4" t="s">
        <v>4031</v>
      </c>
      <c r="D101" s="4" t="s">
        <v>4032</v>
      </c>
      <c r="E101" s="4" t="s">
        <v>3714</v>
      </c>
      <c r="F101" s="4" t="s">
        <v>3727</v>
      </c>
      <c r="G101" s="4" t="s">
        <v>4033</v>
      </c>
    </row>
    <row r="102" spans="1:7" x14ac:dyDescent="0.25">
      <c r="A102" s="8">
        <f t="shared" si="1"/>
        <v>101</v>
      </c>
      <c r="B102" s="4" t="s">
        <v>4138</v>
      </c>
      <c r="C102" s="4" t="s">
        <v>4034</v>
      </c>
      <c r="D102" s="4" t="s">
        <v>4035</v>
      </c>
      <c r="E102" s="4" t="s">
        <v>3600</v>
      </c>
      <c r="F102" s="4" t="s">
        <v>4036</v>
      </c>
      <c r="G102" s="4" t="s">
        <v>4037</v>
      </c>
    </row>
    <row r="103" spans="1:7" x14ac:dyDescent="0.25">
      <c r="A103" s="8">
        <f t="shared" si="1"/>
        <v>102</v>
      </c>
      <c r="B103" s="4" t="s">
        <v>4138</v>
      </c>
      <c r="C103" s="4" t="s">
        <v>4038</v>
      </c>
      <c r="D103" s="4" t="s">
        <v>4039</v>
      </c>
      <c r="E103" s="4" t="s">
        <v>3600</v>
      </c>
      <c r="F103" s="4" t="s">
        <v>3752</v>
      </c>
      <c r="G103" s="4" t="s">
        <v>4040</v>
      </c>
    </row>
    <row r="104" spans="1:7" x14ac:dyDescent="0.25">
      <c r="A104" s="8">
        <f t="shared" si="1"/>
        <v>103</v>
      </c>
      <c r="B104" s="4" t="s">
        <v>4138</v>
      </c>
      <c r="C104" s="4" t="s">
        <v>4041</v>
      </c>
      <c r="D104" s="4" t="s">
        <v>4042</v>
      </c>
      <c r="E104" s="4" t="s">
        <v>3756</v>
      </c>
      <c r="F104" s="4" t="s">
        <v>4043</v>
      </c>
      <c r="G104" s="4" t="s">
        <v>4044</v>
      </c>
    </row>
    <row r="105" spans="1:7" x14ac:dyDescent="0.25">
      <c r="A105" s="8">
        <f t="shared" si="1"/>
        <v>104</v>
      </c>
      <c r="B105" s="4" t="s">
        <v>4138</v>
      </c>
      <c r="C105" s="4" t="s">
        <v>4045</v>
      </c>
      <c r="D105" s="4" t="s">
        <v>4046</v>
      </c>
      <c r="E105" s="4" t="s">
        <v>3771</v>
      </c>
      <c r="F105" s="4" t="s">
        <v>3426</v>
      </c>
      <c r="G105" s="4" t="s">
        <v>4033</v>
      </c>
    </row>
    <row r="106" spans="1:7" x14ac:dyDescent="0.25">
      <c r="A106" s="8">
        <f t="shared" si="1"/>
        <v>105</v>
      </c>
      <c r="B106" s="4" t="s">
        <v>4138</v>
      </c>
      <c r="C106" s="4" t="s">
        <v>4047</v>
      </c>
      <c r="D106" s="4" t="s">
        <v>4046</v>
      </c>
      <c r="E106" s="4" t="s">
        <v>3735</v>
      </c>
      <c r="F106" s="4" t="s">
        <v>3802</v>
      </c>
      <c r="G106" s="4" t="s">
        <v>4033</v>
      </c>
    </row>
    <row r="107" spans="1:7" x14ac:dyDescent="0.25">
      <c r="A107" s="8">
        <f t="shared" si="1"/>
        <v>106</v>
      </c>
      <c r="B107" s="4" t="s">
        <v>4139</v>
      </c>
      <c r="C107" s="4" t="s">
        <v>4048</v>
      </c>
      <c r="D107" s="4" t="s">
        <v>4049</v>
      </c>
      <c r="E107" s="4" t="s">
        <v>3756</v>
      </c>
      <c r="F107" s="4" t="s">
        <v>3908</v>
      </c>
      <c r="G107" s="4" t="s">
        <v>4050</v>
      </c>
    </row>
    <row r="108" spans="1:7" x14ac:dyDescent="0.25">
      <c r="A108" s="8">
        <f t="shared" si="1"/>
        <v>107</v>
      </c>
      <c r="B108" s="4" t="s">
        <v>4139</v>
      </c>
      <c r="C108" s="4" t="s">
        <v>4051</v>
      </c>
      <c r="D108" s="4" t="s">
        <v>4052</v>
      </c>
      <c r="E108" s="4" t="s">
        <v>3714</v>
      </c>
      <c r="F108" s="4" t="s">
        <v>3731</v>
      </c>
      <c r="G108" s="4" t="s">
        <v>4053</v>
      </c>
    </row>
    <row r="109" spans="1:7" x14ac:dyDescent="0.25">
      <c r="A109" s="8">
        <f t="shared" si="1"/>
        <v>108</v>
      </c>
      <c r="B109" s="4" t="s">
        <v>4139</v>
      </c>
      <c r="C109" s="4" t="s">
        <v>4054</v>
      </c>
      <c r="D109" s="4" t="s">
        <v>4055</v>
      </c>
      <c r="E109" s="4" t="s">
        <v>3771</v>
      </c>
      <c r="F109" s="4" t="s">
        <v>122</v>
      </c>
      <c r="G109" s="4" t="s">
        <v>4056</v>
      </c>
    </row>
    <row r="110" spans="1:7" x14ac:dyDescent="0.25">
      <c r="A110" s="8">
        <f t="shared" si="1"/>
        <v>109</v>
      </c>
      <c r="B110" s="4" t="s">
        <v>4139</v>
      </c>
      <c r="C110" s="4" t="s">
        <v>4057</v>
      </c>
      <c r="D110" s="4" t="s">
        <v>4058</v>
      </c>
      <c r="E110" s="4" t="s">
        <v>3771</v>
      </c>
      <c r="F110" s="4" t="s">
        <v>3715</v>
      </c>
      <c r="G110" s="4" t="s">
        <v>4059</v>
      </c>
    </row>
    <row r="111" spans="1:7" x14ac:dyDescent="0.25">
      <c r="A111" s="8">
        <f t="shared" si="1"/>
        <v>110</v>
      </c>
      <c r="B111" s="4" t="s">
        <v>4139</v>
      </c>
      <c r="C111" s="4" t="s">
        <v>4060</v>
      </c>
      <c r="D111" s="4" t="s">
        <v>4061</v>
      </c>
      <c r="E111" s="4" t="s">
        <v>3601</v>
      </c>
      <c r="F111" s="4" t="s">
        <v>3715</v>
      </c>
      <c r="G111" s="4" t="s">
        <v>4062</v>
      </c>
    </row>
    <row r="112" spans="1:7" x14ac:dyDescent="0.25">
      <c r="A112" s="8">
        <f t="shared" si="1"/>
        <v>111</v>
      </c>
      <c r="B112" s="4" t="s">
        <v>4139</v>
      </c>
      <c r="C112" s="4" t="s">
        <v>4063</v>
      </c>
      <c r="D112" s="4" t="s">
        <v>4064</v>
      </c>
      <c r="E112" s="4" t="s">
        <v>3756</v>
      </c>
      <c r="F112" s="4" t="s">
        <v>3727</v>
      </c>
      <c r="G112" s="4" t="s">
        <v>4065</v>
      </c>
    </row>
    <row r="113" spans="1:7" x14ac:dyDescent="0.25">
      <c r="A113" s="8">
        <f t="shared" si="1"/>
        <v>112</v>
      </c>
      <c r="B113" s="4" t="s">
        <v>4139</v>
      </c>
      <c r="C113" s="4" t="s">
        <v>4066</v>
      </c>
      <c r="D113" s="4" t="s">
        <v>4067</v>
      </c>
      <c r="E113" s="4" t="s">
        <v>3726</v>
      </c>
      <c r="F113" s="4" t="s">
        <v>3426</v>
      </c>
      <c r="G113" s="4" t="s">
        <v>4068</v>
      </c>
    </row>
    <row r="114" spans="1:7" x14ac:dyDescent="0.25">
      <c r="A114" s="8">
        <f t="shared" si="1"/>
        <v>113</v>
      </c>
      <c r="B114" s="4" t="s">
        <v>4139</v>
      </c>
      <c r="C114" s="4" t="s">
        <v>4069</v>
      </c>
      <c r="D114" s="4" t="s">
        <v>4070</v>
      </c>
      <c r="E114" s="4" t="s">
        <v>3726</v>
      </c>
      <c r="F114" s="4" t="s">
        <v>3871</v>
      </c>
      <c r="G114" s="4" t="s">
        <v>4071</v>
      </c>
    </row>
    <row r="115" spans="1:7" x14ac:dyDescent="0.25">
      <c r="A115" s="8">
        <f t="shared" si="1"/>
        <v>114</v>
      </c>
      <c r="B115" s="4" t="s">
        <v>4139</v>
      </c>
      <c r="C115" s="4" t="s">
        <v>4072</v>
      </c>
      <c r="D115" s="4" t="s">
        <v>4073</v>
      </c>
      <c r="E115" s="4" t="s">
        <v>3726</v>
      </c>
      <c r="F115" s="4" t="s">
        <v>3426</v>
      </c>
      <c r="G115" s="4" t="s">
        <v>145</v>
      </c>
    </row>
    <row r="116" spans="1:7" x14ac:dyDescent="0.25">
      <c r="A116" s="8">
        <f t="shared" si="1"/>
        <v>115</v>
      </c>
      <c r="B116" s="4" t="s">
        <v>4139</v>
      </c>
      <c r="C116" s="4" t="s">
        <v>4074</v>
      </c>
      <c r="D116" s="4" t="s">
        <v>4075</v>
      </c>
      <c r="E116" s="4" t="s">
        <v>3722</v>
      </c>
      <c r="F116" s="4" t="s">
        <v>3426</v>
      </c>
      <c r="G116" s="4" t="s">
        <v>4076</v>
      </c>
    </row>
    <row r="117" spans="1:7" x14ac:dyDescent="0.25">
      <c r="A117" s="8">
        <f t="shared" si="1"/>
        <v>116</v>
      </c>
      <c r="B117" s="4" t="s">
        <v>4139</v>
      </c>
      <c r="C117" s="4" t="s">
        <v>4077</v>
      </c>
      <c r="D117" s="4" t="s">
        <v>4078</v>
      </c>
      <c r="E117" s="4" t="s">
        <v>3726</v>
      </c>
      <c r="F117" s="4" t="s">
        <v>3731</v>
      </c>
      <c r="G117" s="4" t="s">
        <v>4079</v>
      </c>
    </row>
    <row r="118" spans="1:7" x14ac:dyDescent="0.25">
      <c r="A118" s="8">
        <f t="shared" si="1"/>
        <v>117</v>
      </c>
      <c r="B118" s="4" t="s">
        <v>4139</v>
      </c>
      <c r="C118" s="4" t="s">
        <v>4080</v>
      </c>
      <c r="D118" s="4" t="s">
        <v>4081</v>
      </c>
      <c r="E118" s="4" t="s">
        <v>3726</v>
      </c>
      <c r="F118" s="4" t="s">
        <v>3727</v>
      </c>
      <c r="G118" s="4" t="s">
        <v>4082</v>
      </c>
    </row>
    <row r="119" spans="1:7" x14ac:dyDescent="0.25">
      <c r="A119" s="8">
        <f t="shared" si="1"/>
        <v>118</v>
      </c>
      <c r="B119" s="4" t="s">
        <v>4139</v>
      </c>
      <c r="C119" s="4" t="s">
        <v>4083</v>
      </c>
      <c r="D119" s="4" t="s">
        <v>4084</v>
      </c>
      <c r="E119" s="4" t="s">
        <v>3722</v>
      </c>
      <c r="F119" s="4" t="s">
        <v>3426</v>
      </c>
      <c r="G119" s="4" t="s">
        <v>4085</v>
      </c>
    </row>
    <row r="120" spans="1:7" x14ac:dyDescent="0.25">
      <c r="A120" s="8">
        <f t="shared" si="1"/>
        <v>119</v>
      </c>
      <c r="B120" s="4" t="s">
        <v>4139</v>
      </c>
      <c r="C120" s="4" t="s">
        <v>4086</v>
      </c>
      <c r="D120" s="4" t="s">
        <v>4087</v>
      </c>
      <c r="E120" s="4" t="s">
        <v>3756</v>
      </c>
      <c r="F120" s="4" t="s">
        <v>3562</v>
      </c>
      <c r="G120" s="4" t="s">
        <v>4088</v>
      </c>
    </row>
    <row r="121" spans="1:7" x14ac:dyDescent="0.25">
      <c r="A121" s="8">
        <f t="shared" si="1"/>
        <v>120</v>
      </c>
      <c r="B121" s="4" t="s">
        <v>4139</v>
      </c>
      <c r="C121" s="4" t="s">
        <v>4089</v>
      </c>
      <c r="D121" s="4" t="s">
        <v>4090</v>
      </c>
      <c r="E121" s="4" t="s">
        <v>3771</v>
      </c>
      <c r="F121" s="4" t="s">
        <v>611</v>
      </c>
      <c r="G121" s="4" t="s">
        <v>4091</v>
      </c>
    </row>
    <row r="122" spans="1:7" x14ac:dyDescent="0.25">
      <c r="A122" s="8">
        <f t="shared" si="1"/>
        <v>121</v>
      </c>
      <c r="B122" s="4" t="s">
        <v>4139</v>
      </c>
      <c r="C122" s="4" t="s">
        <v>4092</v>
      </c>
      <c r="D122" s="4" t="s">
        <v>4093</v>
      </c>
      <c r="E122" s="4" t="s">
        <v>3771</v>
      </c>
      <c r="F122" s="4" t="s">
        <v>3562</v>
      </c>
      <c r="G122" s="4" t="s">
        <v>4094</v>
      </c>
    </row>
    <row r="123" spans="1:7" x14ac:dyDescent="0.25">
      <c r="A123" s="8">
        <f t="shared" si="1"/>
        <v>122</v>
      </c>
      <c r="B123" s="4" t="s">
        <v>4139</v>
      </c>
      <c r="C123" s="4" t="s">
        <v>4095</v>
      </c>
      <c r="D123" s="4" t="s">
        <v>4096</v>
      </c>
      <c r="E123" s="4" t="s">
        <v>3722</v>
      </c>
      <c r="F123" s="4" t="s">
        <v>3715</v>
      </c>
      <c r="G123" s="4" t="s">
        <v>4097</v>
      </c>
    </row>
    <row r="124" spans="1:7" x14ac:dyDescent="0.25">
      <c r="A124" s="8">
        <f t="shared" si="1"/>
        <v>123</v>
      </c>
      <c r="B124" s="4" t="s">
        <v>4139</v>
      </c>
      <c r="C124" s="4" t="s">
        <v>4098</v>
      </c>
      <c r="D124" s="4" t="s">
        <v>4099</v>
      </c>
      <c r="E124" s="4" t="s">
        <v>3601</v>
      </c>
      <c r="F124" s="4" t="s">
        <v>2966</v>
      </c>
      <c r="G124" s="4" t="s">
        <v>4100</v>
      </c>
    </row>
    <row r="125" spans="1:7" x14ac:dyDescent="0.25">
      <c r="A125" s="8">
        <f t="shared" si="1"/>
        <v>124</v>
      </c>
      <c r="B125" s="4" t="s">
        <v>4139</v>
      </c>
      <c r="C125" s="4" t="s">
        <v>4101</v>
      </c>
      <c r="D125" s="4" t="s">
        <v>4102</v>
      </c>
      <c r="E125" s="4" t="s">
        <v>3601</v>
      </c>
      <c r="F125" s="4" t="s">
        <v>611</v>
      </c>
      <c r="G125" s="4" t="s">
        <v>4103</v>
      </c>
    </row>
    <row r="126" spans="1:7" x14ac:dyDescent="0.25">
      <c r="A126" s="8">
        <f t="shared" si="1"/>
        <v>125</v>
      </c>
      <c r="B126" s="4" t="s">
        <v>4139</v>
      </c>
      <c r="C126" s="4" t="s">
        <v>4104</v>
      </c>
      <c r="D126" s="4" t="s">
        <v>4105</v>
      </c>
      <c r="E126" s="4" t="s">
        <v>3601</v>
      </c>
      <c r="F126" s="4" t="s">
        <v>3562</v>
      </c>
      <c r="G126" s="4" t="s">
        <v>4106</v>
      </c>
    </row>
    <row r="127" spans="1:7" x14ac:dyDescent="0.25">
      <c r="A127" s="8">
        <f t="shared" si="1"/>
        <v>126</v>
      </c>
      <c r="B127" s="4" t="s">
        <v>4139</v>
      </c>
      <c r="C127" s="4" t="s">
        <v>4107</v>
      </c>
      <c r="D127" s="4" t="s">
        <v>4108</v>
      </c>
      <c r="E127" s="4" t="s">
        <v>3722</v>
      </c>
      <c r="F127" s="4" t="s">
        <v>4109</v>
      </c>
      <c r="G127" s="4" t="s">
        <v>4110</v>
      </c>
    </row>
    <row r="128" spans="1:7" x14ac:dyDescent="0.25">
      <c r="A128" s="8">
        <f t="shared" si="1"/>
        <v>127</v>
      </c>
      <c r="B128" s="4" t="s">
        <v>4139</v>
      </c>
      <c r="C128" s="4" t="s">
        <v>4111</v>
      </c>
      <c r="D128" s="4" t="s">
        <v>4112</v>
      </c>
      <c r="E128" s="4" t="s">
        <v>3726</v>
      </c>
      <c r="F128" s="4" t="s">
        <v>3426</v>
      </c>
      <c r="G128" s="4" t="s">
        <v>4113</v>
      </c>
    </row>
    <row r="129" spans="1:7" x14ac:dyDescent="0.25">
      <c r="A129" s="8">
        <f t="shared" si="1"/>
        <v>128</v>
      </c>
      <c r="B129" s="4" t="s">
        <v>4139</v>
      </c>
      <c r="C129" s="4" t="s">
        <v>4114</v>
      </c>
      <c r="D129" s="4" t="s">
        <v>4115</v>
      </c>
      <c r="E129" s="4" t="s">
        <v>3722</v>
      </c>
      <c r="F129" s="4" t="s">
        <v>3727</v>
      </c>
      <c r="G129" s="4" t="s">
        <v>4116</v>
      </c>
    </row>
    <row r="130" spans="1:7" x14ac:dyDescent="0.25">
      <c r="A130" s="8">
        <f t="shared" si="1"/>
        <v>129</v>
      </c>
      <c r="B130" s="4" t="s">
        <v>4139</v>
      </c>
      <c r="C130" s="4" t="s">
        <v>4117</v>
      </c>
      <c r="D130" s="4" t="s">
        <v>4118</v>
      </c>
      <c r="E130" s="4" t="s">
        <v>3756</v>
      </c>
      <c r="F130" s="4" t="s">
        <v>2966</v>
      </c>
      <c r="G130" s="4" t="s">
        <v>110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24">
    <tabColor theme="7" tint="0.39997558519241921"/>
  </sheetPr>
  <dimension ref="A1:CK151"/>
  <sheetViews>
    <sheetView topLeftCell="AE1" workbookViewId="0">
      <selection activeCell="AI13" sqref="AI13:AI14"/>
    </sheetView>
  </sheetViews>
  <sheetFormatPr defaultRowHeight="15" x14ac:dyDescent="0.25"/>
  <sheetData>
    <row r="1" spans="1:89" x14ac:dyDescent="0.25">
      <c r="A1" s="1273" t="s">
        <v>5160</v>
      </c>
      <c r="B1" s="1273"/>
      <c r="C1" s="1273"/>
      <c r="D1" s="1273"/>
      <c r="E1" s="1273"/>
      <c r="F1" s="1273"/>
      <c r="G1" s="1273"/>
      <c r="H1" s="1273"/>
      <c r="I1" s="1273"/>
      <c r="J1" s="1273"/>
      <c r="K1" s="1273"/>
      <c r="L1" s="1273"/>
      <c r="M1" s="1273"/>
      <c r="N1" s="1273"/>
      <c r="O1" s="1273"/>
      <c r="P1" s="1273"/>
      <c r="Q1" s="1273"/>
      <c r="R1" s="1273"/>
      <c r="S1" s="1273"/>
      <c r="T1" s="1275" t="s">
        <v>5161</v>
      </c>
      <c r="U1" s="1275"/>
      <c r="V1" s="1275"/>
      <c r="W1" s="1275"/>
      <c r="X1" s="1275"/>
      <c r="Y1" s="1275"/>
      <c r="Z1" s="1275"/>
      <c r="AA1" s="1275"/>
      <c r="AB1" s="1275"/>
      <c r="AC1" s="1275"/>
      <c r="AD1" s="1275"/>
      <c r="AE1" s="1275"/>
      <c r="AF1" s="1275"/>
      <c r="AG1" s="1275"/>
      <c r="AH1" s="1275"/>
      <c r="AI1" s="1275"/>
      <c r="AJ1" s="1275"/>
      <c r="AK1" s="1275"/>
      <c r="AL1" s="1275"/>
      <c r="AM1" s="1275"/>
      <c r="AN1" s="1275"/>
      <c r="AV1" s="1274" t="s">
        <v>5234</v>
      </c>
      <c r="AW1" s="1274"/>
      <c r="AX1" s="1274"/>
      <c r="AY1" s="1274"/>
      <c r="AZ1" s="1274"/>
      <c r="BA1" s="1274"/>
      <c r="BB1" s="1274"/>
      <c r="BC1" s="1274"/>
      <c r="BD1" s="1274"/>
      <c r="BE1" s="1274"/>
      <c r="BF1" s="1274"/>
      <c r="BG1" s="1274"/>
      <c r="BH1" s="1274"/>
      <c r="BI1" s="1274"/>
      <c r="BJ1" s="1274"/>
      <c r="BK1" s="1274"/>
      <c r="BL1" s="1274"/>
      <c r="BM1" s="430"/>
      <c r="BN1" s="430"/>
      <c r="BO1" s="430"/>
      <c r="BP1" s="430"/>
      <c r="BQ1" s="430"/>
      <c r="BS1" s="1274" t="s">
        <v>6008</v>
      </c>
      <c r="BT1" s="1274"/>
      <c r="BU1" s="1274"/>
      <c r="BV1" s="1274"/>
      <c r="BW1" s="1274"/>
      <c r="BX1" s="1274"/>
      <c r="BY1" s="1274"/>
      <c r="BZ1" s="1274"/>
      <c r="CA1" s="1274"/>
      <c r="CB1" s="1274"/>
      <c r="CC1" s="1274"/>
      <c r="CD1" s="1274"/>
      <c r="CE1" s="1274"/>
      <c r="CF1" s="1274"/>
      <c r="CG1" s="1274"/>
      <c r="CH1" s="1274"/>
      <c r="CI1" s="1274"/>
    </row>
    <row r="2" spans="1:89" ht="15.75" thickBot="1" x14ac:dyDescent="0.3">
      <c r="A2" s="345"/>
      <c r="B2" s="345"/>
      <c r="C2" s="345" t="s">
        <v>4993</v>
      </c>
      <c r="D2" s="345" t="s">
        <v>4994</v>
      </c>
      <c r="E2" s="345" t="s">
        <v>12</v>
      </c>
      <c r="F2" s="345" t="s">
        <v>4995</v>
      </c>
      <c r="G2" s="345" t="s">
        <v>4996</v>
      </c>
      <c r="H2" s="345" t="s">
        <v>113</v>
      </c>
      <c r="I2" s="345" t="s">
        <v>117</v>
      </c>
      <c r="J2" s="345" t="s">
        <v>508</v>
      </c>
      <c r="K2" s="345" t="s">
        <v>509</v>
      </c>
      <c r="L2" s="345" t="s">
        <v>510</v>
      </c>
      <c r="M2" s="345" t="s">
        <v>511</v>
      </c>
      <c r="N2" s="345" t="s">
        <v>4253</v>
      </c>
      <c r="O2" s="345" t="s">
        <v>4997</v>
      </c>
      <c r="P2" s="345" t="s">
        <v>4998</v>
      </c>
      <c r="Q2" s="345" t="s">
        <v>4999</v>
      </c>
      <c r="U2" s="353" t="s">
        <v>0</v>
      </c>
      <c r="V2" s="353" t="s">
        <v>161</v>
      </c>
      <c r="W2" s="353" t="s">
        <v>11</v>
      </c>
      <c r="X2" s="353" t="s">
        <v>3311</v>
      </c>
      <c r="Y2" s="353" t="s">
        <v>12</v>
      </c>
      <c r="Z2" s="353" t="s">
        <v>5162</v>
      </c>
      <c r="AA2" s="353" t="s">
        <v>13</v>
      </c>
      <c r="AB2" s="353" t="s">
        <v>3</v>
      </c>
      <c r="AC2" s="353" t="s">
        <v>4</v>
      </c>
      <c r="AD2" s="353" t="s">
        <v>5</v>
      </c>
      <c r="AE2" s="353" t="s">
        <v>6</v>
      </c>
      <c r="AF2" s="353" t="s">
        <v>7</v>
      </c>
      <c r="AG2" s="353" t="s">
        <v>8</v>
      </c>
      <c r="AH2" s="353" t="s">
        <v>5163</v>
      </c>
      <c r="AI2" s="353" t="s">
        <v>2233</v>
      </c>
      <c r="AJ2" s="353" t="s">
        <v>5164</v>
      </c>
      <c r="AK2" s="353" t="s">
        <v>4119</v>
      </c>
      <c r="AL2" s="353" t="s">
        <v>5165</v>
      </c>
      <c r="AM2" s="353" t="s">
        <v>5166</v>
      </c>
      <c r="AN2" s="353" t="s">
        <v>6083</v>
      </c>
      <c r="AW2" s="353" t="s">
        <v>0</v>
      </c>
      <c r="AX2" s="353" t="s">
        <v>161</v>
      </c>
      <c r="AY2" s="353" t="s">
        <v>11</v>
      </c>
      <c r="AZ2" s="353" t="s">
        <v>3311</v>
      </c>
      <c r="BA2" s="353" t="s">
        <v>12</v>
      </c>
      <c r="BB2" s="353" t="s">
        <v>5162</v>
      </c>
      <c r="BC2" s="353" t="s">
        <v>13</v>
      </c>
      <c r="BD2" s="353" t="s">
        <v>3</v>
      </c>
      <c r="BE2" s="353" t="s">
        <v>4</v>
      </c>
      <c r="BF2" s="353" t="s">
        <v>5</v>
      </c>
      <c r="BG2" s="353" t="s">
        <v>6</v>
      </c>
      <c r="BH2" s="353" t="s">
        <v>7</v>
      </c>
      <c r="BI2" s="353" t="s">
        <v>8</v>
      </c>
      <c r="BJ2" s="353" t="s">
        <v>5163</v>
      </c>
      <c r="BK2" s="353" t="s">
        <v>2233</v>
      </c>
      <c r="BL2" s="353" t="s">
        <v>5164</v>
      </c>
      <c r="BM2" s="353" t="s">
        <v>4119</v>
      </c>
      <c r="BN2" s="353" t="s">
        <v>5165</v>
      </c>
      <c r="BO2" s="353" t="s">
        <v>5166</v>
      </c>
      <c r="BP2" s="353" t="s">
        <v>6083</v>
      </c>
      <c r="BS2" s="353" t="s">
        <v>0</v>
      </c>
      <c r="BT2" s="353" t="s">
        <v>6083</v>
      </c>
      <c r="BU2" s="353"/>
      <c r="BV2" s="353"/>
      <c r="BW2" s="353"/>
      <c r="BX2" s="353"/>
      <c r="BY2" s="353"/>
      <c r="BZ2" s="353"/>
      <c r="CA2" s="353"/>
      <c r="CB2" s="353"/>
      <c r="CC2" s="353"/>
      <c r="CD2" s="353"/>
      <c r="CE2" s="353"/>
      <c r="CF2" s="353"/>
      <c r="CG2" s="353"/>
      <c r="CH2" s="353"/>
      <c r="CI2" s="353"/>
      <c r="CJ2" s="353"/>
      <c r="CK2" s="353"/>
    </row>
    <row r="3" spans="1:89" x14ac:dyDescent="0.25">
      <c r="A3" s="347">
        <v>1</v>
      </c>
      <c r="B3" s="346" t="s">
        <v>1391</v>
      </c>
      <c r="C3" s="346" t="s">
        <v>5000</v>
      </c>
      <c r="D3" s="347" t="s">
        <v>5001</v>
      </c>
      <c r="E3" s="347">
        <v>10</v>
      </c>
      <c r="F3" s="347">
        <v>3</v>
      </c>
      <c r="G3" s="346" t="s">
        <v>5002</v>
      </c>
      <c r="H3" s="347">
        <v>4</v>
      </c>
      <c r="I3" s="347">
        <v>11</v>
      </c>
      <c r="J3" s="347">
        <v>12</v>
      </c>
      <c r="K3" s="347">
        <v>2</v>
      </c>
      <c r="L3" s="347">
        <v>12</v>
      </c>
      <c r="M3" s="347">
        <v>5</v>
      </c>
      <c r="N3" s="346" t="s">
        <v>3203</v>
      </c>
      <c r="O3" s="346" t="s">
        <v>5003</v>
      </c>
      <c r="P3" s="346" t="s">
        <v>5004</v>
      </c>
      <c r="Q3" s="346" t="s">
        <v>6094</v>
      </c>
      <c r="T3">
        <v>1</v>
      </c>
      <c r="U3" t="s">
        <v>488</v>
      </c>
      <c r="V3" t="s">
        <v>5167</v>
      </c>
      <c r="W3" t="s">
        <v>5168</v>
      </c>
      <c r="X3" t="s">
        <v>5169</v>
      </c>
      <c r="Y3">
        <v>11</v>
      </c>
      <c r="Z3" t="s">
        <v>5170</v>
      </c>
      <c r="AA3" t="s">
        <v>5171</v>
      </c>
      <c r="AB3">
        <v>18</v>
      </c>
      <c r="AC3">
        <v>12</v>
      </c>
      <c r="AD3">
        <v>13</v>
      </c>
      <c r="AE3">
        <v>5</v>
      </c>
      <c r="AF3">
        <v>12</v>
      </c>
      <c r="AG3">
        <v>7</v>
      </c>
      <c r="AH3" t="s">
        <v>5172</v>
      </c>
      <c r="AL3" t="s">
        <v>5173</v>
      </c>
      <c r="AM3" t="s">
        <v>5174</v>
      </c>
      <c r="BS3" s="440" t="s">
        <v>6009</v>
      </c>
      <c r="BT3" s="440">
        <v>0</v>
      </c>
    </row>
    <row r="4" spans="1:89" x14ac:dyDescent="0.25">
      <c r="A4" s="347">
        <v>2</v>
      </c>
      <c r="B4" s="346" t="s">
        <v>5005</v>
      </c>
      <c r="C4" s="346" t="s">
        <v>5000</v>
      </c>
      <c r="D4" s="347" t="s">
        <v>5001</v>
      </c>
      <c r="E4" s="347">
        <v>12</v>
      </c>
      <c r="F4" s="347">
        <v>1</v>
      </c>
      <c r="G4" s="346" t="s">
        <v>5006</v>
      </c>
      <c r="H4" s="347">
        <v>2</v>
      </c>
      <c r="I4" s="347">
        <v>15</v>
      </c>
      <c r="J4" s="347">
        <v>8</v>
      </c>
      <c r="K4" s="347">
        <v>2</v>
      </c>
      <c r="L4" s="347">
        <v>12</v>
      </c>
      <c r="M4" s="347">
        <v>4</v>
      </c>
      <c r="N4" s="346" t="s">
        <v>3203</v>
      </c>
      <c r="O4" s="346" t="s">
        <v>5007</v>
      </c>
      <c r="P4" s="346" t="s">
        <v>5008</v>
      </c>
      <c r="Q4" s="346" t="s">
        <v>6086</v>
      </c>
      <c r="T4">
        <f>T3+1</f>
        <v>2</v>
      </c>
      <c r="U4" t="s">
        <v>423</v>
      </c>
      <c r="V4" t="s">
        <v>5167</v>
      </c>
      <c r="W4" t="s">
        <v>5168</v>
      </c>
      <c r="X4" t="s">
        <v>5169</v>
      </c>
      <c r="Y4">
        <v>10</v>
      </c>
      <c r="Z4" t="s">
        <v>5178</v>
      </c>
      <c r="AA4" t="s">
        <v>5171</v>
      </c>
      <c r="AB4">
        <v>16</v>
      </c>
      <c r="AC4">
        <v>10</v>
      </c>
      <c r="AD4">
        <v>12</v>
      </c>
      <c r="AE4">
        <v>5</v>
      </c>
      <c r="AF4">
        <v>11</v>
      </c>
      <c r="AG4">
        <v>7</v>
      </c>
      <c r="AH4" t="s">
        <v>5179</v>
      </c>
      <c r="AM4" t="s">
        <v>5180</v>
      </c>
      <c r="AV4">
        <v>1</v>
      </c>
      <c r="AW4" t="s">
        <v>6009</v>
      </c>
      <c r="AX4" s="354" t="s">
        <v>5192</v>
      </c>
      <c r="BS4" s="440" t="s">
        <v>1391</v>
      </c>
      <c r="BT4" s="440">
        <v>0</v>
      </c>
    </row>
    <row r="5" spans="1:89" x14ac:dyDescent="0.25">
      <c r="A5" s="347">
        <v>3</v>
      </c>
      <c r="B5" s="346" t="s">
        <v>5009</v>
      </c>
      <c r="C5" s="346" t="s">
        <v>5000</v>
      </c>
      <c r="D5" s="347" t="s">
        <v>5001</v>
      </c>
      <c r="E5" s="347">
        <v>12</v>
      </c>
      <c r="F5" s="347">
        <v>2</v>
      </c>
      <c r="G5" s="346" t="s">
        <v>5010</v>
      </c>
      <c r="H5" s="347">
        <v>3</v>
      </c>
      <c r="I5" s="347">
        <v>15</v>
      </c>
      <c r="J5" s="347">
        <v>10</v>
      </c>
      <c r="K5" s="347">
        <v>3</v>
      </c>
      <c r="L5" s="347">
        <v>12</v>
      </c>
      <c r="M5" s="347">
        <v>7</v>
      </c>
      <c r="N5" s="346" t="s">
        <v>5011</v>
      </c>
      <c r="O5" s="346" t="s">
        <v>5012</v>
      </c>
      <c r="P5" s="346" t="s">
        <v>5013</v>
      </c>
      <c r="Q5" s="346" t="s">
        <v>6094</v>
      </c>
      <c r="T5">
        <f t="shared" ref="T5:T22" si="0">T4+1</f>
        <v>3</v>
      </c>
      <c r="U5" s="346" t="s">
        <v>5181</v>
      </c>
      <c r="V5" s="346" t="s">
        <v>5167</v>
      </c>
      <c r="W5" s="346" t="s">
        <v>5182</v>
      </c>
      <c r="X5" s="346" t="s">
        <v>5169</v>
      </c>
      <c r="Y5">
        <v>10</v>
      </c>
      <c r="Z5" s="346" t="s">
        <v>5183</v>
      </c>
      <c r="AA5" s="346" t="s">
        <v>5184</v>
      </c>
      <c r="AB5">
        <v>14</v>
      </c>
      <c r="AC5">
        <v>10</v>
      </c>
      <c r="AD5">
        <v>13</v>
      </c>
      <c r="AE5">
        <v>5</v>
      </c>
      <c r="AF5">
        <v>10</v>
      </c>
      <c r="AG5">
        <v>5</v>
      </c>
      <c r="AH5" t="s">
        <v>5179</v>
      </c>
      <c r="AL5" s="168" t="s">
        <v>6097</v>
      </c>
      <c r="AM5" s="168" t="s">
        <v>5185</v>
      </c>
      <c r="AV5">
        <v>2</v>
      </c>
      <c r="AW5" t="s">
        <v>1391</v>
      </c>
      <c r="AX5" s="354" t="s">
        <v>5193</v>
      </c>
      <c r="BS5" s="440" t="s">
        <v>5005</v>
      </c>
      <c r="BT5" s="440">
        <v>0</v>
      </c>
    </row>
    <row r="6" spans="1:89" x14ac:dyDescent="0.25">
      <c r="A6" s="347">
        <v>4</v>
      </c>
      <c r="B6" s="346" t="s">
        <v>5014</v>
      </c>
      <c r="C6" s="346" t="s">
        <v>5000</v>
      </c>
      <c r="D6" s="347" t="s">
        <v>5001</v>
      </c>
      <c r="E6" s="347">
        <v>11</v>
      </c>
      <c r="F6" s="347">
        <v>2</v>
      </c>
      <c r="G6" s="346" t="s">
        <v>5015</v>
      </c>
      <c r="H6" s="347">
        <v>2</v>
      </c>
      <c r="I6" s="347">
        <v>11</v>
      </c>
      <c r="J6" s="347">
        <v>10</v>
      </c>
      <c r="K6" s="347">
        <v>1</v>
      </c>
      <c r="L6" s="347">
        <v>8</v>
      </c>
      <c r="M6" s="347">
        <v>2</v>
      </c>
      <c r="N6" s="346" t="s">
        <v>5016</v>
      </c>
      <c r="O6" s="346" t="s">
        <v>5017</v>
      </c>
      <c r="P6" s="346" t="s">
        <v>5018</v>
      </c>
      <c r="Q6" s="346" t="s">
        <v>3010</v>
      </c>
      <c r="T6">
        <f t="shared" si="0"/>
        <v>4</v>
      </c>
      <c r="U6" s="346" t="s">
        <v>374</v>
      </c>
      <c r="V6" s="346" t="s">
        <v>5167</v>
      </c>
      <c r="W6" s="346" t="s">
        <v>5182</v>
      </c>
      <c r="X6" s="346" t="s">
        <v>5169</v>
      </c>
      <c r="Y6">
        <v>12</v>
      </c>
      <c r="Z6" s="346" t="s">
        <v>5187</v>
      </c>
      <c r="AA6" s="346" t="s">
        <v>5184</v>
      </c>
      <c r="AB6">
        <v>13</v>
      </c>
      <c r="AC6">
        <v>14</v>
      </c>
      <c r="AD6">
        <v>12</v>
      </c>
      <c r="AE6">
        <v>5</v>
      </c>
      <c r="AF6">
        <v>12</v>
      </c>
      <c r="AG6">
        <v>7</v>
      </c>
      <c r="AH6" t="s">
        <v>5188</v>
      </c>
      <c r="AI6" t="s">
        <v>5049</v>
      </c>
      <c r="AL6" t="s">
        <v>6089</v>
      </c>
      <c r="AM6" s="168" t="s">
        <v>5186</v>
      </c>
      <c r="AW6" t="s">
        <v>5005</v>
      </c>
      <c r="AX6" s="354" t="s">
        <v>5194</v>
      </c>
      <c r="BS6" s="440" t="s">
        <v>5009</v>
      </c>
      <c r="BT6" s="440">
        <v>0</v>
      </c>
    </row>
    <row r="7" spans="1:89" x14ac:dyDescent="0.25">
      <c r="A7" s="347">
        <v>5</v>
      </c>
      <c r="B7" s="346" t="s">
        <v>5019</v>
      </c>
      <c r="C7" s="346" t="s">
        <v>5000</v>
      </c>
      <c r="D7" s="347" t="s">
        <v>5001</v>
      </c>
      <c r="E7" s="347">
        <v>11</v>
      </c>
      <c r="F7" s="347">
        <v>1</v>
      </c>
      <c r="G7" s="346" t="s">
        <v>5020</v>
      </c>
      <c r="H7" s="347">
        <v>1</v>
      </c>
      <c r="I7" s="347">
        <v>13</v>
      </c>
      <c r="J7" s="347">
        <v>8</v>
      </c>
      <c r="K7" s="347">
        <v>1</v>
      </c>
      <c r="L7" s="347">
        <v>8</v>
      </c>
      <c r="M7" s="347">
        <v>3</v>
      </c>
      <c r="N7" s="346" t="s">
        <v>5021</v>
      </c>
      <c r="O7" s="346" t="s">
        <v>5003</v>
      </c>
      <c r="P7" s="346" t="s">
        <v>3203</v>
      </c>
      <c r="Q7" s="346" t="s">
        <v>6087</v>
      </c>
      <c r="T7">
        <f t="shared" si="0"/>
        <v>5</v>
      </c>
      <c r="U7" s="346" t="s">
        <v>5189</v>
      </c>
      <c r="V7" s="346" t="s">
        <v>5167</v>
      </c>
      <c r="W7" s="346" t="s">
        <v>599</v>
      </c>
      <c r="X7" s="346" t="s">
        <v>5169</v>
      </c>
      <c r="Y7">
        <v>11</v>
      </c>
      <c r="Z7" s="346" t="s">
        <v>5183</v>
      </c>
      <c r="AA7" s="346" t="s">
        <v>5184</v>
      </c>
      <c r="AB7">
        <v>13</v>
      </c>
      <c r="AC7">
        <v>11</v>
      </c>
      <c r="AD7">
        <v>12</v>
      </c>
      <c r="AE7">
        <v>5</v>
      </c>
      <c r="AF7">
        <v>9</v>
      </c>
      <c r="AG7">
        <v>5</v>
      </c>
      <c r="AH7" t="s">
        <v>5190</v>
      </c>
      <c r="AL7" s="168" t="s">
        <v>6098</v>
      </c>
      <c r="AM7" s="168" t="s">
        <v>5191</v>
      </c>
      <c r="AW7" t="s">
        <v>6084</v>
      </c>
      <c r="AX7" s="354" t="s">
        <v>5195</v>
      </c>
      <c r="BS7" s="441" t="s">
        <v>5014</v>
      </c>
      <c r="BT7" s="440">
        <v>0</v>
      </c>
    </row>
    <row r="8" spans="1:89" x14ac:dyDescent="0.25">
      <c r="A8" s="347">
        <v>6</v>
      </c>
      <c r="B8" s="346" t="s">
        <v>5022</v>
      </c>
      <c r="C8" s="346" t="s">
        <v>5000</v>
      </c>
      <c r="D8" s="347" t="s">
        <v>5001</v>
      </c>
      <c r="E8" s="347">
        <v>13</v>
      </c>
      <c r="F8" s="347">
        <v>1</v>
      </c>
      <c r="G8" s="346" t="s">
        <v>5023</v>
      </c>
      <c r="H8" s="347">
        <v>5</v>
      </c>
      <c r="I8" s="347">
        <v>16</v>
      </c>
      <c r="J8" s="347">
        <v>8</v>
      </c>
      <c r="K8" s="347">
        <v>2</v>
      </c>
      <c r="L8" s="347">
        <v>14</v>
      </c>
      <c r="M8" s="347">
        <v>6</v>
      </c>
      <c r="N8" s="346" t="s">
        <v>5024</v>
      </c>
      <c r="O8" s="346" t="s">
        <v>5025</v>
      </c>
      <c r="P8" s="346" t="s">
        <v>5026</v>
      </c>
      <c r="Q8" s="346" t="s">
        <v>6088</v>
      </c>
      <c r="T8">
        <f t="shared" si="0"/>
        <v>6</v>
      </c>
      <c r="AW8" t="s">
        <v>5189</v>
      </c>
      <c r="AX8" s="354" t="s">
        <v>5196</v>
      </c>
      <c r="BS8" s="441" t="s">
        <v>6010</v>
      </c>
      <c r="BT8" s="440">
        <v>0</v>
      </c>
    </row>
    <row r="9" spans="1:89" x14ac:dyDescent="0.25">
      <c r="A9" s="347">
        <v>7</v>
      </c>
      <c r="B9" s="346" t="s">
        <v>5061</v>
      </c>
      <c r="C9" s="346" t="s">
        <v>5062</v>
      </c>
      <c r="D9" s="347" t="s">
        <v>5001</v>
      </c>
      <c r="E9" s="347">
        <v>13</v>
      </c>
      <c r="F9" s="347">
        <v>10</v>
      </c>
      <c r="G9" s="346" t="s">
        <v>5063</v>
      </c>
      <c r="H9" s="347">
        <v>6</v>
      </c>
      <c r="I9" s="347">
        <v>17</v>
      </c>
      <c r="J9" s="347">
        <v>13</v>
      </c>
      <c r="K9" s="347">
        <v>11</v>
      </c>
      <c r="L9" s="347">
        <v>12</v>
      </c>
      <c r="M9" s="347">
        <v>14</v>
      </c>
      <c r="N9" s="346" t="s">
        <v>5064</v>
      </c>
      <c r="O9" s="346" t="s">
        <v>5065</v>
      </c>
      <c r="P9" s="346" t="s">
        <v>5066</v>
      </c>
      <c r="Q9" s="346" t="s">
        <v>5067</v>
      </c>
      <c r="T9">
        <f t="shared" si="0"/>
        <v>7</v>
      </c>
      <c r="AW9" t="s">
        <v>5009</v>
      </c>
      <c r="AX9" s="354" t="s">
        <v>5197</v>
      </c>
      <c r="BS9" s="441" t="s">
        <v>3641</v>
      </c>
      <c r="BT9" s="440">
        <v>0</v>
      </c>
    </row>
    <row r="10" spans="1:89" x14ac:dyDescent="0.25">
      <c r="A10" s="347">
        <v>8</v>
      </c>
      <c r="B10" s="346" t="s">
        <v>5027</v>
      </c>
      <c r="C10" s="346" t="s">
        <v>5000</v>
      </c>
      <c r="D10" s="347" t="s">
        <v>5001</v>
      </c>
      <c r="E10" s="347">
        <v>10</v>
      </c>
      <c r="F10" s="347">
        <v>2</v>
      </c>
      <c r="G10" s="346" t="s">
        <v>5028</v>
      </c>
      <c r="H10" s="347">
        <v>2</v>
      </c>
      <c r="I10" s="347">
        <v>11</v>
      </c>
      <c r="J10" s="347">
        <v>10</v>
      </c>
      <c r="K10" s="347">
        <v>1</v>
      </c>
      <c r="L10" s="347">
        <v>8</v>
      </c>
      <c r="M10" s="347">
        <v>3</v>
      </c>
      <c r="N10" s="346" t="s">
        <v>3203</v>
      </c>
      <c r="O10" s="346" t="s">
        <v>5029</v>
      </c>
      <c r="P10" s="346" t="s">
        <v>5008</v>
      </c>
      <c r="Q10" s="346" t="s">
        <v>3203</v>
      </c>
      <c r="T10">
        <f t="shared" si="0"/>
        <v>8</v>
      </c>
      <c r="AW10" t="s">
        <v>5014</v>
      </c>
      <c r="AX10" s="354" t="s">
        <v>5198</v>
      </c>
      <c r="BS10" s="441" t="s">
        <v>5019</v>
      </c>
      <c r="BT10" s="440">
        <v>0</v>
      </c>
    </row>
    <row r="11" spans="1:89" x14ac:dyDescent="0.25">
      <c r="A11" s="347">
        <v>9</v>
      </c>
      <c r="B11" s="346" t="s">
        <v>374</v>
      </c>
      <c r="C11" s="346" t="s">
        <v>5000</v>
      </c>
      <c r="D11" s="347" t="s">
        <v>599</v>
      </c>
      <c r="E11" s="347">
        <v>12</v>
      </c>
      <c r="F11" s="347">
        <v>5</v>
      </c>
      <c r="G11" s="346" t="s">
        <v>291</v>
      </c>
      <c r="H11" s="347">
        <v>13</v>
      </c>
      <c r="I11" s="347">
        <v>14</v>
      </c>
      <c r="J11" s="347">
        <v>12</v>
      </c>
      <c r="K11" s="347">
        <v>3</v>
      </c>
      <c r="L11" s="347">
        <v>12</v>
      </c>
      <c r="M11" s="347">
        <v>7</v>
      </c>
      <c r="N11" s="346" t="s">
        <v>5049</v>
      </c>
      <c r="O11" s="346" t="s">
        <v>5012</v>
      </c>
      <c r="P11" s="346" t="s">
        <v>5068</v>
      </c>
      <c r="Q11" s="346" t="s">
        <v>6089</v>
      </c>
      <c r="T11">
        <f t="shared" si="0"/>
        <v>9</v>
      </c>
      <c r="AW11" t="s">
        <v>6010</v>
      </c>
      <c r="AX11" s="354" t="s">
        <v>5199</v>
      </c>
      <c r="BS11" s="440" t="s">
        <v>6011</v>
      </c>
      <c r="BT11" s="440">
        <v>0</v>
      </c>
    </row>
    <row r="12" spans="1:89" x14ac:dyDescent="0.25">
      <c r="A12" s="347">
        <v>10</v>
      </c>
      <c r="B12" s="346" t="s">
        <v>5030</v>
      </c>
      <c r="C12" s="346" t="s">
        <v>5000</v>
      </c>
      <c r="D12" s="347" t="s">
        <v>5001</v>
      </c>
      <c r="E12" s="347">
        <v>12</v>
      </c>
      <c r="F12" s="347">
        <v>3</v>
      </c>
      <c r="G12" s="346" t="s">
        <v>5031</v>
      </c>
      <c r="H12" s="347">
        <v>4</v>
      </c>
      <c r="I12" s="347">
        <v>15</v>
      </c>
      <c r="J12" s="347">
        <v>11</v>
      </c>
      <c r="K12" s="347">
        <v>3</v>
      </c>
      <c r="L12" s="347">
        <v>10</v>
      </c>
      <c r="M12" s="347">
        <v>4</v>
      </c>
      <c r="N12" s="346" t="s">
        <v>5032</v>
      </c>
      <c r="O12" s="346" t="s">
        <v>5033</v>
      </c>
      <c r="P12" s="346" t="s">
        <v>5034</v>
      </c>
      <c r="Q12" s="346" t="s">
        <v>6090</v>
      </c>
      <c r="T12">
        <f t="shared" si="0"/>
        <v>10</v>
      </c>
      <c r="AW12" t="s">
        <v>3641</v>
      </c>
      <c r="AX12" s="354" t="s">
        <v>5200</v>
      </c>
      <c r="BS12" s="440" t="s">
        <v>2973</v>
      </c>
      <c r="BT12" s="440">
        <v>0</v>
      </c>
    </row>
    <row r="13" spans="1:89" x14ac:dyDescent="0.25">
      <c r="A13" s="347">
        <v>11</v>
      </c>
      <c r="B13" s="346" t="s">
        <v>5035</v>
      </c>
      <c r="C13" s="346" t="s">
        <v>5000</v>
      </c>
      <c r="D13" s="347" t="s">
        <v>5001</v>
      </c>
      <c r="E13" s="347">
        <v>11</v>
      </c>
      <c r="F13" s="347">
        <v>1</v>
      </c>
      <c r="G13" s="346" t="s">
        <v>5036</v>
      </c>
      <c r="H13" s="347">
        <v>3</v>
      </c>
      <c r="I13" s="347">
        <v>13</v>
      </c>
      <c r="J13" s="347">
        <v>8</v>
      </c>
      <c r="K13" s="347">
        <v>2</v>
      </c>
      <c r="L13" s="347">
        <v>12</v>
      </c>
      <c r="M13" s="347">
        <v>7</v>
      </c>
      <c r="N13" s="346" t="s">
        <v>5037</v>
      </c>
      <c r="O13" s="346" t="s">
        <v>5038</v>
      </c>
      <c r="P13" s="346" t="s">
        <v>5039</v>
      </c>
      <c r="Q13" s="346" t="s">
        <v>6091</v>
      </c>
      <c r="T13">
        <f t="shared" si="0"/>
        <v>11</v>
      </c>
      <c r="AW13" t="s">
        <v>6085</v>
      </c>
      <c r="AX13" s="354" t="s">
        <v>5201</v>
      </c>
      <c r="BS13" s="440" t="s">
        <v>5022</v>
      </c>
      <c r="BT13" s="440">
        <v>0</v>
      </c>
    </row>
    <row r="14" spans="1:89" x14ac:dyDescent="0.25">
      <c r="A14" s="347">
        <v>12</v>
      </c>
      <c r="B14" s="346" t="s">
        <v>5069</v>
      </c>
      <c r="C14" s="346" t="s">
        <v>5070</v>
      </c>
      <c r="D14" s="347" t="s">
        <v>5001</v>
      </c>
      <c r="E14" s="347">
        <v>13</v>
      </c>
      <c r="F14" s="347">
        <v>7</v>
      </c>
      <c r="G14" s="346" t="s">
        <v>5071</v>
      </c>
      <c r="H14" s="347">
        <v>6</v>
      </c>
      <c r="I14" s="347">
        <v>15</v>
      </c>
      <c r="J14" s="347">
        <v>13</v>
      </c>
      <c r="K14" s="347">
        <v>10</v>
      </c>
      <c r="L14" s="347">
        <v>12</v>
      </c>
      <c r="M14" s="347">
        <v>10</v>
      </c>
      <c r="N14" s="346" t="s">
        <v>5011</v>
      </c>
      <c r="O14" s="346" t="s">
        <v>5072</v>
      </c>
      <c r="P14" s="346" t="s">
        <v>5073</v>
      </c>
      <c r="Q14" s="346" t="s">
        <v>6092</v>
      </c>
      <c r="T14">
        <f t="shared" si="0"/>
        <v>12</v>
      </c>
      <c r="AW14" t="s">
        <v>5019</v>
      </c>
      <c r="AX14" s="354" t="s">
        <v>5202</v>
      </c>
      <c r="BS14" s="440" t="s">
        <v>6012</v>
      </c>
      <c r="BT14" s="440">
        <v>0</v>
      </c>
    </row>
    <row r="15" spans="1:89" x14ac:dyDescent="0.25">
      <c r="A15" s="347">
        <v>13</v>
      </c>
      <c r="B15" s="346" t="s">
        <v>5074</v>
      </c>
      <c r="C15" s="346" t="s">
        <v>5062</v>
      </c>
      <c r="D15" s="347" t="s">
        <v>5001</v>
      </c>
      <c r="E15" s="347">
        <v>13</v>
      </c>
      <c r="F15" s="347">
        <v>7</v>
      </c>
      <c r="G15" s="346" t="s">
        <v>291</v>
      </c>
      <c r="H15" s="347">
        <v>5</v>
      </c>
      <c r="I15" s="347">
        <v>17</v>
      </c>
      <c r="J15" s="347">
        <v>10</v>
      </c>
      <c r="K15" s="347">
        <v>7</v>
      </c>
      <c r="L15" s="347">
        <v>10</v>
      </c>
      <c r="M15" s="347">
        <v>10</v>
      </c>
      <c r="N15" s="346" t="s">
        <v>5075</v>
      </c>
      <c r="O15" s="346" t="s">
        <v>5076</v>
      </c>
      <c r="P15" s="346" t="s">
        <v>5077</v>
      </c>
      <c r="Q15" s="346" t="s">
        <v>5078</v>
      </c>
      <c r="T15">
        <f t="shared" si="0"/>
        <v>13</v>
      </c>
      <c r="AX15" s="354" t="s">
        <v>5203</v>
      </c>
      <c r="BS15" s="440" t="s">
        <v>6013</v>
      </c>
      <c r="BT15" s="440">
        <v>0</v>
      </c>
    </row>
    <row r="16" spans="1:89" x14ac:dyDescent="0.25">
      <c r="A16" s="347">
        <v>14</v>
      </c>
      <c r="B16" s="346" t="s">
        <v>5040</v>
      </c>
      <c r="C16" s="346" t="s">
        <v>5000</v>
      </c>
      <c r="D16" s="347" t="s">
        <v>5001</v>
      </c>
      <c r="E16" s="347">
        <v>13</v>
      </c>
      <c r="F16" s="347">
        <v>2</v>
      </c>
      <c r="G16" s="346" t="s">
        <v>5041</v>
      </c>
      <c r="H16" s="347">
        <v>2</v>
      </c>
      <c r="I16" s="347">
        <v>16</v>
      </c>
      <c r="J16" s="347">
        <v>9</v>
      </c>
      <c r="K16" s="347">
        <v>1</v>
      </c>
      <c r="L16" s="347">
        <v>7</v>
      </c>
      <c r="M16" s="347">
        <v>2</v>
      </c>
      <c r="N16" s="346" t="s">
        <v>3203</v>
      </c>
      <c r="O16" s="346" t="s">
        <v>5042</v>
      </c>
      <c r="P16" s="346" t="s">
        <v>5043</v>
      </c>
      <c r="Q16" s="346" t="s">
        <v>6093</v>
      </c>
      <c r="T16">
        <f t="shared" si="0"/>
        <v>14</v>
      </c>
      <c r="AX16" s="354" t="s">
        <v>5204</v>
      </c>
      <c r="BS16" s="440" t="s">
        <v>5027</v>
      </c>
      <c r="BT16" s="440">
        <v>0</v>
      </c>
    </row>
    <row r="17" spans="1:72" x14ac:dyDescent="0.25">
      <c r="A17" s="347">
        <v>15</v>
      </c>
      <c r="B17" s="346" t="s">
        <v>5044</v>
      </c>
      <c r="C17" s="346" t="s">
        <v>5000</v>
      </c>
      <c r="D17" s="347" t="s">
        <v>5001</v>
      </c>
      <c r="E17" s="347">
        <v>10</v>
      </c>
      <c r="F17" s="347">
        <v>1</v>
      </c>
      <c r="G17" s="346" t="s">
        <v>5045</v>
      </c>
      <c r="H17" s="347">
        <v>2</v>
      </c>
      <c r="I17" s="347">
        <v>11</v>
      </c>
      <c r="J17" s="347">
        <v>9</v>
      </c>
      <c r="K17" s="347">
        <v>2</v>
      </c>
      <c r="L17" s="347">
        <v>10</v>
      </c>
      <c r="M17" s="347">
        <v>4</v>
      </c>
      <c r="N17" s="346" t="s">
        <v>3203</v>
      </c>
      <c r="O17" s="346" t="s">
        <v>5046</v>
      </c>
      <c r="P17" s="346" t="s">
        <v>5008</v>
      </c>
      <c r="Q17" s="346" t="s">
        <v>6094</v>
      </c>
      <c r="T17">
        <f t="shared" si="0"/>
        <v>15</v>
      </c>
      <c r="AX17" s="354" t="s">
        <v>5205</v>
      </c>
      <c r="BS17" s="440" t="s">
        <v>5030</v>
      </c>
      <c r="BT17" s="440">
        <v>0</v>
      </c>
    </row>
    <row r="18" spans="1:72" x14ac:dyDescent="0.25">
      <c r="A18" s="347">
        <v>16</v>
      </c>
      <c r="B18" s="346" t="s">
        <v>5047</v>
      </c>
      <c r="C18" s="346" t="s">
        <v>5000</v>
      </c>
      <c r="D18" s="347" t="s">
        <v>5001</v>
      </c>
      <c r="E18" s="347">
        <v>12</v>
      </c>
      <c r="F18" s="347">
        <v>1</v>
      </c>
      <c r="G18" s="346" t="s">
        <v>5048</v>
      </c>
      <c r="H18" s="347">
        <v>2</v>
      </c>
      <c r="I18" s="347">
        <v>14</v>
      </c>
      <c r="J18" s="347">
        <v>8</v>
      </c>
      <c r="K18" s="347">
        <v>2</v>
      </c>
      <c r="L18" s="347">
        <v>12</v>
      </c>
      <c r="M18" s="347">
        <v>6</v>
      </c>
      <c r="N18" s="346" t="s">
        <v>5049</v>
      </c>
      <c r="O18" s="346" t="s">
        <v>5012</v>
      </c>
      <c r="P18" s="346" t="s">
        <v>5050</v>
      </c>
      <c r="Q18" s="346" t="s">
        <v>6095</v>
      </c>
      <c r="T18">
        <f t="shared" si="0"/>
        <v>16</v>
      </c>
      <c r="AX18" s="354" t="s">
        <v>5206</v>
      </c>
      <c r="BS18" s="440" t="s">
        <v>5035</v>
      </c>
      <c r="BT18" s="440">
        <v>0</v>
      </c>
    </row>
    <row r="19" spans="1:72" x14ac:dyDescent="0.25">
      <c r="A19" s="347">
        <v>17</v>
      </c>
      <c r="B19" s="346" t="s">
        <v>5051</v>
      </c>
      <c r="C19" s="346" t="s">
        <v>5000</v>
      </c>
      <c r="D19" s="346" t="s">
        <v>5001</v>
      </c>
      <c r="E19" s="346">
        <v>11</v>
      </c>
      <c r="F19" s="346">
        <v>1</v>
      </c>
      <c r="G19" s="346" t="s">
        <v>5052</v>
      </c>
      <c r="H19" s="346">
        <v>2</v>
      </c>
      <c r="I19" s="346">
        <v>1</v>
      </c>
      <c r="J19" s="346">
        <v>8</v>
      </c>
      <c r="K19" s="346">
        <v>1</v>
      </c>
      <c r="L19" s="346">
        <v>8</v>
      </c>
      <c r="M19" s="346">
        <v>2</v>
      </c>
      <c r="N19" s="346" t="s">
        <v>3203</v>
      </c>
      <c r="O19" s="346" t="s">
        <v>5053</v>
      </c>
      <c r="P19" s="346" t="s">
        <v>5054</v>
      </c>
      <c r="Q19" s="346" t="s">
        <v>3203</v>
      </c>
      <c r="T19">
        <f t="shared" si="0"/>
        <v>17</v>
      </c>
      <c r="AX19" s="354" t="s">
        <v>5207</v>
      </c>
      <c r="BS19" s="440" t="s">
        <v>5040</v>
      </c>
      <c r="BT19" s="440">
        <v>0</v>
      </c>
    </row>
    <row r="20" spans="1:72" x14ac:dyDescent="0.25">
      <c r="A20" s="347">
        <v>18</v>
      </c>
      <c r="B20" s="346" t="s">
        <v>5055</v>
      </c>
      <c r="C20" s="346" t="s">
        <v>5000</v>
      </c>
      <c r="D20" s="346" t="s">
        <v>5001</v>
      </c>
      <c r="E20" s="346">
        <v>13</v>
      </c>
      <c r="F20" s="346">
        <v>2</v>
      </c>
      <c r="G20" s="346" t="s">
        <v>5056</v>
      </c>
      <c r="H20" s="346">
        <v>2</v>
      </c>
      <c r="I20" s="346">
        <v>16</v>
      </c>
      <c r="J20" s="346">
        <v>11</v>
      </c>
      <c r="K20" s="346">
        <v>1</v>
      </c>
      <c r="L20" s="346">
        <v>10</v>
      </c>
      <c r="M20" s="346">
        <v>3</v>
      </c>
      <c r="N20" s="346" t="s">
        <v>3203</v>
      </c>
      <c r="O20" s="346" t="s">
        <v>5057</v>
      </c>
      <c r="P20" s="346" t="s">
        <v>5043</v>
      </c>
      <c r="Q20" s="346" t="s">
        <v>3203</v>
      </c>
      <c r="T20">
        <f t="shared" si="0"/>
        <v>18</v>
      </c>
      <c r="AX20" s="354" t="s">
        <v>5208</v>
      </c>
      <c r="BS20" s="440" t="s">
        <v>5044</v>
      </c>
      <c r="BT20" s="440">
        <v>0</v>
      </c>
    </row>
    <row r="21" spans="1:72" x14ac:dyDescent="0.25">
      <c r="A21" s="347">
        <v>19</v>
      </c>
      <c r="B21" s="346" t="s">
        <v>4082</v>
      </c>
      <c r="C21" s="346" t="s">
        <v>5000</v>
      </c>
      <c r="D21" s="346" t="s">
        <v>5001</v>
      </c>
      <c r="E21" s="346">
        <v>12</v>
      </c>
      <c r="F21" s="346">
        <v>1</v>
      </c>
      <c r="G21" s="346" t="s">
        <v>5028</v>
      </c>
      <c r="H21" s="346">
        <v>2</v>
      </c>
      <c r="I21" s="346">
        <v>14</v>
      </c>
      <c r="J21" s="346">
        <v>8</v>
      </c>
      <c r="K21" s="346">
        <v>1</v>
      </c>
      <c r="L21" s="346">
        <v>10</v>
      </c>
      <c r="M21" s="346">
        <v>2</v>
      </c>
      <c r="N21" s="346" t="s">
        <v>5058</v>
      </c>
      <c r="O21" s="346" t="s">
        <v>5046</v>
      </c>
      <c r="P21" s="346" t="s">
        <v>5059</v>
      </c>
      <c r="Q21" s="346" t="s">
        <v>6096</v>
      </c>
      <c r="T21">
        <f t="shared" si="0"/>
        <v>19</v>
      </c>
      <c r="AX21" s="354" t="s">
        <v>5209</v>
      </c>
      <c r="BS21" s="440" t="s">
        <v>5047</v>
      </c>
      <c r="BT21" s="440">
        <v>0</v>
      </c>
    </row>
    <row r="22" spans="1:72" x14ac:dyDescent="0.25">
      <c r="A22" s="347">
        <v>20</v>
      </c>
      <c r="B22" s="346" t="s">
        <v>5079</v>
      </c>
      <c r="C22" s="346" t="s">
        <v>3654</v>
      </c>
      <c r="D22" s="346" t="s">
        <v>5001</v>
      </c>
      <c r="E22" s="346">
        <v>14</v>
      </c>
      <c r="F22" s="346" t="s">
        <v>120</v>
      </c>
      <c r="G22" s="346" t="s">
        <v>5175</v>
      </c>
      <c r="H22" s="346">
        <v>3</v>
      </c>
      <c r="I22" s="346">
        <v>18</v>
      </c>
      <c r="J22" s="346">
        <v>10</v>
      </c>
      <c r="K22" s="346">
        <v>14</v>
      </c>
      <c r="L22" s="346">
        <v>13</v>
      </c>
      <c r="M22" s="346">
        <v>11</v>
      </c>
      <c r="N22" s="346" t="s">
        <v>5176</v>
      </c>
      <c r="O22" s="168" t="s">
        <v>5012</v>
      </c>
      <c r="P22" s="346" t="s">
        <v>5177</v>
      </c>
      <c r="Q22" s="346"/>
      <c r="T22">
        <f t="shared" si="0"/>
        <v>20</v>
      </c>
      <c r="AX22" s="354" t="s">
        <v>5210</v>
      </c>
      <c r="BS22" s="440" t="s">
        <v>5051</v>
      </c>
      <c r="BT22" s="440">
        <v>0</v>
      </c>
    </row>
    <row r="23" spans="1:72" x14ac:dyDescent="0.25">
      <c r="B23" s="168"/>
      <c r="C23" s="168"/>
      <c r="D23" s="168"/>
      <c r="E23" s="168"/>
      <c r="F23" s="168"/>
      <c r="G23" s="168"/>
      <c r="H23" s="168"/>
      <c r="I23" s="168"/>
      <c r="J23" s="168"/>
      <c r="K23" s="168"/>
      <c r="L23" s="168"/>
      <c r="M23" s="168"/>
      <c r="N23" s="168"/>
      <c r="O23" s="168"/>
      <c r="P23" s="168"/>
      <c r="Q23" s="168"/>
      <c r="AX23" s="354" t="s">
        <v>5211</v>
      </c>
      <c r="BS23" s="440" t="s">
        <v>6014</v>
      </c>
      <c r="BT23" s="440">
        <v>0</v>
      </c>
    </row>
    <row r="24" spans="1:72" x14ac:dyDescent="0.25">
      <c r="AX24" s="354" t="s">
        <v>5212</v>
      </c>
      <c r="BS24" s="440" t="s">
        <v>4082</v>
      </c>
      <c r="BT24" s="440">
        <v>0</v>
      </c>
    </row>
    <row r="25" spans="1:72" x14ac:dyDescent="0.25">
      <c r="AX25" s="354" t="s">
        <v>5213</v>
      </c>
      <c r="BS25" s="440" t="s">
        <v>6015</v>
      </c>
      <c r="BT25" s="440">
        <v>0</v>
      </c>
    </row>
    <row r="26" spans="1:72" x14ac:dyDescent="0.25">
      <c r="AX26" s="354" t="s">
        <v>5214</v>
      </c>
      <c r="BS26" s="440" t="s">
        <v>6016</v>
      </c>
      <c r="BT26" s="440">
        <v>0</v>
      </c>
    </row>
    <row r="27" spans="1:72" x14ac:dyDescent="0.25">
      <c r="AX27" s="354" t="s">
        <v>5215</v>
      </c>
      <c r="BS27" s="440" t="s">
        <v>6017</v>
      </c>
      <c r="BT27" s="440">
        <f>1/8</f>
        <v>0.125</v>
      </c>
    </row>
    <row r="28" spans="1:72" x14ac:dyDescent="0.25">
      <c r="AX28" s="354" t="s">
        <v>5216</v>
      </c>
      <c r="BS28" s="440" t="s">
        <v>238</v>
      </c>
      <c r="BT28" s="440">
        <f t="shared" ref="BT28:BT45" si="1">1/8</f>
        <v>0.125</v>
      </c>
    </row>
    <row r="29" spans="1:72" x14ac:dyDescent="0.25">
      <c r="AX29" s="354" t="s">
        <v>5217</v>
      </c>
      <c r="BS29" s="440" t="s">
        <v>6018</v>
      </c>
      <c r="BT29" s="440">
        <f t="shared" si="1"/>
        <v>0.125</v>
      </c>
    </row>
    <row r="30" spans="1:72" x14ac:dyDescent="0.25">
      <c r="AX30" s="354" t="s">
        <v>5218</v>
      </c>
      <c r="BS30" s="440" t="s">
        <v>6019</v>
      </c>
      <c r="BT30" s="440">
        <f t="shared" si="1"/>
        <v>0.125</v>
      </c>
    </row>
    <row r="31" spans="1:72" x14ac:dyDescent="0.25">
      <c r="AX31" s="354" t="s">
        <v>5219</v>
      </c>
      <c r="BS31" s="440" t="s">
        <v>6020</v>
      </c>
      <c r="BT31" s="440">
        <f t="shared" si="1"/>
        <v>0.125</v>
      </c>
    </row>
    <row r="32" spans="1:72" x14ac:dyDescent="0.25">
      <c r="AX32" s="354" t="s">
        <v>5220</v>
      </c>
      <c r="BS32" s="440" t="s">
        <v>6021</v>
      </c>
      <c r="BT32" s="440">
        <f t="shared" si="1"/>
        <v>0.125</v>
      </c>
    </row>
    <row r="33" spans="48:72" x14ac:dyDescent="0.25">
      <c r="AX33" s="354" t="s">
        <v>5221</v>
      </c>
      <c r="BS33" s="440" t="s">
        <v>374</v>
      </c>
      <c r="BT33" s="440">
        <f t="shared" si="1"/>
        <v>0.125</v>
      </c>
    </row>
    <row r="34" spans="48:72" x14ac:dyDescent="0.25">
      <c r="AX34" s="354" t="s">
        <v>5222</v>
      </c>
      <c r="BS34" s="440" t="s">
        <v>5181</v>
      </c>
      <c r="BT34" s="440">
        <f t="shared" si="1"/>
        <v>0.125</v>
      </c>
    </row>
    <row r="35" spans="48:72" x14ac:dyDescent="0.25">
      <c r="AX35" s="354" t="s">
        <v>5223</v>
      </c>
      <c r="BS35" s="440" t="s">
        <v>6022</v>
      </c>
      <c r="BT35" s="440">
        <f t="shared" si="1"/>
        <v>0.125</v>
      </c>
    </row>
    <row r="36" spans="48:72" x14ac:dyDescent="0.25">
      <c r="AX36" s="354" t="s">
        <v>5224</v>
      </c>
      <c r="BS36" s="440" t="s">
        <v>404</v>
      </c>
      <c r="BT36" s="440">
        <f t="shared" si="1"/>
        <v>0.125</v>
      </c>
    </row>
    <row r="37" spans="48:72" x14ac:dyDescent="0.25">
      <c r="AX37" s="354" t="s">
        <v>5225</v>
      </c>
      <c r="BS37" s="440" t="s">
        <v>6023</v>
      </c>
      <c r="BT37" s="440">
        <f t="shared" si="1"/>
        <v>0.125</v>
      </c>
    </row>
    <row r="38" spans="48:72" x14ac:dyDescent="0.25">
      <c r="AX38" s="354" t="s">
        <v>5226</v>
      </c>
      <c r="BS38" s="440" t="s">
        <v>5189</v>
      </c>
      <c r="BT38" s="440">
        <f t="shared" si="1"/>
        <v>0.125</v>
      </c>
    </row>
    <row r="39" spans="48:72" x14ac:dyDescent="0.25">
      <c r="AX39" s="354" t="s">
        <v>5227</v>
      </c>
      <c r="BS39" s="440" t="s">
        <v>6024</v>
      </c>
      <c r="BT39" s="440">
        <f t="shared" si="1"/>
        <v>0.125</v>
      </c>
    </row>
    <row r="40" spans="48:72" x14ac:dyDescent="0.25">
      <c r="AX40" s="354" t="s">
        <v>5228</v>
      </c>
      <c r="BS40" s="440" t="s">
        <v>6025</v>
      </c>
      <c r="BT40" s="440">
        <f t="shared" si="1"/>
        <v>0.125</v>
      </c>
    </row>
    <row r="41" spans="48:72" x14ac:dyDescent="0.25">
      <c r="AX41" s="354" t="s">
        <v>5229</v>
      </c>
      <c r="BS41" s="440" t="s">
        <v>6026</v>
      </c>
      <c r="BT41" s="440">
        <f t="shared" si="1"/>
        <v>0.125</v>
      </c>
    </row>
    <row r="42" spans="48:72" x14ac:dyDescent="0.25">
      <c r="AX42" s="354" t="s">
        <v>5230</v>
      </c>
      <c r="BS42" s="440" t="s">
        <v>6027</v>
      </c>
      <c r="BT42" s="440">
        <f t="shared" si="1"/>
        <v>0.125</v>
      </c>
    </row>
    <row r="43" spans="48:72" x14ac:dyDescent="0.25">
      <c r="AX43" s="354" t="s">
        <v>5231</v>
      </c>
      <c r="BS43" s="440" t="s">
        <v>6028</v>
      </c>
      <c r="BT43" s="440">
        <f t="shared" si="1"/>
        <v>0.125</v>
      </c>
    </row>
    <row r="44" spans="48:72" x14ac:dyDescent="0.25">
      <c r="AX44" s="354" t="s">
        <v>5232</v>
      </c>
      <c r="BS44" s="440" t="s">
        <v>6029</v>
      </c>
      <c r="BT44" s="440">
        <f t="shared" si="1"/>
        <v>0.125</v>
      </c>
    </row>
    <row r="45" spans="48:72" x14ac:dyDescent="0.25">
      <c r="AX45" s="354" t="s">
        <v>5233</v>
      </c>
      <c r="BS45" s="440" t="s">
        <v>6030</v>
      </c>
      <c r="BT45" s="440">
        <f t="shared" si="1"/>
        <v>0.125</v>
      </c>
    </row>
    <row r="46" spans="48:72" x14ac:dyDescent="0.25">
      <c r="AV46" s="355"/>
      <c r="BS46" s="440" t="s">
        <v>6031</v>
      </c>
      <c r="BT46" s="440">
        <f t="shared" ref="BT46:BT82" si="2">1/4</f>
        <v>0.25</v>
      </c>
    </row>
    <row r="47" spans="48:72" x14ac:dyDescent="0.25">
      <c r="AV47" s="247"/>
      <c r="BS47" s="440" t="s">
        <v>6032</v>
      </c>
      <c r="BT47" s="440">
        <f t="shared" si="2"/>
        <v>0.25</v>
      </c>
    </row>
    <row r="48" spans="48:72" x14ac:dyDescent="0.25">
      <c r="BS48" s="440" t="s">
        <v>6033</v>
      </c>
      <c r="BT48" s="440">
        <f t="shared" si="2"/>
        <v>0.25</v>
      </c>
    </row>
    <row r="49" spans="71:72" x14ac:dyDescent="0.25">
      <c r="BS49" s="440" t="s">
        <v>6034</v>
      </c>
      <c r="BT49" s="440">
        <f t="shared" si="2"/>
        <v>0.25</v>
      </c>
    </row>
    <row r="50" spans="71:72" x14ac:dyDescent="0.25">
      <c r="BS50" s="440" t="s">
        <v>6035</v>
      </c>
      <c r="BT50" s="440">
        <f t="shared" si="2"/>
        <v>0.25</v>
      </c>
    </row>
    <row r="51" spans="71:72" x14ac:dyDescent="0.25">
      <c r="BS51" s="440" t="s">
        <v>6036</v>
      </c>
      <c r="BT51" s="440">
        <f t="shared" si="2"/>
        <v>0.25</v>
      </c>
    </row>
    <row r="52" spans="71:72" x14ac:dyDescent="0.25">
      <c r="BS52" s="440" t="s">
        <v>6037</v>
      </c>
      <c r="BT52" s="440">
        <f t="shared" si="2"/>
        <v>0.25</v>
      </c>
    </row>
    <row r="53" spans="71:72" x14ac:dyDescent="0.25">
      <c r="BS53" s="440" t="s">
        <v>6038</v>
      </c>
      <c r="BT53" s="440">
        <f t="shared" si="2"/>
        <v>0.25</v>
      </c>
    </row>
    <row r="54" spans="71:72" x14ac:dyDescent="0.25">
      <c r="BS54" s="440" t="s">
        <v>6039</v>
      </c>
      <c r="BT54" s="440">
        <f t="shared" si="2"/>
        <v>0.25</v>
      </c>
    </row>
    <row r="55" spans="71:72" x14ac:dyDescent="0.25">
      <c r="BS55" s="440" t="s">
        <v>6040</v>
      </c>
      <c r="BT55" s="440">
        <f t="shared" si="2"/>
        <v>0.25</v>
      </c>
    </row>
    <row r="56" spans="71:72" x14ac:dyDescent="0.25">
      <c r="BS56" s="440" t="s">
        <v>3644</v>
      </c>
      <c r="BT56" s="440">
        <f t="shared" si="2"/>
        <v>0.25</v>
      </c>
    </row>
    <row r="57" spans="71:72" x14ac:dyDescent="0.25">
      <c r="BS57" s="440" t="s">
        <v>6041</v>
      </c>
      <c r="BT57" s="440">
        <f t="shared" si="2"/>
        <v>0.25</v>
      </c>
    </row>
    <row r="58" spans="71:72" x14ac:dyDescent="0.25">
      <c r="BS58" s="440" t="s">
        <v>6042</v>
      </c>
      <c r="BT58" s="440">
        <f t="shared" si="2"/>
        <v>0.25</v>
      </c>
    </row>
    <row r="59" spans="71:72" x14ac:dyDescent="0.25">
      <c r="BS59" s="440" t="s">
        <v>6043</v>
      </c>
      <c r="BT59" s="440">
        <f t="shared" si="2"/>
        <v>0.25</v>
      </c>
    </row>
    <row r="60" spans="71:72" x14ac:dyDescent="0.25">
      <c r="BS60" s="440" t="s">
        <v>6044</v>
      </c>
      <c r="BT60" s="440">
        <f t="shared" si="2"/>
        <v>0.25</v>
      </c>
    </row>
    <row r="61" spans="71:72" x14ac:dyDescent="0.25">
      <c r="BS61" s="440" t="s">
        <v>6045</v>
      </c>
      <c r="BT61" s="440">
        <f t="shared" si="2"/>
        <v>0.25</v>
      </c>
    </row>
    <row r="62" spans="71:72" x14ac:dyDescent="0.25">
      <c r="BS62" s="440" t="s">
        <v>6046</v>
      </c>
      <c r="BT62" s="440">
        <f t="shared" si="2"/>
        <v>0.25</v>
      </c>
    </row>
    <row r="63" spans="71:72" x14ac:dyDescent="0.25">
      <c r="BS63" s="440" t="s">
        <v>6047</v>
      </c>
      <c r="BT63" s="440">
        <f t="shared" si="2"/>
        <v>0.25</v>
      </c>
    </row>
    <row r="64" spans="71:72" x14ac:dyDescent="0.25">
      <c r="BS64" s="440" t="s">
        <v>6048</v>
      </c>
      <c r="BT64" s="440">
        <f t="shared" si="2"/>
        <v>0.25</v>
      </c>
    </row>
    <row r="65" spans="71:72" x14ac:dyDescent="0.25">
      <c r="BS65" s="440" t="s">
        <v>488</v>
      </c>
      <c r="BT65" s="440">
        <f t="shared" si="2"/>
        <v>0.25</v>
      </c>
    </row>
    <row r="66" spans="71:72" x14ac:dyDescent="0.25">
      <c r="BS66" s="440" t="s">
        <v>6049</v>
      </c>
      <c r="BT66" s="440">
        <f t="shared" si="2"/>
        <v>0.25</v>
      </c>
    </row>
    <row r="67" spans="71:72" x14ac:dyDescent="0.25">
      <c r="BS67" s="440" t="s">
        <v>6050</v>
      </c>
      <c r="BT67" s="440">
        <f t="shared" si="2"/>
        <v>0.25</v>
      </c>
    </row>
    <row r="68" spans="71:72" x14ac:dyDescent="0.25">
      <c r="BS68" s="440" t="s">
        <v>6051</v>
      </c>
      <c r="BT68" s="440">
        <f t="shared" si="2"/>
        <v>0.25</v>
      </c>
    </row>
    <row r="69" spans="71:72" x14ac:dyDescent="0.25">
      <c r="BS69" s="440" t="s">
        <v>6052</v>
      </c>
      <c r="BT69" s="440">
        <f t="shared" si="2"/>
        <v>0.25</v>
      </c>
    </row>
    <row r="70" spans="71:72" x14ac:dyDescent="0.25">
      <c r="BS70" s="440" t="s">
        <v>6053</v>
      </c>
      <c r="BT70" s="440">
        <f t="shared" si="2"/>
        <v>0.25</v>
      </c>
    </row>
    <row r="71" spans="71:72" x14ac:dyDescent="0.25">
      <c r="BS71" s="440" t="s">
        <v>6054</v>
      </c>
      <c r="BT71" s="440">
        <f t="shared" si="2"/>
        <v>0.25</v>
      </c>
    </row>
    <row r="72" spans="71:72" x14ac:dyDescent="0.25">
      <c r="BS72" s="440" t="s">
        <v>6055</v>
      </c>
      <c r="BT72" s="440">
        <f t="shared" si="2"/>
        <v>0.25</v>
      </c>
    </row>
    <row r="73" spans="71:72" x14ac:dyDescent="0.25">
      <c r="BS73" s="440" t="s">
        <v>6056</v>
      </c>
      <c r="BT73" s="440">
        <f t="shared" si="2"/>
        <v>0.25</v>
      </c>
    </row>
    <row r="74" spans="71:72" x14ac:dyDescent="0.25">
      <c r="BS74" s="440" t="s">
        <v>6057</v>
      </c>
      <c r="BT74" s="440">
        <f t="shared" si="2"/>
        <v>0.25</v>
      </c>
    </row>
    <row r="75" spans="71:72" x14ac:dyDescent="0.25">
      <c r="BS75" s="440" t="s">
        <v>6058</v>
      </c>
      <c r="BT75" s="440">
        <f t="shared" si="2"/>
        <v>0.25</v>
      </c>
    </row>
    <row r="76" spans="71:72" x14ac:dyDescent="0.25">
      <c r="BS76" s="440" t="s">
        <v>6059</v>
      </c>
      <c r="BT76" s="440">
        <f t="shared" si="2"/>
        <v>0.25</v>
      </c>
    </row>
    <row r="77" spans="71:72" x14ac:dyDescent="0.25">
      <c r="BS77" s="440" t="s">
        <v>6060</v>
      </c>
      <c r="BT77" s="440">
        <f t="shared" si="2"/>
        <v>0.25</v>
      </c>
    </row>
    <row r="78" spans="71:72" x14ac:dyDescent="0.25">
      <c r="BS78" s="440" t="s">
        <v>6061</v>
      </c>
      <c r="BT78" s="440">
        <f t="shared" si="2"/>
        <v>0.25</v>
      </c>
    </row>
    <row r="79" spans="71:72" x14ac:dyDescent="0.25">
      <c r="BS79" s="440" t="s">
        <v>6062</v>
      </c>
      <c r="BT79" s="440">
        <f t="shared" si="2"/>
        <v>0.25</v>
      </c>
    </row>
    <row r="80" spans="71:72" x14ac:dyDescent="0.25">
      <c r="BS80" s="440" t="s">
        <v>6063</v>
      </c>
      <c r="BT80" s="440">
        <f t="shared" si="2"/>
        <v>0.25</v>
      </c>
    </row>
    <row r="81" spans="71:72" x14ac:dyDescent="0.25">
      <c r="BS81" s="440" t="s">
        <v>6064</v>
      </c>
      <c r="BT81" s="440">
        <f t="shared" si="2"/>
        <v>0.25</v>
      </c>
    </row>
    <row r="82" spans="71:72" x14ac:dyDescent="0.25">
      <c r="BS82" s="440" t="s">
        <v>6065</v>
      </c>
      <c r="BT82" s="440">
        <f t="shared" si="2"/>
        <v>0.25</v>
      </c>
    </row>
    <row r="83" spans="71:72" x14ac:dyDescent="0.25">
      <c r="BS83" s="440" t="s">
        <v>6066</v>
      </c>
      <c r="BT83" s="440">
        <f>1/4</f>
        <v>0.25</v>
      </c>
    </row>
    <row r="84" spans="71:72" x14ac:dyDescent="0.25">
      <c r="BS84" s="440" t="s">
        <v>6067</v>
      </c>
      <c r="BT84" s="440">
        <f t="shared" ref="BT84:BT101" si="3">1/2</f>
        <v>0.5</v>
      </c>
    </row>
    <row r="85" spans="71:72" x14ac:dyDescent="0.25">
      <c r="BS85" s="440" t="s">
        <v>6068</v>
      </c>
      <c r="BT85" s="440">
        <f t="shared" si="3"/>
        <v>0.5</v>
      </c>
    </row>
    <row r="86" spans="71:72" x14ac:dyDescent="0.25">
      <c r="BS86" s="440" t="s">
        <v>6069</v>
      </c>
      <c r="BT86" s="440">
        <f t="shared" si="3"/>
        <v>0.5</v>
      </c>
    </row>
    <row r="87" spans="71:72" x14ac:dyDescent="0.25">
      <c r="BS87" s="440" t="s">
        <v>6070</v>
      </c>
      <c r="BT87" s="440">
        <f t="shared" si="3"/>
        <v>0.5</v>
      </c>
    </row>
    <row r="88" spans="71:72" x14ac:dyDescent="0.25">
      <c r="BS88" s="440" t="s">
        <v>6071</v>
      </c>
      <c r="BT88" s="440">
        <f t="shared" si="3"/>
        <v>0.5</v>
      </c>
    </row>
    <row r="89" spans="71:72" x14ac:dyDescent="0.25">
      <c r="BS89" s="440" t="s">
        <v>6072</v>
      </c>
      <c r="BT89" s="440">
        <f t="shared" si="3"/>
        <v>0.5</v>
      </c>
    </row>
    <row r="90" spans="71:72" x14ac:dyDescent="0.25">
      <c r="BS90" s="440" t="s">
        <v>6073</v>
      </c>
      <c r="BT90" s="440">
        <f t="shared" si="3"/>
        <v>0.5</v>
      </c>
    </row>
    <row r="91" spans="71:72" x14ac:dyDescent="0.25">
      <c r="BS91" s="440" t="s">
        <v>297</v>
      </c>
      <c r="BT91" s="440">
        <f t="shared" si="3"/>
        <v>0.5</v>
      </c>
    </row>
    <row r="92" spans="71:72" x14ac:dyDescent="0.25">
      <c r="BS92" s="440" t="s">
        <v>6074</v>
      </c>
      <c r="BT92" s="440">
        <f t="shared" si="3"/>
        <v>0.5</v>
      </c>
    </row>
    <row r="93" spans="71:72" x14ac:dyDescent="0.25">
      <c r="BS93" s="440" t="s">
        <v>6075</v>
      </c>
      <c r="BT93" s="440">
        <f t="shared" si="3"/>
        <v>0.5</v>
      </c>
    </row>
    <row r="94" spans="71:72" x14ac:dyDescent="0.25">
      <c r="BS94" s="440" t="s">
        <v>6076</v>
      </c>
      <c r="BT94" s="440">
        <f t="shared" si="3"/>
        <v>0.5</v>
      </c>
    </row>
    <row r="95" spans="71:72" x14ac:dyDescent="0.25">
      <c r="BS95" s="442" t="s">
        <v>6077</v>
      </c>
      <c r="BT95" s="440">
        <f t="shared" si="3"/>
        <v>0.5</v>
      </c>
    </row>
    <row r="96" spans="71:72" x14ac:dyDescent="0.25">
      <c r="BS96" s="440" t="s">
        <v>6078</v>
      </c>
      <c r="BT96" s="440">
        <f t="shared" si="3"/>
        <v>0.5</v>
      </c>
    </row>
    <row r="97" spans="71:72" x14ac:dyDescent="0.25">
      <c r="BS97" s="442" t="s">
        <v>3437</v>
      </c>
      <c r="BT97" s="440">
        <f t="shared" si="3"/>
        <v>0.5</v>
      </c>
    </row>
    <row r="98" spans="71:72" x14ac:dyDescent="0.25">
      <c r="BS98" s="440" t="s">
        <v>6079</v>
      </c>
      <c r="BT98" s="440">
        <f t="shared" si="3"/>
        <v>0.5</v>
      </c>
    </row>
    <row r="99" spans="71:72" x14ac:dyDescent="0.25">
      <c r="BS99" s="440" t="s">
        <v>6080</v>
      </c>
      <c r="BT99" s="440">
        <f t="shared" si="3"/>
        <v>0.5</v>
      </c>
    </row>
    <row r="100" spans="71:72" x14ac:dyDescent="0.25">
      <c r="BS100" s="440" t="s">
        <v>6081</v>
      </c>
      <c r="BT100" s="440">
        <f t="shared" si="3"/>
        <v>0.5</v>
      </c>
    </row>
    <row r="101" spans="71:72" x14ac:dyDescent="0.25">
      <c r="BS101" s="440" t="s">
        <v>6082</v>
      </c>
      <c r="BT101" s="440">
        <f t="shared" si="3"/>
        <v>0.5</v>
      </c>
    </row>
    <row r="102" spans="71:72" x14ac:dyDescent="0.25">
      <c r="BT102" s="440">
        <v>1</v>
      </c>
    </row>
    <row r="103" spans="71:72" x14ac:dyDescent="0.25">
      <c r="BT103" s="440">
        <v>1</v>
      </c>
    </row>
    <row r="104" spans="71:72" x14ac:dyDescent="0.25">
      <c r="BT104" s="440">
        <v>1</v>
      </c>
    </row>
    <row r="105" spans="71:72" x14ac:dyDescent="0.25">
      <c r="BS105" s="440"/>
      <c r="BT105" s="440">
        <v>1</v>
      </c>
    </row>
    <row r="106" spans="71:72" x14ac:dyDescent="0.25">
      <c r="BT106" s="440">
        <v>1</v>
      </c>
    </row>
    <row r="107" spans="71:72" x14ac:dyDescent="0.25">
      <c r="BT107" s="440">
        <v>1</v>
      </c>
    </row>
    <row r="108" spans="71:72" x14ac:dyDescent="0.25">
      <c r="BT108" s="440">
        <v>1</v>
      </c>
    </row>
    <row r="109" spans="71:72" x14ac:dyDescent="0.25">
      <c r="BT109" s="440">
        <v>1</v>
      </c>
    </row>
    <row r="110" spans="71:72" x14ac:dyDescent="0.25">
      <c r="BT110" s="440">
        <v>1</v>
      </c>
    </row>
    <row r="111" spans="71:72" x14ac:dyDescent="0.25">
      <c r="BT111" s="440">
        <v>1</v>
      </c>
    </row>
    <row r="112" spans="71:72" x14ac:dyDescent="0.25">
      <c r="BT112" s="440">
        <v>1</v>
      </c>
    </row>
    <row r="113" spans="72:72" x14ac:dyDescent="0.25">
      <c r="BT113" s="440">
        <v>1</v>
      </c>
    </row>
    <row r="114" spans="72:72" x14ac:dyDescent="0.25">
      <c r="BT114" s="440">
        <v>1</v>
      </c>
    </row>
    <row r="115" spans="72:72" x14ac:dyDescent="0.25">
      <c r="BT115" s="440">
        <v>1</v>
      </c>
    </row>
    <row r="116" spans="72:72" x14ac:dyDescent="0.25">
      <c r="BT116" s="440">
        <v>1</v>
      </c>
    </row>
    <row r="117" spans="72:72" x14ac:dyDescent="0.25">
      <c r="BT117" s="440">
        <v>1</v>
      </c>
    </row>
    <row r="118" spans="72:72" x14ac:dyDescent="0.25">
      <c r="BT118" s="440">
        <v>1</v>
      </c>
    </row>
    <row r="119" spans="72:72" x14ac:dyDescent="0.25">
      <c r="BT119" s="440">
        <v>1</v>
      </c>
    </row>
    <row r="120" spans="72:72" x14ac:dyDescent="0.25">
      <c r="BT120" s="440">
        <v>1</v>
      </c>
    </row>
    <row r="121" spans="72:72" x14ac:dyDescent="0.25">
      <c r="BT121" s="440">
        <v>1</v>
      </c>
    </row>
    <row r="122" spans="72:72" x14ac:dyDescent="0.25">
      <c r="BT122" s="440">
        <v>2</v>
      </c>
    </row>
    <row r="123" spans="72:72" x14ac:dyDescent="0.25">
      <c r="BT123" s="440">
        <v>2</v>
      </c>
    </row>
    <row r="124" spans="72:72" x14ac:dyDescent="0.25">
      <c r="BT124" s="440">
        <v>2</v>
      </c>
    </row>
    <row r="125" spans="72:72" x14ac:dyDescent="0.25">
      <c r="BT125" s="440">
        <v>2</v>
      </c>
    </row>
    <row r="126" spans="72:72" x14ac:dyDescent="0.25">
      <c r="BT126" s="440">
        <v>2</v>
      </c>
    </row>
    <row r="127" spans="72:72" x14ac:dyDescent="0.25">
      <c r="BT127" s="440">
        <v>2</v>
      </c>
    </row>
    <row r="128" spans="72:72" x14ac:dyDescent="0.25">
      <c r="BT128" s="440">
        <v>2</v>
      </c>
    </row>
    <row r="129" spans="72:72" x14ac:dyDescent="0.25">
      <c r="BT129" s="440">
        <v>2</v>
      </c>
    </row>
    <row r="130" spans="72:72" x14ac:dyDescent="0.25">
      <c r="BT130" s="440">
        <v>2</v>
      </c>
    </row>
    <row r="131" spans="72:72" x14ac:dyDescent="0.25">
      <c r="BT131" s="440">
        <v>2</v>
      </c>
    </row>
    <row r="132" spans="72:72" x14ac:dyDescent="0.25">
      <c r="BT132" s="440">
        <v>2</v>
      </c>
    </row>
    <row r="133" spans="72:72" x14ac:dyDescent="0.25">
      <c r="BT133" s="440">
        <v>2</v>
      </c>
    </row>
    <row r="134" spans="72:72" x14ac:dyDescent="0.25">
      <c r="BT134" s="440">
        <v>2</v>
      </c>
    </row>
    <row r="135" spans="72:72" x14ac:dyDescent="0.25">
      <c r="BT135" s="440">
        <v>2</v>
      </c>
    </row>
    <row r="136" spans="72:72" x14ac:dyDescent="0.25">
      <c r="BT136" s="440">
        <v>2</v>
      </c>
    </row>
    <row r="137" spans="72:72" x14ac:dyDescent="0.25">
      <c r="BT137" s="440">
        <v>2</v>
      </c>
    </row>
    <row r="138" spans="72:72" x14ac:dyDescent="0.25">
      <c r="BT138" s="440">
        <v>2</v>
      </c>
    </row>
    <row r="139" spans="72:72" x14ac:dyDescent="0.25">
      <c r="BT139" s="440">
        <v>2</v>
      </c>
    </row>
    <row r="140" spans="72:72" x14ac:dyDescent="0.25">
      <c r="BT140" s="440">
        <v>3</v>
      </c>
    </row>
    <row r="141" spans="72:72" x14ac:dyDescent="0.25">
      <c r="BT141" s="440">
        <v>3</v>
      </c>
    </row>
    <row r="142" spans="72:72" x14ac:dyDescent="0.25">
      <c r="BT142" s="440">
        <v>3</v>
      </c>
    </row>
    <row r="143" spans="72:72" x14ac:dyDescent="0.25">
      <c r="BT143" s="440">
        <v>4</v>
      </c>
    </row>
    <row r="144" spans="72:72" x14ac:dyDescent="0.25">
      <c r="BT144" s="440">
        <v>5</v>
      </c>
    </row>
    <row r="145" spans="72:72" x14ac:dyDescent="0.25">
      <c r="BT145" s="440">
        <v>5</v>
      </c>
    </row>
    <row r="146" spans="72:72" x14ac:dyDescent="0.25">
      <c r="BT146" s="440">
        <v>5</v>
      </c>
    </row>
    <row r="147" spans="72:72" x14ac:dyDescent="0.25">
      <c r="BT147" s="440">
        <v>6</v>
      </c>
    </row>
    <row r="148" spans="72:72" x14ac:dyDescent="0.25">
      <c r="BT148" s="440">
        <v>124</v>
      </c>
    </row>
    <row r="149" spans="72:72" x14ac:dyDescent="0.25">
      <c r="BT149" s="440">
        <v>124</v>
      </c>
    </row>
    <row r="150" spans="72:72" x14ac:dyDescent="0.25">
      <c r="BT150" s="440">
        <v>125</v>
      </c>
    </row>
    <row r="151" spans="72:72" x14ac:dyDescent="0.25">
      <c r="BT151" s="440">
        <v>125</v>
      </c>
    </row>
  </sheetData>
  <mergeCells count="4">
    <mergeCell ref="A1:S1"/>
    <mergeCell ref="AV1:BL1"/>
    <mergeCell ref="BS1:CI1"/>
    <mergeCell ref="T1:AN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30">
    <tabColor theme="7" tint="0.39997558519241921"/>
  </sheetPr>
  <dimension ref="A1:FS408"/>
  <sheetViews>
    <sheetView zoomScaleNormal="100" workbookViewId="0">
      <pane xSplit="2" ySplit="2" topLeftCell="BP3" activePane="bottomRight" state="frozen"/>
      <selection pane="topRight" activeCell="C1" sqref="C1"/>
      <selection pane="bottomLeft" activeCell="A3" sqref="A3"/>
      <selection pane="bottomRight" activeCell="F298" sqref="F298"/>
    </sheetView>
  </sheetViews>
  <sheetFormatPr defaultRowHeight="15" outlineLevelCol="1" x14ac:dyDescent="0.25"/>
  <cols>
    <col min="1" max="1" width="3.42578125" style="347" customWidth="1"/>
    <col min="2" max="2" width="26.7109375" style="348" bestFit="1" customWidth="1"/>
    <col min="3" max="3" width="7" style="348" bestFit="1" customWidth="1"/>
    <col min="4" max="4" width="3.5703125" style="347" bestFit="1" customWidth="1"/>
    <col min="5" max="5" width="4.7109375" style="627" customWidth="1"/>
    <col min="6" max="6" width="26.7109375" style="347" bestFit="1" customWidth="1"/>
    <col min="7" max="7" width="7.28515625" style="347" bestFit="1" customWidth="1"/>
    <col min="8" max="8" width="13" style="347" bestFit="1" customWidth="1"/>
    <col min="9" max="9" width="7.85546875" style="347" bestFit="1" customWidth="1"/>
    <col min="10" max="10" width="7.85546875" style="347" customWidth="1"/>
    <col min="11" max="11" width="9.85546875" style="347" bestFit="1" customWidth="1"/>
    <col min="12" max="12" width="9.85546875" style="611" customWidth="1"/>
    <col min="13" max="15" width="9.85546875" style="347" customWidth="1"/>
    <col min="16" max="16" width="9.42578125" style="346" customWidth="1"/>
    <col min="17" max="17" width="10.28515625" style="347" bestFit="1" customWidth="1"/>
    <col min="18" max="18" width="10.28515625" style="611" customWidth="1"/>
    <col min="19" max="19" width="11.7109375" style="346" customWidth="1"/>
    <col min="20" max="20" width="59" style="346" customWidth="1"/>
    <col min="21" max="21" width="9.140625" style="347" customWidth="1" outlineLevel="1"/>
    <col min="22" max="23" width="11.140625" style="347" customWidth="1" outlineLevel="1"/>
    <col min="24" max="24" width="12.5703125" style="347" customWidth="1" outlineLevel="1"/>
    <col min="25" max="25" width="11.85546875" style="347" customWidth="1" outlineLevel="1"/>
    <col min="26" max="26" width="10.140625" style="347" customWidth="1" outlineLevel="1"/>
    <col min="27" max="27" width="9.7109375" style="347" customWidth="1" outlineLevel="1"/>
    <col min="28" max="28" width="16.85546875" style="347" customWidth="1" outlineLevel="1"/>
    <col min="29" max="29" width="19" style="347" customWidth="1" outlineLevel="1"/>
    <col min="30" max="30" width="10.85546875" style="347" customWidth="1" outlineLevel="1"/>
    <col min="31" max="53" width="9.140625" customWidth="1" outlineLevel="1"/>
  </cols>
  <sheetData>
    <row r="1" spans="1:175" x14ac:dyDescent="0.25">
      <c r="A1" s="1281"/>
      <c r="B1" s="1283" t="str">
        <f>""</f>
        <v/>
      </c>
      <c r="C1" s="1279" t="s">
        <v>5268</v>
      </c>
      <c r="D1" s="1281"/>
      <c r="E1" s="1279" t="s">
        <v>6951</v>
      </c>
      <c r="F1" s="1279" t="s">
        <v>5924</v>
      </c>
      <c r="G1" s="1279" t="s">
        <v>5911</v>
      </c>
      <c r="H1" s="1279" t="s">
        <v>5925</v>
      </c>
      <c r="I1" s="1279" t="s">
        <v>166</v>
      </c>
      <c r="J1" s="1279" t="s">
        <v>5923</v>
      </c>
      <c r="K1" s="1279" t="s">
        <v>2348</v>
      </c>
      <c r="L1" s="1285" t="s">
        <v>2347</v>
      </c>
      <c r="M1" s="1279" t="s">
        <v>5235</v>
      </c>
      <c r="N1" s="1279" t="s">
        <v>5236</v>
      </c>
      <c r="O1" s="1279" t="s">
        <v>5237</v>
      </c>
      <c r="P1" s="1279" t="s">
        <v>5910</v>
      </c>
      <c r="Q1" s="1279" t="s">
        <v>5909</v>
      </c>
      <c r="R1" s="1287" t="s">
        <v>6473</v>
      </c>
      <c r="S1" s="1279" t="s">
        <v>177</v>
      </c>
      <c r="T1" s="1279" t="s">
        <v>6312</v>
      </c>
      <c r="U1" s="1276" t="s">
        <v>1109</v>
      </c>
      <c r="V1" s="1276" t="s">
        <v>1110</v>
      </c>
      <c r="W1" s="1276" t="s">
        <v>621</v>
      </c>
      <c r="X1" s="1276" t="s">
        <v>623</v>
      </c>
      <c r="Y1" s="1276" t="s">
        <v>624</v>
      </c>
      <c r="Z1" s="1276" t="s">
        <v>617</v>
      </c>
      <c r="AA1" s="1276" t="s">
        <v>618</v>
      </c>
      <c r="AB1" s="1276" t="s">
        <v>3164</v>
      </c>
      <c r="AC1" s="1276" t="s">
        <v>3188</v>
      </c>
      <c r="AD1" s="1276" t="s">
        <v>625</v>
      </c>
      <c r="AE1" s="1276" t="s">
        <v>6319</v>
      </c>
      <c r="AF1" s="1276"/>
      <c r="AG1" s="1276"/>
      <c r="AH1" s="1276"/>
      <c r="AI1" s="1276" t="s">
        <v>6318</v>
      </c>
      <c r="AJ1" s="1276"/>
      <c r="AK1" s="1276"/>
      <c r="AL1" s="1276" t="s">
        <v>6317</v>
      </c>
      <c r="AM1" s="1276"/>
      <c r="AN1" s="1276"/>
      <c r="AO1" s="1276"/>
      <c r="AP1" s="1276"/>
      <c r="AQ1" s="1276"/>
      <c r="AR1" s="1276"/>
      <c r="AS1" s="1276"/>
      <c r="AT1" s="1276" t="s">
        <v>6316</v>
      </c>
      <c r="AU1" s="1276"/>
      <c r="AV1" s="1276"/>
      <c r="AW1" s="1276"/>
      <c r="AX1" s="1276"/>
      <c r="AY1" s="1276"/>
      <c r="AZ1" s="1276"/>
      <c r="BA1" s="1276"/>
      <c r="BC1" s="1278" t="s">
        <v>621</v>
      </c>
      <c r="BD1" s="1278"/>
      <c r="BE1" s="1278"/>
      <c r="BF1" s="1278"/>
      <c r="BH1" s="1278" t="s">
        <v>623</v>
      </c>
      <c r="BI1" s="1278"/>
      <c r="BJ1" s="1278"/>
      <c r="BK1" s="1278"/>
      <c r="BM1" s="1278" t="s">
        <v>624</v>
      </c>
      <c r="BN1" s="1278"/>
      <c r="BO1" s="1278"/>
      <c r="BP1" s="1278"/>
      <c r="BR1" s="1278" t="s">
        <v>3164</v>
      </c>
      <c r="BS1" s="1278"/>
      <c r="BT1" s="1278"/>
      <c r="BU1" s="1278"/>
      <c r="BW1" s="1278" t="s">
        <v>3188</v>
      </c>
      <c r="BX1" s="1278"/>
      <c r="BY1" s="1278"/>
      <c r="BZ1" s="1278"/>
      <c r="CB1" s="1278" t="s">
        <v>6351</v>
      </c>
      <c r="CC1" s="1278"/>
      <c r="CD1" s="1278"/>
      <c r="CE1" s="1278"/>
      <c r="CG1" s="1278" t="s">
        <v>6352</v>
      </c>
      <c r="CH1" s="1278"/>
      <c r="CI1" s="1278"/>
      <c r="CJ1" s="1278"/>
      <c r="CL1" s="1278" t="s">
        <v>1109</v>
      </c>
      <c r="CM1" s="1278"/>
      <c r="CN1" s="1278"/>
      <c r="CO1" s="1278"/>
      <c r="CQ1" s="1278" t="s">
        <v>6410</v>
      </c>
      <c r="CR1" s="1278"/>
      <c r="CS1" s="1278"/>
      <c r="CT1" s="1278"/>
      <c r="CV1" s="1278" t="s">
        <v>6387</v>
      </c>
      <c r="CW1" s="1278"/>
      <c r="CX1" s="1278"/>
      <c r="CY1" s="1278"/>
      <c r="DA1" s="1046" t="s">
        <v>617</v>
      </c>
      <c r="DB1" s="1046"/>
      <c r="DC1" s="1046"/>
      <c r="DD1" s="1046"/>
      <c r="DE1" s="1046"/>
      <c r="DF1" s="1046"/>
      <c r="DG1" s="1046"/>
      <c r="DH1" s="1046"/>
      <c r="DI1" s="1046"/>
      <c r="DJ1" s="1046" t="s">
        <v>618</v>
      </c>
      <c r="DK1" s="1046"/>
      <c r="DL1" s="1046"/>
      <c r="DM1" s="1046"/>
      <c r="DN1" s="1046"/>
      <c r="DO1" s="1046"/>
      <c r="DP1" s="1046"/>
      <c r="DQ1" s="1046"/>
      <c r="DR1" s="1046"/>
      <c r="DS1" s="1046" t="s">
        <v>6401</v>
      </c>
      <c r="DT1" s="1046"/>
      <c r="DU1" s="1046"/>
      <c r="DV1" s="1046"/>
      <c r="DW1" s="1046"/>
      <c r="DX1" s="168"/>
      <c r="DY1" s="1289" t="s">
        <v>6453</v>
      </c>
      <c r="DZ1" s="1289"/>
      <c r="EA1" s="168"/>
      <c r="EB1" s="1278" t="s">
        <v>6494</v>
      </c>
      <c r="EC1" s="1278"/>
      <c r="ED1" s="1278"/>
      <c r="EE1" s="1278"/>
      <c r="EG1" s="1278" t="s">
        <v>6495</v>
      </c>
      <c r="EH1" s="1278"/>
      <c r="EI1" s="1278"/>
      <c r="EJ1" s="1278"/>
      <c r="EL1" s="1278" t="s">
        <v>6496</v>
      </c>
      <c r="EM1" s="1278"/>
      <c r="EN1" s="1278"/>
      <c r="EO1" s="1278"/>
      <c r="EQ1" s="1278" t="s">
        <v>6497</v>
      </c>
      <c r="ER1" s="1278"/>
      <c r="ES1" s="1278"/>
      <c r="ET1" s="1278"/>
      <c r="EV1" s="1278" t="s">
        <v>6498</v>
      </c>
      <c r="EW1" s="1278"/>
      <c r="EX1" s="1278"/>
      <c r="EY1" s="1278"/>
      <c r="FA1" s="1278" t="s">
        <v>6499</v>
      </c>
      <c r="FB1" s="1278"/>
      <c r="FC1" s="1278"/>
      <c r="FD1" s="1278"/>
      <c r="FF1" s="1278" t="s">
        <v>6500</v>
      </c>
      <c r="FG1" s="1278"/>
      <c r="FH1" s="1278"/>
      <c r="FI1" s="1278"/>
      <c r="FK1" s="1278" t="s">
        <v>6501</v>
      </c>
      <c r="FL1" s="1278"/>
      <c r="FM1" s="1278"/>
      <c r="FN1" s="1278"/>
      <c r="FP1" s="1278" t="s">
        <v>6502</v>
      </c>
      <c r="FQ1" s="1278"/>
      <c r="FR1" s="1278"/>
      <c r="FS1" s="1278"/>
    </row>
    <row r="2" spans="1:175" ht="15.75" thickBot="1" x14ac:dyDescent="0.3">
      <c r="A2" s="1282"/>
      <c r="B2" s="1284"/>
      <c r="C2" s="1280"/>
      <c r="D2" s="1282"/>
      <c r="E2" s="1280"/>
      <c r="F2" s="1280"/>
      <c r="G2" s="1280"/>
      <c r="H2" s="1280"/>
      <c r="I2" s="1280"/>
      <c r="J2" s="1280"/>
      <c r="K2" s="1280"/>
      <c r="L2" s="1286"/>
      <c r="M2" s="1280"/>
      <c r="N2" s="1280"/>
      <c r="O2" s="1280"/>
      <c r="P2" s="1280"/>
      <c r="Q2" s="1280"/>
      <c r="R2" s="1288"/>
      <c r="S2" s="1280"/>
      <c r="T2" s="1280"/>
      <c r="U2" s="1277"/>
      <c r="V2" s="1277"/>
      <c r="W2" s="1277"/>
      <c r="X2" s="1277"/>
      <c r="Y2" s="1277"/>
      <c r="Z2" s="1277"/>
      <c r="AA2" s="1277"/>
      <c r="AB2" s="1277"/>
      <c r="AC2" s="1277"/>
      <c r="AD2" s="1277"/>
      <c r="AE2" s="540" t="s">
        <v>6320</v>
      </c>
      <c r="AF2" s="540" t="s">
        <v>6321</v>
      </c>
      <c r="AG2" s="540" t="s">
        <v>6322</v>
      </c>
      <c r="AH2" s="540" t="s">
        <v>3192</v>
      </c>
      <c r="AI2" s="540" t="s">
        <v>6313</v>
      </c>
      <c r="AJ2" s="540" t="s">
        <v>6314</v>
      </c>
      <c r="AK2" s="540" t="s">
        <v>6315</v>
      </c>
      <c r="AL2" s="540" t="s">
        <v>3168</v>
      </c>
      <c r="AM2" s="540" t="s">
        <v>3169</v>
      </c>
      <c r="AN2" s="540" t="s">
        <v>3170</v>
      </c>
      <c r="AO2" s="540" t="s">
        <v>3171</v>
      </c>
      <c r="AP2" s="540" t="s">
        <v>3172</v>
      </c>
      <c r="AQ2" s="540" t="s">
        <v>3173</v>
      </c>
      <c r="AR2" s="540" t="s">
        <v>3174</v>
      </c>
      <c r="AS2" s="540" t="s">
        <v>3175</v>
      </c>
      <c r="AT2" s="540" t="s">
        <v>3562</v>
      </c>
      <c r="AU2" s="540" t="s">
        <v>2966</v>
      </c>
      <c r="AV2" s="540" t="s">
        <v>122</v>
      </c>
      <c r="AW2" s="540" t="s">
        <v>611</v>
      </c>
      <c r="AX2" s="540" t="s">
        <v>3424</v>
      </c>
      <c r="AY2" s="540" t="s">
        <v>3727</v>
      </c>
      <c r="AZ2" s="540" t="s">
        <v>3426</v>
      </c>
      <c r="BA2" s="540" t="s">
        <v>3731</v>
      </c>
      <c r="BC2" s="1278"/>
      <c r="BD2" s="1278"/>
      <c r="BE2" s="1278"/>
      <c r="BF2" s="1278"/>
      <c r="BH2" s="1278"/>
      <c r="BI2" s="1278"/>
      <c r="BJ2" s="1278"/>
      <c r="BK2" s="1278"/>
      <c r="BM2" s="1278"/>
      <c r="BN2" s="1278"/>
      <c r="BO2" s="1278"/>
      <c r="BP2" s="1278"/>
      <c r="BR2" s="1278"/>
      <c r="BS2" s="1278"/>
      <c r="BT2" s="1278"/>
      <c r="BU2" s="1278"/>
      <c r="BW2" s="1278"/>
      <c r="BX2" s="1278"/>
      <c r="BY2" s="1278"/>
      <c r="BZ2" s="1278"/>
      <c r="CB2" s="1278"/>
      <c r="CC2" s="1278"/>
      <c r="CD2" s="1278"/>
      <c r="CE2" s="1278"/>
      <c r="CG2" s="1278"/>
      <c r="CH2" s="1278"/>
      <c r="CI2" s="1278"/>
      <c r="CJ2" s="1278"/>
      <c r="CL2" s="1278"/>
      <c r="CM2" s="1278"/>
      <c r="CN2" s="1278"/>
      <c r="CO2" s="1278"/>
      <c r="CQ2" s="1278"/>
      <c r="CR2" s="1278"/>
      <c r="CS2" s="1278"/>
      <c r="CT2" s="1278"/>
      <c r="CV2" s="1278"/>
      <c r="CW2" s="1278"/>
      <c r="CX2" s="1278"/>
      <c r="CY2" s="1278"/>
      <c r="DA2" s="168">
        <v>1</v>
      </c>
      <c r="DB2" s="168">
        <v>2</v>
      </c>
      <c r="DC2" s="168">
        <v>3</v>
      </c>
      <c r="DD2" s="168">
        <v>4</v>
      </c>
      <c r="DE2" s="168">
        <v>5</v>
      </c>
      <c r="DF2" s="168">
        <v>6</v>
      </c>
      <c r="DG2" s="168">
        <v>7</v>
      </c>
      <c r="DH2" s="168">
        <v>8</v>
      </c>
      <c r="DI2" s="168">
        <v>9</v>
      </c>
      <c r="DJ2" s="168">
        <v>1</v>
      </c>
      <c r="DK2" s="168">
        <v>2</v>
      </c>
      <c r="DL2" s="168">
        <v>3</v>
      </c>
      <c r="DM2" s="168">
        <v>4</v>
      </c>
      <c r="DN2" s="168">
        <v>5</v>
      </c>
      <c r="DO2" s="168">
        <v>6</v>
      </c>
      <c r="DP2" s="168">
        <v>7</v>
      </c>
      <c r="DQ2" s="168">
        <v>8</v>
      </c>
      <c r="DR2" s="168">
        <v>9</v>
      </c>
      <c r="DS2" s="168">
        <v>1</v>
      </c>
      <c r="DT2" s="168">
        <v>2</v>
      </c>
      <c r="DU2" s="168">
        <v>3</v>
      </c>
      <c r="DV2" s="168">
        <v>4</v>
      </c>
      <c r="DW2" s="168">
        <v>5</v>
      </c>
      <c r="DX2" s="168"/>
      <c r="DY2" s="1289"/>
      <c r="DZ2" s="1289"/>
      <c r="EA2" s="168"/>
      <c r="EB2" s="1278"/>
      <c r="EC2" s="1278"/>
      <c r="ED2" s="1278"/>
      <c r="EE2" s="1278"/>
      <c r="EG2" s="1278"/>
      <c r="EH2" s="1278"/>
      <c r="EI2" s="1278"/>
      <c r="EJ2" s="1278"/>
      <c r="EL2" s="1278"/>
      <c r="EM2" s="1278"/>
      <c r="EN2" s="1278"/>
      <c r="EO2" s="1278"/>
      <c r="EQ2" s="1278"/>
      <c r="ER2" s="1278"/>
      <c r="ES2" s="1278"/>
      <c r="ET2" s="1278"/>
      <c r="EV2" s="1278"/>
      <c r="EW2" s="1278"/>
      <c r="EX2" s="1278"/>
      <c r="EY2" s="1278"/>
      <c r="FA2" s="1278"/>
      <c r="FB2" s="1278"/>
      <c r="FC2" s="1278"/>
      <c r="FD2" s="1278"/>
      <c r="FF2" s="1278"/>
      <c r="FG2" s="1278"/>
      <c r="FH2" s="1278"/>
      <c r="FI2" s="1278"/>
      <c r="FK2" s="1278"/>
      <c r="FL2" s="1278"/>
      <c r="FM2" s="1278"/>
      <c r="FN2" s="1278"/>
      <c r="FP2" s="1278"/>
      <c r="FQ2" s="1278"/>
      <c r="FR2" s="1278"/>
      <c r="FS2" s="1278"/>
    </row>
    <row r="3" spans="1:175" x14ac:dyDescent="0.25">
      <c r="A3" s="347">
        <v>1</v>
      </c>
      <c r="B3" s="348" t="s">
        <v>2349</v>
      </c>
      <c r="C3" s="348" t="s">
        <v>5277</v>
      </c>
      <c r="D3" s="347">
        <v>0.5</v>
      </c>
      <c r="E3" s="627" t="s">
        <v>6952</v>
      </c>
      <c r="F3" s="346"/>
      <c r="G3" s="347" t="str">
        <f>""</f>
        <v/>
      </c>
      <c r="H3" s="347" t="s">
        <v>5912</v>
      </c>
      <c r="I3" s="347" t="s">
        <v>424</v>
      </c>
      <c r="J3" s="347" t="str">
        <f>IF(IFERROR(SEARCH("con",K3,1),0)&gt;0,"Concentration","")</f>
        <v/>
      </c>
      <c r="K3" s="347" t="s">
        <v>5278</v>
      </c>
      <c r="L3" s="611" t="str">
        <f>LEFT(TRIM(IF(M3&lt;&gt;"",M3&amp;", ","")&amp;IF(N3&lt;&gt;"",N3&amp;", ","")&amp;IF(O3&lt;&gt;"",O3&amp;", ","")&amp;IF(P3&lt;&gt;"",P3&amp;", ","")),LEN(TRIM(IF(M3&lt;&gt;"",M3&amp;", ","")&amp;IF(N3&lt;&gt;"",N3&amp;", ","")&amp;IF(O3&lt;&gt;"",O3&amp;", ","")&amp;IF(P3&lt;&gt;"",P3&amp;", ","")))-1)</f>
        <v>V, S</v>
      </c>
      <c r="M3" s="347" t="s">
        <v>2373</v>
      </c>
      <c r="N3" s="347" t="s">
        <v>2387</v>
      </c>
      <c r="O3" s="347" t="s">
        <v>3034</v>
      </c>
      <c r="P3" s="346" t="str">
        <f>""</f>
        <v/>
      </c>
      <c r="Q3" s="347" t="s">
        <v>5271</v>
      </c>
      <c r="S3" s="346" t="s">
        <v>5584</v>
      </c>
      <c r="T3" s="346" t="str">
        <f>IF(U3&lt;&gt;"","Bard, ","")&amp;IF(V3&lt;&gt;"","Paladin, ","")&amp;IF(W3&lt;&gt;"","Ranger, ","")&amp;IF(X3&lt;&gt;"","Sorcerer, ","")&amp;IF(Y3&lt;&gt;"","Warlock, ","")&amp;IF(Z3&lt;&gt;"","Cleric, ","")&amp;IF(AA3&lt;&gt;"","Druid, ","")&amp;IF(AB3&lt;&gt;"","Eldritch Knight, ","")&amp;IF(AC3&lt;&gt;"","Arcane Trickster, ","")&amp;IF(AD3&lt;&gt;"","Wizard, ","")&amp;IF(AE3&lt;&gt;"","Devotion, ","")&amp;IF(AF3&lt;&gt;"","Vengeance, ","")&amp;IF(AG3&lt;&gt;"","Ancients, ","")&amp;IF(AH3&lt;&gt;"","Oathbreaker, ","")&amp;IF(AI3&lt;&gt;"","Archfey, ","")&amp;IF(AJ3&lt;&gt;"","Archfiend, ","")&amp;IF(AK3&lt;&gt;"","Old One, ","")&amp;IF(AL3&lt;&gt;"","Arctic, ","")&amp;IF(AO3&lt;&gt;"","Fores, ","")&amp;IF(AM3&lt;&gt;"","Coast, ","")&amp;IF(AN3&lt;&gt;"","Desert, ","")&amp;IF(AP3&lt;&gt;"","GrassLand, ","")&amp;IF(AQ3&lt;&gt;"","Mountain, ","")&amp;IF(AR3&lt;&gt;"","Swamp, ","")&amp;IF(AS3&lt;&gt;"","Underdark, ","")&amp;IF(AT3&lt;&gt;"","Knowledge, ","")&amp;IF(AU3&lt;&gt;"","Life, ","")&amp;IF(AV3&lt;&gt;"","Light, ","")&amp;IF(AW3&lt;&gt;"","Nature, ","")&amp;IF(AX3&lt;&gt;"","Tempest, ","")&amp;IF(AY3&lt;&gt;"","Trickery, ","")&amp;IF(AZ3&lt;&gt;"","War, ","")&amp;IF(BA3&lt;&gt;"","Death, ","")</f>
        <v xml:space="preserve">Sorcerer, Eldritch Knight, Wizard, </v>
      </c>
      <c r="X3" s="347" t="str">
        <f>$B3</f>
        <v>Acid Splash</v>
      </c>
      <c r="AB3" s="347" t="str">
        <f>$B3</f>
        <v>Acid Splash</v>
      </c>
      <c r="AD3" s="347" t="str">
        <f>$B3</f>
        <v>Acid Splash</v>
      </c>
      <c r="AE3" t="str">
        <f>IF(IFERROR(MATCH($B3,temp!A$4:A$13,0),0)&gt;0,T08_Spells!AE$2,"")</f>
        <v/>
      </c>
      <c r="AF3" t="str">
        <f>IF(IFERROR(MATCH($B3,temp!B$4:B$13,0),0)&gt;0,T08_Spells!AF$2,"")</f>
        <v/>
      </c>
      <c r="AG3" t="str">
        <f>IF(IFERROR(MATCH($B3,temp!C$4:C$13,0),0)&gt;0,T08_Spells!AG$2,"")</f>
        <v/>
      </c>
      <c r="AH3" t="str">
        <f>IF(IFERROR(MATCH($B3,temp!D$4:D$13,0),0)&gt;0,T08_Spells!AH$2,"")</f>
        <v/>
      </c>
      <c r="AI3" t="str">
        <f>IF(IFERROR(MATCH($B3,temp!E$4:E$13,0),0)&gt;0,T08_Spells!AI$2,"")</f>
        <v/>
      </c>
      <c r="AJ3" t="str">
        <f>IF(IFERROR(MATCH($B3,temp!F$4:F$13,0),0)&gt;0,T08_Spells!AJ$2,"")</f>
        <v/>
      </c>
      <c r="AK3" t="str">
        <f>IF(IFERROR(MATCH($B3,temp!G$4:G$13,0),0)&gt;0,T08_Spells!AK$2,"")</f>
        <v/>
      </c>
      <c r="AL3" t="str">
        <f>IF(IFERROR(MATCH($B3,temp!H$4:H$13,0),0)&gt;0,T08_Spells!AL$2,"")</f>
        <v/>
      </c>
      <c r="AM3" t="str">
        <f>IF(IFERROR(MATCH($B3,temp!I$4:I$13,0),0)&gt;0,T08_Spells!AM$2,"")</f>
        <v/>
      </c>
      <c r="AN3" t="str">
        <f>IF(IFERROR(MATCH($B3,temp!J$4:J$13,0),0)&gt;0,T08_Spells!AN$2,"")</f>
        <v/>
      </c>
      <c r="AO3" t="str">
        <f>IF(IFERROR(MATCH($B3,temp!K$4:K$13,0),0)&gt;0,T08_Spells!AO$2,"")</f>
        <v/>
      </c>
      <c r="AP3" t="str">
        <f>IF(IFERROR(MATCH($B3,temp!L$4:L$13,0),0)&gt;0,T08_Spells!AP$2,"")</f>
        <v/>
      </c>
      <c r="AQ3" t="str">
        <f>IF(IFERROR(MATCH($B3,temp!M$4:M$13,0),0)&gt;0,T08_Spells!AQ$2,"")</f>
        <v/>
      </c>
      <c r="AR3" t="str">
        <f>IF(IFERROR(MATCH($B3,temp!N$4:N$13,0),0)&gt;0,T08_Spells!AR$2,"")</f>
        <v/>
      </c>
      <c r="AS3" t="str">
        <f>IF(IFERROR(MATCH($B3,temp!O$4:O$13,0),0)&gt;0,T08_Spells!AS$2,"")</f>
        <v/>
      </c>
      <c r="AT3" t="str">
        <f>IF(IFERROR(MATCH($B3,temp!P$4:P$13,0),0)&gt;0,T08_Spells!AT$2,"")</f>
        <v/>
      </c>
      <c r="AU3" t="str">
        <f>IF(IFERROR(MATCH($B3,temp!Q$4:Q$13,0),0)&gt;0,T08_Spells!AU$2,"")</f>
        <v/>
      </c>
      <c r="AV3" t="str">
        <f>IF(IFERROR(MATCH($B3,temp!R$4:R$13,0),0)&gt;0,T08_Spells!AV$2,"")</f>
        <v/>
      </c>
      <c r="AW3" t="str">
        <f>IF(IFERROR(MATCH($B3,temp!S$4:S$13,0),0)&gt;0,T08_Spells!AW$2,"")</f>
        <v/>
      </c>
      <c r="AX3" t="str">
        <f>IF(IFERROR(MATCH($B3,temp!T$4:T$13,0),0)&gt;0,T08_Spells!AX$2,"")</f>
        <v/>
      </c>
      <c r="AY3" t="str">
        <f>IF(IFERROR(MATCH($B3,temp!U$4:U$13,0),0)&gt;0,T08_Spells!AY$2,"")</f>
        <v/>
      </c>
      <c r="AZ3" t="str">
        <f>IF(IFERROR(MATCH($B3,temp!V$4:V$13,0),0)&gt;0,T08_Spells!AZ$2,"")</f>
        <v/>
      </c>
      <c r="BA3" t="str">
        <f>IF(IFERROR(MATCH($B3,temp!W$4:W$13,0),0)&gt;0,T08_Spells!BA$2,"")</f>
        <v/>
      </c>
      <c r="BC3">
        <f>IF(IFERROR(SEARCH("Ranger",$T3,1),0)&gt;0,1,0)*IF(RangerMaxSpellLevel&gt;=$C3,1,0)*IF(IFERROR(MATCH(B3,Character_Creation!$X$79:$X$382,0),0)&gt;0,0,1)</f>
        <v>0</v>
      </c>
      <c r="BD3">
        <f>IF(BC3=0,0,1)</f>
        <v>0</v>
      </c>
      <c r="BE3">
        <v>1</v>
      </c>
      <c r="BF3" t="str">
        <f>IFERROR(INDEX($B$3:$B$407,MATCH(BE3,BD$3:BD$407,0),1),"")</f>
        <v/>
      </c>
      <c r="BH3">
        <f>IF(IFERROR(SEARCH("Sorcerer",$T3,1),0)&gt;0,1,0)*IF(SorcererMaxSpellLevel&gt;=$C3,1,0)*IF(IFERROR(MATCH(B3,Character_Creation!$J$380:$J$394,0),0)&gt;0,0,1)</f>
        <v>0</v>
      </c>
      <c r="BI3">
        <f>IF(BH3=0,0,1)</f>
        <v>0</v>
      </c>
      <c r="BJ3">
        <v>1</v>
      </c>
      <c r="BK3" t="str">
        <f>IFERROR(INDEX($B$3:$B$407,MATCH(BJ3,BI$3:BI$407,0),1),"")</f>
        <v/>
      </c>
      <c r="BM3">
        <f>IF(OR(IFERROR(SEARCH("Warlock",$T3,1),0)&gt;0,IFERROR(SEARCH(WarlockPatron,$T3,1),0)&gt;0),1,0)*IF(WarlockMaxSpellLevel&gt;=$C3,1,0)*IF(IFERROR(MATCH(B3,Character_Creation!$J$361:$J$375,0),0)&gt;0,0,1)</f>
        <v>0</v>
      </c>
      <c r="BN3">
        <f>IF(BM3=0,0,1)</f>
        <v>0</v>
      </c>
      <c r="BO3">
        <v>1</v>
      </c>
      <c r="BP3" t="str">
        <f>IFERROR(INDEX($B$3:$B$407,MATCH(BO3,BN$3:BN$407,0),1),"")</f>
        <v/>
      </c>
      <c r="BR3">
        <f>IF(IFERROR(SEARCH("Eldritch Knight",$T3,1),0)&gt;0,1,0)*IF(EldritchKnightMaxSpellLevel&gt;=$C3,1,0)*IF(IFERROR(MATCH($B3,Character_Creation!$J$350:$J$356,0),0)&gt;0,0,1)*IF(Character_Creation!$M$338&gt;0,1,0)</f>
        <v>0</v>
      </c>
      <c r="BS3">
        <f>IF(BR3=0,0,1)</f>
        <v>0</v>
      </c>
      <c r="BT3">
        <v>1</v>
      </c>
      <c r="BU3" t="str">
        <f>IFERROR(INDEX($B$3:$B$407,MATCH(BT3,BS$3:BS$407,0),1),"")</f>
        <v/>
      </c>
      <c r="BW3">
        <f>IF(IFERROR(SEARCH("Arcane Trickster",$T3,1),0)&gt;0,1,0)*IF(ArcaneTricksterMaxSpellLevel&gt;=$C3,1,0)*IF(IFERROR(MATCH($B3,Character_Creation!$J$350:$J$356,0),0)&gt;0,0,1)*IF(Character_Creation!$T$338&gt;0,1,0)</f>
        <v>0</v>
      </c>
      <c r="BX3">
        <f>IF(BW3=0,0,1)</f>
        <v>0</v>
      </c>
      <c r="BY3">
        <v>1</v>
      </c>
      <c r="BZ3" t="str">
        <f>IFERROR(INDEX($B$3:$B$407,MATCH(BY3,BX$3:BX$407,0),1),"")</f>
        <v/>
      </c>
      <c r="CB3">
        <f>IF(IFERROR(SEARCH("Wizard",$T3,1),0)&gt;0,1,0)*IF(C3&lt;=ArcaneTricksterMaxSpellLevel,1,0)*IF(IFERROR(MATCH($B3,Character_Creation!$J$350:$J$356,0),0)&gt;0,0,1)*IF(Character_Creation!$T$350&gt;0,1,0)</f>
        <v>0</v>
      </c>
      <c r="CC3">
        <f>IF(CB3=0,0,1)</f>
        <v>0</v>
      </c>
      <c r="CD3">
        <v>1</v>
      </c>
      <c r="CE3" t="str">
        <f>IFERROR(INDEX($B$3:$B$407,MATCH(CD3,CC$3:CC$407,0),1),"")</f>
        <v/>
      </c>
      <c r="CG3">
        <f>IF(IFERROR(SEARCH("Wizard",$T3,1),0)&gt;0,1,0)*IF($C3&lt;=EldritchKnightMaxSpellLevel,1,0)*IF(IFERROR(MATCH($B3,Character_Creation!$J$350:$J$356,0),0)&gt;0,0,1)*IF(Character_Creation!$M$350&gt;0,1,0)</f>
        <v>0</v>
      </c>
      <c r="CH3">
        <f>IF(CG3=0,0,1)</f>
        <v>0</v>
      </c>
      <c r="CI3">
        <v>1</v>
      </c>
      <c r="CJ3" t="str">
        <f>IFERROR(INDEX($B$3:$B$407,MATCH(CI3,CH$3:CH$407,0),1),"")</f>
        <v>Alarm</v>
      </c>
      <c r="CL3">
        <f>IF(IFERROR(SEARCH("Bard",$T3,1),0)&gt;0,1,0)*IF(BardMaxSpellLevel&gt;=$C3,1,0)*IF(IFERROR(MATCH(B3,Character_Creation!$C$341:$F$362,0),0)&gt;0,0,1)*IF(IFERROR(MATCH($B3,Character_Creation!$C$341:$C$362,0),0)&gt;0,0,1)</f>
        <v>0</v>
      </c>
      <c r="CM3">
        <f>IF(CL3=0,0,1)</f>
        <v>0</v>
      </c>
      <c r="CN3">
        <v>1</v>
      </c>
      <c r="CO3" t="str">
        <f>IFERROR(INDEX($B$3:$B$407,MATCH(CN3,CM$3:CM$407,0),1),"")</f>
        <v/>
      </c>
      <c r="CQ3">
        <f>IF(IFERROR(SEARCH("Wizard",$T3,1),0)&gt;0,1,0)*IF(WizardMaxSpellLevel&gt;=$C3,1,0)*IF(IFERROR(MATCH(B3,Character_Creation!$X$341:$X$400,0),0)&gt;0,0,1)*IF(SelectedWizardSpellLevel=$C3,1,0)</f>
        <v>0</v>
      </c>
      <c r="CR3">
        <f>IF(CQ3=0,0,1)</f>
        <v>0</v>
      </c>
      <c r="CS3">
        <v>1</v>
      </c>
      <c r="CT3" t="str">
        <f>IFERROR(INDEX($B$3:$B$407,MATCH(CS3,CR$3:CR$407,0),1),"")</f>
        <v>Animate Dead</v>
      </c>
      <c r="CV3">
        <f>IF(IFERROR(MATCH($B3,Character_Creation!$C$341:$C$362,0),0)&gt;0,0,1)*IF(OR(C3="Cantrip",C3&lt;=BardMaxSpellLevel),1,0)*IF(IFERROR(MATCH($B3,Character_Creation!$C$367:$C$374,0),0)&gt;0,0,1)</f>
        <v>1</v>
      </c>
      <c r="CW3">
        <f>IF(CV3=0,0,1)</f>
        <v>1</v>
      </c>
      <c r="CX3">
        <v>1</v>
      </c>
      <c r="CY3" t="str">
        <f>IFERROR(INDEX($B$3:$B$407,MATCH(CX3,CW$3:CW$407,0),1),"")</f>
        <v>Acid Splash</v>
      </c>
      <c r="DA3">
        <f t="shared" ref="DA3:DI3" si="0">IF(OR(IFERROR(SEARCH("Cleric",$T3,1),0)&gt;0,IFERROR(SEARCH(DivineDomain&amp;",",$T3,1),0)&gt;0),1,0)*IF($C3=DA$2,1,0)</f>
        <v>0</v>
      </c>
      <c r="DB3">
        <f t="shared" si="0"/>
        <v>0</v>
      </c>
      <c r="DC3">
        <f t="shared" si="0"/>
        <v>0</v>
      </c>
      <c r="DD3">
        <f t="shared" si="0"/>
        <v>0</v>
      </c>
      <c r="DE3">
        <f t="shared" si="0"/>
        <v>0</v>
      </c>
      <c r="DF3">
        <f t="shared" si="0"/>
        <v>0</v>
      </c>
      <c r="DG3">
        <f t="shared" si="0"/>
        <v>0</v>
      </c>
      <c r="DH3">
        <f t="shared" si="0"/>
        <v>0</v>
      </c>
      <c r="DI3">
        <f t="shared" si="0"/>
        <v>0</v>
      </c>
      <c r="DJ3">
        <f>IF(IF(OR(IFERROR(SEARCH("Druid",$T3,1),0)&gt;0,IFERROR(SEARCH(DruidLand1,$T3,1),0)&gt;0,IFERROR(SEARCH(DruidLand2,$T3,1),0)&gt;0,IFERROR(SEARCH(DruidLand3,$T3,1),0)&gt;0,IFERROR(SEARCH(DruidLand4,$T3,1),0)&gt;0),1,0)*IF($C3=1,1,0)*IF($C3=DJ$2,1,0)=0,0,1)</f>
        <v>0</v>
      </c>
      <c r="DK3">
        <f t="shared" ref="DK3:DR3" si="1">IF(IF(OR(IFERROR(SEARCH("Druid",$T3,1),0)&gt;0,IFERROR(SEARCH(DruidLand1,$T3,1),0)&gt;0,IFERROR(SEARCH(DruidLand2,$T3,1),0)&gt;0,IFERROR(SEARCH(DruidLand3,$T3,1),0)&gt;0,IFERROR(SEARCH(DruidLand4,$T3,1),0)&gt;0),1,0)*IF($C3=DK$2,1,0)=0,0,1)</f>
        <v>0</v>
      </c>
      <c r="DL3">
        <f t="shared" si="1"/>
        <v>0</v>
      </c>
      <c r="DM3">
        <f t="shared" si="1"/>
        <v>0</v>
      </c>
      <c r="DN3">
        <f t="shared" si="1"/>
        <v>0</v>
      </c>
      <c r="DO3">
        <f t="shared" si="1"/>
        <v>0</v>
      </c>
      <c r="DP3">
        <f t="shared" si="1"/>
        <v>0</v>
      </c>
      <c r="DQ3">
        <f t="shared" si="1"/>
        <v>0</v>
      </c>
      <c r="DR3">
        <f t="shared" si="1"/>
        <v>0</v>
      </c>
      <c r="DS3">
        <f>IF(OR(IFERROR(SEARCH("Paladin",$T3,1),0)&gt;0,IFERROR(SEARCH(PaladinOath,$T3,1),0)&gt;0),1,0)*IF($C3=DS$2,1,0)</f>
        <v>0</v>
      </c>
      <c r="DT3">
        <f>IF(OR(IFERROR(SEARCH("Paladin",$T3,1),0)&gt;0,IFERROR(SEARCH(PaladinOath,$T3,1),0)&gt;0),1,0)*IF($C3=DT$2,1,0)</f>
        <v>0</v>
      </c>
      <c r="DU3">
        <f>IF(OR(IFERROR(SEARCH("Paladin",$T3,1),0)&gt;0,IFERROR(SEARCH(PaladinOath,$T3,1),0)&gt;0),1,0)*IF($C3=DU$2,1,0)</f>
        <v>0</v>
      </c>
      <c r="DV3">
        <f>IF(OR(IFERROR(SEARCH("Paladin",$T3,1),0)&gt;0,IFERROR(SEARCH(PaladinOath,$T3,1),0)&gt;0),1,0)*IF($C3=DV$2,1,0)</f>
        <v>0</v>
      </c>
      <c r="DW3">
        <f>IF(OR(IFERROR(SEARCH("Paladin",$T3,1),0)&gt;0,IFERROR(SEARCH(PaladinOath,$T3,1),0)&gt;0),1,0)*IF($C3=DW$2,1,0)</f>
        <v>0</v>
      </c>
      <c r="DY3">
        <f t="shared" ref="DY3:DY66" si="2">IF(IFERROR(SEARCH(FavoredSoul_Domain&amp;",",$T3,1),0)&gt;0,1,0)</f>
        <v>1</v>
      </c>
      <c r="DZ3">
        <f>IF(DY3=0,0,1)</f>
        <v>1</v>
      </c>
      <c r="EB3">
        <f>IF(IFERROR(SEARCH("Bard",$T3,1),0)&gt;0,1,0)*IF($C3="cantrip",1,0)</f>
        <v>0</v>
      </c>
      <c r="EC3">
        <f>IF(EB3=0,0,1)</f>
        <v>0</v>
      </c>
      <c r="ED3">
        <v>1</v>
      </c>
      <c r="EE3" t="str">
        <f>IFERROR(INDEX($B$3:$B$407,MATCH(ED3,EC$3:EC$407,0),1),"")</f>
        <v>Blade Ward</v>
      </c>
      <c r="EG3">
        <f>IF(IFERROR(SEARCH("Cleric",$T3,1),0)&gt;0,1,0)*IF($C3="cantrip",1,0)</f>
        <v>0</v>
      </c>
      <c r="EH3">
        <f>IF(EG3=0,0,1)</f>
        <v>0</v>
      </c>
      <c r="EI3">
        <v>1</v>
      </c>
      <c r="EJ3" t="str">
        <f>IFERROR(INDEX($B$3:$B$407,MATCH(EI3,EH$3:EH$407,0),1),"")</f>
        <v>Guidance</v>
      </c>
      <c r="EL3">
        <f>IF(IFERROR(SEARCH("Druid",$T3,1),0)&gt;0,1,0)*IF($C3="cantrip",1,0)</f>
        <v>0</v>
      </c>
      <c r="EM3">
        <f>IF(EL3=0,0,1)</f>
        <v>0</v>
      </c>
      <c r="EN3">
        <v>1</v>
      </c>
      <c r="EO3" t="str">
        <f>IFERROR(INDEX($B$3:$B$407,MATCH(EN3,EM$3:EM$407,0),1),"")</f>
        <v>Druidcraft</v>
      </c>
      <c r="EQ3">
        <f>IF(IFERROR(SEARCH("Eldritch Knight",$T3,1),0)&gt;0,1,0)*IF($C3="cantrip",1,0)</f>
        <v>1</v>
      </c>
      <c r="ER3">
        <f>IF(EQ3=0,0,1)</f>
        <v>1</v>
      </c>
      <c r="ES3">
        <v>1</v>
      </c>
      <c r="ET3" t="str">
        <f>IFERROR(INDEX($B$3:$B$407,MATCH(ES3,ER$3:ER$407,0),1),"")</f>
        <v>Acid Splash</v>
      </c>
      <c r="EV3">
        <f>IF(IFERROR(SEARCH("Arcane Trickster",$T3,1),0)&gt;0,1,0)*IF($C3="cantrip",1,0)</f>
        <v>0</v>
      </c>
      <c r="EW3">
        <f>IF(EV3=0,0,1)</f>
        <v>0</v>
      </c>
      <c r="EX3">
        <v>1</v>
      </c>
      <c r="EY3" t="str">
        <f>IFERROR(INDEX($B$3:$B$407,MATCH(EX3,EW$3:EW$407,0),1),"")</f>
        <v>Friends</v>
      </c>
      <c r="FA3">
        <f>IF(IFERROR(SEARCH("Sorcerer",$T3,1),0)&gt;0,1,0)*IF($C3="cantrip",1,0)</f>
        <v>1</v>
      </c>
      <c r="FB3">
        <f>IF(FA3=0,0,1)</f>
        <v>1</v>
      </c>
      <c r="FC3">
        <v>1</v>
      </c>
      <c r="FD3" t="str">
        <f>IFERROR(INDEX($B$3:$B$407,MATCH(FC3,FB$3:FB$407,0),1),"")</f>
        <v>Acid Splash</v>
      </c>
      <c r="FF3">
        <f>IF(IFERROR(SEARCH("Warlock",$T3,1),0)&gt;0,1,0)*IF($C3="cantrip",1,0)</f>
        <v>0</v>
      </c>
      <c r="FG3">
        <f>IF(FF3=0,0,1)</f>
        <v>0</v>
      </c>
      <c r="FH3">
        <v>1</v>
      </c>
      <c r="FI3" t="str">
        <f>IFERROR(INDEX($B$3:$B$407,MATCH(FH3,FG$3:FG$407,0),1),"")</f>
        <v>Blade Ward</v>
      </c>
      <c r="FK3">
        <f>IF(IFERROR(SEARCH("Wizard",$T3,1),0)&gt;0,1,0)*IF($C3="cantrip",1,0)</f>
        <v>1</v>
      </c>
      <c r="FL3">
        <f>IF(FK3=0,0,1)</f>
        <v>1</v>
      </c>
      <c r="FM3">
        <v>1</v>
      </c>
      <c r="FN3" t="str">
        <f>IFERROR(INDEX($B$3:$B$407,MATCH(FM3,FL$3:FL$407,0),1),"")</f>
        <v>Acid Splash</v>
      </c>
      <c r="FP3">
        <f>IF(IFERROR(SEARCH("Bard",$T3,1),0)&gt;0,1,0)*IF($C3="cantrip",1,0)</f>
        <v>0</v>
      </c>
      <c r="FQ3">
        <f>IF(FP3=0,0,1)</f>
        <v>0</v>
      </c>
      <c r="FR3">
        <v>1</v>
      </c>
      <c r="FS3" t="str">
        <f>IFERROR(INDEX($B$3:$B$407,MATCH(FR3,FQ$3:FQ$407,0),1),"")</f>
        <v>Blade Ward</v>
      </c>
    </row>
    <row r="4" spans="1:175" x14ac:dyDescent="0.25">
      <c r="A4" s="347">
        <f>A3+1</f>
        <v>2</v>
      </c>
      <c r="B4" s="346" t="s">
        <v>2350</v>
      </c>
      <c r="C4" s="346">
        <v>2</v>
      </c>
      <c r="D4" s="347">
        <v>2</v>
      </c>
      <c r="E4" s="627" t="s">
        <v>6952</v>
      </c>
      <c r="F4" s="346"/>
      <c r="G4" s="347" t="str">
        <f>""</f>
        <v/>
      </c>
      <c r="H4" s="347" t="s">
        <v>5912</v>
      </c>
      <c r="I4" s="347" t="s">
        <v>5060</v>
      </c>
      <c r="J4" s="347" t="str">
        <f t="shared" ref="J4:J67" si="3">IF(IFERROR(SEARCH("con",K4,1),0)&gt;0,"Concentration","")</f>
        <v/>
      </c>
      <c r="K4" s="347" t="s">
        <v>5279</v>
      </c>
      <c r="L4" s="611" t="str">
        <f t="shared" ref="L4:L67" si="4">LEFT(TRIM(IF(M4&lt;&gt;"",M4&amp;", ","")&amp;IF(N4&lt;&gt;"",N4&amp;", ","")&amp;IF(O4&lt;&gt;"",O4&amp;", ","")&amp;IF(P4&lt;&gt;"",P4&amp;", ","")),LEN(TRIM(IF(M4&lt;&gt;"",M4&amp;", ","")&amp;IF(N4&lt;&gt;"",N4&amp;", ","")&amp;IF(O4&lt;&gt;"",O4&amp;", ","")&amp;IF(P4&lt;&gt;"",P4&amp;", ","")))-1)</f>
        <v>V, S, M, a tiny strip of white cloth</v>
      </c>
      <c r="M4" s="347" t="s">
        <v>2373</v>
      </c>
      <c r="N4" s="347" t="s">
        <v>2387</v>
      </c>
      <c r="O4" s="347" t="s">
        <v>1244</v>
      </c>
      <c r="P4" s="346" t="s">
        <v>5280</v>
      </c>
      <c r="Q4" s="347" t="s">
        <v>5270</v>
      </c>
      <c r="S4" s="346" t="s">
        <v>5585</v>
      </c>
      <c r="T4" s="346" t="str">
        <f t="shared" ref="T4:T67" si="5">IF(U4&lt;&gt;"","Bard, ","")&amp;IF(V4&lt;&gt;"","Paladin, ","")&amp;IF(W4&lt;&gt;"","Ranger, ","")&amp;IF(X4&lt;&gt;"","Sorcerer, ","")&amp;IF(Y4&lt;&gt;"","Warlock, ","")&amp;IF(Z4&lt;&gt;"","Cleric, ","")&amp;IF(AA4&lt;&gt;"","Druid, ","")&amp;IF(AB4&lt;&gt;"","Eldritch Knight, ","")&amp;IF(AC4&lt;&gt;"","Arcane Trickster, ","")&amp;IF(AD4&lt;&gt;"","Wizard, ","")&amp;IF(AE4&lt;&gt;"","Devotion, ","")&amp;IF(AF4&lt;&gt;"","Vengeance, ","")&amp;IF(AG4&lt;&gt;"","Ancients, ","")&amp;IF(AH4&lt;&gt;"","Oathbreaker, ","")&amp;IF(AI4&lt;&gt;"","Archfey, ","")&amp;IF(AJ4&lt;&gt;"","Archfiend, ","")&amp;IF(AK4&lt;&gt;"","Old One, ","")&amp;IF(AL4&lt;&gt;"","Arctic, ","")&amp;IF(AO4&lt;&gt;"","Fores, ","")&amp;IF(AM4&lt;&gt;"","Coast, ","")&amp;IF(AN4&lt;&gt;"","Desert, ","")&amp;IF(AP4&lt;&gt;"","GrassLand, ","")&amp;IF(AQ4&lt;&gt;"","Mountain, ","")&amp;IF(AR4&lt;&gt;"","Swamp, ","")&amp;IF(AS4&lt;&gt;"","Underdark, ","")&amp;IF(AT4&lt;&gt;"","Knowledge, ","")&amp;IF(AU4&lt;&gt;"","Life, ","")&amp;IF(AV4&lt;&gt;"","Light, ","")&amp;IF(AW4&lt;&gt;"","Nature, ","")&amp;IF(AX4&lt;&gt;"","Tempest, ","")&amp;IF(AY4&lt;&gt;"","Trickery, ","")&amp;IF(AZ4&lt;&gt;"","War, ","")&amp;IF(BA4&lt;&gt;"","Death, ","")</f>
        <v xml:space="preserve">Paladin, Cleric, </v>
      </c>
      <c r="V4" s="347" t="str">
        <f>$B4</f>
        <v>Aid</v>
      </c>
      <c r="Z4" s="347" t="str">
        <f>$B4</f>
        <v>Aid</v>
      </c>
      <c r="AE4" t="str">
        <f>IF(IFERROR(MATCH($B4,temp!A$4:A$13,0),0)&gt;0,T08_Spells!AE$2,"")</f>
        <v/>
      </c>
      <c r="AF4" t="str">
        <f>IF(IFERROR(MATCH($B4,temp!B$4:B$13,0),0)&gt;0,T08_Spells!AF$2,"")</f>
        <v/>
      </c>
      <c r="AG4" t="str">
        <f>IF(IFERROR(MATCH($B4,temp!C$4:C$13,0),0)&gt;0,T08_Spells!AG$2,"")</f>
        <v/>
      </c>
      <c r="AH4" t="str">
        <f>IF(IFERROR(MATCH($B4,temp!D$4:D$13,0),0)&gt;0,T08_Spells!AH$2,"")</f>
        <v/>
      </c>
      <c r="AI4" t="str">
        <f>IF(IFERROR(MATCH($B4,temp!E$4:E$13,0),0)&gt;0,T08_Spells!AI$2,"")</f>
        <v/>
      </c>
      <c r="AJ4" t="str">
        <f>IF(IFERROR(MATCH($B4,temp!F$4:F$13,0),0)&gt;0,T08_Spells!AJ$2,"")</f>
        <v/>
      </c>
      <c r="AK4" t="str">
        <f>IF(IFERROR(MATCH($B4,temp!G$4:G$13,0),0)&gt;0,T08_Spells!AK$2,"")</f>
        <v/>
      </c>
      <c r="AL4" t="str">
        <f>IF(IFERROR(MATCH($B4,temp!H$4:H$13,0),0)&gt;0,T08_Spells!AL$2,"")</f>
        <v/>
      </c>
      <c r="AM4" t="str">
        <f>IF(IFERROR(MATCH($B4,temp!I$4:I$13,0),0)&gt;0,T08_Spells!AM$2,"")</f>
        <v/>
      </c>
      <c r="AN4" t="str">
        <f>IF(IFERROR(MATCH($B4,temp!J$4:J$13,0),0)&gt;0,T08_Spells!AN$2,"")</f>
        <v/>
      </c>
      <c r="AO4" t="str">
        <f>IF(IFERROR(MATCH($B4,temp!K$4:K$13,0),0)&gt;0,T08_Spells!AO$2,"")</f>
        <v/>
      </c>
      <c r="AP4" t="str">
        <f>IF(IFERROR(MATCH($B4,temp!L$4:L$13,0),0)&gt;0,T08_Spells!AP$2,"")</f>
        <v/>
      </c>
      <c r="AQ4" t="str">
        <f>IF(IFERROR(MATCH($B4,temp!M$4:M$13,0),0)&gt;0,T08_Spells!AQ$2,"")</f>
        <v/>
      </c>
      <c r="AR4" t="str">
        <f>IF(IFERROR(MATCH($B4,temp!N$4:N$13,0),0)&gt;0,T08_Spells!AR$2,"")</f>
        <v/>
      </c>
      <c r="AS4" t="str">
        <f>IF(IFERROR(MATCH($B4,temp!O$4:O$13,0),0)&gt;0,T08_Spells!AS$2,"")</f>
        <v/>
      </c>
      <c r="AT4" t="str">
        <f>IF(IFERROR(MATCH($B4,temp!P$4:P$13,0),0)&gt;0,T08_Spells!AT$2,"")</f>
        <v/>
      </c>
      <c r="AU4" t="str">
        <f>IF(IFERROR(MATCH($B4,temp!Q$4:Q$13,0),0)&gt;0,T08_Spells!AU$2,"")</f>
        <v/>
      </c>
      <c r="AV4" t="str">
        <f>IF(IFERROR(MATCH($B4,temp!R$4:R$13,0),0)&gt;0,T08_Spells!AV$2,"")</f>
        <v/>
      </c>
      <c r="AW4" t="str">
        <f>IF(IFERROR(MATCH($B4,temp!S$4:S$13,0),0)&gt;0,T08_Spells!AW$2,"")</f>
        <v/>
      </c>
      <c r="AX4" t="str">
        <f>IF(IFERROR(MATCH($B4,temp!T$4:T$13,0),0)&gt;0,T08_Spells!AX$2,"")</f>
        <v/>
      </c>
      <c r="AY4" t="str">
        <f>IF(IFERROR(MATCH($B4,temp!U$4:U$13,0),0)&gt;0,T08_Spells!AY$2,"")</f>
        <v/>
      </c>
      <c r="AZ4" t="str">
        <f>IF(IFERROR(MATCH($B4,temp!V$4:V$13,0),0)&gt;0,T08_Spells!AZ$2,"")</f>
        <v/>
      </c>
      <c r="BA4" t="str">
        <f>IF(IFERROR(MATCH($B4,temp!W$4:W$13,0),0)&gt;0,T08_Spells!BA$2,"")</f>
        <v/>
      </c>
      <c r="BC4">
        <f>IF(IFERROR(SEARCH("Ranger",$T4,1),0)&gt;0,1,0)*IF(RangerMaxSpellLevel&gt;=$C4,1,0)*IF(IFERROR(MATCH(B4,Character_Creation!$X$79:$X$382,0),0)&gt;0,0,1)</f>
        <v>0</v>
      </c>
      <c r="BD4">
        <f>IF(BC4=0,0,1+COUNTIF(BD3:BD$3,"&gt;0"))</f>
        <v>0</v>
      </c>
      <c r="BE4" t="str">
        <f>IFERROR(IF(BE3&lt;MAX(BD3:BD407),BE3+1,""),"")</f>
        <v/>
      </c>
      <c r="BF4" t="str">
        <f t="shared" ref="BF4:BF67" si="6">IFERROR(INDEX($B$3:$B$407,MATCH(BE4,BD$3:BD$407,0),1),"")</f>
        <v/>
      </c>
      <c r="BH4">
        <f>IF(IFERROR(SEARCH("Sorcerer",$T4,1),0)&gt;0,1,0)*IF(SorcererMaxSpellLevel&gt;=$C4,1,0)*IF(IFERROR(MATCH(B4,Character_Creation!$J$380:$J$394,0),0)&gt;0,0,1)</f>
        <v>0</v>
      </c>
      <c r="BI4">
        <f>IF(BH4=0,0,1+COUNTIF(BI3:BI$3,"&gt;0"))</f>
        <v>0</v>
      </c>
      <c r="BJ4" t="str">
        <f>IFERROR(IF(BJ3&lt;MAX(BI3:BI407),BJ3+1,""),"")</f>
        <v/>
      </c>
      <c r="BK4" t="str">
        <f t="shared" ref="BK4:BK67" si="7">IFERROR(INDEX($B$3:$B$407,MATCH(BJ4,BI$3:BI$407,0),1),"")</f>
        <v/>
      </c>
      <c r="BM4">
        <f>IF(OR(IFERROR(SEARCH("Warlock",$T4,1),0)&gt;0,IFERROR(SEARCH(WarlockPatron,$T4,1),0)&gt;0),1,0)*IF(WarlockMaxSpellLevel&gt;=$C4,1,0)*IF(IFERROR(MATCH(B4,Character_Creation!$J$361:$J$375,0),0)&gt;0,0,1)</f>
        <v>0</v>
      </c>
      <c r="BN4">
        <f>IF(BM4=0,0,1+COUNTIF(BN3:BN$3,"&gt;0"))</f>
        <v>0</v>
      </c>
      <c r="BO4" t="str">
        <f>IFERROR(IF(BO3&lt;MAX(BN3:BN407),BO3+1,""),"")</f>
        <v/>
      </c>
      <c r="BP4" t="str">
        <f t="shared" ref="BP4:BP67" si="8">IFERROR(INDEX($B$3:$B$407,MATCH(BO4,BN$3:BN$407,0),1),"")</f>
        <v/>
      </c>
      <c r="BR4">
        <f>IF(IFERROR(SEARCH("Eldritch Knight",$T4,1),0)&gt;0,1,0)*IF(EldritchKnightMaxSpellLevel&gt;=$C4,1,0)*IF(IFERROR(MATCH($B4,Character_Creation!$J$350:$J$356,0),0)&gt;0,0,1)*IF(Character_Creation!$M$338&gt;0,1,0)</f>
        <v>0</v>
      </c>
      <c r="BS4">
        <f>IF(BR4=0,0,1+COUNTIF(BS3:BS$3,"&gt;0"))</f>
        <v>0</v>
      </c>
      <c r="BT4" t="str">
        <f>IFERROR(IF(BT3&lt;MAX(BS3:BS407),BT3+1,""),"")</f>
        <v/>
      </c>
      <c r="BU4" t="str">
        <f t="shared" ref="BU4:BU67" si="9">IFERROR(INDEX($B$3:$B$407,MATCH(BT4,BS$3:BS$407,0),1),"")</f>
        <v/>
      </c>
      <c r="BW4">
        <f>IF(IFERROR(SEARCH("Arcane Trickster",$T4,1),0)&gt;0,1,0)*IF(ArcaneTricksterMaxSpellLevel&gt;=$C4,1,0)*IF(IFERROR(MATCH($B4,Character_Creation!$J$350:$J$356,0),0)&gt;0,0,1)*IF(Character_Creation!$T$338&gt;0,1,0)</f>
        <v>0</v>
      </c>
      <c r="BX4">
        <f>IF(BW4=0,0,1+COUNTIF(BX3:BX$3,"&gt;0"))</f>
        <v>0</v>
      </c>
      <c r="BY4" t="str">
        <f>IFERROR(IF(BY3&lt;MAX(BX3:BX407),BY3+1,""),"")</f>
        <v/>
      </c>
      <c r="BZ4" t="str">
        <f t="shared" ref="BZ4:BZ67" si="10">IFERROR(INDEX($B$3:$B$407,MATCH(BY4,BX$3:BX$407,0),1),"")</f>
        <v/>
      </c>
      <c r="CB4">
        <f>IF(IFERROR(SEARCH("Wizard",$T4,1),0)&gt;0,1,0)*IF(C4&lt;=ArcaneTricksterMaxSpellLevel,1,0)*IF(IFERROR(MATCH($B4,Character_Creation!$J$350:$J$356,0),0)&gt;0,0,1)*IF(Character_Creation!$T$350&gt;0,1,0)</f>
        <v>0</v>
      </c>
      <c r="CC4">
        <f>IF(CB4=0,0,1+COUNTIF(CC3:CC$3,"&gt;0"))</f>
        <v>0</v>
      </c>
      <c r="CD4" t="str">
        <f>IFERROR(IF(CD3&lt;MAX(CC3:CC407),CD3+1,""),"")</f>
        <v/>
      </c>
      <c r="CE4" t="str">
        <f t="shared" ref="CE4:CE67" si="11">IFERROR(INDEX($B$3:$B$407,MATCH(CD4,CC$3:CC$407,0),1),"")</f>
        <v/>
      </c>
      <c r="CG4">
        <f>IF(IFERROR(SEARCH("Wizard",$T4,1),0)&gt;0,1,0)*IF($C4&lt;=EldritchKnightMaxSpellLevel,1,0)*IF(IFERROR(MATCH($B4,Character_Creation!$J$350:$J$356,0),0)&gt;0,0,1)*IF(Character_Creation!$M$350&gt;0,1,0)</f>
        <v>0</v>
      </c>
      <c r="CH4">
        <f>IF(CG4=0,0,1+COUNTIF(CH3:CH$3,"&gt;0"))</f>
        <v>0</v>
      </c>
      <c r="CI4">
        <f>IFERROR(IF(CI3&lt;MAX(CH3:CH407),CI3+1,""),"")</f>
        <v>2</v>
      </c>
      <c r="CJ4" t="str">
        <f t="shared" ref="CJ4:CJ67" si="12">IFERROR(INDEX($B$3:$B$407,MATCH(CI4,CH$3:CH$407,0),1),"")</f>
        <v>Alter Self</v>
      </c>
      <c r="CL4">
        <f>IF(IFERROR(SEARCH("Bard",$T4,1),0)&gt;0,1,0)*IF(BardMaxSpellLevel&gt;=$C4,1,0)*IF(IFERROR(MATCH(B4,Character_Creation!$C$341:$F$362,0),0)&gt;0,0,1)*IF(IFERROR(MATCH($B4,Character_Creation!$C$341:$C$362,0),0)&gt;0,0,1)</f>
        <v>0</v>
      </c>
      <c r="CM4">
        <f>IF(CL4=0,0,1+COUNTIF(CM3:CM$3,"&gt;0"))</f>
        <v>0</v>
      </c>
      <c r="CN4" t="str">
        <f>IFERROR(IF(CN3&lt;MAX(CM3:CM407),CN3+1,""),"")</f>
        <v/>
      </c>
      <c r="CO4" t="str">
        <f t="shared" ref="CO4:CO67" si="13">IFERROR(INDEX($B$3:$B$407,MATCH(CN4,CM$3:CM$407,0),1),"")</f>
        <v/>
      </c>
      <c r="CQ4">
        <f>IF(IFERROR(SEARCH("Wizard",$T4,1),0)&gt;0,1,0)*IF(WizardMaxSpellLevel&gt;=$C4,1,0)*IF(IFERROR(MATCH(B4,Character_Creation!$X$341:$X$400,0),0)&gt;0,0,1)*IF(SelectedWizardSpellLevel=$C4,1,0)</f>
        <v>0</v>
      </c>
      <c r="CR4">
        <f>IF(CQ4=0,0,1+COUNTIF(CR3:CR$3,"&gt;0"))</f>
        <v>0</v>
      </c>
      <c r="CS4">
        <f>IFERROR(IF(CS3&lt;MAX(CR3:CR407),CS3+1,""),"")</f>
        <v>2</v>
      </c>
      <c r="CT4" t="str">
        <f t="shared" ref="CT4:CT67" si="14">IFERROR(INDEX($B$3:$B$407,MATCH(CS4,CR$3:CR$407,0),1),"")</f>
        <v>Bestow Curse</v>
      </c>
      <c r="CV4">
        <f>IF(IFERROR(MATCH($B4,Character_Creation!$C$341:$C$362,0),0)&gt;0,0,1)*IF(OR(C4="Cantrip",C4&lt;=BardMaxSpellLevel),1,0)*IF(IFERROR(MATCH($B4,Character_Creation!$C$367:$C$374,0),0)&gt;0,0,1)</f>
        <v>0</v>
      </c>
      <c r="CW4">
        <f>IF(CV4=0,0,1+COUNTIF(CW3:CW$3,"&gt;0"))</f>
        <v>0</v>
      </c>
      <c r="CX4">
        <f>IFERROR(IF(CX3&lt;MAX(CW3:CW407),CX3+1,""),"")</f>
        <v>2</v>
      </c>
      <c r="CY4" t="str">
        <f t="shared" ref="CY4:CY67" si="15">IFERROR(INDEX($B$3:$B$407,MATCH(CX4,CW$3:CW$407,0),1),"")</f>
        <v>Blade Ward</v>
      </c>
      <c r="DA4">
        <f>IF(IF(OR(IFERROR(SEARCH("Cleric",$T4,1),0)&gt;0,IFERROR(SEARCH(DivineDomain&amp;",",$T4,1),0)&gt;0),1,0)*IF($C4=DA$2,1,0)=1,1+COUNTIF(DA3:DA$3,"&gt;0"),0)</f>
        <v>0</v>
      </c>
      <c r="DB4">
        <f>IF(IF(OR(IFERROR(SEARCH("Cleric",$T4,1),0)&gt;0,IFERROR(SEARCH(DivineDomain&amp;",",$T4,1),0)&gt;0),1,0)*IF($C4=DB$2,1,0)=1,1+COUNTIF(DB3:DB$3,"&gt;0"),0)</f>
        <v>1</v>
      </c>
      <c r="DC4">
        <f>IF(IF(OR(IFERROR(SEARCH("Cleric",$T4,1),0)&gt;0,IFERROR(SEARCH(DivineDomain&amp;",",$T4,1),0)&gt;0),1,0)*IF($C4=DC$2,1,0)=1,1+COUNTIF(DC3:DC$3,"&gt;0"),0)</f>
        <v>0</v>
      </c>
      <c r="DD4">
        <f>IF(IF(OR(IFERROR(SEARCH("Cleric",$T4,1),0)&gt;0,IFERROR(SEARCH(DivineDomain&amp;",",$T4,1),0)&gt;0),1,0)*IF($C4=DD$2,1,0)=1,1+COUNTIF(DD3:DD$3,"&gt;0"),0)</f>
        <v>0</v>
      </c>
      <c r="DE4">
        <f>IF(IF(OR(IFERROR(SEARCH("Cleric",$T4,1),0)&gt;0,IFERROR(SEARCH(DivineDomain&amp;",",$T4,1),0)&gt;0),1,0)*IF($C4=DE$2,1,0)=1,1+COUNTIF(DE3:DE$3,"&gt;0"),0)</f>
        <v>0</v>
      </c>
      <c r="DF4">
        <f>IF(IF(OR(IFERROR(SEARCH("Cleric",$T4,1),0)&gt;0,IFERROR(SEARCH(DivineDomain&amp;",",$T4,1),0)&gt;0),1,0)*IF($C4=DF$2,1,0)=1,1+COUNTIF(DF3:DF$3,"&gt;0"),0)</f>
        <v>0</v>
      </c>
      <c r="DG4">
        <f>IF(IF(OR(IFERROR(SEARCH("Cleric",$T4,1),0)&gt;0,IFERROR(SEARCH(DivineDomain&amp;",",$T4,1),0)&gt;0),1,0)*IF($C4=DG$2,1,0)=1,1+COUNTIF(DG3:DG$3,"&gt;0"),0)</f>
        <v>0</v>
      </c>
      <c r="DH4">
        <f>IF(IF(OR(IFERROR(SEARCH("Cleric",$T4,1),0)&gt;0,IFERROR(SEARCH(DivineDomain&amp;",",$T4,1),0)&gt;0),1,0)*IF($C4=DH$2,1,0)=1,1+COUNTIF(DH3:DH$3,"&gt;0"),0)</f>
        <v>0</v>
      </c>
      <c r="DI4">
        <f>IF(IF(OR(IFERROR(SEARCH("Cleric",$T4,1),0)&gt;0,IFERROR(SEARCH(DivineDomain&amp;",",$T4,1),0)&gt;0),1,0)*IF($C4=DI$2,1,0)=1,1+COUNTIF(DI3:DI$3,"&gt;0"),0)</f>
        <v>0</v>
      </c>
      <c r="DJ4">
        <f>IF(IF(OR(IFERROR(SEARCH("Druid",$T4,1),0)&gt;0,IFERROR(SEARCH(DruidLand1,$T4,1),0)&gt;0,IFERROR(SEARCH(DruidLand2,$T4,1),0)&gt;0,IFERROR(SEARCH(DruidLand3,$T4,1),0)&gt;0,IFERROR(SEARCH(DruidLand4,$T4,1),0)&gt;0),1,0)*IF($C4=1,1,0)*IF($C4=DJ$2,1,0)=0,0,1+COUNTIF(DJ$3:DJ3,"&gt;0"))</f>
        <v>0</v>
      </c>
      <c r="DK4">
        <f>IF(IF(OR(IFERROR(SEARCH("Druid",$T4,1),0)&gt;0,IFERROR(SEARCH(DruidLand1,$T4,1),0)&gt;0,IFERROR(SEARCH(DruidLand2,$T4,1),0)&gt;0,IFERROR(SEARCH(DruidLand3,$T4,1),0)&gt;0,IFERROR(SEARCH(DruidLand4,$T4,1),0)&gt;0),1,0)*IF($C4=DK$2,1,0)=0,0,1+COUNTIF(DK$3:DK3,"&gt;0"))</f>
        <v>0</v>
      </c>
      <c r="DL4">
        <f>IF(IF(OR(IFERROR(SEARCH("Druid",$T4,1),0)&gt;0,IFERROR(SEARCH(DruidLand1,$T4,1),0)&gt;0,IFERROR(SEARCH(DruidLand2,$T4,1),0)&gt;0,IFERROR(SEARCH(DruidLand3,$T4,1),0)&gt;0,IFERROR(SEARCH(DruidLand4,$T4,1),0)&gt;0),1,0)*IF($C4=DL$2,1,0)=0,0,1+COUNTIF(DL$3:DL3,"&gt;0"))</f>
        <v>0</v>
      </c>
      <c r="DM4">
        <f>IF(IF(OR(IFERROR(SEARCH("Druid",$T4,1),0)&gt;0,IFERROR(SEARCH(DruidLand1,$T4,1),0)&gt;0,IFERROR(SEARCH(DruidLand2,$T4,1),0)&gt;0,IFERROR(SEARCH(DruidLand3,$T4,1),0)&gt;0,IFERROR(SEARCH(DruidLand4,$T4,1),0)&gt;0),1,0)*IF($C4=DM$2,1,0)=0,0,1+COUNTIF(DM$3:DM3,"&gt;0"))</f>
        <v>0</v>
      </c>
      <c r="DN4">
        <f>IF(IF(OR(IFERROR(SEARCH("Druid",$T4,1),0)&gt;0,IFERROR(SEARCH(DruidLand1,$T4,1),0)&gt;0,IFERROR(SEARCH(DruidLand2,$T4,1),0)&gt;0,IFERROR(SEARCH(DruidLand3,$T4,1),0)&gt;0,IFERROR(SEARCH(DruidLand4,$T4,1),0)&gt;0),1,0)*IF($C4=DN$2,1,0)=0,0,1+COUNTIF(DN$3:DN3,"&gt;0"))</f>
        <v>0</v>
      </c>
      <c r="DO4">
        <f>IF(IF(OR(IFERROR(SEARCH("Druid",$T4,1),0)&gt;0,IFERROR(SEARCH(DruidLand1,$T4,1),0)&gt;0,IFERROR(SEARCH(DruidLand2,$T4,1),0)&gt;0,IFERROR(SEARCH(DruidLand3,$T4,1),0)&gt;0,IFERROR(SEARCH(DruidLand4,$T4,1),0)&gt;0),1,0)*IF($C4=DO$2,1,0)=0,0,1+COUNTIF(DO$3:DO3,"&gt;0"))</f>
        <v>0</v>
      </c>
      <c r="DP4">
        <f>IF(IF(OR(IFERROR(SEARCH("Druid",$T4,1),0)&gt;0,IFERROR(SEARCH(DruidLand1,$T4,1),0)&gt;0,IFERROR(SEARCH(DruidLand2,$T4,1),0)&gt;0,IFERROR(SEARCH(DruidLand3,$T4,1),0)&gt;0,IFERROR(SEARCH(DruidLand4,$T4,1),0)&gt;0),1,0)*IF($C4=DP$2,1,0)=0,0,1+COUNTIF(DP$3:DP3,"&gt;0"))</f>
        <v>0</v>
      </c>
      <c r="DQ4">
        <f>IF(IF(OR(IFERROR(SEARCH("Druid",$T4,1),0)&gt;0,IFERROR(SEARCH(DruidLand1,$T4,1),0)&gt;0,IFERROR(SEARCH(DruidLand2,$T4,1),0)&gt;0,IFERROR(SEARCH(DruidLand3,$T4,1),0)&gt;0,IFERROR(SEARCH(DruidLand4,$T4,1),0)&gt;0),1,0)*IF($C4=DQ$2,1,0)=0,0,1+COUNTIF(DQ$3:DQ3,"&gt;0"))</f>
        <v>0</v>
      </c>
      <c r="DR4">
        <f>IF(IF(OR(IFERROR(SEARCH("Druid",$T4,1),0)&gt;0,IFERROR(SEARCH(DruidLand1,$T4,1),0)&gt;0,IFERROR(SEARCH(DruidLand2,$T4,1),0)&gt;0,IFERROR(SEARCH(DruidLand3,$T4,1),0)&gt;0,IFERROR(SEARCH(DruidLand4,$T4,1),0)&gt;0),1,0)*IF($C4=DR$2,1,0)=0,0,1+COUNTIF(DR$3:DR3,"&gt;0"))</f>
        <v>0</v>
      </c>
      <c r="DS4">
        <f>IF(IF(OR(IFERROR(SEARCH("Paladin",$T4,1),0)&gt;0,IFERROR(SEARCH(PaladinOath,$T4,1),0)&gt;0),1,0)*IF($C4=DS$2,1,0)=1,1+COUNTIF(DS3:DS$3,"&gt;0"),0)</f>
        <v>0</v>
      </c>
      <c r="DT4">
        <f>IF(IF(OR(IFERROR(SEARCH("Paladin",$T4,1),0)&gt;0,IFERROR(SEARCH(PaladinOath,$T4,1),0)&gt;0),1,0)*IF($C4=DT$2,1,0)=1,1+COUNTIF(DT3:DT$3,"&gt;0"),0)</f>
        <v>1</v>
      </c>
      <c r="DU4">
        <f>IF(IF(OR(IFERROR(SEARCH("Paladin",$T4,1),0)&gt;0,IFERROR(SEARCH(PaladinOath,$T4,1),0)&gt;0),1,0)*IF($C4=DU$2,1,0)=1,1+COUNTIF(DU3:DU$3,"&gt;0"),0)</f>
        <v>0</v>
      </c>
      <c r="DV4">
        <f>IF(IF(OR(IFERROR(SEARCH("Paladin",$T4,1),0)&gt;0,IFERROR(SEARCH(PaladinOath,$T4,1),0)&gt;0),1,0)*IF($C4=DV$2,1,0)=1,1+COUNTIF(DV3:DV$3,"&gt;0"),0)</f>
        <v>0</v>
      </c>
      <c r="DW4">
        <f>IF(IF(OR(IFERROR(SEARCH("Paladin",$T4,1),0)&gt;0,IFERROR(SEARCH(PaladinOath,$T4,1),0)&gt;0),1,0)*IF($C4=DW$2,1,0)=1,1+COUNTIF(DW3:DW$3,"&gt;0"),0)</f>
        <v>0</v>
      </c>
      <c r="DY4">
        <f t="shared" si="2"/>
        <v>1</v>
      </c>
      <c r="DZ4">
        <f>IF(DY4=0,0,1+MAX(DZ3:$DZ$3))</f>
        <v>2</v>
      </c>
      <c r="EB4">
        <f t="shared" ref="EB4:EB67" si="16">IF(IFERROR(SEARCH("Bard",$T4,1),0)&gt;0,1,0)*IF($C4="cantrip",1,0)</f>
        <v>0</v>
      </c>
      <c r="EC4">
        <f>IF(EB4=0,0,1+COUNTIF(EC3:EC$3,"&gt;0"))</f>
        <v>0</v>
      </c>
      <c r="ED4">
        <f>IFERROR(IF(ED3&lt;MAX(EC3:EC407),ED3+1,""),"")</f>
        <v>2</v>
      </c>
      <c r="EE4" t="str">
        <f t="shared" ref="EE4:EE67" si="17">IFERROR(INDEX($B$3:$B$407,MATCH(ED4,EC$3:EC$407,0),1),"")</f>
        <v>Dancing Lights</v>
      </c>
      <c r="EG4">
        <f t="shared" ref="EG4:EG67" si="18">IF(IFERROR(SEARCH("Cleric",$T4,1),0)&gt;0,1,0)*IF($C4="cantrip",1,0)</f>
        <v>0</v>
      </c>
      <c r="EH4">
        <f>IF(EG4=0,0,1+COUNTIF(EH3:EH$3,"&gt;0"))</f>
        <v>0</v>
      </c>
      <c r="EI4">
        <f>IFERROR(IF(EI3&lt;MAX(EH3:EH407),EI3+1,""),"")</f>
        <v>2</v>
      </c>
      <c r="EJ4" t="str">
        <f t="shared" ref="EJ4:EJ67" si="19">IFERROR(INDEX($B$3:$B$407,MATCH(EI4,EH$3:EH$407,0),1),"")</f>
        <v>Light</v>
      </c>
      <c r="EL4">
        <f t="shared" ref="EL4:EL67" si="20">IF(IFERROR(SEARCH("Druid",$T4,1),0)&gt;0,1,0)*IF($C4="cantrip",1,0)</f>
        <v>0</v>
      </c>
      <c r="EM4">
        <f>IF(EL4=0,0,1+COUNTIF(EM3:EM$3,"&gt;0"))</f>
        <v>0</v>
      </c>
      <c r="EN4">
        <f>IFERROR(IF(EN3&lt;MAX(EM3:EM407),EN3+1,""),"")</f>
        <v>2</v>
      </c>
      <c r="EO4" t="str">
        <f t="shared" ref="EO4:EO67" si="21">IFERROR(INDEX($B$3:$B$407,MATCH(EN4,EM$3:EM$407,0),1),"")</f>
        <v>Guidance</v>
      </c>
      <c r="EQ4">
        <f t="shared" ref="EQ4:EQ67" si="22">IF(IFERROR(SEARCH("Eldritch Knight",$T4,1),0)&gt;0,1,0)*IF($C4="cantrip",1,0)</f>
        <v>0</v>
      </c>
      <c r="ER4">
        <f>IF(EQ4=0,0,1+COUNTIF(ER3:ER$3,"&gt;0"))</f>
        <v>0</v>
      </c>
      <c r="ES4">
        <f>IFERROR(IF(ES3&lt;MAX(ER3:ER407),ES3+1,""),"")</f>
        <v>2</v>
      </c>
      <c r="ET4" t="str">
        <f t="shared" ref="ET4:ET67" si="23">IFERROR(INDEX($B$3:$B$407,MATCH(ES4,ER$3:ER$407,0),1),"")</f>
        <v>Blade Ward</v>
      </c>
      <c r="EV4">
        <f t="shared" ref="EV4:EV67" si="24">IF(IFERROR(SEARCH("Arcane Trickster",$T4,1),0)&gt;0,1,0)*IF($C4="cantrip",1,0)</f>
        <v>0</v>
      </c>
      <c r="EW4">
        <f>IF(EV4=0,0,1+COUNTIF(EW3:EW$3,"&gt;0"))</f>
        <v>0</v>
      </c>
      <c r="EX4">
        <f>IFERROR(IF(EX3&lt;MAX(EW3:EW407),EX3+1,""),"")</f>
        <v>2</v>
      </c>
      <c r="EY4" t="str">
        <f t="shared" ref="EY4:EY67" si="25">IFERROR(INDEX($B$3:$B$407,MATCH(EX4,EW$3:EW$407,0),1),"")</f>
        <v>Minor Illusion</v>
      </c>
      <c r="FA4">
        <f t="shared" ref="FA4:FA67" si="26">IF(IFERROR(SEARCH("Sorcerer",$T4,1),0)&gt;0,1,0)*IF($C4="cantrip",1,0)</f>
        <v>0</v>
      </c>
      <c r="FB4">
        <f>IF(FA4=0,0,1+COUNTIF(FB3:FB$3,"&gt;0"))</f>
        <v>0</v>
      </c>
      <c r="FC4">
        <f>IFERROR(IF(FC3&lt;MAX(FB3:FB407),FC3+1,""),"")</f>
        <v>2</v>
      </c>
      <c r="FD4" t="str">
        <f t="shared" ref="FD4:FD67" si="27">IFERROR(INDEX($B$3:$B$407,MATCH(FC4,FB$3:FB$407,0),1),"")</f>
        <v>Blade Ward</v>
      </c>
      <c r="FF4">
        <f t="shared" ref="FF4:FF67" si="28">IF(IFERROR(SEARCH("Warlock",$T4,1),0)&gt;0,1,0)*IF($C4="cantrip",1,0)</f>
        <v>0</v>
      </c>
      <c r="FG4">
        <f>IF(FF4=0,0,1+COUNTIF(FG3:FG$3,"&gt;0"))</f>
        <v>0</v>
      </c>
      <c r="FH4">
        <f>IFERROR(IF(FH3&lt;MAX(FG3:FG407),FH3+1,""),"")</f>
        <v>2</v>
      </c>
      <c r="FI4" t="str">
        <f t="shared" ref="FI4:FI67" si="29">IFERROR(INDEX($B$3:$B$407,MATCH(FH4,FG$3:FG$407,0),1),"")</f>
        <v>Chill Touch</v>
      </c>
      <c r="FK4">
        <f t="shared" ref="FK4:FK67" si="30">IF(IFERROR(SEARCH("Wizard",$T4,1),0)&gt;0,1,0)*IF($C4="cantrip",1,0)</f>
        <v>0</v>
      </c>
      <c r="FL4">
        <f>IF(FK4=0,0,1+COUNTIF(FL3:FL$3,"&gt;0"))</f>
        <v>0</v>
      </c>
      <c r="FM4">
        <f>IFERROR(IF(FM3&lt;MAX(FL3:FL407),FM3+1,""),"")</f>
        <v>2</v>
      </c>
      <c r="FN4" t="str">
        <f t="shared" ref="FN4:FN67" si="31">IFERROR(INDEX($B$3:$B$407,MATCH(FM4,FL$3:FL$407,0),1),"")</f>
        <v>Blade Ward</v>
      </c>
      <c r="FP4">
        <f t="shared" ref="FP4:FP67" si="32">IF(IFERROR(SEARCH("Bard",$T4,1),0)&gt;0,1,0)*IF($C4="cantrip",1,0)</f>
        <v>0</v>
      </c>
      <c r="FQ4">
        <f>IF(FP4=0,0,1+COUNTIF(FQ3:FQ$3,"&gt;0"))</f>
        <v>0</v>
      </c>
      <c r="FR4">
        <f>IFERROR(IF(FR3&lt;MAX(FQ3:FQ407),FR3+1,""),"")</f>
        <v>2</v>
      </c>
      <c r="FS4" t="str">
        <f t="shared" ref="FS4:FS67" si="33">IFERROR(INDEX($B$3:$B$407,MATCH(FR4,FQ$3:FQ$407,0),1),"")</f>
        <v>Dancing Lights</v>
      </c>
    </row>
    <row r="5" spans="1:175" x14ac:dyDescent="0.25">
      <c r="A5" s="347">
        <f>A4+1</f>
        <v>3</v>
      </c>
      <c r="B5" s="348" t="s">
        <v>2351</v>
      </c>
      <c r="C5" s="348">
        <v>1</v>
      </c>
      <c r="D5" s="347">
        <v>1</v>
      </c>
      <c r="E5" s="627" t="s">
        <v>6952</v>
      </c>
      <c r="F5" s="346"/>
      <c r="G5" s="347" t="s">
        <v>5269</v>
      </c>
      <c r="H5" s="347" t="s">
        <v>5281</v>
      </c>
      <c r="I5" s="347" t="s">
        <v>5060</v>
      </c>
      <c r="J5" s="347" t="str">
        <f t="shared" si="3"/>
        <v/>
      </c>
      <c r="K5" s="347" t="s">
        <v>5279</v>
      </c>
      <c r="L5" s="611" t="str">
        <f t="shared" si="4"/>
        <v>V, S, M, a tiny bell and a piece of fine silver wire</v>
      </c>
      <c r="M5" s="347" t="s">
        <v>2373</v>
      </c>
      <c r="N5" s="347" t="s">
        <v>2387</v>
      </c>
      <c r="O5" s="347" t="s">
        <v>1244</v>
      </c>
      <c r="P5" s="346" t="s">
        <v>5282</v>
      </c>
      <c r="Q5" s="347" t="s">
        <v>5270</v>
      </c>
      <c r="S5" s="346" t="s">
        <v>5586</v>
      </c>
      <c r="T5" s="346" t="str">
        <f t="shared" si="5"/>
        <v xml:space="preserve">Bard, Ranger, Eldritch Knight, Wizard, </v>
      </c>
      <c r="U5" s="347" t="str">
        <f>$B5</f>
        <v>Alarm</v>
      </c>
      <c r="W5" s="347" t="str">
        <f>$B5</f>
        <v>Alarm</v>
      </c>
      <c r="AB5" s="347" t="str">
        <f>AD5</f>
        <v>Alarm</v>
      </c>
      <c r="AD5" s="347" t="str">
        <f>$B5</f>
        <v>Alarm</v>
      </c>
      <c r="AE5" t="str">
        <f>IF(IFERROR(MATCH($B5,temp!A$4:A$13,0),0)&gt;0,T08_Spells!AE$2,"")</f>
        <v/>
      </c>
      <c r="AF5" t="str">
        <f>IF(IFERROR(MATCH($B5,temp!B$4:B$13,0),0)&gt;0,T08_Spells!AF$2,"")</f>
        <v/>
      </c>
      <c r="AG5" t="str">
        <f>IF(IFERROR(MATCH($B5,temp!C$4:C$13,0),0)&gt;0,T08_Spells!AG$2,"")</f>
        <v/>
      </c>
      <c r="AH5" t="str">
        <f>IF(IFERROR(MATCH($B5,temp!D$4:D$13,0),0)&gt;0,T08_Spells!AH$2,"")</f>
        <v/>
      </c>
      <c r="AI5" t="str">
        <f>IF(IFERROR(MATCH($B5,temp!E$4:E$13,0),0)&gt;0,T08_Spells!AI$2,"")</f>
        <v/>
      </c>
      <c r="AJ5" t="str">
        <f>IF(IFERROR(MATCH($B5,temp!F$4:F$13,0),0)&gt;0,T08_Spells!AJ$2,"")</f>
        <v/>
      </c>
      <c r="AK5" t="str">
        <f>IF(IFERROR(MATCH($B5,temp!G$4:G$13,0),0)&gt;0,T08_Spells!AK$2,"")</f>
        <v/>
      </c>
      <c r="AL5" t="str">
        <f>IF(IFERROR(MATCH($B5,temp!H$4:H$13,0),0)&gt;0,T08_Spells!AL$2,"")</f>
        <v/>
      </c>
      <c r="AM5" t="str">
        <f>IF(IFERROR(MATCH($B5,temp!I$4:I$13,0),0)&gt;0,T08_Spells!AM$2,"")</f>
        <v/>
      </c>
      <c r="AN5" t="str">
        <f>IF(IFERROR(MATCH($B5,temp!J$4:J$13,0),0)&gt;0,T08_Spells!AN$2,"")</f>
        <v/>
      </c>
      <c r="AO5" t="str">
        <f>IF(IFERROR(MATCH($B5,temp!K$4:K$13,0),0)&gt;0,T08_Spells!AO$2,"")</f>
        <v/>
      </c>
      <c r="AP5" t="str">
        <f>IF(IFERROR(MATCH($B5,temp!L$4:L$13,0),0)&gt;0,T08_Spells!AP$2,"")</f>
        <v/>
      </c>
      <c r="AQ5" t="str">
        <f>IF(IFERROR(MATCH($B5,temp!M$4:M$13,0),0)&gt;0,T08_Spells!AQ$2,"")</f>
        <v/>
      </c>
      <c r="AR5" t="str">
        <f>IF(IFERROR(MATCH($B5,temp!N$4:N$13,0),0)&gt;0,T08_Spells!AR$2,"")</f>
        <v/>
      </c>
      <c r="AS5" t="str">
        <f>IF(IFERROR(MATCH($B5,temp!O$4:O$13,0),0)&gt;0,T08_Spells!AS$2,"")</f>
        <v/>
      </c>
      <c r="AT5" t="str">
        <f>IF(IFERROR(MATCH($B5,temp!P$4:P$13,0),0)&gt;0,T08_Spells!AT$2,"")</f>
        <v/>
      </c>
      <c r="AU5" t="str">
        <f>IF(IFERROR(MATCH($B5,temp!Q$4:Q$13,0),0)&gt;0,T08_Spells!AU$2,"")</f>
        <v/>
      </c>
      <c r="AV5" t="str">
        <f>IF(IFERROR(MATCH($B5,temp!R$4:R$13,0),0)&gt;0,T08_Spells!AV$2,"")</f>
        <v/>
      </c>
      <c r="AW5" t="str">
        <f>IF(IFERROR(MATCH($B5,temp!S$4:S$13,0),0)&gt;0,T08_Spells!AW$2,"")</f>
        <v/>
      </c>
      <c r="AX5" t="str">
        <f>IF(IFERROR(MATCH($B5,temp!T$4:T$13,0),0)&gt;0,T08_Spells!AX$2,"")</f>
        <v/>
      </c>
      <c r="AY5" t="str">
        <f>IF(IFERROR(MATCH($B5,temp!U$4:U$13,0),0)&gt;0,T08_Spells!AY$2,"")</f>
        <v/>
      </c>
      <c r="AZ5" t="str">
        <f>IF(IFERROR(MATCH($B5,temp!V$4:V$13,0),0)&gt;0,T08_Spells!AZ$2,"")</f>
        <v/>
      </c>
      <c r="BA5" t="str">
        <f>IF(IFERROR(MATCH($B5,temp!W$4:W$13,0),0)&gt;0,T08_Spells!BA$2,"")</f>
        <v/>
      </c>
      <c r="BC5">
        <f>IF(IFERROR(SEARCH("Ranger",$T5,1),0)&gt;0,1,0)*IF(RangerMaxSpellLevel&gt;=$C5,1,0)*IF(IFERROR(MATCH(B5,Character_Creation!$X$79:$X$382,0),0)&gt;0,0,1)</f>
        <v>0</v>
      </c>
      <c r="BD5">
        <f>IF(BC5=0,0,1+COUNTIF(BD$3:BD4,"&gt;0"))</f>
        <v>0</v>
      </c>
      <c r="BE5" t="str">
        <f t="shared" ref="BE5:BE68" si="34">IFERROR(IF(BE4&lt;MAX(BD4:BD408),BE4+1,""),"")</f>
        <v/>
      </c>
      <c r="BF5" t="str">
        <f t="shared" si="6"/>
        <v/>
      </c>
      <c r="BH5">
        <f>IF(IFERROR(SEARCH("Sorcerer",$T5,1),0)&gt;0,1,0)*IF(SorcererMaxSpellLevel&gt;=$C5,1,0)*IF(IFERROR(MATCH(B5,Character_Creation!$J$380:$J$394,0),0)&gt;0,0,1)</f>
        <v>0</v>
      </c>
      <c r="BI5">
        <f>IF(BH5=0,0,1+COUNTIF(BI$3:BI4,"&gt;0"))</f>
        <v>0</v>
      </c>
      <c r="BJ5" t="str">
        <f t="shared" ref="BJ5:BJ68" si="35">IFERROR(IF(BJ4&lt;MAX(BI4:BI408),BJ4+1,""),"")</f>
        <v/>
      </c>
      <c r="BK5" t="str">
        <f t="shared" si="7"/>
        <v/>
      </c>
      <c r="BM5">
        <f>IF(OR(IFERROR(SEARCH("Warlock",$T5,1),0)&gt;0,IFERROR(SEARCH(WarlockPatron,$T5,1),0)&gt;0),1,0)*IF(WarlockMaxSpellLevel&gt;=$C5,1,0)*IF(IFERROR(MATCH(B5,Character_Creation!$J$361:$J$375,0),0)&gt;0,0,1)</f>
        <v>0</v>
      </c>
      <c r="BN5">
        <f>IF(BM5=0,0,1+COUNTIF(BN$3:BN4,"&gt;0"))</f>
        <v>0</v>
      </c>
      <c r="BO5" t="str">
        <f t="shared" ref="BO5:BO68" si="36">IFERROR(IF(BO4&lt;MAX(BN4:BN408),BO4+1,""),"")</f>
        <v/>
      </c>
      <c r="BP5" t="str">
        <f t="shared" si="8"/>
        <v/>
      </c>
      <c r="BR5">
        <f>IF(IFERROR(SEARCH("Eldritch Knight",$T5,1),0)&gt;0,1,0)*IF(EldritchKnightMaxSpellLevel&gt;=$C5,1,0)*IF(IFERROR(MATCH($B5,Character_Creation!$J$350:$J$356,0),0)&gt;0,0,1)*IF(Character_Creation!$M$338&gt;0,1,0)</f>
        <v>0</v>
      </c>
      <c r="BS5">
        <f>IF(BR5=0,0,1+COUNTIF(BS$3:BS4,"&gt;0"))</f>
        <v>0</v>
      </c>
      <c r="BT5" t="str">
        <f t="shared" ref="BT5:BT68" si="37">IFERROR(IF(BT4&lt;MAX(BS4:BS408),BT4+1,""),"")</f>
        <v/>
      </c>
      <c r="BU5" t="str">
        <f t="shared" si="9"/>
        <v/>
      </c>
      <c r="BW5">
        <f>IF(IFERROR(SEARCH("Arcane Trickster",$T5,1),0)&gt;0,1,0)*IF(ArcaneTricksterMaxSpellLevel&gt;=$C5,1,0)*IF(IFERROR(MATCH($B5,Character_Creation!$J$350:$J$356,0),0)&gt;0,0,1)*IF(Character_Creation!$T$338&gt;0,1,0)</f>
        <v>0</v>
      </c>
      <c r="BX5">
        <f>IF(BW5=0,0,1+COUNTIF(BX$3:BX4,"&gt;0"))</f>
        <v>0</v>
      </c>
      <c r="BY5" t="str">
        <f t="shared" ref="BY5:BY68" si="38">IFERROR(IF(BY4&lt;MAX(BX4:BX408),BY4+1,""),"")</f>
        <v/>
      </c>
      <c r="BZ5" t="str">
        <f t="shared" si="10"/>
        <v/>
      </c>
      <c r="CB5">
        <f>IF(IFERROR(SEARCH("Wizard",$T5,1),0)&gt;0,1,0)*IF(C5&lt;=ArcaneTricksterMaxSpellLevel,1,0)*IF(IFERROR(MATCH($B5,Character_Creation!$J$350:$J$356,0),0)&gt;0,0,1)*IF(Character_Creation!$T$350&gt;0,1,0)</f>
        <v>0</v>
      </c>
      <c r="CC5">
        <f>IF(CB5=0,0,1+COUNTIF(CC$3:CC4,"&gt;0"))</f>
        <v>0</v>
      </c>
      <c r="CD5" t="str">
        <f t="shared" ref="CD5:CD68" si="39">IFERROR(IF(CD4&lt;MAX(CC4:CC408),CD4+1,""),"")</f>
        <v/>
      </c>
      <c r="CE5" t="str">
        <f t="shared" si="11"/>
        <v/>
      </c>
      <c r="CG5">
        <f>IF(IFERROR(SEARCH("Wizard",$T5,1),0)&gt;0,1,0)*IF($C5&lt;=EldritchKnightMaxSpellLevel,1,0)*IF(IFERROR(MATCH($B5,Character_Creation!$J$350:$J$356,0),0)&gt;0,0,1)*IF(Character_Creation!$M$350&gt;0,1,0)</f>
        <v>1</v>
      </c>
      <c r="CH5">
        <f>IF(CG5=0,0,1+COUNTIF(CH$3:CH4,"&gt;0"))</f>
        <v>1</v>
      </c>
      <c r="CI5">
        <f t="shared" ref="CI5:CI68" si="40">IFERROR(IF(CI4&lt;MAX(CH4:CH408),CI4+1,""),"")</f>
        <v>3</v>
      </c>
      <c r="CJ5" t="str">
        <f t="shared" si="12"/>
        <v>Arcane Lock</v>
      </c>
      <c r="CL5">
        <f>IF(IFERROR(SEARCH("Bard",$T5,1),0)&gt;0,1,0)*IF(BardMaxSpellLevel&gt;=$C5,1,0)*IF(IFERROR(MATCH(B5,Character_Creation!$C$341:$F$362,0),0)&gt;0,0,1)*IF(IFERROR(MATCH($B5,Character_Creation!$C$341:$C$362,0),0)&gt;0,0,1)</f>
        <v>0</v>
      </c>
      <c r="CM5">
        <f>IF(CL5=0,0,1+COUNTIF(CM$3:CM4,"&gt;0"))</f>
        <v>0</v>
      </c>
      <c r="CN5" t="str">
        <f t="shared" ref="CN5:CN68" si="41">IFERROR(IF(CN4&lt;MAX(CM4:CM408),CN4+1,""),"")</f>
        <v/>
      </c>
      <c r="CO5" t="str">
        <f t="shared" si="13"/>
        <v/>
      </c>
      <c r="CQ5">
        <f>IF(IFERROR(SEARCH("Wizard",$T5,1),0)&gt;0,1,0)*IF(WizardMaxSpellLevel&gt;=$C5,1,0)*IF(IFERROR(MATCH(B5,Character_Creation!$X$341:$X$400,0),0)&gt;0,0,1)*IF(SelectedWizardSpellLevel=$C5,1,0)</f>
        <v>0</v>
      </c>
      <c r="CR5">
        <f>IF(CQ5=0,0,1+COUNTIF(CR$3:CR4,"&gt;0"))</f>
        <v>0</v>
      </c>
      <c r="CS5">
        <f t="shared" ref="CS5:CS68" si="42">IFERROR(IF(CS4&lt;MAX(CR4:CR408),CS4+1,""),"")</f>
        <v>3</v>
      </c>
      <c r="CT5" t="str">
        <f t="shared" si="14"/>
        <v>Blink</v>
      </c>
      <c r="CV5">
        <f>IF(IFERROR(MATCH($B5,Character_Creation!$C$341:$C$362,0),0)&gt;0,0,1)*IF(OR(C5="Cantrip",C5&lt;=BardMaxSpellLevel),1,0)*IF(IFERROR(MATCH($B5,Character_Creation!$C$367:$C$374,0),0)&gt;0,0,1)</f>
        <v>0</v>
      </c>
      <c r="CW5">
        <f>IF(CV5=0,0,1+COUNTIF(CW$3:CW4,"&gt;0"))</f>
        <v>0</v>
      </c>
      <c r="CX5">
        <f t="shared" ref="CX5:CX68" si="43">IFERROR(IF(CX4&lt;MAX(CW4:CW408),CX4+1,""),"")</f>
        <v>3</v>
      </c>
      <c r="CY5" t="str">
        <f t="shared" si="15"/>
        <v>Chill Touch</v>
      </c>
      <c r="DA5">
        <f>IF(IF(OR(IFERROR(SEARCH("Cleric",$T5,1),0)&gt;0,IFERROR(SEARCH(DivineDomain&amp;",",$T5,1),0)&gt;0),1,0)*IF($C5=DA$2,1,0)=1,1+COUNTIF(DA$3:DA4,"&gt;0"),0)</f>
        <v>0</v>
      </c>
      <c r="DB5">
        <f>IF(IF(OR(IFERROR(SEARCH("Cleric",$T5,1),0)&gt;0,IFERROR(SEARCH(DivineDomain&amp;",",$T5,1),0)&gt;0),1,0)*IF($C5=DB$2,1,0)=1,1+COUNTIF(DB$3:DB4,"&gt;0"),0)</f>
        <v>0</v>
      </c>
      <c r="DC5">
        <f>IF(IF(OR(IFERROR(SEARCH("Cleric",$T5,1),0)&gt;0,IFERROR(SEARCH(DivineDomain&amp;",",$T5,1),0)&gt;0),1,0)*IF($C5=DC$2,1,0)=1,1+COUNTIF(DC$3:DC4,"&gt;0"),0)</f>
        <v>0</v>
      </c>
      <c r="DD5">
        <f>IF(IF(OR(IFERROR(SEARCH("Cleric",$T5,1),0)&gt;0,IFERROR(SEARCH(DivineDomain&amp;",",$T5,1),0)&gt;0),1,0)*IF($C5=DD$2,1,0)=1,1+COUNTIF(DD$3:DD4,"&gt;0"),0)</f>
        <v>0</v>
      </c>
      <c r="DE5">
        <f>IF(IF(OR(IFERROR(SEARCH("Cleric",$T5,1),0)&gt;0,IFERROR(SEARCH(DivineDomain&amp;",",$T5,1),0)&gt;0),1,0)*IF($C5=DE$2,1,0)=1,1+COUNTIF(DE$3:DE4,"&gt;0"),0)</f>
        <v>0</v>
      </c>
      <c r="DF5">
        <f>IF(IF(OR(IFERROR(SEARCH("Cleric",$T5,1),0)&gt;0,IFERROR(SEARCH(DivineDomain&amp;",",$T5,1),0)&gt;0),1,0)*IF($C5=DF$2,1,0)=1,1+COUNTIF(DF$3:DF4,"&gt;0"),0)</f>
        <v>0</v>
      </c>
      <c r="DG5">
        <f>IF(IF(OR(IFERROR(SEARCH("Cleric",$T5,1),0)&gt;0,IFERROR(SEARCH(DivineDomain&amp;",",$T5,1),0)&gt;0),1,0)*IF($C5=DG$2,1,0)=1,1+COUNTIF(DG$3:DG4,"&gt;0"),0)</f>
        <v>0</v>
      </c>
      <c r="DH5">
        <f>IF(IF(OR(IFERROR(SEARCH("Cleric",$T5,1),0)&gt;0,IFERROR(SEARCH(DivineDomain&amp;",",$T5,1),0)&gt;0),1,0)*IF($C5=DH$2,1,0)=1,1+COUNTIF(DH$3:DH4,"&gt;0"),0)</f>
        <v>0</v>
      </c>
      <c r="DI5">
        <f>IF(IF(OR(IFERROR(SEARCH("Cleric",$T5,1),0)&gt;0,IFERROR(SEARCH(DivineDomain&amp;",",$T5,1),0)&gt;0),1,0)*IF($C5=DI$2,1,0)=1,1+COUNTIF(DI$3:DI4,"&gt;0"),0)</f>
        <v>0</v>
      </c>
      <c r="DJ5">
        <f>IF(IF(OR(IFERROR(SEARCH("Druid",$T5,1),0)&gt;0,IFERROR(SEARCH(DruidLand1,$T5,1),0)&gt;0,IFERROR(SEARCH(DruidLand2,$T5,1),0)&gt;0,IFERROR(SEARCH(DruidLand3,$T5,1),0)&gt;0,IFERROR(SEARCH(DruidLand4,$T5,1),0)&gt;0),1,0)*IF($C5=1,1,0)*IF($C5=DJ$2,1,0)=0,0,1+COUNTIF(DJ$3:DJ4,"&gt;0"))</f>
        <v>0</v>
      </c>
      <c r="DK5">
        <f>IF(IF(OR(IFERROR(SEARCH("Druid",$T5,1),0)&gt;0,IFERROR(SEARCH(DruidLand1,$T5,1),0)&gt;0,IFERROR(SEARCH(DruidLand2,$T5,1),0)&gt;0,IFERROR(SEARCH(DruidLand3,$T5,1),0)&gt;0,IFERROR(SEARCH(DruidLand4,$T5,1),0)&gt;0),1,0)*IF($C5=1,1,0)*IF($C5=DK$2,1,0)=0,0,1+COUNTIF(DK$3:DK4,"&gt;0"))</f>
        <v>0</v>
      </c>
      <c r="DL5">
        <f>IF(IF(OR(IFERROR(SEARCH("Druid",$T5,1),0)&gt;0,IFERROR(SEARCH(DruidLand1,$T5,1),0)&gt;0,IFERROR(SEARCH(DruidLand2,$T5,1),0)&gt;0,IFERROR(SEARCH(DruidLand3,$T5,1),0)&gt;0,IFERROR(SEARCH(DruidLand4,$T5,1),0)&gt;0),1,0)*IF($C5=1,1,0)*IF($C5=DL$2,1,0)=0,0,1+COUNTIF(DL$3:DL4,"&gt;0"))</f>
        <v>0</v>
      </c>
      <c r="DM5">
        <f>IF(IF(OR(IFERROR(SEARCH("Druid",$T5,1),0)&gt;0,IFERROR(SEARCH(DruidLand1,$T5,1),0)&gt;0,IFERROR(SEARCH(DruidLand2,$T5,1),0)&gt;0,IFERROR(SEARCH(DruidLand3,$T5,1),0)&gt;0,IFERROR(SEARCH(DruidLand4,$T5,1),0)&gt;0),1,0)*IF($C5=1,1,0)*IF($C5=DM$2,1,0)=0,0,1+COUNTIF(DM$3:DM4,"&gt;0"))</f>
        <v>0</v>
      </c>
      <c r="DN5">
        <f>IF(IF(OR(IFERROR(SEARCH("Druid",$T5,1),0)&gt;0,IFERROR(SEARCH(DruidLand1,$T5,1),0)&gt;0,IFERROR(SEARCH(DruidLand2,$T5,1),0)&gt;0,IFERROR(SEARCH(DruidLand3,$T5,1),0)&gt;0,IFERROR(SEARCH(DruidLand4,$T5,1),0)&gt;0),1,0)*IF($C5=1,1,0)*IF($C5=DN$2,1,0)=0,0,1+COUNTIF(DN$3:DN4,"&gt;0"))</f>
        <v>0</v>
      </c>
      <c r="DO5">
        <f>IF(IF(OR(IFERROR(SEARCH("Druid",$T5,1),0)&gt;0,IFERROR(SEARCH(DruidLand1,$T5,1),0)&gt;0,IFERROR(SEARCH(DruidLand2,$T5,1),0)&gt;0,IFERROR(SEARCH(DruidLand3,$T5,1),0)&gt;0,IFERROR(SEARCH(DruidLand4,$T5,1),0)&gt;0),1,0)*IF($C5=1,1,0)*IF($C5=DO$2,1,0)=0,0,1+COUNTIF(DO$3:DO4,"&gt;0"))</f>
        <v>0</v>
      </c>
      <c r="DP5">
        <f>IF(IF(OR(IFERROR(SEARCH("Druid",$T5,1),0)&gt;0,IFERROR(SEARCH(DruidLand1,$T5,1),0)&gt;0,IFERROR(SEARCH(DruidLand2,$T5,1),0)&gt;0,IFERROR(SEARCH(DruidLand3,$T5,1),0)&gt;0,IFERROR(SEARCH(DruidLand4,$T5,1),0)&gt;0),1,0)*IF($C5=1,1,0)*IF($C5=DP$2,1,0)=0,0,1+COUNTIF(DP$3:DP4,"&gt;0"))</f>
        <v>0</v>
      </c>
      <c r="DQ5">
        <f>IF(IF(OR(IFERROR(SEARCH("Druid",$T5,1),0)&gt;0,IFERROR(SEARCH(DruidLand1,$T5,1),0)&gt;0,IFERROR(SEARCH(DruidLand2,$T5,1),0)&gt;0,IFERROR(SEARCH(DruidLand3,$T5,1),0)&gt;0,IFERROR(SEARCH(DruidLand4,$T5,1),0)&gt;0),1,0)*IF($C5=1,1,0)*IF($C5=DQ$2,1,0)=0,0,1+COUNTIF(DQ$3:DQ4,"&gt;0"))</f>
        <v>0</v>
      </c>
      <c r="DR5">
        <f>IF(IF(OR(IFERROR(SEARCH("Druid",$T5,1),0)&gt;0,IFERROR(SEARCH(DruidLand1,$T5,1),0)&gt;0,IFERROR(SEARCH(DruidLand2,$T5,1),0)&gt;0,IFERROR(SEARCH(DruidLand3,$T5,1),0)&gt;0,IFERROR(SEARCH(DruidLand4,$T5,1),0)&gt;0),1,0)*IF($C5=1,1,0)*IF($C5=DR$2,1,0)=0,0,1+COUNTIF(DR$3:DR4,"&gt;0"))</f>
        <v>0</v>
      </c>
      <c r="DS5">
        <f>IF(IF(OR(IFERROR(SEARCH("Paladin",$T5,1),0)&gt;0,IFERROR(SEARCH(PaladinOath,$T5,1),0)&gt;0),1,0)*IF($C5=DS$2,1,0)=1,1+COUNTIF(DS$3:DS4,"&gt;0"),0)</f>
        <v>0</v>
      </c>
      <c r="DT5">
        <f>IF(IF(OR(IFERROR(SEARCH("Paladin",$T5,1),0)&gt;0,IFERROR(SEARCH(PaladinOath,$T5,1),0)&gt;0),1,0)*IF($C5=DT$2,1,0)=1,1+COUNTIF(DT$3:DT4,"&gt;0"),0)</f>
        <v>0</v>
      </c>
      <c r="DU5">
        <f>IF(IF(OR(IFERROR(SEARCH("Paladin",$T5,1),0)&gt;0,IFERROR(SEARCH(PaladinOath,$T5,1),0)&gt;0),1,0)*IF($C5=DU$2,1,0)=1,1+COUNTIF(DU$3:DU4,"&gt;0"),0)</f>
        <v>0</v>
      </c>
      <c r="DV5">
        <f>IF(IF(OR(IFERROR(SEARCH("Paladin",$T5,1),0)&gt;0,IFERROR(SEARCH(PaladinOath,$T5,1),0)&gt;0),1,0)*IF($C5=DV$2,1,0)=1,1+COUNTIF(DV$3:DV4,"&gt;0"),0)</f>
        <v>0</v>
      </c>
      <c r="DW5">
        <f>IF(IF(OR(IFERROR(SEARCH("Paladin",$T5,1),0)&gt;0,IFERROR(SEARCH(PaladinOath,$T5,1),0)&gt;0),1,0)*IF($C5=DW$2,1,0)=1,1+COUNTIF(DW$3:DW4,"&gt;0"),0)</f>
        <v>0</v>
      </c>
      <c r="DY5">
        <f t="shared" si="2"/>
        <v>1</v>
      </c>
      <c r="DZ5">
        <f>IF(DY5=0,0,1+MAX(DZ$3:$DZ4))</f>
        <v>3</v>
      </c>
      <c r="EB5">
        <f t="shared" si="16"/>
        <v>0</v>
      </c>
      <c r="EC5">
        <f>IF(EB5=0,0,1+COUNTIF(EC$3:EC4,"&gt;0"))</f>
        <v>0</v>
      </c>
      <c r="ED5">
        <f t="shared" ref="ED5:ED68" si="44">IFERROR(IF(ED4&lt;MAX(EC4:EC408),ED4+1,""),"")</f>
        <v>3</v>
      </c>
      <c r="EE5" t="str">
        <f t="shared" si="17"/>
        <v>Friends</v>
      </c>
      <c r="EG5">
        <f t="shared" si="18"/>
        <v>0</v>
      </c>
      <c r="EH5">
        <f>IF(EG5=0,0,1+COUNTIF(EH$3:EH4,"&gt;0"))</f>
        <v>0</v>
      </c>
      <c r="EI5">
        <f t="shared" ref="EI5:EI68" si="45">IFERROR(IF(EI4&lt;MAX(EH4:EH408),EI4+1,""),"")</f>
        <v>3</v>
      </c>
      <c r="EJ5" t="str">
        <f t="shared" si="19"/>
        <v>Resistance</v>
      </c>
      <c r="EL5">
        <f t="shared" si="20"/>
        <v>0</v>
      </c>
      <c r="EM5">
        <f>IF(EL5=0,0,1+COUNTIF(EM$3:EM4,"&gt;0"))</f>
        <v>0</v>
      </c>
      <c r="EN5">
        <f t="shared" ref="EN5:EN68" si="46">IFERROR(IF(EN4&lt;MAX(EM4:EM408),EN4+1,""),"")</f>
        <v>3</v>
      </c>
      <c r="EO5" t="str">
        <f t="shared" si="21"/>
        <v>Mending</v>
      </c>
      <c r="EQ5">
        <f t="shared" si="22"/>
        <v>0</v>
      </c>
      <c r="ER5">
        <f>IF(EQ5=0,0,1+COUNTIF(ER$3:ER4,"&gt;0"))</f>
        <v>0</v>
      </c>
      <c r="ES5">
        <f t="shared" ref="ES5:ES68" si="47">IFERROR(IF(ES4&lt;MAX(ER4:ER408),ES4+1,""),"")</f>
        <v>3</v>
      </c>
      <c r="ET5" t="str">
        <f t="shared" si="23"/>
        <v>Chill Touch</v>
      </c>
      <c r="EV5">
        <f t="shared" si="24"/>
        <v>0</v>
      </c>
      <c r="EW5">
        <f>IF(EV5=0,0,1+COUNTIF(EW$3:EW4,"&gt;0"))</f>
        <v>0</v>
      </c>
      <c r="EX5" t="str">
        <f t="shared" ref="EX5:EX68" si="48">IFERROR(IF(EX4&lt;MAX(EW4:EW408),EX4+1,""),"")</f>
        <v/>
      </c>
      <c r="EY5" t="str">
        <f t="shared" si="25"/>
        <v/>
      </c>
      <c r="FA5">
        <f t="shared" si="26"/>
        <v>0</v>
      </c>
      <c r="FB5">
        <f>IF(FA5=0,0,1+COUNTIF(FB$3:FB4,"&gt;0"))</f>
        <v>0</v>
      </c>
      <c r="FC5">
        <f t="shared" ref="FC5:FC68" si="49">IFERROR(IF(FC4&lt;MAX(FB4:FB408),FC4+1,""),"")</f>
        <v>3</v>
      </c>
      <c r="FD5" t="str">
        <f t="shared" si="27"/>
        <v>Chill Touch</v>
      </c>
      <c r="FF5">
        <f t="shared" si="28"/>
        <v>0</v>
      </c>
      <c r="FG5">
        <f>IF(FF5=0,0,1+COUNTIF(FG$3:FG4,"&gt;0"))</f>
        <v>0</v>
      </c>
      <c r="FH5">
        <f t="shared" ref="FH5:FH68" si="50">IFERROR(IF(FH4&lt;MAX(FG4:FG408),FH4+1,""),"")</f>
        <v>3</v>
      </c>
      <c r="FI5" t="str">
        <f t="shared" si="29"/>
        <v>Eldritch Blast</v>
      </c>
      <c r="FK5">
        <f t="shared" si="30"/>
        <v>0</v>
      </c>
      <c r="FL5">
        <f>IF(FK5=0,0,1+COUNTIF(FL$3:FL4,"&gt;0"))</f>
        <v>0</v>
      </c>
      <c r="FM5">
        <f t="shared" ref="FM5:FM68" si="51">IFERROR(IF(FM4&lt;MAX(FL4:FL408),FM4+1,""),"")</f>
        <v>3</v>
      </c>
      <c r="FN5" t="str">
        <f t="shared" si="31"/>
        <v>Chill Touch</v>
      </c>
      <c r="FP5">
        <f t="shared" si="32"/>
        <v>0</v>
      </c>
      <c r="FQ5">
        <f>IF(FP5=0,0,1+COUNTIF(FQ$3:FQ4,"&gt;0"))</f>
        <v>0</v>
      </c>
      <c r="FR5">
        <f t="shared" ref="FR5:FR68" si="52">IFERROR(IF(FR4&lt;MAX(FQ4:FQ408),FR4+1,""),"")</f>
        <v>3</v>
      </c>
      <c r="FS5" t="str">
        <f t="shared" si="33"/>
        <v>Friends</v>
      </c>
    </row>
    <row r="6" spans="1:175" x14ac:dyDescent="0.25">
      <c r="A6" s="347">
        <f t="shared" ref="A6:A69" si="53">A5+1</f>
        <v>4</v>
      </c>
      <c r="B6" s="348" t="s">
        <v>2352</v>
      </c>
      <c r="C6" s="348">
        <v>2</v>
      </c>
      <c r="D6" s="347">
        <v>2</v>
      </c>
      <c r="E6" s="627" t="s">
        <v>6952</v>
      </c>
      <c r="F6" s="346"/>
      <c r="G6" s="347" t="str">
        <f>""</f>
        <v/>
      </c>
      <c r="H6" s="347" t="s">
        <v>5912</v>
      </c>
      <c r="I6" s="347" t="s">
        <v>5283</v>
      </c>
      <c r="J6" s="347" t="str">
        <f t="shared" si="3"/>
        <v/>
      </c>
      <c r="K6" s="347" t="s">
        <v>5284</v>
      </c>
      <c r="L6" s="611" t="str">
        <f t="shared" si="4"/>
        <v>V, S</v>
      </c>
      <c r="M6" s="347" t="s">
        <v>2373</v>
      </c>
      <c r="N6" s="347" t="s">
        <v>2387</v>
      </c>
      <c r="O6" s="347" t="s">
        <v>3034</v>
      </c>
      <c r="P6" s="346" t="str">
        <f>""</f>
        <v/>
      </c>
      <c r="Q6" s="347" t="s">
        <v>5276</v>
      </c>
      <c r="S6" s="346" t="s">
        <v>5919</v>
      </c>
      <c r="T6" s="346" t="str">
        <f t="shared" si="5"/>
        <v xml:space="preserve">Sorcerer, Eldritch Knight, Wizard, </v>
      </c>
      <c r="X6" s="347" t="str">
        <f>$B6</f>
        <v>Alter Self</v>
      </c>
      <c r="AB6" s="347" t="str">
        <f>$B6</f>
        <v>Alter Self</v>
      </c>
      <c r="AD6" s="347" t="str">
        <f>$B6</f>
        <v>Alter Self</v>
      </c>
      <c r="AE6" t="str">
        <f>IF(IFERROR(MATCH($B6,temp!A$4:A$13,0),0)&gt;0,T08_Spells!AE$2,"")</f>
        <v/>
      </c>
      <c r="AF6" t="str">
        <f>IF(IFERROR(MATCH($B6,temp!B$4:B$13,0),0)&gt;0,T08_Spells!AF$2,"")</f>
        <v/>
      </c>
      <c r="AG6" t="str">
        <f>IF(IFERROR(MATCH($B6,temp!C$4:C$13,0),0)&gt;0,T08_Spells!AG$2,"")</f>
        <v/>
      </c>
      <c r="AH6" t="str">
        <f>IF(IFERROR(MATCH($B6,temp!D$4:D$13,0),0)&gt;0,T08_Spells!AH$2,"")</f>
        <v/>
      </c>
      <c r="AI6" t="str">
        <f>IF(IFERROR(MATCH($B6,temp!E$4:E$13,0),0)&gt;0,T08_Spells!AI$2,"")</f>
        <v/>
      </c>
      <c r="AJ6" t="str">
        <f>IF(IFERROR(MATCH($B6,temp!F$4:F$13,0),0)&gt;0,T08_Spells!AJ$2,"")</f>
        <v/>
      </c>
      <c r="AK6" t="str">
        <f>IF(IFERROR(MATCH($B6,temp!G$4:G$13,0),0)&gt;0,T08_Spells!AK$2,"")</f>
        <v/>
      </c>
      <c r="AL6" t="str">
        <f>IF(IFERROR(MATCH($B6,temp!H$4:H$13,0),0)&gt;0,T08_Spells!AL$2,"")</f>
        <v/>
      </c>
      <c r="AM6" t="str">
        <f>IF(IFERROR(MATCH($B6,temp!I$4:I$13,0),0)&gt;0,T08_Spells!AM$2,"")</f>
        <v/>
      </c>
      <c r="AN6" t="str">
        <f>IF(IFERROR(MATCH($B6,temp!J$4:J$13,0),0)&gt;0,T08_Spells!AN$2,"")</f>
        <v/>
      </c>
      <c r="AO6" t="str">
        <f>IF(IFERROR(MATCH($B6,temp!K$4:K$13,0),0)&gt;0,T08_Spells!AO$2,"")</f>
        <v/>
      </c>
      <c r="AP6" t="str">
        <f>IF(IFERROR(MATCH($B6,temp!L$4:L$13,0),0)&gt;0,T08_Spells!AP$2,"")</f>
        <v/>
      </c>
      <c r="AQ6" t="str">
        <f>IF(IFERROR(MATCH($B6,temp!M$4:M$13,0),0)&gt;0,T08_Spells!AQ$2,"")</f>
        <v/>
      </c>
      <c r="AR6" t="str">
        <f>IF(IFERROR(MATCH($B6,temp!N$4:N$13,0),0)&gt;0,T08_Spells!AR$2,"")</f>
        <v/>
      </c>
      <c r="AS6" t="str">
        <f>IF(IFERROR(MATCH($B6,temp!O$4:O$13,0),0)&gt;0,T08_Spells!AS$2,"")</f>
        <v/>
      </c>
      <c r="AT6" t="str">
        <f>IF(IFERROR(MATCH($B6,temp!P$4:P$13,0),0)&gt;0,T08_Spells!AT$2,"")</f>
        <v/>
      </c>
      <c r="AU6" t="str">
        <f>IF(IFERROR(MATCH($B6,temp!Q$4:Q$13,0),0)&gt;0,T08_Spells!AU$2,"")</f>
        <v/>
      </c>
      <c r="AV6" t="str">
        <f>IF(IFERROR(MATCH($B6,temp!R$4:R$13,0),0)&gt;0,T08_Spells!AV$2,"")</f>
        <v/>
      </c>
      <c r="AW6" t="str">
        <f>IF(IFERROR(MATCH($B6,temp!S$4:S$13,0),0)&gt;0,T08_Spells!AW$2,"")</f>
        <v/>
      </c>
      <c r="AX6" t="str">
        <f>IF(IFERROR(MATCH($B6,temp!T$4:T$13,0),0)&gt;0,T08_Spells!AX$2,"")</f>
        <v/>
      </c>
      <c r="AY6" t="str">
        <f>IF(IFERROR(MATCH($B6,temp!U$4:U$13,0),0)&gt;0,T08_Spells!AY$2,"")</f>
        <v/>
      </c>
      <c r="AZ6" t="str">
        <f>IF(IFERROR(MATCH($B6,temp!V$4:V$13,0),0)&gt;0,T08_Spells!AZ$2,"")</f>
        <v/>
      </c>
      <c r="BA6" t="str">
        <f>IF(IFERROR(MATCH($B6,temp!W$4:W$13,0),0)&gt;0,T08_Spells!BA$2,"")</f>
        <v/>
      </c>
      <c r="BC6">
        <f>IF(IFERROR(SEARCH("Ranger",$T6,1),0)&gt;0,1,0)*IF(RangerMaxSpellLevel&gt;=$C6,1,0)*IF(IFERROR(MATCH(B6,Character_Creation!$X$79:$X$382,0),0)&gt;0,0,1)</f>
        <v>0</v>
      </c>
      <c r="BD6">
        <f>IF(BC6=0,0,1+COUNTIF(BD$3:BD5,"&gt;0"))</f>
        <v>0</v>
      </c>
      <c r="BE6" t="str">
        <f t="shared" si="34"/>
        <v/>
      </c>
      <c r="BF6" t="str">
        <f t="shared" si="6"/>
        <v/>
      </c>
      <c r="BH6">
        <f>IF(IFERROR(SEARCH("Sorcerer",$T6,1),0)&gt;0,1,0)*IF(SorcererMaxSpellLevel&gt;=$C6,1,0)*IF(IFERROR(MATCH(B6,Character_Creation!$J$380:$J$394,0),0)&gt;0,0,1)</f>
        <v>0</v>
      </c>
      <c r="BI6">
        <f>IF(BH6=0,0,1+COUNTIF(BI$3:BI5,"&gt;0"))</f>
        <v>0</v>
      </c>
      <c r="BJ6" t="str">
        <f t="shared" si="35"/>
        <v/>
      </c>
      <c r="BK6" t="str">
        <f t="shared" si="7"/>
        <v/>
      </c>
      <c r="BM6">
        <f>IF(OR(IFERROR(SEARCH("Warlock",$T6,1),0)&gt;0,IFERROR(SEARCH(WarlockPatron,$T6,1),0)&gt;0),1,0)*IF(WarlockMaxSpellLevel&gt;=$C6,1,0)*IF(IFERROR(MATCH(B6,Character_Creation!$J$361:$J$375,0),0)&gt;0,0,1)</f>
        <v>0</v>
      </c>
      <c r="BN6">
        <f>IF(BM6=0,0,1+COUNTIF(BN$3:BN5,"&gt;0"))</f>
        <v>0</v>
      </c>
      <c r="BO6" t="str">
        <f t="shared" si="36"/>
        <v/>
      </c>
      <c r="BP6" t="str">
        <f t="shared" si="8"/>
        <v/>
      </c>
      <c r="BR6">
        <f>IF(IFERROR(SEARCH("Eldritch Knight",$T6,1),0)&gt;0,1,0)*IF(EldritchKnightMaxSpellLevel&gt;=$C6,1,0)*IF(IFERROR(MATCH($B6,Character_Creation!$J$350:$J$356,0),0)&gt;0,0,1)*IF(Character_Creation!$M$338&gt;0,1,0)</f>
        <v>0</v>
      </c>
      <c r="BS6">
        <f>IF(BR6=0,0,1+COUNTIF(BS$3:BS5,"&gt;0"))</f>
        <v>0</v>
      </c>
      <c r="BT6" t="str">
        <f t="shared" si="37"/>
        <v/>
      </c>
      <c r="BU6" t="str">
        <f t="shared" si="9"/>
        <v/>
      </c>
      <c r="BW6">
        <f>IF(IFERROR(SEARCH("Arcane Trickster",$T6,1),0)&gt;0,1,0)*IF(ArcaneTricksterMaxSpellLevel&gt;=$C6,1,0)*IF(IFERROR(MATCH($B6,Character_Creation!$J$350:$J$356,0),0)&gt;0,0,1)*IF(Character_Creation!$T$338&gt;0,1,0)</f>
        <v>0</v>
      </c>
      <c r="BX6">
        <f>IF(BW6=0,0,1+COUNTIF(BX$3:BX5,"&gt;0"))</f>
        <v>0</v>
      </c>
      <c r="BY6" t="str">
        <f t="shared" si="38"/>
        <v/>
      </c>
      <c r="BZ6" t="str">
        <f t="shared" si="10"/>
        <v/>
      </c>
      <c r="CB6">
        <f>IF(IFERROR(SEARCH("Wizard",$T6,1),0)&gt;0,1,0)*IF(C6&lt;=ArcaneTricksterMaxSpellLevel,1,0)*IF(IFERROR(MATCH($B6,Character_Creation!$J$350:$J$356,0),0)&gt;0,0,1)*IF(Character_Creation!$T$350&gt;0,1,0)</f>
        <v>0</v>
      </c>
      <c r="CC6">
        <f>IF(CB6=0,0,1+COUNTIF(CC$3:CC5,"&gt;0"))</f>
        <v>0</v>
      </c>
      <c r="CD6" t="str">
        <f t="shared" si="39"/>
        <v/>
      </c>
      <c r="CE6" t="str">
        <f t="shared" si="11"/>
        <v/>
      </c>
      <c r="CG6">
        <f>IF(IFERROR(SEARCH("Wizard",$T6,1),0)&gt;0,1,0)*IF($C6&lt;=EldritchKnightMaxSpellLevel,1,0)*IF(IFERROR(MATCH($B6,Character_Creation!$J$350:$J$356,0),0)&gt;0,0,1)*IF(Character_Creation!$M$350&gt;0,1,0)</f>
        <v>1</v>
      </c>
      <c r="CH6">
        <f>IF(CG6=0,0,1+COUNTIF(CH$3:CH5,"&gt;0"))</f>
        <v>2</v>
      </c>
      <c r="CI6">
        <f t="shared" si="40"/>
        <v>4</v>
      </c>
      <c r="CJ6" t="str">
        <f t="shared" si="12"/>
        <v>Blindness/Deafness</v>
      </c>
      <c r="CL6">
        <f>IF(IFERROR(SEARCH("Bard",$T6,1),0)&gt;0,1,0)*IF(BardMaxSpellLevel&gt;=$C6,1,0)*IF(IFERROR(MATCH(B6,Character_Creation!$C$341:$F$362,0),0)&gt;0,0,1)*IF(IFERROR(MATCH($B6,Character_Creation!$C$341:$C$362,0),0)&gt;0,0,1)</f>
        <v>0</v>
      </c>
      <c r="CM6">
        <f>IF(CL6=0,0,1+COUNTIF(CM$3:CM5,"&gt;0"))</f>
        <v>0</v>
      </c>
      <c r="CN6" t="str">
        <f t="shared" si="41"/>
        <v/>
      </c>
      <c r="CO6" t="str">
        <f t="shared" si="13"/>
        <v/>
      </c>
      <c r="CQ6">
        <f>IF(IFERROR(SEARCH("Wizard",$T6,1),0)&gt;0,1,0)*IF(WizardMaxSpellLevel&gt;=$C6,1,0)*IF(IFERROR(MATCH(B6,Character_Creation!$X$341:$X$400,0),0)&gt;0,0,1)*IF(SelectedWizardSpellLevel=$C6,1,0)</f>
        <v>0</v>
      </c>
      <c r="CR6">
        <f>IF(CQ6=0,0,1+COUNTIF(CR$3:CR5,"&gt;0"))</f>
        <v>0</v>
      </c>
      <c r="CS6">
        <f t="shared" si="42"/>
        <v>4</v>
      </c>
      <c r="CT6" t="str">
        <f t="shared" si="14"/>
        <v>Clairvoyance</v>
      </c>
      <c r="CV6">
        <f>IF(IFERROR(MATCH($B6,Character_Creation!$C$341:$C$362,0),0)&gt;0,0,1)*IF(OR(C6="Cantrip",C6&lt;=BardMaxSpellLevel),1,0)*IF(IFERROR(MATCH($B6,Character_Creation!$C$367:$C$374,0),0)&gt;0,0,1)</f>
        <v>0</v>
      </c>
      <c r="CW6">
        <f>IF(CV6=0,0,1+COUNTIF(CW$3:CW5,"&gt;0"))</f>
        <v>0</v>
      </c>
      <c r="CX6">
        <f t="shared" si="43"/>
        <v>4</v>
      </c>
      <c r="CY6" t="str">
        <f t="shared" si="15"/>
        <v>Dancing Lights</v>
      </c>
      <c r="DA6">
        <f>IF(IF(OR(IFERROR(SEARCH("Cleric",$T6,1),0)&gt;0,IFERROR(SEARCH(DivineDomain&amp;",",$T6,1),0)&gt;0),1,0)*IF($C6=DA$2,1,0)=1,1+COUNTIF(DA$3:DA5,"&gt;0"),0)</f>
        <v>0</v>
      </c>
      <c r="DB6">
        <f>IF(IF(OR(IFERROR(SEARCH("Cleric",$T6,1),0)&gt;0,IFERROR(SEARCH(DivineDomain&amp;",",$T6,1),0)&gt;0),1,0)*IF($C6=DB$2,1,0)=1,1+COUNTIF(DB$3:DB5,"&gt;0"),0)</f>
        <v>0</v>
      </c>
      <c r="DC6">
        <f>IF(IF(OR(IFERROR(SEARCH("Cleric",$T6,1),0)&gt;0,IFERROR(SEARCH(DivineDomain&amp;",",$T6,1),0)&gt;0),1,0)*IF($C6=DC$2,1,0)=1,1+COUNTIF(DC$3:DC5,"&gt;0"),0)</f>
        <v>0</v>
      </c>
      <c r="DD6">
        <f>IF(IF(OR(IFERROR(SEARCH("Cleric",$T6,1),0)&gt;0,IFERROR(SEARCH(DivineDomain&amp;",",$T6,1),0)&gt;0),1,0)*IF($C6=DD$2,1,0)=1,1+COUNTIF(DD$3:DD5,"&gt;0"),0)</f>
        <v>0</v>
      </c>
      <c r="DE6">
        <f>IF(IF(OR(IFERROR(SEARCH("Cleric",$T6,1),0)&gt;0,IFERROR(SEARCH(DivineDomain&amp;",",$T6,1),0)&gt;0),1,0)*IF($C6=DE$2,1,0)=1,1+COUNTIF(DE$3:DE5,"&gt;0"),0)</f>
        <v>0</v>
      </c>
      <c r="DF6">
        <f>IF(IF(OR(IFERROR(SEARCH("Cleric",$T6,1),0)&gt;0,IFERROR(SEARCH(DivineDomain&amp;",",$T6,1),0)&gt;0),1,0)*IF($C6=DF$2,1,0)=1,1+COUNTIF(DF$3:DF5,"&gt;0"),0)</f>
        <v>0</v>
      </c>
      <c r="DG6">
        <f>IF(IF(OR(IFERROR(SEARCH("Cleric",$T6,1),0)&gt;0,IFERROR(SEARCH(DivineDomain&amp;",",$T6,1),0)&gt;0),1,0)*IF($C6=DG$2,1,0)=1,1+COUNTIF(DG$3:DG5,"&gt;0"),0)</f>
        <v>0</v>
      </c>
      <c r="DH6">
        <f>IF(IF(OR(IFERROR(SEARCH("Cleric",$T6,1),0)&gt;0,IFERROR(SEARCH(DivineDomain&amp;",",$T6,1),0)&gt;0),1,0)*IF($C6=DH$2,1,0)=1,1+COUNTIF(DH$3:DH5,"&gt;0"),0)</f>
        <v>0</v>
      </c>
      <c r="DI6">
        <f>IF(IF(OR(IFERROR(SEARCH("Cleric",$T6,1),0)&gt;0,IFERROR(SEARCH(DivineDomain&amp;",",$T6,1),0)&gt;0),1,0)*IF($C6=DI$2,1,0)=1,1+COUNTIF(DI$3:DI5,"&gt;0"),0)</f>
        <v>0</v>
      </c>
      <c r="DJ6">
        <f>IF(IF(OR(IFERROR(SEARCH("Druid",$T6,1),0)&gt;0,IFERROR(SEARCH(DruidLand1,$T6,1),0)&gt;0,IFERROR(SEARCH(DruidLand2,$T6,1),0)&gt;0,IFERROR(SEARCH(DruidLand3,$T6,1),0)&gt;0,IFERROR(SEARCH(DruidLand4,$T6,1),0)&gt;0),1,0)*IF($C6=1,1,0)*IF($C6=DJ$2,1,0)=0,0,1+COUNTIF(DJ$3:DJ5,"&gt;0"))</f>
        <v>0</v>
      </c>
      <c r="DK6">
        <f>IF(IF(OR(IFERROR(SEARCH("Druid",$T6,1),0)&gt;0,IFERROR(SEARCH(DruidLand1,$T6,1),0)&gt;0,IFERROR(SEARCH(DruidLand2,$T6,1),0)&gt;0,IFERROR(SEARCH(DruidLand3,$T6,1),0)&gt;0,IFERROR(SEARCH(DruidLand4,$T6,1),0)&gt;0),1,0)*IF($C6=1,1,0)*IF($C6=DK$2,1,0)=0,0,1+COUNTIF(DK$3:DK5,"&gt;0"))</f>
        <v>0</v>
      </c>
      <c r="DL6">
        <f>IF(IF(OR(IFERROR(SEARCH("Druid",$T6,1),0)&gt;0,IFERROR(SEARCH(DruidLand1,$T6,1),0)&gt;0,IFERROR(SEARCH(DruidLand2,$T6,1),0)&gt;0,IFERROR(SEARCH(DruidLand3,$T6,1),0)&gt;0,IFERROR(SEARCH(DruidLand4,$T6,1),0)&gt;0),1,0)*IF($C6=1,1,0)*IF($C6=DL$2,1,0)=0,0,1+COUNTIF(DL$3:DL5,"&gt;0"))</f>
        <v>0</v>
      </c>
      <c r="DM6">
        <f>IF(IF(OR(IFERROR(SEARCH("Druid",$T6,1),0)&gt;0,IFERROR(SEARCH(DruidLand1,$T6,1),0)&gt;0,IFERROR(SEARCH(DruidLand2,$T6,1),0)&gt;0,IFERROR(SEARCH(DruidLand3,$T6,1),0)&gt;0,IFERROR(SEARCH(DruidLand4,$T6,1),0)&gt;0),1,0)*IF($C6=1,1,0)*IF($C6=DM$2,1,0)=0,0,1+COUNTIF(DM$3:DM5,"&gt;0"))</f>
        <v>0</v>
      </c>
      <c r="DN6">
        <f>IF(IF(OR(IFERROR(SEARCH("Druid",$T6,1),0)&gt;0,IFERROR(SEARCH(DruidLand1,$T6,1),0)&gt;0,IFERROR(SEARCH(DruidLand2,$T6,1),0)&gt;0,IFERROR(SEARCH(DruidLand3,$T6,1),0)&gt;0,IFERROR(SEARCH(DruidLand4,$T6,1),0)&gt;0),1,0)*IF($C6=1,1,0)*IF($C6=DN$2,1,0)=0,0,1+COUNTIF(DN$3:DN5,"&gt;0"))</f>
        <v>0</v>
      </c>
      <c r="DO6">
        <f>IF(IF(OR(IFERROR(SEARCH("Druid",$T6,1),0)&gt;0,IFERROR(SEARCH(DruidLand1,$T6,1),0)&gt;0,IFERROR(SEARCH(DruidLand2,$T6,1),0)&gt;0,IFERROR(SEARCH(DruidLand3,$T6,1),0)&gt;0,IFERROR(SEARCH(DruidLand4,$T6,1),0)&gt;0),1,0)*IF($C6=1,1,0)*IF($C6=DO$2,1,0)=0,0,1+COUNTIF(DO$3:DO5,"&gt;0"))</f>
        <v>0</v>
      </c>
      <c r="DP6">
        <f>IF(IF(OR(IFERROR(SEARCH("Druid",$T6,1),0)&gt;0,IFERROR(SEARCH(DruidLand1,$T6,1),0)&gt;0,IFERROR(SEARCH(DruidLand2,$T6,1),0)&gt;0,IFERROR(SEARCH(DruidLand3,$T6,1),0)&gt;0,IFERROR(SEARCH(DruidLand4,$T6,1),0)&gt;0),1,0)*IF($C6=1,1,0)*IF($C6=DP$2,1,0)=0,0,1+COUNTIF(DP$3:DP5,"&gt;0"))</f>
        <v>0</v>
      </c>
      <c r="DQ6">
        <f>IF(IF(OR(IFERROR(SEARCH("Druid",$T6,1),0)&gt;0,IFERROR(SEARCH(DruidLand1,$T6,1),0)&gt;0,IFERROR(SEARCH(DruidLand2,$T6,1),0)&gt;0,IFERROR(SEARCH(DruidLand3,$T6,1),0)&gt;0,IFERROR(SEARCH(DruidLand4,$T6,1),0)&gt;0),1,0)*IF($C6=1,1,0)*IF($C6=DQ$2,1,0)=0,0,1+COUNTIF(DQ$3:DQ5,"&gt;0"))</f>
        <v>0</v>
      </c>
      <c r="DR6">
        <f>IF(IF(OR(IFERROR(SEARCH("Druid",$T6,1),0)&gt;0,IFERROR(SEARCH(DruidLand1,$T6,1),0)&gt;0,IFERROR(SEARCH(DruidLand2,$T6,1),0)&gt;0,IFERROR(SEARCH(DruidLand3,$T6,1),0)&gt;0,IFERROR(SEARCH(DruidLand4,$T6,1),0)&gt;0),1,0)*IF($C6=1,1,0)*IF($C6=DR$2,1,0)=0,0,1+COUNTIF(DR$3:DR5,"&gt;0"))</f>
        <v>0</v>
      </c>
      <c r="DS6">
        <f>IF(IF(OR(IFERROR(SEARCH("Paladin",$T6,1),0)&gt;0,IFERROR(SEARCH(PaladinOath,$T6,1),0)&gt;0),1,0)*IF($C6=DS$2,1,0)=1,1+COUNTIF(DS$3:DS5,"&gt;0"),0)</f>
        <v>0</v>
      </c>
      <c r="DT6">
        <f>IF(IF(OR(IFERROR(SEARCH("Paladin",$T6,1),0)&gt;0,IFERROR(SEARCH(PaladinOath,$T6,1),0)&gt;0),1,0)*IF($C6=DT$2,1,0)=1,1+COUNTIF(DT$3:DT5,"&gt;0"),0)</f>
        <v>0</v>
      </c>
      <c r="DU6">
        <f>IF(IF(OR(IFERROR(SEARCH("Paladin",$T6,1),0)&gt;0,IFERROR(SEARCH(PaladinOath,$T6,1),0)&gt;0),1,0)*IF($C6=DU$2,1,0)=1,1+COUNTIF(DU$3:DU5,"&gt;0"),0)</f>
        <v>0</v>
      </c>
      <c r="DV6">
        <f>IF(IF(OR(IFERROR(SEARCH("Paladin",$T6,1),0)&gt;0,IFERROR(SEARCH(PaladinOath,$T6,1),0)&gt;0),1,0)*IF($C6=DV$2,1,0)=1,1+COUNTIF(DV$3:DV5,"&gt;0"),0)</f>
        <v>0</v>
      </c>
      <c r="DW6">
        <f>IF(IF(OR(IFERROR(SEARCH("Paladin",$T6,1),0)&gt;0,IFERROR(SEARCH(PaladinOath,$T6,1),0)&gt;0),1,0)*IF($C6=DW$2,1,0)=1,1+COUNTIF(DW$3:DW5,"&gt;0"),0)</f>
        <v>0</v>
      </c>
      <c r="DY6">
        <f t="shared" si="2"/>
        <v>1</v>
      </c>
      <c r="DZ6">
        <f>IF(DY6=0,0,1+MAX(DZ$3:$DZ5))</f>
        <v>4</v>
      </c>
      <c r="EB6">
        <f t="shared" si="16"/>
        <v>0</v>
      </c>
      <c r="EC6">
        <f>IF(EB6=0,0,1+COUNTIF(EC$3:EC5,"&gt;0"))</f>
        <v>0</v>
      </c>
      <c r="ED6">
        <f t="shared" si="44"/>
        <v>4</v>
      </c>
      <c r="EE6" t="str">
        <f t="shared" si="17"/>
        <v>Light</v>
      </c>
      <c r="EG6">
        <f t="shared" si="18"/>
        <v>0</v>
      </c>
      <c r="EH6">
        <f>IF(EG6=0,0,1+COUNTIF(EH$3:EH5,"&gt;0"))</f>
        <v>0</v>
      </c>
      <c r="EI6">
        <f t="shared" si="45"/>
        <v>4</v>
      </c>
      <c r="EJ6" t="str">
        <f t="shared" si="19"/>
        <v>Sacred Flame</v>
      </c>
      <c r="EL6">
        <f t="shared" si="20"/>
        <v>0</v>
      </c>
      <c r="EM6">
        <f>IF(EL6=0,0,1+COUNTIF(EM$3:EM5,"&gt;0"))</f>
        <v>0</v>
      </c>
      <c r="EN6">
        <f t="shared" si="46"/>
        <v>4</v>
      </c>
      <c r="EO6" t="str">
        <f t="shared" si="21"/>
        <v>Poison Spray</v>
      </c>
      <c r="EQ6">
        <f t="shared" si="22"/>
        <v>0</v>
      </c>
      <c r="ER6">
        <f>IF(EQ6=0,0,1+COUNTIF(ER$3:ER5,"&gt;0"))</f>
        <v>0</v>
      </c>
      <c r="ES6">
        <f t="shared" si="47"/>
        <v>4</v>
      </c>
      <c r="ET6" t="str">
        <f t="shared" si="23"/>
        <v>Dancing Lights</v>
      </c>
      <c r="EV6">
        <f t="shared" si="24"/>
        <v>0</v>
      </c>
      <c r="EW6">
        <f>IF(EV6=0,0,1+COUNTIF(EW$3:EW5,"&gt;0"))</f>
        <v>0</v>
      </c>
      <c r="EX6" t="str">
        <f t="shared" si="48"/>
        <v/>
      </c>
      <c r="EY6" t="str">
        <f t="shared" si="25"/>
        <v/>
      </c>
      <c r="FA6">
        <f t="shared" si="26"/>
        <v>0</v>
      </c>
      <c r="FB6">
        <f>IF(FA6=0,0,1+COUNTIF(FB$3:FB5,"&gt;0"))</f>
        <v>0</v>
      </c>
      <c r="FC6">
        <f t="shared" si="49"/>
        <v>4</v>
      </c>
      <c r="FD6" t="str">
        <f t="shared" si="27"/>
        <v>Dancing Lights</v>
      </c>
      <c r="FF6">
        <f t="shared" si="28"/>
        <v>0</v>
      </c>
      <c r="FG6">
        <f>IF(FF6=0,0,1+COUNTIF(FG$3:FG5,"&gt;0"))</f>
        <v>0</v>
      </c>
      <c r="FH6">
        <f t="shared" si="50"/>
        <v>4</v>
      </c>
      <c r="FI6" t="str">
        <f t="shared" si="29"/>
        <v>Friends</v>
      </c>
      <c r="FK6">
        <f t="shared" si="30"/>
        <v>0</v>
      </c>
      <c r="FL6">
        <f>IF(FK6=0,0,1+COUNTIF(FL$3:FL5,"&gt;0"))</f>
        <v>0</v>
      </c>
      <c r="FM6">
        <f t="shared" si="51"/>
        <v>4</v>
      </c>
      <c r="FN6" t="str">
        <f t="shared" si="31"/>
        <v>Dancing Lights</v>
      </c>
      <c r="FP6">
        <f t="shared" si="32"/>
        <v>0</v>
      </c>
      <c r="FQ6">
        <f>IF(FP6=0,0,1+COUNTIF(FQ$3:FQ5,"&gt;0"))</f>
        <v>0</v>
      </c>
      <c r="FR6">
        <f t="shared" si="52"/>
        <v>4</v>
      </c>
      <c r="FS6" t="str">
        <f t="shared" si="33"/>
        <v>Light</v>
      </c>
    </row>
    <row r="7" spans="1:175" x14ac:dyDescent="0.25">
      <c r="A7" s="347">
        <f t="shared" si="53"/>
        <v>5</v>
      </c>
      <c r="B7" s="348" t="s">
        <v>2354</v>
      </c>
      <c r="C7" s="348">
        <v>1</v>
      </c>
      <c r="D7" s="347">
        <v>1</v>
      </c>
      <c r="E7" s="627" t="s">
        <v>6952</v>
      </c>
      <c r="F7" s="346"/>
      <c r="G7" s="347" t="str">
        <f>""</f>
        <v/>
      </c>
      <c r="H7" s="347" t="s">
        <v>5912</v>
      </c>
      <c r="I7" s="347" t="s">
        <v>5060</v>
      </c>
      <c r="J7" s="347" t="str">
        <f t="shared" si="3"/>
        <v/>
      </c>
      <c r="K7" s="347" t="s">
        <v>5285</v>
      </c>
      <c r="L7" s="611" t="str">
        <f t="shared" si="4"/>
        <v>V, S, M, a morsel of food</v>
      </c>
      <c r="M7" s="347" t="s">
        <v>2373</v>
      </c>
      <c r="N7" s="347" t="s">
        <v>2387</v>
      </c>
      <c r="O7" s="347" t="s">
        <v>1244</v>
      </c>
      <c r="P7" s="346" t="s">
        <v>5286</v>
      </c>
      <c r="Q7" s="347" t="s">
        <v>5272</v>
      </c>
      <c r="S7" s="346" t="s">
        <v>5587</v>
      </c>
      <c r="T7" s="346" t="str">
        <f t="shared" si="5"/>
        <v xml:space="preserve">Bard, Ranger, Druid, Nature, </v>
      </c>
      <c r="U7" s="347" t="str">
        <f>$B7</f>
        <v>Animal Friendship</v>
      </c>
      <c r="W7" s="347" t="str">
        <f>$B7</f>
        <v>Animal Friendship</v>
      </c>
      <c r="AA7" s="347" t="str">
        <f>$B7</f>
        <v>Animal Friendship</v>
      </c>
      <c r="AE7" t="str">
        <f>IF(IFERROR(MATCH($B7,temp!A$4:A$13,0),0)&gt;0,T08_Spells!AE$2,"")</f>
        <v/>
      </c>
      <c r="AF7" t="str">
        <f>IF(IFERROR(MATCH($B7,temp!B$4:B$13,0),0)&gt;0,T08_Spells!AF$2,"")</f>
        <v/>
      </c>
      <c r="AG7" t="str">
        <f>IF(IFERROR(MATCH($B7,temp!C$4:C$13,0),0)&gt;0,T08_Spells!AG$2,"")</f>
        <v/>
      </c>
      <c r="AH7" t="str">
        <f>IF(IFERROR(MATCH($B7,temp!D$4:D$13,0),0)&gt;0,T08_Spells!AH$2,"")</f>
        <v/>
      </c>
      <c r="AI7" t="str">
        <f>IF(IFERROR(MATCH($B7,temp!E$4:E$13,0),0)&gt;0,T08_Spells!AI$2,"")</f>
        <v/>
      </c>
      <c r="AJ7" t="str">
        <f>IF(IFERROR(MATCH($B7,temp!F$4:F$13,0),0)&gt;0,T08_Spells!AJ$2,"")</f>
        <v/>
      </c>
      <c r="AK7" t="str">
        <f>IF(IFERROR(MATCH($B7,temp!G$4:G$13,0),0)&gt;0,T08_Spells!AK$2,"")</f>
        <v/>
      </c>
      <c r="AL7" t="str">
        <f>IF(IFERROR(MATCH($B7,temp!H$4:H$13,0),0)&gt;0,T08_Spells!AL$2,"")</f>
        <v/>
      </c>
      <c r="AM7" t="str">
        <f>IF(IFERROR(MATCH($B7,temp!I$4:I$13,0),0)&gt;0,T08_Spells!AM$2,"")</f>
        <v/>
      </c>
      <c r="AN7" t="str">
        <f>IF(IFERROR(MATCH($B7,temp!J$4:J$13,0),0)&gt;0,T08_Spells!AN$2,"")</f>
        <v/>
      </c>
      <c r="AO7" t="str">
        <f>IF(IFERROR(MATCH($B7,temp!K$4:K$13,0),0)&gt;0,T08_Spells!AO$2,"")</f>
        <v/>
      </c>
      <c r="AP7" t="str">
        <f>IF(IFERROR(MATCH($B7,temp!L$4:L$13,0),0)&gt;0,T08_Spells!AP$2,"")</f>
        <v/>
      </c>
      <c r="AQ7" t="str">
        <f>IF(IFERROR(MATCH($B7,temp!M$4:M$13,0),0)&gt;0,T08_Spells!AQ$2,"")</f>
        <v/>
      </c>
      <c r="AR7" t="str">
        <f>IF(IFERROR(MATCH($B7,temp!N$4:N$13,0),0)&gt;0,T08_Spells!AR$2,"")</f>
        <v/>
      </c>
      <c r="AS7" t="str">
        <f>IF(IFERROR(MATCH($B7,temp!O$4:O$13,0),0)&gt;0,T08_Spells!AS$2,"")</f>
        <v/>
      </c>
      <c r="AT7" t="str">
        <f>IF(IFERROR(MATCH($B7,temp!P$4:P$13,0),0)&gt;0,T08_Spells!AT$2,"")</f>
        <v/>
      </c>
      <c r="AU7" t="str">
        <f>IF(IFERROR(MATCH($B7,temp!Q$4:Q$13,0),0)&gt;0,T08_Spells!AU$2,"")</f>
        <v/>
      </c>
      <c r="AV7" t="str">
        <f>IF(IFERROR(MATCH($B7,temp!R$4:R$13,0),0)&gt;0,T08_Spells!AV$2,"")</f>
        <v/>
      </c>
      <c r="AW7" t="str">
        <f>IF(IFERROR(MATCH($B7,temp!S$4:S$13,0),0)&gt;0,T08_Spells!AW$2,"")</f>
        <v>Nature</v>
      </c>
      <c r="AX7" t="str">
        <f>IF(IFERROR(MATCH($B7,temp!T$4:T$13,0),0)&gt;0,T08_Spells!AX$2,"")</f>
        <v/>
      </c>
      <c r="AY7" t="str">
        <f>IF(IFERROR(MATCH($B7,temp!U$4:U$13,0),0)&gt;0,T08_Spells!AY$2,"")</f>
        <v/>
      </c>
      <c r="AZ7" t="str">
        <f>IF(IFERROR(MATCH($B7,temp!V$4:V$13,0),0)&gt;0,T08_Spells!AZ$2,"")</f>
        <v/>
      </c>
      <c r="BA7" t="str">
        <f>IF(IFERROR(MATCH($B7,temp!W$4:W$13,0),0)&gt;0,T08_Spells!BA$2,"")</f>
        <v/>
      </c>
      <c r="BC7">
        <f>IF(IFERROR(SEARCH("Ranger",$T7,1),0)&gt;0,1,0)*IF(RangerMaxSpellLevel&gt;=$C7,1,0)*IF(IFERROR(MATCH(B7,Character_Creation!$X$79:$X$382,0),0)&gt;0,0,1)</f>
        <v>0</v>
      </c>
      <c r="BD7">
        <f>IF(BC7=0,0,1+COUNTIF(BD$3:BD6,"&gt;0"))</f>
        <v>0</v>
      </c>
      <c r="BE7" t="str">
        <f t="shared" si="34"/>
        <v/>
      </c>
      <c r="BF7" t="str">
        <f t="shared" si="6"/>
        <v/>
      </c>
      <c r="BH7">
        <f>IF(IFERROR(SEARCH("Sorcerer",$T7,1),0)&gt;0,1,0)*IF(SorcererMaxSpellLevel&gt;=$C7,1,0)*IF(IFERROR(MATCH(B7,Character_Creation!$J$380:$J$394,0),0)&gt;0,0,1)</f>
        <v>0</v>
      </c>
      <c r="BI7">
        <f>IF(BH7=0,0,1+COUNTIF(BI$3:BI6,"&gt;0"))</f>
        <v>0</v>
      </c>
      <c r="BJ7" t="str">
        <f t="shared" si="35"/>
        <v/>
      </c>
      <c r="BK7" t="str">
        <f t="shared" si="7"/>
        <v/>
      </c>
      <c r="BM7">
        <f>IF(OR(IFERROR(SEARCH("Warlock",$T7,1),0)&gt;0,IFERROR(SEARCH(WarlockPatron,$T7,1),0)&gt;0),1,0)*IF(WarlockMaxSpellLevel&gt;=$C7,1,0)*IF(IFERROR(MATCH(B7,Character_Creation!$J$361:$J$375,0),0)&gt;0,0,1)</f>
        <v>0</v>
      </c>
      <c r="BN7">
        <f>IF(BM7=0,0,1+COUNTIF(BN$3:BN6,"&gt;0"))</f>
        <v>0</v>
      </c>
      <c r="BO7" t="str">
        <f t="shared" si="36"/>
        <v/>
      </c>
      <c r="BP7" t="str">
        <f t="shared" si="8"/>
        <v/>
      </c>
      <c r="BR7">
        <f>IF(IFERROR(SEARCH("Eldritch Knight",$T7,1),0)&gt;0,1,0)*IF(EldritchKnightMaxSpellLevel&gt;=$C7,1,0)*IF(IFERROR(MATCH($B7,Character_Creation!$J$350:$J$356,0),0)&gt;0,0,1)*IF(Character_Creation!$M$338&gt;0,1,0)</f>
        <v>0</v>
      </c>
      <c r="BS7">
        <f>IF(BR7=0,0,1+COUNTIF(BS$3:BS6,"&gt;0"))</f>
        <v>0</v>
      </c>
      <c r="BT7" t="str">
        <f t="shared" si="37"/>
        <v/>
      </c>
      <c r="BU7" t="str">
        <f t="shared" si="9"/>
        <v/>
      </c>
      <c r="BW7">
        <f>IF(IFERROR(SEARCH("Arcane Trickster",$T7,1),0)&gt;0,1,0)*IF(ArcaneTricksterMaxSpellLevel&gt;=$C7,1,0)*IF(IFERROR(MATCH($B7,Character_Creation!$J$350:$J$356,0),0)&gt;0,0,1)*IF(Character_Creation!$T$338&gt;0,1,0)</f>
        <v>0</v>
      </c>
      <c r="BX7">
        <f>IF(BW7=0,0,1+COUNTIF(BX$3:BX6,"&gt;0"))</f>
        <v>0</v>
      </c>
      <c r="BY7" t="str">
        <f t="shared" si="38"/>
        <v/>
      </c>
      <c r="BZ7" t="str">
        <f t="shared" si="10"/>
        <v/>
      </c>
      <c r="CB7">
        <f>IF(IFERROR(SEARCH("Wizard",$T7,1),0)&gt;0,1,0)*IF(C7&lt;=ArcaneTricksterMaxSpellLevel,1,0)*IF(IFERROR(MATCH($B7,Character_Creation!$J$350:$J$356,0),0)&gt;0,0,1)*IF(Character_Creation!$T$350&gt;0,1,0)</f>
        <v>0</v>
      </c>
      <c r="CC7">
        <f>IF(CB7=0,0,1+COUNTIF(CC$3:CC6,"&gt;0"))</f>
        <v>0</v>
      </c>
      <c r="CD7" t="str">
        <f t="shared" si="39"/>
        <v/>
      </c>
      <c r="CE7" t="str">
        <f t="shared" si="11"/>
        <v/>
      </c>
      <c r="CG7">
        <f>IF(IFERROR(SEARCH("Wizard",$T7,1),0)&gt;0,1,0)*IF($C7&lt;=EldritchKnightMaxSpellLevel,1,0)*IF(IFERROR(MATCH($B7,Character_Creation!$J$350:$J$356,0),0)&gt;0,0,1)*IF(Character_Creation!$M$350&gt;0,1,0)</f>
        <v>0</v>
      </c>
      <c r="CH7">
        <f>IF(CG7=0,0,1+COUNTIF(CH$3:CH6,"&gt;0"))</f>
        <v>0</v>
      </c>
      <c r="CI7">
        <f t="shared" si="40"/>
        <v>5</v>
      </c>
      <c r="CJ7" t="str">
        <f t="shared" si="12"/>
        <v>Blur</v>
      </c>
      <c r="CL7">
        <f>IF(IFERROR(SEARCH("Bard",$T7,1),0)&gt;0,1,0)*IF(BardMaxSpellLevel&gt;=$C7,1,0)*IF(IFERROR(MATCH(B7,Character_Creation!$C$341:$F$362,0),0)&gt;0,0,1)*IF(IFERROR(MATCH($B7,Character_Creation!$C$341:$C$362,0),0)&gt;0,0,1)</f>
        <v>0</v>
      </c>
      <c r="CM7">
        <f>IF(CL7=0,0,1+COUNTIF(CM$3:CM6,"&gt;0"))</f>
        <v>0</v>
      </c>
      <c r="CN7" t="str">
        <f t="shared" si="41"/>
        <v/>
      </c>
      <c r="CO7" t="str">
        <f t="shared" si="13"/>
        <v/>
      </c>
      <c r="CQ7">
        <f>IF(IFERROR(SEARCH("Wizard",$T7,1),0)&gt;0,1,0)*IF(WizardMaxSpellLevel&gt;=$C7,1,0)*IF(IFERROR(MATCH(B7,Character_Creation!$X$341:$X$400,0),0)&gt;0,0,1)*IF(SelectedWizardSpellLevel=$C7,1,0)</f>
        <v>0</v>
      </c>
      <c r="CR7">
        <f>IF(CQ7=0,0,1+COUNTIF(CR$3:CR6,"&gt;0"))</f>
        <v>0</v>
      </c>
      <c r="CS7">
        <f t="shared" si="42"/>
        <v>5</v>
      </c>
      <c r="CT7" t="str">
        <f t="shared" si="14"/>
        <v>Counterspell</v>
      </c>
      <c r="CV7">
        <f>IF(IFERROR(MATCH($B7,Character_Creation!$C$341:$C$362,0),0)&gt;0,0,1)*IF(OR(C7="Cantrip",C7&lt;=BardMaxSpellLevel),1,0)*IF(IFERROR(MATCH($B7,Character_Creation!$C$367:$C$374,0),0)&gt;0,0,1)</f>
        <v>0</v>
      </c>
      <c r="CW7">
        <f>IF(CV7=0,0,1+COUNTIF(CW$3:CW6,"&gt;0"))</f>
        <v>0</v>
      </c>
      <c r="CX7">
        <f t="shared" si="43"/>
        <v>5</v>
      </c>
      <c r="CY7" t="str">
        <f t="shared" si="15"/>
        <v>Druidcraft</v>
      </c>
      <c r="DA7">
        <f>IF(IF(OR(IFERROR(SEARCH("Cleric",$T7,1),0)&gt;0,IFERROR(SEARCH(DivineDomain&amp;",",$T7,1),0)&gt;0),1,0)*IF($C7=DA$2,1,0)=1,1+COUNTIF(DA$3:DA6,"&gt;0"),0)</f>
        <v>0</v>
      </c>
      <c r="DB7">
        <f>IF(IF(OR(IFERROR(SEARCH("Cleric",$T7,1),0)&gt;0,IFERROR(SEARCH(DivineDomain&amp;",",$T7,1),0)&gt;0),1,0)*IF($C7=DB$2,1,0)=1,1+COUNTIF(DB$3:DB6,"&gt;0"),0)</f>
        <v>0</v>
      </c>
      <c r="DC7">
        <f>IF(IF(OR(IFERROR(SEARCH("Cleric",$T7,1),0)&gt;0,IFERROR(SEARCH(DivineDomain&amp;",",$T7,1),0)&gt;0),1,0)*IF($C7=DC$2,1,0)=1,1+COUNTIF(DC$3:DC6,"&gt;0"),0)</f>
        <v>0</v>
      </c>
      <c r="DD7">
        <f>IF(IF(OR(IFERROR(SEARCH("Cleric",$T7,1),0)&gt;0,IFERROR(SEARCH(DivineDomain&amp;",",$T7,1),0)&gt;0),1,0)*IF($C7=DD$2,1,0)=1,1+COUNTIF(DD$3:DD6,"&gt;0"),0)</f>
        <v>0</v>
      </c>
      <c r="DE7">
        <f>IF(IF(OR(IFERROR(SEARCH("Cleric",$T7,1),0)&gt;0,IFERROR(SEARCH(DivineDomain&amp;",",$T7,1),0)&gt;0),1,0)*IF($C7=DE$2,1,0)=1,1+COUNTIF(DE$3:DE6,"&gt;0"),0)</f>
        <v>0</v>
      </c>
      <c r="DF7">
        <f>IF(IF(OR(IFERROR(SEARCH("Cleric",$T7,1),0)&gt;0,IFERROR(SEARCH(DivineDomain&amp;",",$T7,1),0)&gt;0),1,0)*IF($C7=DF$2,1,0)=1,1+COUNTIF(DF$3:DF6,"&gt;0"),0)</f>
        <v>0</v>
      </c>
      <c r="DG7">
        <f>IF(IF(OR(IFERROR(SEARCH("Cleric",$T7,1),0)&gt;0,IFERROR(SEARCH(DivineDomain&amp;",",$T7,1),0)&gt;0),1,0)*IF($C7=DG$2,1,0)=1,1+COUNTIF(DG$3:DG6,"&gt;0"),0)</f>
        <v>0</v>
      </c>
      <c r="DH7">
        <f>IF(IF(OR(IFERROR(SEARCH("Cleric",$T7,1),0)&gt;0,IFERROR(SEARCH(DivineDomain&amp;",",$T7,1),0)&gt;0),1,0)*IF($C7=DH$2,1,0)=1,1+COUNTIF(DH$3:DH6,"&gt;0"),0)</f>
        <v>0</v>
      </c>
      <c r="DI7">
        <f>IF(IF(OR(IFERROR(SEARCH("Cleric",$T7,1),0)&gt;0,IFERROR(SEARCH(DivineDomain&amp;",",$T7,1),0)&gt;0),1,0)*IF($C7=DI$2,1,0)=1,1+COUNTIF(DI$3:DI6,"&gt;0"),0)</f>
        <v>0</v>
      </c>
      <c r="DJ7">
        <f>IF(IF(OR(IFERROR(SEARCH("Druid",$T7,1),0)&gt;0,IFERROR(SEARCH(DruidLand1,$T7,1),0)&gt;0,IFERROR(SEARCH(DruidLand2,$T7,1),0)&gt;0,IFERROR(SEARCH(DruidLand3,$T7,1),0)&gt;0,IFERROR(SEARCH(DruidLand4,$T7,1),0)&gt;0),1,0)*IF($C7=1,1,0)*IF($C7=DJ$2,1,0)=0,0,1+COUNTIF(DJ$3:DJ6,"&gt;0"))</f>
        <v>1</v>
      </c>
      <c r="DK7">
        <f>IF(IF(OR(IFERROR(SEARCH("Druid",$T7,1),0)&gt;0,IFERROR(SEARCH(DruidLand1,$T7,1),0)&gt;0,IFERROR(SEARCH(DruidLand2,$T7,1),0)&gt;0,IFERROR(SEARCH(DruidLand3,$T7,1),0)&gt;0,IFERROR(SEARCH(DruidLand4,$T7,1),0)&gt;0),1,0)*IF($C7=DK$2,1,0)=0,0,1+COUNTIF(DK$3:DK6,"&gt;0"))</f>
        <v>0</v>
      </c>
      <c r="DL7">
        <f>IF(IF(OR(IFERROR(SEARCH("Druid",$T7,1),0)&gt;0,IFERROR(SEARCH(DruidLand1,$T7,1),0)&gt;0,IFERROR(SEARCH(DruidLand2,$T7,1),0)&gt;0,IFERROR(SEARCH(DruidLand3,$T7,1),0)&gt;0,IFERROR(SEARCH(DruidLand4,$T7,1),0)&gt;0),1,0)*IF($C7=DL$2,1,0)=0,0,1+COUNTIF(DL$3:DL6,"&gt;0"))</f>
        <v>0</v>
      </c>
      <c r="DM7">
        <f>IF(IF(OR(IFERROR(SEARCH("Druid",$T7,1),0)&gt;0,IFERROR(SEARCH(DruidLand1,$T7,1),0)&gt;0,IFERROR(SEARCH(DruidLand2,$T7,1),0)&gt;0,IFERROR(SEARCH(DruidLand3,$T7,1),0)&gt;0,IFERROR(SEARCH(DruidLand4,$T7,1),0)&gt;0),1,0)*IF($C7=DM$2,1,0)=0,0,1+COUNTIF(DM$3:DM6,"&gt;0"))</f>
        <v>0</v>
      </c>
      <c r="DN7">
        <f>IF(IF(OR(IFERROR(SEARCH("Druid",$T7,1),0)&gt;0,IFERROR(SEARCH(DruidLand1,$T7,1),0)&gt;0,IFERROR(SEARCH(DruidLand2,$T7,1),0)&gt;0,IFERROR(SEARCH(DruidLand3,$T7,1),0)&gt;0,IFERROR(SEARCH(DruidLand4,$T7,1),0)&gt;0),1,0)*IF($C7=DN$2,1,0)=0,0,1+COUNTIF(DN$3:DN6,"&gt;0"))</f>
        <v>0</v>
      </c>
      <c r="DO7">
        <f>IF(IF(OR(IFERROR(SEARCH("Druid",$T7,1),0)&gt;0,IFERROR(SEARCH(DruidLand1,$T7,1),0)&gt;0,IFERROR(SEARCH(DruidLand2,$T7,1),0)&gt;0,IFERROR(SEARCH(DruidLand3,$T7,1),0)&gt;0,IFERROR(SEARCH(DruidLand4,$T7,1),0)&gt;0),1,0)*IF($C7=DO$2,1,0)=0,0,1+COUNTIF(DO$3:DO6,"&gt;0"))</f>
        <v>0</v>
      </c>
      <c r="DP7">
        <f>IF(IF(OR(IFERROR(SEARCH("Druid",$T7,1),0)&gt;0,IFERROR(SEARCH(DruidLand1,$T7,1),0)&gt;0,IFERROR(SEARCH(DruidLand2,$T7,1),0)&gt;0,IFERROR(SEARCH(DruidLand3,$T7,1),0)&gt;0,IFERROR(SEARCH(DruidLand4,$T7,1),0)&gt;0),1,0)*IF($C7=DP$2,1,0)=0,0,1+COUNTIF(DP$3:DP6,"&gt;0"))</f>
        <v>0</v>
      </c>
      <c r="DQ7">
        <f>IF(IF(OR(IFERROR(SEARCH("Druid",$T7,1),0)&gt;0,IFERROR(SEARCH(DruidLand1,$T7,1),0)&gt;0,IFERROR(SEARCH(DruidLand2,$T7,1),0)&gt;0,IFERROR(SEARCH(DruidLand3,$T7,1),0)&gt;0,IFERROR(SEARCH(DruidLand4,$T7,1),0)&gt;0),1,0)*IF($C7=DQ$2,1,0)=0,0,1+COUNTIF(DQ$3:DQ6,"&gt;0"))</f>
        <v>0</v>
      </c>
      <c r="DR7">
        <f>IF(IF(OR(IFERROR(SEARCH("Druid",$T7,1),0)&gt;0,IFERROR(SEARCH(DruidLand1,$T7,1),0)&gt;0,IFERROR(SEARCH(DruidLand2,$T7,1),0)&gt;0,IFERROR(SEARCH(DruidLand3,$T7,1),0)&gt;0,IFERROR(SEARCH(DruidLand4,$T7,1),0)&gt;0),1,0)*IF($C7=DR$2,1,0)=0,0,1+COUNTIF(DR$3:DR6,"&gt;0"))</f>
        <v>0</v>
      </c>
      <c r="DS7">
        <f>IF(IF(OR(IFERROR(SEARCH("Paladin",$T7,1),0)&gt;0,IFERROR(SEARCH(PaladinOath,$T7,1),0)&gt;0),1,0)*IF($C7=DS$2,1,0)=1,1+COUNTIF(DS$3:DS6,"&gt;0"),0)</f>
        <v>0</v>
      </c>
      <c r="DT7">
        <f>IF(IF(OR(IFERROR(SEARCH("Paladin",$T7,1),0)&gt;0,IFERROR(SEARCH(PaladinOath,$T7,1),0)&gt;0),1,0)*IF($C7=DT$2,1,0)=1,1+COUNTIF(DT$3:DT6,"&gt;0"),0)</f>
        <v>0</v>
      </c>
      <c r="DU7">
        <f>IF(IF(OR(IFERROR(SEARCH("Paladin",$T7,1),0)&gt;0,IFERROR(SEARCH(PaladinOath,$T7,1),0)&gt;0),1,0)*IF($C7=DU$2,1,0)=1,1+COUNTIF(DU$3:DU6,"&gt;0"),0)</f>
        <v>0</v>
      </c>
      <c r="DV7">
        <f>IF(IF(OR(IFERROR(SEARCH("Paladin",$T7,1),0)&gt;0,IFERROR(SEARCH(PaladinOath,$T7,1),0)&gt;0),1,0)*IF($C7=DV$2,1,0)=1,1+COUNTIF(DV$3:DV6,"&gt;0"),0)</f>
        <v>0</v>
      </c>
      <c r="DW7">
        <f>IF(IF(OR(IFERROR(SEARCH("Paladin",$T7,1),0)&gt;0,IFERROR(SEARCH(PaladinOath,$T7,1),0)&gt;0),1,0)*IF($C7=DW$2,1,0)=1,1+COUNTIF(DW$3:DW6,"&gt;0"),0)</f>
        <v>0</v>
      </c>
      <c r="DY7">
        <f t="shared" si="2"/>
        <v>1</v>
      </c>
      <c r="DZ7">
        <f>IF(DY7=0,0,1+MAX(DZ$3:$DZ6))</f>
        <v>5</v>
      </c>
      <c r="EB7">
        <f t="shared" si="16"/>
        <v>0</v>
      </c>
      <c r="EC7">
        <f>IF(EB7=0,0,1+COUNTIF(EC$3:EC6,"&gt;0"))</f>
        <v>0</v>
      </c>
      <c r="ED7">
        <f t="shared" si="44"/>
        <v>5</v>
      </c>
      <c r="EE7" t="str">
        <f t="shared" si="17"/>
        <v>Mage Hand</v>
      </c>
      <c r="EG7">
        <f t="shared" si="18"/>
        <v>0</v>
      </c>
      <c r="EH7">
        <f>IF(EG7=0,0,1+COUNTIF(EH$3:EH6,"&gt;0"))</f>
        <v>0</v>
      </c>
      <c r="EI7">
        <f t="shared" si="45"/>
        <v>5</v>
      </c>
      <c r="EJ7" t="str">
        <f t="shared" si="19"/>
        <v>Spare the Dying</v>
      </c>
      <c r="EL7">
        <f t="shared" si="20"/>
        <v>0</v>
      </c>
      <c r="EM7">
        <f>IF(EL7=0,0,1+COUNTIF(EM$3:EM6,"&gt;0"))</f>
        <v>0</v>
      </c>
      <c r="EN7">
        <f t="shared" si="46"/>
        <v>5</v>
      </c>
      <c r="EO7" t="str">
        <f t="shared" si="21"/>
        <v>Produce Flame</v>
      </c>
      <c r="EQ7">
        <f t="shared" si="22"/>
        <v>0</v>
      </c>
      <c r="ER7">
        <f>IF(EQ7=0,0,1+COUNTIF(ER$3:ER6,"&gt;0"))</f>
        <v>0</v>
      </c>
      <c r="ES7">
        <f t="shared" si="47"/>
        <v>5</v>
      </c>
      <c r="ET7" t="str">
        <f t="shared" si="23"/>
        <v>Fire Bolt</v>
      </c>
      <c r="EV7">
        <f t="shared" si="24"/>
        <v>0</v>
      </c>
      <c r="EW7">
        <f>IF(EV7=0,0,1+COUNTIF(EW$3:EW6,"&gt;0"))</f>
        <v>0</v>
      </c>
      <c r="EX7" t="str">
        <f t="shared" si="48"/>
        <v/>
      </c>
      <c r="EY7" t="str">
        <f t="shared" si="25"/>
        <v/>
      </c>
      <c r="FA7">
        <f t="shared" si="26"/>
        <v>0</v>
      </c>
      <c r="FB7">
        <f>IF(FA7=0,0,1+COUNTIF(FB$3:FB6,"&gt;0"))</f>
        <v>0</v>
      </c>
      <c r="FC7">
        <f t="shared" si="49"/>
        <v>5</v>
      </c>
      <c r="FD7" t="str">
        <f t="shared" si="27"/>
        <v>Fire Bolt</v>
      </c>
      <c r="FF7">
        <f t="shared" si="28"/>
        <v>0</v>
      </c>
      <c r="FG7">
        <f>IF(FF7=0,0,1+COUNTIF(FG$3:FG6,"&gt;0"))</f>
        <v>0</v>
      </c>
      <c r="FH7">
        <f t="shared" si="50"/>
        <v>5</v>
      </c>
      <c r="FI7" t="str">
        <f t="shared" si="29"/>
        <v>Mage Hand</v>
      </c>
      <c r="FK7">
        <f t="shared" si="30"/>
        <v>0</v>
      </c>
      <c r="FL7">
        <f>IF(FK7=0,0,1+COUNTIF(FL$3:FL6,"&gt;0"))</f>
        <v>0</v>
      </c>
      <c r="FM7">
        <f t="shared" si="51"/>
        <v>5</v>
      </c>
      <c r="FN7" t="str">
        <f t="shared" si="31"/>
        <v>Fire Bolt</v>
      </c>
      <c r="FP7">
        <f t="shared" si="32"/>
        <v>0</v>
      </c>
      <c r="FQ7">
        <f>IF(FP7=0,0,1+COUNTIF(FQ$3:FQ6,"&gt;0"))</f>
        <v>0</v>
      </c>
      <c r="FR7">
        <f t="shared" si="52"/>
        <v>5</v>
      </c>
      <c r="FS7" t="str">
        <f t="shared" si="33"/>
        <v>Mage Hand</v>
      </c>
    </row>
    <row r="8" spans="1:175" x14ac:dyDescent="0.25">
      <c r="A8" s="347">
        <f t="shared" si="53"/>
        <v>6</v>
      </c>
      <c r="B8" s="348" t="s">
        <v>2355</v>
      </c>
      <c r="C8" s="348">
        <v>2</v>
      </c>
      <c r="D8" s="347">
        <v>2</v>
      </c>
      <c r="E8" s="627" t="s">
        <v>6952</v>
      </c>
      <c r="F8" s="346"/>
      <c r="G8" s="347" t="s">
        <v>5269</v>
      </c>
      <c r="H8" s="347" t="s">
        <v>5913</v>
      </c>
      <c r="I8" s="347" t="s">
        <v>5060</v>
      </c>
      <c r="J8" s="347" t="str">
        <f t="shared" si="3"/>
        <v/>
      </c>
      <c r="K8" s="347" t="s">
        <v>5285</v>
      </c>
      <c r="L8" s="611" t="str">
        <f t="shared" si="4"/>
        <v>V, S, M, a morsel of food</v>
      </c>
      <c r="M8" s="347" t="s">
        <v>2373</v>
      </c>
      <c r="N8" s="347" t="s">
        <v>2387</v>
      </c>
      <c r="O8" s="347" t="s">
        <v>1244</v>
      </c>
      <c r="P8" s="346" t="s">
        <v>5286</v>
      </c>
      <c r="Q8" s="347" t="s">
        <v>5272</v>
      </c>
      <c r="S8" s="346" t="s">
        <v>5588</v>
      </c>
      <c r="T8" s="346" t="str">
        <f t="shared" si="5"/>
        <v xml:space="preserve">Bard, Ranger, Druid, </v>
      </c>
      <c r="U8" s="347" t="str">
        <f>$B8</f>
        <v>Animal Messenger</v>
      </c>
      <c r="W8" s="347" t="str">
        <f>$B8</f>
        <v>Animal Messenger</v>
      </c>
      <c r="AA8" s="347" t="str">
        <f>$B8</f>
        <v>Animal Messenger</v>
      </c>
      <c r="AE8" t="str">
        <f>IF(IFERROR(MATCH($B8,temp!A$4:A$13,0),0)&gt;0,T08_Spells!AE$2,"")</f>
        <v/>
      </c>
      <c r="AF8" t="str">
        <f>IF(IFERROR(MATCH($B8,temp!B$4:B$13,0),0)&gt;0,T08_Spells!AF$2,"")</f>
        <v/>
      </c>
      <c r="AG8" t="str">
        <f>IF(IFERROR(MATCH($B8,temp!C$4:C$13,0),0)&gt;0,T08_Spells!AG$2,"")</f>
        <v/>
      </c>
      <c r="AH8" t="str">
        <f>IF(IFERROR(MATCH($B8,temp!D$4:D$13,0),0)&gt;0,T08_Spells!AH$2,"")</f>
        <v/>
      </c>
      <c r="AI8" t="str">
        <f>IF(IFERROR(MATCH($B8,temp!E$4:E$13,0),0)&gt;0,T08_Spells!AI$2,"")</f>
        <v/>
      </c>
      <c r="AJ8" t="str">
        <f>IF(IFERROR(MATCH($B8,temp!F$4:F$13,0),0)&gt;0,T08_Spells!AJ$2,"")</f>
        <v/>
      </c>
      <c r="AK8" t="str">
        <f>IF(IFERROR(MATCH($B8,temp!G$4:G$13,0),0)&gt;0,T08_Spells!AK$2,"")</f>
        <v/>
      </c>
      <c r="AL8" t="str">
        <f>IF(IFERROR(MATCH($B8,temp!H$4:H$13,0),0)&gt;0,T08_Spells!AL$2,"")</f>
        <v/>
      </c>
      <c r="AM8" t="str">
        <f>IF(IFERROR(MATCH($B8,temp!I$4:I$13,0),0)&gt;0,T08_Spells!AM$2,"")</f>
        <v/>
      </c>
      <c r="AN8" t="str">
        <f>IF(IFERROR(MATCH($B8,temp!J$4:J$13,0),0)&gt;0,T08_Spells!AN$2,"")</f>
        <v/>
      </c>
      <c r="AO8" t="str">
        <f>IF(IFERROR(MATCH($B8,temp!K$4:K$13,0),0)&gt;0,T08_Spells!AO$2,"")</f>
        <v/>
      </c>
      <c r="AP8" t="str">
        <f>IF(IFERROR(MATCH($B8,temp!L$4:L$13,0),0)&gt;0,T08_Spells!AP$2,"")</f>
        <v/>
      </c>
      <c r="AQ8" t="str">
        <f>IF(IFERROR(MATCH($B8,temp!M$4:M$13,0),0)&gt;0,T08_Spells!AQ$2,"")</f>
        <v/>
      </c>
      <c r="AR8" t="str">
        <f>IF(IFERROR(MATCH($B8,temp!N$4:N$13,0),0)&gt;0,T08_Spells!AR$2,"")</f>
        <v/>
      </c>
      <c r="AS8" t="str">
        <f>IF(IFERROR(MATCH($B8,temp!O$4:O$13,0),0)&gt;0,T08_Spells!AS$2,"")</f>
        <v/>
      </c>
      <c r="AT8" t="str">
        <f>IF(IFERROR(MATCH($B8,temp!P$4:P$13,0),0)&gt;0,T08_Spells!AT$2,"")</f>
        <v/>
      </c>
      <c r="AU8" t="str">
        <f>IF(IFERROR(MATCH($B8,temp!Q$4:Q$13,0),0)&gt;0,T08_Spells!AU$2,"")</f>
        <v/>
      </c>
      <c r="AV8" t="str">
        <f>IF(IFERROR(MATCH($B8,temp!R$4:R$13,0),0)&gt;0,T08_Spells!AV$2,"")</f>
        <v/>
      </c>
      <c r="AW8" t="str">
        <f>IF(IFERROR(MATCH($B8,temp!S$4:S$13,0),0)&gt;0,T08_Spells!AW$2,"")</f>
        <v/>
      </c>
      <c r="AX8" t="str">
        <f>IF(IFERROR(MATCH($B8,temp!T$4:T$13,0),0)&gt;0,T08_Spells!AX$2,"")</f>
        <v/>
      </c>
      <c r="AY8" t="str">
        <f>IF(IFERROR(MATCH($B8,temp!U$4:U$13,0),0)&gt;0,T08_Spells!AY$2,"")</f>
        <v/>
      </c>
      <c r="AZ8" t="str">
        <f>IF(IFERROR(MATCH($B8,temp!V$4:V$13,0),0)&gt;0,T08_Spells!AZ$2,"")</f>
        <v/>
      </c>
      <c r="BA8" t="str">
        <f>IF(IFERROR(MATCH($B8,temp!W$4:W$13,0),0)&gt;0,T08_Spells!BA$2,"")</f>
        <v/>
      </c>
      <c r="BC8">
        <f>IF(IFERROR(SEARCH("Ranger",$T8,1),0)&gt;0,1,0)*IF(RangerMaxSpellLevel&gt;=$C8,1,0)*IF(IFERROR(MATCH(B8,Character_Creation!$X$79:$X$382,0),0)&gt;0,0,1)</f>
        <v>0</v>
      </c>
      <c r="BD8">
        <f>IF(BC8=0,0,1+COUNTIF(BD$3:BD7,"&gt;0"))</f>
        <v>0</v>
      </c>
      <c r="BE8" t="str">
        <f t="shared" si="34"/>
        <v/>
      </c>
      <c r="BF8" t="str">
        <f t="shared" si="6"/>
        <v/>
      </c>
      <c r="BH8">
        <f>IF(IFERROR(SEARCH("Sorcerer",$T8,1),0)&gt;0,1,0)*IF(SorcererMaxSpellLevel&gt;=$C8,1,0)*IF(IFERROR(MATCH(B8,Character_Creation!$J$380:$J$394,0),0)&gt;0,0,1)</f>
        <v>0</v>
      </c>
      <c r="BI8">
        <f>IF(BH8=0,0,1+COUNTIF(BI$3:BI7,"&gt;0"))</f>
        <v>0</v>
      </c>
      <c r="BJ8" t="str">
        <f t="shared" si="35"/>
        <v/>
      </c>
      <c r="BK8" t="str">
        <f t="shared" si="7"/>
        <v/>
      </c>
      <c r="BM8">
        <f>IF(OR(IFERROR(SEARCH("Warlock",$T8,1),0)&gt;0,IFERROR(SEARCH(WarlockPatron,$T8,1),0)&gt;0),1,0)*IF(WarlockMaxSpellLevel&gt;=$C8,1,0)*IF(IFERROR(MATCH(B8,Character_Creation!$J$361:$J$375,0),0)&gt;0,0,1)</f>
        <v>0</v>
      </c>
      <c r="BN8">
        <f>IF(BM8=0,0,1+COUNTIF(BN$3:BN7,"&gt;0"))</f>
        <v>0</v>
      </c>
      <c r="BO8" t="str">
        <f t="shared" si="36"/>
        <v/>
      </c>
      <c r="BP8" t="str">
        <f t="shared" si="8"/>
        <v/>
      </c>
      <c r="BR8">
        <f>IF(IFERROR(SEARCH("Eldritch Knight",$T8,1),0)&gt;0,1,0)*IF(EldritchKnightMaxSpellLevel&gt;=$C8,1,0)*IF(IFERROR(MATCH($B8,Character_Creation!$J$350:$J$356,0),0)&gt;0,0,1)*IF(Character_Creation!$M$338&gt;0,1,0)</f>
        <v>0</v>
      </c>
      <c r="BS8">
        <f>IF(BR8=0,0,1+COUNTIF(BS$3:BS7,"&gt;0"))</f>
        <v>0</v>
      </c>
      <c r="BT8" t="str">
        <f t="shared" si="37"/>
        <v/>
      </c>
      <c r="BU8" t="str">
        <f t="shared" si="9"/>
        <v/>
      </c>
      <c r="BW8">
        <f>IF(IFERROR(SEARCH("Arcane Trickster",$T8,1),0)&gt;0,1,0)*IF(ArcaneTricksterMaxSpellLevel&gt;=$C8,1,0)*IF(IFERROR(MATCH($B8,Character_Creation!$J$350:$J$356,0),0)&gt;0,0,1)*IF(Character_Creation!$T$338&gt;0,1,0)</f>
        <v>0</v>
      </c>
      <c r="BX8">
        <f>IF(BW8=0,0,1+COUNTIF(BX$3:BX7,"&gt;0"))</f>
        <v>0</v>
      </c>
      <c r="BY8" t="str">
        <f t="shared" si="38"/>
        <v/>
      </c>
      <c r="BZ8" t="str">
        <f t="shared" si="10"/>
        <v/>
      </c>
      <c r="CB8">
        <f>IF(IFERROR(SEARCH("Wizard",$T8,1),0)&gt;0,1,0)*IF(C8&lt;=ArcaneTricksterMaxSpellLevel,1,0)*IF(IFERROR(MATCH($B8,Character_Creation!$J$350:$J$356,0),0)&gt;0,0,1)*IF(Character_Creation!$T$350&gt;0,1,0)</f>
        <v>0</v>
      </c>
      <c r="CC8">
        <f>IF(CB8=0,0,1+COUNTIF(CC$3:CC7,"&gt;0"))</f>
        <v>0</v>
      </c>
      <c r="CD8" t="str">
        <f t="shared" si="39"/>
        <v/>
      </c>
      <c r="CE8" t="str">
        <f t="shared" si="11"/>
        <v/>
      </c>
      <c r="CG8">
        <f>IF(IFERROR(SEARCH("Wizard",$T8,1),0)&gt;0,1,0)*IF($C8&lt;=EldritchKnightMaxSpellLevel,1,0)*IF(IFERROR(MATCH($B8,Character_Creation!$J$350:$J$356,0),0)&gt;0,0,1)*IF(Character_Creation!$M$350&gt;0,1,0)</f>
        <v>0</v>
      </c>
      <c r="CH8">
        <f>IF(CG8=0,0,1+COUNTIF(CH$3:CH7,"&gt;0"))</f>
        <v>0</v>
      </c>
      <c r="CI8">
        <f t="shared" si="40"/>
        <v>6</v>
      </c>
      <c r="CJ8" t="str">
        <f t="shared" si="12"/>
        <v>Burning Hands</v>
      </c>
      <c r="CL8">
        <f>IF(IFERROR(SEARCH("Bard",$T8,1),0)&gt;0,1,0)*IF(BardMaxSpellLevel&gt;=$C8,1,0)*IF(IFERROR(MATCH(B8,Character_Creation!$C$341:$F$362,0),0)&gt;0,0,1)*IF(IFERROR(MATCH($B8,Character_Creation!$C$341:$C$362,0),0)&gt;0,0,1)</f>
        <v>0</v>
      </c>
      <c r="CM8">
        <f>IF(CL8=0,0,1+COUNTIF(CM$3:CM7,"&gt;0"))</f>
        <v>0</v>
      </c>
      <c r="CN8" t="str">
        <f t="shared" si="41"/>
        <v/>
      </c>
      <c r="CO8" t="str">
        <f t="shared" si="13"/>
        <v/>
      </c>
      <c r="CQ8">
        <f>IF(IFERROR(SEARCH("Wizard",$T8,1),0)&gt;0,1,0)*IF(WizardMaxSpellLevel&gt;=$C8,1,0)*IF(IFERROR(MATCH(B8,Character_Creation!$X$341:$X$400,0),0)&gt;0,0,1)*IF(SelectedWizardSpellLevel=$C8,1,0)</f>
        <v>0</v>
      </c>
      <c r="CR8">
        <f>IF(CQ8=0,0,1+COUNTIF(CR$3:CR7,"&gt;0"))</f>
        <v>0</v>
      </c>
      <c r="CS8">
        <f t="shared" si="42"/>
        <v>6</v>
      </c>
      <c r="CT8" t="str">
        <f t="shared" si="14"/>
        <v>Dispel Magic</v>
      </c>
      <c r="CV8">
        <f>IF(IFERROR(MATCH($B8,Character_Creation!$C$341:$C$362,0),0)&gt;0,0,1)*IF(OR(C8="Cantrip",C8&lt;=BardMaxSpellLevel),1,0)*IF(IFERROR(MATCH($B8,Character_Creation!$C$367:$C$374,0),0)&gt;0,0,1)</f>
        <v>0</v>
      </c>
      <c r="CW8">
        <f>IF(CV8=0,0,1+COUNTIF(CW$3:CW7,"&gt;0"))</f>
        <v>0</v>
      </c>
      <c r="CX8">
        <f t="shared" si="43"/>
        <v>6</v>
      </c>
      <c r="CY8" t="str">
        <f t="shared" si="15"/>
        <v>Eldritch Blast</v>
      </c>
      <c r="DA8">
        <f>IF(IF(OR(IFERROR(SEARCH("Cleric",$T8,1),0)&gt;0,IFERROR(SEARCH(DivineDomain&amp;",",$T8,1),0)&gt;0),1,0)*IF($C8=DA$2,1,0)=1,1+COUNTIF(DA$3:DA7,"&gt;0"),0)</f>
        <v>0</v>
      </c>
      <c r="DB8">
        <f>IF(IF(OR(IFERROR(SEARCH("Cleric",$T8,1),0)&gt;0,IFERROR(SEARCH(DivineDomain&amp;",",$T8,1),0)&gt;0),1,0)*IF($C8=DB$2,1,0)=1,1+COUNTIF(DB$3:DB7,"&gt;0"),0)</f>
        <v>0</v>
      </c>
      <c r="DC8">
        <f>IF(IF(OR(IFERROR(SEARCH("Cleric",$T8,1),0)&gt;0,IFERROR(SEARCH(DivineDomain&amp;",",$T8,1),0)&gt;0),1,0)*IF($C8=DC$2,1,0)=1,1+COUNTIF(DC$3:DC7,"&gt;0"),0)</f>
        <v>0</v>
      </c>
      <c r="DD8">
        <f>IF(IF(OR(IFERROR(SEARCH("Cleric",$T8,1),0)&gt;0,IFERROR(SEARCH(DivineDomain&amp;",",$T8,1),0)&gt;0),1,0)*IF($C8=DD$2,1,0)=1,1+COUNTIF(DD$3:DD7,"&gt;0"),0)</f>
        <v>0</v>
      </c>
      <c r="DE8">
        <f>IF(IF(OR(IFERROR(SEARCH("Cleric",$T8,1),0)&gt;0,IFERROR(SEARCH(DivineDomain&amp;",",$T8,1),0)&gt;0),1,0)*IF($C8=DE$2,1,0)=1,1+COUNTIF(DE$3:DE7,"&gt;0"),0)</f>
        <v>0</v>
      </c>
      <c r="DF8">
        <f>IF(IF(OR(IFERROR(SEARCH("Cleric",$T8,1),0)&gt;0,IFERROR(SEARCH(DivineDomain&amp;",",$T8,1),0)&gt;0),1,0)*IF($C8=DF$2,1,0)=1,1+COUNTIF(DF$3:DF7,"&gt;0"),0)</f>
        <v>0</v>
      </c>
      <c r="DG8">
        <f>IF(IF(OR(IFERROR(SEARCH("Cleric",$T8,1),0)&gt;0,IFERROR(SEARCH(DivineDomain&amp;",",$T8,1),0)&gt;0),1,0)*IF($C8=DG$2,1,0)=1,1+COUNTIF(DG$3:DG7,"&gt;0"),0)</f>
        <v>0</v>
      </c>
      <c r="DH8">
        <f>IF(IF(OR(IFERROR(SEARCH("Cleric",$T8,1),0)&gt;0,IFERROR(SEARCH(DivineDomain&amp;",",$T8,1),0)&gt;0),1,0)*IF($C8=DH$2,1,0)=1,1+COUNTIF(DH$3:DH7,"&gt;0"),0)</f>
        <v>0</v>
      </c>
      <c r="DI8">
        <f>IF(IF(OR(IFERROR(SEARCH("Cleric",$T8,1),0)&gt;0,IFERROR(SEARCH(DivineDomain&amp;",",$T8,1),0)&gt;0),1,0)*IF($C8=DI$2,1,0)=1,1+COUNTIF(DI$3:DI7,"&gt;0"),0)</f>
        <v>0</v>
      </c>
      <c r="DJ8">
        <f>IF(IF(OR(IFERROR(SEARCH("Druid",$T8,1),0)&gt;0,IFERROR(SEARCH(DruidLand1,$T8,1),0)&gt;0,IFERROR(SEARCH(DruidLand2,$T8,1),0)&gt;0,IFERROR(SEARCH(DruidLand3,$T8,1),0)&gt;0,IFERROR(SEARCH(DruidLand4,$T8,1),0)&gt;0),1,0)*IF($C8=1,1,0)*IF($C8=DJ$2,1,0)=0,0,1+COUNTIF(DJ$3:DJ7,"&gt;0"))</f>
        <v>0</v>
      </c>
      <c r="DK8">
        <f>IF(IF(OR(IFERROR(SEARCH("Druid",$T8,1),0)&gt;0,IFERROR(SEARCH(DruidLand1,$T8,1),0)&gt;0,IFERROR(SEARCH(DruidLand2,$T8,1),0)&gt;0,IFERROR(SEARCH(DruidLand3,$T8,1),0)&gt;0,IFERROR(SEARCH(DruidLand4,$T8,1),0)&gt;0),1,0)*IF($C8=DK$2,1,0)=0,0,1+COUNTIF(DK$3:DK7,"&gt;0"))</f>
        <v>1</v>
      </c>
      <c r="DL8">
        <f>IF(IF(OR(IFERROR(SEARCH("Druid",$T8,1),0)&gt;0,IFERROR(SEARCH(DruidLand1,$T8,1),0)&gt;0,IFERROR(SEARCH(DruidLand2,$T8,1),0)&gt;0,IFERROR(SEARCH(DruidLand3,$T8,1),0)&gt;0,IFERROR(SEARCH(DruidLand4,$T8,1),0)&gt;0),1,0)*IF($C8=DL$2,1,0)=0,0,1+COUNTIF(DL$3:DL7,"&gt;0"))</f>
        <v>0</v>
      </c>
      <c r="DM8">
        <f>IF(IF(OR(IFERROR(SEARCH("Druid",$T8,1),0)&gt;0,IFERROR(SEARCH(DruidLand1,$T8,1),0)&gt;0,IFERROR(SEARCH(DruidLand2,$T8,1),0)&gt;0,IFERROR(SEARCH(DruidLand3,$T8,1),0)&gt;0,IFERROR(SEARCH(DruidLand4,$T8,1),0)&gt;0),1,0)*IF($C8=DM$2,1,0)=0,0,1+COUNTIF(DM$3:DM7,"&gt;0"))</f>
        <v>0</v>
      </c>
      <c r="DN8">
        <f>IF(IF(OR(IFERROR(SEARCH("Druid",$T8,1),0)&gt;0,IFERROR(SEARCH(DruidLand1,$T8,1),0)&gt;0,IFERROR(SEARCH(DruidLand2,$T8,1),0)&gt;0,IFERROR(SEARCH(DruidLand3,$T8,1),0)&gt;0,IFERROR(SEARCH(DruidLand4,$T8,1),0)&gt;0),1,0)*IF($C8=DN$2,1,0)=0,0,1+COUNTIF(DN$3:DN7,"&gt;0"))</f>
        <v>0</v>
      </c>
      <c r="DO8">
        <f>IF(IF(OR(IFERROR(SEARCH("Druid",$T8,1),0)&gt;0,IFERROR(SEARCH(DruidLand1,$T8,1),0)&gt;0,IFERROR(SEARCH(DruidLand2,$T8,1),0)&gt;0,IFERROR(SEARCH(DruidLand3,$T8,1),0)&gt;0,IFERROR(SEARCH(DruidLand4,$T8,1),0)&gt;0),1,0)*IF($C8=DO$2,1,0)=0,0,1+COUNTIF(DO$3:DO7,"&gt;0"))</f>
        <v>0</v>
      </c>
      <c r="DP8">
        <f>IF(IF(OR(IFERROR(SEARCH("Druid",$T8,1),0)&gt;0,IFERROR(SEARCH(DruidLand1,$T8,1),0)&gt;0,IFERROR(SEARCH(DruidLand2,$T8,1),0)&gt;0,IFERROR(SEARCH(DruidLand3,$T8,1),0)&gt;0,IFERROR(SEARCH(DruidLand4,$T8,1),0)&gt;0),1,0)*IF($C8=DP$2,1,0)=0,0,1+COUNTIF(DP$3:DP7,"&gt;0"))</f>
        <v>0</v>
      </c>
      <c r="DQ8">
        <f>IF(IF(OR(IFERROR(SEARCH("Druid",$T8,1),0)&gt;0,IFERROR(SEARCH(DruidLand1,$T8,1),0)&gt;0,IFERROR(SEARCH(DruidLand2,$T8,1),0)&gt;0,IFERROR(SEARCH(DruidLand3,$T8,1),0)&gt;0,IFERROR(SEARCH(DruidLand4,$T8,1),0)&gt;0),1,0)*IF($C8=DQ$2,1,0)=0,0,1+COUNTIF(DQ$3:DQ7,"&gt;0"))</f>
        <v>0</v>
      </c>
      <c r="DR8">
        <f>IF(IF(OR(IFERROR(SEARCH("Druid",$T8,1),0)&gt;0,IFERROR(SEARCH(DruidLand1,$T8,1),0)&gt;0,IFERROR(SEARCH(DruidLand2,$T8,1),0)&gt;0,IFERROR(SEARCH(DruidLand3,$T8,1),0)&gt;0,IFERROR(SEARCH(DruidLand4,$T8,1),0)&gt;0),1,0)*IF($C8=DR$2,1,0)=0,0,1+COUNTIF(DR$3:DR7,"&gt;0"))</f>
        <v>0</v>
      </c>
      <c r="DS8">
        <f>IF(IF(OR(IFERROR(SEARCH("Paladin",$T8,1),0)&gt;0,IFERROR(SEARCH(PaladinOath,$T8,1),0)&gt;0),1,0)*IF($C8=DS$2,1,0)=1,1+COUNTIF(DS$3:DS7,"&gt;0"),0)</f>
        <v>0</v>
      </c>
      <c r="DT8">
        <f>IF(IF(OR(IFERROR(SEARCH("Paladin",$T8,1),0)&gt;0,IFERROR(SEARCH(PaladinOath,$T8,1),0)&gt;0),1,0)*IF($C8=DT$2,1,0)=1,1+COUNTIF(DT$3:DT7,"&gt;0"),0)</f>
        <v>0</v>
      </c>
      <c r="DU8">
        <f>IF(IF(OR(IFERROR(SEARCH("Paladin",$T8,1),0)&gt;0,IFERROR(SEARCH(PaladinOath,$T8,1),0)&gt;0),1,0)*IF($C8=DU$2,1,0)=1,1+COUNTIF(DU$3:DU7,"&gt;0"),0)</f>
        <v>0</v>
      </c>
      <c r="DV8">
        <f>IF(IF(OR(IFERROR(SEARCH("Paladin",$T8,1),0)&gt;0,IFERROR(SEARCH(PaladinOath,$T8,1),0)&gt;0),1,0)*IF($C8=DV$2,1,0)=1,1+COUNTIF(DV$3:DV7,"&gt;0"),0)</f>
        <v>0</v>
      </c>
      <c r="DW8">
        <f>IF(IF(OR(IFERROR(SEARCH("Paladin",$T8,1),0)&gt;0,IFERROR(SEARCH(PaladinOath,$T8,1),0)&gt;0),1,0)*IF($C8=DW$2,1,0)=1,1+COUNTIF(DW$3:DW7,"&gt;0"),0)</f>
        <v>0</v>
      </c>
      <c r="DY8">
        <f t="shared" si="2"/>
        <v>1</v>
      </c>
      <c r="DZ8">
        <f>IF(DY8=0,0,1+MAX(DZ$3:$DZ7))</f>
        <v>6</v>
      </c>
      <c r="EB8">
        <f t="shared" si="16"/>
        <v>0</v>
      </c>
      <c r="EC8">
        <f>IF(EB8=0,0,1+COUNTIF(EC$3:EC7,"&gt;0"))</f>
        <v>0</v>
      </c>
      <c r="ED8">
        <f t="shared" si="44"/>
        <v>6</v>
      </c>
      <c r="EE8" t="str">
        <f t="shared" si="17"/>
        <v>Mending</v>
      </c>
      <c r="EG8">
        <f t="shared" si="18"/>
        <v>0</v>
      </c>
      <c r="EH8">
        <f>IF(EG8=0,0,1+COUNTIF(EH$3:EH7,"&gt;0"))</f>
        <v>0</v>
      </c>
      <c r="EI8">
        <f t="shared" si="45"/>
        <v>6</v>
      </c>
      <c r="EJ8" t="str">
        <f t="shared" si="19"/>
        <v>Thaumaturgy</v>
      </c>
      <c r="EL8">
        <f t="shared" si="20"/>
        <v>0</v>
      </c>
      <c r="EM8">
        <f>IF(EL8=0,0,1+COUNTIF(EM$3:EM7,"&gt;0"))</f>
        <v>0</v>
      </c>
      <c r="EN8">
        <f t="shared" si="46"/>
        <v>6</v>
      </c>
      <c r="EO8" t="str">
        <f t="shared" si="21"/>
        <v>Resistance</v>
      </c>
      <c r="EQ8">
        <f t="shared" si="22"/>
        <v>0</v>
      </c>
      <c r="ER8">
        <f>IF(EQ8=0,0,1+COUNTIF(ER$3:ER7,"&gt;0"))</f>
        <v>0</v>
      </c>
      <c r="ES8">
        <f t="shared" si="47"/>
        <v>6</v>
      </c>
      <c r="ET8" t="str">
        <f t="shared" si="23"/>
        <v>Light</v>
      </c>
      <c r="EV8">
        <f t="shared" si="24"/>
        <v>0</v>
      </c>
      <c r="EW8">
        <f>IF(EV8=0,0,1+COUNTIF(EW$3:EW7,"&gt;0"))</f>
        <v>0</v>
      </c>
      <c r="EX8" t="str">
        <f t="shared" si="48"/>
        <v/>
      </c>
      <c r="EY8" t="str">
        <f t="shared" si="25"/>
        <v/>
      </c>
      <c r="FA8">
        <f t="shared" si="26"/>
        <v>0</v>
      </c>
      <c r="FB8">
        <f>IF(FA8=0,0,1+COUNTIF(FB$3:FB7,"&gt;0"))</f>
        <v>0</v>
      </c>
      <c r="FC8">
        <f t="shared" si="49"/>
        <v>6</v>
      </c>
      <c r="FD8" t="str">
        <f t="shared" si="27"/>
        <v>Friends</v>
      </c>
      <c r="FF8">
        <f t="shared" si="28"/>
        <v>0</v>
      </c>
      <c r="FG8">
        <f>IF(FF8=0,0,1+COUNTIF(FG$3:FG7,"&gt;0"))</f>
        <v>0</v>
      </c>
      <c r="FH8">
        <f t="shared" si="50"/>
        <v>6</v>
      </c>
      <c r="FI8" t="str">
        <f t="shared" si="29"/>
        <v>Poison Spray</v>
      </c>
      <c r="FK8">
        <f t="shared" si="30"/>
        <v>0</v>
      </c>
      <c r="FL8">
        <f>IF(FK8=0,0,1+COUNTIF(FL$3:FL7,"&gt;0"))</f>
        <v>0</v>
      </c>
      <c r="FM8">
        <f t="shared" si="51"/>
        <v>6</v>
      </c>
      <c r="FN8" t="str">
        <f t="shared" si="31"/>
        <v>Friends</v>
      </c>
      <c r="FP8">
        <f t="shared" si="32"/>
        <v>0</v>
      </c>
      <c r="FQ8">
        <f>IF(FP8=0,0,1+COUNTIF(FQ$3:FQ7,"&gt;0"))</f>
        <v>0</v>
      </c>
      <c r="FR8">
        <f t="shared" si="52"/>
        <v>6</v>
      </c>
      <c r="FS8" t="str">
        <f t="shared" si="33"/>
        <v>Mending</v>
      </c>
    </row>
    <row r="9" spans="1:175" x14ac:dyDescent="0.25">
      <c r="A9" s="347">
        <f t="shared" si="53"/>
        <v>7</v>
      </c>
      <c r="B9" s="348" t="s">
        <v>2356</v>
      </c>
      <c r="C9" s="348">
        <v>8</v>
      </c>
      <c r="D9" s="347">
        <v>8</v>
      </c>
      <c r="E9" s="627" t="s">
        <v>6952</v>
      </c>
      <c r="F9" s="346"/>
      <c r="G9" s="347" t="str">
        <f>""</f>
        <v/>
      </c>
      <c r="H9" s="347" t="s">
        <v>5912</v>
      </c>
      <c r="I9" s="347" t="s">
        <v>5060</v>
      </c>
      <c r="J9" s="347" t="str">
        <f t="shared" si="3"/>
        <v/>
      </c>
      <c r="K9" s="347" t="s">
        <v>5287</v>
      </c>
      <c r="L9" s="611" t="str">
        <f t="shared" si="4"/>
        <v>V, S</v>
      </c>
      <c r="M9" s="347" t="s">
        <v>2373</v>
      </c>
      <c r="N9" s="347" t="s">
        <v>2387</v>
      </c>
      <c r="O9" s="347" t="s">
        <v>3034</v>
      </c>
      <c r="P9" s="346" t="str">
        <f>""</f>
        <v/>
      </c>
      <c r="Q9" s="347" t="s">
        <v>5276</v>
      </c>
      <c r="S9" s="346" t="s">
        <v>2357</v>
      </c>
      <c r="T9" s="346" t="str">
        <f t="shared" si="5"/>
        <v xml:space="preserve">Druid, </v>
      </c>
      <c r="AA9" s="347" t="str">
        <f>$B9</f>
        <v>Animal Shapes</v>
      </c>
      <c r="AE9" t="str">
        <f>IF(IFERROR(MATCH($B9,temp!A$4:A$13,0),0)&gt;0,T08_Spells!AE$2,"")</f>
        <v/>
      </c>
      <c r="AF9" t="str">
        <f>IF(IFERROR(MATCH($B9,temp!B$4:B$13,0),0)&gt;0,T08_Spells!AF$2,"")</f>
        <v/>
      </c>
      <c r="AG9" t="str">
        <f>IF(IFERROR(MATCH($B9,temp!C$4:C$13,0),0)&gt;0,T08_Spells!AG$2,"")</f>
        <v/>
      </c>
      <c r="AH9" t="str">
        <f>IF(IFERROR(MATCH($B9,temp!D$4:D$13,0),0)&gt;0,T08_Spells!AH$2,"")</f>
        <v/>
      </c>
      <c r="AI9" t="str">
        <f>IF(IFERROR(MATCH($B9,temp!E$4:E$13,0),0)&gt;0,T08_Spells!AI$2,"")</f>
        <v/>
      </c>
      <c r="AJ9" t="str">
        <f>IF(IFERROR(MATCH($B9,temp!F$4:F$13,0),0)&gt;0,T08_Spells!AJ$2,"")</f>
        <v/>
      </c>
      <c r="AK9" t="str">
        <f>IF(IFERROR(MATCH($B9,temp!G$4:G$13,0),0)&gt;0,T08_Spells!AK$2,"")</f>
        <v/>
      </c>
      <c r="AL9" t="str">
        <f>IF(IFERROR(MATCH($B9,temp!H$4:H$13,0),0)&gt;0,T08_Spells!AL$2,"")</f>
        <v/>
      </c>
      <c r="AM9" t="str">
        <f>IF(IFERROR(MATCH($B9,temp!I$4:I$13,0),0)&gt;0,T08_Spells!AM$2,"")</f>
        <v/>
      </c>
      <c r="AN9" t="str">
        <f>IF(IFERROR(MATCH($B9,temp!J$4:J$13,0),0)&gt;0,T08_Spells!AN$2,"")</f>
        <v/>
      </c>
      <c r="AO9" t="str">
        <f>IF(IFERROR(MATCH($B9,temp!K$4:K$13,0),0)&gt;0,T08_Spells!AO$2,"")</f>
        <v/>
      </c>
      <c r="AP9" t="str">
        <f>IF(IFERROR(MATCH($B9,temp!L$4:L$13,0),0)&gt;0,T08_Spells!AP$2,"")</f>
        <v/>
      </c>
      <c r="AQ9" t="str">
        <f>IF(IFERROR(MATCH($B9,temp!M$4:M$13,0),0)&gt;0,T08_Spells!AQ$2,"")</f>
        <v/>
      </c>
      <c r="AR9" t="str">
        <f>IF(IFERROR(MATCH($B9,temp!N$4:N$13,0),0)&gt;0,T08_Spells!AR$2,"")</f>
        <v/>
      </c>
      <c r="AS9" t="str">
        <f>IF(IFERROR(MATCH($B9,temp!O$4:O$13,0),0)&gt;0,T08_Spells!AS$2,"")</f>
        <v/>
      </c>
      <c r="AT9" t="str">
        <f>IF(IFERROR(MATCH($B9,temp!P$4:P$13,0),0)&gt;0,T08_Spells!AT$2,"")</f>
        <v/>
      </c>
      <c r="AU9" t="str">
        <f>IF(IFERROR(MATCH($B9,temp!Q$4:Q$13,0),0)&gt;0,T08_Spells!AU$2,"")</f>
        <v/>
      </c>
      <c r="AV9" t="str">
        <f>IF(IFERROR(MATCH($B9,temp!R$4:R$13,0),0)&gt;0,T08_Spells!AV$2,"")</f>
        <v/>
      </c>
      <c r="AW9" t="str">
        <f>IF(IFERROR(MATCH($B9,temp!S$4:S$13,0),0)&gt;0,T08_Spells!AW$2,"")</f>
        <v/>
      </c>
      <c r="AX9" t="str">
        <f>IF(IFERROR(MATCH($B9,temp!T$4:T$13,0),0)&gt;0,T08_Spells!AX$2,"")</f>
        <v/>
      </c>
      <c r="AY9" t="str">
        <f>IF(IFERROR(MATCH($B9,temp!U$4:U$13,0),0)&gt;0,T08_Spells!AY$2,"")</f>
        <v/>
      </c>
      <c r="AZ9" t="str">
        <f>IF(IFERROR(MATCH($B9,temp!V$4:V$13,0),0)&gt;0,T08_Spells!AZ$2,"")</f>
        <v/>
      </c>
      <c r="BA9" t="str">
        <f>IF(IFERROR(MATCH($B9,temp!W$4:W$13,0),0)&gt;0,T08_Spells!BA$2,"")</f>
        <v/>
      </c>
      <c r="BC9">
        <f>IF(IFERROR(SEARCH("Ranger",$T9,1),0)&gt;0,1,0)*IF(RangerMaxSpellLevel&gt;=$C9,1,0)*IF(IFERROR(MATCH(B9,Character_Creation!$X$79:$X$382,0),0)&gt;0,0,1)</f>
        <v>0</v>
      </c>
      <c r="BD9">
        <f>IF(BC9=0,0,1+COUNTIF(BD$3:BD8,"&gt;0"))</f>
        <v>0</v>
      </c>
      <c r="BE9" t="str">
        <f t="shared" si="34"/>
        <v/>
      </c>
      <c r="BF9" t="str">
        <f t="shared" si="6"/>
        <v/>
      </c>
      <c r="BH9">
        <f>IF(IFERROR(SEARCH("Sorcerer",$T9,1),0)&gt;0,1,0)*IF(SorcererMaxSpellLevel&gt;=$C9,1,0)*IF(IFERROR(MATCH(B9,Character_Creation!$J$380:$J$394,0),0)&gt;0,0,1)</f>
        <v>0</v>
      </c>
      <c r="BI9">
        <f>IF(BH9=0,0,1+COUNTIF(BI$3:BI8,"&gt;0"))</f>
        <v>0</v>
      </c>
      <c r="BJ9" t="str">
        <f t="shared" si="35"/>
        <v/>
      </c>
      <c r="BK9" t="str">
        <f t="shared" si="7"/>
        <v/>
      </c>
      <c r="BM9">
        <f>IF(OR(IFERROR(SEARCH("Warlock",$T9,1),0)&gt;0,IFERROR(SEARCH(WarlockPatron,$T9,1),0)&gt;0),1,0)*IF(WarlockMaxSpellLevel&gt;=$C9,1,0)*IF(IFERROR(MATCH(B9,Character_Creation!$J$361:$J$375,0),0)&gt;0,0,1)</f>
        <v>0</v>
      </c>
      <c r="BN9">
        <f>IF(BM9=0,0,1+COUNTIF(BN$3:BN8,"&gt;0"))</f>
        <v>0</v>
      </c>
      <c r="BO9" t="str">
        <f t="shared" si="36"/>
        <v/>
      </c>
      <c r="BP9" t="str">
        <f t="shared" si="8"/>
        <v/>
      </c>
      <c r="BR9">
        <f>IF(IFERROR(SEARCH("Eldritch Knight",$T9,1),0)&gt;0,1,0)*IF(EldritchKnightMaxSpellLevel&gt;=$C9,1,0)*IF(IFERROR(MATCH($B9,Character_Creation!$J$350:$J$356,0),0)&gt;0,0,1)*IF(Character_Creation!$M$338&gt;0,1,0)</f>
        <v>0</v>
      </c>
      <c r="BS9">
        <f>IF(BR9=0,0,1+COUNTIF(BS$3:BS8,"&gt;0"))</f>
        <v>0</v>
      </c>
      <c r="BT9" t="str">
        <f t="shared" si="37"/>
        <v/>
      </c>
      <c r="BU9" t="str">
        <f t="shared" si="9"/>
        <v/>
      </c>
      <c r="BW9">
        <f>IF(IFERROR(SEARCH("Arcane Trickster",$T9,1),0)&gt;0,1,0)*IF(ArcaneTricksterMaxSpellLevel&gt;=$C9,1,0)*IF(IFERROR(MATCH($B9,Character_Creation!$J$350:$J$356,0),0)&gt;0,0,1)*IF(Character_Creation!$T$338&gt;0,1,0)</f>
        <v>0</v>
      </c>
      <c r="BX9">
        <f>IF(BW9=0,0,1+COUNTIF(BX$3:BX8,"&gt;0"))</f>
        <v>0</v>
      </c>
      <c r="BY9" t="str">
        <f t="shared" si="38"/>
        <v/>
      </c>
      <c r="BZ9" t="str">
        <f t="shared" si="10"/>
        <v/>
      </c>
      <c r="CB9">
        <f>IF(IFERROR(SEARCH("Wizard",$T9,1),0)&gt;0,1,0)*IF(C9&lt;=ArcaneTricksterMaxSpellLevel,1,0)*IF(IFERROR(MATCH($B9,Character_Creation!$J$350:$J$356,0),0)&gt;0,0,1)*IF(Character_Creation!$T$350&gt;0,1,0)</f>
        <v>0</v>
      </c>
      <c r="CC9">
        <f>IF(CB9=0,0,1+COUNTIF(CC$3:CC8,"&gt;0"))</f>
        <v>0</v>
      </c>
      <c r="CD9" t="str">
        <f t="shared" si="39"/>
        <v/>
      </c>
      <c r="CE9" t="str">
        <f t="shared" si="11"/>
        <v/>
      </c>
      <c r="CG9">
        <f>IF(IFERROR(SEARCH("Wizard",$T9,1),0)&gt;0,1,0)*IF($C9&lt;=EldritchKnightMaxSpellLevel,1,0)*IF(IFERROR(MATCH($B9,Character_Creation!$J$350:$J$356,0),0)&gt;0,0,1)*IF(Character_Creation!$M$350&gt;0,1,0)</f>
        <v>0</v>
      </c>
      <c r="CH9">
        <f>IF(CG9=0,0,1+COUNTIF(CH$3:CH8,"&gt;0"))</f>
        <v>0</v>
      </c>
      <c r="CI9">
        <f t="shared" si="40"/>
        <v>7</v>
      </c>
      <c r="CJ9" t="str">
        <f t="shared" si="12"/>
        <v>Charm Person</v>
      </c>
      <c r="CL9">
        <f>IF(IFERROR(SEARCH("Bard",$T9,1),0)&gt;0,1,0)*IF(BardMaxSpellLevel&gt;=$C9,1,0)*IF(IFERROR(MATCH(B9,Character_Creation!$C$341:$F$362,0),0)&gt;0,0,1)*IF(IFERROR(MATCH($B9,Character_Creation!$C$341:$C$362,0),0)&gt;0,0,1)</f>
        <v>0</v>
      </c>
      <c r="CM9">
        <f>IF(CL9=0,0,1+COUNTIF(CM$3:CM8,"&gt;0"))</f>
        <v>0</v>
      </c>
      <c r="CN9" t="str">
        <f t="shared" si="41"/>
        <v/>
      </c>
      <c r="CO9" t="str">
        <f t="shared" si="13"/>
        <v/>
      </c>
      <c r="CQ9">
        <f>IF(IFERROR(SEARCH("Wizard",$T9,1),0)&gt;0,1,0)*IF(WizardMaxSpellLevel&gt;=$C9,1,0)*IF(IFERROR(MATCH(B9,Character_Creation!$X$341:$X$400,0),0)&gt;0,0,1)*IF(SelectedWizardSpellLevel=$C9,1,0)</f>
        <v>0</v>
      </c>
      <c r="CR9">
        <f>IF(CQ9=0,0,1+COUNTIF(CR$3:CR8,"&gt;0"))</f>
        <v>0</v>
      </c>
      <c r="CS9">
        <f t="shared" si="42"/>
        <v>7</v>
      </c>
      <c r="CT9" t="str">
        <f t="shared" si="14"/>
        <v>Fear</v>
      </c>
      <c r="CV9">
        <f>IF(IFERROR(MATCH($B9,Character_Creation!$C$341:$C$362,0),0)&gt;0,0,1)*IF(OR(C9="Cantrip",C9&lt;=BardMaxSpellLevel),1,0)*IF(IFERROR(MATCH($B9,Character_Creation!$C$367:$C$374,0),0)&gt;0,0,1)</f>
        <v>0</v>
      </c>
      <c r="CW9">
        <f>IF(CV9=0,0,1+COUNTIF(CW$3:CW8,"&gt;0"))</f>
        <v>0</v>
      </c>
      <c r="CX9">
        <f t="shared" si="43"/>
        <v>7</v>
      </c>
      <c r="CY9" t="str">
        <f t="shared" si="15"/>
        <v>Fire Bolt</v>
      </c>
      <c r="DA9">
        <f>IF(IF(OR(IFERROR(SEARCH("Cleric",$T9,1),0)&gt;0,IFERROR(SEARCH(DivineDomain&amp;",",$T9,1),0)&gt;0),1,0)*IF($C9=DA$2,1,0)=1,1+COUNTIF(DA$3:DA8,"&gt;0"),0)</f>
        <v>0</v>
      </c>
      <c r="DB9">
        <f>IF(IF(OR(IFERROR(SEARCH("Cleric",$T9,1),0)&gt;0,IFERROR(SEARCH(DivineDomain&amp;",",$T9,1),0)&gt;0),1,0)*IF($C9=DB$2,1,0)=1,1+COUNTIF(DB$3:DB8,"&gt;0"),0)</f>
        <v>0</v>
      </c>
      <c r="DC9">
        <f>IF(IF(OR(IFERROR(SEARCH("Cleric",$T9,1),0)&gt;0,IFERROR(SEARCH(DivineDomain&amp;",",$T9,1),0)&gt;0),1,0)*IF($C9=DC$2,1,0)=1,1+COUNTIF(DC$3:DC8,"&gt;0"),0)</f>
        <v>0</v>
      </c>
      <c r="DD9">
        <f>IF(IF(OR(IFERROR(SEARCH("Cleric",$T9,1),0)&gt;0,IFERROR(SEARCH(DivineDomain&amp;",",$T9,1),0)&gt;0),1,0)*IF($C9=DD$2,1,0)=1,1+COUNTIF(DD$3:DD8,"&gt;0"),0)</f>
        <v>0</v>
      </c>
      <c r="DE9">
        <f>IF(IF(OR(IFERROR(SEARCH("Cleric",$T9,1),0)&gt;0,IFERROR(SEARCH(DivineDomain&amp;",",$T9,1),0)&gt;0),1,0)*IF($C9=DE$2,1,0)=1,1+COUNTIF(DE$3:DE8,"&gt;0"),0)</f>
        <v>0</v>
      </c>
      <c r="DF9">
        <f>IF(IF(OR(IFERROR(SEARCH("Cleric",$T9,1),0)&gt;0,IFERROR(SEARCH(DivineDomain&amp;",",$T9,1),0)&gt;0),1,0)*IF($C9=DF$2,1,0)=1,1+COUNTIF(DF$3:DF8,"&gt;0"),0)</f>
        <v>0</v>
      </c>
      <c r="DG9">
        <f>IF(IF(OR(IFERROR(SEARCH("Cleric",$T9,1),0)&gt;0,IFERROR(SEARCH(DivineDomain&amp;",",$T9,1),0)&gt;0),1,0)*IF($C9=DG$2,1,0)=1,1+COUNTIF(DG$3:DG8,"&gt;0"),0)</f>
        <v>0</v>
      </c>
      <c r="DH9">
        <f>IF(IF(OR(IFERROR(SEARCH("Cleric",$T9,1),0)&gt;0,IFERROR(SEARCH(DivineDomain&amp;",",$T9,1),0)&gt;0),1,0)*IF($C9=DH$2,1,0)=1,1+COUNTIF(DH$3:DH8,"&gt;0"),0)</f>
        <v>0</v>
      </c>
      <c r="DI9">
        <f>IF(IF(OR(IFERROR(SEARCH("Cleric",$T9,1),0)&gt;0,IFERROR(SEARCH(DivineDomain&amp;",",$T9,1),0)&gt;0),1,0)*IF($C9=DI$2,1,0)=1,1+COUNTIF(DI$3:DI8,"&gt;0"),0)</f>
        <v>0</v>
      </c>
      <c r="DJ9">
        <f>IF(IF(OR(IFERROR(SEARCH("Druid",$T9,1),0)&gt;0,IFERROR(SEARCH(DruidLand1,$T9,1),0)&gt;0,IFERROR(SEARCH(DruidLand2,$T9,1),0)&gt;0,IFERROR(SEARCH(DruidLand3,$T9,1),0)&gt;0,IFERROR(SEARCH(DruidLand4,$T9,1),0)&gt;0),1,0)*IF($C9=1,1,0)*IF($C9=DJ$2,1,0)=0,0,1+COUNTIF(DJ$3:DJ8,"&gt;0"))</f>
        <v>0</v>
      </c>
      <c r="DK9">
        <f>IF(IF(OR(IFERROR(SEARCH("Druid",$T9,1),0)&gt;0,IFERROR(SEARCH(DruidLand1,$T9,1),0)&gt;0,IFERROR(SEARCH(DruidLand2,$T9,1),0)&gt;0,IFERROR(SEARCH(DruidLand3,$T9,1),0)&gt;0,IFERROR(SEARCH(DruidLand4,$T9,1),0)&gt;0),1,0)*IF($C9=DK$2,1,0)=0,0,1+COUNTIF(DK$3:DK8,"&gt;0"))</f>
        <v>0</v>
      </c>
      <c r="DL9">
        <f>IF(IF(OR(IFERROR(SEARCH("Druid",$T9,1),0)&gt;0,IFERROR(SEARCH(DruidLand1,$T9,1),0)&gt;0,IFERROR(SEARCH(DruidLand2,$T9,1),0)&gt;0,IFERROR(SEARCH(DruidLand3,$T9,1),0)&gt;0,IFERROR(SEARCH(DruidLand4,$T9,1),0)&gt;0),1,0)*IF($C9=DL$2,1,0)=0,0,1+COUNTIF(DL$3:DL8,"&gt;0"))</f>
        <v>0</v>
      </c>
      <c r="DM9">
        <f>IF(IF(OR(IFERROR(SEARCH("Druid",$T9,1),0)&gt;0,IFERROR(SEARCH(DruidLand1,$T9,1),0)&gt;0,IFERROR(SEARCH(DruidLand2,$T9,1),0)&gt;0,IFERROR(SEARCH(DruidLand3,$T9,1),0)&gt;0,IFERROR(SEARCH(DruidLand4,$T9,1),0)&gt;0),1,0)*IF($C9=DM$2,1,0)=0,0,1+COUNTIF(DM$3:DM8,"&gt;0"))</f>
        <v>0</v>
      </c>
      <c r="DN9">
        <f>IF(IF(OR(IFERROR(SEARCH("Druid",$T9,1),0)&gt;0,IFERROR(SEARCH(DruidLand1,$T9,1),0)&gt;0,IFERROR(SEARCH(DruidLand2,$T9,1),0)&gt;0,IFERROR(SEARCH(DruidLand3,$T9,1),0)&gt;0,IFERROR(SEARCH(DruidLand4,$T9,1),0)&gt;0),1,0)*IF($C9=DN$2,1,0)=0,0,1+COUNTIF(DN$3:DN8,"&gt;0"))</f>
        <v>0</v>
      </c>
      <c r="DO9">
        <f>IF(IF(OR(IFERROR(SEARCH("Druid",$T9,1),0)&gt;0,IFERROR(SEARCH(DruidLand1,$T9,1),0)&gt;0,IFERROR(SEARCH(DruidLand2,$T9,1),0)&gt;0,IFERROR(SEARCH(DruidLand3,$T9,1),0)&gt;0,IFERROR(SEARCH(DruidLand4,$T9,1),0)&gt;0),1,0)*IF($C9=DO$2,1,0)=0,0,1+COUNTIF(DO$3:DO8,"&gt;0"))</f>
        <v>0</v>
      </c>
      <c r="DP9">
        <f>IF(IF(OR(IFERROR(SEARCH("Druid",$T9,1),0)&gt;0,IFERROR(SEARCH(DruidLand1,$T9,1),0)&gt;0,IFERROR(SEARCH(DruidLand2,$T9,1),0)&gt;0,IFERROR(SEARCH(DruidLand3,$T9,1),0)&gt;0,IFERROR(SEARCH(DruidLand4,$T9,1),0)&gt;0),1,0)*IF($C9=DP$2,1,0)=0,0,1+COUNTIF(DP$3:DP8,"&gt;0"))</f>
        <v>0</v>
      </c>
      <c r="DQ9">
        <f>IF(IF(OR(IFERROR(SEARCH("Druid",$T9,1),0)&gt;0,IFERROR(SEARCH(DruidLand1,$T9,1),0)&gt;0,IFERROR(SEARCH(DruidLand2,$T9,1),0)&gt;0,IFERROR(SEARCH(DruidLand3,$T9,1),0)&gt;0,IFERROR(SEARCH(DruidLand4,$T9,1),0)&gt;0),1,0)*IF($C9=DQ$2,1,0)=0,0,1+COUNTIF(DQ$3:DQ8,"&gt;0"))</f>
        <v>1</v>
      </c>
      <c r="DR9">
        <f>IF(IF(OR(IFERROR(SEARCH("Druid",$T9,1),0)&gt;0,IFERROR(SEARCH(DruidLand1,$T9,1),0)&gt;0,IFERROR(SEARCH(DruidLand2,$T9,1),0)&gt;0,IFERROR(SEARCH(DruidLand3,$T9,1),0)&gt;0,IFERROR(SEARCH(DruidLand4,$T9,1),0)&gt;0),1,0)*IF($C9=DR$2,1,0)=0,0,1+COUNTIF(DR$3:DR8,"&gt;0"))</f>
        <v>0</v>
      </c>
      <c r="DS9">
        <f>IF(IF(OR(IFERROR(SEARCH("Paladin",$T9,1),0)&gt;0,IFERROR(SEARCH(PaladinOath,$T9,1),0)&gt;0),1,0)*IF($C9=DS$2,1,0)=1,1+COUNTIF(DS$3:DS8,"&gt;0"),0)</f>
        <v>0</v>
      </c>
      <c r="DT9">
        <f>IF(IF(OR(IFERROR(SEARCH("Paladin",$T9,1),0)&gt;0,IFERROR(SEARCH(PaladinOath,$T9,1),0)&gt;0),1,0)*IF($C9=DT$2,1,0)=1,1+COUNTIF(DT$3:DT8,"&gt;0"),0)</f>
        <v>0</v>
      </c>
      <c r="DU9">
        <f>IF(IF(OR(IFERROR(SEARCH("Paladin",$T9,1),0)&gt;0,IFERROR(SEARCH(PaladinOath,$T9,1),0)&gt;0),1,0)*IF($C9=DU$2,1,0)=1,1+COUNTIF(DU$3:DU8,"&gt;0"),0)</f>
        <v>0</v>
      </c>
      <c r="DV9">
        <f>IF(IF(OR(IFERROR(SEARCH("Paladin",$T9,1),0)&gt;0,IFERROR(SEARCH(PaladinOath,$T9,1),0)&gt;0),1,0)*IF($C9=DV$2,1,0)=1,1+COUNTIF(DV$3:DV8,"&gt;0"),0)</f>
        <v>0</v>
      </c>
      <c r="DW9">
        <f>IF(IF(OR(IFERROR(SEARCH("Paladin",$T9,1),0)&gt;0,IFERROR(SEARCH(PaladinOath,$T9,1),0)&gt;0),1,0)*IF($C9=DW$2,1,0)=1,1+COUNTIF(DW$3:DW8,"&gt;0"),0)</f>
        <v>0</v>
      </c>
      <c r="DY9">
        <f t="shared" si="2"/>
        <v>1</v>
      </c>
      <c r="DZ9">
        <f>IF(DY9=0,0,1+MAX(DZ$3:$DZ8))</f>
        <v>7</v>
      </c>
      <c r="EB9">
        <f t="shared" si="16"/>
        <v>0</v>
      </c>
      <c r="EC9">
        <f>IF(EB9=0,0,1+COUNTIF(EC$3:EC8,"&gt;0"))</f>
        <v>0</v>
      </c>
      <c r="ED9">
        <f t="shared" si="44"/>
        <v>7</v>
      </c>
      <c r="EE9" t="str">
        <f t="shared" si="17"/>
        <v>Message</v>
      </c>
      <c r="EG9">
        <f t="shared" si="18"/>
        <v>0</v>
      </c>
      <c r="EH9">
        <f>IF(EG9=0,0,1+COUNTIF(EH$3:EH8,"&gt;0"))</f>
        <v>0</v>
      </c>
      <c r="EI9" t="str">
        <f t="shared" si="45"/>
        <v/>
      </c>
      <c r="EJ9" t="str">
        <f t="shared" si="19"/>
        <v/>
      </c>
      <c r="EL9">
        <f t="shared" si="20"/>
        <v>0</v>
      </c>
      <c r="EM9">
        <f>IF(EL9=0,0,1+COUNTIF(EM$3:EM8,"&gt;0"))</f>
        <v>0</v>
      </c>
      <c r="EN9">
        <f t="shared" si="46"/>
        <v>7</v>
      </c>
      <c r="EO9" t="str">
        <f t="shared" si="21"/>
        <v>Shillelagh</v>
      </c>
      <c r="EQ9">
        <f t="shared" si="22"/>
        <v>0</v>
      </c>
      <c r="ER9">
        <f>IF(EQ9=0,0,1+COUNTIF(ER$3:ER8,"&gt;0"))</f>
        <v>0</v>
      </c>
      <c r="ES9">
        <f t="shared" si="47"/>
        <v>7</v>
      </c>
      <c r="ET9" t="str">
        <f t="shared" si="23"/>
        <v>Ray of Frost</v>
      </c>
      <c r="EV9">
        <f t="shared" si="24"/>
        <v>0</v>
      </c>
      <c r="EW9">
        <f>IF(EV9=0,0,1+COUNTIF(EW$3:EW8,"&gt;0"))</f>
        <v>0</v>
      </c>
      <c r="EX9" t="str">
        <f t="shared" si="48"/>
        <v/>
      </c>
      <c r="EY9" t="str">
        <f t="shared" si="25"/>
        <v/>
      </c>
      <c r="FA9">
        <f t="shared" si="26"/>
        <v>0</v>
      </c>
      <c r="FB9">
        <f>IF(FA9=0,0,1+COUNTIF(FB$3:FB8,"&gt;0"))</f>
        <v>0</v>
      </c>
      <c r="FC9">
        <f t="shared" si="49"/>
        <v>7</v>
      </c>
      <c r="FD9" t="str">
        <f t="shared" si="27"/>
        <v>Light</v>
      </c>
      <c r="FF9">
        <f t="shared" si="28"/>
        <v>0</v>
      </c>
      <c r="FG9">
        <f>IF(FF9=0,0,1+COUNTIF(FG$3:FG8,"&gt;0"))</f>
        <v>0</v>
      </c>
      <c r="FH9">
        <f t="shared" si="50"/>
        <v>7</v>
      </c>
      <c r="FI9" t="str">
        <f t="shared" si="29"/>
        <v>Prestidigitation</v>
      </c>
      <c r="FK9">
        <f t="shared" si="30"/>
        <v>0</v>
      </c>
      <c r="FL9">
        <f>IF(FK9=0,0,1+COUNTIF(FL$3:FL8,"&gt;0"))</f>
        <v>0</v>
      </c>
      <c r="FM9">
        <f t="shared" si="51"/>
        <v>7</v>
      </c>
      <c r="FN9" t="str">
        <f t="shared" si="31"/>
        <v>Light</v>
      </c>
      <c r="FP9">
        <f t="shared" si="32"/>
        <v>0</v>
      </c>
      <c r="FQ9">
        <f>IF(FP9=0,0,1+COUNTIF(FQ$3:FQ8,"&gt;0"))</f>
        <v>0</v>
      </c>
      <c r="FR9">
        <f t="shared" si="52"/>
        <v>7</v>
      </c>
      <c r="FS9" t="str">
        <f t="shared" si="33"/>
        <v>Message</v>
      </c>
    </row>
    <row r="10" spans="1:175" x14ac:dyDescent="0.25">
      <c r="A10" s="347">
        <f t="shared" si="53"/>
        <v>8</v>
      </c>
      <c r="B10" s="348" t="s">
        <v>2358</v>
      </c>
      <c r="C10" s="348">
        <v>3</v>
      </c>
      <c r="D10" s="347">
        <v>3</v>
      </c>
      <c r="E10" s="627" t="s">
        <v>6952</v>
      </c>
      <c r="F10" s="346"/>
      <c r="G10" s="347" t="str">
        <f>""</f>
        <v/>
      </c>
      <c r="H10" s="347" t="s">
        <v>5288</v>
      </c>
      <c r="I10" s="347" t="s">
        <v>5052</v>
      </c>
      <c r="J10" s="347" t="str">
        <f t="shared" si="3"/>
        <v/>
      </c>
      <c r="K10" s="347" t="s">
        <v>5278</v>
      </c>
      <c r="L10" s="611" t="str">
        <f t="shared" si="4"/>
        <v>V, S, M, a drop of blood, a piece of flesh, and a pinch of bone dust</v>
      </c>
      <c r="M10" s="347" t="s">
        <v>2373</v>
      </c>
      <c r="N10" s="347" t="s">
        <v>2387</v>
      </c>
      <c r="O10" s="347" t="s">
        <v>1244</v>
      </c>
      <c r="P10" s="346" t="s">
        <v>5289</v>
      </c>
      <c r="Q10" s="347" t="s">
        <v>5275</v>
      </c>
      <c r="S10" s="346" t="s">
        <v>5589</v>
      </c>
      <c r="T10" s="346" t="str">
        <f t="shared" si="5"/>
        <v xml:space="preserve">Cleric, Eldritch Knight, Wizard, Oathbreaker, Death, </v>
      </c>
      <c r="Z10" s="347" t="str">
        <f>$B10</f>
        <v>Animate Dead</v>
      </c>
      <c r="AB10" s="347" t="str">
        <f>$B10</f>
        <v>Animate Dead</v>
      </c>
      <c r="AD10" s="347" t="str">
        <f>$B10</f>
        <v>Animate Dead</v>
      </c>
      <c r="AE10" t="str">
        <f>IF(IFERROR(MATCH($B10,temp!A$4:A$13,0),0)&gt;0,T08_Spells!AE$2,"")</f>
        <v/>
      </c>
      <c r="AF10" t="str">
        <f>IF(IFERROR(MATCH($B10,temp!B$4:B$13,0),0)&gt;0,T08_Spells!AF$2,"")</f>
        <v/>
      </c>
      <c r="AG10" t="str">
        <f>IF(IFERROR(MATCH($B10,temp!C$4:C$13,0),0)&gt;0,T08_Spells!AG$2,"")</f>
        <v/>
      </c>
      <c r="AH10" t="str">
        <f>IF(IFERROR(MATCH($B10,temp!D$4:D$13,0),0)&gt;0,T08_Spells!AH$2,"")</f>
        <v>Oathbreaker</v>
      </c>
      <c r="AI10" t="str">
        <f>IF(IFERROR(MATCH($B10,temp!E$4:E$13,0),0)&gt;0,T08_Spells!AI$2,"")</f>
        <v/>
      </c>
      <c r="AJ10" t="str">
        <f>IF(IFERROR(MATCH($B10,temp!F$4:F$13,0),0)&gt;0,T08_Spells!AJ$2,"")</f>
        <v/>
      </c>
      <c r="AK10" t="str">
        <f>IF(IFERROR(MATCH($B10,temp!G$4:G$13,0),0)&gt;0,T08_Spells!AK$2,"")</f>
        <v/>
      </c>
      <c r="AL10" t="str">
        <f>IF(IFERROR(MATCH($B10,temp!H$4:H$13,0),0)&gt;0,T08_Spells!AL$2,"")</f>
        <v/>
      </c>
      <c r="AM10" t="str">
        <f>IF(IFERROR(MATCH($B10,temp!I$4:I$13,0),0)&gt;0,T08_Spells!AM$2,"")</f>
        <v/>
      </c>
      <c r="AN10" t="str">
        <f>IF(IFERROR(MATCH($B10,temp!J$4:J$13,0),0)&gt;0,T08_Spells!AN$2,"")</f>
        <v/>
      </c>
      <c r="AO10" t="str">
        <f>IF(IFERROR(MATCH($B10,temp!K$4:K$13,0),0)&gt;0,T08_Spells!AO$2,"")</f>
        <v/>
      </c>
      <c r="AP10" t="str">
        <f>IF(IFERROR(MATCH($B10,temp!L$4:L$13,0),0)&gt;0,T08_Spells!AP$2,"")</f>
        <v/>
      </c>
      <c r="AQ10" t="str">
        <f>IF(IFERROR(MATCH($B10,temp!M$4:M$13,0),0)&gt;0,T08_Spells!AQ$2,"")</f>
        <v/>
      </c>
      <c r="AR10" t="str">
        <f>IF(IFERROR(MATCH($B10,temp!N$4:N$13,0),0)&gt;0,T08_Spells!AR$2,"")</f>
        <v/>
      </c>
      <c r="AS10" t="str">
        <f>IF(IFERROR(MATCH($B10,temp!O$4:O$13,0),0)&gt;0,T08_Spells!AS$2,"")</f>
        <v/>
      </c>
      <c r="AT10" t="str">
        <f>IF(IFERROR(MATCH($B10,temp!P$4:P$13,0),0)&gt;0,T08_Spells!AT$2,"")</f>
        <v/>
      </c>
      <c r="AU10" t="str">
        <f>IF(IFERROR(MATCH($B10,temp!Q$4:Q$13,0),0)&gt;0,T08_Spells!AU$2,"")</f>
        <v/>
      </c>
      <c r="AV10" t="str">
        <f>IF(IFERROR(MATCH($B10,temp!R$4:R$13,0),0)&gt;0,T08_Spells!AV$2,"")</f>
        <v/>
      </c>
      <c r="AW10" t="str">
        <f>IF(IFERROR(MATCH($B10,temp!S$4:S$13,0),0)&gt;0,T08_Spells!AW$2,"")</f>
        <v/>
      </c>
      <c r="AX10" t="str">
        <f>IF(IFERROR(MATCH($B10,temp!T$4:T$13,0),0)&gt;0,T08_Spells!AX$2,"")</f>
        <v/>
      </c>
      <c r="AY10" t="str">
        <f>IF(IFERROR(MATCH($B10,temp!U$4:U$13,0),0)&gt;0,T08_Spells!AY$2,"")</f>
        <v/>
      </c>
      <c r="AZ10" t="str">
        <f>IF(IFERROR(MATCH($B10,temp!V$4:V$13,0),0)&gt;0,T08_Spells!AZ$2,"")</f>
        <v/>
      </c>
      <c r="BA10" t="str">
        <f>IF(IFERROR(MATCH($B10,temp!W$4:W$13,0),0)&gt;0,T08_Spells!BA$2,"")</f>
        <v>Death</v>
      </c>
      <c r="BC10">
        <f>IF(IFERROR(SEARCH("Ranger",$T10,1),0)&gt;0,1,0)*IF(RangerMaxSpellLevel&gt;=$C10,1,0)*IF(IFERROR(MATCH(B10,Character_Creation!$X$79:$X$382,0),0)&gt;0,0,1)</f>
        <v>0</v>
      </c>
      <c r="BD10">
        <f>IF(BC10=0,0,1+COUNTIF(BD$3:BD9,"&gt;0"))</f>
        <v>0</v>
      </c>
      <c r="BE10" t="str">
        <f t="shared" si="34"/>
        <v/>
      </c>
      <c r="BF10" t="str">
        <f t="shared" si="6"/>
        <v/>
      </c>
      <c r="BH10">
        <f>IF(IFERROR(SEARCH("Sorcerer",$T10,1),0)&gt;0,1,0)*IF(SorcererMaxSpellLevel&gt;=$C10,1,0)*IF(IFERROR(MATCH(B10,Character_Creation!$J$380:$J$394,0),0)&gt;0,0,1)</f>
        <v>0</v>
      </c>
      <c r="BI10">
        <f>IF(BH10=0,0,1+COUNTIF(BI$3:BI9,"&gt;0"))</f>
        <v>0</v>
      </c>
      <c r="BJ10" t="str">
        <f t="shared" si="35"/>
        <v/>
      </c>
      <c r="BK10" t="str">
        <f t="shared" si="7"/>
        <v/>
      </c>
      <c r="BM10">
        <f>IF(OR(IFERROR(SEARCH("Warlock",$T10,1),0)&gt;0,IFERROR(SEARCH(WarlockPatron,$T10,1),0)&gt;0),1,0)*IF(WarlockMaxSpellLevel&gt;=$C10,1,0)*IF(IFERROR(MATCH(B10,Character_Creation!$J$361:$J$375,0),0)&gt;0,0,1)</f>
        <v>0</v>
      </c>
      <c r="BN10">
        <f>IF(BM10=0,0,1+COUNTIF(BN$3:BN9,"&gt;0"))</f>
        <v>0</v>
      </c>
      <c r="BO10" t="str">
        <f t="shared" si="36"/>
        <v/>
      </c>
      <c r="BP10" t="str">
        <f t="shared" si="8"/>
        <v/>
      </c>
      <c r="BR10">
        <f>IF(IFERROR(SEARCH("Eldritch Knight",$T10,1),0)&gt;0,1,0)*IF(EldritchKnightMaxSpellLevel&gt;=$C10,1,0)*IF(IFERROR(MATCH($B10,Character_Creation!$J$350:$J$356,0),0)&gt;0,0,1)*IF(Character_Creation!$M$338&gt;0,1,0)</f>
        <v>0</v>
      </c>
      <c r="BS10">
        <f>IF(BR10=0,0,1+COUNTIF(BS$3:BS9,"&gt;0"))</f>
        <v>0</v>
      </c>
      <c r="BT10" t="str">
        <f t="shared" si="37"/>
        <v/>
      </c>
      <c r="BU10" t="str">
        <f t="shared" si="9"/>
        <v/>
      </c>
      <c r="BW10">
        <f>IF(IFERROR(SEARCH("Arcane Trickster",$T10,1),0)&gt;0,1,0)*IF(ArcaneTricksterMaxSpellLevel&gt;=$C10,1,0)*IF(IFERROR(MATCH($B10,Character_Creation!$J$350:$J$356,0),0)&gt;0,0,1)*IF(Character_Creation!$T$338&gt;0,1,0)</f>
        <v>0</v>
      </c>
      <c r="BX10">
        <f>IF(BW10=0,0,1+COUNTIF(BX$3:BX9,"&gt;0"))</f>
        <v>0</v>
      </c>
      <c r="BY10" t="str">
        <f t="shared" si="38"/>
        <v/>
      </c>
      <c r="BZ10" t="str">
        <f t="shared" si="10"/>
        <v/>
      </c>
      <c r="CB10">
        <f>IF(IFERROR(SEARCH("Wizard",$T10,1),0)&gt;0,1,0)*IF(C10&lt;=ArcaneTricksterMaxSpellLevel,1,0)*IF(IFERROR(MATCH($B10,Character_Creation!$J$350:$J$356,0),0)&gt;0,0,1)*IF(Character_Creation!$T$350&gt;0,1,0)</f>
        <v>0</v>
      </c>
      <c r="CC10">
        <f>IF(CB10=0,0,1+COUNTIF(CC$3:CC9,"&gt;0"))</f>
        <v>0</v>
      </c>
      <c r="CD10" t="str">
        <f t="shared" si="39"/>
        <v/>
      </c>
      <c r="CE10" t="str">
        <f t="shared" si="11"/>
        <v/>
      </c>
      <c r="CG10">
        <f>IF(IFERROR(SEARCH("Wizard",$T10,1),0)&gt;0,1,0)*IF($C10&lt;=EldritchKnightMaxSpellLevel,1,0)*IF(IFERROR(MATCH($B10,Character_Creation!$J$350:$J$356,0),0)&gt;0,0,1)*IF(Character_Creation!$M$350&gt;0,1,0)</f>
        <v>0</v>
      </c>
      <c r="CH10">
        <f>IF(CG10=0,0,1+COUNTIF(CH$3:CH9,"&gt;0"))</f>
        <v>0</v>
      </c>
      <c r="CI10">
        <f t="shared" si="40"/>
        <v>8</v>
      </c>
      <c r="CJ10" t="str">
        <f t="shared" si="12"/>
        <v>Chromatic Orb</v>
      </c>
      <c r="CL10">
        <f>IF(IFERROR(SEARCH("Bard",$T10,1),0)&gt;0,1,0)*IF(BardMaxSpellLevel&gt;=$C10,1,0)*IF(IFERROR(MATCH(B10,Character_Creation!$C$341:$F$362,0),0)&gt;0,0,1)*IF(IFERROR(MATCH($B10,Character_Creation!$C$341:$C$362,0),0)&gt;0,0,1)</f>
        <v>0</v>
      </c>
      <c r="CM10">
        <f>IF(CL10=0,0,1+COUNTIF(CM$3:CM9,"&gt;0"))</f>
        <v>0</v>
      </c>
      <c r="CN10" t="str">
        <f t="shared" si="41"/>
        <v/>
      </c>
      <c r="CO10" t="str">
        <f t="shared" si="13"/>
        <v/>
      </c>
      <c r="CQ10">
        <f>IF(IFERROR(SEARCH("Wizard",$T10,1),0)&gt;0,1,0)*IF(WizardMaxSpellLevel&gt;=$C10,1,0)*IF(IFERROR(MATCH(B10,Character_Creation!$X$341:$X$400,0),0)&gt;0,0,1)*IF(SelectedWizardSpellLevel=$C10,1,0)</f>
        <v>1</v>
      </c>
      <c r="CR10">
        <f>IF(CQ10=0,0,1+COUNTIF(CR$3:CR9,"&gt;0"))</f>
        <v>1</v>
      </c>
      <c r="CS10">
        <f t="shared" si="42"/>
        <v>8</v>
      </c>
      <c r="CT10" t="str">
        <f t="shared" si="14"/>
        <v>Feign Death</v>
      </c>
      <c r="CV10">
        <f>IF(IFERROR(MATCH($B10,Character_Creation!$C$341:$C$362,0),0)&gt;0,0,1)*IF(OR(C10="Cantrip",C10&lt;=BardMaxSpellLevel),1,0)*IF(IFERROR(MATCH($B10,Character_Creation!$C$367:$C$374,0),0)&gt;0,0,1)</f>
        <v>0</v>
      </c>
      <c r="CW10">
        <f>IF(CV10=0,0,1+COUNTIF(CW$3:CW9,"&gt;0"))</f>
        <v>0</v>
      </c>
      <c r="CX10">
        <f t="shared" si="43"/>
        <v>8</v>
      </c>
      <c r="CY10" t="str">
        <f t="shared" si="15"/>
        <v>Friends</v>
      </c>
      <c r="DA10">
        <f>IF(IF(OR(IFERROR(SEARCH("Cleric",$T10,1),0)&gt;0,IFERROR(SEARCH(DivineDomain&amp;",",$T10,1),0)&gt;0),1,0)*IF($C10=DA$2,1,0)=1,1+COUNTIF(DA$3:DA9,"&gt;0"),0)</f>
        <v>0</v>
      </c>
      <c r="DB10">
        <f>IF(IF(OR(IFERROR(SEARCH("Cleric",$T10,1),0)&gt;0,IFERROR(SEARCH(DivineDomain&amp;",",$T10,1),0)&gt;0),1,0)*IF($C10=DB$2,1,0)=1,1+COUNTIF(DB$3:DB9,"&gt;0"),0)</f>
        <v>0</v>
      </c>
      <c r="DC10">
        <f>IF(IF(OR(IFERROR(SEARCH("Cleric",$T10,1),0)&gt;0,IFERROR(SEARCH(DivineDomain&amp;",",$T10,1),0)&gt;0),1,0)*IF($C10=DC$2,1,0)=1,1+COUNTIF(DC$3:DC9,"&gt;0"),0)</f>
        <v>1</v>
      </c>
      <c r="DD10">
        <f>IF(IF(OR(IFERROR(SEARCH("Cleric",$T10,1),0)&gt;0,IFERROR(SEARCH(DivineDomain&amp;",",$T10,1),0)&gt;0),1,0)*IF($C10=DD$2,1,0)=1,1+COUNTIF(DD$3:DD9,"&gt;0"),0)</f>
        <v>0</v>
      </c>
      <c r="DE10">
        <f>IF(IF(OR(IFERROR(SEARCH("Cleric",$T10,1),0)&gt;0,IFERROR(SEARCH(DivineDomain&amp;",",$T10,1),0)&gt;0),1,0)*IF($C10=DE$2,1,0)=1,1+COUNTIF(DE$3:DE9,"&gt;0"),0)</f>
        <v>0</v>
      </c>
      <c r="DF10">
        <f>IF(IF(OR(IFERROR(SEARCH("Cleric",$T10,1),0)&gt;0,IFERROR(SEARCH(DivineDomain&amp;",",$T10,1),0)&gt;0),1,0)*IF($C10=DF$2,1,0)=1,1+COUNTIF(DF$3:DF9,"&gt;0"),0)</f>
        <v>0</v>
      </c>
      <c r="DG10">
        <f>IF(IF(OR(IFERROR(SEARCH("Cleric",$T10,1),0)&gt;0,IFERROR(SEARCH(DivineDomain&amp;",",$T10,1),0)&gt;0),1,0)*IF($C10=DG$2,1,0)=1,1+COUNTIF(DG$3:DG9,"&gt;0"),0)</f>
        <v>0</v>
      </c>
      <c r="DH10">
        <f>IF(IF(OR(IFERROR(SEARCH("Cleric",$T10,1),0)&gt;0,IFERROR(SEARCH(DivineDomain&amp;",",$T10,1),0)&gt;0),1,0)*IF($C10=DH$2,1,0)=1,1+COUNTIF(DH$3:DH9,"&gt;0"),0)</f>
        <v>0</v>
      </c>
      <c r="DI10">
        <f>IF(IF(OR(IFERROR(SEARCH("Cleric",$T10,1),0)&gt;0,IFERROR(SEARCH(DivineDomain&amp;",",$T10,1),0)&gt;0),1,0)*IF($C10=DI$2,1,0)=1,1+COUNTIF(DI$3:DI9,"&gt;0"),0)</f>
        <v>0</v>
      </c>
      <c r="DJ10">
        <f>IF(IF(OR(IFERROR(SEARCH("Druid",$T10,1),0)&gt;0,IFERROR(SEARCH(DruidLand1,$T10,1),0)&gt;0,IFERROR(SEARCH(DruidLand2,$T10,1),0)&gt;0,IFERROR(SEARCH(DruidLand3,$T10,1),0)&gt;0,IFERROR(SEARCH(DruidLand4,$T10,1),0)&gt;0),1,0)*IF($C10=1,1,0)*IF($C10=DJ$2,1,0)=0,0,1+COUNTIF(DJ$3:DJ9,"&gt;0"))</f>
        <v>0</v>
      </c>
      <c r="DK10">
        <f>IF(IF(OR(IFERROR(SEARCH("Druid",$T10,1),0)&gt;0,IFERROR(SEARCH(DruidLand1,$T10,1),0)&gt;0,IFERROR(SEARCH(DruidLand2,$T10,1),0)&gt;0,IFERROR(SEARCH(DruidLand3,$T10,1),0)&gt;0,IFERROR(SEARCH(DruidLand4,$T10,1),0)&gt;0),1,0)*IF($C10=1,1,0)*IF($C10=DK$2,1,0)=0,0,1+COUNTIF(DK$3:DK9,"&gt;0"))</f>
        <v>0</v>
      </c>
      <c r="DL10">
        <f>IF(IF(OR(IFERROR(SEARCH("Druid",$T10,1),0)&gt;0,IFERROR(SEARCH(DruidLand1,$T10,1),0)&gt;0,IFERROR(SEARCH(DruidLand2,$T10,1),0)&gt;0,IFERROR(SEARCH(DruidLand3,$T10,1),0)&gt;0,IFERROR(SEARCH(DruidLand4,$T10,1),0)&gt;0),1,0)*IF($C10=1,1,0)*IF($C10=DL$2,1,0)=0,0,1+COUNTIF(DL$3:DL9,"&gt;0"))</f>
        <v>0</v>
      </c>
      <c r="DM10">
        <f>IF(IF(OR(IFERROR(SEARCH("Druid",$T10,1),0)&gt;0,IFERROR(SEARCH(DruidLand1,$T10,1),0)&gt;0,IFERROR(SEARCH(DruidLand2,$T10,1),0)&gt;0,IFERROR(SEARCH(DruidLand3,$T10,1),0)&gt;0,IFERROR(SEARCH(DruidLand4,$T10,1),0)&gt;0),1,0)*IF($C10=1,1,0)*IF($C10=DM$2,1,0)=0,0,1+COUNTIF(DM$3:DM9,"&gt;0"))</f>
        <v>0</v>
      </c>
      <c r="DN10">
        <f>IF(IF(OR(IFERROR(SEARCH("Druid",$T10,1),0)&gt;0,IFERROR(SEARCH(DruidLand1,$T10,1),0)&gt;0,IFERROR(SEARCH(DruidLand2,$T10,1),0)&gt;0,IFERROR(SEARCH(DruidLand3,$T10,1),0)&gt;0,IFERROR(SEARCH(DruidLand4,$T10,1),0)&gt;0),1,0)*IF($C10=1,1,0)*IF($C10=DN$2,1,0)=0,0,1+COUNTIF(DN$3:DN9,"&gt;0"))</f>
        <v>0</v>
      </c>
      <c r="DO10">
        <f>IF(IF(OR(IFERROR(SEARCH("Druid",$T10,1),0)&gt;0,IFERROR(SEARCH(DruidLand1,$T10,1),0)&gt;0,IFERROR(SEARCH(DruidLand2,$T10,1),0)&gt;0,IFERROR(SEARCH(DruidLand3,$T10,1),0)&gt;0,IFERROR(SEARCH(DruidLand4,$T10,1),0)&gt;0),1,0)*IF($C10=1,1,0)*IF($C10=DO$2,1,0)=0,0,1+COUNTIF(DO$3:DO9,"&gt;0"))</f>
        <v>0</v>
      </c>
      <c r="DP10">
        <f>IF(IF(OR(IFERROR(SEARCH("Druid",$T10,1),0)&gt;0,IFERROR(SEARCH(DruidLand1,$T10,1),0)&gt;0,IFERROR(SEARCH(DruidLand2,$T10,1),0)&gt;0,IFERROR(SEARCH(DruidLand3,$T10,1),0)&gt;0,IFERROR(SEARCH(DruidLand4,$T10,1),0)&gt;0),1,0)*IF($C10=1,1,0)*IF($C10=DP$2,1,0)=0,0,1+COUNTIF(DP$3:DP9,"&gt;0"))</f>
        <v>0</v>
      </c>
      <c r="DQ10">
        <f>IF(IF(OR(IFERROR(SEARCH("Druid",$T10,1),0)&gt;0,IFERROR(SEARCH(DruidLand1,$T10,1),0)&gt;0,IFERROR(SEARCH(DruidLand2,$T10,1),0)&gt;0,IFERROR(SEARCH(DruidLand3,$T10,1),0)&gt;0,IFERROR(SEARCH(DruidLand4,$T10,1),0)&gt;0),1,0)*IF($C10=1,1,0)*IF($C10=DQ$2,1,0)=0,0,1+COUNTIF(DQ$3:DQ9,"&gt;0"))</f>
        <v>0</v>
      </c>
      <c r="DR10">
        <f>IF(IF(OR(IFERROR(SEARCH("Druid",$T10,1),0)&gt;0,IFERROR(SEARCH(DruidLand1,$T10,1),0)&gt;0,IFERROR(SEARCH(DruidLand2,$T10,1),0)&gt;0,IFERROR(SEARCH(DruidLand3,$T10,1),0)&gt;0,IFERROR(SEARCH(DruidLand4,$T10,1),0)&gt;0),1,0)*IF($C10=1,1,0)*IF($C10=DR$2,1,0)=0,0,1+COUNTIF(DR$3:DR9,"&gt;0"))</f>
        <v>0</v>
      </c>
      <c r="DS10">
        <f>IF(IF(OR(IFERROR(SEARCH("Paladin",$T10,1),0)&gt;0,IFERROR(SEARCH(PaladinOath,$T10,1),0)&gt;0),1,0)*IF($C10=DS$2,1,0)=1,1+COUNTIF(DS$3:DS9,"&gt;0"),0)</f>
        <v>0</v>
      </c>
      <c r="DT10">
        <f>IF(IF(OR(IFERROR(SEARCH("Paladin",$T10,1),0)&gt;0,IFERROR(SEARCH(PaladinOath,$T10,1),0)&gt;0),1,0)*IF($C10=DT$2,1,0)=1,1+COUNTIF(DT$3:DT9,"&gt;0"),0)</f>
        <v>0</v>
      </c>
      <c r="DU10">
        <f>IF(IF(OR(IFERROR(SEARCH("Paladin",$T10,1),0)&gt;0,IFERROR(SEARCH(PaladinOath,$T10,1),0)&gt;0),1,0)*IF($C10=DU$2,1,0)=1,1+COUNTIF(DU$3:DU9,"&gt;0"),0)</f>
        <v>0</v>
      </c>
      <c r="DV10">
        <f>IF(IF(OR(IFERROR(SEARCH("Paladin",$T10,1),0)&gt;0,IFERROR(SEARCH(PaladinOath,$T10,1),0)&gt;0),1,0)*IF($C10=DV$2,1,0)=1,1+COUNTIF(DV$3:DV9,"&gt;0"),0)</f>
        <v>0</v>
      </c>
      <c r="DW10">
        <f>IF(IF(OR(IFERROR(SEARCH("Paladin",$T10,1),0)&gt;0,IFERROR(SEARCH(PaladinOath,$T10,1),0)&gt;0),1,0)*IF($C10=DW$2,1,0)=1,1+COUNTIF(DW$3:DW9,"&gt;0"),0)</f>
        <v>0</v>
      </c>
      <c r="DY10">
        <f t="shared" si="2"/>
        <v>1</v>
      </c>
      <c r="DZ10">
        <f>IF(DY10=0,0,1+MAX(DZ$3:$DZ9))</f>
        <v>8</v>
      </c>
      <c r="EB10">
        <f t="shared" si="16"/>
        <v>0</v>
      </c>
      <c r="EC10">
        <f>IF(EB10=0,0,1+COUNTIF(EC$3:EC9,"&gt;0"))</f>
        <v>0</v>
      </c>
      <c r="ED10">
        <f t="shared" si="44"/>
        <v>8</v>
      </c>
      <c r="EE10" t="str">
        <f t="shared" si="17"/>
        <v>Minor Illusion</v>
      </c>
      <c r="EG10">
        <f t="shared" si="18"/>
        <v>0</v>
      </c>
      <c r="EH10">
        <f>IF(EG10=0,0,1+COUNTIF(EH$3:EH9,"&gt;0"))</f>
        <v>0</v>
      </c>
      <c r="EI10" t="str">
        <f t="shared" si="45"/>
        <v/>
      </c>
      <c r="EJ10" t="str">
        <f t="shared" si="19"/>
        <v/>
      </c>
      <c r="EL10">
        <f t="shared" si="20"/>
        <v>0</v>
      </c>
      <c r="EM10">
        <f>IF(EL10=0,0,1+COUNTIF(EM$3:EM9,"&gt;0"))</f>
        <v>0</v>
      </c>
      <c r="EN10">
        <f t="shared" si="46"/>
        <v>8</v>
      </c>
      <c r="EO10" t="str">
        <f t="shared" si="21"/>
        <v>Thorn Whip</v>
      </c>
      <c r="EQ10">
        <f t="shared" si="22"/>
        <v>0</v>
      </c>
      <c r="ER10">
        <f>IF(EQ10=0,0,1+COUNTIF(ER$3:ER9,"&gt;0"))</f>
        <v>0</v>
      </c>
      <c r="ES10">
        <f t="shared" si="47"/>
        <v>8</v>
      </c>
      <c r="ET10" t="str">
        <f t="shared" si="23"/>
        <v>Shocking Grasp</v>
      </c>
      <c r="EV10">
        <f t="shared" si="24"/>
        <v>0</v>
      </c>
      <c r="EW10">
        <f>IF(EV10=0,0,1+COUNTIF(EW$3:EW9,"&gt;0"))</f>
        <v>0</v>
      </c>
      <c r="EX10" t="str">
        <f t="shared" si="48"/>
        <v/>
      </c>
      <c r="EY10" t="str">
        <f t="shared" si="25"/>
        <v/>
      </c>
      <c r="FA10">
        <f t="shared" si="26"/>
        <v>0</v>
      </c>
      <c r="FB10">
        <f>IF(FA10=0,0,1+COUNTIF(FB$3:FB9,"&gt;0"))</f>
        <v>0</v>
      </c>
      <c r="FC10">
        <f t="shared" si="49"/>
        <v>8</v>
      </c>
      <c r="FD10" t="str">
        <f t="shared" si="27"/>
        <v>Mage Hand</v>
      </c>
      <c r="FF10">
        <f t="shared" si="28"/>
        <v>0</v>
      </c>
      <c r="FG10">
        <f>IF(FF10=0,0,1+COUNTIF(FG$3:FG9,"&gt;0"))</f>
        <v>0</v>
      </c>
      <c r="FH10">
        <f t="shared" si="50"/>
        <v>8</v>
      </c>
      <c r="FI10" t="str">
        <f t="shared" si="29"/>
        <v>True Strike</v>
      </c>
      <c r="FK10">
        <f t="shared" si="30"/>
        <v>0</v>
      </c>
      <c r="FL10">
        <f>IF(FK10=0,0,1+COUNTIF(FL$3:FL9,"&gt;0"))</f>
        <v>0</v>
      </c>
      <c r="FM10">
        <f t="shared" si="51"/>
        <v>8</v>
      </c>
      <c r="FN10" t="str">
        <f t="shared" si="31"/>
        <v>Mage Hand</v>
      </c>
      <c r="FP10">
        <f t="shared" si="32"/>
        <v>0</v>
      </c>
      <c r="FQ10">
        <f>IF(FP10=0,0,1+COUNTIF(FQ$3:FQ9,"&gt;0"))</f>
        <v>0</v>
      </c>
      <c r="FR10">
        <f t="shared" si="52"/>
        <v>8</v>
      </c>
      <c r="FS10" t="str">
        <f t="shared" si="33"/>
        <v>Minor Illusion</v>
      </c>
    </row>
    <row r="11" spans="1:175" x14ac:dyDescent="0.25">
      <c r="A11" s="347">
        <f t="shared" si="53"/>
        <v>9</v>
      </c>
      <c r="B11" s="348" t="s">
        <v>2359</v>
      </c>
      <c r="C11" s="348">
        <v>5</v>
      </c>
      <c r="D11" s="347">
        <v>5</v>
      </c>
      <c r="E11" s="627" t="s">
        <v>6952</v>
      </c>
      <c r="F11" s="346"/>
      <c r="G11" s="347" t="str">
        <f>""</f>
        <v/>
      </c>
      <c r="H11" s="347" t="s">
        <v>5912</v>
      </c>
      <c r="I11" s="347" t="s">
        <v>5290</v>
      </c>
      <c r="J11" s="347" t="str">
        <f t="shared" si="3"/>
        <v/>
      </c>
      <c r="K11" s="347" t="s">
        <v>5291</v>
      </c>
      <c r="L11" s="611" t="str">
        <f t="shared" si="4"/>
        <v>V, S</v>
      </c>
      <c r="M11" s="347" t="s">
        <v>2373</v>
      </c>
      <c r="N11" s="347" t="s">
        <v>2387</v>
      </c>
      <c r="O11" s="347" t="s">
        <v>3034</v>
      </c>
      <c r="P11" s="346" t="str">
        <f>""</f>
        <v/>
      </c>
      <c r="Q11" s="347" t="s">
        <v>5276</v>
      </c>
      <c r="S11" s="346" t="s">
        <v>5590</v>
      </c>
      <c r="T11" s="346" t="str">
        <f t="shared" si="5"/>
        <v xml:space="preserve">Bard, Sorcerer, Wizard, </v>
      </c>
      <c r="U11" s="347" t="str">
        <f>$B11</f>
        <v>Animate Objects</v>
      </c>
      <c r="X11" s="347" t="str">
        <f>$B11</f>
        <v>Animate Objects</v>
      </c>
      <c r="AD11" s="347" t="str">
        <f>$B11</f>
        <v>Animate Objects</v>
      </c>
      <c r="AE11" t="str">
        <f>IF(IFERROR(MATCH($B11,temp!A$4:A$13,0),0)&gt;0,T08_Spells!AE$2,"")</f>
        <v/>
      </c>
      <c r="AF11" t="str">
        <f>IF(IFERROR(MATCH($B11,temp!B$4:B$13,0),0)&gt;0,T08_Spells!AF$2,"")</f>
        <v/>
      </c>
      <c r="AG11" t="str">
        <f>IF(IFERROR(MATCH($B11,temp!C$4:C$13,0),0)&gt;0,T08_Spells!AG$2,"")</f>
        <v/>
      </c>
      <c r="AH11" t="str">
        <f>IF(IFERROR(MATCH($B11,temp!D$4:D$13,0),0)&gt;0,T08_Spells!AH$2,"")</f>
        <v/>
      </c>
      <c r="AI11" t="str">
        <f>IF(IFERROR(MATCH($B11,temp!E$4:E$13,0),0)&gt;0,T08_Spells!AI$2,"")</f>
        <v/>
      </c>
      <c r="AJ11" t="str">
        <f>IF(IFERROR(MATCH($B11,temp!F$4:F$13,0),0)&gt;0,T08_Spells!AJ$2,"")</f>
        <v/>
      </c>
      <c r="AK11" t="str">
        <f>IF(IFERROR(MATCH($B11,temp!G$4:G$13,0),0)&gt;0,T08_Spells!AK$2,"")</f>
        <v/>
      </c>
      <c r="AL11" t="str">
        <f>IF(IFERROR(MATCH($B11,temp!H$4:H$13,0),0)&gt;0,T08_Spells!AL$2,"")</f>
        <v/>
      </c>
      <c r="AM11" t="str">
        <f>IF(IFERROR(MATCH($B11,temp!I$4:I$13,0),0)&gt;0,T08_Spells!AM$2,"")</f>
        <v/>
      </c>
      <c r="AN11" t="str">
        <f>IF(IFERROR(MATCH($B11,temp!J$4:J$13,0),0)&gt;0,T08_Spells!AN$2,"")</f>
        <v/>
      </c>
      <c r="AO11" t="str">
        <f>IF(IFERROR(MATCH($B11,temp!K$4:K$13,0),0)&gt;0,T08_Spells!AO$2,"")</f>
        <v/>
      </c>
      <c r="AP11" t="str">
        <f>IF(IFERROR(MATCH($B11,temp!L$4:L$13,0),0)&gt;0,T08_Spells!AP$2,"")</f>
        <v/>
      </c>
      <c r="AQ11" t="str">
        <f>IF(IFERROR(MATCH($B11,temp!M$4:M$13,0),0)&gt;0,T08_Spells!AQ$2,"")</f>
        <v/>
      </c>
      <c r="AR11" t="str">
        <f>IF(IFERROR(MATCH($B11,temp!N$4:N$13,0),0)&gt;0,T08_Spells!AR$2,"")</f>
        <v/>
      </c>
      <c r="AS11" t="str">
        <f>IF(IFERROR(MATCH($B11,temp!O$4:O$13,0),0)&gt;0,T08_Spells!AS$2,"")</f>
        <v/>
      </c>
      <c r="AT11" t="str">
        <f>IF(IFERROR(MATCH($B11,temp!P$4:P$13,0),0)&gt;0,T08_Spells!AT$2,"")</f>
        <v/>
      </c>
      <c r="AU11" t="str">
        <f>IF(IFERROR(MATCH($B11,temp!Q$4:Q$13,0),0)&gt;0,T08_Spells!AU$2,"")</f>
        <v/>
      </c>
      <c r="AV11" t="str">
        <f>IF(IFERROR(MATCH($B11,temp!R$4:R$13,0),0)&gt;0,T08_Spells!AV$2,"")</f>
        <v/>
      </c>
      <c r="AW11" t="str">
        <f>IF(IFERROR(MATCH($B11,temp!S$4:S$13,0),0)&gt;0,T08_Spells!AW$2,"")</f>
        <v/>
      </c>
      <c r="AX11" t="str">
        <f>IF(IFERROR(MATCH($B11,temp!T$4:T$13,0),0)&gt;0,T08_Spells!AX$2,"")</f>
        <v/>
      </c>
      <c r="AY11" t="str">
        <f>IF(IFERROR(MATCH($B11,temp!U$4:U$13,0),0)&gt;0,T08_Spells!AY$2,"")</f>
        <v/>
      </c>
      <c r="AZ11" t="str">
        <f>IF(IFERROR(MATCH($B11,temp!V$4:V$13,0),0)&gt;0,T08_Spells!AZ$2,"")</f>
        <v/>
      </c>
      <c r="BA11" t="str">
        <f>IF(IFERROR(MATCH($B11,temp!W$4:W$13,0),0)&gt;0,T08_Spells!BA$2,"")</f>
        <v/>
      </c>
      <c r="BC11">
        <f>IF(IFERROR(SEARCH("Ranger",$T11,1),0)&gt;0,1,0)*IF(RangerMaxSpellLevel&gt;=$C11,1,0)*IF(IFERROR(MATCH(B11,Character_Creation!$X$79:$X$382,0),0)&gt;0,0,1)</f>
        <v>0</v>
      </c>
      <c r="BD11">
        <f>IF(BC11=0,0,1+COUNTIF(BD$3:BD10,"&gt;0"))</f>
        <v>0</v>
      </c>
      <c r="BE11" t="str">
        <f t="shared" si="34"/>
        <v/>
      </c>
      <c r="BF11" t="str">
        <f t="shared" si="6"/>
        <v/>
      </c>
      <c r="BH11">
        <f>IF(IFERROR(SEARCH("Sorcerer",$T11,1),0)&gt;0,1,0)*IF(SorcererMaxSpellLevel&gt;=$C11,1,0)*IF(IFERROR(MATCH(B11,Character_Creation!$J$380:$J$394,0),0)&gt;0,0,1)</f>
        <v>0</v>
      </c>
      <c r="BI11">
        <f>IF(BH11=0,0,1+COUNTIF(BI$3:BI10,"&gt;0"))</f>
        <v>0</v>
      </c>
      <c r="BJ11" t="str">
        <f t="shared" si="35"/>
        <v/>
      </c>
      <c r="BK11" t="str">
        <f t="shared" si="7"/>
        <v/>
      </c>
      <c r="BM11">
        <f>IF(OR(IFERROR(SEARCH("Warlock",$T11,1),0)&gt;0,IFERROR(SEARCH(WarlockPatron,$T11,1),0)&gt;0),1,0)*IF(WarlockMaxSpellLevel&gt;=$C11,1,0)*IF(IFERROR(MATCH(B11,Character_Creation!$J$361:$J$375,0),0)&gt;0,0,1)</f>
        <v>0</v>
      </c>
      <c r="BN11">
        <f>IF(BM11=0,0,1+COUNTIF(BN$3:BN10,"&gt;0"))</f>
        <v>0</v>
      </c>
      <c r="BO11" t="str">
        <f t="shared" si="36"/>
        <v/>
      </c>
      <c r="BP11" t="str">
        <f t="shared" si="8"/>
        <v/>
      </c>
      <c r="BR11">
        <f>IF(IFERROR(SEARCH("Eldritch Knight",$T11,1),0)&gt;0,1,0)*IF(EldritchKnightMaxSpellLevel&gt;=$C11,1,0)*IF(IFERROR(MATCH($B11,Character_Creation!$J$350:$J$356,0),0)&gt;0,0,1)*IF(Character_Creation!$M$338&gt;0,1,0)</f>
        <v>0</v>
      </c>
      <c r="BS11">
        <f>IF(BR11=0,0,1+COUNTIF(BS$3:BS10,"&gt;0"))</f>
        <v>0</v>
      </c>
      <c r="BT11" t="str">
        <f t="shared" si="37"/>
        <v/>
      </c>
      <c r="BU11" t="str">
        <f t="shared" si="9"/>
        <v/>
      </c>
      <c r="BW11">
        <f>IF(IFERROR(SEARCH("Arcane Trickster",$T11,1),0)&gt;0,1,0)*IF(ArcaneTricksterMaxSpellLevel&gt;=$C11,1,0)*IF(IFERROR(MATCH($B11,Character_Creation!$J$350:$J$356,0),0)&gt;0,0,1)*IF(Character_Creation!$T$338&gt;0,1,0)</f>
        <v>0</v>
      </c>
      <c r="BX11">
        <f>IF(BW11=0,0,1+COUNTIF(BX$3:BX10,"&gt;0"))</f>
        <v>0</v>
      </c>
      <c r="BY11" t="str">
        <f t="shared" si="38"/>
        <v/>
      </c>
      <c r="BZ11" t="str">
        <f t="shared" si="10"/>
        <v/>
      </c>
      <c r="CB11">
        <f>IF(IFERROR(SEARCH("Wizard",$T11,1),0)&gt;0,1,0)*IF(C11&lt;=ArcaneTricksterMaxSpellLevel,1,0)*IF(IFERROR(MATCH($B11,Character_Creation!$J$350:$J$356,0),0)&gt;0,0,1)*IF(Character_Creation!$T$350&gt;0,1,0)</f>
        <v>0</v>
      </c>
      <c r="CC11">
        <f>IF(CB11=0,0,1+COUNTIF(CC$3:CC10,"&gt;0"))</f>
        <v>0</v>
      </c>
      <c r="CD11" t="str">
        <f t="shared" si="39"/>
        <v/>
      </c>
      <c r="CE11" t="str">
        <f t="shared" si="11"/>
        <v/>
      </c>
      <c r="CG11">
        <f>IF(IFERROR(SEARCH("Wizard",$T11,1),0)&gt;0,1,0)*IF($C11&lt;=EldritchKnightMaxSpellLevel,1,0)*IF(IFERROR(MATCH($B11,Character_Creation!$J$350:$J$356,0),0)&gt;0,0,1)*IF(Character_Creation!$M$350&gt;0,1,0)</f>
        <v>0</v>
      </c>
      <c r="CH11">
        <f>IF(CG11=0,0,1+COUNTIF(CH$3:CH10,"&gt;0"))</f>
        <v>0</v>
      </c>
      <c r="CI11">
        <f t="shared" si="40"/>
        <v>9</v>
      </c>
      <c r="CJ11" t="str">
        <f t="shared" si="12"/>
        <v>Cloud of Daggers</v>
      </c>
      <c r="CL11">
        <f>IF(IFERROR(SEARCH("Bard",$T11,1),0)&gt;0,1,0)*IF(BardMaxSpellLevel&gt;=$C11,1,0)*IF(IFERROR(MATCH(B11,Character_Creation!$C$341:$F$362,0),0)&gt;0,0,1)*IF(IFERROR(MATCH($B11,Character_Creation!$C$341:$C$362,0),0)&gt;0,0,1)</f>
        <v>0</v>
      </c>
      <c r="CM11">
        <f>IF(CL11=0,0,1+COUNTIF(CM$3:CM10,"&gt;0"))</f>
        <v>0</v>
      </c>
      <c r="CN11" t="str">
        <f t="shared" si="41"/>
        <v/>
      </c>
      <c r="CO11" t="str">
        <f t="shared" si="13"/>
        <v/>
      </c>
      <c r="CQ11">
        <f>IF(IFERROR(SEARCH("Wizard",$T11,1),0)&gt;0,1,0)*IF(WizardMaxSpellLevel&gt;=$C11,1,0)*IF(IFERROR(MATCH(B11,Character_Creation!$X$341:$X$400,0),0)&gt;0,0,1)*IF(SelectedWizardSpellLevel=$C11,1,0)</f>
        <v>0</v>
      </c>
      <c r="CR11">
        <f>IF(CQ11=0,0,1+COUNTIF(CR$3:CR10,"&gt;0"))</f>
        <v>0</v>
      </c>
      <c r="CS11">
        <f t="shared" si="42"/>
        <v>9</v>
      </c>
      <c r="CT11" t="str">
        <f t="shared" si="14"/>
        <v>Fireball</v>
      </c>
      <c r="CV11">
        <f>IF(IFERROR(MATCH($B11,Character_Creation!$C$341:$C$362,0),0)&gt;0,0,1)*IF(OR(C11="Cantrip",C11&lt;=BardMaxSpellLevel),1,0)*IF(IFERROR(MATCH($B11,Character_Creation!$C$367:$C$374,0),0)&gt;0,0,1)</f>
        <v>0</v>
      </c>
      <c r="CW11">
        <f>IF(CV11=0,0,1+COUNTIF(CW$3:CW10,"&gt;0"))</f>
        <v>0</v>
      </c>
      <c r="CX11">
        <f t="shared" si="43"/>
        <v>9</v>
      </c>
      <c r="CY11" t="str">
        <f t="shared" si="15"/>
        <v>Guidance</v>
      </c>
      <c r="DA11">
        <f>IF(IF(OR(IFERROR(SEARCH("Cleric",$T11,1),0)&gt;0,IFERROR(SEARCH(DivineDomain&amp;",",$T11,1),0)&gt;0),1,0)*IF($C11=DA$2,1,0)=1,1+COUNTIF(DA$3:DA10,"&gt;0"),0)</f>
        <v>0</v>
      </c>
      <c r="DB11">
        <f>IF(IF(OR(IFERROR(SEARCH("Cleric",$T11,1),0)&gt;0,IFERROR(SEARCH(DivineDomain&amp;",",$T11,1),0)&gt;0),1,0)*IF($C11=DB$2,1,0)=1,1+COUNTIF(DB$3:DB10,"&gt;0"),0)</f>
        <v>0</v>
      </c>
      <c r="DC11">
        <f>IF(IF(OR(IFERROR(SEARCH("Cleric",$T11,1),0)&gt;0,IFERROR(SEARCH(DivineDomain&amp;",",$T11,1),0)&gt;0),1,0)*IF($C11=DC$2,1,0)=1,1+COUNTIF(DC$3:DC10,"&gt;0"),0)</f>
        <v>0</v>
      </c>
      <c r="DD11">
        <f>IF(IF(OR(IFERROR(SEARCH("Cleric",$T11,1),0)&gt;0,IFERROR(SEARCH(DivineDomain&amp;",",$T11,1),0)&gt;0),1,0)*IF($C11=DD$2,1,0)=1,1+COUNTIF(DD$3:DD10,"&gt;0"),0)</f>
        <v>0</v>
      </c>
      <c r="DE11">
        <f>IF(IF(OR(IFERROR(SEARCH("Cleric",$T11,1),0)&gt;0,IFERROR(SEARCH(DivineDomain&amp;",",$T11,1),0)&gt;0),1,0)*IF($C11=DE$2,1,0)=1,1+COUNTIF(DE$3:DE10,"&gt;0"),0)</f>
        <v>0</v>
      </c>
      <c r="DF11">
        <f>IF(IF(OR(IFERROR(SEARCH("Cleric",$T11,1),0)&gt;0,IFERROR(SEARCH(DivineDomain&amp;",",$T11,1),0)&gt;0),1,0)*IF($C11=DF$2,1,0)=1,1+COUNTIF(DF$3:DF10,"&gt;0"),0)</f>
        <v>0</v>
      </c>
      <c r="DG11">
        <f>IF(IF(OR(IFERROR(SEARCH("Cleric",$T11,1),0)&gt;0,IFERROR(SEARCH(DivineDomain&amp;",",$T11,1),0)&gt;0),1,0)*IF($C11=DG$2,1,0)=1,1+COUNTIF(DG$3:DG10,"&gt;0"),0)</f>
        <v>0</v>
      </c>
      <c r="DH11">
        <f>IF(IF(OR(IFERROR(SEARCH("Cleric",$T11,1),0)&gt;0,IFERROR(SEARCH(DivineDomain&amp;",",$T11,1),0)&gt;0),1,0)*IF($C11=DH$2,1,0)=1,1+COUNTIF(DH$3:DH10,"&gt;0"),0)</f>
        <v>0</v>
      </c>
      <c r="DI11">
        <f>IF(IF(OR(IFERROR(SEARCH("Cleric",$T11,1),0)&gt;0,IFERROR(SEARCH(DivineDomain&amp;",",$T11,1),0)&gt;0),1,0)*IF($C11=DI$2,1,0)=1,1+COUNTIF(DI$3:DI10,"&gt;0"),0)</f>
        <v>0</v>
      </c>
      <c r="DJ11">
        <f>IF(IF(OR(IFERROR(SEARCH("Druid",$T11,1),0)&gt;0,IFERROR(SEARCH(DruidLand1,$T11,1),0)&gt;0,IFERROR(SEARCH(DruidLand2,$T11,1),0)&gt;0,IFERROR(SEARCH(DruidLand3,$T11,1),0)&gt;0,IFERROR(SEARCH(DruidLand4,$T11,1),0)&gt;0),1,0)*IF($C11=1,1,0)*IF($C11=DJ$2,1,0)=0,0,1+COUNTIF(DJ$3:DJ10,"&gt;0"))</f>
        <v>0</v>
      </c>
      <c r="DK11">
        <f>IF(IF(OR(IFERROR(SEARCH("Druid",$T11,1),0)&gt;0,IFERROR(SEARCH(DruidLand1,$T11,1),0)&gt;0,IFERROR(SEARCH(DruidLand2,$T11,1),0)&gt;0,IFERROR(SEARCH(DruidLand3,$T11,1),0)&gt;0,IFERROR(SEARCH(DruidLand4,$T11,1),0)&gt;0),1,0)*IF($C11=1,1,0)*IF($C11=DK$2,1,0)=0,0,1+COUNTIF(DK$3:DK10,"&gt;0"))</f>
        <v>0</v>
      </c>
      <c r="DL11">
        <f>IF(IF(OR(IFERROR(SEARCH("Druid",$T11,1),0)&gt;0,IFERROR(SEARCH(DruidLand1,$T11,1),0)&gt;0,IFERROR(SEARCH(DruidLand2,$T11,1),0)&gt;0,IFERROR(SEARCH(DruidLand3,$T11,1),0)&gt;0,IFERROR(SEARCH(DruidLand4,$T11,1),0)&gt;0),1,0)*IF($C11=1,1,0)*IF($C11=DL$2,1,0)=0,0,1+COUNTIF(DL$3:DL10,"&gt;0"))</f>
        <v>0</v>
      </c>
      <c r="DM11">
        <f>IF(IF(OR(IFERROR(SEARCH("Druid",$T11,1),0)&gt;0,IFERROR(SEARCH(DruidLand1,$T11,1),0)&gt;0,IFERROR(SEARCH(DruidLand2,$T11,1),0)&gt;0,IFERROR(SEARCH(DruidLand3,$T11,1),0)&gt;0,IFERROR(SEARCH(DruidLand4,$T11,1),0)&gt;0),1,0)*IF($C11=1,1,0)*IF($C11=DM$2,1,0)=0,0,1+COUNTIF(DM$3:DM10,"&gt;0"))</f>
        <v>0</v>
      </c>
      <c r="DN11">
        <f>IF(IF(OR(IFERROR(SEARCH("Druid",$T11,1),0)&gt;0,IFERROR(SEARCH(DruidLand1,$T11,1),0)&gt;0,IFERROR(SEARCH(DruidLand2,$T11,1),0)&gt;0,IFERROR(SEARCH(DruidLand3,$T11,1),0)&gt;0,IFERROR(SEARCH(DruidLand4,$T11,1),0)&gt;0),1,0)*IF($C11=1,1,0)*IF($C11=DN$2,1,0)=0,0,1+COUNTIF(DN$3:DN10,"&gt;0"))</f>
        <v>0</v>
      </c>
      <c r="DO11">
        <f>IF(IF(OR(IFERROR(SEARCH("Druid",$T11,1),0)&gt;0,IFERROR(SEARCH(DruidLand1,$T11,1),0)&gt;0,IFERROR(SEARCH(DruidLand2,$T11,1),0)&gt;0,IFERROR(SEARCH(DruidLand3,$T11,1),0)&gt;0,IFERROR(SEARCH(DruidLand4,$T11,1),0)&gt;0),1,0)*IF($C11=1,1,0)*IF($C11=DO$2,1,0)=0,0,1+COUNTIF(DO$3:DO10,"&gt;0"))</f>
        <v>0</v>
      </c>
      <c r="DP11">
        <f>IF(IF(OR(IFERROR(SEARCH("Druid",$T11,1),0)&gt;0,IFERROR(SEARCH(DruidLand1,$T11,1),0)&gt;0,IFERROR(SEARCH(DruidLand2,$T11,1),0)&gt;0,IFERROR(SEARCH(DruidLand3,$T11,1),0)&gt;0,IFERROR(SEARCH(DruidLand4,$T11,1),0)&gt;0),1,0)*IF($C11=1,1,0)*IF($C11=DP$2,1,0)=0,0,1+COUNTIF(DP$3:DP10,"&gt;0"))</f>
        <v>0</v>
      </c>
      <c r="DQ11">
        <f>IF(IF(OR(IFERROR(SEARCH("Druid",$T11,1),0)&gt;0,IFERROR(SEARCH(DruidLand1,$T11,1),0)&gt;0,IFERROR(SEARCH(DruidLand2,$T11,1),0)&gt;0,IFERROR(SEARCH(DruidLand3,$T11,1),0)&gt;0,IFERROR(SEARCH(DruidLand4,$T11,1),0)&gt;0),1,0)*IF($C11=1,1,0)*IF($C11=DQ$2,1,0)=0,0,1+COUNTIF(DQ$3:DQ10,"&gt;0"))</f>
        <v>0</v>
      </c>
      <c r="DR11">
        <f>IF(IF(OR(IFERROR(SEARCH("Druid",$T11,1),0)&gt;0,IFERROR(SEARCH(DruidLand1,$T11,1),0)&gt;0,IFERROR(SEARCH(DruidLand2,$T11,1),0)&gt;0,IFERROR(SEARCH(DruidLand3,$T11,1),0)&gt;0,IFERROR(SEARCH(DruidLand4,$T11,1),0)&gt;0),1,0)*IF($C11=1,1,0)*IF($C11=DR$2,1,0)=0,0,1+COUNTIF(DR$3:DR10,"&gt;0"))</f>
        <v>0</v>
      </c>
      <c r="DS11">
        <f>IF(IF(OR(IFERROR(SEARCH("Paladin",$T11,1),0)&gt;0,IFERROR(SEARCH(PaladinOath,$T11,1),0)&gt;0),1,0)*IF($C11=DS$2,1,0)=1,1+COUNTIF(DS$3:DS10,"&gt;0"),0)</f>
        <v>0</v>
      </c>
      <c r="DT11">
        <f>IF(IF(OR(IFERROR(SEARCH("Paladin",$T11,1),0)&gt;0,IFERROR(SEARCH(PaladinOath,$T11,1),0)&gt;0),1,0)*IF($C11=DT$2,1,0)=1,1+COUNTIF(DT$3:DT10,"&gt;0"),0)</f>
        <v>0</v>
      </c>
      <c r="DU11">
        <f>IF(IF(OR(IFERROR(SEARCH("Paladin",$T11,1),0)&gt;0,IFERROR(SEARCH(PaladinOath,$T11,1),0)&gt;0),1,0)*IF($C11=DU$2,1,0)=1,1+COUNTIF(DU$3:DU10,"&gt;0"),0)</f>
        <v>0</v>
      </c>
      <c r="DV11">
        <f>IF(IF(OR(IFERROR(SEARCH("Paladin",$T11,1),0)&gt;0,IFERROR(SEARCH(PaladinOath,$T11,1),0)&gt;0),1,0)*IF($C11=DV$2,1,0)=1,1+COUNTIF(DV$3:DV10,"&gt;0"),0)</f>
        <v>0</v>
      </c>
      <c r="DW11">
        <f>IF(IF(OR(IFERROR(SEARCH("Paladin",$T11,1),0)&gt;0,IFERROR(SEARCH(PaladinOath,$T11,1),0)&gt;0),1,0)*IF($C11=DW$2,1,0)=1,1+COUNTIF(DW$3:DW10,"&gt;0"),0)</f>
        <v>0</v>
      </c>
      <c r="DY11">
        <f t="shared" si="2"/>
        <v>1</v>
      </c>
      <c r="DZ11">
        <f>IF(DY11=0,0,1+MAX(DZ$3:$DZ10))</f>
        <v>9</v>
      </c>
      <c r="EB11">
        <f t="shared" si="16"/>
        <v>0</v>
      </c>
      <c r="EC11">
        <f>IF(EB11=0,0,1+COUNTIF(EC$3:EC10,"&gt;0"))</f>
        <v>0</v>
      </c>
      <c r="ED11">
        <f t="shared" si="44"/>
        <v>9</v>
      </c>
      <c r="EE11" t="str">
        <f t="shared" si="17"/>
        <v>Prestidigitation</v>
      </c>
      <c r="EG11">
        <f t="shared" si="18"/>
        <v>0</v>
      </c>
      <c r="EH11">
        <f>IF(EG11=0,0,1+COUNTIF(EH$3:EH10,"&gt;0"))</f>
        <v>0</v>
      </c>
      <c r="EI11" t="str">
        <f t="shared" si="45"/>
        <v/>
      </c>
      <c r="EJ11" t="str">
        <f t="shared" si="19"/>
        <v/>
      </c>
      <c r="EL11">
        <f t="shared" si="20"/>
        <v>0</v>
      </c>
      <c r="EM11">
        <f>IF(EL11=0,0,1+COUNTIF(EM$3:EM10,"&gt;0"))</f>
        <v>0</v>
      </c>
      <c r="EN11">
        <f t="shared" si="46"/>
        <v>9</v>
      </c>
      <c r="EO11" t="str">
        <f t="shared" si="21"/>
        <v>Create Bonfire</v>
      </c>
      <c r="EQ11">
        <f t="shared" si="22"/>
        <v>0</v>
      </c>
      <c r="ER11">
        <f>IF(EQ11=0,0,1+COUNTIF(ER$3:ER10,"&gt;0"))</f>
        <v>0</v>
      </c>
      <c r="ES11">
        <f t="shared" si="47"/>
        <v>9</v>
      </c>
      <c r="ET11" t="str">
        <f t="shared" si="23"/>
        <v>Frostbite</v>
      </c>
      <c r="EV11">
        <f t="shared" si="24"/>
        <v>0</v>
      </c>
      <c r="EW11">
        <f>IF(EV11=0,0,1+COUNTIF(EW$3:EW10,"&gt;0"))</f>
        <v>0</v>
      </c>
      <c r="EX11" t="str">
        <f t="shared" si="48"/>
        <v/>
      </c>
      <c r="EY11" t="str">
        <f t="shared" si="25"/>
        <v/>
      </c>
      <c r="FA11">
        <f t="shared" si="26"/>
        <v>0</v>
      </c>
      <c r="FB11">
        <f>IF(FA11=0,0,1+COUNTIF(FB$3:FB10,"&gt;0"))</f>
        <v>0</v>
      </c>
      <c r="FC11">
        <f t="shared" si="49"/>
        <v>9</v>
      </c>
      <c r="FD11" t="str">
        <f t="shared" si="27"/>
        <v>Mending</v>
      </c>
      <c r="FF11">
        <f t="shared" si="28"/>
        <v>0</v>
      </c>
      <c r="FG11">
        <f>IF(FF11=0,0,1+COUNTIF(FG$3:FG10,"&gt;0"))</f>
        <v>0</v>
      </c>
      <c r="FH11">
        <f t="shared" si="50"/>
        <v>9</v>
      </c>
      <c r="FI11" t="str">
        <f t="shared" si="29"/>
        <v>Create Bonfire</v>
      </c>
      <c r="FK11">
        <f t="shared" si="30"/>
        <v>0</v>
      </c>
      <c r="FL11">
        <f>IF(FK11=0,0,1+COUNTIF(FL$3:FL10,"&gt;0"))</f>
        <v>0</v>
      </c>
      <c r="FM11">
        <f t="shared" si="51"/>
        <v>9</v>
      </c>
      <c r="FN11" t="str">
        <f t="shared" si="31"/>
        <v>Mending</v>
      </c>
      <c r="FP11">
        <f t="shared" si="32"/>
        <v>0</v>
      </c>
      <c r="FQ11">
        <f>IF(FP11=0,0,1+COUNTIF(FQ$3:FQ10,"&gt;0"))</f>
        <v>0</v>
      </c>
      <c r="FR11">
        <f t="shared" si="52"/>
        <v>9</v>
      </c>
      <c r="FS11" t="str">
        <f t="shared" si="33"/>
        <v>Prestidigitation</v>
      </c>
    </row>
    <row r="12" spans="1:175" x14ac:dyDescent="0.25">
      <c r="A12" s="347">
        <f t="shared" si="53"/>
        <v>10</v>
      </c>
      <c r="B12" s="348" t="s">
        <v>2360</v>
      </c>
      <c r="C12" s="348">
        <v>5</v>
      </c>
      <c r="D12" s="347">
        <v>5</v>
      </c>
      <c r="E12" s="627" t="s">
        <v>6952</v>
      </c>
      <c r="F12" s="346"/>
      <c r="G12" s="347" t="str">
        <f>""</f>
        <v/>
      </c>
      <c r="H12" s="347" t="s">
        <v>5912</v>
      </c>
      <c r="I12" s="347" t="s">
        <v>5283</v>
      </c>
      <c r="J12" s="347" t="str">
        <f t="shared" si="3"/>
        <v/>
      </c>
      <c r="K12" s="347" t="s">
        <v>5284</v>
      </c>
      <c r="L12" s="611" t="str">
        <f t="shared" si="4"/>
        <v>V, S</v>
      </c>
      <c r="M12" s="347" t="s">
        <v>2373</v>
      </c>
      <c r="N12" s="347" t="s">
        <v>2387</v>
      </c>
      <c r="O12" s="347" t="s">
        <v>3034</v>
      </c>
      <c r="P12" s="346" t="str">
        <f>""</f>
        <v/>
      </c>
      <c r="Q12" s="347" t="s">
        <v>5270</v>
      </c>
      <c r="S12" s="346" t="s">
        <v>2361</v>
      </c>
      <c r="T12" s="346" t="str">
        <f t="shared" si="5"/>
        <v xml:space="preserve">Druid, Death, </v>
      </c>
      <c r="AA12" s="347" t="str">
        <f>$B12</f>
        <v>Antilife Shell</v>
      </c>
      <c r="AE12" t="str">
        <f>IF(IFERROR(MATCH($B12,temp!A$4:A$13,0),0)&gt;0,T08_Spells!AE$2,"")</f>
        <v/>
      </c>
      <c r="AF12" t="str">
        <f>IF(IFERROR(MATCH($B12,temp!B$4:B$13,0),0)&gt;0,T08_Spells!AF$2,"")</f>
        <v/>
      </c>
      <c r="AG12" t="str">
        <f>IF(IFERROR(MATCH($B12,temp!C$4:C$13,0),0)&gt;0,T08_Spells!AG$2,"")</f>
        <v/>
      </c>
      <c r="AH12" t="str">
        <f>IF(IFERROR(MATCH($B12,temp!D$4:D$13,0),0)&gt;0,T08_Spells!AH$2,"")</f>
        <v/>
      </c>
      <c r="AI12" t="str">
        <f>IF(IFERROR(MATCH($B12,temp!E$4:E$13,0),0)&gt;0,T08_Spells!AI$2,"")</f>
        <v/>
      </c>
      <c r="AJ12" t="str">
        <f>IF(IFERROR(MATCH($B12,temp!F$4:F$13,0),0)&gt;0,T08_Spells!AJ$2,"")</f>
        <v/>
      </c>
      <c r="AK12" t="str">
        <f>IF(IFERROR(MATCH($B12,temp!G$4:G$13,0),0)&gt;0,T08_Spells!AK$2,"")</f>
        <v/>
      </c>
      <c r="AL12" t="str">
        <f>IF(IFERROR(MATCH($B12,temp!H$4:H$13,0),0)&gt;0,T08_Spells!AL$2,"")</f>
        <v/>
      </c>
      <c r="AM12" t="str">
        <f>IF(IFERROR(MATCH($B12,temp!I$4:I$13,0),0)&gt;0,T08_Spells!AM$2,"")</f>
        <v/>
      </c>
      <c r="AN12" t="str">
        <f>IF(IFERROR(MATCH($B12,temp!J$4:J$13,0),0)&gt;0,T08_Spells!AN$2,"")</f>
        <v/>
      </c>
      <c r="AO12" t="str">
        <f>IF(IFERROR(MATCH($B12,temp!K$4:K$13,0),0)&gt;0,T08_Spells!AO$2,"")</f>
        <v/>
      </c>
      <c r="AP12" t="str">
        <f>IF(IFERROR(MATCH($B12,temp!L$4:L$13,0),0)&gt;0,T08_Spells!AP$2,"")</f>
        <v/>
      </c>
      <c r="AQ12" t="str">
        <f>IF(IFERROR(MATCH($B12,temp!M$4:M$13,0),0)&gt;0,T08_Spells!AQ$2,"")</f>
        <v/>
      </c>
      <c r="AR12" t="str">
        <f>IF(IFERROR(MATCH($B12,temp!N$4:N$13,0),0)&gt;0,T08_Spells!AR$2,"")</f>
        <v/>
      </c>
      <c r="AS12" t="str">
        <f>IF(IFERROR(MATCH($B12,temp!O$4:O$13,0),0)&gt;0,T08_Spells!AS$2,"")</f>
        <v/>
      </c>
      <c r="AT12" t="str">
        <f>IF(IFERROR(MATCH($B12,temp!P$4:P$13,0),0)&gt;0,T08_Spells!AT$2,"")</f>
        <v/>
      </c>
      <c r="AU12" t="str">
        <f>IF(IFERROR(MATCH($B12,temp!Q$4:Q$13,0),0)&gt;0,T08_Spells!AU$2,"")</f>
        <v/>
      </c>
      <c r="AV12" t="str">
        <f>IF(IFERROR(MATCH($B12,temp!R$4:R$13,0),0)&gt;0,T08_Spells!AV$2,"")</f>
        <v/>
      </c>
      <c r="AW12" t="str">
        <f>IF(IFERROR(MATCH($B12,temp!S$4:S$13,0),0)&gt;0,T08_Spells!AW$2,"")</f>
        <v/>
      </c>
      <c r="AX12" t="str">
        <f>IF(IFERROR(MATCH($B12,temp!T$4:T$13,0),0)&gt;0,T08_Spells!AX$2,"")</f>
        <v/>
      </c>
      <c r="AY12" t="str">
        <f>IF(IFERROR(MATCH($B12,temp!U$4:U$13,0),0)&gt;0,T08_Spells!AY$2,"")</f>
        <v/>
      </c>
      <c r="AZ12" t="str">
        <f>IF(IFERROR(MATCH($B12,temp!V$4:V$13,0),0)&gt;0,T08_Spells!AZ$2,"")</f>
        <v/>
      </c>
      <c r="BA12" t="str">
        <f>IF(IFERROR(MATCH($B12,temp!W$4:W$13,0),0)&gt;0,T08_Spells!BA$2,"")</f>
        <v>Death</v>
      </c>
      <c r="BC12">
        <f>IF(IFERROR(SEARCH("Ranger",$T12,1),0)&gt;0,1,0)*IF(RangerMaxSpellLevel&gt;=$C12,1,0)*IF(IFERROR(MATCH(B12,Character_Creation!$X$79:$X$382,0),0)&gt;0,0,1)</f>
        <v>0</v>
      </c>
      <c r="BD12">
        <f>IF(BC12=0,0,1+COUNTIF(BD$3:BD11,"&gt;0"))</f>
        <v>0</v>
      </c>
      <c r="BE12" t="str">
        <f t="shared" si="34"/>
        <v/>
      </c>
      <c r="BF12" t="str">
        <f t="shared" si="6"/>
        <v/>
      </c>
      <c r="BH12">
        <f>IF(IFERROR(SEARCH("Sorcerer",$T12,1),0)&gt;0,1,0)*IF(SorcererMaxSpellLevel&gt;=$C12,1,0)*IF(IFERROR(MATCH(B12,Character_Creation!$J$380:$J$394,0),0)&gt;0,0,1)</f>
        <v>0</v>
      </c>
      <c r="BI12">
        <f>IF(BH12=0,0,1+COUNTIF(BI$3:BI11,"&gt;0"))</f>
        <v>0</v>
      </c>
      <c r="BJ12" t="str">
        <f t="shared" si="35"/>
        <v/>
      </c>
      <c r="BK12" t="str">
        <f t="shared" si="7"/>
        <v/>
      </c>
      <c r="BM12">
        <f>IF(OR(IFERROR(SEARCH("Warlock",$T12,1),0)&gt;0,IFERROR(SEARCH(WarlockPatron,$T12,1),0)&gt;0),1,0)*IF(WarlockMaxSpellLevel&gt;=$C12,1,0)*IF(IFERROR(MATCH(B12,Character_Creation!$J$361:$J$375,0),0)&gt;0,0,1)</f>
        <v>0</v>
      </c>
      <c r="BN12">
        <f>IF(BM12=0,0,1+COUNTIF(BN$3:BN11,"&gt;0"))</f>
        <v>0</v>
      </c>
      <c r="BO12" t="str">
        <f t="shared" si="36"/>
        <v/>
      </c>
      <c r="BP12" t="str">
        <f t="shared" si="8"/>
        <v/>
      </c>
      <c r="BR12">
        <f>IF(IFERROR(SEARCH("Eldritch Knight",$T12,1),0)&gt;0,1,0)*IF(EldritchKnightMaxSpellLevel&gt;=$C12,1,0)*IF(IFERROR(MATCH($B12,Character_Creation!$J$350:$J$356,0),0)&gt;0,0,1)*IF(Character_Creation!$M$338&gt;0,1,0)</f>
        <v>0</v>
      </c>
      <c r="BS12">
        <f>IF(BR12=0,0,1+COUNTIF(BS$3:BS11,"&gt;0"))</f>
        <v>0</v>
      </c>
      <c r="BT12" t="str">
        <f t="shared" si="37"/>
        <v/>
      </c>
      <c r="BU12" t="str">
        <f t="shared" si="9"/>
        <v/>
      </c>
      <c r="BW12">
        <f>IF(IFERROR(SEARCH("Arcane Trickster",$T12,1),0)&gt;0,1,0)*IF(ArcaneTricksterMaxSpellLevel&gt;=$C12,1,0)*IF(IFERROR(MATCH($B12,Character_Creation!$J$350:$J$356,0),0)&gt;0,0,1)*IF(Character_Creation!$T$338&gt;0,1,0)</f>
        <v>0</v>
      </c>
      <c r="BX12">
        <f>IF(BW12=0,0,1+COUNTIF(BX$3:BX11,"&gt;0"))</f>
        <v>0</v>
      </c>
      <c r="BY12" t="str">
        <f t="shared" si="38"/>
        <v/>
      </c>
      <c r="BZ12" t="str">
        <f t="shared" si="10"/>
        <v/>
      </c>
      <c r="CB12">
        <f>IF(IFERROR(SEARCH("Wizard",$T12,1),0)&gt;0,1,0)*IF(C12&lt;=ArcaneTricksterMaxSpellLevel,1,0)*IF(IFERROR(MATCH($B12,Character_Creation!$J$350:$J$356,0),0)&gt;0,0,1)*IF(Character_Creation!$T$350&gt;0,1,0)</f>
        <v>0</v>
      </c>
      <c r="CC12">
        <f>IF(CB12=0,0,1+COUNTIF(CC$3:CC11,"&gt;0"))</f>
        <v>0</v>
      </c>
      <c r="CD12" t="str">
        <f t="shared" si="39"/>
        <v/>
      </c>
      <c r="CE12" t="str">
        <f t="shared" si="11"/>
        <v/>
      </c>
      <c r="CG12">
        <f>IF(IFERROR(SEARCH("Wizard",$T12,1),0)&gt;0,1,0)*IF($C12&lt;=EldritchKnightMaxSpellLevel,1,0)*IF(IFERROR(MATCH($B12,Character_Creation!$J$350:$J$356,0),0)&gt;0,0,1)*IF(Character_Creation!$M$350&gt;0,1,0)</f>
        <v>0</v>
      </c>
      <c r="CH12">
        <f>IF(CG12=0,0,1+COUNTIF(CH$3:CH11,"&gt;0"))</f>
        <v>0</v>
      </c>
      <c r="CI12">
        <f t="shared" si="40"/>
        <v>10</v>
      </c>
      <c r="CJ12" t="str">
        <f t="shared" si="12"/>
        <v>Color Spray</v>
      </c>
      <c r="CL12">
        <f>IF(IFERROR(SEARCH("Bard",$T12,1),0)&gt;0,1,0)*IF(BardMaxSpellLevel&gt;=$C12,1,0)*IF(IFERROR(MATCH(B12,Character_Creation!$C$341:$F$362,0),0)&gt;0,0,1)*IF(IFERROR(MATCH($B12,Character_Creation!$C$341:$C$362,0),0)&gt;0,0,1)</f>
        <v>0</v>
      </c>
      <c r="CM12">
        <f>IF(CL12=0,0,1+COUNTIF(CM$3:CM11,"&gt;0"))</f>
        <v>0</v>
      </c>
      <c r="CN12" t="str">
        <f t="shared" si="41"/>
        <v/>
      </c>
      <c r="CO12" t="str">
        <f t="shared" si="13"/>
        <v/>
      </c>
      <c r="CQ12">
        <f>IF(IFERROR(SEARCH("Wizard",$T12,1),0)&gt;0,1,0)*IF(WizardMaxSpellLevel&gt;=$C12,1,0)*IF(IFERROR(MATCH(B12,Character_Creation!$X$341:$X$400,0),0)&gt;0,0,1)*IF(SelectedWizardSpellLevel=$C12,1,0)</f>
        <v>0</v>
      </c>
      <c r="CR12">
        <f>IF(CQ12=0,0,1+COUNTIF(CR$3:CR11,"&gt;0"))</f>
        <v>0</v>
      </c>
      <c r="CS12">
        <f t="shared" si="42"/>
        <v>10</v>
      </c>
      <c r="CT12" t="str">
        <f t="shared" si="14"/>
        <v>Gaseous Form</v>
      </c>
      <c r="CV12">
        <f>IF(IFERROR(MATCH($B12,Character_Creation!$C$341:$C$362,0),0)&gt;0,0,1)*IF(OR(C12="Cantrip",C12&lt;=BardMaxSpellLevel),1,0)*IF(IFERROR(MATCH($B12,Character_Creation!$C$367:$C$374,0),0)&gt;0,0,1)</f>
        <v>0</v>
      </c>
      <c r="CW12">
        <f>IF(CV12=0,0,1+COUNTIF(CW$3:CW11,"&gt;0"))</f>
        <v>0</v>
      </c>
      <c r="CX12">
        <f t="shared" si="43"/>
        <v>10</v>
      </c>
      <c r="CY12" t="str">
        <f t="shared" si="15"/>
        <v>Light</v>
      </c>
      <c r="DA12">
        <f>IF(IF(OR(IFERROR(SEARCH("Cleric",$T12,1),0)&gt;0,IFERROR(SEARCH(DivineDomain&amp;",",$T12,1),0)&gt;0),1,0)*IF($C12=DA$2,1,0)=1,1+COUNTIF(DA$3:DA11,"&gt;0"),0)</f>
        <v>0</v>
      </c>
      <c r="DB12">
        <f>IF(IF(OR(IFERROR(SEARCH("Cleric",$T12,1),0)&gt;0,IFERROR(SEARCH(DivineDomain&amp;",",$T12,1),0)&gt;0),1,0)*IF($C12=DB$2,1,0)=1,1+COUNTIF(DB$3:DB11,"&gt;0"),0)</f>
        <v>0</v>
      </c>
      <c r="DC12">
        <f>IF(IF(OR(IFERROR(SEARCH("Cleric",$T12,1),0)&gt;0,IFERROR(SEARCH(DivineDomain&amp;",",$T12,1),0)&gt;0),1,0)*IF($C12=DC$2,1,0)=1,1+COUNTIF(DC$3:DC11,"&gt;0"),0)</f>
        <v>0</v>
      </c>
      <c r="DD12">
        <f>IF(IF(OR(IFERROR(SEARCH("Cleric",$T12,1),0)&gt;0,IFERROR(SEARCH(DivineDomain&amp;",",$T12,1),0)&gt;0),1,0)*IF($C12=DD$2,1,0)=1,1+COUNTIF(DD$3:DD11,"&gt;0"),0)</f>
        <v>0</v>
      </c>
      <c r="DE12">
        <f>IF(IF(OR(IFERROR(SEARCH("Cleric",$T12,1),0)&gt;0,IFERROR(SEARCH(DivineDomain&amp;",",$T12,1),0)&gt;0),1,0)*IF($C12=DE$2,1,0)=1,1+COUNTIF(DE$3:DE11,"&gt;0"),0)</f>
        <v>0</v>
      </c>
      <c r="DF12">
        <f>IF(IF(OR(IFERROR(SEARCH("Cleric",$T12,1),0)&gt;0,IFERROR(SEARCH(DivineDomain&amp;",",$T12,1),0)&gt;0),1,0)*IF($C12=DF$2,1,0)=1,1+COUNTIF(DF$3:DF11,"&gt;0"),0)</f>
        <v>0</v>
      </c>
      <c r="DG12">
        <f>IF(IF(OR(IFERROR(SEARCH("Cleric",$T12,1),0)&gt;0,IFERROR(SEARCH(DivineDomain&amp;",",$T12,1),0)&gt;0),1,0)*IF($C12=DG$2,1,0)=1,1+COUNTIF(DG$3:DG11,"&gt;0"),0)</f>
        <v>0</v>
      </c>
      <c r="DH12">
        <f>IF(IF(OR(IFERROR(SEARCH("Cleric",$T12,1),0)&gt;0,IFERROR(SEARCH(DivineDomain&amp;",",$T12,1),0)&gt;0),1,0)*IF($C12=DH$2,1,0)=1,1+COUNTIF(DH$3:DH11,"&gt;0"),0)</f>
        <v>0</v>
      </c>
      <c r="DI12">
        <f>IF(IF(OR(IFERROR(SEARCH("Cleric",$T12,1),0)&gt;0,IFERROR(SEARCH(DivineDomain&amp;",",$T12,1),0)&gt;0),1,0)*IF($C12=DI$2,1,0)=1,1+COUNTIF(DI$3:DI11,"&gt;0"),0)</f>
        <v>0</v>
      </c>
      <c r="DJ12">
        <f>IF(IF(OR(IFERROR(SEARCH("Druid",$T12,1),0)&gt;0,IFERROR(SEARCH(DruidLand1,$T12,1),0)&gt;0,IFERROR(SEARCH(DruidLand2,$T12,1),0)&gt;0,IFERROR(SEARCH(DruidLand3,$T12,1),0)&gt;0,IFERROR(SEARCH(DruidLand4,$T12,1),0)&gt;0),1,0)*IF($C12=1,1,0)*IF($C12=DJ$2,1,0)=0,0,1+COUNTIF(DJ$3:DJ11,"&gt;0"))</f>
        <v>0</v>
      </c>
      <c r="DK12">
        <f>IF(IF(OR(IFERROR(SEARCH("Druid",$T12,1),0)&gt;0,IFERROR(SEARCH(DruidLand1,$T12,1),0)&gt;0,IFERROR(SEARCH(DruidLand2,$T12,1),0)&gt;0,IFERROR(SEARCH(DruidLand3,$T12,1),0)&gt;0,IFERROR(SEARCH(DruidLand4,$T12,1),0)&gt;0),1,0)*IF($C12=DK$2,1,0)=0,0,1+COUNTIF(DK$3:DK11,"&gt;0"))</f>
        <v>0</v>
      </c>
      <c r="DL12">
        <f>IF(IF(OR(IFERROR(SEARCH("Druid",$T12,1),0)&gt;0,IFERROR(SEARCH(DruidLand1,$T12,1),0)&gt;0,IFERROR(SEARCH(DruidLand2,$T12,1),0)&gt;0,IFERROR(SEARCH(DruidLand3,$T12,1),0)&gt;0,IFERROR(SEARCH(DruidLand4,$T12,1),0)&gt;0),1,0)*IF($C12=DL$2,1,0)=0,0,1+COUNTIF(DL$3:DL11,"&gt;0"))</f>
        <v>0</v>
      </c>
      <c r="DM12">
        <f>IF(IF(OR(IFERROR(SEARCH("Druid",$T12,1),0)&gt;0,IFERROR(SEARCH(DruidLand1,$T12,1),0)&gt;0,IFERROR(SEARCH(DruidLand2,$T12,1),0)&gt;0,IFERROR(SEARCH(DruidLand3,$T12,1),0)&gt;0,IFERROR(SEARCH(DruidLand4,$T12,1),0)&gt;0),1,0)*IF($C12=DM$2,1,0)=0,0,1+COUNTIF(DM$3:DM11,"&gt;0"))</f>
        <v>0</v>
      </c>
      <c r="DN12">
        <f>IF(IF(OR(IFERROR(SEARCH("Druid",$T12,1),0)&gt;0,IFERROR(SEARCH(DruidLand1,$T12,1),0)&gt;0,IFERROR(SEARCH(DruidLand2,$T12,1),0)&gt;0,IFERROR(SEARCH(DruidLand3,$T12,1),0)&gt;0,IFERROR(SEARCH(DruidLand4,$T12,1),0)&gt;0),1,0)*IF($C12=DN$2,1,0)=0,0,1+COUNTIF(DN$3:DN11,"&gt;0"))</f>
        <v>1</v>
      </c>
      <c r="DO12">
        <f>IF(IF(OR(IFERROR(SEARCH("Druid",$T12,1),0)&gt;0,IFERROR(SEARCH(DruidLand1,$T12,1),0)&gt;0,IFERROR(SEARCH(DruidLand2,$T12,1),0)&gt;0,IFERROR(SEARCH(DruidLand3,$T12,1),0)&gt;0,IFERROR(SEARCH(DruidLand4,$T12,1),0)&gt;0),1,0)*IF($C12=DO$2,1,0)=0,0,1+COUNTIF(DO$3:DO11,"&gt;0"))</f>
        <v>0</v>
      </c>
      <c r="DP12">
        <f>IF(IF(OR(IFERROR(SEARCH("Druid",$T12,1),0)&gt;0,IFERROR(SEARCH(DruidLand1,$T12,1),0)&gt;0,IFERROR(SEARCH(DruidLand2,$T12,1),0)&gt;0,IFERROR(SEARCH(DruidLand3,$T12,1),0)&gt;0,IFERROR(SEARCH(DruidLand4,$T12,1),0)&gt;0),1,0)*IF($C12=DP$2,1,0)=0,0,1+COUNTIF(DP$3:DP11,"&gt;0"))</f>
        <v>0</v>
      </c>
      <c r="DQ12">
        <f>IF(IF(OR(IFERROR(SEARCH("Druid",$T12,1),0)&gt;0,IFERROR(SEARCH(DruidLand1,$T12,1),0)&gt;0,IFERROR(SEARCH(DruidLand2,$T12,1),0)&gt;0,IFERROR(SEARCH(DruidLand3,$T12,1),0)&gt;0,IFERROR(SEARCH(DruidLand4,$T12,1),0)&gt;0),1,0)*IF($C12=DQ$2,1,0)=0,0,1+COUNTIF(DQ$3:DQ11,"&gt;0"))</f>
        <v>0</v>
      </c>
      <c r="DR12">
        <f>IF(IF(OR(IFERROR(SEARCH("Druid",$T12,1),0)&gt;0,IFERROR(SEARCH(DruidLand1,$T12,1),0)&gt;0,IFERROR(SEARCH(DruidLand2,$T12,1),0)&gt;0,IFERROR(SEARCH(DruidLand3,$T12,1),0)&gt;0,IFERROR(SEARCH(DruidLand4,$T12,1),0)&gt;0),1,0)*IF($C12=DR$2,1,0)=0,0,1+COUNTIF(DR$3:DR11,"&gt;0"))</f>
        <v>0</v>
      </c>
      <c r="DS12">
        <f>IF(IF(OR(IFERROR(SEARCH("Paladin",$T12,1),0)&gt;0,IFERROR(SEARCH(PaladinOath,$T12,1),0)&gt;0),1,0)*IF($C12=DS$2,1,0)=1,1+COUNTIF(DS$3:DS11,"&gt;0"),0)</f>
        <v>0</v>
      </c>
      <c r="DT12">
        <f>IF(IF(OR(IFERROR(SEARCH("Paladin",$T12,1),0)&gt;0,IFERROR(SEARCH(PaladinOath,$T12,1),0)&gt;0),1,0)*IF($C12=DT$2,1,0)=1,1+COUNTIF(DT$3:DT11,"&gt;0"),0)</f>
        <v>0</v>
      </c>
      <c r="DU12">
        <f>IF(IF(OR(IFERROR(SEARCH("Paladin",$T12,1),0)&gt;0,IFERROR(SEARCH(PaladinOath,$T12,1),0)&gt;0),1,0)*IF($C12=DU$2,1,0)=1,1+COUNTIF(DU$3:DU11,"&gt;0"),0)</f>
        <v>0</v>
      </c>
      <c r="DV12">
        <f>IF(IF(OR(IFERROR(SEARCH("Paladin",$T12,1),0)&gt;0,IFERROR(SEARCH(PaladinOath,$T12,1),0)&gt;0),1,0)*IF($C12=DV$2,1,0)=1,1+COUNTIF(DV$3:DV11,"&gt;0"),0)</f>
        <v>0</v>
      </c>
      <c r="DW12">
        <f>IF(IF(OR(IFERROR(SEARCH("Paladin",$T12,1),0)&gt;0,IFERROR(SEARCH(PaladinOath,$T12,1),0)&gt;0),1,0)*IF($C12=DW$2,1,0)=1,1+COUNTIF(DW$3:DW11,"&gt;0"),0)</f>
        <v>0</v>
      </c>
      <c r="DY12">
        <f t="shared" si="2"/>
        <v>1</v>
      </c>
      <c r="DZ12">
        <f>IF(DY12=0,0,1+MAX(DZ$3:$DZ11))</f>
        <v>10</v>
      </c>
      <c r="EB12">
        <f t="shared" si="16"/>
        <v>0</v>
      </c>
      <c r="EC12">
        <f>IF(EB12=0,0,1+COUNTIF(EC$3:EC11,"&gt;0"))</f>
        <v>0</v>
      </c>
      <c r="ED12">
        <f t="shared" si="44"/>
        <v>10</v>
      </c>
      <c r="EE12" t="str">
        <f t="shared" si="17"/>
        <v>True Strike</v>
      </c>
      <c r="EG12">
        <f t="shared" si="18"/>
        <v>0</v>
      </c>
      <c r="EH12">
        <f>IF(EG12=0,0,1+COUNTIF(EH$3:EH11,"&gt;0"))</f>
        <v>0</v>
      </c>
      <c r="EI12" t="str">
        <f t="shared" si="45"/>
        <v/>
      </c>
      <c r="EJ12" t="str">
        <f t="shared" si="19"/>
        <v/>
      </c>
      <c r="EL12">
        <f t="shared" si="20"/>
        <v>0</v>
      </c>
      <c r="EM12">
        <f>IF(EL12=0,0,1+COUNTIF(EM$3:EM11,"&gt;0"))</f>
        <v>0</v>
      </c>
      <c r="EN12">
        <f t="shared" si="46"/>
        <v>10</v>
      </c>
      <c r="EO12" t="str">
        <f t="shared" si="21"/>
        <v>Control Flames</v>
      </c>
      <c r="EQ12">
        <f t="shared" si="22"/>
        <v>0</v>
      </c>
      <c r="ER12">
        <f>IF(EQ12=0,0,1+COUNTIF(ER$3:ER11,"&gt;0"))</f>
        <v>0</v>
      </c>
      <c r="ES12">
        <f t="shared" si="47"/>
        <v>10</v>
      </c>
      <c r="ET12" t="str">
        <f t="shared" si="23"/>
        <v>Thunderclap</v>
      </c>
      <c r="EV12">
        <f t="shared" si="24"/>
        <v>0</v>
      </c>
      <c r="EW12">
        <f>IF(EV12=0,0,1+COUNTIF(EW$3:EW11,"&gt;0"))</f>
        <v>0</v>
      </c>
      <c r="EX12" t="str">
        <f t="shared" si="48"/>
        <v/>
      </c>
      <c r="EY12" t="str">
        <f t="shared" si="25"/>
        <v/>
      </c>
      <c r="FA12">
        <f t="shared" si="26"/>
        <v>0</v>
      </c>
      <c r="FB12">
        <f>IF(FA12=0,0,1+COUNTIF(FB$3:FB11,"&gt;0"))</f>
        <v>0</v>
      </c>
      <c r="FC12">
        <f t="shared" si="49"/>
        <v>10</v>
      </c>
      <c r="FD12" t="str">
        <f t="shared" si="27"/>
        <v>Message</v>
      </c>
      <c r="FF12">
        <f t="shared" si="28"/>
        <v>0</v>
      </c>
      <c r="FG12">
        <f>IF(FF12=0,0,1+COUNTIF(FG$3:FG11,"&gt;0"))</f>
        <v>0</v>
      </c>
      <c r="FH12">
        <f t="shared" si="50"/>
        <v>10</v>
      </c>
      <c r="FI12" t="str">
        <f t="shared" si="29"/>
        <v>Frostbite</v>
      </c>
      <c r="FK12">
        <f t="shared" si="30"/>
        <v>0</v>
      </c>
      <c r="FL12">
        <f>IF(FK12=0,0,1+COUNTIF(FL$3:FL11,"&gt;0"))</f>
        <v>0</v>
      </c>
      <c r="FM12">
        <f t="shared" si="51"/>
        <v>10</v>
      </c>
      <c r="FN12" t="str">
        <f t="shared" si="31"/>
        <v>Message</v>
      </c>
      <c r="FP12">
        <f t="shared" si="32"/>
        <v>0</v>
      </c>
      <c r="FQ12">
        <f>IF(FP12=0,0,1+COUNTIF(FQ$3:FQ11,"&gt;0"))</f>
        <v>0</v>
      </c>
      <c r="FR12">
        <f t="shared" si="52"/>
        <v>10</v>
      </c>
      <c r="FS12" t="str">
        <f t="shared" si="33"/>
        <v>True Strike</v>
      </c>
    </row>
    <row r="13" spans="1:175" x14ac:dyDescent="0.25">
      <c r="A13" s="347">
        <f t="shared" si="53"/>
        <v>11</v>
      </c>
      <c r="B13" s="348" t="s">
        <v>2362</v>
      </c>
      <c r="C13" s="348">
        <v>8</v>
      </c>
      <c r="D13" s="347">
        <v>8</v>
      </c>
      <c r="E13" s="627" t="s">
        <v>6952</v>
      </c>
      <c r="F13" s="346"/>
      <c r="G13" s="347" t="str">
        <f>""</f>
        <v/>
      </c>
      <c r="H13" s="347" t="s">
        <v>5912</v>
      </c>
      <c r="I13" s="347" t="s">
        <v>5283</v>
      </c>
      <c r="J13" s="347" t="str">
        <f t="shared" si="3"/>
        <v/>
      </c>
      <c r="K13" s="347" t="s">
        <v>5284</v>
      </c>
      <c r="L13" s="611" t="str">
        <f t="shared" si="4"/>
        <v>V, S, M, a pinch of powdered iron or iron filings</v>
      </c>
      <c r="M13" s="347" t="s">
        <v>2373</v>
      </c>
      <c r="N13" s="347" t="s">
        <v>2387</v>
      </c>
      <c r="O13" s="347" t="s">
        <v>1244</v>
      </c>
      <c r="P13" s="346" t="s">
        <v>5292</v>
      </c>
      <c r="Q13" s="347" t="s">
        <v>5270</v>
      </c>
      <c r="S13" s="346" t="s">
        <v>5591</v>
      </c>
      <c r="T13" s="346" t="str">
        <f t="shared" si="5"/>
        <v xml:space="preserve">Cleric, Eldritch Knight, Wizard, </v>
      </c>
      <c r="Z13" s="347" t="str">
        <f>$B13</f>
        <v>Antimagic Field</v>
      </c>
      <c r="AB13" s="542" t="str">
        <f>AD13</f>
        <v>Antimagic Field</v>
      </c>
      <c r="AD13" s="347" t="str">
        <f>$B13</f>
        <v>Antimagic Field</v>
      </c>
      <c r="AE13" t="str">
        <f>IF(IFERROR(MATCH($B13,temp!A$4:A$13,0),0)&gt;0,T08_Spells!AE$2,"")</f>
        <v/>
      </c>
      <c r="AF13" t="str">
        <f>IF(IFERROR(MATCH($B13,temp!B$4:B$13,0),0)&gt;0,T08_Spells!AF$2,"")</f>
        <v/>
      </c>
      <c r="AG13" t="str">
        <f>IF(IFERROR(MATCH($B13,temp!C$4:C$13,0),0)&gt;0,T08_Spells!AG$2,"")</f>
        <v/>
      </c>
      <c r="AH13" t="str">
        <f>IF(IFERROR(MATCH($B13,temp!D$4:D$13,0),0)&gt;0,T08_Spells!AH$2,"")</f>
        <v/>
      </c>
      <c r="AI13" t="str">
        <f>IF(IFERROR(MATCH($B13,temp!E$4:E$13,0),0)&gt;0,T08_Spells!AI$2,"")</f>
        <v/>
      </c>
      <c r="AJ13" t="str">
        <f>IF(IFERROR(MATCH($B13,temp!F$4:F$13,0),0)&gt;0,T08_Spells!AJ$2,"")</f>
        <v/>
      </c>
      <c r="AK13" t="str">
        <f>IF(IFERROR(MATCH($B13,temp!G$4:G$13,0),0)&gt;0,T08_Spells!AK$2,"")</f>
        <v/>
      </c>
      <c r="AL13" t="str">
        <f>IF(IFERROR(MATCH($B13,temp!H$4:H$13,0),0)&gt;0,T08_Spells!AL$2,"")</f>
        <v/>
      </c>
      <c r="AM13" t="str">
        <f>IF(IFERROR(MATCH($B13,temp!I$4:I$13,0),0)&gt;0,T08_Spells!AM$2,"")</f>
        <v/>
      </c>
      <c r="AN13" t="str">
        <f>IF(IFERROR(MATCH($B13,temp!J$4:J$13,0),0)&gt;0,T08_Spells!AN$2,"")</f>
        <v/>
      </c>
      <c r="AO13" t="str">
        <f>IF(IFERROR(MATCH($B13,temp!K$4:K$13,0),0)&gt;0,T08_Spells!AO$2,"")</f>
        <v/>
      </c>
      <c r="AP13" t="str">
        <f>IF(IFERROR(MATCH($B13,temp!L$4:L$13,0),0)&gt;0,T08_Spells!AP$2,"")</f>
        <v/>
      </c>
      <c r="AQ13" t="str">
        <f>IF(IFERROR(MATCH($B13,temp!M$4:M$13,0),0)&gt;0,T08_Spells!AQ$2,"")</f>
        <v/>
      </c>
      <c r="AR13" t="str">
        <f>IF(IFERROR(MATCH($B13,temp!N$4:N$13,0),0)&gt;0,T08_Spells!AR$2,"")</f>
        <v/>
      </c>
      <c r="AS13" t="str">
        <f>IF(IFERROR(MATCH($B13,temp!O$4:O$13,0),0)&gt;0,T08_Spells!AS$2,"")</f>
        <v/>
      </c>
      <c r="AT13" t="str">
        <f>IF(IFERROR(MATCH($B13,temp!P$4:P$13,0),0)&gt;0,T08_Spells!AT$2,"")</f>
        <v/>
      </c>
      <c r="AU13" t="str">
        <f>IF(IFERROR(MATCH($B13,temp!Q$4:Q$13,0),0)&gt;0,T08_Spells!AU$2,"")</f>
        <v/>
      </c>
      <c r="AV13" t="str">
        <f>IF(IFERROR(MATCH($B13,temp!R$4:R$13,0),0)&gt;0,T08_Spells!AV$2,"")</f>
        <v/>
      </c>
      <c r="AW13" t="str">
        <f>IF(IFERROR(MATCH($B13,temp!S$4:S$13,0),0)&gt;0,T08_Spells!AW$2,"")</f>
        <v/>
      </c>
      <c r="AX13" t="str">
        <f>IF(IFERROR(MATCH($B13,temp!T$4:T$13,0),0)&gt;0,T08_Spells!AX$2,"")</f>
        <v/>
      </c>
      <c r="AY13" t="str">
        <f>IF(IFERROR(MATCH($B13,temp!U$4:U$13,0),0)&gt;0,T08_Spells!AY$2,"")</f>
        <v/>
      </c>
      <c r="AZ13" t="str">
        <f>IF(IFERROR(MATCH($B13,temp!V$4:V$13,0),0)&gt;0,T08_Spells!AZ$2,"")</f>
        <v/>
      </c>
      <c r="BA13" t="str">
        <f>IF(IFERROR(MATCH($B13,temp!W$4:W$13,0),0)&gt;0,T08_Spells!BA$2,"")</f>
        <v/>
      </c>
      <c r="BC13">
        <f>IF(IFERROR(SEARCH("Ranger",$T13,1),0)&gt;0,1,0)*IF(RangerMaxSpellLevel&gt;=$C13,1,0)*IF(IFERROR(MATCH(B13,Character_Creation!$X$79:$X$382,0),0)&gt;0,0,1)</f>
        <v>0</v>
      </c>
      <c r="BD13">
        <f>IF(BC13=0,0,1+COUNTIF(BD$3:BD12,"&gt;0"))</f>
        <v>0</v>
      </c>
      <c r="BE13" t="str">
        <f t="shared" si="34"/>
        <v/>
      </c>
      <c r="BF13" t="str">
        <f t="shared" si="6"/>
        <v/>
      </c>
      <c r="BH13">
        <f>IF(IFERROR(SEARCH("Sorcerer",$T13,1),0)&gt;0,1,0)*IF(SorcererMaxSpellLevel&gt;=$C13,1,0)*IF(IFERROR(MATCH(B13,Character_Creation!$J$380:$J$394,0),0)&gt;0,0,1)</f>
        <v>0</v>
      </c>
      <c r="BI13">
        <f>IF(BH13=0,0,1+COUNTIF(BI$3:BI12,"&gt;0"))</f>
        <v>0</v>
      </c>
      <c r="BJ13" t="str">
        <f t="shared" si="35"/>
        <v/>
      </c>
      <c r="BK13" t="str">
        <f t="shared" si="7"/>
        <v/>
      </c>
      <c r="BM13">
        <f>IF(OR(IFERROR(SEARCH("Warlock",$T13,1),0)&gt;0,IFERROR(SEARCH(WarlockPatron,$T13,1),0)&gt;0),1,0)*IF(WarlockMaxSpellLevel&gt;=$C13,1,0)*IF(IFERROR(MATCH(B13,Character_Creation!$J$361:$J$375,0),0)&gt;0,0,1)</f>
        <v>0</v>
      </c>
      <c r="BN13">
        <f>IF(BM13=0,0,1+COUNTIF(BN$3:BN12,"&gt;0"))</f>
        <v>0</v>
      </c>
      <c r="BO13" t="str">
        <f t="shared" si="36"/>
        <v/>
      </c>
      <c r="BP13" t="str">
        <f t="shared" si="8"/>
        <v/>
      </c>
      <c r="BR13">
        <f>IF(IFERROR(SEARCH("Eldritch Knight",$T13,1),0)&gt;0,1,0)*IF(EldritchKnightMaxSpellLevel&gt;=$C13,1,0)*IF(IFERROR(MATCH($B13,Character_Creation!$J$350:$J$356,0),0)&gt;0,0,1)*IF(Character_Creation!$M$338&gt;0,1,0)</f>
        <v>0</v>
      </c>
      <c r="BS13">
        <f>IF(BR13=0,0,1+COUNTIF(BS$3:BS12,"&gt;0"))</f>
        <v>0</v>
      </c>
      <c r="BT13" t="str">
        <f t="shared" si="37"/>
        <v/>
      </c>
      <c r="BU13" t="str">
        <f t="shared" si="9"/>
        <v/>
      </c>
      <c r="BW13">
        <f>IF(IFERROR(SEARCH("Arcane Trickster",$T13,1),0)&gt;0,1,0)*IF(ArcaneTricksterMaxSpellLevel&gt;=$C13,1,0)*IF(IFERROR(MATCH($B13,Character_Creation!$J$350:$J$356,0),0)&gt;0,0,1)*IF(Character_Creation!$T$338&gt;0,1,0)</f>
        <v>0</v>
      </c>
      <c r="BX13">
        <f>IF(BW13=0,0,1+COUNTIF(BX$3:BX12,"&gt;0"))</f>
        <v>0</v>
      </c>
      <c r="BY13" t="str">
        <f t="shared" si="38"/>
        <v/>
      </c>
      <c r="BZ13" t="str">
        <f t="shared" si="10"/>
        <v/>
      </c>
      <c r="CB13">
        <f>IF(IFERROR(SEARCH("Wizard",$T13,1),0)&gt;0,1,0)*IF(C13&lt;=ArcaneTricksterMaxSpellLevel,1,0)*IF(IFERROR(MATCH($B13,Character_Creation!$J$350:$J$356,0),0)&gt;0,0,1)*IF(Character_Creation!$T$350&gt;0,1,0)</f>
        <v>0</v>
      </c>
      <c r="CC13">
        <f>IF(CB13=0,0,1+COUNTIF(CC$3:CC12,"&gt;0"))</f>
        <v>0</v>
      </c>
      <c r="CD13" t="str">
        <f t="shared" si="39"/>
        <v/>
      </c>
      <c r="CE13" t="str">
        <f t="shared" si="11"/>
        <v/>
      </c>
      <c r="CG13">
        <f>IF(IFERROR(SEARCH("Wizard",$T13,1),0)&gt;0,1,0)*IF($C13&lt;=EldritchKnightMaxSpellLevel,1,0)*IF(IFERROR(MATCH($B13,Character_Creation!$J$350:$J$356,0),0)&gt;0,0,1)*IF(Character_Creation!$M$350&gt;0,1,0)</f>
        <v>0</v>
      </c>
      <c r="CH13">
        <f>IF(CG13=0,0,1+COUNTIF(CH$3:CH12,"&gt;0"))</f>
        <v>0</v>
      </c>
      <c r="CI13">
        <f t="shared" si="40"/>
        <v>11</v>
      </c>
      <c r="CJ13" t="str">
        <f t="shared" si="12"/>
        <v>Comprehend Languages</v>
      </c>
      <c r="CL13">
        <f>IF(IFERROR(SEARCH("Bard",$T13,1),0)&gt;0,1,0)*IF(BardMaxSpellLevel&gt;=$C13,1,0)*IF(IFERROR(MATCH(B13,Character_Creation!$C$341:$F$362,0),0)&gt;0,0,1)*IF(IFERROR(MATCH($B13,Character_Creation!$C$341:$C$362,0),0)&gt;0,0,1)</f>
        <v>0</v>
      </c>
      <c r="CM13">
        <f>IF(CL13=0,0,1+COUNTIF(CM$3:CM12,"&gt;0"))</f>
        <v>0</v>
      </c>
      <c r="CN13" t="str">
        <f t="shared" si="41"/>
        <v/>
      </c>
      <c r="CO13" t="str">
        <f t="shared" si="13"/>
        <v/>
      </c>
      <c r="CQ13">
        <f>IF(IFERROR(SEARCH("Wizard",$T13,1),0)&gt;0,1,0)*IF(WizardMaxSpellLevel&gt;=$C13,1,0)*IF(IFERROR(MATCH(B13,Character_Creation!$X$341:$X$400,0),0)&gt;0,0,1)*IF(SelectedWizardSpellLevel=$C13,1,0)</f>
        <v>0</v>
      </c>
      <c r="CR13">
        <f>IF(CQ13=0,0,1+COUNTIF(CR$3:CR12,"&gt;0"))</f>
        <v>0</v>
      </c>
      <c r="CS13">
        <f t="shared" si="42"/>
        <v>11</v>
      </c>
      <c r="CT13" t="str">
        <f t="shared" si="14"/>
        <v>Glyph of Warding</v>
      </c>
      <c r="CV13">
        <f>IF(IFERROR(MATCH($B13,Character_Creation!$C$341:$C$362,0),0)&gt;0,0,1)*IF(OR(C13="Cantrip",C13&lt;=BardMaxSpellLevel),1,0)*IF(IFERROR(MATCH($B13,Character_Creation!$C$367:$C$374,0),0)&gt;0,0,1)</f>
        <v>0</v>
      </c>
      <c r="CW13">
        <f>IF(CV13=0,0,1+COUNTIF(CW$3:CW12,"&gt;0"))</f>
        <v>0</v>
      </c>
      <c r="CX13">
        <f t="shared" si="43"/>
        <v>11</v>
      </c>
      <c r="CY13" t="str">
        <f t="shared" si="15"/>
        <v>Mage Hand</v>
      </c>
      <c r="DA13">
        <f>IF(IF(OR(IFERROR(SEARCH("Cleric",$T13,1),0)&gt;0,IFERROR(SEARCH(DivineDomain&amp;",",$T13,1),0)&gt;0),1,0)*IF($C13=DA$2,1,0)=1,1+COUNTIF(DA$3:DA12,"&gt;0"),0)</f>
        <v>0</v>
      </c>
      <c r="DB13">
        <f>IF(IF(OR(IFERROR(SEARCH("Cleric",$T13,1),0)&gt;0,IFERROR(SEARCH(DivineDomain&amp;",",$T13,1),0)&gt;0),1,0)*IF($C13=DB$2,1,0)=1,1+COUNTIF(DB$3:DB12,"&gt;0"),0)</f>
        <v>0</v>
      </c>
      <c r="DC13">
        <f>IF(IF(OR(IFERROR(SEARCH("Cleric",$T13,1),0)&gt;0,IFERROR(SEARCH(DivineDomain&amp;",",$T13,1),0)&gt;0),1,0)*IF($C13=DC$2,1,0)=1,1+COUNTIF(DC$3:DC12,"&gt;0"),0)</f>
        <v>0</v>
      </c>
      <c r="DD13">
        <f>IF(IF(OR(IFERROR(SEARCH("Cleric",$T13,1),0)&gt;0,IFERROR(SEARCH(DivineDomain&amp;",",$T13,1),0)&gt;0),1,0)*IF($C13=DD$2,1,0)=1,1+COUNTIF(DD$3:DD12,"&gt;0"),0)</f>
        <v>0</v>
      </c>
      <c r="DE13">
        <f>IF(IF(OR(IFERROR(SEARCH("Cleric",$T13,1),0)&gt;0,IFERROR(SEARCH(DivineDomain&amp;",",$T13,1),0)&gt;0),1,0)*IF($C13=DE$2,1,0)=1,1+COUNTIF(DE$3:DE12,"&gt;0"),0)</f>
        <v>0</v>
      </c>
      <c r="DF13">
        <f>IF(IF(OR(IFERROR(SEARCH("Cleric",$T13,1),0)&gt;0,IFERROR(SEARCH(DivineDomain&amp;",",$T13,1),0)&gt;0),1,0)*IF($C13=DF$2,1,0)=1,1+COUNTIF(DF$3:DF12,"&gt;0"),0)</f>
        <v>0</v>
      </c>
      <c r="DG13">
        <f>IF(IF(OR(IFERROR(SEARCH("Cleric",$T13,1),0)&gt;0,IFERROR(SEARCH(DivineDomain&amp;",",$T13,1),0)&gt;0),1,0)*IF($C13=DG$2,1,0)=1,1+COUNTIF(DG$3:DG12,"&gt;0"),0)</f>
        <v>0</v>
      </c>
      <c r="DH13">
        <f>IF(IF(OR(IFERROR(SEARCH("Cleric",$T13,1),0)&gt;0,IFERROR(SEARCH(DivineDomain&amp;",",$T13,1),0)&gt;0),1,0)*IF($C13=DH$2,1,0)=1,1+COUNTIF(DH$3:DH12,"&gt;0"),0)</f>
        <v>1</v>
      </c>
      <c r="DI13">
        <f>IF(IF(OR(IFERROR(SEARCH("Cleric",$T13,1),0)&gt;0,IFERROR(SEARCH(DivineDomain&amp;",",$T13,1),0)&gt;0),1,0)*IF($C13=DI$2,1,0)=1,1+COUNTIF(DI$3:DI12,"&gt;0"),0)</f>
        <v>0</v>
      </c>
      <c r="DJ13">
        <f>IF(IF(OR(IFERROR(SEARCH("Druid",$T13,1),0)&gt;0,IFERROR(SEARCH(DruidLand1,$T13,1),0)&gt;0,IFERROR(SEARCH(DruidLand2,$T13,1),0)&gt;0,IFERROR(SEARCH(DruidLand3,$T13,1),0)&gt;0,IFERROR(SEARCH(DruidLand4,$T13,1),0)&gt;0),1,0)*IF($C13=1,1,0)*IF($C13=DJ$2,1,0)=0,0,1+COUNTIF(DJ$3:DJ12,"&gt;0"))</f>
        <v>0</v>
      </c>
      <c r="DK13">
        <f>IF(IF(OR(IFERROR(SEARCH("Druid",$T13,1),0)&gt;0,IFERROR(SEARCH(DruidLand1,$T13,1),0)&gt;0,IFERROR(SEARCH(DruidLand2,$T13,1),0)&gt;0,IFERROR(SEARCH(DruidLand3,$T13,1),0)&gt;0,IFERROR(SEARCH(DruidLand4,$T13,1),0)&gt;0),1,0)*IF($C13=1,1,0)*IF($C13=DK$2,1,0)=0,0,1+COUNTIF(DK$3:DK12,"&gt;0"))</f>
        <v>0</v>
      </c>
      <c r="DL13">
        <f>IF(IF(OR(IFERROR(SEARCH("Druid",$T13,1),0)&gt;0,IFERROR(SEARCH(DruidLand1,$T13,1),0)&gt;0,IFERROR(SEARCH(DruidLand2,$T13,1),0)&gt;0,IFERROR(SEARCH(DruidLand3,$T13,1),0)&gt;0,IFERROR(SEARCH(DruidLand4,$T13,1),0)&gt;0),1,0)*IF($C13=1,1,0)*IF($C13=DL$2,1,0)=0,0,1+COUNTIF(DL$3:DL12,"&gt;0"))</f>
        <v>0</v>
      </c>
      <c r="DM13">
        <f>IF(IF(OR(IFERROR(SEARCH("Druid",$T13,1),0)&gt;0,IFERROR(SEARCH(DruidLand1,$T13,1),0)&gt;0,IFERROR(SEARCH(DruidLand2,$T13,1),0)&gt;0,IFERROR(SEARCH(DruidLand3,$T13,1),0)&gt;0,IFERROR(SEARCH(DruidLand4,$T13,1),0)&gt;0),1,0)*IF($C13=1,1,0)*IF($C13=DM$2,1,0)=0,0,1+COUNTIF(DM$3:DM12,"&gt;0"))</f>
        <v>0</v>
      </c>
      <c r="DN13">
        <f>IF(IF(OR(IFERROR(SEARCH("Druid",$T13,1),0)&gt;0,IFERROR(SEARCH(DruidLand1,$T13,1),0)&gt;0,IFERROR(SEARCH(DruidLand2,$T13,1),0)&gt;0,IFERROR(SEARCH(DruidLand3,$T13,1),0)&gt;0,IFERROR(SEARCH(DruidLand4,$T13,1),0)&gt;0),1,0)*IF($C13=1,1,0)*IF($C13=DN$2,1,0)=0,0,1+COUNTIF(DN$3:DN12,"&gt;0"))</f>
        <v>0</v>
      </c>
      <c r="DO13">
        <f>IF(IF(OR(IFERROR(SEARCH("Druid",$T13,1),0)&gt;0,IFERROR(SEARCH(DruidLand1,$T13,1),0)&gt;0,IFERROR(SEARCH(DruidLand2,$T13,1),0)&gt;0,IFERROR(SEARCH(DruidLand3,$T13,1),0)&gt;0,IFERROR(SEARCH(DruidLand4,$T13,1),0)&gt;0),1,0)*IF($C13=1,1,0)*IF($C13=DO$2,1,0)=0,0,1+COUNTIF(DO$3:DO12,"&gt;0"))</f>
        <v>0</v>
      </c>
      <c r="DP13">
        <f>IF(IF(OR(IFERROR(SEARCH("Druid",$T13,1),0)&gt;0,IFERROR(SEARCH(DruidLand1,$T13,1),0)&gt;0,IFERROR(SEARCH(DruidLand2,$T13,1),0)&gt;0,IFERROR(SEARCH(DruidLand3,$T13,1),0)&gt;0,IFERROR(SEARCH(DruidLand4,$T13,1),0)&gt;0),1,0)*IF($C13=1,1,0)*IF($C13=DP$2,1,0)=0,0,1+COUNTIF(DP$3:DP12,"&gt;0"))</f>
        <v>0</v>
      </c>
      <c r="DQ13">
        <f>IF(IF(OR(IFERROR(SEARCH("Druid",$T13,1),0)&gt;0,IFERROR(SEARCH(DruidLand1,$T13,1),0)&gt;0,IFERROR(SEARCH(DruidLand2,$T13,1),0)&gt;0,IFERROR(SEARCH(DruidLand3,$T13,1),0)&gt;0,IFERROR(SEARCH(DruidLand4,$T13,1),0)&gt;0),1,0)*IF($C13=1,1,0)*IF($C13=DQ$2,1,0)=0,0,1+COUNTIF(DQ$3:DQ12,"&gt;0"))</f>
        <v>0</v>
      </c>
      <c r="DR13">
        <f>IF(IF(OR(IFERROR(SEARCH("Druid",$T13,1),0)&gt;0,IFERROR(SEARCH(DruidLand1,$T13,1),0)&gt;0,IFERROR(SEARCH(DruidLand2,$T13,1),0)&gt;0,IFERROR(SEARCH(DruidLand3,$T13,1),0)&gt;0,IFERROR(SEARCH(DruidLand4,$T13,1),0)&gt;0),1,0)*IF($C13=1,1,0)*IF($C13=DR$2,1,0)=0,0,1+COUNTIF(DR$3:DR12,"&gt;0"))</f>
        <v>0</v>
      </c>
      <c r="DS13">
        <f>IF(IF(OR(IFERROR(SEARCH("Paladin",$T13,1),0)&gt;0,IFERROR(SEARCH(PaladinOath,$T13,1),0)&gt;0),1,0)*IF($C13=DS$2,1,0)=1,1+COUNTIF(DS$3:DS12,"&gt;0"),0)</f>
        <v>0</v>
      </c>
      <c r="DT13">
        <f>IF(IF(OR(IFERROR(SEARCH("Paladin",$T13,1),0)&gt;0,IFERROR(SEARCH(PaladinOath,$T13,1),0)&gt;0),1,0)*IF($C13=DT$2,1,0)=1,1+COUNTIF(DT$3:DT12,"&gt;0"),0)</f>
        <v>0</v>
      </c>
      <c r="DU13">
        <f>IF(IF(OR(IFERROR(SEARCH("Paladin",$T13,1),0)&gt;0,IFERROR(SEARCH(PaladinOath,$T13,1),0)&gt;0),1,0)*IF($C13=DU$2,1,0)=1,1+COUNTIF(DU$3:DU12,"&gt;0"),0)</f>
        <v>0</v>
      </c>
      <c r="DV13">
        <f>IF(IF(OR(IFERROR(SEARCH("Paladin",$T13,1),0)&gt;0,IFERROR(SEARCH(PaladinOath,$T13,1),0)&gt;0),1,0)*IF($C13=DV$2,1,0)=1,1+COUNTIF(DV$3:DV12,"&gt;0"),0)</f>
        <v>0</v>
      </c>
      <c r="DW13">
        <f>IF(IF(OR(IFERROR(SEARCH("Paladin",$T13,1),0)&gt;0,IFERROR(SEARCH(PaladinOath,$T13,1),0)&gt;0),1,0)*IF($C13=DW$2,1,0)=1,1+COUNTIF(DW$3:DW12,"&gt;0"),0)</f>
        <v>0</v>
      </c>
      <c r="DY13">
        <f t="shared" si="2"/>
        <v>1</v>
      </c>
      <c r="DZ13">
        <f>IF(DY13=0,0,1+MAX(DZ$3:$DZ12))</f>
        <v>11</v>
      </c>
      <c r="EB13">
        <f t="shared" si="16"/>
        <v>0</v>
      </c>
      <c r="EC13">
        <f>IF(EB13=0,0,1+COUNTIF(EC$3:EC12,"&gt;0"))</f>
        <v>0</v>
      </c>
      <c r="ED13">
        <f t="shared" si="44"/>
        <v>11</v>
      </c>
      <c r="EE13" t="str">
        <f t="shared" si="17"/>
        <v>Vicious Mockery</v>
      </c>
      <c r="EG13">
        <f t="shared" si="18"/>
        <v>0</v>
      </c>
      <c r="EH13">
        <f>IF(EG13=0,0,1+COUNTIF(EH$3:EH12,"&gt;0"))</f>
        <v>0</v>
      </c>
      <c r="EI13" t="str">
        <f t="shared" si="45"/>
        <v/>
      </c>
      <c r="EJ13" t="str">
        <f t="shared" si="19"/>
        <v/>
      </c>
      <c r="EL13">
        <f t="shared" si="20"/>
        <v>0</v>
      </c>
      <c r="EM13">
        <f>IF(EL13=0,0,1+COUNTIF(EM$3:EM12,"&gt;0"))</f>
        <v>0</v>
      </c>
      <c r="EN13">
        <f t="shared" si="46"/>
        <v>11</v>
      </c>
      <c r="EO13" t="str">
        <f t="shared" si="21"/>
        <v>Frostbite</v>
      </c>
      <c r="EQ13">
        <f t="shared" si="22"/>
        <v>0</v>
      </c>
      <c r="ER13">
        <f>IF(EQ13=0,0,1+COUNTIF(ER$3:ER12,"&gt;0"))</f>
        <v>0</v>
      </c>
      <c r="ES13" t="str">
        <f t="shared" si="47"/>
        <v/>
      </c>
      <c r="ET13" t="str">
        <f t="shared" si="23"/>
        <v/>
      </c>
      <c r="EV13">
        <f t="shared" si="24"/>
        <v>0</v>
      </c>
      <c r="EW13">
        <f>IF(EV13=0,0,1+COUNTIF(EW$3:EW12,"&gt;0"))</f>
        <v>0</v>
      </c>
      <c r="EX13" t="str">
        <f t="shared" si="48"/>
        <v/>
      </c>
      <c r="EY13" t="str">
        <f t="shared" si="25"/>
        <v/>
      </c>
      <c r="FA13">
        <f t="shared" si="26"/>
        <v>0</v>
      </c>
      <c r="FB13">
        <f>IF(FA13=0,0,1+COUNTIF(FB$3:FB12,"&gt;0"))</f>
        <v>0</v>
      </c>
      <c r="FC13">
        <f t="shared" si="49"/>
        <v>11</v>
      </c>
      <c r="FD13" t="str">
        <f t="shared" si="27"/>
        <v>Minor Illusion</v>
      </c>
      <c r="FF13">
        <f t="shared" si="28"/>
        <v>0</v>
      </c>
      <c r="FG13">
        <f>IF(FF13=0,0,1+COUNTIF(FG$3:FG12,"&gt;0"))</f>
        <v>0</v>
      </c>
      <c r="FH13">
        <f t="shared" si="50"/>
        <v>11</v>
      </c>
      <c r="FI13" t="str">
        <f t="shared" si="29"/>
        <v>Magic Stone</v>
      </c>
      <c r="FK13">
        <f t="shared" si="30"/>
        <v>0</v>
      </c>
      <c r="FL13">
        <f>IF(FK13=0,0,1+COUNTIF(FL$3:FL12,"&gt;0"))</f>
        <v>0</v>
      </c>
      <c r="FM13">
        <f t="shared" si="51"/>
        <v>11</v>
      </c>
      <c r="FN13" t="str">
        <f t="shared" si="31"/>
        <v>Minor Illusion</v>
      </c>
      <c r="FP13">
        <f t="shared" si="32"/>
        <v>0</v>
      </c>
      <c r="FQ13">
        <f>IF(FP13=0,0,1+COUNTIF(FQ$3:FQ12,"&gt;0"))</f>
        <v>0</v>
      </c>
      <c r="FR13">
        <f t="shared" si="52"/>
        <v>11</v>
      </c>
      <c r="FS13" t="str">
        <f t="shared" si="33"/>
        <v>Vicious Mockery</v>
      </c>
    </row>
    <row r="14" spans="1:175" x14ac:dyDescent="0.25">
      <c r="A14" s="347">
        <f t="shared" si="53"/>
        <v>12</v>
      </c>
      <c r="B14" s="348" t="s">
        <v>2363</v>
      </c>
      <c r="C14" s="348">
        <v>8</v>
      </c>
      <c r="D14" s="347">
        <v>8</v>
      </c>
      <c r="E14" s="627" t="s">
        <v>6952</v>
      </c>
      <c r="F14" s="346"/>
      <c r="G14" s="347" t="str">
        <f>""</f>
        <v/>
      </c>
      <c r="H14" s="347" t="s">
        <v>5293</v>
      </c>
      <c r="I14" s="347" t="s">
        <v>424</v>
      </c>
      <c r="J14" s="347" t="str">
        <f t="shared" si="3"/>
        <v/>
      </c>
      <c r="K14" s="347" t="s">
        <v>2364</v>
      </c>
      <c r="L14" s="611" t="str">
        <f t="shared" si="4"/>
        <v>V, S, M, either a lump of alum soaked in vinegar for the antipathy effect or a drop of honey for the sympathy effect</v>
      </c>
      <c r="M14" s="347" t="s">
        <v>2373</v>
      </c>
      <c r="N14" s="347" t="s">
        <v>2387</v>
      </c>
      <c r="O14" s="347" t="s">
        <v>1244</v>
      </c>
      <c r="P14" s="346" t="s">
        <v>5294</v>
      </c>
      <c r="Q14" s="347" t="s">
        <v>5272</v>
      </c>
      <c r="S14" s="346" t="s">
        <v>5592</v>
      </c>
      <c r="T14" s="346" t="str">
        <f t="shared" si="5"/>
        <v xml:space="preserve">Druid, Arcane Trickster, Wizard, </v>
      </c>
      <c r="AA14" s="347" t="str">
        <f>$B14</f>
        <v>Antipathy/Sympathy</v>
      </c>
      <c r="AC14" s="347" t="str">
        <f>B14</f>
        <v>Antipathy/Sympathy</v>
      </c>
      <c r="AD14" s="347" t="str">
        <f>$B14</f>
        <v>Antipathy/Sympathy</v>
      </c>
      <c r="AE14" t="str">
        <f>IF(IFERROR(MATCH($B14,temp!A$4:A$13,0),0)&gt;0,T08_Spells!AE$2,"")</f>
        <v/>
      </c>
      <c r="AF14" t="str">
        <f>IF(IFERROR(MATCH($B14,temp!B$4:B$13,0),0)&gt;0,T08_Spells!AF$2,"")</f>
        <v/>
      </c>
      <c r="AG14" t="str">
        <f>IF(IFERROR(MATCH($B14,temp!C$4:C$13,0),0)&gt;0,T08_Spells!AG$2,"")</f>
        <v/>
      </c>
      <c r="AH14" t="str">
        <f>IF(IFERROR(MATCH($B14,temp!D$4:D$13,0),0)&gt;0,T08_Spells!AH$2,"")</f>
        <v/>
      </c>
      <c r="AI14" t="str">
        <f>IF(IFERROR(MATCH($B14,temp!E$4:E$13,0),0)&gt;0,T08_Spells!AI$2,"")</f>
        <v/>
      </c>
      <c r="AJ14" t="str">
        <f>IF(IFERROR(MATCH($B14,temp!F$4:F$13,0),0)&gt;0,T08_Spells!AJ$2,"")</f>
        <v/>
      </c>
      <c r="AK14" t="str">
        <f>IF(IFERROR(MATCH($B14,temp!G$4:G$13,0),0)&gt;0,T08_Spells!AK$2,"")</f>
        <v/>
      </c>
      <c r="AL14" t="str">
        <f>IF(IFERROR(MATCH($B14,temp!H$4:H$13,0),0)&gt;0,T08_Spells!AL$2,"")</f>
        <v/>
      </c>
      <c r="AM14" t="str">
        <f>IF(IFERROR(MATCH($B14,temp!I$4:I$13,0),0)&gt;0,T08_Spells!AM$2,"")</f>
        <v/>
      </c>
      <c r="AN14" t="str">
        <f>IF(IFERROR(MATCH($B14,temp!J$4:J$13,0),0)&gt;0,T08_Spells!AN$2,"")</f>
        <v/>
      </c>
      <c r="AO14" t="str">
        <f>IF(IFERROR(MATCH($B14,temp!K$4:K$13,0),0)&gt;0,T08_Spells!AO$2,"")</f>
        <v/>
      </c>
      <c r="AP14" t="str">
        <f>IF(IFERROR(MATCH($B14,temp!L$4:L$13,0),0)&gt;0,T08_Spells!AP$2,"")</f>
        <v/>
      </c>
      <c r="AQ14" t="str">
        <f>IF(IFERROR(MATCH($B14,temp!M$4:M$13,0),0)&gt;0,T08_Spells!AQ$2,"")</f>
        <v/>
      </c>
      <c r="AR14" t="str">
        <f>IF(IFERROR(MATCH($B14,temp!N$4:N$13,0),0)&gt;0,T08_Spells!AR$2,"")</f>
        <v/>
      </c>
      <c r="AS14" t="str">
        <f>IF(IFERROR(MATCH($B14,temp!O$4:O$13,0),0)&gt;0,T08_Spells!AS$2,"")</f>
        <v/>
      </c>
      <c r="AT14" t="str">
        <f>IF(IFERROR(MATCH($B14,temp!P$4:P$13,0),0)&gt;0,T08_Spells!AT$2,"")</f>
        <v/>
      </c>
      <c r="AU14" t="str">
        <f>IF(IFERROR(MATCH($B14,temp!Q$4:Q$13,0),0)&gt;0,T08_Spells!AU$2,"")</f>
        <v/>
      </c>
      <c r="AV14" t="str">
        <f>IF(IFERROR(MATCH($B14,temp!R$4:R$13,0),0)&gt;0,T08_Spells!AV$2,"")</f>
        <v/>
      </c>
      <c r="AW14" t="str">
        <f>IF(IFERROR(MATCH($B14,temp!S$4:S$13,0),0)&gt;0,T08_Spells!AW$2,"")</f>
        <v/>
      </c>
      <c r="AX14" t="str">
        <f>IF(IFERROR(MATCH($B14,temp!T$4:T$13,0),0)&gt;0,T08_Spells!AX$2,"")</f>
        <v/>
      </c>
      <c r="AY14" t="str">
        <f>IF(IFERROR(MATCH($B14,temp!U$4:U$13,0),0)&gt;0,T08_Spells!AY$2,"")</f>
        <v/>
      </c>
      <c r="AZ14" t="str">
        <f>IF(IFERROR(MATCH($B14,temp!V$4:V$13,0),0)&gt;0,T08_Spells!AZ$2,"")</f>
        <v/>
      </c>
      <c r="BA14" t="str">
        <f>IF(IFERROR(MATCH($B14,temp!W$4:W$13,0),0)&gt;0,T08_Spells!BA$2,"")</f>
        <v/>
      </c>
      <c r="BC14">
        <f>IF(IFERROR(SEARCH("Ranger",$T14,1),0)&gt;0,1,0)*IF(RangerMaxSpellLevel&gt;=$C14,1,0)*IF(IFERROR(MATCH(B14,Character_Creation!$X$79:$X$382,0),0)&gt;0,0,1)</f>
        <v>0</v>
      </c>
      <c r="BD14">
        <f>IF(BC14=0,0,1+COUNTIF(BD$3:BD13,"&gt;0"))</f>
        <v>0</v>
      </c>
      <c r="BE14" t="str">
        <f t="shared" si="34"/>
        <v/>
      </c>
      <c r="BF14" t="str">
        <f t="shared" si="6"/>
        <v/>
      </c>
      <c r="BH14">
        <f>IF(IFERROR(SEARCH("Sorcerer",$T14,1),0)&gt;0,1,0)*IF(SorcererMaxSpellLevel&gt;=$C14,1,0)*IF(IFERROR(MATCH(B14,Character_Creation!$J$380:$J$394,0),0)&gt;0,0,1)</f>
        <v>0</v>
      </c>
      <c r="BI14">
        <f>IF(BH14=0,0,1+COUNTIF(BI$3:BI13,"&gt;0"))</f>
        <v>0</v>
      </c>
      <c r="BJ14" t="str">
        <f t="shared" si="35"/>
        <v/>
      </c>
      <c r="BK14" t="str">
        <f t="shared" si="7"/>
        <v/>
      </c>
      <c r="BM14">
        <f>IF(OR(IFERROR(SEARCH("Warlock",$T14,1),0)&gt;0,IFERROR(SEARCH(WarlockPatron,$T14,1),0)&gt;0),1,0)*IF(WarlockMaxSpellLevel&gt;=$C14,1,0)*IF(IFERROR(MATCH(B14,Character_Creation!$J$361:$J$375,0),0)&gt;0,0,1)</f>
        <v>0</v>
      </c>
      <c r="BN14">
        <f>IF(BM14=0,0,1+COUNTIF(BN$3:BN13,"&gt;0"))</f>
        <v>0</v>
      </c>
      <c r="BO14" t="str">
        <f t="shared" si="36"/>
        <v/>
      </c>
      <c r="BP14" t="str">
        <f t="shared" si="8"/>
        <v/>
      </c>
      <c r="BR14">
        <f>IF(IFERROR(SEARCH("Eldritch Knight",$T14,1),0)&gt;0,1,0)*IF(EldritchKnightMaxSpellLevel&gt;=$C14,1,0)*IF(IFERROR(MATCH($B14,Character_Creation!$J$350:$J$356,0),0)&gt;0,0,1)*IF(Character_Creation!$M$338&gt;0,1,0)</f>
        <v>0</v>
      </c>
      <c r="BS14">
        <f>IF(BR14=0,0,1+COUNTIF(BS$3:BS13,"&gt;0"))</f>
        <v>0</v>
      </c>
      <c r="BT14" t="str">
        <f t="shared" si="37"/>
        <v/>
      </c>
      <c r="BU14" t="str">
        <f t="shared" si="9"/>
        <v/>
      </c>
      <c r="BW14">
        <f>IF(IFERROR(SEARCH("Arcane Trickster",$T14,1),0)&gt;0,1,0)*IF(ArcaneTricksterMaxSpellLevel&gt;=$C14,1,0)*IF(IFERROR(MATCH($B14,Character_Creation!$J$350:$J$356,0),0)&gt;0,0,1)*IF(Character_Creation!$T$338&gt;0,1,0)</f>
        <v>0</v>
      </c>
      <c r="BX14">
        <f>IF(BW14=0,0,1+COUNTIF(BX$3:BX13,"&gt;0"))</f>
        <v>0</v>
      </c>
      <c r="BY14" t="str">
        <f t="shared" si="38"/>
        <v/>
      </c>
      <c r="BZ14" t="str">
        <f t="shared" si="10"/>
        <v/>
      </c>
      <c r="CB14">
        <f>IF(IFERROR(SEARCH("Wizard",$T14,1),0)&gt;0,1,0)*IF(C14&lt;=ArcaneTricksterMaxSpellLevel,1,0)*IF(IFERROR(MATCH($B14,Character_Creation!$J$350:$J$356,0),0)&gt;0,0,1)*IF(Character_Creation!$T$350&gt;0,1,0)</f>
        <v>0</v>
      </c>
      <c r="CC14">
        <f>IF(CB14=0,0,1+COUNTIF(CC$3:CC13,"&gt;0"))</f>
        <v>0</v>
      </c>
      <c r="CD14" t="str">
        <f t="shared" si="39"/>
        <v/>
      </c>
      <c r="CE14" t="str">
        <f t="shared" si="11"/>
        <v/>
      </c>
      <c r="CG14">
        <f>IF(IFERROR(SEARCH("Wizard",$T14,1),0)&gt;0,1,0)*IF($C14&lt;=EldritchKnightMaxSpellLevel,1,0)*IF(IFERROR(MATCH($B14,Character_Creation!$J$350:$J$356,0),0)&gt;0,0,1)*IF(Character_Creation!$M$350&gt;0,1,0)</f>
        <v>0</v>
      </c>
      <c r="CH14">
        <f>IF(CG14=0,0,1+COUNTIF(CH$3:CH13,"&gt;0"))</f>
        <v>0</v>
      </c>
      <c r="CI14">
        <f t="shared" si="40"/>
        <v>12</v>
      </c>
      <c r="CJ14" t="str">
        <f t="shared" si="12"/>
        <v>Continual Flame</v>
      </c>
      <c r="CL14">
        <f>IF(IFERROR(SEARCH("Bard",$T14,1),0)&gt;0,1,0)*IF(BardMaxSpellLevel&gt;=$C14,1,0)*IF(IFERROR(MATCH(B14,Character_Creation!$C$341:$F$362,0),0)&gt;0,0,1)*IF(IFERROR(MATCH($B14,Character_Creation!$C$341:$C$362,0),0)&gt;0,0,1)</f>
        <v>0</v>
      </c>
      <c r="CM14">
        <f>IF(CL14=0,0,1+COUNTIF(CM$3:CM13,"&gt;0"))</f>
        <v>0</v>
      </c>
      <c r="CN14" t="str">
        <f t="shared" si="41"/>
        <v/>
      </c>
      <c r="CO14" t="str">
        <f t="shared" si="13"/>
        <v/>
      </c>
      <c r="CQ14">
        <f>IF(IFERROR(SEARCH("Wizard",$T14,1),0)&gt;0,1,0)*IF(WizardMaxSpellLevel&gt;=$C14,1,0)*IF(IFERROR(MATCH(B14,Character_Creation!$X$341:$X$400,0),0)&gt;0,0,1)*IF(SelectedWizardSpellLevel=$C14,1,0)</f>
        <v>0</v>
      </c>
      <c r="CR14">
        <f>IF(CQ14=0,0,1+COUNTIF(CR$3:CR13,"&gt;0"))</f>
        <v>0</v>
      </c>
      <c r="CS14">
        <f t="shared" si="42"/>
        <v>12</v>
      </c>
      <c r="CT14" t="str">
        <f t="shared" si="14"/>
        <v>Hypnotic Pattern</v>
      </c>
      <c r="CV14">
        <f>IF(IFERROR(MATCH($B14,Character_Creation!$C$341:$C$362,0),0)&gt;0,0,1)*IF(OR(C14="Cantrip",C14&lt;=BardMaxSpellLevel),1,0)*IF(IFERROR(MATCH($B14,Character_Creation!$C$367:$C$374,0),0)&gt;0,0,1)</f>
        <v>0</v>
      </c>
      <c r="CW14">
        <f>IF(CV14=0,0,1+COUNTIF(CW$3:CW13,"&gt;0"))</f>
        <v>0</v>
      </c>
      <c r="CX14">
        <f t="shared" si="43"/>
        <v>12</v>
      </c>
      <c r="CY14" t="str">
        <f t="shared" si="15"/>
        <v>Mending</v>
      </c>
      <c r="DA14">
        <f>IF(IF(OR(IFERROR(SEARCH("Cleric",$T14,1),0)&gt;0,IFERROR(SEARCH(DivineDomain&amp;",",$T14,1),0)&gt;0),1,0)*IF($C14=DA$2,1,0)=1,1+COUNTIF(DA$3:DA13,"&gt;0"),0)</f>
        <v>0</v>
      </c>
      <c r="DB14">
        <f>IF(IF(OR(IFERROR(SEARCH("Cleric",$T14,1),0)&gt;0,IFERROR(SEARCH(DivineDomain&amp;",",$T14,1),0)&gt;0),1,0)*IF($C14=DB$2,1,0)=1,1+COUNTIF(DB$3:DB13,"&gt;0"),0)</f>
        <v>0</v>
      </c>
      <c r="DC14">
        <f>IF(IF(OR(IFERROR(SEARCH("Cleric",$T14,1),0)&gt;0,IFERROR(SEARCH(DivineDomain&amp;",",$T14,1),0)&gt;0),1,0)*IF($C14=DC$2,1,0)=1,1+COUNTIF(DC$3:DC13,"&gt;0"),0)</f>
        <v>0</v>
      </c>
      <c r="DD14">
        <f>IF(IF(OR(IFERROR(SEARCH("Cleric",$T14,1),0)&gt;0,IFERROR(SEARCH(DivineDomain&amp;",",$T14,1),0)&gt;0),1,0)*IF($C14=DD$2,1,0)=1,1+COUNTIF(DD$3:DD13,"&gt;0"),0)</f>
        <v>0</v>
      </c>
      <c r="DE14">
        <f>IF(IF(OR(IFERROR(SEARCH("Cleric",$T14,1),0)&gt;0,IFERROR(SEARCH(DivineDomain&amp;",",$T14,1),0)&gt;0),1,0)*IF($C14=DE$2,1,0)=1,1+COUNTIF(DE$3:DE13,"&gt;0"),0)</f>
        <v>0</v>
      </c>
      <c r="DF14">
        <f>IF(IF(OR(IFERROR(SEARCH("Cleric",$T14,1),0)&gt;0,IFERROR(SEARCH(DivineDomain&amp;",",$T14,1),0)&gt;0),1,0)*IF($C14=DF$2,1,0)=1,1+COUNTIF(DF$3:DF13,"&gt;0"),0)</f>
        <v>0</v>
      </c>
      <c r="DG14">
        <f>IF(IF(OR(IFERROR(SEARCH("Cleric",$T14,1),0)&gt;0,IFERROR(SEARCH(DivineDomain&amp;",",$T14,1),0)&gt;0),1,0)*IF($C14=DG$2,1,0)=1,1+COUNTIF(DG$3:DG13,"&gt;0"),0)</f>
        <v>0</v>
      </c>
      <c r="DH14">
        <f>IF(IF(OR(IFERROR(SEARCH("Cleric",$T14,1),0)&gt;0,IFERROR(SEARCH(DivineDomain&amp;",",$T14,1),0)&gt;0),1,0)*IF($C14=DH$2,1,0)=1,1+COUNTIF(DH$3:DH13,"&gt;0"),0)</f>
        <v>0</v>
      </c>
      <c r="DI14">
        <f>IF(IF(OR(IFERROR(SEARCH("Cleric",$T14,1),0)&gt;0,IFERROR(SEARCH(DivineDomain&amp;",",$T14,1),0)&gt;0),1,0)*IF($C14=DI$2,1,0)=1,1+COUNTIF(DI$3:DI13,"&gt;0"),0)</f>
        <v>0</v>
      </c>
      <c r="DJ14">
        <f>IF(IF(OR(IFERROR(SEARCH("Druid",$T14,1),0)&gt;0,IFERROR(SEARCH(DruidLand1,$T14,1),0)&gt;0,IFERROR(SEARCH(DruidLand2,$T14,1),0)&gt;0,IFERROR(SEARCH(DruidLand3,$T14,1),0)&gt;0,IFERROR(SEARCH(DruidLand4,$T14,1),0)&gt;0),1,0)*IF($C14=1,1,0)*IF($C14=DJ$2,1,0)=0,0,1+COUNTIF(DJ$3:DJ13,"&gt;0"))</f>
        <v>0</v>
      </c>
      <c r="DK14">
        <f>IF(IF(OR(IFERROR(SEARCH("Druid",$T14,1),0)&gt;0,IFERROR(SEARCH(DruidLand1,$T14,1),0)&gt;0,IFERROR(SEARCH(DruidLand2,$T14,1),0)&gt;0,IFERROR(SEARCH(DruidLand3,$T14,1),0)&gt;0,IFERROR(SEARCH(DruidLand4,$T14,1),0)&gt;0),1,0)*IF($C14=DK$2,1,0)=0,0,1+COUNTIF(DK$3:DK13,"&gt;0"))</f>
        <v>0</v>
      </c>
      <c r="DL14">
        <f>IF(IF(OR(IFERROR(SEARCH("Druid",$T14,1),0)&gt;0,IFERROR(SEARCH(DruidLand1,$T14,1),0)&gt;0,IFERROR(SEARCH(DruidLand2,$T14,1),0)&gt;0,IFERROR(SEARCH(DruidLand3,$T14,1),0)&gt;0,IFERROR(SEARCH(DruidLand4,$T14,1),0)&gt;0),1,0)*IF($C14=DL$2,1,0)=0,0,1+COUNTIF(DL$3:DL13,"&gt;0"))</f>
        <v>0</v>
      </c>
      <c r="DM14">
        <f>IF(IF(OR(IFERROR(SEARCH("Druid",$T14,1),0)&gt;0,IFERROR(SEARCH(DruidLand1,$T14,1),0)&gt;0,IFERROR(SEARCH(DruidLand2,$T14,1),0)&gt;0,IFERROR(SEARCH(DruidLand3,$T14,1),0)&gt;0,IFERROR(SEARCH(DruidLand4,$T14,1),0)&gt;0),1,0)*IF($C14=DM$2,1,0)=0,0,1+COUNTIF(DM$3:DM13,"&gt;0"))</f>
        <v>0</v>
      </c>
      <c r="DN14">
        <f>IF(IF(OR(IFERROR(SEARCH("Druid",$T14,1),0)&gt;0,IFERROR(SEARCH(DruidLand1,$T14,1),0)&gt;0,IFERROR(SEARCH(DruidLand2,$T14,1),0)&gt;0,IFERROR(SEARCH(DruidLand3,$T14,1),0)&gt;0,IFERROR(SEARCH(DruidLand4,$T14,1),0)&gt;0),1,0)*IF($C14=DN$2,1,0)=0,0,1+COUNTIF(DN$3:DN13,"&gt;0"))</f>
        <v>0</v>
      </c>
      <c r="DO14">
        <f>IF(IF(OR(IFERROR(SEARCH("Druid",$T14,1),0)&gt;0,IFERROR(SEARCH(DruidLand1,$T14,1),0)&gt;0,IFERROR(SEARCH(DruidLand2,$T14,1),0)&gt;0,IFERROR(SEARCH(DruidLand3,$T14,1),0)&gt;0,IFERROR(SEARCH(DruidLand4,$T14,1),0)&gt;0),1,0)*IF($C14=DO$2,1,0)=0,0,1+COUNTIF(DO$3:DO13,"&gt;0"))</f>
        <v>0</v>
      </c>
      <c r="DP14">
        <f>IF(IF(OR(IFERROR(SEARCH("Druid",$T14,1),0)&gt;0,IFERROR(SEARCH(DruidLand1,$T14,1),0)&gt;0,IFERROR(SEARCH(DruidLand2,$T14,1),0)&gt;0,IFERROR(SEARCH(DruidLand3,$T14,1),0)&gt;0,IFERROR(SEARCH(DruidLand4,$T14,1),0)&gt;0),1,0)*IF($C14=DP$2,1,0)=0,0,1+COUNTIF(DP$3:DP13,"&gt;0"))</f>
        <v>0</v>
      </c>
      <c r="DQ14">
        <f>IF(IF(OR(IFERROR(SEARCH("Druid",$T14,1),0)&gt;0,IFERROR(SEARCH(DruidLand1,$T14,1),0)&gt;0,IFERROR(SEARCH(DruidLand2,$T14,1),0)&gt;0,IFERROR(SEARCH(DruidLand3,$T14,1),0)&gt;0,IFERROR(SEARCH(DruidLand4,$T14,1),0)&gt;0),1,0)*IF($C14=DQ$2,1,0)=0,0,1+COUNTIF(DQ$3:DQ13,"&gt;0"))</f>
        <v>2</v>
      </c>
      <c r="DR14">
        <f>IF(IF(OR(IFERROR(SEARCH("Druid",$T14,1),0)&gt;0,IFERROR(SEARCH(DruidLand1,$T14,1),0)&gt;0,IFERROR(SEARCH(DruidLand2,$T14,1),0)&gt;0,IFERROR(SEARCH(DruidLand3,$T14,1),0)&gt;0,IFERROR(SEARCH(DruidLand4,$T14,1),0)&gt;0),1,0)*IF($C14=DR$2,1,0)=0,0,1+COUNTIF(DR$3:DR13,"&gt;0"))</f>
        <v>0</v>
      </c>
      <c r="DS14">
        <f>IF(IF(OR(IFERROR(SEARCH("Paladin",$T14,1),0)&gt;0,IFERROR(SEARCH(PaladinOath,$T14,1),0)&gt;0),1,0)*IF($C14=DS$2,1,0)=1,1+COUNTIF(DS$3:DS13,"&gt;0"),0)</f>
        <v>0</v>
      </c>
      <c r="DT14">
        <f>IF(IF(OR(IFERROR(SEARCH("Paladin",$T14,1),0)&gt;0,IFERROR(SEARCH(PaladinOath,$T14,1),0)&gt;0),1,0)*IF($C14=DT$2,1,0)=1,1+COUNTIF(DT$3:DT13,"&gt;0"),0)</f>
        <v>0</v>
      </c>
      <c r="DU14">
        <f>IF(IF(OR(IFERROR(SEARCH("Paladin",$T14,1),0)&gt;0,IFERROR(SEARCH(PaladinOath,$T14,1),0)&gt;0),1,0)*IF($C14=DU$2,1,0)=1,1+COUNTIF(DU$3:DU13,"&gt;0"),0)</f>
        <v>0</v>
      </c>
      <c r="DV14">
        <f>IF(IF(OR(IFERROR(SEARCH("Paladin",$T14,1),0)&gt;0,IFERROR(SEARCH(PaladinOath,$T14,1),0)&gt;0),1,0)*IF($C14=DV$2,1,0)=1,1+COUNTIF(DV$3:DV13,"&gt;0"),0)</f>
        <v>0</v>
      </c>
      <c r="DW14">
        <f>IF(IF(OR(IFERROR(SEARCH("Paladin",$T14,1),0)&gt;0,IFERROR(SEARCH(PaladinOath,$T14,1),0)&gt;0),1,0)*IF($C14=DW$2,1,0)=1,1+COUNTIF(DW$3:DW13,"&gt;0"),0)</f>
        <v>0</v>
      </c>
      <c r="DY14">
        <f t="shared" si="2"/>
        <v>1</v>
      </c>
      <c r="DZ14">
        <f>IF(DY14=0,0,1+MAX(DZ$3:$DZ13))</f>
        <v>12</v>
      </c>
      <c r="EB14">
        <f t="shared" si="16"/>
        <v>0</v>
      </c>
      <c r="EC14">
        <f>IF(EB14=0,0,1+COUNTIF(EC$3:EC13,"&gt;0"))</f>
        <v>0</v>
      </c>
      <c r="ED14">
        <f t="shared" si="44"/>
        <v>12</v>
      </c>
      <c r="EE14" t="str">
        <f t="shared" si="17"/>
        <v>Thunderclap</v>
      </c>
      <c r="EG14">
        <f t="shared" si="18"/>
        <v>0</v>
      </c>
      <c r="EH14">
        <f>IF(EG14=0,0,1+COUNTIF(EH$3:EH13,"&gt;0"))</f>
        <v>0</v>
      </c>
      <c r="EI14" t="str">
        <f t="shared" si="45"/>
        <v/>
      </c>
      <c r="EJ14" t="str">
        <f t="shared" si="19"/>
        <v/>
      </c>
      <c r="EL14">
        <f t="shared" si="20"/>
        <v>0</v>
      </c>
      <c r="EM14">
        <f>IF(EL14=0,0,1+COUNTIF(EM$3:EM13,"&gt;0"))</f>
        <v>0</v>
      </c>
      <c r="EN14">
        <f t="shared" si="46"/>
        <v>12</v>
      </c>
      <c r="EO14" t="str">
        <f t="shared" si="21"/>
        <v>Gust</v>
      </c>
      <c r="EQ14">
        <f t="shared" si="22"/>
        <v>0</v>
      </c>
      <c r="ER14">
        <f>IF(EQ14=0,0,1+COUNTIF(ER$3:ER13,"&gt;0"))</f>
        <v>0</v>
      </c>
      <c r="ES14" t="str">
        <f t="shared" si="47"/>
        <v/>
      </c>
      <c r="ET14" t="str">
        <f t="shared" si="23"/>
        <v/>
      </c>
      <c r="EV14">
        <f t="shared" si="24"/>
        <v>0</v>
      </c>
      <c r="EW14">
        <f>IF(EV14=0,0,1+COUNTIF(EW$3:EW13,"&gt;0"))</f>
        <v>0</v>
      </c>
      <c r="EX14" t="str">
        <f t="shared" si="48"/>
        <v/>
      </c>
      <c r="EY14" t="str">
        <f t="shared" si="25"/>
        <v/>
      </c>
      <c r="FA14">
        <f t="shared" si="26"/>
        <v>0</v>
      </c>
      <c r="FB14">
        <f>IF(FA14=0,0,1+COUNTIF(FB$3:FB13,"&gt;0"))</f>
        <v>0</v>
      </c>
      <c r="FC14">
        <f t="shared" si="49"/>
        <v>12</v>
      </c>
      <c r="FD14" t="str">
        <f t="shared" si="27"/>
        <v>Poison Spray</v>
      </c>
      <c r="FF14">
        <f t="shared" si="28"/>
        <v>0</v>
      </c>
      <c r="FG14">
        <f>IF(FF14=0,0,1+COUNTIF(FG$3:FG13,"&gt;0"))</f>
        <v>0</v>
      </c>
      <c r="FH14">
        <f t="shared" si="50"/>
        <v>12</v>
      </c>
      <c r="FI14" t="str">
        <f t="shared" si="29"/>
        <v>Thunderclap</v>
      </c>
      <c r="FK14">
        <f t="shared" si="30"/>
        <v>0</v>
      </c>
      <c r="FL14">
        <f>IF(FK14=0,0,1+COUNTIF(FL$3:FL13,"&gt;0"))</f>
        <v>0</v>
      </c>
      <c r="FM14">
        <f t="shared" si="51"/>
        <v>12</v>
      </c>
      <c r="FN14" t="str">
        <f t="shared" si="31"/>
        <v>Poison Spray</v>
      </c>
      <c r="FP14">
        <f t="shared" si="32"/>
        <v>0</v>
      </c>
      <c r="FQ14">
        <f>IF(FP14=0,0,1+COUNTIF(FQ$3:FQ13,"&gt;0"))</f>
        <v>0</v>
      </c>
      <c r="FR14">
        <f t="shared" si="52"/>
        <v>12</v>
      </c>
      <c r="FS14" t="str">
        <f t="shared" si="33"/>
        <v>Thunderclap</v>
      </c>
    </row>
    <row r="15" spans="1:175" x14ac:dyDescent="0.25">
      <c r="A15" s="347">
        <f t="shared" si="53"/>
        <v>13</v>
      </c>
      <c r="B15" s="348" t="s">
        <v>2365</v>
      </c>
      <c r="C15" s="348">
        <v>4</v>
      </c>
      <c r="D15" s="347">
        <v>4</v>
      </c>
      <c r="E15" s="627" t="s">
        <v>6952</v>
      </c>
      <c r="F15" s="346"/>
      <c r="G15" s="347" t="str">
        <f>""</f>
        <v/>
      </c>
      <c r="H15" s="347" t="s">
        <v>5912</v>
      </c>
      <c r="I15" s="347" t="s">
        <v>5060</v>
      </c>
      <c r="J15" s="347" t="str">
        <f t="shared" si="3"/>
        <v/>
      </c>
      <c r="K15" s="347" t="s">
        <v>5284</v>
      </c>
      <c r="L15" s="611" t="str">
        <f t="shared" si="4"/>
        <v>V, S, M, a bit of bat fur</v>
      </c>
      <c r="M15" s="347" t="s">
        <v>2373</v>
      </c>
      <c r="N15" s="347" t="s">
        <v>2387</v>
      </c>
      <c r="O15" s="347" t="s">
        <v>1244</v>
      </c>
      <c r="P15" s="346" t="s">
        <v>5295</v>
      </c>
      <c r="Q15" s="347" t="s">
        <v>2473</v>
      </c>
      <c r="S15" s="346" t="s">
        <v>5593</v>
      </c>
      <c r="T15" s="346" t="str">
        <f t="shared" si="5"/>
        <v xml:space="preserve">Wizard, Knowledge, </v>
      </c>
      <c r="AD15" s="347" t="str">
        <f>$B15</f>
        <v>Arcane Eye</v>
      </c>
      <c r="AE15" t="str">
        <f>IF(IFERROR(MATCH($B15,temp!A$4:A$13,0),0)&gt;0,T08_Spells!AE$2,"")</f>
        <v/>
      </c>
      <c r="AF15" t="str">
        <f>IF(IFERROR(MATCH($B15,temp!B$4:B$13,0),0)&gt;0,T08_Spells!AF$2,"")</f>
        <v/>
      </c>
      <c r="AG15" t="str">
        <f>IF(IFERROR(MATCH($B15,temp!C$4:C$13,0),0)&gt;0,T08_Spells!AG$2,"")</f>
        <v/>
      </c>
      <c r="AH15" t="str">
        <f>IF(IFERROR(MATCH($B15,temp!D$4:D$13,0),0)&gt;0,T08_Spells!AH$2,"")</f>
        <v/>
      </c>
      <c r="AI15" t="str">
        <f>IF(IFERROR(MATCH($B15,temp!E$4:E$13,0),0)&gt;0,T08_Spells!AI$2,"")</f>
        <v/>
      </c>
      <c r="AJ15" t="str">
        <f>IF(IFERROR(MATCH($B15,temp!F$4:F$13,0),0)&gt;0,T08_Spells!AJ$2,"")</f>
        <v/>
      </c>
      <c r="AK15" t="str">
        <f>IF(IFERROR(MATCH($B15,temp!G$4:G$13,0),0)&gt;0,T08_Spells!AK$2,"")</f>
        <v/>
      </c>
      <c r="AL15" t="str">
        <f>IF(IFERROR(MATCH($B15,temp!H$4:H$13,0),0)&gt;0,T08_Spells!AL$2,"")</f>
        <v/>
      </c>
      <c r="AM15" t="str">
        <f>IF(IFERROR(MATCH($B15,temp!I$4:I$13,0),0)&gt;0,T08_Spells!AM$2,"")</f>
        <v/>
      </c>
      <c r="AN15" t="str">
        <f>IF(IFERROR(MATCH($B15,temp!J$4:J$13,0),0)&gt;0,T08_Spells!AN$2,"")</f>
        <v/>
      </c>
      <c r="AO15" t="str">
        <f>IF(IFERROR(MATCH($B15,temp!K$4:K$13,0),0)&gt;0,T08_Spells!AO$2,"")</f>
        <v/>
      </c>
      <c r="AP15" t="str">
        <f>IF(IFERROR(MATCH($B15,temp!L$4:L$13,0),0)&gt;0,T08_Spells!AP$2,"")</f>
        <v/>
      </c>
      <c r="AQ15" t="str">
        <f>IF(IFERROR(MATCH($B15,temp!M$4:M$13,0),0)&gt;0,T08_Spells!AQ$2,"")</f>
        <v/>
      </c>
      <c r="AR15" t="str">
        <f>IF(IFERROR(MATCH($B15,temp!N$4:N$13,0),0)&gt;0,T08_Spells!AR$2,"")</f>
        <v/>
      </c>
      <c r="AS15" t="str">
        <f>IF(IFERROR(MATCH($B15,temp!O$4:O$13,0),0)&gt;0,T08_Spells!AS$2,"")</f>
        <v/>
      </c>
      <c r="AT15" t="str">
        <f>IF(IFERROR(MATCH($B15,temp!P$4:P$13,0),0)&gt;0,T08_Spells!AT$2,"")</f>
        <v>Knowledge</v>
      </c>
      <c r="AU15" t="str">
        <f>IF(IFERROR(MATCH($B15,temp!Q$4:Q$13,0),0)&gt;0,T08_Spells!AU$2,"")</f>
        <v/>
      </c>
      <c r="AV15" t="str">
        <f>IF(IFERROR(MATCH($B15,temp!R$4:R$13,0),0)&gt;0,T08_Spells!AV$2,"")</f>
        <v/>
      </c>
      <c r="AW15" t="str">
        <f>IF(IFERROR(MATCH($B15,temp!S$4:S$13,0),0)&gt;0,T08_Spells!AW$2,"")</f>
        <v/>
      </c>
      <c r="AX15" t="str">
        <f>IF(IFERROR(MATCH($B15,temp!T$4:T$13,0),0)&gt;0,T08_Spells!AX$2,"")</f>
        <v/>
      </c>
      <c r="AY15" t="str">
        <f>IF(IFERROR(MATCH($B15,temp!U$4:U$13,0),0)&gt;0,T08_Spells!AY$2,"")</f>
        <v/>
      </c>
      <c r="AZ15" t="str">
        <f>IF(IFERROR(MATCH($B15,temp!V$4:V$13,0),0)&gt;0,T08_Spells!AZ$2,"")</f>
        <v/>
      </c>
      <c r="BA15" t="str">
        <f>IF(IFERROR(MATCH($B15,temp!W$4:W$13,0),0)&gt;0,T08_Spells!BA$2,"")</f>
        <v/>
      </c>
      <c r="BC15">
        <f>IF(IFERROR(SEARCH("Ranger",$T15,1),0)&gt;0,1,0)*IF(RangerMaxSpellLevel&gt;=$C15,1,0)*IF(IFERROR(MATCH(B15,Character_Creation!$X$79:$X$382,0),0)&gt;0,0,1)</f>
        <v>0</v>
      </c>
      <c r="BD15">
        <f>IF(BC15=0,0,1+COUNTIF(BD$3:BD14,"&gt;0"))</f>
        <v>0</v>
      </c>
      <c r="BE15" t="str">
        <f t="shared" si="34"/>
        <v/>
      </c>
      <c r="BF15" t="str">
        <f t="shared" si="6"/>
        <v/>
      </c>
      <c r="BH15">
        <f>IF(IFERROR(SEARCH("Sorcerer",$T15,1),0)&gt;0,1,0)*IF(SorcererMaxSpellLevel&gt;=$C15,1,0)*IF(IFERROR(MATCH(B15,Character_Creation!$J$380:$J$394,0),0)&gt;0,0,1)</f>
        <v>0</v>
      </c>
      <c r="BI15">
        <f>IF(BH15=0,0,1+COUNTIF(BI$3:BI14,"&gt;0"))</f>
        <v>0</v>
      </c>
      <c r="BJ15" t="str">
        <f t="shared" si="35"/>
        <v/>
      </c>
      <c r="BK15" t="str">
        <f t="shared" si="7"/>
        <v/>
      </c>
      <c r="BM15">
        <f>IF(OR(IFERROR(SEARCH("Warlock",$T15,1),0)&gt;0,IFERROR(SEARCH(WarlockPatron,$T15,1),0)&gt;0),1,0)*IF(WarlockMaxSpellLevel&gt;=$C15,1,0)*IF(IFERROR(MATCH(B15,Character_Creation!$J$361:$J$375,0),0)&gt;0,0,1)</f>
        <v>0</v>
      </c>
      <c r="BN15">
        <f>IF(BM15=0,0,1+COUNTIF(BN$3:BN14,"&gt;0"))</f>
        <v>0</v>
      </c>
      <c r="BO15" t="str">
        <f t="shared" si="36"/>
        <v/>
      </c>
      <c r="BP15" t="str">
        <f t="shared" si="8"/>
        <v/>
      </c>
      <c r="BR15">
        <f>IF(IFERROR(SEARCH("Eldritch Knight",$T15,1),0)&gt;0,1,0)*IF(EldritchKnightMaxSpellLevel&gt;=$C15,1,0)*IF(IFERROR(MATCH($B15,Character_Creation!$J$350:$J$356,0),0)&gt;0,0,1)*IF(Character_Creation!$M$338&gt;0,1,0)</f>
        <v>0</v>
      </c>
      <c r="BS15">
        <f>IF(BR15=0,0,1+COUNTIF(BS$3:BS14,"&gt;0"))</f>
        <v>0</v>
      </c>
      <c r="BT15" t="str">
        <f t="shared" si="37"/>
        <v/>
      </c>
      <c r="BU15" t="str">
        <f t="shared" si="9"/>
        <v/>
      </c>
      <c r="BW15">
        <f>IF(IFERROR(SEARCH("Arcane Trickster",$T15,1),0)&gt;0,1,0)*IF(ArcaneTricksterMaxSpellLevel&gt;=$C15,1,0)*IF(IFERROR(MATCH($B15,Character_Creation!$J$350:$J$356,0),0)&gt;0,0,1)*IF(Character_Creation!$T$338&gt;0,1,0)</f>
        <v>0</v>
      </c>
      <c r="BX15">
        <f>IF(BW15=0,0,1+COUNTIF(BX$3:BX14,"&gt;0"))</f>
        <v>0</v>
      </c>
      <c r="BY15" t="str">
        <f t="shared" si="38"/>
        <v/>
      </c>
      <c r="BZ15" t="str">
        <f t="shared" si="10"/>
        <v/>
      </c>
      <c r="CB15">
        <f>IF(IFERROR(SEARCH("Wizard",$T15,1),0)&gt;0,1,0)*IF(C15&lt;=ArcaneTricksterMaxSpellLevel,1,0)*IF(IFERROR(MATCH($B15,Character_Creation!$J$350:$J$356,0),0)&gt;0,0,1)*IF(Character_Creation!$T$350&gt;0,1,0)</f>
        <v>0</v>
      </c>
      <c r="CC15">
        <f>IF(CB15=0,0,1+COUNTIF(CC$3:CC14,"&gt;0"))</f>
        <v>0</v>
      </c>
      <c r="CD15" t="str">
        <f t="shared" si="39"/>
        <v/>
      </c>
      <c r="CE15" t="str">
        <f t="shared" si="11"/>
        <v/>
      </c>
      <c r="CG15">
        <f>IF(IFERROR(SEARCH("Wizard",$T15,1),0)&gt;0,1,0)*IF($C15&lt;=EldritchKnightMaxSpellLevel,1,0)*IF(IFERROR(MATCH($B15,Character_Creation!$J$350:$J$356,0),0)&gt;0,0,1)*IF(Character_Creation!$M$350&gt;0,1,0)</f>
        <v>0</v>
      </c>
      <c r="CH15">
        <f>IF(CG15=0,0,1+COUNTIF(CH$3:CH14,"&gt;0"))</f>
        <v>0</v>
      </c>
      <c r="CI15">
        <f t="shared" si="40"/>
        <v>13</v>
      </c>
      <c r="CJ15" t="str">
        <f t="shared" si="12"/>
        <v>Crown of Madness</v>
      </c>
      <c r="CL15">
        <f>IF(IFERROR(SEARCH("Bard",$T15,1),0)&gt;0,1,0)*IF(BardMaxSpellLevel&gt;=$C15,1,0)*IF(IFERROR(MATCH(B15,Character_Creation!$C$341:$F$362,0),0)&gt;0,0,1)*IF(IFERROR(MATCH($B15,Character_Creation!$C$341:$C$362,0),0)&gt;0,0,1)</f>
        <v>0</v>
      </c>
      <c r="CM15">
        <f>IF(CL15=0,0,1+COUNTIF(CM$3:CM14,"&gt;0"))</f>
        <v>0</v>
      </c>
      <c r="CN15" t="str">
        <f t="shared" si="41"/>
        <v/>
      </c>
      <c r="CO15" t="str">
        <f t="shared" si="13"/>
        <v/>
      </c>
      <c r="CQ15">
        <f>IF(IFERROR(SEARCH("Wizard",$T15,1),0)&gt;0,1,0)*IF(WizardMaxSpellLevel&gt;=$C15,1,0)*IF(IFERROR(MATCH(B15,Character_Creation!$X$341:$X$400,0),0)&gt;0,0,1)*IF(SelectedWizardSpellLevel=$C15,1,0)</f>
        <v>0</v>
      </c>
      <c r="CR15">
        <f>IF(CQ15=0,0,1+COUNTIF(CR$3:CR14,"&gt;0"))</f>
        <v>0</v>
      </c>
      <c r="CS15">
        <f t="shared" si="42"/>
        <v>13</v>
      </c>
      <c r="CT15" t="str">
        <f t="shared" si="14"/>
        <v>Leomund's Tiny Hut</v>
      </c>
      <c r="CV15">
        <f>IF(IFERROR(MATCH($B15,Character_Creation!$C$341:$C$362,0),0)&gt;0,0,1)*IF(OR(C15="Cantrip",C15&lt;=BardMaxSpellLevel),1,0)*IF(IFERROR(MATCH($B15,Character_Creation!$C$367:$C$374,0),0)&gt;0,0,1)</f>
        <v>0</v>
      </c>
      <c r="CW15">
        <f>IF(CV15=0,0,1+COUNTIF(CW$3:CW14,"&gt;0"))</f>
        <v>0</v>
      </c>
      <c r="CX15">
        <f t="shared" si="43"/>
        <v>13</v>
      </c>
      <c r="CY15" t="str">
        <f t="shared" si="15"/>
        <v>Message</v>
      </c>
      <c r="DA15">
        <f>IF(IF(OR(IFERROR(SEARCH("Cleric",$T15,1),0)&gt;0,IFERROR(SEARCH(DivineDomain&amp;",",$T15,1),0)&gt;0),1,0)*IF($C15=DA$2,1,0)=1,1+COUNTIF(DA$3:DA14,"&gt;0"),0)</f>
        <v>0</v>
      </c>
      <c r="DB15">
        <f>IF(IF(OR(IFERROR(SEARCH("Cleric",$T15,1),0)&gt;0,IFERROR(SEARCH(DivineDomain&amp;",",$T15,1),0)&gt;0),1,0)*IF($C15=DB$2,1,0)=1,1+COUNTIF(DB$3:DB14,"&gt;0"),0)</f>
        <v>0</v>
      </c>
      <c r="DC15">
        <f>IF(IF(OR(IFERROR(SEARCH("Cleric",$T15,1),0)&gt;0,IFERROR(SEARCH(DivineDomain&amp;",",$T15,1),0)&gt;0),1,0)*IF($C15=DC$2,1,0)=1,1+COUNTIF(DC$3:DC14,"&gt;0"),0)</f>
        <v>0</v>
      </c>
      <c r="DD15">
        <f>IF(IF(OR(IFERROR(SEARCH("Cleric",$T15,1),0)&gt;0,IFERROR(SEARCH(DivineDomain&amp;",",$T15,1),0)&gt;0),1,0)*IF($C15=DD$2,1,0)=1,1+COUNTIF(DD$3:DD14,"&gt;0"),0)</f>
        <v>0</v>
      </c>
      <c r="DE15">
        <f>IF(IF(OR(IFERROR(SEARCH("Cleric",$T15,1),0)&gt;0,IFERROR(SEARCH(DivineDomain&amp;",",$T15,1),0)&gt;0),1,0)*IF($C15=DE$2,1,0)=1,1+COUNTIF(DE$3:DE14,"&gt;0"),0)</f>
        <v>0</v>
      </c>
      <c r="DF15">
        <f>IF(IF(OR(IFERROR(SEARCH("Cleric",$T15,1),0)&gt;0,IFERROR(SEARCH(DivineDomain&amp;",",$T15,1),0)&gt;0),1,0)*IF($C15=DF$2,1,0)=1,1+COUNTIF(DF$3:DF14,"&gt;0"),0)</f>
        <v>0</v>
      </c>
      <c r="DG15">
        <f>IF(IF(OR(IFERROR(SEARCH("Cleric",$T15,1),0)&gt;0,IFERROR(SEARCH(DivineDomain&amp;",",$T15,1),0)&gt;0),1,0)*IF($C15=DG$2,1,0)=1,1+COUNTIF(DG$3:DG14,"&gt;0"),0)</f>
        <v>0</v>
      </c>
      <c r="DH15">
        <f>IF(IF(OR(IFERROR(SEARCH("Cleric",$T15,1),0)&gt;0,IFERROR(SEARCH(DivineDomain&amp;",",$T15,1),0)&gt;0),1,0)*IF($C15=DH$2,1,0)=1,1+COUNTIF(DH$3:DH14,"&gt;0"),0)</f>
        <v>0</v>
      </c>
      <c r="DI15">
        <f>IF(IF(OR(IFERROR(SEARCH("Cleric",$T15,1),0)&gt;0,IFERROR(SEARCH(DivineDomain&amp;",",$T15,1),0)&gt;0),1,0)*IF($C15=DI$2,1,0)=1,1+COUNTIF(DI$3:DI14,"&gt;0"),0)</f>
        <v>0</v>
      </c>
      <c r="DJ15">
        <f>IF(IF(OR(IFERROR(SEARCH("Druid",$T15,1),0)&gt;0,IFERROR(SEARCH(DruidLand1,$T15,1),0)&gt;0,IFERROR(SEARCH(DruidLand2,$T15,1),0)&gt;0,IFERROR(SEARCH(DruidLand3,$T15,1),0)&gt;0,IFERROR(SEARCH(DruidLand4,$T15,1),0)&gt;0),1,0)*IF($C15=1,1,0)*IF($C15=DJ$2,1,0)=0,0,1+COUNTIF(DJ$3:DJ14,"&gt;0"))</f>
        <v>0</v>
      </c>
      <c r="DK15">
        <f>IF(IF(OR(IFERROR(SEARCH("Druid",$T15,1),0)&gt;0,IFERROR(SEARCH(DruidLand1,$T15,1),0)&gt;0,IFERROR(SEARCH(DruidLand2,$T15,1),0)&gt;0,IFERROR(SEARCH(DruidLand3,$T15,1),0)&gt;0,IFERROR(SEARCH(DruidLand4,$T15,1),0)&gt;0),1,0)*IF($C15=1,1,0)*IF($C15=DK$2,1,0)=0,0,1+COUNTIF(DK$3:DK14,"&gt;0"))</f>
        <v>0</v>
      </c>
      <c r="DL15">
        <f>IF(IF(OR(IFERROR(SEARCH("Druid",$T15,1),0)&gt;0,IFERROR(SEARCH(DruidLand1,$T15,1),0)&gt;0,IFERROR(SEARCH(DruidLand2,$T15,1),0)&gt;0,IFERROR(SEARCH(DruidLand3,$T15,1),0)&gt;0,IFERROR(SEARCH(DruidLand4,$T15,1),0)&gt;0),1,0)*IF($C15=1,1,0)*IF($C15=DL$2,1,0)=0,0,1+COUNTIF(DL$3:DL14,"&gt;0"))</f>
        <v>0</v>
      </c>
      <c r="DM15">
        <f>IF(IF(OR(IFERROR(SEARCH("Druid",$T15,1),0)&gt;0,IFERROR(SEARCH(DruidLand1,$T15,1),0)&gt;0,IFERROR(SEARCH(DruidLand2,$T15,1),0)&gt;0,IFERROR(SEARCH(DruidLand3,$T15,1),0)&gt;0,IFERROR(SEARCH(DruidLand4,$T15,1),0)&gt;0),1,0)*IF($C15=1,1,0)*IF($C15=DM$2,1,0)=0,0,1+COUNTIF(DM$3:DM14,"&gt;0"))</f>
        <v>0</v>
      </c>
      <c r="DN15">
        <f>IF(IF(OR(IFERROR(SEARCH("Druid",$T15,1),0)&gt;0,IFERROR(SEARCH(DruidLand1,$T15,1),0)&gt;0,IFERROR(SEARCH(DruidLand2,$T15,1),0)&gt;0,IFERROR(SEARCH(DruidLand3,$T15,1),0)&gt;0,IFERROR(SEARCH(DruidLand4,$T15,1),0)&gt;0),1,0)*IF($C15=1,1,0)*IF($C15=DN$2,1,0)=0,0,1+COUNTIF(DN$3:DN14,"&gt;0"))</f>
        <v>0</v>
      </c>
      <c r="DO15">
        <f>IF(IF(OR(IFERROR(SEARCH("Druid",$T15,1),0)&gt;0,IFERROR(SEARCH(DruidLand1,$T15,1),0)&gt;0,IFERROR(SEARCH(DruidLand2,$T15,1),0)&gt;0,IFERROR(SEARCH(DruidLand3,$T15,1),0)&gt;0,IFERROR(SEARCH(DruidLand4,$T15,1),0)&gt;0),1,0)*IF($C15=1,1,0)*IF($C15=DO$2,1,0)=0,0,1+COUNTIF(DO$3:DO14,"&gt;0"))</f>
        <v>0</v>
      </c>
      <c r="DP15">
        <f>IF(IF(OR(IFERROR(SEARCH("Druid",$T15,1),0)&gt;0,IFERROR(SEARCH(DruidLand1,$T15,1),0)&gt;0,IFERROR(SEARCH(DruidLand2,$T15,1),0)&gt;0,IFERROR(SEARCH(DruidLand3,$T15,1),0)&gt;0,IFERROR(SEARCH(DruidLand4,$T15,1),0)&gt;0),1,0)*IF($C15=1,1,0)*IF($C15=DP$2,1,0)=0,0,1+COUNTIF(DP$3:DP14,"&gt;0"))</f>
        <v>0</v>
      </c>
      <c r="DQ15">
        <f>IF(IF(OR(IFERROR(SEARCH("Druid",$T15,1),0)&gt;0,IFERROR(SEARCH(DruidLand1,$T15,1),0)&gt;0,IFERROR(SEARCH(DruidLand2,$T15,1),0)&gt;0,IFERROR(SEARCH(DruidLand3,$T15,1),0)&gt;0,IFERROR(SEARCH(DruidLand4,$T15,1),0)&gt;0),1,0)*IF($C15=1,1,0)*IF($C15=DQ$2,1,0)=0,0,1+COUNTIF(DQ$3:DQ14,"&gt;0"))</f>
        <v>0</v>
      </c>
      <c r="DR15">
        <f>IF(IF(OR(IFERROR(SEARCH("Druid",$T15,1),0)&gt;0,IFERROR(SEARCH(DruidLand1,$T15,1),0)&gt;0,IFERROR(SEARCH(DruidLand2,$T15,1),0)&gt;0,IFERROR(SEARCH(DruidLand3,$T15,1),0)&gt;0,IFERROR(SEARCH(DruidLand4,$T15,1),0)&gt;0),1,0)*IF($C15=1,1,0)*IF($C15=DR$2,1,0)=0,0,1+COUNTIF(DR$3:DR14,"&gt;0"))</f>
        <v>0</v>
      </c>
      <c r="DS15">
        <f>IF(IF(OR(IFERROR(SEARCH("Paladin",$T15,1),0)&gt;0,IFERROR(SEARCH(PaladinOath,$T15,1),0)&gt;0),1,0)*IF($C15=DS$2,1,0)=1,1+COUNTIF(DS$3:DS14,"&gt;0"),0)</f>
        <v>0</v>
      </c>
      <c r="DT15">
        <f>IF(IF(OR(IFERROR(SEARCH("Paladin",$T15,1),0)&gt;0,IFERROR(SEARCH(PaladinOath,$T15,1),0)&gt;0),1,0)*IF($C15=DT$2,1,0)=1,1+COUNTIF(DT$3:DT14,"&gt;0"),0)</f>
        <v>0</v>
      </c>
      <c r="DU15">
        <f>IF(IF(OR(IFERROR(SEARCH("Paladin",$T15,1),0)&gt;0,IFERROR(SEARCH(PaladinOath,$T15,1),0)&gt;0),1,0)*IF($C15=DU$2,1,0)=1,1+COUNTIF(DU$3:DU14,"&gt;0"),0)</f>
        <v>0</v>
      </c>
      <c r="DV15">
        <f>IF(IF(OR(IFERROR(SEARCH("Paladin",$T15,1),0)&gt;0,IFERROR(SEARCH(PaladinOath,$T15,1),0)&gt;0),1,0)*IF($C15=DV$2,1,0)=1,1+COUNTIF(DV$3:DV14,"&gt;0"),0)</f>
        <v>0</v>
      </c>
      <c r="DW15">
        <f>IF(IF(OR(IFERROR(SEARCH("Paladin",$T15,1),0)&gt;0,IFERROR(SEARCH(PaladinOath,$T15,1),0)&gt;0),1,0)*IF($C15=DW$2,1,0)=1,1+COUNTIF(DW$3:DW14,"&gt;0"),0)</f>
        <v>0</v>
      </c>
      <c r="DY15">
        <f t="shared" si="2"/>
        <v>1</v>
      </c>
      <c r="DZ15">
        <f>IF(DY15=0,0,1+MAX(DZ$3:$DZ14))</f>
        <v>13</v>
      </c>
      <c r="EB15">
        <f t="shared" si="16"/>
        <v>0</v>
      </c>
      <c r="EC15">
        <f>IF(EB15=0,0,1+COUNTIF(EC$3:EC14,"&gt;0"))</f>
        <v>0</v>
      </c>
      <c r="ED15" t="str">
        <f t="shared" si="44"/>
        <v/>
      </c>
      <c r="EE15" t="str">
        <f t="shared" si="17"/>
        <v/>
      </c>
      <c r="EG15">
        <f t="shared" si="18"/>
        <v>0</v>
      </c>
      <c r="EH15">
        <f>IF(EG15=0,0,1+COUNTIF(EH$3:EH14,"&gt;0"))</f>
        <v>0</v>
      </c>
      <c r="EI15" t="str">
        <f t="shared" si="45"/>
        <v/>
      </c>
      <c r="EJ15" t="str">
        <f t="shared" si="19"/>
        <v/>
      </c>
      <c r="EL15">
        <f t="shared" si="20"/>
        <v>0</v>
      </c>
      <c r="EM15">
        <f>IF(EL15=0,0,1+COUNTIF(EM$3:EM14,"&gt;0"))</f>
        <v>0</v>
      </c>
      <c r="EN15">
        <f t="shared" si="46"/>
        <v>13</v>
      </c>
      <c r="EO15" t="str">
        <f t="shared" si="21"/>
        <v>Magic Stone</v>
      </c>
      <c r="EQ15">
        <f t="shared" si="22"/>
        <v>0</v>
      </c>
      <c r="ER15">
        <f>IF(EQ15=0,0,1+COUNTIF(ER$3:ER14,"&gt;0"))</f>
        <v>0</v>
      </c>
      <c r="ES15" t="str">
        <f t="shared" si="47"/>
        <v/>
      </c>
      <c r="ET15" t="str">
        <f t="shared" si="23"/>
        <v/>
      </c>
      <c r="EV15">
        <f t="shared" si="24"/>
        <v>0</v>
      </c>
      <c r="EW15">
        <f>IF(EV15=0,0,1+COUNTIF(EW$3:EW14,"&gt;0"))</f>
        <v>0</v>
      </c>
      <c r="EX15" t="str">
        <f t="shared" si="48"/>
        <v/>
      </c>
      <c r="EY15" t="str">
        <f t="shared" si="25"/>
        <v/>
      </c>
      <c r="FA15">
        <f t="shared" si="26"/>
        <v>0</v>
      </c>
      <c r="FB15">
        <f>IF(FA15=0,0,1+COUNTIF(FB$3:FB14,"&gt;0"))</f>
        <v>0</v>
      </c>
      <c r="FC15">
        <f t="shared" si="49"/>
        <v>13</v>
      </c>
      <c r="FD15" t="str">
        <f t="shared" si="27"/>
        <v>Prestidigitation</v>
      </c>
      <c r="FF15">
        <f t="shared" si="28"/>
        <v>0</v>
      </c>
      <c r="FG15">
        <f>IF(FF15=0,0,1+COUNTIF(FG$3:FG14,"&gt;0"))</f>
        <v>0</v>
      </c>
      <c r="FH15" t="str">
        <f t="shared" si="50"/>
        <v/>
      </c>
      <c r="FI15" t="str">
        <f t="shared" si="29"/>
        <v/>
      </c>
      <c r="FK15">
        <f t="shared" si="30"/>
        <v>0</v>
      </c>
      <c r="FL15">
        <f>IF(FK15=0,0,1+COUNTIF(FL$3:FL14,"&gt;0"))</f>
        <v>0</v>
      </c>
      <c r="FM15">
        <f t="shared" si="51"/>
        <v>13</v>
      </c>
      <c r="FN15" t="str">
        <f t="shared" si="31"/>
        <v>Prestidigitation</v>
      </c>
      <c r="FP15">
        <f t="shared" si="32"/>
        <v>0</v>
      </c>
      <c r="FQ15">
        <f>IF(FP15=0,0,1+COUNTIF(FQ$3:FQ14,"&gt;0"))</f>
        <v>0</v>
      </c>
      <c r="FR15" t="str">
        <f t="shared" si="52"/>
        <v/>
      </c>
      <c r="FS15" t="str">
        <f t="shared" si="33"/>
        <v/>
      </c>
    </row>
    <row r="16" spans="1:175" x14ac:dyDescent="0.25">
      <c r="A16" s="347">
        <f t="shared" si="53"/>
        <v>14</v>
      </c>
      <c r="B16" s="348" t="s">
        <v>2366</v>
      </c>
      <c r="C16" s="348">
        <v>6</v>
      </c>
      <c r="D16" s="347">
        <v>6</v>
      </c>
      <c r="E16" s="627" t="s">
        <v>6952</v>
      </c>
      <c r="F16" s="346"/>
      <c r="G16" s="347" t="str">
        <f>""</f>
        <v/>
      </c>
      <c r="H16" s="347" t="s">
        <v>5912</v>
      </c>
      <c r="I16" s="347" t="s">
        <v>5296</v>
      </c>
      <c r="J16" s="347" t="str">
        <f t="shared" si="3"/>
        <v/>
      </c>
      <c r="K16" s="347" t="s">
        <v>5297</v>
      </c>
      <c r="L16" s="611" t="str">
        <f t="shared" si="4"/>
        <v>V, S</v>
      </c>
      <c r="M16" s="347" t="s">
        <v>2373</v>
      </c>
      <c r="N16" s="347" t="s">
        <v>2387</v>
      </c>
      <c r="O16" s="347" t="s">
        <v>3034</v>
      </c>
      <c r="P16" s="346" t="str">
        <f>""</f>
        <v/>
      </c>
      <c r="Q16" s="347" t="s">
        <v>5271</v>
      </c>
      <c r="S16" s="346" t="s">
        <v>5594</v>
      </c>
      <c r="T16" s="346" t="str">
        <f t="shared" si="5"/>
        <v xml:space="preserve">Sorcerer, Warlock, Wizard, </v>
      </c>
      <c r="X16" s="347" t="str">
        <f>$B16</f>
        <v>Arcane Gate</v>
      </c>
      <c r="Y16" s="347" t="str">
        <f>$B16</f>
        <v>Arcane Gate</v>
      </c>
      <c r="AD16" s="347" t="str">
        <f>$B16</f>
        <v>Arcane Gate</v>
      </c>
      <c r="AE16" t="str">
        <f>IF(IFERROR(MATCH($B16,temp!A$4:A$13,0),0)&gt;0,T08_Spells!AE$2,"")</f>
        <v/>
      </c>
      <c r="AF16" t="str">
        <f>IF(IFERROR(MATCH($B16,temp!B$4:B$13,0),0)&gt;0,T08_Spells!AF$2,"")</f>
        <v/>
      </c>
      <c r="AG16" t="str">
        <f>IF(IFERROR(MATCH($B16,temp!C$4:C$13,0),0)&gt;0,T08_Spells!AG$2,"")</f>
        <v/>
      </c>
      <c r="AH16" t="str">
        <f>IF(IFERROR(MATCH($B16,temp!D$4:D$13,0),0)&gt;0,T08_Spells!AH$2,"")</f>
        <v/>
      </c>
      <c r="AI16" t="str">
        <f>IF(IFERROR(MATCH($B16,temp!E$4:E$13,0),0)&gt;0,T08_Spells!AI$2,"")</f>
        <v/>
      </c>
      <c r="AJ16" t="str">
        <f>IF(IFERROR(MATCH($B16,temp!F$4:F$13,0),0)&gt;0,T08_Spells!AJ$2,"")</f>
        <v/>
      </c>
      <c r="AK16" t="str">
        <f>IF(IFERROR(MATCH($B16,temp!G$4:G$13,0),0)&gt;0,T08_Spells!AK$2,"")</f>
        <v/>
      </c>
      <c r="AL16" t="str">
        <f>IF(IFERROR(MATCH($B16,temp!H$4:H$13,0),0)&gt;0,T08_Spells!AL$2,"")</f>
        <v/>
      </c>
      <c r="AM16" t="str">
        <f>IF(IFERROR(MATCH($B16,temp!I$4:I$13,0),0)&gt;0,T08_Spells!AM$2,"")</f>
        <v/>
      </c>
      <c r="AN16" t="str">
        <f>IF(IFERROR(MATCH($B16,temp!J$4:J$13,0),0)&gt;0,T08_Spells!AN$2,"")</f>
        <v/>
      </c>
      <c r="AO16" t="str">
        <f>IF(IFERROR(MATCH($B16,temp!K$4:K$13,0),0)&gt;0,T08_Spells!AO$2,"")</f>
        <v/>
      </c>
      <c r="AP16" t="str">
        <f>IF(IFERROR(MATCH($B16,temp!L$4:L$13,0),0)&gt;0,T08_Spells!AP$2,"")</f>
        <v/>
      </c>
      <c r="AQ16" t="str">
        <f>IF(IFERROR(MATCH($B16,temp!M$4:M$13,0),0)&gt;0,T08_Spells!AQ$2,"")</f>
        <v/>
      </c>
      <c r="AR16" t="str">
        <f>IF(IFERROR(MATCH($B16,temp!N$4:N$13,0),0)&gt;0,T08_Spells!AR$2,"")</f>
        <v/>
      </c>
      <c r="AS16" t="str">
        <f>IF(IFERROR(MATCH($B16,temp!O$4:O$13,0),0)&gt;0,T08_Spells!AS$2,"")</f>
        <v/>
      </c>
      <c r="AT16" t="str">
        <f>IF(IFERROR(MATCH($B16,temp!P$4:P$13,0),0)&gt;0,T08_Spells!AT$2,"")</f>
        <v/>
      </c>
      <c r="AU16" t="str">
        <f>IF(IFERROR(MATCH($B16,temp!Q$4:Q$13,0),0)&gt;0,T08_Spells!AU$2,"")</f>
        <v/>
      </c>
      <c r="AV16" t="str">
        <f>IF(IFERROR(MATCH($B16,temp!R$4:R$13,0),0)&gt;0,T08_Spells!AV$2,"")</f>
        <v/>
      </c>
      <c r="AW16" t="str">
        <f>IF(IFERROR(MATCH($B16,temp!S$4:S$13,0),0)&gt;0,T08_Spells!AW$2,"")</f>
        <v/>
      </c>
      <c r="AX16" t="str">
        <f>IF(IFERROR(MATCH($B16,temp!T$4:T$13,0),0)&gt;0,T08_Spells!AX$2,"")</f>
        <v/>
      </c>
      <c r="AY16" t="str">
        <f>IF(IFERROR(MATCH($B16,temp!U$4:U$13,0),0)&gt;0,T08_Spells!AY$2,"")</f>
        <v/>
      </c>
      <c r="AZ16" t="str">
        <f>IF(IFERROR(MATCH($B16,temp!V$4:V$13,0),0)&gt;0,T08_Spells!AZ$2,"")</f>
        <v/>
      </c>
      <c r="BA16" t="str">
        <f>IF(IFERROR(MATCH($B16,temp!W$4:W$13,0),0)&gt;0,T08_Spells!BA$2,"")</f>
        <v/>
      </c>
      <c r="BC16">
        <f>IF(IFERROR(SEARCH("Ranger",$T16,1),0)&gt;0,1,0)*IF(RangerMaxSpellLevel&gt;=$C16,1,0)*IF(IFERROR(MATCH(B16,Character_Creation!$X$79:$X$382,0),0)&gt;0,0,1)</f>
        <v>0</v>
      </c>
      <c r="BD16">
        <f>IF(BC16=0,0,1+COUNTIF(BD$3:BD15,"&gt;0"))</f>
        <v>0</v>
      </c>
      <c r="BE16" t="str">
        <f t="shared" si="34"/>
        <v/>
      </c>
      <c r="BF16" t="str">
        <f t="shared" si="6"/>
        <v/>
      </c>
      <c r="BH16">
        <f>IF(IFERROR(SEARCH("Sorcerer",$T16,1),0)&gt;0,1,0)*IF(SorcererMaxSpellLevel&gt;=$C16,1,0)*IF(IFERROR(MATCH(B16,Character_Creation!$J$380:$J$394,0),0)&gt;0,0,1)</f>
        <v>0</v>
      </c>
      <c r="BI16">
        <f>IF(BH16=0,0,1+COUNTIF(BI$3:BI15,"&gt;0"))</f>
        <v>0</v>
      </c>
      <c r="BJ16" t="str">
        <f t="shared" si="35"/>
        <v/>
      </c>
      <c r="BK16" t="str">
        <f t="shared" si="7"/>
        <v/>
      </c>
      <c r="BM16">
        <f>IF(OR(IFERROR(SEARCH("Warlock",$T16,1),0)&gt;0,IFERROR(SEARCH(WarlockPatron,$T16,1),0)&gt;0),1,0)*IF(WarlockMaxSpellLevel&gt;=$C16,1,0)*IF(IFERROR(MATCH(B16,Character_Creation!$J$361:$J$375,0),0)&gt;0,0,1)</f>
        <v>0</v>
      </c>
      <c r="BN16">
        <f>IF(BM16=0,0,1+COUNTIF(BN$3:BN15,"&gt;0"))</f>
        <v>0</v>
      </c>
      <c r="BO16" t="str">
        <f t="shared" si="36"/>
        <v/>
      </c>
      <c r="BP16" t="str">
        <f t="shared" si="8"/>
        <v/>
      </c>
      <c r="BR16">
        <f>IF(IFERROR(SEARCH("Eldritch Knight",$T16,1),0)&gt;0,1,0)*IF(EldritchKnightMaxSpellLevel&gt;=$C16,1,0)*IF(IFERROR(MATCH($B16,Character_Creation!$J$350:$J$356,0),0)&gt;0,0,1)*IF(Character_Creation!$M$338&gt;0,1,0)</f>
        <v>0</v>
      </c>
      <c r="BS16">
        <f>IF(BR16=0,0,1+COUNTIF(BS$3:BS15,"&gt;0"))</f>
        <v>0</v>
      </c>
      <c r="BT16" t="str">
        <f t="shared" si="37"/>
        <v/>
      </c>
      <c r="BU16" t="str">
        <f t="shared" si="9"/>
        <v/>
      </c>
      <c r="BW16">
        <f>IF(IFERROR(SEARCH("Arcane Trickster",$T16,1),0)&gt;0,1,0)*IF(ArcaneTricksterMaxSpellLevel&gt;=$C16,1,0)*IF(IFERROR(MATCH($B16,Character_Creation!$J$350:$J$356,0),0)&gt;0,0,1)*IF(Character_Creation!$T$338&gt;0,1,0)</f>
        <v>0</v>
      </c>
      <c r="BX16">
        <f>IF(BW16=0,0,1+COUNTIF(BX$3:BX15,"&gt;0"))</f>
        <v>0</v>
      </c>
      <c r="BY16" t="str">
        <f t="shared" si="38"/>
        <v/>
      </c>
      <c r="BZ16" t="str">
        <f t="shared" si="10"/>
        <v/>
      </c>
      <c r="CB16">
        <f>IF(IFERROR(SEARCH("Wizard",$T16,1),0)&gt;0,1,0)*IF(C16&lt;=ArcaneTricksterMaxSpellLevel,1,0)*IF(IFERROR(MATCH($B16,Character_Creation!$J$350:$J$356,0),0)&gt;0,0,1)*IF(Character_Creation!$T$350&gt;0,1,0)</f>
        <v>0</v>
      </c>
      <c r="CC16">
        <f>IF(CB16=0,0,1+COUNTIF(CC$3:CC15,"&gt;0"))</f>
        <v>0</v>
      </c>
      <c r="CD16" t="str">
        <f t="shared" si="39"/>
        <v/>
      </c>
      <c r="CE16" t="str">
        <f t="shared" si="11"/>
        <v/>
      </c>
      <c r="CG16">
        <f>IF(IFERROR(SEARCH("Wizard",$T16,1),0)&gt;0,1,0)*IF($C16&lt;=EldritchKnightMaxSpellLevel,1,0)*IF(IFERROR(MATCH($B16,Character_Creation!$J$350:$J$356,0),0)&gt;0,0,1)*IF(Character_Creation!$M$350&gt;0,1,0)</f>
        <v>0</v>
      </c>
      <c r="CH16">
        <f>IF(CG16=0,0,1+COUNTIF(CH$3:CH15,"&gt;0"))</f>
        <v>0</v>
      </c>
      <c r="CI16">
        <f t="shared" si="40"/>
        <v>14</v>
      </c>
      <c r="CJ16" t="str">
        <f t="shared" si="12"/>
        <v>Darkness</v>
      </c>
      <c r="CL16">
        <f>IF(IFERROR(SEARCH("Bard",$T16,1),0)&gt;0,1,0)*IF(BardMaxSpellLevel&gt;=$C16,1,0)*IF(IFERROR(MATCH(B16,Character_Creation!$C$341:$F$362,0),0)&gt;0,0,1)*IF(IFERROR(MATCH($B16,Character_Creation!$C$341:$C$362,0),0)&gt;0,0,1)</f>
        <v>0</v>
      </c>
      <c r="CM16">
        <f>IF(CL16=0,0,1+COUNTIF(CM$3:CM15,"&gt;0"))</f>
        <v>0</v>
      </c>
      <c r="CN16" t="str">
        <f t="shared" si="41"/>
        <v/>
      </c>
      <c r="CO16" t="str">
        <f t="shared" si="13"/>
        <v/>
      </c>
      <c r="CQ16">
        <f>IF(IFERROR(SEARCH("Wizard",$T16,1),0)&gt;0,1,0)*IF(WizardMaxSpellLevel&gt;=$C16,1,0)*IF(IFERROR(MATCH(B16,Character_Creation!$X$341:$X$400,0),0)&gt;0,0,1)*IF(SelectedWizardSpellLevel=$C16,1,0)</f>
        <v>0</v>
      </c>
      <c r="CR16">
        <f>IF(CQ16=0,0,1+COUNTIF(CR$3:CR15,"&gt;0"))</f>
        <v>0</v>
      </c>
      <c r="CS16">
        <f t="shared" si="42"/>
        <v>14</v>
      </c>
      <c r="CT16" t="str">
        <f t="shared" si="14"/>
        <v>Lightning Bolt</v>
      </c>
      <c r="CV16">
        <f>IF(IFERROR(MATCH($B16,Character_Creation!$C$341:$C$362,0),0)&gt;0,0,1)*IF(OR(C16="Cantrip",C16&lt;=BardMaxSpellLevel),1,0)*IF(IFERROR(MATCH($B16,Character_Creation!$C$367:$C$374,0),0)&gt;0,0,1)</f>
        <v>0</v>
      </c>
      <c r="CW16">
        <f>IF(CV16=0,0,1+COUNTIF(CW$3:CW15,"&gt;0"))</f>
        <v>0</v>
      </c>
      <c r="CX16">
        <f t="shared" si="43"/>
        <v>14</v>
      </c>
      <c r="CY16" t="str">
        <f t="shared" si="15"/>
        <v>Minor Illusion</v>
      </c>
      <c r="DA16">
        <f>IF(IF(OR(IFERROR(SEARCH("Cleric",$T16,1),0)&gt;0,IFERROR(SEARCH(DivineDomain&amp;",",$T16,1),0)&gt;0),1,0)*IF($C16=DA$2,1,0)=1,1+COUNTIF(DA$3:DA15,"&gt;0"),0)</f>
        <v>0</v>
      </c>
      <c r="DB16">
        <f>IF(IF(OR(IFERROR(SEARCH("Cleric",$T16,1),0)&gt;0,IFERROR(SEARCH(DivineDomain&amp;",",$T16,1),0)&gt;0),1,0)*IF($C16=DB$2,1,0)=1,1+COUNTIF(DB$3:DB15,"&gt;0"),0)</f>
        <v>0</v>
      </c>
      <c r="DC16">
        <f>IF(IF(OR(IFERROR(SEARCH("Cleric",$T16,1),0)&gt;0,IFERROR(SEARCH(DivineDomain&amp;",",$T16,1),0)&gt;0),1,0)*IF($C16=DC$2,1,0)=1,1+COUNTIF(DC$3:DC15,"&gt;0"),0)</f>
        <v>0</v>
      </c>
      <c r="DD16">
        <f>IF(IF(OR(IFERROR(SEARCH("Cleric",$T16,1),0)&gt;0,IFERROR(SEARCH(DivineDomain&amp;",",$T16,1),0)&gt;0),1,0)*IF($C16=DD$2,1,0)=1,1+COUNTIF(DD$3:DD15,"&gt;0"),0)</f>
        <v>0</v>
      </c>
      <c r="DE16">
        <f>IF(IF(OR(IFERROR(SEARCH("Cleric",$T16,1),0)&gt;0,IFERROR(SEARCH(DivineDomain&amp;",",$T16,1),0)&gt;0),1,0)*IF($C16=DE$2,1,0)=1,1+COUNTIF(DE$3:DE15,"&gt;0"),0)</f>
        <v>0</v>
      </c>
      <c r="DF16">
        <f>IF(IF(OR(IFERROR(SEARCH("Cleric",$T16,1),0)&gt;0,IFERROR(SEARCH(DivineDomain&amp;",",$T16,1),0)&gt;0),1,0)*IF($C16=DF$2,1,0)=1,1+COUNTIF(DF$3:DF15,"&gt;0"),0)</f>
        <v>0</v>
      </c>
      <c r="DG16">
        <f>IF(IF(OR(IFERROR(SEARCH("Cleric",$T16,1),0)&gt;0,IFERROR(SEARCH(DivineDomain&amp;",",$T16,1),0)&gt;0),1,0)*IF($C16=DG$2,1,0)=1,1+COUNTIF(DG$3:DG15,"&gt;0"),0)</f>
        <v>0</v>
      </c>
      <c r="DH16">
        <f>IF(IF(OR(IFERROR(SEARCH("Cleric",$T16,1),0)&gt;0,IFERROR(SEARCH(DivineDomain&amp;",",$T16,1),0)&gt;0),1,0)*IF($C16=DH$2,1,0)=1,1+COUNTIF(DH$3:DH15,"&gt;0"),0)</f>
        <v>0</v>
      </c>
      <c r="DI16">
        <f>IF(IF(OR(IFERROR(SEARCH("Cleric",$T16,1),0)&gt;0,IFERROR(SEARCH(DivineDomain&amp;",",$T16,1),0)&gt;0),1,0)*IF($C16=DI$2,1,0)=1,1+COUNTIF(DI$3:DI15,"&gt;0"),0)</f>
        <v>0</v>
      </c>
      <c r="DJ16">
        <f>IF(IF(OR(IFERROR(SEARCH("Druid",$T16,1),0)&gt;0,IFERROR(SEARCH(DruidLand1,$T16,1),0)&gt;0,IFERROR(SEARCH(DruidLand2,$T16,1),0)&gt;0,IFERROR(SEARCH(DruidLand3,$T16,1),0)&gt;0,IFERROR(SEARCH(DruidLand4,$T16,1),0)&gt;0),1,0)*IF($C16=1,1,0)*IF($C16=DJ$2,1,0)=0,0,1+COUNTIF(DJ$3:DJ15,"&gt;0"))</f>
        <v>0</v>
      </c>
      <c r="DK16">
        <f>IF(IF(OR(IFERROR(SEARCH("Druid",$T16,1),0)&gt;0,IFERROR(SEARCH(DruidLand1,$T16,1),0)&gt;0,IFERROR(SEARCH(DruidLand2,$T16,1),0)&gt;0,IFERROR(SEARCH(DruidLand3,$T16,1),0)&gt;0,IFERROR(SEARCH(DruidLand4,$T16,1),0)&gt;0),1,0)*IF($C16=1,1,0)*IF($C16=DK$2,1,0)=0,0,1+COUNTIF(DK$3:DK15,"&gt;0"))</f>
        <v>0</v>
      </c>
      <c r="DL16">
        <f>IF(IF(OR(IFERROR(SEARCH("Druid",$T16,1),0)&gt;0,IFERROR(SEARCH(DruidLand1,$T16,1),0)&gt;0,IFERROR(SEARCH(DruidLand2,$T16,1),0)&gt;0,IFERROR(SEARCH(DruidLand3,$T16,1),0)&gt;0,IFERROR(SEARCH(DruidLand4,$T16,1),0)&gt;0),1,0)*IF($C16=1,1,0)*IF($C16=DL$2,1,0)=0,0,1+COUNTIF(DL$3:DL15,"&gt;0"))</f>
        <v>0</v>
      </c>
      <c r="DM16">
        <f>IF(IF(OR(IFERROR(SEARCH("Druid",$T16,1),0)&gt;0,IFERROR(SEARCH(DruidLand1,$T16,1),0)&gt;0,IFERROR(SEARCH(DruidLand2,$T16,1),0)&gt;0,IFERROR(SEARCH(DruidLand3,$T16,1),0)&gt;0,IFERROR(SEARCH(DruidLand4,$T16,1),0)&gt;0),1,0)*IF($C16=1,1,0)*IF($C16=DM$2,1,0)=0,0,1+COUNTIF(DM$3:DM15,"&gt;0"))</f>
        <v>0</v>
      </c>
      <c r="DN16">
        <f>IF(IF(OR(IFERROR(SEARCH("Druid",$T16,1),0)&gt;0,IFERROR(SEARCH(DruidLand1,$T16,1),0)&gt;0,IFERROR(SEARCH(DruidLand2,$T16,1),0)&gt;0,IFERROR(SEARCH(DruidLand3,$T16,1),0)&gt;0,IFERROR(SEARCH(DruidLand4,$T16,1),0)&gt;0),1,0)*IF($C16=1,1,0)*IF($C16=DN$2,1,0)=0,0,1+COUNTIF(DN$3:DN15,"&gt;0"))</f>
        <v>0</v>
      </c>
      <c r="DO16">
        <f>IF(IF(OR(IFERROR(SEARCH("Druid",$T16,1),0)&gt;0,IFERROR(SEARCH(DruidLand1,$T16,1),0)&gt;0,IFERROR(SEARCH(DruidLand2,$T16,1),0)&gt;0,IFERROR(SEARCH(DruidLand3,$T16,1),0)&gt;0,IFERROR(SEARCH(DruidLand4,$T16,1),0)&gt;0),1,0)*IF($C16=1,1,0)*IF($C16=DO$2,1,0)=0,0,1+COUNTIF(DO$3:DO15,"&gt;0"))</f>
        <v>0</v>
      </c>
      <c r="DP16">
        <f>IF(IF(OR(IFERROR(SEARCH("Druid",$T16,1),0)&gt;0,IFERROR(SEARCH(DruidLand1,$T16,1),0)&gt;0,IFERROR(SEARCH(DruidLand2,$T16,1),0)&gt;0,IFERROR(SEARCH(DruidLand3,$T16,1),0)&gt;0,IFERROR(SEARCH(DruidLand4,$T16,1),0)&gt;0),1,0)*IF($C16=1,1,0)*IF($C16=DP$2,1,0)=0,0,1+COUNTIF(DP$3:DP15,"&gt;0"))</f>
        <v>0</v>
      </c>
      <c r="DQ16">
        <f>IF(IF(OR(IFERROR(SEARCH("Druid",$T16,1),0)&gt;0,IFERROR(SEARCH(DruidLand1,$T16,1),0)&gt;0,IFERROR(SEARCH(DruidLand2,$T16,1),0)&gt;0,IFERROR(SEARCH(DruidLand3,$T16,1),0)&gt;0,IFERROR(SEARCH(DruidLand4,$T16,1),0)&gt;0),1,0)*IF($C16=1,1,0)*IF($C16=DQ$2,1,0)=0,0,1+COUNTIF(DQ$3:DQ15,"&gt;0"))</f>
        <v>0</v>
      </c>
      <c r="DR16">
        <f>IF(IF(OR(IFERROR(SEARCH("Druid",$T16,1),0)&gt;0,IFERROR(SEARCH(DruidLand1,$T16,1),0)&gt;0,IFERROR(SEARCH(DruidLand2,$T16,1),0)&gt;0,IFERROR(SEARCH(DruidLand3,$T16,1),0)&gt;0,IFERROR(SEARCH(DruidLand4,$T16,1),0)&gt;0),1,0)*IF($C16=1,1,0)*IF($C16=DR$2,1,0)=0,0,1+COUNTIF(DR$3:DR15,"&gt;0"))</f>
        <v>0</v>
      </c>
      <c r="DS16">
        <f>IF(IF(OR(IFERROR(SEARCH("Paladin",$T16,1),0)&gt;0,IFERROR(SEARCH(PaladinOath,$T16,1),0)&gt;0),1,0)*IF($C16=DS$2,1,0)=1,1+COUNTIF(DS$3:DS15,"&gt;0"),0)</f>
        <v>0</v>
      </c>
      <c r="DT16">
        <f>IF(IF(OR(IFERROR(SEARCH("Paladin",$T16,1),0)&gt;0,IFERROR(SEARCH(PaladinOath,$T16,1),0)&gt;0),1,0)*IF($C16=DT$2,1,0)=1,1+COUNTIF(DT$3:DT15,"&gt;0"),0)</f>
        <v>0</v>
      </c>
      <c r="DU16">
        <f>IF(IF(OR(IFERROR(SEARCH("Paladin",$T16,1),0)&gt;0,IFERROR(SEARCH(PaladinOath,$T16,1),0)&gt;0),1,0)*IF($C16=DU$2,1,0)=1,1+COUNTIF(DU$3:DU15,"&gt;0"),0)</f>
        <v>0</v>
      </c>
      <c r="DV16">
        <f>IF(IF(OR(IFERROR(SEARCH("Paladin",$T16,1),0)&gt;0,IFERROR(SEARCH(PaladinOath,$T16,1),0)&gt;0),1,0)*IF($C16=DV$2,1,0)=1,1+COUNTIF(DV$3:DV15,"&gt;0"),0)</f>
        <v>0</v>
      </c>
      <c r="DW16">
        <f>IF(IF(OR(IFERROR(SEARCH("Paladin",$T16,1),0)&gt;0,IFERROR(SEARCH(PaladinOath,$T16,1),0)&gt;0),1,0)*IF($C16=DW$2,1,0)=1,1+COUNTIF(DW$3:DW15,"&gt;0"),0)</f>
        <v>0</v>
      </c>
      <c r="DY16">
        <f t="shared" si="2"/>
        <v>1</v>
      </c>
      <c r="DZ16">
        <f>IF(DY16=0,0,1+MAX(DZ$3:$DZ15))</f>
        <v>14</v>
      </c>
      <c r="EB16">
        <f t="shared" si="16"/>
        <v>0</v>
      </c>
      <c r="EC16">
        <f>IF(EB16=0,0,1+COUNTIF(EC$3:EC15,"&gt;0"))</f>
        <v>0</v>
      </c>
      <c r="ED16" t="str">
        <f t="shared" si="44"/>
        <v/>
      </c>
      <c r="EE16" t="str">
        <f t="shared" si="17"/>
        <v/>
      </c>
      <c r="EG16">
        <f t="shared" si="18"/>
        <v>0</v>
      </c>
      <c r="EH16">
        <f>IF(EG16=0,0,1+COUNTIF(EH$3:EH15,"&gt;0"))</f>
        <v>0</v>
      </c>
      <c r="EI16" t="str">
        <f t="shared" si="45"/>
        <v/>
      </c>
      <c r="EJ16" t="str">
        <f t="shared" si="19"/>
        <v/>
      </c>
      <c r="EL16">
        <f t="shared" si="20"/>
        <v>0</v>
      </c>
      <c r="EM16">
        <f>IF(EL16=0,0,1+COUNTIF(EM$3:EM15,"&gt;0"))</f>
        <v>0</v>
      </c>
      <c r="EN16">
        <f t="shared" si="46"/>
        <v>14</v>
      </c>
      <c r="EO16" t="str">
        <f t="shared" si="21"/>
        <v>Mold Earth</v>
      </c>
      <c r="EQ16">
        <f t="shared" si="22"/>
        <v>0</v>
      </c>
      <c r="ER16">
        <f>IF(EQ16=0,0,1+COUNTIF(ER$3:ER15,"&gt;0"))</f>
        <v>0</v>
      </c>
      <c r="ES16" t="str">
        <f t="shared" si="47"/>
        <v/>
      </c>
      <c r="ET16" t="str">
        <f t="shared" si="23"/>
        <v/>
      </c>
      <c r="EV16">
        <f t="shared" si="24"/>
        <v>0</v>
      </c>
      <c r="EW16">
        <f>IF(EV16=0,0,1+COUNTIF(EW$3:EW15,"&gt;0"))</f>
        <v>0</v>
      </c>
      <c r="EX16" t="str">
        <f t="shared" si="48"/>
        <v/>
      </c>
      <c r="EY16" t="str">
        <f t="shared" si="25"/>
        <v/>
      </c>
      <c r="FA16">
        <f t="shared" si="26"/>
        <v>0</v>
      </c>
      <c r="FB16">
        <f>IF(FA16=0,0,1+COUNTIF(FB$3:FB15,"&gt;0"))</f>
        <v>0</v>
      </c>
      <c r="FC16">
        <f t="shared" si="49"/>
        <v>14</v>
      </c>
      <c r="FD16" t="str">
        <f t="shared" si="27"/>
        <v>Ray of Frost</v>
      </c>
      <c r="FF16">
        <f t="shared" si="28"/>
        <v>0</v>
      </c>
      <c r="FG16">
        <f>IF(FF16=0,0,1+COUNTIF(FG$3:FG15,"&gt;0"))</f>
        <v>0</v>
      </c>
      <c r="FH16" t="str">
        <f t="shared" si="50"/>
        <v/>
      </c>
      <c r="FI16" t="str">
        <f t="shared" si="29"/>
        <v/>
      </c>
      <c r="FK16">
        <f t="shared" si="30"/>
        <v>0</v>
      </c>
      <c r="FL16">
        <f>IF(FK16=0,0,1+COUNTIF(FL$3:FL15,"&gt;0"))</f>
        <v>0</v>
      </c>
      <c r="FM16">
        <f t="shared" si="51"/>
        <v>14</v>
      </c>
      <c r="FN16" t="str">
        <f t="shared" si="31"/>
        <v>Ray of Frost</v>
      </c>
      <c r="FP16">
        <f t="shared" si="32"/>
        <v>0</v>
      </c>
      <c r="FQ16">
        <f>IF(FP16=0,0,1+COUNTIF(FQ$3:FQ15,"&gt;0"))</f>
        <v>0</v>
      </c>
      <c r="FR16" t="str">
        <f t="shared" si="52"/>
        <v/>
      </c>
      <c r="FS16" t="str">
        <f t="shared" si="33"/>
        <v/>
      </c>
    </row>
    <row r="17" spans="1:175" x14ac:dyDescent="0.25">
      <c r="A17" s="347">
        <f t="shared" si="53"/>
        <v>15</v>
      </c>
      <c r="B17" s="348" t="s">
        <v>2367</v>
      </c>
      <c r="C17" s="348">
        <v>2</v>
      </c>
      <c r="D17" s="347">
        <v>2</v>
      </c>
      <c r="E17" s="627" t="s">
        <v>6952</v>
      </c>
      <c r="F17" s="346"/>
      <c r="G17" s="347" t="str">
        <f>""</f>
        <v/>
      </c>
      <c r="H17" s="347" t="s">
        <v>5912</v>
      </c>
      <c r="I17" s="347" t="s">
        <v>5298</v>
      </c>
      <c r="J17" s="347" t="str">
        <f t="shared" si="3"/>
        <v/>
      </c>
      <c r="K17" s="347" t="s">
        <v>5299</v>
      </c>
      <c r="L17" s="611" t="str">
        <f t="shared" si="4"/>
        <v>V, S, M, gold dust worth at least 25 gp, which the spell consumes</v>
      </c>
      <c r="M17" s="347" t="s">
        <v>2373</v>
      </c>
      <c r="N17" s="347" t="s">
        <v>2387</v>
      </c>
      <c r="O17" s="347" t="s">
        <v>1244</v>
      </c>
      <c r="P17" s="346" t="s">
        <v>5300</v>
      </c>
      <c r="Q17" s="347" t="s">
        <v>5271</v>
      </c>
      <c r="S17" s="346" t="s">
        <v>5595</v>
      </c>
      <c r="T17" s="346" t="str">
        <f t="shared" si="5"/>
        <v xml:space="preserve">Eldritch Knight, Wizard, </v>
      </c>
      <c r="AB17" s="347" t="str">
        <f>$B17</f>
        <v>Arcane Lock</v>
      </c>
      <c r="AD17" s="347" t="str">
        <f>$B17</f>
        <v>Arcane Lock</v>
      </c>
      <c r="AE17" t="str">
        <f>IF(IFERROR(MATCH($B17,temp!A$4:A$13,0),0)&gt;0,T08_Spells!AE$2,"")</f>
        <v/>
      </c>
      <c r="AF17" t="str">
        <f>IF(IFERROR(MATCH($B17,temp!B$4:B$13,0),0)&gt;0,T08_Spells!AF$2,"")</f>
        <v/>
      </c>
      <c r="AG17" t="str">
        <f>IF(IFERROR(MATCH($B17,temp!C$4:C$13,0),0)&gt;0,T08_Spells!AG$2,"")</f>
        <v/>
      </c>
      <c r="AH17" t="str">
        <f>IF(IFERROR(MATCH($B17,temp!D$4:D$13,0),0)&gt;0,T08_Spells!AH$2,"")</f>
        <v/>
      </c>
      <c r="AI17" t="str">
        <f>IF(IFERROR(MATCH($B17,temp!E$4:E$13,0),0)&gt;0,T08_Spells!AI$2,"")</f>
        <v/>
      </c>
      <c r="AJ17" t="str">
        <f>IF(IFERROR(MATCH($B17,temp!F$4:F$13,0),0)&gt;0,T08_Spells!AJ$2,"")</f>
        <v/>
      </c>
      <c r="AK17" t="str">
        <f>IF(IFERROR(MATCH($B17,temp!G$4:G$13,0),0)&gt;0,T08_Spells!AK$2,"")</f>
        <v/>
      </c>
      <c r="AL17" t="str">
        <f>IF(IFERROR(MATCH($B17,temp!H$4:H$13,0),0)&gt;0,T08_Spells!AL$2,"")</f>
        <v/>
      </c>
      <c r="AM17" t="str">
        <f>IF(IFERROR(MATCH($B17,temp!I$4:I$13,0),0)&gt;0,T08_Spells!AM$2,"")</f>
        <v/>
      </c>
      <c r="AN17" t="str">
        <f>IF(IFERROR(MATCH($B17,temp!J$4:J$13,0),0)&gt;0,T08_Spells!AN$2,"")</f>
        <v/>
      </c>
      <c r="AO17" t="str">
        <f>IF(IFERROR(MATCH($B17,temp!K$4:K$13,0),0)&gt;0,T08_Spells!AO$2,"")</f>
        <v/>
      </c>
      <c r="AP17" t="str">
        <f>IF(IFERROR(MATCH($B17,temp!L$4:L$13,0),0)&gt;0,T08_Spells!AP$2,"")</f>
        <v/>
      </c>
      <c r="AQ17" t="str">
        <f>IF(IFERROR(MATCH($B17,temp!M$4:M$13,0),0)&gt;0,T08_Spells!AQ$2,"")</f>
        <v/>
      </c>
      <c r="AR17" t="str">
        <f>IF(IFERROR(MATCH($B17,temp!N$4:N$13,0),0)&gt;0,T08_Spells!AR$2,"")</f>
        <v/>
      </c>
      <c r="AS17" t="str">
        <f>IF(IFERROR(MATCH($B17,temp!O$4:O$13,0),0)&gt;0,T08_Spells!AS$2,"")</f>
        <v/>
      </c>
      <c r="AT17" t="str">
        <f>IF(IFERROR(MATCH($B17,temp!P$4:P$13,0),0)&gt;0,T08_Spells!AT$2,"")</f>
        <v/>
      </c>
      <c r="AU17" t="str">
        <f>IF(IFERROR(MATCH($B17,temp!Q$4:Q$13,0),0)&gt;0,T08_Spells!AU$2,"")</f>
        <v/>
      </c>
      <c r="AV17" t="str">
        <f>IF(IFERROR(MATCH($B17,temp!R$4:R$13,0),0)&gt;0,T08_Spells!AV$2,"")</f>
        <v/>
      </c>
      <c r="AW17" t="str">
        <f>IF(IFERROR(MATCH($B17,temp!S$4:S$13,0),0)&gt;0,T08_Spells!AW$2,"")</f>
        <v/>
      </c>
      <c r="AX17" t="str">
        <f>IF(IFERROR(MATCH($B17,temp!T$4:T$13,0),0)&gt;0,T08_Spells!AX$2,"")</f>
        <v/>
      </c>
      <c r="AY17" t="str">
        <f>IF(IFERROR(MATCH($B17,temp!U$4:U$13,0),0)&gt;0,T08_Spells!AY$2,"")</f>
        <v/>
      </c>
      <c r="AZ17" t="str">
        <f>IF(IFERROR(MATCH($B17,temp!V$4:V$13,0),0)&gt;0,T08_Spells!AZ$2,"")</f>
        <v/>
      </c>
      <c r="BA17" t="str">
        <f>IF(IFERROR(MATCH($B17,temp!W$4:W$13,0),0)&gt;0,T08_Spells!BA$2,"")</f>
        <v/>
      </c>
      <c r="BC17">
        <f>IF(IFERROR(SEARCH("Ranger",$T17,1),0)&gt;0,1,0)*IF(RangerMaxSpellLevel&gt;=$C17,1,0)*IF(IFERROR(MATCH(B17,Character_Creation!$X$79:$X$382,0),0)&gt;0,0,1)</f>
        <v>0</v>
      </c>
      <c r="BD17">
        <f>IF(BC17=0,0,1+COUNTIF(BD$3:BD16,"&gt;0"))</f>
        <v>0</v>
      </c>
      <c r="BE17" t="str">
        <f t="shared" si="34"/>
        <v/>
      </c>
      <c r="BF17" t="str">
        <f t="shared" si="6"/>
        <v/>
      </c>
      <c r="BH17">
        <f>IF(IFERROR(SEARCH("Sorcerer",$T17,1),0)&gt;0,1,0)*IF(SorcererMaxSpellLevel&gt;=$C17,1,0)*IF(IFERROR(MATCH(B17,Character_Creation!$J$380:$J$394,0),0)&gt;0,0,1)</f>
        <v>0</v>
      </c>
      <c r="BI17">
        <f>IF(BH17=0,0,1+COUNTIF(BI$3:BI16,"&gt;0"))</f>
        <v>0</v>
      </c>
      <c r="BJ17" t="str">
        <f t="shared" si="35"/>
        <v/>
      </c>
      <c r="BK17" t="str">
        <f t="shared" si="7"/>
        <v/>
      </c>
      <c r="BM17">
        <f>IF(OR(IFERROR(SEARCH("Warlock",$T17,1),0)&gt;0,IFERROR(SEARCH(WarlockPatron,$T17,1),0)&gt;0),1,0)*IF(WarlockMaxSpellLevel&gt;=$C17,1,0)*IF(IFERROR(MATCH(B17,Character_Creation!$J$361:$J$375,0),0)&gt;0,0,1)</f>
        <v>0</v>
      </c>
      <c r="BN17">
        <f>IF(BM17=0,0,1+COUNTIF(BN$3:BN16,"&gt;0"))</f>
        <v>0</v>
      </c>
      <c r="BO17" t="str">
        <f t="shared" si="36"/>
        <v/>
      </c>
      <c r="BP17" t="str">
        <f t="shared" si="8"/>
        <v/>
      </c>
      <c r="BR17">
        <f>IF(IFERROR(SEARCH("Eldritch Knight",$T17,1),0)&gt;0,1,0)*IF(EldritchKnightMaxSpellLevel&gt;=$C17,1,0)*IF(IFERROR(MATCH($B17,Character_Creation!$J$350:$J$356,0),0)&gt;0,0,1)*IF(Character_Creation!$M$338&gt;0,1,0)</f>
        <v>0</v>
      </c>
      <c r="BS17">
        <f>IF(BR17=0,0,1+COUNTIF(BS$3:BS16,"&gt;0"))</f>
        <v>0</v>
      </c>
      <c r="BT17" t="str">
        <f t="shared" si="37"/>
        <v/>
      </c>
      <c r="BU17" t="str">
        <f t="shared" si="9"/>
        <v/>
      </c>
      <c r="BW17">
        <f>IF(IFERROR(SEARCH("Arcane Trickster",$T17,1),0)&gt;0,1,0)*IF(ArcaneTricksterMaxSpellLevel&gt;=$C17,1,0)*IF(IFERROR(MATCH($B17,Character_Creation!$J$350:$J$356,0),0)&gt;0,0,1)*IF(Character_Creation!$T$338&gt;0,1,0)</f>
        <v>0</v>
      </c>
      <c r="BX17">
        <f>IF(BW17=0,0,1+COUNTIF(BX$3:BX16,"&gt;0"))</f>
        <v>0</v>
      </c>
      <c r="BY17" t="str">
        <f t="shared" si="38"/>
        <v/>
      </c>
      <c r="BZ17" t="str">
        <f t="shared" si="10"/>
        <v/>
      </c>
      <c r="CB17">
        <f>IF(IFERROR(SEARCH("Wizard",$T17,1),0)&gt;0,1,0)*IF(C17&lt;=ArcaneTricksterMaxSpellLevel,1,0)*IF(IFERROR(MATCH($B17,Character_Creation!$J$350:$J$356,0),0)&gt;0,0,1)*IF(Character_Creation!$T$350&gt;0,1,0)</f>
        <v>0</v>
      </c>
      <c r="CC17">
        <f>IF(CB17=0,0,1+COUNTIF(CC$3:CC16,"&gt;0"))</f>
        <v>0</v>
      </c>
      <c r="CD17" t="str">
        <f t="shared" si="39"/>
        <v/>
      </c>
      <c r="CE17" t="str">
        <f t="shared" si="11"/>
        <v/>
      </c>
      <c r="CG17">
        <f>IF(IFERROR(SEARCH("Wizard",$T17,1),0)&gt;0,1,0)*IF($C17&lt;=EldritchKnightMaxSpellLevel,1,0)*IF(IFERROR(MATCH($B17,Character_Creation!$J$350:$J$356,0),0)&gt;0,0,1)*IF(Character_Creation!$M$350&gt;0,1,0)</f>
        <v>1</v>
      </c>
      <c r="CH17">
        <f>IF(CG17=0,0,1+COUNTIF(CH$3:CH16,"&gt;0"))</f>
        <v>3</v>
      </c>
      <c r="CI17">
        <f t="shared" si="40"/>
        <v>15</v>
      </c>
      <c r="CJ17" t="str">
        <f t="shared" si="12"/>
        <v>Darkvision</v>
      </c>
      <c r="CL17">
        <f>IF(IFERROR(SEARCH("Bard",$T17,1),0)&gt;0,1,0)*IF(BardMaxSpellLevel&gt;=$C17,1,0)*IF(IFERROR(MATCH(B17,Character_Creation!$C$341:$F$362,0),0)&gt;0,0,1)*IF(IFERROR(MATCH($B17,Character_Creation!$C$341:$C$362,0),0)&gt;0,0,1)</f>
        <v>0</v>
      </c>
      <c r="CM17">
        <f>IF(CL17=0,0,1+COUNTIF(CM$3:CM16,"&gt;0"))</f>
        <v>0</v>
      </c>
      <c r="CN17" t="str">
        <f t="shared" si="41"/>
        <v/>
      </c>
      <c r="CO17" t="str">
        <f t="shared" si="13"/>
        <v/>
      </c>
      <c r="CQ17">
        <f>IF(IFERROR(SEARCH("Wizard",$T17,1),0)&gt;0,1,0)*IF(WizardMaxSpellLevel&gt;=$C17,1,0)*IF(IFERROR(MATCH(B17,Character_Creation!$X$341:$X$400,0),0)&gt;0,0,1)*IF(SelectedWizardSpellLevel=$C17,1,0)</f>
        <v>0</v>
      </c>
      <c r="CR17">
        <f>IF(CQ17=0,0,1+COUNTIF(CR$3:CR16,"&gt;0"))</f>
        <v>0</v>
      </c>
      <c r="CS17">
        <f t="shared" si="42"/>
        <v>15</v>
      </c>
      <c r="CT17" t="str">
        <f t="shared" si="14"/>
        <v>Magic Circle</v>
      </c>
      <c r="CV17">
        <f>IF(IFERROR(MATCH($B17,Character_Creation!$C$341:$C$362,0),0)&gt;0,0,1)*IF(OR(C17="Cantrip",C17&lt;=BardMaxSpellLevel),1,0)*IF(IFERROR(MATCH($B17,Character_Creation!$C$367:$C$374,0),0)&gt;0,0,1)</f>
        <v>0</v>
      </c>
      <c r="CW17">
        <f>IF(CV17=0,0,1+COUNTIF(CW$3:CW16,"&gt;0"))</f>
        <v>0</v>
      </c>
      <c r="CX17">
        <f t="shared" si="43"/>
        <v>15</v>
      </c>
      <c r="CY17" t="str">
        <f t="shared" si="15"/>
        <v>Poison Spray</v>
      </c>
      <c r="DA17">
        <f>IF(IF(OR(IFERROR(SEARCH("Cleric",$T17,1),0)&gt;0,IFERROR(SEARCH(DivineDomain&amp;",",$T17,1),0)&gt;0),1,0)*IF($C17=DA$2,1,0)=1,1+COUNTIF(DA$3:DA16,"&gt;0"),0)</f>
        <v>0</v>
      </c>
      <c r="DB17">
        <f>IF(IF(OR(IFERROR(SEARCH("Cleric",$T17,1),0)&gt;0,IFERROR(SEARCH(DivineDomain&amp;",",$T17,1),0)&gt;0),1,0)*IF($C17=DB$2,1,0)=1,1+COUNTIF(DB$3:DB16,"&gt;0"),0)</f>
        <v>0</v>
      </c>
      <c r="DC17">
        <f>IF(IF(OR(IFERROR(SEARCH("Cleric",$T17,1),0)&gt;0,IFERROR(SEARCH(DivineDomain&amp;",",$T17,1),0)&gt;0),1,0)*IF($C17=DC$2,1,0)=1,1+COUNTIF(DC$3:DC16,"&gt;0"),0)</f>
        <v>0</v>
      </c>
      <c r="DD17">
        <f>IF(IF(OR(IFERROR(SEARCH("Cleric",$T17,1),0)&gt;0,IFERROR(SEARCH(DivineDomain&amp;",",$T17,1),0)&gt;0),1,0)*IF($C17=DD$2,1,0)=1,1+COUNTIF(DD$3:DD16,"&gt;0"),0)</f>
        <v>0</v>
      </c>
      <c r="DE17">
        <f>IF(IF(OR(IFERROR(SEARCH("Cleric",$T17,1),0)&gt;0,IFERROR(SEARCH(DivineDomain&amp;",",$T17,1),0)&gt;0),1,0)*IF($C17=DE$2,1,0)=1,1+COUNTIF(DE$3:DE16,"&gt;0"),0)</f>
        <v>0</v>
      </c>
      <c r="DF17">
        <f>IF(IF(OR(IFERROR(SEARCH("Cleric",$T17,1),0)&gt;0,IFERROR(SEARCH(DivineDomain&amp;",",$T17,1),0)&gt;0),1,0)*IF($C17=DF$2,1,0)=1,1+COUNTIF(DF$3:DF16,"&gt;0"),0)</f>
        <v>0</v>
      </c>
      <c r="DG17">
        <f>IF(IF(OR(IFERROR(SEARCH("Cleric",$T17,1),0)&gt;0,IFERROR(SEARCH(DivineDomain&amp;",",$T17,1),0)&gt;0),1,0)*IF($C17=DG$2,1,0)=1,1+COUNTIF(DG$3:DG16,"&gt;0"),0)</f>
        <v>0</v>
      </c>
      <c r="DH17">
        <f>IF(IF(OR(IFERROR(SEARCH("Cleric",$T17,1),0)&gt;0,IFERROR(SEARCH(DivineDomain&amp;",",$T17,1),0)&gt;0),1,0)*IF($C17=DH$2,1,0)=1,1+COUNTIF(DH$3:DH16,"&gt;0"),0)</f>
        <v>0</v>
      </c>
      <c r="DI17">
        <f>IF(IF(OR(IFERROR(SEARCH("Cleric",$T17,1),0)&gt;0,IFERROR(SEARCH(DivineDomain&amp;",",$T17,1),0)&gt;0),1,0)*IF($C17=DI$2,1,0)=1,1+COUNTIF(DI$3:DI16,"&gt;0"),0)</f>
        <v>0</v>
      </c>
      <c r="DJ17">
        <f>IF(IF(OR(IFERROR(SEARCH("Druid",$T17,1),0)&gt;0,IFERROR(SEARCH(DruidLand1,$T17,1),0)&gt;0,IFERROR(SEARCH(DruidLand2,$T17,1),0)&gt;0,IFERROR(SEARCH(DruidLand3,$T17,1),0)&gt;0,IFERROR(SEARCH(DruidLand4,$T17,1),0)&gt;0),1,0)*IF($C17=1,1,0)*IF($C17=DJ$2,1,0)=0,0,1+COUNTIF(DJ$3:DJ16,"&gt;0"))</f>
        <v>0</v>
      </c>
      <c r="DK17">
        <f>IF(IF(OR(IFERROR(SEARCH("Druid",$T17,1),0)&gt;0,IFERROR(SEARCH(DruidLand1,$T17,1),0)&gt;0,IFERROR(SEARCH(DruidLand2,$T17,1),0)&gt;0,IFERROR(SEARCH(DruidLand3,$T17,1),0)&gt;0,IFERROR(SEARCH(DruidLand4,$T17,1),0)&gt;0),1,0)*IF($C17=1,1,0)*IF($C17=DK$2,1,0)=0,0,1+COUNTIF(DK$3:DK16,"&gt;0"))</f>
        <v>0</v>
      </c>
      <c r="DL17">
        <f>IF(IF(OR(IFERROR(SEARCH("Druid",$T17,1),0)&gt;0,IFERROR(SEARCH(DruidLand1,$T17,1),0)&gt;0,IFERROR(SEARCH(DruidLand2,$T17,1),0)&gt;0,IFERROR(SEARCH(DruidLand3,$T17,1),0)&gt;0,IFERROR(SEARCH(DruidLand4,$T17,1),0)&gt;0),1,0)*IF($C17=1,1,0)*IF($C17=DL$2,1,0)=0,0,1+COUNTIF(DL$3:DL16,"&gt;0"))</f>
        <v>0</v>
      </c>
      <c r="DM17">
        <f>IF(IF(OR(IFERROR(SEARCH("Druid",$T17,1),0)&gt;0,IFERROR(SEARCH(DruidLand1,$T17,1),0)&gt;0,IFERROR(SEARCH(DruidLand2,$T17,1),0)&gt;0,IFERROR(SEARCH(DruidLand3,$T17,1),0)&gt;0,IFERROR(SEARCH(DruidLand4,$T17,1),0)&gt;0),1,0)*IF($C17=1,1,0)*IF($C17=DM$2,1,0)=0,0,1+COUNTIF(DM$3:DM16,"&gt;0"))</f>
        <v>0</v>
      </c>
      <c r="DN17">
        <f>IF(IF(OR(IFERROR(SEARCH("Druid",$T17,1),0)&gt;0,IFERROR(SEARCH(DruidLand1,$T17,1),0)&gt;0,IFERROR(SEARCH(DruidLand2,$T17,1),0)&gt;0,IFERROR(SEARCH(DruidLand3,$T17,1),0)&gt;0,IFERROR(SEARCH(DruidLand4,$T17,1),0)&gt;0),1,0)*IF($C17=1,1,0)*IF($C17=DN$2,1,0)=0,0,1+COUNTIF(DN$3:DN16,"&gt;0"))</f>
        <v>0</v>
      </c>
      <c r="DO17">
        <f>IF(IF(OR(IFERROR(SEARCH("Druid",$T17,1),0)&gt;0,IFERROR(SEARCH(DruidLand1,$T17,1),0)&gt;0,IFERROR(SEARCH(DruidLand2,$T17,1),0)&gt;0,IFERROR(SEARCH(DruidLand3,$T17,1),0)&gt;0,IFERROR(SEARCH(DruidLand4,$T17,1),0)&gt;0),1,0)*IF($C17=1,1,0)*IF($C17=DO$2,1,0)=0,0,1+COUNTIF(DO$3:DO16,"&gt;0"))</f>
        <v>0</v>
      </c>
      <c r="DP17">
        <f>IF(IF(OR(IFERROR(SEARCH("Druid",$T17,1),0)&gt;0,IFERROR(SEARCH(DruidLand1,$T17,1),0)&gt;0,IFERROR(SEARCH(DruidLand2,$T17,1),0)&gt;0,IFERROR(SEARCH(DruidLand3,$T17,1),0)&gt;0,IFERROR(SEARCH(DruidLand4,$T17,1),0)&gt;0),1,0)*IF($C17=1,1,0)*IF($C17=DP$2,1,0)=0,0,1+COUNTIF(DP$3:DP16,"&gt;0"))</f>
        <v>0</v>
      </c>
      <c r="DQ17">
        <f>IF(IF(OR(IFERROR(SEARCH("Druid",$T17,1),0)&gt;0,IFERROR(SEARCH(DruidLand1,$T17,1),0)&gt;0,IFERROR(SEARCH(DruidLand2,$T17,1),0)&gt;0,IFERROR(SEARCH(DruidLand3,$T17,1),0)&gt;0,IFERROR(SEARCH(DruidLand4,$T17,1),0)&gt;0),1,0)*IF($C17=1,1,0)*IF($C17=DQ$2,1,0)=0,0,1+COUNTIF(DQ$3:DQ16,"&gt;0"))</f>
        <v>0</v>
      </c>
      <c r="DR17">
        <f>IF(IF(OR(IFERROR(SEARCH("Druid",$T17,1),0)&gt;0,IFERROR(SEARCH(DruidLand1,$T17,1),0)&gt;0,IFERROR(SEARCH(DruidLand2,$T17,1),0)&gt;0,IFERROR(SEARCH(DruidLand3,$T17,1),0)&gt;0,IFERROR(SEARCH(DruidLand4,$T17,1),0)&gt;0),1,0)*IF($C17=1,1,0)*IF($C17=DR$2,1,0)=0,0,1+COUNTIF(DR$3:DR16,"&gt;0"))</f>
        <v>0</v>
      </c>
      <c r="DS17">
        <f>IF(IF(OR(IFERROR(SEARCH("Paladin",$T17,1),0)&gt;0,IFERROR(SEARCH(PaladinOath,$T17,1),0)&gt;0),1,0)*IF($C17=DS$2,1,0)=1,1+COUNTIF(DS$3:DS16,"&gt;0"),0)</f>
        <v>0</v>
      </c>
      <c r="DT17">
        <f>IF(IF(OR(IFERROR(SEARCH("Paladin",$T17,1),0)&gt;0,IFERROR(SEARCH(PaladinOath,$T17,1),0)&gt;0),1,0)*IF($C17=DT$2,1,0)=1,1+COUNTIF(DT$3:DT16,"&gt;0"),0)</f>
        <v>0</v>
      </c>
      <c r="DU17">
        <f>IF(IF(OR(IFERROR(SEARCH("Paladin",$T17,1),0)&gt;0,IFERROR(SEARCH(PaladinOath,$T17,1),0)&gt;0),1,0)*IF($C17=DU$2,1,0)=1,1+COUNTIF(DU$3:DU16,"&gt;0"),0)</f>
        <v>0</v>
      </c>
      <c r="DV17">
        <f>IF(IF(OR(IFERROR(SEARCH("Paladin",$T17,1),0)&gt;0,IFERROR(SEARCH(PaladinOath,$T17,1),0)&gt;0),1,0)*IF($C17=DV$2,1,0)=1,1+COUNTIF(DV$3:DV16,"&gt;0"),0)</f>
        <v>0</v>
      </c>
      <c r="DW17">
        <f>IF(IF(OR(IFERROR(SEARCH("Paladin",$T17,1),0)&gt;0,IFERROR(SEARCH(PaladinOath,$T17,1),0)&gt;0),1,0)*IF($C17=DW$2,1,0)=1,1+COUNTIF(DW$3:DW16,"&gt;0"),0)</f>
        <v>0</v>
      </c>
      <c r="DY17">
        <f t="shared" si="2"/>
        <v>1</v>
      </c>
      <c r="DZ17">
        <f>IF(DY17=0,0,1+MAX(DZ$3:$DZ16))</f>
        <v>15</v>
      </c>
      <c r="EB17">
        <f t="shared" si="16"/>
        <v>0</v>
      </c>
      <c r="EC17">
        <f>IF(EB17=0,0,1+COUNTIF(EC$3:EC16,"&gt;0"))</f>
        <v>0</v>
      </c>
      <c r="ED17" t="str">
        <f t="shared" si="44"/>
        <v/>
      </c>
      <c r="EE17" t="str">
        <f t="shared" si="17"/>
        <v/>
      </c>
      <c r="EG17">
        <f t="shared" si="18"/>
        <v>0</v>
      </c>
      <c r="EH17">
        <f>IF(EG17=0,0,1+COUNTIF(EH$3:EH16,"&gt;0"))</f>
        <v>0</v>
      </c>
      <c r="EI17" t="str">
        <f t="shared" si="45"/>
        <v/>
      </c>
      <c r="EJ17" t="str">
        <f t="shared" si="19"/>
        <v/>
      </c>
      <c r="EL17">
        <f t="shared" si="20"/>
        <v>0</v>
      </c>
      <c r="EM17">
        <f>IF(EL17=0,0,1+COUNTIF(EM$3:EM16,"&gt;0"))</f>
        <v>0</v>
      </c>
      <c r="EN17">
        <f t="shared" si="46"/>
        <v>15</v>
      </c>
      <c r="EO17" t="str">
        <f t="shared" si="21"/>
        <v>Shape Water</v>
      </c>
      <c r="EQ17">
        <f t="shared" si="22"/>
        <v>0</v>
      </c>
      <c r="ER17">
        <f>IF(EQ17=0,0,1+COUNTIF(ER$3:ER16,"&gt;0"))</f>
        <v>0</v>
      </c>
      <c r="ES17" t="str">
        <f t="shared" si="47"/>
        <v/>
      </c>
      <c r="ET17" t="str">
        <f t="shared" si="23"/>
        <v/>
      </c>
      <c r="EV17">
        <f t="shared" si="24"/>
        <v>0</v>
      </c>
      <c r="EW17">
        <f>IF(EV17=0,0,1+COUNTIF(EW$3:EW16,"&gt;0"))</f>
        <v>0</v>
      </c>
      <c r="EX17" t="str">
        <f t="shared" si="48"/>
        <v/>
      </c>
      <c r="EY17" t="str">
        <f t="shared" si="25"/>
        <v/>
      </c>
      <c r="FA17">
        <f t="shared" si="26"/>
        <v>0</v>
      </c>
      <c r="FB17">
        <f>IF(FA17=0,0,1+COUNTIF(FB$3:FB16,"&gt;0"))</f>
        <v>0</v>
      </c>
      <c r="FC17">
        <f t="shared" si="49"/>
        <v>15</v>
      </c>
      <c r="FD17" t="str">
        <f t="shared" si="27"/>
        <v>Shocking Grasp</v>
      </c>
      <c r="FF17">
        <f t="shared" si="28"/>
        <v>0</v>
      </c>
      <c r="FG17">
        <f>IF(FF17=0,0,1+COUNTIF(FG$3:FG16,"&gt;0"))</f>
        <v>0</v>
      </c>
      <c r="FH17" t="str">
        <f t="shared" si="50"/>
        <v/>
      </c>
      <c r="FI17" t="str">
        <f t="shared" si="29"/>
        <v/>
      </c>
      <c r="FK17">
        <f t="shared" si="30"/>
        <v>0</v>
      </c>
      <c r="FL17">
        <f>IF(FK17=0,0,1+COUNTIF(FL$3:FL16,"&gt;0"))</f>
        <v>0</v>
      </c>
      <c r="FM17">
        <f t="shared" si="51"/>
        <v>15</v>
      </c>
      <c r="FN17" t="str">
        <f t="shared" si="31"/>
        <v>Shocking Grasp</v>
      </c>
      <c r="FP17">
        <f t="shared" si="32"/>
        <v>0</v>
      </c>
      <c r="FQ17">
        <f>IF(FP17=0,0,1+COUNTIF(FQ$3:FQ16,"&gt;0"))</f>
        <v>0</v>
      </c>
      <c r="FR17" t="str">
        <f t="shared" si="52"/>
        <v/>
      </c>
      <c r="FS17" t="str">
        <f t="shared" si="33"/>
        <v/>
      </c>
    </row>
    <row r="18" spans="1:175" x14ac:dyDescent="0.25">
      <c r="A18" s="347">
        <f t="shared" si="53"/>
        <v>16</v>
      </c>
      <c r="B18" s="348" t="s">
        <v>2368</v>
      </c>
      <c r="C18" s="348">
        <v>1</v>
      </c>
      <c r="D18" s="347">
        <v>1</v>
      </c>
      <c r="E18" s="627" t="s">
        <v>6952</v>
      </c>
      <c r="F18" s="346"/>
      <c r="G18" s="347" t="str">
        <f>""</f>
        <v/>
      </c>
      <c r="H18" s="347" t="s">
        <v>5912</v>
      </c>
      <c r="I18" s="347" t="s">
        <v>5283</v>
      </c>
      <c r="J18" s="347" t="str">
        <f t="shared" si="3"/>
        <v/>
      </c>
      <c r="K18" s="347" t="s">
        <v>5293</v>
      </c>
      <c r="L18" s="611" t="str">
        <f t="shared" si="4"/>
        <v>V, S, M, a cup of water</v>
      </c>
      <c r="M18" s="347" t="s">
        <v>2373</v>
      </c>
      <c r="N18" s="347" t="s">
        <v>2387</v>
      </c>
      <c r="O18" s="347" t="s">
        <v>1244</v>
      </c>
      <c r="P18" s="346" t="s">
        <v>5301</v>
      </c>
      <c r="Q18" s="347" t="s">
        <v>5270</v>
      </c>
      <c r="S18" s="346" t="s">
        <v>5596</v>
      </c>
      <c r="T18" s="346" t="str">
        <f t="shared" si="5"/>
        <v xml:space="preserve">Warlock, </v>
      </c>
      <c r="Y18" s="347" t="str">
        <f t="shared" ref="Y18:Z21" si="54">$B18</f>
        <v>Armor of Agathys</v>
      </c>
      <c r="AE18" t="str">
        <f>IF(IFERROR(MATCH($B18,temp!A$4:A$13,0),0)&gt;0,T08_Spells!AE$2,"")</f>
        <v/>
      </c>
      <c r="AF18" t="str">
        <f>IF(IFERROR(MATCH($B18,temp!B$4:B$13,0),0)&gt;0,T08_Spells!AF$2,"")</f>
        <v/>
      </c>
      <c r="AG18" t="str">
        <f>IF(IFERROR(MATCH($B18,temp!C$4:C$13,0),0)&gt;0,T08_Spells!AG$2,"")</f>
        <v/>
      </c>
      <c r="AH18" t="str">
        <f>IF(IFERROR(MATCH($B18,temp!D$4:D$13,0),0)&gt;0,T08_Spells!AH$2,"")</f>
        <v/>
      </c>
      <c r="AI18" t="str">
        <f>IF(IFERROR(MATCH($B18,temp!E$4:E$13,0),0)&gt;0,T08_Spells!AI$2,"")</f>
        <v/>
      </c>
      <c r="AJ18" t="str">
        <f>IF(IFERROR(MATCH($B18,temp!F$4:F$13,0),0)&gt;0,T08_Spells!AJ$2,"")</f>
        <v/>
      </c>
      <c r="AK18" t="str">
        <f>IF(IFERROR(MATCH($B18,temp!G$4:G$13,0),0)&gt;0,T08_Spells!AK$2,"")</f>
        <v/>
      </c>
      <c r="AL18" t="str">
        <f>IF(IFERROR(MATCH($B18,temp!H$4:H$13,0),0)&gt;0,T08_Spells!AL$2,"")</f>
        <v/>
      </c>
      <c r="AM18" t="str">
        <f>IF(IFERROR(MATCH($B18,temp!I$4:I$13,0),0)&gt;0,T08_Spells!AM$2,"")</f>
        <v/>
      </c>
      <c r="AN18" t="str">
        <f>IF(IFERROR(MATCH($B18,temp!J$4:J$13,0),0)&gt;0,T08_Spells!AN$2,"")</f>
        <v/>
      </c>
      <c r="AO18" t="str">
        <f>IF(IFERROR(MATCH($B18,temp!K$4:K$13,0),0)&gt;0,T08_Spells!AO$2,"")</f>
        <v/>
      </c>
      <c r="AP18" t="str">
        <f>IF(IFERROR(MATCH($B18,temp!L$4:L$13,0),0)&gt;0,T08_Spells!AP$2,"")</f>
        <v/>
      </c>
      <c r="AQ18" t="str">
        <f>IF(IFERROR(MATCH($B18,temp!M$4:M$13,0),0)&gt;0,T08_Spells!AQ$2,"")</f>
        <v/>
      </c>
      <c r="AR18" t="str">
        <f>IF(IFERROR(MATCH($B18,temp!N$4:N$13,0),0)&gt;0,T08_Spells!AR$2,"")</f>
        <v/>
      </c>
      <c r="AS18" t="str">
        <f>IF(IFERROR(MATCH($B18,temp!O$4:O$13,0),0)&gt;0,T08_Spells!AS$2,"")</f>
        <v/>
      </c>
      <c r="AT18" t="str">
        <f>IF(IFERROR(MATCH($B18,temp!P$4:P$13,0),0)&gt;0,T08_Spells!AT$2,"")</f>
        <v/>
      </c>
      <c r="AU18" t="str">
        <f>IF(IFERROR(MATCH($B18,temp!Q$4:Q$13,0),0)&gt;0,T08_Spells!AU$2,"")</f>
        <v/>
      </c>
      <c r="AV18" t="str">
        <f>IF(IFERROR(MATCH($B18,temp!R$4:R$13,0),0)&gt;0,T08_Spells!AV$2,"")</f>
        <v/>
      </c>
      <c r="AW18" t="str">
        <f>IF(IFERROR(MATCH($B18,temp!S$4:S$13,0),0)&gt;0,T08_Spells!AW$2,"")</f>
        <v/>
      </c>
      <c r="AX18" t="str">
        <f>IF(IFERROR(MATCH($B18,temp!T$4:T$13,0),0)&gt;0,T08_Spells!AX$2,"")</f>
        <v/>
      </c>
      <c r="AY18" t="str">
        <f>IF(IFERROR(MATCH($B18,temp!U$4:U$13,0),0)&gt;0,T08_Spells!AY$2,"")</f>
        <v/>
      </c>
      <c r="AZ18" t="str">
        <f>IF(IFERROR(MATCH($B18,temp!V$4:V$13,0),0)&gt;0,T08_Spells!AZ$2,"")</f>
        <v/>
      </c>
      <c r="BA18" t="str">
        <f>IF(IFERROR(MATCH($B18,temp!W$4:W$13,0),0)&gt;0,T08_Spells!BA$2,"")</f>
        <v/>
      </c>
      <c r="BC18">
        <f>IF(IFERROR(SEARCH("Ranger",$T18,1),0)&gt;0,1,0)*IF(RangerMaxSpellLevel&gt;=$C18,1,0)*IF(IFERROR(MATCH(B18,Character_Creation!$X$79:$X$382,0),0)&gt;0,0,1)</f>
        <v>0</v>
      </c>
      <c r="BD18">
        <f>IF(BC18=0,0,1+COUNTIF(BD$3:BD17,"&gt;0"))</f>
        <v>0</v>
      </c>
      <c r="BE18" t="str">
        <f t="shared" si="34"/>
        <v/>
      </c>
      <c r="BF18" t="str">
        <f t="shared" si="6"/>
        <v/>
      </c>
      <c r="BH18">
        <f>IF(IFERROR(SEARCH("Sorcerer",$T18,1),0)&gt;0,1,0)*IF(SorcererMaxSpellLevel&gt;=$C18,1,0)*IF(IFERROR(MATCH(B18,Character_Creation!$J$380:$J$394,0),0)&gt;0,0,1)</f>
        <v>0</v>
      </c>
      <c r="BI18">
        <f>IF(BH18=0,0,1+COUNTIF(BI$3:BI17,"&gt;0"))</f>
        <v>0</v>
      </c>
      <c r="BJ18" t="str">
        <f t="shared" si="35"/>
        <v/>
      </c>
      <c r="BK18" t="str">
        <f t="shared" si="7"/>
        <v/>
      </c>
      <c r="BM18">
        <f>IF(OR(IFERROR(SEARCH("Warlock",$T18,1),0)&gt;0,IFERROR(SEARCH(WarlockPatron,$T18,1),0)&gt;0),1,0)*IF(WarlockMaxSpellLevel&gt;=$C18,1,0)*IF(IFERROR(MATCH(B18,Character_Creation!$J$361:$J$375,0),0)&gt;0,0,1)</f>
        <v>0</v>
      </c>
      <c r="BN18">
        <f>IF(BM18=0,0,1+COUNTIF(BN$3:BN17,"&gt;0"))</f>
        <v>0</v>
      </c>
      <c r="BO18" t="str">
        <f t="shared" si="36"/>
        <v/>
      </c>
      <c r="BP18" t="str">
        <f t="shared" si="8"/>
        <v/>
      </c>
      <c r="BR18">
        <f>IF(IFERROR(SEARCH("Eldritch Knight",$T18,1),0)&gt;0,1,0)*IF(EldritchKnightMaxSpellLevel&gt;=$C18,1,0)*IF(IFERROR(MATCH($B18,Character_Creation!$J$350:$J$356,0),0)&gt;0,0,1)*IF(Character_Creation!$M$338&gt;0,1,0)</f>
        <v>0</v>
      </c>
      <c r="BS18">
        <f>IF(BR18=0,0,1+COUNTIF(BS$3:BS17,"&gt;0"))</f>
        <v>0</v>
      </c>
      <c r="BT18" t="str">
        <f t="shared" si="37"/>
        <v/>
      </c>
      <c r="BU18" t="str">
        <f t="shared" si="9"/>
        <v/>
      </c>
      <c r="BW18">
        <f>IF(IFERROR(SEARCH("Arcane Trickster",$T18,1),0)&gt;0,1,0)*IF(ArcaneTricksterMaxSpellLevel&gt;=$C18,1,0)*IF(IFERROR(MATCH($B18,Character_Creation!$J$350:$J$356,0),0)&gt;0,0,1)*IF(Character_Creation!$T$338&gt;0,1,0)</f>
        <v>0</v>
      </c>
      <c r="BX18">
        <f>IF(BW18=0,0,1+COUNTIF(BX$3:BX17,"&gt;0"))</f>
        <v>0</v>
      </c>
      <c r="BY18" t="str">
        <f t="shared" si="38"/>
        <v/>
      </c>
      <c r="BZ18" t="str">
        <f t="shared" si="10"/>
        <v/>
      </c>
      <c r="CB18">
        <f>IF(IFERROR(SEARCH("Wizard",$T18,1),0)&gt;0,1,0)*IF(C18&lt;=ArcaneTricksterMaxSpellLevel,1,0)*IF(IFERROR(MATCH($B18,Character_Creation!$J$350:$J$356,0),0)&gt;0,0,1)*IF(Character_Creation!$T$350&gt;0,1,0)</f>
        <v>0</v>
      </c>
      <c r="CC18">
        <f>IF(CB18=0,0,1+COUNTIF(CC$3:CC17,"&gt;0"))</f>
        <v>0</v>
      </c>
      <c r="CD18" t="str">
        <f t="shared" si="39"/>
        <v/>
      </c>
      <c r="CE18" t="str">
        <f t="shared" si="11"/>
        <v/>
      </c>
      <c r="CG18">
        <f>IF(IFERROR(SEARCH("Wizard",$T18,1),0)&gt;0,1,0)*IF($C18&lt;=EldritchKnightMaxSpellLevel,1,0)*IF(IFERROR(MATCH($B18,Character_Creation!$J$350:$J$356,0),0)&gt;0,0,1)*IF(Character_Creation!$M$350&gt;0,1,0)</f>
        <v>0</v>
      </c>
      <c r="CH18">
        <f>IF(CG18=0,0,1+COUNTIF(CH$3:CH17,"&gt;0"))</f>
        <v>0</v>
      </c>
      <c r="CI18">
        <f t="shared" si="40"/>
        <v>16</v>
      </c>
      <c r="CJ18" t="str">
        <f t="shared" si="12"/>
        <v>Detect Magic</v>
      </c>
      <c r="CL18">
        <f>IF(IFERROR(SEARCH("Bard",$T18,1),0)&gt;0,1,0)*IF(BardMaxSpellLevel&gt;=$C18,1,0)*IF(IFERROR(MATCH(B18,Character_Creation!$C$341:$F$362,0),0)&gt;0,0,1)*IF(IFERROR(MATCH($B18,Character_Creation!$C$341:$C$362,0),0)&gt;0,0,1)</f>
        <v>0</v>
      </c>
      <c r="CM18">
        <f>IF(CL18=0,0,1+COUNTIF(CM$3:CM17,"&gt;0"))</f>
        <v>0</v>
      </c>
      <c r="CN18" t="str">
        <f t="shared" si="41"/>
        <v/>
      </c>
      <c r="CO18" t="str">
        <f t="shared" si="13"/>
        <v/>
      </c>
      <c r="CQ18">
        <f>IF(IFERROR(SEARCH("Wizard",$T18,1),0)&gt;0,1,0)*IF(WizardMaxSpellLevel&gt;=$C18,1,0)*IF(IFERROR(MATCH(B18,Character_Creation!$X$341:$X$400,0),0)&gt;0,0,1)*IF(SelectedWizardSpellLevel=$C18,1,0)</f>
        <v>0</v>
      </c>
      <c r="CR18">
        <f>IF(CQ18=0,0,1+COUNTIF(CR$3:CR17,"&gt;0"))</f>
        <v>0</v>
      </c>
      <c r="CS18">
        <f t="shared" si="42"/>
        <v>16</v>
      </c>
      <c r="CT18" t="str">
        <f t="shared" si="14"/>
        <v>Major Image</v>
      </c>
      <c r="CV18">
        <f>IF(IFERROR(MATCH($B18,Character_Creation!$C$341:$C$362,0),0)&gt;0,0,1)*IF(OR(C18="Cantrip",C18&lt;=BardMaxSpellLevel),1,0)*IF(IFERROR(MATCH($B18,Character_Creation!$C$367:$C$374,0),0)&gt;0,0,1)</f>
        <v>0</v>
      </c>
      <c r="CW18">
        <f>IF(CV18=0,0,1+COUNTIF(CW$3:CW17,"&gt;0"))</f>
        <v>0</v>
      </c>
      <c r="CX18">
        <f t="shared" si="43"/>
        <v>16</v>
      </c>
      <c r="CY18" t="str">
        <f t="shared" si="15"/>
        <v>Prestidigitation</v>
      </c>
      <c r="DA18">
        <f>IF(IF(OR(IFERROR(SEARCH("Cleric",$T18,1),0)&gt;0,IFERROR(SEARCH(DivineDomain&amp;",",$T18,1),0)&gt;0),1,0)*IF($C18=DA$2,1,0)=1,1+COUNTIF(DA$3:DA17,"&gt;0"),0)</f>
        <v>0</v>
      </c>
      <c r="DB18">
        <f>IF(IF(OR(IFERROR(SEARCH("Cleric",$T18,1),0)&gt;0,IFERROR(SEARCH(DivineDomain&amp;",",$T18,1),0)&gt;0),1,0)*IF($C18=DB$2,1,0)=1,1+COUNTIF(DB$3:DB17,"&gt;0"),0)</f>
        <v>0</v>
      </c>
      <c r="DC18">
        <f>IF(IF(OR(IFERROR(SEARCH("Cleric",$T18,1),0)&gt;0,IFERROR(SEARCH(DivineDomain&amp;",",$T18,1),0)&gt;0),1,0)*IF($C18=DC$2,1,0)=1,1+COUNTIF(DC$3:DC17,"&gt;0"),0)</f>
        <v>0</v>
      </c>
      <c r="DD18">
        <f>IF(IF(OR(IFERROR(SEARCH("Cleric",$T18,1),0)&gt;0,IFERROR(SEARCH(DivineDomain&amp;",",$T18,1),0)&gt;0),1,0)*IF($C18=DD$2,1,0)=1,1+COUNTIF(DD$3:DD17,"&gt;0"),0)</f>
        <v>0</v>
      </c>
      <c r="DE18">
        <f>IF(IF(OR(IFERROR(SEARCH("Cleric",$T18,1),0)&gt;0,IFERROR(SEARCH(DivineDomain&amp;",",$T18,1),0)&gt;0),1,0)*IF($C18=DE$2,1,0)=1,1+COUNTIF(DE$3:DE17,"&gt;0"),0)</f>
        <v>0</v>
      </c>
      <c r="DF18">
        <f>IF(IF(OR(IFERROR(SEARCH("Cleric",$T18,1),0)&gt;0,IFERROR(SEARCH(DivineDomain&amp;",",$T18,1),0)&gt;0),1,0)*IF($C18=DF$2,1,0)=1,1+COUNTIF(DF$3:DF17,"&gt;0"),0)</f>
        <v>0</v>
      </c>
      <c r="DG18">
        <f>IF(IF(OR(IFERROR(SEARCH("Cleric",$T18,1),0)&gt;0,IFERROR(SEARCH(DivineDomain&amp;",",$T18,1),0)&gt;0),1,0)*IF($C18=DG$2,1,0)=1,1+COUNTIF(DG$3:DG17,"&gt;0"),0)</f>
        <v>0</v>
      </c>
      <c r="DH18">
        <f>IF(IF(OR(IFERROR(SEARCH("Cleric",$T18,1),0)&gt;0,IFERROR(SEARCH(DivineDomain&amp;",",$T18,1),0)&gt;0),1,0)*IF($C18=DH$2,1,0)=1,1+COUNTIF(DH$3:DH17,"&gt;0"),0)</f>
        <v>0</v>
      </c>
      <c r="DI18">
        <f>IF(IF(OR(IFERROR(SEARCH("Cleric",$T18,1),0)&gt;0,IFERROR(SEARCH(DivineDomain&amp;",",$T18,1),0)&gt;0),1,0)*IF($C18=DI$2,1,0)=1,1+COUNTIF(DI$3:DI17,"&gt;0"),0)</f>
        <v>0</v>
      </c>
      <c r="DJ18">
        <f>IF(IF(OR(IFERROR(SEARCH("Druid",$T18,1),0)&gt;0,IFERROR(SEARCH(DruidLand1,$T18,1),0)&gt;0,IFERROR(SEARCH(DruidLand2,$T18,1),0)&gt;0,IFERROR(SEARCH(DruidLand3,$T18,1),0)&gt;0,IFERROR(SEARCH(DruidLand4,$T18,1),0)&gt;0),1,0)*IF($C18=1,1,0)*IF($C18=DJ$2,1,0)=0,0,1+COUNTIF(DJ$3:DJ17,"&gt;0"))</f>
        <v>0</v>
      </c>
      <c r="DK18">
        <f>IF(IF(OR(IFERROR(SEARCH("Druid",$T18,1),0)&gt;0,IFERROR(SEARCH(DruidLand1,$T18,1),0)&gt;0,IFERROR(SEARCH(DruidLand2,$T18,1),0)&gt;0,IFERROR(SEARCH(DruidLand3,$T18,1),0)&gt;0,IFERROR(SEARCH(DruidLand4,$T18,1),0)&gt;0),1,0)*IF($C18=1,1,0)*IF($C18=DK$2,1,0)=0,0,1+COUNTIF(DK$3:DK17,"&gt;0"))</f>
        <v>0</v>
      </c>
      <c r="DL18">
        <f>IF(IF(OR(IFERROR(SEARCH("Druid",$T18,1),0)&gt;0,IFERROR(SEARCH(DruidLand1,$T18,1),0)&gt;0,IFERROR(SEARCH(DruidLand2,$T18,1),0)&gt;0,IFERROR(SEARCH(DruidLand3,$T18,1),0)&gt;0,IFERROR(SEARCH(DruidLand4,$T18,1),0)&gt;0),1,0)*IF($C18=1,1,0)*IF($C18=DL$2,1,0)=0,0,1+COUNTIF(DL$3:DL17,"&gt;0"))</f>
        <v>0</v>
      </c>
      <c r="DM18">
        <f>IF(IF(OR(IFERROR(SEARCH("Druid",$T18,1),0)&gt;0,IFERROR(SEARCH(DruidLand1,$T18,1),0)&gt;0,IFERROR(SEARCH(DruidLand2,$T18,1),0)&gt;0,IFERROR(SEARCH(DruidLand3,$T18,1),0)&gt;0,IFERROR(SEARCH(DruidLand4,$T18,1),0)&gt;0),1,0)*IF($C18=1,1,0)*IF($C18=DM$2,1,0)=0,0,1+COUNTIF(DM$3:DM17,"&gt;0"))</f>
        <v>0</v>
      </c>
      <c r="DN18">
        <f>IF(IF(OR(IFERROR(SEARCH("Druid",$T18,1),0)&gt;0,IFERROR(SEARCH(DruidLand1,$T18,1),0)&gt;0,IFERROR(SEARCH(DruidLand2,$T18,1),0)&gt;0,IFERROR(SEARCH(DruidLand3,$T18,1),0)&gt;0,IFERROR(SEARCH(DruidLand4,$T18,1),0)&gt;0),1,0)*IF($C18=1,1,0)*IF($C18=DN$2,1,0)=0,0,1+COUNTIF(DN$3:DN17,"&gt;0"))</f>
        <v>0</v>
      </c>
      <c r="DO18">
        <f>IF(IF(OR(IFERROR(SEARCH("Druid",$T18,1),0)&gt;0,IFERROR(SEARCH(DruidLand1,$T18,1),0)&gt;0,IFERROR(SEARCH(DruidLand2,$T18,1),0)&gt;0,IFERROR(SEARCH(DruidLand3,$T18,1),0)&gt;0,IFERROR(SEARCH(DruidLand4,$T18,1),0)&gt;0),1,0)*IF($C18=1,1,0)*IF($C18=DO$2,1,0)=0,0,1+COUNTIF(DO$3:DO17,"&gt;0"))</f>
        <v>0</v>
      </c>
      <c r="DP18">
        <f>IF(IF(OR(IFERROR(SEARCH("Druid",$T18,1),0)&gt;0,IFERROR(SEARCH(DruidLand1,$T18,1),0)&gt;0,IFERROR(SEARCH(DruidLand2,$T18,1),0)&gt;0,IFERROR(SEARCH(DruidLand3,$T18,1),0)&gt;0,IFERROR(SEARCH(DruidLand4,$T18,1),0)&gt;0),1,0)*IF($C18=1,1,0)*IF($C18=DP$2,1,0)=0,0,1+COUNTIF(DP$3:DP17,"&gt;0"))</f>
        <v>0</v>
      </c>
      <c r="DQ18">
        <f>IF(IF(OR(IFERROR(SEARCH("Druid",$T18,1),0)&gt;0,IFERROR(SEARCH(DruidLand1,$T18,1),0)&gt;0,IFERROR(SEARCH(DruidLand2,$T18,1),0)&gt;0,IFERROR(SEARCH(DruidLand3,$T18,1),0)&gt;0,IFERROR(SEARCH(DruidLand4,$T18,1),0)&gt;0),1,0)*IF($C18=1,1,0)*IF($C18=DQ$2,1,0)=0,0,1+COUNTIF(DQ$3:DQ17,"&gt;0"))</f>
        <v>0</v>
      </c>
      <c r="DR18">
        <f>IF(IF(OR(IFERROR(SEARCH("Druid",$T18,1),0)&gt;0,IFERROR(SEARCH(DruidLand1,$T18,1),0)&gt;0,IFERROR(SEARCH(DruidLand2,$T18,1),0)&gt;0,IFERROR(SEARCH(DruidLand3,$T18,1),0)&gt;0,IFERROR(SEARCH(DruidLand4,$T18,1),0)&gt;0),1,0)*IF($C18=1,1,0)*IF($C18=DR$2,1,0)=0,0,1+COUNTIF(DR$3:DR17,"&gt;0"))</f>
        <v>0</v>
      </c>
      <c r="DS18">
        <f>IF(IF(OR(IFERROR(SEARCH("Paladin",$T18,1),0)&gt;0,IFERROR(SEARCH(PaladinOath,$T18,1),0)&gt;0),1,0)*IF($C18=DS$2,1,0)=1,1+COUNTIF(DS$3:DS17,"&gt;0"),0)</f>
        <v>0</v>
      </c>
      <c r="DT18">
        <f>IF(IF(OR(IFERROR(SEARCH("Paladin",$T18,1),0)&gt;0,IFERROR(SEARCH(PaladinOath,$T18,1),0)&gt;0),1,0)*IF($C18=DT$2,1,0)=1,1+COUNTIF(DT$3:DT17,"&gt;0"),0)</f>
        <v>0</v>
      </c>
      <c r="DU18">
        <f>IF(IF(OR(IFERROR(SEARCH("Paladin",$T18,1),0)&gt;0,IFERROR(SEARCH(PaladinOath,$T18,1),0)&gt;0),1,0)*IF($C18=DU$2,1,0)=1,1+COUNTIF(DU$3:DU17,"&gt;0"),0)</f>
        <v>0</v>
      </c>
      <c r="DV18">
        <f>IF(IF(OR(IFERROR(SEARCH("Paladin",$T18,1),0)&gt;0,IFERROR(SEARCH(PaladinOath,$T18,1),0)&gt;0),1,0)*IF($C18=DV$2,1,0)=1,1+COUNTIF(DV$3:DV17,"&gt;0"),0)</f>
        <v>0</v>
      </c>
      <c r="DW18">
        <f>IF(IF(OR(IFERROR(SEARCH("Paladin",$T18,1),0)&gt;0,IFERROR(SEARCH(PaladinOath,$T18,1),0)&gt;0),1,0)*IF($C18=DW$2,1,0)=1,1+COUNTIF(DW$3:DW17,"&gt;0"),0)</f>
        <v>0</v>
      </c>
      <c r="DY18">
        <f t="shared" si="2"/>
        <v>1</v>
      </c>
      <c r="DZ18">
        <f>IF(DY18=0,0,1+MAX(DZ$3:$DZ17))</f>
        <v>16</v>
      </c>
      <c r="EB18">
        <f t="shared" si="16"/>
        <v>0</v>
      </c>
      <c r="EC18">
        <f>IF(EB18=0,0,1+COUNTIF(EC$3:EC17,"&gt;0"))</f>
        <v>0</v>
      </c>
      <c r="ED18" t="str">
        <f t="shared" si="44"/>
        <v/>
      </c>
      <c r="EE18" t="str">
        <f t="shared" si="17"/>
        <v/>
      </c>
      <c r="EG18">
        <f t="shared" si="18"/>
        <v>0</v>
      </c>
      <c r="EH18">
        <f>IF(EG18=0,0,1+COUNTIF(EH$3:EH17,"&gt;0"))</f>
        <v>0</v>
      </c>
      <c r="EI18" t="str">
        <f t="shared" si="45"/>
        <v/>
      </c>
      <c r="EJ18" t="str">
        <f t="shared" si="19"/>
        <v/>
      </c>
      <c r="EL18">
        <f t="shared" si="20"/>
        <v>0</v>
      </c>
      <c r="EM18">
        <f>IF(EL18=0,0,1+COUNTIF(EM$3:EM17,"&gt;0"))</f>
        <v>0</v>
      </c>
      <c r="EN18">
        <f t="shared" si="46"/>
        <v>16</v>
      </c>
      <c r="EO18" t="str">
        <f t="shared" si="21"/>
        <v>Thunderclap</v>
      </c>
      <c r="EQ18">
        <f t="shared" si="22"/>
        <v>0</v>
      </c>
      <c r="ER18">
        <f>IF(EQ18=0,0,1+COUNTIF(ER$3:ER17,"&gt;0"))</f>
        <v>0</v>
      </c>
      <c r="ES18" t="str">
        <f t="shared" si="47"/>
        <v/>
      </c>
      <c r="ET18" t="str">
        <f t="shared" si="23"/>
        <v/>
      </c>
      <c r="EV18">
        <f t="shared" si="24"/>
        <v>0</v>
      </c>
      <c r="EW18">
        <f>IF(EV18=0,0,1+COUNTIF(EW$3:EW17,"&gt;0"))</f>
        <v>0</v>
      </c>
      <c r="EX18" t="str">
        <f t="shared" si="48"/>
        <v/>
      </c>
      <c r="EY18" t="str">
        <f t="shared" si="25"/>
        <v/>
      </c>
      <c r="FA18">
        <f t="shared" si="26"/>
        <v>0</v>
      </c>
      <c r="FB18">
        <f>IF(FA18=0,0,1+COUNTIF(FB$3:FB17,"&gt;0"))</f>
        <v>0</v>
      </c>
      <c r="FC18">
        <f t="shared" si="49"/>
        <v>16</v>
      </c>
      <c r="FD18" t="str">
        <f t="shared" si="27"/>
        <v>True Strike</v>
      </c>
      <c r="FF18">
        <f t="shared" si="28"/>
        <v>0</v>
      </c>
      <c r="FG18">
        <f>IF(FF18=0,0,1+COUNTIF(FG$3:FG17,"&gt;0"))</f>
        <v>0</v>
      </c>
      <c r="FH18" t="str">
        <f t="shared" si="50"/>
        <v/>
      </c>
      <c r="FI18" t="str">
        <f t="shared" si="29"/>
        <v/>
      </c>
      <c r="FK18">
        <f t="shared" si="30"/>
        <v>0</v>
      </c>
      <c r="FL18">
        <f>IF(FK18=0,0,1+COUNTIF(FL$3:FL17,"&gt;0"))</f>
        <v>0</v>
      </c>
      <c r="FM18">
        <f t="shared" si="51"/>
        <v>16</v>
      </c>
      <c r="FN18" t="str">
        <f t="shared" si="31"/>
        <v>True Strike</v>
      </c>
      <c r="FP18">
        <f t="shared" si="32"/>
        <v>0</v>
      </c>
      <c r="FQ18">
        <f>IF(FP18=0,0,1+COUNTIF(FQ$3:FQ17,"&gt;0"))</f>
        <v>0</v>
      </c>
      <c r="FR18" t="str">
        <f t="shared" si="52"/>
        <v/>
      </c>
      <c r="FS18" t="str">
        <f t="shared" si="33"/>
        <v/>
      </c>
    </row>
    <row r="19" spans="1:175" x14ac:dyDescent="0.25">
      <c r="A19" s="347">
        <f t="shared" si="53"/>
        <v>17</v>
      </c>
      <c r="B19" s="348" t="s">
        <v>2369</v>
      </c>
      <c r="C19" s="348">
        <v>1</v>
      </c>
      <c r="D19" s="347">
        <v>1</v>
      </c>
      <c r="E19" s="627" t="s">
        <v>6952</v>
      </c>
      <c r="F19" s="346"/>
      <c r="G19" s="347" t="str">
        <f>""</f>
        <v/>
      </c>
      <c r="H19" s="347" t="s">
        <v>5912</v>
      </c>
      <c r="I19" s="347" t="s">
        <v>5283</v>
      </c>
      <c r="J19" s="347" t="str">
        <f t="shared" si="3"/>
        <v/>
      </c>
      <c r="K19" s="347" t="s">
        <v>5278</v>
      </c>
      <c r="L19" s="611" t="str">
        <f t="shared" si="4"/>
        <v>V, S</v>
      </c>
      <c r="M19" s="347" t="s">
        <v>2373</v>
      </c>
      <c r="N19" s="347" t="s">
        <v>2387</v>
      </c>
      <c r="O19" s="347" t="s">
        <v>3034</v>
      </c>
      <c r="P19" s="346" t="str">
        <f>""</f>
        <v/>
      </c>
      <c r="Q19" s="347" t="s">
        <v>5271</v>
      </c>
      <c r="S19" s="346" t="s">
        <v>5597</v>
      </c>
      <c r="T19" s="346" t="str">
        <f t="shared" si="5"/>
        <v xml:space="preserve">Warlock, </v>
      </c>
      <c r="Y19" s="347" t="str">
        <f t="shared" si="54"/>
        <v>Arms of Hadar</v>
      </c>
      <c r="AE19" t="str">
        <f>IF(IFERROR(MATCH($B19,temp!A$4:A$13,0),0)&gt;0,T08_Spells!AE$2,"")</f>
        <v/>
      </c>
      <c r="AF19" t="str">
        <f>IF(IFERROR(MATCH($B19,temp!B$4:B$13,0),0)&gt;0,T08_Spells!AF$2,"")</f>
        <v/>
      </c>
      <c r="AG19" t="str">
        <f>IF(IFERROR(MATCH($B19,temp!C$4:C$13,0),0)&gt;0,T08_Spells!AG$2,"")</f>
        <v/>
      </c>
      <c r="AH19" t="str">
        <f>IF(IFERROR(MATCH($B19,temp!D$4:D$13,0),0)&gt;0,T08_Spells!AH$2,"")</f>
        <v/>
      </c>
      <c r="AI19" t="str">
        <f>IF(IFERROR(MATCH($B19,temp!E$4:E$13,0),0)&gt;0,T08_Spells!AI$2,"")</f>
        <v/>
      </c>
      <c r="AJ19" t="str">
        <f>IF(IFERROR(MATCH($B19,temp!F$4:F$13,0),0)&gt;0,T08_Spells!AJ$2,"")</f>
        <v/>
      </c>
      <c r="AK19" t="str">
        <f>IF(IFERROR(MATCH($B19,temp!G$4:G$13,0),0)&gt;0,T08_Spells!AK$2,"")</f>
        <v/>
      </c>
      <c r="AL19" t="str">
        <f>IF(IFERROR(MATCH($B19,temp!H$4:H$13,0),0)&gt;0,T08_Spells!AL$2,"")</f>
        <v/>
      </c>
      <c r="AM19" t="str">
        <f>IF(IFERROR(MATCH($B19,temp!I$4:I$13,0),0)&gt;0,T08_Spells!AM$2,"")</f>
        <v/>
      </c>
      <c r="AN19" t="str">
        <f>IF(IFERROR(MATCH($B19,temp!J$4:J$13,0),0)&gt;0,T08_Spells!AN$2,"")</f>
        <v/>
      </c>
      <c r="AO19" t="str">
        <f>IF(IFERROR(MATCH($B19,temp!K$4:K$13,0),0)&gt;0,T08_Spells!AO$2,"")</f>
        <v/>
      </c>
      <c r="AP19" t="str">
        <f>IF(IFERROR(MATCH($B19,temp!L$4:L$13,0),0)&gt;0,T08_Spells!AP$2,"")</f>
        <v/>
      </c>
      <c r="AQ19" t="str">
        <f>IF(IFERROR(MATCH($B19,temp!M$4:M$13,0),0)&gt;0,T08_Spells!AQ$2,"")</f>
        <v/>
      </c>
      <c r="AR19" t="str">
        <f>IF(IFERROR(MATCH($B19,temp!N$4:N$13,0),0)&gt;0,T08_Spells!AR$2,"")</f>
        <v/>
      </c>
      <c r="AS19" t="str">
        <f>IF(IFERROR(MATCH($B19,temp!O$4:O$13,0),0)&gt;0,T08_Spells!AS$2,"")</f>
        <v/>
      </c>
      <c r="AT19" t="str">
        <f>IF(IFERROR(MATCH($B19,temp!P$4:P$13,0),0)&gt;0,T08_Spells!AT$2,"")</f>
        <v/>
      </c>
      <c r="AU19" t="str">
        <f>IF(IFERROR(MATCH($B19,temp!Q$4:Q$13,0),0)&gt;0,T08_Spells!AU$2,"")</f>
        <v/>
      </c>
      <c r="AV19" t="str">
        <f>IF(IFERROR(MATCH($B19,temp!R$4:R$13,0),0)&gt;0,T08_Spells!AV$2,"")</f>
        <v/>
      </c>
      <c r="AW19" t="str">
        <f>IF(IFERROR(MATCH($B19,temp!S$4:S$13,0),0)&gt;0,T08_Spells!AW$2,"")</f>
        <v/>
      </c>
      <c r="AX19" t="str">
        <f>IF(IFERROR(MATCH($B19,temp!T$4:T$13,0),0)&gt;0,T08_Spells!AX$2,"")</f>
        <v/>
      </c>
      <c r="AY19" t="str">
        <f>IF(IFERROR(MATCH($B19,temp!U$4:U$13,0),0)&gt;0,T08_Spells!AY$2,"")</f>
        <v/>
      </c>
      <c r="AZ19" t="str">
        <f>IF(IFERROR(MATCH($B19,temp!V$4:V$13,0),0)&gt;0,T08_Spells!AZ$2,"")</f>
        <v/>
      </c>
      <c r="BA19" t="str">
        <f>IF(IFERROR(MATCH($B19,temp!W$4:W$13,0),0)&gt;0,T08_Spells!BA$2,"")</f>
        <v/>
      </c>
      <c r="BC19">
        <f>IF(IFERROR(SEARCH("Ranger",$T19,1),0)&gt;0,1,0)*IF(RangerMaxSpellLevel&gt;=$C19,1,0)*IF(IFERROR(MATCH(B19,Character_Creation!$X$79:$X$382,0),0)&gt;0,0,1)</f>
        <v>0</v>
      </c>
      <c r="BD19">
        <f>IF(BC19=0,0,1+COUNTIF(BD$3:BD18,"&gt;0"))</f>
        <v>0</v>
      </c>
      <c r="BE19" t="str">
        <f t="shared" si="34"/>
        <v/>
      </c>
      <c r="BF19" t="str">
        <f t="shared" si="6"/>
        <v/>
      </c>
      <c r="BH19">
        <f>IF(IFERROR(SEARCH("Sorcerer",$T19,1),0)&gt;0,1,0)*IF(SorcererMaxSpellLevel&gt;=$C19,1,0)*IF(IFERROR(MATCH(B19,Character_Creation!$J$380:$J$394,0),0)&gt;0,0,1)</f>
        <v>0</v>
      </c>
      <c r="BI19">
        <f>IF(BH19=0,0,1+COUNTIF(BI$3:BI18,"&gt;0"))</f>
        <v>0</v>
      </c>
      <c r="BJ19" t="str">
        <f t="shared" si="35"/>
        <v/>
      </c>
      <c r="BK19" t="str">
        <f t="shared" si="7"/>
        <v/>
      </c>
      <c r="BM19">
        <f>IF(OR(IFERROR(SEARCH("Warlock",$T19,1),0)&gt;0,IFERROR(SEARCH(WarlockPatron,$T19,1),0)&gt;0),1,0)*IF(WarlockMaxSpellLevel&gt;=$C19,1,0)*IF(IFERROR(MATCH(B19,Character_Creation!$J$361:$J$375,0),0)&gt;0,0,1)</f>
        <v>0</v>
      </c>
      <c r="BN19">
        <f>IF(BM19=0,0,1+COUNTIF(BN$3:BN18,"&gt;0"))</f>
        <v>0</v>
      </c>
      <c r="BO19" t="str">
        <f t="shared" si="36"/>
        <v/>
      </c>
      <c r="BP19" t="str">
        <f t="shared" si="8"/>
        <v/>
      </c>
      <c r="BR19">
        <f>IF(IFERROR(SEARCH("Eldritch Knight",$T19,1),0)&gt;0,1,0)*IF(EldritchKnightMaxSpellLevel&gt;=$C19,1,0)*IF(IFERROR(MATCH($B19,Character_Creation!$J$350:$J$356,0),0)&gt;0,0,1)*IF(Character_Creation!$M$338&gt;0,1,0)</f>
        <v>0</v>
      </c>
      <c r="BS19">
        <f>IF(BR19=0,0,1+COUNTIF(BS$3:BS18,"&gt;0"))</f>
        <v>0</v>
      </c>
      <c r="BT19" t="str">
        <f t="shared" si="37"/>
        <v/>
      </c>
      <c r="BU19" t="str">
        <f t="shared" si="9"/>
        <v/>
      </c>
      <c r="BW19">
        <f>IF(IFERROR(SEARCH("Arcane Trickster",$T19,1),0)&gt;0,1,0)*IF(ArcaneTricksterMaxSpellLevel&gt;=$C19,1,0)*IF(IFERROR(MATCH($B19,Character_Creation!$J$350:$J$356,0),0)&gt;0,0,1)*IF(Character_Creation!$T$338&gt;0,1,0)</f>
        <v>0</v>
      </c>
      <c r="BX19">
        <f>IF(BW19=0,0,1+COUNTIF(BX$3:BX18,"&gt;0"))</f>
        <v>0</v>
      </c>
      <c r="BY19" t="str">
        <f t="shared" si="38"/>
        <v/>
      </c>
      <c r="BZ19" t="str">
        <f t="shared" si="10"/>
        <v/>
      </c>
      <c r="CB19">
        <f>IF(IFERROR(SEARCH("Wizard",$T19,1),0)&gt;0,1,0)*IF(C19&lt;=ArcaneTricksterMaxSpellLevel,1,0)*IF(IFERROR(MATCH($B19,Character_Creation!$J$350:$J$356,0),0)&gt;0,0,1)*IF(Character_Creation!$T$350&gt;0,1,0)</f>
        <v>0</v>
      </c>
      <c r="CC19">
        <f>IF(CB19=0,0,1+COUNTIF(CC$3:CC18,"&gt;0"))</f>
        <v>0</v>
      </c>
      <c r="CD19" t="str">
        <f t="shared" si="39"/>
        <v/>
      </c>
      <c r="CE19" t="str">
        <f t="shared" si="11"/>
        <v/>
      </c>
      <c r="CG19">
        <f>IF(IFERROR(SEARCH("Wizard",$T19,1),0)&gt;0,1,0)*IF($C19&lt;=EldritchKnightMaxSpellLevel,1,0)*IF(IFERROR(MATCH($B19,Character_Creation!$J$350:$J$356,0),0)&gt;0,0,1)*IF(Character_Creation!$M$350&gt;0,1,0)</f>
        <v>0</v>
      </c>
      <c r="CH19">
        <f>IF(CG19=0,0,1+COUNTIF(CH$3:CH18,"&gt;0"))</f>
        <v>0</v>
      </c>
      <c r="CI19">
        <f t="shared" si="40"/>
        <v>17</v>
      </c>
      <c r="CJ19" t="str">
        <f t="shared" si="12"/>
        <v>Detect Thoughts</v>
      </c>
      <c r="CL19">
        <f>IF(IFERROR(SEARCH("Bard",$T19,1),0)&gt;0,1,0)*IF(BardMaxSpellLevel&gt;=$C19,1,0)*IF(IFERROR(MATCH(B19,Character_Creation!$C$341:$F$362,0),0)&gt;0,0,1)*IF(IFERROR(MATCH($B19,Character_Creation!$C$341:$C$362,0),0)&gt;0,0,1)</f>
        <v>0</v>
      </c>
      <c r="CM19">
        <f>IF(CL19=0,0,1+COUNTIF(CM$3:CM18,"&gt;0"))</f>
        <v>0</v>
      </c>
      <c r="CN19" t="str">
        <f t="shared" si="41"/>
        <v/>
      </c>
      <c r="CO19" t="str">
        <f t="shared" si="13"/>
        <v/>
      </c>
      <c r="CQ19">
        <f>IF(IFERROR(SEARCH("Wizard",$T19,1),0)&gt;0,1,0)*IF(WizardMaxSpellLevel&gt;=$C19,1,0)*IF(IFERROR(MATCH(B19,Character_Creation!$X$341:$X$400,0),0)&gt;0,0,1)*IF(SelectedWizardSpellLevel=$C19,1,0)</f>
        <v>0</v>
      </c>
      <c r="CR19">
        <f>IF(CQ19=0,0,1+COUNTIF(CR$3:CR18,"&gt;0"))</f>
        <v>0</v>
      </c>
      <c r="CS19">
        <f t="shared" si="42"/>
        <v>17</v>
      </c>
      <c r="CT19" t="str">
        <f t="shared" si="14"/>
        <v>Nondetection</v>
      </c>
      <c r="CV19">
        <f>IF(IFERROR(MATCH($B19,Character_Creation!$C$341:$C$362,0),0)&gt;0,0,1)*IF(OR(C19="Cantrip",C19&lt;=BardMaxSpellLevel),1,0)*IF(IFERROR(MATCH($B19,Character_Creation!$C$367:$C$374,0),0)&gt;0,0,1)</f>
        <v>0</v>
      </c>
      <c r="CW19">
        <f>IF(CV19=0,0,1+COUNTIF(CW$3:CW18,"&gt;0"))</f>
        <v>0</v>
      </c>
      <c r="CX19">
        <f t="shared" si="43"/>
        <v>17</v>
      </c>
      <c r="CY19" t="str">
        <f t="shared" si="15"/>
        <v>Produce Flame</v>
      </c>
      <c r="DA19">
        <f>IF(IF(OR(IFERROR(SEARCH("Cleric",$T19,1),0)&gt;0,IFERROR(SEARCH(DivineDomain&amp;",",$T19,1),0)&gt;0),1,0)*IF($C19=DA$2,1,0)=1,1+COUNTIF(DA$3:DA18,"&gt;0"),0)</f>
        <v>0</v>
      </c>
      <c r="DB19">
        <f>IF(IF(OR(IFERROR(SEARCH("Cleric",$T19,1),0)&gt;0,IFERROR(SEARCH(DivineDomain&amp;",",$T19,1),0)&gt;0),1,0)*IF($C19=DB$2,1,0)=1,1+COUNTIF(DB$3:DB18,"&gt;0"),0)</f>
        <v>0</v>
      </c>
      <c r="DC19">
        <f>IF(IF(OR(IFERROR(SEARCH("Cleric",$T19,1),0)&gt;0,IFERROR(SEARCH(DivineDomain&amp;",",$T19,1),0)&gt;0),1,0)*IF($C19=DC$2,1,0)=1,1+COUNTIF(DC$3:DC18,"&gt;0"),0)</f>
        <v>0</v>
      </c>
      <c r="DD19">
        <f>IF(IF(OR(IFERROR(SEARCH("Cleric",$T19,1),0)&gt;0,IFERROR(SEARCH(DivineDomain&amp;",",$T19,1),0)&gt;0),1,0)*IF($C19=DD$2,1,0)=1,1+COUNTIF(DD$3:DD18,"&gt;0"),0)</f>
        <v>0</v>
      </c>
      <c r="DE19">
        <f>IF(IF(OR(IFERROR(SEARCH("Cleric",$T19,1),0)&gt;0,IFERROR(SEARCH(DivineDomain&amp;",",$T19,1),0)&gt;0),1,0)*IF($C19=DE$2,1,0)=1,1+COUNTIF(DE$3:DE18,"&gt;0"),0)</f>
        <v>0</v>
      </c>
      <c r="DF19">
        <f>IF(IF(OR(IFERROR(SEARCH("Cleric",$T19,1),0)&gt;0,IFERROR(SEARCH(DivineDomain&amp;",",$T19,1),0)&gt;0),1,0)*IF($C19=DF$2,1,0)=1,1+COUNTIF(DF$3:DF18,"&gt;0"),0)</f>
        <v>0</v>
      </c>
      <c r="DG19">
        <f>IF(IF(OR(IFERROR(SEARCH("Cleric",$T19,1),0)&gt;0,IFERROR(SEARCH(DivineDomain&amp;",",$T19,1),0)&gt;0),1,0)*IF($C19=DG$2,1,0)=1,1+COUNTIF(DG$3:DG18,"&gt;0"),0)</f>
        <v>0</v>
      </c>
      <c r="DH19">
        <f>IF(IF(OR(IFERROR(SEARCH("Cleric",$T19,1),0)&gt;0,IFERROR(SEARCH(DivineDomain&amp;",",$T19,1),0)&gt;0),1,0)*IF($C19=DH$2,1,0)=1,1+COUNTIF(DH$3:DH18,"&gt;0"),0)</f>
        <v>0</v>
      </c>
      <c r="DI19">
        <f>IF(IF(OR(IFERROR(SEARCH("Cleric",$T19,1),0)&gt;0,IFERROR(SEARCH(DivineDomain&amp;",",$T19,1),0)&gt;0),1,0)*IF($C19=DI$2,1,0)=1,1+COUNTIF(DI$3:DI18,"&gt;0"),0)</f>
        <v>0</v>
      </c>
      <c r="DJ19">
        <f>IF(IF(OR(IFERROR(SEARCH("Druid",$T19,1),0)&gt;0,IFERROR(SEARCH(DruidLand1,$T19,1),0)&gt;0,IFERROR(SEARCH(DruidLand2,$T19,1),0)&gt;0,IFERROR(SEARCH(DruidLand3,$T19,1),0)&gt;0,IFERROR(SEARCH(DruidLand4,$T19,1),0)&gt;0),1,0)*IF($C19=1,1,0)*IF($C19=DJ$2,1,0)=0,0,1+COUNTIF(DJ$3:DJ18,"&gt;0"))</f>
        <v>0</v>
      </c>
      <c r="DK19">
        <f>IF(IF(OR(IFERROR(SEARCH("Druid",$T19,1),0)&gt;0,IFERROR(SEARCH(DruidLand1,$T19,1),0)&gt;0,IFERROR(SEARCH(DruidLand2,$T19,1),0)&gt;0,IFERROR(SEARCH(DruidLand3,$T19,1),0)&gt;0,IFERROR(SEARCH(DruidLand4,$T19,1),0)&gt;0),1,0)*IF($C19=1,1,0)*IF($C19=DK$2,1,0)=0,0,1+COUNTIF(DK$3:DK18,"&gt;0"))</f>
        <v>0</v>
      </c>
      <c r="DL19">
        <f>IF(IF(OR(IFERROR(SEARCH("Druid",$T19,1),0)&gt;0,IFERROR(SEARCH(DruidLand1,$T19,1),0)&gt;0,IFERROR(SEARCH(DruidLand2,$T19,1),0)&gt;0,IFERROR(SEARCH(DruidLand3,$T19,1),0)&gt;0,IFERROR(SEARCH(DruidLand4,$T19,1),0)&gt;0),1,0)*IF($C19=1,1,0)*IF($C19=DL$2,1,0)=0,0,1+COUNTIF(DL$3:DL18,"&gt;0"))</f>
        <v>0</v>
      </c>
      <c r="DM19">
        <f>IF(IF(OR(IFERROR(SEARCH("Druid",$T19,1),0)&gt;0,IFERROR(SEARCH(DruidLand1,$T19,1),0)&gt;0,IFERROR(SEARCH(DruidLand2,$T19,1),0)&gt;0,IFERROR(SEARCH(DruidLand3,$T19,1),0)&gt;0,IFERROR(SEARCH(DruidLand4,$T19,1),0)&gt;0),1,0)*IF($C19=1,1,0)*IF($C19=DM$2,1,0)=0,0,1+COUNTIF(DM$3:DM18,"&gt;0"))</f>
        <v>0</v>
      </c>
      <c r="DN19">
        <f>IF(IF(OR(IFERROR(SEARCH("Druid",$T19,1),0)&gt;0,IFERROR(SEARCH(DruidLand1,$T19,1),0)&gt;0,IFERROR(SEARCH(DruidLand2,$T19,1),0)&gt;0,IFERROR(SEARCH(DruidLand3,$T19,1),0)&gt;0,IFERROR(SEARCH(DruidLand4,$T19,1),0)&gt;0),1,0)*IF($C19=1,1,0)*IF($C19=DN$2,1,0)=0,0,1+COUNTIF(DN$3:DN18,"&gt;0"))</f>
        <v>0</v>
      </c>
      <c r="DO19">
        <f>IF(IF(OR(IFERROR(SEARCH("Druid",$T19,1),0)&gt;0,IFERROR(SEARCH(DruidLand1,$T19,1),0)&gt;0,IFERROR(SEARCH(DruidLand2,$T19,1),0)&gt;0,IFERROR(SEARCH(DruidLand3,$T19,1),0)&gt;0,IFERROR(SEARCH(DruidLand4,$T19,1),0)&gt;0),1,0)*IF($C19=1,1,0)*IF($C19=DO$2,1,0)=0,0,1+COUNTIF(DO$3:DO18,"&gt;0"))</f>
        <v>0</v>
      </c>
      <c r="DP19">
        <f>IF(IF(OR(IFERROR(SEARCH("Druid",$T19,1),0)&gt;0,IFERROR(SEARCH(DruidLand1,$T19,1),0)&gt;0,IFERROR(SEARCH(DruidLand2,$T19,1),0)&gt;0,IFERROR(SEARCH(DruidLand3,$T19,1),0)&gt;0,IFERROR(SEARCH(DruidLand4,$T19,1),0)&gt;0),1,0)*IF($C19=1,1,0)*IF($C19=DP$2,1,0)=0,0,1+COUNTIF(DP$3:DP18,"&gt;0"))</f>
        <v>0</v>
      </c>
      <c r="DQ19">
        <f>IF(IF(OR(IFERROR(SEARCH("Druid",$T19,1),0)&gt;0,IFERROR(SEARCH(DruidLand1,$T19,1),0)&gt;0,IFERROR(SEARCH(DruidLand2,$T19,1),0)&gt;0,IFERROR(SEARCH(DruidLand3,$T19,1),0)&gt;0,IFERROR(SEARCH(DruidLand4,$T19,1),0)&gt;0),1,0)*IF($C19=1,1,0)*IF($C19=DQ$2,1,0)=0,0,1+COUNTIF(DQ$3:DQ18,"&gt;0"))</f>
        <v>0</v>
      </c>
      <c r="DR19">
        <f>IF(IF(OR(IFERROR(SEARCH("Druid",$T19,1),0)&gt;0,IFERROR(SEARCH(DruidLand1,$T19,1),0)&gt;0,IFERROR(SEARCH(DruidLand2,$T19,1),0)&gt;0,IFERROR(SEARCH(DruidLand3,$T19,1),0)&gt;0,IFERROR(SEARCH(DruidLand4,$T19,1),0)&gt;0),1,0)*IF($C19=1,1,0)*IF($C19=DR$2,1,0)=0,0,1+COUNTIF(DR$3:DR18,"&gt;0"))</f>
        <v>0</v>
      </c>
      <c r="DS19">
        <f>IF(IF(OR(IFERROR(SEARCH("Paladin",$T19,1),0)&gt;0,IFERROR(SEARCH(PaladinOath,$T19,1),0)&gt;0),1,0)*IF($C19=DS$2,1,0)=1,1+COUNTIF(DS$3:DS18,"&gt;0"),0)</f>
        <v>0</v>
      </c>
      <c r="DT19">
        <f>IF(IF(OR(IFERROR(SEARCH("Paladin",$T19,1),0)&gt;0,IFERROR(SEARCH(PaladinOath,$T19,1),0)&gt;0),1,0)*IF($C19=DT$2,1,0)=1,1+COUNTIF(DT$3:DT18,"&gt;0"),0)</f>
        <v>0</v>
      </c>
      <c r="DU19">
        <f>IF(IF(OR(IFERROR(SEARCH("Paladin",$T19,1),0)&gt;0,IFERROR(SEARCH(PaladinOath,$T19,1),0)&gt;0),1,0)*IF($C19=DU$2,1,0)=1,1+COUNTIF(DU$3:DU18,"&gt;0"),0)</f>
        <v>0</v>
      </c>
      <c r="DV19">
        <f>IF(IF(OR(IFERROR(SEARCH("Paladin",$T19,1),0)&gt;0,IFERROR(SEARCH(PaladinOath,$T19,1),0)&gt;0),1,0)*IF($C19=DV$2,1,0)=1,1+COUNTIF(DV$3:DV18,"&gt;0"),0)</f>
        <v>0</v>
      </c>
      <c r="DW19">
        <f>IF(IF(OR(IFERROR(SEARCH("Paladin",$T19,1),0)&gt;0,IFERROR(SEARCH(PaladinOath,$T19,1),0)&gt;0),1,0)*IF($C19=DW$2,1,0)=1,1+COUNTIF(DW$3:DW18,"&gt;0"),0)</f>
        <v>0</v>
      </c>
      <c r="DY19">
        <f t="shared" si="2"/>
        <v>1</v>
      </c>
      <c r="DZ19">
        <f>IF(DY19=0,0,1+MAX(DZ$3:$DZ18))</f>
        <v>17</v>
      </c>
      <c r="EB19">
        <f t="shared" si="16"/>
        <v>0</v>
      </c>
      <c r="EC19">
        <f>IF(EB19=0,0,1+COUNTIF(EC$3:EC18,"&gt;0"))</f>
        <v>0</v>
      </c>
      <c r="ED19" t="str">
        <f t="shared" si="44"/>
        <v/>
      </c>
      <c r="EE19" t="str">
        <f t="shared" si="17"/>
        <v/>
      </c>
      <c r="EG19">
        <f t="shared" si="18"/>
        <v>0</v>
      </c>
      <c r="EH19">
        <f>IF(EG19=0,0,1+COUNTIF(EH$3:EH18,"&gt;0"))</f>
        <v>0</v>
      </c>
      <c r="EI19" t="str">
        <f t="shared" si="45"/>
        <v/>
      </c>
      <c r="EJ19" t="str">
        <f t="shared" si="19"/>
        <v/>
      </c>
      <c r="EL19">
        <f t="shared" si="20"/>
        <v>0</v>
      </c>
      <c r="EM19">
        <f>IF(EL19=0,0,1+COUNTIF(EM$3:EM18,"&gt;0"))</f>
        <v>0</v>
      </c>
      <c r="EN19" t="str">
        <f t="shared" si="46"/>
        <v/>
      </c>
      <c r="EO19" t="str">
        <f t="shared" si="21"/>
        <v/>
      </c>
      <c r="EQ19">
        <f t="shared" si="22"/>
        <v>0</v>
      </c>
      <c r="ER19">
        <f>IF(EQ19=0,0,1+COUNTIF(ER$3:ER18,"&gt;0"))</f>
        <v>0</v>
      </c>
      <c r="ES19" t="str">
        <f t="shared" si="47"/>
        <v/>
      </c>
      <c r="ET19" t="str">
        <f t="shared" si="23"/>
        <v/>
      </c>
      <c r="EV19">
        <f t="shared" si="24"/>
        <v>0</v>
      </c>
      <c r="EW19">
        <f>IF(EV19=0,0,1+COUNTIF(EW$3:EW18,"&gt;0"))</f>
        <v>0</v>
      </c>
      <c r="EX19" t="str">
        <f t="shared" si="48"/>
        <v/>
      </c>
      <c r="EY19" t="str">
        <f t="shared" si="25"/>
        <v/>
      </c>
      <c r="FA19">
        <f t="shared" si="26"/>
        <v>0</v>
      </c>
      <c r="FB19">
        <f>IF(FA19=0,0,1+COUNTIF(FB$3:FB18,"&gt;0"))</f>
        <v>0</v>
      </c>
      <c r="FC19">
        <f t="shared" si="49"/>
        <v>17</v>
      </c>
      <c r="FD19" t="str">
        <f t="shared" si="27"/>
        <v>Create Bonfire</v>
      </c>
      <c r="FF19">
        <f t="shared" si="28"/>
        <v>0</v>
      </c>
      <c r="FG19">
        <f>IF(FF19=0,0,1+COUNTIF(FG$3:FG18,"&gt;0"))</f>
        <v>0</v>
      </c>
      <c r="FH19" t="str">
        <f t="shared" si="50"/>
        <v/>
      </c>
      <c r="FI19" t="str">
        <f t="shared" si="29"/>
        <v/>
      </c>
      <c r="FK19">
        <f t="shared" si="30"/>
        <v>0</v>
      </c>
      <c r="FL19">
        <f>IF(FK19=0,0,1+COUNTIF(FL$3:FL18,"&gt;0"))</f>
        <v>0</v>
      </c>
      <c r="FM19">
        <f t="shared" si="51"/>
        <v>17</v>
      </c>
      <c r="FN19" t="str">
        <f t="shared" si="31"/>
        <v>Create Bonfire</v>
      </c>
      <c r="FP19">
        <f t="shared" si="32"/>
        <v>0</v>
      </c>
      <c r="FQ19">
        <f>IF(FP19=0,0,1+COUNTIF(FQ$3:FQ18,"&gt;0"))</f>
        <v>0</v>
      </c>
      <c r="FR19" t="str">
        <f t="shared" si="52"/>
        <v/>
      </c>
      <c r="FS19" t="str">
        <f t="shared" si="33"/>
        <v/>
      </c>
    </row>
    <row r="20" spans="1:175" x14ac:dyDescent="0.25">
      <c r="A20" s="347">
        <f t="shared" si="53"/>
        <v>18</v>
      </c>
      <c r="B20" s="348" t="s">
        <v>2370</v>
      </c>
      <c r="C20" s="348">
        <v>9</v>
      </c>
      <c r="D20" s="347">
        <v>9</v>
      </c>
      <c r="E20" s="627" t="s">
        <v>6952</v>
      </c>
      <c r="F20" s="346"/>
      <c r="G20" s="347" t="str">
        <f>""</f>
        <v/>
      </c>
      <c r="H20" s="347" t="s">
        <v>5293</v>
      </c>
      <c r="I20" s="347" t="s">
        <v>5052</v>
      </c>
      <c r="J20" s="347" t="str">
        <f t="shared" si="3"/>
        <v/>
      </c>
      <c r="K20" s="347" t="s">
        <v>5302</v>
      </c>
      <c r="L20" s="611" t="str">
        <f t="shared" si="4"/>
        <v>V, S, M, for each creature you affect with this spell, you must provide one jacinth worth at least 1,000 gp and one ornately carved bar of silver worth at least 100 gp, all of which the spell consumes</v>
      </c>
      <c r="M20" s="347" t="s">
        <v>2373</v>
      </c>
      <c r="N20" s="347" t="s">
        <v>2387</v>
      </c>
      <c r="O20" s="347" t="s">
        <v>1244</v>
      </c>
      <c r="P20" s="346" t="s">
        <v>5303</v>
      </c>
      <c r="Q20" s="347" t="s">
        <v>5275</v>
      </c>
      <c r="S20" s="346" t="s">
        <v>5598</v>
      </c>
      <c r="T20" s="346" t="str">
        <f t="shared" si="5"/>
        <v xml:space="preserve">Warlock, Cleric, Wizard, </v>
      </c>
      <c r="Y20" s="347" t="str">
        <f t="shared" si="54"/>
        <v>Astral Projection</v>
      </c>
      <c r="Z20" s="347" t="str">
        <f t="shared" si="54"/>
        <v>Astral Projection</v>
      </c>
      <c r="AD20" s="347" t="str">
        <f>$B20</f>
        <v>Astral Projection</v>
      </c>
      <c r="AE20" t="str">
        <f>IF(IFERROR(MATCH($B20,temp!A$4:A$13,0),0)&gt;0,T08_Spells!AE$2,"")</f>
        <v/>
      </c>
      <c r="AF20" t="str">
        <f>IF(IFERROR(MATCH($B20,temp!B$4:B$13,0),0)&gt;0,T08_Spells!AF$2,"")</f>
        <v/>
      </c>
      <c r="AG20" t="str">
        <f>IF(IFERROR(MATCH($B20,temp!C$4:C$13,0),0)&gt;0,T08_Spells!AG$2,"")</f>
        <v/>
      </c>
      <c r="AH20" t="str">
        <f>IF(IFERROR(MATCH($B20,temp!D$4:D$13,0),0)&gt;0,T08_Spells!AH$2,"")</f>
        <v/>
      </c>
      <c r="AI20" t="str">
        <f>IF(IFERROR(MATCH($B20,temp!E$4:E$13,0),0)&gt;0,T08_Spells!AI$2,"")</f>
        <v/>
      </c>
      <c r="AJ20" t="str">
        <f>IF(IFERROR(MATCH($B20,temp!F$4:F$13,0),0)&gt;0,T08_Spells!AJ$2,"")</f>
        <v/>
      </c>
      <c r="AK20" t="str">
        <f>IF(IFERROR(MATCH($B20,temp!G$4:G$13,0),0)&gt;0,T08_Spells!AK$2,"")</f>
        <v/>
      </c>
      <c r="AL20" t="str">
        <f>IF(IFERROR(MATCH($B20,temp!H$4:H$13,0),0)&gt;0,T08_Spells!AL$2,"")</f>
        <v/>
      </c>
      <c r="AM20" t="str">
        <f>IF(IFERROR(MATCH($B20,temp!I$4:I$13,0),0)&gt;0,T08_Spells!AM$2,"")</f>
        <v/>
      </c>
      <c r="AN20" t="str">
        <f>IF(IFERROR(MATCH($B20,temp!J$4:J$13,0),0)&gt;0,T08_Spells!AN$2,"")</f>
        <v/>
      </c>
      <c r="AO20" t="str">
        <f>IF(IFERROR(MATCH($B20,temp!K$4:K$13,0),0)&gt;0,T08_Spells!AO$2,"")</f>
        <v/>
      </c>
      <c r="AP20" t="str">
        <f>IF(IFERROR(MATCH($B20,temp!L$4:L$13,0),0)&gt;0,T08_Spells!AP$2,"")</f>
        <v/>
      </c>
      <c r="AQ20" t="str">
        <f>IF(IFERROR(MATCH($B20,temp!M$4:M$13,0),0)&gt;0,T08_Spells!AQ$2,"")</f>
        <v/>
      </c>
      <c r="AR20" t="str">
        <f>IF(IFERROR(MATCH($B20,temp!N$4:N$13,0),0)&gt;0,T08_Spells!AR$2,"")</f>
        <v/>
      </c>
      <c r="AS20" t="str">
        <f>IF(IFERROR(MATCH($B20,temp!O$4:O$13,0),0)&gt;0,T08_Spells!AS$2,"")</f>
        <v/>
      </c>
      <c r="AT20" t="str">
        <f>IF(IFERROR(MATCH($B20,temp!P$4:P$13,0),0)&gt;0,T08_Spells!AT$2,"")</f>
        <v/>
      </c>
      <c r="AU20" t="str">
        <f>IF(IFERROR(MATCH($B20,temp!Q$4:Q$13,0),0)&gt;0,T08_Spells!AU$2,"")</f>
        <v/>
      </c>
      <c r="AV20" t="str">
        <f>IF(IFERROR(MATCH($B20,temp!R$4:R$13,0),0)&gt;0,T08_Spells!AV$2,"")</f>
        <v/>
      </c>
      <c r="AW20" t="str">
        <f>IF(IFERROR(MATCH($B20,temp!S$4:S$13,0),0)&gt;0,T08_Spells!AW$2,"")</f>
        <v/>
      </c>
      <c r="AX20" t="str">
        <f>IF(IFERROR(MATCH($B20,temp!T$4:T$13,0),0)&gt;0,T08_Spells!AX$2,"")</f>
        <v/>
      </c>
      <c r="AY20" t="str">
        <f>IF(IFERROR(MATCH($B20,temp!U$4:U$13,0),0)&gt;0,T08_Spells!AY$2,"")</f>
        <v/>
      </c>
      <c r="AZ20" t="str">
        <f>IF(IFERROR(MATCH($B20,temp!V$4:V$13,0),0)&gt;0,T08_Spells!AZ$2,"")</f>
        <v/>
      </c>
      <c r="BA20" t="str">
        <f>IF(IFERROR(MATCH($B20,temp!W$4:W$13,0),0)&gt;0,T08_Spells!BA$2,"")</f>
        <v/>
      </c>
      <c r="BC20">
        <f>IF(IFERROR(SEARCH("Ranger",$T20,1),0)&gt;0,1,0)*IF(RangerMaxSpellLevel&gt;=$C20,1,0)*IF(IFERROR(MATCH(B20,Character_Creation!$X$79:$X$382,0),0)&gt;0,0,1)</f>
        <v>0</v>
      </c>
      <c r="BD20">
        <f>IF(BC20=0,0,1+COUNTIF(BD$3:BD19,"&gt;0"))</f>
        <v>0</v>
      </c>
      <c r="BE20" t="str">
        <f t="shared" si="34"/>
        <v/>
      </c>
      <c r="BF20" t="str">
        <f t="shared" si="6"/>
        <v/>
      </c>
      <c r="BH20">
        <f>IF(IFERROR(SEARCH("Sorcerer",$T20,1),0)&gt;0,1,0)*IF(SorcererMaxSpellLevel&gt;=$C20,1,0)*IF(IFERROR(MATCH(B20,Character_Creation!$J$380:$J$394,0),0)&gt;0,0,1)</f>
        <v>0</v>
      </c>
      <c r="BI20">
        <f>IF(BH20=0,0,1+COUNTIF(BI$3:BI19,"&gt;0"))</f>
        <v>0</v>
      </c>
      <c r="BJ20" t="str">
        <f t="shared" si="35"/>
        <v/>
      </c>
      <c r="BK20" t="str">
        <f t="shared" si="7"/>
        <v/>
      </c>
      <c r="BM20">
        <f>IF(OR(IFERROR(SEARCH("Warlock",$T20,1),0)&gt;0,IFERROR(SEARCH(WarlockPatron,$T20,1),0)&gt;0),1,0)*IF(WarlockMaxSpellLevel&gt;=$C20,1,0)*IF(IFERROR(MATCH(B20,Character_Creation!$J$361:$J$375,0),0)&gt;0,0,1)</f>
        <v>0</v>
      </c>
      <c r="BN20">
        <f>IF(BM20=0,0,1+COUNTIF(BN$3:BN19,"&gt;0"))</f>
        <v>0</v>
      </c>
      <c r="BO20" t="str">
        <f t="shared" si="36"/>
        <v/>
      </c>
      <c r="BP20" t="str">
        <f t="shared" si="8"/>
        <v/>
      </c>
      <c r="BR20">
        <f>IF(IFERROR(SEARCH("Eldritch Knight",$T20,1),0)&gt;0,1,0)*IF(EldritchKnightMaxSpellLevel&gt;=$C20,1,0)*IF(IFERROR(MATCH($B20,Character_Creation!$J$350:$J$356,0),0)&gt;0,0,1)*IF(Character_Creation!$M$338&gt;0,1,0)</f>
        <v>0</v>
      </c>
      <c r="BS20">
        <f>IF(BR20=0,0,1+COUNTIF(BS$3:BS19,"&gt;0"))</f>
        <v>0</v>
      </c>
      <c r="BT20" t="str">
        <f t="shared" si="37"/>
        <v/>
      </c>
      <c r="BU20" t="str">
        <f t="shared" si="9"/>
        <v/>
      </c>
      <c r="BW20">
        <f>IF(IFERROR(SEARCH("Arcane Trickster",$T20,1),0)&gt;0,1,0)*IF(ArcaneTricksterMaxSpellLevel&gt;=$C20,1,0)*IF(IFERROR(MATCH($B20,Character_Creation!$J$350:$J$356,0),0)&gt;0,0,1)*IF(Character_Creation!$T$338&gt;0,1,0)</f>
        <v>0</v>
      </c>
      <c r="BX20">
        <f>IF(BW20=0,0,1+COUNTIF(BX$3:BX19,"&gt;0"))</f>
        <v>0</v>
      </c>
      <c r="BY20" t="str">
        <f t="shared" si="38"/>
        <v/>
      </c>
      <c r="BZ20" t="str">
        <f t="shared" si="10"/>
        <v/>
      </c>
      <c r="CB20">
        <f>IF(IFERROR(SEARCH("Wizard",$T20,1),0)&gt;0,1,0)*IF(C20&lt;=ArcaneTricksterMaxSpellLevel,1,0)*IF(IFERROR(MATCH($B20,Character_Creation!$J$350:$J$356,0),0)&gt;0,0,1)*IF(Character_Creation!$T$350&gt;0,1,0)</f>
        <v>0</v>
      </c>
      <c r="CC20">
        <f>IF(CB20=0,0,1+COUNTIF(CC$3:CC19,"&gt;0"))</f>
        <v>0</v>
      </c>
      <c r="CD20" t="str">
        <f t="shared" si="39"/>
        <v/>
      </c>
      <c r="CE20" t="str">
        <f t="shared" si="11"/>
        <v/>
      </c>
      <c r="CG20">
        <f>IF(IFERROR(SEARCH("Wizard",$T20,1),0)&gt;0,1,0)*IF($C20&lt;=EldritchKnightMaxSpellLevel,1,0)*IF(IFERROR(MATCH($B20,Character_Creation!$J$350:$J$356,0),0)&gt;0,0,1)*IF(Character_Creation!$M$350&gt;0,1,0)</f>
        <v>0</v>
      </c>
      <c r="CH20">
        <f>IF(CG20=0,0,1+COUNTIF(CH$3:CH19,"&gt;0"))</f>
        <v>0</v>
      </c>
      <c r="CI20">
        <f t="shared" si="40"/>
        <v>18</v>
      </c>
      <c r="CJ20" t="str">
        <f t="shared" si="12"/>
        <v>Disguise Self</v>
      </c>
      <c r="CL20">
        <f>IF(IFERROR(SEARCH("Bard",$T20,1),0)&gt;0,1,0)*IF(BardMaxSpellLevel&gt;=$C20,1,0)*IF(IFERROR(MATCH(B20,Character_Creation!$C$341:$F$362,0),0)&gt;0,0,1)*IF(IFERROR(MATCH($B20,Character_Creation!$C$341:$C$362,0),0)&gt;0,0,1)</f>
        <v>0</v>
      </c>
      <c r="CM20">
        <f>IF(CL20=0,0,1+COUNTIF(CM$3:CM19,"&gt;0"))</f>
        <v>0</v>
      </c>
      <c r="CN20" t="str">
        <f t="shared" si="41"/>
        <v/>
      </c>
      <c r="CO20" t="str">
        <f t="shared" si="13"/>
        <v/>
      </c>
      <c r="CQ20">
        <f>IF(IFERROR(SEARCH("Wizard",$T20,1),0)&gt;0,1,0)*IF(WizardMaxSpellLevel&gt;=$C20,1,0)*IF(IFERROR(MATCH(B20,Character_Creation!$X$341:$X$400,0),0)&gt;0,0,1)*IF(SelectedWizardSpellLevel=$C20,1,0)</f>
        <v>0</v>
      </c>
      <c r="CR20">
        <f>IF(CQ20=0,0,1+COUNTIF(CR$3:CR19,"&gt;0"))</f>
        <v>0</v>
      </c>
      <c r="CS20">
        <f t="shared" si="42"/>
        <v>18</v>
      </c>
      <c r="CT20" t="str">
        <f t="shared" si="14"/>
        <v>Phantom Steed</v>
      </c>
      <c r="CV20">
        <f>IF(IFERROR(MATCH($B20,Character_Creation!$C$341:$C$362,0),0)&gt;0,0,1)*IF(OR(C20="Cantrip",C20&lt;=BardMaxSpellLevel),1,0)*IF(IFERROR(MATCH($B20,Character_Creation!$C$367:$C$374,0),0)&gt;0,0,1)</f>
        <v>0</v>
      </c>
      <c r="CW20">
        <f>IF(CV20=0,0,1+COUNTIF(CW$3:CW19,"&gt;0"))</f>
        <v>0</v>
      </c>
      <c r="CX20">
        <f t="shared" si="43"/>
        <v>18</v>
      </c>
      <c r="CY20" t="str">
        <f t="shared" si="15"/>
        <v>Ray of Frost</v>
      </c>
      <c r="DA20">
        <f>IF(IF(OR(IFERROR(SEARCH("Cleric",$T20,1),0)&gt;0,IFERROR(SEARCH(DivineDomain&amp;",",$T20,1),0)&gt;0),1,0)*IF($C20=DA$2,1,0)=1,1+COUNTIF(DA$3:DA19,"&gt;0"),0)</f>
        <v>0</v>
      </c>
      <c r="DB20">
        <f>IF(IF(OR(IFERROR(SEARCH("Cleric",$T20,1),0)&gt;0,IFERROR(SEARCH(DivineDomain&amp;",",$T20,1),0)&gt;0),1,0)*IF($C20=DB$2,1,0)=1,1+COUNTIF(DB$3:DB19,"&gt;0"),0)</f>
        <v>0</v>
      </c>
      <c r="DC20">
        <f>IF(IF(OR(IFERROR(SEARCH("Cleric",$T20,1),0)&gt;0,IFERROR(SEARCH(DivineDomain&amp;",",$T20,1),0)&gt;0),1,0)*IF($C20=DC$2,1,0)=1,1+COUNTIF(DC$3:DC19,"&gt;0"),0)</f>
        <v>0</v>
      </c>
      <c r="DD20">
        <f>IF(IF(OR(IFERROR(SEARCH("Cleric",$T20,1),0)&gt;0,IFERROR(SEARCH(DivineDomain&amp;",",$T20,1),0)&gt;0),1,0)*IF($C20=DD$2,1,0)=1,1+COUNTIF(DD$3:DD19,"&gt;0"),0)</f>
        <v>0</v>
      </c>
      <c r="DE20">
        <f>IF(IF(OR(IFERROR(SEARCH("Cleric",$T20,1),0)&gt;0,IFERROR(SEARCH(DivineDomain&amp;",",$T20,1),0)&gt;0),1,0)*IF($C20=DE$2,1,0)=1,1+COUNTIF(DE$3:DE19,"&gt;0"),0)</f>
        <v>0</v>
      </c>
      <c r="DF20">
        <f>IF(IF(OR(IFERROR(SEARCH("Cleric",$T20,1),0)&gt;0,IFERROR(SEARCH(DivineDomain&amp;",",$T20,1),0)&gt;0),1,0)*IF($C20=DF$2,1,0)=1,1+COUNTIF(DF$3:DF19,"&gt;0"),0)</f>
        <v>0</v>
      </c>
      <c r="DG20">
        <f>IF(IF(OR(IFERROR(SEARCH("Cleric",$T20,1),0)&gt;0,IFERROR(SEARCH(DivineDomain&amp;",",$T20,1),0)&gt;0),1,0)*IF($C20=DG$2,1,0)=1,1+COUNTIF(DG$3:DG19,"&gt;0"),0)</f>
        <v>0</v>
      </c>
      <c r="DH20">
        <f>IF(IF(OR(IFERROR(SEARCH("Cleric",$T20,1),0)&gt;0,IFERROR(SEARCH(DivineDomain&amp;",",$T20,1),0)&gt;0),1,0)*IF($C20=DH$2,1,0)=1,1+COUNTIF(DH$3:DH19,"&gt;0"),0)</f>
        <v>0</v>
      </c>
      <c r="DI20">
        <f>IF(IF(OR(IFERROR(SEARCH("Cleric",$T20,1),0)&gt;0,IFERROR(SEARCH(DivineDomain&amp;",",$T20,1),0)&gt;0),1,0)*IF($C20=DI$2,1,0)=1,1+COUNTIF(DI$3:DI19,"&gt;0"),0)</f>
        <v>1</v>
      </c>
      <c r="DJ20">
        <f>IF(IF(OR(IFERROR(SEARCH("Druid",$T20,1),0)&gt;0,IFERROR(SEARCH(DruidLand1,$T20,1),0)&gt;0,IFERROR(SEARCH(DruidLand2,$T20,1),0)&gt;0,IFERROR(SEARCH(DruidLand3,$T20,1),0)&gt;0,IFERROR(SEARCH(DruidLand4,$T20,1),0)&gt;0),1,0)*IF($C20=1,1,0)*IF($C20=DJ$2,1,0)=0,0,1+COUNTIF(DJ$3:DJ19,"&gt;0"))</f>
        <v>0</v>
      </c>
      <c r="DK20">
        <f>IF(IF(OR(IFERROR(SEARCH("Druid",$T20,1),0)&gt;0,IFERROR(SEARCH(DruidLand1,$T20,1),0)&gt;0,IFERROR(SEARCH(DruidLand2,$T20,1),0)&gt;0,IFERROR(SEARCH(DruidLand3,$T20,1),0)&gt;0,IFERROR(SEARCH(DruidLand4,$T20,1),0)&gt;0),1,0)*IF($C20=1,1,0)*IF($C20=DK$2,1,0)=0,0,1+COUNTIF(DK$3:DK19,"&gt;0"))</f>
        <v>0</v>
      </c>
      <c r="DL20">
        <f>IF(IF(OR(IFERROR(SEARCH("Druid",$T20,1),0)&gt;0,IFERROR(SEARCH(DruidLand1,$T20,1),0)&gt;0,IFERROR(SEARCH(DruidLand2,$T20,1),0)&gt;0,IFERROR(SEARCH(DruidLand3,$T20,1),0)&gt;0,IFERROR(SEARCH(DruidLand4,$T20,1),0)&gt;0),1,0)*IF($C20=1,1,0)*IF($C20=DL$2,1,0)=0,0,1+COUNTIF(DL$3:DL19,"&gt;0"))</f>
        <v>0</v>
      </c>
      <c r="DM20">
        <f>IF(IF(OR(IFERROR(SEARCH("Druid",$T20,1),0)&gt;0,IFERROR(SEARCH(DruidLand1,$T20,1),0)&gt;0,IFERROR(SEARCH(DruidLand2,$T20,1),0)&gt;0,IFERROR(SEARCH(DruidLand3,$T20,1),0)&gt;0,IFERROR(SEARCH(DruidLand4,$T20,1),0)&gt;0),1,0)*IF($C20=1,1,0)*IF($C20=DM$2,1,0)=0,0,1+COUNTIF(DM$3:DM19,"&gt;0"))</f>
        <v>0</v>
      </c>
      <c r="DN20">
        <f>IF(IF(OR(IFERROR(SEARCH("Druid",$T20,1),0)&gt;0,IFERROR(SEARCH(DruidLand1,$T20,1),0)&gt;0,IFERROR(SEARCH(DruidLand2,$T20,1),0)&gt;0,IFERROR(SEARCH(DruidLand3,$T20,1),0)&gt;0,IFERROR(SEARCH(DruidLand4,$T20,1),0)&gt;0),1,0)*IF($C20=1,1,0)*IF($C20=DN$2,1,0)=0,0,1+COUNTIF(DN$3:DN19,"&gt;0"))</f>
        <v>0</v>
      </c>
      <c r="DO20">
        <f>IF(IF(OR(IFERROR(SEARCH("Druid",$T20,1),0)&gt;0,IFERROR(SEARCH(DruidLand1,$T20,1),0)&gt;0,IFERROR(SEARCH(DruidLand2,$T20,1),0)&gt;0,IFERROR(SEARCH(DruidLand3,$T20,1),0)&gt;0,IFERROR(SEARCH(DruidLand4,$T20,1),0)&gt;0),1,0)*IF($C20=1,1,0)*IF($C20=DO$2,1,0)=0,0,1+COUNTIF(DO$3:DO19,"&gt;0"))</f>
        <v>0</v>
      </c>
      <c r="DP20">
        <f>IF(IF(OR(IFERROR(SEARCH("Druid",$T20,1),0)&gt;0,IFERROR(SEARCH(DruidLand1,$T20,1),0)&gt;0,IFERROR(SEARCH(DruidLand2,$T20,1),0)&gt;0,IFERROR(SEARCH(DruidLand3,$T20,1),0)&gt;0,IFERROR(SEARCH(DruidLand4,$T20,1),0)&gt;0),1,0)*IF($C20=1,1,0)*IF($C20=DP$2,1,0)=0,0,1+COUNTIF(DP$3:DP19,"&gt;0"))</f>
        <v>0</v>
      </c>
      <c r="DQ20">
        <f>IF(IF(OR(IFERROR(SEARCH("Druid",$T20,1),0)&gt;0,IFERROR(SEARCH(DruidLand1,$T20,1),0)&gt;0,IFERROR(SEARCH(DruidLand2,$T20,1),0)&gt;0,IFERROR(SEARCH(DruidLand3,$T20,1),0)&gt;0,IFERROR(SEARCH(DruidLand4,$T20,1),0)&gt;0),1,0)*IF($C20=1,1,0)*IF($C20=DQ$2,1,0)=0,0,1+COUNTIF(DQ$3:DQ19,"&gt;0"))</f>
        <v>0</v>
      </c>
      <c r="DR20">
        <f>IF(IF(OR(IFERROR(SEARCH("Druid",$T20,1),0)&gt;0,IFERROR(SEARCH(DruidLand1,$T20,1),0)&gt;0,IFERROR(SEARCH(DruidLand2,$T20,1),0)&gt;0,IFERROR(SEARCH(DruidLand3,$T20,1),0)&gt;0,IFERROR(SEARCH(DruidLand4,$T20,1),0)&gt;0),1,0)*IF($C20=1,1,0)*IF($C20=DR$2,1,0)=0,0,1+COUNTIF(DR$3:DR19,"&gt;0"))</f>
        <v>0</v>
      </c>
      <c r="DS20">
        <f>IF(IF(OR(IFERROR(SEARCH("Paladin",$T20,1),0)&gt;0,IFERROR(SEARCH(PaladinOath,$T20,1),0)&gt;0),1,0)*IF($C20=DS$2,1,0)=1,1+COUNTIF(DS$3:DS19,"&gt;0"),0)</f>
        <v>0</v>
      </c>
      <c r="DT20">
        <f>IF(IF(OR(IFERROR(SEARCH("Paladin",$T20,1),0)&gt;0,IFERROR(SEARCH(PaladinOath,$T20,1),0)&gt;0),1,0)*IF($C20=DT$2,1,0)=1,1+COUNTIF(DT$3:DT19,"&gt;0"),0)</f>
        <v>0</v>
      </c>
      <c r="DU20">
        <f>IF(IF(OR(IFERROR(SEARCH("Paladin",$T20,1),0)&gt;0,IFERROR(SEARCH(PaladinOath,$T20,1),0)&gt;0),1,0)*IF($C20=DU$2,1,0)=1,1+COUNTIF(DU$3:DU19,"&gt;0"),0)</f>
        <v>0</v>
      </c>
      <c r="DV20">
        <f>IF(IF(OR(IFERROR(SEARCH("Paladin",$T20,1),0)&gt;0,IFERROR(SEARCH(PaladinOath,$T20,1),0)&gt;0),1,0)*IF($C20=DV$2,1,0)=1,1+COUNTIF(DV$3:DV19,"&gt;0"),0)</f>
        <v>0</v>
      </c>
      <c r="DW20">
        <f>IF(IF(OR(IFERROR(SEARCH("Paladin",$T20,1),0)&gt;0,IFERROR(SEARCH(PaladinOath,$T20,1),0)&gt;0),1,0)*IF($C20=DW$2,1,0)=1,1+COUNTIF(DW$3:DW19,"&gt;0"),0)</f>
        <v>0</v>
      </c>
      <c r="DY20">
        <f t="shared" si="2"/>
        <v>1</v>
      </c>
      <c r="DZ20">
        <f>IF(DY20=0,0,1+MAX(DZ$3:$DZ19))</f>
        <v>18</v>
      </c>
      <c r="EB20">
        <f t="shared" si="16"/>
        <v>0</v>
      </c>
      <c r="EC20">
        <f>IF(EB20=0,0,1+COUNTIF(EC$3:EC19,"&gt;0"))</f>
        <v>0</v>
      </c>
      <c r="ED20" t="str">
        <f t="shared" si="44"/>
        <v/>
      </c>
      <c r="EE20" t="str">
        <f t="shared" si="17"/>
        <v/>
      </c>
      <c r="EG20">
        <f t="shared" si="18"/>
        <v>0</v>
      </c>
      <c r="EH20">
        <f>IF(EG20=0,0,1+COUNTIF(EH$3:EH19,"&gt;0"))</f>
        <v>0</v>
      </c>
      <c r="EI20" t="str">
        <f t="shared" si="45"/>
        <v/>
      </c>
      <c r="EJ20" t="str">
        <f t="shared" si="19"/>
        <v/>
      </c>
      <c r="EL20">
        <f t="shared" si="20"/>
        <v>0</v>
      </c>
      <c r="EM20">
        <f>IF(EL20=0,0,1+COUNTIF(EM$3:EM19,"&gt;0"))</f>
        <v>0</v>
      </c>
      <c r="EN20" t="str">
        <f t="shared" si="46"/>
        <v/>
      </c>
      <c r="EO20" t="str">
        <f t="shared" si="21"/>
        <v/>
      </c>
      <c r="EQ20">
        <f t="shared" si="22"/>
        <v>0</v>
      </c>
      <c r="ER20">
        <f>IF(EQ20=0,0,1+COUNTIF(ER$3:ER19,"&gt;0"))</f>
        <v>0</v>
      </c>
      <c r="ES20" t="str">
        <f t="shared" si="47"/>
        <v/>
      </c>
      <c r="ET20" t="str">
        <f t="shared" si="23"/>
        <v/>
      </c>
      <c r="EV20">
        <f t="shared" si="24"/>
        <v>0</v>
      </c>
      <c r="EW20">
        <f>IF(EV20=0,0,1+COUNTIF(EW$3:EW19,"&gt;0"))</f>
        <v>0</v>
      </c>
      <c r="EX20" t="str">
        <f t="shared" si="48"/>
        <v/>
      </c>
      <c r="EY20" t="str">
        <f t="shared" si="25"/>
        <v/>
      </c>
      <c r="FA20">
        <f t="shared" si="26"/>
        <v>0</v>
      </c>
      <c r="FB20">
        <f>IF(FA20=0,0,1+COUNTIF(FB$3:FB19,"&gt;0"))</f>
        <v>0</v>
      </c>
      <c r="FC20">
        <f t="shared" si="49"/>
        <v>18</v>
      </c>
      <c r="FD20" t="str">
        <f t="shared" si="27"/>
        <v>Control Flames</v>
      </c>
      <c r="FF20">
        <f t="shared" si="28"/>
        <v>0</v>
      </c>
      <c r="FG20">
        <f>IF(FF20=0,0,1+COUNTIF(FG$3:FG19,"&gt;0"))</f>
        <v>0</v>
      </c>
      <c r="FH20" t="str">
        <f t="shared" si="50"/>
        <v/>
      </c>
      <c r="FI20" t="str">
        <f t="shared" si="29"/>
        <v/>
      </c>
      <c r="FK20">
        <f t="shared" si="30"/>
        <v>0</v>
      </c>
      <c r="FL20">
        <f>IF(FK20=0,0,1+COUNTIF(FL$3:FL19,"&gt;0"))</f>
        <v>0</v>
      </c>
      <c r="FM20">
        <f t="shared" si="51"/>
        <v>18</v>
      </c>
      <c r="FN20" t="str">
        <f t="shared" si="31"/>
        <v>Control Flames</v>
      </c>
      <c r="FP20">
        <f t="shared" si="32"/>
        <v>0</v>
      </c>
      <c r="FQ20">
        <f>IF(FP20=0,0,1+COUNTIF(FQ$3:FQ19,"&gt;0"))</f>
        <v>0</v>
      </c>
      <c r="FR20" t="str">
        <f t="shared" si="52"/>
        <v/>
      </c>
      <c r="FS20" t="str">
        <f t="shared" si="33"/>
        <v/>
      </c>
    </row>
    <row r="21" spans="1:175" x14ac:dyDescent="0.25">
      <c r="A21" s="347">
        <f t="shared" si="53"/>
        <v>19</v>
      </c>
      <c r="B21" s="348" t="s">
        <v>2371</v>
      </c>
      <c r="C21" s="348">
        <v>2</v>
      </c>
      <c r="D21" s="347">
        <v>2</v>
      </c>
      <c r="E21" s="627" t="s">
        <v>6952</v>
      </c>
      <c r="F21" s="346"/>
      <c r="G21" s="347" t="s">
        <v>5269</v>
      </c>
      <c r="H21" s="347" t="s">
        <v>5281</v>
      </c>
      <c r="I21" s="347" t="s">
        <v>5283</v>
      </c>
      <c r="J21" s="347" t="str">
        <f t="shared" si="3"/>
        <v/>
      </c>
      <c r="K21" s="347" t="s">
        <v>5278</v>
      </c>
      <c r="L21" s="611" t="str">
        <f t="shared" si="4"/>
        <v>V, S, M, specially marked sticks, bones, or similar tokens worth at least 25 gp</v>
      </c>
      <c r="M21" s="347" t="s">
        <v>2373</v>
      </c>
      <c r="N21" s="347" t="s">
        <v>2387</v>
      </c>
      <c r="O21" s="347" t="s">
        <v>1244</v>
      </c>
      <c r="P21" s="346" t="s">
        <v>5304</v>
      </c>
      <c r="Q21" s="347" t="s">
        <v>2473</v>
      </c>
      <c r="S21" s="346" t="s">
        <v>5599</v>
      </c>
      <c r="T21" s="346" t="str">
        <f t="shared" si="5"/>
        <v xml:space="preserve">Cleric, Knowledge, </v>
      </c>
      <c r="Z21" s="347" t="str">
        <f t="shared" si="54"/>
        <v>Augury</v>
      </c>
      <c r="AE21" t="str">
        <f>IF(IFERROR(MATCH($B21,temp!A$4:A$13,0),0)&gt;0,T08_Spells!AE$2,"")</f>
        <v/>
      </c>
      <c r="AF21" t="str">
        <f>IF(IFERROR(MATCH($B21,temp!B$4:B$13,0),0)&gt;0,T08_Spells!AF$2,"")</f>
        <v/>
      </c>
      <c r="AG21" t="str">
        <f>IF(IFERROR(MATCH($B21,temp!C$4:C$13,0),0)&gt;0,T08_Spells!AG$2,"")</f>
        <v/>
      </c>
      <c r="AH21" t="str">
        <f>IF(IFERROR(MATCH($B21,temp!D$4:D$13,0),0)&gt;0,T08_Spells!AH$2,"")</f>
        <v/>
      </c>
      <c r="AI21" t="str">
        <f>IF(IFERROR(MATCH($B21,temp!E$4:E$13,0),0)&gt;0,T08_Spells!AI$2,"")</f>
        <v/>
      </c>
      <c r="AJ21" t="str">
        <f>IF(IFERROR(MATCH($B21,temp!F$4:F$13,0),0)&gt;0,T08_Spells!AJ$2,"")</f>
        <v/>
      </c>
      <c r="AK21" t="str">
        <f>IF(IFERROR(MATCH($B21,temp!G$4:G$13,0),0)&gt;0,T08_Spells!AK$2,"")</f>
        <v/>
      </c>
      <c r="AL21" t="str">
        <f>IF(IFERROR(MATCH($B21,temp!H$4:H$13,0),0)&gt;0,T08_Spells!AL$2,"")</f>
        <v/>
      </c>
      <c r="AM21" t="str">
        <f>IF(IFERROR(MATCH($B21,temp!I$4:I$13,0),0)&gt;0,T08_Spells!AM$2,"")</f>
        <v/>
      </c>
      <c r="AN21" t="str">
        <f>IF(IFERROR(MATCH($B21,temp!J$4:J$13,0),0)&gt;0,T08_Spells!AN$2,"")</f>
        <v/>
      </c>
      <c r="AO21" t="str">
        <f>IF(IFERROR(MATCH($B21,temp!K$4:K$13,0),0)&gt;0,T08_Spells!AO$2,"")</f>
        <v/>
      </c>
      <c r="AP21" t="str">
        <f>IF(IFERROR(MATCH($B21,temp!L$4:L$13,0),0)&gt;0,T08_Spells!AP$2,"")</f>
        <v/>
      </c>
      <c r="AQ21" t="str">
        <f>IF(IFERROR(MATCH($B21,temp!M$4:M$13,0),0)&gt;0,T08_Spells!AQ$2,"")</f>
        <v/>
      </c>
      <c r="AR21" t="str">
        <f>IF(IFERROR(MATCH($B21,temp!N$4:N$13,0),0)&gt;0,T08_Spells!AR$2,"")</f>
        <v/>
      </c>
      <c r="AS21" t="str">
        <f>IF(IFERROR(MATCH($B21,temp!O$4:O$13,0),0)&gt;0,T08_Spells!AS$2,"")</f>
        <v/>
      </c>
      <c r="AT21" t="str">
        <f>IF(IFERROR(MATCH($B21,temp!P$4:P$13,0),0)&gt;0,T08_Spells!AT$2,"")</f>
        <v>Knowledge</v>
      </c>
      <c r="AU21" t="str">
        <f>IF(IFERROR(MATCH($B21,temp!Q$4:Q$13,0),0)&gt;0,T08_Spells!AU$2,"")</f>
        <v/>
      </c>
      <c r="AV21" t="str">
        <f>IF(IFERROR(MATCH($B21,temp!R$4:R$13,0),0)&gt;0,T08_Spells!AV$2,"")</f>
        <v/>
      </c>
      <c r="AW21" t="str">
        <f>IF(IFERROR(MATCH($B21,temp!S$4:S$13,0),0)&gt;0,T08_Spells!AW$2,"")</f>
        <v/>
      </c>
      <c r="AX21" t="str">
        <f>IF(IFERROR(MATCH($B21,temp!T$4:T$13,0),0)&gt;0,T08_Spells!AX$2,"")</f>
        <v/>
      </c>
      <c r="AY21" t="str">
        <f>IF(IFERROR(MATCH($B21,temp!U$4:U$13,0),0)&gt;0,T08_Spells!AY$2,"")</f>
        <v/>
      </c>
      <c r="AZ21" t="str">
        <f>IF(IFERROR(MATCH($B21,temp!V$4:V$13,0),0)&gt;0,T08_Spells!AZ$2,"")</f>
        <v/>
      </c>
      <c r="BA21" t="str">
        <f>IF(IFERROR(MATCH($B21,temp!W$4:W$13,0),0)&gt;0,T08_Spells!BA$2,"")</f>
        <v/>
      </c>
      <c r="BC21">
        <f>IF(IFERROR(SEARCH("Ranger",$T21,1),0)&gt;0,1,0)*IF(RangerMaxSpellLevel&gt;=$C21,1,0)*IF(IFERROR(MATCH(B21,Character_Creation!$X$79:$X$382,0),0)&gt;0,0,1)</f>
        <v>0</v>
      </c>
      <c r="BD21">
        <f>IF(BC21=0,0,1+COUNTIF(BD$3:BD20,"&gt;0"))</f>
        <v>0</v>
      </c>
      <c r="BE21" t="str">
        <f t="shared" si="34"/>
        <v/>
      </c>
      <c r="BF21" t="str">
        <f t="shared" si="6"/>
        <v/>
      </c>
      <c r="BH21">
        <f>IF(IFERROR(SEARCH("Sorcerer",$T21,1),0)&gt;0,1,0)*IF(SorcererMaxSpellLevel&gt;=$C21,1,0)*IF(IFERROR(MATCH(B21,Character_Creation!$J$380:$J$394,0),0)&gt;0,0,1)</f>
        <v>0</v>
      </c>
      <c r="BI21">
        <f>IF(BH21=0,0,1+COUNTIF(BI$3:BI20,"&gt;0"))</f>
        <v>0</v>
      </c>
      <c r="BJ21" t="str">
        <f t="shared" si="35"/>
        <v/>
      </c>
      <c r="BK21" t="str">
        <f t="shared" si="7"/>
        <v/>
      </c>
      <c r="BM21">
        <f>IF(OR(IFERROR(SEARCH("Warlock",$T21,1),0)&gt;0,IFERROR(SEARCH(WarlockPatron,$T21,1),0)&gt;0),1,0)*IF(WarlockMaxSpellLevel&gt;=$C21,1,0)*IF(IFERROR(MATCH(B21,Character_Creation!$J$361:$J$375,0),0)&gt;0,0,1)</f>
        <v>0</v>
      </c>
      <c r="BN21">
        <f>IF(BM21=0,0,1+COUNTIF(BN$3:BN20,"&gt;0"))</f>
        <v>0</v>
      </c>
      <c r="BO21" t="str">
        <f t="shared" si="36"/>
        <v/>
      </c>
      <c r="BP21" t="str">
        <f t="shared" si="8"/>
        <v/>
      </c>
      <c r="BR21">
        <f>IF(IFERROR(SEARCH("Eldritch Knight",$T21,1),0)&gt;0,1,0)*IF(EldritchKnightMaxSpellLevel&gt;=$C21,1,0)*IF(IFERROR(MATCH($B21,Character_Creation!$J$350:$J$356,0),0)&gt;0,0,1)*IF(Character_Creation!$M$338&gt;0,1,0)</f>
        <v>0</v>
      </c>
      <c r="BS21">
        <f>IF(BR21=0,0,1+COUNTIF(BS$3:BS20,"&gt;0"))</f>
        <v>0</v>
      </c>
      <c r="BT21" t="str">
        <f t="shared" si="37"/>
        <v/>
      </c>
      <c r="BU21" t="str">
        <f t="shared" si="9"/>
        <v/>
      </c>
      <c r="BW21">
        <f>IF(IFERROR(SEARCH("Arcane Trickster",$T21,1),0)&gt;0,1,0)*IF(ArcaneTricksterMaxSpellLevel&gt;=$C21,1,0)*IF(IFERROR(MATCH($B21,Character_Creation!$J$350:$J$356,0),0)&gt;0,0,1)*IF(Character_Creation!$T$338&gt;0,1,0)</f>
        <v>0</v>
      </c>
      <c r="BX21">
        <f>IF(BW21=0,0,1+COUNTIF(BX$3:BX20,"&gt;0"))</f>
        <v>0</v>
      </c>
      <c r="BY21" t="str">
        <f t="shared" si="38"/>
        <v/>
      </c>
      <c r="BZ21" t="str">
        <f t="shared" si="10"/>
        <v/>
      </c>
      <c r="CB21">
        <f>IF(IFERROR(SEARCH("Wizard",$T21,1),0)&gt;0,1,0)*IF(C21&lt;=ArcaneTricksterMaxSpellLevel,1,0)*IF(IFERROR(MATCH($B21,Character_Creation!$J$350:$J$356,0),0)&gt;0,0,1)*IF(Character_Creation!$T$350&gt;0,1,0)</f>
        <v>0</v>
      </c>
      <c r="CC21">
        <f>IF(CB21=0,0,1+COUNTIF(CC$3:CC20,"&gt;0"))</f>
        <v>0</v>
      </c>
      <c r="CD21" t="str">
        <f t="shared" si="39"/>
        <v/>
      </c>
      <c r="CE21" t="str">
        <f t="shared" si="11"/>
        <v/>
      </c>
      <c r="CG21">
        <f>IF(IFERROR(SEARCH("Wizard",$T21,1),0)&gt;0,1,0)*IF($C21&lt;=EldritchKnightMaxSpellLevel,1,0)*IF(IFERROR(MATCH($B21,Character_Creation!$J$350:$J$356,0),0)&gt;0,0,1)*IF(Character_Creation!$M$350&gt;0,1,0)</f>
        <v>0</v>
      </c>
      <c r="CH21">
        <f>IF(CG21=0,0,1+COUNTIF(CH$3:CH20,"&gt;0"))</f>
        <v>0</v>
      </c>
      <c r="CI21">
        <f t="shared" si="40"/>
        <v>19</v>
      </c>
      <c r="CJ21" t="str">
        <f t="shared" si="12"/>
        <v>Enlarge/Reduce</v>
      </c>
      <c r="CL21">
        <f>IF(IFERROR(SEARCH("Bard",$T21,1),0)&gt;0,1,0)*IF(BardMaxSpellLevel&gt;=$C21,1,0)*IF(IFERROR(MATCH(B21,Character_Creation!$C$341:$F$362,0),0)&gt;0,0,1)*IF(IFERROR(MATCH($B21,Character_Creation!$C$341:$C$362,0),0)&gt;0,0,1)</f>
        <v>0</v>
      </c>
      <c r="CM21">
        <f>IF(CL21=0,0,1+COUNTIF(CM$3:CM20,"&gt;0"))</f>
        <v>0</v>
      </c>
      <c r="CN21" t="str">
        <f t="shared" si="41"/>
        <v/>
      </c>
      <c r="CO21" t="str">
        <f t="shared" si="13"/>
        <v/>
      </c>
      <c r="CQ21">
        <f>IF(IFERROR(SEARCH("Wizard",$T21,1),0)&gt;0,1,0)*IF(WizardMaxSpellLevel&gt;=$C21,1,0)*IF(IFERROR(MATCH(B21,Character_Creation!$X$341:$X$400,0),0)&gt;0,0,1)*IF(SelectedWizardSpellLevel=$C21,1,0)</f>
        <v>0</v>
      </c>
      <c r="CR21">
        <f>IF(CQ21=0,0,1+COUNTIF(CR$3:CR20,"&gt;0"))</f>
        <v>0</v>
      </c>
      <c r="CS21">
        <f t="shared" si="42"/>
        <v>19</v>
      </c>
      <c r="CT21" t="str">
        <f t="shared" si="14"/>
        <v>Protection from Energy</v>
      </c>
      <c r="CV21">
        <f>IF(IFERROR(MATCH($B21,Character_Creation!$C$341:$C$362,0),0)&gt;0,0,1)*IF(OR(C21="Cantrip",C21&lt;=BardMaxSpellLevel),1,0)*IF(IFERROR(MATCH($B21,Character_Creation!$C$367:$C$374,0),0)&gt;0,0,1)</f>
        <v>0</v>
      </c>
      <c r="CW21">
        <f>IF(CV21=0,0,1+COUNTIF(CW$3:CW20,"&gt;0"))</f>
        <v>0</v>
      </c>
      <c r="CX21">
        <f t="shared" si="43"/>
        <v>19</v>
      </c>
      <c r="CY21" t="str">
        <f t="shared" si="15"/>
        <v>Resistance</v>
      </c>
      <c r="DA21">
        <f>IF(IF(OR(IFERROR(SEARCH("Cleric",$T21,1),0)&gt;0,IFERROR(SEARCH(DivineDomain&amp;",",$T21,1),0)&gt;0),1,0)*IF($C21=DA$2,1,0)=1,1+COUNTIF(DA$3:DA20,"&gt;0"),0)</f>
        <v>0</v>
      </c>
      <c r="DB21">
        <f>IF(IF(OR(IFERROR(SEARCH("Cleric",$T21,1),0)&gt;0,IFERROR(SEARCH(DivineDomain&amp;",",$T21,1),0)&gt;0),1,0)*IF($C21=DB$2,1,0)=1,1+COUNTIF(DB$3:DB20,"&gt;0"),0)</f>
        <v>2</v>
      </c>
      <c r="DC21">
        <f>IF(IF(OR(IFERROR(SEARCH("Cleric",$T21,1),0)&gt;0,IFERROR(SEARCH(DivineDomain&amp;",",$T21,1),0)&gt;0),1,0)*IF($C21=DC$2,1,0)=1,1+COUNTIF(DC$3:DC20,"&gt;0"),0)</f>
        <v>0</v>
      </c>
      <c r="DD21">
        <f>IF(IF(OR(IFERROR(SEARCH("Cleric",$T21,1),0)&gt;0,IFERROR(SEARCH(DivineDomain&amp;",",$T21,1),0)&gt;0),1,0)*IF($C21=DD$2,1,0)=1,1+COUNTIF(DD$3:DD20,"&gt;0"),0)</f>
        <v>0</v>
      </c>
      <c r="DE21">
        <f>IF(IF(OR(IFERROR(SEARCH("Cleric",$T21,1),0)&gt;0,IFERROR(SEARCH(DivineDomain&amp;",",$T21,1),0)&gt;0),1,0)*IF($C21=DE$2,1,0)=1,1+COUNTIF(DE$3:DE20,"&gt;0"),0)</f>
        <v>0</v>
      </c>
      <c r="DF21">
        <f>IF(IF(OR(IFERROR(SEARCH("Cleric",$T21,1),0)&gt;0,IFERROR(SEARCH(DivineDomain&amp;",",$T21,1),0)&gt;0),1,0)*IF($C21=DF$2,1,0)=1,1+COUNTIF(DF$3:DF20,"&gt;0"),0)</f>
        <v>0</v>
      </c>
      <c r="DG21">
        <f>IF(IF(OR(IFERROR(SEARCH("Cleric",$T21,1),0)&gt;0,IFERROR(SEARCH(DivineDomain&amp;",",$T21,1),0)&gt;0),1,0)*IF($C21=DG$2,1,0)=1,1+COUNTIF(DG$3:DG20,"&gt;0"),0)</f>
        <v>0</v>
      </c>
      <c r="DH21">
        <f>IF(IF(OR(IFERROR(SEARCH("Cleric",$T21,1),0)&gt;0,IFERROR(SEARCH(DivineDomain&amp;",",$T21,1),0)&gt;0),1,0)*IF($C21=DH$2,1,0)=1,1+COUNTIF(DH$3:DH20,"&gt;0"),0)</f>
        <v>0</v>
      </c>
      <c r="DI21">
        <f>IF(IF(OR(IFERROR(SEARCH("Cleric",$T21,1),0)&gt;0,IFERROR(SEARCH(DivineDomain&amp;",",$T21,1),0)&gt;0),1,0)*IF($C21=DI$2,1,0)=1,1+COUNTIF(DI$3:DI20,"&gt;0"),0)</f>
        <v>0</v>
      </c>
      <c r="DJ21">
        <f>IF(IF(OR(IFERROR(SEARCH("Druid",$T21,1),0)&gt;0,IFERROR(SEARCH(DruidLand1,$T21,1),0)&gt;0,IFERROR(SEARCH(DruidLand2,$T21,1),0)&gt;0,IFERROR(SEARCH(DruidLand3,$T21,1),0)&gt;0,IFERROR(SEARCH(DruidLand4,$T21,1),0)&gt;0),1,0)*IF($C21=1,1,0)*IF($C21=DJ$2,1,0)=0,0,1+COUNTIF(DJ$3:DJ20,"&gt;0"))</f>
        <v>0</v>
      </c>
      <c r="DK21">
        <f>IF(IF(OR(IFERROR(SEARCH("Druid",$T21,1),0)&gt;0,IFERROR(SEARCH(DruidLand1,$T21,1),0)&gt;0,IFERROR(SEARCH(DruidLand2,$T21,1),0)&gt;0,IFERROR(SEARCH(DruidLand3,$T21,1),0)&gt;0,IFERROR(SEARCH(DruidLand4,$T21,1),0)&gt;0),1,0)*IF($C21=1,1,0)*IF($C21=DK$2,1,0)=0,0,1+COUNTIF(DK$3:DK20,"&gt;0"))</f>
        <v>0</v>
      </c>
      <c r="DL21">
        <f>IF(IF(OR(IFERROR(SEARCH("Druid",$T21,1),0)&gt;0,IFERROR(SEARCH(DruidLand1,$T21,1),0)&gt;0,IFERROR(SEARCH(DruidLand2,$T21,1),0)&gt;0,IFERROR(SEARCH(DruidLand3,$T21,1),0)&gt;0,IFERROR(SEARCH(DruidLand4,$T21,1),0)&gt;0),1,0)*IF($C21=1,1,0)*IF($C21=DL$2,1,0)=0,0,1+COUNTIF(DL$3:DL20,"&gt;0"))</f>
        <v>0</v>
      </c>
      <c r="DM21">
        <f>IF(IF(OR(IFERROR(SEARCH("Druid",$T21,1),0)&gt;0,IFERROR(SEARCH(DruidLand1,$T21,1),0)&gt;0,IFERROR(SEARCH(DruidLand2,$T21,1),0)&gt;0,IFERROR(SEARCH(DruidLand3,$T21,1),0)&gt;0,IFERROR(SEARCH(DruidLand4,$T21,1),0)&gt;0),1,0)*IF($C21=1,1,0)*IF($C21=DM$2,1,0)=0,0,1+COUNTIF(DM$3:DM20,"&gt;0"))</f>
        <v>0</v>
      </c>
      <c r="DN21">
        <f>IF(IF(OR(IFERROR(SEARCH("Druid",$T21,1),0)&gt;0,IFERROR(SEARCH(DruidLand1,$T21,1),0)&gt;0,IFERROR(SEARCH(DruidLand2,$T21,1),0)&gt;0,IFERROR(SEARCH(DruidLand3,$T21,1),0)&gt;0,IFERROR(SEARCH(DruidLand4,$T21,1),0)&gt;0),1,0)*IF($C21=1,1,0)*IF($C21=DN$2,1,0)=0,0,1+COUNTIF(DN$3:DN20,"&gt;0"))</f>
        <v>0</v>
      </c>
      <c r="DO21">
        <f>IF(IF(OR(IFERROR(SEARCH("Druid",$T21,1),0)&gt;0,IFERROR(SEARCH(DruidLand1,$T21,1),0)&gt;0,IFERROR(SEARCH(DruidLand2,$T21,1),0)&gt;0,IFERROR(SEARCH(DruidLand3,$T21,1),0)&gt;0,IFERROR(SEARCH(DruidLand4,$T21,1),0)&gt;0),1,0)*IF($C21=1,1,0)*IF($C21=DO$2,1,0)=0,0,1+COUNTIF(DO$3:DO20,"&gt;0"))</f>
        <v>0</v>
      </c>
      <c r="DP21">
        <f>IF(IF(OR(IFERROR(SEARCH("Druid",$T21,1),0)&gt;0,IFERROR(SEARCH(DruidLand1,$T21,1),0)&gt;0,IFERROR(SEARCH(DruidLand2,$T21,1),0)&gt;0,IFERROR(SEARCH(DruidLand3,$T21,1),0)&gt;0,IFERROR(SEARCH(DruidLand4,$T21,1),0)&gt;0),1,0)*IF($C21=1,1,0)*IF($C21=DP$2,1,0)=0,0,1+COUNTIF(DP$3:DP20,"&gt;0"))</f>
        <v>0</v>
      </c>
      <c r="DQ21">
        <f>IF(IF(OR(IFERROR(SEARCH("Druid",$T21,1),0)&gt;0,IFERROR(SEARCH(DruidLand1,$T21,1),0)&gt;0,IFERROR(SEARCH(DruidLand2,$T21,1),0)&gt;0,IFERROR(SEARCH(DruidLand3,$T21,1),0)&gt;0,IFERROR(SEARCH(DruidLand4,$T21,1),0)&gt;0),1,0)*IF($C21=1,1,0)*IF($C21=DQ$2,1,0)=0,0,1+COUNTIF(DQ$3:DQ20,"&gt;0"))</f>
        <v>0</v>
      </c>
      <c r="DR21">
        <f>IF(IF(OR(IFERROR(SEARCH("Druid",$T21,1),0)&gt;0,IFERROR(SEARCH(DruidLand1,$T21,1),0)&gt;0,IFERROR(SEARCH(DruidLand2,$T21,1),0)&gt;0,IFERROR(SEARCH(DruidLand3,$T21,1),0)&gt;0,IFERROR(SEARCH(DruidLand4,$T21,1),0)&gt;0),1,0)*IF($C21=1,1,0)*IF($C21=DR$2,1,0)=0,0,1+COUNTIF(DR$3:DR20,"&gt;0"))</f>
        <v>0</v>
      </c>
      <c r="DS21">
        <f>IF(IF(OR(IFERROR(SEARCH("Paladin",$T21,1),0)&gt;0,IFERROR(SEARCH(PaladinOath,$T21,1),0)&gt;0),1,0)*IF($C21=DS$2,1,0)=1,1+COUNTIF(DS$3:DS20,"&gt;0"),0)</f>
        <v>0</v>
      </c>
      <c r="DT21">
        <f>IF(IF(OR(IFERROR(SEARCH("Paladin",$T21,1),0)&gt;0,IFERROR(SEARCH(PaladinOath,$T21,1),0)&gt;0),1,0)*IF($C21=DT$2,1,0)=1,1+COUNTIF(DT$3:DT20,"&gt;0"),0)</f>
        <v>0</v>
      </c>
      <c r="DU21">
        <f>IF(IF(OR(IFERROR(SEARCH("Paladin",$T21,1),0)&gt;0,IFERROR(SEARCH(PaladinOath,$T21,1),0)&gt;0),1,0)*IF($C21=DU$2,1,0)=1,1+COUNTIF(DU$3:DU20,"&gt;0"),0)</f>
        <v>0</v>
      </c>
      <c r="DV21">
        <f>IF(IF(OR(IFERROR(SEARCH("Paladin",$T21,1),0)&gt;0,IFERROR(SEARCH(PaladinOath,$T21,1),0)&gt;0),1,0)*IF($C21=DV$2,1,0)=1,1+COUNTIF(DV$3:DV20,"&gt;0"),0)</f>
        <v>0</v>
      </c>
      <c r="DW21">
        <f>IF(IF(OR(IFERROR(SEARCH("Paladin",$T21,1),0)&gt;0,IFERROR(SEARCH(PaladinOath,$T21,1),0)&gt;0),1,0)*IF($C21=DW$2,1,0)=1,1+COUNTIF(DW$3:DW20,"&gt;0"),0)</f>
        <v>0</v>
      </c>
      <c r="DY21">
        <f t="shared" si="2"/>
        <v>1</v>
      </c>
      <c r="DZ21">
        <f>IF(DY21=0,0,1+MAX(DZ$3:$DZ20))</f>
        <v>19</v>
      </c>
      <c r="EB21">
        <f t="shared" si="16"/>
        <v>0</v>
      </c>
      <c r="EC21">
        <f>IF(EB21=0,0,1+COUNTIF(EC$3:EC20,"&gt;0"))</f>
        <v>0</v>
      </c>
      <c r="ED21" t="str">
        <f t="shared" si="44"/>
        <v/>
      </c>
      <c r="EE21" t="str">
        <f t="shared" si="17"/>
        <v/>
      </c>
      <c r="EG21">
        <f t="shared" si="18"/>
        <v>0</v>
      </c>
      <c r="EH21">
        <f>IF(EG21=0,0,1+COUNTIF(EH$3:EH20,"&gt;0"))</f>
        <v>0</v>
      </c>
      <c r="EI21" t="str">
        <f t="shared" si="45"/>
        <v/>
      </c>
      <c r="EJ21" t="str">
        <f t="shared" si="19"/>
        <v/>
      </c>
      <c r="EL21">
        <f t="shared" si="20"/>
        <v>0</v>
      </c>
      <c r="EM21">
        <f>IF(EL21=0,0,1+COUNTIF(EM$3:EM20,"&gt;0"))</f>
        <v>0</v>
      </c>
      <c r="EN21" t="str">
        <f t="shared" si="46"/>
        <v/>
      </c>
      <c r="EO21" t="str">
        <f t="shared" si="21"/>
        <v/>
      </c>
      <c r="EQ21">
        <f t="shared" si="22"/>
        <v>0</v>
      </c>
      <c r="ER21">
        <f>IF(EQ21=0,0,1+COUNTIF(ER$3:ER20,"&gt;0"))</f>
        <v>0</v>
      </c>
      <c r="ES21" t="str">
        <f t="shared" si="47"/>
        <v/>
      </c>
      <c r="ET21" t="str">
        <f t="shared" si="23"/>
        <v/>
      </c>
      <c r="EV21">
        <f t="shared" si="24"/>
        <v>0</v>
      </c>
      <c r="EW21">
        <f>IF(EV21=0,0,1+COUNTIF(EW$3:EW20,"&gt;0"))</f>
        <v>0</v>
      </c>
      <c r="EX21" t="str">
        <f t="shared" si="48"/>
        <v/>
      </c>
      <c r="EY21" t="str">
        <f t="shared" si="25"/>
        <v/>
      </c>
      <c r="FA21">
        <f t="shared" si="26"/>
        <v>0</v>
      </c>
      <c r="FB21">
        <f>IF(FA21=0,0,1+COUNTIF(FB$3:FB20,"&gt;0"))</f>
        <v>0</v>
      </c>
      <c r="FC21">
        <f t="shared" si="49"/>
        <v>19</v>
      </c>
      <c r="FD21" t="str">
        <f t="shared" si="27"/>
        <v>Frostbite</v>
      </c>
      <c r="FF21">
        <f t="shared" si="28"/>
        <v>0</v>
      </c>
      <c r="FG21">
        <f>IF(FF21=0,0,1+COUNTIF(FG$3:FG20,"&gt;0"))</f>
        <v>0</v>
      </c>
      <c r="FH21" t="str">
        <f t="shared" si="50"/>
        <v/>
      </c>
      <c r="FI21" t="str">
        <f t="shared" si="29"/>
        <v/>
      </c>
      <c r="FK21">
        <f t="shared" si="30"/>
        <v>0</v>
      </c>
      <c r="FL21">
        <f>IF(FK21=0,0,1+COUNTIF(FL$3:FL20,"&gt;0"))</f>
        <v>0</v>
      </c>
      <c r="FM21">
        <f t="shared" si="51"/>
        <v>19</v>
      </c>
      <c r="FN21" t="str">
        <f t="shared" si="31"/>
        <v>Frostbite</v>
      </c>
      <c r="FP21">
        <f t="shared" si="32"/>
        <v>0</v>
      </c>
      <c r="FQ21">
        <f>IF(FP21=0,0,1+COUNTIF(FQ$3:FQ20,"&gt;0"))</f>
        <v>0</v>
      </c>
      <c r="FR21" t="str">
        <f t="shared" si="52"/>
        <v/>
      </c>
      <c r="FS21" t="str">
        <f t="shared" si="33"/>
        <v/>
      </c>
    </row>
    <row r="22" spans="1:175" x14ac:dyDescent="0.25">
      <c r="A22" s="347">
        <f t="shared" si="53"/>
        <v>20</v>
      </c>
      <c r="B22" s="348" t="s">
        <v>2372</v>
      </c>
      <c r="C22" s="348">
        <v>4</v>
      </c>
      <c r="D22" s="347">
        <v>4</v>
      </c>
      <c r="E22" s="627" t="s">
        <v>6952</v>
      </c>
      <c r="F22" s="346"/>
      <c r="G22" s="347" t="str">
        <f>""</f>
        <v/>
      </c>
      <c r="H22" s="347" t="s">
        <v>5912</v>
      </c>
      <c r="I22" s="347" t="s">
        <v>5283</v>
      </c>
      <c r="J22" s="347" t="str">
        <f t="shared" si="3"/>
        <v/>
      </c>
      <c r="K22" s="347" t="s">
        <v>5297</v>
      </c>
      <c r="L22" s="611" t="str">
        <f t="shared" si="4"/>
        <v>V</v>
      </c>
      <c r="M22" s="347" t="s">
        <v>2373</v>
      </c>
      <c r="N22" s="347" t="s">
        <v>3034</v>
      </c>
      <c r="O22" s="347" t="s">
        <v>3034</v>
      </c>
      <c r="P22" s="346" t="str">
        <f>""</f>
        <v/>
      </c>
      <c r="Q22" s="347" t="s">
        <v>5270</v>
      </c>
      <c r="S22" s="346" t="s">
        <v>2374</v>
      </c>
      <c r="T22" s="346" t="str">
        <f t="shared" si="5"/>
        <v xml:space="preserve">Paladin, </v>
      </c>
      <c r="V22" s="347" t="str">
        <f>$B22</f>
        <v>Aura of Life</v>
      </c>
      <c r="AE22" t="str">
        <f>IF(IFERROR(MATCH($B22,temp!A$4:A$13,0),0)&gt;0,T08_Spells!AE$2,"")</f>
        <v/>
      </c>
      <c r="AF22" t="str">
        <f>IF(IFERROR(MATCH($B22,temp!B$4:B$13,0),0)&gt;0,T08_Spells!AF$2,"")</f>
        <v/>
      </c>
      <c r="AG22" t="str">
        <f>IF(IFERROR(MATCH($B22,temp!C$4:C$13,0),0)&gt;0,T08_Spells!AG$2,"")</f>
        <v/>
      </c>
      <c r="AH22" t="str">
        <f>IF(IFERROR(MATCH($B22,temp!D$4:D$13,0),0)&gt;0,T08_Spells!AH$2,"")</f>
        <v/>
      </c>
      <c r="AI22" t="str">
        <f>IF(IFERROR(MATCH($B22,temp!E$4:E$13,0),0)&gt;0,T08_Spells!AI$2,"")</f>
        <v/>
      </c>
      <c r="AJ22" t="str">
        <f>IF(IFERROR(MATCH($B22,temp!F$4:F$13,0),0)&gt;0,T08_Spells!AJ$2,"")</f>
        <v/>
      </c>
      <c r="AK22" t="str">
        <f>IF(IFERROR(MATCH($B22,temp!G$4:G$13,0),0)&gt;0,T08_Spells!AK$2,"")</f>
        <v/>
      </c>
      <c r="AL22" t="str">
        <f>IF(IFERROR(MATCH($B22,temp!H$4:H$13,0),0)&gt;0,T08_Spells!AL$2,"")</f>
        <v/>
      </c>
      <c r="AM22" t="str">
        <f>IF(IFERROR(MATCH($B22,temp!I$4:I$13,0),0)&gt;0,T08_Spells!AM$2,"")</f>
        <v/>
      </c>
      <c r="AN22" t="str">
        <f>IF(IFERROR(MATCH($B22,temp!J$4:J$13,0),0)&gt;0,T08_Spells!AN$2,"")</f>
        <v/>
      </c>
      <c r="AO22" t="str">
        <f>IF(IFERROR(MATCH($B22,temp!K$4:K$13,0),0)&gt;0,T08_Spells!AO$2,"")</f>
        <v/>
      </c>
      <c r="AP22" t="str">
        <f>IF(IFERROR(MATCH($B22,temp!L$4:L$13,0),0)&gt;0,T08_Spells!AP$2,"")</f>
        <v/>
      </c>
      <c r="AQ22" t="str">
        <f>IF(IFERROR(MATCH($B22,temp!M$4:M$13,0),0)&gt;0,T08_Spells!AQ$2,"")</f>
        <v/>
      </c>
      <c r="AR22" t="str">
        <f>IF(IFERROR(MATCH($B22,temp!N$4:N$13,0),0)&gt;0,T08_Spells!AR$2,"")</f>
        <v/>
      </c>
      <c r="AS22" t="str">
        <f>IF(IFERROR(MATCH($B22,temp!O$4:O$13,0),0)&gt;0,T08_Spells!AS$2,"")</f>
        <v/>
      </c>
      <c r="AT22" t="str">
        <f>IF(IFERROR(MATCH($B22,temp!P$4:P$13,0),0)&gt;0,T08_Spells!AT$2,"")</f>
        <v/>
      </c>
      <c r="AU22" t="str">
        <f>IF(IFERROR(MATCH($B22,temp!Q$4:Q$13,0),0)&gt;0,T08_Spells!AU$2,"")</f>
        <v/>
      </c>
      <c r="AV22" t="str">
        <f>IF(IFERROR(MATCH($B22,temp!R$4:R$13,0),0)&gt;0,T08_Spells!AV$2,"")</f>
        <v/>
      </c>
      <c r="AW22" t="str">
        <f>IF(IFERROR(MATCH($B22,temp!S$4:S$13,0),0)&gt;0,T08_Spells!AW$2,"")</f>
        <v/>
      </c>
      <c r="AX22" t="str">
        <f>IF(IFERROR(MATCH($B22,temp!T$4:T$13,0),0)&gt;0,T08_Spells!AX$2,"")</f>
        <v/>
      </c>
      <c r="AY22" t="str">
        <f>IF(IFERROR(MATCH($B22,temp!U$4:U$13,0),0)&gt;0,T08_Spells!AY$2,"")</f>
        <v/>
      </c>
      <c r="AZ22" t="str">
        <f>IF(IFERROR(MATCH($B22,temp!V$4:V$13,0),0)&gt;0,T08_Spells!AZ$2,"")</f>
        <v/>
      </c>
      <c r="BA22" t="str">
        <f>IF(IFERROR(MATCH($B22,temp!W$4:W$13,0),0)&gt;0,T08_Spells!BA$2,"")</f>
        <v/>
      </c>
      <c r="BC22">
        <f>IF(IFERROR(SEARCH("Ranger",$T22,1),0)&gt;0,1,0)*IF(RangerMaxSpellLevel&gt;=$C22,1,0)*IF(IFERROR(MATCH(B22,Character_Creation!$X$79:$X$382,0),0)&gt;0,0,1)</f>
        <v>0</v>
      </c>
      <c r="BD22">
        <f>IF(BC22=0,0,1+COUNTIF(BD$3:BD21,"&gt;0"))</f>
        <v>0</v>
      </c>
      <c r="BE22" t="str">
        <f t="shared" si="34"/>
        <v/>
      </c>
      <c r="BF22" t="str">
        <f t="shared" si="6"/>
        <v/>
      </c>
      <c r="BH22">
        <f>IF(IFERROR(SEARCH("Sorcerer",$T22,1),0)&gt;0,1,0)*IF(SorcererMaxSpellLevel&gt;=$C22,1,0)*IF(IFERROR(MATCH(B22,Character_Creation!$J$380:$J$394,0),0)&gt;0,0,1)</f>
        <v>0</v>
      </c>
      <c r="BI22">
        <f>IF(BH22=0,0,1+COUNTIF(BI$3:BI21,"&gt;0"))</f>
        <v>0</v>
      </c>
      <c r="BJ22" t="str">
        <f t="shared" si="35"/>
        <v/>
      </c>
      <c r="BK22" t="str">
        <f t="shared" si="7"/>
        <v/>
      </c>
      <c r="BM22">
        <f>IF(OR(IFERROR(SEARCH("Warlock",$T22,1),0)&gt;0,IFERROR(SEARCH(WarlockPatron,$T22,1),0)&gt;0),1,0)*IF(WarlockMaxSpellLevel&gt;=$C22,1,0)*IF(IFERROR(MATCH(B22,Character_Creation!$J$361:$J$375,0),0)&gt;0,0,1)</f>
        <v>0</v>
      </c>
      <c r="BN22">
        <f>IF(BM22=0,0,1+COUNTIF(BN$3:BN21,"&gt;0"))</f>
        <v>0</v>
      </c>
      <c r="BO22" t="str">
        <f t="shared" si="36"/>
        <v/>
      </c>
      <c r="BP22" t="str">
        <f t="shared" si="8"/>
        <v/>
      </c>
      <c r="BR22">
        <f>IF(IFERROR(SEARCH("Eldritch Knight",$T22,1),0)&gt;0,1,0)*IF(EldritchKnightMaxSpellLevel&gt;=$C22,1,0)*IF(IFERROR(MATCH($B22,Character_Creation!$J$350:$J$356,0),0)&gt;0,0,1)*IF(Character_Creation!$M$338&gt;0,1,0)</f>
        <v>0</v>
      </c>
      <c r="BS22">
        <f>IF(BR22=0,0,1+COUNTIF(BS$3:BS21,"&gt;0"))</f>
        <v>0</v>
      </c>
      <c r="BT22" t="str">
        <f t="shared" si="37"/>
        <v/>
      </c>
      <c r="BU22" t="str">
        <f t="shared" si="9"/>
        <v/>
      </c>
      <c r="BW22">
        <f>IF(IFERROR(SEARCH("Arcane Trickster",$T22,1),0)&gt;0,1,0)*IF(ArcaneTricksterMaxSpellLevel&gt;=$C22,1,0)*IF(IFERROR(MATCH($B22,Character_Creation!$J$350:$J$356,0),0)&gt;0,0,1)*IF(Character_Creation!$T$338&gt;0,1,0)</f>
        <v>0</v>
      </c>
      <c r="BX22">
        <f>IF(BW22=0,0,1+COUNTIF(BX$3:BX21,"&gt;0"))</f>
        <v>0</v>
      </c>
      <c r="BY22" t="str">
        <f t="shared" si="38"/>
        <v/>
      </c>
      <c r="BZ22" t="str">
        <f t="shared" si="10"/>
        <v/>
      </c>
      <c r="CB22">
        <f>IF(IFERROR(SEARCH("Wizard",$T22,1),0)&gt;0,1,0)*IF(C22&lt;=ArcaneTricksterMaxSpellLevel,1,0)*IF(IFERROR(MATCH($B22,Character_Creation!$J$350:$J$356,0),0)&gt;0,0,1)*IF(Character_Creation!$T$350&gt;0,1,0)</f>
        <v>0</v>
      </c>
      <c r="CC22">
        <f>IF(CB22=0,0,1+COUNTIF(CC$3:CC21,"&gt;0"))</f>
        <v>0</v>
      </c>
      <c r="CD22" t="str">
        <f t="shared" si="39"/>
        <v/>
      </c>
      <c r="CE22" t="str">
        <f t="shared" si="11"/>
        <v/>
      </c>
      <c r="CG22">
        <f>IF(IFERROR(SEARCH("Wizard",$T22,1),0)&gt;0,1,0)*IF($C22&lt;=EldritchKnightMaxSpellLevel,1,0)*IF(IFERROR(MATCH($B22,Character_Creation!$J$350:$J$356,0),0)&gt;0,0,1)*IF(Character_Creation!$M$350&gt;0,1,0)</f>
        <v>0</v>
      </c>
      <c r="CH22">
        <f>IF(CG22=0,0,1+COUNTIF(CH$3:CH21,"&gt;0"))</f>
        <v>0</v>
      </c>
      <c r="CI22">
        <f t="shared" si="40"/>
        <v>20</v>
      </c>
      <c r="CJ22" t="str">
        <f t="shared" si="12"/>
        <v>Expeditious Retreat</v>
      </c>
      <c r="CL22">
        <f>IF(IFERROR(SEARCH("Bard",$T22,1),0)&gt;0,1,0)*IF(BardMaxSpellLevel&gt;=$C22,1,0)*IF(IFERROR(MATCH(B22,Character_Creation!$C$341:$F$362,0),0)&gt;0,0,1)*IF(IFERROR(MATCH($B22,Character_Creation!$C$341:$C$362,0),0)&gt;0,0,1)</f>
        <v>0</v>
      </c>
      <c r="CM22">
        <f>IF(CL22=0,0,1+COUNTIF(CM$3:CM21,"&gt;0"))</f>
        <v>0</v>
      </c>
      <c r="CN22" t="str">
        <f t="shared" si="41"/>
        <v/>
      </c>
      <c r="CO22" t="str">
        <f t="shared" si="13"/>
        <v/>
      </c>
      <c r="CQ22">
        <f>IF(IFERROR(SEARCH("Wizard",$T22,1),0)&gt;0,1,0)*IF(WizardMaxSpellLevel&gt;=$C22,1,0)*IF(IFERROR(MATCH(B22,Character_Creation!$X$341:$X$400,0),0)&gt;0,0,1)*IF(SelectedWizardSpellLevel=$C22,1,0)</f>
        <v>0</v>
      </c>
      <c r="CR22">
        <f>IF(CQ22=0,0,1+COUNTIF(CR$3:CR21,"&gt;0"))</f>
        <v>0</v>
      </c>
      <c r="CS22">
        <f t="shared" si="42"/>
        <v>20</v>
      </c>
      <c r="CT22" t="str">
        <f t="shared" si="14"/>
        <v>Remove Curse</v>
      </c>
      <c r="CV22">
        <f>IF(IFERROR(MATCH($B22,Character_Creation!$C$341:$C$362,0),0)&gt;0,0,1)*IF(OR(C22="Cantrip",C22&lt;=BardMaxSpellLevel),1,0)*IF(IFERROR(MATCH($B22,Character_Creation!$C$367:$C$374,0),0)&gt;0,0,1)</f>
        <v>0</v>
      </c>
      <c r="CW22">
        <f>IF(CV22=0,0,1+COUNTIF(CW$3:CW21,"&gt;0"))</f>
        <v>0</v>
      </c>
      <c r="CX22">
        <f t="shared" si="43"/>
        <v>20</v>
      </c>
      <c r="CY22" t="str">
        <f t="shared" si="15"/>
        <v>Sacred Flame</v>
      </c>
      <c r="DA22">
        <f>IF(IF(OR(IFERROR(SEARCH("Cleric",$T22,1),0)&gt;0,IFERROR(SEARCH(DivineDomain&amp;",",$T22,1),0)&gt;0),1,0)*IF($C22=DA$2,1,0)=1,1+COUNTIF(DA$3:DA21,"&gt;0"),0)</f>
        <v>0</v>
      </c>
      <c r="DB22">
        <f>IF(IF(OR(IFERROR(SEARCH("Cleric",$T22,1),0)&gt;0,IFERROR(SEARCH(DivineDomain&amp;",",$T22,1),0)&gt;0),1,0)*IF($C22=DB$2,1,0)=1,1+COUNTIF(DB$3:DB21,"&gt;0"),0)</f>
        <v>0</v>
      </c>
      <c r="DC22">
        <f>IF(IF(OR(IFERROR(SEARCH("Cleric",$T22,1),0)&gt;0,IFERROR(SEARCH(DivineDomain&amp;",",$T22,1),0)&gt;0),1,0)*IF($C22=DC$2,1,0)=1,1+COUNTIF(DC$3:DC21,"&gt;0"),0)</f>
        <v>0</v>
      </c>
      <c r="DD22">
        <f>IF(IF(OR(IFERROR(SEARCH("Cleric",$T22,1),0)&gt;0,IFERROR(SEARCH(DivineDomain&amp;",",$T22,1),0)&gt;0),1,0)*IF($C22=DD$2,1,0)=1,1+COUNTIF(DD$3:DD21,"&gt;0"),0)</f>
        <v>0</v>
      </c>
      <c r="DE22">
        <f>IF(IF(OR(IFERROR(SEARCH("Cleric",$T22,1),0)&gt;0,IFERROR(SEARCH(DivineDomain&amp;",",$T22,1),0)&gt;0),1,0)*IF($C22=DE$2,1,0)=1,1+COUNTIF(DE$3:DE21,"&gt;0"),0)</f>
        <v>0</v>
      </c>
      <c r="DF22">
        <f>IF(IF(OR(IFERROR(SEARCH("Cleric",$T22,1),0)&gt;0,IFERROR(SEARCH(DivineDomain&amp;",",$T22,1),0)&gt;0),1,0)*IF($C22=DF$2,1,0)=1,1+COUNTIF(DF$3:DF21,"&gt;0"),0)</f>
        <v>0</v>
      </c>
      <c r="DG22">
        <f>IF(IF(OR(IFERROR(SEARCH("Cleric",$T22,1),0)&gt;0,IFERROR(SEARCH(DivineDomain&amp;",",$T22,1),0)&gt;0),1,0)*IF($C22=DG$2,1,0)=1,1+COUNTIF(DG$3:DG21,"&gt;0"),0)</f>
        <v>0</v>
      </c>
      <c r="DH22">
        <f>IF(IF(OR(IFERROR(SEARCH("Cleric",$T22,1),0)&gt;0,IFERROR(SEARCH(DivineDomain&amp;",",$T22,1),0)&gt;0),1,0)*IF($C22=DH$2,1,0)=1,1+COUNTIF(DH$3:DH21,"&gt;0"),0)</f>
        <v>0</v>
      </c>
      <c r="DI22">
        <f>IF(IF(OR(IFERROR(SEARCH("Cleric",$T22,1),0)&gt;0,IFERROR(SEARCH(DivineDomain&amp;",",$T22,1),0)&gt;0),1,0)*IF($C22=DI$2,1,0)=1,1+COUNTIF(DI$3:DI21,"&gt;0"),0)</f>
        <v>0</v>
      </c>
      <c r="DJ22">
        <f>IF(IF(OR(IFERROR(SEARCH("Druid",$T22,1),0)&gt;0,IFERROR(SEARCH(DruidLand1,$T22,1),0)&gt;0,IFERROR(SEARCH(DruidLand2,$T22,1),0)&gt;0,IFERROR(SEARCH(DruidLand3,$T22,1),0)&gt;0,IFERROR(SEARCH(DruidLand4,$T22,1),0)&gt;0),1,0)*IF($C22=1,1,0)*IF($C22=DJ$2,1,0)=0,0,1+COUNTIF(DJ$3:DJ21,"&gt;0"))</f>
        <v>0</v>
      </c>
      <c r="DK22">
        <f>IF(IF(OR(IFERROR(SEARCH("Druid",$T22,1),0)&gt;0,IFERROR(SEARCH(DruidLand1,$T22,1),0)&gt;0,IFERROR(SEARCH(DruidLand2,$T22,1),0)&gt;0,IFERROR(SEARCH(DruidLand3,$T22,1),0)&gt;0,IFERROR(SEARCH(DruidLand4,$T22,1),0)&gt;0),1,0)*IF($C22=1,1,0)*IF($C22=DK$2,1,0)=0,0,1+COUNTIF(DK$3:DK21,"&gt;0"))</f>
        <v>0</v>
      </c>
      <c r="DL22">
        <f>IF(IF(OR(IFERROR(SEARCH("Druid",$T22,1),0)&gt;0,IFERROR(SEARCH(DruidLand1,$T22,1),0)&gt;0,IFERROR(SEARCH(DruidLand2,$T22,1),0)&gt;0,IFERROR(SEARCH(DruidLand3,$T22,1),0)&gt;0,IFERROR(SEARCH(DruidLand4,$T22,1),0)&gt;0),1,0)*IF($C22=1,1,0)*IF($C22=DL$2,1,0)=0,0,1+COUNTIF(DL$3:DL21,"&gt;0"))</f>
        <v>0</v>
      </c>
      <c r="DM22">
        <f>IF(IF(OR(IFERROR(SEARCH("Druid",$T22,1),0)&gt;0,IFERROR(SEARCH(DruidLand1,$T22,1),0)&gt;0,IFERROR(SEARCH(DruidLand2,$T22,1),0)&gt;0,IFERROR(SEARCH(DruidLand3,$T22,1),0)&gt;0,IFERROR(SEARCH(DruidLand4,$T22,1),0)&gt;0),1,0)*IF($C22=1,1,0)*IF($C22=DM$2,1,0)=0,0,1+COUNTIF(DM$3:DM21,"&gt;0"))</f>
        <v>0</v>
      </c>
      <c r="DN22">
        <f>IF(IF(OR(IFERROR(SEARCH("Druid",$T22,1),0)&gt;0,IFERROR(SEARCH(DruidLand1,$T22,1),0)&gt;0,IFERROR(SEARCH(DruidLand2,$T22,1),0)&gt;0,IFERROR(SEARCH(DruidLand3,$T22,1),0)&gt;0,IFERROR(SEARCH(DruidLand4,$T22,1),0)&gt;0),1,0)*IF($C22=1,1,0)*IF($C22=DN$2,1,0)=0,0,1+COUNTIF(DN$3:DN21,"&gt;0"))</f>
        <v>0</v>
      </c>
      <c r="DO22">
        <f>IF(IF(OR(IFERROR(SEARCH("Druid",$T22,1),0)&gt;0,IFERROR(SEARCH(DruidLand1,$T22,1),0)&gt;0,IFERROR(SEARCH(DruidLand2,$T22,1),0)&gt;0,IFERROR(SEARCH(DruidLand3,$T22,1),0)&gt;0,IFERROR(SEARCH(DruidLand4,$T22,1),0)&gt;0),1,0)*IF($C22=1,1,0)*IF($C22=DO$2,1,0)=0,0,1+COUNTIF(DO$3:DO21,"&gt;0"))</f>
        <v>0</v>
      </c>
      <c r="DP22">
        <f>IF(IF(OR(IFERROR(SEARCH("Druid",$T22,1),0)&gt;0,IFERROR(SEARCH(DruidLand1,$T22,1),0)&gt;0,IFERROR(SEARCH(DruidLand2,$T22,1),0)&gt;0,IFERROR(SEARCH(DruidLand3,$T22,1),0)&gt;0,IFERROR(SEARCH(DruidLand4,$T22,1),0)&gt;0),1,0)*IF($C22=1,1,0)*IF($C22=DP$2,1,0)=0,0,1+COUNTIF(DP$3:DP21,"&gt;0"))</f>
        <v>0</v>
      </c>
      <c r="DQ22">
        <f>IF(IF(OR(IFERROR(SEARCH("Druid",$T22,1),0)&gt;0,IFERROR(SEARCH(DruidLand1,$T22,1),0)&gt;0,IFERROR(SEARCH(DruidLand2,$T22,1),0)&gt;0,IFERROR(SEARCH(DruidLand3,$T22,1),0)&gt;0,IFERROR(SEARCH(DruidLand4,$T22,1),0)&gt;0),1,0)*IF($C22=1,1,0)*IF($C22=DQ$2,1,0)=0,0,1+COUNTIF(DQ$3:DQ21,"&gt;0"))</f>
        <v>0</v>
      </c>
      <c r="DR22">
        <f>IF(IF(OR(IFERROR(SEARCH("Druid",$T22,1),0)&gt;0,IFERROR(SEARCH(DruidLand1,$T22,1),0)&gt;0,IFERROR(SEARCH(DruidLand2,$T22,1),0)&gt;0,IFERROR(SEARCH(DruidLand3,$T22,1),0)&gt;0,IFERROR(SEARCH(DruidLand4,$T22,1),0)&gt;0),1,0)*IF($C22=1,1,0)*IF($C22=DR$2,1,0)=0,0,1+COUNTIF(DR$3:DR21,"&gt;0"))</f>
        <v>0</v>
      </c>
      <c r="DS22">
        <f>IF(IF(OR(IFERROR(SEARCH("Paladin",$T22,1),0)&gt;0,IFERROR(SEARCH(PaladinOath,$T22,1),0)&gt;0),1,0)*IF($C22=DS$2,1,0)=1,1+COUNTIF(DS$3:DS21,"&gt;0"),0)</f>
        <v>0</v>
      </c>
      <c r="DT22">
        <f>IF(IF(OR(IFERROR(SEARCH("Paladin",$T22,1),0)&gt;0,IFERROR(SEARCH(PaladinOath,$T22,1),0)&gt;0),1,0)*IF($C22=DT$2,1,0)=1,1+COUNTIF(DT$3:DT21,"&gt;0"),0)</f>
        <v>0</v>
      </c>
      <c r="DU22">
        <f>IF(IF(OR(IFERROR(SEARCH("Paladin",$T22,1),0)&gt;0,IFERROR(SEARCH(PaladinOath,$T22,1),0)&gt;0),1,0)*IF($C22=DU$2,1,0)=1,1+COUNTIF(DU$3:DU21,"&gt;0"),0)</f>
        <v>0</v>
      </c>
      <c r="DV22">
        <f>IF(IF(OR(IFERROR(SEARCH("Paladin",$T22,1),0)&gt;0,IFERROR(SEARCH(PaladinOath,$T22,1),0)&gt;0),1,0)*IF($C22=DV$2,1,0)=1,1+COUNTIF(DV$3:DV21,"&gt;0"),0)</f>
        <v>1</v>
      </c>
      <c r="DW22">
        <f>IF(IF(OR(IFERROR(SEARCH("Paladin",$T22,1),0)&gt;0,IFERROR(SEARCH(PaladinOath,$T22,1),0)&gt;0),1,0)*IF($C22=DW$2,1,0)=1,1+COUNTIF(DW$3:DW21,"&gt;0"),0)</f>
        <v>0</v>
      </c>
      <c r="DY22">
        <f t="shared" si="2"/>
        <v>1</v>
      </c>
      <c r="DZ22">
        <f>IF(DY22=0,0,1+MAX(DZ$3:$DZ21))</f>
        <v>20</v>
      </c>
      <c r="EB22">
        <f t="shared" si="16"/>
        <v>0</v>
      </c>
      <c r="EC22">
        <f>IF(EB22=0,0,1+COUNTIF(EC$3:EC21,"&gt;0"))</f>
        <v>0</v>
      </c>
      <c r="ED22" t="str">
        <f t="shared" si="44"/>
        <v/>
      </c>
      <c r="EE22" t="str">
        <f t="shared" si="17"/>
        <v/>
      </c>
      <c r="EG22">
        <f t="shared" si="18"/>
        <v>0</v>
      </c>
      <c r="EH22">
        <f>IF(EG22=0,0,1+COUNTIF(EH$3:EH21,"&gt;0"))</f>
        <v>0</v>
      </c>
      <c r="EI22" t="str">
        <f t="shared" si="45"/>
        <v/>
      </c>
      <c r="EJ22" t="str">
        <f t="shared" si="19"/>
        <v/>
      </c>
      <c r="EL22">
        <f t="shared" si="20"/>
        <v>0</v>
      </c>
      <c r="EM22">
        <f>IF(EL22=0,0,1+COUNTIF(EM$3:EM21,"&gt;0"))</f>
        <v>0</v>
      </c>
      <c r="EN22" t="str">
        <f t="shared" si="46"/>
        <v/>
      </c>
      <c r="EO22" t="str">
        <f t="shared" si="21"/>
        <v/>
      </c>
      <c r="EQ22">
        <f t="shared" si="22"/>
        <v>0</v>
      </c>
      <c r="ER22">
        <f>IF(EQ22=0,0,1+COUNTIF(ER$3:ER21,"&gt;0"))</f>
        <v>0</v>
      </c>
      <c r="ES22" t="str">
        <f t="shared" si="47"/>
        <v/>
      </c>
      <c r="ET22" t="str">
        <f t="shared" si="23"/>
        <v/>
      </c>
      <c r="EV22">
        <f t="shared" si="24"/>
        <v>0</v>
      </c>
      <c r="EW22">
        <f>IF(EV22=0,0,1+COUNTIF(EW$3:EW21,"&gt;0"))</f>
        <v>0</v>
      </c>
      <c r="EX22" t="str">
        <f t="shared" si="48"/>
        <v/>
      </c>
      <c r="EY22" t="str">
        <f t="shared" si="25"/>
        <v/>
      </c>
      <c r="FA22">
        <f t="shared" si="26"/>
        <v>0</v>
      </c>
      <c r="FB22">
        <f>IF(FA22=0,0,1+COUNTIF(FB$3:FB21,"&gt;0"))</f>
        <v>0</v>
      </c>
      <c r="FC22">
        <f t="shared" si="49"/>
        <v>20</v>
      </c>
      <c r="FD22" t="str">
        <f t="shared" si="27"/>
        <v>Gust</v>
      </c>
      <c r="FF22">
        <f t="shared" si="28"/>
        <v>0</v>
      </c>
      <c r="FG22">
        <f>IF(FF22=0,0,1+COUNTIF(FG$3:FG21,"&gt;0"))</f>
        <v>0</v>
      </c>
      <c r="FH22" t="str">
        <f t="shared" si="50"/>
        <v/>
      </c>
      <c r="FI22" t="str">
        <f t="shared" si="29"/>
        <v/>
      </c>
      <c r="FK22">
        <f t="shared" si="30"/>
        <v>0</v>
      </c>
      <c r="FL22">
        <f>IF(FK22=0,0,1+COUNTIF(FL$3:FL21,"&gt;0"))</f>
        <v>0</v>
      </c>
      <c r="FM22">
        <f t="shared" si="51"/>
        <v>20</v>
      </c>
      <c r="FN22" t="str">
        <f t="shared" si="31"/>
        <v>Gust</v>
      </c>
      <c r="FP22">
        <f t="shared" si="32"/>
        <v>0</v>
      </c>
      <c r="FQ22">
        <f>IF(FP22=0,0,1+COUNTIF(FQ$3:FQ21,"&gt;0"))</f>
        <v>0</v>
      </c>
      <c r="FR22" t="str">
        <f t="shared" si="52"/>
        <v/>
      </c>
      <c r="FS22" t="str">
        <f t="shared" si="33"/>
        <v/>
      </c>
    </row>
    <row r="23" spans="1:175" x14ac:dyDescent="0.25">
      <c r="A23" s="347">
        <f t="shared" si="53"/>
        <v>21</v>
      </c>
      <c r="B23" s="348" t="s">
        <v>2375</v>
      </c>
      <c r="C23" s="348">
        <v>4</v>
      </c>
      <c r="D23" s="347">
        <v>4</v>
      </c>
      <c r="E23" s="627" t="s">
        <v>6952</v>
      </c>
      <c r="F23" s="346"/>
      <c r="G23" s="347" t="str">
        <f>""</f>
        <v/>
      </c>
      <c r="H23" s="347" t="s">
        <v>5912</v>
      </c>
      <c r="I23" s="347" t="s">
        <v>5283</v>
      </c>
      <c r="J23" s="347" t="str">
        <f t="shared" si="3"/>
        <v/>
      </c>
      <c r="K23" s="347" t="s">
        <v>5297</v>
      </c>
      <c r="L23" s="611" t="str">
        <f t="shared" si="4"/>
        <v>V</v>
      </c>
      <c r="M23" s="347" t="s">
        <v>2373</v>
      </c>
      <c r="N23" s="347" t="s">
        <v>3034</v>
      </c>
      <c r="O23" s="347" t="s">
        <v>3034</v>
      </c>
      <c r="P23" s="346" t="str">
        <f>""</f>
        <v/>
      </c>
      <c r="Q23" s="347" t="s">
        <v>5270</v>
      </c>
      <c r="S23" s="346" t="s">
        <v>2376</v>
      </c>
      <c r="T23" s="346" t="str">
        <f t="shared" si="5"/>
        <v xml:space="preserve">Paladin, </v>
      </c>
      <c r="V23" s="347" t="str">
        <f>$B23</f>
        <v>Aura of Purity</v>
      </c>
      <c r="AE23" t="str">
        <f>IF(IFERROR(MATCH($B23,temp!A$4:A$13,0),0)&gt;0,T08_Spells!AE$2,"")</f>
        <v/>
      </c>
      <c r="AF23" t="str">
        <f>IF(IFERROR(MATCH($B23,temp!B$4:B$13,0),0)&gt;0,T08_Spells!AF$2,"")</f>
        <v/>
      </c>
      <c r="AG23" t="str">
        <f>IF(IFERROR(MATCH($B23,temp!C$4:C$13,0),0)&gt;0,T08_Spells!AG$2,"")</f>
        <v/>
      </c>
      <c r="AH23" t="str">
        <f>IF(IFERROR(MATCH($B23,temp!D$4:D$13,0),0)&gt;0,T08_Spells!AH$2,"")</f>
        <v/>
      </c>
      <c r="AI23" t="str">
        <f>IF(IFERROR(MATCH($B23,temp!E$4:E$13,0),0)&gt;0,T08_Spells!AI$2,"")</f>
        <v/>
      </c>
      <c r="AJ23" t="str">
        <f>IF(IFERROR(MATCH($B23,temp!F$4:F$13,0),0)&gt;0,T08_Spells!AJ$2,"")</f>
        <v/>
      </c>
      <c r="AK23" t="str">
        <f>IF(IFERROR(MATCH($B23,temp!G$4:G$13,0),0)&gt;0,T08_Spells!AK$2,"")</f>
        <v/>
      </c>
      <c r="AL23" t="str">
        <f>IF(IFERROR(MATCH($B23,temp!H$4:H$13,0),0)&gt;0,T08_Spells!AL$2,"")</f>
        <v/>
      </c>
      <c r="AM23" t="str">
        <f>IF(IFERROR(MATCH($B23,temp!I$4:I$13,0),0)&gt;0,T08_Spells!AM$2,"")</f>
        <v/>
      </c>
      <c r="AN23" t="str">
        <f>IF(IFERROR(MATCH($B23,temp!J$4:J$13,0),0)&gt;0,T08_Spells!AN$2,"")</f>
        <v/>
      </c>
      <c r="AO23" t="str">
        <f>IF(IFERROR(MATCH($B23,temp!K$4:K$13,0),0)&gt;0,T08_Spells!AO$2,"")</f>
        <v/>
      </c>
      <c r="AP23" t="str">
        <f>IF(IFERROR(MATCH($B23,temp!L$4:L$13,0),0)&gt;0,T08_Spells!AP$2,"")</f>
        <v/>
      </c>
      <c r="AQ23" t="str">
        <f>IF(IFERROR(MATCH($B23,temp!M$4:M$13,0),0)&gt;0,T08_Spells!AQ$2,"")</f>
        <v/>
      </c>
      <c r="AR23" t="str">
        <f>IF(IFERROR(MATCH($B23,temp!N$4:N$13,0),0)&gt;0,T08_Spells!AR$2,"")</f>
        <v/>
      </c>
      <c r="AS23" t="str">
        <f>IF(IFERROR(MATCH($B23,temp!O$4:O$13,0),0)&gt;0,T08_Spells!AS$2,"")</f>
        <v/>
      </c>
      <c r="AT23" t="str">
        <f>IF(IFERROR(MATCH($B23,temp!P$4:P$13,0),0)&gt;0,T08_Spells!AT$2,"")</f>
        <v/>
      </c>
      <c r="AU23" t="str">
        <f>IF(IFERROR(MATCH($B23,temp!Q$4:Q$13,0),0)&gt;0,T08_Spells!AU$2,"")</f>
        <v/>
      </c>
      <c r="AV23" t="str">
        <f>IF(IFERROR(MATCH($B23,temp!R$4:R$13,0),0)&gt;0,T08_Spells!AV$2,"")</f>
        <v/>
      </c>
      <c r="AW23" t="str">
        <f>IF(IFERROR(MATCH($B23,temp!S$4:S$13,0),0)&gt;0,T08_Spells!AW$2,"")</f>
        <v/>
      </c>
      <c r="AX23" t="str">
        <f>IF(IFERROR(MATCH($B23,temp!T$4:T$13,0),0)&gt;0,T08_Spells!AX$2,"")</f>
        <v/>
      </c>
      <c r="AY23" t="str">
        <f>IF(IFERROR(MATCH($B23,temp!U$4:U$13,0),0)&gt;0,T08_Spells!AY$2,"")</f>
        <v/>
      </c>
      <c r="AZ23" t="str">
        <f>IF(IFERROR(MATCH($B23,temp!V$4:V$13,0),0)&gt;0,T08_Spells!AZ$2,"")</f>
        <v/>
      </c>
      <c r="BA23" t="str">
        <f>IF(IFERROR(MATCH($B23,temp!W$4:W$13,0),0)&gt;0,T08_Spells!BA$2,"")</f>
        <v/>
      </c>
      <c r="BC23">
        <f>IF(IFERROR(SEARCH("Ranger",$T23,1),0)&gt;0,1,0)*IF(RangerMaxSpellLevel&gt;=$C23,1,0)*IF(IFERROR(MATCH(B23,Character_Creation!$X$79:$X$382,0),0)&gt;0,0,1)</f>
        <v>0</v>
      </c>
      <c r="BD23">
        <f>IF(BC23=0,0,1+COUNTIF(BD$3:BD22,"&gt;0"))</f>
        <v>0</v>
      </c>
      <c r="BE23" t="str">
        <f t="shared" si="34"/>
        <v/>
      </c>
      <c r="BF23" t="str">
        <f t="shared" si="6"/>
        <v/>
      </c>
      <c r="BH23">
        <f>IF(IFERROR(SEARCH("Sorcerer",$T23,1),0)&gt;0,1,0)*IF(SorcererMaxSpellLevel&gt;=$C23,1,0)*IF(IFERROR(MATCH(B23,Character_Creation!$J$380:$J$394,0),0)&gt;0,0,1)</f>
        <v>0</v>
      </c>
      <c r="BI23">
        <f>IF(BH23=0,0,1+COUNTIF(BI$3:BI22,"&gt;0"))</f>
        <v>0</v>
      </c>
      <c r="BJ23" t="str">
        <f t="shared" si="35"/>
        <v/>
      </c>
      <c r="BK23" t="str">
        <f t="shared" si="7"/>
        <v/>
      </c>
      <c r="BM23">
        <f>IF(OR(IFERROR(SEARCH("Warlock",$T23,1),0)&gt;0,IFERROR(SEARCH(WarlockPatron,$T23,1),0)&gt;0),1,0)*IF(WarlockMaxSpellLevel&gt;=$C23,1,0)*IF(IFERROR(MATCH(B23,Character_Creation!$J$361:$J$375,0),0)&gt;0,0,1)</f>
        <v>0</v>
      </c>
      <c r="BN23">
        <f>IF(BM23=0,0,1+COUNTIF(BN$3:BN22,"&gt;0"))</f>
        <v>0</v>
      </c>
      <c r="BO23" t="str">
        <f t="shared" si="36"/>
        <v/>
      </c>
      <c r="BP23" t="str">
        <f t="shared" si="8"/>
        <v/>
      </c>
      <c r="BR23">
        <f>IF(IFERROR(SEARCH("Eldritch Knight",$T23,1),0)&gt;0,1,0)*IF(EldritchKnightMaxSpellLevel&gt;=$C23,1,0)*IF(IFERROR(MATCH($B23,Character_Creation!$J$350:$J$356,0),0)&gt;0,0,1)*IF(Character_Creation!$M$338&gt;0,1,0)</f>
        <v>0</v>
      </c>
      <c r="BS23">
        <f>IF(BR23=0,0,1+COUNTIF(BS$3:BS22,"&gt;0"))</f>
        <v>0</v>
      </c>
      <c r="BT23" t="str">
        <f t="shared" si="37"/>
        <v/>
      </c>
      <c r="BU23" t="str">
        <f t="shared" si="9"/>
        <v/>
      </c>
      <c r="BW23">
        <f>IF(IFERROR(SEARCH("Arcane Trickster",$T23,1),0)&gt;0,1,0)*IF(ArcaneTricksterMaxSpellLevel&gt;=$C23,1,0)*IF(IFERROR(MATCH($B23,Character_Creation!$J$350:$J$356,0),0)&gt;0,0,1)*IF(Character_Creation!$T$338&gt;0,1,0)</f>
        <v>0</v>
      </c>
      <c r="BX23">
        <f>IF(BW23=0,0,1+COUNTIF(BX$3:BX22,"&gt;0"))</f>
        <v>0</v>
      </c>
      <c r="BY23" t="str">
        <f t="shared" si="38"/>
        <v/>
      </c>
      <c r="BZ23" t="str">
        <f t="shared" si="10"/>
        <v/>
      </c>
      <c r="CB23">
        <f>IF(IFERROR(SEARCH("Wizard",$T23,1),0)&gt;0,1,0)*IF(C23&lt;=ArcaneTricksterMaxSpellLevel,1,0)*IF(IFERROR(MATCH($B23,Character_Creation!$J$350:$J$356,0),0)&gt;0,0,1)*IF(Character_Creation!$T$350&gt;0,1,0)</f>
        <v>0</v>
      </c>
      <c r="CC23">
        <f>IF(CB23=0,0,1+COUNTIF(CC$3:CC22,"&gt;0"))</f>
        <v>0</v>
      </c>
      <c r="CD23" t="str">
        <f t="shared" si="39"/>
        <v/>
      </c>
      <c r="CE23" t="str">
        <f t="shared" si="11"/>
        <v/>
      </c>
      <c r="CG23">
        <f>IF(IFERROR(SEARCH("Wizard",$T23,1),0)&gt;0,1,0)*IF($C23&lt;=EldritchKnightMaxSpellLevel,1,0)*IF(IFERROR(MATCH($B23,Character_Creation!$J$350:$J$356,0),0)&gt;0,0,1)*IF(Character_Creation!$M$350&gt;0,1,0)</f>
        <v>0</v>
      </c>
      <c r="CH23">
        <f>IF(CG23=0,0,1+COUNTIF(CH$3:CH22,"&gt;0"))</f>
        <v>0</v>
      </c>
      <c r="CI23">
        <f t="shared" si="40"/>
        <v>21</v>
      </c>
      <c r="CJ23" t="str">
        <f t="shared" si="12"/>
        <v>False Life</v>
      </c>
      <c r="CL23">
        <f>IF(IFERROR(SEARCH("Bard",$T23,1),0)&gt;0,1,0)*IF(BardMaxSpellLevel&gt;=$C23,1,0)*IF(IFERROR(MATCH(B23,Character_Creation!$C$341:$F$362,0),0)&gt;0,0,1)*IF(IFERROR(MATCH($B23,Character_Creation!$C$341:$C$362,0),0)&gt;0,0,1)</f>
        <v>0</v>
      </c>
      <c r="CM23">
        <f>IF(CL23=0,0,1+COUNTIF(CM$3:CM22,"&gt;0"))</f>
        <v>0</v>
      </c>
      <c r="CN23" t="str">
        <f t="shared" si="41"/>
        <v/>
      </c>
      <c r="CO23" t="str">
        <f t="shared" si="13"/>
        <v/>
      </c>
      <c r="CQ23">
        <f>IF(IFERROR(SEARCH("Wizard",$T23,1),0)&gt;0,1,0)*IF(WizardMaxSpellLevel&gt;=$C23,1,0)*IF(IFERROR(MATCH(B23,Character_Creation!$X$341:$X$400,0),0)&gt;0,0,1)*IF(SelectedWizardSpellLevel=$C23,1,0)</f>
        <v>0</v>
      </c>
      <c r="CR23">
        <f>IF(CQ23=0,0,1+COUNTIF(CR$3:CR22,"&gt;0"))</f>
        <v>0</v>
      </c>
      <c r="CS23">
        <f t="shared" si="42"/>
        <v>21</v>
      </c>
      <c r="CT23" t="str">
        <f t="shared" si="14"/>
        <v>Sending</v>
      </c>
      <c r="CV23">
        <f>IF(IFERROR(MATCH($B23,Character_Creation!$C$341:$C$362,0),0)&gt;0,0,1)*IF(OR(C23="Cantrip",C23&lt;=BardMaxSpellLevel),1,0)*IF(IFERROR(MATCH($B23,Character_Creation!$C$367:$C$374,0),0)&gt;0,0,1)</f>
        <v>0</v>
      </c>
      <c r="CW23">
        <f>IF(CV23=0,0,1+COUNTIF(CW$3:CW22,"&gt;0"))</f>
        <v>0</v>
      </c>
      <c r="CX23">
        <f t="shared" si="43"/>
        <v>21</v>
      </c>
      <c r="CY23" t="str">
        <f t="shared" si="15"/>
        <v>Shillelagh</v>
      </c>
      <c r="DA23">
        <f>IF(IF(OR(IFERROR(SEARCH("Cleric",$T23,1),0)&gt;0,IFERROR(SEARCH(DivineDomain&amp;",",$T23,1),0)&gt;0),1,0)*IF($C23=DA$2,1,0)=1,1+COUNTIF(DA$3:DA22,"&gt;0"),0)</f>
        <v>0</v>
      </c>
      <c r="DB23">
        <f>IF(IF(OR(IFERROR(SEARCH("Cleric",$T23,1),0)&gt;0,IFERROR(SEARCH(DivineDomain&amp;",",$T23,1),0)&gt;0),1,0)*IF($C23=DB$2,1,0)=1,1+COUNTIF(DB$3:DB22,"&gt;0"),0)</f>
        <v>0</v>
      </c>
      <c r="DC23">
        <f>IF(IF(OR(IFERROR(SEARCH("Cleric",$T23,1),0)&gt;0,IFERROR(SEARCH(DivineDomain&amp;",",$T23,1),0)&gt;0),1,0)*IF($C23=DC$2,1,0)=1,1+COUNTIF(DC$3:DC22,"&gt;0"),0)</f>
        <v>0</v>
      </c>
      <c r="DD23">
        <f>IF(IF(OR(IFERROR(SEARCH("Cleric",$T23,1),0)&gt;0,IFERROR(SEARCH(DivineDomain&amp;",",$T23,1),0)&gt;0),1,0)*IF($C23=DD$2,1,0)=1,1+COUNTIF(DD$3:DD22,"&gt;0"),0)</f>
        <v>0</v>
      </c>
      <c r="DE23">
        <f>IF(IF(OR(IFERROR(SEARCH("Cleric",$T23,1),0)&gt;0,IFERROR(SEARCH(DivineDomain&amp;",",$T23,1),0)&gt;0),1,0)*IF($C23=DE$2,1,0)=1,1+COUNTIF(DE$3:DE22,"&gt;0"),0)</f>
        <v>0</v>
      </c>
      <c r="DF23">
        <f>IF(IF(OR(IFERROR(SEARCH("Cleric",$T23,1),0)&gt;0,IFERROR(SEARCH(DivineDomain&amp;",",$T23,1),0)&gt;0),1,0)*IF($C23=DF$2,1,0)=1,1+COUNTIF(DF$3:DF22,"&gt;0"),0)</f>
        <v>0</v>
      </c>
      <c r="DG23">
        <f>IF(IF(OR(IFERROR(SEARCH("Cleric",$T23,1),0)&gt;0,IFERROR(SEARCH(DivineDomain&amp;",",$T23,1),0)&gt;0),1,0)*IF($C23=DG$2,1,0)=1,1+COUNTIF(DG$3:DG22,"&gt;0"),0)</f>
        <v>0</v>
      </c>
      <c r="DH23">
        <f>IF(IF(OR(IFERROR(SEARCH("Cleric",$T23,1),0)&gt;0,IFERROR(SEARCH(DivineDomain&amp;",",$T23,1),0)&gt;0),1,0)*IF($C23=DH$2,1,0)=1,1+COUNTIF(DH$3:DH22,"&gt;0"),0)</f>
        <v>0</v>
      </c>
      <c r="DI23">
        <f>IF(IF(OR(IFERROR(SEARCH("Cleric",$T23,1),0)&gt;0,IFERROR(SEARCH(DivineDomain&amp;",",$T23,1),0)&gt;0),1,0)*IF($C23=DI$2,1,0)=1,1+COUNTIF(DI$3:DI22,"&gt;0"),0)</f>
        <v>0</v>
      </c>
      <c r="DJ23">
        <f>IF(IF(OR(IFERROR(SEARCH("Druid",$T23,1),0)&gt;0,IFERROR(SEARCH(DruidLand1,$T23,1),0)&gt;0,IFERROR(SEARCH(DruidLand2,$T23,1),0)&gt;0,IFERROR(SEARCH(DruidLand3,$T23,1),0)&gt;0,IFERROR(SEARCH(DruidLand4,$T23,1),0)&gt;0),1,0)*IF($C23=1,1,0)*IF($C23=DJ$2,1,0)=0,0,1+COUNTIF(DJ$3:DJ22,"&gt;0"))</f>
        <v>0</v>
      </c>
      <c r="DK23">
        <f>IF(IF(OR(IFERROR(SEARCH("Druid",$T23,1),0)&gt;0,IFERROR(SEARCH(DruidLand1,$T23,1),0)&gt;0,IFERROR(SEARCH(DruidLand2,$T23,1),0)&gt;0,IFERROR(SEARCH(DruidLand3,$T23,1),0)&gt;0,IFERROR(SEARCH(DruidLand4,$T23,1),0)&gt;0),1,0)*IF($C23=1,1,0)*IF($C23=DK$2,1,0)=0,0,1+COUNTIF(DK$3:DK22,"&gt;0"))</f>
        <v>0</v>
      </c>
      <c r="DL23">
        <f>IF(IF(OR(IFERROR(SEARCH("Druid",$T23,1),0)&gt;0,IFERROR(SEARCH(DruidLand1,$T23,1),0)&gt;0,IFERROR(SEARCH(DruidLand2,$T23,1),0)&gt;0,IFERROR(SEARCH(DruidLand3,$T23,1),0)&gt;0,IFERROR(SEARCH(DruidLand4,$T23,1),0)&gt;0),1,0)*IF($C23=1,1,0)*IF($C23=DL$2,1,0)=0,0,1+COUNTIF(DL$3:DL22,"&gt;0"))</f>
        <v>0</v>
      </c>
      <c r="DM23">
        <f>IF(IF(OR(IFERROR(SEARCH("Druid",$T23,1),0)&gt;0,IFERROR(SEARCH(DruidLand1,$T23,1),0)&gt;0,IFERROR(SEARCH(DruidLand2,$T23,1),0)&gt;0,IFERROR(SEARCH(DruidLand3,$T23,1),0)&gt;0,IFERROR(SEARCH(DruidLand4,$T23,1),0)&gt;0),1,0)*IF($C23=1,1,0)*IF($C23=DM$2,1,0)=0,0,1+COUNTIF(DM$3:DM22,"&gt;0"))</f>
        <v>0</v>
      </c>
      <c r="DN23">
        <f>IF(IF(OR(IFERROR(SEARCH("Druid",$T23,1),0)&gt;0,IFERROR(SEARCH(DruidLand1,$T23,1),0)&gt;0,IFERROR(SEARCH(DruidLand2,$T23,1),0)&gt;0,IFERROR(SEARCH(DruidLand3,$T23,1),0)&gt;0,IFERROR(SEARCH(DruidLand4,$T23,1),0)&gt;0),1,0)*IF($C23=1,1,0)*IF($C23=DN$2,1,0)=0,0,1+COUNTIF(DN$3:DN22,"&gt;0"))</f>
        <v>0</v>
      </c>
      <c r="DO23">
        <f>IF(IF(OR(IFERROR(SEARCH("Druid",$T23,1),0)&gt;0,IFERROR(SEARCH(DruidLand1,$T23,1),0)&gt;0,IFERROR(SEARCH(DruidLand2,$T23,1),0)&gt;0,IFERROR(SEARCH(DruidLand3,$T23,1),0)&gt;0,IFERROR(SEARCH(DruidLand4,$T23,1),0)&gt;0),1,0)*IF($C23=1,1,0)*IF($C23=DO$2,1,0)=0,0,1+COUNTIF(DO$3:DO22,"&gt;0"))</f>
        <v>0</v>
      </c>
      <c r="DP23">
        <f>IF(IF(OR(IFERROR(SEARCH("Druid",$T23,1),0)&gt;0,IFERROR(SEARCH(DruidLand1,$T23,1),0)&gt;0,IFERROR(SEARCH(DruidLand2,$T23,1),0)&gt;0,IFERROR(SEARCH(DruidLand3,$T23,1),0)&gt;0,IFERROR(SEARCH(DruidLand4,$T23,1),0)&gt;0),1,0)*IF($C23=1,1,0)*IF($C23=DP$2,1,0)=0,0,1+COUNTIF(DP$3:DP22,"&gt;0"))</f>
        <v>0</v>
      </c>
      <c r="DQ23">
        <f>IF(IF(OR(IFERROR(SEARCH("Druid",$T23,1),0)&gt;0,IFERROR(SEARCH(DruidLand1,$T23,1),0)&gt;0,IFERROR(SEARCH(DruidLand2,$T23,1),0)&gt;0,IFERROR(SEARCH(DruidLand3,$T23,1),0)&gt;0,IFERROR(SEARCH(DruidLand4,$T23,1),0)&gt;0),1,0)*IF($C23=1,1,0)*IF($C23=DQ$2,1,0)=0,0,1+COUNTIF(DQ$3:DQ22,"&gt;0"))</f>
        <v>0</v>
      </c>
      <c r="DR23">
        <f>IF(IF(OR(IFERROR(SEARCH("Druid",$T23,1),0)&gt;0,IFERROR(SEARCH(DruidLand1,$T23,1),0)&gt;0,IFERROR(SEARCH(DruidLand2,$T23,1),0)&gt;0,IFERROR(SEARCH(DruidLand3,$T23,1),0)&gt;0,IFERROR(SEARCH(DruidLand4,$T23,1),0)&gt;0),1,0)*IF($C23=1,1,0)*IF($C23=DR$2,1,0)=0,0,1+COUNTIF(DR$3:DR22,"&gt;0"))</f>
        <v>0</v>
      </c>
      <c r="DS23">
        <f>IF(IF(OR(IFERROR(SEARCH("Paladin",$T23,1),0)&gt;0,IFERROR(SEARCH(PaladinOath,$T23,1),0)&gt;0),1,0)*IF($C23=DS$2,1,0)=1,1+COUNTIF(DS$3:DS22,"&gt;0"),0)</f>
        <v>0</v>
      </c>
      <c r="DT23">
        <f>IF(IF(OR(IFERROR(SEARCH("Paladin",$T23,1),0)&gt;0,IFERROR(SEARCH(PaladinOath,$T23,1),0)&gt;0),1,0)*IF($C23=DT$2,1,0)=1,1+COUNTIF(DT$3:DT22,"&gt;0"),0)</f>
        <v>0</v>
      </c>
      <c r="DU23">
        <f>IF(IF(OR(IFERROR(SEARCH("Paladin",$T23,1),0)&gt;0,IFERROR(SEARCH(PaladinOath,$T23,1),0)&gt;0),1,0)*IF($C23=DU$2,1,0)=1,1+COUNTIF(DU$3:DU22,"&gt;0"),0)</f>
        <v>0</v>
      </c>
      <c r="DV23">
        <f>IF(IF(OR(IFERROR(SEARCH("Paladin",$T23,1),0)&gt;0,IFERROR(SEARCH(PaladinOath,$T23,1),0)&gt;0),1,0)*IF($C23=DV$2,1,0)=1,1+COUNTIF(DV$3:DV22,"&gt;0"),0)</f>
        <v>2</v>
      </c>
      <c r="DW23">
        <f>IF(IF(OR(IFERROR(SEARCH("Paladin",$T23,1),0)&gt;0,IFERROR(SEARCH(PaladinOath,$T23,1),0)&gt;0),1,0)*IF($C23=DW$2,1,0)=1,1+COUNTIF(DW$3:DW22,"&gt;0"),0)</f>
        <v>0</v>
      </c>
      <c r="DY23">
        <f t="shared" si="2"/>
        <v>1</v>
      </c>
      <c r="DZ23">
        <f>IF(DY23=0,0,1+MAX(DZ$3:$DZ22))</f>
        <v>21</v>
      </c>
      <c r="EB23">
        <f t="shared" si="16"/>
        <v>0</v>
      </c>
      <c r="EC23">
        <f>IF(EB23=0,0,1+COUNTIF(EC$3:EC22,"&gt;0"))</f>
        <v>0</v>
      </c>
      <c r="ED23" t="str">
        <f t="shared" si="44"/>
        <v/>
      </c>
      <c r="EE23" t="str">
        <f t="shared" si="17"/>
        <v/>
      </c>
      <c r="EG23">
        <f t="shared" si="18"/>
        <v>0</v>
      </c>
      <c r="EH23">
        <f>IF(EG23=0,0,1+COUNTIF(EH$3:EH22,"&gt;0"))</f>
        <v>0</v>
      </c>
      <c r="EI23" t="str">
        <f t="shared" si="45"/>
        <v/>
      </c>
      <c r="EJ23" t="str">
        <f t="shared" si="19"/>
        <v/>
      </c>
      <c r="EL23">
        <f t="shared" si="20"/>
        <v>0</v>
      </c>
      <c r="EM23">
        <f>IF(EL23=0,0,1+COUNTIF(EM$3:EM22,"&gt;0"))</f>
        <v>0</v>
      </c>
      <c r="EN23" t="str">
        <f t="shared" si="46"/>
        <v/>
      </c>
      <c r="EO23" t="str">
        <f t="shared" si="21"/>
        <v/>
      </c>
      <c r="EQ23">
        <f t="shared" si="22"/>
        <v>0</v>
      </c>
      <c r="ER23">
        <f>IF(EQ23=0,0,1+COUNTIF(ER$3:ER22,"&gt;0"))</f>
        <v>0</v>
      </c>
      <c r="ES23" t="str">
        <f t="shared" si="47"/>
        <v/>
      </c>
      <c r="ET23" t="str">
        <f t="shared" si="23"/>
        <v/>
      </c>
      <c r="EV23">
        <f t="shared" si="24"/>
        <v>0</v>
      </c>
      <c r="EW23">
        <f>IF(EV23=0,0,1+COUNTIF(EW$3:EW22,"&gt;0"))</f>
        <v>0</v>
      </c>
      <c r="EX23" t="str">
        <f t="shared" si="48"/>
        <v/>
      </c>
      <c r="EY23" t="str">
        <f t="shared" si="25"/>
        <v/>
      </c>
      <c r="FA23">
        <f t="shared" si="26"/>
        <v>0</v>
      </c>
      <c r="FB23">
        <f>IF(FA23=0,0,1+COUNTIF(FB$3:FB22,"&gt;0"))</f>
        <v>0</v>
      </c>
      <c r="FC23">
        <f t="shared" si="49"/>
        <v>21</v>
      </c>
      <c r="FD23" t="str">
        <f t="shared" si="27"/>
        <v>Mold Earth</v>
      </c>
      <c r="FF23">
        <f t="shared" si="28"/>
        <v>0</v>
      </c>
      <c r="FG23">
        <f>IF(FF23=0,0,1+COUNTIF(FG$3:FG22,"&gt;0"))</f>
        <v>0</v>
      </c>
      <c r="FH23" t="str">
        <f t="shared" si="50"/>
        <v/>
      </c>
      <c r="FI23" t="str">
        <f t="shared" si="29"/>
        <v/>
      </c>
      <c r="FK23">
        <f t="shared" si="30"/>
        <v>0</v>
      </c>
      <c r="FL23">
        <f>IF(FK23=0,0,1+COUNTIF(FL$3:FL22,"&gt;0"))</f>
        <v>0</v>
      </c>
      <c r="FM23">
        <f t="shared" si="51"/>
        <v>21</v>
      </c>
      <c r="FN23" t="str">
        <f t="shared" si="31"/>
        <v>Mold Earth</v>
      </c>
      <c r="FP23">
        <f t="shared" si="32"/>
        <v>0</v>
      </c>
      <c r="FQ23">
        <f>IF(FP23=0,0,1+COUNTIF(FQ$3:FQ22,"&gt;0"))</f>
        <v>0</v>
      </c>
      <c r="FR23" t="str">
        <f t="shared" si="52"/>
        <v/>
      </c>
      <c r="FS23" t="str">
        <f t="shared" si="33"/>
        <v/>
      </c>
    </row>
    <row r="24" spans="1:175" x14ac:dyDescent="0.25">
      <c r="A24" s="347">
        <f t="shared" si="53"/>
        <v>22</v>
      </c>
      <c r="B24" s="348" t="s">
        <v>2377</v>
      </c>
      <c r="C24" s="348">
        <v>3</v>
      </c>
      <c r="D24" s="347">
        <v>3</v>
      </c>
      <c r="E24" s="627" t="s">
        <v>6952</v>
      </c>
      <c r="F24" s="346"/>
      <c r="G24" s="347" t="str">
        <f>""</f>
        <v/>
      </c>
      <c r="H24" s="347" t="s">
        <v>5912</v>
      </c>
      <c r="I24" s="347" t="s">
        <v>5283</v>
      </c>
      <c r="J24" s="347" t="str">
        <f t="shared" si="3"/>
        <v/>
      </c>
      <c r="K24" s="347" t="s">
        <v>5291</v>
      </c>
      <c r="L24" s="611" t="str">
        <f t="shared" si="4"/>
        <v>V</v>
      </c>
      <c r="M24" s="347" t="s">
        <v>2373</v>
      </c>
      <c r="N24" s="347" t="s">
        <v>3034</v>
      </c>
      <c r="O24" s="347" t="s">
        <v>3034</v>
      </c>
      <c r="P24" s="346" t="str">
        <f>""</f>
        <v/>
      </c>
      <c r="Q24" s="347" t="s">
        <v>5270</v>
      </c>
      <c r="S24" s="346" t="s">
        <v>2378</v>
      </c>
      <c r="T24" s="346" t="str">
        <f t="shared" si="5"/>
        <v xml:space="preserve">Paladin, </v>
      </c>
      <c r="V24" s="347" t="str">
        <f>$B24</f>
        <v>Aura of Vitality</v>
      </c>
      <c r="AE24" t="str">
        <f>IF(IFERROR(MATCH($B24,temp!A$4:A$13,0),0)&gt;0,T08_Spells!AE$2,"")</f>
        <v/>
      </c>
      <c r="AF24" t="str">
        <f>IF(IFERROR(MATCH($B24,temp!B$4:B$13,0),0)&gt;0,T08_Spells!AF$2,"")</f>
        <v/>
      </c>
      <c r="AG24" t="str">
        <f>IF(IFERROR(MATCH($B24,temp!C$4:C$13,0),0)&gt;0,T08_Spells!AG$2,"")</f>
        <v/>
      </c>
      <c r="AH24" t="str">
        <f>IF(IFERROR(MATCH($B24,temp!D$4:D$13,0),0)&gt;0,T08_Spells!AH$2,"")</f>
        <v/>
      </c>
      <c r="AI24" t="str">
        <f>IF(IFERROR(MATCH($B24,temp!E$4:E$13,0),0)&gt;0,T08_Spells!AI$2,"")</f>
        <v/>
      </c>
      <c r="AJ24" t="str">
        <f>IF(IFERROR(MATCH($B24,temp!F$4:F$13,0),0)&gt;0,T08_Spells!AJ$2,"")</f>
        <v/>
      </c>
      <c r="AK24" t="str">
        <f>IF(IFERROR(MATCH($B24,temp!G$4:G$13,0),0)&gt;0,T08_Spells!AK$2,"")</f>
        <v/>
      </c>
      <c r="AL24" t="str">
        <f>IF(IFERROR(MATCH($B24,temp!H$4:H$13,0),0)&gt;0,T08_Spells!AL$2,"")</f>
        <v/>
      </c>
      <c r="AM24" t="str">
        <f>IF(IFERROR(MATCH($B24,temp!I$4:I$13,0),0)&gt;0,T08_Spells!AM$2,"")</f>
        <v/>
      </c>
      <c r="AN24" t="str">
        <f>IF(IFERROR(MATCH($B24,temp!J$4:J$13,0),0)&gt;0,T08_Spells!AN$2,"")</f>
        <v/>
      </c>
      <c r="AO24" t="str">
        <f>IF(IFERROR(MATCH($B24,temp!K$4:K$13,0),0)&gt;0,T08_Spells!AO$2,"")</f>
        <v/>
      </c>
      <c r="AP24" t="str">
        <f>IF(IFERROR(MATCH($B24,temp!L$4:L$13,0),0)&gt;0,T08_Spells!AP$2,"")</f>
        <v/>
      </c>
      <c r="AQ24" t="str">
        <f>IF(IFERROR(MATCH($B24,temp!M$4:M$13,0),0)&gt;0,T08_Spells!AQ$2,"")</f>
        <v/>
      </c>
      <c r="AR24" t="str">
        <f>IF(IFERROR(MATCH($B24,temp!N$4:N$13,0),0)&gt;0,T08_Spells!AR$2,"")</f>
        <v/>
      </c>
      <c r="AS24" t="str">
        <f>IF(IFERROR(MATCH($B24,temp!O$4:O$13,0),0)&gt;0,T08_Spells!AS$2,"")</f>
        <v/>
      </c>
      <c r="AT24" t="str">
        <f>IF(IFERROR(MATCH($B24,temp!P$4:P$13,0),0)&gt;0,T08_Spells!AT$2,"")</f>
        <v/>
      </c>
      <c r="AU24" t="str">
        <f>IF(IFERROR(MATCH($B24,temp!Q$4:Q$13,0),0)&gt;0,T08_Spells!AU$2,"")</f>
        <v/>
      </c>
      <c r="AV24" t="str">
        <f>IF(IFERROR(MATCH($B24,temp!R$4:R$13,0),0)&gt;0,T08_Spells!AV$2,"")</f>
        <v/>
      </c>
      <c r="AW24" t="str">
        <f>IF(IFERROR(MATCH($B24,temp!S$4:S$13,0),0)&gt;0,T08_Spells!AW$2,"")</f>
        <v/>
      </c>
      <c r="AX24" t="str">
        <f>IF(IFERROR(MATCH($B24,temp!T$4:T$13,0),0)&gt;0,T08_Spells!AX$2,"")</f>
        <v/>
      </c>
      <c r="AY24" t="str">
        <f>IF(IFERROR(MATCH($B24,temp!U$4:U$13,0),0)&gt;0,T08_Spells!AY$2,"")</f>
        <v/>
      </c>
      <c r="AZ24" t="str">
        <f>IF(IFERROR(MATCH($B24,temp!V$4:V$13,0),0)&gt;0,T08_Spells!AZ$2,"")</f>
        <v/>
      </c>
      <c r="BA24" t="str">
        <f>IF(IFERROR(MATCH($B24,temp!W$4:W$13,0),0)&gt;0,T08_Spells!BA$2,"")</f>
        <v/>
      </c>
      <c r="BC24">
        <f>IF(IFERROR(SEARCH("Ranger",$T24,1),0)&gt;0,1,0)*IF(RangerMaxSpellLevel&gt;=$C24,1,0)*IF(IFERROR(MATCH(B24,Character_Creation!$X$79:$X$382,0),0)&gt;0,0,1)</f>
        <v>0</v>
      </c>
      <c r="BD24">
        <f>IF(BC24=0,0,1+COUNTIF(BD$3:BD23,"&gt;0"))</f>
        <v>0</v>
      </c>
      <c r="BE24" t="str">
        <f t="shared" si="34"/>
        <v/>
      </c>
      <c r="BF24" t="str">
        <f t="shared" si="6"/>
        <v/>
      </c>
      <c r="BH24">
        <f>IF(IFERROR(SEARCH("Sorcerer",$T24,1),0)&gt;0,1,0)*IF(SorcererMaxSpellLevel&gt;=$C24,1,0)*IF(IFERROR(MATCH(B24,Character_Creation!$J$380:$J$394,0),0)&gt;0,0,1)</f>
        <v>0</v>
      </c>
      <c r="BI24">
        <f>IF(BH24=0,0,1+COUNTIF(BI$3:BI23,"&gt;0"))</f>
        <v>0</v>
      </c>
      <c r="BJ24" t="str">
        <f t="shared" si="35"/>
        <v/>
      </c>
      <c r="BK24" t="str">
        <f t="shared" si="7"/>
        <v/>
      </c>
      <c r="BM24">
        <f>IF(OR(IFERROR(SEARCH("Warlock",$T24,1),0)&gt;0,IFERROR(SEARCH(WarlockPatron,$T24,1),0)&gt;0),1,0)*IF(WarlockMaxSpellLevel&gt;=$C24,1,0)*IF(IFERROR(MATCH(B24,Character_Creation!$J$361:$J$375,0),0)&gt;0,0,1)</f>
        <v>0</v>
      </c>
      <c r="BN24">
        <f>IF(BM24=0,0,1+COUNTIF(BN$3:BN23,"&gt;0"))</f>
        <v>0</v>
      </c>
      <c r="BO24" t="str">
        <f t="shared" si="36"/>
        <v/>
      </c>
      <c r="BP24" t="str">
        <f t="shared" si="8"/>
        <v/>
      </c>
      <c r="BR24">
        <f>IF(IFERROR(SEARCH("Eldritch Knight",$T24,1),0)&gt;0,1,0)*IF(EldritchKnightMaxSpellLevel&gt;=$C24,1,0)*IF(IFERROR(MATCH($B24,Character_Creation!$J$350:$J$356,0),0)&gt;0,0,1)*IF(Character_Creation!$M$338&gt;0,1,0)</f>
        <v>0</v>
      </c>
      <c r="BS24">
        <f>IF(BR24=0,0,1+COUNTIF(BS$3:BS23,"&gt;0"))</f>
        <v>0</v>
      </c>
      <c r="BT24" t="str">
        <f t="shared" si="37"/>
        <v/>
      </c>
      <c r="BU24" t="str">
        <f t="shared" si="9"/>
        <v/>
      </c>
      <c r="BW24">
        <f>IF(IFERROR(SEARCH("Arcane Trickster",$T24,1),0)&gt;0,1,0)*IF(ArcaneTricksterMaxSpellLevel&gt;=$C24,1,0)*IF(IFERROR(MATCH($B24,Character_Creation!$J$350:$J$356,0),0)&gt;0,0,1)*IF(Character_Creation!$T$338&gt;0,1,0)</f>
        <v>0</v>
      </c>
      <c r="BX24">
        <f>IF(BW24=0,0,1+COUNTIF(BX$3:BX23,"&gt;0"))</f>
        <v>0</v>
      </c>
      <c r="BY24" t="str">
        <f t="shared" si="38"/>
        <v/>
      </c>
      <c r="BZ24" t="str">
        <f t="shared" si="10"/>
        <v/>
      </c>
      <c r="CB24">
        <f>IF(IFERROR(SEARCH("Wizard",$T24,1),0)&gt;0,1,0)*IF(C24&lt;=ArcaneTricksterMaxSpellLevel,1,0)*IF(IFERROR(MATCH($B24,Character_Creation!$J$350:$J$356,0),0)&gt;0,0,1)*IF(Character_Creation!$T$350&gt;0,1,0)</f>
        <v>0</v>
      </c>
      <c r="CC24">
        <f>IF(CB24=0,0,1+COUNTIF(CC$3:CC23,"&gt;0"))</f>
        <v>0</v>
      </c>
      <c r="CD24" t="str">
        <f t="shared" si="39"/>
        <v/>
      </c>
      <c r="CE24" t="str">
        <f t="shared" si="11"/>
        <v/>
      </c>
      <c r="CG24">
        <f>IF(IFERROR(SEARCH("Wizard",$T24,1),0)&gt;0,1,0)*IF($C24&lt;=EldritchKnightMaxSpellLevel,1,0)*IF(IFERROR(MATCH($B24,Character_Creation!$J$350:$J$356,0),0)&gt;0,0,1)*IF(Character_Creation!$M$350&gt;0,1,0)</f>
        <v>0</v>
      </c>
      <c r="CH24">
        <f>IF(CG24=0,0,1+COUNTIF(CH$3:CH23,"&gt;0"))</f>
        <v>0</v>
      </c>
      <c r="CI24">
        <f t="shared" si="40"/>
        <v>22</v>
      </c>
      <c r="CJ24" t="str">
        <f t="shared" si="12"/>
        <v>Feather Fall</v>
      </c>
      <c r="CL24">
        <f>IF(IFERROR(SEARCH("Bard",$T24,1),0)&gt;0,1,0)*IF(BardMaxSpellLevel&gt;=$C24,1,0)*IF(IFERROR(MATCH(B24,Character_Creation!$C$341:$F$362,0),0)&gt;0,0,1)*IF(IFERROR(MATCH($B24,Character_Creation!$C$341:$C$362,0),0)&gt;0,0,1)</f>
        <v>0</v>
      </c>
      <c r="CM24">
        <f>IF(CL24=0,0,1+COUNTIF(CM$3:CM23,"&gt;0"))</f>
        <v>0</v>
      </c>
      <c r="CN24" t="str">
        <f t="shared" si="41"/>
        <v/>
      </c>
      <c r="CO24" t="str">
        <f t="shared" si="13"/>
        <v/>
      </c>
      <c r="CQ24">
        <f>IF(IFERROR(SEARCH("Wizard",$T24,1),0)&gt;0,1,0)*IF(WizardMaxSpellLevel&gt;=$C24,1,0)*IF(IFERROR(MATCH(B24,Character_Creation!$X$341:$X$400,0),0)&gt;0,0,1)*IF(SelectedWizardSpellLevel=$C24,1,0)</f>
        <v>0</v>
      </c>
      <c r="CR24">
        <f>IF(CQ24=0,0,1+COUNTIF(CR$3:CR23,"&gt;0"))</f>
        <v>0</v>
      </c>
      <c r="CS24">
        <f t="shared" si="42"/>
        <v>22</v>
      </c>
      <c r="CT24" t="str">
        <f t="shared" si="14"/>
        <v>Sleet Storm</v>
      </c>
      <c r="CV24">
        <f>IF(IFERROR(MATCH($B24,Character_Creation!$C$341:$C$362,0),0)&gt;0,0,1)*IF(OR(C24="Cantrip",C24&lt;=BardMaxSpellLevel),1,0)*IF(IFERROR(MATCH($B24,Character_Creation!$C$367:$C$374,0),0)&gt;0,0,1)</f>
        <v>0</v>
      </c>
      <c r="CW24">
        <f>IF(CV24=0,0,1+COUNTIF(CW$3:CW23,"&gt;0"))</f>
        <v>0</v>
      </c>
      <c r="CX24">
        <f t="shared" si="43"/>
        <v>22</v>
      </c>
      <c r="CY24" t="str">
        <f t="shared" si="15"/>
        <v>Shocking Grasp</v>
      </c>
      <c r="DA24">
        <f>IF(IF(OR(IFERROR(SEARCH("Cleric",$T24,1),0)&gt;0,IFERROR(SEARCH(DivineDomain&amp;",",$T24,1),0)&gt;0),1,0)*IF($C24=DA$2,1,0)=1,1+COUNTIF(DA$3:DA23,"&gt;0"),0)</f>
        <v>0</v>
      </c>
      <c r="DB24">
        <f>IF(IF(OR(IFERROR(SEARCH("Cleric",$T24,1),0)&gt;0,IFERROR(SEARCH(DivineDomain&amp;",",$T24,1),0)&gt;0),1,0)*IF($C24=DB$2,1,0)=1,1+COUNTIF(DB$3:DB23,"&gt;0"),0)</f>
        <v>0</v>
      </c>
      <c r="DC24">
        <f>IF(IF(OR(IFERROR(SEARCH("Cleric",$T24,1),0)&gt;0,IFERROR(SEARCH(DivineDomain&amp;",",$T24,1),0)&gt;0),1,0)*IF($C24=DC$2,1,0)=1,1+COUNTIF(DC$3:DC23,"&gt;0"),0)</f>
        <v>0</v>
      </c>
      <c r="DD24">
        <f>IF(IF(OR(IFERROR(SEARCH("Cleric",$T24,1),0)&gt;0,IFERROR(SEARCH(DivineDomain&amp;",",$T24,1),0)&gt;0),1,0)*IF($C24=DD$2,1,0)=1,1+COUNTIF(DD$3:DD23,"&gt;0"),0)</f>
        <v>0</v>
      </c>
      <c r="DE24">
        <f>IF(IF(OR(IFERROR(SEARCH("Cleric",$T24,1),0)&gt;0,IFERROR(SEARCH(DivineDomain&amp;",",$T24,1),0)&gt;0),1,0)*IF($C24=DE$2,1,0)=1,1+COUNTIF(DE$3:DE23,"&gt;0"),0)</f>
        <v>0</v>
      </c>
      <c r="DF24">
        <f>IF(IF(OR(IFERROR(SEARCH("Cleric",$T24,1),0)&gt;0,IFERROR(SEARCH(DivineDomain&amp;",",$T24,1),0)&gt;0),1,0)*IF($C24=DF$2,1,0)=1,1+COUNTIF(DF$3:DF23,"&gt;0"),0)</f>
        <v>0</v>
      </c>
      <c r="DG24">
        <f>IF(IF(OR(IFERROR(SEARCH("Cleric",$T24,1),0)&gt;0,IFERROR(SEARCH(DivineDomain&amp;",",$T24,1),0)&gt;0),1,0)*IF($C24=DG$2,1,0)=1,1+COUNTIF(DG$3:DG23,"&gt;0"),0)</f>
        <v>0</v>
      </c>
      <c r="DH24">
        <f>IF(IF(OR(IFERROR(SEARCH("Cleric",$T24,1),0)&gt;0,IFERROR(SEARCH(DivineDomain&amp;",",$T24,1),0)&gt;0),1,0)*IF($C24=DH$2,1,0)=1,1+COUNTIF(DH$3:DH23,"&gt;0"),0)</f>
        <v>0</v>
      </c>
      <c r="DI24">
        <f>IF(IF(OR(IFERROR(SEARCH("Cleric",$T24,1),0)&gt;0,IFERROR(SEARCH(DivineDomain&amp;",",$T24,1),0)&gt;0),1,0)*IF($C24=DI$2,1,0)=1,1+COUNTIF(DI$3:DI23,"&gt;0"),0)</f>
        <v>0</v>
      </c>
      <c r="DJ24">
        <f>IF(IF(OR(IFERROR(SEARCH("Druid",$T24,1),0)&gt;0,IFERROR(SEARCH(DruidLand1,$T24,1),0)&gt;0,IFERROR(SEARCH(DruidLand2,$T24,1),0)&gt;0,IFERROR(SEARCH(DruidLand3,$T24,1),0)&gt;0,IFERROR(SEARCH(DruidLand4,$T24,1),0)&gt;0),1,0)*IF($C24=1,1,0)*IF($C24=DJ$2,1,0)=0,0,1+COUNTIF(DJ$3:DJ23,"&gt;0"))</f>
        <v>0</v>
      </c>
      <c r="DK24">
        <f>IF(IF(OR(IFERROR(SEARCH("Druid",$T24,1),0)&gt;0,IFERROR(SEARCH(DruidLand1,$T24,1),0)&gt;0,IFERROR(SEARCH(DruidLand2,$T24,1),0)&gt;0,IFERROR(SEARCH(DruidLand3,$T24,1),0)&gt;0,IFERROR(SEARCH(DruidLand4,$T24,1),0)&gt;0),1,0)*IF($C24=1,1,0)*IF($C24=DK$2,1,0)=0,0,1+COUNTIF(DK$3:DK23,"&gt;0"))</f>
        <v>0</v>
      </c>
      <c r="DL24">
        <f>IF(IF(OR(IFERROR(SEARCH("Druid",$T24,1),0)&gt;0,IFERROR(SEARCH(DruidLand1,$T24,1),0)&gt;0,IFERROR(SEARCH(DruidLand2,$T24,1),0)&gt;0,IFERROR(SEARCH(DruidLand3,$T24,1),0)&gt;0,IFERROR(SEARCH(DruidLand4,$T24,1),0)&gt;0),1,0)*IF($C24=1,1,0)*IF($C24=DL$2,1,0)=0,0,1+COUNTIF(DL$3:DL23,"&gt;0"))</f>
        <v>0</v>
      </c>
      <c r="DM24">
        <f>IF(IF(OR(IFERROR(SEARCH("Druid",$T24,1),0)&gt;0,IFERROR(SEARCH(DruidLand1,$T24,1),0)&gt;0,IFERROR(SEARCH(DruidLand2,$T24,1),0)&gt;0,IFERROR(SEARCH(DruidLand3,$T24,1),0)&gt;0,IFERROR(SEARCH(DruidLand4,$T24,1),0)&gt;0),1,0)*IF($C24=1,1,0)*IF($C24=DM$2,1,0)=0,0,1+COUNTIF(DM$3:DM23,"&gt;0"))</f>
        <v>0</v>
      </c>
      <c r="DN24">
        <f>IF(IF(OR(IFERROR(SEARCH("Druid",$T24,1),0)&gt;0,IFERROR(SEARCH(DruidLand1,$T24,1),0)&gt;0,IFERROR(SEARCH(DruidLand2,$T24,1),0)&gt;0,IFERROR(SEARCH(DruidLand3,$T24,1),0)&gt;0,IFERROR(SEARCH(DruidLand4,$T24,1),0)&gt;0),1,0)*IF($C24=1,1,0)*IF($C24=DN$2,1,0)=0,0,1+COUNTIF(DN$3:DN23,"&gt;0"))</f>
        <v>0</v>
      </c>
      <c r="DO24">
        <f>IF(IF(OR(IFERROR(SEARCH("Druid",$T24,1),0)&gt;0,IFERROR(SEARCH(DruidLand1,$T24,1),0)&gt;0,IFERROR(SEARCH(DruidLand2,$T24,1),0)&gt;0,IFERROR(SEARCH(DruidLand3,$T24,1),0)&gt;0,IFERROR(SEARCH(DruidLand4,$T24,1),0)&gt;0),1,0)*IF($C24=1,1,0)*IF($C24=DO$2,1,0)=0,0,1+COUNTIF(DO$3:DO23,"&gt;0"))</f>
        <v>0</v>
      </c>
      <c r="DP24">
        <f>IF(IF(OR(IFERROR(SEARCH("Druid",$T24,1),0)&gt;0,IFERROR(SEARCH(DruidLand1,$T24,1),0)&gt;0,IFERROR(SEARCH(DruidLand2,$T24,1),0)&gt;0,IFERROR(SEARCH(DruidLand3,$T24,1),0)&gt;0,IFERROR(SEARCH(DruidLand4,$T24,1),0)&gt;0),1,0)*IF($C24=1,1,0)*IF($C24=DP$2,1,0)=0,0,1+COUNTIF(DP$3:DP23,"&gt;0"))</f>
        <v>0</v>
      </c>
      <c r="DQ24">
        <f>IF(IF(OR(IFERROR(SEARCH("Druid",$T24,1),0)&gt;0,IFERROR(SEARCH(DruidLand1,$T24,1),0)&gt;0,IFERROR(SEARCH(DruidLand2,$T24,1),0)&gt;0,IFERROR(SEARCH(DruidLand3,$T24,1),0)&gt;0,IFERROR(SEARCH(DruidLand4,$T24,1),0)&gt;0),1,0)*IF($C24=1,1,0)*IF($C24=DQ$2,1,0)=0,0,1+COUNTIF(DQ$3:DQ23,"&gt;0"))</f>
        <v>0</v>
      </c>
      <c r="DR24">
        <f>IF(IF(OR(IFERROR(SEARCH("Druid",$T24,1),0)&gt;0,IFERROR(SEARCH(DruidLand1,$T24,1),0)&gt;0,IFERROR(SEARCH(DruidLand2,$T24,1),0)&gt;0,IFERROR(SEARCH(DruidLand3,$T24,1),0)&gt;0,IFERROR(SEARCH(DruidLand4,$T24,1),0)&gt;0),1,0)*IF($C24=1,1,0)*IF($C24=DR$2,1,0)=0,0,1+COUNTIF(DR$3:DR23,"&gt;0"))</f>
        <v>0</v>
      </c>
      <c r="DS24">
        <f>IF(IF(OR(IFERROR(SEARCH("Paladin",$T24,1),0)&gt;0,IFERROR(SEARCH(PaladinOath,$T24,1),0)&gt;0),1,0)*IF($C24=DS$2,1,0)=1,1+COUNTIF(DS$3:DS23,"&gt;0"),0)</f>
        <v>0</v>
      </c>
      <c r="DT24">
        <f>IF(IF(OR(IFERROR(SEARCH("Paladin",$T24,1),0)&gt;0,IFERROR(SEARCH(PaladinOath,$T24,1),0)&gt;0),1,0)*IF($C24=DT$2,1,0)=1,1+COUNTIF(DT$3:DT23,"&gt;0"),0)</f>
        <v>0</v>
      </c>
      <c r="DU24">
        <f>IF(IF(OR(IFERROR(SEARCH("Paladin",$T24,1),0)&gt;0,IFERROR(SEARCH(PaladinOath,$T24,1),0)&gt;0),1,0)*IF($C24=DU$2,1,0)=1,1+COUNTIF(DU$3:DU23,"&gt;0"),0)</f>
        <v>1</v>
      </c>
      <c r="DV24">
        <f>IF(IF(OR(IFERROR(SEARCH("Paladin",$T24,1),0)&gt;0,IFERROR(SEARCH(PaladinOath,$T24,1),0)&gt;0),1,0)*IF($C24=DV$2,1,0)=1,1+COUNTIF(DV$3:DV23,"&gt;0"),0)</f>
        <v>0</v>
      </c>
      <c r="DW24">
        <f>IF(IF(OR(IFERROR(SEARCH("Paladin",$T24,1),0)&gt;0,IFERROR(SEARCH(PaladinOath,$T24,1),0)&gt;0),1,0)*IF($C24=DW$2,1,0)=1,1+COUNTIF(DW$3:DW23,"&gt;0"),0)</f>
        <v>0</v>
      </c>
      <c r="DY24">
        <f t="shared" si="2"/>
        <v>1</v>
      </c>
      <c r="DZ24">
        <f>IF(DY24=0,0,1+MAX(DZ$3:$DZ23))</f>
        <v>22</v>
      </c>
      <c r="EB24">
        <f t="shared" si="16"/>
        <v>0</v>
      </c>
      <c r="EC24">
        <f>IF(EB24=0,0,1+COUNTIF(EC$3:EC23,"&gt;0"))</f>
        <v>0</v>
      </c>
      <c r="ED24" t="str">
        <f t="shared" si="44"/>
        <v/>
      </c>
      <c r="EE24" t="str">
        <f t="shared" si="17"/>
        <v/>
      </c>
      <c r="EG24">
        <f t="shared" si="18"/>
        <v>0</v>
      </c>
      <c r="EH24">
        <f>IF(EG24=0,0,1+COUNTIF(EH$3:EH23,"&gt;0"))</f>
        <v>0</v>
      </c>
      <c r="EI24" t="str">
        <f t="shared" si="45"/>
        <v/>
      </c>
      <c r="EJ24" t="str">
        <f t="shared" si="19"/>
        <v/>
      </c>
      <c r="EL24">
        <f t="shared" si="20"/>
        <v>0</v>
      </c>
      <c r="EM24">
        <f>IF(EL24=0,0,1+COUNTIF(EM$3:EM23,"&gt;0"))</f>
        <v>0</v>
      </c>
      <c r="EN24" t="str">
        <f t="shared" si="46"/>
        <v/>
      </c>
      <c r="EO24" t="str">
        <f t="shared" si="21"/>
        <v/>
      </c>
      <c r="EQ24">
        <f t="shared" si="22"/>
        <v>0</v>
      </c>
      <c r="ER24">
        <f>IF(EQ24=0,0,1+COUNTIF(ER$3:ER23,"&gt;0"))</f>
        <v>0</v>
      </c>
      <c r="ES24" t="str">
        <f t="shared" si="47"/>
        <v/>
      </c>
      <c r="ET24" t="str">
        <f t="shared" si="23"/>
        <v/>
      </c>
      <c r="EV24">
        <f t="shared" si="24"/>
        <v>0</v>
      </c>
      <c r="EW24">
        <f>IF(EV24=0,0,1+COUNTIF(EW$3:EW23,"&gt;0"))</f>
        <v>0</v>
      </c>
      <c r="EX24" t="str">
        <f t="shared" si="48"/>
        <v/>
      </c>
      <c r="EY24" t="str">
        <f t="shared" si="25"/>
        <v/>
      </c>
      <c r="FA24">
        <f t="shared" si="26"/>
        <v>0</v>
      </c>
      <c r="FB24">
        <f>IF(FA24=0,0,1+COUNTIF(FB$3:FB23,"&gt;0"))</f>
        <v>0</v>
      </c>
      <c r="FC24">
        <f t="shared" si="49"/>
        <v>22</v>
      </c>
      <c r="FD24" t="str">
        <f t="shared" si="27"/>
        <v>Shape Water</v>
      </c>
      <c r="FF24">
        <f t="shared" si="28"/>
        <v>0</v>
      </c>
      <c r="FG24">
        <f>IF(FF24=0,0,1+COUNTIF(FG$3:FG23,"&gt;0"))</f>
        <v>0</v>
      </c>
      <c r="FH24" t="str">
        <f t="shared" si="50"/>
        <v/>
      </c>
      <c r="FI24" t="str">
        <f t="shared" si="29"/>
        <v/>
      </c>
      <c r="FK24">
        <f t="shared" si="30"/>
        <v>0</v>
      </c>
      <c r="FL24">
        <f>IF(FK24=0,0,1+COUNTIF(FL$3:FL23,"&gt;0"))</f>
        <v>0</v>
      </c>
      <c r="FM24">
        <f t="shared" si="51"/>
        <v>22</v>
      </c>
      <c r="FN24" t="str">
        <f t="shared" si="31"/>
        <v>Shape Water</v>
      </c>
      <c r="FP24">
        <f t="shared" si="32"/>
        <v>0</v>
      </c>
      <c r="FQ24">
        <f>IF(FP24=0,0,1+COUNTIF(FQ$3:FQ23,"&gt;0"))</f>
        <v>0</v>
      </c>
      <c r="FR24" t="str">
        <f t="shared" si="52"/>
        <v/>
      </c>
      <c r="FS24" t="str">
        <f t="shared" si="33"/>
        <v/>
      </c>
    </row>
    <row r="25" spans="1:175" x14ac:dyDescent="0.25">
      <c r="A25" s="347">
        <f t="shared" si="53"/>
        <v>23</v>
      </c>
      <c r="B25" s="348" t="s">
        <v>2379</v>
      </c>
      <c r="C25" s="348">
        <v>5</v>
      </c>
      <c r="D25" s="347">
        <v>5</v>
      </c>
      <c r="E25" s="627" t="s">
        <v>6952</v>
      </c>
      <c r="F25" s="346"/>
      <c r="G25" s="347" t="str">
        <f>""</f>
        <v/>
      </c>
      <c r="H25" s="347" t="s">
        <v>5279</v>
      </c>
      <c r="I25" s="347" t="s">
        <v>5298</v>
      </c>
      <c r="J25" s="347" t="str">
        <f t="shared" si="3"/>
        <v/>
      </c>
      <c r="K25" s="347" t="s">
        <v>5278</v>
      </c>
      <c r="L25" s="611" t="str">
        <f t="shared" si="4"/>
        <v>V, S, M, an agate worth at least 1,000 gp, which the spell consumes</v>
      </c>
      <c r="M25" s="347" t="s">
        <v>2373</v>
      </c>
      <c r="N25" s="347" t="s">
        <v>2387</v>
      </c>
      <c r="O25" s="347" t="s">
        <v>1244</v>
      </c>
      <c r="P25" s="346" t="s">
        <v>5305</v>
      </c>
      <c r="Q25" s="347" t="s">
        <v>5276</v>
      </c>
      <c r="S25" s="346" t="s">
        <v>5600</v>
      </c>
      <c r="T25" s="346" t="str">
        <f t="shared" si="5"/>
        <v xml:space="preserve">Bard, Druid, </v>
      </c>
      <c r="U25" s="347" t="str">
        <f>$B25</f>
        <v>Awaken</v>
      </c>
      <c r="AA25" s="347" t="str">
        <f>$B25</f>
        <v>Awaken</v>
      </c>
      <c r="AE25" t="str">
        <f>IF(IFERROR(MATCH($B25,temp!A$4:A$13,0),0)&gt;0,T08_Spells!AE$2,"")</f>
        <v/>
      </c>
      <c r="AF25" t="str">
        <f>IF(IFERROR(MATCH($B25,temp!B$4:B$13,0),0)&gt;0,T08_Spells!AF$2,"")</f>
        <v/>
      </c>
      <c r="AG25" t="str">
        <f>IF(IFERROR(MATCH($B25,temp!C$4:C$13,0),0)&gt;0,T08_Spells!AG$2,"")</f>
        <v/>
      </c>
      <c r="AH25" t="str">
        <f>IF(IFERROR(MATCH($B25,temp!D$4:D$13,0),0)&gt;0,T08_Spells!AH$2,"")</f>
        <v/>
      </c>
      <c r="AI25" t="str">
        <f>IF(IFERROR(MATCH($B25,temp!E$4:E$13,0),0)&gt;0,T08_Spells!AI$2,"")</f>
        <v/>
      </c>
      <c r="AJ25" t="str">
        <f>IF(IFERROR(MATCH($B25,temp!F$4:F$13,0),0)&gt;0,T08_Spells!AJ$2,"")</f>
        <v/>
      </c>
      <c r="AK25" t="str">
        <f>IF(IFERROR(MATCH($B25,temp!G$4:G$13,0),0)&gt;0,T08_Spells!AK$2,"")</f>
        <v/>
      </c>
      <c r="AL25" t="str">
        <f>IF(IFERROR(MATCH($B25,temp!H$4:H$13,0),0)&gt;0,T08_Spells!AL$2,"")</f>
        <v/>
      </c>
      <c r="AM25" t="str">
        <f>IF(IFERROR(MATCH($B25,temp!I$4:I$13,0),0)&gt;0,T08_Spells!AM$2,"")</f>
        <v/>
      </c>
      <c r="AN25" t="str">
        <f>IF(IFERROR(MATCH($B25,temp!J$4:J$13,0),0)&gt;0,T08_Spells!AN$2,"")</f>
        <v/>
      </c>
      <c r="AO25" t="str">
        <f>IF(IFERROR(MATCH($B25,temp!K$4:K$13,0),0)&gt;0,T08_Spells!AO$2,"")</f>
        <v/>
      </c>
      <c r="AP25" t="str">
        <f>IF(IFERROR(MATCH($B25,temp!L$4:L$13,0),0)&gt;0,T08_Spells!AP$2,"")</f>
        <v/>
      </c>
      <c r="AQ25" t="str">
        <f>IF(IFERROR(MATCH($B25,temp!M$4:M$13,0),0)&gt;0,T08_Spells!AQ$2,"")</f>
        <v/>
      </c>
      <c r="AR25" t="str">
        <f>IF(IFERROR(MATCH($B25,temp!N$4:N$13,0),0)&gt;0,T08_Spells!AR$2,"")</f>
        <v/>
      </c>
      <c r="AS25" t="str">
        <f>IF(IFERROR(MATCH($B25,temp!O$4:O$13,0),0)&gt;0,T08_Spells!AS$2,"")</f>
        <v/>
      </c>
      <c r="AT25" t="str">
        <f>IF(IFERROR(MATCH($B25,temp!P$4:P$13,0),0)&gt;0,T08_Spells!AT$2,"")</f>
        <v/>
      </c>
      <c r="AU25" t="str">
        <f>IF(IFERROR(MATCH($B25,temp!Q$4:Q$13,0),0)&gt;0,T08_Spells!AU$2,"")</f>
        <v/>
      </c>
      <c r="AV25" t="str">
        <f>IF(IFERROR(MATCH($B25,temp!R$4:R$13,0),0)&gt;0,T08_Spells!AV$2,"")</f>
        <v/>
      </c>
      <c r="AW25" t="str">
        <f>IF(IFERROR(MATCH($B25,temp!S$4:S$13,0),0)&gt;0,T08_Spells!AW$2,"")</f>
        <v/>
      </c>
      <c r="AX25" t="str">
        <f>IF(IFERROR(MATCH($B25,temp!T$4:T$13,0),0)&gt;0,T08_Spells!AX$2,"")</f>
        <v/>
      </c>
      <c r="AY25" t="str">
        <f>IF(IFERROR(MATCH($B25,temp!U$4:U$13,0),0)&gt;0,T08_Spells!AY$2,"")</f>
        <v/>
      </c>
      <c r="AZ25" t="str">
        <f>IF(IFERROR(MATCH($B25,temp!V$4:V$13,0),0)&gt;0,T08_Spells!AZ$2,"")</f>
        <v/>
      </c>
      <c r="BA25" t="str">
        <f>IF(IFERROR(MATCH($B25,temp!W$4:W$13,0),0)&gt;0,T08_Spells!BA$2,"")</f>
        <v/>
      </c>
      <c r="BC25">
        <f>IF(IFERROR(SEARCH("Ranger",$T25,1),0)&gt;0,1,0)*IF(RangerMaxSpellLevel&gt;=$C25,1,0)*IF(IFERROR(MATCH(B25,Character_Creation!$X$79:$X$382,0),0)&gt;0,0,1)</f>
        <v>0</v>
      </c>
      <c r="BD25">
        <f>IF(BC25=0,0,1+COUNTIF(BD$3:BD24,"&gt;0"))</f>
        <v>0</v>
      </c>
      <c r="BE25" t="str">
        <f t="shared" si="34"/>
        <v/>
      </c>
      <c r="BF25" t="str">
        <f t="shared" si="6"/>
        <v/>
      </c>
      <c r="BH25">
        <f>IF(IFERROR(SEARCH("Sorcerer",$T25,1),0)&gt;0,1,0)*IF(SorcererMaxSpellLevel&gt;=$C25,1,0)*IF(IFERROR(MATCH(B25,Character_Creation!$J$380:$J$394,0),0)&gt;0,0,1)</f>
        <v>0</v>
      </c>
      <c r="BI25">
        <f>IF(BH25=0,0,1+COUNTIF(BI$3:BI24,"&gt;0"))</f>
        <v>0</v>
      </c>
      <c r="BJ25" t="str">
        <f t="shared" si="35"/>
        <v/>
      </c>
      <c r="BK25" t="str">
        <f t="shared" si="7"/>
        <v/>
      </c>
      <c r="BM25">
        <f>IF(OR(IFERROR(SEARCH("Warlock",$T25,1),0)&gt;0,IFERROR(SEARCH(WarlockPatron,$T25,1),0)&gt;0),1,0)*IF(WarlockMaxSpellLevel&gt;=$C25,1,0)*IF(IFERROR(MATCH(B25,Character_Creation!$J$361:$J$375,0),0)&gt;0,0,1)</f>
        <v>0</v>
      </c>
      <c r="BN25">
        <f>IF(BM25=0,0,1+COUNTIF(BN$3:BN24,"&gt;0"))</f>
        <v>0</v>
      </c>
      <c r="BO25" t="str">
        <f t="shared" si="36"/>
        <v/>
      </c>
      <c r="BP25" t="str">
        <f t="shared" si="8"/>
        <v/>
      </c>
      <c r="BR25">
        <f>IF(IFERROR(SEARCH("Eldritch Knight",$T25,1),0)&gt;0,1,0)*IF(EldritchKnightMaxSpellLevel&gt;=$C25,1,0)*IF(IFERROR(MATCH($B25,Character_Creation!$J$350:$J$356,0),0)&gt;0,0,1)*IF(Character_Creation!$M$338&gt;0,1,0)</f>
        <v>0</v>
      </c>
      <c r="BS25">
        <f>IF(BR25=0,0,1+COUNTIF(BS$3:BS24,"&gt;0"))</f>
        <v>0</v>
      </c>
      <c r="BT25" t="str">
        <f t="shared" si="37"/>
        <v/>
      </c>
      <c r="BU25" t="str">
        <f t="shared" si="9"/>
        <v/>
      </c>
      <c r="BW25">
        <f>IF(IFERROR(SEARCH("Arcane Trickster",$T25,1),0)&gt;0,1,0)*IF(ArcaneTricksterMaxSpellLevel&gt;=$C25,1,0)*IF(IFERROR(MATCH($B25,Character_Creation!$J$350:$J$356,0),0)&gt;0,0,1)*IF(Character_Creation!$T$338&gt;0,1,0)</f>
        <v>0</v>
      </c>
      <c r="BX25">
        <f>IF(BW25=0,0,1+COUNTIF(BX$3:BX24,"&gt;0"))</f>
        <v>0</v>
      </c>
      <c r="BY25" t="str">
        <f t="shared" si="38"/>
        <v/>
      </c>
      <c r="BZ25" t="str">
        <f t="shared" si="10"/>
        <v/>
      </c>
      <c r="CB25">
        <f>IF(IFERROR(SEARCH("Wizard",$T25,1),0)&gt;0,1,0)*IF(C25&lt;=ArcaneTricksterMaxSpellLevel,1,0)*IF(IFERROR(MATCH($B25,Character_Creation!$J$350:$J$356,0),0)&gt;0,0,1)*IF(Character_Creation!$T$350&gt;0,1,0)</f>
        <v>0</v>
      </c>
      <c r="CC25">
        <f>IF(CB25=0,0,1+COUNTIF(CC$3:CC24,"&gt;0"))</f>
        <v>0</v>
      </c>
      <c r="CD25" t="str">
        <f t="shared" si="39"/>
        <v/>
      </c>
      <c r="CE25" t="str">
        <f t="shared" si="11"/>
        <v/>
      </c>
      <c r="CG25">
        <f>IF(IFERROR(SEARCH("Wizard",$T25,1),0)&gt;0,1,0)*IF($C25&lt;=EldritchKnightMaxSpellLevel,1,0)*IF(IFERROR(MATCH($B25,Character_Creation!$J$350:$J$356,0),0)&gt;0,0,1)*IF(Character_Creation!$M$350&gt;0,1,0)</f>
        <v>0</v>
      </c>
      <c r="CH25">
        <f>IF(CG25=0,0,1+COUNTIF(CH$3:CH24,"&gt;0"))</f>
        <v>0</v>
      </c>
      <c r="CI25">
        <f t="shared" si="40"/>
        <v>23</v>
      </c>
      <c r="CJ25" t="str">
        <f t="shared" si="12"/>
        <v>Find Familiar</v>
      </c>
      <c r="CL25">
        <f>IF(IFERROR(SEARCH("Bard",$T25,1),0)&gt;0,1,0)*IF(BardMaxSpellLevel&gt;=$C25,1,0)*IF(IFERROR(MATCH(B25,Character_Creation!$C$341:$F$362,0),0)&gt;0,0,1)*IF(IFERROR(MATCH($B25,Character_Creation!$C$341:$C$362,0),0)&gt;0,0,1)</f>
        <v>0</v>
      </c>
      <c r="CM25">
        <f>IF(CL25=0,0,1+COUNTIF(CM$3:CM24,"&gt;0"))</f>
        <v>0</v>
      </c>
      <c r="CN25" t="str">
        <f t="shared" si="41"/>
        <v/>
      </c>
      <c r="CO25" t="str">
        <f t="shared" si="13"/>
        <v/>
      </c>
      <c r="CQ25">
        <f>IF(IFERROR(SEARCH("Wizard",$T25,1),0)&gt;0,1,0)*IF(WizardMaxSpellLevel&gt;=$C25,1,0)*IF(IFERROR(MATCH(B25,Character_Creation!$X$341:$X$400,0),0)&gt;0,0,1)*IF(SelectedWizardSpellLevel=$C25,1,0)</f>
        <v>0</v>
      </c>
      <c r="CR25">
        <f>IF(CQ25=0,0,1+COUNTIF(CR$3:CR24,"&gt;0"))</f>
        <v>0</v>
      </c>
      <c r="CS25">
        <f t="shared" si="42"/>
        <v>23</v>
      </c>
      <c r="CT25" t="str">
        <f t="shared" si="14"/>
        <v>Slow</v>
      </c>
      <c r="CV25">
        <f>IF(IFERROR(MATCH($B25,Character_Creation!$C$341:$C$362,0),0)&gt;0,0,1)*IF(OR(C25="Cantrip",C25&lt;=BardMaxSpellLevel),1,0)*IF(IFERROR(MATCH($B25,Character_Creation!$C$367:$C$374,0),0)&gt;0,0,1)</f>
        <v>0</v>
      </c>
      <c r="CW25">
        <f>IF(CV25=0,0,1+COUNTIF(CW$3:CW24,"&gt;0"))</f>
        <v>0</v>
      </c>
      <c r="CX25">
        <f t="shared" si="43"/>
        <v>23</v>
      </c>
      <c r="CY25" t="str">
        <f t="shared" si="15"/>
        <v>Spare the Dying</v>
      </c>
      <c r="DA25">
        <f>IF(IF(OR(IFERROR(SEARCH("Cleric",$T25,1),0)&gt;0,IFERROR(SEARCH(DivineDomain&amp;",",$T25,1),0)&gt;0),1,0)*IF($C25=DA$2,1,0)=1,1+COUNTIF(DA$3:DA24,"&gt;0"),0)</f>
        <v>0</v>
      </c>
      <c r="DB25">
        <f>IF(IF(OR(IFERROR(SEARCH("Cleric",$T25,1),0)&gt;0,IFERROR(SEARCH(DivineDomain&amp;",",$T25,1),0)&gt;0),1,0)*IF($C25=DB$2,1,0)=1,1+COUNTIF(DB$3:DB24,"&gt;0"),0)</f>
        <v>0</v>
      </c>
      <c r="DC25">
        <f>IF(IF(OR(IFERROR(SEARCH("Cleric",$T25,1),0)&gt;0,IFERROR(SEARCH(DivineDomain&amp;",",$T25,1),0)&gt;0),1,0)*IF($C25=DC$2,1,0)=1,1+COUNTIF(DC$3:DC24,"&gt;0"),0)</f>
        <v>0</v>
      </c>
      <c r="DD25">
        <f>IF(IF(OR(IFERROR(SEARCH("Cleric",$T25,1),0)&gt;0,IFERROR(SEARCH(DivineDomain&amp;",",$T25,1),0)&gt;0),1,0)*IF($C25=DD$2,1,0)=1,1+COUNTIF(DD$3:DD24,"&gt;0"),0)</f>
        <v>0</v>
      </c>
      <c r="DE25">
        <f>IF(IF(OR(IFERROR(SEARCH("Cleric",$T25,1),0)&gt;0,IFERROR(SEARCH(DivineDomain&amp;",",$T25,1),0)&gt;0),1,0)*IF($C25=DE$2,1,0)=1,1+COUNTIF(DE$3:DE24,"&gt;0"),0)</f>
        <v>0</v>
      </c>
      <c r="DF25">
        <f>IF(IF(OR(IFERROR(SEARCH("Cleric",$T25,1),0)&gt;0,IFERROR(SEARCH(DivineDomain&amp;",",$T25,1),0)&gt;0),1,0)*IF($C25=DF$2,1,0)=1,1+COUNTIF(DF$3:DF24,"&gt;0"),0)</f>
        <v>0</v>
      </c>
      <c r="DG25">
        <f>IF(IF(OR(IFERROR(SEARCH("Cleric",$T25,1),0)&gt;0,IFERROR(SEARCH(DivineDomain&amp;",",$T25,1),0)&gt;0),1,0)*IF($C25=DG$2,1,0)=1,1+COUNTIF(DG$3:DG24,"&gt;0"),0)</f>
        <v>0</v>
      </c>
      <c r="DH25">
        <f>IF(IF(OR(IFERROR(SEARCH("Cleric",$T25,1),0)&gt;0,IFERROR(SEARCH(DivineDomain&amp;",",$T25,1),0)&gt;0),1,0)*IF($C25=DH$2,1,0)=1,1+COUNTIF(DH$3:DH24,"&gt;0"),0)</f>
        <v>0</v>
      </c>
      <c r="DI25">
        <f>IF(IF(OR(IFERROR(SEARCH("Cleric",$T25,1),0)&gt;0,IFERROR(SEARCH(DivineDomain&amp;",",$T25,1),0)&gt;0),1,0)*IF($C25=DI$2,1,0)=1,1+COUNTIF(DI$3:DI24,"&gt;0"),0)</f>
        <v>0</v>
      </c>
      <c r="DJ25">
        <f>IF(IF(OR(IFERROR(SEARCH("Druid",$T25,1),0)&gt;0,IFERROR(SEARCH(DruidLand1,$T25,1),0)&gt;0,IFERROR(SEARCH(DruidLand2,$T25,1),0)&gt;0,IFERROR(SEARCH(DruidLand3,$T25,1),0)&gt;0,IFERROR(SEARCH(DruidLand4,$T25,1),0)&gt;0),1,0)*IF($C25=1,1,0)*IF($C25=DJ$2,1,0)=0,0,1+COUNTIF(DJ$3:DJ24,"&gt;0"))</f>
        <v>0</v>
      </c>
      <c r="DK25">
        <f>IF(IF(OR(IFERROR(SEARCH("Druid",$T25,1),0)&gt;0,IFERROR(SEARCH(DruidLand1,$T25,1),0)&gt;0,IFERROR(SEARCH(DruidLand2,$T25,1),0)&gt;0,IFERROR(SEARCH(DruidLand3,$T25,1),0)&gt;0,IFERROR(SEARCH(DruidLand4,$T25,1),0)&gt;0),1,0)*IF($C25=DK$2,1,0)=0,0,1+COUNTIF(DK$3:DK24,"&gt;0"))</f>
        <v>0</v>
      </c>
      <c r="DL25">
        <f>IF(IF(OR(IFERROR(SEARCH("Druid",$T25,1),0)&gt;0,IFERROR(SEARCH(DruidLand1,$T25,1),0)&gt;0,IFERROR(SEARCH(DruidLand2,$T25,1),0)&gt;0,IFERROR(SEARCH(DruidLand3,$T25,1),0)&gt;0,IFERROR(SEARCH(DruidLand4,$T25,1),0)&gt;0),1,0)*IF($C25=DL$2,1,0)=0,0,1+COUNTIF(DL$3:DL24,"&gt;0"))</f>
        <v>0</v>
      </c>
      <c r="DM25">
        <f>IF(IF(OR(IFERROR(SEARCH("Druid",$T25,1),0)&gt;0,IFERROR(SEARCH(DruidLand1,$T25,1),0)&gt;0,IFERROR(SEARCH(DruidLand2,$T25,1),0)&gt;0,IFERROR(SEARCH(DruidLand3,$T25,1),0)&gt;0,IFERROR(SEARCH(DruidLand4,$T25,1),0)&gt;0),1,0)*IF($C25=DM$2,1,0)=0,0,1+COUNTIF(DM$3:DM24,"&gt;0"))</f>
        <v>0</v>
      </c>
      <c r="DN25">
        <f>IF(IF(OR(IFERROR(SEARCH("Druid",$T25,1),0)&gt;0,IFERROR(SEARCH(DruidLand1,$T25,1),0)&gt;0,IFERROR(SEARCH(DruidLand2,$T25,1),0)&gt;0,IFERROR(SEARCH(DruidLand3,$T25,1),0)&gt;0,IFERROR(SEARCH(DruidLand4,$T25,1),0)&gt;0),1,0)*IF($C25=DN$2,1,0)=0,0,1+COUNTIF(DN$3:DN24,"&gt;0"))</f>
        <v>2</v>
      </c>
      <c r="DO25">
        <f>IF(IF(OR(IFERROR(SEARCH("Druid",$T25,1),0)&gt;0,IFERROR(SEARCH(DruidLand1,$T25,1),0)&gt;0,IFERROR(SEARCH(DruidLand2,$T25,1),0)&gt;0,IFERROR(SEARCH(DruidLand3,$T25,1),0)&gt;0,IFERROR(SEARCH(DruidLand4,$T25,1),0)&gt;0),1,0)*IF($C25=DO$2,1,0)=0,0,1+COUNTIF(DO$3:DO24,"&gt;0"))</f>
        <v>0</v>
      </c>
      <c r="DP25">
        <f>IF(IF(OR(IFERROR(SEARCH("Druid",$T25,1),0)&gt;0,IFERROR(SEARCH(DruidLand1,$T25,1),0)&gt;0,IFERROR(SEARCH(DruidLand2,$T25,1),0)&gt;0,IFERROR(SEARCH(DruidLand3,$T25,1),0)&gt;0,IFERROR(SEARCH(DruidLand4,$T25,1),0)&gt;0),1,0)*IF($C25=DP$2,1,0)=0,0,1+COUNTIF(DP$3:DP24,"&gt;0"))</f>
        <v>0</v>
      </c>
      <c r="DQ25">
        <f>IF(IF(OR(IFERROR(SEARCH("Druid",$T25,1),0)&gt;0,IFERROR(SEARCH(DruidLand1,$T25,1),0)&gt;0,IFERROR(SEARCH(DruidLand2,$T25,1),0)&gt;0,IFERROR(SEARCH(DruidLand3,$T25,1),0)&gt;0,IFERROR(SEARCH(DruidLand4,$T25,1),0)&gt;0),1,0)*IF($C25=DQ$2,1,0)=0,0,1+COUNTIF(DQ$3:DQ24,"&gt;0"))</f>
        <v>0</v>
      </c>
      <c r="DR25">
        <f>IF(IF(OR(IFERROR(SEARCH("Druid",$T25,1),0)&gt;0,IFERROR(SEARCH(DruidLand1,$T25,1),0)&gt;0,IFERROR(SEARCH(DruidLand2,$T25,1),0)&gt;0,IFERROR(SEARCH(DruidLand3,$T25,1),0)&gt;0,IFERROR(SEARCH(DruidLand4,$T25,1),0)&gt;0),1,0)*IF($C25=DR$2,1,0)=0,0,1+COUNTIF(DR$3:DR24,"&gt;0"))</f>
        <v>0</v>
      </c>
      <c r="DS25">
        <f>IF(IF(OR(IFERROR(SEARCH("Paladin",$T25,1),0)&gt;0,IFERROR(SEARCH(PaladinOath,$T25,1),0)&gt;0),1,0)*IF($C25=DS$2,1,0)=1,1+COUNTIF(DS$3:DS24,"&gt;0"),0)</f>
        <v>0</v>
      </c>
      <c r="DT25">
        <f>IF(IF(OR(IFERROR(SEARCH("Paladin",$T25,1),0)&gt;0,IFERROR(SEARCH(PaladinOath,$T25,1),0)&gt;0),1,0)*IF($C25=DT$2,1,0)=1,1+COUNTIF(DT$3:DT24,"&gt;0"),0)</f>
        <v>0</v>
      </c>
      <c r="DU25">
        <f>IF(IF(OR(IFERROR(SEARCH("Paladin",$T25,1),0)&gt;0,IFERROR(SEARCH(PaladinOath,$T25,1),0)&gt;0),1,0)*IF($C25=DU$2,1,0)=1,1+COUNTIF(DU$3:DU24,"&gt;0"),0)</f>
        <v>0</v>
      </c>
      <c r="DV25">
        <f>IF(IF(OR(IFERROR(SEARCH("Paladin",$T25,1),0)&gt;0,IFERROR(SEARCH(PaladinOath,$T25,1),0)&gt;0),1,0)*IF($C25=DV$2,1,0)=1,1+COUNTIF(DV$3:DV24,"&gt;0"),0)</f>
        <v>0</v>
      </c>
      <c r="DW25">
        <f>IF(IF(OR(IFERROR(SEARCH("Paladin",$T25,1),0)&gt;0,IFERROR(SEARCH(PaladinOath,$T25,1),0)&gt;0),1,0)*IF($C25=DW$2,1,0)=1,1+COUNTIF(DW$3:DW24,"&gt;0"),0)</f>
        <v>0</v>
      </c>
      <c r="DY25">
        <f t="shared" si="2"/>
        <v>1</v>
      </c>
      <c r="DZ25">
        <f>IF(DY25=0,0,1+MAX(DZ$3:$DZ24))</f>
        <v>23</v>
      </c>
      <c r="EB25">
        <f t="shared" si="16"/>
        <v>0</v>
      </c>
      <c r="EC25">
        <f>IF(EB25=0,0,1+COUNTIF(EC$3:EC24,"&gt;0"))</f>
        <v>0</v>
      </c>
      <c r="ED25" t="str">
        <f t="shared" si="44"/>
        <v/>
      </c>
      <c r="EE25" t="str">
        <f t="shared" si="17"/>
        <v/>
      </c>
      <c r="EG25">
        <f t="shared" si="18"/>
        <v>0</v>
      </c>
      <c r="EH25">
        <f>IF(EG25=0,0,1+COUNTIF(EH$3:EH24,"&gt;0"))</f>
        <v>0</v>
      </c>
      <c r="EI25" t="str">
        <f t="shared" si="45"/>
        <v/>
      </c>
      <c r="EJ25" t="str">
        <f t="shared" si="19"/>
        <v/>
      </c>
      <c r="EL25">
        <f t="shared" si="20"/>
        <v>0</v>
      </c>
      <c r="EM25">
        <f>IF(EL25=0,0,1+COUNTIF(EM$3:EM24,"&gt;0"))</f>
        <v>0</v>
      </c>
      <c r="EN25" t="str">
        <f t="shared" si="46"/>
        <v/>
      </c>
      <c r="EO25" t="str">
        <f t="shared" si="21"/>
        <v/>
      </c>
      <c r="EQ25">
        <f t="shared" si="22"/>
        <v>0</v>
      </c>
      <c r="ER25">
        <f>IF(EQ25=0,0,1+COUNTIF(ER$3:ER24,"&gt;0"))</f>
        <v>0</v>
      </c>
      <c r="ES25" t="str">
        <f t="shared" si="47"/>
        <v/>
      </c>
      <c r="ET25" t="str">
        <f t="shared" si="23"/>
        <v/>
      </c>
      <c r="EV25">
        <f t="shared" si="24"/>
        <v>0</v>
      </c>
      <c r="EW25">
        <f>IF(EV25=0,0,1+COUNTIF(EW$3:EW24,"&gt;0"))</f>
        <v>0</v>
      </c>
      <c r="EX25" t="str">
        <f t="shared" si="48"/>
        <v/>
      </c>
      <c r="EY25" t="str">
        <f t="shared" si="25"/>
        <v/>
      </c>
      <c r="FA25">
        <f t="shared" si="26"/>
        <v>0</v>
      </c>
      <c r="FB25">
        <f>IF(FA25=0,0,1+COUNTIF(FB$3:FB24,"&gt;0"))</f>
        <v>0</v>
      </c>
      <c r="FC25">
        <f t="shared" si="49"/>
        <v>23</v>
      </c>
      <c r="FD25" t="str">
        <f t="shared" si="27"/>
        <v>Thunderclap</v>
      </c>
      <c r="FF25">
        <f t="shared" si="28"/>
        <v>0</v>
      </c>
      <c r="FG25">
        <f>IF(FF25=0,0,1+COUNTIF(FG$3:FG24,"&gt;0"))</f>
        <v>0</v>
      </c>
      <c r="FH25" t="str">
        <f t="shared" si="50"/>
        <v/>
      </c>
      <c r="FI25" t="str">
        <f t="shared" si="29"/>
        <v/>
      </c>
      <c r="FK25">
        <f t="shared" si="30"/>
        <v>0</v>
      </c>
      <c r="FL25">
        <f>IF(FK25=0,0,1+COUNTIF(FL$3:FL24,"&gt;0"))</f>
        <v>0</v>
      </c>
      <c r="FM25">
        <f t="shared" si="51"/>
        <v>23</v>
      </c>
      <c r="FN25" t="str">
        <f t="shared" si="31"/>
        <v>Thunderclap</v>
      </c>
      <c r="FP25">
        <f t="shared" si="32"/>
        <v>0</v>
      </c>
      <c r="FQ25">
        <f>IF(FP25=0,0,1+COUNTIF(FQ$3:FQ24,"&gt;0"))</f>
        <v>0</v>
      </c>
      <c r="FR25" t="str">
        <f t="shared" si="52"/>
        <v/>
      </c>
      <c r="FS25" t="str">
        <f t="shared" si="33"/>
        <v/>
      </c>
    </row>
    <row r="26" spans="1:175" x14ac:dyDescent="0.25">
      <c r="A26" s="347">
        <f t="shared" si="53"/>
        <v>24</v>
      </c>
      <c r="B26" s="348" t="s">
        <v>2380</v>
      </c>
      <c r="C26" s="348">
        <v>1</v>
      </c>
      <c r="D26" s="347">
        <v>1</v>
      </c>
      <c r="E26" s="627" t="s">
        <v>6952</v>
      </c>
      <c r="F26" s="346"/>
      <c r="G26" s="347" t="str">
        <f>""</f>
        <v/>
      </c>
      <c r="H26" s="347" t="s">
        <v>5912</v>
      </c>
      <c r="I26" s="347" t="s">
        <v>5060</v>
      </c>
      <c r="J26" s="347" t="str">
        <f t="shared" si="3"/>
        <v/>
      </c>
      <c r="K26" s="347" t="s">
        <v>5291</v>
      </c>
      <c r="L26" s="611" t="str">
        <f t="shared" si="4"/>
        <v>V, S, M, a drop of blood</v>
      </c>
      <c r="M26" s="347" t="s">
        <v>2373</v>
      </c>
      <c r="N26" s="347" t="s">
        <v>2387</v>
      </c>
      <c r="O26" s="347" t="s">
        <v>1244</v>
      </c>
      <c r="P26" s="346" t="s">
        <v>5306</v>
      </c>
      <c r="Q26" s="347" t="s">
        <v>5272</v>
      </c>
      <c r="S26" s="346" t="s">
        <v>5601</v>
      </c>
      <c r="T26" s="346" t="str">
        <f t="shared" si="5"/>
        <v xml:space="preserve">Bard, Cleric, Vengeance, </v>
      </c>
      <c r="U26" s="347" t="str">
        <f>$B26</f>
        <v>Bane</v>
      </c>
      <c r="Z26" s="347" t="str">
        <f>$B26</f>
        <v>Bane</v>
      </c>
      <c r="AE26" t="str">
        <f>IF(IFERROR(MATCH($B26,temp!A$4:A$13,0),0)&gt;0,T08_Spells!AE$2,"")</f>
        <v/>
      </c>
      <c r="AF26" t="str">
        <f>IF(IFERROR(MATCH($B26,temp!B$4:B$13,0),0)&gt;0,T08_Spells!AF$2,"")</f>
        <v>Vengeance</v>
      </c>
      <c r="AG26" t="str">
        <f>IF(IFERROR(MATCH($B26,temp!C$4:C$13,0),0)&gt;0,T08_Spells!AG$2,"")</f>
        <v/>
      </c>
      <c r="AH26" t="str">
        <f>IF(IFERROR(MATCH($B26,temp!D$4:D$13,0),0)&gt;0,T08_Spells!AH$2,"")</f>
        <v/>
      </c>
      <c r="AI26" t="str">
        <f>IF(IFERROR(MATCH($B26,temp!E$4:E$13,0),0)&gt;0,T08_Spells!AI$2,"")</f>
        <v/>
      </c>
      <c r="AJ26" t="str">
        <f>IF(IFERROR(MATCH($B26,temp!F$4:F$13,0),0)&gt;0,T08_Spells!AJ$2,"")</f>
        <v/>
      </c>
      <c r="AK26" t="str">
        <f>IF(IFERROR(MATCH($B26,temp!G$4:G$13,0),0)&gt;0,T08_Spells!AK$2,"")</f>
        <v/>
      </c>
      <c r="AL26" t="str">
        <f>IF(IFERROR(MATCH($B26,temp!H$4:H$13,0),0)&gt;0,T08_Spells!AL$2,"")</f>
        <v/>
      </c>
      <c r="AM26" t="str">
        <f>IF(IFERROR(MATCH($B26,temp!I$4:I$13,0),0)&gt;0,T08_Spells!AM$2,"")</f>
        <v/>
      </c>
      <c r="AN26" t="str">
        <f>IF(IFERROR(MATCH($B26,temp!J$4:J$13,0),0)&gt;0,T08_Spells!AN$2,"")</f>
        <v/>
      </c>
      <c r="AO26" t="str">
        <f>IF(IFERROR(MATCH($B26,temp!K$4:K$13,0),0)&gt;0,T08_Spells!AO$2,"")</f>
        <v/>
      </c>
      <c r="AP26" t="str">
        <f>IF(IFERROR(MATCH($B26,temp!L$4:L$13,0),0)&gt;0,T08_Spells!AP$2,"")</f>
        <v/>
      </c>
      <c r="AQ26" t="str">
        <f>IF(IFERROR(MATCH($B26,temp!M$4:M$13,0),0)&gt;0,T08_Spells!AQ$2,"")</f>
        <v/>
      </c>
      <c r="AR26" t="str">
        <f>IF(IFERROR(MATCH($B26,temp!N$4:N$13,0),0)&gt;0,T08_Spells!AR$2,"")</f>
        <v/>
      </c>
      <c r="AS26" t="str">
        <f>IF(IFERROR(MATCH($B26,temp!O$4:O$13,0),0)&gt;0,T08_Spells!AS$2,"")</f>
        <v/>
      </c>
      <c r="AT26" t="str">
        <f>IF(IFERROR(MATCH($B26,temp!P$4:P$13,0),0)&gt;0,T08_Spells!AT$2,"")</f>
        <v/>
      </c>
      <c r="AU26" t="str">
        <f>IF(IFERROR(MATCH($B26,temp!Q$4:Q$13,0),0)&gt;0,T08_Spells!AU$2,"")</f>
        <v/>
      </c>
      <c r="AV26" t="str">
        <f>IF(IFERROR(MATCH($B26,temp!R$4:R$13,0),0)&gt;0,T08_Spells!AV$2,"")</f>
        <v/>
      </c>
      <c r="AW26" t="str">
        <f>IF(IFERROR(MATCH($B26,temp!S$4:S$13,0),0)&gt;0,T08_Spells!AW$2,"")</f>
        <v/>
      </c>
      <c r="AX26" t="str">
        <f>IF(IFERROR(MATCH($B26,temp!T$4:T$13,0),0)&gt;0,T08_Spells!AX$2,"")</f>
        <v/>
      </c>
      <c r="AY26" t="str">
        <f>IF(IFERROR(MATCH($B26,temp!U$4:U$13,0),0)&gt;0,T08_Spells!AY$2,"")</f>
        <v/>
      </c>
      <c r="AZ26" t="str">
        <f>IF(IFERROR(MATCH($B26,temp!V$4:V$13,0),0)&gt;0,T08_Spells!AZ$2,"")</f>
        <v/>
      </c>
      <c r="BA26" t="str">
        <f>IF(IFERROR(MATCH($B26,temp!W$4:W$13,0),0)&gt;0,T08_Spells!BA$2,"")</f>
        <v/>
      </c>
      <c r="BC26">
        <f>IF(IFERROR(SEARCH("Ranger",$T26,1),0)&gt;0,1,0)*IF(RangerMaxSpellLevel&gt;=$C26,1,0)*IF(IFERROR(MATCH(B26,Character_Creation!$X$79:$X$382,0),0)&gt;0,0,1)</f>
        <v>0</v>
      </c>
      <c r="BD26">
        <f>IF(BC26=0,0,1+COUNTIF(BD$3:BD25,"&gt;0"))</f>
        <v>0</v>
      </c>
      <c r="BE26" t="str">
        <f t="shared" si="34"/>
        <v/>
      </c>
      <c r="BF26" t="str">
        <f t="shared" si="6"/>
        <v/>
      </c>
      <c r="BH26">
        <f>IF(IFERROR(SEARCH("Sorcerer",$T26,1),0)&gt;0,1,0)*IF(SorcererMaxSpellLevel&gt;=$C26,1,0)*IF(IFERROR(MATCH(B26,Character_Creation!$J$380:$J$394,0),0)&gt;0,0,1)</f>
        <v>0</v>
      </c>
      <c r="BI26">
        <f>IF(BH26=0,0,1+COUNTIF(BI$3:BI25,"&gt;0"))</f>
        <v>0</v>
      </c>
      <c r="BJ26" t="str">
        <f t="shared" si="35"/>
        <v/>
      </c>
      <c r="BK26" t="str">
        <f t="shared" si="7"/>
        <v/>
      </c>
      <c r="BM26">
        <f>IF(OR(IFERROR(SEARCH("Warlock",$T26,1),0)&gt;0,IFERROR(SEARCH(WarlockPatron,$T26,1),0)&gt;0),1,0)*IF(WarlockMaxSpellLevel&gt;=$C26,1,0)*IF(IFERROR(MATCH(B26,Character_Creation!$J$361:$J$375,0),0)&gt;0,0,1)</f>
        <v>0</v>
      </c>
      <c r="BN26">
        <f>IF(BM26=0,0,1+COUNTIF(BN$3:BN25,"&gt;0"))</f>
        <v>0</v>
      </c>
      <c r="BO26" t="str">
        <f t="shared" si="36"/>
        <v/>
      </c>
      <c r="BP26" t="str">
        <f t="shared" si="8"/>
        <v/>
      </c>
      <c r="BR26">
        <f>IF(IFERROR(SEARCH("Eldritch Knight",$T26,1),0)&gt;0,1,0)*IF(EldritchKnightMaxSpellLevel&gt;=$C26,1,0)*IF(IFERROR(MATCH($B26,Character_Creation!$J$350:$J$356,0),0)&gt;0,0,1)*IF(Character_Creation!$M$338&gt;0,1,0)</f>
        <v>0</v>
      </c>
      <c r="BS26">
        <f>IF(BR26=0,0,1+COUNTIF(BS$3:BS25,"&gt;0"))</f>
        <v>0</v>
      </c>
      <c r="BT26" t="str">
        <f t="shared" si="37"/>
        <v/>
      </c>
      <c r="BU26" t="str">
        <f t="shared" si="9"/>
        <v/>
      </c>
      <c r="BW26">
        <f>IF(IFERROR(SEARCH("Arcane Trickster",$T26,1),0)&gt;0,1,0)*IF(ArcaneTricksterMaxSpellLevel&gt;=$C26,1,0)*IF(IFERROR(MATCH($B26,Character_Creation!$J$350:$J$356,0),0)&gt;0,0,1)*IF(Character_Creation!$T$338&gt;0,1,0)</f>
        <v>0</v>
      </c>
      <c r="BX26">
        <f>IF(BW26=0,0,1+COUNTIF(BX$3:BX25,"&gt;0"))</f>
        <v>0</v>
      </c>
      <c r="BY26" t="str">
        <f t="shared" si="38"/>
        <v/>
      </c>
      <c r="BZ26" t="str">
        <f t="shared" si="10"/>
        <v/>
      </c>
      <c r="CB26">
        <f>IF(IFERROR(SEARCH("Wizard",$T26,1),0)&gt;0,1,0)*IF(C26&lt;=ArcaneTricksterMaxSpellLevel,1,0)*IF(IFERROR(MATCH($B26,Character_Creation!$J$350:$J$356,0),0)&gt;0,0,1)*IF(Character_Creation!$T$350&gt;0,1,0)</f>
        <v>0</v>
      </c>
      <c r="CC26">
        <f>IF(CB26=0,0,1+COUNTIF(CC$3:CC25,"&gt;0"))</f>
        <v>0</v>
      </c>
      <c r="CD26" t="str">
        <f t="shared" si="39"/>
        <v/>
      </c>
      <c r="CE26" t="str">
        <f t="shared" si="11"/>
        <v/>
      </c>
      <c r="CG26">
        <f>IF(IFERROR(SEARCH("Wizard",$T26,1),0)&gt;0,1,0)*IF($C26&lt;=EldritchKnightMaxSpellLevel,1,0)*IF(IFERROR(MATCH($B26,Character_Creation!$J$350:$J$356,0),0)&gt;0,0,1)*IF(Character_Creation!$M$350&gt;0,1,0)</f>
        <v>0</v>
      </c>
      <c r="CH26">
        <f>IF(CG26=0,0,1+COUNTIF(CH$3:CH25,"&gt;0"))</f>
        <v>0</v>
      </c>
      <c r="CI26">
        <f t="shared" si="40"/>
        <v>24</v>
      </c>
      <c r="CJ26" t="str">
        <f t="shared" si="12"/>
        <v>Flaming Sphere</v>
      </c>
      <c r="CL26">
        <f>IF(IFERROR(SEARCH("Bard",$T26,1),0)&gt;0,1,0)*IF(BardMaxSpellLevel&gt;=$C26,1,0)*IF(IFERROR(MATCH(B26,Character_Creation!$C$341:$F$362,0),0)&gt;0,0,1)*IF(IFERROR(MATCH($B26,Character_Creation!$C$341:$C$362,0),0)&gt;0,0,1)</f>
        <v>0</v>
      </c>
      <c r="CM26">
        <f>IF(CL26=0,0,1+COUNTIF(CM$3:CM25,"&gt;0"))</f>
        <v>0</v>
      </c>
      <c r="CN26" t="str">
        <f t="shared" si="41"/>
        <v/>
      </c>
      <c r="CO26" t="str">
        <f t="shared" si="13"/>
        <v/>
      </c>
      <c r="CQ26">
        <f>IF(IFERROR(SEARCH("Wizard",$T26,1),0)&gt;0,1,0)*IF(WizardMaxSpellLevel&gt;=$C26,1,0)*IF(IFERROR(MATCH(B26,Character_Creation!$X$341:$X$400,0),0)&gt;0,0,1)*IF(SelectedWizardSpellLevel=$C26,1,0)</f>
        <v>0</v>
      </c>
      <c r="CR26">
        <f>IF(CQ26=0,0,1+COUNTIF(CR$3:CR25,"&gt;0"))</f>
        <v>0</v>
      </c>
      <c r="CS26">
        <f t="shared" si="42"/>
        <v>24</v>
      </c>
      <c r="CT26" t="str">
        <f t="shared" si="14"/>
        <v>Stinking Cloud</v>
      </c>
      <c r="CV26">
        <f>IF(IFERROR(MATCH($B26,Character_Creation!$C$341:$C$362,0),0)&gt;0,0,1)*IF(OR(C26="Cantrip",C26&lt;=BardMaxSpellLevel),1,0)*IF(IFERROR(MATCH($B26,Character_Creation!$C$367:$C$374,0),0)&gt;0,0,1)</f>
        <v>0</v>
      </c>
      <c r="CW26">
        <f>IF(CV26=0,0,1+COUNTIF(CW$3:CW25,"&gt;0"))</f>
        <v>0</v>
      </c>
      <c r="CX26">
        <f t="shared" si="43"/>
        <v>24</v>
      </c>
      <c r="CY26" t="str">
        <f t="shared" si="15"/>
        <v>Thaumaturgy</v>
      </c>
      <c r="DA26">
        <f>IF(IF(OR(IFERROR(SEARCH("Cleric",$T26,1),0)&gt;0,IFERROR(SEARCH(DivineDomain&amp;",",$T26,1),0)&gt;0),1,0)*IF($C26=DA$2,1,0)=1,1+COUNTIF(DA$3:DA25,"&gt;0"),0)</f>
        <v>1</v>
      </c>
      <c r="DB26">
        <f>IF(IF(OR(IFERROR(SEARCH("Cleric",$T26,1),0)&gt;0,IFERROR(SEARCH(DivineDomain&amp;",",$T26,1),0)&gt;0),1,0)*IF($C26=DB$2,1,0)=1,1+COUNTIF(DB$3:DB25,"&gt;0"),0)</f>
        <v>0</v>
      </c>
      <c r="DC26">
        <f>IF(IF(OR(IFERROR(SEARCH("Cleric",$T26,1),0)&gt;0,IFERROR(SEARCH(DivineDomain&amp;",",$T26,1),0)&gt;0),1,0)*IF($C26=DC$2,1,0)=1,1+COUNTIF(DC$3:DC25,"&gt;0"),0)</f>
        <v>0</v>
      </c>
      <c r="DD26">
        <f>IF(IF(OR(IFERROR(SEARCH("Cleric",$T26,1),0)&gt;0,IFERROR(SEARCH(DivineDomain&amp;",",$T26,1),0)&gt;0),1,0)*IF($C26=DD$2,1,0)=1,1+COUNTIF(DD$3:DD25,"&gt;0"),0)</f>
        <v>0</v>
      </c>
      <c r="DE26">
        <f>IF(IF(OR(IFERROR(SEARCH("Cleric",$T26,1),0)&gt;0,IFERROR(SEARCH(DivineDomain&amp;",",$T26,1),0)&gt;0),1,0)*IF($C26=DE$2,1,0)=1,1+COUNTIF(DE$3:DE25,"&gt;0"),0)</f>
        <v>0</v>
      </c>
      <c r="DF26">
        <f>IF(IF(OR(IFERROR(SEARCH("Cleric",$T26,1),0)&gt;0,IFERROR(SEARCH(DivineDomain&amp;",",$T26,1),0)&gt;0),1,0)*IF($C26=DF$2,1,0)=1,1+COUNTIF(DF$3:DF25,"&gt;0"),0)</f>
        <v>0</v>
      </c>
      <c r="DG26">
        <f>IF(IF(OR(IFERROR(SEARCH("Cleric",$T26,1),0)&gt;0,IFERROR(SEARCH(DivineDomain&amp;",",$T26,1),0)&gt;0),1,0)*IF($C26=DG$2,1,0)=1,1+COUNTIF(DG$3:DG25,"&gt;0"),0)</f>
        <v>0</v>
      </c>
      <c r="DH26">
        <f>IF(IF(OR(IFERROR(SEARCH("Cleric",$T26,1),0)&gt;0,IFERROR(SEARCH(DivineDomain&amp;",",$T26,1),0)&gt;0),1,0)*IF($C26=DH$2,1,0)=1,1+COUNTIF(DH$3:DH25,"&gt;0"),0)</f>
        <v>0</v>
      </c>
      <c r="DI26">
        <f>IF(IF(OR(IFERROR(SEARCH("Cleric",$T26,1),0)&gt;0,IFERROR(SEARCH(DivineDomain&amp;",",$T26,1),0)&gt;0),1,0)*IF($C26=DI$2,1,0)=1,1+COUNTIF(DI$3:DI25,"&gt;0"),0)</f>
        <v>0</v>
      </c>
      <c r="DJ26">
        <f>IF(IF(OR(IFERROR(SEARCH("Druid",$T26,1),0)&gt;0,IFERROR(SEARCH(DruidLand1,$T26,1),0)&gt;0,IFERROR(SEARCH(DruidLand2,$T26,1),0)&gt;0,IFERROR(SEARCH(DruidLand3,$T26,1),0)&gt;0,IFERROR(SEARCH(DruidLand4,$T26,1),0)&gt;0),1,0)*IF($C26=1,1,0)*IF($C26=DJ$2,1,0)=0,0,1+COUNTIF(DJ$3:DJ25,"&gt;0"))</f>
        <v>0</v>
      </c>
      <c r="DK26">
        <f>IF(IF(OR(IFERROR(SEARCH("Druid",$T26,1),0)&gt;0,IFERROR(SEARCH(DruidLand1,$T26,1),0)&gt;0,IFERROR(SEARCH(DruidLand2,$T26,1),0)&gt;0,IFERROR(SEARCH(DruidLand3,$T26,1),0)&gt;0,IFERROR(SEARCH(DruidLand4,$T26,1),0)&gt;0),1,0)*IF($C26=1,1,0)*IF($C26=DK$2,1,0)=0,0,1+COUNTIF(DK$3:DK25,"&gt;0"))</f>
        <v>0</v>
      </c>
      <c r="DL26">
        <f>IF(IF(OR(IFERROR(SEARCH("Druid",$T26,1),0)&gt;0,IFERROR(SEARCH(DruidLand1,$T26,1),0)&gt;0,IFERROR(SEARCH(DruidLand2,$T26,1),0)&gt;0,IFERROR(SEARCH(DruidLand3,$T26,1),0)&gt;0,IFERROR(SEARCH(DruidLand4,$T26,1),0)&gt;0),1,0)*IF($C26=1,1,0)*IF($C26=DL$2,1,0)=0,0,1+COUNTIF(DL$3:DL25,"&gt;0"))</f>
        <v>0</v>
      </c>
      <c r="DM26">
        <f>IF(IF(OR(IFERROR(SEARCH("Druid",$T26,1),0)&gt;0,IFERROR(SEARCH(DruidLand1,$T26,1),0)&gt;0,IFERROR(SEARCH(DruidLand2,$T26,1),0)&gt;0,IFERROR(SEARCH(DruidLand3,$T26,1),0)&gt;0,IFERROR(SEARCH(DruidLand4,$T26,1),0)&gt;0),1,0)*IF($C26=1,1,0)*IF($C26=DM$2,1,0)=0,0,1+COUNTIF(DM$3:DM25,"&gt;0"))</f>
        <v>0</v>
      </c>
      <c r="DN26">
        <f>IF(IF(OR(IFERROR(SEARCH("Druid",$T26,1),0)&gt;0,IFERROR(SEARCH(DruidLand1,$T26,1),0)&gt;0,IFERROR(SEARCH(DruidLand2,$T26,1),0)&gt;0,IFERROR(SEARCH(DruidLand3,$T26,1),0)&gt;0,IFERROR(SEARCH(DruidLand4,$T26,1),0)&gt;0),1,0)*IF($C26=1,1,0)*IF($C26=DN$2,1,0)=0,0,1+COUNTIF(DN$3:DN25,"&gt;0"))</f>
        <v>0</v>
      </c>
      <c r="DO26">
        <f>IF(IF(OR(IFERROR(SEARCH("Druid",$T26,1),0)&gt;0,IFERROR(SEARCH(DruidLand1,$T26,1),0)&gt;0,IFERROR(SEARCH(DruidLand2,$T26,1),0)&gt;0,IFERROR(SEARCH(DruidLand3,$T26,1),0)&gt;0,IFERROR(SEARCH(DruidLand4,$T26,1),0)&gt;0),1,0)*IF($C26=1,1,0)*IF($C26=DO$2,1,0)=0,0,1+COUNTIF(DO$3:DO25,"&gt;0"))</f>
        <v>0</v>
      </c>
      <c r="DP26">
        <f>IF(IF(OR(IFERROR(SEARCH("Druid",$T26,1),0)&gt;0,IFERROR(SEARCH(DruidLand1,$T26,1),0)&gt;0,IFERROR(SEARCH(DruidLand2,$T26,1),0)&gt;0,IFERROR(SEARCH(DruidLand3,$T26,1),0)&gt;0,IFERROR(SEARCH(DruidLand4,$T26,1),0)&gt;0),1,0)*IF($C26=1,1,0)*IF($C26=DP$2,1,0)=0,0,1+COUNTIF(DP$3:DP25,"&gt;0"))</f>
        <v>0</v>
      </c>
      <c r="DQ26">
        <f>IF(IF(OR(IFERROR(SEARCH("Druid",$T26,1),0)&gt;0,IFERROR(SEARCH(DruidLand1,$T26,1),0)&gt;0,IFERROR(SEARCH(DruidLand2,$T26,1),0)&gt;0,IFERROR(SEARCH(DruidLand3,$T26,1),0)&gt;0,IFERROR(SEARCH(DruidLand4,$T26,1),0)&gt;0),1,0)*IF($C26=1,1,0)*IF($C26=DQ$2,1,0)=0,0,1+COUNTIF(DQ$3:DQ25,"&gt;0"))</f>
        <v>0</v>
      </c>
      <c r="DR26">
        <f>IF(IF(OR(IFERROR(SEARCH("Druid",$T26,1),0)&gt;0,IFERROR(SEARCH(DruidLand1,$T26,1),0)&gt;0,IFERROR(SEARCH(DruidLand2,$T26,1),0)&gt;0,IFERROR(SEARCH(DruidLand3,$T26,1),0)&gt;0,IFERROR(SEARCH(DruidLand4,$T26,1),0)&gt;0),1,0)*IF($C26=1,1,0)*IF($C26=DR$2,1,0)=0,0,1+COUNTIF(DR$3:DR25,"&gt;0"))</f>
        <v>0</v>
      </c>
      <c r="DS26">
        <f>IF(IF(OR(IFERROR(SEARCH("Paladin",$T26,1),0)&gt;0,IFERROR(SEARCH(PaladinOath,$T26,1),0)&gt;0),1,0)*IF($C26=DS$2,1,0)=1,1+COUNTIF(DS$3:DS25,"&gt;0"),0)</f>
        <v>0</v>
      </c>
      <c r="DT26">
        <f>IF(IF(OR(IFERROR(SEARCH("Paladin",$T26,1),0)&gt;0,IFERROR(SEARCH(PaladinOath,$T26,1),0)&gt;0),1,0)*IF($C26=DT$2,1,0)=1,1+COUNTIF(DT$3:DT25,"&gt;0"),0)</f>
        <v>0</v>
      </c>
      <c r="DU26">
        <f>IF(IF(OR(IFERROR(SEARCH("Paladin",$T26,1),0)&gt;0,IFERROR(SEARCH(PaladinOath,$T26,1),0)&gt;0),1,0)*IF($C26=DU$2,1,0)=1,1+COUNTIF(DU$3:DU25,"&gt;0"),0)</f>
        <v>0</v>
      </c>
      <c r="DV26">
        <f>IF(IF(OR(IFERROR(SEARCH("Paladin",$T26,1),0)&gt;0,IFERROR(SEARCH(PaladinOath,$T26,1),0)&gt;0),1,0)*IF($C26=DV$2,1,0)=1,1+COUNTIF(DV$3:DV25,"&gt;0"),0)</f>
        <v>0</v>
      </c>
      <c r="DW26">
        <f>IF(IF(OR(IFERROR(SEARCH("Paladin",$T26,1),0)&gt;0,IFERROR(SEARCH(PaladinOath,$T26,1),0)&gt;0),1,0)*IF($C26=DW$2,1,0)=1,1+COUNTIF(DW$3:DW25,"&gt;0"),0)</f>
        <v>0</v>
      </c>
      <c r="DY26">
        <f t="shared" si="2"/>
        <v>1</v>
      </c>
      <c r="DZ26">
        <f>IF(DY26=0,0,1+MAX(DZ$3:$DZ25))</f>
        <v>24</v>
      </c>
      <c r="EB26">
        <f t="shared" si="16"/>
        <v>0</v>
      </c>
      <c r="EC26">
        <f>IF(EB26=0,0,1+COUNTIF(EC$3:EC25,"&gt;0"))</f>
        <v>0</v>
      </c>
      <c r="ED26" t="str">
        <f t="shared" si="44"/>
        <v/>
      </c>
      <c r="EE26" t="str">
        <f t="shared" si="17"/>
        <v/>
      </c>
      <c r="EG26">
        <f t="shared" si="18"/>
        <v>0</v>
      </c>
      <c r="EH26">
        <f>IF(EG26=0,0,1+COUNTIF(EH$3:EH25,"&gt;0"))</f>
        <v>0</v>
      </c>
      <c r="EI26" t="str">
        <f t="shared" si="45"/>
        <v/>
      </c>
      <c r="EJ26" t="str">
        <f t="shared" si="19"/>
        <v/>
      </c>
      <c r="EL26">
        <f t="shared" si="20"/>
        <v>0</v>
      </c>
      <c r="EM26">
        <f>IF(EL26=0,0,1+COUNTIF(EM$3:EM25,"&gt;0"))</f>
        <v>0</v>
      </c>
      <c r="EN26" t="str">
        <f t="shared" si="46"/>
        <v/>
      </c>
      <c r="EO26" t="str">
        <f t="shared" si="21"/>
        <v/>
      </c>
      <c r="EQ26">
        <f t="shared" si="22"/>
        <v>0</v>
      </c>
      <c r="ER26">
        <f>IF(EQ26=0,0,1+COUNTIF(ER$3:ER25,"&gt;0"))</f>
        <v>0</v>
      </c>
      <c r="ES26" t="str">
        <f t="shared" si="47"/>
        <v/>
      </c>
      <c r="ET26" t="str">
        <f t="shared" si="23"/>
        <v/>
      </c>
      <c r="EV26">
        <f t="shared" si="24"/>
        <v>0</v>
      </c>
      <c r="EW26">
        <f>IF(EV26=0,0,1+COUNTIF(EW$3:EW25,"&gt;0"))</f>
        <v>0</v>
      </c>
      <c r="EX26" t="str">
        <f t="shared" si="48"/>
        <v/>
      </c>
      <c r="EY26" t="str">
        <f t="shared" si="25"/>
        <v/>
      </c>
      <c r="FA26">
        <f t="shared" si="26"/>
        <v>0</v>
      </c>
      <c r="FB26">
        <f>IF(FA26=0,0,1+COUNTIF(FB$3:FB25,"&gt;0"))</f>
        <v>0</v>
      </c>
      <c r="FC26" t="str">
        <f t="shared" si="49"/>
        <v/>
      </c>
      <c r="FD26" t="str">
        <f t="shared" si="27"/>
        <v/>
      </c>
      <c r="FF26">
        <f t="shared" si="28"/>
        <v>0</v>
      </c>
      <c r="FG26">
        <f>IF(FF26=0,0,1+COUNTIF(FG$3:FG25,"&gt;0"))</f>
        <v>0</v>
      </c>
      <c r="FH26" t="str">
        <f t="shared" si="50"/>
        <v/>
      </c>
      <c r="FI26" t="str">
        <f t="shared" si="29"/>
        <v/>
      </c>
      <c r="FK26">
        <f t="shared" si="30"/>
        <v>0</v>
      </c>
      <c r="FL26">
        <f>IF(FK26=0,0,1+COUNTIF(FL$3:FL25,"&gt;0"))</f>
        <v>0</v>
      </c>
      <c r="FM26" t="str">
        <f t="shared" si="51"/>
        <v/>
      </c>
      <c r="FN26" t="str">
        <f t="shared" si="31"/>
        <v/>
      </c>
      <c r="FP26">
        <f t="shared" si="32"/>
        <v>0</v>
      </c>
      <c r="FQ26">
        <f>IF(FP26=0,0,1+COUNTIF(FQ$3:FQ25,"&gt;0"))</f>
        <v>0</v>
      </c>
      <c r="FR26" t="str">
        <f t="shared" si="52"/>
        <v/>
      </c>
      <c r="FS26" t="str">
        <f t="shared" si="33"/>
        <v/>
      </c>
    </row>
    <row r="27" spans="1:175" x14ac:dyDescent="0.25">
      <c r="A27" s="347">
        <f t="shared" si="53"/>
        <v>25</v>
      </c>
      <c r="B27" s="348" t="s">
        <v>2381</v>
      </c>
      <c r="C27" s="348">
        <v>5</v>
      </c>
      <c r="D27" s="347">
        <v>5</v>
      </c>
      <c r="E27" s="627" t="s">
        <v>6952</v>
      </c>
      <c r="F27" s="346"/>
      <c r="G27" s="347" t="str">
        <f>""</f>
        <v/>
      </c>
      <c r="H27" s="347" t="s">
        <v>5918</v>
      </c>
      <c r="I27" s="347" t="s">
        <v>5283</v>
      </c>
      <c r="J27" s="347" t="str">
        <f t="shared" si="3"/>
        <v/>
      </c>
      <c r="K27" s="347" t="s">
        <v>5291</v>
      </c>
      <c r="L27" s="611" t="str">
        <f t="shared" si="4"/>
        <v>V</v>
      </c>
      <c r="M27" s="347" t="s">
        <v>2373</v>
      </c>
      <c r="N27" s="347" t="s">
        <v>3034</v>
      </c>
      <c r="O27" s="347" t="s">
        <v>3034</v>
      </c>
      <c r="P27" s="346" t="str">
        <f>""</f>
        <v/>
      </c>
      <c r="Q27" s="347" t="s">
        <v>5270</v>
      </c>
      <c r="S27" s="346" t="s">
        <v>5307</v>
      </c>
      <c r="T27" s="346" t="str">
        <f t="shared" si="5"/>
        <v xml:space="preserve">Paladin, </v>
      </c>
      <c r="V27" s="347" t="str">
        <f>$B27</f>
        <v>Banishing Smite</v>
      </c>
      <c r="AE27" t="str">
        <f>IF(IFERROR(MATCH($B27,temp!A$4:A$13,0),0)&gt;0,T08_Spells!AE$2,"")</f>
        <v/>
      </c>
      <c r="AF27" t="str">
        <f>IF(IFERROR(MATCH($B27,temp!B$4:B$13,0),0)&gt;0,T08_Spells!AF$2,"")</f>
        <v/>
      </c>
      <c r="AG27" t="str">
        <f>IF(IFERROR(MATCH($B27,temp!C$4:C$13,0),0)&gt;0,T08_Spells!AG$2,"")</f>
        <v/>
      </c>
      <c r="AH27" t="str">
        <f>IF(IFERROR(MATCH($B27,temp!D$4:D$13,0),0)&gt;0,T08_Spells!AH$2,"")</f>
        <v/>
      </c>
      <c r="AI27" t="str">
        <f>IF(IFERROR(MATCH($B27,temp!E$4:E$13,0),0)&gt;0,T08_Spells!AI$2,"")</f>
        <v/>
      </c>
      <c r="AJ27" t="str">
        <f>IF(IFERROR(MATCH($B27,temp!F$4:F$13,0),0)&gt;0,T08_Spells!AJ$2,"")</f>
        <v/>
      </c>
      <c r="AK27" t="str">
        <f>IF(IFERROR(MATCH($B27,temp!G$4:G$13,0),0)&gt;0,T08_Spells!AK$2,"")</f>
        <v/>
      </c>
      <c r="AL27" t="str">
        <f>IF(IFERROR(MATCH($B27,temp!H$4:H$13,0),0)&gt;0,T08_Spells!AL$2,"")</f>
        <v/>
      </c>
      <c r="AM27" t="str">
        <f>IF(IFERROR(MATCH($B27,temp!I$4:I$13,0),0)&gt;0,T08_Spells!AM$2,"")</f>
        <v/>
      </c>
      <c r="AN27" t="str">
        <f>IF(IFERROR(MATCH($B27,temp!J$4:J$13,0),0)&gt;0,T08_Spells!AN$2,"")</f>
        <v/>
      </c>
      <c r="AO27" t="str">
        <f>IF(IFERROR(MATCH($B27,temp!K$4:K$13,0),0)&gt;0,T08_Spells!AO$2,"")</f>
        <v/>
      </c>
      <c r="AP27" t="str">
        <f>IF(IFERROR(MATCH($B27,temp!L$4:L$13,0),0)&gt;0,T08_Spells!AP$2,"")</f>
        <v/>
      </c>
      <c r="AQ27" t="str">
        <f>IF(IFERROR(MATCH($B27,temp!M$4:M$13,0),0)&gt;0,T08_Spells!AQ$2,"")</f>
        <v/>
      </c>
      <c r="AR27" t="str">
        <f>IF(IFERROR(MATCH($B27,temp!N$4:N$13,0),0)&gt;0,T08_Spells!AR$2,"")</f>
        <v/>
      </c>
      <c r="AS27" t="str">
        <f>IF(IFERROR(MATCH($B27,temp!O$4:O$13,0),0)&gt;0,T08_Spells!AS$2,"")</f>
        <v/>
      </c>
      <c r="AT27" t="str">
        <f>IF(IFERROR(MATCH($B27,temp!P$4:P$13,0),0)&gt;0,T08_Spells!AT$2,"")</f>
        <v/>
      </c>
      <c r="AU27" t="str">
        <f>IF(IFERROR(MATCH($B27,temp!Q$4:Q$13,0),0)&gt;0,T08_Spells!AU$2,"")</f>
        <v/>
      </c>
      <c r="AV27" t="str">
        <f>IF(IFERROR(MATCH($B27,temp!R$4:R$13,0),0)&gt;0,T08_Spells!AV$2,"")</f>
        <v/>
      </c>
      <c r="AW27" t="str">
        <f>IF(IFERROR(MATCH($B27,temp!S$4:S$13,0),0)&gt;0,T08_Spells!AW$2,"")</f>
        <v/>
      </c>
      <c r="AX27" t="str">
        <f>IF(IFERROR(MATCH($B27,temp!T$4:T$13,0),0)&gt;0,T08_Spells!AX$2,"")</f>
        <v/>
      </c>
      <c r="AY27" t="str">
        <f>IF(IFERROR(MATCH($B27,temp!U$4:U$13,0),0)&gt;0,T08_Spells!AY$2,"")</f>
        <v/>
      </c>
      <c r="AZ27" t="str">
        <f>IF(IFERROR(MATCH($B27,temp!V$4:V$13,0),0)&gt;0,T08_Spells!AZ$2,"")</f>
        <v/>
      </c>
      <c r="BA27" t="str">
        <f>IF(IFERROR(MATCH($B27,temp!W$4:W$13,0),0)&gt;0,T08_Spells!BA$2,"")</f>
        <v/>
      </c>
      <c r="BC27">
        <f>IF(IFERROR(SEARCH("Ranger",$T27,1),0)&gt;0,1,0)*IF(RangerMaxSpellLevel&gt;=$C27,1,0)*IF(IFERROR(MATCH(B27,Character_Creation!$X$79:$X$382,0),0)&gt;0,0,1)</f>
        <v>0</v>
      </c>
      <c r="BD27">
        <f>IF(BC27=0,0,1+COUNTIF(BD$3:BD26,"&gt;0"))</f>
        <v>0</v>
      </c>
      <c r="BE27" t="str">
        <f t="shared" si="34"/>
        <v/>
      </c>
      <c r="BF27" t="str">
        <f t="shared" si="6"/>
        <v/>
      </c>
      <c r="BH27">
        <f>IF(IFERROR(SEARCH("Sorcerer",$T27,1),0)&gt;0,1,0)*IF(SorcererMaxSpellLevel&gt;=$C27,1,0)*IF(IFERROR(MATCH(B27,Character_Creation!$J$380:$J$394,0),0)&gt;0,0,1)</f>
        <v>0</v>
      </c>
      <c r="BI27">
        <f>IF(BH27=0,0,1+COUNTIF(BI$3:BI26,"&gt;0"))</f>
        <v>0</v>
      </c>
      <c r="BJ27" t="str">
        <f t="shared" si="35"/>
        <v/>
      </c>
      <c r="BK27" t="str">
        <f t="shared" si="7"/>
        <v/>
      </c>
      <c r="BM27">
        <f>IF(OR(IFERROR(SEARCH("Warlock",$T27,1),0)&gt;0,IFERROR(SEARCH(WarlockPatron,$T27,1),0)&gt;0),1,0)*IF(WarlockMaxSpellLevel&gt;=$C27,1,0)*IF(IFERROR(MATCH(B27,Character_Creation!$J$361:$J$375,0),0)&gt;0,0,1)</f>
        <v>0</v>
      </c>
      <c r="BN27">
        <f>IF(BM27=0,0,1+COUNTIF(BN$3:BN26,"&gt;0"))</f>
        <v>0</v>
      </c>
      <c r="BO27" t="str">
        <f t="shared" si="36"/>
        <v/>
      </c>
      <c r="BP27" t="str">
        <f t="shared" si="8"/>
        <v/>
      </c>
      <c r="BR27">
        <f>IF(IFERROR(SEARCH("Eldritch Knight",$T27,1),0)&gt;0,1,0)*IF(EldritchKnightMaxSpellLevel&gt;=$C27,1,0)*IF(IFERROR(MATCH($B27,Character_Creation!$J$350:$J$356,0),0)&gt;0,0,1)*IF(Character_Creation!$M$338&gt;0,1,0)</f>
        <v>0</v>
      </c>
      <c r="BS27">
        <f>IF(BR27=0,0,1+COUNTIF(BS$3:BS26,"&gt;0"))</f>
        <v>0</v>
      </c>
      <c r="BT27" t="str">
        <f t="shared" si="37"/>
        <v/>
      </c>
      <c r="BU27" t="str">
        <f t="shared" si="9"/>
        <v/>
      </c>
      <c r="BW27">
        <f>IF(IFERROR(SEARCH("Arcane Trickster",$T27,1),0)&gt;0,1,0)*IF(ArcaneTricksterMaxSpellLevel&gt;=$C27,1,0)*IF(IFERROR(MATCH($B27,Character_Creation!$J$350:$J$356,0),0)&gt;0,0,1)*IF(Character_Creation!$T$338&gt;0,1,0)</f>
        <v>0</v>
      </c>
      <c r="BX27">
        <f>IF(BW27=0,0,1+COUNTIF(BX$3:BX26,"&gt;0"))</f>
        <v>0</v>
      </c>
      <c r="BY27" t="str">
        <f t="shared" si="38"/>
        <v/>
      </c>
      <c r="BZ27" t="str">
        <f t="shared" si="10"/>
        <v/>
      </c>
      <c r="CB27">
        <f>IF(IFERROR(SEARCH("Wizard",$T27,1),0)&gt;0,1,0)*IF(C27&lt;=ArcaneTricksterMaxSpellLevel,1,0)*IF(IFERROR(MATCH($B27,Character_Creation!$J$350:$J$356,0),0)&gt;0,0,1)*IF(Character_Creation!$T$350&gt;0,1,0)</f>
        <v>0</v>
      </c>
      <c r="CC27">
        <f>IF(CB27=0,0,1+COUNTIF(CC$3:CC26,"&gt;0"))</f>
        <v>0</v>
      </c>
      <c r="CD27" t="str">
        <f t="shared" si="39"/>
        <v/>
      </c>
      <c r="CE27" t="str">
        <f t="shared" si="11"/>
        <v/>
      </c>
      <c r="CG27">
        <f>IF(IFERROR(SEARCH("Wizard",$T27,1),0)&gt;0,1,0)*IF($C27&lt;=EldritchKnightMaxSpellLevel,1,0)*IF(IFERROR(MATCH($B27,Character_Creation!$J$350:$J$356,0),0)&gt;0,0,1)*IF(Character_Creation!$M$350&gt;0,1,0)</f>
        <v>0</v>
      </c>
      <c r="CH27">
        <f>IF(CG27=0,0,1+COUNTIF(CH$3:CH26,"&gt;0"))</f>
        <v>0</v>
      </c>
      <c r="CI27">
        <f t="shared" si="40"/>
        <v>25</v>
      </c>
      <c r="CJ27" t="str">
        <f t="shared" si="12"/>
        <v>Fog Cloud</v>
      </c>
      <c r="CL27">
        <f>IF(IFERROR(SEARCH("Bard",$T27,1),0)&gt;0,1,0)*IF(BardMaxSpellLevel&gt;=$C27,1,0)*IF(IFERROR(MATCH(B27,Character_Creation!$C$341:$F$362,0),0)&gt;0,0,1)*IF(IFERROR(MATCH($B27,Character_Creation!$C$341:$C$362,0),0)&gt;0,0,1)</f>
        <v>0</v>
      </c>
      <c r="CM27">
        <f>IF(CL27=0,0,1+COUNTIF(CM$3:CM26,"&gt;0"))</f>
        <v>0</v>
      </c>
      <c r="CN27" t="str">
        <f t="shared" si="41"/>
        <v/>
      </c>
      <c r="CO27" t="str">
        <f t="shared" si="13"/>
        <v/>
      </c>
      <c r="CQ27">
        <f>IF(IFERROR(SEARCH("Wizard",$T27,1),0)&gt;0,1,0)*IF(WizardMaxSpellLevel&gt;=$C27,1,0)*IF(IFERROR(MATCH(B27,Character_Creation!$X$341:$X$400,0),0)&gt;0,0,1)*IF(SelectedWizardSpellLevel=$C27,1,0)</f>
        <v>0</v>
      </c>
      <c r="CR27">
        <f>IF(CQ27=0,0,1+COUNTIF(CR$3:CR26,"&gt;0"))</f>
        <v>0</v>
      </c>
      <c r="CS27">
        <f t="shared" si="42"/>
        <v>25</v>
      </c>
      <c r="CT27" t="str">
        <f t="shared" si="14"/>
        <v>Tongues</v>
      </c>
      <c r="CV27">
        <f>IF(IFERROR(MATCH($B27,Character_Creation!$C$341:$C$362,0),0)&gt;0,0,1)*IF(OR(C27="Cantrip",C27&lt;=BardMaxSpellLevel),1,0)*IF(IFERROR(MATCH($B27,Character_Creation!$C$367:$C$374,0),0)&gt;0,0,1)</f>
        <v>0</v>
      </c>
      <c r="CW27">
        <f>IF(CV27=0,0,1+COUNTIF(CW$3:CW26,"&gt;0"))</f>
        <v>0</v>
      </c>
      <c r="CX27">
        <f t="shared" si="43"/>
        <v>25</v>
      </c>
      <c r="CY27" t="str">
        <f t="shared" si="15"/>
        <v>Thorn Whip</v>
      </c>
      <c r="DA27">
        <f>IF(IF(OR(IFERROR(SEARCH("Cleric",$T27,1),0)&gt;0,IFERROR(SEARCH(DivineDomain&amp;",",$T27,1),0)&gt;0),1,0)*IF($C27=DA$2,1,0)=1,1+COUNTIF(DA$3:DA26,"&gt;0"),0)</f>
        <v>0</v>
      </c>
      <c r="DB27">
        <f>IF(IF(OR(IFERROR(SEARCH("Cleric",$T27,1),0)&gt;0,IFERROR(SEARCH(DivineDomain&amp;",",$T27,1),0)&gt;0),1,0)*IF($C27=DB$2,1,0)=1,1+COUNTIF(DB$3:DB26,"&gt;0"),0)</f>
        <v>0</v>
      </c>
      <c r="DC27">
        <f>IF(IF(OR(IFERROR(SEARCH("Cleric",$T27,1),0)&gt;0,IFERROR(SEARCH(DivineDomain&amp;",",$T27,1),0)&gt;0),1,0)*IF($C27=DC$2,1,0)=1,1+COUNTIF(DC$3:DC26,"&gt;0"),0)</f>
        <v>0</v>
      </c>
      <c r="DD27">
        <f>IF(IF(OR(IFERROR(SEARCH("Cleric",$T27,1),0)&gt;0,IFERROR(SEARCH(DivineDomain&amp;",",$T27,1),0)&gt;0),1,0)*IF($C27=DD$2,1,0)=1,1+COUNTIF(DD$3:DD26,"&gt;0"),0)</f>
        <v>0</v>
      </c>
      <c r="DE27">
        <f>IF(IF(OR(IFERROR(SEARCH("Cleric",$T27,1),0)&gt;0,IFERROR(SEARCH(DivineDomain&amp;",",$T27,1),0)&gt;0),1,0)*IF($C27=DE$2,1,0)=1,1+COUNTIF(DE$3:DE26,"&gt;0"),0)</f>
        <v>0</v>
      </c>
      <c r="DF27">
        <f>IF(IF(OR(IFERROR(SEARCH("Cleric",$T27,1),0)&gt;0,IFERROR(SEARCH(DivineDomain&amp;",",$T27,1),0)&gt;0),1,0)*IF($C27=DF$2,1,0)=1,1+COUNTIF(DF$3:DF26,"&gt;0"),0)</f>
        <v>0</v>
      </c>
      <c r="DG27">
        <f>IF(IF(OR(IFERROR(SEARCH("Cleric",$T27,1),0)&gt;0,IFERROR(SEARCH(DivineDomain&amp;",",$T27,1),0)&gt;0),1,0)*IF($C27=DG$2,1,0)=1,1+COUNTIF(DG$3:DG26,"&gt;0"),0)</f>
        <v>0</v>
      </c>
      <c r="DH27">
        <f>IF(IF(OR(IFERROR(SEARCH("Cleric",$T27,1),0)&gt;0,IFERROR(SEARCH(DivineDomain&amp;",",$T27,1),0)&gt;0),1,0)*IF($C27=DH$2,1,0)=1,1+COUNTIF(DH$3:DH26,"&gt;0"),0)</f>
        <v>0</v>
      </c>
      <c r="DI27">
        <f>IF(IF(OR(IFERROR(SEARCH("Cleric",$T27,1),0)&gt;0,IFERROR(SEARCH(DivineDomain&amp;",",$T27,1),0)&gt;0),1,0)*IF($C27=DI$2,1,0)=1,1+COUNTIF(DI$3:DI26,"&gt;0"),0)</f>
        <v>0</v>
      </c>
      <c r="DJ27">
        <f>IF(IF(OR(IFERROR(SEARCH("Druid",$T27,1),0)&gt;0,IFERROR(SEARCH(DruidLand1,$T27,1),0)&gt;0,IFERROR(SEARCH(DruidLand2,$T27,1),0)&gt;0,IFERROR(SEARCH(DruidLand3,$T27,1),0)&gt;0,IFERROR(SEARCH(DruidLand4,$T27,1),0)&gt;0),1,0)*IF($C27=1,1,0)*IF($C27=DJ$2,1,0)=0,0,1+COUNTIF(DJ$3:DJ26,"&gt;0"))</f>
        <v>0</v>
      </c>
      <c r="DK27">
        <f>IF(IF(OR(IFERROR(SEARCH("Druid",$T27,1),0)&gt;0,IFERROR(SEARCH(DruidLand1,$T27,1),0)&gt;0,IFERROR(SEARCH(DruidLand2,$T27,1),0)&gt;0,IFERROR(SEARCH(DruidLand3,$T27,1),0)&gt;0,IFERROR(SEARCH(DruidLand4,$T27,1),0)&gt;0),1,0)*IF($C27=1,1,0)*IF($C27=DK$2,1,0)=0,0,1+COUNTIF(DK$3:DK26,"&gt;0"))</f>
        <v>0</v>
      </c>
      <c r="DL27">
        <f>IF(IF(OR(IFERROR(SEARCH("Druid",$T27,1),0)&gt;0,IFERROR(SEARCH(DruidLand1,$T27,1),0)&gt;0,IFERROR(SEARCH(DruidLand2,$T27,1),0)&gt;0,IFERROR(SEARCH(DruidLand3,$T27,1),0)&gt;0,IFERROR(SEARCH(DruidLand4,$T27,1),0)&gt;0),1,0)*IF($C27=1,1,0)*IF($C27=DL$2,1,0)=0,0,1+COUNTIF(DL$3:DL26,"&gt;0"))</f>
        <v>0</v>
      </c>
      <c r="DM27">
        <f>IF(IF(OR(IFERROR(SEARCH("Druid",$T27,1),0)&gt;0,IFERROR(SEARCH(DruidLand1,$T27,1),0)&gt;0,IFERROR(SEARCH(DruidLand2,$T27,1),0)&gt;0,IFERROR(SEARCH(DruidLand3,$T27,1),0)&gt;0,IFERROR(SEARCH(DruidLand4,$T27,1),0)&gt;0),1,0)*IF($C27=1,1,0)*IF($C27=DM$2,1,0)=0,0,1+COUNTIF(DM$3:DM26,"&gt;0"))</f>
        <v>0</v>
      </c>
      <c r="DN27">
        <f>IF(IF(OR(IFERROR(SEARCH("Druid",$T27,1),0)&gt;0,IFERROR(SEARCH(DruidLand1,$T27,1),0)&gt;0,IFERROR(SEARCH(DruidLand2,$T27,1),0)&gt;0,IFERROR(SEARCH(DruidLand3,$T27,1),0)&gt;0,IFERROR(SEARCH(DruidLand4,$T27,1),0)&gt;0),1,0)*IF($C27=1,1,0)*IF($C27=DN$2,1,0)=0,0,1+COUNTIF(DN$3:DN26,"&gt;0"))</f>
        <v>0</v>
      </c>
      <c r="DO27">
        <f>IF(IF(OR(IFERROR(SEARCH("Druid",$T27,1),0)&gt;0,IFERROR(SEARCH(DruidLand1,$T27,1),0)&gt;0,IFERROR(SEARCH(DruidLand2,$T27,1),0)&gt;0,IFERROR(SEARCH(DruidLand3,$T27,1),0)&gt;0,IFERROR(SEARCH(DruidLand4,$T27,1),0)&gt;0),1,0)*IF($C27=1,1,0)*IF($C27=DO$2,1,0)=0,0,1+COUNTIF(DO$3:DO26,"&gt;0"))</f>
        <v>0</v>
      </c>
      <c r="DP27">
        <f>IF(IF(OR(IFERROR(SEARCH("Druid",$T27,1),0)&gt;0,IFERROR(SEARCH(DruidLand1,$T27,1),0)&gt;0,IFERROR(SEARCH(DruidLand2,$T27,1),0)&gt;0,IFERROR(SEARCH(DruidLand3,$T27,1),0)&gt;0,IFERROR(SEARCH(DruidLand4,$T27,1),0)&gt;0),1,0)*IF($C27=1,1,0)*IF($C27=DP$2,1,0)=0,0,1+COUNTIF(DP$3:DP26,"&gt;0"))</f>
        <v>0</v>
      </c>
      <c r="DQ27">
        <f>IF(IF(OR(IFERROR(SEARCH("Druid",$T27,1),0)&gt;0,IFERROR(SEARCH(DruidLand1,$T27,1),0)&gt;0,IFERROR(SEARCH(DruidLand2,$T27,1),0)&gt;0,IFERROR(SEARCH(DruidLand3,$T27,1),0)&gt;0,IFERROR(SEARCH(DruidLand4,$T27,1),0)&gt;0),1,0)*IF($C27=1,1,0)*IF($C27=DQ$2,1,0)=0,0,1+COUNTIF(DQ$3:DQ26,"&gt;0"))</f>
        <v>0</v>
      </c>
      <c r="DR27">
        <f>IF(IF(OR(IFERROR(SEARCH("Druid",$T27,1),0)&gt;0,IFERROR(SEARCH(DruidLand1,$T27,1),0)&gt;0,IFERROR(SEARCH(DruidLand2,$T27,1),0)&gt;0,IFERROR(SEARCH(DruidLand3,$T27,1),0)&gt;0,IFERROR(SEARCH(DruidLand4,$T27,1),0)&gt;0),1,0)*IF($C27=1,1,0)*IF($C27=DR$2,1,0)=0,0,1+COUNTIF(DR$3:DR26,"&gt;0"))</f>
        <v>0</v>
      </c>
      <c r="DS27">
        <f>IF(IF(OR(IFERROR(SEARCH("Paladin",$T27,1),0)&gt;0,IFERROR(SEARCH(PaladinOath,$T27,1),0)&gt;0),1,0)*IF($C27=DS$2,1,0)=1,1+COUNTIF(DS$3:DS26,"&gt;0"),0)</f>
        <v>0</v>
      </c>
      <c r="DT27">
        <f>IF(IF(OR(IFERROR(SEARCH("Paladin",$T27,1),0)&gt;0,IFERROR(SEARCH(PaladinOath,$T27,1),0)&gt;0),1,0)*IF($C27=DT$2,1,0)=1,1+COUNTIF(DT$3:DT26,"&gt;0"),0)</f>
        <v>0</v>
      </c>
      <c r="DU27">
        <f>IF(IF(OR(IFERROR(SEARCH("Paladin",$T27,1),0)&gt;0,IFERROR(SEARCH(PaladinOath,$T27,1),0)&gt;0),1,0)*IF($C27=DU$2,1,0)=1,1+COUNTIF(DU$3:DU26,"&gt;0"),0)</f>
        <v>0</v>
      </c>
      <c r="DV27">
        <f>IF(IF(OR(IFERROR(SEARCH("Paladin",$T27,1),0)&gt;0,IFERROR(SEARCH(PaladinOath,$T27,1),0)&gt;0),1,0)*IF($C27=DV$2,1,0)=1,1+COUNTIF(DV$3:DV26,"&gt;0"),0)</f>
        <v>0</v>
      </c>
      <c r="DW27">
        <f>IF(IF(OR(IFERROR(SEARCH("Paladin",$T27,1),0)&gt;0,IFERROR(SEARCH(PaladinOath,$T27,1),0)&gt;0),1,0)*IF($C27=DW$2,1,0)=1,1+COUNTIF(DW$3:DW26,"&gt;0"),0)</f>
        <v>1</v>
      </c>
      <c r="DY27">
        <f t="shared" si="2"/>
        <v>1</v>
      </c>
      <c r="DZ27">
        <f>IF(DY27=0,0,1+MAX(DZ$3:$DZ26))</f>
        <v>25</v>
      </c>
      <c r="EB27">
        <f t="shared" si="16"/>
        <v>0</v>
      </c>
      <c r="EC27">
        <f>IF(EB27=0,0,1+COUNTIF(EC$3:EC26,"&gt;0"))</f>
        <v>0</v>
      </c>
      <c r="ED27" t="str">
        <f t="shared" si="44"/>
        <v/>
      </c>
      <c r="EE27" t="str">
        <f t="shared" si="17"/>
        <v/>
      </c>
      <c r="EG27">
        <f t="shared" si="18"/>
        <v>0</v>
      </c>
      <c r="EH27">
        <f>IF(EG27=0,0,1+COUNTIF(EH$3:EH26,"&gt;0"))</f>
        <v>0</v>
      </c>
      <c r="EI27" t="str">
        <f t="shared" si="45"/>
        <v/>
      </c>
      <c r="EJ27" t="str">
        <f t="shared" si="19"/>
        <v/>
      </c>
      <c r="EL27">
        <f t="shared" si="20"/>
        <v>0</v>
      </c>
      <c r="EM27">
        <f>IF(EL27=0,0,1+COUNTIF(EM$3:EM26,"&gt;0"))</f>
        <v>0</v>
      </c>
      <c r="EN27" t="str">
        <f t="shared" si="46"/>
        <v/>
      </c>
      <c r="EO27" t="str">
        <f t="shared" si="21"/>
        <v/>
      </c>
      <c r="EQ27">
        <f t="shared" si="22"/>
        <v>0</v>
      </c>
      <c r="ER27">
        <f>IF(EQ27=0,0,1+COUNTIF(ER$3:ER26,"&gt;0"))</f>
        <v>0</v>
      </c>
      <c r="ES27" t="str">
        <f t="shared" si="47"/>
        <v/>
      </c>
      <c r="ET27" t="str">
        <f t="shared" si="23"/>
        <v/>
      </c>
      <c r="EV27">
        <f t="shared" si="24"/>
        <v>0</v>
      </c>
      <c r="EW27">
        <f>IF(EV27=0,0,1+COUNTIF(EW$3:EW26,"&gt;0"))</f>
        <v>0</v>
      </c>
      <c r="EX27" t="str">
        <f t="shared" si="48"/>
        <v/>
      </c>
      <c r="EY27" t="str">
        <f t="shared" si="25"/>
        <v/>
      </c>
      <c r="FA27">
        <f t="shared" si="26"/>
        <v>0</v>
      </c>
      <c r="FB27">
        <f>IF(FA27=0,0,1+COUNTIF(FB$3:FB26,"&gt;0"))</f>
        <v>0</v>
      </c>
      <c r="FC27" t="str">
        <f t="shared" si="49"/>
        <v/>
      </c>
      <c r="FD27" t="str">
        <f t="shared" si="27"/>
        <v/>
      </c>
      <c r="FF27">
        <f t="shared" si="28"/>
        <v>0</v>
      </c>
      <c r="FG27">
        <f>IF(FF27=0,0,1+COUNTIF(FG$3:FG26,"&gt;0"))</f>
        <v>0</v>
      </c>
      <c r="FH27" t="str">
        <f t="shared" si="50"/>
        <v/>
      </c>
      <c r="FI27" t="str">
        <f t="shared" si="29"/>
        <v/>
      </c>
      <c r="FK27">
        <f t="shared" si="30"/>
        <v>0</v>
      </c>
      <c r="FL27">
        <f>IF(FK27=0,0,1+COUNTIF(FL$3:FL26,"&gt;0"))</f>
        <v>0</v>
      </c>
      <c r="FM27" t="str">
        <f t="shared" si="51"/>
        <v/>
      </c>
      <c r="FN27" t="str">
        <f t="shared" si="31"/>
        <v/>
      </c>
      <c r="FP27">
        <f t="shared" si="32"/>
        <v>0</v>
      </c>
      <c r="FQ27">
        <f>IF(FP27=0,0,1+COUNTIF(FQ$3:FQ26,"&gt;0"))</f>
        <v>0</v>
      </c>
      <c r="FR27" t="str">
        <f t="shared" si="52"/>
        <v/>
      </c>
      <c r="FS27" t="str">
        <f t="shared" si="33"/>
        <v/>
      </c>
    </row>
    <row r="28" spans="1:175" x14ac:dyDescent="0.25">
      <c r="A28" s="347">
        <f t="shared" si="53"/>
        <v>26</v>
      </c>
      <c r="B28" s="348" t="s">
        <v>2382</v>
      </c>
      <c r="C28" s="348">
        <v>4</v>
      </c>
      <c r="D28" s="347">
        <v>4</v>
      </c>
      <c r="E28" s="627" t="s">
        <v>6952</v>
      </c>
      <c r="F28" s="346"/>
      <c r="G28" s="347" t="str">
        <f>""</f>
        <v/>
      </c>
      <c r="H28" s="347" t="s">
        <v>5912</v>
      </c>
      <c r="I28" s="347" t="s">
        <v>424</v>
      </c>
      <c r="J28" s="347" t="str">
        <f t="shared" si="3"/>
        <v/>
      </c>
      <c r="K28" s="347" t="s">
        <v>5291</v>
      </c>
      <c r="L28" s="611" t="str">
        <f t="shared" si="4"/>
        <v>V, S, M, an item distasteful to the target</v>
      </c>
      <c r="M28" s="347" t="s">
        <v>2373</v>
      </c>
      <c r="N28" s="347" t="s">
        <v>2387</v>
      </c>
      <c r="O28" s="347" t="s">
        <v>1244</v>
      </c>
      <c r="P28" s="346" t="s">
        <v>5308</v>
      </c>
      <c r="Q28" s="347" t="s">
        <v>5270</v>
      </c>
      <c r="S28" s="346" t="s">
        <v>5602</v>
      </c>
      <c r="T28" s="346" t="str">
        <f t="shared" si="5"/>
        <v xml:space="preserve">Paladin, Sorcerer, Warlock, Cleric, Eldritch Knight, Wizard, Vengeance, </v>
      </c>
      <c r="V28" s="347" t="str">
        <f>$B28</f>
        <v>Banishment</v>
      </c>
      <c r="X28" s="347" t="str">
        <f>$B28</f>
        <v>Banishment</v>
      </c>
      <c r="Y28" s="347" t="str">
        <f>$B28</f>
        <v>Banishment</v>
      </c>
      <c r="Z28" s="347" t="str">
        <f>$B28</f>
        <v>Banishment</v>
      </c>
      <c r="AB28" s="542" t="str">
        <f>AD28</f>
        <v>Banishment</v>
      </c>
      <c r="AD28" s="347" t="str">
        <f>$B28</f>
        <v>Banishment</v>
      </c>
      <c r="AE28" t="str">
        <f>IF(IFERROR(MATCH($B28,temp!A$4:A$13,0),0)&gt;0,T08_Spells!AE$2,"")</f>
        <v/>
      </c>
      <c r="AF28" t="str">
        <f>IF(IFERROR(MATCH($B28,temp!B$4:B$13,0),0)&gt;0,T08_Spells!AF$2,"")</f>
        <v>Vengeance</v>
      </c>
      <c r="AG28" t="str">
        <f>IF(IFERROR(MATCH($B28,temp!C$4:C$13,0),0)&gt;0,T08_Spells!AG$2,"")</f>
        <v/>
      </c>
      <c r="AH28" t="str">
        <f>IF(IFERROR(MATCH($B28,temp!D$4:D$13,0),0)&gt;0,T08_Spells!AH$2,"")</f>
        <v/>
      </c>
      <c r="AI28" t="str">
        <f>IF(IFERROR(MATCH($B28,temp!E$4:E$13,0),0)&gt;0,T08_Spells!AI$2,"")</f>
        <v/>
      </c>
      <c r="AJ28" t="str">
        <f>IF(IFERROR(MATCH($B28,temp!F$4:F$13,0),0)&gt;0,T08_Spells!AJ$2,"")</f>
        <v/>
      </c>
      <c r="AK28" t="str">
        <f>IF(IFERROR(MATCH($B28,temp!G$4:G$13,0),0)&gt;0,T08_Spells!AK$2,"")</f>
        <v/>
      </c>
      <c r="AL28" t="str">
        <f>IF(IFERROR(MATCH($B28,temp!H$4:H$13,0),0)&gt;0,T08_Spells!AL$2,"")</f>
        <v/>
      </c>
      <c r="AM28" t="str">
        <f>IF(IFERROR(MATCH($B28,temp!I$4:I$13,0),0)&gt;0,T08_Spells!AM$2,"")</f>
        <v/>
      </c>
      <c r="AN28" t="str">
        <f>IF(IFERROR(MATCH($B28,temp!J$4:J$13,0),0)&gt;0,T08_Spells!AN$2,"")</f>
        <v/>
      </c>
      <c r="AO28" t="str">
        <f>IF(IFERROR(MATCH($B28,temp!K$4:K$13,0),0)&gt;0,T08_Spells!AO$2,"")</f>
        <v/>
      </c>
      <c r="AP28" t="str">
        <f>IF(IFERROR(MATCH($B28,temp!L$4:L$13,0),0)&gt;0,T08_Spells!AP$2,"")</f>
        <v/>
      </c>
      <c r="AQ28" t="str">
        <f>IF(IFERROR(MATCH($B28,temp!M$4:M$13,0),0)&gt;0,T08_Spells!AQ$2,"")</f>
        <v/>
      </c>
      <c r="AR28" t="str">
        <f>IF(IFERROR(MATCH($B28,temp!N$4:N$13,0),0)&gt;0,T08_Spells!AR$2,"")</f>
        <v/>
      </c>
      <c r="AS28" t="str">
        <f>IF(IFERROR(MATCH($B28,temp!O$4:O$13,0),0)&gt;0,T08_Spells!AS$2,"")</f>
        <v/>
      </c>
      <c r="AT28" t="str">
        <f>IF(IFERROR(MATCH($B28,temp!P$4:P$13,0),0)&gt;0,T08_Spells!AT$2,"")</f>
        <v/>
      </c>
      <c r="AU28" t="str">
        <f>IF(IFERROR(MATCH($B28,temp!Q$4:Q$13,0),0)&gt;0,T08_Spells!AU$2,"")</f>
        <v/>
      </c>
      <c r="AV28" t="str">
        <f>IF(IFERROR(MATCH($B28,temp!R$4:R$13,0),0)&gt;0,T08_Spells!AV$2,"")</f>
        <v/>
      </c>
      <c r="AW28" t="str">
        <f>IF(IFERROR(MATCH($B28,temp!S$4:S$13,0),0)&gt;0,T08_Spells!AW$2,"")</f>
        <v/>
      </c>
      <c r="AX28" t="str">
        <f>IF(IFERROR(MATCH($B28,temp!T$4:T$13,0),0)&gt;0,T08_Spells!AX$2,"")</f>
        <v/>
      </c>
      <c r="AY28" t="str">
        <f>IF(IFERROR(MATCH($B28,temp!U$4:U$13,0),0)&gt;0,T08_Spells!AY$2,"")</f>
        <v/>
      </c>
      <c r="AZ28" t="str">
        <f>IF(IFERROR(MATCH($B28,temp!V$4:V$13,0),0)&gt;0,T08_Spells!AZ$2,"")</f>
        <v/>
      </c>
      <c r="BA28" t="str">
        <f>IF(IFERROR(MATCH($B28,temp!W$4:W$13,0),0)&gt;0,T08_Spells!BA$2,"")</f>
        <v/>
      </c>
      <c r="BC28">
        <f>IF(IFERROR(SEARCH("Ranger",$T28,1),0)&gt;0,1,0)*IF(RangerMaxSpellLevel&gt;=$C28,1,0)*IF(IFERROR(MATCH(B28,Character_Creation!$X$79:$X$382,0),0)&gt;0,0,1)</f>
        <v>0</v>
      </c>
      <c r="BD28">
        <f>IF(BC28=0,0,1+COUNTIF(BD$3:BD27,"&gt;0"))</f>
        <v>0</v>
      </c>
      <c r="BE28" t="str">
        <f t="shared" si="34"/>
        <v/>
      </c>
      <c r="BF28" t="str">
        <f t="shared" si="6"/>
        <v/>
      </c>
      <c r="BH28">
        <f>IF(IFERROR(SEARCH("Sorcerer",$T28,1),0)&gt;0,1,0)*IF(SorcererMaxSpellLevel&gt;=$C28,1,0)*IF(IFERROR(MATCH(B28,Character_Creation!$J$380:$J$394,0),0)&gt;0,0,1)</f>
        <v>0</v>
      </c>
      <c r="BI28">
        <f>IF(BH28=0,0,1+COUNTIF(BI$3:BI27,"&gt;0"))</f>
        <v>0</v>
      </c>
      <c r="BJ28" t="str">
        <f t="shared" si="35"/>
        <v/>
      </c>
      <c r="BK28" t="str">
        <f t="shared" si="7"/>
        <v/>
      </c>
      <c r="BM28">
        <f>IF(OR(IFERROR(SEARCH("Warlock",$T28,1),0)&gt;0,IFERROR(SEARCH(WarlockPatron,$T28,1),0)&gt;0),1,0)*IF(WarlockMaxSpellLevel&gt;=$C28,1,0)*IF(IFERROR(MATCH(B28,Character_Creation!$J$361:$J$375,0),0)&gt;0,0,1)</f>
        <v>0</v>
      </c>
      <c r="BN28">
        <f>IF(BM28=0,0,1+COUNTIF(BN$3:BN27,"&gt;0"))</f>
        <v>0</v>
      </c>
      <c r="BO28" t="str">
        <f t="shared" si="36"/>
        <v/>
      </c>
      <c r="BP28" t="str">
        <f t="shared" si="8"/>
        <v/>
      </c>
      <c r="BR28">
        <f>IF(IFERROR(SEARCH("Eldritch Knight",$T28,1),0)&gt;0,1,0)*IF(EldritchKnightMaxSpellLevel&gt;=$C28,1,0)*IF(IFERROR(MATCH($B28,Character_Creation!$J$350:$J$356,0),0)&gt;0,0,1)*IF(Character_Creation!$M$338&gt;0,1,0)</f>
        <v>0</v>
      </c>
      <c r="BS28">
        <f>IF(BR28=0,0,1+COUNTIF(BS$3:BS27,"&gt;0"))</f>
        <v>0</v>
      </c>
      <c r="BT28" t="str">
        <f t="shared" si="37"/>
        <v/>
      </c>
      <c r="BU28" t="str">
        <f t="shared" si="9"/>
        <v/>
      </c>
      <c r="BW28">
        <f>IF(IFERROR(SEARCH("Arcane Trickster",$T28,1),0)&gt;0,1,0)*IF(ArcaneTricksterMaxSpellLevel&gt;=$C28,1,0)*IF(IFERROR(MATCH($B28,Character_Creation!$J$350:$J$356,0),0)&gt;0,0,1)*IF(Character_Creation!$T$338&gt;0,1,0)</f>
        <v>0</v>
      </c>
      <c r="BX28">
        <f>IF(BW28=0,0,1+COUNTIF(BX$3:BX27,"&gt;0"))</f>
        <v>0</v>
      </c>
      <c r="BY28" t="str">
        <f t="shared" si="38"/>
        <v/>
      </c>
      <c r="BZ28" t="str">
        <f t="shared" si="10"/>
        <v/>
      </c>
      <c r="CB28">
        <f>IF(IFERROR(SEARCH("Wizard",$T28,1),0)&gt;0,1,0)*IF(C28&lt;=ArcaneTricksterMaxSpellLevel,1,0)*IF(IFERROR(MATCH($B28,Character_Creation!$J$350:$J$356,0),0)&gt;0,0,1)*IF(Character_Creation!$T$350&gt;0,1,0)</f>
        <v>0</v>
      </c>
      <c r="CC28">
        <f>IF(CB28=0,0,1+COUNTIF(CC$3:CC27,"&gt;0"))</f>
        <v>0</v>
      </c>
      <c r="CD28" t="str">
        <f t="shared" si="39"/>
        <v/>
      </c>
      <c r="CE28" t="str">
        <f t="shared" si="11"/>
        <v/>
      </c>
      <c r="CG28">
        <f>IF(IFERROR(SEARCH("Wizard",$T28,1),0)&gt;0,1,0)*IF($C28&lt;=EldritchKnightMaxSpellLevel,1,0)*IF(IFERROR(MATCH($B28,Character_Creation!$J$350:$J$356,0),0)&gt;0,0,1)*IF(Character_Creation!$M$350&gt;0,1,0)</f>
        <v>0</v>
      </c>
      <c r="CH28">
        <f>IF(CG28=0,0,1+COUNTIF(CH$3:CH27,"&gt;0"))</f>
        <v>0</v>
      </c>
      <c r="CI28">
        <f t="shared" si="40"/>
        <v>26</v>
      </c>
      <c r="CJ28" t="str">
        <f t="shared" si="12"/>
        <v>Gentle Repose</v>
      </c>
      <c r="CL28">
        <f>IF(IFERROR(SEARCH("Bard",$T28,1),0)&gt;0,1,0)*IF(BardMaxSpellLevel&gt;=$C28,1,0)*IF(IFERROR(MATCH(B28,Character_Creation!$C$341:$F$362,0),0)&gt;0,0,1)*IF(IFERROR(MATCH($B28,Character_Creation!$C$341:$C$362,0),0)&gt;0,0,1)</f>
        <v>0</v>
      </c>
      <c r="CM28">
        <f>IF(CL28=0,0,1+COUNTIF(CM$3:CM27,"&gt;0"))</f>
        <v>0</v>
      </c>
      <c r="CN28" t="str">
        <f t="shared" si="41"/>
        <v/>
      </c>
      <c r="CO28" t="str">
        <f t="shared" si="13"/>
        <v/>
      </c>
      <c r="CQ28">
        <f>IF(IFERROR(SEARCH("Wizard",$T28,1),0)&gt;0,1,0)*IF(WizardMaxSpellLevel&gt;=$C28,1,0)*IF(IFERROR(MATCH(B28,Character_Creation!$X$341:$X$400,0),0)&gt;0,0,1)*IF(SelectedWizardSpellLevel=$C28,1,0)</f>
        <v>0</v>
      </c>
      <c r="CR28">
        <f>IF(CQ28=0,0,1+COUNTIF(CR$3:CR27,"&gt;0"))</f>
        <v>0</v>
      </c>
      <c r="CS28">
        <f t="shared" si="42"/>
        <v>26</v>
      </c>
      <c r="CT28" t="str">
        <f t="shared" si="14"/>
        <v>Vampiric Touch</v>
      </c>
      <c r="CV28">
        <f>IF(IFERROR(MATCH($B28,Character_Creation!$C$341:$C$362,0),0)&gt;0,0,1)*IF(OR(C28="Cantrip",C28&lt;=BardMaxSpellLevel),1,0)*IF(IFERROR(MATCH($B28,Character_Creation!$C$367:$C$374,0),0)&gt;0,0,1)</f>
        <v>0</v>
      </c>
      <c r="CW28">
        <f>IF(CV28=0,0,1+COUNTIF(CW$3:CW27,"&gt;0"))</f>
        <v>0</v>
      </c>
      <c r="CX28">
        <f t="shared" si="43"/>
        <v>26</v>
      </c>
      <c r="CY28" t="str">
        <f t="shared" si="15"/>
        <v>True Strike</v>
      </c>
      <c r="DA28">
        <f>IF(IF(OR(IFERROR(SEARCH("Cleric",$T28,1),0)&gt;0,IFERROR(SEARCH(DivineDomain&amp;",",$T28,1),0)&gt;0),1,0)*IF($C28=DA$2,1,0)=1,1+COUNTIF(DA$3:DA27,"&gt;0"),0)</f>
        <v>0</v>
      </c>
      <c r="DB28">
        <f>IF(IF(OR(IFERROR(SEARCH("Cleric",$T28,1),0)&gt;0,IFERROR(SEARCH(DivineDomain&amp;",",$T28,1),0)&gt;0),1,0)*IF($C28=DB$2,1,0)=1,1+COUNTIF(DB$3:DB27,"&gt;0"),0)</f>
        <v>0</v>
      </c>
      <c r="DC28">
        <f>IF(IF(OR(IFERROR(SEARCH("Cleric",$T28,1),0)&gt;0,IFERROR(SEARCH(DivineDomain&amp;",",$T28,1),0)&gt;0),1,0)*IF($C28=DC$2,1,0)=1,1+COUNTIF(DC$3:DC27,"&gt;0"),0)</f>
        <v>0</v>
      </c>
      <c r="DD28">
        <f>IF(IF(OR(IFERROR(SEARCH("Cleric",$T28,1),0)&gt;0,IFERROR(SEARCH(DivineDomain&amp;",",$T28,1),0)&gt;0),1,0)*IF($C28=DD$2,1,0)=1,1+COUNTIF(DD$3:DD27,"&gt;0"),0)</f>
        <v>1</v>
      </c>
      <c r="DE28">
        <f>IF(IF(OR(IFERROR(SEARCH("Cleric",$T28,1),0)&gt;0,IFERROR(SEARCH(DivineDomain&amp;",",$T28,1),0)&gt;0),1,0)*IF($C28=DE$2,1,0)=1,1+COUNTIF(DE$3:DE27,"&gt;0"),0)</f>
        <v>0</v>
      </c>
      <c r="DF28">
        <f>IF(IF(OR(IFERROR(SEARCH("Cleric",$T28,1),0)&gt;0,IFERROR(SEARCH(DivineDomain&amp;",",$T28,1),0)&gt;0),1,0)*IF($C28=DF$2,1,0)=1,1+COUNTIF(DF$3:DF27,"&gt;0"),0)</f>
        <v>0</v>
      </c>
      <c r="DG28">
        <f>IF(IF(OR(IFERROR(SEARCH("Cleric",$T28,1),0)&gt;0,IFERROR(SEARCH(DivineDomain&amp;",",$T28,1),0)&gt;0),1,0)*IF($C28=DG$2,1,0)=1,1+COUNTIF(DG$3:DG27,"&gt;0"),0)</f>
        <v>0</v>
      </c>
      <c r="DH28">
        <f>IF(IF(OR(IFERROR(SEARCH("Cleric",$T28,1),0)&gt;0,IFERROR(SEARCH(DivineDomain&amp;",",$T28,1),0)&gt;0),1,0)*IF($C28=DH$2,1,0)=1,1+COUNTIF(DH$3:DH27,"&gt;0"),0)</f>
        <v>0</v>
      </c>
      <c r="DI28">
        <f>IF(IF(OR(IFERROR(SEARCH("Cleric",$T28,1),0)&gt;0,IFERROR(SEARCH(DivineDomain&amp;",",$T28,1),0)&gt;0),1,0)*IF($C28=DI$2,1,0)=1,1+COUNTIF(DI$3:DI27,"&gt;0"),0)</f>
        <v>0</v>
      </c>
      <c r="DJ28">
        <f>IF(IF(OR(IFERROR(SEARCH("Druid",$T28,1),0)&gt;0,IFERROR(SEARCH(DruidLand1,$T28,1),0)&gt;0,IFERROR(SEARCH(DruidLand2,$T28,1),0)&gt;0,IFERROR(SEARCH(DruidLand3,$T28,1),0)&gt;0,IFERROR(SEARCH(DruidLand4,$T28,1),0)&gt;0),1,0)*IF($C28=1,1,0)*IF($C28=DJ$2,1,0)=0,0,1+COUNTIF(DJ$3:DJ27,"&gt;0"))</f>
        <v>0</v>
      </c>
      <c r="DK28">
        <f>IF(IF(OR(IFERROR(SEARCH("Druid",$T28,1),0)&gt;0,IFERROR(SEARCH(DruidLand1,$T28,1),0)&gt;0,IFERROR(SEARCH(DruidLand2,$T28,1),0)&gt;0,IFERROR(SEARCH(DruidLand3,$T28,1),0)&gt;0,IFERROR(SEARCH(DruidLand4,$T28,1),0)&gt;0),1,0)*IF($C28=1,1,0)*IF($C28=DK$2,1,0)=0,0,1+COUNTIF(DK$3:DK27,"&gt;0"))</f>
        <v>0</v>
      </c>
      <c r="DL28">
        <f>IF(IF(OR(IFERROR(SEARCH("Druid",$T28,1),0)&gt;0,IFERROR(SEARCH(DruidLand1,$T28,1),0)&gt;0,IFERROR(SEARCH(DruidLand2,$T28,1),0)&gt;0,IFERROR(SEARCH(DruidLand3,$T28,1),0)&gt;0,IFERROR(SEARCH(DruidLand4,$T28,1),0)&gt;0),1,0)*IF($C28=1,1,0)*IF($C28=DL$2,1,0)=0,0,1+COUNTIF(DL$3:DL27,"&gt;0"))</f>
        <v>0</v>
      </c>
      <c r="DM28">
        <f>IF(IF(OR(IFERROR(SEARCH("Druid",$T28,1),0)&gt;0,IFERROR(SEARCH(DruidLand1,$T28,1),0)&gt;0,IFERROR(SEARCH(DruidLand2,$T28,1),0)&gt;0,IFERROR(SEARCH(DruidLand3,$T28,1),0)&gt;0,IFERROR(SEARCH(DruidLand4,$T28,1),0)&gt;0),1,0)*IF($C28=1,1,0)*IF($C28=DM$2,1,0)=0,0,1+COUNTIF(DM$3:DM27,"&gt;0"))</f>
        <v>0</v>
      </c>
      <c r="DN28">
        <f>IF(IF(OR(IFERROR(SEARCH("Druid",$T28,1),0)&gt;0,IFERROR(SEARCH(DruidLand1,$T28,1),0)&gt;0,IFERROR(SEARCH(DruidLand2,$T28,1),0)&gt;0,IFERROR(SEARCH(DruidLand3,$T28,1),0)&gt;0,IFERROR(SEARCH(DruidLand4,$T28,1),0)&gt;0),1,0)*IF($C28=1,1,0)*IF($C28=DN$2,1,0)=0,0,1+COUNTIF(DN$3:DN27,"&gt;0"))</f>
        <v>0</v>
      </c>
      <c r="DO28">
        <f>IF(IF(OR(IFERROR(SEARCH("Druid",$T28,1),0)&gt;0,IFERROR(SEARCH(DruidLand1,$T28,1),0)&gt;0,IFERROR(SEARCH(DruidLand2,$T28,1),0)&gt;0,IFERROR(SEARCH(DruidLand3,$T28,1),0)&gt;0,IFERROR(SEARCH(DruidLand4,$T28,1),0)&gt;0),1,0)*IF($C28=1,1,0)*IF($C28=DO$2,1,0)=0,0,1+COUNTIF(DO$3:DO27,"&gt;0"))</f>
        <v>0</v>
      </c>
      <c r="DP28">
        <f>IF(IF(OR(IFERROR(SEARCH("Druid",$T28,1),0)&gt;0,IFERROR(SEARCH(DruidLand1,$T28,1),0)&gt;0,IFERROR(SEARCH(DruidLand2,$T28,1),0)&gt;0,IFERROR(SEARCH(DruidLand3,$T28,1),0)&gt;0,IFERROR(SEARCH(DruidLand4,$T28,1),0)&gt;0),1,0)*IF($C28=1,1,0)*IF($C28=DP$2,1,0)=0,0,1+COUNTIF(DP$3:DP27,"&gt;0"))</f>
        <v>0</v>
      </c>
      <c r="DQ28">
        <f>IF(IF(OR(IFERROR(SEARCH("Druid",$T28,1),0)&gt;0,IFERROR(SEARCH(DruidLand1,$T28,1),0)&gt;0,IFERROR(SEARCH(DruidLand2,$T28,1),0)&gt;0,IFERROR(SEARCH(DruidLand3,$T28,1),0)&gt;0,IFERROR(SEARCH(DruidLand4,$T28,1),0)&gt;0),1,0)*IF($C28=1,1,0)*IF($C28=DQ$2,1,0)=0,0,1+COUNTIF(DQ$3:DQ27,"&gt;0"))</f>
        <v>0</v>
      </c>
      <c r="DR28">
        <f>IF(IF(OR(IFERROR(SEARCH("Druid",$T28,1),0)&gt;0,IFERROR(SEARCH(DruidLand1,$T28,1),0)&gt;0,IFERROR(SEARCH(DruidLand2,$T28,1),0)&gt;0,IFERROR(SEARCH(DruidLand3,$T28,1),0)&gt;0,IFERROR(SEARCH(DruidLand4,$T28,1),0)&gt;0),1,0)*IF($C28=1,1,0)*IF($C28=DR$2,1,0)=0,0,1+COUNTIF(DR$3:DR27,"&gt;0"))</f>
        <v>0</v>
      </c>
      <c r="DS28">
        <f>IF(IF(OR(IFERROR(SEARCH("Paladin",$T28,1),0)&gt;0,IFERROR(SEARCH(PaladinOath,$T28,1),0)&gt;0),1,0)*IF($C28=DS$2,1,0)=1,1+COUNTIF(DS$3:DS27,"&gt;0"),0)</f>
        <v>0</v>
      </c>
      <c r="DT28">
        <f>IF(IF(OR(IFERROR(SEARCH("Paladin",$T28,1),0)&gt;0,IFERROR(SEARCH(PaladinOath,$T28,1),0)&gt;0),1,0)*IF($C28=DT$2,1,0)=1,1+COUNTIF(DT$3:DT27,"&gt;0"),0)</f>
        <v>0</v>
      </c>
      <c r="DU28">
        <f>IF(IF(OR(IFERROR(SEARCH("Paladin",$T28,1),0)&gt;0,IFERROR(SEARCH(PaladinOath,$T28,1),0)&gt;0),1,0)*IF($C28=DU$2,1,0)=1,1+COUNTIF(DU$3:DU27,"&gt;0"),0)</f>
        <v>0</v>
      </c>
      <c r="DV28">
        <f>IF(IF(OR(IFERROR(SEARCH("Paladin",$T28,1),0)&gt;0,IFERROR(SEARCH(PaladinOath,$T28,1),0)&gt;0),1,0)*IF($C28=DV$2,1,0)=1,1+COUNTIF(DV$3:DV27,"&gt;0"),0)</f>
        <v>3</v>
      </c>
      <c r="DW28">
        <f>IF(IF(OR(IFERROR(SEARCH("Paladin",$T28,1),0)&gt;0,IFERROR(SEARCH(PaladinOath,$T28,1),0)&gt;0),1,0)*IF($C28=DW$2,1,0)=1,1+COUNTIF(DW$3:DW27,"&gt;0"),0)</f>
        <v>0</v>
      </c>
      <c r="DY28">
        <f t="shared" si="2"/>
        <v>1</v>
      </c>
      <c r="DZ28">
        <f>IF(DY28=0,0,1+MAX(DZ$3:$DZ27))</f>
        <v>26</v>
      </c>
      <c r="EB28">
        <f t="shared" si="16"/>
        <v>0</v>
      </c>
      <c r="EC28">
        <f>IF(EB28=0,0,1+COUNTIF(EC$3:EC27,"&gt;0"))</f>
        <v>0</v>
      </c>
      <c r="ED28" t="str">
        <f t="shared" si="44"/>
        <v/>
      </c>
      <c r="EE28" t="str">
        <f t="shared" si="17"/>
        <v/>
      </c>
      <c r="EG28">
        <f t="shared" si="18"/>
        <v>0</v>
      </c>
      <c r="EH28">
        <f>IF(EG28=0,0,1+COUNTIF(EH$3:EH27,"&gt;0"))</f>
        <v>0</v>
      </c>
      <c r="EI28" t="str">
        <f t="shared" si="45"/>
        <v/>
      </c>
      <c r="EJ28" t="str">
        <f t="shared" si="19"/>
        <v/>
      </c>
      <c r="EL28">
        <f t="shared" si="20"/>
        <v>0</v>
      </c>
      <c r="EM28">
        <f>IF(EL28=0,0,1+COUNTIF(EM$3:EM27,"&gt;0"))</f>
        <v>0</v>
      </c>
      <c r="EN28" t="str">
        <f t="shared" si="46"/>
        <v/>
      </c>
      <c r="EO28" t="str">
        <f t="shared" si="21"/>
        <v/>
      </c>
      <c r="EQ28">
        <f t="shared" si="22"/>
        <v>0</v>
      </c>
      <c r="ER28">
        <f>IF(EQ28=0,0,1+COUNTIF(ER$3:ER27,"&gt;0"))</f>
        <v>0</v>
      </c>
      <c r="ES28" t="str">
        <f t="shared" si="47"/>
        <v/>
      </c>
      <c r="ET28" t="str">
        <f t="shared" si="23"/>
        <v/>
      </c>
      <c r="EV28">
        <f t="shared" si="24"/>
        <v>0</v>
      </c>
      <c r="EW28">
        <f>IF(EV28=0,0,1+COUNTIF(EW$3:EW27,"&gt;0"))</f>
        <v>0</v>
      </c>
      <c r="EX28" t="str">
        <f t="shared" si="48"/>
        <v/>
      </c>
      <c r="EY28" t="str">
        <f t="shared" si="25"/>
        <v/>
      </c>
      <c r="FA28">
        <f t="shared" si="26"/>
        <v>0</v>
      </c>
      <c r="FB28">
        <f>IF(FA28=0,0,1+COUNTIF(FB$3:FB27,"&gt;0"))</f>
        <v>0</v>
      </c>
      <c r="FC28" t="str">
        <f t="shared" si="49"/>
        <v/>
      </c>
      <c r="FD28" t="str">
        <f t="shared" si="27"/>
        <v/>
      </c>
      <c r="FF28">
        <f t="shared" si="28"/>
        <v>0</v>
      </c>
      <c r="FG28">
        <f>IF(FF28=0,0,1+COUNTIF(FG$3:FG27,"&gt;0"))</f>
        <v>0</v>
      </c>
      <c r="FH28" t="str">
        <f t="shared" si="50"/>
        <v/>
      </c>
      <c r="FI28" t="str">
        <f t="shared" si="29"/>
        <v/>
      </c>
      <c r="FK28">
        <f t="shared" si="30"/>
        <v>0</v>
      </c>
      <c r="FL28">
        <f>IF(FK28=0,0,1+COUNTIF(FL$3:FL27,"&gt;0"))</f>
        <v>0</v>
      </c>
      <c r="FM28" t="str">
        <f t="shared" si="51"/>
        <v/>
      </c>
      <c r="FN28" t="str">
        <f t="shared" si="31"/>
        <v/>
      </c>
      <c r="FP28">
        <f t="shared" si="32"/>
        <v>0</v>
      </c>
      <c r="FQ28">
        <f>IF(FP28=0,0,1+COUNTIF(FQ$3:FQ27,"&gt;0"))</f>
        <v>0</v>
      </c>
      <c r="FR28" t="str">
        <f t="shared" si="52"/>
        <v/>
      </c>
      <c r="FS28" t="str">
        <f t="shared" si="33"/>
        <v/>
      </c>
    </row>
    <row r="29" spans="1:175" x14ac:dyDescent="0.25">
      <c r="A29" s="347">
        <f t="shared" si="53"/>
        <v>27</v>
      </c>
      <c r="B29" s="348" t="s">
        <v>2383</v>
      </c>
      <c r="C29" s="348">
        <v>2</v>
      </c>
      <c r="D29" s="347">
        <v>2</v>
      </c>
      <c r="E29" s="627" t="s">
        <v>6952</v>
      </c>
      <c r="F29" s="346"/>
      <c r="G29" s="347" t="str">
        <f>""</f>
        <v/>
      </c>
      <c r="H29" s="347" t="s">
        <v>5912</v>
      </c>
      <c r="I29" s="347" t="s">
        <v>5298</v>
      </c>
      <c r="J29" s="347" t="str">
        <f t="shared" si="3"/>
        <v/>
      </c>
      <c r="K29" s="347" t="s">
        <v>5284</v>
      </c>
      <c r="L29" s="611" t="str">
        <f t="shared" si="4"/>
        <v>V, S, M, a handful of oak bark</v>
      </c>
      <c r="M29" s="347" t="s">
        <v>2373</v>
      </c>
      <c r="N29" s="347" t="s">
        <v>2387</v>
      </c>
      <c r="O29" s="347" t="s">
        <v>1244</v>
      </c>
      <c r="P29" s="346" t="s">
        <v>5309</v>
      </c>
      <c r="Q29" s="347" t="s">
        <v>5276</v>
      </c>
      <c r="S29" s="346" t="s">
        <v>5310</v>
      </c>
      <c r="T29" s="346" t="str">
        <f t="shared" si="5"/>
        <v xml:space="preserve">Ranger, Druid, Fores, Nature, </v>
      </c>
      <c r="W29" s="347" t="str">
        <f>$B29</f>
        <v>Barkskin</v>
      </c>
      <c r="AA29" s="347" t="str">
        <f>$B29</f>
        <v>Barkskin</v>
      </c>
      <c r="AE29" t="str">
        <f>IF(IFERROR(MATCH($B29,temp!A$4:A$13,0),0)&gt;0,T08_Spells!AE$2,"")</f>
        <v/>
      </c>
      <c r="AF29" t="str">
        <f>IF(IFERROR(MATCH($B29,temp!B$4:B$13,0),0)&gt;0,T08_Spells!AF$2,"")</f>
        <v/>
      </c>
      <c r="AG29" t="str">
        <f>IF(IFERROR(MATCH($B29,temp!C$4:C$13,0),0)&gt;0,T08_Spells!AG$2,"")</f>
        <v/>
      </c>
      <c r="AH29" t="str">
        <f>IF(IFERROR(MATCH($B29,temp!D$4:D$13,0),0)&gt;0,T08_Spells!AH$2,"")</f>
        <v/>
      </c>
      <c r="AI29" t="str">
        <f>IF(IFERROR(MATCH($B29,temp!E$4:E$13,0),0)&gt;0,T08_Spells!AI$2,"")</f>
        <v/>
      </c>
      <c r="AJ29" t="str">
        <f>IF(IFERROR(MATCH($B29,temp!F$4:F$13,0),0)&gt;0,T08_Spells!AJ$2,"")</f>
        <v/>
      </c>
      <c r="AK29" t="str">
        <f>IF(IFERROR(MATCH($B29,temp!G$4:G$13,0),0)&gt;0,T08_Spells!AK$2,"")</f>
        <v/>
      </c>
      <c r="AL29" t="str">
        <f>IF(IFERROR(MATCH($B29,temp!H$4:H$13,0),0)&gt;0,T08_Spells!AL$2,"")</f>
        <v/>
      </c>
      <c r="AM29" t="str">
        <f>IF(IFERROR(MATCH($B29,temp!I$4:I$13,0),0)&gt;0,T08_Spells!AM$2,"")</f>
        <v/>
      </c>
      <c r="AN29" t="str">
        <f>IF(IFERROR(MATCH($B29,temp!J$4:J$13,0),0)&gt;0,T08_Spells!AN$2,"")</f>
        <v/>
      </c>
      <c r="AO29" t="str">
        <f>IF(IFERROR(MATCH($B29,temp!K$4:K$13,0),0)&gt;0,T08_Spells!AO$2,"")</f>
        <v>Forest</v>
      </c>
      <c r="AP29" t="str">
        <f>IF(IFERROR(MATCH($B29,temp!L$4:L$13,0),0)&gt;0,T08_Spells!AP$2,"")</f>
        <v/>
      </c>
      <c r="AQ29" t="str">
        <f>IF(IFERROR(MATCH($B29,temp!M$4:M$13,0),0)&gt;0,T08_Spells!AQ$2,"")</f>
        <v/>
      </c>
      <c r="AR29" t="str">
        <f>IF(IFERROR(MATCH($B29,temp!N$4:N$13,0),0)&gt;0,T08_Spells!AR$2,"")</f>
        <v/>
      </c>
      <c r="AS29" t="str">
        <f>IF(IFERROR(MATCH($B29,temp!O$4:O$13,0),0)&gt;0,T08_Spells!AS$2,"")</f>
        <v/>
      </c>
      <c r="AT29" t="str">
        <f>IF(IFERROR(MATCH($B29,temp!P$4:P$13,0),0)&gt;0,T08_Spells!AT$2,"")</f>
        <v/>
      </c>
      <c r="AU29" t="str">
        <f>IF(IFERROR(MATCH($B29,temp!Q$4:Q$13,0),0)&gt;0,T08_Spells!AU$2,"")</f>
        <v/>
      </c>
      <c r="AV29" t="str">
        <f>IF(IFERROR(MATCH($B29,temp!R$4:R$13,0),0)&gt;0,T08_Spells!AV$2,"")</f>
        <v/>
      </c>
      <c r="AW29" t="str">
        <f>IF(IFERROR(MATCH($B29,temp!S$4:S$13,0),0)&gt;0,T08_Spells!AW$2,"")</f>
        <v>Nature</v>
      </c>
      <c r="AX29" t="str">
        <f>IF(IFERROR(MATCH($B29,temp!T$4:T$13,0),0)&gt;0,T08_Spells!AX$2,"")</f>
        <v/>
      </c>
      <c r="AY29" t="str">
        <f>IF(IFERROR(MATCH($B29,temp!U$4:U$13,0),0)&gt;0,T08_Spells!AY$2,"")</f>
        <v/>
      </c>
      <c r="AZ29" t="str">
        <f>IF(IFERROR(MATCH($B29,temp!V$4:V$13,0),0)&gt;0,T08_Spells!AZ$2,"")</f>
        <v/>
      </c>
      <c r="BA29" t="str">
        <f>IF(IFERROR(MATCH($B29,temp!W$4:W$13,0),0)&gt;0,T08_Spells!BA$2,"")</f>
        <v/>
      </c>
      <c r="BC29">
        <f>IF(IFERROR(SEARCH("Ranger",$T29,1),0)&gt;0,1,0)*IF(RangerMaxSpellLevel&gt;=$C29,1,0)*IF(IFERROR(MATCH(B29,Character_Creation!$X$79:$X$382,0),0)&gt;0,0,1)</f>
        <v>0</v>
      </c>
      <c r="BD29">
        <f>IF(BC29=0,0,1+COUNTIF(BD$3:BD28,"&gt;0"))</f>
        <v>0</v>
      </c>
      <c r="BE29" t="str">
        <f t="shared" si="34"/>
        <v/>
      </c>
      <c r="BF29" t="str">
        <f t="shared" si="6"/>
        <v/>
      </c>
      <c r="BH29">
        <f>IF(IFERROR(SEARCH("Sorcerer",$T29,1),0)&gt;0,1,0)*IF(SorcererMaxSpellLevel&gt;=$C29,1,0)*IF(IFERROR(MATCH(B29,Character_Creation!$J$380:$J$394,0),0)&gt;0,0,1)</f>
        <v>0</v>
      </c>
      <c r="BI29">
        <f>IF(BH29=0,0,1+COUNTIF(BI$3:BI28,"&gt;0"))</f>
        <v>0</v>
      </c>
      <c r="BJ29" t="str">
        <f t="shared" si="35"/>
        <v/>
      </c>
      <c r="BK29" t="str">
        <f t="shared" si="7"/>
        <v/>
      </c>
      <c r="BM29">
        <f>IF(OR(IFERROR(SEARCH("Warlock",$T29,1),0)&gt;0,IFERROR(SEARCH(WarlockPatron,$T29,1),0)&gt;0),1,0)*IF(WarlockMaxSpellLevel&gt;=$C29,1,0)*IF(IFERROR(MATCH(B29,Character_Creation!$J$361:$J$375,0),0)&gt;0,0,1)</f>
        <v>0</v>
      </c>
      <c r="BN29">
        <f>IF(BM29=0,0,1+COUNTIF(BN$3:BN28,"&gt;0"))</f>
        <v>0</v>
      </c>
      <c r="BO29" t="str">
        <f t="shared" si="36"/>
        <v/>
      </c>
      <c r="BP29" t="str">
        <f t="shared" si="8"/>
        <v/>
      </c>
      <c r="BR29">
        <f>IF(IFERROR(SEARCH("Eldritch Knight",$T29,1),0)&gt;0,1,0)*IF(EldritchKnightMaxSpellLevel&gt;=$C29,1,0)*IF(IFERROR(MATCH($B29,Character_Creation!$J$350:$J$356,0),0)&gt;0,0,1)*IF(Character_Creation!$M$338&gt;0,1,0)</f>
        <v>0</v>
      </c>
      <c r="BS29">
        <f>IF(BR29=0,0,1+COUNTIF(BS$3:BS28,"&gt;0"))</f>
        <v>0</v>
      </c>
      <c r="BT29" t="str">
        <f t="shared" si="37"/>
        <v/>
      </c>
      <c r="BU29" t="str">
        <f t="shared" si="9"/>
        <v/>
      </c>
      <c r="BW29">
        <f>IF(IFERROR(SEARCH("Arcane Trickster",$T29,1),0)&gt;0,1,0)*IF(ArcaneTricksterMaxSpellLevel&gt;=$C29,1,0)*IF(IFERROR(MATCH($B29,Character_Creation!$J$350:$J$356,0),0)&gt;0,0,1)*IF(Character_Creation!$T$338&gt;0,1,0)</f>
        <v>0</v>
      </c>
      <c r="BX29">
        <f>IF(BW29=0,0,1+COUNTIF(BX$3:BX28,"&gt;0"))</f>
        <v>0</v>
      </c>
      <c r="BY29" t="str">
        <f t="shared" si="38"/>
        <v/>
      </c>
      <c r="BZ29" t="str">
        <f t="shared" si="10"/>
        <v/>
      </c>
      <c r="CB29">
        <f>IF(IFERROR(SEARCH("Wizard",$T29,1),0)&gt;0,1,0)*IF(C29&lt;=ArcaneTricksterMaxSpellLevel,1,0)*IF(IFERROR(MATCH($B29,Character_Creation!$J$350:$J$356,0),0)&gt;0,0,1)*IF(Character_Creation!$T$350&gt;0,1,0)</f>
        <v>0</v>
      </c>
      <c r="CC29">
        <f>IF(CB29=0,0,1+COUNTIF(CC$3:CC28,"&gt;0"))</f>
        <v>0</v>
      </c>
      <c r="CD29" t="str">
        <f t="shared" si="39"/>
        <v/>
      </c>
      <c r="CE29" t="str">
        <f t="shared" si="11"/>
        <v/>
      </c>
      <c r="CG29">
        <f>IF(IFERROR(SEARCH("Wizard",$T29,1),0)&gt;0,1,0)*IF($C29&lt;=EldritchKnightMaxSpellLevel,1,0)*IF(IFERROR(MATCH($B29,Character_Creation!$J$350:$J$356,0),0)&gt;0,0,1)*IF(Character_Creation!$M$350&gt;0,1,0)</f>
        <v>0</v>
      </c>
      <c r="CH29">
        <f>IF(CG29=0,0,1+COUNTIF(CH$3:CH28,"&gt;0"))</f>
        <v>0</v>
      </c>
      <c r="CI29">
        <f t="shared" si="40"/>
        <v>27</v>
      </c>
      <c r="CJ29" t="str">
        <f t="shared" si="12"/>
        <v>Grease</v>
      </c>
      <c r="CL29">
        <f>IF(IFERROR(SEARCH("Bard",$T29,1),0)&gt;0,1,0)*IF(BardMaxSpellLevel&gt;=$C29,1,0)*IF(IFERROR(MATCH(B29,Character_Creation!$C$341:$F$362,0),0)&gt;0,0,1)*IF(IFERROR(MATCH($B29,Character_Creation!$C$341:$C$362,0),0)&gt;0,0,1)</f>
        <v>0</v>
      </c>
      <c r="CM29">
        <f>IF(CL29=0,0,1+COUNTIF(CM$3:CM28,"&gt;0"))</f>
        <v>0</v>
      </c>
      <c r="CN29" t="str">
        <f t="shared" si="41"/>
        <v/>
      </c>
      <c r="CO29" t="str">
        <f t="shared" si="13"/>
        <v/>
      </c>
      <c r="CQ29">
        <f>IF(IFERROR(SEARCH("Wizard",$T29,1),0)&gt;0,1,0)*IF(WizardMaxSpellLevel&gt;=$C29,1,0)*IF(IFERROR(MATCH(B29,Character_Creation!$X$341:$X$400,0),0)&gt;0,0,1)*IF(SelectedWizardSpellLevel=$C29,1,0)</f>
        <v>0</v>
      </c>
      <c r="CR29">
        <f>IF(CQ29=0,0,1+COUNTIF(CR$3:CR28,"&gt;0"))</f>
        <v>0</v>
      </c>
      <c r="CS29">
        <f t="shared" si="42"/>
        <v>27</v>
      </c>
      <c r="CT29" t="str">
        <f t="shared" si="14"/>
        <v>Water Breathing</v>
      </c>
      <c r="CV29">
        <f>IF(IFERROR(MATCH($B29,Character_Creation!$C$341:$C$362,0),0)&gt;0,0,1)*IF(OR(C29="Cantrip",C29&lt;=BardMaxSpellLevel),1,0)*IF(IFERROR(MATCH($B29,Character_Creation!$C$367:$C$374,0),0)&gt;0,0,1)</f>
        <v>0</v>
      </c>
      <c r="CW29">
        <f>IF(CV29=0,0,1+COUNTIF(CW$3:CW28,"&gt;0"))</f>
        <v>0</v>
      </c>
      <c r="CX29">
        <f t="shared" si="43"/>
        <v>27</v>
      </c>
      <c r="CY29" t="str">
        <f t="shared" si="15"/>
        <v>Vicious Mockery</v>
      </c>
      <c r="DA29">
        <f>IF(IF(OR(IFERROR(SEARCH("Cleric",$T29,1),0)&gt;0,IFERROR(SEARCH(DivineDomain&amp;",",$T29,1),0)&gt;0),1,0)*IF($C29=DA$2,1,0)=1,1+COUNTIF(DA$3:DA28,"&gt;0"),0)</f>
        <v>0</v>
      </c>
      <c r="DB29">
        <f>IF(IF(OR(IFERROR(SEARCH("Cleric",$T29,1),0)&gt;0,IFERROR(SEARCH(DivineDomain&amp;",",$T29,1),0)&gt;0),1,0)*IF($C29=DB$2,1,0)=1,1+COUNTIF(DB$3:DB28,"&gt;0"),0)</f>
        <v>0</v>
      </c>
      <c r="DC29">
        <f>IF(IF(OR(IFERROR(SEARCH("Cleric",$T29,1),0)&gt;0,IFERROR(SEARCH(DivineDomain&amp;",",$T29,1),0)&gt;0),1,0)*IF($C29=DC$2,1,0)=1,1+COUNTIF(DC$3:DC28,"&gt;0"),0)</f>
        <v>0</v>
      </c>
      <c r="DD29">
        <f>IF(IF(OR(IFERROR(SEARCH("Cleric",$T29,1),0)&gt;0,IFERROR(SEARCH(DivineDomain&amp;",",$T29,1),0)&gt;0),1,0)*IF($C29=DD$2,1,0)=1,1+COUNTIF(DD$3:DD28,"&gt;0"),0)</f>
        <v>0</v>
      </c>
      <c r="DE29">
        <f>IF(IF(OR(IFERROR(SEARCH("Cleric",$T29,1),0)&gt;0,IFERROR(SEARCH(DivineDomain&amp;",",$T29,1),0)&gt;0),1,0)*IF($C29=DE$2,1,0)=1,1+COUNTIF(DE$3:DE28,"&gt;0"),0)</f>
        <v>0</v>
      </c>
      <c r="DF29">
        <f>IF(IF(OR(IFERROR(SEARCH("Cleric",$T29,1),0)&gt;0,IFERROR(SEARCH(DivineDomain&amp;",",$T29,1),0)&gt;0),1,0)*IF($C29=DF$2,1,0)=1,1+COUNTIF(DF$3:DF28,"&gt;0"),0)</f>
        <v>0</v>
      </c>
      <c r="DG29">
        <f>IF(IF(OR(IFERROR(SEARCH("Cleric",$T29,1),0)&gt;0,IFERROR(SEARCH(DivineDomain&amp;",",$T29,1),0)&gt;0),1,0)*IF($C29=DG$2,1,0)=1,1+COUNTIF(DG$3:DG28,"&gt;0"),0)</f>
        <v>0</v>
      </c>
      <c r="DH29">
        <f>IF(IF(OR(IFERROR(SEARCH("Cleric",$T29,1),0)&gt;0,IFERROR(SEARCH(DivineDomain&amp;",",$T29,1),0)&gt;0),1,0)*IF($C29=DH$2,1,0)=1,1+COUNTIF(DH$3:DH28,"&gt;0"),0)</f>
        <v>0</v>
      </c>
      <c r="DI29">
        <f>IF(IF(OR(IFERROR(SEARCH("Cleric",$T29,1),0)&gt;0,IFERROR(SEARCH(DivineDomain&amp;",",$T29,1),0)&gt;0),1,0)*IF($C29=DI$2,1,0)=1,1+COUNTIF(DI$3:DI28,"&gt;0"),0)</f>
        <v>0</v>
      </c>
      <c r="DJ29">
        <f>IF(IF(OR(IFERROR(SEARCH("Druid",$T29,1),0)&gt;0,IFERROR(SEARCH(DruidLand1,$T29,1),0)&gt;0,IFERROR(SEARCH(DruidLand2,$T29,1),0)&gt;0,IFERROR(SEARCH(DruidLand3,$T29,1),0)&gt;0,IFERROR(SEARCH(DruidLand4,$T29,1),0)&gt;0),1,0)*IF($C29=1,1,0)*IF($C29=DJ$2,1,0)=0,0,1+COUNTIF(DJ$3:DJ28,"&gt;0"))</f>
        <v>0</v>
      </c>
      <c r="DK29">
        <f>IF(IF(OR(IFERROR(SEARCH("Druid",$T29,1),0)&gt;0,IFERROR(SEARCH(DruidLand1,$T29,1),0)&gt;0,IFERROR(SEARCH(DruidLand2,$T29,1),0)&gt;0,IFERROR(SEARCH(DruidLand3,$T29,1),0)&gt;0,IFERROR(SEARCH(DruidLand4,$T29,1),0)&gt;0),1,0)*IF($C29=DK$2,1,0)=0,0,1+COUNTIF(DK$3:DK28,"&gt;0"))</f>
        <v>2</v>
      </c>
      <c r="DL29">
        <f>IF(IF(OR(IFERROR(SEARCH("Druid",$T29,1),0)&gt;0,IFERROR(SEARCH(DruidLand1,$T29,1),0)&gt;0,IFERROR(SEARCH(DruidLand2,$T29,1),0)&gt;0,IFERROR(SEARCH(DruidLand3,$T29,1),0)&gt;0,IFERROR(SEARCH(DruidLand4,$T29,1),0)&gt;0),1,0)*IF($C29=DL$2,1,0)=0,0,1+COUNTIF(DL$3:DL28,"&gt;0"))</f>
        <v>0</v>
      </c>
      <c r="DM29">
        <f>IF(IF(OR(IFERROR(SEARCH("Druid",$T29,1),0)&gt;0,IFERROR(SEARCH(DruidLand1,$T29,1),0)&gt;0,IFERROR(SEARCH(DruidLand2,$T29,1),0)&gt;0,IFERROR(SEARCH(DruidLand3,$T29,1),0)&gt;0,IFERROR(SEARCH(DruidLand4,$T29,1),0)&gt;0),1,0)*IF($C29=DM$2,1,0)=0,0,1+COUNTIF(DM$3:DM28,"&gt;0"))</f>
        <v>0</v>
      </c>
      <c r="DN29">
        <f>IF(IF(OR(IFERROR(SEARCH("Druid",$T29,1),0)&gt;0,IFERROR(SEARCH(DruidLand1,$T29,1),0)&gt;0,IFERROR(SEARCH(DruidLand2,$T29,1),0)&gt;0,IFERROR(SEARCH(DruidLand3,$T29,1),0)&gt;0,IFERROR(SEARCH(DruidLand4,$T29,1),0)&gt;0),1,0)*IF($C29=DN$2,1,0)=0,0,1+COUNTIF(DN$3:DN28,"&gt;0"))</f>
        <v>0</v>
      </c>
      <c r="DO29">
        <f>IF(IF(OR(IFERROR(SEARCH("Druid",$T29,1),0)&gt;0,IFERROR(SEARCH(DruidLand1,$T29,1),0)&gt;0,IFERROR(SEARCH(DruidLand2,$T29,1),0)&gt;0,IFERROR(SEARCH(DruidLand3,$T29,1),0)&gt;0,IFERROR(SEARCH(DruidLand4,$T29,1),0)&gt;0),1,0)*IF($C29=DO$2,1,0)=0,0,1+COUNTIF(DO$3:DO28,"&gt;0"))</f>
        <v>0</v>
      </c>
      <c r="DP29">
        <f>IF(IF(OR(IFERROR(SEARCH("Druid",$T29,1),0)&gt;0,IFERROR(SEARCH(DruidLand1,$T29,1),0)&gt;0,IFERROR(SEARCH(DruidLand2,$T29,1),0)&gt;0,IFERROR(SEARCH(DruidLand3,$T29,1),0)&gt;0,IFERROR(SEARCH(DruidLand4,$T29,1),0)&gt;0),1,0)*IF($C29=DP$2,1,0)=0,0,1+COUNTIF(DP$3:DP28,"&gt;0"))</f>
        <v>0</v>
      </c>
      <c r="DQ29">
        <f>IF(IF(OR(IFERROR(SEARCH("Druid",$T29,1),0)&gt;0,IFERROR(SEARCH(DruidLand1,$T29,1),0)&gt;0,IFERROR(SEARCH(DruidLand2,$T29,1),0)&gt;0,IFERROR(SEARCH(DruidLand3,$T29,1),0)&gt;0,IFERROR(SEARCH(DruidLand4,$T29,1),0)&gt;0),1,0)*IF($C29=DQ$2,1,0)=0,0,1+COUNTIF(DQ$3:DQ28,"&gt;0"))</f>
        <v>0</v>
      </c>
      <c r="DR29">
        <f>IF(IF(OR(IFERROR(SEARCH("Druid",$T29,1),0)&gt;0,IFERROR(SEARCH(DruidLand1,$T29,1),0)&gt;0,IFERROR(SEARCH(DruidLand2,$T29,1),0)&gt;0,IFERROR(SEARCH(DruidLand3,$T29,1),0)&gt;0,IFERROR(SEARCH(DruidLand4,$T29,1),0)&gt;0),1,0)*IF($C29=DR$2,1,0)=0,0,1+COUNTIF(DR$3:DR28,"&gt;0"))</f>
        <v>0</v>
      </c>
      <c r="DS29">
        <f>IF(IF(OR(IFERROR(SEARCH("Paladin",$T29,1),0)&gt;0,IFERROR(SEARCH(PaladinOath,$T29,1),0)&gt;0),1,0)*IF($C29=DS$2,1,0)=1,1+COUNTIF(DS$3:DS28,"&gt;0"),0)</f>
        <v>0</v>
      </c>
      <c r="DT29">
        <f>IF(IF(OR(IFERROR(SEARCH("Paladin",$T29,1),0)&gt;0,IFERROR(SEARCH(PaladinOath,$T29,1),0)&gt;0),1,0)*IF($C29=DT$2,1,0)=1,1+COUNTIF(DT$3:DT28,"&gt;0"),0)</f>
        <v>0</v>
      </c>
      <c r="DU29">
        <f>IF(IF(OR(IFERROR(SEARCH("Paladin",$T29,1),0)&gt;0,IFERROR(SEARCH(PaladinOath,$T29,1),0)&gt;0),1,0)*IF($C29=DU$2,1,0)=1,1+COUNTIF(DU$3:DU28,"&gt;0"),0)</f>
        <v>0</v>
      </c>
      <c r="DV29">
        <f>IF(IF(OR(IFERROR(SEARCH("Paladin",$T29,1),0)&gt;0,IFERROR(SEARCH(PaladinOath,$T29,1),0)&gt;0),1,0)*IF($C29=DV$2,1,0)=1,1+COUNTIF(DV$3:DV28,"&gt;0"),0)</f>
        <v>0</v>
      </c>
      <c r="DW29">
        <f>IF(IF(OR(IFERROR(SEARCH("Paladin",$T29,1),0)&gt;0,IFERROR(SEARCH(PaladinOath,$T29,1),0)&gt;0),1,0)*IF($C29=DW$2,1,0)=1,1+COUNTIF(DW$3:DW28,"&gt;0"),0)</f>
        <v>0</v>
      </c>
      <c r="DY29">
        <f t="shared" si="2"/>
        <v>1</v>
      </c>
      <c r="DZ29">
        <f>IF(DY29=0,0,1+MAX(DZ$3:$DZ28))</f>
        <v>27</v>
      </c>
      <c r="EB29">
        <f t="shared" si="16"/>
        <v>0</v>
      </c>
      <c r="EC29">
        <f>IF(EB29=0,0,1+COUNTIF(EC$3:EC28,"&gt;0"))</f>
        <v>0</v>
      </c>
      <c r="ED29" t="str">
        <f t="shared" si="44"/>
        <v/>
      </c>
      <c r="EE29" t="str">
        <f t="shared" si="17"/>
        <v/>
      </c>
      <c r="EG29">
        <f t="shared" si="18"/>
        <v>0</v>
      </c>
      <c r="EH29">
        <f>IF(EG29=0,0,1+COUNTIF(EH$3:EH28,"&gt;0"))</f>
        <v>0</v>
      </c>
      <c r="EI29" t="str">
        <f t="shared" si="45"/>
        <v/>
      </c>
      <c r="EJ29" t="str">
        <f t="shared" si="19"/>
        <v/>
      </c>
      <c r="EL29">
        <f t="shared" si="20"/>
        <v>0</v>
      </c>
      <c r="EM29">
        <f>IF(EL29=0,0,1+COUNTIF(EM$3:EM28,"&gt;0"))</f>
        <v>0</v>
      </c>
      <c r="EN29" t="str">
        <f t="shared" si="46"/>
        <v/>
      </c>
      <c r="EO29" t="str">
        <f t="shared" si="21"/>
        <v/>
      </c>
      <c r="EQ29">
        <f t="shared" si="22"/>
        <v>0</v>
      </c>
      <c r="ER29">
        <f>IF(EQ29=0,0,1+COUNTIF(ER$3:ER28,"&gt;0"))</f>
        <v>0</v>
      </c>
      <c r="ES29" t="str">
        <f t="shared" si="47"/>
        <v/>
      </c>
      <c r="ET29" t="str">
        <f t="shared" si="23"/>
        <v/>
      </c>
      <c r="EV29">
        <f t="shared" si="24"/>
        <v>0</v>
      </c>
      <c r="EW29">
        <f>IF(EV29=0,0,1+COUNTIF(EW$3:EW28,"&gt;0"))</f>
        <v>0</v>
      </c>
      <c r="EX29" t="str">
        <f t="shared" si="48"/>
        <v/>
      </c>
      <c r="EY29" t="str">
        <f t="shared" si="25"/>
        <v/>
      </c>
      <c r="FA29">
        <f t="shared" si="26"/>
        <v>0</v>
      </c>
      <c r="FB29">
        <f>IF(FA29=0,0,1+COUNTIF(FB$3:FB28,"&gt;0"))</f>
        <v>0</v>
      </c>
      <c r="FC29" t="str">
        <f t="shared" si="49"/>
        <v/>
      </c>
      <c r="FD29" t="str">
        <f t="shared" si="27"/>
        <v/>
      </c>
      <c r="FF29">
        <f t="shared" si="28"/>
        <v>0</v>
      </c>
      <c r="FG29">
        <f>IF(FF29=0,0,1+COUNTIF(FG$3:FG28,"&gt;0"))</f>
        <v>0</v>
      </c>
      <c r="FH29" t="str">
        <f t="shared" si="50"/>
        <v/>
      </c>
      <c r="FI29" t="str">
        <f t="shared" si="29"/>
        <v/>
      </c>
      <c r="FK29">
        <f t="shared" si="30"/>
        <v>0</v>
      </c>
      <c r="FL29">
        <f>IF(FK29=0,0,1+COUNTIF(FL$3:FL28,"&gt;0"))</f>
        <v>0</v>
      </c>
      <c r="FM29" t="str">
        <f t="shared" si="51"/>
        <v/>
      </c>
      <c r="FN29" t="str">
        <f t="shared" si="31"/>
        <v/>
      </c>
      <c r="FP29">
        <f t="shared" si="32"/>
        <v>0</v>
      </c>
      <c r="FQ29">
        <f>IF(FP29=0,0,1+COUNTIF(FQ$3:FQ28,"&gt;0"))</f>
        <v>0</v>
      </c>
      <c r="FR29" t="str">
        <f t="shared" si="52"/>
        <v/>
      </c>
      <c r="FS29" t="str">
        <f t="shared" si="33"/>
        <v/>
      </c>
    </row>
    <row r="30" spans="1:175" x14ac:dyDescent="0.25">
      <c r="A30" s="347">
        <f t="shared" si="53"/>
        <v>28</v>
      </c>
      <c r="B30" s="348" t="s">
        <v>2384</v>
      </c>
      <c r="C30" s="348">
        <v>3</v>
      </c>
      <c r="D30" s="347">
        <v>3</v>
      </c>
      <c r="E30" s="627" t="s">
        <v>6952</v>
      </c>
      <c r="F30" s="346"/>
      <c r="G30" s="347" t="str">
        <f>""</f>
        <v/>
      </c>
      <c r="H30" s="347" t="s">
        <v>5912</v>
      </c>
      <c r="I30" s="347" t="s">
        <v>5060</v>
      </c>
      <c r="J30" s="347" t="str">
        <f t="shared" si="3"/>
        <v/>
      </c>
      <c r="K30" s="347" t="s">
        <v>5291</v>
      </c>
      <c r="L30" s="611" t="str">
        <f t="shared" si="4"/>
        <v>V, S</v>
      </c>
      <c r="M30" s="347" t="s">
        <v>2373</v>
      </c>
      <c r="N30" s="347" t="s">
        <v>2387</v>
      </c>
      <c r="O30" s="347" t="s">
        <v>3034</v>
      </c>
      <c r="P30" s="346" t="str">
        <f>""</f>
        <v/>
      </c>
      <c r="Q30" s="347" t="s">
        <v>5270</v>
      </c>
      <c r="S30" s="346" t="s">
        <v>2385</v>
      </c>
      <c r="T30" s="346" t="str">
        <f t="shared" si="5"/>
        <v xml:space="preserve">Cleric, Devotion, Life, </v>
      </c>
      <c r="Z30" s="347" t="str">
        <f>$B30</f>
        <v>Beacon of Hope</v>
      </c>
      <c r="AE30" t="str">
        <f>IF(IFERROR(MATCH($B30,temp!A$4:A$13,0),0)&gt;0,T08_Spells!AE$2,"")</f>
        <v>Devotion</v>
      </c>
      <c r="AF30" t="str">
        <f>IF(IFERROR(MATCH($B30,temp!B$4:B$13,0),0)&gt;0,T08_Spells!AF$2,"")</f>
        <v/>
      </c>
      <c r="AG30" t="str">
        <f>IF(IFERROR(MATCH($B30,temp!C$4:C$13,0),0)&gt;0,T08_Spells!AG$2,"")</f>
        <v/>
      </c>
      <c r="AH30" t="str">
        <f>IF(IFERROR(MATCH($B30,temp!D$4:D$13,0),0)&gt;0,T08_Spells!AH$2,"")</f>
        <v/>
      </c>
      <c r="AI30" t="str">
        <f>IF(IFERROR(MATCH($B30,temp!E$4:E$13,0),0)&gt;0,T08_Spells!AI$2,"")</f>
        <v/>
      </c>
      <c r="AJ30" t="str">
        <f>IF(IFERROR(MATCH($B30,temp!F$4:F$13,0),0)&gt;0,T08_Spells!AJ$2,"")</f>
        <v/>
      </c>
      <c r="AK30" t="str">
        <f>IF(IFERROR(MATCH($B30,temp!G$4:G$13,0),0)&gt;0,T08_Spells!AK$2,"")</f>
        <v/>
      </c>
      <c r="AL30" t="str">
        <f>IF(IFERROR(MATCH($B30,temp!H$4:H$13,0),0)&gt;0,T08_Spells!AL$2,"")</f>
        <v/>
      </c>
      <c r="AM30" t="str">
        <f>IF(IFERROR(MATCH($B30,temp!I$4:I$13,0),0)&gt;0,T08_Spells!AM$2,"")</f>
        <v/>
      </c>
      <c r="AN30" t="str">
        <f>IF(IFERROR(MATCH($B30,temp!J$4:J$13,0),0)&gt;0,T08_Spells!AN$2,"")</f>
        <v/>
      </c>
      <c r="AO30" t="str">
        <f>IF(IFERROR(MATCH($B30,temp!K$4:K$13,0),0)&gt;0,T08_Spells!AO$2,"")</f>
        <v/>
      </c>
      <c r="AP30" t="str">
        <f>IF(IFERROR(MATCH($B30,temp!L$4:L$13,0),0)&gt;0,T08_Spells!AP$2,"")</f>
        <v/>
      </c>
      <c r="AQ30" t="str">
        <f>IF(IFERROR(MATCH($B30,temp!M$4:M$13,0),0)&gt;0,T08_Spells!AQ$2,"")</f>
        <v/>
      </c>
      <c r="AR30" t="str">
        <f>IF(IFERROR(MATCH($B30,temp!N$4:N$13,0),0)&gt;0,T08_Spells!AR$2,"")</f>
        <v/>
      </c>
      <c r="AS30" t="str">
        <f>IF(IFERROR(MATCH($B30,temp!O$4:O$13,0),0)&gt;0,T08_Spells!AS$2,"")</f>
        <v/>
      </c>
      <c r="AT30" t="str">
        <f>IF(IFERROR(MATCH($B30,temp!P$4:P$13,0),0)&gt;0,T08_Spells!AT$2,"")</f>
        <v/>
      </c>
      <c r="AU30" t="str">
        <f>IF(IFERROR(MATCH($B30,temp!Q$4:Q$13,0),0)&gt;0,T08_Spells!AU$2,"")</f>
        <v>Life</v>
      </c>
      <c r="AV30" t="str">
        <f>IF(IFERROR(MATCH($B30,temp!R$4:R$13,0),0)&gt;0,T08_Spells!AV$2,"")</f>
        <v/>
      </c>
      <c r="AW30" t="str">
        <f>IF(IFERROR(MATCH($B30,temp!S$4:S$13,0),0)&gt;0,T08_Spells!AW$2,"")</f>
        <v/>
      </c>
      <c r="AX30" t="str">
        <f>IF(IFERROR(MATCH($B30,temp!T$4:T$13,0),0)&gt;0,T08_Spells!AX$2,"")</f>
        <v/>
      </c>
      <c r="AY30" t="str">
        <f>IF(IFERROR(MATCH($B30,temp!U$4:U$13,0),0)&gt;0,T08_Spells!AY$2,"")</f>
        <v/>
      </c>
      <c r="AZ30" t="str">
        <f>IF(IFERROR(MATCH($B30,temp!V$4:V$13,0),0)&gt;0,T08_Spells!AZ$2,"")</f>
        <v/>
      </c>
      <c r="BA30" t="str">
        <f>IF(IFERROR(MATCH($B30,temp!W$4:W$13,0),0)&gt;0,T08_Spells!BA$2,"")</f>
        <v/>
      </c>
      <c r="BC30">
        <f>IF(IFERROR(SEARCH("Ranger",$T30,1),0)&gt;0,1,0)*IF(RangerMaxSpellLevel&gt;=$C30,1,0)*IF(IFERROR(MATCH(B30,Character_Creation!$X$79:$X$382,0),0)&gt;0,0,1)</f>
        <v>0</v>
      </c>
      <c r="BD30">
        <f>IF(BC30=0,0,1+COUNTIF(BD$3:BD29,"&gt;0"))</f>
        <v>0</v>
      </c>
      <c r="BE30" t="str">
        <f t="shared" si="34"/>
        <v/>
      </c>
      <c r="BF30" t="str">
        <f t="shared" si="6"/>
        <v/>
      </c>
      <c r="BH30">
        <f>IF(IFERROR(SEARCH("Sorcerer",$T30,1),0)&gt;0,1,0)*IF(SorcererMaxSpellLevel&gt;=$C30,1,0)*IF(IFERROR(MATCH(B30,Character_Creation!$J$380:$J$394,0),0)&gt;0,0,1)</f>
        <v>0</v>
      </c>
      <c r="BI30">
        <f>IF(BH30=0,0,1+COUNTIF(BI$3:BI29,"&gt;0"))</f>
        <v>0</v>
      </c>
      <c r="BJ30" t="str">
        <f t="shared" si="35"/>
        <v/>
      </c>
      <c r="BK30" t="str">
        <f t="shared" si="7"/>
        <v/>
      </c>
      <c r="BM30">
        <f>IF(OR(IFERROR(SEARCH("Warlock",$T30,1),0)&gt;0,IFERROR(SEARCH(WarlockPatron,$T30,1),0)&gt;0),1,0)*IF(WarlockMaxSpellLevel&gt;=$C30,1,0)*IF(IFERROR(MATCH(B30,Character_Creation!$J$361:$J$375,0),0)&gt;0,0,1)</f>
        <v>0</v>
      </c>
      <c r="BN30">
        <f>IF(BM30=0,0,1+COUNTIF(BN$3:BN29,"&gt;0"))</f>
        <v>0</v>
      </c>
      <c r="BO30" t="str">
        <f t="shared" si="36"/>
        <v/>
      </c>
      <c r="BP30" t="str">
        <f t="shared" si="8"/>
        <v/>
      </c>
      <c r="BR30">
        <f>IF(IFERROR(SEARCH("Eldritch Knight",$T30,1),0)&gt;0,1,0)*IF(EldritchKnightMaxSpellLevel&gt;=$C30,1,0)*IF(IFERROR(MATCH($B30,Character_Creation!$J$350:$J$356,0),0)&gt;0,0,1)*IF(Character_Creation!$M$338&gt;0,1,0)</f>
        <v>0</v>
      </c>
      <c r="BS30">
        <f>IF(BR30=0,0,1+COUNTIF(BS$3:BS29,"&gt;0"))</f>
        <v>0</v>
      </c>
      <c r="BT30" t="str">
        <f t="shared" si="37"/>
        <v/>
      </c>
      <c r="BU30" t="str">
        <f t="shared" si="9"/>
        <v/>
      </c>
      <c r="BW30">
        <f>IF(IFERROR(SEARCH("Arcane Trickster",$T30,1),0)&gt;0,1,0)*IF(ArcaneTricksterMaxSpellLevel&gt;=$C30,1,0)*IF(IFERROR(MATCH($B30,Character_Creation!$J$350:$J$356,0),0)&gt;0,0,1)*IF(Character_Creation!$T$338&gt;0,1,0)</f>
        <v>0</v>
      </c>
      <c r="BX30">
        <f>IF(BW30=0,0,1+COUNTIF(BX$3:BX29,"&gt;0"))</f>
        <v>0</v>
      </c>
      <c r="BY30" t="str">
        <f t="shared" si="38"/>
        <v/>
      </c>
      <c r="BZ30" t="str">
        <f t="shared" si="10"/>
        <v/>
      </c>
      <c r="CB30">
        <f>IF(IFERROR(SEARCH("Wizard",$T30,1),0)&gt;0,1,0)*IF(C30&lt;=ArcaneTricksterMaxSpellLevel,1,0)*IF(IFERROR(MATCH($B30,Character_Creation!$J$350:$J$356,0),0)&gt;0,0,1)*IF(Character_Creation!$T$350&gt;0,1,0)</f>
        <v>0</v>
      </c>
      <c r="CC30">
        <f>IF(CB30=0,0,1+COUNTIF(CC$3:CC29,"&gt;0"))</f>
        <v>0</v>
      </c>
      <c r="CD30" t="str">
        <f t="shared" si="39"/>
        <v/>
      </c>
      <c r="CE30" t="str">
        <f t="shared" si="11"/>
        <v/>
      </c>
      <c r="CG30">
        <f>IF(IFERROR(SEARCH("Wizard",$T30,1),0)&gt;0,1,0)*IF($C30&lt;=EldritchKnightMaxSpellLevel,1,0)*IF(IFERROR(MATCH($B30,Character_Creation!$J$350:$J$356,0),0)&gt;0,0,1)*IF(Character_Creation!$M$350&gt;0,1,0)</f>
        <v>0</v>
      </c>
      <c r="CH30">
        <f>IF(CG30=0,0,1+COUNTIF(CH$3:CH29,"&gt;0"))</f>
        <v>0</v>
      </c>
      <c r="CI30">
        <f t="shared" si="40"/>
        <v>28</v>
      </c>
      <c r="CJ30" t="str">
        <f t="shared" si="12"/>
        <v>Gust of Wind</v>
      </c>
      <c r="CL30">
        <f>IF(IFERROR(SEARCH("Bard",$T30,1),0)&gt;0,1,0)*IF(BardMaxSpellLevel&gt;=$C30,1,0)*IF(IFERROR(MATCH(B30,Character_Creation!$C$341:$F$362,0),0)&gt;0,0,1)*IF(IFERROR(MATCH($B30,Character_Creation!$C$341:$C$362,0),0)&gt;0,0,1)</f>
        <v>0</v>
      </c>
      <c r="CM30">
        <f>IF(CL30=0,0,1+COUNTIF(CM$3:CM29,"&gt;0"))</f>
        <v>0</v>
      </c>
      <c r="CN30" t="str">
        <f t="shared" si="41"/>
        <v/>
      </c>
      <c r="CO30" t="str">
        <f t="shared" si="13"/>
        <v/>
      </c>
      <c r="CQ30">
        <f>IF(IFERROR(SEARCH("Wizard",$T30,1),0)&gt;0,1,0)*IF(WizardMaxSpellLevel&gt;=$C30,1,0)*IF(IFERROR(MATCH(B30,Character_Creation!$X$341:$X$400,0),0)&gt;0,0,1)*IF(SelectedWizardSpellLevel=$C30,1,0)</f>
        <v>0</v>
      </c>
      <c r="CR30">
        <f>IF(CQ30=0,0,1+COUNTIF(CR$3:CR29,"&gt;0"))</f>
        <v>0</v>
      </c>
      <c r="CS30">
        <f t="shared" si="42"/>
        <v>28</v>
      </c>
      <c r="CT30" t="str">
        <f t="shared" si="14"/>
        <v>Erupting Earth</v>
      </c>
      <c r="CV30">
        <f>IF(IFERROR(MATCH($B30,Character_Creation!$C$341:$C$362,0),0)&gt;0,0,1)*IF(OR(C30="Cantrip",C30&lt;=BardMaxSpellLevel),1,0)*IF(IFERROR(MATCH($B30,Character_Creation!$C$367:$C$374,0),0)&gt;0,0,1)</f>
        <v>0</v>
      </c>
      <c r="CW30">
        <f>IF(CV30=0,0,1+COUNTIF(CW$3:CW29,"&gt;0"))</f>
        <v>0</v>
      </c>
      <c r="CX30">
        <f t="shared" si="43"/>
        <v>28</v>
      </c>
      <c r="CY30" t="str">
        <f t="shared" si="15"/>
        <v>Create Bonfire</v>
      </c>
      <c r="DA30">
        <f>IF(IF(OR(IFERROR(SEARCH("Cleric",$T30,1),0)&gt;0,IFERROR(SEARCH(DivineDomain&amp;",",$T30,1),0)&gt;0),1,0)*IF($C30=DA$2,1,0)=1,1+COUNTIF(DA$3:DA29,"&gt;0"),0)</f>
        <v>0</v>
      </c>
      <c r="DB30">
        <f>IF(IF(OR(IFERROR(SEARCH("Cleric",$T30,1),0)&gt;0,IFERROR(SEARCH(DivineDomain&amp;",",$T30,1),0)&gt;0),1,0)*IF($C30=DB$2,1,0)=1,1+COUNTIF(DB$3:DB29,"&gt;0"),0)</f>
        <v>0</v>
      </c>
      <c r="DC30">
        <f>IF(IF(OR(IFERROR(SEARCH("Cleric",$T30,1),0)&gt;0,IFERROR(SEARCH(DivineDomain&amp;",",$T30,1),0)&gt;0),1,0)*IF($C30=DC$2,1,0)=1,1+COUNTIF(DC$3:DC29,"&gt;0"),0)</f>
        <v>2</v>
      </c>
      <c r="DD30">
        <f>IF(IF(OR(IFERROR(SEARCH("Cleric",$T30,1),0)&gt;0,IFERROR(SEARCH(DivineDomain&amp;",",$T30,1),0)&gt;0),1,0)*IF($C30=DD$2,1,0)=1,1+COUNTIF(DD$3:DD29,"&gt;0"),0)</f>
        <v>0</v>
      </c>
      <c r="DE30">
        <f>IF(IF(OR(IFERROR(SEARCH("Cleric",$T30,1),0)&gt;0,IFERROR(SEARCH(DivineDomain&amp;",",$T30,1),0)&gt;0),1,0)*IF($C30=DE$2,1,0)=1,1+COUNTIF(DE$3:DE29,"&gt;0"),0)</f>
        <v>0</v>
      </c>
      <c r="DF30">
        <f>IF(IF(OR(IFERROR(SEARCH("Cleric",$T30,1),0)&gt;0,IFERROR(SEARCH(DivineDomain&amp;",",$T30,1),0)&gt;0),1,0)*IF($C30=DF$2,1,0)=1,1+COUNTIF(DF$3:DF29,"&gt;0"),0)</f>
        <v>0</v>
      </c>
      <c r="DG30">
        <f>IF(IF(OR(IFERROR(SEARCH("Cleric",$T30,1),0)&gt;0,IFERROR(SEARCH(DivineDomain&amp;",",$T30,1),0)&gt;0),1,0)*IF($C30=DG$2,1,0)=1,1+COUNTIF(DG$3:DG29,"&gt;0"),0)</f>
        <v>0</v>
      </c>
      <c r="DH30">
        <f>IF(IF(OR(IFERROR(SEARCH("Cleric",$T30,1),0)&gt;0,IFERROR(SEARCH(DivineDomain&amp;",",$T30,1),0)&gt;0),1,0)*IF($C30=DH$2,1,0)=1,1+COUNTIF(DH$3:DH29,"&gt;0"),0)</f>
        <v>0</v>
      </c>
      <c r="DI30">
        <f>IF(IF(OR(IFERROR(SEARCH("Cleric",$T30,1),0)&gt;0,IFERROR(SEARCH(DivineDomain&amp;",",$T30,1),0)&gt;0),1,0)*IF($C30=DI$2,1,0)=1,1+COUNTIF(DI$3:DI29,"&gt;0"),0)</f>
        <v>0</v>
      </c>
      <c r="DJ30">
        <f>IF(IF(OR(IFERROR(SEARCH("Druid",$T30,1),0)&gt;0,IFERROR(SEARCH(DruidLand1,$T30,1),0)&gt;0,IFERROR(SEARCH(DruidLand2,$T30,1),0)&gt;0,IFERROR(SEARCH(DruidLand3,$T30,1),0)&gt;0,IFERROR(SEARCH(DruidLand4,$T30,1),0)&gt;0),1,0)*IF($C30=1,1,0)*IF($C30=DJ$2,1,0)=0,0,1+COUNTIF(DJ$3:DJ29,"&gt;0"))</f>
        <v>0</v>
      </c>
      <c r="DK30">
        <f>IF(IF(OR(IFERROR(SEARCH("Druid",$T30,1),0)&gt;0,IFERROR(SEARCH(DruidLand1,$T30,1),0)&gt;0,IFERROR(SEARCH(DruidLand2,$T30,1),0)&gt;0,IFERROR(SEARCH(DruidLand3,$T30,1),0)&gt;0,IFERROR(SEARCH(DruidLand4,$T30,1),0)&gt;0),1,0)*IF($C30=1,1,0)*IF($C30=DK$2,1,0)=0,0,1+COUNTIF(DK$3:DK29,"&gt;0"))</f>
        <v>0</v>
      </c>
      <c r="DL30">
        <f>IF(IF(OR(IFERROR(SEARCH("Druid",$T30,1),0)&gt;0,IFERROR(SEARCH(DruidLand1,$T30,1),0)&gt;0,IFERROR(SEARCH(DruidLand2,$T30,1),0)&gt;0,IFERROR(SEARCH(DruidLand3,$T30,1),0)&gt;0,IFERROR(SEARCH(DruidLand4,$T30,1),0)&gt;0),1,0)*IF($C30=1,1,0)*IF($C30=DL$2,1,0)=0,0,1+COUNTIF(DL$3:DL29,"&gt;0"))</f>
        <v>0</v>
      </c>
      <c r="DM30">
        <f>IF(IF(OR(IFERROR(SEARCH("Druid",$T30,1),0)&gt;0,IFERROR(SEARCH(DruidLand1,$T30,1),0)&gt;0,IFERROR(SEARCH(DruidLand2,$T30,1),0)&gt;0,IFERROR(SEARCH(DruidLand3,$T30,1),0)&gt;0,IFERROR(SEARCH(DruidLand4,$T30,1),0)&gt;0),1,0)*IF($C30=1,1,0)*IF($C30=DM$2,1,0)=0,0,1+COUNTIF(DM$3:DM29,"&gt;0"))</f>
        <v>0</v>
      </c>
      <c r="DN30">
        <f>IF(IF(OR(IFERROR(SEARCH("Druid",$T30,1),0)&gt;0,IFERROR(SEARCH(DruidLand1,$T30,1),0)&gt;0,IFERROR(SEARCH(DruidLand2,$T30,1),0)&gt;0,IFERROR(SEARCH(DruidLand3,$T30,1),0)&gt;0,IFERROR(SEARCH(DruidLand4,$T30,1),0)&gt;0),1,0)*IF($C30=1,1,0)*IF($C30=DN$2,1,0)=0,0,1+COUNTIF(DN$3:DN29,"&gt;0"))</f>
        <v>0</v>
      </c>
      <c r="DO30">
        <f>IF(IF(OR(IFERROR(SEARCH("Druid",$T30,1),0)&gt;0,IFERROR(SEARCH(DruidLand1,$T30,1),0)&gt;0,IFERROR(SEARCH(DruidLand2,$T30,1),0)&gt;0,IFERROR(SEARCH(DruidLand3,$T30,1),0)&gt;0,IFERROR(SEARCH(DruidLand4,$T30,1),0)&gt;0),1,0)*IF($C30=1,1,0)*IF($C30=DO$2,1,0)=0,0,1+COUNTIF(DO$3:DO29,"&gt;0"))</f>
        <v>0</v>
      </c>
      <c r="DP30">
        <f>IF(IF(OR(IFERROR(SEARCH("Druid",$T30,1),0)&gt;0,IFERROR(SEARCH(DruidLand1,$T30,1),0)&gt;0,IFERROR(SEARCH(DruidLand2,$T30,1),0)&gt;0,IFERROR(SEARCH(DruidLand3,$T30,1),0)&gt;0,IFERROR(SEARCH(DruidLand4,$T30,1),0)&gt;0),1,0)*IF($C30=1,1,0)*IF($C30=DP$2,1,0)=0,0,1+COUNTIF(DP$3:DP29,"&gt;0"))</f>
        <v>0</v>
      </c>
      <c r="DQ30">
        <f>IF(IF(OR(IFERROR(SEARCH("Druid",$T30,1),0)&gt;0,IFERROR(SEARCH(DruidLand1,$T30,1),0)&gt;0,IFERROR(SEARCH(DruidLand2,$T30,1),0)&gt;0,IFERROR(SEARCH(DruidLand3,$T30,1),0)&gt;0,IFERROR(SEARCH(DruidLand4,$T30,1),0)&gt;0),1,0)*IF($C30=1,1,0)*IF($C30=DQ$2,1,0)=0,0,1+COUNTIF(DQ$3:DQ29,"&gt;0"))</f>
        <v>0</v>
      </c>
      <c r="DR30">
        <f>IF(IF(OR(IFERROR(SEARCH("Druid",$T30,1),0)&gt;0,IFERROR(SEARCH(DruidLand1,$T30,1),0)&gt;0,IFERROR(SEARCH(DruidLand2,$T30,1),0)&gt;0,IFERROR(SEARCH(DruidLand3,$T30,1),0)&gt;0,IFERROR(SEARCH(DruidLand4,$T30,1),0)&gt;0),1,0)*IF($C30=1,1,0)*IF($C30=DR$2,1,0)=0,0,1+COUNTIF(DR$3:DR29,"&gt;0"))</f>
        <v>0</v>
      </c>
      <c r="DS30">
        <f>IF(IF(OR(IFERROR(SEARCH("Paladin",$T30,1),0)&gt;0,IFERROR(SEARCH(PaladinOath,$T30,1),0)&gt;0),1,0)*IF($C30=DS$2,1,0)=1,1+COUNTIF(DS$3:DS29,"&gt;0"),0)</f>
        <v>0</v>
      </c>
      <c r="DT30">
        <f>IF(IF(OR(IFERROR(SEARCH("Paladin",$T30,1),0)&gt;0,IFERROR(SEARCH(PaladinOath,$T30,1),0)&gt;0),1,0)*IF($C30=DT$2,1,0)=1,1+COUNTIF(DT$3:DT29,"&gt;0"),0)</f>
        <v>0</v>
      </c>
      <c r="DU30">
        <f>IF(IF(OR(IFERROR(SEARCH("Paladin",$T30,1),0)&gt;0,IFERROR(SEARCH(PaladinOath,$T30,1),0)&gt;0),1,0)*IF($C30=DU$2,1,0)=1,1+COUNTIF(DU$3:DU29,"&gt;0"),0)</f>
        <v>0</v>
      </c>
      <c r="DV30">
        <f>IF(IF(OR(IFERROR(SEARCH("Paladin",$T30,1),0)&gt;0,IFERROR(SEARCH(PaladinOath,$T30,1),0)&gt;0),1,0)*IF($C30=DV$2,1,0)=1,1+COUNTIF(DV$3:DV29,"&gt;0"),0)</f>
        <v>0</v>
      </c>
      <c r="DW30">
        <f>IF(IF(OR(IFERROR(SEARCH("Paladin",$T30,1),0)&gt;0,IFERROR(SEARCH(PaladinOath,$T30,1),0)&gt;0),1,0)*IF($C30=DW$2,1,0)=1,1+COUNTIF(DW$3:DW29,"&gt;0"),0)</f>
        <v>0</v>
      </c>
      <c r="DY30">
        <f t="shared" si="2"/>
        <v>1</v>
      </c>
      <c r="DZ30">
        <f>IF(DY30=0,0,1+MAX(DZ$3:$DZ29))</f>
        <v>28</v>
      </c>
      <c r="EB30">
        <f t="shared" si="16"/>
        <v>0</v>
      </c>
      <c r="EC30">
        <f>IF(EB30=0,0,1+COUNTIF(EC$3:EC29,"&gt;0"))</f>
        <v>0</v>
      </c>
      <c r="ED30" t="str">
        <f t="shared" si="44"/>
        <v/>
      </c>
      <c r="EE30" t="str">
        <f t="shared" si="17"/>
        <v/>
      </c>
      <c r="EG30">
        <f t="shared" si="18"/>
        <v>0</v>
      </c>
      <c r="EH30">
        <f>IF(EG30=0,0,1+COUNTIF(EH$3:EH29,"&gt;0"))</f>
        <v>0</v>
      </c>
      <c r="EI30" t="str">
        <f t="shared" si="45"/>
        <v/>
      </c>
      <c r="EJ30" t="str">
        <f t="shared" si="19"/>
        <v/>
      </c>
      <c r="EL30">
        <f t="shared" si="20"/>
        <v>0</v>
      </c>
      <c r="EM30">
        <f>IF(EL30=0,0,1+COUNTIF(EM$3:EM29,"&gt;0"))</f>
        <v>0</v>
      </c>
      <c r="EN30" t="str">
        <f t="shared" si="46"/>
        <v/>
      </c>
      <c r="EO30" t="str">
        <f t="shared" si="21"/>
        <v/>
      </c>
      <c r="EQ30">
        <f t="shared" si="22"/>
        <v>0</v>
      </c>
      <c r="ER30">
        <f>IF(EQ30=0,0,1+COUNTIF(ER$3:ER29,"&gt;0"))</f>
        <v>0</v>
      </c>
      <c r="ES30" t="str">
        <f t="shared" si="47"/>
        <v/>
      </c>
      <c r="ET30" t="str">
        <f t="shared" si="23"/>
        <v/>
      </c>
      <c r="EV30">
        <f t="shared" si="24"/>
        <v>0</v>
      </c>
      <c r="EW30">
        <f>IF(EV30=0,0,1+COUNTIF(EW$3:EW29,"&gt;0"))</f>
        <v>0</v>
      </c>
      <c r="EX30" t="str">
        <f t="shared" si="48"/>
        <v/>
      </c>
      <c r="EY30" t="str">
        <f t="shared" si="25"/>
        <v/>
      </c>
      <c r="FA30">
        <f t="shared" si="26"/>
        <v>0</v>
      </c>
      <c r="FB30">
        <f>IF(FA30=0,0,1+COUNTIF(FB$3:FB29,"&gt;0"))</f>
        <v>0</v>
      </c>
      <c r="FC30" t="str">
        <f t="shared" si="49"/>
        <v/>
      </c>
      <c r="FD30" t="str">
        <f t="shared" si="27"/>
        <v/>
      </c>
      <c r="FF30">
        <f t="shared" si="28"/>
        <v>0</v>
      </c>
      <c r="FG30">
        <f>IF(FF30=0,0,1+COUNTIF(FG$3:FG29,"&gt;0"))</f>
        <v>0</v>
      </c>
      <c r="FH30" t="str">
        <f t="shared" si="50"/>
        <v/>
      </c>
      <c r="FI30" t="str">
        <f t="shared" si="29"/>
        <v/>
      </c>
      <c r="FK30">
        <f t="shared" si="30"/>
        <v>0</v>
      </c>
      <c r="FL30">
        <f>IF(FK30=0,0,1+COUNTIF(FL$3:FL29,"&gt;0"))</f>
        <v>0</v>
      </c>
      <c r="FM30" t="str">
        <f t="shared" si="51"/>
        <v/>
      </c>
      <c r="FN30" t="str">
        <f t="shared" si="31"/>
        <v/>
      </c>
      <c r="FP30">
        <f t="shared" si="32"/>
        <v>0</v>
      </c>
      <c r="FQ30">
        <f>IF(FP30=0,0,1+COUNTIF(FQ$3:FQ29,"&gt;0"))</f>
        <v>0</v>
      </c>
      <c r="FR30" t="str">
        <f t="shared" si="52"/>
        <v/>
      </c>
      <c r="FS30" t="str">
        <f t="shared" si="33"/>
        <v/>
      </c>
    </row>
    <row r="31" spans="1:175" x14ac:dyDescent="0.25">
      <c r="A31" s="347">
        <f t="shared" si="53"/>
        <v>29</v>
      </c>
      <c r="B31" s="348" t="s">
        <v>2386</v>
      </c>
      <c r="C31" s="348">
        <v>2</v>
      </c>
      <c r="D31" s="347">
        <v>2</v>
      </c>
      <c r="E31" s="627" t="s">
        <v>6952</v>
      </c>
      <c r="F31" s="346"/>
      <c r="G31" s="347" t="s">
        <v>5269</v>
      </c>
      <c r="H31" s="347" t="s">
        <v>5913</v>
      </c>
      <c r="I31" s="347" t="s">
        <v>5298</v>
      </c>
      <c r="J31" s="347" t="str">
        <f t="shared" si="3"/>
        <v/>
      </c>
      <c r="K31" s="347" t="s">
        <v>5284</v>
      </c>
      <c r="L31" s="611" t="str">
        <f t="shared" si="4"/>
        <v>S</v>
      </c>
      <c r="M31" s="347" t="s">
        <v>3034</v>
      </c>
      <c r="N31" s="347" t="s">
        <v>2387</v>
      </c>
      <c r="O31" s="347" t="s">
        <v>3034</v>
      </c>
      <c r="P31" s="346" t="str">
        <f>""</f>
        <v/>
      </c>
      <c r="Q31" s="347" t="s">
        <v>2473</v>
      </c>
      <c r="S31" s="346" t="s">
        <v>2388</v>
      </c>
      <c r="T31" s="346" t="str">
        <f t="shared" si="5"/>
        <v xml:space="preserve">Druid, </v>
      </c>
      <c r="AA31" s="347" t="str">
        <f>$B31</f>
        <v>Beast Sense</v>
      </c>
      <c r="AE31" t="str">
        <f>IF(IFERROR(MATCH($B31,temp!A$4:A$13,0),0)&gt;0,T08_Spells!AE$2,"")</f>
        <v/>
      </c>
      <c r="AF31" t="str">
        <f>IF(IFERROR(MATCH($B31,temp!B$4:B$13,0),0)&gt;0,T08_Spells!AF$2,"")</f>
        <v/>
      </c>
      <c r="AG31" t="str">
        <f>IF(IFERROR(MATCH($B31,temp!C$4:C$13,0),0)&gt;0,T08_Spells!AG$2,"")</f>
        <v/>
      </c>
      <c r="AH31" t="str">
        <f>IF(IFERROR(MATCH($B31,temp!D$4:D$13,0),0)&gt;0,T08_Spells!AH$2,"")</f>
        <v/>
      </c>
      <c r="AI31" t="str">
        <f>IF(IFERROR(MATCH($B31,temp!E$4:E$13,0),0)&gt;0,T08_Spells!AI$2,"")</f>
        <v/>
      </c>
      <c r="AJ31" t="str">
        <f>IF(IFERROR(MATCH($B31,temp!F$4:F$13,0),0)&gt;0,T08_Spells!AJ$2,"")</f>
        <v/>
      </c>
      <c r="AK31" t="str">
        <f>IF(IFERROR(MATCH($B31,temp!G$4:G$13,0),0)&gt;0,T08_Spells!AK$2,"")</f>
        <v/>
      </c>
      <c r="AL31" t="str">
        <f>IF(IFERROR(MATCH($B31,temp!H$4:H$13,0),0)&gt;0,T08_Spells!AL$2,"")</f>
        <v/>
      </c>
      <c r="AM31" t="str">
        <f>IF(IFERROR(MATCH($B31,temp!I$4:I$13,0),0)&gt;0,T08_Spells!AM$2,"")</f>
        <v/>
      </c>
      <c r="AN31" t="str">
        <f>IF(IFERROR(MATCH($B31,temp!J$4:J$13,0),0)&gt;0,T08_Spells!AN$2,"")</f>
        <v/>
      </c>
      <c r="AO31" t="str">
        <f>IF(IFERROR(MATCH($B31,temp!K$4:K$13,0),0)&gt;0,T08_Spells!AO$2,"")</f>
        <v/>
      </c>
      <c r="AP31" t="str">
        <f>IF(IFERROR(MATCH($B31,temp!L$4:L$13,0),0)&gt;0,T08_Spells!AP$2,"")</f>
        <v/>
      </c>
      <c r="AQ31" t="str">
        <f>IF(IFERROR(MATCH($B31,temp!M$4:M$13,0),0)&gt;0,T08_Spells!AQ$2,"")</f>
        <v/>
      </c>
      <c r="AR31" t="str">
        <f>IF(IFERROR(MATCH($B31,temp!N$4:N$13,0),0)&gt;0,T08_Spells!AR$2,"")</f>
        <v/>
      </c>
      <c r="AS31" t="str">
        <f>IF(IFERROR(MATCH($B31,temp!O$4:O$13,0),0)&gt;0,T08_Spells!AS$2,"")</f>
        <v/>
      </c>
      <c r="AT31" t="str">
        <f>IF(IFERROR(MATCH($B31,temp!P$4:P$13,0),0)&gt;0,T08_Spells!AT$2,"")</f>
        <v/>
      </c>
      <c r="AU31" t="str">
        <f>IF(IFERROR(MATCH($B31,temp!Q$4:Q$13,0),0)&gt;0,T08_Spells!AU$2,"")</f>
        <v/>
      </c>
      <c r="AV31" t="str">
        <f>IF(IFERROR(MATCH($B31,temp!R$4:R$13,0),0)&gt;0,T08_Spells!AV$2,"")</f>
        <v/>
      </c>
      <c r="AW31" t="str">
        <f>IF(IFERROR(MATCH($B31,temp!S$4:S$13,0),0)&gt;0,T08_Spells!AW$2,"")</f>
        <v/>
      </c>
      <c r="AX31" t="str">
        <f>IF(IFERROR(MATCH($B31,temp!T$4:T$13,0),0)&gt;0,T08_Spells!AX$2,"")</f>
        <v/>
      </c>
      <c r="AY31" t="str">
        <f>IF(IFERROR(MATCH($B31,temp!U$4:U$13,0),0)&gt;0,T08_Spells!AY$2,"")</f>
        <v/>
      </c>
      <c r="AZ31" t="str">
        <f>IF(IFERROR(MATCH($B31,temp!V$4:V$13,0),0)&gt;0,T08_Spells!AZ$2,"")</f>
        <v/>
      </c>
      <c r="BA31" t="str">
        <f>IF(IFERROR(MATCH($B31,temp!W$4:W$13,0),0)&gt;0,T08_Spells!BA$2,"")</f>
        <v/>
      </c>
      <c r="BC31">
        <f>IF(IFERROR(SEARCH("Ranger",$T31,1),0)&gt;0,1,0)*IF(RangerMaxSpellLevel&gt;=$C31,1,0)*IF(IFERROR(MATCH(B31,Character_Creation!$X$79:$X$382,0),0)&gt;0,0,1)</f>
        <v>0</v>
      </c>
      <c r="BD31">
        <f>IF(BC31=0,0,1+COUNTIF(BD$3:BD30,"&gt;0"))</f>
        <v>0</v>
      </c>
      <c r="BE31" t="str">
        <f t="shared" si="34"/>
        <v/>
      </c>
      <c r="BF31" t="str">
        <f t="shared" si="6"/>
        <v/>
      </c>
      <c r="BH31">
        <f>IF(IFERROR(SEARCH("Sorcerer",$T31,1),0)&gt;0,1,0)*IF(SorcererMaxSpellLevel&gt;=$C31,1,0)*IF(IFERROR(MATCH(B31,Character_Creation!$J$380:$J$394,0),0)&gt;0,0,1)</f>
        <v>0</v>
      </c>
      <c r="BI31">
        <f>IF(BH31=0,0,1+COUNTIF(BI$3:BI30,"&gt;0"))</f>
        <v>0</v>
      </c>
      <c r="BJ31" t="str">
        <f t="shared" si="35"/>
        <v/>
      </c>
      <c r="BK31" t="str">
        <f t="shared" si="7"/>
        <v/>
      </c>
      <c r="BM31">
        <f>IF(OR(IFERROR(SEARCH("Warlock",$T31,1),0)&gt;0,IFERROR(SEARCH(WarlockPatron,$T31,1),0)&gt;0),1,0)*IF(WarlockMaxSpellLevel&gt;=$C31,1,0)*IF(IFERROR(MATCH(B31,Character_Creation!$J$361:$J$375,0),0)&gt;0,0,1)</f>
        <v>0</v>
      </c>
      <c r="BN31">
        <f>IF(BM31=0,0,1+COUNTIF(BN$3:BN30,"&gt;0"))</f>
        <v>0</v>
      </c>
      <c r="BO31" t="str">
        <f t="shared" si="36"/>
        <v/>
      </c>
      <c r="BP31" t="str">
        <f t="shared" si="8"/>
        <v/>
      </c>
      <c r="BR31">
        <f>IF(IFERROR(SEARCH("Eldritch Knight",$T31,1),0)&gt;0,1,0)*IF(EldritchKnightMaxSpellLevel&gt;=$C31,1,0)*IF(IFERROR(MATCH($B31,Character_Creation!$J$350:$J$356,0),0)&gt;0,0,1)*IF(Character_Creation!$M$338&gt;0,1,0)</f>
        <v>0</v>
      </c>
      <c r="BS31">
        <f>IF(BR31=0,0,1+COUNTIF(BS$3:BS30,"&gt;0"))</f>
        <v>0</v>
      </c>
      <c r="BT31" t="str">
        <f t="shared" si="37"/>
        <v/>
      </c>
      <c r="BU31" t="str">
        <f t="shared" si="9"/>
        <v/>
      </c>
      <c r="BW31">
        <f>IF(IFERROR(SEARCH("Arcane Trickster",$T31,1),0)&gt;0,1,0)*IF(ArcaneTricksterMaxSpellLevel&gt;=$C31,1,0)*IF(IFERROR(MATCH($B31,Character_Creation!$J$350:$J$356,0),0)&gt;0,0,1)*IF(Character_Creation!$T$338&gt;0,1,0)</f>
        <v>0</v>
      </c>
      <c r="BX31">
        <f>IF(BW31=0,0,1+COUNTIF(BX$3:BX30,"&gt;0"))</f>
        <v>0</v>
      </c>
      <c r="BY31" t="str">
        <f t="shared" si="38"/>
        <v/>
      </c>
      <c r="BZ31" t="str">
        <f t="shared" si="10"/>
        <v/>
      </c>
      <c r="CB31">
        <f>IF(IFERROR(SEARCH("Wizard",$T31,1),0)&gt;0,1,0)*IF(C31&lt;=ArcaneTricksterMaxSpellLevel,1,0)*IF(IFERROR(MATCH($B31,Character_Creation!$J$350:$J$356,0),0)&gt;0,0,1)*IF(Character_Creation!$T$350&gt;0,1,0)</f>
        <v>0</v>
      </c>
      <c r="CC31">
        <f>IF(CB31=0,0,1+COUNTIF(CC$3:CC30,"&gt;0"))</f>
        <v>0</v>
      </c>
      <c r="CD31" t="str">
        <f t="shared" si="39"/>
        <v/>
      </c>
      <c r="CE31" t="str">
        <f t="shared" si="11"/>
        <v/>
      </c>
      <c r="CG31">
        <f>IF(IFERROR(SEARCH("Wizard",$T31,1),0)&gt;0,1,0)*IF($C31&lt;=EldritchKnightMaxSpellLevel,1,0)*IF(IFERROR(MATCH($B31,Character_Creation!$J$350:$J$356,0),0)&gt;0,0,1)*IF(Character_Creation!$M$350&gt;0,1,0)</f>
        <v>0</v>
      </c>
      <c r="CH31">
        <f>IF(CG31=0,0,1+COUNTIF(CH$3:CH30,"&gt;0"))</f>
        <v>0</v>
      </c>
      <c r="CI31">
        <f t="shared" si="40"/>
        <v>29</v>
      </c>
      <c r="CJ31" t="str">
        <f t="shared" si="12"/>
        <v>Hold Person</v>
      </c>
      <c r="CL31">
        <f>IF(IFERROR(SEARCH("Bard",$T31,1),0)&gt;0,1,0)*IF(BardMaxSpellLevel&gt;=$C31,1,0)*IF(IFERROR(MATCH(B31,Character_Creation!$C$341:$F$362,0),0)&gt;0,0,1)*IF(IFERROR(MATCH($B31,Character_Creation!$C$341:$C$362,0),0)&gt;0,0,1)</f>
        <v>0</v>
      </c>
      <c r="CM31">
        <f>IF(CL31=0,0,1+COUNTIF(CM$3:CM30,"&gt;0"))</f>
        <v>0</v>
      </c>
      <c r="CN31" t="str">
        <f t="shared" si="41"/>
        <v/>
      </c>
      <c r="CO31" t="str">
        <f t="shared" si="13"/>
        <v/>
      </c>
      <c r="CQ31">
        <f>IF(IFERROR(SEARCH("Wizard",$T31,1),0)&gt;0,1,0)*IF(WizardMaxSpellLevel&gt;=$C31,1,0)*IF(IFERROR(MATCH(B31,Character_Creation!$X$341:$X$400,0),0)&gt;0,0,1)*IF(SelectedWizardSpellLevel=$C31,1,0)</f>
        <v>0</v>
      </c>
      <c r="CR31">
        <f>IF(CQ31=0,0,1+COUNTIF(CR$3:CR30,"&gt;0"))</f>
        <v>0</v>
      </c>
      <c r="CS31">
        <f t="shared" si="42"/>
        <v>29</v>
      </c>
      <c r="CT31" t="str">
        <f t="shared" si="14"/>
        <v>Flame Arrows</v>
      </c>
      <c r="CV31">
        <f>IF(IFERROR(MATCH($B31,Character_Creation!$C$341:$C$362,0),0)&gt;0,0,1)*IF(OR(C31="Cantrip",C31&lt;=BardMaxSpellLevel),1,0)*IF(IFERROR(MATCH($B31,Character_Creation!$C$367:$C$374,0),0)&gt;0,0,1)</f>
        <v>0</v>
      </c>
      <c r="CW31">
        <f>IF(CV31=0,0,1+COUNTIF(CW$3:CW30,"&gt;0"))</f>
        <v>0</v>
      </c>
      <c r="CX31">
        <f t="shared" si="43"/>
        <v>29</v>
      </c>
      <c r="CY31" t="str">
        <f t="shared" si="15"/>
        <v>Control Flames</v>
      </c>
      <c r="DA31">
        <f>IF(IF(OR(IFERROR(SEARCH("Cleric",$T31,1),0)&gt;0,IFERROR(SEARCH(DivineDomain&amp;",",$T31,1),0)&gt;0),1,0)*IF($C31=DA$2,1,0)=1,1+COUNTIF(DA$3:DA30,"&gt;0"),0)</f>
        <v>0</v>
      </c>
      <c r="DB31">
        <f>IF(IF(OR(IFERROR(SEARCH("Cleric",$T31,1),0)&gt;0,IFERROR(SEARCH(DivineDomain&amp;",",$T31,1),0)&gt;0),1,0)*IF($C31=DB$2,1,0)=1,1+COUNTIF(DB$3:DB30,"&gt;0"),0)</f>
        <v>0</v>
      </c>
      <c r="DC31">
        <f>IF(IF(OR(IFERROR(SEARCH("Cleric",$T31,1),0)&gt;0,IFERROR(SEARCH(DivineDomain&amp;",",$T31,1),0)&gt;0),1,0)*IF($C31=DC$2,1,0)=1,1+COUNTIF(DC$3:DC30,"&gt;0"),0)</f>
        <v>0</v>
      </c>
      <c r="DD31">
        <f>IF(IF(OR(IFERROR(SEARCH("Cleric",$T31,1),0)&gt;0,IFERROR(SEARCH(DivineDomain&amp;",",$T31,1),0)&gt;0),1,0)*IF($C31=DD$2,1,0)=1,1+COUNTIF(DD$3:DD30,"&gt;0"),0)</f>
        <v>0</v>
      </c>
      <c r="DE31">
        <f>IF(IF(OR(IFERROR(SEARCH("Cleric",$T31,1),0)&gt;0,IFERROR(SEARCH(DivineDomain&amp;",",$T31,1),0)&gt;0),1,0)*IF($C31=DE$2,1,0)=1,1+COUNTIF(DE$3:DE30,"&gt;0"),0)</f>
        <v>0</v>
      </c>
      <c r="DF31">
        <f>IF(IF(OR(IFERROR(SEARCH("Cleric",$T31,1),0)&gt;0,IFERROR(SEARCH(DivineDomain&amp;",",$T31,1),0)&gt;0),1,0)*IF($C31=DF$2,1,0)=1,1+COUNTIF(DF$3:DF30,"&gt;0"),0)</f>
        <v>0</v>
      </c>
      <c r="DG31">
        <f>IF(IF(OR(IFERROR(SEARCH("Cleric",$T31,1),0)&gt;0,IFERROR(SEARCH(DivineDomain&amp;",",$T31,1),0)&gt;0),1,0)*IF($C31=DG$2,1,0)=1,1+COUNTIF(DG$3:DG30,"&gt;0"),0)</f>
        <v>0</v>
      </c>
      <c r="DH31">
        <f>IF(IF(OR(IFERROR(SEARCH("Cleric",$T31,1),0)&gt;0,IFERROR(SEARCH(DivineDomain&amp;",",$T31,1),0)&gt;0),1,0)*IF($C31=DH$2,1,0)=1,1+COUNTIF(DH$3:DH30,"&gt;0"),0)</f>
        <v>0</v>
      </c>
      <c r="DI31">
        <f>IF(IF(OR(IFERROR(SEARCH("Cleric",$T31,1),0)&gt;0,IFERROR(SEARCH(DivineDomain&amp;",",$T31,1),0)&gt;0),1,0)*IF($C31=DI$2,1,0)=1,1+COUNTIF(DI$3:DI30,"&gt;0"),0)</f>
        <v>0</v>
      </c>
      <c r="DJ31">
        <f>IF(IF(OR(IFERROR(SEARCH("Druid",$T31,1),0)&gt;0,IFERROR(SEARCH(DruidLand1,$T31,1),0)&gt;0,IFERROR(SEARCH(DruidLand2,$T31,1),0)&gt;0,IFERROR(SEARCH(DruidLand3,$T31,1),0)&gt;0,IFERROR(SEARCH(DruidLand4,$T31,1),0)&gt;0),1,0)*IF($C31=1,1,0)*IF($C31=DJ$2,1,0)=0,0,1+COUNTIF(DJ$3:DJ30,"&gt;0"))</f>
        <v>0</v>
      </c>
      <c r="DK31">
        <f>IF(IF(OR(IFERROR(SEARCH("Druid",$T31,1),0)&gt;0,IFERROR(SEARCH(DruidLand1,$T31,1),0)&gt;0,IFERROR(SEARCH(DruidLand2,$T31,1),0)&gt;0,IFERROR(SEARCH(DruidLand3,$T31,1),0)&gt;0,IFERROR(SEARCH(DruidLand4,$T31,1),0)&gt;0),1,0)*IF($C31=DK$2,1,0)=0,0,1+COUNTIF(DK$3:DK30,"&gt;0"))</f>
        <v>3</v>
      </c>
      <c r="DL31">
        <f>IF(IF(OR(IFERROR(SEARCH("Druid",$T31,1),0)&gt;0,IFERROR(SEARCH(DruidLand1,$T31,1),0)&gt;0,IFERROR(SEARCH(DruidLand2,$T31,1),0)&gt;0,IFERROR(SEARCH(DruidLand3,$T31,1),0)&gt;0,IFERROR(SEARCH(DruidLand4,$T31,1),0)&gt;0),1,0)*IF($C31=DL$2,1,0)=0,0,1+COUNTIF(DL$3:DL30,"&gt;0"))</f>
        <v>0</v>
      </c>
      <c r="DM31">
        <f>IF(IF(OR(IFERROR(SEARCH("Druid",$T31,1),0)&gt;0,IFERROR(SEARCH(DruidLand1,$T31,1),0)&gt;0,IFERROR(SEARCH(DruidLand2,$T31,1),0)&gt;0,IFERROR(SEARCH(DruidLand3,$T31,1),0)&gt;0,IFERROR(SEARCH(DruidLand4,$T31,1),0)&gt;0),1,0)*IF($C31=DM$2,1,0)=0,0,1+COUNTIF(DM$3:DM30,"&gt;0"))</f>
        <v>0</v>
      </c>
      <c r="DN31">
        <f>IF(IF(OR(IFERROR(SEARCH("Druid",$T31,1),0)&gt;0,IFERROR(SEARCH(DruidLand1,$T31,1),0)&gt;0,IFERROR(SEARCH(DruidLand2,$T31,1),0)&gt;0,IFERROR(SEARCH(DruidLand3,$T31,1),0)&gt;0,IFERROR(SEARCH(DruidLand4,$T31,1),0)&gt;0),1,0)*IF($C31=DN$2,1,0)=0,0,1+COUNTIF(DN$3:DN30,"&gt;0"))</f>
        <v>0</v>
      </c>
      <c r="DO31">
        <f>IF(IF(OR(IFERROR(SEARCH("Druid",$T31,1),0)&gt;0,IFERROR(SEARCH(DruidLand1,$T31,1),0)&gt;0,IFERROR(SEARCH(DruidLand2,$T31,1),0)&gt;0,IFERROR(SEARCH(DruidLand3,$T31,1),0)&gt;0,IFERROR(SEARCH(DruidLand4,$T31,1),0)&gt;0),1,0)*IF($C31=DO$2,1,0)=0,0,1+COUNTIF(DO$3:DO30,"&gt;0"))</f>
        <v>0</v>
      </c>
      <c r="DP31">
        <f>IF(IF(OR(IFERROR(SEARCH("Druid",$T31,1),0)&gt;0,IFERROR(SEARCH(DruidLand1,$T31,1),0)&gt;0,IFERROR(SEARCH(DruidLand2,$T31,1),0)&gt;0,IFERROR(SEARCH(DruidLand3,$T31,1),0)&gt;0,IFERROR(SEARCH(DruidLand4,$T31,1),0)&gt;0),1,0)*IF($C31=DP$2,1,0)=0,0,1+COUNTIF(DP$3:DP30,"&gt;0"))</f>
        <v>0</v>
      </c>
      <c r="DQ31">
        <f>IF(IF(OR(IFERROR(SEARCH("Druid",$T31,1),0)&gt;0,IFERROR(SEARCH(DruidLand1,$T31,1),0)&gt;0,IFERROR(SEARCH(DruidLand2,$T31,1),0)&gt;0,IFERROR(SEARCH(DruidLand3,$T31,1),0)&gt;0,IFERROR(SEARCH(DruidLand4,$T31,1),0)&gt;0),1,0)*IF($C31=DQ$2,1,0)=0,0,1+COUNTIF(DQ$3:DQ30,"&gt;0"))</f>
        <v>0</v>
      </c>
      <c r="DR31">
        <f>IF(IF(OR(IFERROR(SEARCH("Druid",$T31,1),0)&gt;0,IFERROR(SEARCH(DruidLand1,$T31,1),0)&gt;0,IFERROR(SEARCH(DruidLand2,$T31,1),0)&gt;0,IFERROR(SEARCH(DruidLand3,$T31,1),0)&gt;0,IFERROR(SEARCH(DruidLand4,$T31,1),0)&gt;0),1,0)*IF($C31=DR$2,1,0)=0,0,1+COUNTIF(DR$3:DR30,"&gt;0"))</f>
        <v>0</v>
      </c>
      <c r="DS31">
        <f>IF(IF(OR(IFERROR(SEARCH("Paladin",$T31,1),0)&gt;0,IFERROR(SEARCH(PaladinOath,$T31,1),0)&gt;0),1,0)*IF($C31=DS$2,1,0)=1,1+COUNTIF(DS$3:DS30,"&gt;0"),0)</f>
        <v>0</v>
      </c>
      <c r="DT31">
        <f>IF(IF(OR(IFERROR(SEARCH("Paladin",$T31,1),0)&gt;0,IFERROR(SEARCH(PaladinOath,$T31,1),0)&gt;0),1,0)*IF($C31=DT$2,1,0)=1,1+COUNTIF(DT$3:DT30,"&gt;0"),0)</f>
        <v>0</v>
      </c>
      <c r="DU31">
        <f>IF(IF(OR(IFERROR(SEARCH("Paladin",$T31,1),0)&gt;0,IFERROR(SEARCH(PaladinOath,$T31,1),0)&gt;0),1,0)*IF($C31=DU$2,1,0)=1,1+COUNTIF(DU$3:DU30,"&gt;0"),0)</f>
        <v>0</v>
      </c>
      <c r="DV31">
        <f>IF(IF(OR(IFERROR(SEARCH("Paladin",$T31,1),0)&gt;0,IFERROR(SEARCH(PaladinOath,$T31,1),0)&gt;0),1,0)*IF($C31=DV$2,1,0)=1,1+COUNTIF(DV$3:DV30,"&gt;0"),0)</f>
        <v>0</v>
      </c>
      <c r="DW31">
        <f>IF(IF(OR(IFERROR(SEARCH("Paladin",$T31,1),0)&gt;0,IFERROR(SEARCH(PaladinOath,$T31,1),0)&gt;0),1,0)*IF($C31=DW$2,1,0)=1,1+COUNTIF(DW$3:DW30,"&gt;0"),0)</f>
        <v>0</v>
      </c>
      <c r="DY31">
        <f t="shared" si="2"/>
        <v>1</v>
      </c>
      <c r="DZ31">
        <f>IF(DY31=0,0,1+MAX(DZ$3:$DZ30))</f>
        <v>29</v>
      </c>
      <c r="EB31">
        <f t="shared" si="16"/>
        <v>0</v>
      </c>
      <c r="EC31">
        <f>IF(EB31=0,0,1+COUNTIF(EC$3:EC30,"&gt;0"))</f>
        <v>0</v>
      </c>
      <c r="ED31" t="str">
        <f t="shared" si="44"/>
        <v/>
      </c>
      <c r="EE31" t="str">
        <f t="shared" si="17"/>
        <v/>
      </c>
      <c r="EG31">
        <f t="shared" si="18"/>
        <v>0</v>
      </c>
      <c r="EH31">
        <f>IF(EG31=0,0,1+COUNTIF(EH$3:EH30,"&gt;0"))</f>
        <v>0</v>
      </c>
      <c r="EI31" t="str">
        <f t="shared" si="45"/>
        <v/>
      </c>
      <c r="EJ31" t="str">
        <f t="shared" si="19"/>
        <v/>
      </c>
      <c r="EL31">
        <f t="shared" si="20"/>
        <v>0</v>
      </c>
      <c r="EM31">
        <f>IF(EL31=0,0,1+COUNTIF(EM$3:EM30,"&gt;0"))</f>
        <v>0</v>
      </c>
      <c r="EN31" t="str">
        <f t="shared" si="46"/>
        <v/>
      </c>
      <c r="EO31" t="str">
        <f t="shared" si="21"/>
        <v/>
      </c>
      <c r="EQ31">
        <f t="shared" si="22"/>
        <v>0</v>
      </c>
      <c r="ER31">
        <f>IF(EQ31=0,0,1+COUNTIF(ER$3:ER30,"&gt;0"))</f>
        <v>0</v>
      </c>
      <c r="ES31" t="str">
        <f t="shared" si="47"/>
        <v/>
      </c>
      <c r="ET31" t="str">
        <f t="shared" si="23"/>
        <v/>
      </c>
      <c r="EV31">
        <f t="shared" si="24"/>
        <v>0</v>
      </c>
      <c r="EW31">
        <f>IF(EV31=0,0,1+COUNTIF(EW$3:EW30,"&gt;0"))</f>
        <v>0</v>
      </c>
      <c r="EX31" t="str">
        <f t="shared" si="48"/>
        <v/>
      </c>
      <c r="EY31" t="str">
        <f t="shared" si="25"/>
        <v/>
      </c>
      <c r="FA31">
        <f t="shared" si="26"/>
        <v>0</v>
      </c>
      <c r="FB31">
        <f>IF(FA31=0,0,1+COUNTIF(FB$3:FB30,"&gt;0"))</f>
        <v>0</v>
      </c>
      <c r="FC31" t="str">
        <f t="shared" si="49"/>
        <v/>
      </c>
      <c r="FD31" t="str">
        <f t="shared" si="27"/>
        <v/>
      </c>
      <c r="FF31">
        <f t="shared" si="28"/>
        <v>0</v>
      </c>
      <c r="FG31">
        <f>IF(FF31=0,0,1+COUNTIF(FG$3:FG30,"&gt;0"))</f>
        <v>0</v>
      </c>
      <c r="FH31" t="str">
        <f t="shared" si="50"/>
        <v/>
      </c>
      <c r="FI31" t="str">
        <f t="shared" si="29"/>
        <v/>
      </c>
      <c r="FK31">
        <f t="shared" si="30"/>
        <v>0</v>
      </c>
      <c r="FL31">
        <f>IF(FK31=0,0,1+COUNTIF(FL$3:FL30,"&gt;0"))</f>
        <v>0</v>
      </c>
      <c r="FM31" t="str">
        <f t="shared" si="51"/>
        <v/>
      </c>
      <c r="FN31" t="str">
        <f t="shared" si="31"/>
        <v/>
      </c>
      <c r="FP31">
        <f t="shared" si="32"/>
        <v>0</v>
      </c>
      <c r="FQ31">
        <f>IF(FP31=0,0,1+COUNTIF(FQ$3:FQ30,"&gt;0"))</f>
        <v>0</v>
      </c>
      <c r="FR31" t="str">
        <f t="shared" si="52"/>
        <v/>
      </c>
      <c r="FS31" t="str">
        <f t="shared" si="33"/>
        <v/>
      </c>
    </row>
    <row r="32" spans="1:175" x14ac:dyDescent="0.25">
      <c r="A32" s="347">
        <f t="shared" si="53"/>
        <v>30</v>
      </c>
      <c r="B32" s="348" t="s">
        <v>2389</v>
      </c>
      <c r="C32" s="348">
        <v>3</v>
      </c>
      <c r="D32" s="347">
        <v>3</v>
      </c>
      <c r="E32" s="627" t="s">
        <v>6952</v>
      </c>
      <c r="F32" s="346"/>
      <c r="G32" s="347" t="str">
        <f>""</f>
        <v/>
      </c>
      <c r="H32" s="347" t="s">
        <v>5912</v>
      </c>
      <c r="I32" s="347" t="s">
        <v>5298</v>
      </c>
      <c r="J32" s="347" t="str">
        <f t="shared" si="3"/>
        <v/>
      </c>
      <c r="K32" s="347" t="s">
        <v>5291</v>
      </c>
      <c r="L32" s="611" t="str">
        <f t="shared" si="4"/>
        <v>V, S</v>
      </c>
      <c r="M32" s="347" t="s">
        <v>2373</v>
      </c>
      <c r="N32" s="347" t="s">
        <v>2387</v>
      </c>
      <c r="O32" s="347" t="s">
        <v>3034</v>
      </c>
      <c r="P32" s="346" t="str">
        <f>""</f>
        <v/>
      </c>
      <c r="Q32" s="347" t="s">
        <v>5275</v>
      </c>
      <c r="S32" s="346" t="s">
        <v>5603</v>
      </c>
      <c r="T32" s="346" t="str">
        <f t="shared" si="5"/>
        <v xml:space="preserve">Bard, Cleric, Wizard, Oathbreaker, </v>
      </c>
      <c r="U32" s="347" t="str">
        <f>$B32</f>
        <v>Bestow Curse</v>
      </c>
      <c r="Z32" s="347" t="str">
        <f>$B32</f>
        <v>Bestow Curse</v>
      </c>
      <c r="AD32" s="347" t="str">
        <f>$B32</f>
        <v>Bestow Curse</v>
      </c>
      <c r="AE32" t="str">
        <f>IF(IFERROR(MATCH($B32,temp!A$4:A$13,0),0)&gt;0,T08_Spells!AE$2,"")</f>
        <v/>
      </c>
      <c r="AF32" t="str">
        <f>IF(IFERROR(MATCH($B32,temp!B$4:B$13,0),0)&gt;0,T08_Spells!AF$2,"")</f>
        <v/>
      </c>
      <c r="AG32" t="str">
        <f>IF(IFERROR(MATCH($B32,temp!C$4:C$13,0),0)&gt;0,T08_Spells!AG$2,"")</f>
        <v/>
      </c>
      <c r="AH32" t="str">
        <f>IF(IFERROR(MATCH($B32,temp!D$4:D$13,0),0)&gt;0,T08_Spells!AH$2,"")</f>
        <v>Oathbreaker</v>
      </c>
      <c r="AI32" t="str">
        <f>IF(IFERROR(MATCH($B32,temp!E$4:E$13,0),0)&gt;0,T08_Spells!AI$2,"")</f>
        <v/>
      </c>
      <c r="AJ32" t="str">
        <f>IF(IFERROR(MATCH($B32,temp!F$4:F$13,0),0)&gt;0,T08_Spells!AJ$2,"")</f>
        <v/>
      </c>
      <c r="AK32" t="str">
        <f>IF(IFERROR(MATCH($B32,temp!G$4:G$13,0),0)&gt;0,T08_Spells!AK$2,"")</f>
        <v/>
      </c>
      <c r="AL32" t="str">
        <f>IF(IFERROR(MATCH($B32,temp!H$4:H$13,0),0)&gt;0,T08_Spells!AL$2,"")</f>
        <v/>
      </c>
      <c r="AM32" t="str">
        <f>IF(IFERROR(MATCH($B32,temp!I$4:I$13,0),0)&gt;0,T08_Spells!AM$2,"")</f>
        <v/>
      </c>
      <c r="AN32" t="str">
        <f>IF(IFERROR(MATCH($B32,temp!J$4:J$13,0),0)&gt;0,T08_Spells!AN$2,"")</f>
        <v/>
      </c>
      <c r="AO32" t="str">
        <f>IF(IFERROR(MATCH($B32,temp!K$4:K$13,0),0)&gt;0,T08_Spells!AO$2,"")</f>
        <v/>
      </c>
      <c r="AP32" t="str">
        <f>IF(IFERROR(MATCH($B32,temp!L$4:L$13,0),0)&gt;0,T08_Spells!AP$2,"")</f>
        <v/>
      </c>
      <c r="AQ32" t="str">
        <f>IF(IFERROR(MATCH($B32,temp!M$4:M$13,0),0)&gt;0,T08_Spells!AQ$2,"")</f>
        <v/>
      </c>
      <c r="AR32" t="str">
        <f>IF(IFERROR(MATCH($B32,temp!N$4:N$13,0),0)&gt;0,T08_Spells!AR$2,"")</f>
        <v/>
      </c>
      <c r="AS32" t="str">
        <f>IF(IFERROR(MATCH($B32,temp!O$4:O$13,0),0)&gt;0,T08_Spells!AS$2,"")</f>
        <v/>
      </c>
      <c r="AT32" t="str">
        <f>IF(IFERROR(MATCH($B32,temp!P$4:P$13,0),0)&gt;0,T08_Spells!AT$2,"")</f>
        <v/>
      </c>
      <c r="AU32" t="str">
        <f>IF(IFERROR(MATCH($B32,temp!Q$4:Q$13,0),0)&gt;0,T08_Spells!AU$2,"")</f>
        <v/>
      </c>
      <c r="AV32" t="str">
        <f>IF(IFERROR(MATCH($B32,temp!R$4:R$13,0),0)&gt;0,T08_Spells!AV$2,"")</f>
        <v/>
      </c>
      <c r="AW32" t="str">
        <f>IF(IFERROR(MATCH($B32,temp!S$4:S$13,0),0)&gt;0,T08_Spells!AW$2,"")</f>
        <v/>
      </c>
      <c r="AX32" t="str">
        <f>IF(IFERROR(MATCH($B32,temp!T$4:T$13,0),0)&gt;0,T08_Spells!AX$2,"")</f>
        <v/>
      </c>
      <c r="AY32" t="str">
        <f>IF(IFERROR(MATCH($B32,temp!U$4:U$13,0),0)&gt;0,T08_Spells!AY$2,"")</f>
        <v/>
      </c>
      <c r="AZ32" t="str">
        <f>IF(IFERROR(MATCH($B32,temp!V$4:V$13,0),0)&gt;0,T08_Spells!AZ$2,"")</f>
        <v/>
      </c>
      <c r="BA32" t="str">
        <f>IF(IFERROR(MATCH($B32,temp!W$4:W$13,0),0)&gt;0,T08_Spells!BA$2,"")</f>
        <v/>
      </c>
      <c r="BC32">
        <f>IF(IFERROR(SEARCH("Ranger",$T32,1),0)&gt;0,1,0)*IF(RangerMaxSpellLevel&gt;=$C32,1,0)*IF(IFERROR(MATCH(B32,Character_Creation!$X$79:$X$382,0),0)&gt;0,0,1)</f>
        <v>0</v>
      </c>
      <c r="BD32">
        <f>IF(BC32=0,0,1+COUNTIF(BD$3:BD31,"&gt;0"))</f>
        <v>0</v>
      </c>
      <c r="BE32" t="str">
        <f t="shared" si="34"/>
        <v/>
      </c>
      <c r="BF32" t="str">
        <f t="shared" si="6"/>
        <v/>
      </c>
      <c r="BH32">
        <f>IF(IFERROR(SEARCH("Sorcerer",$T32,1),0)&gt;0,1,0)*IF(SorcererMaxSpellLevel&gt;=$C32,1,0)*IF(IFERROR(MATCH(B32,Character_Creation!$J$380:$J$394,0),0)&gt;0,0,1)</f>
        <v>0</v>
      </c>
      <c r="BI32">
        <f>IF(BH32=0,0,1+COUNTIF(BI$3:BI31,"&gt;0"))</f>
        <v>0</v>
      </c>
      <c r="BJ32" t="str">
        <f t="shared" si="35"/>
        <v/>
      </c>
      <c r="BK32" t="str">
        <f t="shared" si="7"/>
        <v/>
      </c>
      <c r="BM32">
        <f>IF(OR(IFERROR(SEARCH("Warlock",$T32,1),0)&gt;0,IFERROR(SEARCH(WarlockPatron,$T32,1),0)&gt;0),1,0)*IF(WarlockMaxSpellLevel&gt;=$C32,1,0)*IF(IFERROR(MATCH(B32,Character_Creation!$J$361:$J$375,0),0)&gt;0,0,1)</f>
        <v>0</v>
      </c>
      <c r="BN32">
        <f>IF(BM32=0,0,1+COUNTIF(BN$3:BN31,"&gt;0"))</f>
        <v>0</v>
      </c>
      <c r="BO32" t="str">
        <f t="shared" si="36"/>
        <v/>
      </c>
      <c r="BP32" t="str">
        <f t="shared" si="8"/>
        <v/>
      </c>
      <c r="BR32">
        <f>IF(IFERROR(SEARCH("Eldritch Knight",$T32,1),0)&gt;0,1,0)*IF(EldritchKnightMaxSpellLevel&gt;=$C32,1,0)*IF(IFERROR(MATCH($B32,Character_Creation!$J$350:$J$356,0),0)&gt;0,0,1)*IF(Character_Creation!$M$338&gt;0,1,0)</f>
        <v>0</v>
      </c>
      <c r="BS32">
        <f>IF(BR32=0,0,1+COUNTIF(BS$3:BS31,"&gt;0"))</f>
        <v>0</v>
      </c>
      <c r="BT32" t="str">
        <f t="shared" si="37"/>
        <v/>
      </c>
      <c r="BU32" t="str">
        <f t="shared" si="9"/>
        <v/>
      </c>
      <c r="BW32">
        <f>IF(IFERROR(SEARCH("Arcane Trickster",$T32,1),0)&gt;0,1,0)*IF(ArcaneTricksterMaxSpellLevel&gt;=$C32,1,0)*IF(IFERROR(MATCH($B32,Character_Creation!$J$350:$J$356,0),0)&gt;0,0,1)*IF(Character_Creation!$T$338&gt;0,1,0)</f>
        <v>0</v>
      </c>
      <c r="BX32">
        <f>IF(BW32=0,0,1+COUNTIF(BX$3:BX31,"&gt;0"))</f>
        <v>0</v>
      </c>
      <c r="BY32" t="str">
        <f t="shared" si="38"/>
        <v/>
      </c>
      <c r="BZ32" t="str">
        <f t="shared" si="10"/>
        <v/>
      </c>
      <c r="CB32">
        <f>IF(IFERROR(SEARCH("Wizard",$T32,1),0)&gt;0,1,0)*IF(C32&lt;=ArcaneTricksterMaxSpellLevel,1,0)*IF(IFERROR(MATCH($B32,Character_Creation!$J$350:$J$356,0),0)&gt;0,0,1)*IF(Character_Creation!$T$350&gt;0,1,0)</f>
        <v>0</v>
      </c>
      <c r="CC32">
        <f>IF(CB32=0,0,1+COUNTIF(CC$3:CC31,"&gt;0"))</f>
        <v>0</v>
      </c>
      <c r="CD32" t="str">
        <f t="shared" si="39"/>
        <v/>
      </c>
      <c r="CE32" t="str">
        <f t="shared" si="11"/>
        <v/>
      </c>
      <c r="CG32">
        <f>IF(IFERROR(SEARCH("Wizard",$T32,1),0)&gt;0,1,0)*IF($C32&lt;=EldritchKnightMaxSpellLevel,1,0)*IF(IFERROR(MATCH($B32,Character_Creation!$J$350:$J$356,0),0)&gt;0,0,1)*IF(Character_Creation!$M$350&gt;0,1,0)</f>
        <v>0</v>
      </c>
      <c r="CH32">
        <f>IF(CG32=0,0,1+COUNTIF(CH$3:CH31,"&gt;0"))</f>
        <v>0</v>
      </c>
      <c r="CI32">
        <f t="shared" si="40"/>
        <v>30</v>
      </c>
      <c r="CJ32" t="str">
        <f t="shared" si="12"/>
        <v>Identify</v>
      </c>
      <c r="CL32">
        <f>IF(IFERROR(SEARCH("Bard",$T32,1),0)&gt;0,1,0)*IF(BardMaxSpellLevel&gt;=$C32,1,0)*IF(IFERROR(MATCH(B32,Character_Creation!$C$341:$F$362,0),0)&gt;0,0,1)*IF(IFERROR(MATCH($B32,Character_Creation!$C$341:$C$362,0),0)&gt;0,0,1)</f>
        <v>0</v>
      </c>
      <c r="CM32">
        <f>IF(CL32=0,0,1+COUNTIF(CM$3:CM31,"&gt;0"))</f>
        <v>0</v>
      </c>
      <c r="CN32" t="str">
        <f t="shared" si="41"/>
        <v/>
      </c>
      <c r="CO32" t="str">
        <f t="shared" si="13"/>
        <v/>
      </c>
      <c r="CQ32">
        <f>IF(IFERROR(SEARCH("Wizard",$T32,1),0)&gt;0,1,0)*IF(WizardMaxSpellLevel&gt;=$C32,1,0)*IF(IFERROR(MATCH(B32,Character_Creation!$X$341:$X$400,0),0)&gt;0,0,1)*IF(SelectedWizardSpellLevel=$C32,1,0)</f>
        <v>1</v>
      </c>
      <c r="CR32">
        <f>IF(CQ32=0,0,1+COUNTIF(CR$3:CR31,"&gt;0"))</f>
        <v>2</v>
      </c>
      <c r="CS32">
        <f t="shared" si="42"/>
        <v>30</v>
      </c>
      <c r="CT32" t="str">
        <f t="shared" si="14"/>
        <v>Melf’s Minute Meteors</v>
      </c>
      <c r="CV32">
        <f>IF(IFERROR(MATCH($B32,Character_Creation!$C$341:$C$362,0),0)&gt;0,0,1)*IF(OR(C32="Cantrip",C32&lt;=BardMaxSpellLevel),1,0)*IF(IFERROR(MATCH($B32,Character_Creation!$C$367:$C$374,0),0)&gt;0,0,1)</f>
        <v>0</v>
      </c>
      <c r="CW32">
        <f>IF(CV32=0,0,1+COUNTIF(CW$3:CW31,"&gt;0"))</f>
        <v>0</v>
      </c>
      <c r="CX32">
        <f t="shared" si="43"/>
        <v>30</v>
      </c>
      <c r="CY32" t="str">
        <f t="shared" si="15"/>
        <v>Frostbite</v>
      </c>
      <c r="DA32">
        <f>IF(IF(OR(IFERROR(SEARCH("Cleric",$T32,1),0)&gt;0,IFERROR(SEARCH(DivineDomain&amp;",",$T32,1),0)&gt;0),1,0)*IF($C32=DA$2,1,0)=1,1+COUNTIF(DA$3:DA31,"&gt;0"),0)</f>
        <v>0</v>
      </c>
      <c r="DB32">
        <f>IF(IF(OR(IFERROR(SEARCH("Cleric",$T32,1),0)&gt;0,IFERROR(SEARCH(DivineDomain&amp;",",$T32,1),0)&gt;0),1,0)*IF($C32=DB$2,1,0)=1,1+COUNTIF(DB$3:DB31,"&gt;0"),0)</f>
        <v>0</v>
      </c>
      <c r="DC32">
        <f>IF(IF(OR(IFERROR(SEARCH("Cleric",$T32,1),0)&gt;0,IFERROR(SEARCH(DivineDomain&amp;",",$T32,1),0)&gt;0),1,0)*IF($C32=DC$2,1,0)=1,1+COUNTIF(DC$3:DC31,"&gt;0"),0)</f>
        <v>3</v>
      </c>
      <c r="DD32">
        <f>IF(IF(OR(IFERROR(SEARCH("Cleric",$T32,1),0)&gt;0,IFERROR(SEARCH(DivineDomain&amp;",",$T32,1),0)&gt;0),1,0)*IF($C32=DD$2,1,0)=1,1+COUNTIF(DD$3:DD31,"&gt;0"),0)</f>
        <v>0</v>
      </c>
      <c r="DE32">
        <f>IF(IF(OR(IFERROR(SEARCH("Cleric",$T32,1),0)&gt;0,IFERROR(SEARCH(DivineDomain&amp;",",$T32,1),0)&gt;0),1,0)*IF($C32=DE$2,1,0)=1,1+COUNTIF(DE$3:DE31,"&gt;0"),0)</f>
        <v>0</v>
      </c>
      <c r="DF32">
        <f>IF(IF(OR(IFERROR(SEARCH("Cleric",$T32,1),0)&gt;0,IFERROR(SEARCH(DivineDomain&amp;",",$T32,1),0)&gt;0),1,0)*IF($C32=DF$2,1,0)=1,1+COUNTIF(DF$3:DF31,"&gt;0"),0)</f>
        <v>0</v>
      </c>
      <c r="DG32">
        <f>IF(IF(OR(IFERROR(SEARCH("Cleric",$T32,1),0)&gt;0,IFERROR(SEARCH(DivineDomain&amp;",",$T32,1),0)&gt;0),1,0)*IF($C32=DG$2,1,0)=1,1+COUNTIF(DG$3:DG31,"&gt;0"),0)</f>
        <v>0</v>
      </c>
      <c r="DH32">
        <f>IF(IF(OR(IFERROR(SEARCH("Cleric",$T32,1),0)&gt;0,IFERROR(SEARCH(DivineDomain&amp;",",$T32,1),0)&gt;0),1,0)*IF($C32=DH$2,1,0)=1,1+COUNTIF(DH$3:DH31,"&gt;0"),0)</f>
        <v>0</v>
      </c>
      <c r="DI32">
        <f>IF(IF(OR(IFERROR(SEARCH("Cleric",$T32,1),0)&gt;0,IFERROR(SEARCH(DivineDomain&amp;",",$T32,1),0)&gt;0),1,0)*IF($C32=DI$2,1,0)=1,1+COUNTIF(DI$3:DI31,"&gt;0"),0)</f>
        <v>0</v>
      </c>
      <c r="DJ32">
        <f>IF(IF(OR(IFERROR(SEARCH("Druid",$T32,1),0)&gt;0,IFERROR(SEARCH(DruidLand1,$T32,1),0)&gt;0,IFERROR(SEARCH(DruidLand2,$T32,1),0)&gt;0,IFERROR(SEARCH(DruidLand3,$T32,1),0)&gt;0,IFERROR(SEARCH(DruidLand4,$T32,1),0)&gt;0),1,0)*IF($C32=1,1,0)*IF($C32=DJ$2,1,0)=0,0,1+COUNTIF(DJ$3:DJ31,"&gt;0"))</f>
        <v>0</v>
      </c>
      <c r="DK32">
        <f>IF(IF(OR(IFERROR(SEARCH("Druid",$T32,1),0)&gt;0,IFERROR(SEARCH(DruidLand1,$T32,1),0)&gt;0,IFERROR(SEARCH(DruidLand2,$T32,1),0)&gt;0,IFERROR(SEARCH(DruidLand3,$T32,1),0)&gt;0,IFERROR(SEARCH(DruidLand4,$T32,1),0)&gt;0),1,0)*IF($C32=1,1,0)*IF($C32=DK$2,1,0)=0,0,1+COUNTIF(DK$3:DK31,"&gt;0"))</f>
        <v>0</v>
      </c>
      <c r="DL32">
        <f>IF(IF(OR(IFERROR(SEARCH("Druid",$T32,1),0)&gt;0,IFERROR(SEARCH(DruidLand1,$T32,1),0)&gt;0,IFERROR(SEARCH(DruidLand2,$T32,1),0)&gt;0,IFERROR(SEARCH(DruidLand3,$T32,1),0)&gt;0,IFERROR(SEARCH(DruidLand4,$T32,1),0)&gt;0),1,0)*IF($C32=1,1,0)*IF($C32=DL$2,1,0)=0,0,1+COUNTIF(DL$3:DL31,"&gt;0"))</f>
        <v>0</v>
      </c>
      <c r="DM32">
        <f>IF(IF(OR(IFERROR(SEARCH("Druid",$T32,1),0)&gt;0,IFERROR(SEARCH(DruidLand1,$T32,1),0)&gt;0,IFERROR(SEARCH(DruidLand2,$T32,1),0)&gt;0,IFERROR(SEARCH(DruidLand3,$T32,1),0)&gt;0,IFERROR(SEARCH(DruidLand4,$T32,1),0)&gt;0),1,0)*IF($C32=1,1,0)*IF($C32=DM$2,1,0)=0,0,1+COUNTIF(DM$3:DM31,"&gt;0"))</f>
        <v>0</v>
      </c>
      <c r="DN32">
        <f>IF(IF(OR(IFERROR(SEARCH("Druid",$T32,1),0)&gt;0,IFERROR(SEARCH(DruidLand1,$T32,1),0)&gt;0,IFERROR(SEARCH(DruidLand2,$T32,1),0)&gt;0,IFERROR(SEARCH(DruidLand3,$T32,1),0)&gt;0,IFERROR(SEARCH(DruidLand4,$T32,1),0)&gt;0),1,0)*IF($C32=1,1,0)*IF($C32=DN$2,1,0)=0,0,1+COUNTIF(DN$3:DN31,"&gt;0"))</f>
        <v>0</v>
      </c>
      <c r="DO32">
        <f>IF(IF(OR(IFERROR(SEARCH("Druid",$T32,1),0)&gt;0,IFERROR(SEARCH(DruidLand1,$T32,1),0)&gt;0,IFERROR(SEARCH(DruidLand2,$T32,1),0)&gt;0,IFERROR(SEARCH(DruidLand3,$T32,1),0)&gt;0,IFERROR(SEARCH(DruidLand4,$T32,1),0)&gt;0),1,0)*IF($C32=1,1,0)*IF($C32=DO$2,1,0)=0,0,1+COUNTIF(DO$3:DO31,"&gt;0"))</f>
        <v>0</v>
      </c>
      <c r="DP32">
        <f>IF(IF(OR(IFERROR(SEARCH("Druid",$T32,1),0)&gt;0,IFERROR(SEARCH(DruidLand1,$T32,1),0)&gt;0,IFERROR(SEARCH(DruidLand2,$T32,1),0)&gt;0,IFERROR(SEARCH(DruidLand3,$T32,1),0)&gt;0,IFERROR(SEARCH(DruidLand4,$T32,1),0)&gt;0),1,0)*IF($C32=1,1,0)*IF($C32=DP$2,1,0)=0,0,1+COUNTIF(DP$3:DP31,"&gt;0"))</f>
        <v>0</v>
      </c>
      <c r="DQ32">
        <f>IF(IF(OR(IFERROR(SEARCH("Druid",$T32,1),0)&gt;0,IFERROR(SEARCH(DruidLand1,$T32,1),0)&gt;0,IFERROR(SEARCH(DruidLand2,$T32,1),0)&gt;0,IFERROR(SEARCH(DruidLand3,$T32,1),0)&gt;0,IFERROR(SEARCH(DruidLand4,$T32,1),0)&gt;0),1,0)*IF($C32=1,1,0)*IF($C32=DQ$2,1,0)=0,0,1+COUNTIF(DQ$3:DQ31,"&gt;0"))</f>
        <v>0</v>
      </c>
      <c r="DR32">
        <f>IF(IF(OR(IFERROR(SEARCH("Druid",$T32,1),0)&gt;0,IFERROR(SEARCH(DruidLand1,$T32,1),0)&gt;0,IFERROR(SEARCH(DruidLand2,$T32,1),0)&gt;0,IFERROR(SEARCH(DruidLand3,$T32,1),0)&gt;0,IFERROR(SEARCH(DruidLand4,$T32,1),0)&gt;0),1,0)*IF($C32=1,1,0)*IF($C32=DR$2,1,0)=0,0,1+COUNTIF(DR$3:DR31,"&gt;0"))</f>
        <v>0</v>
      </c>
      <c r="DS32">
        <f>IF(IF(OR(IFERROR(SEARCH("Paladin",$T32,1),0)&gt;0,IFERROR(SEARCH(PaladinOath,$T32,1),0)&gt;0),1,0)*IF($C32=DS$2,1,0)=1,1+COUNTIF(DS$3:DS31,"&gt;0"),0)</f>
        <v>0</v>
      </c>
      <c r="DT32">
        <f>IF(IF(OR(IFERROR(SEARCH("Paladin",$T32,1),0)&gt;0,IFERROR(SEARCH(PaladinOath,$T32,1),0)&gt;0),1,0)*IF($C32=DT$2,1,0)=1,1+COUNTIF(DT$3:DT31,"&gt;0"),0)</f>
        <v>0</v>
      </c>
      <c r="DU32">
        <f>IF(IF(OR(IFERROR(SEARCH("Paladin",$T32,1),0)&gt;0,IFERROR(SEARCH(PaladinOath,$T32,1),0)&gt;0),1,0)*IF($C32=DU$2,1,0)=1,1+COUNTIF(DU$3:DU31,"&gt;0"),0)</f>
        <v>0</v>
      </c>
      <c r="DV32">
        <f>IF(IF(OR(IFERROR(SEARCH("Paladin",$T32,1),0)&gt;0,IFERROR(SEARCH(PaladinOath,$T32,1),0)&gt;0),1,0)*IF($C32=DV$2,1,0)=1,1+COUNTIF(DV$3:DV31,"&gt;0"),0)</f>
        <v>0</v>
      </c>
      <c r="DW32">
        <f>IF(IF(OR(IFERROR(SEARCH("Paladin",$T32,1),0)&gt;0,IFERROR(SEARCH(PaladinOath,$T32,1),0)&gt;0),1,0)*IF($C32=DW$2,1,0)=1,1+COUNTIF(DW$3:DW31,"&gt;0"),0)</f>
        <v>0</v>
      </c>
      <c r="DY32">
        <f t="shared" si="2"/>
        <v>1</v>
      </c>
      <c r="DZ32">
        <f>IF(DY32=0,0,1+MAX(DZ$3:$DZ31))</f>
        <v>30</v>
      </c>
      <c r="EB32">
        <f t="shared" si="16"/>
        <v>0</v>
      </c>
      <c r="EC32">
        <f>IF(EB32=0,0,1+COUNTIF(EC$3:EC31,"&gt;0"))</f>
        <v>0</v>
      </c>
      <c r="ED32" t="str">
        <f t="shared" si="44"/>
        <v/>
      </c>
      <c r="EE32" t="str">
        <f t="shared" si="17"/>
        <v/>
      </c>
      <c r="EG32">
        <f t="shared" si="18"/>
        <v>0</v>
      </c>
      <c r="EH32">
        <f>IF(EG32=0,0,1+COUNTIF(EH$3:EH31,"&gt;0"))</f>
        <v>0</v>
      </c>
      <c r="EI32" t="str">
        <f t="shared" si="45"/>
        <v/>
      </c>
      <c r="EJ32" t="str">
        <f t="shared" si="19"/>
        <v/>
      </c>
      <c r="EL32">
        <f t="shared" si="20"/>
        <v>0</v>
      </c>
      <c r="EM32">
        <f>IF(EL32=0,0,1+COUNTIF(EM$3:EM31,"&gt;0"))</f>
        <v>0</v>
      </c>
      <c r="EN32" t="str">
        <f t="shared" si="46"/>
        <v/>
      </c>
      <c r="EO32" t="str">
        <f t="shared" si="21"/>
        <v/>
      </c>
      <c r="EQ32">
        <f t="shared" si="22"/>
        <v>0</v>
      </c>
      <c r="ER32">
        <f>IF(EQ32=0,0,1+COUNTIF(ER$3:ER31,"&gt;0"))</f>
        <v>0</v>
      </c>
      <c r="ES32" t="str">
        <f t="shared" si="47"/>
        <v/>
      </c>
      <c r="ET32" t="str">
        <f t="shared" si="23"/>
        <v/>
      </c>
      <c r="EV32">
        <f t="shared" si="24"/>
        <v>0</v>
      </c>
      <c r="EW32">
        <f>IF(EV32=0,0,1+COUNTIF(EW$3:EW31,"&gt;0"))</f>
        <v>0</v>
      </c>
      <c r="EX32" t="str">
        <f t="shared" si="48"/>
        <v/>
      </c>
      <c r="EY32" t="str">
        <f t="shared" si="25"/>
        <v/>
      </c>
      <c r="FA32">
        <f t="shared" si="26"/>
        <v>0</v>
      </c>
      <c r="FB32">
        <f>IF(FA32=0,0,1+COUNTIF(FB$3:FB31,"&gt;0"))</f>
        <v>0</v>
      </c>
      <c r="FC32" t="str">
        <f t="shared" si="49"/>
        <v/>
      </c>
      <c r="FD32" t="str">
        <f t="shared" si="27"/>
        <v/>
      </c>
      <c r="FF32">
        <f t="shared" si="28"/>
        <v>0</v>
      </c>
      <c r="FG32">
        <f>IF(FF32=0,0,1+COUNTIF(FG$3:FG31,"&gt;0"))</f>
        <v>0</v>
      </c>
      <c r="FH32" t="str">
        <f t="shared" si="50"/>
        <v/>
      </c>
      <c r="FI32" t="str">
        <f t="shared" si="29"/>
        <v/>
      </c>
      <c r="FK32">
        <f t="shared" si="30"/>
        <v>0</v>
      </c>
      <c r="FL32">
        <f>IF(FK32=0,0,1+COUNTIF(FL$3:FL31,"&gt;0"))</f>
        <v>0</v>
      </c>
      <c r="FM32" t="str">
        <f t="shared" si="51"/>
        <v/>
      </c>
      <c r="FN32" t="str">
        <f t="shared" si="31"/>
        <v/>
      </c>
      <c r="FP32">
        <f t="shared" si="32"/>
        <v>0</v>
      </c>
      <c r="FQ32">
        <f>IF(FP32=0,0,1+COUNTIF(FQ$3:FQ31,"&gt;0"))</f>
        <v>0</v>
      </c>
      <c r="FR32" t="str">
        <f t="shared" si="52"/>
        <v/>
      </c>
      <c r="FS32" t="str">
        <f t="shared" si="33"/>
        <v/>
      </c>
    </row>
    <row r="33" spans="1:175" x14ac:dyDescent="0.25">
      <c r="A33" s="347">
        <f>A32+1</f>
        <v>31</v>
      </c>
      <c r="B33" s="348" t="s">
        <v>2390</v>
      </c>
      <c r="C33" s="348">
        <v>5</v>
      </c>
      <c r="D33" s="347">
        <v>5</v>
      </c>
      <c r="E33" s="627" t="s">
        <v>6952</v>
      </c>
      <c r="F33" s="346"/>
      <c r="G33" s="347" t="str">
        <f>""</f>
        <v/>
      </c>
      <c r="H33" s="347" t="s">
        <v>5912</v>
      </c>
      <c r="I33" s="347" t="s">
        <v>5290</v>
      </c>
      <c r="J33" s="347" t="str">
        <f t="shared" si="3"/>
        <v/>
      </c>
      <c r="K33" s="347" t="s">
        <v>5291</v>
      </c>
      <c r="L33" s="611" t="str">
        <f t="shared" si="4"/>
        <v>V, S, M, an eggshell and a snakeskin glove</v>
      </c>
      <c r="M33" s="347" t="s">
        <v>2373</v>
      </c>
      <c r="N33" s="347" t="s">
        <v>2387</v>
      </c>
      <c r="O33" s="347" t="s">
        <v>1244</v>
      </c>
      <c r="P33" s="346" t="s">
        <v>5311</v>
      </c>
      <c r="Q33" s="347" t="s">
        <v>5273</v>
      </c>
      <c r="S33" s="346" t="s">
        <v>5604</v>
      </c>
      <c r="T33" s="346" t="str">
        <f t="shared" si="5"/>
        <v xml:space="preserve">Eldritch Knight, Wizard, </v>
      </c>
      <c r="AB33" s="542" t="str">
        <f>AD33</f>
        <v>Bigby's Hand</v>
      </c>
      <c r="AD33" s="347" t="str">
        <f>$B33</f>
        <v>Bigby's Hand</v>
      </c>
      <c r="AE33" t="str">
        <f>IF(IFERROR(MATCH($B33,temp!A$4:A$13,0),0)&gt;0,T08_Spells!AE$2,"")</f>
        <v/>
      </c>
      <c r="AF33" t="str">
        <f>IF(IFERROR(MATCH($B33,temp!B$4:B$13,0),0)&gt;0,T08_Spells!AF$2,"")</f>
        <v/>
      </c>
      <c r="AG33" t="str">
        <f>IF(IFERROR(MATCH($B33,temp!C$4:C$13,0),0)&gt;0,T08_Spells!AG$2,"")</f>
        <v/>
      </c>
      <c r="AH33" t="str">
        <f>IF(IFERROR(MATCH($B33,temp!D$4:D$13,0),0)&gt;0,T08_Spells!AH$2,"")</f>
        <v/>
      </c>
      <c r="AI33" t="str">
        <f>IF(IFERROR(MATCH($B33,temp!E$4:E$13,0),0)&gt;0,T08_Spells!AI$2,"")</f>
        <v/>
      </c>
      <c r="AJ33" t="str">
        <f>IF(IFERROR(MATCH($B33,temp!F$4:F$13,0),0)&gt;0,T08_Spells!AJ$2,"")</f>
        <v/>
      </c>
      <c r="AK33" t="str">
        <f>IF(IFERROR(MATCH($B33,temp!G$4:G$13,0),0)&gt;0,T08_Spells!AK$2,"")</f>
        <v/>
      </c>
      <c r="AL33" t="str">
        <f>IF(IFERROR(MATCH($B33,temp!H$4:H$13,0),0)&gt;0,T08_Spells!AL$2,"")</f>
        <v/>
      </c>
      <c r="AM33" t="str">
        <f>IF(IFERROR(MATCH($B33,temp!I$4:I$13,0),0)&gt;0,T08_Spells!AM$2,"")</f>
        <v/>
      </c>
      <c r="AN33" t="str">
        <f>IF(IFERROR(MATCH($B33,temp!J$4:J$13,0),0)&gt;0,T08_Spells!AN$2,"")</f>
        <v/>
      </c>
      <c r="AO33" t="str">
        <f>IF(IFERROR(MATCH($B33,temp!K$4:K$13,0),0)&gt;0,T08_Spells!AO$2,"")</f>
        <v/>
      </c>
      <c r="AP33" t="str">
        <f>IF(IFERROR(MATCH($B33,temp!L$4:L$13,0),0)&gt;0,T08_Spells!AP$2,"")</f>
        <v/>
      </c>
      <c r="AQ33" t="str">
        <f>IF(IFERROR(MATCH($B33,temp!M$4:M$13,0),0)&gt;0,T08_Spells!AQ$2,"")</f>
        <v/>
      </c>
      <c r="AR33" t="str">
        <f>IF(IFERROR(MATCH($B33,temp!N$4:N$13,0),0)&gt;0,T08_Spells!AR$2,"")</f>
        <v/>
      </c>
      <c r="AS33" t="str">
        <f>IF(IFERROR(MATCH($B33,temp!O$4:O$13,0),0)&gt;0,T08_Spells!AS$2,"")</f>
        <v/>
      </c>
      <c r="AT33" t="str">
        <f>IF(IFERROR(MATCH($B33,temp!P$4:P$13,0),0)&gt;0,T08_Spells!AT$2,"")</f>
        <v/>
      </c>
      <c r="AU33" t="str">
        <f>IF(IFERROR(MATCH($B33,temp!Q$4:Q$13,0),0)&gt;0,T08_Spells!AU$2,"")</f>
        <v/>
      </c>
      <c r="AV33" t="str">
        <f>IF(IFERROR(MATCH($B33,temp!R$4:R$13,0),0)&gt;0,T08_Spells!AV$2,"")</f>
        <v/>
      </c>
      <c r="AW33" t="str">
        <f>IF(IFERROR(MATCH($B33,temp!S$4:S$13,0),0)&gt;0,T08_Spells!AW$2,"")</f>
        <v/>
      </c>
      <c r="AX33" t="str">
        <f>IF(IFERROR(MATCH($B33,temp!T$4:T$13,0),0)&gt;0,T08_Spells!AX$2,"")</f>
        <v/>
      </c>
      <c r="AY33" t="str">
        <f>IF(IFERROR(MATCH($B33,temp!U$4:U$13,0),0)&gt;0,T08_Spells!AY$2,"")</f>
        <v/>
      </c>
      <c r="AZ33" t="str">
        <f>IF(IFERROR(MATCH($B33,temp!V$4:V$13,0),0)&gt;0,T08_Spells!AZ$2,"")</f>
        <v/>
      </c>
      <c r="BA33" t="str">
        <f>IF(IFERROR(MATCH($B33,temp!W$4:W$13,0),0)&gt;0,T08_Spells!BA$2,"")</f>
        <v/>
      </c>
      <c r="BC33">
        <f>IF(IFERROR(SEARCH("Ranger",$T33,1),0)&gt;0,1,0)*IF(RangerMaxSpellLevel&gt;=$C33,1,0)*IF(IFERROR(MATCH(B33,Character_Creation!$X$79:$X$382,0),0)&gt;0,0,1)</f>
        <v>0</v>
      </c>
      <c r="BD33">
        <f>IF(BC33=0,0,1+COUNTIF(BD$3:BD32,"&gt;0"))</f>
        <v>0</v>
      </c>
      <c r="BE33" t="str">
        <f t="shared" si="34"/>
        <v/>
      </c>
      <c r="BF33" t="str">
        <f t="shared" si="6"/>
        <v/>
      </c>
      <c r="BH33">
        <f>IF(IFERROR(SEARCH("Sorcerer",$T33,1),0)&gt;0,1,0)*IF(SorcererMaxSpellLevel&gt;=$C33,1,0)*IF(IFERROR(MATCH(B33,Character_Creation!$J$380:$J$394,0),0)&gt;0,0,1)</f>
        <v>0</v>
      </c>
      <c r="BI33">
        <f>IF(BH33=0,0,1+COUNTIF(BI$3:BI32,"&gt;0"))</f>
        <v>0</v>
      </c>
      <c r="BJ33" t="str">
        <f t="shared" si="35"/>
        <v/>
      </c>
      <c r="BK33" t="str">
        <f t="shared" si="7"/>
        <v/>
      </c>
      <c r="BM33">
        <f>IF(OR(IFERROR(SEARCH("Warlock",$T33,1),0)&gt;0,IFERROR(SEARCH(WarlockPatron,$T33,1),0)&gt;0),1,0)*IF(WarlockMaxSpellLevel&gt;=$C33,1,0)*IF(IFERROR(MATCH(B33,Character_Creation!$J$361:$J$375,0),0)&gt;0,0,1)</f>
        <v>0</v>
      </c>
      <c r="BN33">
        <f>IF(BM33=0,0,1+COUNTIF(BN$3:BN32,"&gt;0"))</f>
        <v>0</v>
      </c>
      <c r="BO33" t="str">
        <f t="shared" si="36"/>
        <v/>
      </c>
      <c r="BP33" t="str">
        <f t="shared" si="8"/>
        <v/>
      </c>
      <c r="BR33">
        <f>IF(IFERROR(SEARCH("Eldritch Knight",$T33,1),0)&gt;0,1,0)*IF(EldritchKnightMaxSpellLevel&gt;=$C33,1,0)*IF(IFERROR(MATCH($B33,Character_Creation!$J$350:$J$356,0),0)&gt;0,0,1)*IF(Character_Creation!$M$338&gt;0,1,0)</f>
        <v>0</v>
      </c>
      <c r="BS33">
        <f>IF(BR33=0,0,1+COUNTIF(BS$3:BS32,"&gt;0"))</f>
        <v>0</v>
      </c>
      <c r="BT33" t="str">
        <f t="shared" si="37"/>
        <v/>
      </c>
      <c r="BU33" t="str">
        <f t="shared" si="9"/>
        <v/>
      </c>
      <c r="BW33">
        <f>IF(IFERROR(SEARCH("Arcane Trickster",$T33,1),0)&gt;0,1,0)*IF(ArcaneTricksterMaxSpellLevel&gt;=$C33,1,0)*IF(IFERROR(MATCH($B33,Character_Creation!$J$350:$J$356,0),0)&gt;0,0,1)*IF(Character_Creation!$T$338&gt;0,1,0)</f>
        <v>0</v>
      </c>
      <c r="BX33">
        <f>IF(BW33=0,0,1+COUNTIF(BX$3:BX32,"&gt;0"))</f>
        <v>0</v>
      </c>
      <c r="BY33" t="str">
        <f t="shared" si="38"/>
        <v/>
      </c>
      <c r="BZ33" t="str">
        <f t="shared" si="10"/>
        <v/>
      </c>
      <c r="CB33">
        <f>IF(IFERROR(SEARCH("Wizard",$T33,1),0)&gt;0,1,0)*IF(C33&lt;=ArcaneTricksterMaxSpellLevel,1,0)*IF(IFERROR(MATCH($B33,Character_Creation!$J$350:$J$356,0),0)&gt;0,0,1)*IF(Character_Creation!$T$350&gt;0,1,0)</f>
        <v>0</v>
      </c>
      <c r="CC33">
        <f>IF(CB33=0,0,1+COUNTIF(CC$3:CC32,"&gt;0"))</f>
        <v>0</v>
      </c>
      <c r="CD33" t="str">
        <f t="shared" si="39"/>
        <v/>
      </c>
      <c r="CE33" t="str">
        <f t="shared" si="11"/>
        <v/>
      </c>
      <c r="CG33">
        <f>IF(IFERROR(SEARCH("Wizard",$T33,1),0)&gt;0,1,0)*IF($C33&lt;=EldritchKnightMaxSpellLevel,1,0)*IF(IFERROR(MATCH($B33,Character_Creation!$J$350:$J$356,0),0)&gt;0,0,1)*IF(Character_Creation!$M$350&gt;0,1,0)</f>
        <v>0</v>
      </c>
      <c r="CH33">
        <f>IF(CG33=0,0,1+COUNTIF(CH$3:CH32,"&gt;0"))</f>
        <v>0</v>
      </c>
      <c r="CI33">
        <f t="shared" si="40"/>
        <v>31</v>
      </c>
      <c r="CJ33" t="str">
        <f t="shared" si="12"/>
        <v>Illusory Script</v>
      </c>
      <c r="CL33">
        <f>IF(IFERROR(SEARCH("Bard",$T33,1),0)&gt;0,1,0)*IF(BardMaxSpellLevel&gt;=$C33,1,0)*IF(IFERROR(MATCH(B33,Character_Creation!$C$341:$F$362,0),0)&gt;0,0,1)*IF(IFERROR(MATCH($B33,Character_Creation!$C$341:$C$362,0),0)&gt;0,0,1)</f>
        <v>0</v>
      </c>
      <c r="CM33">
        <f>IF(CL33=0,0,1+COUNTIF(CM$3:CM32,"&gt;0"))</f>
        <v>0</v>
      </c>
      <c r="CN33" t="str">
        <f t="shared" si="41"/>
        <v/>
      </c>
      <c r="CO33" t="str">
        <f t="shared" si="13"/>
        <v/>
      </c>
      <c r="CQ33">
        <f>IF(IFERROR(SEARCH("Wizard",$T33,1),0)&gt;0,1,0)*IF(WizardMaxSpellLevel&gt;=$C33,1,0)*IF(IFERROR(MATCH(B33,Character_Creation!$X$341:$X$400,0),0)&gt;0,0,1)*IF(SelectedWizardSpellLevel=$C33,1,0)</f>
        <v>0</v>
      </c>
      <c r="CR33">
        <f>IF(CQ33=0,0,1+COUNTIF(CR$3:CR32,"&gt;0"))</f>
        <v>0</v>
      </c>
      <c r="CS33">
        <f t="shared" si="42"/>
        <v>31</v>
      </c>
      <c r="CT33" t="str">
        <f t="shared" si="14"/>
        <v>Tidal Wave</v>
      </c>
      <c r="CV33">
        <f>IF(IFERROR(MATCH($B33,Character_Creation!$C$341:$C$362,0),0)&gt;0,0,1)*IF(OR(C33="Cantrip",C33&lt;=BardMaxSpellLevel),1,0)*IF(IFERROR(MATCH($B33,Character_Creation!$C$367:$C$374,0),0)&gt;0,0,1)</f>
        <v>0</v>
      </c>
      <c r="CW33">
        <f>IF(CV33=0,0,1+COUNTIF(CW$3:CW32,"&gt;0"))</f>
        <v>0</v>
      </c>
      <c r="CX33">
        <f t="shared" si="43"/>
        <v>31</v>
      </c>
      <c r="CY33" t="str">
        <f t="shared" si="15"/>
        <v>Gust</v>
      </c>
      <c r="DA33">
        <f>IF(IF(OR(IFERROR(SEARCH("Cleric",$T33,1),0)&gt;0,IFERROR(SEARCH(DivineDomain&amp;",",$T33,1),0)&gt;0),1,0)*IF($C33=DA$2,1,0)=1,1+COUNTIF(DA$3:DA32,"&gt;0"),0)</f>
        <v>0</v>
      </c>
      <c r="DB33">
        <f>IF(IF(OR(IFERROR(SEARCH("Cleric",$T33,1),0)&gt;0,IFERROR(SEARCH(DivineDomain&amp;",",$T33,1),0)&gt;0),1,0)*IF($C33=DB$2,1,0)=1,1+COUNTIF(DB$3:DB32,"&gt;0"),0)</f>
        <v>0</v>
      </c>
      <c r="DC33">
        <f>IF(IF(OR(IFERROR(SEARCH("Cleric",$T33,1),0)&gt;0,IFERROR(SEARCH(DivineDomain&amp;",",$T33,1),0)&gt;0),1,0)*IF($C33=DC$2,1,0)=1,1+COUNTIF(DC$3:DC32,"&gt;0"),0)</f>
        <v>0</v>
      </c>
      <c r="DD33">
        <f>IF(IF(OR(IFERROR(SEARCH("Cleric",$T33,1),0)&gt;0,IFERROR(SEARCH(DivineDomain&amp;",",$T33,1),0)&gt;0),1,0)*IF($C33=DD$2,1,0)=1,1+COUNTIF(DD$3:DD32,"&gt;0"),0)</f>
        <v>0</v>
      </c>
      <c r="DE33">
        <f>IF(IF(OR(IFERROR(SEARCH("Cleric",$T33,1),0)&gt;0,IFERROR(SEARCH(DivineDomain&amp;",",$T33,1),0)&gt;0),1,0)*IF($C33=DE$2,1,0)=1,1+COUNTIF(DE$3:DE32,"&gt;0"),0)</f>
        <v>0</v>
      </c>
      <c r="DF33">
        <f>IF(IF(OR(IFERROR(SEARCH("Cleric",$T33,1),0)&gt;0,IFERROR(SEARCH(DivineDomain&amp;",",$T33,1),0)&gt;0),1,0)*IF($C33=DF$2,1,0)=1,1+COUNTIF(DF$3:DF32,"&gt;0"),0)</f>
        <v>0</v>
      </c>
      <c r="DG33">
        <f>IF(IF(OR(IFERROR(SEARCH("Cleric",$T33,1),0)&gt;0,IFERROR(SEARCH(DivineDomain&amp;",",$T33,1),0)&gt;0),1,0)*IF($C33=DG$2,1,0)=1,1+COUNTIF(DG$3:DG32,"&gt;0"),0)</f>
        <v>0</v>
      </c>
      <c r="DH33">
        <f>IF(IF(OR(IFERROR(SEARCH("Cleric",$T33,1),0)&gt;0,IFERROR(SEARCH(DivineDomain&amp;",",$T33,1),0)&gt;0),1,0)*IF($C33=DH$2,1,0)=1,1+COUNTIF(DH$3:DH32,"&gt;0"),0)</f>
        <v>0</v>
      </c>
      <c r="DI33">
        <f>IF(IF(OR(IFERROR(SEARCH("Cleric",$T33,1),0)&gt;0,IFERROR(SEARCH(DivineDomain&amp;",",$T33,1),0)&gt;0),1,0)*IF($C33=DI$2,1,0)=1,1+COUNTIF(DI$3:DI32,"&gt;0"),0)</f>
        <v>0</v>
      </c>
      <c r="DJ33">
        <f>IF(IF(OR(IFERROR(SEARCH("Druid",$T33,1),0)&gt;0,IFERROR(SEARCH(DruidLand1,$T33,1),0)&gt;0,IFERROR(SEARCH(DruidLand2,$T33,1),0)&gt;0,IFERROR(SEARCH(DruidLand3,$T33,1),0)&gt;0,IFERROR(SEARCH(DruidLand4,$T33,1),0)&gt;0),1,0)*IF($C33=1,1,0)*IF($C33=DJ$2,1,0)=0,0,1+COUNTIF(DJ$3:DJ32,"&gt;0"))</f>
        <v>0</v>
      </c>
      <c r="DK33">
        <f>IF(IF(OR(IFERROR(SEARCH("Druid",$T33,1),0)&gt;0,IFERROR(SEARCH(DruidLand1,$T33,1),0)&gt;0,IFERROR(SEARCH(DruidLand2,$T33,1),0)&gt;0,IFERROR(SEARCH(DruidLand3,$T33,1),0)&gt;0,IFERROR(SEARCH(DruidLand4,$T33,1),0)&gt;0),1,0)*IF($C33=1,1,0)*IF($C33=DK$2,1,0)=0,0,1+COUNTIF(DK$3:DK32,"&gt;0"))</f>
        <v>0</v>
      </c>
      <c r="DL33">
        <f>IF(IF(OR(IFERROR(SEARCH("Druid",$T33,1),0)&gt;0,IFERROR(SEARCH(DruidLand1,$T33,1),0)&gt;0,IFERROR(SEARCH(DruidLand2,$T33,1),0)&gt;0,IFERROR(SEARCH(DruidLand3,$T33,1),0)&gt;0,IFERROR(SEARCH(DruidLand4,$T33,1),0)&gt;0),1,0)*IF($C33=1,1,0)*IF($C33=DL$2,1,0)=0,0,1+COUNTIF(DL$3:DL32,"&gt;0"))</f>
        <v>0</v>
      </c>
      <c r="DM33">
        <f>IF(IF(OR(IFERROR(SEARCH("Druid",$T33,1),0)&gt;0,IFERROR(SEARCH(DruidLand1,$T33,1),0)&gt;0,IFERROR(SEARCH(DruidLand2,$T33,1),0)&gt;0,IFERROR(SEARCH(DruidLand3,$T33,1),0)&gt;0,IFERROR(SEARCH(DruidLand4,$T33,1),0)&gt;0),1,0)*IF($C33=1,1,0)*IF($C33=DM$2,1,0)=0,0,1+COUNTIF(DM$3:DM32,"&gt;0"))</f>
        <v>0</v>
      </c>
      <c r="DN33">
        <f>IF(IF(OR(IFERROR(SEARCH("Druid",$T33,1),0)&gt;0,IFERROR(SEARCH(DruidLand1,$T33,1),0)&gt;0,IFERROR(SEARCH(DruidLand2,$T33,1),0)&gt;0,IFERROR(SEARCH(DruidLand3,$T33,1),0)&gt;0,IFERROR(SEARCH(DruidLand4,$T33,1),0)&gt;0),1,0)*IF($C33=1,1,0)*IF($C33=DN$2,1,0)=0,0,1+COUNTIF(DN$3:DN32,"&gt;0"))</f>
        <v>0</v>
      </c>
      <c r="DO33">
        <f>IF(IF(OR(IFERROR(SEARCH("Druid",$T33,1),0)&gt;0,IFERROR(SEARCH(DruidLand1,$T33,1),0)&gt;0,IFERROR(SEARCH(DruidLand2,$T33,1),0)&gt;0,IFERROR(SEARCH(DruidLand3,$T33,1),0)&gt;0,IFERROR(SEARCH(DruidLand4,$T33,1),0)&gt;0),1,0)*IF($C33=1,1,0)*IF($C33=DO$2,1,0)=0,0,1+COUNTIF(DO$3:DO32,"&gt;0"))</f>
        <v>0</v>
      </c>
      <c r="DP33">
        <f>IF(IF(OR(IFERROR(SEARCH("Druid",$T33,1),0)&gt;0,IFERROR(SEARCH(DruidLand1,$T33,1),0)&gt;0,IFERROR(SEARCH(DruidLand2,$T33,1),0)&gt;0,IFERROR(SEARCH(DruidLand3,$T33,1),0)&gt;0,IFERROR(SEARCH(DruidLand4,$T33,1),0)&gt;0),1,0)*IF($C33=1,1,0)*IF($C33=DP$2,1,0)=0,0,1+COUNTIF(DP$3:DP32,"&gt;0"))</f>
        <v>0</v>
      </c>
      <c r="DQ33">
        <f>IF(IF(OR(IFERROR(SEARCH("Druid",$T33,1),0)&gt;0,IFERROR(SEARCH(DruidLand1,$T33,1),0)&gt;0,IFERROR(SEARCH(DruidLand2,$T33,1),0)&gt;0,IFERROR(SEARCH(DruidLand3,$T33,1),0)&gt;0,IFERROR(SEARCH(DruidLand4,$T33,1),0)&gt;0),1,0)*IF($C33=1,1,0)*IF($C33=DQ$2,1,0)=0,0,1+COUNTIF(DQ$3:DQ32,"&gt;0"))</f>
        <v>0</v>
      </c>
      <c r="DR33">
        <f>IF(IF(OR(IFERROR(SEARCH("Druid",$T33,1),0)&gt;0,IFERROR(SEARCH(DruidLand1,$T33,1),0)&gt;0,IFERROR(SEARCH(DruidLand2,$T33,1),0)&gt;0,IFERROR(SEARCH(DruidLand3,$T33,1),0)&gt;0,IFERROR(SEARCH(DruidLand4,$T33,1),0)&gt;0),1,0)*IF($C33=1,1,0)*IF($C33=DR$2,1,0)=0,0,1+COUNTIF(DR$3:DR32,"&gt;0"))</f>
        <v>0</v>
      </c>
      <c r="DS33">
        <f>IF(IF(OR(IFERROR(SEARCH("Paladin",$T33,1),0)&gt;0,IFERROR(SEARCH(PaladinOath,$T33,1),0)&gt;0),1,0)*IF($C33=DS$2,1,0)=1,1+COUNTIF(DS$3:DS32,"&gt;0"),0)</f>
        <v>0</v>
      </c>
      <c r="DT33">
        <f>IF(IF(OR(IFERROR(SEARCH("Paladin",$T33,1),0)&gt;0,IFERROR(SEARCH(PaladinOath,$T33,1),0)&gt;0),1,0)*IF($C33=DT$2,1,0)=1,1+COUNTIF(DT$3:DT32,"&gt;0"),0)</f>
        <v>0</v>
      </c>
      <c r="DU33">
        <f>IF(IF(OR(IFERROR(SEARCH("Paladin",$T33,1),0)&gt;0,IFERROR(SEARCH(PaladinOath,$T33,1),0)&gt;0),1,0)*IF($C33=DU$2,1,0)=1,1+COUNTIF(DU$3:DU32,"&gt;0"),0)</f>
        <v>0</v>
      </c>
      <c r="DV33">
        <f>IF(IF(OR(IFERROR(SEARCH("Paladin",$T33,1),0)&gt;0,IFERROR(SEARCH(PaladinOath,$T33,1),0)&gt;0),1,0)*IF($C33=DV$2,1,0)=1,1+COUNTIF(DV$3:DV32,"&gt;0"),0)</f>
        <v>0</v>
      </c>
      <c r="DW33">
        <f>IF(IF(OR(IFERROR(SEARCH("Paladin",$T33,1),0)&gt;0,IFERROR(SEARCH(PaladinOath,$T33,1),0)&gt;0),1,0)*IF($C33=DW$2,1,0)=1,1+COUNTIF(DW$3:DW32,"&gt;0"),0)</f>
        <v>0</v>
      </c>
      <c r="DY33">
        <f t="shared" si="2"/>
        <v>1</v>
      </c>
      <c r="DZ33">
        <f>IF(DY33=0,0,1+MAX(DZ$3:$DZ32))</f>
        <v>31</v>
      </c>
      <c r="EB33">
        <f t="shared" si="16"/>
        <v>0</v>
      </c>
      <c r="EC33">
        <f>IF(EB33=0,0,1+COUNTIF(EC$3:EC32,"&gt;0"))</f>
        <v>0</v>
      </c>
      <c r="ED33" t="str">
        <f t="shared" si="44"/>
        <v/>
      </c>
      <c r="EE33" t="str">
        <f t="shared" si="17"/>
        <v/>
      </c>
      <c r="EG33">
        <f t="shared" si="18"/>
        <v>0</v>
      </c>
      <c r="EH33">
        <f>IF(EG33=0,0,1+COUNTIF(EH$3:EH32,"&gt;0"))</f>
        <v>0</v>
      </c>
      <c r="EI33" t="str">
        <f t="shared" si="45"/>
        <v/>
      </c>
      <c r="EJ33" t="str">
        <f t="shared" si="19"/>
        <v/>
      </c>
      <c r="EL33">
        <f t="shared" si="20"/>
        <v>0</v>
      </c>
      <c r="EM33">
        <f>IF(EL33=0,0,1+COUNTIF(EM$3:EM32,"&gt;0"))</f>
        <v>0</v>
      </c>
      <c r="EN33" t="str">
        <f t="shared" si="46"/>
        <v/>
      </c>
      <c r="EO33" t="str">
        <f t="shared" si="21"/>
        <v/>
      </c>
      <c r="EQ33">
        <f t="shared" si="22"/>
        <v>0</v>
      </c>
      <c r="ER33">
        <f>IF(EQ33=0,0,1+COUNTIF(ER$3:ER32,"&gt;0"))</f>
        <v>0</v>
      </c>
      <c r="ES33" t="str">
        <f t="shared" si="47"/>
        <v/>
      </c>
      <c r="ET33" t="str">
        <f t="shared" si="23"/>
        <v/>
      </c>
      <c r="EV33">
        <f t="shared" si="24"/>
        <v>0</v>
      </c>
      <c r="EW33">
        <f>IF(EV33=0,0,1+COUNTIF(EW$3:EW32,"&gt;0"))</f>
        <v>0</v>
      </c>
      <c r="EX33" t="str">
        <f t="shared" si="48"/>
        <v/>
      </c>
      <c r="EY33" t="str">
        <f t="shared" si="25"/>
        <v/>
      </c>
      <c r="FA33">
        <f t="shared" si="26"/>
        <v>0</v>
      </c>
      <c r="FB33">
        <f>IF(FA33=0,0,1+COUNTIF(FB$3:FB32,"&gt;0"))</f>
        <v>0</v>
      </c>
      <c r="FC33" t="str">
        <f t="shared" si="49"/>
        <v/>
      </c>
      <c r="FD33" t="str">
        <f t="shared" si="27"/>
        <v/>
      </c>
      <c r="FF33">
        <f t="shared" si="28"/>
        <v>0</v>
      </c>
      <c r="FG33">
        <f>IF(FF33=0,0,1+COUNTIF(FG$3:FG32,"&gt;0"))</f>
        <v>0</v>
      </c>
      <c r="FH33" t="str">
        <f t="shared" si="50"/>
        <v/>
      </c>
      <c r="FI33" t="str">
        <f t="shared" si="29"/>
        <v/>
      </c>
      <c r="FK33">
        <f t="shared" si="30"/>
        <v>0</v>
      </c>
      <c r="FL33">
        <f>IF(FK33=0,0,1+COUNTIF(FL$3:FL32,"&gt;0"))</f>
        <v>0</v>
      </c>
      <c r="FM33" t="str">
        <f t="shared" si="51"/>
        <v/>
      </c>
      <c r="FN33" t="str">
        <f t="shared" si="31"/>
        <v/>
      </c>
      <c r="FP33">
        <f t="shared" si="32"/>
        <v>0</v>
      </c>
      <c r="FQ33">
        <f>IF(FP33=0,0,1+COUNTIF(FQ$3:FQ32,"&gt;0"))</f>
        <v>0</v>
      </c>
      <c r="FR33" t="str">
        <f t="shared" si="52"/>
        <v/>
      </c>
      <c r="FS33" t="str">
        <f t="shared" si="33"/>
        <v/>
      </c>
    </row>
    <row r="34" spans="1:175" x14ac:dyDescent="0.25">
      <c r="A34" s="347">
        <f t="shared" si="53"/>
        <v>32</v>
      </c>
      <c r="B34" s="348" t="s">
        <v>2391</v>
      </c>
      <c r="C34" s="348">
        <v>6</v>
      </c>
      <c r="D34" s="347">
        <v>6</v>
      </c>
      <c r="E34" s="627" t="s">
        <v>6952</v>
      </c>
      <c r="F34" s="346"/>
      <c r="G34" s="347" t="str">
        <f>""</f>
        <v/>
      </c>
      <c r="H34" s="347" t="s">
        <v>5912</v>
      </c>
      <c r="I34" s="347" t="s">
        <v>5312</v>
      </c>
      <c r="J34" s="347" t="str">
        <f t="shared" si="3"/>
        <v/>
      </c>
      <c r="K34" s="347" t="s">
        <v>5297</v>
      </c>
      <c r="L34" s="611" t="str">
        <f t="shared" si="4"/>
        <v>V, S</v>
      </c>
      <c r="M34" s="347" t="s">
        <v>2373</v>
      </c>
      <c r="N34" s="347" t="s">
        <v>2387</v>
      </c>
      <c r="O34" s="347" t="s">
        <v>3034</v>
      </c>
      <c r="P34" s="346" t="str">
        <f>""</f>
        <v/>
      </c>
      <c r="Q34" s="347" t="s">
        <v>5273</v>
      </c>
      <c r="S34" s="346" t="s">
        <v>5605</v>
      </c>
      <c r="T34" s="346" t="str">
        <f t="shared" si="5"/>
        <v xml:space="preserve">Cleric, </v>
      </c>
      <c r="Z34" s="347" t="str">
        <f>$B34</f>
        <v>Blade Barrier</v>
      </c>
      <c r="AE34" t="str">
        <f>IF(IFERROR(MATCH($B34,temp!A$4:A$13,0),0)&gt;0,T08_Spells!AE$2,"")</f>
        <v/>
      </c>
      <c r="AF34" t="str">
        <f>IF(IFERROR(MATCH($B34,temp!B$4:B$13,0),0)&gt;0,T08_Spells!AF$2,"")</f>
        <v/>
      </c>
      <c r="AG34" t="str">
        <f>IF(IFERROR(MATCH($B34,temp!C$4:C$13,0),0)&gt;0,T08_Spells!AG$2,"")</f>
        <v/>
      </c>
      <c r="AH34" t="str">
        <f>IF(IFERROR(MATCH($B34,temp!D$4:D$13,0),0)&gt;0,T08_Spells!AH$2,"")</f>
        <v/>
      </c>
      <c r="AI34" t="str">
        <f>IF(IFERROR(MATCH($B34,temp!E$4:E$13,0),0)&gt;0,T08_Spells!AI$2,"")</f>
        <v/>
      </c>
      <c r="AJ34" t="str">
        <f>IF(IFERROR(MATCH($B34,temp!F$4:F$13,0),0)&gt;0,T08_Spells!AJ$2,"")</f>
        <v/>
      </c>
      <c r="AK34" t="str">
        <f>IF(IFERROR(MATCH($B34,temp!G$4:G$13,0),0)&gt;0,T08_Spells!AK$2,"")</f>
        <v/>
      </c>
      <c r="AL34" t="str">
        <f>IF(IFERROR(MATCH($B34,temp!H$4:H$13,0),0)&gt;0,T08_Spells!AL$2,"")</f>
        <v/>
      </c>
      <c r="AM34" t="str">
        <f>IF(IFERROR(MATCH($B34,temp!I$4:I$13,0),0)&gt;0,T08_Spells!AM$2,"")</f>
        <v/>
      </c>
      <c r="AN34" t="str">
        <f>IF(IFERROR(MATCH($B34,temp!J$4:J$13,0),0)&gt;0,T08_Spells!AN$2,"")</f>
        <v/>
      </c>
      <c r="AO34" t="str">
        <f>IF(IFERROR(MATCH($B34,temp!K$4:K$13,0),0)&gt;0,T08_Spells!AO$2,"")</f>
        <v/>
      </c>
      <c r="AP34" t="str">
        <f>IF(IFERROR(MATCH($B34,temp!L$4:L$13,0),0)&gt;0,T08_Spells!AP$2,"")</f>
        <v/>
      </c>
      <c r="AQ34" t="str">
        <f>IF(IFERROR(MATCH($B34,temp!M$4:M$13,0),0)&gt;0,T08_Spells!AQ$2,"")</f>
        <v/>
      </c>
      <c r="AR34" t="str">
        <f>IF(IFERROR(MATCH($B34,temp!N$4:N$13,0),0)&gt;0,T08_Spells!AR$2,"")</f>
        <v/>
      </c>
      <c r="AS34" t="str">
        <f>IF(IFERROR(MATCH($B34,temp!O$4:O$13,0),0)&gt;0,T08_Spells!AS$2,"")</f>
        <v/>
      </c>
      <c r="AT34" t="str">
        <f>IF(IFERROR(MATCH($B34,temp!P$4:P$13,0),0)&gt;0,T08_Spells!AT$2,"")</f>
        <v/>
      </c>
      <c r="AU34" t="str">
        <f>IF(IFERROR(MATCH($B34,temp!Q$4:Q$13,0),0)&gt;0,T08_Spells!AU$2,"")</f>
        <v/>
      </c>
      <c r="AV34" t="str">
        <f>IF(IFERROR(MATCH($B34,temp!R$4:R$13,0),0)&gt;0,T08_Spells!AV$2,"")</f>
        <v/>
      </c>
      <c r="AW34" t="str">
        <f>IF(IFERROR(MATCH($B34,temp!S$4:S$13,0),0)&gt;0,T08_Spells!AW$2,"")</f>
        <v/>
      </c>
      <c r="AX34" t="str">
        <f>IF(IFERROR(MATCH($B34,temp!T$4:T$13,0),0)&gt;0,T08_Spells!AX$2,"")</f>
        <v/>
      </c>
      <c r="AY34" t="str">
        <f>IF(IFERROR(MATCH($B34,temp!U$4:U$13,0),0)&gt;0,T08_Spells!AY$2,"")</f>
        <v/>
      </c>
      <c r="AZ34" t="str">
        <f>IF(IFERROR(MATCH($B34,temp!V$4:V$13,0),0)&gt;0,T08_Spells!AZ$2,"")</f>
        <v/>
      </c>
      <c r="BA34" t="str">
        <f>IF(IFERROR(MATCH($B34,temp!W$4:W$13,0),0)&gt;0,T08_Spells!BA$2,"")</f>
        <v/>
      </c>
      <c r="BC34">
        <f>IF(IFERROR(SEARCH("Ranger",$T34,1),0)&gt;0,1,0)*IF(RangerMaxSpellLevel&gt;=$C34,1,0)*IF(IFERROR(MATCH(B34,Character_Creation!$X$79:$X$382,0),0)&gt;0,0,1)</f>
        <v>0</v>
      </c>
      <c r="BD34">
        <f>IF(BC34=0,0,1+COUNTIF(BD$3:BD33,"&gt;0"))</f>
        <v>0</v>
      </c>
      <c r="BE34" t="str">
        <f t="shared" si="34"/>
        <v/>
      </c>
      <c r="BF34" t="str">
        <f t="shared" si="6"/>
        <v/>
      </c>
      <c r="BH34">
        <f>IF(IFERROR(SEARCH("Sorcerer",$T34,1),0)&gt;0,1,0)*IF(SorcererMaxSpellLevel&gt;=$C34,1,0)*IF(IFERROR(MATCH(B34,Character_Creation!$J$380:$J$394,0),0)&gt;0,0,1)</f>
        <v>0</v>
      </c>
      <c r="BI34">
        <f>IF(BH34=0,0,1+COUNTIF(BI$3:BI33,"&gt;0"))</f>
        <v>0</v>
      </c>
      <c r="BJ34" t="str">
        <f t="shared" si="35"/>
        <v/>
      </c>
      <c r="BK34" t="str">
        <f t="shared" si="7"/>
        <v/>
      </c>
      <c r="BM34">
        <f>IF(OR(IFERROR(SEARCH("Warlock",$T34,1),0)&gt;0,IFERROR(SEARCH(WarlockPatron,$T34,1),0)&gt;0),1,0)*IF(WarlockMaxSpellLevel&gt;=$C34,1,0)*IF(IFERROR(MATCH(B34,Character_Creation!$J$361:$J$375,0),0)&gt;0,0,1)</f>
        <v>0</v>
      </c>
      <c r="BN34">
        <f>IF(BM34=0,0,1+COUNTIF(BN$3:BN33,"&gt;0"))</f>
        <v>0</v>
      </c>
      <c r="BO34" t="str">
        <f t="shared" si="36"/>
        <v/>
      </c>
      <c r="BP34" t="str">
        <f t="shared" si="8"/>
        <v/>
      </c>
      <c r="BR34">
        <f>IF(IFERROR(SEARCH("Eldritch Knight",$T34,1),0)&gt;0,1,0)*IF(EldritchKnightMaxSpellLevel&gt;=$C34,1,0)*IF(IFERROR(MATCH($B34,Character_Creation!$J$350:$J$356,0),0)&gt;0,0,1)*IF(Character_Creation!$M$338&gt;0,1,0)</f>
        <v>0</v>
      </c>
      <c r="BS34">
        <f>IF(BR34=0,0,1+COUNTIF(BS$3:BS33,"&gt;0"))</f>
        <v>0</v>
      </c>
      <c r="BT34" t="str">
        <f t="shared" si="37"/>
        <v/>
      </c>
      <c r="BU34" t="str">
        <f t="shared" si="9"/>
        <v/>
      </c>
      <c r="BW34">
        <f>IF(IFERROR(SEARCH("Arcane Trickster",$T34,1),0)&gt;0,1,0)*IF(ArcaneTricksterMaxSpellLevel&gt;=$C34,1,0)*IF(IFERROR(MATCH($B34,Character_Creation!$J$350:$J$356,0),0)&gt;0,0,1)*IF(Character_Creation!$T$338&gt;0,1,0)</f>
        <v>0</v>
      </c>
      <c r="BX34">
        <f>IF(BW34=0,0,1+COUNTIF(BX$3:BX33,"&gt;0"))</f>
        <v>0</v>
      </c>
      <c r="BY34" t="str">
        <f t="shared" si="38"/>
        <v/>
      </c>
      <c r="BZ34" t="str">
        <f t="shared" si="10"/>
        <v/>
      </c>
      <c r="CB34">
        <f>IF(IFERROR(SEARCH("Wizard",$T34,1),0)&gt;0,1,0)*IF(C34&lt;=ArcaneTricksterMaxSpellLevel,1,0)*IF(IFERROR(MATCH($B34,Character_Creation!$J$350:$J$356,0),0)&gt;0,0,1)*IF(Character_Creation!$T$350&gt;0,1,0)</f>
        <v>0</v>
      </c>
      <c r="CC34">
        <f>IF(CB34=0,0,1+COUNTIF(CC$3:CC33,"&gt;0"))</f>
        <v>0</v>
      </c>
      <c r="CD34" t="str">
        <f t="shared" si="39"/>
        <v/>
      </c>
      <c r="CE34" t="str">
        <f t="shared" si="11"/>
        <v/>
      </c>
      <c r="CG34">
        <f>IF(IFERROR(SEARCH("Wizard",$T34,1),0)&gt;0,1,0)*IF($C34&lt;=EldritchKnightMaxSpellLevel,1,0)*IF(IFERROR(MATCH($B34,Character_Creation!$J$350:$J$356,0),0)&gt;0,0,1)*IF(Character_Creation!$M$350&gt;0,1,0)</f>
        <v>0</v>
      </c>
      <c r="CH34">
        <f>IF(CG34=0,0,1+COUNTIF(CH$3:CH33,"&gt;0"))</f>
        <v>0</v>
      </c>
      <c r="CI34">
        <f t="shared" si="40"/>
        <v>32</v>
      </c>
      <c r="CJ34" t="str">
        <f t="shared" si="12"/>
        <v>Invisibility</v>
      </c>
      <c r="CL34">
        <f>IF(IFERROR(SEARCH("Bard",$T34,1),0)&gt;0,1,0)*IF(BardMaxSpellLevel&gt;=$C34,1,0)*IF(IFERROR(MATCH(B34,Character_Creation!$C$341:$F$362,0),0)&gt;0,0,1)*IF(IFERROR(MATCH($B34,Character_Creation!$C$341:$C$362,0),0)&gt;0,0,1)</f>
        <v>0</v>
      </c>
      <c r="CM34">
        <f>IF(CL34=0,0,1+COUNTIF(CM$3:CM33,"&gt;0"))</f>
        <v>0</v>
      </c>
      <c r="CN34" t="str">
        <f t="shared" si="41"/>
        <v/>
      </c>
      <c r="CO34" t="str">
        <f t="shared" si="13"/>
        <v/>
      </c>
      <c r="CQ34">
        <f>IF(IFERROR(SEARCH("Wizard",$T34,1),0)&gt;0,1,0)*IF(WizardMaxSpellLevel&gt;=$C34,1,0)*IF(IFERROR(MATCH(B34,Character_Creation!$X$341:$X$400,0),0)&gt;0,0,1)*IF(SelectedWizardSpellLevel=$C34,1,0)</f>
        <v>0</v>
      </c>
      <c r="CR34">
        <f>IF(CQ34=0,0,1+COUNTIF(CR$3:CR33,"&gt;0"))</f>
        <v>0</v>
      </c>
      <c r="CS34">
        <f t="shared" si="42"/>
        <v>32</v>
      </c>
      <c r="CT34" t="str">
        <f t="shared" si="14"/>
        <v>Wall of Sand</v>
      </c>
      <c r="CV34">
        <f>IF(IFERROR(MATCH($B34,Character_Creation!$C$341:$C$362,0),0)&gt;0,0,1)*IF(OR(C34="Cantrip",C34&lt;=BardMaxSpellLevel),1,0)*IF(IFERROR(MATCH($B34,Character_Creation!$C$367:$C$374,0),0)&gt;0,0,1)</f>
        <v>0</v>
      </c>
      <c r="CW34">
        <f>IF(CV34=0,0,1+COUNTIF(CW$3:CW33,"&gt;0"))</f>
        <v>0</v>
      </c>
      <c r="CX34">
        <f t="shared" si="43"/>
        <v>32</v>
      </c>
      <c r="CY34" t="str">
        <f t="shared" si="15"/>
        <v>Magic Stone</v>
      </c>
      <c r="DA34">
        <f>IF(IF(OR(IFERROR(SEARCH("Cleric",$T34,1),0)&gt;0,IFERROR(SEARCH(DivineDomain&amp;",",$T34,1),0)&gt;0),1,0)*IF($C34=DA$2,1,0)=1,1+COUNTIF(DA$3:DA33,"&gt;0"),0)</f>
        <v>0</v>
      </c>
      <c r="DB34">
        <f>IF(IF(OR(IFERROR(SEARCH("Cleric",$T34,1),0)&gt;0,IFERROR(SEARCH(DivineDomain&amp;",",$T34,1),0)&gt;0),1,0)*IF($C34=DB$2,1,0)=1,1+COUNTIF(DB$3:DB33,"&gt;0"),0)</f>
        <v>0</v>
      </c>
      <c r="DC34">
        <f>IF(IF(OR(IFERROR(SEARCH("Cleric",$T34,1),0)&gt;0,IFERROR(SEARCH(DivineDomain&amp;",",$T34,1),0)&gt;0),1,0)*IF($C34=DC$2,1,0)=1,1+COUNTIF(DC$3:DC33,"&gt;0"),0)</f>
        <v>0</v>
      </c>
      <c r="DD34">
        <f>IF(IF(OR(IFERROR(SEARCH("Cleric",$T34,1),0)&gt;0,IFERROR(SEARCH(DivineDomain&amp;",",$T34,1),0)&gt;0),1,0)*IF($C34=DD$2,1,0)=1,1+COUNTIF(DD$3:DD33,"&gt;0"),0)</f>
        <v>0</v>
      </c>
      <c r="DE34">
        <f>IF(IF(OR(IFERROR(SEARCH("Cleric",$T34,1),0)&gt;0,IFERROR(SEARCH(DivineDomain&amp;",",$T34,1),0)&gt;0),1,0)*IF($C34=DE$2,1,0)=1,1+COUNTIF(DE$3:DE33,"&gt;0"),0)</f>
        <v>0</v>
      </c>
      <c r="DF34">
        <f>IF(IF(OR(IFERROR(SEARCH("Cleric",$T34,1),0)&gt;0,IFERROR(SEARCH(DivineDomain&amp;",",$T34,1),0)&gt;0),1,0)*IF($C34=DF$2,1,0)=1,1+COUNTIF(DF$3:DF33,"&gt;0"),0)</f>
        <v>1</v>
      </c>
      <c r="DG34">
        <f>IF(IF(OR(IFERROR(SEARCH("Cleric",$T34,1),0)&gt;0,IFERROR(SEARCH(DivineDomain&amp;",",$T34,1),0)&gt;0),1,0)*IF($C34=DG$2,1,0)=1,1+COUNTIF(DG$3:DG33,"&gt;0"),0)</f>
        <v>0</v>
      </c>
      <c r="DH34">
        <f>IF(IF(OR(IFERROR(SEARCH("Cleric",$T34,1),0)&gt;0,IFERROR(SEARCH(DivineDomain&amp;",",$T34,1),0)&gt;0),1,0)*IF($C34=DH$2,1,0)=1,1+COUNTIF(DH$3:DH33,"&gt;0"),0)</f>
        <v>0</v>
      </c>
      <c r="DI34">
        <f>IF(IF(OR(IFERROR(SEARCH("Cleric",$T34,1),0)&gt;0,IFERROR(SEARCH(DivineDomain&amp;",",$T34,1),0)&gt;0),1,0)*IF($C34=DI$2,1,0)=1,1+COUNTIF(DI$3:DI33,"&gt;0"),0)</f>
        <v>0</v>
      </c>
      <c r="DJ34">
        <f>IF(IF(OR(IFERROR(SEARCH("Druid",$T34,1),0)&gt;0,IFERROR(SEARCH(DruidLand1,$T34,1),0)&gt;0,IFERROR(SEARCH(DruidLand2,$T34,1),0)&gt;0,IFERROR(SEARCH(DruidLand3,$T34,1),0)&gt;0,IFERROR(SEARCH(DruidLand4,$T34,1),0)&gt;0),1,0)*IF($C34=1,1,0)*IF($C34=DJ$2,1,0)=0,0,1+COUNTIF(DJ$3:DJ33,"&gt;0"))</f>
        <v>0</v>
      </c>
      <c r="DK34">
        <f>IF(IF(OR(IFERROR(SEARCH("Druid",$T34,1),0)&gt;0,IFERROR(SEARCH(DruidLand1,$T34,1),0)&gt;0,IFERROR(SEARCH(DruidLand2,$T34,1),0)&gt;0,IFERROR(SEARCH(DruidLand3,$T34,1),0)&gt;0,IFERROR(SEARCH(DruidLand4,$T34,1),0)&gt;0),1,0)*IF($C34=1,1,0)*IF($C34=DK$2,1,0)=0,0,1+COUNTIF(DK$3:DK33,"&gt;0"))</f>
        <v>0</v>
      </c>
      <c r="DL34">
        <f>IF(IF(OR(IFERROR(SEARCH("Druid",$T34,1),0)&gt;0,IFERROR(SEARCH(DruidLand1,$T34,1),0)&gt;0,IFERROR(SEARCH(DruidLand2,$T34,1),0)&gt;0,IFERROR(SEARCH(DruidLand3,$T34,1),0)&gt;0,IFERROR(SEARCH(DruidLand4,$T34,1),0)&gt;0),1,0)*IF($C34=1,1,0)*IF($C34=DL$2,1,0)=0,0,1+COUNTIF(DL$3:DL33,"&gt;0"))</f>
        <v>0</v>
      </c>
      <c r="DM34">
        <f>IF(IF(OR(IFERROR(SEARCH("Druid",$T34,1),0)&gt;0,IFERROR(SEARCH(DruidLand1,$T34,1),0)&gt;0,IFERROR(SEARCH(DruidLand2,$T34,1),0)&gt;0,IFERROR(SEARCH(DruidLand3,$T34,1),0)&gt;0,IFERROR(SEARCH(DruidLand4,$T34,1),0)&gt;0),1,0)*IF($C34=1,1,0)*IF($C34=DM$2,1,0)=0,0,1+COUNTIF(DM$3:DM33,"&gt;0"))</f>
        <v>0</v>
      </c>
      <c r="DN34">
        <f>IF(IF(OR(IFERROR(SEARCH("Druid",$T34,1),0)&gt;0,IFERROR(SEARCH(DruidLand1,$T34,1),0)&gt;0,IFERROR(SEARCH(DruidLand2,$T34,1),0)&gt;0,IFERROR(SEARCH(DruidLand3,$T34,1),0)&gt;0,IFERROR(SEARCH(DruidLand4,$T34,1),0)&gt;0),1,0)*IF($C34=1,1,0)*IF($C34=DN$2,1,0)=0,0,1+COUNTIF(DN$3:DN33,"&gt;0"))</f>
        <v>0</v>
      </c>
      <c r="DO34">
        <f>IF(IF(OR(IFERROR(SEARCH("Druid",$T34,1),0)&gt;0,IFERROR(SEARCH(DruidLand1,$T34,1),0)&gt;0,IFERROR(SEARCH(DruidLand2,$T34,1),0)&gt;0,IFERROR(SEARCH(DruidLand3,$T34,1),0)&gt;0,IFERROR(SEARCH(DruidLand4,$T34,1),0)&gt;0),1,0)*IF($C34=1,1,0)*IF($C34=DO$2,1,0)=0,0,1+COUNTIF(DO$3:DO33,"&gt;0"))</f>
        <v>0</v>
      </c>
      <c r="DP34">
        <f>IF(IF(OR(IFERROR(SEARCH("Druid",$T34,1),0)&gt;0,IFERROR(SEARCH(DruidLand1,$T34,1),0)&gt;0,IFERROR(SEARCH(DruidLand2,$T34,1),0)&gt;0,IFERROR(SEARCH(DruidLand3,$T34,1),0)&gt;0,IFERROR(SEARCH(DruidLand4,$T34,1),0)&gt;0),1,0)*IF($C34=1,1,0)*IF($C34=DP$2,1,0)=0,0,1+COUNTIF(DP$3:DP33,"&gt;0"))</f>
        <v>0</v>
      </c>
      <c r="DQ34">
        <f>IF(IF(OR(IFERROR(SEARCH("Druid",$T34,1),0)&gt;0,IFERROR(SEARCH(DruidLand1,$T34,1),0)&gt;0,IFERROR(SEARCH(DruidLand2,$T34,1),0)&gt;0,IFERROR(SEARCH(DruidLand3,$T34,1),0)&gt;0,IFERROR(SEARCH(DruidLand4,$T34,1),0)&gt;0),1,0)*IF($C34=1,1,0)*IF($C34=DQ$2,1,0)=0,0,1+COUNTIF(DQ$3:DQ33,"&gt;0"))</f>
        <v>0</v>
      </c>
      <c r="DR34">
        <f>IF(IF(OR(IFERROR(SEARCH("Druid",$T34,1),0)&gt;0,IFERROR(SEARCH(DruidLand1,$T34,1),0)&gt;0,IFERROR(SEARCH(DruidLand2,$T34,1),0)&gt;0,IFERROR(SEARCH(DruidLand3,$T34,1),0)&gt;0,IFERROR(SEARCH(DruidLand4,$T34,1),0)&gt;0),1,0)*IF($C34=1,1,0)*IF($C34=DR$2,1,0)=0,0,1+COUNTIF(DR$3:DR33,"&gt;0"))</f>
        <v>0</v>
      </c>
      <c r="DS34">
        <f>IF(IF(OR(IFERROR(SEARCH("Paladin",$T34,1),0)&gt;0,IFERROR(SEARCH(PaladinOath,$T34,1),0)&gt;0),1,0)*IF($C34=DS$2,1,0)=1,1+COUNTIF(DS$3:DS33,"&gt;0"),0)</f>
        <v>0</v>
      </c>
      <c r="DT34">
        <f>IF(IF(OR(IFERROR(SEARCH("Paladin",$T34,1),0)&gt;0,IFERROR(SEARCH(PaladinOath,$T34,1),0)&gt;0),1,0)*IF($C34=DT$2,1,0)=1,1+COUNTIF(DT$3:DT33,"&gt;0"),0)</f>
        <v>0</v>
      </c>
      <c r="DU34">
        <f>IF(IF(OR(IFERROR(SEARCH("Paladin",$T34,1),0)&gt;0,IFERROR(SEARCH(PaladinOath,$T34,1),0)&gt;0),1,0)*IF($C34=DU$2,1,0)=1,1+COUNTIF(DU$3:DU33,"&gt;0"),0)</f>
        <v>0</v>
      </c>
      <c r="DV34">
        <f>IF(IF(OR(IFERROR(SEARCH("Paladin",$T34,1),0)&gt;0,IFERROR(SEARCH(PaladinOath,$T34,1),0)&gt;0),1,0)*IF($C34=DV$2,1,0)=1,1+COUNTIF(DV$3:DV33,"&gt;0"),0)</f>
        <v>0</v>
      </c>
      <c r="DW34">
        <f>IF(IF(OR(IFERROR(SEARCH("Paladin",$T34,1),0)&gt;0,IFERROR(SEARCH(PaladinOath,$T34,1),0)&gt;0),1,0)*IF($C34=DW$2,1,0)=1,1+COUNTIF(DW$3:DW33,"&gt;0"),0)</f>
        <v>0</v>
      </c>
      <c r="DY34">
        <f t="shared" si="2"/>
        <v>1</v>
      </c>
      <c r="DZ34">
        <f>IF(DY34=0,0,1+MAX(DZ$3:$DZ33))</f>
        <v>32</v>
      </c>
      <c r="EB34">
        <f t="shared" si="16"/>
        <v>0</v>
      </c>
      <c r="EC34">
        <f>IF(EB34=0,0,1+COUNTIF(EC$3:EC33,"&gt;0"))</f>
        <v>0</v>
      </c>
      <c r="ED34" t="str">
        <f t="shared" si="44"/>
        <v/>
      </c>
      <c r="EE34" t="str">
        <f t="shared" si="17"/>
        <v/>
      </c>
      <c r="EG34">
        <f t="shared" si="18"/>
        <v>0</v>
      </c>
      <c r="EH34">
        <f>IF(EG34=0,0,1+COUNTIF(EH$3:EH33,"&gt;0"))</f>
        <v>0</v>
      </c>
      <c r="EI34" t="str">
        <f t="shared" si="45"/>
        <v/>
      </c>
      <c r="EJ34" t="str">
        <f t="shared" si="19"/>
        <v/>
      </c>
      <c r="EL34">
        <f t="shared" si="20"/>
        <v>0</v>
      </c>
      <c r="EM34">
        <f>IF(EL34=0,0,1+COUNTIF(EM$3:EM33,"&gt;0"))</f>
        <v>0</v>
      </c>
      <c r="EN34" t="str">
        <f t="shared" si="46"/>
        <v/>
      </c>
      <c r="EO34" t="str">
        <f t="shared" si="21"/>
        <v/>
      </c>
      <c r="EQ34">
        <f t="shared" si="22"/>
        <v>0</v>
      </c>
      <c r="ER34">
        <f>IF(EQ34=0,0,1+COUNTIF(ER$3:ER33,"&gt;0"))</f>
        <v>0</v>
      </c>
      <c r="ES34" t="str">
        <f t="shared" si="47"/>
        <v/>
      </c>
      <c r="ET34" t="str">
        <f t="shared" si="23"/>
        <v/>
      </c>
      <c r="EV34">
        <f t="shared" si="24"/>
        <v>0</v>
      </c>
      <c r="EW34">
        <f>IF(EV34=0,0,1+COUNTIF(EW$3:EW33,"&gt;0"))</f>
        <v>0</v>
      </c>
      <c r="EX34" t="str">
        <f t="shared" si="48"/>
        <v/>
      </c>
      <c r="EY34" t="str">
        <f t="shared" si="25"/>
        <v/>
      </c>
      <c r="FA34">
        <f t="shared" si="26"/>
        <v>0</v>
      </c>
      <c r="FB34">
        <f>IF(FA34=0,0,1+COUNTIF(FB$3:FB33,"&gt;0"))</f>
        <v>0</v>
      </c>
      <c r="FC34" t="str">
        <f t="shared" si="49"/>
        <v/>
      </c>
      <c r="FD34" t="str">
        <f t="shared" si="27"/>
        <v/>
      </c>
      <c r="FF34">
        <f t="shared" si="28"/>
        <v>0</v>
      </c>
      <c r="FG34">
        <f>IF(FF34=0,0,1+COUNTIF(FG$3:FG33,"&gt;0"))</f>
        <v>0</v>
      </c>
      <c r="FH34" t="str">
        <f t="shared" si="50"/>
        <v/>
      </c>
      <c r="FI34" t="str">
        <f t="shared" si="29"/>
        <v/>
      </c>
      <c r="FK34">
        <f t="shared" si="30"/>
        <v>0</v>
      </c>
      <c r="FL34">
        <f>IF(FK34=0,0,1+COUNTIF(FL$3:FL33,"&gt;0"))</f>
        <v>0</v>
      </c>
      <c r="FM34" t="str">
        <f t="shared" si="51"/>
        <v/>
      </c>
      <c r="FN34" t="str">
        <f t="shared" si="31"/>
        <v/>
      </c>
      <c r="FP34">
        <f t="shared" si="32"/>
        <v>0</v>
      </c>
      <c r="FQ34">
        <f>IF(FP34=0,0,1+COUNTIF(FQ$3:FQ33,"&gt;0"))</f>
        <v>0</v>
      </c>
      <c r="FR34" t="str">
        <f t="shared" si="52"/>
        <v/>
      </c>
      <c r="FS34" t="str">
        <f t="shared" si="33"/>
        <v/>
      </c>
    </row>
    <row r="35" spans="1:175" x14ac:dyDescent="0.25">
      <c r="A35" s="347">
        <f t="shared" si="53"/>
        <v>33</v>
      </c>
      <c r="B35" s="348" t="s">
        <v>2392</v>
      </c>
      <c r="C35" s="348" t="s">
        <v>5277</v>
      </c>
      <c r="D35" s="347">
        <v>0.5</v>
      </c>
      <c r="E35" s="627" t="s">
        <v>6952</v>
      </c>
      <c r="F35" s="346"/>
      <c r="G35" s="347" t="str">
        <f>""</f>
        <v/>
      </c>
      <c r="H35" s="347" t="s">
        <v>5912</v>
      </c>
      <c r="I35" s="347" t="s">
        <v>5283</v>
      </c>
      <c r="J35" s="347" t="str">
        <f t="shared" si="3"/>
        <v/>
      </c>
      <c r="K35" s="347" t="s">
        <v>5313</v>
      </c>
      <c r="L35" s="611" t="str">
        <f t="shared" si="4"/>
        <v>V, S</v>
      </c>
      <c r="M35" s="347" t="s">
        <v>2373</v>
      </c>
      <c r="N35" s="347" t="s">
        <v>2387</v>
      </c>
      <c r="O35" s="347" t="s">
        <v>3034</v>
      </c>
      <c r="P35" s="346" t="str">
        <f>""</f>
        <v/>
      </c>
      <c r="Q35" s="347" t="s">
        <v>5270</v>
      </c>
      <c r="S35" s="346" t="s">
        <v>2393</v>
      </c>
      <c r="T35" s="346" t="str">
        <f t="shared" si="5"/>
        <v xml:space="preserve">Bard, Sorcerer, Warlock, Eldritch Knight, Wizard, </v>
      </c>
      <c r="U35" s="347" t="str">
        <f>$B35</f>
        <v>Blade Ward</v>
      </c>
      <c r="X35" s="347" t="str">
        <f>$B35</f>
        <v>Blade Ward</v>
      </c>
      <c r="Y35" s="347" t="str">
        <f>$B35</f>
        <v>Blade Ward</v>
      </c>
      <c r="AB35" s="542" t="str">
        <f>AD35</f>
        <v>Blade Ward</v>
      </c>
      <c r="AD35" s="347" t="str">
        <f>$B35</f>
        <v>Blade Ward</v>
      </c>
      <c r="AE35" t="str">
        <f>IF(IFERROR(MATCH($B35,temp!A$4:A$13,0),0)&gt;0,T08_Spells!AE$2,"")</f>
        <v/>
      </c>
      <c r="AF35" t="str">
        <f>IF(IFERROR(MATCH($B35,temp!B$4:B$13,0),0)&gt;0,T08_Spells!AF$2,"")</f>
        <v/>
      </c>
      <c r="AG35" t="str">
        <f>IF(IFERROR(MATCH($B35,temp!C$4:C$13,0),0)&gt;0,T08_Spells!AG$2,"")</f>
        <v/>
      </c>
      <c r="AH35" t="str">
        <f>IF(IFERROR(MATCH($B35,temp!D$4:D$13,0),0)&gt;0,T08_Spells!AH$2,"")</f>
        <v/>
      </c>
      <c r="AI35" t="str">
        <f>IF(IFERROR(MATCH($B35,temp!E$4:E$13,0),0)&gt;0,T08_Spells!AI$2,"")</f>
        <v/>
      </c>
      <c r="AJ35" t="str">
        <f>IF(IFERROR(MATCH($B35,temp!F$4:F$13,0),0)&gt;0,T08_Spells!AJ$2,"")</f>
        <v/>
      </c>
      <c r="AK35" t="str">
        <f>IF(IFERROR(MATCH($B35,temp!G$4:G$13,0),0)&gt;0,T08_Spells!AK$2,"")</f>
        <v/>
      </c>
      <c r="AL35" t="str">
        <f>IF(IFERROR(MATCH($B35,temp!H$4:H$13,0),0)&gt;0,T08_Spells!AL$2,"")</f>
        <v/>
      </c>
      <c r="AM35" t="str">
        <f>IF(IFERROR(MATCH($B35,temp!I$4:I$13,0),0)&gt;0,T08_Spells!AM$2,"")</f>
        <v/>
      </c>
      <c r="AN35" t="str">
        <f>IF(IFERROR(MATCH($B35,temp!J$4:J$13,0),0)&gt;0,T08_Spells!AN$2,"")</f>
        <v/>
      </c>
      <c r="AO35" t="str">
        <f>IF(IFERROR(MATCH($B35,temp!K$4:K$13,0),0)&gt;0,T08_Spells!AO$2,"")</f>
        <v/>
      </c>
      <c r="AP35" t="str">
        <f>IF(IFERROR(MATCH($B35,temp!L$4:L$13,0),0)&gt;0,T08_Spells!AP$2,"")</f>
        <v/>
      </c>
      <c r="AQ35" t="str">
        <f>IF(IFERROR(MATCH($B35,temp!M$4:M$13,0),0)&gt;0,T08_Spells!AQ$2,"")</f>
        <v/>
      </c>
      <c r="AR35" t="str">
        <f>IF(IFERROR(MATCH($B35,temp!N$4:N$13,0),0)&gt;0,T08_Spells!AR$2,"")</f>
        <v/>
      </c>
      <c r="AS35" t="str">
        <f>IF(IFERROR(MATCH($B35,temp!O$4:O$13,0),0)&gt;0,T08_Spells!AS$2,"")</f>
        <v/>
      </c>
      <c r="AT35" t="str">
        <f>IF(IFERROR(MATCH($B35,temp!P$4:P$13,0),0)&gt;0,T08_Spells!AT$2,"")</f>
        <v/>
      </c>
      <c r="AU35" t="str">
        <f>IF(IFERROR(MATCH($B35,temp!Q$4:Q$13,0),0)&gt;0,T08_Spells!AU$2,"")</f>
        <v/>
      </c>
      <c r="AV35" t="str">
        <f>IF(IFERROR(MATCH($B35,temp!R$4:R$13,0),0)&gt;0,T08_Spells!AV$2,"")</f>
        <v/>
      </c>
      <c r="AW35" t="str">
        <f>IF(IFERROR(MATCH($B35,temp!S$4:S$13,0),0)&gt;0,T08_Spells!AW$2,"")</f>
        <v/>
      </c>
      <c r="AX35" t="str">
        <f>IF(IFERROR(MATCH($B35,temp!T$4:T$13,0),0)&gt;0,T08_Spells!AX$2,"")</f>
        <v/>
      </c>
      <c r="AY35" t="str">
        <f>IF(IFERROR(MATCH($B35,temp!U$4:U$13,0),0)&gt;0,T08_Spells!AY$2,"")</f>
        <v/>
      </c>
      <c r="AZ35" t="str">
        <f>IF(IFERROR(MATCH($B35,temp!V$4:V$13,0),0)&gt;0,T08_Spells!AZ$2,"")</f>
        <v/>
      </c>
      <c r="BA35" t="str">
        <f>IF(IFERROR(MATCH($B35,temp!W$4:W$13,0),0)&gt;0,T08_Spells!BA$2,"")</f>
        <v/>
      </c>
      <c r="BC35">
        <f>IF(IFERROR(SEARCH("Ranger",$T35,1),0)&gt;0,1,0)*IF(RangerMaxSpellLevel&gt;=$C35,1,0)*IF(IFERROR(MATCH(B35,Character_Creation!$X$79:$X$382,0),0)&gt;0,0,1)</f>
        <v>0</v>
      </c>
      <c r="BD35">
        <f>IF(BC35=0,0,1+COUNTIF(BD$3:BD34,"&gt;0"))</f>
        <v>0</v>
      </c>
      <c r="BE35" t="str">
        <f t="shared" si="34"/>
        <v/>
      </c>
      <c r="BF35" t="str">
        <f t="shared" si="6"/>
        <v/>
      </c>
      <c r="BH35">
        <f>IF(IFERROR(SEARCH("Sorcerer",$T35,1),0)&gt;0,1,0)*IF(SorcererMaxSpellLevel&gt;=$C35,1,0)*IF(IFERROR(MATCH(B35,Character_Creation!$J$380:$J$394,0),0)&gt;0,0,1)</f>
        <v>0</v>
      </c>
      <c r="BI35">
        <f>IF(BH35=0,0,1+COUNTIF(BI$3:BI34,"&gt;0"))</f>
        <v>0</v>
      </c>
      <c r="BJ35" t="str">
        <f t="shared" si="35"/>
        <v/>
      </c>
      <c r="BK35" t="str">
        <f t="shared" si="7"/>
        <v/>
      </c>
      <c r="BM35">
        <f>IF(OR(IFERROR(SEARCH("Warlock",$T35,1),0)&gt;0,IFERROR(SEARCH(WarlockPatron,$T35,1),0)&gt;0),1,0)*IF(WarlockMaxSpellLevel&gt;=$C35,1,0)*IF(IFERROR(MATCH(B35,Character_Creation!$J$361:$J$375,0),0)&gt;0,0,1)</f>
        <v>0</v>
      </c>
      <c r="BN35">
        <f>IF(BM35=0,0,1+COUNTIF(BN$3:BN34,"&gt;0"))</f>
        <v>0</v>
      </c>
      <c r="BO35" t="str">
        <f t="shared" si="36"/>
        <v/>
      </c>
      <c r="BP35" t="str">
        <f t="shared" si="8"/>
        <v/>
      </c>
      <c r="BR35">
        <f>IF(IFERROR(SEARCH("Eldritch Knight",$T35,1),0)&gt;0,1,0)*IF(EldritchKnightMaxSpellLevel&gt;=$C35,1,0)*IF(IFERROR(MATCH($B35,Character_Creation!$J$350:$J$356,0),0)&gt;0,0,1)*IF(Character_Creation!$M$338&gt;0,1,0)</f>
        <v>0</v>
      </c>
      <c r="BS35">
        <f>IF(BR35=0,0,1+COUNTIF(BS$3:BS34,"&gt;0"))</f>
        <v>0</v>
      </c>
      <c r="BT35" t="str">
        <f t="shared" si="37"/>
        <v/>
      </c>
      <c r="BU35" t="str">
        <f t="shared" si="9"/>
        <v/>
      </c>
      <c r="BW35">
        <f>IF(IFERROR(SEARCH("Arcane Trickster",$T35,1),0)&gt;0,1,0)*IF(ArcaneTricksterMaxSpellLevel&gt;=$C35,1,0)*IF(IFERROR(MATCH($B35,Character_Creation!$J$350:$J$356,0),0)&gt;0,0,1)*IF(Character_Creation!$T$338&gt;0,1,0)</f>
        <v>0</v>
      </c>
      <c r="BX35">
        <f>IF(BW35=0,0,1+COUNTIF(BX$3:BX34,"&gt;0"))</f>
        <v>0</v>
      </c>
      <c r="BY35" t="str">
        <f t="shared" si="38"/>
        <v/>
      </c>
      <c r="BZ35" t="str">
        <f t="shared" si="10"/>
        <v/>
      </c>
      <c r="CB35">
        <f>IF(IFERROR(SEARCH("Wizard",$T35,1),0)&gt;0,1,0)*IF(C35&lt;=ArcaneTricksterMaxSpellLevel,1,0)*IF(IFERROR(MATCH($B35,Character_Creation!$J$350:$J$356,0),0)&gt;0,0,1)*IF(Character_Creation!$T$350&gt;0,1,0)</f>
        <v>0</v>
      </c>
      <c r="CC35">
        <f>IF(CB35=0,0,1+COUNTIF(CC$3:CC34,"&gt;0"))</f>
        <v>0</v>
      </c>
      <c r="CD35" t="str">
        <f t="shared" si="39"/>
        <v/>
      </c>
      <c r="CE35" t="str">
        <f t="shared" si="11"/>
        <v/>
      </c>
      <c r="CG35">
        <f>IF(IFERROR(SEARCH("Wizard",$T35,1),0)&gt;0,1,0)*IF($C35&lt;=EldritchKnightMaxSpellLevel,1,0)*IF(IFERROR(MATCH($B35,Character_Creation!$J$350:$J$356,0),0)&gt;0,0,1)*IF(Character_Creation!$M$350&gt;0,1,0)</f>
        <v>0</v>
      </c>
      <c r="CH35">
        <f>IF(CG35=0,0,1+COUNTIF(CH$3:CH34,"&gt;0"))</f>
        <v>0</v>
      </c>
      <c r="CI35">
        <f t="shared" si="40"/>
        <v>33</v>
      </c>
      <c r="CJ35" t="str">
        <f t="shared" si="12"/>
        <v>Jump</v>
      </c>
      <c r="CL35">
        <f>IF(IFERROR(SEARCH("Bard",$T35,1),0)&gt;0,1,0)*IF(BardMaxSpellLevel&gt;=$C35,1,0)*IF(IFERROR(MATCH(B35,Character_Creation!$C$341:$F$362,0),0)&gt;0,0,1)*IF(IFERROR(MATCH($B35,Character_Creation!$C$341:$C$362,0),0)&gt;0,0,1)</f>
        <v>0</v>
      </c>
      <c r="CM35">
        <f>IF(CL35=0,0,1+COUNTIF(CM$3:CM34,"&gt;0"))</f>
        <v>0</v>
      </c>
      <c r="CN35" t="str">
        <f t="shared" si="41"/>
        <v/>
      </c>
      <c r="CO35" t="str">
        <f t="shared" si="13"/>
        <v/>
      </c>
      <c r="CQ35">
        <f>IF(IFERROR(SEARCH("Wizard",$T35,1),0)&gt;0,1,0)*IF(WizardMaxSpellLevel&gt;=$C35,1,0)*IF(IFERROR(MATCH(B35,Character_Creation!$X$341:$X$400,0),0)&gt;0,0,1)*IF(SelectedWizardSpellLevel=$C35,1,0)</f>
        <v>0</v>
      </c>
      <c r="CR35">
        <f>IF(CQ35=0,0,1+COUNTIF(CR$3:CR34,"&gt;0"))</f>
        <v>0</v>
      </c>
      <c r="CS35">
        <f t="shared" si="42"/>
        <v>33</v>
      </c>
      <c r="CT35" t="str">
        <f t="shared" si="14"/>
        <v>Wall of Water</v>
      </c>
      <c r="CV35">
        <f>IF(IFERROR(MATCH($B35,Character_Creation!$C$341:$C$362,0),0)&gt;0,0,1)*IF(OR(C35="Cantrip",C35&lt;=BardMaxSpellLevel),1,0)*IF(IFERROR(MATCH($B35,Character_Creation!$C$367:$C$374,0),0)&gt;0,0,1)</f>
        <v>1</v>
      </c>
      <c r="CW35">
        <f>IF(CV35=0,0,1+COUNTIF(CW$3:CW34,"&gt;0"))</f>
        <v>2</v>
      </c>
      <c r="CX35">
        <f t="shared" si="43"/>
        <v>33</v>
      </c>
      <c r="CY35" t="str">
        <f t="shared" si="15"/>
        <v>Mold Earth</v>
      </c>
      <c r="DA35">
        <f>IF(IF(OR(IFERROR(SEARCH("Cleric",$T35,1),0)&gt;0,IFERROR(SEARCH(DivineDomain&amp;",",$T35,1),0)&gt;0),1,0)*IF($C35=DA$2,1,0)=1,1+COUNTIF(DA$3:DA34,"&gt;0"),0)</f>
        <v>0</v>
      </c>
      <c r="DB35">
        <f>IF(IF(OR(IFERROR(SEARCH("Cleric",$T35,1),0)&gt;0,IFERROR(SEARCH(DivineDomain&amp;",",$T35,1),0)&gt;0),1,0)*IF($C35=DB$2,1,0)=1,1+COUNTIF(DB$3:DB34,"&gt;0"),0)</f>
        <v>0</v>
      </c>
      <c r="DC35">
        <f>IF(IF(OR(IFERROR(SEARCH("Cleric",$T35,1),0)&gt;0,IFERROR(SEARCH(DivineDomain&amp;",",$T35,1),0)&gt;0),1,0)*IF($C35=DC$2,1,0)=1,1+COUNTIF(DC$3:DC34,"&gt;0"),0)</f>
        <v>0</v>
      </c>
      <c r="DD35">
        <f>IF(IF(OR(IFERROR(SEARCH("Cleric",$T35,1),0)&gt;0,IFERROR(SEARCH(DivineDomain&amp;",",$T35,1),0)&gt;0),1,0)*IF($C35=DD$2,1,0)=1,1+COUNTIF(DD$3:DD34,"&gt;0"),0)</f>
        <v>0</v>
      </c>
      <c r="DE35">
        <f>IF(IF(OR(IFERROR(SEARCH("Cleric",$T35,1),0)&gt;0,IFERROR(SEARCH(DivineDomain&amp;",",$T35,1),0)&gt;0),1,0)*IF($C35=DE$2,1,0)=1,1+COUNTIF(DE$3:DE34,"&gt;0"),0)</f>
        <v>0</v>
      </c>
      <c r="DF35">
        <f>IF(IF(OR(IFERROR(SEARCH("Cleric",$T35,1),0)&gt;0,IFERROR(SEARCH(DivineDomain&amp;",",$T35,1),0)&gt;0),1,0)*IF($C35=DF$2,1,0)=1,1+COUNTIF(DF$3:DF34,"&gt;0"),0)</f>
        <v>0</v>
      </c>
      <c r="DG35">
        <f>IF(IF(OR(IFERROR(SEARCH("Cleric",$T35,1),0)&gt;0,IFERROR(SEARCH(DivineDomain&amp;",",$T35,1),0)&gt;0),1,0)*IF($C35=DG$2,1,0)=1,1+COUNTIF(DG$3:DG34,"&gt;0"),0)</f>
        <v>0</v>
      </c>
      <c r="DH35">
        <f>IF(IF(OR(IFERROR(SEARCH("Cleric",$T35,1),0)&gt;0,IFERROR(SEARCH(DivineDomain&amp;",",$T35,1),0)&gt;0),1,0)*IF($C35=DH$2,1,0)=1,1+COUNTIF(DH$3:DH34,"&gt;0"),0)</f>
        <v>0</v>
      </c>
      <c r="DI35">
        <f>IF(IF(OR(IFERROR(SEARCH("Cleric",$T35,1),0)&gt;0,IFERROR(SEARCH(DivineDomain&amp;",",$T35,1),0)&gt;0),1,0)*IF($C35=DI$2,1,0)=1,1+COUNTIF(DI$3:DI34,"&gt;0"),0)</f>
        <v>0</v>
      </c>
      <c r="DJ35">
        <f>IF(IF(OR(IFERROR(SEARCH("Druid",$T35,1),0)&gt;0,IFERROR(SEARCH(DruidLand1,$T35,1),0)&gt;0,IFERROR(SEARCH(DruidLand2,$T35,1),0)&gt;0,IFERROR(SEARCH(DruidLand3,$T35,1),0)&gt;0,IFERROR(SEARCH(DruidLand4,$T35,1),0)&gt;0),1,0)*IF($C35=1,1,0)*IF($C35=DJ$2,1,0)=0,0,1+COUNTIF(DJ$3:DJ34,"&gt;0"))</f>
        <v>0</v>
      </c>
      <c r="DK35">
        <f>IF(IF(OR(IFERROR(SEARCH("Druid",$T35,1),0)&gt;0,IFERROR(SEARCH(DruidLand1,$T35,1),0)&gt;0,IFERROR(SEARCH(DruidLand2,$T35,1),0)&gt;0,IFERROR(SEARCH(DruidLand3,$T35,1),0)&gt;0,IFERROR(SEARCH(DruidLand4,$T35,1),0)&gt;0),1,0)*IF($C35=1,1,0)*IF($C35=DK$2,1,0)=0,0,1+COUNTIF(DK$3:DK34,"&gt;0"))</f>
        <v>0</v>
      </c>
      <c r="DL35">
        <f>IF(IF(OR(IFERROR(SEARCH("Druid",$T35,1),0)&gt;0,IFERROR(SEARCH(DruidLand1,$T35,1),0)&gt;0,IFERROR(SEARCH(DruidLand2,$T35,1),0)&gt;0,IFERROR(SEARCH(DruidLand3,$T35,1),0)&gt;0,IFERROR(SEARCH(DruidLand4,$T35,1),0)&gt;0),1,0)*IF($C35=1,1,0)*IF($C35=DL$2,1,0)=0,0,1+COUNTIF(DL$3:DL34,"&gt;0"))</f>
        <v>0</v>
      </c>
      <c r="DM35">
        <f>IF(IF(OR(IFERROR(SEARCH("Druid",$T35,1),0)&gt;0,IFERROR(SEARCH(DruidLand1,$T35,1),0)&gt;0,IFERROR(SEARCH(DruidLand2,$T35,1),0)&gt;0,IFERROR(SEARCH(DruidLand3,$T35,1),0)&gt;0,IFERROR(SEARCH(DruidLand4,$T35,1),0)&gt;0),1,0)*IF($C35=1,1,0)*IF($C35=DM$2,1,0)=0,0,1+COUNTIF(DM$3:DM34,"&gt;0"))</f>
        <v>0</v>
      </c>
      <c r="DN35">
        <f>IF(IF(OR(IFERROR(SEARCH("Druid",$T35,1),0)&gt;0,IFERROR(SEARCH(DruidLand1,$T35,1),0)&gt;0,IFERROR(SEARCH(DruidLand2,$T35,1),0)&gt;0,IFERROR(SEARCH(DruidLand3,$T35,1),0)&gt;0,IFERROR(SEARCH(DruidLand4,$T35,1),0)&gt;0),1,0)*IF($C35=1,1,0)*IF($C35=DN$2,1,0)=0,0,1+COUNTIF(DN$3:DN34,"&gt;0"))</f>
        <v>0</v>
      </c>
      <c r="DO35">
        <f>IF(IF(OR(IFERROR(SEARCH("Druid",$T35,1),0)&gt;0,IFERROR(SEARCH(DruidLand1,$T35,1),0)&gt;0,IFERROR(SEARCH(DruidLand2,$T35,1),0)&gt;0,IFERROR(SEARCH(DruidLand3,$T35,1),0)&gt;0,IFERROR(SEARCH(DruidLand4,$T35,1),0)&gt;0),1,0)*IF($C35=1,1,0)*IF($C35=DO$2,1,0)=0,0,1+COUNTIF(DO$3:DO34,"&gt;0"))</f>
        <v>0</v>
      </c>
      <c r="DP35">
        <f>IF(IF(OR(IFERROR(SEARCH("Druid",$T35,1),0)&gt;0,IFERROR(SEARCH(DruidLand1,$T35,1),0)&gt;0,IFERROR(SEARCH(DruidLand2,$T35,1),0)&gt;0,IFERROR(SEARCH(DruidLand3,$T35,1),0)&gt;0,IFERROR(SEARCH(DruidLand4,$T35,1),0)&gt;0),1,0)*IF($C35=1,1,0)*IF($C35=DP$2,1,0)=0,0,1+COUNTIF(DP$3:DP34,"&gt;0"))</f>
        <v>0</v>
      </c>
      <c r="DQ35">
        <f>IF(IF(OR(IFERROR(SEARCH("Druid",$T35,1),0)&gt;0,IFERROR(SEARCH(DruidLand1,$T35,1),0)&gt;0,IFERROR(SEARCH(DruidLand2,$T35,1),0)&gt;0,IFERROR(SEARCH(DruidLand3,$T35,1),0)&gt;0,IFERROR(SEARCH(DruidLand4,$T35,1),0)&gt;0),1,0)*IF($C35=1,1,0)*IF($C35=DQ$2,1,0)=0,0,1+COUNTIF(DQ$3:DQ34,"&gt;0"))</f>
        <v>0</v>
      </c>
      <c r="DR35">
        <f>IF(IF(OR(IFERROR(SEARCH("Druid",$T35,1),0)&gt;0,IFERROR(SEARCH(DruidLand1,$T35,1),0)&gt;0,IFERROR(SEARCH(DruidLand2,$T35,1),0)&gt;0,IFERROR(SEARCH(DruidLand3,$T35,1),0)&gt;0,IFERROR(SEARCH(DruidLand4,$T35,1),0)&gt;0),1,0)*IF($C35=1,1,0)*IF($C35=DR$2,1,0)=0,0,1+COUNTIF(DR$3:DR34,"&gt;0"))</f>
        <v>0</v>
      </c>
      <c r="DS35">
        <f>IF(IF(OR(IFERROR(SEARCH("Paladin",$T35,1),0)&gt;0,IFERROR(SEARCH(PaladinOath,$T35,1),0)&gt;0),1,0)*IF($C35=DS$2,1,0)=1,1+COUNTIF(DS$3:DS34,"&gt;0"),0)</f>
        <v>0</v>
      </c>
      <c r="DT35">
        <f>IF(IF(OR(IFERROR(SEARCH("Paladin",$T35,1),0)&gt;0,IFERROR(SEARCH(PaladinOath,$T35,1),0)&gt;0),1,0)*IF($C35=DT$2,1,0)=1,1+COUNTIF(DT$3:DT34,"&gt;0"),0)</f>
        <v>0</v>
      </c>
      <c r="DU35">
        <f>IF(IF(OR(IFERROR(SEARCH("Paladin",$T35,1),0)&gt;0,IFERROR(SEARCH(PaladinOath,$T35,1),0)&gt;0),1,0)*IF($C35=DU$2,1,0)=1,1+COUNTIF(DU$3:DU34,"&gt;0"),0)</f>
        <v>0</v>
      </c>
      <c r="DV35">
        <f>IF(IF(OR(IFERROR(SEARCH("Paladin",$T35,1),0)&gt;0,IFERROR(SEARCH(PaladinOath,$T35,1),0)&gt;0),1,0)*IF($C35=DV$2,1,0)=1,1+COUNTIF(DV$3:DV34,"&gt;0"),0)</f>
        <v>0</v>
      </c>
      <c r="DW35">
        <f>IF(IF(OR(IFERROR(SEARCH("Paladin",$T35,1),0)&gt;0,IFERROR(SEARCH(PaladinOath,$T35,1),0)&gt;0),1,0)*IF($C35=DW$2,1,0)=1,1+COUNTIF(DW$3:DW34,"&gt;0"),0)</f>
        <v>0</v>
      </c>
      <c r="DY35">
        <f t="shared" si="2"/>
        <v>1</v>
      </c>
      <c r="DZ35">
        <f>IF(DY35=0,0,1+MAX(DZ$3:$DZ34))</f>
        <v>33</v>
      </c>
      <c r="EB35">
        <f t="shared" si="16"/>
        <v>1</v>
      </c>
      <c r="EC35">
        <f>IF(EB35=0,0,1+COUNTIF(EC$3:EC34,"&gt;0"))</f>
        <v>1</v>
      </c>
      <c r="ED35" t="str">
        <f t="shared" si="44"/>
        <v/>
      </c>
      <c r="EE35" t="str">
        <f t="shared" si="17"/>
        <v/>
      </c>
      <c r="EG35">
        <f t="shared" si="18"/>
        <v>0</v>
      </c>
      <c r="EH35">
        <f>IF(EG35=0,0,1+COUNTIF(EH$3:EH34,"&gt;0"))</f>
        <v>0</v>
      </c>
      <c r="EI35" t="str">
        <f t="shared" si="45"/>
        <v/>
      </c>
      <c r="EJ35" t="str">
        <f t="shared" si="19"/>
        <v/>
      </c>
      <c r="EL35">
        <f t="shared" si="20"/>
        <v>0</v>
      </c>
      <c r="EM35">
        <f>IF(EL35=0,0,1+COUNTIF(EM$3:EM34,"&gt;0"))</f>
        <v>0</v>
      </c>
      <c r="EN35" t="str">
        <f t="shared" si="46"/>
        <v/>
      </c>
      <c r="EO35" t="str">
        <f t="shared" si="21"/>
        <v/>
      </c>
      <c r="EQ35">
        <f t="shared" si="22"/>
        <v>1</v>
      </c>
      <c r="ER35">
        <f>IF(EQ35=0,0,1+COUNTIF(ER$3:ER34,"&gt;0"))</f>
        <v>2</v>
      </c>
      <c r="ES35" t="str">
        <f t="shared" si="47"/>
        <v/>
      </c>
      <c r="ET35" t="str">
        <f t="shared" si="23"/>
        <v/>
      </c>
      <c r="EV35">
        <f t="shared" si="24"/>
        <v>0</v>
      </c>
      <c r="EW35">
        <f>IF(EV35=0,0,1+COUNTIF(EW$3:EW34,"&gt;0"))</f>
        <v>0</v>
      </c>
      <c r="EX35" t="str">
        <f t="shared" si="48"/>
        <v/>
      </c>
      <c r="EY35" t="str">
        <f t="shared" si="25"/>
        <v/>
      </c>
      <c r="FA35">
        <f t="shared" si="26"/>
        <v>1</v>
      </c>
      <c r="FB35">
        <f>IF(FA35=0,0,1+COUNTIF(FB$3:FB34,"&gt;0"))</f>
        <v>2</v>
      </c>
      <c r="FC35" t="str">
        <f t="shared" si="49"/>
        <v/>
      </c>
      <c r="FD35" t="str">
        <f t="shared" si="27"/>
        <v/>
      </c>
      <c r="FF35">
        <f t="shared" si="28"/>
        <v>1</v>
      </c>
      <c r="FG35">
        <f>IF(FF35=0,0,1+COUNTIF(FG$3:FG34,"&gt;0"))</f>
        <v>1</v>
      </c>
      <c r="FH35" t="str">
        <f t="shared" si="50"/>
        <v/>
      </c>
      <c r="FI35" t="str">
        <f t="shared" si="29"/>
        <v/>
      </c>
      <c r="FK35">
        <f t="shared" si="30"/>
        <v>1</v>
      </c>
      <c r="FL35">
        <f>IF(FK35=0,0,1+COUNTIF(FL$3:FL34,"&gt;0"))</f>
        <v>2</v>
      </c>
      <c r="FM35" t="str">
        <f t="shared" si="51"/>
        <v/>
      </c>
      <c r="FN35" t="str">
        <f t="shared" si="31"/>
        <v/>
      </c>
      <c r="FP35">
        <f t="shared" si="32"/>
        <v>1</v>
      </c>
      <c r="FQ35">
        <f>IF(FP35=0,0,1+COUNTIF(FQ$3:FQ34,"&gt;0"))</f>
        <v>1</v>
      </c>
      <c r="FR35" t="str">
        <f t="shared" si="52"/>
        <v/>
      </c>
      <c r="FS35" t="str">
        <f t="shared" si="33"/>
        <v/>
      </c>
    </row>
    <row r="36" spans="1:175" x14ac:dyDescent="0.25">
      <c r="A36" s="347">
        <f t="shared" si="53"/>
        <v>34</v>
      </c>
      <c r="B36" s="348" t="s">
        <v>2394</v>
      </c>
      <c r="C36" s="348">
        <v>1</v>
      </c>
      <c r="D36" s="347">
        <v>1</v>
      </c>
      <c r="E36" s="627" t="s">
        <v>6952</v>
      </c>
      <c r="F36" s="346"/>
      <c r="G36" s="347" t="str">
        <f>""</f>
        <v/>
      </c>
      <c r="H36" s="347" t="s">
        <v>5912</v>
      </c>
      <c r="I36" s="347" t="s">
        <v>5060</v>
      </c>
      <c r="J36" s="347" t="str">
        <f t="shared" si="3"/>
        <v/>
      </c>
      <c r="K36" s="347" t="s">
        <v>5291</v>
      </c>
      <c r="L36" s="611" t="str">
        <f t="shared" si="4"/>
        <v>V, S, M, a sprinkling of holy water</v>
      </c>
      <c r="M36" s="347" t="s">
        <v>2373</v>
      </c>
      <c r="N36" s="347" t="s">
        <v>2387</v>
      </c>
      <c r="O36" s="347" t="s">
        <v>1244</v>
      </c>
      <c r="P36" s="346" t="s">
        <v>5314</v>
      </c>
      <c r="Q36" s="347" t="s">
        <v>5272</v>
      </c>
      <c r="S36" s="346" t="s">
        <v>5606</v>
      </c>
      <c r="T36" s="346" t="str">
        <f t="shared" si="5"/>
        <v xml:space="preserve">Paladin, Cleric, Life, </v>
      </c>
      <c r="V36" s="347" t="str">
        <f>$B36</f>
        <v>Bless</v>
      </c>
      <c r="Z36" s="347" t="str">
        <f>$B36</f>
        <v>Bless</v>
      </c>
      <c r="AE36" t="str">
        <f>IF(IFERROR(MATCH($B36,temp!A$4:A$13,0),0)&gt;0,T08_Spells!AE$2,"")</f>
        <v/>
      </c>
      <c r="AF36" t="str">
        <f>IF(IFERROR(MATCH($B36,temp!B$4:B$13,0),0)&gt;0,T08_Spells!AF$2,"")</f>
        <v/>
      </c>
      <c r="AG36" t="str">
        <f>IF(IFERROR(MATCH($B36,temp!C$4:C$13,0),0)&gt;0,T08_Spells!AG$2,"")</f>
        <v/>
      </c>
      <c r="AH36" t="str">
        <f>IF(IFERROR(MATCH($B36,temp!D$4:D$13,0),0)&gt;0,T08_Spells!AH$2,"")</f>
        <v/>
      </c>
      <c r="AI36" t="str">
        <f>IF(IFERROR(MATCH($B36,temp!E$4:E$13,0),0)&gt;0,T08_Spells!AI$2,"")</f>
        <v/>
      </c>
      <c r="AJ36" t="str">
        <f>IF(IFERROR(MATCH($B36,temp!F$4:F$13,0),0)&gt;0,T08_Spells!AJ$2,"")</f>
        <v/>
      </c>
      <c r="AK36" t="str">
        <f>IF(IFERROR(MATCH($B36,temp!G$4:G$13,0),0)&gt;0,T08_Spells!AK$2,"")</f>
        <v/>
      </c>
      <c r="AL36" t="str">
        <f>IF(IFERROR(MATCH($B36,temp!H$4:H$13,0),0)&gt;0,T08_Spells!AL$2,"")</f>
        <v/>
      </c>
      <c r="AM36" t="str">
        <f>IF(IFERROR(MATCH($B36,temp!I$4:I$13,0),0)&gt;0,T08_Spells!AM$2,"")</f>
        <v/>
      </c>
      <c r="AN36" t="str">
        <f>IF(IFERROR(MATCH($B36,temp!J$4:J$13,0),0)&gt;0,T08_Spells!AN$2,"")</f>
        <v/>
      </c>
      <c r="AO36" t="str">
        <f>IF(IFERROR(MATCH($B36,temp!K$4:K$13,0),0)&gt;0,T08_Spells!AO$2,"")</f>
        <v/>
      </c>
      <c r="AP36" t="str">
        <f>IF(IFERROR(MATCH($B36,temp!L$4:L$13,0),0)&gt;0,T08_Spells!AP$2,"")</f>
        <v/>
      </c>
      <c r="AQ36" t="str">
        <f>IF(IFERROR(MATCH($B36,temp!M$4:M$13,0),0)&gt;0,T08_Spells!AQ$2,"")</f>
        <v/>
      </c>
      <c r="AR36" t="str">
        <f>IF(IFERROR(MATCH($B36,temp!N$4:N$13,0),0)&gt;0,T08_Spells!AR$2,"")</f>
        <v/>
      </c>
      <c r="AS36" t="str">
        <f>IF(IFERROR(MATCH($B36,temp!O$4:O$13,0),0)&gt;0,T08_Spells!AS$2,"")</f>
        <v/>
      </c>
      <c r="AT36" t="str">
        <f>IF(IFERROR(MATCH($B36,temp!P$4:P$13,0),0)&gt;0,T08_Spells!AT$2,"")</f>
        <v/>
      </c>
      <c r="AU36" t="str">
        <f>IF(IFERROR(MATCH($B36,temp!Q$4:Q$13,0),0)&gt;0,T08_Spells!AU$2,"")</f>
        <v>Life</v>
      </c>
      <c r="AV36" t="str">
        <f>IF(IFERROR(MATCH($B36,temp!R$4:R$13,0),0)&gt;0,T08_Spells!AV$2,"")</f>
        <v/>
      </c>
      <c r="AW36" t="str">
        <f>IF(IFERROR(MATCH($B36,temp!S$4:S$13,0),0)&gt;0,T08_Spells!AW$2,"")</f>
        <v/>
      </c>
      <c r="AX36" t="str">
        <f>IF(IFERROR(MATCH($B36,temp!T$4:T$13,0),0)&gt;0,T08_Spells!AX$2,"")</f>
        <v/>
      </c>
      <c r="AY36" t="str">
        <f>IF(IFERROR(MATCH($B36,temp!U$4:U$13,0),0)&gt;0,T08_Spells!AY$2,"")</f>
        <v/>
      </c>
      <c r="AZ36" t="str">
        <f>IF(IFERROR(MATCH($B36,temp!V$4:V$13,0),0)&gt;0,T08_Spells!AZ$2,"")</f>
        <v/>
      </c>
      <c r="BA36" t="str">
        <f>IF(IFERROR(MATCH($B36,temp!W$4:W$13,0),0)&gt;0,T08_Spells!BA$2,"")</f>
        <v/>
      </c>
      <c r="BC36">
        <f>IF(IFERROR(SEARCH("Ranger",$T36,1),0)&gt;0,1,0)*IF(RangerMaxSpellLevel&gt;=$C36,1,0)*IF(IFERROR(MATCH(B36,Character_Creation!$X$79:$X$382,0),0)&gt;0,0,1)</f>
        <v>0</v>
      </c>
      <c r="BD36">
        <f>IF(BC36=0,0,1+COUNTIF(BD$3:BD35,"&gt;0"))</f>
        <v>0</v>
      </c>
      <c r="BE36" t="str">
        <f t="shared" si="34"/>
        <v/>
      </c>
      <c r="BF36" t="str">
        <f t="shared" si="6"/>
        <v/>
      </c>
      <c r="BH36">
        <f>IF(IFERROR(SEARCH("Sorcerer",$T36,1),0)&gt;0,1,0)*IF(SorcererMaxSpellLevel&gt;=$C36,1,0)*IF(IFERROR(MATCH(B36,Character_Creation!$J$380:$J$394,0),0)&gt;0,0,1)</f>
        <v>0</v>
      </c>
      <c r="BI36">
        <f>IF(BH36=0,0,1+COUNTIF(BI$3:BI35,"&gt;0"))</f>
        <v>0</v>
      </c>
      <c r="BJ36" t="str">
        <f t="shared" si="35"/>
        <v/>
      </c>
      <c r="BK36" t="str">
        <f t="shared" si="7"/>
        <v/>
      </c>
      <c r="BM36">
        <f>IF(OR(IFERROR(SEARCH("Warlock",$T36,1),0)&gt;0,IFERROR(SEARCH(WarlockPatron,$T36,1),0)&gt;0),1,0)*IF(WarlockMaxSpellLevel&gt;=$C36,1,0)*IF(IFERROR(MATCH(B36,Character_Creation!$J$361:$J$375,0),0)&gt;0,0,1)</f>
        <v>0</v>
      </c>
      <c r="BN36">
        <f>IF(BM36=0,0,1+COUNTIF(BN$3:BN35,"&gt;0"))</f>
        <v>0</v>
      </c>
      <c r="BO36" t="str">
        <f t="shared" si="36"/>
        <v/>
      </c>
      <c r="BP36" t="str">
        <f t="shared" si="8"/>
        <v/>
      </c>
      <c r="BR36">
        <f>IF(IFERROR(SEARCH("Eldritch Knight",$T36,1),0)&gt;0,1,0)*IF(EldritchKnightMaxSpellLevel&gt;=$C36,1,0)*IF(IFERROR(MATCH($B36,Character_Creation!$J$350:$J$356,0),0)&gt;0,0,1)*IF(Character_Creation!$M$338&gt;0,1,0)</f>
        <v>0</v>
      </c>
      <c r="BS36">
        <f>IF(BR36=0,0,1+COUNTIF(BS$3:BS35,"&gt;0"))</f>
        <v>0</v>
      </c>
      <c r="BT36" t="str">
        <f t="shared" si="37"/>
        <v/>
      </c>
      <c r="BU36" t="str">
        <f t="shared" si="9"/>
        <v/>
      </c>
      <c r="BW36">
        <f>IF(IFERROR(SEARCH("Arcane Trickster",$T36,1),0)&gt;0,1,0)*IF(ArcaneTricksterMaxSpellLevel&gt;=$C36,1,0)*IF(IFERROR(MATCH($B36,Character_Creation!$J$350:$J$356,0),0)&gt;0,0,1)*IF(Character_Creation!$T$338&gt;0,1,0)</f>
        <v>0</v>
      </c>
      <c r="BX36">
        <f>IF(BW36=0,0,1+COUNTIF(BX$3:BX35,"&gt;0"))</f>
        <v>0</v>
      </c>
      <c r="BY36" t="str">
        <f t="shared" si="38"/>
        <v/>
      </c>
      <c r="BZ36" t="str">
        <f t="shared" si="10"/>
        <v/>
      </c>
      <c r="CB36">
        <f>IF(IFERROR(SEARCH("Wizard",$T36,1),0)&gt;0,1,0)*IF(C36&lt;=ArcaneTricksterMaxSpellLevel,1,0)*IF(IFERROR(MATCH($B36,Character_Creation!$J$350:$J$356,0),0)&gt;0,0,1)*IF(Character_Creation!$T$350&gt;0,1,0)</f>
        <v>0</v>
      </c>
      <c r="CC36">
        <f>IF(CB36=0,0,1+COUNTIF(CC$3:CC35,"&gt;0"))</f>
        <v>0</v>
      </c>
      <c r="CD36" t="str">
        <f t="shared" si="39"/>
        <v/>
      </c>
      <c r="CE36" t="str">
        <f t="shared" si="11"/>
        <v/>
      </c>
      <c r="CG36">
        <f>IF(IFERROR(SEARCH("Wizard",$T36,1),0)&gt;0,1,0)*IF($C36&lt;=EldritchKnightMaxSpellLevel,1,0)*IF(IFERROR(MATCH($B36,Character_Creation!$J$350:$J$356,0),0)&gt;0,0,1)*IF(Character_Creation!$M$350&gt;0,1,0)</f>
        <v>0</v>
      </c>
      <c r="CH36">
        <f>IF(CG36=0,0,1+COUNTIF(CH$3:CH35,"&gt;0"))</f>
        <v>0</v>
      </c>
      <c r="CI36">
        <f t="shared" si="40"/>
        <v>34</v>
      </c>
      <c r="CJ36" t="str">
        <f t="shared" si="12"/>
        <v>Knock</v>
      </c>
      <c r="CL36">
        <f>IF(IFERROR(SEARCH("Bard",$T36,1),0)&gt;0,1,0)*IF(BardMaxSpellLevel&gt;=$C36,1,0)*IF(IFERROR(MATCH(B36,Character_Creation!$C$341:$F$362,0),0)&gt;0,0,1)*IF(IFERROR(MATCH($B36,Character_Creation!$C$341:$C$362,0),0)&gt;0,0,1)</f>
        <v>0</v>
      </c>
      <c r="CM36">
        <f>IF(CL36=0,0,1+COUNTIF(CM$3:CM35,"&gt;0"))</f>
        <v>0</v>
      </c>
      <c r="CN36" t="str">
        <f t="shared" si="41"/>
        <v/>
      </c>
      <c r="CO36" t="str">
        <f t="shared" si="13"/>
        <v/>
      </c>
      <c r="CQ36">
        <f>IF(IFERROR(SEARCH("Wizard",$T36,1),0)&gt;0,1,0)*IF(WizardMaxSpellLevel&gt;=$C36,1,0)*IF(IFERROR(MATCH(B36,Character_Creation!$X$341:$X$400,0),0)&gt;0,0,1)*IF(SelectedWizardSpellLevel=$C36,1,0)</f>
        <v>0</v>
      </c>
      <c r="CR36">
        <f>IF(CQ36=0,0,1+COUNTIF(CR$3:CR35,"&gt;0"))</f>
        <v>0</v>
      </c>
      <c r="CS36" t="str">
        <f t="shared" si="42"/>
        <v/>
      </c>
      <c r="CT36" t="str">
        <f t="shared" si="14"/>
        <v/>
      </c>
      <c r="CV36">
        <f>IF(IFERROR(MATCH($B36,Character_Creation!$C$341:$C$362,0),0)&gt;0,0,1)*IF(OR(C36="Cantrip",C36&lt;=BardMaxSpellLevel),1,0)*IF(IFERROR(MATCH($B36,Character_Creation!$C$367:$C$374,0),0)&gt;0,0,1)</f>
        <v>0</v>
      </c>
      <c r="CW36">
        <f>IF(CV36=0,0,1+COUNTIF(CW$3:CW35,"&gt;0"))</f>
        <v>0</v>
      </c>
      <c r="CX36">
        <f t="shared" si="43"/>
        <v>34</v>
      </c>
      <c r="CY36" t="str">
        <f t="shared" si="15"/>
        <v>Shape Water</v>
      </c>
      <c r="DA36">
        <f>IF(IF(OR(IFERROR(SEARCH("Cleric",$T36,1),0)&gt;0,IFERROR(SEARCH(DivineDomain&amp;",",$T36,1),0)&gt;0),1,0)*IF($C36=DA$2,1,0)=1,1+COUNTIF(DA$3:DA35,"&gt;0"),0)</f>
        <v>2</v>
      </c>
      <c r="DB36">
        <f>IF(IF(OR(IFERROR(SEARCH("Cleric",$T36,1),0)&gt;0,IFERROR(SEARCH(DivineDomain&amp;",",$T36,1),0)&gt;0),1,0)*IF($C36=DB$2,1,0)=1,1+COUNTIF(DB$3:DB35,"&gt;0"),0)</f>
        <v>0</v>
      </c>
      <c r="DC36">
        <f>IF(IF(OR(IFERROR(SEARCH("Cleric",$T36,1),0)&gt;0,IFERROR(SEARCH(DivineDomain&amp;",",$T36,1),0)&gt;0),1,0)*IF($C36=DC$2,1,0)=1,1+COUNTIF(DC$3:DC35,"&gt;0"),0)</f>
        <v>0</v>
      </c>
      <c r="DD36">
        <f>IF(IF(OR(IFERROR(SEARCH("Cleric",$T36,1),0)&gt;0,IFERROR(SEARCH(DivineDomain&amp;",",$T36,1),0)&gt;0),1,0)*IF($C36=DD$2,1,0)=1,1+COUNTIF(DD$3:DD35,"&gt;0"),0)</f>
        <v>0</v>
      </c>
      <c r="DE36">
        <f>IF(IF(OR(IFERROR(SEARCH("Cleric",$T36,1),0)&gt;0,IFERROR(SEARCH(DivineDomain&amp;",",$T36,1),0)&gt;0),1,0)*IF($C36=DE$2,1,0)=1,1+COUNTIF(DE$3:DE35,"&gt;0"),0)</f>
        <v>0</v>
      </c>
      <c r="DF36">
        <f>IF(IF(OR(IFERROR(SEARCH("Cleric",$T36,1),0)&gt;0,IFERROR(SEARCH(DivineDomain&amp;",",$T36,1),0)&gt;0),1,0)*IF($C36=DF$2,1,0)=1,1+COUNTIF(DF$3:DF35,"&gt;0"),0)</f>
        <v>0</v>
      </c>
      <c r="DG36">
        <f>IF(IF(OR(IFERROR(SEARCH("Cleric",$T36,1),0)&gt;0,IFERROR(SEARCH(DivineDomain&amp;",",$T36,1),0)&gt;0),1,0)*IF($C36=DG$2,1,0)=1,1+COUNTIF(DG$3:DG35,"&gt;0"),0)</f>
        <v>0</v>
      </c>
      <c r="DH36">
        <f>IF(IF(OR(IFERROR(SEARCH("Cleric",$T36,1),0)&gt;0,IFERROR(SEARCH(DivineDomain&amp;",",$T36,1),0)&gt;0),1,0)*IF($C36=DH$2,1,0)=1,1+COUNTIF(DH$3:DH35,"&gt;0"),0)</f>
        <v>0</v>
      </c>
      <c r="DI36">
        <f>IF(IF(OR(IFERROR(SEARCH("Cleric",$T36,1),0)&gt;0,IFERROR(SEARCH(DivineDomain&amp;",",$T36,1),0)&gt;0),1,0)*IF($C36=DI$2,1,0)=1,1+COUNTIF(DI$3:DI35,"&gt;0"),0)</f>
        <v>0</v>
      </c>
      <c r="DJ36">
        <f>IF(IF(OR(IFERROR(SEARCH("Druid",$T36,1),0)&gt;0,IFERROR(SEARCH(DruidLand1,$T36,1),0)&gt;0,IFERROR(SEARCH(DruidLand2,$T36,1),0)&gt;0,IFERROR(SEARCH(DruidLand3,$T36,1),0)&gt;0,IFERROR(SEARCH(DruidLand4,$T36,1),0)&gt;0),1,0)*IF($C36=1,1,0)*IF($C36=DJ$2,1,0)=0,0,1+COUNTIF(DJ$3:DJ35,"&gt;0"))</f>
        <v>0</v>
      </c>
      <c r="DK36">
        <f>IF(IF(OR(IFERROR(SEARCH("Druid",$T36,1),0)&gt;0,IFERROR(SEARCH(DruidLand1,$T36,1),0)&gt;0,IFERROR(SEARCH(DruidLand2,$T36,1),0)&gt;0,IFERROR(SEARCH(DruidLand3,$T36,1),0)&gt;0,IFERROR(SEARCH(DruidLand4,$T36,1),0)&gt;0),1,0)*IF($C36=1,1,0)*IF($C36=DK$2,1,0)=0,0,1+COUNTIF(DK$3:DK35,"&gt;0"))</f>
        <v>0</v>
      </c>
      <c r="DL36">
        <f>IF(IF(OR(IFERROR(SEARCH("Druid",$T36,1),0)&gt;0,IFERROR(SEARCH(DruidLand1,$T36,1),0)&gt;0,IFERROR(SEARCH(DruidLand2,$T36,1),0)&gt;0,IFERROR(SEARCH(DruidLand3,$T36,1),0)&gt;0,IFERROR(SEARCH(DruidLand4,$T36,1),0)&gt;0),1,0)*IF($C36=1,1,0)*IF($C36=DL$2,1,0)=0,0,1+COUNTIF(DL$3:DL35,"&gt;0"))</f>
        <v>0</v>
      </c>
      <c r="DM36">
        <f>IF(IF(OR(IFERROR(SEARCH("Druid",$T36,1),0)&gt;0,IFERROR(SEARCH(DruidLand1,$T36,1),0)&gt;0,IFERROR(SEARCH(DruidLand2,$T36,1),0)&gt;0,IFERROR(SEARCH(DruidLand3,$T36,1),0)&gt;0,IFERROR(SEARCH(DruidLand4,$T36,1),0)&gt;0),1,0)*IF($C36=1,1,0)*IF($C36=DM$2,1,0)=0,0,1+COUNTIF(DM$3:DM35,"&gt;0"))</f>
        <v>0</v>
      </c>
      <c r="DN36">
        <f>IF(IF(OR(IFERROR(SEARCH("Druid",$T36,1),0)&gt;0,IFERROR(SEARCH(DruidLand1,$T36,1),0)&gt;0,IFERROR(SEARCH(DruidLand2,$T36,1),0)&gt;0,IFERROR(SEARCH(DruidLand3,$T36,1),0)&gt;0,IFERROR(SEARCH(DruidLand4,$T36,1),0)&gt;0),1,0)*IF($C36=1,1,0)*IF($C36=DN$2,1,0)=0,0,1+COUNTIF(DN$3:DN35,"&gt;0"))</f>
        <v>0</v>
      </c>
      <c r="DO36">
        <f>IF(IF(OR(IFERROR(SEARCH("Druid",$T36,1),0)&gt;0,IFERROR(SEARCH(DruidLand1,$T36,1),0)&gt;0,IFERROR(SEARCH(DruidLand2,$T36,1),0)&gt;0,IFERROR(SEARCH(DruidLand3,$T36,1),0)&gt;0,IFERROR(SEARCH(DruidLand4,$T36,1),0)&gt;0),1,0)*IF($C36=1,1,0)*IF($C36=DO$2,1,0)=0,0,1+COUNTIF(DO$3:DO35,"&gt;0"))</f>
        <v>0</v>
      </c>
      <c r="DP36">
        <f>IF(IF(OR(IFERROR(SEARCH("Druid",$T36,1),0)&gt;0,IFERROR(SEARCH(DruidLand1,$T36,1),0)&gt;0,IFERROR(SEARCH(DruidLand2,$T36,1),0)&gt;0,IFERROR(SEARCH(DruidLand3,$T36,1),0)&gt;0,IFERROR(SEARCH(DruidLand4,$T36,1),0)&gt;0),1,0)*IF($C36=1,1,0)*IF($C36=DP$2,1,0)=0,0,1+COUNTIF(DP$3:DP35,"&gt;0"))</f>
        <v>0</v>
      </c>
      <c r="DQ36">
        <f>IF(IF(OR(IFERROR(SEARCH("Druid",$T36,1),0)&gt;0,IFERROR(SEARCH(DruidLand1,$T36,1),0)&gt;0,IFERROR(SEARCH(DruidLand2,$T36,1),0)&gt;0,IFERROR(SEARCH(DruidLand3,$T36,1),0)&gt;0,IFERROR(SEARCH(DruidLand4,$T36,1),0)&gt;0),1,0)*IF($C36=1,1,0)*IF($C36=DQ$2,1,0)=0,0,1+COUNTIF(DQ$3:DQ35,"&gt;0"))</f>
        <v>0</v>
      </c>
      <c r="DR36">
        <f>IF(IF(OR(IFERROR(SEARCH("Druid",$T36,1),0)&gt;0,IFERROR(SEARCH(DruidLand1,$T36,1),0)&gt;0,IFERROR(SEARCH(DruidLand2,$T36,1),0)&gt;0,IFERROR(SEARCH(DruidLand3,$T36,1),0)&gt;0,IFERROR(SEARCH(DruidLand4,$T36,1),0)&gt;0),1,0)*IF($C36=1,1,0)*IF($C36=DR$2,1,0)=0,0,1+COUNTIF(DR$3:DR35,"&gt;0"))</f>
        <v>0</v>
      </c>
      <c r="DS36">
        <f>IF(IF(OR(IFERROR(SEARCH("Paladin",$T36,1),0)&gt;0,IFERROR(SEARCH(PaladinOath,$T36,1),0)&gt;0),1,0)*IF($C36=DS$2,1,0)=1,1+COUNTIF(DS$3:DS35,"&gt;0"),0)</f>
        <v>1</v>
      </c>
      <c r="DT36">
        <f>IF(IF(OR(IFERROR(SEARCH("Paladin",$T36,1),0)&gt;0,IFERROR(SEARCH(PaladinOath,$T36,1),0)&gt;0),1,0)*IF($C36=DT$2,1,0)=1,1+COUNTIF(DT$3:DT35,"&gt;0"),0)</f>
        <v>0</v>
      </c>
      <c r="DU36">
        <f>IF(IF(OR(IFERROR(SEARCH("Paladin",$T36,1),0)&gt;0,IFERROR(SEARCH(PaladinOath,$T36,1),0)&gt;0),1,0)*IF($C36=DU$2,1,0)=1,1+COUNTIF(DU$3:DU35,"&gt;0"),0)</f>
        <v>0</v>
      </c>
      <c r="DV36">
        <f>IF(IF(OR(IFERROR(SEARCH("Paladin",$T36,1),0)&gt;0,IFERROR(SEARCH(PaladinOath,$T36,1),0)&gt;0),1,0)*IF($C36=DV$2,1,0)=1,1+COUNTIF(DV$3:DV35,"&gt;0"),0)</f>
        <v>0</v>
      </c>
      <c r="DW36">
        <f>IF(IF(OR(IFERROR(SEARCH("Paladin",$T36,1),0)&gt;0,IFERROR(SEARCH(PaladinOath,$T36,1),0)&gt;0),1,0)*IF($C36=DW$2,1,0)=1,1+COUNTIF(DW$3:DW35,"&gt;0"),0)</f>
        <v>0</v>
      </c>
      <c r="DY36">
        <f t="shared" si="2"/>
        <v>1</v>
      </c>
      <c r="DZ36">
        <f>IF(DY36=0,0,1+MAX(DZ$3:$DZ35))</f>
        <v>34</v>
      </c>
      <c r="EB36">
        <f t="shared" si="16"/>
        <v>0</v>
      </c>
      <c r="EC36">
        <f>IF(EB36=0,0,1+COUNTIF(EC$3:EC35,"&gt;0"))</f>
        <v>0</v>
      </c>
      <c r="ED36" t="str">
        <f t="shared" si="44"/>
        <v/>
      </c>
      <c r="EE36" t="str">
        <f t="shared" si="17"/>
        <v/>
      </c>
      <c r="EG36">
        <f t="shared" si="18"/>
        <v>0</v>
      </c>
      <c r="EH36">
        <f>IF(EG36=0,0,1+COUNTIF(EH$3:EH35,"&gt;0"))</f>
        <v>0</v>
      </c>
      <c r="EI36" t="str">
        <f t="shared" si="45"/>
        <v/>
      </c>
      <c r="EJ36" t="str">
        <f t="shared" si="19"/>
        <v/>
      </c>
      <c r="EL36">
        <f t="shared" si="20"/>
        <v>0</v>
      </c>
      <c r="EM36">
        <f>IF(EL36=0,0,1+COUNTIF(EM$3:EM35,"&gt;0"))</f>
        <v>0</v>
      </c>
      <c r="EN36" t="str">
        <f t="shared" si="46"/>
        <v/>
      </c>
      <c r="EO36" t="str">
        <f t="shared" si="21"/>
        <v/>
      </c>
      <c r="EQ36">
        <f t="shared" si="22"/>
        <v>0</v>
      </c>
      <c r="ER36">
        <f>IF(EQ36=0,0,1+COUNTIF(ER$3:ER35,"&gt;0"))</f>
        <v>0</v>
      </c>
      <c r="ES36" t="str">
        <f t="shared" si="47"/>
        <v/>
      </c>
      <c r="ET36" t="str">
        <f t="shared" si="23"/>
        <v/>
      </c>
      <c r="EV36">
        <f t="shared" si="24"/>
        <v>0</v>
      </c>
      <c r="EW36">
        <f>IF(EV36=0,0,1+COUNTIF(EW$3:EW35,"&gt;0"))</f>
        <v>0</v>
      </c>
      <c r="EX36" t="str">
        <f t="shared" si="48"/>
        <v/>
      </c>
      <c r="EY36" t="str">
        <f t="shared" si="25"/>
        <v/>
      </c>
      <c r="FA36">
        <f t="shared" si="26"/>
        <v>0</v>
      </c>
      <c r="FB36">
        <f>IF(FA36=0,0,1+COUNTIF(FB$3:FB35,"&gt;0"))</f>
        <v>0</v>
      </c>
      <c r="FC36" t="str">
        <f t="shared" si="49"/>
        <v/>
      </c>
      <c r="FD36" t="str">
        <f t="shared" si="27"/>
        <v/>
      </c>
      <c r="FF36">
        <f t="shared" si="28"/>
        <v>0</v>
      </c>
      <c r="FG36">
        <f>IF(FF36=0,0,1+COUNTIF(FG$3:FG35,"&gt;0"))</f>
        <v>0</v>
      </c>
      <c r="FH36" t="str">
        <f t="shared" si="50"/>
        <v/>
      </c>
      <c r="FI36" t="str">
        <f t="shared" si="29"/>
        <v/>
      </c>
      <c r="FK36">
        <f t="shared" si="30"/>
        <v>0</v>
      </c>
      <c r="FL36">
        <f>IF(FK36=0,0,1+COUNTIF(FL$3:FL35,"&gt;0"))</f>
        <v>0</v>
      </c>
      <c r="FM36" t="str">
        <f t="shared" si="51"/>
        <v/>
      </c>
      <c r="FN36" t="str">
        <f t="shared" si="31"/>
        <v/>
      </c>
      <c r="FP36">
        <f t="shared" si="32"/>
        <v>0</v>
      </c>
      <c r="FQ36">
        <f>IF(FP36=0,0,1+COUNTIF(FQ$3:FQ35,"&gt;0"))</f>
        <v>0</v>
      </c>
      <c r="FR36" t="str">
        <f t="shared" si="52"/>
        <v/>
      </c>
      <c r="FS36" t="str">
        <f t="shared" si="33"/>
        <v/>
      </c>
    </row>
    <row r="37" spans="1:175" x14ac:dyDescent="0.25">
      <c r="A37" s="347">
        <f t="shared" si="53"/>
        <v>35</v>
      </c>
      <c r="B37" s="348" t="s">
        <v>2395</v>
      </c>
      <c r="C37" s="348">
        <v>4</v>
      </c>
      <c r="D37" s="347">
        <v>4</v>
      </c>
      <c r="E37" s="627" t="s">
        <v>6952</v>
      </c>
      <c r="F37" s="346"/>
      <c r="G37" s="347" t="str">
        <f>""</f>
        <v/>
      </c>
      <c r="H37" s="347" t="s">
        <v>5912</v>
      </c>
      <c r="I37" s="347" t="s">
        <v>5060</v>
      </c>
      <c r="J37" s="347" t="str">
        <f t="shared" si="3"/>
        <v/>
      </c>
      <c r="K37" s="347" t="s">
        <v>5278</v>
      </c>
      <c r="L37" s="611" t="str">
        <f t="shared" si="4"/>
        <v>V, S</v>
      </c>
      <c r="M37" s="347" t="s">
        <v>2373</v>
      </c>
      <c r="N37" s="347" t="s">
        <v>2387</v>
      </c>
      <c r="O37" s="347" t="s">
        <v>3034</v>
      </c>
      <c r="P37" s="346" t="str">
        <f>""</f>
        <v/>
      </c>
      <c r="Q37" s="347" t="s">
        <v>5275</v>
      </c>
      <c r="S37" s="346" t="s">
        <v>5607</v>
      </c>
      <c r="T37" s="346" t="str">
        <f t="shared" si="5"/>
        <v xml:space="preserve">Sorcerer, Warlock, Druid, Eldritch Knight, Wizard, Oathbreaker, Desert, Death, </v>
      </c>
      <c r="X37" s="347" t="str">
        <f>$B37</f>
        <v>Blight</v>
      </c>
      <c r="Y37" s="347" t="str">
        <f>$B37</f>
        <v>Blight</v>
      </c>
      <c r="AA37" s="347" t="str">
        <f>$B37</f>
        <v>Blight</v>
      </c>
      <c r="AB37" s="347" t="str">
        <f>$B37</f>
        <v>Blight</v>
      </c>
      <c r="AD37" s="347" t="str">
        <f>$B37</f>
        <v>Blight</v>
      </c>
      <c r="AE37" t="str">
        <f>IF(IFERROR(MATCH($B37,temp!A$4:A$13,0),0)&gt;0,T08_Spells!AE$2,"")</f>
        <v/>
      </c>
      <c r="AF37" t="str">
        <f>IF(IFERROR(MATCH($B37,temp!B$4:B$13,0),0)&gt;0,T08_Spells!AF$2,"")</f>
        <v/>
      </c>
      <c r="AG37" t="str">
        <f>IF(IFERROR(MATCH($B37,temp!C$4:C$13,0),0)&gt;0,T08_Spells!AG$2,"")</f>
        <v/>
      </c>
      <c r="AH37" t="str">
        <f>IF(IFERROR(MATCH($B37,temp!D$4:D$13,0),0)&gt;0,T08_Spells!AH$2,"")</f>
        <v>Oathbreaker</v>
      </c>
      <c r="AI37" t="str">
        <f>IF(IFERROR(MATCH($B37,temp!E$4:E$13,0),0)&gt;0,T08_Spells!AI$2,"")</f>
        <v/>
      </c>
      <c r="AJ37" t="str">
        <f>IF(IFERROR(MATCH($B37,temp!F$4:F$13,0),0)&gt;0,T08_Spells!AJ$2,"")</f>
        <v/>
      </c>
      <c r="AK37" t="str">
        <f>IF(IFERROR(MATCH($B37,temp!G$4:G$13,0),0)&gt;0,T08_Spells!AK$2,"")</f>
        <v/>
      </c>
      <c r="AL37" t="str">
        <f>IF(IFERROR(MATCH($B37,temp!H$4:H$13,0),0)&gt;0,T08_Spells!AL$2,"")</f>
        <v/>
      </c>
      <c r="AM37" t="str">
        <f>IF(IFERROR(MATCH($B37,temp!I$4:I$13,0),0)&gt;0,T08_Spells!AM$2,"")</f>
        <v/>
      </c>
      <c r="AN37" t="str">
        <f>IF(IFERROR(MATCH($B37,temp!J$4:J$13,0),0)&gt;0,T08_Spells!AN$2,"")</f>
        <v>Desert</v>
      </c>
      <c r="AO37" t="str">
        <f>IF(IFERROR(MATCH($B37,temp!K$4:K$13,0),0)&gt;0,T08_Spells!AO$2,"")</f>
        <v/>
      </c>
      <c r="AP37" t="str">
        <f>IF(IFERROR(MATCH($B37,temp!L$4:L$13,0),0)&gt;0,T08_Spells!AP$2,"")</f>
        <v/>
      </c>
      <c r="AQ37" t="str">
        <f>IF(IFERROR(MATCH($B37,temp!M$4:M$13,0),0)&gt;0,T08_Spells!AQ$2,"")</f>
        <v/>
      </c>
      <c r="AR37" t="str">
        <f>IF(IFERROR(MATCH($B37,temp!N$4:N$13,0),0)&gt;0,T08_Spells!AR$2,"")</f>
        <v/>
      </c>
      <c r="AS37" t="str">
        <f>IF(IFERROR(MATCH($B37,temp!O$4:O$13,0),0)&gt;0,T08_Spells!AS$2,"")</f>
        <v/>
      </c>
      <c r="AT37" t="str">
        <f>IF(IFERROR(MATCH($B37,temp!P$4:P$13,0),0)&gt;0,T08_Spells!AT$2,"")</f>
        <v/>
      </c>
      <c r="AU37" t="str">
        <f>IF(IFERROR(MATCH($B37,temp!Q$4:Q$13,0),0)&gt;0,T08_Spells!AU$2,"")</f>
        <v/>
      </c>
      <c r="AV37" t="str">
        <f>IF(IFERROR(MATCH($B37,temp!R$4:R$13,0),0)&gt;0,T08_Spells!AV$2,"")</f>
        <v/>
      </c>
      <c r="AW37" t="str">
        <f>IF(IFERROR(MATCH($B37,temp!S$4:S$13,0),0)&gt;0,T08_Spells!AW$2,"")</f>
        <v/>
      </c>
      <c r="AX37" t="str">
        <f>IF(IFERROR(MATCH($B37,temp!T$4:T$13,0),0)&gt;0,T08_Spells!AX$2,"")</f>
        <v/>
      </c>
      <c r="AY37" t="str">
        <f>IF(IFERROR(MATCH($B37,temp!U$4:U$13,0),0)&gt;0,T08_Spells!AY$2,"")</f>
        <v/>
      </c>
      <c r="AZ37" t="str">
        <f>IF(IFERROR(MATCH($B37,temp!V$4:V$13,0),0)&gt;0,T08_Spells!AZ$2,"")</f>
        <v/>
      </c>
      <c r="BA37" t="str">
        <f>IF(IFERROR(MATCH($B37,temp!W$4:W$13,0),0)&gt;0,T08_Spells!BA$2,"")</f>
        <v>Death</v>
      </c>
      <c r="BC37">
        <f>IF(IFERROR(SEARCH("Ranger",$T37,1),0)&gt;0,1,0)*IF(RangerMaxSpellLevel&gt;=$C37,1,0)*IF(IFERROR(MATCH(B37,Character_Creation!$X$79:$X$382,0),0)&gt;0,0,1)</f>
        <v>0</v>
      </c>
      <c r="BD37">
        <f>IF(BC37=0,0,1+COUNTIF(BD$3:BD36,"&gt;0"))</f>
        <v>0</v>
      </c>
      <c r="BE37" t="str">
        <f t="shared" si="34"/>
        <v/>
      </c>
      <c r="BF37" t="str">
        <f t="shared" si="6"/>
        <v/>
      </c>
      <c r="BH37">
        <f>IF(IFERROR(SEARCH("Sorcerer",$T37,1),0)&gt;0,1,0)*IF(SorcererMaxSpellLevel&gt;=$C37,1,0)*IF(IFERROR(MATCH(B37,Character_Creation!$J$380:$J$394,0),0)&gt;0,0,1)</f>
        <v>0</v>
      </c>
      <c r="BI37">
        <f>IF(BH37=0,0,1+COUNTIF(BI$3:BI36,"&gt;0"))</f>
        <v>0</v>
      </c>
      <c r="BJ37" t="str">
        <f t="shared" si="35"/>
        <v/>
      </c>
      <c r="BK37" t="str">
        <f t="shared" si="7"/>
        <v/>
      </c>
      <c r="BM37">
        <f>IF(OR(IFERROR(SEARCH("Warlock",$T37,1),0)&gt;0,IFERROR(SEARCH(WarlockPatron,$T37,1),0)&gt;0),1,0)*IF(WarlockMaxSpellLevel&gt;=$C37,1,0)*IF(IFERROR(MATCH(B37,Character_Creation!$J$361:$J$375,0),0)&gt;0,0,1)</f>
        <v>0</v>
      </c>
      <c r="BN37">
        <f>IF(BM37=0,0,1+COUNTIF(BN$3:BN36,"&gt;0"))</f>
        <v>0</v>
      </c>
      <c r="BO37" t="str">
        <f t="shared" si="36"/>
        <v/>
      </c>
      <c r="BP37" t="str">
        <f t="shared" si="8"/>
        <v/>
      </c>
      <c r="BR37">
        <f>IF(IFERROR(SEARCH("Eldritch Knight",$T37,1),0)&gt;0,1,0)*IF(EldritchKnightMaxSpellLevel&gt;=$C37,1,0)*IF(IFERROR(MATCH($B37,Character_Creation!$J$350:$J$356,0),0)&gt;0,0,1)*IF(Character_Creation!$M$338&gt;0,1,0)</f>
        <v>0</v>
      </c>
      <c r="BS37">
        <f>IF(BR37=0,0,1+COUNTIF(BS$3:BS36,"&gt;0"))</f>
        <v>0</v>
      </c>
      <c r="BT37" t="str">
        <f t="shared" si="37"/>
        <v/>
      </c>
      <c r="BU37" t="str">
        <f t="shared" si="9"/>
        <v/>
      </c>
      <c r="BW37">
        <f>IF(IFERROR(SEARCH("Arcane Trickster",$T37,1),0)&gt;0,1,0)*IF(ArcaneTricksterMaxSpellLevel&gt;=$C37,1,0)*IF(IFERROR(MATCH($B37,Character_Creation!$J$350:$J$356,0),0)&gt;0,0,1)*IF(Character_Creation!$T$338&gt;0,1,0)</f>
        <v>0</v>
      </c>
      <c r="BX37">
        <f>IF(BW37=0,0,1+COUNTIF(BX$3:BX36,"&gt;0"))</f>
        <v>0</v>
      </c>
      <c r="BY37" t="str">
        <f t="shared" si="38"/>
        <v/>
      </c>
      <c r="BZ37" t="str">
        <f t="shared" si="10"/>
        <v/>
      </c>
      <c r="CB37">
        <f>IF(IFERROR(SEARCH("Wizard",$T37,1),0)&gt;0,1,0)*IF(C37&lt;=ArcaneTricksterMaxSpellLevel,1,0)*IF(IFERROR(MATCH($B37,Character_Creation!$J$350:$J$356,0),0)&gt;0,0,1)*IF(Character_Creation!$T$350&gt;0,1,0)</f>
        <v>0</v>
      </c>
      <c r="CC37">
        <f>IF(CB37=0,0,1+COUNTIF(CC$3:CC36,"&gt;0"))</f>
        <v>0</v>
      </c>
      <c r="CD37" t="str">
        <f t="shared" si="39"/>
        <v/>
      </c>
      <c r="CE37" t="str">
        <f t="shared" si="11"/>
        <v/>
      </c>
      <c r="CG37">
        <f>IF(IFERROR(SEARCH("Wizard",$T37,1),0)&gt;0,1,0)*IF($C37&lt;=EldritchKnightMaxSpellLevel,1,0)*IF(IFERROR(MATCH($B37,Character_Creation!$J$350:$J$356,0),0)&gt;0,0,1)*IF(Character_Creation!$M$350&gt;0,1,0)</f>
        <v>0</v>
      </c>
      <c r="CH37">
        <f>IF(CG37=0,0,1+COUNTIF(CH$3:CH36,"&gt;0"))</f>
        <v>0</v>
      </c>
      <c r="CI37">
        <f t="shared" si="40"/>
        <v>35</v>
      </c>
      <c r="CJ37" t="str">
        <f t="shared" si="12"/>
        <v>Levitate</v>
      </c>
      <c r="CL37">
        <f>IF(IFERROR(SEARCH("Bard",$T37,1),0)&gt;0,1,0)*IF(BardMaxSpellLevel&gt;=$C37,1,0)*IF(IFERROR(MATCH(B37,Character_Creation!$C$341:$F$362,0),0)&gt;0,0,1)*IF(IFERROR(MATCH($B37,Character_Creation!$C$341:$C$362,0),0)&gt;0,0,1)</f>
        <v>0</v>
      </c>
      <c r="CM37">
        <f>IF(CL37=0,0,1+COUNTIF(CM$3:CM36,"&gt;0"))</f>
        <v>0</v>
      </c>
      <c r="CN37" t="str">
        <f t="shared" si="41"/>
        <v/>
      </c>
      <c r="CO37" t="str">
        <f t="shared" si="13"/>
        <v/>
      </c>
      <c r="CQ37">
        <f>IF(IFERROR(SEARCH("Wizard",$T37,1),0)&gt;0,1,0)*IF(WizardMaxSpellLevel&gt;=$C37,1,0)*IF(IFERROR(MATCH(B37,Character_Creation!$X$341:$X$400,0),0)&gt;0,0,1)*IF(SelectedWizardSpellLevel=$C37,1,0)</f>
        <v>0</v>
      </c>
      <c r="CR37">
        <f>IF(CQ37=0,0,1+COUNTIF(CR$3:CR36,"&gt;0"))</f>
        <v>0</v>
      </c>
      <c r="CS37" t="str">
        <f t="shared" si="42"/>
        <v/>
      </c>
      <c r="CT37" t="str">
        <f t="shared" si="14"/>
        <v/>
      </c>
      <c r="CV37">
        <f>IF(IFERROR(MATCH($B37,Character_Creation!$C$341:$C$362,0),0)&gt;0,0,1)*IF(OR(C37="Cantrip",C37&lt;=BardMaxSpellLevel),1,0)*IF(IFERROR(MATCH($B37,Character_Creation!$C$367:$C$374,0),0)&gt;0,0,1)</f>
        <v>0</v>
      </c>
      <c r="CW37">
        <f>IF(CV37=0,0,1+COUNTIF(CW$3:CW36,"&gt;0"))</f>
        <v>0</v>
      </c>
      <c r="CX37">
        <f t="shared" si="43"/>
        <v>35</v>
      </c>
      <c r="CY37" t="str">
        <f t="shared" si="15"/>
        <v>Thunderclap</v>
      </c>
      <c r="DA37">
        <f>IF(IF(OR(IFERROR(SEARCH("Cleric",$T37,1),0)&gt;0,IFERROR(SEARCH(DivineDomain&amp;",",$T37,1),0)&gt;0),1,0)*IF($C37=DA$2,1,0)=1,1+COUNTIF(DA$3:DA36,"&gt;0"),0)</f>
        <v>0</v>
      </c>
      <c r="DB37">
        <f>IF(IF(OR(IFERROR(SEARCH("Cleric",$T37,1),0)&gt;0,IFERROR(SEARCH(DivineDomain&amp;",",$T37,1),0)&gt;0),1,0)*IF($C37=DB$2,1,0)=1,1+COUNTIF(DB$3:DB36,"&gt;0"),0)</f>
        <v>0</v>
      </c>
      <c r="DC37">
        <f>IF(IF(OR(IFERROR(SEARCH("Cleric",$T37,1),0)&gt;0,IFERROR(SEARCH(DivineDomain&amp;",",$T37,1),0)&gt;0),1,0)*IF($C37=DC$2,1,0)=1,1+COUNTIF(DC$3:DC36,"&gt;0"),0)</f>
        <v>0</v>
      </c>
      <c r="DD37">
        <f>IF(IF(OR(IFERROR(SEARCH("Cleric",$T37,1),0)&gt;0,IFERROR(SEARCH(DivineDomain&amp;",",$T37,1),0)&gt;0),1,0)*IF($C37=DD$2,1,0)=1,1+COUNTIF(DD$3:DD36,"&gt;0"),0)</f>
        <v>0</v>
      </c>
      <c r="DE37">
        <f>IF(IF(OR(IFERROR(SEARCH("Cleric",$T37,1),0)&gt;0,IFERROR(SEARCH(DivineDomain&amp;",",$T37,1),0)&gt;0),1,0)*IF($C37=DE$2,1,0)=1,1+COUNTIF(DE$3:DE36,"&gt;0"),0)</f>
        <v>0</v>
      </c>
      <c r="DF37">
        <f>IF(IF(OR(IFERROR(SEARCH("Cleric",$T37,1),0)&gt;0,IFERROR(SEARCH(DivineDomain&amp;",",$T37,1),0)&gt;0),1,0)*IF($C37=DF$2,1,0)=1,1+COUNTIF(DF$3:DF36,"&gt;0"),0)</f>
        <v>0</v>
      </c>
      <c r="DG37">
        <f>IF(IF(OR(IFERROR(SEARCH("Cleric",$T37,1),0)&gt;0,IFERROR(SEARCH(DivineDomain&amp;",",$T37,1),0)&gt;0),1,0)*IF($C37=DG$2,1,0)=1,1+COUNTIF(DG$3:DG36,"&gt;0"),0)</f>
        <v>0</v>
      </c>
      <c r="DH37">
        <f>IF(IF(OR(IFERROR(SEARCH("Cleric",$T37,1),0)&gt;0,IFERROR(SEARCH(DivineDomain&amp;",",$T37,1),0)&gt;0),1,0)*IF($C37=DH$2,1,0)=1,1+COUNTIF(DH$3:DH36,"&gt;0"),0)</f>
        <v>0</v>
      </c>
      <c r="DI37">
        <f>IF(IF(OR(IFERROR(SEARCH("Cleric",$T37,1),0)&gt;0,IFERROR(SEARCH(DivineDomain&amp;",",$T37,1),0)&gt;0),1,0)*IF($C37=DI$2,1,0)=1,1+COUNTIF(DI$3:DI36,"&gt;0"),0)</f>
        <v>0</v>
      </c>
      <c r="DJ37">
        <f>IF(IF(OR(IFERROR(SEARCH("Druid",$T37,1),0)&gt;0,IFERROR(SEARCH(DruidLand1,$T37,1),0)&gt;0,IFERROR(SEARCH(DruidLand2,$T37,1),0)&gt;0,IFERROR(SEARCH(DruidLand3,$T37,1),0)&gt;0,IFERROR(SEARCH(DruidLand4,$T37,1),0)&gt;0),1,0)*IF($C37=1,1,0)*IF($C37=DJ$2,1,0)=0,0,1+COUNTIF(DJ$3:DJ36,"&gt;0"))</f>
        <v>0</v>
      </c>
      <c r="DK37">
        <f>IF(IF(OR(IFERROR(SEARCH("Druid",$T37,1),0)&gt;0,IFERROR(SEARCH(DruidLand1,$T37,1),0)&gt;0,IFERROR(SEARCH(DruidLand2,$T37,1),0)&gt;0,IFERROR(SEARCH(DruidLand3,$T37,1),0)&gt;0,IFERROR(SEARCH(DruidLand4,$T37,1),0)&gt;0),1,0)*IF($C37=DK$2,1,0)=0,0,1+COUNTIF(DK$3:DK36,"&gt;0"))</f>
        <v>0</v>
      </c>
      <c r="DL37">
        <f>IF(IF(OR(IFERROR(SEARCH("Druid",$T37,1),0)&gt;0,IFERROR(SEARCH(DruidLand1,$T37,1),0)&gt;0,IFERROR(SEARCH(DruidLand2,$T37,1),0)&gt;0,IFERROR(SEARCH(DruidLand3,$T37,1),0)&gt;0,IFERROR(SEARCH(DruidLand4,$T37,1),0)&gt;0),1,0)*IF($C37=DL$2,1,0)=0,0,1+COUNTIF(DL$3:DL36,"&gt;0"))</f>
        <v>0</v>
      </c>
      <c r="DM37">
        <f>IF(IF(OR(IFERROR(SEARCH("Druid",$T37,1),0)&gt;0,IFERROR(SEARCH(DruidLand1,$T37,1),0)&gt;0,IFERROR(SEARCH(DruidLand2,$T37,1),0)&gt;0,IFERROR(SEARCH(DruidLand3,$T37,1),0)&gt;0,IFERROR(SEARCH(DruidLand4,$T37,1),0)&gt;0),1,0)*IF($C37=DM$2,1,0)=0,0,1+COUNTIF(DM$3:DM36,"&gt;0"))</f>
        <v>1</v>
      </c>
      <c r="DN37">
        <f>IF(IF(OR(IFERROR(SEARCH("Druid",$T37,1),0)&gt;0,IFERROR(SEARCH(DruidLand1,$T37,1),0)&gt;0,IFERROR(SEARCH(DruidLand2,$T37,1),0)&gt;0,IFERROR(SEARCH(DruidLand3,$T37,1),0)&gt;0,IFERROR(SEARCH(DruidLand4,$T37,1),0)&gt;0),1,0)*IF($C37=DN$2,1,0)=0,0,1+COUNTIF(DN$3:DN36,"&gt;0"))</f>
        <v>0</v>
      </c>
      <c r="DO37">
        <f>IF(IF(OR(IFERROR(SEARCH("Druid",$T37,1),0)&gt;0,IFERROR(SEARCH(DruidLand1,$T37,1),0)&gt;0,IFERROR(SEARCH(DruidLand2,$T37,1),0)&gt;0,IFERROR(SEARCH(DruidLand3,$T37,1),0)&gt;0,IFERROR(SEARCH(DruidLand4,$T37,1),0)&gt;0),1,0)*IF($C37=DO$2,1,0)=0,0,1+COUNTIF(DO$3:DO36,"&gt;0"))</f>
        <v>0</v>
      </c>
      <c r="DP37">
        <f>IF(IF(OR(IFERROR(SEARCH("Druid",$T37,1),0)&gt;0,IFERROR(SEARCH(DruidLand1,$T37,1),0)&gt;0,IFERROR(SEARCH(DruidLand2,$T37,1),0)&gt;0,IFERROR(SEARCH(DruidLand3,$T37,1),0)&gt;0,IFERROR(SEARCH(DruidLand4,$T37,1),0)&gt;0),1,0)*IF($C37=DP$2,1,0)=0,0,1+COUNTIF(DP$3:DP36,"&gt;0"))</f>
        <v>0</v>
      </c>
      <c r="DQ37">
        <f>IF(IF(OR(IFERROR(SEARCH("Druid",$T37,1),0)&gt;0,IFERROR(SEARCH(DruidLand1,$T37,1),0)&gt;0,IFERROR(SEARCH(DruidLand2,$T37,1),0)&gt;0,IFERROR(SEARCH(DruidLand3,$T37,1),0)&gt;0,IFERROR(SEARCH(DruidLand4,$T37,1),0)&gt;0),1,0)*IF($C37=DQ$2,1,0)=0,0,1+COUNTIF(DQ$3:DQ36,"&gt;0"))</f>
        <v>0</v>
      </c>
      <c r="DR37">
        <f>IF(IF(OR(IFERROR(SEARCH("Druid",$T37,1),0)&gt;0,IFERROR(SEARCH(DruidLand1,$T37,1),0)&gt;0,IFERROR(SEARCH(DruidLand2,$T37,1),0)&gt;0,IFERROR(SEARCH(DruidLand3,$T37,1),0)&gt;0,IFERROR(SEARCH(DruidLand4,$T37,1),0)&gt;0),1,0)*IF($C37=DR$2,1,0)=0,0,1+COUNTIF(DR$3:DR36,"&gt;0"))</f>
        <v>0</v>
      </c>
      <c r="DS37">
        <f>IF(IF(OR(IFERROR(SEARCH("Paladin",$T37,1),0)&gt;0,IFERROR(SEARCH(PaladinOath,$T37,1),0)&gt;0),1,0)*IF($C37=DS$2,1,0)=1,1+COUNTIF(DS$3:DS36,"&gt;0"),0)</f>
        <v>0</v>
      </c>
      <c r="DT37">
        <f>IF(IF(OR(IFERROR(SEARCH("Paladin",$T37,1),0)&gt;0,IFERROR(SEARCH(PaladinOath,$T37,1),0)&gt;0),1,0)*IF($C37=DT$2,1,0)=1,1+COUNTIF(DT$3:DT36,"&gt;0"),0)</f>
        <v>0</v>
      </c>
      <c r="DU37">
        <f>IF(IF(OR(IFERROR(SEARCH("Paladin",$T37,1),0)&gt;0,IFERROR(SEARCH(PaladinOath,$T37,1),0)&gt;0),1,0)*IF($C37=DU$2,1,0)=1,1+COUNTIF(DU$3:DU36,"&gt;0"),0)</f>
        <v>0</v>
      </c>
      <c r="DV37">
        <f>IF(IF(OR(IFERROR(SEARCH("Paladin",$T37,1),0)&gt;0,IFERROR(SEARCH(PaladinOath,$T37,1),0)&gt;0),1,0)*IF($C37=DV$2,1,0)=1,1+COUNTIF(DV$3:DV36,"&gt;0"),0)</f>
        <v>0</v>
      </c>
      <c r="DW37">
        <f>IF(IF(OR(IFERROR(SEARCH("Paladin",$T37,1),0)&gt;0,IFERROR(SEARCH(PaladinOath,$T37,1),0)&gt;0),1,0)*IF($C37=DW$2,1,0)=1,1+COUNTIF(DW$3:DW36,"&gt;0"),0)</f>
        <v>0</v>
      </c>
      <c r="DY37">
        <f t="shared" si="2"/>
        <v>1</v>
      </c>
      <c r="DZ37">
        <f>IF(DY37=0,0,1+MAX(DZ$3:$DZ36))</f>
        <v>35</v>
      </c>
      <c r="EB37">
        <f t="shared" si="16"/>
        <v>0</v>
      </c>
      <c r="EC37">
        <f>IF(EB37=0,0,1+COUNTIF(EC$3:EC36,"&gt;0"))</f>
        <v>0</v>
      </c>
      <c r="ED37" t="str">
        <f t="shared" si="44"/>
        <v/>
      </c>
      <c r="EE37" t="str">
        <f t="shared" si="17"/>
        <v/>
      </c>
      <c r="EG37">
        <f t="shared" si="18"/>
        <v>0</v>
      </c>
      <c r="EH37">
        <f>IF(EG37=0,0,1+COUNTIF(EH$3:EH36,"&gt;0"))</f>
        <v>0</v>
      </c>
      <c r="EI37" t="str">
        <f t="shared" si="45"/>
        <v/>
      </c>
      <c r="EJ37" t="str">
        <f t="shared" si="19"/>
        <v/>
      </c>
      <c r="EL37">
        <f t="shared" si="20"/>
        <v>0</v>
      </c>
      <c r="EM37">
        <f>IF(EL37=0,0,1+COUNTIF(EM$3:EM36,"&gt;0"))</f>
        <v>0</v>
      </c>
      <c r="EN37" t="str">
        <f t="shared" si="46"/>
        <v/>
      </c>
      <c r="EO37" t="str">
        <f t="shared" si="21"/>
        <v/>
      </c>
      <c r="EQ37">
        <f t="shared" si="22"/>
        <v>0</v>
      </c>
      <c r="ER37">
        <f>IF(EQ37=0,0,1+COUNTIF(ER$3:ER36,"&gt;0"))</f>
        <v>0</v>
      </c>
      <c r="ES37" t="str">
        <f t="shared" si="47"/>
        <v/>
      </c>
      <c r="ET37" t="str">
        <f t="shared" si="23"/>
        <v/>
      </c>
      <c r="EV37">
        <f t="shared" si="24"/>
        <v>0</v>
      </c>
      <c r="EW37">
        <f>IF(EV37=0,0,1+COUNTIF(EW$3:EW36,"&gt;0"))</f>
        <v>0</v>
      </c>
      <c r="EX37" t="str">
        <f t="shared" si="48"/>
        <v/>
      </c>
      <c r="EY37" t="str">
        <f t="shared" si="25"/>
        <v/>
      </c>
      <c r="FA37">
        <f t="shared" si="26"/>
        <v>0</v>
      </c>
      <c r="FB37">
        <f>IF(FA37=0,0,1+COUNTIF(FB$3:FB36,"&gt;0"))</f>
        <v>0</v>
      </c>
      <c r="FC37" t="str">
        <f t="shared" si="49"/>
        <v/>
      </c>
      <c r="FD37" t="str">
        <f t="shared" si="27"/>
        <v/>
      </c>
      <c r="FF37">
        <f t="shared" si="28"/>
        <v>0</v>
      </c>
      <c r="FG37">
        <f>IF(FF37=0,0,1+COUNTIF(FG$3:FG36,"&gt;0"))</f>
        <v>0</v>
      </c>
      <c r="FH37" t="str">
        <f t="shared" si="50"/>
        <v/>
      </c>
      <c r="FI37" t="str">
        <f t="shared" si="29"/>
        <v/>
      </c>
      <c r="FK37">
        <f t="shared" si="30"/>
        <v>0</v>
      </c>
      <c r="FL37">
        <f>IF(FK37=0,0,1+COUNTIF(FL$3:FL36,"&gt;0"))</f>
        <v>0</v>
      </c>
      <c r="FM37" t="str">
        <f t="shared" si="51"/>
        <v/>
      </c>
      <c r="FN37" t="str">
        <f t="shared" si="31"/>
        <v/>
      </c>
      <c r="FP37">
        <f t="shared" si="32"/>
        <v>0</v>
      </c>
      <c r="FQ37">
        <f>IF(FP37=0,0,1+COUNTIF(FQ$3:FQ36,"&gt;0"))</f>
        <v>0</v>
      </c>
      <c r="FR37" t="str">
        <f t="shared" si="52"/>
        <v/>
      </c>
      <c r="FS37" t="str">
        <f t="shared" si="33"/>
        <v/>
      </c>
    </row>
    <row r="38" spans="1:175" x14ac:dyDescent="0.25">
      <c r="A38" s="347">
        <f t="shared" si="53"/>
        <v>36</v>
      </c>
      <c r="B38" s="348" t="s">
        <v>2396</v>
      </c>
      <c r="C38" s="348">
        <v>3</v>
      </c>
      <c r="D38" s="347">
        <v>3</v>
      </c>
      <c r="E38" s="627" t="s">
        <v>6952</v>
      </c>
      <c r="F38" s="346"/>
      <c r="G38" s="347" t="str">
        <f>""</f>
        <v/>
      </c>
      <c r="H38" s="347" t="s">
        <v>5918</v>
      </c>
      <c r="I38" s="347" t="s">
        <v>5283</v>
      </c>
      <c r="J38" s="347" t="str">
        <f t="shared" si="3"/>
        <v/>
      </c>
      <c r="K38" s="347" t="s">
        <v>5291</v>
      </c>
      <c r="L38" s="611" t="str">
        <f t="shared" si="4"/>
        <v>V</v>
      </c>
      <c r="M38" s="347" t="s">
        <v>2373</v>
      </c>
      <c r="N38" s="347" t="s">
        <v>3034</v>
      </c>
      <c r="O38" s="347" t="s">
        <v>3034</v>
      </c>
      <c r="P38" s="346" t="str">
        <f>""</f>
        <v/>
      </c>
      <c r="Q38" s="347" t="s">
        <v>5273</v>
      </c>
      <c r="S38" s="346" t="s">
        <v>5608</v>
      </c>
      <c r="T38" s="346" t="str">
        <f t="shared" si="5"/>
        <v xml:space="preserve">Paladin, </v>
      </c>
      <c r="V38" s="347" t="str">
        <f>$B38</f>
        <v>Blinding Smite</v>
      </c>
      <c r="AE38" t="str">
        <f>IF(IFERROR(MATCH($B38,temp!A$4:A$13,0),0)&gt;0,T08_Spells!AE$2,"")</f>
        <v/>
      </c>
      <c r="AF38" t="str">
        <f>IF(IFERROR(MATCH($B38,temp!B$4:B$13,0),0)&gt;0,T08_Spells!AF$2,"")</f>
        <v/>
      </c>
      <c r="AG38" t="str">
        <f>IF(IFERROR(MATCH($B38,temp!C$4:C$13,0),0)&gt;0,T08_Spells!AG$2,"")</f>
        <v/>
      </c>
      <c r="AH38" t="str">
        <f>IF(IFERROR(MATCH($B38,temp!D$4:D$13,0),0)&gt;0,T08_Spells!AH$2,"")</f>
        <v/>
      </c>
      <c r="AI38" t="str">
        <f>IF(IFERROR(MATCH($B38,temp!E$4:E$13,0),0)&gt;0,T08_Spells!AI$2,"")</f>
        <v/>
      </c>
      <c r="AJ38" t="str">
        <f>IF(IFERROR(MATCH($B38,temp!F$4:F$13,0),0)&gt;0,T08_Spells!AJ$2,"")</f>
        <v/>
      </c>
      <c r="AK38" t="str">
        <f>IF(IFERROR(MATCH($B38,temp!G$4:G$13,0),0)&gt;0,T08_Spells!AK$2,"")</f>
        <v/>
      </c>
      <c r="AL38" t="str">
        <f>IF(IFERROR(MATCH($B38,temp!H$4:H$13,0),0)&gt;0,T08_Spells!AL$2,"")</f>
        <v/>
      </c>
      <c r="AM38" t="str">
        <f>IF(IFERROR(MATCH($B38,temp!I$4:I$13,0),0)&gt;0,T08_Spells!AM$2,"")</f>
        <v/>
      </c>
      <c r="AN38" t="str">
        <f>IF(IFERROR(MATCH($B38,temp!J$4:J$13,0),0)&gt;0,T08_Spells!AN$2,"")</f>
        <v/>
      </c>
      <c r="AO38" t="str">
        <f>IF(IFERROR(MATCH($B38,temp!K$4:K$13,0),0)&gt;0,T08_Spells!AO$2,"")</f>
        <v/>
      </c>
      <c r="AP38" t="str">
        <f>IF(IFERROR(MATCH($B38,temp!L$4:L$13,0),0)&gt;0,T08_Spells!AP$2,"")</f>
        <v/>
      </c>
      <c r="AQ38" t="str">
        <f>IF(IFERROR(MATCH($B38,temp!M$4:M$13,0),0)&gt;0,T08_Spells!AQ$2,"")</f>
        <v/>
      </c>
      <c r="AR38" t="str">
        <f>IF(IFERROR(MATCH($B38,temp!N$4:N$13,0),0)&gt;0,T08_Spells!AR$2,"")</f>
        <v/>
      </c>
      <c r="AS38" t="str">
        <f>IF(IFERROR(MATCH($B38,temp!O$4:O$13,0),0)&gt;0,T08_Spells!AS$2,"")</f>
        <v/>
      </c>
      <c r="AT38" t="str">
        <f>IF(IFERROR(MATCH($B38,temp!P$4:P$13,0),0)&gt;0,T08_Spells!AT$2,"")</f>
        <v/>
      </c>
      <c r="AU38" t="str">
        <f>IF(IFERROR(MATCH($B38,temp!Q$4:Q$13,0),0)&gt;0,T08_Spells!AU$2,"")</f>
        <v/>
      </c>
      <c r="AV38" t="str">
        <f>IF(IFERROR(MATCH($B38,temp!R$4:R$13,0),0)&gt;0,T08_Spells!AV$2,"")</f>
        <v/>
      </c>
      <c r="AW38" t="str">
        <f>IF(IFERROR(MATCH($B38,temp!S$4:S$13,0),0)&gt;0,T08_Spells!AW$2,"")</f>
        <v/>
      </c>
      <c r="AX38" t="str">
        <f>IF(IFERROR(MATCH($B38,temp!T$4:T$13,0),0)&gt;0,T08_Spells!AX$2,"")</f>
        <v/>
      </c>
      <c r="AY38" t="str">
        <f>IF(IFERROR(MATCH($B38,temp!U$4:U$13,0),0)&gt;0,T08_Spells!AY$2,"")</f>
        <v/>
      </c>
      <c r="AZ38" t="str">
        <f>IF(IFERROR(MATCH($B38,temp!V$4:V$13,0),0)&gt;0,T08_Spells!AZ$2,"")</f>
        <v/>
      </c>
      <c r="BA38" t="str">
        <f>IF(IFERROR(MATCH($B38,temp!W$4:W$13,0),0)&gt;0,T08_Spells!BA$2,"")</f>
        <v/>
      </c>
      <c r="BC38">
        <f>IF(IFERROR(SEARCH("Ranger",$T38,1),0)&gt;0,1,0)*IF(RangerMaxSpellLevel&gt;=$C38,1,0)*IF(IFERROR(MATCH(B38,Character_Creation!$X$79:$X$382,0),0)&gt;0,0,1)</f>
        <v>0</v>
      </c>
      <c r="BD38">
        <f>IF(BC38=0,0,1+COUNTIF(BD$3:BD37,"&gt;0"))</f>
        <v>0</v>
      </c>
      <c r="BE38" t="str">
        <f t="shared" si="34"/>
        <v/>
      </c>
      <c r="BF38" t="str">
        <f t="shared" si="6"/>
        <v/>
      </c>
      <c r="BH38">
        <f>IF(IFERROR(SEARCH("Sorcerer",$T38,1),0)&gt;0,1,0)*IF(SorcererMaxSpellLevel&gt;=$C38,1,0)*IF(IFERROR(MATCH(B38,Character_Creation!$J$380:$J$394,0),0)&gt;0,0,1)</f>
        <v>0</v>
      </c>
      <c r="BI38">
        <f>IF(BH38=0,0,1+COUNTIF(BI$3:BI37,"&gt;0"))</f>
        <v>0</v>
      </c>
      <c r="BJ38" t="str">
        <f t="shared" si="35"/>
        <v/>
      </c>
      <c r="BK38" t="str">
        <f t="shared" si="7"/>
        <v/>
      </c>
      <c r="BM38">
        <f>IF(OR(IFERROR(SEARCH("Warlock",$T38,1),0)&gt;0,IFERROR(SEARCH(WarlockPatron,$T38,1),0)&gt;0),1,0)*IF(WarlockMaxSpellLevel&gt;=$C38,1,0)*IF(IFERROR(MATCH(B38,Character_Creation!$J$361:$J$375,0),0)&gt;0,0,1)</f>
        <v>0</v>
      </c>
      <c r="BN38">
        <f>IF(BM38=0,0,1+COUNTIF(BN$3:BN37,"&gt;0"))</f>
        <v>0</v>
      </c>
      <c r="BO38" t="str">
        <f t="shared" si="36"/>
        <v/>
      </c>
      <c r="BP38" t="str">
        <f t="shared" si="8"/>
        <v/>
      </c>
      <c r="BR38">
        <f>IF(IFERROR(SEARCH("Eldritch Knight",$T38,1),0)&gt;0,1,0)*IF(EldritchKnightMaxSpellLevel&gt;=$C38,1,0)*IF(IFERROR(MATCH($B38,Character_Creation!$J$350:$J$356,0),0)&gt;0,0,1)*IF(Character_Creation!$M$338&gt;0,1,0)</f>
        <v>0</v>
      </c>
      <c r="BS38">
        <f>IF(BR38=0,0,1+COUNTIF(BS$3:BS37,"&gt;0"))</f>
        <v>0</v>
      </c>
      <c r="BT38" t="str">
        <f t="shared" si="37"/>
        <v/>
      </c>
      <c r="BU38" t="str">
        <f t="shared" si="9"/>
        <v/>
      </c>
      <c r="BW38">
        <f>IF(IFERROR(SEARCH("Arcane Trickster",$T38,1),0)&gt;0,1,0)*IF(ArcaneTricksterMaxSpellLevel&gt;=$C38,1,0)*IF(IFERROR(MATCH($B38,Character_Creation!$J$350:$J$356,0),0)&gt;0,0,1)*IF(Character_Creation!$T$338&gt;0,1,0)</f>
        <v>0</v>
      </c>
      <c r="BX38">
        <f>IF(BW38=0,0,1+COUNTIF(BX$3:BX37,"&gt;0"))</f>
        <v>0</v>
      </c>
      <c r="BY38" t="str">
        <f t="shared" si="38"/>
        <v/>
      </c>
      <c r="BZ38" t="str">
        <f t="shared" si="10"/>
        <v/>
      </c>
      <c r="CB38">
        <f>IF(IFERROR(SEARCH("Wizard",$T38,1),0)&gt;0,1,0)*IF(C38&lt;=ArcaneTricksterMaxSpellLevel,1,0)*IF(IFERROR(MATCH($B38,Character_Creation!$J$350:$J$356,0),0)&gt;0,0,1)*IF(Character_Creation!$T$350&gt;0,1,0)</f>
        <v>0</v>
      </c>
      <c r="CC38">
        <f>IF(CB38=0,0,1+COUNTIF(CC$3:CC37,"&gt;0"))</f>
        <v>0</v>
      </c>
      <c r="CD38" t="str">
        <f t="shared" si="39"/>
        <v/>
      </c>
      <c r="CE38" t="str">
        <f t="shared" si="11"/>
        <v/>
      </c>
      <c r="CG38">
        <f>IF(IFERROR(SEARCH("Wizard",$T38,1),0)&gt;0,1,0)*IF($C38&lt;=EldritchKnightMaxSpellLevel,1,0)*IF(IFERROR(MATCH($B38,Character_Creation!$J$350:$J$356,0),0)&gt;0,0,1)*IF(Character_Creation!$M$350&gt;0,1,0)</f>
        <v>0</v>
      </c>
      <c r="CH38">
        <f>IF(CG38=0,0,1+COUNTIF(CH$3:CH37,"&gt;0"))</f>
        <v>0</v>
      </c>
      <c r="CI38">
        <f t="shared" si="40"/>
        <v>36</v>
      </c>
      <c r="CJ38" t="str">
        <f t="shared" si="12"/>
        <v>Locate Object</v>
      </c>
      <c r="CL38">
        <f>IF(IFERROR(SEARCH("Bard",$T38,1),0)&gt;0,1,0)*IF(BardMaxSpellLevel&gt;=$C38,1,0)*IF(IFERROR(MATCH(B38,Character_Creation!$C$341:$F$362,0),0)&gt;0,0,1)*IF(IFERROR(MATCH($B38,Character_Creation!$C$341:$C$362,0),0)&gt;0,0,1)</f>
        <v>0</v>
      </c>
      <c r="CM38">
        <f>IF(CL38=0,0,1+COUNTIF(CM$3:CM37,"&gt;0"))</f>
        <v>0</v>
      </c>
      <c r="CN38" t="str">
        <f t="shared" si="41"/>
        <v/>
      </c>
      <c r="CO38" t="str">
        <f t="shared" si="13"/>
        <v/>
      </c>
      <c r="CQ38">
        <f>IF(IFERROR(SEARCH("Wizard",$T38,1),0)&gt;0,1,0)*IF(WizardMaxSpellLevel&gt;=$C38,1,0)*IF(IFERROR(MATCH(B38,Character_Creation!$X$341:$X$400,0),0)&gt;0,0,1)*IF(SelectedWizardSpellLevel=$C38,1,0)</f>
        <v>0</v>
      </c>
      <c r="CR38">
        <f>IF(CQ38=0,0,1+COUNTIF(CR$3:CR37,"&gt;0"))</f>
        <v>0</v>
      </c>
      <c r="CS38" t="str">
        <f t="shared" si="42"/>
        <v/>
      </c>
      <c r="CT38" t="str">
        <f t="shared" si="14"/>
        <v/>
      </c>
      <c r="CV38">
        <f>IF(IFERROR(MATCH($B38,Character_Creation!$C$341:$C$362,0),0)&gt;0,0,1)*IF(OR(C38="Cantrip",C38&lt;=BardMaxSpellLevel),1,0)*IF(IFERROR(MATCH($B38,Character_Creation!$C$367:$C$374,0),0)&gt;0,0,1)</f>
        <v>0</v>
      </c>
      <c r="CW38">
        <f>IF(CV38=0,0,1+COUNTIF(CW$3:CW37,"&gt;0"))</f>
        <v>0</v>
      </c>
      <c r="CX38" t="str">
        <f t="shared" si="43"/>
        <v/>
      </c>
      <c r="CY38" t="str">
        <f t="shared" si="15"/>
        <v/>
      </c>
      <c r="DA38">
        <f>IF(IF(OR(IFERROR(SEARCH("Cleric",$T38,1),0)&gt;0,IFERROR(SEARCH(DivineDomain&amp;",",$T38,1),0)&gt;0),1,0)*IF($C38=DA$2,1,0)=1,1+COUNTIF(DA$3:DA37,"&gt;0"),0)</f>
        <v>0</v>
      </c>
      <c r="DB38">
        <f>IF(IF(OR(IFERROR(SEARCH("Cleric",$T38,1),0)&gt;0,IFERROR(SEARCH(DivineDomain&amp;",",$T38,1),0)&gt;0),1,0)*IF($C38=DB$2,1,0)=1,1+COUNTIF(DB$3:DB37,"&gt;0"),0)</f>
        <v>0</v>
      </c>
      <c r="DC38">
        <f>IF(IF(OR(IFERROR(SEARCH("Cleric",$T38,1),0)&gt;0,IFERROR(SEARCH(DivineDomain&amp;",",$T38,1),0)&gt;0),1,0)*IF($C38=DC$2,1,0)=1,1+COUNTIF(DC$3:DC37,"&gt;0"),0)</f>
        <v>0</v>
      </c>
      <c r="DD38">
        <f>IF(IF(OR(IFERROR(SEARCH("Cleric",$T38,1),0)&gt;0,IFERROR(SEARCH(DivineDomain&amp;",",$T38,1),0)&gt;0),1,0)*IF($C38=DD$2,1,0)=1,1+COUNTIF(DD$3:DD37,"&gt;0"),0)</f>
        <v>0</v>
      </c>
      <c r="DE38">
        <f>IF(IF(OR(IFERROR(SEARCH("Cleric",$T38,1),0)&gt;0,IFERROR(SEARCH(DivineDomain&amp;",",$T38,1),0)&gt;0),1,0)*IF($C38=DE$2,1,0)=1,1+COUNTIF(DE$3:DE37,"&gt;0"),0)</f>
        <v>0</v>
      </c>
      <c r="DF38">
        <f>IF(IF(OR(IFERROR(SEARCH("Cleric",$T38,1),0)&gt;0,IFERROR(SEARCH(DivineDomain&amp;",",$T38,1),0)&gt;0),1,0)*IF($C38=DF$2,1,0)=1,1+COUNTIF(DF$3:DF37,"&gt;0"),0)</f>
        <v>0</v>
      </c>
      <c r="DG38">
        <f>IF(IF(OR(IFERROR(SEARCH("Cleric",$T38,1),0)&gt;0,IFERROR(SEARCH(DivineDomain&amp;",",$T38,1),0)&gt;0),1,0)*IF($C38=DG$2,1,0)=1,1+COUNTIF(DG$3:DG37,"&gt;0"),0)</f>
        <v>0</v>
      </c>
      <c r="DH38">
        <f>IF(IF(OR(IFERROR(SEARCH("Cleric",$T38,1),0)&gt;0,IFERROR(SEARCH(DivineDomain&amp;",",$T38,1),0)&gt;0),1,0)*IF($C38=DH$2,1,0)=1,1+COUNTIF(DH$3:DH37,"&gt;0"),0)</f>
        <v>0</v>
      </c>
      <c r="DI38">
        <f>IF(IF(OR(IFERROR(SEARCH("Cleric",$T38,1),0)&gt;0,IFERROR(SEARCH(DivineDomain&amp;",",$T38,1),0)&gt;0),1,0)*IF($C38=DI$2,1,0)=1,1+COUNTIF(DI$3:DI37,"&gt;0"),0)</f>
        <v>0</v>
      </c>
      <c r="DJ38">
        <f>IF(IF(OR(IFERROR(SEARCH("Druid",$T38,1),0)&gt;0,IFERROR(SEARCH(DruidLand1,$T38,1),0)&gt;0,IFERROR(SEARCH(DruidLand2,$T38,1),0)&gt;0,IFERROR(SEARCH(DruidLand3,$T38,1),0)&gt;0,IFERROR(SEARCH(DruidLand4,$T38,1),0)&gt;0),1,0)*IF($C38=1,1,0)*IF($C38=DJ$2,1,0)=0,0,1+COUNTIF(DJ$3:DJ37,"&gt;0"))</f>
        <v>0</v>
      </c>
      <c r="DK38">
        <f>IF(IF(OR(IFERROR(SEARCH("Druid",$T38,1),0)&gt;0,IFERROR(SEARCH(DruidLand1,$T38,1),0)&gt;0,IFERROR(SEARCH(DruidLand2,$T38,1),0)&gt;0,IFERROR(SEARCH(DruidLand3,$T38,1),0)&gt;0,IFERROR(SEARCH(DruidLand4,$T38,1),0)&gt;0),1,0)*IF($C38=1,1,0)*IF($C38=DK$2,1,0)=0,0,1+COUNTIF(DK$3:DK37,"&gt;0"))</f>
        <v>0</v>
      </c>
      <c r="DL38">
        <f>IF(IF(OR(IFERROR(SEARCH("Druid",$T38,1),0)&gt;0,IFERROR(SEARCH(DruidLand1,$T38,1),0)&gt;0,IFERROR(SEARCH(DruidLand2,$T38,1),0)&gt;0,IFERROR(SEARCH(DruidLand3,$T38,1),0)&gt;0,IFERROR(SEARCH(DruidLand4,$T38,1),0)&gt;0),1,0)*IF($C38=1,1,0)*IF($C38=DL$2,1,0)=0,0,1+COUNTIF(DL$3:DL37,"&gt;0"))</f>
        <v>0</v>
      </c>
      <c r="DM38">
        <f>IF(IF(OR(IFERROR(SEARCH("Druid",$T38,1),0)&gt;0,IFERROR(SEARCH(DruidLand1,$T38,1),0)&gt;0,IFERROR(SEARCH(DruidLand2,$T38,1),0)&gt;0,IFERROR(SEARCH(DruidLand3,$T38,1),0)&gt;0,IFERROR(SEARCH(DruidLand4,$T38,1),0)&gt;0),1,0)*IF($C38=1,1,0)*IF($C38=DM$2,1,0)=0,0,1+COUNTIF(DM$3:DM37,"&gt;0"))</f>
        <v>0</v>
      </c>
      <c r="DN38">
        <f>IF(IF(OR(IFERROR(SEARCH("Druid",$T38,1),0)&gt;0,IFERROR(SEARCH(DruidLand1,$T38,1),0)&gt;0,IFERROR(SEARCH(DruidLand2,$T38,1),0)&gt;0,IFERROR(SEARCH(DruidLand3,$T38,1),0)&gt;0,IFERROR(SEARCH(DruidLand4,$T38,1),0)&gt;0),1,0)*IF($C38=1,1,0)*IF($C38=DN$2,1,0)=0,0,1+COUNTIF(DN$3:DN37,"&gt;0"))</f>
        <v>0</v>
      </c>
      <c r="DO38">
        <f>IF(IF(OR(IFERROR(SEARCH("Druid",$T38,1),0)&gt;0,IFERROR(SEARCH(DruidLand1,$T38,1),0)&gt;0,IFERROR(SEARCH(DruidLand2,$T38,1),0)&gt;0,IFERROR(SEARCH(DruidLand3,$T38,1),0)&gt;0,IFERROR(SEARCH(DruidLand4,$T38,1),0)&gt;0),1,0)*IF($C38=1,1,0)*IF($C38=DO$2,1,0)=0,0,1+COUNTIF(DO$3:DO37,"&gt;0"))</f>
        <v>0</v>
      </c>
      <c r="DP38">
        <f>IF(IF(OR(IFERROR(SEARCH("Druid",$T38,1),0)&gt;0,IFERROR(SEARCH(DruidLand1,$T38,1),0)&gt;0,IFERROR(SEARCH(DruidLand2,$T38,1),0)&gt;0,IFERROR(SEARCH(DruidLand3,$T38,1),0)&gt;0,IFERROR(SEARCH(DruidLand4,$T38,1),0)&gt;0),1,0)*IF($C38=1,1,0)*IF($C38=DP$2,1,0)=0,0,1+COUNTIF(DP$3:DP37,"&gt;0"))</f>
        <v>0</v>
      </c>
      <c r="DQ38">
        <f>IF(IF(OR(IFERROR(SEARCH("Druid",$T38,1),0)&gt;0,IFERROR(SEARCH(DruidLand1,$T38,1),0)&gt;0,IFERROR(SEARCH(DruidLand2,$T38,1),0)&gt;0,IFERROR(SEARCH(DruidLand3,$T38,1),0)&gt;0,IFERROR(SEARCH(DruidLand4,$T38,1),0)&gt;0),1,0)*IF($C38=1,1,0)*IF($C38=DQ$2,1,0)=0,0,1+COUNTIF(DQ$3:DQ37,"&gt;0"))</f>
        <v>0</v>
      </c>
      <c r="DR38">
        <f>IF(IF(OR(IFERROR(SEARCH("Druid",$T38,1),0)&gt;0,IFERROR(SEARCH(DruidLand1,$T38,1),0)&gt;0,IFERROR(SEARCH(DruidLand2,$T38,1),0)&gt;0,IFERROR(SEARCH(DruidLand3,$T38,1),0)&gt;0,IFERROR(SEARCH(DruidLand4,$T38,1),0)&gt;0),1,0)*IF($C38=1,1,0)*IF($C38=DR$2,1,0)=0,0,1+COUNTIF(DR$3:DR37,"&gt;0"))</f>
        <v>0</v>
      </c>
      <c r="DS38">
        <f>IF(IF(OR(IFERROR(SEARCH("Paladin",$T38,1),0)&gt;0,IFERROR(SEARCH(PaladinOath,$T38,1),0)&gt;0),1,0)*IF($C38=DS$2,1,0)=1,1+COUNTIF(DS$3:DS37,"&gt;0"),0)</f>
        <v>0</v>
      </c>
      <c r="DT38">
        <f>IF(IF(OR(IFERROR(SEARCH("Paladin",$T38,1),0)&gt;0,IFERROR(SEARCH(PaladinOath,$T38,1),0)&gt;0),1,0)*IF($C38=DT$2,1,0)=1,1+COUNTIF(DT$3:DT37,"&gt;0"),0)</f>
        <v>0</v>
      </c>
      <c r="DU38">
        <f>IF(IF(OR(IFERROR(SEARCH("Paladin",$T38,1),0)&gt;0,IFERROR(SEARCH(PaladinOath,$T38,1),0)&gt;0),1,0)*IF($C38=DU$2,1,0)=1,1+COUNTIF(DU$3:DU37,"&gt;0"),0)</f>
        <v>2</v>
      </c>
      <c r="DV38">
        <f>IF(IF(OR(IFERROR(SEARCH("Paladin",$T38,1),0)&gt;0,IFERROR(SEARCH(PaladinOath,$T38,1),0)&gt;0),1,0)*IF($C38=DV$2,1,0)=1,1+COUNTIF(DV$3:DV37,"&gt;0"),0)</f>
        <v>0</v>
      </c>
      <c r="DW38">
        <f>IF(IF(OR(IFERROR(SEARCH("Paladin",$T38,1),0)&gt;0,IFERROR(SEARCH(PaladinOath,$T38,1),0)&gt;0),1,0)*IF($C38=DW$2,1,0)=1,1+COUNTIF(DW$3:DW37,"&gt;0"),0)</f>
        <v>0</v>
      </c>
      <c r="DY38">
        <f t="shared" si="2"/>
        <v>1</v>
      </c>
      <c r="DZ38">
        <f>IF(DY38=0,0,1+MAX(DZ$3:$DZ37))</f>
        <v>36</v>
      </c>
      <c r="EB38">
        <f t="shared" si="16"/>
        <v>0</v>
      </c>
      <c r="EC38">
        <f>IF(EB38=0,0,1+COUNTIF(EC$3:EC37,"&gt;0"))</f>
        <v>0</v>
      </c>
      <c r="ED38" t="str">
        <f t="shared" si="44"/>
        <v/>
      </c>
      <c r="EE38" t="str">
        <f t="shared" si="17"/>
        <v/>
      </c>
      <c r="EG38">
        <f t="shared" si="18"/>
        <v>0</v>
      </c>
      <c r="EH38">
        <f>IF(EG38=0,0,1+COUNTIF(EH$3:EH37,"&gt;0"))</f>
        <v>0</v>
      </c>
      <c r="EI38" t="str">
        <f t="shared" si="45"/>
        <v/>
      </c>
      <c r="EJ38" t="str">
        <f t="shared" si="19"/>
        <v/>
      </c>
      <c r="EL38">
        <f t="shared" si="20"/>
        <v>0</v>
      </c>
      <c r="EM38">
        <f>IF(EL38=0,0,1+COUNTIF(EM$3:EM37,"&gt;0"))</f>
        <v>0</v>
      </c>
      <c r="EN38" t="str">
        <f t="shared" si="46"/>
        <v/>
      </c>
      <c r="EO38" t="str">
        <f t="shared" si="21"/>
        <v/>
      </c>
      <c r="EQ38">
        <f t="shared" si="22"/>
        <v>0</v>
      </c>
      <c r="ER38">
        <f>IF(EQ38=0,0,1+COUNTIF(ER$3:ER37,"&gt;0"))</f>
        <v>0</v>
      </c>
      <c r="ES38" t="str">
        <f t="shared" si="47"/>
        <v/>
      </c>
      <c r="ET38" t="str">
        <f t="shared" si="23"/>
        <v/>
      </c>
      <c r="EV38">
        <f t="shared" si="24"/>
        <v>0</v>
      </c>
      <c r="EW38">
        <f>IF(EV38=0,0,1+COUNTIF(EW$3:EW37,"&gt;0"))</f>
        <v>0</v>
      </c>
      <c r="EX38" t="str">
        <f t="shared" si="48"/>
        <v/>
      </c>
      <c r="EY38" t="str">
        <f t="shared" si="25"/>
        <v/>
      </c>
      <c r="FA38">
        <f t="shared" si="26"/>
        <v>0</v>
      </c>
      <c r="FB38">
        <f>IF(FA38=0,0,1+COUNTIF(FB$3:FB37,"&gt;0"))</f>
        <v>0</v>
      </c>
      <c r="FC38" t="str">
        <f t="shared" si="49"/>
        <v/>
      </c>
      <c r="FD38" t="str">
        <f t="shared" si="27"/>
        <v/>
      </c>
      <c r="FF38">
        <f t="shared" si="28"/>
        <v>0</v>
      </c>
      <c r="FG38">
        <f>IF(FF38=0,0,1+COUNTIF(FG$3:FG37,"&gt;0"))</f>
        <v>0</v>
      </c>
      <c r="FH38" t="str">
        <f t="shared" si="50"/>
        <v/>
      </c>
      <c r="FI38" t="str">
        <f t="shared" si="29"/>
        <v/>
      </c>
      <c r="FK38">
        <f t="shared" si="30"/>
        <v>0</v>
      </c>
      <c r="FL38">
        <f>IF(FK38=0,0,1+COUNTIF(FL$3:FL37,"&gt;0"))</f>
        <v>0</v>
      </c>
      <c r="FM38" t="str">
        <f t="shared" si="51"/>
        <v/>
      </c>
      <c r="FN38" t="str">
        <f t="shared" si="31"/>
        <v/>
      </c>
      <c r="FP38">
        <f t="shared" si="32"/>
        <v>0</v>
      </c>
      <c r="FQ38">
        <f>IF(FP38=0,0,1+COUNTIF(FQ$3:FQ37,"&gt;0"))</f>
        <v>0</v>
      </c>
      <c r="FR38" t="str">
        <f t="shared" si="52"/>
        <v/>
      </c>
      <c r="FS38" t="str">
        <f t="shared" si="33"/>
        <v/>
      </c>
    </row>
    <row r="39" spans="1:175" x14ac:dyDescent="0.25">
      <c r="A39" s="347">
        <f t="shared" si="53"/>
        <v>37</v>
      </c>
      <c r="B39" s="348" t="s">
        <v>2397</v>
      </c>
      <c r="C39" s="348">
        <v>2</v>
      </c>
      <c r="D39" s="347">
        <v>2</v>
      </c>
      <c r="E39" s="627" t="s">
        <v>6952</v>
      </c>
      <c r="F39" s="346"/>
      <c r="G39" s="347" t="str">
        <f>""</f>
        <v/>
      </c>
      <c r="H39" s="347" t="s">
        <v>5912</v>
      </c>
      <c r="I39" s="347" t="s">
        <v>5060</v>
      </c>
      <c r="J39" s="347" t="str">
        <f t="shared" si="3"/>
        <v/>
      </c>
      <c r="K39" s="347" t="s">
        <v>5288</v>
      </c>
      <c r="L39" s="611" t="str">
        <f t="shared" si="4"/>
        <v>V</v>
      </c>
      <c r="M39" s="347" t="s">
        <v>2373</v>
      </c>
      <c r="N39" s="347" t="s">
        <v>3034</v>
      </c>
      <c r="O39" s="347" t="s">
        <v>3034</v>
      </c>
      <c r="P39" s="346" t="str">
        <f>""</f>
        <v/>
      </c>
      <c r="Q39" s="347" t="s">
        <v>5275</v>
      </c>
      <c r="S39" s="346" t="s">
        <v>5609</v>
      </c>
      <c r="T39" s="346" t="str">
        <f t="shared" si="5"/>
        <v xml:space="preserve">Bard, Sorcerer, Cleric, Wizard, Archfiend, Death, </v>
      </c>
      <c r="U39" s="347" t="str">
        <f>$B39</f>
        <v>Blindness/Deafness</v>
      </c>
      <c r="X39" s="347" t="str">
        <f>$B39</f>
        <v>Blindness/Deafness</v>
      </c>
      <c r="Z39" s="347" t="str">
        <f>$B39</f>
        <v>Blindness/Deafness</v>
      </c>
      <c r="AD39" s="347" t="str">
        <f>$B39</f>
        <v>Blindness/Deafness</v>
      </c>
      <c r="AE39" t="str">
        <f>IF(IFERROR(MATCH($B39,temp!A$4:A$13,0),0)&gt;0,T08_Spells!AE$2,"")</f>
        <v/>
      </c>
      <c r="AF39" t="str">
        <f>IF(IFERROR(MATCH($B39,temp!B$4:B$13,0),0)&gt;0,T08_Spells!AF$2,"")</f>
        <v/>
      </c>
      <c r="AG39" t="str">
        <f>IF(IFERROR(MATCH($B39,temp!C$4:C$13,0),0)&gt;0,T08_Spells!AG$2,"")</f>
        <v/>
      </c>
      <c r="AH39" t="str">
        <f>IF(IFERROR(MATCH($B39,temp!D$4:D$13,0),0)&gt;0,T08_Spells!AH$2,"")</f>
        <v/>
      </c>
      <c r="AI39" t="str">
        <f>IF(IFERROR(MATCH($B39,temp!E$4:E$13,0),0)&gt;0,T08_Spells!AI$2,"")</f>
        <v/>
      </c>
      <c r="AJ39" t="str">
        <f>IF(IFERROR(MATCH($B39,temp!F$4:F$13,0),0)&gt;0,T08_Spells!AJ$2,"")</f>
        <v>Archfiend</v>
      </c>
      <c r="AK39" t="str">
        <f>IF(IFERROR(MATCH($B39,temp!G$4:G$13,0),0)&gt;0,T08_Spells!AK$2,"")</f>
        <v/>
      </c>
      <c r="AL39" t="str">
        <f>IF(IFERROR(MATCH($B39,temp!H$4:H$13,0),0)&gt;0,T08_Spells!AL$2,"")</f>
        <v/>
      </c>
      <c r="AM39" t="str">
        <f>IF(IFERROR(MATCH($B39,temp!I$4:I$13,0),0)&gt;0,T08_Spells!AM$2,"")</f>
        <v/>
      </c>
      <c r="AN39" t="str">
        <f>IF(IFERROR(MATCH($B39,temp!J$4:J$13,0),0)&gt;0,T08_Spells!AN$2,"")</f>
        <v/>
      </c>
      <c r="AO39" t="str">
        <f>IF(IFERROR(MATCH($B39,temp!K$4:K$13,0),0)&gt;0,T08_Spells!AO$2,"")</f>
        <v/>
      </c>
      <c r="AP39" t="str">
        <f>IF(IFERROR(MATCH($B39,temp!L$4:L$13,0),0)&gt;0,T08_Spells!AP$2,"")</f>
        <v/>
      </c>
      <c r="AQ39" t="str">
        <f>IF(IFERROR(MATCH($B39,temp!M$4:M$13,0),0)&gt;0,T08_Spells!AQ$2,"")</f>
        <v/>
      </c>
      <c r="AR39" t="str">
        <f>IF(IFERROR(MATCH($B39,temp!N$4:N$13,0),0)&gt;0,T08_Spells!AR$2,"")</f>
        <v/>
      </c>
      <c r="AS39" t="str">
        <f>IF(IFERROR(MATCH($B39,temp!O$4:O$13,0),0)&gt;0,T08_Spells!AS$2,"")</f>
        <v/>
      </c>
      <c r="AT39" t="str">
        <f>IF(IFERROR(MATCH($B39,temp!P$4:P$13,0),0)&gt;0,T08_Spells!AT$2,"")</f>
        <v/>
      </c>
      <c r="AU39" t="str">
        <f>IF(IFERROR(MATCH($B39,temp!Q$4:Q$13,0),0)&gt;0,T08_Spells!AU$2,"")</f>
        <v/>
      </c>
      <c r="AV39" t="str">
        <f>IF(IFERROR(MATCH($B39,temp!R$4:R$13,0),0)&gt;0,T08_Spells!AV$2,"")</f>
        <v/>
      </c>
      <c r="AW39" t="str">
        <f>IF(IFERROR(MATCH($B39,temp!S$4:S$13,0),0)&gt;0,T08_Spells!AW$2,"")</f>
        <v/>
      </c>
      <c r="AX39" t="str">
        <f>IF(IFERROR(MATCH($B39,temp!T$4:T$13,0),0)&gt;0,T08_Spells!AX$2,"")</f>
        <v/>
      </c>
      <c r="AY39" t="str">
        <f>IF(IFERROR(MATCH($B39,temp!U$4:U$13,0),0)&gt;0,T08_Spells!AY$2,"")</f>
        <v/>
      </c>
      <c r="AZ39" t="str">
        <f>IF(IFERROR(MATCH($B39,temp!V$4:V$13,0),0)&gt;0,T08_Spells!AZ$2,"")</f>
        <v/>
      </c>
      <c r="BA39" t="str">
        <f>IF(IFERROR(MATCH($B39,temp!W$4:W$13,0),0)&gt;0,T08_Spells!BA$2,"")</f>
        <v>Death</v>
      </c>
      <c r="BC39">
        <f>IF(IFERROR(SEARCH("Ranger",$T39,1),0)&gt;0,1,0)*IF(RangerMaxSpellLevel&gt;=$C39,1,0)*IF(IFERROR(MATCH(B39,Character_Creation!$X$79:$X$382,0),0)&gt;0,0,1)</f>
        <v>0</v>
      </c>
      <c r="BD39">
        <f>IF(BC39=0,0,1+COUNTIF(BD$3:BD38,"&gt;0"))</f>
        <v>0</v>
      </c>
      <c r="BE39" t="str">
        <f t="shared" si="34"/>
        <v/>
      </c>
      <c r="BF39" t="str">
        <f t="shared" si="6"/>
        <v/>
      </c>
      <c r="BH39">
        <f>IF(IFERROR(SEARCH("Sorcerer",$T39,1),0)&gt;0,1,0)*IF(SorcererMaxSpellLevel&gt;=$C39,1,0)*IF(IFERROR(MATCH(B39,Character_Creation!$J$380:$J$394,0),0)&gt;0,0,1)</f>
        <v>0</v>
      </c>
      <c r="BI39">
        <f>IF(BH39=0,0,1+COUNTIF(BI$3:BI38,"&gt;0"))</f>
        <v>0</v>
      </c>
      <c r="BJ39" t="str">
        <f t="shared" si="35"/>
        <v/>
      </c>
      <c r="BK39" t="str">
        <f t="shared" si="7"/>
        <v/>
      </c>
      <c r="BM39">
        <f>IF(OR(IFERROR(SEARCH("Warlock",$T39,1),0)&gt;0,IFERROR(SEARCH(WarlockPatron,$T39,1),0)&gt;0),1,0)*IF(WarlockMaxSpellLevel&gt;=$C39,1,0)*IF(IFERROR(MATCH(B39,Character_Creation!$J$361:$J$375,0),0)&gt;0,0,1)</f>
        <v>0</v>
      </c>
      <c r="BN39">
        <f>IF(BM39=0,0,1+COUNTIF(BN$3:BN38,"&gt;0"))</f>
        <v>0</v>
      </c>
      <c r="BO39" t="str">
        <f t="shared" si="36"/>
        <v/>
      </c>
      <c r="BP39" t="str">
        <f t="shared" si="8"/>
        <v/>
      </c>
      <c r="BR39">
        <f>IF(IFERROR(SEARCH("Eldritch Knight",$T39,1),0)&gt;0,1,0)*IF(EldritchKnightMaxSpellLevel&gt;=$C39,1,0)*IF(IFERROR(MATCH($B39,Character_Creation!$J$350:$J$356,0),0)&gt;0,0,1)*IF(Character_Creation!$M$338&gt;0,1,0)</f>
        <v>0</v>
      </c>
      <c r="BS39">
        <f>IF(BR39=0,0,1+COUNTIF(BS$3:BS38,"&gt;0"))</f>
        <v>0</v>
      </c>
      <c r="BT39" t="str">
        <f t="shared" si="37"/>
        <v/>
      </c>
      <c r="BU39" t="str">
        <f t="shared" si="9"/>
        <v/>
      </c>
      <c r="BW39">
        <f>IF(IFERROR(SEARCH("Arcane Trickster",$T39,1),0)&gt;0,1,0)*IF(ArcaneTricksterMaxSpellLevel&gt;=$C39,1,0)*IF(IFERROR(MATCH($B39,Character_Creation!$J$350:$J$356,0),0)&gt;0,0,1)*IF(Character_Creation!$T$338&gt;0,1,0)</f>
        <v>0</v>
      </c>
      <c r="BX39">
        <f>IF(BW39=0,0,1+COUNTIF(BX$3:BX38,"&gt;0"))</f>
        <v>0</v>
      </c>
      <c r="BY39" t="str">
        <f t="shared" si="38"/>
        <v/>
      </c>
      <c r="BZ39" t="str">
        <f t="shared" si="10"/>
        <v/>
      </c>
      <c r="CB39">
        <f>IF(IFERROR(SEARCH("Wizard",$T39,1),0)&gt;0,1,0)*IF(C39&lt;=ArcaneTricksterMaxSpellLevel,1,0)*IF(IFERROR(MATCH($B39,Character_Creation!$J$350:$J$356,0),0)&gt;0,0,1)*IF(Character_Creation!$T$350&gt;0,1,0)</f>
        <v>0</v>
      </c>
      <c r="CC39">
        <f>IF(CB39=0,0,1+COUNTIF(CC$3:CC38,"&gt;0"))</f>
        <v>0</v>
      </c>
      <c r="CD39" t="str">
        <f t="shared" si="39"/>
        <v/>
      </c>
      <c r="CE39" t="str">
        <f t="shared" si="11"/>
        <v/>
      </c>
      <c r="CG39">
        <f>IF(IFERROR(SEARCH("Wizard",$T39,1),0)&gt;0,1,0)*IF($C39&lt;=EldritchKnightMaxSpellLevel,1,0)*IF(IFERROR(MATCH($B39,Character_Creation!$J$350:$J$356,0),0)&gt;0,0,1)*IF(Character_Creation!$M$350&gt;0,1,0)</f>
        <v>1</v>
      </c>
      <c r="CH39">
        <f>IF(CG39=0,0,1+COUNTIF(CH$3:CH38,"&gt;0"))</f>
        <v>4</v>
      </c>
      <c r="CI39">
        <f t="shared" si="40"/>
        <v>37</v>
      </c>
      <c r="CJ39" t="str">
        <f t="shared" si="12"/>
        <v>Longstrider</v>
      </c>
      <c r="CL39">
        <f>IF(IFERROR(SEARCH("Bard",$T39,1),0)&gt;0,1,0)*IF(BardMaxSpellLevel&gt;=$C39,1,0)*IF(IFERROR(MATCH(B39,Character_Creation!$C$341:$F$362,0),0)&gt;0,0,1)*IF(IFERROR(MATCH($B39,Character_Creation!$C$341:$C$362,0),0)&gt;0,0,1)</f>
        <v>0</v>
      </c>
      <c r="CM39">
        <f>IF(CL39=0,0,1+COUNTIF(CM$3:CM38,"&gt;0"))</f>
        <v>0</v>
      </c>
      <c r="CN39" t="str">
        <f t="shared" si="41"/>
        <v/>
      </c>
      <c r="CO39" t="str">
        <f t="shared" si="13"/>
        <v/>
      </c>
      <c r="CQ39">
        <f>IF(IFERROR(SEARCH("Wizard",$T39,1),0)&gt;0,1,0)*IF(WizardMaxSpellLevel&gt;=$C39,1,0)*IF(IFERROR(MATCH(B39,Character_Creation!$X$341:$X$400,0),0)&gt;0,0,1)*IF(SelectedWizardSpellLevel=$C39,1,0)</f>
        <v>0</v>
      </c>
      <c r="CR39">
        <f>IF(CQ39=0,0,1+COUNTIF(CR$3:CR38,"&gt;0"))</f>
        <v>0</v>
      </c>
      <c r="CS39" t="str">
        <f t="shared" si="42"/>
        <v/>
      </c>
      <c r="CT39" t="str">
        <f t="shared" si="14"/>
        <v/>
      </c>
      <c r="CV39">
        <f>IF(IFERROR(MATCH($B39,Character_Creation!$C$341:$C$362,0),0)&gt;0,0,1)*IF(OR(C39="Cantrip",C39&lt;=BardMaxSpellLevel),1,0)*IF(IFERROR(MATCH($B39,Character_Creation!$C$367:$C$374,0),0)&gt;0,0,1)</f>
        <v>0</v>
      </c>
      <c r="CW39">
        <f>IF(CV39=0,0,1+COUNTIF(CW$3:CW38,"&gt;0"))</f>
        <v>0</v>
      </c>
      <c r="CX39" t="str">
        <f t="shared" si="43"/>
        <v/>
      </c>
      <c r="CY39" t="str">
        <f t="shared" si="15"/>
        <v/>
      </c>
      <c r="DA39">
        <f>IF(IF(OR(IFERROR(SEARCH("Cleric",$T39,1),0)&gt;0,IFERROR(SEARCH(DivineDomain&amp;",",$T39,1),0)&gt;0),1,0)*IF($C39=DA$2,1,0)=1,1+COUNTIF(DA$3:DA38,"&gt;0"),0)</f>
        <v>0</v>
      </c>
      <c r="DB39">
        <f>IF(IF(OR(IFERROR(SEARCH("Cleric",$T39,1),0)&gt;0,IFERROR(SEARCH(DivineDomain&amp;",",$T39,1),0)&gt;0),1,0)*IF($C39=DB$2,1,0)=1,1+COUNTIF(DB$3:DB38,"&gt;0"),0)</f>
        <v>3</v>
      </c>
      <c r="DC39">
        <f>IF(IF(OR(IFERROR(SEARCH("Cleric",$T39,1),0)&gt;0,IFERROR(SEARCH(DivineDomain&amp;",",$T39,1),0)&gt;0),1,0)*IF($C39=DC$2,1,0)=1,1+COUNTIF(DC$3:DC38,"&gt;0"),0)</f>
        <v>0</v>
      </c>
      <c r="DD39">
        <f>IF(IF(OR(IFERROR(SEARCH("Cleric",$T39,1),0)&gt;0,IFERROR(SEARCH(DivineDomain&amp;",",$T39,1),0)&gt;0),1,0)*IF($C39=DD$2,1,0)=1,1+COUNTIF(DD$3:DD38,"&gt;0"),0)</f>
        <v>0</v>
      </c>
      <c r="DE39">
        <f>IF(IF(OR(IFERROR(SEARCH("Cleric",$T39,1),0)&gt;0,IFERROR(SEARCH(DivineDomain&amp;",",$T39,1),0)&gt;0),1,0)*IF($C39=DE$2,1,0)=1,1+COUNTIF(DE$3:DE38,"&gt;0"),0)</f>
        <v>0</v>
      </c>
      <c r="DF39">
        <f>IF(IF(OR(IFERROR(SEARCH("Cleric",$T39,1),0)&gt;0,IFERROR(SEARCH(DivineDomain&amp;",",$T39,1),0)&gt;0),1,0)*IF($C39=DF$2,1,0)=1,1+COUNTIF(DF$3:DF38,"&gt;0"),0)</f>
        <v>0</v>
      </c>
      <c r="DG39">
        <f>IF(IF(OR(IFERROR(SEARCH("Cleric",$T39,1),0)&gt;0,IFERROR(SEARCH(DivineDomain&amp;",",$T39,1),0)&gt;0),1,0)*IF($C39=DG$2,1,0)=1,1+COUNTIF(DG$3:DG38,"&gt;0"),0)</f>
        <v>0</v>
      </c>
      <c r="DH39">
        <f>IF(IF(OR(IFERROR(SEARCH("Cleric",$T39,1),0)&gt;0,IFERROR(SEARCH(DivineDomain&amp;",",$T39,1),0)&gt;0),1,0)*IF($C39=DH$2,1,0)=1,1+COUNTIF(DH$3:DH38,"&gt;0"),0)</f>
        <v>0</v>
      </c>
      <c r="DI39">
        <f>IF(IF(OR(IFERROR(SEARCH("Cleric",$T39,1),0)&gt;0,IFERROR(SEARCH(DivineDomain&amp;",",$T39,1),0)&gt;0),1,0)*IF($C39=DI$2,1,0)=1,1+COUNTIF(DI$3:DI38,"&gt;0"),0)</f>
        <v>0</v>
      </c>
      <c r="DJ39">
        <f>IF(IF(OR(IFERROR(SEARCH("Druid",$T39,1),0)&gt;0,IFERROR(SEARCH(DruidLand1,$T39,1),0)&gt;0,IFERROR(SEARCH(DruidLand2,$T39,1),0)&gt;0,IFERROR(SEARCH(DruidLand3,$T39,1),0)&gt;0,IFERROR(SEARCH(DruidLand4,$T39,1),0)&gt;0),1,0)*IF($C39=1,1,0)*IF($C39=DJ$2,1,0)=0,0,1+COUNTIF(DJ$3:DJ38,"&gt;0"))</f>
        <v>0</v>
      </c>
      <c r="DK39">
        <f>IF(IF(OR(IFERROR(SEARCH("Druid",$T39,1),0)&gt;0,IFERROR(SEARCH(DruidLand1,$T39,1),0)&gt;0,IFERROR(SEARCH(DruidLand2,$T39,1),0)&gt;0,IFERROR(SEARCH(DruidLand3,$T39,1),0)&gt;0,IFERROR(SEARCH(DruidLand4,$T39,1),0)&gt;0),1,0)*IF($C39=1,1,0)*IF($C39=DK$2,1,0)=0,0,1+COUNTIF(DK$3:DK38,"&gt;0"))</f>
        <v>0</v>
      </c>
      <c r="DL39">
        <f>IF(IF(OR(IFERROR(SEARCH("Druid",$T39,1),0)&gt;0,IFERROR(SEARCH(DruidLand1,$T39,1),0)&gt;0,IFERROR(SEARCH(DruidLand2,$T39,1),0)&gt;0,IFERROR(SEARCH(DruidLand3,$T39,1),0)&gt;0,IFERROR(SEARCH(DruidLand4,$T39,1),0)&gt;0),1,0)*IF($C39=1,1,0)*IF($C39=DL$2,1,0)=0,0,1+COUNTIF(DL$3:DL38,"&gt;0"))</f>
        <v>0</v>
      </c>
      <c r="DM39">
        <f>IF(IF(OR(IFERROR(SEARCH("Druid",$T39,1),0)&gt;0,IFERROR(SEARCH(DruidLand1,$T39,1),0)&gt;0,IFERROR(SEARCH(DruidLand2,$T39,1),0)&gt;0,IFERROR(SEARCH(DruidLand3,$T39,1),0)&gt;0,IFERROR(SEARCH(DruidLand4,$T39,1),0)&gt;0),1,0)*IF($C39=1,1,0)*IF($C39=DM$2,1,0)=0,0,1+COUNTIF(DM$3:DM38,"&gt;0"))</f>
        <v>0</v>
      </c>
      <c r="DN39">
        <f>IF(IF(OR(IFERROR(SEARCH("Druid",$T39,1),0)&gt;0,IFERROR(SEARCH(DruidLand1,$T39,1),0)&gt;0,IFERROR(SEARCH(DruidLand2,$T39,1),0)&gt;0,IFERROR(SEARCH(DruidLand3,$T39,1),0)&gt;0,IFERROR(SEARCH(DruidLand4,$T39,1),0)&gt;0),1,0)*IF($C39=1,1,0)*IF($C39=DN$2,1,0)=0,0,1+COUNTIF(DN$3:DN38,"&gt;0"))</f>
        <v>0</v>
      </c>
      <c r="DO39">
        <f>IF(IF(OR(IFERROR(SEARCH("Druid",$T39,1),0)&gt;0,IFERROR(SEARCH(DruidLand1,$T39,1),0)&gt;0,IFERROR(SEARCH(DruidLand2,$T39,1),0)&gt;0,IFERROR(SEARCH(DruidLand3,$T39,1),0)&gt;0,IFERROR(SEARCH(DruidLand4,$T39,1),0)&gt;0),1,0)*IF($C39=1,1,0)*IF($C39=DO$2,1,0)=0,0,1+COUNTIF(DO$3:DO38,"&gt;0"))</f>
        <v>0</v>
      </c>
      <c r="DP39">
        <f>IF(IF(OR(IFERROR(SEARCH("Druid",$T39,1),0)&gt;0,IFERROR(SEARCH(DruidLand1,$T39,1),0)&gt;0,IFERROR(SEARCH(DruidLand2,$T39,1),0)&gt;0,IFERROR(SEARCH(DruidLand3,$T39,1),0)&gt;0,IFERROR(SEARCH(DruidLand4,$T39,1),0)&gt;0),1,0)*IF($C39=1,1,0)*IF($C39=DP$2,1,0)=0,0,1+COUNTIF(DP$3:DP38,"&gt;0"))</f>
        <v>0</v>
      </c>
      <c r="DQ39">
        <f>IF(IF(OR(IFERROR(SEARCH("Druid",$T39,1),0)&gt;0,IFERROR(SEARCH(DruidLand1,$T39,1),0)&gt;0,IFERROR(SEARCH(DruidLand2,$T39,1),0)&gt;0,IFERROR(SEARCH(DruidLand3,$T39,1),0)&gt;0,IFERROR(SEARCH(DruidLand4,$T39,1),0)&gt;0),1,0)*IF($C39=1,1,0)*IF($C39=DQ$2,1,0)=0,0,1+COUNTIF(DQ$3:DQ38,"&gt;0"))</f>
        <v>0</v>
      </c>
      <c r="DR39">
        <f>IF(IF(OR(IFERROR(SEARCH("Druid",$T39,1),0)&gt;0,IFERROR(SEARCH(DruidLand1,$T39,1),0)&gt;0,IFERROR(SEARCH(DruidLand2,$T39,1),0)&gt;0,IFERROR(SEARCH(DruidLand3,$T39,1),0)&gt;0,IFERROR(SEARCH(DruidLand4,$T39,1),0)&gt;0),1,0)*IF($C39=1,1,0)*IF($C39=DR$2,1,0)=0,0,1+COUNTIF(DR$3:DR38,"&gt;0"))</f>
        <v>0</v>
      </c>
      <c r="DS39">
        <f>IF(IF(OR(IFERROR(SEARCH("Paladin",$T39,1),0)&gt;0,IFERROR(SEARCH(PaladinOath,$T39,1),0)&gt;0),1,0)*IF($C39=DS$2,1,0)=1,1+COUNTIF(DS$3:DS38,"&gt;0"),0)</f>
        <v>0</v>
      </c>
      <c r="DT39">
        <f>IF(IF(OR(IFERROR(SEARCH("Paladin",$T39,1),0)&gt;0,IFERROR(SEARCH(PaladinOath,$T39,1),0)&gt;0),1,0)*IF($C39=DT$2,1,0)=1,1+COUNTIF(DT$3:DT38,"&gt;0"),0)</f>
        <v>0</v>
      </c>
      <c r="DU39">
        <f>IF(IF(OR(IFERROR(SEARCH("Paladin",$T39,1),0)&gt;0,IFERROR(SEARCH(PaladinOath,$T39,1),0)&gt;0),1,0)*IF($C39=DU$2,1,0)=1,1+COUNTIF(DU$3:DU38,"&gt;0"),0)</f>
        <v>0</v>
      </c>
      <c r="DV39">
        <f>IF(IF(OR(IFERROR(SEARCH("Paladin",$T39,1),0)&gt;0,IFERROR(SEARCH(PaladinOath,$T39,1),0)&gt;0),1,0)*IF($C39=DV$2,1,0)=1,1+COUNTIF(DV$3:DV38,"&gt;0"),0)</f>
        <v>0</v>
      </c>
      <c r="DW39">
        <f>IF(IF(OR(IFERROR(SEARCH("Paladin",$T39,1),0)&gt;0,IFERROR(SEARCH(PaladinOath,$T39,1),0)&gt;0),1,0)*IF($C39=DW$2,1,0)=1,1+COUNTIF(DW$3:DW38,"&gt;0"),0)</f>
        <v>0</v>
      </c>
      <c r="DY39">
        <f t="shared" si="2"/>
        <v>1</v>
      </c>
      <c r="DZ39">
        <f>IF(DY39=0,0,1+MAX(DZ$3:$DZ38))</f>
        <v>37</v>
      </c>
      <c r="EB39">
        <f t="shared" si="16"/>
        <v>0</v>
      </c>
      <c r="EC39">
        <f>IF(EB39=0,0,1+COUNTIF(EC$3:EC38,"&gt;0"))</f>
        <v>0</v>
      </c>
      <c r="ED39" t="str">
        <f t="shared" si="44"/>
        <v/>
      </c>
      <c r="EE39" t="str">
        <f t="shared" si="17"/>
        <v/>
      </c>
      <c r="EG39">
        <f t="shared" si="18"/>
        <v>0</v>
      </c>
      <c r="EH39">
        <f>IF(EG39=0,0,1+COUNTIF(EH$3:EH38,"&gt;0"))</f>
        <v>0</v>
      </c>
      <c r="EI39" t="str">
        <f t="shared" si="45"/>
        <v/>
      </c>
      <c r="EJ39" t="str">
        <f t="shared" si="19"/>
        <v/>
      </c>
      <c r="EL39">
        <f t="shared" si="20"/>
        <v>0</v>
      </c>
      <c r="EM39">
        <f>IF(EL39=0,0,1+COUNTIF(EM$3:EM38,"&gt;0"))</f>
        <v>0</v>
      </c>
      <c r="EN39" t="str">
        <f t="shared" si="46"/>
        <v/>
      </c>
      <c r="EO39" t="str">
        <f t="shared" si="21"/>
        <v/>
      </c>
      <c r="EQ39">
        <f t="shared" si="22"/>
        <v>0</v>
      </c>
      <c r="ER39">
        <f>IF(EQ39=0,0,1+COUNTIF(ER$3:ER38,"&gt;0"))</f>
        <v>0</v>
      </c>
      <c r="ES39" t="str">
        <f t="shared" si="47"/>
        <v/>
      </c>
      <c r="ET39" t="str">
        <f t="shared" si="23"/>
        <v/>
      </c>
      <c r="EV39">
        <f t="shared" si="24"/>
        <v>0</v>
      </c>
      <c r="EW39">
        <f>IF(EV39=0,0,1+COUNTIF(EW$3:EW38,"&gt;0"))</f>
        <v>0</v>
      </c>
      <c r="EX39" t="str">
        <f t="shared" si="48"/>
        <v/>
      </c>
      <c r="EY39" t="str">
        <f t="shared" si="25"/>
        <v/>
      </c>
      <c r="FA39">
        <f t="shared" si="26"/>
        <v>0</v>
      </c>
      <c r="FB39">
        <f>IF(FA39=0,0,1+COUNTIF(FB$3:FB38,"&gt;0"))</f>
        <v>0</v>
      </c>
      <c r="FC39" t="str">
        <f t="shared" si="49"/>
        <v/>
      </c>
      <c r="FD39" t="str">
        <f t="shared" si="27"/>
        <v/>
      </c>
      <c r="FF39">
        <f t="shared" si="28"/>
        <v>0</v>
      </c>
      <c r="FG39">
        <f>IF(FF39=0,0,1+COUNTIF(FG$3:FG38,"&gt;0"))</f>
        <v>0</v>
      </c>
      <c r="FH39" t="str">
        <f t="shared" si="50"/>
        <v/>
      </c>
      <c r="FI39" t="str">
        <f t="shared" si="29"/>
        <v/>
      </c>
      <c r="FK39">
        <f t="shared" si="30"/>
        <v>0</v>
      </c>
      <c r="FL39">
        <f>IF(FK39=0,0,1+COUNTIF(FL$3:FL38,"&gt;0"))</f>
        <v>0</v>
      </c>
      <c r="FM39" t="str">
        <f t="shared" si="51"/>
        <v/>
      </c>
      <c r="FN39" t="str">
        <f t="shared" si="31"/>
        <v/>
      </c>
      <c r="FP39">
        <f t="shared" si="32"/>
        <v>0</v>
      </c>
      <c r="FQ39">
        <f>IF(FP39=0,0,1+COUNTIF(FQ$3:FQ38,"&gt;0"))</f>
        <v>0</v>
      </c>
      <c r="FR39" t="str">
        <f t="shared" si="52"/>
        <v/>
      </c>
      <c r="FS39" t="str">
        <f t="shared" si="33"/>
        <v/>
      </c>
    </row>
    <row r="40" spans="1:175" x14ac:dyDescent="0.25">
      <c r="A40" s="347">
        <f t="shared" si="53"/>
        <v>38</v>
      </c>
      <c r="B40" s="348" t="s">
        <v>2398</v>
      </c>
      <c r="C40" s="348">
        <v>3</v>
      </c>
      <c r="D40" s="347">
        <v>3</v>
      </c>
      <c r="E40" s="627" t="s">
        <v>6952</v>
      </c>
      <c r="F40" s="346"/>
      <c r="G40" s="347" t="str">
        <f>""</f>
        <v/>
      </c>
      <c r="H40" s="347" t="s">
        <v>5912</v>
      </c>
      <c r="I40" s="347" t="s">
        <v>5283</v>
      </c>
      <c r="J40" s="347" t="str">
        <f t="shared" si="3"/>
        <v/>
      </c>
      <c r="K40" s="347" t="s">
        <v>5288</v>
      </c>
      <c r="L40" s="611" t="str">
        <f t="shared" si="4"/>
        <v>V, S</v>
      </c>
      <c r="M40" s="347" t="s">
        <v>2373</v>
      </c>
      <c r="N40" s="347" t="s">
        <v>2387</v>
      </c>
      <c r="O40" s="347" t="s">
        <v>3034</v>
      </c>
      <c r="P40" s="346" t="str">
        <f>""</f>
        <v/>
      </c>
      <c r="Q40" s="347" t="s">
        <v>5276</v>
      </c>
      <c r="S40" s="346" t="s">
        <v>5610</v>
      </c>
      <c r="T40" s="346" t="str">
        <f t="shared" si="5"/>
        <v xml:space="preserve">Sorcerer, Wizard, Archfey, Trickery, </v>
      </c>
      <c r="X40" s="347" t="str">
        <f>$B40</f>
        <v>Blink</v>
      </c>
      <c r="AD40" s="347" t="str">
        <f>$B40</f>
        <v>Blink</v>
      </c>
      <c r="AE40" t="str">
        <f>IF(IFERROR(MATCH($B40,temp!A$4:A$13,0),0)&gt;0,T08_Spells!AE$2,"")</f>
        <v/>
      </c>
      <c r="AF40" t="str">
        <f>IF(IFERROR(MATCH($B40,temp!B$4:B$13,0),0)&gt;0,T08_Spells!AF$2,"")</f>
        <v/>
      </c>
      <c r="AG40" t="str">
        <f>IF(IFERROR(MATCH($B40,temp!C$4:C$13,0),0)&gt;0,T08_Spells!AG$2,"")</f>
        <v/>
      </c>
      <c r="AH40" t="str">
        <f>IF(IFERROR(MATCH($B40,temp!D$4:D$13,0),0)&gt;0,T08_Spells!AH$2,"")</f>
        <v/>
      </c>
      <c r="AI40" t="str">
        <f>IF(IFERROR(MATCH($B40,temp!E$4:E$13,0),0)&gt;0,T08_Spells!AI$2,"")</f>
        <v>Archfey</v>
      </c>
      <c r="AJ40" t="str">
        <f>IF(IFERROR(MATCH($B40,temp!F$4:F$13,0),0)&gt;0,T08_Spells!AJ$2,"")</f>
        <v/>
      </c>
      <c r="AK40" t="str">
        <f>IF(IFERROR(MATCH($B40,temp!G$4:G$13,0),0)&gt;0,T08_Spells!AK$2,"")</f>
        <v/>
      </c>
      <c r="AL40" t="str">
        <f>IF(IFERROR(MATCH($B40,temp!H$4:H$13,0),0)&gt;0,T08_Spells!AL$2,"")</f>
        <v/>
      </c>
      <c r="AM40" t="str">
        <f>IF(IFERROR(MATCH($B40,temp!I$4:I$13,0),0)&gt;0,T08_Spells!AM$2,"")</f>
        <v/>
      </c>
      <c r="AN40" t="str">
        <f>IF(IFERROR(MATCH($B40,temp!J$4:J$13,0),0)&gt;0,T08_Spells!AN$2,"")</f>
        <v/>
      </c>
      <c r="AO40" t="str">
        <f>IF(IFERROR(MATCH($B40,temp!K$4:K$13,0),0)&gt;0,T08_Spells!AO$2,"")</f>
        <v/>
      </c>
      <c r="AP40" t="str">
        <f>IF(IFERROR(MATCH($B40,temp!L$4:L$13,0),0)&gt;0,T08_Spells!AP$2,"")</f>
        <v/>
      </c>
      <c r="AQ40" t="str">
        <f>IF(IFERROR(MATCH($B40,temp!M$4:M$13,0),0)&gt;0,T08_Spells!AQ$2,"")</f>
        <v/>
      </c>
      <c r="AR40" t="str">
        <f>IF(IFERROR(MATCH($B40,temp!N$4:N$13,0),0)&gt;0,T08_Spells!AR$2,"")</f>
        <v/>
      </c>
      <c r="AS40" t="str">
        <f>IF(IFERROR(MATCH($B40,temp!O$4:O$13,0),0)&gt;0,T08_Spells!AS$2,"")</f>
        <v/>
      </c>
      <c r="AT40" t="str">
        <f>IF(IFERROR(MATCH($B40,temp!P$4:P$13,0),0)&gt;0,T08_Spells!AT$2,"")</f>
        <v/>
      </c>
      <c r="AU40" t="str">
        <f>IF(IFERROR(MATCH($B40,temp!Q$4:Q$13,0),0)&gt;0,T08_Spells!AU$2,"")</f>
        <v/>
      </c>
      <c r="AV40" t="str">
        <f>IF(IFERROR(MATCH($B40,temp!R$4:R$13,0),0)&gt;0,T08_Spells!AV$2,"")</f>
        <v/>
      </c>
      <c r="AW40" t="str">
        <f>IF(IFERROR(MATCH($B40,temp!S$4:S$13,0),0)&gt;0,T08_Spells!AW$2,"")</f>
        <v/>
      </c>
      <c r="AX40" t="str">
        <f>IF(IFERROR(MATCH($B40,temp!T$4:T$13,0),0)&gt;0,T08_Spells!AX$2,"")</f>
        <v/>
      </c>
      <c r="AY40" t="str">
        <f>IF(IFERROR(MATCH($B40,temp!U$4:U$13,0),0)&gt;0,T08_Spells!AY$2,"")</f>
        <v>Trickery</v>
      </c>
      <c r="AZ40" t="str">
        <f>IF(IFERROR(MATCH($B40,temp!V$4:V$13,0),0)&gt;0,T08_Spells!AZ$2,"")</f>
        <v/>
      </c>
      <c r="BA40" t="str">
        <f>IF(IFERROR(MATCH($B40,temp!W$4:W$13,0),0)&gt;0,T08_Spells!BA$2,"")</f>
        <v/>
      </c>
      <c r="BC40">
        <f>IF(IFERROR(SEARCH("Ranger",$T40,1),0)&gt;0,1,0)*IF(RangerMaxSpellLevel&gt;=$C40,1,0)*IF(IFERROR(MATCH(B40,Character_Creation!$X$79:$X$382,0),0)&gt;0,0,1)</f>
        <v>0</v>
      </c>
      <c r="BD40">
        <f>IF(BC40=0,0,1+COUNTIF(BD$3:BD39,"&gt;0"))</f>
        <v>0</v>
      </c>
      <c r="BE40" t="str">
        <f t="shared" si="34"/>
        <v/>
      </c>
      <c r="BF40" t="str">
        <f t="shared" si="6"/>
        <v/>
      </c>
      <c r="BH40">
        <f>IF(IFERROR(SEARCH("Sorcerer",$T40,1),0)&gt;0,1,0)*IF(SorcererMaxSpellLevel&gt;=$C40,1,0)*IF(IFERROR(MATCH(B40,Character_Creation!$J$380:$J$394,0),0)&gt;0,0,1)</f>
        <v>0</v>
      </c>
      <c r="BI40">
        <f>IF(BH40=0,0,1+COUNTIF(BI$3:BI39,"&gt;0"))</f>
        <v>0</v>
      </c>
      <c r="BJ40" t="str">
        <f t="shared" si="35"/>
        <v/>
      </c>
      <c r="BK40" t="str">
        <f t="shared" si="7"/>
        <v/>
      </c>
      <c r="BM40">
        <f>IF(OR(IFERROR(SEARCH("Warlock",$T40,1),0)&gt;0,IFERROR(SEARCH(WarlockPatron,$T40,1),0)&gt;0),1,0)*IF(WarlockMaxSpellLevel&gt;=$C40,1,0)*IF(IFERROR(MATCH(B40,Character_Creation!$J$361:$J$375,0),0)&gt;0,0,1)</f>
        <v>0</v>
      </c>
      <c r="BN40">
        <f>IF(BM40=0,0,1+COUNTIF(BN$3:BN39,"&gt;0"))</f>
        <v>0</v>
      </c>
      <c r="BO40" t="str">
        <f t="shared" si="36"/>
        <v/>
      </c>
      <c r="BP40" t="str">
        <f t="shared" si="8"/>
        <v/>
      </c>
      <c r="BR40">
        <f>IF(IFERROR(SEARCH("Eldritch Knight",$T40,1),0)&gt;0,1,0)*IF(EldritchKnightMaxSpellLevel&gt;=$C40,1,0)*IF(IFERROR(MATCH($B40,Character_Creation!$J$350:$J$356,0),0)&gt;0,0,1)*IF(Character_Creation!$M$338&gt;0,1,0)</f>
        <v>0</v>
      </c>
      <c r="BS40">
        <f>IF(BR40=0,0,1+COUNTIF(BS$3:BS39,"&gt;0"))</f>
        <v>0</v>
      </c>
      <c r="BT40" t="str">
        <f t="shared" si="37"/>
        <v/>
      </c>
      <c r="BU40" t="str">
        <f t="shared" si="9"/>
        <v/>
      </c>
      <c r="BW40">
        <f>IF(IFERROR(SEARCH("Arcane Trickster",$T40,1),0)&gt;0,1,0)*IF(ArcaneTricksterMaxSpellLevel&gt;=$C40,1,0)*IF(IFERROR(MATCH($B40,Character_Creation!$J$350:$J$356,0),0)&gt;0,0,1)*IF(Character_Creation!$T$338&gt;0,1,0)</f>
        <v>0</v>
      </c>
      <c r="BX40">
        <f>IF(BW40=0,0,1+COUNTIF(BX$3:BX39,"&gt;0"))</f>
        <v>0</v>
      </c>
      <c r="BY40" t="str">
        <f t="shared" si="38"/>
        <v/>
      </c>
      <c r="BZ40" t="str">
        <f t="shared" si="10"/>
        <v/>
      </c>
      <c r="CB40">
        <f>IF(IFERROR(SEARCH("Wizard",$T40,1),0)&gt;0,1,0)*IF(C40&lt;=ArcaneTricksterMaxSpellLevel,1,0)*IF(IFERROR(MATCH($B40,Character_Creation!$J$350:$J$356,0),0)&gt;0,0,1)*IF(Character_Creation!$T$350&gt;0,1,0)</f>
        <v>0</v>
      </c>
      <c r="CC40">
        <f>IF(CB40=0,0,1+COUNTIF(CC$3:CC39,"&gt;0"))</f>
        <v>0</v>
      </c>
      <c r="CD40" t="str">
        <f t="shared" si="39"/>
        <v/>
      </c>
      <c r="CE40" t="str">
        <f t="shared" si="11"/>
        <v/>
      </c>
      <c r="CG40">
        <f>IF(IFERROR(SEARCH("Wizard",$T40,1),0)&gt;0,1,0)*IF($C40&lt;=EldritchKnightMaxSpellLevel,1,0)*IF(IFERROR(MATCH($B40,Character_Creation!$J$350:$J$356,0),0)&gt;0,0,1)*IF(Character_Creation!$M$350&gt;0,1,0)</f>
        <v>0</v>
      </c>
      <c r="CH40">
        <f>IF(CG40=0,0,1+COUNTIF(CH$3:CH39,"&gt;0"))</f>
        <v>0</v>
      </c>
      <c r="CI40">
        <f t="shared" si="40"/>
        <v>38</v>
      </c>
      <c r="CJ40" t="str">
        <f t="shared" si="12"/>
        <v>Mage Armor</v>
      </c>
      <c r="CL40">
        <f>IF(IFERROR(SEARCH("Bard",$T40,1),0)&gt;0,1,0)*IF(BardMaxSpellLevel&gt;=$C40,1,0)*IF(IFERROR(MATCH(B40,Character_Creation!$C$341:$F$362,0),0)&gt;0,0,1)*IF(IFERROR(MATCH($B40,Character_Creation!$C$341:$C$362,0),0)&gt;0,0,1)</f>
        <v>0</v>
      </c>
      <c r="CM40">
        <f>IF(CL40=0,0,1+COUNTIF(CM$3:CM39,"&gt;0"))</f>
        <v>0</v>
      </c>
      <c r="CN40" t="str">
        <f t="shared" si="41"/>
        <v/>
      </c>
      <c r="CO40" t="str">
        <f t="shared" si="13"/>
        <v/>
      </c>
      <c r="CQ40">
        <f>IF(IFERROR(SEARCH("Wizard",$T40,1),0)&gt;0,1,0)*IF(WizardMaxSpellLevel&gt;=$C40,1,0)*IF(IFERROR(MATCH(B40,Character_Creation!$X$341:$X$400,0),0)&gt;0,0,1)*IF(SelectedWizardSpellLevel=$C40,1,0)</f>
        <v>1</v>
      </c>
      <c r="CR40">
        <f>IF(CQ40=0,0,1+COUNTIF(CR$3:CR39,"&gt;0"))</f>
        <v>3</v>
      </c>
      <c r="CS40" t="str">
        <f t="shared" si="42"/>
        <v/>
      </c>
      <c r="CT40" t="str">
        <f t="shared" si="14"/>
        <v/>
      </c>
      <c r="CV40">
        <f>IF(IFERROR(MATCH($B40,Character_Creation!$C$341:$C$362,0),0)&gt;0,0,1)*IF(OR(C40="Cantrip",C40&lt;=BardMaxSpellLevel),1,0)*IF(IFERROR(MATCH($B40,Character_Creation!$C$367:$C$374,0),0)&gt;0,0,1)</f>
        <v>0</v>
      </c>
      <c r="CW40">
        <f>IF(CV40=0,0,1+COUNTIF(CW$3:CW39,"&gt;0"))</f>
        <v>0</v>
      </c>
      <c r="CX40" t="str">
        <f t="shared" si="43"/>
        <v/>
      </c>
      <c r="CY40" t="str">
        <f t="shared" si="15"/>
        <v/>
      </c>
      <c r="DA40">
        <f>IF(IF(OR(IFERROR(SEARCH("Cleric",$T40,1),0)&gt;0,IFERROR(SEARCH(DivineDomain&amp;",",$T40,1),0)&gt;0),1,0)*IF($C40=DA$2,1,0)=1,1+COUNTIF(DA$3:DA39,"&gt;0"),0)</f>
        <v>0</v>
      </c>
      <c r="DB40">
        <f>IF(IF(OR(IFERROR(SEARCH("Cleric",$T40,1),0)&gt;0,IFERROR(SEARCH(DivineDomain&amp;",",$T40,1),0)&gt;0),1,0)*IF($C40=DB$2,1,0)=1,1+COUNTIF(DB$3:DB39,"&gt;0"),0)</f>
        <v>0</v>
      </c>
      <c r="DC40">
        <f>IF(IF(OR(IFERROR(SEARCH("Cleric",$T40,1),0)&gt;0,IFERROR(SEARCH(DivineDomain&amp;",",$T40,1),0)&gt;0),1,0)*IF($C40=DC$2,1,0)=1,1+COUNTIF(DC$3:DC39,"&gt;0"),0)</f>
        <v>0</v>
      </c>
      <c r="DD40">
        <f>IF(IF(OR(IFERROR(SEARCH("Cleric",$T40,1),0)&gt;0,IFERROR(SEARCH(DivineDomain&amp;",",$T40,1),0)&gt;0),1,0)*IF($C40=DD$2,1,0)=1,1+COUNTIF(DD$3:DD39,"&gt;0"),0)</f>
        <v>0</v>
      </c>
      <c r="DE40">
        <f>IF(IF(OR(IFERROR(SEARCH("Cleric",$T40,1),0)&gt;0,IFERROR(SEARCH(DivineDomain&amp;",",$T40,1),0)&gt;0),1,0)*IF($C40=DE$2,1,0)=1,1+COUNTIF(DE$3:DE39,"&gt;0"),0)</f>
        <v>0</v>
      </c>
      <c r="DF40">
        <f>IF(IF(OR(IFERROR(SEARCH("Cleric",$T40,1),0)&gt;0,IFERROR(SEARCH(DivineDomain&amp;",",$T40,1),0)&gt;0),1,0)*IF($C40=DF$2,1,0)=1,1+COUNTIF(DF$3:DF39,"&gt;0"),0)</f>
        <v>0</v>
      </c>
      <c r="DG40">
        <f>IF(IF(OR(IFERROR(SEARCH("Cleric",$T40,1),0)&gt;0,IFERROR(SEARCH(DivineDomain&amp;",",$T40,1),0)&gt;0),1,0)*IF($C40=DG$2,1,0)=1,1+COUNTIF(DG$3:DG39,"&gt;0"),0)</f>
        <v>0</v>
      </c>
      <c r="DH40">
        <f>IF(IF(OR(IFERROR(SEARCH("Cleric",$T40,1),0)&gt;0,IFERROR(SEARCH(DivineDomain&amp;",",$T40,1),0)&gt;0),1,0)*IF($C40=DH$2,1,0)=1,1+COUNTIF(DH$3:DH39,"&gt;0"),0)</f>
        <v>0</v>
      </c>
      <c r="DI40">
        <f>IF(IF(OR(IFERROR(SEARCH("Cleric",$T40,1),0)&gt;0,IFERROR(SEARCH(DivineDomain&amp;",",$T40,1),0)&gt;0),1,0)*IF($C40=DI$2,1,0)=1,1+COUNTIF(DI$3:DI39,"&gt;0"),0)</f>
        <v>0</v>
      </c>
      <c r="DJ40">
        <f>IF(IF(OR(IFERROR(SEARCH("Druid",$T40,1),0)&gt;0,IFERROR(SEARCH(DruidLand1,$T40,1),0)&gt;0,IFERROR(SEARCH(DruidLand2,$T40,1),0)&gt;0,IFERROR(SEARCH(DruidLand3,$T40,1),0)&gt;0,IFERROR(SEARCH(DruidLand4,$T40,1),0)&gt;0),1,0)*IF($C40=1,1,0)*IF($C40=DJ$2,1,0)=0,0,1+COUNTIF(DJ$3:DJ39,"&gt;0"))</f>
        <v>0</v>
      </c>
      <c r="DK40">
        <f>IF(IF(OR(IFERROR(SEARCH("Druid",$T40,1),0)&gt;0,IFERROR(SEARCH(DruidLand1,$T40,1),0)&gt;0,IFERROR(SEARCH(DruidLand2,$T40,1),0)&gt;0,IFERROR(SEARCH(DruidLand3,$T40,1),0)&gt;0,IFERROR(SEARCH(DruidLand4,$T40,1),0)&gt;0),1,0)*IF($C40=1,1,0)*IF($C40=DK$2,1,0)=0,0,1+COUNTIF(DK$3:DK39,"&gt;0"))</f>
        <v>0</v>
      </c>
      <c r="DL40">
        <f>IF(IF(OR(IFERROR(SEARCH("Druid",$T40,1),0)&gt;0,IFERROR(SEARCH(DruidLand1,$T40,1),0)&gt;0,IFERROR(SEARCH(DruidLand2,$T40,1),0)&gt;0,IFERROR(SEARCH(DruidLand3,$T40,1),0)&gt;0,IFERROR(SEARCH(DruidLand4,$T40,1),0)&gt;0),1,0)*IF($C40=1,1,0)*IF($C40=DL$2,1,0)=0,0,1+COUNTIF(DL$3:DL39,"&gt;0"))</f>
        <v>0</v>
      </c>
      <c r="DM40">
        <f>IF(IF(OR(IFERROR(SEARCH("Druid",$T40,1),0)&gt;0,IFERROR(SEARCH(DruidLand1,$T40,1),0)&gt;0,IFERROR(SEARCH(DruidLand2,$T40,1),0)&gt;0,IFERROR(SEARCH(DruidLand3,$T40,1),0)&gt;0,IFERROR(SEARCH(DruidLand4,$T40,1),0)&gt;0),1,0)*IF($C40=1,1,0)*IF($C40=DM$2,1,0)=0,0,1+COUNTIF(DM$3:DM39,"&gt;0"))</f>
        <v>0</v>
      </c>
      <c r="DN40">
        <f>IF(IF(OR(IFERROR(SEARCH("Druid",$T40,1),0)&gt;0,IFERROR(SEARCH(DruidLand1,$T40,1),0)&gt;0,IFERROR(SEARCH(DruidLand2,$T40,1),0)&gt;0,IFERROR(SEARCH(DruidLand3,$T40,1),0)&gt;0,IFERROR(SEARCH(DruidLand4,$T40,1),0)&gt;0),1,0)*IF($C40=1,1,0)*IF($C40=DN$2,1,0)=0,0,1+COUNTIF(DN$3:DN39,"&gt;0"))</f>
        <v>0</v>
      </c>
      <c r="DO40">
        <f>IF(IF(OR(IFERROR(SEARCH("Druid",$T40,1),0)&gt;0,IFERROR(SEARCH(DruidLand1,$T40,1),0)&gt;0,IFERROR(SEARCH(DruidLand2,$T40,1),0)&gt;0,IFERROR(SEARCH(DruidLand3,$T40,1),0)&gt;0,IFERROR(SEARCH(DruidLand4,$T40,1),0)&gt;0),1,0)*IF($C40=1,1,0)*IF($C40=DO$2,1,0)=0,0,1+COUNTIF(DO$3:DO39,"&gt;0"))</f>
        <v>0</v>
      </c>
      <c r="DP40">
        <f>IF(IF(OR(IFERROR(SEARCH("Druid",$T40,1),0)&gt;0,IFERROR(SEARCH(DruidLand1,$T40,1),0)&gt;0,IFERROR(SEARCH(DruidLand2,$T40,1),0)&gt;0,IFERROR(SEARCH(DruidLand3,$T40,1),0)&gt;0,IFERROR(SEARCH(DruidLand4,$T40,1),0)&gt;0),1,0)*IF($C40=1,1,0)*IF($C40=DP$2,1,0)=0,0,1+COUNTIF(DP$3:DP39,"&gt;0"))</f>
        <v>0</v>
      </c>
      <c r="DQ40">
        <f>IF(IF(OR(IFERROR(SEARCH("Druid",$T40,1),0)&gt;0,IFERROR(SEARCH(DruidLand1,$T40,1),0)&gt;0,IFERROR(SEARCH(DruidLand2,$T40,1),0)&gt;0,IFERROR(SEARCH(DruidLand3,$T40,1),0)&gt;0,IFERROR(SEARCH(DruidLand4,$T40,1),0)&gt;0),1,0)*IF($C40=1,1,0)*IF($C40=DQ$2,1,0)=0,0,1+COUNTIF(DQ$3:DQ39,"&gt;0"))</f>
        <v>0</v>
      </c>
      <c r="DR40">
        <f>IF(IF(OR(IFERROR(SEARCH("Druid",$T40,1),0)&gt;0,IFERROR(SEARCH(DruidLand1,$T40,1),0)&gt;0,IFERROR(SEARCH(DruidLand2,$T40,1),0)&gt;0,IFERROR(SEARCH(DruidLand3,$T40,1),0)&gt;0,IFERROR(SEARCH(DruidLand4,$T40,1),0)&gt;0),1,0)*IF($C40=1,1,0)*IF($C40=DR$2,1,0)=0,0,1+COUNTIF(DR$3:DR39,"&gt;0"))</f>
        <v>0</v>
      </c>
      <c r="DS40">
        <f>IF(IF(OR(IFERROR(SEARCH("Paladin",$T40,1),0)&gt;0,IFERROR(SEARCH(PaladinOath,$T40,1),0)&gt;0),1,0)*IF($C40=DS$2,1,0)=1,1+COUNTIF(DS$3:DS39,"&gt;0"),0)</f>
        <v>0</v>
      </c>
      <c r="DT40">
        <f>IF(IF(OR(IFERROR(SEARCH("Paladin",$T40,1),0)&gt;0,IFERROR(SEARCH(PaladinOath,$T40,1),0)&gt;0),1,0)*IF($C40=DT$2,1,0)=1,1+COUNTIF(DT$3:DT39,"&gt;0"),0)</f>
        <v>0</v>
      </c>
      <c r="DU40">
        <f>IF(IF(OR(IFERROR(SEARCH("Paladin",$T40,1),0)&gt;0,IFERROR(SEARCH(PaladinOath,$T40,1),0)&gt;0),1,0)*IF($C40=DU$2,1,0)=1,1+COUNTIF(DU$3:DU39,"&gt;0"),0)</f>
        <v>0</v>
      </c>
      <c r="DV40">
        <f>IF(IF(OR(IFERROR(SEARCH("Paladin",$T40,1),0)&gt;0,IFERROR(SEARCH(PaladinOath,$T40,1),0)&gt;0),1,0)*IF($C40=DV$2,1,0)=1,1+COUNTIF(DV$3:DV39,"&gt;0"),0)</f>
        <v>0</v>
      </c>
      <c r="DW40">
        <f>IF(IF(OR(IFERROR(SEARCH("Paladin",$T40,1),0)&gt;0,IFERROR(SEARCH(PaladinOath,$T40,1),0)&gt;0),1,0)*IF($C40=DW$2,1,0)=1,1+COUNTIF(DW$3:DW39,"&gt;0"),0)</f>
        <v>0</v>
      </c>
      <c r="DY40">
        <f t="shared" si="2"/>
        <v>1</v>
      </c>
      <c r="DZ40">
        <f>IF(DY40=0,0,1+MAX(DZ$3:$DZ39))</f>
        <v>38</v>
      </c>
      <c r="EB40">
        <f t="shared" si="16"/>
        <v>0</v>
      </c>
      <c r="EC40">
        <f>IF(EB40=0,0,1+COUNTIF(EC$3:EC39,"&gt;0"))</f>
        <v>0</v>
      </c>
      <c r="ED40" t="str">
        <f t="shared" si="44"/>
        <v/>
      </c>
      <c r="EE40" t="str">
        <f t="shared" si="17"/>
        <v/>
      </c>
      <c r="EG40">
        <f t="shared" si="18"/>
        <v>0</v>
      </c>
      <c r="EH40">
        <f>IF(EG40=0,0,1+COUNTIF(EH$3:EH39,"&gt;0"))</f>
        <v>0</v>
      </c>
      <c r="EI40" t="str">
        <f t="shared" si="45"/>
        <v/>
      </c>
      <c r="EJ40" t="str">
        <f t="shared" si="19"/>
        <v/>
      </c>
      <c r="EL40">
        <f t="shared" si="20"/>
        <v>0</v>
      </c>
      <c r="EM40">
        <f>IF(EL40=0,0,1+COUNTIF(EM$3:EM39,"&gt;0"))</f>
        <v>0</v>
      </c>
      <c r="EN40" t="str">
        <f t="shared" si="46"/>
        <v/>
      </c>
      <c r="EO40" t="str">
        <f t="shared" si="21"/>
        <v/>
      </c>
      <c r="EQ40">
        <f t="shared" si="22"/>
        <v>0</v>
      </c>
      <c r="ER40">
        <f>IF(EQ40=0,0,1+COUNTIF(ER$3:ER39,"&gt;0"))</f>
        <v>0</v>
      </c>
      <c r="ES40" t="str">
        <f t="shared" si="47"/>
        <v/>
      </c>
      <c r="ET40" t="str">
        <f t="shared" si="23"/>
        <v/>
      </c>
      <c r="EV40">
        <f t="shared" si="24"/>
        <v>0</v>
      </c>
      <c r="EW40">
        <f>IF(EV40=0,0,1+COUNTIF(EW$3:EW39,"&gt;0"))</f>
        <v>0</v>
      </c>
      <c r="EX40" t="str">
        <f t="shared" si="48"/>
        <v/>
      </c>
      <c r="EY40" t="str">
        <f t="shared" si="25"/>
        <v/>
      </c>
      <c r="FA40">
        <f t="shared" si="26"/>
        <v>0</v>
      </c>
      <c r="FB40">
        <f>IF(FA40=0,0,1+COUNTIF(FB$3:FB39,"&gt;0"))</f>
        <v>0</v>
      </c>
      <c r="FC40" t="str">
        <f t="shared" si="49"/>
        <v/>
      </c>
      <c r="FD40" t="str">
        <f t="shared" si="27"/>
        <v/>
      </c>
      <c r="FF40">
        <f t="shared" si="28"/>
        <v>0</v>
      </c>
      <c r="FG40">
        <f>IF(FF40=0,0,1+COUNTIF(FG$3:FG39,"&gt;0"))</f>
        <v>0</v>
      </c>
      <c r="FH40" t="str">
        <f t="shared" si="50"/>
        <v/>
      </c>
      <c r="FI40" t="str">
        <f t="shared" si="29"/>
        <v/>
      </c>
      <c r="FK40">
        <f t="shared" si="30"/>
        <v>0</v>
      </c>
      <c r="FL40">
        <f>IF(FK40=0,0,1+COUNTIF(FL$3:FL39,"&gt;0"))</f>
        <v>0</v>
      </c>
      <c r="FM40" t="str">
        <f t="shared" si="51"/>
        <v/>
      </c>
      <c r="FN40" t="str">
        <f t="shared" si="31"/>
        <v/>
      </c>
      <c r="FP40">
        <f t="shared" si="32"/>
        <v>0</v>
      </c>
      <c r="FQ40">
        <f>IF(FP40=0,0,1+COUNTIF(FQ$3:FQ39,"&gt;0"))</f>
        <v>0</v>
      </c>
      <c r="FR40" t="str">
        <f t="shared" si="52"/>
        <v/>
      </c>
      <c r="FS40" t="str">
        <f t="shared" si="33"/>
        <v/>
      </c>
    </row>
    <row r="41" spans="1:175" x14ac:dyDescent="0.25">
      <c r="A41" s="347">
        <f t="shared" si="53"/>
        <v>39</v>
      </c>
      <c r="B41" s="348" t="s">
        <v>2399</v>
      </c>
      <c r="C41" s="348">
        <v>2</v>
      </c>
      <c r="D41" s="347">
        <v>2</v>
      </c>
      <c r="E41" s="627" t="s">
        <v>6952</v>
      </c>
      <c r="F41" s="346"/>
      <c r="G41" s="347" t="str">
        <f>""</f>
        <v/>
      </c>
      <c r="H41" s="347" t="s">
        <v>5912</v>
      </c>
      <c r="I41" s="347" t="s">
        <v>5283</v>
      </c>
      <c r="J41" s="347" t="str">
        <f t="shared" si="3"/>
        <v/>
      </c>
      <c r="K41" s="347" t="s">
        <v>5291</v>
      </c>
      <c r="L41" s="611" t="str">
        <f t="shared" si="4"/>
        <v>V</v>
      </c>
      <c r="M41" s="347" t="s">
        <v>2373</v>
      </c>
      <c r="N41" s="347" t="s">
        <v>3034</v>
      </c>
      <c r="O41" s="347" t="s">
        <v>3034</v>
      </c>
      <c r="P41" s="346" t="str">
        <f>""</f>
        <v/>
      </c>
      <c r="Q41" s="347" t="s">
        <v>5274</v>
      </c>
      <c r="S41" s="346" t="s">
        <v>2400</v>
      </c>
      <c r="T41" s="346" t="str">
        <f t="shared" si="5"/>
        <v xml:space="preserve">Sorcerer, Eldritch Knight, Arcane Trickster, Wizard, Desert, </v>
      </c>
      <c r="X41" s="347" t="str">
        <f>$B41</f>
        <v>Blur</v>
      </c>
      <c r="AB41" s="347" t="str">
        <f>$B41</f>
        <v>Blur</v>
      </c>
      <c r="AC41" s="539" t="str">
        <f>B41</f>
        <v>Blur</v>
      </c>
      <c r="AD41" s="347" t="str">
        <f>$B41</f>
        <v>Blur</v>
      </c>
      <c r="AE41" t="str">
        <f>IF(IFERROR(MATCH($B41,temp!A$4:A$13,0),0)&gt;0,T08_Spells!AE$2,"")</f>
        <v/>
      </c>
      <c r="AF41" t="str">
        <f>IF(IFERROR(MATCH($B41,temp!B$4:B$13,0),0)&gt;0,T08_Spells!AF$2,"")</f>
        <v/>
      </c>
      <c r="AG41" t="str">
        <f>IF(IFERROR(MATCH($B41,temp!C$4:C$13,0),0)&gt;0,T08_Spells!AG$2,"")</f>
        <v/>
      </c>
      <c r="AH41" t="str">
        <f>IF(IFERROR(MATCH($B41,temp!D$4:D$13,0),0)&gt;0,T08_Spells!AH$2,"")</f>
        <v/>
      </c>
      <c r="AI41" t="str">
        <f>IF(IFERROR(MATCH($B41,temp!E$4:E$13,0),0)&gt;0,T08_Spells!AI$2,"")</f>
        <v/>
      </c>
      <c r="AJ41" t="str">
        <f>IF(IFERROR(MATCH($B41,temp!F$4:F$13,0),0)&gt;0,T08_Spells!AJ$2,"")</f>
        <v/>
      </c>
      <c r="AK41" t="str">
        <f>IF(IFERROR(MATCH($B41,temp!G$4:G$13,0),0)&gt;0,T08_Spells!AK$2,"")</f>
        <v/>
      </c>
      <c r="AL41" t="str">
        <f>IF(IFERROR(MATCH($B41,temp!H$4:H$13,0),0)&gt;0,T08_Spells!AL$2,"")</f>
        <v/>
      </c>
      <c r="AM41" t="str">
        <f>IF(IFERROR(MATCH($B41,temp!I$4:I$13,0),0)&gt;0,T08_Spells!AM$2,"")</f>
        <v/>
      </c>
      <c r="AN41" t="str">
        <f>IF(IFERROR(MATCH($B41,temp!J$4:J$13,0),0)&gt;0,T08_Spells!AN$2,"")</f>
        <v>Desert</v>
      </c>
      <c r="AO41" t="str">
        <f>IF(IFERROR(MATCH($B41,temp!K$4:K$13,0),0)&gt;0,T08_Spells!AO$2,"")</f>
        <v/>
      </c>
      <c r="AP41" t="str">
        <f>IF(IFERROR(MATCH($B41,temp!L$4:L$13,0),0)&gt;0,T08_Spells!AP$2,"")</f>
        <v/>
      </c>
      <c r="AQ41" t="str">
        <f>IF(IFERROR(MATCH($B41,temp!M$4:M$13,0),0)&gt;0,T08_Spells!AQ$2,"")</f>
        <v/>
      </c>
      <c r="AR41" t="str">
        <f>IF(IFERROR(MATCH($B41,temp!N$4:N$13,0),0)&gt;0,T08_Spells!AR$2,"")</f>
        <v/>
      </c>
      <c r="AS41" t="str">
        <f>IF(IFERROR(MATCH($B41,temp!O$4:O$13,0),0)&gt;0,T08_Spells!AS$2,"")</f>
        <v/>
      </c>
      <c r="AT41" t="str">
        <f>IF(IFERROR(MATCH($B41,temp!P$4:P$13,0),0)&gt;0,T08_Spells!AT$2,"")</f>
        <v/>
      </c>
      <c r="AU41" t="str">
        <f>IF(IFERROR(MATCH($B41,temp!Q$4:Q$13,0),0)&gt;0,T08_Spells!AU$2,"")</f>
        <v/>
      </c>
      <c r="AV41" t="str">
        <f>IF(IFERROR(MATCH($B41,temp!R$4:R$13,0),0)&gt;0,T08_Spells!AV$2,"")</f>
        <v/>
      </c>
      <c r="AW41" t="str">
        <f>IF(IFERROR(MATCH($B41,temp!S$4:S$13,0),0)&gt;0,T08_Spells!AW$2,"")</f>
        <v/>
      </c>
      <c r="AX41" t="str">
        <f>IF(IFERROR(MATCH($B41,temp!T$4:T$13,0),0)&gt;0,T08_Spells!AX$2,"")</f>
        <v/>
      </c>
      <c r="AY41" t="str">
        <f>IF(IFERROR(MATCH($B41,temp!U$4:U$13,0),0)&gt;0,T08_Spells!AY$2,"")</f>
        <v/>
      </c>
      <c r="AZ41" t="str">
        <f>IF(IFERROR(MATCH($B41,temp!V$4:V$13,0),0)&gt;0,T08_Spells!AZ$2,"")</f>
        <v/>
      </c>
      <c r="BA41" t="str">
        <f>IF(IFERROR(MATCH($B41,temp!W$4:W$13,0),0)&gt;0,T08_Spells!BA$2,"")</f>
        <v/>
      </c>
      <c r="BC41">
        <f>IF(IFERROR(SEARCH("Ranger",$T41,1),0)&gt;0,1,0)*IF(RangerMaxSpellLevel&gt;=$C41,1,0)*IF(IFERROR(MATCH(B41,Character_Creation!$X$79:$X$382,0),0)&gt;0,0,1)</f>
        <v>0</v>
      </c>
      <c r="BD41">
        <f>IF(BC41=0,0,1+COUNTIF(BD$3:BD40,"&gt;0"))</f>
        <v>0</v>
      </c>
      <c r="BE41" t="str">
        <f t="shared" si="34"/>
        <v/>
      </c>
      <c r="BF41" t="str">
        <f t="shared" si="6"/>
        <v/>
      </c>
      <c r="BH41">
        <f>IF(IFERROR(SEARCH("Sorcerer",$T41,1),0)&gt;0,1,0)*IF(SorcererMaxSpellLevel&gt;=$C41,1,0)*IF(IFERROR(MATCH(B41,Character_Creation!$J$380:$J$394,0),0)&gt;0,0,1)</f>
        <v>0</v>
      </c>
      <c r="BI41">
        <f>IF(BH41=0,0,1+COUNTIF(BI$3:BI40,"&gt;0"))</f>
        <v>0</v>
      </c>
      <c r="BJ41" t="str">
        <f t="shared" si="35"/>
        <v/>
      </c>
      <c r="BK41" t="str">
        <f t="shared" si="7"/>
        <v/>
      </c>
      <c r="BM41">
        <f>IF(OR(IFERROR(SEARCH("Warlock",$T41,1),0)&gt;0,IFERROR(SEARCH(WarlockPatron,$T41,1),0)&gt;0),1,0)*IF(WarlockMaxSpellLevel&gt;=$C41,1,0)*IF(IFERROR(MATCH(B41,Character_Creation!$J$361:$J$375,0),0)&gt;0,0,1)</f>
        <v>0</v>
      </c>
      <c r="BN41">
        <f>IF(BM41=0,0,1+COUNTIF(BN$3:BN40,"&gt;0"))</f>
        <v>0</v>
      </c>
      <c r="BO41" t="str">
        <f t="shared" si="36"/>
        <v/>
      </c>
      <c r="BP41" t="str">
        <f t="shared" si="8"/>
        <v/>
      </c>
      <c r="BR41">
        <f>IF(IFERROR(SEARCH("Eldritch Knight",$T41,1),0)&gt;0,1,0)*IF(EldritchKnightMaxSpellLevel&gt;=$C41,1,0)*IF(IFERROR(MATCH($B41,Character_Creation!$J$350:$J$356,0),0)&gt;0,0,1)*IF(Character_Creation!$M$338&gt;0,1,0)</f>
        <v>0</v>
      </c>
      <c r="BS41">
        <f>IF(BR41=0,0,1+COUNTIF(BS$3:BS40,"&gt;0"))</f>
        <v>0</v>
      </c>
      <c r="BT41" t="str">
        <f t="shared" si="37"/>
        <v/>
      </c>
      <c r="BU41" t="str">
        <f t="shared" si="9"/>
        <v/>
      </c>
      <c r="BW41">
        <f>IF(IFERROR(SEARCH("Arcane Trickster",$T41,1),0)&gt;0,1,0)*IF(ArcaneTricksterMaxSpellLevel&gt;=$C41,1,0)*IF(IFERROR(MATCH($B41,Character_Creation!$J$350:$J$356,0),0)&gt;0,0,1)*IF(Character_Creation!$T$338&gt;0,1,0)</f>
        <v>0</v>
      </c>
      <c r="BX41">
        <f>IF(BW41=0,0,1+COUNTIF(BX$3:BX40,"&gt;0"))</f>
        <v>0</v>
      </c>
      <c r="BY41" t="str">
        <f t="shared" si="38"/>
        <v/>
      </c>
      <c r="BZ41" t="str">
        <f t="shared" si="10"/>
        <v/>
      </c>
      <c r="CB41">
        <f>IF(IFERROR(SEARCH("Wizard",$T41,1),0)&gt;0,1,0)*IF(C41&lt;=ArcaneTricksterMaxSpellLevel,1,0)*IF(IFERROR(MATCH($B41,Character_Creation!$J$350:$J$356,0),0)&gt;0,0,1)*IF(Character_Creation!$T$350&gt;0,1,0)</f>
        <v>0</v>
      </c>
      <c r="CC41">
        <f>IF(CB41=0,0,1+COUNTIF(CC$3:CC40,"&gt;0"))</f>
        <v>0</v>
      </c>
      <c r="CD41" t="str">
        <f t="shared" si="39"/>
        <v/>
      </c>
      <c r="CE41" t="str">
        <f t="shared" si="11"/>
        <v/>
      </c>
      <c r="CG41">
        <f>IF(IFERROR(SEARCH("Wizard",$T41,1),0)&gt;0,1,0)*IF($C41&lt;=EldritchKnightMaxSpellLevel,1,0)*IF(IFERROR(MATCH($B41,Character_Creation!$J$350:$J$356,0),0)&gt;0,0,1)*IF(Character_Creation!$M$350&gt;0,1,0)</f>
        <v>1</v>
      </c>
      <c r="CH41">
        <f>IF(CG41=0,0,1+COUNTIF(CH$3:CH40,"&gt;0"))</f>
        <v>5</v>
      </c>
      <c r="CI41">
        <f t="shared" si="40"/>
        <v>39</v>
      </c>
      <c r="CJ41" t="str">
        <f t="shared" si="12"/>
        <v>Magic Missile</v>
      </c>
      <c r="CL41">
        <f>IF(IFERROR(SEARCH("Bard",$T41,1),0)&gt;0,1,0)*IF(BardMaxSpellLevel&gt;=$C41,1,0)*IF(IFERROR(MATCH(B41,Character_Creation!$C$341:$F$362,0),0)&gt;0,0,1)*IF(IFERROR(MATCH($B41,Character_Creation!$C$341:$C$362,0),0)&gt;0,0,1)</f>
        <v>0</v>
      </c>
      <c r="CM41">
        <f>IF(CL41=0,0,1+COUNTIF(CM$3:CM40,"&gt;0"))</f>
        <v>0</v>
      </c>
      <c r="CN41" t="str">
        <f t="shared" si="41"/>
        <v/>
      </c>
      <c r="CO41" t="str">
        <f t="shared" si="13"/>
        <v/>
      </c>
      <c r="CQ41">
        <f>IF(IFERROR(SEARCH("Wizard",$T41,1),0)&gt;0,1,0)*IF(WizardMaxSpellLevel&gt;=$C41,1,0)*IF(IFERROR(MATCH(B41,Character_Creation!$X$341:$X$400,0),0)&gt;0,0,1)*IF(SelectedWizardSpellLevel=$C41,1,0)</f>
        <v>0</v>
      </c>
      <c r="CR41">
        <f>IF(CQ41=0,0,1+COUNTIF(CR$3:CR40,"&gt;0"))</f>
        <v>0</v>
      </c>
      <c r="CS41" t="str">
        <f t="shared" si="42"/>
        <v/>
      </c>
      <c r="CT41" t="str">
        <f t="shared" si="14"/>
        <v/>
      </c>
      <c r="CV41">
        <f>IF(IFERROR(MATCH($B41,Character_Creation!$C$341:$C$362,0),0)&gt;0,0,1)*IF(OR(C41="Cantrip",C41&lt;=BardMaxSpellLevel),1,0)*IF(IFERROR(MATCH($B41,Character_Creation!$C$367:$C$374,0),0)&gt;0,0,1)</f>
        <v>0</v>
      </c>
      <c r="CW41">
        <f>IF(CV41=0,0,1+COUNTIF(CW$3:CW40,"&gt;0"))</f>
        <v>0</v>
      </c>
      <c r="CX41" t="str">
        <f t="shared" si="43"/>
        <v/>
      </c>
      <c r="CY41" t="str">
        <f t="shared" si="15"/>
        <v/>
      </c>
      <c r="DA41">
        <f>IF(IF(OR(IFERROR(SEARCH("Cleric",$T41,1),0)&gt;0,IFERROR(SEARCH(DivineDomain&amp;",",$T41,1),0)&gt;0),1,0)*IF($C41=DA$2,1,0)=1,1+COUNTIF(DA$3:DA40,"&gt;0"),0)</f>
        <v>0</v>
      </c>
      <c r="DB41">
        <f>IF(IF(OR(IFERROR(SEARCH("Cleric",$T41,1),0)&gt;0,IFERROR(SEARCH(DivineDomain&amp;",",$T41,1),0)&gt;0),1,0)*IF($C41=DB$2,1,0)=1,1+COUNTIF(DB$3:DB40,"&gt;0"),0)</f>
        <v>0</v>
      </c>
      <c r="DC41">
        <f>IF(IF(OR(IFERROR(SEARCH("Cleric",$T41,1),0)&gt;0,IFERROR(SEARCH(DivineDomain&amp;",",$T41,1),0)&gt;0),1,0)*IF($C41=DC$2,1,0)=1,1+COUNTIF(DC$3:DC40,"&gt;0"),0)</f>
        <v>0</v>
      </c>
      <c r="DD41">
        <f>IF(IF(OR(IFERROR(SEARCH("Cleric",$T41,1),0)&gt;0,IFERROR(SEARCH(DivineDomain&amp;",",$T41,1),0)&gt;0),1,0)*IF($C41=DD$2,1,0)=1,1+COUNTIF(DD$3:DD40,"&gt;0"),0)</f>
        <v>0</v>
      </c>
      <c r="DE41">
        <f>IF(IF(OR(IFERROR(SEARCH("Cleric",$T41,1),0)&gt;0,IFERROR(SEARCH(DivineDomain&amp;",",$T41,1),0)&gt;0),1,0)*IF($C41=DE$2,1,0)=1,1+COUNTIF(DE$3:DE40,"&gt;0"),0)</f>
        <v>0</v>
      </c>
      <c r="DF41">
        <f>IF(IF(OR(IFERROR(SEARCH("Cleric",$T41,1),0)&gt;0,IFERROR(SEARCH(DivineDomain&amp;",",$T41,1),0)&gt;0),1,0)*IF($C41=DF$2,1,0)=1,1+COUNTIF(DF$3:DF40,"&gt;0"),0)</f>
        <v>0</v>
      </c>
      <c r="DG41">
        <f>IF(IF(OR(IFERROR(SEARCH("Cleric",$T41,1),0)&gt;0,IFERROR(SEARCH(DivineDomain&amp;",",$T41,1),0)&gt;0),1,0)*IF($C41=DG$2,1,0)=1,1+COUNTIF(DG$3:DG40,"&gt;0"),0)</f>
        <v>0</v>
      </c>
      <c r="DH41">
        <f>IF(IF(OR(IFERROR(SEARCH("Cleric",$T41,1),0)&gt;0,IFERROR(SEARCH(DivineDomain&amp;",",$T41,1),0)&gt;0),1,0)*IF($C41=DH$2,1,0)=1,1+COUNTIF(DH$3:DH40,"&gt;0"),0)</f>
        <v>0</v>
      </c>
      <c r="DI41">
        <f>IF(IF(OR(IFERROR(SEARCH("Cleric",$T41,1),0)&gt;0,IFERROR(SEARCH(DivineDomain&amp;",",$T41,1),0)&gt;0),1,0)*IF($C41=DI$2,1,0)=1,1+COUNTIF(DI$3:DI40,"&gt;0"),0)</f>
        <v>0</v>
      </c>
      <c r="DJ41">
        <f>IF(IF(OR(IFERROR(SEARCH("Druid",$T41,1),0)&gt;0,IFERROR(SEARCH(DruidLand1,$T41,1),0)&gt;0,IFERROR(SEARCH(DruidLand2,$T41,1),0)&gt;0,IFERROR(SEARCH(DruidLand3,$T41,1),0)&gt;0,IFERROR(SEARCH(DruidLand4,$T41,1),0)&gt;0),1,0)*IF($C41=1,1,0)*IF($C41=DJ$2,1,0)=0,0,1+COUNTIF(DJ$3:DJ40,"&gt;0"))</f>
        <v>0</v>
      </c>
      <c r="DK41">
        <f>IF(IF(OR(IFERROR(SEARCH("Druid",$T41,1),0)&gt;0,IFERROR(SEARCH(DruidLand1,$T41,1),0)&gt;0,IFERROR(SEARCH(DruidLand2,$T41,1),0)&gt;0,IFERROR(SEARCH(DruidLand3,$T41,1),0)&gt;0,IFERROR(SEARCH(DruidLand4,$T41,1),0)&gt;0),1,0)*IF($C41=1,1,0)*IF($C41=DK$2,1,0)=0,0,1+COUNTIF(DK$3:DK40,"&gt;0"))</f>
        <v>0</v>
      </c>
      <c r="DL41">
        <f>IF(IF(OR(IFERROR(SEARCH("Druid",$T41,1),0)&gt;0,IFERROR(SEARCH(DruidLand1,$T41,1),0)&gt;0,IFERROR(SEARCH(DruidLand2,$T41,1),0)&gt;0,IFERROR(SEARCH(DruidLand3,$T41,1),0)&gt;0,IFERROR(SEARCH(DruidLand4,$T41,1),0)&gt;0),1,0)*IF($C41=1,1,0)*IF($C41=DL$2,1,0)=0,0,1+COUNTIF(DL$3:DL40,"&gt;0"))</f>
        <v>0</v>
      </c>
      <c r="DM41">
        <f>IF(IF(OR(IFERROR(SEARCH("Druid",$T41,1),0)&gt;0,IFERROR(SEARCH(DruidLand1,$T41,1),0)&gt;0,IFERROR(SEARCH(DruidLand2,$T41,1),0)&gt;0,IFERROR(SEARCH(DruidLand3,$T41,1),0)&gt;0,IFERROR(SEARCH(DruidLand4,$T41,1),0)&gt;0),1,0)*IF($C41=1,1,0)*IF($C41=DM$2,1,0)=0,0,1+COUNTIF(DM$3:DM40,"&gt;0"))</f>
        <v>0</v>
      </c>
      <c r="DN41">
        <f>IF(IF(OR(IFERROR(SEARCH("Druid",$T41,1),0)&gt;0,IFERROR(SEARCH(DruidLand1,$T41,1),0)&gt;0,IFERROR(SEARCH(DruidLand2,$T41,1),0)&gt;0,IFERROR(SEARCH(DruidLand3,$T41,1),0)&gt;0,IFERROR(SEARCH(DruidLand4,$T41,1),0)&gt;0),1,0)*IF($C41=1,1,0)*IF($C41=DN$2,1,0)=0,0,1+COUNTIF(DN$3:DN40,"&gt;0"))</f>
        <v>0</v>
      </c>
      <c r="DO41">
        <f>IF(IF(OR(IFERROR(SEARCH("Druid",$T41,1),0)&gt;0,IFERROR(SEARCH(DruidLand1,$T41,1),0)&gt;0,IFERROR(SEARCH(DruidLand2,$T41,1),0)&gt;0,IFERROR(SEARCH(DruidLand3,$T41,1),0)&gt;0,IFERROR(SEARCH(DruidLand4,$T41,1),0)&gt;0),1,0)*IF($C41=1,1,0)*IF($C41=DO$2,1,0)=0,0,1+COUNTIF(DO$3:DO40,"&gt;0"))</f>
        <v>0</v>
      </c>
      <c r="DP41">
        <f>IF(IF(OR(IFERROR(SEARCH("Druid",$T41,1),0)&gt;0,IFERROR(SEARCH(DruidLand1,$T41,1),0)&gt;0,IFERROR(SEARCH(DruidLand2,$T41,1),0)&gt;0,IFERROR(SEARCH(DruidLand3,$T41,1),0)&gt;0,IFERROR(SEARCH(DruidLand4,$T41,1),0)&gt;0),1,0)*IF($C41=1,1,0)*IF($C41=DP$2,1,0)=0,0,1+COUNTIF(DP$3:DP40,"&gt;0"))</f>
        <v>0</v>
      </c>
      <c r="DQ41">
        <f>IF(IF(OR(IFERROR(SEARCH("Druid",$T41,1),0)&gt;0,IFERROR(SEARCH(DruidLand1,$T41,1),0)&gt;0,IFERROR(SEARCH(DruidLand2,$T41,1),0)&gt;0,IFERROR(SEARCH(DruidLand3,$T41,1),0)&gt;0,IFERROR(SEARCH(DruidLand4,$T41,1),0)&gt;0),1,0)*IF($C41=1,1,0)*IF($C41=DQ$2,1,0)=0,0,1+COUNTIF(DQ$3:DQ40,"&gt;0"))</f>
        <v>0</v>
      </c>
      <c r="DR41">
        <f>IF(IF(OR(IFERROR(SEARCH("Druid",$T41,1),0)&gt;0,IFERROR(SEARCH(DruidLand1,$T41,1),0)&gt;0,IFERROR(SEARCH(DruidLand2,$T41,1),0)&gt;0,IFERROR(SEARCH(DruidLand3,$T41,1),0)&gt;0,IFERROR(SEARCH(DruidLand4,$T41,1),0)&gt;0),1,0)*IF($C41=1,1,0)*IF($C41=DR$2,1,0)=0,0,1+COUNTIF(DR$3:DR40,"&gt;0"))</f>
        <v>0</v>
      </c>
      <c r="DS41">
        <f>IF(IF(OR(IFERROR(SEARCH("Paladin",$T41,1),0)&gt;0,IFERROR(SEARCH(PaladinOath,$T41,1),0)&gt;0),1,0)*IF($C41=DS$2,1,0)=1,1+COUNTIF(DS$3:DS40,"&gt;0"),0)</f>
        <v>0</v>
      </c>
      <c r="DT41">
        <f>IF(IF(OR(IFERROR(SEARCH("Paladin",$T41,1),0)&gt;0,IFERROR(SEARCH(PaladinOath,$T41,1),0)&gt;0),1,0)*IF($C41=DT$2,1,0)=1,1+COUNTIF(DT$3:DT40,"&gt;0"),0)</f>
        <v>0</v>
      </c>
      <c r="DU41">
        <f>IF(IF(OR(IFERROR(SEARCH("Paladin",$T41,1),0)&gt;0,IFERROR(SEARCH(PaladinOath,$T41,1),0)&gt;0),1,0)*IF($C41=DU$2,1,0)=1,1+COUNTIF(DU$3:DU40,"&gt;0"),0)</f>
        <v>0</v>
      </c>
      <c r="DV41">
        <f>IF(IF(OR(IFERROR(SEARCH("Paladin",$T41,1),0)&gt;0,IFERROR(SEARCH(PaladinOath,$T41,1),0)&gt;0),1,0)*IF($C41=DV$2,1,0)=1,1+COUNTIF(DV$3:DV40,"&gt;0"),0)</f>
        <v>0</v>
      </c>
      <c r="DW41">
        <f>IF(IF(OR(IFERROR(SEARCH("Paladin",$T41,1),0)&gt;0,IFERROR(SEARCH(PaladinOath,$T41,1),0)&gt;0),1,0)*IF($C41=DW$2,1,0)=1,1+COUNTIF(DW$3:DW40,"&gt;0"),0)</f>
        <v>0</v>
      </c>
      <c r="DY41">
        <f t="shared" si="2"/>
        <v>1</v>
      </c>
      <c r="DZ41">
        <f>IF(DY41=0,0,1+MAX(DZ$3:$DZ40))</f>
        <v>39</v>
      </c>
      <c r="EB41">
        <f t="shared" si="16"/>
        <v>0</v>
      </c>
      <c r="EC41">
        <f>IF(EB41=0,0,1+COUNTIF(EC$3:EC40,"&gt;0"))</f>
        <v>0</v>
      </c>
      <c r="ED41" t="str">
        <f t="shared" si="44"/>
        <v/>
      </c>
      <c r="EE41" t="str">
        <f t="shared" si="17"/>
        <v/>
      </c>
      <c r="EG41">
        <f t="shared" si="18"/>
        <v>0</v>
      </c>
      <c r="EH41">
        <f>IF(EG41=0,0,1+COUNTIF(EH$3:EH40,"&gt;0"))</f>
        <v>0</v>
      </c>
      <c r="EI41" t="str">
        <f t="shared" si="45"/>
        <v/>
      </c>
      <c r="EJ41" t="str">
        <f t="shared" si="19"/>
        <v/>
      </c>
      <c r="EL41">
        <f t="shared" si="20"/>
        <v>0</v>
      </c>
      <c r="EM41">
        <f>IF(EL41=0,0,1+COUNTIF(EM$3:EM40,"&gt;0"))</f>
        <v>0</v>
      </c>
      <c r="EN41" t="str">
        <f t="shared" si="46"/>
        <v/>
      </c>
      <c r="EO41" t="str">
        <f t="shared" si="21"/>
        <v/>
      </c>
      <c r="EQ41">
        <f t="shared" si="22"/>
        <v>0</v>
      </c>
      <c r="ER41">
        <f>IF(EQ41=0,0,1+COUNTIF(ER$3:ER40,"&gt;0"))</f>
        <v>0</v>
      </c>
      <c r="ES41" t="str">
        <f t="shared" si="47"/>
        <v/>
      </c>
      <c r="ET41" t="str">
        <f t="shared" si="23"/>
        <v/>
      </c>
      <c r="EV41">
        <f t="shared" si="24"/>
        <v>0</v>
      </c>
      <c r="EW41">
        <f>IF(EV41=0,0,1+COUNTIF(EW$3:EW40,"&gt;0"))</f>
        <v>0</v>
      </c>
      <c r="EX41" t="str">
        <f t="shared" si="48"/>
        <v/>
      </c>
      <c r="EY41" t="str">
        <f t="shared" si="25"/>
        <v/>
      </c>
      <c r="FA41">
        <f t="shared" si="26"/>
        <v>0</v>
      </c>
      <c r="FB41">
        <f>IF(FA41=0,0,1+COUNTIF(FB$3:FB40,"&gt;0"))</f>
        <v>0</v>
      </c>
      <c r="FC41" t="str">
        <f t="shared" si="49"/>
        <v/>
      </c>
      <c r="FD41" t="str">
        <f t="shared" si="27"/>
        <v/>
      </c>
      <c r="FF41">
        <f t="shared" si="28"/>
        <v>0</v>
      </c>
      <c r="FG41">
        <f>IF(FF41=0,0,1+COUNTIF(FG$3:FG40,"&gt;0"))</f>
        <v>0</v>
      </c>
      <c r="FH41" t="str">
        <f t="shared" si="50"/>
        <v/>
      </c>
      <c r="FI41" t="str">
        <f t="shared" si="29"/>
        <v/>
      </c>
      <c r="FK41">
        <f t="shared" si="30"/>
        <v>0</v>
      </c>
      <c r="FL41">
        <f>IF(FK41=0,0,1+COUNTIF(FL$3:FL40,"&gt;0"))</f>
        <v>0</v>
      </c>
      <c r="FM41" t="str">
        <f t="shared" si="51"/>
        <v/>
      </c>
      <c r="FN41" t="str">
        <f t="shared" si="31"/>
        <v/>
      </c>
      <c r="FP41">
        <f t="shared" si="32"/>
        <v>0</v>
      </c>
      <c r="FQ41">
        <f>IF(FP41=0,0,1+COUNTIF(FQ$3:FQ40,"&gt;0"))</f>
        <v>0</v>
      </c>
      <c r="FR41" t="str">
        <f t="shared" si="52"/>
        <v/>
      </c>
      <c r="FS41" t="str">
        <f t="shared" si="33"/>
        <v/>
      </c>
    </row>
    <row r="42" spans="1:175" x14ac:dyDescent="0.25">
      <c r="A42" s="347">
        <f t="shared" si="53"/>
        <v>40</v>
      </c>
      <c r="B42" s="348" t="s">
        <v>2401</v>
      </c>
      <c r="C42" s="348">
        <v>2</v>
      </c>
      <c r="D42" s="347">
        <v>2</v>
      </c>
      <c r="E42" s="627" t="s">
        <v>6952</v>
      </c>
      <c r="F42" s="346"/>
      <c r="G42" s="347" t="str">
        <f>""</f>
        <v/>
      </c>
      <c r="H42" s="347" t="s">
        <v>5918</v>
      </c>
      <c r="I42" s="347" t="s">
        <v>5283</v>
      </c>
      <c r="J42" s="347" t="str">
        <f t="shared" si="3"/>
        <v/>
      </c>
      <c r="K42" s="347" t="s">
        <v>5291</v>
      </c>
      <c r="L42" s="611" t="str">
        <f t="shared" si="4"/>
        <v>V</v>
      </c>
      <c r="M42" s="347" t="s">
        <v>2373</v>
      </c>
      <c r="N42" s="347" t="s">
        <v>3034</v>
      </c>
      <c r="O42" s="347" t="s">
        <v>3034</v>
      </c>
      <c r="P42" s="346" t="str">
        <f>""</f>
        <v/>
      </c>
      <c r="Q42" s="347" t="s">
        <v>5273</v>
      </c>
      <c r="S42" s="346" t="s">
        <v>5611</v>
      </c>
      <c r="T42" s="346" t="str">
        <f t="shared" si="5"/>
        <v xml:space="preserve">Paladin, </v>
      </c>
      <c r="V42" s="347" t="str">
        <f>$B42</f>
        <v>Branding Smite</v>
      </c>
      <c r="AE42" t="str">
        <f>IF(IFERROR(MATCH($B42,temp!A$4:A$13,0),0)&gt;0,T08_Spells!AE$2,"")</f>
        <v/>
      </c>
      <c r="AF42" t="str">
        <f>IF(IFERROR(MATCH($B42,temp!B$4:B$13,0),0)&gt;0,T08_Spells!AF$2,"")</f>
        <v/>
      </c>
      <c r="AG42" t="str">
        <f>IF(IFERROR(MATCH($B42,temp!C$4:C$13,0),0)&gt;0,T08_Spells!AG$2,"")</f>
        <v/>
      </c>
      <c r="AH42" t="str">
        <f>IF(IFERROR(MATCH($B42,temp!D$4:D$13,0),0)&gt;0,T08_Spells!AH$2,"")</f>
        <v/>
      </c>
      <c r="AI42" t="str">
        <f>IF(IFERROR(MATCH($B42,temp!E$4:E$13,0),0)&gt;0,T08_Spells!AI$2,"")</f>
        <v/>
      </c>
      <c r="AJ42" t="str">
        <f>IF(IFERROR(MATCH($B42,temp!F$4:F$13,0),0)&gt;0,T08_Spells!AJ$2,"")</f>
        <v/>
      </c>
      <c r="AK42" t="str">
        <f>IF(IFERROR(MATCH($B42,temp!G$4:G$13,0),0)&gt;0,T08_Spells!AK$2,"")</f>
        <v/>
      </c>
      <c r="AL42" t="str">
        <f>IF(IFERROR(MATCH($B42,temp!H$4:H$13,0),0)&gt;0,T08_Spells!AL$2,"")</f>
        <v/>
      </c>
      <c r="AM42" t="str">
        <f>IF(IFERROR(MATCH($B42,temp!I$4:I$13,0),0)&gt;0,T08_Spells!AM$2,"")</f>
        <v/>
      </c>
      <c r="AN42" t="str">
        <f>IF(IFERROR(MATCH($B42,temp!J$4:J$13,0),0)&gt;0,T08_Spells!AN$2,"")</f>
        <v/>
      </c>
      <c r="AO42" t="str">
        <f>IF(IFERROR(MATCH($B42,temp!K$4:K$13,0),0)&gt;0,T08_Spells!AO$2,"")</f>
        <v/>
      </c>
      <c r="AP42" t="str">
        <f>IF(IFERROR(MATCH($B42,temp!L$4:L$13,0),0)&gt;0,T08_Spells!AP$2,"")</f>
        <v/>
      </c>
      <c r="AQ42" t="str">
        <f>IF(IFERROR(MATCH($B42,temp!M$4:M$13,0),0)&gt;0,T08_Spells!AQ$2,"")</f>
        <v/>
      </c>
      <c r="AR42" t="str">
        <f>IF(IFERROR(MATCH($B42,temp!N$4:N$13,0),0)&gt;0,T08_Spells!AR$2,"")</f>
        <v/>
      </c>
      <c r="AS42" t="str">
        <f>IF(IFERROR(MATCH($B42,temp!O$4:O$13,0),0)&gt;0,T08_Spells!AS$2,"")</f>
        <v/>
      </c>
      <c r="AT42" t="str">
        <f>IF(IFERROR(MATCH($B42,temp!P$4:P$13,0),0)&gt;0,T08_Spells!AT$2,"")</f>
        <v/>
      </c>
      <c r="AU42" t="str">
        <f>IF(IFERROR(MATCH($B42,temp!Q$4:Q$13,0),0)&gt;0,T08_Spells!AU$2,"")</f>
        <v/>
      </c>
      <c r="AV42" t="str">
        <f>IF(IFERROR(MATCH($B42,temp!R$4:R$13,0),0)&gt;0,T08_Spells!AV$2,"")</f>
        <v/>
      </c>
      <c r="AW42" t="str">
        <f>IF(IFERROR(MATCH($B42,temp!S$4:S$13,0),0)&gt;0,T08_Spells!AW$2,"")</f>
        <v/>
      </c>
      <c r="AX42" t="str">
        <f>IF(IFERROR(MATCH($B42,temp!T$4:T$13,0),0)&gt;0,T08_Spells!AX$2,"")</f>
        <v/>
      </c>
      <c r="AY42" t="str">
        <f>IF(IFERROR(MATCH($B42,temp!U$4:U$13,0),0)&gt;0,T08_Spells!AY$2,"")</f>
        <v/>
      </c>
      <c r="AZ42" t="str">
        <f>IF(IFERROR(MATCH($B42,temp!V$4:V$13,0),0)&gt;0,T08_Spells!AZ$2,"")</f>
        <v/>
      </c>
      <c r="BA42" t="str">
        <f>IF(IFERROR(MATCH($B42,temp!W$4:W$13,0),0)&gt;0,T08_Spells!BA$2,"")</f>
        <v/>
      </c>
      <c r="BC42">
        <f>IF(IFERROR(SEARCH("Ranger",$T42,1),0)&gt;0,1,0)*IF(RangerMaxSpellLevel&gt;=$C42,1,0)*IF(IFERROR(MATCH(B42,Character_Creation!$X$79:$X$382,0),0)&gt;0,0,1)</f>
        <v>0</v>
      </c>
      <c r="BD42">
        <f>IF(BC42=0,0,1+COUNTIF(BD$3:BD41,"&gt;0"))</f>
        <v>0</v>
      </c>
      <c r="BE42" t="str">
        <f t="shared" si="34"/>
        <v/>
      </c>
      <c r="BF42" t="str">
        <f t="shared" si="6"/>
        <v/>
      </c>
      <c r="BH42">
        <f>IF(IFERROR(SEARCH("Sorcerer",$T42,1),0)&gt;0,1,0)*IF(SorcererMaxSpellLevel&gt;=$C42,1,0)*IF(IFERROR(MATCH(B42,Character_Creation!$J$380:$J$394,0),0)&gt;0,0,1)</f>
        <v>0</v>
      </c>
      <c r="BI42">
        <f>IF(BH42=0,0,1+COUNTIF(BI$3:BI41,"&gt;0"))</f>
        <v>0</v>
      </c>
      <c r="BJ42" t="str">
        <f t="shared" si="35"/>
        <v/>
      </c>
      <c r="BK42" t="str">
        <f t="shared" si="7"/>
        <v/>
      </c>
      <c r="BM42">
        <f>IF(OR(IFERROR(SEARCH("Warlock",$T42,1),0)&gt;0,IFERROR(SEARCH(WarlockPatron,$T42,1),0)&gt;0),1,0)*IF(WarlockMaxSpellLevel&gt;=$C42,1,0)*IF(IFERROR(MATCH(B42,Character_Creation!$J$361:$J$375,0),0)&gt;0,0,1)</f>
        <v>0</v>
      </c>
      <c r="BN42">
        <f>IF(BM42=0,0,1+COUNTIF(BN$3:BN41,"&gt;0"))</f>
        <v>0</v>
      </c>
      <c r="BO42" t="str">
        <f t="shared" si="36"/>
        <v/>
      </c>
      <c r="BP42" t="str">
        <f t="shared" si="8"/>
        <v/>
      </c>
      <c r="BR42">
        <f>IF(IFERROR(SEARCH("Eldritch Knight",$T42,1),0)&gt;0,1,0)*IF(EldritchKnightMaxSpellLevel&gt;=$C42,1,0)*IF(IFERROR(MATCH($B42,Character_Creation!$J$350:$J$356,0),0)&gt;0,0,1)*IF(Character_Creation!$M$338&gt;0,1,0)</f>
        <v>0</v>
      </c>
      <c r="BS42">
        <f>IF(BR42=0,0,1+COUNTIF(BS$3:BS41,"&gt;0"))</f>
        <v>0</v>
      </c>
      <c r="BT42" t="str">
        <f t="shared" si="37"/>
        <v/>
      </c>
      <c r="BU42" t="str">
        <f t="shared" si="9"/>
        <v/>
      </c>
      <c r="BW42">
        <f>IF(IFERROR(SEARCH("Arcane Trickster",$T42,1),0)&gt;0,1,0)*IF(ArcaneTricksterMaxSpellLevel&gt;=$C42,1,0)*IF(IFERROR(MATCH($B42,Character_Creation!$J$350:$J$356,0),0)&gt;0,0,1)*IF(Character_Creation!$T$338&gt;0,1,0)</f>
        <v>0</v>
      </c>
      <c r="BX42">
        <f>IF(BW42=0,0,1+COUNTIF(BX$3:BX41,"&gt;0"))</f>
        <v>0</v>
      </c>
      <c r="BY42" t="str">
        <f t="shared" si="38"/>
        <v/>
      </c>
      <c r="BZ42" t="str">
        <f t="shared" si="10"/>
        <v/>
      </c>
      <c r="CB42">
        <f>IF(IFERROR(SEARCH("Wizard",$T42,1),0)&gt;0,1,0)*IF(C42&lt;=ArcaneTricksterMaxSpellLevel,1,0)*IF(IFERROR(MATCH($B42,Character_Creation!$J$350:$J$356,0),0)&gt;0,0,1)*IF(Character_Creation!$T$350&gt;0,1,0)</f>
        <v>0</v>
      </c>
      <c r="CC42">
        <f>IF(CB42=0,0,1+COUNTIF(CC$3:CC41,"&gt;0"))</f>
        <v>0</v>
      </c>
      <c r="CD42" t="str">
        <f t="shared" si="39"/>
        <v/>
      </c>
      <c r="CE42" t="str">
        <f t="shared" si="11"/>
        <v/>
      </c>
      <c r="CG42">
        <f>IF(IFERROR(SEARCH("Wizard",$T42,1),0)&gt;0,1,0)*IF($C42&lt;=EldritchKnightMaxSpellLevel,1,0)*IF(IFERROR(MATCH($B42,Character_Creation!$J$350:$J$356,0),0)&gt;0,0,1)*IF(Character_Creation!$M$350&gt;0,1,0)</f>
        <v>0</v>
      </c>
      <c r="CH42">
        <f>IF(CG42=0,0,1+COUNTIF(CH$3:CH41,"&gt;0"))</f>
        <v>0</v>
      </c>
      <c r="CI42">
        <f t="shared" si="40"/>
        <v>40</v>
      </c>
      <c r="CJ42" t="str">
        <f t="shared" si="12"/>
        <v>Magic Mouth</v>
      </c>
      <c r="CL42">
        <f>IF(IFERROR(SEARCH("Bard",$T42,1),0)&gt;0,1,0)*IF(BardMaxSpellLevel&gt;=$C42,1,0)*IF(IFERROR(MATCH(B42,Character_Creation!$C$341:$F$362,0),0)&gt;0,0,1)*IF(IFERROR(MATCH($B42,Character_Creation!$C$341:$C$362,0),0)&gt;0,0,1)</f>
        <v>0</v>
      </c>
      <c r="CM42">
        <f>IF(CL42=0,0,1+COUNTIF(CM$3:CM41,"&gt;0"))</f>
        <v>0</v>
      </c>
      <c r="CN42" t="str">
        <f t="shared" si="41"/>
        <v/>
      </c>
      <c r="CO42" t="str">
        <f t="shared" si="13"/>
        <v/>
      </c>
      <c r="CQ42">
        <f>IF(IFERROR(SEARCH("Wizard",$T42,1),0)&gt;0,1,0)*IF(WizardMaxSpellLevel&gt;=$C42,1,0)*IF(IFERROR(MATCH(B42,Character_Creation!$X$341:$X$400,0),0)&gt;0,0,1)*IF(SelectedWizardSpellLevel=$C42,1,0)</f>
        <v>0</v>
      </c>
      <c r="CR42">
        <f>IF(CQ42=0,0,1+COUNTIF(CR$3:CR41,"&gt;0"))</f>
        <v>0</v>
      </c>
      <c r="CS42" t="str">
        <f t="shared" si="42"/>
        <v/>
      </c>
      <c r="CT42" t="str">
        <f t="shared" si="14"/>
        <v/>
      </c>
      <c r="CV42">
        <f>IF(IFERROR(MATCH($B42,Character_Creation!$C$341:$C$362,0),0)&gt;0,0,1)*IF(OR(C42="Cantrip",C42&lt;=BardMaxSpellLevel),1,0)*IF(IFERROR(MATCH($B42,Character_Creation!$C$367:$C$374,0),0)&gt;0,0,1)</f>
        <v>0</v>
      </c>
      <c r="CW42">
        <f>IF(CV42=0,0,1+COUNTIF(CW$3:CW41,"&gt;0"))</f>
        <v>0</v>
      </c>
      <c r="CX42" t="str">
        <f t="shared" si="43"/>
        <v/>
      </c>
      <c r="CY42" t="str">
        <f t="shared" si="15"/>
        <v/>
      </c>
      <c r="DA42">
        <f>IF(IF(OR(IFERROR(SEARCH("Cleric",$T42,1),0)&gt;0,IFERROR(SEARCH(DivineDomain&amp;",",$T42,1),0)&gt;0),1,0)*IF($C42=DA$2,1,0)=1,1+COUNTIF(DA$3:DA41,"&gt;0"),0)</f>
        <v>0</v>
      </c>
      <c r="DB42">
        <f>IF(IF(OR(IFERROR(SEARCH("Cleric",$T42,1),0)&gt;0,IFERROR(SEARCH(DivineDomain&amp;",",$T42,1),0)&gt;0),1,0)*IF($C42=DB$2,1,0)=1,1+COUNTIF(DB$3:DB41,"&gt;0"),0)</f>
        <v>0</v>
      </c>
      <c r="DC42">
        <f>IF(IF(OR(IFERROR(SEARCH("Cleric",$T42,1),0)&gt;0,IFERROR(SEARCH(DivineDomain&amp;",",$T42,1),0)&gt;0),1,0)*IF($C42=DC$2,1,0)=1,1+COUNTIF(DC$3:DC41,"&gt;0"),0)</f>
        <v>0</v>
      </c>
      <c r="DD42">
        <f>IF(IF(OR(IFERROR(SEARCH("Cleric",$T42,1),0)&gt;0,IFERROR(SEARCH(DivineDomain&amp;",",$T42,1),0)&gt;0),1,0)*IF($C42=DD$2,1,0)=1,1+COUNTIF(DD$3:DD41,"&gt;0"),0)</f>
        <v>0</v>
      </c>
      <c r="DE42">
        <f>IF(IF(OR(IFERROR(SEARCH("Cleric",$T42,1),0)&gt;0,IFERROR(SEARCH(DivineDomain&amp;",",$T42,1),0)&gt;0),1,0)*IF($C42=DE$2,1,0)=1,1+COUNTIF(DE$3:DE41,"&gt;0"),0)</f>
        <v>0</v>
      </c>
      <c r="DF42">
        <f>IF(IF(OR(IFERROR(SEARCH("Cleric",$T42,1),0)&gt;0,IFERROR(SEARCH(DivineDomain&amp;",",$T42,1),0)&gt;0),1,0)*IF($C42=DF$2,1,0)=1,1+COUNTIF(DF$3:DF41,"&gt;0"),0)</f>
        <v>0</v>
      </c>
      <c r="DG42">
        <f>IF(IF(OR(IFERROR(SEARCH("Cleric",$T42,1),0)&gt;0,IFERROR(SEARCH(DivineDomain&amp;",",$T42,1),0)&gt;0),1,0)*IF($C42=DG$2,1,0)=1,1+COUNTIF(DG$3:DG41,"&gt;0"),0)</f>
        <v>0</v>
      </c>
      <c r="DH42">
        <f>IF(IF(OR(IFERROR(SEARCH("Cleric",$T42,1),0)&gt;0,IFERROR(SEARCH(DivineDomain&amp;",",$T42,1),0)&gt;0),1,0)*IF($C42=DH$2,1,0)=1,1+COUNTIF(DH$3:DH41,"&gt;0"),0)</f>
        <v>0</v>
      </c>
      <c r="DI42">
        <f>IF(IF(OR(IFERROR(SEARCH("Cleric",$T42,1),0)&gt;0,IFERROR(SEARCH(DivineDomain&amp;",",$T42,1),0)&gt;0),1,0)*IF($C42=DI$2,1,0)=1,1+COUNTIF(DI$3:DI41,"&gt;0"),0)</f>
        <v>0</v>
      </c>
      <c r="DJ42">
        <f>IF(IF(OR(IFERROR(SEARCH("Druid",$T42,1),0)&gt;0,IFERROR(SEARCH(DruidLand1,$T42,1),0)&gt;0,IFERROR(SEARCH(DruidLand2,$T42,1),0)&gt;0,IFERROR(SEARCH(DruidLand3,$T42,1),0)&gt;0,IFERROR(SEARCH(DruidLand4,$T42,1),0)&gt;0),1,0)*IF($C42=1,1,0)*IF($C42=DJ$2,1,0)=0,0,1+COUNTIF(DJ$3:DJ41,"&gt;0"))</f>
        <v>0</v>
      </c>
      <c r="DK42">
        <f>IF(IF(OR(IFERROR(SEARCH("Druid",$T42,1),0)&gt;0,IFERROR(SEARCH(DruidLand1,$T42,1),0)&gt;0,IFERROR(SEARCH(DruidLand2,$T42,1),0)&gt;0,IFERROR(SEARCH(DruidLand3,$T42,1),0)&gt;0,IFERROR(SEARCH(DruidLand4,$T42,1),0)&gt;0),1,0)*IF($C42=1,1,0)*IF($C42=DK$2,1,0)=0,0,1+COUNTIF(DK$3:DK41,"&gt;0"))</f>
        <v>0</v>
      </c>
      <c r="DL42">
        <f>IF(IF(OR(IFERROR(SEARCH("Druid",$T42,1),0)&gt;0,IFERROR(SEARCH(DruidLand1,$T42,1),0)&gt;0,IFERROR(SEARCH(DruidLand2,$T42,1),0)&gt;0,IFERROR(SEARCH(DruidLand3,$T42,1),0)&gt;0,IFERROR(SEARCH(DruidLand4,$T42,1),0)&gt;0),1,0)*IF($C42=1,1,0)*IF($C42=DL$2,1,0)=0,0,1+COUNTIF(DL$3:DL41,"&gt;0"))</f>
        <v>0</v>
      </c>
      <c r="DM42">
        <f>IF(IF(OR(IFERROR(SEARCH("Druid",$T42,1),0)&gt;0,IFERROR(SEARCH(DruidLand1,$T42,1),0)&gt;0,IFERROR(SEARCH(DruidLand2,$T42,1),0)&gt;0,IFERROR(SEARCH(DruidLand3,$T42,1),0)&gt;0,IFERROR(SEARCH(DruidLand4,$T42,1),0)&gt;0),1,0)*IF($C42=1,1,0)*IF($C42=DM$2,1,0)=0,0,1+COUNTIF(DM$3:DM41,"&gt;0"))</f>
        <v>0</v>
      </c>
      <c r="DN42">
        <f>IF(IF(OR(IFERROR(SEARCH("Druid",$T42,1),0)&gt;0,IFERROR(SEARCH(DruidLand1,$T42,1),0)&gt;0,IFERROR(SEARCH(DruidLand2,$T42,1),0)&gt;0,IFERROR(SEARCH(DruidLand3,$T42,1),0)&gt;0,IFERROR(SEARCH(DruidLand4,$T42,1),0)&gt;0),1,0)*IF($C42=1,1,0)*IF($C42=DN$2,1,0)=0,0,1+COUNTIF(DN$3:DN41,"&gt;0"))</f>
        <v>0</v>
      </c>
      <c r="DO42">
        <f>IF(IF(OR(IFERROR(SEARCH("Druid",$T42,1),0)&gt;0,IFERROR(SEARCH(DruidLand1,$T42,1),0)&gt;0,IFERROR(SEARCH(DruidLand2,$T42,1),0)&gt;0,IFERROR(SEARCH(DruidLand3,$T42,1),0)&gt;0,IFERROR(SEARCH(DruidLand4,$T42,1),0)&gt;0),1,0)*IF($C42=1,1,0)*IF($C42=DO$2,1,0)=0,0,1+COUNTIF(DO$3:DO41,"&gt;0"))</f>
        <v>0</v>
      </c>
      <c r="DP42">
        <f>IF(IF(OR(IFERROR(SEARCH("Druid",$T42,1),0)&gt;0,IFERROR(SEARCH(DruidLand1,$T42,1),0)&gt;0,IFERROR(SEARCH(DruidLand2,$T42,1),0)&gt;0,IFERROR(SEARCH(DruidLand3,$T42,1),0)&gt;0,IFERROR(SEARCH(DruidLand4,$T42,1),0)&gt;0),1,0)*IF($C42=1,1,0)*IF($C42=DP$2,1,0)=0,0,1+COUNTIF(DP$3:DP41,"&gt;0"))</f>
        <v>0</v>
      </c>
      <c r="DQ42">
        <f>IF(IF(OR(IFERROR(SEARCH("Druid",$T42,1),0)&gt;0,IFERROR(SEARCH(DruidLand1,$T42,1),0)&gt;0,IFERROR(SEARCH(DruidLand2,$T42,1),0)&gt;0,IFERROR(SEARCH(DruidLand3,$T42,1),0)&gt;0,IFERROR(SEARCH(DruidLand4,$T42,1),0)&gt;0),1,0)*IF($C42=1,1,0)*IF($C42=DQ$2,1,0)=0,0,1+COUNTIF(DQ$3:DQ41,"&gt;0"))</f>
        <v>0</v>
      </c>
      <c r="DR42">
        <f>IF(IF(OR(IFERROR(SEARCH("Druid",$T42,1),0)&gt;0,IFERROR(SEARCH(DruidLand1,$T42,1),0)&gt;0,IFERROR(SEARCH(DruidLand2,$T42,1),0)&gt;0,IFERROR(SEARCH(DruidLand3,$T42,1),0)&gt;0,IFERROR(SEARCH(DruidLand4,$T42,1),0)&gt;0),1,0)*IF($C42=1,1,0)*IF($C42=DR$2,1,0)=0,0,1+COUNTIF(DR$3:DR41,"&gt;0"))</f>
        <v>0</v>
      </c>
      <c r="DS42">
        <f>IF(IF(OR(IFERROR(SEARCH("Paladin",$T42,1),0)&gt;0,IFERROR(SEARCH(PaladinOath,$T42,1),0)&gt;0),1,0)*IF($C42=DS$2,1,0)=1,1+COUNTIF(DS$3:DS41,"&gt;0"),0)</f>
        <v>0</v>
      </c>
      <c r="DT42">
        <f>IF(IF(OR(IFERROR(SEARCH("Paladin",$T42,1),0)&gt;0,IFERROR(SEARCH(PaladinOath,$T42,1),0)&gt;0),1,0)*IF($C42=DT$2,1,0)=1,1+COUNTIF(DT$3:DT41,"&gt;0"),0)</f>
        <v>2</v>
      </c>
      <c r="DU42">
        <f>IF(IF(OR(IFERROR(SEARCH("Paladin",$T42,1),0)&gt;0,IFERROR(SEARCH(PaladinOath,$T42,1),0)&gt;0),1,0)*IF($C42=DU$2,1,0)=1,1+COUNTIF(DU$3:DU41,"&gt;0"),0)</f>
        <v>0</v>
      </c>
      <c r="DV42">
        <f>IF(IF(OR(IFERROR(SEARCH("Paladin",$T42,1),0)&gt;0,IFERROR(SEARCH(PaladinOath,$T42,1),0)&gt;0),1,0)*IF($C42=DV$2,1,0)=1,1+COUNTIF(DV$3:DV41,"&gt;0"),0)</f>
        <v>0</v>
      </c>
      <c r="DW42">
        <f>IF(IF(OR(IFERROR(SEARCH("Paladin",$T42,1),0)&gt;0,IFERROR(SEARCH(PaladinOath,$T42,1),0)&gt;0),1,0)*IF($C42=DW$2,1,0)=1,1+COUNTIF(DW$3:DW41,"&gt;0"),0)</f>
        <v>0</v>
      </c>
      <c r="DY42">
        <f t="shared" si="2"/>
        <v>1</v>
      </c>
      <c r="DZ42">
        <f>IF(DY42=0,0,1+MAX(DZ$3:$DZ41))</f>
        <v>40</v>
      </c>
      <c r="EB42">
        <f t="shared" si="16"/>
        <v>0</v>
      </c>
      <c r="EC42">
        <f>IF(EB42=0,0,1+COUNTIF(EC$3:EC41,"&gt;0"))</f>
        <v>0</v>
      </c>
      <c r="ED42" t="str">
        <f t="shared" si="44"/>
        <v/>
      </c>
      <c r="EE42" t="str">
        <f t="shared" si="17"/>
        <v/>
      </c>
      <c r="EG42">
        <f t="shared" si="18"/>
        <v>0</v>
      </c>
      <c r="EH42">
        <f>IF(EG42=0,0,1+COUNTIF(EH$3:EH41,"&gt;0"))</f>
        <v>0</v>
      </c>
      <c r="EI42" t="str">
        <f t="shared" si="45"/>
        <v/>
      </c>
      <c r="EJ42" t="str">
        <f t="shared" si="19"/>
        <v/>
      </c>
      <c r="EL42">
        <f t="shared" si="20"/>
        <v>0</v>
      </c>
      <c r="EM42">
        <f>IF(EL42=0,0,1+COUNTIF(EM$3:EM41,"&gt;0"))</f>
        <v>0</v>
      </c>
      <c r="EN42" t="str">
        <f t="shared" si="46"/>
        <v/>
      </c>
      <c r="EO42" t="str">
        <f t="shared" si="21"/>
        <v/>
      </c>
      <c r="EQ42">
        <f t="shared" si="22"/>
        <v>0</v>
      </c>
      <c r="ER42">
        <f>IF(EQ42=0,0,1+COUNTIF(ER$3:ER41,"&gt;0"))</f>
        <v>0</v>
      </c>
      <c r="ES42" t="str">
        <f t="shared" si="47"/>
        <v/>
      </c>
      <c r="ET42" t="str">
        <f t="shared" si="23"/>
        <v/>
      </c>
      <c r="EV42">
        <f t="shared" si="24"/>
        <v>0</v>
      </c>
      <c r="EW42">
        <f>IF(EV42=0,0,1+COUNTIF(EW$3:EW41,"&gt;0"))</f>
        <v>0</v>
      </c>
      <c r="EX42" t="str">
        <f t="shared" si="48"/>
        <v/>
      </c>
      <c r="EY42" t="str">
        <f t="shared" si="25"/>
        <v/>
      </c>
      <c r="FA42">
        <f t="shared" si="26"/>
        <v>0</v>
      </c>
      <c r="FB42">
        <f>IF(FA42=0,0,1+COUNTIF(FB$3:FB41,"&gt;0"))</f>
        <v>0</v>
      </c>
      <c r="FC42" t="str">
        <f t="shared" si="49"/>
        <v/>
      </c>
      <c r="FD42" t="str">
        <f t="shared" si="27"/>
        <v/>
      </c>
      <c r="FF42">
        <f t="shared" si="28"/>
        <v>0</v>
      </c>
      <c r="FG42">
        <f>IF(FF42=0,0,1+COUNTIF(FG$3:FG41,"&gt;0"))</f>
        <v>0</v>
      </c>
      <c r="FH42" t="str">
        <f t="shared" si="50"/>
        <v/>
      </c>
      <c r="FI42" t="str">
        <f t="shared" si="29"/>
        <v/>
      </c>
      <c r="FK42">
        <f t="shared" si="30"/>
        <v>0</v>
      </c>
      <c r="FL42">
        <f>IF(FK42=0,0,1+COUNTIF(FL$3:FL41,"&gt;0"))</f>
        <v>0</v>
      </c>
      <c r="FM42" t="str">
        <f t="shared" si="51"/>
        <v/>
      </c>
      <c r="FN42" t="str">
        <f t="shared" si="31"/>
        <v/>
      </c>
      <c r="FP42">
        <f t="shared" si="32"/>
        <v>0</v>
      </c>
      <c r="FQ42">
        <f>IF(FP42=0,0,1+COUNTIF(FQ$3:FQ41,"&gt;0"))</f>
        <v>0</v>
      </c>
      <c r="FR42" t="str">
        <f t="shared" si="52"/>
        <v/>
      </c>
      <c r="FS42" t="str">
        <f t="shared" si="33"/>
        <v/>
      </c>
    </row>
    <row r="43" spans="1:175" x14ac:dyDescent="0.25">
      <c r="A43" s="347">
        <f t="shared" si="53"/>
        <v>41</v>
      </c>
      <c r="B43" s="348" t="s">
        <v>2402</v>
      </c>
      <c r="C43" s="348">
        <v>1</v>
      </c>
      <c r="D43" s="347">
        <v>1</v>
      </c>
      <c r="E43" s="627" t="s">
        <v>6952</v>
      </c>
      <c r="F43" s="346"/>
      <c r="G43" s="347" t="str">
        <f>""</f>
        <v/>
      </c>
      <c r="H43" s="347" t="s">
        <v>5912</v>
      </c>
      <c r="I43" s="347" t="s">
        <v>5283</v>
      </c>
      <c r="J43" s="347" t="str">
        <f t="shared" si="3"/>
        <v/>
      </c>
      <c r="K43" s="347" t="s">
        <v>5278</v>
      </c>
      <c r="L43" s="611" t="str">
        <f t="shared" si="4"/>
        <v>V, S</v>
      </c>
      <c r="M43" s="347" t="s">
        <v>2373</v>
      </c>
      <c r="N43" s="347" t="s">
        <v>2387</v>
      </c>
      <c r="O43" s="347" t="s">
        <v>3034</v>
      </c>
      <c r="P43" s="346" t="str">
        <f>""</f>
        <v/>
      </c>
      <c r="Q43" s="347" t="s">
        <v>5273</v>
      </c>
      <c r="S43" s="346" t="s">
        <v>5612</v>
      </c>
      <c r="T43" s="346" t="str">
        <f t="shared" si="5"/>
        <v xml:space="preserve">Sorcerer, Eldritch Knight, Wizard, Archfiend, Light, </v>
      </c>
      <c r="X43" s="347" t="str">
        <f>$B43</f>
        <v>Burning Hands</v>
      </c>
      <c r="AB43" s="542" t="str">
        <f>AD43</f>
        <v>Burning Hands</v>
      </c>
      <c r="AD43" s="347" t="str">
        <f>$B43</f>
        <v>Burning Hands</v>
      </c>
      <c r="AE43" t="str">
        <f>IF(IFERROR(MATCH($B43,temp!A$4:A$13,0),0)&gt;0,T08_Spells!AE$2,"")</f>
        <v/>
      </c>
      <c r="AF43" t="str">
        <f>IF(IFERROR(MATCH($B43,temp!B$4:B$13,0),0)&gt;0,T08_Spells!AF$2,"")</f>
        <v/>
      </c>
      <c r="AG43" t="str">
        <f>IF(IFERROR(MATCH($B43,temp!C$4:C$13,0),0)&gt;0,T08_Spells!AG$2,"")</f>
        <v/>
      </c>
      <c r="AH43" t="str">
        <f>IF(IFERROR(MATCH($B43,temp!D$4:D$13,0),0)&gt;0,T08_Spells!AH$2,"")</f>
        <v/>
      </c>
      <c r="AI43" t="str">
        <f>IF(IFERROR(MATCH($B43,temp!E$4:E$13,0),0)&gt;0,T08_Spells!AI$2,"")</f>
        <v/>
      </c>
      <c r="AJ43" t="str">
        <f>IF(IFERROR(MATCH($B43,temp!F$4:F$13,0),0)&gt;0,T08_Spells!AJ$2,"")</f>
        <v>Archfiend</v>
      </c>
      <c r="AK43" t="str">
        <f>IF(IFERROR(MATCH($B43,temp!G$4:G$13,0),0)&gt;0,T08_Spells!AK$2,"")</f>
        <v/>
      </c>
      <c r="AL43" t="str">
        <f>IF(IFERROR(MATCH($B43,temp!H$4:H$13,0),0)&gt;0,T08_Spells!AL$2,"")</f>
        <v/>
      </c>
      <c r="AM43" t="str">
        <f>IF(IFERROR(MATCH($B43,temp!I$4:I$13,0),0)&gt;0,T08_Spells!AM$2,"")</f>
        <v/>
      </c>
      <c r="AN43" t="str">
        <f>IF(IFERROR(MATCH($B43,temp!J$4:J$13,0),0)&gt;0,T08_Spells!AN$2,"")</f>
        <v/>
      </c>
      <c r="AO43" t="str">
        <f>IF(IFERROR(MATCH($B43,temp!K$4:K$13,0),0)&gt;0,T08_Spells!AO$2,"")</f>
        <v/>
      </c>
      <c r="AP43" t="str">
        <f>IF(IFERROR(MATCH($B43,temp!L$4:L$13,0),0)&gt;0,T08_Spells!AP$2,"")</f>
        <v/>
      </c>
      <c r="AQ43" t="str">
        <f>IF(IFERROR(MATCH($B43,temp!M$4:M$13,0),0)&gt;0,T08_Spells!AQ$2,"")</f>
        <v/>
      </c>
      <c r="AR43" t="str">
        <f>IF(IFERROR(MATCH($B43,temp!N$4:N$13,0),0)&gt;0,T08_Spells!AR$2,"")</f>
        <v/>
      </c>
      <c r="AS43" t="str">
        <f>IF(IFERROR(MATCH($B43,temp!O$4:O$13,0),0)&gt;0,T08_Spells!AS$2,"")</f>
        <v/>
      </c>
      <c r="AT43" t="str">
        <f>IF(IFERROR(MATCH($B43,temp!P$4:P$13,0),0)&gt;0,T08_Spells!AT$2,"")</f>
        <v/>
      </c>
      <c r="AU43" t="str">
        <f>IF(IFERROR(MATCH($B43,temp!Q$4:Q$13,0),0)&gt;0,T08_Spells!AU$2,"")</f>
        <v/>
      </c>
      <c r="AV43" t="str">
        <f>IF(IFERROR(MATCH($B43,temp!R$4:R$13,0),0)&gt;0,T08_Spells!AV$2,"")</f>
        <v>Light</v>
      </c>
      <c r="AW43" t="str">
        <f>IF(IFERROR(MATCH($B43,temp!S$4:S$13,0),0)&gt;0,T08_Spells!AW$2,"")</f>
        <v/>
      </c>
      <c r="AX43" t="str">
        <f>IF(IFERROR(MATCH($B43,temp!T$4:T$13,0),0)&gt;0,T08_Spells!AX$2,"")</f>
        <v/>
      </c>
      <c r="AY43" t="str">
        <f>IF(IFERROR(MATCH($B43,temp!U$4:U$13,0),0)&gt;0,T08_Spells!AY$2,"")</f>
        <v/>
      </c>
      <c r="AZ43" t="str">
        <f>IF(IFERROR(MATCH($B43,temp!V$4:V$13,0),0)&gt;0,T08_Spells!AZ$2,"")</f>
        <v/>
      </c>
      <c r="BA43" t="str">
        <f>IF(IFERROR(MATCH($B43,temp!W$4:W$13,0),0)&gt;0,T08_Spells!BA$2,"")</f>
        <v/>
      </c>
      <c r="BC43">
        <f>IF(IFERROR(SEARCH("Ranger",$T43,1),0)&gt;0,1,0)*IF(RangerMaxSpellLevel&gt;=$C43,1,0)*IF(IFERROR(MATCH(B43,Character_Creation!$X$79:$X$382,0),0)&gt;0,0,1)</f>
        <v>0</v>
      </c>
      <c r="BD43">
        <f>IF(BC43=0,0,1+COUNTIF(BD$3:BD42,"&gt;0"))</f>
        <v>0</v>
      </c>
      <c r="BE43" t="str">
        <f t="shared" si="34"/>
        <v/>
      </c>
      <c r="BF43" t="str">
        <f t="shared" si="6"/>
        <v/>
      </c>
      <c r="BH43">
        <f>IF(IFERROR(SEARCH("Sorcerer",$T43,1),0)&gt;0,1,0)*IF(SorcererMaxSpellLevel&gt;=$C43,1,0)*IF(IFERROR(MATCH(B43,Character_Creation!$J$380:$J$394,0),0)&gt;0,0,1)</f>
        <v>0</v>
      </c>
      <c r="BI43">
        <f>IF(BH43=0,0,1+COUNTIF(BI$3:BI42,"&gt;0"))</f>
        <v>0</v>
      </c>
      <c r="BJ43" t="str">
        <f t="shared" si="35"/>
        <v/>
      </c>
      <c r="BK43" t="str">
        <f t="shared" si="7"/>
        <v/>
      </c>
      <c r="BM43">
        <f>IF(OR(IFERROR(SEARCH("Warlock",$T43,1),0)&gt;0,IFERROR(SEARCH(WarlockPatron,$T43,1),0)&gt;0),1,0)*IF(WarlockMaxSpellLevel&gt;=$C43,1,0)*IF(IFERROR(MATCH(B43,Character_Creation!$J$361:$J$375,0),0)&gt;0,0,1)</f>
        <v>0</v>
      </c>
      <c r="BN43">
        <f>IF(BM43=0,0,1+COUNTIF(BN$3:BN42,"&gt;0"))</f>
        <v>0</v>
      </c>
      <c r="BO43" t="str">
        <f t="shared" si="36"/>
        <v/>
      </c>
      <c r="BP43" t="str">
        <f t="shared" si="8"/>
        <v/>
      </c>
      <c r="BR43">
        <f>IF(IFERROR(SEARCH("Eldritch Knight",$T43,1),0)&gt;0,1,0)*IF(EldritchKnightMaxSpellLevel&gt;=$C43,1,0)*IF(IFERROR(MATCH($B43,Character_Creation!$J$350:$J$356,0),0)&gt;0,0,1)*IF(Character_Creation!$M$338&gt;0,1,0)</f>
        <v>0</v>
      </c>
      <c r="BS43">
        <f>IF(BR43=0,0,1+COUNTIF(BS$3:BS42,"&gt;0"))</f>
        <v>0</v>
      </c>
      <c r="BT43" t="str">
        <f t="shared" si="37"/>
        <v/>
      </c>
      <c r="BU43" t="str">
        <f t="shared" si="9"/>
        <v/>
      </c>
      <c r="BW43">
        <f>IF(IFERROR(SEARCH("Arcane Trickster",$T43,1),0)&gt;0,1,0)*IF(ArcaneTricksterMaxSpellLevel&gt;=$C43,1,0)*IF(IFERROR(MATCH($B43,Character_Creation!$J$350:$J$356,0),0)&gt;0,0,1)*IF(Character_Creation!$T$338&gt;0,1,0)</f>
        <v>0</v>
      </c>
      <c r="BX43">
        <f>IF(BW43=0,0,1+COUNTIF(BX$3:BX42,"&gt;0"))</f>
        <v>0</v>
      </c>
      <c r="BY43" t="str">
        <f t="shared" si="38"/>
        <v/>
      </c>
      <c r="BZ43" t="str">
        <f t="shared" si="10"/>
        <v/>
      </c>
      <c r="CB43">
        <f>IF(IFERROR(SEARCH("Wizard",$T43,1),0)&gt;0,1,0)*IF(C43&lt;=ArcaneTricksterMaxSpellLevel,1,0)*IF(IFERROR(MATCH($B43,Character_Creation!$J$350:$J$356,0),0)&gt;0,0,1)*IF(Character_Creation!$T$350&gt;0,1,0)</f>
        <v>0</v>
      </c>
      <c r="CC43">
        <f>IF(CB43=0,0,1+COUNTIF(CC$3:CC42,"&gt;0"))</f>
        <v>0</v>
      </c>
      <c r="CD43" t="str">
        <f t="shared" si="39"/>
        <v/>
      </c>
      <c r="CE43" t="str">
        <f t="shared" si="11"/>
        <v/>
      </c>
      <c r="CG43">
        <f>IF(IFERROR(SEARCH("Wizard",$T43,1),0)&gt;0,1,0)*IF($C43&lt;=EldritchKnightMaxSpellLevel,1,0)*IF(IFERROR(MATCH($B43,Character_Creation!$J$350:$J$356,0),0)&gt;0,0,1)*IF(Character_Creation!$M$350&gt;0,1,0)</f>
        <v>1</v>
      </c>
      <c r="CH43">
        <f>IF(CG43=0,0,1+COUNTIF(CH$3:CH42,"&gt;0"))</f>
        <v>6</v>
      </c>
      <c r="CI43">
        <f t="shared" si="40"/>
        <v>41</v>
      </c>
      <c r="CJ43" t="str">
        <f t="shared" si="12"/>
        <v>Magic Weapon</v>
      </c>
      <c r="CL43">
        <f>IF(IFERROR(SEARCH("Bard",$T43,1),0)&gt;0,1,0)*IF(BardMaxSpellLevel&gt;=$C43,1,0)*IF(IFERROR(MATCH(B43,Character_Creation!$C$341:$F$362,0),0)&gt;0,0,1)*IF(IFERROR(MATCH($B43,Character_Creation!$C$341:$C$362,0),0)&gt;0,0,1)</f>
        <v>0</v>
      </c>
      <c r="CM43">
        <f>IF(CL43=0,0,1+COUNTIF(CM$3:CM42,"&gt;0"))</f>
        <v>0</v>
      </c>
      <c r="CN43" t="str">
        <f t="shared" si="41"/>
        <v/>
      </c>
      <c r="CO43" t="str">
        <f t="shared" si="13"/>
        <v/>
      </c>
      <c r="CQ43">
        <f>IF(IFERROR(SEARCH("Wizard",$T43,1),0)&gt;0,1,0)*IF(WizardMaxSpellLevel&gt;=$C43,1,0)*IF(IFERROR(MATCH(B43,Character_Creation!$X$341:$X$400,0),0)&gt;0,0,1)*IF(SelectedWizardSpellLevel=$C43,1,0)</f>
        <v>0</v>
      </c>
      <c r="CR43">
        <f>IF(CQ43=0,0,1+COUNTIF(CR$3:CR42,"&gt;0"))</f>
        <v>0</v>
      </c>
      <c r="CS43" t="str">
        <f t="shared" si="42"/>
        <v/>
      </c>
      <c r="CT43" t="str">
        <f t="shared" si="14"/>
        <v/>
      </c>
      <c r="CV43">
        <f>IF(IFERROR(MATCH($B43,Character_Creation!$C$341:$C$362,0),0)&gt;0,0,1)*IF(OR(C43="Cantrip",C43&lt;=BardMaxSpellLevel),1,0)*IF(IFERROR(MATCH($B43,Character_Creation!$C$367:$C$374,0),0)&gt;0,0,1)</f>
        <v>0</v>
      </c>
      <c r="CW43">
        <f>IF(CV43=0,0,1+COUNTIF(CW$3:CW42,"&gt;0"))</f>
        <v>0</v>
      </c>
      <c r="CX43" t="str">
        <f t="shared" si="43"/>
        <v/>
      </c>
      <c r="CY43" t="str">
        <f t="shared" si="15"/>
        <v/>
      </c>
      <c r="DA43">
        <f>IF(IF(OR(IFERROR(SEARCH("Cleric",$T43,1),0)&gt;0,IFERROR(SEARCH(DivineDomain&amp;",",$T43,1),0)&gt;0),1,0)*IF($C43=DA$2,1,0)=1,1+COUNTIF(DA$3:DA42,"&gt;0"),0)</f>
        <v>0</v>
      </c>
      <c r="DB43">
        <f>IF(IF(OR(IFERROR(SEARCH("Cleric",$T43,1),0)&gt;0,IFERROR(SEARCH(DivineDomain&amp;",",$T43,1),0)&gt;0),1,0)*IF($C43=DB$2,1,0)=1,1+COUNTIF(DB$3:DB42,"&gt;0"),0)</f>
        <v>0</v>
      </c>
      <c r="DC43">
        <f>IF(IF(OR(IFERROR(SEARCH("Cleric",$T43,1),0)&gt;0,IFERROR(SEARCH(DivineDomain&amp;",",$T43,1),0)&gt;0),1,0)*IF($C43=DC$2,1,0)=1,1+COUNTIF(DC$3:DC42,"&gt;0"),0)</f>
        <v>0</v>
      </c>
      <c r="DD43">
        <f>IF(IF(OR(IFERROR(SEARCH("Cleric",$T43,1),0)&gt;0,IFERROR(SEARCH(DivineDomain&amp;",",$T43,1),0)&gt;0),1,0)*IF($C43=DD$2,1,0)=1,1+COUNTIF(DD$3:DD42,"&gt;0"),0)</f>
        <v>0</v>
      </c>
      <c r="DE43">
        <f>IF(IF(OR(IFERROR(SEARCH("Cleric",$T43,1),0)&gt;0,IFERROR(SEARCH(DivineDomain&amp;",",$T43,1),0)&gt;0),1,0)*IF($C43=DE$2,1,0)=1,1+COUNTIF(DE$3:DE42,"&gt;0"),0)</f>
        <v>0</v>
      </c>
      <c r="DF43">
        <f>IF(IF(OR(IFERROR(SEARCH("Cleric",$T43,1),0)&gt;0,IFERROR(SEARCH(DivineDomain&amp;",",$T43,1),0)&gt;0),1,0)*IF($C43=DF$2,1,0)=1,1+COUNTIF(DF$3:DF42,"&gt;0"),0)</f>
        <v>0</v>
      </c>
      <c r="DG43">
        <f>IF(IF(OR(IFERROR(SEARCH("Cleric",$T43,1),0)&gt;0,IFERROR(SEARCH(DivineDomain&amp;",",$T43,1),0)&gt;0),1,0)*IF($C43=DG$2,1,0)=1,1+COUNTIF(DG$3:DG42,"&gt;0"),0)</f>
        <v>0</v>
      </c>
      <c r="DH43">
        <f>IF(IF(OR(IFERROR(SEARCH("Cleric",$T43,1),0)&gt;0,IFERROR(SEARCH(DivineDomain&amp;",",$T43,1),0)&gt;0),1,0)*IF($C43=DH$2,1,0)=1,1+COUNTIF(DH$3:DH42,"&gt;0"),0)</f>
        <v>0</v>
      </c>
      <c r="DI43">
        <f>IF(IF(OR(IFERROR(SEARCH("Cleric",$T43,1),0)&gt;0,IFERROR(SEARCH(DivineDomain&amp;",",$T43,1),0)&gt;0),1,0)*IF($C43=DI$2,1,0)=1,1+COUNTIF(DI$3:DI42,"&gt;0"),0)</f>
        <v>0</v>
      </c>
      <c r="DJ43">
        <f>IF(IF(OR(IFERROR(SEARCH("Druid",$T43,1),0)&gt;0,IFERROR(SEARCH(DruidLand1,$T43,1),0)&gt;0,IFERROR(SEARCH(DruidLand2,$T43,1),0)&gt;0,IFERROR(SEARCH(DruidLand3,$T43,1),0)&gt;0,IFERROR(SEARCH(DruidLand4,$T43,1),0)&gt;0),1,0)*IF($C43=1,1,0)*IF($C43=DJ$2,1,0)=0,0,1+COUNTIF(DJ$3:DJ42,"&gt;0"))</f>
        <v>0</v>
      </c>
      <c r="DK43">
        <f>IF(IF(OR(IFERROR(SEARCH("Druid",$T43,1),0)&gt;0,IFERROR(SEARCH(DruidLand1,$T43,1),0)&gt;0,IFERROR(SEARCH(DruidLand2,$T43,1),0)&gt;0,IFERROR(SEARCH(DruidLand3,$T43,1),0)&gt;0,IFERROR(SEARCH(DruidLand4,$T43,1),0)&gt;0),1,0)*IF($C43=1,1,0)*IF($C43=DK$2,1,0)=0,0,1+COUNTIF(DK$3:DK42,"&gt;0"))</f>
        <v>0</v>
      </c>
      <c r="DL43">
        <f>IF(IF(OR(IFERROR(SEARCH("Druid",$T43,1),0)&gt;0,IFERROR(SEARCH(DruidLand1,$T43,1),0)&gt;0,IFERROR(SEARCH(DruidLand2,$T43,1),0)&gt;0,IFERROR(SEARCH(DruidLand3,$T43,1),0)&gt;0,IFERROR(SEARCH(DruidLand4,$T43,1),0)&gt;0),1,0)*IF($C43=1,1,0)*IF($C43=DL$2,1,0)=0,0,1+COUNTIF(DL$3:DL42,"&gt;0"))</f>
        <v>0</v>
      </c>
      <c r="DM43">
        <f>IF(IF(OR(IFERROR(SEARCH("Druid",$T43,1),0)&gt;0,IFERROR(SEARCH(DruidLand1,$T43,1),0)&gt;0,IFERROR(SEARCH(DruidLand2,$T43,1),0)&gt;0,IFERROR(SEARCH(DruidLand3,$T43,1),0)&gt;0,IFERROR(SEARCH(DruidLand4,$T43,1),0)&gt;0),1,0)*IF($C43=1,1,0)*IF($C43=DM$2,1,0)=0,0,1+COUNTIF(DM$3:DM42,"&gt;0"))</f>
        <v>0</v>
      </c>
      <c r="DN43">
        <f>IF(IF(OR(IFERROR(SEARCH("Druid",$T43,1),0)&gt;0,IFERROR(SEARCH(DruidLand1,$T43,1),0)&gt;0,IFERROR(SEARCH(DruidLand2,$T43,1),0)&gt;0,IFERROR(SEARCH(DruidLand3,$T43,1),0)&gt;0,IFERROR(SEARCH(DruidLand4,$T43,1),0)&gt;0),1,0)*IF($C43=1,1,0)*IF($C43=DN$2,1,0)=0,0,1+COUNTIF(DN$3:DN42,"&gt;0"))</f>
        <v>0</v>
      </c>
      <c r="DO43">
        <f>IF(IF(OR(IFERROR(SEARCH("Druid",$T43,1),0)&gt;0,IFERROR(SEARCH(DruidLand1,$T43,1),0)&gt;0,IFERROR(SEARCH(DruidLand2,$T43,1),0)&gt;0,IFERROR(SEARCH(DruidLand3,$T43,1),0)&gt;0,IFERROR(SEARCH(DruidLand4,$T43,1),0)&gt;0),1,0)*IF($C43=1,1,0)*IF($C43=DO$2,1,0)=0,0,1+COUNTIF(DO$3:DO42,"&gt;0"))</f>
        <v>0</v>
      </c>
      <c r="DP43">
        <f>IF(IF(OR(IFERROR(SEARCH("Druid",$T43,1),0)&gt;0,IFERROR(SEARCH(DruidLand1,$T43,1),0)&gt;0,IFERROR(SEARCH(DruidLand2,$T43,1),0)&gt;0,IFERROR(SEARCH(DruidLand3,$T43,1),0)&gt;0,IFERROR(SEARCH(DruidLand4,$T43,1),0)&gt;0),1,0)*IF($C43=1,1,0)*IF($C43=DP$2,1,0)=0,0,1+COUNTIF(DP$3:DP42,"&gt;0"))</f>
        <v>0</v>
      </c>
      <c r="DQ43">
        <f>IF(IF(OR(IFERROR(SEARCH("Druid",$T43,1),0)&gt;0,IFERROR(SEARCH(DruidLand1,$T43,1),0)&gt;0,IFERROR(SEARCH(DruidLand2,$T43,1),0)&gt;0,IFERROR(SEARCH(DruidLand3,$T43,1),0)&gt;0,IFERROR(SEARCH(DruidLand4,$T43,1),0)&gt;0),1,0)*IF($C43=1,1,0)*IF($C43=DQ$2,1,0)=0,0,1+COUNTIF(DQ$3:DQ42,"&gt;0"))</f>
        <v>0</v>
      </c>
      <c r="DR43">
        <f>IF(IF(OR(IFERROR(SEARCH("Druid",$T43,1),0)&gt;0,IFERROR(SEARCH(DruidLand1,$T43,1),0)&gt;0,IFERROR(SEARCH(DruidLand2,$T43,1),0)&gt;0,IFERROR(SEARCH(DruidLand3,$T43,1),0)&gt;0,IFERROR(SEARCH(DruidLand4,$T43,1),0)&gt;0),1,0)*IF($C43=1,1,0)*IF($C43=DR$2,1,0)=0,0,1+COUNTIF(DR$3:DR42,"&gt;0"))</f>
        <v>0</v>
      </c>
      <c r="DS43">
        <f>IF(IF(OR(IFERROR(SEARCH("Paladin",$T43,1),0)&gt;0,IFERROR(SEARCH(PaladinOath,$T43,1),0)&gt;0),1,0)*IF($C43=DS$2,1,0)=1,1+COUNTIF(DS$3:DS42,"&gt;0"),0)</f>
        <v>0</v>
      </c>
      <c r="DT43">
        <f>IF(IF(OR(IFERROR(SEARCH("Paladin",$T43,1),0)&gt;0,IFERROR(SEARCH(PaladinOath,$T43,1),0)&gt;0),1,0)*IF($C43=DT$2,1,0)=1,1+COUNTIF(DT$3:DT42,"&gt;0"),0)</f>
        <v>0</v>
      </c>
      <c r="DU43">
        <f>IF(IF(OR(IFERROR(SEARCH("Paladin",$T43,1),0)&gt;0,IFERROR(SEARCH(PaladinOath,$T43,1),0)&gt;0),1,0)*IF($C43=DU$2,1,0)=1,1+COUNTIF(DU$3:DU42,"&gt;0"),0)</f>
        <v>0</v>
      </c>
      <c r="DV43">
        <f>IF(IF(OR(IFERROR(SEARCH("Paladin",$T43,1),0)&gt;0,IFERROR(SEARCH(PaladinOath,$T43,1),0)&gt;0),1,0)*IF($C43=DV$2,1,0)=1,1+COUNTIF(DV$3:DV42,"&gt;0"),0)</f>
        <v>0</v>
      </c>
      <c r="DW43">
        <f>IF(IF(OR(IFERROR(SEARCH("Paladin",$T43,1),0)&gt;0,IFERROR(SEARCH(PaladinOath,$T43,1),0)&gt;0),1,0)*IF($C43=DW$2,1,0)=1,1+COUNTIF(DW$3:DW42,"&gt;0"),0)</f>
        <v>0</v>
      </c>
      <c r="DY43">
        <f t="shared" si="2"/>
        <v>1</v>
      </c>
      <c r="DZ43">
        <f>IF(DY43=0,0,1+MAX(DZ$3:$DZ42))</f>
        <v>41</v>
      </c>
      <c r="EB43">
        <f t="shared" si="16"/>
        <v>0</v>
      </c>
      <c r="EC43">
        <f>IF(EB43=0,0,1+COUNTIF(EC$3:EC42,"&gt;0"))</f>
        <v>0</v>
      </c>
      <c r="ED43" t="str">
        <f t="shared" si="44"/>
        <v/>
      </c>
      <c r="EE43" t="str">
        <f t="shared" si="17"/>
        <v/>
      </c>
      <c r="EG43">
        <f t="shared" si="18"/>
        <v>0</v>
      </c>
      <c r="EH43">
        <f>IF(EG43=0,0,1+COUNTIF(EH$3:EH42,"&gt;0"))</f>
        <v>0</v>
      </c>
      <c r="EI43" t="str">
        <f t="shared" si="45"/>
        <v/>
      </c>
      <c r="EJ43" t="str">
        <f t="shared" si="19"/>
        <v/>
      </c>
      <c r="EL43">
        <f t="shared" si="20"/>
        <v>0</v>
      </c>
      <c r="EM43">
        <f>IF(EL43=0,0,1+COUNTIF(EM$3:EM42,"&gt;0"))</f>
        <v>0</v>
      </c>
      <c r="EN43" t="str">
        <f t="shared" si="46"/>
        <v/>
      </c>
      <c r="EO43" t="str">
        <f t="shared" si="21"/>
        <v/>
      </c>
      <c r="EQ43">
        <f t="shared" si="22"/>
        <v>0</v>
      </c>
      <c r="ER43">
        <f>IF(EQ43=0,0,1+COUNTIF(ER$3:ER42,"&gt;0"))</f>
        <v>0</v>
      </c>
      <c r="ES43" t="str">
        <f t="shared" si="47"/>
        <v/>
      </c>
      <c r="ET43" t="str">
        <f t="shared" si="23"/>
        <v/>
      </c>
      <c r="EV43">
        <f t="shared" si="24"/>
        <v>0</v>
      </c>
      <c r="EW43">
        <f>IF(EV43=0,0,1+COUNTIF(EW$3:EW42,"&gt;0"))</f>
        <v>0</v>
      </c>
      <c r="EX43" t="str">
        <f t="shared" si="48"/>
        <v/>
      </c>
      <c r="EY43" t="str">
        <f t="shared" si="25"/>
        <v/>
      </c>
      <c r="FA43">
        <f t="shared" si="26"/>
        <v>0</v>
      </c>
      <c r="FB43">
        <f>IF(FA43=0,0,1+COUNTIF(FB$3:FB42,"&gt;0"))</f>
        <v>0</v>
      </c>
      <c r="FC43" t="str">
        <f t="shared" si="49"/>
        <v/>
      </c>
      <c r="FD43" t="str">
        <f t="shared" si="27"/>
        <v/>
      </c>
      <c r="FF43">
        <f t="shared" si="28"/>
        <v>0</v>
      </c>
      <c r="FG43">
        <f>IF(FF43=0,0,1+COUNTIF(FG$3:FG42,"&gt;0"))</f>
        <v>0</v>
      </c>
      <c r="FH43" t="str">
        <f t="shared" si="50"/>
        <v/>
      </c>
      <c r="FI43" t="str">
        <f t="shared" si="29"/>
        <v/>
      </c>
      <c r="FK43">
        <f t="shared" si="30"/>
        <v>0</v>
      </c>
      <c r="FL43">
        <f>IF(FK43=0,0,1+COUNTIF(FL$3:FL42,"&gt;0"))</f>
        <v>0</v>
      </c>
      <c r="FM43" t="str">
        <f t="shared" si="51"/>
        <v/>
      </c>
      <c r="FN43" t="str">
        <f t="shared" si="31"/>
        <v/>
      </c>
      <c r="FP43">
        <f t="shared" si="32"/>
        <v>0</v>
      </c>
      <c r="FQ43">
        <f>IF(FP43=0,0,1+COUNTIF(FQ$3:FQ42,"&gt;0"))</f>
        <v>0</v>
      </c>
      <c r="FR43" t="str">
        <f t="shared" si="52"/>
        <v/>
      </c>
      <c r="FS43" t="str">
        <f t="shared" si="33"/>
        <v/>
      </c>
    </row>
    <row r="44" spans="1:175" x14ac:dyDescent="0.25">
      <c r="A44" s="347">
        <f t="shared" si="53"/>
        <v>42</v>
      </c>
      <c r="B44" s="348" t="s">
        <v>2403</v>
      </c>
      <c r="C44" s="348">
        <v>3</v>
      </c>
      <c r="D44" s="347">
        <v>3</v>
      </c>
      <c r="E44" s="627" t="s">
        <v>6952</v>
      </c>
      <c r="F44" s="346"/>
      <c r="G44" s="347" t="str">
        <f>""</f>
        <v/>
      </c>
      <c r="H44" s="347" t="s">
        <v>5912</v>
      </c>
      <c r="I44" s="347" t="s">
        <v>5290</v>
      </c>
      <c r="J44" s="347" t="str">
        <f t="shared" si="3"/>
        <v/>
      </c>
      <c r="K44" s="347" t="s">
        <v>5297</v>
      </c>
      <c r="L44" s="611" t="str">
        <f t="shared" si="4"/>
        <v>V, S</v>
      </c>
      <c r="M44" s="347" t="s">
        <v>2373</v>
      </c>
      <c r="N44" s="347" t="s">
        <v>2387</v>
      </c>
      <c r="O44" s="347" t="s">
        <v>3034</v>
      </c>
      <c r="P44" s="346" t="str">
        <f>""</f>
        <v/>
      </c>
      <c r="Q44" s="347" t="s">
        <v>5271</v>
      </c>
      <c r="S44" s="346" t="s">
        <v>5613</v>
      </c>
      <c r="T44" s="346" t="str">
        <f t="shared" si="5"/>
        <v xml:space="preserve">Druid, Fores, Tempest, </v>
      </c>
      <c r="AA44" s="347" t="str">
        <f>$B44</f>
        <v>Call Lightning</v>
      </c>
      <c r="AE44" t="str">
        <f>IF(IFERROR(MATCH($B44,temp!A$4:A$13,0),0)&gt;0,T08_Spells!AE$2,"")</f>
        <v/>
      </c>
      <c r="AF44" t="str">
        <f>IF(IFERROR(MATCH($B44,temp!B$4:B$13,0),0)&gt;0,T08_Spells!AF$2,"")</f>
        <v/>
      </c>
      <c r="AG44" t="str">
        <f>IF(IFERROR(MATCH($B44,temp!C$4:C$13,0),0)&gt;0,T08_Spells!AG$2,"")</f>
        <v/>
      </c>
      <c r="AH44" t="str">
        <f>IF(IFERROR(MATCH($B44,temp!D$4:D$13,0),0)&gt;0,T08_Spells!AH$2,"")</f>
        <v/>
      </c>
      <c r="AI44" t="str">
        <f>IF(IFERROR(MATCH($B44,temp!E$4:E$13,0),0)&gt;0,T08_Spells!AI$2,"")</f>
        <v/>
      </c>
      <c r="AJ44" t="str">
        <f>IF(IFERROR(MATCH($B44,temp!F$4:F$13,0),0)&gt;0,T08_Spells!AJ$2,"")</f>
        <v/>
      </c>
      <c r="AK44" t="str">
        <f>IF(IFERROR(MATCH($B44,temp!G$4:G$13,0),0)&gt;0,T08_Spells!AK$2,"")</f>
        <v/>
      </c>
      <c r="AL44" t="str">
        <f>IF(IFERROR(MATCH($B44,temp!H$4:H$13,0),0)&gt;0,T08_Spells!AL$2,"")</f>
        <v/>
      </c>
      <c r="AM44" t="str">
        <f>IF(IFERROR(MATCH($B44,temp!I$4:I$13,0),0)&gt;0,T08_Spells!AM$2,"")</f>
        <v/>
      </c>
      <c r="AN44" t="str">
        <f>IF(IFERROR(MATCH($B44,temp!J$4:J$13,0),0)&gt;0,T08_Spells!AN$2,"")</f>
        <v/>
      </c>
      <c r="AO44" t="str">
        <f>IF(IFERROR(MATCH($B44,temp!K$4:K$13,0),0)&gt;0,T08_Spells!AO$2,"")</f>
        <v>Forest</v>
      </c>
      <c r="AP44" t="str">
        <f>IF(IFERROR(MATCH($B44,temp!L$4:L$13,0),0)&gt;0,T08_Spells!AP$2,"")</f>
        <v/>
      </c>
      <c r="AQ44" t="str">
        <f>IF(IFERROR(MATCH($B44,temp!M$4:M$13,0),0)&gt;0,T08_Spells!AQ$2,"")</f>
        <v/>
      </c>
      <c r="AR44" t="str">
        <f>IF(IFERROR(MATCH($B44,temp!N$4:N$13,0),0)&gt;0,T08_Spells!AR$2,"")</f>
        <v/>
      </c>
      <c r="AS44" t="str">
        <f>IF(IFERROR(MATCH($B44,temp!O$4:O$13,0),0)&gt;0,T08_Spells!AS$2,"")</f>
        <v/>
      </c>
      <c r="AT44" t="str">
        <f>IF(IFERROR(MATCH($B44,temp!P$4:P$13,0),0)&gt;0,T08_Spells!AT$2,"")</f>
        <v/>
      </c>
      <c r="AU44" t="str">
        <f>IF(IFERROR(MATCH($B44,temp!Q$4:Q$13,0),0)&gt;0,T08_Spells!AU$2,"")</f>
        <v/>
      </c>
      <c r="AV44" t="str">
        <f>IF(IFERROR(MATCH($B44,temp!R$4:R$13,0),0)&gt;0,T08_Spells!AV$2,"")</f>
        <v/>
      </c>
      <c r="AW44" t="str">
        <f>IF(IFERROR(MATCH($B44,temp!S$4:S$13,0),0)&gt;0,T08_Spells!AW$2,"")</f>
        <v/>
      </c>
      <c r="AX44" t="str">
        <f>IF(IFERROR(MATCH($B44,temp!T$4:T$13,0),0)&gt;0,T08_Spells!AX$2,"")</f>
        <v>Tempest</v>
      </c>
      <c r="AY44" t="str">
        <f>IF(IFERROR(MATCH($B44,temp!U$4:U$13,0),0)&gt;0,T08_Spells!AY$2,"")</f>
        <v/>
      </c>
      <c r="AZ44" t="str">
        <f>IF(IFERROR(MATCH($B44,temp!V$4:V$13,0),0)&gt;0,T08_Spells!AZ$2,"")</f>
        <v/>
      </c>
      <c r="BA44" t="str">
        <f>IF(IFERROR(MATCH($B44,temp!W$4:W$13,0),0)&gt;0,T08_Spells!BA$2,"")</f>
        <v/>
      </c>
      <c r="BC44">
        <f>IF(IFERROR(SEARCH("Ranger",$T44,1),0)&gt;0,1,0)*IF(RangerMaxSpellLevel&gt;=$C44,1,0)*IF(IFERROR(MATCH(B44,Character_Creation!$X$79:$X$382,0),0)&gt;0,0,1)</f>
        <v>0</v>
      </c>
      <c r="BD44">
        <f>IF(BC44=0,0,1+COUNTIF(BD$3:BD43,"&gt;0"))</f>
        <v>0</v>
      </c>
      <c r="BE44" t="str">
        <f t="shared" si="34"/>
        <v/>
      </c>
      <c r="BF44" t="str">
        <f t="shared" si="6"/>
        <v/>
      </c>
      <c r="BH44">
        <f>IF(IFERROR(SEARCH("Sorcerer",$T44,1),0)&gt;0,1,0)*IF(SorcererMaxSpellLevel&gt;=$C44,1,0)*IF(IFERROR(MATCH(B44,Character_Creation!$J$380:$J$394,0),0)&gt;0,0,1)</f>
        <v>0</v>
      </c>
      <c r="BI44">
        <f>IF(BH44=0,0,1+COUNTIF(BI$3:BI43,"&gt;0"))</f>
        <v>0</v>
      </c>
      <c r="BJ44" t="str">
        <f t="shared" si="35"/>
        <v/>
      </c>
      <c r="BK44" t="str">
        <f t="shared" si="7"/>
        <v/>
      </c>
      <c r="BM44">
        <f>IF(OR(IFERROR(SEARCH("Warlock",$T44,1),0)&gt;0,IFERROR(SEARCH(WarlockPatron,$T44,1),0)&gt;0),1,0)*IF(WarlockMaxSpellLevel&gt;=$C44,1,0)*IF(IFERROR(MATCH(B44,Character_Creation!$J$361:$J$375,0),0)&gt;0,0,1)</f>
        <v>0</v>
      </c>
      <c r="BN44">
        <f>IF(BM44=0,0,1+COUNTIF(BN$3:BN43,"&gt;0"))</f>
        <v>0</v>
      </c>
      <c r="BO44" t="str">
        <f t="shared" si="36"/>
        <v/>
      </c>
      <c r="BP44" t="str">
        <f t="shared" si="8"/>
        <v/>
      </c>
      <c r="BR44">
        <f>IF(IFERROR(SEARCH("Eldritch Knight",$T44,1),0)&gt;0,1,0)*IF(EldritchKnightMaxSpellLevel&gt;=$C44,1,0)*IF(IFERROR(MATCH($B44,Character_Creation!$J$350:$J$356,0),0)&gt;0,0,1)*IF(Character_Creation!$M$338&gt;0,1,0)</f>
        <v>0</v>
      </c>
      <c r="BS44">
        <f>IF(BR44=0,0,1+COUNTIF(BS$3:BS43,"&gt;0"))</f>
        <v>0</v>
      </c>
      <c r="BT44" t="str">
        <f t="shared" si="37"/>
        <v/>
      </c>
      <c r="BU44" t="str">
        <f t="shared" si="9"/>
        <v/>
      </c>
      <c r="BW44">
        <f>IF(IFERROR(SEARCH("Arcane Trickster",$T44,1),0)&gt;0,1,0)*IF(ArcaneTricksterMaxSpellLevel&gt;=$C44,1,0)*IF(IFERROR(MATCH($B44,Character_Creation!$J$350:$J$356,0),0)&gt;0,0,1)*IF(Character_Creation!$T$338&gt;0,1,0)</f>
        <v>0</v>
      </c>
      <c r="BX44">
        <f>IF(BW44=0,0,1+COUNTIF(BX$3:BX43,"&gt;0"))</f>
        <v>0</v>
      </c>
      <c r="BY44" t="str">
        <f t="shared" si="38"/>
        <v/>
      </c>
      <c r="BZ44" t="str">
        <f t="shared" si="10"/>
        <v/>
      </c>
      <c r="CB44">
        <f>IF(IFERROR(SEARCH("Wizard",$T44,1),0)&gt;0,1,0)*IF(C44&lt;=ArcaneTricksterMaxSpellLevel,1,0)*IF(IFERROR(MATCH($B44,Character_Creation!$J$350:$J$356,0),0)&gt;0,0,1)*IF(Character_Creation!$T$350&gt;0,1,0)</f>
        <v>0</v>
      </c>
      <c r="CC44">
        <f>IF(CB44=0,0,1+COUNTIF(CC$3:CC43,"&gt;0"))</f>
        <v>0</v>
      </c>
      <c r="CD44" t="str">
        <f t="shared" si="39"/>
        <v/>
      </c>
      <c r="CE44" t="str">
        <f t="shared" si="11"/>
        <v/>
      </c>
      <c r="CG44">
        <f>IF(IFERROR(SEARCH("Wizard",$T44,1),0)&gt;0,1,0)*IF($C44&lt;=EldritchKnightMaxSpellLevel,1,0)*IF(IFERROR(MATCH($B44,Character_Creation!$J$350:$J$356,0),0)&gt;0,0,1)*IF(Character_Creation!$M$350&gt;0,1,0)</f>
        <v>0</v>
      </c>
      <c r="CH44">
        <f>IF(CG44=0,0,1+COUNTIF(CH$3:CH43,"&gt;0"))</f>
        <v>0</v>
      </c>
      <c r="CI44">
        <f t="shared" si="40"/>
        <v>42</v>
      </c>
      <c r="CJ44" t="str">
        <f t="shared" si="12"/>
        <v>Melf's Acid Arrow</v>
      </c>
      <c r="CL44">
        <f>IF(IFERROR(SEARCH("Bard",$T44,1),0)&gt;0,1,0)*IF(BardMaxSpellLevel&gt;=$C44,1,0)*IF(IFERROR(MATCH(B44,Character_Creation!$C$341:$F$362,0),0)&gt;0,0,1)*IF(IFERROR(MATCH($B44,Character_Creation!$C$341:$C$362,0),0)&gt;0,0,1)</f>
        <v>0</v>
      </c>
      <c r="CM44">
        <f>IF(CL44=0,0,1+COUNTIF(CM$3:CM43,"&gt;0"))</f>
        <v>0</v>
      </c>
      <c r="CN44" t="str">
        <f t="shared" si="41"/>
        <v/>
      </c>
      <c r="CO44" t="str">
        <f t="shared" si="13"/>
        <v/>
      </c>
      <c r="CQ44">
        <f>IF(IFERROR(SEARCH("Wizard",$T44,1),0)&gt;0,1,0)*IF(WizardMaxSpellLevel&gt;=$C44,1,0)*IF(IFERROR(MATCH(B44,Character_Creation!$X$341:$X$400,0),0)&gt;0,0,1)*IF(SelectedWizardSpellLevel=$C44,1,0)</f>
        <v>0</v>
      </c>
      <c r="CR44">
        <f>IF(CQ44=0,0,1+COUNTIF(CR$3:CR43,"&gt;0"))</f>
        <v>0</v>
      </c>
      <c r="CS44" t="str">
        <f t="shared" si="42"/>
        <v/>
      </c>
      <c r="CT44" t="str">
        <f t="shared" si="14"/>
        <v/>
      </c>
      <c r="CV44">
        <f>IF(IFERROR(MATCH($B44,Character_Creation!$C$341:$C$362,0),0)&gt;0,0,1)*IF(OR(C44="Cantrip",C44&lt;=BardMaxSpellLevel),1,0)*IF(IFERROR(MATCH($B44,Character_Creation!$C$367:$C$374,0),0)&gt;0,0,1)</f>
        <v>0</v>
      </c>
      <c r="CW44">
        <f>IF(CV44=0,0,1+COUNTIF(CW$3:CW43,"&gt;0"))</f>
        <v>0</v>
      </c>
      <c r="CX44" t="str">
        <f t="shared" si="43"/>
        <v/>
      </c>
      <c r="CY44" t="str">
        <f t="shared" si="15"/>
        <v/>
      </c>
      <c r="DA44">
        <f>IF(IF(OR(IFERROR(SEARCH("Cleric",$T44,1),0)&gt;0,IFERROR(SEARCH(DivineDomain&amp;",",$T44,1),0)&gt;0),1,0)*IF($C44=DA$2,1,0)=1,1+COUNTIF(DA$3:DA43,"&gt;0"),0)</f>
        <v>0</v>
      </c>
      <c r="DB44">
        <f>IF(IF(OR(IFERROR(SEARCH("Cleric",$T44,1),0)&gt;0,IFERROR(SEARCH(DivineDomain&amp;",",$T44,1),0)&gt;0),1,0)*IF($C44=DB$2,1,0)=1,1+COUNTIF(DB$3:DB43,"&gt;0"),0)</f>
        <v>0</v>
      </c>
      <c r="DC44">
        <f>IF(IF(OR(IFERROR(SEARCH("Cleric",$T44,1),0)&gt;0,IFERROR(SEARCH(DivineDomain&amp;",",$T44,1),0)&gt;0),1,0)*IF($C44=DC$2,1,0)=1,1+COUNTIF(DC$3:DC43,"&gt;0"),0)</f>
        <v>0</v>
      </c>
      <c r="DD44">
        <f>IF(IF(OR(IFERROR(SEARCH("Cleric",$T44,1),0)&gt;0,IFERROR(SEARCH(DivineDomain&amp;",",$T44,1),0)&gt;0),1,0)*IF($C44=DD$2,1,0)=1,1+COUNTIF(DD$3:DD43,"&gt;0"),0)</f>
        <v>0</v>
      </c>
      <c r="DE44">
        <f>IF(IF(OR(IFERROR(SEARCH("Cleric",$T44,1),0)&gt;0,IFERROR(SEARCH(DivineDomain&amp;",",$T44,1),0)&gt;0),1,0)*IF($C44=DE$2,1,0)=1,1+COUNTIF(DE$3:DE43,"&gt;0"),0)</f>
        <v>0</v>
      </c>
      <c r="DF44">
        <f>IF(IF(OR(IFERROR(SEARCH("Cleric",$T44,1),0)&gt;0,IFERROR(SEARCH(DivineDomain&amp;",",$T44,1),0)&gt;0),1,0)*IF($C44=DF$2,1,0)=1,1+COUNTIF(DF$3:DF43,"&gt;0"),0)</f>
        <v>0</v>
      </c>
      <c r="DG44">
        <f>IF(IF(OR(IFERROR(SEARCH("Cleric",$T44,1),0)&gt;0,IFERROR(SEARCH(DivineDomain&amp;",",$T44,1),0)&gt;0),1,0)*IF($C44=DG$2,1,0)=1,1+COUNTIF(DG$3:DG43,"&gt;0"),0)</f>
        <v>0</v>
      </c>
      <c r="DH44">
        <f>IF(IF(OR(IFERROR(SEARCH("Cleric",$T44,1),0)&gt;0,IFERROR(SEARCH(DivineDomain&amp;",",$T44,1),0)&gt;0),1,0)*IF($C44=DH$2,1,0)=1,1+COUNTIF(DH$3:DH43,"&gt;0"),0)</f>
        <v>0</v>
      </c>
      <c r="DI44">
        <f>IF(IF(OR(IFERROR(SEARCH("Cleric",$T44,1),0)&gt;0,IFERROR(SEARCH(DivineDomain&amp;",",$T44,1),0)&gt;0),1,0)*IF($C44=DI$2,1,0)=1,1+COUNTIF(DI$3:DI43,"&gt;0"),0)</f>
        <v>0</v>
      </c>
      <c r="DJ44">
        <f>IF(IF(OR(IFERROR(SEARCH("Druid",$T44,1),0)&gt;0,IFERROR(SEARCH(DruidLand1,$T44,1),0)&gt;0,IFERROR(SEARCH(DruidLand2,$T44,1),0)&gt;0,IFERROR(SEARCH(DruidLand3,$T44,1),0)&gt;0,IFERROR(SEARCH(DruidLand4,$T44,1),0)&gt;0),1,0)*IF($C44=1,1,0)*IF($C44=DJ$2,1,0)=0,0,1+COUNTIF(DJ$3:DJ43,"&gt;0"))</f>
        <v>0</v>
      </c>
      <c r="DK44">
        <f>IF(IF(OR(IFERROR(SEARCH("Druid",$T44,1),0)&gt;0,IFERROR(SEARCH(DruidLand1,$T44,1),0)&gt;0,IFERROR(SEARCH(DruidLand2,$T44,1),0)&gt;0,IFERROR(SEARCH(DruidLand3,$T44,1),0)&gt;0,IFERROR(SEARCH(DruidLand4,$T44,1),0)&gt;0),1,0)*IF($C44=DK$2,1,0)=0,0,1+COUNTIF(DK$3:DK43,"&gt;0"))</f>
        <v>0</v>
      </c>
      <c r="DL44">
        <f>IF(IF(OR(IFERROR(SEARCH("Druid",$T44,1),0)&gt;0,IFERROR(SEARCH(DruidLand1,$T44,1),0)&gt;0,IFERROR(SEARCH(DruidLand2,$T44,1),0)&gt;0,IFERROR(SEARCH(DruidLand3,$T44,1),0)&gt;0,IFERROR(SEARCH(DruidLand4,$T44,1),0)&gt;0),1,0)*IF($C44=DL$2,1,0)=0,0,1+COUNTIF(DL$3:DL43,"&gt;0"))</f>
        <v>1</v>
      </c>
      <c r="DM44">
        <f>IF(IF(OR(IFERROR(SEARCH("Druid",$T44,1),0)&gt;0,IFERROR(SEARCH(DruidLand1,$T44,1),0)&gt;0,IFERROR(SEARCH(DruidLand2,$T44,1),0)&gt;0,IFERROR(SEARCH(DruidLand3,$T44,1),0)&gt;0,IFERROR(SEARCH(DruidLand4,$T44,1),0)&gt;0),1,0)*IF($C44=DM$2,1,0)=0,0,1+COUNTIF(DM$3:DM43,"&gt;0"))</f>
        <v>0</v>
      </c>
      <c r="DN44">
        <f>IF(IF(OR(IFERROR(SEARCH("Druid",$T44,1),0)&gt;0,IFERROR(SEARCH(DruidLand1,$T44,1),0)&gt;0,IFERROR(SEARCH(DruidLand2,$T44,1),0)&gt;0,IFERROR(SEARCH(DruidLand3,$T44,1),0)&gt;0,IFERROR(SEARCH(DruidLand4,$T44,1),0)&gt;0),1,0)*IF($C44=DN$2,1,0)=0,0,1+COUNTIF(DN$3:DN43,"&gt;0"))</f>
        <v>0</v>
      </c>
      <c r="DO44">
        <f>IF(IF(OR(IFERROR(SEARCH("Druid",$T44,1),0)&gt;0,IFERROR(SEARCH(DruidLand1,$T44,1),0)&gt;0,IFERROR(SEARCH(DruidLand2,$T44,1),0)&gt;0,IFERROR(SEARCH(DruidLand3,$T44,1),0)&gt;0,IFERROR(SEARCH(DruidLand4,$T44,1),0)&gt;0),1,0)*IF($C44=DO$2,1,0)=0,0,1+COUNTIF(DO$3:DO43,"&gt;0"))</f>
        <v>0</v>
      </c>
      <c r="DP44">
        <f>IF(IF(OR(IFERROR(SEARCH("Druid",$T44,1),0)&gt;0,IFERROR(SEARCH(DruidLand1,$T44,1),0)&gt;0,IFERROR(SEARCH(DruidLand2,$T44,1),0)&gt;0,IFERROR(SEARCH(DruidLand3,$T44,1),0)&gt;0,IFERROR(SEARCH(DruidLand4,$T44,1),0)&gt;0),1,0)*IF($C44=DP$2,1,0)=0,0,1+COUNTIF(DP$3:DP43,"&gt;0"))</f>
        <v>0</v>
      </c>
      <c r="DQ44">
        <f>IF(IF(OR(IFERROR(SEARCH("Druid",$T44,1),0)&gt;0,IFERROR(SEARCH(DruidLand1,$T44,1),0)&gt;0,IFERROR(SEARCH(DruidLand2,$T44,1),0)&gt;0,IFERROR(SEARCH(DruidLand3,$T44,1),0)&gt;0,IFERROR(SEARCH(DruidLand4,$T44,1),0)&gt;0),1,0)*IF($C44=DQ$2,1,0)=0,0,1+COUNTIF(DQ$3:DQ43,"&gt;0"))</f>
        <v>0</v>
      </c>
      <c r="DR44">
        <f>IF(IF(OR(IFERROR(SEARCH("Druid",$T44,1),0)&gt;0,IFERROR(SEARCH(DruidLand1,$T44,1),0)&gt;0,IFERROR(SEARCH(DruidLand2,$T44,1),0)&gt;0,IFERROR(SEARCH(DruidLand3,$T44,1),0)&gt;0,IFERROR(SEARCH(DruidLand4,$T44,1),0)&gt;0),1,0)*IF($C44=DR$2,1,0)=0,0,1+COUNTIF(DR$3:DR43,"&gt;0"))</f>
        <v>0</v>
      </c>
      <c r="DS44">
        <f>IF(IF(OR(IFERROR(SEARCH("Paladin",$T44,1),0)&gt;0,IFERROR(SEARCH(PaladinOath,$T44,1),0)&gt;0),1,0)*IF($C44=DS$2,1,0)=1,1+COUNTIF(DS$3:DS43,"&gt;0"),0)</f>
        <v>0</v>
      </c>
      <c r="DT44">
        <f>IF(IF(OR(IFERROR(SEARCH("Paladin",$T44,1),0)&gt;0,IFERROR(SEARCH(PaladinOath,$T44,1),0)&gt;0),1,0)*IF($C44=DT$2,1,0)=1,1+COUNTIF(DT$3:DT43,"&gt;0"),0)</f>
        <v>0</v>
      </c>
      <c r="DU44">
        <f>IF(IF(OR(IFERROR(SEARCH("Paladin",$T44,1),0)&gt;0,IFERROR(SEARCH(PaladinOath,$T44,1),0)&gt;0),1,0)*IF($C44=DU$2,1,0)=1,1+COUNTIF(DU$3:DU43,"&gt;0"),0)</f>
        <v>0</v>
      </c>
      <c r="DV44">
        <f>IF(IF(OR(IFERROR(SEARCH("Paladin",$T44,1),0)&gt;0,IFERROR(SEARCH(PaladinOath,$T44,1),0)&gt;0),1,0)*IF($C44=DV$2,1,0)=1,1+COUNTIF(DV$3:DV43,"&gt;0"),0)</f>
        <v>0</v>
      </c>
      <c r="DW44">
        <f>IF(IF(OR(IFERROR(SEARCH("Paladin",$T44,1),0)&gt;0,IFERROR(SEARCH(PaladinOath,$T44,1),0)&gt;0),1,0)*IF($C44=DW$2,1,0)=1,1+COUNTIF(DW$3:DW43,"&gt;0"),0)</f>
        <v>0</v>
      </c>
      <c r="DY44">
        <f t="shared" si="2"/>
        <v>1</v>
      </c>
      <c r="DZ44">
        <f>IF(DY44=0,0,1+MAX(DZ$3:$DZ43))</f>
        <v>42</v>
      </c>
      <c r="EB44">
        <f t="shared" si="16"/>
        <v>0</v>
      </c>
      <c r="EC44">
        <f>IF(EB44=0,0,1+COUNTIF(EC$3:EC43,"&gt;0"))</f>
        <v>0</v>
      </c>
      <c r="ED44" t="str">
        <f t="shared" si="44"/>
        <v/>
      </c>
      <c r="EE44" t="str">
        <f t="shared" si="17"/>
        <v/>
      </c>
      <c r="EG44">
        <f t="shared" si="18"/>
        <v>0</v>
      </c>
      <c r="EH44">
        <f>IF(EG44=0,0,1+COUNTIF(EH$3:EH43,"&gt;0"))</f>
        <v>0</v>
      </c>
      <c r="EI44" t="str">
        <f t="shared" si="45"/>
        <v/>
      </c>
      <c r="EJ44" t="str">
        <f t="shared" si="19"/>
        <v/>
      </c>
      <c r="EL44">
        <f t="shared" si="20"/>
        <v>0</v>
      </c>
      <c r="EM44">
        <f>IF(EL44=0,0,1+COUNTIF(EM$3:EM43,"&gt;0"))</f>
        <v>0</v>
      </c>
      <c r="EN44" t="str">
        <f t="shared" si="46"/>
        <v/>
      </c>
      <c r="EO44" t="str">
        <f t="shared" si="21"/>
        <v/>
      </c>
      <c r="EQ44">
        <f t="shared" si="22"/>
        <v>0</v>
      </c>
      <c r="ER44">
        <f>IF(EQ44=0,0,1+COUNTIF(ER$3:ER43,"&gt;0"))</f>
        <v>0</v>
      </c>
      <c r="ES44" t="str">
        <f t="shared" si="47"/>
        <v/>
      </c>
      <c r="ET44" t="str">
        <f t="shared" si="23"/>
        <v/>
      </c>
      <c r="EV44">
        <f t="shared" si="24"/>
        <v>0</v>
      </c>
      <c r="EW44">
        <f>IF(EV44=0,0,1+COUNTIF(EW$3:EW43,"&gt;0"))</f>
        <v>0</v>
      </c>
      <c r="EX44" t="str">
        <f t="shared" si="48"/>
        <v/>
      </c>
      <c r="EY44" t="str">
        <f t="shared" si="25"/>
        <v/>
      </c>
      <c r="FA44">
        <f t="shared" si="26"/>
        <v>0</v>
      </c>
      <c r="FB44">
        <f>IF(FA44=0,0,1+COUNTIF(FB$3:FB43,"&gt;0"))</f>
        <v>0</v>
      </c>
      <c r="FC44" t="str">
        <f t="shared" si="49"/>
        <v/>
      </c>
      <c r="FD44" t="str">
        <f t="shared" si="27"/>
        <v/>
      </c>
      <c r="FF44">
        <f t="shared" si="28"/>
        <v>0</v>
      </c>
      <c r="FG44">
        <f>IF(FF44=0,0,1+COUNTIF(FG$3:FG43,"&gt;0"))</f>
        <v>0</v>
      </c>
      <c r="FH44" t="str">
        <f t="shared" si="50"/>
        <v/>
      </c>
      <c r="FI44" t="str">
        <f t="shared" si="29"/>
        <v/>
      </c>
      <c r="FK44">
        <f t="shared" si="30"/>
        <v>0</v>
      </c>
      <c r="FL44">
        <f>IF(FK44=0,0,1+COUNTIF(FL$3:FL43,"&gt;0"))</f>
        <v>0</v>
      </c>
      <c r="FM44" t="str">
        <f t="shared" si="51"/>
        <v/>
      </c>
      <c r="FN44" t="str">
        <f t="shared" si="31"/>
        <v/>
      </c>
      <c r="FP44">
        <f t="shared" si="32"/>
        <v>0</v>
      </c>
      <c r="FQ44">
        <f>IF(FP44=0,0,1+COUNTIF(FQ$3:FQ43,"&gt;0"))</f>
        <v>0</v>
      </c>
      <c r="FR44" t="str">
        <f t="shared" si="52"/>
        <v/>
      </c>
      <c r="FS44" t="str">
        <f t="shared" si="33"/>
        <v/>
      </c>
    </row>
    <row r="45" spans="1:175" x14ac:dyDescent="0.25">
      <c r="A45" s="347">
        <f t="shared" si="53"/>
        <v>43</v>
      </c>
      <c r="B45" s="348" t="s">
        <v>2404</v>
      </c>
      <c r="C45" s="348">
        <v>2</v>
      </c>
      <c r="D45" s="347">
        <v>2</v>
      </c>
      <c r="E45" s="627" t="s">
        <v>6952</v>
      </c>
      <c r="F45" s="346"/>
      <c r="G45" s="347" t="str">
        <f>""</f>
        <v/>
      </c>
      <c r="H45" s="347" t="s">
        <v>5912</v>
      </c>
      <c r="I45" s="347" t="s">
        <v>424</v>
      </c>
      <c r="J45" s="347" t="str">
        <f t="shared" si="3"/>
        <v/>
      </c>
      <c r="K45" s="347" t="s">
        <v>5291</v>
      </c>
      <c r="L45" s="611" t="str">
        <f t="shared" si="4"/>
        <v>V, S</v>
      </c>
      <c r="M45" s="347" t="s">
        <v>2373</v>
      </c>
      <c r="N45" s="347" t="s">
        <v>2387</v>
      </c>
      <c r="O45" s="347" t="s">
        <v>3034</v>
      </c>
      <c r="P45" s="346" t="str">
        <f>""</f>
        <v/>
      </c>
      <c r="Q45" s="347" t="s">
        <v>5272</v>
      </c>
      <c r="S45" s="346" t="s">
        <v>5614</v>
      </c>
      <c r="T45" s="346" t="str">
        <f t="shared" si="5"/>
        <v xml:space="preserve">Bard, Cleric, Archfey, </v>
      </c>
      <c r="U45" s="347" t="str">
        <f>$B45</f>
        <v>Calm Emotions</v>
      </c>
      <c r="Z45" s="347" t="str">
        <f>$B45</f>
        <v>Calm Emotions</v>
      </c>
      <c r="AE45" t="str">
        <f>IF(IFERROR(MATCH($B45,temp!A$4:A$13,0),0)&gt;0,T08_Spells!AE$2,"")</f>
        <v/>
      </c>
      <c r="AF45" t="str">
        <f>IF(IFERROR(MATCH($B45,temp!B$4:B$13,0),0)&gt;0,T08_Spells!AF$2,"")</f>
        <v/>
      </c>
      <c r="AG45" t="str">
        <f>IF(IFERROR(MATCH($B45,temp!C$4:C$13,0),0)&gt;0,T08_Spells!AG$2,"")</f>
        <v/>
      </c>
      <c r="AH45" t="str">
        <f>IF(IFERROR(MATCH($B45,temp!D$4:D$13,0),0)&gt;0,T08_Spells!AH$2,"")</f>
        <v/>
      </c>
      <c r="AI45" t="str">
        <f>IF(IFERROR(MATCH($B45,temp!E$4:E$13,0),0)&gt;0,T08_Spells!AI$2,"")</f>
        <v>Archfey</v>
      </c>
      <c r="AJ45" t="str">
        <f>IF(IFERROR(MATCH($B45,temp!F$4:F$13,0),0)&gt;0,T08_Spells!AJ$2,"")</f>
        <v/>
      </c>
      <c r="AK45" t="str">
        <f>IF(IFERROR(MATCH($B45,temp!G$4:G$13,0),0)&gt;0,T08_Spells!AK$2,"")</f>
        <v/>
      </c>
      <c r="AL45" t="str">
        <f>IF(IFERROR(MATCH($B45,temp!H$4:H$13,0),0)&gt;0,T08_Spells!AL$2,"")</f>
        <v/>
      </c>
      <c r="AM45" t="str">
        <f>IF(IFERROR(MATCH($B45,temp!I$4:I$13,0),0)&gt;0,T08_Spells!AM$2,"")</f>
        <v/>
      </c>
      <c r="AN45" t="str">
        <f>IF(IFERROR(MATCH($B45,temp!J$4:J$13,0),0)&gt;0,T08_Spells!AN$2,"")</f>
        <v/>
      </c>
      <c r="AO45" t="str">
        <f>IF(IFERROR(MATCH($B45,temp!K$4:K$13,0),0)&gt;0,T08_Spells!AO$2,"")</f>
        <v/>
      </c>
      <c r="AP45" t="str">
        <f>IF(IFERROR(MATCH($B45,temp!L$4:L$13,0),0)&gt;0,T08_Spells!AP$2,"")</f>
        <v/>
      </c>
      <c r="AQ45" t="str">
        <f>IF(IFERROR(MATCH($B45,temp!M$4:M$13,0),0)&gt;0,T08_Spells!AQ$2,"")</f>
        <v/>
      </c>
      <c r="AR45" t="str">
        <f>IF(IFERROR(MATCH($B45,temp!N$4:N$13,0),0)&gt;0,T08_Spells!AR$2,"")</f>
        <v/>
      </c>
      <c r="AS45" t="str">
        <f>IF(IFERROR(MATCH($B45,temp!O$4:O$13,0),0)&gt;0,T08_Spells!AS$2,"")</f>
        <v/>
      </c>
      <c r="AT45" t="str">
        <f>IF(IFERROR(MATCH($B45,temp!P$4:P$13,0),0)&gt;0,T08_Spells!AT$2,"")</f>
        <v/>
      </c>
      <c r="AU45" t="str">
        <f>IF(IFERROR(MATCH($B45,temp!Q$4:Q$13,0),0)&gt;0,T08_Spells!AU$2,"")</f>
        <v/>
      </c>
      <c r="AV45" t="str">
        <f>IF(IFERROR(MATCH($B45,temp!R$4:R$13,0),0)&gt;0,T08_Spells!AV$2,"")</f>
        <v/>
      </c>
      <c r="AW45" t="str">
        <f>IF(IFERROR(MATCH($B45,temp!S$4:S$13,0),0)&gt;0,T08_Spells!AW$2,"")</f>
        <v/>
      </c>
      <c r="AX45" t="str">
        <f>IF(IFERROR(MATCH($B45,temp!T$4:T$13,0),0)&gt;0,T08_Spells!AX$2,"")</f>
        <v/>
      </c>
      <c r="AY45" t="str">
        <f>IF(IFERROR(MATCH($B45,temp!U$4:U$13,0),0)&gt;0,T08_Spells!AY$2,"")</f>
        <v/>
      </c>
      <c r="AZ45" t="str">
        <f>IF(IFERROR(MATCH($B45,temp!V$4:V$13,0),0)&gt;0,T08_Spells!AZ$2,"")</f>
        <v/>
      </c>
      <c r="BA45" t="str">
        <f>IF(IFERROR(MATCH($B45,temp!W$4:W$13,0),0)&gt;0,T08_Spells!BA$2,"")</f>
        <v/>
      </c>
      <c r="BC45">
        <f>IF(IFERROR(SEARCH("Ranger",$T45,1),0)&gt;0,1,0)*IF(RangerMaxSpellLevel&gt;=$C45,1,0)*IF(IFERROR(MATCH(B45,Character_Creation!$X$79:$X$382,0),0)&gt;0,0,1)</f>
        <v>0</v>
      </c>
      <c r="BD45">
        <f>IF(BC45=0,0,1+COUNTIF(BD$3:BD44,"&gt;0"))</f>
        <v>0</v>
      </c>
      <c r="BE45" t="str">
        <f t="shared" si="34"/>
        <v/>
      </c>
      <c r="BF45" t="str">
        <f t="shared" si="6"/>
        <v/>
      </c>
      <c r="BH45">
        <f>IF(IFERROR(SEARCH("Sorcerer",$T45,1),0)&gt;0,1,0)*IF(SorcererMaxSpellLevel&gt;=$C45,1,0)*IF(IFERROR(MATCH(B45,Character_Creation!$J$380:$J$394,0),0)&gt;0,0,1)</f>
        <v>0</v>
      </c>
      <c r="BI45">
        <f>IF(BH45=0,0,1+COUNTIF(BI$3:BI44,"&gt;0"))</f>
        <v>0</v>
      </c>
      <c r="BJ45" t="str">
        <f t="shared" si="35"/>
        <v/>
      </c>
      <c r="BK45" t="str">
        <f t="shared" si="7"/>
        <v/>
      </c>
      <c r="BM45">
        <f>IF(OR(IFERROR(SEARCH("Warlock",$T45,1),0)&gt;0,IFERROR(SEARCH(WarlockPatron,$T45,1),0)&gt;0),1,0)*IF(WarlockMaxSpellLevel&gt;=$C45,1,0)*IF(IFERROR(MATCH(B45,Character_Creation!$J$361:$J$375,0),0)&gt;0,0,1)</f>
        <v>0</v>
      </c>
      <c r="BN45">
        <f>IF(BM45=0,0,1+COUNTIF(BN$3:BN44,"&gt;0"))</f>
        <v>0</v>
      </c>
      <c r="BO45" t="str">
        <f t="shared" si="36"/>
        <v/>
      </c>
      <c r="BP45" t="str">
        <f t="shared" si="8"/>
        <v/>
      </c>
      <c r="BR45">
        <f>IF(IFERROR(SEARCH("Eldritch Knight",$T45,1),0)&gt;0,1,0)*IF(EldritchKnightMaxSpellLevel&gt;=$C45,1,0)*IF(IFERROR(MATCH($B45,Character_Creation!$J$350:$J$356,0),0)&gt;0,0,1)*IF(Character_Creation!$M$338&gt;0,1,0)</f>
        <v>0</v>
      </c>
      <c r="BS45">
        <f>IF(BR45=0,0,1+COUNTIF(BS$3:BS44,"&gt;0"))</f>
        <v>0</v>
      </c>
      <c r="BT45" t="str">
        <f t="shared" si="37"/>
        <v/>
      </c>
      <c r="BU45" t="str">
        <f t="shared" si="9"/>
        <v/>
      </c>
      <c r="BW45">
        <f>IF(IFERROR(SEARCH("Arcane Trickster",$T45,1),0)&gt;0,1,0)*IF(ArcaneTricksterMaxSpellLevel&gt;=$C45,1,0)*IF(IFERROR(MATCH($B45,Character_Creation!$J$350:$J$356,0),0)&gt;0,0,1)*IF(Character_Creation!$T$338&gt;0,1,0)</f>
        <v>0</v>
      </c>
      <c r="BX45">
        <f>IF(BW45=0,0,1+COUNTIF(BX$3:BX44,"&gt;0"))</f>
        <v>0</v>
      </c>
      <c r="BY45" t="str">
        <f t="shared" si="38"/>
        <v/>
      </c>
      <c r="BZ45" t="str">
        <f t="shared" si="10"/>
        <v/>
      </c>
      <c r="CB45">
        <f>IF(IFERROR(SEARCH("Wizard",$T45,1),0)&gt;0,1,0)*IF(C45&lt;=ArcaneTricksterMaxSpellLevel,1,0)*IF(IFERROR(MATCH($B45,Character_Creation!$J$350:$J$356,0),0)&gt;0,0,1)*IF(Character_Creation!$T$350&gt;0,1,0)</f>
        <v>0</v>
      </c>
      <c r="CC45">
        <f>IF(CB45=0,0,1+COUNTIF(CC$3:CC44,"&gt;0"))</f>
        <v>0</v>
      </c>
      <c r="CD45" t="str">
        <f t="shared" si="39"/>
        <v/>
      </c>
      <c r="CE45" t="str">
        <f t="shared" si="11"/>
        <v/>
      </c>
      <c r="CG45">
        <f>IF(IFERROR(SEARCH("Wizard",$T45,1),0)&gt;0,1,0)*IF($C45&lt;=EldritchKnightMaxSpellLevel,1,0)*IF(IFERROR(MATCH($B45,Character_Creation!$J$350:$J$356,0),0)&gt;0,0,1)*IF(Character_Creation!$M$350&gt;0,1,0)</f>
        <v>0</v>
      </c>
      <c r="CH45">
        <f>IF(CG45=0,0,1+COUNTIF(CH$3:CH44,"&gt;0"))</f>
        <v>0</v>
      </c>
      <c r="CI45">
        <f t="shared" si="40"/>
        <v>43</v>
      </c>
      <c r="CJ45" t="str">
        <f t="shared" si="12"/>
        <v>Mirror Image</v>
      </c>
      <c r="CL45">
        <f>IF(IFERROR(SEARCH("Bard",$T45,1),0)&gt;0,1,0)*IF(BardMaxSpellLevel&gt;=$C45,1,0)*IF(IFERROR(MATCH(B45,Character_Creation!$C$341:$F$362,0),0)&gt;0,0,1)*IF(IFERROR(MATCH($B45,Character_Creation!$C$341:$C$362,0),0)&gt;0,0,1)</f>
        <v>0</v>
      </c>
      <c r="CM45">
        <f>IF(CL45=0,0,1+COUNTIF(CM$3:CM44,"&gt;0"))</f>
        <v>0</v>
      </c>
      <c r="CN45" t="str">
        <f t="shared" si="41"/>
        <v/>
      </c>
      <c r="CO45" t="str">
        <f t="shared" si="13"/>
        <v/>
      </c>
      <c r="CQ45">
        <f>IF(IFERROR(SEARCH("Wizard",$T45,1),0)&gt;0,1,0)*IF(WizardMaxSpellLevel&gt;=$C45,1,0)*IF(IFERROR(MATCH(B45,Character_Creation!$X$341:$X$400,0),0)&gt;0,0,1)*IF(SelectedWizardSpellLevel=$C45,1,0)</f>
        <v>0</v>
      </c>
      <c r="CR45">
        <f>IF(CQ45=0,0,1+COUNTIF(CR$3:CR44,"&gt;0"))</f>
        <v>0</v>
      </c>
      <c r="CS45" t="str">
        <f t="shared" si="42"/>
        <v/>
      </c>
      <c r="CT45" t="str">
        <f t="shared" si="14"/>
        <v/>
      </c>
      <c r="CV45">
        <f>IF(IFERROR(MATCH($B45,Character_Creation!$C$341:$C$362,0),0)&gt;0,0,1)*IF(OR(C45="Cantrip",C45&lt;=BardMaxSpellLevel),1,0)*IF(IFERROR(MATCH($B45,Character_Creation!$C$367:$C$374,0),0)&gt;0,0,1)</f>
        <v>0</v>
      </c>
      <c r="CW45">
        <f>IF(CV45=0,0,1+COUNTIF(CW$3:CW44,"&gt;0"))</f>
        <v>0</v>
      </c>
      <c r="CX45" t="str">
        <f t="shared" si="43"/>
        <v/>
      </c>
      <c r="CY45" t="str">
        <f t="shared" si="15"/>
        <v/>
      </c>
      <c r="DA45">
        <f>IF(IF(OR(IFERROR(SEARCH("Cleric",$T45,1),0)&gt;0,IFERROR(SEARCH(DivineDomain&amp;",",$T45,1),0)&gt;0),1,0)*IF($C45=DA$2,1,0)=1,1+COUNTIF(DA$3:DA44,"&gt;0"),0)</f>
        <v>0</v>
      </c>
      <c r="DB45">
        <f>IF(IF(OR(IFERROR(SEARCH("Cleric",$T45,1),0)&gt;0,IFERROR(SEARCH(DivineDomain&amp;",",$T45,1),0)&gt;0),1,0)*IF($C45=DB$2,1,0)=1,1+COUNTIF(DB$3:DB44,"&gt;0"),0)</f>
        <v>4</v>
      </c>
      <c r="DC45">
        <f>IF(IF(OR(IFERROR(SEARCH("Cleric",$T45,1),0)&gt;0,IFERROR(SEARCH(DivineDomain&amp;",",$T45,1),0)&gt;0),1,0)*IF($C45=DC$2,1,0)=1,1+COUNTIF(DC$3:DC44,"&gt;0"),0)</f>
        <v>0</v>
      </c>
      <c r="DD45">
        <f>IF(IF(OR(IFERROR(SEARCH("Cleric",$T45,1),0)&gt;0,IFERROR(SEARCH(DivineDomain&amp;",",$T45,1),0)&gt;0),1,0)*IF($C45=DD$2,1,0)=1,1+COUNTIF(DD$3:DD44,"&gt;0"),0)</f>
        <v>0</v>
      </c>
      <c r="DE45">
        <f>IF(IF(OR(IFERROR(SEARCH("Cleric",$T45,1),0)&gt;0,IFERROR(SEARCH(DivineDomain&amp;",",$T45,1),0)&gt;0),1,0)*IF($C45=DE$2,1,0)=1,1+COUNTIF(DE$3:DE44,"&gt;0"),0)</f>
        <v>0</v>
      </c>
      <c r="DF45">
        <f>IF(IF(OR(IFERROR(SEARCH("Cleric",$T45,1),0)&gt;0,IFERROR(SEARCH(DivineDomain&amp;",",$T45,1),0)&gt;0),1,0)*IF($C45=DF$2,1,0)=1,1+COUNTIF(DF$3:DF44,"&gt;0"),0)</f>
        <v>0</v>
      </c>
      <c r="DG45">
        <f>IF(IF(OR(IFERROR(SEARCH("Cleric",$T45,1),0)&gt;0,IFERROR(SEARCH(DivineDomain&amp;",",$T45,1),0)&gt;0),1,0)*IF($C45=DG$2,1,0)=1,1+COUNTIF(DG$3:DG44,"&gt;0"),0)</f>
        <v>0</v>
      </c>
      <c r="DH45">
        <f>IF(IF(OR(IFERROR(SEARCH("Cleric",$T45,1),0)&gt;0,IFERROR(SEARCH(DivineDomain&amp;",",$T45,1),0)&gt;0),1,0)*IF($C45=DH$2,1,0)=1,1+COUNTIF(DH$3:DH44,"&gt;0"),0)</f>
        <v>0</v>
      </c>
      <c r="DI45">
        <f>IF(IF(OR(IFERROR(SEARCH("Cleric",$T45,1),0)&gt;0,IFERROR(SEARCH(DivineDomain&amp;",",$T45,1),0)&gt;0),1,0)*IF($C45=DI$2,1,0)=1,1+COUNTIF(DI$3:DI44,"&gt;0"),0)</f>
        <v>0</v>
      </c>
      <c r="DJ45">
        <f>IF(IF(OR(IFERROR(SEARCH("Druid",$T45,1),0)&gt;0,IFERROR(SEARCH(DruidLand1,$T45,1),0)&gt;0,IFERROR(SEARCH(DruidLand2,$T45,1),0)&gt;0,IFERROR(SEARCH(DruidLand3,$T45,1),0)&gt;0,IFERROR(SEARCH(DruidLand4,$T45,1),0)&gt;0),1,0)*IF($C45=1,1,0)*IF($C45=DJ$2,1,0)=0,0,1+COUNTIF(DJ$3:DJ44,"&gt;0"))</f>
        <v>0</v>
      </c>
      <c r="DK45">
        <f>IF(IF(OR(IFERROR(SEARCH("Druid",$T45,1),0)&gt;0,IFERROR(SEARCH(DruidLand1,$T45,1),0)&gt;0,IFERROR(SEARCH(DruidLand2,$T45,1),0)&gt;0,IFERROR(SEARCH(DruidLand3,$T45,1),0)&gt;0,IFERROR(SEARCH(DruidLand4,$T45,1),0)&gt;0),1,0)*IF($C45=1,1,0)*IF($C45=DK$2,1,0)=0,0,1+COUNTIF(DK$3:DK44,"&gt;0"))</f>
        <v>0</v>
      </c>
      <c r="DL45">
        <f>IF(IF(OR(IFERROR(SEARCH("Druid",$T45,1),0)&gt;0,IFERROR(SEARCH(DruidLand1,$T45,1),0)&gt;0,IFERROR(SEARCH(DruidLand2,$T45,1),0)&gt;0,IFERROR(SEARCH(DruidLand3,$T45,1),0)&gt;0,IFERROR(SEARCH(DruidLand4,$T45,1),0)&gt;0),1,0)*IF($C45=1,1,0)*IF($C45=DL$2,1,0)=0,0,1+COUNTIF(DL$3:DL44,"&gt;0"))</f>
        <v>0</v>
      </c>
      <c r="DM45">
        <f>IF(IF(OR(IFERROR(SEARCH("Druid",$T45,1),0)&gt;0,IFERROR(SEARCH(DruidLand1,$T45,1),0)&gt;0,IFERROR(SEARCH(DruidLand2,$T45,1),0)&gt;0,IFERROR(SEARCH(DruidLand3,$T45,1),0)&gt;0,IFERROR(SEARCH(DruidLand4,$T45,1),0)&gt;0),1,0)*IF($C45=1,1,0)*IF($C45=DM$2,1,0)=0,0,1+COUNTIF(DM$3:DM44,"&gt;0"))</f>
        <v>0</v>
      </c>
      <c r="DN45">
        <f>IF(IF(OR(IFERROR(SEARCH("Druid",$T45,1),0)&gt;0,IFERROR(SEARCH(DruidLand1,$T45,1),0)&gt;0,IFERROR(SEARCH(DruidLand2,$T45,1),0)&gt;0,IFERROR(SEARCH(DruidLand3,$T45,1),0)&gt;0,IFERROR(SEARCH(DruidLand4,$T45,1),0)&gt;0),1,0)*IF($C45=1,1,0)*IF($C45=DN$2,1,0)=0,0,1+COUNTIF(DN$3:DN44,"&gt;0"))</f>
        <v>0</v>
      </c>
      <c r="DO45">
        <f>IF(IF(OR(IFERROR(SEARCH("Druid",$T45,1),0)&gt;0,IFERROR(SEARCH(DruidLand1,$T45,1),0)&gt;0,IFERROR(SEARCH(DruidLand2,$T45,1),0)&gt;0,IFERROR(SEARCH(DruidLand3,$T45,1),0)&gt;0,IFERROR(SEARCH(DruidLand4,$T45,1),0)&gt;0),1,0)*IF($C45=1,1,0)*IF($C45=DO$2,1,0)=0,0,1+COUNTIF(DO$3:DO44,"&gt;0"))</f>
        <v>0</v>
      </c>
      <c r="DP45">
        <f>IF(IF(OR(IFERROR(SEARCH("Druid",$T45,1),0)&gt;0,IFERROR(SEARCH(DruidLand1,$T45,1),0)&gt;0,IFERROR(SEARCH(DruidLand2,$T45,1),0)&gt;0,IFERROR(SEARCH(DruidLand3,$T45,1),0)&gt;0,IFERROR(SEARCH(DruidLand4,$T45,1),0)&gt;0),1,0)*IF($C45=1,1,0)*IF($C45=DP$2,1,0)=0,0,1+COUNTIF(DP$3:DP44,"&gt;0"))</f>
        <v>0</v>
      </c>
      <c r="DQ45">
        <f>IF(IF(OR(IFERROR(SEARCH("Druid",$T45,1),0)&gt;0,IFERROR(SEARCH(DruidLand1,$T45,1),0)&gt;0,IFERROR(SEARCH(DruidLand2,$T45,1),0)&gt;0,IFERROR(SEARCH(DruidLand3,$T45,1),0)&gt;0,IFERROR(SEARCH(DruidLand4,$T45,1),0)&gt;0),1,0)*IF($C45=1,1,0)*IF($C45=DQ$2,1,0)=0,0,1+COUNTIF(DQ$3:DQ44,"&gt;0"))</f>
        <v>0</v>
      </c>
      <c r="DR45">
        <f>IF(IF(OR(IFERROR(SEARCH("Druid",$T45,1),0)&gt;0,IFERROR(SEARCH(DruidLand1,$T45,1),0)&gt;0,IFERROR(SEARCH(DruidLand2,$T45,1),0)&gt;0,IFERROR(SEARCH(DruidLand3,$T45,1),0)&gt;0,IFERROR(SEARCH(DruidLand4,$T45,1),0)&gt;0),1,0)*IF($C45=1,1,0)*IF($C45=DR$2,1,0)=0,0,1+COUNTIF(DR$3:DR44,"&gt;0"))</f>
        <v>0</v>
      </c>
      <c r="DS45">
        <f>IF(IF(OR(IFERROR(SEARCH("Paladin",$T45,1),0)&gt;0,IFERROR(SEARCH(PaladinOath,$T45,1),0)&gt;0),1,0)*IF($C45=DS$2,1,0)=1,1+COUNTIF(DS$3:DS44,"&gt;0"),0)</f>
        <v>0</v>
      </c>
      <c r="DT45">
        <f>IF(IF(OR(IFERROR(SEARCH("Paladin",$T45,1),0)&gt;0,IFERROR(SEARCH(PaladinOath,$T45,1),0)&gt;0),1,0)*IF($C45=DT$2,1,0)=1,1+COUNTIF(DT$3:DT44,"&gt;0"),0)</f>
        <v>0</v>
      </c>
      <c r="DU45">
        <f>IF(IF(OR(IFERROR(SEARCH("Paladin",$T45,1),0)&gt;0,IFERROR(SEARCH(PaladinOath,$T45,1),0)&gt;0),1,0)*IF($C45=DU$2,1,0)=1,1+COUNTIF(DU$3:DU44,"&gt;0"),0)</f>
        <v>0</v>
      </c>
      <c r="DV45">
        <f>IF(IF(OR(IFERROR(SEARCH("Paladin",$T45,1),0)&gt;0,IFERROR(SEARCH(PaladinOath,$T45,1),0)&gt;0),1,0)*IF($C45=DV$2,1,0)=1,1+COUNTIF(DV$3:DV44,"&gt;0"),0)</f>
        <v>0</v>
      </c>
      <c r="DW45">
        <f>IF(IF(OR(IFERROR(SEARCH("Paladin",$T45,1),0)&gt;0,IFERROR(SEARCH(PaladinOath,$T45,1),0)&gt;0),1,0)*IF($C45=DW$2,1,0)=1,1+COUNTIF(DW$3:DW44,"&gt;0"),0)</f>
        <v>0</v>
      </c>
      <c r="DY45">
        <f t="shared" si="2"/>
        <v>1</v>
      </c>
      <c r="DZ45">
        <f>IF(DY45=0,0,1+MAX(DZ$3:$DZ44))</f>
        <v>43</v>
      </c>
      <c r="EB45">
        <f t="shared" si="16"/>
        <v>0</v>
      </c>
      <c r="EC45">
        <f>IF(EB45=0,0,1+COUNTIF(EC$3:EC44,"&gt;0"))</f>
        <v>0</v>
      </c>
      <c r="ED45" t="str">
        <f t="shared" si="44"/>
        <v/>
      </c>
      <c r="EE45" t="str">
        <f t="shared" si="17"/>
        <v/>
      </c>
      <c r="EG45">
        <f t="shared" si="18"/>
        <v>0</v>
      </c>
      <c r="EH45">
        <f>IF(EG45=0,0,1+COUNTIF(EH$3:EH44,"&gt;0"))</f>
        <v>0</v>
      </c>
      <c r="EI45" t="str">
        <f t="shared" si="45"/>
        <v/>
      </c>
      <c r="EJ45" t="str">
        <f t="shared" si="19"/>
        <v/>
      </c>
      <c r="EL45">
        <f t="shared" si="20"/>
        <v>0</v>
      </c>
      <c r="EM45">
        <f>IF(EL45=0,0,1+COUNTIF(EM$3:EM44,"&gt;0"))</f>
        <v>0</v>
      </c>
      <c r="EN45" t="str">
        <f t="shared" si="46"/>
        <v/>
      </c>
      <c r="EO45" t="str">
        <f t="shared" si="21"/>
        <v/>
      </c>
      <c r="EQ45">
        <f t="shared" si="22"/>
        <v>0</v>
      </c>
      <c r="ER45">
        <f>IF(EQ45=0,0,1+COUNTIF(ER$3:ER44,"&gt;0"))</f>
        <v>0</v>
      </c>
      <c r="ES45" t="str">
        <f t="shared" si="47"/>
        <v/>
      </c>
      <c r="ET45" t="str">
        <f t="shared" si="23"/>
        <v/>
      </c>
      <c r="EV45">
        <f t="shared" si="24"/>
        <v>0</v>
      </c>
      <c r="EW45">
        <f>IF(EV45=0,0,1+COUNTIF(EW$3:EW44,"&gt;0"))</f>
        <v>0</v>
      </c>
      <c r="EX45" t="str">
        <f t="shared" si="48"/>
        <v/>
      </c>
      <c r="EY45" t="str">
        <f t="shared" si="25"/>
        <v/>
      </c>
      <c r="FA45">
        <f t="shared" si="26"/>
        <v>0</v>
      </c>
      <c r="FB45">
        <f>IF(FA45=0,0,1+COUNTIF(FB$3:FB44,"&gt;0"))</f>
        <v>0</v>
      </c>
      <c r="FC45" t="str">
        <f t="shared" si="49"/>
        <v/>
      </c>
      <c r="FD45" t="str">
        <f t="shared" si="27"/>
        <v/>
      </c>
      <c r="FF45">
        <f t="shared" si="28"/>
        <v>0</v>
      </c>
      <c r="FG45">
        <f>IF(FF45=0,0,1+COUNTIF(FG$3:FG44,"&gt;0"))</f>
        <v>0</v>
      </c>
      <c r="FH45" t="str">
        <f t="shared" si="50"/>
        <v/>
      </c>
      <c r="FI45" t="str">
        <f t="shared" si="29"/>
        <v/>
      </c>
      <c r="FK45">
        <f t="shared" si="30"/>
        <v>0</v>
      </c>
      <c r="FL45">
        <f>IF(FK45=0,0,1+COUNTIF(FL$3:FL44,"&gt;0"))</f>
        <v>0</v>
      </c>
      <c r="FM45" t="str">
        <f t="shared" si="51"/>
        <v/>
      </c>
      <c r="FN45" t="str">
        <f t="shared" si="31"/>
        <v/>
      </c>
      <c r="FP45">
        <f t="shared" si="32"/>
        <v>0</v>
      </c>
      <c r="FQ45">
        <f>IF(FP45=0,0,1+COUNTIF(FQ$3:FQ44,"&gt;0"))</f>
        <v>0</v>
      </c>
      <c r="FR45" t="str">
        <f t="shared" si="52"/>
        <v/>
      </c>
      <c r="FS45" t="str">
        <f t="shared" si="33"/>
        <v/>
      </c>
    </row>
    <row r="46" spans="1:175" x14ac:dyDescent="0.25">
      <c r="A46" s="347">
        <f t="shared" si="53"/>
        <v>44</v>
      </c>
      <c r="B46" s="348" t="s">
        <v>2405</v>
      </c>
      <c r="C46" s="348">
        <v>6</v>
      </c>
      <c r="D46" s="347">
        <v>6</v>
      </c>
      <c r="E46" s="627" t="s">
        <v>6952</v>
      </c>
      <c r="F46" s="346"/>
      <c r="G46" s="347" t="str">
        <f>""</f>
        <v/>
      </c>
      <c r="H46" s="347" t="s">
        <v>5912</v>
      </c>
      <c r="I46" s="347" t="s">
        <v>5315</v>
      </c>
      <c r="J46" s="347" t="str">
        <f t="shared" si="3"/>
        <v/>
      </c>
      <c r="K46" s="347" t="s">
        <v>5278</v>
      </c>
      <c r="L46" s="611" t="str">
        <f t="shared" si="4"/>
        <v>V, S, M, a bit of fur; a piece of amber, glass, or a crystal rod; and three silver pins</v>
      </c>
      <c r="M46" s="347" t="s">
        <v>2373</v>
      </c>
      <c r="N46" s="347" t="s">
        <v>2387</v>
      </c>
      <c r="O46" s="347" t="s">
        <v>1244</v>
      </c>
      <c r="P46" s="346" t="s">
        <v>5316</v>
      </c>
      <c r="Q46" s="347" t="s">
        <v>5273</v>
      </c>
      <c r="S46" s="346" t="s">
        <v>5615</v>
      </c>
      <c r="T46" s="346" t="str">
        <f t="shared" si="5"/>
        <v xml:space="preserve">Sorcerer, Eldritch Knight, Wizard, </v>
      </c>
      <c r="X46" s="347" t="str">
        <f t="shared" ref="X46:Y50" si="55">$B46</f>
        <v>Chain Lightning</v>
      </c>
      <c r="AB46" s="542" t="str">
        <f>AD46</f>
        <v>Chain Lightning</v>
      </c>
      <c r="AD46" s="347" t="str">
        <f>$B46</f>
        <v>Chain Lightning</v>
      </c>
      <c r="AE46" t="str">
        <f>IF(IFERROR(MATCH($B46,temp!A$4:A$13,0),0)&gt;0,T08_Spells!AE$2,"")</f>
        <v/>
      </c>
      <c r="AF46" t="str">
        <f>IF(IFERROR(MATCH($B46,temp!B$4:B$13,0),0)&gt;0,T08_Spells!AF$2,"")</f>
        <v/>
      </c>
      <c r="AG46" t="str">
        <f>IF(IFERROR(MATCH($B46,temp!C$4:C$13,0),0)&gt;0,T08_Spells!AG$2,"")</f>
        <v/>
      </c>
      <c r="AH46" t="str">
        <f>IF(IFERROR(MATCH($B46,temp!D$4:D$13,0),0)&gt;0,T08_Spells!AH$2,"")</f>
        <v/>
      </c>
      <c r="AI46" t="str">
        <f>IF(IFERROR(MATCH($B46,temp!E$4:E$13,0),0)&gt;0,T08_Spells!AI$2,"")</f>
        <v/>
      </c>
      <c r="AJ46" t="str">
        <f>IF(IFERROR(MATCH($B46,temp!F$4:F$13,0),0)&gt;0,T08_Spells!AJ$2,"")</f>
        <v/>
      </c>
      <c r="AK46" t="str">
        <f>IF(IFERROR(MATCH($B46,temp!G$4:G$13,0),0)&gt;0,T08_Spells!AK$2,"")</f>
        <v/>
      </c>
      <c r="AL46" t="str">
        <f>IF(IFERROR(MATCH($B46,temp!H$4:H$13,0),0)&gt;0,T08_Spells!AL$2,"")</f>
        <v/>
      </c>
      <c r="AM46" t="str">
        <f>IF(IFERROR(MATCH($B46,temp!I$4:I$13,0),0)&gt;0,T08_Spells!AM$2,"")</f>
        <v/>
      </c>
      <c r="AN46" t="str">
        <f>IF(IFERROR(MATCH($B46,temp!J$4:J$13,0),0)&gt;0,T08_Spells!AN$2,"")</f>
        <v/>
      </c>
      <c r="AO46" t="str">
        <f>IF(IFERROR(MATCH($B46,temp!K$4:K$13,0),0)&gt;0,T08_Spells!AO$2,"")</f>
        <v/>
      </c>
      <c r="AP46" t="str">
        <f>IF(IFERROR(MATCH($B46,temp!L$4:L$13,0),0)&gt;0,T08_Spells!AP$2,"")</f>
        <v/>
      </c>
      <c r="AQ46" t="str">
        <f>IF(IFERROR(MATCH($B46,temp!M$4:M$13,0),0)&gt;0,T08_Spells!AQ$2,"")</f>
        <v/>
      </c>
      <c r="AR46" t="str">
        <f>IF(IFERROR(MATCH($B46,temp!N$4:N$13,0),0)&gt;0,T08_Spells!AR$2,"")</f>
        <v/>
      </c>
      <c r="AS46" t="str">
        <f>IF(IFERROR(MATCH($B46,temp!O$4:O$13,0),0)&gt;0,T08_Spells!AS$2,"")</f>
        <v/>
      </c>
      <c r="AT46" t="str">
        <f>IF(IFERROR(MATCH($B46,temp!P$4:P$13,0),0)&gt;0,T08_Spells!AT$2,"")</f>
        <v/>
      </c>
      <c r="AU46" t="str">
        <f>IF(IFERROR(MATCH($B46,temp!Q$4:Q$13,0),0)&gt;0,T08_Spells!AU$2,"")</f>
        <v/>
      </c>
      <c r="AV46" t="str">
        <f>IF(IFERROR(MATCH($B46,temp!R$4:R$13,0),0)&gt;0,T08_Spells!AV$2,"")</f>
        <v/>
      </c>
      <c r="AW46" t="str">
        <f>IF(IFERROR(MATCH($B46,temp!S$4:S$13,0),0)&gt;0,T08_Spells!AW$2,"")</f>
        <v/>
      </c>
      <c r="AX46" t="str">
        <f>IF(IFERROR(MATCH($B46,temp!T$4:T$13,0),0)&gt;0,T08_Spells!AX$2,"")</f>
        <v/>
      </c>
      <c r="AY46" t="str">
        <f>IF(IFERROR(MATCH($B46,temp!U$4:U$13,0),0)&gt;0,T08_Spells!AY$2,"")</f>
        <v/>
      </c>
      <c r="AZ46" t="str">
        <f>IF(IFERROR(MATCH($B46,temp!V$4:V$13,0),0)&gt;0,T08_Spells!AZ$2,"")</f>
        <v/>
      </c>
      <c r="BA46" t="str">
        <f>IF(IFERROR(MATCH($B46,temp!W$4:W$13,0),0)&gt;0,T08_Spells!BA$2,"")</f>
        <v/>
      </c>
      <c r="BC46">
        <f>IF(IFERROR(SEARCH("Ranger",$T46,1),0)&gt;0,1,0)*IF(RangerMaxSpellLevel&gt;=$C46,1,0)*IF(IFERROR(MATCH(B46,Character_Creation!$X$79:$X$382,0),0)&gt;0,0,1)</f>
        <v>0</v>
      </c>
      <c r="BD46">
        <f>IF(BC46=0,0,1+COUNTIF(BD$3:BD45,"&gt;0"))</f>
        <v>0</v>
      </c>
      <c r="BE46" t="str">
        <f t="shared" si="34"/>
        <v/>
      </c>
      <c r="BF46" t="str">
        <f t="shared" si="6"/>
        <v/>
      </c>
      <c r="BH46">
        <f>IF(IFERROR(SEARCH("Sorcerer",$T46,1),0)&gt;0,1,0)*IF(SorcererMaxSpellLevel&gt;=$C46,1,0)*IF(IFERROR(MATCH(B46,Character_Creation!$J$380:$J$394,0),0)&gt;0,0,1)</f>
        <v>0</v>
      </c>
      <c r="BI46">
        <f>IF(BH46=0,0,1+COUNTIF(BI$3:BI45,"&gt;0"))</f>
        <v>0</v>
      </c>
      <c r="BJ46" t="str">
        <f t="shared" si="35"/>
        <v/>
      </c>
      <c r="BK46" t="str">
        <f t="shared" si="7"/>
        <v/>
      </c>
      <c r="BM46">
        <f>IF(OR(IFERROR(SEARCH("Warlock",$T46,1),0)&gt;0,IFERROR(SEARCH(WarlockPatron,$T46,1),0)&gt;0),1,0)*IF(WarlockMaxSpellLevel&gt;=$C46,1,0)*IF(IFERROR(MATCH(B46,Character_Creation!$J$361:$J$375,0),0)&gt;0,0,1)</f>
        <v>0</v>
      </c>
      <c r="BN46">
        <f>IF(BM46=0,0,1+COUNTIF(BN$3:BN45,"&gt;0"))</f>
        <v>0</v>
      </c>
      <c r="BO46" t="str">
        <f t="shared" si="36"/>
        <v/>
      </c>
      <c r="BP46" t="str">
        <f t="shared" si="8"/>
        <v/>
      </c>
      <c r="BR46">
        <f>IF(IFERROR(SEARCH("Eldritch Knight",$T46,1),0)&gt;0,1,0)*IF(EldritchKnightMaxSpellLevel&gt;=$C46,1,0)*IF(IFERROR(MATCH($B46,Character_Creation!$J$350:$J$356,0),0)&gt;0,0,1)*IF(Character_Creation!$M$338&gt;0,1,0)</f>
        <v>0</v>
      </c>
      <c r="BS46">
        <f>IF(BR46=0,0,1+COUNTIF(BS$3:BS45,"&gt;0"))</f>
        <v>0</v>
      </c>
      <c r="BT46" t="str">
        <f t="shared" si="37"/>
        <v/>
      </c>
      <c r="BU46" t="str">
        <f t="shared" si="9"/>
        <v/>
      </c>
      <c r="BW46">
        <f>IF(IFERROR(SEARCH("Arcane Trickster",$T46,1),0)&gt;0,1,0)*IF(ArcaneTricksterMaxSpellLevel&gt;=$C46,1,0)*IF(IFERROR(MATCH($B46,Character_Creation!$J$350:$J$356,0),0)&gt;0,0,1)*IF(Character_Creation!$T$338&gt;0,1,0)</f>
        <v>0</v>
      </c>
      <c r="BX46">
        <f>IF(BW46=0,0,1+COUNTIF(BX$3:BX45,"&gt;0"))</f>
        <v>0</v>
      </c>
      <c r="BY46" t="str">
        <f t="shared" si="38"/>
        <v/>
      </c>
      <c r="BZ46" t="str">
        <f t="shared" si="10"/>
        <v/>
      </c>
      <c r="CB46">
        <f>IF(IFERROR(SEARCH("Wizard",$T46,1),0)&gt;0,1,0)*IF(C46&lt;=ArcaneTricksterMaxSpellLevel,1,0)*IF(IFERROR(MATCH($B46,Character_Creation!$J$350:$J$356,0),0)&gt;0,0,1)*IF(Character_Creation!$T$350&gt;0,1,0)</f>
        <v>0</v>
      </c>
      <c r="CC46">
        <f>IF(CB46=0,0,1+COUNTIF(CC$3:CC45,"&gt;0"))</f>
        <v>0</v>
      </c>
      <c r="CD46" t="str">
        <f t="shared" si="39"/>
        <v/>
      </c>
      <c r="CE46" t="str">
        <f t="shared" si="11"/>
        <v/>
      </c>
      <c r="CG46">
        <f>IF(IFERROR(SEARCH("Wizard",$T46,1),0)&gt;0,1,0)*IF($C46&lt;=EldritchKnightMaxSpellLevel,1,0)*IF(IFERROR(MATCH($B46,Character_Creation!$J$350:$J$356,0),0)&gt;0,0,1)*IF(Character_Creation!$M$350&gt;0,1,0)</f>
        <v>0</v>
      </c>
      <c r="CH46">
        <f>IF(CG46=0,0,1+COUNTIF(CH$3:CH45,"&gt;0"))</f>
        <v>0</v>
      </c>
      <c r="CI46">
        <f t="shared" si="40"/>
        <v>44</v>
      </c>
      <c r="CJ46" t="str">
        <f t="shared" si="12"/>
        <v>Nystul's Magic Aura</v>
      </c>
      <c r="CL46">
        <f>IF(IFERROR(SEARCH("Bard",$T46,1),0)&gt;0,1,0)*IF(BardMaxSpellLevel&gt;=$C46,1,0)*IF(IFERROR(MATCH(B46,Character_Creation!$C$341:$F$362,0),0)&gt;0,0,1)*IF(IFERROR(MATCH($B46,Character_Creation!$C$341:$C$362,0),0)&gt;0,0,1)</f>
        <v>0</v>
      </c>
      <c r="CM46">
        <f>IF(CL46=0,0,1+COUNTIF(CM$3:CM45,"&gt;0"))</f>
        <v>0</v>
      </c>
      <c r="CN46" t="str">
        <f t="shared" si="41"/>
        <v/>
      </c>
      <c r="CO46" t="str">
        <f t="shared" si="13"/>
        <v/>
      </c>
      <c r="CQ46">
        <f>IF(IFERROR(SEARCH("Wizard",$T46,1),0)&gt;0,1,0)*IF(WizardMaxSpellLevel&gt;=$C46,1,0)*IF(IFERROR(MATCH(B46,Character_Creation!$X$341:$X$400,0),0)&gt;0,0,1)*IF(SelectedWizardSpellLevel=$C46,1,0)</f>
        <v>0</v>
      </c>
      <c r="CR46">
        <f>IF(CQ46=0,0,1+COUNTIF(CR$3:CR45,"&gt;0"))</f>
        <v>0</v>
      </c>
      <c r="CS46" t="str">
        <f t="shared" si="42"/>
        <v/>
      </c>
      <c r="CT46" t="str">
        <f t="shared" si="14"/>
        <v/>
      </c>
      <c r="CV46">
        <f>IF(IFERROR(MATCH($B46,Character_Creation!$C$341:$C$362,0),0)&gt;0,0,1)*IF(OR(C46="Cantrip",C46&lt;=BardMaxSpellLevel),1,0)*IF(IFERROR(MATCH($B46,Character_Creation!$C$367:$C$374,0),0)&gt;0,0,1)</f>
        <v>0</v>
      </c>
      <c r="CW46">
        <f>IF(CV46=0,0,1+COUNTIF(CW$3:CW45,"&gt;0"))</f>
        <v>0</v>
      </c>
      <c r="CX46" t="str">
        <f t="shared" si="43"/>
        <v/>
      </c>
      <c r="CY46" t="str">
        <f t="shared" si="15"/>
        <v/>
      </c>
      <c r="DA46">
        <f>IF(IF(OR(IFERROR(SEARCH("Cleric",$T46,1),0)&gt;0,IFERROR(SEARCH(DivineDomain&amp;",",$T46,1),0)&gt;0),1,0)*IF($C46=DA$2,1,0)=1,1+COUNTIF(DA$3:DA45,"&gt;0"),0)</f>
        <v>0</v>
      </c>
      <c r="DB46">
        <f>IF(IF(OR(IFERROR(SEARCH("Cleric",$T46,1),0)&gt;0,IFERROR(SEARCH(DivineDomain&amp;",",$T46,1),0)&gt;0),1,0)*IF($C46=DB$2,1,0)=1,1+COUNTIF(DB$3:DB45,"&gt;0"),0)</f>
        <v>0</v>
      </c>
      <c r="DC46">
        <f>IF(IF(OR(IFERROR(SEARCH("Cleric",$T46,1),0)&gt;0,IFERROR(SEARCH(DivineDomain&amp;",",$T46,1),0)&gt;0),1,0)*IF($C46=DC$2,1,0)=1,1+COUNTIF(DC$3:DC45,"&gt;0"),0)</f>
        <v>0</v>
      </c>
      <c r="DD46">
        <f>IF(IF(OR(IFERROR(SEARCH("Cleric",$T46,1),0)&gt;0,IFERROR(SEARCH(DivineDomain&amp;",",$T46,1),0)&gt;0),1,0)*IF($C46=DD$2,1,0)=1,1+COUNTIF(DD$3:DD45,"&gt;0"),0)</f>
        <v>0</v>
      </c>
      <c r="DE46">
        <f>IF(IF(OR(IFERROR(SEARCH("Cleric",$T46,1),0)&gt;0,IFERROR(SEARCH(DivineDomain&amp;",",$T46,1),0)&gt;0),1,0)*IF($C46=DE$2,1,0)=1,1+COUNTIF(DE$3:DE45,"&gt;0"),0)</f>
        <v>0</v>
      </c>
      <c r="DF46">
        <f>IF(IF(OR(IFERROR(SEARCH("Cleric",$T46,1),0)&gt;0,IFERROR(SEARCH(DivineDomain&amp;",",$T46,1),0)&gt;0),1,0)*IF($C46=DF$2,1,0)=1,1+COUNTIF(DF$3:DF45,"&gt;0"),0)</f>
        <v>0</v>
      </c>
      <c r="DG46">
        <f>IF(IF(OR(IFERROR(SEARCH("Cleric",$T46,1),0)&gt;0,IFERROR(SEARCH(DivineDomain&amp;",",$T46,1),0)&gt;0),1,0)*IF($C46=DG$2,1,0)=1,1+COUNTIF(DG$3:DG45,"&gt;0"),0)</f>
        <v>0</v>
      </c>
      <c r="DH46">
        <f>IF(IF(OR(IFERROR(SEARCH("Cleric",$T46,1),0)&gt;0,IFERROR(SEARCH(DivineDomain&amp;",",$T46,1),0)&gt;0),1,0)*IF($C46=DH$2,1,0)=1,1+COUNTIF(DH$3:DH45,"&gt;0"),0)</f>
        <v>0</v>
      </c>
      <c r="DI46">
        <f>IF(IF(OR(IFERROR(SEARCH("Cleric",$T46,1),0)&gt;0,IFERROR(SEARCH(DivineDomain&amp;",",$T46,1),0)&gt;0),1,0)*IF($C46=DI$2,1,0)=1,1+COUNTIF(DI$3:DI45,"&gt;0"),0)</f>
        <v>0</v>
      </c>
      <c r="DJ46">
        <f>IF(IF(OR(IFERROR(SEARCH("Druid",$T46,1),0)&gt;0,IFERROR(SEARCH(DruidLand1,$T46,1),0)&gt;0,IFERROR(SEARCH(DruidLand2,$T46,1),0)&gt;0,IFERROR(SEARCH(DruidLand3,$T46,1),0)&gt;0,IFERROR(SEARCH(DruidLand4,$T46,1),0)&gt;0),1,0)*IF($C46=1,1,0)*IF($C46=DJ$2,1,0)=0,0,1+COUNTIF(DJ$3:DJ45,"&gt;0"))</f>
        <v>0</v>
      </c>
      <c r="DK46">
        <f>IF(IF(OR(IFERROR(SEARCH("Druid",$T46,1),0)&gt;0,IFERROR(SEARCH(DruidLand1,$T46,1),0)&gt;0,IFERROR(SEARCH(DruidLand2,$T46,1),0)&gt;0,IFERROR(SEARCH(DruidLand3,$T46,1),0)&gt;0,IFERROR(SEARCH(DruidLand4,$T46,1),0)&gt;0),1,0)*IF($C46=1,1,0)*IF($C46=DK$2,1,0)=0,0,1+COUNTIF(DK$3:DK45,"&gt;0"))</f>
        <v>0</v>
      </c>
      <c r="DL46">
        <f>IF(IF(OR(IFERROR(SEARCH("Druid",$T46,1),0)&gt;0,IFERROR(SEARCH(DruidLand1,$T46,1),0)&gt;0,IFERROR(SEARCH(DruidLand2,$T46,1),0)&gt;0,IFERROR(SEARCH(DruidLand3,$T46,1),0)&gt;0,IFERROR(SEARCH(DruidLand4,$T46,1),0)&gt;0),1,0)*IF($C46=1,1,0)*IF($C46=DL$2,1,0)=0,0,1+COUNTIF(DL$3:DL45,"&gt;0"))</f>
        <v>0</v>
      </c>
      <c r="DM46">
        <f>IF(IF(OR(IFERROR(SEARCH("Druid",$T46,1),0)&gt;0,IFERROR(SEARCH(DruidLand1,$T46,1),0)&gt;0,IFERROR(SEARCH(DruidLand2,$T46,1),0)&gt;0,IFERROR(SEARCH(DruidLand3,$T46,1),0)&gt;0,IFERROR(SEARCH(DruidLand4,$T46,1),0)&gt;0),1,0)*IF($C46=1,1,0)*IF($C46=DM$2,1,0)=0,0,1+COUNTIF(DM$3:DM45,"&gt;0"))</f>
        <v>0</v>
      </c>
      <c r="DN46">
        <f>IF(IF(OR(IFERROR(SEARCH("Druid",$T46,1),0)&gt;0,IFERROR(SEARCH(DruidLand1,$T46,1),0)&gt;0,IFERROR(SEARCH(DruidLand2,$T46,1),0)&gt;0,IFERROR(SEARCH(DruidLand3,$T46,1),0)&gt;0,IFERROR(SEARCH(DruidLand4,$T46,1),0)&gt;0),1,0)*IF($C46=1,1,0)*IF($C46=DN$2,1,0)=0,0,1+COUNTIF(DN$3:DN45,"&gt;0"))</f>
        <v>0</v>
      </c>
      <c r="DO46">
        <f>IF(IF(OR(IFERROR(SEARCH("Druid",$T46,1),0)&gt;0,IFERROR(SEARCH(DruidLand1,$T46,1),0)&gt;0,IFERROR(SEARCH(DruidLand2,$T46,1),0)&gt;0,IFERROR(SEARCH(DruidLand3,$T46,1),0)&gt;0,IFERROR(SEARCH(DruidLand4,$T46,1),0)&gt;0),1,0)*IF($C46=1,1,0)*IF($C46=DO$2,1,0)=0,0,1+COUNTIF(DO$3:DO45,"&gt;0"))</f>
        <v>0</v>
      </c>
      <c r="DP46">
        <f>IF(IF(OR(IFERROR(SEARCH("Druid",$T46,1),0)&gt;0,IFERROR(SEARCH(DruidLand1,$T46,1),0)&gt;0,IFERROR(SEARCH(DruidLand2,$T46,1),0)&gt;0,IFERROR(SEARCH(DruidLand3,$T46,1),0)&gt;0,IFERROR(SEARCH(DruidLand4,$T46,1),0)&gt;0),1,0)*IF($C46=1,1,0)*IF($C46=DP$2,1,0)=0,0,1+COUNTIF(DP$3:DP45,"&gt;0"))</f>
        <v>0</v>
      </c>
      <c r="DQ46">
        <f>IF(IF(OR(IFERROR(SEARCH("Druid",$T46,1),0)&gt;0,IFERROR(SEARCH(DruidLand1,$T46,1),0)&gt;0,IFERROR(SEARCH(DruidLand2,$T46,1),0)&gt;0,IFERROR(SEARCH(DruidLand3,$T46,1),0)&gt;0,IFERROR(SEARCH(DruidLand4,$T46,1),0)&gt;0),1,0)*IF($C46=1,1,0)*IF($C46=DQ$2,1,0)=0,0,1+COUNTIF(DQ$3:DQ45,"&gt;0"))</f>
        <v>0</v>
      </c>
      <c r="DR46">
        <f>IF(IF(OR(IFERROR(SEARCH("Druid",$T46,1),0)&gt;0,IFERROR(SEARCH(DruidLand1,$T46,1),0)&gt;0,IFERROR(SEARCH(DruidLand2,$T46,1),0)&gt;0,IFERROR(SEARCH(DruidLand3,$T46,1),0)&gt;0,IFERROR(SEARCH(DruidLand4,$T46,1),0)&gt;0),1,0)*IF($C46=1,1,0)*IF($C46=DR$2,1,0)=0,0,1+COUNTIF(DR$3:DR45,"&gt;0"))</f>
        <v>0</v>
      </c>
      <c r="DS46">
        <f>IF(IF(OR(IFERROR(SEARCH("Paladin",$T46,1),0)&gt;0,IFERROR(SEARCH(PaladinOath,$T46,1),0)&gt;0),1,0)*IF($C46=DS$2,1,0)=1,1+COUNTIF(DS$3:DS45,"&gt;0"),0)</f>
        <v>0</v>
      </c>
      <c r="DT46">
        <f>IF(IF(OR(IFERROR(SEARCH("Paladin",$T46,1),0)&gt;0,IFERROR(SEARCH(PaladinOath,$T46,1),0)&gt;0),1,0)*IF($C46=DT$2,1,0)=1,1+COUNTIF(DT$3:DT45,"&gt;0"),0)</f>
        <v>0</v>
      </c>
      <c r="DU46">
        <f>IF(IF(OR(IFERROR(SEARCH("Paladin",$T46,1),0)&gt;0,IFERROR(SEARCH(PaladinOath,$T46,1),0)&gt;0),1,0)*IF($C46=DU$2,1,0)=1,1+COUNTIF(DU$3:DU45,"&gt;0"),0)</f>
        <v>0</v>
      </c>
      <c r="DV46">
        <f>IF(IF(OR(IFERROR(SEARCH("Paladin",$T46,1),0)&gt;0,IFERROR(SEARCH(PaladinOath,$T46,1),0)&gt;0),1,0)*IF($C46=DV$2,1,0)=1,1+COUNTIF(DV$3:DV45,"&gt;0"),0)</f>
        <v>0</v>
      </c>
      <c r="DW46">
        <f>IF(IF(OR(IFERROR(SEARCH("Paladin",$T46,1),0)&gt;0,IFERROR(SEARCH(PaladinOath,$T46,1),0)&gt;0),1,0)*IF($C46=DW$2,1,0)=1,1+COUNTIF(DW$3:DW45,"&gt;0"),0)</f>
        <v>0</v>
      </c>
      <c r="DY46">
        <f t="shared" si="2"/>
        <v>1</v>
      </c>
      <c r="DZ46">
        <f>IF(DY46=0,0,1+MAX(DZ$3:$DZ45))</f>
        <v>44</v>
      </c>
      <c r="EB46">
        <f t="shared" si="16"/>
        <v>0</v>
      </c>
      <c r="EC46">
        <f>IF(EB46=0,0,1+COUNTIF(EC$3:EC45,"&gt;0"))</f>
        <v>0</v>
      </c>
      <c r="ED46" t="str">
        <f t="shared" si="44"/>
        <v/>
      </c>
      <c r="EE46" t="str">
        <f t="shared" si="17"/>
        <v/>
      </c>
      <c r="EG46">
        <f t="shared" si="18"/>
        <v>0</v>
      </c>
      <c r="EH46">
        <f>IF(EG46=0,0,1+COUNTIF(EH$3:EH45,"&gt;0"))</f>
        <v>0</v>
      </c>
      <c r="EI46" t="str">
        <f t="shared" si="45"/>
        <v/>
      </c>
      <c r="EJ46" t="str">
        <f t="shared" si="19"/>
        <v/>
      </c>
      <c r="EL46">
        <f t="shared" si="20"/>
        <v>0</v>
      </c>
      <c r="EM46">
        <f>IF(EL46=0,0,1+COUNTIF(EM$3:EM45,"&gt;0"))</f>
        <v>0</v>
      </c>
      <c r="EN46" t="str">
        <f t="shared" si="46"/>
        <v/>
      </c>
      <c r="EO46" t="str">
        <f t="shared" si="21"/>
        <v/>
      </c>
      <c r="EQ46">
        <f t="shared" si="22"/>
        <v>0</v>
      </c>
      <c r="ER46">
        <f>IF(EQ46=0,0,1+COUNTIF(ER$3:ER45,"&gt;0"))</f>
        <v>0</v>
      </c>
      <c r="ES46" t="str">
        <f t="shared" si="47"/>
        <v/>
      </c>
      <c r="ET46" t="str">
        <f t="shared" si="23"/>
        <v/>
      </c>
      <c r="EV46">
        <f t="shared" si="24"/>
        <v>0</v>
      </c>
      <c r="EW46">
        <f>IF(EV46=0,0,1+COUNTIF(EW$3:EW45,"&gt;0"))</f>
        <v>0</v>
      </c>
      <c r="EX46" t="str">
        <f t="shared" si="48"/>
        <v/>
      </c>
      <c r="EY46" t="str">
        <f t="shared" si="25"/>
        <v/>
      </c>
      <c r="FA46">
        <f t="shared" si="26"/>
        <v>0</v>
      </c>
      <c r="FB46">
        <f>IF(FA46=0,0,1+COUNTIF(FB$3:FB45,"&gt;0"))</f>
        <v>0</v>
      </c>
      <c r="FC46" t="str">
        <f t="shared" si="49"/>
        <v/>
      </c>
      <c r="FD46" t="str">
        <f t="shared" si="27"/>
        <v/>
      </c>
      <c r="FF46">
        <f t="shared" si="28"/>
        <v>0</v>
      </c>
      <c r="FG46">
        <f>IF(FF46=0,0,1+COUNTIF(FG$3:FG45,"&gt;0"))</f>
        <v>0</v>
      </c>
      <c r="FH46" t="str">
        <f t="shared" si="50"/>
        <v/>
      </c>
      <c r="FI46" t="str">
        <f t="shared" si="29"/>
        <v/>
      </c>
      <c r="FK46">
        <f t="shared" si="30"/>
        <v>0</v>
      </c>
      <c r="FL46">
        <f>IF(FK46=0,0,1+COUNTIF(FL$3:FL45,"&gt;0"))</f>
        <v>0</v>
      </c>
      <c r="FM46" t="str">
        <f t="shared" si="51"/>
        <v/>
      </c>
      <c r="FN46" t="str">
        <f t="shared" si="31"/>
        <v/>
      </c>
      <c r="FP46">
        <f t="shared" si="32"/>
        <v>0</v>
      </c>
      <c r="FQ46">
        <f>IF(FP46=0,0,1+COUNTIF(FQ$3:FQ45,"&gt;0"))</f>
        <v>0</v>
      </c>
      <c r="FR46" t="str">
        <f t="shared" si="52"/>
        <v/>
      </c>
      <c r="FS46" t="str">
        <f t="shared" si="33"/>
        <v/>
      </c>
    </row>
    <row r="47" spans="1:175" x14ac:dyDescent="0.25">
      <c r="A47" s="347">
        <f t="shared" si="53"/>
        <v>45</v>
      </c>
      <c r="B47" s="348" t="s">
        <v>2406</v>
      </c>
      <c r="C47" s="348">
        <v>1</v>
      </c>
      <c r="D47" s="347">
        <v>1</v>
      </c>
      <c r="E47" s="627" t="s">
        <v>6952</v>
      </c>
      <c r="F47" s="346"/>
      <c r="G47" s="347" t="str">
        <f>""</f>
        <v/>
      </c>
      <c r="H47" s="347" t="s">
        <v>5912</v>
      </c>
      <c r="I47" s="347" t="s">
        <v>5060</v>
      </c>
      <c r="J47" s="347" t="str">
        <f t="shared" si="3"/>
        <v/>
      </c>
      <c r="K47" s="347" t="s">
        <v>5293</v>
      </c>
      <c r="L47" s="611" t="str">
        <f t="shared" si="4"/>
        <v>V, S</v>
      </c>
      <c r="M47" s="347" t="s">
        <v>2373</v>
      </c>
      <c r="N47" s="347" t="s">
        <v>2387</v>
      </c>
      <c r="O47" s="347" t="s">
        <v>3034</v>
      </c>
      <c r="P47" s="346" t="str">
        <f>""</f>
        <v/>
      </c>
      <c r="Q47" s="347" t="s">
        <v>5272</v>
      </c>
      <c r="S47" s="346" t="s">
        <v>5616</v>
      </c>
      <c r="T47" s="346" t="str">
        <f t="shared" si="5"/>
        <v xml:space="preserve">Bard, Sorcerer, Warlock, Druid, Arcane Trickster, Wizard, Trickery, </v>
      </c>
      <c r="U47" s="347" t="str">
        <f>$B47</f>
        <v>Charm Person</v>
      </c>
      <c r="X47" s="347" t="str">
        <f t="shared" si="55"/>
        <v>Charm Person</v>
      </c>
      <c r="Y47" s="347" t="str">
        <f>$B47</f>
        <v>Charm Person</v>
      </c>
      <c r="AA47" s="347" t="str">
        <f>$B47</f>
        <v>Charm Person</v>
      </c>
      <c r="AC47" s="539" t="str">
        <f>B47</f>
        <v>Charm Person</v>
      </c>
      <c r="AD47" s="347" t="str">
        <f>$B47</f>
        <v>Charm Person</v>
      </c>
      <c r="AE47" t="str">
        <f>IF(IFERROR(MATCH($B47,temp!A$4:A$13,0),0)&gt;0,T08_Spells!AE$2,"")</f>
        <v/>
      </c>
      <c r="AF47" t="str">
        <f>IF(IFERROR(MATCH($B47,temp!B$4:B$13,0),0)&gt;0,T08_Spells!AF$2,"")</f>
        <v/>
      </c>
      <c r="AG47" t="str">
        <f>IF(IFERROR(MATCH($B47,temp!C$4:C$13,0),0)&gt;0,T08_Spells!AG$2,"")</f>
        <v/>
      </c>
      <c r="AH47" t="str">
        <f>IF(IFERROR(MATCH($B47,temp!D$4:D$13,0),0)&gt;0,T08_Spells!AH$2,"")</f>
        <v/>
      </c>
      <c r="AI47" t="str">
        <f>IF(IFERROR(MATCH($B47,temp!E$4:E$13,0),0)&gt;0,T08_Spells!AI$2,"")</f>
        <v/>
      </c>
      <c r="AJ47" t="str">
        <f>IF(IFERROR(MATCH($B47,temp!F$4:F$13,0),0)&gt;0,T08_Spells!AJ$2,"")</f>
        <v/>
      </c>
      <c r="AK47" t="str">
        <f>IF(IFERROR(MATCH($B47,temp!G$4:G$13,0),0)&gt;0,T08_Spells!AK$2,"")</f>
        <v/>
      </c>
      <c r="AL47" t="str">
        <f>IF(IFERROR(MATCH($B47,temp!H$4:H$13,0),0)&gt;0,T08_Spells!AL$2,"")</f>
        <v/>
      </c>
      <c r="AM47" t="str">
        <f>IF(IFERROR(MATCH($B47,temp!I$4:I$13,0),0)&gt;0,T08_Spells!AM$2,"")</f>
        <v/>
      </c>
      <c r="AN47" t="str">
        <f>IF(IFERROR(MATCH($B47,temp!J$4:J$13,0),0)&gt;0,T08_Spells!AN$2,"")</f>
        <v/>
      </c>
      <c r="AO47" t="str">
        <f>IF(IFERROR(MATCH($B47,temp!K$4:K$13,0),0)&gt;0,T08_Spells!AO$2,"")</f>
        <v/>
      </c>
      <c r="AP47" t="str">
        <f>IF(IFERROR(MATCH($B47,temp!L$4:L$13,0),0)&gt;0,T08_Spells!AP$2,"")</f>
        <v/>
      </c>
      <c r="AQ47" t="str">
        <f>IF(IFERROR(MATCH($B47,temp!M$4:M$13,0),0)&gt;0,T08_Spells!AQ$2,"")</f>
        <v/>
      </c>
      <c r="AR47" t="str">
        <f>IF(IFERROR(MATCH($B47,temp!N$4:N$13,0),0)&gt;0,T08_Spells!AR$2,"")</f>
        <v/>
      </c>
      <c r="AS47" t="str">
        <f>IF(IFERROR(MATCH($B47,temp!O$4:O$13,0),0)&gt;0,T08_Spells!AS$2,"")</f>
        <v/>
      </c>
      <c r="AT47" t="str">
        <f>IF(IFERROR(MATCH($B47,temp!P$4:P$13,0),0)&gt;0,T08_Spells!AT$2,"")</f>
        <v/>
      </c>
      <c r="AU47" t="str">
        <f>IF(IFERROR(MATCH($B47,temp!Q$4:Q$13,0),0)&gt;0,T08_Spells!AU$2,"")</f>
        <v/>
      </c>
      <c r="AV47" t="str">
        <f>IF(IFERROR(MATCH($B47,temp!R$4:R$13,0),0)&gt;0,T08_Spells!AV$2,"")</f>
        <v/>
      </c>
      <c r="AW47" t="str">
        <f>IF(IFERROR(MATCH($B47,temp!S$4:S$13,0),0)&gt;0,T08_Spells!AW$2,"")</f>
        <v/>
      </c>
      <c r="AX47" t="str">
        <f>IF(IFERROR(MATCH($B47,temp!T$4:T$13,0),0)&gt;0,T08_Spells!AX$2,"")</f>
        <v/>
      </c>
      <c r="AY47" t="str">
        <f>IF(IFERROR(MATCH($B47,temp!U$4:U$13,0),0)&gt;0,T08_Spells!AY$2,"")</f>
        <v>Trickery</v>
      </c>
      <c r="AZ47" t="str">
        <f>IF(IFERROR(MATCH($B47,temp!V$4:V$13,0),0)&gt;0,T08_Spells!AZ$2,"")</f>
        <v/>
      </c>
      <c r="BA47" t="str">
        <f>IF(IFERROR(MATCH($B47,temp!W$4:W$13,0),0)&gt;0,T08_Spells!BA$2,"")</f>
        <v/>
      </c>
      <c r="BC47">
        <f>IF(IFERROR(SEARCH("Ranger",$T47,1),0)&gt;0,1,0)*IF(RangerMaxSpellLevel&gt;=$C47,1,0)*IF(IFERROR(MATCH(B47,Character_Creation!$X$79:$X$382,0),0)&gt;0,0,1)</f>
        <v>0</v>
      </c>
      <c r="BD47">
        <f>IF(BC47=0,0,1+COUNTIF(BD$3:BD46,"&gt;0"))</f>
        <v>0</v>
      </c>
      <c r="BE47" t="str">
        <f t="shared" si="34"/>
        <v/>
      </c>
      <c r="BF47" t="str">
        <f t="shared" si="6"/>
        <v/>
      </c>
      <c r="BH47">
        <f>IF(IFERROR(SEARCH("Sorcerer",$T47,1),0)&gt;0,1,0)*IF(SorcererMaxSpellLevel&gt;=$C47,1,0)*IF(IFERROR(MATCH(B47,Character_Creation!$J$380:$J$394,0),0)&gt;0,0,1)</f>
        <v>0</v>
      </c>
      <c r="BI47">
        <f>IF(BH47=0,0,1+COUNTIF(BI$3:BI46,"&gt;0"))</f>
        <v>0</v>
      </c>
      <c r="BJ47" t="str">
        <f t="shared" si="35"/>
        <v/>
      </c>
      <c r="BK47" t="str">
        <f t="shared" si="7"/>
        <v/>
      </c>
      <c r="BM47">
        <f>IF(OR(IFERROR(SEARCH("Warlock",$T47,1),0)&gt;0,IFERROR(SEARCH(WarlockPatron,$T47,1),0)&gt;0),1,0)*IF(WarlockMaxSpellLevel&gt;=$C47,1,0)*IF(IFERROR(MATCH(B47,Character_Creation!$J$361:$J$375,0),0)&gt;0,0,1)</f>
        <v>0</v>
      </c>
      <c r="BN47">
        <f>IF(BM47=0,0,1+COUNTIF(BN$3:BN46,"&gt;0"))</f>
        <v>0</v>
      </c>
      <c r="BO47" t="str">
        <f t="shared" si="36"/>
        <v/>
      </c>
      <c r="BP47" t="str">
        <f t="shared" si="8"/>
        <v/>
      </c>
      <c r="BR47">
        <f>IF(IFERROR(SEARCH("Eldritch Knight",$T47,1),0)&gt;0,1,0)*IF(EldritchKnightMaxSpellLevel&gt;=$C47,1,0)*IF(IFERROR(MATCH($B47,Character_Creation!$J$350:$J$356,0),0)&gt;0,0,1)*IF(Character_Creation!$M$338&gt;0,1,0)</f>
        <v>0</v>
      </c>
      <c r="BS47">
        <f>IF(BR47=0,0,1+COUNTIF(BS$3:BS46,"&gt;0"))</f>
        <v>0</v>
      </c>
      <c r="BT47" t="str">
        <f t="shared" si="37"/>
        <v/>
      </c>
      <c r="BU47" t="str">
        <f t="shared" si="9"/>
        <v/>
      </c>
      <c r="BW47">
        <f>IF(IFERROR(SEARCH("Arcane Trickster",$T47,1),0)&gt;0,1,0)*IF(ArcaneTricksterMaxSpellLevel&gt;=$C47,1,0)*IF(IFERROR(MATCH($B47,Character_Creation!$J$350:$J$356,0),0)&gt;0,0,1)*IF(Character_Creation!$T$338&gt;0,1,0)</f>
        <v>0</v>
      </c>
      <c r="BX47">
        <f>IF(BW47=0,0,1+COUNTIF(BX$3:BX46,"&gt;0"))</f>
        <v>0</v>
      </c>
      <c r="BY47" t="str">
        <f t="shared" si="38"/>
        <v/>
      </c>
      <c r="BZ47" t="str">
        <f t="shared" si="10"/>
        <v/>
      </c>
      <c r="CB47">
        <f>IF(IFERROR(SEARCH("Wizard",$T47,1),0)&gt;0,1,0)*IF(C47&lt;=ArcaneTricksterMaxSpellLevel,1,0)*IF(IFERROR(MATCH($B47,Character_Creation!$J$350:$J$356,0),0)&gt;0,0,1)*IF(Character_Creation!$T$350&gt;0,1,0)</f>
        <v>0</v>
      </c>
      <c r="CC47">
        <f>IF(CB47=0,0,1+COUNTIF(CC$3:CC46,"&gt;0"))</f>
        <v>0</v>
      </c>
      <c r="CD47" t="str">
        <f t="shared" si="39"/>
        <v/>
      </c>
      <c r="CE47" t="str">
        <f t="shared" si="11"/>
        <v/>
      </c>
      <c r="CG47">
        <f>IF(IFERROR(SEARCH("Wizard",$T47,1),0)&gt;0,1,0)*IF($C47&lt;=EldritchKnightMaxSpellLevel,1,0)*IF(IFERROR(MATCH($B47,Character_Creation!$J$350:$J$356,0),0)&gt;0,0,1)*IF(Character_Creation!$M$350&gt;0,1,0)</f>
        <v>1</v>
      </c>
      <c r="CH47">
        <f>IF(CG47=0,0,1+COUNTIF(CH$3:CH46,"&gt;0"))</f>
        <v>7</v>
      </c>
      <c r="CI47">
        <f t="shared" si="40"/>
        <v>45</v>
      </c>
      <c r="CJ47" t="str">
        <f t="shared" si="12"/>
        <v>Phantasmal Force</v>
      </c>
      <c r="CL47">
        <f>IF(IFERROR(SEARCH("Bard",$T47,1),0)&gt;0,1,0)*IF(BardMaxSpellLevel&gt;=$C47,1,0)*IF(IFERROR(MATCH(B47,Character_Creation!$C$341:$F$362,0),0)&gt;0,0,1)*IF(IFERROR(MATCH($B47,Character_Creation!$C$341:$C$362,0),0)&gt;0,0,1)</f>
        <v>0</v>
      </c>
      <c r="CM47">
        <f>IF(CL47=0,0,1+COUNTIF(CM$3:CM46,"&gt;0"))</f>
        <v>0</v>
      </c>
      <c r="CN47" t="str">
        <f t="shared" si="41"/>
        <v/>
      </c>
      <c r="CO47" t="str">
        <f t="shared" si="13"/>
        <v/>
      </c>
      <c r="CQ47">
        <f>IF(IFERROR(SEARCH("Wizard",$T47,1),0)&gt;0,1,0)*IF(WizardMaxSpellLevel&gt;=$C47,1,0)*IF(IFERROR(MATCH(B47,Character_Creation!$X$341:$X$400,0),0)&gt;0,0,1)*IF(SelectedWizardSpellLevel=$C47,1,0)</f>
        <v>0</v>
      </c>
      <c r="CR47">
        <f>IF(CQ47=0,0,1+COUNTIF(CR$3:CR46,"&gt;0"))</f>
        <v>0</v>
      </c>
      <c r="CS47" t="str">
        <f t="shared" si="42"/>
        <v/>
      </c>
      <c r="CT47" t="str">
        <f t="shared" si="14"/>
        <v/>
      </c>
      <c r="CV47">
        <f>IF(IFERROR(MATCH($B47,Character_Creation!$C$341:$C$362,0),0)&gt;0,0,1)*IF(OR(C47="Cantrip",C47&lt;=BardMaxSpellLevel),1,0)*IF(IFERROR(MATCH($B47,Character_Creation!$C$367:$C$374,0),0)&gt;0,0,1)</f>
        <v>0</v>
      </c>
      <c r="CW47">
        <f>IF(CV47=0,0,1+COUNTIF(CW$3:CW46,"&gt;0"))</f>
        <v>0</v>
      </c>
      <c r="CX47" t="str">
        <f t="shared" si="43"/>
        <v/>
      </c>
      <c r="CY47" t="str">
        <f t="shared" si="15"/>
        <v/>
      </c>
      <c r="DA47">
        <f>IF(IF(OR(IFERROR(SEARCH("Cleric",$T47,1),0)&gt;0,IFERROR(SEARCH(DivineDomain&amp;",",$T47,1),0)&gt;0),1,0)*IF($C47=DA$2,1,0)=1,1+COUNTIF(DA$3:DA46,"&gt;0"),0)</f>
        <v>0</v>
      </c>
      <c r="DB47">
        <f>IF(IF(OR(IFERROR(SEARCH("Cleric",$T47,1),0)&gt;0,IFERROR(SEARCH(DivineDomain&amp;",",$T47,1),0)&gt;0),1,0)*IF($C47=DB$2,1,0)=1,1+COUNTIF(DB$3:DB46,"&gt;0"),0)</f>
        <v>0</v>
      </c>
      <c r="DC47">
        <f>IF(IF(OR(IFERROR(SEARCH("Cleric",$T47,1),0)&gt;0,IFERROR(SEARCH(DivineDomain&amp;",",$T47,1),0)&gt;0),1,0)*IF($C47=DC$2,1,0)=1,1+COUNTIF(DC$3:DC46,"&gt;0"),0)</f>
        <v>0</v>
      </c>
      <c r="DD47">
        <f>IF(IF(OR(IFERROR(SEARCH("Cleric",$T47,1),0)&gt;0,IFERROR(SEARCH(DivineDomain&amp;",",$T47,1),0)&gt;0),1,0)*IF($C47=DD$2,1,0)=1,1+COUNTIF(DD$3:DD46,"&gt;0"),0)</f>
        <v>0</v>
      </c>
      <c r="DE47">
        <f>IF(IF(OR(IFERROR(SEARCH("Cleric",$T47,1),0)&gt;0,IFERROR(SEARCH(DivineDomain&amp;",",$T47,1),0)&gt;0),1,0)*IF($C47=DE$2,1,0)=1,1+COUNTIF(DE$3:DE46,"&gt;0"),0)</f>
        <v>0</v>
      </c>
      <c r="DF47">
        <f>IF(IF(OR(IFERROR(SEARCH("Cleric",$T47,1),0)&gt;0,IFERROR(SEARCH(DivineDomain&amp;",",$T47,1),0)&gt;0),1,0)*IF($C47=DF$2,1,0)=1,1+COUNTIF(DF$3:DF46,"&gt;0"),0)</f>
        <v>0</v>
      </c>
      <c r="DG47">
        <f>IF(IF(OR(IFERROR(SEARCH("Cleric",$T47,1),0)&gt;0,IFERROR(SEARCH(DivineDomain&amp;",",$T47,1),0)&gt;0),1,0)*IF($C47=DG$2,1,0)=1,1+COUNTIF(DG$3:DG46,"&gt;0"),0)</f>
        <v>0</v>
      </c>
      <c r="DH47">
        <f>IF(IF(OR(IFERROR(SEARCH("Cleric",$T47,1),0)&gt;0,IFERROR(SEARCH(DivineDomain&amp;",",$T47,1),0)&gt;0),1,0)*IF($C47=DH$2,1,0)=1,1+COUNTIF(DH$3:DH46,"&gt;0"),0)</f>
        <v>0</v>
      </c>
      <c r="DI47">
        <f>IF(IF(OR(IFERROR(SEARCH("Cleric",$T47,1),0)&gt;0,IFERROR(SEARCH(DivineDomain&amp;",",$T47,1),0)&gt;0),1,0)*IF($C47=DI$2,1,0)=1,1+COUNTIF(DI$3:DI46,"&gt;0"),0)</f>
        <v>0</v>
      </c>
      <c r="DJ47">
        <f>IF(IF(OR(IFERROR(SEARCH("Druid",$T47,1),0)&gt;0,IFERROR(SEARCH(DruidLand1,$T47,1),0)&gt;0,IFERROR(SEARCH(DruidLand2,$T47,1),0)&gt;0,IFERROR(SEARCH(DruidLand3,$T47,1),0)&gt;0,IFERROR(SEARCH(DruidLand4,$T47,1),0)&gt;0),1,0)*IF($C47=1,1,0)*IF($C47=DJ$2,1,0)=0,0,1+COUNTIF(DJ$3:DJ46,"&gt;0"))</f>
        <v>2</v>
      </c>
      <c r="DK47">
        <f>IF(IF(OR(IFERROR(SEARCH("Druid",$T47,1),0)&gt;0,IFERROR(SEARCH(DruidLand1,$T47,1),0)&gt;0,IFERROR(SEARCH(DruidLand2,$T47,1),0)&gt;0,IFERROR(SEARCH(DruidLand3,$T47,1),0)&gt;0,IFERROR(SEARCH(DruidLand4,$T47,1),0)&gt;0),1,0)*IF($C47=DK$2,1,0)=0,0,1+COUNTIF(DK$3:DK46,"&gt;0"))</f>
        <v>0</v>
      </c>
      <c r="DL47">
        <f>IF(IF(OR(IFERROR(SEARCH("Druid",$T47,1),0)&gt;0,IFERROR(SEARCH(DruidLand1,$T47,1),0)&gt;0,IFERROR(SEARCH(DruidLand2,$T47,1),0)&gt;0,IFERROR(SEARCH(DruidLand3,$T47,1),0)&gt;0,IFERROR(SEARCH(DruidLand4,$T47,1),0)&gt;0),1,0)*IF($C47=DL$2,1,0)=0,0,1+COUNTIF(DL$3:DL46,"&gt;0"))</f>
        <v>0</v>
      </c>
      <c r="DM47">
        <f>IF(IF(OR(IFERROR(SEARCH("Druid",$T47,1),0)&gt;0,IFERROR(SEARCH(DruidLand1,$T47,1),0)&gt;0,IFERROR(SEARCH(DruidLand2,$T47,1),0)&gt;0,IFERROR(SEARCH(DruidLand3,$T47,1),0)&gt;0,IFERROR(SEARCH(DruidLand4,$T47,1),0)&gt;0),1,0)*IF($C47=DM$2,1,0)=0,0,1+COUNTIF(DM$3:DM46,"&gt;0"))</f>
        <v>0</v>
      </c>
      <c r="DN47">
        <f>IF(IF(OR(IFERROR(SEARCH("Druid",$T47,1),0)&gt;0,IFERROR(SEARCH(DruidLand1,$T47,1),0)&gt;0,IFERROR(SEARCH(DruidLand2,$T47,1),0)&gt;0,IFERROR(SEARCH(DruidLand3,$T47,1),0)&gt;0,IFERROR(SEARCH(DruidLand4,$T47,1),0)&gt;0),1,0)*IF($C47=DN$2,1,0)=0,0,1+COUNTIF(DN$3:DN46,"&gt;0"))</f>
        <v>0</v>
      </c>
      <c r="DO47">
        <f>IF(IF(OR(IFERROR(SEARCH("Druid",$T47,1),0)&gt;0,IFERROR(SEARCH(DruidLand1,$T47,1),0)&gt;0,IFERROR(SEARCH(DruidLand2,$T47,1),0)&gt;0,IFERROR(SEARCH(DruidLand3,$T47,1),0)&gt;0,IFERROR(SEARCH(DruidLand4,$T47,1),0)&gt;0),1,0)*IF($C47=DO$2,1,0)=0,0,1+COUNTIF(DO$3:DO46,"&gt;0"))</f>
        <v>0</v>
      </c>
      <c r="DP47">
        <f>IF(IF(OR(IFERROR(SEARCH("Druid",$T47,1),0)&gt;0,IFERROR(SEARCH(DruidLand1,$T47,1),0)&gt;0,IFERROR(SEARCH(DruidLand2,$T47,1),0)&gt;0,IFERROR(SEARCH(DruidLand3,$T47,1),0)&gt;0,IFERROR(SEARCH(DruidLand4,$T47,1),0)&gt;0),1,0)*IF($C47=DP$2,1,0)=0,0,1+COUNTIF(DP$3:DP46,"&gt;0"))</f>
        <v>0</v>
      </c>
      <c r="DQ47">
        <f>IF(IF(OR(IFERROR(SEARCH("Druid",$T47,1),0)&gt;0,IFERROR(SEARCH(DruidLand1,$T47,1),0)&gt;0,IFERROR(SEARCH(DruidLand2,$T47,1),0)&gt;0,IFERROR(SEARCH(DruidLand3,$T47,1),0)&gt;0,IFERROR(SEARCH(DruidLand4,$T47,1),0)&gt;0),1,0)*IF($C47=DQ$2,1,0)=0,0,1+COUNTIF(DQ$3:DQ46,"&gt;0"))</f>
        <v>0</v>
      </c>
      <c r="DR47">
        <f>IF(IF(OR(IFERROR(SEARCH("Druid",$T47,1),0)&gt;0,IFERROR(SEARCH(DruidLand1,$T47,1),0)&gt;0,IFERROR(SEARCH(DruidLand2,$T47,1),0)&gt;0,IFERROR(SEARCH(DruidLand3,$T47,1),0)&gt;0,IFERROR(SEARCH(DruidLand4,$T47,1),0)&gt;0),1,0)*IF($C47=DR$2,1,0)=0,0,1+COUNTIF(DR$3:DR46,"&gt;0"))</f>
        <v>0</v>
      </c>
      <c r="DS47">
        <f>IF(IF(OR(IFERROR(SEARCH("Paladin",$T47,1),0)&gt;0,IFERROR(SEARCH(PaladinOath,$T47,1),0)&gt;0),1,0)*IF($C47=DS$2,1,0)=1,1+COUNTIF(DS$3:DS46,"&gt;0"),0)</f>
        <v>0</v>
      </c>
      <c r="DT47">
        <f>IF(IF(OR(IFERROR(SEARCH("Paladin",$T47,1),0)&gt;0,IFERROR(SEARCH(PaladinOath,$T47,1),0)&gt;0),1,0)*IF($C47=DT$2,1,0)=1,1+COUNTIF(DT$3:DT46,"&gt;0"),0)</f>
        <v>0</v>
      </c>
      <c r="DU47">
        <f>IF(IF(OR(IFERROR(SEARCH("Paladin",$T47,1),0)&gt;0,IFERROR(SEARCH(PaladinOath,$T47,1),0)&gt;0),1,0)*IF($C47=DU$2,1,0)=1,1+COUNTIF(DU$3:DU46,"&gt;0"),0)</f>
        <v>0</v>
      </c>
      <c r="DV47">
        <f>IF(IF(OR(IFERROR(SEARCH("Paladin",$T47,1),0)&gt;0,IFERROR(SEARCH(PaladinOath,$T47,1),0)&gt;0),1,0)*IF($C47=DV$2,1,0)=1,1+COUNTIF(DV$3:DV46,"&gt;0"),0)</f>
        <v>0</v>
      </c>
      <c r="DW47">
        <f>IF(IF(OR(IFERROR(SEARCH("Paladin",$T47,1),0)&gt;0,IFERROR(SEARCH(PaladinOath,$T47,1),0)&gt;0),1,0)*IF($C47=DW$2,1,0)=1,1+COUNTIF(DW$3:DW46,"&gt;0"),0)</f>
        <v>0</v>
      </c>
      <c r="DY47">
        <f t="shared" si="2"/>
        <v>1</v>
      </c>
      <c r="DZ47">
        <f>IF(DY47=0,0,1+MAX(DZ$3:$DZ46))</f>
        <v>45</v>
      </c>
      <c r="EB47">
        <f t="shared" si="16"/>
        <v>0</v>
      </c>
      <c r="EC47">
        <f>IF(EB47=0,0,1+COUNTIF(EC$3:EC46,"&gt;0"))</f>
        <v>0</v>
      </c>
      <c r="ED47" t="str">
        <f t="shared" si="44"/>
        <v/>
      </c>
      <c r="EE47" t="str">
        <f t="shared" si="17"/>
        <v/>
      </c>
      <c r="EG47">
        <f t="shared" si="18"/>
        <v>0</v>
      </c>
      <c r="EH47">
        <f>IF(EG47=0,0,1+COUNTIF(EH$3:EH46,"&gt;0"))</f>
        <v>0</v>
      </c>
      <c r="EI47" t="str">
        <f t="shared" si="45"/>
        <v/>
      </c>
      <c r="EJ47" t="str">
        <f t="shared" si="19"/>
        <v/>
      </c>
      <c r="EL47">
        <f t="shared" si="20"/>
        <v>0</v>
      </c>
      <c r="EM47">
        <f>IF(EL47=0,0,1+COUNTIF(EM$3:EM46,"&gt;0"))</f>
        <v>0</v>
      </c>
      <c r="EN47" t="str">
        <f t="shared" si="46"/>
        <v/>
      </c>
      <c r="EO47" t="str">
        <f t="shared" si="21"/>
        <v/>
      </c>
      <c r="EQ47">
        <f t="shared" si="22"/>
        <v>0</v>
      </c>
      <c r="ER47">
        <f>IF(EQ47=0,0,1+COUNTIF(ER$3:ER46,"&gt;0"))</f>
        <v>0</v>
      </c>
      <c r="ES47" t="str">
        <f t="shared" si="47"/>
        <v/>
      </c>
      <c r="ET47" t="str">
        <f t="shared" si="23"/>
        <v/>
      </c>
      <c r="EV47">
        <f t="shared" si="24"/>
        <v>0</v>
      </c>
      <c r="EW47">
        <f>IF(EV47=0,0,1+COUNTIF(EW$3:EW46,"&gt;0"))</f>
        <v>0</v>
      </c>
      <c r="EX47" t="str">
        <f t="shared" si="48"/>
        <v/>
      </c>
      <c r="EY47" t="str">
        <f t="shared" si="25"/>
        <v/>
      </c>
      <c r="FA47">
        <f t="shared" si="26"/>
        <v>0</v>
      </c>
      <c r="FB47">
        <f>IF(FA47=0,0,1+COUNTIF(FB$3:FB46,"&gt;0"))</f>
        <v>0</v>
      </c>
      <c r="FC47" t="str">
        <f t="shared" si="49"/>
        <v/>
      </c>
      <c r="FD47" t="str">
        <f t="shared" si="27"/>
        <v/>
      </c>
      <c r="FF47">
        <f t="shared" si="28"/>
        <v>0</v>
      </c>
      <c r="FG47">
        <f>IF(FF47=0,0,1+COUNTIF(FG$3:FG46,"&gt;0"))</f>
        <v>0</v>
      </c>
      <c r="FH47" t="str">
        <f t="shared" si="50"/>
        <v/>
      </c>
      <c r="FI47" t="str">
        <f t="shared" si="29"/>
        <v/>
      </c>
      <c r="FK47">
        <f t="shared" si="30"/>
        <v>0</v>
      </c>
      <c r="FL47">
        <f>IF(FK47=0,0,1+COUNTIF(FL$3:FL46,"&gt;0"))</f>
        <v>0</v>
      </c>
      <c r="FM47" t="str">
        <f t="shared" si="51"/>
        <v/>
      </c>
      <c r="FN47" t="str">
        <f t="shared" si="31"/>
        <v/>
      </c>
      <c r="FP47">
        <f t="shared" si="32"/>
        <v>0</v>
      </c>
      <c r="FQ47">
        <f>IF(FP47=0,0,1+COUNTIF(FQ$3:FQ46,"&gt;0"))</f>
        <v>0</v>
      </c>
      <c r="FR47" t="str">
        <f t="shared" si="52"/>
        <v/>
      </c>
      <c r="FS47" t="str">
        <f t="shared" si="33"/>
        <v/>
      </c>
    </row>
    <row r="48" spans="1:175" x14ac:dyDescent="0.25">
      <c r="A48" s="347">
        <f t="shared" si="53"/>
        <v>46</v>
      </c>
      <c r="B48" s="348" t="s">
        <v>2407</v>
      </c>
      <c r="C48" s="348" t="s">
        <v>5277</v>
      </c>
      <c r="D48" s="347">
        <v>0.5</v>
      </c>
      <c r="E48" s="627" t="s">
        <v>6952</v>
      </c>
      <c r="F48" s="346"/>
      <c r="G48" s="347" t="str">
        <f>""</f>
        <v/>
      </c>
      <c r="H48" s="347" t="s">
        <v>5912</v>
      </c>
      <c r="I48" s="347" t="s">
        <v>5290</v>
      </c>
      <c r="J48" s="347" t="str">
        <f t="shared" si="3"/>
        <v/>
      </c>
      <c r="K48" s="347" t="s">
        <v>5313</v>
      </c>
      <c r="L48" s="611" t="str">
        <f t="shared" si="4"/>
        <v>V, S</v>
      </c>
      <c r="M48" s="347" t="s">
        <v>2373</v>
      </c>
      <c r="N48" s="347" t="s">
        <v>2387</v>
      </c>
      <c r="O48" s="347" t="s">
        <v>3034</v>
      </c>
      <c r="P48" s="346" t="str">
        <f>""</f>
        <v/>
      </c>
      <c r="Q48" s="347" t="s">
        <v>5275</v>
      </c>
      <c r="S48" s="346" t="s">
        <v>5617</v>
      </c>
      <c r="T48" s="346" t="str">
        <f t="shared" si="5"/>
        <v xml:space="preserve">Sorcerer, Warlock, Eldritch Knight, Wizard, </v>
      </c>
      <c r="X48" s="347" t="str">
        <f t="shared" si="55"/>
        <v>Chill Touch</v>
      </c>
      <c r="Y48" s="347" t="str">
        <f>$B48</f>
        <v>Chill Touch</v>
      </c>
      <c r="AB48" s="347" t="str">
        <f>$B48</f>
        <v>Chill Touch</v>
      </c>
      <c r="AD48" s="347" t="str">
        <f>$B48</f>
        <v>Chill Touch</v>
      </c>
      <c r="AE48" t="str">
        <f>IF(IFERROR(MATCH($B48,temp!A$4:A$13,0),0)&gt;0,T08_Spells!AE$2,"")</f>
        <v/>
      </c>
      <c r="AF48" t="str">
        <f>IF(IFERROR(MATCH($B48,temp!B$4:B$13,0),0)&gt;0,T08_Spells!AF$2,"")</f>
        <v/>
      </c>
      <c r="AG48" t="str">
        <f>IF(IFERROR(MATCH($B48,temp!C$4:C$13,0),0)&gt;0,T08_Spells!AG$2,"")</f>
        <v/>
      </c>
      <c r="AH48" t="str">
        <f>IF(IFERROR(MATCH($B48,temp!D$4:D$13,0),0)&gt;0,T08_Spells!AH$2,"")</f>
        <v/>
      </c>
      <c r="AI48" t="str">
        <f>IF(IFERROR(MATCH($B48,temp!E$4:E$13,0),0)&gt;0,T08_Spells!AI$2,"")</f>
        <v/>
      </c>
      <c r="AJ48" t="str">
        <f>IF(IFERROR(MATCH($B48,temp!F$4:F$13,0),0)&gt;0,T08_Spells!AJ$2,"")</f>
        <v/>
      </c>
      <c r="AK48" t="str">
        <f>IF(IFERROR(MATCH($B48,temp!G$4:G$13,0),0)&gt;0,T08_Spells!AK$2,"")</f>
        <v/>
      </c>
      <c r="AL48" t="str">
        <f>IF(IFERROR(MATCH($B48,temp!H$4:H$13,0),0)&gt;0,T08_Spells!AL$2,"")</f>
        <v/>
      </c>
      <c r="AM48" t="str">
        <f>IF(IFERROR(MATCH($B48,temp!I$4:I$13,0),0)&gt;0,T08_Spells!AM$2,"")</f>
        <v/>
      </c>
      <c r="AN48" t="str">
        <f>IF(IFERROR(MATCH($B48,temp!J$4:J$13,0),0)&gt;0,T08_Spells!AN$2,"")</f>
        <v/>
      </c>
      <c r="AO48" t="str">
        <f>IF(IFERROR(MATCH($B48,temp!K$4:K$13,0),0)&gt;0,T08_Spells!AO$2,"")</f>
        <v/>
      </c>
      <c r="AP48" t="str">
        <f>IF(IFERROR(MATCH($B48,temp!L$4:L$13,0),0)&gt;0,T08_Spells!AP$2,"")</f>
        <v/>
      </c>
      <c r="AQ48" t="str">
        <f>IF(IFERROR(MATCH($B48,temp!M$4:M$13,0),0)&gt;0,T08_Spells!AQ$2,"")</f>
        <v/>
      </c>
      <c r="AR48" t="str">
        <f>IF(IFERROR(MATCH($B48,temp!N$4:N$13,0),0)&gt;0,T08_Spells!AR$2,"")</f>
        <v/>
      </c>
      <c r="AS48" t="str">
        <f>IF(IFERROR(MATCH($B48,temp!O$4:O$13,0),0)&gt;0,T08_Spells!AS$2,"")</f>
        <v/>
      </c>
      <c r="AT48" t="str">
        <f>IF(IFERROR(MATCH($B48,temp!P$4:P$13,0),0)&gt;0,T08_Spells!AT$2,"")</f>
        <v/>
      </c>
      <c r="AU48" t="str">
        <f>IF(IFERROR(MATCH($B48,temp!Q$4:Q$13,0),0)&gt;0,T08_Spells!AU$2,"")</f>
        <v/>
      </c>
      <c r="AV48" t="str">
        <f>IF(IFERROR(MATCH($B48,temp!R$4:R$13,0),0)&gt;0,T08_Spells!AV$2,"")</f>
        <v/>
      </c>
      <c r="AW48" t="str">
        <f>IF(IFERROR(MATCH($B48,temp!S$4:S$13,0),0)&gt;0,T08_Spells!AW$2,"")</f>
        <v/>
      </c>
      <c r="AX48" t="str">
        <f>IF(IFERROR(MATCH($B48,temp!T$4:T$13,0),0)&gt;0,T08_Spells!AX$2,"")</f>
        <v/>
      </c>
      <c r="AY48" t="str">
        <f>IF(IFERROR(MATCH($B48,temp!U$4:U$13,0),0)&gt;0,T08_Spells!AY$2,"")</f>
        <v/>
      </c>
      <c r="AZ48" t="str">
        <f>IF(IFERROR(MATCH($B48,temp!V$4:V$13,0),0)&gt;0,T08_Spells!AZ$2,"")</f>
        <v/>
      </c>
      <c r="BA48" t="str">
        <f>IF(IFERROR(MATCH($B48,temp!W$4:W$13,0),0)&gt;0,T08_Spells!BA$2,"")</f>
        <v/>
      </c>
      <c r="BC48">
        <f>IF(IFERROR(SEARCH("Ranger",$T48,1),0)&gt;0,1,0)*IF(RangerMaxSpellLevel&gt;=$C48,1,0)*IF(IFERROR(MATCH(B48,Character_Creation!$X$79:$X$382,0),0)&gt;0,0,1)</f>
        <v>0</v>
      </c>
      <c r="BD48">
        <f>IF(BC48=0,0,1+COUNTIF(BD$3:BD47,"&gt;0"))</f>
        <v>0</v>
      </c>
      <c r="BE48" t="str">
        <f t="shared" si="34"/>
        <v/>
      </c>
      <c r="BF48" t="str">
        <f t="shared" si="6"/>
        <v/>
      </c>
      <c r="BH48">
        <f>IF(IFERROR(SEARCH("Sorcerer",$T48,1),0)&gt;0,1,0)*IF(SorcererMaxSpellLevel&gt;=$C48,1,0)*IF(IFERROR(MATCH(B48,Character_Creation!$J$380:$J$394,0),0)&gt;0,0,1)</f>
        <v>0</v>
      </c>
      <c r="BI48">
        <f>IF(BH48=0,0,1+COUNTIF(BI$3:BI47,"&gt;0"))</f>
        <v>0</v>
      </c>
      <c r="BJ48" t="str">
        <f t="shared" si="35"/>
        <v/>
      </c>
      <c r="BK48" t="str">
        <f t="shared" si="7"/>
        <v/>
      </c>
      <c r="BM48">
        <f>IF(OR(IFERROR(SEARCH("Warlock",$T48,1),0)&gt;0,IFERROR(SEARCH(WarlockPatron,$T48,1),0)&gt;0),1,0)*IF(WarlockMaxSpellLevel&gt;=$C48,1,0)*IF(IFERROR(MATCH(B48,Character_Creation!$J$361:$J$375,0),0)&gt;0,0,1)</f>
        <v>0</v>
      </c>
      <c r="BN48">
        <f>IF(BM48=0,0,1+COUNTIF(BN$3:BN47,"&gt;0"))</f>
        <v>0</v>
      </c>
      <c r="BO48" t="str">
        <f t="shared" si="36"/>
        <v/>
      </c>
      <c r="BP48" t="str">
        <f t="shared" si="8"/>
        <v/>
      </c>
      <c r="BR48">
        <f>IF(IFERROR(SEARCH("Eldritch Knight",$T48,1),0)&gt;0,1,0)*IF(EldritchKnightMaxSpellLevel&gt;=$C48,1,0)*IF(IFERROR(MATCH($B48,Character_Creation!$J$350:$J$356,0),0)&gt;0,0,1)*IF(Character_Creation!$M$338&gt;0,1,0)</f>
        <v>0</v>
      </c>
      <c r="BS48">
        <f>IF(BR48=0,0,1+COUNTIF(BS$3:BS47,"&gt;0"))</f>
        <v>0</v>
      </c>
      <c r="BT48" t="str">
        <f t="shared" si="37"/>
        <v/>
      </c>
      <c r="BU48" t="str">
        <f t="shared" si="9"/>
        <v/>
      </c>
      <c r="BW48">
        <f>IF(IFERROR(SEARCH("Arcane Trickster",$T48,1),0)&gt;0,1,0)*IF(ArcaneTricksterMaxSpellLevel&gt;=$C48,1,0)*IF(IFERROR(MATCH($B48,Character_Creation!$J$350:$J$356,0),0)&gt;0,0,1)*IF(Character_Creation!$T$338&gt;0,1,0)</f>
        <v>0</v>
      </c>
      <c r="BX48">
        <f>IF(BW48=0,0,1+COUNTIF(BX$3:BX47,"&gt;0"))</f>
        <v>0</v>
      </c>
      <c r="BY48" t="str">
        <f t="shared" si="38"/>
        <v/>
      </c>
      <c r="BZ48" t="str">
        <f t="shared" si="10"/>
        <v/>
      </c>
      <c r="CB48">
        <f>IF(IFERROR(SEARCH("Wizard",$T48,1),0)&gt;0,1,0)*IF(C48&lt;=ArcaneTricksterMaxSpellLevel,1,0)*IF(IFERROR(MATCH($B48,Character_Creation!$J$350:$J$356,0),0)&gt;0,0,1)*IF(Character_Creation!$T$350&gt;0,1,0)</f>
        <v>0</v>
      </c>
      <c r="CC48">
        <f>IF(CB48=0,0,1+COUNTIF(CC$3:CC47,"&gt;0"))</f>
        <v>0</v>
      </c>
      <c r="CD48" t="str">
        <f t="shared" si="39"/>
        <v/>
      </c>
      <c r="CE48" t="str">
        <f t="shared" si="11"/>
        <v/>
      </c>
      <c r="CG48">
        <f>IF(IFERROR(SEARCH("Wizard",$T48,1),0)&gt;0,1,0)*IF($C48&lt;=EldritchKnightMaxSpellLevel,1,0)*IF(IFERROR(MATCH($B48,Character_Creation!$J$350:$J$356,0),0)&gt;0,0,1)*IF(Character_Creation!$M$350&gt;0,1,0)</f>
        <v>0</v>
      </c>
      <c r="CH48">
        <f>IF(CG48=0,0,1+COUNTIF(CH$3:CH47,"&gt;0"))</f>
        <v>0</v>
      </c>
      <c r="CI48">
        <f t="shared" si="40"/>
        <v>46</v>
      </c>
      <c r="CJ48" t="str">
        <f t="shared" si="12"/>
        <v>Protection from Evil and Good</v>
      </c>
      <c r="CL48">
        <f>IF(IFERROR(SEARCH("Bard",$T48,1),0)&gt;0,1,0)*IF(BardMaxSpellLevel&gt;=$C48,1,0)*IF(IFERROR(MATCH(B48,Character_Creation!$C$341:$F$362,0),0)&gt;0,0,1)*IF(IFERROR(MATCH($B48,Character_Creation!$C$341:$C$362,0),0)&gt;0,0,1)</f>
        <v>0</v>
      </c>
      <c r="CM48">
        <f>IF(CL48=0,0,1+COUNTIF(CM$3:CM47,"&gt;0"))</f>
        <v>0</v>
      </c>
      <c r="CN48" t="str">
        <f t="shared" si="41"/>
        <v/>
      </c>
      <c r="CO48" t="str">
        <f t="shared" si="13"/>
        <v/>
      </c>
      <c r="CQ48">
        <f>IF(IFERROR(SEARCH("Wizard",$T48,1),0)&gt;0,1,0)*IF(WizardMaxSpellLevel&gt;=$C48,1,0)*IF(IFERROR(MATCH(B48,Character_Creation!$X$341:$X$400,0),0)&gt;0,0,1)*IF(SelectedWizardSpellLevel=$C48,1,0)</f>
        <v>0</v>
      </c>
      <c r="CR48">
        <f>IF(CQ48=0,0,1+COUNTIF(CR$3:CR47,"&gt;0"))</f>
        <v>0</v>
      </c>
      <c r="CS48" t="str">
        <f t="shared" si="42"/>
        <v/>
      </c>
      <c r="CT48" t="str">
        <f t="shared" si="14"/>
        <v/>
      </c>
      <c r="CV48">
        <f>IF(IFERROR(MATCH($B48,Character_Creation!$C$341:$C$362,0),0)&gt;0,0,1)*IF(OR(C48="Cantrip",C48&lt;=BardMaxSpellLevel),1,0)*IF(IFERROR(MATCH($B48,Character_Creation!$C$367:$C$374,0),0)&gt;0,0,1)</f>
        <v>1</v>
      </c>
      <c r="CW48">
        <f>IF(CV48=0,0,1+COUNTIF(CW$3:CW47,"&gt;0"))</f>
        <v>3</v>
      </c>
      <c r="CX48" t="str">
        <f t="shared" si="43"/>
        <v/>
      </c>
      <c r="CY48" t="str">
        <f t="shared" si="15"/>
        <v/>
      </c>
      <c r="DA48">
        <f>IF(IF(OR(IFERROR(SEARCH("Cleric",$T48,1),0)&gt;0,IFERROR(SEARCH(DivineDomain&amp;",",$T48,1),0)&gt;0),1,0)*IF($C48=DA$2,1,0)=1,1+COUNTIF(DA$3:DA47,"&gt;0"),0)</f>
        <v>0</v>
      </c>
      <c r="DB48">
        <f>IF(IF(OR(IFERROR(SEARCH("Cleric",$T48,1),0)&gt;0,IFERROR(SEARCH(DivineDomain&amp;",",$T48,1),0)&gt;0),1,0)*IF($C48=DB$2,1,0)=1,1+COUNTIF(DB$3:DB47,"&gt;0"),0)</f>
        <v>0</v>
      </c>
      <c r="DC48">
        <f>IF(IF(OR(IFERROR(SEARCH("Cleric",$T48,1),0)&gt;0,IFERROR(SEARCH(DivineDomain&amp;",",$T48,1),0)&gt;0),1,0)*IF($C48=DC$2,1,0)=1,1+COUNTIF(DC$3:DC47,"&gt;0"),0)</f>
        <v>0</v>
      </c>
      <c r="DD48">
        <f>IF(IF(OR(IFERROR(SEARCH("Cleric",$T48,1),0)&gt;0,IFERROR(SEARCH(DivineDomain&amp;",",$T48,1),0)&gt;0),1,0)*IF($C48=DD$2,1,0)=1,1+COUNTIF(DD$3:DD47,"&gt;0"),0)</f>
        <v>0</v>
      </c>
      <c r="DE48">
        <f>IF(IF(OR(IFERROR(SEARCH("Cleric",$T48,1),0)&gt;0,IFERROR(SEARCH(DivineDomain&amp;",",$T48,1),0)&gt;0),1,0)*IF($C48=DE$2,1,0)=1,1+COUNTIF(DE$3:DE47,"&gt;0"),0)</f>
        <v>0</v>
      </c>
      <c r="DF48">
        <f>IF(IF(OR(IFERROR(SEARCH("Cleric",$T48,1),0)&gt;0,IFERROR(SEARCH(DivineDomain&amp;",",$T48,1),0)&gt;0),1,0)*IF($C48=DF$2,1,0)=1,1+COUNTIF(DF$3:DF47,"&gt;0"),0)</f>
        <v>0</v>
      </c>
      <c r="DG48">
        <f>IF(IF(OR(IFERROR(SEARCH("Cleric",$T48,1),0)&gt;0,IFERROR(SEARCH(DivineDomain&amp;",",$T48,1),0)&gt;0),1,0)*IF($C48=DG$2,1,0)=1,1+COUNTIF(DG$3:DG47,"&gt;0"),0)</f>
        <v>0</v>
      </c>
      <c r="DH48">
        <f>IF(IF(OR(IFERROR(SEARCH("Cleric",$T48,1),0)&gt;0,IFERROR(SEARCH(DivineDomain&amp;",",$T48,1),0)&gt;0),1,0)*IF($C48=DH$2,1,0)=1,1+COUNTIF(DH$3:DH47,"&gt;0"),0)</f>
        <v>0</v>
      </c>
      <c r="DI48">
        <f>IF(IF(OR(IFERROR(SEARCH("Cleric",$T48,1),0)&gt;0,IFERROR(SEARCH(DivineDomain&amp;",",$T48,1),0)&gt;0),1,0)*IF($C48=DI$2,1,0)=1,1+COUNTIF(DI$3:DI47,"&gt;0"),0)</f>
        <v>0</v>
      </c>
      <c r="DJ48">
        <f>IF(IF(OR(IFERROR(SEARCH("Druid",$T48,1),0)&gt;0,IFERROR(SEARCH(DruidLand1,$T48,1),0)&gt;0,IFERROR(SEARCH(DruidLand2,$T48,1),0)&gt;0,IFERROR(SEARCH(DruidLand3,$T48,1),0)&gt;0,IFERROR(SEARCH(DruidLand4,$T48,1),0)&gt;0),1,0)*IF($C48=1,1,0)*IF($C48=DJ$2,1,0)=0,0,1+COUNTIF(DJ$3:DJ47,"&gt;0"))</f>
        <v>0</v>
      </c>
      <c r="DK48">
        <f>IF(IF(OR(IFERROR(SEARCH("Druid",$T48,1),0)&gt;0,IFERROR(SEARCH(DruidLand1,$T48,1),0)&gt;0,IFERROR(SEARCH(DruidLand2,$T48,1),0)&gt;0,IFERROR(SEARCH(DruidLand3,$T48,1),0)&gt;0,IFERROR(SEARCH(DruidLand4,$T48,1),0)&gt;0),1,0)*IF($C48=1,1,0)*IF($C48=DK$2,1,0)=0,0,1+COUNTIF(DK$3:DK47,"&gt;0"))</f>
        <v>0</v>
      </c>
      <c r="DL48">
        <f>IF(IF(OR(IFERROR(SEARCH("Druid",$T48,1),0)&gt;0,IFERROR(SEARCH(DruidLand1,$T48,1),0)&gt;0,IFERROR(SEARCH(DruidLand2,$T48,1),0)&gt;0,IFERROR(SEARCH(DruidLand3,$T48,1),0)&gt;0,IFERROR(SEARCH(DruidLand4,$T48,1),0)&gt;0),1,0)*IF($C48=1,1,0)*IF($C48=DL$2,1,0)=0,0,1+COUNTIF(DL$3:DL47,"&gt;0"))</f>
        <v>0</v>
      </c>
      <c r="DM48">
        <f>IF(IF(OR(IFERROR(SEARCH("Druid",$T48,1),0)&gt;0,IFERROR(SEARCH(DruidLand1,$T48,1),0)&gt;0,IFERROR(SEARCH(DruidLand2,$T48,1),0)&gt;0,IFERROR(SEARCH(DruidLand3,$T48,1),0)&gt;0,IFERROR(SEARCH(DruidLand4,$T48,1),0)&gt;0),1,0)*IF($C48=1,1,0)*IF($C48=DM$2,1,0)=0,0,1+COUNTIF(DM$3:DM47,"&gt;0"))</f>
        <v>0</v>
      </c>
      <c r="DN48">
        <f>IF(IF(OR(IFERROR(SEARCH("Druid",$T48,1),0)&gt;0,IFERROR(SEARCH(DruidLand1,$T48,1),0)&gt;0,IFERROR(SEARCH(DruidLand2,$T48,1),0)&gt;0,IFERROR(SEARCH(DruidLand3,$T48,1),0)&gt;0,IFERROR(SEARCH(DruidLand4,$T48,1),0)&gt;0),1,0)*IF($C48=1,1,0)*IF($C48=DN$2,1,0)=0,0,1+COUNTIF(DN$3:DN47,"&gt;0"))</f>
        <v>0</v>
      </c>
      <c r="DO48">
        <f>IF(IF(OR(IFERROR(SEARCH("Druid",$T48,1),0)&gt;0,IFERROR(SEARCH(DruidLand1,$T48,1),0)&gt;0,IFERROR(SEARCH(DruidLand2,$T48,1),0)&gt;0,IFERROR(SEARCH(DruidLand3,$T48,1),0)&gt;0,IFERROR(SEARCH(DruidLand4,$T48,1),0)&gt;0),1,0)*IF($C48=1,1,0)*IF($C48=DO$2,1,0)=0,0,1+COUNTIF(DO$3:DO47,"&gt;0"))</f>
        <v>0</v>
      </c>
      <c r="DP48">
        <f>IF(IF(OR(IFERROR(SEARCH("Druid",$T48,1),0)&gt;0,IFERROR(SEARCH(DruidLand1,$T48,1),0)&gt;0,IFERROR(SEARCH(DruidLand2,$T48,1),0)&gt;0,IFERROR(SEARCH(DruidLand3,$T48,1),0)&gt;0,IFERROR(SEARCH(DruidLand4,$T48,1),0)&gt;0),1,0)*IF($C48=1,1,0)*IF($C48=DP$2,1,0)=0,0,1+COUNTIF(DP$3:DP47,"&gt;0"))</f>
        <v>0</v>
      </c>
      <c r="DQ48">
        <f>IF(IF(OR(IFERROR(SEARCH("Druid",$T48,1),0)&gt;0,IFERROR(SEARCH(DruidLand1,$T48,1),0)&gt;0,IFERROR(SEARCH(DruidLand2,$T48,1),0)&gt;0,IFERROR(SEARCH(DruidLand3,$T48,1),0)&gt;0,IFERROR(SEARCH(DruidLand4,$T48,1),0)&gt;0),1,0)*IF($C48=1,1,0)*IF($C48=DQ$2,1,0)=0,0,1+COUNTIF(DQ$3:DQ47,"&gt;0"))</f>
        <v>0</v>
      </c>
      <c r="DR48">
        <f>IF(IF(OR(IFERROR(SEARCH("Druid",$T48,1),0)&gt;0,IFERROR(SEARCH(DruidLand1,$T48,1),0)&gt;0,IFERROR(SEARCH(DruidLand2,$T48,1),0)&gt;0,IFERROR(SEARCH(DruidLand3,$T48,1),0)&gt;0,IFERROR(SEARCH(DruidLand4,$T48,1),0)&gt;0),1,0)*IF($C48=1,1,0)*IF($C48=DR$2,1,0)=0,0,1+COUNTIF(DR$3:DR47,"&gt;0"))</f>
        <v>0</v>
      </c>
      <c r="DS48">
        <f>IF(IF(OR(IFERROR(SEARCH("Paladin",$T48,1),0)&gt;0,IFERROR(SEARCH(PaladinOath,$T48,1),0)&gt;0),1,0)*IF($C48=DS$2,1,0)=1,1+COUNTIF(DS$3:DS47,"&gt;0"),0)</f>
        <v>0</v>
      </c>
      <c r="DT48">
        <f>IF(IF(OR(IFERROR(SEARCH("Paladin",$T48,1),0)&gt;0,IFERROR(SEARCH(PaladinOath,$T48,1),0)&gt;0),1,0)*IF($C48=DT$2,1,0)=1,1+COUNTIF(DT$3:DT47,"&gt;0"),0)</f>
        <v>0</v>
      </c>
      <c r="DU48">
        <f>IF(IF(OR(IFERROR(SEARCH("Paladin",$T48,1),0)&gt;0,IFERROR(SEARCH(PaladinOath,$T48,1),0)&gt;0),1,0)*IF($C48=DU$2,1,0)=1,1+COUNTIF(DU$3:DU47,"&gt;0"),0)</f>
        <v>0</v>
      </c>
      <c r="DV48">
        <f>IF(IF(OR(IFERROR(SEARCH("Paladin",$T48,1),0)&gt;0,IFERROR(SEARCH(PaladinOath,$T48,1),0)&gt;0),1,0)*IF($C48=DV$2,1,0)=1,1+COUNTIF(DV$3:DV47,"&gt;0"),0)</f>
        <v>0</v>
      </c>
      <c r="DW48">
        <f>IF(IF(OR(IFERROR(SEARCH("Paladin",$T48,1),0)&gt;0,IFERROR(SEARCH(PaladinOath,$T48,1),0)&gt;0),1,0)*IF($C48=DW$2,1,0)=1,1+COUNTIF(DW$3:DW47,"&gt;0"),0)</f>
        <v>0</v>
      </c>
      <c r="DY48">
        <f t="shared" si="2"/>
        <v>1</v>
      </c>
      <c r="DZ48">
        <f>IF(DY48=0,0,1+MAX(DZ$3:$DZ47))</f>
        <v>46</v>
      </c>
      <c r="EB48">
        <f t="shared" si="16"/>
        <v>0</v>
      </c>
      <c r="EC48">
        <f>IF(EB48=0,0,1+COUNTIF(EC$3:EC47,"&gt;0"))</f>
        <v>0</v>
      </c>
      <c r="ED48" t="str">
        <f t="shared" si="44"/>
        <v/>
      </c>
      <c r="EE48" t="str">
        <f t="shared" si="17"/>
        <v/>
      </c>
      <c r="EG48">
        <f t="shared" si="18"/>
        <v>0</v>
      </c>
      <c r="EH48">
        <f>IF(EG48=0,0,1+COUNTIF(EH$3:EH47,"&gt;0"))</f>
        <v>0</v>
      </c>
      <c r="EI48" t="str">
        <f t="shared" si="45"/>
        <v/>
      </c>
      <c r="EJ48" t="str">
        <f t="shared" si="19"/>
        <v/>
      </c>
      <c r="EL48">
        <f t="shared" si="20"/>
        <v>0</v>
      </c>
      <c r="EM48">
        <f>IF(EL48=0,0,1+COUNTIF(EM$3:EM47,"&gt;0"))</f>
        <v>0</v>
      </c>
      <c r="EN48" t="str">
        <f t="shared" si="46"/>
        <v/>
      </c>
      <c r="EO48" t="str">
        <f t="shared" si="21"/>
        <v/>
      </c>
      <c r="EQ48">
        <f t="shared" si="22"/>
        <v>1</v>
      </c>
      <c r="ER48">
        <f>IF(EQ48=0,0,1+COUNTIF(ER$3:ER47,"&gt;0"))</f>
        <v>3</v>
      </c>
      <c r="ES48" t="str">
        <f t="shared" si="47"/>
        <v/>
      </c>
      <c r="ET48" t="str">
        <f t="shared" si="23"/>
        <v/>
      </c>
      <c r="EV48">
        <f t="shared" si="24"/>
        <v>0</v>
      </c>
      <c r="EW48">
        <f>IF(EV48=0,0,1+COUNTIF(EW$3:EW47,"&gt;0"))</f>
        <v>0</v>
      </c>
      <c r="EX48" t="str">
        <f t="shared" si="48"/>
        <v/>
      </c>
      <c r="EY48" t="str">
        <f t="shared" si="25"/>
        <v/>
      </c>
      <c r="FA48">
        <f t="shared" si="26"/>
        <v>1</v>
      </c>
      <c r="FB48">
        <f>IF(FA48=0,0,1+COUNTIF(FB$3:FB47,"&gt;0"))</f>
        <v>3</v>
      </c>
      <c r="FC48" t="str">
        <f t="shared" si="49"/>
        <v/>
      </c>
      <c r="FD48" t="str">
        <f t="shared" si="27"/>
        <v/>
      </c>
      <c r="FF48">
        <f t="shared" si="28"/>
        <v>1</v>
      </c>
      <c r="FG48">
        <f>IF(FF48=0,0,1+COUNTIF(FG$3:FG47,"&gt;0"))</f>
        <v>2</v>
      </c>
      <c r="FH48" t="str">
        <f t="shared" si="50"/>
        <v/>
      </c>
      <c r="FI48" t="str">
        <f t="shared" si="29"/>
        <v/>
      </c>
      <c r="FK48">
        <f t="shared" si="30"/>
        <v>1</v>
      </c>
      <c r="FL48">
        <f>IF(FK48=0,0,1+COUNTIF(FL$3:FL47,"&gt;0"))</f>
        <v>3</v>
      </c>
      <c r="FM48" t="str">
        <f t="shared" si="51"/>
        <v/>
      </c>
      <c r="FN48" t="str">
        <f t="shared" si="31"/>
        <v/>
      </c>
      <c r="FP48">
        <f t="shared" si="32"/>
        <v>0</v>
      </c>
      <c r="FQ48">
        <f>IF(FP48=0,0,1+COUNTIF(FQ$3:FQ47,"&gt;0"))</f>
        <v>0</v>
      </c>
      <c r="FR48" t="str">
        <f t="shared" si="52"/>
        <v/>
      </c>
      <c r="FS48" t="str">
        <f t="shared" si="33"/>
        <v/>
      </c>
    </row>
    <row r="49" spans="1:175" x14ac:dyDescent="0.25">
      <c r="A49" s="347">
        <f t="shared" si="53"/>
        <v>47</v>
      </c>
      <c r="B49" s="348" t="s">
        <v>2408</v>
      </c>
      <c r="C49" s="348">
        <v>1</v>
      </c>
      <c r="D49" s="347">
        <v>1</v>
      </c>
      <c r="E49" s="627" t="s">
        <v>6952</v>
      </c>
      <c r="F49" s="346"/>
      <c r="G49" s="347" t="str">
        <f>""</f>
        <v/>
      </c>
      <c r="H49" s="347" t="s">
        <v>5912</v>
      </c>
      <c r="I49" s="347" t="s">
        <v>5312</v>
      </c>
      <c r="J49" s="347" t="str">
        <f t="shared" si="3"/>
        <v/>
      </c>
      <c r="K49" s="347" t="s">
        <v>5278</v>
      </c>
      <c r="L49" s="611" t="str">
        <f t="shared" si="4"/>
        <v>V, S, M, a diamond worth at least 50 gp</v>
      </c>
      <c r="M49" s="347" t="s">
        <v>2373</v>
      </c>
      <c r="N49" s="347" t="s">
        <v>2387</v>
      </c>
      <c r="O49" s="347" t="s">
        <v>1244</v>
      </c>
      <c r="P49" s="346" t="s">
        <v>5317</v>
      </c>
      <c r="Q49" s="347" t="s">
        <v>5273</v>
      </c>
      <c r="S49" s="346" t="s">
        <v>5618</v>
      </c>
      <c r="T49" s="346" t="str">
        <f t="shared" si="5"/>
        <v xml:space="preserve">Sorcerer, Eldritch Knight, Wizard, </v>
      </c>
      <c r="X49" s="347" t="str">
        <f t="shared" si="55"/>
        <v>Chromatic Orb</v>
      </c>
      <c r="AB49" s="542" t="str">
        <f>AD49</f>
        <v>Chromatic Orb</v>
      </c>
      <c r="AD49" s="347" t="str">
        <f>$B49</f>
        <v>Chromatic Orb</v>
      </c>
      <c r="AE49" t="str">
        <f>IF(IFERROR(MATCH($B49,temp!A$4:A$13,0),0)&gt;0,T08_Spells!AE$2,"")</f>
        <v/>
      </c>
      <c r="AF49" t="str">
        <f>IF(IFERROR(MATCH($B49,temp!B$4:B$13,0),0)&gt;0,T08_Spells!AF$2,"")</f>
        <v/>
      </c>
      <c r="AG49" t="str">
        <f>IF(IFERROR(MATCH($B49,temp!C$4:C$13,0),0)&gt;0,T08_Spells!AG$2,"")</f>
        <v/>
      </c>
      <c r="AH49" t="str">
        <f>IF(IFERROR(MATCH($B49,temp!D$4:D$13,0),0)&gt;0,T08_Spells!AH$2,"")</f>
        <v/>
      </c>
      <c r="AI49" t="str">
        <f>IF(IFERROR(MATCH($B49,temp!E$4:E$13,0),0)&gt;0,T08_Spells!AI$2,"")</f>
        <v/>
      </c>
      <c r="AJ49" t="str">
        <f>IF(IFERROR(MATCH($B49,temp!F$4:F$13,0),0)&gt;0,T08_Spells!AJ$2,"")</f>
        <v/>
      </c>
      <c r="AK49" t="str">
        <f>IF(IFERROR(MATCH($B49,temp!G$4:G$13,0),0)&gt;0,T08_Spells!AK$2,"")</f>
        <v/>
      </c>
      <c r="AL49" t="str">
        <f>IF(IFERROR(MATCH($B49,temp!H$4:H$13,0),0)&gt;0,T08_Spells!AL$2,"")</f>
        <v/>
      </c>
      <c r="AM49" t="str">
        <f>IF(IFERROR(MATCH($B49,temp!I$4:I$13,0),0)&gt;0,T08_Spells!AM$2,"")</f>
        <v/>
      </c>
      <c r="AN49" t="str">
        <f>IF(IFERROR(MATCH($B49,temp!J$4:J$13,0),0)&gt;0,T08_Spells!AN$2,"")</f>
        <v/>
      </c>
      <c r="AO49" t="str">
        <f>IF(IFERROR(MATCH($B49,temp!K$4:K$13,0),0)&gt;0,T08_Spells!AO$2,"")</f>
        <v/>
      </c>
      <c r="AP49" t="str">
        <f>IF(IFERROR(MATCH($B49,temp!L$4:L$13,0),0)&gt;0,T08_Spells!AP$2,"")</f>
        <v/>
      </c>
      <c r="AQ49" t="str">
        <f>IF(IFERROR(MATCH($B49,temp!M$4:M$13,0),0)&gt;0,T08_Spells!AQ$2,"")</f>
        <v/>
      </c>
      <c r="AR49" t="str">
        <f>IF(IFERROR(MATCH($B49,temp!N$4:N$13,0),0)&gt;0,T08_Spells!AR$2,"")</f>
        <v/>
      </c>
      <c r="AS49" t="str">
        <f>IF(IFERROR(MATCH($B49,temp!O$4:O$13,0),0)&gt;0,T08_Spells!AS$2,"")</f>
        <v/>
      </c>
      <c r="AT49" t="str">
        <f>IF(IFERROR(MATCH($B49,temp!P$4:P$13,0),0)&gt;0,T08_Spells!AT$2,"")</f>
        <v/>
      </c>
      <c r="AU49" t="str">
        <f>IF(IFERROR(MATCH($B49,temp!Q$4:Q$13,0),0)&gt;0,T08_Spells!AU$2,"")</f>
        <v/>
      </c>
      <c r="AV49" t="str">
        <f>IF(IFERROR(MATCH($B49,temp!R$4:R$13,0),0)&gt;0,T08_Spells!AV$2,"")</f>
        <v/>
      </c>
      <c r="AW49" t="str">
        <f>IF(IFERROR(MATCH($B49,temp!S$4:S$13,0),0)&gt;0,T08_Spells!AW$2,"")</f>
        <v/>
      </c>
      <c r="AX49" t="str">
        <f>IF(IFERROR(MATCH($B49,temp!T$4:T$13,0),0)&gt;0,T08_Spells!AX$2,"")</f>
        <v/>
      </c>
      <c r="AY49" t="str">
        <f>IF(IFERROR(MATCH($B49,temp!U$4:U$13,0),0)&gt;0,T08_Spells!AY$2,"")</f>
        <v/>
      </c>
      <c r="AZ49" t="str">
        <f>IF(IFERROR(MATCH($B49,temp!V$4:V$13,0),0)&gt;0,T08_Spells!AZ$2,"")</f>
        <v/>
      </c>
      <c r="BA49" t="str">
        <f>IF(IFERROR(MATCH($B49,temp!W$4:W$13,0),0)&gt;0,T08_Spells!BA$2,"")</f>
        <v/>
      </c>
      <c r="BC49">
        <f>IF(IFERROR(SEARCH("Ranger",$T49,1),0)&gt;0,1,0)*IF(RangerMaxSpellLevel&gt;=$C49,1,0)*IF(IFERROR(MATCH(B49,Character_Creation!$X$79:$X$382,0),0)&gt;0,0,1)</f>
        <v>0</v>
      </c>
      <c r="BD49">
        <f>IF(BC49=0,0,1+COUNTIF(BD$3:BD48,"&gt;0"))</f>
        <v>0</v>
      </c>
      <c r="BE49" t="str">
        <f t="shared" si="34"/>
        <v/>
      </c>
      <c r="BF49" t="str">
        <f t="shared" si="6"/>
        <v/>
      </c>
      <c r="BH49">
        <f>IF(IFERROR(SEARCH("Sorcerer",$T49,1),0)&gt;0,1,0)*IF(SorcererMaxSpellLevel&gt;=$C49,1,0)*IF(IFERROR(MATCH(B49,Character_Creation!$J$380:$J$394,0),0)&gt;0,0,1)</f>
        <v>0</v>
      </c>
      <c r="BI49">
        <f>IF(BH49=0,0,1+COUNTIF(BI$3:BI48,"&gt;0"))</f>
        <v>0</v>
      </c>
      <c r="BJ49" t="str">
        <f t="shared" si="35"/>
        <v/>
      </c>
      <c r="BK49" t="str">
        <f t="shared" si="7"/>
        <v/>
      </c>
      <c r="BM49">
        <f>IF(OR(IFERROR(SEARCH("Warlock",$T49,1),0)&gt;0,IFERROR(SEARCH(WarlockPatron,$T49,1),0)&gt;0),1,0)*IF(WarlockMaxSpellLevel&gt;=$C49,1,0)*IF(IFERROR(MATCH(B49,Character_Creation!$J$361:$J$375,0),0)&gt;0,0,1)</f>
        <v>0</v>
      </c>
      <c r="BN49">
        <f>IF(BM49=0,0,1+COUNTIF(BN$3:BN48,"&gt;0"))</f>
        <v>0</v>
      </c>
      <c r="BO49" t="str">
        <f t="shared" si="36"/>
        <v/>
      </c>
      <c r="BP49" t="str">
        <f t="shared" si="8"/>
        <v/>
      </c>
      <c r="BR49">
        <f>IF(IFERROR(SEARCH("Eldritch Knight",$T49,1),0)&gt;0,1,0)*IF(EldritchKnightMaxSpellLevel&gt;=$C49,1,0)*IF(IFERROR(MATCH($B49,Character_Creation!$J$350:$J$356,0),0)&gt;0,0,1)*IF(Character_Creation!$M$338&gt;0,1,0)</f>
        <v>0</v>
      </c>
      <c r="BS49">
        <f>IF(BR49=0,0,1+COUNTIF(BS$3:BS48,"&gt;0"))</f>
        <v>0</v>
      </c>
      <c r="BT49" t="str">
        <f t="shared" si="37"/>
        <v/>
      </c>
      <c r="BU49" t="str">
        <f t="shared" si="9"/>
        <v/>
      </c>
      <c r="BW49">
        <f>IF(IFERROR(SEARCH("Arcane Trickster",$T49,1),0)&gt;0,1,0)*IF(ArcaneTricksterMaxSpellLevel&gt;=$C49,1,0)*IF(IFERROR(MATCH($B49,Character_Creation!$J$350:$J$356,0),0)&gt;0,0,1)*IF(Character_Creation!$T$338&gt;0,1,0)</f>
        <v>0</v>
      </c>
      <c r="BX49">
        <f>IF(BW49=0,0,1+COUNTIF(BX$3:BX48,"&gt;0"))</f>
        <v>0</v>
      </c>
      <c r="BY49" t="str">
        <f t="shared" si="38"/>
        <v/>
      </c>
      <c r="BZ49" t="str">
        <f t="shared" si="10"/>
        <v/>
      </c>
      <c r="CB49">
        <f>IF(IFERROR(SEARCH("Wizard",$T49,1),0)&gt;0,1,0)*IF(C49&lt;=ArcaneTricksterMaxSpellLevel,1,0)*IF(IFERROR(MATCH($B49,Character_Creation!$J$350:$J$356,0),0)&gt;0,0,1)*IF(Character_Creation!$T$350&gt;0,1,0)</f>
        <v>0</v>
      </c>
      <c r="CC49">
        <f>IF(CB49=0,0,1+COUNTIF(CC$3:CC48,"&gt;0"))</f>
        <v>0</v>
      </c>
      <c r="CD49" t="str">
        <f t="shared" si="39"/>
        <v/>
      </c>
      <c r="CE49" t="str">
        <f t="shared" si="11"/>
        <v/>
      </c>
      <c r="CG49">
        <f>IF(IFERROR(SEARCH("Wizard",$T49,1),0)&gt;0,1,0)*IF($C49&lt;=EldritchKnightMaxSpellLevel,1,0)*IF(IFERROR(MATCH($B49,Character_Creation!$J$350:$J$356,0),0)&gt;0,0,1)*IF(Character_Creation!$M$350&gt;0,1,0)</f>
        <v>1</v>
      </c>
      <c r="CH49">
        <f>IF(CG49=0,0,1+COUNTIF(CH$3:CH48,"&gt;0"))</f>
        <v>8</v>
      </c>
      <c r="CI49">
        <f t="shared" si="40"/>
        <v>47</v>
      </c>
      <c r="CJ49" t="str">
        <f t="shared" si="12"/>
        <v>Ray of Enfeeblement</v>
      </c>
      <c r="CL49">
        <f>IF(IFERROR(SEARCH("Bard",$T49,1),0)&gt;0,1,0)*IF(BardMaxSpellLevel&gt;=$C49,1,0)*IF(IFERROR(MATCH(B49,Character_Creation!$C$341:$F$362,0),0)&gt;0,0,1)*IF(IFERROR(MATCH($B49,Character_Creation!$C$341:$C$362,0),0)&gt;0,0,1)</f>
        <v>0</v>
      </c>
      <c r="CM49">
        <f>IF(CL49=0,0,1+COUNTIF(CM$3:CM48,"&gt;0"))</f>
        <v>0</v>
      </c>
      <c r="CN49" t="str">
        <f t="shared" si="41"/>
        <v/>
      </c>
      <c r="CO49" t="str">
        <f t="shared" si="13"/>
        <v/>
      </c>
      <c r="CQ49">
        <f>IF(IFERROR(SEARCH("Wizard",$T49,1),0)&gt;0,1,0)*IF(WizardMaxSpellLevel&gt;=$C49,1,0)*IF(IFERROR(MATCH(B49,Character_Creation!$X$341:$X$400,0),0)&gt;0,0,1)*IF(SelectedWizardSpellLevel=$C49,1,0)</f>
        <v>0</v>
      </c>
      <c r="CR49">
        <f>IF(CQ49=0,0,1+COUNTIF(CR$3:CR48,"&gt;0"))</f>
        <v>0</v>
      </c>
      <c r="CS49" t="str">
        <f t="shared" si="42"/>
        <v/>
      </c>
      <c r="CT49" t="str">
        <f t="shared" si="14"/>
        <v/>
      </c>
      <c r="CV49">
        <f>IF(IFERROR(MATCH($B49,Character_Creation!$C$341:$C$362,0),0)&gt;0,0,1)*IF(OR(C49="Cantrip",C49&lt;=BardMaxSpellLevel),1,0)*IF(IFERROR(MATCH($B49,Character_Creation!$C$367:$C$374,0),0)&gt;0,0,1)</f>
        <v>0</v>
      </c>
      <c r="CW49">
        <f>IF(CV49=0,0,1+COUNTIF(CW$3:CW48,"&gt;0"))</f>
        <v>0</v>
      </c>
      <c r="CX49" t="str">
        <f t="shared" si="43"/>
        <v/>
      </c>
      <c r="CY49" t="str">
        <f t="shared" si="15"/>
        <v/>
      </c>
      <c r="DA49">
        <f>IF(IF(OR(IFERROR(SEARCH("Cleric",$T49,1),0)&gt;0,IFERROR(SEARCH(DivineDomain&amp;",",$T49,1),0)&gt;0),1,0)*IF($C49=DA$2,1,0)=1,1+COUNTIF(DA$3:DA48,"&gt;0"),0)</f>
        <v>0</v>
      </c>
      <c r="DB49">
        <f>IF(IF(OR(IFERROR(SEARCH("Cleric",$T49,1),0)&gt;0,IFERROR(SEARCH(DivineDomain&amp;",",$T49,1),0)&gt;0),1,0)*IF($C49=DB$2,1,0)=1,1+COUNTIF(DB$3:DB48,"&gt;0"),0)</f>
        <v>0</v>
      </c>
      <c r="DC49">
        <f>IF(IF(OR(IFERROR(SEARCH("Cleric",$T49,1),0)&gt;0,IFERROR(SEARCH(DivineDomain&amp;",",$T49,1),0)&gt;0),1,0)*IF($C49=DC$2,1,0)=1,1+COUNTIF(DC$3:DC48,"&gt;0"),0)</f>
        <v>0</v>
      </c>
      <c r="DD49">
        <f>IF(IF(OR(IFERROR(SEARCH("Cleric",$T49,1),0)&gt;0,IFERROR(SEARCH(DivineDomain&amp;",",$T49,1),0)&gt;0),1,0)*IF($C49=DD$2,1,0)=1,1+COUNTIF(DD$3:DD48,"&gt;0"),0)</f>
        <v>0</v>
      </c>
      <c r="DE49">
        <f>IF(IF(OR(IFERROR(SEARCH("Cleric",$T49,1),0)&gt;0,IFERROR(SEARCH(DivineDomain&amp;",",$T49,1),0)&gt;0),1,0)*IF($C49=DE$2,1,0)=1,1+COUNTIF(DE$3:DE48,"&gt;0"),0)</f>
        <v>0</v>
      </c>
      <c r="DF49">
        <f>IF(IF(OR(IFERROR(SEARCH("Cleric",$T49,1),0)&gt;0,IFERROR(SEARCH(DivineDomain&amp;",",$T49,1),0)&gt;0),1,0)*IF($C49=DF$2,1,0)=1,1+COUNTIF(DF$3:DF48,"&gt;0"),0)</f>
        <v>0</v>
      </c>
      <c r="DG49">
        <f>IF(IF(OR(IFERROR(SEARCH("Cleric",$T49,1),0)&gt;0,IFERROR(SEARCH(DivineDomain&amp;",",$T49,1),0)&gt;0),1,0)*IF($C49=DG$2,1,0)=1,1+COUNTIF(DG$3:DG48,"&gt;0"),0)</f>
        <v>0</v>
      </c>
      <c r="DH49">
        <f>IF(IF(OR(IFERROR(SEARCH("Cleric",$T49,1),0)&gt;0,IFERROR(SEARCH(DivineDomain&amp;",",$T49,1),0)&gt;0),1,0)*IF($C49=DH$2,1,0)=1,1+COUNTIF(DH$3:DH48,"&gt;0"),0)</f>
        <v>0</v>
      </c>
      <c r="DI49">
        <f>IF(IF(OR(IFERROR(SEARCH("Cleric",$T49,1),0)&gt;0,IFERROR(SEARCH(DivineDomain&amp;",",$T49,1),0)&gt;0),1,0)*IF($C49=DI$2,1,0)=1,1+COUNTIF(DI$3:DI48,"&gt;0"),0)</f>
        <v>0</v>
      </c>
      <c r="DJ49">
        <f>IF(IF(OR(IFERROR(SEARCH("Druid",$T49,1),0)&gt;0,IFERROR(SEARCH(DruidLand1,$T49,1),0)&gt;0,IFERROR(SEARCH(DruidLand2,$T49,1),0)&gt;0,IFERROR(SEARCH(DruidLand3,$T49,1),0)&gt;0,IFERROR(SEARCH(DruidLand4,$T49,1),0)&gt;0),1,0)*IF($C49=1,1,0)*IF($C49=DJ$2,1,0)=0,0,1+COUNTIF(DJ$3:DJ48,"&gt;0"))</f>
        <v>0</v>
      </c>
      <c r="DK49">
        <f>IF(IF(OR(IFERROR(SEARCH("Druid",$T49,1),0)&gt;0,IFERROR(SEARCH(DruidLand1,$T49,1),0)&gt;0,IFERROR(SEARCH(DruidLand2,$T49,1),0)&gt;0,IFERROR(SEARCH(DruidLand3,$T49,1),0)&gt;0,IFERROR(SEARCH(DruidLand4,$T49,1),0)&gt;0),1,0)*IF($C49=1,1,0)*IF($C49=DK$2,1,0)=0,0,1+COUNTIF(DK$3:DK48,"&gt;0"))</f>
        <v>0</v>
      </c>
      <c r="DL49">
        <f>IF(IF(OR(IFERROR(SEARCH("Druid",$T49,1),0)&gt;0,IFERROR(SEARCH(DruidLand1,$T49,1),0)&gt;0,IFERROR(SEARCH(DruidLand2,$T49,1),0)&gt;0,IFERROR(SEARCH(DruidLand3,$T49,1),0)&gt;0,IFERROR(SEARCH(DruidLand4,$T49,1),0)&gt;0),1,0)*IF($C49=1,1,0)*IF($C49=DL$2,1,0)=0,0,1+COUNTIF(DL$3:DL48,"&gt;0"))</f>
        <v>0</v>
      </c>
      <c r="DM49">
        <f>IF(IF(OR(IFERROR(SEARCH("Druid",$T49,1),0)&gt;0,IFERROR(SEARCH(DruidLand1,$T49,1),0)&gt;0,IFERROR(SEARCH(DruidLand2,$T49,1),0)&gt;0,IFERROR(SEARCH(DruidLand3,$T49,1),0)&gt;0,IFERROR(SEARCH(DruidLand4,$T49,1),0)&gt;0),1,0)*IF($C49=1,1,0)*IF($C49=DM$2,1,0)=0,0,1+COUNTIF(DM$3:DM48,"&gt;0"))</f>
        <v>0</v>
      </c>
      <c r="DN49">
        <f>IF(IF(OR(IFERROR(SEARCH("Druid",$T49,1),0)&gt;0,IFERROR(SEARCH(DruidLand1,$T49,1),0)&gt;0,IFERROR(SEARCH(DruidLand2,$T49,1),0)&gt;0,IFERROR(SEARCH(DruidLand3,$T49,1),0)&gt;0,IFERROR(SEARCH(DruidLand4,$T49,1),0)&gt;0),1,0)*IF($C49=1,1,0)*IF($C49=DN$2,1,0)=0,0,1+COUNTIF(DN$3:DN48,"&gt;0"))</f>
        <v>0</v>
      </c>
      <c r="DO49">
        <f>IF(IF(OR(IFERROR(SEARCH("Druid",$T49,1),0)&gt;0,IFERROR(SEARCH(DruidLand1,$T49,1),0)&gt;0,IFERROR(SEARCH(DruidLand2,$T49,1),0)&gt;0,IFERROR(SEARCH(DruidLand3,$T49,1),0)&gt;0,IFERROR(SEARCH(DruidLand4,$T49,1),0)&gt;0),1,0)*IF($C49=1,1,0)*IF($C49=DO$2,1,0)=0,0,1+COUNTIF(DO$3:DO48,"&gt;0"))</f>
        <v>0</v>
      </c>
      <c r="DP49">
        <f>IF(IF(OR(IFERROR(SEARCH("Druid",$T49,1),0)&gt;0,IFERROR(SEARCH(DruidLand1,$T49,1),0)&gt;0,IFERROR(SEARCH(DruidLand2,$T49,1),0)&gt;0,IFERROR(SEARCH(DruidLand3,$T49,1),0)&gt;0,IFERROR(SEARCH(DruidLand4,$T49,1),0)&gt;0),1,0)*IF($C49=1,1,0)*IF($C49=DP$2,1,0)=0,0,1+COUNTIF(DP$3:DP48,"&gt;0"))</f>
        <v>0</v>
      </c>
      <c r="DQ49">
        <f>IF(IF(OR(IFERROR(SEARCH("Druid",$T49,1),0)&gt;0,IFERROR(SEARCH(DruidLand1,$T49,1),0)&gt;0,IFERROR(SEARCH(DruidLand2,$T49,1),0)&gt;0,IFERROR(SEARCH(DruidLand3,$T49,1),0)&gt;0,IFERROR(SEARCH(DruidLand4,$T49,1),0)&gt;0),1,0)*IF($C49=1,1,0)*IF($C49=DQ$2,1,0)=0,0,1+COUNTIF(DQ$3:DQ48,"&gt;0"))</f>
        <v>0</v>
      </c>
      <c r="DR49">
        <f>IF(IF(OR(IFERROR(SEARCH("Druid",$T49,1),0)&gt;0,IFERROR(SEARCH(DruidLand1,$T49,1),0)&gt;0,IFERROR(SEARCH(DruidLand2,$T49,1),0)&gt;0,IFERROR(SEARCH(DruidLand3,$T49,1),0)&gt;0,IFERROR(SEARCH(DruidLand4,$T49,1),0)&gt;0),1,0)*IF($C49=1,1,0)*IF($C49=DR$2,1,0)=0,0,1+COUNTIF(DR$3:DR48,"&gt;0"))</f>
        <v>0</v>
      </c>
      <c r="DS49">
        <f>IF(IF(OR(IFERROR(SEARCH("Paladin",$T49,1),0)&gt;0,IFERROR(SEARCH(PaladinOath,$T49,1),0)&gt;0),1,0)*IF($C49=DS$2,1,0)=1,1+COUNTIF(DS$3:DS48,"&gt;0"),0)</f>
        <v>0</v>
      </c>
      <c r="DT49">
        <f>IF(IF(OR(IFERROR(SEARCH("Paladin",$T49,1),0)&gt;0,IFERROR(SEARCH(PaladinOath,$T49,1),0)&gt;0),1,0)*IF($C49=DT$2,1,0)=1,1+COUNTIF(DT$3:DT48,"&gt;0"),0)</f>
        <v>0</v>
      </c>
      <c r="DU49">
        <f>IF(IF(OR(IFERROR(SEARCH("Paladin",$T49,1),0)&gt;0,IFERROR(SEARCH(PaladinOath,$T49,1),0)&gt;0),1,0)*IF($C49=DU$2,1,0)=1,1+COUNTIF(DU$3:DU48,"&gt;0"),0)</f>
        <v>0</v>
      </c>
      <c r="DV49">
        <f>IF(IF(OR(IFERROR(SEARCH("Paladin",$T49,1),0)&gt;0,IFERROR(SEARCH(PaladinOath,$T49,1),0)&gt;0),1,0)*IF($C49=DV$2,1,0)=1,1+COUNTIF(DV$3:DV48,"&gt;0"),0)</f>
        <v>0</v>
      </c>
      <c r="DW49">
        <f>IF(IF(OR(IFERROR(SEARCH("Paladin",$T49,1),0)&gt;0,IFERROR(SEARCH(PaladinOath,$T49,1),0)&gt;0),1,0)*IF($C49=DW$2,1,0)=1,1+COUNTIF(DW$3:DW48,"&gt;0"),0)</f>
        <v>0</v>
      </c>
      <c r="DY49">
        <f t="shared" si="2"/>
        <v>1</v>
      </c>
      <c r="DZ49">
        <f>IF(DY49=0,0,1+MAX(DZ$3:$DZ48))</f>
        <v>47</v>
      </c>
      <c r="EB49">
        <f t="shared" si="16"/>
        <v>0</v>
      </c>
      <c r="EC49">
        <f>IF(EB49=0,0,1+COUNTIF(EC$3:EC48,"&gt;0"))</f>
        <v>0</v>
      </c>
      <c r="ED49" t="str">
        <f t="shared" si="44"/>
        <v/>
      </c>
      <c r="EE49" t="str">
        <f t="shared" si="17"/>
        <v/>
      </c>
      <c r="EG49">
        <f t="shared" si="18"/>
        <v>0</v>
      </c>
      <c r="EH49">
        <f>IF(EG49=0,0,1+COUNTIF(EH$3:EH48,"&gt;0"))</f>
        <v>0</v>
      </c>
      <c r="EI49" t="str">
        <f t="shared" si="45"/>
        <v/>
      </c>
      <c r="EJ49" t="str">
        <f t="shared" si="19"/>
        <v/>
      </c>
      <c r="EL49">
        <f t="shared" si="20"/>
        <v>0</v>
      </c>
      <c r="EM49">
        <f>IF(EL49=0,0,1+COUNTIF(EM$3:EM48,"&gt;0"))</f>
        <v>0</v>
      </c>
      <c r="EN49" t="str">
        <f t="shared" si="46"/>
        <v/>
      </c>
      <c r="EO49" t="str">
        <f t="shared" si="21"/>
        <v/>
      </c>
      <c r="EQ49">
        <f t="shared" si="22"/>
        <v>0</v>
      </c>
      <c r="ER49">
        <f>IF(EQ49=0,0,1+COUNTIF(ER$3:ER48,"&gt;0"))</f>
        <v>0</v>
      </c>
      <c r="ES49" t="str">
        <f t="shared" si="47"/>
        <v/>
      </c>
      <c r="ET49" t="str">
        <f t="shared" si="23"/>
        <v/>
      </c>
      <c r="EV49">
        <f t="shared" si="24"/>
        <v>0</v>
      </c>
      <c r="EW49">
        <f>IF(EV49=0,0,1+COUNTIF(EW$3:EW48,"&gt;0"))</f>
        <v>0</v>
      </c>
      <c r="EX49" t="str">
        <f t="shared" si="48"/>
        <v/>
      </c>
      <c r="EY49" t="str">
        <f t="shared" si="25"/>
        <v/>
      </c>
      <c r="FA49">
        <f t="shared" si="26"/>
        <v>0</v>
      </c>
      <c r="FB49">
        <f>IF(FA49=0,0,1+COUNTIF(FB$3:FB48,"&gt;0"))</f>
        <v>0</v>
      </c>
      <c r="FC49" t="str">
        <f t="shared" si="49"/>
        <v/>
      </c>
      <c r="FD49" t="str">
        <f t="shared" si="27"/>
        <v/>
      </c>
      <c r="FF49">
        <f t="shared" si="28"/>
        <v>0</v>
      </c>
      <c r="FG49">
        <f>IF(FF49=0,0,1+COUNTIF(FG$3:FG48,"&gt;0"))</f>
        <v>0</v>
      </c>
      <c r="FH49" t="str">
        <f t="shared" si="50"/>
        <v/>
      </c>
      <c r="FI49" t="str">
        <f t="shared" si="29"/>
        <v/>
      </c>
      <c r="FK49">
        <f t="shared" si="30"/>
        <v>0</v>
      </c>
      <c r="FL49">
        <f>IF(FK49=0,0,1+COUNTIF(FL$3:FL48,"&gt;0"))</f>
        <v>0</v>
      </c>
      <c r="FM49" t="str">
        <f t="shared" si="51"/>
        <v/>
      </c>
      <c r="FN49" t="str">
        <f t="shared" si="31"/>
        <v/>
      </c>
      <c r="FP49">
        <f t="shared" si="32"/>
        <v>0</v>
      </c>
      <c r="FQ49">
        <f>IF(FP49=0,0,1+COUNTIF(FQ$3:FQ48,"&gt;0"))</f>
        <v>0</v>
      </c>
      <c r="FR49" t="str">
        <f t="shared" si="52"/>
        <v/>
      </c>
      <c r="FS49" t="str">
        <f t="shared" si="33"/>
        <v/>
      </c>
    </row>
    <row r="50" spans="1:175" x14ac:dyDescent="0.25">
      <c r="A50" s="347">
        <f t="shared" si="53"/>
        <v>48</v>
      </c>
      <c r="B50" s="348" t="s">
        <v>2409</v>
      </c>
      <c r="C50" s="348">
        <v>6</v>
      </c>
      <c r="D50" s="347">
        <v>6</v>
      </c>
      <c r="E50" s="627" t="s">
        <v>6952</v>
      </c>
      <c r="F50" s="346"/>
      <c r="G50" s="347" t="str">
        <f>""</f>
        <v/>
      </c>
      <c r="H50" s="347" t="s">
        <v>5912</v>
      </c>
      <c r="I50" s="347" t="s">
        <v>5315</v>
      </c>
      <c r="J50" s="347" t="str">
        <f t="shared" si="3"/>
        <v/>
      </c>
      <c r="K50" s="347" t="s">
        <v>5278</v>
      </c>
      <c r="L50" s="611" t="str">
        <f t="shared" si="4"/>
        <v>V, S, M, the powder of a crushed black pearl worth at least 500 gp</v>
      </c>
      <c r="M50" s="347" t="s">
        <v>2373</v>
      </c>
      <c r="N50" s="347" t="s">
        <v>2387</v>
      </c>
      <c r="O50" s="347" t="s">
        <v>1244</v>
      </c>
      <c r="P50" s="346" t="s">
        <v>5318</v>
      </c>
      <c r="Q50" s="347" t="s">
        <v>5275</v>
      </c>
      <c r="S50" s="346" t="s">
        <v>5619</v>
      </c>
      <c r="T50" s="346" t="str">
        <f t="shared" si="5"/>
        <v xml:space="preserve">Sorcerer, Warlock, Wizard, </v>
      </c>
      <c r="X50" s="347" t="str">
        <f t="shared" si="55"/>
        <v>Circle of Death</v>
      </c>
      <c r="Y50" s="347" t="str">
        <f t="shared" si="55"/>
        <v>Circle of Death</v>
      </c>
      <c r="AD50" s="347" t="str">
        <f>$B50</f>
        <v>Circle of Death</v>
      </c>
      <c r="AE50" t="str">
        <f>IF(IFERROR(MATCH($B50,temp!A$4:A$13,0),0)&gt;0,T08_Spells!AE$2,"")</f>
        <v/>
      </c>
      <c r="AF50" t="str">
        <f>IF(IFERROR(MATCH($B50,temp!B$4:B$13,0),0)&gt;0,T08_Spells!AF$2,"")</f>
        <v/>
      </c>
      <c r="AG50" t="str">
        <f>IF(IFERROR(MATCH($B50,temp!C$4:C$13,0),0)&gt;0,T08_Spells!AG$2,"")</f>
        <v/>
      </c>
      <c r="AH50" t="str">
        <f>IF(IFERROR(MATCH($B50,temp!D$4:D$13,0),0)&gt;0,T08_Spells!AH$2,"")</f>
        <v/>
      </c>
      <c r="AI50" t="str">
        <f>IF(IFERROR(MATCH($B50,temp!E$4:E$13,0),0)&gt;0,T08_Spells!AI$2,"")</f>
        <v/>
      </c>
      <c r="AJ50" t="str">
        <f>IF(IFERROR(MATCH($B50,temp!F$4:F$13,0),0)&gt;0,T08_Spells!AJ$2,"")</f>
        <v/>
      </c>
      <c r="AK50" t="str">
        <f>IF(IFERROR(MATCH($B50,temp!G$4:G$13,0),0)&gt;0,T08_Spells!AK$2,"")</f>
        <v/>
      </c>
      <c r="AL50" t="str">
        <f>IF(IFERROR(MATCH($B50,temp!H$4:H$13,0),0)&gt;0,T08_Spells!AL$2,"")</f>
        <v/>
      </c>
      <c r="AM50" t="str">
        <f>IF(IFERROR(MATCH($B50,temp!I$4:I$13,0),0)&gt;0,T08_Spells!AM$2,"")</f>
        <v/>
      </c>
      <c r="AN50" t="str">
        <f>IF(IFERROR(MATCH($B50,temp!J$4:J$13,0),0)&gt;0,T08_Spells!AN$2,"")</f>
        <v/>
      </c>
      <c r="AO50" t="str">
        <f>IF(IFERROR(MATCH($B50,temp!K$4:K$13,0),0)&gt;0,T08_Spells!AO$2,"")</f>
        <v/>
      </c>
      <c r="AP50" t="str">
        <f>IF(IFERROR(MATCH($B50,temp!L$4:L$13,0),0)&gt;0,T08_Spells!AP$2,"")</f>
        <v/>
      </c>
      <c r="AQ50" t="str">
        <f>IF(IFERROR(MATCH($B50,temp!M$4:M$13,0),0)&gt;0,T08_Spells!AQ$2,"")</f>
        <v/>
      </c>
      <c r="AR50" t="str">
        <f>IF(IFERROR(MATCH($B50,temp!N$4:N$13,0),0)&gt;0,T08_Spells!AR$2,"")</f>
        <v/>
      </c>
      <c r="AS50" t="str">
        <f>IF(IFERROR(MATCH($B50,temp!O$4:O$13,0),0)&gt;0,T08_Spells!AS$2,"")</f>
        <v/>
      </c>
      <c r="AT50" t="str">
        <f>IF(IFERROR(MATCH($B50,temp!P$4:P$13,0),0)&gt;0,T08_Spells!AT$2,"")</f>
        <v/>
      </c>
      <c r="AU50" t="str">
        <f>IF(IFERROR(MATCH($B50,temp!Q$4:Q$13,0),0)&gt;0,T08_Spells!AU$2,"")</f>
        <v/>
      </c>
      <c r="AV50" t="str">
        <f>IF(IFERROR(MATCH($B50,temp!R$4:R$13,0),0)&gt;0,T08_Spells!AV$2,"")</f>
        <v/>
      </c>
      <c r="AW50" t="str">
        <f>IF(IFERROR(MATCH($B50,temp!S$4:S$13,0),0)&gt;0,T08_Spells!AW$2,"")</f>
        <v/>
      </c>
      <c r="AX50" t="str">
        <f>IF(IFERROR(MATCH($B50,temp!T$4:T$13,0),0)&gt;0,T08_Spells!AX$2,"")</f>
        <v/>
      </c>
      <c r="AY50" t="str">
        <f>IF(IFERROR(MATCH($B50,temp!U$4:U$13,0),0)&gt;0,T08_Spells!AY$2,"")</f>
        <v/>
      </c>
      <c r="AZ50" t="str">
        <f>IF(IFERROR(MATCH($B50,temp!V$4:V$13,0),0)&gt;0,T08_Spells!AZ$2,"")</f>
        <v/>
      </c>
      <c r="BA50" t="str">
        <f>IF(IFERROR(MATCH($B50,temp!W$4:W$13,0),0)&gt;0,T08_Spells!BA$2,"")</f>
        <v/>
      </c>
      <c r="BC50">
        <f>IF(IFERROR(SEARCH("Ranger",$T50,1),0)&gt;0,1,0)*IF(RangerMaxSpellLevel&gt;=$C50,1,0)*IF(IFERROR(MATCH(B50,Character_Creation!$X$79:$X$382,0),0)&gt;0,0,1)</f>
        <v>0</v>
      </c>
      <c r="BD50">
        <f>IF(BC50=0,0,1+COUNTIF(BD$3:BD49,"&gt;0"))</f>
        <v>0</v>
      </c>
      <c r="BE50" t="str">
        <f t="shared" si="34"/>
        <v/>
      </c>
      <c r="BF50" t="str">
        <f t="shared" si="6"/>
        <v/>
      </c>
      <c r="BH50">
        <f>IF(IFERROR(SEARCH("Sorcerer",$T50,1),0)&gt;0,1,0)*IF(SorcererMaxSpellLevel&gt;=$C50,1,0)*IF(IFERROR(MATCH(B50,Character_Creation!$J$380:$J$394,0),0)&gt;0,0,1)</f>
        <v>0</v>
      </c>
      <c r="BI50">
        <f>IF(BH50=0,0,1+COUNTIF(BI$3:BI49,"&gt;0"))</f>
        <v>0</v>
      </c>
      <c r="BJ50" t="str">
        <f t="shared" si="35"/>
        <v/>
      </c>
      <c r="BK50" t="str">
        <f t="shared" si="7"/>
        <v/>
      </c>
      <c r="BM50">
        <f>IF(OR(IFERROR(SEARCH("Warlock",$T50,1),0)&gt;0,IFERROR(SEARCH(WarlockPatron,$T50,1),0)&gt;0),1,0)*IF(WarlockMaxSpellLevel&gt;=$C50,1,0)*IF(IFERROR(MATCH(B50,Character_Creation!$J$361:$J$375,0),0)&gt;0,0,1)</f>
        <v>0</v>
      </c>
      <c r="BN50">
        <f>IF(BM50=0,0,1+COUNTIF(BN$3:BN49,"&gt;0"))</f>
        <v>0</v>
      </c>
      <c r="BO50" t="str">
        <f t="shared" si="36"/>
        <v/>
      </c>
      <c r="BP50" t="str">
        <f t="shared" si="8"/>
        <v/>
      </c>
      <c r="BR50">
        <f>IF(IFERROR(SEARCH("Eldritch Knight",$T50,1),0)&gt;0,1,0)*IF(EldritchKnightMaxSpellLevel&gt;=$C50,1,0)*IF(IFERROR(MATCH($B50,Character_Creation!$J$350:$J$356,0),0)&gt;0,0,1)*IF(Character_Creation!$M$338&gt;0,1,0)</f>
        <v>0</v>
      </c>
      <c r="BS50">
        <f>IF(BR50=0,0,1+COUNTIF(BS$3:BS49,"&gt;0"))</f>
        <v>0</v>
      </c>
      <c r="BT50" t="str">
        <f t="shared" si="37"/>
        <v/>
      </c>
      <c r="BU50" t="str">
        <f t="shared" si="9"/>
        <v/>
      </c>
      <c r="BW50">
        <f>IF(IFERROR(SEARCH("Arcane Trickster",$T50,1),0)&gt;0,1,0)*IF(ArcaneTricksterMaxSpellLevel&gt;=$C50,1,0)*IF(IFERROR(MATCH($B50,Character_Creation!$J$350:$J$356,0),0)&gt;0,0,1)*IF(Character_Creation!$T$338&gt;0,1,0)</f>
        <v>0</v>
      </c>
      <c r="BX50">
        <f>IF(BW50=0,0,1+COUNTIF(BX$3:BX49,"&gt;0"))</f>
        <v>0</v>
      </c>
      <c r="BY50" t="str">
        <f t="shared" si="38"/>
        <v/>
      </c>
      <c r="BZ50" t="str">
        <f t="shared" si="10"/>
        <v/>
      </c>
      <c r="CB50">
        <f>IF(IFERROR(SEARCH("Wizard",$T50,1),0)&gt;0,1,0)*IF(C50&lt;=ArcaneTricksterMaxSpellLevel,1,0)*IF(IFERROR(MATCH($B50,Character_Creation!$J$350:$J$356,0),0)&gt;0,0,1)*IF(Character_Creation!$T$350&gt;0,1,0)</f>
        <v>0</v>
      </c>
      <c r="CC50">
        <f>IF(CB50=0,0,1+COUNTIF(CC$3:CC49,"&gt;0"))</f>
        <v>0</v>
      </c>
      <c r="CD50" t="str">
        <f t="shared" si="39"/>
        <v/>
      </c>
      <c r="CE50" t="str">
        <f t="shared" si="11"/>
        <v/>
      </c>
      <c r="CG50">
        <f>IF(IFERROR(SEARCH("Wizard",$T50,1),0)&gt;0,1,0)*IF($C50&lt;=EldritchKnightMaxSpellLevel,1,0)*IF(IFERROR(MATCH($B50,Character_Creation!$J$350:$J$356,0),0)&gt;0,0,1)*IF(Character_Creation!$M$350&gt;0,1,0)</f>
        <v>0</v>
      </c>
      <c r="CH50">
        <f>IF(CG50=0,0,1+COUNTIF(CH$3:CH49,"&gt;0"))</f>
        <v>0</v>
      </c>
      <c r="CI50">
        <f t="shared" si="40"/>
        <v>48</v>
      </c>
      <c r="CJ50" t="str">
        <f t="shared" si="12"/>
        <v>Ray of Sickness</v>
      </c>
      <c r="CL50">
        <f>IF(IFERROR(SEARCH("Bard",$T50,1),0)&gt;0,1,0)*IF(BardMaxSpellLevel&gt;=$C50,1,0)*IF(IFERROR(MATCH(B50,Character_Creation!$C$341:$F$362,0),0)&gt;0,0,1)*IF(IFERROR(MATCH($B50,Character_Creation!$C$341:$C$362,0),0)&gt;0,0,1)</f>
        <v>0</v>
      </c>
      <c r="CM50">
        <f>IF(CL50=0,0,1+COUNTIF(CM$3:CM49,"&gt;0"))</f>
        <v>0</v>
      </c>
      <c r="CN50" t="str">
        <f t="shared" si="41"/>
        <v/>
      </c>
      <c r="CO50" t="str">
        <f t="shared" si="13"/>
        <v/>
      </c>
      <c r="CQ50">
        <f>IF(IFERROR(SEARCH("Wizard",$T50,1),0)&gt;0,1,0)*IF(WizardMaxSpellLevel&gt;=$C50,1,0)*IF(IFERROR(MATCH(B50,Character_Creation!$X$341:$X$400,0),0)&gt;0,0,1)*IF(SelectedWizardSpellLevel=$C50,1,0)</f>
        <v>0</v>
      </c>
      <c r="CR50">
        <f>IF(CQ50=0,0,1+COUNTIF(CR$3:CR49,"&gt;0"))</f>
        <v>0</v>
      </c>
      <c r="CS50" t="str">
        <f t="shared" si="42"/>
        <v/>
      </c>
      <c r="CT50" t="str">
        <f t="shared" si="14"/>
        <v/>
      </c>
      <c r="CV50">
        <f>IF(IFERROR(MATCH($B50,Character_Creation!$C$341:$C$362,0),0)&gt;0,0,1)*IF(OR(C50="Cantrip",C50&lt;=BardMaxSpellLevel),1,0)*IF(IFERROR(MATCH($B50,Character_Creation!$C$367:$C$374,0),0)&gt;0,0,1)</f>
        <v>0</v>
      </c>
      <c r="CW50">
        <f>IF(CV50=0,0,1+COUNTIF(CW$3:CW49,"&gt;0"))</f>
        <v>0</v>
      </c>
      <c r="CX50" t="str">
        <f t="shared" si="43"/>
        <v/>
      </c>
      <c r="CY50" t="str">
        <f t="shared" si="15"/>
        <v/>
      </c>
      <c r="DA50">
        <f>IF(IF(OR(IFERROR(SEARCH("Cleric",$T50,1),0)&gt;0,IFERROR(SEARCH(DivineDomain&amp;",",$T50,1),0)&gt;0),1,0)*IF($C50=DA$2,1,0)=1,1+COUNTIF(DA$3:DA49,"&gt;0"),0)</f>
        <v>0</v>
      </c>
      <c r="DB50">
        <f>IF(IF(OR(IFERROR(SEARCH("Cleric",$T50,1),0)&gt;0,IFERROR(SEARCH(DivineDomain&amp;",",$T50,1),0)&gt;0),1,0)*IF($C50=DB$2,1,0)=1,1+COUNTIF(DB$3:DB49,"&gt;0"),0)</f>
        <v>0</v>
      </c>
      <c r="DC50">
        <f>IF(IF(OR(IFERROR(SEARCH("Cleric",$T50,1),0)&gt;0,IFERROR(SEARCH(DivineDomain&amp;",",$T50,1),0)&gt;0),1,0)*IF($C50=DC$2,1,0)=1,1+COUNTIF(DC$3:DC49,"&gt;0"),0)</f>
        <v>0</v>
      </c>
      <c r="DD50">
        <f>IF(IF(OR(IFERROR(SEARCH("Cleric",$T50,1),0)&gt;0,IFERROR(SEARCH(DivineDomain&amp;",",$T50,1),0)&gt;0),1,0)*IF($C50=DD$2,1,0)=1,1+COUNTIF(DD$3:DD49,"&gt;0"),0)</f>
        <v>0</v>
      </c>
      <c r="DE50">
        <f>IF(IF(OR(IFERROR(SEARCH("Cleric",$T50,1),0)&gt;0,IFERROR(SEARCH(DivineDomain&amp;",",$T50,1),0)&gt;0),1,0)*IF($C50=DE$2,1,0)=1,1+COUNTIF(DE$3:DE49,"&gt;0"),0)</f>
        <v>0</v>
      </c>
      <c r="DF50">
        <f>IF(IF(OR(IFERROR(SEARCH("Cleric",$T50,1),0)&gt;0,IFERROR(SEARCH(DivineDomain&amp;",",$T50,1),0)&gt;0),1,0)*IF($C50=DF$2,1,0)=1,1+COUNTIF(DF$3:DF49,"&gt;0"),0)</f>
        <v>0</v>
      </c>
      <c r="DG50">
        <f>IF(IF(OR(IFERROR(SEARCH("Cleric",$T50,1),0)&gt;0,IFERROR(SEARCH(DivineDomain&amp;",",$T50,1),0)&gt;0),1,0)*IF($C50=DG$2,1,0)=1,1+COUNTIF(DG$3:DG49,"&gt;0"),0)</f>
        <v>0</v>
      </c>
      <c r="DH50">
        <f>IF(IF(OR(IFERROR(SEARCH("Cleric",$T50,1),0)&gt;0,IFERROR(SEARCH(DivineDomain&amp;",",$T50,1),0)&gt;0),1,0)*IF($C50=DH$2,1,0)=1,1+COUNTIF(DH$3:DH49,"&gt;0"),0)</f>
        <v>0</v>
      </c>
      <c r="DI50">
        <f>IF(IF(OR(IFERROR(SEARCH("Cleric",$T50,1),0)&gt;0,IFERROR(SEARCH(DivineDomain&amp;",",$T50,1),0)&gt;0),1,0)*IF($C50=DI$2,1,0)=1,1+COUNTIF(DI$3:DI49,"&gt;0"),0)</f>
        <v>0</v>
      </c>
      <c r="DJ50">
        <f>IF(IF(OR(IFERROR(SEARCH("Druid",$T50,1),0)&gt;0,IFERROR(SEARCH(DruidLand1,$T50,1),0)&gt;0,IFERROR(SEARCH(DruidLand2,$T50,1),0)&gt;0,IFERROR(SEARCH(DruidLand3,$T50,1),0)&gt;0,IFERROR(SEARCH(DruidLand4,$T50,1),0)&gt;0),1,0)*IF($C50=1,1,0)*IF($C50=DJ$2,1,0)=0,0,1+COUNTIF(DJ$3:DJ49,"&gt;0"))</f>
        <v>0</v>
      </c>
      <c r="DK50">
        <f>IF(IF(OR(IFERROR(SEARCH("Druid",$T50,1),0)&gt;0,IFERROR(SEARCH(DruidLand1,$T50,1),0)&gt;0,IFERROR(SEARCH(DruidLand2,$T50,1),0)&gt;0,IFERROR(SEARCH(DruidLand3,$T50,1),0)&gt;0,IFERROR(SEARCH(DruidLand4,$T50,1),0)&gt;0),1,0)*IF($C50=1,1,0)*IF($C50=DK$2,1,0)=0,0,1+COUNTIF(DK$3:DK49,"&gt;0"))</f>
        <v>0</v>
      </c>
      <c r="DL50">
        <f>IF(IF(OR(IFERROR(SEARCH("Druid",$T50,1),0)&gt;0,IFERROR(SEARCH(DruidLand1,$T50,1),0)&gt;0,IFERROR(SEARCH(DruidLand2,$T50,1),0)&gt;0,IFERROR(SEARCH(DruidLand3,$T50,1),0)&gt;0,IFERROR(SEARCH(DruidLand4,$T50,1),0)&gt;0),1,0)*IF($C50=1,1,0)*IF($C50=DL$2,1,0)=0,0,1+COUNTIF(DL$3:DL49,"&gt;0"))</f>
        <v>0</v>
      </c>
      <c r="DM50">
        <f>IF(IF(OR(IFERROR(SEARCH("Druid",$T50,1),0)&gt;0,IFERROR(SEARCH(DruidLand1,$T50,1),0)&gt;0,IFERROR(SEARCH(DruidLand2,$T50,1),0)&gt;0,IFERROR(SEARCH(DruidLand3,$T50,1),0)&gt;0,IFERROR(SEARCH(DruidLand4,$T50,1),0)&gt;0),1,0)*IF($C50=1,1,0)*IF($C50=DM$2,1,0)=0,0,1+COUNTIF(DM$3:DM49,"&gt;0"))</f>
        <v>0</v>
      </c>
      <c r="DN50">
        <f>IF(IF(OR(IFERROR(SEARCH("Druid",$T50,1),0)&gt;0,IFERROR(SEARCH(DruidLand1,$T50,1),0)&gt;0,IFERROR(SEARCH(DruidLand2,$T50,1),0)&gt;0,IFERROR(SEARCH(DruidLand3,$T50,1),0)&gt;0,IFERROR(SEARCH(DruidLand4,$T50,1),0)&gt;0),1,0)*IF($C50=1,1,0)*IF($C50=DN$2,1,0)=0,0,1+COUNTIF(DN$3:DN49,"&gt;0"))</f>
        <v>0</v>
      </c>
      <c r="DO50">
        <f>IF(IF(OR(IFERROR(SEARCH("Druid",$T50,1),0)&gt;0,IFERROR(SEARCH(DruidLand1,$T50,1),0)&gt;0,IFERROR(SEARCH(DruidLand2,$T50,1),0)&gt;0,IFERROR(SEARCH(DruidLand3,$T50,1),0)&gt;0,IFERROR(SEARCH(DruidLand4,$T50,1),0)&gt;0),1,0)*IF($C50=1,1,0)*IF($C50=DO$2,1,0)=0,0,1+COUNTIF(DO$3:DO49,"&gt;0"))</f>
        <v>0</v>
      </c>
      <c r="DP50">
        <f>IF(IF(OR(IFERROR(SEARCH("Druid",$T50,1),0)&gt;0,IFERROR(SEARCH(DruidLand1,$T50,1),0)&gt;0,IFERROR(SEARCH(DruidLand2,$T50,1),0)&gt;0,IFERROR(SEARCH(DruidLand3,$T50,1),0)&gt;0,IFERROR(SEARCH(DruidLand4,$T50,1),0)&gt;0),1,0)*IF($C50=1,1,0)*IF($C50=DP$2,1,0)=0,0,1+COUNTIF(DP$3:DP49,"&gt;0"))</f>
        <v>0</v>
      </c>
      <c r="DQ50">
        <f>IF(IF(OR(IFERROR(SEARCH("Druid",$T50,1),0)&gt;0,IFERROR(SEARCH(DruidLand1,$T50,1),0)&gt;0,IFERROR(SEARCH(DruidLand2,$T50,1),0)&gt;0,IFERROR(SEARCH(DruidLand3,$T50,1),0)&gt;0,IFERROR(SEARCH(DruidLand4,$T50,1),0)&gt;0),1,0)*IF($C50=1,1,0)*IF($C50=DQ$2,1,0)=0,0,1+COUNTIF(DQ$3:DQ49,"&gt;0"))</f>
        <v>0</v>
      </c>
      <c r="DR50">
        <f>IF(IF(OR(IFERROR(SEARCH("Druid",$T50,1),0)&gt;0,IFERROR(SEARCH(DruidLand1,$T50,1),0)&gt;0,IFERROR(SEARCH(DruidLand2,$T50,1),0)&gt;0,IFERROR(SEARCH(DruidLand3,$T50,1),0)&gt;0,IFERROR(SEARCH(DruidLand4,$T50,1),0)&gt;0),1,0)*IF($C50=1,1,0)*IF($C50=DR$2,1,0)=0,0,1+COUNTIF(DR$3:DR49,"&gt;0"))</f>
        <v>0</v>
      </c>
      <c r="DS50">
        <f>IF(IF(OR(IFERROR(SEARCH("Paladin",$T50,1),0)&gt;0,IFERROR(SEARCH(PaladinOath,$T50,1),0)&gt;0),1,0)*IF($C50=DS$2,1,0)=1,1+COUNTIF(DS$3:DS49,"&gt;0"),0)</f>
        <v>0</v>
      </c>
      <c r="DT50">
        <f>IF(IF(OR(IFERROR(SEARCH("Paladin",$T50,1),0)&gt;0,IFERROR(SEARCH(PaladinOath,$T50,1),0)&gt;0),1,0)*IF($C50=DT$2,1,0)=1,1+COUNTIF(DT$3:DT49,"&gt;0"),0)</f>
        <v>0</v>
      </c>
      <c r="DU50">
        <f>IF(IF(OR(IFERROR(SEARCH("Paladin",$T50,1),0)&gt;0,IFERROR(SEARCH(PaladinOath,$T50,1),0)&gt;0),1,0)*IF($C50=DU$2,1,0)=1,1+COUNTIF(DU$3:DU49,"&gt;0"),0)</f>
        <v>0</v>
      </c>
      <c r="DV50">
        <f>IF(IF(OR(IFERROR(SEARCH("Paladin",$T50,1),0)&gt;0,IFERROR(SEARCH(PaladinOath,$T50,1),0)&gt;0),1,0)*IF($C50=DV$2,1,0)=1,1+COUNTIF(DV$3:DV49,"&gt;0"),0)</f>
        <v>0</v>
      </c>
      <c r="DW50">
        <f>IF(IF(OR(IFERROR(SEARCH("Paladin",$T50,1),0)&gt;0,IFERROR(SEARCH(PaladinOath,$T50,1),0)&gt;0),1,0)*IF($C50=DW$2,1,0)=1,1+COUNTIF(DW$3:DW49,"&gt;0"),0)</f>
        <v>0</v>
      </c>
      <c r="DY50">
        <f t="shared" si="2"/>
        <v>1</v>
      </c>
      <c r="DZ50">
        <f>IF(DY50=0,0,1+MAX(DZ$3:$DZ49))</f>
        <v>48</v>
      </c>
      <c r="EB50">
        <f t="shared" si="16"/>
        <v>0</v>
      </c>
      <c r="EC50">
        <f>IF(EB50=0,0,1+COUNTIF(EC$3:EC49,"&gt;0"))</f>
        <v>0</v>
      </c>
      <c r="ED50" t="str">
        <f t="shared" si="44"/>
        <v/>
      </c>
      <c r="EE50" t="str">
        <f t="shared" si="17"/>
        <v/>
      </c>
      <c r="EG50">
        <f t="shared" si="18"/>
        <v>0</v>
      </c>
      <c r="EH50">
        <f>IF(EG50=0,0,1+COUNTIF(EH$3:EH49,"&gt;0"))</f>
        <v>0</v>
      </c>
      <c r="EI50" t="str">
        <f t="shared" si="45"/>
        <v/>
      </c>
      <c r="EJ50" t="str">
        <f t="shared" si="19"/>
        <v/>
      </c>
      <c r="EL50">
        <f t="shared" si="20"/>
        <v>0</v>
      </c>
      <c r="EM50">
        <f>IF(EL50=0,0,1+COUNTIF(EM$3:EM49,"&gt;0"))</f>
        <v>0</v>
      </c>
      <c r="EN50" t="str">
        <f t="shared" si="46"/>
        <v/>
      </c>
      <c r="EO50" t="str">
        <f t="shared" si="21"/>
        <v/>
      </c>
      <c r="EQ50">
        <f t="shared" si="22"/>
        <v>0</v>
      </c>
      <c r="ER50">
        <f>IF(EQ50=0,0,1+COUNTIF(ER$3:ER49,"&gt;0"))</f>
        <v>0</v>
      </c>
      <c r="ES50" t="str">
        <f t="shared" si="47"/>
        <v/>
      </c>
      <c r="ET50" t="str">
        <f t="shared" si="23"/>
        <v/>
      </c>
      <c r="EV50">
        <f t="shared" si="24"/>
        <v>0</v>
      </c>
      <c r="EW50">
        <f>IF(EV50=0,0,1+COUNTIF(EW$3:EW49,"&gt;0"))</f>
        <v>0</v>
      </c>
      <c r="EX50" t="str">
        <f t="shared" si="48"/>
        <v/>
      </c>
      <c r="EY50" t="str">
        <f t="shared" si="25"/>
        <v/>
      </c>
      <c r="FA50">
        <f t="shared" si="26"/>
        <v>0</v>
      </c>
      <c r="FB50">
        <f>IF(FA50=0,0,1+COUNTIF(FB$3:FB49,"&gt;0"))</f>
        <v>0</v>
      </c>
      <c r="FC50" t="str">
        <f t="shared" si="49"/>
        <v/>
      </c>
      <c r="FD50" t="str">
        <f t="shared" si="27"/>
        <v/>
      </c>
      <c r="FF50">
        <f t="shared" si="28"/>
        <v>0</v>
      </c>
      <c r="FG50">
        <f>IF(FF50=0,0,1+COUNTIF(FG$3:FG49,"&gt;0"))</f>
        <v>0</v>
      </c>
      <c r="FH50" t="str">
        <f t="shared" si="50"/>
        <v/>
      </c>
      <c r="FI50" t="str">
        <f t="shared" si="29"/>
        <v/>
      </c>
      <c r="FK50">
        <f t="shared" si="30"/>
        <v>0</v>
      </c>
      <c r="FL50">
        <f>IF(FK50=0,0,1+COUNTIF(FL$3:FL49,"&gt;0"))</f>
        <v>0</v>
      </c>
      <c r="FM50" t="str">
        <f t="shared" si="51"/>
        <v/>
      </c>
      <c r="FN50" t="str">
        <f t="shared" si="31"/>
        <v/>
      </c>
      <c r="FP50">
        <f t="shared" si="32"/>
        <v>0</v>
      </c>
      <c r="FQ50">
        <f>IF(FP50=0,0,1+COUNTIF(FQ$3:FQ49,"&gt;0"))</f>
        <v>0</v>
      </c>
      <c r="FR50" t="str">
        <f t="shared" si="52"/>
        <v/>
      </c>
      <c r="FS50" t="str">
        <f t="shared" si="33"/>
        <v/>
      </c>
    </row>
    <row r="51" spans="1:175" x14ac:dyDescent="0.25">
      <c r="A51" s="347">
        <f t="shared" si="53"/>
        <v>49</v>
      </c>
      <c r="B51" s="348" t="s">
        <v>2410</v>
      </c>
      <c r="C51" s="348">
        <v>5</v>
      </c>
      <c r="D51" s="347">
        <v>5</v>
      </c>
      <c r="E51" s="627" t="s">
        <v>6952</v>
      </c>
      <c r="F51" s="346"/>
      <c r="G51" s="347" t="str">
        <f>""</f>
        <v/>
      </c>
      <c r="H51" s="347" t="s">
        <v>5912</v>
      </c>
      <c r="I51" s="347" t="s">
        <v>5283</v>
      </c>
      <c r="J51" s="347" t="str">
        <f t="shared" si="3"/>
        <v/>
      </c>
      <c r="K51" s="347" t="s">
        <v>5297</v>
      </c>
      <c r="L51" s="611" t="str">
        <f t="shared" si="4"/>
        <v>V, S</v>
      </c>
      <c r="M51" s="347" t="s">
        <v>2373</v>
      </c>
      <c r="N51" s="347" t="s">
        <v>2387</v>
      </c>
      <c r="O51" s="347" t="s">
        <v>3034</v>
      </c>
      <c r="P51" s="346" t="str">
        <f>""</f>
        <v/>
      </c>
      <c r="Q51" s="347" t="s">
        <v>5270</v>
      </c>
      <c r="S51" s="346" t="s">
        <v>2411</v>
      </c>
      <c r="T51" s="346" t="str">
        <f t="shared" si="5"/>
        <v xml:space="preserve">Paladin, </v>
      </c>
      <c r="V51" s="347" t="str">
        <f>$B51</f>
        <v>Circle of Power</v>
      </c>
      <c r="AE51" t="str">
        <f>IF(IFERROR(MATCH($B51,temp!A$4:A$13,0),0)&gt;0,T08_Spells!AE$2,"")</f>
        <v/>
      </c>
      <c r="AF51" t="str">
        <f>IF(IFERROR(MATCH($B51,temp!B$4:B$13,0),0)&gt;0,T08_Spells!AF$2,"")</f>
        <v/>
      </c>
      <c r="AG51" t="str">
        <f>IF(IFERROR(MATCH($B51,temp!C$4:C$13,0),0)&gt;0,T08_Spells!AG$2,"")</f>
        <v/>
      </c>
      <c r="AH51" t="str">
        <f>IF(IFERROR(MATCH($B51,temp!D$4:D$13,0),0)&gt;0,T08_Spells!AH$2,"")</f>
        <v/>
      </c>
      <c r="AI51" t="str">
        <f>IF(IFERROR(MATCH($B51,temp!E$4:E$13,0),0)&gt;0,T08_Spells!AI$2,"")</f>
        <v/>
      </c>
      <c r="AJ51" t="str">
        <f>IF(IFERROR(MATCH($B51,temp!F$4:F$13,0),0)&gt;0,T08_Spells!AJ$2,"")</f>
        <v/>
      </c>
      <c r="AK51" t="str">
        <f>IF(IFERROR(MATCH($B51,temp!G$4:G$13,0),0)&gt;0,T08_Spells!AK$2,"")</f>
        <v/>
      </c>
      <c r="AL51" t="str">
        <f>IF(IFERROR(MATCH($B51,temp!H$4:H$13,0),0)&gt;0,T08_Spells!AL$2,"")</f>
        <v/>
      </c>
      <c r="AM51" t="str">
        <f>IF(IFERROR(MATCH($B51,temp!I$4:I$13,0),0)&gt;0,T08_Spells!AM$2,"")</f>
        <v/>
      </c>
      <c r="AN51" t="str">
        <f>IF(IFERROR(MATCH($B51,temp!J$4:J$13,0),0)&gt;0,T08_Spells!AN$2,"")</f>
        <v/>
      </c>
      <c r="AO51" t="str">
        <f>IF(IFERROR(MATCH($B51,temp!K$4:K$13,0),0)&gt;0,T08_Spells!AO$2,"")</f>
        <v/>
      </c>
      <c r="AP51" t="str">
        <f>IF(IFERROR(MATCH($B51,temp!L$4:L$13,0),0)&gt;0,T08_Spells!AP$2,"")</f>
        <v/>
      </c>
      <c r="AQ51" t="str">
        <f>IF(IFERROR(MATCH($B51,temp!M$4:M$13,0),0)&gt;0,T08_Spells!AQ$2,"")</f>
        <v/>
      </c>
      <c r="AR51" t="str">
        <f>IF(IFERROR(MATCH($B51,temp!N$4:N$13,0),0)&gt;0,T08_Spells!AR$2,"")</f>
        <v/>
      </c>
      <c r="AS51" t="str">
        <f>IF(IFERROR(MATCH($B51,temp!O$4:O$13,0),0)&gt;0,T08_Spells!AS$2,"")</f>
        <v/>
      </c>
      <c r="AT51" t="str">
        <f>IF(IFERROR(MATCH($B51,temp!P$4:P$13,0),0)&gt;0,T08_Spells!AT$2,"")</f>
        <v/>
      </c>
      <c r="AU51" t="str">
        <f>IF(IFERROR(MATCH($B51,temp!Q$4:Q$13,0),0)&gt;0,T08_Spells!AU$2,"")</f>
        <v/>
      </c>
      <c r="AV51" t="str">
        <f>IF(IFERROR(MATCH($B51,temp!R$4:R$13,0),0)&gt;0,T08_Spells!AV$2,"")</f>
        <v/>
      </c>
      <c r="AW51" t="str">
        <f>IF(IFERROR(MATCH($B51,temp!S$4:S$13,0),0)&gt;0,T08_Spells!AW$2,"")</f>
        <v/>
      </c>
      <c r="AX51" t="str">
        <f>IF(IFERROR(MATCH($B51,temp!T$4:T$13,0),0)&gt;0,T08_Spells!AX$2,"")</f>
        <v/>
      </c>
      <c r="AY51" t="str">
        <f>IF(IFERROR(MATCH($B51,temp!U$4:U$13,0),0)&gt;0,T08_Spells!AY$2,"")</f>
        <v/>
      </c>
      <c r="AZ51" t="str">
        <f>IF(IFERROR(MATCH($B51,temp!V$4:V$13,0),0)&gt;0,T08_Spells!AZ$2,"")</f>
        <v/>
      </c>
      <c r="BA51" t="str">
        <f>IF(IFERROR(MATCH($B51,temp!W$4:W$13,0),0)&gt;0,T08_Spells!BA$2,"")</f>
        <v/>
      </c>
      <c r="BC51">
        <f>IF(IFERROR(SEARCH("Ranger",$T51,1),0)&gt;0,1,0)*IF(RangerMaxSpellLevel&gt;=$C51,1,0)*IF(IFERROR(MATCH(B51,Character_Creation!$X$79:$X$382,0),0)&gt;0,0,1)</f>
        <v>0</v>
      </c>
      <c r="BD51">
        <f>IF(BC51=0,0,1+COUNTIF(BD$3:BD50,"&gt;0"))</f>
        <v>0</v>
      </c>
      <c r="BE51" t="str">
        <f t="shared" si="34"/>
        <v/>
      </c>
      <c r="BF51" t="str">
        <f t="shared" si="6"/>
        <v/>
      </c>
      <c r="BH51">
        <f>IF(IFERROR(SEARCH("Sorcerer",$T51,1),0)&gt;0,1,0)*IF(SorcererMaxSpellLevel&gt;=$C51,1,0)*IF(IFERROR(MATCH(B51,Character_Creation!$J$380:$J$394,0),0)&gt;0,0,1)</f>
        <v>0</v>
      </c>
      <c r="BI51">
        <f>IF(BH51=0,0,1+COUNTIF(BI$3:BI50,"&gt;0"))</f>
        <v>0</v>
      </c>
      <c r="BJ51" t="str">
        <f t="shared" si="35"/>
        <v/>
      </c>
      <c r="BK51" t="str">
        <f t="shared" si="7"/>
        <v/>
      </c>
      <c r="BM51">
        <f>IF(OR(IFERROR(SEARCH("Warlock",$T51,1),0)&gt;0,IFERROR(SEARCH(WarlockPatron,$T51,1),0)&gt;0),1,0)*IF(WarlockMaxSpellLevel&gt;=$C51,1,0)*IF(IFERROR(MATCH(B51,Character_Creation!$J$361:$J$375,0),0)&gt;0,0,1)</f>
        <v>0</v>
      </c>
      <c r="BN51">
        <f>IF(BM51=0,0,1+COUNTIF(BN$3:BN50,"&gt;0"))</f>
        <v>0</v>
      </c>
      <c r="BO51" t="str">
        <f t="shared" si="36"/>
        <v/>
      </c>
      <c r="BP51" t="str">
        <f t="shared" si="8"/>
        <v/>
      </c>
      <c r="BR51">
        <f>IF(IFERROR(SEARCH("Eldritch Knight",$T51,1),0)&gt;0,1,0)*IF(EldritchKnightMaxSpellLevel&gt;=$C51,1,0)*IF(IFERROR(MATCH($B51,Character_Creation!$J$350:$J$356,0),0)&gt;0,0,1)*IF(Character_Creation!$M$338&gt;0,1,0)</f>
        <v>0</v>
      </c>
      <c r="BS51">
        <f>IF(BR51=0,0,1+COUNTIF(BS$3:BS50,"&gt;0"))</f>
        <v>0</v>
      </c>
      <c r="BT51" t="str">
        <f t="shared" si="37"/>
        <v/>
      </c>
      <c r="BU51" t="str">
        <f t="shared" si="9"/>
        <v/>
      </c>
      <c r="BW51">
        <f>IF(IFERROR(SEARCH("Arcane Trickster",$T51,1),0)&gt;0,1,0)*IF(ArcaneTricksterMaxSpellLevel&gt;=$C51,1,0)*IF(IFERROR(MATCH($B51,Character_Creation!$J$350:$J$356,0),0)&gt;0,0,1)*IF(Character_Creation!$T$338&gt;0,1,0)</f>
        <v>0</v>
      </c>
      <c r="BX51">
        <f>IF(BW51=0,0,1+COUNTIF(BX$3:BX50,"&gt;0"))</f>
        <v>0</v>
      </c>
      <c r="BY51" t="str">
        <f t="shared" si="38"/>
        <v/>
      </c>
      <c r="BZ51" t="str">
        <f t="shared" si="10"/>
        <v/>
      </c>
      <c r="CB51">
        <f>IF(IFERROR(SEARCH("Wizard",$T51,1),0)&gt;0,1,0)*IF(C51&lt;=ArcaneTricksterMaxSpellLevel,1,0)*IF(IFERROR(MATCH($B51,Character_Creation!$J$350:$J$356,0),0)&gt;0,0,1)*IF(Character_Creation!$T$350&gt;0,1,0)</f>
        <v>0</v>
      </c>
      <c r="CC51">
        <f>IF(CB51=0,0,1+COUNTIF(CC$3:CC50,"&gt;0"))</f>
        <v>0</v>
      </c>
      <c r="CD51" t="str">
        <f t="shared" si="39"/>
        <v/>
      </c>
      <c r="CE51" t="str">
        <f t="shared" si="11"/>
        <v/>
      </c>
      <c r="CG51">
        <f>IF(IFERROR(SEARCH("Wizard",$T51,1),0)&gt;0,1,0)*IF($C51&lt;=EldritchKnightMaxSpellLevel,1,0)*IF(IFERROR(MATCH($B51,Character_Creation!$J$350:$J$356,0),0)&gt;0,0,1)*IF(Character_Creation!$M$350&gt;0,1,0)</f>
        <v>0</v>
      </c>
      <c r="CH51">
        <f>IF(CG51=0,0,1+COUNTIF(CH$3:CH50,"&gt;0"))</f>
        <v>0</v>
      </c>
      <c r="CI51">
        <f t="shared" si="40"/>
        <v>49</v>
      </c>
      <c r="CJ51" t="str">
        <f t="shared" si="12"/>
        <v>Rope Trick</v>
      </c>
      <c r="CL51">
        <f>IF(IFERROR(SEARCH("Bard",$T51,1),0)&gt;0,1,0)*IF(BardMaxSpellLevel&gt;=$C51,1,0)*IF(IFERROR(MATCH(B51,Character_Creation!$C$341:$F$362,0),0)&gt;0,0,1)*IF(IFERROR(MATCH($B51,Character_Creation!$C$341:$C$362,0),0)&gt;0,0,1)</f>
        <v>0</v>
      </c>
      <c r="CM51">
        <f>IF(CL51=0,0,1+COUNTIF(CM$3:CM50,"&gt;0"))</f>
        <v>0</v>
      </c>
      <c r="CN51" t="str">
        <f t="shared" si="41"/>
        <v/>
      </c>
      <c r="CO51" t="str">
        <f t="shared" si="13"/>
        <v/>
      </c>
      <c r="CQ51">
        <f>IF(IFERROR(SEARCH("Wizard",$T51,1),0)&gt;0,1,0)*IF(WizardMaxSpellLevel&gt;=$C51,1,0)*IF(IFERROR(MATCH(B51,Character_Creation!$X$341:$X$400,0),0)&gt;0,0,1)*IF(SelectedWizardSpellLevel=$C51,1,0)</f>
        <v>0</v>
      </c>
      <c r="CR51">
        <f>IF(CQ51=0,0,1+COUNTIF(CR$3:CR50,"&gt;0"))</f>
        <v>0</v>
      </c>
      <c r="CS51" t="str">
        <f t="shared" si="42"/>
        <v/>
      </c>
      <c r="CT51" t="str">
        <f t="shared" si="14"/>
        <v/>
      </c>
      <c r="CV51">
        <f>IF(IFERROR(MATCH($B51,Character_Creation!$C$341:$C$362,0),0)&gt;0,0,1)*IF(OR(C51="Cantrip",C51&lt;=BardMaxSpellLevel),1,0)*IF(IFERROR(MATCH($B51,Character_Creation!$C$367:$C$374,0),0)&gt;0,0,1)</f>
        <v>0</v>
      </c>
      <c r="CW51">
        <f>IF(CV51=0,0,1+COUNTIF(CW$3:CW50,"&gt;0"))</f>
        <v>0</v>
      </c>
      <c r="CX51" t="str">
        <f t="shared" si="43"/>
        <v/>
      </c>
      <c r="CY51" t="str">
        <f t="shared" si="15"/>
        <v/>
      </c>
      <c r="DA51">
        <f>IF(IF(OR(IFERROR(SEARCH("Cleric",$T51,1),0)&gt;0,IFERROR(SEARCH(DivineDomain&amp;",",$T51,1),0)&gt;0),1,0)*IF($C51=DA$2,1,0)=1,1+COUNTIF(DA$3:DA50,"&gt;0"),0)</f>
        <v>0</v>
      </c>
      <c r="DB51">
        <f>IF(IF(OR(IFERROR(SEARCH("Cleric",$T51,1),0)&gt;0,IFERROR(SEARCH(DivineDomain&amp;",",$T51,1),0)&gt;0),1,0)*IF($C51=DB$2,1,0)=1,1+COUNTIF(DB$3:DB50,"&gt;0"),0)</f>
        <v>0</v>
      </c>
      <c r="DC51">
        <f>IF(IF(OR(IFERROR(SEARCH("Cleric",$T51,1),0)&gt;0,IFERROR(SEARCH(DivineDomain&amp;",",$T51,1),0)&gt;0),1,0)*IF($C51=DC$2,1,0)=1,1+COUNTIF(DC$3:DC50,"&gt;0"),0)</f>
        <v>0</v>
      </c>
      <c r="DD51">
        <f>IF(IF(OR(IFERROR(SEARCH("Cleric",$T51,1),0)&gt;0,IFERROR(SEARCH(DivineDomain&amp;",",$T51,1),0)&gt;0),1,0)*IF($C51=DD$2,1,0)=1,1+COUNTIF(DD$3:DD50,"&gt;0"),0)</f>
        <v>0</v>
      </c>
      <c r="DE51">
        <f>IF(IF(OR(IFERROR(SEARCH("Cleric",$T51,1),0)&gt;0,IFERROR(SEARCH(DivineDomain&amp;",",$T51,1),0)&gt;0),1,0)*IF($C51=DE$2,1,0)=1,1+COUNTIF(DE$3:DE50,"&gt;0"),0)</f>
        <v>0</v>
      </c>
      <c r="DF51">
        <f>IF(IF(OR(IFERROR(SEARCH("Cleric",$T51,1),0)&gt;0,IFERROR(SEARCH(DivineDomain&amp;",",$T51,1),0)&gt;0),1,0)*IF($C51=DF$2,1,0)=1,1+COUNTIF(DF$3:DF50,"&gt;0"),0)</f>
        <v>0</v>
      </c>
      <c r="DG51">
        <f>IF(IF(OR(IFERROR(SEARCH("Cleric",$T51,1),0)&gt;0,IFERROR(SEARCH(DivineDomain&amp;",",$T51,1),0)&gt;0),1,0)*IF($C51=DG$2,1,0)=1,1+COUNTIF(DG$3:DG50,"&gt;0"),0)</f>
        <v>0</v>
      </c>
      <c r="DH51">
        <f>IF(IF(OR(IFERROR(SEARCH("Cleric",$T51,1),0)&gt;0,IFERROR(SEARCH(DivineDomain&amp;",",$T51,1),0)&gt;0),1,0)*IF($C51=DH$2,1,0)=1,1+COUNTIF(DH$3:DH50,"&gt;0"),0)</f>
        <v>0</v>
      </c>
      <c r="DI51">
        <f>IF(IF(OR(IFERROR(SEARCH("Cleric",$T51,1),0)&gt;0,IFERROR(SEARCH(DivineDomain&amp;",",$T51,1),0)&gt;0),1,0)*IF($C51=DI$2,1,0)=1,1+COUNTIF(DI$3:DI50,"&gt;0"),0)</f>
        <v>0</v>
      </c>
      <c r="DJ51">
        <f>IF(IF(OR(IFERROR(SEARCH("Druid",$T51,1),0)&gt;0,IFERROR(SEARCH(DruidLand1,$T51,1),0)&gt;0,IFERROR(SEARCH(DruidLand2,$T51,1),0)&gt;0,IFERROR(SEARCH(DruidLand3,$T51,1),0)&gt;0,IFERROR(SEARCH(DruidLand4,$T51,1),0)&gt;0),1,0)*IF($C51=1,1,0)*IF($C51=DJ$2,1,0)=0,0,1+COUNTIF(DJ$3:DJ50,"&gt;0"))</f>
        <v>0</v>
      </c>
      <c r="DK51">
        <f>IF(IF(OR(IFERROR(SEARCH("Druid",$T51,1),0)&gt;0,IFERROR(SEARCH(DruidLand1,$T51,1),0)&gt;0,IFERROR(SEARCH(DruidLand2,$T51,1),0)&gt;0,IFERROR(SEARCH(DruidLand3,$T51,1),0)&gt;0,IFERROR(SEARCH(DruidLand4,$T51,1),0)&gt;0),1,0)*IF($C51=1,1,0)*IF($C51=DK$2,1,0)=0,0,1+COUNTIF(DK$3:DK50,"&gt;0"))</f>
        <v>0</v>
      </c>
      <c r="DL51">
        <f>IF(IF(OR(IFERROR(SEARCH("Druid",$T51,1),0)&gt;0,IFERROR(SEARCH(DruidLand1,$T51,1),0)&gt;0,IFERROR(SEARCH(DruidLand2,$T51,1),0)&gt;0,IFERROR(SEARCH(DruidLand3,$T51,1),0)&gt;0,IFERROR(SEARCH(DruidLand4,$T51,1),0)&gt;0),1,0)*IF($C51=1,1,0)*IF($C51=DL$2,1,0)=0,0,1+COUNTIF(DL$3:DL50,"&gt;0"))</f>
        <v>0</v>
      </c>
      <c r="DM51">
        <f>IF(IF(OR(IFERROR(SEARCH("Druid",$T51,1),0)&gt;0,IFERROR(SEARCH(DruidLand1,$T51,1),0)&gt;0,IFERROR(SEARCH(DruidLand2,$T51,1),0)&gt;0,IFERROR(SEARCH(DruidLand3,$T51,1),0)&gt;0,IFERROR(SEARCH(DruidLand4,$T51,1),0)&gt;0),1,0)*IF($C51=1,1,0)*IF($C51=DM$2,1,0)=0,0,1+COUNTIF(DM$3:DM50,"&gt;0"))</f>
        <v>0</v>
      </c>
      <c r="DN51">
        <f>IF(IF(OR(IFERROR(SEARCH("Druid",$T51,1),0)&gt;0,IFERROR(SEARCH(DruidLand1,$T51,1),0)&gt;0,IFERROR(SEARCH(DruidLand2,$T51,1),0)&gt;0,IFERROR(SEARCH(DruidLand3,$T51,1),0)&gt;0,IFERROR(SEARCH(DruidLand4,$T51,1),0)&gt;0),1,0)*IF($C51=1,1,0)*IF($C51=DN$2,1,0)=0,0,1+COUNTIF(DN$3:DN50,"&gt;0"))</f>
        <v>0</v>
      </c>
      <c r="DO51">
        <f>IF(IF(OR(IFERROR(SEARCH("Druid",$T51,1),0)&gt;0,IFERROR(SEARCH(DruidLand1,$T51,1),0)&gt;0,IFERROR(SEARCH(DruidLand2,$T51,1),0)&gt;0,IFERROR(SEARCH(DruidLand3,$T51,1),0)&gt;0,IFERROR(SEARCH(DruidLand4,$T51,1),0)&gt;0),1,0)*IF($C51=1,1,0)*IF($C51=DO$2,1,0)=0,0,1+COUNTIF(DO$3:DO50,"&gt;0"))</f>
        <v>0</v>
      </c>
      <c r="DP51">
        <f>IF(IF(OR(IFERROR(SEARCH("Druid",$T51,1),0)&gt;0,IFERROR(SEARCH(DruidLand1,$T51,1),0)&gt;0,IFERROR(SEARCH(DruidLand2,$T51,1),0)&gt;0,IFERROR(SEARCH(DruidLand3,$T51,1),0)&gt;0,IFERROR(SEARCH(DruidLand4,$T51,1),0)&gt;0),1,0)*IF($C51=1,1,0)*IF($C51=DP$2,1,0)=0,0,1+COUNTIF(DP$3:DP50,"&gt;0"))</f>
        <v>0</v>
      </c>
      <c r="DQ51">
        <f>IF(IF(OR(IFERROR(SEARCH("Druid",$T51,1),0)&gt;0,IFERROR(SEARCH(DruidLand1,$T51,1),0)&gt;0,IFERROR(SEARCH(DruidLand2,$T51,1),0)&gt;0,IFERROR(SEARCH(DruidLand3,$T51,1),0)&gt;0,IFERROR(SEARCH(DruidLand4,$T51,1),0)&gt;0),1,0)*IF($C51=1,1,0)*IF($C51=DQ$2,1,0)=0,0,1+COUNTIF(DQ$3:DQ50,"&gt;0"))</f>
        <v>0</v>
      </c>
      <c r="DR51">
        <f>IF(IF(OR(IFERROR(SEARCH("Druid",$T51,1),0)&gt;0,IFERROR(SEARCH(DruidLand1,$T51,1),0)&gt;0,IFERROR(SEARCH(DruidLand2,$T51,1),0)&gt;0,IFERROR(SEARCH(DruidLand3,$T51,1),0)&gt;0,IFERROR(SEARCH(DruidLand4,$T51,1),0)&gt;0),1,0)*IF($C51=1,1,0)*IF($C51=DR$2,1,0)=0,0,1+COUNTIF(DR$3:DR50,"&gt;0"))</f>
        <v>0</v>
      </c>
      <c r="DS51">
        <f>IF(IF(OR(IFERROR(SEARCH("Paladin",$T51,1),0)&gt;0,IFERROR(SEARCH(PaladinOath,$T51,1),0)&gt;0),1,0)*IF($C51=DS$2,1,0)=1,1+COUNTIF(DS$3:DS50,"&gt;0"),0)</f>
        <v>0</v>
      </c>
      <c r="DT51">
        <f>IF(IF(OR(IFERROR(SEARCH("Paladin",$T51,1),0)&gt;0,IFERROR(SEARCH(PaladinOath,$T51,1),0)&gt;0),1,0)*IF($C51=DT$2,1,0)=1,1+COUNTIF(DT$3:DT50,"&gt;0"),0)</f>
        <v>0</v>
      </c>
      <c r="DU51">
        <f>IF(IF(OR(IFERROR(SEARCH("Paladin",$T51,1),0)&gt;0,IFERROR(SEARCH(PaladinOath,$T51,1),0)&gt;0),1,0)*IF($C51=DU$2,1,0)=1,1+COUNTIF(DU$3:DU50,"&gt;0"),0)</f>
        <v>0</v>
      </c>
      <c r="DV51">
        <f>IF(IF(OR(IFERROR(SEARCH("Paladin",$T51,1),0)&gt;0,IFERROR(SEARCH(PaladinOath,$T51,1),0)&gt;0),1,0)*IF($C51=DV$2,1,0)=1,1+COUNTIF(DV$3:DV50,"&gt;0"),0)</f>
        <v>0</v>
      </c>
      <c r="DW51">
        <f>IF(IF(OR(IFERROR(SEARCH("Paladin",$T51,1),0)&gt;0,IFERROR(SEARCH(PaladinOath,$T51,1),0)&gt;0),1,0)*IF($C51=DW$2,1,0)=1,1+COUNTIF(DW$3:DW50,"&gt;0"),0)</f>
        <v>2</v>
      </c>
      <c r="DY51">
        <f t="shared" si="2"/>
        <v>1</v>
      </c>
      <c r="DZ51">
        <f>IF(DY51=0,0,1+MAX(DZ$3:$DZ50))</f>
        <v>49</v>
      </c>
      <c r="EB51">
        <f t="shared" si="16"/>
        <v>0</v>
      </c>
      <c r="EC51">
        <f>IF(EB51=0,0,1+COUNTIF(EC$3:EC50,"&gt;0"))</f>
        <v>0</v>
      </c>
      <c r="ED51" t="str">
        <f t="shared" si="44"/>
        <v/>
      </c>
      <c r="EE51" t="str">
        <f t="shared" si="17"/>
        <v/>
      </c>
      <c r="EG51">
        <f t="shared" si="18"/>
        <v>0</v>
      </c>
      <c r="EH51">
        <f>IF(EG51=0,0,1+COUNTIF(EH$3:EH50,"&gt;0"))</f>
        <v>0</v>
      </c>
      <c r="EI51" t="str">
        <f t="shared" si="45"/>
        <v/>
      </c>
      <c r="EJ51" t="str">
        <f t="shared" si="19"/>
        <v/>
      </c>
      <c r="EL51">
        <f t="shared" si="20"/>
        <v>0</v>
      </c>
      <c r="EM51">
        <f>IF(EL51=0,0,1+COUNTIF(EM$3:EM50,"&gt;0"))</f>
        <v>0</v>
      </c>
      <c r="EN51" t="str">
        <f t="shared" si="46"/>
        <v/>
      </c>
      <c r="EO51" t="str">
        <f t="shared" si="21"/>
        <v/>
      </c>
      <c r="EQ51">
        <f t="shared" si="22"/>
        <v>0</v>
      </c>
      <c r="ER51">
        <f>IF(EQ51=0,0,1+COUNTIF(ER$3:ER50,"&gt;0"))</f>
        <v>0</v>
      </c>
      <c r="ES51" t="str">
        <f t="shared" si="47"/>
        <v/>
      </c>
      <c r="ET51" t="str">
        <f t="shared" si="23"/>
        <v/>
      </c>
      <c r="EV51">
        <f t="shared" si="24"/>
        <v>0</v>
      </c>
      <c r="EW51">
        <f>IF(EV51=0,0,1+COUNTIF(EW$3:EW50,"&gt;0"))</f>
        <v>0</v>
      </c>
      <c r="EX51" t="str">
        <f t="shared" si="48"/>
        <v/>
      </c>
      <c r="EY51" t="str">
        <f t="shared" si="25"/>
        <v/>
      </c>
      <c r="FA51">
        <f t="shared" si="26"/>
        <v>0</v>
      </c>
      <c r="FB51">
        <f>IF(FA51=0,0,1+COUNTIF(FB$3:FB50,"&gt;0"))</f>
        <v>0</v>
      </c>
      <c r="FC51" t="str">
        <f t="shared" si="49"/>
        <v/>
      </c>
      <c r="FD51" t="str">
        <f t="shared" si="27"/>
        <v/>
      </c>
      <c r="FF51">
        <f t="shared" si="28"/>
        <v>0</v>
      </c>
      <c r="FG51">
        <f>IF(FF51=0,0,1+COUNTIF(FG$3:FG50,"&gt;0"))</f>
        <v>0</v>
      </c>
      <c r="FH51" t="str">
        <f t="shared" si="50"/>
        <v/>
      </c>
      <c r="FI51" t="str">
        <f t="shared" si="29"/>
        <v/>
      </c>
      <c r="FK51">
        <f t="shared" si="30"/>
        <v>0</v>
      </c>
      <c r="FL51">
        <f>IF(FK51=0,0,1+COUNTIF(FL$3:FL50,"&gt;0"))</f>
        <v>0</v>
      </c>
      <c r="FM51" t="str">
        <f t="shared" si="51"/>
        <v/>
      </c>
      <c r="FN51" t="str">
        <f t="shared" si="31"/>
        <v/>
      </c>
      <c r="FP51">
        <f t="shared" si="32"/>
        <v>0</v>
      </c>
      <c r="FQ51">
        <f>IF(FP51=0,0,1+COUNTIF(FQ$3:FQ50,"&gt;0"))</f>
        <v>0</v>
      </c>
      <c r="FR51" t="str">
        <f t="shared" si="52"/>
        <v/>
      </c>
      <c r="FS51" t="str">
        <f t="shared" si="33"/>
        <v/>
      </c>
    </row>
    <row r="52" spans="1:175" x14ac:dyDescent="0.25">
      <c r="A52" s="347">
        <f t="shared" si="53"/>
        <v>50</v>
      </c>
      <c r="B52" s="348" t="s">
        <v>2412</v>
      </c>
      <c r="C52" s="348">
        <v>3</v>
      </c>
      <c r="D52" s="347">
        <v>3</v>
      </c>
      <c r="E52" s="627" t="s">
        <v>6952</v>
      </c>
      <c r="F52" s="346"/>
      <c r="G52" s="347" t="str">
        <f>""</f>
        <v/>
      </c>
      <c r="H52" s="347" t="s">
        <v>5319</v>
      </c>
      <c r="I52" s="347" t="s">
        <v>2413</v>
      </c>
      <c r="J52" s="347" t="str">
        <f t="shared" si="3"/>
        <v/>
      </c>
      <c r="K52" s="347" t="s">
        <v>5297</v>
      </c>
      <c r="L52" s="611" t="str">
        <f t="shared" si="4"/>
        <v>V, S, M, a focus worth at least 100 gp, either a jeweled horn for hearing or a glass eye for seeing</v>
      </c>
      <c r="M52" s="347" t="s">
        <v>2373</v>
      </c>
      <c r="N52" s="347" t="s">
        <v>2387</v>
      </c>
      <c r="O52" s="347" t="s">
        <v>1244</v>
      </c>
      <c r="P52" s="346" t="s">
        <v>5320</v>
      </c>
      <c r="Q52" s="347" t="s">
        <v>2473</v>
      </c>
      <c r="S52" s="346" t="s">
        <v>5620</v>
      </c>
      <c r="T52" s="346" t="str">
        <f t="shared" si="5"/>
        <v xml:space="preserve">Bard, Sorcerer, Cleric, Wizard, Old One, </v>
      </c>
      <c r="U52" s="347" t="str">
        <f>$B52</f>
        <v>Clairvoyance</v>
      </c>
      <c r="X52" s="347" t="str">
        <f>$B52</f>
        <v>Clairvoyance</v>
      </c>
      <c r="Z52" s="347" t="str">
        <f>$B52</f>
        <v>Clairvoyance</v>
      </c>
      <c r="AD52" s="347" t="str">
        <f>$B52</f>
        <v>Clairvoyance</v>
      </c>
      <c r="AE52" t="str">
        <f>IF(IFERROR(MATCH($B52,temp!A$4:A$13,0),0)&gt;0,T08_Spells!AE$2,"")</f>
        <v/>
      </c>
      <c r="AF52" t="str">
        <f>IF(IFERROR(MATCH($B52,temp!B$4:B$13,0),0)&gt;0,T08_Spells!AF$2,"")</f>
        <v/>
      </c>
      <c r="AG52" t="str">
        <f>IF(IFERROR(MATCH($B52,temp!C$4:C$13,0),0)&gt;0,T08_Spells!AG$2,"")</f>
        <v/>
      </c>
      <c r="AH52" t="str">
        <f>IF(IFERROR(MATCH($B52,temp!D$4:D$13,0),0)&gt;0,T08_Spells!AH$2,"")</f>
        <v/>
      </c>
      <c r="AI52" t="str">
        <f>IF(IFERROR(MATCH($B52,temp!E$4:E$13,0),0)&gt;0,T08_Spells!AI$2,"")</f>
        <v/>
      </c>
      <c r="AJ52" t="str">
        <f>IF(IFERROR(MATCH($B52,temp!F$4:F$13,0),0)&gt;0,T08_Spells!AJ$2,"")</f>
        <v/>
      </c>
      <c r="AK52" t="str">
        <f>IF(IFERROR(MATCH($B52,temp!G$4:G$13,0),0)&gt;0,T08_Spells!AK$2,"")</f>
        <v>Old One</v>
      </c>
      <c r="AL52" t="str">
        <f>IF(IFERROR(MATCH($B52,temp!H$4:H$13,0),0)&gt;0,T08_Spells!AL$2,"")</f>
        <v/>
      </c>
      <c r="AM52" t="str">
        <f>IF(IFERROR(MATCH($B52,temp!I$4:I$13,0),0)&gt;0,T08_Spells!AM$2,"")</f>
        <v/>
      </c>
      <c r="AN52" t="str">
        <f>IF(IFERROR(MATCH($B52,temp!J$4:J$13,0),0)&gt;0,T08_Spells!AN$2,"")</f>
        <v/>
      </c>
      <c r="AO52" t="str">
        <f>IF(IFERROR(MATCH($B52,temp!K$4:K$13,0),0)&gt;0,T08_Spells!AO$2,"")</f>
        <v/>
      </c>
      <c r="AP52" t="str">
        <f>IF(IFERROR(MATCH($B52,temp!L$4:L$13,0),0)&gt;0,T08_Spells!AP$2,"")</f>
        <v/>
      </c>
      <c r="AQ52" t="str">
        <f>IF(IFERROR(MATCH($B52,temp!M$4:M$13,0),0)&gt;0,T08_Spells!AQ$2,"")</f>
        <v/>
      </c>
      <c r="AR52" t="str">
        <f>IF(IFERROR(MATCH($B52,temp!N$4:N$13,0),0)&gt;0,T08_Spells!AR$2,"")</f>
        <v/>
      </c>
      <c r="AS52" t="str">
        <f>IF(IFERROR(MATCH($B52,temp!O$4:O$13,0),0)&gt;0,T08_Spells!AS$2,"")</f>
        <v/>
      </c>
      <c r="AT52" t="str">
        <f>IF(IFERROR(MATCH($B52,temp!P$4:P$13,0),0)&gt;0,T08_Spells!AT$2,"")</f>
        <v/>
      </c>
      <c r="AU52" t="str">
        <f>IF(IFERROR(MATCH($B52,temp!Q$4:Q$13,0),0)&gt;0,T08_Spells!AU$2,"")</f>
        <v/>
      </c>
      <c r="AV52" t="str">
        <f>IF(IFERROR(MATCH($B52,temp!R$4:R$13,0),0)&gt;0,T08_Spells!AV$2,"")</f>
        <v/>
      </c>
      <c r="AW52" t="str">
        <f>IF(IFERROR(MATCH($B52,temp!S$4:S$13,0),0)&gt;0,T08_Spells!AW$2,"")</f>
        <v/>
      </c>
      <c r="AX52" t="str">
        <f>IF(IFERROR(MATCH($B52,temp!T$4:T$13,0),0)&gt;0,T08_Spells!AX$2,"")</f>
        <v/>
      </c>
      <c r="AY52" t="str">
        <f>IF(IFERROR(MATCH($B52,temp!U$4:U$13,0),0)&gt;0,T08_Spells!AY$2,"")</f>
        <v/>
      </c>
      <c r="AZ52" t="str">
        <f>IF(IFERROR(MATCH($B52,temp!V$4:V$13,0),0)&gt;0,T08_Spells!AZ$2,"")</f>
        <v/>
      </c>
      <c r="BA52" t="str">
        <f>IF(IFERROR(MATCH($B52,temp!W$4:W$13,0),0)&gt;0,T08_Spells!BA$2,"")</f>
        <v/>
      </c>
      <c r="BC52">
        <f>IF(IFERROR(SEARCH("Ranger",$T52,1),0)&gt;0,1,0)*IF(RangerMaxSpellLevel&gt;=$C52,1,0)*IF(IFERROR(MATCH(B52,Character_Creation!$X$79:$X$382,0),0)&gt;0,0,1)</f>
        <v>0</v>
      </c>
      <c r="BD52">
        <f>IF(BC52=0,0,1+COUNTIF(BD$3:BD51,"&gt;0"))</f>
        <v>0</v>
      </c>
      <c r="BE52" t="str">
        <f t="shared" si="34"/>
        <v/>
      </c>
      <c r="BF52" t="str">
        <f t="shared" si="6"/>
        <v/>
      </c>
      <c r="BH52">
        <f>IF(IFERROR(SEARCH("Sorcerer",$T52,1),0)&gt;0,1,0)*IF(SorcererMaxSpellLevel&gt;=$C52,1,0)*IF(IFERROR(MATCH(B52,Character_Creation!$J$380:$J$394,0),0)&gt;0,0,1)</f>
        <v>0</v>
      </c>
      <c r="BI52">
        <f>IF(BH52=0,0,1+COUNTIF(BI$3:BI51,"&gt;0"))</f>
        <v>0</v>
      </c>
      <c r="BJ52" t="str">
        <f t="shared" si="35"/>
        <v/>
      </c>
      <c r="BK52" t="str">
        <f t="shared" si="7"/>
        <v/>
      </c>
      <c r="BM52">
        <f>IF(OR(IFERROR(SEARCH("Warlock",$T52,1),0)&gt;0,IFERROR(SEARCH(WarlockPatron,$T52,1),0)&gt;0),1,0)*IF(WarlockMaxSpellLevel&gt;=$C52,1,0)*IF(IFERROR(MATCH(B52,Character_Creation!$J$361:$J$375,0),0)&gt;0,0,1)</f>
        <v>0</v>
      </c>
      <c r="BN52">
        <f>IF(BM52=0,0,1+COUNTIF(BN$3:BN51,"&gt;0"))</f>
        <v>0</v>
      </c>
      <c r="BO52" t="str">
        <f t="shared" si="36"/>
        <v/>
      </c>
      <c r="BP52" t="str">
        <f t="shared" si="8"/>
        <v/>
      </c>
      <c r="BR52">
        <f>IF(IFERROR(SEARCH("Eldritch Knight",$T52,1),0)&gt;0,1,0)*IF(EldritchKnightMaxSpellLevel&gt;=$C52,1,0)*IF(IFERROR(MATCH($B52,Character_Creation!$J$350:$J$356,0),0)&gt;0,0,1)*IF(Character_Creation!$M$338&gt;0,1,0)</f>
        <v>0</v>
      </c>
      <c r="BS52">
        <f>IF(BR52=0,0,1+COUNTIF(BS$3:BS51,"&gt;0"))</f>
        <v>0</v>
      </c>
      <c r="BT52" t="str">
        <f t="shared" si="37"/>
        <v/>
      </c>
      <c r="BU52" t="str">
        <f t="shared" si="9"/>
        <v/>
      </c>
      <c r="BW52">
        <f>IF(IFERROR(SEARCH("Arcane Trickster",$T52,1),0)&gt;0,1,0)*IF(ArcaneTricksterMaxSpellLevel&gt;=$C52,1,0)*IF(IFERROR(MATCH($B52,Character_Creation!$J$350:$J$356,0),0)&gt;0,0,1)*IF(Character_Creation!$T$338&gt;0,1,0)</f>
        <v>0</v>
      </c>
      <c r="BX52">
        <f>IF(BW52=0,0,1+COUNTIF(BX$3:BX51,"&gt;0"))</f>
        <v>0</v>
      </c>
      <c r="BY52" t="str">
        <f t="shared" si="38"/>
        <v/>
      </c>
      <c r="BZ52" t="str">
        <f t="shared" si="10"/>
        <v/>
      </c>
      <c r="CB52">
        <f>IF(IFERROR(SEARCH("Wizard",$T52,1),0)&gt;0,1,0)*IF(C52&lt;=ArcaneTricksterMaxSpellLevel,1,0)*IF(IFERROR(MATCH($B52,Character_Creation!$J$350:$J$356,0),0)&gt;0,0,1)*IF(Character_Creation!$T$350&gt;0,1,0)</f>
        <v>0</v>
      </c>
      <c r="CC52">
        <f>IF(CB52=0,0,1+COUNTIF(CC$3:CC51,"&gt;0"))</f>
        <v>0</v>
      </c>
      <c r="CD52" t="str">
        <f t="shared" si="39"/>
        <v/>
      </c>
      <c r="CE52" t="str">
        <f t="shared" si="11"/>
        <v/>
      </c>
      <c r="CG52">
        <f>IF(IFERROR(SEARCH("Wizard",$T52,1),0)&gt;0,1,0)*IF($C52&lt;=EldritchKnightMaxSpellLevel,1,0)*IF(IFERROR(MATCH($B52,Character_Creation!$J$350:$J$356,0),0)&gt;0,0,1)*IF(Character_Creation!$M$350&gt;0,1,0)</f>
        <v>0</v>
      </c>
      <c r="CH52">
        <f>IF(CG52=0,0,1+COUNTIF(CH$3:CH51,"&gt;0"))</f>
        <v>0</v>
      </c>
      <c r="CI52">
        <f t="shared" si="40"/>
        <v>50</v>
      </c>
      <c r="CJ52" t="str">
        <f t="shared" si="12"/>
        <v>Scorching Ray</v>
      </c>
      <c r="CL52">
        <f>IF(IFERROR(SEARCH("Bard",$T52,1),0)&gt;0,1,0)*IF(BardMaxSpellLevel&gt;=$C52,1,0)*IF(IFERROR(MATCH(B52,Character_Creation!$C$341:$F$362,0),0)&gt;0,0,1)*IF(IFERROR(MATCH($B52,Character_Creation!$C$341:$C$362,0),0)&gt;0,0,1)</f>
        <v>0</v>
      </c>
      <c r="CM52">
        <f>IF(CL52=0,0,1+COUNTIF(CM$3:CM51,"&gt;0"))</f>
        <v>0</v>
      </c>
      <c r="CN52" t="str">
        <f t="shared" si="41"/>
        <v/>
      </c>
      <c r="CO52" t="str">
        <f t="shared" si="13"/>
        <v/>
      </c>
      <c r="CQ52">
        <f>IF(IFERROR(SEARCH("Wizard",$T52,1),0)&gt;0,1,0)*IF(WizardMaxSpellLevel&gt;=$C52,1,0)*IF(IFERROR(MATCH(B52,Character_Creation!$X$341:$X$400,0),0)&gt;0,0,1)*IF(SelectedWizardSpellLevel=$C52,1,0)</f>
        <v>1</v>
      </c>
      <c r="CR52">
        <f>IF(CQ52=0,0,1+COUNTIF(CR$3:CR51,"&gt;0"))</f>
        <v>4</v>
      </c>
      <c r="CS52" t="str">
        <f t="shared" si="42"/>
        <v/>
      </c>
      <c r="CT52" t="str">
        <f t="shared" si="14"/>
        <v/>
      </c>
      <c r="CV52">
        <f>IF(IFERROR(MATCH($B52,Character_Creation!$C$341:$C$362,0),0)&gt;0,0,1)*IF(OR(C52="Cantrip",C52&lt;=BardMaxSpellLevel),1,0)*IF(IFERROR(MATCH($B52,Character_Creation!$C$367:$C$374,0),0)&gt;0,0,1)</f>
        <v>0</v>
      </c>
      <c r="CW52">
        <f>IF(CV52=0,0,1+COUNTIF(CW$3:CW51,"&gt;0"))</f>
        <v>0</v>
      </c>
      <c r="CX52" t="str">
        <f t="shared" si="43"/>
        <v/>
      </c>
      <c r="CY52" t="str">
        <f t="shared" si="15"/>
        <v/>
      </c>
      <c r="DA52">
        <f>IF(IF(OR(IFERROR(SEARCH("Cleric",$T52,1),0)&gt;0,IFERROR(SEARCH(DivineDomain&amp;",",$T52,1),0)&gt;0),1,0)*IF($C52=DA$2,1,0)=1,1+COUNTIF(DA$3:DA51,"&gt;0"),0)</f>
        <v>0</v>
      </c>
      <c r="DB52">
        <f>IF(IF(OR(IFERROR(SEARCH("Cleric",$T52,1),0)&gt;0,IFERROR(SEARCH(DivineDomain&amp;",",$T52,1),0)&gt;0),1,0)*IF($C52=DB$2,1,0)=1,1+COUNTIF(DB$3:DB51,"&gt;0"),0)</f>
        <v>0</v>
      </c>
      <c r="DC52">
        <f>IF(IF(OR(IFERROR(SEARCH("Cleric",$T52,1),0)&gt;0,IFERROR(SEARCH(DivineDomain&amp;",",$T52,1),0)&gt;0),1,0)*IF($C52=DC$2,1,0)=1,1+COUNTIF(DC$3:DC51,"&gt;0"),0)</f>
        <v>4</v>
      </c>
      <c r="DD52">
        <f>IF(IF(OR(IFERROR(SEARCH("Cleric",$T52,1),0)&gt;0,IFERROR(SEARCH(DivineDomain&amp;",",$T52,1),0)&gt;0),1,0)*IF($C52=DD$2,1,0)=1,1+COUNTIF(DD$3:DD51,"&gt;0"),0)</f>
        <v>0</v>
      </c>
      <c r="DE52">
        <f>IF(IF(OR(IFERROR(SEARCH("Cleric",$T52,1),0)&gt;0,IFERROR(SEARCH(DivineDomain&amp;",",$T52,1),0)&gt;0),1,0)*IF($C52=DE$2,1,0)=1,1+COUNTIF(DE$3:DE51,"&gt;0"),0)</f>
        <v>0</v>
      </c>
      <c r="DF52">
        <f>IF(IF(OR(IFERROR(SEARCH("Cleric",$T52,1),0)&gt;0,IFERROR(SEARCH(DivineDomain&amp;",",$T52,1),0)&gt;0),1,0)*IF($C52=DF$2,1,0)=1,1+COUNTIF(DF$3:DF51,"&gt;0"),0)</f>
        <v>0</v>
      </c>
      <c r="DG52">
        <f>IF(IF(OR(IFERROR(SEARCH("Cleric",$T52,1),0)&gt;0,IFERROR(SEARCH(DivineDomain&amp;",",$T52,1),0)&gt;0),1,0)*IF($C52=DG$2,1,0)=1,1+COUNTIF(DG$3:DG51,"&gt;0"),0)</f>
        <v>0</v>
      </c>
      <c r="DH52">
        <f>IF(IF(OR(IFERROR(SEARCH("Cleric",$T52,1),0)&gt;0,IFERROR(SEARCH(DivineDomain&amp;",",$T52,1),0)&gt;0),1,0)*IF($C52=DH$2,1,0)=1,1+COUNTIF(DH$3:DH51,"&gt;0"),0)</f>
        <v>0</v>
      </c>
      <c r="DI52">
        <f>IF(IF(OR(IFERROR(SEARCH("Cleric",$T52,1),0)&gt;0,IFERROR(SEARCH(DivineDomain&amp;",",$T52,1),0)&gt;0),1,0)*IF($C52=DI$2,1,0)=1,1+COUNTIF(DI$3:DI51,"&gt;0"),0)</f>
        <v>0</v>
      </c>
      <c r="DJ52">
        <f>IF(IF(OR(IFERROR(SEARCH("Druid",$T52,1),0)&gt;0,IFERROR(SEARCH(DruidLand1,$T52,1),0)&gt;0,IFERROR(SEARCH(DruidLand2,$T52,1),0)&gt;0,IFERROR(SEARCH(DruidLand3,$T52,1),0)&gt;0,IFERROR(SEARCH(DruidLand4,$T52,1),0)&gt;0),1,0)*IF($C52=1,1,0)*IF($C52=DJ$2,1,0)=0,0,1+COUNTIF(DJ$3:DJ51,"&gt;0"))</f>
        <v>0</v>
      </c>
      <c r="DK52">
        <f>IF(IF(OR(IFERROR(SEARCH("Druid",$T52,1),0)&gt;0,IFERROR(SEARCH(DruidLand1,$T52,1),0)&gt;0,IFERROR(SEARCH(DruidLand2,$T52,1),0)&gt;0,IFERROR(SEARCH(DruidLand3,$T52,1),0)&gt;0,IFERROR(SEARCH(DruidLand4,$T52,1),0)&gt;0),1,0)*IF($C52=1,1,0)*IF($C52=DK$2,1,0)=0,0,1+COUNTIF(DK$3:DK51,"&gt;0"))</f>
        <v>0</v>
      </c>
      <c r="DL52">
        <f>IF(IF(OR(IFERROR(SEARCH("Druid",$T52,1),0)&gt;0,IFERROR(SEARCH(DruidLand1,$T52,1),0)&gt;0,IFERROR(SEARCH(DruidLand2,$T52,1),0)&gt;0,IFERROR(SEARCH(DruidLand3,$T52,1),0)&gt;0,IFERROR(SEARCH(DruidLand4,$T52,1),0)&gt;0),1,0)*IF($C52=1,1,0)*IF($C52=DL$2,1,0)=0,0,1+COUNTIF(DL$3:DL51,"&gt;0"))</f>
        <v>0</v>
      </c>
      <c r="DM52">
        <f>IF(IF(OR(IFERROR(SEARCH("Druid",$T52,1),0)&gt;0,IFERROR(SEARCH(DruidLand1,$T52,1),0)&gt;0,IFERROR(SEARCH(DruidLand2,$T52,1),0)&gt;0,IFERROR(SEARCH(DruidLand3,$T52,1),0)&gt;0,IFERROR(SEARCH(DruidLand4,$T52,1),0)&gt;0),1,0)*IF($C52=1,1,0)*IF($C52=DM$2,1,0)=0,0,1+COUNTIF(DM$3:DM51,"&gt;0"))</f>
        <v>0</v>
      </c>
      <c r="DN52">
        <f>IF(IF(OR(IFERROR(SEARCH("Druid",$T52,1),0)&gt;0,IFERROR(SEARCH(DruidLand1,$T52,1),0)&gt;0,IFERROR(SEARCH(DruidLand2,$T52,1),0)&gt;0,IFERROR(SEARCH(DruidLand3,$T52,1),0)&gt;0,IFERROR(SEARCH(DruidLand4,$T52,1),0)&gt;0),1,0)*IF($C52=1,1,0)*IF($C52=DN$2,1,0)=0,0,1+COUNTIF(DN$3:DN51,"&gt;0"))</f>
        <v>0</v>
      </c>
      <c r="DO52">
        <f>IF(IF(OR(IFERROR(SEARCH("Druid",$T52,1),0)&gt;0,IFERROR(SEARCH(DruidLand1,$T52,1),0)&gt;0,IFERROR(SEARCH(DruidLand2,$T52,1),0)&gt;0,IFERROR(SEARCH(DruidLand3,$T52,1),0)&gt;0,IFERROR(SEARCH(DruidLand4,$T52,1),0)&gt;0),1,0)*IF($C52=1,1,0)*IF($C52=DO$2,1,0)=0,0,1+COUNTIF(DO$3:DO51,"&gt;0"))</f>
        <v>0</v>
      </c>
      <c r="DP52">
        <f>IF(IF(OR(IFERROR(SEARCH("Druid",$T52,1),0)&gt;0,IFERROR(SEARCH(DruidLand1,$T52,1),0)&gt;0,IFERROR(SEARCH(DruidLand2,$T52,1),0)&gt;0,IFERROR(SEARCH(DruidLand3,$T52,1),0)&gt;0,IFERROR(SEARCH(DruidLand4,$T52,1),0)&gt;0),1,0)*IF($C52=1,1,0)*IF($C52=DP$2,1,0)=0,0,1+COUNTIF(DP$3:DP51,"&gt;0"))</f>
        <v>0</v>
      </c>
      <c r="DQ52">
        <f>IF(IF(OR(IFERROR(SEARCH("Druid",$T52,1),0)&gt;0,IFERROR(SEARCH(DruidLand1,$T52,1),0)&gt;0,IFERROR(SEARCH(DruidLand2,$T52,1),0)&gt;0,IFERROR(SEARCH(DruidLand3,$T52,1),0)&gt;0,IFERROR(SEARCH(DruidLand4,$T52,1),0)&gt;0),1,0)*IF($C52=1,1,0)*IF($C52=DQ$2,1,0)=0,0,1+COUNTIF(DQ$3:DQ51,"&gt;0"))</f>
        <v>0</v>
      </c>
      <c r="DR52">
        <f>IF(IF(OR(IFERROR(SEARCH("Druid",$T52,1),0)&gt;0,IFERROR(SEARCH(DruidLand1,$T52,1),0)&gt;0,IFERROR(SEARCH(DruidLand2,$T52,1),0)&gt;0,IFERROR(SEARCH(DruidLand3,$T52,1),0)&gt;0,IFERROR(SEARCH(DruidLand4,$T52,1),0)&gt;0),1,0)*IF($C52=1,1,0)*IF($C52=DR$2,1,0)=0,0,1+COUNTIF(DR$3:DR51,"&gt;0"))</f>
        <v>0</v>
      </c>
      <c r="DS52">
        <f>IF(IF(OR(IFERROR(SEARCH("Paladin",$T52,1),0)&gt;0,IFERROR(SEARCH(PaladinOath,$T52,1),0)&gt;0),1,0)*IF($C52=DS$2,1,0)=1,1+COUNTIF(DS$3:DS51,"&gt;0"),0)</f>
        <v>0</v>
      </c>
      <c r="DT52">
        <f>IF(IF(OR(IFERROR(SEARCH("Paladin",$T52,1),0)&gt;0,IFERROR(SEARCH(PaladinOath,$T52,1),0)&gt;0),1,0)*IF($C52=DT$2,1,0)=1,1+COUNTIF(DT$3:DT51,"&gt;0"),0)</f>
        <v>0</v>
      </c>
      <c r="DU52">
        <f>IF(IF(OR(IFERROR(SEARCH("Paladin",$T52,1),0)&gt;0,IFERROR(SEARCH(PaladinOath,$T52,1),0)&gt;0),1,0)*IF($C52=DU$2,1,0)=1,1+COUNTIF(DU$3:DU51,"&gt;0"),0)</f>
        <v>0</v>
      </c>
      <c r="DV52">
        <f>IF(IF(OR(IFERROR(SEARCH("Paladin",$T52,1),0)&gt;0,IFERROR(SEARCH(PaladinOath,$T52,1),0)&gt;0),1,0)*IF($C52=DV$2,1,0)=1,1+COUNTIF(DV$3:DV51,"&gt;0"),0)</f>
        <v>0</v>
      </c>
      <c r="DW52">
        <f>IF(IF(OR(IFERROR(SEARCH("Paladin",$T52,1),0)&gt;0,IFERROR(SEARCH(PaladinOath,$T52,1),0)&gt;0),1,0)*IF($C52=DW$2,1,0)=1,1+COUNTIF(DW$3:DW51,"&gt;0"),0)</f>
        <v>0</v>
      </c>
      <c r="DY52">
        <f t="shared" si="2"/>
        <v>1</v>
      </c>
      <c r="DZ52">
        <f>IF(DY52=0,0,1+MAX(DZ$3:$DZ51))</f>
        <v>50</v>
      </c>
      <c r="EB52">
        <f t="shared" si="16"/>
        <v>0</v>
      </c>
      <c r="EC52">
        <f>IF(EB52=0,0,1+COUNTIF(EC$3:EC51,"&gt;0"))</f>
        <v>0</v>
      </c>
      <c r="ED52" t="str">
        <f t="shared" si="44"/>
        <v/>
      </c>
      <c r="EE52" t="str">
        <f t="shared" si="17"/>
        <v/>
      </c>
      <c r="EG52">
        <f t="shared" si="18"/>
        <v>0</v>
      </c>
      <c r="EH52">
        <f>IF(EG52=0,0,1+COUNTIF(EH$3:EH51,"&gt;0"))</f>
        <v>0</v>
      </c>
      <c r="EI52" t="str">
        <f t="shared" si="45"/>
        <v/>
      </c>
      <c r="EJ52" t="str">
        <f t="shared" si="19"/>
        <v/>
      </c>
      <c r="EL52">
        <f t="shared" si="20"/>
        <v>0</v>
      </c>
      <c r="EM52">
        <f>IF(EL52=0,0,1+COUNTIF(EM$3:EM51,"&gt;0"))</f>
        <v>0</v>
      </c>
      <c r="EN52" t="str">
        <f t="shared" si="46"/>
        <v/>
      </c>
      <c r="EO52" t="str">
        <f t="shared" si="21"/>
        <v/>
      </c>
      <c r="EQ52">
        <f t="shared" si="22"/>
        <v>0</v>
      </c>
      <c r="ER52">
        <f>IF(EQ52=0,0,1+COUNTIF(ER$3:ER51,"&gt;0"))</f>
        <v>0</v>
      </c>
      <c r="ES52" t="str">
        <f t="shared" si="47"/>
        <v/>
      </c>
      <c r="ET52" t="str">
        <f t="shared" si="23"/>
        <v/>
      </c>
      <c r="EV52">
        <f t="shared" si="24"/>
        <v>0</v>
      </c>
      <c r="EW52">
        <f>IF(EV52=0,0,1+COUNTIF(EW$3:EW51,"&gt;0"))</f>
        <v>0</v>
      </c>
      <c r="EX52" t="str">
        <f t="shared" si="48"/>
        <v/>
      </c>
      <c r="EY52" t="str">
        <f t="shared" si="25"/>
        <v/>
      </c>
      <c r="FA52">
        <f t="shared" si="26"/>
        <v>0</v>
      </c>
      <c r="FB52">
        <f>IF(FA52=0,0,1+COUNTIF(FB$3:FB51,"&gt;0"))</f>
        <v>0</v>
      </c>
      <c r="FC52" t="str">
        <f t="shared" si="49"/>
        <v/>
      </c>
      <c r="FD52" t="str">
        <f t="shared" si="27"/>
        <v/>
      </c>
      <c r="FF52">
        <f t="shared" si="28"/>
        <v>0</v>
      </c>
      <c r="FG52">
        <f>IF(FF52=0,0,1+COUNTIF(FG$3:FG51,"&gt;0"))</f>
        <v>0</v>
      </c>
      <c r="FH52" t="str">
        <f t="shared" si="50"/>
        <v/>
      </c>
      <c r="FI52" t="str">
        <f t="shared" si="29"/>
        <v/>
      </c>
      <c r="FK52">
        <f t="shared" si="30"/>
        <v>0</v>
      </c>
      <c r="FL52">
        <f>IF(FK52=0,0,1+COUNTIF(FL$3:FL51,"&gt;0"))</f>
        <v>0</v>
      </c>
      <c r="FM52" t="str">
        <f t="shared" si="51"/>
        <v/>
      </c>
      <c r="FN52" t="str">
        <f t="shared" si="31"/>
        <v/>
      </c>
      <c r="FP52">
        <f t="shared" si="32"/>
        <v>0</v>
      </c>
      <c r="FQ52">
        <f>IF(FP52=0,0,1+COUNTIF(FQ$3:FQ51,"&gt;0"))</f>
        <v>0</v>
      </c>
      <c r="FR52" t="str">
        <f t="shared" si="52"/>
        <v/>
      </c>
      <c r="FS52" t="str">
        <f t="shared" si="33"/>
        <v/>
      </c>
    </row>
    <row r="53" spans="1:175" x14ac:dyDescent="0.25">
      <c r="A53" s="347">
        <f t="shared" si="53"/>
        <v>51</v>
      </c>
      <c r="B53" s="348" t="s">
        <v>2414</v>
      </c>
      <c r="C53" s="348">
        <v>8</v>
      </c>
      <c r="D53" s="347">
        <v>8</v>
      </c>
      <c r="E53" s="627" t="s">
        <v>6952</v>
      </c>
      <c r="F53" s="346"/>
      <c r="G53" s="347" t="str">
        <f>""</f>
        <v/>
      </c>
      <c r="H53" s="347" t="s">
        <v>5293</v>
      </c>
      <c r="I53" s="347" t="s">
        <v>5298</v>
      </c>
      <c r="J53" s="347" t="str">
        <f t="shared" si="3"/>
        <v/>
      </c>
      <c r="K53" s="347" t="s">
        <v>5278</v>
      </c>
      <c r="L53" s="611" t="str">
        <f t="shared" si="4"/>
        <v>V, S, M, 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v>
      </c>
      <c r="M53" s="347" t="s">
        <v>2373</v>
      </c>
      <c r="N53" s="347" t="s">
        <v>2387</v>
      </c>
      <c r="O53" s="347" t="s">
        <v>1244</v>
      </c>
      <c r="P53" s="346" t="s">
        <v>5321</v>
      </c>
      <c r="Q53" s="347" t="s">
        <v>5275</v>
      </c>
      <c r="S53" s="346" t="s">
        <v>5621</v>
      </c>
      <c r="T53" s="346" t="str">
        <f t="shared" si="5"/>
        <v xml:space="preserve">Wizard, </v>
      </c>
      <c r="AD53" s="347" t="str">
        <f>$B53</f>
        <v>Clone</v>
      </c>
      <c r="AE53" t="str">
        <f>IF(IFERROR(MATCH($B53,temp!A$4:A$13,0),0)&gt;0,T08_Spells!AE$2,"")</f>
        <v/>
      </c>
      <c r="AF53" t="str">
        <f>IF(IFERROR(MATCH($B53,temp!B$4:B$13,0),0)&gt;0,T08_Spells!AF$2,"")</f>
        <v/>
      </c>
      <c r="AG53" t="str">
        <f>IF(IFERROR(MATCH($B53,temp!C$4:C$13,0),0)&gt;0,T08_Spells!AG$2,"")</f>
        <v/>
      </c>
      <c r="AH53" t="str">
        <f>IF(IFERROR(MATCH($B53,temp!D$4:D$13,0),0)&gt;0,T08_Spells!AH$2,"")</f>
        <v/>
      </c>
      <c r="AI53" t="str">
        <f>IF(IFERROR(MATCH($B53,temp!E$4:E$13,0),0)&gt;0,T08_Spells!AI$2,"")</f>
        <v/>
      </c>
      <c r="AJ53" t="str">
        <f>IF(IFERROR(MATCH($B53,temp!F$4:F$13,0),0)&gt;0,T08_Spells!AJ$2,"")</f>
        <v/>
      </c>
      <c r="AK53" t="str">
        <f>IF(IFERROR(MATCH($B53,temp!G$4:G$13,0),0)&gt;0,T08_Spells!AK$2,"")</f>
        <v/>
      </c>
      <c r="AL53" t="str">
        <f>IF(IFERROR(MATCH($B53,temp!H$4:H$13,0),0)&gt;0,T08_Spells!AL$2,"")</f>
        <v/>
      </c>
      <c r="AM53" t="str">
        <f>IF(IFERROR(MATCH($B53,temp!I$4:I$13,0),0)&gt;0,T08_Spells!AM$2,"")</f>
        <v/>
      </c>
      <c r="AN53" t="str">
        <f>IF(IFERROR(MATCH($B53,temp!J$4:J$13,0),0)&gt;0,T08_Spells!AN$2,"")</f>
        <v/>
      </c>
      <c r="AO53" t="str">
        <f>IF(IFERROR(MATCH($B53,temp!K$4:K$13,0),0)&gt;0,T08_Spells!AO$2,"")</f>
        <v/>
      </c>
      <c r="AP53" t="str">
        <f>IF(IFERROR(MATCH($B53,temp!L$4:L$13,0),0)&gt;0,T08_Spells!AP$2,"")</f>
        <v/>
      </c>
      <c r="AQ53" t="str">
        <f>IF(IFERROR(MATCH($B53,temp!M$4:M$13,0),0)&gt;0,T08_Spells!AQ$2,"")</f>
        <v/>
      </c>
      <c r="AR53" t="str">
        <f>IF(IFERROR(MATCH($B53,temp!N$4:N$13,0),0)&gt;0,T08_Spells!AR$2,"")</f>
        <v/>
      </c>
      <c r="AS53" t="str">
        <f>IF(IFERROR(MATCH($B53,temp!O$4:O$13,0),0)&gt;0,T08_Spells!AS$2,"")</f>
        <v/>
      </c>
      <c r="AT53" t="str">
        <f>IF(IFERROR(MATCH($B53,temp!P$4:P$13,0),0)&gt;0,T08_Spells!AT$2,"")</f>
        <v/>
      </c>
      <c r="AU53" t="str">
        <f>IF(IFERROR(MATCH($B53,temp!Q$4:Q$13,0),0)&gt;0,T08_Spells!AU$2,"")</f>
        <v/>
      </c>
      <c r="AV53" t="str">
        <f>IF(IFERROR(MATCH($B53,temp!R$4:R$13,0),0)&gt;0,T08_Spells!AV$2,"")</f>
        <v/>
      </c>
      <c r="AW53" t="str">
        <f>IF(IFERROR(MATCH($B53,temp!S$4:S$13,0),0)&gt;0,T08_Spells!AW$2,"")</f>
        <v/>
      </c>
      <c r="AX53" t="str">
        <f>IF(IFERROR(MATCH($B53,temp!T$4:T$13,0),0)&gt;0,T08_Spells!AX$2,"")</f>
        <v/>
      </c>
      <c r="AY53" t="str">
        <f>IF(IFERROR(MATCH($B53,temp!U$4:U$13,0),0)&gt;0,T08_Spells!AY$2,"")</f>
        <v/>
      </c>
      <c r="AZ53" t="str">
        <f>IF(IFERROR(MATCH($B53,temp!V$4:V$13,0),0)&gt;0,T08_Spells!AZ$2,"")</f>
        <v/>
      </c>
      <c r="BA53" t="str">
        <f>IF(IFERROR(MATCH($B53,temp!W$4:W$13,0),0)&gt;0,T08_Spells!BA$2,"")</f>
        <v/>
      </c>
      <c r="BC53">
        <f>IF(IFERROR(SEARCH("Ranger",$T53,1),0)&gt;0,1,0)*IF(RangerMaxSpellLevel&gt;=$C53,1,0)*IF(IFERROR(MATCH(B53,Character_Creation!$X$79:$X$382,0),0)&gt;0,0,1)</f>
        <v>0</v>
      </c>
      <c r="BD53">
        <f>IF(BC53=0,0,1+COUNTIF(BD$3:BD52,"&gt;0"))</f>
        <v>0</v>
      </c>
      <c r="BE53" t="str">
        <f t="shared" si="34"/>
        <v/>
      </c>
      <c r="BF53" t="str">
        <f t="shared" si="6"/>
        <v/>
      </c>
      <c r="BH53">
        <f>IF(IFERROR(SEARCH("Sorcerer",$T53,1),0)&gt;0,1,0)*IF(SorcererMaxSpellLevel&gt;=$C53,1,0)*IF(IFERROR(MATCH(B53,Character_Creation!$J$380:$J$394,0),0)&gt;0,0,1)</f>
        <v>0</v>
      </c>
      <c r="BI53">
        <f>IF(BH53=0,0,1+COUNTIF(BI$3:BI52,"&gt;0"))</f>
        <v>0</v>
      </c>
      <c r="BJ53" t="str">
        <f t="shared" si="35"/>
        <v/>
      </c>
      <c r="BK53" t="str">
        <f t="shared" si="7"/>
        <v/>
      </c>
      <c r="BM53">
        <f>IF(OR(IFERROR(SEARCH("Warlock",$T53,1),0)&gt;0,IFERROR(SEARCH(WarlockPatron,$T53,1),0)&gt;0),1,0)*IF(WarlockMaxSpellLevel&gt;=$C53,1,0)*IF(IFERROR(MATCH(B53,Character_Creation!$J$361:$J$375,0),0)&gt;0,0,1)</f>
        <v>0</v>
      </c>
      <c r="BN53">
        <f>IF(BM53=0,0,1+COUNTIF(BN$3:BN52,"&gt;0"))</f>
        <v>0</v>
      </c>
      <c r="BO53" t="str">
        <f t="shared" si="36"/>
        <v/>
      </c>
      <c r="BP53" t="str">
        <f t="shared" si="8"/>
        <v/>
      </c>
      <c r="BR53">
        <f>IF(IFERROR(SEARCH("Eldritch Knight",$T53,1),0)&gt;0,1,0)*IF(EldritchKnightMaxSpellLevel&gt;=$C53,1,0)*IF(IFERROR(MATCH($B53,Character_Creation!$J$350:$J$356,0),0)&gt;0,0,1)*IF(Character_Creation!$M$338&gt;0,1,0)</f>
        <v>0</v>
      </c>
      <c r="BS53">
        <f>IF(BR53=0,0,1+COUNTIF(BS$3:BS52,"&gt;0"))</f>
        <v>0</v>
      </c>
      <c r="BT53" t="str">
        <f t="shared" si="37"/>
        <v/>
      </c>
      <c r="BU53" t="str">
        <f t="shared" si="9"/>
        <v/>
      </c>
      <c r="BW53">
        <f>IF(IFERROR(SEARCH("Arcane Trickster",$T53,1),0)&gt;0,1,0)*IF(ArcaneTricksterMaxSpellLevel&gt;=$C53,1,0)*IF(IFERROR(MATCH($B53,Character_Creation!$J$350:$J$356,0),0)&gt;0,0,1)*IF(Character_Creation!$T$338&gt;0,1,0)</f>
        <v>0</v>
      </c>
      <c r="BX53">
        <f>IF(BW53=0,0,1+COUNTIF(BX$3:BX52,"&gt;0"))</f>
        <v>0</v>
      </c>
      <c r="BY53" t="str">
        <f t="shared" si="38"/>
        <v/>
      </c>
      <c r="BZ53" t="str">
        <f t="shared" si="10"/>
        <v/>
      </c>
      <c r="CB53">
        <f>IF(IFERROR(SEARCH("Wizard",$T53,1),0)&gt;0,1,0)*IF(C53&lt;=ArcaneTricksterMaxSpellLevel,1,0)*IF(IFERROR(MATCH($B53,Character_Creation!$J$350:$J$356,0),0)&gt;0,0,1)*IF(Character_Creation!$T$350&gt;0,1,0)</f>
        <v>0</v>
      </c>
      <c r="CC53">
        <f>IF(CB53=0,0,1+COUNTIF(CC$3:CC52,"&gt;0"))</f>
        <v>0</v>
      </c>
      <c r="CD53" t="str">
        <f t="shared" si="39"/>
        <v/>
      </c>
      <c r="CE53" t="str">
        <f t="shared" si="11"/>
        <v/>
      </c>
      <c r="CG53">
        <f>IF(IFERROR(SEARCH("Wizard",$T53,1),0)&gt;0,1,0)*IF($C53&lt;=EldritchKnightMaxSpellLevel,1,0)*IF(IFERROR(MATCH($B53,Character_Creation!$J$350:$J$356,0),0)&gt;0,0,1)*IF(Character_Creation!$M$350&gt;0,1,0)</f>
        <v>0</v>
      </c>
      <c r="CH53">
        <f>IF(CG53=0,0,1+COUNTIF(CH$3:CH52,"&gt;0"))</f>
        <v>0</v>
      </c>
      <c r="CI53">
        <f t="shared" si="40"/>
        <v>51</v>
      </c>
      <c r="CJ53" t="str">
        <f t="shared" si="12"/>
        <v>See Invisibility</v>
      </c>
      <c r="CL53">
        <f>IF(IFERROR(SEARCH("Bard",$T53,1),0)&gt;0,1,0)*IF(BardMaxSpellLevel&gt;=$C53,1,0)*IF(IFERROR(MATCH(B53,Character_Creation!$C$341:$F$362,0),0)&gt;0,0,1)*IF(IFERROR(MATCH($B53,Character_Creation!$C$341:$C$362,0),0)&gt;0,0,1)</f>
        <v>0</v>
      </c>
      <c r="CM53">
        <f>IF(CL53=0,0,1+COUNTIF(CM$3:CM52,"&gt;0"))</f>
        <v>0</v>
      </c>
      <c r="CN53" t="str">
        <f t="shared" si="41"/>
        <v/>
      </c>
      <c r="CO53" t="str">
        <f t="shared" si="13"/>
        <v/>
      </c>
      <c r="CQ53">
        <f>IF(IFERROR(SEARCH("Wizard",$T53,1),0)&gt;0,1,0)*IF(WizardMaxSpellLevel&gt;=$C53,1,0)*IF(IFERROR(MATCH(B53,Character_Creation!$X$341:$X$400,0),0)&gt;0,0,1)*IF(SelectedWizardSpellLevel=$C53,1,0)</f>
        <v>0</v>
      </c>
      <c r="CR53">
        <f>IF(CQ53=0,0,1+COUNTIF(CR$3:CR52,"&gt;0"))</f>
        <v>0</v>
      </c>
      <c r="CS53" t="str">
        <f t="shared" si="42"/>
        <v/>
      </c>
      <c r="CT53" t="str">
        <f t="shared" si="14"/>
        <v/>
      </c>
      <c r="CV53">
        <f>IF(IFERROR(MATCH($B53,Character_Creation!$C$341:$C$362,0),0)&gt;0,0,1)*IF(OR(C53="Cantrip",C53&lt;=BardMaxSpellLevel),1,0)*IF(IFERROR(MATCH($B53,Character_Creation!$C$367:$C$374,0),0)&gt;0,0,1)</f>
        <v>0</v>
      </c>
      <c r="CW53">
        <f>IF(CV53=0,0,1+COUNTIF(CW$3:CW52,"&gt;0"))</f>
        <v>0</v>
      </c>
      <c r="CX53" t="str">
        <f t="shared" si="43"/>
        <v/>
      </c>
      <c r="CY53" t="str">
        <f t="shared" si="15"/>
        <v/>
      </c>
      <c r="DA53">
        <f>IF(IF(OR(IFERROR(SEARCH("Cleric",$T53,1),0)&gt;0,IFERROR(SEARCH(DivineDomain&amp;",",$T53,1),0)&gt;0),1,0)*IF($C53=DA$2,1,0)=1,1+COUNTIF(DA$3:DA52,"&gt;0"),0)</f>
        <v>0</v>
      </c>
      <c r="DB53">
        <f>IF(IF(OR(IFERROR(SEARCH("Cleric",$T53,1),0)&gt;0,IFERROR(SEARCH(DivineDomain&amp;",",$T53,1),0)&gt;0),1,0)*IF($C53=DB$2,1,0)=1,1+COUNTIF(DB$3:DB52,"&gt;0"),0)</f>
        <v>0</v>
      </c>
      <c r="DC53">
        <f>IF(IF(OR(IFERROR(SEARCH("Cleric",$T53,1),0)&gt;0,IFERROR(SEARCH(DivineDomain&amp;",",$T53,1),0)&gt;0),1,0)*IF($C53=DC$2,1,0)=1,1+COUNTIF(DC$3:DC52,"&gt;0"),0)</f>
        <v>0</v>
      </c>
      <c r="DD53">
        <f>IF(IF(OR(IFERROR(SEARCH("Cleric",$T53,1),0)&gt;0,IFERROR(SEARCH(DivineDomain&amp;",",$T53,1),0)&gt;0),1,0)*IF($C53=DD$2,1,0)=1,1+COUNTIF(DD$3:DD52,"&gt;0"),0)</f>
        <v>0</v>
      </c>
      <c r="DE53">
        <f>IF(IF(OR(IFERROR(SEARCH("Cleric",$T53,1),0)&gt;0,IFERROR(SEARCH(DivineDomain&amp;",",$T53,1),0)&gt;0),1,0)*IF($C53=DE$2,1,0)=1,1+COUNTIF(DE$3:DE52,"&gt;0"),0)</f>
        <v>0</v>
      </c>
      <c r="DF53">
        <f>IF(IF(OR(IFERROR(SEARCH("Cleric",$T53,1),0)&gt;0,IFERROR(SEARCH(DivineDomain&amp;",",$T53,1),0)&gt;0),1,0)*IF($C53=DF$2,1,0)=1,1+COUNTIF(DF$3:DF52,"&gt;0"),0)</f>
        <v>0</v>
      </c>
      <c r="DG53">
        <f>IF(IF(OR(IFERROR(SEARCH("Cleric",$T53,1),0)&gt;0,IFERROR(SEARCH(DivineDomain&amp;",",$T53,1),0)&gt;0),1,0)*IF($C53=DG$2,1,0)=1,1+COUNTIF(DG$3:DG52,"&gt;0"),0)</f>
        <v>0</v>
      </c>
      <c r="DH53">
        <f>IF(IF(OR(IFERROR(SEARCH("Cleric",$T53,1),0)&gt;0,IFERROR(SEARCH(DivineDomain&amp;",",$T53,1),0)&gt;0),1,0)*IF($C53=DH$2,1,0)=1,1+COUNTIF(DH$3:DH52,"&gt;0"),0)</f>
        <v>0</v>
      </c>
      <c r="DI53">
        <f>IF(IF(OR(IFERROR(SEARCH("Cleric",$T53,1),0)&gt;0,IFERROR(SEARCH(DivineDomain&amp;",",$T53,1),0)&gt;0),1,0)*IF($C53=DI$2,1,0)=1,1+COUNTIF(DI$3:DI52,"&gt;0"),0)</f>
        <v>0</v>
      </c>
      <c r="DJ53">
        <f>IF(IF(OR(IFERROR(SEARCH("Druid",$T53,1),0)&gt;0,IFERROR(SEARCH(DruidLand1,$T53,1),0)&gt;0,IFERROR(SEARCH(DruidLand2,$T53,1),0)&gt;0,IFERROR(SEARCH(DruidLand3,$T53,1),0)&gt;0,IFERROR(SEARCH(DruidLand4,$T53,1),0)&gt;0),1,0)*IF($C53=1,1,0)*IF($C53=DJ$2,1,0)=0,0,1+COUNTIF(DJ$3:DJ52,"&gt;0"))</f>
        <v>0</v>
      </c>
      <c r="DK53">
        <f>IF(IF(OR(IFERROR(SEARCH("Druid",$T53,1),0)&gt;0,IFERROR(SEARCH(DruidLand1,$T53,1),0)&gt;0,IFERROR(SEARCH(DruidLand2,$T53,1),0)&gt;0,IFERROR(SEARCH(DruidLand3,$T53,1),0)&gt;0,IFERROR(SEARCH(DruidLand4,$T53,1),0)&gt;0),1,0)*IF($C53=1,1,0)*IF($C53=DK$2,1,0)=0,0,1+COUNTIF(DK$3:DK52,"&gt;0"))</f>
        <v>0</v>
      </c>
      <c r="DL53">
        <f>IF(IF(OR(IFERROR(SEARCH("Druid",$T53,1),0)&gt;0,IFERROR(SEARCH(DruidLand1,$T53,1),0)&gt;0,IFERROR(SEARCH(DruidLand2,$T53,1),0)&gt;0,IFERROR(SEARCH(DruidLand3,$T53,1),0)&gt;0,IFERROR(SEARCH(DruidLand4,$T53,1),0)&gt;0),1,0)*IF($C53=1,1,0)*IF($C53=DL$2,1,0)=0,0,1+COUNTIF(DL$3:DL52,"&gt;0"))</f>
        <v>0</v>
      </c>
      <c r="DM53">
        <f>IF(IF(OR(IFERROR(SEARCH("Druid",$T53,1),0)&gt;0,IFERROR(SEARCH(DruidLand1,$T53,1),0)&gt;0,IFERROR(SEARCH(DruidLand2,$T53,1),0)&gt;0,IFERROR(SEARCH(DruidLand3,$T53,1),0)&gt;0,IFERROR(SEARCH(DruidLand4,$T53,1),0)&gt;0),1,0)*IF($C53=1,1,0)*IF($C53=DM$2,1,0)=0,0,1+COUNTIF(DM$3:DM52,"&gt;0"))</f>
        <v>0</v>
      </c>
      <c r="DN53">
        <f>IF(IF(OR(IFERROR(SEARCH("Druid",$T53,1),0)&gt;0,IFERROR(SEARCH(DruidLand1,$T53,1),0)&gt;0,IFERROR(SEARCH(DruidLand2,$T53,1),0)&gt;0,IFERROR(SEARCH(DruidLand3,$T53,1),0)&gt;0,IFERROR(SEARCH(DruidLand4,$T53,1),0)&gt;0),1,0)*IF($C53=1,1,0)*IF($C53=DN$2,1,0)=0,0,1+COUNTIF(DN$3:DN52,"&gt;0"))</f>
        <v>0</v>
      </c>
      <c r="DO53">
        <f>IF(IF(OR(IFERROR(SEARCH("Druid",$T53,1),0)&gt;0,IFERROR(SEARCH(DruidLand1,$T53,1),0)&gt;0,IFERROR(SEARCH(DruidLand2,$T53,1),0)&gt;0,IFERROR(SEARCH(DruidLand3,$T53,1),0)&gt;0,IFERROR(SEARCH(DruidLand4,$T53,1),0)&gt;0),1,0)*IF($C53=1,1,0)*IF($C53=DO$2,1,0)=0,0,1+COUNTIF(DO$3:DO52,"&gt;0"))</f>
        <v>0</v>
      </c>
      <c r="DP53">
        <f>IF(IF(OR(IFERROR(SEARCH("Druid",$T53,1),0)&gt;0,IFERROR(SEARCH(DruidLand1,$T53,1),0)&gt;0,IFERROR(SEARCH(DruidLand2,$T53,1),0)&gt;0,IFERROR(SEARCH(DruidLand3,$T53,1),0)&gt;0,IFERROR(SEARCH(DruidLand4,$T53,1),0)&gt;0),1,0)*IF($C53=1,1,0)*IF($C53=DP$2,1,0)=0,0,1+COUNTIF(DP$3:DP52,"&gt;0"))</f>
        <v>0</v>
      </c>
      <c r="DQ53">
        <f>IF(IF(OR(IFERROR(SEARCH("Druid",$T53,1),0)&gt;0,IFERROR(SEARCH(DruidLand1,$T53,1),0)&gt;0,IFERROR(SEARCH(DruidLand2,$T53,1),0)&gt;0,IFERROR(SEARCH(DruidLand3,$T53,1),0)&gt;0,IFERROR(SEARCH(DruidLand4,$T53,1),0)&gt;0),1,0)*IF($C53=1,1,0)*IF($C53=DQ$2,1,0)=0,0,1+COUNTIF(DQ$3:DQ52,"&gt;0"))</f>
        <v>0</v>
      </c>
      <c r="DR53">
        <f>IF(IF(OR(IFERROR(SEARCH("Druid",$T53,1),0)&gt;0,IFERROR(SEARCH(DruidLand1,$T53,1),0)&gt;0,IFERROR(SEARCH(DruidLand2,$T53,1),0)&gt;0,IFERROR(SEARCH(DruidLand3,$T53,1),0)&gt;0,IFERROR(SEARCH(DruidLand4,$T53,1),0)&gt;0),1,0)*IF($C53=1,1,0)*IF($C53=DR$2,1,0)=0,0,1+COUNTIF(DR$3:DR52,"&gt;0"))</f>
        <v>0</v>
      </c>
      <c r="DS53">
        <f>IF(IF(OR(IFERROR(SEARCH("Paladin",$T53,1),0)&gt;0,IFERROR(SEARCH(PaladinOath,$T53,1),0)&gt;0),1,0)*IF($C53=DS$2,1,0)=1,1+COUNTIF(DS$3:DS52,"&gt;0"),0)</f>
        <v>0</v>
      </c>
      <c r="DT53">
        <f>IF(IF(OR(IFERROR(SEARCH("Paladin",$T53,1),0)&gt;0,IFERROR(SEARCH(PaladinOath,$T53,1),0)&gt;0),1,0)*IF($C53=DT$2,1,0)=1,1+COUNTIF(DT$3:DT52,"&gt;0"),0)</f>
        <v>0</v>
      </c>
      <c r="DU53">
        <f>IF(IF(OR(IFERROR(SEARCH("Paladin",$T53,1),0)&gt;0,IFERROR(SEARCH(PaladinOath,$T53,1),0)&gt;0),1,0)*IF($C53=DU$2,1,0)=1,1+COUNTIF(DU$3:DU52,"&gt;0"),0)</f>
        <v>0</v>
      </c>
      <c r="DV53">
        <f>IF(IF(OR(IFERROR(SEARCH("Paladin",$T53,1),0)&gt;0,IFERROR(SEARCH(PaladinOath,$T53,1),0)&gt;0),1,0)*IF($C53=DV$2,1,0)=1,1+COUNTIF(DV$3:DV52,"&gt;0"),0)</f>
        <v>0</v>
      </c>
      <c r="DW53">
        <f>IF(IF(OR(IFERROR(SEARCH("Paladin",$T53,1),0)&gt;0,IFERROR(SEARCH(PaladinOath,$T53,1),0)&gt;0),1,0)*IF($C53=DW$2,1,0)=1,1+COUNTIF(DW$3:DW52,"&gt;0"),0)</f>
        <v>0</v>
      </c>
      <c r="DY53">
        <f t="shared" si="2"/>
        <v>1</v>
      </c>
      <c r="DZ53">
        <f>IF(DY53=0,0,1+MAX(DZ$3:$DZ52))</f>
        <v>51</v>
      </c>
      <c r="EB53">
        <f t="shared" si="16"/>
        <v>0</v>
      </c>
      <c r="EC53">
        <f>IF(EB53=0,0,1+COUNTIF(EC$3:EC52,"&gt;0"))</f>
        <v>0</v>
      </c>
      <c r="ED53" t="str">
        <f t="shared" si="44"/>
        <v/>
      </c>
      <c r="EE53" t="str">
        <f t="shared" si="17"/>
        <v/>
      </c>
      <c r="EG53">
        <f t="shared" si="18"/>
        <v>0</v>
      </c>
      <c r="EH53">
        <f>IF(EG53=0,0,1+COUNTIF(EH$3:EH52,"&gt;0"))</f>
        <v>0</v>
      </c>
      <c r="EI53" t="str">
        <f t="shared" si="45"/>
        <v/>
      </c>
      <c r="EJ53" t="str">
        <f t="shared" si="19"/>
        <v/>
      </c>
      <c r="EL53">
        <f t="shared" si="20"/>
        <v>0</v>
      </c>
      <c r="EM53">
        <f>IF(EL53=0,0,1+COUNTIF(EM$3:EM52,"&gt;0"))</f>
        <v>0</v>
      </c>
      <c r="EN53" t="str">
        <f t="shared" si="46"/>
        <v/>
      </c>
      <c r="EO53" t="str">
        <f t="shared" si="21"/>
        <v/>
      </c>
      <c r="EQ53">
        <f t="shared" si="22"/>
        <v>0</v>
      </c>
      <c r="ER53">
        <f>IF(EQ53=0,0,1+COUNTIF(ER$3:ER52,"&gt;0"))</f>
        <v>0</v>
      </c>
      <c r="ES53" t="str">
        <f t="shared" si="47"/>
        <v/>
      </c>
      <c r="ET53" t="str">
        <f t="shared" si="23"/>
        <v/>
      </c>
      <c r="EV53">
        <f t="shared" si="24"/>
        <v>0</v>
      </c>
      <c r="EW53">
        <f>IF(EV53=0,0,1+COUNTIF(EW$3:EW52,"&gt;0"))</f>
        <v>0</v>
      </c>
      <c r="EX53" t="str">
        <f t="shared" si="48"/>
        <v/>
      </c>
      <c r="EY53" t="str">
        <f t="shared" si="25"/>
        <v/>
      </c>
      <c r="FA53">
        <f t="shared" si="26"/>
        <v>0</v>
      </c>
      <c r="FB53">
        <f>IF(FA53=0,0,1+COUNTIF(FB$3:FB52,"&gt;0"))</f>
        <v>0</v>
      </c>
      <c r="FC53" t="str">
        <f t="shared" si="49"/>
        <v/>
      </c>
      <c r="FD53" t="str">
        <f t="shared" si="27"/>
        <v/>
      </c>
      <c r="FF53">
        <f t="shared" si="28"/>
        <v>0</v>
      </c>
      <c r="FG53">
        <f>IF(FF53=0,0,1+COUNTIF(FG$3:FG52,"&gt;0"))</f>
        <v>0</v>
      </c>
      <c r="FH53" t="str">
        <f t="shared" si="50"/>
        <v/>
      </c>
      <c r="FI53" t="str">
        <f t="shared" si="29"/>
        <v/>
      </c>
      <c r="FK53">
        <f t="shared" si="30"/>
        <v>0</v>
      </c>
      <c r="FL53">
        <f>IF(FK53=0,0,1+COUNTIF(FL$3:FL52,"&gt;0"))</f>
        <v>0</v>
      </c>
      <c r="FM53" t="str">
        <f t="shared" si="51"/>
        <v/>
      </c>
      <c r="FN53" t="str">
        <f t="shared" si="31"/>
        <v/>
      </c>
      <c r="FP53">
        <f t="shared" si="32"/>
        <v>0</v>
      </c>
      <c r="FQ53">
        <f>IF(FP53=0,0,1+COUNTIF(FQ$3:FQ52,"&gt;0"))</f>
        <v>0</v>
      </c>
      <c r="FR53" t="str">
        <f t="shared" si="52"/>
        <v/>
      </c>
      <c r="FS53" t="str">
        <f t="shared" si="33"/>
        <v/>
      </c>
    </row>
    <row r="54" spans="1:175" x14ac:dyDescent="0.25">
      <c r="A54" s="347">
        <f t="shared" si="53"/>
        <v>52</v>
      </c>
      <c r="B54" s="348" t="s">
        <v>2415</v>
      </c>
      <c r="C54" s="348">
        <v>2</v>
      </c>
      <c r="D54" s="347">
        <v>2</v>
      </c>
      <c r="E54" s="627" t="s">
        <v>6952</v>
      </c>
      <c r="F54" s="346"/>
      <c r="G54" s="347" t="str">
        <f>""</f>
        <v/>
      </c>
      <c r="H54" s="347" t="s">
        <v>5912</v>
      </c>
      <c r="I54" s="347" t="s">
        <v>424</v>
      </c>
      <c r="J54" s="347" t="str">
        <f t="shared" si="3"/>
        <v/>
      </c>
      <c r="K54" s="347" t="s">
        <v>5291</v>
      </c>
      <c r="L54" s="611" t="str">
        <f t="shared" si="4"/>
        <v>V, S, M, a sliver of glass</v>
      </c>
      <c r="M54" s="347" t="s">
        <v>2373</v>
      </c>
      <c r="N54" s="347" t="s">
        <v>2387</v>
      </c>
      <c r="O54" s="347" t="s">
        <v>1244</v>
      </c>
      <c r="P54" s="346" t="s">
        <v>5322</v>
      </c>
      <c r="Q54" s="347" t="s">
        <v>5271</v>
      </c>
      <c r="S54" s="346" t="s">
        <v>5622</v>
      </c>
      <c r="T54" s="346" t="str">
        <f t="shared" si="5"/>
        <v xml:space="preserve">Bard, Sorcerer, Warlock, Wizard, </v>
      </c>
      <c r="U54" s="347" t="str">
        <f>$B54</f>
        <v>Cloud of Daggers</v>
      </c>
      <c r="X54" s="347" t="str">
        <f>$B54</f>
        <v>Cloud of Daggers</v>
      </c>
      <c r="Y54" s="347" t="str">
        <f>$B54</f>
        <v>Cloud of Daggers</v>
      </c>
      <c r="AD54" s="347" t="str">
        <f>$B54</f>
        <v>Cloud of Daggers</v>
      </c>
      <c r="AE54" t="str">
        <f>IF(IFERROR(MATCH($B54,temp!A$4:A$13,0),0)&gt;0,T08_Spells!AE$2,"")</f>
        <v/>
      </c>
      <c r="AF54" t="str">
        <f>IF(IFERROR(MATCH($B54,temp!B$4:B$13,0),0)&gt;0,T08_Spells!AF$2,"")</f>
        <v/>
      </c>
      <c r="AG54" t="str">
        <f>IF(IFERROR(MATCH($B54,temp!C$4:C$13,0),0)&gt;0,T08_Spells!AG$2,"")</f>
        <v/>
      </c>
      <c r="AH54" t="str">
        <f>IF(IFERROR(MATCH($B54,temp!D$4:D$13,0),0)&gt;0,T08_Spells!AH$2,"")</f>
        <v/>
      </c>
      <c r="AI54" t="str">
        <f>IF(IFERROR(MATCH($B54,temp!E$4:E$13,0),0)&gt;0,T08_Spells!AI$2,"")</f>
        <v/>
      </c>
      <c r="AJ54" t="str">
        <f>IF(IFERROR(MATCH($B54,temp!F$4:F$13,0),0)&gt;0,T08_Spells!AJ$2,"")</f>
        <v/>
      </c>
      <c r="AK54" t="str">
        <f>IF(IFERROR(MATCH($B54,temp!G$4:G$13,0),0)&gt;0,T08_Spells!AK$2,"")</f>
        <v/>
      </c>
      <c r="AL54" t="str">
        <f>IF(IFERROR(MATCH($B54,temp!H$4:H$13,0),0)&gt;0,T08_Spells!AL$2,"")</f>
        <v/>
      </c>
      <c r="AM54" t="str">
        <f>IF(IFERROR(MATCH($B54,temp!I$4:I$13,0),0)&gt;0,T08_Spells!AM$2,"")</f>
        <v/>
      </c>
      <c r="AN54" t="str">
        <f>IF(IFERROR(MATCH($B54,temp!J$4:J$13,0),0)&gt;0,T08_Spells!AN$2,"")</f>
        <v/>
      </c>
      <c r="AO54" t="str">
        <f>IF(IFERROR(MATCH($B54,temp!K$4:K$13,0),0)&gt;0,T08_Spells!AO$2,"")</f>
        <v/>
      </c>
      <c r="AP54" t="str">
        <f>IF(IFERROR(MATCH($B54,temp!L$4:L$13,0),0)&gt;0,T08_Spells!AP$2,"")</f>
        <v/>
      </c>
      <c r="AQ54" t="str">
        <f>IF(IFERROR(MATCH($B54,temp!M$4:M$13,0),0)&gt;0,T08_Spells!AQ$2,"")</f>
        <v/>
      </c>
      <c r="AR54" t="str">
        <f>IF(IFERROR(MATCH($B54,temp!N$4:N$13,0),0)&gt;0,T08_Spells!AR$2,"")</f>
        <v/>
      </c>
      <c r="AS54" t="str">
        <f>IF(IFERROR(MATCH($B54,temp!O$4:O$13,0),0)&gt;0,T08_Spells!AS$2,"")</f>
        <v/>
      </c>
      <c r="AT54" t="str">
        <f>IF(IFERROR(MATCH($B54,temp!P$4:P$13,0),0)&gt;0,T08_Spells!AT$2,"")</f>
        <v/>
      </c>
      <c r="AU54" t="str">
        <f>IF(IFERROR(MATCH($B54,temp!Q$4:Q$13,0),0)&gt;0,T08_Spells!AU$2,"")</f>
        <v/>
      </c>
      <c r="AV54" t="str">
        <f>IF(IFERROR(MATCH($B54,temp!R$4:R$13,0),0)&gt;0,T08_Spells!AV$2,"")</f>
        <v/>
      </c>
      <c r="AW54" t="str">
        <f>IF(IFERROR(MATCH($B54,temp!S$4:S$13,0),0)&gt;0,T08_Spells!AW$2,"")</f>
        <v/>
      </c>
      <c r="AX54" t="str">
        <f>IF(IFERROR(MATCH($B54,temp!T$4:T$13,0),0)&gt;0,T08_Spells!AX$2,"")</f>
        <v/>
      </c>
      <c r="AY54" t="str">
        <f>IF(IFERROR(MATCH($B54,temp!U$4:U$13,0),0)&gt;0,T08_Spells!AY$2,"")</f>
        <v/>
      </c>
      <c r="AZ54" t="str">
        <f>IF(IFERROR(MATCH($B54,temp!V$4:V$13,0),0)&gt;0,T08_Spells!AZ$2,"")</f>
        <v/>
      </c>
      <c r="BA54" t="str">
        <f>IF(IFERROR(MATCH($B54,temp!W$4:W$13,0),0)&gt;0,T08_Spells!BA$2,"")</f>
        <v/>
      </c>
      <c r="BC54">
        <f>IF(IFERROR(SEARCH("Ranger",$T54,1),0)&gt;0,1,0)*IF(RangerMaxSpellLevel&gt;=$C54,1,0)*IF(IFERROR(MATCH(B54,Character_Creation!$X$79:$X$382,0),0)&gt;0,0,1)</f>
        <v>0</v>
      </c>
      <c r="BD54">
        <f>IF(BC54=0,0,1+COUNTIF(BD$3:BD53,"&gt;0"))</f>
        <v>0</v>
      </c>
      <c r="BE54" t="str">
        <f t="shared" si="34"/>
        <v/>
      </c>
      <c r="BF54" t="str">
        <f t="shared" si="6"/>
        <v/>
      </c>
      <c r="BH54">
        <f>IF(IFERROR(SEARCH("Sorcerer",$T54,1),0)&gt;0,1,0)*IF(SorcererMaxSpellLevel&gt;=$C54,1,0)*IF(IFERROR(MATCH(B54,Character_Creation!$J$380:$J$394,0),0)&gt;0,0,1)</f>
        <v>0</v>
      </c>
      <c r="BI54">
        <f>IF(BH54=0,0,1+COUNTIF(BI$3:BI53,"&gt;0"))</f>
        <v>0</v>
      </c>
      <c r="BJ54" t="str">
        <f t="shared" si="35"/>
        <v/>
      </c>
      <c r="BK54" t="str">
        <f t="shared" si="7"/>
        <v/>
      </c>
      <c r="BM54">
        <f>IF(OR(IFERROR(SEARCH("Warlock",$T54,1),0)&gt;0,IFERROR(SEARCH(WarlockPatron,$T54,1),0)&gt;0),1,0)*IF(WarlockMaxSpellLevel&gt;=$C54,1,0)*IF(IFERROR(MATCH(B54,Character_Creation!$J$361:$J$375,0),0)&gt;0,0,1)</f>
        <v>0</v>
      </c>
      <c r="BN54">
        <f>IF(BM54=0,0,1+COUNTIF(BN$3:BN53,"&gt;0"))</f>
        <v>0</v>
      </c>
      <c r="BO54" t="str">
        <f t="shared" si="36"/>
        <v/>
      </c>
      <c r="BP54" t="str">
        <f t="shared" si="8"/>
        <v/>
      </c>
      <c r="BR54">
        <f>IF(IFERROR(SEARCH("Eldritch Knight",$T54,1),0)&gt;0,1,0)*IF(EldritchKnightMaxSpellLevel&gt;=$C54,1,0)*IF(IFERROR(MATCH($B54,Character_Creation!$J$350:$J$356,0),0)&gt;0,0,1)*IF(Character_Creation!$M$338&gt;0,1,0)</f>
        <v>0</v>
      </c>
      <c r="BS54">
        <f>IF(BR54=0,0,1+COUNTIF(BS$3:BS53,"&gt;0"))</f>
        <v>0</v>
      </c>
      <c r="BT54" t="str">
        <f t="shared" si="37"/>
        <v/>
      </c>
      <c r="BU54" t="str">
        <f t="shared" si="9"/>
        <v/>
      </c>
      <c r="BW54">
        <f>IF(IFERROR(SEARCH("Arcane Trickster",$T54,1),0)&gt;0,1,0)*IF(ArcaneTricksterMaxSpellLevel&gt;=$C54,1,0)*IF(IFERROR(MATCH($B54,Character_Creation!$J$350:$J$356,0),0)&gt;0,0,1)*IF(Character_Creation!$T$338&gt;0,1,0)</f>
        <v>0</v>
      </c>
      <c r="BX54">
        <f>IF(BW54=0,0,1+COUNTIF(BX$3:BX53,"&gt;0"))</f>
        <v>0</v>
      </c>
      <c r="BY54" t="str">
        <f t="shared" si="38"/>
        <v/>
      </c>
      <c r="BZ54" t="str">
        <f t="shared" si="10"/>
        <v/>
      </c>
      <c r="CB54">
        <f>IF(IFERROR(SEARCH("Wizard",$T54,1),0)&gt;0,1,0)*IF(C54&lt;=ArcaneTricksterMaxSpellLevel,1,0)*IF(IFERROR(MATCH($B54,Character_Creation!$J$350:$J$356,0),0)&gt;0,0,1)*IF(Character_Creation!$T$350&gt;0,1,0)</f>
        <v>0</v>
      </c>
      <c r="CC54">
        <f>IF(CB54=0,0,1+COUNTIF(CC$3:CC53,"&gt;0"))</f>
        <v>0</v>
      </c>
      <c r="CD54" t="str">
        <f t="shared" si="39"/>
        <v/>
      </c>
      <c r="CE54" t="str">
        <f t="shared" si="11"/>
        <v/>
      </c>
      <c r="CG54">
        <f>IF(IFERROR(SEARCH("Wizard",$T54,1),0)&gt;0,1,0)*IF($C54&lt;=EldritchKnightMaxSpellLevel,1,0)*IF(IFERROR(MATCH($B54,Character_Creation!$J$350:$J$356,0),0)&gt;0,0,1)*IF(Character_Creation!$M$350&gt;0,1,0)</f>
        <v>1</v>
      </c>
      <c r="CH54">
        <f>IF(CG54=0,0,1+COUNTIF(CH$3:CH53,"&gt;0"))</f>
        <v>9</v>
      </c>
      <c r="CI54">
        <f t="shared" si="40"/>
        <v>52</v>
      </c>
      <c r="CJ54" t="str">
        <f t="shared" si="12"/>
        <v>Shatter</v>
      </c>
      <c r="CL54">
        <f>IF(IFERROR(SEARCH("Bard",$T54,1),0)&gt;0,1,0)*IF(BardMaxSpellLevel&gt;=$C54,1,0)*IF(IFERROR(MATCH(B54,Character_Creation!$C$341:$F$362,0),0)&gt;0,0,1)*IF(IFERROR(MATCH($B54,Character_Creation!$C$341:$C$362,0),0)&gt;0,0,1)</f>
        <v>0</v>
      </c>
      <c r="CM54">
        <f>IF(CL54=0,0,1+COUNTIF(CM$3:CM53,"&gt;0"))</f>
        <v>0</v>
      </c>
      <c r="CN54" t="str">
        <f t="shared" si="41"/>
        <v/>
      </c>
      <c r="CO54" t="str">
        <f t="shared" si="13"/>
        <v/>
      </c>
      <c r="CQ54">
        <f>IF(IFERROR(SEARCH("Wizard",$T54,1),0)&gt;0,1,0)*IF(WizardMaxSpellLevel&gt;=$C54,1,0)*IF(IFERROR(MATCH(B54,Character_Creation!$X$341:$X$400,0),0)&gt;0,0,1)*IF(SelectedWizardSpellLevel=$C54,1,0)</f>
        <v>0</v>
      </c>
      <c r="CR54">
        <f>IF(CQ54=0,0,1+COUNTIF(CR$3:CR53,"&gt;0"))</f>
        <v>0</v>
      </c>
      <c r="CS54" t="str">
        <f t="shared" si="42"/>
        <v/>
      </c>
      <c r="CT54" t="str">
        <f t="shared" si="14"/>
        <v/>
      </c>
      <c r="CV54">
        <f>IF(IFERROR(MATCH($B54,Character_Creation!$C$341:$C$362,0),0)&gt;0,0,1)*IF(OR(C54="Cantrip",C54&lt;=BardMaxSpellLevel),1,0)*IF(IFERROR(MATCH($B54,Character_Creation!$C$367:$C$374,0),0)&gt;0,0,1)</f>
        <v>0</v>
      </c>
      <c r="CW54">
        <f>IF(CV54=0,0,1+COUNTIF(CW$3:CW53,"&gt;0"))</f>
        <v>0</v>
      </c>
      <c r="CX54" t="str">
        <f t="shared" si="43"/>
        <v/>
      </c>
      <c r="CY54" t="str">
        <f t="shared" si="15"/>
        <v/>
      </c>
      <c r="DA54">
        <f>IF(IF(OR(IFERROR(SEARCH("Cleric",$T54,1),0)&gt;0,IFERROR(SEARCH(DivineDomain&amp;",",$T54,1),0)&gt;0),1,0)*IF($C54=DA$2,1,0)=1,1+COUNTIF(DA$3:DA53,"&gt;0"),0)</f>
        <v>0</v>
      </c>
      <c r="DB54">
        <f>IF(IF(OR(IFERROR(SEARCH("Cleric",$T54,1),0)&gt;0,IFERROR(SEARCH(DivineDomain&amp;",",$T54,1),0)&gt;0),1,0)*IF($C54=DB$2,1,0)=1,1+COUNTIF(DB$3:DB53,"&gt;0"),0)</f>
        <v>0</v>
      </c>
      <c r="DC54">
        <f>IF(IF(OR(IFERROR(SEARCH("Cleric",$T54,1),0)&gt;0,IFERROR(SEARCH(DivineDomain&amp;",",$T54,1),0)&gt;0),1,0)*IF($C54=DC$2,1,0)=1,1+COUNTIF(DC$3:DC53,"&gt;0"),0)</f>
        <v>0</v>
      </c>
      <c r="DD54">
        <f>IF(IF(OR(IFERROR(SEARCH("Cleric",$T54,1),0)&gt;0,IFERROR(SEARCH(DivineDomain&amp;",",$T54,1),0)&gt;0),1,0)*IF($C54=DD$2,1,0)=1,1+COUNTIF(DD$3:DD53,"&gt;0"),0)</f>
        <v>0</v>
      </c>
      <c r="DE54">
        <f>IF(IF(OR(IFERROR(SEARCH("Cleric",$T54,1),0)&gt;0,IFERROR(SEARCH(DivineDomain&amp;",",$T54,1),0)&gt;0),1,0)*IF($C54=DE$2,1,0)=1,1+COUNTIF(DE$3:DE53,"&gt;0"),0)</f>
        <v>0</v>
      </c>
      <c r="DF54">
        <f>IF(IF(OR(IFERROR(SEARCH("Cleric",$T54,1),0)&gt;0,IFERROR(SEARCH(DivineDomain&amp;",",$T54,1),0)&gt;0),1,0)*IF($C54=DF$2,1,0)=1,1+COUNTIF(DF$3:DF53,"&gt;0"),0)</f>
        <v>0</v>
      </c>
      <c r="DG54">
        <f>IF(IF(OR(IFERROR(SEARCH("Cleric",$T54,1),0)&gt;0,IFERROR(SEARCH(DivineDomain&amp;",",$T54,1),0)&gt;0),1,0)*IF($C54=DG$2,1,0)=1,1+COUNTIF(DG$3:DG53,"&gt;0"),0)</f>
        <v>0</v>
      </c>
      <c r="DH54">
        <f>IF(IF(OR(IFERROR(SEARCH("Cleric",$T54,1),0)&gt;0,IFERROR(SEARCH(DivineDomain&amp;",",$T54,1),0)&gt;0),1,0)*IF($C54=DH$2,1,0)=1,1+COUNTIF(DH$3:DH53,"&gt;0"),0)</f>
        <v>0</v>
      </c>
      <c r="DI54">
        <f>IF(IF(OR(IFERROR(SEARCH("Cleric",$T54,1),0)&gt;0,IFERROR(SEARCH(DivineDomain&amp;",",$T54,1),0)&gt;0),1,0)*IF($C54=DI$2,1,0)=1,1+COUNTIF(DI$3:DI53,"&gt;0"),0)</f>
        <v>0</v>
      </c>
      <c r="DJ54">
        <f>IF(IF(OR(IFERROR(SEARCH("Druid",$T54,1),0)&gt;0,IFERROR(SEARCH(DruidLand1,$T54,1),0)&gt;0,IFERROR(SEARCH(DruidLand2,$T54,1),0)&gt;0,IFERROR(SEARCH(DruidLand3,$T54,1),0)&gt;0,IFERROR(SEARCH(DruidLand4,$T54,1),0)&gt;0),1,0)*IF($C54=1,1,0)*IF($C54=DJ$2,1,0)=0,0,1+COUNTIF(DJ$3:DJ53,"&gt;0"))</f>
        <v>0</v>
      </c>
      <c r="DK54">
        <f>IF(IF(OR(IFERROR(SEARCH("Druid",$T54,1),0)&gt;0,IFERROR(SEARCH(DruidLand1,$T54,1),0)&gt;0,IFERROR(SEARCH(DruidLand2,$T54,1),0)&gt;0,IFERROR(SEARCH(DruidLand3,$T54,1),0)&gt;0,IFERROR(SEARCH(DruidLand4,$T54,1),0)&gt;0),1,0)*IF($C54=1,1,0)*IF($C54=DK$2,1,0)=0,0,1+COUNTIF(DK$3:DK53,"&gt;0"))</f>
        <v>0</v>
      </c>
      <c r="DL54">
        <f>IF(IF(OR(IFERROR(SEARCH("Druid",$T54,1),0)&gt;0,IFERROR(SEARCH(DruidLand1,$T54,1),0)&gt;0,IFERROR(SEARCH(DruidLand2,$T54,1),0)&gt;0,IFERROR(SEARCH(DruidLand3,$T54,1),0)&gt;0,IFERROR(SEARCH(DruidLand4,$T54,1),0)&gt;0),1,0)*IF($C54=1,1,0)*IF($C54=DL$2,1,0)=0,0,1+COUNTIF(DL$3:DL53,"&gt;0"))</f>
        <v>0</v>
      </c>
      <c r="DM54">
        <f>IF(IF(OR(IFERROR(SEARCH("Druid",$T54,1),0)&gt;0,IFERROR(SEARCH(DruidLand1,$T54,1),0)&gt;0,IFERROR(SEARCH(DruidLand2,$T54,1),0)&gt;0,IFERROR(SEARCH(DruidLand3,$T54,1),0)&gt;0,IFERROR(SEARCH(DruidLand4,$T54,1),0)&gt;0),1,0)*IF($C54=1,1,0)*IF($C54=DM$2,1,0)=0,0,1+COUNTIF(DM$3:DM53,"&gt;0"))</f>
        <v>0</v>
      </c>
      <c r="DN54">
        <f>IF(IF(OR(IFERROR(SEARCH("Druid",$T54,1),0)&gt;0,IFERROR(SEARCH(DruidLand1,$T54,1),0)&gt;0,IFERROR(SEARCH(DruidLand2,$T54,1),0)&gt;0,IFERROR(SEARCH(DruidLand3,$T54,1),0)&gt;0,IFERROR(SEARCH(DruidLand4,$T54,1),0)&gt;0),1,0)*IF($C54=1,1,0)*IF($C54=DN$2,1,0)=0,0,1+COUNTIF(DN$3:DN53,"&gt;0"))</f>
        <v>0</v>
      </c>
      <c r="DO54">
        <f>IF(IF(OR(IFERROR(SEARCH("Druid",$T54,1),0)&gt;0,IFERROR(SEARCH(DruidLand1,$T54,1),0)&gt;0,IFERROR(SEARCH(DruidLand2,$T54,1),0)&gt;0,IFERROR(SEARCH(DruidLand3,$T54,1),0)&gt;0,IFERROR(SEARCH(DruidLand4,$T54,1),0)&gt;0),1,0)*IF($C54=1,1,0)*IF($C54=DO$2,1,0)=0,0,1+COUNTIF(DO$3:DO53,"&gt;0"))</f>
        <v>0</v>
      </c>
      <c r="DP54">
        <f>IF(IF(OR(IFERROR(SEARCH("Druid",$T54,1),0)&gt;0,IFERROR(SEARCH(DruidLand1,$T54,1),0)&gt;0,IFERROR(SEARCH(DruidLand2,$T54,1),0)&gt;0,IFERROR(SEARCH(DruidLand3,$T54,1),0)&gt;0,IFERROR(SEARCH(DruidLand4,$T54,1),0)&gt;0),1,0)*IF($C54=1,1,0)*IF($C54=DP$2,1,0)=0,0,1+COUNTIF(DP$3:DP53,"&gt;0"))</f>
        <v>0</v>
      </c>
      <c r="DQ54">
        <f>IF(IF(OR(IFERROR(SEARCH("Druid",$T54,1),0)&gt;0,IFERROR(SEARCH(DruidLand1,$T54,1),0)&gt;0,IFERROR(SEARCH(DruidLand2,$T54,1),0)&gt;0,IFERROR(SEARCH(DruidLand3,$T54,1),0)&gt;0,IFERROR(SEARCH(DruidLand4,$T54,1),0)&gt;0),1,0)*IF($C54=1,1,0)*IF($C54=DQ$2,1,0)=0,0,1+COUNTIF(DQ$3:DQ53,"&gt;0"))</f>
        <v>0</v>
      </c>
      <c r="DR54">
        <f>IF(IF(OR(IFERROR(SEARCH("Druid",$T54,1),0)&gt;0,IFERROR(SEARCH(DruidLand1,$T54,1),0)&gt;0,IFERROR(SEARCH(DruidLand2,$T54,1),0)&gt;0,IFERROR(SEARCH(DruidLand3,$T54,1),0)&gt;0,IFERROR(SEARCH(DruidLand4,$T54,1),0)&gt;0),1,0)*IF($C54=1,1,0)*IF($C54=DR$2,1,0)=0,0,1+COUNTIF(DR$3:DR53,"&gt;0"))</f>
        <v>0</v>
      </c>
      <c r="DS54">
        <f>IF(IF(OR(IFERROR(SEARCH("Paladin",$T54,1),0)&gt;0,IFERROR(SEARCH(PaladinOath,$T54,1),0)&gt;0),1,0)*IF($C54=DS$2,1,0)=1,1+COUNTIF(DS$3:DS53,"&gt;0"),0)</f>
        <v>0</v>
      </c>
      <c r="DT54">
        <f>IF(IF(OR(IFERROR(SEARCH("Paladin",$T54,1),0)&gt;0,IFERROR(SEARCH(PaladinOath,$T54,1),0)&gt;0),1,0)*IF($C54=DT$2,1,0)=1,1+COUNTIF(DT$3:DT53,"&gt;0"),0)</f>
        <v>0</v>
      </c>
      <c r="DU54">
        <f>IF(IF(OR(IFERROR(SEARCH("Paladin",$T54,1),0)&gt;0,IFERROR(SEARCH(PaladinOath,$T54,1),0)&gt;0),1,0)*IF($C54=DU$2,1,0)=1,1+COUNTIF(DU$3:DU53,"&gt;0"),0)</f>
        <v>0</v>
      </c>
      <c r="DV54">
        <f>IF(IF(OR(IFERROR(SEARCH("Paladin",$T54,1),0)&gt;0,IFERROR(SEARCH(PaladinOath,$T54,1),0)&gt;0),1,0)*IF($C54=DV$2,1,0)=1,1+COUNTIF(DV$3:DV53,"&gt;0"),0)</f>
        <v>0</v>
      </c>
      <c r="DW54">
        <f>IF(IF(OR(IFERROR(SEARCH("Paladin",$T54,1),0)&gt;0,IFERROR(SEARCH(PaladinOath,$T54,1),0)&gt;0),1,0)*IF($C54=DW$2,1,0)=1,1+COUNTIF(DW$3:DW53,"&gt;0"),0)</f>
        <v>0</v>
      </c>
      <c r="DY54">
        <f t="shared" si="2"/>
        <v>1</v>
      </c>
      <c r="DZ54">
        <f>IF(DY54=0,0,1+MAX(DZ$3:$DZ53))</f>
        <v>52</v>
      </c>
      <c r="EB54">
        <f t="shared" si="16"/>
        <v>0</v>
      </c>
      <c r="EC54">
        <f>IF(EB54=0,0,1+COUNTIF(EC$3:EC53,"&gt;0"))</f>
        <v>0</v>
      </c>
      <c r="ED54" t="str">
        <f t="shared" si="44"/>
        <v/>
      </c>
      <c r="EE54" t="str">
        <f t="shared" si="17"/>
        <v/>
      </c>
      <c r="EG54">
        <f t="shared" si="18"/>
        <v>0</v>
      </c>
      <c r="EH54">
        <f>IF(EG54=0,0,1+COUNTIF(EH$3:EH53,"&gt;0"))</f>
        <v>0</v>
      </c>
      <c r="EI54" t="str">
        <f t="shared" si="45"/>
        <v/>
      </c>
      <c r="EJ54" t="str">
        <f t="shared" si="19"/>
        <v/>
      </c>
      <c r="EL54">
        <f t="shared" si="20"/>
        <v>0</v>
      </c>
      <c r="EM54">
        <f>IF(EL54=0,0,1+COUNTIF(EM$3:EM53,"&gt;0"))</f>
        <v>0</v>
      </c>
      <c r="EN54" t="str">
        <f t="shared" si="46"/>
        <v/>
      </c>
      <c r="EO54" t="str">
        <f t="shared" si="21"/>
        <v/>
      </c>
      <c r="EQ54">
        <f t="shared" si="22"/>
        <v>0</v>
      </c>
      <c r="ER54">
        <f>IF(EQ54=0,0,1+COUNTIF(ER$3:ER53,"&gt;0"))</f>
        <v>0</v>
      </c>
      <c r="ES54" t="str">
        <f t="shared" si="47"/>
        <v/>
      </c>
      <c r="ET54" t="str">
        <f t="shared" si="23"/>
        <v/>
      </c>
      <c r="EV54">
        <f t="shared" si="24"/>
        <v>0</v>
      </c>
      <c r="EW54">
        <f>IF(EV54=0,0,1+COUNTIF(EW$3:EW53,"&gt;0"))</f>
        <v>0</v>
      </c>
      <c r="EX54" t="str">
        <f t="shared" si="48"/>
        <v/>
      </c>
      <c r="EY54" t="str">
        <f t="shared" si="25"/>
        <v/>
      </c>
      <c r="FA54">
        <f t="shared" si="26"/>
        <v>0</v>
      </c>
      <c r="FB54">
        <f>IF(FA54=0,0,1+COUNTIF(FB$3:FB53,"&gt;0"))</f>
        <v>0</v>
      </c>
      <c r="FC54" t="str">
        <f t="shared" si="49"/>
        <v/>
      </c>
      <c r="FD54" t="str">
        <f t="shared" si="27"/>
        <v/>
      </c>
      <c r="FF54">
        <f t="shared" si="28"/>
        <v>0</v>
      </c>
      <c r="FG54">
        <f>IF(FF54=0,0,1+COUNTIF(FG$3:FG53,"&gt;0"))</f>
        <v>0</v>
      </c>
      <c r="FH54" t="str">
        <f t="shared" si="50"/>
        <v/>
      </c>
      <c r="FI54" t="str">
        <f t="shared" si="29"/>
        <v/>
      </c>
      <c r="FK54">
        <f t="shared" si="30"/>
        <v>0</v>
      </c>
      <c r="FL54">
        <f>IF(FK54=0,0,1+COUNTIF(FL$3:FL53,"&gt;0"))</f>
        <v>0</v>
      </c>
      <c r="FM54" t="str">
        <f t="shared" si="51"/>
        <v/>
      </c>
      <c r="FN54" t="str">
        <f t="shared" si="31"/>
        <v/>
      </c>
      <c r="FP54">
        <f t="shared" si="32"/>
        <v>0</v>
      </c>
      <c r="FQ54">
        <f>IF(FP54=0,0,1+COUNTIF(FQ$3:FQ53,"&gt;0"))</f>
        <v>0</v>
      </c>
      <c r="FR54" t="str">
        <f t="shared" si="52"/>
        <v/>
      </c>
      <c r="FS54" t="str">
        <f t="shared" si="33"/>
        <v/>
      </c>
    </row>
    <row r="55" spans="1:175" x14ac:dyDescent="0.25">
      <c r="A55" s="347">
        <f t="shared" si="53"/>
        <v>53</v>
      </c>
      <c r="B55" s="348" t="s">
        <v>2416</v>
      </c>
      <c r="C55" s="348">
        <v>5</v>
      </c>
      <c r="D55" s="347">
        <v>5</v>
      </c>
      <c r="E55" s="627" t="s">
        <v>6952</v>
      </c>
      <c r="F55" s="346"/>
      <c r="G55" s="347" t="str">
        <f>""</f>
        <v/>
      </c>
      <c r="H55" s="347" t="s">
        <v>5912</v>
      </c>
      <c r="I55" s="347" t="s">
        <v>5290</v>
      </c>
      <c r="J55" s="347" t="str">
        <f t="shared" si="3"/>
        <v/>
      </c>
      <c r="K55" s="347" t="s">
        <v>5297</v>
      </c>
      <c r="L55" s="611" t="str">
        <f t="shared" si="4"/>
        <v>V, S</v>
      </c>
      <c r="M55" s="347" t="s">
        <v>2373</v>
      </c>
      <c r="N55" s="347" t="s">
        <v>2387</v>
      </c>
      <c r="O55" s="347" t="s">
        <v>3034</v>
      </c>
      <c r="P55" s="346" t="str">
        <f>""</f>
        <v/>
      </c>
      <c r="Q55" s="347" t="s">
        <v>5271</v>
      </c>
      <c r="S55" s="346" t="s">
        <v>5623</v>
      </c>
      <c r="T55" s="346" t="str">
        <f t="shared" si="5"/>
        <v xml:space="preserve">Sorcerer, Wizard, Underdark, Death, </v>
      </c>
      <c r="X55" s="347" t="str">
        <f>$B55</f>
        <v>Cloudkill</v>
      </c>
      <c r="AD55" s="347" t="str">
        <f>$B55</f>
        <v>Cloudkill</v>
      </c>
      <c r="AE55" t="str">
        <f>IF(IFERROR(MATCH($B55,temp!A$4:A$13,0),0)&gt;0,T08_Spells!AE$2,"")</f>
        <v/>
      </c>
      <c r="AF55" t="str">
        <f>IF(IFERROR(MATCH($B55,temp!B$4:B$13,0),0)&gt;0,T08_Spells!AF$2,"")</f>
        <v/>
      </c>
      <c r="AG55" t="str">
        <f>IF(IFERROR(MATCH($B55,temp!C$4:C$13,0),0)&gt;0,T08_Spells!AG$2,"")</f>
        <v/>
      </c>
      <c r="AH55" t="str">
        <f>IF(IFERROR(MATCH($B55,temp!D$4:D$13,0),0)&gt;0,T08_Spells!AH$2,"")</f>
        <v/>
      </c>
      <c r="AI55" t="str">
        <f>IF(IFERROR(MATCH($B55,temp!E$4:E$13,0),0)&gt;0,T08_Spells!AI$2,"")</f>
        <v/>
      </c>
      <c r="AJ55" t="str">
        <f>IF(IFERROR(MATCH($B55,temp!F$4:F$13,0),0)&gt;0,T08_Spells!AJ$2,"")</f>
        <v/>
      </c>
      <c r="AK55" t="str">
        <f>IF(IFERROR(MATCH($B55,temp!G$4:G$13,0),0)&gt;0,T08_Spells!AK$2,"")</f>
        <v/>
      </c>
      <c r="AL55" t="str">
        <f>IF(IFERROR(MATCH($B55,temp!H$4:H$13,0),0)&gt;0,T08_Spells!AL$2,"")</f>
        <v/>
      </c>
      <c r="AM55" t="str">
        <f>IF(IFERROR(MATCH($B55,temp!I$4:I$13,0),0)&gt;0,T08_Spells!AM$2,"")</f>
        <v/>
      </c>
      <c r="AN55" t="str">
        <f>IF(IFERROR(MATCH($B55,temp!J$4:J$13,0),0)&gt;0,T08_Spells!AN$2,"")</f>
        <v/>
      </c>
      <c r="AO55" t="str">
        <f>IF(IFERROR(MATCH($B55,temp!K$4:K$13,0),0)&gt;0,T08_Spells!AO$2,"")</f>
        <v/>
      </c>
      <c r="AP55" t="str">
        <f>IF(IFERROR(MATCH($B55,temp!L$4:L$13,0),0)&gt;0,T08_Spells!AP$2,"")</f>
        <v/>
      </c>
      <c r="AQ55" t="str">
        <f>IF(IFERROR(MATCH($B55,temp!M$4:M$13,0),0)&gt;0,T08_Spells!AQ$2,"")</f>
        <v/>
      </c>
      <c r="AR55" t="str">
        <f>IF(IFERROR(MATCH($B55,temp!N$4:N$13,0),0)&gt;0,T08_Spells!AR$2,"")</f>
        <v/>
      </c>
      <c r="AS55" t="str">
        <f>IF(IFERROR(MATCH($B55,temp!O$4:O$13,0),0)&gt;0,T08_Spells!AS$2,"")</f>
        <v>Underdark</v>
      </c>
      <c r="AT55" t="str">
        <f>IF(IFERROR(MATCH($B55,temp!P$4:P$13,0),0)&gt;0,T08_Spells!AT$2,"")</f>
        <v/>
      </c>
      <c r="AU55" t="str">
        <f>IF(IFERROR(MATCH($B55,temp!Q$4:Q$13,0),0)&gt;0,T08_Spells!AU$2,"")</f>
        <v/>
      </c>
      <c r="AV55" t="str">
        <f>IF(IFERROR(MATCH($B55,temp!R$4:R$13,0),0)&gt;0,T08_Spells!AV$2,"")</f>
        <v/>
      </c>
      <c r="AW55" t="str">
        <f>IF(IFERROR(MATCH($B55,temp!S$4:S$13,0),0)&gt;0,T08_Spells!AW$2,"")</f>
        <v/>
      </c>
      <c r="AX55" t="str">
        <f>IF(IFERROR(MATCH($B55,temp!T$4:T$13,0),0)&gt;0,T08_Spells!AX$2,"")</f>
        <v/>
      </c>
      <c r="AY55" t="str">
        <f>IF(IFERROR(MATCH($B55,temp!U$4:U$13,0),0)&gt;0,T08_Spells!AY$2,"")</f>
        <v/>
      </c>
      <c r="AZ55" t="str">
        <f>IF(IFERROR(MATCH($B55,temp!V$4:V$13,0),0)&gt;0,T08_Spells!AZ$2,"")</f>
        <v/>
      </c>
      <c r="BA55" t="str">
        <f>IF(IFERROR(MATCH($B55,temp!W$4:W$13,0),0)&gt;0,T08_Spells!BA$2,"")</f>
        <v>Death</v>
      </c>
      <c r="BC55">
        <f>IF(IFERROR(SEARCH("Ranger",$T55,1),0)&gt;0,1,0)*IF(RangerMaxSpellLevel&gt;=$C55,1,0)*IF(IFERROR(MATCH(B55,Character_Creation!$X$79:$X$382,0),0)&gt;0,0,1)</f>
        <v>0</v>
      </c>
      <c r="BD55">
        <f>IF(BC55=0,0,1+COUNTIF(BD$3:BD54,"&gt;0"))</f>
        <v>0</v>
      </c>
      <c r="BE55" t="str">
        <f t="shared" si="34"/>
        <v/>
      </c>
      <c r="BF55" t="str">
        <f t="shared" si="6"/>
        <v/>
      </c>
      <c r="BH55">
        <f>IF(IFERROR(SEARCH("Sorcerer",$T55,1),0)&gt;0,1,0)*IF(SorcererMaxSpellLevel&gt;=$C55,1,0)*IF(IFERROR(MATCH(B55,Character_Creation!$J$380:$J$394,0),0)&gt;0,0,1)</f>
        <v>0</v>
      </c>
      <c r="BI55">
        <f>IF(BH55=0,0,1+COUNTIF(BI$3:BI54,"&gt;0"))</f>
        <v>0</v>
      </c>
      <c r="BJ55" t="str">
        <f t="shared" si="35"/>
        <v/>
      </c>
      <c r="BK55" t="str">
        <f t="shared" si="7"/>
        <v/>
      </c>
      <c r="BM55">
        <f>IF(OR(IFERROR(SEARCH("Warlock",$T55,1),0)&gt;0,IFERROR(SEARCH(WarlockPatron,$T55,1),0)&gt;0),1,0)*IF(WarlockMaxSpellLevel&gt;=$C55,1,0)*IF(IFERROR(MATCH(B55,Character_Creation!$J$361:$J$375,0),0)&gt;0,0,1)</f>
        <v>0</v>
      </c>
      <c r="BN55">
        <f>IF(BM55=0,0,1+COUNTIF(BN$3:BN54,"&gt;0"))</f>
        <v>0</v>
      </c>
      <c r="BO55" t="str">
        <f t="shared" si="36"/>
        <v/>
      </c>
      <c r="BP55" t="str">
        <f t="shared" si="8"/>
        <v/>
      </c>
      <c r="BR55">
        <f>IF(IFERROR(SEARCH("Eldritch Knight",$T55,1),0)&gt;0,1,0)*IF(EldritchKnightMaxSpellLevel&gt;=$C55,1,0)*IF(IFERROR(MATCH($B55,Character_Creation!$J$350:$J$356,0),0)&gt;0,0,1)*IF(Character_Creation!$M$338&gt;0,1,0)</f>
        <v>0</v>
      </c>
      <c r="BS55">
        <f>IF(BR55=0,0,1+COUNTIF(BS$3:BS54,"&gt;0"))</f>
        <v>0</v>
      </c>
      <c r="BT55" t="str">
        <f t="shared" si="37"/>
        <v/>
      </c>
      <c r="BU55" t="str">
        <f t="shared" si="9"/>
        <v/>
      </c>
      <c r="BW55">
        <f>IF(IFERROR(SEARCH("Arcane Trickster",$T55,1),0)&gt;0,1,0)*IF(ArcaneTricksterMaxSpellLevel&gt;=$C55,1,0)*IF(IFERROR(MATCH($B55,Character_Creation!$J$350:$J$356,0),0)&gt;0,0,1)*IF(Character_Creation!$T$338&gt;0,1,0)</f>
        <v>0</v>
      </c>
      <c r="BX55">
        <f>IF(BW55=0,0,1+COUNTIF(BX$3:BX54,"&gt;0"))</f>
        <v>0</v>
      </c>
      <c r="BY55" t="str">
        <f t="shared" si="38"/>
        <v/>
      </c>
      <c r="BZ55" t="str">
        <f t="shared" si="10"/>
        <v/>
      </c>
      <c r="CB55">
        <f>IF(IFERROR(SEARCH("Wizard",$T55,1),0)&gt;0,1,0)*IF(C55&lt;=ArcaneTricksterMaxSpellLevel,1,0)*IF(IFERROR(MATCH($B55,Character_Creation!$J$350:$J$356,0),0)&gt;0,0,1)*IF(Character_Creation!$T$350&gt;0,1,0)</f>
        <v>0</v>
      </c>
      <c r="CC55">
        <f>IF(CB55=0,0,1+COUNTIF(CC$3:CC54,"&gt;0"))</f>
        <v>0</v>
      </c>
      <c r="CD55" t="str">
        <f t="shared" si="39"/>
        <v/>
      </c>
      <c r="CE55" t="str">
        <f t="shared" si="11"/>
        <v/>
      </c>
      <c r="CG55">
        <f>IF(IFERROR(SEARCH("Wizard",$T55,1),0)&gt;0,1,0)*IF($C55&lt;=EldritchKnightMaxSpellLevel,1,0)*IF(IFERROR(MATCH($B55,Character_Creation!$J$350:$J$356,0),0)&gt;0,0,1)*IF(Character_Creation!$M$350&gt;0,1,0)</f>
        <v>0</v>
      </c>
      <c r="CH55">
        <f>IF(CG55=0,0,1+COUNTIF(CH$3:CH54,"&gt;0"))</f>
        <v>0</v>
      </c>
      <c r="CI55">
        <f t="shared" si="40"/>
        <v>53</v>
      </c>
      <c r="CJ55" t="str">
        <f t="shared" si="12"/>
        <v>Shield</v>
      </c>
      <c r="CL55">
        <f>IF(IFERROR(SEARCH("Bard",$T55,1),0)&gt;0,1,0)*IF(BardMaxSpellLevel&gt;=$C55,1,0)*IF(IFERROR(MATCH(B55,Character_Creation!$C$341:$F$362,0),0)&gt;0,0,1)*IF(IFERROR(MATCH($B55,Character_Creation!$C$341:$C$362,0),0)&gt;0,0,1)</f>
        <v>0</v>
      </c>
      <c r="CM55">
        <f>IF(CL55=0,0,1+COUNTIF(CM$3:CM54,"&gt;0"))</f>
        <v>0</v>
      </c>
      <c r="CN55" t="str">
        <f t="shared" si="41"/>
        <v/>
      </c>
      <c r="CO55" t="str">
        <f t="shared" si="13"/>
        <v/>
      </c>
      <c r="CQ55">
        <f>IF(IFERROR(SEARCH("Wizard",$T55,1),0)&gt;0,1,0)*IF(WizardMaxSpellLevel&gt;=$C55,1,0)*IF(IFERROR(MATCH(B55,Character_Creation!$X$341:$X$400,0),0)&gt;0,0,1)*IF(SelectedWizardSpellLevel=$C55,1,0)</f>
        <v>0</v>
      </c>
      <c r="CR55">
        <f>IF(CQ55=0,0,1+COUNTIF(CR$3:CR54,"&gt;0"))</f>
        <v>0</v>
      </c>
      <c r="CS55" t="str">
        <f t="shared" si="42"/>
        <v/>
      </c>
      <c r="CT55" t="str">
        <f t="shared" si="14"/>
        <v/>
      </c>
      <c r="CV55">
        <f>IF(IFERROR(MATCH($B55,Character_Creation!$C$341:$C$362,0),0)&gt;0,0,1)*IF(OR(C55="Cantrip",C55&lt;=BardMaxSpellLevel),1,0)*IF(IFERROR(MATCH($B55,Character_Creation!$C$367:$C$374,0),0)&gt;0,0,1)</f>
        <v>0</v>
      </c>
      <c r="CW55">
        <f>IF(CV55=0,0,1+COUNTIF(CW$3:CW54,"&gt;0"))</f>
        <v>0</v>
      </c>
      <c r="CX55" t="str">
        <f t="shared" si="43"/>
        <v/>
      </c>
      <c r="CY55" t="str">
        <f t="shared" si="15"/>
        <v/>
      </c>
      <c r="DA55">
        <f>IF(IF(OR(IFERROR(SEARCH("Cleric",$T55,1),0)&gt;0,IFERROR(SEARCH(DivineDomain&amp;",",$T55,1),0)&gt;0),1,0)*IF($C55=DA$2,1,0)=1,1+COUNTIF(DA$3:DA54,"&gt;0"),0)</f>
        <v>0</v>
      </c>
      <c r="DB55">
        <f>IF(IF(OR(IFERROR(SEARCH("Cleric",$T55,1),0)&gt;0,IFERROR(SEARCH(DivineDomain&amp;",",$T55,1),0)&gt;0),1,0)*IF($C55=DB$2,1,0)=1,1+COUNTIF(DB$3:DB54,"&gt;0"),0)</f>
        <v>0</v>
      </c>
      <c r="DC55">
        <f>IF(IF(OR(IFERROR(SEARCH("Cleric",$T55,1),0)&gt;0,IFERROR(SEARCH(DivineDomain&amp;",",$T55,1),0)&gt;0),1,0)*IF($C55=DC$2,1,0)=1,1+COUNTIF(DC$3:DC54,"&gt;0"),0)</f>
        <v>0</v>
      </c>
      <c r="DD55">
        <f>IF(IF(OR(IFERROR(SEARCH("Cleric",$T55,1),0)&gt;0,IFERROR(SEARCH(DivineDomain&amp;",",$T55,1),0)&gt;0),1,0)*IF($C55=DD$2,1,0)=1,1+COUNTIF(DD$3:DD54,"&gt;0"),0)</f>
        <v>0</v>
      </c>
      <c r="DE55">
        <f>IF(IF(OR(IFERROR(SEARCH("Cleric",$T55,1),0)&gt;0,IFERROR(SEARCH(DivineDomain&amp;",",$T55,1),0)&gt;0),1,0)*IF($C55=DE$2,1,0)=1,1+COUNTIF(DE$3:DE54,"&gt;0"),0)</f>
        <v>0</v>
      </c>
      <c r="DF55">
        <f>IF(IF(OR(IFERROR(SEARCH("Cleric",$T55,1),0)&gt;0,IFERROR(SEARCH(DivineDomain&amp;",",$T55,1),0)&gt;0),1,0)*IF($C55=DF$2,1,0)=1,1+COUNTIF(DF$3:DF54,"&gt;0"),0)</f>
        <v>0</v>
      </c>
      <c r="DG55">
        <f>IF(IF(OR(IFERROR(SEARCH("Cleric",$T55,1),0)&gt;0,IFERROR(SEARCH(DivineDomain&amp;",",$T55,1),0)&gt;0),1,0)*IF($C55=DG$2,1,0)=1,1+COUNTIF(DG$3:DG54,"&gt;0"),0)</f>
        <v>0</v>
      </c>
      <c r="DH55">
        <f>IF(IF(OR(IFERROR(SEARCH("Cleric",$T55,1),0)&gt;0,IFERROR(SEARCH(DivineDomain&amp;",",$T55,1),0)&gt;0),1,0)*IF($C55=DH$2,1,0)=1,1+COUNTIF(DH$3:DH54,"&gt;0"),0)</f>
        <v>0</v>
      </c>
      <c r="DI55">
        <f>IF(IF(OR(IFERROR(SEARCH("Cleric",$T55,1),0)&gt;0,IFERROR(SEARCH(DivineDomain&amp;",",$T55,1),0)&gt;0),1,0)*IF($C55=DI$2,1,0)=1,1+COUNTIF(DI$3:DI54,"&gt;0"),0)</f>
        <v>0</v>
      </c>
      <c r="DJ55">
        <f>IF(IF(OR(IFERROR(SEARCH("Druid",$T55,1),0)&gt;0,IFERROR(SEARCH(DruidLand1,$T55,1),0)&gt;0,IFERROR(SEARCH(DruidLand2,$T55,1),0)&gt;0,IFERROR(SEARCH(DruidLand3,$T55,1),0)&gt;0,IFERROR(SEARCH(DruidLand4,$T55,1),0)&gt;0),1,0)*IF($C55=1,1,0)*IF($C55=DJ$2,1,0)=0,0,1+COUNTIF(DJ$3:DJ54,"&gt;0"))</f>
        <v>0</v>
      </c>
      <c r="DK55">
        <f>IF(IF(OR(IFERROR(SEARCH("Druid",$T55,1),0)&gt;0,IFERROR(SEARCH(DruidLand1,$T55,1),0)&gt;0,IFERROR(SEARCH(DruidLand2,$T55,1),0)&gt;0,IFERROR(SEARCH(DruidLand3,$T55,1),0)&gt;0,IFERROR(SEARCH(DruidLand4,$T55,1),0)&gt;0),1,0)*IF($C55=1,1,0)*IF($C55=DK$2,1,0)=0,0,1+COUNTIF(DK$3:DK54,"&gt;0"))</f>
        <v>0</v>
      </c>
      <c r="DL55">
        <f>IF(IF(OR(IFERROR(SEARCH("Druid",$T55,1),0)&gt;0,IFERROR(SEARCH(DruidLand1,$T55,1),0)&gt;0,IFERROR(SEARCH(DruidLand2,$T55,1),0)&gt;0,IFERROR(SEARCH(DruidLand3,$T55,1),0)&gt;0,IFERROR(SEARCH(DruidLand4,$T55,1),0)&gt;0),1,0)*IF($C55=1,1,0)*IF($C55=DL$2,1,0)=0,0,1+COUNTIF(DL$3:DL54,"&gt;0"))</f>
        <v>0</v>
      </c>
      <c r="DM55">
        <f>IF(IF(OR(IFERROR(SEARCH("Druid",$T55,1),0)&gt;0,IFERROR(SEARCH(DruidLand1,$T55,1),0)&gt;0,IFERROR(SEARCH(DruidLand2,$T55,1),0)&gt;0,IFERROR(SEARCH(DruidLand3,$T55,1),0)&gt;0,IFERROR(SEARCH(DruidLand4,$T55,1),0)&gt;0),1,0)*IF($C55=1,1,0)*IF($C55=DM$2,1,0)=0,0,1+COUNTIF(DM$3:DM54,"&gt;0"))</f>
        <v>0</v>
      </c>
      <c r="DN55">
        <f>IF(IF(OR(IFERROR(SEARCH("Druid",$T55,1),0)&gt;0,IFERROR(SEARCH(DruidLand1,$T55,1),0)&gt;0,IFERROR(SEARCH(DruidLand2,$T55,1),0)&gt;0,IFERROR(SEARCH(DruidLand3,$T55,1),0)&gt;0,IFERROR(SEARCH(DruidLand4,$T55,1),0)&gt;0),1,0)*IF($C55=1,1,0)*IF($C55=DN$2,1,0)=0,0,1+COUNTIF(DN$3:DN54,"&gt;0"))</f>
        <v>0</v>
      </c>
      <c r="DO55">
        <f>IF(IF(OR(IFERROR(SEARCH("Druid",$T55,1),0)&gt;0,IFERROR(SEARCH(DruidLand1,$T55,1),0)&gt;0,IFERROR(SEARCH(DruidLand2,$T55,1),0)&gt;0,IFERROR(SEARCH(DruidLand3,$T55,1),0)&gt;0,IFERROR(SEARCH(DruidLand4,$T55,1),0)&gt;0),1,0)*IF($C55=1,1,0)*IF($C55=DO$2,1,0)=0,0,1+COUNTIF(DO$3:DO54,"&gt;0"))</f>
        <v>0</v>
      </c>
      <c r="DP55">
        <f>IF(IF(OR(IFERROR(SEARCH("Druid",$T55,1),0)&gt;0,IFERROR(SEARCH(DruidLand1,$T55,1),0)&gt;0,IFERROR(SEARCH(DruidLand2,$T55,1),0)&gt;0,IFERROR(SEARCH(DruidLand3,$T55,1),0)&gt;0,IFERROR(SEARCH(DruidLand4,$T55,1),0)&gt;0),1,0)*IF($C55=1,1,0)*IF($C55=DP$2,1,0)=0,0,1+COUNTIF(DP$3:DP54,"&gt;0"))</f>
        <v>0</v>
      </c>
      <c r="DQ55">
        <f>IF(IF(OR(IFERROR(SEARCH("Druid",$T55,1),0)&gt;0,IFERROR(SEARCH(DruidLand1,$T55,1),0)&gt;0,IFERROR(SEARCH(DruidLand2,$T55,1),0)&gt;0,IFERROR(SEARCH(DruidLand3,$T55,1),0)&gt;0,IFERROR(SEARCH(DruidLand4,$T55,1),0)&gt;0),1,0)*IF($C55=1,1,0)*IF($C55=DQ$2,1,0)=0,0,1+COUNTIF(DQ$3:DQ54,"&gt;0"))</f>
        <v>0</v>
      </c>
      <c r="DR55">
        <f>IF(IF(OR(IFERROR(SEARCH("Druid",$T55,1),0)&gt;0,IFERROR(SEARCH(DruidLand1,$T55,1),0)&gt;0,IFERROR(SEARCH(DruidLand2,$T55,1),0)&gt;0,IFERROR(SEARCH(DruidLand3,$T55,1),0)&gt;0,IFERROR(SEARCH(DruidLand4,$T55,1),0)&gt;0),1,0)*IF($C55=1,1,0)*IF($C55=DR$2,1,0)=0,0,1+COUNTIF(DR$3:DR54,"&gt;0"))</f>
        <v>0</v>
      </c>
      <c r="DS55">
        <f>IF(IF(OR(IFERROR(SEARCH("Paladin",$T55,1),0)&gt;0,IFERROR(SEARCH(PaladinOath,$T55,1),0)&gt;0),1,0)*IF($C55=DS$2,1,0)=1,1+COUNTIF(DS$3:DS54,"&gt;0"),0)</f>
        <v>0</v>
      </c>
      <c r="DT55">
        <f>IF(IF(OR(IFERROR(SEARCH("Paladin",$T55,1),0)&gt;0,IFERROR(SEARCH(PaladinOath,$T55,1),0)&gt;0),1,0)*IF($C55=DT$2,1,0)=1,1+COUNTIF(DT$3:DT54,"&gt;0"),0)</f>
        <v>0</v>
      </c>
      <c r="DU55">
        <f>IF(IF(OR(IFERROR(SEARCH("Paladin",$T55,1),0)&gt;0,IFERROR(SEARCH(PaladinOath,$T55,1),0)&gt;0),1,0)*IF($C55=DU$2,1,0)=1,1+COUNTIF(DU$3:DU54,"&gt;0"),0)</f>
        <v>0</v>
      </c>
      <c r="DV55">
        <f>IF(IF(OR(IFERROR(SEARCH("Paladin",$T55,1),0)&gt;0,IFERROR(SEARCH(PaladinOath,$T55,1),0)&gt;0),1,0)*IF($C55=DV$2,1,0)=1,1+COUNTIF(DV$3:DV54,"&gt;0"),0)</f>
        <v>0</v>
      </c>
      <c r="DW55">
        <f>IF(IF(OR(IFERROR(SEARCH("Paladin",$T55,1),0)&gt;0,IFERROR(SEARCH(PaladinOath,$T55,1),0)&gt;0),1,0)*IF($C55=DW$2,1,0)=1,1+COUNTIF(DW$3:DW54,"&gt;0"),0)</f>
        <v>0</v>
      </c>
      <c r="DY55">
        <f t="shared" si="2"/>
        <v>1</v>
      </c>
      <c r="DZ55">
        <f>IF(DY55=0,0,1+MAX(DZ$3:$DZ54))</f>
        <v>53</v>
      </c>
      <c r="EB55">
        <f t="shared" si="16"/>
        <v>0</v>
      </c>
      <c r="EC55">
        <f>IF(EB55=0,0,1+COUNTIF(EC$3:EC54,"&gt;0"))</f>
        <v>0</v>
      </c>
      <c r="ED55" t="str">
        <f t="shared" si="44"/>
        <v/>
      </c>
      <c r="EE55" t="str">
        <f t="shared" si="17"/>
        <v/>
      </c>
      <c r="EG55">
        <f t="shared" si="18"/>
        <v>0</v>
      </c>
      <c r="EH55">
        <f>IF(EG55=0,0,1+COUNTIF(EH$3:EH54,"&gt;0"))</f>
        <v>0</v>
      </c>
      <c r="EI55" t="str">
        <f t="shared" si="45"/>
        <v/>
      </c>
      <c r="EJ55" t="str">
        <f t="shared" si="19"/>
        <v/>
      </c>
      <c r="EL55">
        <f t="shared" si="20"/>
        <v>0</v>
      </c>
      <c r="EM55">
        <f>IF(EL55=0,0,1+COUNTIF(EM$3:EM54,"&gt;0"))</f>
        <v>0</v>
      </c>
      <c r="EN55" t="str">
        <f t="shared" si="46"/>
        <v/>
      </c>
      <c r="EO55" t="str">
        <f t="shared" si="21"/>
        <v/>
      </c>
      <c r="EQ55">
        <f t="shared" si="22"/>
        <v>0</v>
      </c>
      <c r="ER55">
        <f>IF(EQ55=0,0,1+COUNTIF(ER$3:ER54,"&gt;0"))</f>
        <v>0</v>
      </c>
      <c r="ES55" t="str">
        <f t="shared" si="47"/>
        <v/>
      </c>
      <c r="ET55" t="str">
        <f t="shared" si="23"/>
        <v/>
      </c>
      <c r="EV55">
        <f t="shared" si="24"/>
        <v>0</v>
      </c>
      <c r="EW55">
        <f>IF(EV55=0,0,1+COUNTIF(EW$3:EW54,"&gt;0"))</f>
        <v>0</v>
      </c>
      <c r="EX55" t="str">
        <f t="shared" si="48"/>
        <v/>
      </c>
      <c r="EY55" t="str">
        <f t="shared" si="25"/>
        <v/>
      </c>
      <c r="FA55">
        <f t="shared" si="26"/>
        <v>0</v>
      </c>
      <c r="FB55">
        <f>IF(FA55=0,0,1+COUNTIF(FB$3:FB54,"&gt;0"))</f>
        <v>0</v>
      </c>
      <c r="FC55" t="str">
        <f t="shared" si="49"/>
        <v/>
      </c>
      <c r="FD55" t="str">
        <f t="shared" si="27"/>
        <v/>
      </c>
      <c r="FF55">
        <f t="shared" si="28"/>
        <v>0</v>
      </c>
      <c r="FG55">
        <f>IF(FF55=0,0,1+COUNTIF(FG$3:FG54,"&gt;0"))</f>
        <v>0</v>
      </c>
      <c r="FH55" t="str">
        <f t="shared" si="50"/>
        <v/>
      </c>
      <c r="FI55" t="str">
        <f t="shared" si="29"/>
        <v/>
      </c>
      <c r="FK55">
        <f t="shared" si="30"/>
        <v>0</v>
      </c>
      <c r="FL55">
        <f>IF(FK55=0,0,1+COUNTIF(FL$3:FL54,"&gt;0"))</f>
        <v>0</v>
      </c>
      <c r="FM55" t="str">
        <f t="shared" si="51"/>
        <v/>
      </c>
      <c r="FN55" t="str">
        <f t="shared" si="31"/>
        <v/>
      </c>
      <c r="FP55">
        <f t="shared" si="32"/>
        <v>0</v>
      </c>
      <c r="FQ55">
        <f>IF(FP55=0,0,1+COUNTIF(FQ$3:FQ54,"&gt;0"))</f>
        <v>0</v>
      </c>
      <c r="FR55" t="str">
        <f t="shared" si="52"/>
        <v/>
      </c>
      <c r="FS55" t="str">
        <f t="shared" si="33"/>
        <v/>
      </c>
    </row>
    <row r="56" spans="1:175" x14ac:dyDescent="0.25">
      <c r="A56" s="347">
        <f t="shared" si="53"/>
        <v>54</v>
      </c>
      <c r="B56" s="348" t="s">
        <v>2417</v>
      </c>
      <c r="C56" s="348">
        <v>1</v>
      </c>
      <c r="D56" s="347">
        <v>1</v>
      </c>
      <c r="E56" s="627" t="s">
        <v>6952</v>
      </c>
      <c r="F56" s="346"/>
      <c r="G56" s="347" t="str">
        <f>""</f>
        <v/>
      </c>
      <c r="H56" s="347" t="s">
        <v>5912</v>
      </c>
      <c r="I56" s="347" t="s">
        <v>5283</v>
      </c>
      <c r="J56" s="347" t="str">
        <f t="shared" si="3"/>
        <v/>
      </c>
      <c r="K56" s="347" t="s">
        <v>5313</v>
      </c>
      <c r="L56" s="611" t="str">
        <f t="shared" si="4"/>
        <v>V, S, M, a pinch of powder or sand that is colored red, yellow, and blue</v>
      </c>
      <c r="M56" s="347" t="s">
        <v>2373</v>
      </c>
      <c r="N56" s="347" t="s">
        <v>2387</v>
      </c>
      <c r="O56" s="347" t="s">
        <v>1244</v>
      </c>
      <c r="P56" s="346" t="s">
        <v>5323</v>
      </c>
      <c r="Q56" s="347" t="s">
        <v>5274</v>
      </c>
      <c r="S56" s="346" t="s">
        <v>5624</v>
      </c>
      <c r="T56" s="346" t="str">
        <f t="shared" si="5"/>
        <v xml:space="preserve">Sorcerer, Arcane Trickster, Wizard, </v>
      </c>
      <c r="X56" s="347" t="str">
        <f>$B56</f>
        <v>Color Spray</v>
      </c>
      <c r="AC56" s="539" t="str">
        <f>B56</f>
        <v>Color Spray</v>
      </c>
      <c r="AD56" s="347" t="str">
        <f>$B56</f>
        <v>Color Spray</v>
      </c>
      <c r="AE56" t="str">
        <f>IF(IFERROR(MATCH($B56,temp!A$4:A$13,0),0)&gt;0,T08_Spells!AE$2,"")</f>
        <v/>
      </c>
      <c r="AF56" t="str">
        <f>IF(IFERROR(MATCH($B56,temp!B$4:B$13,0),0)&gt;0,T08_Spells!AF$2,"")</f>
        <v/>
      </c>
      <c r="AG56" t="str">
        <f>IF(IFERROR(MATCH($B56,temp!C$4:C$13,0),0)&gt;0,T08_Spells!AG$2,"")</f>
        <v/>
      </c>
      <c r="AH56" t="str">
        <f>IF(IFERROR(MATCH($B56,temp!D$4:D$13,0),0)&gt;0,T08_Spells!AH$2,"")</f>
        <v/>
      </c>
      <c r="AI56" t="str">
        <f>IF(IFERROR(MATCH($B56,temp!E$4:E$13,0),0)&gt;0,T08_Spells!AI$2,"")</f>
        <v/>
      </c>
      <c r="AJ56" t="str">
        <f>IF(IFERROR(MATCH($B56,temp!F$4:F$13,0),0)&gt;0,T08_Spells!AJ$2,"")</f>
        <v/>
      </c>
      <c r="AK56" t="str">
        <f>IF(IFERROR(MATCH($B56,temp!G$4:G$13,0),0)&gt;0,T08_Spells!AK$2,"")</f>
        <v/>
      </c>
      <c r="AL56" t="str">
        <f>IF(IFERROR(MATCH($B56,temp!H$4:H$13,0),0)&gt;0,T08_Spells!AL$2,"")</f>
        <v/>
      </c>
      <c r="AM56" t="str">
        <f>IF(IFERROR(MATCH($B56,temp!I$4:I$13,0),0)&gt;0,T08_Spells!AM$2,"")</f>
        <v/>
      </c>
      <c r="AN56" t="str">
        <f>IF(IFERROR(MATCH($B56,temp!J$4:J$13,0),0)&gt;0,T08_Spells!AN$2,"")</f>
        <v/>
      </c>
      <c r="AO56" t="str">
        <f>IF(IFERROR(MATCH($B56,temp!K$4:K$13,0),0)&gt;0,T08_Spells!AO$2,"")</f>
        <v/>
      </c>
      <c r="AP56" t="str">
        <f>IF(IFERROR(MATCH($B56,temp!L$4:L$13,0),0)&gt;0,T08_Spells!AP$2,"")</f>
        <v/>
      </c>
      <c r="AQ56" t="str">
        <f>IF(IFERROR(MATCH($B56,temp!M$4:M$13,0),0)&gt;0,T08_Spells!AQ$2,"")</f>
        <v/>
      </c>
      <c r="AR56" t="str">
        <f>IF(IFERROR(MATCH($B56,temp!N$4:N$13,0),0)&gt;0,T08_Spells!AR$2,"")</f>
        <v/>
      </c>
      <c r="AS56" t="str">
        <f>IF(IFERROR(MATCH($B56,temp!O$4:O$13,0),0)&gt;0,T08_Spells!AS$2,"")</f>
        <v/>
      </c>
      <c r="AT56" t="str">
        <f>IF(IFERROR(MATCH($B56,temp!P$4:P$13,0),0)&gt;0,T08_Spells!AT$2,"")</f>
        <v/>
      </c>
      <c r="AU56" t="str">
        <f>IF(IFERROR(MATCH($B56,temp!Q$4:Q$13,0),0)&gt;0,T08_Spells!AU$2,"")</f>
        <v/>
      </c>
      <c r="AV56" t="str">
        <f>IF(IFERROR(MATCH($B56,temp!R$4:R$13,0),0)&gt;0,T08_Spells!AV$2,"")</f>
        <v/>
      </c>
      <c r="AW56" t="str">
        <f>IF(IFERROR(MATCH($B56,temp!S$4:S$13,0),0)&gt;0,T08_Spells!AW$2,"")</f>
        <v/>
      </c>
      <c r="AX56" t="str">
        <f>IF(IFERROR(MATCH($B56,temp!T$4:T$13,0),0)&gt;0,T08_Spells!AX$2,"")</f>
        <v/>
      </c>
      <c r="AY56" t="str">
        <f>IF(IFERROR(MATCH($B56,temp!U$4:U$13,0),0)&gt;0,T08_Spells!AY$2,"")</f>
        <v/>
      </c>
      <c r="AZ56" t="str">
        <f>IF(IFERROR(MATCH($B56,temp!V$4:V$13,0),0)&gt;0,T08_Spells!AZ$2,"")</f>
        <v/>
      </c>
      <c r="BA56" t="str">
        <f>IF(IFERROR(MATCH($B56,temp!W$4:W$13,0),0)&gt;0,T08_Spells!BA$2,"")</f>
        <v/>
      </c>
      <c r="BC56">
        <f>IF(IFERROR(SEARCH("Ranger",$T56,1),0)&gt;0,1,0)*IF(RangerMaxSpellLevel&gt;=$C56,1,0)*IF(IFERROR(MATCH(B56,Character_Creation!$X$79:$X$382,0),0)&gt;0,0,1)</f>
        <v>0</v>
      </c>
      <c r="BD56">
        <f>IF(BC56=0,0,1+COUNTIF(BD$3:BD55,"&gt;0"))</f>
        <v>0</v>
      </c>
      <c r="BE56" t="str">
        <f t="shared" si="34"/>
        <v/>
      </c>
      <c r="BF56" t="str">
        <f t="shared" si="6"/>
        <v/>
      </c>
      <c r="BH56">
        <f>IF(IFERROR(SEARCH("Sorcerer",$T56,1),0)&gt;0,1,0)*IF(SorcererMaxSpellLevel&gt;=$C56,1,0)*IF(IFERROR(MATCH(B56,Character_Creation!$J$380:$J$394,0),0)&gt;0,0,1)</f>
        <v>0</v>
      </c>
      <c r="BI56">
        <f>IF(BH56=0,0,1+COUNTIF(BI$3:BI55,"&gt;0"))</f>
        <v>0</v>
      </c>
      <c r="BJ56" t="str">
        <f t="shared" si="35"/>
        <v/>
      </c>
      <c r="BK56" t="str">
        <f t="shared" si="7"/>
        <v/>
      </c>
      <c r="BM56">
        <f>IF(OR(IFERROR(SEARCH("Warlock",$T56,1),0)&gt;0,IFERROR(SEARCH(WarlockPatron,$T56,1),0)&gt;0),1,0)*IF(WarlockMaxSpellLevel&gt;=$C56,1,0)*IF(IFERROR(MATCH(B56,Character_Creation!$J$361:$J$375,0),0)&gt;0,0,1)</f>
        <v>0</v>
      </c>
      <c r="BN56">
        <f>IF(BM56=0,0,1+COUNTIF(BN$3:BN55,"&gt;0"))</f>
        <v>0</v>
      </c>
      <c r="BO56" t="str">
        <f t="shared" si="36"/>
        <v/>
      </c>
      <c r="BP56" t="str">
        <f t="shared" si="8"/>
        <v/>
      </c>
      <c r="BR56">
        <f>IF(IFERROR(SEARCH("Eldritch Knight",$T56,1),0)&gt;0,1,0)*IF(EldritchKnightMaxSpellLevel&gt;=$C56,1,0)*IF(IFERROR(MATCH($B56,Character_Creation!$J$350:$J$356,0),0)&gt;0,0,1)*IF(Character_Creation!$M$338&gt;0,1,0)</f>
        <v>0</v>
      </c>
      <c r="BS56">
        <f>IF(BR56=0,0,1+COUNTIF(BS$3:BS55,"&gt;0"))</f>
        <v>0</v>
      </c>
      <c r="BT56" t="str">
        <f t="shared" si="37"/>
        <v/>
      </c>
      <c r="BU56" t="str">
        <f t="shared" si="9"/>
        <v/>
      </c>
      <c r="BW56">
        <f>IF(IFERROR(SEARCH("Arcane Trickster",$T56,1),0)&gt;0,1,0)*IF(ArcaneTricksterMaxSpellLevel&gt;=$C56,1,0)*IF(IFERROR(MATCH($B56,Character_Creation!$J$350:$J$356,0),0)&gt;0,0,1)*IF(Character_Creation!$T$338&gt;0,1,0)</f>
        <v>0</v>
      </c>
      <c r="BX56">
        <f>IF(BW56=0,0,1+COUNTIF(BX$3:BX55,"&gt;0"))</f>
        <v>0</v>
      </c>
      <c r="BY56" t="str">
        <f t="shared" si="38"/>
        <v/>
      </c>
      <c r="BZ56" t="str">
        <f t="shared" si="10"/>
        <v/>
      </c>
      <c r="CB56">
        <f>IF(IFERROR(SEARCH("Wizard",$T56,1),0)&gt;0,1,0)*IF(C56&lt;=ArcaneTricksterMaxSpellLevel,1,0)*IF(IFERROR(MATCH($B56,Character_Creation!$J$350:$J$356,0),0)&gt;0,0,1)*IF(Character_Creation!$T$350&gt;0,1,0)</f>
        <v>0</v>
      </c>
      <c r="CC56">
        <f>IF(CB56=0,0,1+COUNTIF(CC$3:CC55,"&gt;0"))</f>
        <v>0</v>
      </c>
      <c r="CD56" t="str">
        <f t="shared" si="39"/>
        <v/>
      </c>
      <c r="CE56" t="str">
        <f t="shared" si="11"/>
        <v/>
      </c>
      <c r="CG56">
        <f>IF(IFERROR(SEARCH("Wizard",$T56,1),0)&gt;0,1,0)*IF($C56&lt;=EldritchKnightMaxSpellLevel,1,0)*IF(IFERROR(MATCH($B56,Character_Creation!$J$350:$J$356,0),0)&gt;0,0,1)*IF(Character_Creation!$M$350&gt;0,1,0)</f>
        <v>1</v>
      </c>
      <c r="CH56">
        <f>IF(CG56=0,0,1+COUNTIF(CH$3:CH55,"&gt;0"))</f>
        <v>10</v>
      </c>
      <c r="CI56">
        <f t="shared" si="40"/>
        <v>54</v>
      </c>
      <c r="CJ56" t="str">
        <f t="shared" si="12"/>
        <v>Silent Image</v>
      </c>
      <c r="CL56">
        <f>IF(IFERROR(SEARCH("Bard",$T56,1),0)&gt;0,1,0)*IF(BardMaxSpellLevel&gt;=$C56,1,0)*IF(IFERROR(MATCH(B56,Character_Creation!$C$341:$F$362,0),0)&gt;0,0,1)*IF(IFERROR(MATCH($B56,Character_Creation!$C$341:$C$362,0),0)&gt;0,0,1)</f>
        <v>0</v>
      </c>
      <c r="CM56">
        <f>IF(CL56=0,0,1+COUNTIF(CM$3:CM55,"&gt;0"))</f>
        <v>0</v>
      </c>
      <c r="CN56" t="str">
        <f t="shared" si="41"/>
        <v/>
      </c>
      <c r="CO56" t="str">
        <f t="shared" si="13"/>
        <v/>
      </c>
      <c r="CQ56">
        <f>IF(IFERROR(SEARCH("Wizard",$T56,1),0)&gt;0,1,0)*IF(WizardMaxSpellLevel&gt;=$C56,1,0)*IF(IFERROR(MATCH(B56,Character_Creation!$X$341:$X$400,0),0)&gt;0,0,1)*IF(SelectedWizardSpellLevel=$C56,1,0)</f>
        <v>0</v>
      </c>
      <c r="CR56">
        <f>IF(CQ56=0,0,1+COUNTIF(CR$3:CR55,"&gt;0"))</f>
        <v>0</v>
      </c>
      <c r="CS56" t="str">
        <f t="shared" si="42"/>
        <v/>
      </c>
      <c r="CT56" t="str">
        <f t="shared" si="14"/>
        <v/>
      </c>
      <c r="CV56">
        <f>IF(IFERROR(MATCH($B56,Character_Creation!$C$341:$C$362,0),0)&gt;0,0,1)*IF(OR(C56="Cantrip",C56&lt;=BardMaxSpellLevel),1,0)*IF(IFERROR(MATCH($B56,Character_Creation!$C$367:$C$374,0),0)&gt;0,0,1)</f>
        <v>0</v>
      </c>
      <c r="CW56">
        <f>IF(CV56=0,0,1+COUNTIF(CW$3:CW55,"&gt;0"))</f>
        <v>0</v>
      </c>
      <c r="CX56" t="str">
        <f t="shared" si="43"/>
        <v/>
      </c>
      <c r="CY56" t="str">
        <f t="shared" si="15"/>
        <v/>
      </c>
      <c r="DA56">
        <f>IF(IF(OR(IFERROR(SEARCH("Cleric",$T56,1),0)&gt;0,IFERROR(SEARCH(DivineDomain&amp;",",$T56,1),0)&gt;0),1,0)*IF($C56=DA$2,1,0)=1,1+COUNTIF(DA$3:DA55,"&gt;0"),0)</f>
        <v>0</v>
      </c>
      <c r="DB56">
        <f>IF(IF(OR(IFERROR(SEARCH("Cleric",$T56,1),0)&gt;0,IFERROR(SEARCH(DivineDomain&amp;",",$T56,1),0)&gt;0),1,0)*IF($C56=DB$2,1,0)=1,1+COUNTIF(DB$3:DB55,"&gt;0"),0)</f>
        <v>0</v>
      </c>
      <c r="DC56">
        <f>IF(IF(OR(IFERROR(SEARCH("Cleric",$T56,1),0)&gt;0,IFERROR(SEARCH(DivineDomain&amp;",",$T56,1),0)&gt;0),1,0)*IF($C56=DC$2,1,0)=1,1+COUNTIF(DC$3:DC55,"&gt;0"),0)</f>
        <v>0</v>
      </c>
      <c r="DD56">
        <f>IF(IF(OR(IFERROR(SEARCH("Cleric",$T56,1),0)&gt;0,IFERROR(SEARCH(DivineDomain&amp;",",$T56,1),0)&gt;0),1,0)*IF($C56=DD$2,1,0)=1,1+COUNTIF(DD$3:DD55,"&gt;0"),0)</f>
        <v>0</v>
      </c>
      <c r="DE56">
        <f>IF(IF(OR(IFERROR(SEARCH("Cleric",$T56,1),0)&gt;0,IFERROR(SEARCH(DivineDomain&amp;",",$T56,1),0)&gt;0),1,0)*IF($C56=DE$2,1,0)=1,1+COUNTIF(DE$3:DE55,"&gt;0"),0)</f>
        <v>0</v>
      </c>
      <c r="DF56">
        <f>IF(IF(OR(IFERROR(SEARCH("Cleric",$T56,1),0)&gt;0,IFERROR(SEARCH(DivineDomain&amp;",",$T56,1),0)&gt;0),1,0)*IF($C56=DF$2,1,0)=1,1+COUNTIF(DF$3:DF55,"&gt;0"),0)</f>
        <v>0</v>
      </c>
      <c r="DG56">
        <f>IF(IF(OR(IFERROR(SEARCH("Cleric",$T56,1),0)&gt;0,IFERROR(SEARCH(DivineDomain&amp;",",$T56,1),0)&gt;0),1,0)*IF($C56=DG$2,1,0)=1,1+COUNTIF(DG$3:DG55,"&gt;0"),0)</f>
        <v>0</v>
      </c>
      <c r="DH56">
        <f>IF(IF(OR(IFERROR(SEARCH("Cleric",$T56,1),0)&gt;0,IFERROR(SEARCH(DivineDomain&amp;",",$T56,1),0)&gt;0),1,0)*IF($C56=DH$2,1,0)=1,1+COUNTIF(DH$3:DH55,"&gt;0"),0)</f>
        <v>0</v>
      </c>
      <c r="DI56">
        <f>IF(IF(OR(IFERROR(SEARCH("Cleric",$T56,1),0)&gt;0,IFERROR(SEARCH(DivineDomain&amp;",",$T56,1),0)&gt;0),1,0)*IF($C56=DI$2,1,0)=1,1+COUNTIF(DI$3:DI55,"&gt;0"),0)</f>
        <v>0</v>
      </c>
      <c r="DJ56">
        <f>IF(IF(OR(IFERROR(SEARCH("Druid",$T56,1),0)&gt;0,IFERROR(SEARCH(DruidLand1,$T56,1),0)&gt;0,IFERROR(SEARCH(DruidLand2,$T56,1),0)&gt;0,IFERROR(SEARCH(DruidLand3,$T56,1),0)&gt;0,IFERROR(SEARCH(DruidLand4,$T56,1),0)&gt;0),1,0)*IF($C56=1,1,0)*IF($C56=DJ$2,1,0)=0,0,1+COUNTIF(DJ$3:DJ55,"&gt;0"))</f>
        <v>0</v>
      </c>
      <c r="DK56">
        <f>IF(IF(OR(IFERROR(SEARCH("Druid",$T56,1),0)&gt;0,IFERROR(SEARCH(DruidLand1,$T56,1),0)&gt;0,IFERROR(SEARCH(DruidLand2,$T56,1),0)&gt;0,IFERROR(SEARCH(DruidLand3,$T56,1),0)&gt;0,IFERROR(SEARCH(DruidLand4,$T56,1),0)&gt;0),1,0)*IF($C56=1,1,0)*IF($C56=DK$2,1,0)=0,0,1+COUNTIF(DK$3:DK55,"&gt;0"))</f>
        <v>0</v>
      </c>
      <c r="DL56">
        <f>IF(IF(OR(IFERROR(SEARCH("Druid",$T56,1),0)&gt;0,IFERROR(SEARCH(DruidLand1,$T56,1),0)&gt;0,IFERROR(SEARCH(DruidLand2,$T56,1),0)&gt;0,IFERROR(SEARCH(DruidLand3,$T56,1),0)&gt;0,IFERROR(SEARCH(DruidLand4,$T56,1),0)&gt;0),1,0)*IF($C56=1,1,0)*IF($C56=DL$2,1,0)=0,0,1+COUNTIF(DL$3:DL55,"&gt;0"))</f>
        <v>0</v>
      </c>
      <c r="DM56">
        <f>IF(IF(OR(IFERROR(SEARCH("Druid",$T56,1),0)&gt;0,IFERROR(SEARCH(DruidLand1,$T56,1),0)&gt;0,IFERROR(SEARCH(DruidLand2,$T56,1),0)&gt;0,IFERROR(SEARCH(DruidLand3,$T56,1),0)&gt;0,IFERROR(SEARCH(DruidLand4,$T56,1),0)&gt;0),1,0)*IF($C56=1,1,0)*IF($C56=DM$2,1,0)=0,0,1+COUNTIF(DM$3:DM55,"&gt;0"))</f>
        <v>0</v>
      </c>
      <c r="DN56">
        <f>IF(IF(OR(IFERROR(SEARCH("Druid",$T56,1),0)&gt;0,IFERROR(SEARCH(DruidLand1,$T56,1),0)&gt;0,IFERROR(SEARCH(DruidLand2,$T56,1),0)&gt;0,IFERROR(SEARCH(DruidLand3,$T56,1),0)&gt;0,IFERROR(SEARCH(DruidLand4,$T56,1),0)&gt;0),1,0)*IF($C56=1,1,0)*IF($C56=DN$2,1,0)=0,0,1+COUNTIF(DN$3:DN55,"&gt;0"))</f>
        <v>0</v>
      </c>
      <c r="DO56">
        <f>IF(IF(OR(IFERROR(SEARCH("Druid",$T56,1),0)&gt;0,IFERROR(SEARCH(DruidLand1,$T56,1),0)&gt;0,IFERROR(SEARCH(DruidLand2,$T56,1),0)&gt;0,IFERROR(SEARCH(DruidLand3,$T56,1),0)&gt;0,IFERROR(SEARCH(DruidLand4,$T56,1),0)&gt;0),1,0)*IF($C56=1,1,0)*IF($C56=DO$2,1,0)=0,0,1+COUNTIF(DO$3:DO55,"&gt;0"))</f>
        <v>0</v>
      </c>
      <c r="DP56">
        <f>IF(IF(OR(IFERROR(SEARCH("Druid",$T56,1),0)&gt;0,IFERROR(SEARCH(DruidLand1,$T56,1),0)&gt;0,IFERROR(SEARCH(DruidLand2,$T56,1),0)&gt;0,IFERROR(SEARCH(DruidLand3,$T56,1),0)&gt;0,IFERROR(SEARCH(DruidLand4,$T56,1),0)&gt;0),1,0)*IF($C56=1,1,0)*IF($C56=DP$2,1,0)=0,0,1+COUNTIF(DP$3:DP55,"&gt;0"))</f>
        <v>0</v>
      </c>
      <c r="DQ56">
        <f>IF(IF(OR(IFERROR(SEARCH("Druid",$T56,1),0)&gt;0,IFERROR(SEARCH(DruidLand1,$T56,1),0)&gt;0,IFERROR(SEARCH(DruidLand2,$T56,1),0)&gt;0,IFERROR(SEARCH(DruidLand3,$T56,1),0)&gt;0,IFERROR(SEARCH(DruidLand4,$T56,1),0)&gt;0),1,0)*IF($C56=1,1,0)*IF($C56=DQ$2,1,0)=0,0,1+COUNTIF(DQ$3:DQ55,"&gt;0"))</f>
        <v>0</v>
      </c>
      <c r="DR56">
        <f>IF(IF(OR(IFERROR(SEARCH("Druid",$T56,1),0)&gt;0,IFERROR(SEARCH(DruidLand1,$T56,1),0)&gt;0,IFERROR(SEARCH(DruidLand2,$T56,1),0)&gt;0,IFERROR(SEARCH(DruidLand3,$T56,1),0)&gt;0,IFERROR(SEARCH(DruidLand4,$T56,1),0)&gt;0),1,0)*IF($C56=1,1,0)*IF($C56=DR$2,1,0)=0,0,1+COUNTIF(DR$3:DR55,"&gt;0"))</f>
        <v>0</v>
      </c>
      <c r="DS56">
        <f>IF(IF(OR(IFERROR(SEARCH("Paladin",$T56,1),0)&gt;0,IFERROR(SEARCH(PaladinOath,$T56,1),0)&gt;0),1,0)*IF($C56=DS$2,1,0)=1,1+COUNTIF(DS$3:DS55,"&gt;0"),0)</f>
        <v>0</v>
      </c>
      <c r="DT56">
        <f>IF(IF(OR(IFERROR(SEARCH("Paladin",$T56,1),0)&gt;0,IFERROR(SEARCH(PaladinOath,$T56,1),0)&gt;0),1,0)*IF($C56=DT$2,1,0)=1,1+COUNTIF(DT$3:DT55,"&gt;0"),0)</f>
        <v>0</v>
      </c>
      <c r="DU56">
        <f>IF(IF(OR(IFERROR(SEARCH("Paladin",$T56,1),0)&gt;0,IFERROR(SEARCH(PaladinOath,$T56,1),0)&gt;0),1,0)*IF($C56=DU$2,1,0)=1,1+COUNTIF(DU$3:DU55,"&gt;0"),0)</f>
        <v>0</v>
      </c>
      <c r="DV56">
        <f>IF(IF(OR(IFERROR(SEARCH("Paladin",$T56,1),0)&gt;0,IFERROR(SEARCH(PaladinOath,$T56,1),0)&gt;0),1,0)*IF($C56=DV$2,1,0)=1,1+COUNTIF(DV$3:DV55,"&gt;0"),0)</f>
        <v>0</v>
      </c>
      <c r="DW56">
        <f>IF(IF(OR(IFERROR(SEARCH("Paladin",$T56,1),0)&gt;0,IFERROR(SEARCH(PaladinOath,$T56,1),0)&gt;0),1,0)*IF($C56=DW$2,1,0)=1,1+COUNTIF(DW$3:DW55,"&gt;0"),0)</f>
        <v>0</v>
      </c>
      <c r="DY56">
        <f t="shared" si="2"/>
        <v>1</v>
      </c>
      <c r="DZ56">
        <f>IF(DY56=0,0,1+MAX(DZ$3:$DZ55))</f>
        <v>54</v>
      </c>
      <c r="EB56">
        <f t="shared" si="16"/>
        <v>0</v>
      </c>
      <c r="EC56">
        <f>IF(EB56=0,0,1+COUNTIF(EC$3:EC55,"&gt;0"))</f>
        <v>0</v>
      </c>
      <c r="ED56" t="str">
        <f t="shared" si="44"/>
        <v/>
      </c>
      <c r="EE56" t="str">
        <f t="shared" si="17"/>
        <v/>
      </c>
      <c r="EG56">
        <f t="shared" si="18"/>
        <v>0</v>
      </c>
      <c r="EH56">
        <f>IF(EG56=0,0,1+COUNTIF(EH$3:EH55,"&gt;0"))</f>
        <v>0</v>
      </c>
      <c r="EI56" t="str">
        <f t="shared" si="45"/>
        <v/>
      </c>
      <c r="EJ56" t="str">
        <f t="shared" si="19"/>
        <v/>
      </c>
      <c r="EL56">
        <f t="shared" si="20"/>
        <v>0</v>
      </c>
      <c r="EM56">
        <f>IF(EL56=0,0,1+COUNTIF(EM$3:EM55,"&gt;0"))</f>
        <v>0</v>
      </c>
      <c r="EN56" t="str">
        <f t="shared" si="46"/>
        <v/>
      </c>
      <c r="EO56" t="str">
        <f t="shared" si="21"/>
        <v/>
      </c>
      <c r="EQ56">
        <f t="shared" si="22"/>
        <v>0</v>
      </c>
      <c r="ER56">
        <f>IF(EQ56=0,0,1+COUNTIF(ER$3:ER55,"&gt;0"))</f>
        <v>0</v>
      </c>
      <c r="ES56" t="str">
        <f t="shared" si="47"/>
        <v/>
      </c>
      <c r="ET56" t="str">
        <f t="shared" si="23"/>
        <v/>
      </c>
      <c r="EV56">
        <f t="shared" si="24"/>
        <v>0</v>
      </c>
      <c r="EW56">
        <f>IF(EV56=0,0,1+COUNTIF(EW$3:EW55,"&gt;0"))</f>
        <v>0</v>
      </c>
      <c r="EX56" t="str">
        <f t="shared" si="48"/>
        <v/>
      </c>
      <c r="EY56" t="str">
        <f t="shared" si="25"/>
        <v/>
      </c>
      <c r="FA56">
        <f t="shared" si="26"/>
        <v>0</v>
      </c>
      <c r="FB56">
        <f>IF(FA56=0,0,1+COUNTIF(FB$3:FB55,"&gt;0"))</f>
        <v>0</v>
      </c>
      <c r="FC56" t="str">
        <f t="shared" si="49"/>
        <v/>
      </c>
      <c r="FD56" t="str">
        <f t="shared" si="27"/>
        <v/>
      </c>
      <c r="FF56">
        <f t="shared" si="28"/>
        <v>0</v>
      </c>
      <c r="FG56">
        <f>IF(FF56=0,0,1+COUNTIF(FG$3:FG55,"&gt;0"))</f>
        <v>0</v>
      </c>
      <c r="FH56" t="str">
        <f t="shared" si="50"/>
        <v/>
      </c>
      <c r="FI56" t="str">
        <f t="shared" si="29"/>
        <v/>
      </c>
      <c r="FK56">
        <f t="shared" si="30"/>
        <v>0</v>
      </c>
      <c r="FL56">
        <f>IF(FK56=0,0,1+COUNTIF(FL$3:FL55,"&gt;0"))</f>
        <v>0</v>
      </c>
      <c r="FM56" t="str">
        <f t="shared" si="51"/>
        <v/>
      </c>
      <c r="FN56" t="str">
        <f t="shared" si="31"/>
        <v/>
      </c>
      <c r="FP56">
        <f t="shared" si="32"/>
        <v>0</v>
      </c>
      <c r="FQ56">
        <f>IF(FP56=0,0,1+COUNTIF(FQ$3:FQ55,"&gt;0"))</f>
        <v>0</v>
      </c>
      <c r="FR56" t="str">
        <f t="shared" si="52"/>
        <v/>
      </c>
      <c r="FS56" t="str">
        <f t="shared" si="33"/>
        <v/>
      </c>
    </row>
    <row r="57" spans="1:175" x14ac:dyDescent="0.25">
      <c r="A57" s="347">
        <f t="shared" si="53"/>
        <v>55</v>
      </c>
      <c r="B57" s="348" t="s">
        <v>2418</v>
      </c>
      <c r="C57" s="348">
        <v>1</v>
      </c>
      <c r="D57" s="347">
        <v>1</v>
      </c>
      <c r="E57" s="627" t="s">
        <v>6952</v>
      </c>
      <c r="F57" s="346"/>
      <c r="G57" s="347" t="str">
        <f>""</f>
        <v/>
      </c>
      <c r="H57" s="347" t="s">
        <v>5912</v>
      </c>
      <c r="I57" s="347" t="s">
        <v>424</v>
      </c>
      <c r="J57" s="347" t="str">
        <f t="shared" si="3"/>
        <v/>
      </c>
      <c r="K57" s="347" t="s">
        <v>5313</v>
      </c>
      <c r="L57" s="611" t="str">
        <f t="shared" si="4"/>
        <v>V</v>
      </c>
      <c r="M57" s="347" t="s">
        <v>2373</v>
      </c>
      <c r="N57" s="347" t="s">
        <v>3034</v>
      </c>
      <c r="O57" s="347" t="s">
        <v>3034</v>
      </c>
      <c r="P57" s="346" t="str">
        <f>""</f>
        <v/>
      </c>
      <c r="Q57" s="347" t="s">
        <v>5272</v>
      </c>
      <c r="S57" s="346" t="s">
        <v>5625</v>
      </c>
      <c r="T57" s="346" t="str">
        <f t="shared" si="5"/>
        <v xml:space="preserve">Paladin, Cleric, Archfiend, Knowledge, </v>
      </c>
      <c r="V57" s="347" t="str">
        <f>$B57</f>
        <v>Command</v>
      </c>
      <c r="Z57" s="347" t="str">
        <f>$B57</f>
        <v>Command</v>
      </c>
      <c r="AE57" t="str">
        <f>IF(IFERROR(MATCH($B57,temp!A$4:A$13,0),0)&gt;0,T08_Spells!AE$2,"")</f>
        <v/>
      </c>
      <c r="AF57" t="str">
        <f>IF(IFERROR(MATCH($B57,temp!B$4:B$13,0),0)&gt;0,T08_Spells!AF$2,"")</f>
        <v/>
      </c>
      <c r="AG57" t="str">
        <f>IF(IFERROR(MATCH($B57,temp!C$4:C$13,0),0)&gt;0,T08_Spells!AG$2,"")</f>
        <v/>
      </c>
      <c r="AH57" t="str">
        <f>IF(IFERROR(MATCH($B57,temp!D$4:D$13,0),0)&gt;0,T08_Spells!AH$2,"")</f>
        <v/>
      </c>
      <c r="AI57" t="str">
        <f>IF(IFERROR(MATCH($B57,temp!E$4:E$13,0),0)&gt;0,T08_Spells!AI$2,"")</f>
        <v/>
      </c>
      <c r="AJ57" t="str">
        <f>IF(IFERROR(MATCH($B57,temp!F$4:F$13,0),0)&gt;0,T08_Spells!AJ$2,"")</f>
        <v>Archfiend</v>
      </c>
      <c r="AK57" t="str">
        <f>IF(IFERROR(MATCH($B57,temp!G$4:G$13,0),0)&gt;0,T08_Spells!AK$2,"")</f>
        <v/>
      </c>
      <c r="AL57" t="str">
        <f>IF(IFERROR(MATCH($B57,temp!H$4:H$13,0),0)&gt;0,T08_Spells!AL$2,"")</f>
        <v/>
      </c>
      <c r="AM57" t="str">
        <f>IF(IFERROR(MATCH($B57,temp!I$4:I$13,0),0)&gt;0,T08_Spells!AM$2,"")</f>
        <v/>
      </c>
      <c r="AN57" t="str">
        <f>IF(IFERROR(MATCH($B57,temp!J$4:J$13,0),0)&gt;0,T08_Spells!AN$2,"")</f>
        <v/>
      </c>
      <c r="AO57" t="str">
        <f>IF(IFERROR(MATCH($B57,temp!K$4:K$13,0),0)&gt;0,T08_Spells!AO$2,"")</f>
        <v/>
      </c>
      <c r="AP57" t="str">
        <f>IF(IFERROR(MATCH($B57,temp!L$4:L$13,0),0)&gt;0,T08_Spells!AP$2,"")</f>
        <v/>
      </c>
      <c r="AQ57" t="str">
        <f>IF(IFERROR(MATCH($B57,temp!M$4:M$13,0),0)&gt;0,T08_Spells!AQ$2,"")</f>
        <v/>
      </c>
      <c r="AR57" t="str">
        <f>IF(IFERROR(MATCH($B57,temp!N$4:N$13,0),0)&gt;0,T08_Spells!AR$2,"")</f>
        <v/>
      </c>
      <c r="AS57" t="str">
        <f>IF(IFERROR(MATCH($B57,temp!O$4:O$13,0),0)&gt;0,T08_Spells!AS$2,"")</f>
        <v/>
      </c>
      <c r="AT57" t="str">
        <f>IF(IFERROR(MATCH($B57,temp!P$4:P$13,0),0)&gt;0,T08_Spells!AT$2,"")</f>
        <v>Knowledge</v>
      </c>
      <c r="AU57" t="str">
        <f>IF(IFERROR(MATCH($B57,temp!Q$4:Q$13,0),0)&gt;0,T08_Spells!AU$2,"")</f>
        <v/>
      </c>
      <c r="AV57" t="str">
        <f>IF(IFERROR(MATCH($B57,temp!R$4:R$13,0),0)&gt;0,T08_Spells!AV$2,"")</f>
        <v/>
      </c>
      <c r="AW57" t="str">
        <f>IF(IFERROR(MATCH($B57,temp!S$4:S$13,0),0)&gt;0,T08_Spells!AW$2,"")</f>
        <v/>
      </c>
      <c r="AX57" t="str">
        <f>IF(IFERROR(MATCH($B57,temp!T$4:T$13,0),0)&gt;0,T08_Spells!AX$2,"")</f>
        <v/>
      </c>
      <c r="AY57" t="str">
        <f>IF(IFERROR(MATCH($B57,temp!U$4:U$13,0),0)&gt;0,T08_Spells!AY$2,"")</f>
        <v/>
      </c>
      <c r="AZ57" t="str">
        <f>IF(IFERROR(MATCH($B57,temp!V$4:V$13,0),0)&gt;0,T08_Spells!AZ$2,"")</f>
        <v/>
      </c>
      <c r="BA57" t="str">
        <f>IF(IFERROR(MATCH($B57,temp!W$4:W$13,0),0)&gt;0,T08_Spells!BA$2,"")</f>
        <v/>
      </c>
      <c r="BC57">
        <f>IF(IFERROR(SEARCH("Ranger",$T57,1),0)&gt;0,1,0)*IF(RangerMaxSpellLevel&gt;=$C57,1,0)*IF(IFERROR(MATCH(B57,Character_Creation!$X$79:$X$382,0),0)&gt;0,0,1)</f>
        <v>0</v>
      </c>
      <c r="BD57">
        <f>IF(BC57=0,0,1+COUNTIF(BD$3:BD56,"&gt;0"))</f>
        <v>0</v>
      </c>
      <c r="BE57" t="str">
        <f t="shared" si="34"/>
        <v/>
      </c>
      <c r="BF57" t="str">
        <f t="shared" si="6"/>
        <v/>
      </c>
      <c r="BH57">
        <f>IF(IFERROR(SEARCH("Sorcerer",$T57,1),0)&gt;0,1,0)*IF(SorcererMaxSpellLevel&gt;=$C57,1,0)*IF(IFERROR(MATCH(B57,Character_Creation!$J$380:$J$394,0),0)&gt;0,0,1)</f>
        <v>0</v>
      </c>
      <c r="BI57">
        <f>IF(BH57=0,0,1+COUNTIF(BI$3:BI56,"&gt;0"))</f>
        <v>0</v>
      </c>
      <c r="BJ57" t="str">
        <f t="shared" si="35"/>
        <v/>
      </c>
      <c r="BK57" t="str">
        <f t="shared" si="7"/>
        <v/>
      </c>
      <c r="BM57">
        <f>IF(OR(IFERROR(SEARCH("Warlock",$T57,1),0)&gt;0,IFERROR(SEARCH(WarlockPatron,$T57,1),0)&gt;0),1,0)*IF(WarlockMaxSpellLevel&gt;=$C57,1,0)*IF(IFERROR(MATCH(B57,Character_Creation!$J$361:$J$375,0),0)&gt;0,0,1)</f>
        <v>0</v>
      </c>
      <c r="BN57">
        <f>IF(BM57=0,0,1+COUNTIF(BN$3:BN56,"&gt;0"))</f>
        <v>0</v>
      </c>
      <c r="BO57" t="str">
        <f t="shared" si="36"/>
        <v/>
      </c>
      <c r="BP57" t="str">
        <f t="shared" si="8"/>
        <v/>
      </c>
      <c r="BR57">
        <f>IF(IFERROR(SEARCH("Eldritch Knight",$T57,1),0)&gt;0,1,0)*IF(EldritchKnightMaxSpellLevel&gt;=$C57,1,0)*IF(IFERROR(MATCH($B57,Character_Creation!$J$350:$J$356,0),0)&gt;0,0,1)*IF(Character_Creation!$M$338&gt;0,1,0)</f>
        <v>0</v>
      </c>
      <c r="BS57">
        <f>IF(BR57=0,0,1+COUNTIF(BS$3:BS56,"&gt;0"))</f>
        <v>0</v>
      </c>
      <c r="BT57" t="str">
        <f t="shared" si="37"/>
        <v/>
      </c>
      <c r="BU57" t="str">
        <f t="shared" si="9"/>
        <v/>
      </c>
      <c r="BW57">
        <f>IF(IFERROR(SEARCH("Arcane Trickster",$T57,1),0)&gt;0,1,0)*IF(ArcaneTricksterMaxSpellLevel&gt;=$C57,1,0)*IF(IFERROR(MATCH($B57,Character_Creation!$J$350:$J$356,0),0)&gt;0,0,1)*IF(Character_Creation!$T$338&gt;0,1,0)</f>
        <v>0</v>
      </c>
      <c r="BX57">
        <f>IF(BW57=0,0,1+COUNTIF(BX$3:BX56,"&gt;0"))</f>
        <v>0</v>
      </c>
      <c r="BY57" t="str">
        <f t="shared" si="38"/>
        <v/>
      </c>
      <c r="BZ57" t="str">
        <f t="shared" si="10"/>
        <v/>
      </c>
      <c r="CB57">
        <f>IF(IFERROR(SEARCH("Wizard",$T57,1),0)&gt;0,1,0)*IF(C57&lt;=ArcaneTricksterMaxSpellLevel,1,0)*IF(IFERROR(MATCH($B57,Character_Creation!$J$350:$J$356,0),0)&gt;0,0,1)*IF(Character_Creation!$T$350&gt;0,1,0)</f>
        <v>0</v>
      </c>
      <c r="CC57">
        <f>IF(CB57=0,0,1+COUNTIF(CC$3:CC56,"&gt;0"))</f>
        <v>0</v>
      </c>
      <c r="CD57" t="str">
        <f t="shared" si="39"/>
        <v/>
      </c>
      <c r="CE57" t="str">
        <f t="shared" si="11"/>
        <v/>
      </c>
      <c r="CG57">
        <f>IF(IFERROR(SEARCH("Wizard",$T57,1),0)&gt;0,1,0)*IF($C57&lt;=EldritchKnightMaxSpellLevel,1,0)*IF(IFERROR(MATCH($B57,Character_Creation!$J$350:$J$356,0),0)&gt;0,0,1)*IF(Character_Creation!$M$350&gt;0,1,0)</f>
        <v>0</v>
      </c>
      <c r="CH57">
        <f>IF(CG57=0,0,1+COUNTIF(CH$3:CH56,"&gt;0"))</f>
        <v>0</v>
      </c>
      <c r="CI57">
        <f t="shared" si="40"/>
        <v>55</v>
      </c>
      <c r="CJ57" t="str">
        <f t="shared" si="12"/>
        <v>Sleep</v>
      </c>
      <c r="CL57">
        <f>IF(IFERROR(SEARCH("Bard",$T57,1),0)&gt;0,1,0)*IF(BardMaxSpellLevel&gt;=$C57,1,0)*IF(IFERROR(MATCH(B57,Character_Creation!$C$341:$F$362,0),0)&gt;0,0,1)*IF(IFERROR(MATCH($B57,Character_Creation!$C$341:$C$362,0),0)&gt;0,0,1)</f>
        <v>0</v>
      </c>
      <c r="CM57">
        <f>IF(CL57=0,0,1+COUNTIF(CM$3:CM56,"&gt;0"))</f>
        <v>0</v>
      </c>
      <c r="CN57" t="str">
        <f t="shared" si="41"/>
        <v/>
      </c>
      <c r="CO57" t="str">
        <f t="shared" si="13"/>
        <v/>
      </c>
      <c r="CQ57">
        <f>IF(IFERROR(SEARCH("Wizard",$T57,1),0)&gt;0,1,0)*IF(WizardMaxSpellLevel&gt;=$C57,1,0)*IF(IFERROR(MATCH(B57,Character_Creation!$X$341:$X$400,0),0)&gt;0,0,1)*IF(SelectedWizardSpellLevel=$C57,1,0)</f>
        <v>0</v>
      </c>
      <c r="CR57">
        <f>IF(CQ57=0,0,1+COUNTIF(CR$3:CR56,"&gt;0"))</f>
        <v>0</v>
      </c>
      <c r="CS57" t="str">
        <f t="shared" si="42"/>
        <v/>
      </c>
      <c r="CT57" t="str">
        <f t="shared" si="14"/>
        <v/>
      </c>
      <c r="CV57">
        <f>IF(IFERROR(MATCH($B57,Character_Creation!$C$341:$C$362,0),0)&gt;0,0,1)*IF(OR(C57="Cantrip",C57&lt;=BardMaxSpellLevel),1,0)*IF(IFERROR(MATCH($B57,Character_Creation!$C$367:$C$374,0),0)&gt;0,0,1)</f>
        <v>0</v>
      </c>
      <c r="CW57">
        <f>IF(CV57=0,0,1+COUNTIF(CW$3:CW56,"&gt;0"))</f>
        <v>0</v>
      </c>
      <c r="CX57" t="str">
        <f t="shared" si="43"/>
        <v/>
      </c>
      <c r="CY57" t="str">
        <f t="shared" si="15"/>
        <v/>
      </c>
      <c r="DA57">
        <f>IF(IF(OR(IFERROR(SEARCH("Cleric",$T57,1),0)&gt;0,IFERROR(SEARCH(DivineDomain&amp;",",$T57,1),0)&gt;0),1,0)*IF($C57=DA$2,1,0)=1,1+COUNTIF(DA$3:DA56,"&gt;0"),0)</f>
        <v>3</v>
      </c>
      <c r="DB57">
        <f>IF(IF(OR(IFERROR(SEARCH("Cleric",$T57,1),0)&gt;0,IFERROR(SEARCH(DivineDomain&amp;",",$T57,1),0)&gt;0),1,0)*IF($C57=DB$2,1,0)=1,1+COUNTIF(DB$3:DB56,"&gt;0"),0)</f>
        <v>0</v>
      </c>
      <c r="DC57">
        <f>IF(IF(OR(IFERROR(SEARCH("Cleric",$T57,1),0)&gt;0,IFERROR(SEARCH(DivineDomain&amp;",",$T57,1),0)&gt;0),1,0)*IF($C57=DC$2,1,0)=1,1+COUNTIF(DC$3:DC56,"&gt;0"),0)</f>
        <v>0</v>
      </c>
      <c r="DD57">
        <f>IF(IF(OR(IFERROR(SEARCH("Cleric",$T57,1),0)&gt;0,IFERROR(SEARCH(DivineDomain&amp;",",$T57,1),0)&gt;0),1,0)*IF($C57=DD$2,1,0)=1,1+COUNTIF(DD$3:DD56,"&gt;0"),0)</f>
        <v>0</v>
      </c>
      <c r="DE57">
        <f>IF(IF(OR(IFERROR(SEARCH("Cleric",$T57,1),0)&gt;0,IFERROR(SEARCH(DivineDomain&amp;",",$T57,1),0)&gt;0),1,0)*IF($C57=DE$2,1,0)=1,1+COUNTIF(DE$3:DE56,"&gt;0"),0)</f>
        <v>0</v>
      </c>
      <c r="DF57">
        <f>IF(IF(OR(IFERROR(SEARCH("Cleric",$T57,1),0)&gt;0,IFERROR(SEARCH(DivineDomain&amp;",",$T57,1),0)&gt;0),1,0)*IF($C57=DF$2,1,0)=1,1+COUNTIF(DF$3:DF56,"&gt;0"),0)</f>
        <v>0</v>
      </c>
      <c r="DG57">
        <f>IF(IF(OR(IFERROR(SEARCH("Cleric",$T57,1),0)&gt;0,IFERROR(SEARCH(DivineDomain&amp;",",$T57,1),0)&gt;0),1,0)*IF($C57=DG$2,1,0)=1,1+COUNTIF(DG$3:DG56,"&gt;0"),0)</f>
        <v>0</v>
      </c>
      <c r="DH57">
        <f>IF(IF(OR(IFERROR(SEARCH("Cleric",$T57,1),0)&gt;0,IFERROR(SEARCH(DivineDomain&amp;",",$T57,1),0)&gt;0),1,0)*IF($C57=DH$2,1,0)=1,1+COUNTIF(DH$3:DH56,"&gt;0"),0)</f>
        <v>0</v>
      </c>
      <c r="DI57">
        <f>IF(IF(OR(IFERROR(SEARCH("Cleric",$T57,1),0)&gt;0,IFERROR(SEARCH(DivineDomain&amp;",",$T57,1),0)&gt;0),1,0)*IF($C57=DI$2,1,0)=1,1+COUNTIF(DI$3:DI56,"&gt;0"),0)</f>
        <v>0</v>
      </c>
      <c r="DJ57">
        <f>IF(IF(OR(IFERROR(SEARCH("Druid",$T57,1),0)&gt;0,IFERROR(SEARCH(DruidLand1,$T57,1),0)&gt;0,IFERROR(SEARCH(DruidLand2,$T57,1),0)&gt;0,IFERROR(SEARCH(DruidLand3,$T57,1),0)&gt;0,IFERROR(SEARCH(DruidLand4,$T57,1),0)&gt;0),1,0)*IF($C57=1,1,0)*IF($C57=DJ$2,1,0)=0,0,1+COUNTIF(DJ$3:DJ56,"&gt;0"))</f>
        <v>0</v>
      </c>
      <c r="DK57">
        <f>IF(IF(OR(IFERROR(SEARCH("Druid",$T57,1),0)&gt;0,IFERROR(SEARCH(DruidLand1,$T57,1),0)&gt;0,IFERROR(SEARCH(DruidLand2,$T57,1),0)&gt;0,IFERROR(SEARCH(DruidLand3,$T57,1),0)&gt;0,IFERROR(SEARCH(DruidLand4,$T57,1),0)&gt;0),1,0)*IF($C57=1,1,0)*IF($C57=DK$2,1,0)=0,0,1+COUNTIF(DK$3:DK56,"&gt;0"))</f>
        <v>0</v>
      </c>
      <c r="DL57">
        <f>IF(IF(OR(IFERROR(SEARCH("Druid",$T57,1),0)&gt;0,IFERROR(SEARCH(DruidLand1,$T57,1),0)&gt;0,IFERROR(SEARCH(DruidLand2,$T57,1),0)&gt;0,IFERROR(SEARCH(DruidLand3,$T57,1),0)&gt;0,IFERROR(SEARCH(DruidLand4,$T57,1),0)&gt;0),1,0)*IF($C57=1,1,0)*IF($C57=DL$2,1,0)=0,0,1+COUNTIF(DL$3:DL56,"&gt;0"))</f>
        <v>0</v>
      </c>
      <c r="DM57">
        <f>IF(IF(OR(IFERROR(SEARCH("Druid",$T57,1),0)&gt;0,IFERROR(SEARCH(DruidLand1,$T57,1),0)&gt;0,IFERROR(SEARCH(DruidLand2,$T57,1),0)&gt;0,IFERROR(SEARCH(DruidLand3,$T57,1),0)&gt;0,IFERROR(SEARCH(DruidLand4,$T57,1),0)&gt;0),1,0)*IF($C57=1,1,0)*IF($C57=DM$2,1,0)=0,0,1+COUNTIF(DM$3:DM56,"&gt;0"))</f>
        <v>0</v>
      </c>
      <c r="DN57">
        <f>IF(IF(OR(IFERROR(SEARCH("Druid",$T57,1),0)&gt;0,IFERROR(SEARCH(DruidLand1,$T57,1),0)&gt;0,IFERROR(SEARCH(DruidLand2,$T57,1),0)&gt;0,IFERROR(SEARCH(DruidLand3,$T57,1),0)&gt;0,IFERROR(SEARCH(DruidLand4,$T57,1),0)&gt;0),1,0)*IF($C57=1,1,0)*IF($C57=DN$2,1,0)=0,0,1+COUNTIF(DN$3:DN56,"&gt;0"))</f>
        <v>0</v>
      </c>
      <c r="DO57">
        <f>IF(IF(OR(IFERROR(SEARCH("Druid",$T57,1),0)&gt;0,IFERROR(SEARCH(DruidLand1,$T57,1),0)&gt;0,IFERROR(SEARCH(DruidLand2,$T57,1),0)&gt;0,IFERROR(SEARCH(DruidLand3,$T57,1),0)&gt;0,IFERROR(SEARCH(DruidLand4,$T57,1),0)&gt;0),1,0)*IF($C57=1,1,0)*IF($C57=DO$2,1,0)=0,0,1+COUNTIF(DO$3:DO56,"&gt;0"))</f>
        <v>0</v>
      </c>
      <c r="DP57">
        <f>IF(IF(OR(IFERROR(SEARCH("Druid",$T57,1),0)&gt;0,IFERROR(SEARCH(DruidLand1,$T57,1),0)&gt;0,IFERROR(SEARCH(DruidLand2,$T57,1),0)&gt;0,IFERROR(SEARCH(DruidLand3,$T57,1),0)&gt;0,IFERROR(SEARCH(DruidLand4,$T57,1),0)&gt;0),1,0)*IF($C57=1,1,0)*IF($C57=DP$2,1,0)=0,0,1+COUNTIF(DP$3:DP56,"&gt;0"))</f>
        <v>0</v>
      </c>
      <c r="DQ57">
        <f>IF(IF(OR(IFERROR(SEARCH("Druid",$T57,1),0)&gt;0,IFERROR(SEARCH(DruidLand1,$T57,1),0)&gt;0,IFERROR(SEARCH(DruidLand2,$T57,1),0)&gt;0,IFERROR(SEARCH(DruidLand3,$T57,1),0)&gt;0,IFERROR(SEARCH(DruidLand4,$T57,1),0)&gt;0),1,0)*IF($C57=1,1,0)*IF($C57=DQ$2,1,0)=0,0,1+COUNTIF(DQ$3:DQ56,"&gt;0"))</f>
        <v>0</v>
      </c>
      <c r="DR57">
        <f>IF(IF(OR(IFERROR(SEARCH("Druid",$T57,1),0)&gt;0,IFERROR(SEARCH(DruidLand1,$T57,1),0)&gt;0,IFERROR(SEARCH(DruidLand2,$T57,1),0)&gt;0,IFERROR(SEARCH(DruidLand3,$T57,1),0)&gt;0,IFERROR(SEARCH(DruidLand4,$T57,1),0)&gt;0),1,0)*IF($C57=1,1,0)*IF($C57=DR$2,1,0)=0,0,1+COUNTIF(DR$3:DR56,"&gt;0"))</f>
        <v>0</v>
      </c>
      <c r="DS57">
        <f>IF(IF(OR(IFERROR(SEARCH("Paladin",$T57,1),0)&gt;0,IFERROR(SEARCH(PaladinOath,$T57,1),0)&gt;0),1,0)*IF($C57=DS$2,1,0)=1,1+COUNTIF(DS$3:DS56,"&gt;0"),0)</f>
        <v>2</v>
      </c>
      <c r="DT57">
        <f>IF(IF(OR(IFERROR(SEARCH("Paladin",$T57,1),0)&gt;0,IFERROR(SEARCH(PaladinOath,$T57,1),0)&gt;0),1,0)*IF($C57=DT$2,1,0)=1,1+COUNTIF(DT$3:DT56,"&gt;0"),0)</f>
        <v>0</v>
      </c>
      <c r="DU57">
        <f>IF(IF(OR(IFERROR(SEARCH("Paladin",$T57,1),0)&gt;0,IFERROR(SEARCH(PaladinOath,$T57,1),0)&gt;0),1,0)*IF($C57=DU$2,1,0)=1,1+COUNTIF(DU$3:DU56,"&gt;0"),0)</f>
        <v>0</v>
      </c>
      <c r="DV57">
        <f>IF(IF(OR(IFERROR(SEARCH("Paladin",$T57,1),0)&gt;0,IFERROR(SEARCH(PaladinOath,$T57,1),0)&gt;0),1,0)*IF($C57=DV$2,1,0)=1,1+COUNTIF(DV$3:DV56,"&gt;0"),0)</f>
        <v>0</v>
      </c>
      <c r="DW57">
        <f>IF(IF(OR(IFERROR(SEARCH("Paladin",$T57,1),0)&gt;0,IFERROR(SEARCH(PaladinOath,$T57,1),0)&gt;0),1,0)*IF($C57=DW$2,1,0)=1,1+COUNTIF(DW$3:DW56,"&gt;0"),0)</f>
        <v>0</v>
      </c>
      <c r="DY57">
        <f t="shared" si="2"/>
        <v>1</v>
      </c>
      <c r="DZ57">
        <f>IF(DY57=0,0,1+MAX(DZ$3:$DZ56))</f>
        <v>55</v>
      </c>
      <c r="EB57">
        <f t="shared" si="16"/>
        <v>0</v>
      </c>
      <c r="EC57">
        <f>IF(EB57=0,0,1+COUNTIF(EC$3:EC56,"&gt;0"))</f>
        <v>0</v>
      </c>
      <c r="ED57" t="str">
        <f t="shared" si="44"/>
        <v/>
      </c>
      <c r="EE57" t="str">
        <f t="shared" si="17"/>
        <v/>
      </c>
      <c r="EG57">
        <f t="shared" si="18"/>
        <v>0</v>
      </c>
      <c r="EH57">
        <f>IF(EG57=0,0,1+COUNTIF(EH$3:EH56,"&gt;0"))</f>
        <v>0</v>
      </c>
      <c r="EI57" t="str">
        <f t="shared" si="45"/>
        <v/>
      </c>
      <c r="EJ57" t="str">
        <f t="shared" si="19"/>
        <v/>
      </c>
      <c r="EL57">
        <f t="shared" si="20"/>
        <v>0</v>
      </c>
      <c r="EM57">
        <f>IF(EL57=0,0,1+COUNTIF(EM$3:EM56,"&gt;0"))</f>
        <v>0</v>
      </c>
      <c r="EN57" t="str">
        <f t="shared" si="46"/>
        <v/>
      </c>
      <c r="EO57" t="str">
        <f t="shared" si="21"/>
        <v/>
      </c>
      <c r="EQ57">
        <f t="shared" si="22"/>
        <v>0</v>
      </c>
      <c r="ER57">
        <f>IF(EQ57=0,0,1+COUNTIF(ER$3:ER56,"&gt;0"))</f>
        <v>0</v>
      </c>
      <c r="ES57" t="str">
        <f t="shared" si="47"/>
        <v/>
      </c>
      <c r="ET57" t="str">
        <f t="shared" si="23"/>
        <v/>
      </c>
      <c r="EV57">
        <f t="shared" si="24"/>
        <v>0</v>
      </c>
      <c r="EW57">
        <f>IF(EV57=0,0,1+COUNTIF(EW$3:EW56,"&gt;0"))</f>
        <v>0</v>
      </c>
      <c r="EX57" t="str">
        <f t="shared" si="48"/>
        <v/>
      </c>
      <c r="EY57" t="str">
        <f t="shared" si="25"/>
        <v/>
      </c>
      <c r="FA57">
        <f t="shared" si="26"/>
        <v>0</v>
      </c>
      <c r="FB57">
        <f>IF(FA57=0,0,1+COUNTIF(FB$3:FB56,"&gt;0"))</f>
        <v>0</v>
      </c>
      <c r="FC57" t="str">
        <f t="shared" si="49"/>
        <v/>
      </c>
      <c r="FD57" t="str">
        <f t="shared" si="27"/>
        <v/>
      </c>
      <c r="FF57">
        <f t="shared" si="28"/>
        <v>0</v>
      </c>
      <c r="FG57">
        <f>IF(FF57=0,0,1+COUNTIF(FG$3:FG56,"&gt;0"))</f>
        <v>0</v>
      </c>
      <c r="FH57" t="str">
        <f t="shared" si="50"/>
        <v/>
      </c>
      <c r="FI57" t="str">
        <f t="shared" si="29"/>
        <v/>
      </c>
      <c r="FK57">
        <f t="shared" si="30"/>
        <v>0</v>
      </c>
      <c r="FL57">
        <f>IF(FK57=0,0,1+COUNTIF(FL$3:FL56,"&gt;0"))</f>
        <v>0</v>
      </c>
      <c r="FM57" t="str">
        <f t="shared" si="51"/>
        <v/>
      </c>
      <c r="FN57" t="str">
        <f t="shared" si="31"/>
        <v/>
      </c>
      <c r="FP57">
        <f t="shared" si="32"/>
        <v>0</v>
      </c>
      <c r="FQ57">
        <f>IF(FP57=0,0,1+COUNTIF(FQ$3:FQ56,"&gt;0"))</f>
        <v>0</v>
      </c>
      <c r="FR57" t="str">
        <f t="shared" si="52"/>
        <v/>
      </c>
      <c r="FS57" t="str">
        <f t="shared" si="33"/>
        <v/>
      </c>
    </row>
    <row r="58" spans="1:175" x14ac:dyDescent="0.25">
      <c r="A58" s="347">
        <f t="shared" si="53"/>
        <v>56</v>
      </c>
      <c r="B58" s="348" t="s">
        <v>2419</v>
      </c>
      <c r="C58" s="348">
        <v>5</v>
      </c>
      <c r="D58" s="347">
        <v>5</v>
      </c>
      <c r="E58" s="627" t="s">
        <v>6952</v>
      </c>
      <c r="F58" s="346"/>
      <c r="G58" s="347" t="s">
        <v>5269</v>
      </c>
      <c r="H58" s="347" t="s">
        <v>5281</v>
      </c>
      <c r="I58" s="347" t="s">
        <v>5283</v>
      </c>
      <c r="J58" s="347" t="str">
        <f t="shared" si="3"/>
        <v/>
      </c>
      <c r="K58" s="347" t="s">
        <v>5288</v>
      </c>
      <c r="L58" s="611" t="str">
        <f t="shared" si="4"/>
        <v>V, S, M, incense and a vial of holy or unholy water</v>
      </c>
      <c r="M58" s="347" t="s">
        <v>2373</v>
      </c>
      <c r="N58" s="347" t="s">
        <v>2387</v>
      </c>
      <c r="O58" s="347" t="s">
        <v>1244</v>
      </c>
      <c r="P58" s="346" t="s">
        <v>5324</v>
      </c>
      <c r="Q58" s="347" t="s">
        <v>2473</v>
      </c>
      <c r="S58" s="346" t="s">
        <v>5626</v>
      </c>
      <c r="T58" s="346" t="str">
        <f t="shared" si="5"/>
        <v xml:space="preserve">Ranger, Cleric, Devotion, </v>
      </c>
      <c r="W58" s="347" t="str">
        <f>$B58</f>
        <v>Commune</v>
      </c>
      <c r="Z58" s="347" t="str">
        <f>$B58</f>
        <v>Commune</v>
      </c>
      <c r="AE58" t="str">
        <f>IF(IFERROR(MATCH($B58,temp!A$4:A$13,0),0)&gt;0,T08_Spells!AE$2,"")</f>
        <v>Devotion</v>
      </c>
      <c r="AF58" t="str">
        <f>IF(IFERROR(MATCH($B58,temp!B$4:B$13,0),0)&gt;0,T08_Spells!AF$2,"")</f>
        <v/>
      </c>
      <c r="AG58" t="str">
        <f>IF(IFERROR(MATCH($B58,temp!C$4:C$13,0),0)&gt;0,T08_Spells!AG$2,"")</f>
        <v/>
      </c>
      <c r="AH58" t="str">
        <f>IF(IFERROR(MATCH($B58,temp!D$4:D$13,0),0)&gt;0,T08_Spells!AH$2,"")</f>
        <v/>
      </c>
      <c r="AI58" t="str">
        <f>IF(IFERROR(MATCH($B58,temp!E$4:E$13,0),0)&gt;0,T08_Spells!AI$2,"")</f>
        <v/>
      </c>
      <c r="AJ58" t="str">
        <f>IF(IFERROR(MATCH($B58,temp!F$4:F$13,0),0)&gt;0,T08_Spells!AJ$2,"")</f>
        <v/>
      </c>
      <c r="AK58" t="str">
        <f>IF(IFERROR(MATCH($B58,temp!G$4:G$13,0),0)&gt;0,T08_Spells!AK$2,"")</f>
        <v/>
      </c>
      <c r="AL58" t="str">
        <f>IF(IFERROR(MATCH($B58,temp!H$4:H$13,0),0)&gt;0,T08_Spells!AL$2,"")</f>
        <v/>
      </c>
      <c r="AM58" t="str">
        <f>IF(IFERROR(MATCH($B58,temp!I$4:I$13,0),0)&gt;0,T08_Spells!AM$2,"")</f>
        <v/>
      </c>
      <c r="AN58" t="str">
        <f>IF(IFERROR(MATCH($B58,temp!J$4:J$13,0),0)&gt;0,T08_Spells!AN$2,"")</f>
        <v/>
      </c>
      <c r="AO58" t="str">
        <f>IF(IFERROR(MATCH($B58,temp!K$4:K$13,0),0)&gt;0,T08_Spells!AO$2,"")</f>
        <v/>
      </c>
      <c r="AP58" t="str">
        <f>IF(IFERROR(MATCH($B58,temp!L$4:L$13,0),0)&gt;0,T08_Spells!AP$2,"")</f>
        <v/>
      </c>
      <c r="AQ58" t="str">
        <f>IF(IFERROR(MATCH($B58,temp!M$4:M$13,0),0)&gt;0,T08_Spells!AQ$2,"")</f>
        <v/>
      </c>
      <c r="AR58" t="str">
        <f>IF(IFERROR(MATCH($B58,temp!N$4:N$13,0),0)&gt;0,T08_Spells!AR$2,"")</f>
        <v/>
      </c>
      <c r="AS58" t="str">
        <f>IF(IFERROR(MATCH($B58,temp!O$4:O$13,0),0)&gt;0,T08_Spells!AS$2,"")</f>
        <v/>
      </c>
      <c r="AT58" t="str">
        <f>IF(IFERROR(MATCH($B58,temp!P$4:P$13,0),0)&gt;0,T08_Spells!AT$2,"")</f>
        <v/>
      </c>
      <c r="AU58" t="str">
        <f>IF(IFERROR(MATCH($B58,temp!Q$4:Q$13,0),0)&gt;0,T08_Spells!AU$2,"")</f>
        <v/>
      </c>
      <c r="AV58" t="str">
        <f>IF(IFERROR(MATCH($B58,temp!R$4:R$13,0),0)&gt;0,T08_Spells!AV$2,"")</f>
        <v/>
      </c>
      <c r="AW58" t="str">
        <f>IF(IFERROR(MATCH($B58,temp!S$4:S$13,0),0)&gt;0,T08_Spells!AW$2,"")</f>
        <v/>
      </c>
      <c r="AX58" t="str">
        <f>IF(IFERROR(MATCH($B58,temp!T$4:T$13,0),0)&gt;0,T08_Spells!AX$2,"")</f>
        <v/>
      </c>
      <c r="AY58" t="str">
        <f>IF(IFERROR(MATCH($B58,temp!U$4:U$13,0),0)&gt;0,T08_Spells!AY$2,"")</f>
        <v/>
      </c>
      <c r="AZ58" t="str">
        <f>IF(IFERROR(MATCH($B58,temp!V$4:V$13,0),0)&gt;0,T08_Spells!AZ$2,"")</f>
        <v/>
      </c>
      <c r="BA58" t="str">
        <f>IF(IFERROR(MATCH($B58,temp!W$4:W$13,0),0)&gt;0,T08_Spells!BA$2,"")</f>
        <v/>
      </c>
      <c r="BC58">
        <f>IF(IFERROR(SEARCH("Ranger",$T58,1),0)&gt;0,1,0)*IF(RangerMaxSpellLevel&gt;=$C58,1,0)*IF(IFERROR(MATCH(B58,Character_Creation!$X$79:$X$382,0),0)&gt;0,0,1)</f>
        <v>0</v>
      </c>
      <c r="BD58">
        <f>IF(BC58=0,0,1+COUNTIF(BD$3:BD57,"&gt;0"))</f>
        <v>0</v>
      </c>
      <c r="BE58" t="str">
        <f t="shared" si="34"/>
        <v/>
      </c>
      <c r="BF58" t="str">
        <f t="shared" si="6"/>
        <v/>
      </c>
      <c r="BH58">
        <f>IF(IFERROR(SEARCH("Sorcerer",$T58,1),0)&gt;0,1,0)*IF(SorcererMaxSpellLevel&gt;=$C58,1,0)*IF(IFERROR(MATCH(B58,Character_Creation!$J$380:$J$394,0),0)&gt;0,0,1)</f>
        <v>0</v>
      </c>
      <c r="BI58">
        <f>IF(BH58=0,0,1+COUNTIF(BI$3:BI57,"&gt;0"))</f>
        <v>0</v>
      </c>
      <c r="BJ58" t="str">
        <f t="shared" si="35"/>
        <v/>
      </c>
      <c r="BK58" t="str">
        <f t="shared" si="7"/>
        <v/>
      </c>
      <c r="BM58">
        <f>IF(OR(IFERROR(SEARCH("Warlock",$T58,1),0)&gt;0,IFERROR(SEARCH(WarlockPatron,$T58,1),0)&gt;0),1,0)*IF(WarlockMaxSpellLevel&gt;=$C58,1,0)*IF(IFERROR(MATCH(B58,Character_Creation!$J$361:$J$375,0),0)&gt;0,0,1)</f>
        <v>0</v>
      </c>
      <c r="BN58">
        <f>IF(BM58=0,0,1+COUNTIF(BN$3:BN57,"&gt;0"))</f>
        <v>0</v>
      </c>
      <c r="BO58" t="str">
        <f t="shared" si="36"/>
        <v/>
      </c>
      <c r="BP58" t="str">
        <f t="shared" si="8"/>
        <v/>
      </c>
      <c r="BR58">
        <f>IF(IFERROR(SEARCH("Eldritch Knight",$T58,1),0)&gt;0,1,0)*IF(EldritchKnightMaxSpellLevel&gt;=$C58,1,0)*IF(IFERROR(MATCH($B58,Character_Creation!$J$350:$J$356,0),0)&gt;0,0,1)*IF(Character_Creation!$M$338&gt;0,1,0)</f>
        <v>0</v>
      </c>
      <c r="BS58">
        <f>IF(BR58=0,0,1+COUNTIF(BS$3:BS57,"&gt;0"))</f>
        <v>0</v>
      </c>
      <c r="BT58" t="str">
        <f t="shared" si="37"/>
        <v/>
      </c>
      <c r="BU58" t="str">
        <f t="shared" si="9"/>
        <v/>
      </c>
      <c r="BW58">
        <f>IF(IFERROR(SEARCH("Arcane Trickster",$T58,1),0)&gt;0,1,0)*IF(ArcaneTricksterMaxSpellLevel&gt;=$C58,1,0)*IF(IFERROR(MATCH($B58,Character_Creation!$J$350:$J$356,0),0)&gt;0,0,1)*IF(Character_Creation!$T$338&gt;0,1,0)</f>
        <v>0</v>
      </c>
      <c r="BX58">
        <f>IF(BW58=0,0,1+COUNTIF(BX$3:BX57,"&gt;0"))</f>
        <v>0</v>
      </c>
      <c r="BY58" t="str">
        <f t="shared" si="38"/>
        <v/>
      </c>
      <c r="BZ58" t="str">
        <f t="shared" si="10"/>
        <v/>
      </c>
      <c r="CB58">
        <f>IF(IFERROR(SEARCH("Wizard",$T58,1),0)&gt;0,1,0)*IF(C58&lt;=ArcaneTricksterMaxSpellLevel,1,0)*IF(IFERROR(MATCH($B58,Character_Creation!$J$350:$J$356,0),0)&gt;0,0,1)*IF(Character_Creation!$T$350&gt;0,1,0)</f>
        <v>0</v>
      </c>
      <c r="CC58">
        <f>IF(CB58=0,0,1+COUNTIF(CC$3:CC57,"&gt;0"))</f>
        <v>0</v>
      </c>
      <c r="CD58" t="str">
        <f t="shared" si="39"/>
        <v/>
      </c>
      <c r="CE58" t="str">
        <f t="shared" si="11"/>
        <v/>
      </c>
      <c r="CG58">
        <f>IF(IFERROR(SEARCH("Wizard",$T58,1),0)&gt;0,1,0)*IF($C58&lt;=EldritchKnightMaxSpellLevel,1,0)*IF(IFERROR(MATCH($B58,Character_Creation!$J$350:$J$356,0),0)&gt;0,0,1)*IF(Character_Creation!$M$350&gt;0,1,0)</f>
        <v>0</v>
      </c>
      <c r="CH58">
        <f>IF(CG58=0,0,1+COUNTIF(CH$3:CH57,"&gt;0"))</f>
        <v>0</v>
      </c>
      <c r="CI58">
        <f t="shared" si="40"/>
        <v>56</v>
      </c>
      <c r="CJ58" t="str">
        <f t="shared" si="12"/>
        <v>Spider Climb</v>
      </c>
      <c r="CL58">
        <f>IF(IFERROR(SEARCH("Bard",$T58,1),0)&gt;0,1,0)*IF(BardMaxSpellLevel&gt;=$C58,1,0)*IF(IFERROR(MATCH(B58,Character_Creation!$C$341:$F$362,0),0)&gt;0,0,1)*IF(IFERROR(MATCH($B58,Character_Creation!$C$341:$C$362,0),0)&gt;0,0,1)</f>
        <v>0</v>
      </c>
      <c r="CM58">
        <f>IF(CL58=0,0,1+COUNTIF(CM$3:CM57,"&gt;0"))</f>
        <v>0</v>
      </c>
      <c r="CN58" t="str">
        <f t="shared" si="41"/>
        <v/>
      </c>
      <c r="CO58" t="str">
        <f t="shared" si="13"/>
        <v/>
      </c>
      <c r="CQ58">
        <f>IF(IFERROR(SEARCH("Wizard",$T58,1),0)&gt;0,1,0)*IF(WizardMaxSpellLevel&gt;=$C58,1,0)*IF(IFERROR(MATCH(B58,Character_Creation!$X$341:$X$400,0),0)&gt;0,0,1)*IF(SelectedWizardSpellLevel=$C58,1,0)</f>
        <v>0</v>
      </c>
      <c r="CR58">
        <f>IF(CQ58=0,0,1+COUNTIF(CR$3:CR57,"&gt;0"))</f>
        <v>0</v>
      </c>
      <c r="CS58" t="str">
        <f t="shared" si="42"/>
        <v/>
      </c>
      <c r="CT58" t="str">
        <f t="shared" si="14"/>
        <v/>
      </c>
      <c r="CV58">
        <f>IF(IFERROR(MATCH($B58,Character_Creation!$C$341:$C$362,0),0)&gt;0,0,1)*IF(OR(C58="Cantrip",C58&lt;=BardMaxSpellLevel),1,0)*IF(IFERROR(MATCH($B58,Character_Creation!$C$367:$C$374,0),0)&gt;0,0,1)</f>
        <v>0</v>
      </c>
      <c r="CW58">
        <f>IF(CV58=0,0,1+COUNTIF(CW$3:CW57,"&gt;0"))</f>
        <v>0</v>
      </c>
      <c r="CX58" t="str">
        <f t="shared" si="43"/>
        <v/>
      </c>
      <c r="CY58" t="str">
        <f t="shared" si="15"/>
        <v/>
      </c>
      <c r="DA58">
        <f>IF(IF(OR(IFERROR(SEARCH("Cleric",$T58,1),0)&gt;0,IFERROR(SEARCH(DivineDomain&amp;",",$T58,1),0)&gt;0),1,0)*IF($C58=DA$2,1,0)=1,1+COUNTIF(DA$3:DA57,"&gt;0"),0)</f>
        <v>0</v>
      </c>
      <c r="DB58">
        <f>IF(IF(OR(IFERROR(SEARCH("Cleric",$T58,1),0)&gt;0,IFERROR(SEARCH(DivineDomain&amp;",",$T58,1),0)&gt;0),1,0)*IF($C58=DB$2,1,0)=1,1+COUNTIF(DB$3:DB57,"&gt;0"),0)</f>
        <v>0</v>
      </c>
      <c r="DC58">
        <f>IF(IF(OR(IFERROR(SEARCH("Cleric",$T58,1),0)&gt;0,IFERROR(SEARCH(DivineDomain&amp;",",$T58,1),0)&gt;0),1,0)*IF($C58=DC$2,1,0)=1,1+COUNTIF(DC$3:DC57,"&gt;0"),0)</f>
        <v>0</v>
      </c>
      <c r="DD58">
        <f>IF(IF(OR(IFERROR(SEARCH("Cleric",$T58,1),0)&gt;0,IFERROR(SEARCH(DivineDomain&amp;",",$T58,1),0)&gt;0),1,0)*IF($C58=DD$2,1,0)=1,1+COUNTIF(DD$3:DD57,"&gt;0"),0)</f>
        <v>0</v>
      </c>
      <c r="DE58">
        <f>IF(IF(OR(IFERROR(SEARCH("Cleric",$T58,1),0)&gt;0,IFERROR(SEARCH(DivineDomain&amp;",",$T58,1),0)&gt;0),1,0)*IF($C58=DE$2,1,0)=1,1+COUNTIF(DE$3:DE57,"&gt;0"),0)</f>
        <v>1</v>
      </c>
      <c r="DF58">
        <f>IF(IF(OR(IFERROR(SEARCH("Cleric",$T58,1),0)&gt;0,IFERROR(SEARCH(DivineDomain&amp;",",$T58,1),0)&gt;0),1,0)*IF($C58=DF$2,1,0)=1,1+COUNTIF(DF$3:DF57,"&gt;0"),0)</f>
        <v>0</v>
      </c>
      <c r="DG58">
        <f>IF(IF(OR(IFERROR(SEARCH("Cleric",$T58,1),0)&gt;0,IFERROR(SEARCH(DivineDomain&amp;",",$T58,1),0)&gt;0),1,0)*IF($C58=DG$2,1,0)=1,1+COUNTIF(DG$3:DG57,"&gt;0"),0)</f>
        <v>0</v>
      </c>
      <c r="DH58">
        <f>IF(IF(OR(IFERROR(SEARCH("Cleric",$T58,1),0)&gt;0,IFERROR(SEARCH(DivineDomain&amp;",",$T58,1),0)&gt;0),1,0)*IF($C58=DH$2,1,0)=1,1+COUNTIF(DH$3:DH57,"&gt;0"),0)</f>
        <v>0</v>
      </c>
      <c r="DI58">
        <f>IF(IF(OR(IFERROR(SEARCH("Cleric",$T58,1),0)&gt;0,IFERROR(SEARCH(DivineDomain&amp;",",$T58,1),0)&gt;0),1,0)*IF($C58=DI$2,1,0)=1,1+COUNTIF(DI$3:DI57,"&gt;0"),0)</f>
        <v>0</v>
      </c>
      <c r="DJ58">
        <f>IF(IF(OR(IFERROR(SEARCH("Druid",$T58,1),0)&gt;0,IFERROR(SEARCH(DruidLand1,$T58,1),0)&gt;0,IFERROR(SEARCH(DruidLand2,$T58,1),0)&gt;0,IFERROR(SEARCH(DruidLand3,$T58,1),0)&gt;0,IFERROR(SEARCH(DruidLand4,$T58,1),0)&gt;0),1,0)*IF($C58=1,1,0)*IF($C58=DJ$2,1,0)=0,0,1+COUNTIF(DJ$3:DJ57,"&gt;0"))</f>
        <v>0</v>
      </c>
      <c r="DK58">
        <f>IF(IF(OR(IFERROR(SEARCH("Druid",$T58,1),0)&gt;0,IFERROR(SEARCH(DruidLand1,$T58,1),0)&gt;0,IFERROR(SEARCH(DruidLand2,$T58,1),0)&gt;0,IFERROR(SEARCH(DruidLand3,$T58,1),0)&gt;0,IFERROR(SEARCH(DruidLand4,$T58,1),0)&gt;0),1,0)*IF($C58=1,1,0)*IF($C58=DK$2,1,0)=0,0,1+COUNTIF(DK$3:DK57,"&gt;0"))</f>
        <v>0</v>
      </c>
      <c r="DL58">
        <f>IF(IF(OR(IFERROR(SEARCH("Druid",$T58,1),0)&gt;0,IFERROR(SEARCH(DruidLand1,$T58,1),0)&gt;0,IFERROR(SEARCH(DruidLand2,$T58,1),0)&gt;0,IFERROR(SEARCH(DruidLand3,$T58,1),0)&gt;0,IFERROR(SEARCH(DruidLand4,$T58,1),0)&gt;0),1,0)*IF($C58=1,1,0)*IF($C58=DL$2,1,0)=0,0,1+COUNTIF(DL$3:DL57,"&gt;0"))</f>
        <v>0</v>
      </c>
      <c r="DM58">
        <f>IF(IF(OR(IFERROR(SEARCH("Druid",$T58,1),0)&gt;0,IFERROR(SEARCH(DruidLand1,$T58,1),0)&gt;0,IFERROR(SEARCH(DruidLand2,$T58,1),0)&gt;0,IFERROR(SEARCH(DruidLand3,$T58,1),0)&gt;0,IFERROR(SEARCH(DruidLand4,$T58,1),0)&gt;0),1,0)*IF($C58=1,1,0)*IF($C58=DM$2,1,0)=0,0,1+COUNTIF(DM$3:DM57,"&gt;0"))</f>
        <v>0</v>
      </c>
      <c r="DN58">
        <f>IF(IF(OR(IFERROR(SEARCH("Druid",$T58,1),0)&gt;0,IFERROR(SEARCH(DruidLand1,$T58,1),0)&gt;0,IFERROR(SEARCH(DruidLand2,$T58,1),0)&gt;0,IFERROR(SEARCH(DruidLand3,$T58,1),0)&gt;0,IFERROR(SEARCH(DruidLand4,$T58,1),0)&gt;0),1,0)*IF($C58=1,1,0)*IF($C58=DN$2,1,0)=0,0,1+COUNTIF(DN$3:DN57,"&gt;0"))</f>
        <v>0</v>
      </c>
      <c r="DO58">
        <f>IF(IF(OR(IFERROR(SEARCH("Druid",$T58,1),0)&gt;0,IFERROR(SEARCH(DruidLand1,$T58,1),0)&gt;0,IFERROR(SEARCH(DruidLand2,$T58,1),0)&gt;0,IFERROR(SEARCH(DruidLand3,$T58,1),0)&gt;0,IFERROR(SEARCH(DruidLand4,$T58,1),0)&gt;0),1,0)*IF($C58=1,1,0)*IF($C58=DO$2,1,0)=0,0,1+COUNTIF(DO$3:DO57,"&gt;0"))</f>
        <v>0</v>
      </c>
      <c r="DP58">
        <f>IF(IF(OR(IFERROR(SEARCH("Druid",$T58,1),0)&gt;0,IFERROR(SEARCH(DruidLand1,$T58,1),0)&gt;0,IFERROR(SEARCH(DruidLand2,$T58,1),0)&gt;0,IFERROR(SEARCH(DruidLand3,$T58,1),0)&gt;0,IFERROR(SEARCH(DruidLand4,$T58,1),0)&gt;0),1,0)*IF($C58=1,1,0)*IF($C58=DP$2,1,0)=0,0,1+COUNTIF(DP$3:DP57,"&gt;0"))</f>
        <v>0</v>
      </c>
      <c r="DQ58">
        <f>IF(IF(OR(IFERROR(SEARCH("Druid",$T58,1),0)&gt;0,IFERROR(SEARCH(DruidLand1,$T58,1),0)&gt;0,IFERROR(SEARCH(DruidLand2,$T58,1),0)&gt;0,IFERROR(SEARCH(DruidLand3,$T58,1),0)&gt;0,IFERROR(SEARCH(DruidLand4,$T58,1),0)&gt;0),1,0)*IF($C58=1,1,0)*IF($C58=DQ$2,1,0)=0,0,1+COUNTIF(DQ$3:DQ57,"&gt;0"))</f>
        <v>0</v>
      </c>
      <c r="DR58">
        <f>IF(IF(OR(IFERROR(SEARCH("Druid",$T58,1),0)&gt;0,IFERROR(SEARCH(DruidLand1,$T58,1),0)&gt;0,IFERROR(SEARCH(DruidLand2,$T58,1),0)&gt;0,IFERROR(SEARCH(DruidLand3,$T58,1),0)&gt;0,IFERROR(SEARCH(DruidLand4,$T58,1),0)&gt;0),1,0)*IF($C58=1,1,0)*IF($C58=DR$2,1,0)=0,0,1+COUNTIF(DR$3:DR57,"&gt;0"))</f>
        <v>0</v>
      </c>
      <c r="DS58">
        <f>IF(IF(OR(IFERROR(SEARCH("Paladin",$T58,1),0)&gt;0,IFERROR(SEARCH(PaladinOath,$T58,1),0)&gt;0),1,0)*IF($C58=DS$2,1,0)=1,1+COUNTIF(DS$3:DS57,"&gt;0"),0)</f>
        <v>0</v>
      </c>
      <c r="DT58">
        <f>IF(IF(OR(IFERROR(SEARCH("Paladin",$T58,1),0)&gt;0,IFERROR(SEARCH(PaladinOath,$T58,1),0)&gt;0),1,0)*IF($C58=DT$2,1,0)=1,1+COUNTIF(DT$3:DT57,"&gt;0"),0)</f>
        <v>0</v>
      </c>
      <c r="DU58">
        <f>IF(IF(OR(IFERROR(SEARCH("Paladin",$T58,1),0)&gt;0,IFERROR(SEARCH(PaladinOath,$T58,1),0)&gt;0),1,0)*IF($C58=DU$2,1,0)=1,1+COUNTIF(DU$3:DU57,"&gt;0"),0)</f>
        <v>0</v>
      </c>
      <c r="DV58">
        <f>IF(IF(OR(IFERROR(SEARCH("Paladin",$T58,1),0)&gt;0,IFERROR(SEARCH(PaladinOath,$T58,1),0)&gt;0),1,0)*IF($C58=DV$2,1,0)=1,1+COUNTIF(DV$3:DV57,"&gt;0"),0)</f>
        <v>0</v>
      </c>
      <c r="DW58">
        <f>IF(IF(OR(IFERROR(SEARCH("Paladin",$T58,1),0)&gt;0,IFERROR(SEARCH(PaladinOath,$T58,1),0)&gt;0),1,0)*IF($C58=DW$2,1,0)=1,1+COUNTIF(DW$3:DW57,"&gt;0"),0)</f>
        <v>0</v>
      </c>
      <c r="DY58">
        <f t="shared" si="2"/>
        <v>1</v>
      </c>
      <c r="DZ58">
        <f>IF(DY58=0,0,1+MAX(DZ$3:$DZ57))</f>
        <v>56</v>
      </c>
      <c r="EB58">
        <f t="shared" si="16"/>
        <v>0</v>
      </c>
      <c r="EC58">
        <f>IF(EB58=0,0,1+COUNTIF(EC$3:EC57,"&gt;0"))</f>
        <v>0</v>
      </c>
      <c r="ED58" t="str">
        <f t="shared" si="44"/>
        <v/>
      </c>
      <c r="EE58" t="str">
        <f t="shared" si="17"/>
        <v/>
      </c>
      <c r="EG58">
        <f t="shared" si="18"/>
        <v>0</v>
      </c>
      <c r="EH58">
        <f>IF(EG58=0,0,1+COUNTIF(EH$3:EH57,"&gt;0"))</f>
        <v>0</v>
      </c>
      <c r="EI58" t="str">
        <f t="shared" si="45"/>
        <v/>
      </c>
      <c r="EJ58" t="str">
        <f t="shared" si="19"/>
        <v/>
      </c>
      <c r="EL58">
        <f t="shared" si="20"/>
        <v>0</v>
      </c>
      <c r="EM58">
        <f>IF(EL58=0,0,1+COUNTIF(EM$3:EM57,"&gt;0"))</f>
        <v>0</v>
      </c>
      <c r="EN58" t="str">
        <f t="shared" si="46"/>
        <v/>
      </c>
      <c r="EO58" t="str">
        <f t="shared" si="21"/>
        <v/>
      </c>
      <c r="EQ58">
        <f t="shared" si="22"/>
        <v>0</v>
      </c>
      <c r="ER58">
        <f>IF(EQ58=0,0,1+COUNTIF(ER$3:ER57,"&gt;0"))</f>
        <v>0</v>
      </c>
      <c r="ES58" t="str">
        <f t="shared" si="47"/>
        <v/>
      </c>
      <c r="ET58" t="str">
        <f t="shared" si="23"/>
        <v/>
      </c>
      <c r="EV58">
        <f t="shared" si="24"/>
        <v>0</v>
      </c>
      <c r="EW58">
        <f>IF(EV58=0,0,1+COUNTIF(EW$3:EW57,"&gt;0"))</f>
        <v>0</v>
      </c>
      <c r="EX58" t="str">
        <f t="shared" si="48"/>
        <v/>
      </c>
      <c r="EY58" t="str">
        <f t="shared" si="25"/>
        <v/>
      </c>
      <c r="FA58">
        <f t="shared" si="26"/>
        <v>0</v>
      </c>
      <c r="FB58">
        <f>IF(FA58=0,0,1+COUNTIF(FB$3:FB57,"&gt;0"))</f>
        <v>0</v>
      </c>
      <c r="FC58" t="str">
        <f t="shared" si="49"/>
        <v/>
      </c>
      <c r="FD58" t="str">
        <f t="shared" si="27"/>
        <v/>
      </c>
      <c r="FF58">
        <f t="shared" si="28"/>
        <v>0</v>
      </c>
      <c r="FG58">
        <f>IF(FF58=0,0,1+COUNTIF(FG$3:FG57,"&gt;0"))</f>
        <v>0</v>
      </c>
      <c r="FH58" t="str">
        <f t="shared" si="50"/>
        <v/>
      </c>
      <c r="FI58" t="str">
        <f t="shared" si="29"/>
        <v/>
      </c>
      <c r="FK58">
        <f t="shared" si="30"/>
        <v>0</v>
      </c>
      <c r="FL58">
        <f>IF(FK58=0,0,1+COUNTIF(FL$3:FL57,"&gt;0"))</f>
        <v>0</v>
      </c>
      <c r="FM58" t="str">
        <f t="shared" si="51"/>
        <v/>
      </c>
      <c r="FN58" t="str">
        <f t="shared" si="31"/>
        <v/>
      </c>
      <c r="FP58">
        <f t="shared" si="32"/>
        <v>0</v>
      </c>
      <c r="FQ58">
        <f>IF(FP58=0,0,1+COUNTIF(FQ$3:FQ57,"&gt;0"))</f>
        <v>0</v>
      </c>
      <c r="FR58" t="str">
        <f t="shared" si="52"/>
        <v/>
      </c>
      <c r="FS58" t="str">
        <f t="shared" si="33"/>
        <v/>
      </c>
    </row>
    <row r="59" spans="1:175" x14ac:dyDescent="0.25">
      <c r="A59" s="347">
        <f t="shared" si="53"/>
        <v>57</v>
      </c>
      <c r="B59" s="348" t="s">
        <v>2420</v>
      </c>
      <c r="C59" s="348">
        <v>5</v>
      </c>
      <c r="D59" s="347">
        <v>5</v>
      </c>
      <c r="E59" s="627" t="s">
        <v>6952</v>
      </c>
      <c r="F59" s="346"/>
      <c r="G59" s="347" t="s">
        <v>5269</v>
      </c>
      <c r="H59" s="347" t="s">
        <v>5281</v>
      </c>
      <c r="I59" s="347" t="s">
        <v>5283</v>
      </c>
      <c r="J59" s="347" t="str">
        <f t="shared" si="3"/>
        <v/>
      </c>
      <c r="K59" s="347" t="s">
        <v>5278</v>
      </c>
      <c r="L59" s="611" t="str">
        <f t="shared" si="4"/>
        <v>V, S</v>
      </c>
      <c r="M59" s="347" t="s">
        <v>2373</v>
      </c>
      <c r="N59" s="347" t="s">
        <v>2387</v>
      </c>
      <c r="O59" s="347" t="s">
        <v>3034</v>
      </c>
      <c r="Q59" s="347" t="s">
        <v>2473</v>
      </c>
      <c r="S59" s="346" t="s">
        <v>5627</v>
      </c>
      <c r="T59" s="346" t="str">
        <f t="shared" si="5"/>
        <v xml:space="preserve">Druid, Ancients, Arctic, Fores, </v>
      </c>
      <c r="AA59" s="347" t="str">
        <f>$B59</f>
        <v>Commune with Nature</v>
      </c>
      <c r="AE59" t="str">
        <f>IF(IFERROR(MATCH($B59,temp!A$4:A$13,0),0)&gt;0,T08_Spells!AE$2,"")</f>
        <v/>
      </c>
      <c r="AF59" t="str">
        <f>IF(IFERROR(MATCH($B59,temp!B$4:B$13,0),0)&gt;0,T08_Spells!AF$2,"")</f>
        <v/>
      </c>
      <c r="AG59" t="str">
        <f>IF(IFERROR(MATCH($B59,temp!C$4:C$13,0),0)&gt;0,T08_Spells!AG$2,"")</f>
        <v>Ancients</v>
      </c>
      <c r="AH59" t="str">
        <f>IF(IFERROR(MATCH($B59,temp!D$4:D$13,0),0)&gt;0,T08_Spells!AH$2,"")</f>
        <v/>
      </c>
      <c r="AI59" t="str">
        <f>IF(IFERROR(MATCH($B59,temp!E$4:E$13,0),0)&gt;0,T08_Spells!AI$2,"")</f>
        <v/>
      </c>
      <c r="AJ59" t="str">
        <f>IF(IFERROR(MATCH($B59,temp!F$4:F$13,0),0)&gt;0,T08_Spells!AJ$2,"")</f>
        <v/>
      </c>
      <c r="AK59" t="str">
        <f>IF(IFERROR(MATCH($B59,temp!G$4:G$13,0),0)&gt;0,T08_Spells!AK$2,"")</f>
        <v/>
      </c>
      <c r="AL59" t="str">
        <f>IF(IFERROR(MATCH($B59,temp!H$4:H$13,0),0)&gt;0,T08_Spells!AL$2,"")</f>
        <v>Arctic</v>
      </c>
      <c r="AM59" t="str">
        <f>IF(IFERROR(MATCH($B59,temp!I$4:I$13,0),0)&gt;0,T08_Spells!AM$2,"")</f>
        <v/>
      </c>
      <c r="AN59" t="str">
        <f>IF(IFERROR(MATCH($B59,temp!J$4:J$13,0),0)&gt;0,T08_Spells!AN$2,"")</f>
        <v/>
      </c>
      <c r="AO59" t="str">
        <f>IF(IFERROR(MATCH($B59,temp!K$4:K$13,0),0)&gt;0,T08_Spells!AO$2,"")</f>
        <v>Forest</v>
      </c>
      <c r="AP59" t="str">
        <f>IF(IFERROR(MATCH($B59,temp!L$4:L$13,0),0)&gt;0,T08_Spells!AP$2,"")</f>
        <v/>
      </c>
      <c r="AQ59" t="str">
        <f>IF(IFERROR(MATCH($B59,temp!M$4:M$13,0),0)&gt;0,T08_Spells!AQ$2,"")</f>
        <v/>
      </c>
      <c r="AR59" t="str">
        <f>IF(IFERROR(MATCH($B59,temp!N$4:N$13,0),0)&gt;0,T08_Spells!AR$2,"")</f>
        <v/>
      </c>
      <c r="AS59" t="str">
        <f>IF(IFERROR(MATCH($B59,temp!O$4:O$13,0),0)&gt;0,T08_Spells!AS$2,"")</f>
        <v/>
      </c>
      <c r="AT59" t="str">
        <f>IF(IFERROR(MATCH($B59,temp!P$4:P$13,0),0)&gt;0,T08_Spells!AT$2,"")</f>
        <v/>
      </c>
      <c r="AU59" t="str">
        <f>IF(IFERROR(MATCH($B59,temp!Q$4:Q$13,0),0)&gt;0,T08_Spells!AU$2,"")</f>
        <v/>
      </c>
      <c r="AV59" t="str">
        <f>IF(IFERROR(MATCH($B59,temp!R$4:R$13,0),0)&gt;0,T08_Spells!AV$2,"")</f>
        <v/>
      </c>
      <c r="AW59" t="str">
        <f>IF(IFERROR(MATCH($B59,temp!S$4:S$13,0),0)&gt;0,T08_Spells!AW$2,"")</f>
        <v/>
      </c>
      <c r="AX59" t="str">
        <f>IF(IFERROR(MATCH($B59,temp!T$4:T$13,0),0)&gt;0,T08_Spells!AX$2,"")</f>
        <v/>
      </c>
      <c r="AY59" t="str">
        <f>IF(IFERROR(MATCH($B59,temp!U$4:U$13,0),0)&gt;0,T08_Spells!AY$2,"")</f>
        <v/>
      </c>
      <c r="AZ59" t="str">
        <f>IF(IFERROR(MATCH($B59,temp!V$4:V$13,0),0)&gt;0,T08_Spells!AZ$2,"")</f>
        <v/>
      </c>
      <c r="BA59" t="str">
        <f>IF(IFERROR(MATCH($B59,temp!W$4:W$13,0),0)&gt;0,T08_Spells!BA$2,"")</f>
        <v/>
      </c>
      <c r="BC59">
        <f>IF(IFERROR(SEARCH("Ranger",$T59,1),0)&gt;0,1,0)*IF(RangerMaxSpellLevel&gt;=$C59,1,0)*IF(IFERROR(MATCH(B59,Character_Creation!$X$79:$X$382,0),0)&gt;0,0,1)</f>
        <v>0</v>
      </c>
      <c r="BD59">
        <f>IF(BC59=0,0,1+COUNTIF(BD$3:BD58,"&gt;0"))</f>
        <v>0</v>
      </c>
      <c r="BE59" t="str">
        <f t="shared" si="34"/>
        <v/>
      </c>
      <c r="BF59" t="str">
        <f t="shared" si="6"/>
        <v/>
      </c>
      <c r="BH59">
        <f>IF(IFERROR(SEARCH("Sorcerer",$T59,1),0)&gt;0,1,0)*IF(SorcererMaxSpellLevel&gt;=$C59,1,0)*IF(IFERROR(MATCH(B59,Character_Creation!$J$380:$J$394,0),0)&gt;0,0,1)</f>
        <v>0</v>
      </c>
      <c r="BI59">
        <f>IF(BH59=0,0,1+COUNTIF(BI$3:BI58,"&gt;0"))</f>
        <v>0</v>
      </c>
      <c r="BJ59" t="str">
        <f t="shared" si="35"/>
        <v/>
      </c>
      <c r="BK59" t="str">
        <f t="shared" si="7"/>
        <v/>
      </c>
      <c r="BM59">
        <f>IF(OR(IFERROR(SEARCH("Warlock",$T59,1),0)&gt;0,IFERROR(SEARCH(WarlockPatron,$T59,1),0)&gt;0),1,0)*IF(WarlockMaxSpellLevel&gt;=$C59,1,0)*IF(IFERROR(MATCH(B59,Character_Creation!$J$361:$J$375,0),0)&gt;0,0,1)</f>
        <v>0</v>
      </c>
      <c r="BN59">
        <f>IF(BM59=0,0,1+COUNTIF(BN$3:BN58,"&gt;0"))</f>
        <v>0</v>
      </c>
      <c r="BO59" t="str">
        <f t="shared" si="36"/>
        <v/>
      </c>
      <c r="BP59" t="str">
        <f t="shared" si="8"/>
        <v/>
      </c>
      <c r="BR59">
        <f>IF(IFERROR(SEARCH("Eldritch Knight",$T59,1),0)&gt;0,1,0)*IF(EldritchKnightMaxSpellLevel&gt;=$C59,1,0)*IF(IFERROR(MATCH($B59,Character_Creation!$J$350:$J$356,0),0)&gt;0,0,1)*IF(Character_Creation!$M$338&gt;0,1,0)</f>
        <v>0</v>
      </c>
      <c r="BS59">
        <f>IF(BR59=0,0,1+COUNTIF(BS$3:BS58,"&gt;0"))</f>
        <v>0</v>
      </c>
      <c r="BT59" t="str">
        <f t="shared" si="37"/>
        <v/>
      </c>
      <c r="BU59" t="str">
        <f t="shared" si="9"/>
        <v/>
      </c>
      <c r="BW59">
        <f>IF(IFERROR(SEARCH("Arcane Trickster",$T59,1),0)&gt;0,1,0)*IF(ArcaneTricksterMaxSpellLevel&gt;=$C59,1,0)*IF(IFERROR(MATCH($B59,Character_Creation!$J$350:$J$356,0),0)&gt;0,0,1)*IF(Character_Creation!$T$338&gt;0,1,0)</f>
        <v>0</v>
      </c>
      <c r="BX59">
        <f>IF(BW59=0,0,1+COUNTIF(BX$3:BX58,"&gt;0"))</f>
        <v>0</v>
      </c>
      <c r="BY59" t="str">
        <f t="shared" si="38"/>
        <v/>
      </c>
      <c r="BZ59" t="str">
        <f t="shared" si="10"/>
        <v/>
      </c>
      <c r="CB59">
        <f>IF(IFERROR(SEARCH("Wizard",$T59,1),0)&gt;0,1,0)*IF(C59&lt;=ArcaneTricksterMaxSpellLevel,1,0)*IF(IFERROR(MATCH($B59,Character_Creation!$J$350:$J$356,0),0)&gt;0,0,1)*IF(Character_Creation!$T$350&gt;0,1,0)</f>
        <v>0</v>
      </c>
      <c r="CC59">
        <f>IF(CB59=0,0,1+COUNTIF(CC$3:CC58,"&gt;0"))</f>
        <v>0</v>
      </c>
      <c r="CD59" t="str">
        <f t="shared" si="39"/>
        <v/>
      </c>
      <c r="CE59" t="str">
        <f t="shared" si="11"/>
        <v/>
      </c>
      <c r="CG59">
        <f>IF(IFERROR(SEARCH("Wizard",$T59,1),0)&gt;0,1,0)*IF($C59&lt;=EldritchKnightMaxSpellLevel,1,0)*IF(IFERROR(MATCH($B59,Character_Creation!$J$350:$J$356,0),0)&gt;0,0,1)*IF(Character_Creation!$M$350&gt;0,1,0)</f>
        <v>0</v>
      </c>
      <c r="CH59">
        <f>IF(CG59=0,0,1+COUNTIF(CH$3:CH58,"&gt;0"))</f>
        <v>0</v>
      </c>
      <c r="CI59">
        <f t="shared" si="40"/>
        <v>57</v>
      </c>
      <c r="CJ59" t="str">
        <f t="shared" si="12"/>
        <v>Suggestion</v>
      </c>
      <c r="CL59">
        <f>IF(IFERROR(SEARCH("Bard",$T59,1),0)&gt;0,1,0)*IF(BardMaxSpellLevel&gt;=$C59,1,0)*IF(IFERROR(MATCH(B59,Character_Creation!$C$341:$F$362,0),0)&gt;0,0,1)*IF(IFERROR(MATCH($B59,Character_Creation!$C$341:$C$362,0),0)&gt;0,0,1)</f>
        <v>0</v>
      </c>
      <c r="CM59">
        <f>IF(CL59=0,0,1+COUNTIF(CM$3:CM58,"&gt;0"))</f>
        <v>0</v>
      </c>
      <c r="CN59" t="str">
        <f t="shared" si="41"/>
        <v/>
      </c>
      <c r="CO59" t="str">
        <f t="shared" si="13"/>
        <v/>
      </c>
      <c r="CQ59">
        <f>IF(IFERROR(SEARCH("Wizard",$T59,1),0)&gt;0,1,0)*IF(WizardMaxSpellLevel&gt;=$C59,1,0)*IF(IFERROR(MATCH(B59,Character_Creation!$X$341:$X$400,0),0)&gt;0,0,1)*IF(SelectedWizardSpellLevel=$C59,1,0)</f>
        <v>0</v>
      </c>
      <c r="CR59">
        <f>IF(CQ59=0,0,1+COUNTIF(CR$3:CR58,"&gt;0"))</f>
        <v>0</v>
      </c>
      <c r="CS59" t="str">
        <f t="shared" si="42"/>
        <v/>
      </c>
      <c r="CT59" t="str">
        <f t="shared" si="14"/>
        <v/>
      </c>
      <c r="CV59">
        <f>IF(IFERROR(MATCH($B59,Character_Creation!$C$341:$C$362,0),0)&gt;0,0,1)*IF(OR(C59="Cantrip",C59&lt;=BardMaxSpellLevel),1,0)*IF(IFERROR(MATCH($B59,Character_Creation!$C$367:$C$374,0),0)&gt;0,0,1)</f>
        <v>0</v>
      </c>
      <c r="CW59">
        <f>IF(CV59=0,0,1+COUNTIF(CW$3:CW58,"&gt;0"))</f>
        <v>0</v>
      </c>
      <c r="CX59" t="str">
        <f t="shared" si="43"/>
        <v/>
      </c>
      <c r="CY59" t="str">
        <f t="shared" si="15"/>
        <v/>
      </c>
      <c r="DA59">
        <f>IF(IF(OR(IFERROR(SEARCH("Cleric",$T59,1),0)&gt;0,IFERROR(SEARCH(DivineDomain&amp;",",$T59,1),0)&gt;0),1,0)*IF($C59=DA$2,1,0)=1,1+COUNTIF(DA$3:DA58,"&gt;0"),0)</f>
        <v>0</v>
      </c>
      <c r="DB59">
        <f>IF(IF(OR(IFERROR(SEARCH("Cleric",$T59,1),0)&gt;0,IFERROR(SEARCH(DivineDomain&amp;",",$T59,1),0)&gt;0),1,0)*IF($C59=DB$2,1,0)=1,1+COUNTIF(DB$3:DB58,"&gt;0"),0)</f>
        <v>0</v>
      </c>
      <c r="DC59">
        <f>IF(IF(OR(IFERROR(SEARCH("Cleric",$T59,1),0)&gt;0,IFERROR(SEARCH(DivineDomain&amp;",",$T59,1),0)&gt;0),1,0)*IF($C59=DC$2,1,0)=1,1+COUNTIF(DC$3:DC58,"&gt;0"),0)</f>
        <v>0</v>
      </c>
      <c r="DD59">
        <f>IF(IF(OR(IFERROR(SEARCH("Cleric",$T59,1),0)&gt;0,IFERROR(SEARCH(DivineDomain&amp;",",$T59,1),0)&gt;0),1,0)*IF($C59=DD$2,1,0)=1,1+COUNTIF(DD$3:DD58,"&gt;0"),0)</f>
        <v>0</v>
      </c>
      <c r="DE59">
        <f>IF(IF(OR(IFERROR(SEARCH("Cleric",$T59,1),0)&gt;0,IFERROR(SEARCH(DivineDomain&amp;",",$T59,1),0)&gt;0),1,0)*IF($C59=DE$2,1,0)=1,1+COUNTIF(DE$3:DE58,"&gt;0"),0)</f>
        <v>0</v>
      </c>
      <c r="DF59">
        <f>IF(IF(OR(IFERROR(SEARCH("Cleric",$T59,1),0)&gt;0,IFERROR(SEARCH(DivineDomain&amp;",",$T59,1),0)&gt;0),1,0)*IF($C59=DF$2,1,0)=1,1+COUNTIF(DF$3:DF58,"&gt;0"),0)</f>
        <v>0</v>
      </c>
      <c r="DG59">
        <f>IF(IF(OR(IFERROR(SEARCH("Cleric",$T59,1),0)&gt;0,IFERROR(SEARCH(DivineDomain&amp;",",$T59,1),0)&gt;0),1,0)*IF($C59=DG$2,1,0)=1,1+COUNTIF(DG$3:DG58,"&gt;0"),0)</f>
        <v>0</v>
      </c>
      <c r="DH59">
        <f>IF(IF(OR(IFERROR(SEARCH("Cleric",$T59,1),0)&gt;0,IFERROR(SEARCH(DivineDomain&amp;",",$T59,1),0)&gt;0),1,0)*IF($C59=DH$2,1,0)=1,1+COUNTIF(DH$3:DH58,"&gt;0"),0)</f>
        <v>0</v>
      </c>
      <c r="DI59">
        <f>IF(IF(OR(IFERROR(SEARCH("Cleric",$T59,1),0)&gt;0,IFERROR(SEARCH(DivineDomain&amp;",",$T59,1),0)&gt;0),1,0)*IF($C59=DI$2,1,0)=1,1+COUNTIF(DI$3:DI58,"&gt;0"),0)</f>
        <v>0</v>
      </c>
      <c r="DJ59">
        <f>IF(IF(OR(IFERROR(SEARCH("Druid",$T59,1),0)&gt;0,IFERROR(SEARCH(DruidLand1,$T59,1),0)&gt;0,IFERROR(SEARCH(DruidLand2,$T59,1),0)&gt;0,IFERROR(SEARCH(DruidLand3,$T59,1),0)&gt;0,IFERROR(SEARCH(DruidLand4,$T59,1),0)&gt;0),1,0)*IF($C59=1,1,0)*IF($C59=DJ$2,1,0)=0,0,1+COUNTIF(DJ$3:DJ58,"&gt;0"))</f>
        <v>0</v>
      </c>
      <c r="DK59">
        <f>IF(IF(OR(IFERROR(SEARCH("Druid",$T59,1),0)&gt;0,IFERROR(SEARCH(DruidLand1,$T59,1),0)&gt;0,IFERROR(SEARCH(DruidLand2,$T59,1),0)&gt;0,IFERROR(SEARCH(DruidLand3,$T59,1),0)&gt;0,IFERROR(SEARCH(DruidLand4,$T59,1),0)&gt;0),1,0)*IF($C59=DK$2,1,0)=0,0,1+COUNTIF(DK$3:DK58,"&gt;0"))</f>
        <v>0</v>
      </c>
      <c r="DL59">
        <f>IF(IF(OR(IFERROR(SEARCH("Druid",$T59,1),0)&gt;0,IFERROR(SEARCH(DruidLand1,$T59,1),0)&gt;0,IFERROR(SEARCH(DruidLand2,$T59,1),0)&gt;0,IFERROR(SEARCH(DruidLand3,$T59,1),0)&gt;0,IFERROR(SEARCH(DruidLand4,$T59,1),0)&gt;0),1,0)*IF($C59=DL$2,1,0)=0,0,1+COUNTIF(DL$3:DL58,"&gt;0"))</f>
        <v>0</v>
      </c>
      <c r="DM59">
        <f>IF(IF(OR(IFERROR(SEARCH("Druid",$T59,1),0)&gt;0,IFERROR(SEARCH(DruidLand1,$T59,1),0)&gt;0,IFERROR(SEARCH(DruidLand2,$T59,1),0)&gt;0,IFERROR(SEARCH(DruidLand3,$T59,1),0)&gt;0,IFERROR(SEARCH(DruidLand4,$T59,1),0)&gt;0),1,0)*IF($C59=DM$2,1,0)=0,0,1+COUNTIF(DM$3:DM58,"&gt;0"))</f>
        <v>0</v>
      </c>
      <c r="DN59">
        <f>IF(IF(OR(IFERROR(SEARCH("Druid",$T59,1),0)&gt;0,IFERROR(SEARCH(DruidLand1,$T59,1),0)&gt;0,IFERROR(SEARCH(DruidLand2,$T59,1),0)&gt;0,IFERROR(SEARCH(DruidLand3,$T59,1),0)&gt;0,IFERROR(SEARCH(DruidLand4,$T59,1),0)&gt;0),1,0)*IF($C59=DN$2,1,0)=0,0,1+COUNTIF(DN$3:DN58,"&gt;0"))</f>
        <v>3</v>
      </c>
      <c r="DO59">
        <f>IF(IF(OR(IFERROR(SEARCH("Druid",$T59,1),0)&gt;0,IFERROR(SEARCH(DruidLand1,$T59,1),0)&gt;0,IFERROR(SEARCH(DruidLand2,$T59,1),0)&gt;0,IFERROR(SEARCH(DruidLand3,$T59,1),0)&gt;0,IFERROR(SEARCH(DruidLand4,$T59,1),0)&gt;0),1,0)*IF($C59=DO$2,1,0)=0,0,1+COUNTIF(DO$3:DO58,"&gt;0"))</f>
        <v>0</v>
      </c>
      <c r="DP59">
        <f>IF(IF(OR(IFERROR(SEARCH("Druid",$T59,1),0)&gt;0,IFERROR(SEARCH(DruidLand1,$T59,1),0)&gt;0,IFERROR(SEARCH(DruidLand2,$T59,1),0)&gt;0,IFERROR(SEARCH(DruidLand3,$T59,1),0)&gt;0,IFERROR(SEARCH(DruidLand4,$T59,1),0)&gt;0),1,0)*IF($C59=DP$2,1,0)=0,0,1+COUNTIF(DP$3:DP58,"&gt;0"))</f>
        <v>0</v>
      </c>
      <c r="DQ59">
        <f>IF(IF(OR(IFERROR(SEARCH("Druid",$T59,1),0)&gt;0,IFERROR(SEARCH(DruidLand1,$T59,1),0)&gt;0,IFERROR(SEARCH(DruidLand2,$T59,1),0)&gt;0,IFERROR(SEARCH(DruidLand3,$T59,1),0)&gt;0,IFERROR(SEARCH(DruidLand4,$T59,1),0)&gt;0),1,0)*IF($C59=DQ$2,1,0)=0,0,1+COUNTIF(DQ$3:DQ58,"&gt;0"))</f>
        <v>0</v>
      </c>
      <c r="DR59">
        <f>IF(IF(OR(IFERROR(SEARCH("Druid",$T59,1),0)&gt;0,IFERROR(SEARCH(DruidLand1,$T59,1),0)&gt;0,IFERROR(SEARCH(DruidLand2,$T59,1),0)&gt;0,IFERROR(SEARCH(DruidLand3,$T59,1),0)&gt;0,IFERROR(SEARCH(DruidLand4,$T59,1),0)&gt;0),1,0)*IF($C59=DR$2,1,0)=0,0,1+COUNTIF(DR$3:DR58,"&gt;0"))</f>
        <v>0</v>
      </c>
      <c r="DS59">
        <f>IF(IF(OR(IFERROR(SEARCH("Paladin",$T59,1),0)&gt;0,IFERROR(SEARCH(PaladinOath,$T59,1),0)&gt;0),1,0)*IF($C59=DS$2,1,0)=1,1+COUNTIF(DS$3:DS58,"&gt;0"),0)</f>
        <v>0</v>
      </c>
      <c r="DT59">
        <f>IF(IF(OR(IFERROR(SEARCH("Paladin",$T59,1),0)&gt;0,IFERROR(SEARCH(PaladinOath,$T59,1),0)&gt;0),1,0)*IF($C59=DT$2,1,0)=1,1+COUNTIF(DT$3:DT58,"&gt;0"),0)</f>
        <v>0</v>
      </c>
      <c r="DU59">
        <f>IF(IF(OR(IFERROR(SEARCH("Paladin",$T59,1),0)&gt;0,IFERROR(SEARCH(PaladinOath,$T59,1),0)&gt;0),1,0)*IF($C59=DU$2,1,0)=1,1+COUNTIF(DU$3:DU58,"&gt;0"),0)</f>
        <v>0</v>
      </c>
      <c r="DV59">
        <f>IF(IF(OR(IFERROR(SEARCH("Paladin",$T59,1),0)&gt;0,IFERROR(SEARCH(PaladinOath,$T59,1),0)&gt;0),1,0)*IF($C59=DV$2,1,0)=1,1+COUNTIF(DV$3:DV58,"&gt;0"),0)</f>
        <v>0</v>
      </c>
      <c r="DW59">
        <f>IF(IF(OR(IFERROR(SEARCH("Paladin",$T59,1),0)&gt;0,IFERROR(SEARCH(PaladinOath,$T59,1),0)&gt;0),1,0)*IF($C59=DW$2,1,0)=1,1+COUNTIF(DW$3:DW58,"&gt;0"),0)</f>
        <v>0</v>
      </c>
      <c r="DY59">
        <f t="shared" si="2"/>
        <v>1</v>
      </c>
      <c r="DZ59">
        <f>IF(DY59=0,0,1+MAX(DZ$3:$DZ58))</f>
        <v>57</v>
      </c>
      <c r="EB59">
        <f t="shared" si="16"/>
        <v>0</v>
      </c>
      <c r="EC59">
        <f>IF(EB59=0,0,1+COUNTIF(EC$3:EC58,"&gt;0"))</f>
        <v>0</v>
      </c>
      <c r="ED59" t="str">
        <f t="shared" si="44"/>
        <v/>
      </c>
      <c r="EE59" t="str">
        <f t="shared" si="17"/>
        <v/>
      </c>
      <c r="EG59">
        <f t="shared" si="18"/>
        <v>0</v>
      </c>
      <c r="EH59">
        <f>IF(EG59=0,0,1+COUNTIF(EH$3:EH58,"&gt;0"))</f>
        <v>0</v>
      </c>
      <c r="EI59" t="str">
        <f t="shared" si="45"/>
        <v/>
      </c>
      <c r="EJ59" t="str">
        <f t="shared" si="19"/>
        <v/>
      </c>
      <c r="EL59">
        <f t="shared" si="20"/>
        <v>0</v>
      </c>
      <c r="EM59">
        <f>IF(EL59=0,0,1+COUNTIF(EM$3:EM58,"&gt;0"))</f>
        <v>0</v>
      </c>
      <c r="EN59" t="str">
        <f t="shared" si="46"/>
        <v/>
      </c>
      <c r="EO59" t="str">
        <f t="shared" si="21"/>
        <v/>
      </c>
      <c r="EQ59">
        <f t="shared" si="22"/>
        <v>0</v>
      </c>
      <c r="ER59">
        <f>IF(EQ59=0,0,1+COUNTIF(ER$3:ER58,"&gt;0"))</f>
        <v>0</v>
      </c>
      <c r="ES59" t="str">
        <f t="shared" si="47"/>
        <v/>
      </c>
      <c r="ET59" t="str">
        <f t="shared" si="23"/>
        <v/>
      </c>
      <c r="EV59">
        <f t="shared" si="24"/>
        <v>0</v>
      </c>
      <c r="EW59">
        <f>IF(EV59=0,0,1+COUNTIF(EW$3:EW58,"&gt;0"))</f>
        <v>0</v>
      </c>
      <c r="EX59" t="str">
        <f t="shared" si="48"/>
        <v/>
      </c>
      <c r="EY59" t="str">
        <f t="shared" si="25"/>
        <v/>
      </c>
      <c r="FA59">
        <f t="shared" si="26"/>
        <v>0</v>
      </c>
      <c r="FB59">
        <f>IF(FA59=0,0,1+COUNTIF(FB$3:FB58,"&gt;0"))</f>
        <v>0</v>
      </c>
      <c r="FC59" t="str">
        <f t="shared" si="49"/>
        <v/>
      </c>
      <c r="FD59" t="str">
        <f t="shared" si="27"/>
        <v/>
      </c>
      <c r="FF59">
        <f t="shared" si="28"/>
        <v>0</v>
      </c>
      <c r="FG59">
        <f>IF(FF59=0,0,1+COUNTIF(FG$3:FG58,"&gt;0"))</f>
        <v>0</v>
      </c>
      <c r="FH59" t="str">
        <f t="shared" si="50"/>
        <v/>
      </c>
      <c r="FI59" t="str">
        <f t="shared" si="29"/>
        <v/>
      </c>
      <c r="FK59">
        <f t="shared" si="30"/>
        <v>0</v>
      </c>
      <c r="FL59">
        <f>IF(FK59=0,0,1+COUNTIF(FL$3:FL58,"&gt;0"))</f>
        <v>0</v>
      </c>
      <c r="FM59" t="str">
        <f t="shared" si="51"/>
        <v/>
      </c>
      <c r="FN59" t="str">
        <f t="shared" si="31"/>
        <v/>
      </c>
      <c r="FP59">
        <f t="shared" si="32"/>
        <v>0</v>
      </c>
      <c r="FQ59">
        <f>IF(FP59=0,0,1+COUNTIF(FQ$3:FQ58,"&gt;0"))</f>
        <v>0</v>
      </c>
      <c r="FR59" t="str">
        <f t="shared" si="52"/>
        <v/>
      </c>
      <c r="FS59" t="str">
        <f t="shared" si="33"/>
        <v/>
      </c>
    </row>
    <row r="60" spans="1:175" x14ac:dyDescent="0.25">
      <c r="A60" s="347">
        <f t="shared" si="53"/>
        <v>58</v>
      </c>
      <c r="B60" s="348" t="s">
        <v>2421</v>
      </c>
      <c r="C60" s="348">
        <v>1</v>
      </c>
      <c r="D60" s="347">
        <v>1</v>
      </c>
      <c r="E60" s="627" t="s">
        <v>6952</v>
      </c>
      <c r="F60" s="346"/>
      <c r="G60" s="347" t="str">
        <f>""</f>
        <v/>
      </c>
      <c r="H60" s="347" t="s">
        <v>5918</v>
      </c>
      <c r="I60" s="347" t="s">
        <v>5060</v>
      </c>
      <c r="J60" s="347" t="str">
        <f t="shared" si="3"/>
        <v/>
      </c>
      <c r="K60" s="347" t="s">
        <v>5291</v>
      </c>
      <c r="L60" s="611" t="str">
        <f t="shared" si="4"/>
        <v>V</v>
      </c>
      <c r="M60" s="347" t="s">
        <v>2373</v>
      </c>
      <c r="N60" s="347" t="s">
        <v>3034</v>
      </c>
      <c r="O60" s="347" t="s">
        <v>3034</v>
      </c>
      <c r="Q60" s="347" t="s">
        <v>5272</v>
      </c>
      <c r="S60" s="346" t="s">
        <v>5628</v>
      </c>
      <c r="T60" s="346" t="str">
        <f t="shared" si="5"/>
        <v xml:space="preserve">Paladin, </v>
      </c>
      <c r="V60" s="347" t="str">
        <f>$B60</f>
        <v>Compelled Duel</v>
      </c>
      <c r="AE60" t="str">
        <f>IF(IFERROR(MATCH($B60,temp!A$4:A$13,0),0)&gt;0,T08_Spells!AE$2,"")</f>
        <v/>
      </c>
      <c r="AF60" t="str">
        <f>IF(IFERROR(MATCH($B60,temp!B$4:B$13,0),0)&gt;0,T08_Spells!AF$2,"")</f>
        <v/>
      </c>
      <c r="AG60" t="str">
        <f>IF(IFERROR(MATCH($B60,temp!C$4:C$13,0),0)&gt;0,T08_Spells!AG$2,"")</f>
        <v/>
      </c>
      <c r="AH60" t="str">
        <f>IF(IFERROR(MATCH($B60,temp!D$4:D$13,0),0)&gt;0,T08_Spells!AH$2,"")</f>
        <v/>
      </c>
      <c r="AI60" t="str">
        <f>IF(IFERROR(MATCH($B60,temp!E$4:E$13,0),0)&gt;0,T08_Spells!AI$2,"")</f>
        <v/>
      </c>
      <c r="AJ60" t="str">
        <f>IF(IFERROR(MATCH($B60,temp!F$4:F$13,0),0)&gt;0,T08_Spells!AJ$2,"")</f>
        <v/>
      </c>
      <c r="AK60" t="str">
        <f>IF(IFERROR(MATCH($B60,temp!G$4:G$13,0),0)&gt;0,T08_Spells!AK$2,"")</f>
        <v/>
      </c>
      <c r="AL60" t="str">
        <f>IF(IFERROR(MATCH($B60,temp!H$4:H$13,0),0)&gt;0,T08_Spells!AL$2,"")</f>
        <v/>
      </c>
      <c r="AM60" t="str">
        <f>IF(IFERROR(MATCH($B60,temp!I$4:I$13,0),0)&gt;0,T08_Spells!AM$2,"")</f>
        <v/>
      </c>
      <c r="AN60" t="str">
        <f>IF(IFERROR(MATCH($B60,temp!J$4:J$13,0),0)&gt;0,T08_Spells!AN$2,"")</f>
        <v/>
      </c>
      <c r="AO60" t="str">
        <f>IF(IFERROR(MATCH($B60,temp!K$4:K$13,0),0)&gt;0,T08_Spells!AO$2,"")</f>
        <v/>
      </c>
      <c r="AP60" t="str">
        <f>IF(IFERROR(MATCH($B60,temp!L$4:L$13,0),0)&gt;0,T08_Spells!AP$2,"")</f>
        <v/>
      </c>
      <c r="AQ60" t="str">
        <f>IF(IFERROR(MATCH($B60,temp!M$4:M$13,0),0)&gt;0,T08_Spells!AQ$2,"")</f>
        <v/>
      </c>
      <c r="AR60" t="str">
        <f>IF(IFERROR(MATCH($B60,temp!N$4:N$13,0),0)&gt;0,T08_Spells!AR$2,"")</f>
        <v/>
      </c>
      <c r="AS60" t="str">
        <f>IF(IFERROR(MATCH($B60,temp!O$4:O$13,0),0)&gt;0,T08_Spells!AS$2,"")</f>
        <v/>
      </c>
      <c r="AT60" t="str">
        <f>IF(IFERROR(MATCH($B60,temp!P$4:P$13,0),0)&gt;0,T08_Spells!AT$2,"")</f>
        <v/>
      </c>
      <c r="AU60" t="str">
        <f>IF(IFERROR(MATCH($B60,temp!Q$4:Q$13,0),0)&gt;0,T08_Spells!AU$2,"")</f>
        <v/>
      </c>
      <c r="AV60" t="str">
        <f>IF(IFERROR(MATCH($B60,temp!R$4:R$13,0),0)&gt;0,T08_Spells!AV$2,"")</f>
        <v/>
      </c>
      <c r="AW60" t="str">
        <f>IF(IFERROR(MATCH($B60,temp!S$4:S$13,0),0)&gt;0,T08_Spells!AW$2,"")</f>
        <v/>
      </c>
      <c r="AX60" t="str">
        <f>IF(IFERROR(MATCH($B60,temp!T$4:T$13,0),0)&gt;0,T08_Spells!AX$2,"")</f>
        <v/>
      </c>
      <c r="AY60" t="str">
        <f>IF(IFERROR(MATCH($B60,temp!U$4:U$13,0),0)&gt;0,T08_Spells!AY$2,"")</f>
        <v/>
      </c>
      <c r="AZ60" t="str">
        <f>IF(IFERROR(MATCH($B60,temp!V$4:V$13,0),0)&gt;0,T08_Spells!AZ$2,"")</f>
        <v/>
      </c>
      <c r="BA60" t="str">
        <f>IF(IFERROR(MATCH($B60,temp!W$4:W$13,0),0)&gt;0,T08_Spells!BA$2,"")</f>
        <v/>
      </c>
      <c r="BC60">
        <f>IF(IFERROR(SEARCH("Ranger",$T60,1),0)&gt;0,1,0)*IF(RangerMaxSpellLevel&gt;=$C60,1,0)*IF(IFERROR(MATCH(B60,Character_Creation!$X$79:$X$382,0),0)&gt;0,0,1)</f>
        <v>0</v>
      </c>
      <c r="BD60">
        <f>IF(BC60=0,0,1+COUNTIF(BD$3:BD59,"&gt;0"))</f>
        <v>0</v>
      </c>
      <c r="BE60" t="str">
        <f t="shared" si="34"/>
        <v/>
      </c>
      <c r="BF60" t="str">
        <f t="shared" si="6"/>
        <v/>
      </c>
      <c r="BH60">
        <f>IF(IFERROR(SEARCH("Sorcerer",$T60,1),0)&gt;0,1,0)*IF(SorcererMaxSpellLevel&gt;=$C60,1,0)*IF(IFERROR(MATCH(B60,Character_Creation!$J$380:$J$394,0),0)&gt;0,0,1)</f>
        <v>0</v>
      </c>
      <c r="BI60">
        <f>IF(BH60=0,0,1+COUNTIF(BI$3:BI59,"&gt;0"))</f>
        <v>0</v>
      </c>
      <c r="BJ60" t="str">
        <f t="shared" si="35"/>
        <v/>
      </c>
      <c r="BK60" t="str">
        <f t="shared" si="7"/>
        <v/>
      </c>
      <c r="BM60">
        <f>IF(OR(IFERROR(SEARCH("Warlock",$T60,1),0)&gt;0,IFERROR(SEARCH(WarlockPatron,$T60,1),0)&gt;0),1,0)*IF(WarlockMaxSpellLevel&gt;=$C60,1,0)*IF(IFERROR(MATCH(B60,Character_Creation!$J$361:$J$375,0),0)&gt;0,0,1)</f>
        <v>0</v>
      </c>
      <c r="BN60">
        <f>IF(BM60=0,0,1+COUNTIF(BN$3:BN59,"&gt;0"))</f>
        <v>0</v>
      </c>
      <c r="BO60" t="str">
        <f t="shared" si="36"/>
        <v/>
      </c>
      <c r="BP60" t="str">
        <f t="shared" si="8"/>
        <v/>
      </c>
      <c r="BR60">
        <f>IF(IFERROR(SEARCH("Eldritch Knight",$T60,1),0)&gt;0,1,0)*IF(EldritchKnightMaxSpellLevel&gt;=$C60,1,0)*IF(IFERROR(MATCH($B60,Character_Creation!$J$350:$J$356,0),0)&gt;0,0,1)*IF(Character_Creation!$M$338&gt;0,1,0)</f>
        <v>0</v>
      </c>
      <c r="BS60">
        <f>IF(BR60=0,0,1+COUNTIF(BS$3:BS59,"&gt;0"))</f>
        <v>0</v>
      </c>
      <c r="BT60" t="str">
        <f t="shared" si="37"/>
        <v/>
      </c>
      <c r="BU60" t="str">
        <f t="shared" si="9"/>
        <v/>
      </c>
      <c r="BW60">
        <f>IF(IFERROR(SEARCH("Arcane Trickster",$T60,1),0)&gt;0,1,0)*IF(ArcaneTricksterMaxSpellLevel&gt;=$C60,1,0)*IF(IFERROR(MATCH($B60,Character_Creation!$J$350:$J$356,0),0)&gt;0,0,1)*IF(Character_Creation!$T$338&gt;0,1,0)</f>
        <v>0</v>
      </c>
      <c r="BX60">
        <f>IF(BW60=0,0,1+COUNTIF(BX$3:BX59,"&gt;0"))</f>
        <v>0</v>
      </c>
      <c r="BY60" t="str">
        <f t="shared" si="38"/>
        <v/>
      </c>
      <c r="BZ60" t="str">
        <f t="shared" si="10"/>
        <v/>
      </c>
      <c r="CB60">
        <f>IF(IFERROR(SEARCH("Wizard",$T60,1),0)&gt;0,1,0)*IF(C60&lt;=ArcaneTricksterMaxSpellLevel,1,0)*IF(IFERROR(MATCH($B60,Character_Creation!$J$350:$J$356,0),0)&gt;0,0,1)*IF(Character_Creation!$T$350&gt;0,1,0)</f>
        <v>0</v>
      </c>
      <c r="CC60">
        <f>IF(CB60=0,0,1+COUNTIF(CC$3:CC59,"&gt;0"))</f>
        <v>0</v>
      </c>
      <c r="CD60" t="str">
        <f t="shared" si="39"/>
        <v/>
      </c>
      <c r="CE60" t="str">
        <f t="shared" si="11"/>
        <v/>
      </c>
      <c r="CG60">
        <f>IF(IFERROR(SEARCH("Wizard",$T60,1),0)&gt;0,1,0)*IF($C60&lt;=EldritchKnightMaxSpellLevel,1,0)*IF(IFERROR(MATCH($B60,Character_Creation!$J$350:$J$356,0),0)&gt;0,0,1)*IF(Character_Creation!$M$350&gt;0,1,0)</f>
        <v>0</v>
      </c>
      <c r="CH60">
        <f>IF(CG60=0,0,1+COUNTIF(CH$3:CH59,"&gt;0"))</f>
        <v>0</v>
      </c>
      <c r="CI60">
        <f t="shared" si="40"/>
        <v>58</v>
      </c>
      <c r="CJ60" t="str">
        <f t="shared" si="12"/>
        <v>Tasha's Hideous Laughter</v>
      </c>
      <c r="CL60">
        <f>IF(IFERROR(SEARCH("Bard",$T60,1),0)&gt;0,1,0)*IF(BardMaxSpellLevel&gt;=$C60,1,0)*IF(IFERROR(MATCH(B60,Character_Creation!$C$341:$F$362,0),0)&gt;0,0,1)*IF(IFERROR(MATCH($B60,Character_Creation!$C$341:$C$362,0),0)&gt;0,0,1)</f>
        <v>0</v>
      </c>
      <c r="CM60">
        <f>IF(CL60=0,0,1+COUNTIF(CM$3:CM59,"&gt;0"))</f>
        <v>0</v>
      </c>
      <c r="CN60" t="str">
        <f t="shared" si="41"/>
        <v/>
      </c>
      <c r="CO60" t="str">
        <f t="shared" si="13"/>
        <v/>
      </c>
      <c r="CQ60">
        <f>IF(IFERROR(SEARCH("Wizard",$T60,1),0)&gt;0,1,0)*IF(WizardMaxSpellLevel&gt;=$C60,1,0)*IF(IFERROR(MATCH(B60,Character_Creation!$X$341:$X$400,0),0)&gt;0,0,1)*IF(SelectedWizardSpellLevel=$C60,1,0)</f>
        <v>0</v>
      </c>
      <c r="CR60">
        <f>IF(CQ60=0,0,1+COUNTIF(CR$3:CR59,"&gt;0"))</f>
        <v>0</v>
      </c>
      <c r="CS60" t="str">
        <f t="shared" si="42"/>
        <v/>
      </c>
      <c r="CT60" t="str">
        <f t="shared" si="14"/>
        <v/>
      </c>
      <c r="CV60">
        <f>IF(IFERROR(MATCH($B60,Character_Creation!$C$341:$C$362,0),0)&gt;0,0,1)*IF(OR(C60="Cantrip",C60&lt;=BardMaxSpellLevel),1,0)*IF(IFERROR(MATCH($B60,Character_Creation!$C$367:$C$374,0),0)&gt;0,0,1)</f>
        <v>0</v>
      </c>
      <c r="CW60">
        <f>IF(CV60=0,0,1+COUNTIF(CW$3:CW59,"&gt;0"))</f>
        <v>0</v>
      </c>
      <c r="CX60" t="str">
        <f t="shared" si="43"/>
        <v/>
      </c>
      <c r="CY60" t="str">
        <f t="shared" si="15"/>
        <v/>
      </c>
      <c r="DA60">
        <f>IF(IF(OR(IFERROR(SEARCH("Cleric",$T60,1),0)&gt;0,IFERROR(SEARCH(DivineDomain&amp;",",$T60,1),0)&gt;0),1,0)*IF($C60=DA$2,1,0)=1,1+COUNTIF(DA$3:DA59,"&gt;0"),0)</f>
        <v>0</v>
      </c>
      <c r="DB60">
        <f>IF(IF(OR(IFERROR(SEARCH("Cleric",$T60,1),0)&gt;0,IFERROR(SEARCH(DivineDomain&amp;",",$T60,1),0)&gt;0),1,0)*IF($C60=DB$2,1,0)=1,1+COUNTIF(DB$3:DB59,"&gt;0"),0)</f>
        <v>0</v>
      </c>
      <c r="DC60">
        <f>IF(IF(OR(IFERROR(SEARCH("Cleric",$T60,1),0)&gt;0,IFERROR(SEARCH(DivineDomain&amp;",",$T60,1),0)&gt;0),1,0)*IF($C60=DC$2,1,0)=1,1+COUNTIF(DC$3:DC59,"&gt;0"),0)</f>
        <v>0</v>
      </c>
      <c r="DD60">
        <f>IF(IF(OR(IFERROR(SEARCH("Cleric",$T60,1),0)&gt;0,IFERROR(SEARCH(DivineDomain&amp;",",$T60,1),0)&gt;0),1,0)*IF($C60=DD$2,1,0)=1,1+COUNTIF(DD$3:DD59,"&gt;0"),0)</f>
        <v>0</v>
      </c>
      <c r="DE60">
        <f>IF(IF(OR(IFERROR(SEARCH("Cleric",$T60,1),0)&gt;0,IFERROR(SEARCH(DivineDomain&amp;",",$T60,1),0)&gt;0),1,0)*IF($C60=DE$2,1,0)=1,1+COUNTIF(DE$3:DE59,"&gt;0"),0)</f>
        <v>0</v>
      </c>
      <c r="DF60">
        <f>IF(IF(OR(IFERROR(SEARCH("Cleric",$T60,1),0)&gt;0,IFERROR(SEARCH(DivineDomain&amp;",",$T60,1),0)&gt;0),1,0)*IF($C60=DF$2,1,0)=1,1+COUNTIF(DF$3:DF59,"&gt;0"),0)</f>
        <v>0</v>
      </c>
      <c r="DG60">
        <f>IF(IF(OR(IFERROR(SEARCH("Cleric",$T60,1),0)&gt;0,IFERROR(SEARCH(DivineDomain&amp;",",$T60,1),0)&gt;0),1,0)*IF($C60=DG$2,1,0)=1,1+COUNTIF(DG$3:DG59,"&gt;0"),0)</f>
        <v>0</v>
      </c>
      <c r="DH60">
        <f>IF(IF(OR(IFERROR(SEARCH("Cleric",$T60,1),0)&gt;0,IFERROR(SEARCH(DivineDomain&amp;",",$T60,1),0)&gt;0),1,0)*IF($C60=DH$2,1,0)=1,1+COUNTIF(DH$3:DH59,"&gt;0"),0)</f>
        <v>0</v>
      </c>
      <c r="DI60">
        <f>IF(IF(OR(IFERROR(SEARCH("Cleric",$T60,1),0)&gt;0,IFERROR(SEARCH(DivineDomain&amp;",",$T60,1),0)&gt;0),1,0)*IF($C60=DI$2,1,0)=1,1+COUNTIF(DI$3:DI59,"&gt;0"),0)</f>
        <v>0</v>
      </c>
      <c r="DJ60">
        <f>IF(IF(OR(IFERROR(SEARCH("Druid",$T60,1),0)&gt;0,IFERROR(SEARCH(DruidLand1,$T60,1),0)&gt;0,IFERROR(SEARCH(DruidLand2,$T60,1),0)&gt;0,IFERROR(SEARCH(DruidLand3,$T60,1),0)&gt;0,IFERROR(SEARCH(DruidLand4,$T60,1),0)&gt;0),1,0)*IF($C60=1,1,0)*IF($C60=DJ$2,1,0)=0,0,1+COUNTIF(DJ$3:DJ59,"&gt;0"))</f>
        <v>0</v>
      </c>
      <c r="DK60">
        <f>IF(IF(OR(IFERROR(SEARCH("Druid",$T60,1),0)&gt;0,IFERROR(SEARCH(DruidLand1,$T60,1),0)&gt;0,IFERROR(SEARCH(DruidLand2,$T60,1),0)&gt;0,IFERROR(SEARCH(DruidLand3,$T60,1),0)&gt;0,IFERROR(SEARCH(DruidLand4,$T60,1),0)&gt;0),1,0)*IF($C60=1,1,0)*IF($C60=DK$2,1,0)=0,0,1+COUNTIF(DK$3:DK59,"&gt;0"))</f>
        <v>0</v>
      </c>
      <c r="DL60">
        <f>IF(IF(OR(IFERROR(SEARCH("Druid",$T60,1),0)&gt;0,IFERROR(SEARCH(DruidLand1,$T60,1),0)&gt;0,IFERROR(SEARCH(DruidLand2,$T60,1),0)&gt;0,IFERROR(SEARCH(DruidLand3,$T60,1),0)&gt;0,IFERROR(SEARCH(DruidLand4,$T60,1),0)&gt;0),1,0)*IF($C60=1,1,0)*IF($C60=DL$2,1,0)=0,0,1+COUNTIF(DL$3:DL59,"&gt;0"))</f>
        <v>0</v>
      </c>
      <c r="DM60">
        <f>IF(IF(OR(IFERROR(SEARCH("Druid",$T60,1),0)&gt;0,IFERROR(SEARCH(DruidLand1,$T60,1),0)&gt;0,IFERROR(SEARCH(DruidLand2,$T60,1),0)&gt;0,IFERROR(SEARCH(DruidLand3,$T60,1),0)&gt;0,IFERROR(SEARCH(DruidLand4,$T60,1),0)&gt;0),1,0)*IF($C60=1,1,0)*IF($C60=DM$2,1,0)=0,0,1+COUNTIF(DM$3:DM59,"&gt;0"))</f>
        <v>0</v>
      </c>
      <c r="DN60">
        <f>IF(IF(OR(IFERROR(SEARCH("Druid",$T60,1),0)&gt;0,IFERROR(SEARCH(DruidLand1,$T60,1),0)&gt;0,IFERROR(SEARCH(DruidLand2,$T60,1),0)&gt;0,IFERROR(SEARCH(DruidLand3,$T60,1),0)&gt;0,IFERROR(SEARCH(DruidLand4,$T60,1),0)&gt;0),1,0)*IF($C60=1,1,0)*IF($C60=DN$2,1,0)=0,0,1+COUNTIF(DN$3:DN59,"&gt;0"))</f>
        <v>0</v>
      </c>
      <c r="DO60">
        <f>IF(IF(OR(IFERROR(SEARCH("Druid",$T60,1),0)&gt;0,IFERROR(SEARCH(DruidLand1,$T60,1),0)&gt;0,IFERROR(SEARCH(DruidLand2,$T60,1),0)&gt;0,IFERROR(SEARCH(DruidLand3,$T60,1),0)&gt;0,IFERROR(SEARCH(DruidLand4,$T60,1),0)&gt;0),1,0)*IF($C60=1,1,0)*IF($C60=DO$2,1,0)=0,0,1+COUNTIF(DO$3:DO59,"&gt;0"))</f>
        <v>0</v>
      </c>
      <c r="DP60">
        <f>IF(IF(OR(IFERROR(SEARCH("Druid",$T60,1),0)&gt;0,IFERROR(SEARCH(DruidLand1,$T60,1),0)&gt;0,IFERROR(SEARCH(DruidLand2,$T60,1),0)&gt;0,IFERROR(SEARCH(DruidLand3,$T60,1),0)&gt;0,IFERROR(SEARCH(DruidLand4,$T60,1),0)&gt;0),1,0)*IF($C60=1,1,0)*IF($C60=DP$2,1,0)=0,0,1+COUNTIF(DP$3:DP59,"&gt;0"))</f>
        <v>0</v>
      </c>
      <c r="DQ60">
        <f>IF(IF(OR(IFERROR(SEARCH("Druid",$T60,1),0)&gt;0,IFERROR(SEARCH(DruidLand1,$T60,1),0)&gt;0,IFERROR(SEARCH(DruidLand2,$T60,1),0)&gt;0,IFERROR(SEARCH(DruidLand3,$T60,1),0)&gt;0,IFERROR(SEARCH(DruidLand4,$T60,1),0)&gt;0),1,0)*IF($C60=1,1,0)*IF($C60=DQ$2,1,0)=0,0,1+COUNTIF(DQ$3:DQ59,"&gt;0"))</f>
        <v>0</v>
      </c>
      <c r="DR60">
        <f>IF(IF(OR(IFERROR(SEARCH("Druid",$T60,1),0)&gt;0,IFERROR(SEARCH(DruidLand1,$T60,1),0)&gt;0,IFERROR(SEARCH(DruidLand2,$T60,1),0)&gt;0,IFERROR(SEARCH(DruidLand3,$T60,1),0)&gt;0,IFERROR(SEARCH(DruidLand4,$T60,1),0)&gt;0),1,0)*IF($C60=1,1,0)*IF($C60=DR$2,1,0)=0,0,1+COUNTIF(DR$3:DR59,"&gt;0"))</f>
        <v>0</v>
      </c>
      <c r="DS60">
        <f>IF(IF(OR(IFERROR(SEARCH("Paladin",$T60,1),0)&gt;0,IFERROR(SEARCH(PaladinOath,$T60,1),0)&gt;0),1,0)*IF($C60=DS$2,1,0)=1,1+COUNTIF(DS$3:DS59,"&gt;0"),0)</f>
        <v>3</v>
      </c>
      <c r="DT60">
        <f>IF(IF(OR(IFERROR(SEARCH("Paladin",$T60,1),0)&gt;0,IFERROR(SEARCH(PaladinOath,$T60,1),0)&gt;0),1,0)*IF($C60=DT$2,1,0)=1,1+COUNTIF(DT$3:DT59,"&gt;0"),0)</f>
        <v>0</v>
      </c>
      <c r="DU60">
        <f>IF(IF(OR(IFERROR(SEARCH("Paladin",$T60,1),0)&gt;0,IFERROR(SEARCH(PaladinOath,$T60,1),0)&gt;0),1,0)*IF($C60=DU$2,1,0)=1,1+COUNTIF(DU$3:DU59,"&gt;0"),0)</f>
        <v>0</v>
      </c>
      <c r="DV60">
        <f>IF(IF(OR(IFERROR(SEARCH("Paladin",$T60,1),0)&gt;0,IFERROR(SEARCH(PaladinOath,$T60,1),0)&gt;0),1,0)*IF($C60=DV$2,1,0)=1,1+COUNTIF(DV$3:DV59,"&gt;0"),0)</f>
        <v>0</v>
      </c>
      <c r="DW60">
        <f>IF(IF(OR(IFERROR(SEARCH("Paladin",$T60,1),0)&gt;0,IFERROR(SEARCH(PaladinOath,$T60,1),0)&gt;0),1,0)*IF($C60=DW$2,1,0)=1,1+COUNTIF(DW$3:DW59,"&gt;0"),0)</f>
        <v>0</v>
      </c>
      <c r="DY60">
        <f t="shared" si="2"/>
        <v>1</v>
      </c>
      <c r="DZ60">
        <f>IF(DY60=0,0,1+MAX(DZ$3:$DZ59))</f>
        <v>58</v>
      </c>
      <c r="EB60">
        <f t="shared" si="16"/>
        <v>0</v>
      </c>
      <c r="EC60">
        <f>IF(EB60=0,0,1+COUNTIF(EC$3:EC59,"&gt;0"))</f>
        <v>0</v>
      </c>
      <c r="ED60" t="str">
        <f t="shared" si="44"/>
        <v/>
      </c>
      <c r="EE60" t="str">
        <f t="shared" si="17"/>
        <v/>
      </c>
      <c r="EG60">
        <f t="shared" si="18"/>
        <v>0</v>
      </c>
      <c r="EH60">
        <f>IF(EG60=0,0,1+COUNTIF(EH$3:EH59,"&gt;0"))</f>
        <v>0</v>
      </c>
      <c r="EI60" t="str">
        <f t="shared" si="45"/>
        <v/>
      </c>
      <c r="EJ60" t="str">
        <f t="shared" si="19"/>
        <v/>
      </c>
      <c r="EL60">
        <f t="shared" si="20"/>
        <v>0</v>
      </c>
      <c r="EM60">
        <f>IF(EL60=0,0,1+COUNTIF(EM$3:EM59,"&gt;0"))</f>
        <v>0</v>
      </c>
      <c r="EN60" t="str">
        <f t="shared" si="46"/>
        <v/>
      </c>
      <c r="EO60" t="str">
        <f t="shared" si="21"/>
        <v/>
      </c>
      <c r="EQ60">
        <f t="shared" si="22"/>
        <v>0</v>
      </c>
      <c r="ER60">
        <f>IF(EQ60=0,0,1+COUNTIF(ER$3:ER59,"&gt;0"))</f>
        <v>0</v>
      </c>
      <c r="ES60" t="str">
        <f t="shared" si="47"/>
        <v/>
      </c>
      <c r="ET60" t="str">
        <f t="shared" si="23"/>
        <v/>
      </c>
      <c r="EV60">
        <f t="shared" si="24"/>
        <v>0</v>
      </c>
      <c r="EW60">
        <f>IF(EV60=0,0,1+COUNTIF(EW$3:EW59,"&gt;0"))</f>
        <v>0</v>
      </c>
      <c r="EX60" t="str">
        <f t="shared" si="48"/>
        <v/>
      </c>
      <c r="EY60" t="str">
        <f t="shared" si="25"/>
        <v/>
      </c>
      <c r="FA60">
        <f t="shared" si="26"/>
        <v>0</v>
      </c>
      <c r="FB60">
        <f>IF(FA60=0,0,1+COUNTIF(FB$3:FB59,"&gt;0"))</f>
        <v>0</v>
      </c>
      <c r="FC60" t="str">
        <f t="shared" si="49"/>
        <v/>
      </c>
      <c r="FD60" t="str">
        <f t="shared" si="27"/>
        <v/>
      </c>
      <c r="FF60">
        <f t="shared" si="28"/>
        <v>0</v>
      </c>
      <c r="FG60">
        <f>IF(FF60=0,0,1+COUNTIF(FG$3:FG59,"&gt;0"))</f>
        <v>0</v>
      </c>
      <c r="FH60" t="str">
        <f t="shared" si="50"/>
        <v/>
      </c>
      <c r="FI60" t="str">
        <f t="shared" si="29"/>
        <v/>
      </c>
      <c r="FK60">
        <f t="shared" si="30"/>
        <v>0</v>
      </c>
      <c r="FL60">
        <f>IF(FK60=0,0,1+COUNTIF(FL$3:FL59,"&gt;0"))</f>
        <v>0</v>
      </c>
      <c r="FM60" t="str">
        <f t="shared" si="51"/>
        <v/>
      </c>
      <c r="FN60" t="str">
        <f t="shared" si="31"/>
        <v/>
      </c>
      <c r="FP60">
        <f t="shared" si="32"/>
        <v>0</v>
      </c>
      <c r="FQ60">
        <f>IF(FP60=0,0,1+COUNTIF(FQ$3:FQ59,"&gt;0"))</f>
        <v>0</v>
      </c>
      <c r="FR60" t="str">
        <f t="shared" si="52"/>
        <v/>
      </c>
      <c r="FS60" t="str">
        <f t="shared" si="33"/>
        <v/>
      </c>
    </row>
    <row r="61" spans="1:175" x14ac:dyDescent="0.25">
      <c r="A61" s="347">
        <f t="shared" si="53"/>
        <v>59</v>
      </c>
      <c r="B61" s="348" t="s">
        <v>2422</v>
      </c>
      <c r="C61" s="348">
        <v>1</v>
      </c>
      <c r="D61" s="347">
        <v>1</v>
      </c>
      <c r="E61" s="627" t="s">
        <v>6952</v>
      </c>
      <c r="F61" s="346"/>
      <c r="G61" s="347" t="s">
        <v>5269</v>
      </c>
      <c r="H61" s="347" t="s">
        <v>5913</v>
      </c>
      <c r="I61" s="347" t="s">
        <v>5283</v>
      </c>
      <c r="J61" s="347" t="str">
        <f t="shared" si="3"/>
        <v/>
      </c>
      <c r="K61" s="347" t="s">
        <v>5293</v>
      </c>
      <c r="L61" s="611" t="str">
        <f t="shared" si="4"/>
        <v>V, S, M, a pinch of soot and salt</v>
      </c>
      <c r="M61" s="347" t="s">
        <v>2373</v>
      </c>
      <c r="N61" s="347" t="s">
        <v>2387</v>
      </c>
      <c r="O61" s="347" t="s">
        <v>1244</v>
      </c>
      <c r="P61" s="346" t="s">
        <v>5325</v>
      </c>
      <c r="Q61" s="347" t="s">
        <v>2473</v>
      </c>
      <c r="S61" s="346" t="s">
        <v>5629</v>
      </c>
      <c r="T61" s="346" t="str">
        <f t="shared" si="5"/>
        <v xml:space="preserve">Bard, Sorcerer, Warlock, Wizard, </v>
      </c>
      <c r="U61" s="347" t="str">
        <f>$B61</f>
        <v>Comprehend Languages</v>
      </c>
      <c r="X61" s="347" t="str">
        <f>$B61</f>
        <v>Comprehend Languages</v>
      </c>
      <c r="Y61" s="347" t="str">
        <f>$B61</f>
        <v>Comprehend Languages</v>
      </c>
      <c r="AD61" s="347" t="str">
        <f>$B61</f>
        <v>Comprehend Languages</v>
      </c>
      <c r="AE61" t="str">
        <f>IF(IFERROR(MATCH($B61,temp!A$4:A$13,0),0)&gt;0,T08_Spells!AE$2,"")</f>
        <v/>
      </c>
      <c r="AF61" t="str">
        <f>IF(IFERROR(MATCH($B61,temp!B$4:B$13,0),0)&gt;0,T08_Spells!AF$2,"")</f>
        <v/>
      </c>
      <c r="AG61" t="str">
        <f>IF(IFERROR(MATCH($B61,temp!C$4:C$13,0),0)&gt;0,T08_Spells!AG$2,"")</f>
        <v/>
      </c>
      <c r="AH61" t="str">
        <f>IF(IFERROR(MATCH($B61,temp!D$4:D$13,0),0)&gt;0,T08_Spells!AH$2,"")</f>
        <v/>
      </c>
      <c r="AI61" t="str">
        <f>IF(IFERROR(MATCH($B61,temp!E$4:E$13,0),0)&gt;0,T08_Spells!AI$2,"")</f>
        <v/>
      </c>
      <c r="AJ61" t="str">
        <f>IF(IFERROR(MATCH($B61,temp!F$4:F$13,0),0)&gt;0,T08_Spells!AJ$2,"")</f>
        <v/>
      </c>
      <c r="AK61" t="str">
        <f>IF(IFERROR(MATCH($B61,temp!G$4:G$13,0),0)&gt;0,T08_Spells!AK$2,"")</f>
        <v/>
      </c>
      <c r="AL61" t="str">
        <f>IF(IFERROR(MATCH($B61,temp!H$4:H$13,0),0)&gt;0,T08_Spells!AL$2,"")</f>
        <v/>
      </c>
      <c r="AM61" t="str">
        <f>IF(IFERROR(MATCH($B61,temp!I$4:I$13,0),0)&gt;0,T08_Spells!AM$2,"")</f>
        <v/>
      </c>
      <c r="AN61" t="str">
        <f>IF(IFERROR(MATCH($B61,temp!J$4:J$13,0),0)&gt;0,T08_Spells!AN$2,"")</f>
        <v/>
      </c>
      <c r="AO61" t="str">
        <f>IF(IFERROR(MATCH($B61,temp!K$4:K$13,0),0)&gt;0,T08_Spells!AO$2,"")</f>
        <v/>
      </c>
      <c r="AP61" t="str">
        <f>IF(IFERROR(MATCH($B61,temp!L$4:L$13,0),0)&gt;0,T08_Spells!AP$2,"")</f>
        <v/>
      </c>
      <c r="AQ61" t="str">
        <f>IF(IFERROR(MATCH($B61,temp!M$4:M$13,0),0)&gt;0,T08_Spells!AQ$2,"")</f>
        <v/>
      </c>
      <c r="AR61" t="str">
        <f>IF(IFERROR(MATCH($B61,temp!N$4:N$13,0),0)&gt;0,T08_Spells!AR$2,"")</f>
        <v/>
      </c>
      <c r="AS61" t="str">
        <f>IF(IFERROR(MATCH($B61,temp!O$4:O$13,0),0)&gt;0,T08_Spells!AS$2,"")</f>
        <v/>
      </c>
      <c r="AT61" t="str">
        <f>IF(IFERROR(MATCH($B61,temp!P$4:P$13,0),0)&gt;0,T08_Spells!AT$2,"")</f>
        <v/>
      </c>
      <c r="AU61" t="str">
        <f>IF(IFERROR(MATCH($B61,temp!Q$4:Q$13,0),0)&gt;0,T08_Spells!AU$2,"")</f>
        <v/>
      </c>
      <c r="AV61" t="str">
        <f>IF(IFERROR(MATCH($B61,temp!R$4:R$13,0),0)&gt;0,T08_Spells!AV$2,"")</f>
        <v/>
      </c>
      <c r="AW61" t="str">
        <f>IF(IFERROR(MATCH($B61,temp!S$4:S$13,0),0)&gt;0,T08_Spells!AW$2,"")</f>
        <v/>
      </c>
      <c r="AX61" t="str">
        <f>IF(IFERROR(MATCH($B61,temp!T$4:T$13,0),0)&gt;0,T08_Spells!AX$2,"")</f>
        <v/>
      </c>
      <c r="AY61" t="str">
        <f>IF(IFERROR(MATCH($B61,temp!U$4:U$13,0),0)&gt;0,T08_Spells!AY$2,"")</f>
        <v/>
      </c>
      <c r="AZ61" t="str">
        <f>IF(IFERROR(MATCH($B61,temp!V$4:V$13,0),0)&gt;0,T08_Spells!AZ$2,"")</f>
        <v/>
      </c>
      <c r="BA61" t="str">
        <f>IF(IFERROR(MATCH($B61,temp!W$4:W$13,0),0)&gt;0,T08_Spells!BA$2,"")</f>
        <v/>
      </c>
      <c r="BC61">
        <f>IF(IFERROR(SEARCH("Ranger",$T61,1),0)&gt;0,1,0)*IF(RangerMaxSpellLevel&gt;=$C61,1,0)*IF(IFERROR(MATCH(B61,Character_Creation!$X$79:$X$382,0),0)&gt;0,0,1)</f>
        <v>0</v>
      </c>
      <c r="BD61">
        <f>IF(BC61=0,0,1+COUNTIF(BD$3:BD60,"&gt;0"))</f>
        <v>0</v>
      </c>
      <c r="BE61" t="str">
        <f t="shared" si="34"/>
        <v/>
      </c>
      <c r="BF61" t="str">
        <f t="shared" si="6"/>
        <v/>
      </c>
      <c r="BH61">
        <f>IF(IFERROR(SEARCH("Sorcerer",$T61,1),0)&gt;0,1,0)*IF(SorcererMaxSpellLevel&gt;=$C61,1,0)*IF(IFERROR(MATCH(B61,Character_Creation!$J$380:$J$394,0),0)&gt;0,0,1)</f>
        <v>0</v>
      </c>
      <c r="BI61">
        <f>IF(BH61=0,0,1+COUNTIF(BI$3:BI60,"&gt;0"))</f>
        <v>0</v>
      </c>
      <c r="BJ61" t="str">
        <f t="shared" si="35"/>
        <v/>
      </c>
      <c r="BK61" t="str">
        <f t="shared" si="7"/>
        <v/>
      </c>
      <c r="BM61">
        <f>IF(OR(IFERROR(SEARCH("Warlock",$T61,1),0)&gt;0,IFERROR(SEARCH(WarlockPatron,$T61,1),0)&gt;0),1,0)*IF(WarlockMaxSpellLevel&gt;=$C61,1,0)*IF(IFERROR(MATCH(B61,Character_Creation!$J$361:$J$375,0),0)&gt;0,0,1)</f>
        <v>0</v>
      </c>
      <c r="BN61">
        <f>IF(BM61=0,0,1+COUNTIF(BN$3:BN60,"&gt;0"))</f>
        <v>0</v>
      </c>
      <c r="BO61" t="str">
        <f t="shared" si="36"/>
        <v/>
      </c>
      <c r="BP61" t="str">
        <f t="shared" si="8"/>
        <v/>
      </c>
      <c r="BR61">
        <f>IF(IFERROR(SEARCH("Eldritch Knight",$T61,1),0)&gt;0,1,0)*IF(EldritchKnightMaxSpellLevel&gt;=$C61,1,0)*IF(IFERROR(MATCH($B61,Character_Creation!$J$350:$J$356,0),0)&gt;0,0,1)*IF(Character_Creation!$M$338&gt;0,1,0)</f>
        <v>0</v>
      </c>
      <c r="BS61">
        <f>IF(BR61=0,0,1+COUNTIF(BS$3:BS60,"&gt;0"))</f>
        <v>0</v>
      </c>
      <c r="BT61" t="str">
        <f t="shared" si="37"/>
        <v/>
      </c>
      <c r="BU61" t="str">
        <f t="shared" si="9"/>
        <v/>
      </c>
      <c r="BW61">
        <f>IF(IFERROR(SEARCH("Arcane Trickster",$T61,1),0)&gt;0,1,0)*IF(ArcaneTricksterMaxSpellLevel&gt;=$C61,1,0)*IF(IFERROR(MATCH($B61,Character_Creation!$J$350:$J$356,0),0)&gt;0,0,1)*IF(Character_Creation!$T$338&gt;0,1,0)</f>
        <v>0</v>
      </c>
      <c r="BX61">
        <f>IF(BW61=0,0,1+COUNTIF(BX$3:BX60,"&gt;0"))</f>
        <v>0</v>
      </c>
      <c r="BY61" t="str">
        <f t="shared" si="38"/>
        <v/>
      </c>
      <c r="BZ61" t="str">
        <f t="shared" si="10"/>
        <v/>
      </c>
      <c r="CB61">
        <f>IF(IFERROR(SEARCH("Wizard",$T61,1),0)&gt;0,1,0)*IF(C61&lt;=ArcaneTricksterMaxSpellLevel,1,0)*IF(IFERROR(MATCH($B61,Character_Creation!$J$350:$J$356,0),0)&gt;0,0,1)*IF(Character_Creation!$T$350&gt;0,1,0)</f>
        <v>0</v>
      </c>
      <c r="CC61">
        <f>IF(CB61=0,0,1+COUNTIF(CC$3:CC60,"&gt;0"))</f>
        <v>0</v>
      </c>
      <c r="CD61" t="str">
        <f t="shared" si="39"/>
        <v/>
      </c>
      <c r="CE61" t="str">
        <f t="shared" si="11"/>
        <v/>
      </c>
      <c r="CG61">
        <f>IF(IFERROR(SEARCH("Wizard",$T61,1),0)&gt;0,1,0)*IF($C61&lt;=EldritchKnightMaxSpellLevel,1,0)*IF(IFERROR(MATCH($B61,Character_Creation!$J$350:$J$356,0),0)&gt;0,0,1)*IF(Character_Creation!$M$350&gt;0,1,0)</f>
        <v>1</v>
      </c>
      <c r="CH61">
        <f>IF(CG61=0,0,1+COUNTIF(CH$3:CH60,"&gt;0"))</f>
        <v>11</v>
      </c>
      <c r="CI61">
        <f t="shared" si="40"/>
        <v>59</v>
      </c>
      <c r="CJ61" t="str">
        <f t="shared" si="12"/>
        <v>Thunderwave</v>
      </c>
      <c r="CL61">
        <f>IF(IFERROR(SEARCH("Bard",$T61,1),0)&gt;0,1,0)*IF(BardMaxSpellLevel&gt;=$C61,1,0)*IF(IFERROR(MATCH(B61,Character_Creation!$C$341:$F$362,0),0)&gt;0,0,1)*IF(IFERROR(MATCH($B61,Character_Creation!$C$341:$C$362,0),0)&gt;0,0,1)</f>
        <v>0</v>
      </c>
      <c r="CM61">
        <f>IF(CL61=0,0,1+COUNTIF(CM$3:CM60,"&gt;0"))</f>
        <v>0</v>
      </c>
      <c r="CN61" t="str">
        <f t="shared" si="41"/>
        <v/>
      </c>
      <c r="CO61" t="str">
        <f t="shared" si="13"/>
        <v/>
      </c>
      <c r="CQ61">
        <f>IF(IFERROR(SEARCH("Wizard",$T61,1),0)&gt;0,1,0)*IF(WizardMaxSpellLevel&gt;=$C61,1,0)*IF(IFERROR(MATCH(B61,Character_Creation!$X$341:$X$400,0),0)&gt;0,0,1)*IF(SelectedWizardSpellLevel=$C61,1,0)</f>
        <v>0</v>
      </c>
      <c r="CR61">
        <f>IF(CQ61=0,0,1+COUNTIF(CR$3:CR60,"&gt;0"))</f>
        <v>0</v>
      </c>
      <c r="CS61" t="str">
        <f t="shared" si="42"/>
        <v/>
      </c>
      <c r="CT61" t="str">
        <f t="shared" si="14"/>
        <v/>
      </c>
      <c r="CV61">
        <f>IF(IFERROR(MATCH($B61,Character_Creation!$C$341:$C$362,0),0)&gt;0,0,1)*IF(OR(C61="Cantrip",C61&lt;=BardMaxSpellLevel),1,0)*IF(IFERROR(MATCH($B61,Character_Creation!$C$367:$C$374,0),0)&gt;0,0,1)</f>
        <v>0</v>
      </c>
      <c r="CW61">
        <f>IF(CV61=0,0,1+COUNTIF(CW$3:CW60,"&gt;0"))</f>
        <v>0</v>
      </c>
      <c r="CX61" t="str">
        <f t="shared" si="43"/>
        <v/>
      </c>
      <c r="CY61" t="str">
        <f t="shared" si="15"/>
        <v/>
      </c>
      <c r="DA61">
        <f>IF(IF(OR(IFERROR(SEARCH("Cleric",$T61,1),0)&gt;0,IFERROR(SEARCH(DivineDomain&amp;",",$T61,1),0)&gt;0),1,0)*IF($C61=DA$2,1,0)=1,1+COUNTIF(DA$3:DA60,"&gt;0"),0)</f>
        <v>0</v>
      </c>
      <c r="DB61">
        <f>IF(IF(OR(IFERROR(SEARCH("Cleric",$T61,1),0)&gt;0,IFERROR(SEARCH(DivineDomain&amp;",",$T61,1),0)&gt;0),1,0)*IF($C61=DB$2,1,0)=1,1+COUNTIF(DB$3:DB60,"&gt;0"),0)</f>
        <v>0</v>
      </c>
      <c r="DC61">
        <f>IF(IF(OR(IFERROR(SEARCH("Cleric",$T61,1),0)&gt;0,IFERROR(SEARCH(DivineDomain&amp;",",$T61,1),0)&gt;0),1,0)*IF($C61=DC$2,1,0)=1,1+COUNTIF(DC$3:DC60,"&gt;0"),0)</f>
        <v>0</v>
      </c>
      <c r="DD61">
        <f>IF(IF(OR(IFERROR(SEARCH("Cleric",$T61,1),0)&gt;0,IFERROR(SEARCH(DivineDomain&amp;",",$T61,1),0)&gt;0),1,0)*IF($C61=DD$2,1,0)=1,1+COUNTIF(DD$3:DD60,"&gt;0"),0)</f>
        <v>0</v>
      </c>
      <c r="DE61">
        <f>IF(IF(OR(IFERROR(SEARCH("Cleric",$T61,1),0)&gt;0,IFERROR(SEARCH(DivineDomain&amp;",",$T61,1),0)&gt;0),1,0)*IF($C61=DE$2,1,0)=1,1+COUNTIF(DE$3:DE60,"&gt;0"),0)</f>
        <v>0</v>
      </c>
      <c r="DF61">
        <f>IF(IF(OR(IFERROR(SEARCH("Cleric",$T61,1),0)&gt;0,IFERROR(SEARCH(DivineDomain&amp;",",$T61,1),0)&gt;0),1,0)*IF($C61=DF$2,1,0)=1,1+COUNTIF(DF$3:DF60,"&gt;0"),0)</f>
        <v>0</v>
      </c>
      <c r="DG61">
        <f>IF(IF(OR(IFERROR(SEARCH("Cleric",$T61,1),0)&gt;0,IFERROR(SEARCH(DivineDomain&amp;",",$T61,1),0)&gt;0),1,0)*IF($C61=DG$2,1,0)=1,1+COUNTIF(DG$3:DG60,"&gt;0"),0)</f>
        <v>0</v>
      </c>
      <c r="DH61">
        <f>IF(IF(OR(IFERROR(SEARCH("Cleric",$T61,1),0)&gt;0,IFERROR(SEARCH(DivineDomain&amp;",",$T61,1),0)&gt;0),1,0)*IF($C61=DH$2,1,0)=1,1+COUNTIF(DH$3:DH60,"&gt;0"),0)</f>
        <v>0</v>
      </c>
      <c r="DI61">
        <f>IF(IF(OR(IFERROR(SEARCH("Cleric",$T61,1),0)&gt;0,IFERROR(SEARCH(DivineDomain&amp;",",$T61,1),0)&gt;0),1,0)*IF($C61=DI$2,1,0)=1,1+COUNTIF(DI$3:DI60,"&gt;0"),0)</f>
        <v>0</v>
      </c>
      <c r="DJ61">
        <f>IF(IF(OR(IFERROR(SEARCH("Druid",$T61,1),0)&gt;0,IFERROR(SEARCH(DruidLand1,$T61,1),0)&gt;0,IFERROR(SEARCH(DruidLand2,$T61,1),0)&gt;0,IFERROR(SEARCH(DruidLand3,$T61,1),0)&gt;0,IFERROR(SEARCH(DruidLand4,$T61,1),0)&gt;0),1,0)*IF($C61=1,1,0)*IF($C61=DJ$2,1,0)=0,0,1+COUNTIF(DJ$3:DJ60,"&gt;0"))</f>
        <v>0</v>
      </c>
      <c r="DK61">
        <f>IF(IF(OR(IFERROR(SEARCH("Druid",$T61,1),0)&gt;0,IFERROR(SEARCH(DruidLand1,$T61,1),0)&gt;0,IFERROR(SEARCH(DruidLand2,$T61,1),0)&gt;0,IFERROR(SEARCH(DruidLand3,$T61,1),0)&gt;0,IFERROR(SEARCH(DruidLand4,$T61,1),0)&gt;0),1,0)*IF($C61=1,1,0)*IF($C61=DK$2,1,0)=0,0,1+COUNTIF(DK$3:DK60,"&gt;0"))</f>
        <v>0</v>
      </c>
      <c r="DL61">
        <f>IF(IF(OR(IFERROR(SEARCH("Druid",$T61,1),0)&gt;0,IFERROR(SEARCH(DruidLand1,$T61,1),0)&gt;0,IFERROR(SEARCH(DruidLand2,$T61,1),0)&gt;0,IFERROR(SEARCH(DruidLand3,$T61,1),0)&gt;0,IFERROR(SEARCH(DruidLand4,$T61,1),0)&gt;0),1,0)*IF($C61=1,1,0)*IF($C61=DL$2,1,0)=0,0,1+COUNTIF(DL$3:DL60,"&gt;0"))</f>
        <v>0</v>
      </c>
      <c r="DM61">
        <f>IF(IF(OR(IFERROR(SEARCH("Druid",$T61,1),0)&gt;0,IFERROR(SEARCH(DruidLand1,$T61,1),0)&gt;0,IFERROR(SEARCH(DruidLand2,$T61,1),0)&gt;0,IFERROR(SEARCH(DruidLand3,$T61,1),0)&gt;0,IFERROR(SEARCH(DruidLand4,$T61,1),0)&gt;0),1,0)*IF($C61=1,1,0)*IF($C61=DM$2,1,0)=0,0,1+COUNTIF(DM$3:DM60,"&gt;0"))</f>
        <v>0</v>
      </c>
      <c r="DN61">
        <f>IF(IF(OR(IFERROR(SEARCH("Druid",$T61,1),0)&gt;0,IFERROR(SEARCH(DruidLand1,$T61,1),0)&gt;0,IFERROR(SEARCH(DruidLand2,$T61,1),0)&gt;0,IFERROR(SEARCH(DruidLand3,$T61,1),0)&gt;0,IFERROR(SEARCH(DruidLand4,$T61,1),0)&gt;0),1,0)*IF($C61=1,1,0)*IF($C61=DN$2,1,0)=0,0,1+COUNTIF(DN$3:DN60,"&gt;0"))</f>
        <v>0</v>
      </c>
      <c r="DO61">
        <f>IF(IF(OR(IFERROR(SEARCH("Druid",$T61,1),0)&gt;0,IFERROR(SEARCH(DruidLand1,$T61,1),0)&gt;0,IFERROR(SEARCH(DruidLand2,$T61,1),0)&gt;0,IFERROR(SEARCH(DruidLand3,$T61,1),0)&gt;0,IFERROR(SEARCH(DruidLand4,$T61,1),0)&gt;0),1,0)*IF($C61=1,1,0)*IF($C61=DO$2,1,0)=0,0,1+COUNTIF(DO$3:DO60,"&gt;0"))</f>
        <v>0</v>
      </c>
      <c r="DP61">
        <f>IF(IF(OR(IFERROR(SEARCH("Druid",$T61,1),0)&gt;0,IFERROR(SEARCH(DruidLand1,$T61,1),0)&gt;0,IFERROR(SEARCH(DruidLand2,$T61,1),0)&gt;0,IFERROR(SEARCH(DruidLand3,$T61,1),0)&gt;0,IFERROR(SEARCH(DruidLand4,$T61,1),0)&gt;0),1,0)*IF($C61=1,1,0)*IF($C61=DP$2,1,0)=0,0,1+COUNTIF(DP$3:DP60,"&gt;0"))</f>
        <v>0</v>
      </c>
      <c r="DQ61">
        <f>IF(IF(OR(IFERROR(SEARCH("Druid",$T61,1),0)&gt;0,IFERROR(SEARCH(DruidLand1,$T61,1),0)&gt;0,IFERROR(SEARCH(DruidLand2,$T61,1),0)&gt;0,IFERROR(SEARCH(DruidLand3,$T61,1),0)&gt;0,IFERROR(SEARCH(DruidLand4,$T61,1),0)&gt;0),1,0)*IF($C61=1,1,0)*IF($C61=DQ$2,1,0)=0,0,1+COUNTIF(DQ$3:DQ60,"&gt;0"))</f>
        <v>0</v>
      </c>
      <c r="DR61">
        <f>IF(IF(OR(IFERROR(SEARCH("Druid",$T61,1),0)&gt;0,IFERROR(SEARCH(DruidLand1,$T61,1),0)&gt;0,IFERROR(SEARCH(DruidLand2,$T61,1),0)&gt;0,IFERROR(SEARCH(DruidLand3,$T61,1),0)&gt;0,IFERROR(SEARCH(DruidLand4,$T61,1),0)&gt;0),1,0)*IF($C61=1,1,0)*IF($C61=DR$2,1,0)=0,0,1+COUNTIF(DR$3:DR60,"&gt;0"))</f>
        <v>0</v>
      </c>
      <c r="DS61">
        <f>IF(IF(OR(IFERROR(SEARCH("Paladin",$T61,1),0)&gt;0,IFERROR(SEARCH(PaladinOath,$T61,1),0)&gt;0),1,0)*IF($C61=DS$2,1,0)=1,1+COUNTIF(DS$3:DS60,"&gt;0"),0)</f>
        <v>0</v>
      </c>
      <c r="DT61">
        <f>IF(IF(OR(IFERROR(SEARCH("Paladin",$T61,1),0)&gt;0,IFERROR(SEARCH(PaladinOath,$T61,1),0)&gt;0),1,0)*IF($C61=DT$2,1,0)=1,1+COUNTIF(DT$3:DT60,"&gt;0"),0)</f>
        <v>0</v>
      </c>
      <c r="DU61">
        <f>IF(IF(OR(IFERROR(SEARCH("Paladin",$T61,1),0)&gt;0,IFERROR(SEARCH(PaladinOath,$T61,1),0)&gt;0),1,0)*IF($C61=DU$2,1,0)=1,1+COUNTIF(DU$3:DU60,"&gt;0"),0)</f>
        <v>0</v>
      </c>
      <c r="DV61">
        <f>IF(IF(OR(IFERROR(SEARCH("Paladin",$T61,1),0)&gt;0,IFERROR(SEARCH(PaladinOath,$T61,1),0)&gt;0),1,0)*IF($C61=DV$2,1,0)=1,1+COUNTIF(DV$3:DV60,"&gt;0"),0)</f>
        <v>0</v>
      </c>
      <c r="DW61">
        <f>IF(IF(OR(IFERROR(SEARCH("Paladin",$T61,1),0)&gt;0,IFERROR(SEARCH(PaladinOath,$T61,1),0)&gt;0),1,0)*IF($C61=DW$2,1,0)=1,1+COUNTIF(DW$3:DW60,"&gt;0"),0)</f>
        <v>0</v>
      </c>
      <c r="DY61">
        <f t="shared" si="2"/>
        <v>1</v>
      </c>
      <c r="DZ61">
        <f>IF(DY61=0,0,1+MAX(DZ$3:$DZ60))</f>
        <v>59</v>
      </c>
      <c r="EB61">
        <f t="shared" si="16"/>
        <v>0</v>
      </c>
      <c r="EC61">
        <f>IF(EB61=0,0,1+COUNTIF(EC$3:EC60,"&gt;0"))</f>
        <v>0</v>
      </c>
      <c r="ED61" t="str">
        <f t="shared" si="44"/>
        <v/>
      </c>
      <c r="EE61" t="str">
        <f t="shared" si="17"/>
        <v/>
      </c>
      <c r="EG61">
        <f t="shared" si="18"/>
        <v>0</v>
      </c>
      <c r="EH61">
        <f>IF(EG61=0,0,1+COUNTIF(EH$3:EH60,"&gt;0"))</f>
        <v>0</v>
      </c>
      <c r="EI61" t="str">
        <f t="shared" si="45"/>
        <v/>
      </c>
      <c r="EJ61" t="str">
        <f t="shared" si="19"/>
        <v/>
      </c>
      <c r="EL61">
        <f t="shared" si="20"/>
        <v>0</v>
      </c>
      <c r="EM61">
        <f>IF(EL61=0,0,1+COUNTIF(EM$3:EM60,"&gt;0"))</f>
        <v>0</v>
      </c>
      <c r="EN61" t="str">
        <f t="shared" si="46"/>
        <v/>
      </c>
      <c r="EO61" t="str">
        <f t="shared" si="21"/>
        <v/>
      </c>
      <c r="EQ61">
        <f t="shared" si="22"/>
        <v>0</v>
      </c>
      <c r="ER61">
        <f>IF(EQ61=0,0,1+COUNTIF(ER$3:ER60,"&gt;0"))</f>
        <v>0</v>
      </c>
      <c r="ES61" t="str">
        <f t="shared" si="47"/>
        <v/>
      </c>
      <c r="ET61" t="str">
        <f t="shared" si="23"/>
        <v/>
      </c>
      <c r="EV61">
        <f t="shared" si="24"/>
        <v>0</v>
      </c>
      <c r="EW61">
        <f>IF(EV61=0,0,1+COUNTIF(EW$3:EW60,"&gt;0"))</f>
        <v>0</v>
      </c>
      <c r="EX61" t="str">
        <f t="shared" si="48"/>
        <v/>
      </c>
      <c r="EY61" t="str">
        <f t="shared" si="25"/>
        <v/>
      </c>
      <c r="FA61">
        <f t="shared" si="26"/>
        <v>0</v>
      </c>
      <c r="FB61">
        <f>IF(FA61=0,0,1+COUNTIF(FB$3:FB60,"&gt;0"))</f>
        <v>0</v>
      </c>
      <c r="FC61" t="str">
        <f t="shared" si="49"/>
        <v/>
      </c>
      <c r="FD61" t="str">
        <f t="shared" si="27"/>
        <v/>
      </c>
      <c r="FF61">
        <f t="shared" si="28"/>
        <v>0</v>
      </c>
      <c r="FG61">
        <f>IF(FF61=0,0,1+COUNTIF(FG$3:FG60,"&gt;0"))</f>
        <v>0</v>
      </c>
      <c r="FH61" t="str">
        <f t="shared" si="50"/>
        <v/>
      </c>
      <c r="FI61" t="str">
        <f t="shared" si="29"/>
        <v/>
      </c>
      <c r="FK61">
        <f t="shared" si="30"/>
        <v>0</v>
      </c>
      <c r="FL61">
        <f>IF(FK61=0,0,1+COUNTIF(FL$3:FL60,"&gt;0"))</f>
        <v>0</v>
      </c>
      <c r="FM61" t="str">
        <f t="shared" si="51"/>
        <v/>
      </c>
      <c r="FN61" t="str">
        <f t="shared" si="31"/>
        <v/>
      </c>
      <c r="FP61">
        <f t="shared" si="32"/>
        <v>0</v>
      </c>
      <c r="FQ61">
        <f>IF(FP61=0,0,1+COUNTIF(FQ$3:FQ60,"&gt;0"))</f>
        <v>0</v>
      </c>
      <c r="FR61" t="str">
        <f t="shared" si="52"/>
        <v/>
      </c>
      <c r="FS61" t="str">
        <f t="shared" si="33"/>
        <v/>
      </c>
    </row>
    <row r="62" spans="1:175" x14ac:dyDescent="0.25">
      <c r="A62" s="347">
        <f t="shared" si="53"/>
        <v>60</v>
      </c>
      <c r="B62" s="348" t="s">
        <v>2423</v>
      </c>
      <c r="C62" s="348">
        <v>4</v>
      </c>
      <c r="D62" s="347">
        <v>4</v>
      </c>
      <c r="E62" s="627" t="s">
        <v>6952</v>
      </c>
      <c r="F62" s="346"/>
      <c r="G62" s="347" t="str">
        <f>""</f>
        <v/>
      </c>
      <c r="H62" s="347" t="s">
        <v>5912</v>
      </c>
      <c r="I62" s="347" t="s">
        <v>5060</v>
      </c>
      <c r="J62" s="347" t="str">
        <f t="shared" si="3"/>
        <v/>
      </c>
      <c r="K62" s="347" t="s">
        <v>5291</v>
      </c>
      <c r="L62" s="611" t="str">
        <f t="shared" si="4"/>
        <v>V, S</v>
      </c>
      <c r="M62" s="347" t="s">
        <v>2373</v>
      </c>
      <c r="N62" s="347" t="s">
        <v>2387</v>
      </c>
      <c r="O62" s="347" t="s">
        <v>3034</v>
      </c>
      <c r="Q62" s="347" t="s">
        <v>5272</v>
      </c>
      <c r="S62" s="346" t="s">
        <v>5630</v>
      </c>
      <c r="T62" s="346" t="str">
        <f t="shared" si="5"/>
        <v xml:space="preserve">Bard, </v>
      </c>
      <c r="U62" s="347" t="str">
        <f>$B62</f>
        <v>Compulsion</v>
      </c>
      <c r="AE62" t="str">
        <f>IF(IFERROR(MATCH($B62,temp!A$4:A$13,0),0)&gt;0,T08_Spells!AE$2,"")</f>
        <v/>
      </c>
      <c r="AF62" t="str">
        <f>IF(IFERROR(MATCH($B62,temp!B$4:B$13,0),0)&gt;0,T08_Spells!AF$2,"")</f>
        <v/>
      </c>
      <c r="AG62" t="str">
        <f>IF(IFERROR(MATCH($B62,temp!C$4:C$13,0),0)&gt;0,T08_Spells!AG$2,"")</f>
        <v/>
      </c>
      <c r="AH62" t="str">
        <f>IF(IFERROR(MATCH($B62,temp!D$4:D$13,0),0)&gt;0,T08_Spells!AH$2,"")</f>
        <v/>
      </c>
      <c r="AI62" t="str">
        <f>IF(IFERROR(MATCH($B62,temp!E$4:E$13,0),0)&gt;0,T08_Spells!AI$2,"")</f>
        <v/>
      </c>
      <c r="AJ62" t="str">
        <f>IF(IFERROR(MATCH($B62,temp!F$4:F$13,0),0)&gt;0,T08_Spells!AJ$2,"")</f>
        <v/>
      </c>
      <c r="AK62" t="str">
        <f>IF(IFERROR(MATCH($B62,temp!G$4:G$13,0),0)&gt;0,T08_Spells!AK$2,"")</f>
        <v/>
      </c>
      <c r="AL62" t="str">
        <f>IF(IFERROR(MATCH($B62,temp!H$4:H$13,0),0)&gt;0,T08_Spells!AL$2,"")</f>
        <v/>
      </c>
      <c r="AM62" t="str">
        <f>IF(IFERROR(MATCH($B62,temp!I$4:I$13,0),0)&gt;0,T08_Spells!AM$2,"")</f>
        <v/>
      </c>
      <c r="AN62" t="str">
        <f>IF(IFERROR(MATCH($B62,temp!J$4:J$13,0),0)&gt;0,T08_Spells!AN$2,"")</f>
        <v/>
      </c>
      <c r="AO62" t="str">
        <f>IF(IFERROR(MATCH($B62,temp!K$4:K$13,0),0)&gt;0,T08_Spells!AO$2,"")</f>
        <v/>
      </c>
      <c r="AP62" t="str">
        <f>IF(IFERROR(MATCH($B62,temp!L$4:L$13,0),0)&gt;0,T08_Spells!AP$2,"")</f>
        <v/>
      </c>
      <c r="AQ62" t="str">
        <f>IF(IFERROR(MATCH($B62,temp!M$4:M$13,0),0)&gt;0,T08_Spells!AQ$2,"")</f>
        <v/>
      </c>
      <c r="AR62" t="str">
        <f>IF(IFERROR(MATCH($B62,temp!N$4:N$13,0),0)&gt;0,T08_Spells!AR$2,"")</f>
        <v/>
      </c>
      <c r="AS62" t="str">
        <f>IF(IFERROR(MATCH($B62,temp!O$4:O$13,0),0)&gt;0,T08_Spells!AS$2,"")</f>
        <v/>
      </c>
      <c r="AT62" t="str">
        <f>IF(IFERROR(MATCH($B62,temp!P$4:P$13,0),0)&gt;0,T08_Spells!AT$2,"")</f>
        <v/>
      </c>
      <c r="AU62" t="str">
        <f>IF(IFERROR(MATCH($B62,temp!Q$4:Q$13,0),0)&gt;0,T08_Spells!AU$2,"")</f>
        <v/>
      </c>
      <c r="AV62" t="str">
        <f>IF(IFERROR(MATCH($B62,temp!R$4:R$13,0),0)&gt;0,T08_Spells!AV$2,"")</f>
        <v/>
      </c>
      <c r="AW62" t="str">
        <f>IF(IFERROR(MATCH($B62,temp!S$4:S$13,0),0)&gt;0,T08_Spells!AW$2,"")</f>
        <v/>
      </c>
      <c r="AX62" t="str">
        <f>IF(IFERROR(MATCH($B62,temp!T$4:T$13,0),0)&gt;0,T08_Spells!AX$2,"")</f>
        <v/>
      </c>
      <c r="AY62" t="str">
        <f>IF(IFERROR(MATCH($B62,temp!U$4:U$13,0),0)&gt;0,T08_Spells!AY$2,"")</f>
        <v/>
      </c>
      <c r="AZ62" t="str">
        <f>IF(IFERROR(MATCH($B62,temp!V$4:V$13,0),0)&gt;0,T08_Spells!AZ$2,"")</f>
        <v/>
      </c>
      <c r="BA62" t="str">
        <f>IF(IFERROR(MATCH($B62,temp!W$4:W$13,0),0)&gt;0,T08_Spells!BA$2,"")</f>
        <v/>
      </c>
      <c r="BC62">
        <f>IF(IFERROR(SEARCH("Ranger",$T62,1),0)&gt;0,1,0)*IF(RangerMaxSpellLevel&gt;=$C62,1,0)*IF(IFERROR(MATCH(B62,Character_Creation!$X$79:$X$382,0),0)&gt;0,0,1)</f>
        <v>0</v>
      </c>
      <c r="BD62">
        <f>IF(BC62=0,0,1+COUNTIF(BD$3:BD61,"&gt;0"))</f>
        <v>0</v>
      </c>
      <c r="BE62" t="str">
        <f t="shared" si="34"/>
        <v/>
      </c>
      <c r="BF62" t="str">
        <f t="shared" si="6"/>
        <v/>
      </c>
      <c r="BH62">
        <f>IF(IFERROR(SEARCH("Sorcerer",$T62,1),0)&gt;0,1,0)*IF(SorcererMaxSpellLevel&gt;=$C62,1,0)*IF(IFERROR(MATCH(B62,Character_Creation!$J$380:$J$394,0),0)&gt;0,0,1)</f>
        <v>0</v>
      </c>
      <c r="BI62">
        <f>IF(BH62=0,0,1+COUNTIF(BI$3:BI61,"&gt;0"))</f>
        <v>0</v>
      </c>
      <c r="BJ62" t="str">
        <f t="shared" si="35"/>
        <v/>
      </c>
      <c r="BK62" t="str">
        <f t="shared" si="7"/>
        <v/>
      </c>
      <c r="BM62">
        <f>IF(OR(IFERROR(SEARCH("Warlock",$T62,1),0)&gt;0,IFERROR(SEARCH(WarlockPatron,$T62,1),0)&gt;0),1,0)*IF(WarlockMaxSpellLevel&gt;=$C62,1,0)*IF(IFERROR(MATCH(B62,Character_Creation!$J$361:$J$375,0),0)&gt;0,0,1)</f>
        <v>0</v>
      </c>
      <c r="BN62">
        <f>IF(BM62=0,0,1+COUNTIF(BN$3:BN61,"&gt;0"))</f>
        <v>0</v>
      </c>
      <c r="BO62" t="str">
        <f t="shared" si="36"/>
        <v/>
      </c>
      <c r="BP62" t="str">
        <f t="shared" si="8"/>
        <v/>
      </c>
      <c r="BR62">
        <f>IF(IFERROR(SEARCH("Eldritch Knight",$T62,1),0)&gt;0,1,0)*IF(EldritchKnightMaxSpellLevel&gt;=$C62,1,0)*IF(IFERROR(MATCH($B62,Character_Creation!$J$350:$J$356,0),0)&gt;0,0,1)*IF(Character_Creation!$M$338&gt;0,1,0)</f>
        <v>0</v>
      </c>
      <c r="BS62">
        <f>IF(BR62=0,0,1+COUNTIF(BS$3:BS61,"&gt;0"))</f>
        <v>0</v>
      </c>
      <c r="BT62" t="str">
        <f t="shared" si="37"/>
        <v/>
      </c>
      <c r="BU62" t="str">
        <f t="shared" si="9"/>
        <v/>
      </c>
      <c r="BW62">
        <f>IF(IFERROR(SEARCH("Arcane Trickster",$T62,1),0)&gt;0,1,0)*IF(ArcaneTricksterMaxSpellLevel&gt;=$C62,1,0)*IF(IFERROR(MATCH($B62,Character_Creation!$J$350:$J$356,0),0)&gt;0,0,1)*IF(Character_Creation!$T$338&gt;0,1,0)</f>
        <v>0</v>
      </c>
      <c r="BX62">
        <f>IF(BW62=0,0,1+COUNTIF(BX$3:BX61,"&gt;0"))</f>
        <v>0</v>
      </c>
      <c r="BY62" t="str">
        <f t="shared" si="38"/>
        <v/>
      </c>
      <c r="BZ62" t="str">
        <f t="shared" si="10"/>
        <v/>
      </c>
      <c r="CB62">
        <f>IF(IFERROR(SEARCH("Wizard",$T62,1),0)&gt;0,1,0)*IF(C62&lt;=ArcaneTricksterMaxSpellLevel,1,0)*IF(IFERROR(MATCH($B62,Character_Creation!$J$350:$J$356,0),0)&gt;0,0,1)*IF(Character_Creation!$T$350&gt;0,1,0)</f>
        <v>0</v>
      </c>
      <c r="CC62">
        <f>IF(CB62=0,0,1+COUNTIF(CC$3:CC61,"&gt;0"))</f>
        <v>0</v>
      </c>
      <c r="CD62" t="str">
        <f t="shared" si="39"/>
        <v/>
      </c>
      <c r="CE62" t="str">
        <f t="shared" si="11"/>
        <v/>
      </c>
      <c r="CG62">
        <f>IF(IFERROR(SEARCH("Wizard",$T62,1),0)&gt;0,1,0)*IF($C62&lt;=EldritchKnightMaxSpellLevel,1,0)*IF(IFERROR(MATCH($B62,Character_Creation!$J$350:$J$356,0),0)&gt;0,0,1)*IF(Character_Creation!$M$350&gt;0,1,0)</f>
        <v>0</v>
      </c>
      <c r="CH62">
        <f>IF(CG62=0,0,1+COUNTIF(CH$3:CH61,"&gt;0"))</f>
        <v>0</v>
      </c>
      <c r="CI62">
        <f t="shared" si="40"/>
        <v>60</v>
      </c>
      <c r="CJ62" t="str">
        <f t="shared" si="12"/>
        <v>Unseen Servant</v>
      </c>
      <c r="CL62">
        <f>IF(IFERROR(SEARCH("Bard",$T62,1),0)&gt;0,1,0)*IF(BardMaxSpellLevel&gt;=$C62,1,0)*IF(IFERROR(MATCH(B62,Character_Creation!$C$341:$F$362,0),0)&gt;0,0,1)*IF(IFERROR(MATCH($B62,Character_Creation!$C$341:$C$362,0),0)&gt;0,0,1)</f>
        <v>0</v>
      </c>
      <c r="CM62">
        <f>IF(CL62=0,0,1+COUNTIF(CM$3:CM61,"&gt;0"))</f>
        <v>0</v>
      </c>
      <c r="CN62" t="str">
        <f t="shared" si="41"/>
        <v/>
      </c>
      <c r="CO62" t="str">
        <f t="shared" si="13"/>
        <v/>
      </c>
      <c r="CQ62">
        <f>IF(IFERROR(SEARCH("Wizard",$T62,1),0)&gt;0,1,0)*IF(WizardMaxSpellLevel&gt;=$C62,1,0)*IF(IFERROR(MATCH(B62,Character_Creation!$X$341:$X$400,0),0)&gt;0,0,1)*IF(SelectedWizardSpellLevel=$C62,1,0)</f>
        <v>0</v>
      </c>
      <c r="CR62">
        <f>IF(CQ62=0,0,1+COUNTIF(CR$3:CR61,"&gt;0"))</f>
        <v>0</v>
      </c>
      <c r="CS62" t="str">
        <f t="shared" si="42"/>
        <v/>
      </c>
      <c r="CT62" t="str">
        <f t="shared" si="14"/>
        <v/>
      </c>
      <c r="CV62">
        <f>IF(IFERROR(MATCH($B62,Character_Creation!$C$341:$C$362,0),0)&gt;0,0,1)*IF(OR(C62="Cantrip",C62&lt;=BardMaxSpellLevel),1,0)*IF(IFERROR(MATCH($B62,Character_Creation!$C$367:$C$374,0),0)&gt;0,0,1)</f>
        <v>0</v>
      </c>
      <c r="CW62">
        <f>IF(CV62=0,0,1+COUNTIF(CW$3:CW61,"&gt;0"))</f>
        <v>0</v>
      </c>
      <c r="CX62" t="str">
        <f t="shared" si="43"/>
        <v/>
      </c>
      <c r="CY62" t="str">
        <f t="shared" si="15"/>
        <v/>
      </c>
      <c r="DA62">
        <f>IF(IF(OR(IFERROR(SEARCH("Cleric",$T62,1),0)&gt;0,IFERROR(SEARCH(DivineDomain&amp;",",$T62,1),0)&gt;0),1,0)*IF($C62=DA$2,1,0)=1,1+COUNTIF(DA$3:DA61,"&gt;0"),0)</f>
        <v>0</v>
      </c>
      <c r="DB62">
        <f>IF(IF(OR(IFERROR(SEARCH("Cleric",$T62,1),0)&gt;0,IFERROR(SEARCH(DivineDomain&amp;",",$T62,1),0)&gt;0),1,0)*IF($C62=DB$2,1,0)=1,1+COUNTIF(DB$3:DB61,"&gt;0"),0)</f>
        <v>0</v>
      </c>
      <c r="DC62">
        <f>IF(IF(OR(IFERROR(SEARCH("Cleric",$T62,1),0)&gt;0,IFERROR(SEARCH(DivineDomain&amp;",",$T62,1),0)&gt;0),1,0)*IF($C62=DC$2,1,0)=1,1+COUNTIF(DC$3:DC61,"&gt;0"),0)</f>
        <v>0</v>
      </c>
      <c r="DD62">
        <f>IF(IF(OR(IFERROR(SEARCH("Cleric",$T62,1),0)&gt;0,IFERROR(SEARCH(DivineDomain&amp;",",$T62,1),0)&gt;0),1,0)*IF($C62=DD$2,1,0)=1,1+COUNTIF(DD$3:DD61,"&gt;0"),0)</f>
        <v>0</v>
      </c>
      <c r="DE62">
        <f>IF(IF(OR(IFERROR(SEARCH("Cleric",$T62,1),0)&gt;0,IFERROR(SEARCH(DivineDomain&amp;",",$T62,1),0)&gt;0),1,0)*IF($C62=DE$2,1,0)=1,1+COUNTIF(DE$3:DE61,"&gt;0"),0)</f>
        <v>0</v>
      </c>
      <c r="DF62">
        <f>IF(IF(OR(IFERROR(SEARCH("Cleric",$T62,1),0)&gt;0,IFERROR(SEARCH(DivineDomain&amp;",",$T62,1),0)&gt;0),1,0)*IF($C62=DF$2,1,0)=1,1+COUNTIF(DF$3:DF61,"&gt;0"),0)</f>
        <v>0</v>
      </c>
      <c r="DG62">
        <f>IF(IF(OR(IFERROR(SEARCH("Cleric",$T62,1),0)&gt;0,IFERROR(SEARCH(DivineDomain&amp;",",$T62,1),0)&gt;0),1,0)*IF($C62=DG$2,1,0)=1,1+COUNTIF(DG$3:DG61,"&gt;0"),0)</f>
        <v>0</v>
      </c>
      <c r="DH62">
        <f>IF(IF(OR(IFERROR(SEARCH("Cleric",$T62,1),0)&gt;0,IFERROR(SEARCH(DivineDomain&amp;",",$T62,1),0)&gt;0),1,0)*IF($C62=DH$2,1,0)=1,1+COUNTIF(DH$3:DH61,"&gt;0"),0)</f>
        <v>0</v>
      </c>
      <c r="DI62">
        <f>IF(IF(OR(IFERROR(SEARCH("Cleric",$T62,1),0)&gt;0,IFERROR(SEARCH(DivineDomain&amp;",",$T62,1),0)&gt;0),1,0)*IF($C62=DI$2,1,0)=1,1+COUNTIF(DI$3:DI61,"&gt;0"),0)</f>
        <v>0</v>
      </c>
      <c r="DJ62">
        <f>IF(IF(OR(IFERROR(SEARCH("Druid",$T62,1),0)&gt;0,IFERROR(SEARCH(DruidLand1,$T62,1),0)&gt;0,IFERROR(SEARCH(DruidLand2,$T62,1),0)&gt;0,IFERROR(SEARCH(DruidLand3,$T62,1),0)&gt;0,IFERROR(SEARCH(DruidLand4,$T62,1),0)&gt;0),1,0)*IF($C62=1,1,0)*IF($C62=DJ$2,1,0)=0,0,1+COUNTIF(DJ$3:DJ61,"&gt;0"))</f>
        <v>0</v>
      </c>
      <c r="DK62">
        <f>IF(IF(OR(IFERROR(SEARCH("Druid",$T62,1),0)&gt;0,IFERROR(SEARCH(DruidLand1,$T62,1),0)&gt;0,IFERROR(SEARCH(DruidLand2,$T62,1),0)&gt;0,IFERROR(SEARCH(DruidLand3,$T62,1),0)&gt;0,IFERROR(SEARCH(DruidLand4,$T62,1),0)&gt;0),1,0)*IF($C62=1,1,0)*IF($C62=DK$2,1,0)=0,0,1+COUNTIF(DK$3:DK61,"&gt;0"))</f>
        <v>0</v>
      </c>
      <c r="DL62">
        <f>IF(IF(OR(IFERROR(SEARCH("Druid",$T62,1),0)&gt;0,IFERROR(SEARCH(DruidLand1,$T62,1),0)&gt;0,IFERROR(SEARCH(DruidLand2,$T62,1),0)&gt;0,IFERROR(SEARCH(DruidLand3,$T62,1),0)&gt;0,IFERROR(SEARCH(DruidLand4,$T62,1),0)&gt;0),1,0)*IF($C62=1,1,0)*IF($C62=DL$2,1,0)=0,0,1+COUNTIF(DL$3:DL61,"&gt;0"))</f>
        <v>0</v>
      </c>
      <c r="DM62">
        <f>IF(IF(OR(IFERROR(SEARCH("Druid",$T62,1),0)&gt;0,IFERROR(SEARCH(DruidLand1,$T62,1),0)&gt;0,IFERROR(SEARCH(DruidLand2,$T62,1),0)&gt;0,IFERROR(SEARCH(DruidLand3,$T62,1),0)&gt;0,IFERROR(SEARCH(DruidLand4,$T62,1),0)&gt;0),1,0)*IF($C62=1,1,0)*IF($C62=DM$2,1,0)=0,0,1+COUNTIF(DM$3:DM61,"&gt;0"))</f>
        <v>0</v>
      </c>
      <c r="DN62">
        <f>IF(IF(OR(IFERROR(SEARCH("Druid",$T62,1),0)&gt;0,IFERROR(SEARCH(DruidLand1,$T62,1),0)&gt;0,IFERROR(SEARCH(DruidLand2,$T62,1),0)&gt;0,IFERROR(SEARCH(DruidLand3,$T62,1),0)&gt;0,IFERROR(SEARCH(DruidLand4,$T62,1),0)&gt;0),1,0)*IF($C62=1,1,0)*IF($C62=DN$2,1,0)=0,0,1+COUNTIF(DN$3:DN61,"&gt;0"))</f>
        <v>0</v>
      </c>
      <c r="DO62">
        <f>IF(IF(OR(IFERROR(SEARCH("Druid",$T62,1),0)&gt;0,IFERROR(SEARCH(DruidLand1,$T62,1),0)&gt;0,IFERROR(SEARCH(DruidLand2,$T62,1),0)&gt;0,IFERROR(SEARCH(DruidLand3,$T62,1),0)&gt;0,IFERROR(SEARCH(DruidLand4,$T62,1),0)&gt;0),1,0)*IF($C62=1,1,0)*IF($C62=DO$2,1,0)=0,0,1+COUNTIF(DO$3:DO61,"&gt;0"))</f>
        <v>0</v>
      </c>
      <c r="DP62">
        <f>IF(IF(OR(IFERROR(SEARCH("Druid",$T62,1),0)&gt;0,IFERROR(SEARCH(DruidLand1,$T62,1),0)&gt;0,IFERROR(SEARCH(DruidLand2,$T62,1),0)&gt;0,IFERROR(SEARCH(DruidLand3,$T62,1),0)&gt;0,IFERROR(SEARCH(DruidLand4,$T62,1),0)&gt;0),1,0)*IF($C62=1,1,0)*IF($C62=DP$2,1,0)=0,0,1+COUNTIF(DP$3:DP61,"&gt;0"))</f>
        <v>0</v>
      </c>
      <c r="DQ62">
        <f>IF(IF(OR(IFERROR(SEARCH("Druid",$T62,1),0)&gt;0,IFERROR(SEARCH(DruidLand1,$T62,1),0)&gt;0,IFERROR(SEARCH(DruidLand2,$T62,1),0)&gt;0,IFERROR(SEARCH(DruidLand3,$T62,1),0)&gt;0,IFERROR(SEARCH(DruidLand4,$T62,1),0)&gt;0),1,0)*IF($C62=1,1,0)*IF($C62=DQ$2,1,0)=0,0,1+COUNTIF(DQ$3:DQ61,"&gt;0"))</f>
        <v>0</v>
      </c>
      <c r="DR62">
        <f>IF(IF(OR(IFERROR(SEARCH("Druid",$T62,1),0)&gt;0,IFERROR(SEARCH(DruidLand1,$T62,1),0)&gt;0,IFERROR(SEARCH(DruidLand2,$T62,1),0)&gt;0,IFERROR(SEARCH(DruidLand3,$T62,1),0)&gt;0,IFERROR(SEARCH(DruidLand4,$T62,1),0)&gt;0),1,0)*IF($C62=1,1,0)*IF($C62=DR$2,1,0)=0,0,1+COUNTIF(DR$3:DR61,"&gt;0"))</f>
        <v>0</v>
      </c>
      <c r="DS62">
        <f>IF(IF(OR(IFERROR(SEARCH("Paladin",$T62,1),0)&gt;0,IFERROR(SEARCH(PaladinOath,$T62,1),0)&gt;0),1,0)*IF($C62=DS$2,1,0)=1,1+COUNTIF(DS$3:DS61,"&gt;0"),0)</f>
        <v>0</v>
      </c>
      <c r="DT62">
        <f>IF(IF(OR(IFERROR(SEARCH("Paladin",$T62,1),0)&gt;0,IFERROR(SEARCH(PaladinOath,$T62,1),0)&gt;0),1,0)*IF($C62=DT$2,1,0)=1,1+COUNTIF(DT$3:DT61,"&gt;0"),0)</f>
        <v>0</v>
      </c>
      <c r="DU62">
        <f>IF(IF(OR(IFERROR(SEARCH("Paladin",$T62,1),0)&gt;0,IFERROR(SEARCH(PaladinOath,$T62,1),0)&gt;0),1,0)*IF($C62=DU$2,1,0)=1,1+COUNTIF(DU$3:DU61,"&gt;0"),0)</f>
        <v>0</v>
      </c>
      <c r="DV62">
        <f>IF(IF(OR(IFERROR(SEARCH("Paladin",$T62,1),0)&gt;0,IFERROR(SEARCH(PaladinOath,$T62,1),0)&gt;0),1,0)*IF($C62=DV$2,1,0)=1,1+COUNTIF(DV$3:DV61,"&gt;0"),0)</f>
        <v>0</v>
      </c>
      <c r="DW62">
        <f>IF(IF(OR(IFERROR(SEARCH("Paladin",$T62,1),0)&gt;0,IFERROR(SEARCH(PaladinOath,$T62,1),0)&gt;0),1,0)*IF($C62=DW$2,1,0)=1,1+COUNTIF(DW$3:DW61,"&gt;0"),0)</f>
        <v>0</v>
      </c>
      <c r="DY62">
        <f t="shared" si="2"/>
        <v>1</v>
      </c>
      <c r="DZ62">
        <f>IF(DY62=0,0,1+MAX(DZ$3:$DZ61))</f>
        <v>60</v>
      </c>
      <c r="EB62">
        <f t="shared" si="16"/>
        <v>0</v>
      </c>
      <c r="EC62">
        <f>IF(EB62=0,0,1+COUNTIF(EC$3:EC61,"&gt;0"))</f>
        <v>0</v>
      </c>
      <c r="ED62" t="str">
        <f t="shared" si="44"/>
        <v/>
      </c>
      <c r="EE62" t="str">
        <f t="shared" si="17"/>
        <v/>
      </c>
      <c r="EG62">
        <f t="shared" si="18"/>
        <v>0</v>
      </c>
      <c r="EH62">
        <f>IF(EG62=0,0,1+COUNTIF(EH$3:EH61,"&gt;0"))</f>
        <v>0</v>
      </c>
      <c r="EI62" t="str">
        <f t="shared" si="45"/>
        <v/>
      </c>
      <c r="EJ62" t="str">
        <f t="shared" si="19"/>
        <v/>
      </c>
      <c r="EL62">
        <f t="shared" si="20"/>
        <v>0</v>
      </c>
      <c r="EM62">
        <f>IF(EL62=0,0,1+COUNTIF(EM$3:EM61,"&gt;0"))</f>
        <v>0</v>
      </c>
      <c r="EN62" t="str">
        <f t="shared" si="46"/>
        <v/>
      </c>
      <c r="EO62" t="str">
        <f t="shared" si="21"/>
        <v/>
      </c>
      <c r="EQ62">
        <f t="shared" si="22"/>
        <v>0</v>
      </c>
      <c r="ER62">
        <f>IF(EQ62=0,0,1+COUNTIF(ER$3:ER61,"&gt;0"))</f>
        <v>0</v>
      </c>
      <c r="ES62" t="str">
        <f t="shared" si="47"/>
        <v/>
      </c>
      <c r="ET62" t="str">
        <f t="shared" si="23"/>
        <v/>
      </c>
      <c r="EV62">
        <f t="shared" si="24"/>
        <v>0</v>
      </c>
      <c r="EW62">
        <f>IF(EV62=0,0,1+COUNTIF(EW$3:EW61,"&gt;0"))</f>
        <v>0</v>
      </c>
      <c r="EX62" t="str">
        <f t="shared" si="48"/>
        <v/>
      </c>
      <c r="EY62" t="str">
        <f t="shared" si="25"/>
        <v/>
      </c>
      <c r="FA62">
        <f t="shared" si="26"/>
        <v>0</v>
      </c>
      <c r="FB62">
        <f>IF(FA62=0,0,1+COUNTIF(FB$3:FB61,"&gt;0"))</f>
        <v>0</v>
      </c>
      <c r="FC62" t="str">
        <f t="shared" si="49"/>
        <v/>
      </c>
      <c r="FD62" t="str">
        <f t="shared" si="27"/>
        <v/>
      </c>
      <c r="FF62">
        <f t="shared" si="28"/>
        <v>0</v>
      </c>
      <c r="FG62">
        <f>IF(FF62=0,0,1+COUNTIF(FG$3:FG61,"&gt;0"))</f>
        <v>0</v>
      </c>
      <c r="FH62" t="str">
        <f t="shared" si="50"/>
        <v/>
      </c>
      <c r="FI62" t="str">
        <f t="shared" si="29"/>
        <v/>
      </c>
      <c r="FK62">
        <f t="shared" si="30"/>
        <v>0</v>
      </c>
      <c r="FL62">
        <f>IF(FK62=0,0,1+COUNTIF(FL$3:FL61,"&gt;0"))</f>
        <v>0</v>
      </c>
      <c r="FM62" t="str">
        <f t="shared" si="51"/>
        <v/>
      </c>
      <c r="FN62" t="str">
        <f t="shared" si="31"/>
        <v/>
      </c>
      <c r="FP62">
        <f t="shared" si="32"/>
        <v>0</v>
      </c>
      <c r="FQ62">
        <f>IF(FP62=0,0,1+COUNTIF(FQ$3:FQ61,"&gt;0"))</f>
        <v>0</v>
      </c>
      <c r="FR62" t="str">
        <f t="shared" si="52"/>
        <v/>
      </c>
      <c r="FS62" t="str">
        <f t="shared" si="33"/>
        <v/>
      </c>
    </row>
    <row r="63" spans="1:175" x14ac:dyDescent="0.25">
      <c r="A63" s="347">
        <f t="shared" si="53"/>
        <v>61</v>
      </c>
      <c r="B63" s="348" t="s">
        <v>2424</v>
      </c>
      <c r="C63" s="348">
        <v>5</v>
      </c>
      <c r="D63" s="347">
        <v>5</v>
      </c>
      <c r="E63" s="627" t="s">
        <v>6952</v>
      </c>
      <c r="F63" s="346"/>
      <c r="G63" s="347" t="str">
        <f>""</f>
        <v/>
      </c>
      <c r="H63" s="347" t="s">
        <v>5912</v>
      </c>
      <c r="I63" s="347" t="s">
        <v>5283</v>
      </c>
      <c r="J63" s="347" t="str">
        <f t="shared" si="3"/>
        <v/>
      </c>
      <c r="K63" s="347" t="s">
        <v>5278</v>
      </c>
      <c r="L63" s="611" t="str">
        <f t="shared" si="4"/>
        <v>V, S, M, a small crystal or glass cone</v>
      </c>
      <c r="M63" s="347" t="s">
        <v>2373</v>
      </c>
      <c r="N63" s="347" t="s">
        <v>2387</v>
      </c>
      <c r="O63" s="347" t="s">
        <v>1244</v>
      </c>
      <c r="P63" s="346" t="s">
        <v>5326</v>
      </c>
      <c r="Q63" s="347" t="s">
        <v>5273</v>
      </c>
      <c r="S63" s="346" t="s">
        <v>5631</v>
      </c>
      <c r="T63" s="346" t="str">
        <f t="shared" si="5"/>
        <v xml:space="preserve">Sorcerer, Eldritch Knight, Wizard, Arctic, </v>
      </c>
      <c r="X63" s="347" t="str">
        <f>$B63</f>
        <v>Cone of Cold</v>
      </c>
      <c r="AB63" s="542" t="str">
        <f>AD63</f>
        <v>Cone of Cold</v>
      </c>
      <c r="AD63" s="347" t="str">
        <f>$B63</f>
        <v>Cone of Cold</v>
      </c>
      <c r="AE63" t="str">
        <f>IF(IFERROR(MATCH($B63,temp!A$4:A$13,0),0)&gt;0,T08_Spells!AE$2,"")</f>
        <v/>
      </c>
      <c r="AF63" t="str">
        <f>IF(IFERROR(MATCH($B63,temp!B$4:B$13,0),0)&gt;0,T08_Spells!AF$2,"")</f>
        <v/>
      </c>
      <c r="AG63" t="str">
        <f>IF(IFERROR(MATCH($B63,temp!C$4:C$13,0),0)&gt;0,T08_Spells!AG$2,"")</f>
        <v/>
      </c>
      <c r="AH63" t="str">
        <f>IF(IFERROR(MATCH($B63,temp!D$4:D$13,0),0)&gt;0,T08_Spells!AH$2,"")</f>
        <v/>
      </c>
      <c r="AI63" t="str">
        <f>IF(IFERROR(MATCH($B63,temp!E$4:E$13,0),0)&gt;0,T08_Spells!AI$2,"")</f>
        <v/>
      </c>
      <c r="AJ63" t="str">
        <f>IF(IFERROR(MATCH($B63,temp!F$4:F$13,0),0)&gt;0,T08_Spells!AJ$2,"")</f>
        <v/>
      </c>
      <c r="AK63" t="str">
        <f>IF(IFERROR(MATCH($B63,temp!G$4:G$13,0),0)&gt;0,T08_Spells!AK$2,"")</f>
        <v/>
      </c>
      <c r="AL63" t="str">
        <f>IF(IFERROR(MATCH($B63,temp!H$4:H$13,0),0)&gt;0,T08_Spells!AL$2,"")</f>
        <v>Arctic</v>
      </c>
      <c r="AM63" t="str">
        <f>IF(IFERROR(MATCH($B63,temp!I$4:I$13,0),0)&gt;0,T08_Spells!AM$2,"")</f>
        <v/>
      </c>
      <c r="AN63" t="str">
        <f>IF(IFERROR(MATCH($B63,temp!J$4:J$13,0),0)&gt;0,T08_Spells!AN$2,"")</f>
        <v/>
      </c>
      <c r="AO63" t="str">
        <f>IF(IFERROR(MATCH($B63,temp!K$4:K$13,0),0)&gt;0,T08_Spells!AO$2,"")</f>
        <v/>
      </c>
      <c r="AP63" t="str">
        <f>IF(IFERROR(MATCH($B63,temp!L$4:L$13,0),0)&gt;0,T08_Spells!AP$2,"")</f>
        <v/>
      </c>
      <c r="AQ63" t="str">
        <f>IF(IFERROR(MATCH($B63,temp!M$4:M$13,0),0)&gt;0,T08_Spells!AQ$2,"")</f>
        <v/>
      </c>
      <c r="AR63" t="str">
        <f>IF(IFERROR(MATCH($B63,temp!N$4:N$13,0),0)&gt;0,T08_Spells!AR$2,"")</f>
        <v/>
      </c>
      <c r="AS63" t="str">
        <f>IF(IFERROR(MATCH($B63,temp!O$4:O$13,0),0)&gt;0,T08_Spells!AS$2,"")</f>
        <v/>
      </c>
      <c r="AT63" t="str">
        <f>IF(IFERROR(MATCH($B63,temp!P$4:P$13,0),0)&gt;0,T08_Spells!AT$2,"")</f>
        <v/>
      </c>
      <c r="AU63" t="str">
        <f>IF(IFERROR(MATCH($B63,temp!Q$4:Q$13,0),0)&gt;0,T08_Spells!AU$2,"")</f>
        <v/>
      </c>
      <c r="AV63" t="str">
        <f>IF(IFERROR(MATCH($B63,temp!R$4:R$13,0),0)&gt;0,T08_Spells!AV$2,"")</f>
        <v/>
      </c>
      <c r="AW63" t="str">
        <f>IF(IFERROR(MATCH($B63,temp!S$4:S$13,0),0)&gt;0,T08_Spells!AW$2,"")</f>
        <v/>
      </c>
      <c r="AX63" t="str">
        <f>IF(IFERROR(MATCH($B63,temp!T$4:T$13,0),0)&gt;0,T08_Spells!AX$2,"")</f>
        <v/>
      </c>
      <c r="AY63" t="str">
        <f>IF(IFERROR(MATCH($B63,temp!U$4:U$13,0),0)&gt;0,T08_Spells!AY$2,"")</f>
        <v/>
      </c>
      <c r="AZ63" t="str">
        <f>IF(IFERROR(MATCH($B63,temp!V$4:V$13,0),0)&gt;0,T08_Spells!AZ$2,"")</f>
        <v/>
      </c>
      <c r="BA63" t="str">
        <f>IF(IFERROR(MATCH($B63,temp!W$4:W$13,0),0)&gt;0,T08_Spells!BA$2,"")</f>
        <v/>
      </c>
      <c r="BC63">
        <f>IF(IFERROR(SEARCH("Ranger",$T63,1),0)&gt;0,1,0)*IF(RangerMaxSpellLevel&gt;=$C63,1,0)*IF(IFERROR(MATCH(B63,Character_Creation!$X$79:$X$382,0),0)&gt;0,0,1)</f>
        <v>0</v>
      </c>
      <c r="BD63">
        <f>IF(BC63=0,0,1+COUNTIF(BD$3:BD62,"&gt;0"))</f>
        <v>0</v>
      </c>
      <c r="BE63" t="str">
        <f t="shared" si="34"/>
        <v/>
      </c>
      <c r="BF63" t="str">
        <f t="shared" si="6"/>
        <v/>
      </c>
      <c r="BH63">
        <f>IF(IFERROR(SEARCH("Sorcerer",$T63,1),0)&gt;0,1,0)*IF(SorcererMaxSpellLevel&gt;=$C63,1,0)*IF(IFERROR(MATCH(B63,Character_Creation!$J$380:$J$394,0),0)&gt;0,0,1)</f>
        <v>0</v>
      </c>
      <c r="BI63">
        <f>IF(BH63=0,0,1+COUNTIF(BI$3:BI62,"&gt;0"))</f>
        <v>0</v>
      </c>
      <c r="BJ63" t="str">
        <f t="shared" si="35"/>
        <v/>
      </c>
      <c r="BK63" t="str">
        <f t="shared" si="7"/>
        <v/>
      </c>
      <c r="BM63">
        <f>IF(OR(IFERROR(SEARCH("Warlock",$T63,1),0)&gt;0,IFERROR(SEARCH(WarlockPatron,$T63,1),0)&gt;0),1,0)*IF(WarlockMaxSpellLevel&gt;=$C63,1,0)*IF(IFERROR(MATCH(B63,Character_Creation!$J$361:$J$375,0),0)&gt;0,0,1)</f>
        <v>0</v>
      </c>
      <c r="BN63">
        <f>IF(BM63=0,0,1+COUNTIF(BN$3:BN62,"&gt;0"))</f>
        <v>0</v>
      </c>
      <c r="BO63" t="str">
        <f t="shared" si="36"/>
        <v/>
      </c>
      <c r="BP63" t="str">
        <f t="shared" si="8"/>
        <v/>
      </c>
      <c r="BR63">
        <f>IF(IFERROR(SEARCH("Eldritch Knight",$T63,1),0)&gt;0,1,0)*IF(EldritchKnightMaxSpellLevel&gt;=$C63,1,0)*IF(IFERROR(MATCH($B63,Character_Creation!$J$350:$J$356,0),0)&gt;0,0,1)*IF(Character_Creation!$M$338&gt;0,1,0)</f>
        <v>0</v>
      </c>
      <c r="BS63">
        <f>IF(BR63=0,0,1+COUNTIF(BS$3:BS62,"&gt;0"))</f>
        <v>0</v>
      </c>
      <c r="BT63" t="str">
        <f t="shared" si="37"/>
        <v/>
      </c>
      <c r="BU63" t="str">
        <f t="shared" si="9"/>
        <v/>
      </c>
      <c r="BW63">
        <f>IF(IFERROR(SEARCH("Arcane Trickster",$T63,1),0)&gt;0,1,0)*IF(ArcaneTricksterMaxSpellLevel&gt;=$C63,1,0)*IF(IFERROR(MATCH($B63,Character_Creation!$J$350:$J$356,0),0)&gt;0,0,1)*IF(Character_Creation!$T$338&gt;0,1,0)</f>
        <v>0</v>
      </c>
      <c r="BX63">
        <f>IF(BW63=0,0,1+COUNTIF(BX$3:BX62,"&gt;0"))</f>
        <v>0</v>
      </c>
      <c r="BY63" t="str">
        <f t="shared" si="38"/>
        <v/>
      </c>
      <c r="BZ63" t="str">
        <f t="shared" si="10"/>
        <v/>
      </c>
      <c r="CB63">
        <f>IF(IFERROR(SEARCH("Wizard",$T63,1),0)&gt;0,1,0)*IF(C63&lt;=ArcaneTricksterMaxSpellLevel,1,0)*IF(IFERROR(MATCH($B63,Character_Creation!$J$350:$J$356,0),0)&gt;0,0,1)*IF(Character_Creation!$T$350&gt;0,1,0)</f>
        <v>0</v>
      </c>
      <c r="CC63">
        <f>IF(CB63=0,0,1+COUNTIF(CC$3:CC62,"&gt;0"))</f>
        <v>0</v>
      </c>
      <c r="CD63" t="str">
        <f t="shared" si="39"/>
        <v/>
      </c>
      <c r="CE63" t="str">
        <f t="shared" si="11"/>
        <v/>
      </c>
      <c r="CG63">
        <f>IF(IFERROR(SEARCH("Wizard",$T63,1),0)&gt;0,1,0)*IF($C63&lt;=EldritchKnightMaxSpellLevel,1,0)*IF(IFERROR(MATCH($B63,Character_Creation!$J$350:$J$356,0),0)&gt;0,0,1)*IF(Character_Creation!$M$350&gt;0,1,0)</f>
        <v>0</v>
      </c>
      <c r="CH63">
        <f>IF(CG63=0,0,1+COUNTIF(CH$3:CH62,"&gt;0"))</f>
        <v>0</v>
      </c>
      <c r="CI63">
        <f t="shared" si="40"/>
        <v>61</v>
      </c>
      <c r="CJ63" t="str">
        <f t="shared" si="12"/>
        <v>Web</v>
      </c>
      <c r="CL63">
        <f>IF(IFERROR(SEARCH("Bard",$T63,1),0)&gt;0,1,0)*IF(BardMaxSpellLevel&gt;=$C63,1,0)*IF(IFERROR(MATCH(B63,Character_Creation!$C$341:$F$362,0),0)&gt;0,0,1)*IF(IFERROR(MATCH($B63,Character_Creation!$C$341:$C$362,0),0)&gt;0,0,1)</f>
        <v>0</v>
      </c>
      <c r="CM63">
        <f>IF(CL63=0,0,1+COUNTIF(CM$3:CM62,"&gt;0"))</f>
        <v>0</v>
      </c>
      <c r="CN63" t="str">
        <f t="shared" si="41"/>
        <v/>
      </c>
      <c r="CO63" t="str">
        <f t="shared" si="13"/>
        <v/>
      </c>
      <c r="CQ63">
        <f>IF(IFERROR(SEARCH("Wizard",$T63,1),0)&gt;0,1,0)*IF(WizardMaxSpellLevel&gt;=$C63,1,0)*IF(IFERROR(MATCH(B63,Character_Creation!$X$341:$X$400,0),0)&gt;0,0,1)*IF(SelectedWizardSpellLevel=$C63,1,0)</f>
        <v>0</v>
      </c>
      <c r="CR63">
        <f>IF(CQ63=0,0,1+COUNTIF(CR$3:CR62,"&gt;0"))</f>
        <v>0</v>
      </c>
      <c r="CS63" t="str">
        <f t="shared" si="42"/>
        <v/>
      </c>
      <c r="CT63" t="str">
        <f t="shared" si="14"/>
        <v/>
      </c>
      <c r="CV63">
        <f>IF(IFERROR(MATCH($B63,Character_Creation!$C$341:$C$362,0),0)&gt;0,0,1)*IF(OR(C63="Cantrip",C63&lt;=BardMaxSpellLevel),1,0)*IF(IFERROR(MATCH($B63,Character_Creation!$C$367:$C$374,0),0)&gt;0,0,1)</f>
        <v>0</v>
      </c>
      <c r="CW63">
        <f>IF(CV63=0,0,1+COUNTIF(CW$3:CW62,"&gt;0"))</f>
        <v>0</v>
      </c>
      <c r="CX63" t="str">
        <f t="shared" si="43"/>
        <v/>
      </c>
      <c r="CY63" t="str">
        <f t="shared" si="15"/>
        <v/>
      </c>
      <c r="DA63">
        <f>IF(IF(OR(IFERROR(SEARCH("Cleric",$T63,1),0)&gt;0,IFERROR(SEARCH(DivineDomain&amp;",",$T63,1),0)&gt;0),1,0)*IF($C63=DA$2,1,0)=1,1+COUNTIF(DA$3:DA62,"&gt;0"),0)</f>
        <v>0</v>
      </c>
      <c r="DB63">
        <f>IF(IF(OR(IFERROR(SEARCH("Cleric",$T63,1),0)&gt;0,IFERROR(SEARCH(DivineDomain&amp;",",$T63,1),0)&gt;0),1,0)*IF($C63=DB$2,1,0)=1,1+COUNTIF(DB$3:DB62,"&gt;0"),0)</f>
        <v>0</v>
      </c>
      <c r="DC63">
        <f>IF(IF(OR(IFERROR(SEARCH("Cleric",$T63,1),0)&gt;0,IFERROR(SEARCH(DivineDomain&amp;",",$T63,1),0)&gt;0),1,0)*IF($C63=DC$2,1,0)=1,1+COUNTIF(DC$3:DC62,"&gt;0"),0)</f>
        <v>0</v>
      </c>
      <c r="DD63">
        <f>IF(IF(OR(IFERROR(SEARCH("Cleric",$T63,1),0)&gt;0,IFERROR(SEARCH(DivineDomain&amp;",",$T63,1),0)&gt;0),1,0)*IF($C63=DD$2,1,0)=1,1+COUNTIF(DD$3:DD62,"&gt;0"),0)</f>
        <v>0</v>
      </c>
      <c r="DE63">
        <f>IF(IF(OR(IFERROR(SEARCH("Cleric",$T63,1),0)&gt;0,IFERROR(SEARCH(DivineDomain&amp;",",$T63,1),0)&gt;0),1,0)*IF($C63=DE$2,1,0)=1,1+COUNTIF(DE$3:DE62,"&gt;0"),0)</f>
        <v>0</v>
      </c>
      <c r="DF63">
        <f>IF(IF(OR(IFERROR(SEARCH("Cleric",$T63,1),0)&gt;0,IFERROR(SEARCH(DivineDomain&amp;",",$T63,1),0)&gt;0),1,0)*IF($C63=DF$2,1,0)=1,1+COUNTIF(DF$3:DF62,"&gt;0"),0)</f>
        <v>0</v>
      </c>
      <c r="DG63">
        <f>IF(IF(OR(IFERROR(SEARCH("Cleric",$T63,1),0)&gt;0,IFERROR(SEARCH(DivineDomain&amp;",",$T63,1),0)&gt;0),1,0)*IF($C63=DG$2,1,0)=1,1+COUNTIF(DG$3:DG62,"&gt;0"),0)</f>
        <v>0</v>
      </c>
      <c r="DH63">
        <f>IF(IF(OR(IFERROR(SEARCH("Cleric",$T63,1),0)&gt;0,IFERROR(SEARCH(DivineDomain&amp;",",$T63,1),0)&gt;0),1,0)*IF($C63=DH$2,1,0)=1,1+COUNTIF(DH$3:DH62,"&gt;0"),0)</f>
        <v>0</v>
      </c>
      <c r="DI63">
        <f>IF(IF(OR(IFERROR(SEARCH("Cleric",$T63,1),0)&gt;0,IFERROR(SEARCH(DivineDomain&amp;",",$T63,1),0)&gt;0),1,0)*IF($C63=DI$2,1,0)=1,1+COUNTIF(DI$3:DI62,"&gt;0"),0)</f>
        <v>0</v>
      </c>
      <c r="DJ63">
        <f>IF(IF(OR(IFERROR(SEARCH("Druid",$T63,1),0)&gt;0,IFERROR(SEARCH(DruidLand1,$T63,1),0)&gt;0,IFERROR(SEARCH(DruidLand2,$T63,1),0)&gt;0,IFERROR(SEARCH(DruidLand3,$T63,1),0)&gt;0,IFERROR(SEARCH(DruidLand4,$T63,1),0)&gt;0),1,0)*IF($C63=1,1,0)*IF($C63=DJ$2,1,0)=0,0,1+COUNTIF(DJ$3:DJ62,"&gt;0"))</f>
        <v>0</v>
      </c>
      <c r="DK63">
        <f>IF(IF(OR(IFERROR(SEARCH("Druid",$T63,1),0)&gt;0,IFERROR(SEARCH(DruidLand1,$T63,1),0)&gt;0,IFERROR(SEARCH(DruidLand2,$T63,1),0)&gt;0,IFERROR(SEARCH(DruidLand3,$T63,1),0)&gt;0,IFERROR(SEARCH(DruidLand4,$T63,1),0)&gt;0),1,0)*IF($C63=1,1,0)*IF($C63=DK$2,1,0)=0,0,1+COUNTIF(DK$3:DK62,"&gt;0"))</f>
        <v>0</v>
      </c>
      <c r="DL63">
        <f>IF(IF(OR(IFERROR(SEARCH("Druid",$T63,1),0)&gt;0,IFERROR(SEARCH(DruidLand1,$T63,1),0)&gt;0,IFERROR(SEARCH(DruidLand2,$T63,1),0)&gt;0,IFERROR(SEARCH(DruidLand3,$T63,1),0)&gt;0,IFERROR(SEARCH(DruidLand4,$T63,1),0)&gt;0),1,0)*IF($C63=1,1,0)*IF($C63=DL$2,1,0)=0,0,1+COUNTIF(DL$3:DL62,"&gt;0"))</f>
        <v>0</v>
      </c>
      <c r="DM63">
        <f>IF(IF(OR(IFERROR(SEARCH("Druid",$T63,1),0)&gt;0,IFERROR(SEARCH(DruidLand1,$T63,1),0)&gt;0,IFERROR(SEARCH(DruidLand2,$T63,1),0)&gt;0,IFERROR(SEARCH(DruidLand3,$T63,1),0)&gt;0,IFERROR(SEARCH(DruidLand4,$T63,1),0)&gt;0),1,0)*IF($C63=1,1,0)*IF($C63=DM$2,1,0)=0,0,1+COUNTIF(DM$3:DM62,"&gt;0"))</f>
        <v>0</v>
      </c>
      <c r="DN63">
        <f>IF(IF(OR(IFERROR(SEARCH("Druid",$T63,1),0)&gt;0,IFERROR(SEARCH(DruidLand1,$T63,1),0)&gt;0,IFERROR(SEARCH(DruidLand2,$T63,1),0)&gt;0,IFERROR(SEARCH(DruidLand3,$T63,1),0)&gt;0,IFERROR(SEARCH(DruidLand4,$T63,1),0)&gt;0),1,0)*IF($C63=1,1,0)*IF($C63=DN$2,1,0)=0,0,1+COUNTIF(DN$3:DN62,"&gt;0"))</f>
        <v>0</v>
      </c>
      <c r="DO63">
        <f>IF(IF(OR(IFERROR(SEARCH("Druid",$T63,1),0)&gt;0,IFERROR(SEARCH(DruidLand1,$T63,1),0)&gt;0,IFERROR(SEARCH(DruidLand2,$T63,1),0)&gt;0,IFERROR(SEARCH(DruidLand3,$T63,1),0)&gt;0,IFERROR(SEARCH(DruidLand4,$T63,1),0)&gt;0),1,0)*IF($C63=1,1,0)*IF($C63=DO$2,1,0)=0,0,1+COUNTIF(DO$3:DO62,"&gt;0"))</f>
        <v>0</v>
      </c>
      <c r="DP63">
        <f>IF(IF(OR(IFERROR(SEARCH("Druid",$T63,1),0)&gt;0,IFERROR(SEARCH(DruidLand1,$T63,1),0)&gt;0,IFERROR(SEARCH(DruidLand2,$T63,1),0)&gt;0,IFERROR(SEARCH(DruidLand3,$T63,1),0)&gt;0,IFERROR(SEARCH(DruidLand4,$T63,1),0)&gt;0),1,0)*IF($C63=1,1,0)*IF($C63=DP$2,1,0)=0,0,1+COUNTIF(DP$3:DP62,"&gt;0"))</f>
        <v>0</v>
      </c>
      <c r="DQ63">
        <f>IF(IF(OR(IFERROR(SEARCH("Druid",$T63,1),0)&gt;0,IFERROR(SEARCH(DruidLand1,$T63,1),0)&gt;0,IFERROR(SEARCH(DruidLand2,$T63,1),0)&gt;0,IFERROR(SEARCH(DruidLand3,$T63,1),0)&gt;0,IFERROR(SEARCH(DruidLand4,$T63,1),0)&gt;0),1,0)*IF($C63=1,1,0)*IF($C63=DQ$2,1,0)=0,0,1+COUNTIF(DQ$3:DQ62,"&gt;0"))</f>
        <v>0</v>
      </c>
      <c r="DR63">
        <f>IF(IF(OR(IFERROR(SEARCH("Druid",$T63,1),0)&gt;0,IFERROR(SEARCH(DruidLand1,$T63,1),0)&gt;0,IFERROR(SEARCH(DruidLand2,$T63,1),0)&gt;0,IFERROR(SEARCH(DruidLand3,$T63,1),0)&gt;0,IFERROR(SEARCH(DruidLand4,$T63,1),0)&gt;0),1,0)*IF($C63=1,1,0)*IF($C63=DR$2,1,0)=0,0,1+COUNTIF(DR$3:DR62,"&gt;0"))</f>
        <v>0</v>
      </c>
      <c r="DS63">
        <f>IF(IF(OR(IFERROR(SEARCH("Paladin",$T63,1),0)&gt;0,IFERROR(SEARCH(PaladinOath,$T63,1),0)&gt;0),1,0)*IF($C63=DS$2,1,0)=1,1+COUNTIF(DS$3:DS62,"&gt;0"),0)</f>
        <v>0</v>
      </c>
      <c r="DT63">
        <f>IF(IF(OR(IFERROR(SEARCH("Paladin",$T63,1),0)&gt;0,IFERROR(SEARCH(PaladinOath,$T63,1),0)&gt;0),1,0)*IF($C63=DT$2,1,0)=1,1+COUNTIF(DT$3:DT62,"&gt;0"),0)</f>
        <v>0</v>
      </c>
      <c r="DU63">
        <f>IF(IF(OR(IFERROR(SEARCH("Paladin",$T63,1),0)&gt;0,IFERROR(SEARCH(PaladinOath,$T63,1),0)&gt;0),1,0)*IF($C63=DU$2,1,0)=1,1+COUNTIF(DU$3:DU62,"&gt;0"),0)</f>
        <v>0</v>
      </c>
      <c r="DV63">
        <f>IF(IF(OR(IFERROR(SEARCH("Paladin",$T63,1),0)&gt;0,IFERROR(SEARCH(PaladinOath,$T63,1),0)&gt;0),1,0)*IF($C63=DV$2,1,0)=1,1+COUNTIF(DV$3:DV62,"&gt;0"),0)</f>
        <v>0</v>
      </c>
      <c r="DW63">
        <f>IF(IF(OR(IFERROR(SEARCH("Paladin",$T63,1),0)&gt;0,IFERROR(SEARCH(PaladinOath,$T63,1),0)&gt;0),1,0)*IF($C63=DW$2,1,0)=1,1+COUNTIF(DW$3:DW62,"&gt;0"),0)</f>
        <v>0</v>
      </c>
      <c r="DY63">
        <f t="shared" si="2"/>
        <v>1</v>
      </c>
      <c r="DZ63">
        <f>IF(DY63=0,0,1+MAX(DZ$3:$DZ62))</f>
        <v>61</v>
      </c>
      <c r="EB63">
        <f t="shared" si="16"/>
        <v>0</v>
      </c>
      <c r="EC63">
        <f>IF(EB63=0,0,1+COUNTIF(EC$3:EC62,"&gt;0"))</f>
        <v>0</v>
      </c>
      <c r="ED63" t="str">
        <f t="shared" si="44"/>
        <v/>
      </c>
      <c r="EE63" t="str">
        <f t="shared" si="17"/>
        <v/>
      </c>
      <c r="EG63">
        <f t="shared" si="18"/>
        <v>0</v>
      </c>
      <c r="EH63">
        <f>IF(EG63=0,0,1+COUNTIF(EH$3:EH62,"&gt;0"))</f>
        <v>0</v>
      </c>
      <c r="EI63" t="str">
        <f t="shared" si="45"/>
        <v/>
      </c>
      <c r="EJ63" t="str">
        <f t="shared" si="19"/>
        <v/>
      </c>
      <c r="EL63">
        <f t="shared" si="20"/>
        <v>0</v>
      </c>
      <c r="EM63">
        <f>IF(EL63=0,0,1+COUNTIF(EM$3:EM62,"&gt;0"))</f>
        <v>0</v>
      </c>
      <c r="EN63" t="str">
        <f t="shared" si="46"/>
        <v/>
      </c>
      <c r="EO63" t="str">
        <f t="shared" si="21"/>
        <v/>
      </c>
      <c r="EQ63">
        <f t="shared" si="22"/>
        <v>0</v>
      </c>
      <c r="ER63">
        <f>IF(EQ63=0,0,1+COUNTIF(ER$3:ER62,"&gt;0"))</f>
        <v>0</v>
      </c>
      <c r="ES63" t="str">
        <f t="shared" si="47"/>
        <v/>
      </c>
      <c r="ET63" t="str">
        <f t="shared" si="23"/>
        <v/>
      </c>
      <c r="EV63">
        <f t="shared" si="24"/>
        <v>0</v>
      </c>
      <c r="EW63">
        <f>IF(EV63=0,0,1+COUNTIF(EW$3:EW62,"&gt;0"))</f>
        <v>0</v>
      </c>
      <c r="EX63" t="str">
        <f t="shared" si="48"/>
        <v/>
      </c>
      <c r="EY63" t="str">
        <f t="shared" si="25"/>
        <v/>
      </c>
      <c r="FA63">
        <f t="shared" si="26"/>
        <v>0</v>
      </c>
      <c r="FB63">
        <f>IF(FA63=0,0,1+COUNTIF(FB$3:FB62,"&gt;0"))</f>
        <v>0</v>
      </c>
      <c r="FC63" t="str">
        <f t="shared" si="49"/>
        <v/>
      </c>
      <c r="FD63" t="str">
        <f t="shared" si="27"/>
        <v/>
      </c>
      <c r="FF63">
        <f t="shared" si="28"/>
        <v>0</v>
      </c>
      <c r="FG63">
        <f>IF(FF63=0,0,1+COUNTIF(FG$3:FG62,"&gt;0"))</f>
        <v>0</v>
      </c>
      <c r="FH63" t="str">
        <f t="shared" si="50"/>
        <v/>
      </c>
      <c r="FI63" t="str">
        <f t="shared" si="29"/>
        <v/>
      </c>
      <c r="FK63">
        <f t="shared" si="30"/>
        <v>0</v>
      </c>
      <c r="FL63">
        <f>IF(FK63=0,0,1+COUNTIF(FL$3:FL62,"&gt;0"))</f>
        <v>0</v>
      </c>
      <c r="FM63" t="str">
        <f t="shared" si="51"/>
        <v/>
      </c>
      <c r="FN63" t="str">
        <f t="shared" si="31"/>
        <v/>
      </c>
      <c r="FP63">
        <f t="shared" si="32"/>
        <v>0</v>
      </c>
      <c r="FQ63">
        <f>IF(FP63=0,0,1+COUNTIF(FQ$3:FQ62,"&gt;0"))</f>
        <v>0</v>
      </c>
      <c r="FR63" t="str">
        <f t="shared" si="52"/>
        <v/>
      </c>
      <c r="FS63" t="str">
        <f t="shared" si="33"/>
        <v/>
      </c>
    </row>
    <row r="64" spans="1:175" x14ac:dyDescent="0.25">
      <c r="A64" s="347">
        <f t="shared" si="53"/>
        <v>62</v>
      </c>
      <c r="B64" s="348" t="s">
        <v>2425</v>
      </c>
      <c r="C64" s="348">
        <v>4</v>
      </c>
      <c r="D64" s="347">
        <v>4</v>
      </c>
      <c r="E64" s="627" t="s">
        <v>6952</v>
      </c>
      <c r="F64" s="346"/>
      <c r="G64" s="347" t="str">
        <f>""</f>
        <v/>
      </c>
      <c r="H64" s="347" t="s">
        <v>5912</v>
      </c>
      <c r="I64" s="347" t="s">
        <v>5312</v>
      </c>
      <c r="J64" s="347" t="str">
        <f t="shared" si="3"/>
        <v/>
      </c>
      <c r="K64" s="347" t="s">
        <v>5291</v>
      </c>
      <c r="L64" s="611" t="str">
        <f t="shared" si="4"/>
        <v>V, S, M, three nut shells</v>
      </c>
      <c r="M64" s="347" t="s">
        <v>2373</v>
      </c>
      <c r="N64" s="347" t="s">
        <v>2387</v>
      </c>
      <c r="O64" s="347" t="s">
        <v>1244</v>
      </c>
      <c r="P64" s="346" t="s">
        <v>5327</v>
      </c>
      <c r="Q64" s="347" t="s">
        <v>5272</v>
      </c>
      <c r="S64" s="346" t="s">
        <v>5632</v>
      </c>
      <c r="T64" s="346" t="str">
        <f t="shared" si="5"/>
        <v xml:space="preserve">Bard, Sorcerer, Druid, Arcane Trickster, Wizard, Oathbreaker, Knowledge, </v>
      </c>
      <c r="U64" s="347" t="str">
        <f>$B64</f>
        <v>Confusion</v>
      </c>
      <c r="X64" s="347" t="str">
        <f>$B64</f>
        <v>Confusion</v>
      </c>
      <c r="AA64" s="347" t="str">
        <f>$B64</f>
        <v>Confusion</v>
      </c>
      <c r="AC64" s="539" t="str">
        <f>B64</f>
        <v>Confusion</v>
      </c>
      <c r="AD64" s="347" t="str">
        <f>$B64</f>
        <v>Confusion</v>
      </c>
      <c r="AE64" t="str">
        <f>IF(IFERROR(MATCH($B64,temp!A$4:A$13,0),0)&gt;0,T08_Spells!AE$2,"")</f>
        <v/>
      </c>
      <c r="AF64" t="str">
        <f>IF(IFERROR(MATCH($B64,temp!B$4:B$13,0),0)&gt;0,T08_Spells!AF$2,"")</f>
        <v/>
      </c>
      <c r="AG64" t="str">
        <f>IF(IFERROR(MATCH($B64,temp!C$4:C$13,0),0)&gt;0,T08_Spells!AG$2,"")</f>
        <v/>
      </c>
      <c r="AH64" t="str">
        <f>IF(IFERROR(MATCH($B64,temp!D$4:D$13,0),0)&gt;0,T08_Spells!AH$2,"")</f>
        <v>Oathbreaker</v>
      </c>
      <c r="AI64" t="str">
        <f>IF(IFERROR(MATCH($B64,temp!E$4:E$13,0),0)&gt;0,T08_Spells!AI$2,"")</f>
        <v/>
      </c>
      <c r="AJ64" t="str">
        <f>IF(IFERROR(MATCH($B64,temp!F$4:F$13,0),0)&gt;0,T08_Spells!AJ$2,"")</f>
        <v/>
      </c>
      <c r="AK64" t="str">
        <f>IF(IFERROR(MATCH($B64,temp!G$4:G$13,0),0)&gt;0,T08_Spells!AK$2,"")</f>
        <v/>
      </c>
      <c r="AL64" t="str">
        <f>IF(IFERROR(MATCH($B64,temp!H$4:H$13,0),0)&gt;0,T08_Spells!AL$2,"")</f>
        <v/>
      </c>
      <c r="AM64" t="str">
        <f>IF(IFERROR(MATCH($B64,temp!I$4:I$13,0),0)&gt;0,T08_Spells!AM$2,"")</f>
        <v/>
      </c>
      <c r="AN64" t="str">
        <f>IF(IFERROR(MATCH($B64,temp!J$4:J$13,0),0)&gt;0,T08_Spells!AN$2,"")</f>
        <v/>
      </c>
      <c r="AO64" t="str">
        <f>IF(IFERROR(MATCH($B64,temp!K$4:K$13,0),0)&gt;0,T08_Spells!AO$2,"")</f>
        <v/>
      </c>
      <c r="AP64" t="str">
        <f>IF(IFERROR(MATCH($B64,temp!L$4:L$13,0),0)&gt;0,T08_Spells!AP$2,"")</f>
        <v/>
      </c>
      <c r="AQ64" t="str">
        <f>IF(IFERROR(MATCH($B64,temp!M$4:M$13,0),0)&gt;0,T08_Spells!AQ$2,"")</f>
        <v/>
      </c>
      <c r="AR64" t="str">
        <f>IF(IFERROR(MATCH($B64,temp!N$4:N$13,0),0)&gt;0,T08_Spells!AR$2,"")</f>
        <v/>
      </c>
      <c r="AS64" t="str">
        <f>IF(IFERROR(MATCH($B64,temp!O$4:O$13,0),0)&gt;0,T08_Spells!AS$2,"")</f>
        <v/>
      </c>
      <c r="AT64" t="str">
        <f>IF(IFERROR(MATCH($B64,temp!P$4:P$13,0),0)&gt;0,T08_Spells!AT$2,"")</f>
        <v>Knowledge</v>
      </c>
      <c r="AU64" t="str">
        <f>IF(IFERROR(MATCH($B64,temp!Q$4:Q$13,0),0)&gt;0,T08_Spells!AU$2,"")</f>
        <v/>
      </c>
      <c r="AV64" t="str">
        <f>IF(IFERROR(MATCH($B64,temp!R$4:R$13,0),0)&gt;0,T08_Spells!AV$2,"")</f>
        <v/>
      </c>
      <c r="AW64" t="str">
        <f>IF(IFERROR(MATCH($B64,temp!S$4:S$13,0),0)&gt;0,T08_Spells!AW$2,"")</f>
        <v/>
      </c>
      <c r="AX64" t="str">
        <f>IF(IFERROR(MATCH($B64,temp!T$4:T$13,0),0)&gt;0,T08_Spells!AX$2,"")</f>
        <v/>
      </c>
      <c r="AY64" t="str">
        <f>IF(IFERROR(MATCH($B64,temp!U$4:U$13,0),0)&gt;0,T08_Spells!AY$2,"")</f>
        <v/>
      </c>
      <c r="AZ64" t="str">
        <f>IF(IFERROR(MATCH($B64,temp!V$4:V$13,0),0)&gt;0,T08_Spells!AZ$2,"")</f>
        <v/>
      </c>
      <c r="BA64" t="str">
        <f>IF(IFERROR(MATCH($B64,temp!W$4:W$13,0),0)&gt;0,T08_Spells!BA$2,"")</f>
        <v/>
      </c>
      <c r="BC64">
        <f>IF(IFERROR(SEARCH("Ranger",$T64,1),0)&gt;0,1,0)*IF(RangerMaxSpellLevel&gt;=$C64,1,0)*IF(IFERROR(MATCH(B64,Character_Creation!$X$79:$X$382,0),0)&gt;0,0,1)</f>
        <v>0</v>
      </c>
      <c r="BD64">
        <f>IF(BC64=0,0,1+COUNTIF(BD$3:BD63,"&gt;0"))</f>
        <v>0</v>
      </c>
      <c r="BE64" t="str">
        <f t="shared" si="34"/>
        <v/>
      </c>
      <c r="BF64" t="str">
        <f t="shared" si="6"/>
        <v/>
      </c>
      <c r="BH64">
        <f>IF(IFERROR(SEARCH("Sorcerer",$T64,1),0)&gt;0,1,0)*IF(SorcererMaxSpellLevel&gt;=$C64,1,0)*IF(IFERROR(MATCH(B64,Character_Creation!$J$380:$J$394,0),0)&gt;0,0,1)</f>
        <v>0</v>
      </c>
      <c r="BI64">
        <f>IF(BH64=0,0,1+COUNTIF(BI$3:BI63,"&gt;0"))</f>
        <v>0</v>
      </c>
      <c r="BJ64" t="str">
        <f t="shared" si="35"/>
        <v/>
      </c>
      <c r="BK64" t="str">
        <f t="shared" si="7"/>
        <v/>
      </c>
      <c r="BM64">
        <f>IF(OR(IFERROR(SEARCH("Warlock",$T64,1),0)&gt;0,IFERROR(SEARCH(WarlockPatron,$T64,1),0)&gt;0),1,0)*IF(WarlockMaxSpellLevel&gt;=$C64,1,0)*IF(IFERROR(MATCH(B64,Character_Creation!$J$361:$J$375,0),0)&gt;0,0,1)</f>
        <v>0</v>
      </c>
      <c r="BN64">
        <f>IF(BM64=0,0,1+COUNTIF(BN$3:BN63,"&gt;0"))</f>
        <v>0</v>
      </c>
      <c r="BO64" t="str">
        <f t="shared" si="36"/>
        <v/>
      </c>
      <c r="BP64" t="str">
        <f t="shared" si="8"/>
        <v/>
      </c>
      <c r="BR64">
        <f>IF(IFERROR(SEARCH("Eldritch Knight",$T64,1),0)&gt;0,1,0)*IF(EldritchKnightMaxSpellLevel&gt;=$C64,1,0)*IF(IFERROR(MATCH($B64,Character_Creation!$J$350:$J$356,0),0)&gt;0,0,1)*IF(Character_Creation!$M$338&gt;0,1,0)</f>
        <v>0</v>
      </c>
      <c r="BS64">
        <f>IF(BR64=0,0,1+COUNTIF(BS$3:BS63,"&gt;0"))</f>
        <v>0</v>
      </c>
      <c r="BT64" t="str">
        <f t="shared" si="37"/>
        <v/>
      </c>
      <c r="BU64" t="str">
        <f t="shared" si="9"/>
        <v/>
      </c>
      <c r="BW64">
        <f>IF(IFERROR(SEARCH("Arcane Trickster",$T64,1),0)&gt;0,1,0)*IF(ArcaneTricksterMaxSpellLevel&gt;=$C64,1,0)*IF(IFERROR(MATCH($B64,Character_Creation!$J$350:$J$356,0),0)&gt;0,0,1)*IF(Character_Creation!$T$338&gt;0,1,0)</f>
        <v>0</v>
      </c>
      <c r="BX64">
        <f>IF(BW64=0,0,1+COUNTIF(BX$3:BX63,"&gt;0"))</f>
        <v>0</v>
      </c>
      <c r="BY64" t="str">
        <f t="shared" si="38"/>
        <v/>
      </c>
      <c r="BZ64" t="str">
        <f t="shared" si="10"/>
        <v/>
      </c>
      <c r="CB64">
        <f>IF(IFERROR(SEARCH("Wizard",$T64,1),0)&gt;0,1,0)*IF(C64&lt;=ArcaneTricksterMaxSpellLevel,1,0)*IF(IFERROR(MATCH($B64,Character_Creation!$J$350:$J$356,0),0)&gt;0,0,1)*IF(Character_Creation!$T$350&gt;0,1,0)</f>
        <v>0</v>
      </c>
      <c r="CC64">
        <f>IF(CB64=0,0,1+COUNTIF(CC$3:CC63,"&gt;0"))</f>
        <v>0</v>
      </c>
      <c r="CD64" t="str">
        <f t="shared" si="39"/>
        <v/>
      </c>
      <c r="CE64" t="str">
        <f t="shared" si="11"/>
        <v/>
      </c>
      <c r="CG64">
        <f>IF(IFERROR(SEARCH("Wizard",$T64,1),0)&gt;0,1,0)*IF($C64&lt;=EldritchKnightMaxSpellLevel,1,0)*IF(IFERROR(MATCH($B64,Character_Creation!$J$350:$J$356,0),0)&gt;0,0,1)*IF(Character_Creation!$M$350&gt;0,1,0)</f>
        <v>0</v>
      </c>
      <c r="CH64">
        <f>IF(CG64=0,0,1+COUNTIF(CH$3:CH63,"&gt;0"))</f>
        <v>0</v>
      </c>
      <c r="CI64">
        <f t="shared" si="40"/>
        <v>62</v>
      </c>
      <c r="CJ64" t="str">
        <f t="shared" si="12"/>
        <v>Witch Bolt</v>
      </c>
      <c r="CL64">
        <f>IF(IFERROR(SEARCH("Bard",$T64,1),0)&gt;0,1,0)*IF(BardMaxSpellLevel&gt;=$C64,1,0)*IF(IFERROR(MATCH(B64,Character_Creation!$C$341:$F$362,0),0)&gt;0,0,1)*IF(IFERROR(MATCH($B64,Character_Creation!$C$341:$C$362,0),0)&gt;0,0,1)</f>
        <v>0</v>
      </c>
      <c r="CM64">
        <f>IF(CL64=0,0,1+COUNTIF(CM$3:CM63,"&gt;0"))</f>
        <v>0</v>
      </c>
      <c r="CN64" t="str">
        <f t="shared" si="41"/>
        <v/>
      </c>
      <c r="CO64" t="str">
        <f t="shared" si="13"/>
        <v/>
      </c>
      <c r="CQ64">
        <f>IF(IFERROR(SEARCH("Wizard",$T64,1),0)&gt;0,1,0)*IF(WizardMaxSpellLevel&gt;=$C64,1,0)*IF(IFERROR(MATCH(B64,Character_Creation!$X$341:$X$400,0),0)&gt;0,0,1)*IF(SelectedWizardSpellLevel=$C64,1,0)</f>
        <v>0</v>
      </c>
      <c r="CR64">
        <f>IF(CQ64=0,0,1+COUNTIF(CR$3:CR63,"&gt;0"))</f>
        <v>0</v>
      </c>
      <c r="CS64" t="str">
        <f t="shared" si="42"/>
        <v/>
      </c>
      <c r="CT64" t="str">
        <f t="shared" si="14"/>
        <v/>
      </c>
      <c r="CV64">
        <f>IF(IFERROR(MATCH($B64,Character_Creation!$C$341:$C$362,0),0)&gt;0,0,1)*IF(OR(C64="Cantrip",C64&lt;=BardMaxSpellLevel),1,0)*IF(IFERROR(MATCH($B64,Character_Creation!$C$367:$C$374,0),0)&gt;0,0,1)</f>
        <v>0</v>
      </c>
      <c r="CW64">
        <f>IF(CV64=0,0,1+COUNTIF(CW$3:CW63,"&gt;0"))</f>
        <v>0</v>
      </c>
      <c r="CX64" t="str">
        <f t="shared" si="43"/>
        <v/>
      </c>
      <c r="CY64" t="str">
        <f t="shared" si="15"/>
        <v/>
      </c>
      <c r="DA64">
        <f>IF(IF(OR(IFERROR(SEARCH("Cleric",$T64,1),0)&gt;0,IFERROR(SEARCH(DivineDomain&amp;",",$T64,1),0)&gt;0),1,0)*IF($C64=DA$2,1,0)=1,1+COUNTIF(DA$3:DA63,"&gt;0"),0)</f>
        <v>0</v>
      </c>
      <c r="DB64">
        <f>IF(IF(OR(IFERROR(SEARCH("Cleric",$T64,1),0)&gt;0,IFERROR(SEARCH(DivineDomain&amp;",",$T64,1),0)&gt;0),1,0)*IF($C64=DB$2,1,0)=1,1+COUNTIF(DB$3:DB63,"&gt;0"),0)</f>
        <v>0</v>
      </c>
      <c r="DC64">
        <f>IF(IF(OR(IFERROR(SEARCH("Cleric",$T64,1),0)&gt;0,IFERROR(SEARCH(DivineDomain&amp;",",$T64,1),0)&gt;0),1,0)*IF($C64=DC$2,1,0)=1,1+COUNTIF(DC$3:DC63,"&gt;0"),0)</f>
        <v>0</v>
      </c>
      <c r="DD64">
        <f>IF(IF(OR(IFERROR(SEARCH("Cleric",$T64,1),0)&gt;0,IFERROR(SEARCH(DivineDomain&amp;",",$T64,1),0)&gt;0),1,0)*IF($C64=DD$2,1,0)=1,1+COUNTIF(DD$3:DD63,"&gt;0"),0)</f>
        <v>0</v>
      </c>
      <c r="DE64">
        <f>IF(IF(OR(IFERROR(SEARCH("Cleric",$T64,1),0)&gt;0,IFERROR(SEARCH(DivineDomain&amp;",",$T64,1),0)&gt;0),1,0)*IF($C64=DE$2,1,0)=1,1+COUNTIF(DE$3:DE63,"&gt;0"),0)</f>
        <v>0</v>
      </c>
      <c r="DF64">
        <f>IF(IF(OR(IFERROR(SEARCH("Cleric",$T64,1),0)&gt;0,IFERROR(SEARCH(DivineDomain&amp;",",$T64,1),0)&gt;0),1,0)*IF($C64=DF$2,1,0)=1,1+COUNTIF(DF$3:DF63,"&gt;0"),0)</f>
        <v>0</v>
      </c>
      <c r="DG64">
        <f>IF(IF(OR(IFERROR(SEARCH("Cleric",$T64,1),0)&gt;0,IFERROR(SEARCH(DivineDomain&amp;",",$T64,1),0)&gt;0),1,0)*IF($C64=DG$2,1,0)=1,1+COUNTIF(DG$3:DG63,"&gt;0"),0)</f>
        <v>0</v>
      </c>
      <c r="DH64">
        <f>IF(IF(OR(IFERROR(SEARCH("Cleric",$T64,1),0)&gt;0,IFERROR(SEARCH(DivineDomain&amp;",",$T64,1),0)&gt;0),1,0)*IF($C64=DH$2,1,0)=1,1+COUNTIF(DH$3:DH63,"&gt;0"),0)</f>
        <v>0</v>
      </c>
      <c r="DI64">
        <f>IF(IF(OR(IFERROR(SEARCH("Cleric",$T64,1),0)&gt;0,IFERROR(SEARCH(DivineDomain&amp;",",$T64,1),0)&gt;0),1,0)*IF($C64=DI$2,1,0)=1,1+COUNTIF(DI$3:DI63,"&gt;0"),0)</f>
        <v>0</v>
      </c>
      <c r="DJ64">
        <f>IF(IF(OR(IFERROR(SEARCH("Druid",$T64,1),0)&gt;0,IFERROR(SEARCH(DruidLand1,$T64,1),0)&gt;0,IFERROR(SEARCH(DruidLand2,$T64,1),0)&gt;0,IFERROR(SEARCH(DruidLand3,$T64,1),0)&gt;0,IFERROR(SEARCH(DruidLand4,$T64,1),0)&gt;0),1,0)*IF($C64=1,1,0)*IF($C64=DJ$2,1,0)=0,0,1+COUNTIF(DJ$3:DJ63,"&gt;0"))</f>
        <v>0</v>
      </c>
      <c r="DK64">
        <f>IF(IF(OR(IFERROR(SEARCH("Druid",$T64,1),0)&gt;0,IFERROR(SEARCH(DruidLand1,$T64,1),0)&gt;0,IFERROR(SEARCH(DruidLand2,$T64,1),0)&gt;0,IFERROR(SEARCH(DruidLand3,$T64,1),0)&gt;0,IFERROR(SEARCH(DruidLand4,$T64,1),0)&gt;0),1,0)*IF($C64=DK$2,1,0)=0,0,1+COUNTIF(DK$3:DK63,"&gt;0"))</f>
        <v>0</v>
      </c>
      <c r="DL64">
        <f>IF(IF(OR(IFERROR(SEARCH("Druid",$T64,1),0)&gt;0,IFERROR(SEARCH(DruidLand1,$T64,1),0)&gt;0,IFERROR(SEARCH(DruidLand2,$T64,1),0)&gt;0,IFERROR(SEARCH(DruidLand3,$T64,1),0)&gt;0,IFERROR(SEARCH(DruidLand4,$T64,1),0)&gt;0),1,0)*IF($C64=DL$2,1,0)=0,0,1+COUNTIF(DL$3:DL63,"&gt;0"))</f>
        <v>0</v>
      </c>
      <c r="DM64">
        <f>IF(IF(OR(IFERROR(SEARCH("Druid",$T64,1),0)&gt;0,IFERROR(SEARCH(DruidLand1,$T64,1),0)&gt;0,IFERROR(SEARCH(DruidLand2,$T64,1),0)&gt;0,IFERROR(SEARCH(DruidLand3,$T64,1),0)&gt;0,IFERROR(SEARCH(DruidLand4,$T64,1),0)&gt;0),1,0)*IF($C64=DM$2,1,0)=0,0,1+COUNTIF(DM$3:DM63,"&gt;0"))</f>
        <v>2</v>
      </c>
      <c r="DN64">
        <f>IF(IF(OR(IFERROR(SEARCH("Druid",$T64,1),0)&gt;0,IFERROR(SEARCH(DruidLand1,$T64,1),0)&gt;0,IFERROR(SEARCH(DruidLand2,$T64,1),0)&gt;0,IFERROR(SEARCH(DruidLand3,$T64,1),0)&gt;0,IFERROR(SEARCH(DruidLand4,$T64,1),0)&gt;0),1,0)*IF($C64=DN$2,1,0)=0,0,1+COUNTIF(DN$3:DN63,"&gt;0"))</f>
        <v>0</v>
      </c>
      <c r="DO64">
        <f>IF(IF(OR(IFERROR(SEARCH("Druid",$T64,1),0)&gt;0,IFERROR(SEARCH(DruidLand1,$T64,1),0)&gt;0,IFERROR(SEARCH(DruidLand2,$T64,1),0)&gt;0,IFERROR(SEARCH(DruidLand3,$T64,1),0)&gt;0,IFERROR(SEARCH(DruidLand4,$T64,1),0)&gt;0),1,0)*IF($C64=DO$2,1,0)=0,0,1+COUNTIF(DO$3:DO63,"&gt;0"))</f>
        <v>0</v>
      </c>
      <c r="DP64">
        <f>IF(IF(OR(IFERROR(SEARCH("Druid",$T64,1),0)&gt;0,IFERROR(SEARCH(DruidLand1,$T64,1),0)&gt;0,IFERROR(SEARCH(DruidLand2,$T64,1),0)&gt;0,IFERROR(SEARCH(DruidLand3,$T64,1),0)&gt;0,IFERROR(SEARCH(DruidLand4,$T64,1),0)&gt;0),1,0)*IF($C64=DP$2,1,0)=0,0,1+COUNTIF(DP$3:DP63,"&gt;0"))</f>
        <v>0</v>
      </c>
      <c r="DQ64">
        <f>IF(IF(OR(IFERROR(SEARCH("Druid",$T64,1),0)&gt;0,IFERROR(SEARCH(DruidLand1,$T64,1),0)&gt;0,IFERROR(SEARCH(DruidLand2,$T64,1),0)&gt;0,IFERROR(SEARCH(DruidLand3,$T64,1),0)&gt;0,IFERROR(SEARCH(DruidLand4,$T64,1),0)&gt;0),1,0)*IF($C64=DQ$2,1,0)=0,0,1+COUNTIF(DQ$3:DQ63,"&gt;0"))</f>
        <v>0</v>
      </c>
      <c r="DR64">
        <f>IF(IF(OR(IFERROR(SEARCH("Druid",$T64,1),0)&gt;0,IFERROR(SEARCH(DruidLand1,$T64,1),0)&gt;0,IFERROR(SEARCH(DruidLand2,$T64,1),0)&gt;0,IFERROR(SEARCH(DruidLand3,$T64,1),0)&gt;0,IFERROR(SEARCH(DruidLand4,$T64,1),0)&gt;0),1,0)*IF($C64=DR$2,1,0)=0,0,1+COUNTIF(DR$3:DR63,"&gt;0"))</f>
        <v>0</v>
      </c>
      <c r="DS64">
        <f>IF(IF(OR(IFERROR(SEARCH("Paladin",$T64,1),0)&gt;0,IFERROR(SEARCH(PaladinOath,$T64,1),0)&gt;0),1,0)*IF($C64=DS$2,1,0)=1,1+COUNTIF(DS$3:DS63,"&gt;0"),0)</f>
        <v>0</v>
      </c>
      <c r="DT64">
        <f>IF(IF(OR(IFERROR(SEARCH("Paladin",$T64,1),0)&gt;0,IFERROR(SEARCH(PaladinOath,$T64,1),0)&gt;0),1,0)*IF($C64=DT$2,1,0)=1,1+COUNTIF(DT$3:DT63,"&gt;0"),0)</f>
        <v>0</v>
      </c>
      <c r="DU64">
        <f>IF(IF(OR(IFERROR(SEARCH("Paladin",$T64,1),0)&gt;0,IFERROR(SEARCH(PaladinOath,$T64,1),0)&gt;0),1,0)*IF($C64=DU$2,1,0)=1,1+COUNTIF(DU$3:DU63,"&gt;0"),0)</f>
        <v>0</v>
      </c>
      <c r="DV64">
        <f>IF(IF(OR(IFERROR(SEARCH("Paladin",$T64,1),0)&gt;0,IFERROR(SEARCH(PaladinOath,$T64,1),0)&gt;0),1,0)*IF($C64=DV$2,1,0)=1,1+COUNTIF(DV$3:DV63,"&gt;0"),0)</f>
        <v>0</v>
      </c>
      <c r="DW64">
        <f>IF(IF(OR(IFERROR(SEARCH("Paladin",$T64,1),0)&gt;0,IFERROR(SEARCH(PaladinOath,$T64,1),0)&gt;0),1,0)*IF($C64=DW$2,1,0)=1,1+COUNTIF(DW$3:DW63,"&gt;0"),0)</f>
        <v>0</v>
      </c>
      <c r="DY64">
        <f t="shared" si="2"/>
        <v>1</v>
      </c>
      <c r="DZ64">
        <f>IF(DY64=0,0,1+MAX(DZ$3:$DZ63))</f>
        <v>62</v>
      </c>
      <c r="EB64">
        <f t="shared" si="16"/>
        <v>0</v>
      </c>
      <c r="EC64">
        <f>IF(EB64=0,0,1+COUNTIF(EC$3:EC63,"&gt;0"))</f>
        <v>0</v>
      </c>
      <c r="ED64" t="str">
        <f t="shared" si="44"/>
        <v/>
      </c>
      <c r="EE64" t="str">
        <f t="shared" si="17"/>
        <v/>
      </c>
      <c r="EG64">
        <f t="shared" si="18"/>
        <v>0</v>
      </c>
      <c r="EH64">
        <f>IF(EG64=0,0,1+COUNTIF(EH$3:EH63,"&gt;0"))</f>
        <v>0</v>
      </c>
      <c r="EI64" t="str">
        <f t="shared" si="45"/>
        <v/>
      </c>
      <c r="EJ64" t="str">
        <f t="shared" si="19"/>
        <v/>
      </c>
      <c r="EL64">
        <f t="shared" si="20"/>
        <v>0</v>
      </c>
      <c r="EM64">
        <f>IF(EL64=0,0,1+COUNTIF(EM$3:EM63,"&gt;0"))</f>
        <v>0</v>
      </c>
      <c r="EN64" t="str">
        <f t="shared" si="46"/>
        <v/>
      </c>
      <c r="EO64" t="str">
        <f t="shared" si="21"/>
        <v/>
      </c>
      <c r="EQ64">
        <f t="shared" si="22"/>
        <v>0</v>
      </c>
      <c r="ER64">
        <f>IF(EQ64=0,0,1+COUNTIF(ER$3:ER63,"&gt;0"))</f>
        <v>0</v>
      </c>
      <c r="ES64" t="str">
        <f t="shared" si="47"/>
        <v/>
      </c>
      <c r="ET64" t="str">
        <f t="shared" si="23"/>
        <v/>
      </c>
      <c r="EV64">
        <f t="shared" si="24"/>
        <v>0</v>
      </c>
      <c r="EW64">
        <f>IF(EV64=0,0,1+COUNTIF(EW$3:EW63,"&gt;0"))</f>
        <v>0</v>
      </c>
      <c r="EX64" t="str">
        <f t="shared" si="48"/>
        <v/>
      </c>
      <c r="EY64" t="str">
        <f t="shared" si="25"/>
        <v/>
      </c>
      <c r="FA64">
        <f t="shared" si="26"/>
        <v>0</v>
      </c>
      <c r="FB64">
        <f>IF(FA64=0,0,1+COUNTIF(FB$3:FB63,"&gt;0"))</f>
        <v>0</v>
      </c>
      <c r="FC64" t="str">
        <f t="shared" si="49"/>
        <v/>
      </c>
      <c r="FD64" t="str">
        <f t="shared" si="27"/>
        <v/>
      </c>
      <c r="FF64">
        <f t="shared" si="28"/>
        <v>0</v>
      </c>
      <c r="FG64">
        <f>IF(FF64=0,0,1+COUNTIF(FG$3:FG63,"&gt;0"))</f>
        <v>0</v>
      </c>
      <c r="FH64" t="str">
        <f t="shared" si="50"/>
        <v/>
      </c>
      <c r="FI64" t="str">
        <f t="shared" si="29"/>
        <v/>
      </c>
      <c r="FK64">
        <f t="shared" si="30"/>
        <v>0</v>
      </c>
      <c r="FL64">
        <f>IF(FK64=0,0,1+COUNTIF(FL$3:FL63,"&gt;0"))</f>
        <v>0</v>
      </c>
      <c r="FM64" t="str">
        <f t="shared" si="51"/>
        <v/>
      </c>
      <c r="FN64" t="str">
        <f t="shared" si="31"/>
        <v/>
      </c>
      <c r="FP64">
        <f t="shared" si="32"/>
        <v>0</v>
      </c>
      <c r="FQ64">
        <f>IF(FP64=0,0,1+COUNTIF(FQ$3:FQ63,"&gt;0"))</f>
        <v>0</v>
      </c>
      <c r="FR64" t="str">
        <f t="shared" si="52"/>
        <v/>
      </c>
      <c r="FS64" t="str">
        <f t="shared" si="33"/>
        <v/>
      </c>
    </row>
    <row r="65" spans="1:175" x14ac:dyDescent="0.25">
      <c r="A65" s="347">
        <f t="shared" si="53"/>
        <v>63</v>
      </c>
      <c r="B65" s="348" t="s">
        <v>2426</v>
      </c>
      <c r="C65" s="348">
        <v>3</v>
      </c>
      <c r="D65" s="347">
        <v>3</v>
      </c>
      <c r="E65" s="627" t="s">
        <v>6952</v>
      </c>
      <c r="F65" s="346"/>
      <c r="G65" s="347" t="str">
        <f>""</f>
        <v/>
      </c>
      <c r="H65" s="347" t="s">
        <v>5912</v>
      </c>
      <c r="I65" s="347" t="s">
        <v>424</v>
      </c>
      <c r="J65" s="347" t="str">
        <f t="shared" si="3"/>
        <v/>
      </c>
      <c r="K65" s="347" t="s">
        <v>5284</v>
      </c>
      <c r="L65" s="611" t="str">
        <f t="shared" si="4"/>
        <v>V, S</v>
      </c>
      <c r="M65" s="347" t="s">
        <v>2373</v>
      </c>
      <c r="N65" s="347" t="s">
        <v>2387</v>
      </c>
      <c r="O65" s="347" t="s">
        <v>3034</v>
      </c>
      <c r="Q65" s="347" t="s">
        <v>5271</v>
      </c>
      <c r="S65" s="346" t="s">
        <v>5633</v>
      </c>
      <c r="T65" s="346" t="str">
        <f t="shared" si="5"/>
        <v xml:space="preserve">Ranger, Druid, </v>
      </c>
      <c r="W65" s="347" t="str">
        <f>$B65</f>
        <v>Conjure Animals</v>
      </c>
      <c r="AA65" s="347" t="str">
        <f>$B65</f>
        <v>Conjure Animals</v>
      </c>
      <c r="AE65" t="str">
        <f>IF(IFERROR(MATCH($B65,temp!A$4:A$13,0),0)&gt;0,T08_Spells!AE$2,"")</f>
        <v/>
      </c>
      <c r="AF65" t="str">
        <f>IF(IFERROR(MATCH($B65,temp!B$4:B$13,0),0)&gt;0,T08_Spells!AF$2,"")</f>
        <v/>
      </c>
      <c r="AG65" t="str">
        <f>IF(IFERROR(MATCH($B65,temp!C$4:C$13,0),0)&gt;0,T08_Spells!AG$2,"")</f>
        <v/>
      </c>
      <c r="AH65" t="str">
        <f>IF(IFERROR(MATCH($B65,temp!D$4:D$13,0),0)&gt;0,T08_Spells!AH$2,"")</f>
        <v/>
      </c>
      <c r="AI65" t="str">
        <f>IF(IFERROR(MATCH($B65,temp!E$4:E$13,0),0)&gt;0,T08_Spells!AI$2,"")</f>
        <v/>
      </c>
      <c r="AJ65" t="str">
        <f>IF(IFERROR(MATCH($B65,temp!F$4:F$13,0),0)&gt;0,T08_Spells!AJ$2,"")</f>
        <v/>
      </c>
      <c r="AK65" t="str">
        <f>IF(IFERROR(MATCH($B65,temp!G$4:G$13,0),0)&gt;0,T08_Spells!AK$2,"")</f>
        <v/>
      </c>
      <c r="AL65" t="str">
        <f>IF(IFERROR(MATCH($B65,temp!H$4:H$13,0),0)&gt;0,T08_Spells!AL$2,"")</f>
        <v/>
      </c>
      <c r="AM65" t="str">
        <f>IF(IFERROR(MATCH($B65,temp!I$4:I$13,0),0)&gt;0,T08_Spells!AM$2,"")</f>
        <v/>
      </c>
      <c r="AN65" t="str">
        <f>IF(IFERROR(MATCH($B65,temp!J$4:J$13,0),0)&gt;0,T08_Spells!AN$2,"")</f>
        <v/>
      </c>
      <c r="AO65" t="str">
        <f>IF(IFERROR(MATCH($B65,temp!K$4:K$13,0),0)&gt;0,T08_Spells!AO$2,"")</f>
        <v/>
      </c>
      <c r="AP65" t="str">
        <f>IF(IFERROR(MATCH($B65,temp!L$4:L$13,0),0)&gt;0,T08_Spells!AP$2,"")</f>
        <v/>
      </c>
      <c r="AQ65" t="str">
        <f>IF(IFERROR(MATCH($B65,temp!M$4:M$13,0),0)&gt;0,T08_Spells!AQ$2,"")</f>
        <v/>
      </c>
      <c r="AR65" t="str">
        <f>IF(IFERROR(MATCH($B65,temp!N$4:N$13,0),0)&gt;0,T08_Spells!AR$2,"")</f>
        <v/>
      </c>
      <c r="AS65" t="str">
        <f>IF(IFERROR(MATCH($B65,temp!O$4:O$13,0),0)&gt;0,T08_Spells!AS$2,"")</f>
        <v/>
      </c>
      <c r="AT65" t="str">
        <f>IF(IFERROR(MATCH($B65,temp!P$4:P$13,0),0)&gt;0,T08_Spells!AT$2,"")</f>
        <v/>
      </c>
      <c r="AU65" t="str">
        <f>IF(IFERROR(MATCH($B65,temp!Q$4:Q$13,0),0)&gt;0,T08_Spells!AU$2,"")</f>
        <v/>
      </c>
      <c r="AV65" t="str">
        <f>IF(IFERROR(MATCH($B65,temp!R$4:R$13,0),0)&gt;0,T08_Spells!AV$2,"")</f>
        <v/>
      </c>
      <c r="AW65" t="str">
        <f>IF(IFERROR(MATCH($B65,temp!S$4:S$13,0),0)&gt;0,T08_Spells!AW$2,"")</f>
        <v/>
      </c>
      <c r="AX65" t="str">
        <f>IF(IFERROR(MATCH($B65,temp!T$4:T$13,0),0)&gt;0,T08_Spells!AX$2,"")</f>
        <v/>
      </c>
      <c r="AY65" t="str">
        <f>IF(IFERROR(MATCH($B65,temp!U$4:U$13,0),0)&gt;0,T08_Spells!AY$2,"")</f>
        <v/>
      </c>
      <c r="AZ65" t="str">
        <f>IF(IFERROR(MATCH($B65,temp!V$4:V$13,0),0)&gt;0,T08_Spells!AZ$2,"")</f>
        <v/>
      </c>
      <c r="BA65" t="str">
        <f>IF(IFERROR(MATCH($B65,temp!W$4:W$13,0),0)&gt;0,T08_Spells!BA$2,"")</f>
        <v/>
      </c>
      <c r="BC65">
        <f>IF(IFERROR(SEARCH("Ranger",$T65,1),0)&gt;0,1,0)*IF(RangerMaxSpellLevel&gt;=$C65,1,0)*IF(IFERROR(MATCH(B65,Character_Creation!$X$79:$X$382,0),0)&gt;0,0,1)</f>
        <v>0</v>
      </c>
      <c r="BD65">
        <f>IF(BC65=0,0,1+COUNTIF(BD$3:BD64,"&gt;0"))</f>
        <v>0</v>
      </c>
      <c r="BE65" t="str">
        <f t="shared" si="34"/>
        <v/>
      </c>
      <c r="BF65" t="str">
        <f t="shared" si="6"/>
        <v/>
      </c>
      <c r="BH65">
        <f>IF(IFERROR(SEARCH("Sorcerer",$T65,1),0)&gt;0,1,0)*IF(SorcererMaxSpellLevel&gt;=$C65,1,0)*IF(IFERROR(MATCH(B65,Character_Creation!$J$380:$J$394,0),0)&gt;0,0,1)</f>
        <v>0</v>
      </c>
      <c r="BI65">
        <f>IF(BH65=0,0,1+COUNTIF(BI$3:BI64,"&gt;0"))</f>
        <v>0</v>
      </c>
      <c r="BJ65" t="str">
        <f t="shared" si="35"/>
        <v/>
      </c>
      <c r="BK65" t="str">
        <f t="shared" si="7"/>
        <v/>
      </c>
      <c r="BM65">
        <f>IF(OR(IFERROR(SEARCH("Warlock",$T65,1),0)&gt;0,IFERROR(SEARCH(WarlockPatron,$T65,1),0)&gt;0),1,0)*IF(WarlockMaxSpellLevel&gt;=$C65,1,0)*IF(IFERROR(MATCH(B65,Character_Creation!$J$361:$J$375,0),0)&gt;0,0,1)</f>
        <v>0</v>
      </c>
      <c r="BN65">
        <f>IF(BM65=0,0,1+COUNTIF(BN$3:BN64,"&gt;0"))</f>
        <v>0</v>
      </c>
      <c r="BO65" t="str">
        <f t="shared" si="36"/>
        <v/>
      </c>
      <c r="BP65" t="str">
        <f t="shared" si="8"/>
        <v/>
      </c>
      <c r="BR65">
        <f>IF(IFERROR(SEARCH("Eldritch Knight",$T65,1),0)&gt;0,1,0)*IF(EldritchKnightMaxSpellLevel&gt;=$C65,1,0)*IF(IFERROR(MATCH($B65,Character_Creation!$J$350:$J$356,0),0)&gt;0,0,1)*IF(Character_Creation!$M$338&gt;0,1,0)</f>
        <v>0</v>
      </c>
      <c r="BS65">
        <f>IF(BR65=0,0,1+COUNTIF(BS$3:BS64,"&gt;0"))</f>
        <v>0</v>
      </c>
      <c r="BT65" t="str">
        <f t="shared" si="37"/>
        <v/>
      </c>
      <c r="BU65" t="str">
        <f t="shared" si="9"/>
        <v/>
      </c>
      <c r="BW65">
        <f>IF(IFERROR(SEARCH("Arcane Trickster",$T65,1),0)&gt;0,1,0)*IF(ArcaneTricksterMaxSpellLevel&gt;=$C65,1,0)*IF(IFERROR(MATCH($B65,Character_Creation!$J$350:$J$356,0),0)&gt;0,0,1)*IF(Character_Creation!$T$338&gt;0,1,0)</f>
        <v>0</v>
      </c>
      <c r="BX65">
        <f>IF(BW65=0,0,1+COUNTIF(BX$3:BX64,"&gt;0"))</f>
        <v>0</v>
      </c>
      <c r="BY65" t="str">
        <f t="shared" si="38"/>
        <v/>
      </c>
      <c r="BZ65" t="str">
        <f t="shared" si="10"/>
        <v/>
      </c>
      <c r="CB65">
        <f>IF(IFERROR(SEARCH("Wizard",$T65,1),0)&gt;0,1,0)*IF(C65&lt;=ArcaneTricksterMaxSpellLevel,1,0)*IF(IFERROR(MATCH($B65,Character_Creation!$J$350:$J$356,0),0)&gt;0,0,1)*IF(Character_Creation!$T$350&gt;0,1,0)</f>
        <v>0</v>
      </c>
      <c r="CC65">
        <f>IF(CB65=0,0,1+COUNTIF(CC$3:CC64,"&gt;0"))</f>
        <v>0</v>
      </c>
      <c r="CD65" t="str">
        <f t="shared" si="39"/>
        <v/>
      </c>
      <c r="CE65" t="str">
        <f t="shared" si="11"/>
        <v/>
      </c>
      <c r="CG65">
        <f>IF(IFERROR(SEARCH("Wizard",$T65,1),0)&gt;0,1,0)*IF($C65&lt;=EldritchKnightMaxSpellLevel,1,0)*IF(IFERROR(MATCH($B65,Character_Creation!$J$350:$J$356,0),0)&gt;0,0,1)*IF(Character_Creation!$M$350&gt;0,1,0)</f>
        <v>0</v>
      </c>
      <c r="CH65">
        <f>IF(CG65=0,0,1+COUNTIF(CH$3:CH64,"&gt;0"))</f>
        <v>0</v>
      </c>
      <c r="CI65">
        <f t="shared" si="40"/>
        <v>63</v>
      </c>
      <c r="CJ65" t="str">
        <f t="shared" si="12"/>
        <v>Absorb Elements</v>
      </c>
      <c r="CL65">
        <f>IF(IFERROR(SEARCH("Bard",$T65,1),0)&gt;0,1,0)*IF(BardMaxSpellLevel&gt;=$C65,1,0)*IF(IFERROR(MATCH(B65,Character_Creation!$C$341:$F$362,0),0)&gt;0,0,1)*IF(IFERROR(MATCH($B65,Character_Creation!$C$341:$C$362,0),0)&gt;0,0,1)</f>
        <v>0</v>
      </c>
      <c r="CM65">
        <f>IF(CL65=0,0,1+COUNTIF(CM$3:CM64,"&gt;0"))</f>
        <v>0</v>
      </c>
      <c r="CN65" t="str">
        <f t="shared" si="41"/>
        <v/>
      </c>
      <c r="CO65" t="str">
        <f t="shared" si="13"/>
        <v/>
      </c>
      <c r="CQ65">
        <f>IF(IFERROR(SEARCH("Wizard",$T65,1),0)&gt;0,1,0)*IF(WizardMaxSpellLevel&gt;=$C65,1,0)*IF(IFERROR(MATCH(B65,Character_Creation!$X$341:$X$400,0),0)&gt;0,0,1)*IF(SelectedWizardSpellLevel=$C65,1,0)</f>
        <v>0</v>
      </c>
      <c r="CR65">
        <f>IF(CQ65=0,0,1+COUNTIF(CR$3:CR64,"&gt;0"))</f>
        <v>0</v>
      </c>
      <c r="CS65" t="str">
        <f t="shared" si="42"/>
        <v/>
      </c>
      <c r="CT65" t="str">
        <f t="shared" si="14"/>
        <v/>
      </c>
      <c r="CV65">
        <f>IF(IFERROR(MATCH($B65,Character_Creation!$C$341:$C$362,0),0)&gt;0,0,1)*IF(OR(C65="Cantrip",C65&lt;=BardMaxSpellLevel),1,0)*IF(IFERROR(MATCH($B65,Character_Creation!$C$367:$C$374,0),0)&gt;0,0,1)</f>
        <v>0</v>
      </c>
      <c r="CW65">
        <f>IF(CV65=0,0,1+COUNTIF(CW$3:CW64,"&gt;0"))</f>
        <v>0</v>
      </c>
      <c r="CX65" t="str">
        <f t="shared" si="43"/>
        <v/>
      </c>
      <c r="CY65" t="str">
        <f t="shared" si="15"/>
        <v/>
      </c>
      <c r="DA65">
        <f>IF(IF(OR(IFERROR(SEARCH("Cleric",$T65,1),0)&gt;0,IFERROR(SEARCH(DivineDomain&amp;",",$T65,1),0)&gt;0),1,0)*IF($C65=DA$2,1,0)=1,1+COUNTIF(DA$3:DA64,"&gt;0"),0)</f>
        <v>0</v>
      </c>
      <c r="DB65">
        <f>IF(IF(OR(IFERROR(SEARCH("Cleric",$T65,1),0)&gt;0,IFERROR(SEARCH(DivineDomain&amp;",",$T65,1),0)&gt;0),1,0)*IF($C65=DB$2,1,0)=1,1+COUNTIF(DB$3:DB64,"&gt;0"),0)</f>
        <v>0</v>
      </c>
      <c r="DC65">
        <f>IF(IF(OR(IFERROR(SEARCH("Cleric",$T65,1),0)&gt;0,IFERROR(SEARCH(DivineDomain&amp;",",$T65,1),0)&gt;0),1,0)*IF($C65=DC$2,1,0)=1,1+COUNTIF(DC$3:DC64,"&gt;0"),0)</f>
        <v>0</v>
      </c>
      <c r="DD65">
        <f>IF(IF(OR(IFERROR(SEARCH("Cleric",$T65,1),0)&gt;0,IFERROR(SEARCH(DivineDomain&amp;",",$T65,1),0)&gt;0),1,0)*IF($C65=DD$2,1,0)=1,1+COUNTIF(DD$3:DD64,"&gt;0"),0)</f>
        <v>0</v>
      </c>
      <c r="DE65">
        <f>IF(IF(OR(IFERROR(SEARCH("Cleric",$T65,1),0)&gt;0,IFERROR(SEARCH(DivineDomain&amp;",",$T65,1),0)&gt;0),1,0)*IF($C65=DE$2,1,0)=1,1+COUNTIF(DE$3:DE64,"&gt;0"),0)</f>
        <v>0</v>
      </c>
      <c r="DF65">
        <f>IF(IF(OR(IFERROR(SEARCH("Cleric",$T65,1),0)&gt;0,IFERROR(SEARCH(DivineDomain&amp;",",$T65,1),0)&gt;0),1,0)*IF($C65=DF$2,1,0)=1,1+COUNTIF(DF$3:DF64,"&gt;0"),0)</f>
        <v>0</v>
      </c>
      <c r="DG65">
        <f>IF(IF(OR(IFERROR(SEARCH("Cleric",$T65,1),0)&gt;0,IFERROR(SEARCH(DivineDomain&amp;",",$T65,1),0)&gt;0),1,0)*IF($C65=DG$2,1,0)=1,1+COUNTIF(DG$3:DG64,"&gt;0"),0)</f>
        <v>0</v>
      </c>
      <c r="DH65">
        <f>IF(IF(OR(IFERROR(SEARCH("Cleric",$T65,1),0)&gt;0,IFERROR(SEARCH(DivineDomain&amp;",",$T65,1),0)&gt;0),1,0)*IF($C65=DH$2,1,0)=1,1+COUNTIF(DH$3:DH64,"&gt;0"),0)</f>
        <v>0</v>
      </c>
      <c r="DI65">
        <f>IF(IF(OR(IFERROR(SEARCH("Cleric",$T65,1),0)&gt;0,IFERROR(SEARCH(DivineDomain&amp;",",$T65,1),0)&gt;0),1,0)*IF($C65=DI$2,1,0)=1,1+COUNTIF(DI$3:DI64,"&gt;0"),0)</f>
        <v>0</v>
      </c>
      <c r="DJ65">
        <f>IF(IF(OR(IFERROR(SEARCH("Druid",$T65,1),0)&gt;0,IFERROR(SEARCH(DruidLand1,$T65,1),0)&gt;0,IFERROR(SEARCH(DruidLand2,$T65,1),0)&gt;0,IFERROR(SEARCH(DruidLand3,$T65,1),0)&gt;0,IFERROR(SEARCH(DruidLand4,$T65,1),0)&gt;0),1,0)*IF($C65=1,1,0)*IF($C65=DJ$2,1,0)=0,0,1+COUNTIF(DJ$3:DJ64,"&gt;0"))</f>
        <v>0</v>
      </c>
      <c r="DK65">
        <f>IF(IF(OR(IFERROR(SEARCH("Druid",$T65,1),0)&gt;0,IFERROR(SEARCH(DruidLand1,$T65,1),0)&gt;0,IFERROR(SEARCH(DruidLand2,$T65,1),0)&gt;0,IFERROR(SEARCH(DruidLand3,$T65,1),0)&gt;0,IFERROR(SEARCH(DruidLand4,$T65,1),0)&gt;0),1,0)*IF($C65=DK$2,1,0)=0,0,1+COUNTIF(DK$3:DK64,"&gt;0"))</f>
        <v>0</v>
      </c>
      <c r="DL65">
        <f>IF(IF(OR(IFERROR(SEARCH("Druid",$T65,1),0)&gt;0,IFERROR(SEARCH(DruidLand1,$T65,1),0)&gt;0,IFERROR(SEARCH(DruidLand2,$T65,1),0)&gt;0,IFERROR(SEARCH(DruidLand3,$T65,1),0)&gt;0,IFERROR(SEARCH(DruidLand4,$T65,1),0)&gt;0),1,0)*IF($C65=DL$2,1,0)=0,0,1+COUNTIF(DL$3:DL64,"&gt;0"))</f>
        <v>2</v>
      </c>
      <c r="DM65">
        <f>IF(IF(OR(IFERROR(SEARCH("Druid",$T65,1),0)&gt;0,IFERROR(SEARCH(DruidLand1,$T65,1),0)&gt;0,IFERROR(SEARCH(DruidLand2,$T65,1),0)&gt;0,IFERROR(SEARCH(DruidLand3,$T65,1),0)&gt;0,IFERROR(SEARCH(DruidLand4,$T65,1),0)&gt;0),1,0)*IF($C65=DM$2,1,0)=0,0,1+COUNTIF(DM$3:DM64,"&gt;0"))</f>
        <v>0</v>
      </c>
      <c r="DN65">
        <f>IF(IF(OR(IFERROR(SEARCH("Druid",$T65,1),0)&gt;0,IFERROR(SEARCH(DruidLand1,$T65,1),0)&gt;0,IFERROR(SEARCH(DruidLand2,$T65,1),0)&gt;0,IFERROR(SEARCH(DruidLand3,$T65,1),0)&gt;0,IFERROR(SEARCH(DruidLand4,$T65,1),0)&gt;0),1,0)*IF($C65=DN$2,1,0)=0,0,1+COUNTIF(DN$3:DN64,"&gt;0"))</f>
        <v>0</v>
      </c>
      <c r="DO65">
        <f>IF(IF(OR(IFERROR(SEARCH("Druid",$T65,1),0)&gt;0,IFERROR(SEARCH(DruidLand1,$T65,1),0)&gt;0,IFERROR(SEARCH(DruidLand2,$T65,1),0)&gt;0,IFERROR(SEARCH(DruidLand3,$T65,1),0)&gt;0,IFERROR(SEARCH(DruidLand4,$T65,1),0)&gt;0),1,0)*IF($C65=DO$2,1,0)=0,0,1+COUNTIF(DO$3:DO64,"&gt;0"))</f>
        <v>0</v>
      </c>
      <c r="DP65">
        <f>IF(IF(OR(IFERROR(SEARCH("Druid",$T65,1),0)&gt;0,IFERROR(SEARCH(DruidLand1,$T65,1),0)&gt;0,IFERROR(SEARCH(DruidLand2,$T65,1),0)&gt;0,IFERROR(SEARCH(DruidLand3,$T65,1),0)&gt;0,IFERROR(SEARCH(DruidLand4,$T65,1),0)&gt;0),1,0)*IF($C65=DP$2,1,0)=0,0,1+COUNTIF(DP$3:DP64,"&gt;0"))</f>
        <v>0</v>
      </c>
      <c r="DQ65">
        <f>IF(IF(OR(IFERROR(SEARCH("Druid",$T65,1),0)&gt;0,IFERROR(SEARCH(DruidLand1,$T65,1),0)&gt;0,IFERROR(SEARCH(DruidLand2,$T65,1),0)&gt;0,IFERROR(SEARCH(DruidLand3,$T65,1),0)&gt;0,IFERROR(SEARCH(DruidLand4,$T65,1),0)&gt;0),1,0)*IF($C65=DQ$2,1,0)=0,0,1+COUNTIF(DQ$3:DQ64,"&gt;0"))</f>
        <v>0</v>
      </c>
      <c r="DR65">
        <f>IF(IF(OR(IFERROR(SEARCH("Druid",$T65,1),0)&gt;0,IFERROR(SEARCH(DruidLand1,$T65,1),0)&gt;0,IFERROR(SEARCH(DruidLand2,$T65,1),0)&gt;0,IFERROR(SEARCH(DruidLand3,$T65,1),0)&gt;0,IFERROR(SEARCH(DruidLand4,$T65,1),0)&gt;0),1,0)*IF($C65=DR$2,1,0)=0,0,1+COUNTIF(DR$3:DR64,"&gt;0"))</f>
        <v>0</v>
      </c>
      <c r="DS65">
        <f>IF(IF(OR(IFERROR(SEARCH("Paladin",$T65,1),0)&gt;0,IFERROR(SEARCH(PaladinOath,$T65,1),0)&gt;0),1,0)*IF($C65=DS$2,1,0)=1,1+COUNTIF(DS$3:DS64,"&gt;0"),0)</f>
        <v>0</v>
      </c>
      <c r="DT65">
        <f>IF(IF(OR(IFERROR(SEARCH("Paladin",$T65,1),0)&gt;0,IFERROR(SEARCH(PaladinOath,$T65,1),0)&gt;0),1,0)*IF($C65=DT$2,1,0)=1,1+COUNTIF(DT$3:DT64,"&gt;0"),0)</f>
        <v>0</v>
      </c>
      <c r="DU65">
        <f>IF(IF(OR(IFERROR(SEARCH("Paladin",$T65,1),0)&gt;0,IFERROR(SEARCH(PaladinOath,$T65,1),0)&gt;0),1,0)*IF($C65=DU$2,1,0)=1,1+COUNTIF(DU$3:DU64,"&gt;0"),0)</f>
        <v>0</v>
      </c>
      <c r="DV65">
        <f>IF(IF(OR(IFERROR(SEARCH("Paladin",$T65,1),0)&gt;0,IFERROR(SEARCH(PaladinOath,$T65,1),0)&gt;0),1,0)*IF($C65=DV$2,1,0)=1,1+COUNTIF(DV$3:DV64,"&gt;0"),0)</f>
        <v>0</v>
      </c>
      <c r="DW65">
        <f>IF(IF(OR(IFERROR(SEARCH("Paladin",$T65,1),0)&gt;0,IFERROR(SEARCH(PaladinOath,$T65,1),0)&gt;0),1,0)*IF($C65=DW$2,1,0)=1,1+COUNTIF(DW$3:DW64,"&gt;0"),0)</f>
        <v>0</v>
      </c>
      <c r="DY65">
        <f t="shared" si="2"/>
        <v>1</v>
      </c>
      <c r="DZ65">
        <f>IF(DY65=0,0,1+MAX(DZ$3:$DZ64))</f>
        <v>63</v>
      </c>
      <c r="EB65">
        <f t="shared" si="16"/>
        <v>0</v>
      </c>
      <c r="EC65">
        <f>IF(EB65=0,0,1+COUNTIF(EC$3:EC64,"&gt;0"))</f>
        <v>0</v>
      </c>
      <c r="ED65" t="str">
        <f t="shared" si="44"/>
        <v/>
      </c>
      <c r="EE65" t="str">
        <f t="shared" si="17"/>
        <v/>
      </c>
      <c r="EG65">
        <f t="shared" si="18"/>
        <v>0</v>
      </c>
      <c r="EH65">
        <f>IF(EG65=0,0,1+COUNTIF(EH$3:EH64,"&gt;0"))</f>
        <v>0</v>
      </c>
      <c r="EI65" t="str">
        <f t="shared" si="45"/>
        <v/>
      </c>
      <c r="EJ65" t="str">
        <f t="shared" si="19"/>
        <v/>
      </c>
      <c r="EL65">
        <f t="shared" si="20"/>
        <v>0</v>
      </c>
      <c r="EM65">
        <f>IF(EL65=0,0,1+COUNTIF(EM$3:EM64,"&gt;0"))</f>
        <v>0</v>
      </c>
      <c r="EN65" t="str">
        <f t="shared" si="46"/>
        <v/>
      </c>
      <c r="EO65" t="str">
        <f t="shared" si="21"/>
        <v/>
      </c>
      <c r="EQ65">
        <f t="shared" si="22"/>
        <v>0</v>
      </c>
      <c r="ER65">
        <f>IF(EQ65=0,0,1+COUNTIF(ER$3:ER64,"&gt;0"))</f>
        <v>0</v>
      </c>
      <c r="ES65" t="str">
        <f t="shared" si="47"/>
        <v/>
      </c>
      <c r="ET65" t="str">
        <f t="shared" si="23"/>
        <v/>
      </c>
      <c r="EV65">
        <f t="shared" si="24"/>
        <v>0</v>
      </c>
      <c r="EW65">
        <f>IF(EV65=0,0,1+COUNTIF(EW$3:EW64,"&gt;0"))</f>
        <v>0</v>
      </c>
      <c r="EX65" t="str">
        <f t="shared" si="48"/>
        <v/>
      </c>
      <c r="EY65" t="str">
        <f t="shared" si="25"/>
        <v/>
      </c>
      <c r="FA65">
        <f t="shared" si="26"/>
        <v>0</v>
      </c>
      <c r="FB65">
        <f>IF(FA65=0,0,1+COUNTIF(FB$3:FB64,"&gt;0"))</f>
        <v>0</v>
      </c>
      <c r="FC65" t="str">
        <f t="shared" si="49"/>
        <v/>
      </c>
      <c r="FD65" t="str">
        <f t="shared" si="27"/>
        <v/>
      </c>
      <c r="FF65">
        <f t="shared" si="28"/>
        <v>0</v>
      </c>
      <c r="FG65">
        <f>IF(FF65=0,0,1+COUNTIF(FG$3:FG64,"&gt;0"))</f>
        <v>0</v>
      </c>
      <c r="FH65" t="str">
        <f t="shared" si="50"/>
        <v/>
      </c>
      <c r="FI65" t="str">
        <f t="shared" si="29"/>
        <v/>
      </c>
      <c r="FK65">
        <f t="shared" si="30"/>
        <v>0</v>
      </c>
      <c r="FL65">
        <f>IF(FK65=0,0,1+COUNTIF(FL$3:FL64,"&gt;0"))</f>
        <v>0</v>
      </c>
      <c r="FM65" t="str">
        <f t="shared" si="51"/>
        <v/>
      </c>
      <c r="FN65" t="str">
        <f t="shared" si="31"/>
        <v/>
      </c>
      <c r="FP65">
        <f t="shared" si="32"/>
        <v>0</v>
      </c>
      <c r="FQ65">
        <f>IF(FP65=0,0,1+COUNTIF(FQ$3:FQ64,"&gt;0"))</f>
        <v>0</v>
      </c>
      <c r="FR65" t="str">
        <f t="shared" si="52"/>
        <v/>
      </c>
      <c r="FS65" t="str">
        <f t="shared" si="33"/>
        <v/>
      </c>
    </row>
    <row r="66" spans="1:175" x14ac:dyDescent="0.25">
      <c r="A66" s="347">
        <f t="shared" si="53"/>
        <v>64</v>
      </c>
      <c r="B66" s="348" t="s">
        <v>2427</v>
      </c>
      <c r="C66" s="348">
        <v>3</v>
      </c>
      <c r="D66" s="347">
        <v>3</v>
      </c>
      <c r="E66" s="627" t="s">
        <v>6952</v>
      </c>
      <c r="F66" s="346"/>
      <c r="G66" s="347" t="str">
        <f>""</f>
        <v/>
      </c>
      <c r="H66" s="347" t="s">
        <v>5912</v>
      </c>
      <c r="I66" s="347" t="s">
        <v>5283</v>
      </c>
      <c r="J66" s="347" t="str">
        <f t="shared" si="3"/>
        <v/>
      </c>
      <c r="K66" s="347" t="s">
        <v>5278</v>
      </c>
      <c r="L66" s="611" t="str">
        <f t="shared" si="4"/>
        <v>V, S, M, one piece of ammunition or a thrown weapon</v>
      </c>
      <c r="M66" s="347" t="s">
        <v>2373</v>
      </c>
      <c r="N66" s="347" t="s">
        <v>2387</v>
      </c>
      <c r="O66" s="347" t="s">
        <v>1244</v>
      </c>
      <c r="P66" s="346" t="s">
        <v>5328</v>
      </c>
      <c r="Q66" s="347" t="s">
        <v>5271</v>
      </c>
      <c r="S66" s="346" t="s">
        <v>2428</v>
      </c>
      <c r="T66" s="346" t="str">
        <f t="shared" si="5"/>
        <v xml:space="preserve">Ranger, </v>
      </c>
      <c r="W66" s="347" t="str">
        <f>$B66</f>
        <v>Conjure Barrage</v>
      </c>
      <c r="AE66" t="str">
        <f>IF(IFERROR(MATCH($B66,temp!A$4:A$13,0),0)&gt;0,T08_Spells!AE$2,"")</f>
        <v/>
      </c>
      <c r="AF66" t="str">
        <f>IF(IFERROR(MATCH($B66,temp!B$4:B$13,0),0)&gt;0,T08_Spells!AF$2,"")</f>
        <v/>
      </c>
      <c r="AG66" t="str">
        <f>IF(IFERROR(MATCH($B66,temp!C$4:C$13,0),0)&gt;0,T08_Spells!AG$2,"")</f>
        <v/>
      </c>
      <c r="AH66" t="str">
        <f>IF(IFERROR(MATCH($B66,temp!D$4:D$13,0),0)&gt;0,T08_Spells!AH$2,"")</f>
        <v/>
      </c>
      <c r="AI66" t="str">
        <f>IF(IFERROR(MATCH($B66,temp!E$4:E$13,0),0)&gt;0,T08_Spells!AI$2,"")</f>
        <v/>
      </c>
      <c r="AJ66" t="str">
        <f>IF(IFERROR(MATCH($B66,temp!F$4:F$13,0),0)&gt;0,T08_Spells!AJ$2,"")</f>
        <v/>
      </c>
      <c r="AK66" t="str">
        <f>IF(IFERROR(MATCH($B66,temp!G$4:G$13,0),0)&gt;0,T08_Spells!AK$2,"")</f>
        <v/>
      </c>
      <c r="AL66" t="str">
        <f>IF(IFERROR(MATCH($B66,temp!H$4:H$13,0),0)&gt;0,T08_Spells!AL$2,"")</f>
        <v/>
      </c>
      <c r="AM66" t="str">
        <f>IF(IFERROR(MATCH($B66,temp!I$4:I$13,0),0)&gt;0,T08_Spells!AM$2,"")</f>
        <v/>
      </c>
      <c r="AN66" t="str">
        <f>IF(IFERROR(MATCH($B66,temp!J$4:J$13,0),0)&gt;0,T08_Spells!AN$2,"")</f>
        <v/>
      </c>
      <c r="AO66" t="str">
        <f>IF(IFERROR(MATCH($B66,temp!K$4:K$13,0),0)&gt;0,T08_Spells!AO$2,"")</f>
        <v/>
      </c>
      <c r="AP66" t="str">
        <f>IF(IFERROR(MATCH($B66,temp!L$4:L$13,0),0)&gt;0,T08_Spells!AP$2,"")</f>
        <v/>
      </c>
      <c r="AQ66" t="str">
        <f>IF(IFERROR(MATCH($B66,temp!M$4:M$13,0),0)&gt;0,T08_Spells!AQ$2,"")</f>
        <v/>
      </c>
      <c r="AR66" t="str">
        <f>IF(IFERROR(MATCH($B66,temp!N$4:N$13,0),0)&gt;0,T08_Spells!AR$2,"")</f>
        <v/>
      </c>
      <c r="AS66" t="str">
        <f>IF(IFERROR(MATCH($B66,temp!O$4:O$13,0),0)&gt;0,T08_Spells!AS$2,"")</f>
        <v/>
      </c>
      <c r="AT66" t="str">
        <f>IF(IFERROR(MATCH($B66,temp!P$4:P$13,0),0)&gt;0,T08_Spells!AT$2,"")</f>
        <v/>
      </c>
      <c r="AU66" t="str">
        <f>IF(IFERROR(MATCH($B66,temp!Q$4:Q$13,0),0)&gt;0,T08_Spells!AU$2,"")</f>
        <v/>
      </c>
      <c r="AV66" t="str">
        <f>IF(IFERROR(MATCH($B66,temp!R$4:R$13,0),0)&gt;0,T08_Spells!AV$2,"")</f>
        <v/>
      </c>
      <c r="AW66" t="str">
        <f>IF(IFERROR(MATCH($B66,temp!S$4:S$13,0),0)&gt;0,T08_Spells!AW$2,"")</f>
        <v/>
      </c>
      <c r="AX66" t="str">
        <f>IF(IFERROR(MATCH($B66,temp!T$4:T$13,0),0)&gt;0,T08_Spells!AX$2,"")</f>
        <v/>
      </c>
      <c r="AY66" t="str">
        <f>IF(IFERROR(MATCH($B66,temp!U$4:U$13,0),0)&gt;0,T08_Spells!AY$2,"")</f>
        <v/>
      </c>
      <c r="AZ66" t="str">
        <f>IF(IFERROR(MATCH($B66,temp!V$4:V$13,0),0)&gt;0,T08_Spells!AZ$2,"")</f>
        <v/>
      </c>
      <c r="BA66" t="str">
        <f>IF(IFERROR(MATCH($B66,temp!W$4:W$13,0),0)&gt;0,T08_Spells!BA$2,"")</f>
        <v/>
      </c>
      <c r="BC66">
        <f>IF(IFERROR(SEARCH("Ranger",$T66,1),0)&gt;0,1,0)*IF(RangerMaxSpellLevel&gt;=$C66,1,0)*IF(IFERROR(MATCH(B66,Character_Creation!$X$79:$X$382,0),0)&gt;0,0,1)</f>
        <v>0</v>
      </c>
      <c r="BD66">
        <f>IF(BC66=0,0,1+COUNTIF(BD$3:BD65,"&gt;0"))</f>
        <v>0</v>
      </c>
      <c r="BE66" t="str">
        <f t="shared" si="34"/>
        <v/>
      </c>
      <c r="BF66" t="str">
        <f t="shared" si="6"/>
        <v/>
      </c>
      <c r="BH66">
        <f>IF(IFERROR(SEARCH("Sorcerer",$T66,1),0)&gt;0,1,0)*IF(SorcererMaxSpellLevel&gt;=$C66,1,0)*IF(IFERROR(MATCH(B66,Character_Creation!$J$380:$J$394,0),0)&gt;0,0,1)</f>
        <v>0</v>
      </c>
      <c r="BI66">
        <f>IF(BH66=0,0,1+COUNTIF(BI$3:BI65,"&gt;0"))</f>
        <v>0</v>
      </c>
      <c r="BJ66" t="str">
        <f t="shared" si="35"/>
        <v/>
      </c>
      <c r="BK66" t="str">
        <f t="shared" si="7"/>
        <v/>
      </c>
      <c r="BM66">
        <f>IF(OR(IFERROR(SEARCH("Warlock",$T66,1),0)&gt;0,IFERROR(SEARCH(WarlockPatron,$T66,1),0)&gt;0),1,0)*IF(WarlockMaxSpellLevel&gt;=$C66,1,0)*IF(IFERROR(MATCH(B66,Character_Creation!$J$361:$J$375,0),0)&gt;0,0,1)</f>
        <v>0</v>
      </c>
      <c r="BN66">
        <f>IF(BM66=0,0,1+COUNTIF(BN$3:BN65,"&gt;0"))</f>
        <v>0</v>
      </c>
      <c r="BO66" t="str">
        <f t="shared" si="36"/>
        <v/>
      </c>
      <c r="BP66" t="str">
        <f t="shared" si="8"/>
        <v/>
      </c>
      <c r="BR66">
        <f>IF(IFERROR(SEARCH("Eldritch Knight",$T66,1),0)&gt;0,1,0)*IF(EldritchKnightMaxSpellLevel&gt;=$C66,1,0)*IF(IFERROR(MATCH($B66,Character_Creation!$J$350:$J$356,0),0)&gt;0,0,1)*IF(Character_Creation!$M$338&gt;0,1,0)</f>
        <v>0</v>
      </c>
      <c r="BS66">
        <f>IF(BR66=0,0,1+COUNTIF(BS$3:BS65,"&gt;0"))</f>
        <v>0</v>
      </c>
      <c r="BT66" t="str">
        <f t="shared" si="37"/>
        <v/>
      </c>
      <c r="BU66" t="str">
        <f t="shared" si="9"/>
        <v/>
      </c>
      <c r="BW66">
        <f>IF(IFERROR(SEARCH("Arcane Trickster",$T66,1),0)&gt;0,1,0)*IF(ArcaneTricksterMaxSpellLevel&gt;=$C66,1,0)*IF(IFERROR(MATCH($B66,Character_Creation!$J$350:$J$356,0),0)&gt;0,0,1)*IF(Character_Creation!$T$338&gt;0,1,0)</f>
        <v>0</v>
      </c>
      <c r="BX66">
        <f>IF(BW66=0,0,1+COUNTIF(BX$3:BX65,"&gt;0"))</f>
        <v>0</v>
      </c>
      <c r="BY66" t="str">
        <f t="shared" si="38"/>
        <v/>
      </c>
      <c r="BZ66" t="str">
        <f t="shared" si="10"/>
        <v/>
      </c>
      <c r="CB66">
        <f>IF(IFERROR(SEARCH("Wizard",$T66,1),0)&gt;0,1,0)*IF(C66&lt;=ArcaneTricksterMaxSpellLevel,1,0)*IF(IFERROR(MATCH($B66,Character_Creation!$J$350:$J$356,0),0)&gt;0,0,1)*IF(Character_Creation!$T$350&gt;0,1,0)</f>
        <v>0</v>
      </c>
      <c r="CC66">
        <f>IF(CB66=0,0,1+COUNTIF(CC$3:CC65,"&gt;0"))</f>
        <v>0</v>
      </c>
      <c r="CD66" t="str">
        <f t="shared" si="39"/>
        <v/>
      </c>
      <c r="CE66" t="str">
        <f t="shared" si="11"/>
        <v/>
      </c>
      <c r="CG66">
        <f>IF(IFERROR(SEARCH("Wizard",$T66,1),0)&gt;0,1,0)*IF($C66&lt;=EldritchKnightMaxSpellLevel,1,0)*IF(IFERROR(MATCH($B66,Character_Creation!$J$350:$J$356,0),0)&gt;0,0,1)*IF(Character_Creation!$M$350&gt;0,1,0)</f>
        <v>0</v>
      </c>
      <c r="CH66">
        <f>IF(CG66=0,0,1+COUNTIF(CH$3:CH65,"&gt;0"))</f>
        <v>0</v>
      </c>
      <c r="CI66">
        <f t="shared" si="40"/>
        <v>64</v>
      </c>
      <c r="CJ66" t="str">
        <f t="shared" si="12"/>
        <v>Aganazzar’s Scorcher</v>
      </c>
      <c r="CL66">
        <f>IF(IFERROR(SEARCH("Bard",$T66,1),0)&gt;0,1,0)*IF(BardMaxSpellLevel&gt;=$C66,1,0)*IF(IFERROR(MATCH(B66,Character_Creation!$C$341:$F$362,0),0)&gt;0,0,1)*IF(IFERROR(MATCH($B66,Character_Creation!$C$341:$C$362,0),0)&gt;0,0,1)</f>
        <v>0</v>
      </c>
      <c r="CM66">
        <f>IF(CL66=0,0,1+COUNTIF(CM$3:CM65,"&gt;0"))</f>
        <v>0</v>
      </c>
      <c r="CN66" t="str">
        <f t="shared" si="41"/>
        <v/>
      </c>
      <c r="CO66" t="str">
        <f t="shared" si="13"/>
        <v/>
      </c>
      <c r="CQ66">
        <f>IF(IFERROR(SEARCH("Wizard",$T66,1),0)&gt;0,1,0)*IF(WizardMaxSpellLevel&gt;=$C66,1,0)*IF(IFERROR(MATCH(B66,Character_Creation!$X$341:$X$400,0),0)&gt;0,0,1)*IF(SelectedWizardSpellLevel=$C66,1,0)</f>
        <v>0</v>
      </c>
      <c r="CR66">
        <f>IF(CQ66=0,0,1+COUNTIF(CR$3:CR65,"&gt;0"))</f>
        <v>0</v>
      </c>
      <c r="CS66" t="str">
        <f t="shared" si="42"/>
        <v/>
      </c>
      <c r="CT66" t="str">
        <f t="shared" si="14"/>
        <v/>
      </c>
      <c r="CV66">
        <f>IF(IFERROR(MATCH($B66,Character_Creation!$C$341:$C$362,0),0)&gt;0,0,1)*IF(OR(C66="Cantrip",C66&lt;=BardMaxSpellLevel),1,0)*IF(IFERROR(MATCH($B66,Character_Creation!$C$367:$C$374,0),0)&gt;0,0,1)</f>
        <v>0</v>
      </c>
      <c r="CW66">
        <f>IF(CV66=0,0,1+COUNTIF(CW$3:CW65,"&gt;0"))</f>
        <v>0</v>
      </c>
      <c r="CX66" t="str">
        <f t="shared" si="43"/>
        <v/>
      </c>
      <c r="CY66" t="str">
        <f t="shared" si="15"/>
        <v/>
      </c>
      <c r="DA66">
        <f>IF(IF(OR(IFERROR(SEARCH("Cleric",$T66,1),0)&gt;0,IFERROR(SEARCH(DivineDomain&amp;",",$T66,1),0)&gt;0),1,0)*IF($C66=DA$2,1,0)=1,1+COUNTIF(DA$3:DA65,"&gt;0"),0)</f>
        <v>0</v>
      </c>
      <c r="DB66">
        <f>IF(IF(OR(IFERROR(SEARCH("Cleric",$T66,1),0)&gt;0,IFERROR(SEARCH(DivineDomain&amp;",",$T66,1),0)&gt;0),1,0)*IF($C66=DB$2,1,0)=1,1+COUNTIF(DB$3:DB65,"&gt;0"),0)</f>
        <v>0</v>
      </c>
      <c r="DC66">
        <f>IF(IF(OR(IFERROR(SEARCH("Cleric",$T66,1),0)&gt;0,IFERROR(SEARCH(DivineDomain&amp;",",$T66,1),0)&gt;0),1,0)*IF($C66=DC$2,1,0)=1,1+COUNTIF(DC$3:DC65,"&gt;0"),0)</f>
        <v>0</v>
      </c>
      <c r="DD66">
        <f>IF(IF(OR(IFERROR(SEARCH("Cleric",$T66,1),0)&gt;0,IFERROR(SEARCH(DivineDomain&amp;",",$T66,1),0)&gt;0),1,0)*IF($C66=DD$2,1,0)=1,1+COUNTIF(DD$3:DD65,"&gt;0"),0)</f>
        <v>0</v>
      </c>
      <c r="DE66">
        <f>IF(IF(OR(IFERROR(SEARCH("Cleric",$T66,1),0)&gt;0,IFERROR(SEARCH(DivineDomain&amp;",",$T66,1),0)&gt;0),1,0)*IF($C66=DE$2,1,0)=1,1+COUNTIF(DE$3:DE65,"&gt;0"),0)</f>
        <v>0</v>
      </c>
      <c r="DF66">
        <f>IF(IF(OR(IFERROR(SEARCH("Cleric",$T66,1),0)&gt;0,IFERROR(SEARCH(DivineDomain&amp;",",$T66,1),0)&gt;0),1,0)*IF($C66=DF$2,1,0)=1,1+COUNTIF(DF$3:DF65,"&gt;0"),0)</f>
        <v>0</v>
      </c>
      <c r="DG66">
        <f>IF(IF(OR(IFERROR(SEARCH("Cleric",$T66,1),0)&gt;0,IFERROR(SEARCH(DivineDomain&amp;",",$T66,1),0)&gt;0),1,0)*IF($C66=DG$2,1,0)=1,1+COUNTIF(DG$3:DG65,"&gt;0"),0)</f>
        <v>0</v>
      </c>
      <c r="DH66">
        <f>IF(IF(OR(IFERROR(SEARCH("Cleric",$T66,1),0)&gt;0,IFERROR(SEARCH(DivineDomain&amp;",",$T66,1),0)&gt;0),1,0)*IF($C66=DH$2,1,0)=1,1+COUNTIF(DH$3:DH65,"&gt;0"),0)</f>
        <v>0</v>
      </c>
      <c r="DI66">
        <f>IF(IF(OR(IFERROR(SEARCH("Cleric",$T66,1),0)&gt;0,IFERROR(SEARCH(DivineDomain&amp;",",$T66,1),0)&gt;0),1,0)*IF($C66=DI$2,1,0)=1,1+COUNTIF(DI$3:DI65,"&gt;0"),0)</f>
        <v>0</v>
      </c>
      <c r="DJ66">
        <f>IF(IF(OR(IFERROR(SEARCH("Druid",$T66,1),0)&gt;0,IFERROR(SEARCH(DruidLand1,$T66,1),0)&gt;0,IFERROR(SEARCH(DruidLand2,$T66,1),0)&gt;0,IFERROR(SEARCH(DruidLand3,$T66,1),0)&gt;0,IFERROR(SEARCH(DruidLand4,$T66,1),0)&gt;0),1,0)*IF($C66=1,1,0)*IF($C66=DJ$2,1,0)=0,0,1+COUNTIF(DJ$3:DJ65,"&gt;0"))</f>
        <v>0</v>
      </c>
      <c r="DK66">
        <f>IF(IF(OR(IFERROR(SEARCH("Druid",$T66,1),0)&gt;0,IFERROR(SEARCH(DruidLand1,$T66,1),0)&gt;0,IFERROR(SEARCH(DruidLand2,$T66,1),0)&gt;0,IFERROR(SEARCH(DruidLand3,$T66,1),0)&gt;0,IFERROR(SEARCH(DruidLand4,$T66,1),0)&gt;0),1,0)*IF($C66=1,1,0)*IF($C66=DK$2,1,0)=0,0,1+COUNTIF(DK$3:DK65,"&gt;0"))</f>
        <v>0</v>
      </c>
      <c r="DL66">
        <f>IF(IF(OR(IFERROR(SEARCH("Druid",$T66,1),0)&gt;0,IFERROR(SEARCH(DruidLand1,$T66,1),0)&gt;0,IFERROR(SEARCH(DruidLand2,$T66,1),0)&gt;0,IFERROR(SEARCH(DruidLand3,$T66,1),0)&gt;0,IFERROR(SEARCH(DruidLand4,$T66,1),0)&gt;0),1,0)*IF($C66=1,1,0)*IF($C66=DL$2,1,0)=0,0,1+COUNTIF(DL$3:DL65,"&gt;0"))</f>
        <v>0</v>
      </c>
      <c r="DM66">
        <f>IF(IF(OR(IFERROR(SEARCH("Druid",$T66,1),0)&gt;0,IFERROR(SEARCH(DruidLand1,$T66,1),0)&gt;0,IFERROR(SEARCH(DruidLand2,$T66,1),0)&gt;0,IFERROR(SEARCH(DruidLand3,$T66,1),0)&gt;0,IFERROR(SEARCH(DruidLand4,$T66,1),0)&gt;0),1,0)*IF($C66=1,1,0)*IF($C66=DM$2,1,0)=0,0,1+COUNTIF(DM$3:DM65,"&gt;0"))</f>
        <v>0</v>
      </c>
      <c r="DN66">
        <f>IF(IF(OR(IFERROR(SEARCH("Druid",$T66,1),0)&gt;0,IFERROR(SEARCH(DruidLand1,$T66,1),0)&gt;0,IFERROR(SEARCH(DruidLand2,$T66,1),0)&gt;0,IFERROR(SEARCH(DruidLand3,$T66,1),0)&gt;0,IFERROR(SEARCH(DruidLand4,$T66,1),0)&gt;0),1,0)*IF($C66=1,1,0)*IF($C66=DN$2,1,0)=0,0,1+COUNTIF(DN$3:DN65,"&gt;0"))</f>
        <v>0</v>
      </c>
      <c r="DO66">
        <f>IF(IF(OR(IFERROR(SEARCH("Druid",$T66,1),0)&gt;0,IFERROR(SEARCH(DruidLand1,$T66,1),0)&gt;0,IFERROR(SEARCH(DruidLand2,$T66,1),0)&gt;0,IFERROR(SEARCH(DruidLand3,$T66,1),0)&gt;0,IFERROR(SEARCH(DruidLand4,$T66,1),0)&gt;0),1,0)*IF($C66=1,1,0)*IF($C66=DO$2,1,0)=0,0,1+COUNTIF(DO$3:DO65,"&gt;0"))</f>
        <v>0</v>
      </c>
      <c r="DP66">
        <f>IF(IF(OR(IFERROR(SEARCH("Druid",$T66,1),0)&gt;0,IFERROR(SEARCH(DruidLand1,$T66,1),0)&gt;0,IFERROR(SEARCH(DruidLand2,$T66,1),0)&gt;0,IFERROR(SEARCH(DruidLand3,$T66,1),0)&gt;0,IFERROR(SEARCH(DruidLand4,$T66,1),0)&gt;0),1,0)*IF($C66=1,1,0)*IF($C66=DP$2,1,0)=0,0,1+COUNTIF(DP$3:DP65,"&gt;0"))</f>
        <v>0</v>
      </c>
      <c r="DQ66">
        <f>IF(IF(OR(IFERROR(SEARCH("Druid",$T66,1),0)&gt;0,IFERROR(SEARCH(DruidLand1,$T66,1),0)&gt;0,IFERROR(SEARCH(DruidLand2,$T66,1),0)&gt;0,IFERROR(SEARCH(DruidLand3,$T66,1),0)&gt;0,IFERROR(SEARCH(DruidLand4,$T66,1),0)&gt;0),1,0)*IF($C66=1,1,0)*IF($C66=DQ$2,1,0)=0,0,1+COUNTIF(DQ$3:DQ65,"&gt;0"))</f>
        <v>0</v>
      </c>
      <c r="DR66">
        <f>IF(IF(OR(IFERROR(SEARCH("Druid",$T66,1),0)&gt;0,IFERROR(SEARCH(DruidLand1,$T66,1),0)&gt;0,IFERROR(SEARCH(DruidLand2,$T66,1),0)&gt;0,IFERROR(SEARCH(DruidLand3,$T66,1),0)&gt;0,IFERROR(SEARCH(DruidLand4,$T66,1),0)&gt;0),1,0)*IF($C66=1,1,0)*IF($C66=DR$2,1,0)=0,0,1+COUNTIF(DR$3:DR65,"&gt;0"))</f>
        <v>0</v>
      </c>
      <c r="DS66">
        <f>IF(IF(OR(IFERROR(SEARCH("Paladin",$T66,1),0)&gt;0,IFERROR(SEARCH(PaladinOath,$T66,1),0)&gt;0),1,0)*IF($C66=DS$2,1,0)=1,1+COUNTIF(DS$3:DS65,"&gt;0"),0)</f>
        <v>0</v>
      </c>
      <c r="DT66">
        <f>IF(IF(OR(IFERROR(SEARCH("Paladin",$T66,1),0)&gt;0,IFERROR(SEARCH(PaladinOath,$T66,1),0)&gt;0),1,0)*IF($C66=DT$2,1,0)=1,1+COUNTIF(DT$3:DT65,"&gt;0"),0)</f>
        <v>0</v>
      </c>
      <c r="DU66">
        <f>IF(IF(OR(IFERROR(SEARCH("Paladin",$T66,1),0)&gt;0,IFERROR(SEARCH(PaladinOath,$T66,1),0)&gt;0),1,0)*IF($C66=DU$2,1,0)=1,1+COUNTIF(DU$3:DU65,"&gt;0"),0)</f>
        <v>0</v>
      </c>
      <c r="DV66">
        <f>IF(IF(OR(IFERROR(SEARCH("Paladin",$T66,1),0)&gt;0,IFERROR(SEARCH(PaladinOath,$T66,1),0)&gt;0),1,0)*IF($C66=DV$2,1,0)=1,1+COUNTIF(DV$3:DV65,"&gt;0"),0)</f>
        <v>0</v>
      </c>
      <c r="DW66">
        <f>IF(IF(OR(IFERROR(SEARCH("Paladin",$T66,1),0)&gt;0,IFERROR(SEARCH(PaladinOath,$T66,1),0)&gt;0),1,0)*IF($C66=DW$2,1,0)=1,1+COUNTIF(DW$3:DW65,"&gt;0"),0)</f>
        <v>0</v>
      </c>
      <c r="DY66">
        <f t="shared" si="2"/>
        <v>1</v>
      </c>
      <c r="DZ66">
        <f>IF(DY66=0,0,1+MAX(DZ$3:$DZ65))</f>
        <v>64</v>
      </c>
      <c r="EB66">
        <f t="shared" si="16"/>
        <v>0</v>
      </c>
      <c r="EC66">
        <f>IF(EB66=0,0,1+COUNTIF(EC$3:EC65,"&gt;0"))</f>
        <v>0</v>
      </c>
      <c r="ED66" t="str">
        <f t="shared" si="44"/>
        <v/>
      </c>
      <c r="EE66" t="str">
        <f t="shared" si="17"/>
        <v/>
      </c>
      <c r="EG66">
        <f t="shared" si="18"/>
        <v>0</v>
      </c>
      <c r="EH66">
        <f>IF(EG66=0,0,1+COUNTIF(EH$3:EH65,"&gt;0"))</f>
        <v>0</v>
      </c>
      <c r="EI66" t="str">
        <f t="shared" si="45"/>
        <v/>
      </c>
      <c r="EJ66" t="str">
        <f t="shared" si="19"/>
        <v/>
      </c>
      <c r="EL66">
        <f t="shared" si="20"/>
        <v>0</v>
      </c>
      <c r="EM66">
        <f>IF(EL66=0,0,1+COUNTIF(EM$3:EM65,"&gt;0"))</f>
        <v>0</v>
      </c>
      <c r="EN66" t="str">
        <f t="shared" si="46"/>
        <v/>
      </c>
      <c r="EO66" t="str">
        <f t="shared" si="21"/>
        <v/>
      </c>
      <c r="EQ66">
        <f t="shared" si="22"/>
        <v>0</v>
      </c>
      <c r="ER66">
        <f>IF(EQ66=0,0,1+COUNTIF(ER$3:ER65,"&gt;0"))</f>
        <v>0</v>
      </c>
      <c r="ES66" t="str">
        <f t="shared" si="47"/>
        <v/>
      </c>
      <c r="ET66" t="str">
        <f t="shared" si="23"/>
        <v/>
      </c>
      <c r="EV66">
        <f t="shared" si="24"/>
        <v>0</v>
      </c>
      <c r="EW66">
        <f>IF(EV66=0,0,1+COUNTIF(EW$3:EW65,"&gt;0"))</f>
        <v>0</v>
      </c>
      <c r="EX66" t="str">
        <f t="shared" si="48"/>
        <v/>
      </c>
      <c r="EY66" t="str">
        <f t="shared" si="25"/>
        <v/>
      </c>
      <c r="FA66">
        <f t="shared" si="26"/>
        <v>0</v>
      </c>
      <c r="FB66">
        <f>IF(FA66=0,0,1+COUNTIF(FB$3:FB65,"&gt;0"))</f>
        <v>0</v>
      </c>
      <c r="FC66" t="str">
        <f t="shared" si="49"/>
        <v/>
      </c>
      <c r="FD66" t="str">
        <f t="shared" si="27"/>
        <v/>
      </c>
      <c r="FF66">
        <f t="shared" si="28"/>
        <v>0</v>
      </c>
      <c r="FG66">
        <f>IF(FF66=0,0,1+COUNTIF(FG$3:FG65,"&gt;0"))</f>
        <v>0</v>
      </c>
      <c r="FH66" t="str">
        <f t="shared" si="50"/>
        <v/>
      </c>
      <c r="FI66" t="str">
        <f t="shared" si="29"/>
        <v/>
      </c>
      <c r="FK66">
        <f t="shared" si="30"/>
        <v>0</v>
      </c>
      <c r="FL66">
        <f>IF(FK66=0,0,1+COUNTIF(FL$3:FL65,"&gt;0"))</f>
        <v>0</v>
      </c>
      <c r="FM66" t="str">
        <f t="shared" si="51"/>
        <v/>
      </c>
      <c r="FN66" t="str">
        <f t="shared" si="31"/>
        <v/>
      </c>
      <c r="FP66">
        <f t="shared" si="32"/>
        <v>0</v>
      </c>
      <c r="FQ66">
        <f>IF(FP66=0,0,1+COUNTIF(FQ$3:FQ65,"&gt;0"))</f>
        <v>0</v>
      </c>
      <c r="FR66" t="str">
        <f t="shared" si="52"/>
        <v/>
      </c>
      <c r="FS66" t="str">
        <f t="shared" si="33"/>
        <v/>
      </c>
    </row>
    <row r="67" spans="1:175" x14ac:dyDescent="0.25">
      <c r="A67" s="347">
        <f t="shared" si="53"/>
        <v>65</v>
      </c>
      <c r="B67" s="348" t="s">
        <v>2429</v>
      </c>
      <c r="C67" s="348">
        <v>7</v>
      </c>
      <c r="D67" s="347">
        <v>7</v>
      </c>
      <c r="E67" s="627" t="s">
        <v>6952</v>
      </c>
      <c r="F67" s="346"/>
      <c r="G67" s="347" t="str">
        <f>""</f>
        <v/>
      </c>
      <c r="H67" s="347" t="s">
        <v>5288</v>
      </c>
      <c r="I67" s="347" t="s">
        <v>5312</v>
      </c>
      <c r="J67" s="347" t="str">
        <f t="shared" si="3"/>
        <v/>
      </c>
      <c r="K67" s="347" t="s">
        <v>5284</v>
      </c>
      <c r="L67" s="611" t="str">
        <f t="shared" si="4"/>
        <v>V, S</v>
      </c>
      <c r="M67" s="347" t="s">
        <v>2373</v>
      </c>
      <c r="N67" s="347" t="s">
        <v>2387</v>
      </c>
      <c r="O67" s="347" t="s">
        <v>3034</v>
      </c>
      <c r="P67" s="346" t="str">
        <f>""</f>
        <v/>
      </c>
      <c r="Q67" s="347" t="s">
        <v>5271</v>
      </c>
      <c r="S67" s="346" t="s">
        <v>5634</v>
      </c>
      <c r="T67" s="346" t="str">
        <f t="shared" si="5"/>
        <v xml:space="preserve">Cleric, </v>
      </c>
      <c r="Z67" s="347" t="str">
        <f>$B67</f>
        <v>Conjure Celestial</v>
      </c>
      <c r="AE67" t="str">
        <f>IF(IFERROR(MATCH($B67,temp!A$4:A$13,0),0)&gt;0,T08_Spells!AE$2,"")</f>
        <v/>
      </c>
      <c r="AF67" t="str">
        <f>IF(IFERROR(MATCH($B67,temp!B$4:B$13,0),0)&gt;0,T08_Spells!AF$2,"")</f>
        <v/>
      </c>
      <c r="AG67" t="str">
        <f>IF(IFERROR(MATCH($B67,temp!C$4:C$13,0),0)&gt;0,T08_Spells!AG$2,"")</f>
        <v/>
      </c>
      <c r="AH67" t="str">
        <f>IF(IFERROR(MATCH($B67,temp!D$4:D$13,0),0)&gt;0,T08_Spells!AH$2,"")</f>
        <v/>
      </c>
      <c r="AI67" t="str">
        <f>IF(IFERROR(MATCH($B67,temp!E$4:E$13,0),0)&gt;0,T08_Spells!AI$2,"")</f>
        <v/>
      </c>
      <c r="AJ67" t="str">
        <f>IF(IFERROR(MATCH($B67,temp!F$4:F$13,0),0)&gt;0,T08_Spells!AJ$2,"")</f>
        <v/>
      </c>
      <c r="AK67" t="str">
        <f>IF(IFERROR(MATCH($B67,temp!G$4:G$13,0),0)&gt;0,T08_Spells!AK$2,"")</f>
        <v/>
      </c>
      <c r="AL67" t="str">
        <f>IF(IFERROR(MATCH($B67,temp!H$4:H$13,0),0)&gt;0,T08_Spells!AL$2,"")</f>
        <v/>
      </c>
      <c r="AM67" t="str">
        <f>IF(IFERROR(MATCH($B67,temp!I$4:I$13,0),0)&gt;0,T08_Spells!AM$2,"")</f>
        <v/>
      </c>
      <c r="AN67" t="str">
        <f>IF(IFERROR(MATCH($B67,temp!J$4:J$13,0),0)&gt;0,T08_Spells!AN$2,"")</f>
        <v/>
      </c>
      <c r="AO67" t="str">
        <f>IF(IFERROR(MATCH($B67,temp!K$4:K$13,0),0)&gt;0,T08_Spells!AO$2,"")</f>
        <v/>
      </c>
      <c r="AP67" t="str">
        <f>IF(IFERROR(MATCH($B67,temp!L$4:L$13,0),0)&gt;0,T08_Spells!AP$2,"")</f>
        <v/>
      </c>
      <c r="AQ67" t="str">
        <f>IF(IFERROR(MATCH($B67,temp!M$4:M$13,0),0)&gt;0,T08_Spells!AQ$2,"")</f>
        <v/>
      </c>
      <c r="AR67" t="str">
        <f>IF(IFERROR(MATCH($B67,temp!N$4:N$13,0),0)&gt;0,T08_Spells!AR$2,"")</f>
        <v/>
      </c>
      <c r="AS67" t="str">
        <f>IF(IFERROR(MATCH($B67,temp!O$4:O$13,0),0)&gt;0,T08_Spells!AS$2,"")</f>
        <v/>
      </c>
      <c r="AT67" t="str">
        <f>IF(IFERROR(MATCH($B67,temp!P$4:P$13,0),0)&gt;0,T08_Spells!AT$2,"")</f>
        <v/>
      </c>
      <c r="AU67" t="str">
        <f>IF(IFERROR(MATCH($B67,temp!Q$4:Q$13,0),0)&gt;0,T08_Spells!AU$2,"")</f>
        <v/>
      </c>
      <c r="AV67" t="str">
        <f>IF(IFERROR(MATCH($B67,temp!R$4:R$13,0),0)&gt;0,T08_Spells!AV$2,"")</f>
        <v/>
      </c>
      <c r="AW67" t="str">
        <f>IF(IFERROR(MATCH($B67,temp!S$4:S$13,0),0)&gt;0,T08_Spells!AW$2,"")</f>
        <v/>
      </c>
      <c r="AX67" t="str">
        <f>IF(IFERROR(MATCH($B67,temp!T$4:T$13,0),0)&gt;0,T08_Spells!AX$2,"")</f>
        <v/>
      </c>
      <c r="AY67" t="str">
        <f>IF(IFERROR(MATCH($B67,temp!U$4:U$13,0),0)&gt;0,T08_Spells!AY$2,"")</f>
        <v/>
      </c>
      <c r="AZ67" t="str">
        <f>IF(IFERROR(MATCH($B67,temp!V$4:V$13,0),0)&gt;0,T08_Spells!AZ$2,"")</f>
        <v/>
      </c>
      <c r="BA67" t="str">
        <f>IF(IFERROR(MATCH($B67,temp!W$4:W$13,0),0)&gt;0,T08_Spells!BA$2,"")</f>
        <v/>
      </c>
      <c r="BC67">
        <f>IF(IFERROR(SEARCH("Ranger",$T67,1),0)&gt;0,1,0)*IF(RangerMaxSpellLevel&gt;=$C67,1,0)*IF(IFERROR(MATCH(B67,Character_Creation!$X$79:$X$382,0),0)&gt;0,0,1)</f>
        <v>0</v>
      </c>
      <c r="BD67">
        <f>IF(BC67=0,0,1+COUNTIF(BD$3:BD66,"&gt;0"))</f>
        <v>0</v>
      </c>
      <c r="BE67" t="str">
        <f t="shared" si="34"/>
        <v/>
      </c>
      <c r="BF67" t="str">
        <f t="shared" si="6"/>
        <v/>
      </c>
      <c r="BH67">
        <f>IF(IFERROR(SEARCH("Sorcerer",$T67,1),0)&gt;0,1,0)*IF(SorcererMaxSpellLevel&gt;=$C67,1,0)*IF(IFERROR(MATCH(B67,Character_Creation!$J$380:$J$394,0),0)&gt;0,0,1)</f>
        <v>0</v>
      </c>
      <c r="BI67">
        <f>IF(BH67=0,0,1+COUNTIF(BI$3:BI66,"&gt;0"))</f>
        <v>0</v>
      </c>
      <c r="BJ67" t="str">
        <f t="shared" si="35"/>
        <v/>
      </c>
      <c r="BK67" t="str">
        <f t="shared" si="7"/>
        <v/>
      </c>
      <c r="BM67">
        <f>IF(OR(IFERROR(SEARCH("Warlock",$T67,1),0)&gt;0,IFERROR(SEARCH(WarlockPatron,$T67,1),0)&gt;0),1,0)*IF(WarlockMaxSpellLevel&gt;=$C67,1,0)*IF(IFERROR(MATCH(B67,Character_Creation!$J$361:$J$375,0),0)&gt;0,0,1)</f>
        <v>0</v>
      </c>
      <c r="BN67">
        <f>IF(BM67=0,0,1+COUNTIF(BN$3:BN66,"&gt;0"))</f>
        <v>0</v>
      </c>
      <c r="BO67" t="str">
        <f t="shared" si="36"/>
        <v/>
      </c>
      <c r="BP67" t="str">
        <f t="shared" si="8"/>
        <v/>
      </c>
      <c r="BR67">
        <f>IF(IFERROR(SEARCH("Eldritch Knight",$T67,1),0)&gt;0,1,0)*IF(EldritchKnightMaxSpellLevel&gt;=$C67,1,0)*IF(IFERROR(MATCH($B67,Character_Creation!$J$350:$J$356,0),0)&gt;0,0,1)*IF(Character_Creation!$M$338&gt;0,1,0)</f>
        <v>0</v>
      </c>
      <c r="BS67">
        <f>IF(BR67=0,0,1+COUNTIF(BS$3:BS66,"&gt;0"))</f>
        <v>0</v>
      </c>
      <c r="BT67" t="str">
        <f t="shared" si="37"/>
        <v/>
      </c>
      <c r="BU67" t="str">
        <f t="shared" si="9"/>
        <v/>
      </c>
      <c r="BW67">
        <f>IF(IFERROR(SEARCH("Arcane Trickster",$T67,1),0)&gt;0,1,0)*IF(ArcaneTricksterMaxSpellLevel&gt;=$C67,1,0)*IF(IFERROR(MATCH($B67,Character_Creation!$J$350:$J$356,0),0)&gt;0,0,1)*IF(Character_Creation!$T$338&gt;0,1,0)</f>
        <v>0</v>
      </c>
      <c r="BX67">
        <f>IF(BW67=0,0,1+COUNTIF(BX$3:BX66,"&gt;0"))</f>
        <v>0</v>
      </c>
      <c r="BY67" t="str">
        <f t="shared" si="38"/>
        <v/>
      </c>
      <c r="BZ67" t="str">
        <f t="shared" si="10"/>
        <v/>
      </c>
      <c r="CB67">
        <f>IF(IFERROR(SEARCH("Wizard",$T67,1),0)&gt;0,1,0)*IF(C67&lt;=ArcaneTricksterMaxSpellLevel,1,0)*IF(IFERROR(MATCH($B67,Character_Creation!$J$350:$J$356,0),0)&gt;0,0,1)*IF(Character_Creation!$T$350&gt;0,1,0)</f>
        <v>0</v>
      </c>
      <c r="CC67">
        <f>IF(CB67=0,0,1+COUNTIF(CC$3:CC66,"&gt;0"))</f>
        <v>0</v>
      </c>
      <c r="CD67" t="str">
        <f t="shared" si="39"/>
        <v/>
      </c>
      <c r="CE67" t="str">
        <f t="shared" si="11"/>
        <v/>
      </c>
      <c r="CG67">
        <f>IF(IFERROR(SEARCH("Wizard",$T67,1),0)&gt;0,1,0)*IF($C67&lt;=EldritchKnightMaxSpellLevel,1,0)*IF(IFERROR(MATCH($B67,Character_Creation!$J$350:$J$356,0),0)&gt;0,0,1)*IF(Character_Creation!$M$350&gt;0,1,0)</f>
        <v>0</v>
      </c>
      <c r="CH67">
        <f>IF(CG67=0,0,1+COUNTIF(CH$3:CH66,"&gt;0"))</f>
        <v>0</v>
      </c>
      <c r="CI67">
        <f t="shared" si="40"/>
        <v>65</v>
      </c>
      <c r="CJ67" t="str">
        <f t="shared" si="12"/>
        <v>Catapult</v>
      </c>
      <c r="CL67">
        <f>IF(IFERROR(SEARCH("Bard",$T67,1),0)&gt;0,1,0)*IF(BardMaxSpellLevel&gt;=$C67,1,0)*IF(IFERROR(MATCH(B67,Character_Creation!$C$341:$F$362,0),0)&gt;0,0,1)*IF(IFERROR(MATCH($B67,Character_Creation!$C$341:$C$362,0),0)&gt;0,0,1)</f>
        <v>0</v>
      </c>
      <c r="CM67">
        <f>IF(CL67=0,0,1+COUNTIF(CM$3:CM66,"&gt;0"))</f>
        <v>0</v>
      </c>
      <c r="CN67" t="str">
        <f t="shared" si="41"/>
        <v/>
      </c>
      <c r="CO67" t="str">
        <f t="shared" si="13"/>
        <v/>
      </c>
      <c r="CQ67">
        <f>IF(IFERROR(SEARCH("Wizard",$T67,1),0)&gt;0,1,0)*IF(WizardMaxSpellLevel&gt;=$C67,1,0)*IF(IFERROR(MATCH(B67,Character_Creation!$X$341:$X$400,0),0)&gt;0,0,1)*IF(SelectedWizardSpellLevel=$C67,1,0)</f>
        <v>0</v>
      </c>
      <c r="CR67">
        <f>IF(CQ67=0,0,1+COUNTIF(CR$3:CR66,"&gt;0"))</f>
        <v>0</v>
      </c>
      <c r="CS67" t="str">
        <f t="shared" si="42"/>
        <v/>
      </c>
      <c r="CT67" t="str">
        <f t="shared" si="14"/>
        <v/>
      </c>
      <c r="CV67">
        <f>IF(IFERROR(MATCH($B67,Character_Creation!$C$341:$C$362,0),0)&gt;0,0,1)*IF(OR(C67="Cantrip",C67&lt;=BardMaxSpellLevel),1,0)*IF(IFERROR(MATCH($B67,Character_Creation!$C$367:$C$374,0),0)&gt;0,0,1)</f>
        <v>0</v>
      </c>
      <c r="CW67">
        <f>IF(CV67=0,0,1+COUNTIF(CW$3:CW66,"&gt;0"))</f>
        <v>0</v>
      </c>
      <c r="CX67" t="str">
        <f t="shared" si="43"/>
        <v/>
      </c>
      <c r="CY67" t="str">
        <f t="shared" si="15"/>
        <v/>
      </c>
      <c r="DA67">
        <f>IF(IF(OR(IFERROR(SEARCH("Cleric",$T67,1),0)&gt;0,IFERROR(SEARCH(DivineDomain&amp;",",$T67,1),0)&gt;0),1,0)*IF($C67=DA$2,1,0)=1,1+COUNTIF(DA$3:DA66,"&gt;0"),0)</f>
        <v>0</v>
      </c>
      <c r="DB67">
        <f>IF(IF(OR(IFERROR(SEARCH("Cleric",$T67,1),0)&gt;0,IFERROR(SEARCH(DivineDomain&amp;",",$T67,1),0)&gt;0),1,0)*IF($C67=DB$2,1,0)=1,1+COUNTIF(DB$3:DB66,"&gt;0"),0)</f>
        <v>0</v>
      </c>
      <c r="DC67">
        <f>IF(IF(OR(IFERROR(SEARCH("Cleric",$T67,1),0)&gt;0,IFERROR(SEARCH(DivineDomain&amp;",",$T67,1),0)&gt;0),1,0)*IF($C67=DC$2,1,0)=1,1+COUNTIF(DC$3:DC66,"&gt;0"),0)</f>
        <v>0</v>
      </c>
      <c r="DD67">
        <f>IF(IF(OR(IFERROR(SEARCH("Cleric",$T67,1),0)&gt;0,IFERROR(SEARCH(DivineDomain&amp;",",$T67,1),0)&gt;0),1,0)*IF($C67=DD$2,1,0)=1,1+COUNTIF(DD$3:DD66,"&gt;0"),0)</f>
        <v>0</v>
      </c>
      <c r="DE67">
        <f>IF(IF(OR(IFERROR(SEARCH("Cleric",$T67,1),0)&gt;0,IFERROR(SEARCH(DivineDomain&amp;",",$T67,1),0)&gt;0),1,0)*IF($C67=DE$2,1,0)=1,1+COUNTIF(DE$3:DE66,"&gt;0"),0)</f>
        <v>0</v>
      </c>
      <c r="DF67">
        <f>IF(IF(OR(IFERROR(SEARCH("Cleric",$T67,1),0)&gt;0,IFERROR(SEARCH(DivineDomain&amp;",",$T67,1),0)&gt;0),1,0)*IF($C67=DF$2,1,0)=1,1+COUNTIF(DF$3:DF66,"&gt;0"),0)</f>
        <v>0</v>
      </c>
      <c r="DG67">
        <f>IF(IF(OR(IFERROR(SEARCH("Cleric",$T67,1),0)&gt;0,IFERROR(SEARCH(DivineDomain&amp;",",$T67,1),0)&gt;0),1,0)*IF($C67=DG$2,1,0)=1,1+COUNTIF(DG$3:DG66,"&gt;0"),0)</f>
        <v>1</v>
      </c>
      <c r="DH67">
        <f>IF(IF(OR(IFERROR(SEARCH("Cleric",$T67,1),0)&gt;0,IFERROR(SEARCH(DivineDomain&amp;",",$T67,1),0)&gt;0),1,0)*IF($C67=DH$2,1,0)=1,1+COUNTIF(DH$3:DH66,"&gt;0"),0)</f>
        <v>0</v>
      </c>
      <c r="DI67">
        <f>IF(IF(OR(IFERROR(SEARCH("Cleric",$T67,1),0)&gt;0,IFERROR(SEARCH(DivineDomain&amp;",",$T67,1),0)&gt;0),1,0)*IF($C67=DI$2,1,0)=1,1+COUNTIF(DI$3:DI66,"&gt;0"),0)</f>
        <v>0</v>
      </c>
      <c r="DJ67">
        <f>IF(IF(OR(IFERROR(SEARCH("Druid",$T67,1),0)&gt;0,IFERROR(SEARCH(DruidLand1,$T67,1),0)&gt;0,IFERROR(SEARCH(DruidLand2,$T67,1),0)&gt;0,IFERROR(SEARCH(DruidLand3,$T67,1),0)&gt;0,IFERROR(SEARCH(DruidLand4,$T67,1),0)&gt;0),1,0)*IF($C67=1,1,0)*IF($C67=DJ$2,1,0)=0,0,1+COUNTIF(DJ$3:DJ66,"&gt;0"))</f>
        <v>0</v>
      </c>
      <c r="DK67">
        <f>IF(IF(OR(IFERROR(SEARCH("Druid",$T67,1),0)&gt;0,IFERROR(SEARCH(DruidLand1,$T67,1),0)&gt;0,IFERROR(SEARCH(DruidLand2,$T67,1),0)&gt;0,IFERROR(SEARCH(DruidLand3,$T67,1),0)&gt;0,IFERROR(SEARCH(DruidLand4,$T67,1),0)&gt;0),1,0)*IF($C67=1,1,0)*IF($C67=DK$2,1,0)=0,0,1+COUNTIF(DK$3:DK66,"&gt;0"))</f>
        <v>0</v>
      </c>
      <c r="DL67">
        <f>IF(IF(OR(IFERROR(SEARCH("Druid",$T67,1),0)&gt;0,IFERROR(SEARCH(DruidLand1,$T67,1),0)&gt;0,IFERROR(SEARCH(DruidLand2,$T67,1),0)&gt;0,IFERROR(SEARCH(DruidLand3,$T67,1),0)&gt;0,IFERROR(SEARCH(DruidLand4,$T67,1),0)&gt;0),1,0)*IF($C67=1,1,0)*IF($C67=DL$2,1,0)=0,0,1+COUNTIF(DL$3:DL66,"&gt;0"))</f>
        <v>0</v>
      </c>
      <c r="DM67">
        <f>IF(IF(OR(IFERROR(SEARCH("Druid",$T67,1),0)&gt;0,IFERROR(SEARCH(DruidLand1,$T67,1),0)&gt;0,IFERROR(SEARCH(DruidLand2,$T67,1),0)&gt;0,IFERROR(SEARCH(DruidLand3,$T67,1),0)&gt;0,IFERROR(SEARCH(DruidLand4,$T67,1),0)&gt;0),1,0)*IF($C67=1,1,0)*IF($C67=DM$2,1,0)=0,0,1+COUNTIF(DM$3:DM66,"&gt;0"))</f>
        <v>0</v>
      </c>
      <c r="DN67">
        <f>IF(IF(OR(IFERROR(SEARCH("Druid",$T67,1),0)&gt;0,IFERROR(SEARCH(DruidLand1,$T67,1),0)&gt;0,IFERROR(SEARCH(DruidLand2,$T67,1),0)&gt;0,IFERROR(SEARCH(DruidLand3,$T67,1),0)&gt;0,IFERROR(SEARCH(DruidLand4,$T67,1),0)&gt;0),1,0)*IF($C67=1,1,0)*IF($C67=DN$2,1,0)=0,0,1+COUNTIF(DN$3:DN66,"&gt;0"))</f>
        <v>0</v>
      </c>
      <c r="DO67">
        <f>IF(IF(OR(IFERROR(SEARCH("Druid",$T67,1),0)&gt;0,IFERROR(SEARCH(DruidLand1,$T67,1),0)&gt;0,IFERROR(SEARCH(DruidLand2,$T67,1),0)&gt;0,IFERROR(SEARCH(DruidLand3,$T67,1),0)&gt;0,IFERROR(SEARCH(DruidLand4,$T67,1),0)&gt;0),1,0)*IF($C67=1,1,0)*IF($C67=DO$2,1,0)=0,0,1+COUNTIF(DO$3:DO66,"&gt;0"))</f>
        <v>0</v>
      </c>
      <c r="DP67">
        <f>IF(IF(OR(IFERROR(SEARCH("Druid",$T67,1),0)&gt;0,IFERROR(SEARCH(DruidLand1,$T67,1),0)&gt;0,IFERROR(SEARCH(DruidLand2,$T67,1),0)&gt;0,IFERROR(SEARCH(DruidLand3,$T67,1),0)&gt;0,IFERROR(SEARCH(DruidLand4,$T67,1),0)&gt;0),1,0)*IF($C67=1,1,0)*IF($C67=DP$2,1,0)=0,0,1+COUNTIF(DP$3:DP66,"&gt;0"))</f>
        <v>0</v>
      </c>
      <c r="DQ67">
        <f>IF(IF(OR(IFERROR(SEARCH("Druid",$T67,1),0)&gt;0,IFERROR(SEARCH(DruidLand1,$T67,1),0)&gt;0,IFERROR(SEARCH(DruidLand2,$T67,1),0)&gt;0,IFERROR(SEARCH(DruidLand3,$T67,1),0)&gt;0,IFERROR(SEARCH(DruidLand4,$T67,1),0)&gt;0),1,0)*IF($C67=1,1,0)*IF($C67=DQ$2,1,0)=0,0,1+COUNTIF(DQ$3:DQ66,"&gt;0"))</f>
        <v>0</v>
      </c>
      <c r="DR67">
        <f>IF(IF(OR(IFERROR(SEARCH("Druid",$T67,1),0)&gt;0,IFERROR(SEARCH(DruidLand1,$T67,1),0)&gt;0,IFERROR(SEARCH(DruidLand2,$T67,1),0)&gt;0,IFERROR(SEARCH(DruidLand3,$T67,1),0)&gt;0,IFERROR(SEARCH(DruidLand4,$T67,1),0)&gt;0),1,0)*IF($C67=1,1,0)*IF($C67=DR$2,1,0)=0,0,1+COUNTIF(DR$3:DR66,"&gt;0"))</f>
        <v>0</v>
      </c>
      <c r="DS67">
        <f>IF(IF(OR(IFERROR(SEARCH("Paladin",$T67,1),0)&gt;0,IFERROR(SEARCH(PaladinOath,$T67,1),0)&gt;0),1,0)*IF($C67=DS$2,1,0)=1,1+COUNTIF(DS$3:DS66,"&gt;0"),0)</f>
        <v>0</v>
      </c>
      <c r="DT67">
        <f>IF(IF(OR(IFERROR(SEARCH("Paladin",$T67,1),0)&gt;0,IFERROR(SEARCH(PaladinOath,$T67,1),0)&gt;0),1,0)*IF($C67=DT$2,1,0)=1,1+COUNTIF(DT$3:DT66,"&gt;0"),0)</f>
        <v>0</v>
      </c>
      <c r="DU67">
        <f>IF(IF(OR(IFERROR(SEARCH("Paladin",$T67,1),0)&gt;0,IFERROR(SEARCH(PaladinOath,$T67,1),0)&gt;0),1,0)*IF($C67=DU$2,1,0)=1,1+COUNTIF(DU$3:DU66,"&gt;0"),0)</f>
        <v>0</v>
      </c>
      <c r="DV67">
        <f>IF(IF(OR(IFERROR(SEARCH("Paladin",$T67,1),0)&gt;0,IFERROR(SEARCH(PaladinOath,$T67,1),0)&gt;0),1,0)*IF($C67=DV$2,1,0)=1,1+COUNTIF(DV$3:DV66,"&gt;0"),0)</f>
        <v>0</v>
      </c>
      <c r="DW67">
        <f>IF(IF(OR(IFERROR(SEARCH("Paladin",$T67,1),0)&gt;0,IFERROR(SEARCH(PaladinOath,$T67,1),0)&gt;0),1,0)*IF($C67=DW$2,1,0)=1,1+COUNTIF(DW$3:DW66,"&gt;0"),0)</f>
        <v>0</v>
      </c>
      <c r="DY67">
        <f t="shared" ref="DY67:DY130" si="56">IF(IFERROR(SEARCH(FavoredSoul_Domain&amp;",",$T67,1),0)&gt;0,1,0)</f>
        <v>1</v>
      </c>
      <c r="DZ67">
        <f>IF(DY67=0,0,1+MAX(DZ$3:$DZ66))</f>
        <v>65</v>
      </c>
      <c r="EB67">
        <f t="shared" si="16"/>
        <v>0</v>
      </c>
      <c r="EC67">
        <f>IF(EB67=0,0,1+COUNTIF(EC$3:EC66,"&gt;0"))</f>
        <v>0</v>
      </c>
      <c r="ED67" t="str">
        <f t="shared" si="44"/>
        <v/>
      </c>
      <c r="EE67" t="str">
        <f t="shared" si="17"/>
        <v/>
      </c>
      <c r="EG67">
        <f t="shared" si="18"/>
        <v>0</v>
      </c>
      <c r="EH67">
        <f>IF(EG67=0,0,1+COUNTIF(EH$3:EH66,"&gt;0"))</f>
        <v>0</v>
      </c>
      <c r="EI67" t="str">
        <f t="shared" si="45"/>
        <v/>
      </c>
      <c r="EJ67" t="str">
        <f t="shared" si="19"/>
        <v/>
      </c>
      <c r="EL67">
        <f t="shared" si="20"/>
        <v>0</v>
      </c>
      <c r="EM67">
        <f>IF(EL67=0,0,1+COUNTIF(EM$3:EM66,"&gt;0"))</f>
        <v>0</v>
      </c>
      <c r="EN67" t="str">
        <f t="shared" si="46"/>
        <v/>
      </c>
      <c r="EO67" t="str">
        <f t="shared" si="21"/>
        <v/>
      </c>
      <c r="EQ67">
        <f t="shared" si="22"/>
        <v>0</v>
      </c>
      <c r="ER67">
        <f>IF(EQ67=0,0,1+COUNTIF(ER$3:ER66,"&gt;0"))</f>
        <v>0</v>
      </c>
      <c r="ES67" t="str">
        <f t="shared" si="47"/>
        <v/>
      </c>
      <c r="ET67" t="str">
        <f t="shared" si="23"/>
        <v/>
      </c>
      <c r="EV67">
        <f t="shared" si="24"/>
        <v>0</v>
      </c>
      <c r="EW67">
        <f>IF(EV67=0,0,1+COUNTIF(EW$3:EW66,"&gt;0"))</f>
        <v>0</v>
      </c>
      <c r="EX67" t="str">
        <f t="shared" si="48"/>
        <v/>
      </c>
      <c r="EY67" t="str">
        <f t="shared" si="25"/>
        <v/>
      </c>
      <c r="FA67">
        <f t="shared" si="26"/>
        <v>0</v>
      </c>
      <c r="FB67">
        <f>IF(FA67=0,0,1+COUNTIF(FB$3:FB66,"&gt;0"))</f>
        <v>0</v>
      </c>
      <c r="FC67" t="str">
        <f t="shared" si="49"/>
        <v/>
      </c>
      <c r="FD67" t="str">
        <f t="shared" si="27"/>
        <v/>
      </c>
      <c r="FF67">
        <f t="shared" si="28"/>
        <v>0</v>
      </c>
      <c r="FG67">
        <f>IF(FF67=0,0,1+COUNTIF(FG$3:FG66,"&gt;0"))</f>
        <v>0</v>
      </c>
      <c r="FH67" t="str">
        <f t="shared" si="50"/>
        <v/>
      </c>
      <c r="FI67" t="str">
        <f t="shared" si="29"/>
        <v/>
      </c>
      <c r="FK67">
        <f t="shared" si="30"/>
        <v>0</v>
      </c>
      <c r="FL67">
        <f>IF(FK67=0,0,1+COUNTIF(FL$3:FL66,"&gt;0"))</f>
        <v>0</v>
      </c>
      <c r="FM67" t="str">
        <f t="shared" si="51"/>
        <v/>
      </c>
      <c r="FN67" t="str">
        <f t="shared" si="31"/>
        <v/>
      </c>
      <c r="FP67">
        <f t="shared" si="32"/>
        <v>0</v>
      </c>
      <c r="FQ67">
        <f>IF(FP67=0,0,1+COUNTIF(FQ$3:FQ66,"&gt;0"))</f>
        <v>0</v>
      </c>
      <c r="FR67" t="str">
        <f t="shared" si="52"/>
        <v/>
      </c>
      <c r="FS67" t="str">
        <f t="shared" si="33"/>
        <v/>
      </c>
    </row>
    <row r="68" spans="1:175" x14ac:dyDescent="0.25">
      <c r="A68" s="347">
        <f t="shared" si="53"/>
        <v>66</v>
      </c>
      <c r="B68" s="348" t="s">
        <v>2430</v>
      </c>
      <c r="C68" s="348">
        <v>5</v>
      </c>
      <c r="D68" s="347">
        <v>5</v>
      </c>
      <c r="E68" s="627" t="s">
        <v>6952</v>
      </c>
      <c r="F68" s="346"/>
      <c r="G68" s="347" t="str">
        <f>""</f>
        <v/>
      </c>
      <c r="H68" s="347" t="s">
        <v>5288</v>
      </c>
      <c r="I68" s="347" t="s">
        <v>5312</v>
      </c>
      <c r="J68" s="347" t="str">
        <f t="shared" ref="J68:J131" si="57">IF(IFERROR(SEARCH("con",K68,1),0)&gt;0,"Concentration","")</f>
        <v/>
      </c>
      <c r="K68" s="347" t="s">
        <v>5284</v>
      </c>
      <c r="L68" s="611" t="str">
        <f t="shared" ref="L68:L131" si="58">LEFT(TRIM(IF(M68&lt;&gt;"",M68&amp;", ","")&amp;IF(N68&lt;&gt;"",N68&amp;", ","")&amp;IF(O68&lt;&gt;"",O68&amp;", ","")&amp;IF(P68&lt;&gt;"",P68&amp;", ","")),LEN(TRIM(IF(M68&lt;&gt;"",M68&amp;", ","")&amp;IF(N68&lt;&gt;"",N68&amp;", ","")&amp;IF(O68&lt;&gt;"",O68&amp;", ","")&amp;IF(P68&lt;&gt;"",P68&amp;", ","")))-1)</f>
        <v>V, S, M, burning incense for air, soft clay for earth, sulfur and phosphorus for fire, or water and sand for water</v>
      </c>
      <c r="M68" s="347" t="s">
        <v>2373</v>
      </c>
      <c r="N68" s="347" t="s">
        <v>2387</v>
      </c>
      <c r="O68" s="347" t="s">
        <v>1244</v>
      </c>
      <c r="P68" s="346" t="s">
        <v>5329</v>
      </c>
      <c r="Q68" s="347" t="s">
        <v>5271</v>
      </c>
      <c r="S68" s="346" t="s">
        <v>5635</v>
      </c>
      <c r="T68" s="346" t="str">
        <f t="shared" ref="T68:T131" si="59">IF(U68&lt;&gt;"","Bard, ","")&amp;IF(V68&lt;&gt;"","Paladin, ","")&amp;IF(W68&lt;&gt;"","Ranger, ","")&amp;IF(X68&lt;&gt;"","Sorcerer, ","")&amp;IF(Y68&lt;&gt;"","Warlock, ","")&amp;IF(Z68&lt;&gt;"","Cleric, ","")&amp;IF(AA68&lt;&gt;"","Druid, ","")&amp;IF(AB68&lt;&gt;"","Eldritch Knight, ","")&amp;IF(AC68&lt;&gt;"","Arcane Trickster, ","")&amp;IF(AD68&lt;&gt;"","Wizard, ","")&amp;IF(AE68&lt;&gt;"","Devotion, ","")&amp;IF(AF68&lt;&gt;"","Vengeance, ","")&amp;IF(AG68&lt;&gt;"","Ancients, ","")&amp;IF(AH68&lt;&gt;"","Oathbreaker, ","")&amp;IF(AI68&lt;&gt;"","Archfey, ","")&amp;IF(AJ68&lt;&gt;"","Archfiend, ","")&amp;IF(AK68&lt;&gt;"","Old One, ","")&amp;IF(AL68&lt;&gt;"","Arctic, ","")&amp;IF(AO68&lt;&gt;"","Fores, ","")&amp;IF(AM68&lt;&gt;"","Coast, ","")&amp;IF(AN68&lt;&gt;"","Desert, ","")&amp;IF(AP68&lt;&gt;"","GrassLand, ","")&amp;IF(AQ68&lt;&gt;"","Mountain, ","")&amp;IF(AR68&lt;&gt;"","Swamp, ","")&amp;IF(AS68&lt;&gt;"","Underdark, ","")&amp;IF(AT68&lt;&gt;"","Knowledge, ","")&amp;IF(AU68&lt;&gt;"","Life, ","")&amp;IF(AV68&lt;&gt;"","Light, ","")&amp;IF(AW68&lt;&gt;"","Nature, ","")&amp;IF(AX68&lt;&gt;"","Tempest, ","")&amp;IF(AY68&lt;&gt;"","Trickery, ","")&amp;IF(AZ68&lt;&gt;"","War, ","")&amp;IF(BA68&lt;&gt;"","Death, ","")</f>
        <v xml:space="preserve">Druid, Wizard, Coast, </v>
      </c>
      <c r="AA68" s="347" t="str">
        <f>$B68</f>
        <v>Conjure Elemental</v>
      </c>
      <c r="AD68" s="347" t="str">
        <f>$B68</f>
        <v>Conjure Elemental</v>
      </c>
      <c r="AE68" t="str">
        <f>IF(IFERROR(MATCH($B68,temp!A$4:A$13,0),0)&gt;0,T08_Spells!AE$2,"")</f>
        <v/>
      </c>
      <c r="AF68" t="str">
        <f>IF(IFERROR(MATCH($B68,temp!B$4:B$13,0),0)&gt;0,T08_Spells!AF$2,"")</f>
        <v/>
      </c>
      <c r="AG68" t="str">
        <f>IF(IFERROR(MATCH($B68,temp!C$4:C$13,0),0)&gt;0,T08_Spells!AG$2,"")</f>
        <v/>
      </c>
      <c r="AH68" t="str">
        <f>IF(IFERROR(MATCH($B68,temp!D$4:D$13,0),0)&gt;0,T08_Spells!AH$2,"")</f>
        <v/>
      </c>
      <c r="AI68" t="str">
        <f>IF(IFERROR(MATCH($B68,temp!E$4:E$13,0),0)&gt;0,T08_Spells!AI$2,"")</f>
        <v/>
      </c>
      <c r="AJ68" t="str">
        <f>IF(IFERROR(MATCH($B68,temp!F$4:F$13,0),0)&gt;0,T08_Spells!AJ$2,"")</f>
        <v/>
      </c>
      <c r="AK68" t="str">
        <f>IF(IFERROR(MATCH($B68,temp!G$4:G$13,0),0)&gt;0,T08_Spells!AK$2,"")</f>
        <v/>
      </c>
      <c r="AL68" t="str">
        <f>IF(IFERROR(MATCH($B68,temp!H$4:H$13,0),0)&gt;0,T08_Spells!AL$2,"")</f>
        <v/>
      </c>
      <c r="AM68" t="str">
        <f>IF(IFERROR(MATCH($B68,temp!I$4:I$13,0),0)&gt;0,T08_Spells!AM$2,"")</f>
        <v>Coast</v>
      </c>
      <c r="AN68" t="str">
        <f>IF(IFERROR(MATCH($B68,temp!J$4:J$13,0),0)&gt;0,T08_Spells!AN$2,"")</f>
        <v/>
      </c>
      <c r="AO68" t="str">
        <f>IF(IFERROR(MATCH($B68,temp!K$4:K$13,0),0)&gt;0,T08_Spells!AO$2,"")</f>
        <v/>
      </c>
      <c r="AP68" t="str">
        <f>IF(IFERROR(MATCH($B68,temp!L$4:L$13,0),0)&gt;0,T08_Spells!AP$2,"")</f>
        <v/>
      </c>
      <c r="AQ68" t="str">
        <f>IF(IFERROR(MATCH($B68,temp!M$4:M$13,0),0)&gt;0,T08_Spells!AQ$2,"")</f>
        <v/>
      </c>
      <c r="AR68" t="str">
        <f>IF(IFERROR(MATCH($B68,temp!N$4:N$13,0),0)&gt;0,T08_Spells!AR$2,"")</f>
        <v/>
      </c>
      <c r="AS68" t="str">
        <f>IF(IFERROR(MATCH($B68,temp!O$4:O$13,0),0)&gt;0,T08_Spells!AS$2,"")</f>
        <v/>
      </c>
      <c r="AT68" t="str">
        <f>IF(IFERROR(MATCH($B68,temp!P$4:P$13,0),0)&gt;0,T08_Spells!AT$2,"")</f>
        <v/>
      </c>
      <c r="AU68" t="str">
        <f>IF(IFERROR(MATCH($B68,temp!Q$4:Q$13,0),0)&gt;0,T08_Spells!AU$2,"")</f>
        <v/>
      </c>
      <c r="AV68" t="str">
        <f>IF(IFERROR(MATCH($B68,temp!R$4:R$13,0),0)&gt;0,T08_Spells!AV$2,"")</f>
        <v/>
      </c>
      <c r="AW68" t="str">
        <f>IF(IFERROR(MATCH($B68,temp!S$4:S$13,0),0)&gt;0,T08_Spells!AW$2,"")</f>
        <v/>
      </c>
      <c r="AX68" t="str">
        <f>IF(IFERROR(MATCH($B68,temp!T$4:T$13,0),0)&gt;0,T08_Spells!AX$2,"")</f>
        <v/>
      </c>
      <c r="AY68" t="str">
        <f>IF(IFERROR(MATCH($B68,temp!U$4:U$13,0),0)&gt;0,T08_Spells!AY$2,"")</f>
        <v/>
      </c>
      <c r="AZ68" t="str">
        <f>IF(IFERROR(MATCH($B68,temp!V$4:V$13,0),0)&gt;0,T08_Spells!AZ$2,"")</f>
        <v/>
      </c>
      <c r="BA68" t="str">
        <f>IF(IFERROR(MATCH($B68,temp!W$4:W$13,0),0)&gt;0,T08_Spells!BA$2,"")</f>
        <v/>
      </c>
      <c r="BC68">
        <f>IF(IFERROR(SEARCH("Ranger",$T68,1),0)&gt;0,1,0)*IF(RangerMaxSpellLevel&gt;=$C68,1,0)*IF(IFERROR(MATCH(B68,Character_Creation!$X$79:$X$382,0),0)&gt;0,0,1)</f>
        <v>0</v>
      </c>
      <c r="BD68">
        <f>IF(BC68=0,0,1+COUNTIF(BD$3:BD67,"&gt;0"))</f>
        <v>0</v>
      </c>
      <c r="BE68" t="str">
        <f t="shared" si="34"/>
        <v/>
      </c>
      <c r="BF68" t="str">
        <f t="shared" ref="BF68:BF131" si="60">IFERROR(INDEX($B$3:$B$407,MATCH(BE68,BD$3:BD$407,0),1),"")</f>
        <v/>
      </c>
      <c r="BH68">
        <f>IF(IFERROR(SEARCH("Sorcerer",$T68,1),0)&gt;0,1,0)*IF(SorcererMaxSpellLevel&gt;=$C68,1,0)*IF(IFERROR(MATCH(B68,Character_Creation!$J$380:$J$394,0),0)&gt;0,0,1)</f>
        <v>0</v>
      </c>
      <c r="BI68">
        <f>IF(BH68=0,0,1+COUNTIF(BI$3:BI67,"&gt;0"))</f>
        <v>0</v>
      </c>
      <c r="BJ68" t="str">
        <f t="shared" si="35"/>
        <v/>
      </c>
      <c r="BK68" t="str">
        <f t="shared" ref="BK68:BK131" si="61">IFERROR(INDEX($B$3:$B$407,MATCH(BJ68,BI$3:BI$407,0),1),"")</f>
        <v/>
      </c>
      <c r="BM68">
        <f>IF(OR(IFERROR(SEARCH("Warlock",$T68,1),0)&gt;0,IFERROR(SEARCH(WarlockPatron,$T68,1),0)&gt;0),1,0)*IF(WarlockMaxSpellLevel&gt;=$C68,1,0)*IF(IFERROR(MATCH(B68,Character_Creation!$J$361:$J$375,0),0)&gt;0,0,1)</f>
        <v>0</v>
      </c>
      <c r="BN68">
        <f>IF(BM68=0,0,1+COUNTIF(BN$3:BN67,"&gt;0"))</f>
        <v>0</v>
      </c>
      <c r="BO68" t="str">
        <f t="shared" si="36"/>
        <v/>
      </c>
      <c r="BP68" t="str">
        <f t="shared" ref="BP68:BP131" si="62">IFERROR(INDEX($B$3:$B$407,MATCH(BO68,BN$3:BN$407,0),1),"")</f>
        <v/>
      </c>
      <c r="BR68">
        <f>IF(IFERROR(SEARCH("Eldritch Knight",$T68,1),0)&gt;0,1,0)*IF(EldritchKnightMaxSpellLevel&gt;=$C68,1,0)*IF(IFERROR(MATCH($B68,Character_Creation!$J$350:$J$356,0),0)&gt;0,0,1)*IF(Character_Creation!$M$338&gt;0,1,0)</f>
        <v>0</v>
      </c>
      <c r="BS68">
        <f>IF(BR68=0,0,1+COUNTIF(BS$3:BS67,"&gt;0"))</f>
        <v>0</v>
      </c>
      <c r="BT68" t="str">
        <f t="shared" si="37"/>
        <v/>
      </c>
      <c r="BU68" t="str">
        <f t="shared" ref="BU68:BU131" si="63">IFERROR(INDEX($B$3:$B$407,MATCH(BT68,BS$3:BS$407,0),1),"")</f>
        <v/>
      </c>
      <c r="BW68">
        <f>IF(IFERROR(SEARCH("Arcane Trickster",$T68,1),0)&gt;0,1,0)*IF(ArcaneTricksterMaxSpellLevel&gt;=$C68,1,0)*IF(IFERROR(MATCH($B68,Character_Creation!$J$350:$J$356,0),0)&gt;0,0,1)*IF(Character_Creation!$T$338&gt;0,1,0)</f>
        <v>0</v>
      </c>
      <c r="BX68">
        <f>IF(BW68=0,0,1+COUNTIF(BX$3:BX67,"&gt;0"))</f>
        <v>0</v>
      </c>
      <c r="BY68" t="str">
        <f t="shared" si="38"/>
        <v/>
      </c>
      <c r="BZ68" t="str">
        <f t="shared" ref="BZ68:BZ131" si="64">IFERROR(INDEX($B$3:$B$407,MATCH(BY68,BX$3:BX$407,0),1),"")</f>
        <v/>
      </c>
      <c r="CB68">
        <f>IF(IFERROR(SEARCH("Wizard",$T68,1),0)&gt;0,1,0)*IF(C68&lt;=ArcaneTricksterMaxSpellLevel,1,0)*IF(IFERROR(MATCH($B68,Character_Creation!$J$350:$J$356,0),0)&gt;0,0,1)*IF(Character_Creation!$T$350&gt;0,1,0)</f>
        <v>0</v>
      </c>
      <c r="CC68">
        <f>IF(CB68=0,0,1+COUNTIF(CC$3:CC67,"&gt;0"))</f>
        <v>0</v>
      </c>
      <c r="CD68" t="str">
        <f t="shared" si="39"/>
        <v/>
      </c>
      <c r="CE68" t="str">
        <f t="shared" ref="CE68:CE131" si="65">IFERROR(INDEX($B$3:$B$407,MATCH(CD68,CC$3:CC$407,0),1),"")</f>
        <v/>
      </c>
      <c r="CG68">
        <f>IF(IFERROR(SEARCH("Wizard",$T68,1),0)&gt;0,1,0)*IF($C68&lt;=EldritchKnightMaxSpellLevel,1,0)*IF(IFERROR(MATCH($B68,Character_Creation!$J$350:$J$356,0),0)&gt;0,0,1)*IF(Character_Creation!$M$350&gt;0,1,0)</f>
        <v>0</v>
      </c>
      <c r="CH68">
        <f>IF(CG68=0,0,1+COUNTIF(CH$3:CH67,"&gt;0"))</f>
        <v>0</v>
      </c>
      <c r="CI68">
        <f t="shared" si="40"/>
        <v>66</v>
      </c>
      <c r="CJ68" t="str">
        <f t="shared" ref="CJ68:CJ131" si="66">IFERROR(INDEX($B$3:$B$407,MATCH(CI68,CH$3:CH$407,0),1),"")</f>
        <v>Dust Devil</v>
      </c>
      <c r="CL68">
        <f>IF(IFERROR(SEARCH("Bard",$T68,1),0)&gt;0,1,0)*IF(BardMaxSpellLevel&gt;=$C68,1,0)*IF(IFERROR(MATCH(B68,Character_Creation!$C$341:$F$362,0),0)&gt;0,0,1)*IF(IFERROR(MATCH($B68,Character_Creation!$C$341:$C$362,0),0)&gt;0,0,1)</f>
        <v>0</v>
      </c>
      <c r="CM68">
        <f>IF(CL68=0,0,1+COUNTIF(CM$3:CM67,"&gt;0"))</f>
        <v>0</v>
      </c>
      <c r="CN68" t="str">
        <f t="shared" si="41"/>
        <v/>
      </c>
      <c r="CO68" t="str">
        <f t="shared" ref="CO68:CO131" si="67">IFERROR(INDEX($B$3:$B$407,MATCH(CN68,CM$3:CM$407,0),1),"")</f>
        <v/>
      </c>
      <c r="CQ68">
        <f>IF(IFERROR(SEARCH("Wizard",$T68,1),0)&gt;0,1,0)*IF(WizardMaxSpellLevel&gt;=$C68,1,0)*IF(IFERROR(MATCH(B68,Character_Creation!$X$341:$X$400,0),0)&gt;0,0,1)*IF(SelectedWizardSpellLevel=$C68,1,0)</f>
        <v>0</v>
      </c>
      <c r="CR68">
        <f>IF(CQ68=0,0,1+COUNTIF(CR$3:CR67,"&gt;0"))</f>
        <v>0</v>
      </c>
      <c r="CS68" t="str">
        <f t="shared" si="42"/>
        <v/>
      </c>
      <c r="CT68" t="str">
        <f t="shared" ref="CT68:CT131" si="68">IFERROR(INDEX($B$3:$B$407,MATCH(CS68,CR$3:CR$407,0),1),"")</f>
        <v/>
      </c>
      <c r="CV68">
        <f>IF(IFERROR(MATCH($B68,Character_Creation!$C$341:$C$362,0),0)&gt;0,0,1)*IF(OR(C68="Cantrip",C68&lt;=BardMaxSpellLevel),1,0)*IF(IFERROR(MATCH($B68,Character_Creation!$C$367:$C$374,0),0)&gt;0,0,1)</f>
        <v>0</v>
      </c>
      <c r="CW68">
        <f>IF(CV68=0,0,1+COUNTIF(CW$3:CW67,"&gt;0"))</f>
        <v>0</v>
      </c>
      <c r="CX68" t="str">
        <f t="shared" si="43"/>
        <v/>
      </c>
      <c r="CY68" t="str">
        <f t="shared" ref="CY68:CY131" si="69">IFERROR(INDEX($B$3:$B$407,MATCH(CX68,CW$3:CW$407,0),1),"")</f>
        <v/>
      </c>
      <c r="DA68">
        <f>IF(IF(OR(IFERROR(SEARCH("Cleric",$T68,1),0)&gt;0,IFERROR(SEARCH(DivineDomain&amp;",",$T68,1),0)&gt;0),1,0)*IF($C68=DA$2,1,0)=1,1+COUNTIF(DA$3:DA67,"&gt;0"),0)</f>
        <v>0</v>
      </c>
      <c r="DB68">
        <f>IF(IF(OR(IFERROR(SEARCH("Cleric",$T68,1),0)&gt;0,IFERROR(SEARCH(DivineDomain&amp;",",$T68,1),0)&gt;0),1,0)*IF($C68=DB$2,1,0)=1,1+COUNTIF(DB$3:DB67,"&gt;0"),0)</f>
        <v>0</v>
      </c>
      <c r="DC68">
        <f>IF(IF(OR(IFERROR(SEARCH("Cleric",$T68,1),0)&gt;0,IFERROR(SEARCH(DivineDomain&amp;",",$T68,1),0)&gt;0),1,0)*IF($C68=DC$2,1,0)=1,1+COUNTIF(DC$3:DC67,"&gt;0"),0)</f>
        <v>0</v>
      </c>
      <c r="DD68">
        <f>IF(IF(OR(IFERROR(SEARCH("Cleric",$T68,1),0)&gt;0,IFERROR(SEARCH(DivineDomain&amp;",",$T68,1),0)&gt;0),1,0)*IF($C68=DD$2,1,0)=1,1+COUNTIF(DD$3:DD67,"&gt;0"),0)</f>
        <v>0</v>
      </c>
      <c r="DE68">
        <f>IF(IF(OR(IFERROR(SEARCH("Cleric",$T68,1),0)&gt;0,IFERROR(SEARCH(DivineDomain&amp;",",$T68,1),0)&gt;0),1,0)*IF($C68=DE$2,1,0)=1,1+COUNTIF(DE$3:DE67,"&gt;0"),0)</f>
        <v>0</v>
      </c>
      <c r="DF68">
        <f>IF(IF(OR(IFERROR(SEARCH("Cleric",$T68,1),0)&gt;0,IFERROR(SEARCH(DivineDomain&amp;",",$T68,1),0)&gt;0),1,0)*IF($C68=DF$2,1,0)=1,1+COUNTIF(DF$3:DF67,"&gt;0"),0)</f>
        <v>0</v>
      </c>
      <c r="DG68">
        <f>IF(IF(OR(IFERROR(SEARCH("Cleric",$T68,1),0)&gt;0,IFERROR(SEARCH(DivineDomain&amp;",",$T68,1),0)&gt;0),1,0)*IF($C68=DG$2,1,0)=1,1+COUNTIF(DG$3:DG67,"&gt;0"),0)</f>
        <v>0</v>
      </c>
      <c r="DH68">
        <f>IF(IF(OR(IFERROR(SEARCH("Cleric",$T68,1),0)&gt;0,IFERROR(SEARCH(DivineDomain&amp;",",$T68,1),0)&gt;0),1,0)*IF($C68=DH$2,1,0)=1,1+COUNTIF(DH$3:DH67,"&gt;0"),0)</f>
        <v>0</v>
      </c>
      <c r="DI68">
        <f>IF(IF(OR(IFERROR(SEARCH("Cleric",$T68,1),0)&gt;0,IFERROR(SEARCH(DivineDomain&amp;",",$T68,1),0)&gt;0),1,0)*IF($C68=DI$2,1,0)=1,1+COUNTIF(DI$3:DI67,"&gt;0"),0)</f>
        <v>0</v>
      </c>
      <c r="DJ68">
        <f>IF(IF(OR(IFERROR(SEARCH("Druid",$T68,1),0)&gt;0,IFERROR(SEARCH(DruidLand1,$T68,1),0)&gt;0,IFERROR(SEARCH(DruidLand2,$T68,1),0)&gt;0,IFERROR(SEARCH(DruidLand3,$T68,1),0)&gt;0,IFERROR(SEARCH(DruidLand4,$T68,1),0)&gt;0),1,0)*IF($C68=1,1,0)*IF($C68=DJ$2,1,0)=0,0,1+COUNTIF(DJ$3:DJ67,"&gt;0"))</f>
        <v>0</v>
      </c>
      <c r="DK68">
        <f>IF(IF(OR(IFERROR(SEARCH("Druid",$T68,1),0)&gt;0,IFERROR(SEARCH(DruidLand1,$T68,1),0)&gt;0,IFERROR(SEARCH(DruidLand2,$T68,1),0)&gt;0,IFERROR(SEARCH(DruidLand3,$T68,1),0)&gt;0,IFERROR(SEARCH(DruidLand4,$T68,1),0)&gt;0),1,0)*IF($C68=DK$2,1,0)=0,0,1+COUNTIF(DK$3:DK67,"&gt;0"))</f>
        <v>0</v>
      </c>
      <c r="DL68">
        <f>IF(IF(OR(IFERROR(SEARCH("Druid",$T68,1),0)&gt;0,IFERROR(SEARCH(DruidLand1,$T68,1),0)&gt;0,IFERROR(SEARCH(DruidLand2,$T68,1),0)&gt;0,IFERROR(SEARCH(DruidLand3,$T68,1),0)&gt;0,IFERROR(SEARCH(DruidLand4,$T68,1),0)&gt;0),1,0)*IF($C68=DL$2,1,0)=0,0,1+COUNTIF(DL$3:DL67,"&gt;0"))</f>
        <v>0</v>
      </c>
      <c r="DM68">
        <f>IF(IF(OR(IFERROR(SEARCH("Druid",$T68,1),0)&gt;0,IFERROR(SEARCH(DruidLand1,$T68,1),0)&gt;0,IFERROR(SEARCH(DruidLand2,$T68,1),0)&gt;0,IFERROR(SEARCH(DruidLand3,$T68,1),0)&gt;0,IFERROR(SEARCH(DruidLand4,$T68,1),0)&gt;0),1,0)*IF($C68=DM$2,1,0)=0,0,1+COUNTIF(DM$3:DM67,"&gt;0"))</f>
        <v>0</v>
      </c>
      <c r="DN68">
        <f>IF(IF(OR(IFERROR(SEARCH("Druid",$T68,1),0)&gt;0,IFERROR(SEARCH(DruidLand1,$T68,1),0)&gt;0,IFERROR(SEARCH(DruidLand2,$T68,1),0)&gt;0,IFERROR(SEARCH(DruidLand3,$T68,1),0)&gt;0,IFERROR(SEARCH(DruidLand4,$T68,1),0)&gt;0),1,0)*IF($C68=DN$2,1,0)=0,0,1+COUNTIF(DN$3:DN67,"&gt;0"))</f>
        <v>4</v>
      </c>
      <c r="DO68">
        <f>IF(IF(OR(IFERROR(SEARCH("Druid",$T68,1),0)&gt;0,IFERROR(SEARCH(DruidLand1,$T68,1),0)&gt;0,IFERROR(SEARCH(DruidLand2,$T68,1),0)&gt;0,IFERROR(SEARCH(DruidLand3,$T68,1),0)&gt;0,IFERROR(SEARCH(DruidLand4,$T68,1),0)&gt;0),1,0)*IF($C68=DO$2,1,0)=0,0,1+COUNTIF(DO$3:DO67,"&gt;0"))</f>
        <v>0</v>
      </c>
      <c r="DP68">
        <f>IF(IF(OR(IFERROR(SEARCH("Druid",$T68,1),0)&gt;0,IFERROR(SEARCH(DruidLand1,$T68,1),0)&gt;0,IFERROR(SEARCH(DruidLand2,$T68,1),0)&gt;0,IFERROR(SEARCH(DruidLand3,$T68,1),0)&gt;0,IFERROR(SEARCH(DruidLand4,$T68,1),0)&gt;0),1,0)*IF($C68=DP$2,1,0)=0,0,1+COUNTIF(DP$3:DP67,"&gt;0"))</f>
        <v>0</v>
      </c>
      <c r="DQ68">
        <f>IF(IF(OR(IFERROR(SEARCH("Druid",$T68,1),0)&gt;0,IFERROR(SEARCH(DruidLand1,$T68,1),0)&gt;0,IFERROR(SEARCH(DruidLand2,$T68,1),0)&gt;0,IFERROR(SEARCH(DruidLand3,$T68,1),0)&gt;0,IFERROR(SEARCH(DruidLand4,$T68,1),0)&gt;0),1,0)*IF($C68=DQ$2,1,0)=0,0,1+COUNTIF(DQ$3:DQ67,"&gt;0"))</f>
        <v>0</v>
      </c>
      <c r="DR68">
        <f>IF(IF(OR(IFERROR(SEARCH("Druid",$T68,1),0)&gt;0,IFERROR(SEARCH(DruidLand1,$T68,1),0)&gt;0,IFERROR(SEARCH(DruidLand2,$T68,1),0)&gt;0,IFERROR(SEARCH(DruidLand3,$T68,1),0)&gt;0,IFERROR(SEARCH(DruidLand4,$T68,1),0)&gt;0),1,0)*IF($C68=DR$2,1,0)=0,0,1+COUNTIF(DR$3:DR67,"&gt;0"))</f>
        <v>0</v>
      </c>
      <c r="DS68">
        <f>IF(IF(OR(IFERROR(SEARCH("Paladin",$T68,1),0)&gt;0,IFERROR(SEARCH(PaladinOath,$T68,1),0)&gt;0),1,0)*IF($C68=DS$2,1,0)=1,1+COUNTIF(DS$3:DS67,"&gt;0"),0)</f>
        <v>0</v>
      </c>
      <c r="DT68">
        <f>IF(IF(OR(IFERROR(SEARCH("Paladin",$T68,1),0)&gt;0,IFERROR(SEARCH(PaladinOath,$T68,1),0)&gt;0),1,0)*IF($C68=DT$2,1,0)=1,1+COUNTIF(DT$3:DT67,"&gt;0"),0)</f>
        <v>0</v>
      </c>
      <c r="DU68">
        <f>IF(IF(OR(IFERROR(SEARCH("Paladin",$T68,1),0)&gt;0,IFERROR(SEARCH(PaladinOath,$T68,1),0)&gt;0),1,0)*IF($C68=DU$2,1,0)=1,1+COUNTIF(DU$3:DU67,"&gt;0"),0)</f>
        <v>0</v>
      </c>
      <c r="DV68">
        <f>IF(IF(OR(IFERROR(SEARCH("Paladin",$T68,1),0)&gt;0,IFERROR(SEARCH(PaladinOath,$T68,1),0)&gt;0),1,0)*IF($C68=DV$2,1,0)=1,1+COUNTIF(DV$3:DV67,"&gt;0"),0)</f>
        <v>0</v>
      </c>
      <c r="DW68">
        <f>IF(IF(OR(IFERROR(SEARCH("Paladin",$T68,1),0)&gt;0,IFERROR(SEARCH(PaladinOath,$T68,1),0)&gt;0),1,0)*IF($C68=DW$2,1,0)=1,1+COUNTIF(DW$3:DW67,"&gt;0"),0)</f>
        <v>0</v>
      </c>
      <c r="DY68">
        <f t="shared" si="56"/>
        <v>1</v>
      </c>
      <c r="DZ68">
        <f>IF(DY68=0,0,1+MAX(DZ$3:$DZ67))</f>
        <v>66</v>
      </c>
      <c r="EB68">
        <f t="shared" ref="EB68:EB131" si="70">IF(IFERROR(SEARCH("Bard",$T68,1),0)&gt;0,1,0)*IF($C68="cantrip",1,0)</f>
        <v>0</v>
      </c>
      <c r="EC68">
        <f>IF(EB68=0,0,1+COUNTIF(EC$3:EC67,"&gt;0"))</f>
        <v>0</v>
      </c>
      <c r="ED68" t="str">
        <f t="shared" si="44"/>
        <v/>
      </c>
      <c r="EE68" t="str">
        <f t="shared" ref="EE68:EE131" si="71">IFERROR(INDEX($B$3:$B$407,MATCH(ED68,EC$3:EC$407,0),1),"")</f>
        <v/>
      </c>
      <c r="EG68">
        <f t="shared" ref="EG68:EG131" si="72">IF(IFERROR(SEARCH("Cleric",$T68,1),0)&gt;0,1,0)*IF($C68="cantrip",1,0)</f>
        <v>0</v>
      </c>
      <c r="EH68">
        <f>IF(EG68=0,0,1+COUNTIF(EH$3:EH67,"&gt;0"))</f>
        <v>0</v>
      </c>
      <c r="EI68" t="str">
        <f t="shared" si="45"/>
        <v/>
      </c>
      <c r="EJ68" t="str">
        <f t="shared" ref="EJ68:EJ131" si="73">IFERROR(INDEX($B$3:$B$407,MATCH(EI68,EH$3:EH$407,0),1),"")</f>
        <v/>
      </c>
      <c r="EL68">
        <f t="shared" ref="EL68:EL131" si="74">IF(IFERROR(SEARCH("Druid",$T68,1),0)&gt;0,1,0)*IF($C68="cantrip",1,0)</f>
        <v>0</v>
      </c>
      <c r="EM68">
        <f>IF(EL68=0,0,1+COUNTIF(EM$3:EM67,"&gt;0"))</f>
        <v>0</v>
      </c>
      <c r="EN68" t="str">
        <f t="shared" si="46"/>
        <v/>
      </c>
      <c r="EO68" t="str">
        <f t="shared" ref="EO68:EO131" si="75">IFERROR(INDEX($B$3:$B$407,MATCH(EN68,EM$3:EM$407,0),1),"")</f>
        <v/>
      </c>
      <c r="EQ68">
        <f t="shared" ref="EQ68:EQ131" si="76">IF(IFERROR(SEARCH("Eldritch Knight",$T68,1),0)&gt;0,1,0)*IF($C68="cantrip",1,0)</f>
        <v>0</v>
      </c>
      <c r="ER68">
        <f>IF(EQ68=0,0,1+COUNTIF(ER$3:ER67,"&gt;0"))</f>
        <v>0</v>
      </c>
      <c r="ES68" t="str">
        <f t="shared" si="47"/>
        <v/>
      </c>
      <c r="ET68" t="str">
        <f t="shared" ref="ET68:ET131" si="77">IFERROR(INDEX($B$3:$B$407,MATCH(ES68,ER$3:ER$407,0),1),"")</f>
        <v/>
      </c>
      <c r="EV68">
        <f t="shared" ref="EV68:EV131" si="78">IF(IFERROR(SEARCH("Arcane Trickster",$T68,1),0)&gt;0,1,0)*IF($C68="cantrip",1,0)</f>
        <v>0</v>
      </c>
      <c r="EW68">
        <f>IF(EV68=0,0,1+COUNTIF(EW$3:EW67,"&gt;0"))</f>
        <v>0</v>
      </c>
      <c r="EX68" t="str">
        <f t="shared" si="48"/>
        <v/>
      </c>
      <c r="EY68" t="str">
        <f t="shared" ref="EY68:EY131" si="79">IFERROR(INDEX($B$3:$B$407,MATCH(EX68,EW$3:EW$407,0),1),"")</f>
        <v/>
      </c>
      <c r="FA68">
        <f t="shared" ref="FA68:FA131" si="80">IF(IFERROR(SEARCH("Sorcerer",$T68,1),0)&gt;0,1,0)*IF($C68="cantrip",1,0)</f>
        <v>0</v>
      </c>
      <c r="FB68">
        <f>IF(FA68=0,0,1+COUNTIF(FB$3:FB67,"&gt;0"))</f>
        <v>0</v>
      </c>
      <c r="FC68" t="str">
        <f t="shared" si="49"/>
        <v/>
      </c>
      <c r="FD68" t="str">
        <f t="shared" ref="FD68:FD131" si="81">IFERROR(INDEX($B$3:$B$407,MATCH(FC68,FB$3:FB$407,0),1),"")</f>
        <v/>
      </c>
      <c r="FF68">
        <f t="shared" ref="FF68:FF131" si="82">IF(IFERROR(SEARCH("Warlock",$T68,1),0)&gt;0,1,0)*IF($C68="cantrip",1,0)</f>
        <v>0</v>
      </c>
      <c r="FG68">
        <f>IF(FF68=0,0,1+COUNTIF(FG$3:FG67,"&gt;0"))</f>
        <v>0</v>
      </c>
      <c r="FH68" t="str">
        <f t="shared" si="50"/>
        <v/>
      </c>
      <c r="FI68" t="str">
        <f t="shared" ref="FI68:FI131" si="83">IFERROR(INDEX($B$3:$B$407,MATCH(FH68,FG$3:FG$407,0),1),"")</f>
        <v/>
      </c>
      <c r="FK68">
        <f t="shared" ref="FK68:FK131" si="84">IF(IFERROR(SEARCH("Wizard",$T68,1),0)&gt;0,1,0)*IF($C68="cantrip",1,0)</f>
        <v>0</v>
      </c>
      <c r="FL68">
        <f>IF(FK68=0,0,1+COUNTIF(FL$3:FL67,"&gt;0"))</f>
        <v>0</v>
      </c>
      <c r="FM68" t="str">
        <f t="shared" si="51"/>
        <v/>
      </c>
      <c r="FN68" t="str">
        <f t="shared" ref="FN68:FN131" si="85">IFERROR(INDEX($B$3:$B$407,MATCH(FM68,FL$3:FL$407,0),1),"")</f>
        <v/>
      </c>
      <c r="FP68">
        <f t="shared" ref="FP68:FP131" si="86">IF(IFERROR(SEARCH("Bard",$T68,1),0)&gt;0,1,0)*IF($C68="cantrip",1,0)</f>
        <v>0</v>
      </c>
      <c r="FQ68">
        <f>IF(FP68=0,0,1+COUNTIF(FQ$3:FQ67,"&gt;0"))</f>
        <v>0</v>
      </c>
      <c r="FR68" t="str">
        <f t="shared" si="52"/>
        <v/>
      </c>
      <c r="FS68" t="str">
        <f t="shared" ref="FS68:FS131" si="87">IFERROR(INDEX($B$3:$B$407,MATCH(FR68,FQ$3:FQ$407,0),1),"")</f>
        <v/>
      </c>
    </row>
    <row r="69" spans="1:175" x14ac:dyDescent="0.25">
      <c r="A69" s="347">
        <f t="shared" si="53"/>
        <v>67</v>
      </c>
      <c r="B69" s="348" t="s">
        <v>2431</v>
      </c>
      <c r="C69" s="348">
        <v>6</v>
      </c>
      <c r="D69" s="347">
        <v>6</v>
      </c>
      <c r="E69" s="627" t="s">
        <v>6952</v>
      </c>
      <c r="F69" s="346"/>
      <c r="G69" s="347" t="str">
        <f>""</f>
        <v/>
      </c>
      <c r="H69" s="347" t="s">
        <v>5288</v>
      </c>
      <c r="I69" s="347" t="s">
        <v>5312</v>
      </c>
      <c r="J69" s="347" t="str">
        <f t="shared" si="57"/>
        <v/>
      </c>
      <c r="K69" s="347" t="s">
        <v>5284</v>
      </c>
      <c r="L69" s="611" t="str">
        <f t="shared" si="58"/>
        <v>V, S</v>
      </c>
      <c r="M69" s="347" t="s">
        <v>2373</v>
      </c>
      <c r="N69" s="347" t="s">
        <v>2387</v>
      </c>
      <c r="O69" s="347" t="s">
        <v>3034</v>
      </c>
      <c r="Q69" s="347" t="s">
        <v>5271</v>
      </c>
      <c r="S69" s="346" t="s">
        <v>5636</v>
      </c>
      <c r="T69" s="346" t="str">
        <f t="shared" si="59"/>
        <v xml:space="preserve">Warlock, Druid, </v>
      </c>
      <c r="Y69" s="347" t="str">
        <f>$B69</f>
        <v>Conjure Fey</v>
      </c>
      <c r="AA69" s="347" t="str">
        <f>$B69</f>
        <v>Conjure Fey</v>
      </c>
      <c r="AE69" t="str">
        <f>IF(IFERROR(MATCH($B69,temp!A$4:A$13,0),0)&gt;0,T08_Spells!AE$2,"")</f>
        <v/>
      </c>
      <c r="AF69" t="str">
        <f>IF(IFERROR(MATCH($B69,temp!B$4:B$13,0),0)&gt;0,T08_Spells!AF$2,"")</f>
        <v/>
      </c>
      <c r="AG69" t="str">
        <f>IF(IFERROR(MATCH($B69,temp!C$4:C$13,0),0)&gt;0,T08_Spells!AG$2,"")</f>
        <v/>
      </c>
      <c r="AH69" t="str">
        <f>IF(IFERROR(MATCH($B69,temp!D$4:D$13,0),0)&gt;0,T08_Spells!AH$2,"")</f>
        <v/>
      </c>
      <c r="AI69" t="str">
        <f>IF(IFERROR(MATCH($B69,temp!E$4:E$13,0),0)&gt;0,T08_Spells!AI$2,"")</f>
        <v/>
      </c>
      <c r="AJ69" t="str">
        <f>IF(IFERROR(MATCH($B69,temp!F$4:F$13,0),0)&gt;0,T08_Spells!AJ$2,"")</f>
        <v/>
      </c>
      <c r="AK69" t="str">
        <f>IF(IFERROR(MATCH($B69,temp!G$4:G$13,0),0)&gt;0,T08_Spells!AK$2,"")</f>
        <v/>
      </c>
      <c r="AL69" t="str">
        <f>IF(IFERROR(MATCH($B69,temp!H$4:H$13,0),0)&gt;0,T08_Spells!AL$2,"")</f>
        <v/>
      </c>
      <c r="AM69" t="str">
        <f>IF(IFERROR(MATCH($B69,temp!I$4:I$13,0),0)&gt;0,T08_Spells!AM$2,"")</f>
        <v/>
      </c>
      <c r="AN69" t="str">
        <f>IF(IFERROR(MATCH($B69,temp!J$4:J$13,0),0)&gt;0,T08_Spells!AN$2,"")</f>
        <v/>
      </c>
      <c r="AO69" t="str">
        <f>IF(IFERROR(MATCH($B69,temp!K$4:K$13,0),0)&gt;0,T08_Spells!AO$2,"")</f>
        <v/>
      </c>
      <c r="AP69" t="str">
        <f>IF(IFERROR(MATCH($B69,temp!L$4:L$13,0),0)&gt;0,T08_Spells!AP$2,"")</f>
        <v/>
      </c>
      <c r="AQ69" t="str">
        <f>IF(IFERROR(MATCH($B69,temp!M$4:M$13,0),0)&gt;0,T08_Spells!AQ$2,"")</f>
        <v/>
      </c>
      <c r="AR69" t="str">
        <f>IF(IFERROR(MATCH($B69,temp!N$4:N$13,0),0)&gt;0,T08_Spells!AR$2,"")</f>
        <v/>
      </c>
      <c r="AS69" t="str">
        <f>IF(IFERROR(MATCH($B69,temp!O$4:O$13,0),0)&gt;0,T08_Spells!AS$2,"")</f>
        <v/>
      </c>
      <c r="AT69" t="str">
        <f>IF(IFERROR(MATCH($B69,temp!P$4:P$13,0),0)&gt;0,T08_Spells!AT$2,"")</f>
        <v/>
      </c>
      <c r="AU69" t="str">
        <f>IF(IFERROR(MATCH($B69,temp!Q$4:Q$13,0),0)&gt;0,T08_Spells!AU$2,"")</f>
        <v/>
      </c>
      <c r="AV69" t="str">
        <f>IF(IFERROR(MATCH($B69,temp!R$4:R$13,0),0)&gt;0,T08_Spells!AV$2,"")</f>
        <v/>
      </c>
      <c r="AW69" t="str">
        <f>IF(IFERROR(MATCH($B69,temp!S$4:S$13,0),0)&gt;0,T08_Spells!AW$2,"")</f>
        <v/>
      </c>
      <c r="AX69" t="str">
        <f>IF(IFERROR(MATCH($B69,temp!T$4:T$13,0),0)&gt;0,T08_Spells!AX$2,"")</f>
        <v/>
      </c>
      <c r="AY69" t="str">
        <f>IF(IFERROR(MATCH($B69,temp!U$4:U$13,0),0)&gt;0,T08_Spells!AY$2,"")</f>
        <v/>
      </c>
      <c r="AZ69" t="str">
        <f>IF(IFERROR(MATCH($B69,temp!V$4:V$13,0),0)&gt;0,T08_Spells!AZ$2,"")</f>
        <v/>
      </c>
      <c r="BA69" t="str">
        <f>IF(IFERROR(MATCH($B69,temp!W$4:W$13,0),0)&gt;0,T08_Spells!BA$2,"")</f>
        <v/>
      </c>
      <c r="BC69">
        <f>IF(IFERROR(SEARCH("Ranger",$T69,1),0)&gt;0,1,0)*IF(RangerMaxSpellLevel&gt;=$C69,1,0)*IF(IFERROR(MATCH(B69,Character_Creation!$X$79:$X$382,0),0)&gt;0,0,1)</f>
        <v>0</v>
      </c>
      <c r="BD69">
        <f>IF(BC69=0,0,1+COUNTIF(BD$3:BD68,"&gt;0"))</f>
        <v>0</v>
      </c>
      <c r="BE69" t="str">
        <f t="shared" ref="BE69:BE132" si="88">IFERROR(IF(BE68&lt;MAX(BD68:BD472),BE68+1,""),"")</f>
        <v/>
      </c>
      <c r="BF69" t="str">
        <f t="shared" si="60"/>
        <v/>
      </c>
      <c r="BH69">
        <f>IF(IFERROR(SEARCH("Sorcerer",$T69,1),0)&gt;0,1,0)*IF(SorcererMaxSpellLevel&gt;=$C69,1,0)*IF(IFERROR(MATCH(B69,Character_Creation!$J$380:$J$394,0),0)&gt;0,0,1)</f>
        <v>0</v>
      </c>
      <c r="BI69">
        <f>IF(BH69=0,0,1+COUNTIF(BI$3:BI68,"&gt;0"))</f>
        <v>0</v>
      </c>
      <c r="BJ69" t="str">
        <f t="shared" ref="BJ69:BJ132" si="89">IFERROR(IF(BJ68&lt;MAX(BI68:BI472),BJ68+1,""),"")</f>
        <v/>
      </c>
      <c r="BK69" t="str">
        <f t="shared" si="61"/>
        <v/>
      </c>
      <c r="BM69">
        <f>IF(OR(IFERROR(SEARCH("Warlock",$T69,1),0)&gt;0,IFERROR(SEARCH(WarlockPatron,$T69,1),0)&gt;0),1,0)*IF(WarlockMaxSpellLevel&gt;=$C69,1,0)*IF(IFERROR(MATCH(B69,Character_Creation!$J$361:$J$375,0),0)&gt;0,0,1)</f>
        <v>0</v>
      </c>
      <c r="BN69">
        <f>IF(BM69=0,0,1+COUNTIF(BN$3:BN68,"&gt;0"))</f>
        <v>0</v>
      </c>
      <c r="BO69" t="str">
        <f t="shared" ref="BO69:BO132" si="90">IFERROR(IF(BO68&lt;MAX(BN68:BN472),BO68+1,""),"")</f>
        <v/>
      </c>
      <c r="BP69" t="str">
        <f t="shared" si="62"/>
        <v/>
      </c>
      <c r="BR69">
        <f>IF(IFERROR(SEARCH("Eldritch Knight",$T69,1),0)&gt;0,1,0)*IF(EldritchKnightMaxSpellLevel&gt;=$C69,1,0)*IF(IFERROR(MATCH($B69,Character_Creation!$J$350:$J$356,0),0)&gt;0,0,1)*IF(Character_Creation!$M$338&gt;0,1,0)</f>
        <v>0</v>
      </c>
      <c r="BS69">
        <f>IF(BR69=0,0,1+COUNTIF(BS$3:BS68,"&gt;0"))</f>
        <v>0</v>
      </c>
      <c r="BT69" t="str">
        <f t="shared" ref="BT69:BT132" si="91">IFERROR(IF(BT68&lt;MAX(BS68:BS472),BT68+1,""),"")</f>
        <v/>
      </c>
      <c r="BU69" t="str">
        <f t="shared" si="63"/>
        <v/>
      </c>
      <c r="BW69">
        <f>IF(IFERROR(SEARCH("Arcane Trickster",$T69,1),0)&gt;0,1,0)*IF(ArcaneTricksterMaxSpellLevel&gt;=$C69,1,0)*IF(IFERROR(MATCH($B69,Character_Creation!$J$350:$J$356,0),0)&gt;0,0,1)*IF(Character_Creation!$T$338&gt;0,1,0)</f>
        <v>0</v>
      </c>
      <c r="BX69">
        <f>IF(BW69=0,0,1+COUNTIF(BX$3:BX68,"&gt;0"))</f>
        <v>0</v>
      </c>
      <c r="BY69" t="str">
        <f t="shared" ref="BY69:BY132" si="92">IFERROR(IF(BY68&lt;MAX(BX68:BX472),BY68+1,""),"")</f>
        <v/>
      </c>
      <c r="BZ69" t="str">
        <f t="shared" si="64"/>
        <v/>
      </c>
      <c r="CB69">
        <f>IF(IFERROR(SEARCH("Wizard",$T69,1),0)&gt;0,1,0)*IF(C69&lt;=ArcaneTricksterMaxSpellLevel,1,0)*IF(IFERROR(MATCH($B69,Character_Creation!$J$350:$J$356,0),0)&gt;0,0,1)*IF(Character_Creation!$T$350&gt;0,1,0)</f>
        <v>0</v>
      </c>
      <c r="CC69">
        <f>IF(CB69=0,0,1+COUNTIF(CC$3:CC68,"&gt;0"))</f>
        <v>0</v>
      </c>
      <c r="CD69" t="str">
        <f t="shared" ref="CD69:CD132" si="93">IFERROR(IF(CD68&lt;MAX(CC68:CC472),CD68+1,""),"")</f>
        <v/>
      </c>
      <c r="CE69" t="str">
        <f t="shared" si="65"/>
        <v/>
      </c>
      <c r="CG69">
        <f>IF(IFERROR(SEARCH("Wizard",$T69,1),0)&gt;0,1,0)*IF($C69&lt;=EldritchKnightMaxSpellLevel,1,0)*IF(IFERROR(MATCH($B69,Character_Creation!$J$350:$J$356,0),0)&gt;0,0,1)*IF(Character_Creation!$M$350&gt;0,1,0)</f>
        <v>0</v>
      </c>
      <c r="CH69">
        <f>IF(CG69=0,0,1+COUNTIF(CH$3:CH68,"&gt;0"))</f>
        <v>0</v>
      </c>
      <c r="CI69">
        <f t="shared" ref="CI69:CI132" si="94">IFERROR(IF(CI68&lt;MAX(CH68:CH472),CI68+1,""),"")</f>
        <v>67</v>
      </c>
      <c r="CJ69" t="str">
        <f t="shared" si="66"/>
        <v>Earthbind</v>
      </c>
      <c r="CL69">
        <f>IF(IFERROR(SEARCH("Bard",$T69,1),0)&gt;0,1,0)*IF(BardMaxSpellLevel&gt;=$C69,1,0)*IF(IFERROR(MATCH(B69,Character_Creation!$C$341:$F$362,0),0)&gt;0,0,1)*IF(IFERROR(MATCH($B69,Character_Creation!$C$341:$C$362,0),0)&gt;0,0,1)</f>
        <v>0</v>
      </c>
      <c r="CM69">
        <f>IF(CL69=0,0,1+COUNTIF(CM$3:CM68,"&gt;0"))</f>
        <v>0</v>
      </c>
      <c r="CN69" t="str">
        <f t="shared" ref="CN69:CN132" si="95">IFERROR(IF(CN68&lt;MAX(CM68:CM472),CN68+1,""),"")</f>
        <v/>
      </c>
      <c r="CO69" t="str">
        <f t="shared" si="67"/>
        <v/>
      </c>
      <c r="CQ69">
        <f>IF(IFERROR(SEARCH("Wizard",$T69,1),0)&gt;0,1,0)*IF(WizardMaxSpellLevel&gt;=$C69,1,0)*IF(IFERROR(MATCH(B69,Character_Creation!$X$341:$X$400,0),0)&gt;0,0,1)*IF(SelectedWizardSpellLevel=$C69,1,0)</f>
        <v>0</v>
      </c>
      <c r="CR69">
        <f>IF(CQ69=0,0,1+COUNTIF(CR$3:CR68,"&gt;0"))</f>
        <v>0</v>
      </c>
      <c r="CS69" t="str">
        <f t="shared" ref="CS69:CS132" si="96">IFERROR(IF(CS68&lt;MAX(CR68:CR472),CS68+1,""),"")</f>
        <v/>
      </c>
      <c r="CT69" t="str">
        <f t="shared" si="68"/>
        <v/>
      </c>
      <c r="CV69">
        <f>IF(IFERROR(MATCH($B69,Character_Creation!$C$341:$C$362,0),0)&gt;0,0,1)*IF(OR(C69="Cantrip",C69&lt;=BardMaxSpellLevel),1,0)*IF(IFERROR(MATCH($B69,Character_Creation!$C$367:$C$374,0),0)&gt;0,0,1)</f>
        <v>0</v>
      </c>
      <c r="CW69">
        <f>IF(CV69=0,0,1+COUNTIF(CW$3:CW68,"&gt;0"))</f>
        <v>0</v>
      </c>
      <c r="CX69" t="str">
        <f t="shared" ref="CX69:CX132" si="97">IFERROR(IF(CX68&lt;MAX(CW68:CW472),CX68+1,""),"")</f>
        <v/>
      </c>
      <c r="CY69" t="str">
        <f t="shared" si="69"/>
        <v/>
      </c>
      <c r="DA69">
        <f>IF(IF(OR(IFERROR(SEARCH("Cleric",$T69,1),0)&gt;0,IFERROR(SEARCH(DivineDomain&amp;",",$T69,1),0)&gt;0),1,0)*IF($C69=DA$2,1,0)=1,1+COUNTIF(DA$3:DA68,"&gt;0"),0)</f>
        <v>0</v>
      </c>
      <c r="DB69">
        <f>IF(IF(OR(IFERROR(SEARCH("Cleric",$T69,1),0)&gt;0,IFERROR(SEARCH(DivineDomain&amp;",",$T69,1),0)&gt;0),1,0)*IF($C69=DB$2,1,0)=1,1+COUNTIF(DB$3:DB68,"&gt;0"),0)</f>
        <v>0</v>
      </c>
      <c r="DC69">
        <f>IF(IF(OR(IFERROR(SEARCH("Cleric",$T69,1),0)&gt;0,IFERROR(SEARCH(DivineDomain&amp;",",$T69,1),0)&gt;0),1,0)*IF($C69=DC$2,1,0)=1,1+COUNTIF(DC$3:DC68,"&gt;0"),0)</f>
        <v>0</v>
      </c>
      <c r="DD69">
        <f>IF(IF(OR(IFERROR(SEARCH("Cleric",$T69,1),0)&gt;0,IFERROR(SEARCH(DivineDomain&amp;",",$T69,1),0)&gt;0),1,0)*IF($C69=DD$2,1,0)=1,1+COUNTIF(DD$3:DD68,"&gt;0"),0)</f>
        <v>0</v>
      </c>
      <c r="DE69">
        <f>IF(IF(OR(IFERROR(SEARCH("Cleric",$T69,1),0)&gt;0,IFERROR(SEARCH(DivineDomain&amp;",",$T69,1),0)&gt;0),1,0)*IF($C69=DE$2,1,0)=1,1+COUNTIF(DE$3:DE68,"&gt;0"),0)</f>
        <v>0</v>
      </c>
      <c r="DF69">
        <f>IF(IF(OR(IFERROR(SEARCH("Cleric",$T69,1),0)&gt;0,IFERROR(SEARCH(DivineDomain&amp;",",$T69,1),0)&gt;0),1,0)*IF($C69=DF$2,1,0)=1,1+COUNTIF(DF$3:DF68,"&gt;0"),0)</f>
        <v>0</v>
      </c>
      <c r="DG69">
        <f>IF(IF(OR(IFERROR(SEARCH("Cleric",$T69,1),0)&gt;0,IFERROR(SEARCH(DivineDomain&amp;",",$T69,1),0)&gt;0),1,0)*IF($C69=DG$2,1,0)=1,1+COUNTIF(DG$3:DG68,"&gt;0"),0)</f>
        <v>0</v>
      </c>
      <c r="DH69">
        <f>IF(IF(OR(IFERROR(SEARCH("Cleric",$T69,1),0)&gt;0,IFERROR(SEARCH(DivineDomain&amp;",",$T69,1),0)&gt;0),1,0)*IF($C69=DH$2,1,0)=1,1+COUNTIF(DH$3:DH68,"&gt;0"),0)</f>
        <v>0</v>
      </c>
      <c r="DI69">
        <f>IF(IF(OR(IFERROR(SEARCH("Cleric",$T69,1),0)&gt;0,IFERROR(SEARCH(DivineDomain&amp;",",$T69,1),0)&gt;0),1,0)*IF($C69=DI$2,1,0)=1,1+COUNTIF(DI$3:DI68,"&gt;0"),0)</f>
        <v>0</v>
      </c>
      <c r="DJ69">
        <f>IF(IF(OR(IFERROR(SEARCH("Druid",$T69,1),0)&gt;0,IFERROR(SEARCH(DruidLand1,$T69,1),0)&gt;0,IFERROR(SEARCH(DruidLand2,$T69,1),0)&gt;0,IFERROR(SEARCH(DruidLand3,$T69,1),0)&gt;0,IFERROR(SEARCH(DruidLand4,$T69,1),0)&gt;0),1,0)*IF($C69=1,1,0)*IF($C69=DJ$2,1,0)=0,0,1+COUNTIF(DJ$3:DJ68,"&gt;0"))</f>
        <v>0</v>
      </c>
      <c r="DK69">
        <f>IF(IF(OR(IFERROR(SEARCH("Druid",$T69,1),0)&gt;0,IFERROR(SEARCH(DruidLand1,$T69,1),0)&gt;0,IFERROR(SEARCH(DruidLand2,$T69,1),0)&gt;0,IFERROR(SEARCH(DruidLand3,$T69,1),0)&gt;0,IFERROR(SEARCH(DruidLand4,$T69,1),0)&gt;0),1,0)*IF($C69=DK$2,1,0)=0,0,1+COUNTIF(DK$3:DK68,"&gt;0"))</f>
        <v>0</v>
      </c>
      <c r="DL69">
        <f>IF(IF(OR(IFERROR(SEARCH("Druid",$T69,1),0)&gt;0,IFERROR(SEARCH(DruidLand1,$T69,1),0)&gt;0,IFERROR(SEARCH(DruidLand2,$T69,1),0)&gt;0,IFERROR(SEARCH(DruidLand3,$T69,1),0)&gt;0,IFERROR(SEARCH(DruidLand4,$T69,1),0)&gt;0),1,0)*IF($C69=DL$2,1,0)=0,0,1+COUNTIF(DL$3:DL68,"&gt;0"))</f>
        <v>0</v>
      </c>
      <c r="DM69">
        <f>IF(IF(OR(IFERROR(SEARCH("Druid",$T69,1),0)&gt;0,IFERROR(SEARCH(DruidLand1,$T69,1),0)&gt;0,IFERROR(SEARCH(DruidLand2,$T69,1),0)&gt;0,IFERROR(SEARCH(DruidLand3,$T69,1),0)&gt;0,IFERROR(SEARCH(DruidLand4,$T69,1),0)&gt;0),1,0)*IF($C69=DM$2,1,0)=0,0,1+COUNTIF(DM$3:DM68,"&gt;0"))</f>
        <v>0</v>
      </c>
      <c r="DN69">
        <f>IF(IF(OR(IFERROR(SEARCH("Druid",$T69,1),0)&gt;0,IFERROR(SEARCH(DruidLand1,$T69,1),0)&gt;0,IFERROR(SEARCH(DruidLand2,$T69,1),0)&gt;0,IFERROR(SEARCH(DruidLand3,$T69,1),0)&gt;0,IFERROR(SEARCH(DruidLand4,$T69,1),0)&gt;0),1,0)*IF($C69=DN$2,1,0)=0,0,1+COUNTIF(DN$3:DN68,"&gt;0"))</f>
        <v>0</v>
      </c>
      <c r="DO69">
        <f>IF(IF(OR(IFERROR(SEARCH("Druid",$T69,1),0)&gt;0,IFERROR(SEARCH(DruidLand1,$T69,1),0)&gt;0,IFERROR(SEARCH(DruidLand2,$T69,1),0)&gt;0,IFERROR(SEARCH(DruidLand3,$T69,1),0)&gt;0,IFERROR(SEARCH(DruidLand4,$T69,1),0)&gt;0),1,0)*IF($C69=DO$2,1,0)=0,0,1+COUNTIF(DO$3:DO68,"&gt;0"))</f>
        <v>1</v>
      </c>
      <c r="DP69">
        <f>IF(IF(OR(IFERROR(SEARCH("Druid",$T69,1),0)&gt;0,IFERROR(SEARCH(DruidLand1,$T69,1),0)&gt;0,IFERROR(SEARCH(DruidLand2,$T69,1),0)&gt;0,IFERROR(SEARCH(DruidLand3,$T69,1),0)&gt;0,IFERROR(SEARCH(DruidLand4,$T69,1),0)&gt;0),1,0)*IF($C69=DP$2,1,0)=0,0,1+COUNTIF(DP$3:DP68,"&gt;0"))</f>
        <v>0</v>
      </c>
      <c r="DQ69">
        <f>IF(IF(OR(IFERROR(SEARCH("Druid",$T69,1),0)&gt;0,IFERROR(SEARCH(DruidLand1,$T69,1),0)&gt;0,IFERROR(SEARCH(DruidLand2,$T69,1),0)&gt;0,IFERROR(SEARCH(DruidLand3,$T69,1),0)&gt;0,IFERROR(SEARCH(DruidLand4,$T69,1),0)&gt;0),1,0)*IF($C69=DQ$2,1,0)=0,0,1+COUNTIF(DQ$3:DQ68,"&gt;0"))</f>
        <v>0</v>
      </c>
      <c r="DR69">
        <f>IF(IF(OR(IFERROR(SEARCH("Druid",$T69,1),0)&gt;0,IFERROR(SEARCH(DruidLand1,$T69,1),0)&gt;0,IFERROR(SEARCH(DruidLand2,$T69,1),0)&gt;0,IFERROR(SEARCH(DruidLand3,$T69,1),0)&gt;0,IFERROR(SEARCH(DruidLand4,$T69,1),0)&gt;0),1,0)*IF($C69=DR$2,1,0)=0,0,1+COUNTIF(DR$3:DR68,"&gt;0"))</f>
        <v>0</v>
      </c>
      <c r="DS69">
        <f>IF(IF(OR(IFERROR(SEARCH("Paladin",$T69,1),0)&gt;0,IFERROR(SEARCH(PaladinOath,$T69,1),0)&gt;0),1,0)*IF($C69=DS$2,1,0)=1,1+COUNTIF(DS$3:DS68,"&gt;0"),0)</f>
        <v>0</v>
      </c>
      <c r="DT69">
        <f>IF(IF(OR(IFERROR(SEARCH("Paladin",$T69,1),0)&gt;0,IFERROR(SEARCH(PaladinOath,$T69,1),0)&gt;0),1,0)*IF($C69=DT$2,1,0)=1,1+COUNTIF(DT$3:DT68,"&gt;0"),0)</f>
        <v>0</v>
      </c>
      <c r="DU69">
        <f>IF(IF(OR(IFERROR(SEARCH("Paladin",$T69,1),0)&gt;0,IFERROR(SEARCH(PaladinOath,$T69,1),0)&gt;0),1,0)*IF($C69=DU$2,1,0)=1,1+COUNTIF(DU$3:DU68,"&gt;0"),0)</f>
        <v>0</v>
      </c>
      <c r="DV69">
        <f>IF(IF(OR(IFERROR(SEARCH("Paladin",$T69,1),0)&gt;0,IFERROR(SEARCH(PaladinOath,$T69,1),0)&gt;0),1,0)*IF($C69=DV$2,1,0)=1,1+COUNTIF(DV$3:DV68,"&gt;0"),0)</f>
        <v>0</v>
      </c>
      <c r="DW69">
        <f>IF(IF(OR(IFERROR(SEARCH("Paladin",$T69,1),0)&gt;0,IFERROR(SEARCH(PaladinOath,$T69,1),0)&gt;0),1,0)*IF($C69=DW$2,1,0)=1,1+COUNTIF(DW$3:DW68,"&gt;0"),0)</f>
        <v>0</v>
      </c>
      <c r="DY69">
        <f t="shared" si="56"/>
        <v>1</v>
      </c>
      <c r="DZ69">
        <f>IF(DY69=0,0,1+MAX(DZ$3:$DZ68))</f>
        <v>67</v>
      </c>
      <c r="EB69">
        <f t="shared" si="70"/>
        <v>0</v>
      </c>
      <c r="EC69">
        <f>IF(EB69=0,0,1+COUNTIF(EC$3:EC68,"&gt;0"))</f>
        <v>0</v>
      </c>
      <c r="ED69" t="str">
        <f t="shared" ref="ED69:ED132" si="98">IFERROR(IF(ED68&lt;MAX(EC68:EC472),ED68+1,""),"")</f>
        <v/>
      </c>
      <c r="EE69" t="str">
        <f t="shared" si="71"/>
        <v/>
      </c>
      <c r="EG69">
        <f t="shared" si="72"/>
        <v>0</v>
      </c>
      <c r="EH69">
        <f>IF(EG69=0,0,1+COUNTIF(EH$3:EH68,"&gt;0"))</f>
        <v>0</v>
      </c>
      <c r="EI69" t="str">
        <f t="shared" ref="EI69:EI132" si="99">IFERROR(IF(EI68&lt;MAX(EH68:EH472),EI68+1,""),"")</f>
        <v/>
      </c>
      <c r="EJ69" t="str">
        <f t="shared" si="73"/>
        <v/>
      </c>
      <c r="EL69">
        <f t="shared" si="74"/>
        <v>0</v>
      </c>
      <c r="EM69">
        <f>IF(EL69=0,0,1+COUNTIF(EM$3:EM68,"&gt;0"))</f>
        <v>0</v>
      </c>
      <c r="EN69" t="str">
        <f t="shared" ref="EN69:EN132" si="100">IFERROR(IF(EN68&lt;MAX(EM68:EM472),EN68+1,""),"")</f>
        <v/>
      </c>
      <c r="EO69" t="str">
        <f t="shared" si="75"/>
        <v/>
      </c>
      <c r="EQ69">
        <f t="shared" si="76"/>
        <v>0</v>
      </c>
      <c r="ER69">
        <f>IF(EQ69=0,0,1+COUNTIF(ER$3:ER68,"&gt;0"))</f>
        <v>0</v>
      </c>
      <c r="ES69" t="str">
        <f t="shared" ref="ES69:ES132" si="101">IFERROR(IF(ES68&lt;MAX(ER68:ER472),ES68+1,""),"")</f>
        <v/>
      </c>
      <c r="ET69" t="str">
        <f t="shared" si="77"/>
        <v/>
      </c>
      <c r="EV69">
        <f t="shared" si="78"/>
        <v>0</v>
      </c>
      <c r="EW69">
        <f>IF(EV69=0,0,1+COUNTIF(EW$3:EW68,"&gt;0"))</f>
        <v>0</v>
      </c>
      <c r="EX69" t="str">
        <f t="shared" ref="EX69:EX132" si="102">IFERROR(IF(EX68&lt;MAX(EW68:EW472),EX68+1,""),"")</f>
        <v/>
      </c>
      <c r="EY69" t="str">
        <f t="shared" si="79"/>
        <v/>
      </c>
      <c r="FA69">
        <f t="shared" si="80"/>
        <v>0</v>
      </c>
      <c r="FB69">
        <f>IF(FA69=0,0,1+COUNTIF(FB$3:FB68,"&gt;0"))</f>
        <v>0</v>
      </c>
      <c r="FC69" t="str">
        <f t="shared" ref="FC69:FC132" si="103">IFERROR(IF(FC68&lt;MAX(FB68:FB472),FC68+1,""),"")</f>
        <v/>
      </c>
      <c r="FD69" t="str">
        <f t="shared" si="81"/>
        <v/>
      </c>
      <c r="FF69">
        <f t="shared" si="82"/>
        <v>0</v>
      </c>
      <c r="FG69">
        <f>IF(FF69=0,0,1+COUNTIF(FG$3:FG68,"&gt;0"))</f>
        <v>0</v>
      </c>
      <c r="FH69" t="str">
        <f t="shared" ref="FH69:FH132" si="104">IFERROR(IF(FH68&lt;MAX(FG68:FG472),FH68+1,""),"")</f>
        <v/>
      </c>
      <c r="FI69" t="str">
        <f t="shared" si="83"/>
        <v/>
      </c>
      <c r="FK69">
        <f t="shared" si="84"/>
        <v>0</v>
      </c>
      <c r="FL69">
        <f>IF(FK69=0,0,1+COUNTIF(FL$3:FL68,"&gt;0"))</f>
        <v>0</v>
      </c>
      <c r="FM69" t="str">
        <f t="shared" ref="FM69:FM132" si="105">IFERROR(IF(FM68&lt;MAX(FL68:FL472),FM68+1,""),"")</f>
        <v/>
      </c>
      <c r="FN69" t="str">
        <f t="shared" si="85"/>
        <v/>
      </c>
      <c r="FP69">
        <f t="shared" si="86"/>
        <v>0</v>
      </c>
      <c r="FQ69">
        <f>IF(FP69=0,0,1+COUNTIF(FQ$3:FQ68,"&gt;0"))</f>
        <v>0</v>
      </c>
      <c r="FR69" t="str">
        <f t="shared" ref="FR69:FR132" si="106">IFERROR(IF(FR68&lt;MAX(FQ68:FQ472),FR68+1,""),"")</f>
        <v/>
      </c>
      <c r="FS69" t="str">
        <f t="shared" si="87"/>
        <v/>
      </c>
    </row>
    <row r="70" spans="1:175" x14ac:dyDescent="0.25">
      <c r="A70" s="347">
        <f t="shared" ref="A70:A133" si="107">A69+1</f>
        <v>68</v>
      </c>
      <c r="B70" s="348" t="s">
        <v>2432</v>
      </c>
      <c r="C70" s="348">
        <v>4</v>
      </c>
      <c r="D70" s="347">
        <v>4</v>
      </c>
      <c r="E70" s="627" t="s">
        <v>6952</v>
      </c>
      <c r="F70" s="346"/>
      <c r="G70" s="347" t="str">
        <f>""</f>
        <v/>
      </c>
      <c r="H70" s="347" t="s">
        <v>5288</v>
      </c>
      <c r="I70" s="347" t="s">
        <v>5312</v>
      </c>
      <c r="J70" s="347" t="str">
        <f t="shared" si="57"/>
        <v/>
      </c>
      <c r="K70" s="347" t="s">
        <v>5284</v>
      </c>
      <c r="L70" s="611" t="str">
        <f t="shared" si="58"/>
        <v>V, S</v>
      </c>
      <c r="M70" s="347" t="s">
        <v>2373</v>
      </c>
      <c r="N70" s="347" t="s">
        <v>2387</v>
      </c>
      <c r="O70" s="347" t="s">
        <v>3034</v>
      </c>
      <c r="P70" s="346" t="str">
        <f>""</f>
        <v/>
      </c>
      <c r="Q70" s="347" t="s">
        <v>5271</v>
      </c>
      <c r="S70" s="346" t="s">
        <v>5637</v>
      </c>
      <c r="T70" s="346" t="str">
        <f t="shared" si="59"/>
        <v xml:space="preserve">Druid, Wizard, </v>
      </c>
      <c r="AA70" s="347" t="str">
        <f>$B70</f>
        <v>Conjure Minor Elementals</v>
      </c>
      <c r="AD70" s="347" t="str">
        <f>$B70</f>
        <v>Conjure Minor Elementals</v>
      </c>
      <c r="AE70" t="str">
        <f>IF(IFERROR(MATCH($B70,temp!A$4:A$13,0),0)&gt;0,T08_Spells!AE$2,"")</f>
        <v/>
      </c>
      <c r="AF70" t="str">
        <f>IF(IFERROR(MATCH($B70,temp!B$4:B$13,0),0)&gt;0,T08_Spells!AF$2,"")</f>
        <v/>
      </c>
      <c r="AG70" t="str">
        <f>IF(IFERROR(MATCH($B70,temp!C$4:C$13,0),0)&gt;0,T08_Spells!AG$2,"")</f>
        <v/>
      </c>
      <c r="AH70" t="str">
        <f>IF(IFERROR(MATCH($B70,temp!D$4:D$13,0),0)&gt;0,T08_Spells!AH$2,"")</f>
        <v/>
      </c>
      <c r="AI70" t="str">
        <f>IF(IFERROR(MATCH($B70,temp!E$4:E$13,0),0)&gt;0,T08_Spells!AI$2,"")</f>
        <v/>
      </c>
      <c r="AJ70" t="str">
        <f>IF(IFERROR(MATCH($B70,temp!F$4:F$13,0),0)&gt;0,T08_Spells!AJ$2,"")</f>
        <v/>
      </c>
      <c r="AK70" t="str">
        <f>IF(IFERROR(MATCH($B70,temp!G$4:G$13,0),0)&gt;0,T08_Spells!AK$2,"")</f>
        <v/>
      </c>
      <c r="AL70" t="str">
        <f>IF(IFERROR(MATCH($B70,temp!H$4:H$13,0),0)&gt;0,T08_Spells!AL$2,"")</f>
        <v/>
      </c>
      <c r="AM70" t="str">
        <f>IF(IFERROR(MATCH($B70,temp!I$4:I$13,0),0)&gt;0,T08_Spells!AM$2,"")</f>
        <v/>
      </c>
      <c r="AN70" t="str">
        <f>IF(IFERROR(MATCH($B70,temp!J$4:J$13,0),0)&gt;0,T08_Spells!AN$2,"")</f>
        <v/>
      </c>
      <c r="AO70" t="str">
        <f>IF(IFERROR(MATCH($B70,temp!K$4:K$13,0),0)&gt;0,T08_Spells!AO$2,"")</f>
        <v/>
      </c>
      <c r="AP70" t="str">
        <f>IF(IFERROR(MATCH($B70,temp!L$4:L$13,0),0)&gt;0,T08_Spells!AP$2,"")</f>
        <v/>
      </c>
      <c r="AQ70" t="str">
        <f>IF(IFERROR(MATCH($B70,temp!M$4:M$13,0),0)&gt;0,T08_Spells!AQ$2,"")</f>
        <v/>
      </c>
      <c r="AR70" t="str">
        <f>IF(IFERROR(MATCH($B70,temp!N$4:N$13,0),0)&gt;0,T08_Spells!AR$2,"")</f>
        <v/>
      </c>
      <c r="AS70" t="str">
        <f>IF(IFERROR(MATCH($B70,temp!O$4:O$13,0),0)&gt;0,T08_Spells!AS$2,"")</f>
        <v/>
      </c>
      <c r="AT70" t="str">
        <f>IF(IFERROR(MATCH($B70,temp!P$4:P$13,0),0)&gt;0,T08_Spells!AT$2,"")</f>
        <v/>
      </c>
      <c r="AU70" t="str">
        <f>IF(IFERROR(MATCH($B70,temp!Q$4:Q$13,0),0)&gt;0,T08_Spells!AU$2,"")</f>
        <v/>
      </c>
      <c r="AV70" t="str">
        <f>IF(IFERROR(MATCH($B70,temp!R$4:R$13,0),0)&gt;0,T08_Spells!AV$2,"")</f>
        <v/>
      </c>
      <c r="AW70" t="str">
        <f>IF(IFERROR(MATCH($B70,temp!S$4:S$13,0),0)&gt;0,T08_Spells!AW$2,"")</f>
        <v/>
      </c>
      <c r="AX70" t="str">
        <f>IF(IFERROR(MATCH($B70,temp!T$4:T$13,0),0)&gt;0,T08_Spells!AX$2,"")</f>
        <v/>
      </c>
      <c r="AY70" t="str">
        <f>IF(IFERROR(MATCH($B70,temp!U$4:U$13,0),0)&gt;0,T08_Spells!AY$2,"")</f>
        <v/>
      </c>
      <c r="AZ70" t="str">
        <f>IF(IFERROR(MATCH($B70,temp!V$4:V$13,0),0)&gt;0,T08_Spells!AZ$2,"")</f>
        <v/>
      </c>
      <c r="BA70" t="str">
        <f>IF(IFERROR(MATCH($B70,temp!W$4:W$13,0),0)&gt;0,T08_Spells!BA$2,"")</f>
        <v/>
      </c>
      <c r="BC70">
        <f>IF(IFERROR(SEARCH("Ranger",$T70,1),0)&gt;0,1,0)*IF(RangerMaxSpellLevel&gt;=$C70,1,0)*IF(IFERROR(MATCH(B70,Character_Creation!$X$79:$X$382,0),0)&gt;0,0,1)</f>
        <v>0</v>
      </c>
      <c r="BD70">
        <f>IF(BC70=0,0,1+COUNTIF(BD$3:BD69,"&gt;0"))</f>
        <v>0</v>
      </c>
      <c r="BE70" t="str">
        <f t="shared" si="88"/>
        <v/>
      </c>
      <c r="BF70" t="str">
        <f t="shared" si="60"/>
        <v/>
      </c>
      <c r="BH70">
        <f>IF(IFERROR(SEARCH("Sorcerer",$T70,1),0)&gt;0,1,0)*IF(SorcererMaxSpellLevel&gt;=$C70,1,0)*IF(IFERROR(MATCH(B70,Character_Creation!$J$380:$J$394,0),0)&gt;0,0,1)</f>
        <v>0</v>
      </c>
      <c r="BI70">
        <f>IF(BH70=0,0,1+COUNTIF(BI$3:BI69,"&gt;0"))</f>
        <v>0</v>
      </c>
      <c r="BJ70" t="str">
        <f t="shared" si="89"/>
        <v/>
      </c>
      <c r="BK70" t="str">
        <f t="shared" si="61"/>
        <v/>
      </c>
      <c r="BM70">
        <f>IF(OR(IFERROR(SEARCH("Warlock",$T70,1),0)&gt;0,IFERROR(SEARCH(WarlockPatron,$T70,1),0)&gt;0),1,0)*IF(WarlockMaxSpellLevel&gt;=$C70,1,0)*IF(IFERROR(MATCH(B70,Character_Creation!$J$361:$J$375,0),0)&gt;0,0,1)</f>
        <v>0</v>
      </c>
      <c r="BN70">
        <f>IF(BM70=0,0,1+COUNTIF(BN$3:BN69,"&gt;0"))</f>
        <v>0</v>
      </c>
      <c r="BO70" t="str">
        <f t="shared" si="90"/>
        <v/>
      </c>
      <c r="BP70" t="str">
        <f t="shared" si="62"/>
        <v/>
      </c>
      <c r="BR70">
        <f>IF(IFERROR(SEARCH("Eldritch Knight",$T70,1),0)&gt;0,1,0)*IF(EldritchKnightMaxSpellLevel&gt;=$C70,1,0)*IF(IFERROR(MATCH($B70,Character_Creation!$J$350:$J$356,0),0)&gt;0,0,1)*IF(Character_Creation!$M$338&gt;0,1,0)</f>
        <v>0</v>
      </c>
      <c r="BS70">
        <f>IF(BR70=0,0,1+COUNTIF(BS$3:BS69,"&gt;0"))</f>
        <v>0</v>
      </c>
      <c r="BT70" t="str">
        <f t="shared" si="91"/>
        <v/>
      </c>
      <c r="BU70" t="str">
        <f t="shared" si="63"/>
        <v/>
      </c>
      <c r="BW70">
        <f>IF(IFERROR(SEARCH("Arcane Trickster",$T70,1),0)&gt;0,1,0)*IF(ArcaneTricksterMaxSpellLevel&gt;=$C70,1,0)*IF(IFERROR(MATCH($B70,Character_Creation!$J$350:$J$356,0),0)&gt;0,0,1)*IF(Character_Creation!$T$338&gt;0,1,0)</f>
        <v>0</v>
      </c>
      <c r="BX70">
        <f>IF(BW70=0,0,1+COUNTIF(BX$3:BX69,"&gt;0"))</f>
        <v>0</v>
      </c>
      <c r="BY70" t="str">
        <f t="shared" si="92"/>
        <v/>
      </c>
      <c r="BZ70" t="str">
        <f t="shared" si="64"/>
        <v/>
      </c>
      <c r="CB70">
        <f>IF(IFERROR(SEARCH("Wizard",$T70,1),0)&gt;0,1,0)*IF(C70&lt;=ArcaneTricksterMaxSpellLevel,1,0)*IF(IFERROR(MATCH($B70,Character_Creation!$J$350:$J$356,0),0)&gt;0,0,1)*IF(Character_Creation!$T$350&gt;0,1,0)</f>
        <v>0</v>
      </c>
      <c r="CC70">
        <f>IF(CB70=0,0,1+COUNTIF(CC$3:CC69,"&gt;0"))</f>
        <v>0</v>
      </c>
      <c r="CD70" t="str">
        <f t="shared" si="93"/>
        <v/>
      </c>
      <c r="CE70" t="str">
        <f t="shared" si="65"/>
        <v/>
      </c>
      <c r="CG70">
        <f>IF(IFERROR(SEARCH("Wizard",$T70,1),0)&gt;0,1,0)*IF($C70&lt;=EldritchKnightMaxSpellLevel,1,0)*IF(IFERROR(MATCH($B70,Character_Creation!$J$350:$J$356,0),0)&gt;0,0,1)*IF(Character_Creation!$M$350&gt;0,1,0)</f>
        <v>0</v>
      </c>
      <c r="CH70">
        <f>IF(CG70=0,0,1+COUNTIF(CH$3:CH69,"&gt;0"))</f>
        <v>0</v>
      </c>
      <c r="CI70">
        <f t="shared" si="94"/>
        <v>68</v>
      </c>
      <c r="CJ70" t="str">
        <f t="shared" si="66"/>
        <v>Earth Tremor</v>
      </c>
      <c r="CL70">
        <f>IF(IFERROR(SEARCH("Bard",$T70,1),0)&gt;0,1,0)*IF(BardMaxSpellLevel&gt;=$C70,1,0)*IF(IFERROR(MATCH(B70,Character_Creation!$C$341:$F$362,0),0)&gt;0,0,1)*IF(IFERROR(MATCH($B70,Character_Creation!$C$341:$C$362,0),0)&gt;0,0,1)</f>
        <v>0</v>
      </c>
      <c r="CM70">
        <f>IF(CL70=0,0,1+COUNTIF(CM$3:CM69,"&gt;0"))</f>
        <v>0</v>
      </c>
      <c r="CN70" t="str">
        <f t="shared" si="95"/>
        <v/>
      </c>
      <c r="CO70" t="str">
        <f t="shared" si="67"/>
        <v/>
      </c>
      <c r="CQ70">
        <f>IF(IFERROR(SEARCH("Wizard",$T70,1),0)&gt;0,1,0)*IF(WizardMaxSpellLevel&gt;=$C70,1,0)*IF(IFERROR(MATCH(B70,Character_Creation!$X$341:$X$400,0),0)&gt;0,0,1)*IF(SelectedWizardSpellLevel=$C70,1,0)</f>
        <v>0</v>
      </c>
      <c r="CR70">
        <f>IF(CQ70=0,0,1+COUNTIF(CR$3:CR69,"&gt;0"))</f>
        <v>0</v>
      </c>
      <c r="CS70" t="str">
        <f t="shared" si="96"/>
        <v/>
      </c>
      <c r="CT70" t="str">
        <f t="shared" si="68"/>
        <v/>
      </c>
      <c r="CV70">
        <f>IF(IFERROR(MATCH($B70,Character_Creation!$C$341:$C$362,0),0)&gt;0,0,1)*IF(OR(C70="Cantrip",C70&lt;=BardMaxSpellLevel),1,0)*IF(IFERROR(MATCH($B70,Character_Creation!$C$367:$C$374,0),0)&gt;0,0,1)</f>
        <v>0</v>
      </c>
      <c r="CW70">
        <f>IF(CV70=0,0,1+COUNTIF(CW$3:CW69,"&gt;0"))</f>
        <v>0</v>
      </c>
      <c r="CX70" t="str">
        <f t="shared" si="97"/>
        <v/>
      </c>
      <c r="CY70" t="str">
        <f t="shared" si="69"/>
        <v/>
      </c>
      <c r="DA70">
        <f>IF(IF(OR(IFERROR(SEARCH("Cleric",$T70,1),0)&gt;0,IFERROR(SEARCH(DivineDomain&amp;",",$T70,1),0)&gt;0),1,0)*IF($C70=DA$2,1,0)=1,1+COUNTIF(DA$3:DA69,"&gt;0"),0)</f>
        <v>0</v>
      </c>
      <c r="DB70">
        <f>IF(IF(OR(IFERROR(SEARCH("Cleric",$T70,1),0)&gt;0,IFERROR(SEARCH(DivineDomain&amp;",",$T70,1),0)&gt;0),1,0)*IF($C70=DB$2,1,0)=1,1+COUNTIF(DB$3:DB69,"&gt;0"),0)</f>
        <v>0</v>
      </c>
      <c r="DC70">
        <f>IF(IF(OR(IFERROR(SEARCH("Cleric",$T70,1),0)&gt;0,IFERROR(SEARCH(DivineDomain&amp;",",$T70,1),0)&gt;0),1,0)*IF($C70=DC$2,1,0)=1,1+COUNTIF(DC$3:DC69,"&gt;0"),0)</f>
        <v>0</v>
      </c>
      <c r="DD70">
        <f>IF(IF(OR(IFERROR(SEARCH("Cleric",$T70,1),0)&gt;0,IFERROR(SEARCH(DivineDomain&amp;",",$T70,1),0)&gt;0),1,0)*IF($C70=DD$2,1,0)=1,1+COUNTIF(DD$3:DD69,"&gt;0"),0)</f>
        <v>0</v>
      </c>
      <c r="DE70">
        <f>IF(IF(OR(IFERROR(SEARCH("Cleric",$T70,1),0)&gt;0,IFERROR(SEARCH(DivineDomain&amp;",",$T70,1),0)&gt;0),1,0)*IF($C70=DE$2,1,0)=1,1+COUNTIF(DE$3:DE69,"&gt;0"),0)</f>
        <v>0</v>
      </c>
      <c r="DF70">
        <f>IF(IF(OR(IFERROR(SEARCH("Cleric",$T70,1),0)&gt;0,IFERROR(SEARCH(DivineDomain&amp;",",$T70,1),0)&gt;0),1,0)*IF($C70=DF$2,1,0)=1,1+COUNTIF(DF$3:DF69,"&gt;0"),0)</f>
        <v>0</v>
      </c>
      <c r="DG70">
        <f>IF(IF(OR(IFERROR(SEARCH("Cleric",$T70,1),0)&gt;0,IFERROR(SEARCH(DivineDomain&amp;",",$T70,1),0)&gt;0),1,0)*IF($C70=DG$2,1,0)=1,1+COUNTIF(DG$3:DG69,"&gt;0"),0)</f>
        <v>0</v>
      </c>
      <c r="DH70">
        <f>IF(IF(OR(IFERROR(SEARCH("Cleric",$T70,1),0)&gt;0,IFERROR(SEARCH(DivineDomain&amp;",",$T70,1),0)&gt;0),1,0)*IF($C70=DH$2,1,0)=1,1+COUNTIF(DH$3:DH69,"&gt;0"),0)</f>
        <v>0</v>
      </c>
      <c r="DI70">
        <f>IF(IF(OR(IFERROR(SEARCH("Cleric",$T70,1),0)&gt;0,IFERROR(SEARCH(DivineDomain&amp;",",$T70,1),0)&gt;0),1,0)*IF($C70=DI$2,1,0)=1,1+COUNTIF(DI$3:DI69,"&gt;0"),0)</f>
        <v>0</v>
      </c>
      <c r="DJ70">
        <f>IF(IF(OR(IFERROR(SEARCH("Druid",$T70,1),0)&gt;0,IFERROR(SEARCH(DruidLand1,$T70,1),0)&gt;0,IFERROR(SEARCH(DruidLand2,$T70,1),0)&gt;0,IFERROR(SEARCH(DruidLand3,$T70,1),0)&gt;0,IFERROR(SEARCH(DruidLand4,$T70,1),0)&gt;0),1,0)*IF($C70=1,1,0)*IF($C70=DJ$2,1,0)=0,0,1+COUNTIF(DJ$3:DJ69,"&gt;0"))</f>
        <v>0</v>
      </c>
      <c r="DK70">
        <f>IF(IF(OR(IFERROR(SEARCH("Druid",$T70,1),0)&gt;0,IFERROR(SEARCH(DruidLand1,$T70,1),0)&gt;0,IFERROR(SEARCH(DruidLand2,$T70,1),0)&gt;0,IFERROR(SEARCH(DruidLand3,$T70,1),0)&gt;0,IFERROR(SEARCH(DruidLand4,$T70,1),0)&gt;0),1,0)*IF($C70=DK$2,1,0)=0,0,1+COUNTIF(DK$3:DK69,"&gt;0"))</f>
        <v>0</v>
      </c>
      <c r="DL70">
        <f>IF(IF(OR(IFERROR(SEARCH("Druid",$T70,1),0)&gt;0,IFERROR(SEARCH(DruidLand1,$T70,1),0)&gt;0,IFERROR(SEARCH(DruidLand2,$T70,1),0)&gt;0,IFERROR(SEARCH(DruidLand3,$T70,1),0)&gt;0,IFERROR(SEARCH(DruidLand4,$T70,1),0)&gt;0),1,0)*IF($C70=DL$2,1,0)=0,0,1+COUNTIF(DL$3:DL69,"&gt;0"))</f>
        <v>0</v>
      </c>
      <c r="DM70">
        <f>IF(IF(OR(IFERROR(SEARCH("Druid",$T70,1),0)&gt;0,IFERROR(SEARCH(DruidLand1,$T70,1),0)&gt;0,IFERROR(SEARCH(DruidLand2,$T70,1),0)&gt;0,IFERROR(SEARCH(DruidLand3,$T70,1),0)&gt;0,IFERROR(SEARCH(DruidLand4,$T70,1),0)&gt;0),1,0)*IF($C70=DM$2,1,0)=0,0,1+COUNTIF(DM$3:DM69,"&gt;0"))</f>
        <v>3</v>
      </c>
      <c r="DN70">
        <f>IF(IF(OR(IFERROR(SEARCH("Druid",$T70,1),0)&gt;0,IFERROR(SEARCH(DruidLand1,$T70,1),0)&gt;0,IFERROR(SEARCH(DruidLand2,$T70,1),0)&gt;0,IFERROR(SEARCH(DruidLand3,$T70,1),0)&gt;0,IFERROR(SEARCH(DruidLand4,$T70,1),0)&gt;0),1,0)*IF($C70=DN$2,1,0)=0,0,1+COUNTIF(DN$3:DN69,"&gt;0"))</f>
        <v>0</v>
      </c>
      <c r="DO70">
        <f>IF(IF(OR(IFERROR(SEARCH("Druid",$T70,1),0)&gt;0,IFERROR(SEARCH(DruidLand1,$T70,1),0)&gt;0,IFERROR(SEARCH(DruidLand2,$T70,1),0)&gt;0,IFERROR(SEARCH(DruidLand3,$T70,1),0)&gt;0,IFERROR(SEARCH(DruidLand4,$T70,1),0)&gt;0),1,0)*IF($C70=DO$2,1,0)=0,0,1+COUNTIF(DO$3:DO69,"&gt;0"))</f>
        <v>0</v>
      </c>
      <c r="DP70">
        <f>IF(IF(OR(IFERROR(SEARCH("Druid",$T70,1),0)&gt;0,IFERROR(SEARCH(DruidLand1,$T70,1),0)&gt;0,IFERROR(SEARCH(DruidLand2,$T70,1),0)&gt;0,IFERROR(SEARCH(DruidLand3,$T70,1),0)&gt;0,IFERROR(SEARCH(DruidLand4,$T70,1),0)&gt;0),1,0)*IF($C70=DP$2,1,0)=0,0,1+COUNTIF(DP$3:DP69,"&gt;0"))</f>
        <v>0</v>
      </c>
      <c r="DQ70">
        <f>IF(IF(OR(IFERROR(SEARCH("Druid",$T70,1),0)&gt;0,IFERROR(SEARCH(DruidLand1,$T70,1),0)&gt;0,IFERROR(SEARCH(DruidLand2,$T70,1),0)&gt;0,IFERROR(SEARCH(DruidLand3,$T70,1),0)&gt;0,IFERROR(SEARCH(DruidLand4,$T70,1),0)&gt;0),1,0)*IF($C70=DQ$2,1,0)=0,0,1+COUNTIF(DQ$3:DQ69,"&gt;0"))</f>
        <v>0</v>
      </c>
      <c r="DR70">
        <f>IF(IF(OR(IFERROR(SEARCH("Druid",$T70,1),0)&gt;0,IFERROR(SEARCH(DruidLand1,$T70,1),0)&gt;0,IFERROR(SEARCH(DruidLand2,$T70,1),0)&gt;0,IFERROR(SEARCH(DruidLand3,$T70,1),0)&gt;0,IFERROR(SEARCH(DruidLand4,$T70,1),0)&gt;0),1,0)*IF($C70=DR$2,1,0)=0,0,1+COUNTIF(DR$3:DR69,"&gt;0"))</f>
        <v>0</v>
      </c>
      <c r="DS70">
        <f>IF(IF(OR(IFERROR(SEARCH("Paladin",$T70,1),0)&gt;0,IFERROR(SEARCH(PaladinOath,$T70,1),0)&gt;0),1,0)*IF($C70=DS$2,1,0)=1,1+COUNTIF(DS$3:DS69,"&gt;0"),0)</f>
        <v>0</v>
      </c>
      <c r="DT70">
        <f>IF(IF(OR(IFERROR(SEARCH("Paladin",$T70,1),0)&gt;0,IFERROR(SEARCH(PaladinOath,$T70,1),0)&gt;0),1,0)*IF($C70=DT$2,1,0)=1,1+COUNTIF(DT$3:DT69,"&gt;0"),0)</f>
        <v>0</v>
      </c>
      <c r="DU70">
        <f>IF(IF(OR(IFERROR(SEARCH("Paladin",$T70,1),0)&gt;0,IFERROR(SEARCH(PaladinOath,$T70,1),0)&gt;0),1,0)*IF($C70=DU$2,1,0)=1,1+COUNTIF(DU$3:DU69,"&gt;0"),0)</f>
        <v>0</v>
      </c>
      <c r="DV70">
        <f>IF(IF(OR(IFERROR(SEARCH("Paladin",$T70,1),0)&gt;0,IFERROR(SEARCH(PaladinOath,$T70,1),0)&gt;0),1,0)*IF($C70=DV$2,1,0)=1,1+COUNTIF(DV$3:DV69,"&gt;0"),0)</f>
        <v>0</v>
      </c>
      <c r="DW70">
        <f>IF(IF(OR(IFERROR(SEARCH("Paladin",$T70,1),0)&gt;0,IFERROR(SEARCH(PaladinOath,$T70,1),0)&gt;0),1,0)*IF($C70=DW$2,1,0)=1,1+COUNTIF(DW$3:DW69,"&gt;0"),0)</f>
        <v>0</v>
      </c>
      <c r="DY70">
        <f t="shared" si="56"/>
        <v>1</v>
      </c>
      <c r="DZ70">
        <f>IF(DY70=0,0,1+MAX(DZ$3:$DZ69))</f>
        <v>68</v>
      </c>
      <c r="EB70">
        <f t="shared" si="70"/>
        <v>0</v>
      </c>
      <c r="EC70">
        <f>IF(EB70=0,0,1+COUNTIF(EC$3:EC69,"&gt;0"))</f>
        <v>0</v>
      </c>
      <c r="ED70" t="str">
        <f t="shared" si="98"/>
        <v/>
      </c>
      <c r="EE70" t="str">
        <f t="shared" si="71"/>
        <v/>
      </c>
      <c r="EG70">
        <f t="shared" si="72"/>
        <v>0</v>
      </c>
      <c r="EH70">
        <f>IF(EG70=0,0,1+COUNTIF(EH$3:EH69,"&gt;0"))</f>
        <v>0</v>
      </c>
      <c r="EI70" t="str">
        <f t="shared" si="99"/>
        <v/>
      </c>
      <c r="EJ70" t="str">
        <f t="shared" si="73"/>
        <v/>
      </c>
      <c r="EL70">
        <f t="shared" si="74"/>
        <v>0</v>
      </c>
      <c r="EM70">
        <f>IF(EL70=0,0,1+COUNTIF(EM$3:EM69,"&gt;0"))</f>
        <v>0</v>
      </c>
      <c r="EN70" t="str">
        <f t="shared" si="100"/>
        <v/>
      </c>
      <c r="EO70" t="str">
        <f t="shared" si="75"/>
        <v/>
      </c>
      <c r="EQ70">
        <f t="shared" si="76"/>
        <v>0</v>
      </c>
      <c r="ER70">
        <f>IF(EQ70=0,0,1+COUNTIF(ER$3:ER69,"&gt;0"))</f>
        <v>0</v>
      </c>
      <c r="ES70" t="str">
        <f t="shared" si="101"/>
        <v/>
      </c>
      <c r="ET70" t="str">
        <f t="shared" si="77"/>
        <v/>
      </c>
      <c r="EV70">
        <f t="shared" si="78"/>
        <v>0</v>
      </c>
      <c r="EW70">
        <f>IF(EV70=0,0,1+COUNTIF(EW$3:EW69,"&gt;0"))</f>
        <v>0</v>
      </c>
      <c r="EX70" t="str">
        <f t="shared" si="102"/>
        <v/>
      </c>
      <c r="EY70" t="str">
        <f t="shared" si="79"/>
        <v/>
      </c>
      <c r="FA70">
        <f t="shared" si="80"/>
        <v>0</v>
      </c>
      <c r="FB70">
        <f>IF(FA70=0,0,1+COUNTIF(FB$3:FB69,"&gt;0"))</f>
        <v>0</v>
      </c>
      <c r="FC70" t="str">
        <f t="shared" si="103"/>
        <v/>
      </c>
      <c r="FD70" t="str">
        <f t="shared" si="81"/>
        <v/>
      </c>
      <c r="FF70">
        <f t="shared" si="82"/>
        <v>0</v>
      </c>
      <c r="FG70">
        <f>IF(FF70=0,0,1+COUNTIF(FG$3:FG69,"&gt;0"))</f>
        <v>0</v>
      </c>
      <c r="FH70" t="str">
        <f t="shared" si="104"/>
        <v/>
      </c>
      <c r="FI70" t="str">
        <f t="shared" si="83"/>
        <v/>
      </c>
      <c r="FK70">
        <f t="shared" si="84"/>
        <v>0</v>
      </c>
      <c r="FL70">
        <f>IF(FK70=0,0,1+COUNTIF(FL$3:FL69,"&gt;0"))</f>
        <v>0</v>
      </c>
      <c r="FM70" t="str">
        <f t="shared" si="105"/>
        <v/>
      </c>
      <c r="FN70" t="str">
        <f t="shared" si="85"/>
        <v/>
      </c>
      <c r="FP70">
        <f t="shared" si="86"/>
        <v>0</v>
      </c>
      <c r="FQ70">
        <f>IF(FP70=0,0,1+COUNTIF(FQ$3:FQ69,"&gt;0"))</f>
        <v>0</v>
      </c>
      <c r="FR70" t="str">
        <f t="shared" si="106"/>
        <v/>
      </c>
      <c r="FS70" t="str">
        <f t="shared" si="87"/>
        <v/>
      </c>
    </row>
    <row r="71" spans="1:175" x14ac:dyDescent="0.25">
      <c r="A71" s="347">
        <f t="shared" si="107"/>
        <v>69</v>
      </c>
      <c r="B71" s="348" t="s">
        <v>2433</v>
      </c>
      <c r="C71" s="348">
        <v>5</v>
      </c>
      <c r="D71" s="347">
        <v>5</v>
      </c>
      <c r="E71" s="627" t="s">
        <v>6952</v>
      </c>
      <c r="F71" s="346"/>
      <c r="G71" s="347" t="str">
        <f>""</f>
        <v/>
      </c>
      <c r="H71" s="347" t="s">
        <v>5912</v>
      </c>
      <c r="I71" s="347" t="s">
        <v>5315</v>
      </c>
      <c r="J71" s="347" t="str">
        <f t="shared" si="57"/>
        <v/>
      </c>
      <c r="K71" s="347" t="s">
        <v>5278</v>
      </c>
      <c r="L71" s="611" t="str">
        <f t="shared" si="58"/>
        <v>V, S, M, one piece of ammunition or one thrown weapon</v>
      </c>
      <c r="M71" s="347" t="s">
        <v>2373</v>
      </c>
      <c r="N71" s="347" t="s">
        <v>2387</v>
      </c>
      <c r="O71" s="347" t="s">
        <v>1244</v>
      </c>
      <c r="P71" s="346" t="s">
        <v>5330</v>
      </c>
      <c r="Q71" s="347" t="s">
        <v>5271</v>
      </c>
      <c r="S71" s="346" t="s">
        <v>2434</v>
      </c>
      <c r="T71" s="346" t="str">
        <f t="shared" si="59"/>
        <v xml:space="preserve">Ranger, </v>
      </c>
      <c r="W71" s="347" t="str">
        <f>$B71</f>
        <v>Conjure Volley</v>
      </c>
      <c r="AE71" t="str">
        <f>IF(IFERROR(MATCH($B71,temp!A$4:A$13,0),0)&gt;0,T08_Spells!AE$2,"")</f>
        <v/>
      </c>
      <c r="AF71" t="str">
        <f>IF(IFERROR(MATCH($B71,temp!B$4:B$13,0),0)&gt;0,T08_Spells!AF$2,"")</f>
        <v/>
      </c>
      <c r="AG71" t="str">
        <f>IF(IFERROR(MATCH($B71,temp!C$4:C$13,0),0)&gt;0,T08_Spells!AG$2,"")</f>
        <v/>
      </c>
      <c r="AH71" t="str">
        <f>IF(IFERROR(MATCH($B71,temp!D$4:D$13,0),0)&gt;0,T08_Spells!AH$2,"")</f>
        <v/>
      </c>
      <c r="AI71" t="str">
        <f>IF(IFERROR(MATCH($B71,temp!E$4:E$13,0),0)&gt;0,T08_Spells!AI$2,"")</f>
        <v/>
      </c>
      <c r="AJ71" t="str">
        <f>IF(IFERROR(MATCH($B71,temp!F$4:F$13,0),0)&gt;0,T08_Spells!AJ$2,"")</f>
        <v/>
      </c>
      <c r="AK71" t="str">
        <f>IF(IFERROR(MATCH($B71,temp!G$4:G$13,0),0)&gt;0,T08_Spells!AK$2,"")</f>
        <v/>
      </c>
      <c r="AL71" t="str">
        <f>IF(IFERROR(MATCH($B71,temp!H$4:H$13,0),0)&gt;0,T08_Spells!AL$2,"")</f>
        <v/>
      </c>
      <c r="AM71" t="str">
        <f>IF(IFERROR(MATCH($B71,temp!I$4:I$13,0),0)&gt;0,T08_Spells!AM$2,"")</f>
        <v/>
      </c>
      <c r="AN71" t="str">
        <f>IF(IFERROR(MATCH($B71,temp!J$4:J$13,0),0)&gt;0,T08_Spells!AN$2,"")</f>
        <v/>
      </c>
      <c r="AO71" t="str">
        <f>IF(IFERROR(MATCH($B71,temp!K$4:K$13,0),0)&gt;0,T08_Spells!AO$2,"")</f>
        <v/>
      </c>
      <c r="AP71" t="str">
        <f>IF(IFERROR(MATCH($B71,temp!L$4:L$13,0),0)&gt;0,T08_Spells!AP$2,"")</f>
        <v/>
      </c>
      <c r="AQ71" t="str">
        <f>IF(IFERROR(MATCH($B71,temp!M$4:M$13,0),0)&gt;0,T08_Spells!AQ$2,"")</f>
        <v/>
      </c>
      <c r="AR71" t="str">
        <f>IF(IFERROR(MATCH($B71,temp!N$4:N$13,0),0)&gt;0,T08_Spells!AR$2,"")</f>
        <v/>
      </c>
      <c r="AS71" t="str">
        <f>IF(IFERROR(MATCH($B71,temp!O$4:O$13,0),0)&gt;0,T08_Spells!AS$2,"")</f>
        <v/>
      </c>
      <c r="AT71" t="str">
        <f>IF(IFERROR(MATCH($B71,temp!P$4:P$13,0),0)&gt;0,T08_Spells!AT$2,"")</f>
        <v/>
      </c>
      <c r="AU71" t="str">
        <f>IF(IFERROR(MATCH($B71,temp!Q$4:Q$13,0),0)&gt;0,T08_Spells!AU$2,"")</f>
        <v/>
      </c>
      <c r="AV71" t="str">
        <f>IF(IFERROR(MATCH($B71,temp!R$4:R$13,0),0)&gt;0,T08_Spells!AV$2,"")</f>
        <v/>
      </c>
      <c r="AW71" t="str">
        <f>IF(IFERROR(MATCH($B71,temp!S$4:S$13,0),0)&gt;0,T08_Spells!AW$2,"")</f>
        <v/>
      </c>
      <c r="AX71" t="str">
        <f>IF(IFERROR(MATCH($B71,temp!T$4:T$13,0),0)&gt;0,T08_Spells!AX$2,"")</f>
        <v/>
      </c>
      <c r="AY71" t="str">
        <f>IF(IFERROR(MATCH($B71,temp!U$4:U$13,0),0)&gt;0,T08_Spells!AY$2,"")</f>
        <v/>
      </c>
      <c r="AZ71" t="str">
        <f>IF(IFERROR(MATCH($B71,temp!V$4:V$13,0),0)&gt;0,T08_Spells!AZ$2,"")</f>
        <v/>
      </c>
      <c r="BA71" t="str">
        <f>IF(IFERROR(MATCH($B71,temp!W$4:W$13,0),0)&gt;0,T08_Spells!BA$2,"")</f>
        <v/>
      </c>
      <c r="BC71">
        <f>IF(IFERROR(SEARCH("Ranger",$T71,1),0)&gt;0,1,0)*IF(RangerMaxSpellLevel&gt;=$C71,1,0)*IF(IFERROR(MATCH(B71,Character_Creation!$X$79:$X$382,0),0)&gt;0,0,1)</f>
        <v>0</v>
      </c>
      <c r="BD71">
        <f>IF(BC71=0,0,1+COUNTIF(BD$3:BD70,"&gt;0"))</f>
        <v>0</v>
      </c>
      <c r="BE71" t="str">
        <f t="shared" si="88"/>
        <v/>
      </c>
      <c r="BF71" t="str">
        <f t="shared" si="60"/>
        <v/>
      </c>
      <c r="BH71">
        <f>IF(IFERROR(SEARCH("Sorcerer",$T71,1),0)&gt;0,1,0)*IF(SorcererMaxSpellLevel&gt;=$C71,1,0)*IF(IFERROR(MATCH(B71,Character_Creation!$J$380:$J$394,0),0)&gt;0,0,1)</f>
        <v>0</v>
      </c>
      <c r="BI71">
        <f>IF(BH71=0,0,1+COUNTIF(BI$3:BI70,"&gt;0"))</f>
        <v>0</v>
      </c>
      <c r="BJ71" t="str">
        <f t="shared" si="89"/>
        <v/>
      </c>
      <c r="BK71" t="str">
        <f t="shared" si="61"/>
        <v/>
      </c>
      <c r="BM71">
        <f>IF(OR(IFERROR(SEARCH("Warlock",$T71,1),0)&gt;0,IFERROR(SEARCH(WarlockPatron,$T71,1),0)&gt;0),1,0)*IF(WarlockMaxSpellLevel&gt;=$C71,1,0)*IF(IFERROR(MATCH(B71,Character_Creation!$J$361:$J$375,0),0)&gt;0,0,1)</f>
        <v>0</v>
      </c>
      <c r="BN71">
        <f>IF(BM71=0,0,1+COUNTIF(BN$3:BN70,"&gt;0"))</f>
        <v>0</v>
      </c>
      <c r="BO71" t="str">
        <f t="shared" si="90"/>
        <v/>
      </c>
      <c r="BP71" t="str">
        <f t="shared" si="62"/>
        <v/>
      </c>
      <c r="BR71">
        <f>IF(IFERROR(SEARCH("Eldritch Knight",$T71,1),0)&gt;0,1,0)*IF(EldritchKnightMaxSpellLevel&gt;=$C71,1,0)*IF(IFERROR(MATCH($B71,Character_Creation!$J$350:$J$356,0),0)&gt;0,0,1)*IF(Character_Creation!$M$338&gt;0,1,0)</f>
        <v>0</v>
      </c>
      <c r="BS71">
        <f>IF(BR71=0,0,1+COUNTIF(BS$3:BS70,"&gt;0"))</f>
        <v>0</v>
      </c>
      <c r="BT71" t="str">
        <f t="shared" si="91"/>
        <v/>
      </c>
      <c r="BU71" t="str">
        <f t="shared" si="63"/>
        <v/>
      </c>
      <c r="BW71">
        <f>IF(IFERROR(SEARCH("Arcane Trickster",$T71,1),0)&gt;0,1,0)*IF(ArcaneTricksterMaxSpellLevel&gt;=$C71,1,0)*IF(IFERROR(MATCH($B71,Character_Creation!$J$350:$J$356,0),0)&gt;0,0,1)*IF(Character_Creation!$T$338&gt;0,1,0)</f>
        <v>0</v>
      </c>
      <c r="BX71">
        <f>IF(BW71=0,0,1+COUNTIF(BX$3:BX70,"&gt;0"))</f>
        <v>0</v>
      </c>
      <c r="BY71" t="str">
        <f t="shared" si="92"/>
        <v/>
      </c>
      <c r="BZ71" t="str">
        <f t="shared" si="64"/>
        <v/>
      </c>
      <c r="CB71">
        <f>IF(IFERROR(SEARCH("Wizard",$T71,1),0)&gt;0,1,0)*IF(C71&lt;=ArcaneTricksterMaxSpellLevel,1,0)*IF(IFERROR(MATCH($B71,Character_Creation!$J$350:$J$356,0),0)&gt;0,0,1)*IF(Character_Creation!$T$350&gt;0,1,0)</f>
        <v>0</v>
      </c>
      <c r="CC71">
        <f>IF(CB71=0,0,1+COUNTIF(CC$3:CC70,"&gt;0"))</f>
        <v>0</v>
      </c>
      <c r="CD71" t="str">
        <f t="shared" si="93"/>
        <v/>
      </c>
      <c r="CE71" t="str">
        <f t="shared" si="65"/>
        <v/>
      </c>
      <c r="CG71">
        <f>IF(IFERROR(SEARCH("Wizard",$T71,1),0)&gt;0,1,0)*IF($C71&lt;=EldritchKnightMaxSpellLevel,1,0)*IF(IFERROR(MATCH($B71,Character_Creation!$J$350:$J$356,0),0)&gt;0,0,1)*IF(Character_Creation!$M$350&gt;0,1,0)</f>
        <v>0</v>
      </c>
      <c r="CH71">
        <f>IF(CG71=0,0,1+COUNTIF(CH$3:CH70,"&gt;0"))</f>
        <v>0</v>
      </c>
      <c r="CI71">
        <f t="shared" si="94"/>
        <v>69</v>
      </c>
      <c r="CJ71" t="str">
        <f t="shared" si="66"/>
        <v>Ice Knife</v>
      </c>
      <c r="CL71">
        <f>IF(IFERROR(SEARCH("Bard",$T71,1),0)&gt;0,1,0)*IF(BardMaxSpellLevel&gt;=$C71,1,0)*IF(IFERROR(MATCH(B71,Character_Creation!$C$341:$F$362,0),0)&gt;0,0,1)*IF(IFERROR(MATCH($B71,Character_Creation!$C$341:$C$362,0),0)&gt;0,0,1)</f>
        <v>0</v>
      </c>
      <c r="CM71">
        <f>IF(CL71=0,0,1+COUNTIF(CM$3:CM70,"&gt;0"))</f>
        <v>0</v>
      </c>
      <c r="CN71" t="str">
        <f t="shared" si="95"/>
        <v/>
      </c>
      <c r="CO71" t="str">
        <f t="shared" si="67"/>
        <v/>
      </c>
      <c r="CQ71">
        <f>IF(IFERROR(SEARCH("Wizard",$T71,1),0)&gt;0,1,0)*IF(WizardMaxSpellLevel&gt;=$C71,1,0)*IF(IFERROR(MATCH(B71,Character_Creation!$X$341:$X$400,0),0)&gt;0,0,1)*IF(SelectedWizardSpellLevel=$C71,1,0)</f>
        <v>0</v>
      </c>
      <c r="CR71">
        <f>IF(CQ71=0,0,1+COUNTIF(CR$3:CR70,"&gt;0"))</f>
        <v>0</v>
      </c>
      <c r="CS71" t="str">
        <f t="shared" si="96"/>
        <v/>
      </c>
      <c r="CT71" t="str">
        <f t="shared" si="68"/>
        <v/>
      </c>
      <c r="CV71">
        <f>IF(IFERROR(MATCH($B71,Character_Creation!$C$341:$C$362,0),0)&gt;0,0,1)*IF(OR(C71="Cantrip",C71&lt;=BardMaxSpellLevel),1,0)*IF(IFERROR(MATCH($B71,Character_Creation!$C$367:$C$374,0),0)&gt;0,0,1)</f>
        <v>0</v>
      </c>
      <c r="CW71">
        <f>IF(CV71=0,0,1+COUNTIF(CW$3:CW70,"&gt;0"))</f>
        <v>0</v>
      </c>
      <c r="CX71" t="str">
        <f t="shared" si="97"/>
        <v/>
      </c>
      <c r="CY71" t="str">
        <f t="shared" si="69"/>
        <v/>
      </c>
      <c r="DA71">
        <f>IF(IF(OR(IFERROR(SEARCH("Cleric",$T71,1),0)&gt;0,IFERROR(SEARCH(DivineDomain&amp;",",$T71,1),0)&gt;0),1,0)*IF($C71=DA$2,1,0)=1,1+COUNTIF(DA$3:DA70,"&gt;0"),0)</f>
        <v>0</v>
      </c>
      <c r="DB71">
        <f>IF(IF(OR(IFERROR(SEARCH("Cleric",$T71,1),0)&gt;0,IFERROR(SEARCH(DivineDomain&amp;",",$T71,1),0)&gt;0),1,0)*IF($C71=DB$2,1,0)=1,1+COUNTIF(DB$3:DB70,"&gt;0"),0)</f>
        <v>0</v>
      </c>
      <c r="DC71">
        <f>IF(IF(OR(IFERROR(SEARCH("Cleric",$T71,1),0)&gt;0,IFERROR(SEARCH(DivineDomain&amp;",",$T71,1),0)&gt;0),1,0)*IF($C71=DC$2,1,0)=1,1+COUNTIF(DC$3:DC70,"&gt;0"),0)</f>
        <v>0</v>
      </c>
      <c r="DD71">
        <f>IF(IF(OR(IFERROR(SEARCH("Cleric",$T71,1),0)&gt;0,IFERROR(SEARCH(DivineDomain&amp;",",$T71,1),0)&gt;0),1,0)*IF($C71=DD$2,1,0)=1,1+COUNTIF(DD$3:DD70,"&gt;0"),0)</f>
        <v>0</v>
      </c>
      <c r="DE71">
        <f>IF(IF(OR(IFERROR(SEARCH("Cleric",$T71,1),0)&gt;0,IFERROR(SEARCH(DivineDomain&amp;",",$T71,1),0)&gt;0),1,0)*IF($C71=DE$2,1,0)=1,1+COUNTIF(DE$3:DE70,"&gt;0"),0)</f>
        <v>0</v>
      </c>
      <c r="DF71">
        <f>IF(IF(OR(IFERROR(SEARCH("Cleric",$T71,1),0)&gt;0,IFERROR(SEARCH(DivineDomain&amp;",",$T71,1),0)&gt;0),1,0)*IF($C71=DF$2,1,0)=1,1+COUNTIF(DF$3:DF70,"&gt;0"),0)</f>
        <v>0</v>
      </c>
      <c r="DG71">
        <f>IF(IF(OR(IFERROR(SEARCH("Cleric",$T71,1),0)&gt;0,IFERROR(SEARCH(DivineDomain&amp;",",$T71,1),0)&gt;0),1,0)*IF($C71=DG$2,1,0)=1,1+COUNTIF(DG$3:DG70,"&gt;0"),0)</f>
        <v>0</v>
      </c>
      <c r="DH71">
        <f>IF(IF(OR(IFERROR(SEARCH("Cleric",$T71,1),0)&gt;0,IFERROR(SEARCH(DivineDomain&amp;",",$T71,1),0)&gt;0),1,0)*IF($C71=DH$2,1,0)=1,1+COUNTIF(DH$3:DH70,"&gt;0"),0)</f>
        <v>0</v>
      </c>
      <c r="DI71">
        <f>IF(IF(OR(IFERROR(SEARCH("Cleric",$T71,1),0)&gt;0,IFERROR(SEARCH(DivineDomain&amp;",",$T71,1),0)&gt;0),1,0)*IF($C71=DI$2,1,0)=1,1+COUNTIF(DI$3:DI70,"&gt;0"),0)</f>
        <v>0</v>
      </c>
      <c r="DJ71">
        <f>IF(IF(OR(IFERROR(SEARCH("Druid",$T71,1),0)&gt;0,IFERROR(SEARCH(DruidLand1,$T71,1),0)&gt;0,IFERROR(SEARCH(DruidLand2,$T71,1),0)&gt;0,IFERROR(SEARCH(DruidLand3,$T71,1),0)&gt;0,IFERROR(SEARCH(DruidLand4,$T71,1),0)&gt;0),1,0)*IF($C71=1,1,0)*IF($C71=DJ$2,1,0)=0,0,1+COUNTIF(DJ$3:DJ70,"&gt;0"))</f>
        <v>0</v>
      </c>
      <c r="DK71">
        <f>IF(IF(OR(IFERROR(SEARCH("Druid",$T71,1),0)&gt;0,IFERROR(SEARCH(DruidLand1,$T71,1),0)&gt;0,IFERROR(SEARCH(DruidLand2,$T71,1),0)&gt;0,IFERROR(SEARCH(DruidLand3,$T71,1),0)&gt;0,IFERROR(SEARCH(DruidLand4,$T71,1),0)&gt;0),1,0)*IF($C71=1,1,0)*IF($C71=DK$2,1,0)=0,0,1+COUNTIF(DK$3:DK70,"&gt;0"))</f>
        <v>0</v>
      </c>
      <c r="DL71">
        <f>IF(IF(OR(IFERROR(SEARCH("Druid",$T71,1),0)&gt;0,IFERROR(SEARCH(DruidLand1,$T71,1),0)&gt;0,IFERROR(SEARCH(DruidLand2,$T71,1),0)&gt;0,IFERROR(SEARCH(DruidLand3,$T71,1),0)&gt;0,IFERROR(SEARCH(DruidLand4,$T71,1),0)&gt;0),1,0)*IF($C71=1,1,0)*IF($C71=DL$2,1,0)=0,0,1+COUNTIF(DL$3:DL70,"&gt;0"))</f>
        <v>0</v>
      </c>
      <c r="DM71">
        <f>IF(IF(OR(IFERROR(SEARCH("Druid",$T71,1),0)&gt;0,IFERROR(SEARCH(DruidLand1,$T71,1),0)&gt;0,IFERROR(SEARCH(DruidLand2,$T71,1),0)&gt;0,IFERROR(SEARCH(DruidLand3,$T71,1),0)&gt;0,IFERROR(SEARCH(DruidLand4,$T71,1),0)&gt;0),1,0)*IF($C71=1,1,0)*IF($C71=DM$2,1,0)=0,0,1+COUNTIF(DM$3:DM70,"&gt;0"))</f>
        <v>0</v>
      </c>
      <c r="DN71">
        <f>IF(IF(OR(IFERROR(SEARCH("Druid",$T71,1),0)&gt;0,IFERROR(SEARCH(DruidLand1,$T71,1),0)&gt;0,IFERROR(SEARCH(DruidLand2,$T71,1),0)&gt;0,IFERROR(SEARCH(DruidLand3,$T71,1),0)&gt;0,IFERROR(SEARCH(DruidLand4,$T71,1),0)&gt;0),1,0)*IF($C71=1,1,0)*IF($C71=DN$2,1,0)=0,0,1+COUNTIF(DN$3:DN70,"&gt;0"))</f>
        <v>0</v>
      </c>
      <c r="DO71">
        <f>IF(IF(OR(IFERROR(SEARCH("Druid",$T71,1),0)&gt;0,IFERROR(SEARCH(DruidLand1,$T71,1),0)&gt;0,IFERROR(SEARCH(DruidLand2,$T71,1),0)&gt;0,IFERROR(SEARCH(DruidLand3,$T71,1),0)&gt;0,IFERROR(SEARCH(DruidLand4,$T71,1),0)&gt;0),1,0)*IF($C71=1,1,0)*IF($C71=DO$2,1,0)=0,0,1+COUNTIF(DO$3:DO70,"&gt;0"))</f>
        <v>0</v>
      </c>
      <c r="DP71">
        <f>IF(IF(OR(IFERROR(SEARCH("Druid",$T71,1),0)&gt;0,IFERROR(SEARCH(DruidLand1,$T71,1),0)&gt;0,IFERROR(SEARCH(DruidLand2,$T71,1),0)&gt;0,IFERROR(SEARCH(DruidLand3,$T71,1),0)&gt;0,IFERROR(SEARCH(DruidLand4,$T71,1),0)&gt;0),1,0)*IF($C71=1,1,0)*IF($C71=DP$2,1,0)=0,0,1+COUNTIF(DP$3:DP70,"&gt;0"))</f>
        <v>0</v>
      </c>
      <c r="DQ71">
        <f>IF(IF(OR(IFERROR(SEARCH("Druid",$T71,1),0)&gt;0,IFERROR(SEARCH(DruidLand1,$T71,1),0)&gt;0,IFERROR(SEARCH(DruidLand2,$T71,1),0)&gt;0,IFERROR(SEARCH(DruidLand3,$T71,1),0)&gt;0,IFERROR(SEARCH(DruidLand4,$T71,1),0)&gt;0),1,0)*IF($C71=1,1,0)*IF($C71=DQ$2,1,0)=0,0,1+COUNTIF(DQ$3:DQ70,"&gt;0"))</f>
        <v>0</v>
      </c>
      <c r="DR71">
        <f>IF(IF(OR(IFERROR(SEARCH("Druid",$T71,1),0)&gt;0,IFERROR(SEARCH(DruidLand1,$T71,1),0)&gt;0,IFERROR(SEARCH(DruidLand2,$T71,1),0)&gt;0,IFERROR(SEARCH(DruidLand3,$T71,1),0)&gt;0,IFERROR(SEARCH(DruidLand4,$T71,1),0)&gt;0),1,0)*IF($C71=1,1,0)*IF($C71=DR$2,1,0)=0,0,1+COUNTIF(DR$3:DR70,"&gt;0"))</f>
        <v>0</v>
      </c>
      <c r="DS71">
        <f>IF(IF(OR(IFERROR(SEARCH("Paladin",$T71,1),0)&gt;0,IFERROR(SEARCH(PaladinOath,$T71,1),0)&gt;0),1,0)*IF($C71=DS$2,1,0)=1,1+COUNTIF(DS$3:DS70,"&gt;0"),0)</f>
        <v>0</v>
      </c>
      <c r="DT71">
        <f>IF(IF(OR(IFERROR(SEARCH("Paladin",$T71,1),0)&gt;0,IFERROR(SEARCH(PaladinOath,$T71,1),0)&gt;0),1,0)*IF($C71=DT$2,1,0)=1,1+COUNTIF(DT$3:DT70,"&gt;0"),0)</f>
        <v>0</v>
      </c>
      <c r="DU71">
        <f>IF(IF(OR(IFERROR(SEARCH("Paladin",$T71,1),0)&gt;0,IFERROR(SEARCH(PaladinOath,$T71,1),0)&gt;0),1,0)*IF($C71=DU$2,1,0)=1,1+COUNTIF(DU$3:DU70,"&gt;0"),0)</f>
        <v>0</v>
      </c>
      <c r="DV71">
        <f>IF(IF(OR(IFERROR(SEARCH("Paladin",$T71,1),0)&gt;0,IFERROR(SEARCH(PaladinOath,$T71,1),0)&gt;0),1,0)*IF($C71=DV$2,1,0)=1,1+COUNTIF(DV$3:DV70,"&gt;0"),0)</f>
        <v>0</v>
      </c>
      <c r="DW71">
        <f>IF(IF(OR(IFERROR(SEARCH("Paladin",$T71,1),0)&gt;0,IFERROR(SEARCH(PaladinOath,$T71,1),0)&gt;0),1,0)*IF($C71=DW$2,1,0)=1,1+COUNTIF(DW$3:DW70,"&gt;0"),0)</f>
        <v>0</v>
      </c>
      <c r="DY71">
        <f t="shared" si="56"/>
        <v>1</v>
      </c>
      <c r="DZ71">
        <f>IF(DY71=0,0,1+MAX(DZ$3:$DZ70))</f>
        <v>69</v>
      </c>
      <c r="EB71">
        <f t="shared" si="70"/>
        <v>0</v>
      </c>
      <c r="EC71">
        <f>IF(EB71=0,0,1+COUNTIF(EC$3:EC70,"&gt;0"))</f>
        <v>0</v>
      </c>
      <c r="ED71" t="str">
        <f t="shared" si="98"/>
        <v/>
      </c>
      <c r="EE71" t="str">
        <f t="shared" si="71"/>
        <v/>
      </c>
      <c r="EG71">
        <f t="shared" si="72"/>
        <v>0</v>
      </c>
      <c r="EH71">
        <f>IF(EG71=0,0,1+COUNTIF(EH$3:EH70,"&gt;0"))</f>
        <v>0</v>
      </c>
      <c r="EI71" t="str">
        <f t="shared" si="99"/>
        <v/>
      </c>
      <c r="EJ71" t="str">
        <f t="shared" si="73"/>
        <v/>
      </c>
      <c r="EL71">
        <f t="shared" si="74"/>
        <v>0</v>
      </c>
      <c r="EM71">
        <f>IF(EL71=0,0,1+COUNTIF(EM$3:EM70,"&gt;0"))</f>
        <v>0</v>
      </c>
      <c r="EN71" t="str">
        <f t="shared" si="100"/>
        <v/>
      </c>
      <c r="EO71" t="str">
        <f t="shared" si="75"/>
        <v/>
      </c>
      <c r="EQ71">
        <f t="shared" si="76"/>
        <v>0</v>
      </c>
      <c r="ER71">
        <f>IF(EQ71=0,0,1+COUNTIF(ER$3:ER70,"&gt;0"))</f>
        <v>0</v>
      </c>
      <c r="ES71" t="str">
        <f t="shared" si="101"/>
        <v/>
      </c>
      <c r="ET71" t="str">
        <f t="shared" si="77"/>
        <v/>
      </c>
      <c r="EV71">
        <f t="shared" si="78"/>
        <v>0</v>
      </c>
      <c r="EW71">
        <f>IF(EV71=0,0,1+COUNTIF(EW$3:EW70,"&gt;0"))</f>
        <v>0</v>
      </c>
      <c r="EX71" t="str">
        <f t="shared" si="102"/>
        <v/>
      </c>
      <c r="EY71" t="str">
        <f t="shared" si="79"/>
        <v/>
      </c>
      <c r="FA71">
        <f t="shared" si="80"/>
        <v>0</v>
      </c>
      <c r="FB71">
        <f>IF(FA71=0,0,1+COUNTIF(FB$3:FB70,"&gt;0"))</f>
        <v>0</v>
      </c>
      <c r="FC71" t="str">
        <f t="shared" si="103"/>
        <v/>
      </c>
      <c r="FD71" t="str">
        <f t="shared" si="81"/>
        <v/>
      </c>
      <c r="FF71">
        <f t="shared" si="82"/>
        <v>0</v>
      </c>
      <c r="FG71">
        <f>IF(FF71=0,0,1+COUNTIF(FG$3:FG70,"&gt;0"))</f>
        <v>0</v>
      </c>
      <c r="FH71" t="str">
        <f t="shared" si="104"/>
        <v/>
      </c>
      <c r="FI71" t="str">
        <f t="shared" si="83"/>
        <v/>
      </c>
      <c r="FK71">
        <f t="shared" si="84"/>
        <v>0</v>
      </c>
      <c r="FL71">
        <f>IF(FK71=0,0,1+COUNTIF(FL$3:FL70,"&gt;0"))</f>
        <v>0</v>
      </c>
      <c r="FM71" t="str">
        <f t="shared" si="105"/>
        <v/>
      </c>
      <c r="FN71" t="str">
        <f t="shared" si="85"/>
        <v/>
      </c>
      <c r="FP71">
        <f t="shared" si="86"/>
        <v>0</v>
      </c>
      <c r="FQ71">
        <f>IF(FP71=0,0,1+COUNTIF(FQ$3:FQ70,"&gt;0"))</f>
        <v>0</v>
      </c>
      <c r="FR71" t="str">
        <f t="shared" si="106"/>
        <v/>
      </c>
      <c r="FS71" t="str">
        <f t="shared" si="87"/>
        <v/>
      </c>
    </row>
    <row r="72" spans="1:175" x14ac:dyDescent="0.25">
      <c r="A72" s="347">
        <f t="shared" si="107"/>
        <v>70</v>
      </c>
      <c r="B72" s="348" t="s">
        <v>2435</v>
      </c>
      <c r="C72" s="348">
        <v>4</v>
      </c>
      <c r="D72" s="347">
        <v>4</v>
      </c>
      <c r="E72" s="627" t="s">
        <v>6952</v>
      </c>
      <c r="F72" s="346"/>
      <c r="G72" s="347" t="str">
        <f>""</f>
        <v/>
      </c>
      <c r="H72" s="347" t="s">
        <v>5912</v>
      </c>
      <c r="I72" s="347" t="s">
        <v>424</v>
      </c>
      <c r="J72" s="347" t="str">
        <f t="shared" si="57"/>
        <v/>
      </c>
      <c r="K72" s="347" t="s">
        <v>5284</v>
      </c>
      <c r="L72" s="611" t="str">
        <f t="shared" si="58"/>
        <v>V, S, M, one holly berry per creature summoned</v>
      </c>
      <c r="M72" s="347" t="s">
        <v>2373</v>
      </c>
      <c r="N72" s="347" t="s">
        <v>2387</v>
      </c>
      <c r="O72" s="347" t="s">
        <v>1244</v>
      </c>
      <c r="P72" s="346" t="s">
        <v>5331</v>
      </c>
      <c r="Q72" s="347" t="s">
        <v>5271</v>
      </c>
      <c r="S72" s="346" t="s">
        <v>5638</v>
      </c>
      <c r="T72" s="346" t="str">
        <f t="shared" si="59"/>
        <v xml:space="preserve">Druid, </v>
      </c>
      <c r="AA72" s="347" t="str">
        <f>$B72</f>
        <v>Conjure Woodland Beings</v>
      </c>
      <c r="AE72" t="str">
        <f>IF(IFERROR(MATCH($B72,temp!A$4:A$13,0),0)&gt;0,T08_Spells!AE$2,"")</f>
        <v/>
      </c>
      <c r="AF72" t="str">
        <f>IF(IFERROR(MATCH($B72,temp!B$4:B$13,0),0)&gt;0,T08_Spells!AF$2,"")</f>
        <v/>
      </c>
      <c r="AG72" t="str">
        <f>IF(IFERROR(MATCH($B72,temp!C$4:C$13,0),0)&gt;0,T08_Spells!AG$2,"")</f>
        <v/>
      </c>
      <c r="AH72" t="str">
        <f>IF(IFERROR(MATCH($B72,temp!D$4:D$13,0),0)&gt;0,T08_Spells!AH$2,"")</f>
        <v/>
      </c>
      <c r="AI72" t="str">
        <f>IF(IFERROR(MATCH($B72,temp!E$4:E$13,0),0)&gt;0,T08_Spells!AI$2,"")</f>
        <v/>
      </c>
      <c r="AJ72" t="str">
        <f>IF(IFERROR(MATCH($B72,temp!F$4:F$13,0),0)&gt;0,T08_Spells!AJ$2,"")</f>
        <v/>
      </c>
      <c r="AK72" t="str">
        <f>IF(IFERROR(MATCH($B72,temp!G$4:G$13,0),0)&gt;0,T08_Spells!AK$2,"")</f>
        <v/>
      </c>
      <c r="AL72" t="str">
        <f>IF(IFERROR(MATCH($B72,temp!H$4:H$13,0),0)&gt;0,T08_Spells!AL$2,"")</f>
        <v/>
      </c>
      <c r="AM72" t="str">
        <f>IF(IFERROR(MATCH($B72,temp!I$4:I$13,0),0)&gt;0,T08_Spells!AM$2,"")</f>
        <v/>
      </c>
      <c r="AN72" t="str">
        <f>IF(IFERROR(MATCH($B72,temp!J$4:J$13,0),0)&gt;0,T08_Spells!AN$2,"")</f>
        <v/>
      </c>
      <c r="AO72" t="str">
        <f>IF(IFERROR(MATCH($B72,temp!K$4:K$13,0),0)&gt;0,T08_Spells!AO$2,"")</f>
        <v/>
      </c>
      <c r="AP72" t="str">
        <f>IF(IFERROR(MATCH($B72,temp!L$4:L$13,0),0)&gt;0,T08_Spells!AP$2,"")</f>
        <v/>
      </c>
      <c r="AQ72" t="str">
        <f>IF(IFERROR(MATCH($B72,temp!M$4:M$13,0),0)&gt;0,T08_Spells!AQ$2,"")</f>
        <v/>
      </c>
      <c r="AR72" t="str">
        <f>IF(IFERROR(MATCH($B72,temp!N$4:N$13,0),0)&gt;0,T08_Spells!AR$2,"")</f>
        <v/>
      </c>
      <c r="AS72" t="str">
        <f>IF(IFERROR(MATCH($B72,temp!O$4:O$13,0),0)&gt;0,T08_Spells!AS$2,"")</f>
        <v/>
      </c>
      <c r="AT72" t="str">
        <f>IF(IFERROR(MATCH($B72,temp!P$4:P$13,0),0)&gt;0,T08_Spells!AT$2,"")</f>
        <v/>
      </c>
      <c r="AU72" t="str">
        <f>IF(IFERROR(MATCH($B72,temp!Q$4:Q$13,0),0)&gt;0,T08_Spells!AU$2,"")</f>
        <v/>
      </c>
      <c r="AV72" t="str">
        <f>IF(IFERROR(MATCH($B72,temp!R$4:R$13,0),0)&gt;0,T08_Spells!AV$2,"")</f>
        <v/>
      </c>
      <c r="AW72" t="str">
        <f>IF(IFERROR(MATCH($B72,temp!S$4:S$13,0),0)&gt;0,T08_Spells!AW$2,"")</f>
        <v/>
      </c>
      <c r="AX72" t="str">
        <f>IF(IFERROR(MATCH($B72,temp!T$4:T$13,0),0)&gt;0,T08_Spells!AX$2,"")</f>
        <v/>
      </c>
      <c r="AY72" t="str">
        <f>IF(IFERROR(MATCH($B72,temp!U$4:U$13,0),0)&gt;0,T08_Spells!AY$2,"")</f>
        <v/>
      </c>
      <c r="AZ72" t="str">
        <f>IF(IFERROR(MATCH($B72,temp!V$4:V$13,0),0)&gt;0,T08_Spells!AZ$2,"")</f>
        <v/>
      </c>
      <c r="BA72" t="str">
        <f>IF(IFERROR(MATCH($B72,temp!W$4:W$13,0),0)&gt;0,T08_Spells!BA$2,"")</f>
        <v/>
      </c>
      <c r="BC72">
        <f>IF(IFERROR(SEARCH("Ranger",$T72,1),0)&gt;0,1,0)*IF(RangerMaxSpellLevel&gt;=$C72,1,0)*IF(IFERROR(MATCH(B72,Character_Creation!$X$79:$X$382,0),0)&gt;0,0,1)</f>
        <v>0</v>
      </c>
      <c r="BD72">
        <f>IF(BC72=0,0,1+COUNTIF(BD$3:BD71,"&gt;0"))</f>
        <v>0</v>
      </c>
      <c r="BE72" t="str">
        <f t="shared" si="88"/>
        <v/>
      </c>
      <c r="BF72" t="str">
        <f t="shared" si="60"/>
        <v/>
      </c>
      <c r="BH72">
        <f>IF(IFERROR(SEARCH("Sorcerer",$T72,1),0)&gt;0,1,0)*IF(SorcererMaxSpellLevel&gt;=$C72,1,0)*IF(IFERROR(MATCH(B72,Character_Creation!$J$380:$J$394,0),0)&gt;0,0,1)</f>
        <v>0</v>
      </c>
      <c r="BI72">
        <f>IF(BH72=0,0,1+COUNTIF(BI$3:BI71,"&gt;0"))</f>
        <v>0</v>
      </c>
      <c r="BJ72" t="str">
        <f t="shared" si="89"/>
        <v/>
      </c>
      <c r="BK72" t="str">
        <f t="shared" si="61"/>
        <v/>
      </c>
      <c r="BM72">
        <f>IF(OR(IFERROR(SEARCH("Warlock",$T72,1),0)&gt;0,IFERROR(SEARCH(WarlockPatron,$T72,1),0)&gt;0),1,0)*IF(WarlockMaxSpellLevel&gt;=$C72,1,0)*IF(IFERROR(MATCH(B72,Character_Creation!$J$361:$J$375,0),0)&gt;0,0,1)</f>
        <v>0</v>
      </c>
      <c r="BN72">
        <f>IF(BM72=0,0,1+COUNTIF(BN$3:BN71,"&gt;0"))</f>
        <v>0</v>
      </c>
      <c r="BO72" t="str">
        <f t="shared" si="90"/>
        <v/>
      </c>
      <c r="BP72" t="str">
        <f t="shared" si="62"/>
        <v/>
      </c>
      <c r="BR72">
        <f>IF(IFERROR(SEARCH("Eldritch Knight",$T72,1),0)&gt;0,1,0)*IF(EldritchKnightMaxSpellLevel&gt;=$C72,1,0)*IF(IFERROR(MATCH($B72,Character_Creation!$J$350:$J$356,0),0)&gt;0,0,1)*IF(Character_Creation!$M$338&gt;0,1,0)</f>
        <v>0</v>
      </c>
      <c r="BS72">
        <f>IF(BR72=0,0,1+COUNTIF(BS$3:BS71,"&gt;0"))</f>
        <v>0</v>
      </c>
      <c r="BT72" t="str">
        <f t="shared" si="91"/>
        <v/>
      </c>
      <c r="BU72" t="str">
        <f t="shared" si="63"/>
        <v/>
      </c>
      <c r="BW72">
        <f>IF(IFERROR(SEARCH("Arcane Trickster",$T72,1),0)&gt;0,1,0)*IF(ArcaneTricksterMaxSpellLevel&gt;=$C72,1,0)*IF(IFERROR(MATCH($B72,Character_Creation!$J$350:$J$356,0),0)&gt;0,0,1)*IF(Character_Creation!$T$338&gt;0,1,0)</f>
        <v>0</v>
      </c>
      <c r="BX72">
        <f>IF(BW72=0,0,1+COUNTIF(BX$3:BX71,"&gt;0"))</f>
        <v>0</v>
      </c>
      <c r="BY72" t="str">
        <f t="shared" si="92"/>
        <v/>
      </c>
      <c r="BZ72" t="str">
        <f t="shared" si="64"/>
        <v/>
      </c>
      <c r="CB72">
        <f>IF(IFERROR(SEARCH("Wizard",$T72,1),0)&gt;0,1,0)*IF(C72&lt;=ArcaneTricksterMaxSpellLevel,1,0)*IF(IFERROR(MATCH($B72,Character_Creation!$J$350:$J$356,0),0)&gt;0,0,1)*IF(Character_Creation!$T$350&gt;0,1,0)</f>
        <v>0</v>
      </c>
      <c r="CC72">
        <f>IF(CB72=0,0,1+COUNTIF(CC$3:CC71,"&gt;0"))</f>
        <v>0</v>
      </c>
      <c r="CD72" t="str">
        <f t="shared" si="93"/>
        <v/>
      </c>
      <c r="CE72" t="str">
        <f t="shared" si="65"/>
        <v/>
      </c>
      <c r="CG72">
        <f>IF(IFERROR(SEARCH("Wizard",$T72,1),0)&gt;0,1,0)*IF($C72&lt;=EldritchKnightMaxSpellLevel,1,0)*IF(IFERROR(MATCH($B72,Character_Creation!$J$350:$J$356,0),0)&gt;0,0,1)*IF(Character_Creation!$M$350&gt;0,1,0)</f>
        <v>0</v>
      </c>
      <c r="CH72">
        <f>IF(CG72=0,0,1+COUNTIF(CH$3:CH71,"&gt;0"))</f>
        <v>0</v>
      </c>
      <c r="CI72">
        <f t="shared" si="94"/>
        <v>70</v>
      </c>
      <c r="CJ72" t="str">
        <f t="shared" si="66"/>
        <v>Maximilian’s Earthen Grasp</v>
      </c>
      <c r="CL72">
        <f>IF(IFERROR(SEARCH("Bard",$T72,1),0)&gt;0,1,0)*IF(BardMaxSpellLevel&gt;=$C72,1,0)*IF(IFERROR(MATCH(B72,Character_Creation!$C$341:$F$362,0),0)&gt;0,0,1)*IF(IFERROR(MATCH($B72,Character_Creation!$C$341:$C$362,0),0)&gt;0,0,1)</f>
        <v>0</v>
      </c>
      <c r="CM72">
        <f>IF(CL72=0,0,1+COUNTIF(CM$3:CM71,"&gt;0"))</f>
        <v>0</v>
      </c>
      <c r="CN72" t="str">
        <f t="shared" si="95"/>
        <v/>
      </c>
      <c r="CO72" t="str">
        <f t="shared" si="67"/>
        <v/>
      </c>
      <c r="CQ72">
        <f>IF(IFERROR(SEARCH("Wizard",$T72,1),0)&gt;0,1,0)*IF(WizardMaxSpellLevel&gt;=$C72,1,0)*IF(IFERROR(MATCH(B72,Character_Creation!$X$341:$X$400,0),0)&gt;0,0,1)*IF(SelectedWizardSpellLevel=$C72,1,0)</f>
        <v>0</v>
      </c>
      <c r="CR72">
        <f>IF(CQ72=0,0,1+COUNTIF(CR$3:CR71,"&gt;0"))</f>
        <v>0</v>
      </c>
      <c r="CS72" t="str">
        <f t="shared" si="96"/>
        <v/>
      </c>
      <c r="CT72" t="str">
        <f t="shared" si="68"/>
        <v/>
      </c>
      <c r="CV72">
        <f>IF(IFERROR(MATCH($B72,Character_Creation!$C$341:$C$362,0),0)&gt;0,0,1)*IF(OR(C72="Cantrip",C72&lt;=BardMaxSpellLevel),1,0)*IF(IFERROR(MATCH($B72,Character_Creation!$C$367:$C$374,0),0)&gt;0,0,1)</f>
        <v>0</v>
      </c>
      <c r="CW72">
        <f>IF(CV72=0,0,1+COUNTIF(CW$3:CW71,"&gt;0"))</f>
        <v>0</v>
      </c>
      <c r="CX72" t="str">
        <f t="shared" si="97"/>
        <v/>
      </c>
      <c r="CY72" t="str">
        <f t="shared" si="69"/>
        <v/>
      </c>
      <c r="DA72">
        <f>IF(IF(OR(IFERROR(SEARCH("Cleric",$T72,1),0)&gt;0,IFERROR(SEARCH(DivineDomain&amp;",",$T72,1),0)&gt;0),1,0)*IF($C72=DA$2,1,0)=1,1+COUNTIF(DA$3:DA71,"&gt;0"),0)</f>
        <v>0</v>
      </c>
      <c r="DB72">
        <f>IF(IF(OR(IFERROR(SEARCH("Cleric",$T72,1),0)&gt;0,IFERROR(SEARCH(DivineDomain&amp;",",$T72,1),0)&gt;0),1,0)*IF($C72=DB$2,1,0)=1,1+COUNTIF(DB$3:DB71,"&gt;0"),0)</f>
        <v>0</v>
      </c>
      <c r="DC72">
        <f>IF(IF(OR(IFERROR(SEARCH("Cleric",$T72,1),0)&gt;0,IFERROR(SEARCH(DivineDomain&amp;",",$T72,1),0)&gt;0),1,0)*IF($C72=DC$2,1,0)=1,1+COUNTIF(DC$3:DC71,"&gt;0"),0)</f>
        <v>0</v>
      </c>
      <c r="DD72">
        <f>IF(IF(OR(IFERROR(SEARCH("Cleric",$T72,1),0)&gt;0,IFERROR(SEARCH(DivineDomain&amp;",",$T72,1),0)&gt;0),1,0)*IF($C72=DD$2,1,0)=1,1+COUNTIF(DD$3:DD71,"&gt;0"),0)</f>
        <v>0</v>
      </c>
      <c r="DE72">
        <f>IF(IF(OR(IFERROR(SEARCH("Cleric",$T72,1),0)&gt;0,IFERROR(SEARCH(DivineDomain&amp;",",$T72,1),0)&gt;0),1,0)*IF($C72=DE$2,1,0)=1,1+COUNTIF(DE$3:DE71,"&gt;0"),0)</f>
        <v>0</v>
      </c>
      <c r="DF72">
        <f>IF(IF(OR(IFERROR(SEARCH("Cleric",$T72,1),0)&gt;0,IFERROR(SEARCH(DivineDomain&amp;",",$T72,1),0)&gt;0),1,0)*IF($C72=DF$2,1,0)=1,1+COUNTIF(DF$3:DF71,"&gt;0"),0)</f>
        <v>0</v>
      </c>
      <c r="DG72">
        <f>IF(IF(OR(IFERROR(SEARCH("Cleric",$T72,1),0)&gt;0,IFERROR(SEARCH(DivineDomain&amp;",",$T72,1),0)&gt;0),1,0)*IF($C72=DG$2,1,0)=1,1+COUNTIF(DG$3:DG71,"&gt;0"),0)</f>
        <v>0</v>
      </c>
      <c r="DH72">
        <f>IF(IF(OR(IFERROR(SEARCH("Cleric",$T72,1),0)&gt;0,IFERROR(SEARCH(DivineDomain&amp;",",$T72,1),0)&gt;0),1,0)*IF($C72=DH$2,1,0)=1,1+COUNTIF(DH$3:DH71,"&gt;0"),0)</f>
        <v>0</v>
      </c>
      <c r="DI72">
        <f>IF(IF(OR(IFERROR(SEARCH("Cleric",$T72,1),0)&gt;0,IFERROR(SEARCH(DivineDomain&amp;",",$T72,1),0)&gt;0),1,0)*IF($C72=DI$2,1,0)=1,1+COUNTIF(DI$3:DI71,"&gt;0"),0)</f>
        <v>0</v>
      </c>
      <c r="DJ72">
        <f>IF(IF(OR(IFERROR(SEARCH("Druid",$T72,1),0)&gt;0,IFERROR(SEARCH(DruidLand1,$T72,1),0)&gt;0,IFERROR(SEARCH(DruidLand2,$T72,1),0)&gt;0,IFERROR(SEARCH(DruidLand3,$T72,1),0)&gt;0,IFERROR(SEARCH(DruidLand4,$T72,1),0)&gt;0),1,0)*IF($C72=1,1,0)*IF($C72=DJ$2,1,0)=0,0,1+COUNTIF(DJ$3:DJ71,"&gt;0"))</f>
        <v>0</v>
      </c>
      <c r="DK72">
        <f>IF(IF(OR(IFERROR(SEARCH("Druid",$T72,1),0)&gt;0,IFERROR(SEARCH(DruidLand1,$T72,1),0)&gt;0,IFERROR(SEARCH(DruidLand2,$T72,1),0)&gt;0,IFERROR(SEARCH(DruidLand3,$T72,1),0)&gt;0,IFERROR(SEARCH(DruidLand4,$T72,1),0)&gt;0),1,0)*IF($C72=DK$2,1,0)=0,0,1+COUNTIF(DK$3:DK71,"&gt;0"))</f>
        <v>0</v>
      </c>
      <c r="DL72">
        <f>IF(IF(OR(IFERROR(SEARCH("Druid",$T72,1),0)&gt;0,IFERROR(SEARCH(DruidLand1,$T72,1),0)&gt;0,IFERROR(SEARCH(DruidLand2,$T72,1),0)&gt;0,IFERROR(SEARCH(DruidLand3,$T72,1),0)&gt;0,IFERROR(SEARCH(DruidLand4,$T72,1),0)&gt;0),1,0)*IF($C72=DL$2,1,0)=0,0,1+COUNTIF(DL$3:DL71,"&gt;0"))</f>
        <v>0</v>
      </c>
      <c r="DM72">
        <f>IF(IF(OR(IFERROR(SEARCH("Druid",$T72,1),0)&gt;0,IFERROR(SEARCH(DruidLand1,$T72,1),0)&gt;0,IFERROR(SEARCH(DruidLand2,$T72,1),0)&gt;0,IFERROR(SEARCH(DruidLand3,$T72,1),0)&gt;0,IFERROR(SEARCH(DruidLand4,$T72,1),0)&gt;0),1,0)*IF($C72=DM$2,1,0)=0,0,1+COUNTIF(DM$3:DM71,"&gt;0"))</f>
        <v>4</v>
      </c>
      <c r="DN72">
        <f>IF(IF(OR(IFERROR(SEARCH("Druid",$T72,1),0)&gt;0,IFERROR(SEARCH(DruidLand1,$T72,1),0)&gt;0,IFERROR(SEARCH(DruidLand2,$T72,1),0)&gt;0,IFERROR(SEARCH(DruidLand3,$T72,1),0)&gt;0,IFERROR(SEARCH(DruidLand4,$T72,1),0)&gt;0),1,0)*IF($C72=DN$2,1,0)=0,0,1+COUNTIF(DN$3:DN71,"&gt;0"))</f>
        <v>0</v>
      </c>
      <c r="DO72">
        <f>IF(IF(OR(IFERROR(SEARCH("Druid",$T72,1),0)&gt;0,IFERROR(SEARCH(DruidLand1,$T72,1),0)&gt;0,IFERROR(SEARCH(DruidLand2,$T72,1),0)&gt;0,IFERROR(SEARCH(DruidLand3,$T72,1),0)&gt;0,IFERROR(SEARCH(DruidLand4,$T72,1),0)&gt;0),1,0)*IF($C72=DO$2,1,0)=0,0,1+COUNTIF(DO$3:DO71,"&gt;0"))</f>
        <v>0</v>
      </c>
      <c r="DP72">
        <f>IF(IF(OR(IFERROR(SEARCH("Druid",$T72,1),0)&gt;0,IFERROR(SEARCH(DruidLand1,$T72,1),0)&gt;0,IFERROR(SEARCH(DruidLand2,$T72,1),0)&gt;0,IFERROR(SEARCH(DruidLand3,$T72,1),0)&gt;0,IFERROR(SEARCH(DruidLand4,$T72,1),0)&gt;0),1,0)*IF($C72=DP$2,1,0)=0,0,1+COUNTIF(DP$3:DP71,"&gt;0"))</f>
        <v>0</v>
      </c>
      <c r="DQ72">
        <f>IF(IF(OR(IFERROR(SEARCH("Druid",$T72,1),0)&gt;0,IFERROR(SEARCH(DruidLand1,$T72,1),0)&gt;0,IFERROR(SEARCH(DruidLand2,$T72,1),0)&gt;0,IFERROR(SEARCH(DruidLand3,$T72,1),0)&gt;0,IFERROR(SEARCH(DruidLand4,$T72,1),0)&gt;0),1,0)*IF($C72=DQ$2,1,0)=0,0,1+COUNTIF(DQ$3:DQ71,"&gt;0"))</f>
        <v>0</v>
      </c>
      <c r="DR72">
        <f>IF(IF(OR(IFERROR(SEARCH("Druid",$T72,1),0)&gt;0,IFERROR(SEARCH(DruidLand1,$T72,1),0)&gt;0,IFERROR(SEARCH(DruidLand2,$T72,1),0)&gt;0,IFERROR(SEARCH(DruidLand3,$T72,1),0)&gt;0,IFERROR(SEARCH(DruidLand4,$T72,1),0)&gt;0),1,0)*IF($C72=DR$2,1,0)=0,0,1+COUNTIF(DR$3:DR71,"&gt;0"))</f>
        <v>0</v>
      </c>
      <c r="DS72">
        <f>IF(IF(OR(IFERROR(SEARCH("Paladin",$T72,1),0)&gt;0,IFERROR(SEARCH(PaladinOath,$T72,1),0)&gt;0),1,0)*IF($C72=DS$2,1,0)=1,1+COUNTIF(DS$3:DS71,"&gt;0"),0)</f>
        <v>0</v>
      </c>
      <c r="DT72">
        <f>IF(IF(OR(IFERROR(SEARCH("Paladin",$T72,1),0)&gt;0,IFERROR(SEARCH(PaladinOath,$T72,1),0)&gt;0),1,0)*IF($C72=DT$2,1,0)=1,1+COUNTIF(DT$3:DT71,"&gt;0"),0)</f>
        <v>0</v>
      </c>
      <c r="DU72">
        <f>IF(IF(OR(IFERROR(SEARCH("Paladin",$T72,1),0)&gt;0,IFERROR(SEARCH(PaladinOath,$T72,1),0)&gt;0),1,0)*IF($C72=DU$2,1,0)=1,1+COUNTIF(DU$3:DU71,"&gt;0"),0)</f>
        <v>0</v>
      </c>
      <c r="DV72">
        <f>IF(IF(OR(IFERROR(SEARCH("Paladin",$T72,1),0)&gt;0,IFERROR(SEARCH(PaladinOath,$T72,1),0)&gt;0),1,0)*IF($C72=DV$2,1,0)=1,1+COUNTIF(DV$3:DV71,"&gt;0"),0)</f>
        <v>0</v>
      </c>
      <c r="DW72">
        <f>IF(IF(OR(IFERROR(SEARCH("Paladin",$T72,1),0)&gt;0,IFERROR(SEARCH(PaladinOath,$T72,1),0)&gt;0),1,0)*IF($C72=DW$2,1,0)=1,1+COUNTIF(DW$3:DW71,"&gt;0"),0)</f>
        <v>0</v>
      </c>
      <c r="DY72">
        <f t="shared" si="56"/>
        <v>1</v>
      </c>
      <c r="DZ72">
        <f>IF(DY72=0,0,1+MAX(DZ$3:$DZ71))</f>
        <v>70</v>
      </c>
      <c r="EB72">
        <f t="shared" si="70"/>
        <v>0</v>
      </c>
      <c r="EC72">
        <f>IF(EB72=0,0,1+COUNTIF(EC$3:EC71,"&gt;0"))</f>
        <v>0</v>
      </c>
      <c r="ED72" t="str">
        <f t="shared" si="98"/>
        <v/>
      </c>
      <c r="EE72" t="str">
        <f t="shared" si="71"/>
        <v/>
      </c>
      <c r="EG72">
        <f t="shared" si="72"/>
        <v>0</v>
      </c>
      <c r="EH72">
        <f>IF(EG72=0,0,1+COUNTIF(EH$3:EH71,"&gt;0"))</f>
        <v>0</v>
      </c>
      <c r="EI72" t="str">
        <f t="shared" si="99"/>
        <v/>
      </c>
      <c r="EJ72" t="str">
        <f t="shared" si="73"/>
        <v/>
      </c>
      <c r="EL72">
        <f t="shared" si="74"/>
        <v>0</v>
      </c>
      <c r="EM72">
        <f>IF(EL72=0,0,1+COUNTIF(EM$3:EM71,"&gt;0"))</f>
        <v>0</v>
      </c>
      <c r="EN72" t="str">
        <f t="shared" si="100"/>
        <v/>
      </c>
      <c r="EO72" t="str">
        <f t="shared" si="75"/>
        <v/>
      </c>
      <c r="EQ72">
        <f t="shared" si="76"/>
        <v>0</v>
      </c>
      <c r="ER72">
        <f>IF(EQ72=0,0,1+COUNTIF(ER$3:ER71,"&gt;0"))</f>
        <v>0</v>
      </c>
      <c r="ES72" t="str">
        <f t="shared" si="101"/>
        <v/>
      </c>
      <c r="ET72" t="str">
        <f t="shared" si="77"/>
        <v/>
      </c>
      <c r="EV72">
        <f t="shared" si="78"/>
        <v>0</v>
      </c>
      <c r="EW72">
        <f>IF(EV72=0,0,1+COUNTIF(EW$3:EW71,"&gt;0"))</f>
        <v>0</v>
      </c>
      <c r="EX72" t="str">
        <f t="shared" si="102"/>
        <v/>
      </c>
      <c r="EY72" t="str">
        <f t="shared" si="79"/>
        <v/>
      </c>
      <c r="FA72">
        <f t="shared" si="80"/>
        <v>0</v>
      </c>
      <c r="FB72">
        <f>IF(FA72=0,0,1+COUNTIF(FB$3:FB71,"&gt;0"))</f>
        <v>0</v>
      </c>
      <c r="FC72" t="str">
        <f t="shared" si="103"/>
        <v/>
      </c>
      <c r="FD72" t="str">
        <f t="shared" si="81"/>
        <v/>
      </c>
      <c r="FF72">
        <f t="shared" si="82"/>
        <v>0</v>
      </c>
      <c r="FG72">
        <f>IF(FF72=0,0,1+COUNTIF(FG$3:FG71,"&gt;0"))</f>
        <v>0</v>
      </c>
      <c r="FH72" t="str">
        <f t="shared" si="104"/>
        <v/>
      </c>
      <c r="FI72" t="str">
        <f t="shared" si="83"/>
        <v/>
      </c>
      <c r="FK72">
        <f t="shared" si="84"/>
        <v>0</v>
      </c>
      <c r="FL72">
        <f>IF(FK72=0,0,1+COUNTIF(FL$3:FL71,"&gt;0"))</f>
        <v>0</v>
      </c>
      <c r="FM72" t="str">
        <f t="shared" si="105"/>
        <v/>
      </c>
      <c r="FN72" t="str">
        <f t="shared" si="85"/>
        <v/>
      </c>
      <c r="FP72">
        <f t="shared" si="86"/>
        <v>0</v>
      </c>
      <c r="FQ72">
        <f>IF(FP72=0,0,1+COUNTIF(FQ$3:FQ71,"&gt;0"))</f>
        <v>0</v>
      </c>
      <c r="FR72" t="str">
        <f t="shared" si="106"/>
        <v/>
      </c>
      <c r="FS72" t="str">
        <f t="shared" si="87"/>
        <v/>
      </c>
    </row>
    <row r="73" spans="1:175" x14ac:dyDescent="0.25">
      <c r="A73" s="347">
        <f t="shared" si="107"/>
        <v>71</v>
      </c>
      <c r="B73" s="348" t="s">
        <v>2436</v>
      </c>
      <c r="C73" s="348">
        <v>5</v>
      </c>
      <c r="D73" s="347">
        <v>5</v>
      </c>
      <c r="E73" s="627" t="s">
        <v>6952</v>
      </c>
      <c r="F73" s="346"/>
      <c r="G73" s="347" t="s">
        <v>5269</v>
      </c>
      <c r="H73" s="347" t="s">
        <v>5281</v>
      </c>
      <c r="I73" s="347" t="s">
        <v>5283</v>
      </c>
      <c r="J73" s="347" t="str">
        <f t="shared" si="57"/>
        <v/>
      </c>
      <c r="K73" s="347" t="s">
        <v>5288</v>
      </c>
      <c r="L73" s="611" t="str">
        <f t="shared" si="58"/>
        <v>V</v>
      </c>
      <c r="M73" s="347" t="s">
        <v>2373</v>
      </c>
      <c r="N73" s="347" t="s">
        <v>3034</v>
      </c>
      <c r="O73" s="347" t="s">
        <v>3034</v>
      </c>
      <c r="P73" s="346" t="str">
        <f>""</f>
        <v/>
      </c>
      <c r="Q73" s="347" t="s">
        <v>2473</v>
      </c>
      <c r="S73" s="346" t="s">
        <v>5639</v>
      </c>
      <c r="T73" s="346" t="str">
        <f t="shared" si="59"/>
        <v xml:space="preserve">Warlock, Wizard, </v>
      </c>
      <c r="Y73" s="347" t="str">
        <f>$B73</f>
        <v>Contact Other Plane</v>
      </c>
      <c r="AD73" s="347" t="str">
        <f>$B73</f>
        <v>Contact Other Plane</v>
      </c>
      <c r="AE73" t="str">
        <f>IF(IFERROR(MATCH($B73,temp!A$4:A$13,0),0)&gt;0,T08_Spells!AE$2,"")</f>
        <v/>
      </c>
      <c r="AF73" t="str">
        <f>IF(IFERROR(MATCH($B73,temp!B$4:B$13,0),0)&gt;0,T08_Spells!AF$2,"")</f>
        <v/>
      </c>
      <c r="AG73" t="str">
        <f>IF(IFERROR(MATCH($B73,temp!C$4:C$13,0),0)&gt;0,T08_Spells!AG$2,"")</f>
        <v/>
      </c>
      <c r="AH73" t="str">
        <f>IF(IFERROR(MATCH($B73,temp!D$4:D$13,0),0)&gt;0,T08_Spells!AH$2,"")</f>
        <v/>
      </c>
      <c r="AI73" t="str">
        <f>IF(IFERROR(MATCH($B73,temp!E$4:E$13,0),0)&gt;0,T08_Spells!AI$2,"")</f>
        <v/>
      </c>
      <c r="AJ73" t="str">
        <f>IF(IFERROR(MATCH($B73,temp!F$4:F$13,0),0)&gt;0,T08_Spells!AJ$2,"")</f>
        <v/>
      </c>
      <c r="AK73" t="str">
        <f>IF(IFERROR(MATCH($B73,temp!G$4:G$13,0),0)&gt;0,T08_Spells!AK$2,"")</f>
        <v/>
      </c>
      <c r="AL73" t="str">
        <f>IF(IFERROR(MATCH($B73,temp!H$4:H$13,0),0)&gt;0,T08_Spells!AL$2,"")</f>
        <v/>
      </c>
      <c r="AM73" t="str">
        <f>IF(IFERROR(MATCH($B73,temp!I$4:I$13,0),0)&gt;0,T08_Spells!AM$2,"")</f>
        <v/>
      </c>
      <c r="AN73" t="str">
        <f>IF(IFERROR(MATCH($B73,temp!J$4:J$13,0),0)&gt;0,T08_Spells!AN$2,"")</f>
        <v/>
      </c>
      <c r="AO73" t="str">
        <f>IF(IFERROR(MATCH($B73,temp!K$4:K$13,0),0)&gt;0,T08_Spells!AO$2,"")</f>
        <v/>
      </c>
      <c r="AP73" t="str">
        <f>IF(IFERROR(MATCH($B73,temp!L$4:L$13,0),0)&gt;0,T08_Spells!AP$2,"")</f>
        <v/>
      </c>
      <c r="AQ73" t="str">
        <f>IF(IFERROR(MATCH($B73,temp!M$4:M$13,0),0)&gt;0,T08_Spells!AQ$2,"")</f>
        <v/>
      </c>
      <c r="AR73" t="str">
        <f>IF(IFERROR(MATCH($B73,temp!N$4:N$13,0),0)&gt;0,T08_Spells!AR$2,"")</f>
        <v/>
      </c>
      <c r="AS73" t="str">
        <f>IF(IFERROR(MATCH($B73,temp!O$4:O$13,0),0)&gt;0,T08_Spells!AS$2,"")</f>
        <v/>
      </c>
      <c r="AT73" t="str">
        <f>IF(IFERROR(MATCH($B73,temp!P$4:P$13,0),0)&gt;0,T08_Spells!AT$2,"")</f>
        <v/>
      </c>
      <c r="AU73" t="str">
        <f>IF(IFERROR(MATCH($B73,temp!Q$4:Q$13,0),0)&gt;0,T08_Spells!AU$2,"")</f>
        <v/>
      </c>
      <c r="AV73" t="str">
        <f>IF(IFERROR(MATCH($B73,temp!R$4:R$13,0),0)&gt;0,T08_Spells!AV$2,"")</f>
        <v/>
      </c>
      <c r="AW73" t="str">
        <f>IF(IFERROR(MATCH($B73,temp!S$4:S$13,0),0)&gt;0,T08_Spells!AW$2,"")</f>
        <v/>
      </c>
      <c r="AX73" t="str">
        <f>IF(IFERROR(MATCH($B73,temp!T$4:T$13,0),0)&gt;0,T08_Spells!AX$2,"")</f>
        <v/>
      </c>
      <c r="AY73" t="str">
        <f>IF(IFERROR(MATCH($B73,temp!U$4:U$13,0),0)&gt;0,T08_Spells!AY$2,"")</f>
        <v/>
      </c>
      <c r="AZ73" t="str">
        <f>IF(IFERROR(MATCH($B73,temp!V$4:V$13,0),0)&gt;0,T08_Spells!AZ$2,"")</f>
        <v/>
      </c>
      <c r="BA73" t="str">
        <f>IF(IFERROR(MATCH($B73,temp!W$4:W$13,0),0)&gt;0,T08_Spells!BA$2,"")</f>
        <v/>
      </c>
      <c r="BC73">
        <f>IF(IFERROR(SEARCH("Ranger",$T73,1),0)&gt;0,1,0)*IF(RangerMaxSpellLevel&gt;=$C73,1,0)*IF(IFERROR(MATCH(B73,Character_Creation!$X$79:$X$382,0),0)&gt;0,0,1)</f>
        <v>0</v>
      </c>
      <c r="BD73">
        <f>IF(BC73=0,0,1+COUNTIF(BD$3:BD72,"&gt;0"))</f>
        <v>0</v>
      </c>
      <c r="BE73" t="str">
        <f t="shared" si="88"/>
        <v/>
      </c>
      <c r="BF73" t="str">
        <f t="shared" si="60"/>
        <v/>
      </c>
      <c r="BH73">
        <f>IF(IFERROR(SEARCH("Sorcerer",$T73,1),0)&gt;0,1,0)*IF(SorcererMaxSpellLevel&gt;=$C73,1,0)*IF(IFERROR(MATCH(B73,Character_Creation!$J$380:$J$394,0),0)&gt;0,0,1)</f>
        <v>0</v>
      </c>
      <c r="BI73">
        <f>IF(BH73=0,0,1+COUNTIF(BI$3:BI72,"&gt;0"))</f>
        <v>0</v>
      </c>
      <c r="BJ73" t="str">
        <f t="shared" si="89"/>
        <v/>
      </c>
      <c r="BK73" t="str">
        <f t="shared" si="61"/>
        <v/>
      </c>
      <c r="BM73">
        <f>IF(OR(IFERROR(SEARCH("Warlock",$T73,1),0)&gt;0,IFERROR(SEARCH(WarlockPatron,$T73,1),0)&gt;0),1,0)*IF(WarlockMaxSpellLevel&gt;=$C73,1,0)*IF(IFERROR(MATCH(B73,Character_Creation!$J$361:$J$375,0),0)&gt;0,0,1)</f>
        <v>0</v>
      </c>
      <c r="BN73">
        <f>IF(BM73=0,0,1+COUNTIF(BN$3:BN72,"&gt;0"))</f>
        <v>0</v>
      </c>
      <c r="BO73" t="str">
        <f t="shared" si="90"/>
        <v/>
      </c>
      <c r="BP73" t="str">
        <f t="shared" si="62"/>
        <v/>
      </c>
      <c r="BR73">
        <f>IF(IFERROR(SEARCH("Eldritch Knight",$T73,1),0)&gt;0,1,0)*IF(EldritchKnightMaxSpellLevel&gt;=$C73,1,0)*IF(IFERROR(MATCH($B73,Character_Creation!$J$350:$J$356,0),0)&gt;0,0,1)*IF(Character_Creation!$M$338&gt;0,1,0)</f>
        <v>0</v>
      </c>
      <c r="BS73">
        <f>IF(BR73=0,0,1+COUNTIF(BS$3:BS72,"&gt;0"))</f>
        <v>0</v>
      </c>
      <c r="BT73" t="str">
        <f t="shared" si="91"/>
        <v/>
      </c>
      <c r="BU73" t="str">
        <f t="shared" si="63"/>
        <v/>
      </c>
      <c r="BW73">
        <f>IF(IFERROR(SEARCH("Arcane Trickster",$T73,1),0)&gt;0,1,0)*IF(ArcaneTricksterMaxSpellLevel&gt;=$C73,1,0)*IF(IFERROR(MATCH($B73,Character_Creation!$J$350:$J$356,0),0)&gt;0,0,1)*IF(Character_Creation!$T$338&gt;0,1,0)</f>
        <v>0</v>
      </c>
      <c r="BX73">
        <f>IF(BW73=0,0,1+COUNTIF(BX$3:BX72,"&gt;0"))</f>
        <v>0</v>
      </c>
      <c r="BY73" t="str">
        <f t="shared" si="92"/>
        <v/>
      </c>
      <c r="BZ73" t="str">
        <f t="shared" si="64"/>
        <v/>
      </c>
      <c r="CB73">
        <f>IF(IFERROR(SEARCH("Wizard",$T73,1),0)&gt;0,1,0)*IF(C73&lt;=ArcaneTricksterMaxSpellLevel,1,0)*IF(IFERROR(MATCH($B73,Character_Creation!$J$350:$J$356,0),0)&gt;0,0,1)*IF(Character_Creation!$T$350&gt;0,1,0)</f>
        <v>0</v>
      </c>
      <c r="CC73">
        <f>IF(CB73=0,0,1+COUNTIF(CC$3:CC72,"&gt;0"))</f>
        <v>0</v>
      </c>
      <c r="CD73" t="str">
        <f t="shared" si="93"/>
        <v/>
      </c>
      <c r="CE73" t="str">
        <f t="shared" si="65"/>
        <v/>
      </c>
      <c r="CG73">
        <f>IF(IFERROR(SEARCH("Wizard",$T73,1),0)&gt;0,1,0)*IF($C73&lt;=EldritchKnightMaxSpellLevel,1,0)*IF(IFERROR(MATCH($B73,Character_Creation!$J$350:$J$356,0),0)&gt;0,0,1)*IF(Character_Creation!$M$350&gt;0,1,0)</f>
        <v>0</v>
      </c>
      <c r="CH73">
        <f>IF(CG73=0,0,1+COUNTIF(CH$3:CH72,"&gt;0"))</f>
        <v>0</v>
      </c>
      <c r="CI73">
        <f t="shared" si="94"/>
        <v>71</v>
      </c>
      <c r="CJ73" t="str">
        <f t="shared" si="66"/>
        <v>Pyrotechnics</v>
      </c>
      <c r="CL73">
        <f>IF(IFERROR(SEARCH("Bard",$T73,1),0)&gt;0,1,0)*IF(BardMaxSpellLevel&gt;=$C73,1,0)*IF(IFERROR(MATCH(B73,Character_Creation!$C$341:$F$362,0),0)&gt;0,0,1)*IF(IFERROR(MATCH($B73,Character_Creation!$C$341:$C$362,0),0)&gt;0,0,1)</f>
        <v>0</v>
      </c>
      <c r="CM73">
        <f>IF(CL73=0,0,1+COUNTIF(CM$3:CM72,"&gt;0"))</f>
        <v>0</v>
      </c>
      <c r="CN73" t="str">
        <f t="shared" si="95"/>
        <v/>
      </c>
      <c r="CO73" t="str">
        <f t="shared" si="67"/>
        <v/>
      </c>
      <c r="CQ73">
        <f>IF(IFERROR(SEARCH("Wizard",$T73,1),0)&gt;0,1,0)*IF(WizardMaxSpellLevel&gt;=$C73,1,0)*IF(IFERROR(MATCH(B73,Character_Creation!$X$341:$X$400,0),0)&gt;0,0,1)*IF(SelectedWizardSpellLevel=$C73,1,0)</f>
        <v>0</v>
      </c>
      <c r="CR73">
        <f>IF(CQ73=0,0,1+COUNTIF(CR$3:CR72,"&gt;0"))</f>
        <v>0</v>
      </c>
      <c r="CS73" t="str">
        <f t="shared" si="96"/>
        <v/>
      </c>
      <c r="CT73" t="str">
        <f t="shared" si="68"/>
        <v/>
      </c>
      <c r="CV73">
        <f>IF(IFERROR(MATCH($B73,Character_Creation!$C$341:$C$362,0),0)&gt;0,0,1)*IF(OR(C73="Cantrip",C73&lt;=BardMaxSpellLevel),1,0)*IF(IFERROR(MATCH($B73,Character_Creation!$C$367:$C$374,0),0)&gt;0,0,1)</f>
        <v>0</v>
      </c>
      <c r="CW73">
        <f>IF(CV73=0,0,1+COUNTIF(CW$3:CW72,"&gt;0"))</f>
        <v>0</v>
      </c>
      <c r="CX73" t="str">
        <f t="shared" si="97"/>
        <v/>
      </c>
      <c r="CY73" t="str">
        <f t="shared" si="69"/>
        <v/>
      </c>
      <c r="DA73">
        <f>IF(IF(OR(IFERROR(SEARCH("Cleric",$T73,1),0)&gt;0,IFERROR(SEARCH(DivineDomain&amp;",",$T73,1),0)&gt;0),1,0)*IF($C73=DA$2,1,0)=1,1+COUNTIF(DA$3:DA72,"&gt;0"),0)</f>
        <v>0</v>
      </c>
      <c r="DB73">
        <f>IF(IF(OR(IFERROR(SEARCH("Cleric",$T73,1),0)&gt;0,IFERROR(SEARCH(DivineDomain&amp;",",$T73,1),0)&gt;0),1,0)*IF($C73=DB$2,1,0)=1,1+COUNTIF(DB$3:DB72,"&gt;0"),0)</f>
        <v>0</v>
      </c>
      <c r="DC73">
        <f>IF(IF(OR(IFERROR(SEARCH("Cleric",$T73,1),0)&gt;0,IFERROR(SEARCH(DivineDomain&amp;",",$T73,1),0)&gt;0),1,0)*IF($C73=DC$2,1,0)=1,1+COUNTIF(DC$3:DC72,"&gt;0"),0)</f>
        <v>0</v>
      </c>
      <c r="DD73">
        <f>IF(IF(OR(IFERROR(SEARCH("Cleric",$T73,1),0)&gt;0,IFERROR(SEARCH(DivineDomain&amp;",",$T73,1),0)&gt;0),1,0)*IF($C73=DD$2,1,0)=1,1+COUNTIF(DD$3:DD72,"&gt;0"),0)</f>
        <v>0</v>
      </c>
      <c r="DE73">
        <f>IF(IF(OR(IFERROR(SEARCH("Cleric",$T73,1),0)&gt;0,IFERROR(SEARCH(DivineDomain&amp;",",$T73,1),0)&gt;0),1,0)*IF($C73=DE$2,1,0)=1,1+COUNTIF(DE$3:DE72,"&gt;0"),0)</f>
        <v>0</v>
      </c>
      <c r="DF73">
        <f>IF(IF(OR(IFERROR(SEARCH("Cleric",$T73,1),0)&gt;0,IFERROR(SEARCH(DivineDomain&amp;",",$T73,1),0)&gt;0),1,0)*IF($C73=DF$2,1,0)=1,1+COUNTIF(DF$3:DF72,"&gt;0"),0)</f>
        <v>0</v>
      </c>
      <c r="DG73">
        <f>IF(IF(OR(IFERROR(SEARCH("Cleric",$T73,1),0)&gt;0,IFERROR(SEARCH(DivineDomain&amp;",",$T73,1),0)&gt;0),1,0)*IF($C73=DG$2,1,0)=1,1+COUNTIF(DG$3:DG72,"&gt;0"),0)</f>
        <v>0</v>
      </c>
      <c r="DH73">
        <f>IF(IF(OR(IFERROR(SEARCH("Cleric",$T73,1),0)&gt;0,IFERROR(SEARCH(DivineDomain&amp;",",$T73,1),0)&gt;0),1,0)*IF($C73=DH$2,1,0)=1,1+COUNTIF(DH$3:DH72,"&gt;0"),0)</f>
        <v>0</v>
      </c>
      <c r="DI73">
        <f>IF(IF(OR(IFERROR(SEARCH("Cleric",$T73,1),0)&gt;0,IFERROR(SEARCH(DivineDomain&amp;",",$T73,1),0)&gt;0),1,0)*IF($C73=DI$2,1,0)=1,1+COUNTIF(DI$3:DI72,"&gt;0"),0)</f>
        <v>0</v>
      </c>
      <c r="DJ73">
        <f>IF(IF(OR(IFERROR(SEARCH("Druid",$T73,1),0)&gt;0,IFERROR(SEARCH(DruidLand1,$T73,1),0)&gt;0,IFERROR(SEARCH(DruidLand2,$T73,1),0)&gt;0,IFERROR(SEARCH(DruidLand3,$T73,1),0)&gt;0,IFERROR(SEARCH(DruidLand4,$T73,1),0)&gt;0),1,0)*IF($C73=1,1,0)*IF($C73=DJ$2,1,0)=0,0,1+COUNTIF(DJ$3:DJ72,"&gt;0"))</f>
        <v>0</v>
      </c>
      <c r="DK73">
        <f>IF(IF(OR(IFERROR(SEARCH("Druid",$T73,1),0)&gt;0,IFERROR(SEARCH(DruidLand1,$T73,1),0)&gt;0,IFERROR(SEARCH(DruidLand2,$T73,1),0)&gt;0,IFERROR(SEARCH(DruidLand3,$T73,1),0)&gt;0,IFERROR(SEARCH(DruidLand4,$T73,1),0)&gt;0),1,0)*IF($C73=1,1,0)*IF($C73=DK$2,1,0)=0,0,1+COUNTIF(DK$3:DK72,"&gt;0"))</f>
        <v>0</v>
      </c>
      <c r="DL73">
        <f>IF(IF(OR(IFERROR(SEARCH("Druid",$T73,1),0)&gt;0,IFERROR(SEARCH(DruidLand1,$T73,1),0)&gt;0,IFERROR(SEARCH(DruidLand2,$T73,1),0)&gt;0,IFERROR(SEARCH(DruidLand3,$T73,1),0)&gt;0,IFERROR(SEARCH(DruidLand4,$T73,1),0)&gt;0),1,0)*IF($C73=1,1,0)*IF($C73=DL$2,1,0)=0,0,1+COUNTIF(DL$3:DL72,"&gt;0"))</f>
        <v>0</v>
      </c>
      <c r="DM73">
        <f>IF(IF(OR(IFERROR(SEARCH("Druid",$T73,1),0)&gt;0,IFERROR(SEARCH(DruidLand1,$T73,1),0)&gt;0,IFERROR(SEARCH(DruidLand2,$T73,1),0)&gt;0,IFERROR(SEARCH(DruidLand3,$T73,1),0)&gt;0,IFERROR(SEARCH(DruidLand4,$T73,1),0)&gt;0),1,0)*IF($C73=1,1,0)*IF($C73=DM$2,1,0)=0,0,1+COUNTIF(DM$3:DM72,"&gt;0"))</f>
        <v>0</v>
      </c>
      <c r="DN73">
        <f>IF(IF(OR(IFERROR(SEARCH("Druid",$T73,1),0)&gt;0,IFERROR(SEARCH(DruidLand1,$T73,1),0)&gt;0,IFERROR(SEARCH(DruidLand2,$T73,1),0)&gt;0,IFERROR(SEARCH(DruidLand3,$T73,1),0)&gt;0,IFERROR(SEARCH(DruidLand4,$T73,1),0)&gt;0),1,0)*IF($C73=1,1,0)*IF($C73=DN$2,1,0)=0,0,1+COUNTIF(DN$3:DN72,"&gt;0"))</f>
        <v>0</v>
      </c>
      <c r="DO73">
        <f>IF(IF(OR(IFERROR(SEARCH("Druid",$T73,1),0)&gt;0,IFERROR(SEARCH(DruidLand1,$T73,1),0)&gt;0,IFERROR(SEARCH(DruidLand2,$T73,1),0)&gt;0,IFERROR(SEARCH(DruidLand3,$T73,1),0)&gt;0,IFERROR(SEARCH(DruidLand4,$T73,1),0)&gt;0),1,0)*IF($C73=1,1,0)*IF($C73=DO$2,1,0)=0,0,1+COUNTIF(DO$3:DO72,"&gt;0"))</f>
        <v>0</v>
      </c>
      <c r="DP73">
        <f>IF(IF(OR(IFERROR(SEARCH("Druid",$T73,1),0)&gt;0,IFERROR(SEARCH(DruidLand1,$T73,1),0)&gt;0,IFERROR(SEARCH(DruidLand2,$T73,1),0)&gt;0,IFERROR(SEARCH(DruidLand3,$T73,1),0)&gt;0,IFERROR(SEARCH(DruidLand4,$T73,1),0)&gt;0),1,0)*IF($C73=1,1,0)*IF($C73=DP$2,1,0)=0,0,1+COUNTIF(DP$3:DP72,"&gt;0"))</f>
        <v>0</v>
      </c>
      <c r="DQ73">
        <f>IF(IF(OR(IFERROR(SEARCH("Druid",$T73,1),0)&gt;0,IFERROR(SEARCH(DruidLand1,$T73,1),0)&gt;0,IFERROR(SEARCH(DruidLand2,$T73,1),0)&gt;0,IFERROR(SEARCH(DruidLand3,$T73,1),0)&gt;0,IFERROR(SEARCH(DruidLand4,$T73,1),0)&gt;0),1,0)*IF($C73=1,1,0)*IF($C73=DQ$2,1,0)=0,0,1+COUNTIF(DQ$3:DQ72,"&gt;0"))</f>
        <v>0</v>
      </c>
      <c r="DR73">
        <f>IF(IF(OR(IFERROR(SEARCH("Druid",$T73,1),0)&gt;0,IFERROR(SEARCH(DruidLand1,$T73,1),0)&gt;0,IFERROR(SEARCH(DruidLand2,$T73,1),0)&gt;0,IFERROR(SEARCH(DruidLand3,$T73,1),0)&gt;0,IFERROR(SEARCH(DruidLand4,$T73,1),0)&gt;0),1,0)*IF($C73=1,1,0)*IF($C73=DR$2,1,0)=0,0,1+COUNTIF(DR$3:DR72,"&gt;0"))</f>
        <v>0</v>
      </c>
      <c r="DS73">
        <f>IF(IF(OR(IFERROR(SEARCH("Paladin",$T73,1),0)&gt;0,IFERROR(SEARCH(PaladinOath,$T73,1),0)&gt;0),1,0)*IF($C73=DS$2,1,0)=1,1+COUNTIF(DS$3:DS72,"&gt;0"),0)</f>
        <v>0</v>
      </c>
      <c r="DT73">
        <f>IF(IF(OR(IFERROR(SEARCH("Paladin",$T73,1),0)&gt;0,IFERROR(SEARCH(PaladinOath,$T73,1),0)&gt;0),1,0)*IF($C73=DT$2,1,0)=1,1+COUNTIF(DT$3:DT72,"&gt;0"),0)</f>
        <v>0</v>
      </c>
      <c r="DU73">
        <f>IF(IF(OR(IFERROR(SEARCH("Paladin",$T73,1),0)&gt;0,IFERROR(SEARCH(PaladinOath,$T73,1),0)&gt;0),1,0)*IF($C73=DU$2,1,0)=1,1+COUNTIF(DU$3:DU72,"&gt;0"),0)</f>
        <v>0</v>
      </c>
      <c r="DV73">
        <f>IF(IF(OR(IFERROR(SEARCH("Paladin",$T73,1),0)&gt;0,IFERROR(SEARCH(PaladinOath,$T73,1),0)&gt;0),1,0)*IF($C73=DV$2,1,0)=1,1+COUNTIF(DV$3:DV72,"&gt;0"),0)</f>
        <v>0</v>
      </c>
      <c r="DW73">
        <f>IF(IF(OR(IFERROR(SEARCH("Paladin",$T73,1),0)&gt;0,IFERROR(SEARCH(PaladinOath,$T73,1),0)&gt;0),1,0)*IF($C73=DW$2,1,0)=1,1+COUNTIF(DW$3:DW72,"&gt;0"),0)</f>
        <v>0</v>
      </c>
      <c r="DY73">
        <f t="shared" si="56"/>
        <v>1</v>
      </c>
      <c r="DZ73">
        <f>IF(DY73=0,0,1+MAX(DZ$3:$DZ72))</f>
        <v>71</v>
      </c>
      <c r="EB73">
        <f t="shared" si="70"/>
        <v>0</v>
      </c>
      <c r="EC73">
        <f>IF(EB73=0,0,1+COUNTIF(EC$3:EC72,"&gt;0"))</f>
        <v>0</v>
      </c>
      <c r="ED73" t="str">
        <f t="shared" si="98"/>
        <v/>
      </c>
      <c r="EE73" t="str">
        <f t="shared" si="71"/>
        <v/>
      </c>
      <c r="EG73">
        <f t="shared" si="72"/>
        <v>0</v>
      </c>
      <c r="EH73">
        <f>IF(EG73=0,0,1+COUNTIF(EH$3:EH72,"&gt;0"))</f>
        <v>0</v>
      </c>
      <c r="EI73" t="str">
        <f t="shared" si="99"/>
        <v/>
      </c>
      <c r="EJ73" t="str">
        <f t="shared" si="73"/>
        <v/>
      </c>
      <c r="EL73">
        <f t="shared" si="74"/>
        <v>0</v>
      </c>
      <c r="EM73">
        <f>IF(EL73=0,0,1+COUNTIF(EM$3:EM72,"&gt;0"))</f>
        <v>0</v>
      </c>
      <c r="EN73" t="str">
        <f t="shared" si="100"/>
        <v/>
      </c>
      <c r="EO73" t="str">
        <f t="shared" si="75"/>
        <v/>
      </c>
      <c r="EQ73">
        <f t="shared" si="76"/>
        <v>0</v>
      </c>
      <c r="ER73">
        <f>IF(EQ73=0,0,1+COUNTIF(ER$3:ER72,"&gt;0"))</f>
        <v>0</v>
      </c>
      <c r="ES73" t="str">
        <f t="shared" si="101"/>
        <v/>
      </c>
      <c r="ET73" t="str">
        <f t="shared" si="77"/>
        <v/>
      </c>
      <c r="EV73">
        <f t="shared" si="78"/>
        <v>0</v>
      </c>
      <c r="EW73">
        <f>IF(EV73=0,0,1+COUNTIF(EW$3:EW72,"&gt;0"))</f>
        <v>0</v>
      </c>
      <c r="EX73" t="str">
        <f t="shared" si="102"/>
        <v/>
      </c>
      <c r="EY73" t="str">
        <f t="shared" si="79"/>
        <v/>
      </c>
      <c r="FA73">
        <f t="shared" si="80"/>
        <v>0</v>
      </c>
      <c r="FB73">
        <f>IF(FA73=0,0,1+COUNTIF(FB$3:FB72,"&gt;0"))</f>
        <v>0</v>
      </c>
      <c r="FC73" t="str">
        <f t="shared" si="103"/>
        <v/>
      </c>
      <c r="FD73" t="str">
        <f t="shared" si="81"/>
        <v/>
      </c>
      <c r="FF73">
        <f t="shared" si="82"/>
        <v>0</v>
      </c>
      <c r="FG73">
        <f>IF(FF73=0,0,1+COUNTIF(FG$3:FG72,"&gt;0"))</f>
        <v>0</v>
      </c>
      <c r="FH73" t="str">
        <f t="shared" si="104"/>
        <v/>
      </c>
      <c r="FI73" t="str">
        <f t="shared" si="83"/>
        <v/>
      </c>
      <c r="FK73">
        <f t="shared" si="84"/>
        <v>0</v>
      </c>
      <c r="FL73">
        <f>IF(FK73=0,0,1+COUNTIF(FL$3:FL72,"&gt;0"))</f>
        <v>0</v>
      </c>
      <c r="FM73" t="str">
        <f t="shared" si="105"/>
        <v/>
      </c>
      <c r="FN73" t="str">
        <f t="shared" si="85"/>
        <v/>
      </c>
      <c r="FP73">
        <f t="shared" si="86"/>
        <v>0</v>
      </c>
      <c r="FQ73">
        <f>IF(FP73=0,0,1+COUNTIF(FQ$3:FQ72,"&gt;0"))</f>
        <v>0</v>
      </c>
      <c r="FR73" t="str">
        <f t="shared" si="106"/>
        <v/>
      </c>
      <c r="FS73" t="str">
        <f t="shared" si="87"/>
        <v/>
      </c>
    </row>
    <row r="74" spans="1:175" x14ac:dyDescent="0.25">
      <c r="A74" s="347">
        <f t="shared" si="107"/>
        <v>72</v>
      </c>
      <c r="B74" s="348" t="s">
        <v>2437</v>
      </c>
      <c r="C74" s="348">
        <v>5</v>
      </c>
      <c r="D74" s="347">
        <v>5</v>
      </c>
      <c r="E74" s="627" t="s">
        <v>6952</v>
      </c>
      <c r="F74" s="346"/>
      <c r="G74" s="347" t="str">
        <f>""</f>
        <v/>
      </c>
      <c r="H74" s="347" t="s">
        <v>5912</v>
      </c>
      <c r="I74" s="347" t="s">
        <v>5298</v>
      </c>
      <c r="J74" s="347" t="str">
        <f t="shared" si="57"/>
        <v/>
      </c>
      <c r="K74" s="347" t="s">
        <v>2438</v>
      </c>
      <c r="L74" s="611" t="str">
        <f t="shared" si="58"/>
        <v>V, S</v>
      </c>
      <c r="M74" s="347" t="s">
        <v>2373</v>
      </c>
      <c r="N74" s="347" t="s">
        <v>2387</v>
      </c>
      <c r="O74" s="347" t="s">
        <v>3034</v>
      </c>
      <c r="P74" s="346" t="str">
        <f>""</f>
        <v/>
      </c>
      <c r="Q74" s="347" t="s">
        <v>5275</v>
      </c>
      <c r="S74" s="346" t="s">
        <v>5640</v>
      </c>
      <c r="T74" s="346" t="str">
        <f t="shared" si="59"/>
        <v xml:space="preserve">Cleric, Druid, Oathbreaker, </v>
      </c>
      <c r="Z74" s="347" t="str">
        <f>$B74</f>
        <v>Contagion</v>
      </c>
      <c r="AA74" s="347" t="str">
        <f>$B74</f>
        <v>Contagion</v>
      </c>
      <c r="AE74" t="str">
        <f>IF(IFERROR(MATCH($B74,temp!A$4:A$13,0),0)&gt;0,T08_Spells!AE$2,"")</f>
        <v/>
      </c>
      <c r="AF74" t="str">
        <f>IF(IFERROR(MATCH($B74,temp!B$4:B$13,0),0)&gt;0,T08_Spells!AF$2,"")</f>
        <v/>
      </c>
      <c r="AG74" t="str">
        <f>IF(IFERROR(MATCH($B74,temp!C$4:C$13,0),0)&gt;0,T08_Spells!AG$2,"")</f>
        <v/>
      </c>
      <c r="AH74" t="str">
        <f>IF(IFERROR(MATCH($B74,temp!D$4:D$13,0),0)&gt;0,T08_Spells!AH$2,"")</f>
        <v>Oathbreaker</v>
      </c>
      <c r="AI74" t="str">
        <f>IF(IFERROR(MATCH($B74,temp!E$4:E$13,0),0)&gt;0,T08_Spells!AI$2,"")</f>
        <v/>
      </c>
      <c r="AJ74" t="str">
        <f>IF(IFERROR(MATCH($B74,temp!F$4:F$13,0),0)&gt;0,T08_Spells!AJ$2,"")</f>
        <v/>
      </c>
      <c r="AK74" t="str">
        <f>IF(IFERROR(MATCH($B74,temp!G$4:G$13,0),0)&gt;0,T08_Spells!AK$2,"")</f>
        <v/>
      </c>
      <c r="AL74" t="str">
        <f>IF(IFERROR(MATCH($B74,temp!H$4:H$13,0),0)&gt;0,T08_Spells!AL$2,"")</f>
        <v/>
      </c>
      <c r="AM74" t="str">
        <f>IF(IFERROR(MATCH($B74,temp!I$4:I$13,0),0)&gt;0,T08_Spells!AM$2,"")</f>
        <v/>
      </c>
      <c r="AN74" t="str">
        <f>IF(IFERROR(MATCH($B74,temp!J$4:J$13,0),0)&gt;0,T08_Spells!AN$2,"")</f>
        <v/>
      </c>
      <c r="AO74" t="str">
        <f>IF(IFERROR(MATCH($B74,temp!K$4:K$13,0),0)&gt;0,T08_Spells!AO$2,"")</f>
        <v/>
      </c>
      <c r="AP74" t="str">
        <f>IF(IFERROR(MATCH($B74,temp!L$4:L$13,0),0)&gt;0,T08_Spells!AP$2,"")</f>
        <v/>
      </c>
      <c r="AQ74" t="str">
        <f>IF(IFERROR(MATCH($B74,temp!M$4:M$13,0),0)&gt;0,T08_Spells!AQ$2,"")</f>
        <v/>
      </c>
      <c r="AR74" t="str">
        <f>IF(IFERROR(MATCH($B74,temp!N$4:N$13,0),0)&gt;0,T08_Spells!AR$2,"")</f>
        <v/>
      </c>
      <c r="AS74" t="str">
        <f>IF(IFERROR(MATCH($B74,temp!O$4:O$13,0),0)&gt;0,T08_Spells!AS$2,"")</f>
        <v/>
      </c>
      <c r="AT74" t="str">
        <f>IF(IFERROR(MATCH($B74,temp!P$4:P$13,0),0)&gt;0,T08_Spells!AT$2,"")</f>
        <v/>
      </c>
      <c r="AU74" t="str">
        <f>IF(IFERROR(MATCH($B74,temp!Q$4:Q$13,0),0)&gt;0,T08_Spells!AU$2,"")</f>
        <v/>
      </c>
      <c r="AV74" t="str">
        <f>IF(IFERROR(MATCH($B74,temp!R$4:R$13,0),0)&gt;0,T08_Spells!AV$2,"")</f>
        <v/>
      </c>
      <c r="AW74" t="str">
        <f>IF(IFERROR(MATCH($B74,temp!S$4:S$13,0),0)&gt;0,T08_Spells!AW$2,"")</f>
        <v/>
      </c>
      <c r="AX74" t="str">
        <f>IF(IFERROR(MATCH($B74,temp!T$4:T$13,0),0)&gt;0,T08_Spells!AX$2,"")</f>
        <v/>
      </c>
      <c r="AY74" t="str">
        <f>IF(IFERROR(MATCH($B74,temp!U$4:U$13,0),0)&gt;0,T08_Spells!AY$2,"")</f>
        <v/>
      </c>
      <c r="AZ74" t="str">
        <f>IF(IFERROR(MATCH($B74,temp!V$4:V$13,0),0)&gt;0,T08_Spells!AZ$2,"")</f>
        <v/>
      </c>
      <c r="BA74" t="str">
        <f>IF(IFERROR(MATCH($B74,temp!W$4:W$13,0),0)&gt;0,T08_Spells!BA$2,"")</f>
        <v/>
      </c>
      <c r="BC74">
        <f>IF(IFERROR(SEARCH("Ranger",$T74,1),0)&gt;0,1,0)*IF(RangerMaxSpellLevel&gt;=$C74,1,0)*IF(IFERROR(MATCH(B74,Character_Creation!$X$79:$X$382,0),0)&gt;0,0,1)</f>
        <v>0</v>
      </c>
      <c r="BD74">
        <f>IF(BC74=0,0,1+COUNTIF(BD$3:BD73,"&gt;0"))</f>
        <v>0</v>
      </c>
      <c r="BE74" t="str">
        <f t="shared" si="88"/>
        <v/>
      </c>
      <c r="BF74" t="str">
        <f t="shared" si="60"/>
        <v/>
      </c>
      <c r="BH74">
        <f>IF(IFERROR(SEARCH("Sorcerer",$T74,1),0)&gt;0,1,0)*IF(SorcererMaxSpellLevel&gt;=$C74,1,0)*IF(IFERROR(MATCH(B74,Character_Creation!$J$380:$J$394,0),0)&gt;0,0,1)</f>
        <v>0</v>
      </c>
      <c r="BI74">
        <f>IF(BH74=0,0,1+COUNTIF(BI$3:BI73,"&gt;0"))</f>
        <v>0</v>
      </c>
      <c r="BJ74" t="str">
        <f t="shared" si="89"/>
        <v/>
      </c>
      <c r="BK74" t="str">
        <f t="shared" si="61"/>
        <v/>
      </c>
      <c r="BM74">
        <f>IF(OR(IFERROR(SEARCH("Warlock",$T74,1),0)&gt;0,IFERROR(SEARCH(WarlockPatron,$T74,1),0)&gt;0),1,0)*IF(WarlockMaxSpellLevel&gt;=$C74,1,0)*IF(IFERROR(MATCH(B74,Character_Creation!$J$361:$J$375,0),0)&gt;0,0,1)</f>
        <v>0</v>
      </c>
      <c r="BN74">
        <f>IF(BM74=0,0,1+COUNTIF(BN$3:BN73,"&gt;0"))</f>
        <v>0</v>
      </c>
      <c r="BO74" t="str">
        <f t="shared" si="90"/>
        <v/>
      </c>
      <c r="BP74" t="str">
        <f t="shared" si="62"/>
        <v/>
      </c>
      <c r="BR74">
        <f>IF(IFERROR(SEARCH("Eldritch Knight",$T74,1),0)&gt;0,1,0)*IF(EldritchKnightMaxSpellLevel&gt;=$C74,1,0)*IF(IFERROR(MATCH($B74,Character_Creation!$J$350:$J$356,0),0)&gt;0,0,1)*IF(Character_Creation!$M$338&gt;0,1,0)</f>
        <v>0</v>
      </c>
      <c r="BS74">
        <f>IF(BR74=0,0,1+COUNTIF(BS$3:BS73,"&gt;0"))</f>
        <v>0</v>
      </c>
      <c r="BT74" t="str">
        <f t="shared" si="91"/>
        <v/>
      </c>
      <c r="BU74" t="str">
        <f t="shared" si="63"/>
        <v/>
      </c>
      <c r="BW74">
        <f>IF(IFERROR(SEARCH("Arcane Trickster",$T74,1),0)&gt;0,1,0)*IF(ArcaneTricksterMaxSpellLevel&gt;=$C74,1,0)*IF(IFERROR(MATCH($B74,Character_Creation!$J$350:$J$356,0),0)&gt;0,0,1)*IF(Character_Creation!$T$338&gt;0,1,0)</f>
        <v>0</v>
      </c>
      <c r="BX74">
        <f>IF(BW74=0,0,1+COUNTIF(BX$3:BX73,"&gt;0"))</f>
        <v>0</v>
      </c>
      <c r="BY74" t="str">
        <f t="shared" si="92"/>
        <v/>
      </c>
      <c r="BZ74" t="str">
        <f t="shared" si="64"/>
        <v/>
      </c>
      <c r="CB74">
        <f>IF(IFERROR(SEARCH("Wizard",$T74,1),0)&gt;0,1,0)*IF(C74&lt;=ArcaneTricksterMaxSpellLevel,1,0)*IF(IFERROR(MATCH($B74,Character_Creation!$J$350:$J$356,0),0)&gt;0,0,1)*IF(Character_Creation!$T$350&gt;0,1,0)</f>
        <v>0</v>
      </c>
      <c r="CC74">
        <f>IF(CB74=0,0,1+COUNTIF(CC$3:CC73,"&gt;0"))</f>
        <v>0</v>
      </c>
      <c r="CD74" t="str">
        <f t="shared" si="93"/>
        <v/>
      </c>
      <c r="CE74" t="str">
        <f t="shared" si="65"/>
        <v/>
      </c>
      <c r="CG74">
        <f>IF(IFERROR(SEARCH("Wizard",$T74,1),0)&gt;0,1,0)*IF($C74&lt;=EldritchKnightMaxSpellLevel,1,0)*IF(IFERROR(MATCH($B74,Character_Creation!$J$350:$J$356,0),0)&gt;0,0,1)*IF(Character_Creation!$M$350&gt;0,1,0)</f>
        <v>0</v>
      </c>
      <c r="CH74">
        <f>IF(CG74=0,0,1+COUNTIF(CH$3:CH73,"&gt;0"))</f>
        <v>0</v>
      </c>
      <c r="CI74">
        <f t="shared" si="94"/>
        <v>72</v>
      </c>
      <c r="CJ74" t="str">
        <f t="shared" si="66"/>
        <v>Skywrite</v>
      </c>
      <c r="CL74">
        <f>IF(IFERROR(SEARCH("Bard",$T74,1),0)&gt;0,1,0)*IF(BardMaxSpellLevel&gt;=$C74,1,0)*IF(IFERROR(MATCH(B74,Character_Creation!$C$341:$F$362,0),0)&gt;0,0,1)*IF(IFERROR(MATCH($B74,Character_Creation!$C$341:$C$362,0),0)&gt;0,0,1)</f>
        <v>0</v>
      </c>
      <c r="CM74">
        <f>IF(CL74=0,0,1+COUNTIF(CM$3:CM73,"&gt;0"))</f>
        <v>0</v>
      </c>
      <c r="CN74" t="str">
        <f t="shared" si="95"/>
        <v/>
      </c>
      <c r="CO74" t="str">
        <f t="shared" si="67"/>
        <v/>
      </c>
      <c r="CQ74">
        <f>IF(IFERROR(SEARCH("Wizard",$T74,1),0)&gt;0,1,0)*IF(WizardMaxSpellLevel&gt;=$C74,1,0)*IF(IFERROR(MATCH(B74,Character_Creation!$X$341:$X$400,0),0)&gt;0,0,1)*IF(SelectedWizardSpellLevel=$C74,1,0)</f>
        <v>0</v>
      </c>
      <c r="CR74">
        <f>IF(CQ74=0,0,1+COUNTIF(CR$3:CR73,"&gt;0"))</f>
        <v>0</v>
      </c>
      <c r="CS74" t="str">
        <f t="shared" si="96"/>
        <v/>
      </c>
      <c r="CT74" t="str">
        <f t="shared" si="68"/>
        <v/>
      </c>
      <c r="CV74">
        <f>IF(IFERROR(MATCH($B74,Character_Creation!$C$341:$C$362,0),0)&gt;0,0,1)*IF(OR(C74="Cantrip",C74&lt;=BardMaxSpellLevel),1,0)*IF(IFERROR(MATCH($B74,Character_Creation!$C$367:$C$374,0),0)&gt;0,0,1)</f>
        <v>0</v>
      </c>
      <c r="CW74">
        <f>IF(CV74=0,0,1+COUNTIF(CW$3:CW73,"&gt;0"))</f>
        <v>0</v>
      </c>
      <c r="CX74" t="str">
        <f t="shared" si="97"/>
        <v/>
      </c>
      <c r="CY74" t="str">
        <f t="shared" si="69"/>
        <v/>
      </c>
      <c r="DA74">
        <f>IF(IF(OR(IFERROR(SEARCH("Cleric",$T74,1),0)&gt;0,IFERROR(SEARCH(DivineDomain&amp;",",$T74,1),0)&gt;0),1,0)*IF($C74=DA$2,1,0)=1,1+COUNTIF(DA$3:DA73,"&gt;0"),0)</f>
        <v>0</v>
      </c>
      <c r="DB74">
        <f>IF(IF(OR(IFERROR(SEARCH("Cleric",$T74,1),0)&gt;0,IFERROR(SEARCH(DivineDomain&amp;",",$T74,1),0)&gt;0),1,0)*IF($C74=DB$2,1,0)=1,1+COUNTIF(DB$3:DB73,"&gt;0"),0)</f>
        <v>0</v>
      </c>
      <c r="DC74">
        <f>IF(IF(OR(IFERROR(SEARCH("Cleric",$T74,1),0)&gt;0,IFERROR(SEARCH(DivineDomain&amp;",",$T74,1),0)&gt;0),1,0)*IF($C74=DC$2,1,0)=1,1+COUNTIF(DC$3:DC73,"&gt;0"),0)</f>
        <v>0</v>
      </c>
      <c r="DD74">
        <f>IF(IF(OR(IFERROR(SEARCH("Cleric",$T74,1),0)&gt;0,IFERROR(SEARCH(DivineDomain&amp;",",$T74,1),0)&gt;0),1,0)*IF($C74=DD$2,1,0)=1,1+COUNTIF(DD$3:DD73,"&gt;0"),0)</f>
        <v>0</v>
      </c>
      <c r="DE74">
        <f>IF(IF(OR(IFERROR(SEARCH("Cleric",$T74,1),0)&gt;0,IFERROR(SEARCH(DivineDomain&amp;",",$T74,1),0)&gt;0),1,0)*IF($C74=DE$2,1,0)=1,1+COUNTIF(DE$3:DE73,"&gt;0"),0)</f>
        <v>2</v>
      </c>
      <c r="DF74">
        <f>IF(IF(OR(IFERROR(SEARCH("Cleric",$T74,1),0)&gt;0,IFERROR(SEARCH(DivineDomain&amp;",",$T74,1),0)&gt;0),1,0)*IF($C74=DF$2,1,0)=1,1+COUNTIF(DF$3:DF73,"&gt;0"),0)</f>
        <v>0</v>
      </c>
      <c r="DG74">
        <f>IF(IF(OR(IFERROR(SEARCH("Cleric",$T74,1),0)&gt;0,IFERROR(SEARCH(DivineDomain&amp;",",$T74,1),0)&gt;0),1,0)*IF($C74=DG$2,1,0)=1,1+COUNTIF(DG$3:DG73,"&gt;0"),0)</f>
        <v>0</v>
      </c>
      <c r="DH74">
        <f>IF(IF(OR(IFERROR(SEARCH("Cleric",$T74,1),0)&gt;0,IFERROR(SEARCH(DivineDomain&amp;",",$T74,1),0)&gt;0),1,0)*IF($C74=DH$2,1,0)=1,1+COUNTIF(DH$3:DH73,"&gt;0"),0)</f>
        <v>0</v>
      </c>
      <c r="DI74">
        <f>IF(IF(OR(IFERROR(SEARCH("Cleric",$T74,1),0)&gt;0,IFERROR(SEARCH(DivineDomain&amp;",",$T74,1),0)&gt;0),1,0)*IF($C74=DI$2,1,0)=1,1+COUNTIF(DI$3:DI73,"&gt;0"),0)</f>
        <v>0</v>
      </c>
      <c r="DJ74">
        <f>IF(IF(OR(IFERROR(SEARCH("Druid",$T74,1),0)&gt;0,IFERROR(SEARCH(DruidLand1,$T74,1),0)&gt;0,IFERROR(SEARCH(DruidLand2,$T74,1),0)&gt;0,IFERROR(SEARCH(DruidLand3,$T74,1),0)&gt;0,IFERROR(SEARCH(DruidLand4,$T74,1),0)&gt;0),1,0)*IF($C74=1,1,0)*IF($C74=DJ$2,1,0)=0,0,1+COUNTIF(DJ$3:DJ73,"&gt;0"))</f>
        <v>0</v>
      </c>
      <c r="DK74">
        <f>IF(IF(OR(IFERROR(SEARCH("Druid",$T74,1),0)&gt;0,IFERROR(SEARCH(DruidLand1,$T74,1),0)&gt;0,IFERROR(SEARCH(DruidLand2,$T74,1),0)&gt;0,IFERROR(SEARCH(DruidLand3,$T74,1),0)&gt;0,IFERROR(SEARCH(DruidLand4,$T74,1),0)&gt;0),1,0)*IF($C74=DK$2,1,0)=0,0,1+COUNTIF(DK$3:DK73,"&gt;0"))</f>
        <v>0</v>
      </c>
      <c r="DL74">
        <f>IF(IF(OR(IFERROR(SEARCH("Druid",$T74,1),0)&gt;0,IFERROR(SEARCH(DruidLand1,$T74,1),0)&gt;0,IFERROR(SEARCH(DruidLand2,$T74,1),0)&gt;0,IFERROR(SEARCH(DruidLand3,$T74,1),0)&gt;0,IFERROR(SEARCH(DruidLand4,$T74,1),0)&gt;0),1,0)*IF($C74=DL$2,1,0)=0,0,1+COUNTIF(DL$3:DL73,"&gt;0"))</f>
        <v>0</v>
      </c>
      <c r="DM74">
        <f>IF(IF(OR(IFERROR(SEARCH("Druid",$T74,1),0)&gt;0,IFERROR(SEARCH(DruidLand1,$T74,1),0)&gt;0,IFERROR(SEARCH(DruidLand2,$T74,1),0)&gt;0,IFERROR(SEARCH(DruidLand3,$T74,1),0)&gt;0,IFERROR(SEARCH(DruidLand4,$T74,1),0)&gt;0),1,0)*IF($C74=DM$2,1,0)=0,0,1+COUNTIF(DM$3:DM73,"&gt;0"))</f>
        <v>0</v>
      </c>
      <c r="DN74">
        <f>IF(IF(OR(IFERROR(SEARCH("Druid",$T74,1),0)&gt;0,IFERROR(SEARCH(DruidLand1,$T74,1),0)&gt;0,IFERROR(SEARCH(DruidLand2,$T74,1),0)&gt;0,IFERROR(SEARCH(DruidLand3,$T74,1),0)&gt;0,IFERROR(SEARCH(DruidLand4,$T74,1),0)&gt;0),1,0)*IF($C74=DN$2,1,0)=0,0,1+COUNTIF(DN$3:DN73,"&gt;0"))</f>
        <v>5</v>
      </c>
      <c r="DO74">
        <f>IF(IF(OR(IFERROR(SEARCH("Druid",$T74,1),0)&gt;0,IFERROR(SEARCH(DruidLand1,$T74,1),0)&gt;0,IFERROR(SEARCH(DruidLand2,$T74,1),0)&gt;0,IFERROR(SEARCH(DruidLand3,$T74,1),0)&gt;0,IFERROR(SEARCH(DruidLand4,$T74,1),0)&gt;0),1,0)*IF($C74=DO$2,1,0)=0,0,1+COUNTIF(DO$3:DO73,"&gt;0"))</f>
        <v>0</v>
      </c>
      <c r="DP74">
        <f>IF(IF(OR(IFERROR(SEARCH("Druid",$T74,1),0)&gt;0,IFERROR(SEARCH(DruidLand1,$T74,1),0)&gt;0,IFERROR(SEARCH(DruidLand2,$T74,1),0)&gt;0,IFERROR(SEARCH(DruidLand3,$T74,1),0)&gt;0,IFERROR(SEARCH(DruidLand4,$T74,1),0)&gt;0),1,0)*IF($C74=DP$2,1,0)=0,0,1+COUNTIF(DP$3:DP73,"&gt;0"))</f>
        <v>0</v>
      </c>
      <c r="DQ74">
        <f>IF(IF(OR(IFERROR(SEARCH("Druid",$T74,1),0)&gt;0,IFERROR(SEARCH(DruidLand1,$T74,1),0)&gt;0,IFERROR(SEARCH(DruidLand2,$T74,1),0)&gt;0,IFERROR(SEARCH(DruidLand3,$T74,1),0)&gt;0,IFERROR(SEARCH(DruidLand4,$T74,1),0)&gt;0),1,0)*IF($C74=DQ$2,1,0)=0,0,1+COUNTIF(DQ$3:DQ73,"&gt;0"))</f>
        <v>0</v>
      </c>
      <c r="DR74">
        <f>IF(IF(OR(IFERROR(SEARCH("Druid",$T74,1),0)&gt;0,IFERROR(SEARCH(DruidLand1,$T74,1),0)&gt;0,IFERROR(SEARCH(DruidLand2,$T74,1),0)&gt;0,IFERROR(SEARCH(DruidLand3,$T74,1),0)&gt;0,IFERROR(SEARCH(DruidLand4,$T74,1),0)&gt;0),1,0)*IF($C74=DR$2,1,0)=0,0,1+COUNTIF(DR$3:DR73,"&gt;0"))</f>
        <v>0</v>
      </c>
      <c r="DS74">
        <f>IF(IF(OR(IFERROR(SEARCH("Paladin",$T74,1),0)&gt;0,IFERROR(SEARCH(PaladinOath,$T74,1),0)&gt;0),1,0)*IF($C74=DS$2,1,0)=1,1+COUNTIF(DS$3:DS73,"&gt;0"),0)</f>
        <v>0</v>
      </c>
      <c r="DT74">
        <f>IF(IF(OR(IFERROR(SEARCH("Paladin",$T74,1),0)&gt;0,IFERROR(SEARCH(PaladinOath,$T74,1),0)&gt;0),1,0)*IF($C74=DT$2,1,0)=1,1+COUNTIF(DT$3:DT73,"&gt;0"),0)</f>
        <v>0</v>
      </c>
      <c r="DU74">
        <f>IF(IF(OR(IFERROR(SEARCH("Paladin",$T74,1),0)&gt;0,IFERROR(SEARCH(PaladinOath,$T74,1),0)&gt;0),1,0)*IF($C74=DU$2,1,0)=1,1+COUNTIF(DU$3:DU73,"&gt;0"),0)</f>
        <v>0</v>
      </c>
      <c r="DV74">
        <f>IF(IF(OR(IFERROR(SEARCH("Paladin",$T74,1),0)&gt;0,IFERROR(SEARCH(PaladinOath,$T74,1),0)&gt;0),1,0)*IF($C74=DV$2,1,0)=1,1+COUNTIF(DV$3:DV73,"&gt;0"),0)</f>
        <v>0</v>
      </c>
      <c r="DW74">
        <f>IF(IF(OR(IFERROR(SEARCH("Paladin",$T74,1),0)&gt;0,IFERROR(SEARCH(PaladinOath,$T74,1),0)&gt;0),1,0)*IF($C74=DW$2,1,0)=1,1+COUNTIF(DW$3:DW73,"&gt;0"),0)</f>
        <v>0</v>
      </c>
      <c r="DY74">
        <f t="shared" si="56"/>
        <v>1</v>
      </c>
      <c r="DZ74">
        <f>IF(DY74=0,0,1+MAX(DZ$3:$DZ73))</f>
        <v>72</v>
      </c>
      <c r="EB74">
        <f t="shared" si="70"/>
        <v>0</v>
      </c>
      <c r="EC74">
        <f>IF(EB74=0,0,1+COUNTIF(EC$3:EC73,"&gt;0"))</f>
        <v>0</v>
      </c>
      <c r="ED74" t="str">
        <f t="shared" si="98"/>
        <v/>
      </c>
      <c r="EE74" t="str">
        <f t="shared" si="71"/>
        <v/>
      </c>
      <c r="EG74">
        <f t="shared" si="72"/>
        <v>0</v>
      </c>
      <c r="EH74">
        <f>IF(EG74=0,0,1+COUNTIF(EH$3:EH73,"&gt;0"))</f>
        <v>0</v>
      </c>
      <c r="EI74" t="str">
        <f t="shared" si="99"/>
        <v/>
      </c>
      <c r="EJ74" t="str">
        <f t="shared" si="73"/>
        <v/>
      </c>
      <c r="EL74">
        <f t="shared" si="74"/>
        <v>0</v>
      </c>
      <c r="EM74">
        <f>IF(EL74=0,0,1+COUNTIF(EM$3:EM73,"&gt;0"))</f>
        <v>0</v>
      </c>
      <c r="EN74" t="str">
        <f t="shared" si="100"/>
        <v/>
      </c>
      <c r="EO74" t="str">
        <f t="shared" si="75"/>
        <v/>
      </c>
      <c r="EQ74">
        <f t="shared" si="76"/>
        <v>0</v>
      </c>
      <c r="ER74">
        <f>IF(EQ74=0,0,1+COUNTIF(ER$3:ER73,"&gt;0"))</f>
        <v>0</v>
      </c>
      <c r="ES74" t="str">
        <f t="shared" si="101"/>
        <v/>
      </c>
      <c r="ET74" t="str">
        <f t="shared" si="77"/>
        <v/>
      </c>
      <c r="EV74">
        <f t="shared" si="78"/>
        <v>0</v>
      </c>
      <c r="EW74">
        <f>IF(EV74=0,0,1+COUNTIF(EW$3:EW73,"&gt;0"))</f>
        <v>0</v>
      </c>
      <c r="EX74" t="str">
        <f t="shared" si="102"/>
        <v/>
      </c>
      <c r="EY74" t="str">
        <f t="shared" si="79"/>
        <v/>
      </c>
      <c r="FA74">
        <f t="shared" si="80"/>
        <v>0</v>
      </c>
      <c r="FB74">
        <f>IF(FA74=0,0,1+COUNTIF(FB$3:FB73,"&gt;0"))</f>
        <v>0</v>
      </c>
      <c r="FC74" t="str">
        <f t="shared" si="103"/>
        <v/>
      </c>
      <c r="FD74" t="str">
        <f t="shared" si="81"/>
        <v/>
      </c>
      <c r="FF74">
        <f t="shared" si="82"/>
        <v>0</v>
      </c>
      <c r="FG74">
        <f>IF(FF74=0,0,1+COUNTIF(FG$3:FG73,"&gt;0"))</f>
        <v>0</v>
      </c>
      <c r="FH74" t="str">
        <f t="shared" si="104"/>
        <v/>
      </c>
      <c r="FI74" t="str">
        <f t="shared" si="83"/>
        <v/>
      </c>
      <c r="FK74">
        <f t="shared" si="84"/>
        <v>0</v>
      </c>
      <c r="FL74">
        <f>IF(FK74=0,0,1+COUNTIF(FL$3:FL73,"&gt;0"))</f>
        <v>0</v>
      </c>
      <c r="FM74" t="str">
        <f t="shared" si="105"/>
        <v/>
      </c>
      <c r="FN74" t="str">
        <f t="shared" si="85"/>
        <v/>
      </c>
      <c r="FP74">
        <f t="shared" si="86"/>
        <v>0</v>
      </c>
      <c r="FQ74">
        <f>IF(FP74=0,0,1+COUNTIF(FQ$3:FQ73,"&gt;0"))</f>
        <v>0</v>
      </c>
      <c r="FR74" t="str">
        <f t="shared" si="106"/>
        <v/>
      </c>
      <c r="FS74" t="str">
        <f t="shared" si="87"/>
        <v/>
      </c>
    </row>
    <row r="75" spans="1:175" x14ac:dyDescent="0.25">
      <c r="A75" s="347">
        <f t="shared" si="107"/>
        <v>73</v>
      </c>
      <c r="B75" s="348" t="s">
        <v>2439</v>
      </c>
      <c r="C75" s="348">
        <v>6</v>
      </c>
      <c r="D75" s="347">
        <v>6</v>
      </c>
      <c r="E75" s="627" t="s">
        <v>6952</v>
      </c>
      <c r="F75" s="346"/>
      <c r="G75" s="347" t="str">
        <f>""</f>
        <v/>
      </c>
      <c r="H75" s="347" t="s">
        <v>5319</v>
      </c>
      <c r="I75" s="347" t="s">
        <v>5283</v>
      </c>
      <c r="J75" s="347" t="str">
        <f t="shared" si="57"/>
        <v/>
      </c>
      <c r="K75" s="347" t="s">
        <v>2364</v>
      </c>
      <c r="L75" s="611" t="str">
        <f t="shared" si="58"/>
        <v>V, S, M, a statuette of yourself carved from ivory and decorated with gems worth at least 1,500 gp</v>
      </c>
      <c r="M75" s="347" t="s">
        <v>2373</v>
      </c>
      <c r="N75" s="347" t="s">
        <v>2387</v>
      </c>
      <c r="O75" s="347" t="s">
        <v>1244</v>
      </c>
      <c r="P75" s="346" t="s">
        <v>5332</v>
      </c>
      <c r="Q75" s="347" t="s">
        <v>5273</v>
      </c>
      <c r="S75" s="346" t="s">
        <v>5915</v>
      </c>
      <c r="T75" s="346" t="str">
        <f t="shared" si="59"/>
        <v xml:space="preserve">Eldritch Knight, Wizard, </v>
      </c>
      <c r="AB75" s="542" t="str">
        <f>AD75</f>
        <v>Contingency</v>
      </c>
      <c r="AD75" s="347" t="str">
        <f>$B75</f>
        <v>Contingency</v>
      </c>
      <c r="AE75" t="str">
        <f>IF(IFERROR(MATCH($B75,temp!A$4:A$13,0),0)&gt;0,T08_Spells!AE$2,"")</f>
        <v/>
      </c>
      <c r="AF75" t="str">
        <f>IF(IFERROR(MATCH($B75,temp!B$4:B$13,0),0)&gt;0,T08_Spells!AF$2,"")</f>
        <v/>
      </c>
      <c r="AG75" t="str">
        <f>IF(IFERROR(MATCH($B75,temp!C$4:C$13,0),0)&gt;0,T08_Spells!AG$2,"")</f>
        <v/>
      </c>
      <c r="AH75" t="str">
        <f>IF(IFERROR(MATCH($B75,temp!D$4:D$13,0),0)&gt;0,T08_Spells!AH$2,"")</f>
        <v/>
      </c>
      <c r="AI75" t="str">
        <f>IF(IFERROR(MATCH($B75,temp!E$4:E$13,0),0)&gt;0,T08_Spells!AI$2,"")</f>
        <v/>
      </c>
      <c r="AJ75" t="str">
        <f>IF(IFERROR(MATCH($B75,temp!F$4:F$13,0),0)&gt;0,T08_Spells!AJ$2,"")</f>
        <v/>
      </c>
      <c r="AK75" t="str">
        <f>IF(IFERROR(MATCH($B75,temp!G$4:G$13,0),0)&gt;0,T08_Spells!AK$2,"")</f>
        <v/>
      </c>
      <c r="AL75" t="str">
        <f>IF(IFERROR(MATCH($B75,temp!H$4:H$13,0),0)&gt;0,T08_Spells!AL$2,"")</f>
        <v/>
      </c>
      <c r="AM75" t="str">
        <f>IF(IFERROR(MATCH($B75,temp!I$4:I$13,0),0)&gt;0,T08_Spells!AM$2,"")</f>
        <v/>
      </c>
      <c r="AN75" t="str">
        <f>IF(IFERROR(MATCH($B75,temp!J$4:J$13,0),0)&gt;0,T08_Spells!AN$2,"")</f>
        <v/>
      </c>
      <c r="AO75" t="str">
        <f>IF(IFERROR(MATCH($B75,temp!K$4:K$13,0),0)&gt;0,T08_Spells!AO$2,"")</f>
        <v/>
      </c>
      <c r="AP75" t="str">
        <f>IF(IFERROR(MATCH($B75,temp!L$4:L$13,0),0)&gt;0,T08_Spells!AP$2,"")</f>
        <v/>
      </c>
      <c r="AQ75" t="str">
        <f>IF(IFERROR(MATCH($B75,temp!M$4:M$13,0),0)&gt;0,T08_Spells!AQ$2,"")</f>
        <v/>
      </c>
      <c r="AR75" t="str">
        <f>IF(IFERROR(MATCH($B75,temp!N$4:N$13,0),0)&gt;0,T08_Spells!AR$2,"")</f>
        <v/>
      </c>
      <c r="AS75" t="str">
        <f>IF(IFERROR(MATCH($B75,temp!O$4:O$13,0),0)&gt;0,T08_Spells!AS$2,"")</f>
        <v/>
      </c>
      <c r="AT75" t="str">
        <f>IF(IFERROR(MATCH($B75,temp!P$4:P$13,0),0)&gt;0,T08_Spells!AT$2,"")</f>
        <v/>
      </c>
      <c r="AU75" t="str">
        <f>IF(IFERROR(MATCH($B75,temp!Q$4:Q$13,0),0)&gt;0,T08_Spells!AU$2,"")</f>
        <v/>
      </c>
      <c r="AV75" t="str">
        <f>IF(IFERROR(MATCH($B75,temp!R$4:R$13,0),0)&gt;0,T08_Spells!AV$2,"")</f>
        <v/>
      </c>
      <c r="AW75" t="str">
        <f>IF(IFERROR(MATCH($B75,temp!S$4:S$13,0),0)&gt;0,T08_Spells!AW$2,"")</f>
        <v/>
      </c>
      <c r="AX75" t="str">
        <f>IF(IFERROR(MATCH($B75,temp!T$4:T$13,0),0)&gt;0,T08_Spells!AX$2,"")</f>
        <v/>
      </c>
      <c r="AY75" t="str">
        <f>IF(IFERROR(MATCH($B75,temp!U$4:U$13,0),0)&gt;0,T08_Spells!AY$2,"")</f>
        <v/>
      </c>
      <c r="AZ75" t="str">
        <f>IF(IFERROR(MATCH($B75,temp!V$4:V$13,0),0)&gt;0,T08_Spells!AZ$2,"")</f>
        <v/>
      </c>
      <c r="BA75" t="str">
        <f>IF(IFERROR(MATCH($B75,temp!W$4:W$13,0),0)&gt;0,T08_Spells!BA$2,"")</f>
        <v/>
      </c>
      <c r="BC75">
        <f>IF(IFERROR(SEARCH("Ranger",$T75,1),0)&gt;0,1,0)*IF(RangerMaxSpellLevel&gt;=$C75,1,0)*IF(IFERROR(MATCH(B75,Character_Creation!$X$79:$X$382,0),0)&gt;0,0,1)</f>
        <v>0</v>
      </c>
      <c r="BD75">
        <f>IF(BC75=0,0,1+COUNTIF(BD$3:BD74,"&gt;0"))</f>
        <v>0</v>
      </c>
      <c r="BE75" t="str">
        <f t="shared" si="88"/>
        <v/>
      </c>
      <c r="BF75" t="str">
        <f t="shared" si="60"/>
        <v/>
      </c>
      <c r="BH75">
        <f>IF(IFERROR(SEARCH("Sorcerer",$T75,1),0)&gt;0,1,0)*IF(SorcererMaxSpellLevel&gt;=$C75,1,0)*IF(IFERROR(MATCH(B75,Character_Creation!$J$380:$J$394,0),0)&gt;0,0,1)</f>
        <v>0</v>
      </c>
      <c r="BI75">
        <f>IF(BH75=0,0,1+COUNTIF(BI$3:BI74,"&gt;0"))</f>
        <v>0</v>
      </c>
      <c r="BJ75" t="str">
        <f t="shared" si="89"/>
        <v/>
      </c>
      <c r="BK75" t="str">
        <f t="shared" si="61"/>
        <v/>
      </c>
      <c r="BM75">
        <f>IF(OR(IFERROR(SEARCH("Warlock",$T75,1),0)&gt;0,IFERROR(SEARCH(WarlockPatron,$T75,1),0)&gt;0),1,0)*IF(WarlockMaxSpellLevel&gt;=$C75,1,0)*IF(IFERROR(MATCH(B75,Character_Creation!$J$361:$J$375,0),0)&gt;0,0,1)</f>
        <v>0</v>
      </c>
      <c r="BN75">
        <f>IF(BM75=0,0,1+COUNTIF(BN$3:BN74,"&gt;0"))</f>
        <v>0</v>
      </c>
      <c r="BO75" t="str">
        <f t="shared" si="90"/>
        <v/>
      </c>
      <c r="BP75" t="str">
        <f t="shared" si="62"/>
        <v/>
      </c>
      <c r="BR75">
        <f>IF(IFERROR(SEARCH("Eldritch Knight",$T75,1),0)&gt;0,1,0)*IF(EldritchKnightMaxSpellLevel&gt;=$C75,1,0)*IF(IFERROR(MATCH($B75,Character_Creation!$J$350:$J$356,0),0)&gt;0,0,1)*IF(Character_Creation!$M$338&gt;0,1,0)</f>
        <v>0</v>
      </c>
      <c r="BS75">
        <f>IF(BR75=0,0,1+COUNTIF(BS$3:BS74,"&gt;0"))</f>
        <v>0</v>
      </c>
      <c r="BT75" t="str">
        <f t="shared" si="91"/>
        <v/>
      </c>
      <c r="BU75" t="str">
        <f t="shared" si="63"/>
        <v/>
      </c>
      <c r="BW75">
        <f>IF(IFERROR(SEARCH("Arcane Trickster",$T75,1),0)&gt;0,1,0)*IF(ArcaneTricksterMaxSpellLevel&gt;=$C75,1,0)*IF(IFERROR(MATCH($B75,Character_Creation!$J$350:$J$356,0),0)&gt;0,0,1)*IF(Character_Creation!$T$338&gt;0,1,0)</f>
        <v>0</v>
      </c>
      <c r="BX75">
        <f>IF(BW75=0,0,1+COUNTIF(BX$3:BX74,"&gt;0"))</f>
        <v>0</v>
      </c>
      <c r="BY75" t="str">
        <f t="shared" si="92"/>
        <v/>
      </c>
      <c r="BZ75" t="str">
        <f t="shared" si="64"/>
        <v/>
      </c>
      <c r="CB75">
        <f>IF(IFERROR(SEARCH("Wizard",$T75,1),0)&gt;0,1,0)*IF(C75&lt;=ArcaneTricksterMaxSpellLevel,1,0)*IF(IFERROR(MATCH($B75,Character_Creation!$J$350:$J$356,0),0)&gt;0,0,1)*IF(Character_Creation!$T$350&gt;0,1,0)</f>
        <v>0</v>
      </c>
      <c r="CC75">
        <f>IF(CB75=0,0,1+COUNTIF(CC$3:CC74,"&gt;0"))</f>
        <v>0</v>
      </c>
      <c r="CD75" t="str">
        <f t="shared" si="93"/>
        <v/>
      </c>
      <c r="CE75" t="str">
        <f t="shared" si="65"/>
        <v/>
      </c>
      <c r="CG75">
        <f>IF(IFERROR(SEARCH("Wizard",$T75,1),0)&gt;0,1,0)*IF($C75&lt;=EldritchKnightMaxSpellLevel,1,0)*IF(IFERROR(MATCH($B75,Character_Creation!$J$350:$J$356,0),0)&gt;0,0,1)*IF(Character_Creation!$M$350&gt;0,1,0)</f>
        <v>0</v>
      </c>
      <c r="CH75">
        <f>IF(CG75=0,0,1+COUNTIF(CH$3:CH74,"&gt;0"))</f>
        <v>0</v>
      </c>
      <c r="CI75">
        <f t="shared" si="94"/>
        <v>73</v>
      </c>
      <c r="CJ75" t="str">
        <f t="shared" si="66"/>
        <v>Snilloc’s Snowball Swarm</v>
      </c>
      <c r="CL75">
        <f>IF(IFERROR(SEARCH("Bard",$T75,1),0)&gt;0,1,0)*IF(BardMaxSpellLevel&gt;=$C75,1,0)*IF(IFERROR(MATCH(B75,Character_Creation!$C$341:$F$362,0),0)&gt;0,0,1)*IF(IFERROR(MATCH($B75,Character_Creation!$C$341:$C$362,0),0)&gt;0,0,1)</f>
        <v>0</v>
      </c>
      <c r="CM75">
        <f>IF(CL75=0,0,1+COUNTIF(CM$3:CM74,"&gt;0"))</f>
        <v>0</v>
      </c>
      <c r="CN75" t="str">
        <f t="shared" si="95"/>
        <v/>
      </c>
      <c r="CO75" t="str">
        <f t="shared" si="67"/>
        <v/>
      </c>
      <c r="CQ75">
        <f>IF(IFERROR(SEARCH("Wizard",$T75,1),0)&gt;0,1,0)*IF(WizardMaxSpellLevel&gt;=$C75,1,0)*IF(IFERROR(MATCH(B75,Character_Creation!$X$341:$X$400,0),0)&gt;0,0,1)*IF(SelectedWizardSpellLevel=$C75,1,0)</f>
        <v>0</v>
      </c>
      <c r="CR75">
        <f>IF(CQ75=0,0,1+COUNTIF(CR$3:CR74,"&gt;0"))</f>
        <v>0</v>
      </c>
      <c r="CS75" t="str">
        <f t="shared" si="96"/>
        <v/>
      </c>
      <c r="CT75" t="str">
        <f t="shared" si="68"/>
        <v/>
      </c>
      <c r="CV75">
        <f>IF(IFERROR(MATCH($B75,Character_Creation!$C$341:$C$362,0),0)&gt;0,0,1)*IF(OR(C75="Cantrip",C75&lt;=BardMaxSpellLevel),1,0)*IF(IFERROR(MATCH($B75,Character_Creation!$C$367:$C$374,0),0)&gt;0,0,1)</f>
        <v>0</v>
      </c>
      <c r="CW75">
        <f>IF(CV75=0,0,1+COUNTIF(CW$3:CW74,"&gt;0"))</f>
        <v>0</v>
      </c>
      <c r="CX75" t="str">
        <f t="shared" si="97"/>
        <v/>
      </c>
      <c r="CY75" t="str">
        <f t="shared" si="69"/>
        <v/>
      </c>
      <c r="DA75">
        <f>IF(IF(OR(IFERROR(SEARCH("Cleric",$T75,1),0)&gt;0,IFERROR(SEARCH(DivineDomain&amp;",",$T75,1),0)&gt;0),1,0)*IF($C75=DA$2,1,0)=1,1+COUNTIF(DA$3:DA74,"&gt;0"),0)</f>
        <v>0</v>
      </c>
      <c r="DB75">
        <f>IF(IF(OR(IFERROR(SEARCH("Cleric",$T75,1),0)&gt;0,IFERROR(SEARCH(DivineDomain&amp;",",$T75,1),0)&gt;0),1,0)*IF($C75=DB$2,1,0)=1,1+COUNTIF(DB$3:DB74,"&gt;0"),0)</f>
        <v>0</v>
      </c>
      <c r="DC75">
        <f>IF(IF(OR(IFERROR(SEARCH("Cleric",$T75,1),0)&gt;0,IFERROR(SEARCH(DivineDomain&amp;",",$T75,1),0)&gt;0),1,0)*IF($C75=DC$2,1,0)=1,1+COUNTIF(DC$3:DC74,"&gt;0"),0)</f>
        <v>0</v>
      </c>
      <c r="DD75">
        <f>IF(IF(OR(IFERROR(SEARCH("Cleric",$T75,1),0)&gt;0,IFERROR(SEARCH(DivineDomain&amp;",",$T75,1),0)&gt;0),1,0)*IF($C75=DD$2,1,0)=1,1+COUNTIF(DD$3:DD74,"&gt;0"),0)</f>
        <v>0</v>
      </c>
      <c r="DE75">
        <f>IF(IF(OR(IFERROR(SEARCH("Cleric",$T75,1),0)&gt;0,IFERROR(SEARCH(DivineDomain&amp;",",$T75,1),0)&gt;0),1,0)*IF($C75=DE$2,1,0)=1,1+COUNTIF(DE$3:DE74,"&gt;0"),0)</f>
        <v>0</v>
      </c>
      <c r="DF75">
        <f>IF(IF(OR(IFERROR(SEARCH("Cleric",$T75,1),0)&gt;0,IFERROR(SEARCH(DivineDomain&amp;",",$T75,1),0)&gt;0),1,0)*IF($C75=DF$2,1,0)=1,1+COUNTIF(DF$3:DF74,"&gt;0"),0)</f>
        <v>0</v>
      </c>
      <c r="DG75">
        <f>IF(IF(OR(IFERROR(SEARCH("Cleric",$T75,1),0)&gt;0,IFERROR(SEARCH(DivineDomain&amp;",",$T75,1),0)&gt;0),1,0)*IF($C75=DG$2,1,0)=1,1+COUNTIF(DG$3:DG74,"&gt;0"),0)</f>
        <v>0</v>
      </c>
      <c r="DH75">
        <f>IF(IF(OR(IFERROR(SEARCH("Cleric",$T75,1),0)&gt;0,IFERROR(SEARCH(DivineDomain&amp;",",$T75,1),0)&gt;0),1,0)*IF($C75=DH$2,1,0)=1,1+COUNTIF(DH$3:DH74,"&gt;0"),0)</f>
        <v>0</v>
      </c>
      <c r="DI75">
        <f>IF(IF(OR(IFERROR(SEARCH("Cleric",$T75,1),0)&gt;0,IFERROR(SEARCH(DivineDomain&amp;",",$T75,1),0)&gt;0),1,0)*IF($C75=DI$2,1,0)=1,1+COUNTIF(DI$3:DI74,"&gt;0"),0)</f>
        <v>0</v>
      </c>
      <c r="DJ75">
        <f>IF(IF(OR(IFERROR(SEARCH("Druid",$T75,1),0)&gt;0,IFERROR(SEARCH(DruidLand1,$T75,1),0)&gt;0,IFERROR(SEARCH(DruidLand2,$T75,1),0)&gt;0,IFERROR(SEARCH(DruidLand3,$T75,1),0)&gt;0,IFERROR(SEARCH(DruidLand4,$T75,1),0)&gt;0),1,0)*IF($C75=1,1,0)*IF($C75=DJ$2,1,0)=0,0,1+COUNTIF(DJ$3:DJ74,"&gt;0"))</f>
        <v>0</v>
      </c>
      <c r="DK75">
        <f>IF(IF(OR(IFERROR(SEARCH("Druid",$T75,1),0)&gt;0,IFERROR(SEARCH(DruidLand1,$T75,1),0)&gt;0,IFERROR(SEARCH(DruidLand2,$T75,1),0)&gt;0,IFERROR(SEARCH(DruidLand3,$T75,1),0)&gt;0,IFERROR(SEARCH(DruidLand4,$T75,1),0)&gt;0),1,0)*IF($C75=1,1,0)*IF($C75=DK$2,1,0)=0,0,1+COUNTIF(DK$3:DK74,"&gt;0"))</f>
        <v>0</v>
      </c>
      <c r="DL75">
        <f>IF(IF(OR(IFERROR(SEARCH("Druid",$T75,1),0)&gt;0,IFERROR(SEARCH(DruidLand1,$T75,1),0)&gt;0,IFERROR(SEARCH(DruidLand2,$T75,1),0)&gt;0,IFERROR(SEARCH(DruidLand3,$T75,1),0)&gt;0,IFERROR(SEARCH(DruidLand4,$T75,1),0)&gt;0),1,0)*IF($C75=1,1,0)*IF($C75=DL$2,1,0)=0,0,1+COUNTIF(DL$3:DL74,"&gt;0"))</f>
        <v>0</v>
      </c>
      <c r="DM75">
        <f>IF(IF(OR(IFERROR(SEARCH("Druid",$T75,1),0)&gt;0,IFERROR(SEARCH(DruidLand1,$T75,1),0)&gt;0,IFERROR(SEARCH(DruidLand2,$T75,1),0)&gt;0,IFERROR(SEARCH(DruidLand3,$T75,1),0)&gt;0,IFERROR(SEARCH(DruidLand4,$T75,1),0)&gt;0),1,0)*IF($C75=1,1,0)*IF($C75=DM$2,1,0)=0,0,1+COUNTIF(DM$3:DM74,"&gt;0"))</f>
        <v>0</v>
      </c>
      <c r="DN75">
        <f>IF(IF(OR(IFERROR(SEARCH("Druid",$T75,1),0)&gt;0,IFERROR(SEARCH(DruidLand1,$T75,1),0)&gt;0,IFERROR(SEARCH(DruidLand2,$T75,1),0)&gt;0,IFERROR(SEARCH(DruidLand3,$T75,1),0)&gt;0,IFERROR(SEARCH(DruidLand4,$T75,1),0)&gt;0),1,0)*IF($C75=1,1,0)*IF($C75=DN$2,1,0)=0,0,1+COUNTIF(DN$3:DN74,"&gt;0"))</f>
        <v>0</v>
      </c>
      <c r="DO75">
        <f>IF(IF(OR(IFERROR(SEARCH("Druid",$T75,1),0)&gt;0,IFERROR(SEARCH(DruidLand1,$T75,1),0)&gt;0,IFERROR(SEARCH(DruidLand2,$T75,1),0)&gt;0,IFERROR(SEARCH(DruidLand3,$T75,1),0)&gt;0,IFERROR(SEARCH(DruidLand4,$T75,1),0)&gt;0),1,0)*IF($C75=1,1,0)*IF($C75=DO$2,1,0)=0,0,1+COUNTIF(DO$3:DO74,"&gt;0"))</f>
        <v>0</v>
      </c>
      <c r="DP75">
        <f>IF(IF(OR(IFERROR(SEARCH("Druid",$T75,1),0)&gt;0,IFERROR(SEARCH(DruidLand1,$T75,1),0)&gt;0,IFERROR(SEARCH(DruidLand2,$T75,1),0)&gt;0,IFERROR(SEARCH(DruidLand3,$T75,1),0)&gt;0,IFERROR(SEARCH(DruidLand4,$T75,1),0)&gt;0),1,0)*IF($C75=1,1,0)*IF($C75=DP$2,1,0)=0,0,1+COUNTIF(DP$3:DP74,"&gt;0"))</f>
        <v>0</v>
      </c>
      <c r="DQ75">
        <f>IF(IF(OR(IFERROR(SEARCH("Druid",$T75,1),0)&gt;0,IFERROR(SEARCH(DruidLand1,$T75,1),0)&gt;0,IFERROR(SEARCH(DruidLand2,$T75,1),0)&gt;0,IFERROR(SEARCH(DruidLand3,$T75,1),0)&gt;0,IFERROR(SEARCH(DruidLand4,$T75,1),0)&gt;0),1,0)*IF($C75=1,1,0)*IF($C75=DQ$2,1,0)=0,0,1+COUNTIF(DQ$3:DQ74,"&gt;0"))</f>
        <v>0</v>
      </c>
      <c r="DR75">
        <f>IF(IF(OR(IFERROR(SEARCH("Druid",$T75,1),0)&gt;0,IFERROR(SEARCH(DruidLand1,$T75,1),0)&gt;0,IFERROR(SEARCH(DruidLand2,$T75,1),0)&gt;0,IFERROR(SEARCH(DruidLand3,$T75,1),0)&gt;0,IFERROR(SEARCH(DruidLand4,$T75,1),0)&gt;0),1,0)*IF($C75=1,1,0)*IF($C75=DR$2,1,0)=0,0,1+COUNTIF(DR$3:DR74,"&gt;0"))</f>
        <v>0</v>
      </c>
      <c r="DS75">
        <f>IF(IF(OR(IFERROR(SEARCH("Paladin",$T75,1),0)&gt;0,IFERROR(SEARCH(PaladinOath,$T75,1),0)&gt;0),1,0)*IF($C75=DS$2,1,0)=1,1+COUNTIF(DS$3:DS74,"&gt;0"),0)</f>
        <v>0</v>
      </c>
      <c r="DT75">
        <f>IF(IF(OR(IFERROR(SEARCH("Paladin",$T75,1),0)&gt;0,IFERROR(SEARCH(PaladinOath,$T75,1),0)&gt;0),1,0)*IF($C75=DT$2,1,0)=1,1+COUNTIF(DT$3:DT74,"&gt;0"),0)</f>
        <v>0</v>
      </c>
      <c r="DU75">
        <f>IF(IF(OR(IFERROR(SEARCH("Paladin",$T75,1),0)&gt;0,IFERROR(SEARCH(PaladinOath,$T75,1),0)&gt;0),1,0)*IF($C75=DU$2,1,0)=1,1+COUNTIF(DU$3:DU74,"&gt;0"),0)</f>
        <v>0</v>
      </c>
      <c r="DV75">
        <f>IF(IF(OR(IFERROR(SEARCH("Paladin",$T75,1),0)&gt;0,IFERROR(SEARCH(PaladinOath,$T75,1),0)&gt;0),1,0)*IF($C75=DV$2,1,0)=1,1+COUNTIF(DV$3:DV74,"&gt;0"),0)</f>
        <v>0</v>
      </c>
      <c r="DW75">
        <f>IF(IF(OR(IFERROR(SEARCH("Paladin",$T75,1),0)&gt;0,IFERROR(SEARCH(PaladinOath,$T75,1),0)&gt;0),1,0)*IF($C75=DW$2,1,0)=1,1+COUNTIF(DW$3:DW74,"&gt;0"),0)</f>
        <v>0</v>
      </c>
      <c r="DY75">
        <f t="shared" si="56"/>
        <v>1</v>
      </c>
      <c r="DZ75">
        <f>IF(DY75=0,0,1+MAX(DZ$3:$DZ74))</f>
        <v>73</v>
      </c>
      <c r="EB75">
        <f t="shared" si="70"/>
        <v>0</v>
      </c>
      <c r="EC75">
        <f>IF(EB75=0,0,1+COUNTIF(EC$3:EC74,"&gt;0"))</f>
        <v>0</v>
      </c>
      <c r="ED75" t="str">
        <f t="shared" si="98"/>
        <v/>
      </c>
      <c r="EE75" t="str">
        <f t="shared" si="71"/>
        <v/>
      </c>
      <c r="EG75">
        <f t="shared" si="72"/>
        <v>0</v>
      </c>
      <c r="EH75">
        <f>IF(EG75=0,0,1+COUNTIF(EH$3:EH74,"&gt;0"))</f>
        <v>0</v>
      </c>
      <c r="EI75" t="str">
        <f t="shared" si="99"/>
        <v/>
      </c>
      <c r="EJ75" t="str">
        <f t="shared" si="73"/>
        <v/>
      </c>
      <c r="EL75">
        <f t="shared" si="74"/>
        <v>0</v>
      </c>
      <c r="EM75">
        <f>IF(EL75=0,0,1+COUNTIF(EM$3:EM74,"&gt;0"))</f>
        <v>0</v>
      </c>
      <c r="EN75" t="str">
        <f t="shared" si="100"/>
        <v/>
      </c>
      <c r="EO75" t="str">
        <f t="shared" si="75"/>
        <v/>
      </c>
      <c r="EQ75">
        <f t="shared" si="76"/>
        <v>0</v>
      </c>
      <c r="ER75">
        <f>IF(EQ75=0,0,1+COUNTIF(ER$3:ER74,"&gt;0"))</f>
        <v>0</v>
      </c>
      <c r="ES75" t="str">
        <f t="shared" si="101"/>
        <v/>
      </c>
      <c r="ET75" t="str">
        <f t="shared" si="77"/>
        <v/>
      </c>
      <c r="EV75">
        <f t="shared" si="78"/>
        <v>0</v>
      </c>
      <c r="EW75">
        <f>IF(EV75=0,0,1+COUNTIF(EW$3:EW74,"&gt;0"))</f>
        <v>0</v>
      </c>
      <c r="EX75" t="str">
        <f t="shared" si="102"/>
        <v/>
      </c>
      <c r="EY75" t="str">
        <f t="shared" si="79"/>
        <v/>
      </c>
      <c r="FA75">
        <f t="shared" si="80"/>
        <v>0</v>
      </c>
      <c r="FB75">
        <f>IF(FA75=0,0,1+COUNTIF(FB$3:FB74,"&gt;0"))</f>
        <v>0</v>
      </c>
      <c r="FC75" t="str">
        <f t="shared" si="103"/>
        <v/>
      </c>
      <c r="FD75" t="str">
        <f t="shared" si="81"/>
        <v/>
      </c>
      <c r="FF75">
        <f t="shared" si="82"/>
        <v>0</v>
      </c>
      <c r="FG75">
        <f>IF(FF75=0,0,1+COUNTIF(FG$3:FG74,"&gt;0"))</f>
        <v>0</v>
      </c>
      <c r="FH75" t="str">
        <f t="shared" si="104"/>
        <v/>
      </c>
      <c r="FI75" t="str">
        <f t="shared" si="83"/>
        <v/>
      </c>
      <c r="FK75">
        <f t="shared" si="84"/>
        <v>0</v>
      </c>
      <c r="FL75">
        <f>IF(FK75=0,0,1+COUNTIF(FL$3:FL74,"&gt;0"))</f>
        <v>0</v>
      </c>
      <c r="FM75" t="str">
        <f t="shared" si="105"/>
        <v/>
      </c>
      <c r="FN75" t="str">
        <f t="shared" si="85"/>
        <v/>
      </c>
      <c r="FP75">
        <f t="shared" si="86"/>
        <v>0</v>
      </c>
      <c r="FQ75">
        <f>IF(FP75=0,0,1+COUNTIF(FQ$3:FQ74,"&gt;0"))</f>
        <v>0</v>
      </c>
      <c r="FR75" t="str">
        <f t="shared" si="106"/>
        <v/>
      </c>
      <c r="FS75" t="str">
        <f t="shared" si="87"/>
        <v/>
      </c>
    </row>
    <row r="76" spans="1:175" x14ac:dyDescent="0.25">
      <c r="A76" s="347">
        <f t="shared" si="107"/>
        <v>74</v>
      </c>
      <c r="B76" s="348" t="s">
        <v>2440</v>
      </c>
      <c r="C76" s="348">
        <v>2</v>
      </c>
      <c r="D76" s="347">
        <v>2</v>
      </c>
      <c r="E76" s="627" t="s">
        <v>6952</v>
      </c>
      <c r="F76" s="346"/>
      <c r="G76" s="347" t="str">
        <f>""</f>
        <v/>
      </c>
      <c r="H76" s="347" t="s">
        <v>5912</v>
      </c>
      <c r="I76" s="347" t="s">
        <v>5298</v>
      </c>
      <c r="J76" s="347" t="str">
        <f t="shared" si="57"/>
        <v/>
      </c>
      <c r="K76" s="347" t="s">
        <v>5299</v>
      </c>
      <c r="L76" s="611" t="str">
        <f t="shared" si="58"/>
        <v>V, S, M, ruby dust worth 50 gp, which the spell consumes</v>
      </c>
      <c r="M76" s="347" t="s">
        <v>2373</v>
      </c>
      <c r="N76" s="347" t="s">
        <v>2387</v>
      </c>
      <c r="O76" s="347" t="s">
        <v>1244</v>
      </c>
      <c r="P76" s="346" t="s">
        <v>5333</v>
      </c>
      <c r="Q76" s="347" t="s">
        <v>5273</v>
      </c>
      <c r="S76" s="346" t="s">
        <v>2441</v>
      </c>
      <c r="T76" s="346" t="str">
        <f t="shared" si="59"/>
        <v xml:space="preserve">Eldritch Knight, Wizard, </v>
      </c>
      <c r="AB76" s="542" t="str">
        <f>AD76</f>
        <v>Continual Flame</v>
      </c>
      <c r="AD76" s="347" t="str">
        <f>$B76</f>
        <v>Continual Flame</v>
      </c>
      <c r="AE76" t="str">
        <f>IF(IFERROR(MATCH($B76,temp!A$4:A$13,0),0)&gt;0,T08_Spells!AE$2,"")</f>
        <v/>
      </c>
      <c r="AF76" t="str">
        <f>IF(IFERROR(MATCH($B76,temp!B$4:B$13,0),0)&gt;0,T08_Spells!AF$2,"")</f>
        <v/>
      </c>
      <c r="AG76" t="str">
        <f>IF(IFERROR(MATCH($B76,temp!C$4:C$13,0),0)&gt;0,T08_Spells!AG$2,"")</f>
        <v/>
      </c>
      <c r="AH76" t="str">
        <f>IF(IFERROR(MATCH($B76,temp!D$4:D$13,0),0)&gt;0,T08_Spells!AH$2,"")</f>
        <v/>
      </c>
      <c r="AI76" t="str">
        <f>IF(IFERROR(MATCH($B76,temp!E$4:E$13,0),0)&gt;0,T08_Spells!AI$2,"")</f>
        <v/>
      </c>
      <c r="AJ76" t="str">
        <f>IF(IFERROR(MATCH($B76,temp!F$4:F$13,0),0)&gt;0,T08_Spells!AJ$2,"")</f>
        <v/>
      </c>
      <c r="AK76" t="str">
        <f>IF(IFERROR(MATCH($B76,temp!G$4:G$13,0),0)&gt;0,T08_Spells!AK$2,"")</f>
        <v/>
      </c>
      <c r="AL76" t="str">
        <f>IF(IFERROR(MATCH($B76,temp!H$4:H$13,0),0)&gt;0,T08_Spells!AL$2,"")</f>
        <v/>
      </c>
      <c r="AM76" t="str">
        <f>IF(IFERROR(MATCH($B76,temp!I$4:I$13,0),0)&gt;0,T08_Spells!AM$2,"")</f>
        <v/>
      </c>
      <c r="AN76" t="str">
        <f>IF(IFERROR(MATCH($B76,temp!J$4:J$13,0),0)&gt;0,T08_Spells!AN$2,"")</f>
        <v/>
      </c>
      <c r="AO76" t="str">
        <f>IF(IFERROR(MATCH($B76,temp!K$4:K$13,0),0)&gt;0,T08_Spells!AO$2,"")</f>
        <v/>
      </c>
      <c r="AP76" t="str">
        <f>IF(IFERROR(MATCH($B76,temp!L$4:L$13,0),0)&gt;0,T08_Spells!AP$2,"")</f>
        <v/>
      </c>
      <c r="AQ76" t="str">
        <f>IF(IFERROR(MATCH($B76,temp!M$4:M$13,0),0)&gt;0,T08_Spells!AQ$2,"")</f>
        <v/>
      </c>
      <c r="AR76" t="str">
        <f>IF(IFERROR(MATCH($B76,temp!N$4:N$13,0),0)&gt;0,T08_Spells!AR$2,"")</f>
        <v/>
      </c>
      <c r="AS76" t="str">
        <f>IF(IFERROR(MATCH($B76,temp!O$4:O$13,0),0)&gt;0,T08_Spells!AS$2,"")</f>
        <v/>
      </c>
      <c r="AT76" t="str">
        <f>IF(IFERROR(MATCH($B76,temp!P$4:P$13,0),0)&gt;0,T08_Spells!AT$2,"")</f>
        <v/>
      </c>
      <c r="AU76" t="str">
        <f>IF(IFERROR(MATCH($B76,temp!Q$4:Q$13,0),0)&gt;0,T08_Spells!AU$2,"")</f>
        <v/>
      </c>
      <c r="AV76" t="str">
        <f>IF(IFERROR(MATCH($B76,temp!R$4:R$13,0),0)&gt;0,T08_Spells!AV$2,"")</f>
        <v/>
      </c>
      <c r="AW76" t="str">
        <f>IF(IFERROR(MATCH($B76,temp!S$4:S$13,0),0)&gt;0,T08_Spells!AW$2,"")</f>
        <v/>
      </c>
      <c r="AX76" t="str">
        <f>IF(IFERROR(MATCH($B76,temp!T$4:T$13,0),0)&gt;0,T08_Spells!AX$2,"")</f>
        <v/>
      </c>
      <c r="AY76" t="str">
        <f>IF(IFERROR(MATCH($B76,temp!U$4:U$13,0),0)&gt;0,T08_Spells!AY$2,"")</f>
        <v/>
      </c>
      <c r="AZ76" t="str">
        <f>IF(IFERROR(MATCH($B76,temp!V$4:V$13,0),0)&gt;0,T08_Spells!AZ$2,"")</f>
        <v/>
      </c>
      <c r="BA76" t="str">
        <f>IF(IFERROR(MATCH($B76,temp!W$4:W$13,0),0)&gt;0,T08_Spells!BA$2,"")</f>
        <v/>
      </c>
      <c r="BC76">
        <f>IF(IFERROR(SEARCH("Ranger",$T76,1),0)&gt;0,1,0)*IF(RangerMaxSpellLevel&gt;=$C76,1,0)*IF(IFERROR(MATCH(B76,Character_Creation!$X$79:$X$382,0),0)&gt;0,0,1)</f>
        <v>0</v>
      </c>
      <c r="BD76">
        <f>IF(BC76=0,0,1+COUNTIF(BD$3:BD75,"&gt;0"))</f>
        <v>0</v>
      </c>
      <c r="BE76" t="str">
        <f t="shared" si="88"/>
        <v/>
      </c>
      <c r="BF76" t="str">
        <f t="shared" si="60"/>
        <v/>
      </c>
      <c r="BH76">
        <f>IF(IFERROR(SEARCH("Sorcerer",$T76,1),0)&gt;0,1,0)*IF(SorcererMaxSpellLevel&gt;=$C76,1,0)*IF(IFERROR(MATCH(B76,Character_Creation!$J$380:$J$394,0),0)&gt;0,0,1)</f>
        <v>0</v>
      </c>
      <c r="BI76">
        <f>IF(BH76=0,0,1+COUNTIF(BI$3:BI75,"&gt;0"))</f>
        <v>0</v>
      </c>
      <c r="BJ76" t="str">
        <f t="shared" si="89"/>
        <v/>
      </c>
      <c r="BK76" t="str">
        <f t="shared" si="61"/>
        <v/>
      </c>
      <c r="BM76">
        <f>IF(OR(IFERROR(SEARCH("Warlock",$T76,1),0)&gt;0,IFERROR(SEARCH(WarlockPatron,$T76,1),0)&gt;0),1,0)*IF(WarlockMaxSpellLevel&gt;=$C76,1,0)*IF(IFERROR(MATCH(B76,Character_Creation!$J$361:$J$375,0),0)&gt;0,0,1)</f>
        <v>0</v>
      </c>
      <c r="BN76">
        <f>IF(BM76=0,0,1+COUNTIF(BN$3:BN75,"&gt;0"))</f>
        <v>0</v>
      </c>
      <c r="BO76" t="str">
        <f t="shared" si="90"/>
        <v/>
      </c>
      <c r="BP76" t="str">
        <f t="shared" si="62"/>
        <v/>
      </c>
      <c r="BR76">
        <f>IF(IFERROR(SEARCH("Eldritch Knight",$T76,1),0)&gt;0,1,0)*IF(EldritchKnightMaxSpellLevel&gt;=$C76,1,0)*IF(IFERROR(MATCH($B76,Character_Creation!$J$350:$J$356,0),0)&gt;0,0,1)*IF(Character_Creation!$M$338&gt;0,1,0)</f>
        <v>0</v>
      </c>
      <c r="BS76">
        <f>IF(BR76=0,0,1+COUNTIF(BS$3:BS75,"&gt;0"))</f>
        <v>0</v>
      </c>
      <c r="BT76" t="str">
        <f t="shared" si="91"/>
        <v/>
      </c>
      <c r="BU76" t="str">
        <f t="shared" si="63"/>
        <v/>
      </c>
      <c r="BW76">
        <f>IF(IFERROR(SEARCH("Arcane Trickster",$T76,1),0)&gt;0,1,0)*IF(ArcaneTricksterMaxSpellLevel&gt;=$C76,1,0)*IF(IFERROR(MATCH($B76,Character_Creation!$J$350:$J$356,0),0)&gt;0,0,1)*IF(Character_Creation!$T$338&gt;0,1,0)</f>
        <v>0</v>
      </c>
      <c r="BX76">
        <f>IF(BW76=0,0,1+COUNTIF(BX$3:BX75,"&gt;0"))</f>
        <v>0</v>
      </c>
      <c r="BY76" t="str">
        <f t="shared" si="92"/>
        <v/>
      </c>
      <c r="BZ76" t="str">
        <f t="shared" si="64"/>
        <v/>
      </c>
      <c r="CB76">
        <f>IF(IFERROR(SEARCH("Wizard",$T76,1),0)&gt;0,1,0)*IF(C76&lt;=ArcaneTricksterMaxSpellLevel,1,0)*IF(IFERROR(MATCH($B76,Character_Creation!$J$350:$J$356,0),0)&gt;0,0,1)*IF(Character_Creation!$T$350&gt;0,1,0)</f>
        <v>0</v>
      </c>
      <c r="CC76">
        <f>IF(CB76=0,0,1+COUNTIF(CC$3:CC75,"&gt;0"))</f>
        <v>0</v>
      </c>
      <c r="CD76" t="str">
        <f t="shared" si="93"/>
        <v/>
      </c>
      <c r="CE76" t="str">
        <f t="shared" si="65"/>
        <v/>
      </c>
      <c r="CG76">
        <f>IF(IFERROR(SEARCH("Wizard",$T76,1),0)&gt;0,1,0)*IF($C76&lt;=EldritchKnightMaxSpellLevel,1,0)*IF(IFERROR(MATCH($B76,Character_Creation!$J$350:$J$356,0),0)&gt;0,0,1)*IF(Character_Creation!$M$350&gt;0,1,0)</f>
        <v>1</v>
      </c>
      <c r="CH76">
        <f>IF(CG76=0,0,1+COUNTIF(CH$3:CH75,"&gt;0"))</f>
        <v>12</v>
      </c>
      <c r="CI76" t="str">
        <f t="shared" si="94"/>
        <v/>
      </c>
      <c r="CJ76" t="str">
        <f t="shared" si="66"/>
        <v/>
      </c>
      <c r="CL76">
        <f>IF(IFERROR(SEARCH("Bard",$T76,1),0)&gt;0,1,0)*IF(BardMaxSpellLevel&gt;=$C76,1,0)*IF(IFERROR(MATCH(B76,Character_Creation!$C$341:$F$362,0),0)&gt;0,0,1)*IF(IFERROR(MATCH($B76,Character_Creation!$C$341:$C$362,0),0)&gt;0,0,1)</f>
        <v>0</v>
      </c>
      <c r="CM76">
        <f>IF(CL76=0,0,1+COUNTIF(CM$3:CM75,"&gt;0"))</f>
        <v>0</v>
      </c>
      <c r="CN76" t="str">
        <f t="shared" si="95"/>
        <v/>
      </c>
      <c r="CO76" t="str">
        <f t="shared" si="67"/>
        <v/>
      </c>
      <c r="CQ76">
        <f>IF(IFERROR(SEARCH("Wizard",$T76,1),0)&gt;0,1,0)*IF(WizardMaxSpellLevel&gt;=$C76,1,0)*IF(IFERROR(MATCH(B76,Character_Creation!$X$341:$X$400,0),0)&gt;0,0,1)*IF(SelectedWizardSpellLevel=$C76,1,0)</f>
        <v>0</v>
      </c>
      <c r="CR76">
        <f>IF(CQ76=0,0,1+COUNTIF(CR$3:CR75,"&gt;0"))</f>
        <v>0</v>
      </c>
      <c r="CS76" t="str">
        <f t="shared" si="96"/>
        <v/>
      </c>
      <c r="CT76" t="str">
        <f t="shared" si="68"/>
        <v/>
      </c>
      <c r="CV76">
        <f>IF(IFERROR(MATCH($B76,Character_Creation!$C$341:$C$362,0),0)&gt;0,0,1)*IF(OR(C76="Cantrip",C76&lt;=BardMaxSpellLevel),1,0)*IF(IFERROR(MATCH($B76,Character_Creation!$C$367:$C$374,0),0)&gt;0,0,1)</f>
        <v>0</v>
      </c>
      <c r="CW76">
        <f>IF(CV76=0,0,1+COUNTIF(CW$3:CW75,"&gt;0"))</f>
        <v>0</v>
      </c>
      <c r="CX76" t="str">
        <f t="shared" si="97"/>
        <v/>
      </c>
      <c r="CY76" t="str">
        <f t="shared" si="69"/>
        <v/>
      </c>
      <c r="DA76">
        <f>IF(IF(OR(IFERROR(SEARCH("Cleric",$T76,1),0)&gt;0,IFERROR(SEARCH(DivineDomain&amp;",",$T76,1),0)&gt;0),1,0)*IF($C76=DA$2,1,0)=1,1+COUNTIF(DA$3:DA75,"&gt;0"),0)</f>
        <v>0</v>
      </c>
      <c r="DB76">
        <f>IF(IF(OR(IFERROR(SEARCH("Cleric",$T76,1),0)&gt;0,IFERROR(SEARCH(DivineDomain&amp;",",$T76,1),0)&gt;0),1,0)*IF($C76=DB$2,1,0)=1,1+COUNTIF(DB$3:DB75,"&gt;0"),0)</f>
        <v>0</v>
      </c>
      <c r="DC76">
        <f>IF(IF(OR(IFERROR(SEARCH("Cleric",$T76,1),0)&gt;0,IFERROR(SEARCH(DivineDomain&amp;",",$T76,1),0)&gt;0),1,0)*IF($C76=DC$2,1,0)=1,1+COUNTIF(DC$3:DC75,"&gt;0"),0)</f>
        <v>0</v>
      </c>
      <c r="DD76">
        <f>IF(IF(OR(IFERROR(SEARCH("Cleric",$T76,1),0)&gt;0,IFERROR(SEARCH(DivineDomain&amp;",",$T76,1),0)&gt;0),1,0)*IF($C76=DD$2,1,0)=1,1+COUNTIF(DD$3:DD75,"&gt;0"),0)</f>
        <v>0</v>
      </c>
      <c r="DE76">
        <f>IF(IF(OR(IFERROR(SEARCH("Cleric",$T76,1),0)&gt;0,IFERROR(SEARCH(DivineDomain&amp;",",$T76,1),0)&gt;0),1,0)*IF($C76=DE$2,1,0)=1,1+COUNTIF(DE$3:DE75,"&gt;0"),0)</f>
        <v>0</v>
      </c>
      <c r="DF76">
        <f>IF(IF(OR(IFERROR(SEARCH("Cleric",$T76,1),0)&gt;0,IFERROR(SEARCH(DivineDomain&amp;",",$T76,1),0)&gt;0),1,0)*IF($C76=DF$2,1,0)=1,1+COUNTIF(DF$3:DF75,"&gt;0"),0)</f>
        <v>0</v>
      </c>
      <c r="DG76">
        <f>IF(IF(OR(IFERROR(SEARCH("Cleric",$T76,1),0)&gt;0,IFERROR(SEARCH(DivineDomain&amp;",",$T76,1),0)&gt;0),1,0)*IF($C76=DG$2,1,0)=1,1+COUNTIF(DG$3:DG75,"&gt;0"),0)</f>
        <v>0</v>
      </c>
      <c r="DH76">
        <f>IF(IF(OR(IFERROR(SEARCH("Cleric",$T76,1),0)&gt;0,IFERROR(SEARCH(DivineDomain&amp;",",$T76,1),0)&gt;0),1,0)*IF($C76=DH$2,1,0)=1,1+COUNTIF(DH$3:DH75,"&gt;0"),0)</f>
        <v>0</v>
      </c>
      <c r="DI76">
        <f>IF(IF(OR(IFERROR(SEARCH("Cleric",$T76,1),0)&gt;0,IFERROR(SEARCH(DivineDomain&amp;",",$T76,1),0)&gt;0),1,0)*IF($C76=DI$2,1,0)=1,1+COUNTIF(DI$3:DI75,"&gt;0"),0)</f>
        <v>0</v>
      </c>
      <c r="DJ76">
        <f>IF(IF(OR(IFERROR(SEARCH("Druid",$T76,1),0)&gt;0,IFERROR(SEARCH(DruidLand1,$T76,1),0)&gt;0,IFERROR(SEARCH(DruidLand2,$T76,1),0)&gt;0,IFERROR(SEARCH(DruidLand3,$T76,1),0)&gt;0,IFERROR(SEARCH(DruidLand4,$T76,1),0)&gt;0),1,0)*IF($C76=1,1,0)*IF($C76=DJ$2,1,0)=0,0,1+COUNTIF(DJ$3:DJ75,"&gt;0"))</f>
        <v>0</v>
      </c>
      <c r="DK76">
        <f>IF(IF(OR(IFERROR(SEARCH("Druid",$T76,1),0)&gt;0,IFERROR(SEARCH(DruidLand1,$T76,1),0)&gt;0,IFERROR(SEARCH(DruidLand2,$T76,1),0)&gt;0,IFERROR(SEARCH(DruidLand3,$T76,1),0)&gt;0,IFERROR(SEARCH(DruidLand4,$T76,1),0)&gt;0),1,0)*IF($C76=1,1,0)*IF($C76=DK$2,1,0)=0,0,1+COUNTIF(DK$3:DK75,"&gt;0"))</f>
        <v>0</v>
      </c>
      <c r="DL76">
        <f>IF(IF(OR(IFERROR(SEARCH("Druid",$T76,1),0)&gt;0,IFERROR(SEARCH(DruidLand1,$T76,1),0)&gt;0,IFERROR(SEARCH(DruidLand2,$T76,1),0)&gt;0,IFERROR(SEARCH(DruidLand3,$T76,1),0)&gt;0,IFERROR(SEARCH(DruidLand4,$T76,1),0)&gt;0),1,0)*IF($C76=1,1,0)*IF($C76=DL$2,1,0)=0,0,1+COUNTIF(DL$3:DL75,"&gt;0"))</f>
        <v>0</v>
      </c>
      <c r="DM76">
        <f>IF(IF(OR(IFERROR(SEARCH("Druid",$T76,1),0)&gt;0,IFERROR(SEARCH(DruidLand1,$T76,1),0)&gt;0,IFERROR(SEARCH(DruidLand2,$T76,1),0)&gt;0,IFERROR(SEARCH(DruidLand3,$T76,1),0)&gt;0,IFERROR(SEARCH(DruidLand4,$T76,1),0)&gt;0),1,0)*IF($C76=1,1,0)*IF($C76=DM$2,1,0)=0,0,1+COUNTIF(DM$3:DM75,"&gt;0"))</f>
        <v>0</v>
      </c>
      <c r="DN76">
        <f>IF(IF(OR(IFERROR(SEARCH("Druid",$T76,1),0)&gt;0,IFERROR(SEARCH(DruidLand1,$T76,1),0)&gt;0,IFERROR(SEARCH(DruidLand2,$T76,1),0)&gt;0,IFERROR(SEARCH(DruidLand3,$T76,1),0)&gt;0,IFERROR(SEARCH(DruidLand4,$T76,1),0)&gt;0),1,0)*IF($C76=1,1,0)*IF($C76=DN$2,1,0)=0,0,1+COUNTIF(DN$3:DN75,"&gt;0"))</f>
        <v>0</v>
      </c>
      <c r="DO76">
        <f>IF(IF(OR(IFERROR(SEARCH("Druid",$T76,1),0)&gt;0,IFERROR(SEARCH(DruidLand1,$T76,1),0)&gt;0,IFERROR(SEARCH(DruidLand2,$T76,1),0)&gt;0,IFERROR(SEARCH(DruidLand3,$T76,1),0)&gt;0,IFERROR(SEARCH(DruidLand4,$T76,1),0)&gt;0),1,0)*IF($C76=1,1,0)*IF($C76=DO$2,1,0)=0,0,1+COUNTIF(DO$3:DO75,"&gt;0"))</f>
        <v>0</v>
      </c>
      <c r="DP76">
        <f>IF(IF(OR(IFERROR(SEARCH("Druid",$T76,1),0)&gt;0,IFERROR(SEARCH(DruidLand1,$T76,1),0)&gt;0,IFERROR(SEARCH(DruidLand2,$T76,1),0)&gt;0,IFERROR(SEARCH(DruidLand3,$T76,1),0)&gt;0,IFERROR(SEARCH(DruidLand4,$T76,1),0)&gt;0),1,0)*IF($C76=1,1,0)*IF($C76=DP$2,1,0)=0,0,1+COUNTIF(DP$3:DP75,"&gt;0"))</f>
        <v>0</v>
      </c>
      <c r="DQ76">
        <f>IF(IF(OR(IFERROR(SEARCH("Druid",$T76,1),0)&gt;0,IFERROR(SEARCH(DruidLand1,$T76,1),0)&gt;0,IFERROR(SEARCH(DruidLand2,$T76,1),0)&gt;0,IFERROR(SEARCH(DruidLand3,$T76,1),0)&gt;0,IFERROR(SEARCH(DruidLand4,$T76,1),0)&gt;0),1,0)*IF($C76=1,1,0)*IF($C76=DQ$2,1,0)=0,0,1+COUNTIF(DQ$3:DQ75,"&gt;0"))</f>
        <v>0</v>
      </c>
      <c r="DR76">
        <f>IF(IF(OR(IFERROR(SEARCH("Druid",$T76,1),0)&gt;0,IFERROR(SEARCH(DruidLand1,$T76,1),0)&gt;0,IFERROR(SEARCH(DruidLand2,$T76,1),0)&gt;0,IFERROR(SEARCH(DruidLand3,$T76,1),0)&gt;0,IFERROR(SEARCH(DruidLand4,$T76,1),0)&gt;0),1,0)*IF($C76=1,1,0)*IF($C76=DR$2,1,0)=0,0,1+COUNTIF(DR$3:DR75,"&gt;0"))</f>
        <v>0</v>
      </c>
      <c r="DS76">
        <f>IF(IF(OR(IFERROR(SEARCH("Paladin",$T76,1),0)&gt;0,IFERROR(SEARCH(PaladinOath,$T76,1),0)&gt;0),1,0)*IF($C76=DS$2,1,0)=1,1+COUNTIF(DS$3:DS75,"&gt;0"),0)</f>
        <v>0</v>
      </c>
      <c r="DT76">
        <f>IF(IF(OR(IFERROR(SEARCH("Paladin",$T76,1),0)&gt;0,IFERROR(SEARCH(PaladinOath,$T76,1),0)&gt;0),1,0)*IF($C76=DT$2,1,0)=1,1+COUNTIF(DT$3:DT75,"&gt;0"),0)</f>
        <v>0</v>
      </c>
      <c r="DU76">
        <f>IF(IF(OR(IFERROR(SEARCH("Paladin",$T76,1),0)&gt;0,IFERROR(SEARCH(PaladinOath,$T76,1),0)&gt;0),1,0)*IF($C76=DU$2,1,0)=1,1+COUNTIF(DU$3:DU75,"&gt;0"),0)</f>
        <v>0</v>
      </c>
      <c r="DV76">
        <f>IF(IF(OR(IFERROR(SEARCH("Paladin",$T76,1),0)&gt;0,IFERROR(SEARCH(PaladinOath,$T76,1),0)&gt;0),1,0)*IF($C76=DV$2,1,0)=1,1+COUNTIF(DV$3:DV75,"&gt;0"),0)</f>
        <v>0</v>
      </c>
      <c r="DW76">
        <f>IF(IF(OR(IFERROR(SEARCH("Paladin",$T76,1),0)&gt;0,IFERROR(SEARCH(PaladinOath,$T76,1),0)&gt;0),1,0)*IF($C76=DW$2,1,0)=1,1+COUNTIF(DW$3:DW75,"&gt;0"),0)</f>
        <v>0</v>
      </c>
      <c r="DY76">
        <f t="shared" si="56"/>
        <v>1</v>
      </c>
      <c r="DZ76">
        <f>IF(DY76=0,0,1+MAX(DZ$3:$DZ75))</f>
        <v>74</v>
      </c>
      <c r="EB76">
        <f t="shared" si="70"/>
        <v>0</v>
      </c>
      <c r="EC76">
        <f>IF(EB76=0,0,1+COUNTIF(EC$3:EC75,"&gt;0"))</f>
        <v>0</v>
      </c>
      <c r="ED76" t="str">
        <f t="shared" si="98"/>
        <v/>
      </c>
      <c r="EE76" t="str">
        <f t="shared" si="71"/>
        <v/>
      </c>
      <c r="EG76">
        <f t="shared" si="72"/>
        <v>0</v>
      </c>
      <c r="EH76">
        <f>IF(EG76=0,0,1+COUNTIF(EH$3:EH75,"&gt;0"))</f>
        <v>0</v>
      </c>
      <c r="EI76" t="str">
        <f t="shared" si="99"/>
        <v/>
      </c>
      <c r="EJ76" t="str">
        <f t="shared" si="73"/>
        <v/>
      </c>
      <c r="EL76">
        <f t="shared" si="74"/>
        <v>0</v>
      </c>
      <c r="EM76">
        <f>IF(EL76=0,0,1+COUNTIF(EM$3:EM75,"&gt;0"))</f>
        <v>0</v>
      </c>
      <c r="EN76" t="str">
        <f t="shared" si="100"/>
        <v/>
      </c>
      <c r="EO76" t="str">
        <f t="shared" si="75"/>
        <v/>
      </c>
      <c r="EQ76">
        <f t="shared" si="76"/>
        <v>0</v>
      </c>
      <c r="ER76">
        <f>IF(EQ76=0,0,1+COUNTIF(ER$3:ER75,"&gt;0"))</f>
        <v>0</v>
      </c>
      <c r="ES76" t="str">
        <f t="shared" si="101"/>
        <v/>
      </c>
      <c r="ET76" t="str">
        <f t="shared" si="77"/>
        <v/>
      </c>
      <c r="EV76">
        <f t="shared" si="78"/>
        <v>0</v>
      </c>
      <c r="EW76">
        <f>IF(EV76=0,0,1+COUNTIF(EW$3:EW75,"&gt;0"))</f>
        <v>0</v>
      </c>
      <c r="EX76" t="str">
        <f t="shared" si="102"/>
        <v/>
      </c>
      <c r="EY76" t="str">
        <f t="shared" si="79"/>
        <v/>
      </c>
      <c r="FA76">
        <f t="shared" si="80"/>
        <v>0</v>
      </c>
      <c r="FB76">
        <f>IF(FA76=0,0,1+COUNTIF(FB$3:FB75,"&gt;0"))</f>
        <v>0</v>
      </c>
      <c r="FC76" t="str">
        <f t="shared" si="103"/>
        <v/>
      </c>
      <c r="FD76" t="str">
        <f t="shared" si="81"/>
        <v/>
      </c>
      <c r="FF76">
        <f t="shared" si="82"/>
        <v>0</v>
      </c>
      <c r="FG76">
        <f>IF(FF76=0,0,1+COUNTIF(FG$3:FG75,"&gt;0"))</f>
        <v>0</v>
      </c>
      <c r="FH76" t="str">
        <f t="shared" si="104"/>
        <v/>
      </c>
      <c r="FI76" t="str">
        <f t="shared" si="83"/>
        <v/>
      </c>
      <c r="FK76">
        <f t="shared" si="84"/>
        <v>0</v>
      </c>
      <c r="FL76">
        <f>IF(FK76=0,0,1+COUNTIF(FL$3:FL75,"&gt;0"))</f>
        <v>0</v>
      </c>
      <c r="FM76" t="str">
        <f t="shared" si="105"/>
        <v/>
      </c>
      <c r="FN76" t="str">
        <f t="shared" si="85"/>
        <v/>
      </c>
      <c r="FP76">
        <f t="shared" si="86"/>
        <v>0</v>
      </c>
      <c r="FQ76">
        <f>IF(FP76=0,0,1+COUNTIF(FQ$3:FQ75,"&gt;0"))</f>
        <v>0</v>
      </c>
      <c r="FR76" t="str">
        <f t="shared" si="106"/>
        <v/>
      </c>
      <c r="FS76" t="str">
        <f t="shared" si="87"/>
        <v/>
      </c>
    </row>
    <row r="77" spans="1:175" x14ac:dyDescent="0.25">
      <c r="A77" s="347">
        <f t="shared" si="107"/>
        <v>75</v>
      </c>
      <c r="B77" s="348" t="s">
        <v>2442</v>
      </c>
      <c r="C77" s="348">
        <v>4</v>
      </c>
      <c r="D77" s="347">
        <v>4</v>
      </c>
      <c r="E77" s="627" t="s">
        <v>6952</v>
      </c>
      <c r="F77" s="346"/>
      <c r="G77" s="347" t="str">
        <f>""</f>
        <v/>
      </c>
      <c r="H77" s="347" t="s">
        <v>5912</v>
      </c>
      <c r="I77" s="347" t="s">
        <v>5334</v>
      </c>
      <c r="J77" s="347" t="str">
        <f t="shared" si="57"/>
        <v/>
      </c>
      <c r="K77" s="347" t="s">
        <v>5297</v>
      </c>
      <c r="L77" s="611" t="str">
        <f t="shared" si="58"/>
        <v>V, S, M, a drop of water and a pinch of dust</v>
      </c>
      <c r="M77" s="347" t="s">
        <v>2373</v>
      </c>
      <c r="N77" s="347" t="s">
        <v>2387</v>
      </c>
      <c r="O77" s="347" t="s">
        <v>1244</v>
      </c>
      <c r="P77" s="346" t="s">
        <v>5335</v>
      </c>
      <c r="Q77" s="347" t="s">
        <v>5276</v>
      </c>
      <c r="S77" s="346" t="s">
        <v>5641</v>
      </c>
      <c r="T77" s="346" t="str">
        <f t="shared" si="59"/>
        <v xml:space="preserve">Cleric, Druid, Wizard, Coast, Tempest, </v>
      </c>
      <c r="Z77" s="347" t="str">
        <f>$B77</f>
        <v>Control Water</v>
      </c>
      <c r="AA77" s="347" t="str">
        <f>$B77</f>
        <v>Control Water</v>
      </c>
      <c r="AD77" s="347" t="str">
        <f>$B77</f>
        <v>Control Water</v>
      </c>
      <c r="AE77" t="str">
        <f>IF(IFERROR(MATCH($B77,temp!A$4:A$13,0),0)&gt;0,T08_Spells!AE$2,"")</f>
        <v/>
      </c>
      <c r="AF77" t="str">
        <f>IF(IFERROR(MATCH($B77,temp!B$4:B$13,0),0)&gt;0,T08_Spells!AF$2,"")</f>
        <v/>
      </c>
      <c r="AG77" t="str">
        <f>IF(IFERROR(MATCH($B77,temp!C$4:C$13,0),0)&gt;0,T08_Spells!AG$2,"")</f>
        <v/>
      </c>
      <c r="AH77" t="str">
        <f>IF(IFERROR(MATCH($B77,temp!D$4:D$13,0),0)&gt;0,T08_Spells!AH$2,"")</f>
        <v/>
      </c>
      <c r="AI77" t="str">
        <f>IF(IFERROR(MATCH($B77,temp!E$4:E$13,0),0)&gt;0,T08_Spells!AI$2,"")</f>
        <v/>
      </c>
      <c r="AJ77" t="str">
        <f>IF(IFERROR(MATCH($B77,temp!F$4:F$13,0),0)&gt;0,T08_Spells!AJ$2,"")</f>
        <v/>
      </c>
      <c r="AK77" t="str">
        <f>IF(IFERROR(MATCH($B77,temp!G$4:G$13,0),0)&gt;0,T08_Spells!AK$2,"")</f>
        <v/>
      </c>
      <c r="AL77" t="str">
        <f>IF(IFERROR(MATCH($B77,temp!H$4:H$13,0),0)&gt;0,T08_Spells!AL$2,"")</f>
        <v/>
      </c>
      <c r="AM77" t="str">
        <f>IF(IFERROR(MATCH($B77,temp!I$4:I$13,0),0)&gt;0,T08_Spells!AM$2,"")</f>
        <v>Coast</v>
      </c>
      <c r="AN77" t="str">
        <f>IF(IFERROR(MATCH($B77,temp!J$4:J$13,0),0)&gt;0,T08_Spells!AN$2,"")</f>
        <v/>
      </c>
      <c r="AO77" t="str">
        <f>IF(IFERROR(MATCH($B77,temp!K$4:K$13,0),0)&gt;0,T08_Spells!AO$2,"")</f>
        <v/>
      </c>
      <c r="AP77" t="str">
        <f>IF(IFERROR(MATCH($B77,temp!L$4:L$13,0),0)&gt;0,T08_Spells!AP$2,"")</f>
        <v/>
      </c>
      <c r="AQ77" t="str">
        <f>IF(IFERROR(MATCH($B77,temp!M$4:M$13,0),0)&gt;0,T08_Spells!AQ$2,"")</f>
        <v/>
      </c>
      <c r="AR77" t="str">
        <f>IF(IFERROR(MATCH($B77,temp!N$4:N$13,0),0)&gt;0,T08_Spells!AR$2,"")</f>
        <v/>
      </c>
      <c r="AS77" t="str">
        <f>IF(IFERROR(MATCH($B77,temp!O$4:O$13,0),0)&gt;0,T08_Spells!AS$2,"")</f>
        <v/>
      </c>
      <c r="AT77" t="str">
        <f>IF(IFERROR(MATCH($B77,temp!P$4:P$13,0),0)&gt;0,T08_Spells!AT$2,"")</f>
        <v/>
      </c>
      <c r="AU77" t="str">
        <f>IF(IFERROR(MATCH($B77,temp!Q$4:Q$13,0),0)&gt;0,T08_Spells!AU$2,"")</f>
        <v/>
      </c>
      <c r="AV77" t="str">
        <f>IF(IFERROR(MATCH($B77,temp!R$4:R$13,0),0)&gt;0,T08_Spells!AV$2,"")</f>
        <v/>
      </c>
      <c r="AW77" t="str">
        <f>IF(IFERROR(MATCH($B77,temp!S$4:S$13,0),0)&gt;0,T08_Spells!AW$2,"")</f>
        <v/>
      </c>
      <c r="AX77" t="str">
        <f>IF(IFERROR(MATCH($B77,temp!T$4:T$13,0),0)&gt;0,T08_Spells!AX$2,"")</f>
        <v>Tempest</v>
      </c>
      <c r="AY77" t="str">
        <f>IF(IFERROR(MATCH($B77,temp!U$4:U$13,0),0)&gt;0,T08_Spells!AY$2,"")</f>
        <v/>
      </c>
      <c r="AZ77" t="str">
        <f>IF(IFERROR(MATCH($B77,temp!V$4:V$13,0),0)&gt;0,T08_Spells!AZ$2,"")</f>
        <v/>
      </c>
      <c r="BA77" t="str">
        <f>IF(IFERROR(MATCH($B77,temp!W$4:W$13,0),0)&gt;0,T08_Spells!BA$2,"")</f>
        <v/>
      </c>
      <c r="BC77">
        <f>IF(IFERROR(SEARCH("Ranger",$T77,1),0)&gt;0,1,0)*IF(RangerMaxSpellLevel&gt;=$C77,1,0)*IF(IFERROR(MATCH(B77,Character_Creation!$X$79:$X$382,0),0)&gt;0,0,1)</f>
        <v>0</v>
      </c>
      <c r="BD77">
        <f>IF(BC77=0,0,1+COUNTIF(BD$3:BD76,"&gt;0"))</f>
        <v>0</v>
      </c>
      <c r="BE77" t="str">
        <f t="shared" si="88"/>
        <v/>
      </c>
      <c r="BF77" t="str">
        <f t="shared" si="60"/>
        <v/>
      </c>
      <c r="BH77">
        <f>IF(IFERROR(SEARCH("Sorcerer",$T77,1),0)&gt;0,1,0)*IF(SorcererMaxSpellLevel&gt;=$C77,1,0)*IF(IFERROR(MATCH(B77,Character_Creation!$J$380:$J$394,0),0)&gt;0,0,1)</f>
        <v>0</v>
      </c>
      <c r="BI77">
        <f>IF(BH77=0,0,1+COUNTIF(BI$3:BI76,"&gt;0"))</f>
        <v>0</v>
      </c>
      <c r="BJ77" t="str">
        <f t="shared" si="89"/>
        <v/>
      </c>
      <c r="BK77" t="str">
        <f t="shared" si="61"/>
        <v/>
      </c>
      <c r="BM77">
        <f>IF(OR(IFERROR(SEARCH("Warlock",$T77,1),0)&gt;0,IFERROR(SEARCH(WarlockPatron,$T77,1),0)&gt;0),1,0)*IF(WarlockMaxSpellLevel&gt;=$C77,1,0)*IF(IFERROR(MATCH(B77,Character_Creation!$J$361:$J$375,0),0)&gt;0,0,1)</f>
        <v>0</v>
      </c>
      <c r="BN77">
        <f>IF(BM77=0,0,1+COUNTIF(BN$3:BN76,"&gt;0"))</f>
        <v>0</v>
      </c>
      <c r="BO77" t="str">
        <f t="shared" si="90"/>
        <v/>
      </c>
      <c r="BP77" t="str">
        <f t="shared" si="62"/>
        <v/>
      </c>
      <c r="BR77">
        <f>IF(IFERROR(SEARCH("Eldritch Knight",$T77,1),0)&gt;0,1,0)*IF(EldritchKnightMaxSpellLevel&gt;=$C77,1,0)*IF(IFERROR(MATCH($B77,Character_Creation!$J$350:$J$356,0),0)&gt;0,0,1)*IF(Character_Creation!$M$338&gt;0,1,0)</f>
        <v>0</v>
      </c>
      <c r="BS77">
        <f>IF(BR77=0,0,1+COUNTIF(BS$3:BS76,"&gt;0"))</f>
        <v>0</v>
      </c>
      <c r="BT77" t="str">
        <f t="shared" si="91"/>
        <v/>
      </c>
      <c r="BU77" t="str">
        <f t="shared" si="63"/>
        <v/>
      </c>
      <c r="BW77">
        <f>IF(IFERROR(SEARCH("Arcane Trickster",$T77,1),0)&gt;0,1,0)*IF(ArcaneTricksterMaxSpellLevel&gt;=$C77,1,0)*IF(IFERROR(MATCH($B77,Character_Creation!$J$350:$J$356,0),0)&gt;0,0,1)*IF(Character_Creation!$T$338&gt;0,1,0)</f>
        <v>0</v>
      </c>
      <c r="BX77">
        <f>IF(BW77=0,0,1+COUNTIF(BX$3:BX76,"&gt;0"))</f>
        <v>0</v>
      </c>
      <c r="BY77" t="str">
        <f t="shared" si="92"/>
        <v/>
      </c>
      <c r="BZ77" t="str">
        <f t="shared" si="64"/>
        <v/>
      </c>
      <c r="CB77">
        <f>IF(IFERROR(SEARCH("Wizard",$T77,1),0)&gt;0,1,0)*IF(C77&lt;=ArcaneTricksterMaxSpellLevel,1,0)*IF(IFERROR(MATCH($B77,Character_Creation!$J$350:$J$356,0),0)&gt;0,0,1)*IF(Character_Creation!$T$350&gt;0,1,0)</f>
        <v>0</v>
      </c>
      <c r="CC77">
        <f>IF(CB77=0,0,1+COUNTIF(CC$3:CC76,"&gt;0"))</f>
        <v>0</v>
      </c>
      <c r="CD77" t="str">
        <f t="shared" si="93"/>
        <v/>
      </c>
      <c r="CE77" t="str">
        <f t="shared" si="65"/>
        <v/>
      </c>
      <c r="CG77">
        <f>IF(IFERROR(SEARCH("Wizard",$T77,1),0)&gt;0,1,0)*IF($C77&lt;=EldritchKnightMaxSpellLevel,1,0)*IF(IFERROR(MATCH($B77,Character_Creation!$J$350:$J$356,0),0)&gt;0,0,1)*IF(Character_Creation!$M$350&gt;0,1,0)</f>
        <v>0</v>
      </c>
      <c r="CH77">
        <f>IF(CG77=0,0,1+COUNTIF(CH$3:CH76,"&gt;0"))</f>
        <v>0</v>
      </c>
      <c r="CI77" t="str">
        <f t="shared" si="94"/>
        <v/>
      </c>
      <c r="CJ77" t="str">
        <f t="shared" si="66"/>
        <v/>
      </c>
      <c r="CL77">
        <f>IF(IFERROR(SEARCH("Bard",$T77,1),0)&gt;0,1,0)*IF(BardMaxSpellLevel&gt;=$C77,1,0)*IF(IFERROR(MATCH(B77,Character_Creation!$C$341:$F$362,0),0)&gt;0,0,1)*IF(IFERROR(MATCH($B77,Character_Creation!$C$341:$C$362,0),0)&gt;0,0,1)</f>
        <v>0</v>
      </c>
      <c r="CM77">
        <f>IF(CL77=0,0,1+COUNTIF(CM$3:CM76,"&gt;0"))</f>
        <v>0</v>
      </c>
      <c r="CN77" t="str">
        <f t="shared" si="95"/>
        <v/>
      </c>
      <c r="CO77" t="str">
        <f t="shared" si="67"/>
        <v/>
      </c>
      <c r="CQ77">
        <f>IF(IFERROR(SEARCH("Wizard",$T77,1),0)&gt;0,1,0)*IF(WizardMaxSpellLevel&gt;=$C77,1,0)*IF(IFERROR(MATCH(B77,Character_Creation!$X$341:$X$400,0),0)&gt;0,0,1)*IF(SelectedWizardSpellLevel=$C77,1,0)</f>
        <v>0</v>
      </c>
      <c r="CR77">
        <f>IF(CQ77=0,0,1+COUNTIF(CR$3:CR76,"&gt;0"))</f>
        <v>0</v>
      </c>
      <c r="CS77" t="str">
        <f t="shared" si="96"/>
        <v/>
      </c>
      <c r="CT77" t="str">
        <f t="shared" si="68"/>
        <v/>
      </c>
      <c r="CV77">
        <f>IF(IFERROR(MATCH($B77,Character_Creation!$C$341:$C$362,0),0)&gt;0,0,1)*IF(OR(C77="Cantrip",C77&lt;=BardMaxSpellLevel),1,0)*IF(IFERROR(MATCH($B77,Character_Creation!$C$367:$C$374,0),0)&gt;0,0,1)</f>
        <v>0</v>
      </c>
      <c r="CW77">
        <f>IF(CV77=0,0,1+COUNTIF(CW$3:CW76,"&gt;0"))</f>
        <v>0</v>
      </c>
      <c r="CX77" t="str">
        <f t="shared" si="97"/>
        <v/>
      </c>
      <c r="CY77" t="str">
        <f t="shared" si="69"/>
        <v/>
      </c>
      <c r="DA77">
        <f>IF(IF(OR(IFERROR(SEARCH("Cleric",$T77,1),0)&gt;0,IFERROR(SEARCH(DivineDomain&amp;",",$T77,1),0)&gt;0),1,0)*IF($C77=DA$2,1,0)=1,1+COUNTIF(DA$3:DA76,"&gt;0"),0)</f>
        <v>0</v>
      </c>
      <c r="DB77">
        <f>IF(IF(OR(IFERROR(SEARCH("Cleric",$T77,1),0)&gt;0,IFERROR(SEARCH(DivineDomain&amp;",",$T77,1),0)&gt;0),1,0)*IF($C77=DB$2,1,0)=1,1+COUNTIF(DB$3:DB76,"&gt;0"),0)</f>
        <v>0</v>
      </c>
      <c r="DC77">
        <f>IF(IF(OR(IFERROR(SEARCH("Cleric",$T77,1),0)&gt;0,IFERROR(SEARCH(DivineDomain&amp;",",$T77,1),0)&gt;0),1,0)*IF($C77=DC$2,1,0)=1,1+COUNTIF(DC$3:DC76,"&gt;0"),0)</f>
        <v>0</v>
      </c>
      <c r="DD77">
        <f>IF(IF(OR(IFERROR(SEARCH("Cleric",$T77,1),0)&gt;0,IFERROR(SEARCH(DivineDomain&amp;",",$T77,1),0)&gt;0),1,0)*IF($C77=DD$2,1,0)=1,1+COUNTIF(DD$3:DD76,"&gt;0"),0)</f>
        <v>2</v>
      </c>
      <c r="DE77">
        <f>IF(IF(OR(IFERROR(SEARCH("Cleric",$T77,1),0)&gt;0,IFERROR(SEARCH(DivineDomain&amp;",",$T77,1),0)&gt;0),1,0)*IF($C77=DE$2,1,0)=1,1+COUNTIF(DE$3:DE76,"&gt;0"),0)</f>
        <v>0</v>
      </c>
      <c r="DF77">
        <f>IF(IF(OR(IFERROR(SEARCH("Cleric",$T77,1),0)&gt;0,IFERROR(SEARCH(DivineDomain&amp;",",$T77,1),0)&gt;0),1,0)*IF($C77=DF$2,1,0)=1,1+COUNTIF(DF$3:DF76,"&gt;0"),0)</f>
        <v>0</v>
      </c>
      <c r="DG77">
        <f>IF(IF(OR(IFERROR(SEARCH("Cleric",$T77,1),0)&gt;0,IFERROR(SEARCH(DivineDomain&amp;",",$T77,1),0)&gt;0),1,0)*IF($C77=DG$2,1,0)=1,1+COUNTIF(DG$3:DG76,"&gt;0"),0)</f>
        <v>0</v>
      </c>
      <c r="DH77">
        <f>IF(IF(OR(IFERROR(SEARCH("Cleric",$T77,1),0)&gt;0,IFERROR(SEARCH(DivineDomain&amp;",",$T77,1),0)&gt;0),1,0)*IF($C77=DH$2,1,0)=1,1+COUNTIF(DH$3:DH76,"&gt;0"),0)</f>
        <v>0</v>
      </c>
      <c r="DI77">
        <f>IF(IF(OR(IFERROR(SEARCH("Cleric",$T77,1),0)&gt;0,IFERROR(SEARCH(DivineDomain&amp;",",$T77,1),0)&gt;0),1,0)*IF($C77=DI$2,1,0)=1,1+COUNTIF(DI$3:DI76,"&gt;0"),0)</f>
        <v>0</v>
      </c>
      <c r="DJ77">
        <f>IF(IF(OR(IFERROR(SEARCH("Druid",$T77,1),0)&gt;0,IFERROR(SEARCH(DruidLand1,$T77,1),0)&gt;0,IFERROR(SEARCH(DruidLand2,$T77,1),0)&gt;0,IFERROR(SEARCH(DruidLand3,$T77,1),0)&gt;0,IFERROR(SEARCH(DruidLand4,$T77,1),0)&gt;0),1,0)*IF($C77=1,1,0)*IF($C77=DJ$2,1,0)=0,0,1+COUNTIF(DJ$3:DJ76,"&gt;0"))</f>
        <v>0</v>
      </c>
      <c r="DK77">
        <f>IF(IF(OR(IFERROR(SEARCH("Druid",$T77,1),0)&gt;0,IFERROR(SEARCH(DruidLand1,$T77,1),0)&gt;0,IFERROR(SEARCH(DruidLand2,$T77,1),0)&gt;0,IFERROR(SEARCH(DruidLand3,$T77,1),0)&gt;0,IFERROR(SEARCH(DruidLand4,$T77,1),0)&gt;0),1,0)*IF($C77=DK$2,1,0)=0,0,1+COUNTIF(DK$3:DK76,"&gt;0"))</f>
        <v>0</v>
      </c>
      <c r="DL77">
        <f>IF(IF(OR(IFERROR(SEARCH("Druid",$T77,1),0)&gt;0,IFERROR(SEARCH(DruidLand1,$T77,1),0)&gt;0,IFERROR(SEARCH(DruidLand2,$T77,1),0)&gt;0,IFERROR(SEARCH(DruidLand3,$T77,1),0)&gt;0,IFERROR(SEARCH(DruidLand4,$T77,1),0)&gt;0),1,0)*IF($C77=DL$2,1,0)=0,0,1+COUNTIF(DL$3:DL76,"&gt;0"))</f>
        <v>0</v>
      </c>
      <c r="DM77">
        <f>IF(IF(OR(IFERROR(SEARCH("Druid",$T77,1),0)&gt;0,IFERROR(SEARCH(DruidLand1,$T77,1),0)&gt;0,IFERROR(SEARCH(DruidLand2,$T77,1),0)&gt;0,IFERROR(SEARCH(DruidLand3,$T77,1),0)&gt;0,IFERROR(SEARCH(DruidLand4,$T77,1),0)&gt;0),1,0)*IF($C77=DM$2,1,0)=0,0,1+COUNTIF(DM$3:DM76,"&gt;0"))</f>
        <v>5</v>
      </c>
      <c r="DN77">
        <f>IF(IF(OR(IFERROR(SEARCH("Druid",$T77,1),0)&gt;0,IFERROR(SEARCH(DruidLand1,$T77,1),0)&gt;0,IFERROR(SEARCH(DruidLand2,$T77,1),0)&gt;0,IFERROR(SEARCH(DruidLand3,$T77,1),0)&gt;0,IFERROR(SEARCH(DruidLand4,$T77,1),0)&gt;0),1,0)*IF($C77=DN$2,1,0)=0,0,1+COUNTIF(DN$3:DN76,"&gt;0"))</f>
        <v>0</v>
      </c>
      <c r="DO77">
        <f>IF(IF(OR(IFERROR(SEARCH("Druid",$T77,1),0)&gt;0,IFERROR(SEARCH(DruidLand1,$T77,1),0)&gt;0,IFERROR(SEARCH(DruidLand2,$T77,1),0)&gt;0,IFERROR(SEARCH(DruidLand3,$T77,1),0)&gt;0,IFERROR(SEARCH(DruidLand4,$T77,1),0)&gt;0),1,0)*IF($C77=DO$2,1,0)=0,0,1+COUNTIF(DO$3:DO76,"&gt;0"))</f>
        <v>0</v>
      </c>
      <c r="DP77">
        <f>IF(IF(OR(IFERROR(SEARCH("Druid",$T77,1),0)&gt;0,IFERROR(SEARCH(DruidLand1,$T77,1),0)&gt;0,IFERROR(SEARCH(DruidLand2,$T77,1),0)&gt;0,IFERROR(SEARCH(DruidLand3,$T77,1),0)&gt;0,IFERROR(SEARCH(DruidLand4,$T77,1),0)&gt;0),1,0)*IF($C77=DP$2,1,0)=0,0,1+COUNTIF(DP$3:DP76,"&gt;0"))</f>
        <v>0</v>
      </c>
      <c r="DQ77">
        <f>IF(IF(OR(IFERROR(SEARCH("Druid",$T77,1),0)&gt;0,IFERROR(SEARCH(DruidLand1,$T77,1),0)&gt;0,IFERROR(SEARCH(DruidLand2,$T77,1),0)&gt;0,IFERROR(SEARCH(DruidLand3,$T77,1),0)&gt;0,IFERROR(SEARCH(DruidLand4,$T77,1),0)&gt;0),1,0)*IF($C77=DQ$2,1,0)=0,0,1+COUNTIF(DQ$3:DQ76,"&gt;0"))</f>
        <v>0</v>
      </c>
      <c r="DR77">
        <f>IF(IF(OR(IFERROR(SEARCH("Druid",$T77,1),0)&gt;0,IFERROR(SEARCH(DruidLand1,$T77,1),0)&gt;0,IFERROR(SEARCH(DruidLand2,$T77,1),0)&gt;0,IFERROR(SEARCH(DruidLand3,$T77,1),0)&gt;0,IFERROR(SEARCH(DruidLand4,$T77,1),0)&gt;0),1,0)*IF($C77=DR$2,1,0)=0,0,1+COUNTIF(DR$3:DR76,"&gt;0"))</f>
        <v>0</v>
      </c>
      <c r="DS77">
        <f>IF(IF(OR(IFERROR(SEARCH("Paladin",$T77,1),0)&gt;0,IFERROR(SEARCH(PaladinOath,$T77,1),0)&gt;0),1,0)*IF($C77=DS$2,1,0)=1,1+COUNTIF(DS$3:DS76,"&gt;0"),0)</f>
        <v>0</v>
      </c>
      <c r="DT77">
        <f>IF(IF(OR(IFERROR(SEARCH("Paladin",$T77,1),0)&gt;0,IFERROR(SEARCH(PaladinOath,$T77,1),0)&gt;0),1,0)*IF($C77=DT$2,1,0)=1,1+COUNTIF(DT$3:DT76,"&gt;0"),0)</f>
        <v>0</v>
      </c>
      <c r="DU77">
        <f>IF(IF(OR(IFERROR(SEARCH("Paladin",$T77,1),0)&gt;0,IFERROR(SEARCH(PaladinOath,$T77,1),0)&gt;0),1,0)*IF($C77=DU$2,1,0)=1,1+COUNTIF(DU$3:DU76,"&gt;0"),0)</f>
        <v>0</v>
      </c>
      <c r="DV77">
        <f>IF(IF(OR(IFERROR(SEARCH("Paladin",$T77,1),0)&gt;0,IFERROR(SEARCH(PaladinOath,$T77,1),0)&gt;0),1,0)*IF($C77=DV$2,1,0)=1,1+COUNTIF(DV$3:DV76,"&gt;0"),0)</f>
        <v>0</v>
      </c>
      <c r="DW77">
        <f>IF(IF(OR(IFERROR(SEARCH("Paladin",$T77,1),0)&gt;0,IFERROR(SEARCH(PaladinOath,$T77,1),0)&gt;0),1,0)*IF($C77=DW$2,1,0)=1,1+COUNTIF(DW$3:DW76,"&gt;0"),0)</f>
        <v>0</v>
      </c>
      <c r="DY77">
        <f t="shared" si="56"/>
        <v>1</v>
      </c>
      <c r="DZ77">
        <f>IF(DY77=0,0,1+MAX(DZ$3:$DZ76))</f>
        <v>75</v>
      </c>
      <c r="EB77">
        <f t="shared" si="70"/>
        <v>0</v>
      </c>
      <c r="EC77">
        <f>IF(EB77=0,0,1+COUNTIF(EC$3:EC76,"&gt;0"))</f>
        <v>0</v>
      </c>
      <c r="ED77" t="str">
        <f t="shared" si="98"/>
        <v/>
      </c>
      <c r="EE77" t="str">
        <f t="shared" si="71"/>
        <v/>
      </c>
      <c r="EG77">
        <f t="shared" si="72"/>
        <v>0</v>
      </c>
      <c r="EH77">
        <f>IF(EG77=0,0,1+COUNTIF(EH$3:EH76,"&gt;0"))</f>
        <v>0</v>
      </c>
      <c r="EI77" t="str">
        <f t="shared" si="99"/>
        <v/>
      </c>
      <c r="EJ77" t="str">
        <f t="shared" si="73"/>
        <v/>
      </c>
      <c r="EL77">
        <f t="shared" si="74"/>
        <v>0</v>
      </c>
      <c r="EM77">
        <f>IF(EL77=0,0,1+COUNTIF(EM$3:EM76,"&gt;0"))</f>
        <v>0</v>
      </c>
      <c r="EN77" t="str">
        <f t="shared" si="100"/>
        <v/>
      </c>
      <c r="EO77" t="str">
        <f t="shared" si="75"/>
        <v/>
      </c>
      <c r="EQ77">
        <f t="shared" si="76"/>
        <v>0</v>
      </c>
      <c r="ER77">
        <f>IF(EQ77=0,0,1+COUNTIF(ER$3:ER76,"&gt;0"))</f>
        <v>0</v>
      </c>
      <c r="ES77" t="str">
        <f t="shared" si="101"/>
        <v/>
      </c>
      <c r="ET77" t="str">
        <f t="shared" si="77"/>
        <v/>
      </c>
      <c r="EV77">
        <f t="shared" si="78"/>
        <v>0</v>
      </c>
      <c r="EW77">
        <f>IF(EV77=0,0,1+COUNTIF(EW$3:EW76,"&gt;0"))</f>
        <v>0</v>
      </c>
      <c r="EX77" t="str">
        <f t="shared" si="102"/>
        <v/>
      </c>
      <c r="EY77" t="str">
        <f t="shared" si="79"/>
        <v/>
      </c>
      <c r="FA77">
        <f t="shared" si="80"/>
        <v>0</v>
      </c>
      <c r="FB77">
        <f>IF(FA77=0,0,1+COUNTIF(FB$3:FB76,"&gt;0"))</f>
        <v>0</v>
      </c>
      <c r="FC77" t="str">
        <f t="shared" si="103"/>
        <v/>
      </c>
      <c r="FD77" t="str">
        <f t="shared" si="81"/>
        <v/>
      </c>
      <c r="FF77">
        <f t="shared" si="82"/>
        <v>0</v>
      </c>
      <c r="FG77">
        <f>IF(FF77=0,0,1+COUNTIF(FG$3:FG76,"&gt;0"))</f>
        <v>0</v>
      </c>
      <c r="FH77" t="str">
        <f t="shared" si="104"/>
        <v/>
      </c>
      <c r="FI77" t="str">
        <f t="shared" si="83"/>
        <v/>
      </c>
      <c r="FK77">
        <f t="shared" si="84"/>
        <v>0</v>
      </c>
      <c r="FL77">
        <f>IF(FK77=0,0,1+COUNTIF(FL$3:FL76,"&gt;0"))</f>
        <v>0</v>
      </c>
      <c r="FM77" t="str">
        <f t="shared" si="105"/>
        <v/>
      </c>
      <c r="FN77" t="str">
        <f t="shared" si="85"/>
        <v/>
      </c>
      <c r="FP77">
        <f t="shared" si="86"/>
        <v>0</v>
      </c>
      <c r="FQ77">
        <f>IF(FP77=0,0,1+COUNTIF(FQ$3:FQ76,"&gt;0"))</f>
        <v>0</v>
      </c>
      <c r="FR77" t="str">
        <f t="shared" si="106"/>
        <v/>
      </c>
      <c r="FS77" t="str">
        <f t="shared" si="87"/>
        <v/>
      </c>
    </row>
    <row r="78" spans="1:175" x14ac:dyDescent="0.25">
      <c r="A78" s="347">
        <f t="shared" si="107"/>
        <v>76</v>
      </c>
      <c r="B78" s="348" t="s">
        <v>5336</v>
      </c>
      <c r="C78" s="348">
        <v>8</v>
      </c>
      <c r="D78" s="347">
        <v>8</v>
      </c>
      <c r="E78" s="627" t="s">
        <v>6952</v>
      </c>
      <c r="F78" s="346"/>
      <c r="G78" s="347" t="str">
        <f>""</f>
        <v/>
      </c>
      <c r="H78" s="347" t="s">
        <v>5319</v>
      </c>
      <c r="I78" s="347" t="s">
        <v>5283</v>
      </c>
      <c r="J78" s="347" t="str">
        <f t="shared" si="57"/>
        <v/>
      </c>
      <c r="K78" s="347" t="s">
        <v>5337</v>
      </c>
      <c r="L78" s="611" t="str">
        <f t="shared" si="58"/>
        <v>V, S, M, burning incense and bits of earth and wood mixed in water</v>
      </c>
      <c r="M78" s="347" t="s">
        <v>2373</v>
      </c>
      <c r="N78" s="347" t="s">
        <v>2387</v>
      </c>
      <c r="O78" s="347" t="s">
        <v>1244</v>
      </c>
      <c r="P78" s="346" t="s">
        <v>5338</v>
      </c>
      <c r="Q78" s="347" t="s">
        <v>5276</v>
      </c>
      <c r="S78" s="346" t="s">
        <v>5642</v>
      </c>
      <c r="T78" s="346" t="str">
        <f t="shared" si="59"/>
        <v xml:space="preserve">Cleric, Druid, Wizard, </v>
      </c>
      <c r="Z78" s="347" t="str">
        <f>$B78</f>
        <v>Control Weather</v>
      </c>
      <c r="AA78" s="347" t="str">
        <f>$B78</f>
        <v>Control Weather</v>
      </c>
      <c r="AD78" s="347" t="str">
        <f>$B78</f>
        <v>Control Weather</v>
      </c>
      <c r="AE78" t="str">
        <f>IF(IFERROR(MATCH($B78,temp!A$4:A$13,0),0)&gt;0,T08_Spells!AE$2,"")</f>
        <v/>
      </c>
      <c r="AF78" t="str">
        <f>IF(IFERROR(MATCH($B78,temp!B$4:B$13,0),0)&gt;0,T08_Spells!AF$2,"")</f>
        <v/>
      </c>
      <c r="AG78" t="str">
        <f>IF(IFERROR(MATCH($B78,temp!C$4:C$13,0),0)&gt;0,T08_Spells!AG$2,"")</f>
        <v/>
      </c>
      <c r="AH78" t="str">
        <f>IF(IFERROR(MATCH($B78,temp!D$4:D$13,0),0)&gt;0,T08_Spells!AH$2,"")</f>
        <v/>
      </c>
      <c r="AI78" t="str">
        <f>IF(IFERROR(MATCH($B78,temp!E$4:E$13,0),0)&gt;0,T08_Spells!AI$2,"")</f>
        <v/>
      </c>
      <c r="AJ78" t="str">
        <f>IF(IFERROR(MATCH($B78,temp!F$4:F$13,0),0)&gt;0,T08_Spells!AJ$2,"")</f>
        <v/>
      </c>
      <c r="AK78" t="str">
        <f>IF(IFERROR(MATCH($B78,temp!G$4:G$13,0),0)&gt;0,T08_Spells!AK$2,"")</f>
        <v/>
      </c>
      <c r="AL78" t="str">
        <f>IF(IFERROR(MATCH($B78,temp!H$4:H$13,0),0)&gt;0,T08_Spells!AL$2,"")</f>
        <v/>
      </c>
      <c r="AM78" t="str">
        <f>IF(IFERROR(MATCH($B78,temp!I$4:I$13,0),0)&gt;0,T08_Spells!AM$2,"")</f>
        <v/>
      </c>
      <c r="AN78" t="str">
        <f>IF(IFERROR(MATCH($B78,temp!J$4:J$13,0),0)&gt;0,T08_Spells!AN$2,"")</f>
        <v/>
      </c>
      <c r="AO78" t="str">
        <f>IF(IFERROR(MATCH($B78,temp!K$4:K$13,0),0)&gt;0,T08_Spells!AO$2,"")</f>
        <v/>
      </c>
      <c r="AP78" t="str">
        <f>IF(IFERROR(MATCH($B78,temp!L$4:L$13,0),0)&gt;0,T08_Spells!AP$2,"")</f>
        <v/>
      </c>
      <c r="AQ78" t="str">
        <f>IF(IFERROR(MATCH($B78,temp!M$4:M$13,0),0)&gt;0,T08_Spells!AQ$2,"")</f>
        <v/>
      </c>
      <c r="AR78" t="str">
        <f>IF(IFERROR(MATCH($B78,temp!N$4:N$13,0),0)&gt;0,T08_Spells!AR$2,"")</f>
        <v/>
      </c>
      <c r="AS78" t="str">
        <f>IF(IFERROR(MATCH($B78,temp!O$4:O$13,0),0)&gt;0,T08_Spells!AS$2,"")</f>
        <v/>
      </c>
      <c r="AT78" t="str">
        <f>IF(IFERROR(MATCH($B78,temp!P$4:P$13,0),0)&gt;0,T08_Spells!AT$2,"")</f>
        <v/>
      </c>
      <c r="AU78" t="str">
        <f>IF(IFERROR(MATCH($B78,temp!Q$4:Q$13,0),0)&gt;0,T08_Spells!AU$2,"")</f>
        <v/>
      </c>
      <c r="AV78" t="str">
        <f>IF(IFERROR(MATCH($B78,temp!R$4:R$13,0),0)&gt;0,T08_Spells!AV$2,"")</f>
        <v/>
      </c>
      <c r="AW78" t="str">
        <f>IF(IFERROR(MATCH($B78,temp!S$4:S$13,0),0)&gt;0,T08_Spells!AW$2,"")</f>
        <v/>
      </c>
      <c r="AX78" t="str">
        <f>IF(IFERROR(MATCH($B78,temp!T$4:T$13,0),0)&gt;0,T08_Spells!AX$2,"")</f>
        <v/>
      </c>
      <c r="AY78" t="str">
        <f>IF(IFERROR(MATCH($B78,temp!U$4:U$13,0),0)&gt;0,T08_Spells!AY$2,"")</f>
        <v/>
      </c>
      <c r="AZ78" t="str">
        <f>IF(IFERROR(MATCH($B78,temp!V$4:V$13,0),0)&gt;0,T08_Spells!AZ$2,"")</f>
        <v/>
      </c>
      <c r="BA78" t="str">
        <f>IF(IFERROR(MATCH($B78,temp!W$4:W$13,0),0)&gt;0,T08_Spells!BA$2,"")</f>
        <v/>
      </c>
      <c r="BC78">
        <f>IF(IFERROR(SEARCH("Ranger",$T78,1),0)&gt;0,1,0)*IF(RangerMaxSpellLevel&gt;=$C78,1,0)*IF(IFERROR(MATCH(B78,Character_Creation!$X$79:$X$382,0),0)&gt;0,0,1)</f>
        <v>0</v>
      </c>
      <c r="BD78">
        <f>IF(BC78=0,0,1+COUNTIF(BD$3:BD77,"&gt;0"))</f>
        <v>0</v>
      </c>
      <c r="BE78" t="str">
        <f t="shared" si="88"/>
        <v/>
      </c>
      <c r="BF78" t="str">
        <f t="shared" si="60"/>
        <v/>
      </c>
      <c r="BH78">
        <f>IF(IFERROR(SEARCH("Sorcerer",$T78,1),0)&gt;0,1,0)*IF(SorcererMaxSpellLevel&gt;=$C78,1,0)*IF(IFERROR(MATCH(B78,Character_Creation!$J$380:$J$394,0),0)&gt;0,0,1)</f>
        <v>0</v>
      </c>
      <c r="BI78">
        <f>IF(BH78=0,0,1+COUNTIF(BI$3:BI77,"&gt;0"))</f>
        <v>0</v>
      </c>
      <c r="BJ78" t="str">
        <f t="shared" si="89"/>
        <v/>
      </c>
      <c r="BK78" t="str">
        <f t="shared" si="61"/>
        <v/>
      </c>
      <c r="BM78">
        <f>IF(OR(IFERROR(SEARCH("Warlock",$T78,1),0)&gt;0,IFERROR(SEARCH(WarlockPatron,$T78,1),0)&gt;0),1,0)*IF(WarlockMaxSpellLevel&gt;=$C78,1,0)*IF(IFERROR(MATCH(B78,Character_Creation!$J$361:$J$375,0),0)&gt;0,0,1)</f>
        <v>0</v>
      </c>
      <c r="BN78">
        <f>IF(BM78=0,0,1+COUNTIF(BN$3:BN77,"&gt;0"))</f>
        <v>0</v>
      </c>
      <c r="BO78" t="str">
        <f t="shared" si="90"/>
        <v/>
      </c>
      <c r="BP78" t="str">
        <f t="shared" si="62"/>
        <v/>
      </c>
      <c r="BR78">
        <f>IF(IFERROR(SEARCH("Eldritch Knight",$T78,1),0)&gt;0,1,0)*IF(EldritchKnightMaxSpellLevel&gt;=$C78,1,0)*IF(IFERROR(MATCH($B78,Character_Creation!$J$350:$J$356,0),0)&gt;0,0,1)*IF(Character_Creation!$M$338&gt;0,1,0)</f>
        <v>0</v>
      </c>
      <c r="BS78">
        <f>IF(BR78=0,0,1+COUNTIF(BS$3:BS77,"&gt;0"))</f>
        <v>0</v>
      </c>
      <c r="BT78" t="str">
        <f t="shared" si="91"/>
        <v/>
      </c>
      <c r="BU78" t="str">
        <f t="shared" si="63"/>
        <v/>
      </c>
      <c r="BW78">
        <f>IF(IFERROR(SEARCH("Arcane Trickster",$T78,1),0)&gt;0,1,0)*IF(ArcaneTricksterMaxSpellLevel&gt;=$C78,1,0)*IF(IFERROR(MATCH($B78,Character_Creation!$J$350:$J$356,0),0)&gt;0,0,1)*IF(Character_Creation!$T$338&gt;0,1,0)</f>
        <v>0</v>
      </c>
      <c r="BX78">
        <f>IF(BW78=0,0,1+COUNTIF(BX$3:BX77,"&gt;0"))</f>
        <v>0</v>
      </c>
      <c r="BY78" t="str">
        <f t="shared" si="92"/>
        <v/>
      </c>
      <c r="BZ78" t="str">
        <f t="shared" si="64"/>
        <v/>
      </c>
      <c r="CB78">
        <f>IF(IFERROR(SEARCH("Wizard",$T78,1),0)&gt;0,1,0)*IF(C78&lt;=ArcaneTricksterMaxSpellLevel,1,0)*IF(IFERROR(MATCH($B78,Character_Creation!$J$350:$J$356,0),0)&gt;0,0,1)*IF(Character_Creation!$T$350&gt;0,1,0)</f>
        <v>0</v>
      </c>
      <c r="CC78">
        <f>IF(CB78=0,0,1+COUNTIF(CC$3:CC77,"&gt;0"))</f>
        <v>0</v>
      </c>
      <c r="CD78" t="str">
        <f t="shared" si="93"/>
        <v/>
      </c>
      <c r="CE78" t="str">
        <f t="shared" si="65"/>
        <v/>
      </c>
      <c r="CG78">
        <f>IF(IFERROR(SEARCH("Wizard",$T78,1),0)&gt;0,1,0)*IF($C78&lt;=EldritchKnightMaxSpellLevel,1,0)*IF(IFERROR(MATCH($B78,Character_Creation!$J$350:$J$356,0),0)&gt;0,0,1)*IF(Character_Creation!$M$350&gt;0,1,0)</f>
        <v>0</v>
      </c>
      <c r="CH78">
        <f>IF(CG78=0,0,1+COUNTIF(CH$3:CH77,"&gt;0"))</f>
        <v>0</v>
      </c>
      <c r="CI78" t="str">
        <f t="shared" si="94"/>
        <v/>
      </c>
      <c r="CJ78" t="str">
        <f t="shared" si="66"/>
        <v/>
      </c>
      <c r="CL78">
        <f>IF(IFERROR(SEARCH("Bard",$T78,1),0)&gt;0,1,0)*IF(BardMaxSpellLevel&gt;=$C78,1,0)*IF(IFERROR(MATCH(B78,Character_Creation!$C$341:$F$362,0),0)&gt;0,0,1)*IF(IFERROR(MATCH($B78,Character_Creation!$C$341:$C$362,0),0)&gt;0,0,1)</f>
        <v>0</v>
      </c>
      <c r="CM78">
        <f>IF(CL78=0,0,1+COUNTIF(CM$3:CM77,"&gt;0"))</f>
        <v>0</v>
      </c>
      <c r="CN78" t="str">
        <f t="shared" si="95"/>
        <v/>
      </c>
      <c r="CO78" t="str">
        <f t="shared" si="67"/>
        <v/>
      </c>
      <c r="CQ78">
        <f>IF(IFERROR(SEARCH("Wizard",$T78,1),0)&gt;0,1,0)*IF(WizardMaxSpellLevel&gt;=$C78,1,0)*IF(IFERROR(MATCH(B78,Character_Creation!$X$341:$X$400,0),0)&gt;0,0,1)*IF(SelectedWizardSpellLevel=$C78,1,0)</f>
        <v>0</v>
      </c>
      <c r="CR78">
        <f>IF(CQ78=0,0,1+COUNTIF(CR$3:CR77,"&gt;0"))</f>
        <v>0</v>
      </c>
      <c r="CS78" t="str">
        <f t="shared" si="96"/>
        <v/>
      </c>
      <c r="CT78" t="str">
        <f t="shared" si="68"/>
        <v/>
      </c>
      <c r="CV78">
        <f>IF(IFERROR(MATCH($B78,Character_Creation!$C$341:$C$362,0),0)&gt;0,0,1)*IF(OR(C78="Cantrip",C78&lt;=BardMaxSpellLevel),1,0)*IF(IFERROR(MATCH($B78,Character_Creation!$C$367:$C$374,0),0)&gt;0,0,1)</f>
        <v>0</v>
      </c>
      <c r="CW78">
        <f>IF(CV78=0,0,1+COUNTIF(CW$3:CW77,"&gt;0"))</f>
        <v>0</v>
      </c>
      <c r="CX78" t="str">
        <f t="shared" si="97"/>
        <v/>
      </c>
      <c r="CY78" t="str">
        <f t="shared" si="69"/>
        <v/>
      </c>
      <c r="DA78">
        <f>IF(IF(OR(IFERROR(SEARCH("Cleric",$T78,1),0)&gt;0,IFERROR(SEARCH(DivineDomain&amp;",",$T78,1),0)&gt;0),1,0)*IF($C78=DA$2,1,0)=1,1+COUNTIF(DA$3:DA77,"&gt;0"),0)</f>
        <v>0</v>
      </c>
      <c r="DB78">
        <f>IF(IF(OR(IFERROR(SEARCH("Cleric",$T78,1),0)&gt;0,IFERROR(SEARCH(DivineDomain&amp;",",$T78,1),0)&gt;0),1,0)*IF($C78=DB$2,1,0)=1,1+COUNTIF(DB$3:DB77,"&gt;0"),0)</f>
        <v>0</v>
      </c>
      <c r="DC78">
        <f>IF(IF(OR(IFERROR(SEARCH("Cleric",$T78,1),0)&gt;0,IFERROR(SEARCH(DivineDomain&amp;",",$T78,1),0)&gt;0),1,0)*IF($C78=DC$2,1,0)=1,1+COUNTIF(DC$3:DC77,"&gt;0"),0)</f>
        <v>0</v>
      </c>
      <c r="DD78">
        <f>IF(IF(OR(IFERROR(SEARCH("Cleric",$T78,1),0)&gt;0,IFERROR(SEARCH(DivineDomain&amp;",",$T78,1),0)&gt;0),1,0)*IF($C78=DD$2,1,0)=1,1+COUNTIF(DD$3:DD77,"&gt;0"),0)</f>
        <v>0</v>
      </c>
      <c r="DE78">
        <f>IF(IF(OR(IFERROR(SEARCH("Cleric",$T78,1),0)&gt;0,IFERROR(SEARCH(DivineDomain&amp;",",$T78,1),0)&gt;0),1,0)*IF($C78=DE$2,1,0)=1,1+COUNTIF(DE$3:DE77,"&gt;0"),0)</f>
        <v>0</v>
      </c>
      <c r="DF78">
        <f>IF(IF(OR(IFERROR(SEARCH("Cleric",$T78,1),0)&gt;0,IFERROR(SEARCH(DivineDomain&amp;",",$T78,1),0)&gt;0),1,0)*IF($C78=DF$2,1,0)=1,1+COUNTIF(DF$3:DF77,"&gt;0"),0)</f>
        <v>0</v>
      </c>
      <c r="DG78">
        <f>IF(IF(OR(IFERROR(SEARCH("Cleric",$T78,1),0)&gt;0,IFERROR(SEARCH(DivineDomain&amp;",",$T78,1),0)&gt;0),1,0)*IF($C78=DG$2,1,0)=1,1+COUNTIF(DG$3:DG77,"&gt;0"),0)</f>
        <v>0</v>
      </c>
      <c r="DH78">
        <f>IF(IF(OR(IFERROR(SEARCH("Cleric",$T78,1),0)&gt;0,IFERROR(SEARCH(DivineDomain&amp;",",$T78,1),0)&gt;0),1,0)*IF($C78=DH$2,1,0)=1,1+COUNTIF(DH$3:DH77,"&gt;0"),0)</f>
        <v>2</v>
      </c>
      <c r="DI78">
        <f>IF(IF(OR(IFERROR(SEARCH("Cleric",$T78,1),0)&gt;0,IFERROR(SEARCH(DivineDomain&amp;",",$T78,1),0)&gt;0),1,0)*IF($C78=DI$2,1,0)=1,1+COUNTIF(DI$3:DI77,"&gt;0"),0)</f>
        <v>0</v>
      </c>
      <c r="DJ78">
        <f>IF(IF(OR(IFERROR(SEARCH("Druid",$T78,1),0)&gt;0,IFERROR(SEARCH(DruidLand1,$T78,1),0)&gt;0,IFERROR(SEARCH(DruidLand2,$T78,1),0)&gt;0,IFERROR(SEARCH(DruidLand3,$T78,1),0)&gt;0,IFERROR(SEARCH(DruidLand4,$T78,1),0)&gt;0),1,0)*IF($C78=1,1,0)*IF($C78=DJ$2,1,0)=0,0,1+COUNTIF(DJ$3:DJ77,"&gt;0"))</f>
        <v>0</v>
      </c>
      <c r="DK78">
        <f>IF(IF(OR(IFERROR(SEARCH("Druid",$T78,1),0)&gt;0,IFERROR(SEARCH(DruidLand1,$T78,1),0)&gt;0,IFERROR(SEARCH(DruidLand2,$T78,1),0)&gt;0,IFERROR(SEARCH(DruidLand3,$T78,1),0)&gt;0,IFERROR(SEARCH(DruidLand4,$T78,1),0)&gt;0),1,0)*IF($C78=DK$2,1,0)=0,0,1+COUNTIF(DK$3:DK77,"&gt;0"))</f>
        <v>0</v>
      </c>
      <c r="DL78">
        <f>IF(IF(OR(IFERROR(SEARCH("Druid",$T78,1),0)&gt;0,IFERROR(SEARCH(DruidLand1,$T78,1),0)&gt;0,IFERROR(SEARCH(DruidLand2,$T78,1),0)&gt;0,IFERROR(SEARCH(DruidLand3,$T78,1),0)&gt;0,IFERROR(SEARCH(DruidLand4,$T78,1),0)&gt;0),1,0)*IF($C78=DL$2,1,0)=0,0,1+COUNTIF(DL$3:DL77,"&gt;0"))</f>
        <v>0</v>
      </c>
      <c r="DM78">
        <f>IF(IF(OR(IFERROR(SEARCH("Druid",$T78,1),0)&gt;0,IFERROR(SEARCH(DruidLand1,$T78,1),0)&gt;0,IFERROR(SEARCH(DruidLand2,$T78,1),0)&gt;0,IFERROR(SEARCH(DruidLand3,$T78,1),0)&gt;0,IFERROR(SEARCH(DruidLand4,$T78,1),0)&gt;0),1,0)*IF($C78=DM$2,1,0)=0,0,1+COUNTIF(DM$3:DM77,"&gt;0"))</f>
        <v>0</v>
      </c>
      <c r="DN78">
        <f>IF(IF(OR(IFERROR(SEARCH("Druid",$T78,1),0)&gt;0,IFERROR(SEARCH(DruidLand1,$T78,1),0)&gt;0,IFERROR(SEARCH(DruidLand2,$T78,1),0)&gt;0,IFERROR(SEARCH(DruidLand3,$T78,1),0)&gt;0,IFERROR(SEARCH(DruidLand4,$T78,1),0)&gt;0),1,0)*IF($C78=DN$2,1,0)=0,0,1+COUNTIF(DN$3:DN77,"&gt;0"))</f>
        <v>0</v>
      </c>
      <c r="DO78">
        <f>IF(IF(OR(IFERROR(SEARCH("Druid",$T78,1),0)&gt;0,IFERROR(SEARCH(DruidLand1,$T78,1),0)&gt;0,IFERROR(SEARCH(DruidLand2,$T78,1),0)&gt;0,IFERROR(SEARCH(DruidLand3,$T78,1),0)&gt;0,IFERROR(SEARCH(DruidLand4,$T78,1),0)&gt;0),1,0)*IF($C78=DO$2,1,0)=0,0,1+COUNTIF(DO$3:DO77,"&gt;0"))</f>
        <v>0</v>
      </c>
      <c r="DP78">
        <f>IF(IF(OR(IFERROR(SEARCH("Druid",$T78,1),0)&gt;0,IFERROR(SEARCH(DruidLand1,$T78,1),0)&gt;0,IFERROR(SEARCH(DruidLand2,$T78,1),0)&gt;0,IFERROR(SEARCH(DruidLand3,$T78,1),0)&gt;0,IFERROR(SEARCH(DruidLand4,$T78,1),0)&gt;0),1,0)*IF($C78=DP$2,1,0)=0,0,1+COUNTIF(DP$3:DP77,"&gt;0"))</f>
        <v>0</v>
      </c>
      <c r="DQ78">
        <f>IF(IF(OR(IFERROR(SEARCH("Druid",$T78,1),0)&gt;0,IFERROR(SEARCH(DruidLand1,$T78,1),0)&gt;0,IFERROR(SEARCH(DruidLand2,$T78,1),0)&gt;0,IFERROR(SEARCH(DruidLand3,$T78,1),0)&gt;0,IFERROR(SEARCH(DruidLand4,$T78,1),0)&gt;0),1,0)*IF($C78=DQ$2,1,0)=0,0,1+COUNTIF(DQ$3:DQ77,"&gt;0"))</f>
        <v>3</v>
      </c>
      <c r="DR78">
        <f>IF(IF(OR(IFERROR(SEARCH("Druid",$T78,1),0)&gt;0,IFERROR(SEARCH(DruidLand1,$T78,1),0)&gt;0,IFERROR(SEARCH(DruidLand2,$T78,1),0)&gt;0,IFERROR(SEARCH(DruidLand3,$T78,1),0)&gt;0,IFERROR(SEARCH(DruidLand4,$T78,1),0)&gt;0),1,0)*IF($C78=DR$2,1,0)=0,0,1+COUNTIF(DR$3:DR77,"&gt;0"))</f>
        <v>0</v>
      </c>
      <c r="DS78">
        <f>IF(IF(OR(IFERROR(SEARCH("Paladin",$T78,1),0)&gt;0,IFERROR(SEARCH(PaladinOath,$T78,1),0)&gt;0),1,0)*IF($C78=DS$2,1,0)=1,1+COUNTIF(DS$3:DS77,"&gt;0"),0)</f>
        <v>0</v>
      </c>
      <c r="DT78">
        <f>IF(IF(OR(IFERROR(SEARCH("Paladin",$T78,1),0)&gt;0,IFERROR(SEARCH(PaladinOath,$T78,1),0)&gt;0),1,0)*IF($C78=DT$2,1,0)=1,1+COUNTIF(DT$3:DT77,"&gt;0"),0)</f>
        <v>0</v>
      </c>
      <c r="DU78">
        <f>IF(IF(OR(IFERROR(SEARCH("Paladin",$T78,1),0)&gt;0,IFERROR(SEARCH(PaladinOath,$T78,1),0)&gt;0),1,0)*IF($C78=DU$2,1,0)=1,1+COUNTIF(DU$3:DU77,"&gt;0"),0)</f>
        <v>0</v>
      </c>
      <c r="DV78">
        <f>IF(IF(OR(IFERROR(SEARCH("Paladin",$T78,1),0)&gt;0,IFERROR(SEARCH(PaladinOath,$T78,1),0)&gt;0),1,0)*IF($C78=DV$2,1,0)=1,1+COUNTIF(DV$3:DV77,"&gt;0"),0)</f>
        <v>0</v>
      </c>
      <c r="DW78">
        <f>IF(IF(OR(IFERROR(SEARCH("Paladin",$T78,1),0)&gt;0,IFERROR(SEARCH(PaladinOath,$T78,1),0)&gt;0),1,0)*IF($C78=DW$2,1,0)=1,1+COUNTIF(DW$3:DW77,"&gt;0"),0)</f>
        <v>0</v>
      </c>
      <c r="DY78">
        <f t="shared" si="56"/>
        <v>1</v>
      </c>
      <c r="DZ78">
        <f>IF(DY78=0,0,1+MAX(DZ$3:$DZ77))</f>
        <v>76</v>
      </c>
      <c r="EB78">
        <f t="shared" si="70"/>
        <v>0</v>
      </c>
      <c r="EC78">
        <f>IF(EB78=0,0,1+COUNTIF(EC$3:EC77,"&gt;0"))</f>
        <v>0</v>
      </c>
      <c r="ED78" t="str">
        <f t="shared" si="98"/>
        <v/>
      </c>
      <c r="EE78" t="str">
        <f t="shared" si="71"/>
        <v/>
      </c>
      <c r="EG78">
        <f t="shared" si="72"/>
        <v>0</v>
      </c>
      <c r="EH78">
        <f>IF(EG78=0,0,1+COUNTIF(EH$3:EH77,"&gt;0"))</f>
        <v>0</v>
      </c>
      <c r="EI78" t="str">
        <f t="shared" si="99"/>
        <v/>
      </c>
      <c r="EJ78" t="str">
        <f t="shared" si="73"/>
        <v/>
      </c>
      <c r="EL78">
        <f t="shared" si="74"/>
        <v>0</v>
      </c>
      <c r="EM78">
        <f>IF(EL78=0,0,1+COUNTIF(EM$3:EM77,"&gt;0"))</f>
        <v>0</v>
      </c>
      <c r="EN78" t="str">
        <f t="shared" si="100"/>
        <v/>
      </c>
      <c r="EO78" t="str">
        <f t="shared" si="75"/>
        <v/>
      </c>
      <c r="EQ78">
        <f t="shared" si="76"/>
        <v>0</v>
      </c>
      <c r="ER78">
        <f>IF(EQ78=0,0,1+COUNTIF(ER$3:ER77,"&gt;0"))</f>
        <v>0</v>
      </c>
      <c r="ES78" t="str">
        <f t="shared" si="101"/>
        <v/>
      </c>
      <c r="ET78" t="str">
        <f t="shared" si="77"/>
        <v/>
      </c>
      <c r="EV78">
        <f t="shared" si="78"/>
        <v>0</v>
      </c>
      <c r="EW78">
        <f>IF(EV78=0,0,1+COUNTIF(EW$3:EW77,"&gt;0"))</f>
        <v>0</v>
      </c>
      <c r="EX78" t="str">
        <f t="shared" si="102"/>
        <v/>
      </c>
      <c r="EY78" t="str">
        <f t="shared" si="79"/>
        <v/>
      </c>
      <c r="FA78">
        <f t="shared" si="80"/>
        <v>0</v>
      </c>
      <c r="FB78">
        <f>IF(FA78=0,0,1+COUNTIF(FB$3:FB77,"&gt;0"))</f>
        <v>0</v>
      </c>
      <c r="FC78" t="str">
        <f t="shared" si="103"/>
        <v/>
      </c>
      <c r="FD78" t="str">
        <f t="shared" si="81"/>
        <v/>
      </c>
      <c r="FF78">
        <f t="shared" si="82"/>
        <v>0</v>
      </c>
      <c r="FG78">
        <f>IF(FF78=0,0,1+COUNTIF(FG$3:FG77,"&gt;0"))</f>
        <v>0</v>
      </c>
      <c r="FH78" t="str">
        <f t="shared" si="104"/>
        <v/>
      </c>
      <c r="FI78" t="str">
        <f t="shared" si="83"/>
        <v/>
      </c>
      <c r="FK78">
        <f t="shared" si="84"/>
        <v>0</v>
      </c>
      <c r="FL78">
        <f>IF(FK78=0,0,1+COUNTIF(FL$3:FL77,"&gt;0"))</f>
        <v>0</v>
      </c>
      <c r="FM78" t="str">
        <f t="shared" si="105"/>
        <v/>
      </c>
      <c r="FN78" t="str">
        <f t="shared" si="85"/>
        <v/>
      </c>
      <c r="FP78">
        <f t="shared" si="86"/>
        <v>0</v>
      </c>
      <c r="FQ78">
        <f>IF(FP78=0,0,1+COUNTIF(FQ$3:FQ77,"&gt;0"))</f>
        <v>0</v>
      </c>
      <c r="FR78" t="str">
        <f t="shared" si="106"/>
        <v/>
      </c>
      <c r="FS78" t="str">
        <f t="shared" si="87"/>
        <v/>
      </c>
    </row>
    <row r="79" spans="1:175" x14ac:dyDescent="0.25">
      <c r="A79" s="347">
        <f t="shared" si="107"/>
        <v>77</v>
      </c>
      <c r="B79" s="348" t="s">
        <v>2443</v>
      </c>
      <c r="C79" s="348">
        <v>2</v>
      </c>
      <c r="D79" s="347">
        <v>2</v>
      </c>
      <c r="E79" s="627" t="s">
        <v>6952</v>
      </c>
      <c r="F79" s="346"/>
      <c r="G79" s="347" t="str">
        <f>""</f>
        <v/>
      </c>
      <c r="H79" s="347" t="s">
        <v>5912</v>
      </c>
      <c r="I79" s="347" t="s">
        <v>5339</v>
      </c>
      <c r="J79" s="347" t="str">
        <f t="shared" si="57"/>
        <v/>
      </c>
      <c r="K79" s="347" t="s">
        <v>5279</v>
      </c>
      <c r="L79" s="611" t="str">
        <f t="shared" si="58"/>
        <v>V, S, M, four or more arrows or bolts</v>
      </c>
      <c r="M79" s="347" t="s">
        <v>2373</v>
      </c>
      <c r="N79" s="347" t="s">
        <v>2387</v>
      </c>
      <c r="O79" s="347" t="s">
        <v>1244</v>
      </c>
      <c r="P79" s="346" t="s">
        <v>5340</v>
      </c>
      <c r="Q79" s="347" t="s">
        <v>5276</v>
      </c>
      <c r="S79" s="346" t="s">
        <v>5643</v>
      </c>
      <c r="T79" s="346" t="str">
        <f t="shared" si="59"/>
        <v xml:space="preserve">Ranger, </v>
      </c>
      <c r="W79" s="347" t="str">
        <f>$B79</f>
        <v>Cordon of Arrows</v>
      </c>
      <c r="AE79" t="str">
        <f>IF(IFERROR(MATCH($B79,temp!A$4:A$13,0),0)&gt;0,T08_Spells!AE$2,"")</f>
        <v/>
      </c>
      <c r="AF79" t="str">
        <f>IF(IFERROR(MATCH($B79,temp!B$4:B$13,0),0)&gt;0,T08_Spells!AF$2,"")</f>
        <v/>
      </c>
      <c r="AG79" t="str">
        <f>IF(IFERROR(MATCH($B79,temp!C$4:C$13,0),0)&gt;0,T08_Spells!AG$2,"")</f>
        <v/>
      </c>
      <c r="AH79" t="str">
        <f>IF(IFERROR(MATCH($B79,temp!D$4:D$13,0),0)&gt;0,T08_Spells!AH$2,"")</f>
        <v/>
      </c>
      <c r="AI79" t="str">
        <f>IF(IFERROR(MATCH($B79,temp!E$4:E$13,0),0)&gt;0,T08_Spells!AI$2,"")</f>
        <v/>
      </c>
      <c r="AJ79" t="str">
        <f>IF(IFERROR(MATCH($B79,temp!F$4:F$13,0),0)&gt;0,T08_Spells!AJ$2,"")</f>
        <v/>
      </c>
      <c r="AK79" t="str">
        <f>IF(IFERROR(MATCH($B79,temp!G$4:G$13,0),0)&gt;0,T08_Spells!AK$2,"")</f>
        <v/>
      </c>
      <c r="AL79" t="str">
        <f>IF(IFERROR(MATCH($B79,temp!H$4:H$13,0),0)&gt;0,T08_Spells!AL$2,"")</f>
        <v/>
      </c>
      <c r="AM79" t="str">
        <f>IF(IFERROR(MATCH($B79,temp!I$4:I$13,0),0)&gt;0,T08_Spells!AM$2,"")</f>
        <v/>
      </c>
      <c r="AN79" t="str">
        <f>IF(IFERROR(MATCH($B79,temp!J$4:J$13,0),0)&gt;0,T08_Spells!AN$2,"")</f>
        <v/>
      </c>
      <c r="AO79" t="str">
        <f>IF(IFERROR(MATCH($B79,temp!K$4:K$13,0),0)&gt;0,T08_Spells!AO$2,"")</f>
        <v/>
      </c>
      <c r="AP79" t="str">
        <f>IF(IFERROR(MATCH($B79,temp!L$4:L$13,0),0)&gt;0,T08_Spells!AP$2,"")</f>
        <v/>
      </c>
      <c r="AQ79" t="str">
        <f>IF(IFERROR(MATCH($B79,temp!M$4:M$13,0),0)&gt;0,T08_Spells!AQ$2,"")</f>
        <v/>
      </c>
      <c r="AR79" t="str">
        <f>IF(IFERROR(MATCH($B79,temp!N$4:N$13,0),0)&gt;0,T08_Spells!AR$2,"")</f>
        <v/>
      </c>
      <c r="AS79" t="str">
        <f>IF(IFERROR(MATCH($B79,temp!O$4:O$13,0),0)&gt;0,T08_Spells!AS$2,"")</f>
        <v/>
      </c>
      <c r="AT79" t="str">
        <f>IF(IFERROR(MATCH($B79,temp!P$4:P$13,0),0)&gt;0,T08_Spells!AT$2,"")</f>
        <v/>
      </c>
      <c r="AU79" t="str">
        <f>IF(IFERROR(MATCH($B79,temp!Q$4:Q$13,0),0)&gt;0,T08_Spells!AU$2,"")</f>
        <v/>
      </c>
      <c r="AV79" t="str">
        <f>IF(IFERROR(MATCH($B79,temp!R$4:R$13,0),0)&gt;0,T08_Spells!AV$2,"")</f>
        <v/>
      </c>
      <c r="AW79" t="str">
        <f>IF(IFERROR(MATCH($B79,temp!S$4:S$13,0),0)&gt;0,T08_Spells!AW$2,"")</f>
        <v/>
      </c>
      <c r="AX79" t="str">
        <f>IF(IFERROR(MATCH($B79,temp!T$4:T$13,0),0)&gt;0,T08_Spells!AX$2,"")</f>
        <v/>
      </c>
      <c r="AY79" t="str">
        <f>IF(IFERROR(MATCH($B79,temp!U$4:U$13,0),0)&gt;0,T08_Spells!AY$2,"")</f>
        <v/>
      </c>
      <c r="AZ79" t="str">
        <f>IF(IFERROR(MATCH($B79,temp!V$4:V$13,0),0)&gt;0,T08_Spells!AZ$2,"")</f>
        <v/>
      </c>
      <c r="BA79" t="str">
        <f>IF(IFERROR(MATCH($B79,temp!W$4:W$13,0),0)&gt;0,T08_Spells!BA$2,"")</f>
        <v/>
      </c>
      <c r="BC79">
        <f>IF(IFERROR(SEARCH("Ranger",$T79,1),0)&gt;0,1,0)*IF(RangerMaxSpellLevel&gt;=$C79,1,0)*IF(IFERROR(MATCH(B79,Character_Creation!$X$79:$X$382,0),0)&gt;0,0,1)</f>
        <v>0</v>
      </c>
      <c r="BD79">
        <f>IF(BC79=0,0,1+COUNTIF(BD$3:BD78,"&gt;0"))</f>
        <v>0</v>
      </c>
      <c r="BE79" t="str">
        <f t="shared" si="88"/>
        <v/>
      </c>
      <c r="BF79" t="str">
        <f t="shared" si="60"/>
        <v/>
      </c>
      <c r="BH79">
        <f>IF(IFERROR(SEARCH("Sorcerer",$T79,1),0)&gt;0,1,0)*IF(SorcererMaxSpellLevel&gt;=$C79,1,0)*IF(IFERROR(MATCH(B79,Character_Creation!$J$380:$J$394,0),0)&gt;0,0,1)</f>
        <v>0</v>
      </c>
      <c r="BI79">
        <f>IF(BH79=0,0,1+COUNTIF(BI$3:BI78,"&gt;0"))</f>
        <v>0</v>
      </c>
      <c r="BJ79" t="str">
        <f t="shared" si="89"/>
        <v/>
      </c>
      <c r="BK79" t="str">
        <f t="shared" si="61"/>
        <v/>
      </c>
      <c r="BM79">
        <f>IF(OR(IFERROR(SEARCH("Warlock",$T79,1),0)&gt;0,IFERROR(SEARCH(WarlockPatron,$T79,1),0)&gt;0),1,0)*IF(WarlockMaxSpellLevel&gt;=$C79,1,0)*IF(IFERROR(MATCH(B79,Character_Creation!$J$361:$J$375,0),0)&gt;0,0,1)</f>
        <v>0</v>
      </c>
      <c r="BN79">
        <f>IF(BM79=0,0,1+COUNTIF(BN$3:BN78,"&gt;0"))</f>
        <v>0</v>
      </c>
      <c r="BO79" t="str">
        <f t="shared" si="90"/>
        <v/>
      </c>
      <c r="BP79" t="str">
        <f t="shared" si="62"/>
        <v/>
      </c>
      <c r="BR79">
        <f>IF(IFERROR(SEARCH("Eldritch Knight",$T79,1),0)&gt;0,1,0)*IF(EldritchKnightMaxSpellLevel&gt;=$C79,1,0)*IF(IFERROR(MATCH($B79,Character_Creation!$J$350:$J$356,0),0)&gt;0,0,1)*IF(Character_Creation!$M$338&gt;0,1,0)</f>
        <v>0</v>
      </c>
      <c r="BS79">
        <f>IF(BR79=0,0,1+COUNTIF(BS$3:BS78,"&gt;0"))</f>
        <v>0</v>
      </c>
      <c r="BT79" t="str">
        <f t="shared" si="91"/>
        <v/>
      </c>
      <c r="BU79" t="str">
        <f t="shared" si="63"/>
        <v/>
      </c>
      <c r="BW79">
        <f>IF(IFERROR(SEARCH("Arcane Trickster",$T79,1),0)&gt;0,1,0)*IF(ArcaneTricksterMaxSpellLevel&gt;=$C79,1,0)*IF(IFERROR(MATCH($B79,Character_Creation!$J$350:$J$356,0),0)&gt;0,0,1)*IF(Character_Creation!$T$338&gt;0,1,0)</f>
        <v>0</v>
      </c>
      <c r="BX79">
        <f>IF(BW79=0,0,1+COUNTIF(BX$3:BX78,"&gt;0"))</f>
        <v>0</v>
      </c>
      <c r="BY79" t="str">
        <f t="shared" si="92"/>
        <v/>
      </c>
      <c r="BZ79" t="str">
        <f t="shared" si="64"/>
        <v/>
      </c>
      <c r="CB79">
        <f>IF(IFERROR(SEARCH("Wizard",$T79,1),0)&gt;0,1,0)*IF(C79&lt;=ArcaneTricksterMaxSpellLevel,1,0)*IF(IFERROR(MATCH($B79,Character_Creation!$J$350:$J$356,0),0)&gt;0,0,1)*IF(Character_Creation!$T$350&gt;0,1,0)</f>
        <v>0</v>
      </c>
      <c r="CC79">
        <f>IF(CB79=0,0,1+COUNTIF(CC$3:CC78,"&gt;0"))</f>
        <v>0</v>
      </c>
      <c r="CD79" t="str">
        <f t="shared" si="93"/>
        <v/>
      </c>
      <c r="CE79" t="str">
        <f t="shared" si="65"/>
        <v/>
      </c>
      <c r="CG79">
        <f>IF(IFERROR(SEARCH("Wizard",$T79,1),0)&gt;0,1,0)*IF($C79&lt;=EldritchKnightMaxSpellLevel,1,0)*IF(IFERROR(MATCH($B79,Character_Creation!$J$350:$J$356,0),0)&gt;0,0,1)*IF(Character_Creation!$M$350&gt;0,1,0)</f>
        <v>0</v>
      </c>
      <c r="CH79">
        <f>IF(CG79=0,0,1+COUNTIF(CH$3:CH78,"&gt;0"))</f>
        <v>0</v>
      </c>
      <c r="CI79" t="str">
        <f t="shared" si="94"/>
        <v/>
      </c>
      <c r="CJ79" t="str">
        <f t="shared" si="66"/>
        <v/>
      </c>
      <c r="CL79">
        <f>IF(IFERROR(SEARCH("Bard",$T79,1),0)&gt;0,1,0)*IF(BardMaxSpellLevel&gt;=$C79,1,0)*IF(IFERROR(MATCH(B79,Character_Creation!$C$341:$F$362,0),0)&gt;0,0,1)*IF(IFERROR(MATCH($B79,Character_Creation!$C$341:$C$362,0),0)&gt;0,0,1)</f>
        <v>0</v>
      </c>
      <c r="CM79">
        <f>IF(CL79=0,0,1+COUNTIF(CM$3:CM78,"&gt;0"))</f>
        <v>0</v>
      </c>
      <c r="CN79" t="str">
        <f t="shared" si="95"/>
        <v/>
      </c>
      <c r="CO79" t="str">
        <f t="shared" si="67"/>
        <v/>
      </c>
      <c r="CQ79">
        <f>IF(IFERROR(SEARCH("Wizard",$T79,1),0)&gt;0,1,0)*IF(WizardMaxSpellLevel&gt;=$C79,1,0)*IF(IFERROR(MATCH(B79,Character_Creation!$X$341:$X$400,0),0)&gt;0,0,1)*IF(SelectedWizardSpellLevel=$C79,1,0)</f>
        <v>0</v>
      </c>
      <c r="CR79">
        <f>IF(CQ79=0,0,1+COUNTIF(CR$3:CR78,"&gt;0"))</f>
        <v>0</v>
      </c>
      <c r="CS79" t="str">
        <f t="shared" si="96"/>
        <v/>
      </c>
      <c r="CT79" t="str">
        <f t="shared" si="68"/>
        <v/>
      </c>
      <c r="CV79">
        <f>IF(IFERROR(MATCH($B79,Character_Creation!$C$341:$C$362,0),0)&gt;0,0,1)*IF(OR(C79="Cantrip",C79&lt;=BardMaxSpellLevel),1,0)*IF(IFERROR(MATCH($B79,Character_Creation!$C$367:$C$374,0),0)&gt;0,0,1)</f>
        <v>0</v>
      </c>
      <c r="CW79">
        <f>IF(CV79=0,0,1+COUNTIF(CW$3:CW78,"&gt;0"))</f>
        <v>0</v>
      </c>
      <c r="CX79" t="str">
        <f t="shared" si="97"/>
        <v/>
      </c>
      <c r="CY79" t="str">
        <f t="shared" si="69"/>
        <v/>
      </c>
      <c r="DA79">
        <f>IF(IF(OR(IFERROR(SEARCH("Cleric",$T79,1),0)&gt;0,IFERROR(SEARCH(DivineDomain&amp;",",$T79,1),0)&gt;0),1,0)*IF($C79=DA$2,1,0)=1,1+COUNTIF(DA$3:DA78,"&gt;0"),0)</f>
        <v>0</v>
      </c>
      <c r="DB79">
        <f>IF(IF(OR(IFERROR(SEARCH("Cleric",$T79,1),0)&gt;0,IFERROR(SEARCH(DivineDomain&amp;",",$T79,1),0)&gt;0),1,0)*IF($C79=DB$2,1,0)=1,1+COUNTIF(DB$3:DB78,"&gt;0"),0)</f>
        <v>0</v>
      </c>
      <c r="DC79">
        <f>IF(IF(OR(IFERROR(SEARCH("Cleric",$T79,1),0)&gt;0,IFERROR(SEARCH(DivineDomain&amp;",",$T79,1),0)&gt;0),1,0)*IF($C79=DC$2,1,0)=1,1+COUNTIF(DC$3:DC78,"&gt;0"),0)</f>
        <v>0</v>
      </c>
      <c r="DD79">
        <f>IF(IF(OR(IFERROR(SEARCH("Cleric",$T79,1),0)&gt;0,IFERROR(SEARCH(DivineDomain&amp;",",$T79,1),0)&gt;0),1,0)*IF($C79=DD$2,1,0)=1,1+COUNTIF(DD$3:DD78,"&gt;0"),0)</f>
        <v>0</v>
      </c>
      <c r="DE79">
        <f>IF(IF(OR(IFERROR(SEARCH("Cleric",$T79,1),0)&gt;0,IFERROR(SEARCH(DivineDomain&amp;",",$T79,1),0)&gt;0),1,0)*IF($C79=DE$2,1,0)=1,1+COUNTIF(DE$3:DE78,"&gt;0"),0)</f>
        <v>0</v>
      </c>
      <c r="DF79">
        <f>IF(IF(OR(IFERROR(SEARCH("Cleric",$T79,1),0)&gt;0,IFERROR(SEARCH(DivineDomain&amp;",",$T79,1),0)&gt;0),1,0)*IF($C79=DF$2,1,0)=1,1+COUNTIF(DF$3:DF78,"&gt;0"),0)</f>
        <v>0</v>
      </c>
      <c r="DG79">
        <f>IF(IF(OR(IFERROR(SEARCH("Cleric",$T79,1),0)&gt;0,IFERROR(SEARCH(DivineDomain&amp;",",$T79,1),0)&gt;0),1,0)*IF($C79=DG$2,1,0)=1,1+COUNTIF(DG$3:DG78,"&gt;0"),0)</f>
        <v>0</v>
      </c>
      <c r="DH79">
        <f>IF(IF(OR(IFERROR(SEARCH("Cleric",$T79,1),0)&gt;0,IFERROR(SEARCH(DivineDomain&amp;",",$T79,1),0)&gt;0),1,0)*IF($C79=DH$2,1,0)=1,1+COUNTIF(DH$3:DH78,"&gt;0"),0)</f>
        <v>0</v>
      </c>
      <c r="DI79">
        <f>IF(IF(OR(IFERROR(SEARCH("Cleric",$T79,1),0)&gt;0,IFERROR(SEARCH(DivineDomain&amp;",",$T79,1),0)&gt;0),1,0)*IF($C79=DI$2,1,0)=1,1+COUNTIF(DI$3:DI78,"&gt;0"),0)</f>
        <v>0</v>
      </c>
      <c r="DJ79">
        <f>IF(IF(OR(IFERROR(SEARCH("Druid",$T79,1),0)&gt;0,IFERROR(SEARCH(DruidLand1,$T79,1),0)&gt;0,IFERROR(SEARCH(DruidLand2,$T79,1),0)&gt;0,IFERROR(SEARCH(DruidLand3,$T79,1),0)&gt;0,IFERROR(SEARCH(DruidLand4,$T79,1),0)&gt;0),1,0)*IF($C79=1,1,0)*IF($C79=DJ$2,1,0)=0,0,1+COUNTIF(DJ$3:DJ78,"&gt;0"))</f>
        <v>0</v>
      </c>
      <c r="DK79">
        <f>IF(IF(OR(IFERROR(SEARCH("Druid",$T79,1),0)&gt;0,IFERROR(SEARCH(DruidLand1,$T79,1),0)&gt;0,IFERROR(SEARCH(DruidLand2,$T79,1),0)&gt;0,IFERROR(SEARCH(DruidLand3,$T79,1),0)&gt;0,IFERROR(SEARCH(DruidLand4,$T79,1),0)&gt;0),1,0)*IF($C79=1,1,0)*IF($C79=DK$2,1,0)=0,0,1+COUNTIF(DK$3:DK78,"&gt;0"))</f>
        <v>0</v>
      </c>
      <c r="DL79">
        <f>IF(IF(OR(IFERROR(SEARCH("Druid",$T79,1),0)&gt;0,IFERROR(SEARCH(DruidLand1,$T79,1),0)&gt;0,IFERROR(SEARCH(DruidLand2,$T79,1),0)&gt;0,IFERROR(SEARCH(DruidLand3,$T79,1),0)&gt;0,IFERROR(SEARCH(DruidLand4,$T79,1),0)&gt;0),1,0)*IF($C79=1,1,0)*IF($C79=DL$2,1,0)=0,0,1+COUNTIF(DL$3:DL78,"&gt;0"))</f>
        <v>0</v>
      </c>
      <c r="DM79">
        <f>IF(IF(OR(IFERROR(SEARCH("Druid",$T79,1),0)&gt;0,IFERROR(SEARCH(DruidLand1,$T79,1),0)&gt;0,IFERROR(SEARCH(DruidLand2,$T79,1),0)&gt;0,IFERROR(SEARCH(DruidLand3,$T79,1),0)&gt;0,IFERROR(SEARCH(DruidLand4,$T79,1),0)&gt;0),1,0)*IF($C79=1,1,0)*IF($C79=DM$2,1,0)=0,0,1+COUNTIF(DM$3:DM78,"&gt;0"))</f>
        <v>0</v>
      </c>
      <c r="DN79">
        <f>IF(IF(OR(IFERROR(SEARCH("Druid",$T79,1),0)&gt;0,IFERROR(SEARCH(DruidLand1,$T79,1),0)&gt;0,IFERROR(SEARCH(DruidLand2,$T79,1),0)&gt;0,IFERROR(SEARCH(DruidLand3,$T79,1),0)&gt;0,IFERROR(SEARCH(DruidLand4,$T79,1),0)&gt;0),1,0)*IF($C79=1,1,0)*IF($C79=DN$2,1,0)=0,0,1+COUNTIF(DN$3:DN78,"&gt;0"))</f>
        <v>0</v>
      </c>
      <c r="DO79">
        <f>IF(IF(OR(IFERROR(SEARCH("Druid",$T79,1),0)&gt;0,IFERROR(SEARCH(DruidLand1,$T79,1),0)&gt;0,IFERROR(SEARCH(DruidLand2,$T79,1),0)&gt;0,IFERROR(SEARCH(DruidLand3,$T79,1),0)&gt;0,IFERROR(SEARCH(DruidLand4,$T79,1),0)&gt;0),1,0)*IF($C79=1,1,0)*IF($C79=DO$2,1,0)=0,0,1+COUNTIF(DO$3:DO78,"&gt;0"))</f>
        <v>0</v>
      </c>
      <c r="DP79">
        <f>IF(IF(OR(IFERROR(SEARCH("Druid",$T79,1),0)&gt;0,IFERROR(SEARCH(DruidLand1,$T79,1),0)&gt;0,IFERROR(SEARCH(DruidLand2,$T79,1),0)&gt;0,IFERROR(SEARCH(DruidLand3,$T79,1),0)&gt;0,IFERROR(SEARCH(DruidLand4,$T79,1),0)&gt;0),1,0)*IF($C79=1,1,0)*IF($C79=DP$2,1,0)=0,0,1+COUNTIF(DP$3:DP78,"&gt;0"))</f>
        <v>0</v>
      </c>
      <c r="DQ79">
        <f>IF(IF(OR(IFERROR(SEARCH("Druid",$T79,1),0)&gt;0,IFERROR(SEARCH(DruidLand1,$T79,1),0)&gt;0,IFERROR(SEARCH(DruidLand2,$T79,1),0)&gt;0,IFERROR(SEARCH(DruidLand3,$T79,1),0)&gt;0,IFERROR(SEARCH(DruidLand4,$T79,1),0)&gt;0),1,0)*IF($C79=1,1,0)*IF($C79=DQ$2,1,0)=0,0,1+COUNTIF(DQ$3:DQ78,"&gt;0"))</f>
        <v>0</v>
      </c>
      <c r="DR79">
        <f>IF(IF(OR(IFERROR(SEARCH("Druid",$T79,1),0)&gt;0,IFERROR(SEARCH(DruidLand1,$T79,1),0)&gt;0,IFERROR(SEARCH(DruidLand2,$T79,1),0)&gt;0,IFERROR(SEARCH(DruidLand3,$T79,1),0)&gt;0,IFERROR(SEARCH(DruidLand4,$T79,1),0)&gt;0),1,0)*IF($C79=1,1,0)*IF($C79=DR$2,1,0)=0,0,1+COUNTIF(DR$3:DR78,"&gt;0"))</f>
        <v>0</v>
      </c>
      <c r="DS79">
        <f>IF(IF(OR(IFERROR(SEARCH("Paladin",$T79,1),0)&gt;0,IFERROR(SEARCH(PaladinOath,$T79,1),0)&gt;0),1,0)*IF($C79=DS$2,1,0)=1,1+COUNTIF(DS$3:DS78,"&gt;0"),0)</f>
        <v>0</v>
      </c>
      <c r="DT79">
        <f>IF(IF(OR(IFERROR(SEARCH("Paladin",$T79,1),0)&gt;0,IFERROR(SEARCH(PaladinOath,$T79,1),0)&gt;0),1,0)*IF($C79=DT$2,1,0)=1,1+COUNTIF(DT$3:DT78,"&gt;0"),0)</f>
        <v>0</v>
      </c>
      <c r="DU79">
        <f>IF(IF(OR(IFERROR(SEARCH("Paladin",$T79,1),0)&gt;0,IFERROR(SEARCH(PaladinOath,$T79,1),0)&gt;0),1,0)*IF($C79=DU$2,1,0)=1,1+COUNTIF(DU$3:DU78,"&gt;0"),0)</f>
        <v>0</v>
      </c>
      <c r="DV79">
        <f>IF(IF(OR(IFERROR(SEARCH("Paladin",$T79,1),0)&gt;0,IFERROR(SEARCH(PaladinOath,$T79,1),0)&gt;0),1,0)*IF($C79=DV$2,1,0)=1,1+COUNTIF(DV$3:DV78,"&gt;0"),0)</f>
        <v>0</v>
      </c>
      <c r="DW79">
        <f>IF(IF(OR(IFERROR(SEARCH("Paladin",$T79,1),0)&gt;0,IFERROR(SEARCH(PaladinOath,$T79,1),0)&gt;0),1,0)*IF($C79=DW$2,1,0)=1,1+COUNTIF(DW$3:DW78,"&gt;0"),0)</f>
        <v>0</v>
      </c>
      <c r="DY79">
        <f t="shared" si="56"/>
        <v>1</v>
      </c>
      <c r="DZ79">
        <f>IF(DY79=0,0,1+MAX(DZ$3:$DZ78))</f>
        <v>77</v>
      </c>
      <c r="EB79">
        <f t="shared" si="70"/>
        <v>0</v>
      </c>
      <c r="EC79">
        <f>IF(EB79=0,0,1+COUNTIF(EC$3:EC78,"&gt;0"))</f>
        <v>0</v>
      </c>
      <c r="ED79" t="str">
        <f t="shared" si="98"/>
        <v/>
      </c>
      <c r="EE79" t="str">
        <f t="shared" si="71"/>
        <v/>
      </c>
      <c r="EG79">
        <f t="shared" si="72"/>
        <v>0</v>
      </c>
      <c r="EH79">
        <f>IF(EG79=0,0,1+COUNTIF(EH$3:EH78,"&gt;0"))</f>
        <v>0</v>
      </c>
      <c r="EI79" t="str">
        <f t="shared" si="99"/>
        <v/>
      </c>
      <c r="EJ79" t="str">
        <f t="shared" si="73"/>
        <v/>
      </c>
      <c r="EL79">
        <f t="shared" si="74"/>
        <v>0</v>
      </c>
      <c r="EM79">
        <f>IF(EL79=0,0,1+COUNTIF(EM$3:EM78,"&gt;0"))</f>
        <v>0</v>
      </c>
      <c r="EN79" t="str">
        <f t="shared" si="100"/>
        <v/>
      </c>
      <c r="EO79" t="str">
        <f t="shared" si="75"/>
        <v/>
      </c>
      <c r="EQ79">
        <f t="shared" si="76"/>
        <v>0</v>
      </c>
      <c r="ER79">
        <f>IF(EQ79=0,0,1+COUNTIF(ER$3:ER78,"&gt;0"))</f>
        <v>0</v>
      </c>
      <c r="ES79" t="str">
        <f t="shared" si="101"/>
        <v/>
      </c>
      <c r="ET79" t="str">
        <f t="shared" si="77"/>
        <v/>
      </c>
      <c r="EV79">
        <f t="shared" si="78"/>
        <v>0</v>
      </c>
      <c r="EW79">
        <f>IF(EV79=0,0,1+COUNTIF(EW$3:EW78,"&gt;0"))</f>
        <v>0</v>
      </c>
      <c r="EX79" t="str">
        <f t="shared" si="102"/>
        <v/>
      </c>
      <c r="EY79" t="str">
        <f t="shared" si="79"/>
        <v/>
      </c>
      <c r="FA79">
        <f t="shared" si="80"/>
        <v>0</v>
      </c>
      <c r="FB79">
        <f>IF(FA79=0,0,1+COUNTIF(FB$3:FB78,"&gt;0"))</f>
        <v>0</v>
      </c>
      <c r="FC79" t="str">
        <f t="shared" si="103"/>
        <v/>
      </c>
      <c r="FD79" t="str">
        <f t="shared" si="81"/>
        <v/>
      </c>
      <c r="FF79">
        <f t="shared" si="82"/>
        <v>0</v>
      </c>
      <c r="FG79">
        <f>IF(FF79=0,0,1+COUNTIF(FG$3:FG78,"&gt;0"))</f>
        <v>0</v>
      </c>
      <c r="FH79" t="str">
        <f t="shared" si="104"/>
        <v/>
      </c>
      <c r="FI79" t="str">
        <f t="shared" si="83"/>
        <v/>
      </c>
      <c r="FK79">
        <f t="shared" si="84"/>
        <v>0</v>
      </c>
      <c r="FL79">
        <f>IF(FK79=0,0,1+COUNTIF(FL$3:FL78,"&gt;0"))</f>
        <v>0</v>
      </c>
      <c r="FM79" t="str">
        <f t="shared" si="105"/>
        <v/>
      </c>
      <c r="FN79" t="str">
        <f t="shared" si="85"/>
        <v/>
      </c>
      <c r="FP79">
        <f t="shared" si="86"/>
        <v>0</v>
      </c>
      <c r="FQ79">
        <f>IF(FP79=0,0,1+COUNTIF(FQ$3:FQ78,"&gt;0"))</f>
        <v>0</v>
      </c>
      <c r="FR79" t="str">
        <f t="shared" si="106"/>
        <v/>
      </c>
      <c r="FS79" t="str">
        <f t="shared" si="87"/>
        <v/>
      </c>
    </row>
    <row r="80" spans="1:175" x14ac:dyDescent="0.25">
      <c r="A80" s="347">
        <f t="shared" si="107"/>
        <v>78</v>
      </c>
      <c r="B80" s="348" t="s">
        <v>2444</v>
      </c>
      <c r="C80" s="348">
        <v>3</v>
      </c>
      <c r="D80" s="347">
        <v>3</v>
      </c>
      <c r="E80" s="627" t="s">
        <v>6952</v>
      </c>
      <c r="F80" s="346"/>
      <c r="G80" s="347" t="str">
        <f>""</f>
        <v/>
      </c>
      <c r="H80" s="347" t="s">
        <v>5341</v>
      </c>
      <c r="I80" s="347" t="s">
        <v>424</v>
      </c>
      <c r="J80" s="347" t="str">
        <f t="shared" si="57"/>
        <v/>
      </c>
      <c r="K80" s="347" t="s">
        <v>5278</v>
      </c>
      <c r="L80" s="611" t="str">
        <f t="shared" si="58"/>
        <v>S</v>
      </c>
      <c r="M80" s="347" t="s">
        <v>3034</v>
      </c>
      <c r="N80" s="347" t="s">
        <v>2387</v>
      </c>
      <c r="O80" s="347" t="s">
        <v>3034</v>
      </c>
      <c r="P80" s="346" t="str">
        <f>""</f>
        <v/>
      </c>
      <c r="Q80" s="347" t="s">
        <v>5270</v>
      </c>
      <c r="S80" s="346" t="s">
        <v>5644</v>
      </c>
      <c r="T80" s="346" t="str">
        <f t="shared" si="59"/>
        <v xml:space="preserve">Sorcerer, Warlock, Eldritch Knight, Wizard, </v>
      </c>
      <c r="X80" s="347" t="str">
        <f>$B80</f>
        <v>Counterspell</v>
      </c>
      <c r="Y80" s="347" t="str">
        <f>$B80</f>
        <v>Counterspell</v>
      </c>
      <c r="AB80" s="542" t="str">
        <f>AD80</f>
        <v>Counterspell</v>
      </c>
      <c r="AD80" s="347" t="str">
        <f>$B80</f>
        <v>Counterspell</v>
      </c>
      <c r="AE80" t="str">
        <f>IF(IFERROR(MATCH($B80,temp!A$4:A$13,0),0)&gt;0,T08_Spells!AE$2,"")</f>
        <v/>
      </c>
      <c r="AF80" t="str">
        <f>IF(IFERROR(MATCH($B80,temp!B$4:B$13,0),0)&gt;0,T08_Spells!AF$2,"")</f>
        <v/>
      </c>
      <c r="AG80" t="str">
        <f>IF(IFERROR(MATCH($B80,temp!C$4:C$13,0),0)&gt;0,T08_Spells!AG$2,"")</f>
        <v/>
      </c>
      <c r="AH80" t="str">
        <f>IF(IFERROR(MATCH($B80,temp!D$4:D$13,0),0)&gt;0,T08_Spells!AH$2,"")</f>
        <v/>
      </c>
      <c r="AI80" t="str">
        <f>IF(IFERROR(MATCH($B80,temp!E$4:E$13,0),0)&gt;0,T08_Spells!AI$2,"")</f>
        <v/>
      </c>
      <c r="AJ80" t="str">
        <f>IF(IFERROR(MATCH($B80,temp!F$4:F$13,0),0)&gt;0,T08_Spells!AJ$2,"")</f>
        <v/>
      </c>
      <c r="AK80" t="str">
        <f>IF(IFERROR(MATCH($B80,temp!G$4:G$13,0),0)&gt;0,T08_Spells!AK$2,"")</f>
        <v/>
      </c>
      <c r="AL80" t="str">
        <f>IF(IFERROR(MATCH($B80,temp!H$4:H$13,0),0)&gt;0,T08_Spells!AL$2,"")</f>
        <v/>
      </c>
      <c r="AM80" t="str">
        <f>IF(IFERROR(MATCH($B80,temp!I$4:I$13,0),0)&gt;0,T08_Spells!AM$2,"")</f>
        <v/>
      </c>
      <c r="AN80" t="str">
        <f>IF(IFERROR(MATCH($B80,temp!J$4:J$13,0),0)&gt;0,T08_Spells!AN$2,"")</f>
        <v/>
      </c>
      <c r="AO80" t="str">
        <f>IF(IFERROR(MATCH($B80,temp!K$4:K$13,0),0)&gt;0,T08_Spells!AO$2,"")</f>
        <v/>
      </c>
      <c r="AP80" t="str">
        <f>IF(IFERROR(MATCH($B80,temp!L$4:L$13,0),0)&gt;0,T08_Spells!AP$2,"")</f>
        <v/>
      </c>
      <c r="AQ80" t="str">
        <f>IF(IFERROR(MATCH($B80,temp!M$4:M$13,0),0)&gt;0,T08_Spells!AQ$2,"")</f>
        <v/>
      </c>
      <c r="AR80" t="str">
        <f>IF(IFERROR(MATCH($B80,temp!N$4:N$13,0),0)&gt;0,T08_Spells!AR$2,"")</f>
        <v/>
      </c>
      <c r="AS80" t="str">
        <f>IF(IFERROR(MATCH($B80,temp!O$4:O$13,0),0)&gt;0,T08_Spells!AS$2,"")</f>
        <v/>
      </c>
      <c r="AT80" t="str">
        <f>IF(IFERROR(MATCH($B80,temp!P$4:P$13,0),0)&gt;0,T08_Spells!AT$2,"")</f>
        <v/>
      </c>
      <c r="AU80" t="str">
        <f>IF(IFERROR(MATCH($B80,temp!Q$4:Q$13,0),0)&gt;0,T08_Spells!AU$2,"")</f>
        <v/>
      </c>
      <c r="AV80" t="str">
        <f>IF(IFERROR(MATCH($B80,temp!R$4:R$13,0),0)&gt;0,T08_Spells!AV$2,"")</f>
        <v/>
      </c>
      <c r="AW80" t="str">
        <f>IF(IFERROR(MATCH($B80,temp!S$4:S$13,0),0)&gt;0,T08_Spells!AW$2,"")</f>
        <v/>
      </c>
      <c r="AX80" t="str">
        <f>IF(IFERROR(MATCH($B80,temp!T$4:T$13,0),0)&gt;0,T08_Spells!AX$2,"")</f>
        <v/>
      </c>
      <c r="AY80" t="str">
        <f>IF(IFERROR(MATCH($B80,temp!U$4:U$13,0),0)&gt;0,T08_Spells!AY$2,"")</f>
        <v/>
      </c>
      <c r="AZ80" t="str">
        <f>IF(IFERROR(MATCH($B80,temp!V$4:V$13,0),0)&gt;0,T08_Spells!AZ$2,"")</f>
        <v/>
      </c>
      <c r="BA80" t="str">
        <f>IF(IFERROR(MATCH($B80,temp!W$4:W$13,0),0)&gt;0,T08_Spells!BA$2,"")</f>
        <v/>
      </c>
      <c r="BC80">
        <f>IF(IFERROR(SEARCH("Ranger",$T80,1),0)&gt;0,1,0)*IF(RangerMaxSpellLevel&gt;=$C80,1,0)*IF(IFERROR(MATCH(B80,Character_Creation!$X$79:$X$382,0),0)&gt;0,0,1)</f>
        <v>0</v>
      </c>
      <c r="BD80">
        <f>IF(BC80=0,0,1+COUNTIF(BD$3:BD79,"&gt;0"))</f>
        <v>0</v>
      </c>
      <c r="BE80" t="str">
        <f t="shared" si="88"/>
        <v/>
      </c>
      <c r="BF80" t="str">
        <f t="shared" si="60"/>
        <v/>
      </c>
      <c r="BH80">
        <f>IF(IFERROR(SEARCH("Sorcerer",$T80,1),0)&gt;0,1,0)*IF(SorcererMaxSpellLevel&gt;=$C80,1,0)*IF(IFERROR(MATCH(B80,Character_Creation!$J$380:$J$394,0),0)&gt;0,0,1)</f>
        <v>0</v>
      </c>
      <c r="BI80">
        <f>IF(BH80=0,0,1+COUNTIF(BI$3:BI79,"&gt;0"))</f>
        <v>0</v>
      </c>
      <c r="BJ80" t="str">
        <f t="shared" si="89"/>
        <v/>
      </c>
      <c r="BK80" t="str">
        <f t="shared" si="61"/>
        <v/>
      </c>
      <c r="BM80">
        <f>IF(OR(IFERROR(SEARCH("Warlock",$T80,1),0)&gt;0,IFERROR(SEARCH(WarlockPatron,$T80,1),0)&gt;0),1,0)*IF(WarlockMaxSpellLevel&gt;=$C80,1,0)*IF(IFERROR(MATCH(B80,Character_Creation!$J$361:$J$375,0),0)&gt;0,0,1)</f>
        <v>0</v>
      </c>
      <c r="BN80">
        <f>IF(BM80=0,0,1+COUNTIF(BN$3:BN79,"&gt;0"))</f>
        <v>0</v>
      </c>
      <c r="BO80" t="str">
        <f t="shared" si="90"/>
        <v/>
      </c>
      <c r="BP80" t="str">
        <f t="shared" si="62"/>
        <v/>
      </c>
      <c r="BR80">
        <f>IF(IFERROR(SEARCH("Eldritch Knight",$T80,1),0)&gt;0,1,0)*IF(EldritchKnightMaxSpellLevel&gt;=$C80,1,0)*IF(IFERROR(MATCH($B80,Character_Creation!$J$350:$J$356,0),0)&gt;0,0,1)*IF(Character_Creation!$M$338&gt;0,1,0)</f>
        <v>0</v>
      </c>
      <c r="BS80">
        <f>IF(BR80=0,0,1+COUNTIF(BS$3:BS79,"&gt;0"))</f>
        <v>0</v>
      </c>
      <c r="BT80" t="str">
        <f t="shared" si="91"/>
        <v/>
      </c>
      <c r="BU80" t="str">
        <f t="shared" si="63"/>
        <v/>
      </c>
      <c r="BW80">
        <f>IF(IFERROR(SEARCH("Arcane Trickster",$T80,1),0)&gt;0,1,0)*IF(ArcaneTricksterMaxSpellLevel&gt;=$C80,1,0)*IF(IFERROR(MATCH($B80,Character_Creation!$J$350:$J$356,0),0)&gt;0,0,1)*IF(Character_Creation!$T$338&gt;0,1,0)</f>
        <v>0</v>
      </c>
      <c r="BX80">
        <f>IF(BW80=0,0,1+COUNTIF(BX$3:BX79,"&gt;0"))</f>
        <v>0</v>
      </c>
      <c r="BY80" t="str">
        <f t="shared" si="92"/>
        <v/>
      </c>
      <c r="BZ80" t="str">
        <f t="shared" si="64"/>
        <v/>
      </c>
      <c r="CB80">
        <f>IF(IFERROR(SEARCH("Wizard",$T80,1),0)&gt;0,1,0)*IF(C80&lt;=ArcaneTricksterMaxSpellLevel,1,0)*IF(IFERROR(MATCH($B80,Character_Creation!$J$350:$J$356,0),0)&gt;0,0,1)*IF(Character_Creation!$T$350&gt;0,1,0)</f>
        <v>0</v>
      </c>
      <c r="CC80">
        <f>IF(CB80=0,0,1+COUNTIF(CC$3:CC79,"&gt;0"))</f>
        <v>0</v>
      </c>
      <c r="CD80" t="str">
        <f t="shared" si="93"/>
        <v/>
      </c>
      <c r="CE80" t="str">
        <f t="shared" si="65"/>
        <v/>
      </c>
      <c r="CG80">
        <f>IF(IFERROR(SEARCH("Wizard",$T80,1),0)&gt;0,1,0)*IF($C80&lt;=EldritchKnightMaxSpellLevel,1,0)*IF(IFERROR(MATCH($B80,Character_Creation!$J$350:$J$356,0),0)&gt;0,0,1)*IF(Character_Creation!$M$350&gt;0,1,0)</f>
        <v>0</v>
      </c>
      <c r="CH80">
        <f>IF(CG80=0,0,1+COUNTIF(CH$3:CH79,"&gt;0"))</f>
        <v>0</v>
      </c>
      <c r="CI80" t="str">
        <f t="shared" si="94"/>
        <v/>
      </c>
      <c r="CJ80" t="str">
        <f t="shared" si="66"/>
        <v/>
      </c>
      <c r="CL80">
        <f>IF(IFERROR(SEARCH("Bard",$T80,1),0)&gt;0,1,0)*IF(BardMaxSpellLevel&gt;=$C80,1,0)*IF(IFERROR(MATCH(B80,Character_Creation!$C$341:$F$362,0),0)&gt;0,0,1)*IF(IFERROR(MATCH($B80,Character_Creation!$C$341:$C$362,0),0)&gt;0,0,1)</f>
        <v>0</v>
      </c>
      <c r="CM80">
        <f>IF(CL80=0,0,1+COUNTIF(CM$3:CM79,"&gt;0"))</f>
        <v>0</v>
      </c>
      <c r="CN80" t="str">
        <f t="shared" si="95"/>
        <v/>
      </c>
      <c r="CO80" t="str">
        <f t="shared" si="67"/>
        <v/>
      </c>
      <c r="CQ80">
        <f>IF(IFERROR(SEARCH("Wizard",$T80,1),0)&gt;0,1,0)*IF(WizardMaxSpellLevel&gt;=$C80,1,0)*IF(IFERROR(MATCH(B80,Character_Creation!$X$341:$X$400,0),0)&gt;0,0,1)*IF(SelectedWizardSpellLevel=$C80,1,0)</f>
        <v>1</v>
      </c>
      <c r="CR80">
        <f>IF(CQ80=0,0,1+COUNTIF(CR$3:CR79,"&gt;0"))</f>
        <v>5</v>
      </c>
      <c r="CS80" t="str">
        <f t="shared" si="96"/>
        <v/>
      </c>
      <c r="CT80" t="str">
        <f t="shared" si="68"/>
        <v/>
      </c>
      <c r="CV80">
        <f>IF(IFERROR(MATCH($B80,Character_Creation!$C$341:$C$362,0),0)&gt;0,0,1)*IF(OR(C80="Cantrip",C80&lt;=BardMaxSpellLevel),1,0)*IF(IFERROR(MATCH($B80,Character_Creation!$C$367:$C$374,0),0)&gt;0,0,1)</f>
        <v>0</v>
      </c>
      <c r="CW80">
        <f>IF(CV80=0,0,1+COUNTIF(CW$3:CW79,"&gt;0"))</f>
        <v>0</v>
      </c>
      <c r="CX80" t="str">
        <f t="shared" si="97"/>
        <v/>
      </c>
      <c r="CY80" t="str">
        <f t="shared" si="69"/>
        <v/>
      </c>
      <c r="DA80">
        <f>IF(IF(OR(IFERROR(SEARCH("Cleric",$T80,1),0)&gt;0,IFERROR(SEARCH(DivineDomain&amp;",",$T80,1),0)&gt;0),1,0)*IF($C80=DA$2,1,0)=1,1+COUNTIF(DA$3:DA79,"&gt;0"),0)</f>
        <v>0</v>
      </c>
      <c r="DB80">
        <f>IF(IF(OR(IFERROR(SEARCH("Cleric",$T80,1),0)&gt;0,IFERROR(SEARCH(DivineDomain&amp;",",$T80,1),0)&gt;0),1,0)*IF($C80=DB$2,1,0)=1,1+COUNTIF(DB$3:DB79,"&gt;0"),0)</f>
        <v>0</v>
      </c>
      <c r="DC80">
        <f>IF(IF(OR(IFERROR(SEARCH("Cleric",$T80,1),0)&gt;0,IFERROR(SEARCH(DivineDomain&amp;",",$T80,1),0)&gt;0),1,0)*IF($C80=DC$2,1,0)=1,1+COUNTIF(DC$3:DC79,"&gt;0"),0)</f>
        <v>0</v>
      </c>
      <c r="DD80">
        <f>IF(IF(OR(IFERROR(SEARCH("Cleric",$T80,1),0)&gt;0,IFERROR(SEARCH(DivineDomain&amp;",",$T80,1),0)&gt;0),1,0)*IF($C80=DD$2,1,0)=1,1+COUNTIF(DD$3:DD79,"&gt;0"),0)</f>
        <v>0</v>
      </c>
      <c r="DE80">
        <f>IF(IF(OR(IFERROR(SEARCH("Cleric",$T80,1),0)&gt;0,IFERROR(SEARCH(DivineDomain&amp;",",$T80,1),0)&gt;0),1,0)*IF($C80=DE$2,1,0)=1,1+COUNTIF(DE$3:DE79,"&gt;0"),0)</f>
        <v>0</v>
      </c>
      <c r="DF80">
        <f>IF(IF(OR(IFERROR(SEARCH("Cleric",$T80,1),0)&gt;0,IFERROR(SEARCH(DivineDomain&amp;",",$T80,1),0)&gt;0),1,0)*IF($C80=DF$2,1,0)=1,1+COUNTIF(DF$3:DF79,"&gt;0"),0)</f>
        <v>0</v>
      </c>
      <c r="DG80">
        <f>IF(IF(OR(IFERROR(SEARCH("Cleric",$T80,1),0)&gt;0,IFERROR(SEARCH(DivineDomain&amp;",",$T80,1),0)&gt;0),1,0)*IF($C80=DG$2,1,0)=1,1+COUNTIF(DG$3:DG79,"&gt;0"),0)</f>
        <v>0</v>
      </c>
      <c r="DH80">
        <f>IF(IF(OR(IFERROR(SEARCH("Cleric",$T80,1),0)&gt;0,IFERROR(SEARCH(DivineDomain&amp;",",$T80,1),0)&gt;0),1,0)*IF($C80=DH$2,1,0)=1,1+COUNTIF(DH$3:DH79,"&gt;0"),0)</f>
        <v>0</v>
      </c>
      <c r="DI80">
        <f>IF(IF(OR(IFERROR(SEARCH("Cleric",$T80,1),0)&gt;0,IFERROR(SEARCH(DivineDomain&amp;",",$T80,1),0)&gt;0),1,0)*IF($C80=DI$2,1,0)=1,1+COUNTIF(DI$3:DI79,"&gt;0"),0)</f>
        <v>0</v>
      </c>
      <c r="DJ80">
        <f>IF(IF(OR(IFERROR(SEARCH("Druid",$T80,1),0)&gt;0,IFERROR(SEARCH(DruidLand1,$T80,1),0)&gt;0,IFERROR(SEARCH(DruidLand2,$T80,1),0)&gt;0,IFERROR(SEARCH(DruidLand3,$T80,1),0)&gt;0,IFERROR(SEARCH(DruidLand4,$T80,1),0)&gt;0),1,0)*IF($C80=1,1,0)*IF($C80=DJ$2,1,0)=0,0,1+COUNTIF(DJ$3:DJ79,"&gt;0"))</f>
        <v>0</v>
      </c>
      <c r="DK80">
        <f>IF(IF(OR(IFERROR(SEARCH("Druid",$T80,1),0)&gt;0,IFERROR(SEARCH(DruidLand1,$T80,1),0)&gt;0,IFERROR(SEARCH(DruidLand2,$T80,1),0)&gt;0,IFERROR(SEARCH(DruidLand3,$T80,1),0)&gt;0,IFERROR(SEARCH(DruidLand4,$T80,1),0)&gt;0),1,0)*IF($C80=1,1,0)*IF($C80=DK$2,1,0)=0,0,1+COUNTIF(DK$3:DK79,"&gt;0"))</f>
        <v>0</v>
      </c>
      <c r="DL80">
        <f>IF(IF(OR(IFERROR(SEARCH("Druid",$T80,1),0)&gt;0,IFERROR(SEARCH(DruidLand1,$T80,1),0)&gt;0,IFERROR(SEARCH(DruidLand2,$T80,1),0)&gt;0,IFERROR(SEARCH(DruidLand3,$T80,1),0)&gt;0,IFERROR(SEARCH(DruidLand4,$T80,1),0)&gt;0),1,0)*IF($C80=1,1,0)*IF($C80=DL$2,1,0)=0,0,1+COUNTIF(DL$3:DL79,"&gt;0"))</f>
        <v>0</v>
      </c>
      <c r="DM80">
        <f>IF(IF(OR(IFERROR(SEARCH("Druid",$T80,1),0)&gt;0,IFERROR(SEARCH(DruidLand1,$T80,1),0)&gt;0,IFERROR(SEARCH(DruidLand2,$T80,1),0)&gt;0,IFERROR(SEARCH(DruidLand3,$T80,1),0)&gt;0,IFERROR(SEARCH(DruidLand4,$T80,1),0)&gt;0),1,0)*IF($C80=1,1,0)*IF($C80=DM$2,1,0)=0,0,1+COUNTIF(DM$3:DM79,"&gt;0"))</f>
        <v>0</v>
      </c>
      <c r="DN80">
        <f>IF(IF(OR(IFERROR(SEARCH("Druid",$T80,1),0)&gt;0,IFERROR(SEARCH(DruidLand1,$T80,1),0)&gt;0,IFERROR(SEARCH(DruidLand2,$T80,1),0)&gt;0,IFERROR(SEARCH(DruidLand3,$T80,1),0)&gt;0,IFERROR(SEARCH(DruidLand4,$T80,1),0)&gt;0),1,0)*IF($C80=1,1,0)*IF($C80=DN$2,1,0)=0,0,1+COUNTIF(DN$3:DN79,"&gt;0"))</f>
        <v>0</v>
      </c>
      <c r="DO80">
        <f>IF(IF(OR(IFERROR(SEARCH("Druid",$T80,1),0)&gt;0,IFERROR(SEARCH(DruidLand1,$T80,1),0)&gt;0,IFERROR(SEARCH(DruidLand2,$T80,1),0)&gt;0,IFERROR(SEARCH(DruidLand3,$T80,1),0)&gt;0,IFERROR(SEARCH(DruidLand4,$T80,1),0)&gt;0),1,0)*IF($C80=1,1,0)*IF($C80=DO$2,1,0)=0,0,1+COUNTIF(DO$3:DO79,"&gt;0"))</f>
        <v>0</v>
      </c>
      <c r="DP80">
        <f>IF(IF(OR(IFERROR(SEARCH("Druid",$T80,1),0)&gt;0,IFERROR(SEARCH(DruidLand1,$T80,1),0)&gt;0,IFERROR(SEARCH(DruidLand2,$T80,1),0)&gt;0,IFERROR(SEARCH(DruidLand3,$T80,1),0)&gt;0,IFERROR(SEARCH(DruidLand4,$T80,1),0)&gt;0),1,0)*IF($C80=1,1,0)*IF($C80=DP$2,1,0)=0,0,1+COUNTIF(DP$3:DP79,"&gt;0"))</f>
        <v>0</v>
      </c>
      <c r="DQ80">
        <f>IF(IF(OR(IFERROR(SEARCH("Druid",$T80,1),0)&gt;0,IFERROR(SEARCH(DruidLand1,$T80,1),0)&gt;0,IFERROR(SEARCH(DruidLand2,$T80,1),0)&gt;0,IFERROR(SEARCH(DruidLand3,$T80,1),0)&gt;0,IFERROR(SEARCH(DruidLand4,$T80,1),0)&gt;0),1,0)*IF($C80=1,1,0)*IF($C80=DQ$2,1,0)=0,0,1+COUNTIF(DQ$3:DQ79,"&gt;0"))</f>
        <v>0</v>
      </c>
      <c r="DR80">
        <f>IF(IF(OR(IFERROR(SEARCH("Druid",$T80,1),0)&gt;0,IFERROR(SEARCH(DruidLand1,$T80,1),0)&gt;0,IFERROR(SEARCH(DruidLand2,$T80,1),0)&gt;0,IFERROR(SEARCH(DruidLand3,$T80,1),0)&gt;0,IFERROR(SEARCH(DruidLand4,$T80,1),0)&gt;0),1,0)*IF($C80=1,1,0)*IF($C80=DR$2,1,0)=0,0,1+COUNTIF(DR$3:DR79,"&gt;0"))</f>
        <v>0</v>
      </c>
      <c r="DS80">
        <f>IF(IF(OR(IFERROR(SEARCH("Paladin",$T80,1),0)&gt;0,IFERROR(SEARCH(PaladinOath,$T80,1),0)&gt;0),1,0)*IF($C80=DS$2,1,0)=1,1+COUNTIF(DS$3:DS79,"&gt;0"),0)</f>
        <v>0</v>
      </c>
      <c r="DT80">
        <f>IF(IF(OR(IFERROR(SEARCH("Paladin",$T80,1),0)&gt;0,IFERROR(SEARCH(PaladinOath,$T80,1),0)&gt;0),1,0)*IF($C80=DT$2,1,0)=1,1+COUNTIF(DT$3:DT79,"&gt;0"),0)</f>
        <v>0</v>
      </c>
      <c r="DU80">
        <f>IF(IF(OR(IFERROR(SEARCH("Paladin",$T80,1),0)&gt;0,IFERROR(SEARCH(PaladinOath,$T80,1),0)&gt;0),1,0)*IF($C80=DU$2,1,0)=1,1+COUNTIF(DU$3:DU79,"&gt;0"),0)</f>
        <v>0</v>
      </c>
      <c r="DV80">
        <f>IF(IF(OR(IFERROR(SEARCH("Paladin",$T80,1),0)&gt;0,IFERROR(SEARCH(PaladinOath,$T80,1),0)&gt;0),1,0)*IF($C80=DV$2,1,0)=1,1+COUNTIF(DV$3:DV79,"&gt;0"),0)</f>
        <v>0</v>
      </c>
      <c r="DW80">
        <f>IF(IF(OR(IFERROR(SEARCH("Paladin",$T80,1),0)&gt;0,IFERROR(SEARCH(PaladinOath,$T80,1),0)&gt;0),1,0)*IF($C80=DW$2,1,0)=1,1+COUNTIF(DW$3:DW79,"&gt;0"),0)</f>
        <v>0</v>
      </c>
      <c r="DY80">
        <f t="shared" si="56"/>
        <v>1</v>
      </c>
      <c r="DZ80">
        <f>IF(DY80=0,0,1+MAX(DZ$3:$DZ79))</f>
        <v>78</v>
      </c>
      <c r="EB80">
        <f t="shared" si="70"/>
        <v>0</v>
      </c>
      <c r="EC80">
        <f>IF(EB80=0,0,1+COUNTIF(EC$3:EC79,"&gt;0"))</f>
        <v>0</v>
      </c>
      <c r="ED80" t="str">
        <f t="shared" si="98"/>
        <v/>
      </c>
      <c r="EE80" t="str">
        <f t="shared" si="71"/>
        <v/>
      </c>
      <c r="EG80">
        <f t="shared" si="72"/>
        <v>0</v>
      </c>
      <c r="EH80">
        <f>IF(EG80=0,0,1+COUNTIF(EH$3:EH79,"&gt;0"))</f>
        <v>0</v>
      </c>
      <c r="EI80" t="str">
        <f t="shared" si="99"/>
        <v/>
      </c>
      <c r="EJ80" t="str">
        <f t="shared" si="73"/>
        <v/>
      </c>
      <c r="EL80">
        <f t="shared" si="74"/>
        <v>0</v>
      </c>
      <c r="EM80">
        <f>IF(EL80=0,0,1+COUNTIF(EM$3:EM79,"&gt;0"))</f>
        <v>0</v>
      </c>
      <c r="EN80" t="str">
        <f t="shared" si="100"/>
        <v/>
      </c>
      <c r="EO80" t="str">
        <f t="shared" si="75"/>
        <v/>
      </c>
      <c r="EQ80">
        <f t="shared" si="76"/>
        <v>0</v>
      </c>
      <c r="ER80">
        <f>IF(EQ80=0,0,1+COUNTIF(ER$3:ER79,"&gt;0"))</f>
        <v>0</v>
      </c>
      <c r="ES80" t="str">
        <f t="shared" si="101"/>
        <v/>
      </c>
      <c r="ET80" t="str">
        <f t="shared" si="77"/>
        <v/>
      </c>
      <c r="EV80">
        <f t="shared" si="78"/>
        <v>0</v>
      </c>
      <c r="EW80">
        <f>IF(EV80=0,0,1+COUNTIF(EW$3:EW79,"&gt;0"))</f>
        <v>0</v>
      </c>
      <c r="EX80" t="str">
        <f t="shared" si="102"/>
        <v/>
      </c>
      <c r="EY80" t="str">
        <f t="shared" si="79"/>
        <v/>
      </c>
      <c r="FA80">
        <f t="shared" si="80"/>
        <v>0</v>
      </c>
      <c r="FB80">
        <f>IF(FA80=0,0,1+COUNTIF(FB$3:FB79,"&gt;0"))</f>
        <v>0</v>
      </c>
      <c r="FC80" t="str">
        <f t="shared" si="103"/>
        <v/>
      </c>
      <c r="FD80" t="str">
        <f t="shared" si="81"/>
        <v/>
      </c>
      <c r="FF80">
        <f t="shared" si="82"/>
        <v>0</v>
      </c>
      <c r="FG80">
        <f>IF(FF80=0,0,1+COUNTIF(FG$3:FG79,"&gt;0"))</f>
        <v>0</v>
      </c>
      <c r="FH80" t="str">
        <f t="shared" si="104"/>
        <v/>
      </c>
      <c r="FI80" t="str">
        <f t="shared" si="83"/>
        <v/>
      </c>
      <c r="FK80">
        <f t="shared" si="84"/>
        <v>0</v>
      </c>
      <c r="FL80">
        <f>IF(FK80=0,0,1+COUNTIF(FL$3:FL79,"&gt;0"))</f>
        <v>0</v>
      </c>
      <c r="FM80" t="str">
        <f t="shared" si="105"/>
        <v/>
      </c>
      <c r="FN80" t="str">
        <f t="shared" si="85"/>
        <v/>
      </c>
      <c r="FP80">
        <f t="shared" si="86"/>
        <v>0</v>
      </c>
      <c r="FQ80">
        <f>IF(FP80=0,0,1+COUNTIF(FQ$3:FQ79,"&gt;0"))</f>
        <v>0</v>
      </c>
      <c r="FR80" t="str">
        <f t="shared" si="106"/>
        <v/>
      </c>
      <c r="FS80" t="str">
        <f t="shared" si="87"/>
        <v/>
      </c>
    </row>
    <row r="81" spans="1:175" x14ac:dyDescent="0.25">
      <c r="A81" s="347">
        <f t="shared" si="107"/>
        <v>79</v>
      </c>
      <c r="B81" s="348" t="s">
        <v>2445</v>
      </c>
      <c r="C81" s="348">
        <v>3</v>
      </c>
      <c r="D81" s="347">
        <v>3</v>
      </c>
      <c r="E81" s="627" t="s">
        <v>6952</v>
      </c>
      <c r="F81" s="346"/>
      <c r="G81" s="347" t="str">
        <f>""</f>
        <v/>
      </c>
      <c r="H81" s="347" t="s">
        <v>5912</v>
      </c>
      <c r="I81" s="347" t="s">
        <v>5060</v>
      </c>
      <c r="J81" s="347" t="str">
        <f t="shared" si="57"/>
        <v/>
      </c>
      <c r="K81" s="347" t="s">
        <v>5278</v>
      </c>
      <c r="L81" s="611" t="str">
        <f t="shared" si="58"/>
        <v>V, S</v>
      </c>
      <c r="M81" s="347" t="s">
        <v>2373</v>
      </c>
      <c r="N81" s="347" t="s">
        <v>2387</v>
      </c>
      <c r="O81" s="347" t="s">
        <v>3034</v>
      </c>
      <c r="P81" s="346" t="str">
        <f>""</f>
        <v/>
      </c>
      <c r="Q81" s="347" t="s">
        <v>5271</v>
      </c>
      <c r="S81" s="346" t="s">
        <v>2446</v>
      </c>
      <c r="T81" s="346" t="str">
        <f t="shared" si="59"/>
        <v xml:space="preserve">Paladin, Cleric, Desert, </v>
      </c>
      <c r="V81" s="347" t="str">
        <f>$B81</f>
        <v>Create Food and Water</v>
      </c>
      <c r="Z81" s="347" t="str">
        <f>$B81</f>
        <v>Create Food and Water</v>
      </c>
      <c r="AE81" t="str">
        <f>IF(IFERROR(MATCH($B81,temp!A$4:A$13,0),0)&gt;0,T08_Spells!AE$2,"")</f>
        <v/>
      </c>
      <c r="AF81" t="str">
        <f>IF(IFERROR(MATCH($B81,temp!B$4:B$13,0),0)&gt;0,T08_Spells!AF$2,"")</f>
        <v/>
      </c>
      <c r="AG81" t="str">
        <f>IF(IFERROR(MATCH($B81,temp!C$4:C$13,0),0)&gt;0,T08_Spells!AG$2,"")</f>
        <v/>
      </c>
      <c r="AH81" t="str">
        <f>IF(IFERROR(MATCH($B81,temp!D$4:D$13,0),0)&gt;0,T08_Spells!AH$2,"")</f>
        <v/>
      </c>
      <c r="AI81" t="str">
        <f>IF(IFERROR(MATCH($B81,temp!E$4:E$13,0),0)&gt;0,T08_Spells!AI$2,"")</f>
        <v/>
      </c>
      <c r="AJ81" t="str">
        <f>IF(IFERROR(MATCH($B81,temp!F$4:F$13,0),0)&gt;0,T08_Spells!AJ$2,"")</f>
        <v/>
      </c>
      <c r="AK81" t="str">
        <f>IF(IFERROR(MATCH($B81,temp!G$4:G$13,0),0)&gt;0,T08_Spells!AK$2,"")</f>
        <v/>
      </c>
      <c r="AL81" t="str">
        <f>IF(IFERROR(MATCH($B81,temp!H$4:H$13,0),0)&gt;0,T08_Spells!AL$2,"")</f>
        <v/>
      </c>
      <c r="AM81" t="str">
        <f>IF(IFERROR(MATCH($B81,temp!I$4:I$13,0),0)&gt;0,T08_Spells!AM$2,"")</f>
        <v/>
      </c>
      <c r="AN81" t="str">
        <f>IF(IFERROR(MATCH($B81,temp!J$4:J$13,0),0)&gt;0,T08_Spells!AN$2,"")</f>
        <v>Desert</v>
      </c>
      <c r="AO81" t="str">
        <f>IF(IFERROR(MATCH($B81,temp!K$4:K$13,0),0)&gt;0,T08_Spells!AO$2,"")</f>
        <v/>
      </c>
      <c r="AP81" t="str">
        <f>IF(IFERROR(MATCH($B81,temp!L$4:L$13,0),0)&gt;0,T08_Spells!AP$2,"")</f>
        <v/>
      </c>
      <c r="AQ81" t="str">
        <f>IF(IFERROR(MATCH($B81,temp!M$4:M$13,0),0)&gt;0,T08_Spells!AQ$2,"")</f>
        <v/>
      </c>
      <c r="AR81" t="str">
        <f>IF(IFERROR(MATCH($B81,temp!N$4:N$13,0),0)&gt;0,T08_Spells!AR$2,"")</f>
        <v/>
      </c>
      <c r="AS81" t="str">
        <f>IF(IFERROR(MATCH($B81,temp!O$4:O$13,0),0)&gt;0,T08_Spells!AS$2,"")</f>
        <v/>
      </c>
      <c r="AT81" t="str">
        <f>IF(IFERROR(MATCH($B81,temp!P$4:P$13,0),0)&gt;0,T08_Spells!AT$2,"")</f>
        <v/>
      </c>
      <c r="AU81" t="str">
        <f>IF(IFERROR(MATCH($B81,temp!Q$4:Q$13,0),0)&gt;0,T08_Spells!AU$2,"")</f>
        <v/>
      </c>
      <c r="AV81" t="str">
        <f>IF(IFERROR(MATCH($B81,temp!R$4:R$13,0),0)&gt;0,T08_Spells!AV$2,"")</f>
        <v/>
      </c>
      <c r="AW81" t="str">
        <f>IF(IFERROR(MATCH($B81,temp!S$4:S$13,0),0)&gt;0,T08_Spells!AW$2,"")</f>
        <v/>
      </c>
      <c r="AX81" t="str">
        <f>IF(IFERROR(MATCH($B81,temp!T$4:T$13,0),0)&gt;0,T08_Spells!AX$2,"")</f>
        <v/>
      </c>
      <c r="AY81" t="str">
        <f>IF(IFERROR(MATCH($B81,temp!U$4:U$13,0),0)&gt;0,T08_Spells!AY$2,"")</f>
        <v/>
      </c>
      <c r="AZ81" t="str">
        <f>IF(IFERROR(MATCH($B81,temp!V$4:V$13,0),0)&gt;0,T08_Spells!AZ$2,"")</f>
        <v/>
      </c>
      <c r="BA81" t="str">
        <f>IF(IFERROR(MATCH($B81,temp!W$4:W$13,0),0)&gt;0,T08_Spells!BA$2,"")</f>
        <v/>
      </c>
      <c r="BC81">
        <f>IF(IFERROR(SEARCH("Ranger",$T81,1),0)&gt;0,1,0)*IF(RangerMaxSpellLevel&gt;=$C81,1,0)*IF(IFERROR(MATCH(B81,Character_Creation!$X$79:$X$382,0),0)&gt;0,0,1)</f>
        <v>0</v>
      </c>
      <c r="BD81">
        <f>IF(BC81=0,0,1+COUNTIF(BD$3:BD80,"&gt;0"))</f>
        <v>0</v>
      </c>
      <c r="BE81" t="str">
        <f t="shared" si="88"/>
        <v/>
      </c>
      <c r="BF81" t="str">
        <f t="shared" si="60"/>
        <v/>
      </c>
      <c r="BH81">
        <f>IF(IFERROR(SEARCH("Sorcerer",$T81,1),0)&gt;0,1,0)*IF(SorcererMaxSpellLevel&gt;=$C81,1,0)*IF(IFERROR(MATCH(B81,Character_Creation!$J$380:$J$394,0),0)&gt;0,0,1)</f>
        <v>0</v>
      </c>
      <c r="BI81">
        <f>IF(BH81=0,0,1+COUNTIF(BI$3:BI80,"&gt;0"))</f>
        <v>0</v>
      </c>
      <c r="BJ81" t="str">
        <f t="shared" si="89"/>
        <v/>
      </c>
      <c r="BK81" t="str">
        <f t="shared" si="61"/>
        <v/>
      </c>
      <c r="BM81">
        <f>IF(OR(IFERROR(SEARCH("Warlock",$T81,1),0)&gt;0,IFERROR(SEARCH(WarlockPatron,$T81,1),0)&gt;0),1,0)*IF(WarlockMaxSpellLevel&gt;=$C81,1,0)*IF(IFERROR(MATCH(B81,Character_Creation!$J$361:$J$375,0),0)&gt;0,0,1)</f>
        <v>0</v>
      </c>
      <c r="BN81">
        <f>IF(BM81=0,0,1+COUNTIF(BN$3:BN80,"&gt;0"))</f>
        <v>0</v>
      </c>
      <c r="BO81" t="str">
        <f t="shared" si="90"/>
        <v/>
      </c>
      <c r="BP81" t="str">
        <f t="shared" si="62"/>
        <v/>
      </c>
      <c r="BR81">
        <f>IF(IFERROR(SEARCH("Eldritch Knight",$T81,1),0)&gt;0,1,0)*IF(EldritchKnightMaxSpellLevel&gt;=$C81,1,0)*IF(IFERROR(MATCH($B81,Character_Creation!$J$350:$J$356,0),0)&gt;0,0,1)*IF(Character_Creation!$M$338&gt;0,1,0)</f>
        <v>0</v>
      </c>
      <c r="BS81">
        <f>IF(BR81=0,0,1+COUNTIF(BS$3:BS80,"&gt;0"))</f>
        <v>0</v>
      </c>
      <c r="BT81" t="str">
        <f t="shared" si="91"/>
        <v/>
      </c>
      <c r="BU81" t="str">
        <f t="shared" si="63"/>
        <v/>
      </c>
      <c r="BW81">
        <f>IF(IFERROR(SEARCH("Arcane Trickster",$T81,1),0)&gt;0,1,0)*IF(ArcaneTricksterMaxSpellLevel&gt;=$C81,1,0)*IF(IFERROR(MATCH($B81,Character_Creation!$J$350:$J$356,0),0)&gt;0,0,1)*IF(Character_Creation!$T$338&gt;0,1,0)</f>
        <v>0</v>
      </c>
      <c r="BX81">
        <f>IF(BW81=0,0,1+COUNTIF(BX$3:BX80,"&gt;0"))</f>
        <v>0</v>
      </c>
      <c r="BY81" t="str">
        <f t="shared" si="92"/>
        <v/>
      </c>
      <c r="BZ81" t="str">
        <f t="shared" si="64"/>
        <v/>
      </c>
      <c r="CB81">
        <f>IF(IFERROR(SEARCH("Wizard",$T81,1),0)&gt;0,1,0)*IF(C81&lt;=ArcaneTricksterMaxSpellLevel,1,0)*IF(IFERROR(MATCH($B81,Character_Creation!$J$350:$J$356,0),0)&gt;0,0,1)*IF(Character_Creation!$T$350&gt;0,1,0)</f>
        <v>0</v>
      </c>
      <c r="CC81">
        <f>IF(CB81=0,0,1+COUNTIF(CC$3:CC80,"&gt;0"))</f>
        <v>0</v>
      </c>
      <c r="CD81" t="str">
        <f t="shared" si="93"/>
        <v/>
      </c>
      <c r="CE81" t="str">
        <f t="shared" si="65"/>
        <v/>
      </c>
      <c r="CG81">
        <f>IF(IFERROR(SEARCH("Wizard",$T81,1),0)&gt;0,1,0)*IF($C81&lt;=EldritchKnightMaxSpellLevel,1,0)*IF(IFERROR(MATCH($B81,Character_Creation!$J$350:$J$356,0),0)&gt;0,0,1)*IF(Character_Creation!$M$350&gt;0,1,0)</f>
        <v>0</v>
      </c>
      <c r="CH81">
        <f>IF(CG81=0,0,1+COUNTIF(CH$3:CH80,"&gt;0"))</f>
        <v>0</v>
      </c>
      <c r="CI81" t="str">
        <f t="shared" si="94"/>
        <v/>
      </c>
      <c r="CJ81" t="str">
        <f t="shared" si="66"/>
        <v/>
      </c>
      <c r="CL81">
        <f>IF(IFERROR(SEARCH("Bard",$T81,1),0)&gt;0,1,0)*IF(BardMaxSpellLevel&gt;=$C81,1,0)*IF(IFERROR(MATCH(B81,Character_Creation!$C$341:$F$362,0),0)&gt;0,0,1)*IF(IFERROR(MATCH($B81,Character_Creation!$C$341:$C$362,0),0)&gt;0,0,1)</f>
        <v>0</v>
      </c>
      <c r="CM81">
        <f>IF(CL81=0,0,1+COUNTIF(CM$3:CM80,"&gt;0"))</f>
        <v>0</v>
      </c>
      <c r="CN81" t="str">
        <f t="shared" si="95"/>
        <v/>
      </c>
      <c r="CO81" t="str">
        <f t="shared" si="67"/>
        <v/>
      </c>
      <c r="CQ81">
        <f>IF(IFERROR(SEARCH("Wizard",$T81,1),0)&gt;0,1,0)*IF(WizardMaxSpellLevel&gt;=$C81,1,0)*IF(IFERROR(MATCH(B81,Character_Creation!$X$341:$X$400,0),0)&gt;0,0,1)*IF(SelectedWizardSpellLevel=$C81,1,0)</f>
        <v>0</v>
      </c>
      <c r="CR81">
        <f>IF(CQ81=0,0,1+COUNTIF(CR$3:CR80,"&gt;0"))</f>
        <v>0</v>
      </c>
      <c r="CS81" t="str">
        <f t="shared" si="96"/>
        <v/>
      </c>
      <c r="CT81" t="str">
        <f t="shared" si="68"/>
        <v/>
      </c>
      <c r="CV81">
        <f>IF(IFERROR(MATCH($B81,Character_Creation!$C$341:$C$362,0),0)&gt;0,0,1)*IF(OR(C81="Cantrip",C81&lt;=BardMaxSpellLevel),1,0)*IF(IFERROR(MATCH($B81,Character_Creation!$C$367:$C$374,0),0)&gt;0,0,1)</f>
        <v>0</v>
      </c>
      <c r="CW81">
        <f>IF(CV81=0,0,1+COUNTIF(CW$3:CW80,"&gt;0"))</f>
        <v>0</v>
      </c>
      <c r="CX81" t="str">
        <f t="shared" si="97"/>
        <v/>
      </c>
      <c r="CY81" t="str">
        <f t="shared" si="69"/>
        <v/>
      </c>
      <c r="DA81">
        <f>IF(IF(OR(IFERROR(SEARCH("Cleric",$T81,1),0)&gt;0,IFERROR(SEARCH(DivineDomain&amp;",",$T81,1),0)&gt;0),1,0)*IF($C81=DA$2,1,0)=1,1+COUNTIF(DA$3:DA80,"&gt;0"),0)</f>
        <v>0</v>
      </c>
      <c r="DB81">
        <f>IF(IF(OR(IFERROR(SEARCH("Cleric",$T81,1),0)&gt;0,IFERROR(SEARCH(DivineDomain&amp;",",$T81,1),0)&gt;0),1,0)*IF($C81=DB$2,1,0)=1,1+COUNTIF(DB$3:DB80,"&gt;0"),0)</f>
        <v>0</v>
      </c>
      <c r="DC81">
        <f>IF(IF(OR(IFERROR(SEARCH("Cleric",$T81,1),0)&gt;0,IFERROR(SEARCH(DivineDomain&amp;",",$T81,1),0)&gt;0),1,0)*IF($C81=DC$2,1,0)=1,1+COUNTIF(DC$3:DC80,"&gt;0"),0)</f>
        <v>5</v>
      </c>
      <c r="DD81">
        <f>IF(IF(OR(IFERROR(SEARCH("Cleric",$T81,1),0)&gt;0,IFERROR(SEARCH(DivineDomain&amp;",",$T81,1),0)&gt;0),1,0)*IF($C81=DD$2,1,0)=1,1+COUNTIF(DD$3:DD80,"&gt;0"),0)</f>
        <v>0</v>
      </c>
      <c r="DE81">
        <f>IF(IF(OR(IFERROR(SEARCH("Cleric",$T81,1),0)&gt;0,IFERROR(SEARCH(DivineDomain&amp;",",$T81,1),0)&gt;0),1,0)*IF($C81=DE$2,1,0)=1,1+COUNTIF(DE$3:DE80,"&gt;0"),0)</f>
        <v>0</v>
      </c>
      <c r="DF81">
        <f>IF(IF(OR(IFERROR(SEARCH("Cleric",$T81,1),0)&gt;0,IFERROR(SEARCH(DivineDomain&amp;",",$T81,1),0)&gt;0),1,0)*IF($C81=DF$2,1,0)=1,1+COUNTIF(DF$3:DF80,"&gt;0"),0)</f>
        <v>0</v>
      </c>
      <c r="DG81">
        <f>IF(IF(OR(IFERROR(SEARCH("Cleric",$T81,1),0)&gt;0,IFERROR(SEARCH(DivineDomain&amp;",",$T81,1),0)&gt;0),1,0)*IF($C81=DG$2,1,0)=1,1+COUNTIF(DG$3:DG80,"&gt;0"),0)</f>
        <v>0</v>
      </c>
      <c r="DH81">
        <f>IF(IF(OR(IFERROR(SEARCH("Cleric",$T81,1),0)&gt;0,IFERROR(SEARCH(DivineDomain&amp;",",$T81,1),0)&gt;0),1,0)*IF($C81=DH$2,1,0)=1,1+COUNTIF(DH$3:DH80,"&gt;0"),0)</f>
        <v>0</v>
      </c>
      <c r="DI81">
        <f>IF(IF(OR(IFERROR(SEARCH("Cleric",$T81,1),0)&gt;0,IFERROR(SEARCH(DivineDomain&amp;",",$T81,1),0)&gt;0),1,0)*IF($C81=DI$2,1,0)=1,1+COUNTIF(DI$3:DI80,"&gt;0"),0)</f>
        <v>0</v>
      </c>
      <c r="DJ81">
        <f>IF(IF(OR(IFERROR(SEARCH("Druid",$T81,1),0)&gt;0,IFERROR(SEARCH(DruidLand1,$T81,1),0)&gt;0,IFERROR(SEARCH(DruidLand2,$T81,1),0)&gt;0,IFERROR(SEARCH(DruidLand3,$T81,1),0)&gt;0,IFERROR(SEARCH(DruidLand4,$T81,1),0)&gt;0),1,0)*IF($C81=1,1,0)*IF($C81=DJ$2,1,0)=0,0,1+COUNTIF(DJ$3:DJ80,"&gt;0"))</f>
        <v>0</v>
      </c>
      <c r="DK81">
        <f>IF(IF(OR(IFERROR(SEARCH("Druid",$T81,1),0)&gt;0,IFERROR(SEARCH(DruidLand1,$T81,1),0)&gt;0,IFERROR(SEARCH(DruidLand2,$T81,1),0)&gt;0,IFERROR(SEARCH(DruidLand3,$T81,1),0)&gt;0,IFERROR(SEARCH(DruidLand4,$T81,1),0)&gt;0),1,0)*IF($C81=1,1,0)*IF($C81=DK$2,1,0)=0,0,1+COUNTIF(DK$3:DK80,"&gt;0"))</f>
        <v>0</v>
      </c>
      <c r="DL81">
        <f>IF(IF(OR(IFERROR(SEARCH("Druid",$T81,1),0)&gt;0,IFERROR(SEARCH(DruidLand1,$T81,1),0)&gt;0,IFERROR(SEARCH(DruidLand2,$T81,1),0)&gt;0,IFERROR(SEARCH(DruidLand3,$T81,1),0)&gt;0,IFERROR(SEARCH(DruidLand4,$T81,1),0)&gt;0),1,0)*IF($C81=1,1,0)*IF($C81=DL$2,1,0)=0,0,1+COUNTIF(DL$3:DL80,"&gt;0"))</f>
        <v>0</v>
      </c>
      <c r="DM81">
        <f>IF(IF(OR(IFERROR(SEARCH("Druid",$T81,1),0)&gt;0,IFERROR(SEARCH(DruidLand1,$T81,1),0)&gt;0,IFERROR(SEARCH(DruidLand2,$T81,1),0)&gt;0,IFERROR(SEARCH(DruidLand3,$T81,1),0)&gt;0,IFERROR(SEARCH(DruidLand4,$T81,1),0)&gt;0),1,0)*IF($C81=1,1,0)*IF($C81=DM$2,1,0)=0,0,1+COUNTIF(DM$3:DM80,"&gt;0"))</f>
        <v>0</v>
      </c>
      <c r="DN81">
        <f>IF(IF(OR(IFERROR(SEARCH("Druid",$T81,1),0)&gt;0,IFERROR(SEARCH(DruidLand1,$T81,1),0)&gt;0,IFERROR(SEARCH(DruidLand2,$T81,1),0)&gt;0,IFERROR(SEARCH(DruidLand3,$T81,1),0)&gt;0,IFERROR(SEARCH(DruidLand4,$T81,1),0)&gt;0),1,0)*IF($C81=1,1,0)*IF($C81=DN$2,1,0)=0,0,1+COUNTIF(DN$3:DN80,"&gt;0"))</f>
        <v>0</v>
      </c>
      <c r="DO81">
        <f>IF(IF(OR(IFERROR(SEARCH("Druid",$T81,1),0)&gt;0,IFERROR(SEARCH(DruidLand1,$T81,1),0)&gt;0,IFERROR(SEARCH(DruidLand2,$T81,1),0)&gt;0,IFERROR(SEARCH(DruidLand3,$T81,1),0)&gt;0,IFERROR(SEARCH(DruidLand4,$T81,1),0)&gt;0),1,0)*IF($C81=1,1,0)*IF($C81=DO$2,1,0)=0,0,1+COUNTIF(DO$3:DO80,"&gt;0"))</f>
        <v>0</v>
      </c>
      <c r="DP81">
        <f>IF(IF(OR(IFERROR(SEARCH("Druid",$T81,1),0)&gt;0,IFERROR(SEARCH(DruidLand1,$T81,1),0)&gt;0,IFERROR(SEARCH(DruidLand2,$T81,1),0)&gt;0,IFERROR(SEARCH(DruidLand3,$T81,1),0)&gt;0,IFERROR(SEARCH(DruidLand4,$T81,1),0)&gt;0),1,0)*IF($C81=1,1,0)*IF($C81=DP$2,1,0)=0,0,1+COUNTIF(DP$3:DP80,"&gt;0"))</f>
        <v>0</v>
      </c>
      <c r="DQ81">
        <f>IF(IF(OR(IFERROR(SEARCH("Druid",$T81,1),0)&gt;0,IFERROR(SEARCH(DruidLand1,$T81,1),0)&gt;0,IFERROR(SEARCH(DruidLand2,$T81,1),0)&gt;0,IFERROR(SEARCH(DruidLand3,$T81,1),0)&gt;0,IFERROR(SEARCH(DruidLand4,$T81,1),0)&gt;0),1,0)*IF($C81=1,1,0)*IF($C81=DQ$2,1,0)=0,0,1+COUNTIF(DQ$3:DQ80,"&gt;0"))</f>
        <v>0</v>
      </c>
      <c r="DR81">
        <f>IF(IF(OR(IFERROR(SEARCH("Druid",$T81,1),0)&gt;0,IFERROR(SEARCH(DruidLand1,$T81,1),0)&gt;0,IFERROR(SEARCH(DruidLand2,$T81,1),0)&gt;0,IFERROR(SEARCH(DruidLand3,$T81,1),0)&gt;0,IFERROR(SEARCH(DruidLand4,$T81,1),0)&gt;0),1,0)*IF($C81=1,1,0)*IF($C81=DR$2,1,0)=0,0,1+COUNTIF(DR$3:DR80,"&gt;0"))</f>
        <v>0</v>
      </c>
      <c r="DS81">
        <f>IF(IF(OR(IFERROR(SEARCH("Paladin",$T81,1),0)&gt;0,IFERROR(SEARCH(PaladinOath,$T81,1),0)&gt;0),1,0)*IF($C81=DS$2,1,0)=1,1+COUNTIF(DS$3:DS80,"&gt;0"),0)</f>
        <v>0</v>
      </c>
      <c r="DT81">
        <f>IF(IF(OR(IFERROR(SEARCH("Paladin",$T81,1),0)&gt;0,IFERROR(SEARCH(PaladinOath,$T81,1),0)&gt;0),1,0)*IF($C81=DT$2,1,0)=1,1+COUNTIF(DT$3:DT80,"&gt;0"),0)</f>
        <v>0</v>
      </c>
      <c r="DU81">
        <f>IF(IF(OR(IFERROR(SEARCH("Paladin",$T81,1),0)&gt;0,IFERROR(SEARCH(PaladinOath,$T81,1),0)&gt;0),1,0)*IF($C81=DU$2,1,0)=1,1+COUNTIF(DU$3:DU80,"&gt;0"),0)</f>
        <v>3</v>
      </c>
      <c r="DV81">
        <f>IF(IF(OR(IFERROR(SEARCH("Paladin",$T81,1),0)&gt;0,IFERROR(SEARCH(PaladinOath,$T81,1),0)&gt;0),1,0)*IF($C81=DV$2,1,0)=1,1+COUNTIF(DV$3:DV80,"&gt;0"),0)</f>
        <v>0</v>
      </c>
      <c r="DW81">
        <f>IF(IF(OR(IFERROR(SEARCH("Paladin",$T81,1),0)&gt;0,IFERROR(SEARCH(PaladinOath,$T81,1),0)&gt;0),1,0)*IF($C81=DW$2,1,0)=1,1+COUNTIF(DW$3:DW80,"&gt;0"),0)</f>
        <v>0</v>
      </c>
      <c r="DY81">
        <f t="shared" si="56"/>
        <v>1</v>
      </c>
      <c r="DZ81">
        <f>IF(DY81=0,0,1+MAX(DZ$3:$DZ80))</f>
        <v>79</v>
      </c>
      <c r="EB81">
        <f t="shared" si="70"/>
        <v>0</v>
      </c>
      <c r="EC81">
        <f>IF(EB81=0,0,1+COUNTIF(EC$3:EC80,"&gt;0"))</f>
        <v>0</v>
      </c>
      <c r="ED81" t="str">
        <f t="shared" si="98"/>
        <v/>
      </c>
      <c r="EE81" t="str">
        <f t="shared" si="71"/>
        <v/>
      </c>
      <c r="EG81">
        <f t="shared" si="72"/>
        <v>0</v>
      </c>
      <c r="EH81">
        <f>IF(EG81=0,0,1+COUNTIF(EH$3:EH80,"&gt;0"))</f>
        <v>0</v>
      </c>
      <c r="EI81" t="str">
        <f t="shared" si="99"/>
        <v/>
      </c>
      <c r="EJ81" t="str">
        <f t="shared" si="73"/>
        <v/>
      </c>
      <c r="EL81">
        <f t="shared" si="74"/>
        <v>0</v>
      </c>
      <c r="EM81">
        <f>IF(EL81=0,0,1+COUNTIF(EM$3:EM80,"&gt;0"))</f>
        <v>0</v>
      </c>
      <c r="EN81" t="str">
        <f t="shared" si="100"/>
        <v/>
      </c>
      <c r="EO81" t="str">
        <f t="shared" si="75"/>
        <v/>
      </c>
      <c r="EQ81">
        <f t="shared" si="76"/>
        <v>0</v>
      </c>
      <c r="ER81">
        <f>IF(EQ81=0,0,1+COUNTIF(ER$3:ER80,"&gt;0"))</f>
        <v>0</v>
      </c>
      <c r="ES81" t="str">
        <f t="shared" si="101"/>
        <v/>
      </c>
      <c r="ET81" t="str">
        <f t="shared" si="77"/>
        <v/>
      </c>
      <c r="EV81">
        <f t="shared" si="78"/>
        <v>0</v>
      </c>
      <c r="EW81">
        <f>IF(EV81=0,0,1+COUNTIF(EW$3:EW80,"&gt;0"))</f>
        <v>0</v>
      </c>
      <c r="EX81" t="str">
        <f t="shared" si="102"/>
        <v/>
      </c>
      <c r="EY81" t="str">
        <f t="shared" si="79"/>
        <v/>
      </c>
      <c r="FA81">
        <f t="shared" si="80"/>
        <v>0</v>
      </c>
      <c r="FB81">
        <f>IF(FA81=0,0,1+COUNTIF(FB$3:FB80,"&gt;0"))</f>
        <v>0</v>
      </c>
      <c r="FC81" t="str">
        <f t="shared" si="103"/>
        <v/>
      </c>
      <c r="FD81" t="str">
        <f t="shared" si="81"/>
        <v/>
      </c>
      <c r="FF81">
        <f t="shared" si="82"/>
        <v>0</v>
      </c>
      <c r="FG81">
        <f>IF(FF81=0,0,1+COUNTIF(FG$3:FG80,"&gt;0"))</f>
        <v>0</v>
      </c>
      <c r="FH81" t="str">
        <f t="shared" si="104"/>
        <v/>
      </c>
      <c r="FI81" t="str">
        <f t="shared" si="83"/>
        <v/>
      </c>
      <c r="FK81">
        <f t="shared" si="84"/>
        <v>0</v>
      </c>
      <c r="FL81">
        <f>IF(FK81=0,0,1+COUNTIF(FL$3:FL80,"&gt;0"))</f>
        <v>0</v>
      </c>
      <c r="FM81" t="str">
        <f t="shared" si="105"/>
        <v/>
      </c>
      <c r="FN81" t="str">
        <f t="shared" si="85"/>
        <v/>
      </c>
      <c r="FP81">
        <f t="shared" si="86"/>
        <v>0</v>
      </c>
      <c r="FQ81">
        <f>IF(FP81=0,0,1+COUNTIF(FQ$3:FQ80,"&gt;0"))</f>
        <v>0</v>
      </c>
      <c r="FR81" t="str">
        <f t="shared" si="106"/>
        <v/>
      </c>
      <c r="FS81" t="str">
        <f t="shared" si="87"/>
        <v/>
      </c>
    </row>
    <row r="82" spans="1:175" x14ac:dyDescent="0.25">
      <c r="A82" s="347">
        <f t="shared" si="107"/>
        <v>80</v>
      </c>
      <c r="B82" s="348" t="s">
        <v>2447</v>
      </c>
      <c r="C82" s="348">
        <v>1</v>
      </c>
      <c r="D82" s="347">
        <v>1</v>
      </c>
      <c r="E82" s="627" t="s">
        <v>6952</v>
      </c>
      <c r="F82" s="346"/>
      <c r="G82" s="347" t="str">
        <f>""</f>
        <v/>
      </c>
      <c r="H82" s="347" t="s">
        <v>5912</v>
      </c>
      <c r="I82" s="347" t="s">
        <v>5060</v>
      </c>
      <c r="J82" s="347" t="str">
        <f t="shared" si="57"/>
        <v/>
      </c>
      <c r="K82" s="347" t="s">
        <v>5278</v>
      </c>
      <c r="L82" s="611" t="str">
        <f t="shared" si="58"/>
        <v>V, S, M, a drop of water if creating water or a few grains of sand if destroying it</v>
      </c>
      <c r="M82" s="347" t="s">
        <v>2373</v>
      </c>
      <c r="N82" s="347" t="s">
        <v>2387</v>
      </c>
      <c r="O82" s="347" t="s">
        <v>1244</v>
      </c>
      <c r="P82" s="346" t="s">
        <v>5342</v>
      </c>
      <c r="Q82" s="347" t="s">
        <v>5276</v>
      </c>
      <c r="S82" s="346" t="s">
        <v>5645</v>
      </c>
      <c r="T82" s="346" t="str">
        <f t="shared" si="59"/>
        <v xml:space="preserve">Cleric, Druid, </v>
      </c>
      <c r="Z82" s="347" t="str">
        <f>$B82</f>
        <v>Create or Destroy Water</v>
      </c>
      <c r="AA82" s="347" t="str">
        <f>$B82</f>
        <v>Create or Destroy Water</v>
      </c>
      <c r="AE82" t="str">
        <f>IF(IFERROR(MATCH($B82,temp!A$4:A$13,0),0)&gt;0,T08_Spells!AE$2,"")</f>
        <v/>
      </c>
      <c r="AF82" t="str">
        <f>IF(IFERROR(MATCH($B82,temp!B$4:B$13,0),0)&gt;0,T08_Spells!AF$2,"")</f>
        <v/>
      </c>
      <c r="AG82" t="str">
        <f>IF(IFERROR(MATCH($B82,temp!C$4:C$13,0),0)&gt;0,T08_Spells!AG$2,"")</f>
        <v/>
      </c>
      <c r="AH82" t="str">
        <f>IF(IFERROR(MATCH($B82,temp!D$4:D$13,0),0)&gt;0,T08_Spells!AH$2,"")</f>
        <v/>
      </c>
      <c r="AI82" t="str">
        <f>IF(IFERROR(MATCH($B82,temp!E$4:E$13,0),0)&gt;0,T08_Spells!AI$2,"")</f>
        <v/>
      </c>
      <c r="AJ82" t="str">
        <f>IF(IFERROR(MATCH($B82,temp!F$4:F$13,0),0)&gt;0,T08_Spells!AJ$2,"")</f>
        <v/>
      </c>
      <c r="AK82" t="str">
        <f>IF(IFERROR(MATCH($B82,temp!G$4:G$13,0),0)&gt;0,T08_Spells!AK$2,"")</f>
        <v/>
      </c>
      <c r="AL82" t="str">
        <f>IF(IFERROR(MATCH($B82,temp!H$4:H$13,0),0)&gt;0,T08_Spells!AL$2,"")</f>
        <v/>
      </c>
      <c r="AM82" t="str">
        <f>IF(IFERROR(MATCH($B82,temp!I$4:I$13,0),0)&gt;0,T08_Spells!AM$2,"")</f>
        <v/>
      </c>
      <c r="AN82" t="str">
        <f>IF(IFERROR(MATCH($B82,temp!J$4:J$13,0),0)&gt;0,T08_Spells!AN$2,"")</f>
        <v/>
      </c>
      <c r="AO82" t="str">
        <f>IF(IFERROR(MATCH($B82,temp!K$4:K$13,0),0)&gt;0,T08_Spells!AO$2,"")</f>
        <v/>
      </c>
      <c r="AP82" t="str">
        <f>IF(IFERROR(MATCH($B82,temp!L$4:L$13,0),0)&gt;0,T08_Spells!AP$2,"")</f>
        <v/>
      </c>
      <c r="AQ82" t="str">
        <f>IF(IFERROR(MATCH($B82,temp!M$4:M$13,0),0)&gt;0,T08_Spells!AQ$2,"")</f>
        <v/>
      </c>
      <c r="AR82" t="str">
        <f>IF(IFERROR(MATCH($B82,temp!N$4:N$13,0),0)&gt;0,T08_Spells!AR$2,"")</f>
        <v/>
      </c>
      <c r="AS82" t="str">
        <f>IF(IFERROR(MATCH($B82,temp!O$4:O$13,0),0)&gt;0,T08_Spells!AS$2,"")</f>
        <v/>
      </c>
      <c r="AT82" t="str">
        <f>IF(IFERROR(MATCH($B82,temp!P$4:P$13,0),0)&gt;0,T08_Spells!AT$2,"")</f>
        <v/>
      </c>
      <c r="AU82" t="str">
        <f>IF(IFERROR(MATCH($B82,temp!Q$4:Q$13,0),0)&gt;0,T08_Spells!AU$2,"")</f>
        <v/>
      </c>
      <c r="AV82" t="str">
        <f>IF(IFERROR(MATCH($B82,temp!R$4:R$13,0),0)&gt;0,T08_Spells!AV$2,"")</f>
        <v/>
      </c>
      <c r="AW82" t="str">
        <f>IF(IFERROR(MATCH($B82,temp!S$4:S$13,0),0)&gt;0,T08_Spells!AW$2,"")</f>
        <v/>
      </c>
      <c r="AX82" t="str">
        <f>IF(IFERROR(MATCH($B82,temp!T$4:T$13,0),0)&gt;0,T08_Spells!AX$2,"")</f>
        <v/>
      </c>
      <c r="AY82" t="str">
        <f>IF(IFERROR(MATCH($B82,temp!U$4:U$13,0),0)&gt;0,T08_Spells!AY$2,"")</f>
        <v/>
      </c>
      <c r="AZ82" t="str">
        <f>IF(IFERROR(MATCH($B82,temp!V$4:V$13,0),0)&gt;0,T08_Spells!AZ$2,"")</f>
        <v/>
      </c>
      <c r="BA82" t="str">
        <f>IF(IFERROR(MATCH($B82,temp!W$4:W$13,0),0)&gt;0,T08_Spells!BA$2,"")</f>
        <v/>
      </c>
      <c r="BC82">
        <f>IF(IFERROR(SEARCH("Ranger",$T82,1),0)&gt;0,1,0)*IF(RangerMaxSpellLevel&gt;=$C82,1,0)*IF(IFERROR(MATCH(B82,Character_Creation!$X$79:$X$382,0),0)&gt;0,0,1)</f>
        <v>0</v>
      </c>
      <c r="BD82">
        <f>IF(BC82=0,0,1+COUNTIF(BD$3:BD81,"&gt;0"))</f>
        <v>0</v>
      </c>
      <c r="BE82" t="str">
        <f t="shared" si="88"/>
        <v/>
      </c>
      <c r="BF82" t="str">
        <f t="shared" si="60"/>
        <v/>
      </c>
      <c r="BH82">
        <f>IF(IFERROR(SEARCH("Sorcerer",$T82,1),0)&gt;0,1,0)*IF(SorcererMaxSpellLevel&gt;=$C82,1,0)*IF(IFERROR(MATCH(B82,Character_Creation!$J$380:$J$394,0),0)&gt;0,0,1)</f>
        <v>0</v>
      </c>
      <c r="BI82">
        <f>IF(BH82=0,0,1+COUNTIF(BI$3:BI81,"&gt;0"))</f>
        <v>0</v>
      </c>
      <c r="BJ82" t="str">
        <f t="shared" si="89"/>
        <v/>
      </c>
      <c r="BK82" t="str">
        <f t="shared" si="61"/>
        <v/>
      </c>
      <c r="BM82">
        <f>IF(OR(IFERROR(SEARCH("Warlock",$T82,1),0)&gt;0,IFERROR(SEARCH(WarlockPatron,$T82,1),0)&gt;0),1,0)*IF(WarlockMaxSpellLevel&gt;=$C82,1,0)*IF(IFERROR(MATCH(B82,Character_Creation!$J$361:$J$375,0),0)&gt;0,0,1)</f>
        <v>0</v>
      </c>
      <c r="BN82">
        <f>IF(BM82=0,0,1+COUNTIF(BN$3:BN81,"&gt;0"))</f>
        <v>0</v>
      </c>
      <c r="BO82" t="str">
        <f t="shared" si="90"/>
        <v/>
      </c>
      <c r="BP82" t="str">
        <f t="shared" si="62"/>
        <v/>
      </c>
      <c r="BR82">
        <f>IF(IFERROR(SEARCH("Eldritch Knight",$T82,1),0)&gt;0,1,0)*IF(EldritchKnightMaxSpellLevel&gt;=$C82,1,0)*IF(IFERROR(MATCH($B82,Character_Creation!$J$350:$J$356,0),0)&gt;0,0,1)*IF(Character_Creation!$M$338&gt;0,1,0)</f>
        <v>0</v>
      </c>
      <c r="BS82">
        <f>IF(BR82=0,0,1+COUNTIF(BS$3:BS81,"&gt;0"))</f>
        <v>0</v>
      </c>
      <c r="BT82" t="str">
        <f t="shared" si="91"/>
        <v/>
      </c>
      <c r="BU82" t="str">
        <f t="shared" si="63"/>
        <v/>
      </c>
      <c r="BW82">
        <f>IF(IFERROR(SEARCH("Arcane Trickster",$T82,1),0)&gt;0,1,0)*IF(ArcaneTricksterMaxSpellLevel&gt;=$C82,1,0)*IF(IFERROR(MATCH($B82,Character_Creation!$J$350:$J$356,0),0)&gt;0,0,1)*IF(Character_Creation!$T$338&gt;0,1,0)</f>
        <v>0</v>
      </c>
      <c r="BX82">
        <f>IF(BW82=0,0,1+COUNTIF(BX$3:BX81,"&gt;0"))</f>
        <v>0</v>
      </c>
      <c r="BY82" t="str">
        <f t="shared" si="92"/>
        <v/>
      </c>
      <c r="BZ82" t="str">
        <f t="shared" si="64"/>
        <v/>
      </c>
      <c r="CB82">
        <f>IF(IFERROR(SEARCH("Wizard",$T82,1),0)&gt;0,1,0)*IF(C82&lt;=ArcaneTricksterMaxSpellLevel,1,0)*IF(IFERROR(MATCH($B82,Character_Creation!$J$350:$J$356,0),0)&gt;0,0,1)*IF(Character_Creation!$T$350&gt;0,1,0)</f>
        <v>0</v>
      </c>
      <c r="CC82">
        <f>IF(CB82=0,0,1+COUNTIF(CC$3:CC81,"&gt;0"))</f>
        <v>0</v>
      </c>
      <c r="CD82" t="str">
        <f t="shared" si="93"/>
        <v/>
      </c>
      <c r="CE82" t="str">
        <f t="shared" si="65"/>
        <v/>
      </c>
      <c r="CG82">
        <f>IF(IFERROR(SEARCH("Wizard",$T82,1),0)&gt;0,1,0)*IF($C82&lt;=EldritchKnightMaxSpellLevel,1,0)*IF(IFERROR(MATCH($B82,Character_Creation!$J$350:$J$356,0),0)&gt;0,0,1)*IF(Character_Creation!$M$350&gt;0,1,0)</f>
        <v>0</v>
      </c>
      <c r="CH82">
        <f>IF(CG82=0,0,1+COUNTIF(CH$3:CH81,"&gt;0"))</f>
        <v>0</v>
      </c>
      <c r="CI82" t="str">
        <f t="shared" si="94"/>
        <v/>
      </c>
      <c r="CJ82" t="str">
        <f t="shared" si="66"/>
        <v/>
      </c>
      <c r="CL82">
        <f>IF(IFERROR(SEARCH("Bard",$T82,1),0)&gt;0,1,0)*IF(BardMaxSpellLevel&gt;=$C82,1,0)*IF(IFERROR(MATCH(B82,Character_Creation!$C$341:$F$362,0),0)&gt;0,0,1)*IF(IFERROR(MATCH($B82,Character_Creation!$C$341:$C$362,0),0)&gt;0,0,1)</f>
        <v>0</v>
      </c>
      <c r="CM82">
        <f>IF(CL82=0,0,1+COUNTIF(CM$3:CM81,"&gt;0"))</f>
        <v>0</v>
      </c>
      <c r="CN82" t="str">
        <f t="shared" si="95"/>
        <v/>
      </c>
      <c r="CO82" t="str">
        <f t="shared" si="67"/>
        <v/>
      </c>
      <c r="CQ82">
        <f>IF(IFERROR(SEARCH("Wizard",$T82,1),0)&gt;0,1,0)*IF(WizardMaxSpellLevel&gt;=$C82,1,0)*IF(IFERROR(MATCH(B82,Character_Creation!$X$341:$X$400,0),0)&gt;0,0,1)*IF(SelectedWizardSpellLevel=$C82,1,0)</f>
        <v>0</v>
      </c>
      <c r="CR82">
        <f>IF(CQ82=0,0,1+COUNTIF(CR$3:CR81,"&gt;0"))</f>
        <v>0</v>
      </c>
      <c r="CS82" t="str">
        <f t="shared" si="96"/>
        <v/>
      </c>
      <c r="CT82" t="str">
        <f t="shared" si="68"/>
        <v/>
      </c>
      <c r="CV82">
        <f>IF(IFERROR(MATCH($B82,Character_Creation!$C$341:$C$362,0),0)&gt;0,0,1)*IF(OR(C82="Cantrip",C82&lt;=BardMaxSpellLevel),1,0)*IF(IFERROR(MATCH($B82,Character_Creation!$C$367:$C$374,0),0)&gt;0,0,1)</f>
        <v>0</v>
      </c>
      <c r="CW82">
        <f>IF(CV82=0,0,1+COUNTIF(CW$3:CW81,"&gt;0"))</f>
        <v>0</v>
      </c>
      <c r="CX82" t="str">
        <f t="shared" si="97"/>
        <v/>
      </c>
      <c r="CY82" t="str">
        <f t="shared" si="69"/>
        <v/>
      </c>
      <c r="DA82">
        <f>IF(IF(OR(IFERROR(SEARCH("Cleric",$T82,1),0)&gt;0,IFERROR(SEARCH(DivineDomain&amp;",",$T82,1),0)&gt;0),1,0)*IF($C82=DA$2,1,0)=1,1+COUNTIF(DA$3:DA81,"&gt;0"),0)</f>
        <v>4</v>
      </c>
      <c r="DB82">
        <f>IF(IF(OR(IFERROR(SEARCH("Cleric",$T82,1),0)&gt;0,IFERROR(SEARCH(DivineDomain&amp;",",$T82,1),0)&gt;0),1,0)*IF($C82=DB$2,1,0)=1,1+COUNTIF(DB$3:DB81,"&gt;0"),0)</f>
        <v>0</v>
      </c>
      <c r="DC82">
        <f>IF(IF(OR(IFERROR(SEARCH("Cleric",$T82,1),0)&gt;0,IFERROR(SEARCH(DivineDomain&amp;",",$T82,1),0)&gt;0),1,0)*IF($C82=DC$2,1,0)=1,1+COUNTIF(DC$3:DC81,"&gt;0"),0)</f>
        <v>0</v>
      </c>
      <c r="DD82">
        <f>IF(IF(OR(IFERROR(SEARCH("Cleric",$T82,1),0)&gt;0,IFERROR(SEARCH(DivineDomain&amp;",",$T82,1),0)&gt;0),1,0)*IF($C82=DD$2,1,0)=1,1+COUNTIF(DD$3:DD81,"&gt;0"),0)</f>
        <v>0</v>
      </c>
      <c r="DE82">
        <f>IF(IF(OR(IFERROR(SEARCH("Cleric",$T82,1),0)&gt;0,IFERROR(SEARCH(DivineDomain&amp;",",$T82,1),0)&gt;0),1,0)*IF($C82=DE$2,1,0)=1,1+COUNTIF(DE$3:DE81,"&gt;0"),0)</f>
        <v>0</v>
      </c>
      <c r="DF82">
        <f>IF(IF(OR(IFERROR(SEARCH("Cleric",$T82,1),0)&gt;0,IFERROR(SEARCH(DivineDomain&amp;",",$T82,1),0)&gt;0),1,0)*IF($C82=DF$2,1,0)=1,1+COUNTIF(DF$3:DF81,"&gt;0"),0)</f>
        <v>0</v>
      </c>
      <c r="DG82">
        <f>IF(IF(OR(IFERROR(SEARCH("Cleric",$T82,1),0)&gt;0,IFERROR(SEARCH(DivineDomain&amp;",",$T82,1),0)&gt;0),1,0)*IF($C82=DG$2,1,0)=1,1+COUNTIF(DG$3:DG81,"&gt;0"),0)</f>
        <v>0</v>
      </c>
      <c r="DH82">
        <f>IF(IF(OR(IFERROR(SEARCH("Cleric",$T82,1),0)&gt;0,IFERROR(SEARCH(DivineDomain&amp;",",$T82,1),0)&gt;0),1,0)*IF($C82=DH$2,1,0)=1,1+COUNTIF(DH$3:DH81,"&gt;0"),0)</f>
        <v>0</v>
      </c>
      <c r="DI82">
        <f>IF(IF(OR(IFERROR(SEARCH("Cleric",$T82,1),0)&gt;0,IFERROR(SEARCH(DivineDomain&amp;",",$T82,1),0)&gt;0),1,0)*IF($C82=DI$2,1,0)=1,1+COUNTIF(DI$3:DI81,"&gt;0"),0)</f>
        <v>0</v>
      </c>
      <c r="DJ82">
        <f>IF(IF(OR(IFERROR(SEARCH("Druid",$T82,1),0)&gt;0,IFERROR(SEARCH(DruidLand1,$T82,1),0)&gt;0,IFERROR(SEARCH(DruidLand2,$T82,1),0)&gt;0,IFERROR(SEARCH(DruidLand3,$T82,1),0)&gt;0,IFERROR(SEARCH(DruidLand4,$T82,1),0)&gt;0),1,0)*IF($C82=1,1,0)*IF($C82=DJ$2,1,0)=0,0,1+COUNTIF(DJ$3:DJ81,"&gt;0"))</f>
        <v>3</v>
      </c>
      <c r="DK82">
        <f>IF(IF(OR(IFERROR(SEARCH("Druid",$T82,1),0)&gt;0,IFERROR(SEARCH(DruidLand1,$T82,1),0)&gt;0,IFERROR(SEARCH(DruidLand2,$T82,1),0)&gt;0,IFERROR(SEARCH(DruidLand3,$T82,1),0)&gt;0,IFERROR(SEARCH(DruidLand4,$T82,1),0)&gt;0),1,0)*IF($C82=DK$2,1,0)=0,0,1+COUNTIF(DK$3:DK81,"&gt;0"))</f>
        <v>0</v>
      </c>
      <c r="DL82">
        <f>IF(IF(OR(IFERROR(SEARCH("Druid",$T82,1),0)&gt;0,IFERROR(SEARCH(DruidLand1,$T82,1),0)&gt;0,IFERROR(SEARCH(DruidLand2,$T82,1),0)&gt;0,IFERROR(SEARCH(DruidLand3,$T82,1),0)&gt;0,IFERROR(SEARCH(DruidLand4,$T82,1),0)&gt;0),1,0)*IF($C82=DL$2,1,0)=0,0,1+COUNTIF(DL$3:DL81,"&gt;0"))</f>
        <v>0</v>
      </c>
      <c r="DM82">
        <f>IF(IF(OR(IFERROR(SEARCH("Druid",$T82,1),0)&gt;0,IFERROR(SEARCH(DruidLand1,$T82,1),0)&gt;0,IFERROR(SEARCH(DruidLand2,$T82,1),0)&gt;0,IFERROR(SEARCH(DruidLand3,$T82,1),0)&gt;0,IFERROR(SEARCH(DruidLand4,$T82,1),0)&gt;0),1,0)*IF($C82=DM$2,1,0)=0,0,1+COUNTIF(DM$3:DM81,"&gt;0"))</f>
        <v>0</v>
      </c>
      <c r="DN82">
        <f>IF(IF(OR(IFERROR(SEARCH("Druid",$T82,1),0)&gt;0,IFERROR(SEARCH(DruidLand1,$T82,1),0)&gt;0,IFERROR(SEARCH(DruidLand2,$T82,1),0)&gt;0,IFERROR(SEARCH(DruidLand3,$T82,1),0)&gt;0,IFERROR(SEARCH(DruidLand4,$T82,1),0)&gt;0),1,0)*IF($C82=DN$2,1,0)=0,0,1+COUNTIF(DN$3:DN81,"&gt;0"))</f>
        <v>0</v>
      </c>
      <c r="DO82">
        <f>IF(IF(OR(IFERROR(SEARCH("Druid",$T82,1),0)&gt;0,IFERROR(SEARCH(DruidLand1,$T82,1),0)&gt;0,IFERROR(SEARCH(DruidLand2,$T82,1),0)&gt;0,IFERROR(SEARCH(DruidLand3,$T82,1),0)&gt;0,IFERROR(SEARCH(DruidLand4,$T82,1),0)&gt;0),1,0)*IF($C82=DO$2,1,0)=0,0,1+COUNTIF(DO$3:DO81,"&gt;0"))</f>
        <v>0</v>
      </c>
      <c r="DP82">
        <f>IF(IF(OR(IFERROR(SEARCH("Druid",$T82,1),0)&gt;0,IFERROR(SEARCH(DruidLand1,$T82,1),0)&gt;0,IFERROR(SEARCH(DruidLand2,$T82,1),0)&gt;0,IFERROR(SEARCH(DruidLand3,$T82,1),0)&gt;0,IFERROR(SEARCH(DruidLand4,$T82,1),0)&gt;0),1,0)*IF($C82=DP$2,1,0)=0,0,1+COUNTIF(DP$3:DP81,"&gt;0"))</f>
        <v>0</v>
      </c>
      <c r="DQ82">
        <f>IF(IF(OR(IFERROR(SEARCH("Druid",$T82,1),0)&gt;0,IFERROR(SEARCH(DruidLand1,$T82,1),0)&gt;0,IFERROR(SEARCH(DruidLand2,$T82,1),0)&gt;0,IFERROR(SEARCH(DruidLand3,$T82,1),0)&gt;0,IFERROR(SEARCH(DruidLand4,$T82,1),0)&gt;0),1,0)*IF($C82=DQ$2,1,0)=0,0,1+COUNTIF(DQ$3:DQ81,"&gt;0"))</f>
        <v>0</v>
      </c>
      <c r="DR82">
        <f>IF(IF(OR(IFERROR(SEARCH("Druid",$T82,1),0)&gt;0,IFERROR(SEARCH(DruidLand1,$T82,1),0)&gt;0,IFERROR(SEARCH(DruidLand2,$T82,1),0)&gt;0,IFERROR(SEARCH(DruidLand3,$T82,1),0)&gt;0,IFERROR(SEARCH(DruidLand4,$T82,1),0)&gt;0),1,0)*IF($C82=DR$2,1,0)=0,0,1+COUNTIF(DR$3:DR81,"&gt;0"))</f>
        <v>0</v>
      </c>
      <c r="DS82">
        <f>IF(IF(OR(IFERROR(SEARCH("Paladin",$T82,1),0)&gt;0,IFERROR(SEARCH(PaladinOath,$T82,1),0)&gt;0),1,0)*IF($C82=DS$2,1,0)=1,1+COUNTIF(DS$3:DS81,"&gt;0"),0)</f>
        <v>0</v>
      </c>
      <c r="DT82">
        <f>IF(IF(OR(IFERROR(SEARCH("Paladin",$T82,1),0)&gt;0,IFERROR(SEARCH(PaladinOath,$T82,1),0)&gt;0),1,0)*IF($C82=DT$2,1,0)=1,1+COUNTIF(DT$3:DT81,"&gt;0"),0)</f>
        <v>0</v>
      </c>
      <c r="DU82">
        <f>IF(IF(OR(IFERROR(SEARCH("Paladin",$T82,1),0)&gt;0,IFERROR(SEARCH(PaladinOath,$T82,1),0)&gt;0),1,0)*IF($C82=DU$2,1,0)=1,1+COUNTIF(DU$3:DU81,"&gt;0"),0)</f>
        <v>0</v>
      </c>
      <c r="DV82">
        <f>IF(IF(OR(IFERROR(SEARCH("Paladin",$T82,1),0)&gt;0,IFERROR(SEARCH(PaladinOath,$T82,1),0)&gt;0),1,0)*IF($C82=DV$2,1,0)=1,1+COUNTIF(DV$3:DV81,"&gt;0"),0)</f>
        <v>0</v>
      </c>
      <c r="DW82">
        <f>IF(IF(OR(IFERROR(SEARCH("Paladin",$T82,1),0)&gt;0,IFERROR(SEARCH(PaladinOath,$T82,1),0)&gt;0),1,0)*IF($C82=DW$2,1,0)=1,1+COUNTIF(DW$3:DW81,"&gt;0"),0)</f>
        <v>0</v>
      </c>
      <c r="DY82">
        <f t="shared" si="56"/>
        <v>1</v>
      </c>
      <c r="DZ82">
        <f>IF(DY82=0,0,1+MAX(DZ$3:$DZ81))</f>
        <v>80</v>
      </c>
      <c r="EB82">
        <f t="shared" si="70"/>
        <v>0</v>
      </c>
      <c r="EC82">
        <f>IF(EB82=0,0,1+COUNTIF(EC$3:EC81,"&gt;0"))</f>
        <v>0</v>
      </c>
      <c r="ED82" t="str">
        <f t="shared" si="98"/>
        <v/>
      </c>
      <c r="EE82" t="str">
        <f t="shared" si="71"/>
        <v/>
      </c>
      <c r="EG82">
        <f t="shared" si="72"/>
        <v>0</v>
      </c>
      <c r="EH82">
        <f>IF(EG82=0,0,1+COUNTIF(EH$3:EH81,"&gt;0"))</f>
        <v>0</v>
      </c>
      <c r="EI82" t="str">
        <f t="shared" si="99"/>
        <v/>
      </c>
      <c r="EJ82" t="str">
        <f t="shared" si="73"/>
        <v/>
      </c>
      <c r="EL82">
        <f t="shared" si="74"/>
        <v>0</v>
      </c>
      <c r="EM82">
        <f>IF(EL82=0,0,1+COUNTIF(EM$3:EM81,"&gt;0"))</f>
        <v>0</v>
      </c>
      <c r="EN82" t="str">
        <f t="shared" si="100"/>
        <v/>
      </c>
      <c r="EO82" t="str">
        <f t="shared" si="75"/>
        <v/>
      </c>
      <c r="EQ82">
        <f t="shared" si="76"/>
        <v>0</v>
      </c>
      <c r="ER82">
        <f>IF(EQ82=0,0,1+COUNTIF(ER$3:ER81,"&gt;0"))</f>
        <v>0</v>
      </c>
      <c r="ES82" t="str">
        <f t="shared" si="101"/>
        <v/>
      </c>
      <c r="ET82" t="str">
        <f t="shared" si="77"/>
        <v/>
      </c>
      <c r="EV82">
        <f t="shared" si="78"/>
        <v>0</v>
      </c>
      <c r="EW82">
        <f>IF(EV82=0,0,1+COUNTIF(EW$3:EW81,"&gt;0"))</f>
        <v>0</v>
      </c>
      <c r="EX82" t="str">
        <f t="shared" si="102"/>
        <v/>
      </c>
      <c r="EY82" t="str">
        <f t="shared" si="79"/>
        <v/>
      </c>
      <c r="FA82">
        <f t="shared" si="80"/>
        <v>0</v>
      </c>
      <c r="FB82">
        <f>IF(FA82=0,0,1+COUNTIF(FB$3:FB81,"&gt;0"))</f>
        <v>0</v>
      </c>
      <c r="FC82" t="str">
        <f t="shared" si="103"/>
        <v/>
      </c>
      <c r="FD82" t="str">
        <f t="shared" si="81"/>
        <v/>
      </c>
      <c r="FF82">
        <f t="shared" si="82"/>
        <v>0</v>
      </c>
      <c r="FG82">
        <f>IF(FF82=0,0,1+COUNTIF(FG$3:FG81,"&gt;0"))</f>
        <v>0</v>
      </c>
      <c r="FH82" t="str">
        <f t="shared" si="104"/>
        <v/>
      </c>
      <c r="FI82" t="str">
        <f t="shared" si="83"/>
        <v/>
      </c>
      <c r="FK82">
        <f t="shared" si="84"/>
        <v>0</v>
      </c>
      <c r="FL82">
        <f>IF(FK82=0,0,1+COUNTIF(FL$3:FL81,"&gt;0"))</f>
        <v>0</v>
      </c>
      <c r="FM82" t="str">
        <f t="shared" si="105"/>
        <v/>
      </c>
      <c r="FN82" t="str">
        <f t="shared" si="85"/>
        <v/>
      </c>
      <c r="FP82">
        <f t="shared" si="86"/>
        <v>0</v>
      </c>
      <c r="FQ82">
        <f>IF(FP82=0,0,1+COUNTIF(FQ$3:FQ81,"&gt;0"))</f>
        <v>0</v>
      </c>
      <c r="FR82" t="str">
        <f t="shared" si="106"/>
        <v/>
      </c>
      <c r="FS82" t="str">
        <f t="shared" si="87"/>
        <v/>
      </c>
    </row>
    <row r="83" spans="1:175" x14ac:dyDescent="0.25">
      <c r="A83" s="347">
        <f t="shared" si="107"/>
        <v>81</v>
      </c>
      <c r="B83" s="348" t="s">
        <v>2448</v>
      </c>
      <c r="C83" s="348">
        <v>6</v>
      </c>
      <c r="D83" s="347">
        <v>6</v>
      </c>
      <c r="E83" s="627" t="s">
        <v>6952</v>
      </c>
      <c r="F83" s="346"/>
      <c r="G83" s="347" t="str">
        <f>""</f>
        <v/>
      </c>
      <c r="H83" s="347" t="s">
        <v>5288</v>
      </c>
      <c r="I83" s="347" t="s">
        <v>5052</v>
      </c>
      <c r="J83" s="347" t="str">
        <f t="shared" si="57"/>
        <v/>
      </c>
      <c r="K83" s="347" t="s">
        <v>5278</v>
      </c>
      <c r="L83" s="611" t="str">
        <f t="shared" si="58"/>
        <v>V, S, M, one clay pot filled with grave dirt, one clay pot filled with brackish water and one 150 gp black onyx stone for each corpse</v>
      </c>
      <c r="M83" s="347" t="s">
        <v>2373</v>
      </c>
      <c r="N83" s="347" t="s">
        <v>2387</v>
      </c>
      <c r="O83" s="347" t="s">
        <v>1244</v>
      </c>
      <c r="P83" s="346" t="s">
        <v>5343</v>
      </c>
      <c r="Q83" s="347" t="s">
        <v>5275</v>
      </c>
      <c r="S83" s="346" t="s">
        <v>5646</v>
      </c>
      <c r="T83" s="346" t="str">
        <f t="shared" si="59"/>
        <v xml:space="preserve">Warlock, Cleric, Wizard, </v>
      </c>
      <c r="Y83" s="347" t="str">
        <f>$B83</f>
        <v>Create Undead</v>
      </c>
      <c r="Z83" s="347" t="str">
        <f>$B83</f>
        <v>Create Undead</v>
      </c>
      <c r="AD83" s="347" t="str">
        <f>$B83</f>
        <v>Create Undead</v>
      </c>
      <c r="AE83" t="str">
        <f>IF(IFERROR(MATCH($B83,temp!A$4:A$13,0),0)&gt;0,T08_Spells!AE$2,"")</f>
        <v/>
      </c>
      <c r="AF83" t="str">
        <f>IF(IFERROR(MATCH($B83,temp!B$4:B$13,0),0)&gt;0,T08_Spells!AF$2,"")</f>
        <v/>
      </c>
      <c r="AG83" t="str">
        <f>IF(IFERROR(MATCH($B83,temp!C$4:C$13,0),0)&gt;0,T08_Spells!AG$2,"")</f>
        <v/>
      </c>
      <c r="AH83" t="str">
        <f>IF(IFERROR(MATCH($B83,temp!D$4:D$13,0),0)&gt;0,T08_Spells!AH$2,"")</f>
        <v/>
      </c>
      <c r="AI83" t="str">
        <f>IF(IFERROR(MATCH($B83,temp!E$4:E$13,0),0)&gt;0,T08_Spells!AI$2,"")</f>
        <v/>
      </c>
      <c r="AJ83" t="str">
        <f>IF(IFERROR(MATCH($B83,temp!F$4:F$13,0),0)&gt;0,T08_Spells!AJ$2,"")</f>
        <v/>
      </c>
      <c r="AK83" t="str">
        <f>IF(IFERROR(MATCH($B83,temp!G$4:G$13,0),0)&gt;0,T08_Spells!AK$2,"")</f>
        <v/>
      </c>
      <c r="AL83" t="str">
        <f>IF(IFERROR(MATCH($B83,temp!H$4:H$13,0),0)&gt;0,T08_Spells!AL$2,"")</f>
        <v/>
      </c>
      <c r="AM83" t="str">
        <f>IF(IFERROR(MATCH($B83,temp!I$4:I$13,0),0)&gt;0,T08_Spells!AM$2,"")</f>
        <v/>
      </c>
      <c r="AN83" t="str">
        <f>IF(IFERROR(MATCH($B83,temp!J$4:J$13,0),0)&gt;0,T08_Spells!AN$2,"")</f>
        <v/>
      </c>
      <c r="AO83" t="str">
        <f>IF(IFERROR(MATCH($B83,temp!K$4:K$13,0),0)&gt;0,T08_Spells!AO$2,"")</f>
        <v/>
      </c>
      <c r="AP83" t="str">
        <f>IF(IFERROR(MATCH($B83,temp!L$4:L$13,0),0)&gt;0,T08_Spells!AP$2,"")</f>
        <v/>
      </c>
      <c r="AQ83" t="str">
        <f>IF(IFERROR(MATCH($B83,temp!M$4:M$13,0),0)&gt;0,T08_Spells!AQ$2,"")</f>
        <v/>
      </c>
      <c r="AR83" t="str">
        <f>IF(IFERROR(MATCH($B83,temp!N$4:N$13,0),0)&gt;0,T08_Spells!AR$2,"")</f>
        <v/>
      </c>
      <c r="AS83" t="str">
        <f>IF(IFERROR(MATCH($B83,temp!O$4:O$13,0),0)&gt;0,T08_Spells!AS$2,"")</f>
        <v/>
      </c>
      <c r="AT83" t="str">
        <f>IF(IFERROR(MATCH($B83,temp!P$4:P$13,0),0)&gt;0,T08_Spells!AT$2,"")</f>
        <v/>
      </c>
      <c r="AU83" t="str">
        <f>IF(IFERROR(MATCH($B83,temp!Q$4:Q$13,0),0)&gt;0,T08_Spells!AU$2,"")</f>
        <v/>
      </c>
      <c r="AV83" t="str">
        <f>IF(IFERROR(MATCH($B83,temp!R$4:R$13,0),0)&gt;0,T08_Spells!AV$2,"")</f>
        <v/>
      </c>
      <c r="AW83" t="str">
        <f>IF(IFERROR(MATCH($B83,temp!S$4:S$13,0),0)&gt;0,T08_Spells!AW$2,"")</f>
        <v/>
      </c>
      <c r="AX83" t="str">
        <f>IF(IFERROR(MATCH($B83,temp!T$4:T$13,0),0)&gt;0,T08_Spells!AX$2,"")</f>
        <v/>
      </c>
      <c r="AY83" t="str">
        <f>IF(IFERROR(MATCH($B83,temp!U$4:U$13,0),0)&gt;0,T08_Spells!AY$2,"")</f>
        <v/>
      </c>
      <c r="AZ83" t="str">
        <f>IF(IFERROR(MATCH($B83,temp!V$4:V$13,0),0)&gt;0,T08_Spells!AZ$2,"")</f>
        <v/>
      </c>
      <c r="BA83" t="str">
        <f>IF(IFERROR(MATCH($B83,temp!W$4:W$13,0),0)&gt;0,T08_Spells!BA$2,"")</f>
        <v/>
      </c>
      <c r="BC83">
        <f>IF(IFERROR(SEARCH("Ranger",$T83,1),0)&gt;0,1,0)*IF(RangerMaxSpellLevel&gt;=$C83,1,0)*IF(IFERROR(MATCH(B83,Character_Creation!$X$79:$X$382,0),0)&gt;0,0,1)</f>
        <v>0</v>
      </c>
      <c r="BD83">
        <f>IF(BC83=0,0,1+COUNTIF(BD$3:BD82,"&gt;0"))</f>
        <v>0</v>
      </c>
      <c r="BE83" t="str">
        <f t="shared" si="88"/>
        <v/>
      </c>
      <c r="BF83" t="str">
        <f t="shared" si="60"/>
        <v/>
      </c>
      <c r="BH83">
        <f>IF(IFERROR(SEARCH("Sorcerer",$T83,1),0)&gt;0,1,0)*IF(SorcererMaxSpellLevel&gt;=$C83,1,0)*IF(IFERROR(MATCH(B83,Character_Creation!$J$380:$J$394,0),0)&gt;0,0,1)</f>
        <v>0</v>
      </c>
      <c r="BI83">
        <f>IF(BH83=0,0,1+COUNTIF(BI$3:BI82,"&gt;0"))</f>
        <v>0</v>
      </c>
      <c r="BJ83" t="str">
        <f t="shared" si="89"/>
        <v/>
      </c>
      <c r="BK83" t="str">
        <f t="shared" si="61"/>
        <v/>
      </c>
      <c r="BM83">
        <f>IF(OR(IFERROR(SEARCH("Warlock",$T83,1),0)&gt;0,IFERROR(SEARCH(WarlockPatron,$T83,1),0)&gt;0),1,0)*IF(WarlockMaxSpellLevel&gt;=$C83,1,0)*IF(IFERROR(MATCH(B83,Character_Creation!$J$361:$J$375,0),0)&gt;0,0,1)</f>
        <v>0</v>
      </c>
      <c r="BN83">
        <f>IF(BM83=0,0,1+COUNTIF(BN$3:BN82,"&gt;0"))</f>
        <v>0</v>
      </c>
      <c r="BO83" t="str">
        <f t="shared" si="90"/>
        <v/>
      </c>
      <c r="BP83" t="str">
        <f t="shared" si="62"/>
        <v/>
      </c>
      <c r="BR83">
        <f>IF(IFERROR(SEARCH("Eldritch Knight",$T83,1),0)&gt;0,1,0)*IF(EldritchKnightMaxSpellLevel&gt;=$C83,1,0)*IF(IFERROR(MATCH($B83,Character_Creation!$J$350:$J$356,0),0)&gt;0,0,1)*IF(Character_Creation!$M$338&gt;0,1,0)</f>
        <v>0</v>
      </c>
      <c r="BS83">
        <f>IF(BR83=0,0,1+COUNTIF(BS$3:BS82,"&gt;0"))</f>
        <v>0</v>
      </c>
      <c r="BT83" t="str">
        <f t="shared" si="91"/>
        <v/>
      </c>
      <c r="BU83" t="str">
        <f t="shared" si="63"/>
        <v/>
      </c>
      <c r="BW83">
        <f>IF(IFERROR(SEARCH("Arcane Trickster",$T83,1),0)&gt;0,1,0)*IF(ArcaneTricksterMaxSpellLevel&gt;=$C83,1,0)*IF(IFERROR(MATCH($B83,Character_Creation!$J$350:$J$356,0),0)&gt;0,0,1)*IF(Character_Creation!$T$338&gt;0,1,0)</f>
        <v>0</v>
      </c>
      <c r="BX83">
        <f>IF(BW83=0,0,1+COUNTIF(BX$3:BX82,"&gt;0"))</f>
        <v>0</v>
      </c>
      <c r="BY83" t="str">
        <f t="shared" si="92"/>
        <v/>
      </c>
      <c r="BZ83" t="str">
        <f t="shared" si="64"/>
        <v/>
      </c>
      <c r="CB83">
        <f>IF(IFERROR(SEARCH("Wizard",$T83,1),0)&gt;0,1,0)*IF(C83&lt;=ArcaneTricksterMaxSpellLevel,1,0)*IF(IFERROR(MATCH($B83,Character_Creation!$J$350:$J$356,0),0)&gt;0,0,1)*IF(Character_Creation!$T$350&gt;0,1,0)</f>
        <v>0</v>
      </c>
      <c r="CC83">
        <f>IF(CB83=0,0,1+COUNTIF(CC$3:CC82,"&gt;0"))</f>
        <v>0</v>
      </c>
      <c r="CD83" t="str">
        <f t="shared" si="93"/>
        <v/>
      </c>
      <c r="CE83" t="str">
        <f t="shared" si="65"/>
        <v/>
      </c>
      <c r="CG83">
        <f>IF(IFERROR(SEARCH("Wizard",$T83,1),0)&gt;0,1,0)*IF($C83&lt;=EldritchKnightMaxSpellLevel,1,0)*IF(IFERROR(MATCH($B83,Character_Creation!$J$350:$J$356,0),0)&gt;0,0,1)*IF(Character_Creation!$M$350&gt;0,1,0)</f>
        <v>0</v>
      </c>
      <c r="CH83">
        <f>IF(CG83=0,0,1+COUNTIF(CH$3:CH82,"&gt;0"))</f>
        <v>0</v>
      </c>
      <c r="CI83" t="str">
        <f t="shared" si="94"/>
        <v/>
      </c>
      <c r="CJ83" t="str">
        <f t="shared" si="66"/>
        <v/>
      </c>
      <c r="CL83">
        <f>IF(IFERROR(SEARCH("Bard",$T83,1),0)&gt;0,1,0)*IF(BardMaxSpellLevel&gt;=$C83,1,0)*IF(IFERROR(MATCH(B83,Character_Creation!$C$341:$F$362,0),0)&gt;0,0,1)*IF(IFERROR(MATCH($B83,Character_Creation!$C$341:$C$362,0),0)&gt;0,0,1)</f>
        <v>0</v>
      </c>
      <c r="CM83">
        <f>IF(CL83=0,0,1+COUNTIF(CM$3:CM82,"&gt;0"))</f>
        <v>0</v>
      </c>
      <c r="CN83" t="str">
        <f t="shared" si="95"/>
        <v/>
      </c>
      <c r="CO83" t="str">
        <f t="shared" si="67"/>
        <v/>
      </c>
      <c r="CQ83">
        <f>IF(IFERROR(SEARCH("Wizard",$T83,1),0)&gt;0,1,0)*IF(WizardMaxSpellLevel&gt;=$C83,1,0)*IF(IFERROR(MATCH(B83,Character_Creation!$X$341:$X$400,0),0)&gt;0,0,1)*IF(SelectedWizardSpellLevel=$C83,1,0)</f>
        <v>0</v>
      </c>
      <c r="CR83">
        <f>IF(CQ83=0,0,1+COUNTIF(CR$3:CR82,"&gt;0"))</f>
        <v>0</v>
      </c>
      <c r="CS83" t="str">
        <f t="shared" si="96"/>
        <v/>
      </c>
      <c r="CT83" t="str">
        <f t="shared" si="68"/>
        <v/>
      </c>
      <c r="CV83">
        <f>IF(IFERROR(MATCH($B83,Character_Creation!$C$341:$C$362,0),0)&gt;0,0,1)*IF(OR(C83="Cantrip",C83&lt;=BardMaxSpellLevel),1,0)*IF(IFERROR(MATCH($B83,Character_Creation!$C$367:$C$374,0),0)&gt;0,0,1)</f>
        <v>0</v>
      </c>
      <c r="CW83">
        <f>IF(CV83=0,0,1+COUNTIF(CW$3:CW82,"&gt;0"))</f>
        <v>0</v>
      </c>
      <c r="CX83" t="str">
        <f t="shared" si="97"/>
        <v/>
      </c>
      <c r="CY83" t="str">
        <f t="shared" si="69"/>
        <v/>
      </c>
      <c r="DA83">
        <f>IF(IF(OR(IFERROR(SEARCH("Cleric",$T83,1),0)&gt;0,IFERROR(SEARCH(DivineDomain&amp;",",$T83,1),0)&gt;0),1,0)*IF($C83=DA$2,1,0)=1,1+COUNTIF(DA$3:DA82,"&gt;0"),0)</f>
        <v>0</v>
      </c>
      <c r="DB83">
        <f>IF(IF(OR(IFERROR(SEARCH("Cleric",$T83,1),0)&gt;0,IFERROR(SEARCH(DivineDomain&amp;",",$T83,1),0)&gt;0),1,0)*IF($C83=DB$2,1,0)=1,1+COUNTIF(DB$3:DB82,"&gt;0"),0)</f>
        <v>0</v>
      </c>
      <c r="DC83">
        <f>IF(IF(OR(IFERROR(SEARCH("Cleric",$T83,1),0)&gt;0,IFERROR(SEARCH(DivineDomain&amp;",",$T83,1),0)&gt;0),1,0)*IF($C83=DC$2,1,0)=1,1+COUNTIF(DC$3:DC82,"&gt;0"),0)</f>
        <v>0</v>
      </c>
      <c r="DD83">
        <f>IF(IF(OR(IFERROR(SEARCH("Cleric",$T83,1),0)&gt;0,IFERROR(SEARCH(DivineDomain&amp;",",$T83,1),0)&gt;0),1,0)*IF($C83=DD$2,1,0)=1,1+COUNTIF(DD$3:DD82,"&gt;0"),0)</f>
        <v>0</v>
      </c>
      <c r="DE83">
        <f>IF(IF(OR(IFERROR(SEARCH("Cleric",$T83,1),0)&gt;0,IFERROR(SEARCH(DivineDomain&amp;",",$T83,1),0)&gt;0),1,0)*IF($C83=DE$2,1,0)=1,1+COUNTIF(DE$3:DE82,"&gt;0"),0)</f>
        <v>0</v>
      </c>
      <c r="DF83">
        <f>IF(IF(OR(IFERROR(SEARCH("Cleric",$T83,1),0)&gt;0,IFERROR(SEARCH(DivineDomain&amp;",",$T83,1),0)&gt;0),1,0)*IF($C83=DF$2,1,0)=1,1+COUNTIF(DF$3:DF82,"&gt;0"),0)</f>
        <v>2</v>
      </c>
      <c r="DG83">
        <f>IF(IF(OR(IFERROR(SEARCH("Cleric",$T83,1),0)&gt;0,IFERROR(SEARCH(DivineDomain&amp;",",$T83,1),0)&gt;0),1,0)*IF($C83=DG$2,1,0)=1,1+COUNTIF(DG$3:DG82,"&gt;0"),0)</f>
        <v>0</v>
      </c>
      <c r="DH83">
        <f>IF(IF(OR(IFERROR(SEARCH("Cleric",$T83,1),0)&gt;0,IFERROR(SEARCH(DivineDomain&amp;",",$T83,1),0)&gt;0),1,0)*IF($C83=DH$2,1,0)=1,1+COUNTIF(DH$3:DH82,"&gt;0"),0)</f>
        <v>0</v>
      </c>
      <c r="DI83">
        <f>IF(IF(OR(IFERROR(SEARCH("Cleric",$T83,1),0)&gt;0,IFERROR(SEARCH(DivineDomain&amp;",",$T83,1),0)&gt;0),1,0)*IF($C83=DI$2,1,0)=1,1+COUNTIF(DI$3:DI82,"&gt;0"),0)</f>
        <v>0</v>
      </c>
      <c r="DJ83">
        <f>IF(IF(OR(IFERROR(SEARCH("Druid",$T83,1),0)&gt;0,IFERROR(SEARCH(DruidLand1,$T83,1),0)&gt;0,IFERROR(SEARCH(DruidLand2,$T83,1),0)&gt;0,IFERROR(SEARCH(DruidLand3,$T83,1),0)&gt;0,IFERROR(SEARCH(DruidLand4,$T83,1),0)&gt;0),1,0)*IF($C83=1,1,0)*IF($C83=DJ$2,1,0)=0,0,1+COUNTIF(DJ$3:DJ82,"&gt;0"))</f>
        <v>0</v>
      </c>
      <c r="DK83">
        <f>IF(IF(OR(IFERROR(SEARCH("Druid",$T83,1),0)&gt;0,IFERROR(SEARCH(DruidLand1,$T83,1),0)&gt;0,IFERROR(SEARCH(DruidLand2,$T83,1),0)&gt;0,IFERROR(SEARCH(DruidLand3,$T83,1),0)&gt;0,IFERROR(SEARCH(DruidLand4,$T83,1),0)&gt;0),1,0)*IF($C83=1,1,0)*IF($C83=DK$2,1,0)=0,0,1+COUNTIF(DK$3:DK82,"&gt;0"))</f>
        <v>0</v>
      </c>
      <c r="DL83">
        <f>IF(IF(OR(IFERROR(SEARCH("Druid",$T83,1),0)&gt;0,IFERROR(SEARCH(DruidLand1,$T83,1),0)&gt;0,IFERROR(SEARCH(DruidLand2,$T83,1),0)&gt;0,IFERROR(SEARCH(DruidLand3,$T83,1),0)&gt;0,IFERROR(SEARCH(DruidLand4,$T83,1),0)&gt;0),1,0)*IF($C83=1,1,0)*IF($C83=DL$2,1,0)=0,0,1+COUNTIF(DL$3:DL82,"&gt;0"))</f>
        <v>0</v>
      </c>
      <c r="DM83">
        <f>IF(IF(OR(IFERROR(SEARCH("Druid",$T83,1),0)&gt;0,IFERROR(SEARCH(DruidLand1,$T83,1),0)&gt;0,IFERROR(SEARCH(DruidLand2,$T83,1),0)&gt;0,IFERROR(SEARCH(DruidLand3,$T83,1),0)&gt;0,IFERROR(SEARCH(DruidLand4,$T83,1),0)&gt;0),1,0)*IF($C83=1,1,0)*IF($C83=DM$2,1,0)=0,0,1+COUNTIF(DM$3:DM82,"&gt;0"))</f>
        <v>0</v>
      </c>
      <c r="DN83">
        <f>IF(IF(OR(IFERROR(SEARCH("Druid",$T83,1),0)&gt;0,IFERROR(SEARCH(DruidLand1,$T83,1),0)&gt;0,IFERROR(SEARCH(DruidLand2,$T83,1),0)&gt;0,IFERROR(SEARCH(DruidLand3,$T83,1),0)&gt;0,IFERROR(SEARCH(DruidLand4,$T83,1),0)&gt;0),1,0)*IF($C83=1,1,0)*IF($C83=DN$2,1,0)=0,0,1+COUNTIF(DN$3:DN82,"&gt;0"))</f>
        <v>0</v>
      </c>
      <c r="DO83">
        <f>IF(IF(OR(IFERROR(SEARCH("Druid",$T83,1),0)&gt;0,IFERROR(SEARCH(DruidLand1,$T83,1),0)&gt;0,IFERROR(SEARCH(DruidLand2,$T83,1),0)&gt;0,IFERROR(SEARCH(DruidLand3,$T83,1),0)&gt;0,IFERROR(SEARCH(DruidLand4,$T83,1),0)&gt;0),1,0)*IF($C83=1,1,0)*IF($C83=DO$2,1,0)=0,0,1+COUNTIF(DO$3:DO82,"&gt;0"))</f>
        <v>0</v>
      </c>
      <c r="DP83">
        <f>IF(IF(OR(IFERROR(SEARCH("Druid",$T83,1),0)&gt;0,IFERROR(SEARCH(DruidLand1,$T83,1),0)&gt;0,IFERROR(SEARCH(DruidLand2,$T83,1),0)&gt;0,IFERROR(SEARCH(DruidLand3,$T83,1),0)&gt;0,IFERROR(SEARCH(DruidLand4,$T83,1),0)&gt;0),1,0)*IF($C83=1,1,0)*IF($C83=DP$2,1,0)=0,0,1+COUNTIF(DP$3:DP82,"&gt;0"))</f>
        <v>0</v>
      </c>
      <c r="DQ83">
        <f>IF(IF(OR(IFERROR(SEARCH("Druid",$T83,1),0)&gt;0,IFERROR(SEARCH(DruidLand1,$T83,1),0)&gt;0,IFERROR(SEARCH(DruidLand2,$T83,1),0)&gt;0,IFERROR(SEARCH(DruidLand3,$T83,1),0)&gt;0,IFERROR(SEARCH(DruidLand4,$T83,1),0)&gt;0),1,0)*IF($C83=1,1,0)*IF($C83=DQ$2,1,0)=0,0,1+COUNTIF(DQ$3:DQ82,"&gt;0"))</f>
        <v>0</v>
      </c>
      <c r="DR83">
        <f>IF(IF(OR(IFERROR(SEARCH("Druid",$T83,1),0)&gt;0,IFERROR(SEARCH(DruidLand1,$T83,1),0)&gt;0,IFERROR(SEARCH(DruidLand2,$T83,1),0)&gt;0,IFERROR(SEARCH(DruidLand3,$T83,1),0)&gt;0,IFERROR(SEARCH(DruidLand4,$T83,1),0)&gt;0),1,0)*IF($C83=1,1,0)*IF($C83=DR$2,1,0)=0,0,1+COUNTIF(DR$3:DR82,"&gt;0"))</f>
        <v>0</v>
      </c>
      <c r="DS83">
        <f>IF(IF(OR(IFERROR(SEARCH("Paladin",$T83,1),0)&gt;0,IFERROR(SEARCH(PaladinOath,$T83,1),0)&gt;0),1,0)*IF($C83=DS$2,1,0)=1,1+COUNTIF(DS$3:DS82,"&gt;0"),0)</f>
        <v>0</v>
      </c>
      <c r="DT83">
        <f>IF(IF(OR(IFERROR(SEARCH("Paladin",$T83,1),0)&gt;0,IFERROR(SEARCH(PaladinOath,$T83,1),0)&gt;0),1,0)*IF($C83=DT$2,1,0)=1,1+COUNTIF(DT$3:DT82,"&gt;0"),0)</f>
        <v>0</v>
      </c>
      <c r="DU83">
        <f>IF(IF(OR(IFERROR(SEARCH("Paladin",$T83,1),0)&gt;0,IFERROR(SEARCH(PaladinOath,$T83,1),0)&gt;0),1,0)*IF($C83=DU$2,1,0)=1,1+COUNTIF(DU$3:DU82,"&gt;0"),0)</f>
        <v>0</v>
      </c>
      <c r="DV83">
        <f>IF(IF(OR(IFERROR(SEARCH("Paladin",$T83,1),0)&gt;0,IFERROR(SEARCH(PaladinOath,$T83,1),0)&gt;0),1,0)*IF($C83=DV$2,1,0)=1,1+COUNTIF(DV$3:DV82,"&gt;0"),0)</f>
        <v>0</v>
      </c>
      <c r="DW83">
        <f>IF(IF(OR(IFERROR(SEARCH("Paladin",$T83,1),0)&gt;0,IFERROR(SEARCH(PaladinOath,$T83,1),0)&gt;0),1,0)*IF($C83=DW$2,1,0)=1,1+COUNTIF(DW$3:DW82,"&gt;0"),0)</f>
        <v>0</v>
      </c>
      <c r="DY83">
        <f t="shared" si="56"/>
        <v>1</v>
      </c>
      <c r="DZ83">
        <f>IF(DY83=0,0,1+MAX(DZ$3:$DZ82))</f>
        <v>81</v>
      </c>
      <c r="EB83">
        <f t="shared" si="70"/>
        <v>0</v>
      </c>
      <c r="EC83">
        <f>IF(EB83=0,0,1+COUNTIF(EC$3:EC82,"&gt;0"))</f>
        <v>0</v>
      </c>
      <c r="ED83" t="str">
        <f t="shared" si="98"/>
        <v/>
      </c>
      <c r="EE83" t="str">
        <f t="shared" si="71"/>
        <v/>
      </c>
      <c r="EG83">
        <f t="shared" si="72"/>
        <v>0</v>
      </c>
      <c r="EH83">
        <f>IF(EG83=0,0,1+COUNTIF(EH$3:EH82,"&gt;0"))</f>
        <v>0</v>
      </c>
      <c r="EI83" t="str">
        <f t="shared" si="99"/>
        <v/>
      </c>
      <c r="EJ83" t="str">
        <f t="shared" si="73"/>
        <v/>
      </c>
      <c r="EL83">
        <f t="shared" si="74"/>
        <v>0</v>
      </c>
      <c r="EM83">
        <f>IF(EL83=0,0,1+COUNTIF(EM$3:EM82,"&gt;0"))</f>
        <v>0</v>
      </c>
      <c r="EN83" t="str">
        <f t="shared" si="100"/>
        <v/>
      </c>
      <c r="EO83" t="str">
        <f t="shared" si="75"/>
        <v/>
      </c>
      <c r="EQ83">
        <f t="shared" si="76"/>
        <v>0</v>
      </c>
      <c r="ER83">
        <f>IF(EQ83=0,0,1+COUNTIF(ER$3:ER82,"&gt;0"))</f>
        <v>0</v>
      </c>
      <c r="ES83" t="str">
        <f t="shared" si="101"/>
        <v/>
      </c>
      <c r="ET83" t="str">
        <f t="shared" si="77"/>
        <v/>
      </c>
      <c r="EV83">
        <f t="shared" si="78"/>
        <v>0</v>
      </c>
      <c r="EW83">
        <f>IF(EV83=0,0,1+COUNTIF(EW$3:EW82,"&gt;0"))</f>
        <v>0</v>
      </c>
      <c r="EX83" t="str">
        <f t="shared" si="102"/>
        <v/>
      </c>
      <c r="EY83" t="str">
        <f t="shared" si="79"/>
        <v/>
      </c>
      <c r="FA83">
        <f t="shared" si="80"/>
        <v>0</v>
      </c>
      <c r="FB83">
        <f>IF(FA83=0,0,1+COUNTIF(FB$3:FB82,"&gt;0"))</f>
        <v>0</v>
      </c>
      <c r="FC83" t="str">
        <f t="shared" si="103"/>
        <v/>
      </c>
      <c r="FD83" t="str">
        <f t="shared" si="81"/>
        <v/>
      </c>
      <c r="FF83">
        <f t="shared" si="82"/>
        <v>0</v>
      </c>
      <c r="FG83">
        <f>IF(FF83=0,0,1+COUNTIF(FG$3:FG82,"&gt;0"))</f>
        <v>0</v>
      </c>
      <c r="FH83" t="str">
        <f t="shared" si="104"/>
        <v/>
      </c>
      <c r="FI83" t="str">
        <f t="shared" si="83"/>
        <v/>
      </c>
      <c r="FK83">
        <f t="shared" si="84"/>
        <v>0</v>
      </c>
      <c r="FL83">
        <f>IF(FK83=0,0,1+COUNTIF(FL$3:FL82,"&gt;0"))</f>
        <v>0</v>
      </c>
      <c r="FM83" t="str">
        <f t="shared" si="105"/>
        <v/>
      </c>
      <c r="FN83" t="str">
        <f t="shared" si="85"/>
        <v/>
      </c>
      <c r="FP83">
        <f t="shared" si="86"/>
        <v>0</v>
      </c>
      <c r="FQ83">
        <f>IF(FP83=0,0,1+COUNTIF(FQ$3:FQ82,"&gt;0"))</f>
        <v>0</v>
      </c>
      <c r="FR83" t="str">
        <f t="shared" si="106"/>
        <v/>
      </c>
      <c r="FS83" t="str">
        <f t="shared" si="87"/>
        <v/>
      </c>
    </row>
    <row r="84" spans="1:175" x14ac:dyDescent="0.25">
      <c r="A84" s="347">
        <f t="shared" si="107"/>
        <v>82</v>
      </c>
      <c r="B84" s="348" t="s">
        <v>2449</v>
      </c>
      <c r="C84" s="348">
        <v>5</v>
      </c>
      <c r="D84" s="347">
        <v>5</v>
      </c>
      <c r="E84" s="627" t="s">
        <v>6952</v>
      </c>
      <c r="F84" s="346"/>
      <c r="G84" s="347" t="str">
        <f>""</f>
        <v/>
      </c>
      <c r="H84" s="347" t="s">
        <v>5288</v>
      </c>
      <c r="I84" s="347" t="s">
        <v>5060</v>
      </c>
      <c r="J84" s="347" t="str">
        <f t="shared" si="57"/>
        <v/>
      </c>
      <c r="K84" s="347" t="s">
        <v>5302</v>
      </c>
      <c r="L84" s="611" t="str">
        <f t="shared" si="58"/>
        <v>V, S, M, a tiny piece of matter of the same type of the item you plan to create</v>
      </c>
      <c r="M84" s="347" t="s">
        <v>2373</v>
      </c>
      <c r="N84" s="347" t="s">
        <v>2387</v>
      </c>
      <c r="O84" s="347" t="s">
        <v>1244</v>
      </c>
      <c r="P84" s="346" t="s">
        <v>5344</v>
      </c>
      <c r="Q84" s="347" t="s">
        <v>5274</v>
      </c>
      <c r="S84" s="346" t="s">
        <v>5647</v>
      </c>
      <c r="T84" s="346" t="str">
        <f t="shared" si="59"/>
        <v xml:space="preserve">Sorcerer, Arcane Trickster, Wizard, </v>
      </c>
      <c r="X84" s="347" t="str">
        <f>$B84</f>
        <v>Creation</v>
      </c>
      <c r="AC84" s="539" t="str">
        <f>B84</f>
        <v>Creation</v>
      </c>
      <c r="AD84" s="347" t="str">
        <f>$B84</f>
        <v>Creation</v>
      </c>
      <c r="AE84" t="str">
        <f>IF(IFERROR(MATCH($B84,temp!A$4:A$13,0),0)&gt;0,T08_Spells!AE$2,"")</f>
        <v/>
      </c>
      <c r="AF84" t="str">
        <f>IF(IFERROR(MATCH($B84,temp!B$4:B$13,0),0)&gt;0,T08_Spells!AF$2,"")</f>
        <v/>
      </c>
      <c r="AG84" t="str">
        <f>IF(IFERROR(MATCH($B84,temp!C$4:C$13,0),0)&gt;0,T08_Spells!AG$2,"")</f>
        <v/>
      </c>
      <c r="AH84" t="str">
        <f>IF(IFERROR(MATCH($B84,temp!D$4:D$13,0),0)&gt;0,T08_Spells!AH$2,"")</f>
        <v/>
      </c>
      <c r="AI84" t="str">
        <f>IF(IFERROR(MATCH($B84,temp!E$4:E$13,0),0)&gt;0,T08_Spells!AI$2,"")</f>
        <v/>
      </c>
      <c r="AJ84" t="str">
        <f>IF(IFERROR(MATCH($B84,temp!F$4:F$13,0),0)&gt;0,T08_Spells!AJ$2,"")</f>
        <v/>
      </c>
      <c r="AK84" t="str">
        <f>IF(IFERROR(MATCH($B84,temp!G$4:G$13,0),0)&gt;0,T08_Spells!AK$2,"")</f>
        <v/>
      </c>
      <c r="AL84" t="str">
        <f>IF(IFERROR(MATCH($B84,temp!H$4:H$13,0),0)&gt;0,T08_Spells!AL$2,"")</f>
        <v/>
      </c>
      <c r="AM84" t="str">
        <f>IF(IFERROR(MATCH($B84,temp!I$4:I$13,0),0)&gt;0,T08_Spells!AM$2,"")</f>
        <v/>
      </c>
      <c r="AN84" t="str">
        <f>IF(IFERROR(MATCH($B84,temp!J$4:J$13,0),0)&gt;0,T08_Spells!AN$2,"")</f>
        <v/>
      </c>
      <c r="AO84" t="str">
        <f>IF(IFERROR(MATCH($B84,temp!K$4:K$13,0),0)&gt;0,T08_Spells!AO$2,"")</f>
        <v/>
      </c>
      <c r="AP84" t="str">
        <f>IF(IFERROR(MATCH($B84,temp!L$4:L$13,0),0)&gt;0,T08_Spells!AP$2,"")</f>
        <v/>
      </c>
      <c r="AQ84" t="str">
        <f>IF(IFERROR(MATCH($B84,temp!M$4:M$13,0),0)&gt;0,T08_Spells!AQ$2,"")</f>
        <v/>
      </c>
      <c r="AR84" t="str">
        <f>IF(IFERROR(MATCH($B84,temp!N$4:N$13,0),0)&gt;0,T08_Spells!AR$2,"")</f>
        <v/>
      </c>
      <c r="AS84" t="str">
        <f>IF(IFERROR(MATCH($B84,temp!O$4:O$13,0),0)&gt;0,T08_Spells!AS$2,"")</f>
        <v/>
      </c>
      <c r="AT84" t="str">
        <f>IF(IFERROR(MATCH($B84,temp!P$4:P$13,0),0)&gt;0,T08_Spells!AT$2,"")</f>
        <v/>
      </c>
      <c r="AU84" t="str">
        <f>IF(IFERROR(MATCH($B84,temp!Q$4:Q$13,0),0)&gt;0,T08_Spells!AU$2,"")</f>
        <v/>
      </c>
      <c r="AV84" t="str">
        <f>IF(IFERROR(MATCH($B84,temp!R$4:R$13,0),0)&gt;0,T08_Spells!AV$2,"")</f>
        <v/>
      </c>
      <c r="AW84" t="str">
        <f>IF(IFERROR(MATCH($B84,temp!S$4:S$13,0),0)&gt;0,T08_Spells!AW$2,"")</f>
        <v/>
      </c>
      <c r="AX84" t="str">
        <f>IF(IFERROR(MATCH($B84,temp!T$4:T$13,0),0)&gt;0,T08_Spells!AX$2,"")</f>
        <v/>
      </c>
      <c r="AY84" t="str">
        <f>IF(IFERROR(MATCH($B84,temp!U$4:U$13,0),0)&gt;0,T08_Spells!AY$2,"")</f>
        <v/>
      </c>
      <c r="AZ84" t="str">
        <f>IF(IFERROR(MATCH($B84,temp!V$4:V$13,0),0)&gt;0,T08_Spells!AZ$2,"")</f>
        <v/>
      </c>
      <c r="BA84" t="str">
        <f>IF(IFERROR(MATCH($B84,temp!W$4:W$13,0),0)&gt;0,T08_Spells!BA$2,"")</f>
        <v/>
      </c>
      <c r="BC84">
        <f>IF(IFERROR(SEARCH("Ranger",$T84,1),0)&gt;0,1,0)*IF(RangerMaxSpellLevel&gt;=$C84,1,0)*IF(IFERROR(MATCH(B84,Character_Creation!$X$79:$X$382,0),0)&gt;0,0,1)</f>
        <v>0</v>
      </c>
      <c r="BD84">
        <f>IF(BC84=0,0,1+COUNTIF(BD$3:BD83,"&gt;0"))</f>
        <v>0</v>
      </c>
      <c r="BE84" t="str">
        <f t="shared" si="88"/>
        <v/>
      </c>
      <c r="BF84" t="str">
        <f t="shared" si="60"/>
        <v/>
      </c>
      <c r="BH84">
        <f>IF(IFERROR(SEARCH("Sorcerer",$T84,1),0)&gt;0,1,0)*IF(SorcererMaxSpellLevel&gt;=$C84,1,0)*IF(IFERROR(MATCH(B84,Character_Creation!$J$380:$J$394,0),0)&gt;0,0,1)</f>
        <v>0</v>
      </c>
      <c r="BI84">
        <f>IF(BH84=0,0,1+COUNTIF(BI$3:BI83,"&gt;0"))</f>
        <v>0</v>
      </c>
      <c r="BJ84" t="str">
        <f t="shared" si="89"/>
        <v/>
      </c>
      <c r="BK84" t="str">
        <f t="shared" si="61"/>
        <v/>
      </c>
      <c r="BM84">
        <f>IF(OR(IFERROR(SEARCH("Warlock",$T84,1),0)&gt;0,IFERROR(SEARCH(WarlockPatron,$T84,1),0)&gt;0),1,0)*IF(WarlockMaxSpellLevel&gt;=$C84,1,0)*IF(IFERROR(MATCH(B84,Character_Creation!$J$361:$J$375,0),0)&gt;0,0,1)</f>
        <v>0</v>
      </c>
      <c r="BN84">
        <f>IF(BM84=0,0,1+COUNTIF(BN$3:BN83,"&gt;0"))</f>
        <v>0</v>
      </c>
      <c r="BO84" t="str">
        <f t="shared" si="90"/>
        <v/>
      </c>
      <c r="BP84" t="str">
        <f t="shared" si="62"/>
        <v/>
      </c>
      <c r="BR84">
        <f>IF(IFERROR(SEARCH("Eldritch Knight",$T84,1),0)&gt;0,1,0)*IF(EldritchKnightMaxSpellLevel&gt;=$C84,1,0)*IF(IFERROR(MATCH($B84,Character_Creation!$J$350:$J$356,0),0)&gt;0,0,1)*IF(Character_Creation!$M$338&gt;0,1,0)</f>
        <v>0</v>
      </c>
      <c r="BS84">
        <f>IF(BR84=0,0,1+COUNTIF(BS$3:BS83,"&gt;0"))</f>
        <v>0</v>
      </c>
      <c r="BT84" t="str">
        <f t="shared" si="91"/>
        <v/>
      </c>
      <c r="BU84" t="str">
        <f t="shared" si="63"/>
        <v/>
      </c>
      <c r="BW84">
        <f>IF(IFERROR(SEARCH("Arcane Trickster",$T84,1),0)&gt;0,1,0)*IF(ArcaneTricksterMaxSpellLevel&gt;=$C84,1,0)*IF(IFERROR(MATCH($B84,Character_Creation!$J$350:$J$356,0),0)&gt;0,0,1)*IF(Character_Creation!$T$338&gt;0,1,0)</f>
        <v>0</v>
      </c>
      <c r="BX84">
        <f>IF(BW84=0,0,1+COUNTIF(BX$3:BX83,"&gt;0"))</f>
        <v>0</v>
      </c>
      <c r="BY84" t="str">
        <f t="shared" si="92"/>
        <v/>
      </c>
      <c r="BZ84" t="str">
        <f t="shared" si="64"/>
        <v/>
      </c>
      <c r="CB84">
        <f>IF(IFERROR(SEARCH("Wizard",$T84,1),0)&gt;0,1,0)*IF(C84&lt;=ArcaneTricksterMaxSpellLevel,1,0)*IF(IFERROR(MATCH($B84,Character_Creation!$J$350:$J$356,0),0)&gt;0,0,1)*IF(Character_Creation!$T$350&gt;0,1,0)</f>
        <v>0</v>
      </c>
      <c r="CC84">
        <f>IF(CB84=0,0,1+COUNTIF(CC$3:CC83,"&gt;0"))</f>
        <v>0</v>
      </c>
      <c r="CD84" t="str">
        <f t="shared" si="93"/>
        <v/>
      </c>
      <c r="CE84" t="str">
        <f t="shared" si="65"/>
        <v/>
      </c>
      <c r="CG84">
        <f>IF(IFERROR(SEARCH("Wizard",$T84,1),0)&gt;0,1,0)*IF($C84&lt;=EldritchKnightMaxSpellLevel,1,0)*IF(IFERROR(MATCH($B84,Character_Creation!$J$350:$J$356,0),0)&gt;0,0,1)*IF(Character_Creation!$M$350&gt;0,1,0)</f>
        <v>0</v>
      </c>
      <c r="CH84">
        <f>IF(CG84=0,0,1+COUNTIF(CH$3:CH83,"&gt;0"))</f>
        <v>0</v>
      </c>
      <c r="CI84" t="str">
        <f t="shared" si="94"/>
        <v/>
      </c>
      <c r="CJ84" t="str">
        <f t="shared" si="66"/>
        <v/>
      </c>
      <c r="CL84">
        <f>IF(IFERROR(SEARCH("Bard",$T84,1),0)&gt;0,1,0)*IF(BardMaxSpellLevel&gt;=$C84,1,0)*IF(IFERROR(MATCH(B84,Character_Creation!$C$341:$F$362,0),0)&gt;0,0,1)*IF(IFERROR(MATCH($B84,Character_Creation!$C$341:$C$362,0),0)&gt;0,0,1)</f>
        <v>0</v>
      </c>
      <c r="CM84">
        <f>IF(CL84=0,0,1+COUNTIF(CM$3:CM83,"&gt;0"))</f>
        <v>0</v>
      </c>
      <c r="CN84" t="str">
        <f t="shared" si="95"/>
        <v/>
      </c>
      <c r="CO84" t="str">
        <f t="shared" si="67"/>
        <v/>
      </c>
      <c r="CQ84">
        <f>IF(IFERROR(SEARCH("Wizard",$T84,1),0)&gt;0,1,0)*IF(WizardMaxSpellLevel&gt;=$C84,1,0)*IF(IFERROR(MATCH(B84,Character_Creation!$X$341:$X$400,0),0)&gt;0,0,1)*IF(SelectedWizardSpellLevel=$C84,1,0)</f>
        <v>0</v>
      </c>
      <c r="CR84">
        <f>IF(CQ84=0,0,1+COUNTIF(CR$3:CR83,"&gt;0"))</f>
        <v>0</v>
      </c>
      <c r="CS84" t="str">
        <f t="shared" si="96"/>
        <v/>
      </c>
      <c r="CT84" t="str">
        <f t="shared" si="68"/>
        <v/>
      </c>
      <c r="CV84">
        <f>IF(IFERROR(MATCH($B84,Character_Creation!$C$341:$C$362,0),0)&gt;0,0,1)*IF(OR(C84="Cantrip",C84&lt;=BardMaxSpellLevel),1,0)*IF(IFERROR(MATCH($B84,Character_Creation!$C$367:$C$374,0),0)&gt;0,0,1)</f>
        <v>0</v>
      </c>
      <c r="CW84">
        <f>IF(CV84=0,0,1+COUNTIF(CW$3:CW83,"&gt;0"))</f>
        <v>0</v>
      </c>
      <c r="CX84" t="str">
        <f t="shared" si="97"/>
        <v/>
      </c>
      <c r="CY84" t="str">
        <f t="shared" si="69"/>
        <v/>
      </c>
      <c r="DA84">
        <f>IF(IF(OR(IFERROR(SEARCH("Cleric",$T84,1),0)&gt;0,IFERROR(SEARCH(DivineDomain&amp;",",$T84,1),0)&gt;0),1,0)*IF($C84=DA$2,1,0)=1,1+COUNTIF(DA$3:DA83,"&gt;0"),0)</f>
        <v>0</v>
      </c>
      <c r="DB84">
        <f>IF(IF(OR(IFERROR(SEARCH("Cleric",$T84,1),0)&gt;0,IFERROR(SEARCH(DivineDomain&amp;",",$T84,1),0)&gt;0),1,0)*IF($C84=DB$2,1,0)=1,1+COUNTIF(DB$3:DB83,"&gt;0"),0)</f>
        <v>0</v>
      </c>
      <c r="DC84">
        <f>IF(IF(OR(IFERROR(SEARCH("Cleric",$T84,1),0)&gt;0,IFERROR(SEARCH(DivineDomain&amp;",",$T84,1),0)&gt;0),1,0)*IF($C84=DC$2,1,0)=1,1+COUNTIF(DC$3:DC83,"&gt;0"),0)</f>
        <v>0</v>
      </c>
      <c r="DD84">
        <f>IF(IF(OR(IFERROR(SEARCH("Cleric",$T84,1),0)&gt;0,IFERROR(SEARCH(DivineDomain&amp;",",$T84,1),0)&gt;0),1,0)*IF($C84=DD$2,1,0)=1,1+COUNTIF(DD$3:DD83,"&gt;0"),0)</f>
        <v>0</v>
      </c>
      <c r="DE84">
        <f>IF(IF(OR(IFERROR(SEARCH("Cleric",$T84,1),0)&gt;0,IFERROR(SEARCH(DivineDomain&amp;",",$T84,1),0)&gt;0),1,0)*IF($C84=DE$2,1,0)=1,1+COUNTIF(DE$3:DE83,"&gt;0"),0)</f>
        <v>0</v>
      </c>
      <c r="DF84">
        <f>IF(IF(OR(IFERROR(SEARCH("Cleric",$T84,1),0)&gt;0,IFERROR(SEARCH(DivineDomain&amp;",",$T84,1),0)&gt;0),1,0)*IF($C84=DF$2,1,0)=1,1+COUNTIF(DF$3:DF83,"&gt;0"),0)</f>
        <v>0</v>
      </c>
      <c r="DG84">
        <f>IF(IF(OR(IFERROR(SEARCH("Cleric",$T84,1),0)&gt;0,IFERROR(SEARCH(DivineDomain&amp;",",$T84,1),0)&gt;0),1,0)*IF($C84=DG$2,1,0)=1,1+COUNTIF(DG$3:DG83,"&gt;0"),0)</f>
        <v>0</v>
      </c>
      <c r="DH84">
        <f>IF(IF(OR(IFERROR(SEARCH("Cleric",$T84,1),0)&gt;0,IFERROR(SEARCH(DivineDomain&amp;",",$T84,1),0)&gt;0),1,0)*IF($C84=DH$2,1,0)=1,1+COUNTIF(DH$3:DH83,"&gt;0"),0)</f>
        <v>0</v>
      </c>
      <c r="DI84">
        <f>IF(IF(OR(IFERROR(SEARCH("Cleric",$T84,1),0)&gt;0,IFERROR(SEARCH(DivineDomain&amp;",",$T84,1),0)&gt;0),1,0)*IF($C84=DI$2,1,0)=1,1+COUNTIF(DI$3:DI83,"&gt;0"),0)</f>
        <v>0</v>
      </c>
      <c r="DJ84">
        <f>IF(IF(OR(IFERROR(SEARCH("Druid",$T84,1),0)&gt;0,IFERROR(SEARCH(DruidLand1,$T84,1),0)&gt;0,IFERROR(SEARCH(DruidLand2,$T84,1),0)&gt;0,IFERROR(SEARCH(DruidLand3,$T84,1),0)&gt;0,IFERROR(SEARCH(DruidLand4,$T84,1),0)&gt;0),1,0)*IF($C84=1,1,0)*IF($C84=DJ$2,1,0)=0,0,1+COUNTIF(DJ$3:DJ83,"&gt;0"))</f>
        <v>0</v>
      </c>
      <c r="DK84">
        <f>IF(IF(OR(IFERROR(SEARCH("Druid",$T84,1),0)&gt;0,IFERROR(SEARCH(DruidLand1,$T84,1),0)&gt;0,IFERROR(SEARCH(DruidLand2,$T84,1),0)&gt;0,IFERROR(SEARCH(DruidLand3,$T84,1),0)&gt;0,IFERROR(SEARCH(DruidLand4,$T84,1),0)&gt;0),1,0)*IF($C84=1,1,0)*IF($C84=DK$2,1,0)=0,0,1+COUNTIF(DK$3:DK83,"&gt;0"))</f>
        <v>0</v>
      </c>
      <c r="DL84">
        <f>IF(IF(OR(IFERROR(SEARCH("Druid",$T84,1),0)&gt;0,IFERROR(SEARCH(DruidLand1,$T84,1),0)&gt;0,IFERROR(SEARCH(DruidLand2,$T84,1),0)&gt;0,IFERROR(SEARCH(DruidLand3,$T84,1),0)&gt;0,IFERROR(SEARCH(DruidLand4,$T84,1),0)&gt;0),1,0)*IF($C84=1,1,0)*IF($C84=DL$2,1,0)=0,0,1+COUNTIF(DL$3:DL83,"&gt;0"))</f>
        <v>0</v>
      </c>
      <c r="DM84">
        <f>IF(IF(OR(IFERROR(SEARCH("Druid",$T84,1),0)&gt;0,IFERROR(SEARCH(DruidLand1,$T84,1),0)&gt;0,IFERROR(SEARCH(DruidLand2,$T84,1),0)&gt;0,IFERROR(SEARCH(DruidLand3,$T84,1),0)&gt;0,IFERROR(SEARCH(DruidLand4,$T84,1),0)&gt;0),1,0)*IF($C84=1,1,0)*IF($C84=DM$2,1,0)=0,0,1+COUNTIF(DM$3:DM83,"&gt;0"))</f>
        <v>0</v>
      </c>
      <c r="DN84">
        <f>IF(IF(OR(IFERROR(SEARCH("Druid",$T84,1),0)&gt;0,IFERROR(SEARCH(DruidLand1,$T84,1),0)&gt;0,IFERROR(SEARCH(DruidLand2,$T84,1),0)&gt;0,IFERROR(SEARCH(DruidLand3,$T84,1),0)&gt;0,IFERROR(SEARCH(DruidLand4,$T84,1),0)&gt;0),1,0)*IF($C84=1,1,0)*IF($C84=DN$2,1,0)=0,0,1+COUNTIF(DN$3:DN83,"&gt;0"))</f>
        <v>0</v>
      </c>
      <c r="DO84">
        <f>IF(IF(OR(IFERROR(SEARCH("Druid",$T84,1),0)&gt;0,IFERROR(SEARCH(DruidLand1,$T84,1),0)&gt;0,IFERROR(SEARCH(DruidLand2,$T84,1),0)&gt;0,IFERROR(SEARCH(DruidLand3,$T84,1),0)&gt;0,IFERROR(SEARCH(DruidLand4,$T84,1),0)&gt;0),1,0)*IF($C84=1,1,0)*IF($C84=DO$2,1,0)=0,0,1+COUNTIF(DO$3:DO83,"&gt;0"))</f>
        <v>0</v>
      </c>
      <c r="DP84">
        <f>IF(IF(OR(IFERROR(SEARCH("Druid",$T84,1),0)&gt;0,IFERROR(SEARCH(DruidLand1,$T84,1),0)&gt;0,IFERROR(SEARCH(DruidLand2,$T84,1),0)&gt;0,IFERROR(SEARCH(DruidLand3,$T84,1),0)&gt;0,IFERROR(SEARCH(DruidLand4,$T84,1),0)&gt;0),1,0)*IF($C84=1,1,0)*IF($C84=DP$2,1,0)=0,0,1+COUNTIF(DP$3:DP83,"&gt;0"))</f>
        <v>0</v>
      </c>
      <c r="DQ84">
        <f>IF(IF(OR(IFERROR(SEARCH("Druid",$T84,1),0)&gt;0,IFERROR(SEARCH(DruidLand1,$T84,1),0)&gt;0,IFERROR(SEARCH(DruidLand2,$T84,1),0)&gt;0,IFERROR(SEARCH(DruidLand3,$T84,1),0)&gt;0,IFERROR(SEARCH(DruidLand4,$T84,1),0)&gt;0),1,0)*IF($C84=1,1,0)*IF($C84=DQ$2,1,0)=0,0,1+COUNTIF(DQ$3:DQ83,"&gt;0"))</f>
        <v>0</v>
      </c>
      <c r="DR84">
        <f>IF(IF(OR(IFERROR(SEARCH("Druid",$T84,1),0)&gt;0,IFERROR(SEARCH(DruidLand1,$T84,1),0)&gt;0,IFERROR(SEARCH(DruidLand2,$T84,1),0)&gt;0,IFERROR(SEARCH(DruidLand3,$T84,1),0)&gt;0,IFERROR(SEARCH(DruidLand4,$T84,1),0)&gt;0),1,0)*IF($C84=1,1,0)*IF($C84=DR$2,1,0)=0,0,1+COUNTIF(DR$3:DR83,"&gt;0"))</f>
        <v>0</v>
      </c>
      <c r="DS84">
        <f>IF(IF(OR(IFERROR(SEARCH("Paladin",$T84,1),0)&gt;0,IFERROR(SEARCH(PaladinOath,$T84,1),0)&gt;0),1,0)*IF($C84=DS$2,1,0)=1,1+COUNTIF(DS$3:DS83,"&gt;0"),0)</f>
        <v>0</v>
      </c>
      <c r="DT84">
        <f>IF(IF(OR(IFERROR(SEARCH("Paladin",$T84,1),0)&gt;0,IFERROR(SEARCH(PaladinOath,$T84,1),0)&gt;0),1,0)*IF($C84=DT$2,1,0)=1,1+COUNTIF(DT$3:DT83,"&gt;0"),0)</f>
        <v>0</v>
      </c>
      <c r="DU84">
        <f>IF(IF(OR(IFERROR(SEARCH("Paladin",$T84,1),0)&gt;0,IFERROR(SEARCH(PaladinOath,$T84,1),0)&gt;0),1,0)*IF($C84=DU$2,1,0)=1,1+COUNTIF(DU$3:DU83,"&gt;0"),0)</f>
        <v>0</v>
      </c>
      <c r="DV84">
        <f>IF(IF(OR(IFERROR(SEARCH("Paladin",$T84,1),0)&gt;0,IFERROR(SEARCH(PaladinOath,$T84,1),0)&gt;0),1,0)*IF($C84=DV$2,1,0)=1,1+COUNTIF(DV$3:DV83,"&gt;0"),0)</f>
        <v>0</v>
      </c>
      <c r="DW84">
        <f>IF(IF(OR(IFERROR(SEARCH("Paladin",$T84,1),0)&gt;0,IFERROR(SEARCH(PaladinOath,$T84,1),0)&gt;0),1,0)*IF($C84=DW$2,1,0)=1,1+COUNTIF(DW$3:DW83,"&gt;0"),0)</f>
        <v>0</v>
      </c>
      <c r="DY84">
        <f t="shared" si="56"/>
        <v>1</v>
      </c>
      <c r="DZ84">
        <f>IF(DY84=0,0,1+MAX(DZ$3:$DZ83))</f>
        <v>82</v>
      </c>
      <c r="EB84">
        <f t="shared" si="70"/>
        <v>0</v>
      </c>
      <c r="EC84">
        <f>IF(EB84=0,0,1+COUNTIF(EC$3:EC83,"&gt;0"))</f>
        <v>0</v>
      </c>
      <c r="ED84" t="str">
        <f t="shared" si="98"/>
        <v/>
      </c>
      <c r="EE84" t="str">
        <f t="shared" si="71"/>
        <v/>
      </c>
      <c r="EG84">
        <f t="shared" si="72"/>
        <v>0</v>
      </c>
      <c r="EH84">
        <f>IF(EG84=0,0,1+COUNTIF(EH$3:EH83,"&gt;0"))</f>
        <v>0</v>
      </c>
      <c r="EI84" t="str">
        <f t="shared" si="99"/>
        <v/>
      </c>
      <c r="EJ84" t="str">
        <f t="shared" si="73"/>
        <v/>
      </c>
      <c r="EL84">
        <f t="shared" si="74"/>
        <v>0</v>
      </c>
      <c r="EM84">
        <f>IF(EL84=0,0,1+COUNTIF(EM$3:EM83,"&gt;0"))</f>
        <v>0</v>
      </c>
      <c r="EN84" t="str">
        <f t="shared" si="100"/>
        <v/>
      </c>
      <c r="EO84" t="str">
        <f t="shared" si="75"/>
        <v/>
      </c>
      <c r="EQ84">
        <f t="shared" si="76"/>
        <v>0</v>
      </c>
      <c r="ER84">
        <f>IF(EQ84=0,0,1+COUNTIF(ER$3:ER83,"&gt;0"))</f>
        <v>0</v>
      </c>
      <c r="ES84" t="str">
        <f t="shared" si="101"/>
        <v/>
      </c>
      <c r="ET84" t="str">
        <f t="shared" si="77"/>
        <v/>
      </c>
      <c r="EV84">
        <f t="shared" si="78"/>
        <v>0</v>
      </c>
      <c r="EW84">
        <f>IF(EV84=0,0,1+COUNTIF(EW$3:EW83,"&gt;0"))</f>
        <v>0</v>
      </c>
      <c r="EX84" t="str">
        <f t="shared" si="102"/>
        <v/>
      </c>
      <c r="EY84" t="str">
        <f t="shared" si="79"/>
        <v/>
      </c>
      <c r="FA84">
        <f t="shared" si="80"/>
        <v>0</v>
      </c>
      <c r="FB84">
        <f>IF(FA84=0,0,1+COUNTIF(FB$3:FB83,"&gt;0"))</f>
        <v>0</v>
      </c>
      <c r="FC84" t="str">
        <f t="shared" si="103"/>
        <v/>
      </c>
      <c r="FD84" t="str">
        <f t="shared" si="81"/>
        <v/>
      </c>
      <c r="FF84">
        <f t="shared" si="82"/>
        <v>0</v>
      </c>
      <c r="FG84">
        <f>IF(FF84=0,0,1+COUNTIF(FG$3:FG83,"&gt;0"))</f>
        <v>0</v>
      </c>
      <c r="FH84" t="str">
        <f t="shared" si="104"/>
        <v/>
      </c>
      <c r="FI84" t="str">
        <f t="shared" si="83"/>
        <v/>
      </c>
      <c r="FK84">
        <f t="shared" si="84"/>
        <v>0</v>
      </c>
      <c r="FL84">
        <f>IF(FK84=0,0,1+COUNTIF(FL$3:FL83,"&gt;0"))</f>
        <v>0</v>
      </c>
      <c r="FM84" t="str">
        <f t="shared" si="105"/>
        <v/>
      </c>
      <c r="FN84" t="str">
        <f t="shared" si="85"/>
        <v/>
      </c>
      <c r="FP84">
        <f t="shared" si="86"/>
        <v>0</v>
      </c>
      <c r="FQ84">
        <f>IF(FP84=0,0,1+COUNTIF(FQ$3:FQ83,"&gt;0"))</f>
        <v>0</v>
      </c>
      <c r="FR84" t="str">
        <f t="shared" si="106"/>
        <v/>
      </c>
      <c r="FS84" t="str">
        <f t="shared" si="87"/>
        <v/>
      </c>
    </row>
    <row r="85" spans="1:175" x14ac:dyDescent="0.25">
      <c r="A85" s="347">
        <f t="shared" si="107"/>
        <v>83</v>
      </c>
      <c r="B85" s="348" t="s">
        <v>2450</v>
      </c>
      <c r="C85" s="348">
        <v>2</v>
      </c>
      <c r="D85" s="347">
        <v>2</v>
      </c>
      <c r="E85" s="627" t="s">
        <v>6952</v>
      </c>
      <c r="F85" s="346"/>
      <c r="G85" s="347" t="str">
        <f>""</f>
        <v/>
      </c>
      <c r="H85" s="347" t="s">
        <v>5912</v>
      </c>
      <c r="I85" s="347" t="s">
        <v>5290</v>
      </c>
      <c r="J85" s="347" t="str">
        <f t="shared" si="57"/>
        <v/>
      </c>
      <c r="K85" s="347" t="s">
        <v>5291</v>
      </c>
      <c r="L85" s="611" t="str">
        <f t="shared" si="58"/>
        <v>V, S</v>
      </c>
      <c r="M85" s="347" t="s">
        <v>2373</v>
      </c>
      <c r="N85" s="347" t="s">
        <v>2387</v>
      </c>
      <c r="O85" s="347" t="s">
        <v>3034</v>
      </c>
      <c r="P85" s="346" t="str">
        <f>""</f>
        <v/>
      </c>
      <c r="Q85" s="347" t="s">
        <v>5272</v>
      </c>
      <c r="S85" s="346" t="s">
        <v>5648</v>
      </c>
      <c r="T85" s="346" t="str">
        <f t="shared" si="59"/>
        <v xml:space="preserve">Bard, Sorcerer, Warlock, Arcane Trickster, Wizard, Oathbreaker, </v>
      </c>
      <c r="U85" s="347" t="str">
        <f>$B85</f>
        <v>Crown of Madness</v>
      </c>
      <c r="X85" s="347" t="str">
        <f>$B85</f>
        <v>Crown of Madness</v>
      </c>
      <c r="Y85" s="347" t="str">
        <f>$B85</f>
        <v>Crown of Madness</v>
      </c>
      <c r="AC85" s="539" t="str">
        <f>B85</f>
        <v>Crown of Madness</v>
      </c>
      <c r="AD85" s="347" t="str">
        <f>$B85</f>
        <v>Crown of Madness</v>
      </c>
      <c r="AE85" t="str">
        <f>IF(IFERROR(MATCH($B85,temp!A$4:A$13,0),0)&gt;0,T08_Spells!AE$2,"")</f>
        <v/>
      </c>
      <c r="AF85" t="str">
        <f>IF(IFERROR(MATCH($B85,temp!B$4:B$13,0),0)&gt;0,T08_Spells!AF$2,"")</f>
        <v/>
      </c>
      <c r="AG85" t="str">
        <f>IF(IFERROR(MATCH($B85,temp!C$4:C$13,0),0)&gt;0,T08_Spells!AG$2,"")</f>
        <v/>
      </c>
      <c r="AH85" t="str">
        <f>IF(IFERROR(MATCH($B85,temp!D$4:D$13,0),0)&gt;0,T08_Spells!AH$2,"")</f>
        <v>Oathbreaker</v>
      </c>
      <c r="AI85" t="str">
        <f>IF(IFERROR(MATCH($B85,temp!E$4:E$13,0),0)&gt;0,T08_Spells!AI$2,"")</f>
        <v/>
      </c>
      <c r="AJ85" t="str">
        <f>IF(IFERROR(MATCH($B85,temp!F$4:F$13,0),0)&gt;0,T08_Spells!AJ$2,"")</f>
        <v/>
      </c>
      <c r="AK85" t="str">
        <f>IF(IFERROR(MATCH($B85,temp!G$4:G$13,0),0)&gt;0,T08_Spells!AK$2,"")</f>
        <v/>
      </c>
      <c r="AL85" t="str">
        <f>IF(IFERROR(MATCH($B85,temp!H$4:H$13,0),0)&gt;0,T08_Spells!AL$2,"")</f>
        <v/>
      </c>
      <c r="AM85" t="str">
        <f>IF(IFERROR(MATCH($B85,temp!I$4:I$13,0),0)&gt;0,T08_Spells!AM$2,"")</f>
        <v/>
      </c>
      <c r="AN85" t="str">
        <f>IF(IFERROR(MATCH($B85,temp!J$4:J$13,0),0)&gt;0,T08_Spells!AN$2,"")</f>
        <v/>
      </c>
      <c r="AO85" t="str">
        <f>IF(IFERROR(MATCH($B85,temp!K$4:K$13,0),0)&gt;0,T08_Spells!AO$2,"")</f>
        <v/>
      </c>
      <c r="AP85" t="str">
        <f>IF(IFERROR(MATCH($B85,temp!L$4:L$13,0),0)&gt;0,T08_Spells!AP$2,"")</f>
        <v/>
      </c>
      <c r="AQ85" t="str">
        <f>IF(IFERROR(MATCH($B85,temp!M$4:M$13,0),0)&gt;0,T08_Spells!AQ$2,"")</f>
        <v/>
      </c>
      <c r="AR85" t="str">
        <f>IF(IFERROR(MATCH($B85,temp!N$4:N$13,0),0)&gt;0,T08_Spells!AR$2,"")</f>
        <v/>
      </c>
      <c r="AS85" t="str">
        <f>IF(IFERROR(MATCH($B85,temp!O$4:O$13,0),0)&gt;0,T08_Spells!AS$2,"")</f>
        <v/>
      </c>
      <c r="AT85" t="str">
        <f>IF(IFERROR(MATCH($B85,temp!P$4:P$13,0),0)&gt;0,T08_Spells!AT$2,"")</f>
        <v/>
      </c>
      <c r="AU85" t="str">
        <f>IF(IFERROR(MATCH($B85,temp!Q$4:Q$13,0),0)&gt;0,T08_Spells!AU$2,"")</f>
        <v/>
      </c>
      <c r="AV85" t="str">
        <f>IF(IFERROR(MATCH($B85,temp!R$4:R$13,0),0)&gt;0,T08_Spells!AV$2,"")</f>
        <v/>
      </c>
      <c r="AW85" t="str">
        <f>IF(IFERROR(MATCH($B85,temp!S$4:S$13,0),0)&gt;0,T08_Spells!AW$2,"")</f>
        <v/>
      </c>
      <c r="AX85" t="str">
        <f>IF(IFERROR(MATCH($B85,temp!T$4:T$13,0),0)&gt;0,T08_Spells!AX$2,"")</f>
        <v/>
      </c>
      <c r="AY85" t="str">
        <f>IF(IFERROR(MATCH($B85,temp!U$4:U$13,0),0)&gt;0,T08_Spells!AY$2,"")</f>
        <v/>
      </c>
      <c r="AZ85" t="str">
        <f>IF(IFERROR(MATCH($B85,temp!V$4:V$13,0),0)&gt;0,T08_Spells!AZ$2,"")</f>
        <v/>
      </c>
      <c r="BA85" t="str">
        <f>IF(IFERROR(MATCH($B85,temp!W$4:W$13,0),0)&gt;0,T08_Spells!BA$2,"")</f>
        <v/>
      </c>
      <c r="BC85">
        <f>IF(IFERROR(SEARCH("Ranger",$T85,1),0)&gt;0,1,0)*IF(RangerMaxSpellLevel&gt;=$C85,1,0)*IF(IFERROR(MATCH(B85,Character_Creation!$X$79:$X$382,0),0)&gt;0,0,1)</f>
        <v>0</v>
      </c>
      <c r="BD85">
        <f>IF(BC85=0,0,1+COUNTIF(BD$3:BD84,"&gt;0"))</f>
        <v>0</v>
      </c>
      <c r="BE85" t="str">
        <f t="shared" si="88"/>
        <v/>
      </c>
      <c r="BF85" t="str">
        <f t="shared" si="60"/>
        <v/>
      </c>
      <c r="BH85">
        <f>IF(IFERROR(SEARCH("Sorcerer",$T85,1),0)&gt;0,1,0)*IF(SorcererMaxSpellLevel&gt;=$C85,1,0)*IF(IFERROR(MATCH(B85,Character_Creation!$J$380:$J$394,0),0)&gt;0,0,1)</f>
        <v>0</v>
      </c>
      <c r="BI85">
        <f>IF(BH85=0,0,1+COUNTIF(BI$3:BI84,"&gt;0"))</f>
        <v>0</v>
      </c>
      <c r="BJ85" t="str">
        <f t="shared" si="89"/>
        <v/>
      </c>
      <c r="BK85" t="str">
        <f t="shared" si="61"/>
        <v/>
      </c>
      <c r="BM85">
        <f>IF(OR(IFERROR(SEARCH("Warlock",$T85,1),0)&gt;0,IFERROR(SEARCH(WarlockPatron,$T85,1),0)&gt;0),1,0)*IF(WarlockMaxSpellLevel&gt;=$C85,1,0)*IF(IFERROR(MATCH(B85,Character_Creation!$J$361:$J$375,0),0)&gt;0,0,1)</f>
        <v>0</v>
      </c>
      <c r="BN85">
        <f>IF(BM85=0,0,1+COUNTIF(BN$3:BN84,"&gt;0"))</f>
        <v>0</v>
      </c>
      <c r="BO85" t="str">
        <f t="shared" si="90"/>
        <v/>
      </c>
      <c r="BP85" t="str">
        <f t="shared" si="62"/>
        <v/>
      </c>
      <c r="BR85">
        <f>IF(IFERROR(SEARCH("Eldritch Knight",$T85,1),0)&gt;0,1,0)*IF(EldritchKnightMaxSpellLevel&gt;=$C85,1,0)*IF(IFERROR(MATCH($B85,Character_Creation!$J$350:$J$356,0),0)&gt;0,0,1)*IF(Character_Creation!$M$338&gt;0,1,0)</f>
        <v>0</v>
      </c>
      <c r="BS85">
        <f>IF(BR85=0,0,1+COUNTIF(BS$3:BS84,"&gt;0"))</f>
        <v>0</v>
      </c>
      <c r="BT85" t="str">
        <f t="shared" si="91"/>
        <v/>
      </c>
      <c r="BU85" t="str">
        <f t="shared" si="63"/>
        <v/>
      </c>
      <c r="BW85">
        <f>IF(IFERROR(SEARCH("Arcane Trickster",$T85,1),0)&gt;0,1,0)*IF(ArcaneTricksterMaxSpellLevel&gt;=$C85,1,0)*IF(IFERROR(MATCH($B85,Character_Creation!$J$350:$J$356,0),0)&gt;0,0,1)*IF(Character_Creation!$T$338&gt;0,1,0)</f>
        <v>0</v>
      </c>
      <c r="BX85">
        <f>IF(BW85=0,0,1+COUNTIF(BX$3:BX84,"&gt;0"))</f>
        <v>0</v>
      </c>
      <c r="BY85" t="str">
        <f t="shared" si="92"/>
        <v/>
      </c>
      <c r="BZ85" t="str">
        <f t="shared" si="64"/>
        <v/>
      </c>
      <c r="CB85">
        <f>IF(IFERROR(SEARCH("Wizard",$T85,1),0)&gt;0,1,0)*IF(C85&lt;=ArcaneTricksterMaxSpellLevel,1,0)*IF(IFERROR(MATCH($B85,Character_Creation!$J$350:$J$356,0),0)&gt;0,0,1)*IF(Character_Creation!$T$350&gt;0,1,0)</f>
        <v>0</v>
      </c>
      <c r="CC85">
        <f>IF(CB85=0,0,1+COUNTIF(CC$3:CC84,"&gt;0"))</f>
        <v>0</v>
      </c>
      <c r="CD85" t="str">
        <f t="shared" si="93"/>
        <v/>
      </c>
      <c r="CE85" t="str">
        <f t="shared" si="65"/>
        <v/>
      </c>
      <c r="CG85">
        <f>IF(IFERROR(SEARCH("Wizard",$T85,1),0)&gt;0,1,0)*IF($C85&lt;=EldritchKnightMaxSpellLevel,1,0)*IF(IFERROR(MATCH($B85,Character_Creation!$J$350:$J$356,0),0)&gt;0,0,1)*IF(Character_Creation!$M$350&gt;0,1,0)</f>
        <v>1</v>
      </c>
      <c r="CH85">
        <f>IF(CG85=0,0,1+COUNTIF(CH$3:CH84,"&gt;0"))</f>
        <v>13</v>
      </c>
      <c r="CI85" t="str">
        <f t="shared" si="94"/>
        <v/>
      </c>
      <c r="CJ85" t="str">
        <f t="shared" si="66"/>
        <v/>
      </c>
      <c r="CL85">
        <f>IF(IFERROR(SEARCH("Bard",$T85,1),0)&gt;0,1,0)*IF(BardMaxSpellLevel&gt;=$C85,1,0)*IF(IFERROR(MATCH(B85,Character_Creation!$C$341:$F$362,0),0)&gt;0,0,1)*IF(IFERROR(MATCH($B85,Character_Creation!$C$341:$C$362,0),0)&gt;0,0,1)</f>
        <v>0</v>
      </c>
      <c r="CM85">
        <f>IF(CL85=0,0,1+COUNTIF(CM$3:CM84,"&gt;0"))</f>
        <v>0</v>
      </c>
      <c r="CN85" t="str">
        <f t="shared" si="95"/>
        <v/>
      </c>
      <c r="CO85" t="str">
        <f t="shared" si="67"/>
        <v/>
      </c>
      <c r="CQ85">
        <f>IF(IFERROR(SEARCH("Wizard",$T85,1),0)&gt;0,1,0)*IF(WizardMaxSpellLevel&gt;=$C85,1,0)*IF(IFERROR(MATCH(B85,Character_Creation!$X$341:$X$400,0),0)&gt;0,0,1)*IF(SelectedWizardSpellLevel=$C85,1,0)</f>
        <v>0</v>
      </c>
      <c r="CR85">
        <f>IF(CQ85=0,0,1+COUNTIF(CR$3:CR84,"&gt;0"))</f>
        <v>0</v>
      </c>
      <c r="CS85" t="str">
        <f t="shared" si="96"/>
        <v/>
      </c>
      <c r="CT85" t="str">
        <f t="shared" si="68"/>
        <v/>
      </c>
      <c r="CV85">
        <f>IF(IFERROR(MATCH($B85,Character_Creation!$C$341:$C$362,0),0)&gt;0,0,1)*IF(OR(C85="Cantrip",C85&lt;=BardMaxSpellLevel),1,0)*IF(IFERROR(MATCH($B85,Character_Creation!$C$367:$C$374,0),0)&gt;0,0,1)</f>
        <v>0</v>
      </c>
      <c r="CW85">
        <f>IF(CV85=0,0,1+COUNTIF(CW$3:CW84,"&gt;0"))</f>
        <v>0</v>
      </c>
      <c r="CX85" t="str">
        <f t="shared" si="97"/>
        <v/>
      </c>
      <c r="CY85" t="str">
        <f t="shared" si="69"/>
        <v/>
      </c>
      <c r="DA85">
        <f>IF(IF(OR(IFERROR(SEARCH("Cleric",$T85,1),0)&gt;0,IFERROR(SEARCH(DivineDomain&amp;",",$T85,1),0)&gt;0),1,0)*IF($C85=DA$2,1,0)=1,1+COUNTIF(DA$3:DA84,"&gt;0"),0)</f>
        <v>0</v>
      </c>
      <c r="DB85">
        <f>IF(IF(OR(IFERROR(SEARCH("Cleric",$T85,1),0)&gt;0,IFERROR(SEARCH(DivineDomain&amp;",",$T85,1),0)&gt;0),1,0)*IF($C85=DB$2,1,0)=1,1+COUNTIF(DB$3:DB84,"&gt;0"),0)</f>
        <v>0</v>
      </c>
      <c r="DC85">
        <f>IF(IF(OR(IFERROR(SEARCH("Cleric",$T85,1),0)&gt;0,IFERROR(SEARCH(DivineDomain&amp;",",$T85,1),0)&gt;0),1,0)*IF($C85=DC$2,1,0)=1,1+COUNTIF(DC$3:DC84,"&gt;0"),0)</f>
        <v>0</v>
      </c>
      <c r="DD85">
        <f>IF(IF(OR(IFERROR(SEARCH("Cleric",$T85,1),0)&gt;0,IFERROR(SEARCH(DivineDomain&amp;",",$T85,1),0)&gt;0),1,0)*IF($C85=DD$2,1,0)=1,1+COUNTIF(DD$3:DD84,"&gt;0"),0)</f>
        <v>0</v>
      </c>
      <c r="DE85">
        <f>IF(IF(OR(IFERROR(SEARCH("Cleric",$T85,1),0)&gt;0,IFERROR(SEARCH(DivineDomain&amp;",",$T85,1),0)&gt;0),1,0)*IF($C85=DE$2,1,0)=1,1+COUNTIF(DE$3:DE84,"&gt;0"),0)</f>
        <v>0</v>
      </c>
      <c r="DF85">
        <f>IF(IF(OR(IFERROR(SEARCH("Cleric",$T85,1),0)&gt;0,IFERROR(SEARCH(DivineDomain&amp;",",$T85,1),0)&gt;0),1,0)*IF($C85=DF$2,1,0)=1,1+COUNTIF(DF$3:DF84,"&gt;0"),0)</f>
        <v>0</v>
      </c>
      <c r="DG85">
        <f>IF(IF(OR(IFERROR(SEARCH("Cleric",$T85,1),0)&gt;0,IFERROR(SEARCH(DivineDomain&amp;",",$T85,1),0)&gt;0),1,0)*IF($C85=DG$2,1,0)=1,1+COUNTIF(DG$3:DG84,"&gt;0"),0)</f>
        <v>0</v>
      </c>
      <c r="DH85">
        <f>IF(IF(OR(IFERROR(SEARCH("Cleric",$T85,1),0)&gt;0,IFERROR(SEARCH(DivineDomain&amp;",",$T85,1),0)&gt;0),1,0)*IF($C85=DH$2,1,0)=1,1+COUNTIF(DH$3:DH84,"&gt;0"),0)</f>
        <v>0</v>
      </c>
      <c r="DI85">
        <f>IF(IF(OR(IFERROR(SEARCH("Cleric",$T85,1),0)&gt;0,IFERROR(SEARCH(DivineDomain&amp;",",$T85,1),0)&gt;0),1,0)*IF($C85=DI$2,1,0)=1,1+COUNTIF(DI$3:DI84,"&gt;0"),0)</f>
        <v>0</v>
      </c>
      <c r="DJ85">
        <f>IF(IF(OR(IFERROR(SEARCH("Druid",$T85,1),0)&gt;0,IFERROR(SEARCH(DruidLand1,$T85,1),0)&gt;0,IFERROR(SEARCH(DruidLand2,$T85,1),0)&gt;0,IFERROR(SEARCH(DruidLand3,$T85,1),0)&gt;0,IFERROR(SEARCH(DruidLand4,$T85,1),0)&gt;0),1,0)*IF($C85=1,1,0)*IF($C85=DJ$2,1,0)=0,0,1+COUNTIF(DJ$3:DJ84,"&gt;0"))</f>
        <v>0</v>
      </c>
      <c r="DK85">
        <f>IF(IF(OR(IFERROR(SEARCH("Druid",$T85,1),0)&gt;0,IFERROR(SEARCH(DruidLand1,$T85,1),0)&gt;0,IFERROR(SEARCH(DruidLand2,$T85,1),0)&gt;0,IFERROR(SEARCH(DruidLand3,$T85,1),0)&gt;0,IFERROR(SEARCH(DruidLand4,$T85,1),0)&gt;0),1,0)*IF($C85=1,1,0)*IF($C85=DK$2,1,0)=0,0,1+COUNTIF(DK$3:DK84,"&gt;0"))</f>
        <v>0</v>
      </c>
      <c r="DL85">
        <f>IF(IF(OR(IFERROR(SEARCH("Druid",$T85,1),0)&gt;0,IFERROR(SEARCH(DruidLand1,$T85,1),0)&gt;0,IFERROR(SEARCH(DruidLand2,$T85,1),0)&gt;0,IFERROR(SEARCH(DruidLand3,$T85,1),0)&gt;0,IFERROR(SEARCH(DruidLand4,$T85,1),0)&gt;0),1,0)*IF($C85=1,1,0)*IF($C85=DL$2,1,0)=0,0,1+COUNTIF(DL$3:DL84,"&gt;0"))</f>
        <v>0</v>
      </c>
      <c r="DM85">
        <f>IF(IF(OR(IFERROR(SEARCH("Druid",$T85,1),0)&gt;0,IFERROR(SEARCH(DruidLand1,$T85,1),0)&gt;0,IFERROR(SEARCH(DruidLand2,$T85,1),0)&gt;0,IFERROR(SEARCH(DruidLand3,$T85,1),0)&gt;0,IFERROR(SEARCH(DruidLand4,$T85,1),0)&gt;0),1,0)*IF($C85=1,1,0)*IF($C85=DM$2,1,0)=0,0,1+COUNTIF(DM$3:DM84,"&gt;0"))</f>
        <v>0</v>
      </c>
      <c r="DN85">
        <f>IF(IF(OR(IFERROR(SEARCH("Druid",$T85,1),0)&gt;0,IFERROR(SEARCH(DruidLand1,$T85,1),0)&gt;0,IFERROR(SEARCH(DruidLand2,$T85,1),0)&gt;0,IFERROR(SEARCH(DruidLand3,$T85,1),0)&gt;0,IFERROR(SEARCH(DruidLand4,$T85,1),0)&gt;0),1,0)*IF($C85=1,1,0)*IF($C85=DN$2,1,0)=0,0,1+COUNTIF(DN$3:DN84,"&gt;0"))</f>
        <v>0</v>
      </c>
      <c r="DO85">
        <f>IF(IF(OR(IFERROR(SEARCH("Druid",$T85,1),0)&gt;0,IFERROR(SEARCH(DruidLand1,$T85,1),0)&gt;0,IFERROR(SEARCH(DruidLand2,$T85,1),0)&gt;0,IFERROR(SEARCH(DruidLand3,$T85,1),0)&gt;0,IFERROR(SEARCH(DruidLand4,$T85,1),0)&gt;0),1,0)*IF($C85=1,1,0)*IF($C85=DO$2,1,0)=0,0,1+COUNTIF(DO$3:DO84,"&gt;0"))</f>
        <v>0</v>
      </c>
      <c r="DP85">
        <f>IF(IF(OR(IFERROR(SEARCH("Druid",$T85,1),0)&gt;0,IFERROR(SEARCH(DruidLand1,$T85,1),0)&gt;0,IFERROR(SEARCH(DruidLand2,$T85,1),0)&gt;0,IFERROR(SEARCH(DruidLand3,$T85,1),0)&gt;0,IFERROR(SEARCH(DruidLand4,$T85,1),0)&gt;0),1,0)*IF($C85=1,1,0)*IF($C85=DP$2,1,0)=0,0,1+COUNTIF(DP$3:DP84,"&gt;0"))</f>
        <v>0</v>
      </c>
      <c r="DQ85">
        <f>IF(IF(OR(IFERROR(SEARCH("Druid",$T85,1),0)&gt;0,IFERROR(SEARCH(DruidLand1,$T85,1),0)&gt;0,IFERROR(SEARCH(DruidLand2,$T85,1),0)&gt;0,IFERROR(SEARCH(DruidLand3,$T85,1),0)&gt;0,IFERROR(SEARCH(DruidLand4,$T85,1),0)&gt;0),1,0)*IF($C85=1,1,0)*IF($C85=DQ$2,1,0)=0,0,1+COUNTIF(DQ$3:DQ84,"&gt;0"))</f>
        <v>0</v>
      </c>
      <c r="DR85">
        <f>IF(IF(OR(IFERROR(SEARCH("Druid",$T85,1),0)&gt;0,IFERROR(SEARCH(DruidLand1,$T85,1),0)&gt;0,IFERROR(SEARCH(DruidLand2,$T85,1),0)&gt;0,IFERROR(SEARCH(DruidLand3,$T85,1),0)&gt;0,IFERROR(SEARCH(DruidLand4,$T85,1),0)&gt;0),1,0)*IF($C85=1,1,0)*IF($C85=DR$2,1,0)=0,0,1+COUNTIF(DR$3:DR84,"&gt;0"))</f>
        <v>0</v>
      </c>
      <c r="DS85">
        <f>IF(IF(OR(IFERROR(SEARCH("Paladin",$T85,1),0)&gt;0,IFERROR(SEARCH(PaladinOath,$T85,1),0)&gt;0),1,0)*IF($C85=DS$2,1,0)=1,1+COUNTIF(DS$3:DS84,"&gt;0"),0)</f>
        <v>0</v>
      </c>
      <c r="DT85">
        <f>IF(IF(OR(IFERROR(SEARCH("Paladin",$T85,1),0)&gt;0,IFERROR(SEARCH(PaladinOath,$T85,1),0)&gt;0),1,0)*IF($C85=DT$2,1,0)=1,1+COUNTIF(DT$3:DT84,"&gt;0"),0)</f>
        <v>0</v>
      </c>
      <c r="DU85">
        <f>IF(IF(OR(IFERROR(SEARCH("Paladin",$T85,1),0)&gt;0,IFERROR(SEARCH(PaladinOath,$T85,1),0)&gt;0),1,0)*IF($C85=DU$2,1,0)=1,1+COUNTIF(DU$3:DU84,"&gt;0"),0)</f>
        <v>0</v>
      </c>
      <c r="DV85">
        <f>IF(IF(OR(IFERROR(SEARCH("Paladin",$T85,1),0)&gt;0,IFERROR(SEARCH(PaladinOath,$T85,1),0)&gt;0),1,0)*IF($C85=DV$2,1,0)=1,1+COUNTIF(DV$3:DV84,"&gt;0"),0)</f>
        <v>0</v>
      </c>
      <c r="DW85">
        <f>IF(IF(OR(IFERROR(SEARCH("Paladin",$T85,1),0)&gt;0,IFERROR(SEARCH(PaladinOath,$T85,1),0)&gt;0),1,0)*IF($C85=DW$2,1,0)=1,1+COUNTIF(DW$3:DW84,"&gt;0"),0)</f>
        <v>0</v>
      </c>
      <c r="DY85">
        <f t="shared" si="56"/>
        <v>1</v>
      </c>
      <c r="DZ85">
        <f>IF(DY85=0,0,1+MAX(DZ$3:$DZ84))</f>
        <v>83</v>
      </c>
      <c r="EB85">
        <f t="shared" si="70"/>
        <v>0</v>
      </c>
      <c r="EC85">
        <f>IF(EB85=0,0,1+COUNTIF(EC$3:EC84,"&gt;0"))</f>
        <v>0</v>
      </c>
      <c r="ED85" t="str">
        <f t="shared" si="98"/>
        <v/>
      </c>
      <c r="EE85" t="str">
        <f t="shared" si="71"/>
        <v/>
      </c>
      <c r="EG85">
        <f t="shared" si="72"/>
        <v>0</v>
      </c>
      <c r="EH85">
        <f>IF(EG85=0,0,1+COUNTIF(EH$3:EH84,"&gt;0"))</f>
        <v>0</v>
      </c>
      <c r="EI85" t="str">
        <f t="shared" si="99"/>
        <v/>
      </c>
      <c r="EJ85" t="str">
        <f t="shared" si="73"/>
        <v/>
      </c>
      <c r="EL85">
        <f t="shared" si="74"/>
        <v>0</v>
      </c>
      <c r="EM85">
        <f>IF(EL85=0,0,1+COUNTIF(EM$3:EM84,"&gt;0"))</f>
        <v>0</v>
      </c>
      <c r="EN85" t="str">
        <f t="shared" si="100"/>
        <v/>
      </c>
      <c r="EO85" t="str">
        <f t="shared" si="75"/>
        <v/>
      </c>
      <c r="EQ85">
        <f t="shared" si="76"/>
        <v>0</v>
      </c>
      <c r="ER85">
        <f>IF(EQ85=0,0,1+COUNTIF(ER$3:ER84,"&gt;0"))</f>
        <v>0</v>
      </c>
      <c r="ES85" t="str">
        <f t="shared" si="101"/>
        <v/>
      </c>
      <c r="ET85" t="str">
        <f t="shared" si="77"/>
        <v/>
      </c>
      <c r="EV85">
        <f t="shared" si="78"/>
        <v>0</v>
      </c>
      <c r="EW85">
        <f>IF(EV85=0,0,1+COUNTIF(EW$3:EW84,"&gt;0"))</f>
        <v>0</v>
      </c>
      <c r="EX85" t="str">
        <f t="shared" si="102"/>
        <v/>
      </c>
      <c r="EY85" t="str">
        <f t="shared" si="79"/>
        <v/>
      </c>
      <c r="FA85">
        <f t="shared" si="80"/>
        <v>0</v>
      </c>
      <c r="FB85">
        <f>IF(FA85=0,0,1+COUNTIF(FB$3:FB84,"&gt;0"))</f>
        <v>0</v>
      </c>
      <c r="FC85" t="str">
        <f t="shared" si="103"/>
        <v/>
      </c>
      <c r="FD85" t="str">
        <f t="shared" si="81"/>
        <v/>
      </c>
      <c r="FF85">
        <f t="shared" si="82"/>
        <v>0</v>
      </c>
      <c r="FG85">
        <f>IF(FF85=0,0,1+COUNTIF(FG$3:FG84,"&gt;0"))</f>
        <v>0</v>
      </c>
      <c r="FH85" t="str">
        <f t="shared" si="104"/>
        <v/>
      </c>
      <c r="FI85" t="str">
        <f t="shared" si="83"/>
        <v/>
      </c>
      <c r="FK85">
        <f t="shared" si="84"/>
        <v>0</v>
      </c>
      <c r="FL85">
        <f>IF(FK85=0,0,1+COUNTIF(FL$3:FL84,"&gt;0"))</f>
        <v>0</v>
      </c>
      <c r="FM85" t="str">
        <f t="shared" si="105"/>
        <v/>
      </c>
      <c r="FN85" t="str">
        <f t="shared" si="85"/>
        <v/>
      </c>
      <c r="FP85">
        <f t="shared" si="86"/>
        <v>0</v>
      </c>
      <c r="FQ85">
        <f>IF(FP85=0,0,1+COUNTIF(FQ$3:FQ84,"&gt;0"))</f>
        <v>0</v>
      </c>
      <c r="FR85" t="str">
        <f t="shared" si="106"/>
        <v/>
      </c>
      <c r="FS85" t="str">
        <f t="shared" si="87"/>
        <v/>
      </c>
    </row>
    <row r="86" spans="1:175" x14ac:dyDescent="0.25">
      <c r="A86" s="347">
        <f t="shared" si="107"/>
        <v>84</v>
      </c>
      <c r="B86" s="348" t="s">
        <v>2451</v>
      </c>
      <c r="C86" s="348">
        <v>3</v>
      </c>
      <c r="D86" s="347">
        <v>3</v>
      </c>
      <c r="E86" s="627" t="s">
        <v>6952</v>
      </c>
      <c r="F86" s="346"/>
      <c r="G86" s="347" t="str">
        <f>""</f>
        <v/>
      </c>
      <c r="H86" s="347" t="s">
        <v>5912</v>
      </c>
      <c r="I86" s="347" t="s">
        <v>5283</v>
      </c>
      <c r="J86" s="347" t="str">
        <f t="shared" si="57"/>
        <v/>
      </c>
      <c r="K86" s="347" t="s">
        <v>5291</v>
      </c>
      <c r="L86" s="611" t="str">
        <f t="shared" si="58"/>
        <v>V</v>
      </c>
      <c r="M86" s="347" t="s">
        <v>2373</v>
      </c>
      <c r="N86" s="347" t="s">
        <v>3034</v>
      </c>
      <c r="O86" s="347" t="s">
        <v>3034</v>
      </c>
      <c r="P86" s="346" t="str">
        <f>""</f>
        <v/>
      </c>
      <c r="Q86" s="347" t="s">
        <v>5273</v>
      </c>
      <c r="S86" s="346" t="s">
        <v>2452</v>
      </c>
      <c r="T86" s="346" t="str">
        <f t="shared" si="59"/>
        <v xml:space="preserve">Paladin, War, </v>
      </c>
      <c r="V86" s="347" t="str">
        <f>$B86</f>
        <v>Crusader's Mantle</v>
      </c>
      <c r="AE86" t="str">
        <f>IF(IFERROR(MATCH($B86,temp!A$4:A$13,0),0)&gt;0,T08_Spells!AE$2,"")</f>
        <v/>
      </c>
      <c r="AF86" t="str">
        <f>IF(IFERROR(MATCH($B86,temp!B$4:B$13,0),0)&gt;0,T08_Spells!AF$2,"")</f>
        <v/>
      </c>
      <c r="AG86" t="str">
        <f>IF(IFERROR(MATCH($B86,temp!C$4:C$13,0),0)&gt;0,T08_Spells!AG$2,"")</f>
        <v/>
      </c>
      <c r="AH86" t="str">
        <f>IF(IFERROR(MATCH($B86,temp!D$4:D$13,0),0)&gt;0,T08_Spells!AH$2,"")</f>
        <v/>
      </c>
      <c r="AI86" t="str">
        <f>IF(IFERROR(MATCH($B86,temp!E$4:E$13,0),0)&gt;0,T08_Spells!AI$2,"")</f>
        <v/>
      </c>
      <c r="AJ86" t="str">
        <f>IF(IFERROR(MATCH($B86,temp!F$4:F$13,0),0)&gt;0,T08_Spells!AJ$2,"")</f>
        <v/>
      </c>
      <c r="AK86" t="str">
        <f>IF(IFERROR(MATCH($B86,temp!G$4:G$13,0),0)&gt;0,T08_Spells!AK$2,"")</f>
        <v/>
      </c>
      <c r="AL86" t="str">
        <f>IF(IFERROR(MATCH($B86,temp!H$4:H$13,0),0)&gt;0,T08_Spells!AL$2,"")</f>
        <v/>
      </c>
      <c r="AM86" t="str">
        <f>IF(IFERROR(MATCH($B86,temp!I$4:I$13,0),0)&gt;0,T08_Spells!AM$2,"")</f>
        <v/>
      </c>
      <c r="AN86" t="str">
        <f>IF(IFERROR(MATCH($B86,temp!J$4:J$13,0),0)&gt;0,T08_Spells!AN$2,"")</f>
        <v/>
      </c>
      <c r="AO86" t="str">
        <f>IF(IFERROR(MATCH($B86,temp!K$4:K$13,0),0)&gt;0,T08_Spells!AO$2,"")</f>
        <v/>
      </c>
      <c r="AP86" t="str">
        <f>IF(IFERROR(MATCH($B86,temp!L$4:L$13,0),0)&gt;0,T08_Spells!AP$2,"")</f>
        <v/>
      </c>
      <c r="AQ86" t="str">
        <f>IF(IFERROR(MATCH($B86,temp!M$4:M$13,0),0)&gt;0,T08_Spells!AQ$2,"")</f>
        <v/>
      </c>
      <c r="AR86" t="str">
        <f>IF(IFERROR(MATCH($B86,temp!N$4:N$13,0),0)&gt;0,T08_Spells!AR$2,"")</f>
        <v/>
      </c>
      <c r="AS86" t="str">
        <f>IF(IFERROR(MATCH($B86,temp!O$4:O$13,0),0)&gt;0,T08_Spells!AS$2,"")</f>
        <v/>
      </c>
      <c r="AT86" t="str">
        <f>IF(IFERROR(MATCH($B86,temp!P$4:P$13,0),0)&gt;0,T08_Spells!AT$2,"")</f>
        <v/>
      </c>
      <c r="AU86" t="str">
        <f>IF(IFERROR(MATCH($B86,temp!Q$4:Q$13,0),0)&gt;0,T08_Spells!AU$2,"")</f>
        <v/>
      </c>
      <c r="AV86" t="str">
        <f>IF(IFERROR(MATCH($B86,temp!R$4:R$13,0),0)&gt;0,T08_Spells!AV$2,"")</f>
        <v/>
      </c>
      <c r="AW86" t="str">
        <f>IF(IFERROR(MATCH($B86,temp!S$4:S$13,0),0)&gt;0,T08_Spells!AW$2,"")</f>
        <v/>
      </c>
      <c r="AX86" t="str">
        <f>IF(IFERROR(MATCH($B86,temp!T$4:T$13,0),0)&gt;0,T08_Spells!AX$2,"")</f>
        <v/>
      </c>
      <c r="AY86" t="str">
        <f>IF(IFERROR(MATCH($B86,temp!U$4:U$13,0),0)&gt;0,T08_Spells!AY$2,"")</f>
        <v/>
      </c>
      <c r="AZ86" t="str">
        <f>IF(IFERROR(MATCH($B86,temp!V$4:V$13,0),0)&gt;0,T08_Spells!AZ$2,"")</f>
        <v>War</v>
      </c>
      <c r="BA86" t="str">
        <f>IF(IFERROR(MATCH($B86,temp!W$4:W$13,0),0)&gt;0,T08_Spells!BA$2,"")</f>
        <v/>
      </c>
      <c r="BC86">
        <f>IF(IFERROR(SEARCH("Ranger",$T86,1),0)&gt;0,1,0)*IF(RangerMaxSpellLevel&gt;=$C86,1,0)*IF(IFERROR(MATCH(B86,Character_Creation!$X$79:$X$382,0),0)&gt;0,0,1)</f>
        <v>0</v>
      </c>
      <c r="BD86">
        <f>IF(BC86=0,0,1+COUNTIF(BD$3:BD85,"&gt;0"))</f>
        <v>0</v>
      </c>
      <c r="BE86" t="str">
        <f t="shared" si="88"/>
        <v/>
      </c>
      <c r="BF86" t="str">
        <f t="shared" si="60"/>
        <v/>
      </c>
      <c r="BH86">
        <f>IF(IFERROR(SEARCH("Sorcerer",$T86,1),0)&gt;0,1,0)*IF(SorcererMaxSpellLevel&gt;=$C86,1,0)*IF(IFERROR(MATCH(B86,Character_Creation!$J$380:$J$394,0),0)&gt;0,0,1)</f>
        <v>0</v>
      </c>
      <c r="BI86">
        <f>IF(BH86=0,0,1+COUNTIF(BI$3:BI85,"&gt;0"))</f>
        <v>0</v>
      </c>
      <c r="BJ86" t="str">
        <f t="shared" si="89"/>
        <v/>
      </c>
      <c r="BK86" t="str">
        <f t="shared" si="61"/>
        <v/>
      </c>
      <c r="BM86">
        <f>IF(OR(IFERROR(SEARCH("Warlock",$T86,1),0)&gt;0,IFERROR(SEARCH(WarlockPatron,$T86,1),0)&gt;0),1,0)*IF(WarlockMaxSpellLevel&gt;=$C86,1,0)*IF(IFERROR(MATCH(B86,Character_Creation!$J$361:$J$375,0),0)&gt;0,0,1)</f>
        <v>0</v>
      </c>
      <c r="BN86">
        <f>IF(BM86=0,0,1+COUNTIF(BN$3:BN85,"&gt;0"))</f>
        <v>0</v>
      </c>
      <c r="BO86" t="str">
        <f t="shared" si="90"/>
        <v/>
      </c>
      <c r="BP86" t="str">
        <f t="shared" si="62"/>
        <v/>
      </c>
      <c r="BR86">
        <f>IF(IFERROR(SEARCH("Eldritch Knight",$T86,1),0)&gt;0,1,0)*IF(EldritchKnightMaxSpellLevel&gt;=$C86,1,0)*IF(IFERROR(MATCH($B86,Character_Creation!$J$350:$J$356,0),0)&gt;0,0,1)*IF(Character_Creation!$M$338&gt;0,1,0)</f>
        <v>0</v>
      </c>
      <c r="BS86">
        <f>IF(BR86=0,0,1+COUNTIF(BS$3:BS85,"&gt;0"))</f>
        <v>0</v>
      </c>
      <c r="BT86" t="str">
        <f t="shared" si="91"/>
        <v/>
      </c>
      <c r="BU86" t="str">
        <f t="shared" si="63"/>
        <v/>
      </c>
      <c r="BW86">
        <f>IF(IFERROR(SEARCH("Arcane Trickster",$T86,1),0)&gt;0,1,0)*IF(ArcaneTricksterMaxSpellLevel&gt;=$C86,1,0)*IF(IFERROR(MATCH($B86,Character_Creation!$J$350:$J$356,0),0)&gt;0,0,1)*IF(Character_Creation!$T$338&gt;0,1,0)</f>
        <v>0</v>
      </c>
      <c r="BX86">
        <f>IF(BW86=0,0,1+COUNTIF(BX$3:BX85,"&gt;0"))</f>
        <v>0</v>
      </c>
      <c r="BY86" t="str">
        <f t="shared" si="92"/>
        <v/>
      </c>
      <c r="BZ86" t="str">
        <f t="shared" si="64"/>
        <v/>
      </c>
      <c r="CB86">
        <f>IF(IFERROR(SEARCH("Wizard",$T86,1),0)&gt;0,1,0)*IF(C86&lt;=ArcaneTricksterMaxSpellLevel,1,0)*IF(IFERROR(MATCH($B86,Character_Creation!$J$350:$J$356,0),0)&gt;0,0,1)*IF(Character_Creation!$T$350&gt;0,1,0)</f>
        <v>0</v>
      </c>
      <c r="CC86">
        <f>IF(CB86=0,0,1+COUNTIF(CC$3:CC85,"&gt;0"))</f>
        <v>0</v>
      </c>
      <c r="CD86" t="str">
        <f t="shared" si="93"/>
        <v/>
      </c>
      <c r="CE86" t="str">
        <f t="shared" si="65"/>
        <v/>
      </c>
      <c r="CG86">
        <f>IF(IFERROR(SEARCH("Wizard",$T86,1),0)&gt;0,1,0)*IF($C86&lt;=EldritchKnightMaxSpellLevel,1,0)*IF(IFERROR(MATCH($B86,Character_Creation!$J$350:$J$356,0),0)&gt;0,0,1)*IF(Character_Creation!$M$350&gt;0,1,0)</f>
        <v>0</v>
      </c>
      <c r="CH86">
        <f>IF(CG86=0,0,1+COUNTIF(CH$3:CH85,"&gt;0"))</f>
        <v>0</v>
      </c>
      <c r="CI86" t="str">
        <f t="shared" si="94"/>
        <v/>
      </c>
      <c r="CJ86" t="str">
        <f t="shared" si="66"/>
        <v/>
      </c>
      <c r="CL86">
        <f>IF(IFERROR(SEARCH("Bard",$T86,1),0)&gt;0,1,0)*IF(BardMaxSpellLevel&gt;=$C86,1,0)*IF(IFERROR(MATCH(B86,Character_Creation!$C$341:$F$362,0),0)&gt;0,0,1)*IF(IFERROR(MATCH($B86,Character_Creation!$C$341:$C$362,0),0)&gt;0,0,1)</f>
        <v>0</v>
      </c>
      <c r="CM86">
        <f>IF(CL86=0,0,1+COUNTIF(CM$3:CM85,"&gt;0"))</f>
        <v>0</v>
      </c>
      <c r="CN86" t="str">
        <f t="shared" si="95"/>
        <v/>
      </c>
      <c r="CO86" t="str">
        <f t="shared" si="67"/>
        <v/>
      </c>
      <c r="CQ86">
        <f>IF(IFERROR(SEARCH("Wizard",$T86,1),0)&gt;0,1,0)*IF(WizardMaxSpellLevel&gt;=$C86,1,0)*IF(IFERROR(MATCH(B86,Character_Creation!$X$341:$X$400,0),0)&gt;0,0,1)*IF(SelectedWizardSpellLevel=$C86,1,0)</f>
        <v>0</v>
      </c>
      <c r="CR86">
        <f>IF(CQ86=0,0,1+COUNTIF(CR$3:CR85,"&gt;0"))</f>
        <v>0</v>
      </c>
      <c r="CS86" t="str">
        <f t="shared" si="96"/>
        <v/>
      </c>
      <c r="CT86" t="str">
        <f t="shared" si="68"/>
        <v/>
      </c>
      <c r="CV86">
        <f>IF(IFERROR(MATCH($B86,Character_Creation!$C$341:$C$362,0),0)&gt;0,0,1)*IF(OR(C86="Cantrip",C86&lt;=BardMaxSpellLevel),1,0)*IF(IFERROR(MATCH($B86,Character_Creation!$C$367:$C$374,0),0)&gt;0,0,1)</f>
        <v>0</v>
      </c>
      <c r="CW86">
        <f>IF(CV86=0,0,1+COUNTIF(CW$3:CW85,"&gt;0"))</f>
        <v>0</v>
      </c>
      <c r="CX86" t="str">
        <f t="shared" si="97"/>
        <v/>
      </c>
      <c r="CY86" t="str">
        <f t="shared" si="69"/>
        <v/>
      </c>
      <c r="DA86">
        <f>IF(IF(OR(IFERROR(SEARCH("Cleric",$T86,1),0)&gt;0,IFERROR(SEARCH(DivineDomain&amp;",",$T86,1),0)&gt;0),1,0)*IF($C86=DA$2,1,0)=1,1+COUNTIF(DA$3:DA85,"&gt;0"),0)</f>
        <v>0</v>
      </c>
      <c r="DB86">
        <f>IF(IF(OR(IFERROR(SEARCH("Cleric",$T86,1),0)&gt;0,IFERROR(SEARCH(DivineDomain&amp;",",$T86,1),0)&gt;0),1,0)*IF($C86=DB$2,1,0)=1,1+COUNTIF(DB$3:DB85,"&gt;0"),0)</f>
        <v>0</v>
      </c>
      <c r="DC86">
        <f>IF(IF(OR(IFERROR(SEARCH("Cleric",$T86,1),0)&gt;0,IFERROR(SEARCH(DivineDomain&amp;",",$T86,1),0)&gt;0),1,0)*IF($C86=DC$2,1,0)=1,1+COUNTIF(DC$3:DC85,"&gt;0"),0)</f>
        <v>0</v>
      </c>
      <c r="DD86">
        <f>IF(IF(OR(IFERROR(SEARCH("Cleric",$T86,1),0)&gt;0,IFERROR(SEARCH(DivineDomain&amp;",",$T86,1),0)&gt;0),1,0)*IF($C86=DD$2,1,0)=1,1+COUNTIF(DD$3:DD85,"&gt;0"),0)</f>
        <v>0</v>
      </c>
      <c r="DE86">
        <f>IF(IF(OR(IFERROR(SEARCH("Cleric",$T86,1),0)&gt;0,IFERROR(SEARCH(DivineDomain&amp;",",$T86,1),0)&gt;0),1,0)*IF($C86=DE$2,1,0)=1,1+COUNTIF(DE$3:DE85,"&gt;0"),0)</f>
        <v>0</v>
      </c>
      <c r="DF86">
        <f>IF(IF(OR(IFERROR(SEARCH("Cleric",$T86,1),0)&gt;0,IFERROR(SEARCH(DivineDomain&amp;",",$T86,1),0)&gt;0),1,0)*IF($C86=DF$2,1,0)=1,1+COUNTIF(DF$3:DF85,"&gt;0"),0)</f>
        <v>0</v>
      </c>
      <c r="DG86">
        <f>IF(IF(OR(IFERROR(SEARCH("Cleric",$T86,1),0)&gt;0,IFERROR(SEARCH(DivineDomain&amp;",",$T86,1),0)&gt;0),1,0)*IF($C86=DG$2,1,0)=1,1+COUNTIF(DG$3:DG85,"&gt;0"),0)</f>
        <v>0</v>
      </c>
      <c r="DH86">
        <f>IF(IF(OR(IFERROR(SEARCH("Cleric",$T86,1),0)&gt;0,IFERROR(SEARCH(DivineDomain&amp;",",$T86,1),0)&gt;0),1,0)*IF($C86=DH$2,1,0)=1,1+COUNTIF(DH$3:DH85,"&gt;0"),0)</f>
        <v>0</v>
      </c>
      <c r="DI86">
        <f>IF(IF(OR(IFERROR(SEARCH("Cleric",$T86,1),0)&gt;0,IFERROR(SEARCH(DivineDomain&amp;",",$T86,1),0)&gt;0),1,0)*IF($C86=DI$2,1,0)=1,1+COUNTIF(DI$3:DI85,"&gt;0"),0)</f>
        <v>0</v>
      </c>
      <c r="DJ86">
        <f>IF(IF(OR(IFERROR(SEARCH("Druid",$T86,1),0)&gt;0,IFERROR(SEARCH(DruidLand1,$T86,1),0)&gt;0,IFERROR(SEARCH(DruidLand2,$T86,1),0)&gt;0,IFERROR(SEARCH(DruidLand3,$T86,1),0)&gt;0,IFERROR(SEARCH(DruidLand4,$T86,1),0)&gt;0),1,0)*IF($C86=1,1,0)*IF($C86=DJ$2,1,0)=0,0,1+COUNTIF(DJ$3:DJ85,"&gt;0"))</f>
        <v>0</v>
      </c>
      <c r="DK86">
        <f>IF(IF(OR(IFERROR(SEARCH("Druid",$T86,1),0)&gt;0,IFERROR(SEARCH(DruidLand1,$T86,1),0)&gt;0,IFERROR(SEARCH(DruidLand2,$T86,1),0)&gt;0,IFERROR(SEARCH(DruidLand3,$T86,1),0)&gt;0,IFERROR(SEARCH(DruidLand4,$T86,1),0)&gt;0),1,0)*IF($C86=1,1,0)*IF($C86=DK$2,1,0)=0,0,1+COUNTIF(DK$3:DK85,"&gt;0"))</f>
        <v>0</v>
      </c>
      <c r="DL86">
        <f>IF(IF(OR(IFERROR(SEARCH("Druid",$T86,1),0)&gt;0,IFERROR(SEARCH(DruidLand1,$T86,1),0)&gt;0,IFERROR(SEARCH(DruidLand2,$T86,1),0)&gt;0,IFERROR(SEARCH(DruidLand3,$T86,1),0)&gt;0,IFERROR(SEARCH(DruidLand4,$T86,1),0)&gt;0),1,0)*IF($C86=1,1,0)*IF($C86=DL$2,1,0)=0,0,1+COUNTIF(DL$3:DL85,"&gt;0"))</f>
        <v>0</v>
      </c>
      <c r="DM86">
        <f>IF(IF(OR(IFERROR(SEARCH("Druid",$T86,1),0)&gt;0,IFERROR(SEARCH(DruidLand1,$T86,1),0)&gt;0,IFERROR(SEARCH(DruidLand2,$T86,1),0)&gt;0,IFERROR(SEARCH(DruidLand3,$T86,1),0)&gt;0,IFERROR(SEARCH(DruidLand4,$T86,1),0)&gt;0),1,0)*IF($C86=1,1,0)*IF($C86=DM$2,1,0)=0,0,1+COUNTIF(DM$3:DM85,"&gt;0"))</f>
        <v>0</v>
      </c>
      <c r="DN86">
        <f>IF(IF(OR(IFERROR(SEARCH("Druid",$T86,1),0)&gt;0,IFERROR(SEARCH(DruidLand1,$T86,1),0)&gt;0,IFERROR(SEARCH(DruidLand2,$T86,1),0)&gt;0,IFERROR(SEARCH(DruidLand3,$T86,1),0)&gt;0,IFERROR(SEARCH(DruidLand4,$T86,1),0)&gt;0),1,0)*IF($C86=1,1,0)*IF($C86=DN$2,1,0)=0,0,1+COUNTIF(DN$3:DN85,"&gt;0"))</f>
        <v>0</v>
      </c>
      <c r="DO86">
        <f>IF(IF(OR(IFERROR(SEARCH("Druid",$T86,1),0)&gt;0,IFERROR(SEARCH(DruidLand1,$T86,1),0)&gt;0,IFERROR(SEARCH(DruidLand2,$T86,1),0)&gt;0,IFERROR(SEARCH(DruidLand3,$T86,1),0)&gt;0,IFERROR(SEARCH(DruidLand4,$T86,1),0)&gt;0),1,0)*IF($C86=1,1,0)*IF($C86=DO$2,1,0)=0,0,1+COUNTIF(DO$3:DO85,"&gt;0"))</f>
        <v>0</v>
      </c>
      <c r="DP86">
        <f>IF(IF(OR(IFERROR(SEARCH("Druid",$T86,1),0)&gt;0,IFERROR(SEARCH(DruidLand1,$T86,1),0)&gt;0,IFERROR(SEARCH(DruidLand2,$T86,1),0)&gt;0,IFERROR(SEARCH(DruidLand3,$T86,1),0)&gt;0,IFERROR(SEARCH(DruidLand4,$T86,1),0)&gt;0),1,0)*IF($C86=1,1,0)*IF($C86=DP$2,1,0)=0,0,1+COUNTIF(DP$3:DP85,"&gt;0"))</f>
        <v>0</v>
      </c>
      <c r="DQ86">
        <f>IF(IF(OR(IFERROR(SEARCH("Druid",$T86,1),0)&gt;0,IFERROR(SEARCH(DruidLand1,$T86,1),0)&gt;0,IFERROR(SEARCH(DruidLand2,$T86,1),0)&gt;0,IFERROR(SEARCH(DruidLand3,$T86,1),0)&gt;0,IFERROR(SEARCH(DruidLand4,$T86,1),0)&gt;0),1,0)*IF($C86=1,1,0)*IF($C86=DQ$2,1,0)=0,0,1+COUNTIF(DQ$3:DQ85,"&gt;0"))</f>
        <v>0</v>
      </c>
      <c r="DR86">
        <f>IF(IF(OR(IFERROR(SEARCH("Druid",$T86,1),0)&gt;0,IFERROR(SEARCH(DruidLand1,$T86,1),0)&gt;0,IFERROR(SEARCH(DruidLand2,$T86,1),0)&gt;0,IFERROR(SEARCH(DruidLand3,$T86,1),0)&gt;0,IFERROR(SEARCH(DruidLand4,$T86,1),0)&gt;0),1,0)*IF($C86=1,1,0)*IF($C86=DR$2,1,0)=0,0,1+COUNTIF(DR$3:DR85,"&gt;0"))</f>
        <v>0</v>
      </c>
      <c r="DS86">
        <f>IF(IF(OR(IFERROR(SEARCH("Paladin",$T86,1),0)&gt;0,IFERROR(SEARCH(PaladinOath,$T86,1),0)&gt;0),1,0)*IF($C86=DS$2,1,0)=1,1+COUNTIF(DS$3:DS85,"&gt;0"),0)</f>
        <v>0</v>
      </c>
      <c r="DT86">
        <f>IF(IF(OR(IFERROR(SEARCH("Paladin",$T86,1),0)&gt;0,IFERROR(SEARCH(PaladinOath,$T86,1),0)&gt;0),1,0)*IF($C86=DT$2,1,0)=1,1+COUNTIF(DT$3:DT85,"&gt;0"),0)</f>
        <v>0</v>
      </c>
      <c r="DU86">
        <f>IF(IF(OR(IFERROR(SEARCH("Paladin",$T86,1),0)&gt;0,IFERROR(SEARCH(PaladinOath,$T86,1),0)&gt;0),1,0)*IF($C86=DU$2,1,0)=1,1+COUNTIF(DU$3:DU85,"&gt;0"),0)</f>
        <v>4</v>
      </c>
      <c r="DV86">
        <f>IF(IF(OR(IFERROR(SEARCH("Paladin",$T86,1),0)&gt;0,IFERROR(SEARCH(PaladinOath,$T86,1),0)&gt;0),1,0)*IF($C86=DV$2,1,0)=1,1+COUNTIF(DV$3:DV85,"&gt;0"),0)</f>
        <v>0</v>
      </c>
      <c r="DW86">
        <f>IF(IF(OR(IFERROR(SEARCH("Paladin",$T86,1),0)&gt;0,IFERROR(SEARCH(PaladinOath,$T86,1),0)&gt;0),1,0)*IF($C86=DW$2,1,0)=1,1+COUNTIF(DW$3:DW85,"&gt;0"),0)</f>
        <v>0</v>
      </c>
      <c r="DY86">
        <f t="shared" si="56"/>
        <v>1</v>
      </c>
      <c r="DZ86">
        <f>IF(DY86=0,0,1+MAX(DZ$3:$DZ85))</f>
        <v>84</v>
      </c>
      <c r="EB86">
        <f t="shared" si="70"/>
        <v>0</v>
      </c>
      <c r="EC86">
        <f>IF(EB86=0,0,1+COUNTIF(EC$3:EC85,"&gt;0"))</f>
        <v>0</v>
      </c>
      <c r="ED86" t="str">
        <f t="shared" si="98"/>
        <v/>
      </c>
      <c r="EE86" t="str">
        <f t="shared" si="71"/>
        <v/>
      </c>
      <c r="EG86">
        <f t="shared" si="72"/>
        <v>0</v>
      </c>
      <c r="EH86">
        <f>IF(EG86=0,0,1+COUNTIF(EH$3:EH85,"&gt;0"))</f>
        <v>0</v>
      </c>
      <c r="EI86" t="str">
        <f t="shared" si="99"/>
        <v/>
      </c>
      <c r="EJ86" t="str">
        <f t="shared" si="73"/>
        <v/>
      </c>
      <c r="EL86">
        <f t="shared" si="74"/>
        <v>0</v>
      </c>
      <c r="EM86">
        <f>IF(EL86=0,0,1+COUNTIF(EM$3:EM85,"&gt;0"))</f>
        <v>0</v>
      </c>
      <c r="EN86" t="str">
        <f t="shared" si="100"/>
        <v/>
      </c>
      <c r="EO86" t="str">
        <f t="shared" si="75"/>
        <v/>
      </c>
      <c r="EQ86">
        <f t="shared" si="76"/>
        <v>0</v>
      </c>
      <c r="ER86">
        <f>IF(EQ86=0,0,1+COUNTIF(ER$3:ER85,"&gt;0"))</f>
        <v>0</v>
      </c>
      <c r="ES86" t="str">
        <f t="shared" si="101"/>
        <v/>
      </c>
      <c r="ET86" t="str">
        <f t="shared" si="77"/>
        <v/>
      </c>
      <c r="EV86">
        <f t="shared" si="78"/>
        <v>0</v>
      </c>
      <c r="EW86">
        <f>IF(EV86=0,0,1+COUNTIF(EW$3:EW85,"&gt;0"))</f>
        <v>0</v>
      </c>
      <c r="EX86" t="str">
        <f t="shared" si="102"/>
        <v/>
      </c>
      <c r="EY86" t="str">
        <f t="shared" si="79"/>
        <v/>
      </c>
      <c r="FA86">
        <f t="shared" si="80"/>
        <v>0</v>
      </c>
      <c r="FB86">
        <f>IF(FA86=0,0,1+COUNTIF(FB$3:FB85,"&gt;0"))</f>
        <v>0</v>
      </c>
      <c r="FC86" t="str">
        <f t="shared" si="103"/>
        <v/>
      </c>
      <c r="FD86" t="str">
        <f t="shared" si="81"/>
        <v/>
      </c>
      <c r="FF86">
        <f t="shared" si="82"/>
        <v>0</v>
      </c>
      <c r="FG86">
        <f>IF(FF86=0,0,1+COUNTIF(FG$3:FG85,"&gt;0"))</f>
        <v>0</v>
      </c>
      <c r="FH86" t="str">
        <f t="shared" si="104"/>
        <v/>
      </c>
      <c r="FI86" t="str">
        <f t="shared" si="83"/>
        <v/>
      </c>
      <c r="FK86">
        <f t="shared" si="84"/>
        <v>0</v>
      </c>
      <c r="FL86">
        <f>IF(FK86=0,0,1+COUNTIF(FL$3:FL85,"&gt;0"))</f>
        <v>0</v>
      </c>
      <c r="FM86" t="str">
        <f t="shared" si="105"/>
        <v/>
      </c>
      <c r="FN86" t="str">
        <f t="shared" si="85"/>
        <v/>
      </c>
      <c r="FP86">
        <f t="shared" si="86"/>
        <v>0</v>
      </c>
      <c r="FQ86">
        <f>IF(FP86=0,0,1+COUNTIF(FQ$3:FQ85,"&gt;0"))</f>
        <v>0</v>
      </c>
      <c r="FR86" t="str">
        <f t="shared" si="106"/>
        <v/>
      </c>
      <c r="FS86" t="str">
        <f t="shared" si="87"/>
        <v/>
      </c>
    </row>
    <row r="87" spans="1:175" x14ac:dyDescent="0.25">
      <c r="A87" s="347">
        <f t="shared" si="107"/>
        <v>85</v>
      </c>
      <c r="B87" s="348" t="s">
        <v>2453</v>
      </c>
      <c r="C87" s="348">
        <v>1</v>
      </c>
      <c r="D87" s="347">
        <v>1</v>
      </c>
      <c r="E87" s="627" t="s">
        <v>6952</v>
      </c>
      <c r="F87" s="346"/>
      <c r="G87" s="347" t="str">
        <f>""</f>
        <v/>
      </c>
      <c r="H87" s="347" t="s">
        <v>5912</v>
      </c>
      <c r="I87" s="347" t="s">
        <v>5298</v>
      </c>
      <c r="J87" s="347" t="str">
        <f t="shared" si="57"/>
        <v/>
      </c>
      <c r="K87" s="347" t="s">
        <v>5278</v>
      </c>
      <c r="L87" s="611" t="str">
        <f t="shared" si="58"/>
        <v>V, S</v>
      </c>
      <c r="M87" s="347" t="s">
        <v>2373</v>
      </c>
      <c r="N87" s="347" t="s">
        <v>2387</v>
      </c>
      <c r="O87" s="347" t="s">
        <v>3034</v>
      </c>
      <c r="P87" s="346" t="str">
        <f>""</f>
        <v/>
      </c>
      <c r="Q87" s="347" t="s">
        <v>5273</v>
      </c>
      <c r="S87" s="346" t="s">
        <v>5649</v>
      </c>
      <c r="T87" s="346" t="str">
        <f t="shared" si="59"/>
        <v xml:space="preserve">Bard, Paladin, Ranger, Cleric, Druid, Life, </v>
      </c>
      <c r="U87" s="347" t="str">
        <f>$B87</f>
        <v>Cure Wounds</v>
      </c>
      <c r="V87" s="347" t="str">
        <f>$B87</f>
        <v>Cure Wounds</v>
      </c>
      <c r="W87" s="347" t="str">
        <f>$B87</f>
        <v>Cure Wounds</v>
      </c>
      <c r="Z87" s="347" t="str">
        <f>$B87</f>
        <v>Cure Wounds</v>
      </c>
      <c r="AA87" s="347" t="str">
        <f>$B87</f>
        <v>Cure Wounds</v>
      </c>
      <c r="AE87" t="str">
        <f>IF(IFERROR(MATCH($B87,temp!A$4:A$13,0),0)&gt;0,T08_Spells!AE$2,"")</f>
        <v/>
      </c>
      <c r="AF87" t="str">
        <f>IF(IFERROR(MATCH($B87,temp!B$4:B$13,0),0)&gt;0,T08_Spells!AF$2,"")</f>
        <v/>
      </c>
      <c r="AG87" t="str">
        <f>IF(IFERROR(MATCH($B87,temp!C$4:C$13,0),0)&gt;0,T08_Spells!AG$2,"")</f>
        <v/>
      </c>
      <c r="AH87" t="str">
        <f>IF(IFERROR(MATCH($B87,temp!D$4:D$13,0),0)&gt;0,T08_Spells!AH$2,"")</f>
        <v/>
      </c>
      <c r="AI87" t="str">
        <f>IF(IFERROR(MATCH($B87,temp!E$4:E$13,0),0)&gt;0,T08_Spells!AI$2,"")</f>
        <v/>
      </c>
      <c r="AJ87" t="str">
        <f>IF(IFERROR(MATCH($B87,temp!F$4:F$13,0),0)&gt;0,T08_Spells!AJ$2,"")</f>
        <v/>
      </c>
      <c r="AK87" t="str">
        <f>IF(IFERROR(MATCH($B87,temp!G$4:G$13,0),0)&gt;0,T08_Spells!AK$2,"")</f>
        <v/>
      </c>
      <c r="AL87" t="str">
        <f>IF(IFERROR(MATCH($B87,temp!H$4:H$13,0),0)&gt;0,T08_Spells!AL$2,"")</f>
        <v/>
      </c>
      <c r="AM87" t="str">
        <f>IF(IFERROR(MATCH($B87,temp!I$4:I$13,0),0)&gt;0,T08_Spells!AM$2,"")</f>
        <v/>
      </c>
      <c r="AN87" t="str">
        <f>IF(IFERROR(MATCH($B87,temp!J$4:J$13,0),0)&gt;0,T08_Spells!AN$2,"")</f>
        <v/>
      </c>
      <c r="AO87" t="str">
        <f>IF(IFERROR(MATCH($B87,temp!K$4:K$13,0),0)&gt;0,T08_Spells!AO$2,"")</f>
        <v/>
      </c>
      <c r="AP87" t="str">
        <f>IF(IFERROR(MATCH($B87,temp!L$4:L$13,0),0)&gt;0,T08_Spells!AP$2,"")</f>
        <v/>
      </c>
      <c r="AQ87" t="str">
        <f>IF(IFERROR(MATCH($B87,temp!M$4:M$13,0),0)&gt;0,T08_Spells!AQ$2,"")</f>
        <v/>
      </c>
      <c r="AR87" t="str">
        <f>IF(IFERROR(MATCH($B87,temp!N$4:N$13,0),0)&gt;0,T08_Spells!AR$2,"")</f>
        <v/>
      </c>
      <c r="AS87" t="str">
        <f>IF(IFERROR(MATCH($B87,temp!O$4:O$13,0),0)&gt;0,T08_Spells!AS$2,"")</f>
        <v/>
      </c>
      <c r="AT87" t="str">
        <f>IF(IFERROR(MATCH($B87,temp!P$4:P$13,0),0)&gt;0,T08_Spells!AT$2,"")</f>
        <v/>
      </c>
      <c r="AU87" t="str">
        <f>IF(IFERROR(MATCH($B87,temp!Q$4:Q$13,0),0)&gt;0,T08_Spells!AU$2,"")</f>
        <v>Life</v>
      </c>
      <c r="AV87" t="str">
        <f>IF(IFERROR(MATCH($B87,temp!R$4:R$13,0),0)&gt;0,T08_Spells!AV$2,"")</f>
        <v/>
      </c>
      <c r="AW87" t="str">
        <f>IF(IFERROR(MATCH($B87,temp!S$4:S$13,0),0)&gt;0,T08_Spells!AW$2,"")</f>
        <v/>
      </c>
      <c r="AX87" t="str">
        <f>IF(IFERROR(MATCH($B87,temp!T$4:T$13,0),0)&gt;0,T08_Spells!AX$2,"")</f>
        <v/>
      </c>
      <c r="AY87" t="str">
        <f>IF(IFERROR(MATCH($B87,temp!U$4:U$13,0),0)&gt;0,T08_Spells!AY$2,"")</f>
        <v/>
      </c>
      <c r="AZ87" t="str">
        <f>IF(IFERROR(MATCH($B87,temp!V$4:V$13,0),0)&gt;0,T08_Spells!AZ$2,"")</f>
        <v/>
      </c>
      <c r="BA87" t="str">
        <f>IF(IFERROR(MATCH($B87,temp!W$4:W$13,0),0)&gt;0,T08_Spells!BA$2,"")</f>
        <v/>
      </c>
      <c r="BC87">
        <f>IF(IFERROR(SEARCH("Ranger",$T87,1),0)&gt;0,1,0)*IF(RangerMaxSpellLevel&gt;=$C87,1,0)*IF(IFERROR(MATCH(B87,Character_Creation!$X$79:$X$382,0),0)&gt;0,0,1)</f>
        <v>0</v>
      </c>
      <c r="BD87">
        <f>IF(BC87=0,0,1+COUNTIF(BD$3:BD86,"&gt;0"))</f>
        <v>0</v>
      </c>
      <c r="BE87" t="str">
        <f t="shared" si="88"/>
        <v/>
      </c>
      <c r="BF87" t="str">
        <f t="shared" si="60"/>
        <v/>
      </c>
      <c r="BH87">
        <f>IF(IFERROR(SEARCH("Sorcerer",$T87,1),0)&gt;0,1,0)*IF(SorcererMaxSpellLevel&gt;=$C87,1,0)*IF(IFERROR(MATCH(B87,Character_Creation!$J$380:$J$394,0),0)&gt;0,0,1)</f>
        <v>0</v>
      </c>
      <c r="BI87">
        <f>IF(BH87=0,0,1+COUNTIF(BI$3:BI86,"&gt;0"))</f>
        <v>0</v>
      </c>
      <c r="BJ87" t="str">
        <f t="shared" si="89"/>
        <v/>
      </c>
      <c r="BK87" t="str">
        <f t="shared" si="61"/>
        <v/>
      </c>
      <c r="BM87">
        <f>IF(OR(IFERROR(SEARCH("Warlock",$T87,1),0)&gt;0,IFERROR(SEARCH(WarlockPatron,$T87,1),0)&gt;0),1,0)*IF(WarlockMaxSpellLevel&gt;=$C87,1,0)*IF(IFERROR(MATCH(B87,Character_Creation!$J$361:$J$375,0),0)&gt;0,0,1)</f>
        <v>0</v>
      </c>
      <c r="BN87">
        <f>IF(BM87=0,0,1+COUNTIF(BN$3:BN86,"&gt;0"))</f>
        <v>0</v>
      </c>
      <c r="BO87" t="str">
        <f t="shared" si="90"/>
        <v/>
      </c>
      <c r="BP87" t="str">
        <f t="shared" si="62"/>
        <v/>
      </c>
      <c r="BR87">
        <f>IF(IFERROR(SEARCH("Eldritch Knight",$T87,1),0)&gt;0,1,0)*IF(EldritchKnightMaxSpellLevel&gt;=$C87,1,0)*IF(IFERROR(MATCH($B87,Character_Creation!$J$350:$J$356,0),0)&gt;0,0,1)*IF(Character_Creation!$M$338&gt;0,1,0)</f>
        <v>0</v>
      </c>
      <c r="BS87">
        <f>IF(BR87=0,0,1+COUNTIF(BS$3:BS86,"&gt;0"))</f>
        <v>0</v>
      </c>
      <c r="BT87" t="str">
        <f t="shared" si="91"/>
        <v/>
      </c>
      <c r="BU87" t="str">
        <f t="shared" si="63"/>
        <v/>
      </c>
      <c r="BW87">
        <f>IF(IFERROR(SEARCH("Arcane Trickster",$T87,1),0)&gt;0,1,0)*IF(ArcaneTricksterMaxSpellLevel&gt;=$C87,1,0)*IF(IFERROR(MATCH($B87,Character_Creation!$J$350:$J$356,0),0)&gt;0,0,1)*IF(Character_Creation!$T$338&gt;0,1,0)</f>
        <v>0</v>
      </c>
      <c r="BX87">
        <f>IF(BW87=0,0,1+COUNTIF(BX$3:BX86,"&gt;0"))</f>
        <v>0</v>
      </c>
      <c r="BY87" t="str">
        <f t="shared" si="92"/>
        <v/>
      </c>
      <c r="BZ87" t="str">
        <f t="shared" si="64"/>
        <v/>
      </c>
      <c r="CB87">
        <f>IF(IFERROR(SEARCH("Wizard",$T87,1),0)&gt;0,1,0)*IF(C87&lt;=ArcaneTricksterMaxSpellLevel,1,0)*IF(IFERROR(MATCH($B87,Character_Creation!$J$350:$J$356,0),0)&gt;0,0,1)*IF(Character_Creation!$T$350&gt;0,1,0)</f>
        <v>0</v>
      </c>
      <c r="CC87">
        <f>IF(CB87=0,0,1+COUNTIF(CC$3:CC86,"&gt;0"))</f>
        <v>0</v>
      </c>
      <c r="CD87" t="str">
        <f t="shared" si="93"/>
        <v/>
      </c>
      <c r="CE87" t="str">
        <f t="shared" si="65"/>
        <v/>
      </c>
      <c r="CG87">
        <f>IF(IFERROR(SEARCH("Wizard",$T87,1),0)&gt;0,1,0)*IF($C87&lt;=EldritchKnightMaxSpellLevel,1,0)*IF(IFERROR(MATCH($B87,Character_Creation!$J$350:$J$356,0),0)&gt;0,0,1)*IF(Character_Creation!$M$350&gt;0,1,0)</f>
        <v>0</v>
      </c>
      <c r="CH87">
        <f>IF(CG87=0,0,1+COUNTIF(CH$3:CH86,"&gt;0"))</f>
        <v>0</v>
      </c>
      <c r="CI87" t="str">
        <f t="shared" si="94"/>
        <v/>
      </c>
      <c r="CJ87" t="str">
        <f t="shared" si="66"/>
        <v/>
      </c>
      <c r="CL87">
        <f>IF(IFERROR(SEARCH("Bard",$T87,1),0)&gt;0,1,0)*IF(BardMaxSpellLevel&gt;=$C87,1,0)*IF(IFERROR(MATCH(B87,Character_Creation!$C$341:$F$362,0),0)&gt;0,0,1)*IF(IFERROR(MATCH($B87,Character_Creation!$C$341:$C$362,0),0)&gt;0,0,1)</f>
        <v>0</v>
      </c>
      <c r="CM87">
        <f>IF(CL87=0,0,1+COUNTIF(CM$3:CM86,"&gt;0"))</f>
        <v>0</v>
      </c>
      <c r="CN87" t="str">
        <f t="shared" si="95"/>
        <v/>
      </c>
      <c r="CO87" t="str">
        <f t="shared" si="67"/>
        <v/>
      </c>
      <c r="CQ87">
        <f>IF(IFERROR(SEARCH("Wizard",$T87,1),0)&gt;0,1,0)*IF(WizardMaxSpellLevel&gt;=$C87,1,0)*IF(IFERROR(MATCH(B87,Character_Creation!$X$341:$X$400,0),0)&gt;0,0,1)*IF(SelectedWizardSpellLevel=$C87,1,0)</f>
        <v>0</v>
      </c>
      <c r="CR87">
        <f>IF(CQ87=0,0,1+COUNTIF(CR$3:CR86,"&gt;0"))</f>
        <v>0</v>
      </c>
      <c r="CS87" t="str">
        <f t="shared" si="96"/>
        <v/>
      </c>
      <c r="CT87" t="str">
        <f t="shared" si="68"/>
        <v/>
      </c>
      <c r="CV87">
        <f>IF(IFERROR(MATCH($B87,Character_Creation!$C$341:$C$362,0),0)&gt;0,0,1)*IF(OR(C87="Cantrip",C87&lt;=BardMaxSpellLevel),1,0)*IF(IFERROR(MATCH($B87,Character_Creation!$C$367:$C$374,0),0)&gt;0,0,1)</f>
        <v>0</v>
      </c>
      <c r="CW87">
        <f>IF(CV87=0,0,1+COUNTIF(CW$3:CW86,"&gt;0"))</f>
        <v>0</v>
      </c>
      <c r="CX87" t="str">
        <f t="shared" si="97"/>
        <v/>
      </c>
      <c r="CY87" t="str">
        <f t="shared" si="69"/>
        <v/>
      </c>
      <c r="DA87">
        <f>IF(IF(OR(IFERROR(SEARCH("Cleric",$T87,1),0)&gt;0,IFERROR(SEARCH(DivineDomain&amp;",",$T87,1),0)&gt;0),1,0)*IF($C87=DA$2,1,0)=1,1+COUNTIF(DA$3:DA86,"&gt;0"),0)</f>
        <v>5</v>
      </c>
      <c r="DB87">
        <f>IF(IF(OR(IFERROR(SEARCH("Cleric",$T87,1),0)&gt;0,IFERROR(SEARCH(DivineDomain&amp;",",$T87,1),0)&gt;0),1,0)*IF($C87=DB$2,1,0)=1,1+COUNTIF(DB$3:DB86,"&gt;0"),0)</f>
        <v>0</v>
      </c>
      <c r="DC87">
        <f>IF(IF(OR(IFERROR(SEARCH("Cleric",$T87,1),0)&gt;0,IFERROR(SEARCH(DivineDomain&amp;",",$T87,1),0)&gt;0),1,0)*IF($C87=DC$2,1,0)=1,1+COUNTIF(DC$3:DC86,"&gt;0"),0)</f>
        <v>0</v>
      </c>
      <c r="DD87">
        <f>IF(IF(OR(IFERROR(SEARCH("Cleric",$T87,1),0)&gt;0,IFERROR(SEARCH(DivineDomain&amp;",",$T87,1),0)&gt;0),1,0)*IF($C87=DD$2,1,0)=1,1+COUNTIF(DD$3:DD86,"&gt;0"),0)</f>
        <v>0</v>
      </c>
      <c r="DE87">
        <f>IF(IF(OR(IFERROR(SEARCH("Cleric",$T87,1),0)&gt;0,IFERROR(SEARCH(DivineDomain&amp;",",$T87,1),0)&gt;0),1,0)*IF($C87=DE$2,1,0)=1,1+COUNTIF(DE$3:DE86,"&gt;0"),0)</f>
        <v>0</v>
      </c>
      <c r="DF87">
        <f>IF(IF(OR(IFERROR(SEARCH("Cleric",$T87,1),0)&gt;0,IFERROR(SEARCH(DivineDomain&amp;",",$T87,1),0)&gt;0),1,0)*IF($C87=DF$2,1,0)=1,1+COUNTIF(DF$3:DF86,"&gt;0"),0)</f>
        <v>0</v>
      </c>
      <c r="DG87">
        <f>IF(IF(OR(IFERROR(SEARCH("Cleric",$T87,1),0)&gt;0,IFERROR(SEARCH(DivineDomain&amp;",",$T87,1),0)&gt;0),1,0)*IF($C87=DG$2,1,0)=1,1+COUNTIF(DG$3:DG86,"&gt;0"),0)</f>
        <v>0</v>
      </c>
      <c r="DH87">
        <f>IF(IF(OR(IFERROR(SEARCH("Cleric",$T87,1),0)&gt;0,IFERROR(SEARCH(DivineDomain&amp;",",$T87,1),0)&gt;0),1,0)*IF($C87=DH$2,1,0)=1,1+COUNTIF(DH$3:DH86,"&gt;0"),0)</f>
        <v>0</v>
      </c>
      <c r="DI87">
        <f>IF(IF(OR(IFERROR(SEARCH("Cleric",$T87,1),0)&gt;0,IFERROR(SEARCH(DivineDomain&amp;",",$T87,1),0)&gt;0),1,0)*IF($C87=DI$2,1,0)=1,1+COUNTIF(DI$3:DI86,"&gt;0"),0)</f>
        <v>0</v>
      </c>
      <c r="DJ87">
        <f>IF(IF(OR(IFERROR(SEARCH("Druid",$T87,1),0)&gt;0,IFERROR(SEARCH(DruidLand1,$T87,1),0)&gt;0,IFERROR(SEARCH(DruidLand2,$T87,1),0)&gt;0,IFERROR(SEARCH(DruidLand3,$T87,1),0)&gt;0,IFERROR(SEARCH(DruidLand4,$T87,1),0)&gt;0),1,0)*IF($C87=1,1,0)*IF($C87=DJ$2,1,0)=0,0,1+COUNTIF(DJ$3:DJ86,"&gt;0"))</f>
        <v>4</v>
      </c>
      <c r="DK87">
        <f>IF(IF(OR(IFERROR(SEARCH("Druid",$T87,1),0)&gt;0,IFERROR(SEARCH(DruidLand1,$T87,1),0)&gt;0,IFERROR(SEARCH(DruidLand2,$T87,1),0)&gt;0,IFERROR(SEARCH(DruidLand3,$T87,1),0)&gt;0,IFERROR(SEARCH(DruidLand4,$T87,1),0)&gt;0),1,0)*IF($C87=DK$2,1,0)=0,0,1+COUNTIF(DK$3:DK86,"&gt;0"))</f>
        <v>0</v>
      </c>
      <c r="DL87">
        <f>IF(IF(OR(IFERROR(SEARCH("Druid",$T87,1),0)&gt;0,IFERROR(SEARCH(DruidLand1,$T87,1),0)&gt;0,IFERROR(SEARCH(DruidLand2,$T87,1),0)&gt;0,IFERROR(SEARCH(DruidLand3,$T87,1),0)&gt;0,IFERROR(SEARCH(DruidLand4,$T87,1),0)&gt;0),1,0)*IF($C87=DL$2,1,0)=0,0,1+COUNTIF(DL$3:DL86,"&gt;0"))</f>
        <v>0</v>
      </c>
      <c r="DM87">
        <f>IF(IF(OR(IFERROR(SEARCH("Druid",$T87,1),0)&gt;0,IFERROR(SEARCH(DruidLand1,$T87,1),0)&gt;0,IFERROR(SEARCH(DruidLand2,$T87,1),0)&gt;0,IFERROR(SEARCH(DruidLand3,$T87,1),0)&gt;0,IFERROR(SEARCH(DruidLand4,$T87,1),0)&gt;0),1,0)*IF($C87=DM$2,1,0)=0,0,1+COUNTIF(DM$3:DM86,"&gt;0"))</f>
        <v>0</v>
      </c>
      <c r="DN87">
        <f>IF(IF(OR(IFERROR(SEARCH("Druid",$T87,1),0)&gt;0,IFERROR(SEARCH(DruidLand1,$T87,1),0)&gt;0,IFERROR(SEARCH(DruidLand2,$T87,1),0)&gt;0,IFERROR(SEARCH(DruidLand3,$T87,1),0)&gt;0,IFERROR(SEARCH(DruidLand4,$T87,1),0)&gt;0),1,0)*IF($C87=DN$2,1,0)=0,0,1+COUNTIF(DN$3:DN86,"&gt;0"))</f>
        <v>0</v>
      </c>
      <c r="DO87">
        <f>IF(IF(OR(IFERROR(SEARCH("Druid",$T87,1),0)&gt;0,IFERROR(SEARCH(DruidLand1,$T87,1),0)&gt;0,IFERROR(SEARCH(DruidLand2,$T87,1),0)&gt;0,IFERROR(SEARCH(DruidLand3,$T87,1),0)&gt;0,IFERROR(SEARCH(DruidLand4,$T87,1),0)&gt;0),1,0)*IF($C87=DO$2,1,0)=0,0,1+COUNTIF(DO$3:DO86,"&gt;0"))</f>
        <v>0</v>
      </c>
      <c r="DP87">
        <f>IF(IF(OR(IFERROR(SEARCH("Druid",$T87,1),0)&gt;0,IFERROR(SEARCH(DruidLand1,$T87,1),0)&gt;0,IFERROR(SEARCH(DruidLand2,$T87,1),0)&gt;0,IFERROR(SEARCH(DruidLand3,$T87,1),0)&gt;0,IFERROR(SEARCH(DruidLand4,$T87,1),0)&gt;0),1,0)*IF($C87=DP$2,1,0)=0,0,1+COUNTIF(DP$3:DP86,"&gt;0"))</f>
        <v>0</v>
      </c>
      <c r="DQ87">
        <f>IF(IF(OR(IFERROR(SEARCH("Druid",$T87,1),0)&gt;0,IFERROR(SEARCH(DruidLand1,$T87,1),0)&gt;0,IFERROR(SEARCH(DruidLand2,$T87,1),0)&gt;0,IFERROR(SEARCH(DruidLand3,$T87,1),0)&gt;0,IFERROR(SEARCH(DruidLand4,$T87,1),0)&gt;0),1,0)*IF($C87=DQ$2,1,0)=0,0,1+COUNTIF(DQ$3:DQ86,"&gt;0"))</f>
        <v>0</v>
      </c>
      <c r="DR87">
        <f>IF(IF(OR(IFERROR(SEARCH("Druid",$T87,1),0)&gt;0,IFERROR(SEARCH(DruidLand1,$T87,1),0)&gt;0,IFERROR(SEARCH(DruidLand2,$T87,1),0)&gt;0,IFERROR(SEARCH(DruidLand3,$T87,1),0)&gt;0,IFERROR(SEARCH(DruidLand4,$T87,1),0)&gt;0),1,0)*IF($C87=DR$2,1,0)=0,0,1+COUNTIF(DR$3:DR86,"&gt;0"))</f>
        <v>0</v>
      </c>
      <c r="DS87">
        <f>IF(IF(OR(IFERROR(SEARCH("Paladin",$T87,1),0)&gt;0,IFERROR(SEARCH(PaladinOath,$T87,1),0)&gt;0),1,0)*IF($C87=DS$2,1,0)=1,1+COUNTIF(DS$3:DS86,"&gt;0"),0)</f>
        <v>4</v>
      </c>
      <c r="DT87">
        <f>IF(IF(OR(IFERROR(SEARCH("Paladin",$T87,1),0)&gt;0,IFERROR(SEARCH(PaladinOath,$T87,1),0)&gt;0),1,0)*IF($C87=DT$2,1,0)=1,1+COUNTIF(DT$3:DT86,"&gt;0"),0)</f>
        <v>0</v>
      </c>
      <c r="DU87">
        <f>IF(IF(OR(IFERROR(SEARCH("Paladin",$T87,1),0)&gt;0,IFERROR(SEARCH(PaladinOath,$T87,1),0)&gt;0),1,0)*IF($C87=DU$2,1,0)=1,1+COUNTIF(DU$3:DU86,"&gt;0"),0)</f>
        <v>0</v>
      </c>
      <c r="DV87">
        <f>IF(IF(OR(IFERROR(SEARCH("Paladin",$T87,1),0)&gt;0,IFERROR(SEARCH(PaladinOath,$T87,1),0)&gt;0),1,0)*IF($C87=DV$2,1,0)=1,1+COUNTIF(DV$3:DV86,"&gt;0"),0)</f>
        <v>0</v>
      </c>
      <c r="DW87">
        <f>IF(IF(OR(IFERROR(SEARCH("Paladin",$T87,1),0)&gt;0,IFERROR(SEARCH(PaladinOath,$T87,1),0)&gt;0),1,0)*IF($C87=DW$2,1,0)=1,1+COUNTIF(DW$3:DW86,"&gt;0"),0)</f>
        <v>0</v>
      </c>
      <c r="DY87">
        <f t="shared" si="56"/>
        <v>1</v>
      </c>
      <c r="DZ87">
        <f>IF(DY87=0,0,1+MAX(DZ$3:$DZ86))</f>
        <v>85</v>
      </c>
      <c r="EB87">
        <f t="shared" si="70"/>
        <v>0</v>
      </c>
      <c r="EC87">
        <f>IF(EB87=0,0,1+COUNTIF(EC$3:EC86,"&gt;0"))</f>
        <v>0</v>
      </c>
      <c r="ED87" t="str">
        <f t="shared" si="98"/>
        <v/>
      </c>
      <c r="EE87" t="str">
        <f t="shared" si="71"/>
        <v/>
      </c>
      <c r="EG87">
        <f t="shared" si="72"/>
        <v>0</v>
      </c>
      <c r="EH87">
        <f>IF(EG87=0,0,1+COUNTIF(EH$3:EH86,"&gt;0"))</f>
        <v>0</v>
      </c>
      <c r="EI87" t="str">
        <f t="shared" si="99"/>
        <v/>
      </c>
      <c r="EJ87" t="str">
        <f t="shared" si="73"/>
        <v/>
      </c>
      <c r="EL87">
        <f t="shared" si="74"/>
        <v>0</v>
      </c>
      <c r="EM87">
        <f>IF(EL87=0,0,1+COUNTIF(EM$3:EM86,"&gt;0"))</f>
        <v>0</v>
      </c>
      <c r="EN87" t="str">
        <f t="shared" si="100"/>
        <v/>
      </c>
      <c r="EO87" t="str">
        <f t="shared" si="75"/>
        <v/>
      </c>
      <c r="EQ87">
        <f t="shared" si="76"/>
        <v>0</v>
      </c>
      <c r="ER87">
        <f>IF(EQ87=0,0,1+COUNTIF(ER$3:ER86,"&gt;0"))</f>
        <v>0</v>
      </c>
      <c r="ES87" t="str">
        <f t="shared" si="101"/>
        <v/>
      </c>
      <c r="ET87" t="str">
        <f t="shared" si="77"/>
        <v/>
      </c>
      <c r="EV87">
        <f t="shared" si="78"/>
        <v>0</v>
      </c>
      <c r="EW87">
        <f>IF(EV87=0,0,1+COUNTIF(EW$3:EW86,"&gt;0"))</f>
        <v>0</v>
      </c>
      <c r="EX87" t="str">
        <f t="shared" si="102"/>
        <v/>
      </c>
      <c r="EY87" t="str">
        <f t="shared" si="79"/>
        <v/>
      </c>
      <c r="FA87">
        <f t="shared" si="80"/>
        <v>0</v>
      </c>
      <c r="FB87">
        <f>IF(FA87=0,0,1+COUNTIF(FB$3:FB86,"&gt;0"))</f>
        <v>0</v>
      </c>
      <c r="FC87" t="str">
        <f t="shared" si="103"/>
        <v/>
      </c>
      <c r="FD87" t="str">
        <f t="shared" si="81"/>
        <v/>
      </c>
      <c r="FF87">
        <f t="shared" si="82"/>
        <v>0</v>
      </c>
      <c r="FG87">
        <f>IF(FF87=0,0,1+COUNTIF(FG$3:FG86,"&gt;0"))</f>
        <v>0</v>
      </c>
      <c r="FH87" t="str">
        <f t="shared" si="104"/>
        <v/>
      </c>
      <c r="FI87" t="str">
        <f t="shared" si="83"/>
        <v/>
      </c>
      <c r="FK87">
        <f t="shared" si="84"/>
        <v>0</v>
      </c>
      <c r="FL87">
        <f>IF(FK87=0,0,1+COUNTIF(FL$3:FL86,"&gt;0"))</f>
        <v>0</v>
      </c>
      <c r="FM87" t="str">
        <f t="shared" si="105"/>
        <v/>
      </c>
      <c r="FN87" t="str">
        <f t="shared" si="85"/>
        <v/>
      </c>
      <c r="FP87">
        <f t="shared" si="86"/>
        <v>0</v>
      </c>
      <c r="FQ87">
        <f>IF(FP87=0,0,1+COUNTIF(FQ$3:FQ86,"&gt;0"))</f>
        <v>0</v>
      </c>
      <c r="FR87" t="str">
        <f t="shared" si="106"/>
        <v/>
      </c>
      <c r="FS87" t="str">
        <f t="shared" si="87"/>
        <v/>
      </c>
    </row>
    <row r="88" spans="1:175" x14ac:dyDescent="0.25">
      <c r="A88" s="347">
        <f t="shared" si="107"/>
        <v>86</v>
      </c>
      <c r="B88" s="348" t="s">
        <v>2454</v>
      </c>
      <c r="C88" s="348" t="s">
        <v>5277</v>
      </c>
      <c r="D88" s="347">
        <v>0.5</v>
      </c>
      <c r="E88" s="627" t="s">
        <v>6952</v>
      </c>
      <c r="F88" s="346"/>
      <c r="G88" s="347" t="str">
        <f>""</f>
        <v/>
      </c>
      <c r="H88" s="347" t="s">
        <v>5912</v>
      </c>
      <c r="I88" s="347" t="s">
        <v>5290</v>
      </c>
      <c r="J88" s="347" t="str">
        <f t="shared" si="57"/>
        <v/>
      </c>
      <c r="K88" s="347" t="s">
        <v>5291</v>
      </c>
      <c r="L88" s="611" t="str">
        <f t="shared" si="58"/>
        <v>V, S, M, a bit of phosphorus or wychwood, or a glowworm</v>
      </c>
      <c r="M88" s="347" t="s">
        <v>2373</v>
      </c>
      <c r="N88" s="347" t="s">
        <v>2387</v>
      </c>
      <c r="O88" s="347" t="s">
        <v>1244</v>
      </c>
      <c r="P88" s="346" t="s">
        <v>5345</v>
      </c>
      <c r="Q88" s="347" t="s">
        <v>5273</v>
      </c>
      <c r="S88" s="346" t="s">
        <v>5650</v>
      </c>
      <c r="T88" s="346" t="str">
        <f t="shared" si="59"/>
        <v xml:space="preserve">Bard, Sorcerer, Eldritch Knight, Wizard, </v>
      </c>
      <c r="U88" s="347" t="str">
        <f>$B88</f>
        <v>Dancing Lights</v>
      </c>
      <c r="X88" s="347" t="str">
        <f>$B88</f>
        <v>Dancing Lights</v>
      </c>
      <c r="AB88" s="542" t="str">
        <f>AD88</f>
        <v>Dancing Lights</v>
      </c>
      <c r="AD88" s="347" t="str">
        <f>$B88</f>
        <v>Dancing Lights</v>
      </c>
      <c r="AE88" t="str">
        <f>IF(IFERROR(MATCH($B88,temp!A$4:A$13,0),0)&gt;0,T08_Spells!AE$2,"")</f>
        <v/>
      </c>
      <c r="AF88" t="str">
        <f>IF(IFERROR(MATCH($B88,temp!B$4:B$13,0),0)&gt;0,T08_Spells!AF$2,"")</f>
        <v/>
      </c>
      <c r="AG88" t="str">
        <f>IF(IFERROR(MATCH($B88,temp!C$4:C$13,0),0)&gt;0,T08_Spells!AG$2,"")</f>
        <v/>
      </c>
      <c r="AH88" t="str">
        <f>IF(IFERROR(MATCH($B88,temp!D$4:D$13,0),0)&gt;0,T08_Spells!AH$2,"")</f>
        <v/>
      </c>
      <c r="AI88" t="str">
        <f>IF(IFERROR(MATCH($B88,temp!E$4:E$13,0),0)&gt;0,T08_Spells!AI$2,"")</f>
        <v/>
      </c>
      <c r="AJ88" t="str">
        <f>IF(IFERROR(MATCH($B88,temp!F$4:F$13,0),0)&gt;0,T08_Spells!AJ$2,"")</f>
        <v/>
      </c>
      <c r="AK88" t="str">
        <f>IF(IFERROR(MATCH($B88,temp!G$4:G$13,0),0)&gt;0,T08_Spells!AK$2,"")</f>
        <v/>
      </c>
      <c r="AL88" t="str">
        <f>IF(IFERROR(MATCH($B88,temp!H$4:H$13,0),0)&gt;0,T08_Spells!AL$2,"")</f>
        <v/>
      </c>
      <c r="AM88" t="str">
        <f>IF(IFERROR(MATCH($B88,temp!I$4:I$13,0),0)&gt;0,T08_Spells!AM$2,"")</f>
        <v/>
      </c>
      <c r="AN88" t="str">
        <f>IF(IFERROR(MATCH($B88,temp!J$4:J$13,0),0)&gt;0,T08_Spells!AN$2,"")</f>
        <v/>
      </c>
      <c r="AO88" t="str">
        <f>IF(IFERROR(MATCH($B88,temp!K$4:K$13,0),0)&gt;0,T08_Spells!AO$2,"")</f>
        <v/>
      </c>
      <c r="AP88" t="str">
        <f>IF(IFERROR(MATCH($B88,temp!L$4:L$13,0),0)&gt;0,T08_Spells!AP$2,"")</f>
        <v/>
      </c>
      <c r="AQ88" t="str">
        <f>IF(IFERROR(MATCH($B88,temp!M$4:M$13,0),0)&gt;0,T08_Spells!AQ$2,"")</f>
        <v/>
      </c>
      <c r="AR88" t="str">
        <f>IF(IFERROR(MATCH($B88,temp!N$4:N$13,0),0)&gt;0,T08_Spells!AR$2,"")</f>
        <v/>
      </c>
      <c r="AS88" t="str">
        <f>IF(IFERROR(MATCH($B88,temp!O$4:O$13,0),0)&gt;0,T08_Spells!AS$2,"")</f>
        <v/>
      </c>
      <c r="AT88" t="str">
        <f>IF(IFERROR(MATCH($B88,temp!P$4:P$13,0),0)&gt;0,T08_Spells!AT$2,"")</f>
        <v/>
      </c>
      <c r="AU88" t="str">
        <f>IF(IFERROR(MATCH($B88,temp!Q$4:Q$13,0),0)&gt;0,T08_Spells!AU$2,"")</f>
        <v/>
      </c>
      <c r="AV88" t="str">
        <f>IF(IFERROR(MATCH($B88,temp!R$4:R$13,0),0)&gt;0,T08_Spells!AV$2,"")</f>
        <v/>
      </c>
      <c r="AW88" t="str">
        <f>IF(IFERROR(MATCH($B88,temp!S$4:S$13,0),0)&gt;0,T08_Spells!AW$2,"")</f>
        <v/>
      </c>
      <c r="AX88" t="str">
        <f>IF(IFERROR(MATCH($B88,temp!T$4:T$13,0),0)&gt;0,T08_Spells!AX$2,"")</f>
        <v/>
      </c>
      <c r="AY88" t="str">
        <f>IF(IFERROR(MATCH($B88,temp!U$4:U$13,0),0)&gt;0,T08_Spells!AY$2,"")</f>
        <v/>
      </c>
      <c r="AZ88" t="str">
        <f>IF(IFERROR(MATCH($B88,temp!V$4:V$13,0),0)&gt;0,T08_Spells!AZ$2,"")</f>
        <v/>
      </c>
      <c r="BA88" t="str">
        <f>IF(IFERROR(MATCH($B88,temp!W$4:W$13,0),0)&gt;0,T08_Spells!BA$2,"")</f>
        <v/>
      </c>
      <c r="BC88">
        <f>IF(IFERROR(SEARCH("Ranger",$T88,1),0)&gt;0,1,0)*IF(RangerMaxSpellLevel&gt;=$C88,1,0)*IF(IFERROR(MATCH(B88,Character_Creation!$X$79:$X$382,0),0)&gt;0,0,1)</f>
        <v>0</v>
      </c>
      <c r="BD88">
        <f>IF(BC88=0,0,1+COUNTIF(BD$3:BD87,"&gt;0"))</f>
        <v>0</v>
      </c>
      <c r="BE88" t="str">
        <f t="shared" si="88"/>
        <v/>
      </c>
      <c r="BF88" t="str">
        <f t="shared" si="60"/>
        <v/>
      </c>
      <c r="BH88">
        <f>IF(IFERROR(SEARCH("Sorcerer",$T88,1),0)&gt;0,1,0)*IF(SorcererMaxSpellLevel&gt;=$C88,1,0)*IF(IFERROR(MATCH(B88,Character_Creation!$J$380:$J$394,0),0)&gt;0,0,1)</f>
        <v>0</v>
      </c>
      <c r="BI88">
        <f>IF(BH88=0,0,1+COUNTIF(BI$3:BI87,"&gt;0"))</f>
        <v>0</v>
      </c>
      <c r="BJ88" t="str">
        <f t="shared" si="89"/>
        <v/>
      </c>
      <c r="BK88" t="str">
        <f t="shared" si="61"/>
        <v/>
      </c>
      <c r="BM88">
        <f>IF(OR(IFERROR(SEARCH("Warlock",$T88,1),0)&gt;0,IFERROR(SEARCH(WarlockPatron,$T88,1),0)&gt;0),1,0)*IF(WarlockMaxSpellLevel&gt;=$C88,1,0)*IF(IFERROR(MATCH(B88,Character_Creation!$J$361:$J$375,0),0)&gt;0,0,1)</f>
        <v>0</v>
      </c>
      <c r="BN88">
        <f>IF(BM88=0,0,1+COUNTIF(BN$3:BN87,"&gt;0"))</f>
        <v>0</v>
      </c>
      <c r="BO88" t="str">
        <f t="shared" si="90"/>
        <v/>
      </c>
      <c r="BP88" t="str">
        <f t="shared" si="62"/>
        <v/>
      </c>
      <c r="BR88">
        <f>IF(IFERROR(SEARCH("Eldritch Knight",$T88,1),0)&gt;0,1,0)*IF(EldritchKnightMaxSpellLevel&gt;=$C88,1,0)*IF(IFERROR(MATCH($B88,Character_Creation!$J$350:$J$356,0),0)&gt;0,0,1)*IF(Character_Creation!$M$338&gt;0,1,0)</f>
        <v>0</v>
      </c>
      <c r="BS88">
        <f>IF(BR88=0,0,1+COUNTIF(BS$3:BS87,"&gt;0"))</f>
        <v>0</v>
      </c>
      <c r="BT88" t="str">
        <f t="shared" si="91"/>
        <v/>
      </c>
      <c r="BU88" t="str">
        <f t="shared" si="63"/>
        <v/>
      </c>
      <c r="BW88">
        <f>IF(IFERROR(SEARCH("Arcane Trickster",$T88,1),0)&gt;0,1,0)*IF(ArcaneTricksterMaxSpellLevel&gt;=$C88,1,0)*IF(IFERROR(MATCH($B88,Character_Creation!$J$350:$J$356,0),0)&gt;0,0,1)*IF(Character_Creation!$T$338&gt;0,1,0)</f>
        <v>0</v>
      </c>
      <c r="BX88">
        <f>IF(BW88=0,0,1+COUNTIF(BX$3:BX87,"&gt;0"))</f>
        <v>0</v>
      </c>
      <c r="BY88" t="str">
        <f t="shared" si="92"/>
        <v/>
      </c>
      <c r="BZ88" t="str">
        <f t="shared" si="64"/>
        <v/>
      </c>
      <c r="CB88">
        <f>IF(IFERROR(SEARCH("Wizard",$T88,1),0)&gt;0,1,0)*IF(C88&lt;=ArcaneTricksterMaxSpellLevel,1,0)*IF(IFERROR(MATCH($B88,Character_Creation!$J$350:$J$356,0),0)&gt;0,0,1)*IF(Character_Creation!$T$350&gt;0,1,0)</f>
        <v>0</v>
      </c>
      <c r="CC88">
        <f>IF(CB88=0,0,1+COUNTIF(CC$3:CC87,"&gt;0"))</f>
        <v>0</v>
      </c>
      <c r="CD88" t="str">
        <f t="shared" si="93"/>
        <v/>
      </c>
      <c r="CE88" t="str">
        <f t="shared" si="65"/>
        <v/>
      </c>
      <c r="CG88">
        <f>IF(IFERROR(SEARCH("Wizard",$T88,1),0)&gt;0,1,0)*IF($C88&lt;=EldritchKnightMaxSpellLevel,1,0)*IF(IFERROR(MATCH($B88,Character_Creation!$J$350:$J$356,0),0)&gt;0,0,1)*IF(Character_Creation!$M$350&gt;0,1,0)</f>
        <v>0</v>
      </c>
      <c r="CH88">
        <f>IF(CG88=0,0,1+COUNTIF(CH$3:CH87,"&gt;0"))</f>
        <v>0</v>
      </c>
      <c r="CI88" t="str">
        <f t="shared" si="94"/>
        <v/>
      </c>
      <c r="CJ88" t="str">
        <f t="shared" si="66"/>
        <v/>
      </c>
      <c r="CL88">
        <f>IF(IFERROR(SEARCH("Bard",$T88,1),0)&gt;0,1,0)*IF(BardMaxSpellLevel&gt;=$C88,1,0)*IF(IFERROR(MATCH(B88,Character_Creation!$C$341:$F$362,0),0)&gt;0,0,1)*IF(IFERROR(MATCH($B88,Character_Creation!$C$341:$C$362,0),0)&gt;0,0,1)</f>
        <v>0</v>
      </c>
      <c r="CM88">
        <f>IF(CL88=0,0,1+COUNTIF(CM$3:CM87,"&gt;0"))</f>
        <v>0</v>
      </c>
      <c r="CN88" t="str">
        <f t="shared" si="95"/>
        <v/>
      </c>
      <c r="CO88" t="str">
        <f t="shared" si="67"/>
        <v/>
      </c>
      <c r="CQ88">
        <f>IF(IFERROR(SEARCH("Wizard",$T88,1),0)&gt;0,1,0)*IF(WizardMaxSpellLevel&gt;=$C88,1,0)*IF(IFERROR(MATCH(B88,Character_Creation!$X$341:$X$400,0),0)&gt;0,0,1)*IF(SelectedWizardSpellLevel=$C88,1,0)</f>
        <v>0</v>
      </c>
      <c r="CR88">
        <f>IF(CQ88=0,0,1+COUNTIF(CR$3:CR87,"&gt;0"))</f>
        <v>0</v>
      </c>
      <c r="CS88" t="str">
        <f t="shared" si="96"/>
        <v/>
      </c>
      <c r="CT88" t="str">
        <f t="shared" si="68"/>
        <v/>
      </c>
      <c r="CV88">
        <f>IF(IFERROR(MATCH($B88,Character_Creation!$C$341:$C$362,0),0)&gt;0,0,1)*IF(OR(C88="Cantrip",C88&lt;=BardMaxSpellLevel),1,0)*IF(IFERROR(MATCH($B88,Character_Creation!$C$367:$C$374,0),0)&gt;0,0,1)</f>
        <v>1</v>
      </c>
      <c r="CW88">
        <f>IF(CV88=0,0,1+COUNTIF(CW$3:CW87,"&gt;0"))</f>
        <v>4</v>
      </c>
      <c r="CX88" t="str">
        <f t="shared" si="97"/>
        <v/>
      </c>
      <c r="CY88" t="str">
        <f t="shared" si="69"/>
        <v/>
      </c>
      <c r="DA88">
        <f>IF(IF(OR(IFERROR(SEARCH("Cleric",$T88,1),0)&gt;0,IFERROR(SEARCH(DivineDomain&amp;",",$T88,1),0)&gt;0),1,0)*IF($C88=DA$2,1,0)=1,1+COUNTIF(DA$3:DA87,"&gt;0"),0)</f>
        <v>0</v>
      </c>
      <c r="DB88">
        <f>IF(IF(OR(IFERROR(SEARCH("Cleric",$T88,1),0)&gt;0,IFERROR(SEARCH(DivineDomain&amp;",",$T88,1),0)&gt;0),1,0)*IF($C88=DB$2,1,0)=1,1+COUNTIF(DB$3:DB87,"&gt;0"),0)</f>
        <v>0</v>
      </c>
      <c r="DC88">
        <f>IF(IF(OR(IFERROR(SEARCH("Cleric",$T88,1),0)&gt;0,IFERROR(SEARCH(DivineDomain&amp;",",$T88,1),0)&gt;0),1,0)*IF($C88=DC$2,1,0)=1,1+COUNTIF(DC$3:DC87,"&gt;0"),0)</f>
        <v>0</v>
      </c>
      <c r="DD88">
        <f>IF(IF(OR(IFERROR(SEARCH("Cleric",$T88,1),0)&gt;0,IFERROR(SEARCH(DivineDomain&amp;",",$T88,1),0)&gt;0),1,0)*IF($C88=DD$2,1,0)=1,1+COUNTIF(DD$3:DD87,"&gt;0"),0)</f>
        <v>0</v>
      </c>
      <c r="DE88">
        <f>IF(IF(OR(IFERROR(SEARCH("Cleric",$T88,1),0)&gt;0,IFERROR(SEARCH(DivineDomain&amp;",",$T88,1),0)&gt;0),1,0)*IF($C88=DE$2,1,0)=1,1+COUNTIF(DE$3:DE87,"&gt;0"),0)</f>
        <v>0</v>
      </c>
      <c r="DF88">
        <f>IF(IF(OR(IFERROR(SEARCH("Cleric",$T88,1),0)&gt;0,IFERROR(SEARCH(DivineDomain&amp;",",$T88,1),0)&gt;0),1,0)*IF($C88=DF$2,1,0)=1,1+COUNTIF(DF$3:DF87,"&gt;0"),0)</f>
        <v>0</v>
      </c>
      <c r="DG88">
        <f>IF(IF(OR(IFERROR(SEARCH("Cleric",$T88,1),0)&gt;0,IFERROR(SEARCH(DivineDomain&amp;",",$T88,1),0)&gt;0),1,0)*IF($C88=DG$2,1,0)=1,1+COUNTIF(DG$3:DG87,"&gt;0"),0)</f>
        <v>0</v>
      </c>
      <c r="DH88">
        <f>IF(IF(OR(IFERROR(SEARCH("Cleric",$T88,1),0)&gt;0,IFERROR(SEARCH(DivineDomain&amp;",",$T88,1),0)&gt;0),1,0)*IF($C88=DH$2,1,0)=1,1+COUNTIF(DH$3:DH87,"&gt;0"),0)</f>
        <v>0</v>
      </c>
      <c r="DI88">
        <f>IF(IF(OR(IFERROR(SEARCH("Cleric",$T88,1),0)&gt;0,IFERROR(SEARCH(DivineDomain&amp;",",$T88,1),0)&gt;0),1,0)*IF($C88=DI$2,1,0)=1,1+COUNTIF(DI$3:DI87,"&gt;0"),0)</f>
        <v>0</v>
      </c>
      <c r="DJ88">
        <f>IF(IF(OR(IFERROR(SEARCH("Druid",$T88,1),0)&gt;0,IFERROR(SEARCH(DruidLand1,$T88,1),0)&gt;0,IFERROR(SEARCH(DruidLand2,$T88,1),0)&gt;0,IFERROR(SEARCH(DruidLand3,$T88,1),0)&gt;0,IFERROR(SEARCH(DruidLand4,$T88,1),0)&gt;0),1,0)*IF($C88=1,1,0)*IF($C88=DJ$2,1,0)=0,0,1+COUNTIF(DJ$3:DJ87,"&gt;0"))</f>
        <v>0</v>
      </c>
      <c r="DK88">
        <f>IF(IF(OR(IFERROR(SEARCH("Druid",$T88,1),0)&gt;0,IFERROR(SEARCH(DruidLand1,$T88,1),0)&gt;0,IFERROR(SEARCH(DruidLand2,$T88,1),0)&gt;0,IFERROR(SEARCH(DruidLand3,$T88,1),0)&gt;0,IFERROR(SEARCH(DruidLand4,$T88,1),0)&gt;0),1,0)*IF($C88=1,1,0)*IF($C88=DK$2,1,0)=0,0,1+COUNTIF(DK$3:DK87,"&gt;0"))</f>
        <v>0</v>
      </c>
      <c r="DL88">
        <f>IF(IF(OR(IFERROR(SEARCH("Druid",$T88,1),0)&gt;0,IFERROR(SEARCH(DruidLand1,$T88,1),0)&gt;0,IFERROR(SEARCH(DruidLand2,$T88,1),0)&gt;0,IFERROR(SEARCH(DruidLand3,$T88,1),0)&gt;0,IFERROR(SEARCH(DruidLand4,$T88,1),0)&gt;0),1,0)*IF($C88=1,1,0)*IF($C88=DL$2,1,0)=0,0,1+COUNTIF(DL$3:DL87,"&gt;0"))</f>
        <v>0</v>
      </c>
      <c r="DM88">
        <f>IF(IF(OR(IFERROR(SEARCH("Druid",$T88,1),0)&gt;0,IFERROR(SEARCH(DruidLand1,$T88,1),0)&gt;0,IFERROR(SEARCH(DruidLand2,$T88,1),0)&gt;0,IFERROR(SEARCH(DruidLand3,$T88,1),0)&gt;0,IFERROR(SEARCH(DruidLand4,$T88,1),0)&gt;0),1,0)*IF($C88=1,1,0)*IF($C88=DM$2,1,0)=0,0,1+COUNTIF(DM$3:DM87,"&gt;0"))</f>
        <v>0</v>
      </c>
      <c r="DN88">
        <f>IF(IF(OR(IFERROR(SEARCH("Druid",$T88,1),0)&gt;0,IFERROR(SEARCH(DruidLand1,$T88,1),0)&gt;0,IFERROR(SEARCH(DruidLand2,$T88,1),0)&gt;0,IFERROR(SEARCH(DruidLand3,$T88,1),0)&gt;0,IFERROR(SEARCH(DruidLand4,$T88,1),0)&gt;0),1,0)*IF($C88=1,1,0)*IF($C88=DN$2,1,0)=0,0,1+COUNTIF(DN$3:DN87,"&gt;0"))</f>
        <v>0</v>
      </c>
      <c r="DO88">
        <f>IF(IF(OR(IFERROR(SEARCH("Druid",$T88,1),0)&gt;0,IFERROR(SEARCH(DruidLand1,$T88,1),0)&gt;0,IFERROR(SEARCH(DruidLand2,$T88,1),0)&gt;0,IFERROR(SEARCH(DruidLand3,$T88,1),0)&gt;0,IFERROR(SEARCH(DruidLand4,$T88,1),0)&gt;0),1,0)*IF($C88=1,1,0)*IF($C88=DO$2,1,0)=0,0,1+COUNTIF(DO$3:DO87,"&gt;0"))</f>
        <v>0</v>
      </c>
      <c r="DP88">
        <f>IF(IF(OR(IFERROR(SEARCH("Druid",$T88,1),0)&gt;0,IFERROR(SEARCH(DruidLand1,$T88,1),0)&gt;0,IFERROR(SEARCH(DruidLand2,$T88,1),0)&gt;0,IFERROR(SEARCH(DruidLand3,$T88,1),0)&gt;0,IFERROR(SEARCH(DruidLand4,$T88,1),0)&gt;0),1,0)*IF($C88=1,1,0)*IF($C88=DP$2,1,0)=0,0,1+COUNTIF(DP$3:DP87,"&gt;0"))</f>
        <v>0</v>
      </c>
      <c r="DQ88">
        <f>IF(IF(OR(IFERROR(SEARCH("Druid",$T88,1),0)&gt;0,IFERROR(SEARCH(DruidLand1,$T88,1),0)&gt;0,IFERROR(SEARCH(DruidLand2,$T88,1),0)&gt;0,IFERROR(SEARCH(DruidLand3,$T88,1),0)&gt;0,IFERROR(SEARCH(DruidLand4,$T88,1),0)&gt;0),1,0)*IF($C88=1,1,0)*IF($C88=DQ$2,1,0)=0,0,1+COUNTIF(DQ$3:DQ87,"&gt;0"))</f>
        <v>0</v>
      </c>
      <c r="DR88">
        <f>IF(IF(OR(IFERROR(SEARCH("Druid",$T88,1),0)&gt;0,IFERROR(SEARCH(DruidLand1,$T88,1),0)&gt;0,IFERROR(SEARCH(DruidLand2,$T88,1),0)&gt;0,IFERROR(SEARCH(DruidLand3,$T88,1),0)&gt;0,IFERROR(SEARCH(DruidLand4,$T88,1),0)&gt;0),1,0)*IF($C88=1,1,0)*IF($C88=DR$2,1,0)=0,0,1+COUNTIF(DR$3:DR87,"&gt;0"))</f>
        <v>0</v>
      </c>
      <c r="DS88">
        <f>IF(IF(OR(IFERROR(SEARCH("Paladin",$T88,1),0)&gt;0,IFERROR(SEARCH(PaladinOath,$T88,1),0)&gt;0),1,0)*IF($C88=DS$2,1,0)=1,1+COUNTIF(DS$3:DS87,"&gt;0"),0)</f>
        <v>0</v>
      </c>
      <c r="DT88">
        <f>IF(IF(OR(IFERROR(SEARCH("Paladin",$T88,1),0)&gt;0,IFERROR(SEARCH(PaladinOath,$T88,1),0)&gt;0),1,0)*IF($C88=DT$2,1,0)=1,1+COUNTIF(DT$3:DT87,"&gt;0"),0)</f>
        <v>0</v>
      </c>
      <c r="DU88">
        <f>IF(IF(OR(IFERROR(SEARCH("Paladin",$T88,1),0)&gt;0,IFERROR(SEARCH(PaladinOath,$T88,1),0)&gt;0),1,0)*IF($C88=DU$2,1,0)=1,1+COUNTIF(DU$3:DU87,"&gt;0"),0)</f>
        <v>0</v>
      </c>
      <c r="DV88">
        <f>IF(IF(OR(IFERROR(SEARCH("Paladin",$T88,1),0)&gt;0,IFERROR(SEARCH(PaladinOath,$T88,1),0)&gt;0),1,0)*IF($C88=DV$2,1,0)=1,1+COUNTIF(DV$3:DV87,"&gt;0"),0)</f>
        <v>0</v>
      </c>
      <c r="DW88">
        <f>IF(IF(OR(IFERROR(SEARCH("Paladin",$T88,1),0)&gt;0,IFERROR(SEARCH(PaladinOath,$T88,1),0)&gt;0),1,0)*IF($C88=DW$2,1,0)=1,1+COUNTIF(DW$3:DW87,"&gt;0"),0)</f>
        <v>0</v>
      </c>
      <c r="DY88">
        <f t="shared" si="56"/>
        <v>1</v>
      </c>
      <c r="DZ88">
        <f>IF(DY88=0,0,1+MAX(DZ$3:$DZ87))</f>
        <v>86</v>
      </c>
      <c r="EB88">
        <f t="shared" si="70"/>
        <v>1</v>
      </c>
      <c r="EC88">
        <f>IF(EB88=0,0,1+COUNTIF(EC$3:EC87,"&gt;0"))</f>
        <v>2</v>
      </c>
      <c r="ED88" t="str">
        <f t="shared" si="98"/>
        <v/>
      </c>
      <c r="EE88" t="str">
        <f t="shared" si="71"/>
        <v/>
      </c>
      <c r="EG88">
        <f t="shared" si="72"/>
        <v>0</v>
      </c>
      <c r="EH88">
        <f>IF(EG88=0,0,1+COUNTIF(EH$3:EH87,"&gt;0"))</f>
        <v>0</v>
      </c>
      <c r="EI88" t="str">
        <f t="shared" si="99"/>
        <v/>
      </c>
      <c r="EJ88" t="str">
        <f t="shared" si="73"/>
        <v/>
      </c>
      <c r="EL88">
        <f t="shared" si="74"/>
        <v>0</v>
      </c>
      <c r="EM88">
        <f>IF(EL88=0,0,1+COUNTIF(EM$3:EM87,"&gt;0"))</f>
        <v>0</v>
      </c>
      <c r="EN88" t="str">
        <f t="shared" si="100"/>
        <v/>
      </c>
      <c r="EO88" t="str">
        <f t="shared" si="75"/>
        <v/>
      </c>
      <c r="EQ88">
        <f t="shared" si="76"/>
        <v>1</v>
      </c>
      <c r="ER88">
        <f>IF(EQ88=0,0,1+COUNTIF(ER$3:ER87,"&gt;0"))</f>
        <v>4</v>
      </c>
      <c r="ES88" t="str">
        <f t="shared" si="101"/>
        <v/>
      </c>
      <c r="ET88" t="str">
        <f t="shared" si="77"/>
        <v/>
      </c>
      <c r="EV88">
        <f t="shared" si="78"/>
        <v>0</v>
      </c>
      <c r="EW88">
        <f>IF(EV88=0,0,1+COUNTIF(EW$3:EW87,"&gt;0"))</f>
        <v>0</v>
      </c>
      <c r="EX88" t="str">
        <f t="shared" si="102"/>
        <v/>
      </c>
      <c r="EY88" t="str">
        <f t="shared" si="79"/>
        <v/>
      </c>
      <c r="FA88">
        <f t="shared" si="80"/>
        <v>1</v>
      </c>
      <c r="FB88">
        <f>IF(FA88=0,0,1+COUNTIF(FB$3:FB87,"&gt;0"))</f>
        <v>4</v>
      </c>
      <c r="FC88" t="str">
        <f t="shared" si="103"/>
        <v/>
      </c>
      <c r="FD88" t="str">
        <f t="shared" si="81"/>
        <v/>
      </c>
      <c r="FF88">
        <f t="shared" si="82"/>
        <v>0</v>
      </c>
      <c r="FG88">
        <f>IF(FF88=0,0,1+COUNTIF(FG$3:FG87,"&gt;0"))</f>
        <v>0</v>
      </c>
      <c r="FH88" t="str">
        <f t="shared" si="104"/>
        <v/>
      </c>
      <c r="FI88" t="str">
        <f t="shared" si="83"/>
        <v/>
      </c>
      <c r="FK88">
        <f t="shared" si="84"/>
        <v>1</v>
      </c>
      <c r="FL88">
        <f>IF(FK88=0,0,1+COUNTIF(FL$3:FL87,"&gt;0"))</f>
        <v>4</v>
      </c>
      <c r="FM88" t="str">
        <f t="shared" si="105"/>
        <v/>
      </c>
      <c r="FN88" t="str">
        <f t="shared" si="85"/>
        <v/>
      </c>
      <c r="FP88">
        <f t="shared" si="86"/>
        <v>1</v>
      </c>
      <c r="FQ88">
        <f>IF(FP88=0,0,1+COUNTIF(FQ$3:FQ87,"&gt;0"))</f>
        <v>2</v>
      </c>
      <c r="FR88" t="str">
        <f t="shared" si="106"/>
        <v/>
      </c>
      <c r="FS88" t="str">
        <f t="shared" si="87"/>
        <v/>
      </c>
    </row>
    <row r="89" spans="1:175" x14ac:dyDescent="0.25">
      <c r="A89" s="347">
        <f t="shared" si="107"/>
        <v>87</v>
      </c>
      <c r="B89" s="348" t="s">
        <v>2455</v>
      </c>
      <c r="C89" s="348">
        <v>2</v>
      </c>
      <c r="D89" s="347">
        <v>2</v>
      </c>
      <c r="E89" s="627" t="s">
        <v>6952</v>
      </c>
      <c r="F89" s="346"/>
      <c r="G89" s="347" t="str">
        <f>""</f>
        <v/>
      </c>
      <c r="H89" s="347" t="s">
        <v>5912</v>
      </c>
      <c r="I89" s="347" t="s">
        <v>424</v>
      </c>
      <c r="J89" s="347" t="str">
        <f t="shared" si="57"/>
        <v/>
      </c>
      <c r="K89" s="347" t="s">
        <v>5297</v>
      </c>
      <c r="L89" s="611" t="str">
        <f t="shared" si="58"/>
        <v>V, M, bat fur and a drop of pitch or piece of coal</v>
      </c>
      <c r="M89" s="347" t="s">
        <v>2373</v>
      </c>
      <c r="N89" s="347" t="s">
        <v>3034</v>
      </c>
      <c r="O89" s="347" t="s">
        <v>1244</v>
      </c>
      <c r="P89" s="346" t="s">
        <v>5346</v>
      </c>
      <c r="Q89" s="347" t="s">
        <v>5273</v>
      </c>
      <c r="S89" s="346" t="s">
        <v>5651</v>
      </c>
      <c r="T89" s="346" t="str">
        <f t="shared" si="59"/>
        <v xml:space="preserve">Sorcerer, Warlock, Eldritch Knight, Wizard, Oathbreaker, Swamp, </v>
      </c>
      <c r="X89" s="347" t="str">
        <f t="shared" ref="X89:Y91" si="108">$B89</f>
        <v>Darkness</v>
      </c>
      <c r="Y89" s="347" t="str">
        <f t="shared" si="108"/>
        <v>Darkness</v>
      </c>
      <c r="AB89" s="542" t="str">
        <f>AD89</f>
        <v>Darkness</v>
      </c>
      <c r="AD89" s="347" t="str">
        <f>$B89</f>
        <v>Darkness</v>
      </c>
      <c r="AE89" t="str">
        <f>IF(IFERROR(MATCH($B89,temp!A$4:A$13,0),0)&gt;0,T08_Spells!AE$2,"")</f>
        <v/>
      </c>
      <c r="AF89" t="str">
        <f>IF(IFERROR(MATCH($B89,temp!B$4:B$13,0),0)&gt;0,T08_Spells!AF$2,"")</f>
        <v/>
      </c>
      <c r="AG89" t="str">
        <f>IF(IFERROR(MATCH($B89,temp!C$4:C$13,0),0)&gt;0,T08_Spells!AG$2,"")</f>
        <v/>
      </c>
      <c r="AH89" t="str">
        <f>IF(IFERROR(MATCH($B89,temp!D$4:D$13,0),0)&gt;0,T08_Spells!AH$2,"")</f>
        <v>Oathbreaker</v>
      </c>
      <c r="AI89" t="str">
        <f>IF(IFERROR(MATCH($B89,temp!E$4:E$13,0),0)&gt;0,T08_Spells!AI$2,"")</f>
        <v/>
      </c>
      <c r="AJ89" t="str">
        <f>IF(IFERROR(MATCH($B89,temp!F$4:F$13,0),0)&gt;0,T08_Spells!AJ$2,"")</f>
        <v/>
      </c>
      <c r="AK89" t="str">
        <f>IF(IFERROR(MATCH($B89,temp!G$4:G$13,0),0)&gt;0,T08_Spells!AK$2,"")</f>
        <v/>
      </c>
      <c r="AL89" t="str">
        <f>IF(IFERROR(MATCH($B89,temp!H$4:H$13,0),0)&gt;0,T08_Spells!AL$2,"")</f>
        <v/>
      </c>
      <c r="AM89" t="str">
        <f>IF(IFERROR(MATCH($B89,temp!I$4:I$13,0),0)&gt;0,T08_Spells!AM$2,"")</f>
        <v/>
      </c>
      <c r="AN89" t="str">
        <f>IF(IFERROR(MATCH($B89,temp!J$4:J$13,0),0)&gt;0,T08_Spells!AN$2,"")</f>
        <v/>
      </c>
      <c r="AO89" t="str">
        <f>IF(IFERROR(MATCH($B89,temp!K$4:K$13,0),0)&gt;0,T08_Spells!AO$2,"")</f>
        <v/>
      </c>
      <c r="AP89" t="str">
        <f>IF(IFERROR(MATCH($B89,temp!L$4:L$13,0),0)&gt;0,T08_Spells!AP$2,"")</f>
        <v/>
      </c>
      <c r="AQ89" t="str">
        <f>IF(IFERROR(MATCH($B89,temp!M$4:M$13,0),0)&gt;0,T08_Spells!AQ$2,"")</f>
        <v/>
      </c>
      <c r="AR89" t="str">
        <f>IF(IFERROR(MATCH($B89,temp!N$4:N$13,0),0)&gt;0,T08_Spells!AR$2,"")</f>
        <v>Swamp</v>
      </c>
      <c r="AS89" t="str">
        <f>IF(IFERROR(MATCH($B89,temp!O$4:O$13,0),0)&gt;0,T08_Spells!AS$2,"")</f>
        <v/>
      </c>
      <c r="AT89" t="str">
        <f>IF(IFERROR(MATCH($B89,temp!P$4:P$13,0),0)&gt;0,T08_Spells!AT$2,"")</f>
        <v/>
      </c>
      <c r="AU89" t="str">
        <f>IF(IFERROR(MATCH($B89,temp!Q$4:Q$13,0),0)&gt;0,T08_Spells!AU$2,"")</f>
        <v/>
      </c>
      <c r="AV89" t="str">
        <f>IF(IFERROR(MATCH($B89,temp!R$4:R$13,0),0)&gt;0,T08_Spells!AV$2,"")</f>
        <v/>
      </c>
      <c r="AW89" t="str">
        <f>IF(IFERROR(MATCH($B89,temp!S$4:S$13,0),0)&gt;0,T08_Spells!AW$2,"")</f>
        <v/>
      </c>
      <c r="AX89" t="str">
        <f>IF(IFERROR(MATCH($B89,temp!T$4:T$13,0),0)&gt;0,T08_Spells!AX$2,"")</f>
        <v/>
      </c>
      <c r="AY89" t="str">
        <f>IF(IFERROR(MATCH($B89,temp!U$4:U$13,0),0)&gt;0,T08_Spells!AY$2,"")</f>
        <v/>
      </c>
      <c r="AZ89" t="str">
        <f>IF(IFERROR(MATCH($B89,temp!V$4:V$13,0),0)&gt;0,T08_Spells!AZ$2,"")</f>
        <v/>
      </c>
      <c r="BA89" t="str">
        <f>IF(IFERROR(MATCH($B89,temp!W$4:W$13,0),0)&gt;0,T08_Spells!BA$2,"")</f>
        <v/>
      </c>
      <c r="BC89">
        <f>IF(IFERROR(SEARCH("Ranger",$T89,1),0)&gt;0,1,0)*IF(RangerMaxSpellLevel&gt;=$C89,1,0)*IF(IFERROR(MATCH(B89,Character_Creation!$X$79:$X$382,0),0)&gt;0,0,1)</f>
        <v>0</v>
      </c>
      <c r="BD89">
        <f>IF(BC89=0,0,1+COUNTIF(BD$3:BD88,"&gt;0"))</f>
        <v>0</v>
      </c>
      <c r="BE89" t="str">
        <f t="shared" si="88"/>
        <v/>
      </c>
      <c r="BF89" t="str">
        <f t="shared" si="60"/>
        <v/>
      </c>
      <c r="BH89">
        <f>IF(IFERROR(SEARCH("Sorcerer",$T89,1),0)&gt;0,1,0)*IF(SorcererMaxSpellLevel&gt;=$C89,1,0)*IF(IFERROR(MATCH(B89,Character_Creation!$J$380:$J$394,0),0)&gt;0,0,1)</f>
        <v>0</v>
      </c>
      <c r="BI89">
        <f>IF(BH89=0,0,1+COUNTIF(BI$3:BI88,"&gt;0"))</f>
        <v>0</v>
      </c>
      <c r="BJ89" t="str">
        <f t="shared" si="89"/>
        <v/>
      </c>
      <c r="BK89" t="str">
        <f t="shared" si="61"/>
        <v/>
      </c>
      <c r="BM89">
        <f>IF(OR(IFERROR(SEARCH("Warlock",$T89,1),0)&gt;0,IFERROR(SEARCH(WarlockPatron,$T89,1),0)&gt;0),1,0)*IF(WarlockMaxSpellLevel&gt;=$C89,1,0)*IF(IFERROR(MATCH(B89,Character_Creation!$J$361:$J$375,0),0)&gt;0,0,1)</f>
        <v>0</v>
      </c>
      <c r="BN89">
        <f>IF(BM89=0,0,1+COUNTIF(BN$3:BN88,"&gt;0"))</f>
        <v>0</v>
      </c>
      <c r="BO89" t="str">
        <f t="shared" si="90"/>
        <v/>
      </c>
      <c r="BP89" t="str">
        <f t="shared" si="62"/>
        <v/>
      </c>
      <c r="BR89">
        <f>IF(IFERROR(SEARCH("Eldritch Knight",$T89,1),0)&gt;0,1,0)*IF(EldritchKnightMaxSpellLevel&gt;=$C89,1,0)*IF(IFERROR(MATCH($B89,Character_Creation!$J$350:$J$356,0),0)&gt;0,0,1)*IF(Character_Creation!$M$338&gt;0,1,0)</f>
        <v>0</v>
      </c>
      <c r="BS89">
        <f>IF(BR89=0,0,1+COUNTIF(BS$3:BS88,"&gt;0"))</f>
        <v>0</v>
      </c>
      <c r="BT89" t="str">
        <f t="shared" si="91"/>
        <v/>
      </c>
      <c r="BU89" t="str">
        <f t="shared" si="63"/>
        <v/>
      </c>
      <c r="BW89">
        <f>IF(IFERROR(SEARCH("Arcane Trickster",$T89,1),0)&gt;0,1,0)*IF(ArcaneTricksterMaxSpellLevel&gt;=$C89,1,0)*IF(IFERROR(MATCH($B89,Character_Creation!$J$350:$J$356,0),0)&gt;0,0,1)*IF(Character_Creation!$T$338&gt;0,1,0)</f>
        <v>0</v>
      </c>
      <c r="BX89">
        <f>IF(BW89=0,0,1+COUNTIF(BX$3:BX88,"&gt;0"))</f>
        <v>0</v>
      </c>
      <c r="BY89" t="str">
        <f t="shared" si="92"/>
        <v/>
      </c>
      <c r="BZ89" t="str">
        <f t="shared" si="64"/>
        <v/>
      </c>
      <c r="CB89">
        <f>IF(IFERROR(SEARCH("Wizard",$T89,1),0)&gt;0,1,0)*IF(C89&lt;=ArcaneTricksterMaxSpellLevel,1,0)*IF(IFERROR(MATCH($B89,Character_Creation!$J$350:$J$356,0),0)&gt;0,0,1)*IF(Character_Creation!$T$350&gt;0,1,0)</f>
        <v>0</v>
      </c>
      <c r="CC89">
        <f>IF(CB89=0,0,1+COUNTIF(CC$3:CC88,"&gt;0"))</f>
        <v>0</v>
      </c>
      <c r="CD89" t="str">
        <f t="shared" si="93"/>
        <v/>
      </c>
      <c r="CE89" t="str">
        <f t="shared" si="65"/>
        <v/>
      </c>
      <c r="CG89">
        <f>IF(IFERROR(SEARCH("Wizard",$T89,1),0)&gt;0,1,0)*IF($C89&lt;=EldritchKnightMaxSpellLevel,1,0)*IF(IFERROR(MATCH($B89,Character_Creation!$J$350:$J$356,0),0)&gt;0,0,1)*IF(Character_Creation!$M$350&gt;0,1,0)</f>
        <v>1</v>
      </c>
      <c r="CH89">
        <f>IF(CG89=0,0,1+COUNTIF(CH$3:CH88,"&gt;0"))</f>
        <v>14</v>
      </c>
      <c r="CI89" t="str">
        <f t="shared" si="94"/>
        <v/>
      </c>
      <c r="CJ89" t="str">
        <f t="shared" si="66"/>
        <v/>
      </c>
      <c r="CL89">
        <f>IF(IFERROR(SEARCH("Bard",$T89,1),0)&gt;0,1,0)*IF(BardMaxSpellLevel&gt;=$C89,1,0)*IF(IFERROR(MATCH(B89,Character_Creation!$C$341:$F$362,0),0)&gt;0,0,1)*IF(IFERROR(MATCH($B89,Character_Creation!$C$341:$C$362,0),0)&gt;0,0,1)</f>
        <v>0</v>
      </c>
      <c r="CM89">
        <f>IF(CL89=0,0,1+COUNTIF(CM$3:CM88,"&gt;0"))</f>
        <v>0</v>
      </c>
      <c r="CN89" t="str">
        <f t="shared" si="95"/>
        <v/>
      </c>
      <c r="CO89" t="str">
        <f t="shared" si="67"/>
        <v/>
      </c>
      <c r="CQ89">
        <f>IF(IFERROR(SEARCH("Wizard",$T89,1),0)&gt;0,1,0)*IF(WizardMaxSpellLevel&gt;=$C89,1,0)*IF(IFERROR(MATCH(B89,Character_Creation!$X$341:$X$400,0),0)&gt;0,0,1)*IF(SelectedWizardSpellLevel=$C89,1,0)</f>
        <v>0</v>
      </c>
      <c r="CR89">
        <f>IF(CQ89=0,0,1+COUNTIF(CR$3:CR88,"&gt;0"))</f>
        <v>0</v>
      </c>
      <c r="CS89" t="str">
        <f t="shared" si="96"/>
        <v/>
      </c>
      <c r="CT89" t="str">
        <f t="shared" si="68"/>
        <v/>
      </c>
      <c r="CV89">
        <f>IF(IFERROR(MATCH($B89,Character_Creation!$C$341:$C$362,0),0)&gt;0,0,1)*IF(OR(C89="Cantrip",C89&lt;=BardMaxSpellLevel),1,0)*IF(IFERROR(MATCH($B89,Character_Creation!$C$367:$C$374,0),0)&gt;0,0,1)</f>
        <v>0</v>
      </c>
      <c r="CW89">
        <f>IF(CV89=0,0,1+COUNTIF(CW$3:CW88,"&gt;0"))</f>
        <v>0</v>
      </c>
      <c r="CX89" t="str">
        <f t="shared" si="97"/>
        <v/>
      </c>
      <c r="CY89" t="str">
        <f t="shared" si="69"/>
        <v/>
      </c>
      <c r="DA89">
        <f>IF(IF(OR(IFERROR(SEARCH("Cleric",$T89,1),0)&gt;0,IFERROR(SEARCH(DivineDomain&amp;",",$T89,1),0)&gt;0),1,0)*IF($C89=DA$2,1,0)=1,1+COUNTIF(DA$3:DA88,"&gt;0"),0)</f>
        <v>0</v>
      </c>
      <c r="DB89">
        <f>IF(IF(OR(IFERROR(SEARCH("Cleric",$T89,1),0)&gt;0,IFERROR(SEARCH(DivineDomain&amp;",",$T89,1),0)&gt;0),1,0)*IF($C89=DB$2,1,0)=1,1+COUNTIF(DB$3:DB88,"&gt;0"),0)</f>
        <v>0</v>
      </c>
      <c r="DC89">
        <f>IF(IF(OR(IFERROR(SEARCH("Cleric",$T89,1),0)&gt;0,IFERROR(SEARCH(DivineDomain&amp;",",$T89,1),0)&gt;0),1,0)*IF($C89=DC$2,1,0)=1,1+COUNTIF(DC$3:DC88,"&gt;0"),0)</f>
        <v>0</v>
      </c>
      <c r="DD89">
        <f>IF(IF(OR(IFERROR(SEARCH("Cleric",$T89,1),0)&gt;0,IFERROR(SEARCH(DivineDomain&amp;",",$T89,1),0)&gt;0),1,0)*IF($C89=DD$2,1,0)=1,1+COUNTIF(DD$3:DD88,"&gt;0"),0)</f>
        <v>0</v>
      </c>
      <c r="DE89">
        <f>IF(IF(OR(IFERROR(SEARCH("Cleric",$T89,1),0)&gt;0,IFERROR(SEARCH(DivineDomain&amp;",",$T89,1),0)&gt;0),1,0)*IF($C89=DE$2,1,0)=1,1+COUNTIF(DE$3:DE88,"&gt;0"),0)</f>
        <v>0</v>
      </c>
      <c r="DF89">
        <f>IF(IF(OR(IFERROR(SEARCH("Cleric",$T89,1),0)&gt;0,IFERROR(SEARCH(DivineDomain&amp;",",$T89,1),0)&gt;0),1,0)*IF($C89=DF$2,1,0)=1,1+COUNTIF(DF$3:DF88,"&gt;0"),0)</f>
        <v>0</v>
      </c>
      <c r="DG89">
        <f>IF(IF(OR(IFERROR(SEARCH("Cleric",$T89,1),0)&gt;0,IFERROR(SEARCH(DivineDomain&amp;",",$T89,1),0)&gt;0),1,0)*IF($C89=DG$2,1,0)=1,1+COUNTIF(DG$3:DG88,"&gt;0"),0)</f>
        <v>0</v>
      </c>
      <c r="DH89">
        <f>IF(IF(OR(IFERROR(SEARCH("Cleric",$T89,1),0)&gt;0,IFERROR(SEARCH(DivineDomain&amp;",",$T89,1),0)&gt;0),1,0)*IF($C89=DH$2,1,0)=1,1+COUNTIF(DH$3:DH88,"&gt;0"),0)</f>
        <v>0</v>
      </c>
      <c r="DI89">
        <f>IF(IF(OR(IFERROR(SEARCH("Cleric",$T89,1),0)&gt;0,IFERROR(SEARCH(DivineDomain&amp;",",$T89,1),0)&gt;0),1,0)*IF($C89=DI$2,1,0)=1,1+COUNTIF(DI$3:DI88,"&gt;0"),0)</f>
        <v>0</v>
      </c>
      <c r="DJ89">
        <f>IF(IF(OR(IFERROR(SEARCH("Druid",$T89,1),0)&gt;0,IFERROR(SEARCH(DruidLand1,$T89,1),0)&gt;0,IFERROR(SEARCH(DruidLand2,$T89,1),0)&gt;0,IFERROR(SEARCH(DruidLand3,$T89,1),0)&gt;0,IFERROR(SEARCH(DruidLand4,$T89,1),0)&gt;0),1,0)*IF($C89=1,1,0)*IF($C89=DJ$2,1,0)=0,0,1+COUNTIF(DJ$3:DJ88,"&gt;0"))</f>
        <v>0</v>
      </c>
      <c r="DK89">
        <f>IF(IF(OR(IFERROR(SEARCH("Druid",$T89,1),0)&gt;0,IFERROR(SEARCH(DruidLand1,$T89,1),0)&gt;0,IFERROR(SEARCH(DruidLand2,$T89,1),0)&gt;0,IFERROR(SEARCH(DruidLand3,$T89,1),0)&gt;0,IFERROR(SEARCH(DruidLand4,$T89,1),0)&gt;0),1,0)*IF($C89=1,1,0)*IF($C89=DK$2,1,0)=0,0,1+COUNTIF(DK$3:DK88,"&gt;0"))</f>
        <v>0</v>
      </c>
      <c r="DL89">
        <f>IF(IF(OR(IFERROR(SEARCH("Druid",$T89,1),0)&gt;0,IFERROR(SEARCH(DruidLand1,$T89,1),0)&gt;0,IFERROR(SEARCH(DruidLand2,$T89,1),0)&gt;0,IFERROR(SEARCH(DruidLand3,$T89,1),0)&gt;0,IFERROR(SEARCH(DruidLand4,$T89,1),0)&gt;0),1,0)*IF($C89=1,1,0)*IF($C89=DL$2,1,0)=0,0,1+COUNTIF(DL$3:DL88,"&gt;0"))</f>
        <v>0</v>
      </c>
      <c r="DM89">
        <f>IF(IF(OR(IFERROR(SEARCH("Druid",$T89,1),0)&gt;0,IFERROR(SEARCH(DruidLand1,$T89,1),0)&gt;0,IFERROR(SEARCH(DruidLand2,$T89,1),0)&gt;0,IFERROR(SEARCH(DruidLand3,$T89,1),0)&gt;0,IFERROR(SEARCH(DruidLand4,$T89,1),0)&gt;0),1,0)*IF($C89=1,1,0)*IF($C89=DM$2,1,0)=0,0,1+COUNTIF(DM$3:DM88,"&gt;0"))</f>
        <v>0</v>
      </c>
      <c r="DN89">
        <f>IF(IF(OR(IFERROR(SEARCH("Druid",$T89,1),0)&gt;0,IFERROR(SEARCH(DruidLand1,$T89,1),0)&gt;0,IFERROR(SEARCH(DruidLand2,$T89,1),0)&gt;0,IFERROR(SEARCH(DruidLand3,$T89,1),0)&gt;0,IFERROR(SEARCH(DruidLand4,$T89,1),0)&gt;0),1,0)*IF($C89=1,1,0)*IF($C89=DN$2,1,0)=0,0,1+COUNTIF(DN$3:DN88,"&gt;0"))</f>
        <v>0</v>
      </c>
      <c r="DO89">
        <f>IF(IF(OR(IFERROR(SEARCH("Druid",$T89,1),0)&gt;0,IFERROR(SEARCH(DruidLand1,$T89,1),0)&gt;0,IFERROR(SEARCH(DruidLand2,$T89,1),0)&gt;0,IFERROR(SEARCH(DruidLand3,$T89,1),0)&gt;0,IFERROR(SEARCH(DruidLand4,$T89,1),0)&gt;0),1,0)*IF($C89=1,1,0)*IF($C89=DO$2,1,0)=0,0,1+COUNTIF(DO$3:DO88,"&gt;0"))</f>
        <v>0</v>
      </c>
      <c r="DP89">
        <f>IF(IF(OR(IFERROR(SEARCH("Druid",$T89,1),0)&gt;0,IFERROR(SEARCH(DruidLand1,$T89,1),0)&gt;0,IFERROR(SEARCH(DruidLand2,$T89,1),0)&gt;0,IFERROR(SEARCH(DruidLand3,$T89,1),0)&gt;0,IFERROR(SEARCH(DruidLand4,$T89,1),0)&gt;0),1,0)*IF($C89=1,1,0)*IF($C89=DP$2,1,0)=0,0,1+COUNTIF(DP$3:DP88,"&gt;0"))</f>
        <v>0</v>
      </c>
      <c r="DQ89">
        <f>IF(IF(OR(IFERROR(SEARCH("Druid",$T89,1),0)&gt;0,IFERROR(SEARCH(DruidLand1,$T89,1),0)&gt;0,IFERROR(SEARCH(DruidLand2,$T89,1),0)&gt;0,IFERROR(SEARCH(DruidLand3,$T89,1),0)&gt;0,IFERROR(SEARCH(DruidLand4,$T89,1),0)&gt;0),1,0)*IF($C89=1,1,0)*IF($C89=DQ$2,1,0)=0,0,1+COUNTIF(DQ$3:DQ88,"&gt;0"))</f>
        <v>0</v>
      </c>
      <c r="DR89">
        <f>IF(IF(OR(IFERROR(SEARCH("Druid",$T89,1),0)&gt;0,IFERROR(SEARCH(DruidLand1,$T89,1),0)&gt;0,IFERROR(SEARCH(DruidLand2,$T89,1),0)&gt;0,IFERROR(SEARCH(DruidLand3,$T89,1),0)&gt;0,IFERROR(SEARCH(DruidLand4,$T89,1),0)&gt;0),1,0)*IF($C89=1,1,0)*IF($C89=DR$2,1,0)=0,0,1+COUNTIF(DR$3:DR88,"&gt;0"))</f>
        <v>0</v>
      </c>
      <c r="DS89">
        <f>IF(IF(OR(IFERROR(SEARCH("Paladin",$T89,1),0)&gt;0,IFERROR(SEARCH(PaladinOath,$T89,1),0)&gt;0),1,0)*IF($C89=DS$2,1,0)=1,1+COUNTIF(DS$3:DS88,"&gt;0"),0)</f>
        <v>0</v>
      </c>
      <c r="DT89">
        <f>IF(IF(OR(IFERROR(SEARCH("Paladin",$T89,1),0)&gt;0,IFERROR(SEARCH(PaladinOath,$T89,1),0)&gt;0),1,0)*IF($C89=DT$2,1,0)=1,1+COUNTIF(DT$3:DT88,"&gt;0"),0)</f>
        <v>0</v>
      </c>
      <c r="DU89">
        <f>IF(IF(OR(IFERROR(SEARCH("Paladin",$T89,1),0)&gt;0,IFERROR(SEARCH(PaladinOath,$T89,1),0)&gt;0),1,0)*IF($C89=DU$2,1,0)=1,1+COUNTIF(DU$3:DU88,"&gt;0"),0)</f>
        <v>0</v>
      </c>
      <c r="DV89">
        <f>IF(IF(OR(IFERROR(SEARCH("Paladin",$T89,1),0)&gt;0,IFERROR(SEARCH(PaladinOath,$T89,1),0)&gt;0),1,0)*IF($C89=DV$2,1,0)=1,1+COUNTIF(DV$3:DV88,"&gt;0"),0)</f>
        <v>0</v>
      </c>
      <c r="DW89">
        <f>IF(IF(OR(IFERROR(SEARCH("Paladin",$T89,1),0)&gt;0,IFERROR(SEARCH(PaladinOath,$T89,1),0)&gt;0),1,0)*IF($C89=DW$2,1,0)=1,1+COUNTIF(DW$3:DW88,"&gt;0"),0)</f>
        <v>0</v>
      </c>
      <c r="DY89">
        <f t="shared" si="56"/>
        <v>1</v>
      </c>
      <c r="DZ89">
        <f>IF(DY89=0,0,1+MAX(DZ$3:$DZ88))</f>
        <v>87</v>
      </c>
      <c r="EB89">
        <f t="shared" si="70"/>
        <v>0</v>
      </c>
      <c r="EC89">
        <f>IF(EB89=0,0,1+COUNTIF(EC$3:EC88,"&gt;0"))</f>
        <v>0</v>
      </c>
      <c r="ED89" t="str">
        <f t="shared" si="98"/>
        <v/>
      </c>
      <c r="EE89" t="str">
        <f t="shared" si="71"/>
        <v/>
      </c>
      <c r="EG89">
        <f t="shared" si="72"/>
        <v>0</v>
      </c>
      <c r="EH89">
        <f>IF(EG89=0,0,1+COUNTIF(EH$3:EH88,"&gt;0"))</f>
        <v>0</v>
      </c>
      <c r="EI89" t="str">
        <f t="shared" si="99"/>
        <v/>
      </c>
      <c r="EJ89" t="str">
        <f t="shared" si="73"/>
        <v/>
      </c>
      <c r="EL89">
        <f t="shared" si="74"/>
        <v>0</v>
      </c>
      <c r="EM89">
        <f>IF(EL89=0,0,1+COUNTIF(EM$3:EM88,"&gt;0"))</f>
        <v>0</v>
      </c>
      <c r="EN89" t="str">
        <f t="shared" si="100"/>
        <v/>
      </c>
      <c r="EO89" t="str">
        <f t="shared" si="75"/>
        <v/>
      </c>
      <c r="EQ89">
        <f t="shared" si="76"/>
        <v>0</v>
      </c>
      <c r="ER89">
        <f>IF(EQ89=0,0,1+COUNTIF(ER$3:ER88,"&gt;0"))</f>
        <v>0</v>
      </c>
      <c r="ES89" t="str">
        <f t="shared" si="101"/>
        <v/>
      </c>
      <c r="ET89" t="str">
        <f t="shared" si="77"/>
        <v/>
      </c>
      <c r="EV89">
        <f t="shared" si="78"/>
        <v>0</v>
      </c>
      <c r="EW89">
        <f>IF(EV89=0,0,1+COUNTIF(EW$3:EW88,"&gt;0"))</f>
        <v>0</v>
      </c>
      <c r="EX89" t="str">
        <f t="shared" si="102"/>
        <v/>
      </c>
      <c r="EY89" t="str">
        <f t="shared" si="79"/>
        <v/>
      </c>
      <c r="FA89">
        <f t="shared" si="80"/>
        <v>0</v>
      </c>
      <c r="FB89">
        <f>IF(FA89=0,0,1+COUNTIF(FB$3:FB88,"&gt;0"))</f>
        <v>0</v>
      </c>
      <c r="FC89" t="str">
        <f t="shared" si="103"/>
        <v/>
      </c>
      <c r="FD89" t="str">
        <f t="shared" si="81"/>
        <v/>
      </c>
      <c r="FF89">
        <f t="shared" si="82"/>
        <v>0</v>
      </c>
      <c r="FG89">
        <f>IF(FF89=0,0,1+COUNTIF(FG$3:FG88,"&gt;0"))</f>
        <v>0</v>
      </c>
      <c r="FH89" t="str">
        <f t="shared" si="104"/>
        <v/>
      </c>
      <c r="FI89" t="str">
        <f t="shared" si="83"/>
        <v/>
      </c>
      <c r="FK89">
        <f t="shared" si="84"/>
        <v>0</v>
      </c>
      <c r="FL89">
        <f>IF(FK89=0,0,1+COUNTIF(FL$3:FL88,"&gt;0"))</f>
        <v>0</v>
      </c>
      <c r="FM89" t="str">
        <f t="shared" si="105"/>
        <v/>
      </c>
      <c r="FN89" t="str">
        <f t="shared" si="85"/>
        <v/>
      </c>
      <c r="FP89">
        <f t="shared" si="86"/>
        <v>0</v>
      </c>
      <c r="FQ89">
        <f>IF(FP89=0,0,1+COUNTIF(FQ$3:FQ88,"&gt;0"))</f>
        <v>0</v>
      </c>
      <c r="FR89" t="str">
        <f t="shared" si="106"/>
        <v/>
      </c>
      <c r="FS89" t="str">
        <f t="shared" si="87"/>
        <v/>
      </c>
    </row>
    <row r="90" spans="1:175" x14ac:dyDescent="0.25">
      <c r="A90" s="347">
        <f t="shared" si="107"/>
        <v>88</v>
      </c>
      <c r="B90" s="348" t="s">
        <v>14</v>
      </c>
      <c r="C90" s="348">
        <v>2</v>
      </c>
      <c r="D90" s="347">
        <v>2</v>
      </c>
      <c r="E90" s="627" t="s">
        <v>6952</v>
      </c>
      <c r="F90" s="346"/>
      <c r="G90" s="347" t="str">
        <f>""</f>
        <v/>
      </c>
      <c r="H90" s="347" t="s">
        <v>5912</v>
      </c>
      <c r="I90" s="347" t="s">
        <v>5298</v>
      </c>
      <c r="J90" s="347" t="str">
        <f t="shared" si="57"/>
        <v/>
      </c>
      <c r="K90" s="347" t="s">
        <v>5279</v>
      </c>
      <c r="L90" s="611" t="str">
        <f t="shared" si="58"/>
        <v>V, S, M, either a pinch of dried carrot or an agate</v>
      </c>
      <c r="M90" s="347" t="s">
        <v>2373</v>
      </c>
      <c r="N90" s="347" t="s">
        <v>2387</v>
      </c>
      <c r="O90" s="347" t="s">
        <v>1244</v>
      </c>
      <c r="P90" s="346" t="s">
        <v>5347</v>
      </c>
      <c r="Q90" s="347" t="s">
        <v>5276</v>
      </c>
      <c r="S90" s="346" t="s">
        <v>2456</v>
      </c>
      <c r="T90" s="346" t="str">
        <f t="shared" si="59"/>
        <v xml:space="preserve">Ranger, Sorcerer, Druid, Wizard, </v>
      </c>
      <c r="W90" s="347" t="str">
        <f>$B90</f>
        <v>Darkvision</v>
      </c>
      <c r="X90" s="347" t="str">
        <f t="shared" si="108"/>
        <v>Darkvision</v>
      </c>
      <c r="AA90" s="347" t="str">
        <f>$B90</f>
        <v>Darkvision</v>
      </c>
      <c r="AD90" s="347" t="str">
        <f>$B90</f>
        <v>Darkvision</v>
      </c>
      <c r="AE90" t="str">
        <f>IF(IFERROR(MATCH($B90,temp!A$4:A$13,0),0)&gt;0,T08_Spells!AE$2,"")</f>
        <v/>
      </c>
      <c r="AF90" t="str">
        <f>IF(IFERROR(MATCH($B90,temp!B$4:B$13,0),0)&gt;0,T08_Spells!AF$2,"")</f>
        <v/>
      </c>
      <c r="AG90" t="str">
        <f>IF(IFERROR(MATCH($B90,temp!C$4:C$13,0),0)&gt;0,T08_Spells!AG$2,"")</f>
        <v/>
      </c>
      <c r="AH90" t="str">
        <f>IF(IFERROR(MATCH($B90,temp!D$4:D$13,0),0)&gt;0,T08_Spells!AH$2,"")</f>
        <v/>
      </c>
      <c r="AI90" t="str">
        <f>IF(IFERROR(MATCH($B90,temp!E$4:E$13,0),0)&gt;0,T08_Spells!AI$2,"")</f>
        <v/>
      </c>
      <c r="AJ90" t="str">
        <f>IF(IFERROR(MATCH($B90,temp!F$4:F$13,0),0)&gt;0,T08_Spells!AJ$2,"")</f>
        <v/>
      </c>
      <c r="AK90" t="str">
        <f>IF(IFERROR(MATCH($B90,temp!G$4:G$13,0),0)&gt;0,T08_Spells!AK$2,"")</f>
        <v/>
      </c>
      <c r="AL90" t="str">
        <f>IF(IFERROR(MATCH($B90,temp!H$4:H$13,0),0)&gt;0,T08_Spells!AL$2,"")</f>
        <v/>
      </c>
      <c r="AM90" t="str">
        <f>IF(IFERROR(MATCH($B90,temp!I$4:I$13,0),0)&gt;0,T08_Spells!AM$2,"")</f>
        <v/>
      </c>
      <c r="AN90" t="str">
        <f>IF(IFERROR(MATCH($B90,temp!J$4:J$13,0),0)&gt;0,T08_Spells!AN$2,"")</f>
        <v/>
      </c>
      <c r="AO90" t="str">
        <f>IF(IFERROR(MATCH($B90,temp!K$4:K$13,0),0)&gt;0,T08_Spells!AO$2,"")</f>
        <v/>
      </c>
      <c r="AP90" t="str">
        <f>IF(IFERROR(MATCH($B90,temp!L$4:L$13,0),0)&gt;0,T08_Spells!AP$2,"")</f>
        <v/>
      </c>
      <c r="AQ90" t="str">
        <f>IF(IFERROR(MATCH($B90,temp!M$4:M$13,0),0)&gt;0,T08_Spells!AQ$2,"")</f>
        <v/>
      </c>
      <c r="AR90" t="str">
        <f>IF(IFERROR(MATCH($B90,temp!N$4:N$13,0),0)&gt;0,T08_Spells!AR$2,"")</f>
        <v/>
      </c>
      <c r="AS90" t="str">
        <f>IF(IFERROR(MATCH($B90,temp!O$4:O$13,0),0)&gt;0,T08_Spells!AS$2,"")</f>
        <v/>
      </c>
      <c r="AT90" t="str">
        <f>IF(IFERROR(MATCH($B90,temp!P$4:P$13,0),0)&gt;0,T08_Spells!AT$2,"")</f>
        <v/>
      </c>
      <c r="AU90" t="str">
        <f>IF(IFERROR(MATCH($B90,temp!Q$4:Q$13,0),0)&gt;0,T08_Spells!AU$2,"")</f>
        <v/>
      </c>
      <c r="AV90" t="str">
        <f>IF(IFERROR(MATCH($B90,temp!R$4:R$13,0),0)&gt;0,T08_Spells!AV$2,"")</f>
        <v/>
      </c>
      <c r="AW90" t="str">
        <f>IF(IFERROR(MATCH($B90,temp!S$4:S$13,0),0)&gt;0,T08_Spells!AW$2,"")</f>
        <v/>
      </c>
      <c r="AX90" t="str">
        <f>IF(IFERROR(MATCH($B90,temp!T$4:T$13,0),0)&gt;0,T08_Spells!AX$2,"")</f>
        <v/>
      </c>
      <c r="AY90" t="str">
        <f>IF(IFERROR(MATCH($B90,temp!U$4:U$13,0),0)&gt;0,T08_Spells!AY$2,"")</f>
        <v/>
      </c>
      <c r="AZ90" t="str">
        <f>IF(IFERROR(MATCH($B90,temp!V$4:V$13,0),0)&gt;0,T08_Spells!AZ$2,"")</f>
        <v/>
      </c>
      <c r="BA90" t="str">
        <f>IF(IFERROR(MATCH($B90,temp!W$4:W$13,0),0)&gt;0,T08_Spells!BA$2,"")</f>
        <v/>
      </c>
      <c r="BC90">
        <f>IF(IFERROR(SEARCH("Ranger",$T90,1),0)&gt;0,1,0)*IF(RangerMaxSpellLevel&gt;=$C90,1,0)*IF(IFERROR(MATCH(B90,Character_Creation!$X$79:$X$382,0),0)&gt;0,0,1)</f>
        <v>0</v>
      </c>
      <c r="BD90">
        <f>IF(BC90=0,0,1+COUNTIF(BD$3:BD89,"&gt;0"))</f>
        <v>0</v>
      </c>
      <c r="BE90" t="str">
        <f t="shared" si="88"/>
        <v/>
      </c>
      <c r="BF90" t="str">
        <f t="shared" si="60"/>
        <v/>
      </c>
      <c r="BH90">
        <f>IF(IFERROR(SEARCH("Sorcerer",$T90,1),0)&gt;0,1,0)*IF(SorcererMaxSpellLevel&gt;=$C90,1,0)*IF(IFERROR(MATCH(B90,Character_Creation!$J$380:$J$394,0),0)&gt;0,0,1)</f>
        <v>0</v>
      </c>
      <c r="BI90">
        <f>IF(BH90=0,0,1+COUNTIF(BI$3:BI89,"&gt;0"))</f>
        <v>0</v>
      </c>
      <c r="BJ90" t="str">
        <f t="shared" si="89"/>
        <v/>
      </c>
      <c r="BK90" t="str">
        <f t="shared" si="61"/>
        <v/>
      </c>
      <c r="BM90">
        <f>IF(OR(IFERROR(SEARCH("Warlock",$T90,1),0)&gt;0,IFERROR(SEARCH(WarlockPatron,$T90,1),0)&gt;0),1,0)*IF(WarlockMaxSpellLevel&gt;=$C90,1,0)*IF(IFERROR(MATCH(B90,Character_Creation!$J$361:$J$375,0),0)&gt;0,0,1)</f>
        <v>0</v>
      </c>
      <c r="BN90">
        <f>IF(BM90=0,0,1+COUNTIF(BN$3:BN89,"&gt;0"))</f>
        <v>0</v>
      </c>
      <c r="BO90" t="str">
        <f t="shared" si="90"/>
        <v/>
      </c>
      <c r="BP90" t="str">
        <f t="shared" si="62"/>
        <v/>
      </c>
      <c r="BR90">
        <f>IF(IFERROR(SEARCH("Eldritch Knight",$T90,1),0)&gt;0,1,0)*IF(EldritchKnightMaxSpellLevel&gt;=$C90,1,0)*IF(IFERROR(MATCH($B90,Character_Creation!$J$350:$J$356,0),0)&gt;0,0,1)*IF(Character_Creation!$M$338&gt;0,1,0)</f>
        <v>0</v>
      </c>
      <c r="BS90">
        <f>IF(BR90=0,0,1+COUNTIF(BS$3:BS89,"&gt;0"))</f>
        <v>0</v>
      </c>
      <c r="BT90" t="str">
        <f t="shared" si="91"/>
        <v/>
      </c>
      <c r="BU90" t="str">
        <f t="shared" si="63"/>
        <v/>
      </c>
      <c r="BW90">
        <f>IF(IFERROR(SEARCH("Arcane Trickster",$T90,1),0)&gt;0,1,0)*IF(ArcaneTricksterMaxSpellLevel&gt;=$C90,1,0)*IF(IFERROR(MATCH($B90,Character_Creation!$J$350:$J$356,0),0)&gt;0,0,1)*IF(Character_Creation!$T$338&gt;0,1,0)</f>
        <v>0</v>
      </c>
      <c r="BX90">
        <f>IF(BW90=0,0,1+COUNTIF(BX$3:BX89,"&gt;0"))</f>
        <v>0</v>
      </c>
      <c r="BY90" t="str">
        <f t="shared" si="92"/>
        <v/>
      </c>
      <c r="BZ90" t="str">
        <f t="shared" si="64"/>
        <v/>
      </c>
      <c r="CB90">
        <f>IF(IFERROR(SEARCH("Wizard",$T90,1),0)&gt;0,1,0)*IF(C90&lt;=ArcaneTricksterMaxSpellLevel,1,0)*IF(IFERROR(MATCH($B90,Character_Creation!$J$350:$J$356,0),0)&gt;0,0,1)*IF(Character_Creation!$T$350&gt;0,1,0)</f>
        <v>0</v>
      </c>
      <c r="CC90">
        <f>IF(CB90=0,0,1+COUNTIF(CC$3:CC89,"&gt;0"))</f>
        <v>0</v>
      </c>
      <c r="CD90" t="str">
        <f t="shared" si="93"/>
        <v/>
      </c>
      <c r="CE90" t="str">
        <f t="shared" si="65"/>
        <v/>
      </c>
      <c r="CG90">
        <f>IF(IFERROR(SEARCH("Wizard",$T90,1),0)&gt;0,1,0)*IF($C90&lt;=EldritchKnightMaxSpellLevel,1,0)*IF(IFERROR(MATCH($B90,Character_Creation!$J$350:$J$356,0),0)&gt;0,0,1)*IF(Character_Creation!$M$350&gt;0,1,0)</f>
        <v>1</v>
      </c>
      <c r="CH90">
        <f>IF(CG90=0,0,1+COUNTIF(CH$3:CH89,"&gt;0"))</f>
        <v>15</v>
      </c>
      <c r="CI90" t="str">
        <f t="shared" si="94"/>
        <v/>
      </c>
      <c r="CJ90" t="str">
        <f t="shared" si="66"/>
        <v/>
      </c>
      <c r="CL90">
        <f>IF(IFERROR(SEARCH("Bard",$T90,1),0)&gt;0,1,0)*IF(BardMaxSpellLevel&gt;=$C90,1,0)*IF(IFERROR(MATCH(B90,Character_Creation!$C$341:$F$362,0),0)&gt;0,0,1)*IF(IFERROR(MATCH($B90,Character_Creation!$C$341:$C$362,0),0)&gt;0,0,1)</f>
        <v>0</v>
      </c>
      <c r="CM90">
        <f>IF(CL90=0,0,1+COUNTIF(CM$3:CM89,"&gt;0"))</f>
        <v>0</v>
      </c>
      <c r="CN90" t="str">
        <f t="shared" si="95"/>
        <v/>
      </c>
      <c r="CO90" t="str">
        <f t="shared" si="67"/>
        <v/>
      </c>
      <c r="CQ90">
        <f>IF(IFERROR(SEARCH("Wizard",$T90,1),0)&gt;0,1,0)*IF(WizardMaxSpellLevel&gt;=$C90,1,0)*IF(IFERROR(MATCH(B90,Character_Creation!$X$341:$X$400,0),0)&gt;0,0,1)*IF(SelectedWizardSpellLevel=$C90,1,0)</f>
        <v>0</v>
      </c>
      <c r="CR90">
        <f>IF(CQ90=0,0,1+COUNTIF(CR$3:CR89,"&gt;0"))</f>
        <v>0</v>
      </c>
      <c r="CS90" t="str">
        <f t="shared" si="96"/>
        <v/>
      </c>
      <c r="CT90" t="str">
        <f t="shared" si="68"/>
        <v/>
      </c>
      <c r="CV90">
        <f>IF(IFERROR(MATCH($B90,Character_Creation!$C$341:$C$362,0),0)&gt;0,0,1)*IF(OR(C90="Cantrip",C90&lt;=BardMaxSpellLevel),1,0)*IF(IFERROR(MATCH($B90,Character_Creation!$C$367:$C$374,0),0)&gt;0,0,1)</f>
        <v>0</v>
      </c>
      <c r="CW90">
        <f>IF(CV90=0,0,1+COUNTIF(CW$3:CW89,"&gt;0"))</f>
        <v>0</v>
      </c>
      <c r="CX90" t="str">
        <f t="shared" si="97"/>
        <v/>
      </c>
      <c r="CY90" t="str">
        <f t="shared" si="69"/>
        <v/>
      </c>
      <c r="DA90">
        <f>IF(IF(OR(IFERROR(SEARCH("Cleric",$T90,1),0)&gt;0,IFERROR(SEARCH(DivineDomain&amp;",",$T90,1),0)&gt;0),1,0)*IF($C90=DA$2,1,0)=1,1+COUNTIF(DA$3:DA89,"&gt;0"),0)</f>
        <v>0</v>
      </c>
      <c r="DB90">
        <f>IF(IF(OR(IFERROR(SEARCH("Cleric",$T90,1),0)&gt;0,IFERROR(SEARCH(DivineDomain&amp;",",$T90,1),0)&gt;0),1,0)*IF($C90=DB$2,1,0)=1,1+COUNTIF(DB$3:DB89,"&gt;0"),0)</f>
        <v>0</v>
      </c>
      <c r="DC90">
        <f>IF(IF(OR(IFERROR(SEARCH("Cleric",$T90,1),0)&gt;0,IFERROR(SEARCH(DivineDomain&amp;",",$T90,1),0)&gt;0),1,0)*IF($C90=DC$2,1,0)=1,1+COUNTIF(DC$3:DC89,"&gt;0"),0)</f>
        <v>0</v>
      </c>
      <c r="DD90">
        <f>IF(IF(OR(IFERROR(SEARCH("Cleric",$T90,1),0)&gt;0,IFERROR(SEARCH(DivineDomain&amp;",",$T90,1),0)&gt;0),1,0)*IF($C90=DD$2,1,0)=1,1+COUNTIF(DD$3:DD89,"&gt;0"),0)</f>
        <v>0</v>
      </c>
      <c r="DE90">
        <f>IF(IF(OR(IFERROR(SEARCH("Cleric",$T90,1),0)&gt;0,IFERROR(SEARCH(DivineDomain&amp;",",$T90,1),0)&gt;0),1,0)*IF($C90=DE$2,1,0)=1,1+COUNTIF(DE$3:DE89,"&gt;0"),0)</f>
        <v>0</v>
      </c>
      <c r="DF90">
        <f>IF(IF(OR(IFERROR(SEARCH("Cleric",$T90,1),0)&gt;0,IFERROR(SEARCH(DivineDomain&amp;",",$T90,1),0)&gt;0),1,0)*IF($C90=DF$2,1,0)=1,1+COUNTIF(DF$3:DF89,"&gt;0"),0)</f>
        <v>0</v>
      </c>
      <c r="DG90">
        <f>IF(IF(OR(IFERROR(SEARCH("Cleric",$T90,1),0)&gt;0,IFERROR(SEARCH(DivineDomain&amp;",",$T90,1),0)&gt;0),1,0)*IF($C90=DG$2,1,0)=1,1+COUNTIF(DG$3:DG89,"&gt;0"),0)</f>
        <v>0</v>
      </c>
      <c r="DH90">
        <f>IF(IF(OR(IFERROR(SEARCH("Cleric",$T90,1),0)&gt;0,IFERROR(SEARCH(DivineDomain&amp;",",$T90,1),0)&gt;0),1,0)*IF($C90=DH$2,1,0)=1,1+COUNTIF(DH$3:DH89,"&gt;0"),0)</f>
        <v>0</v>
      </c>
      <c r="DI90">
        <f>IF(IF(OR(IFERROR(SEARCH("Cleric",$T90,1),0)&gt;0,IFERROR(SEARCH(DivineDomain&amp;",",$T90,1),0)&gt;0),1,0)*IF($C90=DI$2,1,0)=1,1+COUNTIF(DI$3:DI89,"&gt;0"),0)</f>
        <v>0</v>
      </c>
      <c r="DJ90">
        <f>IF(IF(OR(IFERROR(SEARCH("Druid",$T90,1),0)&gt;0,IFERROR(SEARCH(DruidLand1,$T90,1),0)&gt;0,IFERROR(SEARCH(DruidLand2,$T90,1),0)&gt;0,IFERROR(SEARCH(DruidLand3,$T90,1),0)&gt;0,IFERROR(SEARCH(DruidLand4,$T90,1),0)&gt;0),1,0)*IF($C90=1,1,0)*IF($C90=DJ$2,1,0)=0,0,1+COUNTIF(DJ$3:DJ89,"&gt;0"))</f>
        <v>0</v>
      </c>
      <c r="DK90">
        <f>IF(IF(OR(IFERROR(SEARCH("Druid",$T90,1),0)&gt;0,IFERROR(SEARCH(DruidLand1,$T90,1),0)&gt;0,IFERROR(SEARCH(DruidLand2,$T90,1),0)&gt;0,IFERROR(SEARCH(DruidLand3,$T90,1),0)&gt;0,IFERROR(SEARCH(DruidLand4,$T90,1),0)&gt;0),1,0)*IF($C90=DK$2,1,0)=0,0,1+COUNTIF(DK$3:DK89,"&gt;0"))</f>
        <v>4</v>
      </c>
      <c r="DL90">
        <f>IF(IF(OR(IFERROR(SEARCH("Druid",$T90,1),0)&gt;0,IFERROR(SEARCH(DruidLand1,$T90,1),0)&gt;0,IFERROR(SEARCH(DruidLand2,$T90,1),0)&gt;0,IFERROR(SEARCH(DruidLand3,$T90,1),0)&gt;0,IFERROR(SEARCH(DruidLand4,$T90,1),0)&gt;0),1,0)*IF($C90=DL$2,1,0)=0,0,1+COUNTIF(DL$3:DL89,"&gt;0"))</f>
        <v>0</v>
      </c>
      <c r="DM90">
        <f>IF(IF(OR(IFERROR(SEARCH("Druid",$T90,1),0)&gt;0,IFERROR(SEARCH(DruidLand1,$T90,1),0)&gt;0,IFERROR(SEARCH(DruidLand2,$T90,1),0)&gt;0,IFERROR(SEARCH(DruidLand3,$T90,1),0)&gt;0,IFERROR(SEARCH(DruidLand4,$T90,1),0)&gt;0),1,0)*IF($C90=DM$2,1,0)=0,0,1+COUNTIF(DM$3:DM89,"&gt;0"))</f>
        <v>0</v>
      </c>
      <c r="DN90">
        <f>IF(IF(OR(IFERROR(SEARCH("Druid",$T90,1),0)&gt;0,IFERROR(SEARCH(DruidLand1,$T90,1),0)&gt;0,IFERROR(SEARCH(DruidLand2,$T90,1),0)&gt;0,IFERROR(SEARCH(DruidLand3,$T90,1),0)&gt;0,IFERROR(SEARCH(DruidLand4,$T90,1),0)&gt;0),1,0)*IF($C90=DN$2,1,0)=0,0,1+COUNTIF(DN$3:DN89,"&gt;0"))</f>
        <v>0</v>
      </c>
      <c r="DO90">
        <f>IF(IF(OR(IFERROR(SEARCH("Druid",$T90,1),0)&gt;0,IFERROR(SEARCH(DruidLand1,$T90,1),0)&gt;0,IFERROR(SEARCH(DruidLand2,$T90,1),0)&gt;0,IFERROR(SEARCH(DruidLand3,$T90,1),0)&gt;0,IFERROR(SEARCH(DruidLand4,$T90,1),0)&gt;0),1,0)*IF($C90=DO$2,1,0)=0,0,1+COUNTIF(DO$3:DO89,"&gt;0"))</f>
        <v>0</v>
      </c>
      <c r="DP90">
        <f>IF(IF(OR(IFERROR(SEARCH("Druid",$T90,1),0)&gt;0,IFERROR(SEARCH(DruidLand1,$T90,1),0)&gt;0,IFERROR(SEARCH(DruidLand2,$T90,1),0)&gt;0,IFERROR(SEARCH(DruidLand3,$T90,1),0)&gt;0,IFERROR(SEARCH(DruidLand4,$T90,1),0)&gt;0),1,0)*IF($C90=DP$2,1,0)=0,0,1+COUNTIF(DP$3:DP89,"&gt;0"))</f>
        <v>0</v>
      </c>
      <c r="DQ90">
        <f>IF(IF(OR(IFERROR(SEARCH("Druid",$T90,1),0)&gt;0,IFERROR(SEARCH(DruidLand1,$T90,1),0)&gt;0,IFERROR(SEARCH(DruidLand2,$T90,1),0)&gt;0,IFERROR(SEARCH(DruidLand3,$T90,1),0)&gt;0,IFERROR(SEARCH(DruidLand4,$T90,1),0)&gt;0),1,0)*IF($C90=DQ$2,1,0)=0,0,1+COUNTIF(DQ$3:DQ89,"&gt;0"))</f>
        <v>0</v>
      </c>
      <c r="DR90">
        <f>IF(IF(OR(IFERROR(SEARCH("Druid",$T90,1),0)&gt;0,IFERROR(SEARCH(DruidLand1,$T90,1),0)&gt;0,IFERROR(SEARCH(DruidLand2,$T90,1),0)&gt;0,IFERROR(SEARCH(DruidLand3,$T90,1),0)&gt;0,IFERROR(SEARCH(DruidLand4,$T90,1),0)&gt;0),1,0)*IF($C90=DR$2,1,0)=0,0,1+COUNTIF(DR$3:DR89,"&gt;0"))</f>
        <v>0</v>
      </c>
      <c r="DS90">
        <f>IF(IF(OR(IFERROR(SEARCH("Paladin",$T90,1),0)&gt;0,IFERROR(SEARCH(PaladinOath,$T90,1),0)&gt;0),1,0)*IF($C90=DS$2,1,0)=1,1+COUNTIF(DS$3:DS89,"&gt;0"),0)</f>
        <v>0</v>
      </c>
      <c r="DT90">
        <f>IF(IF(OR(IFERROR(SEARCH("Paladin",$T90,1),0)&gt;0,IFERROR(SEARCH(PaladinOath,$T90,1),0)&gt;0),1,0)*IF($C90=DT$2,1,0)=1,1+COUNTIF(DT$3:DT89,"&gt;0"),0)</f>
        <v>0</v>
      </c>
      <c r="DU90">
        <f>IF(IF(OR(IFERROR(SEARCH("Paladin",$T90,1),0)&gt;0,IFERROR(SEARCH(PaladinOath,$T90,1),0)&gt;0),1,0)*IF($C90=DU$2,1,0)=1,1+COUNTIF(DU$3:DU89,"&gt;0"),0)</f>
        <v>0</v>
      </c>
      <c r="DV90">
        <f>IF(IF(OR(IFERROR(SEARCH("Paladin",$T90,1),0)&gt;0,IFERROR(SEARCH(PaladinOath,$T90,1),0)&gt;0),1,0)*IF($C90=DV$2,1,0)=1,1+COUNTIF(DV$3:DV89,"&gt;0"),0)</f>
        <v>0</v>
      </c>
      <c r="DW90">
        <f>IF(IF(OR(IFERROR(SEARCH("Paladin",$T90,1),0)&gt;0,IFERROR(SEARCH(PaladinOath,$T90,1),0)&gt;0),1,0)*IF($C90=DW$2,1,0)=1,1+COUNTIF(DW$3:DW89,"&gt;0"),0)</f>
        <v>0</v>
      </c>
      <c r="DY90">
        <f t="shared" si="56"/>
        <v>1</v>
      </c>
      <c r="DZ90">
        <f>IF(DY90=0,0,1+MAX(DZ$3:$DZ89))</f>
        <v>88</v>
      </c>
      <c r="EB90">
        <f t="shared" si="70"/>
        <v>0</v>
      </c>
      <c r="EC90">
        <f>IF(EB90=0,0,1+COUNTIF(EC$3:EC89,"&gt;0"))</f>
        <v>0</v>
      </c>
      <c r="ED90" t="str">
        <f t="shared" si="98"/>
        <v/>
      </c>
      <c r="EE90" t="str">
        <f t="shared" si="71"/>
        <v/>
      </c>
      <c r="EG90">
        <f t="shared" si="72"/>
        <v>0</v>
      </c>
      <c r="EH90">
        <f>IF(EG90=0,0,1+COUNTIF(EH$3:EH89,"&gt;0"))</f>
        <v>0</v>
      </c>
      <c r="EI90" t="str">
        <f t="shared" si="99"/>
        <v/>
      </c>
      <c r="EJ90" t="str">
        <f t="shared" si="73"/>
        <v/>
      </c>
      <c r="EL90">
        <f t="shared" si="74"/>
        <v>0</v>
      </c>
      <c r="EM90">
        <f>IF(EL90=0,0,1+COUNTIF(EM$3:EM89,"&gt;0"))</f>
        <v>0</v>
      </c>
      <c r="EN90" t="str">
        <f t="shared" si="100"/>
        <v/>
      </c>
      <c r="EO90" t="str">
        <f t="shared" si="75"/>
        <v/>
      </c>
      <c r="EQ90">
        <f t="shared" si="76"/>
        <v>0</v>
      </c>
      <c r="ER90">
        <f>IF(EQ90=0,0,1+COUNTIF(ER$3:ER89,"&gt;0"))</f>
        <v>0</v>
      </c>
      <c r="ES90" t="str">
        <f t="shared" si="101"/>
        <v/>
      </c>
      <c r="ET90" t="str">
        <f t="shared" si="77"/>
        <v/>
      </c>
      <c r="EV90">
        <f t="shared" si="78"/>
        <v>0</v>
      </c>
      <c r="EW90">
        <f>IF(EV90=0,0,1+COUNTIF(EW$3:EW89,"&gt;0"))</f>
        <v>0</v>
      </c>
      <c r="EX90" t="str">
        <f t="shared" si="102"/>
        <v/>
      </c>
      <c r="EY90" t="str">
        <f t="shared" si="79"/>
        <v/>
      </c>
      <c r="FA90">
        <f t="shared" si="80"/>
        <v>0</v>
      </c>
      <c r="FB90">
        <f>IF(FA90=0,0,1+COUNTIF(FB$3:FB89,"&gt;0"))</f>
        <v>0</v>
      </c>
      <c r="FC90" t="str">
        <f t="shared" si="103"/>
        <v/>
      </c>
      <c r="FD90" t="str">
        <f t="shared" si="81"/>
        <v/>
      </c>
      <c r="FF90">
        <f t="shared" si="82"/>
        <v>0</v>
      </c>
      <c r="FG90">
        <f>IF(FF90=0,0,1+COUNTIF(FG$3:FG89,"&gt;0"))</f>
        <v>0</v>
      </c>
      <c r="FH90" t="str">
        <f t="shared" si="104"/>
        <v/>
      </c>
      <c r="FI90" t="str">
        <f t="shared" si="83"/>
        <v/>
      </c>
      <c r="FK90">
        <f t="shared" si="84"/>
        <v>0</v>
      </c>
      <c r="FL90">
        <f>IF(FK90=0,0,1+COUNTIF(FL$3:FL89,"&gt;0"))</f>
        <v>0</v>
      </c>
      <c r="FM90" t="str">
        <f t="shared" si="105"/>
        <v/>
      </c>
      <c r="FN90" t="str">
        <f t="shared" si="85"/>
        <v/>
      </c>
      <c r="FP90">
        <f t="shared" si="86"/>
        <v>0</v>
      </c>
      <c r="FQ90">
        <f>IF(FP90=0,0,1+COUNTIF(FQ$3:FQ89,"&gt;0"))</f>
        <v>0</v>
      </c>
      <c r="FR90" t="str">
        <f t="shared" si="106"/>
        <v/>
      </c>
      <c r="FS90" t="str">
        <f t="shared" si="87"/>
        <v/>
      </c>
    </row>
    <row r="91" spans="1:175" x14ac:dyDescent="0.25">
      <c r="A91" s="347">
        <f t="shared" si="107"/>
        <v>89</v>
      </c>
      <c r="B91" s="348" t="s">
        <v>2457</v>
      </c>
      <c r="C91" s="348">
        <v>3</v>
      </c>
      <c r="D91" s="347">
        <v>3</v>
      </c>
      <c r="E91" s="627" t="s">
        <v>6952</v>
      </c>
      <c r="F91" s="346"/>
      <c r="G91" s="347" t="str">
        <f>""</f>
        <v/>
      </c>
      <c r="H91" s="347" t="s">
        <v>5912</v>
      </c>
      <c r="I91" s="347" t="s">
        <v>424</v>
      </c>
      <c r="J91" s="347" t="str">
        <f t="shared" si="57"/>
        <v/>
      </c>
      <c r="K91" s="347" t="s">
        <v>5293</v>
      </c>
      <c r="L91" s="611" t="str">
        <f t="shared" si="58"/>
        <v>V, S</v>
      </c>
      <c r="M91" s="347" t="s">
        <v>2373</v>
      </c>
      <c r="N91" s="347" t="s">
        <v>2387</v>
      </c>
      <c r="O91" s="347" t="s">
        <v>3034</v>
      </c>
      <c r="P91" s="346" t="str">
        <f>""</f>
        <v/>
      </c>
      <c r="Q91" s="347" t="s">
        <v>5273</v>
      </c>
      <c r="S91" s="346" t="s">
        <v>5652</v>
      </c>
      <c r="T91" s="346" t="str">
        <f t="shared" si="59"/>
        <v xml:space="preserve">Paladin, Ranger, Sorcerer, Cleric, Druid, GrassLand, Light, </v>
      </c>
      <c r="V91" s="347" t="str">
        <f>$B91</f>
        <v>Daylight</v>
      </c>
      <c r="W91" s="347" t="str">
        <f>$B91</f>
        <v>Daylight</v>
      </c>
      <c r="X91" s="347" t="str">
        <f t="shared" si="108"/>
        <v>Daylight</v>
      </c>
      <c r="Z91" s="347" t="str">
        <f>$B91</f>
        <v>Daylight</v>
      </c>
      <c r="AA91" s="347" t="str">
        <f>$B91</f>
        <v>Daylight</v>
      </c>
      <c r="AE91" t="str">
        <f>IF(IFERROR(MATCH($B91,temp!A$4:A$13,0),0)&gt;0,T08_Spells!AE$2,"")</f>
        <v/>
      </c>
      <c r="AF91" t="str">
        <f>IF(IFERROR(MATCH($B91,temp!B$4:B$13,0),0)&gt;0,T08_Spells!AF$2,"")</f>
        <v/>
      </c>
      <c r="AG91" t="str">
        <f>IF(IFERROR(MATCH($B91,temp!C$4:C$13,0),0)&gt;0,T08_Spells!AG$2,"")</f>
        <v/>
      </c>
      <c r="AH91" t="str">
        <f>IF(IFERROR(MATCH($B91,temp!D$4:D$13,0),0)&gt;0,T08_Spells!AH$2,"")</f>
        <v/>
      </c>
      <c r="AI91" t="str">
        <f>IF(IFERROR(MATCH($B91,temp!E$4:E$13,0),0)&gt;0,T08_Spells!AI$2,"")</f>
        <v/>
      </c>
      <c r="AJ91" t="str">
        <f>IF(IFERROR(MATCH($B91,temp!F$4:F$13,0),0)&gt;0,T08_Spells!AJ$2,"")</f>
        <v/>
      </c>
      <c r="AK91" t="str">
        <f>IF(IFERROR(MATCH($B91,temp!G$4:G$13,0),0)&gt;0,T08_Spells!AK$2,"")</f>
        <v/>
      </c>
      <c r="AL91" t="str">
        <f>IF(IFERROR(MATCH($B91,temp!H$4:H$13,0),0)&gt;0,T08_Spells!AL$2,"")</f>
        <v/>
      </c>
      <c r="AM91" t="str">
        <f>IF(IFERROR(MATCH($B91,temp!I$4:I$13,0),0)&gt;0,T08_Spells!AM$2,"")</f>
        <v/>
      </c>
      <c r="AN91" t="str">
        <f>IF(IFERROR(MATCH($B91,temp!J$4:J$13,0),0)&gt;0,T08_Spells!AN$2,"")</f>
        <v/>
      </c>
      <c r="AO91" t="str">
        <f>IF(IFERROR(MATCH($B91,temp!K$4:K$13,0),0)&gt;0,T08_Spells!AO$2,"")</f>
        <v/>
      </c>
      <c r="AP91" t="str">
        <f>IF(IFERROR(MATCH($B91,temp!L$4:L$13,0),0)&gt;0,T08_Spells!AP$2,"")</f>
        <v>Grassland</v>
      </c>
      <c r="AQ91" t="str">
        <f>IF(IFERROR(MATCH($B91,temp!M$4:M$13,0),0)&gt;0,T08_Spells!AQ$2,"")</f>
        <v/>
      </c>
      <c r="AR91" t="str">
        <f>IF(IFERROR(MATCH($B91,temp!N$4:N$13,0),0)&gt;0,T08_Spells!AR$2,"")</f>
        <v/>
      </c>
      <c r="AS91" t="str">
        <f>IF(IFERROR(MATCH($B91,temp!O$4:O$13,0),0)&gt;0,T08_Spells!AS$2,"")</f>
        <v/>
      </c>
      <c r="AT91" t="str">
        <f>IF(IFERROR(MATCH($B91,temp!P$4:P$13,0),0)&gt;0,T08_Spells!AT$2,"")</f>
        <v/>
      </c>
      <c r="AU91" t="str">
        <f>IF(IFERROR(MATCH($B91,temp!Q$4:Q$13,0),0)&gt;0,T08_Spells!AU$2,"")</f>
        <v/>
      </c>
      <c r="AV91" t="str">
        <f>IF(IFERROR(MATCH($B91,temp!R$4:R$13,0),0)&gt;0,T08_Spells!AV$2,"")</f>
        <v>Light</v>
      </c>
      <c r="AW91" t="str">
        <f>IF(IFERROR(MATCH($B91,temp!S$4:S$13,0),0)&gt;0,T08_Spells!AW$2,"")</f>
        <v/>
      </c>
      <c r="AX91" t="str">
        <f>IF(IFERROR(MATCH($B91,temp!T$4:T$13,0),0)&gt;0,T08_Spells!AX$2,"")</f>
        <v/>
      </c>
      <c r="AY91" t="str">
        <f>IF(IFERROR(MATCH($B91,temp!U$4:U$13,0),0)&gt;0,T08_Spells!AY$2,"")</f>
        <v/>
      </c>
      <c r="AZ91" t="str">
        <f>IF(IFERROR(MATCH($B91,temp!V$4:V$13,0),0)&gt;0,T08_Spells!AZ$2,"")</f>
        <v/>
      </c>
      <c r="BA91" t="str">
        <f>IF(IFERROR(MATCH($B91,temp!W$4:W$13,0),0)&gt;0,T08_Spells!BA$2,"")</f>
        <v/>
      </c>
      <c r="BC91">
        <f>IF(IFERROR(SEARCH("Ranger",$T91,1),0)&gt;0,1,0)*IF(RangerMaxSpellLevel&gt;=$C91,1,0)*IF(IFERROR(MATCH(B91,Character_Creation!$X$79:$X$382,0),0)&gt;0,0,1)</f>
        <v>0</v>
      </c>
      <c r="BD91">
        <f>IF(BC91=0,0,1+COUNTIF(BD$3:BD90,"&gt;0"))</f>
        <v>0</v>
      </c>
      <c r="BE91" t="str">
        <f t="shared" si="88"/>
        <v/>
      </c>
      <c r="BF91" t="str">
        <f t="shared" si="60"/>
        <v/>
      </c>
      <c r="BH91">
        <f>IF(IFERROR(SEARCH("Sorcerer",$T91,1),0)&gt;0,1,0)*IF(SorcererMaxSpellLevel&gt;=$C91,1,0)*IF(IFERROR(MATCH(B91,Character_Creation!$J$380:$J$394,0),0)&gt;0,0,1)</f>
        <v>0</v>
      </c>
      <c r="BI91">
        <f>IF(BH91=0,0,1+COUNTIF(BI$3:BI90,"&gt;0"))</f>
        <v>0</v>
      </c>
      <c r="BJ91" t="str">
        <f t="shared" si="89"/>
        <v/>
      </c>
      <c r="BK91" t="str">
        <f t="shared" si="61"/>
        <v/>
      </c>
      <c r="BM91">
        <f>IF(OR(IFERROR(SEARCH("Warlock",$T91,1),0)&gt;0,IFERROR(SEARCH(WarlockPatron,$T91,1),0)&gt;0),1,0)*IF(WarlockMaxSpellLevel&gt;=$C91,1,0)*IF(IFERROR(MATCH(B91,Character_Creation!$J$361:$J$375,0),0)&gt;0,0,1)</f>
        <v>0</v>
      </c>
      <c r="BN91">
        <f>IF(BM91=0,0,1+COUNTIF(BN$3:BN90,"&gt;0"))</f>
        <v>0</v>
      </c>
      <c r="BO91" t="str">
        <f t="shared" si="90"/>
        <v/>
      </c>
      <c r="BP91" t="str">
        <f t="shared" si="62"/>
        <v/>
      </c>
      <c r="BR91">
        <f>IF(IFERROR(SEARCH("Eldritch Knight",$T91,1),0)&gt;0,1,0)*IF(EldritchKnightMaxSpellLevel&gt;=$C91,1,0)*IF(IFERROR(MATCH($B91,Character_Creation!$J$350:$J$356,0),0)&gt;0,0,1)*IF(Character_Creation!$M$338&gt;0,1,0)</f>
        <v>0</v>
      </c>
      <c r="BS91">
        <f>IF(BR91=0,0,1+COUNTIF(BS$3:BS90,"&gt;0"))</f>
        <v>0</v>
      </c>
      <c r="BT91" t="str">
        <f t="shared" si="91"/>
        <v/>
      </c>
      <c r="BU91" t="str">
        <f t="shared" si="63"/>
        <v/>
      </c>
      <c r="BW91">
        <f>IF(IFERROR(SEARCH("Arcane Trickster",$T91,1),0)&gt;0,1,0)*IF(ArcaneTricksterMaxSpellLevel&gt;=$C91,1,0)*IF(IFERROR(MATCH($B91,Character_Creation!$J$350:$J$356,0),0)&gt;0,0,1)*IF(Character_Creation!$T$338&gt;0,1,0)</f>
        <v>0</v>
      </c>
      <c r="BX91">
        <f>IF(BW91=0,0,1+COUNTIF(BX$3:BX90,"&gt;0"))</f>
        <v>0</v>
      </c>
      <c r="BY91" t="str">
        <f t="shared" si="92"/>
        <v/>
      </c>
      <c r="BZ91" t="str">
        <f t="shared" si="64"/>
        <v/>
      </c>
      <c r="CB91">
        <f>IF(IFERROR(SEARCH("Wizard",$T91,1),0)&gt;0,1,0)*IF(C91&lt;=ArcaneTricksterMaxSpellLevel,1,0)*IF(IFERROR(MATCH($B91,Character_Creation!$J$350:$J$356,0),0)&gt;0,0,1)*IF(Character_Creation!$T$350&gt;0,1,0)</f>
        <v>0</v>
      </c>
      <c r="CC91">
        <f>IF(CB91=0,0,1+COUNTIF(CC$3:CC90,"&gt;0"))</f>
        <v>0</v>
      </c>
      <c r="CD91" t="str">
        <f t="shared" si="93"/>
        <v/>
      </c>
      <c r="CE91" t="str">
        <f t="shared" si="65"/>
        <v/>
      </c>
      <c r="CG91">
        <f>IF(IFERROR(SEARCH("Wizard",$T91,1),0)&gt;0,1,0)*IF($C91&lt;=EldritchKnightMaxSpellLevel,1,0)*IF(IFERROR(MATCH($B91,Character_Creation!$J$350:$J$356,0),0)&gt;0,0,1)*IF(Character_Creation!$M$350&gt;0,1,0)</f>
        <v>0</v>
      </c>
      <c r="CH91">
        <f>IF(CG91=0,0,1+COUNTIF(CH$3:CH90,"&gt;0"))</f>
        <v>0</v>
      </c>
      <c r="CI91" t="str">
        <f t="shared" si="94"/>
        <v/>
      </c>
      <c r="CJ91" t="str">
        <f t="shared" si="66"/>
        <v/>
      </c>
      <c r="CL91">
        <f>IF(IFERROR(SEARCH("Bard",$T91,1),0)&gt;0,1,0)*IF(BardMaxSpellLevel&gt;=$C91,1,0)*IF(IFERROR(MATCH(B91,Character_Creation!$C$341:$F$362,0),0)&gt;0,0,1)*IF(IFERROR(MATCH($B91,Character_Creation!$C$341:$C$362,0),0)&gt;0,0,1)</f>
        <v>0</v>
      </c>
      <c r="CM91">
        <f>IF(CL91=0,0,1+COUNTIF(CM$3:CM90,"&gt;0"))</f>
        <v>0</v>
      </c>
      <c r="CN91" t="str">
        <f t="shared" si="95"/>
        <v/>
      </c>
      <c r="CO91" t="str">
        <f t="shared" si="67"/>
        <v/>
      </c>
      <c r="CQ91">
        <f>IF(IFERROR(SEARCH("Wizard",$T91,1),0)&gt;0,1,0)*IF(WizardMaxSpellLevel&gt;=$C91,1,0)*IF(IFERROR(MATCH(B91,Character_Creation!$X$341:$X$400,0),0)&gt;0,0,1)*IF(SelectedWizardSpellLevel=$C91,1,0)</f>
        <v>0</v>
      </c>
      <c r="CR91">
        <f>IF(CQ91=0,0,1+COUNTIF(CR$3:CR90,"&gt;0"))</f>
        <v>0</v>
      </c>
      <c r="CS91" t="str">
        <f t="shared" si="96"/>
        <v/>
      </c>
      <c r="CT91" t="str">
        <f t="shared" si="68"/>
        <v/>
      </c>
      <c r="CV91">
        <f>IF(IFERROR(MATCH($B91,Character_Creation!$C$341:$C$362,0),0)&gt;0,0,1)*IF(OR(C91="Cantrip",C91&lt;=BardMaxSpellLevel),1,0)*IF(IFERROR(MATCH($B91,Character_Creation!$C$367:$C$374,0),0)&gt;0,0,1)</f>
        <v>0</v>
      </c>
      <c r="CW91">
        <f>IF(CV91=0,0,1+COUNTIF(CW$3:CW90,"&gt;0"))</f>
        <v>0</v>
      </c>
      <c r="CX91" t="str">
        <f t="shared" si="97"/>
        <v/>
      </c>
      <c r="CY91" t="str">
        <f t="shared" si="69"/>
        <v/>
      </c>
      <c r="DA91">
        <f>IF(IF(OR(IFERROR(SEARCH("Cleric",$T91,1),0)&gt;0,IFERROR(SEARCH(DivineDomain&amp;",",$T91,1),0)&gt;0),1,0)*IF($C91=DA$2,1,0)=1,1+COUNTIF(DA$3:DA90,"&gt;0"),0)</f>
        <v>0</v>
      </c>
      <c r="DB91">
        <f>IF(IF(OR(IFERROR(SEARCH("Cleric",$T91,1),0)&gt;0,IFERROR(SEARCH(DivineDomain&amp;",",$T91,1),0)&gt;0),1,0)*IF($C91=DB$2,1,0)=1,1+COUNTIF(DB$3:DB90,"&gt;0"),0)</f>
        <v>0</v>
      </c>
      <c r="DC91">
        <f>IF(IF(OR(IFERROR(SEARCH("Cleric",$T91,1),0)&gt;0,IFERROR(SEARCH(DivineDomain&amp;",",$T91,1),0)&gt;0),1,0)*IF($C91=DC$2,1,0)=1,1+COUNTIF(DC$3:DC90,"&gt;0"),0)</f>
        <v>6</v>
      </c>
      <c r="DD91">
        <f>IF(IF(OR(IFERROR(SEARCH("Cleric",$T91,1),0)&gt;0,IFERROR(SEARCH(DivineDomain&amp;",",$T91,1),0)&gt;0),1,0)*IF($C91=DD$2,1,0)=1,1+COUNTIF(DD$3:DD90,"&gt;0"),0)</f>
        <v>0</v>
      </c>
      <c r="DE91">
        <f>IF(IF(OR(IFERROR(SEARCH("Cleric",$T91,1),0)&gt;0,IFERROR(SEARCH(DivineDomain&amp;",",$T91,1),0)&gt;0),1,0)*IF($C91=DE$2,1,0)=1,1+COUNTIF(DE$3:DE90,"&gt;0"),0)</f>
        <v>0</v>
      </c>
      <c r="DF91">
        <f>IF(IF(OR(IFERROR(SEARCH("Cleric",$T91,1),0)&gt;0,IFERROR(SEARCH(DivineDomain&amp;",",$T91,1),0)&gt;0),1,0)*IF($C91=DF$2,1,0)=1,1+COUNTIF(DF$3:DF90,"&gt;0"),0)</f>
        <v>0</v>
      </c>
      <c r="DG91">
        <f>IF(IF(OR(IFERROR(SEARCH("Cleric",$T91,1),0)&gt;0,IFERROR(SEARCH(DivineDomain&amp;",",$T91,1),0)&gt;0),1,0)*IF($C91=DG$2,1,0)=1,1+COUNTIF(DG$3:DG90,"&gt;0"),0)</f>
        <v>0</v>
      </c>
      <c r="DH91">
        <f>IF(IF(OR(IFERROR(SEARCH("Cleric",$T91,1),0)&gt;0,IFERROR(SEARCH(DivineDomain&amp;",",$T91,1),0)&gt;0),1,0)*IF($C91=DH$2,1,0)=1,1+COUNTIF(DH$3:DH90,"&gt;0"),0)</f>
        <v>0</v>
      </c>
      <c r="DI91">
        <f>IF(IF(OR(IFERROR(SEARCH("Cleric",$T91,1),0)&gt;0,IFERROR(SEARCH(DivineDomain&amp;",",$T91,1),0)&gt;0),1,0)*IF($C91=DI$2,1,0)=1,1+COUNTIF(DI$3:DI90,"&gt;0"),0)</f>
        <v>0</v>
      </c>
      <c r="DJ91">
        <f>IF(IF(OR(IFERROR(SEARCH("Druid",$T91,1),0)&gt;0,IFERROR(SEARCH(DruidLand1,$T91,1),0)&gt;0,IFERROR(SEARCH(DruidLand2,$T91,1),0)&gt;0,IFERROR(SEARCH(DruidLand3,$T91,1),0)&gt;0,IFERROR(SEARCH(DruidLand4,$T91,1),0)&gt;0),1,0)*IF($C91=1,1,0)*IF($C91=DJ$2,1,0)=0,0,1+COUNTIF(DJ$3:DJ90,"&gt;0"))</f>
        <v>0</v>
      </c>
      <c r="DK91">
        <f>IF(IF(OR(IFERROR(SEARCH("Druid",$T91,1),0)&gt;0,IFERROR(SEARCH(DruidLand1,$T91,1),0)&gt;0,IFERROR(SEARCH(DruidLand2,$T91,1),0)&gt;0,IFERROR(SEARCH(DruidLand3,$T91,1),0)&gt;0,IFERROR(SEARCH(DruidLand4,$T91,1),0)&gt;0),1,0)*IF($C91=DK$2,1,0)=0,0,1+COUNTIF(DK$3:DK90,"&gt;0"))</f>
        <v>0</v>
      </c>
      <c r="DL91">
        <f>IF(IF(OR(IFERROR(SEARCH("Druid",$T91,1),0)&gt;0,IFERROR(SEARCH(DruidLand1,$T91,1),0)&gt;0,IFERROR(SEARCH(DruidLand2,$T91,1),0)&gt;0,IFERROR(SEARCH(DruidLand3,$T91,1),0)&gt;0,IFERROR(SEARCH(DruidLand4,$T91,1),0)&gt;0),1,0)*IF($C91=DL$2,1,0)=0,0,1+COUNTIF(DL$3:DL90,"&gt;0"))</f>
        <v>3</v>
      </c>
      <c r="DM91">
        <f>IF(IF(OR(IFERROR(SEARCH("Druid",$T91,1),0)&gt;0,IFERROR(SEARCH(DruidLand1,$T91,1),0)&gt;0,IFERROR(SEARCH(DruidLand2,$T91,1),0)&gt;0,IFERROR(SEARCH(DruidLand3,$T91,1),0)&gt;0,IFERROR(SEARCH(DruidLand4,$T91,1),0)&gt;0),1,0)*IF($C91=DM$2,1,0)=0,0,1+COUNTIF(DM$3:DM90,"&gt;0"))</f>
        <v>0</v>
      </c>
      <c r="DN91">
        <f>IF(IF(OR(IFERROR(SEARCH("Druid",$T91,1),0)&gt;0,IFERROR(SEARCH(DruidLand1,$T91,1),0)&gt;0,IFERROR(SEARCH(DruidLand2,$T91,1),0)&gt;0,IFERROR(SEARCH(DruidLand3,$T91,1),0)&gt;0,IFERROR(SEARCH(DruidLand4,$T91,1),0)&gt;0),1,0)*IF($C91=DN$2,1,0)=0,0,1+COUNTIF(DN$3:DN90,"&gt;0"))</f>
        <v>0</v>
      </c>
      <c r="DO91">
        <f>IF(IF(OR(IFERROR(SEARCH("Druid",$T91,1),0)&gt;0,IFERROR(SEARCH(DruidLand1,$T91,1),0)&gt;0,IFERROR(SEARCH(DruidLand2,$T91,1),0)&gt;0,IFERROR(SEARCH(DruidLand3,$T91,1),0)&gt;0,IFERROR(SEARCH(DruidLand4,$T91,1),0)&gt;0),1,0)*IF($C91=DO$2,1,0)=0,0,1+COUNTIF(DO$3:DO90,"&gt;0"))</f>
        <v>0</v>
      </c>
      <c r="DP91">
        <f>IF(IF(OR(IFERROR(SEARCH("Druid",$T91,1),0)&gt;0,IFERROR(SEARCH(DruidLand1,$T91,1),0)&gt;0,IFERROR(SEARCH(DruidLand2,$T91,1),0)&gt;0,IFERROR(SEARCH(DruidLand3,$T91,1),0)&gt;0,IFERROR(SEARCH(DruidLand4,$T91,1),0)&gt;0),1,0)*IF($C91=DP$2,1,0)=0,0,1+COUNTIF(DP$3:DP90,"&gt;0"))</f>
        <v>0</v>
      </c>
      <c r="DQ91">
        <f>IF(IF(OR(IFERROR(SEARCH("Druid",$T91,1),0)&gt;0,IFERROR(SEARCH(DruidLand1,$T91,1),0)&gt;0,IFERROR(SEARCH(DruidLand2,$T91,1),0)&gt;0,IFERROR(SEARCH(DruidLand3,$T91,1),0)&gt;0,IFERROR(SEARCH(DruidLand4,$T91,1),0)&gt;0),1,0)*IF($C91=DQ$2,1,0)=0,0,1+COUNTIF(DQ$3:DQ90,"&gt;0"))</f>
        <v>0</v>
      </c>
      <c r="DR91">
        <f>IF(IF(OR(IFERROR(SEARCH("Druid",$T91,1),0)&gt;0,IFERROR(SEARCH(DruidLand1,$T91,1),0)&gt;0,IFERROR(SEARCH(DruidLand2,$T91,1),0)&gt;0,IFERROR(SEARCH(DruidLand3,$T91,1),0)&gt;0,IFERROR(SEARCH(DruidLand4,$T91,1),0)&gt;0),1,0)*IF($C91=DR$2,1,0)=0,0,1+COUNTIF(DR$3:DR90,"&gt;0"))</f>
        <v>0</v>
      </c>
      <c r="DS91">
        <f>IF(IF(OR(IFERROR(SEARCH("Paladin",$T91,1),0)&gt;0,IFERROR(SEARCH(PaladinOath,$T91,1),0)&gt;0),1,0)*IF($C91=DS$2,1,0)=1,1+COUNTIF(DS$3:DS90,"&gt;0"),0)</f>
        <v>0</v>
      </c>
      <c r="DT91">
        <f>IF(IF(OR(IFERROR(SEARCH("Paladin",$T91,1),0)&gt;0,IFERROR(SEARCH(PaladinOath,$T91,1),0)&gt;0),1,0)*IF($C91=DT$2,1,0)=1,1+COUNTIF(DT$3:DT90,"&gt;0"),0)</f>
        <v>0</v>
      </c>
      <c r="DU91">
        <f>IF(IF(OR(IFERROR(SEARCH("Paladin",$T91,1),0)&gt;0,IFERROR(SEARCH(PaladinOath,$T91,1),0)&gt;0),1,0)*IF($C91=DU$2,1,0)=1,1+COUNTIF(DU$3:DU90,"&gt;0"),0)</f>
        <v>5</v>
      </c>
      <c r="DV91">
        <f>IF(IF(OR(IFERROR(SEARCH("Paladin",$T91,1),0)&gt;0,IFERROR(SEARCH(PaladinOath,$T91,1),0)&gt;0),1,0)*IF($C91=DV$2,1,0)=1,1+COUNTIF(DV$3:DV90,"&gt;0"),0)</f>
        <v>0</v>
      </c>
      <c r="DW91">
        <f>IF(IF(OR(IFERROR(SEARCH("Paladin",$T91,1),0)&gt;0,IFERROR(SEARCH(PaladinOath,$T91,1),0)&gt;0),1,0)*IF($C91=DW$2,1,0)=1,1+COUNTIF(DW$3:DW90,"&gt;0"),0)</f>
        <v>0</v>
      </c>
      <c r="DY91">
        <f t="shared" si="56"/>
        <v>1</v>
      </c>
      <c r="DZ91">
        <f>IF(DY91=0,0,1+MAX(DZ$3:$DZ90))</f>
        <v>89</v>
      </c>
      <c r="EB91">
        <f t="shared" si="70"/>
        <v>0</v>
      </c>
      <c r="EC91">
        <f>IF(EB91=0,0,1+COUNTIF(EC$3:EC90,"&gt;0"))</f>
        <v>0</v>
      </c>
      <c r="ED91" t="str">
        <f t="shared" si="98"/>
        <v/>
      </c>
      <c r="EE91" t="str">
        <f t="shared" si="71"/>
        <v/>
      </c>
      <c r="EG91">
        <f t="shared" si="72"/>
        <v>0</v>
      </c>
      <c r="EH91">
        <f>IF(EG91=0,0,1+COUNTIF(EH$3:EH90,"&gt;0"))</f>
        <v>0</v>
      </c>
      <c r="EI91" t="str">
        <f t="shared" si="99"/>
        <v/>
      </c>
      <c r="EJ91" t="str">
        <f t="shared" si="73"/>
        <v/>
      </c>
      <c r="EL91">
        <f t="shared" si="74"/>
        <v>0</v>
      </c>
      <c r="EM91">
        <f>IF(EL91=0,0,1+COUNTIF(EM$3:EM90,"&gt;0"))</f>
        <v>0</v>
      </c>
      <c r="EN91" t="str">
        <f t="shared" si="100"/>
        <v/>
      </c>
      <c r="EO91" t="str">
        <f t="shared" si="75"/>
        <v/>
      </c>
      <c r="EQ91">
        <f t="shared" si="76"/>
        <v>0</v>
      </c>
      <c r="ER91">
        <f>IF(EQ91=0,0,1+COUNTIF(ER$3:ER90,"&gt;0"))</f>
        <v>0</v>
      </c>
      <c r="ES91" t="str">
        <f t="shared" si="101"/>
        <v/>
      </c>
      <c r="ET91" t="str">
        <f t="shared" si="77"/>
        <v/>
      </c>
      <c r="EV91">
        <f t="shared" si="78"/>
        <v>0</v>
      </c>
      <c r="EW91">
        <f>IF(EV91=0,0,1+COUNTIF(EW$3:EW90,"&gt;0"))</f>
        <v>0</v>
      </c>
      <c r="EX91" t="str">
        <f t="shared" si="102"/>
        <v/>
      </c>
      <c r="EY91" t="str">
        <f t="shared" si="79"/>
        <v/>
      </c>
      <c r="FA91">
        <f t="shared" si="80"/>
        <v>0</v>
      </c>
      <c r="FB91">
        <f>IF(FA91=0,0,1+COUNTIF(FB$3:FB90,"&gt;0"))</f>
        <v>0</v>
      </c>
      <c r="FC91" t="str">
        <f t="shared" si="103"/>
        <v/>
      </c>
      <c r="FD91" t="str">
        <f t="shared" si="81"/>
        <v/>
      </c>
      <c r="FF91">
        <f t="shared" si="82"/>
        <v>0</v>
      </c>
      <c r="FG91">
        <f>IF(FF91=0,0,1+COUNTIF(FG$3:FG90,"&gt;0"))</f>
        <v>0</v>
      </c>
      <c r="FH91" t="str">
        <f t="shared" si="104"/>
        <v/>
      </c>
      <c r="FI91" t="str">
        <f t="shared" si="83"/>
        <v/>
      </c>
      <c r="FK91">
        <f t="shared" si="84"/>
        <v>0</v>
      </c>
      <c r="FL91">
        <f>IF(FK91=0,0,1+COUNTIF(FL$3:FL90,"&gt;0"))</f>
        <v>0</v>
      </c>
      <c r="FM91" t="str">
        <f t="shared" si="105"/>
        <v/>
      </c>
      <c r="FN91" t="str">
        <f t="shared" si="85"/>
        <v/>
      </c>
      <c r="FP91">
        <f t="shared" si="86"/>
        <v>0</v>
      </c>
      <c r="FQ91">
        <f>IF(FP91=0,0,1+COUNTIF(FQ$3:FQ90,"&gt;0"))</f>
        <v>0</v>
      </c>
      <c r="FR91" t="str">
        <f t="shared" si="106"/>
        <v/>
      </c>
      <c r="FS91" t="str">
        <f t="shared" si="87"/>
        <v/>
      </c>
    </row>
    <row r="92" spans="1:175" x14ac:dyDescent="0.25">
      <c r="A92" s="347">
        <f t="shared" si="107"/>
        <v>90</v>
      </c>
      <c r="B92" s="348" t="s">
        <v>2458</v>
      </c>
      <c r="C92" s="348">
        <v>4</v>
      </c>
      <c r="D92" s="347">
        <v>4</v>
      </c>
      <c r="E92" s="627" t="s">
        <v>6952</v>
      </c>
      <c r="F92" s="346"/>
      <c r="G92" s="347" t="str">
        <f>""</f>
        <v/>
      </c>
      <c r="H92" s="347" t="s">
        <v>5912</v>
      </c>
      <c r="I92" s="347" t="s">
        <v>5298</v>
      </c>
      <c r="J92" s="347" t="str">
        <f t="shared" si="57"/>
        <v/>
      </c>
      <c r="K92" s="347" t="s">
        <v>5279</v>
      </c>
      <c r="L92" s="611" t="str">
        <f t="shared" si="58"/>
        <v>V, S</v>
      </c>
      <c r="M92" s="347" t="s">
        <v>2373</v>
      </c>
      <c r="N92" s="347" t="s">
        <v>2387</v>
      </c>
      <c r="O92" s="347" t="s">
        <v>3034</v>
      </c>
      <c r="P92" s="346" t="str">
        <f>""</f>
        <v/>
      </c>
      <c r="Q92" s="347" t="s">
        <v>5270</v>
      </c>
      <c r="S92" s="346" t="s">
        <v>5653</v>
      </c>
      <c r="T92" s="346" t="str">
        <f t="shared" si="59"/>
        <v xml:space="preserve">Paladin, Cleric, Life, Death, </v>
      </c>
      <c r="V92" s="347" t="str">
        <f>$B92</f>
        <v>Death Ward</v>
      </c>
      <c r="Z92" s="347" t="str">
        <f>$B92</f>
        <v>Death Ward</v>
      </c>
      <c r="AE92" t="str">
        <f>IF(IFERROR(MATCH($B92,temp!A$4:A$13,0),0)&gt;0,T08_Spells!AE$2,"")</f>
        <v/>
      </c>
      <c r="AF92" t="str">
        <f>IF(IFERROR(MATCH($B92,temp!B$4:B$13,0),0)&gt;0,T08_Spells!AF$2,"")</f>
        <v/>
      </c>
      <c r="AG92" t="str">
        <f>IF(IFERROR(MATCH($B92,temp!C$4:C$13,0),0)&gt;0,T08_Spells!AG$2,"")</f>
        <v/>
      </c>
      <c r="AH92" t="str">
        <f>IF(IFERROR(MATCH($B92,temp!D$4:D$13,0),0)&gt;0,T08_Spells!AH$2,"")</f>
        <v/>
      </c>
      <c r="AI92" t="str">
        <f>IF(IFERROR(MATCH($B92,temp!E$4:E$13,0),0)&gt;0,T08_Spells!AI$2,"")</f>
        <v/>
      </c>
      <c r="AJ92" t="str">
        <f>IF(IFERROR(MATCH($B92,temp!F$4:F$13,0),0)&gt;0,T08_Spells!AJ$2,"")</f>
        <v/>
      </c>
      <c r="AK92" t="str">
        <f>IF(IFERROR(MATCH($B92,temp!G$4:G$13,0),0)&gt;0,T08_Spells!AK$2,"")</f>
        <v/>
      </c>
      <c r="AL92" t="str">
        <f>IF(IFERROR(MATCH($B92,temp!H$4:H$13,0),0)&gt;0,T08_Spells!AL$2,"")</f>
        <v/>
      </c>
      <c r="AM92" t="str">
        <f>IF(IFERROR(MATCH($B92,temp!I$4:I$13,0),0)&gt;0,T08_Spells!AM$2,"")</f>
        <v/>
      </c>
      <c r="AN92" t="str">
        <f>IF(IFERROR(MATCH($B92,temp!J$4:J$13,0),0)&gt;0,T08_Spells!AN$2,"")</f>
        <v/>
      </c>
      <c r="AO92" t="str">
        <f>IF(IFERROR(MATCH($B92,temp!K$4:K$13,0),0)&gt;0,T08_Spells!AO$2,"")</f>
        <v/>
      </c>
      <c r="AP92" t="str">
        <f>IF(IFERROR(MATCH($B92,temp!L$4:L$13,0),0)&gt;0,T08_Spells!AP$2,"")</f>
        <v/>
      </c>
      <c r="AQ92" t="str">
        <f>IF(IFERROR(MATCH($B92,temp!M$4:M$13,0),0)&gt;0,T08_Spells!AQ$2,"")</f>
        <v/>
      </c>
      <c r="AR92" t="str">
        <f>IF(IFERROR(MATCH($B92,temp!N$4:N$13,0),0)&gt;0,T08_Spells!AR$2,"")</f>
        <v/>
      </c>
      <c r="AS92" t="str">
        <f>IF(IFERROR(MATCH($B92,temp!O$4:O$13,0),0)&gt;0,T08_Spells!AS$2,"")</f>
        <v/>
      </c>
      <c r="AT92" t="str">
        <f>IF(IFERROR(MATCH($B92,temp!P$4:P$13,0),0)&gt;0,T08_Spells!AT$2,"")</f>
        <v/>
      </c>
      <c r="AU92" t="str">
        <f>IF(IFERROR(MATCH($B92,temp!Q$4:Q$13,0),0)&gt;0,T08_Spells!AU$2,"")</f>
        <v>Life</v>
      </c>
      <c r="AV92" t="str">
        <f>IF(IFERROR(MATCH($B92,temp!R$4:R$13,0),0)&gt;0,T08_Spells!AV$2,"")</f>
        <v/>
      </c>
      <c r="AW92" t="str">
        <f>IF(IFERROR(MATCH($B92,temp!S$4:S$13,0),0)&gt;0,T08_Spells!AW$2,"")</f>
        <v/>
      </c>
      <c r="AX92" t="str">
        <f>IF(IFERROR(MATCH($B92,temp!T$4:T$13,0),0)&gt;0,T08_Spells!AX$2,"")</f>
        <v/>
      </c>
      <c r="AY92" t="str">
        <f>IF(IFERROR(MATCH($B92,temp!U$4:U$13,0),0)&gt;0,T08_Spells!AY$2,"")</f>
        <v/>
      </c>
      <c r="AZ92" t="str">
        <f>IF(IFERROR(MATCH($B92,temp!V$4:V$13,0),0)&gt;0,T08_Spells!AZ$2,"")</f>
        <v/>
      </c>
      <c r="BA92" t="str">
        <f>IF(IFERROR(MATCH($B92,temp!W$4:W$13,0),0)&gt;0,T08_Spells!BA$2,"")</f>
        <v>Death</v>
      </c>
      <c r="BC92">
        <f>IF(IFERROR(SEARCH("Ranger",$T92,1),0)&gt;0,1,0)*IF(RangerMaxSpellLevel&gt;=$C92,1,0)*IF(IFERROR(MATCH(B92,Character_Creation!$X$79:$X$382,0),0)&gt;0,0,1)</f>
        <v>0</v>
      </c>
      <c r="BD92">
        <f>IF(BC92=0,0,1+COUNTIF(BD$3:BD91,"&gt;0"))</f>
        <v>0</v>
      </c>
      <c r="BE92" t="str">
        <f t="shared" si="88"/>
        <v/>
      </c>
      <c r="BF92" t="str">
        <f t="shared" si="60"/>
        <v/>
      </c>
      <c r="BH92">
        <f>IF(IFERROR(SEARCH("Sorcerer",$T92,1),0)&gt;0,1,0)*IF(SorcererMaxSpellLevel&gt;=$C92,1,0)*IF(IFERROR(MATCH(B92,Character_Creation!$J$380:$J$394,0),0)&gt;0,0,1)</f>
        <v>0</v>
      </c>
      <c r="BI92">
        <f>IF(BH92=0,0,1+COUNTIF(BI$3:BI91,"&gt;0"))</f>
        <v>0</v>
      </c>
      <c r="BJ92" t="str">
        <f t="shared" si="89"/>
        <v/>
      </c>
      <c r="BK92" t="str">
        <f t="shared" si="61"/>
        <v/>
      </c>
      <c r="BM92">
        <f>IF(OR(IFERROR(SEARCH("Warlock",$T92,1),0)&gt;0,IFERROR(SEARCH(WarlockPatron,$T92,1),0)&gt;0),1,0)*IF(WarlockMaxSpellLevel&gt;=$C92,1,0)*IF(IFERROR(MATCH(B92,Character_Creation!$J$361:$J$375,0),0)&gt;0,0,1)</f>
        <v>0</v>
      </c>
      <c r="BN92">
        <f>IF(BM92=0,0,1+COUNTIF(BN$3:BN91,"&gt;0"))</f>
        <v>0</v>
      </c>
      <c r="BO92" t="str">
        <f t="shared" si="90"/>
        <v/>
      </c>
      <c r="BP92" t="str">
        <f t="shared" si="62"/>
        <v/>
      </c>
      <c r="BR92">
        <f>IF(IFERROR(SEARCH("Eldritch Knight",$T92,1),0)&gt;0,1,0)*IF(EldritchKnightMaxSpellLevel&gt;=$C92,1,0)*IF(IFERROR(MATCH($B92,Character_Creation!$J$350:$J$356,0),0)&gt;0,0,1)*IF(Character_Creation!$M$338&gt;0,1,0)</f>
        <v>0</v>
      </c>
      <c r="BS92">
        <f>IF(BR92=0,0,1+COUNTIF(BS$3:BS91,"&gt;0"))</f>
        <v>0</v>
      </c>
      <c r="BT92" t="str">
        <f t="shared" si="91"/>
        <v/>
      </c>
      <c r="BU92" t="str">
        <f t="shared" si="63"/>
        <v/>
      </c>
      <c r="BW92">
        <f>IF(IFERROR(SEARCH("Arcane Trickster",$T92,1),0)&gt;0,1,0)*IF(ArcaneTricksterMaxSpellLevel&gt;=$C92,1,0)*IF(IFERROR(MATCH($B92,Character_Creation!$J$350:$J$356,0),0)&gt;0,0,1)*IF(Character_Creation!$T$338&gt;0,1,0)</f>
        <v>0</v>
      </c>
      <c r="BX92">
        <f>IF(BW92=0,0,1+COUNTIF(BX$3:BX91,"&gt;0"))</f>
        <v>0</v>
      </c>
      <c r="BY92" t="str">
        <f t="shared" si="92"/>
        <v/>
      </c>
      <c r="BZ92" t="str">
        <f t="shared" si="64"/>
        <v/>
      </c>
      <c r="CB92">
        <f>IF(IFERROR(SEARCH("Wizard",$T92,1),0)&gt;0,1,0)*IF(C92&lt;=ArcaneTricksterMaxSpellLevel,1,0)*IF(IFERROR(MATCH($B92,Character_Creation!$J$350:$J$356,0),0)&gt;0,0,1)*IF(Character_Creation!$T$350&gt;0,1,0)</f>
        <v>0</v>
      </c>
      <c r="CC92">
        <f>IF(CB92=0,0,1+COUNTIF(CC$3:CC91,"&gt;0"))</f>
        <v>0</v>
      </c>
      <c r="CD92" t="str">
        <f t="shared" si="93"/>
        <v/>
      </c>
      <c r="CE92" t="str">
        <f t="shared" si="65"/>
        <v/>
      </c>
      <c r="CG92">
        <f>IF(IFERROR(SEARCH("Wizard",$T92,1),0)&gt;0,1,0)*IF($C92&lt;=EldritchKnightMaxSpellLevel,1,0)*IF(IFERROR(MATCH($B92,Character_Creation!$J$350:$J$356,0),0)&gt;0,0,1)*IF(Character_Creation!$M$350&gt;0,1,0)</f>
        <v>0</v>
      </c>
      <c r="CH92">
        <f>IF(CG92=0,0,1+COUNTIF(CH$3:CH91,"&gt;0"))</f>
        <v>0</v>
      </c>
      <c r="CI92" t="str">
        <f t="shared" si="94"/>
        <v/>
      </c>
      <c r="CJ92" t="str">
        <f t="shared" si="66"/>
        <v/>
      </c>
      <c r="CL92">
        <f>IF(IFERROR(SEARCH("Bard",$T92,1),0)&gt;0,1,0)*IF(BardMaxSpellLevel&gt;=$C92,1,0)*IF(IFERROR(MATCH(B92,Character_Creation!$C$341:$F$362,0),0)&gt;0,0,1)*IF(IFERROR(MATCH($B92,Character_Creation!$C$341:$C$362,0),0)&gt;0,0,1)</f>
        <v>0</v>
      </c>
      <c r="CM92">
        <f>IF(CL92=0,0,1+COUNTIF(CM$3:CM91,"&gt;0"))</f>
        <v>0</v>
      </c>
      <c r="CN92" t="str">
        <f t="shared" si="95"/>
        <v/>
      </c>
      <c r="CO92" t="str">
        <f t="shared" si="67"/>
        <v/>
      </c>
      <c r="CQ92">
        <f>IF(IFERROR(SEARCH("Wizard",$T92,1),0)&gt;0,1,0)*IF(WizardMaxSpellLevel&gt;=$C92,1,0)*IF(IFERROR(MATCH(B92,Character_Creation!$X$341:$X$400,0),0)&gt;0,0,1)*IF(SelectedWizardSpellLevel=$C92,1,0)</f>
        <v>0</v>
      </c>
      <c r="CR92">
        <f>IF(CQ92=0,0,1+COUNTIF(CR$3:CR91,"&gt;0"))</f>
        <v>0</v>
      </c>
      <c r="CS92" t="str">
        <f t="shared" si="96"/>
        <v/>
      </c>
      <c r="CT92" t="str">
        <f t="shared" si="68"/>
        <v/>
      </c>
      <c r="CV92">
        <f>IF(IFERROR(MATCH($B92,Character_Creation!$C$341:$C$362,0),0)&gt;0,0,1)*IF(OR(C92="Cantrip",C92&lt;=BardMaxSpellLevel),1,0)*IF(IFERROR(MATCH($B92,Character_Creation!$C$367:$C$374,0),0)&gt;0,0,1)</f>
        <v>0</v>
      </c>
      <c r="CW92">
        <f>IF(CV92=0,0,1+COUNTIF(CW$3:CW91,"&gt;0"))</f>
        <v>0</v>
      </c>
      <c r="CX92" t="str">
        <f t="shared" si="97"/>
        <v/>
      </c>
      <c r="CY92" t="str">
        <f t="shared" si="69"/>
        <v/>
      </c>
      <c r="DA92">
        <f>IF(IF(OR(IFERROR(SEARCH("Cleric",$T92,1),0)&gt;0,IFERROR(SEARCH(DivineDomain&amp;",",$T92,1),0)&gt;0),1,0)*IF($C92=DA$2,1,0)=1,1+COUNTIF(DA$3:DA91,"&gt;0"),0)</f>
        <v>0</v>
      </c>
      <c r="DB92">
        <f>IF(IF(OR(IFERROR(SEARCH("Cleric",$T92,1),0)&gt;0,IFERROR(SEARCH(DivineDomain&amp;",",$T92,1),0)&gt;0),1,0)*IF($C92=DB$2,1,0)=1,1+COUNTIF(DB$3:DB91,"&gt;0"),0)</f>
        <v>0</v>
      </c>
      <c r="DC92">
        <f>IF(IF(OR(IFERROR(SEARCH("Cleric",$T92,1),0)&gt;0,IFERROR(SEARCH(DivineDomain&amp;",",$T92,1),0)&gt;0),1,0)*IF($C92=DC$2,1,0)=1,1+COUNTIF(DC$3:DC91,"&gt;0"),0)</f>
        <v>0</v>
      </c>
      <c r="DD92">
        <f>IF(IF(OR(IFERROR(SEARCH("Cleric",$T92,1),0)&gt;0,IFERROR(SEARCH(DivineDomain&amp;",",$T92,1),0)&gt;0),1,0)*IF($C92=DD$2,1,0)=1,1+COUNTIF(DD$3:DD91,"&gt;0"),0)</f>
        <v>3</v>
      </c>
      <c r="DE92">
        <f>IF(IF(OR(IFERROR(SEARCH("Cleric",$T92,1),0)&gt;0,IFERROR(SEARCH(DivineDomain&amp;",",$T92,1),0)&gt;0),1,0)*IF($C92=DE$2,1,0)=1,1+COUNTIF(DE$3:DE91,"&gt;0"),0)</f>
        <v>0</v>
      </c>
      <c r="DF92">
        <f>IF(IF(OR(IFERROR(SEARCH("Cleric",$T92,1),0)&gt;0,IFERROR(SEARCH(DivineDomain&amp;",",$T92,1),0)&gt;0),1,0)*IF($C92=DF$2,1,0)=1,1+COUNTIF(DF$3:DF91,"&gt;0"),0)</f>
        <v>0</v>
      </c>
      <c r="DG92">
        <f>IF(IF(OR(IFERROR(SEARCH("Cleric",$T92,1),0)&gt;0,IFERROR(SEARCH(DivineDomain&amp;",",$T92,1),0)&gt;0),1,0)*IF($C92=DG$2,1,0)=1,1+COUNTIF(DG$3:DG91,"&gt;0"),0)</f>
        <v>0</v>
      </c>
      <c r="DH92">
        <f>IF(IF(OR(IFERROR(SEARCH("Cleric",$T92,1),0)&gt;0,IFERROR(SEARCH(DivineDomain&amp;",",$T92,1),0)&gt;0),1,0)*IF($C92=DH$2,1,0)=1,1+COUNTIF(DH$3:DH91,"&gt;0"),0)</f>
        <v>0</v>
      </c>
      <c r="DI92">
        <f>IF(IF(OR(IFERROR(SEARCH("Cleric",$T92,1),0)&gt;0,IFERROR(SEARCH(DivineDomain&amp;",",$T92,1),0)&gt;0),1,0)*IF($C92=DI$2,1,0)=1,1+COUNTIF(DI$3:DI91,"&gt;0"),0)</f>
        <v>0</v>
      </c>
      <c r="DJ92">
        <f>IF(IF(OR(IFERROR(SEARCH("Druid",$T92,1),0)&gt;0,IFERROR(SEARCH(DruidLand1,$T92,1),0)&gt;0,IFERROR(SEARCH(DruidLand2,$T92,1),0)&gt;0,IFERROR(SEARCH(DruidLand3,$T92,1),0)&gt;0,IFERROR(SEARCH(DruidLand4,$T92,1),0)&gt;0),1,0)*IF($C92=1,1,0)*IF($C92=DJ$2,1,0)=0,0,1+COUNTIF(DJ$3:DJ91,"&gt;0"))</f>
        <v>0</v>
      </c>
      <c r="DK92">
        <f>IF(IF(OR(IFERROR(SEARCH("Druid",$T92,1),0)&gt;0,IFERROR(SEARCH(DruidLand1,$T92,1),0)&gt;0,IFERROR(SEARCH(DruidLand2,$T92,1),0)&gt;0,IFERROR(SEARCH(DruidLand3,$T92,1),0)&gt;0,IFERROR(SEARCH(DruidLand4,$T92,1),0)&gt;0),1,0)*IF($C92=1,1,0)*IF($C92=DK$2,1,0)=0,0,1+COUNTIF(DK$3:DK91,"&gt;0"))</f>
        <v>0</v>
      </c>
      <c r="DL92">
        <f>IF(IF(OR(IFERROR(SEARCH("Druid",$T92,1),0)&gt;0,IFERROR(SEARCH(DruidLand1,$T92,1),0)&gt;0,IFERROR(SEARCH(DruidLand2,$T92,1),0)&gt;0,IFERROR(SEARCH(DruidLand3,$T92,1),0)&gt;0,IFERROR(SEARCH(DruidLand4,$T92,1),0)&gt;0),1,0)*IF($C92=1,1,0)*IF($C92=DL$2,1,0)=0,0,1+COUNTIF(DL$3:DL91,"&gt;0"))</f>
        <v>0</v>
      </c>
      <c r="DM92">
        <f>IF(IF(OR(IFERROR(SEARCH("Druid",$T92,1),0)&gt;0,IFERROR(SEARCH(DruidLand1,$T92,1),0)&gt;0,IFERROR(SEARCH(DruidLand2,$T92,1),0)&gt;0,IFERROR(SEARCH(DruidLand3,$T92,1),0)&gt;0,IFERROR(SEARCH(DruidLand4,$T92,1),0)&gt;0),1,0)*IF($C92=1,1,0)*IF($C92=DM$2,1,0)=0,0,1+COUNTIF(DM$3:DM91,"&gt;0"))</f>
        <v>0</v>
      </c>
      <c r="DN92">
        <f>IF(IF(OR(IFERROR(SEARCH("Druid",$T92,1),0)&gt;0,IFERROR(SEARCH(DruidLand1,$T92,1),0)&gt;0,IFERROR(SEARCH(DruidLand2,$T92,1),0)&gt;0,IFERROR(SEARCH(DruidLand3,$T92,1),0)&gt;0,IFERROR(SEARCH(DruidLand4,$T92,1),0)&gt;0),1,0)*IF($C92=1,1,0)*IF($C92=DN$2,1,0)=0,0,1+COUNTIF(DN$3:DN91,"&gt;0"))</f>
        <v>0</v>
      </c>
      <c r="DO92">
        <f>IF(IF(OR(IFERROR(SEARCH("Druid",$T92,1),0)&gt;0,IFERROR(SEARCH(DruidLand1,$T92,1),0)&gt;0,IFERROR(SEARCH(DruidLand2,$T92,1),0)&gt;0,IFERROR(SEARCH(DruidLand3,$T92,1),0)&gt;0,IFERROR(SEARCH(DruidLand4,$T92,1),0)&gt;0),1,0)*IF($C92=1,1,0)*IF($C92=DO$2,1,0)=0,0,1+COUNTIF(DO$3:DO91,"&gt;0"))</f>
        <v>0</v>
      </c>
      <c r="DP92">
        <f>IF(IF(OR(IFERROR(SEARCH("Druid",$T92,1),0)&gt;0,IFERROR(SEARCH(DruidLand1,$T92,1),0)&gt;0,IFERROR(SEARCH(DruidLand2,$T92,1),0)&gt;0,IFERROR(SEARCH(DruidLand3,$T92,1),0)&gt;0,IFERROR(SEARCH(DruidLand4,$T92,1),0)&gt;0),1,0)*IF($C92=1,1,0)*IF($C92=DP$2,1,0)=0,0,1+COUNTIF(DP$3:DP91,"&gt;0"))</f>
        <v>0</v>
      </c>
      <c r="DQ92">
        <f>IF(IF(OR(IFERROR(SEARCH("Druid",$T92,1),0)&gt;0,IFERROR(SEARCH(DruidLand1,$T92,1),0)&gt;0,IFERROR(SEARCH(DruidLand2,$T92,1),0)&gt;0,IFERROR(SEARCH(DruidLand3,$T92,1),0)&gt;0,IFERROR(SEARCH(DruidLand4,$T92,1),0)&gt;0),1,0)*IF($C92=1,1,0)*IF($C92=DQ$2,1,0)=0,0,1+COUNTIF(DQ$3:DQ91,"&gt;0"))</f>
        <v>0</v>
      </c>
      <c r="DR92">
        <f>IF(IF(OR(IFERROR(SEARCH("Druid",$T92,1),0)&gt;0,IFERROR(SEARCH(DruidLand1,$T92,1),0)&gt;0,IFERROR(SEARCH(DruidLand2,$T92,1),0)&gt;0,IFERROR(SEARCH(DruidLand3,$T92,1),0)&gt;0,IFERROR(SEARCH(DruidLand4,$T92,1),0)&gt;0),1,0)*IF($C92=1,1,0)*IF($C92=DR$2,1,0)=0,0,1+COUNTIF(DR$3:DR91,"&gt;0"))</f>
        <v>0</v>
      </c>
      <c r="DS92">
        <f>IF(IF(OR(IFERROR(SEARCH("Paladin",$T92,1),0)&gt;0,IFERROR(SEARCH(PaladinOath,$T92,1),0)&gt;0),1,0)*IF($C92=DS$2,1,0)=1,1+COUNTIF(DS$3:DS91,"&gt;0"),0)</f>
        <v>0</v>
      </c>
      <c r="DT92">
        <f>IF(IF(OR(IFERROR(SEARCH("Paladin",$T92,1),0)&gt;0,IFERROR(SEARCH(PaladinOath,$T92,1),0)&gt;0),1,0)*IF($C92=DT$2,1,0)=1,1+COUNTIF(DT$3:DT91,"&gt;0"),0)</f>
        <v>0</v>
      </c>
      <c r="DU92">
        <f>IF(IF(OR(IFERROR(SEARCH("Paladin",$T92,1),0)&gt;0,IFERROR(SEARCH(PaladinOath,$T92,1),0)&gt;0),1,0)*IF($C92=DU$2,1,0)=1,1+COUNTIF(DU$3:DU91,"&gt;0"),0)</f>
        <v>0</v>
      </c>
      <c r="DV92">
        <f>IF(IF(OR(IFERROR(SEARCH("Paladin",$T92,1),0)&gt;0,IFERROR(SEARCH(PaladinOath,$T92,1),0)&gt;0),1,0)*IF($C92=DV$2,1,0)=1,1+COUNTIF(DV$3:DV91,"&gt;0"),0)</f>
        <v>4</v>
      </c>
      <c r="DW92">
        <f>IF(IF(OR(IFERROR(SEARCH("Paladin",$T92,1),0)&gt;0,IFERROR(SEARCH(PaladinOath,$T92,1),0)&gt;0),1,0)*IF($C92=DW$2,1,0)=1,1+COUNTIF(DW$3:DW91,"&gt;0"),0)</f>
        <v>0</v>
      </c>
      <c r="DY92">
        <f t="shared" si="56"/>
        <v>1</v>
      </c>
      <c r="DZ92">
        <f>IF(DY92=0,0,1+MAX(DZ$3:$DZ91))</f>
        <v>90</v>
      </c>
      <c r="EB92">
        <f t="shared" si="70"/>
        <v>0</v>
      </c>
      <c r="EC92">
        <f>IF(EB92=0,0,1+COUNTIF(EC$3:EC91,"&gt;0"))</f>
        <v>0</v>
      </c>
      <c r="ED92" t="str">
        <f t="shared" si="98"/>
        <v/>
      </c>
      <c r="EE92" t="str">
        <f t="shared" si="71"/>
        <v/>
      </c>
      <c r="EG92">
        <f t="shared" si="72"/>
        <v>0</v>
      </c>
      <c r="EH92">
        <f>IF(EG92=0,0,1+COUNTIF(EH$3:EH91,"&gt;0"))</f>
        <v>0</v>
      </c>
      <c r="EI92" t="str">
        <f t="shared" si="99"/>
        <v/>
      </c>
      <c r="EJ92" t="str">
        <f t="shared" si="73"/>
        <v/>
      </c>
      <c r="EL92">
        <f t="shared" si="74"/>
        <v>0</v>
      </c>
      <c r="EM92">
        <f>IF(EL92=0,0,1+COUNTIF(EM$3:EM91,"&gt;0"))</f>
        <v>0</v>
      </c>
      <c r="EN92" t="str">
        <f t="shared" si="100"/>
        <v/>
      </c>
      <c r="EO92" t="str">
        <f t="shared" si="75"/>
        <v/>
      </c>
      <c r="EQ92">
        <f t="shared" si="76"/>
        <v>0</v>
      </c>
      <c r="ER92">
        <f>IF(EQ92=0,0,1+COUNTIF(ER$3:ER91,"&gt;0"))</f>
        <v>0</v>
      </c>
      <c r="ES92" t="str">
        <f t="shared" si="101"/>
        <v/>
      </c>
      <c r="ET92" t="str">
        <f t="shared" si="77"/>
        <v/>
      </c>
      <c r="EV92">
        <f t="shared" si="78"/>
        <v>0</v>
      </c>
      <c r="EW92">
        <f>IF(EV92=0,0,1+COUNTIF(EW$3:EW91,"&gt;0"))</f>
        <v>0</v>
      </c>
      <c r="EX92" t="str">
        <f t="shared" si="102"/>
        <v/>
      </c>
      <c r="EY92" t="str">
        <f t="shared" si="79"/>
        <v/>
      </c>
      <c r="FA92">
        <f t="shared" si="80"/>
        <v>0</v>
      </c>
      <c r="FB92">
        <f>IF(FA92=0,0,1+COUNTIF(FB$3:FB91,"&gt;0"))</f>
        <v>0</v>
      </c>
      <c r="FC92" t="str">
        <f t="shared" si="103"/>
        <v/>
      </c>
      <c r="FD92" t="str">
        <f t="shared" si="81"/>
        <v/>
      </c>
      <c r="FF92">
        <f t="shared" si="82"/>
        <v>0</v>
      </c>
      <c r="FG92">
        <f>IF(FF92=0,0,1+COUNTIF(FG$3:FG91,"&gt;0"))</f>
        <v>0</v>
      </c>
      <c r="FH92" t="str">
        <f t="shared" si="104"/>
        <v/>
      </c>
      <c r="FI92" t="str">
        <f t="shared" si="83"/>
        <v/>
      </c>
      <c r="FK92">
        <f t="shared" si="84"/>
        <v>0</v>
      </c>
      <c r="FL92">
        <f>IF(FK92=0,0,1+COUNTIF(FL$3:FL91,"&gt;0"))</f>
        <v>0</v>
      </c>
      <c r="FM92" t="str">
        <f t="shared" si="105"/>
        <v/>
      </c>
      <c r="FN92" t="str">
        <f t="shared" si="85"/>
        <v/>
      </c>
      <c r="FP92">
        <f t="shared" si="86"/>
        <v>0</v>
      </c>
      <c r="FQ92">
        <f>IF(FP92=0,0,1+COUNTIF(FQ$3:FQ91,"&gt;0"))</f>
        <v>0</v>
      </c>
      <c r="FR92" t="str">
        <f t="shared" si="106"/>
        <v/>
      </c>
      <c r="FS92" t="str">
        <f t="shared" si="87"/>
        <v/>
      </c>
    </row>
    <row r="93" spans="1:175" x14ac:dyDescent="0.25">
      <c r="A93" s="347">
        <f t="shared" si="107"/>
        <v>91</v>
      </c>
      <c r="B93" s="348" t="s">
        <v>2459</v>
      </c>
      <c r="C93" s="348">
        <v>7</v>
      </c>
      <c r="D93" s="347">
        <v>7</v>
      </c>
      <c r="E93" s="627" t="s">
        <v>6952</v>
      </c>
      <c r="F93" s="346"/>
      <c r="G93" s="347" t="str">
        <f>""</f>
        <v/>
      </c>
      <c r="H93" s="347" t="s">
        <v>5912</v>
      </c>
      <c r="I93" s="347" t="s">
        <v>5315</v>
      </c>
      <c r="J93" s="347" t="str">
        <f t="shared" si="57"/>
        <v/>
      </c>
      <c r="K93" s="347" t="s">
        <v>5291</v>
      </c>
      <c r="L93" s="611" t="str">
        <f t="shared" si="58"/>
        <v>V, S, M, a tiny ball of bat guano and sulfur</v>
      </c>
      <c r="M93" s="347" t="s">
        <v>2373</v>
      </c>
      <c r="N93" s="347" t="s">
        <v>2387</v>
      </c>
      <c r="O93" s="347" t="s">
        <v>1244</v>
      </c>
      <c r="P93" s="346" t="s">
        <v>5348</v>
      </c>
      <c r="Q93" s="347" t="s">
        <v>5273</v>
      </c>
      <c r="S93" s="346" t="s">
        <v>5654</v>
      </c>
      <c r="T93" s="346" t="str">
        <f t="shared" si="59"/>
        <v xml:space="preserve">Sorcerer, Eldritch Knight, Wizard, </v>
      </c>
      <c r="X93" s="347" t="str">
        <f>$B93</f>
        <v>Delayed Blast Fireball</v>
      </c>
      <c r="AB93" s="542" t="str">
        <f>AD93</f>
        <v>Delayed Blast Fireball</v>
      </c>
      <c r="AD93" s="347" t="str">
        <f>$B93</f>
        <v>Delayed Blast Fireball</v>
      </c>
      <c r="AE93" t="str">
        <f>IF(IFERROR(MATCH($B93,temp!A$4:A$13,0),0)&gt;0,T08_Spells!AE$2,"")</f>
        <v/>
      </c>
      <c r="AF93" t="str">
        <f>IF(IFERROR(MATCH($B93,temp!B$4:B$13,0),0)&gt;0,T08_Spells!AF$2,"")</f>
        <v/>
      </c>
      <c r="AG93" t="str">
        <f>IF(IFERROR(MATCH($B93,temp!C$4:C$13,0),0)&gt;0,T08_Spells!AG$2,"")</f>
        <v/>
      </c>
      <c r="AH93" t="str">
        <f>IF(IFERROR(MATCH($B93,temp!D$4:D$13,0),0)&gt;0,T08_Spells!AH$2,"")</f>
        <v/>
      </c>
      <c r="AI93" t="str">
        <f>IF(IFERROR(MATCH($B93,temp!E$4:E$13,0),0)&gt;0,T08_Spells!AI$2,"")</f>
        <v/>
      </c>
      <c r="AJ93" t="str">
        <f>IF(IFERROR(MATCH($B93,temp!F$4:F$13,0),0)&gt;0,T08_Spells!AJ$2,"")</f>
        <v/>
      </c>
      <c r="AK93" t="str">
        <f>IF(IFERROR(MATCH($B93,temp!G$4:G$13,0),0)&gt;0,T08_Spells!AK$2,"")</f>
        <v/>
      </c>
      <c r="AL93" t="str">
        <f>IF(IFERROR(MATCH($B93,temp!H$4:H$13,0),0)&gt;0,T08_Spells!AL$2,"")</f>
        <v/>
      </c>
      <c r="AM93" t="str">
        <f>IF(IFERROR(MATCH($B93,temp!I$4:I$13,0),0)&gt;0,T08_Spells!AM$2,"")</f>
        <v/>
      </c>
      <c r="AN93" t="str">
        <f>IF(IFERROR(MATCH($B93,temp!J$4:J$13,0),0)&gt;0,T08_Spells!AN$2,"")</f>
        <v/>
      </c>
      <c r="AO93" t="str">
        <f>IF(IFERROR(MATCH($B93,temp!K$4:K$13,0),0)&gt;0,T08_Spells!AO$2,"")</f>
        <v/>
      </c>
      <c r="AP93" t="str">
        <f>IF(IFERROR(MATCH($B93,temp!L$4:L$13,0),0)&gt;0,T08_Spells!AP$2,"")</f>
        <v/>
      </c>
      <c r="AQ93" t="str">
        <f>IF(IFERROR(MATCH($B93,temp!M$4:M$13,0),0)&gt;0,T08_Spells!AQ$2,"")</f>
        <v/>
      </c>
      <c r="AR93" t="str">
        <f>IF(IFERROR(MATCH($B93,temp!N$4:N$13,0),0)&gt;0,T08_Spells!AR$2,"")</f>
        <v/>
      </c>
      <c r="AS93" t="str">
        <f>IF(IFERROR(MATCH($B93,temp!O$4:O$13,0),0)&gt;0,T08_Spells!AS$2,"")</f>
        <v/>
      </c>
      <c r="AT93" t="str">
        <f>IF(IFERROR(MATCH($B93,temp!P$4:P$13,0),0)&gt;0,T08_Spells!AT$2,"")</f>
        <v/>
      </c>
      <c r="AU93" t="str">
        <f>IF(IFERROR(MATCH($B93,temp!Q$4:Q$13,0),0)&gt;0,T08_Spells!AU$2,"")</f>
        <v/>
      </c>
      <c r="AV93" t="str">
        <f>IF(IFERROR(MATCH($B93,temp!R$4:R$13,0),0)&gt;0,T08_Spells!AV$2,"")</f>
        <v/>
      </c>
      <c r="AW93" t="str">
        <f>IF(IFERROR(MATCH($B93,temp!S$4:S$13,0),0)&gt;0,T08_Spells!AW$2,"")</f>
        <v/>
      </c>
      <c r="AX93" t="str">
        <f>IF(IFERROR(MATCH($B93,temp!T$4:T$13,0),0)&gt;0,T08_Spells!AX$2,"")</f>
        <v/>
      </c>
      <c r="AY93" t="str">
        <f>IF(IFERROR(MATCH($B93,temp!U$4:U$13,0),0)&gt;0,T08_Spells!AY$2,"")</f>
        <v/>
      </c>
      <c r="AZ93" t="str">
        <f>IF(IFERROR(MATCH($B93,temp!V$4:V$13,0),0)&gt;0,T08_Spells!AZ$2,"")</f>
        <v/>
      </c>
      <c r="BA93" t="str">
        <f>IF(IFERROR(MATCH($B93,temp!W$4:W$13,0),0)&gt;0,T08_Spells!BA$2,"")</f>
        <v/>
      </c>
      <c r="BC93">
        <f>IF(IFERROR(SEARCH("Ranger",$T93,1),0)&gt;0,1,0)*IF(RangerMaxSpellLevel&gt;=$C93,1,0)*IF(IFERROR(MATCH(B93,Character_Creation!$X$79:$X$382,0),0)&gt;0,0,1)</f>
        <v>0</v>
      </c>
      <c r="BD93">
        <f>IF(BC93=0,0,1+COUNTIF(BD$3:BD92,"&gt;0"))</f>
        <v>0</v>
      </c>
      <c r="BE93" t="str">
        <f t="shared" si="88"/>
        <v/>
      </c>
      <c r="BF93" t="str">
        <f t="shared" si="60"/>
        <v/>
      </c>
      <c r="BH93">
        <f>IF(IFERROR(SEARCH("Sorcerer",$T93,1),0)&gt;0,1,0)*IF(SorcererMaxSpellLevel&gt;=$C93,1,0)*IF(IFERROR(MATCH(B93,Character_Creation!$J$380:$J$394,0),0)&gt;0,0,1)</f>
        <v>0</v>
      </c>
      <c r="BI93">
        <f>IF(BH93=0,0,1+COUNTIF(BI$3:BI92,"&gt;0"))</f>
        <v>0</v>
      </c>
      <c r="BJ93" t="str">
        <f t="shared" si="89"/>
        <v/>
      </c>
      <c r="BK93" t="str">
        <f t="shared" si="61"/>
        <v/>
      </c>
      <c r="BM93">
        <f>IF(OR(IFERROR(SEARCH("Warlock",$T93,1),0)&gt;0,IFERROR(SEARCH(WarlockPatron,$T93,1),0)&gt;0),1,0)*IF(WarlockMaxSpellLevel&gt;=$C93,1,0)*IF(IFERROR(MATCH(B93,Character_Creation!$J$361:$J$375,0),0)&gt;0,0,1)</f>
        <v>0</v>
      </c>
      <c r="BN93">
        <f>IF(BM93=0,0,1+COUNTIF(BN$3:BN92,"&gt;0"))</f>
        <v>0</v>
      </c>
      <c r="BO93" t="str">
        <f t="shared" si="90"/>
        <v/>
      </c>
      <c r="BP93" t="str">
        <f t="shared" si="62"/>
        <v/>
      </c>
      <c r="BR93">
        <f>IF(IFERROR(SEARCH("Eldritch Knight",$T93,1),0)&gt;0,1,0)*IF(EldritchKnightMaxSpellLevel&gt;=$C93,1,0)*IF(IFERROR(MATCH($B93,Character_Creation!$J$350:$J$356,0),0)&gt;0,0,1)*IF(Character_Creation!$M$338&gt;0,1,0)</f>
        <v>0</v>
      </c>
      <c r="BS93">
        <f>IF(BR93=0,0,1+COUNTIF(BS$3:BS92,"&gt;0"))</f>
        <v>0</v>
      </c>
      <c r="BT93" t="str">
        <f t="shared" si="91"/>
        <v/>
      </c>
      <c r="BU93" t="str">
        <f t="shared" si="63"/>
        <v/>
      </c>
      <c r="BW93">
        <f>IF(IFERROR(SEARCH("Arcane Trickster",$T93,1),0)&gt;0,1,0)*IF(ArcaneTricksterMaxSpellLevel&gt;=$C93,1,0)*IF(IFERROR(MATCH($B93,Character_Creation!$J$350:$J$356,0),0)&gt;0,0,1)*IF(Character_Creation!$T$338&gt;0,1,0)</f>
        <v>0</v>
      </c>
      <c r="BX93">
        <f>IF(BW93=0,0,1+COUNTIF(BX$3:BX92,"&gt;0"))</f>
        <v>0</v>
      </c>
      <c r="BY93" t="str">
        <f t="shared" si="92"/>
        <v/>
      </c>
      <c r="BZ93" t="str">
        <f t="shared" si="64"/>
        <v/>
      </c>
      <c r="CB93">
        <f>IF(IFERROR(SEARCH("Wizard",$T93,1),0)&gt;0,1,0)*IF(C93&lt;=ArcaneTricksterMaxSpellLevel,1,0)*IF(IFERROR(MATCH($B93,Character_Creation!$J$350:$J$356,0),0)&gt;0,0,1)*IF(Character_Creation!$T$350&gt;0,1,0)</f>
        <v>0</v>
      </c>
      <c r="CC93">
        <f>IF(CB93=0,0,1+COUNTIF(CC$3:CC92,"&gt;0"))</f>
        <v>0</v>
      </c>
      <c r="CD93" t="str">
        <f t="shared" si="93"/>
        <v/>
      </c>
      <c r="CE93" t="str">
        <f t="shared" si="65"/>
        <v/>
      </c>
      <c r="CG93">
        <f>IF(IFERROR(SEARCH("Wizard",$T93,1),0)&gt;0,1,0)*IF($C93&lt;=EldritchKnightMaxSpellLevel,1,0)*IF(IFERROR(MATCH($B93,Character_Creation!$J$350:$J$356,0),0)&gt;0,0,1)*IF(Character_Creation!$M$350&gt;0,1,0)</f>
        <v>0</v>
      </c>
      <c r="CH93">
        <f>IF(CG93=0,0,1+COUNTIF(CH$3:CH92,"&gt;0"))</f>
        <v>0</v>
      </c>
      <c r="CI93" t="str">
        <f t="shared" si="94"/>
        <v/>
      </c>
      <c r="CJ93" t="str">
        <f t="shared" si="66"/>
        <v/>
      </c>
      <c r="CL93">
        <f>IF(IFERROR(SEARCH("Bard",$T93,1),0)&gt;0,1,0)*IF(BardMaxSpellLevel&gt;=$C93,1,0)*IF(IFERROR(MATCH(B93,Character_Creation!$C$341:$F$362,0),0)&gt;0,0,1)*IF(IFERROR(MATCH($B93,Character_Creation!$C$341:$C$362,0),0)&gt;0,0,1)</f>
        <v>0</v>
      </c>
      <c r="CM93">
        <f>IF(CL93=0,0,1+COUNTIF(CM$3:CM92,"&gt;0"))</f>
        <v>0</v>
      </c>
      <c r="CN93" t="str">
        <f t="shared" si="95"/>
        <v/>
      </c>
      <c r="CO93" t="str">
        <f t="shared" si="67"/>
        <v/>
      </c>
      <c r="CQ93">
        <f>IF(IFERROR(SEARCH("Wizard",$T93,1),0)&gt;0,1,0)*IF(WizardMaxSpellLevel&gt;=$C93,1,0)*IF(IFERROR(MATCH(B93,Character_Creation!$X$341:$X$400,0),0)&gt;0,0,1)*IF(SelectedWizardSpellLevel=$C93,1,0)</f>
        <v>0</v>
      </c>
      <c r="CR93">
        <f>IF(CQ93=0,0,1+COUNTIF(CR$3:CR92,"&gt;0"))</f>
        <v>0</v>
      </c>
      <c r="CS93" t="str">
        <f t="shared" si="96"/>
        <v/>
      </c>
      <c r="CT93" t="str">
        <f t="shared" si="68"/>
        <v/>
      </c>
      <c r="CV93">
        <f>IF(IFERROR(MATCH($B93,Character_Creation!$C$341:$C$362,0),0)&gt;0,0,1)*IF(OR(C93="Cantrip",C93&lt;=BardMaxSpellLevel),1,0)*IF(IFERROR(MATCH($B93,Character_Creation!$C$367:$C$374,0),0)&gt;0,0,1)</f>
        <v>0</v>
      </c>
      <c r="CW93">
        <f>IF(CV93=0,0,1+COUNTIF(CW$3:CW92,"&gt;0"))</f>
        <v>0</v>
      </c>
      <c r="CX93" t="str">
        <f t="shared" si="97"/>
        <v/>
      </c>
      <c r="CY93" t="str">
        <f t="shared" si="69"/>
        <v/>
      </c>
      <c r="DA93">
        <f>IF(IF(OR(IFERROR(SEARCH("Cleric",$T93,1),0)&gt;0,IFERROR(SEARCH(DivineDomain&amp;",",$T93,1),0)&gt;0),1,0)*IF($C93=DA$2,1,0)=1,1+COUNTIF(DA$3:DA92,"&gt;0"),0)</f>
        <v>0</v>
      </c>
      <c r="DB93">
        <f>IF(IF(OR(IFERROR(SEARCH("Cleric",$T93,1),0)&gt;0,IFERROR(SEARCH(DivineDomain&amp;",",$T93,1),0)&gt;0),1,0)*IF($C93=DB$2,1,0)=1,1+COUNTIF(DB$3:DB92,"&gt;0"),0)</f>
        <v>0</v>
      </c>
      <c r="DC93">
        <f>IF(IF(OR(IFERROR(SEARCH("Cleric",$T93,1),0)&gt;0,IFERROR(SEARCH(DivineDomain&amp;",",$T93,1),0)&gt;0),1,0)*IF($C93=DC$2,1,0)=1,1+COUNTIF(DC$3:DC92,"&gt;0"),0)</f>
        <v>0</v>
      </c>
      <c r="DD93">
        <f>IF(IF(OR(IFERROR(SEARCH("Cleric",$T93,1),0)&gt;0,IFERROR(SEARCH(DivineDomain&amp;",",$T93,1),0)&gt;0),1,0)*IF($C93=DD$2,1,0)=1,1+COUNTIF(DD$3:DD92,"&gt;0"),0)</f>
        <v>0</v>
      </c>
      <c r="DE93">
        <f>IF(IF(OR(IFERROR(SEARCH("Cleric",$T93,1),0)&gt;0,IFERROR(SEARCH(DivineDomain&amp;",",$T93,1),0)&gt;0),1,0)*IF($C93=DE$2,1,0)=1,1+COUNTIF(DE$3:DE92,"&gt;0"),0)</f>
        <v>0</v>
      </c>
      <c r="DF93">
        <f>IF(IF(OR(IFERROR(SEARCH("Cleric",$T93,1),0)&gt;0,IFERROR(SEARCH(DivineDomain&amp;",",$T93,1),0)&gt;0),1,0)*IF($C93=DF$2,1,0)=1,1+COUNTIF(DF$3:DF92,"&gt;0"),0)</f>
        <v>0</v>
      </c>
      <c r="DG93">
        <f>IF(IF(OR(IFERROR(SEARCH("Cleric",$T93,1),0)&gt;0,IFERROR(SEARCH(DivineDomain&amp;",",$T93,1),0)&gt;0),1,0)*IF($C93=DG$2,1,0)=1,1+COUNTIF(DG$3:DG92,"&gt;0"),0)</f>
        <v>0</v>
      </c>
      <c r="DH93">
        <f>IF(IF(OR(IFERROR(SEARCH("Cleric",$T93,1),0)&gt;0,IFERROR(SEARCH(DivineDomain&amp;",",$T93,1),0)&gt;0),1,0)*IF($C93=DH$2,1,0)=1,1+COUNTIF(DH$3:DH92,"&gt;0"),0)</f>
        <v>0</v>
      </c>
      <c r="DI93">
        <f>IF(IF(OR(IFERROR(SEARCH("Cleric",$T93,1),0)&gt;0,IFERROR(SEARCH(DivineDomain&amp;",",$T93,1),0)&gt;0),1,0)*IF($C93=DI$2,1,0)=1,1+COUNTIF(DI$3:DI92,"&gt;0"),0)</f>
        <v>0</v>
      </c>
      <c r="DJ93">
        <f>IF(IF(OR(IFERROR(SEARCH("Druid",$T93,1),0)&gt;0,IFERROR(SEARCH(DruidLand1,$T93,1),0)&gt;0,IFERROR(SEARCH(DruidLand2,$T93,1),0)&gt;0,IFERROR(SEARCH(DruidLand3,$T93,1),0)&gt;0,IFERROR(SEARCH(DruidLand4,$T93,1),0)&gt;0),1,0)*IF($C93=1,1,0)*IF($C93=DJ$2,1,0)=0,0,1+COUNTIF(DJ$3:DJ92,"&gt;0"))</f>
        <v>0</v>
      </c>
      <c r="DK93">
        <f>IF(IF(OR(IFERROR(SEARCH("Druid",$T93,1),0)&gt;0,IFERROR(SEARCH(DruidLand1,$T93,1),0)&gt;0,IFERROR(SEARCH(DruidLand2,$T93,1),0)&gt;0,IFERROR(SEARCH(DruidLand3,$T93,1),0)&gt;0,IFERROR(SEARCH(DruidLand4,$T93,1),0)&gt;0),1,0)*IF($C93=1,1,0)*IF($C93=DK$2,1,0)=0,0,1+COUNTIF(DK$3:DK92,"&gt;0"))</f>
        <v>0</v>
      </c>
      <c r="DL93">
        <f>IF(IF(OR(IFERROR(SEARCH("Druid",$T93,1),0)&gt;0,IFERROR(SEARCH(DruidLand1,$T93,1),0)&gt;0,IFERROR(SEARCH(DruidLand2,$T93,1),0)&gt;0,IFERROR(SEARCH(DruidLand3,$T93,1),0)&gt;0,IFERROR(SEARCH(DruidLand4,$T93,1),0)&gt;0),1,0)*IF($C93=1,1,0)*IF($C93=DL$2,1,0)=0,0,1+COUNTIF(DL$3:DL92,"&gt;0"))</f>
        <v>0</v>
      </c>
      <c r="DM93">
        <f>IF(IF(OR(IFERROR(SEARCH("Druid",$T93,1),0)&gt;0,IFERROR(SEARCH(DruidLand1,$T93,1),0)&gt;0,IFERROR(SEARCH(DruidLand2,$T93,1),0)&gt;0,IFERROR(SEARCH(DruidLand3,$T93,1),0)&gt;0,IFERROR(SEARCH(DruidLand4,$T93,1),0)&gt;0),1,0)*IF($C93=1,1,0)*IF($C93=DM$2,1,0)=0,0,1+COUNTIF(DM$3:DM92,"&gt;0"))</f>
        <v>0</v>
      </c>
      <c r="DN93">
        <f>IF(IF(OR(IFERROR(SEARCH("Druid",$T93,1),0)&gt;0,IFERROR(SEARCH(DruidLand1,$T93,1),0)&gt;0,IFERROR(SEARCH(DruidLand2,$T93,1),0)&gt;0,IFERROR(SEARCH(DruidLand3,$T93,1),0)&gt;0,IFERROR(SEARCH(DruidLand4,$T93,1),0)&gt;0),1,0)*IF($C93=1,1,0)*IF($C93=DN$2,1,0)=0,0,1+COUNTIF(DN$3:DN92,"&gt;0"))</f>
        <v>0</v>
      </c>
      <c r="DO93">
        <f>IF(IF(OR(IFERROR(SEARCH("Druid",$T93,1),0)&gt;0,IFERROR(SEARCH(DruidLand1,$T93,1),0)&gt;0,IFERROR(SEARCH(DruidLand2,$T93,1),0)&gt;0,IFERROR(SEARCH(DruidLand3,$T93,1),0)&gt;0,IFERROR(SEARCH(DruidLand4,$T93,1),0)&gt;0),1,0)*IF($C93=1,1,0)*IF($C93=DO$2,1,0)=0,0,1+COUNTIF(DO$3:DO92,"&gt;0"))</f>
        <v>0</v>
      </c>
      <c r="DP93">
        <f>IF(IF(OR(IFERROR(SEARCH("Druid",$T93,1),0)&gt;0,IFERROR(SEARCH(DruidLand1,$T93,1),0)&gt;0,IFERROR(SEARCH(DruidLand2,$T93,1),0)&gt;0,IFERROR(SEARCH(DruidLand3,$T93,1),0)&gt;0,IFERROR(SEARCH(DruidLand4,$T93,1),0)&gt;0),1,0)*IF($C93=1,1,0)*IF($C93=DP$2,1,0)=0,0,1+COUNTIF(DP$3:DP92,"&gt;0"))</f>
        <v>0</v>
      </c>
      <c r="DQ93">
        <f>IF(IF(OR(IFERROR(SEARCH("Druid",$T93,1),0)&gt;0,IFERROR(SEARCH(DruidLand1,$T93,1),0)&gt;0,IFERROR(SEARCH(DruidLand2,$T93,1),0)&gt;0,IFERROR(SEARCH(DruidLand3,$T93,1),0)&gt;0,IFERROR(SEARCH(DruidLand4,$T93,1),0)&gt;0),1,0)*IF($C93=1,1,0)*IF($C93=DQ$2,1,0)=0,0,1+COUNTIF(DQ$3:DQ92,"&gt;0"))</f>
        <v>0</v>
      </c>
      <c r="DR93">
        <f>IF(IF(OR(IFERROR(SEARCH("Druid",$T93,1),0)&gt;0,IFERROR(SEARCH(DruidLand1,$T93,1),0)&gt;0,IFERROR(SEARCH(DruidLand2,$T93,1),0)&gt;0,IFERROR(SEARCH(DruidLand3,$T93,1),0)&gt;0,IFERROR(SEARCH(DruidLand4,$T93,1),0)&gt;0),1,0)*IF($C93=1,1,0)*IF($C93=DR$2,1,0)=0,0,1+COUNTIF(DR$3:DR92,"&gt;0"))</f>
        <v>0</v>
      </c>
      <c r="DS93">
        <f>IF(IF(OR(IFERROR(SEARCH("Paladin",$T93,1),0)&gt;0,IFERROR(SEARCH(PaladinOath,$T93,1),0)&gt;0),1,0)*IF($C93=DS$2,1,0)=1,1+COUNTIF(DS$3:DS92,"&gt;0"),0)</f>
        <v>0</v>
      </c>
      <c r="DT93">
        <f>IF(IF(OR(IFERROR(SEARCH("Paladin",$T93,1),0)&gt;0,IFERROR(SEARCH(PaladinOath,$T93,1),0)&gt;0),1,0)*IF($C93=DT$2,1,0)=1,1+COUNTIF(DT$3:DT92,"&gt;0"),0)</f>
        <v>0</v>
      </c>
      <c r="DU93">
        <f>IF(IF(OR(IFERROR(SEARCH("Paladin",$T93,1),0)&gt;0,IFERROR(SEARCH(PaladinOath,$T93,1),0)&gt;0),1,0)*IF($C93=DU$2,1,0)=1,1+COUNTIF(DU$3:DU92,"&gt;0"),0)</f>
        <v>0</v>
      </c>
      <c r="DV93">
        <f>IF(IF(OR(IFERROR(SEARCH("Paladin",$T93,1),0)&gt;0,IFERROR(SEARCH(PaladinOath,$T93,1),0)&gt;0),1,0)*IF($C93=DV$2,1,0)=1,1+COUNTIF(DV$3:DV92,"&gt;0"),0)</f>
        <v>0</v>
      </c>
      <c r="DW93">
        <f>IF(IF(OR(IFERROR(SEARCH("Paladin",$T93,1),0)&gt;0,IFERROR(SEARCH(PaladinOath,$T93,1),0)&gt;0),1,0)*IF($C93=DW$2,1,0)=1,1+COUNTIF(DW$3:DW92,"&gt;0"),0)</f>
        <v>0</v>
      </c>
      <c r="DY93">
        <f t="shared" si="56"/>
        <v>1</v>
      </c>
      <c r="DZ93">
        <f>IF(DY93=0,0,1+MAX(DZ$3:$DZ92))</f>
        <v>91</v>
      </c>
      <c r="EB93">
        <f t="shared" si="70"/>
        <v>0</v>
      </c>
      <c r="EC93">
        <f>IF(EB93=0,0,1+COUNTIF(EC$3:EC92,"&gt;0"))</f>
        <v>0</v>
      </c>
      <c r="ED93" t="str">
        <f t="shared" si="98"/>
        <v/>
      </c>
      <c r="EE93" t="str">
        <f t="shared" si="71"/>
        <v/>
      </c>
      <c r="EG93">
        <f t="shared" si="72"/>
        <v>0</v>
      </c>
      <c r="EH93">
        <f>IF(EG93=0,0,1+COUNTIF(EH$3:EH92,"&gt;0"))</f>
        <v>0</v>
      </c>
      <c r="EI93" t="str">
        <f t="shared" si="99"/>
        <v/>
      </c>
      <c r="EJ93" t="str">
        <f t="shared" si="73"/>
        <v/>
      </c>
      <c r="EL93">
        <f t="shared" si="74"/>
        <v>0</v>
      </c>
      <c r="EM93">
        <f>IF(EL93=0,0,1+COUNTIF(EM$3:EM92,"&gt;0"))</f>
        <v>0</v>
      </c>
      <c r="EN93" t="str">
        <f t="shared" si="100"/>
        <v/>
      </c>
      <c r="EO93" t="str">
        <f t="shared" si="75"/>
        <v/>
      </c>
      <c r="EQ93">
        <f t="shared" si="76"/>
        <v>0</v>
      </c>
      <c r="ER93">
        <f>IF(EQ93=0,0,1+COUNTIF(ER$3:ER92,"&gt;0"))</f>
        <v>0</v>
      </c>
      <c r="ES93" t="str">
        <f t="shared" si="101"/>
        <v/>
      </c>
      <c r="ET93" t="str">
        <f t="shared" si="77"/>
        <v/>
      </c>
      <c r="EV93">
        <f t="shared" si="78"/>
        <v>0</v>
      </c>
      <c r="EW93">
        <f>IF(EV93=0,0,1+COUNTIF(EW$3:EW92,"&gt;0"))</f>
        <v>0</v>
      </c>
      <c r="EX93" t="str">
        <f t="shared" si="102"/>
        <v/>
      </c>
      <c r="EY93" t="str">
        <f t="shared" si="79"/>
        <v/>
      </c>
      <c r="FA93">
        <f t="shared" si="80"/>
        <v>0</v>
      </c>
      <c r="FB93">
        <f>IF(FA93=0,0,1+COUNTIF(FB$3:FB92,"&gt;0"))</f>
        <v>0</v>
      </c>
      <c r="FC93" t="str">
        <f t="shared" si="103"/>
        <v/>
      </c>
      <c r="FD93" t="str">
        <f t="shared" si="81"/>
        <v/>
      </c>
      <c r="FF93">
        <f t="shared" si="82"/>
        <v>0</v>
      </c>
      <c r="FG93">
        <f>IF(FF93=0,0,1+COUNTIF(FG$3:FG92,"&gt;0"))</f>
        <v>0</v>
      </c>
      <c r="FH93" t="str">
        <f t="shared" si="104"/>
        <v/>
      </c>
      <c r="FI93" t="str">
        <f t="shared" si="83"/>
        <v/>
      </c>
      <c r="FK93">
        <f t="shared" si="84"/>
        <v>0</v>
      </c>
      <c r="FL93">
        <f>IF(FK93=0,0,1+COUNTIF(FL$3:FL92,"&gt;0"))</f>
        <v>0</v>
      </c>
      <c r="FM93" t="str">
        <f t="shared" si="105"/>
        <v/>
      </c>
      <c r="FN93" t="str">
        <f t="shared" si="85"/>
        <v/>
      </c>
      <c r="FP93">
        <f t="shared" si="86"/>
        <v>0</v>
      </c>
      <c r="FQ93">
        <f>IF(FP93=0,0,1+COUNTIF(FQ$3:FQ92,"&gt;0"))</f>
        <v>0</v>
      </c>
      <c r="FR93" t="str">
        <f t="shared" si="106"/>
        <v/>
      </c>
      <c r="FS93" t="str">
        <f t="shared" si="87"/>
        <v/>
      </c>
    </row>
    <row r="94" spans="1:175" x14ac:dyDescent="0.25">
      <c r="A94" s="347">
        <f t="shared" si="107"/>
        <v>92</v>
      </c>
      <c r="B94" s="348" t="s">
        <v>2460</v>
      </c>
      <c r="C94" s="348">
        <v>8</v>
      </c>
      <c r="D94" s="347">
        <v>8</v>
      </c>
      <c r="E94" s="627" t="s">
        <v>6952</v>
      </c>
      <c r="F94" s="346"/>
      <c r="G94" s="347" t="str">
        <f>""</f>
        <v/>
      </c>
      <c r="H94" s="347" t="s">
        <v>5912</v>
      </c>
      <c r="I94" s="347" t="s">
        <v>424</v>
      </c>
      <c r="J94" s="347" t="str">
        <f t="shared" si="57"/>
        <v/>
      </c>
      <c r="K94" s="347" t="s">
        <v>5293</v>
      </c>
      <c r="L94" s="611" t="str">
        <f t="shared" si="58"/>
        <v>S</v>
      </c>
      <c r="M94" s="347" t="s">
        <v>3034</v>
      </c>
      <c r="N94" s="347" t="s">
        <v>2387</v>
      </c>
      <c r="O94" s="347" t="s">
        <v>3034</v>
      </c>
      <c r="P94" s="346" t="str">
        <f>""</f>
        <v/>
      </c>
      <c r="Q94" s="347" t="s">
        <v>5271</v>
      </c>
      <c r="S94" s="346" t="s">
        <v>5655</v>
      </c>
      <c r="T94" s="346" t="str">
        <f t="shared" si="59"/>
        <v xml:space="preserve">Warlock, Wizard, </v>
      </c>
      <c r="Y94" s="347" t="str">
        <f>$B94</f>
        <v>Demiplane</v>
      </c>
      <c r="AD94" s="347" t="str">
        <f>$B94</f>
        <v>Demiplane</v>
      </c>
      <c r="AE94" t="str">
        <f>IF(IFERROR(MATCH($B94,temp!A$4:A$13,0),0)&gt;0,T08_Spells!AE$2,"")</f>
        <v/>
      </c>
      <c r="AF94" t="str">
        <f>IF(IFERROR(MATCH($B94,temp!B$4:B$13,0),0)&gt;0,T08_Spells!AF$2,"")</f>
        <v/>
      </c>
      <c r="AG94" t="str">
        <f>IF(IFERROR(MATCH($B94,temp!C$4:C$13,0),0)&gt;0,T08_Spells!AG$2,"")</f>
        <v/>
      </c>
      <c r="AH94" t="str">
        <f>IF(IFERROR(MATCH($B94,temp!D$4:D$13,0),0)&gt;0,T08_Spells!AH$2,"")</f>
        <v/>
      </c>
      <c r="AI94" t="str">
        <f>IF(IFERROR(MATCH($B94,temp!E$4:E$13,0),0)&gt;0,T08_Spells!AI$2,"")</f>
        <v/>
      </c>
      <c r="AJ94" t="str">
        <f>IF(IFERROR(MATCH($B94,temp!F$4:F$13,0),0)&gt;0,T08_Spells!AJ$2,"")</f>
        <v/>
      </c>
      <c r="AK94" t="str">
        <f>IF(IFERROR(MATCH($B94,temp!G$4:G$13,0),0)&gt;0,T08_Spells!AK$2,"")</f>
        <v/>
      </c>
      <c r="AL94" t="str">
        <f>IF(IFERROR(MATCH($B94,temp!H$4:H$13,0),0)&gt;0,T08_Spells!AL$2,"")</f>
        <v/>
      </c>
      <c r="AM94" t="str">
        <f>IF(IFERROR(MATCH($B94,temp!I$4:I$13,0),0)&gt;0,T08_Spells!AM$2,"")</f>
        <v/>
      </c>
      <c r="AN94" t="str">
        <f>IF(IFERROR(MATCH($B94,temp!J$4:J$13,0),0)&gt;0,T08_Spells!AN$2,"")</f>
        <v/>
      </c>
      <c r="AO94" t="str">
        <f>IF(IFERROR(MATCH($B94,temp!K$4:K$13,0),0)&gt;0,T08_Spells!AO$2,"")</f>
        <v/>
      </c>
      <c r="AP94" t="str">
        <f>IF(IFERROR(MATCH($B94,temp!L$4:L$13,0),0)&gt;0,T08_Spells!AP$2,"")</f>
        <v/>
      </c>
      <c r="AQ94" t="str">
        <f>IF(IFERROR(MATCH($B94,temp!M$4:M$13,0),0)&gt;0,T08_Spells!AQ$2,"")</f>
        <v/>
      </c>
      <c r="AR94" t="str">
        <f>IF(IFERROR(MATCH($B94,temp!N$4:N$13,0),0)&gt;0,T08_Spells!AR$2,"")</f>
        <v/>
      </c>
      <c r="AS94" t="str">
        <f>IF(IFERROR(MATCH($B94,temp!O$4:O$13,0),0)&gt;0,T08_Spells!AS$2,"")</f>
        <v/>
      </c>
      <c r="AT94" t="str">
        <f>IF(IFERROR(MATCH($B94,temp!P$4:P$13,0),0)&gt;0,T08_Spells!AT$2,"")</f>
        <v/>
      </c>
      <c r="AU94" t="str">
        <f>IF(IFERROR(MATCH($B94,temp!Q$4:Q$13,0),0)&gt;0,T08_Spells!AU$2,"")</f>
        <v/>
      </c>
      <c r="AV94" t="str">
        <f>IF(IFERROR(MATCH($B94,temp!R$4:R$13,0),0)&gt;0,T08_Spells!AV$2,"")</f>
        <v/>
      </c>
      <c r="AW94" t="str">
        <f>IF(IFERROR(MATCH($B94,temp!S$4:S$13,0),0)&gt;0,T08_Spells!AW$2,"")</f>
        <v/>
      </c>
      <c r="AX94" t="str">
        <f>IF(IFERROR(MATCH($B94,temp!T$4:T$13,0),0)&gt;0,T08_Spells!AX$2,"")</f>
        <v/>
      </c>
      <c r="AY94" t="str">
        <f>IF(IFERROR(MATCH($B94,temp!U$4:U$13,0),0)&gt;0,T08_Spells!AY$2,"")</f>
        <v/>
      </c>
      <c r="AZ94" t="str">
        <f>IF(IFERROR(MATCH($B94,temp!V$4:V$13,0),0)&gt;0,T08_Spells!AZ$2,"")</f>
        <v/>
      </c>
      <c r="BA94" t="str">
        <f>IF(IFERROR(MATCH($B94,temp!W$4:W$13,0),0)&gt;0,T08_Spells!BA$2,"")</f>
        <v/>
      </c>
      <c r="BC94">
        <f>IF(IFERROR(SEARCH("Ranger",$T94,1),0)&gt;0,1,0)*IF(RangerMaxSpellLevel&gt;=$C94,1,0)*IF(IFERROR(MATCH(B94,Character_Creation!$X$79:$X$382,0),0)&gt;0,0,1)</f>
        <v>0</v>
      </c>
      <c r="BD94">
        <f>IF(BC94=0,0,1+COUNTIF(BD$3:BD93,"&gt;0"))</f>
        <v>0</v>
      </c>
      <c r="BE94" t="str">
        <f t="shared" si="88"/>
        <v/>
      </c>
      <c r="BF94" t="str">
        <f t="shared" si="60"/>
        <v/>
      </c>
      <c r="BH94">
        <f>IF(IFERROR(SEARCH("Sorcerer",$T94,1),0)&gt;0,1,0)*IF(SorcererMaxSpellLevel&gt;=$C94,1,0)*IF(IFERROR(MATCH(B94,Character_Creation!$J$380:$J$394,0),0)&gt;0,0,1)</f>
        <v>0</v>
      </c>
      <c r="BI94">
        <f>IF(BH94=0,0,1+COUNTIF(BI$3:BI93,"&gt;0"))</f>
        <v>0</v>
      </c>
      <c r="BJ94" t="str">
        <f t="shared" si="89"/>
        <v/>
      </c>
      <c r="BK94" t="str">
        <f t="shared" si="61"/>
        <v/>
      </c>
      <c r="BM94">
        <f>IF(OR(IFERROR(SEARCH("Warlock",$T94,1),0)&gt;0,IFERROR(SEARCH(WarlockPatron,$T94,1),0)&gt;0),1,0)*IF(WarlockMaxSpellLevel&gt;=$C94,1,0)*IF(IFERROR(MATCH(B94,Character_Creation!$J$361:$J$375,0),0)&gt;0,0,1)</f>
        <v>0</v>
      </c>
      <c r="BN94">
        <f>IF(BM94=0,0,1+COUNTIF(BN$3:BN93,"&gt;0"))</f>
        <v>0</v>
      </c>
      <c r="BO94" t="str">
        <f t="shared" si="90"/>
        <v/>
      </c>
      <c r="BP94" t="str">
        <f t="shared" si="62"/>
        <v/>
      </c>
      <c r="BR94">
        <f>IF(IFERROR(SEARCH("Eldritch Knight",$T94,1),0)&gt;0,1,0)*IF(EldritchKnightMaxSpellLevel&gt;=$C94,1,0)*IF(IFERROR(MATCH($B94,Character_Creation!$J$350:$J$356,0),0)&gt;0,0,1)*IF(Character_Creation!$M$338&gt;0,1,0)</f>
        <v>0</v>
      </c>
      <c r="BS94">
        <f>IF(BR94=0,0,1+COUNTIF(BS$3:BS93,"&gt;0"))</f>
        <v>0</v>
      </c>
      <c r="BT94" t="str">
        <f t="shared" si="91"/>
        <v/>
      </c>
      <c r="BU94" t="str">
        <f t="shared" si="63"/>
        <v/>
      </c>
      <c r="BW94">
        <f>IF(IFERROR(SEARCH("Arcane Trickster",$T94,1),0)&gt;0,1,0)*IF(ArcaneTricksterMaxSpellLevel&gt;=$C94,1,0)*IF(IFERROR(MATCH($B94,Character_Creation!$J$350:$J$356,0),0)&gt;0,0,1)*IF(Character_Creation!$T$338&gt;0,1,0)</f>
        <v>0</v>
      </c>
      <c r="BX94">
        <f>IF(BW94=0,0,1+COUNTIF(BX$3:BX93,"&gt;0"))</f>
        <v>0</v>
      </c>
      <c r="BY94" t="str">
        <f t="shared" si="92"/>
        <v/>
      </c>
      <c r="BZ94" t="str">
        <f t="shared" si="64"/>
        <v/>
      </c>
      <c r="CB94">
        <f>IF(IFERROR(SEARCH("Wizard",$T94,1),0)&gt;0,1,0)*IF(C94&lt;=ArcaneTricksterMaxSpellLevel,1,0)*IF(IFERROR(MATCH($B94,Character_Creation!$J$350:$J$356,0),0)&gt;0,0,1)*IF(Character_Creation!$T$350&gt;0,1,0)</f>
        <v>0</v>
      </c>
      <c r="CC94">
        <f>IF(CB94=0,0,1+COUNTIF(CC$3:CC93,"&gt;0"))</f>
        <v>0</v>
      </c>
      <c r="CD94" t="str">
        <f t="shared" si="93"/>
        <v/>
      </c>
      <c r="CE94" t="str">
        <f t="shared" si="65"/>
        <v/>
      </c>
      <c r="CG94">
        <f>IF(IFERROR(SEARCH("Wizard",$T94,1),0)&gt;0,1,0)*IF($C94&lt;=EldritchKnightMaxSpellLevel,1,0)*IF(IFERROR(MATCH($B94,Character_Creation!$J$350:$J$356,0),0)&gt;0,0,1)*IF(Character_Creation!$M$350&gt;0,1,0)</f>
        <v>0</v>
      </c>
      <c r="CH94">
        <f>IF(CG94=0,0,1+COUNTIF(CH$3:CH93,"&gt;0"))</f>
        <v>0</v>
      </c>
      <c r="CI94" t="str">
        <f t="shared" si="94"/>
        <v/>
      </c>
      <c r="CJ94" t="str">
        <f t="shared" si="66"/>
        <v/>
      </c>
      <c r="CL94">
        <f>IF(IFERROR(SEARCH("Bard",$T94,1),0)&gt;0,1,0)*IF(BardMaxSpellLevel&gt;=$C94,1,0)*IF(IFERROR(MATCH(B94,Character_Creation!$C$341:$F$362,0),0)&gt;0,0,1)*IF(IFERROR(MATCH($B94,Character_Creation!$C$341:$C$362,0),0)&gt;0,0,1)</f>
        <v>0</v>
      </c>
      <c r="CM94">
        <f>IF(CL94=0,0,1+COUNTIF(CM$3:CM93,"&gt;0"))</f>
        <v>0</v>
      </c>
      <c r="CN94" t="str">
        <f t="shared" si="95"/>
        <v/>
      </c>
      <c r="CO94" t="str">
        <f t="shared" si="67"/>
        <v/>
      </c>
      <c r="CQ94">
        <f>IF(IFERROR(SEARCH("Wizard",$T94,1),0)&gt;0,1,0)*IF(WizardMaxSpellLevel&gt;=$C94,1,0)*IF(IFERROR(MATCH(B94,Character_Creation!$X$341:$X$400,0),0)&gt;0,0,1)*IF(SelectedWizardSpellLevel=$C94,1,0)</f>
        <v>0</v>
      </c>
      <c r="CR94">
        <f>IF(CQ94=0,0,1+COUNTIF(CR$3:CR93,"&gt;0"))</f>
        <v>0</v>
      </c>
      <c r="CS94" t="str">
        <f t="shared" si="96"/>
        <v/>
      </c>
      <c r="CT94" t="str">
        <f t="shared" si="68"/>
        <v/>
      </c>
      <c r="CV94">
        <f>IF(IFERROR(MATCH($B94,Character_Creation!$C$341:$C$362,0),0)&gt;0,0,1)*IF(OR(C94="Cantrip",C94&lt;=BardMaxSpellLevel),1,0)*IF(IFERROR(MATCH($B94,Character_Creation!$C$367:$C$374,0),0)&gt;0,0,1)</f>
        <v>0</v>
      </c>
      <c r="CW94">
        <f>IF(CV94=0,0,1+COUNTIF(CW$3:CW93,"&gt;0"))</f>
        <v>0</v>
      </c>
      <c r="CX94" t="str">
        <f t="shared" si="97"/>
        <v/>
      </c>
      <c r="CY94" t="str">
        <f t="shared" si="69"/>
        <v/>
      </c>
      <c r="DA94">
        <f>IF(IF(OR(IFERROR(SEARCH("Cleric",$T94,1),0)&gt;0,IFERROR(SEARCH(DivineDomain&amp;",",$T94,1),0)&gt;0),1,0)*IF($C94=DA$2,1,0)=1,1+COUNTIF(DA$3:DA93,"&gt;0"),0)</f>
        <v>0</v>
      </c>
      <c r="DB94">
        <f>IF(IF(OR(IFERROR(SEARCH("Cleric",$T94,1),0)&gt;0,IFERROR(SEARCH(DivineDomain&amp;",",$T94,1),0)&gt;0),1,0)*IF($C94=DB$2,1,0)=1,1+COUNTIF(DB$3:DB93,"&gt;0"),0)</f>
        <v>0</v>
      </c>
      <c r="DC94">
        <f>IF(IF(OR(IFERROR(SEARCH("Cleric",$T94,1),0)&gt;0,IFERROR(SEARCH(DivineDomain&amp;",",$T94,1),0)&gt;0),1,0)*IF($C94=DC$2,1,0)=1,1+COUNTIF(DC$3:DC93,"&gt;0"),0)</f>
        <v>0</v>
      </c>
      <c r="DD94">
        <f>IF(IF(OR(IFERROR(SEARCH("Cleric",$T94,1),0)&gt;0,IFERROR(SEARCH(DivineDomain&amp;",",$T94,1),0)&gt;0),1,0)*IF($C94=DD$2,1,0)=1,1+COUNTIF(DD$3:DD93,"&gt;0"),0)</f>
        <v>0</v>
      </c>
      <c r="DE94">
        <f>IF(IF(OR(IFERROR(SEARCH("Cleric",$T94,1),0)&gt;0,IFERROR(SEARCH(DivineDomain&amp;",",$T94,1),0)&gt;0),1,0)*IF($C94=DE$2,1,0)=1,1+COUNTIF(DE$3:DE93,"&gt;0"),0)</f>
        <v>0</v>
      </c>
      <c r="DF94">
        <f>IF(IF(OR(IFERROR(SEARCH("Cleric",$T94,1),0)&gt;0,IFERROR(SEARCH(DivineDomain&amp;",",$T94,1),0)&gt;0),1,0)*IF($C94=DF$2,1,0)=1,1+COUNTIF(DF$3:DF93,"&gt;0"),0)</f>
        <v>0</v>
      </c>
      <c r="DG94">
        <f>IF(IF(OR(IFERROR(SEARCH("Cleric",$T94,1),0)&gt;0,IFERROR(SEARCH(DivineDomain&amp;",",$T94,1),0)&gt;0),1,0)*IF($C94=DG$2,1,0)=1,1+COUNTIF(DG$3:DG93,"&gt;0"),0)</f>
        <v>0</v>
      </c>
      <c r="DH94">
        <f>IF(IF(OR(IFERROR(SEARCH("Cleric",$T94,1),0)&gt;0,IFERROR(SEARCH(DivineDomain&amp;",",$T94,1),0)&gt;0),1,0)*IF($C94=DH$2,1,0)=1,1+COUNTIF(DH$3:DH93,"&gt;0"),0)</f>
        <v>0</v>
      </c>
      <c r="DI94">
        <f>IF(IF(OR(IFERROR(SEARCH("Cleric",$T94,1),0)&gt;0,IFERROR(SEARCH(DivineDomain&amp;",",$T94,1),0)&gt;0),1,0)*IF($C94=DI$2,1,0)=1,1+COUNTIF(DI$3:DI93,"&gt;0"),0)</f>
        <v>0</v>
      </c>
      <c r="DJ94">
        <f>IF(IF(OR(IFERROR(SEARCH("Druid",$T94,1),0)&gt;0,IFERROR(SEARCH(DruidLand1,$T94,1),0)&gt;0,IFERROR(SEARCH(DruidLand2,$T94,1),0)&gt;0,IFERROR(SEARCH(DruidLand3,$T94,1),0)&gt;0,IFERROR(SEARCH(DruidLand4,$T94,1),0)&gt;0),1,0)*IF($C94=1,1,0)*IF($C94=DJ$2,1,0)=0,0,1+COUNTIF(DJ$3:DJ93,"&gt;0"))</f>
        <v>0</v>
      </c>
      <c r="DK94">
        <f>IF(IF(OR(IFERROR(SEARCH("Druid",$T94,1),0)&gt;0,IFERROR(SEARCH(DruidLand1,$T94,1),0)&gt;0,IFERROR(SEARCH(DruidLand2,$T94,1),0)&gt;0,IFERROR(SEARCH(DruidLand3,$T94,1),0)&gt;0,IFERROR(SEARCH(DruidLand4,$T94,1),0)&gt;0),1,0)*IF($C94=1,1,0)*IF($C94=DK$2,1,0)=0,0,1+COUNTIF(DK$3:DK93,"&gt;0"))</f>
        <v>0</v>
      </c>
      <c r="DL94">
        <f>IF(IF(OR(IFERROR(SEARCH("Druid",$T94,1),0)&gt;0,IFERROR(SEARCH(DruidLand1,$T94,1),0)&gt;0,IFERROR(SEARCH(DruidLand2,$T94,1),0)&gt;0,IFERROR(SEARCH(DruidLand3,$T94,1),0)&gt;0,IFERROR(SEARCH(DruidLand4,$T94,1),0)&gt;0),1,0)*IF($C94=1,1,0)*IF($C94=DL$2,1,0)=0,0,1+COUNTIF(DL$3:DL93,"&gt;0"))</f>
        <v>0</v>
      </c>
      <c r="DM94">
        <f>IF(IF(OR(IFERROR(SEARCH("Druid",$T94,1),0)&gt;0,IFERROR(SEARCH(DruidLand1,$T94,1),0)&gt;0,IFERROR(SEARCH(DruidLand2,$T94,1),0)&gt;0,IFERROR(SEARCH(DruidLand3,$T94,1),0)&gt;0,IFERROR(SEARCH(DruidLand4,$T94,1),0)&gt;0),1,0)*IF($C94=1,1,0)*IF($C94=DM$2,1,0)=0,0,1+COUNTIF(DM$3:DM93,"&gt;0"))</f>
        <v>0</v>
      </c>
      <c r="DN94">
        <f>IF(IF(OR(IFERROR(SEARCH("Druid",$T94,1),0)&gt;0,IFERROR(SEARCH(DruidLand1,$T94,1),0)&gt;0,IFERROR(SEARCH(DruidLand2,$T94,1),0)&gt;0,IFERROR(SEARCH(DruidLand3,$T94,1),0)&gt;0,IFERROR(SEARCH(DruidLand4,$T94,1),0)&gt;0),1,0)*IF($C94=1,1,0)*IF($C94=DN$2,1,0)=0,0,1+COUNTIF(DN$3:DN93,"&gt;0"))</f>
        <v>0</v>
      </c>
      <c r="DO94">
        <f>IF(IF(OR(IFERROR(SEARCH("Druid",$T94,1),0)&gt;0,IFERROR(SEARCH(DruidLand1,$T94,1),0)&gt;0,IFERROR(SEARCH(DruidLand2,$T94,1),0)&gt;0,IFERROR(SEARCH(DruidLand3,$T94,1),0)&gt;0,IFERROR(SEARCH(DruidLand4,$T94,1),0)&gt;0),1,0)*IF($C94=1,1,0)*IF($C94=DO$2,1,0)=0,0,1+COUNTIF(DO$3:DO93,"&gt;0"))</f>
        <v>0</v>
      </c>
      <c r="DP94">
        <f>IF(IF(OR(IFERROR(SEARCH("Druid",$T94,1),0)&gt;0,IFERROR(SEARCH(DruidLand1,$T94,1),0)&gt;0,IFERROR(SEARCH(DruidLand2,$T94,1),0)&gt;0,IFERROR(SEARCH(DruidLand3,$T94,1),0)&gt;0,IFERROR(SEARCH(DruidLand4,$T94,1),0)&gt;0),1,0)*IF($C94=1,1,0)*IF($C94=DP$2,1,0)=0,0,1+COUNTIF(DP$3:DP93,"&gt;0"))</f>
        <v>0</v>
      </c>
      <c r="DQ94">
        <f>IF(IF(OR(IFERROR(SEARCH("Druid",$T94,1),0)&gt;0,IFERROR(SEARCH(DruidLand1,$T94,1),0)&gt;0,IFERROR(SEARCH(DruidLand2,$T94,1),0)&gt;0,IFERROR(SEARCH(DruidLand3,$T94,1),0)&gt;0,IFERROR(SEARCH(DruidLand4,$T94,1),0)&gt;0),1,0)*IF($C94=1,1,0)*IF($C94=DQ$2,1,0)=0,0,1+COUNTIF(DQ$3:DQ93,"&gt;0"))</f>
        <v>0</v>
      </c>
      <c r="DR94">
        <f>IF(IF(OR(IFERROR(SEARCH("Druid",$T94,1),0)&gt;0,IFERROR(SEARCH(DruidLand1,$T94,1),0)&gt;0,IFERROR(SEARCH(DruidLand2,$T94,1),0)&gt;0,IFERROR(SEARCH(DruidLand3,$T94,1),0)&gt;0,IFERROR(SEARCH(DruidLand4,$T94,1),0)&gt;0),1,0)*IF($C94=1,1,0)*IF($C94=DR$2,1,0)=0,0,1+COUNTIF(DR$3:DR93,"&gt;0"))</f>
        <v>0</v>
      </c>
      <c r="DS94">
        <f>IF(IF(OR(IFERROR(SEARCH("Paladin",$T94,1),0)&gt;0,IFERROR(SEARCH(PaladinOath,$T94,1),0)&gt;0),1,0)*IF($C94=DS$2,1,0)=1,1+COUNTIF(DS$3:DS93,"&gt;0"),0)</f>
        <v>0</v>
      </c>
      <c r="DT94">
        <f>IF(IF(OR(IFERROR(SEARCH("Paladin",$T94,1),0)&gt;0,IFERROR(SEARCH(PaladinOath,$T94,1),0)&gt;0),1,0)*IF($C94=DT$2,1,0)=1,1+COUNTIF(DT$3:DT93,"&gt;0"),0)</f>
        <v>0</v>
      </c>
      <c r="DU94">
        <f>IF(IF(OR(IFERROR(SEARCH("Paladin",$T94,1),0)&gt;0,IFERROR(SEARCH(PaladinOath,$T94,1),0)&gt;0),1,0)*IF($C94=DU$2,1,0)=1,1+COUNTIF(DU$3:DU93,"&gt;0"),0)</f>
        <v>0</v>
      </c>
      <c r="DV94">
        <f>IF(IF(OR(IFERROR(SEARCH("Paladin",$T94,1),0)&gt;0,IFERROR(SEARCH(PaladinOath,$T94,1),0)&gt;0),1,0)*IF($C94=DV$2,1,0)=1,1+COUNTIF(DV$3:DV93,"&gt;0"),0)</f>
        <v>0</v>
      </c>
      <c r="DW94">
        <f>IF(IF(OR(IFERROR(SEARCH("Paladin",$T94,1),0)&gt;0,IFERROR(SEARCH(PaladinOath,$T94,1),0)&gt;0),1,0)*IF($C94=DW$2,1,0)=1,1+COUNTIF(DW$3:DW93,"&gt;0"),0)</f>
        <v>0</v>
      </c>
      <c r="DY94">
        <f t="shared" si="56"/>
        <v>1</v>
      </c>
      <c r="DZ94">
        <f>IF(DY94=0,0,1+MAX(DZ$3:$DZ93))</f>
        <v>92</v>
      </c>
      <c r="EB94">
        <f t="shared" si="70"/>
        <v>0</v>
      </c>
      <c r="EC94">
        <f>IF(EB94=0,0,1+COUNTIF(EC$3:EC93,"&gt;0"))</f>
        <v>0</v>
      </c>
      <c r="ED94" t="str">
        <f t="shared" si="98"/>
        <v/>
      </c>
      <c r="EE94" t="str">
        <f t="shared" si="71"/>
        <v/>
      </c>
      <c r="EG94">
        <f t="shared" si="72"/>
        <v>0</v>
      </c>
      <c r="EH94">
        <f>IF(EG94=0,0,1+COUNTIF(EH$3:EH93,"&gt;0"))</f>
        <v>0</v>
      </c>
      <c r="EI94" t="str">
        <f t="shared" si="99"/>
        <v/>
      </c>
      <c r="EJ94" t="str">
        <f t="shared" si="73"/>
        <v/>
      </c>
      <c r="EL94">
        <f t="shared" si="74"/>
        <v>0</v>
      </c>
      <c r="EM94">
        <f>IF(EL94=0,0,1+COUNTIF(EM$3:EM93,"&gt;0"))</f>
        <v>0</v>
      </c>
      <c r="EN94" t="str">
        <f t="shared" si="100"/>
        <v/>
      </c>
      <c r="EO94" t="str">
        <f t="shared" si="75"/>
        <v/>
      </c>
      <c r="EQ94">
        <f t="shared" si="76"/>
        <v>0</v>
      </c>
      <c r="ER94">
        <f>IF(EQ94=0,0,1+COUNTIF(ER$3:ER93,"&gt;0"))</f>
        <v>0</v>
      </c>
      <c r="ES94" t="str">
        <f t="shared" si="101"/>
        <v/>
      </c>
      <c r="ET94" t="str">
        <f t="shared" si="77"/>
        <v/>
      </c>
      <c r="EV94">
        <f t="shared" si="78"/>
        <v>0</v>
      </c>
      <c r="EW94">
        <f>IF(EV94=0,0,1+COUNTIF(EW$3:EW93,"&gt;0"))</f>
        <v>0</v>
      </c>
      <c r="EX94" t="str">
        <f t="shared" si="102"/>
        <v/>
      </c>
      <c r="EY94" t="str">
        <f t="shared" si="79"/>
        <v/>
      </c>
      <c r="FA94">
        <f t="shared" si="80"/>
        <v>0</v>
      </c>
      <c r="FB94">
        <f>IF(FA94=0,0,1+COUNTIF(FB$3:FB93,"&gt;0"))</f>
        <v>0</v>
      </c>
      <c r="FC94" t="str">
        <f t="shared" si="103"/>
        <v/>
      </c>
      <c r="FD94" t="str">
        <f t="shared" si="81"/>
        <v/>
      </c>
      <c r="FF94">
        <f t="shared" si="82"/>
        <v>0</v>
      </c>
      <c r="FG94">
        <f>IF(FF94=0,0,1+COUNTIF(FG$3:FG93,"&gt;0"))</f>
        <v>0</v>
      </c>
      <c r="FH94" t="str">
        <f t="shared" si="104"/>
        <v/>
      </c>
      <c r="FI94" t="str">
        <f t="shared" si="83"/>
        <v/>
      </c>
      <c r="FK94">
        <f t="shared" si="84"/>
        <v>0</v>
      </c>
      <c r="FL94">
        <f>IF(FK94=0,0,1+COUNTIF(FL$3:FL93,"&gt;0"))</f>
        <v>0</v>
      </c>
      <c r="FM94" t="str">
        <f t="shared" si="105"/>
        <v/>
      </c>
      <c r="FN94" t="str">
        <f t="shared" si="85"/>
        <v/>
      </c>
      <c r="FP94">
        <f t="shared" si="86"/>
        <v>0</v>
      </c>
      <c r="FQ94">
        <f>IF(FP94=0,0,1+COUNTIF(FQ$3:FQ93,"&gt;0"))</f>
        <v>0</v>
      </c>
      <c r="FR94" t="str">
        <f t="shared" si="106"/>
        <v/>
      </c>
      <c r="FS94" t="str">
        <f t="shared" si="87"/>
        <v/>
      </c>
    </row>
    <row r="95" spans="1:175" x14ac:dyDescent="0.25">
      <c r="A95" s="347">
        <f t="shared" si="107"/>
        <v>93</v>
      </c>
      <c r="B95" s="348" t="s">
        <v>2461</v>
      </c>
      <c r="C95" s="348">
        <v>5</v>
      </c>
      <c r="D95" s="347">
        <v>5</v>
      </c>
      <c r="E95" s="627" t="s">
        <v>6952</v>
      </c>
      <c r="F95" s="346"/>
      <c r="G95" s="347" t="str">
        <f>""</f>
        <v/>
      </c>
      <c r="H95" s="347" t="s">
        <v>5912</v>
      </c>
      <c r="I95" s="347" t="s">
        <v>5283</v>
      </c>
      <c r="J95" s="347" t="str">
        <f t="shared" si="57"/>
        <v/>
      </c>
      <c r="K95" s="347" t="s">
        <v>5278</v>
      </c>
      <c r="L95" s="611" t="str">
        <f t="shared" si="58"/>
        <v>V</v>
      </c>
      <c r="M95" s="347" t="s">
        <v>2373</v>
      </c>
      <c r="N95" s="347" t="s">
        <v>3034</v>
      </c>
      <c r="O95" s="347" t="s">
        <v>3034</v>
      </c>
      <c r="P95" s="346" t="str">
        <f>""</f>
        <v/>
      </c>
      <c r="Q95" s="347" t="s">
        <v>5273</v>
      </c>
      <c r="S95" s="346" t="s">
        <v>2462</v>
      </c>
      <c r="T95" s="346" t="str">
        <f t="shared" si="59"/>
        <v xml:space="preserve">Paladin, Tempest, </v>
      </c>
      <c r="V95" s="347" t="str">
        <f t="shared" ref="V95:X98" si="109">$B95</f>
        <v>Destructive Wave</v>
      </c>
      <c r="AE95" t="str">
        <f>IF(IFERROR(MATCH($B95,temp!A$4:A$13,0),0)&gt;0,T08_Spells!AE$2,"")</f>
        <v/>
      </c>
      <c r="AF95" t="str">
        <f>IF(IFERROR(MATCH($B95,temp!B$4:B$13,0),0)&gt;0,T08_Spells!AF$2,"")</f>
        <v/>
      </c>
      <c r="AG95" t="str">
        <f>IF(IFERROR(MATCH($B95,temp!C$4:C$13,0),0)&gt;0,T08_Spells!AG$2,"")</f>
        <v/>
      </c>
      <c r="AH95" t="str">
        <f>IF(IFERROR(MATCH($B95,temp!D$4:D$13,0),0)&gt;0,T08_Spells!AH$2,"")</f>
        <v/>
      </c>
      <c r="AI95" t="str">
        <f>IF(IFERROR(MATCH($B95,temp!E$4:E$13,0),0)&gt;0,T08_Spells!AI$2,"")</f>
        <v/>
      </c>
      <c r="AJ95" t="str">
        <f>IF(IFERROR(MATCH($B95,temp!F$4:F$13,0),0)&gt;0,T08_Spells!AJ$2,"")</f>
        <v/>
      </c>
      <c r="AK95" t="str">
        <f>IF(IFERROR(MATCH($B95,temp!G$4:G$13,0),0)&gt;0,T08_Spells!AK$2,"")</f>
        <v/>
      </c>
      <c r="AL95" t="str">
        <f>IF(IFERROR(MATCH($B95,temp!H$4:H$13,0),0)&gt;0,T08_Spells!AL$2,"")</f>
        <v/>
      </c>
      <c r="AM95" t="str">
        <f>IF(IFERROR(MATCH($B95,temp!I$4:I$13,0),0)&gt;0,T08_Spells!AM$2,"")</f>
        <v/>
      </c>
      <c r="AN95" t="str">
        <f>IF(IFERROR(MATCH($B95,temp!J$4:J$13,0),0)&gt;0,T08_Spells!AN$2,"")</f>
        <v/>
      </c>
      <c r="AO95" t="str">
        <f>IF(IFERROR(MATCH($B95,temp!K$4:K$13,0),0)&gt;0,T08_Spells!AO$2,"")</f>
        <v/>
      </c>
      <c r="AP95" t="str">
        <f>IF(IFERROR(MATCH($B95,temp!L$4:L$13,0),0)&gt;0,T08_Spells!AP$2,"")</f>
        <v/>
      </c>
      <c r="AQ95" t="str">
        <f>IF(IFERROR(MATCH($B95,temp!M$4:M$13,0),0)&gt;0,T08_Spells!AQ$2,"")</f>
        <v/>
      </c>
      <c r="AR95" t="str">
        <f>IF(IFERROR(MATCH($B95,temp!N$4:N$13,0),0)&gt;0,T08_Spells!AR$2,"")</f>
        <v/>
      </c>
      <c r="AS95" t="str">
        <f>IF(IFERROR(MATCH($B95,temp!O$4:O$13,0),0)&gt;0,T08_Spells!AS$2,"")</f>
        <v/>
      </c>
      <c r="AT95" t="str">
        <f>IF(IFERROR(MATCH($B95,temp!P$4:P$13,0),0)&gt;0,T08_Spells!AT$2,"")</f>
        <v/>
      </c>
      <c r="AU95" t="str">
        <f>IF(IFERROR(MATCH($B95,temp!Q$4:Q$13,0),0)&gt;0,T08_Spells!AU$2,"")</f>
        <v/>
      </c>
      <c r="AV95" t="str">
        <f>IF(IFERROR(MATCH($B95,temp!R$4:R$13,0),0)&gt;0,T08_Spells!AV$2,"")</f>
        <v/>
      </c>
      <c r="AW95" t="str">
        <f>IF(IFERROR(MATCH($B95,temp!S$4:S$13,0),0)&gt;0,T08_Spells!AW$2,"")</f>
        <v/>
      </c>
      <c r="AX95" t="str">
        <f>IF(IFERROR(MATCH($B95,temp!T$4:T$13,0),0)&gt;0,T08_Spells!AX$2,"")</f>
        <v>Tempest</v>
      </c>
      <c r="AY95" t="str">
        <f>IF(IFERROR(MATCH($B95,temp!U$4:U$13,0),0)&gt;0,T08_Spells!AY$2,"")</f>
        <v/>
      </c>
      <c r="AZ95" t="str">
        <f>IF(IFERROR(MATCH($B95,temp!V$4:V$13,0),0)&gt;0,T08_Spells!AZ$2,"")</f>
        <v/>
      </c>
      <c r="BA95" t="str">
        <f>IF(IFERROR(MATCH($B95,temp!W$4:W$13,0),0)&gt;0,T08_Spells!BA$2,"")</f>
        <v/>
      </c>
      <c r="BC95">
        <f>IF(IFERROR(SEARCH("Ranger",$T95,1),0)&gt;0,1,0)*IF(RangerMaxSpellLevel&gt;=$C95,1,0)*IF(IFERROR(MATCH(B95,Character_Creation!$X$79:$X$382,0),0)&gt;0,0,1)</f>
        <v>0</v>
      </c>
      <c r="BD95">
        <f>IF(BC95=0,0,1+COUNTIF(BD$3:BD94,"&gt;0"))</f>
        <v>0</v>
      </c>
      <c r="BE95" t="str">
        <f t="shared" si="88"/>
        <v/>
      </c>
      <c r="BF95" t="str">
        <f t="shared" si="60"/>
        <v/>
      </c>
      <c r="BH95">
        <f>IF(IFERROR(SEARCH("Sorcerer",$T95,1),0)&gt;0,1,0)*IF(SorcererMaxSpellLevel&gt;=$C95,1,0)*IF(IFERROR(MATCH(B95,Character_Creation!$J$380:$J$394,0),0)&gt;0,0,1)</f>
        <v>0</v>
      </c>
      <c r="BI95">
        <f>IF(BH95=0,0,1+COUNTIF(BI$3:BI94,"&gt;0"))</f>
        <v>0</v>
      </c>
      <c r="BJ95" t="str">
        <f t="shared" si="89"/>
        <v/>
      </c>
      <c r="BK95" t="str">
        <f t="shared" si="61"/>
        <v/>
      </c>
      <c r="BM95">
        <f>IF(OR(IFERROR(SEARCH("Warlock",$T95,1),0)&gt;0,IFERROR(SEARCH(WarlockPatron,$T95,1),0)&gt;0),1,0)*IF(WarlockMaxSpellLevel&gt;=$C95,1,0)*IF(IFERROR(MATCH(B95,Character_Creation!$J$361:$J$375,0),0)&gt;0,0,1)</f>
        <v>0</v>
      </c>
      <c r="BN95">
        <f>IF(BM95=0,0,1+COUNTIF(BN$3:BN94,"&gt;0"))</f>
        <v>0</v>
      </c>
      <c r="BO95" t="str">
        <f t="shared" si="90"/>
        <v/>
      </c>
      <c r="BP95" t="str">
        <f t="shared" si="62"/>
        <v/>
      </c>
      <c r="BR95">
        <f>IF(IFERROR(SEARCH("Eldritch Knight",$T95,1),0)&gt;0,1,0)*IF(EldritchKnightMaxSpellLevel&gt;=$C95,1,0)*IF(IFERROR(MATCH($B95,Character_Creation!$J$350:$J$356,0),0)&gt;0,0,1)*IF(Character_Creation!$M$338&gt;0,1,0)</f>
        <v>0</v>
      </c>
      <c r="BS95">
        <f>IF(BR95=0,0,1+COUNTIF(BS$3:BS94,"&gt;0"))</f>
        <v>0</v>
      </c>
      <c r="BT95" t="str">
        <f t="shared" si="91"/>
        <v/>
      </c>
      <c r="BU95" t="str">
        <f t="shared" si="63"/>
        <v/>
      </c>
      <c r="BW95">
        <f>IF(IFERROR(SEARCH("Arcane Trickster",$T95,1),0)&gt;0,1,0)*IF(ArcaneTricksterMaxSpellLevel&gt;=$C95,1,0)*IF(IFERROR(MATCH($B95,Character_Creation!$J$350:$J$356,0),0)&gt;0,0,1)*IF(Character_Creation!$T$338&gt;0,1,0)</f>
        <v>0</v>
      </c>
      <c r="BX95">
        <f>IF(BW95=0,0,1+COUNTIF(BX$3:BX94,"&gt;0"))</f>
        <v>0</v>
      </c>
      <c r="BY95" t="str">
        <f t="shared" si="92"/>
        <v/>
      </c>
      <c r="BZ95" t="str">
        <f t="shared" si="64"/>
        <v/>
      </c>
      <c r="CB95">
        <f>IF(IFERROR(SEARCH("Wizard",$T95,1),0)&gt;0,1,0)*IF(C95&lt;=ArcaneTricksterMaxSpellLevel,1,0)*IF(IFERROR(MATCH($B95,Character_Creation!$J$350:$J$356,0),0)&gt;0,0,1)*IF(Character_Creation!$T$350&gt;0,1,0)</f>
        <v>0</v>
      </c>
      <c r="CC95">
        <f>IF(CB95=0,0,1+COUNTIF(CC$3:CC94,"&gt;0"))</f>
        <v>0</v>
      </c>
      <c r="CD95" t="str">
        <f t="shared" si="93"/>
        <v/>
      </c>
      <c r="CE95" t="str">
        <f t="shared" si="65"/>
        <v/>
      </c>
      <c r="CG95">
        <f>IF(IFERROR(SEARCH("Wizard",$T95,1),0)&gt;0,1,0)*IF($C95&lt;=EldritchKnightMaxSpellLevel,1,0)*IF(IFERROR(MATCH($B95,Character_Creation!$J$350:$J$356,0),0)&gt;0,0,1)*IF(Character_Creation!$M$350&gt;0,1,0)</f>
        <v>0</v>
      </c>
      <c r="CH95">
        <f>IF(CG95=0,0,1+COUNTIF(CH$3:CH94,"&gt;0"))</f>
        <v>0</v>
      </c>
      <c r="CI95" t="str">
        <f t="shared" si="94"/>
        <v/>
      </c>
      <c r="CJ95" t="str">
        <f t="shared" si="66"/>
        <v/>
      </c>
      <c r="CL95">
        <f>IF(IFERROR(SEARCH("Bard",$T95,1),0)&gt;0,1,0)*IF(BardMaxSpellLevel&gt;=$C95,1,0)*IF(IFERROR(MATCH(B95,Character_Creation!$C$341:$F$362,0),0)&gt;0,0,1)*IF(IFERROR(MATCH($B95,Character_Creation!$C$341:$C$362,0),0)&gt;0,0,1)</f>
        <v>0</v>
      </c>
      <c r="CM95">
        <f>IF(CL95=0,0,1+COUNTIF(CM$3:CM94,"&gt;0"))</f>
        <v>0</v>
      </c>
      <c r="CN95" t="str">
        <f t="shared" si="95"/>
        <v/>
      </c>
      <c r="CO95" t="str">
        <f t="shared" si="67"/>
        <v/>
      </c>
      <c r="CQ95">
        <f>IF(IFERROR(SEARCH("Wizard",$T95,1),0)&gt;0,1,0)*IF(WizardMaxSpellLevel&gt;=$C95,1,0)*IF(IFERROR(MATCH(B95,Character_Creation!$X$341:$X$400,0),0)&gt;0,0,1)*IF(SelectedWizardSpellLevel=$C95,1,0)</f>
        <v>0</v>
      </c>
      <c r="CR95">
        <f>IF(CQ95=0,0,1+COUNTIF(CR$3:CR94,"&gt;0"))</f>
        <v>0</v>
      </c>
      <c r="CS95" t="str">
        <f t="shared" si="96"/>
        <v/>
      </c>
      <c r="CT95" t="str">
        <f t="shared" si="68"/>
        <v/>
      </c>
      <c r="CV95">
        <f>IF(IFERROR(MATCH($B95,Character_Creation!$C$341:$C$362,0),0)&gt;0,0,1)*IF(OR(C95="Cantrip",C95&lt;=BardMaxSpellLevel),1,0)*IF(IFERROR(MATCH($B95,Character_Creation!$C$367:$C$374,0),0)&gt;0,0,1)</f>
        <v>0</v>
      </c>
      <c r="CW95">
        <f>IF(CV95=0,0,1+COUNTIF(CW$3:CW94,"&gt;0"))</f>
        <v>0</v>
      </c>
      <c r="CX95" t="str">
        <f t="shared" si="97"/>
        <v/>
      </c>
      <c r="CY95" t="str">
        <f t="shared" si="69"/>
        <v/>
      </c>
      <c r="DA95">
        <f>IF(IF(OR(IFERROR(SEARCH("Cleric",$T95,1),0)&gt;0,IFERROR(SEARCH(DivineDomain&amp;",",$T95,1),0)&gt;0),1,0)*IF($C95=DA$2,1,0)=1,1+COUNTIF(DA$3:DA94,"&gt;0"),0)</f>
        <v>0</v>
      </c>
      <c r="DB95">
        <f>IF(IF(OR(IFERROR(SEARCH("Cleric",$T95,1),0)&gt;0,IFERROR(SEARCH(DivineDomain&amp;",",$T95,1),0)&gt;0),1,0)*IF($C95=DB$2,1,0)=1,1+COUNTIF(DB$3:DB94,"&gt;0"),0)</f>
        <v>0</v>
      </c>
      <c r="DC95">
        <f>IF(IF(OR(IFERROR(SEARCH("Cleric",$T95,1),0)&gt;0,IFERROR(SEARCH(DivineDomain&amp;",",$T95,1),0)&gt;0),1,0)*IF($C95=DC$2,1,0)=1,1+COUNTIF(DC$3:DC94,"&gt;0"),0)</f>
        <v>0</v>
      </c>
      <c r="DD95">
        <f>IF(IF(OR(IFERROR(SEARCH("Cleric",$T95,1),0)&gt;0,IFERROR(SEARCH(DivineDomain&amp;",",$T95,1),0)&gt;0),1,0)*IF($C95=DD$2,1,0)=1,1+COUNTIF(DD$3:DD94,"&gt;0"),0)</f>
        <v>0</v>
      </c>
      <c r="DE95">
        <f>IF(IF(OR(IFERROR(SEARCH("Cleric",$T95,1),0)&gt;0,IFERROR(SEARCH(DivineDomain&amp;",",$T95,1),0)&gt;0),1,0)*IF($C95=DE$2,1,0)=1,1+COUNTIF(DE$3:DE94,"&gt;0"),0)</f>
        <v>0</v>
      </c>
      <c r="DF95">
        <f>IF(IF(OR(IFERROR(SEARCH("Cleric",$T95,1),0)&gt;0,IFERROR(SEARCH(DivineDomain&amp;",",$T95,1),0)&gt;0),1,0)*IF($C95=DF$2,1,0)=1,1+COUNTIF(DF$3:DF94,"&gt;0"),0)</f>
        <v>0</v>
      </c>
      <c r="DG95">
        <f>IF(IF(OR(IFERROR(SEARCH("Cleric",$T95,1),0)&gt;0,IFERROR(SEARCH(DivineDomain&amp;",",$T95,1),0)&gt;0),1,0)*IF($C95=DG$2,1,0)=1,1+COUNTIF(DG$3:DG94,"&gt;0"),0)</f>
        <v>0</v>
      </c>
      <c r="DH95">
        <f>IF(IF(OR(IFERROR(SEARCH("Cleric",$T95,1),0)&gt;0,IFERROR(SEARCH(DivineDomain&amp;",",$T95,1),0)&gt;0),1,0)*IF($C95=DH$2,1,0)=1,1+COUNTIF(DH$3:DH94,"&gt;0"),0)</f>
        <v>0</v>
      </c>
      <c r="DI95">
        <f>IF(IF(OR(IFERROR(SEARCH("Cleric",$T95,1),0)&gt;0,IFERROR(SEARCH(DivineDomain&amp;",",$T95,1),0)&gt;0),1,0)*IF($C95=DI$2,1,0)=1,1+COUNTIF(DI$3:DI94,"&gt;0"),0)</f>
        <v>0</v>
      </c>
      <c r="DJ95">
        <f>IF(IF(OR(IFERROR(SEARCH("Druid",$T95,1),0)&gt;0,IFERROR(SEARCH(DruidLand1,$T95,1),0)&gt;0,IFERROR(SEARCH(DruidLand2,$T95,1),0)&gt;0,IFERROR(SEARCH(DruidLand3,$T95,1),0)&gt;0,IFERROR(SEARCH(DruidLand4,$T95,1),0)&gt;0),1,0)*IF($C95=1,1,0)*IF($C95=DJ$2,1,0)=0,0,1+COUNTIF(DJ$3:DJ94,"&gt;0"))</f>
        <v>0</v>
      </c>
      <c r="DK95">
        <f>IF(IF(OR(IFERROR(SEARCH("Druid",$T95,1),0)&gt;0,IFERROR(SEARCH(DruidLand1,$T95,1),0)&gt;0,IFERROR(SEARCH(DruidLand2,$T95,1),0)&gt;0,IFERROR(SEARCH(DruidLand3,$T95,1),0)&gt;0,IFERROR(SEARCH(DruidLand4,$T95,1),0)&gt;0),1,0)*IF($C95=1,1,0)*IF($C95=DK$2,1,0)=0,0,1+COUNTIF(DK$3:DK94,"&gt;0"))</f>
        <v>0</v>
      </c>
      <c r="DL95">
        <f>IF(IF(OR(IFERROR(SEARCH("Druid",$T95,1),0)&gt;0,IFERROR(SEARCH(DruidLand1,$T95,1),0)&gt;0,IFERROR(SEARCH(DruidLand2,$T95,1),0)&gt;0,IFERROR(SEARCH(DruidLand3,$T95,1),0)&gt;0,IFERROR(SEARCH(DruidLand4,$T95,1),0)&gt;0),1,0)*IF($C95=1,1,0)*IF($C95=DL$2,1,0)=0,0,1+COUNTIF(DL$3:DL94,"&gt;0"))</f>
        <v>0</v>
      </c>
      <c r="DM95">
        <f>IF(IF(OR(IFERROR(SEARCH("Druid",$T95,1),0)&gt;0,IFERROR(SEARCH(DruidLand1,$T95,1),0)&gt;0,IFERROR(SEARCH(DruidLand2,$T95,1),0)&gt;0,IFERROR(SEARCH(DruidLand3,$T95,1),0)&gt;0,IFERROR(SEARCH(DruidLand4,$T95,1),0)&gt;0),1,0)*IF($C95=1,1,0)*IF($C95=DM$2,1,0)=0,0,1+COUNTIF(DM$3:DM94,"&gt;0"))</f>
        <v>0</v>
      </c>
      <c r="DN95">
        <f>IF(IF(OR(IFERROR(SEARCH("Druid",$T95,1),0)&gt;0,IFERROR(SEARCH(DruidLand1,$T95,1),0)&gt;0,IFERROR(SEARCH(DruidLand2,$T95,1),0)&gt;0,IFERROR(SEARCH(DruidLand3,$T95,1),0)&gt;0,IFERROR(SEARCH(DruidLand4,$T95,1),0)&gt;0),1,0)*IF($C95=1,1,0)*IF($C95=DN$2,1,0)=0,0,1+COUNTIF(DN$3:DN94,"&gt;0"))</f>
        <v>0</v>
      </c>
      <c r="DO95">
        <f>IF(IF(OR(IFERROR(SEARCH("Druid",$T95,1),0)&gt;0,IFERROR(SEARCH(DruidLand1,$T95,1),0)&gt;0,IFERROR(SEARCH(DruidLand2,$T95,1),0)&gt;0,IFERROR(SEARCH(DruidLand3,$T95,1),0)&gt;0,IFERROR(SEARCH(DruidLand4,$T95,1),0)&gt;0),1,0)*IF($C95=1,1,0)*IF($C95=DO$2,1,0)=0,0,1+COUNTIF(DO$3:DO94,"&gt;0"))</f>
        <v>0</v>
      </c>
      <c r="DP95">
        <f>IF(IF(OR(IFERROR(SEARCH("Druid",$T95,1),0)&gt;0,IFERROR(SEARCH(DruidLand1,$T95,1),0)&gt;0,IFERROR(SEARCH(DruidLand2,$T95,1),0)&gt;0,IFERROR(SEARCH(DruidLand3,$T95,1),0)&gt;0,IFERROR(SEARCH(DruidLand4,$T95,1),0)&gt;0),1,0)*IF($C95=1,1,0)*IF($C95=DP$2,1,0)=0,0,1+COUNTIF(DP$3:DP94,"&gt;0"))</f>
        <v>0</v>
      </c>
      <c r="DQ95">
        <f>IF(IF(OR(IFERROR(SEARCH("Druid",$T95,1),0)&gt;0,IFERROR(SEARCH(DruidLand1,$T95,1),0)&gt;0,IFERROR(SEARCH(DruidLand2,$T95,1),0)&gt;0,IFERROR(SEARCH(DruidLand3,$T95,1),0)&gt;0,IFERROR(SEARCH(DruidLand4,$T95,1),0)&gt;0),1,0)*IF($C95=1,1,0)*IF($C95=DQ$2,1,0)=0,0,1+COUNTIF(DQ$3:DQ94,"&gt;0"))</f>
        <v>0</v>
      </c>
      <c r="DR95">
        <f>IF(IF(OR(IFERROR(SEARCH("Druid",$T95,1),0)&gt;0,IFERROR(SEARCH(DruidLand1,$T95,1),0)&gt;0,IFERROR(SEARCH(DruidLand2,$T95,1),0)&gt;0,IFERROR(SEARCH(DruidLand3,$T95,1),0)&gt;0,IFERROR(SEARCH(DruidLand4,$T95,1),0)&gt;0),1,0)*IF($C95=1,1,0)*IF($C95=DR$2,1,0)=0,0,1+COUNTIF(DR$3:DR94,"&gt;0"))</f>
        <v>0</v>
      </c>
      <c r="DS95">
        <f>IF(IF(OR(IFERROR(SEARCH("Paladin",$T95,1),0)&gt;0,IFERROR(SEARCH(PaladinOath,$T95,1),0)&gt;0),1,0)*IF($C95=DS$2,1,0)=1,1+COUNTIF(DS$3:DS94,"&gt;0"),0)</f>
        <v>0</v>
      </c>
      <c r="DT95">
        <f>IF(IF(OR(IFERROR(SEARCH("Paladin",$T95,1),0)&gt;0,IFERROR(SEARCH(PaladinOath,$T95,1),0)&gt;0),1,0)*IF($C95=DT$2,1,0)=1,1+COUNTIF(DT$3:DT94,"&gt;0"),0)</f>
        <v>0</v>
      </c>
      <c r="DU95">
        <f>IF(IF(OR(IFERROR(SEARCH("Paladin",$T95,1),0)&gt;0,IFERROR(SEARCH(PaladinOath,$T95,1),0)&gt;0),1,0)*IF($C95=DU$2,1,0)=1,1+COUNTIF(DU$3:DU94,"&gt;0"),0)</f>
        <v>0</v>
      </c>
      <c r="DV95">
        <f>IF(IF(OR(IFERROR(SEARCH("Paladin",$T95,1),0)&gt;0,IFERROR(SEARCH(PaladinOath,$T95,1),0)&gt;0),1,0)*IF($C95=DV$2,1,0)=1,1+COUNTIF(DV$3:DV94,"&gt;0"),0)</f>
        <v>0</v>
      </c>
      <c r="DW95">
        <f>IF(IF(OR(IFERROR(SEARCH("Paladin",$T95,1),0)&gt;0,IFERROR(SEARCH(PaladinOath,$T95,1),0)&gt;0),1,0)*IF($C95=DW$2,1,0)=1,1+COUNTIF(DW$3:DW94,"&gt;0"),0)</f>
        <v>3</v>
      </c>
      <c r="DY95">
        <f t="shared" si="56"/>
        <v>1</v>
      </c>
      <c r="DZ95">
        <f>IF(DY95=0,0,1+MAX(DZ$3:$DZ94))</f>
        <v>93</v>
      </c>
      <c r="EB95">
        <f t="shared" si="70"/>
        <v>0</v>
      </c>
      <c r="EC95">
        <f>IF(EB95=0,0,1+COUNTIF(EC$3:EC94,"&gt;0"))</f>
        <v>0</v>
      </c>
      <c r="ED95" t="str">
        <f t="shared" si="98"/>
        <v/>
      </c>
      <c r="EE95" t="str">
        <f t="shared" si="71"/>
        <v/>
      </c>
      <c r="EG95">
        <f t="shared" si="72"/>
        <v>0</v>
      </c>
      <c r="EH95">
        <f>IF(EG95=0,0,1+COUNTIF(EH$3:EH94,"&gt;0"))</f>
        <v>0</v>
      </c>
      <c r="EI95" t="str">
        <f t="shared" si="99"/>
        <v/>
      </c>
      <c r="EJ95" t="str">
        <f t="shared" si="73"/>
        <v/>
      </c>
      <c r="EL95">
        <f t="shared" si="74"/>
        <v>0</v>
      </c>
      <c r="EM95">
        <f>IF(EL95=0,0,1+COUNTIF(EM$3:EM94,"&gt;0"))</f>
        <v>0</v>
      </c>
      <c r="EN95" t="str">
        <f t="shared" si="100"/>
        <v/>
      </c>
      <c r="EO95" t="str">
        <f t="shared" si="75"/>
        <v/>
      </c>
      <c r="EQ95">
        <f t="shared" si="76"/>
        <v>0</v>
      </c>
      <c r="ER95">
        <f>IF(EQ95=0,0,1+COUNTIF(ER$3:ER94,"&gt;0"))</f>
        <v>0</v>
      </c>
      <c r="ES95" t="str">
        <f t="shared" si="101"/>
        <v/>
      </c>
      <c r="ET95" t="str">
        <f t="shared" si="77"/>
        <v/>
      </c>
      <c r="EV95">
        <f t="shared" si="78"/>
        <v>0</v>
      </c>
      <c r="EW95">
        <f>IF(EV95=0,0,1+COUNTIF(EW$3:EW94,"&gt;0"))</f>
        <v>0</v>
      </c>
      <c r="EX95" t="str">
        <f t="shared" si="102"/>
        <v/>
      </c>
      <c r="EY95" t="str">
        <f t="shared" si="79"/>
        <v/>
      </c>
      <c r="FA95">
        <f t="shared" si="80"/>
        <v>0</v>
      </c>
      <c r="FB95">
        <f>IF(FA95=0,0,1+COUNTIF(FB$3:FB94,"&gt;0"))</f>
        <v>0</v>
      </c>
      <c r="FC95" t="str">
        <f t="shared" si="103"/>
        <v/>
      </c>
      <c r="FD95" t="str">
        <f t="shared" si="81"/>
        <v/>
      </c>
      <c r="FF95">
        <f t="shared" si="82"/>
        <v>0</v>
      </c>
      <c r="FG95">
        <f>IF(FF95=0,0,1+COUNTIF(FG$3:FG94,"&gt;0"))</f>
        <v>0</v>
      </c>
      <c r="FH95" t="str">
        <f t="shared" si="104"/>
        <v/>
      </c>
      <c r="FI95" t="str">
        <f t="shared" si="83"/>
        <v/>
      </c>
      <c r="FK95">
        <f t="shared" si="84"/>
        <v>0</v>
      </c>
      <c r="FL95">
        <f>IF(FK95=0,0,1+COUNTIF(FL$3:FL94,"&gt;0"))</f>
        <v>0</v>
      </c>
      <c r="FM95" t="str">
        <f t="shared" si="105"/>
        <v/>
      </c>
      <c r="FN95" t="str">
        <f t="shared" si="85"/>
        <v/>
      </c>
      <c r="FP95">
        <f t="shared" si="86"/>
        <v>0</v>
      </c>
      <c r="FQ95">
        <f>IF(FP95=0,0,1+COUNTIF(FQ$3:FQ94,"&gt;0"))</f>
        <v>0</v>
      </c>
      <c r="FR95" t="str">
        <f t="shared" si="106"/>
        <v/>
      </c>
      <c r="FS95" t="str">
        <f t="shared" si="87"/>
        <v/>
      </c>
    </row>
    <row r="96" spans="1:175" x14ac:dyDescent="0.25">
      <c r="A96" s="347">
        <f t="shared" si="107"/>
        <v>94</v>
      </c>
      <c r="B96" s="348" t="s">
        <v>2463</v>
      </c>
      <c r="C96" s="348">
        <v>1</v>
      </c>
      <c r="D96" s="347">
        <v>1</v>
      </c>
      <c r="E96" s="627" t="s">
        <v>6952</v>
      </c>
      <c r="F96" s="346"/>
      <c r="G96" s="347" t="str">
        <f>""</f>
        <v/>
      </c>
      <c r="H96" s="347" t="s">
        <v>5912</v>
      </c>
      <c r="I96" s="347" t="s">
        <v>5283</v>
      </c>
      <c r="J96" s="347" t="str">
        <f t="shared" si="57"/>
        <v/>
      </c>
      <c r="K96" s="347" t="s">
        <v>5297</v>
      </c>
      <c r="L96" s="611" t="str">
        <f t="shared" si="58"/>
        <v>V, S</v>
      </c>
      <c r="M96" s="347" t="s">
        <v>2373</v>
      </c>
      <c r="N96" s="347" t="s">
        <v>2387</v>
      </c>
      <c r="O96" s="347" t="s">
        <v>3034</v>
      </c>
      <c r="P96" s="346" t="str">
        <f>""</f>
        <v/>
      </c>
      <c r="Q96" s="347" t="s">
        <v>2473</v>
      </c>
      <c r="S96" s="346" t="s">
        <v>5656</v>
      </c>
      <c r="T96" s="346" t="str">
        <f t="shared" si="59"/>
        <v xml:space="preserve">Paladin, Cleric, </v>
      </c>
      <c r="V96" s="347" t="str">
        <f t="shared" si="109"/>
        <v>Detect Evil and Good</v>
      </c>
      <c r="Z96" s="347" t="str">
        <f>$B96</f>
        <v>Detect Evil and Good</v>
      </c>
      <c r="AE96" t="str">
        <f>IF(IFERROR(MATCH($B96,temp!A$4:A$13,0),0)&gt;0,T08_Spells!AE$2,"")</f>
        <v/>
      </c>
      <c r="AF96" t="str">
        <f>IF(IFERROR(MATCH($B96,temp!B$4:B$13,0),0)&gt;0,T08_Spells!AF$2,"")</f>
        <v/>
      </c>
      <c r="AG96" t="str">
        <f>IF(IFERROR(MATCH($B96,temp!C$4:C$13,0),0)&gt;0,T08_Spells!AG$2,"")</f>
        <v/>
      </c>
      <c r="AH96" t="str">
        <f>IF(IFERROR(MATCH($B96,temp!D$4:D$13,0),0)&gt;0,T08_Spells!AH$2,"")</f>
        <v/>
      </c>
      <c r="AI96" t="str">
        <f>IF(IFERROR(MATCH($B96,temp!E$4:E$13,0),0)&gt;0,T08_Spells!AI$2,"")</f>
        <v/>
      </c>
      <c r="AJ96" t="str">
        <f>IF(IFERROR(MATCH($B96,temp!F$4:F$13,0),0)&gt;0,T08_Spells!AJ$2,"")</f>
        <v/>
      </c>
      <c r="AK96" t="str">
        <f>IF(IFERROR(MATCH($B96,temp!G$4:G$13,0),0)&gt;0,T08_Spells!AK$2,"")</f>
        <v/>
      </c>
      <c r="AL96" t="str">
        <f>IF(IFERROR(MATCH($B96,temp!H$4:H$13,0),0)&gt;0,T08_Spells!AL$2,"")</f>
        <v/>
      </c>
      <c r="AM96" t="str">
        <f>IF(IFERROR(MATCH($B96,temp!I$4:I$13,0),0)&gt;0,T08_Spells!AM$2,"")</f>
        <v/>
      </c>
      <c r="AN96" t="str">
        <f>IF(IFERROR(MATCH($B96,temp!J$4:J$13,0),0)&gt;0,T08_Spells!AN$2,"")</f>
        <v/>
      </c>
      <c r="AO96" t="str">
        <f>IF(IFERROR(MATCH($B96,temp!K$4:K$13,0),0)&gt;0,T08_Spells!AO$2,"")</f>
        <v/>
      </c>
      <c r="AP96" t="str">
        <f>IF(IFERROR(MATCH($B96,temp!L$4:L$13,0),0)&gt;0,T08_Spells!AP$2,"")</f>
        <v/>
      </c>
      <c r="AQ96" t="str">
        <f>IF(IFERROR(MATCH($B96,temp!M$4:M$13,0),0)&gt;0,T08_Spells!AQ$2,"")</f>
        <v/>
      </c>
      <c r="AR96" t="str">
        <f>IF(IFERROR(MATCH($B96,temp!N$4:N$13,0),0)&gt;0,T08_Spells!AR$2,"")</f>
        <v/>
      </c>
      <c r="AS96" t="str">
        <f>IF(IFERROR(MATCH($B96,temp!O$4:O$13,0),0)&gt;0,T08_Spells!AS$2,"")</f>
        <v/>
      </c>
      <c r="AT96" t="str">
        <f>IF(IFERROR(MATCH($B96,temp!P$4:P$13,0),0)&gt;0,T08_Spells!AT$2,"")</f>
        <v/>
      </c>
      <c r="AU96" t="str">
        <f>IF(IFERROR(MATCH($B96,temp!Q$4:Q$13,0),0)&gt;0,T08_Spells!AU$2,"")</f>
        <v/>
      </c>
      <c r="AV96" t="str">
        <f>IF(IFERROR(MATCH($B96,temp!R$4:R$13,0),0)&gt;0,T08_Spells!AV$2,"")</f>
        <v/>
      </c>
      <c r="AW96" t="str">
        <f>IF(IFERROR(MATCH($B96,temp!S$4:S$13,0),0)&gt;0,T08_Spells!AW$2,"")</f>
        <v/>
      </c>
      <c r="AX96" t="str">
        <f>IF(IFERROR(MATCH($B96,temp!T$4:T$13,0),0)&gt;0,T08_Spells!AX$2,"")</f>
        <v/>
      </c>
      <c r="AY96" t="str">
        <f>IF(IFERROR(MATCH($B96,temp!U$4:U$13,0),0)&gt;0,T08_Spells!AY$2,"")</f>
        <v/>
      </c>
      <c r="AZ96" t="str">
        <f>IF(IFERROR(MATCH($B96,temp!V$4:V$13,0),0)&gt;0,T08_Spells!AZ$2,"")</f>
        <v/>
      </c>
      <c r="BA96" t="str">
        <f>IF(IFERROR(MATCH($B96,temp!W$4:W$13,0),0)&gt;0,T08_Spells!BA$2,"")</f>
        <v/>
      </c>
      <c r="BC96">
        <f>IF(IFERROR(SEARCH("Ranger",$T96,1),0)&gt;0,1,0)*IF(RangerMaxSpellLevel&gt;=$C96,1,0)*IF(IFERROR(MATCH(B96,Character_Creation!$X$79:$X$382,0),0)&gt;0,0,1)</f>
        <v>0</v>
      </c>
      <c r="BD96">
        <f>IF(BC96=0,0,1+COUNTIF(BD$3:BD95,"&gt;0"))</f>
        <v>0</v>
      </c>
      <c r="BE96" t="str">
        <f t="shared" si="88"/>
        <v/>
      </c>
      <c r="BF96" t="str">
        <f t="shared" si="60"/>
        <v/>
      </c>
      <c r="BH96">
        <f>IF(IFERROR(SEARCH("Sorcerer",$T96,1),0)&gt;0,1,0)*IF(SorcererMaxSpellLevel&gt;=$C96,1,0)*IF(IFERROR(MATCH(B96,Character_Creation!$J$380:$J$394,0),0)&gt;0,0,1)</f>
        <v>0</v>
      </c>
      <c r="BI96">
        <f>IF(BH96=0,0,1+COUNTIF(BI$3:BI95,"&gt;0"))</f>
        <v>0</v>
      </c>
      <c r="BJ96" t="str">
        <f t="shared" si="89"/>
        <v/>
      </c>
      <c r="BK96" t="str">
        <f t="shared" si="61"/>
        <v/>
      </c>
      <c r="BM96">
        <f>IF(OR(IFERROR(SEARCH("Warlock",$T96,1),0)&gt;0,IFERROR(SEARCH(WarlockPatron,$T96,1),0)&gt;0),1,0)*IF(WarlockMaxSpellLevel&gt;=$C96,1,0)*IF(IFERROR(MATCH(B96,Character_Creation!$J$361:$J$375,0),0)&gt;0,0,1)</f>
        <v>0</v>
      </c>
      <c r="BN96">
        <f>IF(BM96=0,0,1+COUNTIF(BN$3:BN95,"&gt;0"))</f>
        <v>0</v>
      </c>
      <c r="BO96" t="str">
        <f t="shared" si="90"/>
        <v/>
      </c>
      <c r="BP96" t="str">
        <f t="shared" si="62"/>
        <v/>
      </c>
      <c r="BR96">
        <f>IF(IFERROR(SEARCH("Eldritch Knight",$T96,1),0)&gt;0,1,0)*IF(EldritchKnightMaxSpellLevel&gt;=$C96,1,0)*IF(IFERROR(MATCH($B96,Character_Creation!$J$350:$J$356,0),0)&gt;0,0,1)*IF(Character_Creation!$M$338&gt;0,1,0)</f>
        <v>0</v>
      </c>
      <c r="BS96">
        <f>IF(BR96=0,0,1+COUNTIF(BS$3:BS95,"&gt;0"))</f>
        <v>0</v>
      </c>
      <c r="BT96" t="str">
        <f t="shared" si="91"/>
        <v/>
      </c>
      <c r="BU96" t="str">
        <f t="shared" si="63"/>
        <v/>
      </c>
      <c r="BW96">
        <f>IF(IFERROR(SEARCH("Arcane Trickster",$T96,1),0)&gt;0,1,0)*IF(ArcaneTricksterMaxSpellLevel&gt;=$C96,1,0)*IF(IFERROR(MATCH($B96,Character_Creation!$J$350:$J$356,0),0)&gt;0,0,1)*IF(Character_Creation!$T$338&gt;0,1,0)</f>
        <v>0</v>
      </c>
      <c r="BX96">
        <f>IF(BW96=0,0,1+COUNTIF(BX$3:BX95,"&gt;0"))</f>
        <v>0</v>
      </c>
      <c r="BY96" t="str">
        <f t="shared" si="92"/>
        <v/>
      </c>
      <c r="BZ96" t="str">
        <f t="shared" si="64"/>
        <v/>
      </c>
      <c r="CB96">
        <f>IF(IFERROR(SEARCH("Wizard",$T96,1),0)&gt;0,1,0)*IF(C96&lt;=ArcaneTricksterMaxSpellLevel,1,0)*IF(IFERROR(MATCH($B96,Character_Creation!$J$350:$J$356,0),0)&gt;0,0,1)*IF(Character_Creation!$T$350&gt;0,1,0)</f>
        <v>0</v>
      </c>
      <c r="CC96">
        <f>IF(CB96=0,0,1+COUNTIF(CC$3:CC95,"&gt;0"))</f>
        <v>0</v>
      </c>
      <c r="CD96" t="str">
        <f t="shared" si="93"/>
        <v/>
      </c>
      <c r="CE96" t="str">
        <f t="shared" si="65"/>
        <v/>
      </c>
      <c r="CG96">
        <f>IF(IFERROR(SEARCH("Wizard",$T96,1),0)&gt;0,1,0)*IF($C96&lt;=EldritchKnightMaxSpellLevel,1,0)*IF(IFERROR(MATCH($B96,Character_Creation!$J$350:$J$356,0),0)&gt;0,0,1)*IF(Character_Creation!$M$350&gt;0,1,0)</f>
        <v>0</v>
      </c>
      <c r="CH96">
        <f>IF(CG96=0,0,1+COUNTIF(CH$3:CH95,"&gt;0"))</f>
        <v>0</v>
      </c>
      <c r="CI96" t="str">
        <f t="shared" si="94"/>
        <v/>
      </c>
      <c r="CJ96" t="str">
        <f t="shared" si="66"/>
        <v/>
      </c>
      <c r="CL96">
        <f>IF(IFERROR(SEARCH("Bard",$T96,1),0)&gt;0,1,0)*IF(BardMaxSpellLevel&gt;=$C96,1,0)*IF(IFERROR(MATCH(B96,Character_Creation!$C$341:$F$362,0),0)&gt;0,0,1)*IF(IFERROR(MATCH($B96,Character_Creation!$C$341:$C$362,0),0)&gt;0,0,1)</f>
        <v>0</v>
      </c>
      <c r="CM96">
        <f>IF(CL96=0,0,1+COUNTIF(CM$3:CM95,"&gt;0"))</f>
        <v>0</v>
      </c>
      <c r="CN96" t="str">
        <f t="shared" si="95"/>
        <v/>
      </c>
      <c r="CO96" t="str">
        <f t="shared" si="67"/>
        <v/>
      </c>
      <c r="CQ96">
        <f>IF(IFERROR(SEARCH("Wizard",$T96,1),0)&gt;0,1,0)*IF(WizardMaxSpellLevel&gt;=$C96,1,0)*IF(IFERROR(MATCH(B96,Character_Creation!$X$341:$X$400,0),0)&gt;0,0,1)*IF(SelectedWizardSpellLevel=$C96,1,0)</f>
        <v>0</v>
      </c>
      <c r="CR96">
        <f>IF(CQ96=0,0,1+COUNTIF(CR$3:CR95,"&gt;0"))</f>
        <v>0</v>
      </c>
      <c r="CS96" t="str">
        <f t="shared" si="96"/>
        <v/>
      </c>
      <c r="CT96" t="str">
        <f t="shared" si="68"/>
        <v/>
      </c>
      <c r="CV96">
        <f>IF(IFERROR(MATCH($B96,Character_Creation!$C$341:$C$362,0),0)&gt;0,0,1)*IF(OR(C96="Cantrip",C96&lt;=BardMaxSpellLevel),1,0)*IF(IFERROR(MATCH($B96,Character_Creation!$C$367:$C$374,0),0)&gt;0,0,1)</f>
        <v>0</v>
      </c>
      <c r="CW96">
        <f>IF(CV96=0,0,1+COUNTIF(CW$3:CW95,"&gt;0"))</f>
        <v>0</v>
      </c>
      <c r="CX96" t="str">
        <f t="shared" si="97"/>
        <v/>
      </c>
      <c r="CY96" t="str">
        <f t="shared" si="69"/>
        <v/>
      </c>
      <c r="DA96">
        <f>IF(IF(OR(IFERROR(SEARCH("Cleric",$T96,1),0)&gt;0,IFERROR(SEARCH(DivineDomain&amp;",",$T96,1),0)&gt;0),1,0)*IF($C96=DA$2,1,0)=1,1+COUNTIF(DA$3:DA95,"&gt;0"),0)</f>
        <v>6</v>
      </c>
      <c r="DB96">
        <f>IF(IF(OR(IFERROR(SEARCH("Cleric",$T96,1),0)&gt;0,IFERROR(SEARCH(DivineDomain&amp;",",$T96,1),0)&gt;0),1,0)*IF($C96=DB$2,1,0)=1,1+COUNTIF(DB$3:DB95,"&gt;0"),0)</f>
        <v>0</v>
      </c>
      <c r="DC96">
        <f>IF(IF(OR(IFERROR(SEARCH("Cleric",$T96,1),0)&gt;0,IFERROR(SEARCH(DivineDomain&amp;",",$T96,1),0)&gt;0),1,0)*IF($C96=DC$2,1,0)=1,1+COUNTIF(DC$3:DC95,"&gt;0"),0)</f>
        <v>0</v>
      </c>
      <c r="DD96">
        <f>IF(IF(OR(IFERROR(SEARCH("Cleric",$T96,1),0)&gt;0,IFERROR(SEARCH(DivineDomain&amp;",",$T96,1),0)&gt;0),1,0)*IF($C96=DD$2,1,0)=1,1+COUNTIF(DD$3:DD95,"&gt;0"),0)</f>
        <v>0</v>
      </c>
      <c r="DE96">
        <f>IF(IF(OR(IFERROR(SEARCH("Cleric",$T96,1),0)&gt;0,IFERROR(SEARCH(DivineDomain&amp;",",$T96,1),0)&gt;0),1,0)*IF($C96=DE$2,1,0)=1,1+COUNTIF(DE$3:DE95,"&gt;0"),0)</f>
        <v>0</v>
      </c>
      <c r="DF96">
        <f>IF(IF(OR(IFERROR(SEARCH("Cleric",$T96,1),0)&gt;0,IFERROR(SEARCH(DivineDomain&amp;",",$T96,1),0)&gt;0),1,0)*IF($C96=DF$2,1,0)=1,1+COUNTIF(DF$3:DF95,"&gt;0"),0)</f>
        <v>0</v>
      </c>
      <c r="DG96">
        <f>IF(IF(OR(IFERROR(SEARCH("Cleric",$T96,1),0)&gt;0,IFERROR(SEARCH(DivineDomain&amp;",",$T96,1),0)&gt;0),1,0)*IF($C96=DG$2,1,0)=1,1+COUNTIF(DG$3:DG95,"&gt;0"),0)</f>
        <v>0</v>
      </c>
      <c r="DH96">
        <f>IF(IF(OR(IFERROR(SEARCH("Cleric",$T96,1),0)&gt;0,IFERROR(SEARCH(DivineDomain&amp;",",$T96,1),0)&gt;0),1,0)*IF($C96=DH$2,1,0)=1,1+COUNTIF(DH$3:DH95,"&gt;0"),0)</f>
        <v>0</v>
      </c>
      <c r="DI96">
        <f>IF(IF(OR(IFERROR(SEARCH("Cleric",$T96,1),0)&gt;0,IFERROR(SEARCH(DivineDomain&amp;",",$T96,1),0)&gt;0),1,0)*IF($C96=DI$2,1,0)=1,1+COUNTIF(DI$3:DI95,"&gt;0"),0)</f>
        <v>0</v>
      </c>
      <c r="DJ96">
        <f>IF(IF(OR(IFERROR(SEARCH("Druid",$T96,1),0)&gt;0,IFERROR(SEARCH(DruidLand1,$T96,1),0)&gt;0,IFERROR(SEARCH(DruidLand2,$T96,1),0)&gt;0,IFERROR(SEARCH(DruidLand3,$T96,1),0)&gt;0,IFERROR(SEARCH(DruidLand4,$T96,1),0)&gt;0),1,0)*IF($C96=1,1,0)*IF($C96=DJ$2,1,0)=0,0,1+COUNTIF(DJ$3:DJ95,"&gt;0"))</f>
        <v>0</v>
      </c>
      <c r="DK96">
        <f>IF(IF(OR(IFERROR(SEARCH("Druid",$T96,1),0)&gt;0,IFERROR(SEARCH(DruidLand1,$T96,1),0)&gt;0,IFERROR(SEARCH(DruidLand2,$T96,1),0)&gt;0,IFERROR(SEARCH(DruidLand3,$T96,1),0)&gt;0,IFERROR(SEARCH(DruidLand4,$T96,1),0)&gt;0),1,0)*IF($C96=1,1,0)*IF($C96=DK$2,1,0)=0,0,1+COUNTIF(DK$3:DK95,"&gt;0"))</f>
        <v>0</v>
      </c>
      <c r="DL96">
        <f>IF(IF(OR(IFERROR(SEARCH("Druid",$T96,1),0)&gt;0,IFERROR(SEARCH(DruidLand1,$T96,1),0)&gt;0,IFERROR(SEARCH(DruidLand2,$T96,1),0)&gt;0,IFERROR(SEARCH(DruidLand3,$T96,1),0)&gt;0,IFERROR(SEARCH(DruidLand4,$T96,1),0)&gt;0),1,0)*IF($C96=1,1,0)*IF($C96=DL$2,1,0)=0,0,1+COUNTIF(DL$3:DL95,"&gt;0"))</f>
        <v>0</v>
      </c>
      <c r="DM96">
        <f>IF(IF(OR(IFERROR(SEARCH("Druid",$T96,1),0)&gt;0,IFERROR(SEARCH(DruidLand1,$T96,1),0)&gt;0,IFERROR(SEARCH(DruidLand2,$T96,1),0)&gt;0,IFERROR(SEARCH(DruidLand3,$T96,1),0)&gt;0,IFERROR(SEARCH(DruidLand4,$T96,1),0)&gt;0),1,0)*IF($C96=1,1,0)*IF($C96=DM$2,1,0)=0,0,1+COUNTIF(DM$3:DM95,"&gt;0"))</f>
        <v>0</v>
      </c>
      <c r="DN96">
        <f>IF(IF(OR(IFERROR(SEARCH("Druid",$T96,1),0)&gt;0,IFERROR(SEARCH(DruidLand1,$T96,1),0)&gt;0,IFERROR(SEARCH(DruidLand2,$T96,1),0)&gt;0,IFERROR(SEARCH(DruidLand3,$T96,1),0)&gt;0,IFERROR(SEARCH(DruidLand4,$T96,1),0)&gt;0),1,0)*IF($C96=1,1,0)*IF($C96=DN$2,1,0)=0,0,1+COUNTIF(DN$3:DN95,"&gt;0"))</f>
        <v>0</v>
      </c>
      <c r="DO96">
        <f>IF(IF(OR(IFERROR(SEARCH("Druid",$T96,1),0)&gt;0,IFERROR(SEARCH(DruidLand1,$T96,1),0)&gt;0,IFERROR(SEARCH(DruidLand2,$T96,1),0)&gt;0,IFERROR(SEARCH(DruidLand3,$T96,1),0)&gt;0,IFERROR(SEARCH(DruidLand4,$T96,1),0)&gt;0),1,0)*IF($C96=1,1,0)*IF($C96=DO$2,1,0)=0,0,1+COUNTIF(DO$3:DO95,"&gt;0"))</f>
        <v>0</v>
      </c>
      <c r="DP96">
        <f>IF(IF(OR(IFERROR(SEARCH("Druid",$T96,1),0)&gt;0,IFERROR(SEARCH(DruidLand1,$T96,1),0)&gt;0,IFERROR(SEARCH(DruidLand2,$T96,1),0)&gt;0,IFERROR(SEARCH(DruidLand3,$T96,1),0)&gt;0,IFERROR(SEARCH(DruidLand4,$T96,1),0)&gt;0),1,0)*IF($C96=1,1,0)*IF($C96=DP$2,1,0)=0,0,1+COUNTIF(DP$3:DP95,"&gt;0"))</f>
        <v>0</v>
      </c>
      <c r="DQ96">
        <f>IF(IF(OR(IFERROR(SEARCH("Druid",$T96,1),0)&gt;0,IFERROR(SEARCH(DruidLand1,$T96,1),0)&gt;0,IFERROR(SEARCH(DruidLand2,$T96,1),0)&gt;0,IFERROR(SEARCH(DruidLand3,$T96,1),0)&gt;0,IFERROR(SEARCH(DruidLand4,$T96,1),0)&gt;0),1,0)*IF($C96=1,1,0)*IF($C96=DQ$2,1,0)=0,0,1+COUNTIF(DQ$3:DQ95,"&gt;0"))</f>
        <v>0</v>
      </c>
      <c r="DR96">
        <f>IF(IF(OR(IFERROR(SEARCH("Druid",$T96,1),0)&gt;0,IFERROR(SEARCH(DruidLand1,$T96,1),0)&gt;0,IFERROR(SEARCH(DruidLand2,$T96,1),0)&gt;0,IFERROR(SEARCH(DruidLand3,$T96,1),0)&gt;0,IFERROR(SEARCH(DruidLand4,$T96,1),0)&gt;0),1,0)*IF($C96=1,1,0)*IF($C96=DR$2,1,0)=0,0,1+COUNTIF(DR$3:DR95,"&gt;0"))</f>
        <v>0</v>
      </c>
      <c r="DS96">
        <f>IF(IF(OR(IFERROR(SEARCH("Paladin",$T96,1),0)&gt;0,IFERROR(SEARCH(PaladinOath,$T96,1),0)&gt;0),1,0)*IF($C96=DS$2,1,0)=1,1+COUNTIF(DS$3:DS95,"&gt;0"),0)</f>
        <v>5</v>
      </c>
      <c r="DT96">
        <f>IF(IF(OR(IFERROR(SEARCH("Paladin",$T96,1),0)&gt;0,IFERROR(SEARCH(PaladinOath,$T96,1),0)&gt;0),1,0)*IF($C96=DT$2,1,0)=1,1+COUNTIF(DT$3:DT95,"&gt;0"),0)</f>
        <v>0</v>
      </c>
      <c r="DU96">
        <f>IF(IF(OR(IFERROR(SEARCH("Paladin",$T96,1),0)&gt;0,IFERROR(SEARCH(PaladinOath,$T96,1),0)&gt;0),1,0)*IF($C96=DU$2,1,0)=1,1+COUNTIF(DU$3:DU95,"&gt;0"),0)</f>
        <v>0</v>
      </c>
      <c r="DV96">
        <f>IF(IF(OR(IFERROR(SEARCH("Paladin",$T96,1),0)&gt;0,IFERROR(SEARCH(PaladinOath,$T96,1),0)&gt;0),1,0)*IF($C96=DV$2,1,0)=1,1+COUNTIF(DV$3:DV95,"&gt;0"),0)</f>
        <v>0</v>
      </c>
      <c r="DW96">
        <f>IF(IF(OR(IFERROR(SEARCH("Paladin",$T96,1),0)&gt;0,IFERROR(SEARCH(PaladinOath,$T96,1),0)&gt;0),1,0)*IF($C96=DW$2,1,0)=1,1+COUNTIF(DW$3:DW95,"&gt;0"),0)</f>
        <v>0</v>
      </c>
      <c r="DY96">
        <f t="shared" si="56"/>
        <v>1</v>
      </c>
      <c r="DZ96">
        <f>IF(DY96=0,0,1+MAX(DZ$3:$DZ95))</f>
        <v>94</v>
      </c>
      <c r="EB96">
        <f t="shared" si="70"/>
        <v>0</v>
      </c>
      <c r="EC96">
        <f>IF(EB96=0,0,1+COUNTIF(EC$3:EC95,"&gt;0"))</f>
        <v>0</v>
      </c>
      <c r="ED96" t="str">
        <f t="shared" si="98"/>
        <v/>
      </c>
      <c r="EE96" t="str">
        <f t="shared" si="71"/>
        <v/>
      </c>
      <c r="EG96">
        <f t="shared" si="72"/>
        <v>0</v>
      </c>
      <c r="EH96">
        <f>IF(EG96=0,0,1+COUNTIF(EH$3:EH95,"&gt;0"))</f>
        <v>0</v>
      </c>
      <c r="EI96" t="str">
        <f t="shared" si="99"/>
        <v/>
      </c>
      <c r="EJ96" t="str">
        <f t="shared" si="73"/>
        <v/>
      </c>
      <c r="EL96">
        <f t="shared" si="74"/>
        <v>0</v>
      </c>
      <c r="EM96">
        <f>IF(EL96=0,0,1+COUNTIF(EM$3:EM95,"&gt;0"))</f>
        <v>0</v>
      </c>
      <c r="EN96" t="str">
        <f t="shared" si="100"/>
        <v/>
      </c>
      <c r="EO96" t="str">
        <f t="shared" si="75"/>
        <v/>
      </c>
      <c r="EQ96">
        <f t="shared" si="76"/>
        <v>0</v>
      </c>
      <c r="ER96">
        <f>IF(EQ96=0,0,1+COUNTIF(ER$3:ER95,"&gt;0"))</f>
        <v>0</v>
      </c>
      <c r="ES96" t="str">
        <f t="shared" si="101"/>
        <v/>
      </c>
      <c r="ET96" t="str">
        <f t="shared" si="77"/>
        <v/>
      </c>
      <c r="EV96">
        <f t="shared" si="78"/>
        <v>0</v>
      </c>
      <c r="EW96">
        <f>IF(EV96=0,0,1+COUNTIF(EW$3:EW95,"&gt;0"))</f>
        <v>0</v>
      </c>
      <c r="EX96" t="str">
        <f t="shared" si="102"/>
        <v/>
      </c>
      <c r="EY96" t="str">
        <f t="shared" si="79"/>
        <v/>
      </c>
      <c r="FA96">
        <f t="shared" si="80"/>
        <v>0</v>
      </c>
      <c r="FB96">
        <f>IF(FA96=0,0,1+COUNTIF(FB$3:FB95,"&gt;0"))</f>
        <v>0</v>
      </c>
      <c r="FC96" t="str">
        <f t="shared" si="103"/>
        <v/>
      </c>
      <c r="FD96" t="str">
        <f t="shared" si="81"/>
        <v/>
      </c>
      <c r="FF96">
        <f t="shared" si="82"/>
        <v>0</v>
      </c>
      <c r="FG96">
        <f>IF(FF96=0,0,1+COUNTIF(FG$3:FG95,"&gt;0"))</f>
        <v>0</v>
      </c>
      <c r="FH96" t="str">
        <f t="shared" si="104"/>
        <v/>
      </c>
      <c r="FI96" t="str">
        <f t="shared" si="83"/>
        <v/>
      </c>
      <c r="FK96">
        <f t="shared" si="84"/>
        <v>0</v>
      </c>
      <c r="FL96">
        <f>IF(FK96=0,0,1+COUNTIF(FL$3:FL95,"&gt;0"))</f>
        <v>0</v>
      </c>
      <c r="FM96" t="str">
        <f t="shared" si="105"/>
        <v/>
      </c>
      <c r="FN96" t="str">
        <f t="shared" si="85"/>
        <v/>
      </c>
      <c r="FP96">
        <f t="shared" si="86"/>
        <v>0</v>
      </c>
      <c r="FQ96">
        <f>IF(FP96=0,0,1+COUNTIF(FQ$3:FQ95,"&gt;0"))</f>
        <v>0</v>
      </c>
      <c r="FR96" t="str">
        <f t="shared" si="106"/>
        <v/>
      </c>
      <c r="FS96" t="str">
        <f t="shared" si="87"/>
        <v/>
      </c>
    </row>
    <row r="97" spans="1:175" x14ac:dyDescent="0.25">
      <c r="A97" s="347">
        <f t="shared" si="107"/>
        <v>95</v>
      </c>
      <c r="B97" s="348" t="s">
        <v>2464</v>
      </c>
      <c r="C97" s="348">
        <v>1</v>
      </c>
      <c r="D97" s="347">
        <v>1</v>
      </c>
      <c r="E97" s="627" t="s">
        <v>6952</v>
      </c>
      <c r="F97" s="346"/>
      <c r="G97" s="347" t="s">
        <v>5269</v>
      </c>
      <c r="H97" s="347" t="s">
        <v>5913</v>
      </c>
      <c r="I97" s="347" t="s">
        <v>5283</v>
      </c>
      <c r="J97" s="347" t="str">
        <f t="shared" si="57"/>
        <v/>
      </c>
      <c r="K97" s="347" t="s">
        <v>5297</v>
      </c>
      <c r="L97" s="611" t="str">
        <f t="shared" si="58"/>
        <v>V, S</v>
      </c>
      <c r="M97" s="347" t="s">
        <v>2373</v>
      </c>
      <c r="N97" s="347" t="s">
        <v>2387</v>
      </c>
      <c r="O97" s="347" t="s">
        <v>3034</v>
      </c>
      <c r="P97" s="346" t="str">
        <f>""</f>
        <v/>
      </c>
      <c r="Q97" s="347" t="s">
        <v>2473</v>
      </c>
      <c r="S97" s="346" t="s">
        <v>5657</v>
      </c>
      <c r="T97" s="346" t="str">
        <f t="shared" si="59"/>
        <v xml:space="preserve">Bard, Paladin, Ranger, Sorcerer, Cleric, Druid, Wizard, </v>
      </c>
      <c r="U97" s="347" t="str">
        <f>$B97</f>
        <v>Detect Magic</v>
      </c>
      <c r="V97" s="347" t="str">
        <f t="shared" si="109"/>
        <v>Detect Magic</v>
      </c>
      <c r="W97" s="347" t="str">
        <f t="shared" si="109"/>
        <v>Detect Magic</v>
      </c>
      <c r="X97" s="347" t="str">
        <f t="shared" si="109"/>
        <v>Detect Magic</v>
      </c>
      <c r="Z97" s="347" t="str">
        <f>$B97</f>
        <v>Detect Magic</v>
      </c>
      <c r="AA97" s="347" t="str">
        <f>$B97</f>
        <v>Detect Magic</v>
      </c>
      <c r="AD97" s="347" t="str">
        <f>$B97</f>
        <v>Detect Magic</v>
      </c>
      <c r="AE97" t="str">
        <f>IF(IFERROR(MATCH($B97,temp!A$4:A$13,0),0)&gt;0,T08_Spells!AE$2,"")</f>
        <v/>
      </c>
      <c r="AF97" t="str">
        <f>IF(IFERROR(MATCH($B97,temp!B$4:B$13,0),0)&gt;0,T08_Spells!AF$2,"")</f>
        <v/>
      </c>
      <c r="AG97" t="str">
        <f>IF(IFERROR(MATCH($B97,temp!C$4:C$13,0),0)&gt;0,T08_Spells!AG$2,"")</f>
        <v/>
      </c>
      <c r="AH97" t="str">
        <f>IF(IFERROR(MATCH($B97,temp!D$4:D$13,0),0)&gt;0,T08_Spells!AH$2,"")</f>
        <v/>
      </c>
      <c r="AI97" t="str">
        <f>IF(IFERROR(MATCH($B97,temp!E$4:E$13,0),0)&gt;0,T08_Spells!AI$2,"")</f>
        <v/>
      </c>
      <c r="AJ97" t="str">
        <f>IF(IFERROR(MATCH($B97,temp!F$4:F$13,0),0)&gt;0,T08_Spells!AJ$2,"")</f>
        <v/>
      </c>
      <c r="AK97" t="str">
        <f>IF(IFERROR(MATCH($B97,temp!G$4:G$13,0),0)&gt;0,T08_Spells!AK$2,"")</f>
        <v/>
      </c>
      <c r="AL97" t="str">
        <f>IF(IFERROR(MATCH($B97,temp!H$4:H$13,0),0)&gt;0,T08_Spells!AL$2,"")</f>
        <v/>
      </c>
      <c r="AM97" t="str">
        <f>IF(IFERROR(MATCH($B97,temp!I$4:I$13,0),0)&gt;0,T08_Spells!AM$2,"")</f>
        <v/>
      </c>
      <c r="AN97" t="str">
        <f>IF(IFERROR(MATCH($B97,temp!J$4:J$13,0),0)&gt;0,T08_Spells!AN$2,"")</f>
        <v/>
      </c>
      <c r="AO97" t="str">
        <f>IF(IFERROR(MATCH($B97,temp!K$4:K$13,0),0)&gt;0,T08_Spells!AO$2,"")</f>
        <v/>
      </c>
      <c r="AP97" t="str">
        <f>IF(IFERROR(MATCH($B97,temp!L$4:L$13,0),0)&gt;0,T08_Spells!AP$2,"")</f>
        <v/>
      </c>
      <c r="AQ97" t="str">
        <f>IF(IFERROR(MATCH($B97,temp!M$4:M$13,0),0)&gt;0,T08_Spells!AQ$2,"")</f>
        <v/>
      </c>
      <c r="AR97" t="str">
        <f>IF(IFERROR(MATCH($B97,temp!N$4:N$13,0),0)&gt;0,T08_Spells!AR$2,"")</f>
        <v/>
      </c>
      <c r="AS97" t="str">
        <f>IF(IFERROR(MATCH($B97,temp!O$4:O$13,0),0)&gt;0,T08_Spells!AS$2,"")</f>
        <v/>
      </c>
      <c r="AT97" t="str">
        <f>IF(IFERROR(MATCH($B97,temp!P$4:P$13,0),0)&gt;0,T08_Spells!AT$2,"")</f>
        <v/>
      </c>
      <c r="AU97" t="str">
        <f>IF(IFERROR(MATCH($B97,temp!Q$4:Q$13,0),0)&gt;0,T08_Spells!AU$2,"")</f>
        <v/>
      </c>
      <c r="AV97" t="str">
        <f>IF(IFERROR(MATCH($B97,temp!R$4:R$13,0),0)&gt;0,T08_Spells!AV$2,"")</f>
        <v/>
      </c>
      <c r="AW97" t="str">
        <f>IF(IFERROR(MATCH($B97,temp!S$4:S$13,0),0)&gt;0,T08_Spells!AW$2,"")</f>
        <v/>
      </c>
      <c r="AX97" t="str">
        <f>IF(IFERROR(MATCH($B97,temp!T$4:T$13,0),0)&gt;0,T08_Spells!AX$2,"")</f>
        <v/>
      </c>
      <c r="AY97" t="str">
        <f>IF(IFERROR(MATCH($B97,temp!U$4:U$13,0),0)&gt;0,T08_Spells!AY$2,"")</f>
        <v/>
      </c>
      <c r="AZ97" t="str">
        <f>IF(IFERROR(MATCH($B97,temp!V$4:V$13,0),0)&gt;0,T08_Spells!AZ$2,"")</f>
        <v/>
      </c>
      <c r="BA97" t="str">
        <f>IF(IFERROR(MATCH($B97,temp!W$4:W$13,0),0)&gt;0,T08_Spells!BA$2,"")</f>
        <v/>
      </c>
      <c r="BC97">
        <f>IF(IFERROR(SEARCH("Ranger",$T97,1),0)&gt;0,1,0)*IF(RangerMaxSpellLevel&gt;=$C97,1,0)*IF(IFERROR(MATCH(B97,Character_Creation!$X$79:$X$382,0),0)&gt;0,0,1)</f>
        <v>0</v>
      </c>
      <c r="BD97">
        <f>IF(BC97=0,0,1+COUNTIF(BD$3:BD96,"&gt;0"))</f>
        <v>0</v>
      </c>
      <c r="BE97" t="str">
        <f t="shared" si="88"/>
        <v/>
      </c>
      <c r="BF97" t="str">
        <f t="shared" si="60"/>
        <v/>
      </c>
      <c r="BH97">
        <f>IF(IFERROR(SEARCH("Sorcerer",$T97,1),0)&gt;0,1,0)*IF(SorcererMaxSpellLevel&gt;=$C97,1,0)*IF(IFERROR(MATCH(B97,Character_Creation!$J$380:$J$394,0),0)&gt;0,0,1)</f>
        <v>0</v>
      </c>
      <c r="BI97">
        <f>IF(BH97=0,0,1+COUNTIF(BI$3:BI96,"&gt;0"))</f>
        <v>0</v>
      </c>
      <c r="BJ97" t="str">
        <f t="shared" si="89"/>
        <v/>
      </c>
      <c r="BK97" t="str">
        <f t="shared" si="61"/>
        <v/>
      </c>
      <c r="BM97">
        <f>IF(OR(IFERROR(SEARCH("Warlock",$T97,1),0)&gt;0,IFERROR(SEARCH(WarlockPatron,$T97,1),0)&gt;0),1,0)*IF(WarlockMaxSpellLevel&gt;=$C97,1,0)*IF(IFERROR(MATCH(B97,Character_Creation!$J$361:$J$375,0),0)&gt;0,0,1)</f>
        <v>0</v>
      </c>
      <c r="BN97">
        <f>IF(BM97=0,0,1+COUNTIF(BN$3:BN96,"&gt;0"))</f>
        <v>0</v>
      </c>
      <c r="BO97" t="str">
        <f t="shared" si="90"/>
        <v/>
      </c>
      <c r="BP97" t="str">
        <f t="shared" si="62"/>
        <v/>
      </c>
      <c r="BR97">
        <f>IF(IFERROR(SEARCH("Eldritch Knight",$T97,1),0)&gt;0,1,0)*IF(EldritchKnightMaxSpellLevel&gt;=$C97,1,0)*IF(IFERROR(MATCH($B97,Character_Creation!$J$350:$J$356,0),0)&gt;0,0,1)*IF(Character_Creation!$M$338&gt;0,1,0)</f>
        <v>0</v>
      </c>
      <c r="BS97">
        <f>IF(BR97=0,0,1+COUNTIF(BS$3:BS96,"&gt;0"))</f>
        <v>0</v>
      </c>
      <c r="BT97" t="str">
        <f t="shared" si="91"/>
        <v/>
      </c>
      <c r="BU97" t="str">
        <f t="shared" si="63"/>
        <v/>
      </c>
      <c r="BW97">
        <f>IF(IFERROR(SEARCH("Arcane Trickster",$T97,1),0)&gt;0,1,0)*IF(ArcaneTricksterMaxSpellLevel&gt;=$C97,1,0)*IF(IFERROR(MATCH($B97,Character_Creation!$J$350:$J$356,0),0)&gt;0,0,1)*IF(Character_Creation!$T$338&gt;0,1,0)</f>
        <v>0</v>
      </c>
      <c r="BX97">
        <f>IF(BW97=0,0,1+COUNTIF(BX$3:BX96,"&gt;0"))</f>
        <v>0</v>
      </c>
      <c r="BY97" t="str">
        <f t="shared" si="92"/>
        <v/>
      </c>
      <c r="BZ97" t="str">
        <f t="shared" si="64"/>
        <v/>
      </c>
      <c r="CB97">
        <f>IF(IFERROR(SEARCH("Wizard",$T97,1),0)&gt;0,1,0)*IF(C97&lt;=ArcaneTricksterMaxSpellLevel,1,0)*IF(IFERROR(MATCH($B97,Character_Creation!$J$350:$J$356,0),0)&gt;0,0,1)*IF(Character_Creation!$T$350&gt;0,1,0)</f>
        <v>0</v>
      </c>
      <c r="CC97">
        <f>IF(CB97=0,0,1+COUNTIF(CC$3:CC96,"&gt;0"))</f>
        <v>0</v>
      </c>
      <c r="CD97" t="str">
        <f t="shared" si="93"/>
        <v/>
      </c>
      <c r="CE97" t="str">
        <f t="shared" si="65"/>
        <v/>
      </c>
      <c r="CG97">
        <f>IF(IFERROR(SEARCH("Wizard",$T97,1),0)&gt;0,1,0)*IF($C97&lt;=EldritchKnightMaxSpellLevel,1,0)*IF(IFERROR(MATCH($B97,Character_Creation!$J$350:$J$356,0),0)&gt;0,0,1)*IF(Character_Creation!$M$350&gt;0,1,0)</f>
        <v>1</v>
      </c>
      <c r="CH97">
        <f>IF(CG97=0,0,1+COUNTIF(CH$3:CH96,"&gt;0"))</f>
        <v>16</v>
      </c>
      <c r="CI97" t="str">
        <f t="shared" si="94"/>
        <v/>
      </c>
      <c r="CJ97" t="str">
        <f t="shared" si="66"/>
        <v/>
      </c>
      <c r="CL97">
        <f>IF(IFERROR(SEARCH("Bard",$T97,1),0)&gt;0,1,0)*IF(BardMaxSpellLevel&gt;=$C97,1,0)*IF(IFERROR(MATCH(B97,Character_Creation!$C$341:$F$362,0),0)&gt;0,0,1)*IF(IFERROR(MATCH($B97,Character_Creation!$C$341:$C$362,0),0)&gt;0,0,1)</f>
        <v>0</v>
      </c>
      <c r="CM97">
        <f>IF(CL97=0,0,1+COUNTIF(CM$3:CM96,"&gt;0"))</f>
        <v>0</v>
      </c>
      <c r="CN97" t="str">
        <f t="shared" si="95"/>
        <v/>
      </c>
      <c r="CO97" t="str">
        <f t="shared" si="67"/>
        <v/>
      </c>
      <c r="CQ97">
        <f>IF(IFERROR(SEARCH("Wizard",$T97,1),0)&gt;0,1,0)*IF(WizardMaxSpellLevel&gt;=$C97,1,0)*IF(IFERROR(MATCH(B97,Character_Creation!$X$341:$X$400,0),0)&gt;0,0,1)*IF(SelectedWizardSpellLevel=$C97,1,0)</f>
        <v>0</v>
      </c>
      <c r="CR97">
        <f>IF(CQ97=0,0,1+COUNTIF(CR$3:CR96,"&gt;0"))</f>
        <v>0</v>
      </c>
      <c r="CS97" t="str">
        <f t="shared" si="96"/>
        <v/>
      </c>
      <c r="CT97" t="str">
        <f t="shared" si="68"/>
        <v/>
      </c>
      <c r="CV97">
        <f>IF(IFERROR(MATCH($B97,Character_Creation!$C$341:$C$362,0),0)&gt;0,0,1)*IF(OR(C97="Cantrip",C97&lt;=BardMaxSpellLevel),1,0)*IF(IFERROR(MATCH($B97,Character_Creation!$C$367:$C$374,0),0)&gt;0,0,1)</f>
        <v>0</v>
      </c>
      <c r="CW97">
        <f>IF(CV97=0,0,1+COUNTIF(CW$3:CW96,"&gt;0"))</f>
        <v>0</v>
      </c>
      <c r="CX97" t="str">
        <f t="shared" si="97"/>
        <v/>
      </c>
      <c r="CY97" t="str">
        <f t="shared" si="69"/>
        <v/>
      </c>
      <c r="DA97">
        <f>IF(IF(OR(IFERROR(SEARCH("Cleric",$T97,1),0)&gt;0,IFERROR(SEARCH(DivineDomain&amp;",",$T97,1),0)&gt;0),1,0)*IF($C97=DA$2,1,0)=1,1+COUNTIF(DA$3:DA96,"&gt;0"),0)</f>
        <v>7</v>
      </c>
      <c r="DB97">
        <f>IF(IF(OR(IFERROR(SEARCH("Cleric",$T97,1),0)&gt;0,IFERROR(SEARCH(DivineDomain&amp;",",$T97,1),0)&gt;0),1,0)*IF($C97=DB$2,1,0)=1,1+COUNTIF(DB$3:DB96,"&gt;0"),0)</f>
        <v>0</v>
      </c>
      <c r="DC97">
        <f>IF(IF(OR(IFERROR(SEARCH("Cleric",$T97,1),0)&gt;0,IFERROR(SEARCH(DivineDomain&amp;",",$T97,1),0)&gt;0),1,0)*IF($C97=DC$2,1,0)=1,1+COUNTIF(DC$3:DC96,"&gt;0"),0)</f>
        <v>0</v>
      </c>
      <c r="DD97">
        <f>IF(IF(OR(IFERROR(SEARCH("Cleric",$T97,1),0)&gt;0,IFERROR(SEARCH(DivineDomain&amp;",",$T97,1),0)&gt;0),1,0)*IF($C97=DD$2,1,0)=1,1+COUNTIF(DD$3:DD96,"&gt;0"),0)</f>
        <v>0</v>
      </c>
      <c r="DE97">
        <f>IF(IF(OR(IFERROR(SEARCH("Cleric",$T97,1),0)&gt;0,IFERROR(SEARCH(DivineDomain&amp;",",$T97,1),0)&gt;0),1,0)*IF($C97=DE$2,1,0)=1,1+COUNTIF(DE$3:DE96,"&gt;0"),0)</f>
        <v>0</v>
      </c>
      <c r="DF97">
        <f>IF(IF(OR(IFERROR(SEARCH("Cleric",$T97,1),0)&gt;0,IFERROR(SEARCH(DivineDomain&amp;",",$T97,1),0)&gt;0),1,0)*IF($C97=DF$2,1,0)=1,1+COUNTIF(DF$3:DF96,"&gt;0"),0)</f>
        <v>0</v>
      </c>
      <c r="DG97">
        <f>IF(IF(OR(IFERROR(SEARCH("Cleric",$T97,1),0)&gt;0,IFERROR(SEARCH(DivineDomain&amp;",",$T97,1),0)&gt;0),1,0)*IF($C97=DG$2,1,0)=1,1+COUNTIF(DG$3:DG96,"&gt;0"),0)</f>
        <v>0</v>
      </c>
      <c r="DH97">
        <f>IF(IF(OR(IFERROR(SEARCH("Cleric",$T97,1),0)&gt;0,IFERROR(SEARCH(DivineDomain&amp;",",$T97,1),0)&gt;0),1,0)*IF($C97=DH$2,1,0)=1,1+COUNTIF(DH$3:DH96,"&gt;0"),0)</f>
        <v>0</v>
      </c>
      <c r="DI97">
        <f>IF(IF(OR(IFERROR(SEARCH("Cleric",$T97,1),0)&gt;0,IFERROR(SEARCH(DivineDomain&amp;",",$T97,1),0)&gt;0),1,0)*IF($C97=DI$2,1,0)=1,1+COUNTIF(DI$3:DI96,"&gt;0"),0)</f>
        <v>0</v>
      </c>
      <c r="DJ97">
        <f>IF(IF(OR(IFERROR(SEARCH("Druid",$T97,1),0)&gt;0,IFERROR(SEARCH(DruidLand1,$T97,1),0)&gt;0,IFERROR(SEARCH(DruidLand2,$T97,1),0)&gt;0,IFERROR(SEARCH(DruidLand3,$T97,1),0)&gt;0,IFERROR(SEARCH(DruidLand4,$T97,1),0)&gt;0),1,0)*IF($C97=1,1,0)*IF($C97=DJ$2,1,0)=0,0,1+COUNTIF(DJ$3:DJ96,"&gt;0"))</f>
        <v>5</v>
      </c>
      <c r="DK97">
        <f>IF(IF(OR(IFERROR(SEARCH("Druid",$T97,1),0)&gt;0,IFERROR(SEARCH(DruidLand1,$T97,1),0)&gt;0,IFERROR(SEARCH(DruidLand2,$T97,1),0)&gt;0,IFERROR(SEARCH(DruidLand3,$T97,1),0)&gt;0,IFERROR(SEARCH(DruidLand4,$T97,1),0)&gt;0),1,0)*IF($C97=DK$2,1,0)=0,0,1+COUNTIF(DK$3:DK96,"&gt;0"))</f>
        <v>0</v>
      </c>
      <c r="DL97">
        <f>IF(IF(OR(IFERROR(SEARCH("Druid",$T97,1),0)&gt;0,IFERROR(SEARCH(DruidLand1,$T97,1),0)&gt;0,IFERROR(SEARCH(DruidLand2,$T97,1),0)&gt;0,IFERROR(SEARCH(DruidLand3,$T97,1),0)&gt;0,IFERROR(SEARCH(DruidLand4,$T97,1),0)&gt;0),1,0)*IF($C97=DL$2,1,0)=0,0,1+COUNTIF(DL$3:DL96,"&gt;0"))</f>
        <v>0</v>
      </c>
      <c r="DM97">
        <f>IF(IF(OR(IFERROR(SEARCH("Druid",$T97,1),0)&gt;0,IFERROR(SEARCH(DruidLand1,$T97,1),0)&gt;0,IFERROR(SEARCH(DruidLand2,$T97,1),0)&gt;0,IFERROR(SEARCH(DruidLand3,$T97,1),0)&gt;0,IFERROR(SEARCH(DruidLand4,$T97,1),0)&gt;0),1,0)*IF($C97=DM$2,1,0)=0,0,1+COUNTIF(DM$3:DM96,"&gt;0"))</f>
        <v>0</v>
      </c>
      <c r="DN97">
        <f>IF(IF(OR(IFERROR(SEARCH("Druid",$T97,1),0)&gt;0,IFERROR(SEARCH(DruidLand1,$T97,1),0)&gt;0,IFERROR(SEARCH(DruidLand2,$T97,1),0)&gt;0,IFERROR(SEARCH(DruidLand3,$T97,1),0)&gt;0,IFERROR(SEARCH(DruidLand4,$T97,1),0)&gt;0),1,0)*IF($C97=DN$2,1,0)=0,0,1+COUNTIF(DN$3:DN96,"&gt;0"))</f>
        <v>0</v>
      </c>
      <c r="DO97">
        <f>IF(IF(OR(IFERROR(SEARCH("Druid",$T97,1),0)&gt;0,IFERROR(SEARCH(DruidLand1,$T97,1),0)&gt;0,IFERROR(SEARCH(DruidLand2,$T97,1),0)&gt;0,IFERROR(SEARCH(DruidLand3,$T97,1),0)&gt;0,IFERROR(SEARCH(DruidLand4,$T97,1),0)&gt;0),1,0)*IF($C97=DO$2,1,0)=0,0,1+COUNTIF(DO$3:DO96,"&gt;0"))</f>
        <v>0</v>
      </c>
      <c r="DP97">
        <f>IF(IF(OR(IFERROR(SEARCH("Druid",$T97,1),0)&gt;0,IFERROR(SEARCH(DruidLand1,$T97,1),0)&gt;0,IFERROR(SEARCH(DruidLand2,$T97,1),0)&gt;0,IFERROR(SEARCH(DruidLand3,$T97,1),0)&gt;0,IFERROR(SEARCH(DruidLand4,$T97,1),0)&gt;0),1,0)*IF($C97=DP$2,1,0)=0,0,1+COUNTIF(DP$3:DP96,"&gt;0"))</f>
        <v>0</v>
      </c>
      <c r="DQ97">
        <f>IF(IF(OR(IFERROR(SEARCH("Druid",$T97,1),0)&gt;0,IFERROR(SEARCH(DruidLand1,$T97,1),0)&gt;0,IFERROR(SEARCH(DruidLand2,$T97,1),0)&gt;0,IFERROR(SEARCH(DruidLand3,$T97,1),0)&gt;0,IFERROR(SEARCH(DruidLand4,$T97,1),0)&gt;0),1,0)*IF($C97=DQ$2,1,0)=0,0,1+COUNTIF(DQ$3:DQ96,"&gt;0"))</f>
        <v>0</v>
      </c>
      <c r="DR97">
        <f>IF(IF(OR(IFERROR(SEARCH("Druid",$T97,1),0)&gt;0,IFERROR(SEARCH(DruidLand1,$T97,1),0)&gt;0,IFERROR(SEARCH(DruidLand2,$T97,1),0)&gt;0,IFERROR(SEARCH(DruidLand3,$T97,1),0)&gt;0,IFERROR(SEARCH(DruidLand4,$T97,1),0)&gt;0),1,0)*IF($C97=DR$2,1,0)=0,0,1+COUNTIF(DR$3:DR96,"&gt;0"))</f>
        <v>0</v>
      </c>
      <c r="DS97">
        <f>IF(IF(OR(IFERROR(SEARCH("Paladin",$T97,1),0)&gt;0,IFERROR(SEARCH(PaladinOath,$T97,1),0)&gt;0),1,0)*IF($C97=DS$2,1,0)=1,1+COUNTIF(DS$3:DS96,"&gt;0"),0)</f>
        <v>6</v>
      </c>
      <c r="DT97">
        <f>IF(IF(OR(IFERROR(SEARCH("Paladin",$T97,1),0)&gt;0,IFERROR(SEARCH(PaladinOath,$T97,1),0)&gt;0),1,0)*IF($C97=DT$2,1,0)=1,1+COUNTIF(DT$3:DT96,"&gt;0"),0)</f>
        <v>0</v>
      </c>
      <c r="DU97">
        <f>IF(IF(OR(IFERROR(SEARCH("Paladin",$T97,1),0)&gt;0,IFERROR(SEARCH(PaladinOath,$T97,1),0)&gt;0),1,0)*IF($C97=DU$2,1,0)=1,1+COUNTIF(DU$3:DU96,"&gt;0"),0)</f>
        <v>0</v>
      </c>
      <c r="DV97">
        <f>IF(IF(OR(IFERROR(SEARCH("Paladin",$T97,1),0)&gt;0,IFERROR(SEARCH(PaladinOath,$T97,1),0)&gt;0),1,0)*IF($C97=DV$2,1,0)=1,1+COUNTIF(DV$3:DV96,"&gt;0"),0)</f>
        <v>0</v>
      </c>
      <c r="DW97">
        <f>IF(IF(OR(IFERROR(SEARCH("Paladin",$T97,1),0)&gt;0,IFERROR(SEARCH(PaladinOath,$T97,1),0)&gt;0),1,0)*IF($C97=DW$2,1,0)=1,1+COUNTIF(DW$3:DW96,"&gt;0"),0)</f>
        <v>0</v>
      </c>
      <c r="DY97">
        <f t="shared" si="56"/>
        <v>1</v>
      </c>
      <c r="DZ97">
        <f>IF(DY97=0,0,1+MAX(DZ$3:$DZ96))</f>
        <v>95</v>
      </c>
      <c r="EB97">
        <f t="shared" si="70"/>
        <v>0</v>
      </c>
      <c r="EC97">
        <f>IF(EB97=0,0,1+COUNTIF(EC$3:EC96,"&gt;0"))</f>
        <v>0</v>
      </c>
      <c r="ED97" t="str">
        <f t="shared" si="98"/>
        <v/>
      </c>
      <c r="EE97" t="str">
        <f t="shared" si="71"/>
        <v/>
      </c>
      <c r="EG97">
        <f t="shared" si="72"/>
        <v>0</v>
      </c>
      <c r="EH97">
        <f>IF(EG97=0,0,1+COUNTIF(EH$3:EH96,"&gt;0"))</f>
        <v>0</v>
      </c>
      <c r="EI97" t="str">
        <f t="shared" si="99"/>
        <v/>
      </c>
      <c r="EJ97" t="str">
        <f t="shared" si="73"/>
        <v/>
      </c>
      <c r="EL97">
        <f t="shared" si="74"/>
        <v>0</v>
      </c>
      <c r="EM97">
        <f>IF(EL97=0,0,1+COUNTIF(EM$3:EM96,"&gt;0"))</f>
        <v>0</v>
      </c>
      <c r="EN97" t="str">
        <f t="shared" si="100"/>
        <v/>
      </c>
      <c r="EO97" t="str">
        <f t="shared" si="75"/>
        <v/>
      </c>
      <c r="EQ97">
        <f t="shared" si="76"/>
        <v>0</v>
      </c>
      <c r="ER97">
        <f>IF(EQ97=0,0,1+COUNTIF(ER$3:ER96,"&gt;0"))</f>
        <v>0</v>
      </c>
      <c r="ES97" t="str">
        <f t="shared" si="101"/>
        <v/>
      </c>
      <c r="ET97" t="str">
        <f t="shared" si="77"/>
        <v/>
      </c>
      <c r="EV97">
        <f t="shared" si="78"/>
        <v>0</v>
      </c>
      <c r="EW97">
        <f>IF(EV97=0,0,1+COUNTIF(EW$3:EW96,"&gt;0"))</f>
        <v>0</v>
      </c>
      <c r="EX97" t="str">
        <f t="shared" si="102"/>
        <v/>
      </c>
      <c r="EY97" t="str">
        <f t="shared" si="79"/>
        <v/>
      </c>
      <c r="FA97">
        <f t="shared" si="80"/>
        <v>0</v>
      </c>
      <c r="FB97">
        <f>IF(FA97=0,0,1+COUNTIF(FB$3:FB96,"&gt;0"))</f>
        <v>0</v>
      </c>
      <c r="FC97" t="str">
        <f t="shared" si="103"/>
        <v/>
      </c>
      <c r="FD97" t="str">
        <f t="shared" si="81"/>
        <v/>
      </c>
      <c r="FF97">
        <f t="shared" si="82"/>
        <v>0</v>
      </c>
      <c r="FG97">
        <f>IF(FF97=0,0,1+COUNTIF(FG$3:FG96,"&gt;0"))</f>
        <v>0</v>
      </c>
      <c r="FH97" t="str">
        <f t="shared" si="104"/>
        <v/>
      </c>
      <c r="FI97" t="str">
        <f t="shared" si="83"/>
        <v/>
      </c>
      <c r="FK97">
        <f t="shared" si="84"/>
        <v>0</v>
      </c>
      <c r="FL97">
        <f>IF(FK97=0,0,1+COUNTIF(FL$3:FL96,"&gt;0"))</f>
        <v>0</v>
      </c>
      <c r="FM97" t="str">
        <f t="shared" si="105"/>
        <v/>
      </c>
      <c r="FN97" t="str">
        <f t="shared" si="85"/>
        <v/>
      </c>
      <c r="FP97">
        <f t="shared" si="86"/>
        <v>0</v>
      </c>
      <c r="FQ97">
        <f>IF(FP97=0,0,1+COUNTIF(FQ$3:FQ96,"&gt;0"))</f>
        <v>0</v>
      </c>
      <c r="FR97" t="str">
        <f t="shared" si="106"/>
        <v/>
      </c>
      <c r="FS97" t="str">
        <f t="shared" si="87"/>
        <v/>
      </c>
    </row>
    <row r="98" spans="1:175" x14ac:dyDescent="0.25">
      <c r="A98" s="347">
        <f t="shared" si="107"/>
        <v>96</v>
      </c>
      <c r="B98" s="348" t="s">
        <v>2465</v>
      </c>
      <c r="C98" s="348">
        <v>1</v>
      </c>
      <c r="D98" s="347">
        <v>1</v>
      </c>
      <c r="E98" s="627" t="s">
        <v>6952</v>
      </c>
      <c r="F98" s="346"/>
      <c r="G98" s="347" t="s">
        <v>5269</v>
      </c>
      <c r="H98" s="347" t="s">
        <v>5913</v>
      </c>
      <c r="I98" s="347" t="s">
        <v>5283</v>
      </c>
      <c r="J98" s="347" t="str">
        <f t="shared" si="57"/>
        <v/>
      </c>
      <c r="K98" s="347" t="s">
        <v>5297</v>
      </c>
      <c r="L98" s="611" t="str">
        <f t="shared" si="58"/>
        <v>V, S, M, a yew leaf</v>
      </c>
      <c r="M98" s="347" t="s">
        <v>2373</v>
      </c>
      <c r="N98" s="347" t="s">
        <v>2387</v>
      </c>
      <c r="O98" s="347" t="s">
        <v>1244</v>
      </c>
      <c r="P98" s="346" t="s">
        <v>5349</v>
      </c>
      <c r="Q98" s="347" t="s">
        <v>2473</v>
      </c>
      <c r="S98" s="346" t="s">
        <v>5658</v>
      </c>
      <c r="T98" s="346" t="str">
        <f t="shared" si="59"/>
        <v xml:space="preserve">Paladin, Ranger, Cleric, Druid, </v>
      </c>
      <c r="V98" s="347" t="str">
        <f t="shared" si="109"/>
        <v>Detect Poison and Disease</v>
      </c>
      <c r="W98" s="347" t="str">
        <f t="shared" si="109"/>
        <v>Detect Poison and Disease</v>
      </c>
      <c r="Z98" s="347" t="str">
        <f>$B98</f>
        <v>Detect Poison and Disease</v>
      </c>
      <c r="AA98" s="347" t="str">
        <f>$B98</f>
        <v>Detect Poison and Disease</v>
      </c>
      <c r="AE98" t="str">
        <f>IF(IFERROR(MATCH($B98,temp!A$4:A$13,0),0)&gt;0,T08_Spells!AE$2,"")</f>
        <v/>
      </c>
      <c r="AF98" t="str">
        <f>IF(IFERROR(MATCH($B98,temp!B$4:B$13,0),0)&gt;0,T08_Spells!AF$2,"")</f>
        <v/>
      </c>
      <c r="AG98" t="str">
        <f>IF(IFERROR(MATCH($B98,temp!C$4:C$13,0),0)&gt;0,T08_Spells!AG$2,"")</f>
        <v/>
      </c>
      <c r="AH98" t="str">
        <f>IF(IFERROR(MATCH($B98,temp!D$4:D$13,0),0)&gt;0,T08_Spells!AH$2,"")</f>
        <v/>
      </c>
      <c r="AI98" t="str">
        <f>IF(IFERROR(MATCH($B98,temp!E$4:E$13,0),0)&gt;0,T08_Spells!AI$2,"")</f>
        <v/>
      </c>
      <c r="AJ98" t="str">
        <f>IF(IFERROR(MATCH($B98,temp!F$4:F$13,0),0)&gt;0,T08_Spells!AJ$2,"")</f>
        <v/>
      </c>
      <c r="AK98" t="str">
        <f>IF(IFERROR(MATCH($B98,temp!G$4:G$13,0),0)&gt;0,T08_Spells!AK$2,"")</f>
        <v/>
      </c>
      <c r="AL98" t="str">
        <f>IF(IFERROR(MATCH($B98,temp!H$4:H$13,0),0)&gt;0,T08_Spells!AL$2,"")</f>
        <v/>
      </c>
      <c r="AM98" t="str">
        <f>IF(IFERROR(MATCH($B98,temp!I$4:I$13,0),0)&gt;0,T08_Spells!AM$2,"")</f>
        <v/>
      </c>
      <c r="AN98" t="str">
        <f>IF(IFERROR(MATCH($B98,temp!J$4:J$13,0),0)&gt;0,T08_Spells!AN$2,"")</f>
        <v/>
      </c>
      <c r="AO98" t="str">
        <f>IF(IFERROR(MATCH($B98,temp!K$4:K$13,0),0)&gt;0,T08_Spells!AO$2,"")</f>
        <v/>
      </c>
      <c r="AP98" t="str">
        <f>IF(IFERROR(MATCH($B98,temp!L$4:L$13,0),0)&gt;0,T08_Spells!AP$2,"")</f>
        <v/>
      </c>
      <c r="AQ98" t="str">
        <f>IF(IFERROR(MATCH($B98,temp!M$4:M$13,0),0)&gt;0,T08_Spells!AQ$2,"")</f>
        <v/>
      </c>
      <c r="AR98" t="str">
        <f>IF(IFERROR(MATCH($B98,temp!N$4:N$13,0),0)&gt;0,T08_Spells!AR$2,"")</f>
        <v/>
      </c>
      <c r="AS98" t="str">
        <f>IF(IFERROR(MATCH($B98,temp!O$4:O$13,0),0)&gt;0,T08_Spells!AS$2,"")</f>
        <v/>
      </c>
      <c r="AT98" t="str">
        <f>IF(IFERROR(MATCH($B98,temp!P$4:P$13,0),0)&gt;0,T08_Spells!AT$2,"")</f>
        <v/>
      </c>
      <c r="AU98" t="str">
        <f>IF(IFERROR(MATCH($B98,temp!Q$4:Q$13,0),0)&gt;0,T08_Spells!AU$2,"")</f>
        <v/>
      </c>
      <c r="AV98" t="str">
        <f>IF(IFERROR(MATCH($B98,temp!R$4:R$13,0),0)&gt;0,T08_Spells!AV$2,"")</f>
        <v/>
      </c>
      <c r="AW98" t="str">
        <f>IF(IFERROR(MATCH($B98,temp!S$4:S$13,0),0)&gt;0,T08_Spells!AW$2,"")</f>
        <v/>
      </c>
      <c r="AX98" t="str">
        <f>IF(IFERROR(MATCH($B98,temp!T$4:T$13,0),0)&gt;0,T08_Spells!AX$2,"")</f>
        <v/>
      </c>
      <c r="AY98" t="str">
        <f>IF(IFERROR(MATCH($B98,temp!U$4:U$13,0),0)&gt;0,T08_Spells!AY$2,"")</f>
        <v/>
      </c>
      <c r="AZ98" t="str">
        <f>IF(IFERROR(MATCH($B98,temp!V$4:V$13,0),0)&gt;0,T08_Spells!AZ$2,"")</f>
        <v/>
      </c>
      <c r="BA98" t="str">
        <f>IF(IFERROR(MATCH($B98,temp!W$4:W$13,0),0)&gt;0,T08_Spells!BA$2,"")</f>
        <v/>
      </c>
      <c r="BC98">
        <f>IF(IFERROR(SEARCH("Ranger",$T98,1),0)&gt;0,1,0)*IF(RangerMaxSpellLevel&gt;=$C98,1,0)*IF(IFERROR(MATCH(B98,Character_Creation!$X$79:$X$382,0),0)&gt;0,0,1)</f>
        <v>0</v>
      </c>
      <c r="BD98">
        <f>IF(BC98=0,0,1+COUNTIF(BD$3:BD97,"&gt;0"))</f>
        <v>0</v>
      </c>
      <c r="BE98" t="str">
        <f t="shared" si="88"/>
        <v/>
      </c>
      <c r="BF98" t="str">
        <f t="shared" si="60"/>
        <v/>
      </c>
      <c r="BH98">
        <f>IF(IFERROR(SEARCH("Sorcerer",$T98,1),0)&gt;0,1,0)*IF(SorcererMaxSpellLevel&gt;=$C98,1,0)*IF(IFERROR(MATCH(B98,Character_Creation!$J$380:$J$394,0),0)&gt;0,0,1)</f>
        <v>0</v>
      </c>
      <c r="BI98">
        <f>IF(BH98=0,0,1+COUNTIF(BI$3:BI97,"&gt;0"))</f>
        <v>0</v>
      </c>
      <c r="BJ98" t="str">
        <f t="shared" si="89"/>
        <v/>
      </c>
      <c r="BK98" t="str">
        <f t="shared" si="61"/>
        <v/>
      </c>
      <c r="BM98">
        <f>IF(OR(IFERROR(SEARCH("Warlock",$T98,1),0)&gt;0,IFERROR(SEARCH(WarlockPatron,$T98,1),0)&gt;0),1,0)*IF(WarlockMaxSpellLevel&gt;=$C98,1,0)*IF(IFERROR(MATCH(B98,Character_Creation!$J$361:$J$375,0),0)&gt;0,0,1)</f>
        <v>0</v>
      </c>
      <c r="BN98">
        <f>IF(BM98=0,0,1+COUNTIF(BN$3:BN97,"&gt;0"))</f>
        <v>0</v>
      </c>
      <c r="BO98" t="str">
        <f t="shared" si="90"/>
        <v/>
      </c>
      <c r="BP98" t="str">
        <f t="shared" si="62"/>
        <v/>
      </c>
      <c r="BR98">
        <f>IF(IFERROR(SEARCH("Eldritch Knight",$T98,1),0)&gt;0,1,0)*IF(EldritchKnightMaxSpellLevel&gt;=$C98,1,0)*IF(IFERROR(MATCH($B98,Character_Creation!$J$350:$J$356,0),0)&gt;0,0,1)*IF(Character_Creation!$M$338&gt;0,1,0)</f>
        <v>0</v>
      </c>
      <c r="BS98">
        <f>IF(BR98=0,0,1+COUNTIF(BS$3:BS97,"&gt;0"))</f>
        <v>0</v>
      </c>
      <c r="BT98" t="str">
        <f t="shared" si="91"/>
        <v/>
      </c>
      <c r="BU98" t="str">
        <f t="shared" si="63"/>
        <v/>
      </c>
      <c r="BW98">
        <f>IF(IFERROR(SEARCH("Arcane Trickster",$T98,1),0)&gt;0,1,0)*IF(ArcaneTricksterMaxSpellLevel&gt;=$C98,1,0)*IF(IFERROR(MATCH($B98,Character_Creation!$J$350:$J$356,0),0)&gt;0,0,1)*IF(Character_Creation!$T$338&gt;0,1,0)</f>
        <v>0</v>
      </c>
      <c r="BX98">
        <f>IF(BW98=0,0,1+COUNTIF(BX$3:BX97,"&gt;0"))</f>
        <v>0</v>
      </c>
      <c r="BY98" t="str">
        <f t="shared" si="92"/>
        <v/>
      </c>
      <c r="BZ98" t="str">
        <f t="shared" si="64"/>
        <v/>
      </c>
      <c r="CB98">
        <f>IF(IFERROR(SEARCH("Wizard",$T98,1),0)&gt;0,1,0)*IF(C98&lt;=ArcaneTricksterMaxSpellLevel,1,0)*IF(IFERROR(MATCH($B98,Character_Creation!$J$350:$J$356,0),0)&gt;0,0,1)*IF(Character_Creation!$T$350&gt;0,1,0)</f>
        <v>0</v>
      </c>
      <c r="CC98">
        <f>IF(CB98=0,0,1+COUNTIF(CC$3:CC97,"&gt;0"))</f>
        <v>0</v>
      </c>
      <c r="CD98" t="str">
        <f t="shared" si="93"/>
        <v/>
      </c>
      <c r="CE98" t="str">
        <f t="shared" si="65"/>
        <v/>
      </c>
      <c r="CG98">
        <f>IF(IFERROR(SEARCH("Wizard",$T98,1),0)&gt;0,1,0)*IF($C98&lt;=EldritchKnightMaxSpellLevel,1,0)*IF(IFERROR(MATCH($B98,Character_Creation!$J$350:$J$356,0),0)&gt;0,0,1)*IF(Character_Creation!$M$350&gt;0,1,0)</f>
        <v>0</v>
      </c>
      <c r="CH98">
        <f>IF(CG98=0,0,1+COUNTIF(CH$3:CH97,"&gt;0"))</f>
        <v>0</v>
      </c>
      <c r="CI98" t="str">
        <f t="shared" si="94"/>
        <v/>
      </c>
      <c r="CJ98" t="str">
        <f t="shared" si="66"/>
        <v/>
      </c>
      <c r="CL98">
        <f>IF(IFERROR(SEARCH("Bard",$T98,1),0)&gt;0,1,0)*IF(BardMaxSpellLevel&gt;=$C98,1,0)*IF(IFERROR(MATCH(B98,Character_Creation!$C$341:$F$362,0),0)&gt;0,0,1)*IF(IFERROR(MATCH($B98,Character_Creation!$C$341:$C$362,0),0)&gt;0,0,1)</f>
        <v>0</v>
      </c>
      <c r="CM98">
        <f>IF(CL98=0,0,1+COUNTIF(CM$3:CM97,"&gt;0"))</f>
        <v>0</v>
      </c>
      <c r="CN98" t="str">
        <f t="shared" si="95"/>
        <v/>
      </c>
      <c r="CO98" t="str">
        <f t="shared" si="67"/>
        <v/>
      </c>
      <c r="CQ98">
        <f>IF(IFERROR(SEARCH("Wizard",$T98,1),0)&gt;0,1,0)*IF(WizardMaxSpellLevel&gt;=$C98,1,0)*IF(IFERROR(MATCH(B98,Character_Creation!$X$341:$X$400,0),0)&gt;0,0,1)*IF(SelectedWizardSpellLevel=$C98,1,0)</f>
        <v>0</v>
      </c>
      <c r="CR98">
        <f>IF(CQ98=0,0,1+COUNTIF(CR$3:CR97,"&gt;0"))</f>
        <v>0</v>
      </c>
      <c r="CS98" t="str">
        <f t="shared" si="96"/>
        <v/>
      </c>
      <c r="CT98" t="str">
        <f t="shared" si="68"/>
        <v/>
      </c>
      <c r="CV98">
        <f>IF(IFERROR(MATCH($B98,Character_Creation!$C$341:$C$362,0),0)&gt;0,0,1)*IF(OR(C98="Cantrip",C98&lt;=BardMaxSpellLevel),1,0)*IF(IFERROR(MATCH($B98,Character_Creation!$C$367:$C$374,0),0)&gt;0,0,1)</f>
        <v>0</v>
      </c>
      <c r="CW98">
        <f>IF(CV98=0,0,1+COUNTIF(CW$3:CW97,"&gt;0"))</f>
        <v>0</v>
      </c>
      <c r="CX98" t="str">
        <f t="shared" si="97"/>
        <v/>
      </c>
      <c r="CY98" t="str">
        <f t="shared" si="69"/>
        <v/>
      </c>
      <c r="DA98">
        <f>IF(IF(OR(IFERROR(SEARCH("Cleric",$T98,1),0)&gt;0,IFERROR(SEARCH(DivineDomain&amp;",",$T98,1),0)&gt;0),1,0)*IF($C98=DA$2,1,0)=1,1+COUNTIF(DA$3:DA97,"&gt;0"),0)</f>
        <v>8</v>
      </c>
      <c r="DB98">
        <f>IF(IF(OR(IFERROR(SEARCH("Cleric",$T98,1),0)&gt;0,IFERROR(SEARCH(DivineDomain&amp;",",$T98,1),0)&gt;0),1,0)*IF($C98=DB$2,1,0)=1,1+COUNTIF(DB$3:DB97,"&gt;0"),0)</f>
        <v>0</v>
      </c>
      <c r="DC98">
        <f>IF(IF(OR(IFERROR(SEARCH("Cleric",$T98,1),0)&gt;0,IFERROR(SEARCH(DivineDomain&amp;",",$T98,1),0)&gt;0),1,0)*IF($C98=DC$2,1,0)=1,1+COUNTIF(DC$3:DC97,"&gt;0"),0)</f>
        <v>0</v>
      </c>
      <c r="DD98">
        <f>IF(IF(OR(IFERROR(SEARCH("Cleric",$T98,1),0)&gt;0,IFERROR(SEARCH(DivineDomain&amp;",",$T98,1),0)&gt;0),1,0)*IF($C98=DD$2,1,0)=1,1+COUNTIF(DD$3:DD97,"&gt;0"),0)</f>
        <v>0</v>
      </c>
      <c r="DE98">
        <f>IF(IF(OR(IFERROR(SEARCH("Cleric",$T98,1),0)&gt;0,IFERROR(SEARCH(DivineDomain&amp;",",$T98,1),0)&gt;0),1,0)*IF($C98=DE$2,1,0)=1,1+COUNTIF(DE$3:DE97,"&gt;0"),0)</f>
        <v>0</v>
      </c>
      <c r="DF98">
        <f>IF(IF(OR(IFERROR(SEARCH("Cleric",$T98,1),0)&gt;0,IFERROR(SEARCH(DivineDomain&amp;",",$T98,1),0)&gt;0),1,0)*IF($C98=DF$2,1,0)=1,1+COUNTIF(DF$3:DF97,"&gt;0"),0)</f>
        <v>0</v>
      </c>
      <c r="DG98">
        <f>IF(IF(OR(IFERROR(SEARCH("Cleric",$T98,1),0)&gt;0,IFERROR(SEARCH(DivineDomain&amp;",",$T98,1),0)&gt;0),1,0)*IF($C98=DG$2,1,0)=1,1+COUNTIF(DG$3:DG97,"&gt;0"),0)</f>
        <v>0</v>
      </c>
      <c r="DH98">
        <f>IF(IF(OR(IFERROR(SEARCH("Cleric",$T98,1),0)&gt;0,IFERROR(SEARCH(DivineDomain&amp;",",$T98,1),0)&gt;0),1,0)*IF($C98=DH$2,1,0)=1,1+COUNTIF(DH$3:DH97,"&gt;0"),0)</f>
        <v>0</v>
      </c>
      <c r="DI98">
        <f>IF(IF(OR(IFERROR(SEARCH("Cleric",$T98,1),0)&gt;0,IFERROR(SEARCH(DivineDomain&amp;",",$T98,1),0)&gt;0),1,0)*IF($C98=DI$2,1,0)=1,1+COUNTIF(DI$3:DI97,"&gt;0"),0)</f>
        <v>0</v>
      </c>
      <c r="DJ98">
        <f>IF(IF(OR(IFERROR(SEARCH("Druid",$T98,1),0)&gt;0,IFERROR(SEARCH(DruidLand1,$T98,1),0)&gt;0,IFERROR(SEARCH(DruidLand2,$T98,1),0)&gt;0,IFERROR(SEARCH(DruidLand3,$T98,1),0)&gt;0,IFERROR(SEARCH(DruidLand4,$T98,1),0)&gt;0),1,0)*IF($C98=1,1,0)*IF($C98=DJ$2,1,0)=0,0,1+COUNTIF(DJ$3:DJ97,"&gt;0"))</f>
        <v>6</v>
      </c>
      <c r="DK98">
        <f>IF(IF(OR(IFERROR(SEARCH("Druid",$T98,1),0)&gt;0,IFERROR(SEARCH(DruidLand1,$T98,1),0)&gt;0,IFERROR(SEARCH(DruidLand2,$T98,1),0)&gt;0,IFERROR(SEARCH(DruidLand3,$T98,1),0)&gt;0,IFERROR(SEARCH(DruidLand4,$T98,1),0)&gt;0),1,0)*IF($C98=DK$2,1,0)=0,0,1+COUNTIF(DK$3:DK97,"&gt;0"))</f>
        <v>0</v>
      </c>
      <c r="DL98">
        <f>IF(IF(OR(IFERROR(SEARCH("Druid",$T98,1),0)&gt;0,IFERROR(SEARCH(DruidLand1,$T98,1),0)&gt;0,IFERROR(SEARCH(DruidLand2,$T98,1),0)&gt;0,IFERROR(SEARCH(DruidLand3,$T98,1),0)&gt;0,IFERROR(SEARCH(DruidLand4,$T98,1),0)&gt;0),1,0)*IF($C98=DL$2,1,0)=0,0,1+COUNTIF(DL$3:DL97,"&gt;0"))</f>
        <v>0</v>
      </c>
      <c r="DM98">
        <f>IF(IF(OR(IFERROR(SEARCH("Druid",$T98,1),0)&gt;0,IFERROR(SEARCH(DruidLand1,$T98,1),0)&gt;0,IFERROR(SEARCH(DruidLand2,$T98,1),0)&gt;0,IFERROR(SEARCH(DruidLand3,$T98,1),0)&gt;0,IFERROR(SEARCH(DruidLand4,$T98,1),0)&gt;0),1,0)*IF($C98=DM$2,1,0)=0,0,1+COUNTIF(DM$3:DM97,"&gt;0"))</f>
        <v>0</v>
      </c>
      <c r="DN98">
        <f>IF(IF(OR(IFERROR(SEARCH("Druid",$T98,1),0)&gt;0,IFERROR(SEARCH(DruidLand1,$T98,1),0)&gt;0,IFERROR(SEARCH(DruidLand2,$T98,1),0)&gt;0,IFERROR(SEARCH(DruidLand3,$T98,1),0)&gt;0,IFERROR(SEARCH(DruidLand4,$T98,1),0)&gt;0),1,0)*IF($C98=DN$2,1,0)=0,0,1+COUNTIF(DN$3:DN97,"&gt;0"))</f>
        <v>0</v>
      </c>
      <c r="DO98">
        <f>IF(IF(OR(IFERROR(SEARCH("Druid",$T98,1),0)&gt;0,IFERROR(SEARCH(DruidLand1,$T98,1),0)&gt;0,IFERROR(SEARCH(DruidLand2,$T98,1),0)&gt;0,IFERROR(SEARCH(DruidLand3,$T98,1),0)&gt;0,IFERROR(SEARCH(DruidLand4,$T98,1),0)&gt;0),1,0)*IF($C98=DO$2,1,0)=0,0,1+COUNTIF(DO$3:DO97,"&gt;0"))</f>
        <v>0</v>
      </c>
      <c r="DP98">
        <f>IF(IF(OR(IFERROR(SEARCH("Druid",$T98,1),0)&gt;0,IFERROR(SEARCH(DruidLand1,$T98,1),0)&gt;0,IFERROR(SEARCH(DruidLand2,$T98,1),0)&gt;0,IFERROR(SEARCH(DruidLand3,$T98,1),0)&gt;0,IFERROR(SEARCH(DruidLand4,$T98,1),0)&gt;0),1,0)*IF($C98=DP$2,1,0)=0,0,1+COUNTIF(DP$3:DP97,"&gt;0"))</f>
        <v>0</v>
      </c>
      <c r="DQ98">
        <f>IF(IF(OR(IFERROR(SEARCH("Druid",$T98,1),0)&gt;0,IFERROR(SEARCH(DruidLand1,$T98,1),0)&gt;0,IFERROR(SEARCH(DruidLand2,$T98,1),0)&gt;0,IFERROR(SEARCH(DruidLand3,$T98,1),0)&gt;0,IFERROR(SEARCH(DruidLand4,$T98,1),0)&gt;0),1,0)*IF($C98=DQ$2,1,0)=0,0,1+COUNTIF(DQ$3:DQ97,"&gt;0"))</f>
        <v>0</v>
      </c>
      <c r="DR98">
        <f>IF(IF(OR(IFERROR(SEARCH("Druid",$T98,1),0)&gt;0,IFERROR(SEARCH(DruidLand1,$T98,1),0)&gt;0,IFERROR(SEARCH(DruidLand2,$T98,1),0)&gt;0,IFERROR(SEARCH(DruidLand3,$T98,1),0)&gt;0,IFERROR(SEARCH(DruidLand4,$T98,1),0)&gt;0),1,0)*IF($C98=DR$2,1,0)=0,0,1+COUNTIF(DR$3:DR97,"&gt;0"))</f>
        <v>0</v>
      </c>
      <c r="DS98">
        <f>IF(IF(OR(IFERROR(SEARCH("Paladin",$T98,1),0)&gt;0,IFERROR(SEARCH(PaladinOath,$T98,1),0)&gt;0),1,0)*IF($C98=DS$2,1,0)=1,1+COUNTIF(DS$3:DS97,"&gt;0"),0)</f>
        <v>7</v>
      </c>
      <c r="DT98">
        <f>IF(IF(OR(IFERROR(SEARCH("Paladin",$T98,1),0)&gt;0,IFERROR(SEARCH(PaladinOath,$T98,1),0)&gt;0),1,0)*IF($C98=DT$2,1,0)=1,1+COUNTIF(DT$3:DT97,"&gt;0"),0)</f>
        <v>0</v>
      </c>
      <c r="DU98">
        <f>IF(IF(OR(IFERROR(SEARCH("Paladin",$T98,1),0)&gt;0,IFERROR(SEARCH(PaladinOath,$T98,1),0)&gt;0),1,0)*IF($C98=DU$2,1,0)=1,1+COUNTIF(DU$3:DU97,"&gt;0"),0)</f>
        <v>0</v>
      </c>
      <c r="DV98">
        <f>IF(IF(OR(IFERROR(SEARCH("Paladin",$T98,1),0)&gt;0,IFERROR(SEARCH(PaladinOath,$T98,1),0)&gt;0),1,0)*IF($C98=DV$2,1,0)=1,1+COUNTIF(DV$3:DV97,"&gt;0"),0)</f>
        <v>0</v>
      </c>
      <c r="DW98">
        <f>IF(IF(OR(IFERROR(SEARCH("Paladin",$T98,1),0)&gt;0,IFERROR(SEARCH(PaladinOath,$T98,1),0)&gt;0),1,0)*IF($C98=DW$2,1,0)=1,1+COUNTIF(DW$3:DW97,"&gt;0"),0)</f>
        <v>0</v>
      </c>
      <c r="DY98">
        <f t="shared" si="56"/>
        <v>1</v>
      </c>
      <c r="DZ98">
        <f>IF(DY98=0,0,1+MAX(DZ$3:$DZ97))</f>
        <v>96</v>
      </c>
      <c r="EB98">
        <f t="shared" si="70"/>
        <v>0</v>
      </c>
      <c r="EC98">
        <f>IF(EB98=0,0,1+COUNTIF(EC$3:EC97,"&gt;0"))</f>
        <v>0</v>
      </c>
      <c r="ED98" t="str">
        <f t="shared" si="98"/>
        <v/>
      </c>
      <c r="EE98" t="str">
        <f t="shared" si="71"/>
        <v/>
      </c>
      <c r="EG98">
        <f t="shared" si="72"/>
        <v>0</v>
      </c>
      <c r="EH98">
        <f>IF(EG98=0,0,1+COUNTIF(EH$3:EH97,"&gt;0"))</f>
        <v>0</v>
      </c>
      <c r="EI98" t="str">
        <f t="shared" si="99"/>
        <v/>
      </c>
      <c r="EJ98" t="str">
        <f t="shared" si="73"/>
        <v/>
      </c>
      <c r="EL98">
        <f t="shared" si="74"/>
        <v>0</v>
      </c>
      <c r="EM98">
        <f>IF(EL98=0,0,1+COUNTIF(EM$3:EM97,"&gt;0"))</f>
        <v>0</v>
      </c>
      <c r="EN98" t="str">
        <f t="shared" si="100"/>
        <v/>
      </c>
      <c r="EO98" t="str">
        <f t="shared" si="75"/>
        <v/>
      </c>
      <c r="EQ98">
        <f t="shared" si="76"/>
        <v>0</v>
      </c>
      <c r="ER98">
        <f>IF(EQ98=0,0,1+COUNTIF(ER$3:ER97,"&gt;0"))</f>
        <v>0</v>
      </c>
      <c r="ES98" t="str">
        <f t="shared" si="101"/>
        <v/>
      </c>
      <c r="ET98" t="str">
        <f t="shared" si="77"/>
        <v/>
      </c>
      <c r="EV98">
        <f t="shared" si="78"/>
        <v>0</v>
      </c>
      <c r="EW98">
        <f>IF(EV98=0,0,1+COUNTIF(EW$3:EW97,"&gt;0"))</f>
        <v>0</v>
      </c>
      <c r="EX98" t="str">
        <f t="shared" si="102"/>
        <v/>
      </c>
      <c r="EY98" t="str">
        <f t="shared" si="79"/>
        <v/>
      </c>
      <c r="FA98">
        <f t="shared" si="80"/>
        <v>0</v>
      </c>
      <c r="FB98">
        <f>IF(FA98=0,0,1+COUNTIF(FB$3:FB97,"&gt;0"))</f>
        <v>0</v>
      </c>
      <c r="FC98" t="str">
        <f t="shared" si="103"/>
        <v/>
      </c>
      <c r="FD98" t="str">
        <f t="shared" si="81"/>
        <v/>
      </c>
      <c r="FF98">
        <f t="shared" si="82"/>
        <v>0</v>
      </c>
      <c r="FG98">
        <f>IF(FF98=0,0,1+COUNTIF(FG$3:FG97,"&gt;0"))</f>
        <v>0</v>
      </c>
      <c r="FH98" t="str">
        <f t="shared" si="104"/>
        <v/>
      </c>
      <c r="FI98" t="str">
        <f t="shared" si="83"/>
        <v/>
      </c>
      <c r="FK98">
        <f t="shared" si="84"/>
        <v>0</v>
      </c>
      <c r="FL98">
        <f>IF(FK98=0,0,1+COUNTIF(FL$3:FL97,"&gt;0"))</f>
        <v>0</v>
      </c>
      <c r="FM98" t="str">
        <f t="shared" si="105"/>
        <v/>
      </c>
      <c r="FN98" t="str">
        <f t="shared" si="85"/>
        <v/>
      </c>
      <c r="FP98">
        <f t="shared" si="86"/>
        <v>0</v>
      </c>
      <c r="FQ98">
        <f>IF(FP98=0,0,1+COUNTIF(FQ$3:FQ97,"&gt;0"))</f>
        <v>0</v>
      </c>
      <c r="FR98" t="str">
        <f t="shared" si="106"/>
        <v/>
      </c>
      <c r="FS98" t="str">
        <f t="shared" si="87"/>
        <v/>
      </c>
    </row>
    <row r="99" spans="1:175" x14ac:dyDescent="0.25">
      <c r="A99" s="347">
        <f t="shared" si="107"/>
        <v>97</v>
      </c>
      <c r="B99" s="348" t="s">
        <v>2466</v>
      </c>
      <c r="C99" s="348">
        <v>2</v>
      </c>
      <c r="D99" s="347">
        <v>2</v>
      </c>
      <c r="E99" s="627" t="s">
        <v>6952</v>
      </c>
      <c r="F99" s="346"/>
      <c r="G99" s="347" t="str">
        <f>""</f>
        <v/>
      </c>
      <c r="H99" s="347" t="s">
        <v>5912</v>
      </c>
      <c r="I99" s="347" t="s">
        <v>5283</v>
      </c>
      <c r="J99" s="347" t="str">
        <f t="shared" si="57"/>
        <v/>
      </c>
      <c r="K99" s="347" t="s">
        <v>5293</v>
      </c>
      <c r="L99" s="611" t="str">
        <f t="shared" si="58"/>
        <v>V, S, M, a copper piece</v>
      </c>
      <c r="M99" s="347" t="s">
        <v>2373</v>
      </c>
      <c r="N99" s="347" t="s">
        <v>2387</v>
      </c>
      <c r="O99" s="347" t="s">
        <v>1244</v>
      </c>
      <c r="P99" s="346" t="s">
        <v>5350</v>
      </c>
      <c r="Q99" s="347" t="s">
        <v>2473</v>
      </c>
      <c r="S99" s="346" t="s">
        <v>5659</v>
      </c>
      <c r="T99" s="346" t="str">
        <f t="shared" si="59"/>
        <v xml:space="preserve">Bard, Sorcerer, Wizard, Old One, </v>
      </c>
      <c r="U99" s="347" t="str">
        <f>$B99</f>
        <v>Detect Thoughts</v>
      </c>
      <c r="X99" s="347" t="str">
        <f>$B99</f>
        <v>Detect Thoughts</v>
      </c>
      <c r="AD99" s="347" t="str">
        <f>$B99</f>
        <v>Detect Thoughts</v>
      </c>
      <c r="AE99" t="str">
        <f>IF(IFERROR(MATCH($B99,temp!A$4:A$13,0),0)&gt;0,T08_Spells!AE$2,"")</f>
        <v/>
      </c>
      <c r="AF99" t="str">
        <f>IF(IFERROR(MATCH($B99,temp!B$4:B$13,0),0)&gt;0,T08_Spells!AF$2,"")</f>
        <v/>
      </c>
      <c r="AG99" t="str">
        <f>IF(IFERROR(MATCH($B99,temp!C$4:C$13,0),0)&gt;0,T08_Spells!AG$2,"")</f>
        <v/>
      </c>
      <c r="AH99" t="str">
        <f>IF(IFERROR(MATCH($B99,temp!D$4:D$13,0),0)&gt;0,T08_Spells!AH$2,"")</f>
        <v/>
      </c>
      <c r="AI99" t="str">
        <f>IF(IFERROR(MATCH($B99,temp!E$4:E$13,0),0)&gt;0,T08_Spells!AI$2,"")</f>
        <v/>
      </c>
      <c r="AJ99" t="str">
        <f>IF(IFERROR(MATCH($B99,temp!F$4:F$13,0),0)&gt;0,T08_Spells!AJ$2,"")</f>
        <v/>
      </c>
      <c r="AK99" t="str">
        <f>IF(IFERROR(MATCH($B99,temp!G$4:G$13,0),0)&gt;0,T08_Spells!AK$2,"")</f>
        <v>Old One</v>
      </c>
      <c r="AL99" t="str">
        <f>IF(IFERROR(MATCH($B99,temp!H$4:H$13,0),0)&gt;0,T08_Spells!AL$2,"")</f>
        <v/>
      </c>
      <c r="AM99" t="str">
        <f>IF(IFERROR(MATCH($B99,temp!I$4:I$13,0),0)&gt;0,T08_Spells!AM$2,"")</f>
        <v/>
      </c>
      <c r="AN99" t="str">
        <f>IF(IFERROR(MATCH($B99,temp!J$4:J$13,0),0)&gt;0,T08_Spells!AN$2,"")</f>
        <v/>
      </c>
      <c r="AO99" t="str">
        <f>IF(IFERROR(MATCH($B99,temp!K$4:K$13,0),0)&gt;0,T08_Spells!AO$2,"")</f>
        <v/>
      </c>
      <c r="AP99" t="str">
        <f>IF(IFERROR(MATCH($B99,temp!L$4:L$13,0),0)&gt;0,T08_Spells!AP$2,"")</f>
        <v/>
      </c>
      <c r="AQ99" t="str">
        <f>IF(IFERROR(MATCH($B99,temp!M$4:M$13,0),0)&gt;0,T08_Spells!AQ$2,"")</f>
        <v/>
      </c>
      <c r="AR99" t="str">
        <f>IF(IFERROR(MATCH($B99,temp!N$4:N$13,0),0)&gt;0,T08_Spells!AR$2,"")</f>
        <v/>
      </c>
      <c r="AS99" t="str">
        <f>IF(IFERROR(MATCH($B99,temp!O$4:O$13,0),0)&gt;0,T08_Spells!AS$2,"")</f>
        <v/>
      </c>
      <c r="AT99" t="str">
        <f>IF(IFERROR(MATCH($B99,temp!P$4:P$13,0),0)&gt;0,T08_Spells!AT$2,"")</f>
        <v/>
      </c>
      <c r="AU99" t="str">
        <f>IF(IFERROR(MATCH($B99,temp!Q$4:Q$13,0),0)&gt;0,T08_Spells!AU$2,"")</f>
        <v/>
      </c>
      <c r="AV99" t="str">
        <f>IF(IFERROR(MATCH($B99,temp!R$4:R$13,0),0)&gt;0,T08_Spells!AV$2,"")</f>
        <v/>
      </c>
      <c r="AW99" t="str">
        <f>IF(IFERROR(MATCH($B99,temp!S$4:S$13,0),0)&gt;0,T08_Spells!AW$2,"")</f>
        <v/>
      </c>
      <c r="AX99" t="str">
        <f>IF(IFERROR(MATCH($B99,temp!T$4:T$13,0),0)&gt;0,T08_Spells!AX$2,"")</f>
        <v/>
      </c>
      <c r="AY99" t="str">
        <f>IF(IFERROR(MATCH($B99,temp!U$4:U$13,0),0)&gt;0,T08_Spells!AY$2,"")</f>
        <v/>
      </c>
      <c r="AZ99" t="str">
        <f>IF(IFERROR(MATCH($B99,temp!V$4:V$13,0),0)&gt;0,T08_Spells!AZ$2,"")</f>
        <v/>
      </c>
      <c r="BA99" t="str">
        <f>IF(IFERROR(MATCH($B99,temp!W$4:W$13,0),0)&gt;0,T08_Spells!BA$2,"")</f>
        <v/>
      </c>
      <c r="BC99">
        <f>IF(IFERROR(SEARCH("Ranger",$T99,1),0)&gt;0,1,0)*IF(RangerMaxSpellLevel&gt;=$C99,1,0)*IF(IFERROR(MATCH(B99,Character_Creation!$X$79:$X$382,0),0)&gt;0,0,1)</f>
        <v>0</v>
      </c>
      <c r="BD99">
        <f>IF(BC99=0,0,1+COUNTIF(BD$3:BD98,"&gt;0"))</f>
        <v>0</v>
      </c>
      <c r="BE99" t="str">
        <f t="shared" si="88"/>
        <v/>
      </c>
      <c r="BF99" t="str">
        <f t="shared" si="60"/>
        <v/>
      </c>
      <c r="BH99">
        <f>IF(IFERROR(SEARCH("Sorcerer",$T99,1),0)&gt;0,1,0)*IF(SorcererMaxSpellLevel&gt;=$C99,1,0)*IF(IFERROR(MATCH(B99,Character_Creation!$J$380:$J$394,0),0)&gt;0,0,1)</f>
        <v>0</v>
      </c>
      <c r="BI99">
        <f>IF(BH99=0,0,1+COUNTIF(BI$3:BI98,"&gt;0"))</f>
        <v>0</v>
      </c>
      <c r="BJ99" t="str">
        <f t="shared" si="89"/>
        <v/>
      </c>
      <c r="BK99" t="str">
        <f t="shared" si="61"/>
        <v/>
      </c>
      <c r="BM99">
        <f>IF(OR(IFERROR(SEARCH("Warlock",$T99,1),0)&gt;0,IFERROR(SEARCH(WarlockPatron,$T99,1),0)&gt;0),1,0)*IF(WarlockMaxSpellLevel&gt;=$C99,1,0)*IF(IFERROR(MATCH(B99,Character_Creation!$J$361:$J$375,0),0)&gt;0,0,1)</f>
        <v>0</v>
      </c>
      <c r="BN99">
        <f>IF(BM99=0,0,1+COUNTIF(BN$3:BN98,"&gt;0"))</f>
        <v>0</v>
      </c>
      <c r="BO99" t="str">
        <f t="shared" si="90"/>
        <v/>
      </c>
      <c r="BP99" t="str">
        <f t="shared" si="62"/>
        <v/>
      </c>
      <c r="BR99">
        <f>IF(IFERROR(SEARCH("Eldritch Knight",$T99,1),0)&gt;0,1,0)*IF(EldritchKnightMaxSpellLevel&gt;=$C99,1,0)*IF(IFERROR(MATCH($B99,Character_Creation!$J$350:$J$356,0),0)&gt;0,0,1)*IF(Character_Creation!$M$338&gt;0,1,0)</f>
        <v>0</v>
      </c>
      <c r="BS99">
        <f>IF(BR99=0,0,1+COUNTIF(BS$3:BS98,"&gt;0"))</f>
        <v>0</v>
      </c>
      <c r="BT99" t="str">
        <f t="shared" si="91"/>
        <v/>
      </c>
      <c r="BU99" t="str">
        <f t="shared" si="63"/>
        <v/>
      </c>
      <c r="BW99">
        <f>IF(IFERROR(SEARCH("Arcane Trickster",$T99,1),0)&gt;0,1,0)*IF(ArcaneTricksterMaxSpellLevel&gt;=$C99,1,0)*IF(IFERROR(MATCH($B99,Character_Creation!$J$350:$J$356,0),0)&gt;0,0,1)*IF(Character_Creation!$T$338&gt;0,1,0)</f>
        <v>0</v>
      </c>
      <c r="BX99">
        <f>IF(BW99=0,0,1+COUNTIF(BX$3:BX98,"&gt;0"))</f>
        <v>0</v>
      </c>
      <c r="BY99" t="str">
        <f t="shared" si="92"/>
        <v/>
      </c>
      <c r="BZ99" t="str">
        <f t="shared" si="64"/>
        <v/>
      </c>
      <c r="CB99">
        <f>IF(IFERROR(SEARCH("Wizard",$T99,1),0)&gt;0,1,0)*IF(C99&lt;=ArcaneTricksterMaxSpellLevel,1,0)*IF(IFERROR(MATCH($B99,Character_Creation!$J$350:$J$356,0),0)&gt;0,0,1)*IF(Character_Creation!$T$350&gt;0,1,0)</f>
        <v>0</v>
      </c>
      <c r="CC99">
        <f>IF(CB99=0,0,1+COUNTIF(CC$3:CC98,"&gt;0"))</f>
        <v>0</v>
      </c>
      <c r="CD99" t="str">
        <f t="shared" si="93"/>
        <v/>
      </c>
      <c r="CE99" t="str">
        <f t="shared" si="65"/>
        <v/>
      </c>
      <c r="CG99">
        <f>IF(IFERROR(SEARCH("Wizard",$T99,1),0)&gt;0,1,0)*IF($C99&lt;=EldritchKnightMaxSpellLevel,1,0)*IF(IFERROR(MATCH($B99,Character_Creation!$J$350:$J$356,0),0)&gt;0,0,1)*IF(Character_Creation!$M$350&gt;0,1,0)</f>
        <v>1</v>
      </c>
      <c r="CH99">
        <f>IF(CG99=0,0,1+COUNTIF(CH$3:CH98,"&gt;0"))</f>
        <v>17</v>
      </c>
      <c r="CI99" t="str">
        <f t="shared" si="94"/>
        <v/>
      </c>
      <c r="CJ99" t="str">
        <f t="shared" si="66"/>
        <v/>
      </c>
      <c r="CL99">
        <f>IF(IFERROR(SEARCH("Bard",$T99,1),0)&gt;0,1,0)*IF(BardMaxSpellLevel&gt;=$C99,1,0)*IF(IFERROR(MATCH(B99,Character_Creation!$C$341:$F$362,0),0)&gt;0,0,1)*IF(IFERROR(MATCH($B99,Character_Creation!$C$341:$C$362,0),0)&gt;0,0,1)</f>
        <v>0</v>
      </c>
      <c r="CM99">
        <f>IF(CL99=0,0,1+COUNTIF(CM$3:CM98,"&gt;0"))</f>
        <v>0</v>
      </c>
      <c r="CN99" t="str">
        <f t="shared" si="95"/>
        <v/>
      </c>
      <c r="CO99" t="str">
        <f t="shared" si="67"/>
        <v/>
      </c>
      <c r="CQ99">
        <f>IF(IFERROR(SEARCH("Wizard",$T99,1),0)&gt;0,1,0)*IF(WizardMaxSpellLevel&gt;=$C99,1,0)*IF(IFERROR(MATCH(B99,Character_Creation!$X$341:$X$400,0),0)&gt;0,0,1)*IF(SelectedWizardSpellLevel=$C99,1,0)</f>
        <v>0</v>
      </c>
      <c r="CR99">
        <f>IF(CQ99=0,0,1+COUNTIF(CR$3:CR98,"&gt;0"))</f>
        <v>0</v>
      </c>
      <c r="CS99" t="str">
        <f t="shared" si="96"/>
        <v/>
      </c>
      <c r="CT99" t="str">
        <f t="shared" si="68"/>
        <v/>
      </c>
      <c r="CV99">
        <f>IF(IFERROR(MATCH($B99,Character_Creation!$C$341:$C$362,0),0)&gt;0,0,1)*IF(OR(C99="Cantrip",C99&lt;=BardMaxSpellLevel),1,0)*IF(IFERROR(MATCH($B99,Character_Creation!$C$367:$C$374,0),0)&gt;0,0,1)</f>
        <v>0</v>
      </c>
      <c r="CW99">
        <f>IF(CV99=0,0,1+COUNTIF(CW$3:CW98,"&gt;0"))</f>
        <v>0</v>
      </c>
      <c r="CX99" t="str">
        <f t="shared" si="97"/>
        <v/>
      </c>
      <c r="CY99" t="str">
        <f t="shared" si="69"/>
        <v/>
      </c>
      <c r="DA99">
        <f>IF(IF(OR(IFERROR(SEARCH("Cleric",$T99,1),0)&gt;0,IFERROR(SEARCH(DivineDomain&amp;",",$T99,1),0)&gt;0),1,0)*IF($C99=DA$2,1,0)=1,1+COUNTIF(DA$3:DA98,"&gt;0"),0)</f>
        <v>0</v>
      </c>
      <c r="DB99">
        <f>IF(IF(OR(IFERROR(SEARCH("Cleric",$T99,1),0)&gt;0,IFERROR(SEARCH(DivineDomain&amp;",",$T99,1),0)&gt;0),1,0)*IF($C99=DB$2,1,0)=1,1+COUNTIF(DB$3:DB98,"&gt;0"),0)</f>
        <v>0</v>
      </c>
      <c r="DC99">
        <f>IF(IF(OR(IFERROR(SEARCH("Cleric",$T99,1),0)&gt;0,IFERROR(SEARCH(DivineDomain&amp;",",$T99,1),0)&gt;0),1,0)*IF($C99=DC$2,1,0)=1,1+COUNTIF(DC$3:DC98,"&gt;0"),0)</f>
        <v>0</v>
      </c>
      <c r="DD99">
        <f>IF(IF(OR(IFERROR(SEARCH("Cleric",$T99,1),0)&gt;0,IFERROR(SEARCH(DivineDomain&amp;",",$T99,1),0)&gt;0),1,0)*IF($C99=DD$2,1,0)=1,1+COUNTIF(DD$3:DD98,"&gt;0"),0)</f>
        <v>0</v>
      </c>
      <c r="DE99">
        <f>IF(IF(OR(IFERROR(SEARCH("Cleric",$T99,1),0)&gt;0,IFERROR(SEARCH(DivineDomain&amp;",",$T99,1),0)&gt;0),1,0)*IF($C99=DE$2,1,0)=1,1+COUNTIF(DE$3:DE98,"&gt;0"),0)</f>
        <v>0</v>
      </c>
      <c r="DF99">
        <f>IF(IF(OR(IFERROR(SEARCH("Cleric",$T99,1),0)&gt;0,IFERROR(SEARCH(DivineDomain&amp;",",$T99,1),0)&gt;0),1,0)*IF($C99=DF$2,1,0)=1,1+COUNTIF(DF$3:DF98,"&gt;0"),0)</f>
        <v>0</v>
      </c>
      <c r="DG99">
        <f>IF(IF(OR(IFERROR(SEARCH("Cleric",$T99,1),0)&gt;0,IFERROR(SEARCH(DivineDomain&amp;",",$T99,1),0)&gt;0),1,0)*IF($C99=DG$2,1,0)=1,1+COUNTIF(DG$3:DG98,"&gt;0"),0)</f>
        <v>0</v>
      </c>
      <c r="DH99">
        <f>IF(IF(OR(IFERROR(SEARCH("Cleric",$T99,1),0)&gt;0,IFERROR(SEARCH(DivineDomain&amp;",",$T99,1),0)&gt;0),1,0)*IF($C99=DH$2,1,0)=1,1+COUNTIF(DH$3:DH98,"&gt;0"),0)</f>
        <v>0</v>
      </c>
      <c r="DI99">
        <f>IF(IF(OR(IFERROR(SEARCH("Cleric",$T99,1),0)&gt;0,IFERROR(SEARCH(DivineDomain&amp;",",$T99,1),0)&gt;0),1,0)*IF($C99=DI$2,1,0)=1,1+COUNTIF(DI$3:DI98,"&gt;0"),0)</f>
        <v>0</v>
      </c>
      <c r="DJ99">
        <f>IF(IF(OR(IFERROR(SEARCH("Druid",$T99,1),0)&gt;0,IFERROR(SEARCH(DruidLand1,$T99,1),0)&gt;0,IFERROR(SEARCH(DruidLand2,$T99,1),0)&gt;0,IFERROR(SEARCH(DruidLand3,$T99,1),0)&gt;0,IFERROR(SEARCH(DruidLand4,$T99,1),0)&gt;0),1,0)*IF($C99=1,1,0)*IF($C99=DJ$2,1,0)=0,0,1+COUNTIF(DJ$3:DJ98,"&gt;0"))</f>
        <v>0</v>
      </c>
      <c r="DK99">
        <f>IF(IF(OR(IFERROR(SEARCH("Druid",$T99,1),0)&gt;0,IFERROR(SEARCH(DruidLand1,$T99,1),0)&gt;0,IFERROR(SEARCH(DruidLand2,$T99,1),0)&gt;0,IFERROR(SEARCH(DruidLand3,$T99,1),0)&gt;0,IFERROR(SEARCH(DruidLand4,$T99,1),0)&gt;0),1,0)*IF($C99=1,1,0)*IF($C99=DK$2,1,0)=0,0,1+COUNTIF(DK$3:DK98,"&gt;0"))</f>
        <v>0</v>
      </c>
      <c r="DL99">
        <f>IF(IF(OR(IFERROR(SEARCH("Druid",$T99,1),0)&gt;0,IFERROR(SEARCH(DruidLand1,$T99,1),0)&gt;0,IFERROR(SEARCH(DruidLand2,$T99,1),0)&gt;0,IFERROR(SEARCH(DruidLand3,$T99,1),0)&gt;0,IFERROR(SEARCH(DruidLand4,$T99,1),0)&gt;0),1,0)*IF($C99=1,1,0)*IF($C99=DL$2,1,0)=0,0,1+COUNTIF(DL$3:DL98,"&gt;0"))</f>
        <v>0</v>
      </c>
      <c r="DM99">
        <f>IF(IF(OR(IFERROR(SEARCH("Druid",$T99,1),0)&gt;0,IFERROR(SEARCH(DruidLand1,$T99,1),0)&gt;0,IFERROR(SEARCH(DruidLand2,$T99,1),0)&gt;0,IFERROR(SEARCH(DruidLand3,$T99,1),0)&gt;0,IFERROR(SEARCH(DruidLand4,$T99,1),0)&gt;0),1,0)*IF($C99=1,1,0)*IF($C99=DM$2,1,0)=0,0,1+COUNTIF(DM$3:DM98,"&gt;0"))</f>
        <v>0</v>
      </c>
      <c r="DN99">
        <f>IF(IF(OR(IFERROR(SEARCH("Druid",$T99,1),0)&gt;0,IFERROR(SEARCH(DruidLand1,$T99,1),0)&gt;0,IFERROR(SEARCH(DruidLand2,$T99,1),0)&gt;0,IFERROR(SEARCH(DruidLand3,$T99,1),0)&gt;0,IFERROR(SEARCH(DruidLand4,$T99,1),0)&gt;0),1,0)*IF($C99=1,1,0)*IF($C99=DN$2,1,0)=0,0,1+COUNTIF(DN$3:DN98,"&gt;0"))</f>
        <v>0</v>
      </c>
      <c r="DO99">
        <f>IF(IF(OR(IFERROR(SEARCH("Druid",$T99,1),0)&gt;0,IFERROR(SEARCH(DruidLand1,$T99,1),0)&gt;0,IFERROR(SEARCH(DruidLand2,$T99,1),0)&gt;0,IFERROR(SEARCH(DruidLand3,$T99,1),0)&gt;0,IFERROR(SEARCH(DruidLand4,$T99,1),0)&gt;0),1,0)*IF($C99=1,1,0)*IF($C99=DO$2,1,0)=0,0,1+COUNTIF(DO$3:DO98,"&gt;0"))</f>
        <v>0</v>
      </c>
      <c r="DP99">
        <f>IF(IF(OR(IFERROR(SEARCH("Druid",$T99,1),0)&gt;0,IFERROR(SEARCH(DruidLand1,$T99,1),0)&gt;0,IFERROR(SEARCH(DruidLand2,$T99,1),0)&gt;0,IFERROR(SEARCH(DruidLand3,$T99,1),0)&gt;0,IFERROR(SEARCH(DruidLand4,$T99,1),0)&gt;0),1,0)*IF($C99=1,1,0)*IF($C99=DP$2,1,0)=0,0,1+COUNTIF(DP$3:DP98,"&gt;0"))</f>
        <v>0</v>
      </c>
      <c r="DQ99">
        <f>IF(IF(OR(IFERROR(SEARCH("Druid",$T99,1),0)&gt;0,IFERROR(SEARCH(DruidLand1,$T99,1),0)&gt;0,IFERROR(SEARCH(DruidLand2,$T99,1),0)&gt;0,IFERROR(SEARCH(DruidLand3,$T99,1),0)&gt;0,IFERROR(SEARCH(DruidLand4,$T99,1),0)&gt;0),1,0)*IF($C99=1,1,0)*IF($C99=DQ$2,1,0)=0,0,1+COUNTIF(DQ$3:DQ98,"&gt;0"))</f>
        <v>0</v>
      </c>
      <c r="DR99">
        <f>IF(IF(OR(IFERROR(SEARCH("Druid",$T99,1),0)&gt;0,IFERROR(SEARCH(DruidLand1,$T99,1),0)&gt;0,IFERROR(SEARCH(DruidLand2,$T99,1),0)&gt;0,IFERROR(SEARCH(DruidLand3,$T99,1),0)&gt;0,IFERROR(SEARCH(DruidLand4,$T99,1),0)&gt;0),1,0)*IF($C99=1,1,0)*IF($C99=DR$2,1,0)=0,0,1+COUNTIF(DR$3:DR98,"&gt;0"))</f>
        <v>0</v>
      </c>
      <c r="DS99">
        <f>IF(IF(OR(IFERROR(SEARCH("Paladin",$T99,1),0)&gt;0,IFERROR(SEARCH(PaladinOath,$T99,1),0)&gt;0),1,0)*IF($C99=DS$2,1,0)=1,1+COUNTIF(DS$3:DS98,"&gt;0"),0)</f>
        <v>0</v>
      </c>
      <c r="DT99">
        <f>IF(IF(OR(IFERROR(SEARCH("Paladin",$T99,1),0)&gt;0,IFERROR(SEARCH(PaladinOath,$T99,1),0)&gt;0),1,0)*IF($C99=DT$2,1,0)=1,1+COUNTIF(DT$3:DT98,"&gt;0"),0)</f>
        <v>0</v>
      </c>
      <c r="DU99">
        <f>IF(IF(OR(IFERROR(SEARCH("Paladin",$T99,1),0)&gt;0,IFERROR(SEARCH(PaladinOath,$T99,1),0)&gt;0),1,0)*IF($C99=DU$2,1,0)=1,1+COUNTIF(DU$3:DU98,"&gt;0"),0)</f>
        <v>0</v>
      </c>
      <c r="DV99">
        <f>IF(IF(OR(IFERROR(SEARCH("Paladin",$T99,1),0)&gt;0,IFERROR(SEARCH(PaladinOath,$T99,1),0)&gt;0),1,0)*IF($C99=DV$2,1,0)=1,1+COUNTIF(DV$3:DV98,"&gt;0"),0)</f>
        <v>0</v>
      </c>
      <c r="DW99">
        <f>IF(IF(OR(IFERROR(SEARCH("Paladin",$T99,1),0)&gt;0,IFERROR(SEARCH(PaladinOath,$T99,1),0)&gt;0),1,0)*IF($C99=DW$2,1,0)=1,1+COUNTIF(DW$3:DW98,"&gt;0"),0)</f>
        <v>0</v>
      </c>
      <c r="DY99">
        <f t="shared" si="56"/>
        <v>1</v>
      </c>
      <c r="DZ99">
        <f>IF(DY99=0,0,1+MAX(DZ$3:$DZ98))</f>
        <v>97</v>
      </c>
      <c r="EB99">
        <f t="shared" si="70"/>
        <v>0</v>
      </c>
      <c r="EC99">
        <f>IF(EB99=0,0,1+COUNTIF(EC$3:EC98,"&gt;0"))</f>
        <v>0</v>
      </c>
      <c r="ED99" t="str">
        <f t="shared" si="98"/>
        <v/>
      </c>
      <c r="EE99" t="str">
        <f t="shared" si="71"/>
        <v/>
      </c>
      <c r="EG99">
        <f t="shared" si="72"/>
        <v>0</v>
      </c>
      <c r="EH99">
        <f>IF(EG99=0,0,1+COUNTIF(EH$3:EH98,"&gt;0"))</f>
        <v>0</v>
      </c>
      <c r="EI99" t="str">
        <f t="shared" si="99"/>
        <v/>
      </c>
      <c r="EJ99" t="str">
        <f t="shared" si="73"/>
        <v/>
      </c>
      <c r="EL99">
        <f t="shared" si="74"/>
        <v>0</v>
      </c>
      <c r="EM99">
        <f>IF(EL99=0,0,1+COUNTIF(EM$3:EM98,"&gt;0"))</f>
        <v>0</v>
      </c>
      <c r="EN99" t="str">
        <f t="shared" si="100"/>
        <v/>
      </c>
      <c r="EO99" t="str">
        <f t="shared" si="75"/>
        <v/>
      </c>
      <c r="EQ99">
        <f t="shared" si="76"/>
        <v>0</v>
      </c>
      <c r="ER99">
        <f>IF(EQ99=0,0,1+COUNTIF(ER$3:ER98,"&gt;0"))</f>
        <v>0</v>
      </c>
      <c r="ES99" t="str">
        <f t="shared" si="101"/>
        <v/>
      </c>
      <c r="ET99" t="str">
        <f t="shared" si="77"/>
        <v/>
      </c>
      <c r="EV99">
        <f t="shared" si="78"/>
        <v>0</v>
      </c>
      <c r="EW99">
        <f>IF(EV99=0,0,1+COUNTIF(EW$3:EW98,"&gt;0"))</f>
        <v>0</v>
      </c>
      <c r="EX99" t="str">
        <f t="shared" si="102"/>
        <v/>
      </c>
      <c r="EY99" t="str">
        <f t="shared" si="79"/>
        <v/>
      </c>
      <c r="FA99">
        <f t="shared" si="80"/>
        <v>0</v>
      </c>
      <c r="FB99">
        <f>IF(FA99=0,0,1+COUNTIF(FB$3:FB98,"&gt;0"))</f>
        <v>0</v>
      </c>
      <c r="FC99" t="str">
        <f t="shared" si="103"/>
        <v/>
      </c>
      <c r="FD99" t="str">
        <f t="shared" si="81"/>
        <v/>
      </c>
      <c r="FF99">
        <f t="shared" si="82"/>
        <v>0</v>
      </c>
      <c r="FG99">
        <f>IF(FF99=0,0,1+COUNTIF(FG$3:FG98,"&gt;0"))</f>
        <v>0</v>
      </c>
      <c r="FH99" t="str">
        <f t="shared" si="104"/>
        <v/>
      </c>
      <c r="FI99" t="str">
        <f t="shared" si="83"/>
        <v/>
      </c>
      <c r="FK99">
        <f t="shared" si="84"/>
        <v>0</v>
      </c>
      <c r="FL99">
        <f>IF(FK99=0,0,1+COUNTIF(FL$3:FL98,"&gt;0"))</f>
        <v>0</v>
      </c>
      <c r="FM99" t="str">
        <f t="shared" si="105"/>
        <v/>
      </c>
      <c r="FN99" t="str">
        <f t="shared" si="85"/>
        <v/>
      </c>
      <c r="FP99">
        <f t="shared" si="86"/>
        <v>0</v>
      </c>
      <c r="FQ99">
        <f>IF(FP99=0,0,1+COUNTIF(FQ$3:FQ98,"&gt;0"))</f>
        <v>0</v>
      </c>
      <c r="FR99" t="str">
        <f t="shared" si="106"/>
        <v/>
      </c>
      <c r="FS99" t="str">
        <f t="shared" si="87"/>
        <v/>
      </c>
    </row>
    <row r="100" spans="1:175" x14ac:dyDescent="0.25">
      <c r="A100" s="347">
        <f t="shared" si="107"/>
        <v>98</v>
      </c>
      <c r="B100" s="348" t="s">
        <v>2467</v>
      </c>
      <c r="C100" s="348">
        <v>4</v>
      </c>
      <c r="D100" s="347">
        <v>4</v>
      </c>
      <c r="E100" s="627" t="s">
        <v>6952</v>
      </c>
      <c r="F100" s="346"/>
      <c r="G100" s="347" t="str">
        <f>""</f>
        <v/>
      </c>
      <c r="H100" s="347" t="s">
        <v>5912</v>
      </c>
      <c r="I100" s="347" t="s">
        <v>5296</v>
      </c>
      <c r="J100" s="347" t="str">
        <f t="shared" si="57"/>
        <v/>
      </c>
      <c r="K100" s="347" t="s">
        <v>5278</v>
      </c>
      <c r="L100" s="611" t="str">
        <f t="shared" si="58"/>
        <v>V</v>
      </c>
      <c r="M100" s="347" t="s">
        <v>2373</v>
      </c>
      <c r="N100" s="347" t="s">
        <v>3034</v>
      </c>
      <c r="O100" s="347" t="s">
        <v>3034</v>
      </c>
      <c r="P100" s="346" t="str">
        <f>""</f>
        <v/>
      </c>
      <c r="Q100" s="347" t="s">
        <v>5271</v>
      </c>
      <c r="S100" s="346" t="s">
        <v>5660</v>
      </c>
      <c r="T100" s="346" t="str">
        <f t="shared" si="59"/>
        <v xml:space="preserve">Bard, Sorcerer, Warlock, Wizard, Vengeance, Trickery, </v>
      </c>
      <c r="U100" s="347" t="str">
        <f>$B100</f>
        <v>Dimension Door</v>
      </c>
      <c r="X100" s="347" t="str">
        <f>$B100</f>
        <v>Dimension Door</v>
      </c>
      <c r="Y100" s="347" t="str">
        <f>$B100</f>
        <v>Dimension Door</v>
      </c>
      <c r="AD100" s="347" t="str">
        <f>$B100</f>
        <v>Dimension Door</v>
      </c>
      <c r="AE100" t="str">
        <f>IF(IFERROR(MATCH($B100,temp!A$4:A$13,0),0)&gt;0,T08_Spells!AE$2,"")</f>
        <v/>
      </c>
      <c r="AF100" t="str">
        <f>IF(IFERROR(MATCH($B100,temp!B$4:B$13,0),0)&gt;0,T08_Spells!AF$2,"")</f>
        <v>Vengeance</v>
      </c>
      <c r="AG100" t="str">
        <f>IF(IFERROR(MATCH($B100,temp!C$4:C$13,0),0)&gt;0,T08_Spells!AG$2,"")</f>
        <v/>
      </c>
      <c r="AH100" t="str">
        <f>IF(IFERROR(MATCH($B100,temp!D$4:D$13,0),0)&gt;0,T08_Spells!AH$2,"")</f>
        <v/>
      </c>
      <c r="AI100" t="str">
        <f>IF(IFERROR(MATCH($B100,temp!E$4:E$13,0),0)&gt;0,T08_Spells!AI$2,"")</f>
        <v/>
      </c>
      <c r="AJ100" t="str">
        <f>IF(IFERROR(MATCH($B100,temp!F$4:F$13,0),0)&gt;0,T08_Spells!AJ$2,"")</f>
        <v/>
      </c>
      <c r="AK100" t="str">
        <f>IF(IFERROR(MATCH($B100,temp!G$4:G$13,0),0)&gt;0,T08_Spells!AK$2,"")</f>
        <v/>
      </c>
      <c r="AL100" t="str">
        <f>IF(IFERROR(MATCH($B100,temp!H$4:H$13,0),0)&gt;0,T08_Spells!AL$2,"")</f>
        <v/>
      </c>
      <c r="AM100" t="str">
        <f>IF(IFERROR(MATCH($B100,temp!I$4:I$13,0),0)&gt;0,T08_Spells!AM$2,"")</f>
        <v/>
      </c>
      <c r="AN100" t="str">
        <f>IF(IFERROR(MATCH($B100,temp!J$4:J$13,0),0)&gt;0,T08_Spells!AN$2,"")</f>
        <v/>
      </c>
      <c r="AO100" t="str">
        <f>IF(IFERROR(MATCH($B100,temp!K$4:K$13,0),0)&gt;0,T08_Spells!AO$2,"")</f>
        <v/>
      </c>
      <c r="AP100" t="str">
        <f>IF(IFERROR(MATCH($B100,temp!L$4:L$13,0),0)&gt;0,T08_Spells!AP$2,"")</f>
        <v/>
      </c>
      <c r="AQ100" t="str">
        <f>IF(IFERROR(MATCH($B100,temp!M$4:M$13,0),0)&gt;0,T08_Spells!AQ$2,"")</f>
        <v/>
      </c>
      <c r="AR100" t="str">
        <f>IF(IFERROR(MATCH($B100,temp!N$4:N$13,0),0)&gt;0,T08_Spells!AR$2,"")</f>
        <v/>
      </c>
      <c r="AS100" t="str">
        <f>IF(IFERROR(MATCH($B100,temp!O$4:O$13,0),0)&gt;0,T08_Spells!AS$2,"")</f>
        <v/>
      </c>
      <c r="AT100" t="str">
        <f>IF(IFERROR(MATCH($B100,temp!P$4:P$13,0),0)&gt;0,T08_Spells!AT$2,"")</f>
        <v/>
      </c>
      <c r="AU100" t="str">
        <f>IF(IFERROR(MATCH($B100,temp!Q$4:Q$13,0),0)&gt;0,T08_Spells!AU$2,"")</f>
        <v/>
      </c>
      <c r="AV100" t="str">
        <f>IF(IFERROR(MATCH($B100,temp!R$4:R$13,0),0)&gt;0,T08_Spells!AV$2,"")</f>
        <v/>
      </c>
      <c r="AW100" t="str">
        <f>IF(IFERROR(MATCH($B100,temp!S$4:S$13,0),0)&gt;0,T08_Spells!AW$2,"")</f>
        <v/>
      </c>
      <c r="AX100" t="str">
        <f>IF(IFERROR(MATCH($B100,temp!T$4:T$13,0),0)&gt;0,T08_Spells!AX$2,"")</f>
        <v/>
      </c>
      <c r="AY100" t="str">
        <f>IF(IFERROR(MATCH($B100,temp!U$4:U$13,0),0)&gt;0,T08_Spells!AY$2,"")</f>
        <v>Trickery</v>
      </c>
      <c r="AZ100" t="str">
        <f>IF(IFERROR(MATCH($B100,temp!V$4:V$13,0),0)&gt;0,T08_Spells!AZ$2,"")</f>
        <v/>
      </c>
      <c r="BA100" t="str">
        <f>IF(IFERROR(MATCH($B100,temp!W$4:W$13,0),0)&gt;0,T08_Spells!BA$2,"")</f>
        <v/>
      </c>
      <c r="BC100">
        <f>IF(IFERROR(SEARCH("Ranger",$T100,1),0)&gt;0,1,0)*IF(RangerMaxSpellLevel&gt;=$C100,1,0)*IF(IFERROR(MATCH(B100,Character_Creation!$X$79:$X$382,0),0)&gt;0,0,1)</f>
        <v>0</v>
      </c>
      <c r="BD100">
        <f>IF(BC100=0,0,1+COUNTIF(BD$3:BD99,"&gt;0"))</f>
        <v>0</v>
      </c>
      <c r="BE100" t="str">
        <f t="shared" si="88"/>
        <v/>
      </c>
      <c r="BF100" t="str">
        <f t="shared" si="60"/>
        <v/>
      </c>
      <c r="BH100">
        <f>IF(IFERROR(SEARCH("Sorcerer",$T100,1),0)&gt;0,1,0)*IF(SorcererMaxSpellLevel&gt;=$C100,1,0)*IF(IFERROR(MATCH(B100,Character_Creation!$J$380:$J$394,0),0)&gt;0,0,1)</f>
        <v>0</v>
      </c>
      <c r="BI100">
        <f>IF(BH100=0,0,1+COUNTIF(BI$3:BI99,"&gt;0"))</f>
        <v>0</v>
      </c>
      <c r="BJ100" t="str">
        <f t="shared" si="89"/>
        <v/>
      </c>
      <c r="BK100" t="str">
        <f t="shared" si="61"/>
        <v/>
      </c>
      <c r="BM100">
        <f>IF(OR(IFERROR(SEARCH("Warlock",$T100,1),0)&gt;0,IFERROR(SEARCH(WarlockPatron,$T100,1),0)&gt;0),1,0)*IF(WarlockMaxSpellLevel&gt;=$C100,1,0)*IF(IFERROR(MATCH(B100,Character_Creation!$J$361:$J$375,0),0)&gt;0,0,1)</f>
        <v>0</v>
      </c>
      <c r="BN100">
        <f>IF(BM100=0,0,1+COUNTIF(BN$3:BN99,"&gt;0"))</f>
        <v>0</v>
      </c>
      <c r="BO100" t="str">
        <f t="shared" si="90"/>
        <v/>
      </c>
      <c r="BP100" t="str">
        <f t="shared" si="62"/>
        <v/>
      </c>
      <c r="BR100">
        <f>IF(IFERROR(SEARCH("Eldritch Knight",$T100,1),0)&gt;0,1,0)*IF(EldritchKnightMaxSpellLevel&gt;=$C100,1,0)*IF(IFERROR(MATCH($B100,Character_Creation!$J$350:$J$356,0),0)&gt;0,0,1)*IF(Character_Creation!$M$338&gt;0,1,0)</f>
        <v>0</v>
      </c>
      <c r="BS100">
        <f>IF(BR100=0,0,1+COUNTIF(BS$3:BS99,"&gt;0"))</f>
        <v>0</v>
      </c>
      <c r="BT100" t="str">
        <f t="shared" si="91"/>
        <v/>
      </c>
      <c r="BU100" t="str">
        <f t="shared" si="63"/>
        <v/>
      </c>
      <c r="BW100">
        <f>IF(IFERROR(SEARCH("Arcane Trickster",$T100,1),0)&gt;0,1,0)*IF(ArcaneTricksterMaxSpellLevel&gt;=$C100,1,0)*IF(IFERROR(MATCH($B100,Character_Creation!$J$350:$J$356,0),0)&gt;0,0,1)*IF(Character_Creation!$T$338&gt;0,1,0)</f>
        <v>0</v>
      </c>
      <c r="BX100">
        <f>IF(BW100=0,0,1+COUNTIF(BX$3:BX99,"&gt;0"))</f>
        <v>0</v>
      </c>
      <c r="BY100" t="str">
        <f t="shared" si="92"/>
        <v/>
      </c>
      <c r="BZ100" t="str">
        <f t="shared" si="64"/>
        <v/>
      </c>
      <c r="CB100">
        <f>IF(IFERROR(SEARCH("Wizard",$T100,1),0)&gt;0,1,0)*IF(C100&lt;=ArcaneTricksterMaxSpellLevel,1,0)*IF(IFERROR(MATCH($B100,Character_Creation!$J$350:$J$356,0),0)&gt;0,0,1)*IF(Character_Creation!$T$350&gt;0,1,0)</f>
        <v>0</v>
      </c>
      <c r="CC100">
        <f>IF(CB100=0,0,1+COUNTIF(CC$3:CC99,"&gt;0"))</f>
        <v>0</v>
      </c>
      <c r="CD100" t="str">
        <f t="shared" si="93"/>
        <v/>
      </c>
      <c r="CE100" t="str">
        <f t="shared" si="65"/>
        <v/>
      </c>
      <c r="CG100">
        <f>IF(IFERROR(SEARCH("Wizard",$T100,1),0)&gt;0,1,0)*IF($C100&lt;=EldritchKnightMaxSpellLevel,1,0)*IF(IFERROR(MATCH($B100,Character_Creation!$J$350:$J$356,0),0)&gt;0,0,1)*IF(Character_Creation!$M$350&gt;0,1,0)</f>
        <v>0</v>
      </c>
      <c r="CH100">
        <f>IF(CG100=0,0,1+COUNTIF(CH$3:CH99,"&gt;0"))</f>
        <v>0</v>
      </c>
      <c r="CI100" t="str">
        <f t="shared" si="94"/>
        <v/>
      </c>
      <c r="CJ100" t="str">
        <f t="shared" si="66"/>
        <v/>
      </c>
      <c r="CL100">
        <f>IF(IFERROR(SEARCH("Bard",$T100,1),0)&gt;0,1,0)*IF(BardMaxSpellLevel&gt;=$C100,1,0)*IF(IFERROR(MATCH(B100,Character_Creation!$C$341:$F$362,0),0)&gt;0,0,1)*IF(IFERROR(MATCH($B100,Character_Creation!$C$341:$C$362,0),0)&gt;0,0,1)</f>
        <v>0</v>
      </c>
      <c r="CM100">
        <f>IF(CL100=0,0,1+COUNTIF(CM$3:CM99,"&gt;0"))</f>
        <v>0</v>
      </c>
      <c r="CN100" t="str">
        <f t="shared" si="95"/>
        <v/>
      </c>
      <c r="CO100" t="str">
        <f t="shared" si="67"/>
        <v/>
      </c>
      <c r="CQ100">
        <f>IF(IFERROR(SEARCH("Wizard",$T100,1),0)&gt;0,1,0)*IF(WizardMaxSpellLevel&gt;=$C100,1,0)*IF(IFERROR(MATCH(B100,Character_Creation!$X$341:$X$400,0),0)&gt;0,0,1)*IF(SelectedWizardSpellLevel=$C100,1,0)</f>
        <v>0</v>
      </c>
      <c r="CR100">
        <f>IF(CQ100=0,0,1+COUNTIF(CR$3:CR99,"&gt;0"))</f>
        <v>0</v>
      </c>
      <c r="CS100" t="str">
        <f t="shared" si="96"/>
        <v/>
      </c>
      <c r="CT100" t="str">
        <f t="shared" si="68"/>
        <v/>
      </c>
      <c r="CV100">
        <f>IF(IFERROR(MATCH($B100,Character_Creation!$C$341:$C$362,0),0)&gt;0,0,1)*IF(OR(C100="Cantrip",C100&lt;=BardMaxSpellLevel),1,0)*IF(IFERROR(MATCH($B100,Character_Creation!$C$367:$C$374,0),0)&gt;0,0,1)</f>
        <v>0</v>
      </c>
      <c r="CW100">
        <f>IF(CV100=0,0,1+COUNTIF(CW$3:CW99,"&gt;0"))</f>
        <v>0</v>
      </c>
      <c r="CX100" t="str">
        <f t="shared" si="97"/>
        <v/>
      </c>
      <c r="CY100" t="str">
        <f t="shared" si="69"/>
        <v/>
      </c>
      <c r="DA100">
        <f>IF(IF(OR(IFERROR(SEARCH("Cleric",$T100,1),0)&gt;0,IFERROR(SEARCH(DivineDomain&amp;",",$T100,1),0)&gt;0),1,0)*IF($C100=DA$2,1,0)=1,1+COUNTIF(DA$3:DA99,"&gt;0"),0)</f>
        <v>0</v>
      </c>
      <c r="DB100">
        <f>IF(IF(OR(IFERROR(SEARCH("Cleric",$T100,1),0)&gt;0,IFERROR(SEARCH(DivineDomain&amp;",",$T100,1),0)&gt;0),1,0)*IF($C100=DB$2,1,0)=1,1+COUNTIF(DB$3:DB99,"&gt;0"),0)</f>
        <v>0</v>
      </c>
      <c r="DC100">
        <f>IF(IF(OR(IFERROR(SEARCH("Cleric",$T100,1),0)&gt;0,IFERROR(SEARCH(DivineDomain&amp;",",$T100,1),0)&gt;0),1,0)*IF($C100=DC$2,1,0)=1,1+COUNTIF(DC$3:DC99,"&gt;0"),0)</f>
        <v>0</v>
      </c>
      <c r="DD100">
        <f>IF(IF(OR(IFERROR(SEARCH("Cleric",$T100,1),0)&gt;0,IFERROR(SEARCH(DivineDomain&amp;",",$T100,1),0)&gt;0),1,0)*IF($C100=DD$2,1,0)=1,1+COUNTIF(DD$3:DD99,"&gt;0"),0)</f>
        <v>0</v>
      </c>
      <c r="DE100">
        <f>IF(IF(OR(IFERROR(SEARCH("Cleric",$T100,1),0)&gt;0,IFERROR(SEARCH(DivineDomain&amp;",",$T100,1),0)&gt;0),1,0)*IF($C100=DE$2,1,0)=1,1+COUNTIF(DE$3:DE99,"&gt;0"),0)</f>
        <v>0</v>
      </c>
      <c r="DF100">
        <f>IF(IF(OR(IFERROR(SEARCH("Cleric",$T100,1),0)&gt;0,IFERROR(SEARCH(DivineDomain&amp;",",$T100,1),0)&gt;0),1,0)*IF($C100=DF$2,1,0)=1,1+COUNTIF(DF$3:DF99,"&gt;0"),0)</f>
        <v>0</v>
      </c>
      <c r="DG100">
        <f>IF(IF(OR(IFERROR(SEARCH("Cleric",$T100,1),0)&gt;0,IFERROR(SEARCH(DivineDomain&amp;",",$T100,1),0)&gt;0),1,0)*IF($C100=DG$2,1,0)=1,1+COUNTIF(DG$3:DG99,"&gt;0"),0)</f>
        <v>0</v>
      </c>
      <c r="DH100">
        <f>IF(IF(OR(IFERROR(SEARCH("Cleric",$T100,1),0)&gt;0,IFERROR(SEARCH(DivineDomain&amp;",",$T100,1),0)&gt;0),1,0)*IF($C100=DH$2,1,0)=1,1+COUNTIF(DH$3:DH99,"&gt;0"),0)</f>
        <v>0</v>
      </c>
      <c r="DI100">
        <f>IF(IF(OR(IFERROR(SEARCH("Cleric",$T100,1),0)&gt;0,IFERROR(SEARCH(DivineDomain&amp;",",$T100,1),0)&gt;0),1,0)*IF($C100=DI$2,1,0)=1,1+COUNTIF(DI$3:DI99,"&gt;0"),0)</f>
        <v>0</v>
      </c>
      <c r="DJ100">
        <f>IF(IF(OR(IFERROR(SEARCH("Druid",$T100,1),0)&gt;0,IFERROR(SEARCH(DruidLand1,$T100,1),0)&gt;0,IFERROR(SEARCH(DruidLand2,$T100,1),0)&gt;0,IFERROR(SEARCH(DruidLand3,$T100,1),0)&gt;0,IFERROR(SEARCH(DruidLand4,$T100,1),0)&gt;0),1,0)*IF($C100=1,1,0)*IF($C100=DJ$2,1,0)=0,0,1+COUNTIF(DJ$3:DJ99,"&gt;0"))</f>
        <v>0</v>
      </c>
      <c r="DK100">
        <f>IF(IF(OR(IFERROR(SEARCH("Druid",$T100,1),0)&gt;0,IFERROR(SEARCH(DruidLand1,$T100,1),0)&gt;0,IFERROR(SEARCH(DruidLand2,$T100,1),0)&gt;0,IFERROR(SEARCH(DruidLand3,$T100,1),0)&gt;0,IFERROR(SEARCH(DruidLand4,$T100,1),0)&gt;0),1,0)*IF($C100=1,1,0)*IF($C100=DK$2,1,0)=0,0,1+COUNTIF(DK$3:DK99,"&gt;0"))</f>
        <v>0</v>
      </c>
      <c r="DL100">
        <f>IF(IF(OR(IFERROR(SEARCH("Druid",$T100,1),0)&gt;0,IFERROR(SEARCH(DruidLand1,$T100,1),0)&gt;0,IFERROR(SEARCH(DruidLand2,$T100,1),0)&gt;0,IFERROR(SEARCH(DruidLand3,$T100,1),0)&gt;0,IFERROR(SEARCH(DruidLand4,$T100,1),0)&gt;0),1,0)*IF($C100=1,1,0)*IF($C100=DL$2,1,0)=0,0,1+COUNTIF(DL$3:DL99,"&gt;0"))</f>
        <v>0</v>
      </c>
      <c r="DM100">
        <f>IF(IF(OR(IFERROR(SEARCH("Druid",$T100,1),0)&gt;0,IFERROR(SEARCH(DruidLand1,$T100,1),0)&gt;0,IFERROR(SEARCH(DruidLand2,$T100,1),0)&gt;0,IFERROR(SEARCH(DruidLand3,$T100,1),0)&gt;0,IFERROR(SEARCH(DruidLand4,$T100,1),0)&gt;0),1,0)*IF($C100=1,1,0)*IF($C100=DM$2,1,0)=0,0,1+COUNTIF(DM$3:DM99,"&gt;0"))</f>
        <v>0</v>
      </c>
      <c r="DN100">
        <f>IF(IF(OR(IFERROR(SEARCH("Druid",$T100,1),0)&gt;0,IFERROR(SEARCH(DruidLand1,$T100,1),0)&gt;0,IFERROR(SEARCH(DruidLand2,$T100,1),0)&gt;0,IFERROR(SEARCH(DruidLand3,$T100,1),0)&gt;0,IFERROR(SEARCH(DruidLand4,$T100,1),0)&gt;0),1,0)*IF($C100=1,1,0)*IF($C100=DN$2,1,0)=0,0,1+COUNTIF(DN$3:DN99,"&gt;0"))</f>
        <v>0</v>
      </c>
      <c r="DO100">
        <f>IF(IF(OR(IFERROR(SEARCH("Druid",$T100,1),0)&gt;0,IFERROR(SEARCH(DruidLand1,$T100,1),0)&gt;0,IFERROR(SEARCH(DruidLand2,$T100,1),0)&gt;0,IFERROR(SEARCH(DruidLand3,$T100,1),0)&gt;0,IFERROR(SEARCH(DruidLand4,$T100,1),0)&gt;0),1,0)*IF($C100=1,1,0)*IF($C100=DO$2,1,0)=0,0,1+COUNTIF(DO$3:DO99,"&gt;0"))</f>
        <v>0</v>
      </c>
      <c r="DP100">
        <f>IF(IF(OR(IFERROR(SEARCH("Druid",$T100,1),0)&gt;0,IFERROR(SEARCH(DruidLand1,$T100,1),0)&gt;0,IFERROR(SEARCH(DruidLand2,$T100,1),0)&gt;0,IFERROR(SEARCH(DruidLand3,$T100,1),0)&gt;0,IFERROR(SEARCH(DruidLand4,$T100,1),0)&gt;0),1,0)*IF($C100=1,1,0)*IF($C100=DP$2,1,0)=0,0,1+COUNTIF(DP$3:DP99,"&gt;0"))</f>
        <v>0</v>
      </c>
      <c r="DQ100">
        <f>IF(IF(OR(IFERROR(SEARCH("Druid",$T100,1),0)&gt;0,IFERROR(SEARCH(DruidLand1,$T100,1),0)&gt;0,IFERROR(SEARCH(DruidLand2,$T100,1),0)&gt;0,IFERROR(SEARCH(DruidLand3,$T100,1),0)&gt;0,IFERROR(SEARCH(DruidLand4,$T100,1),0)&gt;0),1,0)*IF($C100=1,1,0)*IF($C100=DQ$2,1,0)=0,0,1+COUNTIF(DQ$3:DQ99,"&gt;0"))</f>
        <v>0</v>
      </c>
      <c r="DR100">
        <f>IF(IF(OR(IFERROR(SEARCH("Druid",$T100,1),0)&gt;0,IFERROR(SEARCH(DruidLand1,$T100,1),0)&gt;0,IFERROR(SEARCH(DruidLand2,$T100,1),0)&gt;0,IFERROR(SEARCH(DruidLand3,$T100,1),0)&gt;0,IFERROR(SEARCH(DruidLand4,$T100,1),0)&gt;0),1,0)*IF($C100=1,1,0)*IF($C100=DR$2,1,0)=0,0,1+COUNTIF(DR$3:DR99,"&gt;0"))</f>
        <v>0</v>
      </c>
      <c r="DS100">
        <f>IF(IF(OR(IFERROR(SEARCH("Paladin",$T100,1),0)&gt;0,IFERROR(SEARCH(PaladinOath,$T100,1),0)&gt;0),1,0)*IF($C100=DS$2,1,0)=1,1+COUNTIF(DS$3:DS99,"&gt;0"),0)</f>
        <v>0</v>
      </c>
      <c r="DT100">
        <f>IF(IF(OR(IFERROR(SEARCH("Paladin",$T100,1),0)&gt;0,IFERROR(SEARCH(PaladinOath,$T100,1),0)&gt;0),1,0)*IF($C100=DT$2,1,0)=1,1+COUNTIF(DT$3:DT99,"&gt;0"),0)</f>
        <v>0</v>
      </c>
      <c r="DU100">
        <f>IF(IF(OR(IFERROR(SEARCH("Paladin",$T100,1),0)&gt;0,IFERROR(SEARCH(PaladinOath,$T100,1),0)&gt;0),1,0)*IF($C100=DU$2,1,0)=1,1+COUNTIF(DU$3:DU99,"&gt;0"),0)</f>
        <v>0</v>
      </c>
      <c r="DV100">
        <f>IF(IF(OR(IFERROR(SEARCH("Paladin",$T100,1),0)&gt;0,IFERROR(SEARCH(PaladinOath,$T100,1),0)&gt;0),1,0)*IF($C100=DV$2,1,0)=1,1+COUNTIF(DV$3:DV99,"&gt;0"),0)</f>
        <v>0</v>
      </c>
      <c r="DW100">
        <f>IF(IF(OR(IFERROR(SEARCH("Paladin",$T100,1),0)&gt;0,IFERROR(SEARCH(PaladinOath,$T100,1),0)&gt;0),1,0)*IF($C100=DW$2,1,0)=1,1+COUNTIF(DW$3:DW99,"&gt;0"),0)</f>
        <v>0</v>
      </c>
      <c r="DY100">
        <f t="shared" si="56"/>
        <v>1</v>
      </c>
      <c r="DZ100">
        <f>IF(DY100=0,0,1+MAX(DZ$3:$DZ99))</f>
        <v>98</v>
      </c>
      <c r="EB100">
        <f t="shared" si="70"/>
        <v>0</v>
      </c>
      <c r="EC100">
        <f>IF(EB100=0,0,1+COUNTIF(EC$3:EC99,"&gt;0"))</f>
        <v>0</v>
      </c>
      <c r="ED100" t="str">
        <f t="shared" si="98"/>
        <v/>
      </c>
      <c r="EE100" t="str">
        <f t="shared" si="71"/>
        <v/>
      </c>
      <c r="EG100">
        <f t="shared" si="72"/>
        <v>0</v>
      </c>
      <c r="EH100">
        <f>IF(EG100=0,0,1+COUNTIF(EH$3:EH99,"&gt;0"))</f>
        <v>0</v>
      </c>
      <c r="EI100" t="str">
        <f t="shared" si="99"/>
        <v/>
      </c>
      <c r="EJ100" t="str">
        <f t="shared" si="73"/>
        <v/>
      </c>
      <c r="EL100">
        <f t="shared" si="74"/>
        <v>0</v>
      </c>
      <c r="EM100">
        <f>IF(EL100=0,0,1+COUNTIF(EM$3:EM99,"&gt;0"))</f>
        <v>0</v>
      </c>
      <c r="EN100" t="str">
        <f t="shared" si="100"/>
        <v/>
      </c>
      <c r="EO100" t="str">
        <f t="shared" si="75"/>
        <v/>
      </c>
      <c r="EQ100">
        <f t="shared" si="76"/>
        <v>0</v>
      </c>
      <c r="ER100">
        <f>IF(EQ100=0,0,1+COUNTIF(ER$3:ER99,"&gt;0"))</f>
        <v>0</v>
      </c>
      <c r="ES100" t="str">
        <f t="shared" si="101"/>
        <v/>
      </c>
      <c r="ET100" t="str">
        <f t="shared" si="77"/>
        <v/>
      </c>
      <c r="EV100">
        <f t="shared" si="78"/>
        <v>0</v>
      </c>
      <c r="EW100">
        <f>IF(EV100=0,0,1+COUNTIF(EW$3:EW99,"&gt;0"))</f>
        <v>0</v>
      </c>
      <c r="EX100" t="str">
        <f t="shared" si="102"/>
        <v/>
      </c>
      <c r="EY100" t="str">
        <f t="shared" si="79"/>
        <v/>
      </c>
      <c r="FA100">
        <f t="shared" si="80"/>
        <v>0</v>
      </c>
      <c r="FB100">
        <f>IF(FA100=0,0,1+COUNTIF(FB$3:FB99,"&gt;0"))</f>
        <v>0</v>
      </c>
      <c r="FC100" t="str">
        <f t="shared" si="103"/>
        <v/>
      </c>
      <c r="FD100" t="str">
        <f t="shared" si="81"/>
        <v/>
      </c>
      <c r="FF100">
        <f t="shared" si="82"/>
        <v>0</v>
      </c>
      <c r="FG100">
        <f>IF(FF100=0,0,1+COUNTIF(FG$3:FG99,"&gt;0"))</f>
        <v>0</v>
      </c>
      <c r="FH100" t="str">
        <f t="shared" si="104"/>
        <v/>
      </c>
      <c r="FI100" t="str">
        <f t="shared" si="83"/>
        <v/>
      </c>
      <c r="FK100">
        <f t="shared" si="84"/>
        <v>0</v>
      </c>
      <c r="FL100">
        <f>IF(FK100=0,0,1+COUNTIF(FL$3:FL99,"&gt;0"))</f>
        <v>0</v>
      </c>
      <c r="FM100" t="str">
        <f t="shared" si="105"/>
        <v/>
      </c>
      <c r="FN100" t="str">
        <f t="shared" si="85"/>
        <v/>
      </c>
      <c r="FP100">
        <f t="shared" si="86"/>
        <v>0</v>
      </c>
      <c r="FQ100">
        <f>IF(FP100=0,0,1+COUNTIF(FQ$3:FQ99,"&gt;0"))</f>
        <v>0</v>
      </c>
      <c r="FR100" t="str">
        <f t="shared" si="106"/>
        <v/>
      </c>
      <c r="FS100" t="str">
        <f t="shared" si="87"/>
        <v/>
      </c>
    </row>
    <row r="101" spans="1:175" x14ac:dyDescent="0.25">
      <c r="A101" s="347">
        <f t="shared" si="107"/>
        <v>99</v>
      </c>
      <c r="B101" s="348" t="s">
        <v>2468</v>
      </c>
      <c r="C101" s="348">
        <v>1</v>
      </c>
      <c r="D101" s="347">
        <v>1</v>
      </c>
      <c r="E101" s="627" t="s">
        <v>6952</v>
      </c>
      <c r="F101" s="346"/>
      <c r="G101" s="347" t="str">
        <f>""</f>
        <v/>
      </c>
      <c r="H101" s="347" t="s">
        <v>5912</v>
      </c>
      <c r="I101" s="347" t="s">
        <v>5283</v>
      </c>
      <c r="J101" s="347" t="str">
        <f t="shared" si="57"/>
        <v/>
      </c>
      <c r="K101" s="347" t="s">
        <v>5293</v>
      </c>
      <c r="L101" s="611" t="str">
        <f t="shared" si="58"/>
        <v>V, S</v>
      </c>
      <c r="M101" s="347" t="s">
        <v>2373</v>
      </c>
      <c r="N101" s="347" t="s">
        <v>2387</v>
      </c>
      <c r="O101" s="347" t="s">
        <v>3034</v>
      </c>
      <c r="P101" s="346" t="str">
        <f>""</f>
        <v/>
      </c>
      <c r="Q101" s="347" t="s">
        <v>5274</v>
      </c>
      <c r="S101" s="346" t="s">
        <v>5661</v>
      </c>
      <c r="T101" s="346" t="str">
        <f t="shared" si="59"/>
        <v xml:space="preserve">Sorcerer, Arcane Trickster, Wizard, Trickery, </v>
      </c>
      <c r="X101" s="347" t="str">
        <f>$B101</f>
        <v>Disguise Self</v>
      </c>
      <c r="AC101" s="539" t="str">
        <f>B101</f>
        <v>Disguise Self</v>
      </c>
      <c r="AD101" s="347" t="str">
        <f>$B101</f>
        <v>Disguise Self</v>
      </c>
      <c r="AE101" t="str">
        <f>IF(IFERROR(MATCH($B101,temp!A$4:A$13,0),0)&gt;0,T08_Spells!AE$2,"")</f>
        <v/>
      </c>
      <c r="AF101" t="str">
        <f>IF(IFERROR(MATCH($B101,temp!B$4:B$13,0),0)&gt;0,T08_Spells!AF$2,"")</f>
        <v/>
      </c>
      <c r="AG101" t="str">
        <f>IF(IFERROR(MATCH($B101,temp!C$4:C$13,0),0)&gt;0,T08_Spells!AG$2,"")</f>
        <v/>
      </c>
      <c r="AH101" t="str">
        <f>IF(IFERROR(MATCH($B101,temp!D$4:D$13,0),0)&gt;0,T08_Spells!AH$2,"")</f>
        <v/>
      </c>
      <c r="AI101" t="str">
        <f>IF(IFERROR(MATCH($B101,temp!E$4:E$13,0),0)&gt;0,T08_Spells!AI$2,"")</f>
        <v/>
      </c>
      <c r="AJ101" t="str">
        <f>IF(IFERROR(MATCH($B101,temp!F$4:F$13,0),0)&gt;0,T08_Spells!AJ$2,"")</f>
        <v/>
      </c>
      <c r="AK101" t="str">
        <f>IF(IFERROR(MATCH($B101,temp!G$4:G$13,0),0)&gt;0,T08_Spells!AK$2,"")</f>
        <v/>
      </c>
      <c r="AL101" t="str">
        <f>IF(IFERROR(MATCH($B101,temp!H$4:H$13,0),0)&gt;0,T08_Spells!AL$2,"")</f>
        <v/>
      </c>
      <c r="AM101" t="str">
        <f>IF(IFERROR(MATCH($B101,temp!I$4:I$13,0),0)&gt;0,T08_Spells!AM$2,"")</f>
        <v/>
      </c>
      <c r="AN101" t="str">
        <f>IF(IFERROR(MATCH($B101,temp!J$4:J$13,0),0)&gt;0,T08_Spells!AN$2,"")</f>
        <v/>
      </c>
      <c r="AO101" t="str">
        <f>IF(IFERROR(MATCH($B101,temp!K$4:K$13,0),0)&gt;0,T08_Spells!AO$2,"")</f>
        <v/>
      </c>
      <c r="AP101" t="str">
        <f>IF(IFERROR(MATCH($B101,temp!L$4:L$13,0),0)&gt;0,T08_Spells!AP$2,"")</f>
        <v/>
      </c>
      <c r="AQ101" t="str">
        <f>IF(IFERROR(MATCH($B101,temp!M$4:M$13,0),0)&gt;0,T08_Spells!AQ$2,"")</f>
        <v/>
      </c>
      <c r="AR101" t="str">
        <f>IF(IFERROR(MATCH($B101,temp!N$4:N$13,0),0)&gt;0,T08_Spells!AR$2,"")</f>
        <v/>
      </c>
      <c r="AS101" t="str">
        <f>IF(IFERROR(MATCH($B101,temp!O$4:O$13,0),0)&gt;0,T08_Spells!AS$2,"")</f>
        <v/>
      </c>
      <c r="AT101" t="str">
        <f>IF(IFERROR(MATCH($B101,temp!P$4:P$13,0),0)&gt;0,T08_Spells!AT$2,"")</f>
        <v/>
      </c>
      <c r="AU101" t="str">
        <f>IF(IFERROR(MATCH($B101,temp!Q$4:Q$13,0),0)&gt;0,T08_Spells!AU$2,"")</f>
        <v/>
      </c>
      <c r="AV101" t="str">
        <f>IF(IFERROR(MATCH($B101,temp!R$4:R$13,0),0)&gt;0,T08_Spells!AV$2,"")</f>
        <v/>
      </c>
      <c r="AW101" t="str">
        <f>IF(IFERROR(MATCH($B101,temp!S$4:S$13,0),0)&gt;0,T08_Spells!AW$2,"")</f>
        <v/>
      </c>
      <c r="AX101" t="str">
        <f>IF(IFERROR(MATCH($B101,temp!T$4:T$13,0),0)&gt;0,T08_Spells!AX$2,"")</f>
        <v/>
      </c>
      <c r="AY101" t="str">
        <f>IF(IFERROR(MATCH($B101,temp!U$4:U$13,0),0)&gt;0,T08_Spells!AY$2,"")</f>
        <v>Trickery</v>
      </c>
      <c r="AZ101" t="str">
        <f>IF(IFERROR(MATCH($B101,temp!V$4:V$13,0),0)&gt;0,T08_Spells!AZ$2,"")</f>
        <v/>
      </c>
      <c r="BA101" t="str">
        <f>IF(IFERROR(MATCH($B101,temp!W$4:W$13,0),0)&gt;0,T08_Spells!BA$2,"")</f>
        <v/>
      </c>
      <c r="BC101">
        <f>IF(IFERROR(SEARCH("Ranger",$T101,1),0)&gt;0,1,0)*IF(RangerMaxSpellLevel&gt;=$C101,1,0)*IF(IFERROR(MATCH(B101,Character_Creation!$X$79:$X$382,0),0)&gt;0,0,1)</f>
        <v>0</v>
      </c>
      <c r="BD101">
        <f>IF(BC101=0,0,1+COUNTIF(BD$3:BD100,"&gt;0"))</f>
        <v>0</v>
      </c>
      <c r="BE101" t="str">
        <f t="shared" si="88"/>
        <v/>
      </c>
      <c r="BF101" t="str">
        <f t="shared" si="60"/>
        <v/>
      </c>
      <c r="BH101">
        <f>IF(IFERROR(SEARCH("Sorcerer",$T101,1),0)&gt;0,1,0)*IF(SorcererMaxSpellLevel&gt;=$C101,1,0)*IF(IFERROR(MATCH(B101,Character_Creation!$J$380:$J$394,0),0)&gt;0,0,1)</f>
        <v>0</v>
      </c>
      <c r="BI101">
        <f>IF(BH101=0,0,1+COUNTIF(BI$3:BI100,"&gt;0"))</f>
        <v>0</v>
      </c>
      <c r="BJ101" t="str">
        <f t="shared" si="89"/>
        <v/>
      </c>
      <c r="BK101" t="str">
        <f t="shared" si="61"/>
        <v/>
      </c>
      <c r="BM101">
        <f>IF(OR(IFERROR(SEARCH("Warlock",$T101,1),0)&gt;0,IFERROR(SEARCH(WarlockPatron,$T101,1),0)&gt;0),1,0)*IF(WarlockMaxSpellLevel&gt;=$C101,1,0)*IF(IFERROR(MATCH(B101,Character_Creation!$J$361:$J$375,0),0)&gt;0,0,1)</f>
        <v>0</v>
      </c>
      <c r="BN101">
        <f>IF(BM101=0,0,1+COUNTIF(BN$3:BN100,"&gt;0"))</f>
        <v>0</v>
      </c>
      <c r="BO101" t="str">
        <f t="shared" si="90"/>
        <v/>
      </c>
      <c r="BP101" t="str">
        <f t="shared" si="62"/>
        <v/>
      </c>
      <c r="BR101">
        <f>IF(IFERROR(SEARCH("Eldritch Knight",$T101,1),0)&gt;0,1,0)*IF(EldritchKnightMaxSpellLevel&gt;=$C101,1,0)*IF(IFERROR(MATCH($B101,Character_Creation!$J$350:$J$356,0),0)&gt;0,0,1)*IF(Character_Creation!$M$338&gt;0,1,0)</f>
        <v>0</v>
      </c>
      <c r="BS101">
        <f>IF(BR101=0,0,1+COUNTIF(BS$3:BS100,"&gt;0"))</f>
        <v>0</v>
      </c>
      <c r="BT101" t="str">
        <f t="shared" si="91"/>
        <v/>
      </c>
      <c r="BU101" t="str">
        <f t="shared" si="63"/>
        <v/>
      </c>
      <c r="BW101">
        <f>IF(IFERROR(SEARCH("Arcane Trickster",$T101,1),0)&gt;0,1,0)*IF(ArcaneTricksterMaxSpellLevel&gt;=$C101,1,0)*IF(IFERROR(MATCH($B101,Character_Creation!$J$350:$J$356,0),0)&gt;0,0,1)*IF(Character_Creation!$T$338&gt;0,1,0)</f>
        <v>0</v>
      </c>
      <c r="BX101">
        <f>IF(BW101=0,0,1+COUNTIF(BX$3:BX100,"&gt;0"))</f>
        <v>0</v>
      </c>
      <c r="BY101" t="str">
        <f t="shared" si="92"/>
        <v/>
      </c>
      <c r="BZ101" t="str">
        <f t="shared" si="64"/>
        <v/>
      </c>
      <c r="CB101">
        <f>IF(IFERROR(SEARCH("Wizard",$T101,1),0)&gt;0,1,0)*IF(C101&lt;=ArcaneTricksterMaxSpellLevel,1,0)*IF(IFERROR(MATCH($B101,Character_Creation!$J$350:$J$356,0),0)&gt;0,0,1)*IF(Character_Creation!$T$350&gt;0,1,0)</f>
        <v>0</v>
      </c>
      <c r="CC101">
        <f>IF(CB101=0,0,1+COUNTIF(CC$3:CC100,"&gt;0"))</f>
        <v>0</v>
      </c>
      <c r="CD101" t="str">
        <f t="shared" si="93"/>
        <v/>
      </c>
      <c r="CE101" t="str">
        <f t="shared" si="65"/>
        <v/>
      </c>
      <c r="CG101">
        <f>IF(IFERROR(SEARCH("Wizard",$T101,1),0)&gt;0,1,0)*IF($C101&lt;=EldritchKnightMaxSpellLevel,1,0)*IF(IFERROR(MATCH($B101,Character_Creation!$J$350:$J$356,0),0)&gt;0,0,1)*IF(Character_Creation!$M$350&gt;0,1,0)</f>
        <v>1</v>
      </c>
      <c r="CH101">
        <f>IF(CG101=0,0,1+COUNTIF(CH$3:CH100,"&gt;0"))</f>
        <v>18</v>
      </c>
      <c r="CI101" t="str">
        <f t="shared" si="94"/>
        <v/>
      </c>
      <c r="CJ101" t="str">
        <f t="shared" si="66"/>
        <v/>
      </c>
      <c r="CL101">
        <f>IF(IFERROR(SEARCH("Bard",$T101,1),0)&gt;0,1,0)*IF(BardMaxSpellLevel&gt;=$C101,1,0)*IF(IFERROR(MATCH(B101,Character_Creation!$C$341:$F$362,0),0)&gt;0,0,1)*IF(IFERROR(MATCH($B101,Character_Creation!$C$341:$C$362,0),0)&gt;0,0,1)</f>
        <v>0</v>
      </c>
      <c r="CM101">
        <f>IF(CL101=0,0,1+COUNTIF(CM$3:CM100,"&gt;0"))</f>
        <v>0</v>
      </c>
      <c r="CN101" t="str">
        <f t="shared" si="95"/>
        <v/>
      </c>
      <c r="CO101" t="str">
        <f t="shared" si="67"/>
        <v/>
      </c>
      <c r="CQ101">
        <f>IF(IFERROR(SEARCH("Wizard",$T101,1),0)&gt;0,1,0)*IF(WizardMaxSpellLevel&gt;=$C101,1,0)*IF(IFERROR(MATCH(B101,Character_Creation!$X$341:$X$400,0),0)&gt;0,0,1)*IF(SelectedWizardSpellLevel=$C101,1,0)</f>
        <v>0</v>
      </c>
      <c r="CR101">
        <f>IF(CQ101=0,0,1+COUNTIF(CR$3:CR100,"&gt;0"))</f>
        <v>0</v>
      </c>
      <c r="CS101" t="str">
        <f t="shared" si="96"/>
        <v/>
      </c>
      <c r="CT101" t="str">
        <f t="shared" si="68"/>
        <v/>
      </c>
      <c r="CV101">
        <f>IF(IFERROR(MATCH($B101,Character_Creation!$C$341:$C$362,0),0)&gt;0,0,1)*IF(OR(C101="Cantrip",C101&lt;=BardMaxSpellLevel),1,0)*IF(IFERROR(MATCH($B101,Character_Creation!$C$367:$C$374,0),0)&gt;0,0,1)</f>
        <v>0</v>
      </c>
      <c r="CW101">
        <f>IF(CV101=0,0,1+COUNTIF(CW$3:CW100,"&gt;0"))</f>
        <v>0</v>
      </c>
      <c r="CX101" t="str">
        <f t="shared" si="97"/>
        <v/>
      </c>
      <c r="CY101" t="str">
        <f t="shared" si="69"/>
        <v/>
      </c>
      <c r="DA101">
        <f>IF(IF(OR(IFERROR(SEARCH("Cleric",$T101,1),0)&gt;0,IFERROR(SEARCH(DivineDomain&amp;",",$T101,1),0)&gt;0),1,0)*IF($C101=DA$2,1,0)=1,1+COUNTIF(DA$3:DA100,"&gt;0"),0)</f>
        <v>0</v>
      </c>
      <c r="DB101">
        <f>IF(IF(OR(IFERROR(SEARCH("Cleric",$T101,1),0)&gt;0,IFERROR(SEARCH(DivineDomain&amp;",",$T101,1),0)&gt;0),1,0)*IF($C101=DB$2,1,0)=1,1+COUNTIF(DB$3:DB100,"&gt;0"),0)</f>
        <v>0</v>
      </c>
      <c r="DC101">
        <f>IF(IF(OR(IFERROR(SEARCH("Cleric",$T101,1),0)&gt;0,IFERROR(SEARCH(DivineDomain&amp;",",$T101,1),0)&gt;0),1,0)*IF($C101=DC$2,1,0)=1,1+COUNTIF(DC$3:DC100,"&gt;0"),0)</f>
        <v>0</v>
      </c>
      <c r="DD101">
        <f>IF(IF(OR(IFERROR(SEARCH("Cleric",$T101,1),0)&gt;0,IFERROR(SEARCH(DivineDomain&amp;",",$T101,1),0)&gt;0),1,0)*IF($C101=DD$2,1,0)=1,1+COUNTIF(DD$3:DD100,"&gt;0"),0)</f>
        <v>0</v>
      </c>
      <c r="DE101">
        <f>IF(IF(OR(IFERROR(SEARCH("Cleric",$T101,1),0)&gt;0,IFERROR(SEARCH(DivineDomain&amp;",",$T101,1),0)&gt;0),1,0)*IF($C101=DE$2,1,0)=1,1+COUNTIF(DE$3:DE100,"&gt;0"),0)</f>
        <v>0</v>
      </c>
      <c r="DF101">
        <f>IF(IF(OR(IFERROR(SEARCH("Cleric",$T101,1),0)&gt;0,IFERROR(SEARCH(DivineDomain&amp;",",$T101,1),0)&gt;0),1,0)*IF($C101=DF$2,1,0)=1,1+COUNTIF(DF$3:DF100,"&gt;0"),0)</f>
        <v>0</v>
      </c>
      <c r="DG101">
        <f>IF(IF(OR(IFERROR(SEARCH("Cleric",$T101,1),0)&gt;0,IFERROR(SEARCH(DivineDomain&amp;",",$T101,1),0)&gt;0),1,0)*IF($C101=DG$2,1,0)=1,1+COUNTIF(DG$3:DG100,"&gt;0"),0)</f>
        <v>0</v>
      </c>
      <c r="DH101">
        <f>IF(IF(OR(IFERROR(SEARCH("Cleric",$T101,1),0)&gt;0,IFERROR(SEARCH(DivineDomain&amp;",",$T101,1),0)&gt;0),1,0)*IF($C101=DH$2,1,0)=1,1+COUNTIF(DH$3:DH100,"&gt;0"),0)</f>
        <v>0</v>
      </c>
      <c r="DI101">
        <f>IF(IF(OR(IFERROR(SEARCH("Cleric",$T101,1),0)&gt;0,IFERROR(SEARCH(DivineDomain&amp;",",$T101,1),0)&gt;0),1,0)*IF($C101=DI$2,1,0)=1,1+COUNTIF(DI$3:DI100,"&gt;0"),0)</f>
        <v>0</v>
      </c>
      <c r="DJ101">
        <f>IF(IF(OR(IFERROR(SEARCH("Druid",$T101,1),0)&gt;0,IFERROR(SEARCH(DruidLand1,$T101,1),0)&gt;0,IFERROR(SEARCH(DruidLand2,$T101,1),0)&gt;0,IFERROR(SEARCH(DruidLand3,$T101,1),0)&gt;0,IFERROR(SEARCH(DruidLand4,$T101,1),0)&gt;0),1,0)*IF($C101=1,1,0)*IF($C101=DJ$2,1,0)=0,0,1+COUNTIF(DJ$3:DJ100,"&gt;0"))</f>
        <v>0</v>
      </c>
      <c r="DK101">
        <f>IF(IF(OR(IFERROR(SEARCH("Druid",$T101,1),0)&gt;0,IFERROR(SEARCH(DruidLand1,$T101,1),0)&gt;0,IFERROR(SEARCH(DruidLand2,$T101,1),0)&gt;0,IFERROR(SEARCH(DruidLand3,$T101,1),0)&gt;0,IFERROR(SEARCH(DruidLand4,$T101,1),0)&gt;0),1,0)*IF($C101=1,1,0)*IF($C101=DK$2,1,0)=0,0,1+COUNTIF(DK$3:DK100,"&gt;0"))</f>
        <v>0</v>
      </c>
      <c r="DL101">
        <f>IF(IF(OR(IFERROR(SEARCH("Druid",$T101,1),0)&gt;0,IFERROR(SEARCH(DruidLand1,$T101,1),0)&gt;0,IFERROR(SEARCH(DruidLand2,$T101,1),0)&gt;0,IFERROR(SEARCH(DruidLand3,$T101,1),0)&gt;0,IFERROR(SEARCH(DruidLand4,$T101,1),0)&gt;0),1,0)*IF($C101=1,1,0)*IF($C101=DL$2,1,0)=0,0,1+COUNTIF(DL$3:DL100,"&gt;0"))</f>
        <v>0</v>
      </c>
      <c r="DM101">
        <f>IF(IF(OR(IFERROR(SEARCH("Druid",$T101,1),0)&gt;0,IFERROR(SEARCH(DruidLand1,$T101,1),0)&gt;0,IFERROR(SEARCH(DruidLand2,$T101,1),0)&gt;0,IFERROR(SEARCH(DruidLand3,$T101,1),0)&gt;0,IFERROR(SEARCH(DruidLand4,$T101,1),0)&gt;0),1,0)*IF($C101=1,1,0)*IF($C101=DM$2,1,0)=0,0,1+COUNTIF(DM$3:DM100,"&gt;0"))</f>
        <v>0</v>
      </c>
      <c r="DN101">
        <f>IF(IF(OR(IFERROR(SEARCH("Druid",$T101,1),0)&gt;0,IFERROR(SEARCH(DruidLand1,$T101,1),0)&gt;0,IFERROR(SEARCH(DruidLand2,$T101,1),0)&gt;0,IFERROR(SEARCH(DruidLand3,$T101,1),0)&gt;0,IFERROR(SEARCH(DruidLand4,$T101,1),0)&gt;0),1,0)*IF($C101=1,1,0)*IF($C101=DN$2,1,0)=0,0,1+COUNTIF(DN$3:DN100,"&gt;0"))</f>
        <v>0</v>
      </c>
      <c r="DO101">
        <f>IF(IF(OR(IFERROR(SEARCH("Druid",$T101,1),0)&gt;0,IFERROR(SEARCH(DruidLand1,$T101,1),0)&gt;0,IFERROR(SEARCH(DruidLand2,$T101,1),0)&gt;0,IFERROR(SEARCH(DruidLand3,$T101,1),0)&gt;0,IFERROR(SEARCH(DruidLand4,$T101,1),0)&gt;0),1,0)*IF($C101=1,1,0)*IF($C101=DO$2,1,0)=0,0,1+COUNTIF(DO$3:DO100,"&gt;0"))</f>
        <v>0</v>
      </c>
      <c r="DP101">
        <f>IF(IF(OR(IFERROR(SEARCH("Druid",$T101,1),0)&gt;0,IFERROR(SEARCH(DruidLand1,$T101,1),0)&gt;0,IFERROR(SEARCH(DruidLand2,$T101,1),0)&gt;0,IFERROR(SEARCH(DruidLand3,$T101,1),0)&gt;0,IFERROR(SEARCH(DruidLand4,$T101,1),0)&gt;0),1,0)*IF($C101=1,1,0)*IF($C101=DP$2,1,0)=0,0,1+COUNTIF(DP$3:DP100,"&gt;0"))</f>
        <v>0</v>
      </c>
      <c r="DQ101">
        <f>IF(IF(OR(IFERROR(SEARCH("Druid",$T101,1),0)&gt;0,IFERROR(SEARCH(DruidLand1,$T101,1),0)&gt;0,IFERROR(SEARCH(DruidLand2,$T101,1),0)&gt;0,IFERROR(SEARCH(DruidLand3,$T101,1),0)&gt;0,IFERROR(SEARCH(DruidLand4,$T101,1),0)&gt;0),1,0)*IF($C101=1,1,0)*IF($C101=DQ$2,1,0)=0,0,1+COUNTIF(DQ$3:DQ100,"&gt;0"))</f>
        <v>0</v>
      </c>
      <c r="DR101">
        <f>IF(IF(OR(IFERROR(SEARCH("Druid",$T101,1),0)&gt;0,IFERROR(SEARCH(DruidLand1,$T101,1),0)&gt;0,IFERROR(SEARCH(DruidLand2,$T101,1),0)&gt;0,IFERROR(SEARCH(DruidLand3,$T101,1),0)&gt;0,IFERROR(SEARCH(DruidLand4,$T101,1),0)&gt;0),1,0)*IF($C101=1,1,0)*IF($C101=DR$2,1,0)=0,0,1+COUNTIF(DR$3:DR100,"&gt;0"))</f>
        <v>0</v>
      </c>
      <c r="DS101">
        <f>IF(IF(OR(IFERROR(SEARCH("Paladin",$T101,1),0)&gt;0,IFERROR(SEARCH(PaladinOath,$T101,1),0)&gt;0),1,0)*IF($C101=DS$2,1,0)=1,1+COUNTIF(DS$3:DS100,"&gt;0"),0)</f>
        <v>0</v>
      </c>
      <c r="DT101">
        <f>IF(IF(OR(IFERROR(SEARCH("Paladin",$T101,1),0)&gt;0,IFERROR(SEARCH(PaladinOath,$T101,1),0)&gt;0),1,0)*IF($C101=DT$2,1,0)=1,1+COUNTIF(DT$3:DT100,"&gt;0"),0)</f>
        <v>0</v>
      </c>
      <c r="DU101">
        <f>IF(IF(OR(IFERROR(SEARCH("Paladin",$T101,1),0)&gt;0,IFERROR(SEARCH(PaladinOath,$T101,1),0)&gt;0),1,0)*IF($C101=DU$2,1,0)=1,1+COUNTIF(DU$3:DU100,"&gt;0"),0)</f>
        <v>0</v>
      </c>
      <c r="DV101">
        <f>IF(IF(OR(IFERROR(SEARCH("Paladin",$T101,1),0)&gt;0,IFERROR(SEARCH(PaladinOath,$T101,1),0)&gt;0),1,0)*IF($C101=DV$2,1,0)=1,1+COUNTIF(DV$3:DV100,"&gt;0"),0)</f>
        <v>0</v>
      </c>
      <c r="DW101">
        <f>IF(IF(OR(IFERROR(SEARCH("Paladin",$T101,1),0)&gt;0,IFERROR(SEARCH(PaladinOath,$T101,1),0)&gt;0),1,0)*IF($C101=DW$2,1,0)=1,1+COUNTIF(DW$3:DW100,"&gt;0"),0)</f>
        <v>0</v>
      </c>
      <c r="DY101">
        <f t="shared" si="56"/>
        <v>1</v>
      </c>
      <c r="DZ101">
        <f>IF(DY101=0,0,1+MAX(DZ$3:$DZ100))</f>
        <v>99</v>
      </c>
      <c r="EB101">
        <f t="shared" si="70"/>
        <v>0</v>
      </c>
      <c r="EC101">
        <f>IF(EB101=0,0,1+COUNTIF(EC$3:EC100,"&gt;0"))</f>
        <v>0</v>
      </c>
      <c r="ED101" t="str">
        <f t="shared" si="98"/>
        <v/>
      </c>
      <c r="EE101" t="str">
        <f t="shared" si="71"/>
        <v/>
      </c>
      <c r="EG101">
        <f t="shared" si="72"/>
        <v>0</v>
      </c>
      <c r="EH101">
        <f>IF(EG101=0,0,1+COUNTIF(EH$3:EH100,"&gt;0"))</f>
        <v>0</v>
      </c>
      <c r="EI101" t="str">
        <f t="shared" si="99"/>
        <v/>
      </c>
      <c r="EJ101" t="str">
        <f t="shared" si="73"/>
        <v/>
      </c>
      <c r="EL101">
        <f t="shared" si="74"/>
        <v>0</v>
      </c>
      <c r="EM101">
        <f>IF(EL101=0,0,1+COUNTIF(EM$3:EM100,"&gt;0"))</f>
        <v>0</v>
      </c>
      <c r="EN101" t="str">
        <f t="shared" si="100"/>
        <v/>
      </c>
      <c r="EO101" t="str">
        <f t="shared" si="75"/>
        <v/>
      </c>
      <c r="EQ101">
        <f t="shared" si="76"/>
        <v>0</v>
      </c>
      <c r="ER101">
        <f>IF(EQ101=0,0,1+COUNTIF(ER$3:ER100,"&gt;0"))</f>
        <v>0</v>
      </c>
      <c r="ES101" t="str">
        <f t="shared" si="101"/>
        <v/>
      </c>
      <c r="ET101" t="str">
        <f t="shared" si="77"/>
        <v/>
      </c>
      <c r="EV101">
        <f t="shared" si="78"/>
        <v>0</v>
      </c>
      <c r="EW101">
        <f>IF(EV101=0,0,1+COUNTIF(EW$3:EW100,"&gt;0"))</f>
        <v>0</v>
      </c>
      <c r="EX101" t="str">
        <f t="shared" si="102"/>
        <v/>
      </c>
      <c r="EY101" t="str">
        <f t="shared" si="79"/>
        <v/>
      </c>
      <c r="FA101">
        <f t="shared" si="80"/>
        <v>0</v>
      </c>
      <c r="FB101">
        <f>IF(FA101=0,0,1+COUNTIF(FB$3:FB100,"&gt;0"))</f>
        <v>0</v>
      </c>
      <c r="FC101" t="str">
        <f t="shared" si="103"/>
        <v/>
      </c>
      <c r="FD101" t="str">
        <f t="shared" si="81"/>
        <v/>
      </c>
      <c r="FF101">
        <f t="shared" si="82"/>
        <v>0</v>
      </c>
      <c r="FG101">
        <f>IF(FF101=0,0,1+COUNTIF(FG$3:FG100,"&gt;0"))</f>
        <v>0</v>
      </c>
      <c r="FH101" t="str">
        <f t="shared" si="104"/>
        <v/>
      </c>
      <c r="FI101" t="str">
        <f t="shared" si="83"/>
        <v/>
      </c>
      <c r="FK101">
        <f t="shared" si="84"/>
        <v>0</v>
      </c>
      <c r="FL101">
        <f>IF(FK101=0,0,1+COUNTIF(FL$3:FL100,"&gt;0"))</f>
        <v>0</v>
      </c>
      <c r="FM101" t="str">
        <f t="shared" si="105"/>
        <v/>
      </c>
      <c r="FN101" t="str">
        <f t="shared" si="85"/>
        <v/>
      </c>
      <c r="FP101">
        <f t="shared" si="86"/>
        <v>0</v>
      </c>
      <c r="FQ101">
        <f>IF(FP101=0,0,1+COUNTIF(FQ$3:FQ100,"&gt;0"))</f>
        <v>0</v>
      </c>
      <c r="FR101" t="str">
        <f t="shared" si="106"/>
        <v/>
      </c>
      <c r="FS101" t="str">
        <f t="shared" si="87"/>
        <v/>
      </c>
    </row>
    <row r="102" spans="1:175" x14ac:dyDescent="0.25">
      <c r="A102" s="347">
        <f t="shared" si="107"/>
        <v>100</v>
      </c>
      <c r="B102" s="348" t="s">
        <v>2469</v>
      </c>
      <c r="C102" s="348">
        <v>6</v>
      </c>
      <c r="D102" s="347">
        <v>6</v>
      </c>
      <c r="E102" s="627" t="s">
        <v>6952</v>
      </c>
      <c r="F102" s="346"/>
      <c r="G102" s="347" t="str">
        <f>""</f>
        <v/>
      </c>
      <c r="H102" s="347" t="s">
        <v>5912</v>
      </c>
      <c r="I102" s="347" t="s">
        <v>424</v>
      </c>
      <c r="J102" s="347" t="str">
        <f t="shared" si="57"/>
        <v/>
      </c>
      <c r="K102" s="347" t="s">
        <v>5278</v>
      </c>
      <c r="L102" s="611" t="str">
        <f t="shared" si="58"/>
        <v>V, S, M, a lodestone and a pinch of dust</v>
      </c>
      <c r="M102" s="347" t="s">
        <v>2373</v>
      </c>
      <c r="N102" s="347" t="s">
        <v>2387</v>
      </c>
      <c r="O102" s="347" t="s">
        <v>1244</v>
      </c>
      <c r="P102" s="346" t="s">
        <v>5351</v>
      </c>
      <c r="Q102" s="347" t="s">
        <v>5276</v>
      </c>
      <c r="S102" s="346" t="s">
        <v>5662</v>
      </c>
      <c r="T102" s="346" t="str">
        <f t="shared" si="59"/>
        <v xml:space="preserve">Sorcerer, Wizard, </v>
      </c>
      <c r="X102" s="347" t="str">
        <f>$B102</f>
        <v>Disintegrate</v>
      </c>
      <c r="AD102" s="347" t="str">
        <f>$B102</f>
        <v>Disintegrate</v>
      </c>
      <c r="AE102" t="str">
        <f>IF(IFERROR(MATCH($B102,temp!A$4:A$13,0),0)&gt;0,T08_Spells!AE$2,"")</f>
        <v/>
      </c>
      <c r="AF102" t="str">
        <f>IF(IFERROR(MATCH($B102,temp!B$4:B$13,0),0)&gt;0,T08_Spells!AF$2,"")</f>
        <v/>
      </c>
      <c r="AG102" t="str">
        <f>IF(IFERROR(MATCH($B102,temp!C$4:C$13,0),0)&gt;0,T08_Spells!AG$2,"")</f>
        <v/>
      </c>
      <c r="AH102" t="str">
        <f>IF(IFERROR(MATCH($B102,temp!D$4:D$13,0),0)&gt;0,T08_Spells!AH$2,"")</f>
        <v/>
      </c>
      <c r="AI102" t="str">
        <f>IF(IFERROR(MATCH($B102,temp!E$4:E$13,0),0)&gt;0,T08_Spells!AI$2,"")</f>
        <v/>
      </c>
      <c r="AJ102" t="str">
        <f>IF(IFERROR(MATCH($B102,temp!F$4:F$13,0),0)&gt;0,T08_Spells!AJ$2,"")</f>
        <v/>
      </c>
      <c r="AK102" t="str">
        <f>IF(IFERROR(MATCH($B102,temp!G$4:G$13,0),0)&gt;0,T08_Spells!AK$2,"")</f>
        <v/>
      </c>
      <c r="AL102" t="str">
        <f>IF(IFERROR(MATCH($B102,temp!H$4:H$13,0),0)&gt;0,T08_Spells!AL$2,"")</f>
        <v/>
      </c>
      <c r="AM102" t="str">
        <f>IF(IFERROR(MATCH($B102,temp!I$4:I$13,0),0)&gt;0,T08_Spells!AM$2,"")</f>
        <v/>
      </c>
      <c r="AN102" t="str">
        <f>IF(IFERROR(MATCH($B102,temp!J$4:J$13,0),0)&gt;0,T08_Spells!AN$2,"")</f>
        <v/>
      </c>
      <c r="AO102" t="str">
        <f>IF(IFERROR(MATCH($B102,temp!K$4:K$13,0),0)&gt;0,T08_Spells!AO$2,"")</f>
        <v/>
      </c>
      <c r="AP102" t="str">
        <f>IF(IFERROR(MATCH($B102,temp!L$4:L$13,0),0)&gt;0,T08_Spells!AP$2,"")</f>
        <v/>
      </c>
      <c r="AQ102" t="str">
        <f>IF(IFERROR(MATCH($B102,temp!M$4:M$13,0),0)&gt;0,T08_Spells!AQ$2,"")</f>
        <v/>
      </c>
      <c r="AR102" t="str">
        <f>IF(IFERROR(MATCH($B102,temp!N$4:N$13,0),0)&gt;0,T08_Spells!AR$2,"")</f>
        <v/>
      </c>
      <c r="AS102" t="str">
        <f>IF(IFERROR(MATCH($B102,temp!O$4:O$13,0),0)&gt;0,T08_Spells!AS$2,"")</f>
        <v/>
      </c>
      <c r="AT102" t="str">
        <f>IF(IFERROR(MATCH($B102,temp!P$4:P$13,0),0)&gt;0,T08_Spells!AT$2,"")</f>
        <v/>
      </c>
      <c r="AU102" t="str">
        <f>IF(IFERROR(MATCH($B102,temp!Q$4:Q$13,0),0)&gt;0,T08_Spells!AU$2,"")</f>
        <v/>
      </c>
      <c r="AV102" t="str">
        <f>IF(IFERROR(MATCH($B102,temp!R$4:R$13,0),0)&gt;0,T08_Spells!AV$2,"")</f>
        <v/>
      </c>
      <c r="AW102" t="str">
        <f>IF(IFERROR(MATCH($B102,temp!S$4:S$13,0),0)&gt;0,T08_Spells!AW$2,"")</f>
        <v/>
      </c>
      <c r="AX102" t="str">
        <f>IF(IFERROR(MATCH($B102,temp!T$4:T$13,0),0)&gt;0,T08_Spells!AX$2,"")</f>
        <v/>
      </c>
      <c r="AY102" t="str">
        <f>IF(IFERROR(MATCH($B102,temp!U$4:U$13,0),0)&gt;0,T08_Spells!AY$2,"")</f>
        <v/>
      </c>
      <c r="AZ102" t="str">
        <f>IF(IFERROR(MATCH($B102,temp!V$4:V$13,0),0)&gt;0,T08_Spells!AZ$2,"")</f>
        <v/>
      </c>
      <c r="BA102" t="str">
        <f>IF(IFERROR(MATCH($B102,temp!W$4:W$13,0),0)&gt;0,T08_Spells!BA$2,"")</f>
        <v/>
      </c>
      <c r="BC102">
        <f>IF(IFERROR(SEARCH("Ranger",$T102,1),0)&gt;0,1,0)*IF(RangerMaxSpellLevel&gt;=$C102,1,0)*IF(IFERROR(MATCH(B102,Character_Creation!$X$79:$X$382,0),0)&gt;0,0,1)</f>
        <v>0</v>
      </c>
      <c r="BD102">
        <f>IF(BC102=0,0,1+COUNTIF(BD$3:BD101,"&gt;0"))</f>
        <v>0</v>
      </c>
      <c r="BE102" t="str">
        <f t="shared" si="88"/>
        <v/>
      </c>
      <c r="BF102" t="str">
        <f t="shared" si="60"/>
        <v/>
      </c>
      <c r="BH102">
        <f>IF(IFERROR(SEARCH("Sorcerer",$T102,1),0)&gt;0,1,0)*IF(SorcererMaxSpellLevel&gt;=$C102,1,0)*IF(IFERROR(MATCH(B102,Character_Creation!$J$380:$J$394,0),0)&gt;0,0,1)</f>
        <v>0</v>
      </c>
      <c r="BI102">
        <f>IF(BH102=0,0,1+COUNTIF(BI$3:BI101,"&gt;0"))</f>
        <v>0</v>
      </c>
      <c r="BJ102" t="str">
        <f t="shared" si="89"/>
        <v/>
      </c>
      <c r="BK102" t="str">
        <f t="shared" si="61"/>
        <v/>
      </c>
      <c r="BM102">
        <f>IF(OR(IFERROR(SEARCH("Warlock",$T102,1),0)&gt;0,IFERROR(SEARCH(WarlockPatron,$T102,1),0)&gt;0),1,0)*IF(WarlockMaxSpellLevel&gt;=$C102,1,0)*IF(IFERROR(MATCH(B102,Character_Creation!$J$361:$J$375,0),0)&gt;0,0,1)</f>
        <v>0</v>
      </c>
      <c r="BN102">
        <f>IF(BM102=0,0,1+COUNTIF(BN$3:BN101,"&gt;0"))</f>
        <v>0</v>
      </c>
      <c r="BO102" t="str">
        <f t="shared" si="90"/>
        <v/>
      </c>
      <c r="BP102" t="str">
        <f t="shared" si="62"/>
        <v/>
      </c>
      <c r="BR102">
        <f>IF(IFERROR(SEARCH("Eldritch Knight",$T102,1),0)&gt;0,1,0)*IF(EldritchKnightMaxSpellLevel&gt;=$C102,1,0)*IF(IFERROR(MATCH($B102,Character_Creation!$J$350:$J$356,0),0)&gt;0,0,1)*IF(Character_Creation!$M$338&gt;0,1,0)</f>
        <v>0</v>
      </c>
      <c r="BS102">
        <f>IF(BR102=0,0,1+COUNTIF(BS$3:BS101,"&gt;0"))</f>
        <v>0</v>
      </c>
      <c r="BT102" t="str">
        <f t="shared" si="91"/>
        <v/>
      </c>
      <c r="BU102" t="str">
        <f t="shared" si="63"/>
        <v/>
      </c>
      <c r="BW102">
        <f>IF(IFERROR(SEARCH("Arcane Trickster",$T102,1),0)&gt;0,1,0)*IF(ArcaneTricksterMaxSpellLevel&gt;=$C102,1,0)*IF(IFERROR(MATCH($B102,Character_Creation!$J$350:$J$356,0),0)&gt;0,0,1)*IF(Character_Creation!$T$338&gt;0,1,0)</f>
        <v>0</v>
      </c>
      <c r="BX102">
        <f>IF(BW102=0,0,1+COUNTIF(BX$3:BX101,"&gt;0"))</f>
        <v>0</v>
      </c>
      <c r="BY102" t="str">
        <f t="shared" si="92"/>
        <v/>
      </c>
      <c r="BZ102" t="str">
        <f t="shared" si="64"/>
        <v/>
      </c>
      <c r="CB102">
        <f>IF(IFERROR(SEARCH("Wizard",$T102,1),0)&gt;0,1,0)*IF(C102&lt;=ArcaneTricksterMaxSpellLevel,1,0)*IF(IFERROR(MATCH($B102,Character_Creation!$J$350:$J$356,0),0)&gt;0,0,1)*IF(Character_Creation!$T$350&gt;0,1,0)</f>
        <v>0</v>
      </c>
      <c r="CC102">
        <f>IF(CB102=0,0,1+COUNTIF(CC$3:CC101,"&gt;0"))</f>
        <v>0</v>
      </c>
      <c r="CD102" t="str">
        <f t="shared" si="93"/>
        <v/>
      </c>
      <c r="CE102" t="str">
        <f t="shared" si="65"/>
        <v/>
      </c>
      <c r="CG102">
        <f>IF(IFERROR(SEARCH("Wizard",$T102,1),0)&gt;0,1,0)*IF($C102&lt;=EldritchKnightMaxSpellLevel,1,0)*IF(IFERROR(MATCH($B102,Character_Creation!$J$350:$J$356,0),0)&gt;0,0,1)*IF(Character_Creation!$M$350&gt;0,1,0)</f>
        <v>0</v>
      </c>
      <c r="CH102">
        <f>IF(CG102=0,0,1+COUNTIF(CH$3:CH101,"&gt;0"))</f>
        <v>0</v>
      </c>
      <c r="CI102" t="str">
        <f t="shared" si="94"/>
        <v/>
      </c>
      <c r="CJ102" t="str">
        <f t="shared" si="66"/>
        <v/>
      </c>
      <c r="CL102">
        <f>IF(IFERROR(SEARCH("Bard",$T102,1),0)&gt;0,1,0)*IF(BardMaxSpellLevel&gt;=$C102,1,0)*IF(IFERROR(MATCH(B102,Character_Creation!$C$341:$F$362,0),0)&gt;0,0,1)*IF(IFERROR(MATCH($B102,Character_Creation!$C$341:$C$362,0),0)&gt;0,0,1)</f>
        <v>0</v>
      </c>
      <c r="CM102">
        <f>IF(CL102=0,0,1+COUNTIF(CM$3:CM101,"&gt;0"))</f>
        <v>0</v>
      </c>
      <c r="CN102" t="str">
        <f t="shared" si="95"/>
        <v/>
      </c>
      <c r="CO102" t="str">
        <f t="shared" si="67"/>
        <v/>
      </c>
      <c r="CQ102">
        <f>IF(IFERROR(SEARCH("Wizard",$T102,1),0)&gt;0,1,0)*IF(WizardMaxSpellLevel&gt;=$C102,1,0)*IF(IFERROR(MATCH(B102,Character_Creation!$X$341:$X$400,0),0)&gt;0,0,1)*IF(SelectedWizardSpellLevel=$C102,1,0)</f>
        <v>0</v>
      </c>
      <c r="CR102">
        <f>IF(CQ102=0,0,1+COUNTIF(CR$3:CR101,"&gt;0"))</f>
        <v>0</v>
      </c>
      <c r="CS102" t="str">
        <f t="shared" si="96"/>
        <v/>
      </c>
      <c r="CT102" t="str">
        <f t="shared" si="68"/>
        <v/>
      </c>
      <c r="CV102">
        <f>IF(IFERROR(MATCH($B102,Character_Creation!$C$341:$C$362,0),0)&gt;0,0,1)*IF(OR(C102="Cantrip",C102&lt;=BardMaxSpellLevel),1,0)*IF(IFERROR(MATCH($B102,Character_Creation!$C$367:$C$374,0),0)&gt;0,0,1)</f>
        <v>0</v>
      </c>
      <c r="CW102">
        <f>IF(CV102=0,0,1+COUNTIF(CW$3:CW101,"&gt;0"))</f>
        <v>0</v>
      </c>
      <c r="CX102" t="str">
        <f t="shared" si="97"/>
        <v/>
      </c>
      <c r="CY102" t="str">
        <f t="shared" si="69"/>
        <v/>
      </c>
      <c r="DA102">
        <f>IF(IF(OR(IFERROR(SEARCH("Cleric",$T102,1),0)&gt;0,IFERROR(SEARCH(DivineDomain&amp;",",$T102,1),0)&gt;0),1,0)*IF($C102=DA$2,1,0)=1,1+COUNTIF(DA$3:DA101,"&gt;0"),0)</f>
        <v>0</v>
      </c>
      <c r="DB102">
        <f>IF(IF(OR(IFERROR(SEARCH("Cleric",$T102,1),0)&gt;0,IFERROR(SEARCH(DivineDomain&amp;",",$T102,1),0)&gt;0),1,0)*IF($C102=DB$2,1,0)=1,1+COUNTIF(DB$3:DB101,"&gt;0"),0)</f>
        <v>0</v>
      </c>
      <c r="DC102">
        <f>IF(IF(OR(IFERROR(SEARCH("Cleric",$T102,1),0)&gt;0,IFERROR(SEARCH(DivineDomain&amp;",",$T102,1),0)&gt;0),1,0)*IF($C102=DC$2,1,0)=1,1+COUNTIF(DC$3:DC101,"&gt;0"),0)</f>
        <v>0</v>
      </c>
      <c r="DD102">
        <f>IF(IF(OR(IFERROR(SEARCH("Cleric",$T102,1),0)&gt;0,IFERROR(SEARCH(DivineDomain&amp;",",$T102,1),0)&gt;0),1,0)*IF($C102=DD$2,1,0)=1,1+COUNTIF(DD$3:DD101,"&gt;0"),0)</f>
        <v>0</v>
      </c>
      <c r="DE102">
        <f>IF(IF(OR(IFERROR(SEARCH("Cleric",$T102,1),0)&gt;0,IFERROR(SEARCH(DivineDomain&amp;",",$T102,1),0)&gt;0),1,0)*IF($C102=DE$2,1,0)=1,1+COUNTIF(DE$3:DE101,"&gt;0"),0)</f>
        <v>0</v>
      </c>
      <c r="DF102">
        <f>IF(IF(OR(IFERROR(SEARCH("Cleric",$T102,1),0)&gt;0,IFERROR(SEARCH(DivineDomain&amp;",",$T102,1),0)&gt;0),1,0)*IF($C102=DF$2,1,0)=1,1+COUNTIF(DF$3:DF101,"&gt;0"),0)</f>
        <v>0</v>
      </c>
      <c r="DG102">
        <f>IF(IF(OR(IFERROR(SEARCH("Cleric",$T102,1),0)&gt;0,IFERROR(SEARCH(DivineDomain&amp;",",$T102,1),0)&gt;0),1,0)*IF($C102=DG$2,1,0)=1,1+COUNTIF(DG$3:DG101,"&gt;0"),0)</f>
        <v>0</v>
      </c>
      <c r="DH102">
        <f>IF(IF(OR(IFERROR(SEARCH("Cleric",$T102,1),0)&gt;0,IFERROR(SEARCH(DivineDomain&amp;",",$T102,1),0)&gt;0),1,0)*IF($C102=DH$2,1,0)=1,1+COUNTIF(DH$3:DH101,"&gt;0"),0)</f>
        <v>0</v>
      </c>
      <c r="DI102">
        <f>IF(IF(OR(IFERROR(SEARCH("Cleric",$T102,1),0)&gt;0,IFERROR(SEARCH(DivineDomain&amp;",",$T102,1),0)&gt;0),1,0)*IF($C102=DI$2,1,0)=1,1+COUNTIF(DI$3:DI101,"&gt;0"),0)</f>
        <v>0</v>
      </c>
      <c r="DJ102">
        <f>IF(IF(OR(IFERROR(SEARCH("Druid",$T102,1),0)&gt;0,IFERROR(SEARCH(DruidLand1,$T102,1),0)&gt;0,IFERROR(SEARCH(DruidLand2,$T102,1),0)&gt;0,IFERROR(SEARCH(DruidLand3,$T102,1),0)&gt;0,IFERROR(SEARCH(DruidLand4,$T102,1),0)&gt;0),1,0)*IF($C102=1,1,0)*IF($C102=DJ$2,1,0)=0,0,1+COUNTIF(DJ$3:DJ101,"&gt;0"))</f>
        <v>0</v>
      </c>
      <c r="DK102">
        <f>IF(IF(OR(IFERROR(SEARCH("Druid",$T102,1),0)&gt;0,IFERROR(SEARCH(DruidLand1,$T102,1),0)&gt;0,IFERROR(SEARCH(DruidLand2,$T102,1),0)&gt;0,IFERROR(SEARCH(DruidLand3,$T102,1),0)&gt;0,IFERROR(SEARCH(DruidLand4,$T102,1),0)&gt;0),1,0)*IF($C102=1,1,0)*IF($C102=DK$2,1,0)=0,0,1+COUNTIF(DK$3:DK101,"&gt;0"))</f>
        <v>0</v>
      </c>
      <c r="DL102">
        <f>IF(IF(OR(IFERROR(SEARCH("Druid",$T102,1),0)&gt;0,IFERROR(SEARCH(DruidLand1,$T102,1),0)&gt;0,IFERROR(SEARCH(DruidLand2,$T102,1),0)&gt;0,IFERROR(SEARCH(DruidLand3,$T102,1),0)&gt;0,IFERROR(SEARCH(DruidLand4,$T102,1),0)&gt;0),1,0)*IF($C102=1,1,0)*IF($C102=DL$2,1,0)=0,0,1+COUNTIF(DL$3:DL101,"&gt;0"))</f>
        <v>0</v>
      </c>
      <c r="DM102">
        <f>IF(IF(OR(IFERROR(SEARCH("Druid",$T102,1),0)&gt;0,IFERROR(SEARCH(DruidLand1,$T102,1),0)&gt;0,IFERROR(SEARCH(DruidLand2,$T102,1),0)&gt;0,IFERROR(SEARCH(DruidLand3,$T102,1),0)&gt;0,IFERROR(SEARCH(DruidLand4,$T102,1),0)&gt;0),1,0)*IF($C102=1,1,0)*IF($C102=DM$2,1,0)=0,0,1+COUNTIF(DM$3:DM101,"&gt;0"))</f>
        <v>0</v>
      </c>
      <c r="DN102">
        <f>IF(IF(OR(IFERROR(SEARCH("Druid",$T102,1),0)&gt;0,IFERROR(SEARCH(DruidLand1,$T102,1),0)&gt;0,IFERROR(SEARCH(DruidLand2,$T102,1),0)&gt;0,IFERROR(SEARCH(DruidLand3,$T102,1),0)&gt;0,IFERROR(SEARCH(DruidLand4,$T102,1),0)&gt;0),1,0)*IF($C102=1,1,0)*IF($C102=DN$2,1,0)=0,0,1+COUNTIF(DN$3:DN101,"&gt;0"))</f>
        <v>0</v>
      </c>
      <c r="DO102">
        <f>IF(IF(OR(IFERROR(SEARCH("Druid",$T102,1),0)&gt;0,IFERROR(SEARCH(DruidLand1,$T102,1),0)&gt;0,IFERROR(SEARCH(DruidLand2,$T102,1),0)&gt;0,IFERROR(SEARCH(DruidLand3,$T102,1),0)&gt;0,IFERROR(SEARCH(DruidLand4,$T102,1),0)&gt;0),1,0)*IF($C102=1,1,0)*IF($C102=DO$2,1,0)=0,0,1+COUNTIF(DO$3:DO101,"&gt;0"))</f>
        <v>0</v>
      </c>
      <c r="DP102">
        <f>IF(IF(OR(IFERROR(SEARCH("Druid",$T102,1),0)&gt;0,IFERROR(SEARCH(DruidLand1,$T102,1),0)&gt;0,IFERROR(SEARCH(DruidLand2,$T102,1),0)&gt;0,IFERROR(SEARCH(DruidLand3,$T102,1),0)&gt;0,IFERROR(SEARCH(DruidLand4,$T102,1),0)&gt;0),1,0)*IF($C102=1,1,0)*IF($C102=DP$2,1,0)=0,0,1+COUNTIF(DP$3:DP101,"&gt;0"))</f>
        <v>0</v>
      </c>
      <c r="DQ102">
        <f>IF(IF(OR(IFERROR(SEARCH("Druid",$T102,1),0)&gt;0,IFERROR(SEARCH(DruidLand1,$T102,1),0)&gt;0,IFERROR(SEARCH(DruidLand2,$T102,1),0)&gt;0,IFERROR(SEARCH(DruidLand3,$T102,1),0)&gt;0,IFERROR(SEARCH(DruidLand4,$T102,1),0)&gt;0),1,0)*IF($C102=1,1,0)*IF($C102=DQ$2,1,0)=0,0,1+COUNTIF(DQ$3:DQ101,"&gt;0"))</f>
        <v>0</v>
      </c>
      <c r="DR102">
        <f>IF(IF(OR(IFERROR(SEARCH("Druid",$T102,1),0)&gt;0,IFERROR(SEARCH(DruidLand1,$T102,1),0)&gt;0,IFERROR(SEARCH(DruidLand2,$T102,1),0)&gt;0,IFERROR(SEARCH(DruidLand3,$T102,1),0)&gt;0,IFERROR(SEARCH(DruidLand4,$T102,1),0)&gt;0),1,0)*IF($C102=1,1,0)*IF($C102=DR$2,1,0)=0,0,1+COUNTIF(DR$3:DR101,"&gt;0"))</f>
        <v>0</v>
      </c>
      <c r="DS102">
        <f>IF(IF(OR(IFERROR(SEARCH("Paladin",$T102,1),0)&gt;0,IFERROR(SEARCH(PaladinOath,$T102,1),0)&gt;0),1,0)*IF($C102=DS$2,1,0)=1,1+COUNTIF(DS$3:DS101,"&gt;0"),0)</f>
        <v>0</v>
      </c>
      <c r="DT102">
        <f>IF(IF(OR(IFERROR(SEARCH("Paladin",$T102,1),0)&gt;0,IFERROR(SEARCH(PaladinOath,$T102,1),0)&gt;0),1,0)*IF($C102=DT$2,1,0)=1,1+COUNTIF(DT$3:DT101,"&gt;0"),0)</f>
        <v>0</v>
      </c>
      <c r="DU102">
        <f>IF(IF(OR(IFERROR(SEARCH("Paladin",$T102,1),0)&gt;0,IFERROR(SEARCH(PaladinOath,$T102,1),0)&gt;0),1,0)*IF($C102=DU$2,1,0)=1,1+COUNTIF(DU$3:DU101,"&gt;0"),0)</f>
        <v>0</v>
      </c>
      <c r="DV102">
        <f>IF(IF(OR(IFERROR(SEARCH("Paladin",$T102,1),0)&gt;0,IFERROR(SEARCH(PaladinOath,$T102,1),0)&gt;0),1,0)*IF($C102=DV$2,1,0)=1,1+COUNTIF(DV$3:DV101,"&gt;0"),0)</f>
        <v>0</v>
      </c>
      <c r="DW102">
        <f>IF(IF(OR(IFERROR(SEARCH("Paladin",$T102,1),0)&gt;0,IFERROR(SEARCH(PaladinOath,$T102,1),0)&gt;0),1,0)*IF($C102=DW$2,1,0)=1,1+COUNTIF(DW$3:DW101,"&gt;0"),0)</f>
        <v>0</v>
      </c>
      <c r="DY102">
        <f t="shared" si="56"/>
        <v>1</v>
      </c>
      <c r="DZ102">
        <f>IF(DY102=0,0,1+MAX(DZ$3:$DZ101))</f>
        <v>100</v>
      </c>
      <c r="EB102">
        <f t="shared" si="70"/>
        <v>0</v>
      </c>
      <c r="EC102">
        <f>IF(EB102=0,0,1+COUNTIF(EC$3:EC101,"&gt;0"))</f>
        <v>0</v>
      </c>
      <c r="ED102" t="str">
        <f t="shared" si="98"/>
        <v/>
      </c>
      <c r="EE102" t="str">
        <f t="shared" si="71"/>
        <v/>
      </c>
      <c r="EG102">
        <f t="shared" si="72"/>
        <v>0</v>
      </c>
      <c r="EH102">
        <f>IF(EG102=0,0,1+COUNTIF(EH$3:EH101,"&gt;0"))</f>
        <v>0</v>
      </c>
      <c r="EI102" t="str">
        <f t="shared" si="99"/>
        <v/>
      </c>
      <c r="EJ102" t="str">
        <f t="shared" si="73"/>
        <v/>
      </c>
      <c r="EL102">
        <f t="shared" si="74"/>
        <v>0</v>
      </c>
      <c r="EM102">
        <f>IF(EL102=0,0,1+COUNTIF(EM$3:EM101,"&gt;0"))</f>
        <v>0</v>
      </c>
      <c r="EN102" t="str">
        <f t="shared" si="100"/>
        <v/>
      </c>
      <c r="EO102" t="str">
        <f t="shared" si="75"/>
        <v/>
      </c>
      <c r="EQ102">
        <f t="shared" si="76"/>
        <v>0</v>
      </c>
      <c r="ER102">
        <f>IF(EQ102=0,0,1+COUNTIF(ER$3:ER101,"&gt;0"))</f>
        <v>0</v>
      </c>
      <c r="ES102" t="str">
        <f t="shared" si="101"/>
        <v/>
      </c>
      <c r="ET102" t="str">
        <f t="shared" si="77"/>
        <v/>
      </c>
      <c r="EV102">
        <f t="shared" si="78"/>
        <v>0</v>
      </c>
      <c r="EW102">
        <f>IF(EV102=0,0,1+COUNTIF(EW$3:EW101,"&gt;0"))</f>
        <v>0</v>
      </c>
      <c r="EX102" t="str">
        <f t="shared" si="102"/>
        <v/>
      </c>
      <c r="EY102" t="str">
        <f t="shared" si="79"/>
        <v/>
      </c>
      <c r="FA102">
        <f t="shared" si="80"/>
        <v>0</v>
      </c>
      <c r="FB102">
        <f>IF(FA102=0,0,1+COUNTIF(FB$3:FB101,"&gt;0"))</f>
        <v>0</v>
      </c>
      <c r="FC102" t="str">
        <f t="shared" si="103"/>
        <v/>
      </c>
      <c r="FD102" t="str">
        <f t="shared" si="81"/>
        <v/>
      </c>
      <c r="FF102">
        <f t="shared" si="82"/>
        <v>0</v>
      </c>
      <c r="FG102">
        <f>IF(FF102=0,0,1+COUNTIF(FG$3:FG101,"&gt;0"))</f>
        <v>0</v>
      </c>
      <c r="FH102" t="str">
        <f t="shared" si="104"/>
        <v/>
      </c>
      <c r="FI102" t="str">
        <f t="shared" si="83"/>
        <v/>
      </c>
      <c r="FK102">
        <f t="shared" si="84"/>
        <v>0</v>
      </c>
      <c r="FL102">
        <f>IF(FK102=0,0,1+COUNTIF(FL$3:FL101,"&gt;0"))</f>
        <v>0</v>
      </c>
      <c r="FM102" t="str">
        <f t="shared" si="105"/>
        <v/>
      </c>
      <c r="FN102" t="str">
        <f t="shared" si="85"/>
        <v/>
      </c>
      <c r="FP102">
        <f t="shared" si="86"/>
        <v>0</v>
      </c>
      <c r="FQ102">
        <f>IF(FP102=0,0,1+COUNTIF(FQ$3:FQ101,"&gt;0"))</f>
        <v>0</v>
      </c>
      <c r="FR102" t="str">
        <f t="shared" si="106"/>
        <v/>
      </c>
      <c r="FS102" t="str">
        <f t="shared" si="87"/>
        <v/>
      </c>
    </row>
    <row r="103" spans="1:175" x14ac:dyDescent="0.25">
      <c r="A103" s="347">
        <f t="shared" si="107"/>
        <v>101</v>
      </c>
      <c r="B103" s="348" t="s">
        <v>2470</v>
      </c>
      <c r="C103" s="348">
        <v>5</v>
      </c>
      <c r="D103" s="347">
        <v>5</v>
      </c>
      <c r="E103" s="627" t="s">
        <v>6952</v>
      </c>
      <c r="F103" s="346"/>
      <c r="G103" s="347" t="str">
        <f>""</f>
        <v/>
      </c>
      <c r="H103" s="347" t="s">
        <v>5912</v>
      </c>
      <c r="I103" s="347" t="s">
        <v>5283</v>
      </c>
      <c r="J103" s="347" t="str">
        <f t="shared" si="57"/>
        <v/>
      </c>
      <c r="K103" s="347" t="s">
        <v>5291</v>
      </c>
      <c r="L103" s="611" t="str">
        <f t="shared" si="58"/>
        <v>V, S, M, holy water or power silver and iron</v>
      </c>
      <c r="M103" s="347" t="s">
        <v>2373</v>
      </c>
      <c r="N103" s="347" t="s">
        <v>2387</v>
      </c>
      <c r="O103" s="347" t="s">
        <v>1244</v>
      </c>
      <c r="P103" s="346" t="s">
        <v>5352</v>
      </c>
      <c r="Q103" s="347" t="s">
        <v>5270</v>
      </c>
      <c r="S103" s="346" t="s">
        <v>5663</v>
      </c>
      <c r="T103" s="346" t="str">
        <f t="shared" si="59"/>
        <v xml:space="preserve">Paladin, Cleric, </v>
      </c>
      <c r="V103" s="347" t="str">
        <f>$B103</f>
        <v>Dispel Evil and Good</v>
      </c>
      <c r="Z103" s="347" t="str">
        <f>$B103</f>
        <v>Dispel Evil and Good</v>
      </c>
      <c r="AE103" t="str">
        <f>IF(IFERROR(MATCH($B103,temp!A$4:A$13,0),0)&gt;0,T08_Spells!AE$2,"")</f>
        <v/>
      </c>
      <c r="AF103" t="str">
        <f>IF(IFERROR(MATCH($B103,temp!B$4:B$13,0),0)&gt;0,T08_Spells!AF$2,"")</f>
        <v/>
      </c>
      <c r="AG103" t="str">
        <f>IF(IFERROR(MATCH($B103,temp!C$4:C$13,0),0)&gt;0,T08_Spells!AG$2,"")</f>
        <v/>
      </c>
      <c r="AH103" t="str">
        <f>IF(IFERROR(MATCH($B103,temp!D$4:D$13,0),0)&gt;0,T08_Spells!AH$2,"")</f>
        <v/>
      </c>
      <c r="AI103" t="str">
        <f>IF(IFERROR(MATCH($B103,temp!E$4:E$13,0),0)&gt;0,T08_Spells!AI$2,"")</f>
        <v/>
      </c>
      <c r="AJ103" t="str">
        <f>IF(IFERROR(MATCH($B103,temp!F$4:F$13,0),0)&gt;0,T08_Spells!AJ$2,"")</f>
        <v/>
      </c>
      <c r="AK103" t="str">
        <f>IF(IFERROR(MATCH($B103,temp!G$4:G$13,0),0)&gt;0,T08_Spells!AK$2,"")</f>
        <v/>
      </c>
      <c r="AL103" t="str">
        <f>IF(IFERROR(MATCH($B103,temp!H$4:H$13,0),0)&gt;0,T08_Spells!AL$2,"")</f>
        <v/>
      </c>
      <c r="AM103" t="str">
        <f>IF(IFERROR(MATCH($B103,temp!I$4:I$13,0),0)&gt;0,T08_Spells!AM$2,"")</f>
        <v/>
      </c>
      <c r="AN103" t="str">
        <f>IF(IFERROR(MATCH($B103,temp!J$4:J$13,0),0)&gt;0,T08_Spells!AN$2,"")</f>
        <v/>
      </c>
      <c r="AO103" t="str">
        <f>IF(IFERROR(MATCH($B103,temp!K$4:K$13,0),0)&gt;0,T08_Spells!AO$2,"")</f>
        <v/>
      </c>
      <c r="AP103" t="str">
        <f>IF(IFERROR(MATCH($B103,temp!L$4:L$13,0),0)&gt;0,T08_Spells!AP$2,"")</f>
        <v/>
      </c>
      <c r="AQ103" t="str">
        <f>IF(IFERROR(MATCH($B103,temp!M$4:M$13,0),0)&gt;0,T08_Spells!AQ$2,"")</f>
        <v/>
      </c>
      <c r="AR103" t="str">
        <f>IF(IFERROR(MATCH($B103,temp!N$4:N$13,0),0)&gt;0,T08_Spells!AR$2,"")</f>
        <v/>
      </c>
      <c r="AS103" t="str">
        <f>IF(IFERROR(MATCH($B103,temp!O$4:O$13,0),0)&gt;0,T08_Spells!AS$2,"")</f>
        <v/>
      </c>
      <c r="AT103" t="str">
        <f>IF(IFERROR(MATCH($B103,temp!P$4:P$13,0),0)&gt;0,T08_Spells!AT$2,"")</f>
        <v/>
      </c>
      <c r="AU103" t="str">
        <f>IF(IFERROR(MATCH($B103,temp!Q$4:Q$13,0),0)&gt;0,T08_Spells!AU$2,"")</f>
        <v/>
      </c>
      <c r="AV103" t="str">
        <f>IF(IFERROR(MATCH($B103,temp!R$4:R$13,0),0)&gt;0,T08_Spells!AV$2,"")</f>
        <v/>
      </c>
      <c r="AW103" t="str">
        <f>IF(IFERROR(MATCH($B103,temp!S$4:S$13,0),0)&gt;0,T08_Spells!AW$2,"")</f>
        <v/>
      </c>
      <c r="AX103" t="str">
        <f>IF(IFERROR(MATCH($B103,temp!T$4:T$13,0),0)&gt;0,T08_Spells!AX$2,"")</f>
        <v/>
      </c>
      <c r="AY103" t="str">
        <f>IF(IFERROR(MATCH($B103,temp!U$4:U$13,0),0)&gt;0,T08_Spells!AY$2,"")</f>
        <v/>
      </c>
      <c r="AZ103" t="str">
        <f>IF(IFERROR(MATCH($B103,temp!V$4:V$13,0),0)&gt;0,T08_Spells!AZ$2,"")</f>
        <v/>
      </c>
      <c r="BA103" t="str">
        <f>IF(IFERROR(MATCH($B103,temp!W$4:W$13,0),0)&gt;0,T08_Spells!BA$2,"")</f>
        <v/>
      </c>
      <c r="BC103">
        <f>IF(IFERROR(SEARCH("Ranger",$T103,1),0)&gt;0,1,0)*IF(RangerMaxSpellLevel&gt;=$C103,1,0)*IF(IFERROR(MATCH(B103,Character_Creation!$X$79:$X$382,0),0)&gt;0,0,1)</f>
        <v>0</v>
      </c>
      <c r="BD103">
        <f>IF(BC103=0,0,1+COUNTIF(BD$3:BD102,"&gt;0"))</f>
        <v>0</v>
      </c>
      <c r="BE103" t="str">
        <f t="shared" si="88"/>
        <v/>
      </c>
      <c r="BF103" t="str">
        <f t="shared" si="60"/>
        <v/>
      </c>
      <c r="BH103">
        <f>IF(IFERROR(SEARCH("Sorcerer",$T103,1),0)&gt;0,1,0)*IF(SorcererMaxSpellLevel&gt;=$C103,1,0)*IF(IFERROR(MATCH(B103,Character_Creation!$J$380:$J$394,0),0)&gt;0,0,1)</f>
        <v>0</v>
      </c>
      <c r="BI103">
        <f>IF(BH103=0,0,1+COUNTIF(BI$3:BI102,"&gt;0"))</f>
        <v>0</v>
      </c>
      <c r="BJ103" t="str">
        <f t="shared" si="89"/>
        <v/>
      </c>
      <c r="BK103" t="str">
        <f t="shared" si="61"/>
        <v/>
      </c>
      <c r="BM103">
        <f>IF(OR(IFERROR(SEARCH("Warlock",$T103,1),0)&gt;0,IFERROR(SEARCH(WarlockPatron,$T103,1),0)&gt;0),1,0)*IF(WarlockMaxSpellLevel&gt;=$C103,1,0)*IF(IFERROR(MATCH(B103,Character_Creation!$J$361:$J$375,0),0)&gt;0,0,1)</f>
        <v>0</v>
      </c>
      <c r="BN103">
        <f>IF(BM103=0,0,1+COUNTIF(BN$3:BN102,"&gt;0"))</f>
        <v>0</v>
      </c>
      <c r="BO103" t="str">
        <f t="shared" si="90"/>
        <v/>
      </c>
      <c r="BP103" t="str">
        <f t="shared" si="62"/>
        <v/>
      </c>
      <c r="BR103">
        <f>IF(IFERROR(SEARCH("Eldritch Knight",$T103,1),0)&gt;0,1,0)*IF(EldritchKnightMaxSpellLevel&gt;=$C103,1,0)*IF(IFERROR(MATCH($B103,Character_Creation!$J$350:$J$356,0),0)&gt;0,0,1)*IF(Character_Creation!$M$338&gt;0,1,0)</f>
        <v>0</v>
      </c>
      <c r="BS103">
        <f>IF(BR103=0,0,1+COUNTIF(BS$3:BS102,"&gt;0"))</f>
        <v>0</v>
      </c>
      <c r="BT103" t="str">
        <f t="shared" si="91"/>
        <v/>
      </c>
      <c r="BU103" t="str">
        <f t="shared" si="63"/>
        <v/>
      </c>
      <c r="BW103">
        <f>IF(IFERROR(SEARCH("Arcane Trickster",$T103,1),0)&gt;0,1,0)*IF(ArcaneTricksterMaxSpellLevel&gt;=$C103,1,0)*IF(IFERROR(MATCH($B103,Character_Creation!$J$350:$J$356,0),0)&gt;0,0,1)*IF(Character_Creation!$T$338&gt;0,1,0)</f>
        <v>0</v>
      </c>
      <c r="BX103">
        <f>IF(BW103=0,0,1+COUNTIF(BX$3:BX102,"&gt;0"))</f>
        <v>0</v>
      </c>
      <c r="BY103" t="str">
        <f t="shared" si="92"/>
        <v/>
      </c>
      <c r="BZ103" t="str">
        <f t="shared" si="64"/>
        <v/>
      </c>
      <c r="CB103">
        <f>IF(IFERROR(SEARCH("Wizard",$T103,1),0)&gt;0,1,0)*IF(C103&lt;=ArcaneTricksterMaxSpellLevel,1,0)*IF(IFERROR(MATCH($B103,Character_Creation!$J$350:$J$356,0),0)&gt;0,0,1)*IF(Character_Creation!$T$350&gt;0,1,0)</f>
        <v>0</v>
      </c>
      <c r="CC103">
        <f>IF(CB103=0,0,1+COUNTIF(CC$3:CC102,"&gt;0"))</f>
        <v>0</v>
      </c>
      <c r="CD103" t="str">
        <f t="shared" si="93"/>
        <v/>
      </c>
      <c r="CE103" t="str">
        <f t="shared" si="65"/>
        <v/>
      </c>
      <c r="CG103">
        <f>IF(IFERROR(SEARCH("Wizard",$T103,1),0)&gt;0,1,0)*IF($C103&lt;=EldritchKnightMaxSpellLevel,1,0)*IF(IFERROR(MATCH($B103,Character_Creation!$J$350:$J$356,0),0)&gt;0,0,1)*IF(Character_Creation!$M$350&gt;0,1,0)</f>
        <v>0</v>
      </c>
      <c r="CH103">
        <f>IF(CG103=0,0,1+COUNTIF(CH$3:CH102,"&gt;0"))</f>
        <v>0</v>
      </c>
      <c r="CI103" t="str">
        <f t="shared" si="94"/>
        <v/>
      </c>
      <c r="CJ103" t="str">
        <f t="shared" si="66"/>
        <v/>
      </c>
      <c r="CL103">
        <f>IF(IFERROR(SEARCH("Bard",$T103,1),0)&gt;0,1,0)*IF(BardMaxSpellLevel&gt;=$C103,1,0)*IF(IFERROR(MATCH(B103,Character_Creation!$C$341:$F$362,0),0)&gt;0,0,1)*IF(IFERROR(MATCH($B103,Character_Creation!$C$341:$C$362,0),0)&gt;0,0,1)</f>
        <v>0</v>
      </c>
      <c r="CM103">
        <f>IF(CL103=0,0,1+COUNTIF(CM$3:CM102,"&gt;0"))</f>
        <v>0</v>
      </c>
      <c r="CN103" t="str">
        <f t="shared" si="95"/>
        <v/>
      </c>
      <c r="CO103" t="str">
        <f t="shared" si="67"/>
        <v/>
      </c>
      <c r="CQ103">
        <f>IF(IFERROR(SEARCH("Wizard",$T103,1),0)&gt;0,1,0)*IF(WizardMaxSpellLevel&gt;=$C103,1,0)*IF(IFERROR(MATCH(B103,Character_Creation!$X$341:$X$400,0),0)&gt;0,0,1)*IF(SelectedWizardSpellLevel=$C103,1,0)</f>
        <v>0</v>
      </c>
      <c r="CR103">
        <f>IF(CQ103=0,0,1+COUNTIF(CR$3:CR102,"&gt;0"))</f>
        <v>0</v>
      </c>
      <c r="CS103" t="str">
        <f t="shared" si="96"/>
        <v/>
      </c>
      <c r="CT103" t="str">
        <f t="shared" si="68"/>
        <v/>
      </c>
      <c r="CV103">
        <f>IF(IFERROR(MATCH($B103,Character_Creation!$C$341:$C$362,0),0)&gt;0,0,1)*IF(OR(C103="Cantrip",C103&lt;=BardMaxSpellLevel),1,0)*IF(IFERROR(MATCH($B103,Character_Creation!$C$367:$C$374,0),0)&gt;0,0,1)</f>
        <v>0</v>
      </c>
      <c r="CW103">
        <f>IF(CV103=0,0,1+COUNTIF(CW$3:CW102,"&gt;0"))</f>
        <v>0</v>
      </c>
      <c r="CX103" t="str">
        <f t="shared" si="97"/>
        <v/>
      </c>
      <c r="CY103" t="str">
        <f t="shared" si="69"/>
        <v/>
      </c>
      <c r="DA103">
        <f>IF(IF(OR(IFERROR(SEARCH("Cleric",$T103,1),0)&gt;0,IFERROR(SEARCH(DivineDomain&amp;",",$T103,1),0)&gt;0),1,0)*IF($C103=DA$2,1,0)=1,1+COUNTIF(DA$3:DA102,"&gt;0"),0)</f>
        <v>0</v>
      </c>
      <c r="DB103">
        <f>IF(IF(OR(IFERROR(SEARCH("Cleric",$T103,1),0)&gt;0,IFERROR(SEARCH(DivineDomain&amp;",",$T103,1),0)&gt;0),1,0)*IF($C103=DB$2,1,0)=1,1+COUNTIF(DB$3:DB102,"&gt;0"),0)</f>
        <v>0</v>
      </c>
      <c r="DC103">
        <f>IF(IF(OR(IFERROR(SEARCH("Cleric",$T103,1),0)&gt;0,IFERROR(SEARCH(DivineDomain&amp;",",$T103,1),0)&gt;0),1,0)*IF($C103=DC$2,1,0)=1,1+COUNTIF(DC$3:DC102,"&gt;0"),0)</f>
        <v>0</v>
      </c>
      <c r="DD103">
        <f>IF(IF(OR(IFERROR(SEARCH("Cleric",$T103,1),0)&gt;0,IFERROR(SEARCH(DivineDomain&amp;",",$T103,1),0)&gt;0),1,0)*IF($C103=DD$2,1,0)=1,1+COUNTIF(DD$3:DD102,"&gt;0"),0)</f>
        <v>0</v>
      </c>
      <c r="DE103">
        <f>IF(IF(OR(IFERROR(SEARCH("Cleric",$T103,1),0)&gt;0,IFERROR(SEARCH(DivineDomain&amp;",",$T103,1),0)&gt;0),1,0)*IF($C103=DE$2,1,0)=1,1+COUNTIF(DE$3:DE102,"&gt;0"),0)</f>
        <v>3</v>
      </c>
      <c r="DF103">
        <f>IF(IF(OR(IFERROR(SEARCH("Cleric",$T103,1),0)&gt;0,IFERROR(SEARCH(DivineDomain&amp;",",$T103,1),0)&gt;0),1,0)*IF($C103=DF$2,1,0)=1,1+COUNTIF(DF$3:DF102,"&gt;0"),0)</f>
        <v>0</v>
      </c>
      <c r="DG103">
        <f>IF(IF(OR(IFERROR(SEARCH("Cleric",$T103,1),0)&gt;0,IFERROR(SEARCH(DivineDomain&amp;",",$T103,1),0)&gt;0),1,0)*IF($C103=DG$2,1,0)=1,1+COUNTIF(DG$3:DG102,"&gt;0"),0)</f>
        <v>0</v>
      </c>
      <c r="DH103">
        <f>IF(IF(OR(IFERROR(SEARCH("Cleric",$T103,1),0)&gt;0,IFERROR(SEARCH(DivineDomain&amp;",",$T103,1),0)&gt;0),1,0)*IF($C103=DH$2,1,0)=1,1+COUNTIF(DH$3:DH102,"&gt;0"),0)</f>
        <v>0</v>
      </c>
      <c r="DI103">
        <f>IF(IF(OR(IFERROR(SEARCH("Cleric",$T103,1),0)&gt;0,IFERROR(SEARCH(DivineDomain&amp;",",$T103,1),0)&gt;0),1,0)*IF($C103=DI$2,1,0)=1,1+COUNTIF(DI$3:DI102,"&gt;0"),0)</f>
        <v>0</v>
      </c>
      <c r="DJ103">
        <f>IF(IF(OR(IFERROR(SEARCH("Druid",$T103,1),0)&gt;0,IFERROR(SEARCH(DruidLand1,$T103,1),0)&gt;0,IFERROR(SEARCH(DruidLand2,$T103,1),0)&gt;0,IFERROR(SEARCH(DruidLand3,$T103,1),0)&gt;0,IFERROR(SEARCH(DruidLand4,$T103,1),0)&gt;0),1,0)*IF($C103=1,1,0)*IF($C103=DJ$2,1,0)=0,0,1+COUNTIF(DJ$3:DJ102,"&gt;0"))</f>
        <v>0</v>
      </c>
      <c r="DK103">
        <f>IF(IF(OR(IFERROR(SEARCH("Druid",$T103,1),0)&gt;0,IFERROR(SEARCH(DruidLand1,$T103,1),0)&gt;0,IFERROR(SEARCH(DruidLand2,$T103,1),0)&gt;0,IFERROR(SEARCH(DruidLand3,$T103,1),0)&gt;0,IFERROR(SEARCH(DruidLand4,$T103,1),0)&gt;0),1,0)*IF($C103=1,1,0)*IF($C103=DK$2,1,0)=0,0,1+COUNTIF(DK$3:DK102,"&gt;0"))</f>
        <v>0</v>
      </c>
      <c r="DL103">
        <f>IF(IF(OR(IFERROR(SEARCH("Druid",$T103,1),0)&gt;0,IFERROR(SEARCH(DruidLand1,$T103,1),0)&gt;0,IFERROR(SEARCH(DruidLand2,$T103,1),0)&gt;0,IFERROR(SEARCH(DruidLand3,$T103,1),0)&gt;0,IFERROR(SEARCH(DruidLand4,$T103,1),0)&gt;0),1,0)*IF($C103=1,1,0)*IF($C103=DL$2,1,0)=0,0,1+COUNTIF(DL$3:DL102,"&gt;0"))</f>
        <v>0</v>
      </c>
      <c r="DM103">
        <f>IF(IF(OR(IFERROR(SEARCH("Druid",$T103,1),0)&gt;0,IFERROR(SEARCH(DruidLand1,$T103,1),0)&gt;0,IFERROR(SEARCH(DruidLand2,$T103,1),0)&gt;0,IFERROR(SEARCH(DruidLand3,$T103,1),0)&gt;0,IFERROR(SEARCH(DruidLand4,$T103,1),0)&gt;0),1,0)*IF($C103=1,1,0)*IF($C103=DM$2,1,0)=0,0,1+COUNTIF(DM$3:DM102,"&gt;0"))</f>
        <v>0</v>
      </c>
      <c r="DN103">
        <f>IF(IF(OR(IFERROR(SEARCH("Druid",$T103,1),0)&gt;0,IFERROR(SEARCH(DruidLand1,$T103,1),0)&gt;0,IFERROR(SEARCH(DruidLand2,$T103,1),0)&gt;0,IFERROR(SEARCH(DruidLand3,$T103,1),0)&gt;0,IFERROR(SEARCH(DruidLand4,$T103,1),0)&gt;0),1,0)*IF($C103=1,1,0)*IF($C103=DN$2,1,0)=0,0,1+COUNTIF(DN$3:DN102,"&gt;0"))</f>
        <v>0</v>
      </c>
      <c r="DO103">
        <f>IF(IF(OR(IFERROR(SEARCH("Druid",$T103,1),0)&gt;0,IFERROR(SEARCH(DruidLand1,$T103,1),0)&gt;0,IFERROR(SEARCH(DruidLand2,$T103,1),0)&gt;0,IFERROR(SEARCH(DruidLand3,$T103,1),0)&gt;0,IFERROR(SEARCH(DruidLand4,$T103,1),0)&gt;0),1,0)*IF($C103=1,1,0)*IF($C103=DO$2,1,0)=0,0,1+COUNTIF(DO$3:DO102,"&gt;0"))</f>
        <v>0</v>
      </c>
      <c r="DP103">
        <f>IF(IF(OR(IFERROR(SEARCH("Druid",$T103,1),0)&gt;0,IFERROR(SEARCH(DruidLand1,$T103,1),0)&gt;0,IFERROR(SEARCH(DruidLand2,$T103,1),0)&gt;0,IFERROR(SEARCH(DruidLand3,$T103,1),0)&gt;0,IFERROR(SEARCH(DruidLand4,$T103,1),0)&gt;0),1,0)*IF($C103=1,1,0)*IF($C103=DP$2,1,0)=0,0,1+COUNTIF(DP$3:DP102,"&gt;0"))</f>
        <v>0</v>
      </c>
      <c r="DQ103">
        <f>IF(IF(OR(IFERROR(SEARCH("Druid",$T103,1),0)&gt;0,IFERROR(SEARCH(DruidLand1,$T103,1),0)&gt;0,IFERROR(SEARCH(DruidLand2,$T103,1),0)&gt;0,IFERROR(SEARCH(DruidLand3,$T103,1),0)&gt;0,IFERROR(SEARCH(DruidLand4,$T103,1),0)&gt;0),1,0)*IF($C103=1,1,0)*IF($C103=DQ$2,1,0)=0,0,1+COUNTIF(DQ$3:DQ102,"&gt;0"))</f>
        <v>0</v>
      </c>
      <c r="DR103">
        <f>IF(IF(OR(IFERROR(SEARCH("Druid",$T103,1),0)&gt;0,IFERROR(SEARCH(DruidLand1,$T103,1),0)&gt;0,IFERROR(SEARCH(DruidLand2,$T103,1),0)&gt;0,IFERROR(SEARCH(DruidLand3,$T103,1),0)&gt;0,IFERROR(SEARCH(DruidLand4,$T103,1),0)&gt;0),1,0)*IF($C103=1,1,0)*IF($C103=DR$2,1,0)=0,0,1+COUNTIF(DR$3:DR102,"&gt;0"))</f>
        <v>0</v>
      </c>
      <c r="DS103">
        <f>IF(IF(OR(IFERROR(SEARCH("Paladin",$T103,1),0)&gt;0,IFERROR(SEARCH(PaladinOath,$T103,1),0)&gt;0),1,0)*IF($C103=DS$2,1,0)=1,1+COUNTIF(DS$3:DS102,"&gt;0"),0)</f>
        <v>0</v>
      </c>
      <c r="DT103">
        <f>IF(IF(OR(IFERROR(SEARCH("Paladin",$T103,1),0)&gt;0,IFERROR(SEARCH(PaladinOath,$T103,1),0)&gt;0),1,0)*IF($C103=DT$2,1,0)=1,1+COUNTIF(DT$3:DT102,"&gt;0"),0)</f>
        <v>0</v>
      </c>
      <c r="DU103">
        <f>IF(IF(OR(IFERROR(SEARCH("Paladin",$T103,1),0)&gt;0,IFERROR(SEARCH(PaladinOath,$T103,1),0)&gt;0),1,0)*IF($C103=DU$2,1,0)=1,1+COUNTIF(DU$3:DU102,"&gt;0"),0)</f>
        <v>0</v>
      </c>
      <c r="DV103">
        <f>IF(IF(OR(IFERROR(SEARCH("Paladin",$T103,1),0)&gt;0,IFERROR(SEARCH(PaladinOath,$T103,1),0)&gt;0),1,0)*IF($C103=DV$2,1,0)=1,1+COUNTIF(DV$3:DV102,"&gt;0"),0)</f>
        <v>0</v>
      </c>
      <c r="DW103">
        <f>IF(IF(OR(IFERROR(SEARCH("Paladin",$T103,1),0)&gt;0,IFERROR(SEARCH(PaladinOath,$T103,1),0)&gt;0),1,0)*IF($C103=DW$2,1,0)=1,1+COUNTIF(DW$3:DW102,"&gt;0"),0)</f>
        <v>4</v>
      </c>
      <c r="DY103">
        <f t="shared" si="56"/>
        <v>1</v>
      </c>
      <c r="DZ103">
        <f>IF(DY103=0,0,1+MAX(DZ$3:$DZ102))</f>
        <v>101</v>
      </c>
      <c r="EB103">
        <f t="shared" si="70"/>
        <v>0</v>
      </c>
      <c r="EC103">
        <f>IF(EB103=0,0,1+COUNTIF(EC$3:EC102,"&gt;0"))</f>
        <v>0</v>
      </c>
      <c r="ED103" t="str">
        <f t="shared" si="98"/>
        <v/>
      </c>
      <c r="EE103" t="str">
        <f t="shared" si="71"/>
        <v/>
      </c>
      <c r="EG103">
        <f t="shared" si="72"/>
        <v>0</v>
      </c>
      <c r="EH103">
        <f>IF(EG103=0,0,1+COUNTIF(EH$3:EH102,"&gt;0"))</f>
        <v>0</v>
      </c>
      <c r="EI103" t="str">
        <f t="shared" si="99"/>
        <v/>
      </c>
      <c r="EJ103" t="str">
        <f t="shared" si="73"/>
        <v/>
      </c>
      <c r="EL103">
        <f t="shared" si="74"/>
        <v>0</v>
      </c>
      <c r="EM103">
        <f>IF(EL103=0,0,1+COUNTIF(EM$3:EM102,"&gt;0"))</f>
        <v>0</v>
      </c>
      <c r="EN103" t="str">
        <f t="shared" si="100"/>
        <v/>
      </c>
      <c r="EO103" t="str">
        <f t="shared" si="75"/>
        <v/>
      </c>
      <c r="EQ103">
        <f t="shared" si="76"/>
        <v>0</v>
      </c>
      <c r="ER103">
        <f>IF(EQ103=0,0,1+COUNTIF(ER$3:ER102,"&gt;0"))</f>
        <v>0</v>
      </c>
      <c r="ES103" t="str">
        <f t="shared" si="101"/>
        <v/>
      </c>
      <c r="ET103" t="str">
        <f t="shared" si="77"/>
        <v/>
      </c>
      <c r="EV103">
        <f t="shared" si="78"/>
        <v>0</v>
      </c>
      <c r="EW103">
        <f>IF(EV103=0,0,1+COUNTIF(EW$3:EW102,"&gt;0"))</f>
        <v>0</v>
      </c>
      <c r="EX103" t="str">
        <f t="shared" si="102"/>
        <v/>
      </c>
      <c r="EY103" t="str">
        <f t="shared" si="79"/>
        <v/>
      </c>
      <c r="FA103">
        <f t="shared" si="80"/>
        <v>0</v>
      </c>
      <c r="FB103">
        <f>IF(FA103=0,0,1+COUNTIF(FB$3:FB102,"&gt;0"))</f>
        <v>0</v>
      </c>
      <c r="FC103" t="str">
        <f t="shared" si="103"/>
        <v/>
      </c>
      <c r="FD103" t="str">
        <f t="shared" si="81"/>
        <v/>
      </c>
      <c r="FF103">
        <f t="shared" si="82"/>
        <v>0</v>
      </c>
      <c r="FG103">
        <f>IF(FF103=0,0,1+COUNTIF(FG$3:FG102,"&gt;0"))</f>
        <v>0</v>
      </c>
      <c r="FH103" t="str">
        <f t="shared" si="104"/>
        <v/>
      </c>
      <c r="FI103" t="str">
        <f t="shared" si="83"/>
        <v/>
      </c>
      <c r="FK103">
        <f t="shared" si="84"/>
        <v>0</v>
      </c>
      <c r="FL103">
        <f>IF(FK103=0,0,1+COUNTIF(FL$3:FL102,"&gt;0"))</f>
        <v>0</v>
      </c>
      <c r="FM103" t="str">
        <f t="shared" si="105"/>
        <v/>
      </c>
      <c r="FN103" t="str">
        <f t="shared" si="85"/>
        <v/>
      </c>
      <c r="FP103">
        <f t="shared" si="86"/>
        <v>0</v>
      </c>
      <c r="FQ103">
        <f>IF(FP103=0,0,1+COUNTIF(FQ$3:FQ102,"&gt;0"))</f>
        <v>0</v>
      </c>
      <c r="FR103" t="str">
        <f t="shared" si="106"/>
        <v/>
      </c>
      <c r="FS103" t="str">
        <f t="shared" si="87"/>
        <v/>
      </c>
    </row>
    <row r="104" spans="1:175" x14ac:dyDescent="0.25">
      <c r="A104" s="347">
        <f t="shared" si="107"/>
        <v>102</v>
      </c>
      <c r="B104" s="348" t="s">
        <v>2471</v>
      </c>
      <c r="C104" s="348">
        <v>3</v>
      </c>
      <c r="D104" s="347">
        <v>3</v>
      </c>
      <c r="E104" s="627" t="s">
        <v>6952</v>
      </c>
      <c r="F104" s="346"/>
      <c r="G104" s="347" t="str">
        <f>""</f>
        <v/>
      </c>
      <c r="H104" s="347" t="s">
        <v>5912</v>
      </c>
      <c r="I104" s="347" t="s">
        <v>5290</v>
      </c>
      <c r="J104" s="347" t="str">
        <f t="shared" si="57"/>
        <v/>
      </c>
      <c r="K104" s="347" t="s">
        <v>5278</v>
      </c>
      <c r="L104" s="611" t="str">
        <f t="shared" si="58"/>
        <v>V, S</v>
      </c>
      <c r="M104" s="347" t="s">
        <v>2373</v>
      </c>
      <c r="N104" s="347" t="s">
        <v>2387</v>
      </c>
      <c r="O104" s="347" t="s">
        <v>3034</v>
      </c>
      <c r="P104" s="346" t="str">
        <f>""</f>
        <v/>
      </c>
      <c r="Q104" s="347" t="s">
        <v>5270</v>
      </c>
      <c r="S104" s="346" t="s">
        <v>5664</v>
      </c>
      <c r="T104" s="346" t="str">
        <f t="shared" si="59"/>
        <v xml:space="preserve">Bard, Paladin, Sorcerer, Warlock, Cleric, Druid, Eldritch Knight, Wizard, Devotion, Trickery, </v>
      </c>
      <c r="U104" s="347" t="str">
        <f>$B104</f>
        <v>Dispel Magic</v>
      </c>
      <c r="V104" s="347" t="str">
        <f>$B104</f>
        <v>Dispel Magic</v>
      </c>
      <c r="X104" s="347" t="str">
        <f>$B104</f>
        <v>Dispel Magic</v>
      </c>
      <c r="Y104" s="347" t="str">
        <f>$B104</f>
        <v>Dispel Magic</v>
      </c>
      <c r="Z104" s="347" t="str">
        <f>$B104</f>
        <v>Dispel Magic</v>
      </c>
      <c r="AA104" s="347" t="str">
        <f>$B104</f>
        <v>Dispel Magic</v>
      </c>
      <c r="AB104" s="542" t="str">
        <f>AD104</f>
        <v>Dispel Magic</v>
      </c>
      <c r="AD104" s="347" t="str">
        <f>$B104</f>
        <v>Dispel Magic</v>
      </c>
      <c r="AE104" t="str">
        <f>IF(IFERROR(MATCH($B104,temp!A$4:A$13,0),0)&gt;0,T08_Spells!AE$2,"")</f>
        <v>Devotion</v>
      </c>
      <c r="AF104" t="str">
        <f>IF(IFERROR(MATCH($B104,temp!B$4:B$13,0),0)&gt;0,T08_Spells!AF$2,"")</f>
        <v/>
      </c>
      <c r="AG104" t="str">
        <f>IF(IFERROR(MATCH($B104,temp!C$4:C$13,0),0)&gt;0,T08_Spells!AG$2,"")</f>
        <v/>
      </c>
      <c r="AH104" t="str">
        <f>IF(IFERROR(MATCH($B104,temp!D$4:D$13,0),0)&gt;0,T08_Spells!AH$2,"")</f>
        <v/>
      </c>
      <c r="AI104" t="str">
        <f>IF(IFERROR(MATCH($B104,temp!E$4:E$13,0),0)&gt;0,T08_Spells!AI$2,"")</f>
        <v/>
      </c>
      <c r="AJ104" t="str">
        <f>IF(IFERROR(MATCH($B104,temp!F$4:F$13,0),0)&gt;0,T08_Spells!AJ$2,"")</f>
        <v/>
      </c>
      <c r="AK104" t="str">
        <f>IF(IFERROR(MATCH($B104,temp!G$4:G$13,0),0)&gt;0,T08_Spells!AK$2,"")</f>
        <v/>
      </c>
      <c r="AL104" t="str">
        <f>IF(IFERROR(MATCH($B104,temp!H$4:H$13,0),0)&gt;0,T08_Spells!AL$2,"")</f>
        <v/>
      </c>
      <c r="AM104" t="str">
        <f>IF(IFERROR(MATCH($B104,temp!I$4:I$13,0),0)&gt;0,T08_Spells!AM$2,"")</f>
        <v/>
      </c>
      <c r="AN104" t="str">
        <f>IF(IFERROR(MATCH($B104,temp!J$4:J$13,0),0)&gt;0,T08_Spells!AN$2,"")</f>
        <v/>
      </c>
      <c r="AO104" t="str">
        <f>IF(IFERROR(MATCH($B104,temp!K$4:K$13,0),0)&gt;0,T08_Spells!AO$2,"")</f>
        <v/>
      </c>
      <c r="AP104" t="str">
        <f>IF(IFERROR(MATCH($B104,temp!L$4:L$13,0),0)&gt;0,T08_Spells!AP$2,"")</f>
        <v/>
      </c>
      <c r="AQ104" t="str">
        <f>IF(IFERROR(MATCH($B104,temp!M$4:M$13,0),0)&gt;0,T08_Spells!AQ$2,"")</f>
        <v/>
      </c>
      <c r="AR104" t="str">
        <f>IF(IFERROR(MATCH($B104,temp!N$4:N$13,0),0)&gt;0,T08_Spells!AR$2,"")</f>
        <v/>
      </c>
      <c r="AS104" t="str">
        <f>IF(IFERROR(MATCH($B104,temp!O$4:O$13,0),0)&gt;0,T08_Spells!AS$2,"")</f>
        <v/>
      </c>
      <c r="AT104" t="str">
        <f>IF(IFERROR(MATCH($B104,temp!P$4:P$13,0),0)&gt;0,T08_Spells!AT$2,"")</f>
        <v/>
      </c>
      <c r="AU104" t="str">
        <f>IF(IFERROR(MATCH($B104,temp!Q$4:Q$13,0),0)&gt;0,T08_Spells!AU$2,"")</f>
        <v/>
      </c>
      <c r="AV104" t="str">
        <f>IF(IFERROR(MATCH($B104,temp!R$4:R$13,0),0)&gt;0,T08_Spells!AV$2,"")</f>
        <v/>
      </c>
      <c r="AW104" t="str">
        <f>IF(IFERROR(MATCH($B104,temp!S$4:S$13,0),0)&gt;0,T08_Spells!AW$2,"")</f>
        <v/>
      </c>
      <c r="AX104" t="str">
        <f>IF(IFERROR(MATCH($B104,temp!T$4:T$13,0),0)&gt;0,T08_Spells!AX$2,"")</f>
        <v/>
      </c>
      <c r="AY104" t="str">
        <f>IF(IFERROR(MATCH($B104,temp!U$4:U$13,0),0)&gt;0,T08_Spells!AY$2,"")</f>
        <v>Trickery</v>
      </c>
      <c r="AZ104" t="str">
        <f>IF(IFERROR(MATCH($B104,temp!V$4:V$13,0),0)&gt;0,T08_Spells!AZ$2,"")</f>
        <v/>
      </c>
      <c r="BA104" t="str">
        <f>IF(IFERROR(MATCH($B104,temp!W$4:W$13,0),0)&gt;0,T08_Spells!BA$2,"")</f>
        <v/>
      </c>
      <c r="BC104">
        <f>IF(IFERROR(SEARCH("Ranger",$T104,1),0)&gt;0,1,0)*IF(RangerMaxSpellLevel&gt;=$C104,1,0)*IF(IFERROR(MATCH(B104,Character_Creation!$X$79:$X$382,0),0)&gt;0,0,1)</f>
        <v>0</v>
      </c>
      <c r="BD104">
        <f>IF(BC104=0,0,1+COUNTIF(BD$3:BD103,"&gt;0"))</f>
        <v>0</v>
      </c>
      <c r="BE104" t="str">
        <f t="shared" si="88"/>
        <v/>
      </c>
      <c r="BF104" t="str">
        <f t="shared" si="60"/>
        <v/>
      </c>
      <c r="BH104">
        <f>IF(IFERROR(SEARCH("Sorcerer",$T104,1),0)&gt;0,1,0)*IF(SorcererMaxSpellLevel&gt;=$C104,1,0)*IF(IFERROR(MATCH(B104,Character_Creation!$J$380:$J$394,0),0)&gt;0,0,1)</f>
        <v>0</v>
      </c>
      <c r="BI104">
        <f>IF(BH104=0,0,1+COUNTIF(BI$3:BI103,"&gt;0"))</f>
        <v>0</v>
      </c>
      <c r="BJ104" t="str">
        <f t="shared" si="89"/>
        <v/>
      </c>
      <c r="BK104" t="str">
        <f t="shared" si="61"/>
        <v/>
      </c>
      <c r="BM104">
        <f>IF(OR(IFERROR(SEARCH("Warlock",$T104,1),0)&gt;0,IFERROR(SEARCH(WarlockPatron,$T104,1),0)&gt;0),1,0)*IF(WarlockMaxSpellLevel&gt;=$C104,1,0)*IF(IFERROR(MATCH(B104,Character_Creation!$J$361:$J$375,0),0)&gt;0,0,1)</f>
        <v>0</v>
      </c>
      <c r="BN104">
        <f>IF(BM104=0,0,1+COUNTIF(BN$3:BN103,"&gt;0"))</f>
        <v>0</v>
      </c>
      <c r="BO104" t="str">
        <f t="shared" si="90"/>
        <v/>
      </c>
      <c r="BP104" t="str">
        <f t="shared" si="62"/>
        <v/>
      </c>
      <c r="BR104">
        <f>IF(IFERROR(SEARCH("Eldritch Knight",$T104,1),0)&gt;0,1,0)*IF(EldritchKnightMaxSpellLevel&gt;=$C104,1,0)*IF(IFERROR(MATCH($B104,Character_Creation!$J$350:$J$356,0),0)&gt;0,0,1)*IF(Character_Creation!$M$338&gt;0,1,0)</f>
        <v>0</v>
      </c>
      <c r="BS104">
        <f>IF(BR104=0,0,1+COUNTIF(BS$3:BS103,"&gt;0"))</f>
        <v>0</v>
      </c>
      <c r="BT104" t="str">
        <f t="shared" si="91"/>
        <v/>
      </c>
      <c r="BU104" t="str">
        <f t="shared" si="63"/>
        <v/>
      </c>
      <c r="BW104">
        <f>IF(IFERROR(SEARCH("Arcane Trickster",$T104,1),0)&gt;0,1,0)*IF(ArcaneTricksterMaxSpellLevel&gt;=$C104,1,0)*IF(IFERROR(MATCH($B104,Character_Creation!$J$350:$J$356,0),0)&gt;0,0,1)*IF(Character_Creation!$T$338&gt;0,1,0)</f>
        <v>0</v>
      </c>
      <c r="BX104">
        <f>IF(BW104=0,0,1+COUNTIF(BX$3:BX103,"&gt;0"))</f>
        <v>0</v>
      </c>
      <c r="BY104" t="str">
        <f t="shared" si="92"/>
        <v/>
      </c>
      <c r="BZ104" t="str">
        <f t="shared" si="64"/>
        <v/>
      </c>
      <c r="CB104">
        <f>IF(IFERROR(SEARCH("Wizard",$T104,1),0)&gt;0,1,0)*IF(C104&lt;=ArcaneTricksterMaxSpellLevel,1,0)*IF(IFERROR(MATCH($B104,Character_Creation!$J$350:$J$356,0),0)&gt;0,0,1)*IF(Character_Creation!$T$350&gt;0,1,0)</f>
        <v>0</v>
      </c>
      <c r="CC104">
        <f>IF(CB104=0,0,1+COUNTIF(CC$3:CC103,"&gt;0"))</f>
        <v>0</v>
      </c>
      <c r="CD104" t="str">
        <f t="shared" si="93"/>
        <v/>
      </c>
      <c r="CE104" t="str">
        <f t="shared" si="65"/>
        <v/>
      </c>
      <c r="CG104">
        <f>IF(IFERROR(SEARCH("Wizard",$T104,1),0)&gt;0,1,0)*IF($C104&lt;=EldritchKnightMaxSpellLevel,1,0)*IF(IFERROR(MATCH($B104,Character_Creation!$J$350:$J$356,0),0)&gt;0,0,1)*IF(Character_Creation!$M$350&gt;0,1,0)</f>
        <v>0</v>
      </c>
      <c r="CH104">
        <f>IF(CG104=0,0,1+COUNTIF(CH$3:CH103,"&gt;0"))</f>
        <v>0</v>
      </c>
      <c r="CI104" t="str">
        <f t="shared" si="94"/>
        <v/>
      </c>
      <c r="CJ104" t="str">
        <f t="shared" si="66"/>
        <v/>
      </c>
      <c r="CL104">
        <f>IF(IFERROR(SEARCH("Bard",$T104,1),0)&gt;0,1,0)*IF(BardMaxSpellLevel&gt;=$C104,1,0)*IF(IFERROR(MATCH(B104,Character_Creation!$C$341:$F$362,0),0)&gt;0,0,1)*IF(IFERROR(MATCH($B104,Character_Creation!$C$341:$C$362,0),0)&gt;0,0,1)</f>
        <v>0</v>
      </c>
      <c r="CM104">
        <f>IF(CL104=0,0,1+COUNTIF(CM$3:CM103,"&gt;0"))</f>
        <v>0</v>
      </c>
      <c r="CN104" t="str">
        <f t="shared" si="95"/>
        <v/>
      </c>
      <c r="CO104" t="str">
        <f t="shared" si="67"/>
        <v/>
      </c>
      <c r="CQ104">
        <f>IF(IFERROR(SEARCH("Wizard",$T104,1),0)&gt;0,1,0)*IF(WizardMaxSpellLevel&gt;=$C104,1,0)*IF(IFERROR(MATCH(B104,Character_Creation!$X$341:$X$400,0),0)&gt;0,0,1)*IF(SelectedWizardSpellLevel=$C104,1,0)</f>
        <v>1</v>
      </c>
      <c r="CR104">
        <f>IF(CQ104=0,0,1+COUNTIF(CR$3:CR103,"&gt;0"))</f>
        <v>6</v>
      </c>
      <c r="CS104" t="str">
        <f t="shared" si="96"/>
        <v/>
      </c>
      <c r="CT104" t="str">
        <f t="shared" si="68"/>
        <v/>
      </c>
      <c r="CV104">
        <f>IF(IFERROR(MATCH($B104,Character_Creation!$C$341:$C$362,0),0)&gt;0,0,1)*IF(OR(C104="Cantrip",C104&lt;=BardMaxSpellLevel),1,0)*IF(IFERROR(MATCH($B104,Character_Creation!$C$367:$C$374,0),0)&gt;0,0,1)</f>
        <v>0</v>
      </c>
      <c r="CW104">
        <f>IF(CV104=0,0,1+COUNTIF(CW$3:CW103,"&gt;0"))</f>
        <v>0</v>
      </c>
      <c r="CX104" t="str">
        <f t="shared" si="97"/>
        <v/>
      </c>
      <c r="CY104" t="str">
        <f t="shared" si="69"/>
        <v/>
      </c>
      <c r="DA104">
        <f>IF(IF(OR(IFERROR(SEARCH("Cleric",$T104,1),0)&gt;0,IFERROR(SEARCH(DivineDomain&amp;",",$T104,1),0)&gt;0),1,0)*IF($C104=DA$2,1,0)=1,1+COUNTIF(DA$3:DA103,"&gt;0"),0)</f>
        <v>0</v>
      </c>
      <c r="DB104">
        <f>IF(IF(OR(IFERROR(SEARCH("Cleric",$T104,1),0)&gt;0,IFERROR(SEARCH(DivineDomain&amp;",",$T104,1),0)&gt;0),1,0)*IF($C104=DB$2,1,0)=1,1+COUNTIF(DB$3:DB103,"&gt;0"),0)</f>
        <v>0</v>
      </c>
      <c r="DC104">
        <f>IF(IF(OR(IFERROR(SEARCH("Cleric",$T104,1),0)&gt;0,IFERROR(SEARCH(DivineDomain&amp;",",$T104,1),0)&gt;0),1,0)*IF($C104=DC$2,1,0)=1,1+COUNTIF(DC$3:DC103,"&gt;0"),0)</f>
        <v>7</v>
      </c>
      <c r="DD104">
        <f>IF(IF(OR(IFERROR(SEARCH("Cleric",$T104,1),0)&gt;0,IFERROR(SEARCH(DivineDomain&amp;",",$T104,1),0)&gt;0),1,0)*IF($C104=DD$2,1,0)=1,1+COUNTIF(DD$3:DD103,"&gt;0"),0)</f>
        <v>0</v>
      </c>
      <c r="DE104">
        <f>IF(IF(OR(IFERROR(SEARCH("Cleric",$T104,1),0)&gt;0,IFERROR(SEARCH(DivineDomain&amp;",",$T104,1),0)&gt;0),1,0)*IF($C104=DE$2,1,0)=1,1+COUNTIF(DE$3:DE103,"&gt;0"),0)</f>
        <v>0</v>
      </c>
      <c r="DF104">
        <f>IF(IF(OR(IFERROR(SEARCH("Cleric",$T104,1),0)&gt;0,IFERROR(SEARCH(DivineDomain&amp;",",$T104,1),0)&gt;0),1,0)*IF($C104=DF$2,1,0)=1,1+COUNTIF(DF$3:DF103,"&gt;0"),0)</f>
        <v>0</v>
      </c>
      <c r="DG104">
        <f>IF(IF(OR(IFERROR(SEARCH("Cleric",$T104,1),0)&gt;0,IFERROR(SEARCH(DivineDomain&amp;",",$T104,1),0)&gt;0),1,0)*IF($C104=DG$2,1,0)=1,1+COUNTIF(DG$3:DG103,"&gt;0"),0)</f>
        <v>0</v>
      </c>
      <c r="DH104">
        <f>IF(IF(OR(IFERROR(SEARCH("Cleric",$T104,1),0)&gt;0,IFERROR(SEARCH(DivineDomain&amp;",",$T104,1),0)&gt;0),1,0)*IF($C104=DH$2,1,0)=1,1+COUNTIF(DH$3:DH103,"&gt;0"),0)</f>
        <v>0</v>
      </c>
      <c r="DI104">
        <f>IF(IF(OR(IFERROR(SEARCH("Cleric",$T104,1),0)&gt;0,IFERROR(SEARCH(DivineDomain&amp;",",$T104,1),0)&gt;0),1,0)*IF($C104=DI$2,1,0)=1,1+COUNTIF(DI$3:DI103,"&gt;0"),0)</f>
        <v>0</v>
      </c>
      <c r="DJ104">
        <f>IF(IF(OR(IFERROR(SEARCH("Druid",$T104,1),0)&gt;0,IFERROR(SEARCH(DruidLand1,$T104,1),0)&gt;0,IFERROR(SEARCH(DruidLand2,$T104,1),0)&gt;0,IFERROR(SEARCH(DruidLand3,$T104,1),0)&gt;0,IFERROR(SEARCH(DruidLand4,$T104,1),0)&gt;0),1,0)*IF($C104=1,1,0)*IF($C104=DJ$2,1,0)=0,0,1+COUNTIF(DJ$3:DJ103,"&gt;0"))</f>
        <v>0</v>
      </c>
      <c r="DK104">
        <f>IF(IF(OR(IFERROR(SEARCH("Druid",$T104,1),0)&gt;0,IFERROR(SEARCH(DruidLand1,$T104,1),0)&gt;0,IFERROR(SEARCH(DruidLand2,$T104,1),0)&gt;0,IFERROR(SEARCH(DruidLand3,$T104,1),0)&gt;0,IFERROR(SEARCH(DruidLand4,$T104,1),0)&gt;0),1,0)*IF($C104=DK$2,1,0)=0,0,1+COUNTIF(DK$3:DK103,"&gt;0"))</f>
        <v>0</v>
      </c>
      <c r="DL104">
        <f>IF(IF(OR(IFERROR(SEARCH("Druid",$T104,1),0)&gt;0,IFERROR(SEARCH(DruidLand1,$T104,1),0)&gt;0,IFERROR(SEARCH(DruidLand2,$T104,1),0)&gt;0,IFERROR(SEARCH(DruidLand3,$T104,1),0)&gt;0,IFERROR(SEARCH(DruidLand4,$T104,1),0)&gt;0),1,0)*IF($C104=DL$2,1,0)=0,0,1+COUNTIF(DL$3:DL103,"&gt;0"))</f>
        <v>4</v>
      </c>
      <c r="DM104">
        <f>IF(IF(OR(IFERROR(SEARCH("Druid",$T104,1),0)&gt;0,IFERROR(SEARCH(DruidLand1,$T104,1),0)&gt;0,IFERROR(SEARCH(DruidLand2,$T104,1),0)&gt;0,IFERROR(SEARCH(DruidLand3,$T104,1),0)&gt;0,IFERROR(SEARCH(DruidLand4,$T104,1),0)&gt;0),1,0)*IF($C104=DM$2,1,0)=0,0,1+COUNTIF(DM$3:DM103,"&gt;0"))</f>
        <v>0</v>
      </c>
      <c r="DN104">
        <f>IF(IF(OR(IFERROR(SEARCH("Druid",$T104,1),0)&gt;0,IFERROR(SEARCH(DruidLand1,$T104,1),0)&gt;0,IFERROR(SEARCH(DruidLand2,$T104,1),0)&gt;0,IFERROR(SEARCH(DruidLand3,$T104,1),0)&gt;0,IFERROR(SEARCH(DruidLand4,$T104,1),0)&gt;0),1,0)*IF($C104=DN$2,1,0)=0,0,1+COUNTIF(DN$3:DN103,"&gt;0"))</f>
        <v>0</v>
      </c>
      <c r="DO104">
        <f>IF(IF(OR(IFERROR(SEARCH("Druid",$T104,1),0)&gt;0,IFERROR(SEARCH(DruidLand1,$T104,1),0)&gt;0,IFERROR(SEARCH(DruidLand2,$T104,1),0)&gt;0,IFERROR(SEARCH(DruidLand3,$T104,1),0)&gt;0,IFERROR(SEARCH(DruidLand4,$T104,1),0)&gt;0),1,0)*IF($C104=DO$2,1,0)=0,0,1+COUNTIF(DO$3:DO103,"&gt;0"))</f>
        <v>0</v>
      </c>
      <c r="DP104">
        <f>IF(IF(OR(IFERROR(SEARCH("Druid",$T104,1),0)&gt;0,IFERROR(SEARCH(DruidLand1,$T104,1),0)&gt;0,IFERROR(SEARCH(DruidLand2,$T104,1),0)&gt;0,IFERROR(SEARCH(DruidLand3,$T104,1),0)&gt;0,IFERROR(SEARCH(DruidLand4,$T104,1),0)&gt;0),1,0)*IF($C104=DP$2,1,0)=0,0,1+COUNTIF(DP$3:DP103,"&gt;0"))</f>
        <v>0</v>
      </c>
      <c r="DQ104">
        <f>IF(IF(OR(IFERROR(SEARCH("Druid",$T104,1),0)&gt;0,IFERROR(SEARCH(DruidLand1,$T104,1),0)&gt;0,IFERROR(SEARCH(DruidLand2,$T104,1),0)&gt;0,IFERROR(SEARCH(DruidLand3,$T104,1),0)&gt;0,IFERROR(SEARCH(DruidLand4,$T104,1),0)&gt;0),1,0)*IF($C104=DQ$2,1,0)=0,0,1+COUNTIF(DQ$3:DQ103,"&gt;0"))</f>
        <v>0</v>
      </c>
      <c r="DR104">
        <f>IF(IF(OR(IFERROR(SEARCH("Druid",$T104,1),0)&gt;0,IFERROR(SEARCH(DruidLand1,$T104,1),0)&gt;0,IFERROR(SEARCH(DruidLand2,$T104,1),0)&gt;0,IFERROR(SEARCH(DruidLand3,$T104,1),0)&gt;0,IFERROR(SEARCH(DruidLand4,$T104,1),0)&gt;0),1,0)*IF($C104=DR$2,1,0)=0,0,1+COUNTIF(DR$3:DR103,"&gt;0"))</f>
        <v>0</v>
      </c>
      <c r="DS104">
        <f>IF(IF(OR(IFERROR(SEARCH("Paladin",$T104,1),0)&gt;0,IFERROR(SEARCH(PaladinOath,$T104,1),0)&gt;0),1,0)*IF($C104=DS$2,1,0)=1,1+COUNTIF(DS$3:DS103,"&gt;0"),0)</f>
        <v>0</v>
      </c>
      <c r="DT104">
        <f>IF(IF(OR(IFERROR(SEARCH("Paladin",$T104,1),0)&gt;0,IFERROR(SEARCH(PaladinOath,$T104,1),0)&gt;0),1,0)*IF($C104=DT$2,1,0)=1,1+COUNTIF(DT$3:DT103,"&gt;0"),0)</f>
        <v>0</v>
      </c>
      <c r="DU104">
        <f>IF(IF(OR(IFERROR(SEARCH("Paladin",$T104,1),0)&gt;0,IFERROR(SEARCH(PaladinOath,$T104,1),0)&gt;0),1,0)*IF($C104=DU$2,1,0)=1,1+COUNTIF(DU$3:DU103,"&gt;0"),0)</f>
        <v>6</v>
      </c>
      <c r="DV104">
        <f>IF(IF(OR(IFERROR(SEARCH("Paladin",$T104,1),0)&gt;0,IFERROR(SEARCH(PaladinOath,$T104,1),0)&gt;0),1,0)*IF($C104=DV$2,1,0)=1,1+COUNTIF(DV$3:DV103,"&gt;0"),0)</f>
        <v>0</v>
      </c>
      <c r="DW104">
        <f>IF(IF(OR(IFERROR(SEARCH("Paladin",$T104,1),0)&gt;0,IFERROR(SEARCH(PaladinOath,$T104,1),0)&gt;0),1,0)*IF($C104=DW$2,1,0)=1,1+COUNTIF(DW$3:DW103,"&gt;0"),0)</f>
        <v>0</v>
      </c>
      <c r="DY104">
        <f t="shared" si="56"/>
        <v>1</v>
      </c>
      <c r="DZ104">
        <f>IF(DY104=0,0,1+MAX(DZ$3:$DZ103))</f>
        <v>102</v>
      </c>
      <c r="EB104">
        <f t="shared" si="70"/>
        <v>0</v>
      </c>
      <c r="EC104">
        <f>IF(EB104=0,0,1+COUNTIF(EC$3:EC103,"&gt;0"))</f>
        <v>0</v>
      </c>
      <c r="ED104" t="str">
        <f t="shared" si="98"/>
        <v/>
      </c>
      <c r="EE104" t="str">
        <f t="shared" si="71"/>
        <v/>
      </c>
      <c r="EG104">
        <f t="shared" si="72"/>
        <v>0</v>
      </c>
      <c r="EH104">
        <f>IF(EG104=0,0,1+COUNTIF(EH$3:EH103,"&gt;0"))</f>
        <v>0</v>
      </c>
      <c r="EI104" t="str">
        <f t="shared" si="99"/>
        <v/>
      </c>
      <c r="EJ104" t="str">
        <f t="shared" si="73"/>
        <v/>
      </c>
      <c r="EL104">
        <f t="shared" si="74"/>
        <v>0</v>
      </c>
      <c r="EM104">
        <f>IF(EL104=0,0,1+COUNTIF(EM$3:EM103,"&gt;0"))</f>
        <v>0</v>
      </c>
      <c r="EN104" t="str">
        <f t="shared" si="100"/>
        <v/>
      </c>
      <c r="EO104" t="str">
        <f t="shared" si="75"/>
        <v/>
      </c>
      <c r="EQ104">
        <f t="shared" si="76"/>
        <v>0</v>
      </c>
      <c r="ER104">
        <f>IF(EQ104=0,0,1+COUNTIF(ER$3:ER103,"&gt;0"))</f>
        <v>0</v>
      </c>
      <c r="ES104" t="str">
        <f t="shared" si="101"/>
        <v/>
      </c>
      <c r="ET104" t="str">
        <f t="shared" si="77"/>
        <v/>
      </c>
      <c r="EV104">
        <f t="shared" si="78"/>
        <v>0</v>
      </c>
      <c r="EW104">
        <f>IF(EV104=0,0,1+COUNTIF(EW$3:EW103,"&gt;0"))</f>
        <v>0</v>
      </c>
      <c r="EX104" t="str">
        <f t="shared" si="102"/>
        <v/>
      </c>
      <c r="EY104" t="str">
        <f t="shared" si="79"/>
        <v/>
      </c>
      <c r="FA104">
        <f t="shared" si="80"/>
        <v>0</v>
      </c>
      <c r="FB104">
        <f>IF(FA104=0,0,1+COUNTIF(FB$3:FB103,"&gt;0"))</f>
        <v>0</v>
      </c>
      <c r="FC104" t="str">
        <f t="shared" si="103"/>
        <v/>
      </c>
      <c r="FD104" t="str">
        <f t="shared" si="81"/>
        <v/>
      </c>
      <c r="FF104">
        <f t="shared" si="82"/>
        <v>0</v>
      </c>
      <c r="FG104">
        <f>IF(FF104=0,0,1+COUNTIF(FG$3:FG103,"&gt;0"))</f>
        <v>0</v>
      </c>
      <c r="FH104" t="str">
        <f t="shared" si="104"/>
        <v/>
      </c>
      <c r="FI104" t="str">
        <f t="shared" si="83"/>
        <v/>
      </c>
      <c r="FK104">
        <f t="shared" si="84"/>
        <v>0</v>
      </c>
      <c r="FL104">
        <f>IF(FK104=0,0,1+COUNTIF(FL$3:FL103,"&gt;0"))</f>
        <v>0</v>
      </c>
      <c r="FM104" t="str">
        <f t="shared" si="105"/>
        <v/>
      </c>
      <c r="FN104" t="str">
        <f t="shared" si="85"/>
        <v/>
      </c>
      <c r="FP104">
        <f t="shared" si="86"/>
        <v>0</v>
      </c>
      <c r="FQ104">
        <f>IF(FP104=0,0,1+COUNTIF(FQ$3:FQ103,"&gt;0"))</f>
        <v>0</v>
      </c>
      <c r="FR104" t="str">
        <f t="shared" si="106"/>
        <v/>
      </c>
      <c r="FS104" t="str">
        <f t="shared" si="87"/>
        <v/>
      </c>
    </row>
    <row r="105" spans="1:175" x14ac:dyDescent="0.25">
      <c r="A105" s="347">
        <f t="shared" si="107"/>
        <v>103</v>
      </c>
      <c r="B105" s="348" t="s">
        <v>2472</v>
      </c>
      <c r="C105" s="348">
        <v>1</v>
      </c>
      <c r="D105" s="347">
        <v>1</v>
      </c>
      <c r="E105" s="627" t="s">
        <v>6952</v>
      </c>
      <c r="F105" s="346"/>
      <c r="G105" s="347" t="str">
        <f>""</f>
        <v/>
      </c>
      <c r="H105" s="347" t="s">
        <v>5912</v>
      </c>
      <c r="I105" s="347" t="s">
        <v>424</v>
      </c>
      <c r="J105" s="347" t="str">
        <f t="shared" si="57"/>
        <v/>
      </c>
      <c r="K105" s="347" t="s">
        <v>5278</v>
      </c>
      <c r="L105" s="611" t="str">
        <f t="shared" si="58"/>
        <v>V</v>
      </c>
      <c r="M105" s="347" t="s">
        <v>2373</v>
      </c>
      <c r="N105" s="347" t="s">
        <v>3034</v>
      </c>
      <c r="O105" s="347" t="s">
        <v>3034</v>
      </c>
      <c r="Q105" s="347" t="s">
        <v>5272</v>
      </c>
      <c r="S105" s="346" t="s">
        <v>5665</v>
      </c>
      <c r="T105" s="346" t="str">
        <f t="shared" si="59"/>
        <v xml:space="preserve">Bard, Old One, </v>
      </c>
      <c r="U105" s="347" t="str">
        <f>$B105</f>
        <v>Dissonant Whispers</v>
      </c>
      <c r="AE105" t="str">
        <f>IF(IFERROR(MATCH($B105,temp!A$4:A$13,0),0)&gt;0,T08_Spells!AE$2,"")</f>
        <v/>
      </c>
      <c r="AF105" t="str">
        <f>IF(IFERROR(MATCH($B105,temp!B$4:B$13,0),0)&gt;0,T08_Spells!AF$2,"")</f>
        <v/>
      </c>
      <c r="AG105" t="str">
        <f>IF(IFERROR(MATCH($B105,temp!C$4:C$13,0),0)&gt;0,T08_Spells!AG$2,"")</f>
        <v/>
      </c>
      <c r="AH105" t="str">
        <f>IF(IFERROR(MATCH($B105,temp!D$4:D$13,0),0)&gt;0,T08_Spells!AH$2,"")</f>
        <v/>
      </c>
      <c r="AI105" t="str">
        <f>IF(IFERROR(MATCH($B105,temp!E$4:E$13,0),0)&gt;0,T08_Spells!AI$2,"")</f>
        <v/>
      </c>
      <c r="AJ105" t="str">
        <f>IF(IFERROR(MATCH($B105,temp!F$4:F$13,0),0)&gt;0,T08_Spells!AJ$2,"")</f>
        <v/>
      </c>
      <c r="AK105" t="str">
        <f>IF(IFERROR(MATCH($B105,temp!G$4:G$13,0),0)&gt;0,T08_Spells!AK$2,"")</f>
        <v>Old One</v>
      </c>
      <c r="AL105" t="str">
        <f>IF(IFERROR(MATCH($B105,temp!H$4:H$13,0),0)&gt;0,T08_Spells!AL$2,"")</f>
        <v/>
      </c>
      <c r="AM105" t="str">
        <f>IF(IFERROR(MATCH($B105,temp!I$4:I$13,0),0)&gt;0,T08_Spells!AM$2,"")</f>
        <v/>
      </c>
      <c r="AN105" t="str">
        <f>IF(IFERROR(MATCH($B105,temp!J$4:J$13,0),0)&gt;0,T08_Spells!AN$2,"")</f>
        <v/>
      </c>
      <c r="AO105" t="str">
        <f>IF(IFERROR(MATCH($B105,temp!K$4:K$13,0),0)&gt;0,T08_Spells!AO$2,"")</f>
        <v/>
      </c>
      <c r="AP105" t="str">
        <f>IF(IFERROR(MATCH($B105,temp!L$4:L$13,0),0)&gt;0,T08_Spells!AP$2,"")</f>
        <v/>
      </c>
      <c r="AQ105" t="str">
        <f>IF(IFERROR(MATCH($B105,temp!M$4:M$13,0),0)&gt;0,T08_Spells!AQ$2,"")</f>
        <v/>
      </c>
      <c r="AR105" t="str">
        <f>IF(IFERROR(MATCH($B105,temp!N$4:N$13,0),0)&gt;0,T08_Spells!AR$2,"")</f>
        <v/>
      </c>
      <c r="AS105" t="str">
        <f>IF(IFERROR(MATCH($B105,temp!O$4:O$13,0),0)&gt;0,T08_Spells!AS$2,"")</f>
        <v/>
      </c>
      <c r="AT105" t="str">
        <f>IF(IFERROR(MATCH($B105,temp!P$4:P$13,0),0)&gt;0,T08_Spells!AT$2,"")</f>
        <v/>
      </c>
      <c r="AU105" t="str">
        <f>IF(IFERROR(MATCH($B105,temp!Q$4:Q$13,0),0)&gt;0,T08_Spells!AU$2,"")</f>
        <v/>
      </c>
      <c r="AV105" t="str">
        <f>IF(IFERROR(MATCH($B105,temp!R$4:R$13,0),0)&gt;0,T08_Spells!AV$2,"")</f>
        <v/>
      </c>
      <c r="AW105" t="str">
        <f>IF(IFERROR(MATCH($B105,temp!S$4:S$13,0),0)&gt;0,T08_Spells!AW$2,"")</f>
        <v/>
      </c>
      <c r="AX105" t="str">
        <f>IF(IFERROR(MATCH($B105,temp!T$4:T$13,0),0)&gt;0,T08_Spells!AX$2,"")</f>
        <v/>
      </c>
      <c r="AY105" t="str">
        <f>IF(IFERROR(MATCH($B105,temp!U$4:U$13,0),0)&gt;0,T08_Spells!AY$2,"")</f>
        <v/>
      </c>
      <c r="AZ105" t="str">
        <f>IF(IFERROR(MATCH($B105,temp!V$4:V$13,0),0)&gt;0,T08_Spells!AZ$2,"")</f>
        <v/>
      </c>
      <c r="BA105" t="str">
        <f>IF(IFERROR(MATCH($B105,temp!W$4:W$13,0),0)&gt;0,T08_Spells!BA$2,"")</f>
        <v/>
      </c>
      <c r="BC105">
        <f>IF(IFERROR(SEARCH("Ranger",$T105,1),0)&gt;0,1,0)*IF(RangerMaxSpellLevel&gt;=$C105,1,0)*IF(IFERROR(MATCH(B105,Character_Creation!$X$79:$X$382,0),0)&gt;0,0,1)</f>
        <v>0</v>
      </c>
      <c r="BD105">
        <f>IF(BC105=0,0,1+COUNTIF(BD$3:BD104,"&gt;0"))</f>
        <v>0</v>
      </c>
      <c r="BE105" t="str">
        <f t="shared" si="88"/>
        <v/>
      </c>
      <c r="BF105" t="str">
        <f t="shared" si="60"/>
        <v/>
      </c>
      <c r="BH105">
        <f>IF(IFERROR(SEARCH("Sorcerer",$T105,1),0)&gt;0,1,0)*IF(SorcererMaxSpellLevel&gt;=$C105,1,0)*IF(IFERROR(MATCH(B105,Character_Creation!$J$380:$J$394,0),0)&gt;0,0,1)</f>
        <v>0</v>
      </c>
      <c r="BI105">
        <f>IF(BH105=0,0,1+COUNTIF(BI$3:BI104,"&gt;0"))</f>
        <v>0</v>
      </c>
      <c r="BJ105" t="str">
        <f t="shared" si="89"/>
        <v/>
      </c>
      <c r="BK105" t="str">
        <f t="shared" si="61"/>
        <v/>
      </c>
      <c r="BM105">
        <f>IF(OR(IFERROR(SEARCH("Warlock",$T105,1),0)&gt;0,IFERROR(SEARCH(WarlockPatron,$T105,1),0)&gt;0),1,0)*IF(WarlockMaxSpellLevel&gt;=$C105,1,0)*IF(IFERROR(MATCH(B105,Character_Creation!$J$361:$J$375,0),0)&gt;0,0,1)</f>
        <v>0</v>
      </c>
      <c r="BN105">
        <f>IF(BM105=0,0,1+COUNTIF(BN$3:BN104,"&gt;0"))</f>
        <v>0</v>
      </c>
      <c r="BO105" t="str">
        <f t="shared" si="90"/>
        <v/>
      </c>
      <c r="BP105" t="str">
        <f t="shared" si="62"/>
        <v/>
      </c>
      <c r="BR105">
        <f>IF(IFERROR(SEARCH("Eldritch Knight",$T105,1),0)&gt;0,1,0)*IF(EldritchKnightMaxSpellLevel&gt;=$C105,1,0)*IF(IFERROR(MATCH($B105,Character_Creation!$J$350:$J$356,0),0)&gt;0,0,1)*IF(Character_Creation!$M$338&gt;0,1,0)</f>
        <v>0</v>
      </c>
      <c r="BS105">
        <f>IF(BR105=0,0,1+COUNTIF(BS$3:BS104,"&gt;0"))</f>
        <v>0</v>
      </c>
      <c r="BT105" t="str">
        <f t="shared" si="91"/>
        <v/>
      </c>
      <c r="BU105" t="str">
        <f t="shared" si="63"/>
        <v/>
      </c>
      <c r="BW105">
        <f>IF(IFERROR(SEARCH("Arcane Trickster",$T105,1),0)&gt;0,1,0)*IF(ArcaneTricksterMaxSpellLevel&gt;=$C105,1,0)*IF(IFERROR(MATCH($B105,Character_Creation!$J$350:$J$356,0),0)&gt;0,0,1)*IF(Character_Creation!$T$338&gt;0,1,0)</f>
        <v>0</v>
      </c>
      <c r="BX105">
        <f>IF(BW105=0,0,1+COUNTIF(BX$3:BX104,"&gt;0"))</f>
        <v>0</v>
      </c>
      <c r="BY105" t="str">
        <f t="shared" si="92"/>
        <v/>
      </c>
      <c r="BZ105" t="str">
        <f t="shared" si="64"/>
        <v/>
      </c>
      <c r="CB105">
        <f>IF(IFERROR(SEARCH("Wizard",$T105,1),0)&gt;0,1,0)*IF(C105&lt;=ArcaneTricksterMaxSpellLevel,1,0)*IF(IFERROR(MATCH($B105,Character_Creation!$J$350:$J$356,0),0)&gt;0,0,1)*IF(Character_Creation!$T$350&gt;0,1,0)</f>
        <v>0</v>
      </c>
      <c r="CC105">
        <f>IF(CB105=0,0,1+COUNTIF(CC$3:CC104,"&gt;0"))</f>
        <v>0</v>
      </c>
      <c r="CD105" t="str">
        <f t="shared" si="93"/>
        <v/>
      </c>
      <c r="CE105" t="str">
        <f t="shared" si="65"/>
        <v/>
      </c>
      <c r="CG105">
        <f>IF(IFERROR(SEARCH("Wizard",$T105,1),0)&gt;0,1,0)*IF($C105&lt;=EldritchKnightMaxSpellLevel,1,0)*IF(IFERROR(MATCH($B105,Character_Creation!$J$350:$J$356,0),0)&gt;0,0,1)*IF(Character_Creation!$M$350&gt;0,1,0)</f>
        <v>0</v>
      </c>
      <c r="CH105">
        <f>IF(CG105=0,0,1+COUNTIF(CH$3:CH104,"&gt;0"))</f>
        <v>0</v>
      </c>
      <c r="CI105" t="str">
        <f t="shared" si="94"/>
        <v/>
      </c>
      <c r="CJ105" t="str">
        <f t="shared" si="66"/>
        <v/>
      </c>
      <c r="CL105">
        <f>IF(IFERROR(SEARCH("Bard",$T105,1),0)&gt;0,1,0)*IF(BardMaxSpellLevel&gt;=$C105,1,0)*IF(IFERROR(MATCH(B105,Character_Creation!$C$341:$F$362,0),0)&gt;0,0,1)*IF(IFERROR(MATCH($B105,Character_Creation!$C$341:$C$362,0),0)&gt;0,0,1)</f>
        <v>0</v>
      </c>
      <c r="CM105">
        <f>IF(CL105=0,0,1+COUNTIF(CM$3:CM104,"&gt;0"))</f>
        <v>0</v>
      </c>
      <c r="CN105" t="str">
        <f t="shared" si="95"/>
        <v/>
      </c>
      <c r="CO105" t="str">
        <f t="shared" si="67"/>
        <v/>
      </c>
      <c r="CQ105">
        <f>IF(IFERROR(SEARCH("Wizard",$T105,1),0)&gt;0,1,0)*IF(WizardMaxSpellLevel&gt;=$C105,1,0)*IF(IFERROR(MATCH(B105,Character_Creation!$X$341:$X$400,0),0)&gt;0,0,1)*IF(SelectedWizardSpellLevel=$C105,1,0)</f>
        <v>0</v>
      </c>
      <c r="CR105">
        <f>IF(CQ105=0,0,1+COUNTIF(CR$3:CR104,"&gt;0"))</f>
        <v>0</v>
      </c>
      <c r="CS105" t="str">
        <f t="shared" si="96"/>
        <v/>
      </c>
      <c r="CT105" t="str">
        <f t="shared" si="68"/>
        <v/>
      </c>
      <c r="CV105">
        <f>IF(IFERROR(MATCH($B105,Character_Creation!$C$341:$C$362,0),0)&gt;0,0,1)*IF(OR(C105="Cantrip",C105&lt;=BardMaxSpellLevel),1,0)*IF(IFERROR(MATCH($B105,Character_Creation!$C$367:$C$374,0),0)&gt;0,0,1)</f>
        <v>0</v>
      </c>
      <c r="CW105">
        <f>IF(CV105=0,0,1+COUNTIF(CW$3:CW104,"&gt;0"))</f>
        <v>0</v>
      </c>
      <c r="CX105" t="str">
        <f t="shared" si="97"/>
        <v/>
      </c>
      <c r="CY105" t="str">
        <f t="shared" si="69"/>
        <v/>
      </c>
      <c r="DA105">
        <f>IF(IF(OR(IFERROR(SEARCH("Cleric",$T105,1),0)&gt;0,IFERROR(SEARCH(DivineDomain&amp;",",$T105,1),0)&gt;0),1,0)*IF($C105=DA$2,1,0)=1,1+COUNTIF(DA$3:DA104,"&gt;0"),0)</f>
        <v>0</v>
      </c>
      <c r="DB105">
        <f>IF(IF(OR(IFERROR(SEARCH("Cleric",$T105,1),0)&gt;0,IFERROR(SEARCH(DivineDomain&amp;",",$T105,1),0)&gt;0),1,0)*IF($C105=DB$2,1,0)=1,1+COUNTIF(DB$3:DB104,"&gt;0"),0)</f>
        <v>0</v>
      </c>
      <c r="DC105">
        <f>IF(IF(OR(IFERROR(SEARCH("Cleric",$T105,1),0)&gt;0,IFERROR(SEARCH(DivineDomain&amp;",",$T105,1),0)&gt;0),1,0)*IF($C105=DC$2,1,0)=1,1+COUNTIF(DC$3:DC104,"&gt;0"),0)</f>
        <v>0</v>
      </c>
      <c r="DD105">
        <f>IF(IF(OR(IFERROR(SEARCH("Cleric",$T105,1),0)&gt;0,IFERROR(SEARCH(DivineDomain&amp;",",$T105,1),0)&gt;0),1,0)*IF($C105=DD$2,1,0)=1,1+COUNTIF(DD$3:DD104,"&gt;0"),0)</f>
        <v>0</v>
      </c>
      <c r="DE105">
        <f>IF(IF(OR(IFERROR(SEARCH("Cleric",$T105,1),0)&gt;0,IFERROR(SEARCH(DivineDomain&amp;",",$T105,1),0)&gt;0),1,0)*IF($C105=DE$2,1,0)=1,1+COUNTIF(DE$3:DE104,"&gt;0"),0)</f>
        <v>0</v>
      </c>
      <c r="DF105">
        <f>IF(IF(OR(IFERROR(SEARCH("Cleric",$T105,1),0)&gt;0,IFERROR(SEARCH(DivineDomain&amp;",",$T105,1),0)&gt;0),1,0)*IF($C105=DF$2,1,0)=1,1+COUNTIF(DF$3:DF104,"&gt;0"),0)</f>
        <v>0</v>
      </c>
      <c r="DG105">
        <f>IF(IF(OR(IFERROR(SEARCH("Cleric",$T105,1),0)&gt;0,IFERROR(SEARCH(DivineDomain&amp;",",$T105,1),0)&gt;0),1,0)*IF($C105=DG$2,1,0)=1,1+COUNTIF(DG$3:DG104,"&gt;0"),0)</f>
        <v>0</v>
      </c>
      <c r="DH105">
        <f>IF(IF(OR(IFERROR(SEARCH("Cleric",$T105,1),0)&gt;0,IFERROR(SEARCH(DivineDomain&amp;",",$T105,1),0)&gt;0),1,0)*IF($C105=DH$2,1,0)=1,1+COUNTIF(DH$3:DH104,"&gt;0"),0)</f>
        <v>0</v>
      </c>
      <c r="DI105">
        <f>IF(IF(OR(IFERROR(SEARCH("Cleric",$T105,1),0)&gt;0,IFERROR(SEARCH(DivineDomain&amp;",",$T105,1),0)&gt;0),1,0)*IF($C105=DI$2,1,0)=1,1+COUNTIF(DI$3:DI104,"&gt;0"),0)</f>
        <v>0</v>
      </c>
      <c r="DJ105">
        <f>IF(IF(OR(IFERROR(SEARCH("Druid",$T105,1),0)&gt;0,IFERROR(SEARCH(DruidLand1,$T105,1),0)&gt;0,IFERROR(SEARCH(DruidLand2,$T105,1),0)&gt;0,IFERROR(SEARCH(DruidLand3,$T105,1),0)&gt;0,IFERROR(SEARCH(DruidLand4,$T105,1),0)&gt;0),1,0)*IF($C105=1,1,0)*IF($C105=DJ$2,1,0)=0,0,1+COUNTIF(DJ$3:DJ104,"&gt;0"))</f>
        <v>0</v>
      </c>
      <c r="DK105">
        <f>IF(IF(OR(IFERROR(SEARCH("Druid",$T105,1),0)&gt;0,IFERROR(SEARCH(DruidLand1,$T105,1),0)&gt;0,IFERROR(SEARCH(DruidLand2,$T105,1),0)&gt;0,IFERROR(SEARCH(DruidLand3,$T105,1),0)&gt;0,IFERROR(SEARCH(DruidLand4,$T105,1),0)&gt;0),1,0)*IF($C105=1,1,0)*IF($C105=DK$2,1,0)=0,0,1+COUNTIF(DK$3:DK104,"&gt;0"))</f>
        <v>0</v>
      </c>
      <c r="DL105">
        <f>IF(IF(OR(IFERROR(SEARCH("Druid",$T105,1),0)&gt;0,IFERROR(SEARCH(DruidLand1,$T105,1),0)&gt;0,IFERROR(SEARCH(DruidLand2,$T105,1),0)&gt;0,IFERROR(SEARCH(DruidLand3,$T105,1),0)&gt;0,IFERROR(SEARCH(DruidLand4,$T105,1),0)&gt;0),1,0)*IF($C105=1,1,0)*IF($C105=DL$2,1,0)=0,0,1+COUNTIF(DL$3:DL104,"&gt;0"))</f>
        <v>0</v>
      </c>
      <c r="DM105">
        <f>IF(IF(OR(IFERROR(SEARCH("Druid",$T105,1),0)&gt;0,IFERROR(SEARCH(DruidLand1,$T105,1),0)&gt;0,IFERROR(SEARCH(DruidLand2,$T105,1),0)&gt;0,IFERROR(SEARCH(DruidLand3,$T105,1),0)&gt;0,IFERROR(SEARCH(DruidLand4,$T105,1),0)&gt;0),1,0)*IF($C105=1,1,0)*IF($C105=DM$2,1,0)=0,0,1+COUNTIF(DM$3:DM104,"&gt;0"))</f>
        <v>0</v>
      </c>
      <c r="DN105">
        <f>IF(IF(OR(IFERROR(SEARCH("Druid",$T105,1),0)&gt;0,IFERROR(SEARCH(DruidLand1,$T105,1),0)&gt;0,IFERROR(SEARCH(DruidLand2,$T105,1),0)&gt;0,IFERROR(SEARCH(DruidLand3,$T105,1),0)&gt;0,IFERROR(SEARCH(DruidLand4,$T105,1),0)&gt;0),1,0)*IF($C105=1,1,0)*IF($C105=DN$2,1,0)=0,0,1+COUNTIF(DN$3:DN104,"&gt;0"))</f>
        <v>0</v>
      </c>
      <c r="DO105">
        <f>IF(IF(OR(IFERROR(SEARCH("Druid",$T105,1),0)&gt;0,IFERROR(SEARCH(DruidLand1,$T105,1),0)&gt;0,IFERROR(SEARCH(DruidLand2,$T105,1),0)&gt;0,IFERROR(SEARCH(DruidLand3,$T105,1),0)&gt;0,IFERROR(SEARCH(DruidLand4,$T105,1),0)&gt;0),1,0)*IF($C105=1,1,0)*IF($C105=DO$2,1,0)=0,0,1+COUNTIF(DO$3:DO104,"&gt;0"))</f>
        <v>0</v>
      </c>
      <c r="DP105">
        <f>IF(IF(OR(IFERROR(SEARCH("Druid",$T105,1),0)&gt;0,IFERROR(SEARCH(DruidLand1,$T105,1),0)&gt;0,IFERROR(SEARCH(DruidLand2,$T105,1),0)&gt;0,IFERROR(SEARCH(DruidLand3,$T105,1),0)&gt;0,IFERROR(SEARCH(DruidLand4,$T105,1),0)&gt;0),1,0)*IF($C105=1,1,0)*IF($C105=DP$2,1,0)=0,0,1+COUNTIF(DP$3:DP104,"&gt;0"))</f>
        <v>0</v>
      </c>
      <c r="DQ105">
        <f>IF(IF(OR(IFERROR(SEARCH("Druid",$T105,1),0)&gt;0,IFERROR(SEARCH(DruidLand1,$T105,1),0)&gt;0,IFERROR(SEARCH(DruidLand2,$T105,1),0)&gt;0,IFERROR(SEARCH(DruidLand3,$T105,1),0)&gt;0,IFERROR(SEARCH(DruidLand4,$T105,1),0)&gt;0),1,0)*IF($C105=1,1,0)*IF($C105=DQ$2,1,0)=0,0,1+COUNTIF(DQ$3:DQ104,"&gt;0"))</f>
        <v>0</v>
      </c>
      <c r="DR105">
        <f>IF(IF(OR(IFERROR(SEARCH("Druid",$T105,1),0)&gt;0,IFERROR(SEARCH(DruidLand1,$T105,1),0)&gt;0,IFERROR(SEARCH(DruidLand2,$T105,1),0)&gt;0,IFERROR(SEARCH(DruidLand3,$T105,1),0)&gt;0,IFERROR(SEARCH(DruidLand4,$T105,1),0)&gt;0),1,0)*IF($C105=1,1,0)*IF($C105=DR$2,1,0)=0,0,1+COUNTIF(DR$3:DR104,"&gt;0"))</f>
        <v>0</v>
      </c>
      <c r="DS105">
        <f>IF(IF(OR(IFERROR(SEARCH("Paladin",$T105,1),0)&gt;0,IFERROR(SEARCH(PaladinOath,$T105,1),0)&gt;0),1,0)*IF($C105=DS$2,1,0)=1,1+COUNTIF(DS$3:DS104,"&gt;0"),0)</f>
        <v>0</v>
      </c>
      <c r="DT105">
        <f>IF(IF(OR(IFERROR(SEARCH("Paladin",$T105,1),0)&gt;0,IFERROR(SEARCH(PaladinOath,$T105,1),0)&gt;0),1,0)*IF($C105=DT$2,1,0)=1,1+COUNTIF(DT$3:DT104,"&gt;0"),0)</f>
        <v>0</v>
      </c>
      <c r="DU105">
        <f>IF(IF(OR(IFERROR(SEARCH("Paladin",$T105,1),0)&gt;0,IFERROR(SEARCH(PaladinOath,$T105,1),0)&gt;0),1,0)*IF($C105=DU$2,1,0)=1,1+COUNTIF(DU$3:DU104,"&gt;0"),0)</f>
        <v>0</v>
      </c>
      <c r="DV105">
        <f>IF(IF(OR(IFERROR(SEARCH("Paladin",$T105,1),0)&gt;0,IFERROR(SEARCH(PaladinOath,$T105,1),0)&gt;0),1,0)*IF($C105=DV$2,1,0)=1,1+COUNTIF(DV$3:DV104,"&gt;0"),0)</f>
        <v>0</v>
      </c>
      <c r="DW105">
        <f>IF(IF(OR(IFERROR(SEARCH("Paladin",$T105,1),0)&gt;0,IFERROR(SEARCH(PaladinOath,$T105,1),0)&gt;0),1,0)*IF($C105=DW$2,1,0)=1,1+COUNTIF(DW$3:DW104,"&gt;0"),0)</f>
        <v>0</v>
      </c>
      <c r="DY105">
        <f t="shared" si="56"/>
        <v>1</v>
      </c>
      <c r="DZ105">
        <f>IF(DY105=0,0,1+MAX(DZ$3:$DZ104))</f>
        <v>103</v>
      </c>
      <c r="EB105">
        <f t="shared" si="70"/>
        <v>0</v>
      </c>
      <c r="EC105">
        <f>IF(EB105=0,0,1+COUNTIF(EC$3:EC104,"&gt;0"))</f>
        <v>0</v>
      </c>
      <c r="ED105" t="str">
        <f t="shared" si="98"/>
        <v/>
      </c>
      <c r="EE105" t="str">
        <f t="shared" si="71"/>
        <v/>
      </c>
      <c r="EG105">
        <f t="shared" si="72"/>
        <v>0</v>
      </c>
      <c r="EH105">
        <f>IF(EG105=0,0,1+COUNTIF(EH$3:EH104,"&gt;0"))</f>
        <v>0</v>
      </c>
      <c r="EI105" t="str">
        <f t="shared" si="99"/>
        <v/>
      </c>
      <c r="EJ105" t="str">
        <f t="shared" si="73"/>
        <v/>
      </c>
      <c r="EL105">
        <f t="shared" si="74"/>
        <v>0</v>
      </c>
      <c r="EM105">
        <f>IF(EL105=0,0,1+COUNTIF(EM$3:EM104,"&gt;0"))</f>
        <v>0</v>
      </c>
      <c r="EN105" t="str">
        <f t="shared" si="100"/>
        <v/>
      </c>
      <c r="EO105" t="str">
        <f t="shared" si="75"/>
        <v/>
      </c>
      <c r="EQ105">
        <f t="shared" si="76"/>
        <v>0</v>
      </c>
      <c r="ER105">
        <f>IF(EQ105=0,0,1+COUNTIF(ER$3:ER104,"&gt;0"))</f>
        <v>0</v>
      </c>
      <c r="ES105" t="str">
        <f t="shared" si="101"/>
        <v/>
      </c>
      <c r="ET105" t="str">
        <f t="shared" si="77"/>
        <v/>
      </c>
      <c r="EV105">
        <f t="shared" si="78"/>
        <v>0</v>
      </c>
      <c r="EW105">
        <f>IF(EV105=0,0,1+COUNTIF(EW$3:EW104,"&gt;0"))</f>
        <v>0</v>
      </c>
      <c r="EX105" t="str">
        <f t="shared" si="102"/>
        <v/>
      </c>
      <c r="EY105" t="str">
        <f t="shared" si="79"/>
        <v/>
      </c>
      <c r="FA105">
        <f t="shared" si="80"/>
        <v>0</v>
      </c>
      <c r="FB105">
        <f>IF(FA105=0,0,1+COUNTIF(FB$3:FB104,"&gt;0"))</f>
        <v>0</v>
      </c>
      <c r="FC105" t="str">
        <f t="shared" si="103"/>
        <v/>
      </c>
      <c r="FD105" t="str">
        <f t="shared" si="81"/>
        <v/>
      </c>
      <c r="FF105">
        <f t="shared" si="82"/>
        <v>0</v>
      </c>
      <c r="FG105">
        <f>IF(FF105=0,0,1+COUNTIF(FG$3:FG104,"&gt;0"))</f>
        <v>0</v>
      </c>
      <c r="FH105" t="str">
        <f t="shared" si="104"/>
        <v/>
      </c>
      <c r="FI105" t="str">
        <f t="shared" si="83"/>
        <v/>
      </c>
      <c r="FK105">
        <f t="shared" si="84"/>
        <v>0</v>
      </c>
      <c r="FL105">
        <f>IF(FK105=0,0,1+COUNTIF(FL$3:FL104,"&gt;0"))</f>
        <v>0</v>
      </c>
      <c r="FM105" t="str">
        <f t="shared" si="105"/>
        <v/>
      </c>
      <c r="FN105" t="str">
        <f t="shared" si="85"/>
        <v/>
      </c>
      <c r="FP105">
        <f t="shared" si="86"/>
        <v>0</v>
      </c>
      <c r="FQ105">
        <f>IF(FP105=0,0,1+COUNTIF(FQ$3:FQ104,"&gt;0"))</f>
        <v>0</v>
      </c>
      <c r="FR105" t="str">
        <f t="shared" si="106"/>
        <v/>
      </c>
      <c r="FS105" t="str">
        <f t="shared" si="87"/>
        <v/>
      </c>
    </row>
    <row r="106" spans="1:175" x14ac:dyDescent="0.25">
      <c r="A106" s="347">
        <f t="shared" si="107"/>
        <v>104</v>
      </c>
      <c r="B106" s="348" t="s">
        <v>2473</v>
      </c>
      <c r="C106" s="348">
        <v>4</v>
      </c>
      <c r="D106" s="347">
        <v>4</v>
      </c>
      <c r="E106" s="627" t="s">
        <v>6952</v>
      </c>
      <c r="F106" s="346"/>
      <c r="G106" s="347" t="s">
        <v>5269</v>
      </c>
      <c r="H106" s="347" t="s">
        <v>5913</v>
      </c>
      <c r="I106" s="347" t="s">
        <v>5283</v>
      </c>
      <c r="J106" s="347" t="str">
        <f t="shared" si="57"/>
        <v/>
      </c>
      <c r="K106" s="347" t="s">
        <v>5278</v>
      </c>
      <c r="L106" s="611" t="str">
        <f t="shared" si="58"/>
        <v>V, S, M, incense and a sacrificial offering appropriate to your religion, together worth at least 25 gp, which the spell consumes</v>
      </c>
      <c r="M106" s="347" t="s">
        <v>2373</v>
      </c>
      <c r="N106" s="347" t="s">
        <v>2387</v>
      </c>
      <c r="O106" s="347" t="s">
        <v>1244</v>
      </c>
      <c r="P106" s="346" t="s">
        <v>5353</v>
      </c>
      <c r="Q106" s="347" t="s">
        <v>2473</v>
      </c>
      <c r="S106" s="346" t="s">
        <v>5666</v>
      </c>
      <c r="T106" s="346" t="str">
        <f t="shared" si="59"/>
        <v xml:space="preserve">Cleric, Fores, GrassLand, </v>
      </c>
      <c r="Z106" s="347" t="str">
        <f>$B106</f>
        <v>Divination</v>
      </c>
      <c r="AE106" t="str">
        <f>IF(IFERROR(MATCH($B106,temp!A$4:A$13,0),0)&gt;0,T08_Spells!AE$2,"")</f>
        <v/>
      </c>
      <c r="AF106" t="str">
        <f>IF(IFERROR(MATCH($B106,temp!B$4:B$13,0),0)&gt;0,T08_Spells!AF$2,"")</f>
        <v/>
      </c>
      <c r="AG106" t="str">
        <f>IF(IFERROR(MATCH($B106,temp!C$4:C$13,0),0)&gt;0,T08_Spells!AG$2,"")</f>
        <v/>
      </c>
      <c r="AH106" t="str">
        <f>IF(IFERROR(MATCH($B106,temp!D$4:D$13,0),0)&gt;0,T08_Spells!AH$2,"")</f>
        <v/>
      </c>
      <c r="AI106" t="str">
        <f>IF(IFERROR(MATCH($B106,temp!E$4:E$13,0),0)&gt;0,T08_Spells!AI$2,"")</f>
        <v/>
      </c>
      <c r="AJ106" t="str">
        <f>IF(IFERROR(MATCH($B106,temp!F$4:F$13,0),0)&gt;0,T08_Spells!AJ$2,"")</f>
        <v/>
      </c>
      <c r="AK106" t="str">
        <f>IF(IFERROR(MATCH($B106,temp!G$4:G$13,0),0)&gt;0,T08_Spells!AK$2,"")</f>
        <v/>
      </c>
      <c r="AL106" t="str">
        <f>IF(IFERROR(MATCH($B106,temp!H$4:H$13,0),0)&gt;0,T08_Spells!AL$2,"")</f>
        <v/>
      </c>
      <c r="AM106" t="str">
        <f>IF(IFERROR(MATCH($B106,temp!I$4:I$13,0),0)&gt;0,T08_Spells!AM$2,"")</f>
        <v/>
      </c>
      <c r="AN106" t="str">
        <f>IF(IFERROR(MATCH($B106,temp!J$4:J$13,0),0)&gt;0,T08_Spells!AN$2,"")</f>
        <v/>
      </c>
      <c r="AO106" t="str">
        <f>IF(IFERROR(MATCH($B106,temp!K$4:K$13,0),0)&gt;0,T08_Spells!AO$2,"")</f>
        <v>Forest</v>
      </c>
      <c r="AP106" t="str">
        <f>IF(IFERROR(MATCH($B106,temp!L$4:L$13,0),0)&gt;0,T08_Spells!AP$2,"")</f>
        <v>Grassland</v>
      </c>
      <c r="AQ106" t="str">
        <f>IF(IFERROR(MATCH($B106,temp!M$4:M$13,0),0)&gt;0,T08_Spells!AQ$2,"")</f>
        <v/>
      </c>
      <c r="AR106" t="str">
        <f>IF(IFERROR(MATCH($B106,temp!N$4:N$13,0),0)&gt;0,T08_Spells!AR$2,"")</f>
        <v/>
      </c>
      <c r="AS106" t="str">
        <f>IF(IFERROR(MATCH($B106,temp!O$4:O$13,0),0)&gt;0,T08_Spells!AS$2,"")</f>
        <v/>
      </c>
      <c r="AT106" t="str">
        <f>IF(IFERROR(MATCH($B106,temp!P$4:P$13,0),0)&gt;0,T08_Spells!AT$2,"")</f>
        <v/>
      </c>
      <c r="AU106" t="str">
        <f>IF(IFERROR(MATCH($B106,temp!Q$4:Q$13,0),0)&gt;0,T08_Spells!AU$2,"")</f>
        <v/>
      </c>
      <c r="AV106" t="str">
        <f>IF(IFERROR(MATCH($B106,temp!R$4:R$13,0),0)&gt;0,T08_Spells!AV$2,"")</f>
        <v/>
      </c>
      <c r="AW106" t="str">
        <f>IF(IFERROR(MATCH($B106,temp!S$4:S$13,0),0)&gt;0,T08_Spells!AW$2,"")</f>
        <v/>
      </c>
      <c r="AX106" t="str">
        <f>IF(IFERROR(MATCH($B106,temp!T$4:T$13,0),0)&gt;0,T08_Spells!AX$2,"")</f>
        <v/>
      </c>
      <c r="AY106" t="str">
        <f>IF(IFERROR(MATCH($B106,temp!U$4:U$13,0),0)&gt;0,T08_Spells!AY$2,"")</f>
        <v/>
      </c>
      <c r="AZ106" t="str">
        <f>IF(IFERROR(MATCH($B106,temp!V$4:V$13,0),0)&gt;0,T08_Spells!AZ$2,"")</f>
        <v/>
      </c>
      <c r="BA106" t="str">
        <f>IF(IFERROR(MATCH($B106,temp!W$4:W$13,0),0)&gt;0,T08_Spells!BA$2,"")</f>
        <v/>
      </c>
      <c r="BC106">
        <f>IF(IFERROR(SEARCH("Ranger",$T106,1),0)&gt;0,1,0)*IF(RangerMaxSpellLevel&gt;=$C106,1,0)*IF(IFERROR(MATCH(B106,Character_Creation!$X$79:$X$382,0),0)&gt;0,0,1)</f>
        <v>0</v>
      </c>
      <c r="BD106">
        <f>IF(BC106=0,0,1+COUNTIF(BD$3:BD105,"&gt;0"))</f>
        <v>0</v>
      </c>
      <c r="BE106" t="str">
        <f t="shared" si="88"/>
        <v/>
      </c>
      <c r="BF106" t="str">
        <f t="shared" si="60"/>
        <v/>
      </c>
      <c r="BH106">
        <f>IF(IFERROR(SEARCH("Sorcerer",$T106,1),0)&gt;0,1,0)*IF(SorcererMaxSpellLevel&gt;=$C106,1,0)*IF(IFERROR(MATCH(B106,Character_Creation!$J$380:$J$394,0),0)&gt;0,0,1)</f>
        <v>0</v>
      </c>
      <c r="BI106">
        <f>IF(BH106=0,0,1+COUNTIF(BI$3:BI105,"&gt;0"))</f>
        <v>0</v>
      </c>
      <c r="BJ106" t="str">
        <f t="shared" si="89"/>
        <v/>
      </c>
      <c r="BK106" t="str">
        <f t="shared" si="61"/>
        <v/>
      </c>
      <c r="BM106">
        <f>IF(OR(IFERROR(SEARCH("Warlock",$T106,1),0)&gt;0,IFERROR(SEARCH(WarlockPatron,$T106,1),0)&gt;0),1,0)*IF(WarlockMaxSpellLevel&gt;=$C106,1,0)*IF(IFERROR(MATCH(B106,Character_Creation!$J$361:$J$375,0),0)&gt;0,0,1)</f>
        <v>0</v>
      </c>
      <c r="BN106">
        <f>IF(BM106=0,0,1+COUNTIF(BN$3:BN105,"&gt;0"))</f>
        <v>0</v>
      </c>
      <c r="BO106" t="str">
        <f t="shared" si="90"/>
        <v/>
      </c>
      <c r="BP106" t="str">
        <f t="shared" si="62"/>
        <v/>
      </c>
      <c r="BR106">
        <f>IF(IFERROR(SEARCH("Eldritch Knight",$T106,1),0)&gt;0,1,0)*IF(EldritchKnightMaxSpellLevel&gt;=$C106,1,0)*IF(IFERROR(MATCH($B106,Character_Creation!$J$350:$J$356,0),0)&gt;0,0,1)*IF(Character_Creation!$M$338&gt;0,1,0)</f>
        <v>0</v>
      </c>
      <c r="BS106">
        <f>IF(BR106=0,0,1+COUNTIF(BS$3:BS105,"&gt;0"))</f>
        <v>0</v>
      </c>
      <c r="BT106" t="str">
        <f t="shared" si="91"/>
        <v/>
      </c>
      <c r="BU106" t="str">
        <f t="shared" si="63"/>
        <v/>
      </c>
      <c r="BW106">
        <f>IF(IFERROR(SEARCH("Arcane Trickster",$T106,1),0)&gt;0,1,0)*IF(ArcaneTricksterMaxSpellLevel&gt;=$C106,1,0)*IF(IFERROR(MATCH($B106,Character_Creation!$J$350:$J$356,0),0)&gt;0,0,1)*IF(Character_Creation!$T$338&gt;0,1,0)</f>
        <v>0</v>
      </c>
      <c r="BX106">
        <f>IF(BW106=0,0,1+COUNTIF(BX$3:BX105,"&gt;0"))</f>
        <v>0</v>
      </c>
      <c r="BY106" t="str">
        <f t="shared" si="92"/>
        <v/>
      </c>
      <c r="BZ106" t="str">
        <f t="shared" si="64"/>
        <v/>
      </c>
      <c r="CB106">
        <f>IF(IFERROR(SEARCH("Wizard",$T106,1),0)&gt;0,1,0)*IF(C106&lt;=ArcaneTricksterMaxSpellLevel,1,0)*IF(IFERROR(MATCH($B106,Character_Creation!$J$350:$J$356,0),0)&gt;0,0,1)*IF(Character_Creation!$T$350&gt;0,1,0)</f>
        <v>0</v>
      </c>
      <c r="CC106">
        <f>IF(CB106=0,0,1+COUNTIF(CC$3:CC105,"&gt;0"))</f>
        <v>0</v>
      </c>
      <c r="CD106" t="str">
        <f t="shared" si="93"/>
        <v/>
      </c>
      <c r="CE106" t="str">
        <f t="shared" si="65"/>
        <v/>
      </c>
      <c r="CG106">
        <f>IF(IFERROR(SEARCH("Wizard",$T106,1),0)&gt;0,1,0)*IF($C106&lt;=EldritchKnightMaxSpellLevel,1,0)*IF(IFERROR(MATCH($B106,Character_Creation!$J$350:$J$356,0),0)&gt;0,0,1)*IF(Character_Creation!$M$350&gt;0,1,0)</f>
        <v>0</v>
      </c>
      <c r="CH106">
        <f>IF(CG106=0,0,1+COUNTIF(CH$3:CH105,"&gt;0"))</f>
        <v>0</v>
      </c>
      <c r="CI106" t="str">
        <f t="shared" si="94"/>
        <v/>
      </c>
      <c r="CJ106" t="str">
        <f t="shared" si="66"/>
        <v/>
      </c>
      <c r="CL106">
        <f>IF(IFERROR(SEARCH("Bard",$T106,1),0)&gt;0,1,0)*IF(BardMaxSpellLevel&gt;=$C106,1,0)*IF(IFERROR(MATCH(B106,Character_Creation!$C$341:$F$362,0),0)&gt;0,0,1)*IF(IFERROR(MATCH($B106,Character_Creation!$C$341:$C$362,0),0)&gt;0,0,1)</f>
        <v>0</v>
      </c>
      <c r="CM106">
        <f>IF(CL106=0,0,1+COUNTIF(CM$3:CM105,"&gt;0"))</f>
        <v>0</v>
      </c>
      <c r="CN106" t="str">
        <f t="shared" si="95"/>
        <v/>
      </c>
      <c r="CO106" t="str">
        <f t="shared" si="67"/>
        <v/>
      </c>
      <c r="CQ106">
        <f>IF(IFERROR(SEARCH("Wizard",$T106,1),0)&gt;0,1,0)*IF(WizardMaxSpellLevel&gt;=$C106,1,0)*IF(IFERROR(MATCH(B106,Character_Creation!$X$341:$X$400,0),0)&gt;0,0,1)*IF(SelectedWizardSpellLevel=$C106,1,0)</f>
        <v>0</v>
      </c>
      <c r="CR106">
        <f>IF(CQ106=0,0,1+COUNTIF(CR$3:CR105,"&gt;0"))</f>
        <v>0</v>
      </c>
      <c r="CS106" t="str">
        <f t="shared" si="96"/>
        <v/>
      </c>
      <c r="CT106" t="str">
        <f t="shared" si="68"/>
        <v/>
      </c>
      <c r="CV106">
        <f>IF(IFERROR(MATCH($B106,Character_Creation!$C$341:$C$362,0),0)&gt;0,0,1)*IF(OR(C106="Cantrip",C106&lt;=BardMaxSpellLevel),1,0)*IF(IFERROR(MATCH($B106,Character_Creation!$C$367:$C$374,0),0)&gt;0,0,1)</f>
        <v>0</v>
      </c>
      <c r="CW106">
        <f>IF(CV106=0,0,1+COUNTIF(CW$3:CW105,"&gt;0"))</f>
        <v>0</v>
      </c>
      <c r="CX106" t="str">
        <f t="shared" si="97"/>
        <v/>
      </c>
      <c r="CY106" t="str">
        <f t="shared" si="69"/>
        <v/>
      </c>
      <c r="DA106">
        <f>IF(IF(OR(IFERROR(SEARCH("Cleric",$T106,1),0)&gt;0,IFERROR(SEARCH(DivineDomain&amp;",",$T106,1),0)&gt;0),1,0)*IF($C106=DA$2,1,0)=1,1+COUNTIF(DA$3:DA105,"&gt;0"),0)</f>
        <v>0</v>
      </c>
      <c r="DB106">
        <f>IF(IF(OR(IFERROR(SEARCH("Cleric",$T106,1),0)&gt;0,IFERROR(SEARCH(DivineDomain&amp;",",$T106,1),0)&gt;0),1,0)*IF($C106=DB$2,1,0)=1,1+COUNTIF(DB$3:DB105,"&gt;0"),0)</f>
        <v>0</v>
      </c>
      <c r="DC106">
        <f>IF(IF(OR(IFERROR(SEARCH("Cleric",$T106,1),0)&gt;0,IFERROR(SEARCH(DivineDomain&amp;",",$T106,1),0)&gt;0),1,0)*IF($C106=DC$2,1,0)=1,1+COUNTIF(DC$3:DC105,"&gt;0"),0)</f>
        <v>0</v>
      </c>
      <c r="DD106">
        <f>IF(IF(OR(IFERROR(SEARCH("Cleric",$T106,1),0)&gt;0,IFERROR(SEARCH(DivineDomain&amp;",",$T106,1),0)&gt;0),1,0)*IF($C106=DD$2,1,0)=1,1+COUNTIF(DD$3:DD105,"&gt;0"),0)</f>
        <v>4</v>
      </c>
      <c r="DE106">
        <f>IF(IF(OR(IFERROR(SEARCH("Cleric",$T106,1),0)&gt;0,IFERROR(SEARCH(DivineDomain&amp;",",$T106,1),0)&gt;0),1,0)*IF($C106=DE$2,1,0)=1,1+COUNTIF(DE$3:DE105,"&gt;0"),0)</f>
        <v>0</v>
      </c>
      <c r="DF106">
        <f>IF(IF(OR(IFERROR(SEARCH("Cleric",$T106,1),0)&gt;0,IFERROR(SEARCH(DivineDomain&amp;",",$T106,1),0)&gt;0),1,0)*IF($C106=DF$2,1,0)=1,1+COUNTIF(DF$3:DF105,"&gt;0"),0)</f>
        <v>0</v>
      </c>
      <c r="DG106">
        <f>IF(IF(OR(IFERROR(SEARCH("Cleric",$T106,1),0)&gt;0,IFERROR(SEARCH(DivineDomain&amp;",",$T106,1),0)&gt;0),1,0)*IF($C106=DG$2,1,0)=1,1+COUNTIF(DG$3:DG105,"&gt;0"),0)</f>
        <v>0</v>
      </c>
      <c r="DH106">
        <f>IF(IF(OR(IFERROR(SEARCH("Cleric",$T106,1),0)&gt;0,IFERROR(SEARCH(DivineDomain&amp;",",$T106,1),0)&gt;0),1,0)*IF($C106=DH$2,1,0)=1,1+COUNTIF(DH$3:DH105,"&gt;0"),0)</f>
        <v>0</v>
      </c>
      <c r="DI106">
        <f>IF(IF(OR(IFERROR(SEARCH("Cleric",$T106,1),0)&gt;0,IFERROR(SEARCH(DivineDomain&amp;",",$T106,1),0)&gt;0),1,0)*IF($C106=DI$2,1,0)=1,1+COUNTIF(DI$3:DI105,"&gt;0"),0)</f>
        <v>0</v>
      </c>
      <c r="DJ106">
        <f>IF(IF(OR(IFERROR(SEARCH("Druid",$T106,1),0)&gt;0,IFERROR(SEARCH(DruidLand1,$T106,1),0)&gt;0,IFERROR(SEARCH(DruidLand2,$T106,1),0)&gt;0,IFERROR(SEARCH(DruidLand3,$T106,1),0)&gt;0,IFERROR(SEARCH(DruidLand4,$T106,1),0)&gt;0),1,0)*IF($C106=1,1,0)*IF($C106=DJ$2,1,0)=0,0,1+COUNTIF(DJ$3:DJ105,"&gt;0"))</f>
        <v>0</v>
      </c>
      <c r="DK106">
        <f>IF(IF(OR(IFERROR(SEARCH("Druid",$T106,1),0)&gt;0,IFERROR(SEARCH(DruidLand1,$T106,1),0)&gt;0,IFERROR(SEARCH(DruidLand2,$T106,1),0)&gt;0,IFERROR(SEARCH(DruidLand3,$T106,1),0)&gt;0,IFERROR(SEARCH(DruidLand4,$T106,1),0)&gt;0),1,0)*IF($C106=1,1,0)*IF($C106=DK$2,1,0)=0,0,1+COUNTIF(DK$3:DK105,"&gt;0"))</f>
        <v>0</v>
      </c>
      <c r="DL106">
        <f>IF(IF(OR(IFERROR(SEARCH("Druid",$T106,1),0)&gt;0,IFERROR(SEARCH(DruidLand1,$T106,1),0)&gt;0,IFERROR(SEARCH(DruidLand2,$T106,1),0)&gt;0,IFERROR(SEARCH(DruidLand3,$T106,1),0)&gt;0,IFERROR(SEARCH(DruidLand4,$T106,1),0)&gt;0),1,0)*IF($C106=1,1,0)*IF($C106=DL$2,1,0)=0,0,1+COUNTIF(DL$3:DL105,"&gt;0"))</f>
        <v>0</v>
      </c>
      <c r="DM106">
        <f>IF(IF(OR(IFERROR(SEARCH("Druid",$T106,1),0)&gt;0,IFERROR(SEARCH(DruidLand1,$T106,1),0)&gt;0,IFERROR(SEARCH(DruidLand2,$T106,1),0)&gt;0,IFERROR(SEARCH(DruidLand3,$T106,1),0)&gt;0,IFERROR(SEARCH(DruidLand4,$T106,1),0)&gt;0),1,0)*IF($C106=1,1,0)*IF($C106=DM$2,1,0)=0,0,1+COUNTIF(DM$3:DM105,"&gt;0"))</f>
        <v>0</v>
      </c>
      <c r="DN106">
        <f>IF(IF(OR(IFERROR(SEARCH("Druid",$T106,1),0)&gt;0,IFERROR(SEARCH(DruidLand1,$T106,1),0)&gt;0,IFERROR(SEARCH(DruidLand2,$T106,1),0)&gt;0,IFERROR(SEARCH(DruidLand3,$T106,1),0)&gt;0,IFERROR(SEARCH(DruidLand4,$T106,1),0)&gt;0),1,0)*IF($C106=1,1,0)*IF($C106=DN$2,1,0)=0,0,1+COUNTIF(DN$3:DN105,"&gt;0"))</f>
        <v>0</v>
      </c>
      <c r="DO106">
        <f>IF(IF(OR(IFERROR(SEARCH("Druid",$T106,1),0)&gt;0,IFERROR(SEARCH(DruidLand1,$T106,1),0)&gt;0,IFERROR(SEARCH(DruidLand2,$T106,1),0)&gt;0,IFERROR(SEARCH(DruidLand3,$T106,1),0)&gt;0,IFERROR(SEARCH(DruidLand4,$T106,1),0)&gt;0),1,0)*IF($C106=1,1,0)*IF($C106=DO$2,1,0)=0,0,1+COUNTIF(DO$3:DO105,"&gt;0"))</f>
        <v>0</v>
      </c>
      <c r="DP106">
        <f>IF(IF(OR(IFERROR(SEARCH("Druid",$T106,1),0)&gt;0,IFERROR(SEARCH(DruidLand1,$T106,1),0)&gt;0,IFERROR(SEARCH(DruidLand2,$T106,1),0)&gt;0,IFERROR(SEARCH(DruidLand3,$T106,1),0)&gt;0,IFERROR(SEARCH(DruidLand4,$T106,1),0)&gt;0),1,0)*IF($C106=1,1,0)*IF($C106=DP$2,1,0)=0,0,1+COUNTIF(DP$3:DP105,"&gt;0"))</f>
        <v>0</v>
      </c>
      <c r="DQ106">
        <f>IF(IF(OR(IFERROR(SEARCH("Druid",$T106,1),0)&gt;0,IFERROR(SEARCH(DruidLand1,$T106,1),0)&gt;0,IFERROR(SEARCH(DruidLand2,$T106,1),0)&gt;0,IFERROR(SEARCH(DruidLand3,$T106,1),0)&gt;0,IFERROR(SEARCH(DruidLand4,$T106,1),0)&gt;0),1,0)*IF($C106=1,1,0)*IF($C106=DQ$2,1,0)=0,0,1+COUNTIF(DQ$3:DQ105,"&gt;0"))</f>
        <v>0</v>
      </c>
      <c r="DR106">
        <f>IF(IF(OR(IFERROR(SEARCH("Druid",$T106,1),0)&gt;0,IFERROR(SEARCH(DruidLand1,$T106,1),0)&gt;0,IFERROR(SEARCH(DruidLand2,$T106,1),0)&gt;0,IFERROR(SEARCH(DruidLand3,$T106,1),0)&gt;0,IFERROR(SEARCH(DruidLand4,$T106,1),0)&gt;0),1,0)*IF($C106=1,1,0)*IF($C106=DR$2,1,0)=0,0,1+COUNTIF(DR$3:DR105,"&gt;0"))</f>
        <v>0</v>
      </c>
      <c r="DS106">
        <f>IF(IF(OR(IFERROR(SEARCH("Paladin",$T106,1),0)&gt;0,IFERROR(SEARCH(PaladinOath,$T106,1),0)&gt;0),1,0)*IF($C106=DS$2,1,0)=1,1+COUNTIF(DS$3:DS105,"&gt;0"),0)</f>
        <v>0</v>
      </c>
      <c r="DT106">
        <f>IF(IF(OR(IFERROR(SEARCH("Paladin",$T106,1),0)&gt;0,IFERROR(SEARCH(PaladinOath,$T106,1),0)&gt;0),1,0)*IF($C106=DT$2,1,0)=1,1+COUNTIF(DT$3:DT105,"&gt;0"),0)</f>
        <v>0</v>
      </c>
      <c r="DU106">
        <f>IF(IF(OR(IFERROR(SEARCH("Paladin",$T106,1),0)&gt;0,IFERROR(SEARCH(PaladinOath,$T106,1),0)&gt;0),1,0)*IF($C106=DU$2,1,0)=1,1+COUNTIF(DU$3:DU105,"&gt;0"),0)</f>
        <v>0</v>
      </c>
      <c r="DV106">
        <f>IF(IF(OR(IFERROR(SEARCH("Paladin",$T106,1),0)&gt;0,IFERROR(SEARCH(PaladinOath,$T106,1),0)&gt;0),1,0)*IF($C106=DV$2,1,0)=1,1+COUNTIF(DV$3:DV105,"&gt;0"),0)</f>
        <v>0</v>
      </c>
      <c r="DW106">
        <f>IF(IF(OR(IFERROR(SEARCH("Paladin",$T106,1),0)&gt;0,IFERROR(SEARCH(PaladinOath,$T106,1),0)&gt;0),1,0)*IF($C106=DW$2,1,0)=1,1+COUNTIF(DW$3:DW105,"&gt;0"),0)</f>
        <v>0</v>
      </c>
      <c r="DY106">
        <f t="shared" si="56"/>
        <v>1</v>
      </c>
      <c r="DZ106">
        <f>IF(DY106=0,0,1+MAX(DZ$3:$DZ105))</f>
        <v>104</v>
      </c>
      <c r="EB106">
        <f t="shared" si="70"/>
        <v>0</v>
      </c>
      <c r="EC106">
        <f>IF(EB106=0,0,1+COUNTIF(EC$3:EC105,"&gt;0"))</f>
        <v>0</v>
      </c>
      <c r="ED106" t="str">
        <f t="shared" si="98"/>
        <v/>
      </c>
      <c r="EE106" t="str">
        <f t="shared" si="71"/>
        <v/>
      </c>
      <c r="EG106">
        <f t="shared" si="72"/>
        <v>0</v>
      </c>
      <c r="EH106">
        <f>IF(EG106=0,0,1+COUNTIF(EH$3:EH105,"&gt;0"))</f>
        <v>0</v>
      </c>
      <c r="EI106" t="str">
        <f t="shared" si="99"/>
        <v/>
      </c>
      <c r="EJ106" t="str">
        <f t="shared" si="73"/>
        <v/>
      </c>
      <c r="EL106">
        <f t="shared" si="74"/>
        <v>0</v>
      </c>
      <c r="EM106">
        <f>IF(EL106=0,0,1+COUNTIF(EM$3:EM105,"&gt;0"))</f>
        <v>0</v>
      </c>
      <c r="EN106" t="str">
        <f t="shared" si="100"/>
        <v/>
      </c>
      <c r="EO106" t="str">
        <f t="shared" si="75"/>
        <v/>
      </c>
      <c r="EQ106">
        <f t="shared" si="76"/>
        <v>0</v>
      </c>
      <c r="ER106">
        <f>IF(EQ106=0,0,1+COUNTIF(ER$3:ER105,"&gt;0"))</f>
        <v>0</v>
      </c>
      <c r="ES106" t="str">
        <f t="shared" si="101"/>
        <v/>
      </c>
      <c r="ET106" t="str">
        <f t="shared" si="77"/>
        <v/>
      </c>
      <c r="EV106">
        <f t="shared" si="78"/>
        <v>0</v>
      </c>
      <c r="EW106">
        <f>IF(EV106=0,0,1+COUNTIF(EW$3:EW105,"&gt;0"))</f>
        <v>0</v>
      </c>
      <c r="EX106" t="str">
        <f t="shared" si="102"/>
        <v/>
      </c>
      <c r="EY106" t="str">
        <f t="shared" si="79"/>
        <v/>
      </c>
      <c r="FA106">
        <f t="shared" si="80"/>
        <v>0</v>
      </c>
      <c r="FB106">
        <f>IF(FA106=0,0,1+COUNTIF(FB$3:FB105,"&gt;0"))</f>
        <v>0</v>
      </c>
      <c r="FC106" t="str">
        <f t="shared" si="103"/>
        <v/>
      </c>
      <c r="FD106" t="str">
        <f t="shared" si="81"/>
        <v/>
      </c>
      <c r="FF106">
        <f t="shared" si="82"/>
        <v>0</v>
      </c>
      <c r="FG106">
        <f>IF(FF106=0,0,1+COUNTIF(FG$3:FG105,"&gt;0"))</f>
        <v>0</v>
      </c>
      <c r="FH106" t="str">
        <f t="shared" si="104"/>
        <v/>
      </c>
      <c r="FI106" t="str">
        <f t="shared" si="83"/>
        <v/>
      </c>
      <c r="FK106">
        <f t="shared" si="84"/>
        <v>0</v>
      </c>
      <c r="FL106">
        <f>IF(FK106=0,0,1+COUNTIF(FL$3:FL105,"&gt;0"))</f>
        <v>0</v>
      </c>
      <c r="FM106" t="str">
        <f t="shared" si="105"/>
        <v/>
      </c>
      <c r="FN106" t="str">
        <f t="shared" si="85"/>
        <v/>
      </c>
      <c r="FP106">
        <f t="shared" si="86"/>
        <v>0</v>
      </c>
      <c r="FQ106">
        <f>IF(FP106=0,0,1+COUNTIF(FQ$3:FQ105,"&gt;0"))</f>
        <v>0</v>
      </c>
      <c r="FR106" t="str">
        <f t="shared" si="106"/>
        <v/>
      </c>
      <c r="FS106" t="str">
        <f t="shared" si="87"/>
        <v/>
      </c>
    </row>
    <row r="107" spans="1:175" x14ac:dyDescent="0.25">
      <c r="A107" s="347">
        <f t="shared" si="107"/>
        <v>105</v>
      </c>
      <c r="B107" s="348" t="s">
        <v>2474</v>
      </c>
      <c r="C107" s="348">
        <v>1</v>
      </c>
      <c r="D107" s="347">
        <v>1</v>
      </c>
      <c r="E107" s="627" t="s">
        <v>6952</v>
      </c>
      <c r="F107" s="346"/>
      <c r="G107" s="347" t="str">
        <f>""</f>
        <v/>
      </c>
      <c r="H107" s="347" t="s">
        <v>5918</v>
      </c>
      <c r="I107" s="347" t="s">
        <v>5283</v>
      </c>
      <c r="J107" s="347" t="str">
        <f t="shared" si="57"/>
        <v/>
      </c>
      <c r="K107" s="347" t="s">
        <v>5291</v>
      </c>
      <c r="L107" s="611" t="str">
        <f t="shared" si="58"/>
        <v>V, S</v>
      </c>
      <c r="M107" s="347" t="s">
        <v>2373</v>
      </c>
      <c r="N107" s="347" t="s">
        <v>2387</v>
      </c>
      <c r="O107" s="347" t="s">
        <v>3034</v>
      </c>
      <c r="P107" s="346" t="str">
        <f>""</f>
        <v/>
      </c>
      <c r="Q107" s="347" t="s">
        <v>5273</v>
      </c>
      <c r="S107" s="346" t="s">
        <v>2475</v>
      </c>
      <c r="T107" s="346" t="str">
        <f t="shared" si="59"/>
        <v xml:space="preserve">Paladin, War, </v>
      </c>
      <c r="V107" s="347" t="str">
        <f>$B107</f>
        <v>Divine Favor</v>
      </c>
      <c r="AE107" t="str">
        <f>IF(IFERROR(MATCH($B107,temp!A$4:A$13,0),0)&gt;0,T08_Spells!AE$2,"")</f>
        <v/>
      </c>
      <c r="AF107" t="str">
        <f>IF(IFERROR(MATCH($B107,temp!B$4:B$13,0),0)&gt;0,T08_Spells!AF$2,"")</f>
        <v/>
      </c>
      <c r="AG107" t="str">
        <f>IF(IFERROR(MATCH($B107,temp!C$4:C$13,0),0)&gt;0,T08_Spells!AG$2,"")</f>
        <v/>
      </c>
      <c r="AH107" t="str">
        <f>IF(IFERROR(MATCH($B107,temp!D$4:D$13,0),0)&gt;0,T08_Spells!AH$2,"")</f>
        <v/>
      </c>
      <c r="AI107" t="str">
        <f>IF(IFERROR(MATCH($B107,temp!E$4:E$13,0),0)&gt;0,T08_Spells!AI$2,"")</f>
        <v/>
      </c>
      <c r="AJ107" t="str">
        <f>IF(IFERROR(MATCH($B107,temp!F$4:F$13,0),0)&gt;0,T08_Spells!AJ$2,"")</f>
        <v/>
      </c>
      <c r="AK107" t="str">
        <f>IF(IFERROR(MATCH($B107,temp!G$4:G$13,0),0)&gt;0,T08_Spells!AK$2,"")</f>
        <v/>
      </c>
      <c r="AL107" t="str">
        <f>IF(IFERROR(MATCH($B107,temp!H$4:H$13,0),0)&gt;0,T08_Spells!AL$2,"")</f>
        <v/>
      </c>
      <c r="AM107" t="str">
        <f>IF(IFERROR(MATCH($B107,temp!I$4:I$13,0),0)&gt;0,T08_Spells!AM$2,"")</f>
        <v/>
      </c>
      <c r="AN107" t="str">
        <f>IF(IFERROR(MATCH($B107,temp!J$4:J$13,0),0)&gt;0,T08_Spells!AN$2,"")</f>
        <v/>
      </c>
      <c r="AO107" t="str">
        <f>IF(IFERROR(MATCH($B107,temp!K$4:K$13,0),0)&gt;0,T08_Spells!AO$2,"")</f>
        <v/>
      </c>
      <c r="AP107" t="str">
        <f>IF(IFERROR(MATCH($B107,temp!L$4:L$13,0),0)&gt;0,T08_Spells!AP$2,"")</f>
        <v/>
      </c>
      <c r="AQ107" t="str">
        <f>IF(IFERROR(MATCH($B107,temp!M$4:M$13,0),0)&gt;0,T08_Spells!AQ$2,"")</f>
        <v/>
      </c>
      <c r="AR107" t="str">
        <f>IF(IFERROR(MATCH($B107,temp!N$4:N$13,0),0)&gt;0,T08_Spells!AR$2,"")</f>
        <v/>
      </c>
      <c r="AS107" t="str">
        <f>IF(IFERROR(MATCH($B107,temp!O$4:O$13,0),0)&gt;0,T08_Spells!AS$2,"")</f>
        <v/>
      </c>
      <c r="AT107" t="str">
        <f>IF(IFERROR(MATCH($B107,temp!P$4:P$13,0),0)&gt;0,T08_Spells!AT$2,"")</f>
        <v/>
      </c>
      <c r="AU107" t="str">
        <f>IF(IFERROR(MATCH($B107,temp!Q$4:Q$13,0),0)&gt;0,T08_Spells!AU$2,"")</f>
        <v/>
      </c>
      <c r="AV107" t="str">
        <f>IF(IFERROR(MATCH($B107,temp!R$4:R$13,0),0)&gt;0,T08_Spells!AV$2,"")</f>
        <v/>
      </c>
      <c r="AW107" t="str">
        <f>IF(IFERROR(MATCH($B107,temp!S$4:S$13,0),0)&gt;0,T08_Spells!AW$2,"")</f>
        <v/>
      </c>
      <c r="AX107" t="str">
        <f>IF(IFERROR(MATCH($B107,temp!T$4:T$13,0),0)&gt;0,T08_Spells!AX$2,"")</f>
        <v/>
      </c>
      <c r="AY107" t="str">
        <f>IF(IFERROR(MATCH($B107,temp!U$4:U$13,0),0)&gt;0,T08_Spells!AY$2,"")</f>
        <v/>
      </c>
      <c r="AZ107" t="str">
        <f>IF(IFERROR(MATCH($B107,temp!V$4:V$13,0),0)&gt;0,T08_Spells!AZ$2,"")</f>
        <v>War</v>
      </c>
      <c r="BA107" t="str">
        <f>IF(IFERROR(MATCH($B107,temp!W$4:W$13,0),0)&gt;0,T08_Spells!BA$2,"")</f>
        <v/>
      </c>
      <c r="BC107">
        <f>IF(IFERROR(SEARCH("Ranger",$T107,1),0)&gt;0,1,0)*IF(RangerMaxSpellLevel&gt;=$C107,1,0)*IF(IFERROR(MATCH(B107,Character_Creation!$X$79:$X$382,0),0)&gt;0,0,1)</f>
        <v>0</v>
      </c>
      <c r="BD107">
        <f>IF(BC107=0,0,1+COUNTIF(BD$3:BD106,"&gt;0"))</f>
        <v>0</v>
      </c>
      <c r="BE107" t="str">
        <f t="shared" si="88"/>
        <v/>
      </c>
      <c r="BF107" t="str">
        <f t="shared" si="60"/>
        <v/>
      </c>
      <c r="BH107">
        <f>IF(IFERROR(SEARCH("Sorcerer",$T107,1),0)&gt;0,1,0)*IF(SorcererMaxSpellLevel&gt;=$C107,1,0)*IF(IFERROR(MATCH(B107,Character_Creation!$J$380:$J$394,0),0)&gt;0,0,1)</f>
        <v>0</v>
      </c>
      <c r="BI107">
        <f>IF(BH107=0,0,1+COUNTIF(BI$3:BI106,"&gt;0"))</f>
        <v>0</v>
      </c>
      <c r="BJ107" t="str">
        <f t="shared" si="89"/>
        <v/>
      </c>
      <c r="BK107" t="str">
        <f t="shared" si="61"/>
        <v/>
      </c>
      <c r="BM107">
        <f>IF(OR(IFERROR(SEARCH("Warlock",$T107,1),0)&gt;0,IFERROR(SEARCH(WarlockPatron,$T107,1),0)&gt;0),1,0)*IF(WarlockMaxSpellLevel&gt;=$C107,1,0)*IF(IFERROR(MATCH(B107,Character_Creation!$J$361:$J$375,0),0)&gt;0,0,1)</f>
        <v>0</v>
      </c>
      <c r="BN107">
        <f>IF(BM107=0,0,1+COUNTIF(BN$3:BN106,"&gt;0"))</f>
        <v>0</v>
      </c>
      <c r="BO107" t="str">
        <f t="shared" si="90"/>
        <v/>
      </c>
      <c r="BP107" t="str">
        <f t="shared" si="62"/>
        <v/>
      </c>
      <c r="BR107">
        <f>IF(IFERROR(SEARCH("Eldritch Knight",$T107,1),0)&gt;0,1,0)*IF(EldritchKnightMaxSpellLevel&gt;=$C107,1,0)*IF(IFERROR(MATCH($B107,Character_Creation!$J$350:$J$356,0),0)&gt;0,0,1)*IF(Character_Creation!$M$338&gt;0,1,0)</f>
        <v>0</v>
      </c>
      <c r="BS107">
        <f>IF(BR107=0,0,1+COUNTIF(BS$3:BS106,"&gt;0"))</f>
        <v>0</v>
      </c>
      <c r="BT107" t="str">
        <f t="shared" si="91"/>
        <v/>
      </c>
      <c r="BU107" t="str">
        <f t="shared" si="63"/>
        <v/>
      </c>
      <c r="BW107">
        <f>IF(IFERROR(SEARCH("Arcane Trickster",$T107,1),0)&gt;0,1,0)*IF(ArcaneTricksterMaxSpellLevel&gt;=$C107,1,0)*IF(IFERROR(MATCH($B107,Character_Creation!$J$350:$J$356,0),0)&gt;0,0,1)*IF(Character_Creation!$T$338&gt;0,1,0)</f>
        <v>0</v>
      </c>
      <c r="BX107">
        <f>IF(BW107=0,0,1+COUNTIF(BX$3:BX106,"&gt;0"))</f>
        <v>0</v>
      </c>
      <c r="BY107" t="str">
        <f t="shared" si="92"/>
        <v/>
      </c>
      <c r="BZ107" t="str">
        <f t="shared" si="64"/>
        <v/>
      </c>
      <c r="CB107">
        <f>IF(IFERROR(SEARCH("Wizard",$T107,1),0)&gt;0,1,0)*IF(C107&lt;=ArcaneTricksterMaxSpellLevel,1,0)*IF(IFERROR(MATCH($B107,Character_Creation!$J$350:$J$356,0),0)&gt;0,0,1)*IF(Character_Creation!$T$350&gt;0,1,0)</f>
        <v>0</v>
      </c>
      <c r="CC107">
        <f>IF(CB107=0,0,1+COUNTIF(CC$3:CC106,"&gt;0"))</f>
        <v>0</v>
      </c>
      <c r="CD107" t="str">
        <f t="shared" si="93"/>
        <v/>
      </c>
      <c r="CE107" t="str">
        <f t="shared" si="65"/>
        <v/>
      </c>
      <c r="CG107">
        <f>IF(IFERROR(SEARCH("Wizard",$T107,1),0)&gt;0,1,0)*IF($C107&lt;=EldritchKnightMaxSpellLevel,1,0)*IF(IFERROR(MATCH($B107,Character_Creation!$J$350:$J$356,0),0)&gt;0,0,1)*IF(Character_Creation!$M$350&gt;0,1,0)</f>
        <v>0</v>
      </c>
      <c r="CH107">
        <f>IF(CG107=0,0,1+COUNTIF(CH$3:CH106,"&gt;0"))</f>
        <v>0</v>
      </c>
      <c r="CI107" t="str">
        <f t="shared" si="94"/>
        <v/>
      </c>
      <c r="CJ107" t="str">
        <f t="shared" si="66"/>
        <v/>
      </c>
      <c r="CL107">
        <f>IF(IFERROR(SEARCH("Bard",$T107,1),0)&gt;0,1,0)*IF(BardMaxSpellLevel&gt;=$C107,1,0)*IF(IFERROR(MATCH(B107,Character_Creation!$C$341:$F$362,0),0)&gt;0,0,1)*IF(IFERROR(MATCH($B107,Character_Creation!$C$341:$C$362,0),0)&gt;0,0,1)</f>
        <v>0</v>
      </c>
      <c r="CM107">
        <f>IF(CL107=0,0,1+COUNTIF(CM$3:CM106,"&gt;0"))</f>
        <v>0</v>
      </c>
      <c r="CN107" t="str">
        <f t="shared" si="95"/>
        <v/>
      </c>
      <c r="CO107" t="str">
        <f t="shared" si="67"/>
        <v/>
      </c>
      <c r="CQ107">
        <f>IF(IFERROR(SEARCH("Wizard",$T107,1),0)&gt;0,1,0)*IF(WizardMaxSpellLevel&gt;=$C107,1,0)*IF(IFERROR(MATCH(B107,Character_Creation!$X$341:$X$400,0),0)&gt;0,0,1)*IF(SelectedWizardSpellLevel=$C107,1,0)</f>
        <v>0</v>
      </c>
      <c r="CR107">
        <f>IF(CQ107=0,0,1+COUNTIF(CR$3:CR106,"&gt;0"))</f>
        <v>0</v>
      </c>
      <c r="CS107" t="str">
        <f t="shared" si="96"/>
        <v/>
      </c>
      <c r="CT107" t="str">
        <f t="shared" si="68"/>
        <v/>
      </c>
      <c r="CV107">
        <f>IF(IFERROR(MATCH($B107,Character_Creation!$C$341:$C$362,0),0)&gt;0,0,1)*IF(OR(C107="Cantrip",C107&lt;=BardMaxSpellLevel),1,0)*IF(IFERROR(MATCH($B107,Character_Creation!$C$367:$C$374,0),0)&gt;0,0,1)</f>
        <v>0</v>
      </c>
      <c r="CW107">
        <f>IF(CV107=0,0,1+COUNTIF(CW$3:CW106,"&gt;0"))</f>
        <v>0</v>
      </c>
      <c r="CX107" t="str">
        <f t="shared" si="97"/>
        <v/>
      </c>
      <c r="CY107" t="str">
        <f t="shared" si="69"/>
        <v/>
      </c>
      <c r="DA107">
        <f>IF(IF(OR(IFERROR(SEARCH("Cleric",$T107,1),0)&gt;0,IFERROR(SEARCH(DivineDomain&amp;",",$T107,1),0)&gt;0),1,0)*IF($C107=DA$2,1,0)=1,1+COUNTIF(DA$3:DA106,"&gt;0"),0)</f>
        <v>0</v>
      </c>
      <c r="DB107">
        <f>IF(IF(OR(IFERROR(SEARCH("Cleric",$T107,1),0)&gt;0,IFERROR(SEARCH(DivineDomain&amp;",",$T107,1),0)&gt;0),1,0)*IF($C107=DB$2,1,0)=1,1+COUNTIF(DB$3:DB106,"&gt;0"),0)</f>
        <v>0</v>
      </c>
      <c r="DC107">
        <f>IF(IF(OR(IFERROR(SEARCH("Cleric",$T107,1),0)&gt;0,IFERROR(SEARCH(DivineDomain&amp;",",$T107,1),0)&gt;0),1,0)*IF($C107=DC$2,1,0)=1,1+COUNTIF(DC$3:DC106,"&gt;0"),0)</f>
        <v>0</v>
      </c>
      <c r="DD107">
        <f>IF(IF(OR(IFERROR(SEARCH("Cleric",$T107,1),0)&gt;0,IFERROR(SEARCH(DivineDomain&amp;",",$T107,1),0)&gt;0),1,0)*IF($C107=DD$2,1,0)=1,1+COUNTIF(DD$3:DD106,"&gt;0"),0)</f>
        <v>0</v>
      </c>
      <c r="DE107">
        <f>IF(IF(OR(IFERROR(SEARCH("Cleric",$T107,1),0)&gt;0,IFERROR(SEARCH(DivineDomain&amp;",",$T107,1),0)&gt;0),1,0)*IF($C107=DE$2,1,0)=1,1+COUNTIF(DE$3:DE106,"&gt;0"),0)</f>
        <v>0</v>
      </c>
      <c r="DF107">
        <f>IF(IF(OR(IFERROR(SEARCH("Cleric",$T107,1),0)&gt;0,IFERROR(SEARCH(DivineDomain&amp;",",$T107,1),0)&gt;0),1,0)*IF($C107=DF$2,1,0)=1,1+COUNTIF(DF$3:DF106,"&gt;0"),0)</f>
        <v>0</v>
      </c>
      <c r="DG107">
        <f>IF(IF(OR(IFERROR(SEARCH("Cleric",$T107,1),0)&gt;0,IFERROR(SEARCH(DivineDomain&amp;",",$T107,1),0)&gt;0),1,0)*IF($C107=DG$2,1,0)=1,1+COUNTIF(DG$3:DG106,"&gt;0"),0)</f>
        <v>0</v>
      </c>
      <c r="DH107">
        <f>IF(IF(OR(IFERROR(SEARCH("Cleric",$T107,1),0)&gt;0,IFERROR(SEARCH(DivineDomain&amp;",",$T107,1),0)&gt;0),1,0)*IF($C107=DH$2,1,0)=1,1+COUNTIF(DH$3:DH106,"&gt;0"),0)</f>
        <v>0</v>
      </c>
      <c r="DI107">
        <f>IF(IF(OR(IFERROR(SEARCH("Cleric",$T107,1),0)&gt;0,IFERROR(SEARCH(DivineDomain&amp;",",$T107,1),0)&gt;0),1,0)*IF($C107=DI$2,1,0)=1,1+COUNTIF(DI$3:DI106,"&gt;0"),0)</f>
        <v>0</v>
      </c>
      <c r="DJ107">
        <f>IF(IF(OR(IFERROR(SEARCH("Druid",$T107,1),0)&gt;0,IFERROR(SEARCH(DruidLand1,$T107,1),0)&gt;0,IFERROR(SEARCH(DruidLand2,$T107,1),0)&gt;0,IFERROR(SEARCH(DruidLand3,$T107,1),0)&gt;0,IFERROR(SEARCH(DruidLand4,$T107,1),0)&gt;0),1,0)*IF($C107=1,1,0)*IF($C107=DJ$2,1,0)=0,0,1+COUNTIF(DJ$3:DJ106,"&gt;0"))</f>
        <v>0</v>
      </c>
      <c r="DK107">
        <f>IF(IF(OR(IFERROR(SEARCH("Druid",$T107,1),0)&gt;0,IFERROR(SEARCH(DruidLand1,$T107,1),0)&gt;0,IFERROR(SEARCH(DruidLand2,$T107,1),0)&gt;0,IFERROR(SEARCH(DruidLand3,$T107,1),0)&gt;0,IFERROR(SEARCH(DruidLand4,$T107,1),0)&gt;0),1,0)*IF($C107=1,1,0)*IF($C107=DK$2,1,0)=0,0,1+COUNTIF(DK$3:DK106,"&gt;0"))</f>
        <v>0</v>
      </c>
      <c r="DL107">
        <f>IF(IF(OR(IFERROR(SEARCH("Druid",$T107,1),0)&gt;0,IFERROR(SEARCH(DruidLand1,$T107,1),0)&gt;0,IFERROR(SEARCH(DruidLand2,$T107,1),0)&gt;0,IFERROR(SEARCH(DruidLand3,$T107,1),0)&gt;0,IFERROR(SEARCH(DruidLand4,$T107,1),0)&gt;0),1,0)*IF($C107=1,1,0)*IF($C107=DL$2,1,0)=0,0,1+COUNTIF(DL$3:DL106,"&gt;0"))</f>
        <v>0</v>
      </c>
      <c r="DM107">
        <f>IF(IF(OR(IFERROR(SEARCH("Druid",$T107,1),0)&gt;0,IFERROR(SEARCH(DruidLand1,$T107,1),0)&gt;0,IFERROR(SEARCH(DruidLand2,$T107,1),0)&gt;0,IFERROR(SEARCH(DruidLand3,$T107,1),0)&gt;0,IFERROR(SEARCH(DruidLand4,$T107,1),0)&gt;0),1,0)*IF($C107=1,1,0)*IF($C107=DM$2,1,0)=0,0,1+COUNTIF(DM$3:DM106,"&gt;0"))</f>
        <v>0</v>
      </c>
      <c r="DN107">
        <f>IF(IF(OR(IFERROR(SEARCH("Druid",$T107,1),0)&gt;0,IFERROR(SEARCH(DruidLand1,$T107,1),0)&gt;0,IFERROR(SEARCH(DruidLand2,$T107,1),0)&gt;0,IFERROR(SEARCH(DruidLand3,$T107,1),0)&gt;0,IFERROR(SEARCH(DruidLand4,$T107,1),0)&gt;0),1,0)*IF($C107=1,1,0)*IF($C107=DN$2,1,0)=0,0,1+COUNTIF(DN$3:DN106,"&gt;0"))</f>
        <v>0</v>
      </c>
      <c r="DO107">
        <f>IF(IF(OR(IFERROR(SEARCH("Druid",$T107,1),0)&gt;0,IFERROR(SEARCH(DruidLand1,$T107,1),0)&gt;0,IFERROR(SEARCH(DruidLand2,$T107,1),0)&gt;0,IFERROR(SEARCH(DruidLand3,$T107,1),0)&gt;0,IFERROR(SEARCH(DruidLand4,$T107,1),0)&gt;0),1,0)*IF($C107=1,1,0)*IF($C107=DO$2,1,0)=0,0,1+COUNTIF(DO$3:DO106,"&gt;0"))</f>
        <v>0</v>
      </c>
      <c r="DP107">
        <f>IF(IF(OR(IFERROR(SEARCH("Druid",$T107,1),0)&gt;0,IFERROR(SEARCH(DruidLand1,$T107,1),0)&gt;0,IFERROR(SEARCH(DruidLand2,$T107,1),0)&gt;0,IFERROR(SEARCH(DruidLand3,$T107,1),0)&gt;0,IFERROR(SEARCH(DruidLand4,$T107,1),0)&gt;0),1,0)*IF($C107=1,1,0)*IF($C107=DP$2,1,0)=0,0,1+COUNTIF(DP$3:DP106,"&gt;0"))</f>
        <v>0</v>
      </c>
      <c r="DQ107">
        <f>IF(IF(OR(IFERROR(SEARCH("Druid",$T107,1),0)&gt;0,IFERROR(SEARCH(DruidLand1,$T107,1),0)&gt;0,IFERROR(SEARCH(DruidLand2,$T107,1),0)&gt;0,IFERROR(SEARCH(DruidLand3,$T107,1),0)&gt;0,IFERROR(SEARCH(DruidLand4,$T107,1),0)&gt;0),1,0)*IF($C107=1,1,0)*IF($C107=DQ$2,1,0)=0,0,1+COUNTIF(DQ$3:DQ106,"&gt;0"))</f>
        <v>0</v>
      </c>
      <c r="DR107">
        <f>IF(IF(OR(IFERROR(SEARCH("Druid",$T107,1),0)&gt;0,IFERROR(SEARCH(DruidLand1,$T107,1),0)&gt;0,IFERROR(SEARCH(DruidLand2,$T107,1),0)&gt;0,IFERROR(SEARCH(DruidLand3,$T107,1),0)&gt;0,IFERROR(SEARCH(DruidLand4,$T107,1),0)&gt;0),1,0)*IF($C107=1,1,0)*IF($C107=DR$2,1,0)=0,0,1+COUNTIF(DR$3:DR106,"&gt;0"))</f>
        <v>0</v>
      </c>
      <c r="DS107">
        <f>IF(IF(OR(IFERROR(SEARCH("Paladin",$T107,1),0)&gt;0,IFERROR(SEARCH(PaladinOath,$T107,1),0)&gt;0),1,0)*IF($C107=DS$2,1,0)=1,1+COUNTIF(DS$3:DS106,"&gt;0"),0)</f>
        <v>8</v>
      </c>
      <c r="DT107">
        <f>IF(IF(OR(IFERROR(SEARCH("Paladin",$T107,1),0)&gt;0,IFERROR(SEARCH(PaladinOath,$T107,1),0)&gt;0),1,0)*IF($C107=DT$2,1,0)=1,1+COUNTIF(DT$3:DT106,"&gt;0"),0)</f>
        <v>0</v>
      </c>
      <c r="DU107">
        <f>IF(IF(OR(IFERROR(SEARCH("Paladin",$T107,1),0)&gt;0,IFERROR(SEARCH(PaladinOath,$T107,1),0)&gt;0),1,0)*IF($C107=DU$2,1,0)=1,1+COUNTIF(DU$3:DU106,"&gt;0"),0)</f>
        <v>0</v>
      </c>
      <c r="DV107">
        <f>IF(IF(OR(IFERROR(SEARCH("Paladin",$T107,1),0)&gt;0,IFERROR(SEARCH(PaladinOath,$T107,1),0)&gt;0),1,0)*IF($C107=DV$2,1,0)=1,1+COUNTIF(DV$3:DV106,"&gt;0"),0)</f>
        <v>0</v>
      </c>
      <c r="DW107">
        <f>IF(IF(OR(IFERROR(SEARCH("Paladin",$T107,1),0)&gt;0,IFERROR(SEARCH(PaladinOath,$T107,1),0)&gt;0),1,0)*IF($C107=DW$2,1,0)=1,1+COUNTIF(DW$3:DW106,"&gt;0"),0)</f>
        <v>0</v>
      </c>
      <c r="DY107">
        <f t="shared" si="56"/>
        <v>1</v>
      </c>
      <c r="DZ107">
        <f>IF(DY107=0,0,1+MAX(DZ$3:$DZ106))</f>
        <v>105</v>
      </c>
      <c r="EB107">
        <f t="shared" si="70"/>
        <v>0</v>
      </c>
      <c r="EC107">
        <f>IF(EB107=0,0,1+COUNTIF(EC$3:EC106,"&gt;0"))</f>
        <v>0</v>
      </c>
      <c r="ED107" t="str">
        <f t="shared" si="98"/>
        <v/>
      </c>
      <c r="EE107" t="str">
        <f t="shared" si="71"/>
        <v/>
      </c>
      <c r="EG107">
        <f t="shared" si="72"/>
        <v>0</v>
      </c>
      <c r="EH107">
        <f>IF(EG107=0,0,1+COUNTIF(EH$3:EH106,"&gt;0"))</f>
        <v>0</v>
      </c>
      <c r="EI107" t="str">
        <f t="shared" si="99"/>
        <v/>
      </c>
      <c r="EJ107" t="str">
        <f t="shared" si="73"/>
        <v/>
      </c>
      <c r="EL107">
        <f t="shared" si="74"/>
        <v>0</v>
      </c>
      <c r="EM107">
        <f>IF(EL107=0,0,1+COUNTIF(EM$3:EM106,"&gt;0"))</f>
        <v>0</v>
      </c>
      <c r="EN107" t="str">
        <f t="shared" si="100"/>
        <v/>
      </c>
      <c r="EO107" t="str">
        <f t="shared" si="75"/>
        <v/>
      </c>
      <c r="EQ107">
        <f t="shared" si="76"/>
        <v>0</v>
      </c>
      <c r="ER107">
        <f>IF(EQ107=0,0,1+COUNTIF(ER$3:ER106,"&gt;0"))</f>
        <v>0</v>
      </c>
      <c r="ES107" t="str">
        <f t="shared" si="101"/>
        <v/>
      </c>
      <c r="ET107" t="str">
        <f t="shared" si="77"/>
        <v/>
      </c>
      <c r="EV107">
        <f t="shared" si="78"/>
        <v>0</v>
      </c>
      <c r="EW107">
        <f>IF(EV107=0,0,1+COUNTIF(EW$3:EW106,"&gt;0"))</f>
        <v>0</v>
      </c>
      <c r="EX107" t="str">
        <f t="shared" si="102"/>
        <v/>
      </c>
      <c r="EY107" t="str">
        <f t="shared" si="79"/>
        <v/>
      </c>
      <c r="FA107">
        <f t="shared" si="80"/>
        <v>0</v>
      </c>
      <c r="FB107">
        <f>IF(FA107=0,0,1+COUNTIF(FB$3:FB106,"&gt;0"))</f>
        <v>0</v>
      </c>
      <c r="FC107" t="str">
        <f t="shared" si="103"/>
        <v/>
      </c>
      <c r="FD107" t="str">
        <f t="shared" si="81"/>
        <v/>
      </c>
      <c r="FF107">
        <f t="shared" si="82"/>
        <v>0</v>
      </c>
      <c r="FG107">
        <f>IF(FF107=0,0,1+COUNTIF(FG$3:FG106,"&gt;0"))</f>
        <v>0</v>
      </c>
      <c r="FH107" t="str">
        <f t="shared" si="104"/>
        <v/>
      </c>
      <c r="FI107" t="str">
        <f t="shared" si="83"/>
        <v/>
      </c>
      <c r="FK107">
        <f t="shared" si="84"/>
        <v>0</v>
      </c>
      <c r="FL107">
        <f>IF(FK107=0,0,1+COUNTIF(FL$3:FL106,"&gt;0"))</f>
        <v>0</v>
      </c>
      <c r="FM107" t="str">
        <f t="shared" si="105"/>
        <v/>
      </c>
      <c r="FN107" t="str">
        <f t="shared" si="85"/>
        <v/>
      </c>
      <c r="FP107">
        <f t="shared" si="86"/>
        <v>0</v>
      </c>
      <c r="FQ107">
        <f>IF(FP107=0,0,1+COUNTIF(FQ$3:FQ106,"&gt;0"))</f>
        <v>0</v>
      </c>
      <c r="FR107" t="str">
        <f t="shared" si="106"/>
        <v/>
      </c>
      <c r="FS107" t="str">
        <f t="shared" si="87"/>
        <v/>
      </c>
    </row>
    <row r="108" spans="1:175" x14ac:dyDescent="0.25">
      <c r="A108" s="347">
        <f t="shared" si="107"/>
        <v>106</v>
      </c>
      <c r="B108" s="348" t="s">
        <v>2476</v>
      </c>
      <c r="C108" s="348">
        <v>7</v>
      </c>
      <c r="D108" s="347">
        <v>7</v>
      </c>
      <c r="E108" s="627" t="s">
        <v>6952</v>
      </c>
      <c r="F108" s="346"/>
      <c r="G108" s="347" t="str">
        <f>""</f>
        <v/>
      </c>
      <c r="H108" s="347" t="s">
        <v>5918</v>
      </c>
      <c r="I108" s="347" t="s">
        <v>5060</v>
      </c>
      <c r="J108" s="347" t="str">
        <f t="shared" si="57"/>
        <v/>
      </c>
      <c r="K108" s="347" t="s">
        <v>5278</v>
      </c>
      <c r="L108" s="611" t="str">
        <f t="shared" si="58"/>
        <v>V</v>
      </c>
      <c r="M108" s="347" t="s">
        <v>2373</v>
      </c>
      <c r="N108" s="347" t="s">
        <v>3034</v>
      </c>
      <c r="O108" s="347" t="s">
        <v>3034</v>
      </c>
      <c r="P108" s="346" t="str">
        <f>""</f>
        <v/>
      </c>
      <c r="Q108" s="347" t="s">
        <v>5273</v>
      </c>
      <c r="S108" s="346" t="s">
        <v>5667</v>
      </c>
      <c r="T108" s="346" t="str">
        <f t="shared" si="59"/>
        <v xml:space="preserve">Cleric, </v>
      </c>
      <c r="Z108" s="347" t="str">
        <f>$B108</f>
        <v>Divine Word</v>
      </c>
      <c r="AE108" t="str">
        <f>IF(IFERROR(MATCH($B108,temp!A$4:A$13,0),0)&gt;0,T08_Spells!AE$2,"")</f>
        <v/>
      </c>
      <c r="AF108" t="str">
        <f>IF(IFERROR(MATCH($B108,temp!B$4:B$13,0),0)&gt;0,T08_Spells!AF$2,"")</f>
        <v/>
      </c>
      <c r="AG108" t="str">
        <f>IF(IFERROR(MATCH($B108,temp!C$4:C$13,0),0)&gt;0,T08_Spells!AG$2,"")</f>
        <v/>
      </c>
      <c r="AH108" t="str">
        <f>IF(IFERROR(MATCH($B108,temp!D$4:D$13,0),0)&gt;0,T08_Spells!AH$2,"")</f>
        <v/>
      </c>
      <c r="AI108" t="str">
        <f>IF(IFERROR(MATCH($B108,temp!E$4:E$13,0),0)&gt;0,T08_Spells!AI$2,"")</f>
        <v/>
      </c>
      <c r="AJ108" t="str">
        <f>IF(IFERROR(MATCH($B108,temp!F$4:F$13,0),0)&gt;0,T08_Spells!AJ$2,"")</f>
        <v/>
      </c>
      <c r="AK108" t="str">
        <f>IF(IFERROR(MATCH($B108,temp!G$4:G$13,0),0)&gt;0,T08_Spells!AK$2,"")</f>
        <v/>
      </c>
      <c r="AL108" t="str">
        <f>IF(IFERROR(MATCH($B108,temp!H$4:H$13,0),0)&gt;0,T08_Spells!AL$2,"")</f>
        <v/>
      </c>
      <c r="AM108" t="str">
        <f>IF(IFERROR(MATCH($B108,temp!I$4:I$13,0),0)&gt;0,T08_Spells!AM$2,"")</f>
        <v/>
      </c>
      <c r="AN108" t="str">
        <f>IF(IFERROR(MATCH($B108,temp!J$4:J$13,0),0)&gt;0,T08_Spells!AN$2,"")</f>
        <v/>
      </c>
      <c r="AO108" t="str">
        <f>IF(IFERROR(MATCH($B108,temp!K$4:K$13,0),0)&gt;0,T08_Spells!AO$2,"")</f>
        <v/>
      </c>
      <c r="AP108" t="str">
        <f>IF(IFERROR(MATCH($B108,temp!L$4:L$13,0),0)&gt;0,T08_Spells!AP$2,"")</f>
        <v/>
      </c>
      <c r="AQ108" t="str">
        <f>IF(IFERROR(MATCH($B108,temp!M$4:M$13,0),0)&gt;0,T08_Spells!AQ$2,"")</f>
        <v/>
      </c>
      <c r="AR108" t="str">
        <f>IF(IFERROR(MATCH($B108,temp!N$4:N$13,0),0)&gt;0,T08_Spells!AR$2,"")</f>
        <v/>
      </c>
      <c r="AS108" t="str">
        <f>IF(IFERROR(MATCH($B108,temp!O$4:O$13,0),0)&gt;0,T08_Spells!AS$2,"")</f>
        <v/>
      </c>
      <c r="AT108" t="str">
        <f>IF(IFERROR(MATCH($B108,temp!P$4:P$13,0),0)&gt;0,T08_Spells!AT$2,"")</f>
        <v/>
      </c>
      <c r="AU108" t="str">
        <f>IF(IFERROR(MATCH($B108,temp!Q$4:Q$13,0),0)&gt;0,T08_Spells!AU$2,"")</f>
        <v/>
      </c>
      <c r="AV108" t="str">
        <f>IF(IFERROR(MATCH($B108,temp!R$4:R$13,0),0)&gt;0,T08_Spells!AV$2,"")</f>
        <v/>
      </c>
      <c r="AW108" t="str">
        <f>IF(IFERROR(MATCH($B108,temp!S$4:S$13,0),0)&gt;0,T08_Spells!AW$2,"")</f>
        <v/>
      </c>
      <c r="AX108" t="str">
        <f>IF(IFERROR(MATCH($B108,temp!T$4:T$13,0),0)&gt;0,T08_Spells!AX$2,"")</f>
        <v/>
      </c>
      <c r="AY108" t="str">
        <f>IF(IFERROR(MATCH($B108,temp!U$4:U$13,0),0)&gt;0,T08_Spells!AY$2,"")</f>
        <v/>
      </c>
      <c r="AZ108" t="str">
        <f>IF(IFERROR(MATCH($B108,temp!V$4:V$13,0),0)&gt;0,T08_Spells!AZ$2,"")</f>
        <v/>
      </c>
      <c r="BA108" t="str">
        <f>IF(IFERROR(MATCH($B108,temp!W$4:W$13,0),0)&gt;0,T08_Spells!BA$2,"")</f>
        <v/>
      </c>
      <c r="BC108">
        <f>IF(IFERROR(SEARCH("Ranger",$T108,1),0)&gt;0,1,0)*IF(RangerMaxSpellLevel&gt;=$C108,1,0)*IF(IFERROR(MATCH(B108,Character_Creation!$X$79:$X$382,0),0)&gt;0,0,1)</f>
        <v>0</v>
      </c>
      <c r="BD108">
        <f>IF(BC108=0,0,1+COUNTIF(BD$3:BD107,"&gt;0"))</f>
        <v>0</v>
      </c>
      <c r="BE108" t="str">
        <f t="shared" si="88"/>
        <v/>
      </c>
      <c r="BF108" t="str">
        <f t="shared" si="60"/>
        <v/>
      </c>
      <c r="BH108">
        <f>IF(IFERROR(SEARCH("Sorcerer",$T108,1),0)&gt;0,1,0)*IF(SorcererMaxSpellLevel&gt;=$C108,1,0)*IF(IFERROR(MATCH(B108,Character_Creation!$J$380:$J$394,0),0)&gt;0,0,1)</f>
        <v>0</v>
      </c>
      <c r="BI108">
        <f>IF(BH108=0,0,1+COUNTIF(BI$3:BI107,"&gt;0"))</f>
        <v>0</v>
      </c>
      <c r="BJ108" t="str">
        <f t="shared" si="89"/>
        <v/>
      </c>
      <c r="BK108" t="str">
        <f t="shared" si="61"/>
        <v/>
      </c>
      <c r="BM108">
        <f>IF(OR(IFERROR(SEARCH("Warlock",$T108,1),0)&gt;0,IFERROR(SEARCH(WarlockPatron,$T108,1),0)&gt;0),1,0)*IF(WarlockMaxSpellLevel&gt;=$C108,1,0)*IF(IFERROR(MATCH(B108,Character_Creation!$J$361:$J$375,0),0)&gt;0,0,1)</f>
        <v>0</v>
      </c>
      <c r="BN108">
        <f>IF(BM108=0,0,1+COUNTIF(BN$3:BN107,"&gt;0"))</f>
        <v>0</v>
      </c>
      <c r="BO108" t="str">
        <f t="shared" si="90"/>
        <v/>
      </c>
      <c r="BP108" t="str">
        <f t="shared" si="62"/>
        <v/>
      </c>
      <c r="BR108">
        <f>IF(IFERROR(SEARCH("Eldritch Knight",$T108,1),0)&gt;0,1,0)*IF(EldritchKnightMaxSpellLevel&gt;=$C108,1,0)*IF(IFERROR(MATCH($B108,Character_Creation!$J$350:$J$356,0),0)&gt;0,0,1)*IF(Character_Creation!$M$338&gt;0,1,0)</f>
        <v>0</v>
      </c>
      <c r="BS108">
        <f>IF(BR108=0,0,1+COUNTIF(BS$3:BS107,"&gt;0"))</f>
        <v>0</v>
      </c>
      <c r="BT108" t="str">
        <f t="shared" si="91"/>
        <v/>
      </c>
      <c r="BU108" t="str">
        <f t="shared" si="63"/>
        <v/>
      </c>
      <c r="BW108">
        <f>IF(IFERROR(SEARCH("Arcane Trickster",$T108,1),0)&gt;0,1,0)*IF(ArcaneTricksterMaxSpellLevel&gt;=$C108,1,0)*IF(IFERROR(MATCH($B108,Character_Creation!$J$350:$J$356,0),0)&gt;0,0,1)*IF(Character_Creation!$T$338&gt;0,1,0)</f>
        <v>0</v>
      </c>
      <c r="BX108">
        <f>IF(BW108=0,0,1+COUNTIF(BX$3:BX107,"&gt;0"))</f>
        <v>0</v>
      </c>
      <c r="BY108" t="str">
        <f t="shared" si="92"/>
        <v/>
      </c>
      <c r="BZ108" t="str">
        <f t="shared" si="64"/>
        <v/>
      </c>
      <c r="CB108">
        <f>IF(IFERROR(SEARCH("Wizard",$T108,1),0)&gt;0,1,0)*IF(C108&lt;=ArcaneTricksterMaxSpellLevel,1,0)*IF(IFERROR(MATCH($B108,Character_Creation!$J$350:$J$356,0),0)&gt;0,0,1)*IF(Character_Creation!$T$350&gt;0,1,0)</f>
        <v>0</v>
      </c>
      <c r="CC108">
        <f>IF(CB108=0,0,1+COUNTIF(CC$3:CC107,"&gt;0"))</f>
        <v>0</v>
      </c>
      <c r="CD108" t="str">
        <f t="shared" si="93"/>
        <v/>
      </c>
      <c r="CE108" t="str">
        <f t="shared" si="65"/>
        <v/>
      </c>
      <c r="CG108">
        <f>IF(IFERROR(SEARCH("Wizard",$T108,1),0)&gt;0,1,0)*IF($C108&lt;=EldritchKnightMaxSpellLevel,1,0)*IF(IFERROR(MATCH($B108,Character_Creation!$J$350:$J$356,0),0)&gt;0,0,1)*IF(Character_Creation!$M$350&gt;0,1,0)</f>
        <v>0</v>
      </c>
      <c r="CH108">
        <f>IF(CG108=0,0,1+COUNTIF(CH$3:CH107,"&gt;0"))</f>
        <v>0</v>
      </c>
      <c r="CI108" t="str">
        <f t="shared" si="94"/>
        <v/>
      </c>
      <c r="CJ108" t="str">
        <f t="shared" si="66"/>
        <v/>
      </c>
      <c r="CL108">
        <f>IF(IFERROR(SEARCH("Bard",$T108,1),0)&gt;0,1,0)*IF(BardMaxSpellLevel&gt;=$C108,1,0)*IF(IFERROR(MATCH(B108,Character_Creation!$C$341:$F$362,0),0)&gt;0,0,1)*IF(IFERROR(MATCH($B108,Character_Creation!$C$341:$C$362,0),0)&gt;0,0,1)</f>
        <v>0</v>
      </c>
      <c r="CM108">
        <f>IF(CL108=0,0,1+COUNTIF(CM$3:CM107,"&gt;0"))</f>
        <v>0</v>
      </c>
      <c r="CN108" t="str">
        <f t="shared" si="95"/>
        <v/>
      </c>
      <c r="CO108" t="str">
        <f t="shared" si="67"/>
        <v/>
      </c>
      <c r="CQ108">
        <f>IF(IFERROR(SEARCH("Wizard",$T108,1),0)&gt;0,1,0)*IF(WizardMaxSpellLevel&gt;=$C108,1,0)*IF(IFERROR(MATCH(B108,Character_Creation!$X$341:$X$400,0),0)&gt;0,0,1)*IF(SelectedWizardSpellLevel=$C108,1,0)</f>
        <v>0</v>
      </c>
      <c r="CR108">
        <f>IF(CQ108=0,0,1+COUNTIF(CR$3:CR107,"&gt;0"))</f>
        <v>0</v>
      </c>
      <c r="CS108" t="str">
        <f t="shared" si="96"/>
        <v/>
      </c>
      <c r="CT108" t="str">
        <f t="shared" si="68"/>
        <v/>
      </c>
      <c r="CV108">
        <f>IF(IFERROR(MATCH($B108,Character_Creation!$C$341:$C$362,0),0)&gt;0,0,1)*IF(OR(C108="Cantrip",C108&lt;=BardMaxSpellLevel),1,0)*IF(IFERROR(MATCH($B108,Character_Creation!$C$367:$C$374,0),0)&gt;0,0,1)</f>
        <v>0</v>
      </c>
      <c r="CW108">
        <f>IF(CV108=0,0,1+COUNTIF(CW$3:CW107,"&gt;0"))</f>
        <v>0</v>
      </c>
      <c r="CX108" t="str">
        <f t="shared" si="97"/>
        <v/>
      </c>
      <c r="CY108" t="str">
        <f t="shared" si="69"/>
        <v/>
      </c>
      <c r="DA108">
        <f>IF(IF(OR(IFERROR(SEARCH("Cleric",$T108,1),0)&gt;0,IFERROR(SEARCH(DivineDomain&amp;",",$T108,1),0)&gt;0),1,0)*IF($C108=DA$2,1,0)=1,1+COUNTIF(DA$3:DA107,"&gt;0"),0)</f>
        <v>0</v>
      </c>
      <c r="DB108">
        <f>IF(IF(OR(IFERROR(SEARCH("Cleric",$T108,1),0)&gt;0,IFERROR(SEARCH(DivineDomain&amp;",",$T108,1),0)&gt;0),1,0)*IF($C108=DB$2,1,0)=1,1+COUNTIF(DB$3:DB107,"&gt;0"),0)</f>
        <v>0</v>
      </c>
      <c r="DC108">
        <f>IF(IF(OR(IFERROR(SEARCH("Cleric",$T108,1),0)&gt;0,IFERROR(SEARCH(DivineDomain&amp;",",$T108,1),0)&gt;0),1,0)*IF($C108=DC$2,1,0)=1,1+COUNTIF(DC$3:DC107,"&gt;0"),0)</f>
        <v>0</v>
      </c>
      <c r="DD108">
        <f>IF(IF(OR(IFERROR(SEARCH("Cleric",$T108,1),0)&gt;0,IFERROR(SEARCH(DivineDomain&amp;",",$T108,1),0)&gt;0),1,0)*IF($C108=DD$2,1,0)=1,1+COUNTIF(DD$3:DD107,"&gt;0"),0)</f>
        <v>0</v>
      </c>
      <c r="DE108">
        <f>IF(IF(OR(IFERROR(SEARCH("Cleric",$T108,1),0)&gt;0,IFERROR(SEARCH(DivineDomain&amp;",",$T108,1),0)&gt;0),1,0)*IF($C108=DE$2,1,0)=1,1+COUNTIF(DE$3:DE107,"&gt;0"),0)</f>
        <v>0</v>
      </c>
      <c r="DF108">
        <f>IF(IF(OR(IFERROR(SEARCH("Cleric",$T108,1),0)&gt;0,IFERROR(SEARCH(DivineDomain&amp;",",$T108,1),0)&gt;0),1,0)*IF($C108=DF$2,1,0)=1,1+COUNTIF(DF$3:DF107,"&gt;0"),0)</f>
        <v>0</v>
      </c>
      <c r="DG108">
        <f>IF(IF(OR(IFERROR(SEARCH("Cleric",$T108,1),0)&gt;0,IFERROR(SEARCH(DivineDomain&amp;",",$T108,1),0)&gt;0),1,0)*IF($C108=DG$2,1,0)=1,1+COUNTIF(DG$3:DG107,"&gt;0"),0)</f>
        <v>2</v>
      </c>
      <c r="DH108">
        <f>IF(IF(OR(IFERROR(SEARCH("Cleric",$T108,1),0)&gt;0,IFERROR(SEARCH(DivineDomain&amp;",",$T108,1),0)&gt;0),1,0)*IF($C108=DH$2,1,0)=1,1+COUNTIF(DH$3:DH107,"&gt;0"),0)</f>
        <v>0</v>
      </c>
      <c r="DI108">
        <f>IF(IF(OR(IFERROR(SEARCH("Cleric",$T108,1),0)&gt;0,IFERROR(SEARCH(DivineDomain&amp;",",$T108,1),0)&gt;0),1,0)*IF($C108=DI$2,1,0)=1,1+COUNTIF(DI$3:DI107,"&gt;0"),0)</f>
        <v>0</v>
      </c>
      <c r="DJ108">
        <f>IF(IF(OR(IFERROR(SEARCH("Druid",$T108,1),0)&gt;0,IFERROR(SEARCH(DruidLand1,$T108,1),0)&gt;0,IFERROR(SEARCH(DruidLand2,$T108,1),0)&gt;0,IFERROR(SEARCH(DruidLand3,$T108,1),0)&gt;0,IFERROR(SEARCH(DruidLand4,$T108,1),0)&gt;0),1,0)*IF($C108=1,1,0)*IF($C108=DJ$2,1,0)=0,0,1+COUNTIF(DJ$3:DJ107,"&gt;0"))</f>
        <v>0</v>
      </c>
      <c r="DK108">
        <f>IF(IF(OR(IFERROR(SEARCH("Druid",$T108,1),0)&gt;0,IFERROR(SEARCH(DruidLand1,$T108,1),0)&gt;0,IFERROR(SEARCH(DruidLand2,$T108,1),0)&gt;0,IFERROR(SEARCH(DruidLand3,$T108,1),0)&gt;0,IFERROR(SEARCH(DruidLand4,$T108,1),0)&gt;0),1,0)*IF($C108=1,1,0)*IF($C108=DK$2,1,0)=0,0,1+COUNTIF(DK$3:DK107,"&gt;0"))</f>
        <v>0</v>
      </c>
      <c r="DL108">
        <f>IF(IF(OR(IFERROR(SEARCH("Druid",$T108,1),0)&gt;0,IFERROR(SEARCH(DruidLand1,$T108,1),0)&gt;0,IFERROR(SEARCH(DruidLand2,$T108,1),0)&gt;0,IFERROR(SEARCH(DruidLand3,$T108,1),0)&gt;0,IFERROR(SEARCH(DruidLand4,$T108,1),0)&gt;0),1,0)*IF($C108=1,1,0)*IF($C108=DL$2,1,0)=0,0,1+COUNTIF(DL$3:DL107,"&gt;0"))</f>
        <v>0</v>
      </c>
      <c r="DM108">
        <f>IF(IF(OR(IFERROR(SEARCH("Druid",$T108,1),0)&gt;0,IFERROR(SEARCH(DruidLand1,$T108,1),0)&gt;0,IFERROR(SEARCH(DruidLand2,$T108,1),0)&gt;0,IFERROR(SEARCH(DruidLand3,$T108,1),0)&gt;0,IFERROR(SEARCH(DruidLand4,$T108,1),0)&gt;0),1,0)*IF($C108=1,1,0)*IF($C108=DM$2,1,0)=0,0,1+COUNTIF(DM$3:DM107,"&gt;0"))</f>
        <v>0</v>
      </c>
      <c r="DN108">
        <f>IF(IF(OR(IFERROR(SEARCH("Druid",$T108,1),0)&gt;0,IFERROR(SEARCH(DruidLand1,$T108,1),0)&gt;0,IFERROR(SEARCH(DruidLand2,$T108,1),0)&gt;0,IFERROR(SEARCH(DruidLand3,$T108,1),0)&gt;0,IFERROR(SEARCH(DruidLand4,$T108,1),0)&gt;0),1,0)*IF($C108=1,1,0)*IF($C108=DN$2,1,0)=0,0,1+COUNTIF(DN$3:DN107,"&gt;0"))</f>
        <v>0</v>
      </c>
      <c r="DO108">
        <f>IF(IF(OR(IFERROR(SEARCH("Druid",$T108,1),0)&gt;0,IFERROR(SEARCH(DruidLand1,$T108,1),0)&gt;0,IFERROR(SEARCH(DruidLand2,$T108,1),0)&gt;0,IFERROR(SEARCH(DruidLand3,$T108,1),0)&gt;0,IFERROR(SEARCH(DruidLand4,$T108,1),0)&gt;0),1,0)*IF($C108=1,1,0)*IF($C108=DO$2,1,0)=0,0,1+COUNTIF(DO$3:DO107,"&gt;0"))</f>
        <v>0</v>
      </c>
      <c r="DP108">
        <f>IF(IF(OR(IFERROR(SEARCH("Druid",$T108,1),0)&gt;0,IFERROR(SEARCH(DruidLand1,$T108,1),0)&gt;0,IFERROR(SEARCH(DruidLand2,$T108,1),0)&gt;0,IFERROR(SEARCH(DruidLand3,$T108,1),0)&gt;0,IFERROR(SEARCH(DruidLand4,$T108,1),0)&gt;0),1,0)*IF($C108=1,1,0)*IF($C108=DP$2,1,0)=0,0,1+COUNTIF(DP$3:DP107,"&gt;0"))</f>
        <v>0</v>
      </c>
      <c r="DQ108">
        <f>IF(IF(OR(IFERROR(SEARCH("Druid",$T108,1),0)&gt;0,IFERROR(SEARCH(DruidLand1,$T108,1),0)&gt;0,IFERROR(SEARCH(DruidLand2,$T108,1),0)&gt;0,IFERROR(SEARCH(DruidLand3,$T108,1),0)&gt;0,IFERROR(SEARCH(DruidLand4,$T108,1),0)&gt;0),1,0)*IF($C108=1,1,0)*IF($C108=DQ$2,1,0)=0,0,1+COUNTIF(DQ$3:DQ107,"&gt;0"))</f>
        <v>0</v>
      </c>
      <c r="DR108">
        <f>IF(IF(OR(IFERROR(SEARCH("Druid",$T108,1),0)&gt;0,IFERROR(SEARCH(DruidLand1,$T108,1),0)&gt;0,IFERROR(SEARCH(DruidLand2,$T108,1),0)&gt;0,IFERROR(SEARCH(DruidLand3,$T108,1),0)&gt;0,IFERROR(SEARCH(DruidLand4,$T108,1),0)&gt;0),1,0)*IF($C108=1,1,0)*IF($C108=DR$2,1,0)=0,0,1+COUNTIF(DR$3:DR107,"&gt;0"))</f>
        <v>0</v>
      </c>
      <c r="DS108">
        <f>IF(IF(OR(IFERROR(SEARCH("Paladin",$T108,1),0)&gt;0,IFERROR(SEARCH(PaladinOath,$T108,1),0)&gt;0),1,0)*IF($C108=DS$2,1,0)=1,1+COUNTIF(DS$3:DS107,"&gt;0"),0)</f>
        <v>0</v>
      </c>
      <c r="DT108">
        <f>IF(IF(OR(IFERROR(SEARCH("Paladin",$T108,1),0)&gt;0,IFERROR(SEARCH(PaladinOath,$T108,1),0)&gt;0),1,0)*IF($C108=DT$2,1,0)=1,1+COUNTIF(DT$3:DT107,"&gt;0"),0)</f>
        <v>0</v>
      </c>
      <c r="DU108">
        <f>IF(IF(OR(IFERROR(SEARCH("Paladin",$T108,1),0)&gt;0,IFERROR(SEARCH(PaladinOath,$T108,1),0)&gt;0),1,0)*IF($C108=DU$2,1,0)=1,1+COUNTIF(DU$3:DU107,"&gt;0"),0)</f>
        <v>0</v>
      </c>
      <c r="DV108">
        <f>IF(IF(OR(IFERROR(SEARCH("Paladin",$T108,1),0)&gt;0,IFERROR(SEARCH(PaladinOath,$T108,1),0)&gt;0),1,0)*IF($C108=DV$2,1,0)=1,1+COUNTIF(DV$3:DV107,"&gt;0"),0)</f>
        <v>0</v>
      </c>
      <c r="DW108">
        <f>IF(IF(OR(IFERROR(SEARCH("Paladin",$T108,1),0)&gt;0,IFERROR(SEARCH(PaladinOath,$T108,1),0)&gt;0),1,0)*IF($C108=DW$2,1,0)=1,1+COUNTIF(DW$3:DW107,"&gt;0"),0)</f>
        <v>0</v>
      </c>
      <c r="DY108">
        <f t="shared" si="56"/>
        <v>1</v>
      </c>
      <c r="DZ108">
        <f>IF(DY108=0,0,1+MAX(DZ$3:$DZ107))</f>
        <v>106</v>
      </c>
      <c r="EB108">
        <f t="shared" si="70"/>
        <v>0</v>
      </c>
      <c r="EC108">
        <f>IF(EB108=0,0,1+COUNTIF(EC$3:EC107,"&gt;0"))</f>
        <v>0</v>
      </c>
      <c r="ED108" t="str">
        <f t="shared" si="98"/>
        <v/>
      </c>
      <c r="EE108" t="str">
        <f t="shared" si="71"/>
        <v/>
      </c>
      <c r="EG108">
        <f t="shared" si="72"/>
        <v>0</v>
      </c>
      <c r="EH108">
        <f>IF(EG108=0,0,1+COUNTIF(EH$3:EH107,"&gt;0"))</f>
        <v>0</v>
      </c>
      <c r="EI108" t="str">
        <f t="shared" si="99"/>
        <v/>
      </c>
      <c r="EJ108" t="str">
        <f t="shared" si="73"/>
        <v/>
      </c>
      <c r="EL108">
        <f t="shared" si="74"/>
        <v>0</v>
      </c>
      <c r="EM108">
        <f>IF(EL108=0,0,1+COUNTIF(EM$3:EM107,"&gt;0"))</f>
        <v>0</v>
      </c>
      <c r="EN108" t="str">
        <f t="shared" si="100"/>
        <v/>
      </c>
      <c r="EO108" t="str">
        <f t="shared" si="75"/>
        <v/>
      </c>
      <c r="EQ108">
        <f t="shared" si="76"/>
        <v>0</v>
      </c>
      <c r="ER108">
        <f>IF(EQ108=0,0,1+COUNTIF(ER$3:ER107,"&gt;0"))</f>
        <v>0</v>
      </c>
      <c r="ES108" t="str">
        <f t="shared" si="101"/>
        <v/>
      </c>
      <c r="ET108" t="str">
        <f t="shared" si="77"/>
        <v/>
      </c>
      <c r="EV108">
        <f t="shared" si="78"/>
        <v>0</v>
      </c>
      <c r="EW108">
        <f>IF(EV108=0,0,1+COUNTIF(EW$3:EW107,"&gt;0"))</f>
        <v>0</v>
      </c>
      <c r="EX108" t="str">
        <f t="shared" si="102"/>
        <v/>
      </c>
      <c r="EY108" t="str">
        <f t="shared" si="79"/>
        <v/>
      </c>
      <c r="FA108">
        <f t="shared" si="80"/>
        <v>0</v>
      </c>
      <c r="FB108">
        <f>IF(FA108=0,0,1+COUNTIF(FB$3:FB107,"&gt;0"))</f>
        <v>0</v>
      </c>
      <c r="FC108" t="str">
        <f t="shared" si="103"/>
        <v/>
      </c>
      <c r="FD108" t="str">
        <f t="shared" si="81"/>
        <v/>
      </c>
      <c r="FF108">
        <f t="shared" si="82"/>
        <v>0</v>
      </c>
      <c r="FG108">
        <f>IF(FF108=0,0,1+COUNTIF(FG$3:FG107,"&gt;0"))</f>
        <v>0</v>
      </c>
      <c r="FH108" t="str">
        <f t="shared" si="104"/>
        <v/>
      </c>
      <c r="FI108" t="str">
        <f t="shared" si="83"/>
        <v/>
      </c>
      <c r="FK108">
        <f t="shared" si="84"/>
        <v>0</v>
      </c>
      <c r="FL108">
        <f>IF(FK108=0,0,1+COUNTIF(FL$3:FL107,"&gt;0"))</f>
        <v>0</v>
      </c>
      <c r="FM108" t="str">
        <f t="shared" si="105"/>
        <v/>
      </c>
      <c r="FN108" t="str">
        <f t="shared" si="85"/>
        <v/>
      </c>
      <c r="FP108">
        <f t="shared" si="86"/>
        <v>0</v>
      </c>
      <c r="FQ108">
        <f>IF(FP108=0,0,1+COUNTIF(FQ$3:FQ107,"&gt;0"))</f>
        <v>0</v>
      </c>
      <c r="FR108" t="str">
        <f t="shared" si="106"/>
        <v/>
      </c>
      <c r="FS108" t="str">
        <f t="shared" si="87"/>
        <v/>
      </c>
    </row>
    <row r="109" spans="1:175" x14ac:dyDescent="0.25">
      <c r="A109" s="347">
        <f t="shared" si="107"/>
        <v>107</v>
      </c>
      <c r="B109" s="348" t="s">
        <v>2477</v>
      </c>
      <c r="C109" s="348">
        <v>4</v>
      </c>
      <c r="D109" s="347">
        <v>4</v>
      </c>
      <c r="E109" s="627" t="s">
        <v>6952</v>
      </c>
      <c r="F109" s="346"/>
      <c r="G109" s="347" t="str">
        <f>""</f>
        <v/>
      </c>
      <c r="H109" s="347" t="s">
        <v>5912</v>
      </c>
      <c r="I109" s="347" t="s">
        <v>424</v>
      </c>
      <c r="J109" s="347" t="str">
        <f t="shared" si="57"/>
        <v/>
      </c>
      <c r="K109" s="347" t="s">
        <v>5291</v>
      </c>
      <c r="L109" s="611" t="str">
        <f t="shared" si="58"/>
        <v>V, S</v>
      </c>
      <c r="M109" s="347" t="s">
        <v>2373</v>
      </c>
      <c r="N109" s="347" t="s">
        <v>2387</v>
      </c>
      <c r="O109" s="347" t="s">
        <v>3034</v>
      </c>
      <c r="P109" s="346" t="str">
        <f>""</f>
        <v/>
      </c>
      <c r="Q109" s="347" t="s">
        <v>5272</v>
      </c>
      <c r="S109" s="346" t="s">
        <v>5668</v>
      </c>
      <c r="T109" s="346" t="str">
        <f t="shared" si="59"/>
        <v xml:space="preserve">Sorcerer, Druid, Archfey, Old One, Nature, </v>
      </c>
      <c r="X109" s="347" t="str">
        <f>$B109</f>
        <v>Dominate Beast</v>
      </c>
      <c r="AA109" s="347" t="str">
        <f>$B109</f>
        <v>Dominate Beast</v>
      </c>
      <c r="AE109" t="str">
        <f>IF(IFERROR(MATCH($B109,temp!A$4:A$13,0),0)&gt;0,T08_Spells!AE$2,"")</f>
        <v/>
      </c>
      <c r="AF109" t="str">
        <f>IF(IFERROR(MATCH($B109,temp!B$4:B$13,0),0)&gt;0,T08_Spells!AF$2,"")</f>
        <v/>
      </c>
      <c r="AG109" t="str">
        <f>IF(IFERROR(MATCH($B109,temp!C$4:C$13,0),0)&gt;0,T08_Spells!AG$2,"")</f>
        <v/>
      </c>
      <c r="AH109" t="str">
        <f>IF(IFERROR(MATCH($B109,temp!D$4:D$13,0),0)&gt;0,T08_Spells!AH$2,"")</f>
        <v/>
      </c>
      <c r="AI109" t="str">
        <f>IF(IFERROR(MATCH($B109,temp!E$4:E$13,0),0)&gt;0,T08_Spells!AI$2,"")</f>
        <v>Archfey</v>
      </c>
      <c r="AJ109" t="str">
        <f>IF(IFERROR(MATCH($B109,temp!F$4:F$13,0),0)&gt;0,T08_Spells!AJ$2,"")</f>
        <v/>
      </c>
      <c r="AK109" t="str">
        <f>IF(IFERROR(MATCH($B109,temp!G$4:G$13,0),0)&gt;0,T08_Spells!AK$2,"")</f>
        <v>Old One</v>
      </c>
      <c r="AL109" t="str">
        <f>IF(IFERROR(MATCH($B109,temp!H$4:H$13,0),0)&gt;0,T08_Spells!AL$2,"")</f>
        <v/>
      </c>
      <c r="AM109" t="str">
        <f>IF(IFERROR(MATCH($B109,temp!I$4:I$13,0),0)&gt;0,T08_Spells!AM$2,"")</f>
        <v/>
      </c>
      <c r="AN109" t="str">
        <f>IF(IFERROR(MATCH($B109,temp!J$4:J$13,0),0)&gt;0,T08_Spells!AN$2,"")</f>
        <v/>
      </c>
      <c r="AO109" t="str">
        <f>IF(IFERROR(MATCH($B109,temp!K$4:K$13,0),0)&gt;0,T08_Spells!AO$2,"")</f>
        <v/>
      </c>
      <c r="AP109" t="str">
        <f>IF(IFERROR(MATCH($B109,temp!L$4:L$13,0),0)&gt;0,T08_Spells!AP$2,"")</f>
        <v/>
      </c>
      <c r="AQ109" t="str">
        <f>IF(IFERROR(MATCH($B109,temp!M$4:M$13,0),0)&gt;0,T08_Spells!AQ$2,"")</f>
        <v/>
      </c>
      <c r="AR109" t="str">
        <f>IF(IFERROR(MATCH($B109,temp!N$4:N$13,0),0)&gt;0,T08_Spells!AR$2,"")</f>
        <v/>
      </c>
      <c r="AS109" t="str">
        <f>IF(IFERROR(MATCH($B109,temp!O$4:O$13,0),0)&gt;0,T08_Spells!AS$2,"")</f>
        <v/>
      </c>
      <c r="AT109" t="str">
        <f>IF(IFERROR(MATCH($B109,temp!P$4:P$13,0),0)&gt;0,T08_Spells!AT$2,"")</f>
        <v/>
      </c>
      <c r="AU109" t="str">
        <f>IF(IFERROR(MATCH($B109,temp!Q$4:Q$13,0),0)&gt;0,T08_Spells!AU$2,"")</f>
        <v/>
      </c>
      <c r="AV109" t="str">
        <f>IF(IFERROR(MATCH($B109,temp!R$4:R$13,0),0)&gt;0,T08_Spells!AV$2,"")</f>
        <v/>
      </c>
      <c r="AW109" t="str">
        <f>IF(IFERROR(MATCH($B109,temp!S$4:S$13,0),0)&gt;0,T08_Spells!AW$2,"")</f>
        <v>Nature</v>
      </c>
      <c r="AX109" t="str">
        <f>IF(IFERROR(MATCH($B109,temp!T$4:T$13,0),0)&gt;0,T08_Spells!AX$2,"")</f>
        <v/>
      </c>
      <c r="AY109" t="str">
        <f>IF(IFERROR(MATCH($B109,temp!U$4:U$13,0),0)&gt;0,T08_Spells!AY$2,"")</f>
        <v/>
      </c>
      <c r="AZ109" t="str">
        <f>IF(IFERROR(MATCH($B109,temp!V$4:V$13,0),0)&gt;0,T08_Spells!AZ$2,"")</f>
        <v/>
      </c>
      <c r="BA109" t="str">
        <f>IF(IFERROR(MATCH($B109,temp!W$4:W$13,0),0)&gt;0,T08_Spells!BA$2,"")</f>
        <v/>
      </c>
      <c r="BC109">
        <f>IF(IFERROR(SEARCH("Ranger",$T109,1),0)&gt;0,1,0)*IF(RangerMaxSpellLevel&gt;=$C109,1,0)*IF(IFERROR(MATCH(B109,Character_Creation!$X$79:$X$382,0),0)&gt;0,0,1)</f>
        <v>0</v>
      </c>
      <c r="BD109">
        <f>IF(BC109=0,0,1+COUNTIF(BD$3:BD108,"&gt;0"))</f>
        <v>0</v>
      </c>
      <c r="BE109" t="str">
        <f t="shared" si="88"/>
        <v/>
      </c>
      <c r="BF109" t="str">
        <f t="shared" si="60"/>
        <v/>
      </c>
      <c r="BH109">
        <f>IF(IFERROR(SEARCH("Sorcerer",$T109,1),0)&gt;0,1,0)*IF(SorcererMaxSpellLevel&gt;=$C109,1,0)*IF(IFERROR(MATCH(B109,Character_Creation!$J$380:$J$394,0),0)&gt;0,0,1)</f>
        <v>0</v>
      </c>
      <c r="BI109">
        <f>IF(BH109=0,0,1+COUNTIF(BI$3:BI108,"&gt;0"))</f>
        <v>0</v>
      </c>
      <c r="BJ109" t="str">
        <f t="shared" si="89"/>
        <v/>
      </c>
      <c r="BK109" t="str">
        <f t="shared" si="61"/>
        <v/>
      </c>
      <c r="BM109">
        <f>IF(OR(IFERROR(SEARCH("Warlock",$T109,1),0)&gt;0,IFERROR(SEARCH(WarlockPatron,$T109,1),0)&gt;0),1,0)*IF(WarlockMaxSpellLevel&gt;=$C109,1,0)*IF(IFERROR(MATCH(B109,Character_Creation!$J$361:$J$375,0),0)&gt;0,0,1)</f>
        <v>0</v>
      </c>
      <c r="BN109">
        <f>IF(BM109=0,0,1+COUNTIF(BN$3:BN108,"&gt;0"))</f>
        <v>0</v>
      </c>
      <c r="BO109" t="str">
        <f t="shared" si="90"/>
        <v/>
      </c>
      <c r="BP109" t="str">
        <f t="shared" si="62"/>
        <v/>
      </c>
      <c r="BR109">
        <f>IF(IFERROR(SEARCH("Eldritch Knight",$T109,1),0)&gt;0,1,0)*IF(EldritchKnightMaxSpellLevel&gt;=$C109,1,0)*IF(IFERROR(MATCH($B109,Character_Creation!$J$350:$J$356,0),0)&gt;0,0,1)*IF(Character_Creation!$M$338&gt;0,1,0)</f>
        <v>0</v>
      </c>
      <c r="BS109">
        <f>IF(BR109=0,0,1+COUNTIF(BS$3:BS108,"&gt;0"))</f>
        <v>0</v>
      </c>
      <c r="BT109" t="str">
        <f t="shared" si="91"/>
        <v/>
      </c>
      <c r="BU109" t="str">
        <f t="shared" si="63"/>
        <v/>
      </c>
      <c r="BW109">
        <f>IF(IFERROR(SEARCH("Arcane Trickster",$T109,1),0)&gt;0,1,0)*IF(ArcaneTricksterMaxSpellLevel&gt;=$C109,1,0)*IF(IFERROR(MATCH($B109,Character_Creation!$J$350:$J$356,0),0)&gt;0,0,1)*IF(Character_Creation!$T$338&gt;0,1,0)</f>
        <v>0</v>
      </c>
      <c r="BX109">
        <f>IF(BW109=0,0,1+COUNTIF(BX$3:BX108,"&gt;0"))</f>
        <v>0</v>
      </c>
      <c r="BY109" t="str">
        <f t="shared" si="92"/>
        <v/>
      </c>
      <c r="BZ109" t="str">
        <f t="shared" si="64"/>
        <v/>
      </c>
      <c r="CB109">
        <f>IF(IFERROR(SEARCH("Wizard",$T109,1),0)&gt;0,1,0)*IF(C109&lt;=ArcaneTricksterMaxSpellLevel,1,0)*IF(IFERROR(MATCH($B109,Character_Creation!$J$350:$J$356,0),0)&gt;0,0,1)*IF(Character_Creation!$T$350&gt;0,1,0)</f>
        <v>0</v>
      </c>
      <c r="CC109">
        <f>IF(CB109=0,0,1+COUNTIF(CC$3:CC108,"&gt;0"))</f>
        <v>0</v>
      </c>
      <c r="CD109" t="str">
        <f t="shared" si="93"/>
        <v/>
      </c>
      <c r="CE109" t="str">
        <f t="shared" si="65"/>
        <v/>
      </c>
      <c r="CG109">
        <f>IF(IFERROR(SEARCH("Wizard",$T109,1),0)&gt;0,1,0)*IF($C109&lt;=EldritchKnightMaxSpellLevel,1,0)*IF(IFERROR(MATCH($B109,Character_Creation!$J$350:$J$356,0),0)&gt;0,0,1)*IF(Character_Creation!$M$350&gt;0,1,0)</f>
        <v>0</v>
      </c>
      <c r="CH109">
        <f>IF(CG109=0,0,1+COUNTIF(CH$3:CH108,"&gt;0"))</f>
        <v>0</v>
      </c>
      <c r="CI109" t="str">
        <f t="shared" si="94"/>
        <v/>
      </c>
      <c r="CJ109" t="str">
        <f t="shared" si="66"/>
        <v/>
      </c>
      <c r="CL109">
        <f>IF(IFERROR(SEARCH("Bard",$T109,1),0)&gt;0,1,0)*IF(BardMaxSpellLevel&gt;=$C109,1,0)*IF(IFERROR(MATCH(B109,Character_Creation!$C$341:$F$362,0),0)&gt;0,0,1)*IF(IFERROR(MATCH($B109,Character_Creation!$C$341:$C$362,0),0)&gt;0,0,1)</f>
        <v>0</v>
      </c>
      <c r="CM109">
        <f>IF(CL109=0,0,1+COUNTIF(CM$3:CM108,"&gt;0"))</f>
        <v>0</v>
      </c>
      <c r="CN109" t="str">
        <f t="shared" si="95"/>
        <v/>
      </c>
      <c r="CO109" t="str">
        <f t="shared" si="67"/>
        <v/>
      </c>
      <c r="CQ109">
        <f>IF(IFERROR(SEARCH("Wizard",$T109,1),0)&gt;0,1,0)*IF(WizardMaxSpellLevel&gt;=$C109,1,0)*IF(IFERROR(MATCH(B109,Character_Creation!$X$341:$X$400,0),0)&gt;0,0,1)*IF(SelectedWizardSpellLevel=$C109,1,0)</f>
        <v>0</v>
      </c>
      <c r="CR109">
        <f>IF(CQ109=0,0,1+COUNTIF(CR$3:CR108,"&gt;0"))</f>
        <v>0</v>
      </c>
      <c r="CS109" t="str">
        <f t="shared" si="96"/>
        <v/>
      </c>
      <c r="CT109" t="str">
        <f t="shared" si="68"/>
        <v/>
      </c>
      <c r="CV109">
        <f>IF(IFERROR(MATCH($B109,Character_Creation!$C$341:$C$362,0),0)&gt;0,0,1)*IF(OR(C109="Cantrip",C109&lt;=BardMaxSpellLevel),1,0)*IF(IFERROR(MATCH($B109,Character_Creation!$C$367:$C$374,0),0)&gt;0,0,1)</f>
        <v>0</v>
      </c>
      <c r="CW109">
        <f>IF(CV109=0,0,1+COUNTIF(CW$3:CW108,"&gt;0"))</f>
        <v>0</v>
      </c>
      <c r="CX109" t="str">
        <f t="shared" si="97"/>
        <v/>
      </c>
      <c r="CY109" t="str">
        <f t="shared" si="69"/>
        <v/>
      </c>
      <c r="DA109">
        <f>IF(IF(OR(IFERROR(SEARCH("Cleric",$T109,1),0)&gt;0,IFERROR(SEARCH(DivineDomain&amp;",",$T109,1),0)&gt;0),1,0)*IF($C109=DA$2,1,0)=1,1+COUNTIF(DA$3:DA108,"&gt;0"),0)</f>
        <v>0</v>
      </c>
      <c r="DB109">
        <f>IF(IF(OR(IFERROR(SEARCH("Cleric",$T109,1),0)&gt;0,IFERROR(SEARCH(DivineDomain&amp;",",$T109,1),0)&gt;0),1,0)*IF($C109=DB$2,1,0)=1,1+COUNTIF(DB$3:DB108,"&gt;0"),0)</f>
        <v>0</v>
      </c>
      <c r="DC109">
        <f>IF(IF(OR(IFERROR(SEARCH("Cleric",$T109,1),0)&gt;0,IFERROR(SEARCH(DivineDomain&amp;",",$T109,1),0)&gt;0),1,0)*IF($C109=DC$2,1,0)=1,1+COUNTIF(DC$3:DC108,"&gt;0"),0)</f>
        <v>0</v>
      </c>
      <c r="DD109">
        <f>IF(IF(OR(IFERROR(SEARCH("Cleric",$T109,1),0)&gt;0,IFERROR(SEARCH(DivineDomain&amp;",",$T109,1),0)&gt;0),1,0)*IF($C109=DD$2,1,0)=1,1+COUNTIF(DD$3:DD108,"&gt;0"),0)</f>
        <v>0</v>
      </c>
      <c r="DE109">
        <f>IF(IF(OR(IFERROR(SEARCH("Cleric",$T109,1),0)&gt;0,IFERROR(SEARCH(DivineDomain&amp;",",$T109,1),0)&gt;0),1,0)*IF($C109=DE$2,1,0)=1,1+COUNTIF(DE$3:DE108,"&gt;0"),0)</f>
        <v>0</v>
      </c>
      <c r="DF109">
        <f>IF(IF(OR(IFERROR(SEARCH("Cleric",$T109,1),0)&gt;0,IFERROR(SEARCH(DivineDomain&amp;",",$T109,1),0)&gt;0),1,0)*IF($C109=DF$2,1,0)=1,1+COUNTIF(DF$3:DF108,"&gt;0"),0)</f>
        <v>0</v>
      </c>
      <c r="DG109">
        <f>IF(IF(OR(IFERROR(SEARCH("Cleric",$T109,1),0)&gt;0,IFERROR(SEARCH(DivineDomain&amp;",",$T109,1),0)&gt;0),1,0)*IF($C109=DG$2,1,0)=1,1+COUNTIF(DG$3:DG108,"&gt;0"),0)</f>
        <v>0</v>
      </c>
      <c r="DH109">
        <f>IF(IF(OR(IFERROR(SEARCH("Cleric",$T109,1),0)&gt;0,IFERROR(SEARCH(DivineDomain&amp;",",$T109,1),0)&gt;0),1,0)*IF($C109=DH$2,1,0)=1,1+COUNTIF(DH$3:DH108,"&gt;0"),0)</f>
        <v>0</v>
      </c>
      <c r="DI109">
        <f>IF(IF(OR(IFERROR(SEARCH("Cleric",$T109,1),0)&gt;0,IFERROR(SEARCH(DivineDomain&amp;",",$T109,1),0)&gt;0),1,0)*IF($C109=DI$2,1,0)=1,1+COUNTIF(DI$3:DI108,"&gt;0"),0)</f>
        <v>0</v>
      </c>
      <c r="DJ109">
        <f>IF(IF(OR(IFERROR(SEARCH("Druid",$T109,1),0)&gt;0,IFERROR(SEARCH(DruidLand1,$T109,1),0)&gt;0,IFERROR(SEARCH(DruidLand2,$T109,1),0)&gt;0,IFERROR(SEARCH(DruidLand3,$T109,1),0)&gt;0,IFERROR(SEARCH(DruidLand4,$T109,1),0)&gt;0),1,0)*IF($C109=1,1,0)*IF($C109=DJ$2,1,0)=0,0,1+COUNTIF(DJ$3:DJ108,"&gt;0"))</f>
        <v>0</v>
      </c>
      <c r="DK109">
        <f>IF(IF(OR(IFERROR(SEARCH("Druid",$T109,1),0)&gt;0,IFERROR(SEARCH(DruidLand1,$T109,1),0)&gt;0,IFERROR(SEARCH(DruidLand2,$T109,1),0)&gt;0,IFERROR(SEARCH(DruidLand3,$T109,1),0)&gt;0,IFERROR(SEARCH(DruidLand4,$T109,1),0)&gt;0),1,0)*IF($C109=DK$2,1,0)=0,0,1+COUNTIF(DK$3:DK108,"&gt;0"))</f>
        <v>0</v>
      </c>
      <c r="DL109">
        <f>IF(IF(OR(IFERROR(SEARCH("Druid",$T109,1),0)&gt;0,IFERROR(SEARCH(DruidLand1,$T109,1),0)&gt;0,IFERROR(SEARCH(DruidLand2,$T109,1),0)&gt;0,IFERROR(SEARCH(DruidLand3,$T109,1),0)&gt;0,IFERROR(SEARCH(DruidLand4,$T109,1),0)&gt;0),1,0)*IF($C109=DL$2,1,0)=0,0,1+COUNTIF(DL$3:DL108,"&gt;0"))</f>
        <v>0</v>
      </c>
      <c r="DM109">
        <f>IF(IF(OR(IFERROR(SEARCH("Druid",$T109,1),0)&gt;0,IFERROR(SEARCH(DruidLand1,$T109,1),0)&gt;0,IFERROR(SEARCH(DruidLand2,$T109,1),0)&gt;0,IFERROR(SEARCH(DruidLand3,$T109,1),0)&gt;0,IFERROR(SEARCH(DruidLand4,$T109,1),0)&gt;0),1,0)*IF($C109=DM$2,1,0)=0,0,1+COUNTIF(DM$3:DM108,"&gt;0"))</f>
        <v>6</v>
      </c>
      <c r="DN109">
        <f>IF(IF(OR(IFERROR(SEARCH("Druid",$T109,1),0)&gt;0,IFERROR(SEARCH(DruidLand1,$T109,1),0)&gt;0,IFERROR(SEARCH(DruidLand2,$T109,1),0)&gt;0,IFERROR(SEARCH(DruidLand3,$T109,1),0)&gt;0,IFERROR(SEARCH(DruidLand4,$T109,1),0)&gt;0),1,0)*IF($C109=DN$2,1,0)=0,0,1+COUNTIF(DN$3:DN108,"&gt;0"))</f>
        <v>0</v>
      </c>
      <c r="DO109">
        <f>IF(IF(OR(IFERROR(SEARCH("Druid",$T109,1),0)&gt;0,IFERROR(SEARCH(DruidLand1,$T109,1),0)&gt;0,IFERROR(SEARCH(DruidLand2,$T109,1),0)&gt;0,IFERROR(SEARCH(DruidLand3,$T109,1),0)&gt;0,IFERROR(SEARCH(DruidLand4,$T109,1),0)&gt;0),1,0)*IF($C109=DO$2,1,0)=0,0,1+COUNTIF(DO$3:DO108,"&gt;0"))</f>
        <v>0</v>
      </c>
      <c r="DP109">
        <f>IF(IF(OR(IFERROR(SEARCH("Druid",$T109,1),0)&gt;0,IFERROR(SEARCH(DruidLand1,$T109,1),0)&gt;0,IFERROR(SEARCH(DruidLand2,$T109,1),0)&gt;0,IFERROR(SEARCH(DruidLand3,$T109,1),0)&gt;0,IFERROR(SEARCH(DruidLand4,$T109,1),0)&gt;0),1,0)*IF($C109=DP$2,1,0)=0,0,1+COUNTIF(DP$3:DP108,"&gt;0"))</f>
        <v>0</v>
      </c>
      <c r="DQ109">
        <f>IF(IF(OR(IFERROR(SEARCH("Druid",$T109,1),0)&gt;0,IFERROR(SEARCH(DruidLand1,$T109,1),0)&gt;0,IFERROR(SEARCH(DruidLand2,$T109,1),0)&gt;0,IFERROR(SEARCH(DruidLand3,$T109,1),0)&gt;0,IFERROR(SEARCH(DruidLand4,$T109,1),0)&gt;0),1,0)*IF($C109=DQ$2,1,0)=0,0,1+COUNTIF(DQ$3:DQ108,"&gt;0"))</f>
        <v>0</v>
      </c>
      <c r="DR109">
        <f>IF(IF(OR(IFERROR(SEARCH("Druid",$T109,1),0)&gt;0,IFERROR(SEARCH(DruidLand1,$T109,1),0)&gt;0,IFERROR(SEARCH(DruidLand2,$T109,1),0)&gt;0,IFERROR(SEARCH(DruidLand3,$T109,1),0)&gt;0,IFERROR(SEARCH(DruidLand4,$T109,1),0)&gt;0),1,0)*IF($C109=DR$2,1,0)=0,0,1+COUNTIF(DR$3:DR108,"&gt;0"))</f>
        <v>0</v>
      </c>
      <c r="DS109">
        <f>IF(IF(OR(IFERROR(SEARCH("Paladin",$T109,1),0)&gt;0,IFERROR(SEARCH(PaladinOath,$T109,1),0)&gt;0),1,0)*IF($C109=DS$2,1,0)=1,1+COUNTIF(DS$3:DS108,"&gt;0"),0)</f>
        <v>0</v>
      </c>
      <c r="DT109">
        <f>IF(IF(OR(IFERROR(SEARCH("Paladin",$T109,1),0)&gt;0,IFERROR(SEARCH(PaladinOath,$T109,1),0)&gt;0),1,0)*IF($C109=DT$2,1,0)=1,1+COUNTIF(DT$3:DT108,"&gt;0"),0)</f>
        <v>0</v>
      </c>
      <c r="DU109">
        <f>IF(IF(OR(IFERROR(SEARCH("Paladin",$T109,1),0)&gt;0,IFERROR(SEARCH(PaladinOath,$T109,1),0)&gt;0),1,0)*IF($C109=DU$2,1,0)=1,1+COUNTIF(DU$3:DU108,"&gt;0"),0)</f>
        <v>0</v>
      </c>
      <c r="DV109">
        <f>IF(IF(OR(IFERROR(SEARCH("Paladin",$T109,1),0)&gt;0,IFERROR(SEARCH(PaladinOath,$T109,1),0)&gt;0),1,0)*IF($C109=DV$2,1,0)=1,1+COUNTIF(DV$3:DV108,"&gt;0"),0)</f>
        <v>0</v>
      </c>
      <c r="DW109">
        <f>IF(IF(OR(IFERROR(SEARCH("Paladin",$T109,1),0)&gt;0,IFERROR(SEARCH(PaladinOath,$T109,1),0)&gt;0),1,0)*IF($C109=DW$2,1,0)=1,1+COUNTIF(DW$3:DW108,"&gt;0"),0)</f>
        <v>0</v>
      </c>
      <c r="DY109">
        <f t="shared" si="56"/>
        <v>1</v>
      </c>
      <c r="DZ109">
        <f>IF(DY109=0,0,1+MAX(DZ$3:$DZ108))</f>
        <v>107</v>
      </c>
      <c r="EB109">
        <f t="shared" si="70"/>
        <v>0</v>
      </c>
      <c r="EC109">
        <f>IF(EB109=0,0,1+COUNTIF(EC$3:EC108,"&gt;0"))</f>
        <v>0</v>
      </c>
      <c r="ED109" t="str">
        <f t="shared" si="98"/>
        <v/>
      </c>
      <c r="EE109" t="str">
        <f t="shared" si="71"/>
        <v/>
      </c>
      <c r="EG109">
        <f t="shared" si="72"/>
        <v>0</v>
      </c>
      <c r="EH109">
        <f>IF(EG109=0,0,1+COUNTIF(EH$3:EH108,"&gt;0"))</f>
        <v>0</v>
      </c>
      <c r="EI109" t="str">
        <f t="shared" si="99"/>
        <v/>
      </c>
      <c r="EJ109" t="str">
        <f t="shared" si="73"/>
        <v/>
      </c>
      <c r="EL109">
        <f t="shared" si="74"/>
        <v>0</v>
      </c>
      <c r="EM109">
        <f>IF(EL109=0,0,1+COUNTIF(EM$3:EM108,"&gt;0"))</f>
        <v>0</v>
      </c>
      <c r="EN109" t="str">
        <f t="shared" si="100"/>
        <v/>
      </c>
      <c r="EO109" t="str">
        <f t="shared" si="75"/>
        <v/>
      </c>
      <c r="EQ109">
        <f t="shared" si="76"/>
        <v>0</v>
      </c>
      <c r="ER109">
        <f>IF(EQ109=0,0,1+COUNTIF(ER$3:ER108,"&gt;0"))</f>
        <v>0</v>
      </c>
      <c r="ES109" t="str">
        <f t="shared" si="101"/>
        <v/>
      </c>
      <c r="ET109" t="str">
        <f t="shared" si="77"/>
        <v/>
      </c>
      <c r="EV109">
        <f t="shared" si="78"/>
        <v>0</v>
      </c>
      <c r="EW109">
        <f>IF(EV109=0,0,1+COUNTIF(EW$3:EW108,"&gt;0"))</f>
        <v>0</v>
      </c>
      <c r="EX109" t="str">
        <f t="shared" si="102"/>
        <v/>
      </c>
      <c r="EY109" t="str">
        <f t="shared" si="79"/>
        <v/>
      </c>
      <c r="FA109">
        <f t="shared" si="80"/>
        <v>0</v>
      </c>
      <c r="FB109">
        <f>IF(FA109=0,0,1+COUNTIF(FB$3:FB108,"&gt;0"))</f>
        <v>0</v>
      </c>
      <c r="FC109" t="str">
        <f t="shared" si="103"/>
        <v/>
      </c>
      <c r="FD109" t="str">
        <f t="shared" si="81"/>
        <v/>
      </c>
      <c r="FF109">
        <f t="shared" si="82"/>
        <v>0</v>
      </c>
      <c r="FG109">
        <f>IF(FF109=0,0,1+COUNTIF(FG$3:FG108,"&gt;0"))</f>
        <v>0</v>
      </c>
      <c r="FH109" t="str">
        <f t="shared" si="104"/>
        <v/>
      </c>
      <c r="FI109" t="str">
        <f t="shared" si="83"/>
        <v/>
      </c>
      <c r="FK109">
        <f t="shared" si="84"/>
        <v>0</v>
      </c>
      <c r="FL109">
        <f>IF(FK109=0,0,1+COUNTIF(FL$3:FL108,"&gt;0"))</f>
        <v>0</v>
      </c>
      <c r="FM109" t="str">
        <f t="shared" si="105"/>
        <v/>
      </c>
      <c r="FN109" t="str">
        <f t="shared" si="85"/>
        <v/>
      </c>
      <c r="FP109">
        <f t="shared" si="86"/>
        <v>0</v>
      </c>
      <c r="FQ109">
        <f>IF(FP109=0,0,1+COUNTIF(FQ$3:FQ108,"&gt;0"))</f>
        <v>0</v>
      </c>
      <c r="FR109" t="str">
        <f t="shared" si="106"/>
        <v/>
      </c>
      <c r="FS109" t="str">
        <f t="shared" si="87"/>
        <v/>
      </c>
    </row>
    <row r="110" spans="1:175" x14ac:dyDescent="0.25">
      <c r="A110" s="347">
        <f t="shared" si="107"/>
        <v>108</v>
      </c>
      <c r="B110" s="348" t="s">
        <v>2478</v>
      </c>
      <c r="C110" s="348">
        <v>8</v>
      </c>
      <c r="D110" s="347">
        <v>8</v>
      </c>
      <c r="E110" s="627" t="s">
        <v>6952</v>
      </c>
      <c r="F110" s="346"/>
      <c r="G110" s="347" t="str">
        <f>""</f>
        <v/>
      </c>
      <c r="H110" s="347" t="s">
        <v>5912</v>
      </c>
      <c r="I110" s="347" t="s">
        <v>424</v>
      </c>
      <c r="J110" s="347" t="str">
        <f t="shared" si="57"/>
        <v/>
      </c>
      <c r="K110" s="347" t="s">
        <v>5284</v>
      </c>
      <c r="L110" s="611" t="str">
        <f t="shared" si="58"/>
        <v>V, S</v>
      </c>
      <c r="M110" s="347" t="s">
        <v>2373</v>
      </c>
      <c r="N110" s="347" t="s">
        <v>2387</v>
      </c>
      <c r="O110" s="347" t="s">
        <v>3034</v>
      </c>
      <c r="P110" s="346" t="str">
        <f>""</f>
        <v/>
      </c>
      <c r="Q110" s="347" t="s">
        <v>5272</v>
      </c>
      <c r="S110" s="346" t="s">
        <v>5669</v>
      </c>
      <c r="T110" s="346" t="str">
        <f t="shared" si="59"/>
        <v xml:space="preserve">Bard, Sorcerer, Warlock, Arcane Trickster, Wizard, </v>
      </c>
      <c r="U110" s="347" t="str">
        <f>$B110</f>
        <v>Dominate Monster</v>
      </c>
      <c r="X110" s="347" t="str">
        <f>$B110</f>
        <v>Dominate Monster</v>
      </c>
      <c r="Y110" s="347" t="str">
        <f>$B110</f>
        <v>Dominate Monster</v>
      </c>
      <c r="AC110" s="539" t="str">
        <f>B110</f>
        <v>Dominate Monster</v>
      </c>
      <c r="AD110" s="347" t="str">
        <f>$B110</f>
        <v>Dominate Monster</v>
      </c>
      <c r="AE110" t="str">
        <f>IF(IFERROR(MATCH($B110,temp!A$4:A$13,0),0)&gt;0,T08_Spells!AE$2,"")</f>
        <v/>
      </c>
      <c r="AF110" t="str">
        <f>IF(IFERROR(MATCH($B110,temp!B$4:B$13,0),0)&gt;0,T08_Spells!AF$2,"")</f>
        <v/>
      </c>
      <c r="AG110" t="str">
        <f>IF(IFERROR(MATCH($B110,temp!C$4:C$13,0),0)&gt;0,T08_Spells!AG$2,"")</f>
        <v/>
      </c>
      <c r="AH110" t="str">
        <f>IF(IFERROR(MATCH($B110,temp!D$4:D$13,0),0)&gt;0,T08_Spells!AH$2,"")</f>
        <v/>
      </c>
      <c r="AI110" t="str">
        <f>IF(IFERROR(MATCH($B110,temp!E$4:E$13,0),0)&gt;0,T08_Spells!AI$2,"")</f>
        <v/>
      </c>
      <c r="AJ110" t="str">
        <f>IF(IFERROR(MATCH($B110,temp!F$4:F$13,0),0)&gt;0,T08_Spells!AJ$2,"")</f>
        <v/>
      </c>
      <c r="AK110" t="str">
        <f>IF(IFERROR(MATCH($B110,temp!G$4:G$13,0),0)&gt;0,T08_Spells!AK$2,"")</f>
        <v/>
      </c>
      <c r="AL110" t="str">
        <f>IF(IFERROR(MATCH($B110,temp!H$4:H$13,0),0)&gt;0,T08_Spells!AL$2,"")</f>
        <v/>
      </c>
      <c r="AM110" t="str">
        <f>IF(IFERROR(MATCH($B110,temp!I$4:I$13,0),0)&gt;0,T08_Spells!AM$2,"")</f>
        <v/>
      </c>
      <c r="AN110" t="str">
        <f>IF(IFERROR(MATCH($B110,temp!J$4:J$13,0),0)&gt;0,T08_Spells!AN$2,"")</f>
        <v/>
      </c>
      <c r="AO110" t="str">
        <f>IF(IFERROR(MATCH($B110,temp!K$4:K$13,0),0)&gt;0,T08_Spells!AO$2,"")</f>
        <v/>
      </c>
      <c r="AP110" t="str">
        <f>IF(IFERROR(MATCH($B110,temp!L$4:L$13,0),0)&gt;0,T08_Spells!AP$2,"")</f>
        <v/>
      </c>
      <c r="AQ110" t="str">
        <f>IF(IFERROR(MATCH($B110,temp!M$4:M$13,0),0)&gt;0,T08_Spells!AQ$2,"")</f>
        <v/>
      </c>
      <c r="AR110" t="str">
        <f>IF(IFERROR(MATCH($B110,temp!N$4:N$13,0),0)&gt;0,T08_Spells!AR$2,"")</f>
        <v/>
      </c>
      <c r="AS110" t="str">
        <f>IF(IFERROR(MATCH($B110,temp!O$4:O$13,0),0)&gt;0,T08_Spells!AS$2,"")</f>
        <v/>
      </c>
      <c r="AT110" t="str">
        <f>IF(IFERROR(MATCH($B110,temp!P$4:P$13,0),0)&gt;0,T08_Spells!AT$2,"")</f>
        <v/>
      </c>
      <c r="AU110" t="str">
        <f>IF(IFERROR(MATCH($B110,temp!Q$4:Q$13,0),0)&gt;0,T08_Spells!AU$2,"")</f>
        <v/>
      </c>
      <c r="AV110" t="str">
        <f>IF(IFERROR(MATCH($B110,temp!R$4:R$13,0),0)&gt;0,T08_Spells!AV$2,"")</f>
        <v/>
      </c>
      <c r="AW110" t="str">
        <f>IF(IFERROR(MATCH($B110,temp!S$4:S$13,0),0)&gt;0,T08_Spells!AW$2,"")</f>
        <v/>
      </c>
      <c r="AX110" t="str">
        <f>IF(IFERROR(MATCH($B110,temp!T$4:T$13,0),0)&gt;0,T08_Spells!AX$2,"")</f>
        <v/>
      </c>
      <c r="AY110" t="str">
        <f>IF(IFERROR(MATCH($B110,temp!U$4:U$13,0),0)&gt;0,T08_Spells!AY$2,"")</f>
        <v/>
      </c>
      <c r="AZ110" t="str">
        <f>IF(IFERROR(MATCH($B110,temp!V$4:V$13,0),0)&gt;0,T08_Spells!AZ$2,"")</f>
        <v/>
      </c>
      <c r="BA110" t="str">
        <f>IF(IFERROR(MATCH($B110,temp!W$4:W$13,0),0)&gt;0,T08_Spells!BA$2,"")</f>
        <v/>
      </c>
      <c r="BC110">
        <f>IF(IFERROR(SEARCH("Ranger",$T110,1),0)&gt;0,1,0)*IF(RangerMaxSpellLevel&gt;=$C110,1,0)*IF(IFERROR(MATCH(B110,Character_Creation!$X$79:$X$382,0),0)&gt;0,0,1)</f>
        <v>0</v>
      </c>
      <c r="BD110">
        <f>IF(BC110=0,0,1+COUNTIF(BD$3:BD109,"&gt;0"))</f>
        <v>0</v>
      </c>
      <c r="BE110" t="str">
        <f t="shared" si="88"/>
        <v/>
      </c>
      <c r="BF110" t="str">
        <f t="shared" si="60"/>
        <v/>
      </c>
      <c r="BH110">
        <f>IF(IFERROR(SEARCH("Sorcerer",$T110,1),0)&gt;0,1,0)*IF(SorcererMaxSpellLevel&gt;=$C110,1,0)*IF(IFERROR(MATCH(B110,Character_Creation!$J$380:$J$394,0),0)&gt;0,0,1)</f>
        <v>0</v>
      </c>
      <c r="BI110">
        <f>IF(BH110=0,0,1+COUNTIF(BI$3:BI109,"&gt;0"))</f>
        <v>0</v>
      </c>
      <c r="BJ110" t="str">
        <f t="shared" si="89"/>
        <v/>
      </c>
      <c r="BK110" t="str">
        <f t="shared" si="61"/>
        <v/>
      </c>
      <c r="BM110">
        <f>IF(OR(IFERROR(SEARCH("Warlock",$T110,1),0)&gt;0,IFERROR(SEARCH(WarlockPatron,$T110,1),0)&gt;0),1,0)*IF(WarlockMaxSpellLevel&gt;=$C110,1,0)*IF(IFERROR(MATCH(B110,Character_Creation!$J$361:$J$375,0),0)&gt;0,0,1)</f>
        <v>0</v>
      </c>
      <c r="BN110">
        <f>IF(BM110=0,0,1+COUNTIF(BN$3:BN109,"&gt;0"))</f>
        <v>0</v>
      </c>
      <c r="BO110" t="str">
        <f t="shared" si="90"/>
        <v/>
      </c>
      <c r="BP110" t="str">
        <f t="shared" si="62"/>
        <v/>
      </c>
      <c r="BR110">
        <f>IF(IFERROR(SEARCH("Eldritch Knight",$T110,1),0)&gt;0,1,0)*IF(EldritchKnightMaxSpellLevel&gt;=$C110,1,0)*IF(IFERROR(MATCH($B110,Character_Creation!$J$350:$J$356,0),0)&gt;0,0,1)*IF(Character_Creation!$M$338&gt;0,1,0)</f>
        <v>0</v>
      </c>
      <c r="BS110">
        <f>IF(BR110=0,0,1+COUNTIF(BS$3:BS109,"&gt;0"))</f>
        <v>0</v>
      </c>
      <c r="BT110" t="str">
        <f t="shared" si="91"/>
        <v/>
      </c>
      <c r="BU110" t="str">
        <f t="shared" si="63"/>
        <v/>
      </c>
      <c r="BW110">
        <f>IF(IFERROR(SEARCH("Arcane Trickster",$T110,1),0)&gt;0,1,0)*IF(ArcaneTricksterMaxSpellLevel&gt;=$C110,1,0)*IF(IFERROR(MATCH($B110,Character_Creation!$J$350:$J$356,0),0)&gt;0,0,1)*IF(Character_Creation!$T$338&gt;0,1,0)</f>
        <v>0</v>
      </c>
      <c r="BX110">
        <f>IF(BW110=0,0,1+COUNTIF(BX$3:BX109,"&gt;0"))</f>
        <v>0</v>
      </c>
      <c r="BY110" t="str">
        <f t="shared" si="92"/>
        <v/>
      </c>
      <c r="BZ110" t="str">
        <f t="shared" si="64"/>
        <v/>
      </c>
      <c r="CB110">
        <f>IF(IFERROR(SEARCH("Wizard",$T110,1),0)&gt;0,1,0)*IF(C110&lt;=ArcaneTricksterMaxSpellLevel,1,0)*IF(IFERROR(MATCH($B110,Character_Creation!$J$350:$J$356,0),0)&gt;0,0,1)*IF(Character_Creation!$T$350&gt;0,1,0)</f>
        <v>0</v>
      </c>
      <c r="CC110">
        <f>IF(CB110=0,0,1+COUNTIF(CC$3:CC109,"&gt;0"))</f>
        <v>0</v>
      </c>
      <c r="CD110" t="str">
        <f t="shared" si="93"/>
        <v/>
      </c>
      <c r="CE110" t="str">
        <f t="shared" si="65"/>
        <v/>
      </c>
      <c r="CG110">
        <f>IF(IFERROR(SEARCH("Wizard",$T110,1),0)&gt;0,1,0)*IF($C110&lt;=EldritchKnightMaxSpellLevel,1,0)*IF(IFERROR(MATCH($B110,Character_Creation!$J$350:$J$356,0),0)&gt;0,0,1)*IF(Character_Creation!$M$350&gt;0,1,0)</f>
        <v>0</v>
      </c>
      <c r="CH110">
        <f>IF(CG110=0,0,1+COUNTIF(CH$3:CH109,"&gt;0"))</f>
        <v>0</v>
      </c>
      <c r="CI110" t="str">
        <f t="shared" si="94"/>
        <v/>
      </c>
      <c r="CJ110" t="str">
        <f t="shared" si="66"/>
        <v/>
      </c>
      <c r="CL110">
        <f>IF(IFERROR(SEARCH("Bard",$T110,1),0)&gt;0,1,0)*IF(BardMaxSpellLevel&gt;=$C110,1,0)*IF(IFERROR(MATCH(B110,Character_Creation!$C$341:$F$362,0),0)&gt;0,0,1)*IF(IFERROR(MATCH($B110,Character_Creation!$C$341:$C$362,0),0)&gt;0,0,1)</f>
        <v>0</v>
      </c>
      <c r="CM110">
        <f>IF(CL110=0,0,1+COUNTIF(CM$3:CM109,"&gt;0"))</f>
        <v>0</v>
      </c>
      <c r="CN110" t="str">
        <f t="shared" si="95"/>
        <v/>
      </c>
      <c r="CO110" t="str">
        <f t="shared" si="67"/>
        <v/>
      </c>
      <c r="CQ110">
        <f>IF(IFERROR(SEARCH("Wizard",$T110,1),0)&gt;0,1,0)*IF(WizardMaxSpellLevel&gt;=$C110,1,0)*IF(IFERROR(MATCH(B110,Character_Creation!$X$341:$X$400,0),0)&gt;0,0,1)*IF(SelectedWizardSpellLevel=$C110,1,0)</f>
        <v>0</v>
      </c>
      <c r="CR110">
        <f>IF(CQ110=0,0,1+COUNTIF(CR$3:CR109,"&gt;0"))</f>
        <v>0</v>
      </c>
      <c r="CS110" t="str">
        <f t="shared" si="96"/>
        <v/>
      </c>
      <c r="CT110" t="str">
        <f t="shared" si="68"/>
        <v/>
      </c>
      <c r="CV110">
        <f>IF(IFERROR(MATCH($B110,Character_Creation!$C$341:$C$362,0),0)&gt;0,0,1)*IF(OR(C110="Cantrip",C110&lt;=BardMaxSpellLevel),1,0)*IF(IFERROR(MATCH($B110,Character_Creation!$C$367:$C$374,0),0)&gt;0,0,1)</f>
        <v>0</v>
      </c>
      <c r="CW110">
        <f>IF(CV110=0,0,1+COUNTIF(CW$3:CW109,"&gt;0"))</f>
        <v>0</v>
      </c>
      <c r="CX110" t="str">
        <f t="shared" si="97"/>
        <v/>
      </c>
      <c r="CY110" t="str">
        <f t="shared" si="69"/>
        <v/>
      </c>
      <c r="DA110">
        <f>IF(IF(OR(IFERROR(SEARCH("Cleric",$T110,1),0)&gt;0,IFERROR(SEARCH(DivineDomain&amp;",",$T110,1),0)&gt;0),1,0)*IF($C110=DA$2,1,0)=1,1+COUNTIF(DA$3:DA109,"&gt;0"),0)</f>
        <v>0</v>
      </c>
      <c r="DB110">
        <f>IF(IF(OR(IFERROR(SEARCH("Cleric",$T110,1),0)&gt;0,IFERROR(SEARCH(DivineDomain&amp;",",$T110,1),0)&gt;0),1,0)*IF($C110=DB$2,1,0)=1,1+COUNTIF(DB$3:DB109,"&gt;0"),0)</f>
        <v>0</v>
      </c>
      <c r="DC110">
        <f>IF(IF(OR(IFERROR(SEARCH("Cleric",$T110,1),0)&gt;0,IFERROR(SEARCH(DivineDomain&amp;",",$T110,1),0)&gt;0),1,0)*IF($C110=DC$2,1,0)=1,1+COUNTIF(DC$3:DC109,"&gt;0"),0)</f>
        <v>0</v>
      </c>
      <c r="DD110">
        <f>IF(IF(OR(IFERROR(SEARCH("Cleric",$T110,1),0)&gt;0,IFERROR(SEARCH(DivineDomain&amp;",",$T110,1),0)&gt;0),1,0)*IF($C110=DD$2,1,0)=1,1+COUNTIF(DD$3:DD109,"&gt;0"),0)</f>
        <v>0</v>
      </c>
      <c r="DE110">
        <f>IF(IF(OR(IFERROR(SEARCH("Cleric",$T110,1),0)&gt;0,IFERROR(SEARCH(DivineDomain&amp;",",$T110,1),0)&gt;0),1,0)*IF($C110=DE$2,1,0)=1,1+COUNTIF(DE$3:DE109,"&gt;0"),0)</f>
        <v>0</v>
      </c>
      <c r="DF110">
        <f>IF(IF(OR(IFERROR(SEARCH("Cleric",$T110,1),0)&gt;0,IFERROR(SEARCH(DivineDomain&amp;",",$T110,1),0)&gt;0),1,0)*IF($C110=DF$2,1,0)=1,1+COUNTIF(DF$3:DF109,"&gt;0"),0)</f>
        <v>0</v>
      </c>
      <c r="DG110">
        <f>IF(IF(OR(IFERROR(SEARCH("Cleric",$T110,1),0)&gt;0,IFERROR(SEARCH(DivineDomain&amp;",",$T110,1),0)&gt;0),1,0)*IF($C110=DG$2,1,0)=1,1+COUNTIF(DG$3:DG109,"&gt;0"),0)</f>
        <v>0</v>
      </c>
      <c r="DH110">
        <f>IF(IF(OR(IFERROR(SEARCH("Cleric",$T110,1),0)&gt;0,IFERROR(SEARCH(DivineDomain&amp;",",$T110,1),0)&gt;0),1,0)*IF($C110=DH$2,1,0)=1,1+COUNTIF(DH$3:DH109,"&gt;0"),0)</f>
        <v>0</v>
      </c>
      <c r="DI110">
        <f>IF(IF(OR(IFERROR(SEARCH("Cleric",$T110,1),0)&gt;0,IFERROR(SEARCH(DivineDomain&amp;",",$T110,1),0)&gt;0),1,0)*IF($C110=DI$2,1,0)=1,1+COUNTIF(DI$3:DI109,"&gt;0"),0)</f>
        <v>0</v>
      </c>
      <c r="DJ110">
        <f>IF(IF(OR(IFERROR(SEARCH("Druid",$T110,1),0)&gt;0,IFERROR(SEARCH(DruidLand1,$T110,1),0)&gt;0,IFERROR(SEARCH(DruidLand2,$T110,1),0)&gt;0,IFERROR(SEARCH(DruidLand3,$T110,1),0)&gt;0,IFERROR(SEARCH(DruidLand4,$T110,1),0)&gt;0),1,0)*IF($C110=1,1,0)*IF($C110=DJ$2,1,0)=0,0,1+COUNTIF(DJ$3:DJ109,"&gt;0"))</f>
        <v>0</v>
      </c>
      <c r="DK110">
        <f>IF(IF(OR(IFERROR(SEARCH("Druid",$T110,1),0)&gt;0,IFERROR(SEARCH(DruidLand1,$T110,1),0)&gt;0,IFERROR(SEARCH(DruidLand2,$T110,1),0)&gt;0,IFERROR(SEARCH(DruidLand3,$T110,1),0)&gt;0,IFERROR(SEARCH(DruidLand4,$T110,1),0)&gt;0),1,0)*IF($C110=1,1,0)*IF($C110=DK$2,1,0)=0,0,1+COUNTIF(DK$3:DK109,"&gt;0"))</f>
        <v>0</v>
      </c>
      <c r="DL110">
        <f>IF(IF(OR(IFERROR(SEARCH("Druid",$T110,1),0)&gt;0,IFERROR(SEARCH(DruidLand1,$T110,1),0)&gt;0,IFERROR(SEARCH(DruidLand2,$T110,1),0)&gt;0,IFERROR(SEARCH(DruidLand3,$T110,1),0)&gt;0,IFERROR(SEARCH(DruidLand4,$T110,1),0)&gt;0),1,0)*IF($C110=1,1,0)*IF($C110=DL$2,1,0)=0,0,1+COUNTIF(DL$3:DL109,"&gt;0"))</f>
        <v>0</v>
      </c>
      <c r="DM110">
        <f>IF(IF(OR(IFERROR(SEARCH("Druid",$T110,1),0)&gt;0,IFERROR(SEARCH(DruidLand1,$T110,1),0)&gt;0,IFERROR(SEARCH(DruidLand2,$T110,1),0)&gt;0,IFERROR(SEARCH(DruidLand3,$T110,1),0)&gt;0,IFERROR(SEARCH(DruidLand4,$T110,1),0)&gt;0),1,0)*IF($C110=1,1,0)*IF($C110=DM$2,1,0)=0,0,1+COUNTIF(DM$3:DM109,"&gt;0"))</f>
        <v>0</v>
      </c>
      <c r="DN110">
        <f>IF(IF(OR(IFERROR(SEARCH("Druid",$T110,1),0)&gt;0,IFERROR(SEARCH(DruidLand1,$T110,1),0)&gt;0,IFERROR(SEARCH(DruidLand2,$T110,1),0)&gt;0,IFERROR(SEARCH(DruidLand3,$T110,1),0)&gt;0,IFERROR(SEARCH(DruidLand4,$T110,1),0)&gt;0),1,0)*IF($C110=1,1,0)*IF($C110=DN$2,1,0)=0,0,1+COUNTIF(DN$3:DN109,"&gt;0"))</f>
        <v>0</v>
      </c>
      <c r="DO110">
        <f>IF(IF(OR(IFERROR(SEARCH("Druid",$T110,1),0)&gt;0,IFERROR(SEARCH(DruidLand1,$T110,1),0)&gt;0,IFERROR(SEARCH(DruidLand2,$T110,1),0)&gt;0,IFERROR(SEARCH(DruidLand3,$T110,1),0)&gt;0,IFERROR(SEARCH(DruidLand4,$T110,1),0)&gt;0),1,0)*IF($C110=1,1,0)*IF($C110=DO$2,1,0)=0,0,1+COUNTIF(DO$3:DO109,"&gt;0"))</f>
        <v>0</v>
      </c>
      <c r="DP110">
        <f>IF(IF(OR(IFERROR(SEARCH("Druid",$T110,1),0)&gt;0,IFERROR(SEARCH(DruidLand1,$T110,1),0)&gt;0,IFERROR(SEARCH(DruidLand2,$T110,1),0)&gt;0,IFERROR(SEARCH(DruidLand3,$T110,1),0)&gt;0,IFERROR(SEARCH(DruidLand4,$T110,1),0)&gt;0),1,0)*IF($C110=1,1,0)*IF($C110=DP$2,1,0)=0,0,1+COUNTIF(DP$3:DP109,"&gt;0"))</f>
        <v>0</v>
      </c>
      <c r="DQ110">
        <f>IF(IF(OR(IFERROR(SEARCH("Druid",$T110,1),0)&gt;0,IFERROR(SEARCH(DruidLand1,$T110,1),0)&gt;0,IFERROR(SEARCH(DruidLand2,$T110,1),0)&gt;0,IFERROR(SEARCH(DruidLand3,$T110,1),0)&gt;0,IFERROR(SEARCH(DruidLand4,$T110,1),0)&gt;0),1,0)*IF($C110=1,1,0)*IF($C110=DQ$2,1,0)=0,0,1+COUNTIF(DQ$3:DQ109,"&gt;0"))</f>
        <v>0</v>
      </c>
      <c r="DR110">
        <f>IF(IF(OR(IFERROR(SEARCH("Druid",$T110,1),0)&gt;0,IFERROR(SEARCH(DruidLand1,$T110,1),0)&gt;0,IFERROR(SEARCH(DruidLand2,$T110,1),0)&gt;0,IFERROR(SEARCH(DruidLand3,$T110,1),0)&gt;0,IFERROR(SEARCH(DruidLand4,$T110,1),0)&gt;0),1,0)*IF($C110=1,1,0)*IF($C110=DR$2,1,0)=0,0,1+COUNTIF(DR$3:DR109,"&gt;0"))</f>
        <v>0</v>
      </c>
      <c r="DS110">
        <f>IF(IF(OR(IFERROR(SEARCH("Paladin",$T110,1),0)&gt;0,IFERROR(SEARCH(PaladinOath,$T110,1),0)&gt;0),1,0)*IF($C110=DS$2,1,0)=1,1+COUNTIF(DS$3:DS109,"&gt;0"),0)</f>
        <v>0</v>
      </c>
      <c r="DT110">
        <f>IF(IF(OR(IFERROR(SEARCH("Paladin",$T110,1),0)&gt;0,IFERROR(SEARCH(PaladinOath,$T110,1),0)&gt;0),1,0)*IF($C110=DT$2,1,0)=1,1+COUNTIF(DT$3:DT109,"&gt;0"),0)</f>
        <v>0</v>
      </c>
      <c r="DU110">
        <f>IF(IF(OR(IFERROR(SEARCH("Paladin",$T110,1),0)&gt;0,IFERROR(SEARCH(PaladinOath,$T110,1),0)&gt;0),1,0)*IF($C110=DU$2,1,0)=1,1+COUNTIF(DU$3:DU109,"&gt;0"),0)</f>
        <v>0</v>
      </c>
      <c r="DV110">
        <f>IF(IF(OR(IFERROR(SEARCH("Paladin",$T110,1),0)&gt;0,IFERROR(SEARCH(PaladinOath,$T110,1),0)&gt;0),1,0)*IF($C110=DV$2,1,0)=1,1+COUNTIF(DV$3:DV109,"&gt;0"),0)</f>
        <v>0</v>
      </c>
      <c r="DW110">
        <f>IF(IF(OR(IFERROR(SEARCH("Paladin",$T110,1),0)&gt;0,IFERROR(SEARCH(PaladinOath,$T110,1),0)&gt;0),1,0)*IF($C110=DW$2,1,0)=1,1+COUNTIF(DW$3:DW109,"&gt;0"),0)</f>
        <v>0</v>
      </c>
      <c r="DY110">
        <f t="shared" si="56"/>
        <v>1</v>
      </c>
      <c r="DZ110">
        <f>IF(DY110=0,0,1+MAX(DZ$3:$DZ109))</f>
        <v>108</v>
      </c>
      <c r="EB110">
        <f t="shared" si="70"/>
        <v>0</v>
      </c>
      <c r="EC110">
        <f>IF(EB110=0,0,1+COUNTIF(EC$3:EC109,"&gt;0"))</f>
        <v>0</v>
      </c>
      <c r="ED110" t="str">
        <f t="shared" si="98"/>
        <v/>
      </c>
      <c r="EE110" t="str">
        <f t="shared" si="71"/>
        <v/>
      </c>
      <c r="EG110">
        <f t="shared" si="72"/>
        <v>0</v>
      </c>
      <c r="EH110">
        <f>IF(EG110=0,0,1+COUNTIF(EH$3:EH109,"&gt;0"))</f>
        <v>0</v>
      </c>
      <c r="EI110" t="str">
        <f t="shared" si="99"/>
        <v/>
      </c>
      <c r="EJ110" t="str">
        <f t="shared" si="73"/>
        <v/>
      </c>
      <c r="EL110">
        <f t="shared" si="74"/>
        <v>0</v>
      </c>
      <c r="EM110">
        <f>IF(EL110=0,0,1+COUNTIF(EM$3:EM109,"&gt;0"))</f>
        <v>0</v>
      </c>
      <c r="EN110" t="str">
        <f t="shared" si="100"/>
        <v/>
      </c>
      <c r="EO110" t="str">
        <f t="shared" si="75"/>
        <v/>
      </c>
      <c r="EQ110">
        <f t="shared" si="76"/>
        <v>0</v>
      </c>
      <c r="ER110">
        <f>IF(EQ110=0,0,1+COUNTIF(ER$3:ER109,"&gt;0"))</f>
        <v>0</v>
      </c>
      <c r="ES110" t="str">
        <f t="shared" si="101"/>
        <v/>
      </c>
      <c r="ET110" t="str">
        <f t="shared" si="77"/>
        <v/>
      </c>
      <c r="EV110">
        <f t="shared" si="78"/>
        <v>0</v>
      </c>
      <c r="EW110">
        <f>IF(EV110=0,0,1+COUNTIF(EW$3:EW109,"&gt;0"))</f>
        <v>0</v>
      </c>
      <c r="EX110" t="str">
        <f t="shared" si="102"/>
        <v/>
      </c>
      <c r="EY110" t="str">
        <f t="shared" si="79"/>
        <v/>
      </c>
      <c r="FA110">
        <f t="shared" si="80"/>
        <v>0</v>
      </c>
      <c r="FB110">
        <f>IF(FA110=0,0,1+COUNTIF(FB$3:FB109,"&gt;0"))</f>
        <v>0</v>
      </c>
      <c r="FC110" t="str">
        <f t="shared" si="103"/>
        <v/>
      </c>
      <c r="FD110" t="str">
        <f t="shared" si="81"/>
        <v/>
      </c>
      <c r="FF110">
        <f t="shared" si="82"/>
        <v>0</v>
      </c>
      <c r="FG110">
        <f>IF(FF110=0,0,1+COUNTIF(FG$3:FG109,"&gt;0"))</f>
        <v>0</v>
      </c>
      <c r="FH110" t="str">
        <f t="shared" si="104"/>
        <v/>
      </c>
      <c r="FI110" t="str">
        <f t="shared" si="83"/>
        <v/>
      </c>
      <c r="FK110">
        <f t="shared" si="84"/>
        <v>0</v>
      </c>
      <c r="FL110">
        <f>IF(FK110=0,0,1+COUNTIF(FL$3:FL109,"&gt;0"))</f>
        <v>0</v>
      </c>
      <c r="FM110" t="str">
        <f t="shared" si="105"/>
        <v/>
      </c>
      <c r="FN110" t="str">
        <f t="shared" si="85"/>
        <v/>
      </c>
      <c r="FP110">
        <f t="shared" si="86"/>
        <v>0</v>
      </c>
      <c r="FQ110">
        <f>IF(FP110=0,0,1+COUNTIF(FQ$3:FQ109,"&gt;0"))</f>
        <v>0</v>
      </c>
      <c r="FR110" t="str">
        <f t="shared" si="106"/>
        <v/>
      </c>
      <c r="FS110" t="str">
        <f t="shared" si="87"/>
        <v/>
      </c>
    </row>
    <row r="111" spans="1:175" x14ac:dyDescent="0.25">
      <c r="A111" s="347">
        <f t="shared" si="107"/>
        <v>109</v>
      </c>
      <c r="B111" s="348" t="s">
        <v>2479</v>
      </c>
      <c r="C111" s="348">
        <v>5</v>
      </c>
      <c r="D111" s="347">
        <v>5</v>
      </c>
      <c r="E111" s="627" t="s">
        <v>6952</v>
      </c>
      <c r="F111" s="346"/>
      <c r="G111" s="347" t="str">
        <f>""</f>
        <v/>
      </c>
      <c r="H111" s="347" t="s">
        <v>5912</v>
      </c>
      <c r="I111" s="347" t="s">
        <v>424</v>
      </c>
      <c r="J111" s="347" t="str">
        <f t="shared" si="57"/>
        <v/>
      </c>
      <c r="K111" s="347" t="s">
        <v>5291</v>
      </c>
      <c r="L111" s="611" t="str">
        <f t="shared" si="58"/>
        <v>V, S</v>
      </c>
      <c r="M111" s="347" t="s">
        <v>2373</v>
      </c>
      <c r="N111" s="347" t="s">
        <v>2387</v>
      </c>
      <c r="O111" s="347" t="s">
        <v>3034</v>
      </c>
      <c r="P111" s="346" t="str">
        <f>""</f>
        <v/>
      </c>
      <c r="Q111" s="347" t="s">
        <v>5272</v>
      </c>
      <c r="S111" s="346" t="s">
        <v>5670</v>
      </c>
      <c r="T111" s="346" t="str">
        <f t="shared" si="59"/>
        <v xml:space="preserve">Bard, Sorcerer, Arcane Trickster, Wizard, Oathbreaker, Archfey, Old One, Trickery, </v>
      </c>
      <c r="U111" s="347" t="str">
        <f>$B111</f>
        <v>Dominate Person</v>
      </c>
      <c r="X111" s="347" t="str">
        <f>$B111</f>
        <v>Dominate Person</v>
      </c>
      <c r="AC111" s="539" t="str">
        <f>B111</f>
        <v>Dominate Person</v>
      </c>
      <c r="AD111" s="347" t="str">
        <f>$B111</f>
        <v>Dominate Person</v>
      </c>
      <c r="AE111" t="str">
        <f>IF(IFERROR(MATCH($B111,temp!A$4:A$13,0),0)&gt;0,T08_Spells!AE$2,"")</f>
        <v/>
      </c>
      <c r="AF111" t="str">
        <f>IF(IFERROR(MATCH($B111,temp!B$4:B$13,0),0)&gt;0,T08_Spells!AF$2,"")</f>
        <v/>
      </c>
      <c r="AG111" t="str">
        <f>IF(IFERROR(MATCH($B111,temp!C$4:C$13,0),0)&gt;0,T08_Spells!AG$2,"")</f>
        <v/>
      </c>
      <c r="AH111" t="str">
        <f>IF(IFERROR(MATCH($B111,temp!D$4:D$13,0),0)&gt;0,T08_Spells!AH$2,"")</f>
        <v>Oathbreaker</v>
      </c>
      <c r="AI111" t="str">
        <f>IF(IFERROR(MATCH($B111,temp!E$4:E$13,0),0)&gt;0,T08_Spells!AI$2,"")</f>
        <v>Archfey</v>
      </c>
      <c r="AJ111" t="str">
        <f>IF(IFERROR(MATCH($B111,temp!F$4:F$13,0),0)&gt;0,T08_Spells!AJ$2,"")</f>
        <v/>
      </c>
      <c r="AK111" t="str">
        <f>IF(IFERROR(MATCH($B111,temp!G$4:G$13,0),0)&gt;0,T08_Spells!AK$2,"")</f>
        <v>Old One</v>
      </c>
      <c r="AL111" t="str">
        <f>IF(IFERROR(MATCH($B111,temp!H$4:H$13,0),0)&gt;0,T08_Spells!AL$2,"")</f>
        <v/>
      </c>
      <c r="AM111" t="str">
        <f>IF(IFERROR(MATCH($B111,temp!I$4:I$13,0),0)&gt;0,T08_Spells!AM$2,"")</f>
        <v/>
      </c>
      <c r="AN111" t="str">
        <f>IF(IFERROR(MATCH($B111,temp!J$4:J$13,0),0)&gt;0,T08_Spells!AN$2,"")</f>
        <v/>
      </c>
      <c r="AO111" t="str">
        <f>IF(IFERROR(MATCH($B111,temp!K$4:K$13,0),0)&gt;0,T08_Spells!AO$2,"")</f>
        <v/>
      </c>
      <c r="AP111" t="str">
        <f>IF(IFERROR(MATCH($B111,temp!L$4:L$13,0),0)&gt;0,T08_Spells!AP$2,"")</f>
        <v/>
      </c>
      <c r="AQ111" t="str">
        <f>IF(IFERROR(MATCH($B111,temp!M$4:M$13,0),0)&gt;0,T08_Spells!AQ$2,"")</f>
        <v/>
      </c>
      <c r="AR111" t="str">
        <f>IF(IFERROR(MATCH($B111,temp!N$4:N$13,0),0)&gt;0,T08_Spells!AR$2,"")</f>
        <v/>
      </c>
      <c r="AS111" t="str">
        <f>IF(IFERROR(MATCH($B111,temp!O$4:O$13,0),0)&gt;0,T08_Spells!AS$2,"")</f>
        <v/>
      </c>
      <c r="AT111" t="str">
        <f>IF(IFERROR(MATCH($B111,temp!P$4:P$13,0),0)&gt;0,T08_Spells!AT$2,"")</f>
        <v/>
      </c>
      <c r="AU111" t="str">
        <f>IF(IFERROR(MATCH($B111,temp!Q$4:Q$13,0),0)&gt;0,T08_Spells!AU$2,"")</f>
        <v/>
      </c>
      <c r="AV111" t="str">
        <f>IF(IFERROR(MATCH($B111,temp!R$4:R$13,0),0)&gt;0,T08_Spells!AV$2,"")</f>
        <v/>
      </c>
      <c r="AW111" t="str">
        <f>IF(IFERROR(MATCH($B111,temp!S$4:S$13,0),0)&gt;0,T08_Spells!AW$2,"")</f>
        <v/>
      </c>
      <c r="AX111" t="str">
        <f>IF(IFERROR(MATCH($B111,temp!T$4:T$13,0),0)&gt;0,T08_Spells!AX$2,"")</f>
        <v/>
      </c>
      <c r="AY111" t="str">
        <f>IF(IFERROR(MATCH($B111,temp!U$4:U$13,0),0)&gt;0,T08_Spells!AY$2,"")</f>
        <v>Trickery</v>
      </c>
      <c r="AZ111" t="str">
        <f>IF(IFERROR(MATCH($B111,temp!V$4:V$13,0),0)&gt;0,T08_Spells!AZ$2,"")</f>
        <v/>
      </c>
      <c r="BA111" t="str">
        <f>IF(IFERROR(MATCH($B111,temp!W$4:W$13,0),0)&gt;0,T08_Spells!BA$2,"")</f>
        <v/>
      </c>
      <c r="BC111">
        <f>IF(IFERROR(SEARCH("Ranger",$T111,1),0)&gt;0,1,0)*IF(RangerMaxSpellLevel&gt;=$C111,1,0)*IF(IFERROR(MATCH(B111,Character_Creation!$X$79:$X$382,0),0)&gt;0,0,1)</f>
        <v>0</v>
      </c>
      <c r="BD111">
        <f>IF(BC111=0,0,1+COUNTIF(BD$3:BD110,"&gt;0"))</f>
        <v>0</v>
      </c>
      <c r="BE111" t="str">
        <f t="shared" si="88"/>
        <v/>
      </c>
      <c r="BF111" t="str">
        <f t="shared" si="60"/>
        <v/>
      </c>
      <c r="BH111">
        <f>IF(IFERROR(SEARCH("Sorcerer",$T111,1),0)&gt;0,1,0)*IF(SorcererMaxSpellLevel&gt;=$C111,1,0)*IF(IFERROR(MATCH(B111,Character_Creation!$J$380:$J$394,0),0)&gt;0,0,1)</f>
        <v>0</v>
      </c>
      <c r="BI111">
        <f>IF(BH111=0,0,1+COUNTIF(BI$3:BI110,"&gt;0"))</f>
        <v>0</v>
      </c>
      <c r="BJ111" t="str">
        <f t="shared" si="89"/>
        <v/>
      </c>
      <c r="BK111" t="str">
        <f t="shared" si="61"/>
        <v/>
      </c>
      <c r="BM111">
        <f>IF(OR(IFERROR(SEARCH("Warlock",$T111,1),0)&gt;0,IFERROR(SEARCH(WarlockPatron,$T111,1),0)&gt;0),1,0)*IF(WarlockMaxSpellLevel&gt;=$C111,1,0)*IF(IFERROR(MATCH(B111,Character_Creation!$J$361:$J$375,0),0)&gt;0,0,1)</f>
        <v>0</v>
      </c>
      <c r="BN111">
        <f>IF(BM111=0,0,1+COUNTIF(BN$3:BN110,"&gt;0"))</f>
        <v>0</v>
      </c>
      <c r="BO111" t="str">
        <f t="shared" si="90"/>
        <v/>
      </c>
      <c r="BP111" t="str">
        <f t="shared" si="62"/>
        <v/>
      </c>
      <c r="BR111">
        <f>IF(IFERROR(SEARCH("Eldritch Knight",$T111,1),0)&gt;0,1,0)*IF(EldritchKnightMaxSpellLevel&gt;=$C111,1,0)*IF(IFERROR(MATCH($B111,Character_Creation!$J$350:$J$356,0),0)&gt;0,0,1)*IF(Character_Creation!$M$338&gt;0,1,0)</f>
        <v>0</v>
      </c>
      <c r="BS111">
        <f>IF(BR111=0,0,1+COUNTIF(BS$3:BS110,"&gt;0"))</f>
        <v>0</v>
      </c>
      <c r="BT111" t="str">
        <f t="shared" si="91"/>
        <v/>
      </c>
      <c r="BU111" t="str">
        <f t="shared" si="63"/>
        <v/>
      </c>
      <c r="BW111">
        <f>IF(IFERROR(SEARCH("Arcane Trickster",$T111,1),0)&gt;0,1,0)*IF(ArcaneTricksterMaxSpellLevel&gt;=$C111,1,0)*IF(IFERROR(MATCH($B111,Character_Creation!$J$350:$J$356,0),0)&gt;0,0,1)*IF(Character_Creation!$T$338&gt;0,1,0)</f>
        <v>0</v>
      </c>
      <c r="BX111">
        <f>IF(BW111=0,0,1+COUNTIF(BX$3:BX110,"&gt;0"))</f>
        <v>0</v>
      </c>
      <c r="BY111" t="str">
        <f t="shared" si="92"/>
        <v/>
      </c>
      <c r="BZ111" t="str">
        <f t="shared" si="64"/>
        <v/>
      </c>
      <c r="CB111">
        <f>IF(IFERROR(SEARCH("Wizard",$T111,1),0)&gt;0,1,0)*IF(C111&lt;=ArcaneTricksterMaxSpellLevel,1,0)*IF(IFERROR(MATCH($B111,Character_Creation!$J$350:$J$356,0),0)&gt;0,0,1)*IF(Character_Creation!$T$350&gt;0,1,0)</f>
        <v>0</v>
      </c>
      <c r="CC111">
        <f>IF(CB111=0,0,1+COUNTIF(CC$3:CC110,"&gt;0"))</f>
        <v>0</v>
      </c>
      <c r="CD111" t="str">
        <f t="shared" si="93"/>
        <v/>
      </c>
      <c r="CE111" t="str">
        <f t="shared" si="65"/>
        <v/>
      </c>
      <c r="CG111">
        <f>IF(IFERROR(SEARCH("Wizard",$T111,1),0)&gt;0,1,0)*IF($C111&lt;=EldritchKnightMaxSpellLevel,1,0)*IF(IFERROR(MATCH($B111,Character_Creation!$J$350:$J$356,0),0)&gt;0,0,1)*IF(Character_Creation!$M$350&gt;0,1,0)</f>
        <v>0</v>
      </c>
      <c r="CH111">
        <f>IF(CG111=0,0,1+COUNTIF(CH$3:CH110,"&gt;0"))</f>
        <v>0</v>
      </c>
      <c r="CI111" t="str">
        <f t="shared" si="94"/>
        <v/>
      </c>
      <c r="CJ111" t="str">
        <f t="shared" si="66"/>
        <v/>
      </c>
      <c r="CL111">
        <f>IF(IFERROR(SEARCH("Bard",$T111,1),0)&gt;0,1,0)*IF(BardMaxSpellLevel&gt;=$C111,1,0)*IF(IFERROR(MATCH(B111,Character_Creation!$C$341:$F$362,0),0)&gt;0,0,1)*IF(IFERROR(MATCH($B111,Character_Creation!$C$341:$C$362,0),0)&gt;0,0,1)</f>
        <v>0</v>
      </c>
      <c r="CM111">
        <f>IF(CL111=0,0,1+COUNTIF(CM$3:CM110,"&gt;0"))</f>
        <v>0</v>
      </c>
      <c r="CN111" t="str">
        <f t="shared" si="95"/>
        <v/>
      </c>
      <c r="CO111" t="str">
        <f t="shared" si="67"/>
        <v/>
      </c>
      <c r="CQ111">
        <f>IF(IFERROR(SEARCH("Wizard",$T111,1),0)&gt;0,1,0)*IF(WizardMaxSpellLevel&gt;=$C111,1,0)*IF(IFERROR(MATCH(B111,Character_Creation!$X$341:$X$400,0),0)&gt;0,0,1)*IF(SelectedWizardSpellLevel=$C111,1,0)</f>
        <v>0</v>
      </c>
      <c r="CR111">
        <f>IF(CQ111=0,0,1+COUNTIF(CR$3:CR110,"&gt;0"))</f>
        <v>0</v>
      </c>
      <c r="CS111" t="str">
        <f t="shared" si="96"/>
        <v/>
      </c>
      <c r="CT111" t="str">
        <f t="shared" si="68"/>
        <v/>
      </c>
      <c r="CV111">
        <f>IF(IFERROR(MATCH($B111,Character_Creation!$C$341:$C$362,0),0)&gt;0,0,1)*IF(OR(C111="Cantrip",C111&lt;=BardMaxSpellLevel),1,0)*IF(IFERROR(MATCH($B111,Character_Creation!$C$367:$C$374,0),0)&gt;0,0,1)</f>
        <v>0</v>
      </c>
      <c r="CW111">
        <f>IF(CV111=0,0,1+COUNTIF(CW$3:CW110,"&gt;0"))</f>
        <v>0</v>
      </c>
      <c r="CX111" t="str">
        <f t="shared" si="97"/>
        <v/>
      </c>
      <c r="CY111" t="str">
        <f t="shared" si="69"/>
        <v/>
      </c>
      <c r="DA111">
        <f>IF(IF(OR(IFERROR(SEARCH("Cleric",$T111,1),0)&gt;0,IFERROR(SEARCH(DivineDomain&amp;",",$T111,1),0)&gt;0),1,0)*IF($C111=DA$2,1,0)=1,1+COUNTIF(DA$3:DA110,"&gt;0"),0)</f>
        <v>0</v>
      </c>
      <c r="DB111">
        <f>IF(IF(OR(IFERROR(SEARCH("Cleric",$T111,1),0)&gt;0,IFERROR(SEARCH(DivineDomain&amp;",",$T111,1),0)&gt;0),1,0)*IF($C111=DB$2,1,0)=1,1+COUNTIF(DB$3:DB110,"&gt;0"),0)</f>
        <v>0</v>
      </c>
      <c r="DC111">
        <f>IF(IF(OR(IFERROR(SEARCH("Cleric",$T111,1),0)&gt;0,IFERROR(SEARCH(DivineDomain&amp;",",$T111,1),0)&gt;0),1,0)*IF($C111=DC$2,1,0)=1,1+COUNTIF(DC$3:DC110,"&gt;0"),0)</f>
        <v>0</v>
      </c>
      <c r="DD111">
        <f>IF(IF(OR(IFERROR(SEARCH("Cleric",$T111,1),0)&gt;0,IFERROR(SEARCH(DivineDomain&amp;",",$T111,1),0)&gt;0),1,0)*IF($C111=DD$2,1,0)=1,1+COUNTIF(DD$3:DD110,"&gt;0"),0)</f>
        <v>0</v>
      </c>
      <c r="DE111">
        <f>IF(IF(OR(IFERROR(SEARCH("Cleric",$T111,1),0)&gt;0,IFERROR(SEARCH(DivineDomain&amp;",",$T111,1),0)&gt;0),1,0)*IF($C111=DE$2,1,0)=1,1+COUNTIF(DE$3:DE110,"&gt;0"),0)</f>
        <v>0</v>
      </c>
      <c r="DF111">
        <f>IF(IF(OR(IFERROR(SEARCH("Cleric",$T111,1),0)&gt;0,IFERROR(SEARCH(DivineDomain&amp;",",$T111,1),0)&gt;0),1,0)*IF($C111=DF$2,1,0)=1,1+COUNTIF(DF$3:DF110,"&gt;0"),0)</f>
        <v>0</v>
      </c>
      <c r="DG111">
        <f>IF(IF(OR(IFERROR(SEARCH("Cleric",$T111,1),0)&gt;0,IFERROR(SEARCH(DivineDomain&amp;",",$T111,1),0)&gt;0),1,0)*IF($C111=DG$2,1,0)=1,1+COUNTIF(DG$3:DG110,"&gt;0"),0)</f>
        <v>0</v>
      </c>
      <c r="DH111">
        <f>IF(IF(OR(IFERROR(SEARCH("Cleric",$T111,1),0)&gt;0,IFERROR(SEARCH(DivineDomain&amp;",",$T111,1),0)&gt;0),1,0)*IF($C111=DH$2,1,0)=1,1+COUNTIF(DH$3:DH110,"&gt;0"),0)</f>
        <v>0</v>
      </c>
      <c r="DI111">
        <f>IF(IF(OR(IFERROR(SEARCH("Cleric",$T111,1),0)&gt;0,IFERROR(SEARCH(DivineDomain&amp;",",$T111,1),0)&gt;0),1,0)*IF($C111=DI$2,1,0)=1,1+COUNTIF(DI$3:DI110,"&gt;0"),0)</f>
        <v>0</v>
      </c>
      <c r="DJ111">
        <f>IF(IF(OR(IFERROR(SEARCH("Druid",$T111,1),0)&gt;0,IFERROR(SEARCH(DruidLand1,$T111,1),0)&gt;0,IFERROR(SEARCH(DruidLand2,$T111,1),0)&gt;0,IFERROR(SEARCH(DruidLand3,$T111,1),0)&gt;0,IFERROR(SEARCH(DruidLand4,$T111,1),0)&gt;0),1,0)*IF($C111=1,1,0)*IF($C111=DJ$2,1,0)=0,0,1+COUNTIF(DJ$3:DJ110,"&gt;0"))</f>
        <v>0</v>
      </c>
      <c r="DK111">
        <f>IF(IF(OR(IFERROR(SEARCH("Druid",$T111,1),0)&gt;0,IFERROR(SEARCH(DruidLand1,$T111,1),0)&gt;0,IFERROR(SEARCH(DruidLand2,$T111,1),0)&gt;0,IFERROR(SEARCH(DruidLand3,$T111,1),0)&gt;0,IFERROR(SEARCH(DruidLand4,$T111,1),0)&gt;0),1,0)*IF($C111=1,1,0)*IF($C111=DK$2,1,0)=0,0,1+COUNTIF(DK$3:DK110,"&gt;0"))</f>
        <v>0</v>
      </c>
      <c r="DL111">
        <f>IF(IF(OR(IFERROR(SEARCH("Druid",$T111,1),0)&gt;0,IFERROR(SEARCH(DruidLand1,$T111,1),0)&gt;0,IFERROR(SEARCH(DruidLand2,$T111,1),0)&gt;0,IFERROR(SEARCH(DruidLand3,$T111,1),0)&gt;0,IFERROR(SEARCH(DruidLand4,$T111,1),0)&gt;0),1,0)*IF($C111=1,1,0)*IF($C111=DL$2,1,0)=0,0,1+COUNTIF(DL$3:DL110,"&gt;0"))</f>
        <v>0</v>
      </c>
      <c r="DM111">
        <f>IF(IF(OR(IFERROR(SEARCH("Druid",$T111,1),0)&gt;0,IFERROR(SEARCH(DruidLand1,$T111,1),0)&gt;0,IFERROR(SEARCH(DruidLand2,$T111,1),0)&gt;0,IFERROR(SEARCH(DruidLand3,$T111,1),0)&gt;0,IFERROR(SEARCH(DruidLand4,$T111,1),0)&gt;0),1,0)*IF($C111=1,1,0)*IF($C111=DM$2,1,0)=0,0,1+COUNTIF(DM$3:DM110,"&gt;0"))</f>
        <v>0</v>
      </c>
      <c r="DN111">
        <f>IF(IF(OR(IFERROR(SEARCH("Druid",$T111,1),0)&gt;0,IFERROR(SEARCH(DruidLand1,$T111,1),0)&gt;0,IFERROR(SEARCH(DruidLand2,$T111,1),0)&gt;0,IFERROR(SEARCH(DruidLand3,$T111,1),0)&gt;0,IFERROR(SEARCH(DruidLand4,$T111,1),0)&gt;0),1,0)*IF($C111=1,1,0)*IF($C111=DN$2,1,0)=0,0,1+COUNTIF(DN$3:DN110,"&gt;0"))</f>
        <v>0</v>
      </c>
      <c r="DO111">
        <f>IF(IF(OR(IFERROR(SEARCH("Druid",$T111,1),0)&gt;0,IFERROR(SEARCH(DruidLand1,$T111,1),0)&gt;0,IFERROR(SEARCH(DruidLand2,$T111,1),0)&gt;0,IFERROR(SEARCH(DruidLand3,$T111,1),0)&gt;0,IFERROR(SEARCH(DruidLand4,$T111,1),0)&gt;0),1,0)*IF($C111=1,1,0)*IF($C111=DO$2,1,0)=0,0,1+COUNTIF(DO$3:DO110,"&gt;0"))</f>
        <v>0</v>
      </c>
      <c r="DP111">
        <f>IF(IF(OR(IFERROR(SEARCH("Druid",$T111,1),0)&gt;0,IFERROR(SEARCH(DruidLand1,$T111,1),0)&gt;0,IFERROR(SEARCH(DruidLand2,$T111,1),0)&gt;0,IFERROR(SEARCH(DruidLand3,$T111,1),0)&gt;0,IFERROR(SEARCH(DruidLand4,$T111,1),0)&gt;0),1,0)*IF($C111=1,1,0)*IF($C111=DP$2,1,0)=0,0,1+COUNTIF(DP$3:DP110,"&gt;0"))</f>
        <v>0</v>
      </c>
      <c r="DQ111">
        <f>IF(IF(OR(IFERROR(SEARCH("Druid",$T111,1),0)&gt;0,IFERROR(SEARCH(DruidLand1,$T111,1),0)&gt;0,IFERROR(SEARCH(DruidLand2,$T111,1),0)&gt;0,IFERROR(SEARCH(DruidLand3,$T111,1),0)&gt;0,IFERROR(SEARCH(DruidLand4,$T111,1),0)&gt;0),1,0)*IF($C111=1,1,0)*IF($C111=DQ$2,1,0)=0,0,1+COUNTIF(DQ$3:DQ110,"&gt;0"))</f>
        <v>0</v>
      </c>
      <c r="DR111">
        <f>IF(IF(OR(IFERROR(SEARCH("Druid",$T111,1),0)&gt;0,IFERROR(SEARCH(DruidLand1,$T111,1),0)&gt;0,IFERROR(SEARCH(DruidLand2,$T111,1),0)&gt;0,IFERROR(SEARCH(DruidLand3,$T111,1),0)&gt;0,IFERROR(SEARCH(DruidLand4,$T111,1),0)&gt;0),1,0)*IF($C111=1,1,0)*IF($C111=DR$2,1,0)=0,0,1+COUNTIF(DR$3:DR110,"&gt;0"))</f>
        <v>0</v>
      </c>
      <c r="DS111">
        <f>IF(IF(OR(IFERROR(SEARCH("Paladin",$T111,1),0)&gt;0,IFERROR(SEARCH(PaladinOath,$T111,1),0)&gt;0),1,0)*IF($C111=DS$2,1,0)=1,1+COUNTIF(DS$3:DS110,"&gt;0"),0)</f>
        <v>0</v>
      </c>
      <c r="DT111">
        <f>IF(IF(OR(IFERROR(SEARCH("Paladin",$T111,1),0)&gt;0,IFERROR(SEARCH(PaladinOath,$T111,1),0)&gt;0),1,0)*IF($C111=DT$2,1,0)=1,1+COUNTIF(DT$3:DT110,"&gt;0"),0)</f>
        <v>0</v>
      </c>
      <c r="DU111">
        <f>IF(IF(OR(IFERROR(SEARCH("Paladin",$T111,1),0)&gt;0,IFERROR(SEARCH(PaladinOath,$T111,1),0)&gt;0),1,0)*IF($C111=DU$2,1,0)=1,1+COUNTIF(DU$3:DU110,"&gt;0"),0)</f>
        <v>0</v>
      </c>
      <c r="DV111">
        <f>IF(IF(OR(IFERROR(SEARCH("Paladin",$T111,1),0)&gt;0,IFERROR(SEARCH(PaladinOath,$T111,1),0)&gt;0),1,0)*IF($C111=DV$2,1,0)=1,1+COUNTIF(DV$3:DV110,"&gt;0"),0)</f>
        <v>0</v>
      </c>
      <c r="DW111">
        <f>IF(IF(OR(IFERROR(SEARCH("Paladin",$T111,1),0)&gt;0,IFERROR(SEARCH(PaladinOath,$T111,1),0)&gt;0),1,0)*IF($C111=DW$2,1,0)=1,1+COUNTIF(DW$3:DW110,"&gt;0"),0)</f>
        <v>0</v>
      </c>
      <c r="DY111">
        <f t="shared" si="56"/>
        <v>1</v>
      </c>
      <c r="DZ111">
        <f>IF(DY111=0,0,1+MAX(DZ$3:$DZ110))</f>
        <v>109</v>
      </c>
      <c r="EB111">
        <f t="shared" si="70"/>
        <v>0</v>
      </c>
      <c r="EC111">
        <f>IF(EB111=0,0,1+COUNTIF(EC$3:EC110,"&gt;0"))</f>
        <v>0</v>
      </c>
      <c r="ED111" t="str">
        <f t="shared" si="98"/>
        <v/>
      </c>
      <c r="EE111" t="str">
        <f t="shared" si="71"/>
        <v/>
      </c>
      <c r="EG111">
        <f t="shared" si="72"/>
        <v>0</v>
      </c>
      <c r="EH111">
        <f>IF(EG111=0,0,1+COUNTIF(EH$3:EH110,"&gt;0"))</f>
        <v>0</v>
      </c>
      <c r="EI111" t="str">
        <f t="shared" si="99"/>
        <v/>
      </c>
      <c r="EJ111" t="str">
        <f t="shared" si="73"/>
        <v/>
      </c>
      <c r="EL111">
        <f t="shared" si="74"/>
        <v>0</v>
      </c>
      <c r="EM111">
        <f>IF(EL111=0,0,1+COUNTIF(EM$3:EM110,"&gt;0"))</f>
        <v>0</v>
      </c>
      <c r="EN111" t="str">
        <f t="shared" si="100"/>
        <v/>
      </c>
      <c r="EO111" t="str">
        <f t="shared" si="75"/>
        <v/>
      </c>
      <c r="EQ111">
        <f t="shared" si="76"/>
        <v>0</v>
      </c>
      <c r="ER111">
        <f>IF(EQ111=0,0,1+COUNTIF(ER$3:ER110,"&gt;0"))</f>
        <v>0</v>
      </c>
      <c r="ES111" t="str">
        <f t="shared" si="101"/>
        <v/>
      </c>
      <c r="ET111" t="str">
        <f t="shared" si="77"/>
        <v/>
      </c>
      <c r="EV111">
        <f t="shared" si="78"/>
        <v>0</v>
      </c>
      <c r="EW111">
        <f>IF(EV111=0,0,1+COUNTIF(EW$3:EW110,"&gt;0"))</f>
        <v>0</v>
      </c>
      <c r="EX111" t="str">
        <f t="shared" si="102"/>
        <v/>
      </c>
      <c r="EY111" t="str">
        <f t="shared" si="79"/>
        <v/>
      </c>
      <c r="FA111">
        <f t="shared" si="80"/>
        <v>0</v>
      </c>
      <c r="FB111">
        <f>IF(FA111=0,0,1+COUNTIF(FB$3:FB110,"&gt;0"))</f>
        <v>0</v>
      </c>
      <c r="FC111" t="str">
        <f t="shared" si="103"/>
        <v/>
      </c>
      <c r="FD111" t="str">
        <f t="shared" si="81"/>
        <v/>
      </c>
      <c r="FF111">
        <f t="shared" si="82"/>
        <v>0</v>
      </c>
      <c r="FG111">
        <f>IF(FF111=0,0,1+COUNTIF(FG$3:FG110,"&gt;0"))</f>
        <v>0</v>
      </c>
      <c r="FH111" t="str">
        <f t="shared" si="104"/>
        <v/>
      </c>
      <c r="FI111" t="str">
        <f t="shared" si="83"/>
        <v/>
      </c>
      <c r="FK111">
        <f t="shared" si="84"/>
        <v>0</v>
      </c>
      <c r="FL111">
        <f>IF(FK111=0,0,1+COUNTIF(FL$3:FL110,"&gt;0"))</f>
        <v>0</v>
      </c>
      <c r="FM111" t="str">
        <f t="shared" si="105"/>
        <v/>
      </c>
      <c r="FN111" t="str">
        <f t="shared" si="85"/>
        <v/>
      </c>
      <c r="FP111">
        <f t="shared" si="86"/>
        <v>0</v>
      </c>
      <c r="FQ111">
        <f>IF(FP111=0,0,1+COUNTIF(FQ$3:FQ110,"&gt;0"))</f>
        <v>0</v>
      </c>
      <c r="FR111" t="str">
        <f t="shared" si="106"/>
        <v/>
      </c>
      <c r="FS111" t="str">
        <f t="shared" si="87"/>
        <v/>
      </c>
    </row>
    <row r="112" spans="1:175" x14ac:dyDescent="0.25">
      <c r="A112" s="347">
        <f t="shared" si="107"/>
        <v>110</v>
      </c>
      <c r="B112" s="348" t="s">
        <v>5354</v>
      </c>
      <c r="C112" s="348">
        <v>6</v>
      </c>
      <c r="D112" s="347">
        <v>6</v>
      </c>
      <c r="E112" s="627" t="s">
        <v>6952</v>
      </c>
      <c r="F112" s="346"/>
      <c r="G112" s="347" t="s">
        <v>5269</v>
      </c>
      <c r="H112" s="347" t="s">
        <v>5281</v>
      </c>
      <c r="I112" s="347" t="s">
        <v>5298</v>
      </c>
      <c r="J112" s="347" t="str">
        <f t="shared" si="57"/>
        <v/>
      </c>
      <c r="K112" s="347" t="s">
        <v>5299</v>
      </c>
      <c r="L112" s="611" t="str">
        <f t="shared" si="58"/>
        <v>V, S, M, a sapphire worth 1,000 gp</v>
      </c>
      <c r="M112" s="347" t="s">
        <v>2373</v>
      </c>
      <c r="N112" s="347" t="s">
        <v>2387</v>
      </c>
      <c r="O112" s="347" t="s">
        <v>1244</v>
      </c>
      <c r="P112" s="346" t="s">
        <v>5355</v>
      </c>
      <c r="Q112" s="347" t="s">
        <v>5271</v>
      </c>
      <c r="S112" s="346" t="s">
        <v>5671</v>
      </c>
      <c r="T112" s="346" t="str">
        <f t="shared" si="59"/>
        <v xml:space="preserve">Wizard, </v>
      </c>
      <c r="AD112" s="347" t="str">
        <f>$B112</f>
        <v>Drawmij's Instant Summons</v>
      </c>
      <c r="AE112" t="str">
        <f>IF(IFERROR(MATCH($B112,temp!A$4:A$13,0),0)&gt;0,T08_Spells!AE$2,"")</f>
        <v/>
      </c>
      <c r="AF112" t="str">
        <f>IF(IFERROR(MATCH($B112,temp!B$4:B$13,0),0)&gt;0,T08_Spells!AF$2,"")</f>
        <v/>
      </c>
      <c r="AG112" t="str">
        <f>IF(IFERROR(MATCH($B112,temp!C$4:C$13,0),0)&gt;0,T08_Spells!AG$2,"")</f>
        <v/>
      </c>
      <c r="AH112" t="str">
        <f>IF(IFERROR(MATCH($B112,temp!D$4:D$13,0),0)&gt;0,T08_Spells!AH$2,"")</f>
        <v/>
      </c>
      <c r="AI112" t="str">
        <f>IF(IFERROR(MATCH($B112,temp!E$4:E$13,0),0)&gt;0,T08_Spells!AI$2,"")</f>
        <v/>
      </c>
      <c r="AJ112" t="str">
        <f>IF(IFERROR(MATCH($B112,temp!F$4:F$13,0),0)&gt;0,T08_Spells!AJ$2,"")</f>
        <v/>
      </c>
      <c r="AK112" t="str">
        <f>IF(IFERROR(MATCH($B112,temp!G$4:G$13,0),0)&gt;0,T08_Spells!AK$2,"")</f>
        <v/>
      </c>
      <c r="AL112" t="str">
        <f>IF(IFERROR(MATCH($B112,temp!H$4:H$13,0),0)&gt;0,T08_Spells!AL$2,"")</f>
        <v/>
      </c>
      <c r="AM112" t="str">
        <f>IF(IFERROR(MATCH($B112,temp!I$4:I$13,0),0)&gt;0,T08_Spells!AM$2,"")</f>
        <v/>
      </c>
      <c r="AN112" t="str">
        <f>IF(IFERROR(MATCH($B112,temp!J$4:J$13,0),0)&gt;0,T08_Spells!AN$2,"")</f>
        <v/>
      </c>
      <c r="AO112" t="str">
        <f>IF(IFERROR(MATCH($B112,temp!K$4:K$13,0),0)&gt;0,T08_Spells!AO$2,"")</f>
        <v/>
      </c>
      <c r="AP112" t="str">
        <f>IF(IFERROR(MATCH($B112,temp!L$4:L$13,0),0)&gt;0,T08_Spells!AP$2,"")</f>
        <v/>
      </c>
      <c r="AQ112" t="str">
        <f>IF(IFERROR(MATCH($B112,temp!M$4:M$13,0),0)&gt;0,T08_Spells!AQ$2,"")</f>
        <v/>
      </c>
      <c r="AR112" t="str">
        <f>IF(IFERROR(MATCH($B112,temp!N$4:N$13,0),0)&gt;0,T08_Spells!AR$2,"")</f>
        <v/>
      </c>
      <c r="AS112" t="str">
        <f>IF(IFERROR(MATCH($B112,temp!O$4:O$13,0),0)&gt;0,T08_Spells!AS$2,"")</f>
        <v/>
      </c>
      <c r="AT112" t="str">
        <f>IF(IFERROR(MATCH($B112,temp!P$4:P$13,0),0)&gt;0,T08_Spells!AT$2,"")</f>
        <v/>
      </c>
      <c r="AU112" t="str">
        <f>IF(IFERROR(MATCH($B112,temp!Q$4:Q$13,0),0)&gt;0,T08_Spells!AU$2,"")</f>
        <v/>
      </c>
      <c r="AV112" t="str">
        <f>IF(IFERROR(MATCH($B112,temp!R$4:R$13,0),0)&gt;0,T08_Spells!AV$2,"")</f>
        <v/>
      </c>
      <c r="AW112" t="str">
        <f>IF(IFERROR(MATCH($B112,temp!S$4:S$13,0),0)&gt;0,T08_Spells!AW$2,"")</f>
        <v/>
      </c>
      <c r="AX112" t="str">
        <f>IF(IFERROR(MATCH($B112,temp!T$4:T$13,0),0)&gt;0,T08_Spells!AX$2,"")</f>
        <v/>
      </c>
      <c r="AY112" t="str">
        <f>IF(IFERROR(MATCH($B112,temp!U$4:U$13,0),0)&gt;0,T08_Spells!AY$2,"")</f>
        <v/>
      </c>
      <c r="AZ112" t="str">
        <f>IF(IFERROR(MATCH($B112,temp!V$4:V$13,0),0)&gt;0,T08_Spells!AZ$2,"")</f>
        <v/>
      </c>
      <c r="BA112" t="str">
        <f>IF(IFERROR(MATCH($B112,temp!W$4:W$13,0),0)&gt;0,T08_Spells!BA$2,"")</f>
        <v/>
      </c>
      <c r="BC112">
        <f>IF(IFERROR(SEARCH("Ranger",$T112,1),0)&gt;0,1,0)*IF(RangerMaxSpellLevel&gt;=$C112,1,0)*IF(IFERROR(MATCH(B112,Character_Creation!$X$79:$X$382,0),0)&gt;0,0,1)</f>
        <v>0</v>
      </c>
      <c r="BD112">
        <f>IF(BC112=0,0,1+COUNTIF(BD$3:BD111,"&gt;0"))</f>
        <v>0</v>
      </c>
      <c r="BE112" t="str">
        <f t="shared" si="88"/>
        <v/>
      </c>
      <c r="BF112" t="str">
        <f t="shared" si="60"/>
        <v/>
      </c>
      <c r="BH112">
        <f>IF(IFERROR(SEARCH("Sorcerer",$T112,1),0)&gt;0,1,0)*IF(SorcererMaxSpellLevel&gt;=$C112,1,0)*IF(IFERROR(MATCH(B112,Character_Creation!$J$380:$J$394,0),0)&gt;0,0,1)</f>
        <v>0</v>
      </c>
      <c r="BI112">
        <f>IF(BH112=0,0,1+COUNTIF(BI$3:BI111,"&gt;0"))</f>
        <v>0</v>
      </c>
      <c r="BJ112" t="str">
        <f t="shared" si="89"/>
        <v/>
      </c>
      <c r="BK112" t="str">
        <f t="shared" si="61"/>
        <v/>
      </c>
      <c r="BM112">
        <f>IF(OR(IFERROR(SEARCH("Warlock",$T112,1),0)&gt;0,IFERROR(SEARCH(WarlockPatron,$T112,1),0)&gt;0),1,0)*IF(WarlockMaxSpellLevel&gt;=$C112,1,0)*IF(IFERROR(MATCH(B112,Character_Creation!$J$361:$J$375,0),0)&gt;0,0,1)</f>
        <v>0</v>
      </c>
      <c r="BN112">
        <f>IF(BM112=0,0,1+COUNTIF(BN$3:BN111,"&gt;0"))</f>
        <v>0</v>
      </c>
      <c r="BO112" t="str">
        <f t="shared" si="90"/>
        <v/>
      </c>
      <c r="BP112" t="str">
        <f t="shared" si="62"/>
        <v/>
      </c>
      <c r="BR112">
        <f>IF(IFERROR(SEARCH("Eldritch Knight",$T112,1),0)&gt;0,1,0)*IF(EldritchKnightMaxSpellLevel&gt;=$C112,1,0)*IF(IFERROR(MATCH($B112,Character_Creation!$J$350:$J$356,0),0)&gt;0,0,1)*IF(Character_Creation!$M$338&gt;0,1,0)</f>
        <v>0</v>
      </c>
      <c r="BS112">
        <f>IF(BR112=0,0,1+COUNTIF(BS$3:BS111,"&gt;0"))</f>
        <v>0</v>
      </c>
      <c r="BT112" t="str">
        <f t="shared" si="91"/>
        <v/>
      </c>
      <c r="BU112" t="str">
        <f t="shared" si="63"/>
        <v/>
      </c>
      <c r="BW112">
        <f>IF(IFERROR(SEARCH("Arcane Trickster",$T112,1),0)&gt;0,1,0)*IF(ArcaneTricksterMaxSpellLevel&gt;=$C112,1,0)*IF(IFERROR(MATCH($B112,Character_Creation!$J$350:$J$356,0),0)&gt;0,0,1)*IF(Character_Creation!$T$338&gt;0,1,0)</f>
        <v>0</v>
      </c>
      <c r="BX112">
        <f>IF(BW112=0,0,1+COUNTIF(BX$3:BX111,"&gt;0"))</f>
        <v>0</v>
      </c>
      <c r="BY112" t="str">
        <f t="shared" si="92"/>
        <v/>
      </c>
      <c r="BZ112" t="str">
        <f t="shared" si="64"/>
        <v/>
      </c>
      <c r="CB112">
        <f>IF(IFERROR(SEARCH("Wizard",$T112,1),0)&gt;0,1,0)*IF(C112&lt;=ArcaneTricksterMaxSpellLevel,1,0)*IF(IFERROR(MATCH($B112,Character_Creation!$J$350:$J$356,0),0)&gt;0,0,1)*IF(Character_Creation!$T$350&gt;0,1,0)</f>
        <v>0</v>
      </c>
      <c r="CC112">
        <f>IF(CB112=0,0,1+COUNTIF(CC$3:CC111,"&gt;0"))</f>
        <v>0</v>
      </c>
      <c r="CD112" t="str">
        <f t="shared" si="93"/>
        <v/>
      </c>
      <c r="CE112" t="str">
        <f t="shared" si="65"/>
        <v/>
      </c>
      <c r="CG112">
        <f>IF(IFERROR(SEARCH("Wizard",$T112,1),0)&gt;0,1,0)*IF($C112&lt;=EldritchKnightMaxSpellLevel,1,0)*IF(IFERROR(MATCH($B112,Character_Creation!$J$350:$J$356,0),0)&gt;0,0,1)*IF(Character_Creation!$M$350&gt;0,1,0)</f>
        <v>0</v>
      </c>
      <c r="CH112">
        <f>IF(CG112=0,0,1+COUNTIF(CH$3:CH111,"&gt;0"))</f>
        <v>0</v>
      </c>
      <c r="CI112" t="str">
        <f t="shared" si="94"/>
        <v/>
      </c>
      <c r="CJ112" t="str">
        <f t="shared" si="66"/>
        <v/>
      </c>
      <c r="CL112">
        <f>IF(IFERROR(SEARCH("Bard",$T112,1),0)&gt;0,1,0)*IF(BardMaxSpellLevel&gt;=$C112,1,0)*IF(IFERROR(MATCH(B112,Character_Creation!$C$341:$F$362,0),0)&gt;0,0,1)*IF(IFERROR(MATCH($B112,Character_Creation!$C$341:$C$362,0),0)&gt;0,0,1)</f>
        <v>0</v>
      </c>
      <c r="CM112">
        <f>IF(CL112=0,0,1+COUNTIF(CM$3:CM111,"&gt;0"))</f>
        <v>0</v>
      </c>
      <c r="CN112" t="str">
        <f t="shared" si="95"/>
        <v/>
      </c>
      <c r="CO112" t="str">
        <f t="shared" si="67"/>
        <v/>
      </c>
      <c r="CQ112">
        <f>IF(IFERROR(SEARCH("Wizard",$T112,1),0)&gt;0,1,0)*IF(WizardMaxSpellLevel&gt;=$C112,1,0)*IF(IFERROR(MATCH(B112,Character_Creation!$X$341:$X$400,0),0)&gt;0,0,1)*IF(SelectedWizardSpellLevel=$C112,1,0)</f>
        <v>0</v>
      </c>
      <c r="CR112">
        <f>IF(CQ112=0,0,1+COUNTIF(CR$3:CR111,"&gt;0"))</f>
        <v>0</v>
      </c>
      <c r="CS112" t="str">
        <f t="shared" si="96"/>
        <v/>
      </c>
      <c r="CT112" t="str">
        <f t="shared" si="68"/>
        <v/>
      </c>
      <c r="CV112">
        <f>IF(IFERROR(MATCH($B112,Character_Creation!$C$341:$C$362,0),0)&gt;0,0,1)*IF(OR(C112="Cantrip",C112&lt;=BardMaxSpellLevel),1,0)*IF(IFERROR(MATCH($B112,Character_Creation!$C$367:$C$374,0),0)&gt;0,0,1)</f>
        <v>0</v>
      </c>
      <c r="CW112">
        <f>IF(CV112=0,0,1+COUNTIF(CW$3:CW111,"&gt;0"))</f>
        <v>0</v>
      </c>
      <c r="CX112" t="str">
        <f t="shared" si="97"/>
        <v/>
      </c>
      <c r="CY112" t="str">
        <f t="shared" si="69"/>
        <v/>
      </c>
      <c r="DA112">
        <f>IF(IF(OR(IFERROR(SEARCH("Cleric",$T112,1),0)&gt;0,IFERROR(SEARCH(DivineDomain&amp;",",$T112,1),0)&gt;0),1,0)*IF($C112=DA$2,1,0)=1,1+COUNTIF(DA$3:DA111,"&gt;0"),0)</f>
        <v>0</v>
      </c>
      <c r="DB112">
        <f>IF(IF(OR(IFERROR(SEARCH("Cleric",$T112,1),0)&gt;0,IFERROR(SEARCH(DivineDomain&amp;",",$T112,1),0)&gt;0),1,0)*IF($C112=DB$2,1,0)=1,1+COUNTIF(DB$3:DB111,"&gt;0"),0)</f>
        <v>0</v>
      </c>
      <c r="DC112">
        <f>IF(IF(OR(IFERROR(SEARCH("Cleric",$T112,1),0)&gt;0,IFERROR(SEARCH(DivineDomain&amp;",",$T112,1),0)&gt;0),1,0)*IF($C112=DC$2,1,0)=1,1+COUNTIF(DC$3:DC111,"&gt;0"),0)</f>
        <v>0</v>
      </c>
      <c r="DD112">
        <f>IF(IF(OR(IFERROR(SEARCH("Cleric",$T112,1),0)&gt;0,IFERROR(SEARCH(DivineDomain&amp;",",$T112,1),0)&gt;0),1,0)*IF($C112=DD$2,1,0)=1,1+COUNTIF(DD$3:DD111,"&gt;0"),0)</f>
        <v>0</v>
      </c>
      <c r="DE112">
        <f>IF(IF(OR(IFERROR(SEARCH("Cleric",$T112,1),0)&gt;0,IFERROR(SEARCH(DivineDomain&amp;",",$T112,1),0)&gt;0),1,0)*IF($C112=DE$2,1,0)=1,1+COUNTIF(DE$3:DE111,"&gt;0"),0)</f>
        <v>0</v>
      </c>
      <c r="DF112">
        <f>IF(IF(OR(IFERROR(SEARCH("Cleric",$T112,1),0)&gt;0,IFERROR(SEARCH(DivineDomain&amp;",",$T112,1),0)&gt;0),1,0)*IF($C112=DF$2,1,0)=1,1+COUNTIF(DF$3:DF111,"&gt;0"),0)</f>
        <v>0</v>
      </c>
      <c r="DG112">
        <f>IF(IF(OR(IFERROR(SEARCH("Cleric",$T112,1),0)&gt;0,IFERROR(SEARCH(DivineDomain&amp;",",$T112,1),0)&gt;0),1,0)*IF($C112=DG$2,1,0)=1,1+COUNTIF(DG$3:DG111,"&gt;0"),0)</f>
        <v>0</v>
      </c>
      <c r="DH112">
        <f>IF(IF(OR(IFERROR(SEARCH("Cleric",$T112,1),0)&gt;0,IFERROR(SEARCH(DivineDomain&amp;",",$T112,1),0)&gt;0),1,0)*IF($C112=DH$2,1,0)=1,1+COUNTIF(DH$3:DH111,"&gt;0"),0)</f>
        <v>0</v>
      </c>
      <c r="DI112">
        <f>IF(IF(OR(IFERROR(SEARCH("Cleric",$T112,1),0)&gt;0,IFERROR(SEARCH(DivineDomain&amp;",",$T112,1),0)&gt;0),1,0)*IF($C112=DI$2,1,0)=1,1+COUNTIF(DI$3:DI111,"&gt;0"),0)</f>
        <v>0</v>
      </c>
      <c r="DJ112">
        <f>IF(IF(OR(IFERROR(SEARCH("Druid",$T112,1),0)&gt;0,IFERROR(SEARCH(DruidLand1,$T112,1),0)&gt;0,IFERROR(SEARCH(DruidLand2,$T112,1),0)&gt;0,IFERROR(SEARCH(DruidLand3,$T112,1),0)&gt;0,IFERROR(SEARCH(DruidLand4,$T112,1),0)&gt;0),1,0)*IF($C112=1,1,0)*IF($C112=DJ$2,1,0)=0,0,1+COUNTIF(DJ$3:DJ111,"&gt;0"))</f>
        <v>0</v>
      </c>
      <c r="DK112">
        <f>IF(IF(OR(IFERROR(SEARCH("Druid",$T112,1),0)&gt;0,IFERROR(SEARCH(DruidLand1,$T112,1),0)&gt;0,IFERROR(SEARCH(DruidLand2,$T112,1),0)&gt;0,IFERROR(SEARCH(DruidLand3,$T112,1),0)&gt;0,IFERROR(SEARCH(DruidLand4,$T112,1),0)&gt;0),1,0)*IF($C112=1,1,0)*IF($C112=DK$2,1,0)=0,0,1+COUNTIF(DK$3:DK111,"&gt;0"))</f>
        <v>0</v>
      </c>
      <c r="DL112">
        <f>IF(IF(OR(IFERROR(SEARCH("Druid",$T112,1),0)&gt;0,IFERROR(SEARCH(DruidLand1,$T112,1),0)&gt;0,IFERROR(SEARCH(DruidLand2,$T112,1),0)&gt;0,IFERROR(SEARCH(DruidLand3,$T112,1),0)&gt;0,IFERROR(SEARCH(DruidLand4,$T112,1),0)&gt;0),1,0)*IF($C112=1,1,0)*IF($C112=DL$2,1,0)=0,0,1+COUNTIF(DL$3:DL111,"&gt;0"))</f>
        <v>0</v>
      </c>
      <c r="DM112">
        <f>IF(IF(OR(IFERROR(SEARCH("Druid",$T112,1),0)&gt;0,IFERROR(SEARCH(DruidLand1,$T112,1),0)&gt;0,IFERROR(SEARCH(DruidLand2,$T112,1),0)&gt;0,IFERROR(SEARCH(DruidLand3,$T112,1),0)&gt;0,IFERROR(SEARCH(DruidLand4,$T112,1),0)&gt;0),1,0)*IF($C112=1,1,0)*IF($C112=DM$2,1,0)=0,0,1+COUNTIF(DM$3:DM111,"&gt;0"))</f>
        <v>0</v>
      </c>
      <c r="DN112">
        <f>IF(IF(OR(IFERROR(SEARCH("Druid",$T112,1),0)&gt;0,IFERROR(SEARCH(DruidLand1,$T112,1),0)&gt;0,IFERROR(SEARCH(DruidLand2,$T112,1),0)&gt;0,IFERROR(SEARCH(DruidLand3,$T112,1),0)&gt;0,IFERROR(SEARCH(DruidLand4,$T112,1),0)&gt;0),1,0)*IF($C112=1,1,0)*IF($C112=DN$2,1,0)=0,0,1+COUNTIF(DN$3:DN111,"&gt;0"))</f>
        <v>0</v>
      </c>
      <c r="DO112">
        <f>IF(IF(OR(IFERROR(SEARCH("Druid",$T112,1),0)&gt;0,IFERROR(SEARCH(DruidLand1,$T112,1),0)&gt;0,IFERROR(SEARCH(DruidLand2,$T112,1),0)&gt;0,IFERROR(SEARCH(DruidLand3,$T112,1),0)&gt;0,IFERROR(SEARCH(DruidLand4,$T112,1),0)&gt;0),1,0)*IF($C112=1,1,0)*IF($C112=DO$2,1,0)=0,0,1+COUNTIF(DO$3:DO111,"&gt;0"))</f>
        <v>0</v>
      </c>
      <c r="DP112">
        <f>IF(IF(OR(IFERROR(SEARCH("Druid",$T112,1),0)&gt;0,IFERROR(SEARCH(DruidLand1,$T112,1),0)&gt;0,IFERROR(SEARCH(DruidLand2,$T112,1),0)&gt;0,IFERROR(SEARCH(DruidLand3,$T112,1),0)&gt;0,IFERROR(SEARCH(DruidLand4,$T112,1),0)&gt;0),1,0)*IF($C112=1,1,0)*IF($C112=DP$2,1,0)=0,0,1+COUNTIF(DP$3:DP111,"&gt;0"))</f>
        <v>0</v>
      </c>
      <c r="DQ112">
        <f>IF(IF(OR(IFERROR(SEARCH("Druid",$T112,1),0)&gt;0,IFERROR(SEARCH(DruidLand1,$T112,1),0)&gt;0,IFERROR(SEARCH(DruidLand2,$T112,1),0)&gt;0,IFERROR(SEARCH(DruidLand3,$T112,1),0)&gt;0,IFERROR(SEARCH(DruidLand4,$T112,1),0)&gt;0),1,0)*IF($C112=1,1,0)*IF($C112=DQ$2,1,0)=0,0,1+COUNTIF(DQ$3:DQ111,"&gt;0"))</f>
        <v>0</v>
      </c>
      <c r="DR112">
        <f>IF(IF(OR(IFERROR(SEARCH("Druid",$T112,1),0)&gt;0,IFERROR(SEARCH(DruidLand1,$T112,1),0)&gt;0,IFERROR(SEARCH(DruidLand2,$T112,1),0)&gt;0,IFERROR(SEARCH(DruidLand3,$T112,1),0)&gt;0,IFERROR(SEARCH(DruidLand4,$T112,1),0)&gt;0),1,0)*IF($C112=1,1,0)*IF($C112=DR$2,1,0)=0,0,1+COUNTIF(DR$3:DR111,"&gt;0"))</f>
        <v>0</v>
      </c>
      <c r="DS112">
        <f>IF(IF(OR(IFERROR(SEARCH("Paladin",$T112,1),0)&gt;0,IFERROR(SEARCH(PaladinOath,$T112,1),0)&gt;0),1,0)*IF($C112=DS$2,1,0)=1,1+COUNTIF(DS$3:DS111,"&gt;0"),0)</f>
        <v>0</v>
      </c>
      <c r="DT112">
        <f>IF(IF(OR(IFERROR(SEARCH("Paladin",$T112,1),0)&gt;0,IFERROR(SEARCH(PaladinOath,$T112,1),0)&gt;0),1,0)*IF($C112=DT$2,1,0)=1,1+COUNTIF(DT$3:DT111,"&gt;0"),0)</f>
        <v>0</v>
      </c>
      <c r="DU112">
        <f>IF(IF(OR(IFERROR(SEARCH("Paladin",$T112,1),0)&gt;0,IFERROR(SEARCH(PaladinOath,$T112,1),0)&gt;0),1,0)*IF($C112=DU$2,1,0)=1,1+COUNTIF(DU$3:DU111,"&gt;0"),0)</f>
        <v>0</v>
      </c>
      <c r="DV112">
        <f>IF(IF(OR(IFERROR(SEARCH("Paladin",$T112,1),0)&gt;0,IFERROR(SEARCH(PaladinOath,$T112,1),0)&gt;0),1,0)*IF($C112=DV$2,1,0)=1,1+COUNTIF(DV$3:DV111,"&gt;0"),0)</f>
        <v>0</v>
      </c>
      <c r="DW112">
        <f>IF(IF(OR(IFERROR(SEARCH("Paladin",$T112,1),0)&gt;0,IFERROR(SEARCH(PaladinOath,$T112,1),0)&gt;0),1,0)*IF($C112=DW$2,1,0)=1,1+COUNTIF(DW$3:DW111,"&gt;0"),0)</f>
        <v>0</v>
      </c>
      <c r="DY112">
        <f t="shared" si="56"/>
        <v>1</v>
      </c>
      <c r="DZ112">
        <f>IF(DY112=0,0,1+MAX(DZ$3:$DZ111))</f>
        <v>110</v>
      </c>
      <c r="EB112">
        <f t="shared" si="70"/>
        <v>0</v>
      </c>
      <c r="EC112">
        <f>IF(EB112=0,0,1+COUNTIF(EC$3:EC111,"&gt;0"))</f>
        <v>0</v>
      </c>
      <c r="ED112" t="str">
        <f t="shared" si="98"/>
        <v/>
      </c>
      <c r="EE112" t="str">
        <f t="shared" si="71"/>
        <v/>
      </c>
      <c r="EG112">
        <f t="shared" si="72"/>
        <v>0</v>
      </c>
      <c r="EH112">
        <f>IF(EG112=0,0,1+COUNTIF(EH$3:EH111,"&gt;0"))</f>
        <v>0</v>
      </c>
      <c r="EI112" t="str">
        <f t="shared" si="99"/>
        <v/>
      </c>
      <c r="EJ112" t="str">
        <f t="shared" si="73"/>
        <v/>
      </c>
      <c r="EL112">
        <f t="shared" si="74"/>
        <v>0</v>
      </c>
      <c r="EM112">
        <f>IF(EL112=0,0,1+COUNTIF(EM$3:EM111,"&gt;0"))</f>
        <v>0</v>
      </c>
      <c r="EN112" t="str">
        <f t="shared" si="100"/>
        <v/>
      </c>
      <c r="EO112" t="str">
        <f t="shared" si="75"/>
        <v/>
      </c>
      <c r="EQ112">
        <f t="shared" si="76"/>
        <v>0</v>
      </c>
      <c r="ER112">
        <f>IF(EQ112=0,0,1+COUNTIF(ER$3:ER111,"&gt;0"))</f>
        <v>0</v>
      </c>
      <c r="ES112" t="str">
        <f t="shared" si="101"/>
        <v/>
      </c>
      <c r="ET112" t="str">
        <f t="shared" si="77"/>
        <v/>
      </c>
      <c r="EV112">
        <f t="shared" si="78"/>
        <v>0</v>
      </c>
      <c r="EW112">
        <f>IF(EV112=0,0,1+COUNTIF(EW$3:EW111,"&gt;0"))</f>
        <v>0</v>
      </c>
      <c r="EX112" t="str">
        <f t="shared" si="102"/>
        <v/>
      </c>
      <c r="EY112" t="str">
        <f t="shared" si="79"/>
        <v/>
      </c>
      <c r="FA112">
        <f t="shared" si="80"/>
        <v>0</v>
      </c>
      <c r="FB112">
        <f>IF(FA112=0,0,1+COUNTIF(FB$3:FB111,"&gt;0"))</f>
        <v>0</v>
      </c>
      <c r="FC112" t="str">
        <f t="shared" si="103"/>
        <v/>
      </c>
      <c r="FD112" t="str">
        <f t="shared" si="81"/>
        <v/>
      </c>
      <c r="FF112">
        <f t="shared" si="82"/>
        <v>0</v>
      </c>
      <c r="FG112">
        <f>IF(FF112=0,0,1+COUNTIF(FG$3:FG111,"&gt;0"))</f>
        <v>0</v>
      </c>
      <c r="FH112" t="str">
        <f t="shared" si="104"/>
        <v/>
      </c>
      <c r="FI112" t="str">
        <f t="shared" si="83"/>
        <v/>
      </c>
      <c r="FK112">
        <f t="shared" si="84"/>
        <v>0</v>
      </c>
      <c r="FL112">
        <f>IF(FK112=0,0,1+COUNTIF(FL$3:FL111,"&gt;0"))</f>
        <v>0</v>
      </c>
      <c r="FM112" t="str">
        <f t="shared" si="105"/>
        <v/>
      </c>
      <c r="FN112" t="str">
        <f t="shared" si="85"/>
        <v/>
      </c>
      <c r="FP112">
        <f t="shared" si="86"/>
        <v>0</v>
      </c>
      <c r="FQ112">
        <f>IF(FP112=0,0,1+COUNTIF(FQ$3:FQ111,"&gt;0"))</f>
        <v>0</v>
      </c>
      <c r="FR112" t="str">
        <f t="shared" si="106"/>
        <v/>
      </c>
      <c r="FS112" t="str">
        <f t="shared" si="87"/>
        <v/>
      </c>
    </row>
    <row r="113" spans="1:175" x14ac:dyDescent="0.25">
      <c r="A113" s="347">
        <f t="shared" si="107"/>
        <v>111</v>
      </c>
      <c r="B113" s="348" t="s">
        <v>2480</v>
      </c>
      <c r="C113" s="348">
        <v>5</v>
      </c>
      <c r="D113" s="347">
        <v>5</v>
      </c>
      <c r="E113" s="627" t="s">
        <v>6952</v>
      </c>
      <c r="F113" s="346"/>
      <c r="G113" s="347" t="str">
        <f>""</f>
        <v/>
      </c>
      <c r="H113" s="347" t="s">
        <v>5288</v>
      </c>
      <c r="I113" s="347" t="s">
        <v>5302</v>
      </c>
      <c r="J113" s="347" t="str">
        <f t="shared" si="57"/>
        <v/>
      </c>
      <c r="K113" s="347" t="s">
        <v>5279</v>
      </c>
      <c r="L113" s="611" t="str">
        <f t="shared" si="58"/>
        <v>V, S, M, a handful of sand, a dab of ink, and a writing quill plucked from a sleeping bird</v>
      </c>
      <c r="M113" s="347" t="s">
        <v>2373</v>
      </c>
      <c r="N113" s="347" t="s">
        <v>2387</v>
      </c>
      <c r="O113" s="347" t="s">
        <v>1244</v>
      </c>
      <c r="P113" s="346" t="s">
        <v>5356</v>
      </c>
      <c r="Q113" s="347" t="s">
        <v>5274</v>
      </c>
      <c r="S113" s="346" t="s">
        <v>5672</v>
      </c>
      <c r="T113" s="346" t="str">
        <f t="shared" si="59"/>
        <v xml:space="preserve">Bard, Warlock, Arcane Trickster, Wizard, GrassLand, </v>
      </c>
      <c r="U113" s="347" t="str">
        <f>$B113</f>
        <v>Dream</v>
      </c>
      <c r="Y113" s="347" t="str">
        <f>$B113</f>
        <v>Dream</v>
      </c>
      <c r="AC113" s="539" t="str">
        <f>B113</f>
        <v>Dream</v>
      </c>
      <c r="AD113" s="347" t="str">
        <f>$B113</f>
        <v>Dream</v>
      </c>
      <c r="AE113" t="str">
        <f>IF(IFERROR(MATCH($B113,temp!A$4:A$13,0),0)&gt;0,T08_Spells!AE$2,"")</f>
        <v/>
      </c>
      <c r="AF113" t="str">
        <f>IF(IFERROR(MATCH($B113,temp!B$4:B$13,0),0)&gt;0,T08_Spells!AF$2,"")</f>
        <v/>
      </c>
      <c r="AG113" t="str">
        <f>IF(IFERROR(MATCH($B113,temp!C$4:C$13,0),0)&gt;0,T08_Spells!AG$2,"")</f>
        <v/>
      </c>
      <c r="AH113" t="str">
        <f>IF(IFERROR(MATCH($B113,temp!D$4:D$13,0),0)&gt;0,T08_Spells!AH$2,"")</f>
        <v/>
      </c>
      <c r="AI113" t="str">
        <f>IF(IFERROR(MATCH($B113,temp!E$4:E$13,0),0)&gt;0,T08_Spells!AI$2,"")</f>
        <v/>
      </c>
      <c r="AJ113" t="str">
        <f>IF(IFERROR(MATCH($B113,temp!F$4:F$13,0),0)&gt;0,T08_Spells!AJ$2,"")</f>
        <v/>
      </c>
      <c r="AK113" t="str">
        <f>IF(IFERROR(MATCH($B113,temp!G$4:G$13,0),0)&gt;0,T08_Spells!AK$2,"")</f>
        <v/>
      </c>
      <c r="AL113" t="str">
        <f>IF(IFERROR(MATCH($B113,temp!H$4:H$13,0),0)&gt;0,T08_Spells!AL$2,"")</f>
        <v/>
      </c>
      <c r="AM113" t="str">
        <f>IF(IFERROR(MATCH($B113,temp!I$4:I$13,0),0)&gt;0,T08_Spells!AM$2,"")</f>
        <v/>
      </c>
      <c r="AN113" t="str">
        <f>IF(IFERROR(MATCH($B113,temp!J$4:J$13,0),0)&gt;0,T08_Spells!AN$2,"")</f>
        <v/>
      </c>
      <c r="AO113" t="str">
        <f>IF(IFERROR(MATCH($B113,temp!K$4:K$13,0),0)&gt;0,T08_Spells!AO$2,"")</f>
        <v/>
      </c>
      <c r="AP113" t="str">
        <f>IF(IFERROR(MATCH($B113,temp!L$4:L$13,0),0)&gt;0,T08_Spells!AP$2,"")</f>
        <v>Grassland</v>
      </c>
      <c r="AQ113" t="str">
        <f>IF(IFERROR(MATCH($B113,temp!M$4:M$13,0),0)&gt;0,T08_Spells!AQ$2,"")</f>
        <v/>
      </c>
      <c r="AR113" t="str">
        <f>IF(IFERROR(MATCH($B113,temp!N$4:N$13,0),0)&gt;0,T08_Spells!AR$2,"")</f>
        <v/>
      </c>
      <c r="AS113" t="str">
        <f>IF(IFERROR(MATCH($B113,temp!O$4:O$13,0),0)&gt;0,T08_Spells!AS$2,"")</f>
        <v/>
      </c>
      <c r="AT113" t="str">
        <f>IF(IFERROR(MATCH($B113,temp!P$4:P$13,0),0)&gt;0,T08_Spells!AT$2,"")</f>
        <v/>
      </c>
      <c r="AU113" t="str">
        <f>IF(IFERROR(MATCH($B113,temp!Q$4:Q$13,0),0)&gt;0,T08_Spells!AU$2,"")</f>
        <v/>
      </c>
      <c r="AV113" t="str">
        <f>IF(IFERROR(MATCH($B113,temp!R$4:R$13,0),0)&gt;0,T08_Spells!AV$2,"")</f>
        <v/>
      </c>
      <c r="AW113" t="str">
        <f>IF(IFERROR(MATCH($B113,temp!S$4:S$13,0),0)&gt;0,T08_Spells!AW$2,"")</f>
        <v/>
      </c>
      <c r="AX113" t="str">
        <f>IF(IFERROR(MATCH($B113,temp!T$4:T$13,0),0)&gt;0,T08_Spells!AX$2,"")</f>
        <v/>
      </c>
      <c r="AY113" t="str">
        <f>IF(IFERROR(MATCH($B113,temp!U$4:U$13,0),0)&gt;0,T08_Spells!AY$2,"")</f>
        <v/>
      </c>
      <c r="AZ113" t="str">
        <f>IF(IFERROR(MATCH($B113,temp!V$4:V$13,0),0)&gt;0,T08_Spells!AZ$2,"")</f>
        <v/>
      </c>
      <c r="BA113" t="str">
        <f>IF(IFERROR(MATCH($B113,temp!W$4:W$13,0),0)&gt;0,T08_Spells!BA$2,"")</f>
        <v/>
      </c>
      <c r="BC113">
        <f>IF(IFERROR(SEARCH("Ranger",$T113,1),0)&gt;0,1,0)*IF(RangerMaxSpellLevel&gt;=$C113,1,0)*IF(IFERROR(MATCH(B113,Character_Creation!$X$79:$X$382,0),0)&gt;0,0,1)</f>
        <v>0</v>
      </c>
      <c r="BD113">
        <f>IF(BC113=0,0,1+COUNTIF(BD$3:BD112,"&gt;0"))</f>
        <v>0</v>
      </c>
      <c r="BE113" t="str">
        <f t="shared" si="88"/>
        <v/>
      </c>
      <c r="BF113" t="str">
        <f t="shared" si="60"/>
        <v/>
      </c>
      <c r="BH113">
        <f>IF(IFERROR(SEARCH("Sorcerer",$T113,1),0)&gt;0,1,0)*IF(SorcererMaxSpellLevel&gt;=$C113,1,0)*IF(IFERROR(MATCH(B113,Character_Creation!$J$380:$J$394,0),0)&gt;0,0,1)</f>
        <v>0</v>
      </c>
      <c r="BI113">
        <f>IF(BH113=0,0,1+COUNTIF(BI$3:BI112,"&gt;0"))</f>
        <v>0</v>
      </c>
      <c r="BJ113" t="str">
        <f t="shared" si="89"/>
        <v/>
      </c>
      <c r="BK113" t="str">
        <f t="shared" si="61"/>
        <v/>
      </c>
      <c r="BM113">
        <f>IF(OR(IFERROR(SEARCH("Warlock",$T113,1),0)&gt;0,IFERROR(SEARCH(WarlockPatron,$T113,1),0)&gt;0),1,0)*IF(WarlockMaxSpellLevel&gt;=$C113,1,0)*IF(IFERROR(MATCH(B113,Character_Creation!$J$361:$J$375,0),0)&gt;0,0,1)</f>
        <v>0</v>
      </c>
      <c r="BN113">
        <f>IF(BM113=0,0,1+COUNTIF(BN$3:BN112,"&gt;0"))</f>
        <v>0</v>
      </c>
      <c r="BO113" t="str">
        <f t="shared" si="90"/>
        <v/>
      </c>
      <c r="BP113" t="str">
        <f t="shared" si="62"/>
        <v/>
      </c>
      <c r="BR113">
        <f>IF(IFERROR(SEARCH("Eldritch Knight",$T113,1),0)&gt;0,1,0)*IF(EldritchKnightMaxSpellLevel&gt;=$C113,1,0)*IF(IFERROR(MATCH($B113,Character_Creation!$J$350:$J$356,0),0)&gt;0,0,1)*IF(Character_Creation!$M$338&gt;0,1,0)</f>
        <v>0</v>
      </c>
      <c r="BS113">
        <f>IF(BR113=0,0,1+COUNTIF(BS$3:BS112,"&gt;0"))</f>
        <v>0</v>
      </c>
      <c r="BT113" t="str">
        <f t="shared" si="91"/>
        <v/>
      </c>
      <c r="BU113" t="str">
        <f t="shared" si="63"/>
        <v/>
      </c>
      <c r="BW113">
        <f>IF(IFERROR(SEARCH("Arcane Trickster",$T113,1),0)&gt;0,1,0)*IF(ArcaneTricksterMaxSpellLevel&gt;=$C113,1,0)*IF(IFERROR(MATCH($B113,Character_Creation!$J$350:$J$356,0),0)&gt;0,0,1)*IF(Character_Creation!$T$338&gt;0,1,0)</f>
        <v>0</v>
      </c>
      <c r="BX113">
        <f>IF(BW113=0,0,1+COUNTIF(BX$3:BX112,"&gt;0"))</f>
        <v>0</v>
      </c>
      <c r="BY113" t="str">
        <f t="shared" si="92"/>
        <v/>
      </c>
      <c r="BZ113" t="str">
        <f t="shared" si="64"/>
        <v/>
      </c>
      <c r="CB113">
        <f>IF(IFERROR(SEARCH("Wizard",$T113,1),0)&gt;0,1,0)*IF(C113&lt;=ArcaneTricksterMaxSpellLevel,1,0)*IF(IFERROR(MATCH($B113,Character_Creation!$J$350:$J$356,0),0)&gt;0,0,1)*IF(Character_Creation!$T$350&gt;0,1,0)</f>
        <v>0</v>
      </c>
      <c r="CC113">
        <f>IF(CB113=0,0,1+COUNTIF(CC$3:CC112,"&gt;0"))</f>
        <v>0</v>
      </c>
      <c r="CD113" t="str">
        <f t="shared" si="93"/>
        <v/>
      </c>
      <c r="CE113" t="str">
        <f t="shared" si="65"/>
        <v/>
      </c>
      <c r="CG113">
        <f>IF(IFERROR(SEARCH("Wizard",$T113,1),0)&gt;0,1,0)*IF($C113&lt;=EldritchKnightMaxSpellLevel,1,0)*IF(IFERROR(MATCH($B113,Character_Creation!$J$350:$J$356,0),0)&gt;0,0,1)*IF(Character_Creation!$M$350&gt;0,1,0)</f>
        <v>0</v>
      </c>
      <c r="CH113">
        <f>IF(CG113=0,0,1+COUNTIF(CH$3:CH112,"&gt;0"))</f>
        <v>0</v>
      </c>
      <c r="CI113" t="str">
        <f t="shared" si="94"/>
        <v/>
      </c>
      <c r="CJ113" t="str">
        <f t="shared" si="66"/>
        <v/>
      </c>
      <c r="CL113">
        <f>IF(IFERROR(SEARCH("Bard",$T113,1),0)&gt;0,1,0)*IF(BardMaxSpellLevel&gt;=$C113,1,0)*IF(IFERROR(MATCH(B113,Character_Creation!$C$341:$F$362,0),0)&gt;0,0,1)*IF(IFERROR(MATCH($B113,Character_Creation!$C$341:$C$362,0),0)&gt;0,0,1)</f>
        <v>0</v>
      </c>
      <c r="CM113">
        <f>IF(CL113=0,0,1+COUNTIF(CM$3:CM112,"&gt;0"))</f>
        <v>0</v>
      </c>
      <c r="CN113" t="str">
        <f t="shared" si="95"/>
        <v/>
      </c>
      <c r="CO113" t="str">
        <f t="shared" si="67"/>
        <v/>
      </c>
      <c r="CQ113">
        <f>IF(IFERROR(SEARCH("Wizard",$T113,1),0)&gt;0,1,0)*IF(WizardMaxSpellLevel&gt;=$C113,1,0)*IF(IFERROR(MATCH(B113,Character_Creation!$X$341:$X$400,0),0)&gt;0,0,1)*IF(SelectedWizardSpellLevel=$C113,1,0)</f>
        <v>0</v>
      </c>
      <c r="CR113">
        <f>IF(CQ113=0,0,1+COUNTIF(CR$3:CR112,"&gt;0"))</f>
        <v>0</v>
      </c>
      <c r="CS113" t="str">
        <f t="shared" si="96"/>
        <v/>
      </c>
      <c r="CT113" t="str">
        <f t="shared" si="68"/>
        <v/>
      </c>
      <c r="CV113">
        <f>IF(IFERROR(MATCH($B113,Character_Creation!$C$341:$C$362,0),0)&gt;0,0,1)*IF(OR(C113="Cantrip",C113&lt;=BardMaxSpellLevel),1,0)*IF(IFERROR(MATCH($B113,Character_Creation!$C$367:$C$374,0),0)&gt;0,0,1)</f>
        <v>0</v>
      </c>
      <c r="CW113">
        <f>IF(CV113=0,0,1+COUNTIF(CW$3:CW112,"&gt;0"))</f>
        <v>0</v>
      </c>
      <c r="CX113" t="str">
        <f t="shared" si="97"/>
        <v/>
      </c>
      <c r="CY113" t="str">
        <f t="shared" si="69"/>
        <v/>
      </c>
      <c r="DA113">
        <f>IF(IF(OR(IFERROR(SEARCH("Cleric",$T113,1),0)&gt;0,IFERROR(SEARCH(DivineDomain&amp;",",$T113,1),0)&gt;0),1,0)*IF($C113=DA$2,1,0)=1,1+COUNTIF(DA$3:DA112,"&gt;0"),0)</f>
        <v>0</v>
      </c>
      <c r="DB113">
        <f>IF(IF(OR(IFERROR(SEARCH("Cleric",$T113,1),0)&gt;0,IFERROR(SEARCH(DivineDomain&amp;",",$T113,1),0)&gt;0),1,0)*IF($C113=DB$2,1,0)=1,1+COUNTIF(DB$3:DB112,"&gt;0"),0)</f>
        <v>0</v>
      </c>
      <c r="DC113">
        <f>IF(IF(OR(IFERROR(SEARCH("Cleric",$T113,1),0)&gt;0,IFERROR(SEARCH(DivineDomain&amp;",",$T113,1),0)&gt;0),1,0)*IF($C113=DC$2,1,0)=1,1+COUNTIF(DC$3:DC112,"&gt;0"),0)</f>
        <v>0</v>
      </c>
      <c r="DD113">
        <f>IF(IF(OR(IFERROR(SEARCH("Cleric",$T113,1),0)&gt;0,IFERROR(SEARCH(DivineDomain&amp;",",$T113,1),0)&gt;0),1,0)*IF($C113=DD$2,1,0)=1,1+COUNTIF(DD$3:DD112,"&gt;0"),0)</f>
        <v>0</v>
      </c>
      <c r="DE113">
        <f>IF(IF(OR(IFERROR(SEARCH("Cleric",$T113,1),0)&gt;0,IFERROR(SEARCH(DivineDomain&amp;",",$T113,1),0)&gt;0),1,0)*IF($C113=DE$2,1,0)=1,1+COUNTIF(DE$3:DE112,"&gt;0"),0)</f>
        <v>0</v>
      </c>
      <c r="DF113">
        <f>IF(IF(OR(IFERROR(SEARCH("Cleric",$T113,1),0)&gt;0,IFERROR(SEARCH(DivineDomain&amp;",",$T113,1),0)&gt;0),1,0)*IF($C113=DF$2,1,0)=1,1+COUNTIF(DF$3:DF112,"&gt;0"),0)</f>
        <v>0</v>
      </c>
      <c r="DG113">
        <f>IF(IF(OR(IFERROR(SEARCH("Cleric",$T113,1),0)&gt;0,IFERROR(SEARCH(DivineDomain&amp;",",$T113,1),0)&gt;0),1,0)*IF($C113=DG$2,1,0)=1,1+COUNTIF(DG$3:DG112,"&gt;0"),0)</f>
        <v>0</v>
      </c>
      <c r="DH113">
        <f>IF(IF(OR(IFERROR(SEARCH("Cleric",$T113,1),0)&gt;0,IFERROR(SEARCH(DivineDomain&amp;",",$T113,1),0)&gt;0),1,0)*IF($C113=DH$2,1,0)=1,1+COUNTIF(DH$3:DH112,"&gt;0"),0)</f>
        <v>0</v>
      </c>
      <c r="DI113">
        <f>IF(IF(OR(IFERROR(SEARCH("Cleric",$T113,1),0)&gt;0,IFERROR(SEARCH(DivineDomain&amp;",",$T113,1),0)&gt;0),1,0)*IF($C113=DI$2,1,0)=1,1+COUNTIF(DI$3:DI112,"&gt;0"),0)</f>
        <v>0</v>
      </c>
      <c r="DJ113">
        <f>IF(IF(OR(IFERROR(SEARCH("Druid",$T113,1),0)&gt;0,IFERROR(SEARCH(DruidLand1,$T113,1),0)&gt;0,IFERROR(SEARCH(DruidLand2,$T113,1),0)&gt;0,IFERROR(SEARCH(DruidLand3,$T113,1),0)&gt;0,IFERROR(SEARCH(DruidLand4,$T113,1),0)&gt;0),1,0)*IF($C113=1,1,0)*IF($C113=DJ$2,1,0)=0,0,1+COUNTIF(DJ$3:DJ112,"&gt;0"))</f>
        <v>0</v>
      </c>
      <c r="DK113">
        <f>IF(IF(OR(IFERROR(SEARCH("Druid",$T113,1),0)&gt;0,IFERROR(SEARCH(DruidLand1,$T113,1),0)&gt;0,IFERROR(SEARCH(DruidLand2,$T113,1),0)&gt;0,IFERROR(SEARCH(DruidLand3,$T113,1),0)&gt;0,IFERROR(SEARCH(DruidLand4,$T113,1),0)&gt;0),1,0)*IF($C113=1,1,0)*IF($C113=DK$2,1,0)=0,0,1+COUNTIF(DK$3:DK112,"&gt;0"))</f>
        <v>0</v>
      </c>
      <c r="DL113">
        <f>IF(IF(OR(IFERROR(SEARCH("Druid",$T113,1),0)&gt;0,IFERROR(SEARCH(DruidLand1,$T113,1),0)&gt;0,IFERROR(SEARCH(DruidLand2,$T113,1),0)&gt;0,IFERROR(SEARCH(DruidLand3,$T113,1),0)&gt;0,IFERROR(SEARCH(DruidLand4,$T113,1),0)&gt;0),1,0)*IF($C113=1,1,0)*IF($C113=DL$2,1,0)=0,0,1+COUNTIF(DL$3:DL112,"&gt;0"))</f>
        <v>0</v>
      </c>
      <c r="DM113">
        <f>IF(IF(OR(IFERROR(SEARCH("Druid",$T113,1),0)&gt;0,IFERROR(SEARCH(DruidLand1,$T113,1),0)&gt;0,IFERROR(SEARCH(DruidLand2,$T113,1),0)&gt;0,IFERROR(SEARCH(DruidLand3,$T113,1),0)&gt;0,IFERROR(SEARCH(DruidLand4,$T113,1),0)&gt;0),1,0)*IF($C113=1,1,0)*IF($C113=DM$2,1,0)=0,0,1+COUNTIF(DM$3:DM112,"&gt;0"))</f>
        <v>0</v>
      </c>
      <c r="DN113">
        <f>IF(IF(OR(IFERROR(SEARCH("Druid",$T113,1),0)&gt;0,IFERROR(SEARCH(DruidLand1,$T113,1),0)&gt;0,IFERROR(SEARCH(DruidLand2,$T113,1),0)&gt;0,IFERROR(SEARCH(DruidLand3,$T113,1),0)&gt;0,IFERROR(SEARCH(DruidLand4,$T113,1),0)&gt;0),1,0)*IF($C113=1,1,0)*IF($C113=DN$2,1,0)=0,0,1+COUNTIF(DN$3:DN112,"&gt;0"))</f>
        <v>0</v>
      </c>
      <c r="DO113">
        <f>IF(IF(OR(IFERROR(SEARCH("Druid",$T113,1),0)&gt;0,IFERROR(SEARCH(DruidLand1,$T113,1),0)&gt;0,IFERROR(SEARCH(DruidLand2,$T113,1),0)&gt;0,IFERROR(SEARCH(DruidLand3,$T113,1),0)&gt;0,IFERROR(SEARCH(DruidLand4,$T113,1),0)&gt;0),1,0)*IF($C113=1,1,0)*IF($C113=DO$2,1,0)=0,0,1+COUNTIF(DO$3:DO112,"&gt;0"))</f>
        <v>0</v>
      </c>
      <c r="DP113">
        <f>IF(IF(OR(IFERROR(SEARCH("Druid",$T113,1),0)&gt;0,IFERROR(SEARCH(DruidLand1,$T113,1),0)&gt;0,IFERROR(SEARCH(DruidLand2,$T113,1),0)&gt;0,IFERROR(SEARCH(DruidLand3,$T113,1),0)&gt;0,IFERROR(SEARCH(DruidLand4,$T113,1),0)&gt;0),1,0)*IF($C113=1,1,0)*IF($C113=DP$2,1,0)=0,0,1+COUNTIF(DP$3:DP112,"&gt;0"))</f>
        <v>0</v>
      </c>
      <c r="DQ113">
        <f>IF(IF(OR(IFERROR(SEARCH("Druid",$T113,1),0)&gt;0,IFERROR(SEARCH(DruidLand1,$T113,1),0)&gt;0,IFERROR(SEARCH(DruidLand2,$T113,1),0)&gt;0,IFERROR(SEARCH(DruidLand3,$T113,1),0)&gt;0,IFERROR(SEARCH(DruidLand4,$T113,1),0)&gt;0),1,0)*IF($C113=1,1,0)*IF($C113=DQ$2,1,0)=0,0,1+COUNTIF(DQ$3:DQ112,"&gt;0"))</f>
        <v>0</v>
      </c>
      <c r="DR113">
        <f>IF(IF(OR(IFERROR(SEARCH("Druid",$T113,1),0)&gt;0,IFERROR(SEARCH(DruidLand1,$T113,1),0)&gt;0,IFERROR(SEARCH(DruidLand2,$T113,1),0)&gt;0,IFERROR(SEARCH(DruidLand3,$T113,1),0)&gt;0,IFERROR(SEARCH(DruidLand4,$T113,1),0)&gt;0),1,0)*IF($C113=1,1,0)*IF($C113=DR$2,1,0)=0,0,1+COUNTIF(DR$3:DR112,"&gt;0"))</f>
        <v>0</v>
      </c>
      <c r="DS113">
        <f>IF(IF(OR(IFERROR(SEARCH("Paladin",$T113,1),0)&gt;0,IFERROR(SEARCH(PaladinOath,$T113,1),0)&gt;0),1,0)*IF($C113=DS$2,1,0)=1,1+COUNTIF(DS$3:DS112,"&gt;0"),0)</f>
        <v>0</v>
      </c>
      <c r="DT113">
        <f>IF(IF(OR(IFERROR(SEARCH("Paladin",$T113,1),0)&gt;0,IFERROR(SEARCH(PaladinOath,$T113,1),0)&gt;0),1,0)*IF($C113=DT$2,1,0)=1,1+COUNTIF(DT$3:DT112,"&gt;0"),0)</f>
        <v>0</v>
      </c>
      <c r="DU113">
        <f>IF(IF(OR(IFERROR(SEARCH("Paladin",$T113,1),0)&gt;0,IFERROR(SEARCH(PaladinOath,$T113,1),0)&gt;0),1,0)*IF($C113=DU$2,1,0)=1,1+COUNTIF(DU$3:DU112,"&gt;0"),0)</f>
        <v>0</v>
      </c>
      <c r="DV113">
        <f>IF(IF(OR(IFERROR(SEARCH("Paladin",$T113,1),0)&gt;0,IFERROR(SEARCH(PaladinOath,$T113,1),0)&gt;0),1,0)*IF($C113=DV$2,1,0)=1,1+COUNTIF(DV$3:DV112,"&gt;0"),0)</f>
        <v>0</v>
      </c>
      <c r="DW113">
        <f>IF(IF(OR(IFERROR(SEARCH("Paladin",$T113,1),0)&gt;0,IFERROR(SEARCH(PaladinOath,$T113,1),0)&gt;0),1,0)*IF($C113=DW$2,1,0)=1,1+COUNTIF(DW$3:DW112,"&gt;0"),0)</f>
        <v>0</v>
      </c>
      <c r="DY113">
        <f t="shared" si="56"/>
        <v>1</v>
      </c>
      <c r="DZ113">
        <f>IF(DY113=0,0,1+MAX(DZ$3:$DZ112))</f>
        <v>111</v>
      </c>
      <c r="EB113">
        <f t="shared" si="70"/>
        <v>0</v>
      </c>
      <c r="EC113">
        <f>IF(EB113=0,0,1+COUNTIF(EC$3:EC112,"&gt;0"))</f>
        <v>0</v>
      </c>
      <c r="ED113" t="str">
        <f t="shared" si="98"/>
        <v/>
      </c>
      <c r="EE113" t="str">
        <f t="shared" si="71"/>
        <v/>
      </c>
      <c r="EG113">
        <f t="shared" si="72"/>
        <v>0</v>
      </c>
      <c r="EH113">
        <f>IF(EG113=0,0,1+COUNTIF(EH$3:EH112,"&gt;0"))</f>
        <v>0</v>
      </c>
      <c r="EI113" t="str">
        <f t="shared" si="99"/>
        <v/>
      </c>
      <c r="EJ113" t="str">
        <f t="shared" si="73"/>
        <v/>
      </c>
      <c r="EL113">
        <f t="shared" si="74"/>
        <v>0</v>
      </c>
      <c r="EM113">
        <f>IF(EL113=0,0,1+COUNTIF(EM$3:EM112,"&gt;0"))</f>
        <v>0</v>
      </c>
      <c r="EN113" t="str">
        <f t="shared" si="100"/>
        <v/>
      </c>
      <c r="EO113" t="str">
        <f t="shared" si="75"/>
        <v/>
      </c>
      <c r="EQ113">
        <f t="shared" si="76"/>
        <v>0</v>
      </c>
      <c r="ER113">
        <f>IF(EQ113=0,0,1+COUNTIF(ER$3:ER112,"&gt;0"))</f>
        <v>0</v>
      </c>
      <c r="ES113" t="str">
        <f t="shared" si="101"/>
        <v/>
      </c>
      <c r="ET113" t="str">
        <f t="shared" si="77"/>
        <v/>
      </c>
      <c r="EV113">
        <f t="shared" si="78"/>
        <v>0</v>
      </c>
      <c r="EW113">
        <f>IF(EV113=0,0,1+COUNTIF(EW$3:EW112,"&gt;0"))</f>
        <v>0</v>
      </c>
      <c r="EX113" t="str">
        <f t="shared" si="102"/>
        <v/>
      </c>
      <c r="EY113" t="str">
        <f t="shared" si="79"/>
        <v/>
      </c>
      <c r="FA113">
        <f t="shared" si="80"/>
        <v>0</v>
      </c>
      <c r="FB113">
        <f>IF(FA113=0,0,1+COUNTIF(FB$3:FB112,"&gt;0"))</f>
        <v>0</v>
      </c>
      <c r="FC113" t="str">
        <f t="shared" si="103"/>
        <v/>
      </c>
      <c r="FD113" t="str">
        <f t="shared" si="81"/>
        <v/>
      </c>
      <c r="FF113">
        <f t="shared" si="82"/>
        <v>0</v>
      </c>
      <c r="FG113">
        <f>IF(FF113=0,0,1+COUNTIF(FG$3:FG112,"&gt;0"))</f>
        <v>0</v>
      </c>
      <c r="FH113" t="str">
        <f t="shared" si="104"/>
        <v/>
      </c>
      <c r="FI113" t="str">
        <f t="shared" si="83"/>
        <v/>
      </c>
      <c r="FK113">
        <f t="shared" si="84"/>
        <v>0</v>
      </c>
      <c r="FL113">
        <f>IF(FK113=0,0,1+COUNTIF(FL$3:FL112,"&gt;0"))</f>
        <v>0</v>
      </c>
      <c r="FM113" t="str">
        <f t="shared" si="105"/>
        <v/>
      </c>
      <c r="FN113" t="str">
        <f t="shared" si="85"/>
        <v/>
      </c>
      <c r="FP113">
        <f t="shared" si="86"/>
        <v>0</v>
      </c>
      <c r="FQ113">
        <f>IF(FP113=0,0,1+COUNTIF(FQ$3:FQ112,"&gt;0"))</f>
        <v>0</v>
      </c>
      <c r="FR113" t="str">
        <f t="shared" si="106"/>
        <v/>
      </c>
      <c r="FS113" t="str">
        <f t="shared" si="87"/>
        <v/>
      </c>
    </row>
    <row r="114" spans="1:175" x14ac:dyDescent="0.25">
      <c r="A114" s="347">
        <f t="shared" si="107"/>
        <v>112</v>
      </c>
      <c r="B114" s="348" t="s">
        <v>2481</v>
      </c>
      <c r="C114" s="348" t="s">
        <v>5277</v>
      </c>
      <c r="D114" s="347">
        <v>0.5</v>
      </c>
      <c r="E114" s="627" t="s">
        <v>6952</v>
      </c>
      <c r="F114" s="346"/>
      <c r="G114" s="347" t="str">
        <f>""</f>
        <v/>
      </c>
      <c r="H114" s="347" t="s">
        <v>5912</v>
      </c>
      <c r="I114" s="347" t="s">
        <v>5060</v>
      </c>
      <c r="J114" s="347" t="str">
        <f t="shared" si="57"/>
        <v/>
      </c>
      <c r="K114" s="347" t="s">
        <v>5278</v>
      </c>
      <c r="L114" s="611" t="str">
        <f t="shared" si="58"/>
        <v>V, S</v>
      </c>
      <c r="M114" s="347" t="s">
        <v>2373</v>
      </c>
      <c r="N114" s="347" t="s">
        <v>2387</v>
      </c>
      <c r="O114" s="347" t="s">
        <v>3034</v>
      </c>
      <c r="P114" s="346" t="str">
        <f>""</f>
        <v/>
      </c>
      <c r="Q114" s="347" t="s">
        <v>5276</v>
      </c>
      <c r="S114" s="346" t="s">
        <v>5673</v>
      </c>
      <c r="T114" s="346" t="str">
        <f t="shared" si="59"/>
        <v xml:space="preserve">Druid, </v>
      </c>
      <c r="AA114" s="347" t="str">
        <f>$B114</f>
        <v>Druidcraft</v>
      </c>
      <c r="AE114" t="str">
        <f>IF(IFERROR(MATCH($B114,temp!A$4:A$13,0),0)&gt;0,T08_Spells!AE$2,"")</f>
        <v/>
      </c>
      <c r="AF114" t="str">
        <f>IF(IFERROR(MATCH($B114,temp!B$4:B$13,0),0)&gt;0,T08_Spells!AF$2,"")</f>
        <v/>
      </c>
      <c r="AG114" t="str">
        <f>IF(IFERROR(MATCH($B114,temp!C$4:C$13,0),0)&gt;0,T08_Spells!AG$2,"")</f>
        <v/>
      </c>
      <c r="AH114" t="str">
        <f>IF(IFERROR(MATCH($B114,temp!D$4:D$13,0),0)&gt;0,T08_Spells!AH$2,"")</f>
        <v/>
      </c>
      <c r="AI114" t="str">
        <f>IF(IFERROR(MATCH($B114,temp!E$4:E$13,0),0)&gt;0,T08_Spells!AI$2,"")</f>
        <v/>
      </c>
      <c r="AJ114" t="str">
        <f>IF(IFERROR(MATCH($B114,temp!F$4:F$13,0),0)&gt;0,T08_Spells!AJ$2,"")</f>
        <v/>
      </c>
      <c r="AK114" t="str">
        <f>IF(IFERROR(MATCH($B114,temp!G$4:G$13,0),0)&gt;0,T08_Spells!AK$2,"")</f>
        <v/>
      </c>
      <c r="AL114" t="str">
        <f>IF(IFERROR(MATCH($B114,temp!H$4:H$13,0),0)&gt;0,T08_Spells!AL$2,"")</f>
        <v/>
      </c>
      <c r="AM114" t="str">
        <f>IF(IFERROR(MATCH($B114,temp!I$4:I$13,0),0)&gt;0,T08_Spells!AM$2,"")</f>
        <v/>
      </c>
      <c r="AN114" t="str">
        <f>IF(IFERROR(MATCH($B114,temp!J$4:J$13,0),0)&gt;0,T08_Spells!AN$2,"")</f>
        <v/>
      </c>
      <c r="AO114" t="str">
        <f>IF(IFERROR(MATCH($B114,temp!K$4:K$13,0),0)&gt;0,T08_Spells!AO$2,"")</f>
        <v/>
      </c>
      <c r="AP114" t="str">
        <f>IF(IFERROR(MATCH($B114,temp!L$4:L$13,0),0)&gt;0,T08_Spells!AP$2,"")</f>
        <v/>
      </c>
      <c r="AQ114" t="str">
        <f>IF(IFERROR(MATCH($B114,temp!M$4:M$13,0),0)&gt;0,T08_Spells!AQ$2,"")</f>
        <v/>
      </c>
      <c r="AR114" t="str">
        <f>IF(IFERROR(MATCH($B114,temp!N$4:N$13,0),0)&gt;0,T08_Spells!AR$2,"")</f>
        <v/>
      </c>
      <c r="AS114" t="str">
        <f>IF(IFERROR(MATCH($B114,temp!O$4:O$13,0),0)&gt;0,T08_Spells!AS$2,"")</f>
        <v/>
      </c>
      <c r="AT114" t="str">
        <f>IF(IFERROR(MATCH($B114,temp!P$4:P$13,0),0)&gt;0,T08_Spells!AT$2,"")</f>
        <v/>
      </c>
      <c r="AU114" t="str">
        <f>IF(IFERROR(MATCH($B114,temp!Q$4:Q$13,0),0)&gt;0,T08_Spells!AU$2,"")</f>
        <v/>
      </c>
      <c r="AV114" t="str">
        <f>IF(IFERROR(MATCH($B114,temp!R$4:R$13,0),0)&gt;0,T08_Spells!AV$2,"")</f>
        <v/>
      </c>
      <c r="AW114" t="str">
        <f>IF(IFERROR(MATCH($B114,temp!S$4:S$13,0),0)&gt;0,T08_Spells!AW$2,"")</f>
        <v/>
      </c>
      <c r="AX114" t="str">
        <f>IF(IFERROR(MATCH($B114,temp!T$4:T$13,0),0)&gt;0,T08_Spells!AX$2,"")</f>
        <v/>
      </c>
      <c r="AY114" t="str">
        <f>IF(IFERROR(MATCH($B114,temp!U$4:U$13,0),0)&gt;0,T08_Spells!AY$2,"")</f>
        <v/>
      </c>
      <c r="AZ114" t="str">
        <f>IF(IFERROR(MATCH($B114,temp!V$4:V$13,0),0)&gt;0,T08_Spells!AZ$2,"")</f>
        <v/>
      </c>
      <c r="BA114" t="str">
        <f>IF(IFERROR(MATCH($B114,temp!W$4:W$13,0),0)&gt;0,T08_Spells!BA$2,"")</f>
        <v/>
      </c>
      <c r="BC114">
        <f>IF(IFERROR(SEARCH("Ranger",$T114,1),0)&gt;0,1,0)*IF(RangerMaxSpellLevel&gt;=$C114,1,0)*IF(IFERROR(MATCH(B114,Character_Creation!$X$79:$X$382,0),0)&gt;0,0,1)</f>
        <v>0</v>
      </c>
      <c r="BD114">
        <f>IF(BC114=0,0,1+COUNTIF(BD$3:BD113,"&gt;0"))</f>
        <v>0</v>
      </c>
      <c r="BE114" t="str">
        <f t="shared" si="88"/>
        <v/>
      </c>
      <c r="BF114" t="str">
        <f t="shared" si="60"/>
        <v/>
      </c>
      <c r="BH114">
        <f>IF(IFERROR(SEARCH("Sorcerer",$T114,1),0)&gt;0,1,0)*IF(SorcererMaxSpellLevel&gt;=$C114,1,0)*IF(IFERROR(MATCH(B114,Character_Creation!$J$380:$J$394,0),0)&gt;0,0,1)</f>
        <v>0</v>
      </c>
      <c r="BI114">
        <f>IF(BH114=0,0,1+COUNTIF(BI$3:BI113,"&gt;0"))</f>
        <v>0</v>
      </c>
      <c r="BJ114" t="str">
        <f t="shared" si="89"/>
        <v/>
      </c>
      <c r="BK114" t="str">
        <f t="shared" si="61"/>
        <v/>
      </c>
      <c r="BM114">
        <f>IF(OR(IFERROR(SEARCH("Warlock",$T114,1),0)&gt;0,IFERROR(SEARCH(WarlockPatron,$T114,1),0)&gt;0),1,0)*IF(WarlockMaxSpellLevel&gt;=$C114,1,0)*IF(IFERROR(MATCH(B114,Character_Creation!$J$361:$J$375,0),0)&gt;0,0,1)</f>
        <v>0</v>
      </c>
      <c r="BN114">
        <f>IF(BM114=0,0,1+COUNTIF(BN$3:BN113,"&gt;0"))</f>
        <v>0</v>
      </c>
      <c r="BO114" t="str">
        <f t="shared" si="90"/>
        <v/>
      </c>
      <c r="BP114" t="str">
        <f t="shared" si="62"/>
        <v/>
      </c>
      <c r="BR114">
        <f>IF(IFERROR(SEARCH("Eldritch Knight",$T114,1),0)&gt;0,1,0)*IF(EldritchKnightMaxSpellLevel&gt;=$C114,1,0)*IF(IFERROR(MATCH($B114,Character_Creation!$J$350:$J$356,0),0)&gt;0,0,1)*IF(Character_Creation!$M$338&gt;0,1,0)</f>
        <v>0</v>
      </c>
      <c r="BS114">
        <f>IF(BR114=0,0,1+COUNTIF(BS$3:BS113,"&gt;0"))</f>
        <v>0</v>
      </c>
      <c r="BT114" t="str">
        <f t="shared" si="91"/>
        <v/>
      </c>
      <c r="BU114" t="str">
        <f t="shared" si="63"/>
        <v/>
      </c>
      <c r="BW114">
        <f>IF(IFERROR(SEARCH("Arcane Trickster",$T114,1),0)&gt;0,1,0)*IF(ArcaneTricksterMaxSpellLevel&gt;=$C114,1,0)*IF(IFERROR(MATCH($B114,Character_Creation!$J$350:$J$356,0),0)&gt;0,0,1)*IF(Character_Creation!$T$338&gt;0,1,0)</f>
        <v>0</v>
      </c>
      <c r="BX114">
        <f>IF(BW114=0,0,1+COUNTIF(BX$3:BX113,"&gt;0"))</f>
        <v>0</v>
      </c>
      <c r="BY114" t="str">
        <f t="shared" si="92"/>
        <v/>
      </c>
      <c r="BZ114" t="str">
        <f t="shared" si="64"/>
        <v/>
      </c>
      <c r="CB114">
        <f>IF(IFERROR(SEARCH("Wizard",$T114,1),0)&gt;0,1,0)*IF(C114&lt;=ArcaneTricksterMaxSpellLevel,1,0)*IF(IFERROR(MATCH($B114,Character_Creation!$J$350:$J$356,0),0)&gt;0,0,1)*IF(Character_Creation!$T$350&gt;0,1,0)</f>
        <v>0</v>
      </c>
      <c r="CC114">
        <f>IF(CB114=0,0,1+COUNTIF(CC$3:CC113,"&gt;0"))</f>
        <v>0</v>
      </c>
      <c r="CD114" t="str">
        <f t="shared" si="93"/>
        <v/>
      </c>
      <c r="CE114" t="str">
        <f t="shared" si="65"/>
        <v/>
      </c>
      <c r="CG114">
        <f>IF(IFERROR(SEARCH("Wizard",$T114,1),0)&gt;0,1,0)*IF($C114&lt;=EldritchKnightMaxSpellLevel,1,0)*IF(IFERROR(MATCH($B114,Character_Creation!$J$350:$J$356,0),0)&gt;0,0,1)*IF(Character_Creation!$M$350&gt;0,1,0)</f>
        <v>0</v>
      </c>
      <c r="CH114">
        <f>IF(CG114=0,0,1+COUNTIF(CH$3:CH113,"&gt;0"))</f>
        <v>0</v>
      </c>
      <c r="CI114" t="str">
        <f t="shared" si="94"/>
        <v/>
      </c>
      <c r="CJ114" t="str">
        <f t="shared" si="66"/>
        <v/>
      </c>
      <c r="CL114">
        <f>IF(IFERROR(SEARCH("Bard",$T114,1),0)&gt;0,1,0)*IF(BardMaxSpellLevel&gt;=$C114,1,0)*IF(IFERROR(MATCH(B114,Character_Creation!$C$341:$F$362,0),0)&gt;0,0,1)*IF(IFERROR(MATCH($B114,Character_Creation!$C$341:$C$362,0),0)&gt;0,0,1)</f>
        <v>0</v>
      </c>
      <c r="CM114">
        <f>IF(CL114=0,0,1+COUNTIF(CM$3:CM113,"&gt;0"))</f>
        <v>0</v>
      </c>
      <c r="CN114" t="str">
        <f t="shared" si="95"/>
        <v/>
      </c>
      <c r="CO114" t="str">
        <f t="shared" si="67"/>
        <v/>
      </c>
      <c r="CQ114">
        <f>IF(IFERROR(SEARCH("Wizard",$T114,1),0)&gt;0,1,0)*IF(WizardMaxSpellLevel&gt;=$C114,1,0)*IF(IFERROR(MATCH(B114,Character_Creation!$X$341:$X$400,0),0)&gt;0,0,1)*IF(SelectedWizardSpellLevel=$C114,1,0)</f>
        <v>0</v>
      </c>
      <c r="CR114">
        <f>IF(CQ114=0,0,1+COUNTIF(CR$3:CR113,"&gt;0"))</f>
        <v>0</v>
      </c>
      <c r="CS114" t="str">
        <f t="shared" si="96"/>
        <v/>
      </c>
      <c r="CT114" t="str">
        <f t="shared" si="68"/>
        <v/>
      </c>
      <c r="CV114">
        <f>IF(IFERROR(MATCH($B114,Character_Creation!$C$341:$C$362,0),0)&gt;0,0,1)*IF(OR(C114="Cantrip",C114&lt;=BardMaxSpellLevel),1,0)*IF(IFERROR(MATCH($B114,Character_Creation!$C$367:$C$374,0),0)&gt;0,0,1)</f>
        <v>1</v>
      </c>
      <c r="CW114">
        <f>IF(CV114=0,0,1+COUNTIF(CW$3:CW113,"&gt;0"))</f>
        <v>5</v>
      </c>
      <c r="CX114" t="str">
        <f t="shared" si="97"/>
        <v/>
      </c>
      <c r="CY114" t="str">
        <f t="shared" si="69"/>
        <v/>
      </c>
      <c r="DA114">
        <f>IF(IF(OR(IFERROR(SEARCH("Cleric",$T114,1),0)&gt;0,IFERROR(SEARCH(DivineDomain&amp;",",$T114,1),0)&gt;0),1,0)*IF($C114=DA$2,1,0)=1,1+COUNTIF(DA$3:DA113,"&gt;0"),0)</f>
        <v>0</v>
      </c>
      <c r="DB114">
        <f>IF(IF(OR(IFERROR(SEARCH("Cleric",$T114,1),0)&gt;0,IFERROR(SEARCH(DivineDomain&amp;",",$T114,1),0)&gt;0),1,0)*IF($C114=DB$2,1,0)=1,1+COUNTIF(DB$3:DB113,"&gt;0"),0)</f>
        <v>0</v>
      </c>
      <c r="DC114">
        <f>IF(IF(OR(IFERROR(SEARCH("Cleric",$T114,1),0)&gt;0,IFERROR(SEARCH(DivineDomain&amp;",",$T114,1),0)&gt;0),1,0)*IF($C114=DC$2,1,0)=1,1+COUNTIF(DC$3:DC113,"&gt;0"),0)</f>
        <v>0</v>
      </c>
      <c r="DD114">
        <f>IF(IF(OR(IFERROR(SEARCH("Cleric",$T114,1),0)&gt;0,IFERROR(SEARCH(DivineDomain&amp;",",$T114,1),0)&gt;0),1,0)*IF($C114=DD$2,1,0)=1,1+COUNTIF(DD$3:DD113,"&gt;0"),0)</f>
        <v>0</v>
      </c>
      <c r="DE114">
        <f>IF(IF(OR(IFERROR(SEARCH("Cleric",$T114,1),0)&gt;0,IFERROR(SEARCH(DivineDomain&amp;",",$T114,1),0)&gt;0),1,0)*IF($C114=DE$2,1,0)=1,1+COUNTIF(DE$3:DE113,"&gt;0"),0)</f>
        <v>0</v>
      </c>
      <c r="DF114">
        <f>IF(IF(OR(IFERROR(SEARCH("Cleric",$T114,1),0)&gt;0,IFERROR(SEARCH(DivineDomain&amp;",",$T114,1),0)&gt;0),1,0)*IF($C114=DF$2,1,0)=1,1+COUNTIF(DF$3:DF113,"&gt;0"),0)</f>
        <v>0</v>
      </c>
      <c r="DG114">
        <f>IF(IF(OR(IFERROR(SEARCH("Cleric",$T114,1),0)&gt;0,IFERROR(SEARCH(DivineDomain&amp;",",$T114,1),0)&gt;0),1,0)*IF($C114=DG$2,1,0)=1,1+COUNTIF(DG$3:DG113,"&gt;0"),0)</f>
        <v>0</v>
      </c>
      <c r="DH114">
        <f>IF(IF(OR(IFERROR(SEARCH("Cleric",$T114,1),0)&gt;0,IFERROR(SEARCH(DivineDomain&amp;",",$T114,1),0)&gt;0),1,0)*IF($C114=DH$2,1,0)=1,1+COUNTIF(DH$3:DH113,"&gt;0"),0)</f>
        <v>0</v>
      </c>
      <c r="DI114">
        <f>IF(IF(OR(IFERROR(SEARCH("Cleric",$T114,1),0)&gt;0,IFERROR(SEARCH(DivineDomain&amp;",",$T114,1),0)&gt;0),1,0)*IF($C114=DI$2,1,0)=1,1+COUNTIF(DI$3:DI113,"&gt;0"),0)</f>
        <v>0</v>
      </c>
      <c r="DJ114">
        <f>IF(IF(OR(IFERROR(SEARCH("Druid",$T114,1),0)&gt;0,IFERROR(SEARCH(DruidLand1,$T114,1),0)&gt;0,IFERROR(SEARCH(DruidLand2,$T114,1),0)&gt;0,IFERROR(SEARCH(DruidLand3,$T114,1),0)&gt;0,IFERROR(SEARCH(DruidLand4,$T114,1),0)&gt;0),1,0)*IF($C114=1,1,0)*IF($C114=DJ$2,1,0)=0,0,1+COUNTIF(DJ$3:DJ113,"&gt;0"))</f>
        <v>0</v>
      </c>
      <c r="DK114">
        <f>IF(IF(OR(IFERROR(SEARCH("Druid",$T114,1),0)&gt;0,IFERROR(SEARCH(DruidLand1,$T114,1),0)&gt;0,IFERROR(SEARCH(DruidLand2,$T114,1),0)&gt;0,IFERROR(SEARCH(DruidLand3,$T114,1),0)&gt;0,IFERROR(SEARCH(DruidLand4,$T114,1),0)&gt;0),1,0)*IF($C114=DK$2,1,0)=0,0,1+COUNTIF(DK$3:DK113,"&gt;0"))</f>
        <v>0</v>
      </c>
      <c r="DL114">
        <f>IF(IF(OR(IFERROR(SEARCH("Druid",$T114,1),0)&gt;0,IFERROR(SEARCH(DruidLand1,$T114,1),0)&gt;0,IFERROR(SEARCH(DruidLand2,$T114,1),0)&gt;0,IFERROR(SEARCH(DruidLand3,$T114,1),0)&gt;0,IFERROR(SEARCH(DruidLand4,$T114,1),0)&gt;0),1,0)*IF($C114=DL$2,1,0)=0,0,1+COUNTIF(DL$3:DL113,"&gt;0"))</f>
        <v>0</v>
      </c>
      <c r="DM114">
        <f>IF(IF(OR(IFERROR(SEARCH("Druid",$T114,1),0)&gt;0,IFERROR(SEARCH(DruidLand1,$T114,1),0)&gt;0,IFERROR(SEARCH(DruidLand2,$T114,1),0)&gt;0,IFERROR(SEARCH(DruidLand3,$T114,1),0)&gt;0,IFERROR(SEARCH(DruidLand4,$T114,1),0)&gt;0),1,0)*IF($C114=DM$2,1,0)=0,0,1+COUNTIF(DM$3:DM113,"&gt;0"))</f>
        <v>0</v>
      </c>
      <c r="DN114">
        <f>IF(IF(OR(IFERROR(SEARCH("Druid",$T114,1),0)&gt;0,IFERROR(SEARCH(DruidLand1,$T114,1),0)&gt;0,IFERROR(SEARCH(DruidLand2,$T114,1),0)&gt;0,IFERROR(SEARCH(DruidLand3,$T114,1),0)&gt;0,IFERROR(SEARCH(DruidLand4,$T114,1),0)&gt;0),1,0)*IF($C114=DN$2,1,0)=0,0,1+COUNTIF(DN$3:DN113,"&gt;0"))</f>
        <v>0</v>
      </c>
      <c r="DO114">
        <f>IF(IF(OR(IFERROR(SEARCH("Druid",$T114,1),0)&gt;0,IFERROR(SEARCH(DruidLand1,$T114,1),0)&gt;0,IFERROR(SEARCH(DruidLand2,$T114,1),0)&gt;0,IFERROR(SEARCH(DruidLand3,$T114,1),0)&gt;0,IFERROR(SEARCH(DruidLand4,$T114,1),0)&gt;0),1,0)*IF($C114=DO$2,1,0)=0,0,1+COUNTIF(DO$3:DO113,"&gt;0"))</f>
        <v>0</v>
      </c>
      <c r="DP114">
        <f>IF(IF(OR(IFERROR(SEARCH("Druid",$T114,1),0)&gt;0,IFERROR(SEARCH(DruidLand1,$T114,1),0)&gt;0,IFERROR(SEARCH(DruidLand2,$T114,1),0)&gt;0,IFERROR(SEARCH(DruidLand3,$T114,1),0)&gt;0,IFERROR(SEARCH(DruidLand4,$T114,1),0)&gt;0),1,0)*IF($C114=DP$2,1,0)=0,0,1+COUNTIF(DP$3:DP113,"&gt;0"))</f>
        <v>0</v>
      </c>
      <c r="DQ114">
        <f>IF(IF(OR(IFERROR(SEARCH("Druid",$T114,1),0)&gt;0,IFERROR(SEARCH(DruidLand1,$T114,1),0)&gt;0,IFERROR(SEARCH(DruidLand2,$T114,1),0)&gt;0,IFERROR(SEARCH(DruidLand3,$T114,1),0)&gt;0,IFERROR(SEARCH(DruidLand4,$T114,1),0)&gt;0),1,0)*IF($C114=DQ$2,1,0)=0,0,1+COUNTIF(DQ$3:DQ113,"&gt;0"))</f>
        <v>0</v>
      </c>
      <c r="DR114">
        <f>IF(IF(OR(IFERROR(SEARCH("Druid",$T114,1),0)&gt;0,IFERROR(SEARCH(DruidLand1,$T114,1),0)&gt;0,IFERROR(SEARCH(DruidLand2,$T114,1),0)&gt;0,IFERROR(SEARCH(DruidLand3,$T114,1),0)&gt;0,IFERROR(SEARCH(DruidLand4,$T114,1),0)&gt;0),1,0)*IF($C114=DR$2,1,0)=0,0,1+COUNTIF(DR$3:DR113,"&gt;0"))</f>
        <v>0</v>
      </c>
      <c r="DS114">
        <f>IF(IF(OR(IFERROR(SEARCH("Paladin",$T114,1),0)&gt;0,IFERROR(SEARCH(PaladinOath,$T114,1),0)&gt;0),1,0)*IF($C114=DS$2,1,0)=1,1+COUNTIF(DS$3:DS113,"&gt;0"),0)</f>
        <v>0</v>
      </c>
      <c r="DT114">
        <f>IF(IF(OR(IFERROR(SEARCH("Paladin",$T114,1),0)&gt;0,IFERROR(SEARCH(PaladinOath,$T114,1),0)&gt;0),1,0)*IF($C114=DT$2,1,0)=1,1+COUNTIF(DT$3:DT113,"&gt;0"),0)</f>
        <v>0</v>
      </c>
      <c r="DU114">
        <f>IF(IF(OR(IFERROR(SEARCH("Paladin",$T114,1),0)&gt;0,IFERROR(SEARCH(PaladinOath,$T114,1),0)&gt;0),1,0)*IF($C114=DU$2,1,0)=1,1+COUNTIF(DU$3:DU113,"&gt;0"),0)</f>
        <v>0</v>
      </c>
      <c r="DV114">
        <f>IF(IF(OR(IFERROR(SEARCH("Paladin",$T114,1),0)&gt;0,IFERROR(SEARCH(PaladinOath,$T114,1),0)&gt;0),1,0)*IF($C114=DV$2,1,0)=1,1+COUNTIF(DV$3:DV113,"&gt;0"),0)</f>
        <v>0</v>
      </c>
      <c r="DW114">
        <f>IF(IF(OR(IFERROR(SEARCH("Paladin",$T114,1),0)&gt;0,IFERROR(SEARCH(PaladinOath,$T114,1),0)&gt;0),1,0)*IF($C114=DW$2,1,0)=1,1+COUNTIF(DW$3:DW113,"&gt;0"),0)</f>
        <v>0</v>
      </c>
      <c r="DY114">
        <f t="shared" si="56"/>
        <v>1</v>
      </c>
      <c r="DZ114">
        <f>IF(DY114=0,0,1+MAX(DZ$3:$DZ113))</f>
        <v>112</v>
      </c>
      <c r="EB114">
        <f t="shared" si="70"/>
        <v>0</v>
      </c>
      <c r="EC114">
        <f>IF(EB114=0,0,1+COUNTIF(EC$3:EC113,"&gt;0"))</f>
        <v>0</v>
      </c>
      <c r="ED114" t="str">
        <f t="shared" si="98"/>
        <v/>
      </c>
      <c r="EE114" t="str">
        <f t="shared" si="71"/>
        <v/>
      </c>
      <c r="EG114">
        <f t="shared" si="72"/>
        <v>0</v>
      </c>
      <c r="EH114">
        <f>IF(EG114=0,0,1+COUNTIF(EH$3:EH113,"&gt;0"))</f>
        <v>0</v>
      </c>
      <c r="EI114" t="str">
        <f t="shared" si="99"/>
        <v/>
      </c>
      <c r="EJ114" t="str">
        <f t="shared" si="73"/>
        <v/>
      </c>
      <c r="EL114">
        <f t="shared" si="74"/>
        <v>1</v>
      </c>
      <c r="EM114">
        <f>IF(EL114=0,0,1+COUNTIF(EM$3:EM113,"&gt;0"))</f>
        <v>1</v>
      </c>
      <c r="EN114" t="str">
        <f t="shared" si="100"/>
        <v/>
      </c>
      <c r="EO114" t="str">
        <f t="shared" si="75"/>
        <v/>
      </c>
      <c r="EQ114">
        <f t="shared" si="76"/>
        <v>0</v>
      </c>
      <c r="ER114">
        <f>IF(EQ114=0,0,1+COUNTIF(ER$3:ER113,"&gt;0"))</f>
        <v>0</v>
      </c>
      <c r="ES114" t="str">
        <f t="shared" si="101"/>
        <v/>
      </c>
      <c r="ET114" t="str">
        <f t="shared" si="77"/>
        <v/>
      </c>
      <c r="EV114">
        <f t="shared" si="78"/>
        <v>0</v>
      </c>
      <c r="EW114">
        <f>IF(EV114=0,0,1+COUNTIF(EW$3:EW113,"&gt;0"))</f>
        <v>0</v>
      </c>
      <c r="EX114" t="str">
        <f t="shared" si="102"/>
        <v/>
      </c>
      <c r="EY114" t="str">
        <f t="shared" si="79"/>
        <v/>
      </c>
      <c r="FA114">
        <f t="shared" si="80"/>
        <v>0</v>
      </c>
      <c r="FB114">
        <f>IF(FA114=0,0,1+COUNTIF(FB$3:FB113,"&gt;0"))</f>
        <v>0</v>
      </c>
      <c r="FC114" t="str">
        <f t="shared" si="103"/>
        <v/>
      </c>
      <c r="FD114" t="str">
        <f t="shared" si="81"/>
        <v/>
      </c>
      <c r="FF114">
        <f t="shared" si="82"/>
        <v>0</v>
      </c>
      <c r="FG114">
        <f>IF(FF114=0,0,1+COUNTIF(FG$3:FG113,"&gt;0"))</f>
        <v>0</v>
      </c>
      <c r="FH114" t="str">
        <f t="shared" si="104"/>
        <v/>
      </c>
      <c r="FI114" t="str">
        <f t="shared" si="83"/>
        <v/>
      </c>
      <c r="FK114">
        <f t="shared" si="84"/>
        <v>0</v>
      </c>
      <c r="FL114">
        <f>IF(FK114=0,0,1+COUNTIF(FL$3:FL113,"&gt;0"))</f>
        <v>0</v>
      </c>
      <c r="FM114" t="str">
        <f t="shared" si="105"/>
        <v/>
      </c>
      <c r="FN114" t="str">
        <f t="shared" si="85"/>
        <v/>
      </c>
      <c r="FP114">
        <f t="shared" si="86"/>
        <v>0</v>
      </c>
      <c r="FQ114">
        <f>IF(FP114=0,0,1+COUNTIF(FQ$3:FQ113,"&gt;0"))</f>
        <v>0</v>
      </c>
      <c r="FR114" t="str">
        <f t="shared" si="106"/>
        <v/>
      </c>
      <c r="FS114" t="str">
        <f t="shared" si="87"/>
        <v/>
      </c>
    </row>
    <row r="115" spans="1:175" x14ac:dyDescent="0.25">
      <c r="A115" s="347">
        <f>A114+1</f>
        <v>113</v>
      </c>
      <c r="B115" s="348" t="s">
        <v>2482</v>
      </c>
      <c r="C115" s="348">
        <v>8</v>
      </c>
      <c r="D115" s="347">
        <v>8</v>
      </c>
      <c r="E115" s="627" t="s">
        <v>6952</v>
      </c>
      <c r="F115" s="346"/>
      <c r="G115" s="347" t="str">
        <f>""</f>
        <v/>
      </c>
      <c r="H115" s="347" t="s">
        <v>5912</v>
      </c>
      <c r="I115" s="347" t="s">
        <v>5296</v>
      </c>
      <c r="J115" s="347" t="str">
        <f t="shared" si="57"/>
        <v/>
      </c>
      <c r="K115" s="347" t="s">
        <v>5291</v>
      </c>
      <c r="L115" s="611" t="str">
        <f t="shared" si="58"/>
        <v>V, S, M, a pinch of dirt, a piece of rock, and a lump of clay</v>
      </c>
      <c r="M115" s="347" t="s">
        <v>2373</v>
      </c>
      <c r="N115" s="347" t="s">
        <v>2387</v>
      </c>
      <c r="O115" s="347" t="s">
        <v>1244</v>
      </c>
      <c r="P115" s="346" t="s">
        <v>5357</v>
      </c>
      <c r="Q115" s="347" t="s">
        <v>5273</v>
      </c>
      <c r="S115" s="346" t="s">
        <v>5674</v>
      </c>
      <c r="T115" s="346" t="str">
        <f t="shared" si="59"/>
        <v xml:space="preserve">Sorcerer, Cleric, Druid, </v>
      </c>
      <c r="X115" s="347" t="str">
        <f>$B115</f>
        <v>Earthquake</v>
      </c>
      <c r="Z115" s="347" t="str">
        <f>$B115</f>
        <v>Earthquake</v>
      </c>
      <c r="AA115" s="347" t="str">
        <f>$B115</f>
        <v>Earthquake</v>
      </c>
      <c r="AE115" t="str">
        <f>IF(IFERROR(MATCH($B115,temp!A$4:A$13,0),0)&gt;0,T08_Spells!AE$2,"")</f>
        <v/>
      </c>
      <c r="AF115" t="str">
        <f>IF(IFERROR(MATCH($B115,temp!B$4:B$13,0),0)&gt;0,T08_Spells!AF$2,"")</f>
        <v/>
      </c>
      <c r="AG115" t="str">
        <f>IF(IFERROR(MATCH($B115,temp!C$4:C$13,0),0)&gt;0,T08_Spells!AG$2,"")</f>
        <v/>
      </c>
      <c r="AH115" t="str">
        <f>IF(IFERROR(MATCH($B115,temp!D$4:D$13,0),0)&gt;0,T08_Spells!AH$2,"")</f>
        <v/>
      </c>
      <c r="AI115" t="str">
        <f>IF(IFERROR(MATCH($B115,temp!E$4:E$13,0),0)&gt;0,T08_Spells!AI$2,"")</f>
        <v/>
      </c>
      <c r="AJ115" t="str">
        <f>IF(IFERROR(MATCH($B115,temp!F$4:F$13,0),0)&gt;0,T08_Spells!AJ$2,"")</f>
        <v/>
      </c>
      <c r="AK115" t="str">
        <f>IF(IFERROR(MATCH($B115,temp!G$4:G$13,0),0)&gt;0,T08_Spells!AK$2,"")</f>
        <v/>
      </c>
      <c r="AL115" t="str">
        <f>IF(IFERROR(MATCH($B115,temp!H$4:H$13,0),0)&gt;0,T08_Spells!AL$2,"")</f>
        <v/>
      </c>
      <c r="AM115" t="str">
        <f>IF(IFERROR(MATCH($B115,temp!I$4:I$13,0),0)&gt;0,T08_Spells!AM$2,"")</f>
        <v/>
      </c>
      <c r="AN115" t="str">
        <f>IF(IFERROR(MATCH($B115,temp!J$4:J$13,0),0)&gt;0,T08_Spells!AN$2,"")</f>
        <v/>
      </c>
      <c r="AO115" t="str">
        <f>IF(IFERROR(MATCH($B115,temp!K$4:K$13,0),0)&gt;0,T08_Spells!AO$2,"")</f>
        <v/>
      </c>
      <c r="AP115" t="str">
        <f>IF(IFERROR(MATCH($B115,temp!L$4:L$13,0),0)&gt;0,T08_Spells!AP$2,"")</f>
        <v/>
      </c>
      <c r="AQ115" t="str">
        <f>IF(IFERROR(MATCH($B115,temp!M$4:M$13,0),0)&gt;0,T08_Spells!AQ$2,"")</f>
        <v/>
      </c>
      <c r="AR115" t="str">
        <f>IF(IFERROR(MATCH($B115,temp!N$4:N$13,0),0)&gt;0,T08_Spells!AR$2,"")</f>
        <v/>
      </c>
      <c r="AS115" t="str">
        <f>IF(IFERROR(MATCH($B115,temp!O$4:O$13,0),0)&gt;0,T08_Spells!AS$2,"")</f>
        <v/>
      </c>
      <c r="AT115" t="str">
        <f>IF(IFERROR(MATCH($B115,temp!P$4:P$13,0),0)&gt;0,T08_Spells!AT$2,"")</f>
        <v/>
      </c>
      <c r="AU115" t="str">
        <f>IF(IFERROR(MATCH($B115,temp!Q$4:Q$13,0),0)&gt;0,T08_Spells!AU$2,"")</f>
        <v/>
      </c>
      <c r="AV115" t="str">
        <f>IF(IFERROR(MATCH($B115,temp!R$4:R$13,0),0)&gt;0,T08_Spells!AV$2,"")</f>
        <v/>
      </c>
      <c r="AW115" t="str">
        <f>IF(IFERROR(MATCH($B115,temp!S$4:S$13,0),0)&gt;0,T08_Spells!AW$2,"")</f>
        <v/>
      </c>
      <c r="AX115" t="str">
        <f>IF(IFERROR(MATCH($B115,temp!T$4:T$13,0),0)&gt;0,T08_Spells!AX$2,"")</f>
        <v/>
      </c>
      <c r="AY115" t="str">
        <f>IF(IFERROR(MATCH($B115,temp!U$4:U$13,0),0)&gt;0,T08_Spells!AY$2,"")</f>
        <v/>
      </c>
      <c r="AZ115" t="str">
        <f>IF(IFERROR(MATCH($B115,temp!V$4:V$13,0),0)&gt;0,T08_Spells!AZ$2,"")</f>
        <v/>
      </c>
      <c r="BA115" t="str">
        <f>IF(IFERROR(MATCH($B115,temp!W$4:W$13,0),0)&gt;0,T08_Spells!BA$2,"")</f>
        <v/>
      </c>
      <c r="BC115">
        <f>IF(IFERROR(SEARCH("Ranger",$T115,1),0)&gt;0,1,0)*IF(RangerMaxSpellLevel&gt;=$C115,1,0)*IF(IFERROR(MATCH(B115,Character_Creation!$X$79:$X$382,0),0)&gt;0,0,1)</f>
        <v>0</v>
      </c>
      <c r="BD115">
        <f>IF(BC115=0,0,1+COUNTIF(BD$3:BD114,"&gt;0"))</f>
        <v>0</v>
      </c>
      <c r="BE115" t="str">
        <f t="shared" si="88"/>
        <v/>
      </c>
      <c r="BF115" t="str">
        <f t="shared" si="60"/>
        <v/>
      </c>
      <c r="BH115">
        <f>IF(IFERROR(SEARCH("Sorcerer",$T115,1),0)&gt;0,1,0)*IF(SorcererMaxSpellLevel&gt;=$C115,1,0)*IF(IFERROR(MATCH(B115,Character_Creation!$J$380:$J$394,0),0)&gt;0,0,1)</f>
        <v>0</v>
      </c>
      <c r="BI115">
        <f>IF(BH115=0,0,1+COUNTIF(BI$3:BI114,"&gt;0"))</f>
        <v>0</v>
      </c>
      <c r="BJ115" t="str">
        <f t="shared" si="89"/>
        <v/>
      </c>
      <c r="BK115" t="str">
        <f t="shared" si="61"/>
        <v/>
      </c>
      <c r="BM115">
        <f>IF(OR(IFERROR(SEARCH("Warlock",$T115,1),0)&gt;0,IFERROR(SEARCH(WarlockPatron,$T115,1),0)&gt;0),1,0)*IF(WarlockMaxSpellLevel&gt;=$C115,1,0)*IF(IFERROR(MATCH(B115,Character_Creation!$J$361:$J$375,0),0)&gt;0,0,1)</f>
        <v>0</v>
      </c>
      <c r="BN115">
        <f>IF(BM115=0,0,1+COUNTIF(BN$3:BN114,"&gt;0"))</f>
        <v>0</v>
      </c>
      <c r="BO115" t="str">
        <f t="shared" si="90"/>
        <v/>
      </c>
      <c r="BP115" t="str">
        <f t="shared" si="62"/>
        <v/>
      </c>
      <c r="BR115">
        <f>IF(IFERROR(SEARCH("Eldritch Knight",$T115,1),0)&gt;0,1,0)*IF(EldritchKnightMaxSpellLevel&gt;=$C115,1,0)*IF(IFERROR(MATCH($B115,Character_Creation!$J$350:$J$356,0),0)&gt;0,0,1)*IF(Character_Creation!$M$338&gt;0,1,0)</f>
        <v>0</v>
      </c>
      <c r="BS115">
        <f>IF(BR115=0,0,1+COUNTIF(BS$3:BS114,"&gt;0"))</f>
        <v>0</v>
      </c>
      <c r="BT115" t="str">
        <f t="shared" si="91"/>
        <v/>
      </c>
      <c r="BU115" t="str">
        <f t="shared" si="63"/>
        <v/>
      </c>
      <c r="BW115">
        <f>IF(IFERROR(SEARCH("Arcane Trickster",$T115,1),0)&gt;0,1,0)*IF(ArcaneTricksterMaxSpellLevel&gt;=$C115,1,0)*IF(IFERROR(MATCH($B115,Character_Creation!$J$350:$J$356,0),0)&gt;0,0,1)*IF(Character_Creation!$T$338&gt;0,1,0)</f>
        <v>0</v>
      </c>
      <c r="BX115">
        <f>IF(BW115=0,0,1+COUNTIF(BX$3:BX114,"&gt;0"))</f>
        <v>0</v>
      </c>
      <c r="BY115" t="str">
        <f t="shared" si="92"/>
        <v/>
      </c>
      <c r="BZ115" t="str">
        <f t="shared" si="64"/>
        <v/>
      </c>
      <c r="CB115">
        <f>IF(IFERROR(SEARCH("Wizard",$T115,1),0)&gt;0,1,0)*IF(C115&lt;=ArcaneTricksterMaxSpellLevel,1,0)*IF(IFERROR(MATCH($B115,Character_Creation!$J$350:$J$356,0),0)&gt;0,0,1)*IF(Character_Creation!$T$350&gt;0,1,0)</f>
        <v>0</v>
      </c>
      <c r="CC115">
        <f>IF(CB115=0,0,1+COUNTIF(CC$3:CC114,"&gt;0"))</f>
        <v>0</v>
      </c>
      <c r="CD115" t="str">
        <f t="shared" si="93"/>
        <v/>
      </c>
      <c r="CE115" t="str">
        <f t="shared" si="65"/>
        <v/>
      </c>
      <c r="CG115">
        <f>IF(IFERROR(SEARCH("Wizard",$T115,1),0)&gt;0,1,0)*IF($C115&lt;=EldritchKnightMaxSpellLevel,1,0)*IF(IFERROR(MATCH($B115,Character_Creation!$J$350:$J$356,0),0)&gt;0,0,1)*IF(Character_Creation!$M$350&gt;0,1,0)</f>
        <v>0</v>
      </c>
      <c r="CH115">
        <f>IF(CG115=0,0,1+COUNTIF(CH$3:CH114,"&gt;0"))</f>
        <v>0</v>
      </c>
      <c r="CI115" t="str">
        <f t="shared" si="94"/>
        <v/>
      </c>
      <c r="CJ115" t="str">
        <f t="shared" si="66"/>
        <v/>
      </c>
      <c r="CL115">
        <f>IF(IFERROR(SEARCH("Bard",$T115,1),0)&gt;0,1,0)*IF(BardMaxSpellLevel&gt;=$C115,1,0)*IF(IFERROR(MATCH(B115,Character_Creation!$C$341:$F$362,0),0)&gt;0,0,1)*IF(IFERROR(MATCH($B115,Character_Creation!$C$341:$C$362,0),0)&gt;0,0,1)</f>
        <v>0</v>
      </c>
      <c r="CM115">
        <f>IF(CL115=0,0,1+COUNTIF(CM$3:CM114,"&gt;0"))</f>
        <v>0</v>
      </c>
      <c r="CN115" t="str">
        <f t="shared" si="95"/>
        <v/>
      </c>
      <c r="CO115" t="str">
        <f t="shared" si="67"/>
        <v/>
      </c>
      <c r="CQ115">
        <f>IF(IFERROR(SEARCH("Wizard",$T115,1),0)&gt;0,1,0)*IF(WizardMaxSpellLevel&gt;=$C115,1,0)*IF(IFERROR(MATCH(B115,Character_Creation!$X$341:$X$400,0),0)&gt;0,0,1)*IF(SelectedWizardSpellLevel=$C115,1,0)</f>
        <v>0</v>
      </c>
      <c r="CR115">
        <f>IF(CQ115=0,0,1+COUNTIF(CR$3:CR114,"&gt;0"))</f>
        <v>0</v>
      </c>
      <c r="CS115" t="str">
        <f t="shared" si="96"/>
        <v/>
      </c>
      <c r="CT115" t="str">
        <f t="shared" si="68"/>
        <v/>
      </c>
      <c r="CV115">
        <f>IF(IFERROR(MATCH($B115,Character_Creation!$C$341:$C$362,0),0)&gt;0,0,1)*IF(OR(C115="Cantrip",C115&lt;=BardMaxSpellLevel),1,0)*IF(IFERROR(MATCH($B115,Character_Creation!$C$367:$C$374,0),0)&gt;0,0,1)</f>
        <v>0</v>
      </c>
      <c r="CW115">
        <f>IF(CV115=0,0,1+COUNTIF(CW$3:CW114,"&gt;0"))</f>
        <v>0</v>
      </c>
      <c r="CX115" t="str">
        <f t="shared" si="97"/>
        <v/>
      </c>
      <c r="CY115" t="str">
        <f t="shared" si="69"/>
        <v/>
      </c>
      <c r="DA115">
        <f>IF(IF(OR(IFERROR(SEARCH("Cleric",$T115,1),0)&gt;0,IFERROR(SEARCH(DivineDomain&amp;",",$T115,1),0)&gt;0),1,0)*IF($C115=DA$2,1,0)=1,1+COUNTIF(DA$3:DA114,"&gt;0"),0)</f>
        <v>0</v>
      </c>
      <c r="DB115">
        <f>IF(IF(OR(IFERROR(SEARCH("Cleric",$T115,1),0)&gt;0,IFERROR(SEARCH(DivineDomain&amp;",",$T115,1),0)&gt;0),1,0)*IF($C115=DB$2,1,0)=1,1+COUNTIF(DB$3:DB114,"&gt;0"),0)</f>
        <v>0</v>
      </c>
      <c r="DC115">
        <f>IF(IF(OR(IFERROR(SEARCH("Cleric",$T115,1),0)&gt;0,IFERROR(SEARCH(DivineDomain&amp;",",$T115,1),0)&gt;0),1,0)*IF($C115=DC$2,1,0)=1,1+COUNTIF(DC$3:DC114,"&gt;0"),0)</f>
        <v>0</v>
      </c>
      <c r="DD115">
        <f>IF(IF(OR(IFERROR(SEARCH("Cleric",$T115,1),0)&gt;0,IFERROR(SEARCH(DivineDomain&amp;",",$T115,1),0)&gt;0),1,0)*IF($C115=DD$2,1,0)=1,1+COUNTIF(DD$3:DD114,"&gt;0"),0)</f>
        <v>0</v>
      </c>
      <c r="DE115">
        <f>IF(IF(OR(IFERROR(SEARCH("Cleric",$T115,1),0)&gt;0,IFERROR(SEARCH(DivineDomain&amp;",",$T115,1),0)&gt;0),1,0)*IF($C115=DE$2,1,0)=1,1+COUNTIF(DE$3:DE114,"&gt;0"),0)</f>
        <v>0</v>
      </c>
      <c r="DF115">
        <f>IF(IF(OR(IFERROR(SEARCH("Cleric",$T115,1),0)&gt;0,IFERROR(SEARCH(DivineDomain&amp;",",$T115,1),0)&gt;0),1,0)*IF($C115=DF$2,1,0)=1,1+COUNTIF(DF$3:DF114,"&gt;0"),0)</f>
        <v>0</v>
      </c>
      <c r="DG115">
        <f>IF(IF(OR(IFERROR(SEARCH("Cleric",$T115,1),0)&gt;0,IFERROR(SEARCH(DivineDomain&amp;",",$T115,1),0)&gt;0),1,0)*IF($C115=DG$2,1,0)=1,1+COUNTIF(DG$3:DG114,"&gt;0"),0)</f>
        <v>0</v>
      </c>
      <c r="DH115">
        <f>IF(IF(OR(IFERROR(SEARCH("Cleric",$T115,1),0)&gt;0,IFERROR(SEARCH(DivineDomain&amp;",",$T115,1),0)&gt;0),1,0)*IF($C115=DH$2,1,0)=1,1+COUNTIF(DH$3:DH114,"&gt;0"),0)</f>
        <v>3</v>
      </c>
      <c r="DI115">
        <f>IF(IF(OR(IFERROR(SEARCH("Cleric",$T115,1),0)&gt;0,IFERROR(SEARCH(DivineDomain&amp;",",$T115,1),0)&gt;0),1,0)*IF($C115=DI$2,1,0)=1,1+COUNTIF(DI$3:DI114,"&gt;0"),0)</f>
        <v>0</v>
      </c>
      <c r="DJ115">
        <f>IF(IF(OR(IFERROR(SEARCH("Druid",$T115,1),0)&gt;0,IFERROR(SEARCH(DruidLand1,$T115,1),0)&gt;0,IFERROR(SEARCH(DruidLand2,$T115,1),0)&gt;0,IFERROR(SEARCH(DruidLand3,$T115,1),0)&gt;0,IFERROR(SEARCH(DruidLand4,$T115,1),0)&gt;0),1,0)*IF($C115=1,1,0)*IF($C115=DJ$2,1,0)=0,0,1+COUNTIF(DJ$3:DJ114,"&gt;0"))</f>
        <v>0</v>
      </c>
      <c r="DK115">
        <f>IF(IF(OR(IFERROR(SEARCH("Druid",$T115,1),0)&gt;0,IFERROR(SEARCH(DruidLand1,$T115,1),0)&gt;0,IFERROR(SEARCH(DruidLand2,$T115,1),0)&gt;0,IFERROR(SEARCH(DruidLand3,$T115,1),0)&gt;0,IFERROR(SEARCH(DruidLand4,$T115,1),0)&gt;0),1,0)*IF($C115=DK$2,1,0)=0,0,1+COUNTIF(DK$3:DK114,"&gt;0"))</f>
        <v>0</v>
      </c>
      <c r="DL115">
        <f>IF(IF(OR(IFERROR(SEARCH("Druid",$T115,1),0)&gt;0,IFERROR(SEARCH(DruidLand1,$T115,1),0)&gt;0,IFERROR(SEARCH(DruidLand2,$T115,1),0)&gt;0,IFERROR(SEARCH(DruidLand3,$T115,1),0)&gt;0,IFERROR(SEARCH(DruidLand4,$T115,1),0)&gt;0),1,0)*IF($C115=DL$2,1,0)=0,0,1+COUNTIF(DL$3:DL114,"&gt;0"))</f>
        <v>0</v>
      </c>
      <c r="DM115">
        <f>IF(IF(OR(IFERROR(SEARCH("Druid",$T115,1),0)&gt;0,IFERROR(SEARCH(DruidLand1,$T115,1),0)&gt;0,IFERROR(SEARCH(DruidLand2,$T115,1),0)&gt;0,IFERROR(SEARCH(DruidLand3,$T115,1),0)&gt;0,IFERROR(SEARCH(DruidLand4,$T115,1),0)&gt;0),1,0)*IF($C115=DM$2,1,0)=0,0,1+COUNTIF(DM$3:DM114,"&gt;0"))</f>
        <v>0</v>
      </c>
      <c r="DN115">
        <f>IF(IF(OR(IFERROR(SEARCH("Druid",$T115,1),0)&gt;0,IFERROR(SEARCH(DruidLand1,$T115,1),0)&gt;0,IFERROR(SEARCH(DruidLand2,$T115,1),0)&gt;0,IFERROR(SEARCH(DruidLand3,$T115,1),0)&gt;0,IFERROR(SEARCH(DruidLand4,$T115,1),0)&gt;0),1,0)*IF($C115=DN$2,1,0)=0,0,1+COUNTIF(DN$3:DN114,"&gt;0"))</f>
        <v>0</v>
      </c>
      <c r="DO115">
        <f>IF(IF(OR(IFERROR(SEARCH("Druid",$T115,1),0)&gt;0,IFERROR(SEARCH(DruidLand1,$T115,1),0)&gt;0,IFERROR(SEARCH(DruidLand2,$T115,1),0)&gt;0,IFERROR(SEARCH(DruidLand3,$T115,1),0)&gt;0,IFERROR(SEARCH(DruidLand4,$T115,1),0)&gt;0),1,0)*IF($C115=DO$2,1,0)=0,0,1+COUNTIF(DO$3:DO114,"&gt;0"))</f>
        <v>0</v>
      </c>
      <c r="DP115">
        <f>IF(IF(OR(IFERROR(SEARCH("Druid",$T115,1),0)&gt;0,IFERROR(SEARCH(DruidLand1,$T115,1),0)&gt;0,IFERROR(SEARCH(DruidLand2,$T115,1),0)&gt;0,IFERROR(SEARCH(DruidLand3,$T115,1),0)&gt;0,IFERROR(SEARCH(DruidLand4,$T115,1),0)&gt;0),1,0)*IF($C115=DP$2,1,0)=0,0,1+COUNTIF(DP$3:DP114,"&gt;0"))</f>
        <v>0</v>
      </c>
      <c r="DQ115">
        <f>IF(IF(OR(IFERROR(SEARCH("Druid",$T115,1),0)&gt;0,IFERROR(SEARCH(DruidLand1,$T115,1),0)&gt;0,IFERROR(SEARCH(DruidLand2,$T115,1),0)&gt;0,IFERROR(SEARCH(DruidLand3,$T115,1),0)&gt;0,IFERROR(SEARCH(DruidLand4,$T115,1),0)&gt;0),1,0)*IF($C115=DQ$2,1,0)=0,0,1+COUNTIF(DQ$3:DQ114,"&gt;0"))</f>
        <v>4</v>
      </c>
      <c r="DR115">
        <f>IF(IF(OR(IFERROR(SEARCH("Druid",$T115,1),0)&gt;0,IFERROR(SEARCH(DruidLand1,$T115,1),0)&gt;0,IFERROR(SEARCH(DruidLand2,$T115,1),0)&gt;0,IFERROR(SEARCH(DruidLand3,$T115,1),0)&gt;0,IFERROR(SEARCH(DruidLand4,$T115,1),0)&gt;0),1,0)*IF($C115=DR$2,1,0)=0,0,1+COUNTIF(DR$3:DR114,"&gt;0"))</f>
        <v>0</v>
      </c>
      <c r="DS115">
        <f>IF(IF(OR(IFERROR(SEARCH("Paladin",$T115,1),0)&gt;0,IFERROR(SEARCH(PaladinOath,$T115,1),0)&gt;0),1,0)*IF($C115=DS$2,1,0)=1,1+COUNTIF(DS$3:DS114,"&gt;0"),0)</f>
        <v>0</v>
      </c>
      <c r="DT115">
        <f>IF(IF(OR(IFERROR(SEARCH("Paladin",$T115,1),0)&gt;0,IFERROR(SEARCH(PaladinOath,$T115,1),0)&gt;0),1,0)*IF($C115=DT$2,1,0)=1,1+COUNTIF(DT$3:DT114,"&gt;0"),0)</f>
        <v>0</v>
      </c>
      <c r="DU115">
        <f>IF(IF(OR(IFERROR(SEARCH("Paladin",$T115,1),0)&gt;0,IFERROR(SEARCH(PaladinOath,$T115,1),0)&gt;0),1,0)*IF($C115=DU$2,1,0)=1,1+COUNTIF(DU$3:DU114,"&gt;0"),0)</f>
        <v>0</v>
      </c>
      <c r="DV115">
        <f>IF(IF(OR(IFERROR(SEARCH("Paladin",$T115,1),0)&gt;0,IFERROR(SEARCH(PaladinOath,$T115,1),0)&gt;0),1,0)*IF($C115=DV$2,1,0)=1,1+COUNTIF(DV$3:DV114,"&gt;0"),0)</f>
        <v>0</v>
      </c>
      <c r="DW115">
        <f>IF(IF(OR(IFERROR(SEARCH("Paladin",$T115,1),0)&gt;0,IFERROR(SEARCH(PaladinOath,$T115,1),0)&gt;0),1,0)*IF($C115=DW$2,1,0)=1,1+COUNTIF(DW$3:DW114,"&gt;0"),0)</f>
        <v>0</v>
      </c>
      <c r="DY115">
        <f t="shared" si="56"/>
        <v>1</v>
      </c>
      <c r="DZ115">
        <f>IF(DY115=0,0,1+MAX(DZ$3:$DZ114))</f>
        <v>113</v>
      </c>
      <c r="EB115">
        <f t="shared" si="70"/>
        <v>0</v>
      </c>
      <c r="EC115">
        <f>IF(EB115=0,0,1+COUNTIF(EC$3:EC114,"&gt;0"))</f>
        <v>0</v>
      </c>
      <c r="ED115" t="str">
        <f t="shared" si="98"/>
        <v/>
      </c>
      <c r="EE115" t="str">
        <f t="shared" si="71"/>
        <v/>
      </c>
      <c r="EG115">
        <f t="shared" si="72"/>
        <v>0</v>
      </c>
      <c r="EH115">
        <f>IF(EG115=0,0,1+COUNTIF(EH$3:EH114,"&gt;0"))</f>
        <v>0</v>
      </c>
      <c r="EI115" t="str">
        <f t="shared" si="99"/>
        <v/>
      </c>
      <c r="EJ115" t="str">
        <f t="shared" si="73"/>
        <v/>
      </c>
      <c r="EL115">
        <f t="shared" si="74"/>
        <v>0</v>
      </c>
      <c r="EM115">
        <f>IF(EL115=0,0,1+COUNTIF(EM$3:EM114,"&gt;0"))</f>
        <v>0</v>
      </c>
      <c r="EN115" t="str">
        <f t="shared" si="100"/>
        <v/>
      </c>
      <c r="EO115" t="str">
        <f t="shared" si="75"/>
        <v/>
      </c>
      <c r="EQ115">
        <f t="shared" si="76"/>
        <v>0</v>
      </c>
      <c r="ER115">
        <f>IF(EQ115=0,0,1+COUNTIF(ER$3:ER114,"&gt;0"))</f>
        <v>0</v>
      </c>
      <c r="ES115" t="str">
        <f t="shared" si="101"/>
        <v/>
      </c>
      <c r="ET115" t="str">
        <f t="shared" si="77"/>
        <v/>
      </c>
      <c r="EV115">
        <f t="shared" si="78"/>
        <v>0</v>
      </c>
      <c r="EW115">
        <f>IF(EV115=0,0,1+COUNTIF(EW$3:EW114,"&gt;0"))</f>
        <v>0</v>
      </c>
      <c r="EX115" t="str">
        <f t="shared" si="102"/>
        <v/>
      </c>
      <c r="EY115" t="str">
        <f t="shared" si="79"/>
        <v/>
      </c>
      <c r="FA115">
        <f t="shared" si="80"/>
        <v>0</v>
      </c>
      <c r="FB115">
        <f>IF(FA115=0,0,1+COUNTIF(FB$3:FB114,"&gt;0"))</f>
        <v>0</v>
      </c>
      <c r="FC115" t="str">
        <f t="shared" si="103"/>
        <v/>
      </c>
      <c r="FD115" t="str">
        <f t="shared" si="81"/>
        <v/>
      </c>
      <c r="FF115">
        <f t="shared" si="82"/>
        <v>0</v>
      </c>
      <c r="FG115">
        <f>IF(FF115=0,0,1+COUNTIF(FG$3:FG114,"&gt;0"))</f>
        <v>0</v>
      </c>
      <c r="FH115" t="str">
        <f t="shared" si="104"/>
        <v/>
      </c>
      <c r="FI115" t="str">
        <f t="shared" si="83"/>
        <v/>
      </c>
      <c r="FK115">
        <f t="shared" si="84"/>
        <v>0</v>
      </c>
      <c r="FL115">
        <f>IF(FK115=0,0,1+COUNTIF(FL$3:FL114,"&gt;0"))</f>
        <v>0</v>
      </c>
      <c r="FM115" t="str">
        <f t="shared" si="105"/>
        <v/>
      </c>
      <c r="FN115" t="str">
        <f t="shared" si="85"/>
        <v/>
      </c>
      <c r="FP115">
        <f t="shared" si="86"/>
        <v>0</v>
      </c>
      <c r="FQ115">
        <f>IF(FP115=0,0,1+COUNTIF(FQ$3:FQ114,"&gt;0"))</f>
        <v>0</v>
      </c>
      <c r="FR115" t="str">
        <f t="shared" si="106"/>
        <v/>
      </c>
      <c r="FS115" t="str">
        <f t="shared" si="87"/>
        <v/>
      </c>
    </row>
    <row r="116" spans="1:175" x14ac:dyDescent="0.25">
      <c r="A116" s="347">
        <f t="shared" si="107"/>
        <v>114</v>
      </c>
      <c r="B116" s="348" t="s">
        <v>2483</v>
      </c>
      <c r="C116" s="348" t="s">
        <v>5277</v>
      </c>
      <c r="D116" s="347">
        <v>0.5</v>
      </c>
      <c r="E116" s="627" t="s">
        <v>6952</v>
      </c>
      <c r="F116" s="346"/>
      <c r="G116" s="347" t="str">
        <f>""</f>
        <v/>
      </c>
      <c r="H116" s="347" t="s">
        <v>5912</v>
      </c>
      <c r="I116" s="347" t="s">
        <v>5290</v>
      </c>
      <c r="J116" s="347" t="str">
        <f t="shared" si="57"/>
        <v/>
      </c>
      <c r="K116" s="347" t="s">
        <v>5278</v>
      </c>
      <c r="L116" s="611" t="str">
        <f t="shared" si="58"/>
        <v>V, S</v>
      </c>
      <c r="M116" s="347" t="s">
        <v>2373</v>
      </c>
      <c r="N116" s="347" t="s">
        <v>2387</v>
      </c>
      <c r="O116" s="347" t="s">
        <v>3034</v>
      </c>
      <c r="Q116" s="347" t="s">
        <v>5273</v>
      </c>
      <c r="S116" s="346" t="s">
        <v>5675</v>
      </c>
      <c r="T116" s="346" t="str">
        <f t="shared" si="59"/>
        <v xml:space="preserve">Warlock, </v>
      </c>
      <c r="Y116" s="347" t="str">
        <f>$B116</f>
        <v>Eldritch Blast</v>
      </c>
      <c r="AE116" t="str">
        <f>IF(IFERROR(MATCH($B116,temp!A$4:A$13,0),0)&gt;0,T08_Spells!AE$2,"")</f>
        <v/>
      </c>
      <c r="AF116" t="str">
        <f>IF(IFERROR(MATCH($B116,temp!B$4:B$13,0),0)&gt;0,T08_Spells!AF$2,"")</f>
        <v/>
      </c>
      <c r="AG116" t="str">
        <f>IF(IFERROR(MATCH($B116,temp!C$4:C$13,0),0)&gt;0,T08_Spells!AG$2,"")</f>
        <v/>
      </c>
      <c r="AH116" t="str">
        <f>IF(IFERROR(MATCH($B116,temp!D$4:D$13,0),0)&gt;0,T08_Spells!AH$2,"")</f>
        <v/>
      </c>
      <c r="AI116" t="str">
        <f>IF(IFERROR(MATCH($B116,temp!E$4:E$13,0),0)&gt;0,T08_Spells!AI$2,"")</f>
        <v/>
      </c>
      <c r="AJ116" t="str">
        <f>IF(IFERROR(MATCH($B116,temp!F$4:F$13,0),0)&gt;0,T08_Spells!AJ$2,"")</f>
        <v/>
      </c>
      <c r="AK116" t="str">
        <f>IF(IFERROR(MATCH($B116,temp!G$4:G$13,0),0)&gt;0,T08_Spells!AK$2,"")</f>
        <v/>
      </c>
      <c r="AL116" t="str">
        <f>IF(IFERROR(MATCH($B116,temp!H$4:H$13,0),0)&gt;0,T08_Spells!AL$2,"")</f>
        <v/>
      </c>
      <c r="AM116" t="str">
        <f>IF(IFERROR(MATCH($B116,temp!I$4:I$13,0),0)&gt;0,T08_Spells!AM$2,"")</f>
        <v/>
      </c>
      <c r="AN116" t="str">
        <f>IF(IFERROR(MATCH($B116,temp!J$4:J$13,0),0)&gt;0,T08_Spells!AN$2,"")</f>
        <v/>
      </c>
      <c r="AO116" t="str">
        <f>IF(IFERROR(MATCH($B116,temp!K$4:K$13,0),0)&gt;0,T08_Spells!AO$2,"")</f>
        <v/>
      </c>
      <c r="AP116" t="str">
        <f>IF(IFERROR(MATCH($B116,temp!L$4:L$13,0),0)&gt;0,T08_Spells!AP$2,"")</f>
        <v/>
      </c>
      <c r="AQ116" t="str">
        <f>IF(IFERROR(MATCH($B116,temp!M$4:M$13,0),0)&gt;0,T08_Spells!AQ$2,"")</f>
        <v/>
      </c>
      <c r="AR116" t="str">
        <f>IF(IFERROR(MATCH($B116,temp!N$4:N$13,0),0)&gt;0,T08_Spells!AR$2,"")</f>
        <v/>
      </c>
      <c r="AS116" t="str">
        <f>IF(IFERROR(MATCH($B116,temp!O$4:O$13,0),0)&gt;0,T08_Spells!AS$2,"")</f>
        <v/>
      </c>
      <c r="AT116" t="str">
        <f>IF(IFERROR(MATCH($B116,temp!P$4:P$13,0),0)&gt;0,T08_Spells!AT$2,"")</f>
        <v/>
      </c>
      <c r="AU116" t="str">
        <f>IF(IFERROR(MATCH($B116,temp!Q$4:Q$13,0),0)&gt;0,T08_Spells!AU$2,"")</f>
        <v/>
      </c>
      <c r="AV116" t="str">
        <f>IF(IFERROR(MATCH($B116,temp!R$4:R$13,0),0)&gt;0,T08_Spells!AV$2,"")</f>
        <v/>
      </c>
      <c r="AW116" t="str">
        <f>IF(IFERROR(MATCH($B116,temp!S$4:S$13,0),0)&gt;0,T08_Spells!AW$2,"")</f>
        <v/>
      </c>
      <c r="AX116" t="str">
        <f>IF(IFERROR(MATCH($B116,temp!T$4:T$13,0),0)&gt;0,T08_Spells!AX$2,"")</f>
        <v/>
      </c>
      <c r="AY116" t="str">
        <f>IF(IFERROR(MATCH($B116,temp!U$4:U$13,0),0)&gt;0,T08_Spells!AY$2,"")</f>
        <v/>
      </c>
      <c r="AZ116" t="str">
        <f>IF(IFERROR(MATCH($B116,temp!V$4:V$13,0),0)&gt;0,T08_Spells!AZ$2,"")</f>
        <v/>
      </c>
      <c r="BA116" t="str">
        <f>IF(IFERROR(MATCH($B116,temp!W$4:W$13,0),0)&gt;0,T08_Spells!BA$2,"")</f>
        <v/>
      </c>
      <c r="BC116">
        <f>IF(IFERROR(SEARCH("Ranger",$T116,1),0)&gt;0,1,0)*IF(RangerMaxSpellLevel&gt;=$C116,1,0)*IF(IFERROR(MATCH(B116,Character_Creation!$X$79:$X$382,0),0)&gt;0,0,1)</f>
        <v>0</v>
      </c>
      <c r="BD116">
        <f>IF(BC116=0,0,1+COUNTIF(BD$3:BD115,"&gt;0"))</f>
        <v>0</v>
      </c>
      <c r="BE116" t="str">
        <f t="shared" si="88"/>
        <v/>
      </c>
      <c r="BF116" t="str">
        <f t="shared" si="60"/>
        <v/>
      </c>
      <c r="BH116">
        <f>IF(IFERROR(SEARCH("Sorcerer",$T116,1),0)&gt;0,1,0)*IF(SorcererMaxSpellLevel&gt;=$C116,1,0)*IF(IFERROR(MATCH(B116,Character_Creation!$J$380:$J$394,0),0)&gt;0,0,1)</f>
        <v>0</v>
      </c>
      <c r="BI116">
        <f>IF(BH116=0,0,1+COUNTIF(BI$3:BI115,"&gt;0"))</f>
        <v>0</v>
      </c>
      <c r="BJ116" t="str">
        <f t="shared" si="89"/>
        <v/>
      </c>
      <c r="BK116" t="str">
        <f t="shared" si="61"/>
        <v/>
      </c>
      <c r="BM116">
        <f>IF(OR(IFERROR(SEARCH("Warlock",$T116,1),0)&gt;0,IFERROR(SEARCH(WarlockPatron,$T116,1),0)&gt;0),1,0)*IF(WarlockMaxSpellLevel&gt;=$C116,1,0)*IF(IFERROR(MATCH(B116,Character_Creation!$J$361:$J$375,0),0)&gt;0,0,1)</f>
        <v>0</v>
      </c>
      <c r="BN116">
        <f>IF(BM116=0,0,1+COUNTIF(BN$3:BN115,"&gt;0"))</f>
        <v>0</v>
      </c>
      <c r="BO116" t="str">
        <f t="shared" si="90"/>
        <v/>
      </c>
      <c r="BP116" t="str">
        <f t="shared" si="62"/>
        <v/>
      </c>
      <c r="BR116">
        <f>IF(IFERROR(SEARCH("Eldritch Knight",$T116,1),0)&gt;0,1,0)*IF(EldritchKnightMaxSpellLevel&gt;=$C116,1,0)*IF(IFERROR(MATCH($B116,Character_Creation!$J$350:$J$356,0),0)&gt;0,0,1)*IF(Character_Creation!$M$338&gt;0,1,0)</f>
        <v>0</v>
      </c>
      <c r="BS116">
        <f>IF(BR116=0,0,1+COUNTIF(BS$3:BS115,"&gt;0"))</f>
        <v>0</v>
      </c>
      <c r="BT116" t="str">
        <f t="shared" si="91"/>
        <v/>
      </c>
      <c r="BU116" t="str">
        <f t="shared" si="63"/>
        <v/>
      </c>
      <c r="BW116">
        <f>IF(IFERROR(SEARCH("Arcane Trickster",$T116,1),0)&gt;0,1,0)*IF(ArcaneTricksterMaxSpellLevel&gt;=$C116,1,0)*IF(IFERROR(MATCH($B116,Character_Creation!$J$350:$J$356,0),0)&gt;0,0,1)*IF(Character_Creation!$T$338&gt;0,1,0)</f>
        <v>0</v>
      </c>
      <c r="BX116">
        <f>IF(BW116=0,0,1+COUNTIF(BX$3:BX115,"&gt;0"))</f>
        <v>0</v>
      </c>
      <c r="BY116" t="str">
        <f t="shared" si="92"/>
        <v/>
      </c>
      <c r="BZ116" t="str">
        <f t="shared" si="64"/>
        <v/>
      </c>
      <c r="CB116">
        <f>IF(IFERROR(SEARCH("Wizard",$T116,1),0)&gt;0,1,0)*IF(C116&lt;=ArcaneTricksterMaxSpellLevel,1,0)*IF(IFERROR(MATCH($B116,Character_Creation!$J$350:$J$356,0),0)&gt;0,0,1)*IF(Character_Creation!$T$350&gt;0,1,0)</f>
        <v>0</v>
      </c>
      <c r="CC116">
        <f>IF(CB116=0,0,1+COUNTIF(CC$3:CC115,"&gt;0"))</f>
        <v>0</v>
      </c>
      <c r="CD116" t="str">
        <f t="shared" si="93"/>
        <v/>
      </c>
      <c r="CE116" t="str">
        <f t="shared" si="65"/>
        <v/>
      </c>
      <c r="CG116">
        <f>IF(IFERROR(SEARCH("Wizard",$T116,1),0)&gt;0,1,0)*IF($C116&lt;=EldritchKnightMaxSpellLevel,1,0)*IF(IFERROR(MATCH($B116,Character_Creation!$J$350:$J$356,0),0)&gt;0,0,1)*IF(Character_Creation!$M$350&gt;0,1,0)</f>
        <v>0</v>
      </c>
      <c r="CH116">
        <f>IF(CG116=0,0,1+COUNTIF(CH$3:CH115,"&gt;0"))</f>
        <v>0</v>
      </c>
      <c r="CI116" t="str">
        <f t="shared" si="94"/>
        <v/>
      </c>
      <c r="CJ116" t="str">
        <f t="shared" si="66"/>
        <v/>
      </c>
      <c r="CL116">
        <f>IF(IFERROR(SEARCH("Bard",$T116,1),0)&gt;0,1,0)*IF(BardMaxSpellLevel&gt;=$C116,1,0)*IF(IFERROR(MATCH(B116,Character_Creation!$C$341:$F$362,0),0)&gt;0,0,1)*IF(IFERROR(MATCH($B116,Character_Creation!$C$341:$C$362,0),0)&gt;0,0,1)</f>
        <v>0</v>
      </c>
      <c r="CM116">
        <f>IF(CL116=0,0,1+COUNTIF(CM$3:CM115,"&gt;0"))</f>
        <v>0</v>
      </c>
      <c r="CN116" t="str">
        <f t="shared" si="95"/>
        <v/>
      </c>
      <c r="CO116" t="str">
        <f t="shared" si="67"/>
        <v/>
      </c>
      <c r="CQ116">
        <f>IF(IFERROR(SEARCH("Wizard",$T116,1),0)&gt;0,1,0)*IF(WizardMaxSpellLevel&gt;=$C116,1,0)*IF(IFERROR(MATCH(B116,Character_Creation!$X$341:$X$400,0),0)&gt;0,0,1)*IF(SelectedWizardSpellLevel=$C116,1,0)</f>
        <v>0</v>
      </c>
      <c r="CR116">
        <f>IF(CQ116=0,0,1+COUNTIF(CR$3:CR115,"&gt;0"))</f>
        <v>0</v>
      </c>
      <c r="CS116" t="str">
        <f t="shared" si="96"/>
        <v/>
      </c>
      <c r="CT116" t="str">
        <f t="shared" si="68"/>
        <v/>
      </c>
      <c r="CV116">
        <f>IF(IFERROR(MATCH($B116,Character_Creation!$C$341:$C$362,0),0)&gt;0,0,1)*IF(OR(C116="Cantrip",C116&lt;=BardMaxSpellLevel),1,0)*IF(IFERROR(MATCH($B116,Character_Creation!$C$367:$C$374,0),0)&gt;0,0,1)</f>
        <v>1</v>
      </c>
      <c r="CW116">
        <f>IF(CV116=0,0,1+COUNTIF(CW$3:CW115,"&gt;0"))</f>
        <v>6</v>
      </c>
      <c r="CX116" t="str">
        <f t="shared" si="97"/>
        <v/>
      </c>
      <c r="CY116" t="str">
        <f t="shared" si="69"/>
        <v/>
      </c>
      <c r="DA116">
        <f>IF(IF(OR(IFERROR(SEARCH("Cleric",$T116,1),0)&gt;0,IFERROR(SEARCH(DivineDomain&amp;",",$T116,1),0)&gt;0),1,0)*IF($C116=DA$2,1,0)=1,1+COUNTIF(DA$3:DA115,"&gt;0"),0)</f>
        <v>0</v>
      </c>
      <c r="DB116">
        <f>IF(IF(OR(IFERROR(SEARCH("Cleric",$T116,1),0)&gt;0,IFERROR(SEARCH(DivineDomain&amp;",",$T116,1),0)&gt;0),1,0)*IF($C116=DB$2,1,0)=1,1+COUNTIF(DB$3:DB115,"&gt;0"),0)</f>
        <v>0</v>
      </c>
      <c r="DC116">
        <f>IF(IF(OR(IFERROR(SEARCH("Cleric",$T116,1),0)&gt;0,IFERROR(SEARCH(DivineDomain&amp;",",$T116,1),0)&gt;0),1,0)*IF($C116=DC$2,1,0)=1,1+COUNTIF(DC$3:DC115,"&gt;0"),0)</f>
        <v>0</v>
      </c>
      <c r="DD116">
        <f>IF(IF(OR(IFERROR(SEARCH("Cleric",$T116,1),0)&gt;0,IFERROR(SEARCH(DivineDomain&amp;",",$T116,1),0)&gt;0),1,0)*IF($C116=DD$2,1,0)=1,1+COUNTIF(DD$3:DD115,"&gt;0"),0)</f>
        <v>0</v>
      </c>
      <c r="DE116">
        <f>IF(IF(OR(IFERROR(SEARCH("Cleric",$T116,1),0)&gt;0,IFERROR(SEARCH(DivineDomain&amp;",",$T116,1),0)&gt;0),1,0)*IF($C116=DE$2,1,0)=1,1+COUNTIF(DE$3:DE115,"&gt;0"),0)</f>
        <v>0</v>
      </c>
      <c r="DF116">
        <f>IF(IF(OR(IFERROR(SEARCH("Cleric",$T116,1),0)&gt;0,IFERROR(SEARCH(DivineDomain&amp;",",$T116,1),0)&gt;0),1,0)*IF($C116=DF$2,1,0)=1,1+COUNTIF(DF$3:DF115,"&gt;0"),0)</f>
        <v>0</v>
      </c>
      <c r="DG116">
        <f>IF(IF(OR(IFERROR(SEARCH("Cleric",$T116,1),0)&gt;0,IFERROR(SEARCH(DivineDomain&amp;",",$T116,1),0)&gt;0),1,0)*IF($C116=DG$2,1,0)=1,1+COUNTIF(DG$3:DG115,"&gt;0"),0)</f>
        <v>0</v>
      </c>
      <c r="DH116">
        <f>IF(IF(OR(IFERROR(SEARCH("Cleric",$T116,1),0)&gt;0,IFERROR(SEARCH(DivineDomain&amp;",",$T116,1),0)&gt;0),1,0)*IF($C116=DH$2,1,0)=1,1+COUNTIF(DH$3:DH115,"&gt;0"),0)</f>
        <v>0</v>
      </c>
      <c r="DI116">
        <f>IF(IF(OR(IFERROR(SEARCH("Cleric",$T116,1),0)&gt;0,IFERROR(SEARCH(DivineDomain&amp;",",$T116,1),0)&gt;0),1,0)*IF($C116=DI$2,1,0)=1,1+COUNTIF(DI$3:DI115,"&gt;0"),0)</f>
        <v>0</v>
      </c>
      <c r="DJ116">
        <f>IF(IF(OR(IFERROR(SEARCH("Druid",$T116,1),0)&gt;0,IFERROR(SEARCH(DruidLand1,$T116,1),0)&gt;0,IFERROR(SEARCH(DruidLand2,$T116,1),0)&gt;0,IFERROR(SEARCH(DruidLand3,$T116,1),0)&gt;0,IFERROR(SEARCH(DruidLand4,$T116,1),0)&gt;0),1,0)*IF($C116=1,1,0)*IF($C116=DJ$2,1,0)=0,0,1+COUNTIF(DJ$3:DJ115,"&gt;0"))</f>
        <v>0</v>
      </c>
      <c r="DK116">
        <f>IF(IF(OR(IFERROR(SEARCH("Druid",$T116,1),0)&gt;0,IFERROR(SEARCH(DruidLand1,$T116,1),0)&gt;0,IFERROR(SEARCH(DruidLand2,$T116,1),0)&gt;0,IFERROR(SEARCH(DruidLand3,$T116,1),0)&gt;0,IFERROR(SEARCH(DruidLand4,$T116,1),0)&gt;0),1,0)*IF($C116=1,1,0)*IF($C116=DK$2,1,0)=0,0,1+COUNTIF(DK$3:DK115,"&gt;0"))</f>
        <v>0</v>
      </c>
      <c r="DL116">
        <f>IF(IF(OR(IFERROR(SEARCH("Druid",$T116,1),0)&gt;0,IFERROR(SEARCH(DruidLand1,$T116,1),0)&gt;0,IFERROR(SEARCH(DruidLand2,$T116,1),0)&gt;0,IFERROR(SEARCH(DruidLand3,$T116,1),0)&gt;0,IFERROR(SEARCH(DruidLand4,$T116,1),0)&gt;0),1,0)*IF($C116=1,1,0)*IF($C116=DL$2,1,0)=0,0,1+COUNTIF(DL$3:DL115,"&gt;0"))</f>
        <v>0</v>
      </c>
      <c r="DM116">
        <f>IF(IF(OR(IFERROR(SEARCH("Druid",$T116,1),0)&gt;0,IFERROR(SEARCH(DruidLand1,$T116,1),0)&gt;0,IFERROR(SEARCH(DruidLand2,$T116,1),0)&gt;0,IFERROR(SEARCH(DruidLand3,$T116,1),0)&gt;0,IFERROR(SEARCH(DruidLand4,$T116,1),0)&gt;0),1,0)*IF($C116=1,1,0)*IF($C116=DM$2,1,0)=0,0,1+COUNTIF(DM$3:DM115,"&gt;0"))</f>
        <v>0</v>
      </c>
      <c r="DN116">
        <f>IF(IF(OR(IFERROR(SEARCH("Druid",$T116,1),0)&gt;0,IFERROR(SEARCH(DruidLand1,$T116,1),0)&gt;0,IFERROR(SEARCH(DruidLand2,$T116,1),0)&gt;0,IFERROR(SEARCH(DruidLand3,$T116,1),0)&gt;0,IFERROR(SEARCH(DruidLand4,$T116,1),0)&gt;0),1,0)*IF($C116=1,1,0)*IF($C116=DN$2,1,0)=0,0,1+COUNTIF(DN$3:DN115,"&gt;0"))</f>
        <v>0</v>
      </c>
      <c r="DO116">
        <f>IF(IF(OR(IFERROR(SEARCH("Druid",$T116,1),0)&gt;0,IFERROR(SEARCH(DruidLand1,$T116,1),0)&gt;0,IFERROR(SEARCH(DruidLand2,$T116,1),0)&gt;0,IFERROR(SEARCH(DruidLand3,$T116,1),0)&gt;0,IFERROR(SEARCH(DruidLand4,$T116,1),0)&gt;0),1,0)*IF($C116=1,1,0)*IF($C116=DO$2,1,0)=0,0,1+COUNTIF(DO$3:DO115,"&gt;0"))</f>
        <v>0</v>
      </c>
      <c r="DP116">
        <f>IF(IF(OR(IFERROR(SEARCH("Druid",$T116,1),0)&gt;0,IFERROR(SEARCH(DruidLand1,$T116,1),0)&gt;0,IFERROR(SEARCH(DruidLand2,$T116,1),0)&gt;0,IFERROR(SEARCH(DruidLand3,$T116,1),0)&gt;0,IFERROR(SEARCH(DruidLand4,$T116,1),0)&gt;0),1,0)*IF($C116=1,1,0)*IF($C116=DP$2,1,0)=0,0,1+COUNTIF(DP$3:DP115,"&gt;0"))</f>
        <v>0</v>
      </c>
      <c r="DQ116">
        <f>IF(IF(OR(IFERROR(SEARCH("Druid",$T116,1),0)&gt;0,IFERROR(SEARCH(DruidLand1,$T116,1),0)&gt;0,IFERROR(SEARCH(DruidLand2,$T116,1),0)&gt;0,IFERROR(SEARCH(DruidLand3,$T116,1),0)&gt;0,IFERROR(SEARCH(DruidLand4,$T116,1),0)&gt;0),1,0)*IF($C116=1,1,0)*IF($C116=DQ$2,1,0)=0,0,1+COUNTIF(DQ$3:DQ115,"&gt;0"))</f>
        <v>0</v>
      </c>
      <c r="DR116">
        <f>IF(IF(OR(IFERROR(SEARCH("Druid",$T116,1),0)&gt;0,IFERROR(SEARCH(DruidLand1,$T116,1),0)&gt;0,IFERROR(SEARCH(DruidLand2,$T116,1),0)&gt;0,IFERROR(SEARCH(DruidLand3,$T116,1),0)&gt;0,IFERROR(SEARCH(DruidLand4,$T116,1),0)&gt;0),1,0)*IF($C116=1,1,0)*IF($C116=DR$2,1,0)=0,0,1+COUNTIF(DR$3:DR115,"&gt;0"))</f>
        <v>0</v>
      </c>
      <c r="DS116">
        <f>IF(IF(OR(IFERROR(SEARCH("Paladin",$T116,1),0)&gt;0,IFERROR(SEARCH(PaladinOath,$T116,1),0)&gt;0),1,0)*IF($C116=DS$2,1,0)=1,1+COUNTIF(DS$3:DS115,"&gt;0"),0)</f>
        <v>0</v>
      </c>
      <c r="DT116">
        <f>IF(IF(OR(IFERROR(SEARCH("Paladin",$T116,1),0)&gt;0,IFERROR(SEARCH(PaladinOath,$T116,1),0)&gt;0),1,0)*IF($C116=DT$2,1,0)=1,1+COUNTIF(DT$3:DT115,"&gt;0"),0)</f>
        <v>0</v>
      </c>
      <c r="DU116">
        <f>IF(IF(OR(IFERROR(SEARCH("Paladin",$T116,1),0)&gt;0,IFERROR(SEARCH(PaladinOath,$T116,1),0)&gt;0),1,0)*IF($C116=DU$2,1,0)=1,1+COUNTIF(DU$3:DU115,"&gt;0"),0)</f>
        <v>0</v>
      </c>
      <c r="DV116">
        <f>IF(IF(OR(IFERROR(SEARCH("Paladin",$T116,1),0)&gt;0,IFERROR(SEARCH(PaladinOath,$T116,1),0)&gt;0),1,0)*IF($C116=DV$2,1,0)=1,1+COUNTIF(DV$3:DV115,"&gt;0"),0)</f>
        <v>0</v>
      </c>
      <c r="DW116">
        <f>IF(IF(OR(IFERROR(SEARCH("Paladin",$T116,1),0)&gt;0,IFERROR(SEARCH(PaladinOath,$T116,1),0)&gt;0),1,0)*IF($C116=DW$2,1,0)=1,1+COUNTIF(DW$3:DW115,"&gt;0"),0)</f>
        <v>0</v>
      </c>
      <c r="DY116">
        <f t="shared" si="56"/>
        <v>1</v>
      </c>
      <c r="DZ116">
        <f>IF(DY116=0,0,1+MAX(DZ$3:$DZ115))</f>
        <v>114</v>
      </c>
      <c r="EB116">
        <f t="shared" si="70"/>
        <v>0</v>
      </c>
      <c r="EC116">
        <f>IF(EB116=0,0,1+COUNTIF(EC$3:EC115,"&gt;0"))</f>
        <v>0</v>
      </c>
      <c r="ED116" t="str">
        <f t="shared" si="98"/>
        <v/>
      </c>
      <c r="EE116" t="str">
        <f t="shared" si="71"/>
        <v/>
      </c>
      <c r="EG116">
        <f t="shared" si="72"/>
        <v>0</v>
      </c>
      <c r="EH116">
        <f>IF(EG116=0,0,1+COUNTIF(EH$3:EH115,"&gt;0"))</f>
        <v>0</v>
      </c>
      <c r="EI116" t="str">
        <f t="shared" si="99"/>
        <v/>
      </c>
      <c r="EJ116" t="str">
        <f t="shared" si="73"/>
        <v/>
      </c>
      <c r="EL116">
        <f t="shared" si="74"/>
        <v>0</v>
      </c>
      <c r="EM116">
        <f>IF(EL116=0,0,1+COUNTIF(EM$3:EM115,"&gt;0"))</f>
        <v>0</v>
      </c>
      <c r="EN116" t="str">
        <f t="shared" si="100"/>
        <v/>
      </c>
      <c r="EO116" t="str">
        <f t="shared" si="75"/>
        <v/>
      </c>
      <c r="EQ116">
        <f t="shared" si="76"/>
        <v>0</v>
      </c>
      <c r="ER116">
        <f>IF(EQ116=0,0,1+COUNTIF(ER$3:ER115,"&gt;0"))</f>
        <v>0</v>
      </c>
      <c r="ES116" t="str">
        <f t="shared" si="101"/>
        <v/>
      </c>
      <c r="ET116" t="str">
        <f t="shared" si="77"/>
        <v/>
      </c>
      <c r="EV116">
        <f t="shared" si="78"/>
        <v>0</v>
      </c>
      <c r="EW116">
        <f>IF(EV116=0,0,1+COUNTIF(EW$3:EW115,"&gt;0"))</f>
        <v>0</v>
      </c>
      <c r="EX116" t="str">
        <f t="shared" si="102"/>
        <v/>
      </c>
      <c r="EY116" t="str">
        <f t="shared" si="79"/>
        <v/>
      </c>
      <c r="FA116">
        <f t="shared" si="80"/>
        <v>0</v>
      </c>
      <c r="FB116">
        <f>IF(FA116=0,0,1+COUNTIF(FB$3:FB115,"&gt;0"))</f>
        <v>0</v>
      </c>
      <c r="FC116" t="str">
        <f t="shared" si="103"/>
        <v/>
      </c>
      <c r="FD116" t="str">
        <f t="shared" si="81"/>
        <v/>
      </c>
      <c r="FF116">
        <f t="shared" si="82"/>
        <v>1</v>
      </c>
      <c r="FG116">
        <f>IF(FF116=0,0,1+COUNTIF(FG$3:FG115,"&gt;0"))</f>
        <v>3</v>
      </c>
      <c r="FH116" t="str">
        <f t="shared" si="104"/>
        <v/>
      </c>
      <c r="FI116" t="str">
        <f t="shared" si="83"/>
        <v/>
      </c>
      <c r="FK116">
        <f t="shared" si="84"/>
        <v>0</v>
      </c>
      <c r="FL116">
        <f>IF(FK116=0,0,1+COUNTIF(FL$3:FL115,"&gt;0"))</f>
        <v>0</v>
      </c>
      <c r="FM116" t="str">
        <f t="shared" si="105"/>
        <v/>
      </c>
      <c r="FN116" t="str">
        <f t="shared" si="85"/>
        <v/>
      </c>
      <c r="FP116">
        <f t="shared" si="86"/>
        <v>0</v>
      </c>
      <c r="FQ116">
        <f>IF(FP116=0,0,1+COUNTIF(FQ$3:FQ115,"&gt;0"))</f>
        <v>0</v>
      </c>
      <c r="FR116" t="str">
        <f t="shared" si="106"/>
        <v/>
      </c>
      <c r="FS116" t="str">
        <f t="shared" si="87"/>
        <v/>
      </c>
    </row>
    <row r="117" spans="1:175" x14ac:dyDescent="0.25">
      <c r="A117" s="347">
        <f t="shared" si="107"/>
        <v>115</v>
      </c>
      <c r="B117" s="348" t="s">
        <v>2484</v>
      </c>
      <c r="C117" s="348">
        <v>3</v>
      </c>
      <c r="D117" s="347">
        <v>3</v>
      </c>
      <c r="E117" s="627" t="s">
        <v>6952</v>
      </c>
      <c r="F117" s="346"/>
      <c r="G117" s="347" t="str">
        <f>""</f>
        <v/>
      </c>
      <c r="H117" s="347" t="s">
        <v>5912</v>
      </c>
      <c r="I117" s="347" t="s">
        <v>5298</v>
      </c>
      <c r="J117" s="347" t="str">
        <f t="shared" si="57"/>
        <v/>
      </c>
      <c r="K117" s="347" t="s">
        <v>5284</v>
      </c>
      <c r="L117" s="611" t="str">
        <f t="shared" si="58"/>
        <v>V, S</v>
      </c>
      <c r="M117" s="347" t="s">
        <v>2373</v>
      </c>
      <c r="N117" s="347" t="s">
        <v>2387</v>
      </c>
      <c r="O117" s="347" t="s">
        <v>3034</v>
      </c>
      <c r="P117" s="346" t="str">
        <f>""</f>
        <v/>
      </c>
      <c r="Q117" s="347" t="s">
        <v>5276</v>
      </c>
      <c r="S117" s="346" t="s">
        <v>5920</v>
      </c>
      <c r="T117" s="346" t="str">
        <f t="shared" si="59"/>
        <v xml:space="preserve">Paladin, </v>
      </c>
      <c r="V117" s="347" t="str">
        <f>$B117</f>
        <v>Elemental Weapon</v>
      </c>
      <c r="AE117" t="str">
        <f>IF(IFERROR(MATCH($B117,temp!A$4:A$13,0),0)&gt;0,T08_Spells!AE$2,"")</f>
        <v/>
      </c>
      <c r="AF117" t="str">
        <f>IF(IFERROR(MATCH($B117,temp!B$4:B$13,0),0)&gt;0,T08_Spells!AF$2,"")</f>
        <v/>
      </c>
      <c r="AG117" t="str">
        <f>IF(IFERROR(MATCH($B117,temp!C$4:C$13,0),0)&gt;0,T08_Spells!AG$2,"")</f>
        <v/>
      </c>
      <c r="AH117" t="str">
        <f>IF(IFERROR(MATCH($B117,temp!D$4:D$13,0),0)&gt;0,T08_Spells!AH$2,"")</f>
        <v/>
      </c>
      <c r="AI117" t="str">
        <f>IF(IFERROR(MATCH($B117,temp!E$4:E$13,0),0)&gt;0,T08_Spells!AI$2,"")</f>
        <v/>
      </c>
      <c r="AJ117" t="str">
        <f>IF(IFERROR(MATCH($B117,temp!F$4:F$13,0),0)&gt;0,T08_Spells!AJ$2,"")</f>
        <v/>
      </c>
      <c r="AK117" t="str">
        <f>IF(IFERROR(MATCH($B117,temp!G$4:G$13,0),0)&gt;0,T08_Spells!AK$2,"")</f>
        <v/>
      </c>
      <c r="AL117" t="str">
        <f>IF(IFERROR(MATCH($B117,temp!H$4:H$13,0),0)&gt;0,T08_Spells!AL$2,"")</f>
        <v/>
      </c>
      <c r="AM117" t="str">
        <f>IF(IFERROR(MATCH($B117,temp!I$4:I$13,0),0)&gt;0,T08_Spells!AM$2,"")</f>
        <v/>
      </c>
      <c r="AN117" t="str">
        <f>IF(IFERROR(MATCH($B117,temp!J$4:J$13,0),0)&gt;0,T08_Spells!AN$2,"")</f>
        <v/>
      </c>
      <c r="AO117" t="str">
        <f>IF(IFERROR(MATCH($B117,temp!K$4:K$13,0),0)&gt;0,T08_Spells!AO$2,"")</f>
        <v/>
      </c>
      <c r="AP117" t="str">
        <f>IF(IFERROR(MATCH($B117,temp!L$4:L$13,0),0)&gt;0,T08_Spells!AP$2,"")</f>
        <v/>
      </c>
      <c r="AQ117" t="str">
        <f>IF(IFERROR(MATCH($B117,temp!M$4:M$13,0),0)&gt;0,T08_Spells!AQ$2,"")</f>
        <v/>
      </c>
      <c r="AR117" t="str">
        <f>IF(IFERROR(MATCH($B117,temp!N$4:N$13,0),0)&gt;0,T08_Spells!AR$2,"")</f>
        <v/>
      </c>
      <c r="AS117" t="str">
        <f>IF(IFERROR(MATCH($B117,temp!O$4:O$13,0),0)&gt;0,T08_Spells!AS$2,"")</f>
        <v/>
      </c>
      <c r="AT117" t="str">
        <f>IF(IFERROR(MATCH($B117,temp!P$4:P$13,0),0)&gt;0,T08_Spells!AT$2,"")</f>
        <v/>
      </c>
      <c r="AU117" t="str">
        <f>IF(IFERROR(MATCH($B117,temp!Q$4:Q$13,0),0)&gt;0,T08_Spells!AU$2,"")</f>
        <v/>
      </c>
      <c r="AV117" t="str">
        <f>IF(IFERROR(MATCH($B117,temp!R$4:R$13,0),0)&gt;0,T08_Spells!AV$2,"")</f>
        <v/>
      </c>
      <c r="AW117" t="str">
        <f>IF(IFERROR(MATCH($B117,temp!S$4:S$13,0),0)&gt;0,T08_Spells!AW$2,"")</f>
        <v/>
      </c>
      <c r="AX117" t="str">
        <f>IF(IFERROR(MATCH($B117,temp!T$4:T$13,0),0)&gt;0,T08_Spells!AX$2,"")</f>
        <v/>
      </c>
      <c r="AY117" t="str">
        <f>IF(IFERROR(MATCH($B117,temp!U$4:U$13,0),0)&gt;0,T08_Spells!AY$2,"")</f>
        <v/>
      </c>
      <c r="AZ117" t="str">
        <f>IF(IFERROR(MATCH($B117,temp!V$4:V$13,0),0)&gt;0,T08_Spells!AZ$2,"")</f>
        <v/>
      </c>
      <c r="BA117" t="str">
        <f>IF(IFERROR(MATCH($B117,temp!W$4:W$13,0),0)&gt;0,T08_Spells!BA$2,"")</f>
        <v/>
      </c>
      <c r="BC117">
        <f>IF(IFERROR(SEARCH("Ranger",$T117,1),0)&gt;0,1,0)*IF(RangerMaxSpellLevel&gt;=$C117,1,0)*IF(IFERROR(MATCH(B117,Character_Creation!$X$79:$X$382,0),0)&gt;0,0,1)</f>
        <v>0</v>
      </c>
      <c r="BD117">
        <f>IF(BC117=0,0,1+COUNTIF(BD$3:BD116,"&gt;0"))</f>
        <v>0</v>
      </c>
      <c r="BE117" t="str">
        <f t="shared" si="88"/>
        <v/>
      </c>
      <c r="BF117" t="str">
        <f t="shared" si="60"/>
        <v/>
      </c>
      <c r="BH117">
        <f>IF(IFERROR(SEARCH("Sorcerer",$T117,1),0)&gt;0,1,0)*IF(SorcererMaxSpellLevel&gt;=$C117,1,0)*IF(IFERROR(MATCH(B117,Character_Creation!$J$380:$J$394,0),0)&gt;0,0,1)</f>
        <v>0</v>
      </c>
      <c r="BI117">
        <f>IF(BH117=0,0,1+COUNTIF(BI$3:BI116,"&gt;0"))</f>
        <v>0</v>
      </c>
      <c r="BJ117" t="str">
        <f t="shared" si="89"/>
        <v/>
      </c>
      <c r="BK117" t="str">
        <f t="shared" si="61"/>
        <v/>
      </c>
      <c r="BM117">
        <f>IF(OR(IFERROR(SEARCH("Warlock",$T117,1),0)&gt;0,IFERROR(SEARCH(WarlockPatron,$T117,1),0)&gt;0),1,0)*IF(WarlockMaxSpellLevel&gt;=$C117,1,0)*IF(IFERROR(MATCH(B117,Character_Creation!$J$361:$J$375,0),0)&gt;0,0,1)</f>
        <v>0</v>
      </c>
      <c r="BN117">
        <f>IF(BM117=0,0,1+COUNTIF(BN$3:BN116,"&gt;0"))</f>
        <v>0</v>
      </c>
      <c r="BO117" t="str">
        <f t="shared" si="90"/>
        <v/>
      </c>
      <c r="BP117" t="str">
        <f t="shared" si="62"/>
        <v/>
      </c>
      <c r="BR117">
        <f>IF(IFERROR(SEARCH("Eldritch Knight",$T117,1),0)&gt;0,1,0)*IF(EldritchKnightMaxSpellLevel&gt;=$C117,1,0)*IF(IFERROR(MATCH($B117,Character_Creation!$J$350:$J$356,0),0)&gt;0,0,1)*IF(Character_Creation!$M$338&gt;0,1,0)</f>
        <v>0</v>
      </c>
      <c r="BS117">
        <f>IF(BR117=0,0,1+COUNTIF(BS$3:BS116,"&gt;0"))</f>
        <v>0</v>
      </c>
      <c r="BT117" t="str">
        <f t="shared" si="91"/>
        <v/>
      </c>
      <c r="BU117" t="str">
        <f t="shared" si="63"/>
        <v/>
      </c>
      <c r="BW117">
        <f>IF(IFERROR(SEARCH("Arcane Trickster",$T117,1),0)&gt;0,1,0)*IF(ArcaneTricksterMaxSpellLevel&gt;=$C117,1,0)*IF(IFERROR(MATCH($B117,Character_Creation!$J$350:$J$356,0),0)&gt;0,0,1)*IF(Character_Creation!$T$338&gt;0,1,0)</f>
        <v>0</v>
      </c>
      <c r="BX117">
        <f>IF(BW117=0,0,1+COUNTIF(BX$3:BX116,"&gt;0"))</f>
        <v>0</v>
      </c>
      <c r="BY117" t="str">
        <f t="shared" si="92"/>
        <v/>
      </c>
      <c r="BZ117" t="str">
        <f t="shared" si="64"/>
        <v/>
      </c>
      <c r="CB117">
        <f>IF(IFERROR(SEARCH("Wizard",$T117,1),0)&gt;0,1,0)*IF(C117&lt;=ArcaneTricksterMaxSpellLevel,1,0)*IF(IFERROR(MATCH($B117,Character_Creation!$J$350:$J$356,0),0)&gt;0,0,1)*IF(Character_Creation!$T$350&gt;0,1,0)</f>
        <v>0</v>
      </c>
      <c r="CC117">
        <f>IF(CB117=0,0,1+COUNTIF(CC$3:CC116,"&gt;0"))</f>
        <v>0</v>
      </c>
      <c r="CD117" t="str">
        <f t="shared" si="93"/>
        <v/>
      </c>
      <c r="CE117" t="str">
        <f t="shared" si="65"/>
        <v/>
      </c>
      <c r="CG117">
        <f>IF(IFERROR(SEARCH("Wizard",$T117,1),0)&gt;0,1,0)*IF($C117&lt;=EldritchKnightMaxSpellLevel,1,0)*IF(IFERROR(MATCH($B117,Character_Creation!$J$350:$J$356,0),0)&gt;0,0,1)*IF(Character_Creation!$M$350&gt;0,1,0)</f>
        <v>0</v>
      </c>
      <c r="CH117">
        <f>IF(CG117=0,0,1+COUNTIF(CH$3:CH116,"&gt;0"))</f>
        <v>0</v>
      </c>
      <c r="CI117" t="str">
        <f t="shared" si="94"/>
        <v/>
      </c>
      <c r="CJ117" t="str">
        <f t="shared" si="66"/>
        <v/>
      </c>
      <c r="CL117">
        <f>IF(IFERROR(SEARCH("Bard",$T117,1),0)&gt;0,1,0)*IF(BardMaxSpellLevel&gt;=$C117,1,0)*IF(IFERROR(MATCH(B117,Character_Creation!$C$341:$F$362,0),0)&gt;0,0,1)*IF(IFERROR(MATCH($B117,Character_Creation!$C$341:$C$362,0),0)&gt;0,0,1)</f>
        <v>0</v>
      </c>
      <c r="CM117">
        <f>IF(CL117=0,0,1+COUNTIF(CM$3:CM116,"&gt;0"))</f>
        <v>0</v>
      </c>
      <c r="CN117" t="str">
        <f t="shared" si="95"/>
        <v/>
      </c>
      <c r="CO117" t="str">
        <f t="shared" si="67"/>
        <v/>
      </c>
      <c r="CQ117">
        <f>IF(IFERROR(SEARCH("Wizard",$T117,1),0)&gt;0,1,0)*IF(WizardMaxSpellLevel&gt;=$C117,1,0)*IF(IFERROR(MATCH(B117,Character_Creation!$X$341:$X$400,0),0)&gt;0,0,1)*IF(SelectedWizardSpellLevel=$C117,1,0)</f>
        <v>0</v>
      </c>
      <c r="CR117">
        <f>IF(CQ117=0,0,1+COUNTIF(CR$3:CR116,"&gt;0"))</f>
        <v>0</v>
      </c>
      <c r="CS117" t="str">
        <f t="shared" si="96"/>
        <v/>
      </c>
      <c r="CT117" t="str">
        <f t="shared" si="68"/>
        <v/>
      </c>
      <c r="CV117">
        <f>IF(IFERROR(MATCH($B117,Character_Creation!$C$341:$C$362,0),0)&gt;0,0,1)*IF(OR(C117="Cantrip",C117&lt;=BardMaxSpellLevel),1,0)*IF(IFERROR(MATCH($B117,Character_Creation!$C$367:$C$374,0),0)&gt;0,0,1)</f>
        <v>0</v>
      </c>
      <c r="CW117">
        <f>IF(CV117=0,0,1+COUNTIF(CW$3:CW116,"&gt;0"))</f>
        <v>0</v>
      </c>
      <c r="CX117" t="str">
        <f t="shared" si="97"/>
        <v/>
      </c>
      <c r="CY117" t="str">
        <f t="shared" si="69"/>
        <v/>
      </c>
      <c r="DA117">
        <f>IF(IF(OR(IFERROR(SEARCH("Cleric",$T117,1),0)&gt;0,IFERROR(SEARCH(DivineDomain&amp;",",$T117,1),0)&gt;0),1,0)*IF($C117=DA$2,1,0)=1,1+COUNTIF(DA$3:DA116,"&gt;0"),0)</f>
        <v>0</v>
      </c>
      <c r="DB117">
        <f>IF(IF(OR(IFERROR(SEARCH("Cleric",$T117,1),0)&gt;0,IFERROR(SEARCH(DivineDomain&amp;",",$T117,1),0)&gt;0),1,0)*IF($C117=DB$2,1,0)=1,1+COUNTIF(DB$3:DB116,"&gt;0"),0)</f>
        <v>0</v>
      </c>
      <c r="DC117">
        <f>IF(IF(OR(IFERROR(SEARCH("Cleric",$T117,1),0)&gt;0,IFERROR(SEARCH(DivineDomain&amp;",",$T117,1),0)&gt;0),1,0)*IF($C117=DC$2,1,0)=1,1+COUNTIF(DC$3:DC116,"&gt;0"),0)</f>
        <v>0</v>
      </c>
      <c r="DD117">
        <f>IF(IF(OR(IFERROR(SEARCH("Cleric",$T117,1),0)&gt;0,IFERROR(SEARCH(DivineDomain&amp;",",$T117,1),0)&gt;0),1,0)*IF($C117=DD$2,1,0)=1,1+COUNTIF(DD$3:DD116,"&gt;0"),0)</f>
        <v>0</v>
      </c>
      <c r="DE117">
        <f>IF(IF(OR(IFERROR(SEARCH("Cleric",$T117,1),0)&gt;0,IFERROR(SEARCH(DivineDomain&amp;",",$T117,1),0)&gt;0),1,0)*IF($C117=DE$2,1,0)=1,1+COUNTIF(DE$3:DE116,"&gt;0"),0)</f>
        <v>0</v>
      </c>
      <c r="DF117">
        <f>IF(IF(OR(IFERROR(SEARCH("Cleric",$T117,1),0)&gt;0,IFERROR(SEARCH(DivineDomain&amp;",",$T117,1),0)&gt;0),1,0)*IF($C117=DF$2,1,0)=1,1+COUNTIF(DF$3:DF116,"&gt;0"),0)</f>
        <v>0</v>
      </c>
      <c r="DG117">
        <f>IF(IF(OR(IFERROR(SEARCH("Cleric",$T117,1),0)&gt;0,IFERROR(SEARCH(DivineDomain&amp;",",$T117,1),0)&gt;0),1,0)*IF($C117=DG$2,1,0)=1,1+COUNTIF(DG$3:DG116,"&gt;0"),0)</f>
        <v>0</v>
      </c>
      <c r="DH117">
        <f>IF(IF(OR(IFERROR(SEARCH("Cleric",$T117,1),0)&gt;0,IFERROR(SEARCH(DivineDomain&amp;",",$T117,1),0)&gt;0),1,0)*IF($C117=DH$2,1,0)=1,1+COUNTIF(DH$3:DH116,"&gt;0"),0)</f>
        <v>0</v>
      </c>
      <c r="DI117">
        <f>IF(IF(OR(IFERROR(SEARCH("Cleric",$T117,1),0)&gt;0,IFERROR(SEARCH(DivineDomain&amp;",",$T117,1),0)&gt;0),1,0)*IF($C117=DI$2,1,0)=1,1+COUNTIF(DI$3:DI116,"&gt;0"),0)</f>
        <v>0</v>
      </c>
      <c r="DJ117">
        <f>IF(IF(OR(IFERROR(SEARCH("Druid",$T117,1),0)&gt;0,IFERROR(SEARCH(DruidLand1,$T117,1),0)&gt;0,IFERROR(SEARCH(DruidLand2,$T117,1),0)&gt;0,IFERROR(SEARCH(DruidLand3,$T117,1),0)&gt;0,IFERROR(SEARCH(DruidLand4,$T117,1),0)&gt;0),1,0)*IF($C117=1,1,0)*IF($C117=DJ$2,1,0)=0,0,1+COUNTIF(DJ$3:DJ116,"&gt;0"))</f>
        <v>0</v>
      </c>
      <c r="DK117">
        <f>IF(IF(OR(IFERROR(SEARCH("Druid",$T117,1),0)&gt;0,IFERROR(SEARCH(DruidLand1,$T117,1),0)&gt;0,IFERROR(SEARCH(DruidLand2,$T117,1),0)&gt;0,IFERROR(SEARCH(DruidLand3,$T117,1),0)&gt;0,IFERROR(SEARCH(DruidLand4,$T117,1),0)&gt;0),1,0)*IF($C117=1,1,0)*IF($C117=DK$2,1,0)=0,0,1+COUNTIF(DK$3:DK116,"&gt;0"))</f>
        <v>0</v>
      </c>
      <c r="DL117">
        <f>IF(IF(OR(IFERROR(SEARCH("Druid",$T117,1),0)&gt;0,IFERROR(SEARCH(DruidLand1,$T117,1),0)&gt;0,IFERROR(SEARCH(DruidLand2,$T117,1),0)&gt;0,IFERROR(SEARCH(DruidLand3,$T117,1),0)&gt;0,IFERROR(SEARCH(DruidLand4,$T117,1),0)&gt;0),1,0)*IF($C117=1,1,0)*IF($C117=DL$2,1,0)=0,0,1+COUNTIF(DL$3:DL116,"&gt;0"))</f>
        <v>0</v>
      </c>
      <c r="DM117">
        <f>IF(IF(OR(IFERROR(SEARCH("Druid",$T117,1),0)&gt;0,IFERROR(SEARCH(DruidLand1,$T117,1),0)&gt;0,IFERROR(SEARCH(DruidLand2,$T117,1),0)&gt;0,IFERROR(SEARCH(DruidLand3,$T117,1),0)&gt;0,IFERROR(SEARCH(DruidLand4,$T117,1),0)&gt;0),1,0)*IF($C117=1,1,0)*IF($C117=DM$2,1,0)=0,0,1+COUNTIF(DM$3:DM116,"&gt;0"))</f>
        <v>0</v>
      </c>
      <c r="DN117">
        <f>IF(IF(OR(IFERROR(SEARCH("Druid",$T117,1),0)&gt;0,IFERROR(SEARCH(DruidLand1,$T117,1),0)&gt;0,IFERROR(SEARCH(DruidLand2,$T117,1),0)&gt;0,IFERROR(SEARCH(DruidLand3,$T117,1),0)&gt;0,IFERROR(SEARCH(DruidLand4,$T117,1),0)&gt;0),1,0)*IF($C117=1,1,0)*IF($C117=DN$2,1,0)=0,0,1+COUNTIF(DN$3:DN116,"&gt;0"))</f>
        <v>0</v>
      </c>
      <c r="DO117">
        <f>IF(IF(OR(IFERROR(SEARCH("Druid",$T117,1),0)&gt;0,IFERROR(SEARCH(DruidLand1,$T117,1),0)&gt;0,IFERROR(SEARCH(DruidLand2,$T117,1),0)&gt;0,IFERROR(SEARCH(DruidLand3,$T117,1),0)&gt;0,IFERROR(SEARCH(DruidLand4,$T117,1),0)&gt;0),1,0)*IF($C117=1,1,0)*IF($C117=DO$2,1,0)=0,0,1+COUNTIF(DO$3:DO116,"&gt;0"))</f>
        <v>0</v>
      </c>
      <c r="DP117">
        <f>IF(IF(OR(IFERROR(SEARCH("Druid",$T117,1),0)&gt;0,IFERROR(SEARCH(DruidLand1,$T117,1),0)&gt;0,IFERROR(SEARCH(DruidLand2,$T117,1),0)&gt;0,IFERROR(SEARCH(DruidLand3,$T117,1),0)&gt;0,IFERROR(SEARCH(DruidLand4,$T117,1),0)&gt;0),1,0)*IF($C117=1,1,0)*IF($C117=DP$2,1,0)=0,0,1+COUNTIF(DP$3:DP116,"&gt;0"))</f>
        <v>0</v>
      </c>
      <c r="DQ117">
        <f>IF(IF(OR(IFERROR(SEARCH("Druid",$T117,1),0)&gt;0,IFERROR(SEARCH(DruidLand1,$T117,1),0)&gt;0,IFERROR(SEARCH(DruidLand2,$T117,1),0)&gt;0,IFERROR(SEARCH(DruidLand3,$T117,1),0)&gt;0,IFERROR(SEARCH(DruidLand4,$T117,1),0)&gt;0),1,0)*IF($C117=1,1,0)*IF($C117=DQ$2,1,0)=0,0,1+COUNTIF(DQ$3:DQ116,"&gt;0"))</f>
        <v>0</v>
      </c>
      <c r="DR117">
        <f>IF(IF(OR(IFERROR(SEARCH("Druid",$T117,1),0)&gt;0,IFERROR(SEARCH(DruidLand1,$T117,1),0)&gt;0,IFERROR(SEARCH(DruidLand2,$T117,1),0)&gt;0,IFERROR(SEARCH(DruidLand3,$T117,1),0)&gt;0,IFERROR(SEARCH(DruidLand4,$T117,1),0)&gt;0),1,0)*IF($C117=1,1,0)*IF($C117=DR$2,1,0)=0,0,1+COUNTIF(DR$3:DR116,"&gt;0"))</f>
        <v>0</v>
      </c>
      <c r="DS117">
        <f>IF(IF(OR(IFERROR(SEARCH("Paladin",$T117,1),0)&gt;0,IFERROR(SEARCH(PaladinOath,$T117,1),0)&gt;0),1,0)*IF($C117=DS$2,1,0)=1,1+COUNTIF(DS$3:DS116,"&gt;0"),0)</f>
        <v>0</v>
      </c>
      <c r="DT117">
        <f>IF(IF(OR(IFERROR(SEARCH("Paladin",$T117,1),0)&gt;0,IFERROR(SEARCH(PaladinOath,$T117,1),0)&gt;0),1,0)*IF($C117=DT$2,1,0)=1,1+COUNTIF(DT$3:DT116,"&gt;0"),0)</f>
        <v>0</v>
      </c>
      <c r="DU117">
        <f>IF(IF(OR(IFERROR(SEARCH("Paladin",$T117,1),0)&gt;0,IFERROR(SEARCH(PaladinOath,$T117,1),0)&gt;0),1,0)*IF($C117=DU$2,1,0)=1,1+COUNTIF(DU$3:DU116,"&gt;0"),0)</f>
        <v>7</v>
      </c>
      <c r="DV117">
        <f>IF(IF(OR(IFERROR(SEARCH("Paladin",$T117,1),0)&gt;0,IFERROR(SEARCH(PaladinOath,$T117,1),0)&gt;0),1,0)*IF($C117=DV$2,1,0)=1,1+COUNTIF(DV$3:DV116,"&gt;0"),0)</f>
        <v>0</v>
      </c>
      <c r="DW117">
        <f>IF(IF(OR(IFERROR(SEARCH("Paladin",$T117,1),0)&gt;0,IFERROR(SEARCH(PaladinOath,$T117,1),0)&gt;0),1,0)*IF($C117=DW$2,1,0)=1,1+COUNTIF(DW$3:DW116,"&gt;0"),0)</f>
        <v>0</v>
      </c>
      <c r="DY117">
        <f t="shared" si="56"/>
        <v>1</v>
      </c>
      <c r="DZ117">
        <f>IF(DY117=0,0,1+MAX(DZ$3:$DZ116))</f>
        <v>115</v>
      </c>
      <c r="EB117">
        <f t="shared" si="70"/>
        <v>0</v>
      </c>
      <c r="EC117">
        <f>IF(EB117=0,0,1+COUNTIF(EC$3:EC116,"&gt;0"))</f>
        <v>0</v>
      </c>
      <c r="ED117" t="str">
        <f t="shared" si="98"/>
        <v/>
      </c>
      <c r="EE117" t="str">
        <f t="shared" si="71"/>
        <v/>
      </c>
      <c r="EG117">
        <f t="shared" si="72"/>
        <v>0</v>
      </c>
      <c r="EH117">
        <f>IF(EG117=0,0,1+COUNTIF(EH$3:EH116,"&gt;0"))</f>
        <v>0</v>
      </c>
      <c r="EI117" t="str">
        <f t="shared" si="99"/>
        <v/>
      </c>
      <c r="EJ117" t="str">
        <f t="shared" si="73"/>
        <v/>
      </c>
      <c r="EL117">
        <f t="shared" si="74"/>
        <v>0</v>
      </c>
      <c r="EM117">
        <f>IF(EL117=0,0,1+COUNTIF(EM$3:EM116,"&gt;0"))</f>
        <v>0</v>
      </c>
      <c r="EN117" t="str">
        <f t="shared" si="100"/>
        <v/>
      </c>
      <c r="EO117" t="str">
        <f t="shared" si="75"/>
        <v/>
      </c>
      <c r="EQ117">
        <f t="shared" si="76"/>
        <v>0</v>
      </c>
      <c r="ER117">
        <f>IF(EQ117=0,0,1+COUNTIF(ER$3:ER116,"&gt;0"))</f>
        <v>0</v>
      </c>
      <c r="ES117" t="str">
        <f t="shared" si="101"/>
        <v/>
      </c>
      <c r="ET117" t="str">
        <f t="shared" si="77"/>
        <v/>
      </c>
      <c r="EV117">
        <f t="shared" si="78"/>
        <v>0</v>
      </c>
      <c r="EW117">
        <f>IF(EV117=0,0,1+COUNTIF(EW$3:EW116,"&gt;0"))</f>
        <v>0</v>
      </c>
      <c r="EX117" t="str">
        <f t="shared" si="102"/>
        <v/>
      </c>
      <c r="EY117" t="str">
        <f t="shared" si="79"/>
        <v/>
      </c>
      <c r="FA117">
        <f t="shared" si="80"/>
        <v>0</v>
      </c>
      <c r="FB117">
        <f>IF(FA117=0,0,1+COUNTIF(FB$3:FB116,"&gt;0"))</f>
        <v>0</v>
      </c>
      <c r="FC117" t="str">
        <f t="shared" si="103"/>
        <v/>
      </c>
      <c r="FD117" t="str">
        <f t="shared" si="81"/>
        <v/>
      </c>
      <c r="FF117">
        <f t="shared" si="82"/>
        <v>0</v>
      </c>
      <c r="FG117">
        <f>IF(FF117=0,0,1+COUNTIF(FG$3:FG116,"&gt;0"))</f>
        <v>0</v>
      </c>
      <c r="FH117" t="str">
        <f t="shared" si="104"/>
        <v/>
      </c>
      <c r="FI117" t="str">
        <f t="shared" si="83"/>
        <v/>
      </c>
      <c r="FK117">
        <f t="shared" si="84"/>
        <v>0</v>
      </c>
      <c r="FL117">
        <f>IF(FK117=0,0,1+COUNTIF(FL$3:FL116,"&gt;0"))</f>
        <v>0</v>
      </c>
      <c r="FM117" t="str">
        <f t="shared" si="105"/>
        <v/>
      </c>
      <c r="FN117" t="str">
        <f t="shared" si="85"/>
        <v/>
      </c>
      <c r="FP117">
        <f t="shared" si="86"/>
        <v>0</v>
      </c>
      <c r="FQ117">
        <f>IF(FP117=0,0,1+COUNTIF(FQ$3:FQ116,"&gt;0"))</f>
        <v>0</v>
      </c>
      <c r="FR117" t="str">
        <f t="shared" si="106"/>
        <v/>
      </c>
      <c r="FS117" t="str">
        <f t="shared" si="87"/>
        <v/>
      </c>
    </row>
    <row r="118" spans="1:175" x14ac:dyDescent="0.25">
      <c r="A118" s="347">
        <f t="shared" si="107"/>
        <v>116</v>
      </c>
      <c r="B118" s="348" t="s">
        <v>2485</v>
      </c>
      <c r="C118" s="348">
        <v>2</v>
      </c>
      <c r="D118" s="347">
        <v>2</v>
      </c>
      <c r="E118" s="627" t="s">
        <v>6952</v>
      </c>
      <c r="F118" s="346"/>
      <c r="G118" s="347" t="str">
        <f>""</f>
        <v/>
      </c>
      <c r="H118" s="347" t="s">
        <v>5912</v>
      </c>
      <c r="I118" s="347" t="s">
        <v>5298</v>
      </c>
      <c r="J118" s="347" t="str">
        <f t="shared" si="57"/>
        <v/>
      </c>
      <c r="K118" s="347" t="s">
        <v>5284</v>
      </c>
      <c r="L118" s="611" t="str">
        <f t="shared" si="58"/>
        <v>V, S, M, fur or a feather from a beast</v>
      </c>
      <c r="M118" s="347" t="s">
        <v>2373</v>
      </c>
      <c r="N118" s="347" t="s">
        <v>2387</v>
      </c>
      <c r="O118" s="347" t="s">
        <v>1244</v>
      </c>
      <c r="P118" s="346" t="s">
        <v>5358</v>
      </c>
      <c r="Q118" s="347" t="s">
        <v>5276</v>
      </c>
      <c r="S118" s="346" t="s">
        <v>5676</v>
      </c>
      <c r="T118" s="346" t="str">
        <f t="shared" si="59"/>
        <v xml:space="preserve">Bard, Sorcerer, Cleric, Druid, </v>
      </c>
      <c r="U118" s="347" t="str">
        <f>$B118</f>
        <v>Enhance Ability</v>
      </c>
      <c r="X118" s="347" t="str">
        <f>$B118</f>
        <v>Enhance Ability</v>
      </c>
      <c r="Z118" s="347" t="str">
        <f>$B118</f>
        <v>Enhance Ability</v>
      </c>
      <c r="AA118" s="347" t="str">
        <f>$B118</f>
        <v>Enhance Ability</v>
      </c>
      <c r="AE118" t="str">
        <f>IF(IFERROR(MATCH($B118,temp!A$4:A$13,0),0)&gt;0,T08_Spells!AE$2,"")</f>
        <v/>
      </c>
      <c r="AF118" t="str">
        <f>IF(IFERROR(MATCH($B118,temp!B$4:B$13,0),0)&gt;0,T08_Spells!AF$2,"")</f>
        <v/>
      </c>
      <c r="AG118" t="str">
        <f>IF(IFERROR(MATCH($B118,temp!C$4:C$13,0),0)&gt;0,T08_Spells!AG$2,"")</f>
        <v/>
      </c>
      <c r="AH118" t="str">
        <f>IF(IFERROR(MATCH($B118,temp!D$4:D$13,0),0)&gt;0,T08_Spells!AH$2,"")</f>
        <v/>
      </c>
      <c r="AI118" t="str">
        <f>IF(IFERROR(MATCH($B118,temp!E$4:E$13,0),0)&gt;0,T08_Spells!AI$2,"")</f>
        <v/>
      </c>
      <c r="AJ118" t="str">
        <f>IF(IFERROR(MATCH($B118,temp!F$4:F$13,0),0)&gt;0,T08_Spells!AJ$2,"")</f>
        <v/>
      </c>
      <c r="AK118" t="str">
        <f>IF(IFERROR(MATCH($B118,temp!G$4:G$13,0),0)&gt;0,T08_Spells!AK$2,"")</f>
        <v/>
      </c>
      <c r="AL118" t="str">
        <f>IF(IFERROR(MATCH($B118,temp!H$4:H$13,0),0)&gt;0,T08_Spells!AL$2,"")</f>
        <v/>
      </c>
      <c r="AM118" t="str">
        <f>IF(IFERROR(MATCH($B118,temp!I$4:I$13,0),0)&gt;0,T08_Spells!AM$2,"")</f>
        <v/>
      </c>
      <c r="AN118" t="str">
        <f>IF(IFERROR(MATCH($B118,temp!J$4:J$13,0),0)&gt;0,T08_Spells!AN$2,"")</f>
        <v/>
      </c>
      <c r="AO118" t="str">
        <f>IF(IFERROR(MATCH($B118,temp!K$4:K$13,0),0)&gt;0,T08_Spells!AO$2,"")</f>
        <v/>
      </c>
      <c r="AP118" t="str">
        <f>IF(IFERROR(MATCH($B118,temp!L$4:L$13,0),0)&gt;0,T08_Spells!AP$2,"")</f>
        <v/>
      </c>
      <c r="AQ118" t="str">
        <f>IF(IFERROR(MATCH($B118,temp!M$4:M$13,0),0)&gt;0,T08_Spells!AQ$2,"")</f>
        <v/>
      </c>
      <c r="AR118" t="str">
        <f>IF(IFERROR(MATCH($B118,temp!N$4:N$13,0),0)&gt;0,T08_Spells!AR$2,"")</f>
        <v/>
      </c>
      <c r="AS118" t="str">
        <f>IF(IFERROR(MATCH($B118,temp!O$4:O$13,0),0)&gt;0,T08_Spells!AS$2,"")</f>
        <v/>
      </c>
      <c r="AT118" t="str">
        <f>IF(IFERROR(MATCH($B118,temp!P$4:P$13,0),0)&gt;0,T08_Spells!AT$2,"")</f>
        <v/>
      </c>
      <c r="AU118" t="str">
        <f>IF(IFERROR(MATCH($B118,temp!Q$4:Q$13,0),0)&gt;0,T08_Spells!AU$2,"")</f>
        <v/>
      </c>
      <c r="AV118" t="str">
        <f>IF(IFERROR(MATCH($B118,temp!R$4:R$13,0),0)&gt;0,T08_Spells!AV$2,"")</f>
        <v/>
      </c>
      <c r="AW118" t="str">
        <f>IF(IFERROR(MATCH($B118,temp!S$4:S$13,0),0)&gt;0,T08_Spells!AW$2,"")</f>
        <v/>
      </c>
      <c r="AX118" t="str">
        <f>IF(IFERROR(MATCH($B118,temp!T$4:T$13,0),0)&gt;0,T08_Spells!AX$2,"")</f>
        <v/>
      </c>
      <c r="AY118" t="str">
        <f>IF(IFERROR(MATCH($B118,temp!U$4:U$13,0),0)&gt;0,T08_Spells!AY$2,"")</f>
        <v/>
      </c>
      <c r="AZ118" t="str">
        <f>IF(IFERROR(MATCH($B118,temp!V$4:V$13,0),0)&gt;0,T08_Spells!AZ$2,"")</f>
        <v/>
      </c>
      <c r="BA118" t="str">
        <f>IF(IFERROR(MATCH($B118,temp!W$4:W$13,0),0)&gt;0,T08_Spells!BA$2,"")</f>
        <v/>
      </c>
      <c r="BC118">
        <f>IF(IFERROR(SEARCH("Ranger",$T118,1),0)&gt;0,1,0)*IF(RangerMaxSpellLevel&gt;=$C118,1,0)*IF(IFERROR(MATCH(B118,Character_Creation!$X$79:$X$382,0),0)&gt;0,0,1)</f>
        <v>0</v>
      </c>
      <c r="BD118">
        <f>IF(BC118=0,0,1+COUNTIF(BD$3:BD117,"&gt;0"))</f>
        <v>0</v>
      </c>
      <c r="BE118" t="str">
        <f t="shared" si="88"/>
        <v/>
      </c>
      <c r="BF118" t="str">
        <f t="shared" si="60"/>
        <v/>
      </c>
      <c r="BH118">
        <f>IF(IFERROR(SEARCH("Sorcerer",$T118,1),0)&gt;0,1,0)*IF(SorcererMaxSpellLevel&gt;=$C118,1,0)*IF(IFERROR(MATCH(B118,Character_Creation!$J$380:$J$394,0),0)&gt;0,0,1)</f>
        <v>0</v>
      </c>
      <c r="BI118">
        <f>IF(BH118=0,0,1+COUNTIF(BI$3:BI117,"&gt;0"))</f>
        <v>0</v>
      </c>
      <c r="BJ118" t="str">
        <f t="shared" si="89"/>
        <v/>
      </c>
      <c r="BK118" t="str">
        <f t="shared" si="61"/>
        <v/>
      </c>
      <c r="BM118">
        <f>IF(OR(IFERROR(SEARCH("Warlock",$T118,1),0)&gt;0,IFERROR(SEARCH(WarlockPatron,$T118,1),0)&gt;0),1,0)*IF(WarlockMaxSpellLevel&gt;=$C118,1,0)*IF(IFERROR(MATCH(B118,Character_Creation!$J$361:$J$375,0),0)&gt;0,0,1)</f>
        <v>0</v>
      </c>
      <c r="BN118">
        <f>IF(BM118=0,0,1+COUNTIF(BN$3:BN117,"&gt;0"))</f>
        <v>0</v>
      </c>
      <c r="BO118" t="str">
        <f t="shared" si="90"/>
        <v/>
      </c>
      <c r="BP118" t="str">
        <f t="shared" si="62"/>
        <v/>
      </c>
      <c r="BR118">
        <f>IF(IFERROR(SEARCH("Eldritch Knight",$T118,1),0)&gt;0,1,0)*IF(EldritchKnightMaxSpellLevel&gt;=$C118,1,0)*IF(IFERROR(MATCH($B118,Character_Creation!$J$350:$J$356,0),0)&gt;0,0,1)*IF(Character_Creation!$M$338&gt;0,1,0)</f>
        <v>0</v>
      </c>
      <c r="BS118">
        <f>IF(BR118=0,0,1+COUNTIF(BS$3:BS117,"&gt;0"))</f>
        <v>0</v>
      </c>
      <c r="BT118" t="str">
        <f t="shared" si="91"/>
        <v/>
      </c>
      <c r="BU118" t="str">
        <f t="shared" si="63"/>
        <v/>
      </c>
      <c r="BW118">
        <f>IF(IFERROR(SEARCH("Arcane Trickster",$T118,1),0)&gt;0,1,0)*IF(ArcaneTricksterMaxSpellLevel&gt;=$C118,1,0)*IF(IFERROR(MATCH($B118,Character_Creation!$J$350:$J$356,0),0)&gt;0,0,1)*IF(Character_Creation!$T$338&gt;0,1,0)</f>
        <v>0</v>
      </c>
      <c r="BX118">
        <f>IF(BW118=0,0,1+COUNTIF(BX$3:BX117,"&gt;0"))</f>
        <v>0</v>
      </c>
      <c r="BY118" t="str">
        <f t="shared" si="92"/>
        <v/>
      </c>
      <c r="BZ118" t="str">
        <f t="shared" si="64"/>
        <v/>
      </c>
      <c r="CB118">
        <f>IF(IFERROR(SEARCH("Wizard",$T118,1),0)&gt;0,1,0)*IF(C118&lt;=ArcaneTricksterMaxSpellLevel,1,0)*IF(IFERROR(MATCH($B118,Character_Creation!$J$350:$J$356,0),0)&gt;0,0,1)*IF(Character_Creation!$T$350&gt;0,1,0)</f>
        <v>0</v>
      </c>
      <c r="CC118">
        <f>IF(CB118=0,0,1+COUNTIF(CC$3:CC117,"&gt;0"))</f>
        <v>0</v>
      </c>
      <c r="CD118" t="str">
        <f t="shared" si="93"/>
        <v/>
      </c>
      <c r="CE118" t="str">
        <f t="shared" si="65"/>
        <v/>
      </c>
      <c r="CG118">
        <f>IF(IFERROR(SEARCH("Wizard",$T118,1),0)&gt;0,1,0)*IF($C118&lt;=EldritchKnightMaxSpellLevel,1,0)*IF(IFERROR(MATCH($B118,Character_Creation!$J$350:$J$356,0),0)&gt;0,0,1)*IF(Character_Creation!$M$350&gt;0,1,0)</f>
        <v>0</v>
      </c>
      <c r="CH118">
        <f>IF(CG118=0,0,1+COUNTIF(CH$3:CH117,"&gt;0"))</f>
        <v>0</v>
      </c>
      <c r="CI118" t="str">
        <f t="shared" si="94"/>
        <v/>
      </c>
      <c r="CJ118" t="str">
        <f t="shared" si="66"/>
        <v/>
      </c>
      <c r="CL118">
        <f>IF(IFERROR(SEARCH("Bard",$T118,1),0)&gt;0,1,0)*IF(BardMaxSpellLevel&gt;=$C118,1,0)*IF(IFERROR(MATCH(B118,Character_Creation!$C$341:$F$362,0),0)&gt;0,0,1)*IF(IFERROR(MATCH($B118,Character_Creation!$C$341:$C$362,0),0)&gt;0,0,1)</f>
        <v>0</v>
      </c>
      <c r="CM118">
        <f>IF(CL118=0,0,1+COUNTIF(CM$3:CM117,"&gt;0"))</f>
        <v>0</v>
      </c>
      <c r="CN118" t="str">
        <f t="shared" si="95"/>
        <v/>
      </c>
      <c r="CO118" t="str">
        <f t="shared" si="67"/>
        <v/>
      </c>
      <c r="CQ118">
        <f>IF(IFERROR(SEARCH("Wizard",$T118,1),0)&gt;0,1,0)*IF(WizardMaxSpellLevel&gt;=$C118,1,0)*IF(IFERROR(MATCH(B118,Character_Creation!$X$341:$X$400,0),0)&gt;0,0,1)*IF(SelectedWizardSpellLevel=$C118,1,0)</f>
        <v>0</v>
      </c>
      <c r="CR118">
        <f>IF(CQ118=0,0,1+COUNTIF(CR$3:CR117,"&gt;0"))</f>
        <v>0</v>
      </c>
      <c r="CS118" t="str">
        <f t="shared" si="96"/>
        <v/>
      </c>
      <c r="CT118" t="str">
        <f t="shared" si="68"/>
        <v/>
      </c>
      <c r="CV118">
        <f>IF(IFERROR(MATCH($B118,Character_Creation!$C$341:$C$362,0),0)&gt;0,0,1)*IF(OR(C118="Cantrip",C118&lt;=BardMaxSpellLevel),1,0)*IF(IFERROR(MATCH($B118,Character_Creation!$C$367:$C$374,0),0)&gt;0,0,1)</f>
        <v>0</v>
      </c>
      <c r="CW118">
        <f>IF(CV118=0,0,1+COUNTIF(CW$3:CW117,"&gt;0"))</f>
        <v>0</v>
      </c>
      <c r="CX118" t="str">
        <f t="shared" si="97"/>
        <v/>
      </c>
      <c r="CY118" t="str">
        <f t="shared" si="69"/>
        <v/>
      </c>
      <c r="DA118">
        <f>IF(IF(OR(IFERROR(SEARCH("Cleric",$T118,1),0)&gt;0,IFERROR(SEARCH(DivineDomain&amp;",",$T118,1),0)&gt;0),1,0)*IF($C118=DA$2,1,0)=1,1+COUNTIF(DA$3:DA117,"&gt;0"),0)</f>
        <v>0</v>
      </c>
      <c r="DB118">
        <f>IF(IF(OR(IFERROR(SEARCH("Cleric",$T118,1),0)&gt;0,IFERROR(SEARCH(DivineDomain&amp;",",$T118,1),0)&gt;0),1,0)*IF($C118=DB$2,1,0)=1,1+COUNTIF(DB$3:DB117,"&gt;0"),0)</f>
        <v>5</v>
      </c>
      <c r="DC118">
        <f>IF(IF(OR(IFERROR(SEARCH("Cleric",$T118,1),0)&gt;0,IFERROR(SEARCH(DivineDomain&amp;",",$T118,1),0)&gt;0),1,0)*IF($C118=DC$2,1,0)=1,1+COUNTIF(DC$3:DC117,"&gt;0"),0)</f>
        <v>0</v>
      </c>
      <c r="DD118">
        <f>IF(IF(OR(IFERROR(SEARCH("Cleric",$T118,1),0)&gt;0,IFERROR(SEARCH(DivineDomain&amp;",",$T118,1),0)&gt;0),1,0)*IF($C118=DD$2,1,0)=1,1+COUNTIF(DD$3:DD117,"&gt;0"),0)</f>
        <v>0</v>
      </c>
      <c r="DE118">
        <f>IF(IF(OR(IFERROR(SEARCH("Cleric",$T118,1),0)&gt;0,IFERROR(SEARCH(DivineDomain&amp;",",$T118,1),0)&gt;0),1,0)*IF($C118=DE$2,1,0)=1,1+COUNTIF(DE$3:DE117,"&gt;0"),0)</f>
        <v>0</v>
      </c>
      <c r="DF118">
        <f>IF(IF(OR(IFERROR(SEARCH("Cleric",$T118,1),0)&gt;0,IFERROR(SEARCH(DivineDomain&amp;",",$T118,1),0)&gt;0),1,0)*IF($C118=DF$2,1,0)=1,1+COUNTIF(DF$3:DF117,"&gt;0"),0)</f>
        <v>0</v>
      </c>
      <c r="DG118">
        <f>IF(IF(OR(IFERROR(SEARCH("Cleric",$T118,1),0)&gt;0,IFERROR(SEARCH(DivineDomain&amp;",",$T118,1),0)&gt;0),1,0)*IF($C118=DG$2,1,0)=1,1+COUNTIF(DG$3:DG117,"&gt;0"),0)</f>
        <v>0</v>
      </c>
      <c r="DH118">
        <f>IF(IF(OR(IFERROR(SEARCH("Cleric",$T118,1),0)&gt;0,IFERROR(SEARCH(DivineDomain&amp;",",$T118,1),0)&gt;0),1,0)*IF($C118=DH$2,1,0)=1,1+COUNTIF(DH$3:DH117,"&gt;0"),0)</f>
        <v>0</v>
      </c>
      <c r="DI118">
        <f>IF(IF(OR(IFERROR(SEARCH("Cleric",$T118,1),0)&gt;0,IFERROR(SEARCH(DivineDomain&amp;",",$T118,1),0)&gt;0),1,0)*IF($C118=DI$2,1,0)=1,1+COUNTIF(DI$3:DI117,"&gt;0"),0)</f>
        <v>0</v>
      </c>
      <c r="DJ118">
        <f>IF(IF(OR(IFERROR(SEARCH("Druid",$T118,1),0)&gt;0,IFERROR(SEARCH(DruidLand1,$T118,1),0)&gt;0,IFERROR(SEARCH(DruidLand2,$T118,1),0)&gt;0,IFERROR(SEARCH(DruidLand3,$T118,1),0)&gt;0,IFERROR(SEARCH(DruidLand4,$T118,1),0)&gt;0),1,0)*IF($C118=1,1,0)*IF($C118=DJ$2,1,0)=0,0,1+COUNTIF(DJ$3:DJ117,"&gt;0"))</f>
        <v>0</v>
      </c>
      <c r="DK118">
        <f>IF(IF(OR(IFERROR(SEARCH("Druid",$T118,1),0)&gt;0,IFERROR(SEARCH(DruidLand1,$T118,1),0)&gt;0,IFERROR(SEARCH(DruidLand2,$T118,1),0)&gt;0,IFERROR(SEARCH(DruidLand3,$T118,1),0)&gt;0,IFERROR(SEARCH(DruidLand4,$T118,1),0)&gt;0),1,0)*IF($C118=DK$2,1,0)=0,0,1+COUNTIF(DK$3:DK117,"&gt;0"))</f>
        <v>5</v>
      </c>
      <c r="DL118">
        <f>IF(IF(OR(IFERROR(SEARCH("Druid",$T118,1),0)&gt;0,IFERROR(SEARCH(DruidLand1,$T118,1),0)&gt;0,IFERROR(SEARCH(DruidLand2,$T118,1),0)&gt;0,IFERROR(SEARCH(DruidLand3,$T118,1),0)&gt;0,IFERROR(SEARCH(DruidLand4,$T118,1),0)&gt;0),1,0)*IF($C118=DL$2,1,0)=0,0,1+COUNTIF(DL$3:DL117,"&gt;0"))</f>
        <v>0</v>
      </c>
      <c r="DM118">
        <f>IF(IF(OR(IFERROR(SEARCH("Druid",$T118,1),0)&gt;0,IFERROR(SEARCH(DruidLand1,$T118,1),0)&gt;0,IFERROR(SEARCH(DruidLand2,$T118,1),0)&gt;0,IFERROR(SEARCH(DruidLand3,$T118,1),0)&gt;0,IFERROR(SEARCH(DruidLand4,$T118,1),0)&gt;0),1,0)*IF($C118=DM$2,1,0)=0,0,1+COUNTIF(DM$3:DM117,"&gt;0"))</f>
        <v>0</v>
      </c>
      <c r="DN118">
        <f>IF(IF(OR(IFERROR(SEARCH("Druid",$T118,1),0)&gt;0,IFERROR(SEARCH(DruidLand1,$T118,1),0)&gt;0,IFERROR(SEARCH(DruidLand2,$T118,1),0)&gt;0,IFERROR(SEARCH(DruidLand3,$T118,1),0)&gt;0,IFERROR(SEARCH(DruidLand4,$T118,1),0)&gt;0),1,0)*IF($C118=DN$2,1,0)=0,0,1+COUNTIF(DN$3:DN117,"&gt;0"))</f>
        <v>0</v>
      </c>
      <c r="DO118">
        <f>IF(IF(OR(IFERROR(SEARCH("Druid",$T118,1),0)&gt;0,IFERROR(SEARCH(DruidLand1,$T118,1),0)&gt;0,IFERROR(SEARCH(DruidLand2,$T118,1),0)&gt;0,IFERROR(SEARCH(DruidLand3,$T118,1),0)&gt;0,IFERROR(SEARCH(DruidLand4,$T118,1),0)&gt;0),1,0)*IF($C118=DO$2,1,0)=0,0,1+COUNTIF(DO$3:DO117,"&gt;0"))</f>
        <v>0</v>
      </c>
      <c r="DP118">
        <f>IF(IF(OR(IFERROR(SEARCH("Druid",$T118,1),0)&gt;0,IFERROR(SEARCH(DruidLand1,$T118,1),0)&gt;0,IFERROR(SEARCH(DruidLand2,$T118,1),0)&gt;0,IFERROR(SEARCH(DruidLand3,$T118,1),0)&gt;0,IFERROR(SEARCH(DruidLand4,$T118,1),0)&gt;0),1,0)*IF($C118=DP$2,1,0)=0,0,1+COUNTIF(DP$3:DP117,"&gt;0"))</f>
        <v>0</v>
      </c>
      <c r="DQ118">
        <f>IF(IF(OR(IFERROR(SEARCH("Druid",$T118,1),0)&gt;0,IFERROR(SEARCH(DruidLand1,$T118,1),0)&gt;0,IFERROR(SEARCH(DruidLand2,$T118,1),0)&gt;0,IFERROR(SEARCH(DruidLand3,$T118,1),0)&gt;0,IFERROR(SEARCH(DruidLand4,$T118,1),0)&gt;0),1,0)*IF($C118=DQ$2,1,0)=0,0,1+COUNTIF(DQ$3:DQ117,"&gt;0"))</f>
        <v>0</v>
      </c>
      <c r="DR118">
        <f>IF(IF(OR(IFERROR(SEARCH("Druid",$T118,1),0)&gt;0,IFERROR(SEARCH(DruidLand1,$T118,1),0)&gt;0,IFERROR(SEARCH(DruidLand2,$T118,1),0)&gt;0,IFERROR(SEARCH(DruidLand3,$T118,1),0)&gt;0,IFERROR(SEARCH(DruidLand4,$T118,1),0)&gt;0),1,0)*IF($C118=DR$2,1,0)=0,0,1+COUNTIF(DR$3:DR117,"&gt;0"))</f>
        <v>0</v>
      </c>
      <c r="DS118">
        <f>IF(IF(OR(IFERROR(SEARCH("Paladin",$T118,1),0)&gt;0,IFERROR(SEARCH(PaladinOath,$T118,1),0)&gt;0),1,0)*IF($C118=DS$2,1,0)=1,1+COUNTIF(DS$3:DS117,"&gt;0"),0)</f>
        <v>0</v>
      </c>
      <c r="DT118">
        <f>IF(IF(OR(IFERROR(SEARCH("Paladin",$T118,1),0)&gt;0,IFERROR(SEARCH(PaladinOath,$T118,1),0)&gt;0),1,0)*IF($C118=DT$2,1,0)=1,1+COUNTIF(DT$3:DT117,"&gt;0"),0)</f>
        <v>0</v>
      </c>
      <c r="DU118">
        <f>IF(IF(OR(IFERROR(SEARCH("Paladin",$T118,1),0)&gt;0,IFERROR(SEARCH(PaladinOath,$T118,1),0)&gt;0),1,0)*IF($C118=DU$2,1,0)=1,1+COUNTIF(DU$3:DU117,"&gt;0"),0)</f>
        <v>0</v>
      </c>
      <c r="DV118">
        <f>IF(IF(OR(IFERROR(SEARCH("Paladin",$T118,1),0)&gt;0,IFERROR(SEARCH(PaladinOath,$T118,1),0)&gt;0),1,0)*IF($C118=DV$2,1,0)=1,1+COUNTIF(DV$3:DV117,"&gt;0"),0)</f>
        <v>0</v>
      </c>
      <c r="DW118">
        <f>IF(IF(OR(IFERROR(SEARCH("Paladin",$T118,1),0)&gt;0,IFERROR(SEARCH(PaladinOath,$T118,1),0)&gt;0),1,0)*IF($C118=DW$2,1,0)=1,1+COUNTIF(DW$3:DW117,"&gt;0"),0)</f>
        <v>0</v>
      </c>
      <c r="DY118">
        <f t="shared" si="56"/>
        <v>1</v>
      </c>
      <c r="DZ118">
        <f>IF(DY118=0,0,1+MAX(DZ$3:$DZ117))</f>
        <v>116</v>
      </c>
      <c r="EB118">
        <f t="shared" si="70"/>
        <v>0</v>
      </c>
      <c r="EC118">
        <f>IF(EB118=0,0,1+COUNTIF(EC$3:EC117,"&gt;0"))</f>
        <v>0</v>
      </c>
      <c r="ED118" t="str">
        <f t="shared" si="98"/>
        <v/>
      </c>
      <c r="EE118" t="str">
        <f t="shared" si="71"/>
        <v/>
      </c>
      <c r="EG118">
        <f t="shared" si="72"/>
        <v>0</v>
      </c>
      <c r="EH118">
        <f>IF(EG118=0,0,1+COUNTIF(EH$3:EH117,"&gt;0"))</f>
        <v>0</v>
      </c>
      <c r="EI118" t="str">
        <f t="shared" si="99"/>
        <v/>
      </c>
      <c r="EJ118" t="str">
        <f t="shared" si="73"/>
        <v/>
      </c>
      <c r="EL118">
        <f t="shared" si="74"/>
        <v>0</v>
      </c>
      <c r="EM118">
        <f>IF(EL118=0,0,1+COUNTIF(EM$3:EM117,"&gt;0"))</f>
        <v>0</v>
      </c>
      <c r="EN118" t="str">
        <f t="shared" si="100"/>
        <v/>
      </c>
      <c r="EO118" t="str">
        <f t="shared" si="75"/>
        <v/>
      </c>
      <c r="EQ118">
        <f t="shared" si="76"/>
        <v>0</v>
      </c>
      <c r="ER118">
        <f>IF(EQ118=0,0,1+COUNTIF(ER$3:ER117,"&gt;0"))</f>
        <v>0</v>
      </c>
      <c r="ES118" t="str">
        <f t="shared" si="101"/>
        <v/>
      </c>
      <c r="ET118" t="str">
        <f t="shared" si="77"/>
        <v/>
      </c>
      <c r="EV118">
        <f t="shared" si="78"/>
        <v>0</v>
      </c>
      <c r="EW118">
        <f>IF(EV118=0,0,1+COUNTIF(EW$3:EW117,"&gt;0"))</f>
        <v>0</v>
      </c>
      <c r="EX118" t="str">
        <f t="shared" si="102"/>
        <v/>
      </c>
      <c r="EY118" t="str">
        <f t="shared" si="79"/>
        <v/>
      </c>
      <c r="FA118">
        <f t="shared" si="80"/>
        <v>0</v>
      </c>
      <c r="FB118">
        <f>IF(FA118=0,0,1+COUNTIF(FB$3:FB117,"&gt;0"))</f>
        <v>0</v>
      </c>
      <c r="FC118" t="str">
        <f t="shared" si="103"/>
        <v/>
      </c>
      <c r="FD118" t="str">
        <f t="shared" si="81"/>
        <v/>
      </c>
      <c r="FF118">
        <f t="shared" si="82"/>
        <v>0</v>
      </c>
      <c r="FG118">
        <f>IF(FF118=0,0,1+COUNTIF(FG$3:FG117,"&gt;0"))</f>
        <v>0</v>
      </c>
      <c r="FH118" t="str">
        <f t="shared" si="104"/>
        <v/>
      </c>
      <c r="FI118" t="str">
        <f t="shared" si="83"/>
        <v/>
      </c>
      <c r="FK118">
        <f t="shared" si="84"/>
        <v>0</v>
      </c>
      <c r="FL118">
        <f>IF(FK118=0,0,1+COUNTIF(FL$3:FL117,"&gt;0"))</f>
        <v>0</v>
      </c>
      <c r="FM118" t="str">
        <f t="shared" si="105"/>
        <v/>
      </c>
      <c r="FN118" t="str">
        <f t="shared" si="85"/>
        <v/>
      </c>
      <c r="FP118">
        <f t="shared" si="86"/>
        <v>0</v>
      </c>
      <c r="FQ118">
        <f>IF(FP118=0,0,1+COUNTIF(FQ$3:FQ117,"&gt;0"))</f>
        <v>0</v>
      </c>
      <c r="FR118" t="str">
        <f t="shared" si="106"/>
        <v/>
      </c>
      <c r="FS118" t="str">
        <f t="shared" si="87"/>
        <v/>
      </c>
    </row>
    <row r="119" spans="1:175" x14ac:dyDescent="0.25">
      <c r="A119" s="347">
        <f t="shared" si="107"/>
        <v>117</v>
      </c>
      <c r="B119" s="348" t="s">
        <v>2486</v>
      </c>
      <c r="C119" s="348">
        <v>2</v>
      </c>
      <c r="D119" s="347">
        <v>2</v>
      </c>
      <c r="E119" s="627" t="s">
        <v>6952</v>
      </c>
      <c r="F119" s="346"/>
      <c r="G119" s="347" t="str">
        <f>""</f>
        <v/>
      </c>
      <c r="H119" s="347" t="s">
        <v>5912</v>
      </c>
      <c r="I119" s="347" t="s">
        <v>5060</v>
      </c>
      <c r="J119" s="347" t="str">
        <f t="shared" si="57"/>
        <v/>
      </c>
      <c r="K119" s="347" t="s">
        <v>5291</v>
      </c>
      <c r="L119" s="611" t="str">
        <f t="shared" si="58"/>
        <v>V, S, M, a pinch of powdered iron</v>
      </c>
      <c r="M119" s="347" t="s">
        <v>2373</v>
      </c>
      <c r="N119" s="347" t="s">
        <v>2387</v>
      </c>
      <c r="O119" s="347" t="s">
        <v>1244</v>
      </c>
      <c r="P119" s="346" t="s">
        <v>5359</v>
      </c>
      <c r="Q119" s="347" t="s">
        <v>5276</v>
      </c>
      <c r="S119" s="346" t="s">
        <v>5677</v>
      </c>
      <c r="T119" s="346" t="str">
        <f t="shared" si="59"/>
        <v xml:space="preserve">Sorcerer, Wizard, </v>
      </c>
      <c r="X119" s="347" t="str">
        <f>$B119</f>
        <v>Enlarge/Reduce</v>
      </c>
      <c r="AD119" s="347" t="str">
        <f>$B119</f>
        <v>Enlarge/Reduce</v>
      </c>
      <c r="AE119" t="str">
        <f>IF(IFERROR(MATCH($B119,temp!A$4:A$13,0),0)&gt;0,T08_Spells!AE$2,"")</f>
        <v/>
      </c>
      <c r="AF119" t="str">
        <f>IF(IFERROR(MATCH($B119,temp!B$4:B$13,0),0)&gt;0,T08_Spells!AF$2,"")</f>
        <v/>
      </c>
      <c r="AG119" t="str">
        <f>IF(IFERROR(MATCH($B119,temp!C$4:C$13,0),0)&gt;0,T08_Spells!AG$2,"")</f>
        <v/>
      </c>
      <c r="AH119" t="str">
        <f>IF(IFERROR(MATCH($B119,temp!D$4:D$13,0),0)&gt;0,T08_Spells!AH$2,"")</f>
        <v/>
      </c>
      <c r="AI119" t="str">
        <f>IF(IFERROR(MATCH($B119,temp!E$4:E$13,0),0)&gt;0,T08_Spells!AI$2,"")</f>
        <v/>
      </c>
      <c r="AJ119" t="str">
        <f>IF(IFERROR(MATCH($B119,temp!F$4:F$13,0),0)&gt;0,T08_Spells!AJ$2,"")</f>
        <v/>
      </c>
      <c r="AK119" t="str">
        <f>IF(IFERROR(MATCH($B119,temp!G$4:G$13,0),0)&gt;0,T08_Spells!AK$2,"")</f>
        <v/>
      </c>
      <c r="AL119" t="str">
        <f>IF(IFERROR(MATCH($B119,temp!H$4:H$13,0),0)&gt;0,T08_Spells!AL$2,"")</f>
        <v/>
      </c>
      <c r="AM119" t="str">
        <f>IF(IFERROR(MATCH($B119,temp!I$4:I$13,0),0)&gt;0,T08_Spells!AM$2,"")</f>
        <v/>
      </c>
      <c r="AN119" t="str">
        <f>IF(IFERROR(MATCH($B119,temp!J$4:J$13,0),0)&gt;0,T08_Spells!AN$2,"")</f>
        <v/>
      </c>
      <c r="AO119" t="str">
        <f>IF(IFERROR(MATCH($B119,temp!K$4:K$13,0),0)&gt;0,T08_Spells!AO$2,"")</f>
        <v/>
      </c>
      <c r="AP119" t="str">
        <f>IF(IFERROR(MATCH($B119,temp!L$4:L$13,0),0)&gt;0,T08_Spells!AP$2,"")</f>
        <v/>
      </c>
      <c r="AQ119" t="str">
        <f>IF(IFERROR(MATCH($B119,temp!M$4:M$13,0),0)&gt;0,T08_Spells!AQ$2,"")</f>
        <v/>
      </c>
      <c r="AR119" t="str">
        <f>IF(IFERROR(MATCH($B119,temp!N$4:N$13,0),0)&gt;0,T08_Spells!AR$2,"")</f>
        <v/>
      </c>
      <c r="AS119" t="str">
        <f>IF(IFERROR(MATCH($B119,temp!O$4:O$13,0),0)&gt;0,T08_Spells!AS$2,"")</f>
        <v/>
      </c>
      <c r="AT119" t="str">
        <f>IF(IFERROR(MATCH($B119,temp!P$4:P$13,0),0)&gt;0,T08_Spells!AT$2,"")</f>
        <v/>
      </c>
      <c r="AU119" t="str">
        <f>IF(IFERROR(MATCH($B119,temp!Q$4:Q$13,0),0)&gt;0,T08_Spells!AU$2,"")</f>
        <v/>
      </c>
      <c r="AV119" t="str">
        <f>IF(IFERROR(MATCH($B119,temp!R$4:R$13,0),0)&gt;0,T08_Spells!AV$2,"")</f>
        <v/>
      </c>
      <c r="AW119" t="str">
        <f>IF(IFERROR(MATCH($B119,temp!S$4:S$13,0),0)&gt;0,T08_Spells!AW$2,"")</f>
        <v/>
      </c>
      <c r="AX119" t="str">
        <f>IF(IFERROR(MATCH($B119,temp!T$4:T$13,0),0)&gt;0,T08_Spells!AX$2,"")</f>
        <v/>
      </c>
      <c r="AY119" t="str">
        <f>IF(IFERROR(MATCH($B119,temp!U$4:U$13,0),0)&gt;0,T08_Spells!AY$2,"")</f>
        <v/>
      </c>
      <c r="AZ119" t="str">
        <f>IF(IFERROR(MATCH($B119,temp!V$4:V$13,0),0)&gt;0,T08_Spells!AZ$2,"")</f>
        <v/>
      </c>
      <c r="BA119" t="str">
        <f>IF(IFERROR(MATCH($B119,temp!W$4:W$13,0),0)&gt;0,T08_Spells!BA$2,"")</f>
        <v/>
      </c>
      <c r="BC119">
        <f>IF(IFERROR(SEARCH("Ranger",$T119,1),0)&gt;0,1,0)*IF(RangerMaxSpellLevel&gt;=$C119,1,0)*IF(IFERROR(MATCH(B119,Character_Creation!$X$79:$X$382,0),0)&gt;0,0,1)</f>
        <v>0</v>
      </c>
      <c r="BD119">
        <f>IF(BC119=0,0,1+COUNTIF(BD$3:BD118,"&gt;0"))</f>
        <v>0</v>
      </c>
      <c r="BE119" t="str">
        <f t="shared" si="88"/>
        <v/>
      </c>
      <c r="BF119" t="str">
        <f t="shared" si="60"/>
        <v/>
      </c>
      <c r="BH119">
        <f>IF(IFERROR(SEARCH("Sorcerer",$T119,1),0)&gt;0,1,0)*IF(SorcererMaxSpellLevel&gt;=$C119,1,0)*IF(IFERROR(MATCH(B119,Character_Creation!$J$380:$J$394,0),0)&gt;0,0,1)</f>
        <v>0</v>
      </c>
      <c r="BI119">
        <f>IF(BH119=0,0,1+COUNTIF(BI$3:BI118,"&gt;0"))</f>
        <v>0</v>
      </c>
      <c r="BJ119" t="str">
        <f t="shared" si="89"/>
        <v/>
      </c>
      <c r="BK119" t="str">
        <f t="shared" si="61"/>
        <v/>
      </c>
      <c r="BM119">
        <f>IF(OR(IFERROR(SEARCH("Warlock",$T119,1),0)&gt;0,IFERROR(SEARCH(WarlockPatron,$T119,1),0)&gt;0),1,0)*IF(WarlockMaxSpellLevel&gt;=$C119,1,0)*IF(IFERROR(MATCH(B119,Character_Creation!$J$361:$J$375,0),0)&gt;0,0,1)</f>
        <v>0</v>
      </c>
      <c r="BN119">
        <f>IF(BM119=0,0,1+COUNTIF(BN$3:BN118,"&gt;0"))</f>
        <v>0</v>
      </c>
      <c r="BO119" t="str">
        <f t="shared" si="90"/>
        <v/>
      </c>
      <c r="BP119" t="str">
        <f t="shared" si="62"/>
        <v/>
      </c>
      <c r="BR119">
        <f>IF(IFERROR(SEARCH("Eldritch Knight",$T119,1),0)&gt;0,1,0)*IF(EldritchKnightMaxSpellLevel&gt;=$C119,1,0)*IF(IFERROR(MATCH($B119,Character_Creation!$J$350:$J$356,0),0)&gt;0,0,1)*IF(Character_Creation!$M$338&gt;0,1,0)</f>
        <v>0</v>
      </c>
      <c r="BS119">
        <f>IF(BR119=0,0,1+COUNTIF(BS$3:BS118,"&gt;0"))</f>
        <v>0</v>
      </c>
      <c r="BT119" t="str">
        <f t="shared" si="91"/>
        <v/>
      </c>
      <c r="BU119" t="str">
        <f t="shared" si="63"/>
        <v/>
      </c>
      <c r="BW119">
        <f>IF(IFERROR(SEARCH("Arcane Trickster",$T119,1),0)&gt;0,1,0)*IF(ArcaneTricksterMaxSpellLevel&gt;=$C119,1,0)*IF(IFERROR(MATCH($B119,Character_Creation!$J$350:$J$356,0),0)&gt;0,0,1)*IF(Character_Creation!$T$338&gt;0,1,0)</f>
        <v>0</v>
      </c>
      <c r="BX119">
        <f>IF(BW119=0,0,1+COUNTIF(BX$3:BX118,"&gt;0"))</f>
        <v>0</v>
      </c>
      <c r="BY119" t="str">
        <f t="shared" si="92"/>
        <v/>
      </c>
      <c r="BZ119" t="str">
        <f t="shared" si="64"/>
        <v/>
      </c>
      <c r="CB119">
        <f>IF(IFERROR(SEARCH("Wizard",$T119,1),0)&gt;0,1,0)*IF(C119&lt;=ArcaneTricksterMaxSpellLevel,1,0)*IF(IFERROR(MATCH($B119,Character_Creation!$J$350:$J$356,0),0)&gt;0,0,1)*IF(Character_Creation!$T$350&gt;0,1,0)</f>
        <v>0</v>
      </c>
      <c r="CC119">
        <f>IF(CB119=0,0,1+COUNTIF(CC$3:CC118,"&gt;0"))</f>
        <v>0</v>
      </c>
      <c r="CD119" t="str">
        <f t="shared" si="93"/>
        <v/>
      </c>
      <c r="CE119" t="str">
        <f t="shared" si="65"/>
        <v/>
      </c>
      <c r="CG119">
        <f>IF(IFERROR(SEARCH("Wizard",$T119,1),0)&gt;0,1,0)*IF($C119&lt;=EldritchKnightMaxSpellLevel,1,0)*IF(IFERROR(MATCH($B119,Character_Creation!$J$350:$J$356,0),0)&gt;0,0,1)*IF(Character_Creation!$M$350&gt;0,1,0)</f>
        <v>1</v>
      </c>
      <c r="CH119">
        <f>IF(CG119=0,0,1+COUNTIF(CH$3:CH118,"&gt;0"))</f>
        <v>19</v>
      </c>
      <c r="CI119" t="str">
        <f t="shared" si="94"/>
        <v/>
      </c>
      <c r="CJ119" t="str">
        <f t="shared" si="66"/>
        <v/>
      </c>
      <c r="CL119">
        <f>IF(IFERROR(SEARCH("Bard",$T119,1),0)&gt;0,1,0)*IF(BardMaxSpellLevel&gt;=$C119,1,0)*IF(IFERROR(MATCH(B119,Character_Creation!$C$341:$F$362,0),0)&gt;0,0,1)*IF(IFERROR(MATCH($B119,Character_Creation!$C$341:$C$362,0),0)&gt;0,0,1)</f>
        <v>0</v>
      </c>
      <c r="CM119">
        <f>IF(CL119=0,0,1+COUNTIF(CM$3:CM118,"&gt;0"))</f>
        <v>0</v>
      </c>
      <c r="CN119" t="str">
        <f t="shared" si="95"/>
        <v/>
      </c>
      <c r="CO119" t="str">
        <f t="shared" si="67"/>
        <v/>
      </c>
      <c r="CQ119">
        <f>IF(IFERROR(SEARCH("Wizard",$T119,1),0)&gt;0,1,0)*IF(WizardMaxSpellLevel&gt;=$C119,1,0)*IF(IFERROR(MATCH(B119,Character_Creation!$X$341:$X$400,0),0)&gt;0,0,1)*IF(SelectedWizardSpellLevel=$C119,1,0)</f>
        <v>0</v>
      </c>
      <c r="CR119">
        <f>IF(CQ119=0,0,1+COUNTIF(CR$3:CR118,"&gt;0"))</f>
        <v>0</v>
      </c>
      <c r="CS119" t="str">
        <f t="shared" si="96"/>
        <v/>
      </c>
      <c r="CT119" t="str">
        <f t="shared" si="68"/>
        <v/>
      </c>
      <c r="CV119">
        <f>IF(IFERROR(MATCH($B119,Character_Creation!$C$341:$C$362,0),0)&gt;0,0,1)*IF(OR(C119="Cantrip",C119&lt;=BardMaxSpellLevel),1,0)*IF(IFERROR(MATCH($B119,Character_Creation!$C$367:$C$374,0),0)&gt;0,0,1)</f>
        <v>0</v>
      </c>
      <c r="CW119">
        <f>IF(CV119=0,0,1+COUNTIF(CW$3:CW118,"&gt;0"))</f>
        <v>0</v>
      </c>
      <c r="CX119" t="str">
        <f t="shared" si="97"/>
        <v/>
      </c>
      <c r="CY119" t="str">
        <f t="shared" si="69"/>
        <v/>
      </c>
      <c r="DA119">
        <f>IF(IF(OR(IFERROR(SEARCH("Cleric",$T119,1),0)&gt;0,IFERROR(SEARCH(DivineDomain&amp;",",$T119,1),0)&gt;0),1,0)*IF($C119=DA$2,1,0)=1,1+COUNTIF(DA$3:DA118,"&gt;0"),0)</f>
        <v>0</v>
      </c>
      <c r="DB119">
        <f>IF(IF(OR(IFERROR(SEARCH("Cleric",$T119,1),0)&gt;0,IFERROR(SEARCH(DivineDomain&amp;",",$T119,1),0)&gt;0),1,0)*IF($C119=DB$2,1,0)=1,1+COUNTIF(DB$3:DB118,"&gt;0"),0)</f>
        <v>0</v>
      </c>
      <c r="DC119">
        <f>IF(IF(OR(IFERROR(SEARCH("Cleric",$T119,1),0)&gt;0,IFERROR(SEARCH(DivineDomain&amp;",",$T119,1),0)&gt;0),1,0)*IF($C119=DC$2,1,0)=1,1+COUNTIF(DC$3:DC118,"&gt;0"),0)</f>
        <v>0</v>
      </c>
      <c r="DD119">
        <f>IF(IF(OR(IFERROR(SEARCH("Cleric",$T119,1),0)&gt;0,IFERROR(SEARCH(DivineDomain&amp;",",$T119,1),0)&gt;0),1,0)*IF($C119=DD$2,1,0)=1,1+COUNTIF(DD$3:DD118,"&gt;0"),0)</f>
        <v>0</v>
      </c>
      <c r="DE119">
        <f>IF(IF(OR(IFERROR(SEARCH("Cleric",$T119,1),0)&gt;0,IFERROR(SEARCH(DivineDomain&amp;",",$T119,1),0)&gt;0),1,0)*IF($C119=DE$2,1,0)=1,1+COUNTIF(DE$3:DE118,"&gt;0"),0)</f>
        <v>0</v>
      </c>
      <c r="DF119">
        <f>IF(IF(OR(IFERROR(SEARCH("Cleric",$T119,1),0)&gt;0,IFERROR(SEARCH(DivineDomain&amp;",",$T119,1),0)&gt;0),1,0)*IF($C119=DF$2,1,0)=1,1+COUNTIF(DF$3:DF118,"&gt;0"),0)</f>
        <v>0</v>
      </c>
      <c r="DG119">
        <f>IF(IF(OR(IFERROR(SEARCH("Cleric",$T119,1),0)&gt;0,IFERROR(SEARCH(DivineDomain&amp;",",$T119,1),0)&gt;0),1,0)*IF($C119=DG$2,1,0)=1,1+COUNTIF(DG$3:DG118,"&gt;0"),0)</f>
        <v>0</v>
      </c>
      <c r="DH119">
        <f>IF(IF(OR(IFERROR(SEARCH("Cleric",$T119,1),0)&gt;0,IFERROR(SEARCH(DivineDomain&amp;",",$T119,1),0)&gt;0),1,0)*IF($C119=DH$2,1,0)=1,1+COUNTIF(DH$3:DH118,"&gt;0"),0)</f>
        <v>0</v>
      </c>
      <c r="DI119">
        <f>IF(IF(OR(IFERROR(SEARCH("Cleric",$T119,1),0)&gt;0,IFERROR(SEARCH(DivineDomain&amp;",",$T119,1),0)&gt;0),1,0)*IF($C119=DI$2,1,0)=1,1+COUNTIF(DI$3:DI118,"&gt;0"),0)</f>
        <v>0</v>
      </c>
      <c r="DJ119">
        <f>IF(IF(OR(IFERROR(SEARCH("Druid",$T119,1),0)&gt;0,IFERROR(SEARCH(DruidLand1,$T119,1),0)&gt;0,IFERROR(SEARCH(DruidLand2,$T119,1),0)&gt;0,IFERROR(SEARCH(DruidLand3,$T119,1),0)&gt;0,IFERROR(SEARCH(DruidLand4,$T119,1),0)&gt;0),1,0)*IF($C119=1,1,0)*IF($C119=DJ$2,1,0)=0,0,1+COUNTIF(DJ$3:DJ118,"&gt;0"))</f>
        <v>0</v>
      </c>
      <c r="DK119">
        <f>IF(IF(OR(IFERROR(SEARCH("Druid",$T119,1),0)&gt;0,IFERROR(SEARCH(DruidLand1,$T119,1),0)&gt;0,IFERROR(SEARCH(DruidLand2,$T119,1),0)&gt;0,IFERROR(SEARCH(DruidLand3,$T119,1),0)&gt;0,IFERROR(SEARCH(DruidLand4,$T119,1),0)&gt;0),1,0)*IF($C119=1,1,0)*IF($C119=DK$2,1,0)=0,0,1+COUNTIF(DK$3:DK118,"&gt;0"))</f>
        <v>0</v>
      </c>
      <c r="DL119">
        <f>IF(IF(OR(IFERROR(SEARCH("Druid",$T119,1),0)&gt;0,IFERROR(SEARCH(DruidLand1,$T119,1),0)&gt;0,IFERROR(SEARCH(DruidLand2,$T119,1),0)&gt;0,IFERROR(SEARCH(DruidLand3,$T119,1),0)&gt;0,IFERROR(SEARCH(DruidLand4,$T119,1),0)&gt;0),1,0)*IF($C119=1,1,0)*IF($C119=DL$2,1,0)=0,0,1+COUNTIF(DL$3:DL118,"&gt;0"))</f>
        <v>0</v>
      </c>
      <c r="DM119">
        <f>IF(IF(OR(IFERROR(SEARCH("Druid",$T119,1),0)&gt;0,IFERROR(SEARCH(DruidLand1,$T119,1),0)&gt;0,IFERROR(SEARCH(DruidLand2,$T119,1),0)&gt;0,IFERROR(SEARCH(DruidLand3,$T119,1),0)&gt;0,IFERROR(SEARCH(DruidLand4,$T119,1),0)&gt;0),1,0)*IF($C119=1,1,0)*IF($C119=DM$2,1,0)=0,0,1+COUNTIF(DM$3:DM118,"&gt;0"))</f>
        <v>0</v>
      </c>
      <c r="DN119">
        <f>IF(IF(OR(IFERROR(SEARCH("Druid",$T119,1),0)&gt;0,IFERROR(SEARCH(DruidLand1,$T119,1),0)&gt;0,IFERROR(SEARCH(DruidLand2,$T119,1),0)&gt;0,IFERROR(SEARCH(DruidLand3,$T119,1),0)&gt;0,IFERROR(SEARCH(DruidLand4,$T119,1),0)&gt;0),1,0)*IF($C119=1,1,0)*IF($C119=DN$2,1,0)=0,0,1+COUNTIF(DN$3:DN118,"&gt;0"))</f>
        <v>0</v>
      </c>
      <c r="DO119">
        <f>IF(IF(OR(IFERROR(SEARCH("Druid",$T119,1),0)&gt;0,IFERROR(SEARCH(DruidLand1,$T119,1),0)&gt;0,IFERROR(SEARCH(DruidLand2,$T119,1),0)&gt;0,IFERROR(SEARCH(DruidLand3,$T119,1),0)&gt;0,IFERROR(SEARCH(DruidLand4,$T119,1),0)&gt;0),1,0)*IF($C119=1,1,0)*IF($C119=DO$2,1,0)=0,0,1+COUNTIF(DO$3:DO118,"&gt;0"))</f>
        <v>0</v>
      </c>
      <c r="DP119">
        <f>IF(IF(OR(IFERROR(SEARCH("Druid",$T119,1),0)&gt;0,IFERROR(SEARCH(DruidLand1,$T119,1),0)&gt;0,IFERROR(SEARCH(DruidLand2,$T119,1),0)&gt;0,IFERROR(SEARCH(DruidLand3,$T119,1),0)&gt;0,IFERROR(SEARCH(DruidLand4,$T119,1),0)&gt;0),1,0)*IF($C119=1,1,0)*IF($C119=DP$2,1,0)=0,0,1+COUNTIF(DP$3:DP118,"&gt;0"))</f>
        <v>0</v>
      </c>
      <c r="DQ119">
        <f>IF(IF(OR(IFERROR(SEARCH("Druid",$T119,1),0)&gt;0,IFERROR(SEARCH(DruidLand1,$T119,1),0)&gt;0,IFERROR(SEARCH(DruidLand2,$T119,1),0)&gt;0,IFERROR(SEARCH(DruidLand3,$T119,1),0)&gt;0,IFERROR(SEARCH(DruidLand4,$T119,1),0)&gt;0),1,0)*IF($C119=1,1,0)*IF($C119=DQ$2,1,0)=0,0,1+COUNTIF(DQ$3:DQ118,"&gt;0"))</f>
        <v>0</v>
      </c>
      <c r="DR119">
        <f>IF(IF(OR(IFERROR(SEARCH("Druid",$T119,1),0)&gt;0,IFERROR(SEARCH(DruidLand1,$T119,1),0)&gt;0,IFERROR(SEARCH(DruidLand2,$T119,1),0)&gt;0,IFERROR(SEARCH(DruidLand3,$T119,1),0)&gt;0,IFERROR(SEARCH(DruidLand4,$T119,1),0)&gt;0),1,0)*IF($C119=1,1,0)*IF($C119=DR$2,1,0)=0,0,1+COUNTIF(DR$3:DR118,"&gt;0"))</f>
        <v>0</v>
      </c>
      <c r="DS119">
        <f>IF(IF(OR(IFERROR(SEARCH("Paladin",$T119,1),0)&gt;0,IFERROR(SEARCH(PaladinOath,$T119,1),0)&gt;0),1,0)*IF($C119=DS$2,1,0)=1,1+COUNTIF(DS$3:DS118,"&gt;0"),0)</f>
        <v>0</v>
      </c>
      <c r="DT119">
        <f>IF(IF(OR(IFERROR(SEARCH("Paladin",$T119,1),0)&gt;0,IFERROR(SEARCH(PaladinOath,$T119,1),0)&gt;0),1,0)*IF($C119=DT$2,1,0)=1,1+COUNTIF(DT$3:DT118,"&gt;0"),0)</f>
        <v>0</v>
      </c>
      <c r="DU119">
        <f>IF(IF(OR(IFERROR(SEARCH("Paladin",$T119,1),0)&gt;0,IFERROR(SEARCH(PaladinOath,$T119,1),0)&gt;0),1,0)*IF($C119=DU$2,1,0)=1,1+COUNTIF(DU$3:DU118,"&gt;0"),0)</f>
        <v>0</v>
      </c>
      <c r="DV119">
        <f>IF(IF(OR(IFERROR(SEARCH("Paladin",$T119,1),0)&gt;0,IFERROR(SEARCH(PaladinOath,$T119,1),0)&gt;0),1,0)*IF($C119=DV$2,1,0)=1,1+COUNTIF(DV$3:DV118,"&gt;0"),0)</f>
        <v>0</v>
      </c>
      <c r="DW119">
        <f>IF(IF(OR(IFERROR(SEARCH("Paladin",$T119,1),0)&gt;0,IFERROR(SEARCH(PaladinOath,$T119,1),0)&gt;0),1,0)*IF($C119=DW$2,1,0)=1,1+COUNTIF(DW$3:DW118,"&gt;0"),0)</f>
        <v>0</v>
      </c>
      <c r="DY119">
        <f t="shared" si="56"/>
        <v>1</v>
      </c>
      <c r="DZ119">
        <f>IF(DY119=0,0,1+MAX(DZ$3:$DZ118))</f>
        <v>117</v>
      </c>
      <c r="EB119">
        <f t="shared" si="70"/>
        <v>0</v>
      </c>
      <c r="EC119">
        <f>IF(EB119=0,0,1+COUNTIF(EC$3:EC118,"&gt;0"))</f>
        <v>0</v>
      </c>
      <c r="ED119" t="str">
        <f t="shared" si="98"/>
        <v/>
      </c>
      <c r="EE119" t="str">
        <f t="shared" si="71"/>
        <v/>
      </c>
      <c r="EG119">
        <f t="shared" si="72"/>
        <v>0</v>
      </c>
      <c r="EH119">
        <f>IF(EG119=0,0,1+COUNTIF(EH$3:EH118,"&gt;0"))</f>
        <v>0</v>
      </c>
      <c r="EI119" t="str">
        <f t="shared" si="99"/>
        <v/>
      </c>
      <c r="EJ119" t="str">
        <f t="shared" si="73"/>
        <v/>
      </c>
      <c r="EL119">
        <f t="shared" si="74"/>
        <v>0</v>
      </c>
      <c r="EM119">
        <f>IF(EL119=0,0,1+COUNTIF(EM$3:EM118,"&gt;0"))</f>
        <v>0</v>
      </c>
      <c r="EN119" t="str">
        <f t="shared" si="100"/>
        <v/>
      </c>
      <c r="EO119" t="str">
        <f t="shared" si="75"/>
        <v/>
      </c>
      <c r="EQ119">
        <f t="shared" si="76"/>
        <v>0</v>
      </c>
      <c r="ER119">
        <f>IF(EQ119=0,0,1+COUNTIF(ER$3:ER118,"&gt;0"))</f>
        <v>0</v>
      </c>
      <c r="ES119" t="str">
        <f t="shared" si="101"/>
        <v/>
      </c>
      <c r="ET119" t="str">
        <f t="shared" si="77"/>
        <v/>
      </c>
      <c r="EV119">
        <f t="shared" si="78"/>
        <v>0</v>
      </c>
      <c r="EW119">
        <f>IF(EV119=0,0,1+COUNTIF(EW$3:EW118,"&gt;0"))</f>
        <v>0</v>
      </c>
      <c r="EX119" t="str">
        <f t="shared" si="102"/>
        <v/>
      </c>
      <c r="EY119" t="str">
        <f t="shared" si="79"/>
        <v/>
      </c>
      <c r="FA119">
        <f t="shared" si="80"/>
        <v>0</v>
      </c>
      <c r="FB119">
        <f>IF(FA119=0,0,1+COUNTIF(FB$3:FB118,"&gt;0"))</f>
        <v>0</v>
      </c>
      <c r="FC119" t="str">
        <f t="shared" si="103"/>
        <v/>
      </c>
      <c r="FD119" t="str">
        <f t="shared" si="81"/>
        <v/>
      </c>
      <c r="FF119">
        <f t="shared" si="82"/>
        <v>0</v>
      </c>
      <c r="FG119">
        <f>IF(FF119=0,0,1+COUNTIF(FG$3:FG118,"&gt;0"))</f>
        <v>0</v>
      </c>
      <c r="FH119" t="str">
        <f t="shared" si="104"/>
        <v/>
      </c>
      <c r="FI119" t="str">
        <f t="shared" si="83"/>
        <v/>
      </c>
      <c r="FK119">
        <f t="shared" si="84"/>
        <v>0</v>
      </c>
      <c r="FL119">
        <f>IF(FK119=0,0,1+COUNTIF(FL$3:FL118,"&gt;0"))</f>
        <v>0</v>
      </c>
      <c r="FM119" t="str">
        <f t="shared" si="105"/>
        <v/>
      </c>
      <c r="FN119" t="str">
        <f t="shared" si="85"/>
        <v/>
      </c>
      <c r="FP119">
        <f t="shared" si="86"/>
        <v>0</v>
      </c>
      <c r="FQ119">
        <f>IF(FP119=0,0,1+COUNTIF(FQ$3:FQ118,"&gt;0"))</f>
        <v>0</v>
      </c>
      <c r="FR119" t="str">
        <f t="shared" si="106"/>
        <v/>
      </c>
      <c r="FS119" t="str">
        <f t="shared" si="87"/>
        <v/>
      </c>
    </row>
    <row r="120" spans="1:175" x14ac:dyDescent="0.25">
      <c r="A120" s="347">
        <f t="shared" si="107"/>
        <v>118</v>
      </c>
      <c r="B120" s="348" t="s">
        <v>2487</v>
      </c>
      <c r="C120" s="348">
        <v>1</v>
      </c>
      <c r="D120" s="347">
        <v>1</v>
      </c>
      <c r="E120" s="627" t="s">
        <v>6952</v>
      </c>
      <c r="F120" s="346"/>
      <c r="G120" s="347" t="str">
        <f>""</f>
        <v/>
      </c>
      <c r="H120" s="347" t="s">
        <v>5918</v>
      </c>
      <c r="I120" s="347" t="s">
        <v>5283</v>
      </c>
      <c r="J120" s="347" t="str">
        <f t="shared" si="57"/>
        <v/>
      </c>
      <c r="K120" s="347" t="s">
        <v>5291</v>
      </c>
      <c r="L120" s="611" t="str">
        <f t="shared" si="58"/>
        <v>V</v>
      </c>
      <c r="M120" s="347" t="s">
        <v>2373</v>
      </c>
      <c r="N120" s="347" t="s">
        <v>3034</v>
      </c>
      <c r="O120" s="347" t="s">
        <v>3034</v>
      </c>
      <c r="Q120" s="347" t="s">
        <v>5271</v>
      </c>
      <c r="S120" s="346" t="s">
        <v>5678</v>
      </c>
      <c r="T120" s="346" t="str">
        <f t="shared" si="59"/>
        <v xml:space="preserve">Ranger, Ancients, </v>
      </c>
      <c r="W120" s="347" t="str">
        <f>$B120</f>
        <v>Ensnaring Strike</v>
      </c>
      <c r="AE120" t="str">
        <f>IF(IFERROR(MATCH($B120,temp!A$4:A$13,0),0)&gt;0,T08_Spells!AE$2,"")</f>
        <v/>
      </c>
      <c r="AF120" t="str">
        <f>IF(IFERROR(MATCH($B120,temp!B$4:B$13,0),0)&gt;0,T08_Spells!AF$2,"")</f>
        <v/>
      </c>
      <c r="AG120" t="str">
        <f>IF(IFERROR(MATCH($B120,temp!C$4:C$13,0),0)&gt;0,T08_Spells!AG$2,"")</f>
        <v>Ancients</v>
      </c>
      <c r="AH120" t="str">
        <f>IF(IFERROR(MATCH($B120,temp!D$4:D$13,0),0)&gt;0,T08_Spells!AH$2,"")</f>
        <v/>
      </c>
      <c r="AI120" t="str">
        <f>IF(IFERROR(MATCH($B120,temp!E$4:E$13,0),0)&gt;0,T08_Spells!AI$2,"")</f>
        <v/>
      </c>
      <c r="AJ120" t="str">
        <f>IF(IFERROR(MATCH($B120,temp!F$4:F$13,0),0)&gt;0,T08_Spells!AJ$2,"")</f>
        <v/>
      </c>
      <c r="AK120" t="str">
        <f>IF(IFERROR(MATCH($B120,temp!G$4:G$13,0),0)&gt;0,T08_Spells!AK$2,"")</f>
        <v/>
      </c>
      <c r="AL120" t="str">
        <f>IF(IFERROR(MATCH($B120,temp!H$4:H$13,0),0)&gt;0,T08_Spells!AL$2,"")</f>
        <v/>
      </c>
      <c r="AM120" t="str">
        <f>IF(IFERROR(MATCH($B120,temp!I$4:I$13,0),0)&gt;0,T08_Spells!AM$2,"")</f>
        <v/>
      </c>
      <c r="AN120" t="str">
        <f>IF(IFERROR(MATCH($B120,temp!J$4:J$13,0),0)&gt;0,T08_Spells!AN$2,"")</f>
        <v/>
      </c>
      <c r="AO120" t="str">
        <f>IF(IFERROR(MATCH($B120,temp!K$4:K$13,0),0)&gt;0,T08_Spells!AO$2,"")</f>
        <v/>
      </c>
      <c r="AP120" t="str">
        <f>IF(IFERROR(MATCH($B120,temp!L$4:L$13,0),0)&gt;0,T08_Spells!AP$2,"")</f>
        <v/>
      </c>
      <c r="AQ120" t="str">
        <f>IF(IFERROR(MATCH($B120,temp!M$4:M$13,0),0)&gt;0,T08_Spells!AQ$2,"")</f>
        <v/>
      </c>
      <c r="AR120" t="str">
        <f>IF(IFERROR(MATCH($B120,temp!N$4:N$13,0),0)&gt;0,T08_Spells!AR$2,"")</f>
        <v/>
      </c>
      <c r="AS120" t="str">
        <f>IF(IFERROR(MATCH($B120,temp!O$4:O$13,0),0)&gt;0,T08_Spells!AS$2,"")</f>
        <v/>
      </c>
      <c r="AT120" t="str">
        <f>IF(IFERROR(MATCH($B120,temp!P$4:P$13,0),0)&gt;0,T08_Spells!AT$2,"")</f>
        <v/>
      </c>
      <c r="AU120" t="str">
        <f>IF(IFERROR(MATCH($B120,temp!Q$4:Q$13,0),0)&gt;0,T08_Spells!AU$2,"")</f>
        <v/>
      </c>
      <c r="AV120" t="str">
        <f>IF(IFERROR(MATCH($B120,temp!R$4:R$13,0),0)&gt;0,T08_Spells!AV$2,"")</f>
        <v/>
      </c>
      <c r="AW120" t="str">
        <f>IF(IFERROR(MATCH($B120,temp!S$4:S$13,0),0)&gt;0,T08_Spells!AW$2,"")</f>
        <v/>
      </c>
      <c r="AX120" t="str">
        <f>IF(IFERROR(MATCH($B120,temp!T$4:T$13,0),0)&gt;0,T08_Spells!AX$2,"")</f>
        <v/>
      </c>
      <c r="AY120" t="str">
        <f>IF(IFERROR(MATCH($B120,temp!U$4:U$13,0),0)&gt;0,T08_Spells!AY$2,"")</f>
        <v/>
      </c>
      <c r="AZ120" t="str">
        <f>IF(IFERROR(MATCH($B120,temp!V$4:V$13,0),0)&gt;0,T08_Spells!AZ$2,"")</f>
        <v/>
      </c>
      <c r="BA120" t="str">
        <f>IF(IFERROR(MATCH($B120,temp!W$4:W$13,0),0)&gt;0,T08_Spells!BA$2,"")</f>
        <v/>
      </c>
      <c r="BC120">
        <f>IF(IFERROR(SEARCH("Ranger",$T120,1),0)&gt;0,1,0)*IF(RangerMaxSpellLevel&gt;=$C120,1,0)*IF(IFERROR(MATCH(B120,Character_Creation!$X$79:$X$382,0),0)&gt;0,0,1)</f>
        <v>0</v>
      </c>
      <c r="BD120">
        <f>IF(BC120=0,0,1+COUNTIF(BD$3:BD119,"&gt;0"))</f>
        <v>0</v>
      </c>
      <c r="BE120" t="str">
        <f t="shared" si="88"/>
        <v/>
      </c>
      <c r="BF120" t="str">
        <f t="shared" si="60"/>
        <v/>
      </c>
      <c r="BH120">
        <f>IF(IFERROR(SEARCH("Sorcerer",$T120,1),0)&gt;0,1,0)*IF(SorcererMaxSpellLevel&gt;=$C120,1,0)*IF(IFERROR(MATCH(B120,Character_Creation!$J$380:$J$394,0),0)&gt;0,0,1)</f>
        <v>0</v>
      </c>
      <c r="BI120">
        <f>IF(BH120=0,0,1+COUNTIF(BI$3:BI119,"&gt;0"))</f>
        <v>0</v>
      </c>
      <c r="BJ120" t="str">
        <f t="shared" si="89"/>
        <v/>
      </c>
      <c r="BK120" t="str">
        <f t="shared" si="61"/>
        <v/>
      </c>
      <c r="BM120">
        <f>IF(OR(IFERROR(SEARCH("Warlock",$T120,1),0)&gt;0,IFERROR(SEARCH(WarlockPatron,$T120,1),0)&gt;0),1,0)*IF(WarlockMaxSpellLevel&gt;=$C120,1,0)*IF(IFERROR(MATCH(B120,Character_Creation!$J$361:$J$375,0),0)&gt;0,0,1)</f>
        <v>0</v>
      </c>
      <c r="BN120">
        <f>IF(BM120=0,0,1+COUNTIF(BN$3:BN119,"&gt;0"))</f>
        <v>0</v>
      </c>
      <c r="BO120" t="str">
        <f t="shared" si="90"/>
        <v/>
      </c>
      <c r="BP120" t="str">
        <f t="shared" si="62"/>
        <v/>
      </c>
      <c r="BR120">
        <f>IF(IFERROR(SEARCH("Eldritch Knight",$T120,1),0)&gt;0,1,0)*IF(EldritchKnightMaxSpellLevel&gt;=$C120,1,0)*IF(IFERROR(MATCH($B120,Character_Creation!$J$350:$J$356,0),0)&gt;0,0,1)*IF(Character_Creation!$M$338&gt;0,1,0)</f>
        <v>0</v>
      </c>
      <c r="BS120">
        <f>IF(BR120=0,0,1+COUNTIF(BS$3:BS119,"&gt;0"))</f>
        <v>0</v>
      </c>
      <c r="BT120" t="str">
        <f t="shared" si="91"/>
        <v/>
      </c>
      <c r="BU120" t="str">
        <f t="shared" si="63"/>
        <v/>
      </c>
      <c r="BW120">
        <f>IF(IFERROR(SEARCH("Arcane Trickster",$T120,1),0)&gt;0,1,0)*IF(ArcaneTricksterMaxSpellLevel&gt;=$C120,1,0)*IF(IFERROR(MATCH($B120,Character_Creation!$J$350:$J$356,0),0)&gt;0,0,1)*IF(Character_Creation!$T$338&gt;0,1,0)</f>
        <v>0</v>
      </c>
      <c r="BX120">
        <f>IF(BW120=0,0,1+COUNTIF(BX$3:BX119,"&gt;0"))</f>
        <v>0</v>
      </c>
      <c r="BY120" t="str">
        <f t="shared" si="92"/>
        <v/>
      </c>
      <c r="BZ120" t="str">
        <f t="shared" si="64"/>
        <v/>
      </c>
      <c r="CB120">
        <f>IF(IFERROR(SEARCH("Wizard",$T120,1),0)&gt;0,1,0)*IF(C120&lt;=ArcaneTricksterMaxSpellLevel,1,0)*IF(IFERROR(MATCH($B120,Character_Creation!$J$350:$J$356,0),0)&gt;0,0,1)*IF(Character_Creation!$T$350&gt;0,1,0)</f>
        <v>0</v>
      </c>
      <c r="CC120">
        <f>IF(CB120=0,0,1+COUNTIF(CC$3:CC119,"&gt;0"))</f>
        <v>0</v>
      </c>
      <c r="CD120" t="str">
        <f t="shared" si="93"/>
        <v/>
      </c>
      <c r="CE120" t="str">
        <f t="shared" si="65"/>
        <v/>
      </c>
      <c r="CG120">
        <f>IF(IFERROR(SEARCH("Wizard",$T120,1),0)&gt;0,1,0)*IF($C120&lt;=EldritchKnightMaxSpellLevel,1,0)*IF(IFERROR(MATCH($B120,Character_Creation!$J$350:$J$356,0),0)&gt;0,0,1)*IF(Character_Creation!$M$350&gt;0,1,0)</f>
        <v>0</v>
      </c>
      <c r="CH120">
        <f>IF(CG120=0,0,1+COUNTIF(CH$3:CH119,"&gt;0"))</f>
        <v>0</v>
      </c>
      <c r="CI120" t="str">
        <f t="shared" si="94"/>
        <v/>
      </c>
      <c r="CJ120" t="str">
        <f t="shared" si="66"/>
        <v/>
      </c>
      <c r="CL120">
        <f>IF(IFERROR(SEARCH("Bard",$T120,1),0)&gt;0,1,0)*IF(BardMaxSpellLevel&gt;=$C120,1,0)*IF(IFERROR(MATCH(B120,Character_Creation!$C$341:$F$362,0),0)&gt;0,0,1)*IF(IFERROR(MATCH($B120,Character_Creation!$C$341:$C$362,0),0)&gt;0,0,1)</f>
        <v>0</v>
      </c>
      <c r="CM120">
        <f>IF(CL120=0,0,1+COUNTIF(CM$3:CM119,"&gt;0"))</f>
        <v>0</v>
      </c>
      <c r="CN120" t="str">
        <f t="shared" si="95"/>
        <v/>
      </c>
      <c r="CO120" t="str">
        <f t="shared" si="67"/>
        <v/>
      </c>
      <c r="CQ120">
        <f>IF(IFERROR(SEARCH("Wizard",$T120,1),0)&gt;0,1,0)*IF(WizardMaxSpellLevel&gt;=$C120,1,0)*IF(IFERROR(MATCH(B120,Character_Creation!$X$341:$X$400,0),0)&gt;0,0,1)*IF(SelectedWizardSpellLevel=$C120,1,0)</f>
        <v>0</v>
      </c>
      <c r="CR120">
        <f>IF(CQ120=0,0,1+COUNTIF(CR$3:CR119,"&gt;0"))</f>
        <v>0</v>
      </c>
      <c r="CS120" t="str">
        <f t="shared" si="96"/>
        <v/>
      </c>
      <c r="CT120" t="str">
        <f t="shared" si="68"/>
        <v/>
      </c>
      <c r="CV120">
        <f>IF(IFERROR(MATCH($B120,Character_Creation!$C$341:$C$362,0),0)&gt;0,0,1)*IF(OR(C120="Cantrip",C120&lt;=BardMaxSpellLevel),1,0)*IF(IFERROR(MATCH($B120,Character_Creation!$C$367:$C$374,0),0)&gt;0,0,1)</f>
        <v>0</v>
      </c>
      <c r="CW120">
        <f>IF(CV120=0,0,1+COUNTIF(CW$3:CW119,"&gt;0"))</f>
        <v>0</v>
      </c>
      <c r="CX120" t="str">
        <f t="shared" si="97"/>
        <v/>
      </c>
      <c r="CY120" t="str">
        <f t="shared" si="69"/>
        <v/>
      </c>
      <c r="DA120">
        <f>IF(IF(OR(IFERROR(SEARCH("Cleric",$T120,1),0)&gt;0,IFERROR(SEARCH(DivineDomain&amp;",",$T120,1),0)&gt;0),1,0)*IF($C120=DA$2,1,0)=1,1+COUNTIF(DA$3:DA119,"&gt;0"),0)</f>
        <v>0</v>
      </c>
      <c r="DB120">
        <f>IF(IF(OR(IFERROR(SEARCH("Cleric",$T120,1),0)&gt;0,IFERROR(SEARCH(DivineDomain&amp;",",$T120,1),0)&gt;0),1,0)*IF($C120=DB$2,1,0)=1,1+COUNTIF(DB$3:DB119,"&gt;0"),0)</f>
        <v>0</v>
      </c>
      <c r="DC120">
        <f>IF(IF(OR(IFERROR(SEARCH("Cleric",$T120,1),0)&gt;0,IFERROR(SEARCH(DivineDomain&amp;",",$T120,1),0)&gt;0),1,0)*IF($C120=DC$2,1,0)=1,1+COUNTIF(DC$3:DC119,"&gt;0"),0)</f>
        <v>0</v>
      </c>
      <c r="DD120">
        <f>IF(IF(OR(IFERROR(SEARCH("Cleric",$T120,1),0)&gt;0,IFERROR(SEARCH(DivineDomain&amp;",",$T120,1),0)&gt;0),1,0)*IF($C120=DD$2,1,0)=1,1+COUNTIF(DD$3:DD119,"&gt;0"),0)</f>
        <v>0</v>
      </c>
      <c r="DE120">
        <f>IF(IF(OR(IFERROR(SEARCH("Cleric",$T120,1),0)&gt;0,IFERROR(SEARCH(DivineDomain&amp;",",$T120,1),0)&gt;0),1,0)*IF($C120=DE$2,1,0)=1,1+COUNTIF(DE$3:DE119,"&gt;0"),0)</f>
        <v>0</v>
      </c>
      <c r="DF120">
        <f>IF(IF(OR(IFERROR(SEARCH("Cleric",$T120,1),0)&gt;0,IFERROR(SEARCH(DivineDomain&amp;",",$T120,1),0)&gt;0),1,0)*IF($C120=DF$2,1,0)=1,1+COUNTIF(DF$3:DF119,"&gt;0"),0)</f>
        <v>0</v>
      </c>
      <c r="DG120">
        <f>IF(IF(OR(IFERROR(SEARCH("Cleric",$T120,1),0)&gt;0,IFERROR(SEARCH(DivineDomain&amp;",",$T120,1),0)&gt;0),1,0)*IF($C120=DG$2,1,0)=1,1+COUNTIF(DG$3:DG119,"&gt;0"),0)</f>
        <v>0</v>
      </c>
      <c r="DH120">
        <f>IF(IF(OR(IFERROR(SEARCH("Cleric",$T120,1),0)&gt;0,IFERROR(SEARCH(DivineDomain&amp;",",$T120,1),0)&gt;0),1,0)*IF($C120=DH$2,1,0)=1,1+COUNTIF(DH$3:DH119,"&gt;0"),0)</f>
        <v>0</v>
      </c>
      <c r="DI120">
        <f>IF(IF(OR(IFERROR(SEARCH("Cleric",$T120,1),0)&gt;0,IFERROR(SEARCH(DivineDomain&amp;",",$T120,1),0)&gt;0),1,0)*IF($C120=DI$2,1,0)=1,1+COUNTIF(DI$3:DI119,"&gt;0"),0)</f>
        <v>0</v>
      </c>
      <c r="DJ120">
        <f>IF(IF(OR(IFERROR(SEARCH("Druid",$T120,1),0)&gt;0,IFERROR(SEARCH(DruidLand1,$T120,1),0)&gt;0,IFERROR(SEARCH(DruidLand2,$T120,1),0)&gt;0,IFERROR(SEARCH(DruidLand3,$T120,1),0)&gt;0,IFERROR(SEARCH(DruidLand4,$T120,1),0)&gt;0),1,0)*IF($C120=1,1,0)*IF($C120=DJ$2,1,0)=0,0,1+COUNTIF(DJ$3:DJ119,"&gt;0"))</f>
        <v>0</v>
      </c>
      <c r="DK120">
        <f>IF(IF(OR(IFERROR(SEARCH("Druid",$T120,1),0)&gt;0,IFERROR(SEARCH(DruidLand1,$T120,1),0)&gt;0,IFERROR(SEARCH(DruidLand2,$T120,1),0)&gt;0,IFERROR(SEARCH(DruidLand3,$T120,1),0)&gt;0,IFERROR(SEARCH(DruidLand4,$T120,1),0)&gt;0),1,0)*IF($C120=1,1,0)*IF($C120=DK$2,1,0)=0,0,1+COUNTIF(DK$3:DK119,"&gt;0"))</f>
        <v>0</v>
      </c>
      <c r="DL120">
        <f>IF(IF(OR(IFERROR(SEARCH("Druid",$T120,1),0)&gt;0,IFERROR(SEARCH(DruidLand1,$T120,1),0)&gt;0,IFERROR(SEARCH(DruidLand2,$T120,1),0)&gt;0,IFERROR(SEARCH(DruidLand3,$T120,1),0)&gt;0,IFERROR(SEARCH(DruidLand4,$T120,1),0)&gt;0),1,0)*IF($C120=1,1,0)*IF($C120=DL$2,1,0)=0,0,1+COUNTIF(DL$3:DL119,"&gt;0"))</f>
        <v>0</v>
      </c>
      <c r="DM120">
        <f>IF(IF(OR(IFERROR(SEARCH("Druid",$T120,1),0)&gt;0,IFERROR(SEARCH(DruidLand1,$T120,1),0)&gt;0,IFERROR(SEARCH(DruidLand2,$T120,1),0)&gt;0,IFERROR(SEARCH(DruidLand3,$T120,1),0)&gt;0,IFERROR(SEARCH(DruidLand4,$T120,1),0)&gt;0),1,0)*IF($C120=1,1,0)*IF($C120=DM$2,1,0)=0,0,1+COUNTIF(DM$3:DM119,"&gt;0"))</f>
        <v>0</v>
      </c>
      <c r="DN120">
        <f>IF(IF(OR(IFERROR(SEARCH("Druid",$T120,1),0)&gt;0,IFERROR(SEARCH(DruidLand1,$T120,1),0)&gt;0,IFERROR(SEARCH(DruidLand2,$T120,1),0)&gt;0,IFERROR(SEARCH(DruidLand3,$T120,1),0)&gt;0,IFERROR(SEARCH(DruidLand4,$T120,1),0)&gt;0),1,0)*IF($C120=1,1,0)*IF($C120=DN$2,1,0)=0,0,1+COUNTIF(DN$3:DN119,"&gt;0"))</f>
        <v>0</v>
      </c>
      <c r="DO120">
        <f>IF(IF(OR(IFERROR(SEARCH("Druid",$T120,1),0)&gt;0,IFERROR(SEARCH(DruidLand1,$T120,1),0)&gt;0,IFERROR(SEARCH(DruidLand2,$T120,1),0)&gt;0,IFERROR(SEARCH(DruidLand3,$T120,1),0)&gt;0,IFERROR(SEARCH(DruidLand4,$T120,1),0)&gt;0),1,0)*IF($C120=1,1,0)*IF($C120=DO$2,1,0)=0,0,1+COUNTIF(DO$3:DO119,"&gt;0"))</f>
        <v>0</v>
      </c>
      <c r="DP120">
        <f>IF(IF(OR(IFERROR(SEARCH("Druid",$T120,1),0)&gt;0,IFERROR(SEARCH(DruidLand1,$T120,1),0)&gt;0,IFERROR(SEARCH(DruidLand2,$T120,1),0)&gt;0,IFERROR(SEARCH(DruidLand3,$T120,1),0)&gt;0,IFERROR(SEARCH(DruidLand4,$T120,1),0)&gt;0),1,0)*IF($C120=1,1,0)*IF($C120=DP$2,1,0)=0,0,1+COUNTIF(DP$3:DP119,"&gt;0"))</f>
        <v>0</v>
      </c>
      <c r="DQ120">
        <f>IF(IF(OR(IFERROR(SEARCH("Druid",$T120,1),0)&gt;0,IFERROR(SEARCH(DruidLand1,$T120,1),0)&gt;0,IFERROR(SEARCH(DruidLand2,$T120,1),0)&gt;0,IFERROR(SEARCH(DruidLand3,$T120,1),0)&gt;0,IFERROR(SEARCH(DruidLand4,$T120,1),0)&gt;0),1,0)*IF($C120=1,1,0)*IF($C120=DQ$2,1,0)=0,0,1+COUNTIF(DQ$3:DQ119,"&gt;0"))</f>
        <v>0</v>
      </c>
      <c r="DR120">
        <f>IF(IF(OR(IFERROR(SEARCH("Druid",$T120,1),0)&gt;0,IFERROR(SEARCH(DruidLand1,$T120,1),0)&gt;0,IFERROR(SEARCH(DruidLand2,$T120,1),0)&gt;0,IFERROR(SEARCH(DruidLand3,$T120,1),0)&gt;0,IFERROR(SEARCH(DruidLand4,$T120,1),0)&gt;0),1,0)*IF($C120=1,1,0)*IF($C120=DR$2,1,0)=0,0,1+COUNTIF(DR$3:DR119,"&gt;0"))</f>
        <v>0</v>
      </c>
      <c r="DS120">
        <f>IF(IF(OR(IFERROR(SEARCH("Paladin",$T120,1),0)&gt;0,IFERROR(SEARCH(PaladinOath,$T120,1),0)&gt;0),1,0)*IF($C120=DS$2,1,0)=1,1+COUNTIF(DS$3:DS119,"&gt;0"),0)</f>
        <v>0</v>
      </c>
      <c r="DT120">
        <f>IF(IF(OR(IFERROR(SEARCH("Paladin",$T120,1),0)&gt;0,IFERROR(SEARCH(PaladinOath,$T120,1),0)&gt;0),1,0)*IF($C120=DT$2,1,0)=1,1+COUNTIF(DT$3:DT119,"&gt;0"),0)</f>
        <v>0</v>
      </c>
      <c r="DU120">
        <f>IF(IF(OR(IFERROR(SEARCH("Paladin",$T120,1),0)&gt;0,IFERROR(SEARCH(PaladinOath,$T120,1),0)&gt;0),1,0)*IF($C120=DU$2,1,0)=1,1+COUNTIF(DU$3:DU119,"&gt;0"),0)</f>
        <v>0</v>
      </c>
      <c r="DV120">
        <f>IF(IF(OR(IFERROR(SEARCH("Paladin",$T120,1),0)&gt;0,IFERROR(SEARCH(PaladinOath,$T120,1),0)&gt;0),1,0)*IF($C120=DV$2,1,0)=1,1+COUNTIF(DV$3:DV119,"&gt;0"),0)</f>
        <v>0</v>
      </c>
      <c r="DW120">
        <f>IF(IF(OR(IFERROR(SEARCH("Paladin",$T120,1),0)&gt;0,IFERROR(SEARCH(PaladinOath,$T120,1),0)&gt;0),1,0)*IF($C120=DW$2,1,0)=1,1+COUNTIF(DW$3:DW119,"&gt;0"),0)</f>
        <v>0</v>
      </c>
      <c r="DY120">
        <f t="shared" si="56"/>
        <v>1</v>
      </c>
      <c r="DZ120">
        <f>IF(DY120=0,0,1+MAX(DZ$3:$DZ119))</f>
        <v>118</v>
      </c>
      <c r="EB120">
        <f t="shared" si="70"/>
        <v>0</v>
      </c>
      <c r="EC120">
        <f>IF(EB120=0,0,1+COUNTIF(EC$3:EC119,"&gt;0"))</f>
        <v>0</v>
      </c>
      <c r="ED120" t="str">
        <f t="shared" si="98"/>
        <v/>
      </c>
      <c r="EE120" t="str">
        <f t="shared" si="71"/>
        <v/>
      </c>
      <c r="EG120">
        <f t="shared" si="72"/>
        <v>0</v>
      </c>
      <c r="EH120">
        <f>IF(EG120=0,0,1+COUNTIF(EH$3:EH119,"&gt;0"))</f>
        <v>0</v>
      </c>
      <c r="EI120" t="str">
        <f t="shared" si="99"/>
        <v/>
      </c>
      <c r="EJ120" t="str">
        <f t="shared" si="73"/>
        <v/>
      </c>
      <c r="EL120">
        <f t="shared" si="74"/>
        <v>0</v>
      </c>
      <c r="EM120">
        <f>IF(EL120=0,0,1+COUNTIF(EM$3:EM119,"&gt;0"))</f>
        <v>0</v>
      </c>
      <c r="EN120" t="str">
        <f t="shared" si="100"/>
        <v/>
      </c>
      <c r="EO120" t="str">
        <f t="shared" si="75"/>
        <v/>
      </c>
      <c r="EQ120">
        <f t="shared" si="76"/>
        <v>0</v>
      </c>
      <c r="ER120">
        <f>IF(EQ120=0,0,1+COUNTIF(ER$3:ER119,"&gt;0"))</f>
        <v>0</v>
      </c>
      <c r="ES120" t="str">
        <f t="shared" si="101"/>
        <v/>
      </c>
      <c r="ET120" t="str">
        <f t="shared" si="77"/>
        <v/>
      </c>
      <c r="EV120">
        <f t="shared" si="78"/>
        <v>0</v>
      </c>
      <c r="EW120">
        <f>IF(EV120=0,0,1+COUNTIF(EW$3:EW119,"&gt;0"))</f>
        <v>0</v>
      </c>
      <c r="EX120" t="str">
        <f t="shared" si="102"/>
        <v/>
      </c>
      <c r="EY120" t="str">
        <f t="shared" si="79"/>
        <v/>
      </c>
      <c r="FA120">
        <f t="shared" si="80"/>
        <v>0</v>
      </c>
      <c r="FB120">
        <f>IF(FA120=0,0,1+COUNTIF(FB$3:FB119,"&gt;0"))</f>
        <v>0</v>
      </c>
      <c r="FC120" t="str">
        <f t="shared" si="103"/>
        <v/>
      </c>
      <c r="FD120" t="str">
        <f t="shared" si="81"/>
        <v/>
      </c>
      <c r="FF120">
        <f t="shared" si="82"/>
        <v>0</v>
      </c>
      <c r="FG120">
        <f>IF(FF120=0,0,1+COUNTIF(FG$3:FG119,"&gt;0"))</f>
        <v>0</v>
      </c>
      <c r="FH120" t="str">
        <f t="shared" si="104"/>
        <v/>
      </c>
      <c r="FI120" t="str">
        <f t="shared" si="83"/>
        <v/>
      </c>
      <c r="FK120">
        <f t="shared" si="84"/>
        <v>0</v>
      </c>
      <c r="FL120">
        <f>IF(FK120=0,0,1+COUNTIF(FL$3:FL119,"&gt;0"))</f>
        <v>0</v>
      </c>
      <c r="FM120" t="str">
        <f t="shared" si="105"/>
        <v/>
      </c>
      <c r="FN120" t="str">
        <f t="shared" si="85"/>
        <v/>
      </c>
      <c r="FP120">
        <f t="shared" si="86"/>
        <v>0</v>
      </c>
      <c r="FQ120">
        <f>IF(FP120=0,0,1+COUNTIF(FQ$3:FQ119,"&gt;0"))</f>
        <v>0</v>
      </c>
      <c r="FR120" t="str">
        <f t="shared" si="106"/>
        <v/>
      </c>
      <c r="FS120" t="str">
        <f t="shared" si="87"/>
        <v/>
      </c>
    </row>
    <row r="121" spans="1:175" x14ac:dyDescent="0.25">
      <c r="A121" s="347">
        <f t="shared" si="107"/>
        <v>119</v>
      </c>
      <c r="B121" s="348" t="s">
        <v>2488</v>
      </c>
      <c r="C121" s="348">
        <v>1</v>
      </c>
      <c r="D121" s="347">
        <v>1</v>
      </c>
      <c r="E121" s="627" t="s">
        <v>6952</v>
      </c>
      <c r="F121" s="346"/>
      <c r="G121" s="347" t="str">
        <f>""</f>
        <v/>
      </c>
      <c r="H121" s="347" t="s">
        <v>5912</v>
      </c>
      <c r="I121" s="347" t="s">
        <v>5312</v>
      </c>
      <c r="J121" s="347" t="str">
        <f t="shared" si="57"/>
        <v/>
      </c>
      <c r="K121" s="347" t="s">
        <v>5291</v>
      </c>
      <c r="L121" s="611" t="str">
        <f t="shared" si="58"/>
        <v>V, S</v>
      </c>
      <c r="M121" s="347" t="s">
        <v>2373</v>
      </c>
      <c r="N121" s="347" t="s">
        <v>2387</v>
      </c>
      <c r="O121" s="347" t="s">
        <v>3034</v>
      </c>
      <c r="P121" s="346" t="str">
        <f>""</f>
        <v/>
      </c>
      <c r="Q121" s="347" t="s">
        <v>5271</v>
      </c>
      <c r="S121" s="346" t="s">
        <v>5679</v>
      </c>
      <c r="T121" s="346" t="str">
        <f t="shared" si="59"/>
        <v xml:space="preserve">Druid, </v>
      </c>
      <c r="AA121" s="347" t="str">
        <f>$B121</f>
        <v>Entangle</v>
      </c>
      <c r="AE121" t="str">
        <f>IF(IFERROR(MATCH($B121,temp!A$4:A$13,0),0)&gt;0,T08_Spells!AE$2,"")</f>
        <v/>
      </c>
      <c r="AF121" t="str">
        <f>IF(IFERROR(MATCH($B121,temp!B$4:B$13,0),0)&gt;0,T08_Spells!AF$2,"")</f>
        <v/>
      </c>
      <c r="AG121" t="str">
        <f>IF(IFERROR(MATCH($B121,temp!C$4:C$13,0),0)&gt;0,T08_Spells!AG$2,"")</f>
        <v/>
      </c>
      <c r="AH121" t="str">
        <f>IF(IFERROR(MATCH($B121,temp!D$4:D$13,0),0)&gt;0,T08_Spells!AH$2,"")</f>
        <v/>
      </c>
      <c r="AI121" t="str">
        <f>IF(IFERROR(MATCH($B121,temp!E$4:E$13,0),0)&gt;0,T08_Spells!AI$2,"")</f>
        <v/>
      </c>
      <c r="AJ121" t="str">
        <f>IF(IFERROR(MATCH($B121,temp!F$4:F$13,0),0)&gt;0,T08_Spells!AJ$2,"")</f>
        <v/>
      </c>
      <c r="AK121" t="str">
        <f>IF(IFERROR(MATCH($B121,temp!G$4:G$13,0),0)&gt;0,T08_Spells!AK$2,"")</f>
        <v/>
      </c>
      <c r="AL121" t="str">
        <f>IF(IFERROR(MATCH($B121,temp!H$4:H$13,0),0)&gt;0,T08_Spells!AL$2,"")</f>
        <v/>
      </c>
      <c r="AM121" t="str">
        <f>IF(IFERROR(MATCH($B121,temp!I$4:I$13,0),0)&gt;0,T08_Spells!AM$2,"")</f>
        <v/>
      </c>
      <c r="AN121" t="str">
        <f>IF(IFERROR(MATCH($B121,temp!J$4:J$13,0),0)&gt;0,T08_Spells!AN$2,"")</f>
        <v/>
      </c>
      <c r="AO121" t="str">
        <f>IF(IFERROR(MATCH($B121,temp!K$4:K$13,0),0)&gt;0,T08_Spells!AO$2,"")</f>
        <v/>
      </c>
      <c r="AP121" t="str">
        <f>IF(IFERROR(MATCH($B121,temp!L$4:L$13,0),0)&gt;0,T08_Spells!AP$2,"")</f>
        <v/>
      </c>
      <c r="AQ121" t="str">
        <f>IF(IFERROR(MATCH($B121,temp!M$4:M$13,0),0)&gt;0,T08_Spells!AQ$2,"")</f>
        <v/>
      </c>
      <c r="AR121" t="str">
        <f>IF(IFERROR(MATCH($B121,temp!N$4:N$13,0),0)&gt;0,T08_Spells!AR$2,"")</f>
        <v/>
      </c>
      <c r="AS121" t="str">
        <f>IF(IFERROR(MATCH($B121,temp!O$4:O$13,0),0)&gt;0,T08_Spells!AS$2,"")</f>
        <v/>
      </c>
      <c r="AT121" t="str">
        <f>IF(IFERROR(MATCH($B121,temp!P$4:P$13,0),0)&gt;0,T08_Spells!AT$2,"")</f>
        <v/>
      </c>
      <c r="AU121" t="str">
        <f>IF(IFERROR(MATCH($B121,temp!Q$4:Q$13,0),0)&gt;0,T08_Spells!AU$2,"")</f>
        <v/>
      </c>
      <c r="AV121" t="str">
        <f>IF(IFERROR(MATCH($B121,temp!R$4:R$13,0),0)&gt;0,T08_Spells!AV$2,"")</f>
        <v/>
      </c>
      <c r="AW121" t="str">
        <f>IF(IFERROR(MATCH($B121,temp!S$4:S$13,0),0)&gt;0,T08_Spells!AW$2,"")</f>
        <v/>
      </c>
      <c r="AX121" t="str">
        <f>IF(IFERROR(MATCH($B121,temp!T$4:T$13,0),0)&gt;0,T08_Spells!AX$2,"")</f>
        <v/>
      </c>
      <c r="AY121" t="str">
        <f>IF(IFERROR(MATCH($B121,temp!U$4:U$13,0),0)&gt;0,T08_Spells!AY$2,"")</f>
        <v/>
      </c>
      <c r="AZ121" t="str">
        <f>IF(IFERROR(MATCH($B121,temp!V$4:V$13,0),0)&gt;0,T08_Spells!AZ$2,"")</f>
        <v/>
      </c>
      <c r="BA121" t="str">
        <f>IF(IFERROR(MATCH($B121,temp!W$4:W$13,0),0)&gt;0,T08_Spells!BA$2,"")</f>
        <v/>
      </c>
      <c r="BC121">
        <f>IF(IFERROR(SEARCH("Ranger",$T121,1),0)&gt;0,1,0)*IF(RangerMaxSpellLevel&gt;=$C121,1,0)*IF(IFERROR(MATCH(B121,Character_Creation!$X$79:$X$382,0),0)&gt;0,0,1)</f>
        <v>0</v>
      </c>
      <c r="BD121">
        <f>IF(BC121=0,0,1+COUNTIF(BD$3:BD120,"&gt;0"))</f>
        <v>0</v>
      </c>
      <c r="BE121" t="str">
        <f t="shared" si="88"/>
        <v/>
      </c>
      <c r="BF121" t="str">
        <f t="shared" si="60"/>
        <v/>
      </c>
      <c r="BH121">
        <f>IF(IFERROR(SEARCH("Sorcerer",$T121,1),0)&gt;0,1,0)*IF(SorcererMaxSpellLevel&gt;=$C121,1,0)*IF(IFERROR(MATCH(B121,Character_Creation!$J$380:$J$394,0),0)&gt;0,0,1)</f>
        <v>0</v>
      </c>
      <c r="BI121">
        <f>IF(BH121=0,0,1+COUNTIF(BI$3:BI120,"&gt;0"))</f>
        <v>0</v>
      </c>
      <c r="BJ121" t="str">
        <f t="shared" si="89"/>
        <v/>
      </c>
      <c r="BK121" t="str">
        <f t="shared" si="61"/>
        <v/>
      </c>
      <c r="BM121">
        <f>IF(OR(IFERROR(SEARCH("Warlock",$T121,1),0)&gt;0,IFERROR(SEARCH(WarlockPatron,$T121,1),0)&gt;0),1,0)*IF(WarlockMaxSpellLevel&gt;=$C121,1,0)*IF(IFERROR(MATCH(B121,Character_Creation!$J$361:$J$375,0),0)&gt;0,0,1)</f>
        <v>0</v>
      </c>
      <c r="BN121">
        <f>IF(BM121=0,0,1+COUNTIF(BN$3:BN120,"&gt;0"))</f>
        <v>0</v>
      </c>
      <c r="BO121" t="str">
        <f t="shared" si="90"/>
        <v/>
      </c>
      <c r="BP121" t="str">
        <f t="shared" si="62"/>
        <v/>
      </c>
      <c r="BR121">
        <f>IF(IFERROR(SEARCH("Eldritch Knight",$T121,1),0)&gt;0,1,0)*IF(EldritchKnightMaxSpellLevel&gt;=$C121,1,0)*IF(IFERROR(MATCH($B121,Character_Creation!$J$350:$J$356,0),0)&gt;0,0,1)*IF(Character_Creation!$M$338&gt;0,1,0)</f>
        <v>0</v>
      </c>
      <c r="BS121">
        <f>IF(BR121=0,0,1+COUNTIF(BS$3:BS120,"&gt;0"))</f>
        <v>0</v>
      </c>
      <c r="BT121" t="str">
        <f t="shared" si="91"/>
        <v/>
      </c>
      <c r="BU121" t="str">
        <f t="shared" si="63"/>
        <v/>
      </c>
      <c r="BW121">
        <f>IF(IFERROR(SEARCH("Arcane Trickster",$T121,1),0)&gt;0,1,0)*IF(ArcaneTricksterMaxSpellLevel&gt;=$C121,1,0)*IF(IFERROR(MATCH($B121,Character_Creation!$J$350:$J$356,0),0)&gt;0,0,1)*IF(Character_Creation!$T$338&gt;0,1,0)</f>
        <v>0</v>
      </c>
      <c r="BX121">
        <f>IF(BW121=0,0,1+COUNTIF(BX$3:BX120,"&gt;0"))</f>
        <v>0</v>
      </c>
      <c r="BY121" t="str">
        <f t="shared" si="92"/>
        <v/>
      </c>
      <c r="BZ121" t="str">
        <f t="shared" si="64"/>
        <v/>
      </c>
      <c r="CB121">
        <f>IF(IFERROR(SEARCH("Wizard",$T121,1),0)&gt;0,1,0)*IF(C121&lt;=ArcaneTricksterMaxSpellLevel,1,0)*IF(IFERROR(MATCH($B121,Character_Creation!$J$350:$J$356,0),0)&gt;0,0,1)*IF(Character_Creation!$T$350&gt;0,1,0)</f>
        <v>0</v>
      </c>
      <c r="CC121">
        <f>IF(CB121=0,0,1+COUNTIF(CC$3:CC120,"&gt;0"))</f>
        <v>0</v>
      </c>
      <c r="CD121" t="str">
        <f t="shared" si="93"/>
        <v/>
      </c>
      <c r="CE121" t="str">
        <f t="shared" si="65"/>
        <v/>
      </c>
      <c r="CG121">
        <f>IF(IFERROR(SEARCH("Wizard",$T121,1),0)&gt;0,1,0)*IF($C121&lt;=EldritchKnightMaxSpellLevel,1,0)*IF(IFERROR(MATCH($B121,Character_Creation!$J$350:$J$356,0),0)&gt;0,0,1)*IF(Character_Creation!$M$350&gt;0,1,0)</f>
        <v>0</v>
      </c>
      <c r="CH121">
        <f>IF(CG121=0,0,1+COUNTIF(CH$3:CH120,"&gt;0"))</f>
        <v>0</v>
      </c>
      <c r="CI121" t="str">
        <f t="shared" si="94"/>
        <v/>
      </c>
      <c r="CJ121" t="str">
        <f t="shared" si="66"/>
        <v/>
      </c>
      <c r="CL121">
        <f>IF(IFERROR(SEARCH("Bard",$T121,1),0)&gt;0,1,0)*IF(BardMaxSpellLevel&gt;=$C121,1,0)*IF(IFERROR(MATCH(B121,Character_Creation!$C$341:$F$362,0),0)&gt;0,0,1)*IF(IFERROR(MATCH($B121,Character_Creation!$C$341:$C$362,0),0)&gt;0,0,1)</f>
        <v>0</v>
      </c>
      <c r="CM121">
        <f>IF(CL121=0,0,1+COUNTIF(CM$3:CM120,"&gt;0"))</f>
        <v>0</v>
      </c>
      <c r="CN121" t="str">
        <f t="shared" si="95"/>
        <v/>
      </c>
      <c r="CO121" t="str">
        <f t="shared" si="67"/>
        <v/>
      </c>
      <c r="CQ121">
        <f>IF(IFERROR(SEARCH("Wizard",$T121,1),0)&gt;0,1,0)*IF(WizardMaxSpellLevel&gt;=$C121,1,0)*IF(IFERROR(MATCH(B121,Character_Creation!$X$341:$X$400,0),0)&gt;0,0,1)*IF(SelectedWizardSpellLevel=$C121,1,0)</f>
        <v>0</v>
      </c>
      <c r="CR121">
        <f>IF(CQ121=0,0,1+COUNTIF(CR$3:CR120,"&gt;0"))</f>
        <v>0</v>
      </c>
      <c r="CS121" t="str">
        <f t="shared" si="96"/>
        <v/>
      </c>
      <c r="CT121" t="str">
        <f t="shared" si="68"/>
        <v/>
      </c>
      <c r="CV121">
        <f>IF(IFERROR(MATCH($B121,Character_Creation!$C$341:$C$362,0),0)&gt;0,0,1)*IF(OR(C121="Cantrip",C121&lt;=BardMaxSpellLevel),1,0)*IF(IFERROR(MATCH($B121,Character_Creation!$C$367:$C$374,0),0)&gt;0,0,1)</f>
        <v>0</v>
      </c>
      <c r="CW121">
        <f>IF(CV121=0,0,1+COUNTIF(CW$3:CW120,"&gt;0"))</f>
        <v>0</v>
      </c>
      <c r="CX121" t="str">
        <f t="shared" si="97"/>
        <v/>
      </c>
      <c r="CY121" t="str">
        <f t="shared" si="69"/>
        <v/>
      </c>
      <c r="DA121">
        <f>IF(IF(OR(IFERROR(SEARCH("Cleric",$T121,1),0)&gt;0,IFERROR(SEARCH(DivineDomain&amp;",",$T121,1),0)&gt;0),1,0)*IF($C121=DA$2,1,0)=1,1+COUNTIF(DA$3:DA120,"&gt;0"),0)</f>
        <v>0</v>
      </c>
      <c r="DB121">
        <f>IF(IF(OR(IFERROR(SEARCH("Cleric",$T121,1),0)&gt;0,IFERROR(SEARCH(DivineDomain&amp;",",$T121,1),0)&gt;0),1,0)*IF($C121=DB$2,1,0)=1,1+COUNTIF(DB$3:DB120,"&gt;0"),0)</f>
        <v>0</v>
      </c>
      <c r="DC121">
        <f>IF(IF(OR(IFERROR(SEARCH("Cleric",$T121,1),0)&gt;0,IFERROR(SEARCH(DivineDomain&amp;",",$T121,1),0)&gt;0),1,0)*IF($C121=DC$2,1,0)=1,1+COUNTIF(DC$3:DC120,"&gt;0"),0)</f>
        <v>0</v>
      </c>
      <c r="DD121">
        <f>IF(IF(OR(IFERROR(SEARCH("Cleric",$T121,1),0)&gt;0,IFERROR(SEARCH(DivineDomain&amp;",",$T121,1),0)&gt;0),1,0)*IF($C121=DD$2,1,0)=1,1+COUNTIF(DD$3:DD120,"&gt;0"),0)</f>
        <v>0</v>
      </c>
      <c r="DE121">
        <f>IF(IF(OR(IFERROR(SEARCH("Cleric",$T121,1),0)&gt;0,IFERROR(SEARCH(DivineDomain&amp;",",$T121,1),0)&gt;0),1,0)*IF($C121=DE$2,1,0)=1,1+COUNTIF(DE$3:DE120,"&gt;0"),0)</f>
        <v>0</v>
      </c>
      <c r="DF121">
        <f>IF(IF(OR(IFERROR(SEARCH("Cleric",$T121,1),0)&gt;0,IFERROR(SEARCH(DivineDomain&amp;",",$T121,1),0)&gt;0),1,0)*IF($C121=DF$2,1,0)=1,1+COUNTIF(DF$3:DF120,"&gt;0"),0)</f>
        <v>0</v>
      </c>
      <c r="DG121">
        <f>IF(IF(OR(IFERROR(SEARCH("Cleric",$T121,1),0)&gt;0,IFERROR(SEARCH(DivineDomain&amp;",",$T121,1),0)&gt;0),1,0)*IF($C121=DG$2,1,0)=1,1+COUNTIF(DG$3:DG120,"&gt;0"),0)</f>
        <v>0</v>
      </c>
      <c r="DH121">
        <f>IF(IF(OR(IFERROR(SEARCH("Cleric",$T121,1),0)&gt;0,IFERROR(SEARCH(DivineDomain&amp;",",$T121,1),0)&gt;0),1,0)*IF($C121=DH$2,1,0)=1,1+COUNTIF(DH$3:DH120,"&gt;0"),0)</f>
        <v>0</v>
      </c>
      <c r="DI121">
        <f>IF(IF(OR(IFERROR(SEARCH("Cleric",$T121,1),0)&gt;0,IFERROR(SEARCH(DivineDomain&amp;",",$T121,1),0)&gt;0),1,0)*IF($C121=DI$2,1,0)=1,1+COUNTIF(DI$3:DI120,"&gt;0"),0)</f>
        <v>0</v>
      </c>
      <c r="DJ121">
        <f>IF(IF(OR(IFERROR(SEARCH("Druid",$T121,1),0)&gt;0,IFERROR(SEARCH(DruidLand1,$T121,1),0)&gt;0,IFERROR(SEARCH(DruidLand2,$T121,1),0)&gt;0,IFERROR(SEARCH(DruidLand3,$T121,1),0)&gt;0,IFERROR(SEARCH(DruidLand4,$T121,1),0)&gt;0),1,0)*IF($C121=1,1,0)*IF($C121=DJ$2,1,0)=0,0,1+COUNTIF(DJ$3:DJ120,"&gt;0"))</f>
        <v>7</v>
      </c>
      <c r="DK121">
        <f>IF(IF(OR(IFERROR(SEARCH("Druid",$T121,1),0)&gt;0,IFERROR(SEARCH(DruidLand1,$T121,1),0)&gt;0,IFERROR(SEARCH(DruidLand2,$T121,1),0)&gt;0,IFERROR(SEARCH(DruidLand3,$T121,1),0)&gt;0,IFERROR(SEARCH(DruidLand4,$T121,1),0)&gt;0),1,0)*IF($C121=DK$2,1,0)=0,0,1+COUNTIF(DK$3:DK120,"&gt;0"))</f>
        <v>0</v>
      </c>
      <c r="DL121">
        <f>IF(IF(OR(IFERROR(SEARCH("Druid",$T121,1),0)&gt;0,IFERROR(SEARCH(DruidLand1,$T121,1),0)&gt;0,IFERROR(SEARCH(DruidLand2,$T121,1),0)&gt;0,IFERROR(SEARCH(DruidLand3,$T121,1),0)&gt;0,IFERROR(SEARCH(DruidLand4,$T121,1),0)&gt;0),1,0)*IF($C121=DL$2,1,0)=0,0,1+COUNTIF(DL$3:DL120,"&gt;0"))</f>
        <v>0</v>
      </c>
      <c r="DM121">
        <f>IF(IF(OR(IFERROR(SEARCH("Druid",$T121,1),0)&gt;0,IFERROR(SEARCH(DruidLand1,$T121,1),0)&gt;0,IFERROR(SEARCH(DruidLand2,$T121,1),0)&gt;0,IFERROR(SEARCH(DruidLand3,$T121,1),0)&gt;0,IFERROR(SEARCH(DruidLand4,$T121,1),0)&gt;0),1,0)*IF($C121=DM$2,1,0)=0,0,1+COUNTIF(DM$3:DM120,"&gt;0"))</f>
        <v>0</v>
      </c>
      <c r="DN121">
        <f>IF(IF(OR(IFERROR(SEARCH("Druid",$T121,1),0)&gt;0,IFERROR(SEARCH(DruidLand1,$T121,1),0)&gt;0,IFERROR(SEARCH(DruidLand2,$T121,1),0)&gt;0,IFERROR(SEARCH(DruidLand3,$T121,1),0)&gt;0,IFERROR(SEARCH(DruidLand4,$T121,1),0)&gt;0),1,0)*IF($C121=DN$2,1,0)=0,0,1+COUNTIF(DN$3:DN120,"&gt;0"))</f>
        <v>0</v>
      </c>
      <c r="DO121">
        <f>IF(IF(OR(IFERROR(SEARCH("Druid",$T121,1),0)&gt;0,IFERROR(SEARCH(DruidLand1,$T121,1),0)&gt;0,IFERROR(SEARCH(DruidLand2,$T121,1),0)&gt;0,IFERROR(SEARCH(DruidLand3,$T121,1),0)&gt;0,IFERROR(SEARCH(DruidLand4,$T121,1),0)&gt;0),1,0)*IF($C121=DO$2,1,0)=0,0,1+COUNTIF(DO$3:DO120,"&gt;0"))</f>
        <v>0</v>
      </c>
      <c r="DP121">
        <f>IF(IF(OR(IFERROR(SEARCH("Druid",$T121,1),0)&gt;0,IFERROR(SEARCH(DruidLand1,$T121,1),0)&gt;0,IFERROR(SEARCH(DruidLand2,$T121,1),0)&gt;0,IFERROR(SEARCH(DruidLand3,$T121,1),0)&gt;0,IFERROR(SEARCH(DruidLand4,$T121,1),0)&gt;0),1,0)*IF($C121=DP$2,1,0)=0,0,1+COUNTIF(DP$3:DP120,"&gt;0"))</f>
        <v>0</v>
      </c>
      <c r="DQ121">
        <f>IF(IF(OR(IFERROR(SEARCH("Druid",$T121,1),0)&gt;0,IFERROR(SEARCH(DruidLand1,$T121,1),0)&gt;0,IFERROR(SEARCH(DruidLand2,$T121,1),0)&gt;0,IFERROR(SEARCH(DruidLand3,$T121,1),0)&gt;0,IFERROR(SEARCH(DruidLand4,$T121,1),0)&gt;0),1,0)*IF($C121=DQ$2,1,0)=0,0,1+COUNTIF(DQ$3:DQ120,"&gt;0"))</f>
        <v>0</v>
      </c>
      <c r="DR121">
        <f>IF(IF(OR(IFERROR(SEARCH("Druid",$T121,1),0)&gt;0,IFERROR(SEARCH(DruidLand1,$T121,1),0)&gt;0,IFERROR(SEARCH(DruidLand2,$T121,1),0)&gt;0,IFERROR(SEARCH(DruidLand3,$T121,1),0)&gt;0,IFERROR(SEARCH(DruidLand4,$T121,1),0)&gt;0),1,0)*IF($C121=DR$2,1,0)=0,0,1+COUNTIF(DR$3:DR120,"&gt;0"))</f>
        <v>0</v>
      </c>
      <c r="DS121">
        <f>IF(IF(OR(IFERROR(SEARCH("Paladin",$T121,1),0)&gt;0,IFERROR(SEARCH(PaladinOath,$T121,1),0)&gt;0),1,0)*IF($C121=DS$2,1,0)=1,1+COUNTIF(DS$3:DS120,"&gt;0"),0)</f>
        <v>0</v>
      </c>
      <c r="DT121">
        <f>IF(IF(OR(IFERROR(SEARCH("Paladin",$T121,1),0)&gt;0,IFERROR(SEARCH(PaladinOath,$T121,1),0)&gt;0),1,0)*IF($C121=DT$2,1,0)=1,1+COUNTIF(DT$3:DT120,"&gt;0"),0)</f>
        <v>0</v>
      </c>
      <c r="DU121">
        <f>IF(IF(OR(IFERROR(SEARCH("Paladin",$T121,1),0)&gt;0,IFERROR(SEARCH(PaladinOath,$T121,1),0)&gt;0),1,0)*IF($C121=DU$2,1,0)=1,1+COUNTIF(DU$3:DU120,"&gt;0"),0)</f>
        <v>0</v>
      </c>
      <c r="DV121">
        <f>IF(IF(OR(IFERROR(SEARCH("Paladin",$T121,1),0)&gt;0,IFERROR(SEARCH(PaladinOath,$T121,1),0)&gt;0),1,0)*IF($C121=DV$2,1,0)=1,1+COUNTIF(DV$3:DV120,"&gt;0"),0)</f>
        <v>0</v>
      </c>
      <c r="DW121">
        <f>IF(IF(OR(IFERROR(SEARCH("Paladin",$T121,1),0)&gt;0,IFERROR(SEARCH(PaladinOath,$T121,1),0)&gt;0),1,0)*IF($C121=DW$2,1,0)=1,1+COUNTIF(DW$3:DW120,"&gt;0"),0)</f>
        <v>0</v>
      </c>
      <c r="DY121">
        <f t="shared" si="56"/>
        <v>1</v>
      </c>
      <c r="DZ121">
        <f>IF(DY121=0,0,1+MAX(DZ$3:$DZ120))</f>
        <v>119</v>
      </c>
      <c r="EB121">
        <f t="shared" si="70"/>
        <v>0</v>
      </c>
      <c r="EC121">
        <f>IF(EB121=0,0,1+COUNTIF(EC$3:EC120,"&gt;0"))</f>
        <v>0</v>
      </c>
      <c r="ED121" t="str">
        <f t="shared" si="98"/>
        <v/>
      </c>
      <c r="EE121" t="str">
        <f t="shared" si="71"/>
        <v/>
      </c>
      <c r="EG121">
        <f t="shared" si="72"/>
        <v>0</v>
      </c>
      <c r="EH121">
        <f>IF(EG121=0,0,1+COUNTIF(EH$3:EH120,"&gt;0"))</f>
        <v>0</v>
      </c>
      <c r="EI121" t="str">
        <f t="shared" si="99"/>
        <v/>
      </c>
      <c r="EJ121" t="str">
        <f t="shared" si="73"/>
        <v/>
      </c>
      <c r="EL121">
        <f t="shared" si="74"/>
        <v>0</v>
      </c>
      <c r="EM121">
        <f>IF(EL121=0,0,1+COUNTIF(EM$3:EM120,"&gt;0"))</f>
        <v>0</v>
      </c>
      <c r="EN121" t="str">
        <f t="shared" si="100"/>
        <v/>
      </c>
      <c r="EO121" t="str">
        <f t="shared" si="75"/>
        <v/>
      </c>
      <c r="EQ121">
        <f t="shared" si="76"/>
        <v>0</v>
      </c>
      <c r="ER121">
        <f>IF(EQ121=0,0,1+COUNTIF(ER$3:ER120,"&gt;0"))</f>
        <v>0</v>
      </c>
      <c r="ES121" t="str">
        <f t="shared" si="101"/>
        <v/>
      </c>
      <c r="ET121" t="str">
        <f t="shared" si="77"/>
        <v/>
      </c>
      <c r="EV121">
        <f t="shared" si="78"/>
        <v>0</v>
      </c>
      <c r="EW121">
        <f>IF(EV121=0,0,1+COUNTIF(EW$3:EW120,"&gt;0"))</f>
        <v>0</v>
      </c>
      <c r="EX121" t="str">
        <f t="shared" si="102"/>
        <v/>
      </c>
      <c r="EY121" t="str">
        <f t="shared" si="79"/>
        <v/>
      </c>
      <c r="FA121">
        <f t="shared" si="80"/>
        <v>0</v>
      </c>
      <c r="FB121">
        <f>IF(FA121=0,0,1+COUNTIF(FB$3:FB120,"&gt;0"))</f>
        <v>0</v>
      </c>
      <c r="FC121" t="str">
        <f t="shared" si="103"/>
        <v/>
      </c>
      <c r="FD121" t="str">
        <f t="shared" si="81"/>
        <v/>
      </c>
      <c r="FF121">
        <f t="shared" si="82"/>
        <v>0</v>
      </c>
      <c r="FG121">
        <f>IF(FF121=0,0,1+COUNTIF(FG$3:FG120,"&gt;0"))</f>
        <v>0</v>
      </c>
      <c r="FH121" t="str">
        <f t="shared" si="104"/>
        <v/>
      </c>
      <c r="FI121" t="str">
        <f t="shared" si="83"/>
        <v/>
      </c>
      <c r="FK121">
        <f t="shared" si="84"/>
        <v>0</v>
      </c>
      <c r="FL121">
        <f>IF(FK121=0,0,1+COUNTIF(FL$3:FL120,"&gt;0"))</f>
        <v>0</v>
      </c>
      <c r="FM121" t="str">
        <f t="shared" si="105"/>
        <v/>
      </c>
      <c r="FN121" t="str">
        <f t="shared" si="85"/>
        <v/>
      </c>
      <c r="FP121">
        <f t="shared" si="86"/>
        <v>0</v>
      </c>
      <c r="FQ121">
        <f>IF(FP121=0,0,1+COUNTIF(FQ$3:FQ120,"&gt;0"))</f>
        <v>0</v>
      </c>
      <c r="FR121" t="str">
        <f t="shared" si="106"/>
        <v/>
      </c>
      <c r="FS121" t="str">
        <f t="shared" si="87"/>
        <v/>
      </c>
    </row>
    <row r="122" spans="1:175" x14ac:dyDescent="0.25">
      <c r="A122" s="347">
        <f t="shared" si="107"/>
        <v>120</v>
      </c>
      <c r="B122" s="348" t="s">
        <v>2489</v>
      </c>
      <c r="C122" s="348">
        <v>2</v>
      </c>
      <c r="D122" s="347">
        <v>2</v>
      </c>
      <c r="E122" s="627" t="s">
        <v>6952</v>
      </c>
      <c r="F122" s="346"/>
      <c r="G122" s="347" t="str">
        <f>""</f>
        <v/>
      </c>
      <c r="H122" s="347" t="s">
        <v>5912</v>
      </c>
      <c r="I122" s="347" t="s">
        <v>424</v>
      </c>
      <c r="J122" s="347" t="str">
        <f t="shared" si="57"/>
        <v/>
      </c>
      <c r="K122" s="347" t="s">
        <v>5288</v>
      </c>
      <c r="L122" s="611" t="str">
        <f t="shared" si="58"/>
        <v>V, S</v>
      </c>
      <c r="M122" s="347" t="s">
        <v>2373</v>
      </c>
      <c r="N122" s="347" t="s">
        <v>2387</v>
      </c>
      <c r="O122" s="347" t="s">
        <v>3034</v>
      </c>
      <c r="Q122" s="347" t="s">
        <v>5272</v>
      </c>
      <c r="S122" s="346" t="s">
        <v>2490</v>
      </c>
      <c r="T122" s="346" t="str">
        <f t="shared" si="59"/>
        <v xml:space="preserve">Bard, Warlock, </v>
      </c>
      <c r="U122" s="347" t="str">
        <f>$B122</f>
        <v>Enthrall</v>
      </c>
      <c r="Y122" s="347" t="str">
        <f>$B122</f>
        <v>Enthrall</v>
      </c>
      <c r="AE122" t="str">
        <f>IF(IFERROR(MATCH($B122,temp!A$4:A$13,0),0)&gt;0,T08_Spells!AE$2,"")</f>
        <v/>
      </c>
      <c r="AF122" t="str">
        <f>IF(IFERROR(MATCH($B122,temp!B$4:B$13,0),0)&gt;0,T08_Spells!AF$2,"")</f>
        <v/>
      </c>
      <c r="AG122" t="str">
        <f>IF(IFERROR(MATCH($B122,temp!C$4:C$13,0),0)&gt;0,T08_Spells!AG$2,"")</f>
        <v/>
      </c>
      <c r="AH122" t="str">
        <f>IF(IFERROR(MATCH($B122,temp!D$4:D$13,0),0)&gt;0,T08_Spells!AH$2,"")</f>
        <v/>
      </c>
      <c r="AI122" t="str">
        <f>IF(IFERROR(MATCH($B122,temp!E$4:E$13,0),0)&gt;0,T08_Spells!AI$2,"")</f>
        <v/>
      </c>
      <c r="AJ122" t="str">
        <f>IF(IFERROR(MATCH($B122,temp!F$4:F$13,0),0)&gt;0,T08_Spells!AJ$2,"")</f>
        <v/>
      </c>
      <c r="AK122" t="str">
        <f>IF(IFERROR(MATCH($B122,temp!G$4:G$13,0),0)&gt;0,T08_Spells!AK$2,"")</f>
        <v/>
      </c>
      <c r="AL122" t="str">
        <f>IF(IFERROR(MATCH($B122,temp!H$4:H$13,0),0)&gt;0,T08_Spells!AL$2,"")</f>
        <v/>
      </c>
      <c r="AM122" t="str">
        <f>IF(IFERROR(MATCH($B122,temp!I$4:I$13,0),0)&gt;0,T08_Spells!AM$2,"")</f>
        <v/>
      </c>
      <c r="AN122" t="str">
        <f>IF(IFERROR(MATCH($B122,temp!J$4:J$13,0),0)&gt;0,T08_Spells!AN$2,"")</f>
        <v/>
      </c>
      <c r="AO122" t="str">
        <f>IF(IFERROR(MATCH($B122,temp!K$4:K$13,0),0)&gt;0,T08_Spells!AO$2,"")</f>
        <v/>
      </c>
      <c r="AP122" t="str">
        <f>IF(IFERROR(MATCH($B122,temp!L$4:L$13,0),0)&gt;0,T08_Spells!AP$2,"")</f>
        <v/>
      </c>
      <c r="AQ122" t="str">
        <f>IF(IFERROR(MATCH($B122,temp!M$4:M$13,0),0)&gt;0,T08_Spells!AQ$2,"")</f>
        <v/>
      </c>
      <c r="AR122" t="str">
        <f>IF(IFERROR(MATCH($B122,temp!N$4:N$13,0),0)&gt;0,T08_Spells!AR$2,"")</f>
        <v/>
      </c>
      <c r="AS122" t="str">
        <f>IF(IFERROR(MATCH($B122,temp!O$4:O$13,0),0)&gt;0,T08_Spells!AS$2,"")</f>
        <v/>
      </c>
      <c r="AT122" t="str">
        <f>IF(IFERROR(MATCH($B122,temp!P$4:P$13,0),0)&gt;0,T08_Spells!AT$2,"")</f>
        <v/>
      </c>
      <c r="AU122" t="str">
        <f>IF(IFERROR(MATCH($B122,temp!Q$4:Q$13,0),0)&gt;0,T08_Spells!AU$2,"")</f>
        <v/>
      </c>
      <c r="AV122" t="str">
        <f>IF(IFERROR(MATCH($B122,temp!R$4:R$13,0),0)&gt;0,T08_Spells!AV$2,"")</f>
        <v/>
      </c>
      <c r="AW122" t="str">
        <f>IF(IFERROR(MATCH($B122,temp!S$4:S$13,0),0)&gt;0,T08_Spells!AW$2,"")</f>
        <v/>
      </c>
      <c r="AX122" t="str">
        <f>IF(IFERROR(MATCH($B122,temp!T$4:T$13,0),0)&gt;0,T08_Spells!AX$2,"")</f>
        <v/>
      </c>
      <c r="AY122" t="str">
        <f>IF(IFERROR(MATCH($B122,temp!U$4:U$13,0),0)&gt;0,T08_Spells!AY$2,"")</f>
        <v/>
      </c>
      <c r="AZ122" t="str">
        <f>IF(IFERROR(MATCH($B122,temp!V$4:V$13,0),0)&gt;0,T08_Spells!AZ$2,"")</f>
        <v/>
      </c>
      <c r="BA122" t="str">
        <f>IF(IFERROR(MATCH($B122,temp!W$4:W$13,0),0)&gt;0,T08_Spells!BA$2,"")</f>
        <v/>
      </c>
      <c r="BC122">
        <f>IF(IFERROR(SEARCH("Ranger",$T122,1),0)&gt;0,1,0)*IF(RangerMaxSpellLevel&gt;=$C122,1,0)*IF(IFERROR(MATCH(B122,Character_Creation!$X$79:$X$382,0),0)&gt;0,0,1)</f>
        <v>0</v>
      </c>
      <c r="BD122">
        <f>IF(BC122=0,0,1+COUNTIF(BD$3:BD121,"&gt;0"))</f>
        <v>0</v>
      </c>
      <c r="BE122" t="str">
        <f t="shared" si="88"/>
        <v/>
      </c>
      <c r="BF122" t="str">
        <f t="shared" si="60"/>
        <v/>
      </c>
      <c r="BH122">
        <f>IF(IFERROR(SEARCH("Sorcerer",$T122,1),0)&gt;0,1,0)*IF(SorcererMaxSpellLevel&gt;=$C122,1,0)*IF(IFERROR(MATCH(B122,Character_Creation!$J$380:$J$394,0),0)&gt;0,0,1)</f>
        <v>0</v>
      </c>
      <c r="BI122">
        <f>IF(BH122=0,0,1+COUNTIF(BI$3:BI121,"&gt;0"))</f>
        <v>0</v>
      </c>
      <c r="BJ122" t="str">
        <f t="shared" si="89"/>
        <v/>
      </c>
      <c r="BK122" t="str">
        <f t="shared" si="61"/>
        <v/>
      </c>
      <c r="BM122">
        <f>IF(OR(IFERROR(SEARCH("Warlock",$T122,1),0)&gt;0,IFERROR(SEARCH(WarlockPatron,$T122,1),0)&gt;0),1,0)*IF(WarlockMaxSpellLevel&gt;=$C122,1,0)*IF(IFERROR(MATCH(B122,Character_Creation!$J$361:$J$375,0),0)&gt;0,0,1)</f>
        <v>0</v>
      </c>
      <c r="BN122">
        <f>IF(BM122=0,0,1+COUNTIF(BN$3:BN121,"&gt;0"))</f>
        <v>0</v>
      </c>
      <c r="BO122" t="str">
        <f t="shared" si="90"/>
        <v/>
      </c>
      <c r="BP122" t="str">
        <f t="shared" si="62"/>
        <v/>
      </c>
      <c r="BR122">
        <f>IF(IFERROR(SEARCH("Eldritch Knight",$T122,1),0)&gt;0,1,0)*IF(EldritchKnightMaxSpellLevel&gt;=$C122,1,0)*IF(IFERROR(MATCH($B122,Character_Creation!$J$350:$J$356,0),0)&gt;0,0,1)*IF(Character_Creation!$M$338&gt;0,1,0)</f>
        <v>0</v>
      </c>
      <c r="BS122">
        <f>IF(BR122=0,0,1+COUNTIF(BS$3:BS121,"&gt;0"))</f>
        <v>0</v>
      </c>
      <c r="BT122" t="str">
        <f t="shared" si="91"/>
        <v/>
      </c>
      <c r="BU122" t="str">
        <f t="shared" si="63"/>
        <v/>
      </c>
      <c r="BW122">
        <f>IF(IFERROR(SEARCH("Arcane Trickster",$T122,1),0)&gt;0,1,0)*IF(ArcaneTricksterMaxSpellLevel&gt;=$C122,1,0)*IF(IFERROR(MATCH($B122,Character_Creation!$J$350:$J$356,0),0)&gt;0,0,1)*IF(Character_Creation!$T$338&gt;0,1,0)</f>
        <v>0</v>
      </c>
      <c r="BX122">
        <f>IF(BW122=0,0,1+COUNTIF(BX$3:BX121,"&gt;0"))</f>
        <v>0</v>
      </c>
      <c r="BY122" t="str">
        <f t="shared" si="92"/>
        <v/>
      </c>
      <c r="BZ122" t="str">
        <f t="shared" si="64"/>
        <v/>
      </c>
      <c r="CB122">
        <f>IF(IFERROR(SEARCH("Wizard",$T122,1),0)&gt;0,1,0)*IF(C122&lt;=ArcaneTricksterMaxSpellLevel,1,0)*IF(IFERROR(MATCH($B122,Character_Creation!$J$350:$J$356,0),0)&gt;0,0,1)*IF(Character_Creation!$T$350&gt;0,1,0)</f>
        <v>0</v>
      </c>
      <c r="CC122">
        <f>IF(CB122=0,0,1+COUNTIF(CC$3:CC121,"&gt;0"))</f>
        <v>0</v>
      </c>
      <c r="CD122" t="str">
        <f t="shared" si="93"/>
        <v/>
      </c>
      <c r="CE122" t="str">
        <f t="shared" si="65"/>
        <v/>
      </c>
      <c r="CG122">
        <f>IF(IFERROR(SEARCH("Wizard",$T122,1),0)&gt;0,1,0)*IF($C122&lt;=EldritchKnightMaxSpellLevel,1,0)*IF(IFERROR(MATCH($B122,Character_Creation!$J$350:$J$356,0),0)&gt;0,0,1)*IF(Character_Creation!$M$350&gt;0,1,0)</f>
        <v>0</v>
      </c>
      <c r="CH122">
        <f>IF(CG122=0,0,1+COUNTIF(CH$3:CH121,"&gt;0"))</f>
        <v>0</v>
      </c>
      <c r="CI122" t="str">
        <f t="shared" si="94"/>
        <v/>
      </c>
      <c r="CJ122" t="str">
        <f t="shared" si="66"/>
        <v/>
      </c>
      <c r="CL122">
        <f>IF(IFERROR(SEARCH("Bard",$T122,1),0)&gt;0,1,0)*IF(BardMaxSpellLevel&gt;=$C122,1,0)*IF(IFERROR(MATCH(B122,Character_Creation!$C$341:$F$362,0),0)&gt;0,0,1)*IF(IFERROR(MATCH($B122,Character_Creation!$C$341:$C$362,0),0)&gt;0,0,1)</f>
        <v>0</v>
      </c>
      <c r="CM122">
        <f>IF(CL122=0,0,1+COUNTIF(CM$3:CM121,"&gt;0"))</f>
        <v>0</v>
      </c>
      <c r="CN122" t="str">
        <f t="shared" si="95"/>
        <v/>
      </c>
      <c r="CO122" t="str">
        <f t="shared" si="67"/>
        <v/>
      </c>
      <c r="CQ122">
        <f>IF(IFERROR(SEARCH("Wizard",$T122,1),0)&gt;0,1,0)*IF(WizardMaxSpellLevel&gt;=$C122,1,0)*IF(IFERROR(MATCH(B122,Character_Creation!$X$341:$X$400,0),0)&gt;0,0,1)*IF(SelectedWizardSpellLevel=$C122,1,0)</f>
        <v>0</v>
      </c>
      <c r="CR122">
        <f>IF(CQ122=0,0,1+COUNTIF(CR$3:CR121,"&gt;0"))</f>
        <v>0</v>
      </c>
      <c r="CS122" t="str">
        <f t="shared" si="96"/>
        <v/>
      </c>
      <c r="CT122" t="str">
        <f t="shared" si="68"/>
        <v/>
      </c>
      <c r="CV122">
        <f>IF(IFERROR(MATCH($B122,Character_Creation!$C$341:$C$362,0),0)&gt;0,0,1)*IF(OR(C122="Cantrip",C122&lt;=BardMaxSpellLevel),1,0)*IF(IFERROR(MATCH($B122,Character_Creation!$C$367:$C$374,0),0)&gt;0,0,1)</f>
        <v>0</v>
      </c>
      <c r="CW122">
        <f>IF(CV122=0,0,1+COUNTIF(CW$3:CW121,"&gt;0"))</f>
        <v>0</v>
      </c>
      <c r="CX122" t="str">
        <f t="shared" si="97"/>
        <v/>
      </c>
      <c r="CY122" t="str">
        <f t="shared" si="69"/>
        <v/>
      </c>
      <c r="DA122">
        <f>IF(IF(OR(IFERROR(SEARCH("Cleric",$T122,1),0)&gt;0,IFERROR(SEARCH(DivineDomain&amp;",",$T122,1),0)&gt;0),1,0)*IF($C122=DA$2,1,0)=1,1+COUNTIF(DA$3:DA121,"&gt;0"),0)</f>
        <v>0</v>
      </c>
      <c r="DB122">
        <f>IF(IF(OR(IFERROR(SEARCH("Cleric",$T122,1),0)&gt;0,IFERROR(SEARCH(DivineDomain&amp;",",$T122,1),0)&gt;0),1,0)*IF($C122=DB$2,1,0)=1,1+COUNTIF(DB$3:DB121,"&gt;0"),0)</f>
        <v>0</v>
      </c>
      <c r="DC122">
        <f>IF(IF(OR(IFERROR(SEARCH("Cleric",$T122,1),0)&gt;0,IFERROR(SEARCH(DivineDomain&amp;",",$T122,1),0)&gt;0),1,0)*IF($C122=DC$2,1,0)=1,1+COUNTIF(DC$3:DC121,"&gt;0"),0)</f>
        <v>0</v>
      </c>
      <c r="DD122">
        <f>IF(IF(OR(IFERROR(SEARCH("Cleric",$T122,1),0)&gt;0,IFERROR(SEARCH(DivineDomain&amp;",",$T122,1),0)&gt;0),1,0)*IF($C122=DD$2,1,0)=1,1+COUNTIF(DD$3:DD121,"&gt;0"),0)</f>
        <v>0</v>
      </c>
      <c r="DE122">
        <f>IF(IF(OR(IFERROR(SEARCH("Cleric",$T122,1),0)&gt;0,IFERROR(SEARCH(DivineDomain&amp;",",$T122,1),0)&gt;0),1,0)*IF($C122=DE$2,1,0)=1,1+COUNTIF(DE$3:DE121,"&gt;0"),0)</f>
        <v>0</v>
      </c>
      <c r="DF122">
        <f>IF(IF(OR(IFERROR(SEARCH("Cleric",$T122,1),0)&gt;0,IFERROR(SEARCH(DivineDomain&amp;",",$T122,1),0)&gt;0),1,0)*IF($C122=DF$2,1,0)=1,1+COUNTIF(DF$3:DF121,"&gt;0"),0)</f>
        <v>0</v>
      </c>
      <c r="DG122">
        <f>IF(IF(OR(IFERROR(SEARCH("Cleric",$T122,1),0)&gt;0,IFERROR(SEARCH(DivineDomain&amp;",",$T122,1),0)&gt;0),1,0)*IF($C122=DG$2,1,0)=1,1+COUNTIF(DG$3:DG121,"&gt;0"),0)</f>
        <v>0</v>
      </c>
      <c r="DH122">
        <f>IF(IF(OR(IFERROR(SEARCH("Cleric",$T122,1),0)&gt;0,IFERROR(SEARCH(DivineDomain&amp;",",$T122,1),0)&gt;0),1,0)*IF($C122=DH$2,1,0)=1,1+COUNTIF(DH$3:DH121,"&gt;0"),0)</f>
        <v>0</v>
      </c>
      <c r="DI122">
        <f>IF(IF(OR(IFERROR(SEARCH("Cleric",$T122,1),0)&gt;0,IFERROR(SEARCH(DivineDomain&amp;",",$T122,1),0)&gt;0),1,0)*IF($C122=DI$2,1,0)=1,1+COUNTIF(DI$3:DI121,"&gt;0"),0)</f>
        <v>0</v>
      </c>
      <c r="DJ122">
        <f>IF(IF(OR(IFERROR(SEARCH("Druid",$T122,1),0)&gt;0,IFERROR(SEARCH(DruidLand1,$T122,1),0)&gt;0,IFERROR(SEARCH(DruidLand2,$T122,1),0)&gt;0,IFERROR(SEARCH(DruidLand3,$T122,1),0)&gt;0,IFERROR(SEARCH(DruidLand4,$T122,1),0)&gt;0),1,0)*IF($C122=1,1,0)*IF($C122=DJ$2,1,0)=0,0,1+COUNTIF(DJ$3:DJ121,"&gt;0"))</f>
        <v>0</v>
      </c>
      <c r="DK122">
        <f>IF(IF(OR(IFERROR(SEARCH("Druid",$T122,1),0)&gt;0,IFERROR(SEARCH(DruidLand1,$T122,1),0)&gt;0,IFERROR(SEARCH(DruidLand2,$T122,1),0)&gt;0,IFERROR(SEARCH(DruidLand3,$T122,1),0)&gt;0,IFERROR(SEARCH(DruidLand4,$T122,1),0)&gt;0),1,0)*IF($C122=1,1,0)*IF($C122=DK$2,1,0)=0,0,1+COUNTIF(DK$3:DK121,"&gt;0"))</f>
        <v>0</v>
      </c>
      <c r="DL122">
        <f>IF(IF(OR(IFERROR(SEARCH("Druid",$T122,1),0)&gt;0,IFERROR(SEARCH(DruidLand1,$T122,1),0)&gt;0,IFERROR(SEARCH(DruidLand2,$T122,1),0)&gt;0,IFERROR(SEARCH(DruidLand3,$T122,1),0)&gt;0,IFERROR(SEARCH(DruidLand4,$T122,1),0)&gt;0),1,0)*IF($C122=1,1,0)*IF($C122=DL$2,1,0)=0,0,1+COUNTIF(DL$3:DL121,"&gt;0"))</f>
        <v>0</v>
      </c>
      <c r="DM122">
        <f>IF(IF(OR(IFERROR(SEARCH("Druid",$T122,1),0)&gt;0,IFERROR(SEARCH(DruidLand1,$T122,1),0)&gt;0,IFERROR(SEARCH(DruidLand2,$T122,1),0)&gt;0,IFERROR(SEARCH(DruidLand3,$T122,1),0)&gt;0,IFERROR(SEARCH(DruidLand4,$T122,1),0)&gt;0),1,0)*IF($C122=1,1,0)*IF($C122=DM$2,1,0)=0,0,1+COUNTIF(DM$3:DM121,"&gt;0"))</f>
        <v>0</v>
      </c>
      <c r="DN122">
        <f>IF(IF(OR(IFERROR(SEARCH("Druid",$T122,1),0)&gt;0,IFERROR(SEARCH(DruidLand1,$T122,1),0)&gt;0,IFERROR(SEARCH(DruidLand2,$T122,1),0)&gt;0,IFERROR(SEARCH(DruidLand3,$T122,1),0)&gt;0,IFERROR(SEARCH(DruidLand4,$T122,1),0)&gt;0),1,0)*IF($C122=1,1,0)*IF($C122=DN$2,1,0)=0,0,1+COUNTIF(DN$3:DN121,"&gt;0"))</f>
        <v>0</v>
      </c>
      <c r="DO122">
        <f>IF(IF(OR(IFERROR(SEARCH("Druid",$T122,1),0)&gt;0,IFERROR(SEARCH(DruidLand1,$T122,1),0)&gt;0,IFERROR(SEARCH(DruidLand2,$T122,1),0)&gt;0,IFERROR(SEARCH(DruidLand3,$T122,1),0)&gt;0,IFERROR(SEARCH(DruidLand4,$T122,1),0)&gt;0),1,0)*IF($C122=1,1,0)*IF($C122=DO$2,1,0)=0,0,1+COUNTIF(DO$3:DO121,"&gt;0"))</f>
        <v>0</v>
      </c>
      <c r="DP122">
        <f>IF(IF(OR(IFERROR(SEARCH("Druid",$T122,1),0)&gt;0,IFERROR(SEARCH(DruidLand1,$T122,1),0)&gt;0,IFERROR(SEARCH(DruidLand2,$T122,1),0)&gt;0,IFERROR(SEARCH(DruidLand3,$T122,1),0)&gt;0,IFERROR(SEARCH(DruidLand4,$T122,1),0)&gt;0),1,0)*IF($C122=1,1,0)*IF($C122=DP$2,1,0)=0,0,1+COUNTIF(DP$3:DP121,"&gt;0"))</f>
        <v>0</v>
      </c>
      <c r="DQ122">
        <f>IF(IF(OR(IFERROR(SEARCH("Druid",$T122,1),0)&gt;0,IFERROR(SEARCH(DruidLand1,$T122,1),0)&gt;0,IFERROR(SEARCH(DruidLand2,$T122,1),0)&gt;0,IFERROR(SEARCH(DruidLand3,$T122,1),0)&gt;0,IFERROR(SEARCH(DruidLand4,$T122,1),0)&gt;0),1,0)*IF($C122=1,1,0)*IF($C122=DQ$2,1,0)=0,0,1+COUNTIF(DQ$3:DQ121,"&gt;0"))</f>
        <v>0</v>
      </c>
      <c r="DR122">
        <f>IF(IF(OR(IFERROR(SEARCH("Druid",$T122,1),0)&gt;0,IFERROR(SEARCH(DruidLand1,$T122,1),0)&gt;0,IFERROR(SEARCH(DruidLand2,$T122,1),0)&gt;0,IFERROR(SEARCH(DruidLand3,$T122,1),0)&gt;0,IFERROR(SEARCH(DruidLand4,$T122,1),0)&gt;0),1,0)*IF($C122=1,1,0)*IF($C122=DR$2,1,0)=0,0,1+COUNTIF(DR$3:DR121,"&gt;0"))</f>
        <v>0</v>
      </c>
      <c r="DS122">
        <f>IF(IF(OR(IFERROR(SEARCH("Paladin",$T122,1),0)&gt;0,IFERROR(SEARCH(PaladinOath,$T122,1),0)&gt;0),1,0)*IF($C122=DS$2,1,0)=1,1+COUNTIF(DS$3:DS121,"&gt;0"),0)</f>
        <v>0</v>
      </c>
      <c r="DT122">
        <f>IF(IF(OR(IFERROR(SEARCH("Paladin",$T122,1),0)&gt;0,IFERROR(SEARCH(PaladinOath,$T122,1),0)&gt;0),1,0)*IF($C122=DT$2,1,0)=1,1+COUNTIF(DT$3:DT121,"&gt;0"),0)</f>
        <v>0</v>
      </c>
      <c r="DU122">
        <f>IF(IF(OR(IFERROR(SEARCH("Paladin",$T122,1),0)&gt;0,IFERROR(SEARCH(PaladinOath,$T122,1),0)&gt;0),1,0)*IF($C122=DU$2,1,0)=1,1+COUNTIF(DU$3:DU121,"&gt;0"),0)</f>
        <v>0</v>
      </c>
      <c r="DV122">
        <f>IF(IF(OR(IFERROR(SEARCH("Paladin",$T122,1),0)&gt;0,IFERROR(SEARCH(PaladinOath,$T122,1),0)&gt;0),1,0)*IF($C122=DV$2,1,0)=1,1+COUNTIF(DV$3:DV121,"&gt;0"),0)</f>
        <v>0</v>
      </c>
      <c r="DW122">
        <f>IF(IF(OR(IFERROR(SEARCH("Paladin",$T122,1),0)&gt;0,IFERROR(SEARCH(PaladinOath,$T122,1),0)&gt;0),1,0)*IF($C122=DW$2,1,0)=1,1+COUNTIF(DW$3:DW121,"&gt;0"),0)</f>
        <v>0</v>
      </c>
      <c r="DY122">
        <f t="shared" si="56"/>
        <v>1</v>
      </c>
      <c r="DZ122">
        <f>IF(DY122=0,0,1+MAX(DZ$3:$DZ121))</f>
        <v>120</v>
      </c>
      <c r="EB122">
        <f t="shared" si="70"/>
        <v>0</v>
      </c>
      <c r="EC122">
        <f>IF(EB122=0,0,1+COUNTIF(EC$3:EC121,"&gt;0"))</f>
        <v>0</v>
      </c>
      <c r="ED122" t="str">
        <f t="shared" si="98"/>
        <v/>
      </c>
      <c r="EE122" t="str">
        <f t="shared" si="71"/>
        <v/>
      </c>
      <c r="EG122">
        <f t="shared" si="72"/>
        <v>0</v>
      </c>
      <c r="EH122">
        <f>IF(EG122=0,0,1+COUNTIF(EH$3:EH121,"&gt;0"))</f>
        <v>0</v>
      </c>
      <c r="EI122" t="str">
        <f t="shared" si="99"/>
        <v/>
      </c>
      <c r="EJ122" t="str">
        <f t="shared" si="73"/>
        <v/>
      </c>
      <c r="EL122">
        <f t="shared" si="74"/>
        <v>0</v>
      </c>
      <c r="EM122">
        <f>IF(EL122=0,0,1+COUNTIF(EM$3:EM121,"&gt;0"))</f>
        <v>0</v>
      </c>
      <c r="EN122" t="str">
        <f t="shared" si="100"/>
        <v/>
      </c>
      <c r="EO122" t="str">
        <f t="shared" si="75"/>
        <v/>
      </c>
      <c r="EQ122">
        <f t="shared" si="76"/>
        <v>0</v>
      </c>
      <c r="ER122">
        <f>IF(EQ122=0,0,1+COUNTIF(ER$3:ER121,"&gt;0"))</f>
        <v>0</v>
      </c>
      <c r="ES122" t="str">
        <f t="shared" si="101"/>
        <v/>
      </c>
      <c r="ET122" t="str">
        <f t="shared" si="77"/>
        <v/>
      </c>
      <c r="EV122">
        <f t="shared" si="78"/>
        <v>0</v>
      </c>
      <c r="EW122">
        <f>IF(EV122=0,0,1+COUNTIF(EW$3:EW121,"&gt;0"))</f>
        <v>0</v>
      </c>
      <c r="EX122" t="str">
        <f t="shared" si="102"/>
        <v/>
      </c>
      <c r="EY122" t="str">
        <f t="shared" si="79"/>
        <v/>
      </c>
      <c r="FA122">
        <f t="shared" si="80"/>
        <v>0</v>
      </c>
      <c r="FB122">
        <f>IF(FA122=0,0,1+COUNTIF(FB$3:FB121,"&gt;0"))</f>
        <v>0</v>
      </c>
      <c r="FC122" t="str">
        <f t="shared" si="103"/>
        <v/>
      </c>
      <c r="FD122" t="str">
        <f t="shared" si="81"/>
        <v/>
      </c>
      <c r="FF122">
        <f t="shared" si="82"/>
        <v>0</v>
      </c>
      <c r="FG122">
        <f>IF(FF122=0,0,1+COUNTIF(FG$3:FG121,"&gt;0"))</f>
        <v>0</v>
      </c>
      <c r="FH122" t="str">
        <f t="shared" si="104"/>
        <v/>
      </c>
      <c r="FI122" t="str">
        <f t="shared" si="83"/>
        <v/>
      </c>
      <c r="FK122">
        <f t="shared" si="84"/>
        <v>0</v>
      </c>
      <c r="FL122">
        <f>IF(FK122=0,0,1+COUNTIF(FL$3:FL121,"&gt;0"))</f>
        <v>0</v>
      </c>
      <c r="FM122" t="str">
        <f t="shared" si="105"/>
        <v/>
      </c>
      <c r="FN122" t="str">
        <f t="shared" si="85"/>
        <v/>
      </c>
      <c r="FP122">
        <f t="shared" si="86"/>
        <v>0</v>
      </c>
      <c r="FQ122">
        <f>IF(FP122=0,0,1+COUNTIF(FQ$3:FQ121,"&gt;0"))</f>
        <v>0</v>
      </c>
      <c r="FR122" t="str">
        <f t="shared" si="106"/>
        <v/>
      </c>
      <c r="FS122" t="str">
        <f t="shared" si="87"/>
        <v/>
      </c>
    </row>
    <row r="123" spans="1:175" x14ac:dyDescent="0.25">
      <c r="A123" s="347">
        <f t="shared" si="107"/>
        <v>121</v>
      </c>
      <c r="B123" s="348" t="s">
        <v>2491</v>
      </c>
      <c r="C123" s="348">
        <v>7</v>
      </c>
      <c r="D123" s="347">
        <v>7</v>
      </c>
      <c r="E123" s="627" t="s">
        <v>6952</v>
      </c>
      <c r="F123" s="346"/>
      <c r="G123" s="347" t="str">
        <f>""</f>
        <v/>
      </c>
      <c r="H123" s="347" t="s">
        <v>5912</v>
      </c>
      <c r="I123" s="347" t="s">
        <v>5283</v>
      </c>
      <c r="J123" s="347" t="str">
        <f t="shared" si="57"/>
        <v/>
      </c>
      <c r="K123" s="347" t="s">
        <v>5279</v>
      </c>
      <c r="L123" s="611" t="str">
        <f t="shared" si="58"/>
        <v>V, S</v>
      </c>
      <c r="M123" s="347" t="s">
        <v>2373</v>
      </c>
      <c r="N123" s="347" t="s">
        <v>2387</v>
      </c>
      <c r="O123" s="347" t="s">
        <v>3034</v>
      </c>
      <c r="P123" s="346" t="str">
        <f>""</f>
        <v/>
      </c>
      <c r="Q123" s="347" t="s">
        <v>5276</v>
      </c>
      <c r="S123" s="346" t="s">
        <v>5680</v>
      </c>
      <c r="T123" s="346" t="str">
        <f t="shared" si="59"/>
        <v xml:space="preserve">Bard, Sorcerer, Warlock, Cleric, Wizard, </v>
      </c>
      <c r="U123" s="347" t="str">
        <f>$B123</f>
        <v>Etherealness</v>
      </c>
      <c r="X123" s="347" t="str">
        <f>$B123</f>
        <v>Etherealness</v>
      </c>
      <c r="Y123" s="347" t="str">
        <f>$B123</f>
        <v>Etherealness</v>
      </c>
      <c r="Z123" s="347" t="str">
        <f>$B123</f>
        <v>Etherealness</v>
      </c>
      <c r="AD123" s="347" t="str">
        <f>$B123</f>
        <v>Etherealness</v>
      </c>
      <c r="AE123" t="str">
        <f>IF(IFERROR(MATCH($B123,temp!A$4:A$13,0),0)&gt;0,T08_Spells!AE$2,"")</f>
        <v/>
      </c>
      <c r="AF123" t="str">
        <f>IF(IFERROR(MATCH($B123,temp!B$4:B$13,0),0)&gt;0,T08_Spells!AF$2,"")</f>
        <v/>
      </c>
      <c r="AG123" t="str">
        <f>IF(IFERROR(MATCH($B123,temp!C$4:C$13,0),0)&gt;0,T08_Spells!AG$2,"")</f>
        <v/>
      </c>
      <c r="AH123" t="str">
        <f>IF(IFERROR(MATCH($B123,temp!D$4:D$13,0),0)&gt;0,T08_Spells!AH$2,"")</f>
        <v/>
      </c>
      <c r="AI123" t="str">
        <f>IF(IFERROR(MATCH($B123,temp!E$4:E$13,0),0)&gt;0,T08_Spells!AI$2,"")</f>
        <v/>
      </c>
      <c r="AJ123" t="str">
        <f>IF(IFERROR(MATCH($B123,temp!F$4:F$13,0),0)&gt;0,T08_Spells!AJ$2,"")</f>
        <v/>
      </c>
      <c r="AK123" t="str">
        <f>IF(IFERROR(MATCH($B123,temp!G$4:G$13,0),0)&gt;0,T08_Spells!AK$2,"")</f>
        <v/>
      </c>
      <c r="AL123" t="str">
        <f>IF(IFERROR(MATCH($B123,temp!H$4:H$13,0),0)&gt;0,T08_Spells!AL$2,"")</f>
        <v/>
      </c>
      <c r="AM123" t="str">
        <f>IF(IFERROR(MATCH($B123,temp!I$4:I$13,0),0)&gt;0,T08_Spells!AM$2,"")</f>
        <v/>
      </c>
      <c r="AN123" t="str">
        <f>IF(IFERROR(MATCH($B123,temp!J$4:J$13,0),0)&gt;0,T08_Spells!AN$2,"")</f>
        <v/>
      </c>
      <c r="AO123" t="str">
        <f>IF(IFERROR(MATCH($B123,temp!K$4:K$13,0),0)&gt;0,T08_Spells!AO$2,"")</f>
        <v/>
      </c>
      <c r="AP123" t="str">
        <f>IF(IFERROR(MATCH($B123,temp!L$4:L$13,0),0)&gt;0,T08_Spells!AP$2,"")</f>
        <v/>
      </c>
      <c r="AQ123" t="str">
        <f>IF(IFERROR(MATCH($B123,temp!M$4:M$13,0),0)&gt;0,T08_Spells!AQ$2,"")</f>
        <v/>
      </c>
      <c r="AR123" t="str">
        <f>IF(IFERROR(MATCH($B123,temp!N$4:N$13,0),0)&gt;0,T08_Spells!AR$2,"")</f>
        <v/>
      </c>
      <c r="AS123" t="str">
        <f>IF(IFERROR(MATCH($B123,temp!O$4:O$13,0),0)&gt;0,T08_Spells!AS$2,"")</f>
        <v/>
      </c>
      <c r="AT123" t="str">
        <f>IF(IFERROR(MATCH($B123,temp!P$4:P$13,0),0)&gt;0,T08_Spells!AT$2,"")</f>
        <v/>
      </c>
      <c r="AU123" t="str">
        <f>IF(IFERROR(MATCH($B123,temp!Q$4:Q$13,0),0)&gt;0,T08_Spells!AU$2,"")</f>
        <v/>
      </c>
      <c r="AV123" t="str">
        <f>IF(IFERROR(MATCH($B123,temp!R$4:R$13,0),0)&gt;0,T08_Spells!AV$2,"")</f>
        <v/>
      </c>
      <c r="AW123" t="str">
        <f>IF(IFERROR(MATCH($B123,temp!S$4:S$13,0),0)&gt;0,T08_Spells!AW$2,"")</f>
        <v/>
      </c>
      <c r="AX123" t="str">
        <f>IF(IFERROR(MATCH($B123,temp!T$4:T$13,0),0)&gt;0,T08_Spells!AX$2,"")</f>
        <v/>
      </c>
      <c r="AY123" t="str">
        <f>IF(IFERROR(MATCH($B123,temp!U$4:U$13,0),0)&gt;0,T08_Spells!AY$2,"")</f>
        <v/>
      </c>
      <c r="AZ123" t="str">
        <f>IF(IFERROR(MATCH($B123,temp!V$4:V$13,0),0)&gt;0,T08_Spells!AZ$2,"")</f>
        <v/>
      </c>
      <c r="BA123" t="str">
        <f>IF(IFERROR(MATCH($B123,temp!W$4:W$13,0),0)&gt;0,T08_Spells!BA$2,"")</f>
        <v/>
      </c>
      <c r="BC123">
        <f>IF(IFERROR(SEARCH("Ranger",$T123,1),0)&gt;0,1,0)*IF(RangerMaxSpellLevel&gt;=$C123,1,0)*IF(IFERROR(MATCH(B123,Character_Creation!$X$79:$X$382,0),0)&gt;0,0,1)</f>
        <v>0</v>
      </c>
      <c r="BD123">
        <f>IF(BC123=0,0,1+COUNTIF(BD$3:BD122,"&gt;0"))</f>
        <v>0</v>
      </c>
      <c r="BE123" t="str">
        <f t="shared" si="88"/>
        <v/>
      </c>
      <c r="BF123" t="str">
        <f t="shared" si="60"/>
        <v/>
      </c>
      <c r="BH123">
        <f>IF(IFERROR(SEARCH("Sorcerer",$T123,1),0)&gt;0,1,0)*IF(SorcererMaxSpellLevel&gt;=$C123,1,0)*IF(IFERROR(MATCH(B123,Character_Creation!$J$380:$J$394,0),0)&gt;0,0,1)</f>
        <v>0</v>
      </c>
      <c r="BI123">
        <f>IF(BH123=0,0,1+COUNTIF(BI$3:BI122,"&gt;0"))</f>
        <v>0</v>
      </c>
      <c r="BJ123" t="str">
        <f t="shared" si="89"/>
        <v/>
      </c>
      <c r="BK123" t="str">
        <f t="shared" si="61"/>
        <v/>
      </c>
      <c r="BM123">
        <f>IF(OR(IFERROR(SEARCH("Warlock",$T123,1),0)&gt;0,IFERROR(SEARCH(WarlockPatron,$T123,1),0)&gt;0),1,0)*IF(WarlockMaxSpellLevel&gt;=$C123,1,0)*IF(IFERROR(MATCH(B123,Character_Creation!$J$361:$J$375,0),0)&gt;0,0,1)</f>
        <v>0</v>
      </c>
      <c r="BN123">
        <f>IF(BM123=0,0,1+COUNTIF(BN$3:BN122,"&gt;0"))</f>
        <v>0</v>
      </c>
      <c r="BO123" t="str">
        <f t="shared" si="90"/>
        <v/>
      </c>
      <c r="BP123" t="str">
        <f t="shared" si="62"/>
        <v/>
      </c>
      <c r="BR123">
        <f>IF(IFERROR(SEARCH("Eldritch Knight",$T123,1),0)&gt;0,1,0)*IF(EldritchKnightMaxSpellLevel&gt;=$C123,1,0)*IF(IFERROR(MATCH($B123,Character_Creation!$J$350:$J$356,0),0)&gt;0,0,1)*IF(Character_Creation!$M$338&gt;0,1,0)</f>
        <v>0</v>
      </c>
      <c r="BS123">
        <f>IF(BR123=0,0,1+COUNTIF(BS$3:BS122,"&gt;0"))</f>
        <v>0</v>
      </c>
      <c r="BT123" t="str">
        <f t="shared" si="91"/>
        <v/>
      </c>
      <c r="BU123" t="str">
        <f t="shared" si="63"/>
        <v/>
      </c>
      <c r="BW123">
        <f>IF(IFERROR(SEARCH("Arcane Trickster",$T123,1),0)&gt;0,1,0)*IF(ArcaneTricksterMaxSpellLevel&gt;=$C123,1,0)*IF(IFERROR(MATCH($B123,Character_Creation!$J$350:$J$356,0),0)&gt;0,0,1)*IF(Character_Creation!$T$338&gt;0,1,0)</f>
        <v>0</v>
      </c>
      <c r="BX123">
        <f>IF(BW123=0,0,1+COUNTIF(BX$3:BX122,"&gt;0"))</f>
        <v>0</v>
      </c>
      <c r="BY123" t="str">
        <f t="shared" si="92"/>
        <v/>
      </c>
      <c r="BZ123" t="str">
        <f t="shared" si="64"/>
        <v/>
      </c>
      <c r="CB123">
        <f>IF(IFERROR(SEARCH("Wizard",$T123,1),0)&gt;0,1,0)*IF(C123&lt;=ArcaneTricksterMaxSpellLevel,1,0)*IF(IFERROR(MATCH($B123,Character_Creation!$J$350:$J$356,0),0)&gt;0,0,1)*IF(Character_Creation!$T$350&gt;0,1,0)</f>
        <v>0</v>
      </c>
      <c r="CC123">
        <f>IF(CB123=0,0,1+COUNTIF(CC$3:CC122,"&gt;0"))</f>
        <v>0</v>
      </c>
      <c r="CD123" t="str">
        <f t="shared" si="93"/>
        <v/>
      </c>
      <c r="CE123" t="str">
        <f t="shared" si="65"/>
        <v/>
      </c>
      <c r="CG123">
        <f>IF(IFERROR(SEARCH("Wizard",$T123,1),0)&gt;0,1,0)*IF($C123&lt;=EldritchKnightMaxSpellLevel,1,0)*IF(IFERROR(MATCH($B123,Character_Creation!$J$350:$J$356,0),0)&gt;0,0,1)*IF(Character_Creation!$M$350&gt;0,1,0)</f>
        <v>0</v>
      </c>
      <c r="CH123">
        <f>IF(CG123=0,0,1+COUNTIF(CH$3:CH122,"&gt;0"))</f>
        <v>0</v>
      </c>
      <c r="CI123" t="str">
        <f t="shared" si="94"/>
        <v/>
      </c>
      <c r="CJ123" t="str">
        <f t="shared" si="66"/>
        <v/>
      </c>
      <c r="CL123">
        <f>IF(IFERROR(SEARCH("Bard",$T123,1),0)&gt;0,1,0)*IF(BardMaxSpellLevel&gt;=$C123,1,0)*IF(IFERROR(MATCH(B123,Character_Creation!$C$341:$F$362,0),0)&gt;0,0,1)*IF(IFERROR(MATCH($B123,Character_Creation!$C$341:$C$362,0),0)&gt;0,0,1)</f>
        <v>0</v>
      </c>
      <c r="CM123">
        <f>IF(CL123=0,0,1+COUNTIF(CM$3:CM122,"&gt;0"))</f>
        <v>0</v>
      </c>
      <c r="CN123" t="str">
        <f t="shared" si="95"/>
        <v/>
      </c>
      <c r="CO123" t="str">
        <f t="shared" si="67"/>
        <v/>
      </c>
      <c r="CQ123">
        <f>IF(IFERROR(SEARCH("Wizard",$T123,1),0)&gt;0,1,0)*IF(WizardMaxSpellLevel&gt;=$C123,1,0)*IF(IFERROR(MATCH(B123,Character_Creation!$X$341:$X$400,0),0)&gt;0,0,1)*IF(SelectedWizardSpellLevel=$C123,1,0)</f>
        <v>0</v>
      </c>
      <c r="CR123">
        <f>IF(CQ123=0,0,1+COUNTIF(CR$3:CR122,"&gt;0"))</f>
        <v>0</v>
      </c>
      <c r="CS123" t="str">
        <f t="shared" si="96"/>
        <v/>
      </c>
      <c r="CT123" t="str">
        <f t="shared" si="68"/>
        <v/>
      </c>
      <c r="CV123">
        <f>IF(IFERROR(MATCH($B123,Character_Creation!$C$341:$C$362,0),0)&gt;0,0,1)*IF(OR(C123="Cantrip",C123&lt;=BardMaxSpellLevel),1,0)*IF(IFERROR(MATCH($B123,Character_Creation!$C$367:$C$374,0),0)&gt;0,0,1)</f>
        <v>0</v>
      </c>
      <c r="CW123">
        <f>IF(CV123=0,0,1+COUNTIF(CW$3:CW122,"&gt;0"))</f>
        <v>0</v>
      </c>
      <c r="CX123" t="str">
        <f t="shared" si="97"/>
        <v/>
      </c>
      <c r="CY123" t="str">
        <f t="shared" si="69"/>
        <v/>
      </c>
      <c r="DA123">
        <f>IF(IF(OR(IFERROR(SEARCH("Cleric",$T123,1),0)&gt;0,IFERROR(SEARCH(DivineDomain&amp;",",$T123,1),0)&gt;0),1,0)*IF($C123=DA$2,1,0)=1,1+COUNTIF(DA$3:DA122,"&gt;0"),0)</f>
        <v>0</v>
      </c>
      <c r="DB123">
        <f>IF(IF(OR(IFERROR(SEARCH("Cleric",$T123,1),0)&gt;0,IFERROR(SEARCH(DivineDomain&amp;",",$T123,1),0)&gt;0),1,0)*IF($C123=DB$2,1,0)=1,1+COUNTIF(DB$3:DB122,"&gt;0"),0)</f>
        <v>0</v>
      </c>
      <c r="DC123">
        <f>IF(IF(OR(IFERROR(SEARCH("Cleric",$T123,1),0)&gt;0,IFERROR(SEARCH(DivineDomain&amp;",",$T123,1),0)&gt;0),1,0)*IF($C123=DC$2,1,0)=1,1+COUNTIF(DC$3:DC122,"&gt;0"),0)</f>
        <v>0</v>
      </c>
      <c r="DD123">
        <f>IF(IF(OR(IFERROR(SEARCH("Cleric",$T123,1),0)&gt;0,IFERROR(SEARCH(DivineDomain&amp;",",$T123,1),0)&gt;0),1,0)*IF($C123=DD$2,1,0)=1,1+COUNTIF(DD$3:DD122,"&gt;0"),0)</f>
        <v>0</v>
      </c>
      <c r="DE123">
        <f>IF(IF(OR(IFERROR(SEARCH("Cleric",$T123,1),0)&gt;0,IFERROR(SEARCH(DivineDomain&amp;",",$T123,1),0)&gt;0),1,0)*IF($C123=DE$2,1,0)=1,1+COUNTIF(DE$3:DE122,"&gt;0"),0)</f>
        <v>0</v>
      </c>
      <c r="DF123">
        <f>IF(IF(OR(IFERROR(SEARCH("Cleric",$T123,1),0)&gt;0,IFERROR(SEARCH(DivineDomain&amp;",",$T123,1),0)&gt;0),1,0)*IF($C123=DF$2,1,0)=1,1+COUNTIF(DF$3:DF122,"&gt;0"),0)</f>
        <v>0</v>
      </c>
      <c r="DG123">
        <f>IF(IF(OR(IFERROR(SEARCH("Cleric",$T123,1),0)&gt;0,IFERROR(SEARCH(DivineDomain&amp;",",$T123,1),0)&gt;0),1,0)*IF($C123=DG$2,1,0)=1,1+COUNTIF(DG$3:DG122,"&gt;0"),0)</f>
        <v>3</v>
      </c>
      <c r="DH123">
        <f>IF(IF(OR(IFERROR(SEARCH("Cleric",$T123,1),0)&gt;0,IFERROR(SEARCH(DivineDomain&amp;",",$T123,1),0)&gt;0),1,0)*IF($C123=DH$2,1,0)=1,1+COUNTIF(DH$3:DH122,"&gt;0"),0)</f>
        <v>0</v>
      </c>
      <c r="DI123">
        <f>IF(IF(OR(IFERROR(SEARCH("Cleric",$T123,1),0)&gt;0,IFERROR(SEARCH(DivineDomain&amp;",",$T123,1),0)&gt;0),1,0)*IF($C123=DI$2,1,0)=1,1+COUNTIF(DI$3:DI122,"&gt;0"),0)</f>
        <v>0</v>
      </c>
      <c r="DJ123">
        <f>IF(IF(OR(IFERROR(SEARCH("Druid",$T123,1),0)&gt;0,IFERROR(SEARCH(DruidLand1,$T123,1),0)&gt;0,IFERROR(SEARCH(DruidLand2,$T123,1),0)&gt;0,IFERROR(SEARCH(DruidLand3,$T123,1),0)&gt;0,IFERROR(SEARCH(DruidLand4,$T123,1),0)&gt;0),1,0)*IF($C123=1,1,0)*IF($C123=DJ$2,1,0)=0,0,1+COUNTIF(DJ$3:DJ122,"&gt;0"))</f>
        <v>0</v>
      </c>
      <c r="DK123">
        <f>IF(IF(OR(IFERROR(SEARCH("Druid",$T123,1),0)&gt;0,IFERROR(SEARCH(DruidLand1,$T123,1),0)&gt;0,IFERROR(SEARCH(DruidLand2,$T123,1),0)&gt;0,IFERROR(SEARCH(DruidLand3,$T123,1),0)&gt;0,IFERROR(SEARCH(DruidLand4,$T123,1),0)&gt;0),1,0)*IF($C123=1,1,0)*IF($C123=DK$2,1,0)=0,0,1+COUNTIF(DK$3:DK122,"&gt;0"))</f>
        <v>0</v>
      </c>
      <c r="DL123">
        <f>IF(IF(OR(IFERROR(SEARCH("Druid",$T123,1),0)&gt;0,IFERROR(SEARCH(DruidLand1,$T123,1),0)&gt;0,IFERROR(SEARCH(DruidLand2,$T123,1),0)&gt;0,IFERROR(SEARCH(DruidLand3,$T123,1),0)&gt;0,IFERROR(SEARCH(DruidLand4,$T123,1),0)&gt;0),1,0)*IF($C123=1,1,0)*IF($C123=DL$2,1,0)=0,0,1+COUNTIF(DL$3:DL122,"&gt;0"))</f>
        <v>0</v>
      </c>
      <c r="DM123">
        <f>IF(IF(OR(IFERROR(SEARCH("Druid",$T123,1),0)&gt;0,IFERROR(SEARCH(DruidLand1,$T123,1),0)&gt;0,IFERROR(SEARCH(DruidLand2,$T123,1),0)&gt;0,IFERROR(SEARCH(DruidLand3,$T123,1),0)&gt;0,IFERROR(SEARCH(DruidLand4,$T123,1),0)&gt;0),1,0)*IF($C123=1,1,0)*IF($C123=DM$2,1,0)=0,0,1+COUNTIF(DM$3:DM122,"&gt;0"))</f>
        <v>0</v>
      </c>
      <c r="DN123">
        <f>IF(IF(OR(IFERROR(SEARCH("Druid",$T123,1),0)&gt;0,IFERROR(SEARCH(DruidLand1,$T123,1),0)&gt;0,IFERROR(SEARCH(DruidLand2,$T123,1),0)&gt;0,IFERROR(SEARCH(DruidLand3,$T123,1),0)&gt;0,IFERROR(SEARCH(DruidLand4,$T123,1),0)&gt;0),1,0)*IF($C123=1,1,0)*IF($C123=DN$2,1,0)=0,0,1+COUNTIF(DN$3:DN122,"&gt;0"))</f>
        <v>0</v>
      </c>
      <c r="DO123">
        <f>IF(IF(OR(IFERROR(SEARCH("Druid",$T123,1),0)&gt;0,IFERROR(SEARCH(DruidLand1,$T123,1),0)&gt;0,IFERROR(SEARCH(DruidLand2,$T123,1),0)&gt;0,IFERROR(SEARCH(DruidLand3,$T123,1),0)&gt;0,IFERROR(SEARCH(DruidLand4,$T123,1),0)&gt;0),1,0)*IF($C123=1,1,0)*IF($C123=DO$2,1,0)=0,0,1+COUNTIF(DO$3:DO122,"&gt;0"))</f>
        <v>0</v>
      </c>
      <c r="DP123">
        <f>IF(IF(OR(IFERROR(SEARCH("Druid",$T123,1),0)&gt;0,IFERROR(SEARCH(DruidLand1,$T123,1),0)&gt;0,IFERROR(SEARCH(DruidLand2,$T123,1),0)&gt;0,IFERROR(SEARCH(DruidLand3,$T123,1),0)&gt;0,IFERROR(SEARCH(DruidLand4,$T123,1),0)&gt;0),1,0)*IF($C123=1,1,0)*IF($C123=DP$2,1,0)=0,0,1+COUNTIF(DP$3:DP122,"&gt;0"))</f>
        <v>0</v>
      </c>
      <c r="DQ123">
        <f>IF(IF(OR(IFERROR(SEARCH("Druid",$T123,1),0)&gt;0,IFERROR(SEARCH(DruidLand1,$T123,1),0)&gt;0,IFERROR(SEARCH(DruidLand2,$T123,1),0)&gt;0,IFERROR(SEARCH(DruidLand3,$T123,1),0)&gt;0,IFERROR(SEARCH(DruidLand4,$T123,1),0)&gt;0),1,0)*IF($C123=1,1,0)*IF($C123=DQ$2,1,0)=0,0,1+COUNTIF(DQ$3:DQ122,"&gt;0"))</f>
        <v>0</v>
      </c>
      <c r="DR123">
        <f>IF(IF(OR(IFERROR(SEARCH("Druid",$T123,1),0)&gt;0,IFERROR(SEARCH(DruidLand1,$T123,1),0)&gt;0,IFERROR(SEARCH(DruidLand2,$T123,1),0)&gt;0,IFERROR(SEARCH(DruidLand3,$T123,1),0)&gt;0,IFERROR(SEARCH(DruidLand4,$T123,1),0)&gt;0),1,0)*IF($C123=1,1,0)*IF($C123=DR$2,1,0)=0,0,1+COUNTIF(DR$3:DR122,"&gt;0"))</f>
        <v>0</v>
      </c>
      <c r="DS123">
        <f>IF(IF(OR(IFERROR(SEARCH("Paladin",$T123,1),0)&gt;0,IFERROR(SEARCH(PaladinOath,$T123,1),0)&gt;0),1,0)*IF($C123=DS$2,1,0)=1,1+COUNTIF(DS$3:DS122,"&gt;0"),0)</f>
        <v>0</v>
      </c>
      <c r="DT123">
        <f>IF(IF(OR(IFERROR(SEARCH("Paladin",$T123,1),0)&gt;0,IFERROR(SEARCH(PaladinOath,$T123,1),0)&gt;0),1,0)*IF($C123=DT$2,1,0)=1,1+COUNTIF(DT$3:DT122,"&gt;0"),0)</f>
        <v>0</v>
      </c>
      <c r="DU123">
        <f>IF(IF(OR(IFERROR(SEARCH("Paladin",$T123,1),0)&gt;0,IFERROR(SEARCH(PaladinOath,$T123,1),0)&gt;0),1,0)*IF($C123=DU$2,1,0)=1,1+COUNTIF(DU$3:DU122,"&gt;0"),0)</f>
        <v>0</v>
      </c>
      <c r="DV123">
        <f>IF(IF(OR(IFERROR(SEARCH("Paladin",$T123,1),0)&gt;0,IFERROR(SEARCH(PaladinOath,$T123,1),0)&gt;0),1,0)*IF($C123=DV$2,1,0)=1,1+COUNTIF(DV$3:DV122,"&gt;0"),0)</f>
        <v>0</v>
      </c>
      <c r="DW123">
        <f>IF(IF(OR(IFERROR(SEARCH("Paladin",$T123,1),0)&gt;0,IFERROR(SEARCH(PaladinOath,$T123,1),0)&gt;0),1,0)*IF($C123=DW$2,1,0)=1,1+COUNTIF(DW$3:DW122,"&gt;0"),0)</f>
        <v>0</v>
      </c>
      <c r="DY123">
        <f t="shared" si="56"/>
        <v>1</v>
      </c>
      <c r="DZ123">
        <f>IF(DY123=0,0,1+MAX(DZ$3:$DZ122))</f>
        <v>121</v>
      </c>
      <c r="EB123">
        <f t="shared" si="70"/>
        <v>0</v>
      </c>
      <c r="EC123">
        <f>IF(EB123=0,0,1+COUNTIF(EC$3:EC122,"&gt;0"))</f>
        <v>0</v>
      </c>
      <c r="ED123" t="str">
        <f t="shared" si="98"/>
        <v/>
      </c>
      <c r="EE123" t="str">
        <f t="shared" si="71"/>
        <v/>
      </c>
      <c r="EG123">
        <f t="shared" si="72"/>
        <v>0</v>
      </c>
      <c r="EH123">
        <f>IF(EG123=0,0,1+COUNTIF(EH$3:EH122,"&gt;0"))</f>
        <v>0</v>
      </c>
      <c r="EI123" t="str">
        <f t="shared" si="99"/>
        <v/>
      </c>
      <c r="EJ123" t="str">
        <f t="shared" si="73"/>
        <v/>
      </c>
      <c r="EL123">
        <f t="shared" si="74"/>
        <v>0</v>
      </c>
      <c r="EM123">
        <f>IF(EL123=0,0,1+COUNTIF(EM$3:EM122,"&gt;0"))</f>
        <v>0</v>
      </c>
      <c r="EN123" t="str">
        <f t="shared" si="100"/>
        <v/>
      </c>
      <c r="EO123" t="str">
        <f t="shared" si="75"/>
        <v/>
      </c>
      <c r="EQ123">
        <f t="shared" si="76"/>
        <v>0</v>
      </c>
      <c r="ER123">
        <f>IF(EQ123=0,0,1+COUNTIF(ER$3:ER122,"&gt;0"))</f>
        <v>0</v>
      </c>
      <c r="ES123" t="str">
        <f t="shared" si="101"/>
        <v/>
      </c>
      <c r="ET123" t="str">
        <f t="shared" si="77"/>
        <v/>
      </c>
      <c r="EV123">
        <f t="shared" si="78"/>
        <v>0</v>
      </c>
      <c r="EW123">
        <f>IF(EV123=0,0,1+COUNTIF(EW$3:EW122,"&gt;0"))</f>
        <v>0</v>
      </c>
      <c r="EX123" t="str">
        <f t="shared" si="102"/>
        <v/>
      </c>
      <c r="EY123" t="str">
        <f t="shared" si="79"/>
        <v/>
      </c>
      <c r="FA123">
        <f t="shared" si="80"/>
        <v>0</v>
      </c>
      <c r="FB123">
        <f>IF(FA123=0,0,1+COUNTIF(FB$3:FB122,"&gt;0"))</f>
        <v>0</v>
      </c>
      <c r="FC123" t="str">
        <f t="shared" si="103"/>
        <v/>
      </c>
      <c r="FD123" t="str">
        <f t="shared" si="81"/>
        <v/>
      </c>
      <c r="FF123">
        <f t="shared" si="82"/>
        <v>0</v>
      </c>
      <c r="FG123">
        <f>IF(FF123=0,0,1+COUNTIF(FG$3:FG122,"&gt;0"))</f>
        <v>0</v>
      </c>
      <c r="FH123" t="str">
        <f t="shared" si="104"/>
        <v/>
      </c>
      <c r="FI123" t="str">
        <f t="shared" si="83"/>
        <v/>
      </c>
      <c r="FK123">
        <f t="shared" si="84"/>
        <v>0</v>
      </c>
      <c r="FL123">
        <f>IF(FK123=0,0,1+COUNTIF(FL$3:FL122,"&gt;0"))</f>
        <v>0</v>
      </c>
      <c r="FM123" t="str">
        <f t="shared" si="105"/>
        <v/>
      </c>
      <c r="FN123" t="str">
        <f t="shared" si="85"/>
        <v/>
      </c>
      <c r="FP123">
        <f t="shared" si="86"/>
        <v>0</v>
      </c>
      <c r="FQ123">
        <f>IF(FP123=0,0,1+COUNTIF(FQ$3:FQ122,"&gt;0"))</f>
        <v>0</v>
      </c>
      <c r="FR123" t="str">
        <f t="shared" si="106"/>
        <v/>
      </c>
      <c r="FS123" t="str">
        <f t="shared" si="87"/>
        <v/>
      </c>
    </row>
    <row r="124" spans="1:175" x14ac:dyDescent="0.25">
      <c r="A124" s="347">
        <f t="shared" si="107"/>
        <v>122</v>
      </c>
      <c r="B124" s="348" t="s">
        <v>2492</v>
      </c>
      <c r="C124" s="348">
        <v>4</v>
      </c>
      <c r="D124" s="347">
        <v>4</v>
      </c>
      <c r="E124" s="627" t="s">
        <v>6952</v>
      </c>
      <c r="F124" s="346"/>
      <c r="G124" s="347" t="str">
        <f>""</f>
        <v/>
      </c>
      <c r="H124" s="347" t="s">
        <v>5912</v>
      </c>
      <c r="I124" s="347" t="s">
        <v>5312</v>
      </c>
      <c r="J124" s="347" t="str">
        <f t="shared" si="57"/>
        <v/>
      </c>
      <c r="K124" s="347" t="s">
        <v>5291</v>
      </c>
      <c r="L124" s="611" t="str">
        <f t="shared" si="58"/>
        <v>V, S, M, a piece of tentacle from a giant octopus or a giant squid</v>
      </c>
      <c r="M124" s="347" t="s">
        <v>2373</v>
      </c>
      <c r="N124" s="347" t="s">
        <v>2387</v>
      </c>
      <c r="O124" s="347" t="s">
        <v>1244</v>
      </c>
      <c r="P124" s="346" t="s">
        <v>5360</v>
      </c>
      <c r="Q124" s="347" t="s">
        <v>5271</v>
      </c>
      <c r="S124" s="346" t="s">
        <v>5681</v>
      </c>
      <c r="T124" s="346" t="str">
        <f t="shared" si="59"/>
        <v xml:space="preserve">Wizard, Old One, </v>
      </c>
      <c r="AD124" s="347" t="str">
        <f>$B124</f>
        <v>Evard's Black Tentacles</v>
      </c>
      <c r="AE124" t="str">
        <f>IF(IFERROR(MATCH($B124,temp!A$4:A$13,0),0)&gt;0,T08_Spells!AE$2,"")</f>
        <v/>
      </c>
      <c r="AF124" t="str">
        <f>IF(IFERROR(MATCH($B124,temp!B$4:B$13,0),0)&gt;0,T08_Spells!AF$2,"")</f>
        <v/>
      </c>
      <c r="AG124" t="str">
        <f>IF(IFERROR(MATCH($B124,temp!C$4:C$13,0),0)&gt;0,T08_Spells!AG$2,"")</f>
        <v/>
      </c>
      <c r="AH124" t="str">
        <f>IF(IFERROR(MATCH($B124,temp!D$4:D$13,0),0)&gt;0,T08_Spells!AH$2,"")</f>
        <v/>
      </c>
      <c r="AI124" t="str">
        <f>IF(IFERROR(MATCH($B124,temp!E$4:E$13,0),0)&gt;0,T08_Spells!AI$2,"")</f>
        <v/>
      </c>
      <c r="AJ124" t="str">
        <f>IF(IFERROR(MATCH($B124,temp!F$4:F$13,0),0)&gt;0,T08_Spells!AJ$2,"")</f>
        <v/>
      </c>
      <c r="AK124" t="str">
        <f>IF(IFERROR(MATCH($B124,temp!G$4:G$13,0),0)&gt;0,T08_Spells!AK$2,"")</f>
        <v>Old One</v>
      </c>
      <c r="AL124" t="str">
        <f>IF(IFERROR(MATCH($B124,temp!H$4:H$13,0),0)&gt;0,T08_Spells!AL$2,"")</f>
        <v/>
      </c>
      <c r="AM124" t="str">
        <f>IF(IFERROR(MATCH($B124,temp!I$4:I$13,0),0)&gt;0,T08_Spells!AM$2,"")</f>
        <v/>
      </c>
      <c r="AN124" t="str">
        <f>IF(IFERROR(MATCH($B124,temp!J$4:J$13,0),0)&gt;0,T08_Spells!AN$2,"")</f>
        <v/>
      </c>
      <c r="AO124" t="str">
        <f>IF(IFERROR(MATCH($B124,temp!K$4:K$13,0),0)&gt;0,T08_Spells!AO$2,"")</f>
        <v/>
      </c>
      <c r="AP124" t="str">
        <f>IF(IFERROR(MATCH($B124,temp!L$4:L$13,0),0)&gt;0,T08_Spells!AP$2,"")</f>
        <v/>
      </c>
      <c r="AQ124" t="str">
        <f>IF(IFERROR(MATCH($B124,temp!M$4:M$13,0),0)&gt;0,T08_Spells!AQ$2,"")</f>
        <v/>
      </c>
      <c r="AR124" t="str">
        <f>IF(IFERROR(MATCH($B124,temp!N$4:N$13,0),0)&gt;0,T08_Spells!AR$2,"")</f>
        <v/>
      </c>
      <c r="AS124" t="str">
        <f>IF(IFERROR(MATCH($B124,temp!O$4:O$13,0),0)&gt;0,T08_Spells!AS$2,"")</f>
        <v/>
      </c>
      <c r="AT124" t="str">
        <f>IF(IFERROR(MATCH($B124,temp!P$4:P$13,0),0)&gt;0,T08_Spells!AT$2,"")</f>
        <v/>
      </c>
      <c r="AU124" t="str">
        <f>IF(IFERROR(MATCH($B124,temp!Q$4:Q$13,0),0)&gt;0,T08_Spells!AU$2,"")</f>
        <v/>
      </c>
      <c r="AV124" t="str">
        <f>IF(IFERROR(MATCH($B124,temp!R$4:R$13,0),0)&gt;0,T08_Spells!AV$2,"")</f>
        <v/>
      </c>
      <c r="AW124" t="str">
        <f>IF(IFERROR(MATCH($B124,temp!S$4:S$13,0),0)&gt;0,T08_Spells!AW$2,"")</f>
        <v/>
      </c>
      <c r="AX124" t="str">
        <f>IF(IFERROR(MATCH($B124,temp!T$4:T$13,0),0)&gt;0,T08_Spells!AX$2,"")</f>
        <v/>
      </c>
      <c r="AY124" t="str">
        <f>IF(IFERROR(MATCH($B124,temp!U$4:U$13,0),0)&gt;0,T08_Spells!AY$2,"")</f>
        <v/>
      </c>
      <c r="AZ124" t="str">
        <f>IF(IFERROR(MATCH($B124,temp!V$4:V$13,0),0)&gt;0,T08_Spells!AZ$2,"")</f>
        <v/>
      </c>
      <c r="BA124" t="str">
        <f>IF(IFERROR(MATCH($B124,temp!W$4:W$13,0),0)&gt;0,T08_Spells!BA$2,"")</f>
        <v/>
      </c>
      <c r="BC124">
        <f>IF(IFERROR(SEARCH("Ranger",$T124,1),0)&gt;0,1,0)*IF(RangerMaxSpellLevel&gt;=$C124,1,0)*IF(IFERROR(MATCH(B124,Character_Creation!$X$79:$X$382,0),0)&gt;0,0,1)</f>
        <v>0</v>
      </c>
      <c r="BD124">
        <f>IF(BC124=0,0,1+COUNTIF(BD$3:BD123,"&gt;0"))</f>
        <v>0</v>
      </c>
      <c r="BE124" t="str">
        <f t="shared" si="88"/>
        <v/>
      </c>
      <c r="BF124" t="str">
        <f t="shared" si="60"/>
        <v/>
      </c>
      <c r="BH124">
        <f>IF(IFERROR(SEARCH("Sorcerer",$T124,1),0)&gt;0,1,0)*IF(SorcererMaxSpellLevel&gt;=$C124,1,0)*IF(IFERROR(MATCH(B124,Character_Creation!$J$380:$J$394,0),0)&gt;0,0,1)</f>
        <v>0</v>
      </c>
      <c r="BI124">
        <f>IF(BH124=0,0,1+COUNTIF(BI$3:BI123,"&gt;0"))</f>
        <v>0</v>
      </c>
      <c r="BJ124" t="str">
        <f t="shared" si="89"/>
        <v/>
      </c>
      <c r="BK124" t="str">
        <f t="shared" si="61"/>
        <v/>
      </c>
      <c r="BM124">
        <f>IF(OR(IFERROR(SEARCH("Warlock",$T124,1),0)&gt;0,IFERROR(SEARCH(WarlockPatron,$T124,1),0)&gt;0),1,0)*IF(WarlockMaxSpellLevel&gt;=$C124,1,0)*IF(IFERROR(MATCH(B124,Character_Creation!$J$361:$J$375,0),0)&gt;0,0,1)</f>
        <v>0</v>
      </c>
      <c r="BN124">
        <f>IF(BM124=0,0,1+COUNTIF(BN$3:BN123,"&gt;0"))</f>
        <v>0</v>
      </c>
      <c r="BO124" t="str">
        <f t="shared" si="90"/>
        <v/>
      </c>
      <c r="BP124" t="str">
        <f t="shared" si="62"/>
        <v/>
      </c>
      <c r="BR124">
        <f>IF(IFERROR(SEARCH("Eldritch Knight",$T124,1),0)&gt;0,1,0)*IF(EldritchKnightMaxSpellLevel&gt;=$C124,1,0)*IF(IFERROR(MATCH($B124,Character_Creation!$J$350:$J$356,0),0)&gt;0,0,1)*IF(Character_Creation!$M$338&gt;0,1,0)</f>
        <v>0</v>
      </c>
      <c r="BS124">
        <f>IF(BR124=0,0,1+COUNTIF(BS$3:BS123,"&gt;0"))</f>
        <v>0</v>
      </c>
      <c r="BT124" t="str">
        <f t="shared" si="91"/>
        <v/>
      </c>
      <c r="BU124" t="str">
        <f t="shared" si="63"/>
        <v/>
      </c>
      <c r="BW124">
        <f>IF(IFERROR(SEARCH("Arcane Trickster",$T124,1),0)&gt;0,1,0)*IF(ArcaneTricksterMaxSpellLevel&gt;=$C124,1,0)*IF(IFERROR(MATCH($B124,Character_Creation!$J$350:$J$356,0),0)&gt;0,0,1)*IF(Character_Creation!$T$338&gt;0,1,0)</f>
        <v>0</v>
      </c>
      <c r="BX124">
        <f>IF(BW124=0,0,1+COUNTIF(BX$3:BX123,"&gt;0"))</f>
        <v>0</v>
      </c>
      <c r="BY124" t="str">
        <f t="shared" si="92"/>
        <v/>
      </c>
      <c r="BZ124" t="str">
        <f t="shared" si="64"/>
        <v/>
      </c>
      <c r="CB124">
        <f>IF(IFERROR(SEARCH("Wizard",$T124,1),0)&gt;0,1,0)*IF(C124&lt;=ArcaneTricksterMaxSpellLevel,1,0)*IF(IFERROR(MATCH($B124,Character_Creation!$J$350:$J$356,0),0)&gt;0,0,1)*IF(Character_Creation!$T$350&gt;0,1,0)</f>
        <v>0</v>
      </c>
      <c r="CC124">
        <f>IF(CB124=0,0,1+COUNTIF(CC$3:CC123,"&gt;0"))</f>
        <v>0</v>
      </c>
      <c r="CD124" t="str">
        <f t="shared" si="93"/>
        <v/>
      </c>
      <c r="CE124" t="str">
        <f t="shared" si="65"/>
        <v/>
      </c>
      <c r="CG124">
        <f>IF(IFERROR(SEARCH("Wizard",$T124,1),0)&gt;0,1,0)*IF($C124&lt;=EldritchKnightMaxSpellLevel,1,0)*IF(IFERROR(MATCH($B124,Character_Creation!$J$350:$J$356,0),0)&gt;0,0,1)*IF(Character_Creation!$M$350&gt;0,1,0)</f>
        <v>0</v>
      </c>
      <c r="CH124">
        <f>IF(CG124=0,0,1+COUNTIF(CH$3:CH123,"&gt;0"))</f>
        <v>0</v>
      </c>
      <c r="CI124" t="str">
        <f t="shared" si="94"/>
        <v/>
      </c>
      <c r="CJ124" t="str">
        <f t="shared" si="66"/>
        <v/>
      </c>
      <c r="CL124">
        <f>IF(IFERROR(SEARCH("Bard",$T124,1),0)&gt;0,1,0)*IF(BardMaxSpellLevel&gt;=$C124,1,0)*IF(IFERROR(MATCH(B124,Character_Creation!$C$341:$F$362,0),0)&gt;0,0,1)*IF(IFERROR(MATCH($B124,Character_Creation!$C$341:$C$362,0),0)&gt;0,0,1)</f>
        <v>0</v>
      </c>
      <c r="CM124">
        <f>IF(CL124=0,0,1+COUNTIF(CM$3:CM123,"&gt;0"))</f>
        <v>0</v>
      </c>
      <c r="CN124" t="str">
        <f t="shared" si="95"/>
        <v/>
      </c>
      <c r="CO124" t="str">
        <f t="shared" si="67"/>
        <v/>
      </c>
      <c r="CQ124">
        <f>IF(IFERROR(SEARCH("Wizard",$T124,1),0)&gt;0,1,0)*IF(WizardMaxSpellLevel&gt;=$C124,1,0)*IF(IFERROR(MATCH(B124,Character_Creation!$X$341:$X$400,0),0)&gt;0,0,1)*IF(SelectedWizardSpellLevel=$C124,1,0)</f>
        <v>0</v>
      </c>
      <c r="CR124">
        <f>IF(CQ124=0,0,1+COUNTIF(CR$3:CR123,"&gt;0"))</f>
        <v>0</v>
      </c>
      <c r="CS124" t="str">
        <f t="shared" si="96"/>
        <v/>
      </c>
      <c r="CT124" t="str">
        <f t="shared" si="68"/>
        <v/>
      </c>
      <c r="CV124">
        <f>IF(IFERROR(MATCH($B124,Character_Creation!$C$341:$C$362,0),0)&gt;0,0,1)*IF(OR(C124="Cantrip",C124&lt;=BardMaxSpellLevel),1,0)*IF(IFERROR(MATCH($B124,Character_Creation!$C$367:$C$374,0),0)&gt;0,0,1)</f>
        <v>0</v>
      </c>
      <c r="CW124">
        <f>IF(CV124=0,0,1+COUNTIF(CW$3:CW123,"&gt;0"))</f>
        <v>0</v>
      </c>
      <c r="CX124" t="str">
        <f t="shared" si="97"/>
        <v/>
      </c>
      <c r="CY124" t="str">
        <f t="shared" si="69"/>
        <v/>
      </c>
      <c r="DA124">
        <f>IF(IF(OR(IFERROR(SEARCH("Cleric",$T124,1),0)&gt;0,IFERROR(SEARCH(DivineDomain&amp;",",$T124,1),0)&gt;0),1,0)*IF($C124=DA$2,1,0)=1,1+COUNTIF(DA$3:DA123,"&gt;0"),0)</f>
        <v>0</v>
      </c>
      <c r="DB124">
        <f>IF(IF(OR(IFERROR(SEARCH("Cleric",$T124,1),0)&gt;0,IFERROR(SEARCH(DivineDomain&amp;",",$T124,1),0)&gt;0),1,0)*IF($C124=DB$2,1,0)=1,1+COUNTIF(DB$3:DB123,"&gt;0"),0)</f>
        <v>0</v>
      </c>
      <c r="DC124">
        <f>IF(IF(OR(IFERROR(SEARCH("Cleric",$T124,1),0)&gt;0,IFERROR(SEARCH(DivineDomain&amp;",",$T124,1),0)&gt;0),1,0)*IF($C124=DC$2,1,0)=1,1+COUNTIF(DC$3:DC123,"&gt;0"),0)</f>
        <v>0</v>
      </c>
      <c r="DD124">
        <f>IF(IF(OR(IFERROR(SEARCH("Cleric",$T124,1),0)&gt;0,IFERROR(SEARCH(DivineDomain&amp;",",$T124,1),0)&gt;0),1,0)*IF($C124=DD$2,1,0)=1,1+COUNTIF(DD$3:DD123,"&gt;0"),0)</f>
        <v>0</v>
      </c>
      <c r="DE124">
        <f>IF(IF(OR(IFERROR(SEARCH("Cleric",$T124,1),0)&gt;0,IFERROR(SEARCH(DivineDomain&amp;",",$T124,1),0)&gt;0),1,0)*IF($C124=DE$2,1,0)=1,1+COUNTIF(DE$3:DE123,"&gt;0"),0)</f>
        <v>0</v>
      </c>
      <c r="DF124">
        <f>IF(IF(OR(IFERROR(SEARCH("Cleric",$T124,1),0)&gt;0,IFERROR(SEARCH(DivineDomain&amp;",",$T124,1),0)&gt;0),1,0)*IF($C124=DF$2,1,0)=1,1+COUNTIF(DF$3:DF123,"&gt;0"),0)</f>
        <v>0</v>
      </c>
      <c r="DG124">
        <f>IF(IF(OR(IFERROR(SEARCH("Cleric",$T124,1),0)&gt;0,IFERROR(SEARCH(DivineDomain&amp;",",$T124,1),0)&gt;0),1,0)*IF($C124=DG$2,1,0)=1,1+COUNTIF(DG$3:DG123,"&gt;0"),0)</f>
        <v>0</v>
      </c>
      <c r="DH124">
        <f>IF(IF(OR(IFERROR(SEARCH("Cleric",$T124,1),0)&gt;0,IFERROR(SEARCH(DivineDomain&amp;",",$T124,1),0)&gt;0),1,0)*IF($C124=DH$2,1,0)=1,1+COUNTIF(DH$3:DH123,"&gt;0"),0)</f>
        <v>0</v>
      </c>
      <c r="DI124">
        <f>IF(IF(OR(IFERROR(SEARCH("Cleric",$T124,1),0)&gt;0,IFERROR(SEARCH(DivineDomain&amp;",",$T124,1),0)&gt;0),1,0)*IF($C124=DI$2,1,0)=1,1+COUNTIF(DI$3:DI123,"&gt;0"),0)</f>
        <v>0</v>
      </c>
      <c r="DJ124">
        <f>IF(IF(OR(IFERROR(SEARCH("Druid",$T124,1),0)&gt;0,IFERROR(SEARCH(DruidLand1,$T124,1),0)&gt;0,IFERROR(SEARCH(DruidLand2,$T124,1),0)&gt;0,IFERROR(SEARCH(DruidLand3,$T124,1),0)&gt;0,IFERROR(SEARCH(DruidLand4,$T124,1),0)&gt;0),1,0)*IF($C124=1,1,0)*IF($C124=DJ$2,1,0)=0,0,1+COUNTIF(DJ$3:DJ123,"&gt;0"))</f>
        <v>0</v>
      </c>
      <c r="DK124">
        <f>IF(IF(OR(IFERROR(SEARCH("Druid",$T124,1),0)&gt;0,IFERROR(SEARCH(DruidLand1,$T124,1),0)&gt;0,IFERROR(SEARCH(DruidLand2,$T124,1),0)&gt;0,IFERROR(SEARCH(DruidLand3,$T124,1),0)&gt;0,IFERROR(SEARCH(DruidLand4,$T124,1),0)&gt;0),1,0)*IF($C124=1,1,0)*IF($C124=DK$2,1,0)=0,0,1+COUNTIF(DK$3:DK123,"&gt;0"))</f>
        <v>0</v>
      </c>
      <c r="DL124">
        <f>IF(IF(OR(IFERROR(SEARCH("Druid",$T124,1),0)&gt;0,IFERROR(SEARCH(DruidLand1,$T124,1),0)&gt;0,IFERROR(SEARCH(DruidLand2,$T124,1),0)&gt;0,IFERROR(SEARCH(DruidLand3,$T124,1),0)&gt;0,IFERROR(SEARCH(DruidLand4,$T124,1),0)&gt;0),1,0)*IF($C124=1,1,0)*IF($C124=DL$2,1,0)=0,0,1+COUNTIF(DL$3:DL123,"&gt;0"))</f>
        <v>0</v>
      </c>
      <c r="DM124">
        <f>IF(IF(OR(IFERROR(SEARCH("Druid",$T124,1),0)&gt;0,IFERROR(SEARCH(DruidLand1,$T124,1),0)&gt;0,IFERROR(SEARCH(DruidLand2,$T124,1),0)&gt;0,IFERROR(SEARCH(DruidLand3,$T124,1),0)&gt;0,IFERROR(SEARCH(DruidLand4,$T124,1),0)&gt;0),1,0)*IF($C124=1,1,0)*IF($C124=DM$2,1,0)=0,0,1+COUNTIF(DM$3:DM123,"&gt;0"))</f>
        <v>0</v>
      </c>
      <c r="DN124">
        <f>IF(IF(OR(IFERROR(SEARCH("Druid",$T124,1),0)&gt;0,IFERROR(SEARCH(DruidLand1,$T124,1),0)&gt;0,IFERROR(SEARCH(DruidLand2,$T124,1),0)&gt;0,IFERROR(SEARCH(DruidLand3,$T124,1),0)&gt;0,IFERROR(SEARCH(DruidLand4,$T124,1),0)&gt;0),1,0)*IF($C124=1,1,0)*IF($C124=DN$2,1,0)=0,0,1+COUNTIF(DN$3:DN123,"&gt;0"))</f>
        <v>0</v>
      </c>
      <c r="DO124">
        <f>IF(IF(OR(IFERROR(SEARCH("Druid",$T124,1),0)&gt;0,IFERROR(SEARCH(DruidLand1,$T124,1),0)&gt;0,IFERROR(SEARCH(DruidLand2,$T124,1),0)&gt;0,IFERROR(SEARCH(DruidLand3,$T124,1),0)&gt;0,IFERROR(SEARCH(DruidLand4,$T124,1),0)&gt;0),1,0)*IF($C124=1,1,0)*IF($C124=DO$2,1,0)=0,0,1+COUNTIF(DO$3:DO123,"&gt;0"))</f>
        <v>0</v>
      </c>
      <c r="DP124">
        <f>IF(IF(OR(IFERROR(SEARCH("Druid",$T124,1),0)&gt;0,IFERROR(SEARCH(DruidLand1,$T124,1),0)&gt;0,IFERROR(SEARCH(DruidLand2,$T124,1),0)&gt;0,IFERROR(SEARCH(DruidLand3,$T124,1),0)&gt;0,IFERROR(SEARCH(DruidLand4,$T124,1),0)&gt;0),1,0)*IF($C124=1,1,0)*IF($C124=DP$2,1,0)=0,0,1+COUNTIF(DP$3:DP123,"&gt;0"))</f>
        <v>0</v>
      </c>
      <c r="DQ124">
        <f>IF(IF(OR(IFERROR(SEARCH("Druid",$T124,1),0)&gt;0,IFERROR(SEARCH(DruidLand1,$T124,1),0)&gt;0,IFERROR(SEARCH(DruidLand2,$T124,1),0)&gt;0,IFERROR(SEARCH(DruidLand3,$T124,1),0)&gt;0,IFERROR(SEARCH(DruidLand4,$T124,1),0)&gt;0),1,0)*IF($C124=1,1,0)*IF($C124=DQ$2,1,0)=0,0,1+COUNTIF(DQ$3:DQ123,"&gt;0"))</f>
        <v>0</v>
      </c>
      <c r="DR124">
        <f>IF(IF(OR(IFERROR(SEARCH("Druid",$T124,1),0)&gt;0,IFERROR(SEARCH(DruidLand1,$T124,1),0)&gt;0,IFERROR(SEARCH(DruidLand2,$T124,1),0)&gt;0,IFERROR(SEARCH(DruidLand3,$T124,1),0)&gt;0,IFERROR(SEARCH(DruidLand4,$T124,1),0)&gt;0),1,0)*IF($C124=1,1,0)*IF($C124=DR$2,1,0)=0,0,1+COUNTIF(DR$3:DR123,"&gt;0"))</f>
        <v>0</v>
      </c>
      <c r="DS124">
        <f>IF(IF(OR(IFERROR(SEARCH("Paladin",$T124,1),0)&gt;0,IFERROR(SEARCH(PaladinOath,$T124,1),0)&gt;0),1,0)*IF($C124=DS$2,1,0)=1,1+COUNTIF(DS$3:DS123,"&gt;0"),0)</f>
        <v>0</v>
      </c>
      <c r="DT124">
        <f>IF(IF(OR(IFERROR(SEARCH("Paladin",$T124,1),0)&gt;0,IFERROR(SEARCH(PaladinOath,$T124,1),0)&gt;0),1,0)*IF($C124=DT$2,1,0)=1,1+COUNTIF(DT$3:DT123,"&gt;0"),0)</f>
        <v>0</v>
      </c>
      <c r="DU124">
        <f>IF(IF(OR(IFERROR(SEARCH("Paladin",$T124,1),0)&gt;0,IFERROR(SEARCH(PaladinOath,$T124,1),0)&gt;0),1,0)*IF($C124=DU$2,1,0)=1,1+COUNTIF(DU$3:DU123,"&gt;0"),0)</f>
        <v>0</v>
      </c>
      <c r="DV124">
        <f>IF(IF(OR(IFERROR(SEARCH("Paladin",$T124,1),0)&gt;0,IFERROR(SEARCH(PaladinOath,$T124,1),0)&gt;0),1,0)*IF($C124=DV$2,1,0)=1,1+COUNTIF(DV$3:DV123,"&gt;0"),0)</f>
        <v>0</v>
      </c>
      <c r="DW124">
        <f>IF(IF(OR(IFERROR(SEARCH("Paladin",$T124,1),0)&gt;0,IFERROR(SEARCH(PaladinOath,$T124,1),0)&gt;0),1,0)*IF($C124=DW$2,1,0)=1,1+COUNTIF(DW$3:DW123,"&gt;0"),0)</f>
        <v>0</v>
      </c>
      <c r="DY124">
        <f t="shared" si="56"/>
        <v>1</v>
      </c>
      <c r="DZ124">
        <f>IF(DY124=0,0,1+MAX(DZ$3:$DZ123))</f>
        <v>122</v>
      </c>
      <c r="EB124">
        <f t="shared" si="70"/>
        <v>0</v>
      </c>
      <c r="EC124">
        <f>IF(EB124=0,0,1+COUNTIF(EC$3:EC123,"&gt;0"))</f>
        <v>0</v>
      </c>
      <c r="ED124" t="str">
        <f t="shared" si="98"/>
        <v/>
      </c>
      <c r="EE124" t="str">
        <f t="shared" si="71"/>
        <v/>
      </c>
      <c r="EG124">
        <f t="shared" si="72"/>
        <v>0</v>
      </c>
      <c r="EH124">
        <f>IF(EG124=0,0,1+COUNTIF(EH$3:EH123,"&gt;0"))</f>
        <v>0</v>
      </c>
      <c r="EI124" t="str">
        <f t="shared" si="99"/>
        <v/>
      </c>
      <c r="EJ124" t="str">
        <f t="shared" si="73"/>
        <v/>
      </c>
      <c r="EL124">
        <f t="shared" si="74"/>
        <v>0</v>
      </c>
      <c r="EM124">
        <f>IF(EL124=0,0,1+COUNTIF(EM$3:EM123,"&gt;0"))</f>
        <v>0</v>
      </c>
      <c r="EN124" t="str">
        <f t="shared" si="100"/>
        <v/>
      </c>
      <c r="EO124" t="str">
        <f t="shared" si="75"/>
        <v/>
      </c>
      <c r="EQ124">
        <f t="shared" si="76"/>
        <v>0</v>
      </c>
      <c r="ER124">
        <f>IF(EQ124=0,0,1+COUNTIF(ER$3:ER123,"&gt;0"))</f>
        <v>0</v>
      </c>
      <c r="ES124" t="str">
        <f t="shared" si="101"/>
        <v/>
      </c>
      <c r="ET124" t="str">
        <f t="shared" si="77"/>
        <v/>
      </c>
      <c r="EV124">
        <f t="shared" si="78"/>
        <v>0</v>
      </c>
      <c r="EW124">
        <f>IF(EV124=0,0,1+COUNTIF(EW$3:EW123,"&gt;0"))</f>
        <v>0</v>
      </c>
      <c r="EX124" t="str">
        <f t="shared" si="102"/>
        <v/>
      </c>
      <c r="EY124" t="str">
        <f t="shared" si="79"/>
        <v/>
      </c>
      <c r="FA124">
        <f t="shared" si="80"/>
        <v>0</v>
      </c>
      <c r="FB124">
        <f>IF(FA124=0,0,1+COUNTIF(FB$3:FB123,"&gt;0"))</f>
        <v>0</v>
      </c>
      <c r="FC124" t="str">
        <f t="shared" si="103"/>
        <v/>
      </c>
      <c r="FD124" t="str">
        <f t="shared" si="81"/>
        <v/>
      </c>
      <c r="FF124">
        <f t="shared" si="82"/>
        <v>0</v>
      </c>
      <c r="FG124">
        <f>IF(FF124=0,0,1+COUNTIF(FG$3:FG123,"&gt;0"))</f>
        <v>0</v>
      </c>
      <c r="FH124" t="str">
        <f t="shared" si="104"/>
        <v/>
      </c>
      <c r="FI124" t="str">
        <f t="shared" si="83"/>
        <v/>
      </c>
      <c r="FK124">
        <f t="shared" si="84"/>
        <v>0</v>
      </c>
      <c r="FL124">
        <f>IF(FK124=0,0,1+COUNTIF(FL$3:FL123,"&gt;0"))</f>
        <v>0</v>
      </c>
      <c r="FM124" t="str">
        <f t="shared" si="105"/>
        <v/>
      </c>
      <c r="FN124" t="str">
        <f t="shared" si="85"/>
        <v/>
      </c>
      <c r="FP124">
        <f t="shared" si="86"/>
        <v>0</v>
      </c>
      <c r="FQ124">
        <f>IF(FP124=0,0,1+COUNTIF(FQ$3:FQ123,"&gt;0"))</f>
        <v>0</v>
      </c>
      <c r="FR124" t="str">
        <f t="shared" si="106"/>
        <v/>
      </c>
      <c r="FS124" t="str">
        <f t="shared" si="87"/>
        <v/>
      </c>
    </row>
    <row r="125" spans="1:175" x14ac:dyDescent="0.25">
      <c r="A125" s="347">
        <f t="shared" si="107"/>
        <v>123</v>
      </c>
      <c r="B125" s="348" t="s">
        <v>2493</v>
      </c>
      <c r="C125" s="348">
        <v>1</v>
      </c>
      <c r="D125" s="347">
        <v>1</v>
      </c>
      <c r="E125" s="627" t="s">
        <v>6952</v>
      </c>
      <c r="F125" s="346"/>
      <c r="G125" s="347" t="str">
        <f>""</f>
        <v/>
      </c>
      <c r="H125" s="347" t="s">
        <v>5918</v>
      </c>
      <c r="I125" s="347" t="s">
        <v>5283</v>
      </c>
      <c r="J125" s="347" t="str">
        <f t="shared" si="57"/>
        <v/>
      </c>
      <c r="K125" s="347" t="s">
        <v>5297</v>
      </c>
      <c r="L125" s="611" t="str">
        <f t="shared" si="58"/>
        <v>V, S</v>
      </c>
      <c r="M125" s="347" t="s">
        <v>2373</v>
      </c>
      <c r="N125" s="347" t="s">
        <v>2387</v>
      </c>
      <c r="O125" s="347" t="s">
        <v>3034</v>
      </c>
      <c r="P125" s="346" t="str">
        <f>""</f>
        <v/>
      </c>
      <c r="Q125" s="347" t="s">
        <v>5276</v>
      </c>
      <c r="S125" s="346" t="s">
        <v>2494</v>
      </c>
      <c r="T125" s="346" t="str">
        <f t="shared" si="59"/>
        <v xml:space="preserve">Sorcerer, Warlock, Wizard, </v>
      </c>
      <c r="X125" s="347" t="str">
        <f>$B125</f>
        <v>Expeditious Retreat</v>
      </c>
      <c r="Y125" s="347" t="str">
        <f>$B125</f>
        <v>Expeditious Retreat</v>
      </c>
      <c r="AD125" s="347" t="str">
        <f>$B125</f>
        <v>Expeditious Retreat</v>
      </c>
      <c r="AE125" t="str">
        <f>IF(IFERROR(MATCH($B125,temp!A$4:A$13,0),0)&gt;0,T08_Spells!AE$2,"")</f>
        <v/>
      </c>
      <c r="AF125" t="str">
        <f>IF(IFERROR(MATCH($B125,temp!B$4:B$13,0),0)&gt;0,T08_Spells!AF$2,"")</f>
        <v/>
      </c>
      <c r="AG125" t="str">
        <f>IF(IFERROR(MATCH($B125,temp!C$4:C$13,0),0)&gt;0,T08_Spells!AG$2,"")</f>
        <v/>
      </c>
      <c r="AH125" t="str">
        <f>IF(IFERROR(MATCH($B125,temp!D$4:D$13,0),0)&gt;0,T08_Spells!AH$2,"")</f>
        <v/>
      </c>
      <c r="AI125" t="str">
        <f>IF(IFERROR(MATCH($B125,temp!E$4:E$13,0),0)&gt;0,T08_Spells!AI$2,"")</f>
        <v/>
      </c>
      <c r="AJ125" t="str">
        <f>IF(IFERROR(MATCH($B125,temp!F$4:F$13,0),0)&gt;0,T08_Spells!AJ$2,"")</f>
        <v/>
      </c>
      <c r="AK125" t="str">
        <f>IF(IFERROR(MATCH($B125,temp!G$4:G$13,0),0)&gt;0,T08_Spells!AK$2,"")</f>
        <v/>
      </c>
      <c r="AL125" t="str">
        <f>IF(IFERROR(MATCH($B125,temp!H$4:H$13,0),0)&gt;0,T08_Spells!AL$2,"")</f>
        <v/>
      </c>
      <c r="AM125" t="str">
        <f>IF(IFERROR(MATCH($B125,temp!I$4:I$13,0),0)&gt;0,T08_Spells!AM$2,"")</f>
        <v/>
      </c>
      <c r="AN125" t="str">
        <f>IF(IFERROR(MATCH($B125,temp!J$4:J$13,0),0)&gt;0,T08_Spells!AN$2,"")</f>
        <v/>
      </c>
      <c r="AO125" t="str">
        <f>IF(IFERROR(MATCH($B125,temp!K$4:K$13,0),0)&gt;0,T08_Spells!AO$2,"")</f>
        <v/>
      </c>
      <c r="AP125" t="str">
        <f>IF(IFERROR(MATCH($B125,temp!L$4:L$13,0),0)&gt;0,T08_Spells!AP$2,"")</f>
        <v/>
      </c>
      <c r="AQ125" t="str">
        <f>IF(IFERROR(MATCH($B125,temp!M$4:M$13,0),0)&gt;0,T08_Spells!AQ$2,"")</f>
        <v/>
      </c>
      <c r="AR125" t="str">
        <f>IF(IFERROR(MATCH($B125,temp!N$4:N$13,0),0)&gt;0,T08_Spells!AR$2,"")</f>
        <v/>
      </c>
      <c r="AS125" t="str">
        <f>IF(IFERROR(MATCH($B125,temp!O$4:O$13,0),0)&gt;0,T08_Spells!AS$2,"")</f>
        <v/>
      </c>
      <c r="AT125" t="str">
        <f>IF(IFERROR(MATCH($B125,temp!P$4:P$13,0),0)&gt;0,T08_Spells!AT$2,"")</f>
        <v/>
      </c>
      <c r="AU125" t="str">
        <f>IF(IFERROR(MATCH($B125,temp!Q$4:Q$13,0),0)&gt;0,T08_Spells!AU$2,"")</f>
        <v/>
      </c>
      <c r="AV125" t="str">
        <f>IF(IFERROR(MATCH($B125,temp!R$4:R$13,0),0)&gt;0,T08_Spells!AV$2,"")</f>
        <v/>
      </c>
      <c r="AW125" t="str">
        <f>IF(IFERROR(MATCH($B125,temp!S$4:S$13,0),0)&gt;0,T08_Spells!AW$2,"")</f>
        <v/>
      </c>
      <c r="AX125" t="str">
        <f>IF(IFERROR(MATCH($B125,temp!T$4:T$13,0),0)&gt;0,T08_Spells!AX$2,"")</f>
        <v/>
      </c>
      <c r="AY125" t="str">
        <f>IF(IFERROR(MATCH($B125,temp!U$4:U$13,0),0)&gt;0,T08_Spells!AY$2,"")</f>
        <v/>
      </c>
      <c r="AZ125" t="str">
        <f>IF(IFERROR(MATCH($B125,temp!V$4:V$13,0),0)&gt;0,T08_Spells!AZ$2,"")</f>
        <v/>
      </c>
      <c r="BA125" t="str">
        <f>IF(IFERROR(MATCH($B125,temp!W$4:W$13,0),0)&gt;0,T08_Spells!BA$2,"")</f>
        <v/>
      </c>
      <c r="BC125">
        <f>IF(IFERROR(SEARCH("Ranger",$T125,1),0)&gt;0,1,0)*IF(RangerMaxSpellLevel&gt;=$C125,1,0)*IF(IFERROR(MATCH(B125,Character_Creation!$X$79:$X$382,0),0)&gt;0,0,1)</f>
        <v>0</v>
      </c>
      <c r="BD125">
        <f>IF(BC125=0,0,1+COUNTIF(BD$3:BD124,"&gt;0"))</f>
        <v>0</v>
      </c>
      <c r="BE125" t="str">
        <f t="shared" si="88"/>
        <v/>
      </c>
      <c r="BF125" t="str">
        <f t="shared" si="60"/>
        <v/>
      </c>
      <c r="BH125">
        <f>IF(IFERROR(SEARCH("Sorcerer",$T125,1),0)&gt;0,1,0)*IF(SorcererMaxSpellLevel&gt;=$C125,1,0)*IF(IFERROR(MATCH(B125,Character_Creation!$J$380:$J$394,0),0)&gt;0,0,1)</f>
        <v>0</v>
      </c>
      <c r="BI125">
        <f>IF(BH125=0,0,1+COUNTIF(BI$3:BI124,"&gt;0"))</f>
        <v>0</v>
      </c>
      <c r="BJ125" t="str">
        <f t="shared" si="89"/>
        <v/>
      </c>
      <c r="BK125" t="str">
        <f t="shared" si="61"/>
        <v/>
      </c>
      <c r="BM125">
        <f>IF(OR(IFERROR(SEARCH("Warlock",$T125,1),0)&gt;0,IFERROR(SEARCH(WarlockPatron,$T125,1),0)&gt;0),1,0)*IF(WarlockMaxSpellLevel&gt;=$C125,1,0)*IF(IFERROR(MATCH(B125,Character_Creation!$J$361:$J$375,0),0)&gt;0,0,1)</f>
        <v>0</v>
      </c>
      <c r="BN125">
        <f>IF(BM125=0,0,1+COUNTIF(BN$3:BN124,"&gt;0"))</f>
        <v>0</v>
      </c>
      <c r="BO125" t="str">
        <f t="shared" si="90"/>
        <v/>
      </c>
      <c r="BP125" t="str">
        <f t="shared" si="62"/>
        <v/>
      </c>
      <c r="BR125">
        <f>IF(IFERROR(SEARCH("Eldritch Knight",$T125,1),0)&gt;0,1,0)*IF(EldritchKnightMaxSpellLevel&gt;=$C125,1,0)*IF(IFERROR(MATCH($B125,Character_Creation!$J$350:$J$356,0),0)&gt;0,0,1)*IF(Character_Creation!$M$338&gt;0,1,0)</f>
        <v>0</v>
      </c>
      <c r="BS125">
        <f>IF(BR125=0,0,1+COUNTIF(BS$3:BS124,"&gt;0"))</f>
        <v>0</v>
      </c>
      <c r="BT125" t="str">
        <f t="shared" si="91"/>
        <v/>
      </c>
      <c r="BU125" t="str">
        <f t="shared" si="63"/>
        <v/>
      </c>
      <c r="BW125">
        <f>IF(IFERROR(SEARCH("Arcane Trickster",$T125,1),0)&gt;0,1,0)*IF(ArcaneTricksterMaxSpellLevel&gt;=$C125,1,0)*IF(IFERROR(MATCH($B125,Character_Creation!$J$350:$J$356,0),0)&gt;0,0,1)*IF(Character_Creation!$T$338&gt;0,1,0)</f>
        <v>0</v>
      </c>
      <c r="BX125">
        <f>IF(BW125=0,0,1+COUNTIF(BX$3:BX124,"&gt;0"))</f>
        <v>0</v>
      </c>
      <c r="BY125" t="str">
        <f t="shared" si="92"/>
        <v/>
      </c>
      <c r="BZ125" t="str">
        <f t="shared" si="64"/>
        <v/>
      </c>
      <c r="CB125">
        <f>IF(IFERROR(SEARCH("Wizard",$T125,1),0)&gt;0,1,0)*IF(C125&lt;=ArcaneTricksterMaxSpellLevel,1,0)*IF(IFERROR(MATCH($B125,Character_Creation!$J$350:$J$356,0),0)&gt;0,0,1)*IF(Character_Creation!$T$350&gt;0,1,0)</f>
        <v>0</v>
      </c>
      <c r="CC125">
        <f>IF(CB125=0,0,1+COUNTIF(CC$3:CC124,"&gt;0"))</f>
        <v>0</v>
      </c>
      <c r="CD125" t="str">
        <f t="shared" si="93"/>
        <v/>
      </c>
      <c r="CE125" t="str">
        <f t="shared" si="65"/>
        <v/>
      </c>
      <c r="CG125">
        <f>IF(IFERROR(SEARCH("Wizard",$T125,1),0)&gt;0,1,0)*IF($C125&lt;=EldritchKnightMaxSpellLevel,1,0)*IF(IFERROR(MATCH($B125,Character_Creation!$J$350:$J$356,0),0)&gt;0,0,1)*IF(Character_Creation!$M$350&gt;0,1,0)</f>
        <v>1</v>
      </c>
      <c r="CH125">
        <f>IF(CG125=0,0,1+COUNTIF(CH$3:CH124,"&gt;0"))</f>
        <v>20</v>
      </c>
      <c r="CI125" t="str">
        <f t="shared" si="94"/>
        <v/>
      </c>
      <c r="CJ125" t="str">
        <f t="shared" si="66"/>
        <v/>
      </c>
      <c r="CL125">
        <f>IF(IFERROR(SEARCH("Bard",$T125,1),0)&gt;0,1,0)*IF(BardMaxSpellLevel&gt;=$C125,1,0)*IF(IFERROR(MATCH(B125,Character_Creation!$C$341:$F$362,0),0)&gt;0,0,1)*IF(IFERROR(MATCH($B125,Character_Creation!$C$341:$C$362,0),0)&gt;0,0,1)</f>
        <v>0</v>
      </c>
      <c r="CM125">
        <f>IF(CL125=0,0,1+COUNTIF(CM$3:CM124,"&gt;0"))</f>
        <v>0</v>
      </c>
      <c r="CN125" t="str">
        <f t="shared" si="95"/>
        <v/>
      </c>
      <c r="CO125" t="str">
        <f t="shared" si="67"/>
        <v/>
      </c>
      <c r="CQ125">
        <f>IF(IFERROR(SEARCH("Wizard",$T125,1),0)&gt;0,1,0)*IF(WizardMaxSpellLevel&gt;=$C125,1,0)*IF(IFERROR(MATCH(B125,Character_Creation!$X$341:$X$400,0),0)&gt;0,0,1)*IF(SelectedWizardSpellLevel=$C125,1,0)</f>
        <v>0</v>
      </c>
      <c r="CR125">
        <f>IF(CQ125=0,0,1+COUNTIF(CR$3:CR124,"&gt;0"))</f>
        <v>0</v>
      </c>
      <c r="CS125" t="str">
        <f t="shared" si="96"/>
        <v/>
      </c>
      <c r="CT125" t="str">
        <f t="shared" si="68"/>
        <v/>
      </c>
      <c r="CV125">
        <f>IF(IFERROR(MATCH($B125,Character_Creation!$C$341:$C$362,0),0)&gt;0,0,1)*IF(OR(C125="Cantrip",C125&lt;=BardMaxSpellLevel),1,0)*IF(IFERROR(MATCH($B125,Character_Creation!$C$367:$C$374,0),0)&gt;0,0,1)</f>
        <v>0</v>
      </c>
      <c r="CW125">
        <f>IF(CV125=0,0,1+COUNTIF(CW$3:CW124,"&gt;0"))</f>
        <v>0</v>
      </c>
      <c r="CX125" t="str">
        <f t="shared" si="97"/>
        <v/>
      </c>
      <c r="CY125" t="str">
        <f t="shared" si="69"/>
        <v/>
      </c>
      <c r="DA125">
        <f>IF(IF(OR(IFERROR(SEARCH("Cleric",$T125,1),0)&gt;0,IFERROR(SEARCH(DivineDomain&amp;",",$T125,1),0)&gt;0),1,0)*IF($C125=DA$2,1,0)=1,1+COUNTIF(DA$3:DA124,"&gt;0"),0)</f>
        <v>0</v>
      </c>
      <c r="DB125">
        <f>IF(IF(OR(IFERROR(SEARCH("Cleric",$T125,1),0)&gt;0,IFERROR(SEARCH(DivineDomain&amp;",",$T125,1),0)&gt;0),1,0)*IF($C125=DB$2,1,0)=1,1+COUNTIF(DB$3:DB124,"&gt;0"),0)</f>
        <v>0</v>
      </c>
      <c r="DC125">
        <f>IF(IF(OR(IFERROR(SEARCH("Cleric",$T125,1),0)&gt;0,IFERROR(SEARCH(DivineDomain&amp;",",$T125,1),0)&gt;0),1,0)*IF($C125=DC$2,1,0)=1,1+COUNTIF(DC$3:DC124,"&gt;0"),0)</f>
        <v>0</v>
      </c>
      <c r="DD125">
        <f>IF(IF(OR(IFERROR(SEARCH("Cleric",$T125,1),0)&gt;0,IFERROR(SEARCH(DivineDomain&amp;",",$T125,1),0)&gt;0),1,0)*IF($C125=DD$2,1,0)=1,1+COUNTIF(DD$3:DD124,"&gt;0"),0)</f>
        <v>0</v>
      </c>
      <c r="DE125">
        <f>IF(IF(OR(IFERROR(SEARCH("Cleric",$T125,1),0)&gt;0,IFERROR(SEARCH(DivineDomain&amp;",",$T125,1),0)&gt;0),1,0)*IF($C125=DE$2,1,0)=1,1+COUNTIF(DE$3:DE124,"&gt;0"),0)</f>
        <v>0</v>
      </c>
      <c r="DF125">
        <f>IF(IF(OR(IFERROR(SEARCH("Cleric",$T125,1),0)&gt;0,IFERROR(SEARCH(DivineDomain&amp;",",$T125,1),0)&gt;0),1,0)*IF($C125=DF$2,1,0)=1,1+COUNTIF(DF$3:DF124,"&gt;0"),0)</f>
        <v>0</v>
      </c>
      <c r="DG125">
        <f>IF(IF(OR(IFERROR(SEARCH("Cleric",$T125,1),0)&gt;0,IFERROR(SEARCH(DivineDomain&amp;",",$T125,1),0)&gt;0),1,0)*IF($C125=DG$2,1,0)=1,1+COUNTIF(DG$3:DG124,"&gt;0"),0)</f>
        <v>0</v>
      </c>
      <c r="DH125">
        <f>IF(IF(OR(IFERROR(SEARCH("Cleric",$T125,1),0)&gt;0,IFERROR(SEARCH(DivineDomain&amp;",",$T125,1),0)&gt;0),1,0)*IF($C125=DH$2,1,0)=1,1+COUNTIF(DH$3:DH124,"&gt;0"),0)</f>
        <v>0</v>
      </c>
      <c r="DI125">
        <f>IF(IF(OR(IFERROR(SEARCH("Cleric",$T125,1),0)&gt;0,IFERROR(SEARCH(DivineDomain&amp;",",$T125,1),0)&gt;0),1,0)*IF($C125=DI$2,1,0)=1,1+COUNTIF(DI$3:DI124,"&gt;0"),0)</f>
        <v>0</v>
      </c>
      <c r="DJ125">
        <f>IF(IF(OR(IFERROR(SEARCH("Druid",$T125,1),0)&gt;0,IFERROR(SEARCH(DruidLand1,$T125,1),0)&gt;0,IFERROR(SEARCH(DruidLand2,$T125,1),0)&gt;0,IFERROR(SEARCH(DruidLand3,$T125,1),0)&gt;0,IFERROR(SEARCH(DruidLand4,$T125,1),0)&gt;0),1,0)*IF($C125=1,1,0)*IF($C125=DJ$2,1,0)=0,0,1+COUNTIF(DJ$3:DJ124,"&gt;0"))</f>
        <v>0</v>
      </c>
      <c r="DK125">
        <f>IF(IF(OR(IFERROR(SEARCH("Druid",$T125,1),0)&gt;0,IFERROR(SEARCH(DruidLand1,$T125,1),0)&gt;0,IFERROR(SEARCH(DruidLand2,$T125,1),0)&gt;0,IFERROR(SEARCH(DruidLand3,$T125,1),0)&gt;0,IFERROR(SEARCH(DruidLand4,$T125,1),0)&gt;0),1,0)*IF($C125=1,1,0)*IF($C125=DK$2,1,0)=0,0,1+COUNTIF(DK$3:DK124,"&gt;0"))</f>
        <v>0</v>
      </c>
      <c r="DL125">
        <f>IF(IF(OR(IFERROR(SEARCH("Druid",$T125,1),0)&gt;0,IFERROR(SEARCH(DruidLand1,$T125,1),0)&gt;0,IFERROR(SEARCH(DruidLand2,$T125,1),0)&gt;0,IFERROR(SEARCH(DruidLand3,$T125,1),0)&gt;0,IFERROR(SEARCH(DruidLand4,$T125,1),0)&gt;0),1,0)*IF($C125=1,1,0)*IF($C125=DL$2,1,0)=0,0,1+COUNTIF(DL$3:DL124,"&gt;0"))</f>
        <v>0</v>
      </c>
      <c r="DM125">
        <f>IF(IF(OR(IFERROR(SEARCH("Druid",$T125,1),0)&gt;0,IFERROR(SEARCH(DruidLand1,$T125,1),0)&gt;0,IFERROR(SEARCH(DruidLand2,$T125,1),0)&gt;0,IFERROR(SEARCH(DruidLand3,$T125,1),0)&gt;0,IFERROR(SEARCH(DruidLand4,$T125,1),0)&gt;0),1,0)*IF($C125=1,1,0)*IF($C125=DM$2,1,0)=0,0,1+COUNTIF(DM$3:DM124,"&gt;0"))</f>
        <v>0</v>
      </c>
      <c r="DN125">
        <f>IF(IF(OR(IFERROR(SEARCH("Druid",$T125,1),0)&gt;0,IFERROR(SEARCH(DruidLand1,$T125,1),0)&gt;0,IFERROR(SEARCH(DruidLand2,$T125,1),0)&gt;0,IFERROR(SEARCH(DruidLand3,$T125,1),0)&gt;0,IFERROR(SEARCH(DruidLand4,$T125,1),0)&gt;0),1,0)*IF($C125=1,1,0)*IF($C125=DN$2,1,0)=0,0,1+COUNTIF(DN$3:DN124,"&gt;0"))</f>
        <v>0</v>
      </c>
      <c r="DO125">
        <f>IF(IF(OR(IFERROR(SEARCH("Druid",$T125,1),0)&gt;0,IFERROR(SEARCH(DruidLand1,$T125,1),0)&gt;0,IFERROR(SEARCH(DruidLand2,$T125,1),0)&gt;0,IFERROR(SEARCH(DruidLand3,$T125,1),0)&gt;0,IFERROR(SEARCH(DruidLand4,$T125,1),0)&gt;0),1,0)*IF($C125=1,1,0)*IF($C125=DO$2,1,0)=0,0,1+COUNTIF(DO$3:DO124,"&gt;0"))</f>
        <v>0</v>
      </c>
      <c r="DP125">
        <f>IF(IF(OR(IFERROR(SEARCH("Druid",$T125,1),0)&gt;0,IFERROR(SEARCH(DruidLand1,$T125,1),0)&gt;0,IFERROR(SEARCH(DruidLand2,$T125,1),0)&gt;0,IFERROR(SEARCH(DruidLand3,$T125,1),0)&gt;0,IFERROR(SEARCH(DruidLand4,$T125,1),0)&gt;0),1,0)*IF($C125=1,1,0)*IF($C125=DP$2,1,0)=0,0,1+COUNTIF(DP$3:DP124,"&gt;0"))</f>
        <v>0</v>
      </c>
      <c r="DQ125">
        <f>IF(IF(OR(IFERROR(SEARCH("Druid",$T125,1),0)&gt;0,IFERROR(SEARCH(DruidLand1,$T125,1),0)&gt;0,IFERROR(SEARCH(DruidLand2,$T125,1),0)&gt;0,IFERROR(SEARCH(DruidLand3,$T125,1),0)&gt;0,IFERROR(SEARCH(DruidLand4,$T125,1),0)&gt;0),1,0)*IF($C125=1,1,0)*IF($C125=DQ$2,1,0)=0,0,1+COUNTIF(DQ$3:DQ124,"&gt;0"))</f>
        <v>0</v>
      </c>
      <c r="DR125">
        <f>IF(IF(OR(IFERROR(SEARCH("Druid",$T125,1),0)&gt;0,IFERROR(SEARCH(DruidLand1,$T125,1),0)&gt;0,IFERROR(SEARCH(DruidLand2,$T125,1),0)&gt;0,IFERROR(SEARCH(DruidLand3,$T125,1),0)&gt;0,IFERROR(SEARCH(DruidLand4,$T125,1),0)&gt;0),1,0)*IF($C125=1,1,0)*IF($C125=DR$2,1,0)=0,0,1+COUNTIF(DR$3:DR124,"&gt;0"))</f>
        <v>0</v>
      </c>
      <c r="DS125">
        <f>IF(IF(OR(IFERROR(SEARCH("Paladin",$T125,1),0)&gt;0,IFERROR(SEARCH(PaladinOath,$T125,1),0)&gt;0),1,0)*IF($C125=DS$2,1,0)=1,1+COUNTIF(DS$3:DS124,"&gt;0"),0)</f>
        <v>0</v>
      </c>
      <c r="DT125">
        <f>IF(IF(OR(IFERROR(SEARCH("Paladin",$T125,1),0)&gt;0,IFERROR(SEARCH(PaladinOath,$T125,1),0)&gt;0),1,0)*IF($C125=DT$2,1,0)=1,1+COUNTIF(DT$3:DT124,"&gt;0"),0)</f>
        <v>0</v>
      </c>
      <c r="DU125">
        <f>IF(IF(OR(IFERROR(SEARCH("Paladin",$T125,1),0)&gt;0,IFERROR(SEARCH(PaladinOath,$T125,1),0)&gt;0),1,0)*IF($C125=DU$2,1,0)=1,1+COUNTIF(DU$3:DU124,"&gt;0"),0)</f>
        <v>0</v>
      </c>
      <c r="DV125">
        <f>IF(IF(OR(IFERROR(SEARCH("Paladin",$T125,1),0)&gt;0,IFERROR(SEARCH(PaladinOath,$T125,1),0)&gt;0),1,0)*IF($C125=DV$2,1,0)=1,1+COUNTIF(DV$3:DV124,"&gt;0"),0)</f>
        <v>0</v>
      </c>
      <c r="DW125">
        <f>IF(IF(OR(IFERROR(SEARCH("Paladin",$T125,1),0)&gt;0,IFERROR(SEARCH(PaladinOath,$T125,1),0)&gt;0),1,0)*IF($C125=DW$2,1,0)=1,1+COUNTIF(DW$3:DW124,"&gt;0"),0)</f>
        <v>0</v>
      </c>
      <c r="DY125">
        <f t="shared" si="56"/>
        <v>1</v>
      </c>
      <c r="DZ125">
        <f>IF(DY125=0,0,1+MAX(DZ$3:$DZ124))</f>
        <v>123</v>
      </c>
      <c r="EB125">
        <f t="shared" si="70"/>
        <v>0</v>
      </c>
      <c r="EC125">
        <f>IF(EB125=0,0,1+COUNTIF(EC$3:EC124,"&gt;0"))</f>
        <v>0</v>
      </c>
      <c r="ED125" t="str">
        <f t="shared" si="98"/>
        <v/>
      </c>
      <c r="EE125" t="str">
        <f t="shared" si="71"/>
        <v/>
      </c>
      <c r="EG125">
        <f t="shared" si="72"/>
        <v>0</v>
      </c>
      <c r="EH125">
        <f>IF(EG125=0,0,1+COUNTIF(EH$3:EH124,"&gt;0"))</f>
        <v>0</v>
      </c>
      <c r="EI125" t="str">
        <f t="shared" si="99"/>
        <v/>
      </c>
      <c r="EJ125" t="str">
        <f t="shared" si="73"/>
        <v/>
      </c>
      <c r="EL125">
        <f t="shared" si="74"/>
        <v>0</v>
      </c>
      <c r="EM125">
        <f>IF(EL125=0,0,1+COUNTIF(EM$3:EM124,"&gt;0"))</f>
        <v>0</v>
      </c>
      <c r="EN125" t="str">
        <f t="shared" si="100"/>
        <v/>
      </c>
      <c r="EO125" t="str">
        <f t="shared" si="75"/>
        <v/>
      </c>
      <c r="EQ125">
        <f t="shared" si="76"/>
        <v>0</v>
      </c>
      <c r="ER125">
        <f>IF(EQ125=0,0,1+COUNTIF(ER$3:ER124,"&gt;0"))</f>
        <v>0</v>
      </c>
      <c r="ES125" t="str">
        <f t="shared" si="101"/>
        <v/>
      </c>
      <c r="ET125" t="str">
        <f t="shared" si="77"/>
        <v/>
      </c>
      <c r="EV125">
        <f t="shared" si="78"/>
        <v>0</v>
      </c>
      <c r="EW125">
        <f>IF(EV125=0,0,1+COUNTIF(EW$3:EW124,"&gt;0"))</f>
        <v>0</v>
      </c>
      <c r="EX125" t="str">
        <f t="shared" si="102"/>
        <v/>
      </c>
      <c r="EY125" t="str">
        <f t="shared" si="79"/>
        <v/>
      </c>
      <c r="FA125">
        <f t="shared" si="80"/>
        <v>0</v>
      </c>
      <c r="FB125">
        <f>IF(FA125=0,0,1+COUNTIF(FB$3:FB124,"&gt;0"))</f>
        <v>0</v>
      </c>
      <c r="FC125" t="str">
        <f t="shared" si="103"/>
        <v/>
      </c>
      <c r="FD125" t="str">
        <f t="shared" si="81"/>
        <v/>
      </c>
      <c r="FF125">
        <f t="shared" si="82"/>
        <v>0</v>
      </c>
      <c r="FG125">
        <f>IF(FF125=0,0,1+COUNTIF(FG$3:FG124,"&gt;0"))</f>
        <v>0</v>
      </c>
      <c r="FH125" t="str">
        <f t="shared" si="104"/>
        <v/>
      </c>
      <c r="FI125" t="str">
        <f t="shared" si="83"/>
        <v/>
      </c>
      <c r="FK125">
        <f t="shared" si="84"/>
        <v>0</v>
      </c>
      <c r="FL125">
        <f>IF(FK125=0,0,1+COUNTIF(FL$3:FL124,"&gt;0"))</f>
        <v>0</v>
      </c>
      <c r="FM125" t="str">
        <f t="shared" si="105"/>
        <v/>
      </c>
      <c r="FN125" t="str">
        <f t="shared" si="85"/>
        <v/>
      </c>
      <c r="FP125">
        <f t="shared" si="86"/>
        <v>0</v>
      </c>
      <c r="FQ125">
        <f>IF(FP125=0,0,1+COUNTIF(FQ$3:FQ124,"&gt;0"))</f>
        <v>0</v>
      </c>
      <c r="FR125" t="str">
        <f t="shared" si="106"/>
        <v/>
      </c>
      <c r="FS125" t="str">
        <f t="shared" si="87"/>
        <v/>
      </c>
    </row>
    <row r="126" spans="1:175" x14ac:dyDescent="0.25">
      <c r="A126" s="347">
        <f t="shared" si="107"/>
        <v>124</v>
      </c>
      <c r="B126" s="348" t="s">
        <v>2495</v>
      </c>
      <c r="C126" s="348">
        <v>6</v>
      </c>
      <c r="D126" s="347">
        <v>6</v>
      </c>
      <c r="E126" s="627" t="s">
        <v>6952</v>
      </c>
      <c r="F126" s="346"/>
      <c r="G126" s="347" t="str">
        <f>""</f>
        <v/>
      </c>
      <c r="H126" s="347" t="s">
        <v>5912</v>
      </c>
      <c r="I126" s="347" t="s">
        <v>5283</v>
      </c>
      <c r="J126" s="347" t="str">
        <f t="shared" si="57"/>
        <v/>
      </c>
      <c r="K126" s="347" t="s">
        <v>5291</v>
      </c>
      <c r="L126" s="611" t="str">
        <f t="shared" si="58"/>
        <v>V, S</v>
      </c>
      <c r="M126" s="347" t="s">
        <v>2373</v>
      </c>
      <c r="N126" s="347" t="s">
        <v>2387</v>
      </c>
      <c r="O126" s="347" t="s">
        <v>3034</v>
      </c>
      <c r="P126" s="346" t="str">
        <f>""</f>
        <v/>
      </c>
      <c r="Q126" s="347" t="s">
        <v>5275</v>
      </c>
      <c r="S126" s="346" t="s">
        <v>5682</v>
      </c>
      <c r="T126" s="346" t="str">
        <f t="shared" si="59"/>
        <v xml:space="preserve">Bard, Sorcerer, Warlock, Wizard, </v>
      </c>
      <c r="U126" s="347" t="str">
        <f>$B126</f>
        <v>Eyebite</v>
      </c>
      <c r="X126" s="347" t="str">
        <f>$B126</f>
        <v>Eyebite</v>
      </c>
      <c r="Y126" s="347" t="str">
        <f>$B126</f>
        <v>Eyebite</v>
      </c>
      <c r="AD126" s="347" t="str">
        <f>$B126</f>
        <v>Eyebite</v>
      </c>
      <c r="AE126" t="str">
        <f>IF(IFERROR(MATCH($B126,temp!A$4:A$13,0),0)&gt;0,T08_Spells!AE$2,"")</f>
        <v/>
      </c>
      <c r="AF126" t="str">
        <f>IF(IFERROR(MATCH($B126,temp!B$4:B$13,0),0)&gt;0,T08_Spells!AF$2,"")</f>
        <v/>
      </c>
      <c r="AG126" t="str">
        <f>IF(IFERROR(MATCH($B126,temp!C$4:C$13,0),0)&gt;0,T08_Spells!AG$2,"")</f>
        <v/>
      </c>
      <c r="AH126" t="str">
        <f>IF(IFERROR(MATCH($B126,temp!D$4:D$13,0),0)&gt;0,T08_Spells!AH$2,"")</f>
        <v/>
      </c>
      <c r="AI126" t="str">
        <f>IF(IFERROR(MATCH($B126,temp!E$4:E$13,0),0)&gt;0,T08_Spells!AI$2,"")</f>
        <v/>
      </c>
      <c r="AJ126" t="str">
        <f>IF(IFERROR(MATCH($B126,temp!F$4:F$13,0),0)&gt;0,T08_Spells!AJ$2,"")</f>
        <v/>
      </c>
      <c r="AK126" t="str">
        <f>IF(IFERROR(MATCH($B126,temp!G$4:G$13,0),0)&gt;0,T08_Spells!AK$2,"")</f>
        <v/>
      </c>
      <c r="AL126" t="str">
        <f>IF(IFERROR(MATCH($B126,temp!H$4:H$13,0),0)&gt;0,T08_Spells!AL$2,"")</f>
        <v/>
      </c>
      <c r="AM126" t="str">
        <f>IF(IFERROR(MATCH($B126,temp!I$4:I$13,0),0)&gt;0,T08_Spells!AM$2,"")</f>
        <v/>
      </c>
      <c r="AN126" t="str">
        <f>IF(IFERROR(MATCH($B126,temp!J$4:J$13,0),0)&gt;0,T08_Spells!AN$2,"")</f>
        <v/>
      </c>
      <c r="AO126" t="str">
        <f>IF(IFERROR(MATCH($B126,temp!K$4:K$13,0),0)&gt;0,T08_Spells!AO$2,"")</f>
        <v/>
      </c>
      <c r="AP126" t="str">
        <f>IF(IFERROR(MATCH($B126,temp!L$4:L$13,0),0)&gt;0,T08_Spells!AP$2,"")</f>
        <v/>
      </c>
      <c r="AQ126" t="str">
        <f>IF(IFERROR(MATCH($B126,temp!M$4:M$13,0),0)&gt;0,T08_Spells!AQ$2,"")</f>
        <v/>
      </c>
      <c r="AR126" t="str">
        <f>IF(IFERROR(MATCH($B126,temp!N$4:N$13,0),0)&gt;0,T08_Spells!AR$2,"")</f>
        <v/>
      </c>
      <c r="AS126" t="str">
        <f>IF(IFERROR(MATCH($B126,temp!O$4:O$13,0),0)&gt;0,T08_Spells!AS$2,"")</f>
        <v/>
      </c>
      <c r="AT126" t="str">
        <f>IF(IFERROR(MATCH($B126,temp!P$4:P$13,0),0)&gt;0,T08_Spells!AT$2,"")</f>
        <v/>
      </c>
      <c r="AU126" t="str">
        <f>IF(IFERROR(MATCH($B126,temp!Q$4:Q$13,0),0)&gt;0,T08_Spells!AU$2,"")</f>
        <v/>
      </c>
      <c r="AV126" t="str">
        <f>IF(IFERROR(MATCH($B126,temp!R$4:R$13,0),0)&gt;0,T08_Spells!AV$2,"")</f>
        <v/>
      </c>
      <c r="AW126" t="str">
        <f>IF(IFERROR(MATCH($B126,temp!S$4:S$13,0),0)&gt;0,T08_Spells!AW$2,"")</f>
        <v/>
      </c>
      <c r="AX126" t="str">
        <f>IF(IFERROR(MATCH($B126,temp!T$4:T$13,0),0)&gt;0,T08_Spells!AX$2,"")</f>
        <v/>
      </c>
      <c r="AY126" t="str">
        <f>IF(IFERROR(MATCH($B126,temp!U$4:U$13,0),0)&gt;0,T08_Spells!AY$2,"")</f>
        <v/>
      </c>
      <c r="AZ126" t="str">
        <f>IF(IFERROR(MATCH($B126,temp!V$4:V$13,0),0)&gt;0,T08_Spells!AZ$2,"")</f>
        <v/>
      </c>
      <c r="BA126" t="str">
        <f>IF(IFERROR(MATCH($B126,temp!W$4:W$13,0),0)&gt;0,T08_Spells!BA$2,"")</f>
        <v/>
      </c>
      <c r="BC126">
        <f>IF(IFERROR(SEARCH("Ranger",$T126,1),0)&gt;0,1,0)*IF(RangerMaxSpellLevel&gt;=$C126,1,0)*IF(IFERROR(MATCH(B126,Character_Creation!$X$79:$X$382,0),0)&gt;0,0,1)</f>
        <v>0</v>
      </c>
      <c r="BD126">
        <f>IF(BC126=0,0,1+COUNTIF(BD$3:BD125,"&gt;0"))</f>
        <v>0</v>
      </c>
      <c r="BE126" t="str">
        <f t="shared" si="88"/>
        <v/>
      </c>
      <c r="BF126" t="str">
        <f t="shared" si="60"/>
        <v/>
      </c>
      <c r="BH126">
        <f>IF(IFERROR(SEARCH("Sorcerer",$T126,1),0)&gt;0,1,0)*IF(SorcererMaxSpellLevel&gt;=$C126,1,0)*IF(IFERROR(MATCH(B126,Character_Creation!$J$380:$J$394,0),0)&gt;0,0,1)</f>
        <v>0</v>
      </c>
      <c r="BI126">
        <f>IF(BH126=0,0,1+COUNTIF(BI$3:BI125,"&gt;0"))</f>
        <v>0</v>
      </c>
      <c r="BJ126" t="str">
        <f t="shared" si="89"/>
        <v/>
      </c>
      <c r="BK126" t="str">
        <f t="shared" si="61"/>
        <v/>
      </c>
      <c r="BM126">
        <f>IF(OR(IFERROR(SEARCH("Warlock",$T126,1),0)&gt;0,IFERROR(SEARCH(WarlockPatron,$T126,1),0)&gt;0),1,0)*IF(WarlockMaxSpellLevel&gt;=$C126,1,0)*IF(IFERROR(MATCH(B126,Character_Creation!$J$361:$J$375,0),0)&gt;0,0,1)</f>
        <v>0</v>
      </c>
      <c r="BN126">
        <f>IF(BM126=0,0,1+COUNTIF(BN$3:BN125,"&gt;0"))</f>
        <v>0</v>
      </c>
      <c r="BO126" t="str">
        <f t="shared" si="90"/>
        <v/>
      </c>
      <c r="BP126" t="str">
        <f t="shared" si="62"/>
        <v/>
      </c>
      <c r="BR126">
        <f>IF(IFERROR(SEARCH("Eldritch Knight",$T126,1),0)&gt;0,1,0)*IF(EldritchKnightMaxSpellLevel&gt;=$C126,1,0)*IF(IFERROR(MATCH($B126,Character_Creation!$J$350:$J$356,0),0)&gt;0,0,1)*IF(Character_Creation!$M$338&gt;0,1,0)</f>
        <v>0</v>
      </c>
      <c r="BS126">
        <f>IF(BR126=0,0,1+COUNTIF(BS$3:BS125,"&gt;0"))</f>
        <v>0</v>
      </c>
      <c r="BT126" t="str">
        <f t="shared" si="91"/>
        <v/>
      </c>
      <c r="BU126" t="str">
        <f t="shared" si="63"/>
        <v/>
      </c>
      <c r="BW126">
        <f>IF(IFERROR(SEARCH("Arcane Trickster",$T126,1),0)&gt;0,1,0)*IF(ArcaneTricksterMaxSpellLevel&gt;=$C126,1,0)*IF(IFERROR(MATCH($B126,Character_Creation!$J$350:$J$356,0),0)&gt;0,0,1)*IF(Character_Creation!$T$338&gt;0,1,0)</f>
        <v>0</v>
      </c>
      <c r="BX126">
        <f>IF(BW126=0,0,1+COUNTIF(BX$3:BX125,"&gt;0"))</f>
        <v>0</v>
      </c>
      <c r="BY126" t="str">
        <f t="shared" si="92"/>
        <v/>
      </c>
      <c r="BZ126" t="str">
        <f t="shared" si="64"/>
        <v/>
      </c>
      <c r="CB126">
        <f>IF(IFERROR(SEARCH("Wizard",$T126,1),0)&gt;0,1,0)*IF(C126&lt;=ArcaneTricksterMaxSpellLevel,1,0)*IF(IFERROR(MATCH($B126,Character_Creation!$J$350:$J$356,0),0)&gt;0,0,1)*IF(Character_Creation!$T$350&gt;0,1,0)</f>
        <v>0</v>
      </c>
      <c r="CC126">
        <f>IF(CB126=0,0,1+COUNTIF(CC$3:CC125,"&gt;0"))</f>
        <v>0</v>
      </c>
      <c r="CD126" t="str">
        <f t="shared" si="93"/>
        <v/>
      </c>
      <c r="CE126" t="str">
        <f t="shared" si="65"/>
        <v/>
      </c>
      <c r="CG126">
        <f>IF(IFERROR(SEARCH("Wizard",$T126,1),0)&gt;0,1,0)*IF($C126&lt;=EldritchKnightMaxSpellLevel,1,0)*IF(IFERROR(MATCH($B126,Character_Creation!$J$350:$J$356,0),0)&gt;0,0,1)*IF(Character_Creation!$M$350&gt;0,1,0)</f>
        <v>0</v>
      </c>
      <c r="CH126">
        <f>IF(CG126=0,0,1+COUNTIF(CH$3:CH125,"&gt;0"))</f>
        <v>0</v>
      </c>
      <c r="CI126" t="str">
        <f t="shared" si="94"/>
        <v/>
      </c>
      <c r="CJ126" t="str">
        <f t="shared" si="66"/>
        <v/>
      </c>
      <c r="CL126">
        <f>IF(IFERROR(SEARCH("Bard",$T126,1),0)&gt;0,1,0)*IF(BardMaxSpellLevel&gt;=$C126,1,0)*IF(IFERROR(MATCH(B126,Character_Creation!$C$341:$F$362,0),0)&gt;0,0,1)*IF(IFERROR(MATCH($B126,Character_Creation!$C$341:$C$362,0),0)&gt;0,0,1)</f>
        <v>0</v>
      </c>
      <c r="CM126">
        <f>IF(CL126=0,0,1+COUNTIF(CM$3:CM125,"&gt;0"))</f>
        <v>0</v>
      </c>
      <c r="CN126" t="str">
        <f t="shared" si="95"/>
        <v/>
      </c>
      <c r="CO126" t="str">
        <f t="shared" si="67"/>
        <v/>
      </c>
      <c r="CQ126">
        <f>IF(IFERROR(SEARCH("Wizard",$T126,1),0)&gt;0,1,0)*IF(WizardMaxSpellLevel&gt;=$C126,1,0)*IF(IFERROR(MATCH(B126,Character_Creation!$X$341:$X$400,0),0)&gt;0,0,1)*IF(SelectedWizardSpellLevel=$C126,1,0)</f>
        <v>0</v>
      </c>
      <c r="CR126">
        <f>IF(CQ126=0,0,1+COUNTIF(CR$3:CR125,"&gt;0"))</f>
        <v>0</v>
      </c>
      <c r="CS126" t="str">
        <f t="shared" si="96"/>
        <v/>
      </c>
      <c r="CT126" t="str">
        <f t="shared" si="68"/>
        <v/>
      </c>
      <c r="CV126">
        <f>IF(IFERROR(MATCH($B126,Character_Creation!$C$341:$C$362,0),0)&gt;0,0,1)*IF(OR(C126="Cantrip",C126&lt;=BardMaxSpellLevel),1,0)*IF(IFERROR(MATCH($B126,Character_Creation!$C$367:$C$374,0),0)&gt;0,0,1)</f>
        <v>0</v>
      </c>
      <c r="CW126">
        <f>IF(CV126=0,0,1+COUNTIF(CW$3:CW125,"&gt;0"))</f>
        <v>0</v>
      </c>
      <c r="CX126" t="str">
        <f t="shared" si="97"/>
        <v/>
      </c>
      <c r="CY126" t="str">
        <f t="shared" si="69"/>
        <v/>
      </c>
      <c r="DA126">
        <f>IF(IF(OR(IFERROR(SEARCH("Cleric",$T126,1),0)&gt;0,IFERROR(SEARCH(DivineDomain&amp;",",$T126,1),0)&gt;0),1,0)*IF($C126=DA$2,1,0)=1,1+COUNTIF(DA$3:DA125,"&gt;0"),0)</f>
        <v>0</v>
      </c>
      <c r="DB126">
        <f>IF(IF(OR(IFERROR(SEARCH("Cleric",$T126,1),0)&gt;0,IFERROR(SEARCH(DivineDomain&amp;",",$T126,1),0)&gt;0),1,0)*IF($C126=DB$2,1,0)=1,1+COUNTIF(DB$3:DB125,"&gt;0"),0)</f>
        <v>0</v>
      </c>
      <c r="DC126">
        <f>IF(IF(OR(IFERROR(SEARCH("Cleric",$T126,1),0)&gt;0,IFERROR(SEARCH(DivineDomain&amp;",",$T126,1),0)&gt;0),1,0)*IF($C126=DC$2,1,0)=1,1+COUNTIF(DC$3:DC125,"&gt;0"),0)</f>
        <v>0</v>
      </c>
      <c r="DD126">
        <f>IF(IF(OR(IFERROR(SEARCH("Cleric",$T126,1),0)&gt;0,IFERROR(SEARCH(DivineDomain&amp;",",$T126,1),0)&gt;0),1,0)*IF($C126=DD$2,1,0)=1,1+COUNTIF(DD$3:DD125,"&gt;0"),0)</f>
        <v>0</v>
      </c>
      <c r="DE126">
        <f>IF(IF(OR(IFERROR(SEARCH("Cleric",$T126,1),0)&gt;0,IFERROR(SEARCH(DivineDomain&amp;",",$T126,1),0)&gt;0),1,0)*IF($C126=DE$2,1,0)=1,1+COUNTIF(DE$3:DE125,"&gt;0"),0)</f>
        <v>0</v>
      </c>
      <c r="DF126">
        <f>IF(IF(OR(IFERROR(SEARCH("Cleric",$T126,1),0)&gt;0,IFERROR(SEARCH(DivineDomain&amp;",",$T126,1),0)&gt;0),1,0)*IF($C126=DF$2,1,0)=1,1+COUNTIF(DF$3:DF125,"&gt;0"),0)</f>
        <v>0</v>
      </c>
      <c r="DG126">
        <f>IF(IF(OR(IFERROR(SEARCH("Cleric",$T126,1),0)&gt;0,IFERROR(SEARCH(DivineDomain&amp;",",$T126,1),0)&gt;0),1,0)*IF($C126=DG$2,1,0)=1,1+COUNTIF(DG$3:DG125,"&gt;0"),0)</f>
        <v>0</v>
      </c>
      <c r="DH126">
        <f>IF(IF(OR(IFERROR(SEARCH("Cleric",$T126,1),0)&gt;0,IFERROR(SEARCH(DivineDomain&amp;",",$T126,1),0)&gt;0),1,0)*IF($C126=DH$2,1,0)=1,1+COUNTIF(DH$3:DH125,"&gt;0"),0)</f>
        <v>0</v>
      </c>
      <c r="DI126">
        <f>IF(IF(OR(IFERROR(SEARCH("Cleric",$T126,1),0)&gt;0,IFERROR(SEARCH(DivineDomain&amp;",",$T126,1),0)&gt;0),1,0)*IF($C126=DI$2,1,0)=1,1+COUNTIF(DI$3:DI125,"&gt;0"),0)</f>
        <v>0</v>
      </c>
      <c r="DJ126">
        <f>IF(IF(OR(IFERROR(SEARCH("Druid",$T126,1),0)&gt;0,IFERROR(SEARCH(DruidLand1,$T126,1),0)&gt;0,IFERROR(SEARCH(DruidLand2,$T126,1),0)&gt;0,IFERROR(SEARCH(DruidLand3,$T126,1),0)&gt;0,IFERROR(SEARCH(DruidLand4,$T126,1),0)&gt;0),1,0)*IF($C126=1,1,0)*IF($C126=DJ$2,1,0)=0,0,1+COUNTIF(DJ$3:DJ125,"&gt;0"))</f>
        <v>0</v>
      </c>
      <c r="DK126">
        <f>IF(IF(OR(IFERROR(SEARCH("Druid",$T126,1),0)&gt;0,IFERROR(SEARCH(DruidLand1,$T126,1),0)&gt;0,IFERROR(SEARCH(DruidLand2,$T126,1),0)&gt;0,IFERROR(SEARCH(DruidLand3,$T126,1),0)&gt;0,IFERROR(SEARCH(DruidLand4,$T126,1),0)&gt;0),1,0)*IF($C126=1,1,0)*IF($C126=DK$2,1,0)=0,0,1+COUNTIF(DK$3:DK125,"&gt;0"))</f>
        <v>0</v>
      </c>
      <c r="DL126">
        <f>IF(IF(OR(IFERROR(SEARCH("Druid",$T126,1),0)&gt;0,IFERROR(SEARCH(DruidLand1,$T126,1),0)&gt;0,IFERROR(SEARCH(DruidLand2,$T126,1),0)&gt;0,IFERROR(SEARCH(DruidLand3,$T126,1),0)&gt;0,IFERROR(SEARCH(DruidLand4,$T126,1),0)&gt;0),1,0)*IF($C126=1,1,0)*IF($C126=DL$2,1,0)=0,0,1+COUNTIF(DL$3:DL125,"&gt;0"))</f>
        <v>0</v>
      </c>
      <c r="DM126">
        <f>IF(IF(OR(IFERROR(SEARCH("Druid",$T126,1),0)&gt;0,IFERROR(SEARCH(DruidLand1,$T126,1),0)&gt;0,IFERROR(SEARCH(DruidLand2,$T126,1),0)&gt;0,IFERROR(SEARCH(DruidLand3,$T126,1),0)&gt;0,IFERROR(SEARCH(DruidLand4,$T126,1),0)&gt;0),1,0)*IF($C126=1,1,0)*IF($C126=DM$2,1,0)=0,0,1+COUNTIF(DM$3:DM125,"&gt;0"))</f>
        <v>0</v>
      </c>
      <c r="DN126">
        <f>IF(IF(OR(IFERROR(SEARCH("Druid",$T126,1),0)&gt;0,IFERROR(SEARCH(DruidLand1,$T126,1),0)&gt;0,IFERROR(SEARCH(DruidLand2,$T126,1),0)&gt;0,IFERROR(SEARCH(DruidLand3,$T126,1),0)&gt;0,IFERROR(SEARCH(DruidLand4,$T126,1),0)&gt;0),1,0)*IF($C126=1,1,0)*IF($C126=DN$2,1,0)=0,0,1+COUNTIF(DN$3:DN125,"&gt;0"))</f>
        <v>0</v>
      </c>
      <c r="DO126">
        <f>IF(IF(OR(IFERROR(SEARCH("Druid",$T126,1),0)&gt;0,IFERROR(SEARCH(DruidLand1,$T126,1),0)&gt;0,IFERROR(SEARCH(DruidLand2,$T126,1),0)&gt;0,IFERROR(SEARCH(DruidLand3,$T126,1),0)&gt;0,IFERROR(SEARCH(DruidLand4,$T126,1),0)&gt;0),1,0)*IF($C126=1,1,0)*IF($C126=DO$2,1,0)=0,0,1+COUNTIF(DO$3:DO125,"&gt;0"))</f>
        <v>0</v>
      </c>
      <c r="DP126">
        <f>IF(IF(OR(IFERROR(SEARCH("Druid",$T126,1),0)&gt;0,IFERROR(SEARCH(DruidLand1,$T126,1),0)&gt;0,IFERROR(SEARCH(DruidLand2,$T126,1),0)&gt;0,IFERROR(SEARCH(DruidLand3,$T126,1),0)&gt;0,IFERROR(SEARCH(DruidLand4,$T126,1),0)&gt;0),1,0)*IF($C126=1,1,0)*IF($C126=DP$2,1,0)=0,0,1+COUNTIF(DP$3:DP125,"&gt;0"))</f>
        <v>0</v>
      </c>
      <c r="DQ126">
        <f>IF(IF(OR(IFERROR(SEARCH("Druid",$T126,1),0)&gt;0,IFERROR(SEARCH(DruidLand1,$T126,1),0)&gt;0,IFERROR(SEARCH(DruidLand2,$T126,1),0)&gt;0,IFERROR(SEARCH(DruidLand3,$T126,1),0)&gt;0,IFERROR(SEARCH(DruidLand4,$T126,1),0)&gt;0),1,0)*IF($C126=1,1,0)*IF($C126=DQ$2,1,0)=0,0,1+COUNTIF(DQ$3:DQ125,"&gt;0"))</f>
        <v>0</v>
      </c>
      <c r="DR126">
        <f>IF(IF(OR(IFERROR(SEARCH("Druid",$T126,1),0)&gt;0,IFERROR(SEARCH(DruidLand1,$T126,1),0)&gt;0,IFERROR(SEARCH(DruidLand2,$T126,1),0)&gt;0,IFERROR(SEARCH(DruidLand3,$T126,1),0)&gt;0,IFERROR(SEARCH(DruidLand4,$T126,1),0)&gt;0),1,0)*IF($C126=1,1,0)*IF($C126=DR$2,1,0)=0,0,1+COUNTIF(DR$3:DR125,"&gt;0"))</f>
        <v>0</v>
      </c>
      <c r="DS126">
        <f>IF(IF(OR(IFERROR(SEARCH("Paladin",$T126,1),0)&gt;0,IFERROR(SEARCH(PaladinOath,$T126,1),0)&gt;0),1,0)*IF($C126=DS$2,1,0)=1,1+COUNTIF(DS$3:DS125,"&gt;0"),0)</f>
        <v>0</v>
      </c>
      <c r="DT126">
        <f>IF(IF(OR(IFERROR(SEARCH("Paladin",$T126,1),0)&gt;0,IFERROR(SEARCH(PaladinOath,$T126,1),0)&gt;0),1,0)*IF($C126=DT$2,1,0)=1,1+COUNTIF(DT$3:DT125,"&gt;0"),0)</f>
        <v>0</v>
      </c>
      <c r="DU126">
        <f>IF(IF(OR(IFERROR(SEARCH("Paladin",$T126,1),0)&gt;0,IFERROR(SEARCH(PaladinOath,$T126,1),0)&gt;0),1,0)*IF($C126=DU$2,1,0)=1,1+COUNTIF(DU$3:DU125,"&gt;0"),0)</f>
        <v>0</v>
      </c>
      <c r="DV126">
        <f>IF(IF(OR(IFERROR(SEARCH("Paladin",$T126,1),0)&gt;0,IFERROR(SEARCH(PaladinOath,$T126,1),0)&gt;0),1,0)*IF($C126=DV$2,1,0)=1,1+COUNTIF(DV$3:DV125,"&gt;0"),0)</f>
        <v>0</v>
      </c>
      <c r="DW126">
        <f>IF(IF(OR(IFERROR(SEARCH("Paladin",$T126,1),0)&gt;0,IFERROR(SEARCH(PaladinOath,$T126,1),0)&gt;0),1,0)*IF($C126=DW$2,1,0)=1,1+COUNTIF(DW$3:DW125,"&gt;0"),0)</f>
        <v>0</v>
      </c>
      <c r="DY126">
        <f t="shared" si="56"/>
        <v>1</v>
      </c>
      <c r="DZ126">
        <f>IF(DY126=0,0,1+MAX(DZ$3:$DZ125))</f>
        <v>124</v>
      </c>
      <c r="EB126">
        <f t="shared" si="70"/>
        <v>0</v>
      </c>
      <c r="EC126">
        <f>IF(EB126=0,0,1+COUNTIF(EC$3:EC125,"&gt;0"))</f>
        <v>0</v>
      </c>
      <c r="ED126" t="str">
        <f t="shared" si="98"/>
        <v/>
      </c>
      <c r="EE126" t="str">
        <f t="shared" si="71"/>
        <v/>
      </c>
      <c r="EG126">
        <f t="shared" si="72"/>
        <v>0</v>
      </c>
      <c r="EH126">
        <f>IF(EG126=0,0,1+COUNTIF(EH$3:EH125,"&gt;0"))</f>
        <v>0</v>
      </c>
      <c r="EI126" t="str">
        <f t="shared" si="99"/>
        <v/>
      </c>
      <c r="EJ126" t="str">
        <f t="shared" si="73"/>
        <v/>
      </c>
      <c r="EL126">
        <f t="shared" si="74"/>
        <v>0</v>
      </c>
      <c r="EM126">
        <f>IF(EL126=0,0,1+COUNTIF(EM$3:EM125,"&gt;0"))</f>
        <v>0</v>
      </c>
      <c r="EN126" t="str">
        <f t="shared" si="100"/>
        <v/>
      </c>
      <c r="EO126" t="str">
        <f t="shared" si="75"/>
        <v/>
      </c>
      <c r="EQ126">
        <f t="shared" si="76"/>
        <v>0</v>
      </c>
      <c r="ER126">
        <f>IF(EQ126=0,0,1+COUNTIF(ER$3:ER125,"&gt;0"))</f>
        <v>0</v>
      </c>
      <c r="ES126" t="str">
        <f t="shared" si="101"/>
        <v/>
      </c>
      <c r="ET126" t="str">
        <f t="shared" si="77"/>
        <v/>
      </c>
      <c r="EV126">
        <f t="shared" si="78"/>
        <v>0</v>
      </c>
      <c r="EW126">
        <f>IF(EV126=0,0,1+COUNTIF(EW$3:EW125,"&gt;0"))</f>
        <v>0</v>
      </c>
      <c r="EX126" t="str">
        <f t="shared" si="102"/>
        <v/>
      </c>
      <c r="EY126" t="str">
        <f t="shared" si="79"/>
        <v/>
      </c>
      <c r="FA126">
        <f t="shared" si="80"/>
        <v>0</v>
      </c>
      <c r="FB126">
        <f>IF(FA126=0,0,1+COUNTIF(FB$3:FB125,"&gt;0"))</f>
        <v>0</v>
      </c>
      <c r="FC126" t="str">
        <f t="shared" si="103"/>
        <v/>
      </c>
      <c r="FD126" t="str">
        <f t="shared" si="81"/>
        <v/>
      </c>
      <c r="FF126">
        <f t="shared" si="82"/>
        <v>0</v>
      </c>
      <c r="FG126">
        <f>IF(FF126=0,0,1+COUNTIF(FG$3:FG125,"&gt;0"))</f>
        <v>0</v>
      </c>
      <c r="FH126" t="str">
        <f t="shared" si="104"/>
        <v/>
      </c>
      <c r="FI126" t="str">
        <f t="shared" si="83"/>
        <v/>
      </c>
      <c r="FK126">
        <f t="shared" si="84"/>
        <v>0</v>
      </c>
      <c r="FL126">
        <f>IF(FK126=0,0,1+COUNTIF(FL$3:FL125,"&gt;0"))</f>
        <v>0</v>
      </c>
      <c r="FM126" t="str">
        <f t="shared" si="105"/>
        <v/>
      </c>
      <c r="FN126" t="str">
        <f t="shared" si="85"/>
        <v/>
      </c>
      <c r="FP126">
        <f t="shared" si="86"/>
        <v>0</v>
      </c>
      <c r="FQ126">
        <f>IF(FP126=0,0,1+COUNTIF(FQ$3:FQ125,"&gt;0"))</f>
        <v>0</v>
      </c>
      <c r="FR126" t="str">
        <f t="shared" si="106"/>
        <v/>
      </c>
      <c r="FS126" t="str">
        <f t="shared" si="87"/>
        <v/>
      </c>
    </row>
    <row r="127" spans="1:175" x14ac:dyDescent="0.25">
      <c r="A127" s="347">
        <f t="shared" si="107"/>
        <v>125</v>
      </c>
      <c r="B127" s="348" t="s">
        <v>2496</v>
      </c>
      <c r="C127" s="348">
        <v>4</v>
      </c>
      <c r="D127" s="347">
        <v>4</v>
      </c>
      <c r="E127" s="627" t="s">
        <v>6952</v>
      </c>
      <c r="F127" s="346"/>
      <c r="G127" s="347" t="str">
        <f>""</f>
        <v/>
      </c>
      <c r="H127" s="347" t="s">
        <v>5319</v>
      </c>
      <c r="I127" s="347" t="s">
        <v>5290</v>
      </c>
      <c r="J127" s="347" t="str">
        <f t="shared" si="57"/>
        <v/>
      </c>
      <c r="K127" s="347" t="s">
        <v>5278</v>
      </c>
      <c r="L127" s="611" t="str">
        <f t="shared" si="58"/>
        <v>V, S</v>
      </c>
      <c r="M127" s="347" t="s">
        <v>2373</v>
      </c>
      <c r="N127" s="347" t="s">
        <v>2387</v>
      </c>
      <c r="O127" s="347" t="s">
        <v>3034</v>
      </c>
      <c r="P127" s="346" t="str">
        <f>""</f>
        <v/>
      </c>
      <c r="Q127" s="347" t="s">
        <v>5276</v>
      </c>
      <c r="S127" s="346" t="s">
        <v>5683</v>
      </c>
      <c r="T127" s="346" t="str">
        <f t="shared" si="59"/>
        <v xml:space="preserve">Wizard, </v>
      </c>
      <c r="AD127" s="347" t="str">
        <f>$B127</f>
        <v>Fabricate</v>
      </c>
      <c r="AE127" t="str">
        <f>IF(IFERROR(MATCH($B127,temp!A$4:A$13,0),0)&gt;0,T08_Spells!AE$2,"")</f>
        <v/>
      </c>
      <c r="AF127" t="str">
        <f>IF(IFERROR(MATCH($B127,temp!B$4:B$13,0),0)&gt;0,T08_Spells!AF$2,"")</f>
        <v/>
      </c>
      <c r="AG127" t="str">
        <f>IF(IFERROR(MATCH($B127,temp!C$4:C$13,0),0)&gt;0,T08_Spells!AG$2,"")</f>
        <v/>
      </c>
      <c r="AH127" t="str">
        <f>IF(IFERROR(MATCH($B127,temp!D$4:D$13,0),0)&gt;0,T08_Spells!AH$2,"")</f>
        <v/>
      </c>
      <c r="AI127" t="str">
        <f>IF(IFERROR(MATCH($B127,temp!E$4:E$13,0),0)&gt;0,T08_Spells!AI$2,"")</f>
        <v/>
      </c>
      <c r="AJ127" t="str">
        <f>IF(IFERROR(MATCH($B127,temp!F$4:F$13,0),0)&gt;0,T08_Spells!AJ$2,"")</f>
        <v/>
      </c>
      <c r="AK127" t="str">
        <f>IF(IFERROR(MATCH($B127,temp!G$4:G$13,0),0)&gt;0,T08_Spells!AK$2,"")</f>
        <v/>
      </c>
      <c r="AL127" t="str">
        <f>IF(IFERROR(MATCH($B127,temp!H$4:H$13,0),0)&gt;0,T08_Spells!AL$2,"")</f>
        <v/>
      </c>
      <c r="AM127" t="str">
        <f>IF(IFERROR(MATCH($B127,temp!I$4:I$13,0),0)&gt;0,T08_Spells!AM$2,"")</f>
        <v/>
      </c>
      <c r="AN127" t="str">
        <f>IF(IFERROR(MATCH($B127,temp!J$4:J$13,0),0)&gt;0,T08_Spells!AN$2,"")</f>
        <v/>
      </c>
      <c r="AO127" t="str">
        <f>IF(IFERROR(MATCH($B127,temp!K$4:K$13,0),0)&gt;0,T08_Spells!AO$2,"")</f>
        <v/>
      </c>
      <c r="AP127" t="str">
        <f>IF(IFERROR(MATCH($B127,temp!L$4:L$13,0),0)&gt;0,T08_Spells!AP$2,"")</f>
        <v/>
      </c>
      <c r="AQ127" t="str">
        <f>IF(IFERROR(MATCH($B127,temp!M$4:M$13,0),0)&gt;0,T08_Spells!AQ$2,"")</f>
        <v/>
      </c>
      <c r="AR127" t="str">
        <f>IF(IFERROR(MATCH($B127,temp!N$4:N$13,0),0)&gt;0,T08_Spells!AR$2,"")</f>
        <v/>
      </c>
      <c r="AS127" t="str">
        <f>IF(IFERROR(MATCH($B127,temp!O$4:O$13,0),0)&gt;0,T08_Spells!AS$2,"")</f>
        <v/>
      </c>
      <c r="AT127" t="str">
        <f>IF(IFERROR(MATCH($B127,temp!P$4:P$13,0),0)&gt;0,T08_Spells!AT$2,"")</f>
        <v/>
      </c>
      <c r="AU127" t="str">
        <f>IF(IFERROR(MATCH($B127,temp!Q$4:Q$13,0),0)&gt;0,T08_Spells!AU$2,"")</f>
        <v/>
      </c>
      <c r="AV127" t="str">
        <f>IF(IFERROR(MATCH($B127,temp!R$4:R$13,0),0)&gt;0,T08_Spells!AV$2,"")</f>
        <v/>
      </c>
      <c r="AW127" t="str">
        <f>IF(IFERROR(MATCH($B127,temp!S$4:S$13,0),0)&gt;0,T08_Spells!AW$2,"")</f>
        <v/>
      </c>
      <c r="AX127" t="str">
        <f>IF(IFERROR(MATCH($B127,temp!T$4:T$13,0),0)&gt;0,T08_Spells!AX$2,"")</f>
        <v/>
      </c>
      <c r="AY127" t="str">
        <f>IF(IFERROR(MATCH($B127,temp!U$4:U$13,0),0)&gt;0,T08_Spells!AY$2,"")</f>
        <v/>
      </c>
      <c r="AZ127" t="str">
        <f>IF(IFERROR(MATCH($B127,temp!V$4:V$13,0),0)&gt;0,T08_Spells!AZ$2,"")</f>
        <v/>
      </c>
      <c r="BA127" t="str">
        <f>IF(IFERROR(MATCH($B127,temp!W$4:W$13,0),0)&gt;0,T08_Spells!BA$2,"")</f>
        <v/>
      </c>
      <c r="BC127">
        <f>IF(IFERROR(SEARCH("Ranger",$T127,1),0)&gt;0,1,0)*IF(RangerMaxSpellLevel&gt;=$C127,1,0)*IF(IFERROR(MATCH(B127,Character_Creation!$X$79:$X$382,0),0)&gt;0,0,1)</f>
        <v>0</v>
      </c>
      <c r="BD127">
        <f>IF(BC127=0,0,1+COUNTIF(BD$3:BD126,"&gt;0"))</f>
        <v>0</v>
      </c>
      <c r="BE127" t="str">
        <f t="shared" si="88"/>
        <v/>
      </c>
      <c r="BF127" t="str">
        <f t="shared" si="60"/>
        <v/>
      </c>
      <c r="BH127">
        <f>IF(IFERROR(SEARCH("Sorcerer",$T127,1),0)&gt;0,1,0)*IF(SorcererMaxSpellLevel&gt;=$C127,1,0)*IF(IFERROR(MATCH(B127,Character_Creation!$J$380:$J$394,0),0)&gt;0,0,1)</f>
        <v>0</v>
      </c>
      <c r="BI127">
        <f>IF(BH127=0,0,1+COUNTIF(BI$3:BI126,"&gt;0"))</f>
        <v>0</v>
      </c>
      <c r="BJ127" t="str">
        <f t="shared" si="89"/>
        <v/>
      </c>
      <c r="BK127" t="str">
        <f t="shared" si="61"/>
        <v/>
      </c>
      <c r="BM127">
        <f>IF(OR(IFERROR(SEARCH("Warlock",$T127,1),0)&gt;0,IFERROR(SEARCH(WarlockPatron,$T127,1),0)&gt;0),1,0)*IF(WarlockMaxSpellLevel&gt;=$C127,1,0)*IF(IFERROR(MATCH(B127,Character_Creation!$J$361:$J$375,0),0)&gt;0,0,1)</f>
        <v>0</v>
      </c>
      <c r="BN127">
        <f>IF(BM127=0,0,1+COUNTIF(BN$3:BN126,"&gt;0"))</f>
        <v>0</v>
      </c>
      <c r="BO127" t="str">
        <f t="shared" si="90"/>
        <v/>
      </c>
      <c r="BP127" t="str">
        <f t="shared" si="62"/>
        <v/>
      </c>
      <c r="BR127">
        <f>IF(IFERROR(SEARCH("Eldritch Knight",$T127,1),0)&gt;0,1,0)*IF(EldritchKnightMaxSpellLevel&gt;=$C127,1,0)*IF(IFERROR(MATCH($B127,Character_Creation!$J$350:$J$356,0),0)&gt;0,0,1)*IF(Character_Creation!$M$338&gt;0,1,0)</f>
        <v>0</v>
      </c>
      <c r="BS127">
        <f>IF(BR127=0,0,1+COUNTIF(BS$3:BS126,"&gt;0"))</f>
        <v>0</v>
      </c>
      <c r="BT127" t="str">
        <f t="shared" si="91"/>
        <v/>
      </c>
      <c r="BU127" t="str">
        <f t="shared" si="63"/>
        <v/>
      </c>
      <c r="BW127">
        <f>IF(IFERROR(SEARCH("Arcane Trickster",$T127,1),0)&gt;0,1,0)*IF(ArcaneTricksterMaxSpellLevel&gt;=$C127,1,0)*IF(IFERROR(MATCH($B127,Character_Creation!$J$350:$J$356,0),0)&gt;0,0,1)*IF(Character_Creation!$T$338&gt;0,1,0)</f>
        <v>0</v>
      </c>
      <c r="BX127">
        <f>IF(BW127=0,0,1+COUNTIF(BX$3:BX126,"&gt;0"))</f>
        <v>0</v>
      </c>
      <c r="BY127" t="str">
        <f t="shared" si="92"/>
        <v/>
      </c>
      <c r="BZ127" t="str">
        <f t="shared" si="64"/>
        <v/>
      </c>
      <c r="CB127">
        <f>IF(IFERROR(SEARCH("Wizard",$T127,1),0)&gt;0,1,0)*IF(C127&lt;=ArcaneTricksterMaxSpellLevel,1,0)*IF(IFERROR(MATCH($B127,Character_Creation!$J$350:$J$356,0),0)&gt;0,0,1)*IF(Character_Creation!$T$350&gt;0,1,0)</f>
        <v>0</v>
      </c>
      <c r="CC127">
        <f>IF(CB127=0,0,1+COUNTIF(CC$3:CC126,"&gt;0"))</f>
        <v>0</v>
      </c>
      <c r="CD127" t="str">
        <f t="shared" si="93"/>
        <v/>
      </c>
      <c r="CE127" t="str">
        <f t="shared" si="65"/>
        <v/>
      </c>
      <c r="CG127">
        <f>IF(IFERROR(SEARCH("Wizard",$T127,1),0)&gt;0,1,0)*IF($C127&lt;=EldritchKnightMaxSpellLevel,1,0)*IF(IFERROR(MATCH($B127,Character_Creation!$J$350:$J$356,0),0)&gt;0,0,1)*IF(Character_Creation!$M$350&gt;0,1,0)</f>
        <v>0</v>
      </c>
      <c r="CH127">
        <f>IF(CG127=0,0,1+COUNTIF(CH$3:CH126,"&gt;0"))</f>
        <v>0</v>
      </c>
      <c r="CI127" t="str">
        <f t="shared" si="94"/>
        <v/>
      </c>
      <c r="CJ127" t="str">
        <f t="shared" si="66"/>
        <v/>
      </c>
      <c r="CL127">
        <f>IF(IFERROR(SEARCH("Bard",$T127,1),0)&gt;0,1,0)*IF(BardMaxSpellLevel&gt;=$C127,1,0)*IF(IFERROR(MATCH(B127,Character_Creation!$C$341:$F$362,0),0)&gt;0,0,1)*IF(IFERROR(MATCH($B127,Character_Creation!$C$341:$C$362,0),0)&gt;0,0,1)</f>
        <v>0</v>
      </c>
      <c r="CM127">
        <f>IF(CL127=0,0,1+COUNTIF(CM$3:CM126,"&gt;0"))</f>
        <v>0</v>
      </c>
      <c r="CN127" t="str">
        <f t="shared" si="95"/>
        <v/>
      </c>
      <c r="CO127" t="str">
        <f t="shared" si="67"/>
        <v/>
      </c>
      <c r="CQ127">
        <f>IF(IFERROR(SEARCH("Wizard",$T127,1),0)&gt;0,1,0)*IF(WizardMaxSpellLevel&gt;=$C127,1,0)*IF(IFERROR(MATCH(B127,Character_Creation!$X$341:$X$400,0),0)&gt;0,0,1)*IF(SelectedWizardSpellLevel=$C127,1,0)</f>
        <v>0</v>
      </c>
      <c r="CR127">
        <f>IF(CQ127=0,0,1+COUNTIF(CR$3:CR126,"&gt;0"))</f>
        <v>0</v>
      </c>
      <c r="CS127" t="str">
        <f t="shared" si="96"/>
        <v/>
      </c>
      <c r="CT127" t="str">
        <f t="shared" si="68"/>
        <v/>
      </c>
      <c r="CV127">
        <f>IF(IFERROR(MATCH($B127,Character_Creation!$C$341:$C$362,0),0)&gt;0,0,1)*IF(OR(C127="Cantrip",C127&lt;=BardMaxSpellLevel),1,0)*IF(IFERROR(MATCH($B127,Character_Creation!$C$367:$C$374,0),0)&gt;0,0,1)</f>
        <v>0</v>
      </c>
      <c r="CW127">
        <f>IF(CV127=0,0,1+COUNTIF(CW$3:CW126,"&gt;0"))</f>
        <v>0</v>
      </c>
      <c r="CX127" t="str">
        <f t="shared" si="97"/>
        <v/>
      </c>
      <c r="CY127" t="str">
        <f t="shared" si="69"/>
        <v/>
      </c>
      <c r="DA127">
        <f>IF(IF(OR(IFERROR(SEARCH("Cleric",$T127,1),0)&gt;0,IFERROR(SEARCH(DivineDomain&amp;",",$T127,1),0)&gt;0),1,0)*IF($C127=DA$2,1,0)=1,1+COUNTIF(DA$3:DA126,"&gt;0"),0)</f>
        <v>0</v>
      </c>
      <c r="DB127">
        <f>IF(IF(OR(IFERROR(SEARCH("Cleric",$T127,1),0)&gt;0,IFERROR(SEARCH(DivineDomain&amp;",",$T127,1),0)&gt;0),1,0)*IF($C127=DB$2,1,0)=1,1+COUNTIF(DB$3:DB126,"&gt;0"),0)</f>
        <v>0</v>
      </c>
      <c r="DC127">
        <f>IF(IF(OR(IFERROR(SEARCH("Cleric",$T127,1),0)&gt;0,IFERROR(SEARCH(DivineDomain&amp;",",$T127,1),0)&gt;0),1,0)*IF($C127=DC$2,1,0)=1,1+COUNTIF(DC$3:DC126,"&gt;0"),0)</f>
        <v>0</v>
      </c>
      <c r="DD127">
        <f>IF(IF(OR(IFERROR(SEARCH("Cleric",$T127,1),0)&gt;0,IFERROR(SEARCH(DivineDomain&amp;",",$T127,1),0)&gt;0),1,0)*IF($C127=DD$2,1,0)=1,1+COUNTIF(DD$3:DD126,"&gt;0"),0)</f>
        <v>0</v>
      </c>
      <c r="DE127">
        <f>IF(IF(OR(IFERROR(SEARCH("Cleric",$T127,1),0)&gt;0,IFERROR(SEARCH(DivineDomain&amp;",",$T127,1),0)&gt;0),1,0)*IF($C127=DE$2,1,0)=1,1+COUNTIF(DE$3:DE126,"&gt;0"),0)</f>
        <v>0</v>
      </c>
      <c r="DF127">
        <f>IF(IF(OR(IFERROR(SEARCH("Cleric",$T127,1),0)&gt;0,IFERROR(SEARCH(DivineDomain&amp;",",$T127,1),0)&gt;0),1,0)*IF($C127=DF$2,1,0)=1,1+COUNTIF(DF$3:DF126,"&gt;0"),0)</f>
        <v>0</v>
      </c>
      <c r="DG127">
        <f>IF(IF(OR(IFERROR(SEARCH("Cleric",$T127,1),0)&gt;0,IFERROR(SEARCH(DivineDomain&amp;",",$T127,1),0)&gt;0),1,0)*IF($C127=DG$2,1,0)=1,1+COUNTIF(DG$3:DG126,"&gt;0"),0)</f>
        <v>0</v>
      </c>
      <c r="DH127">
        <f>IF(IF(OR(IFERROR(SEARCH("Cleric",$T127,1),0)&gt;0,IFERROR(SEARCH(DivineDomain&amp;",",$T127,1),0)&gt;0),1,0)*IF($C127=DH$2,1,0)=1,1+COUNTIF(DH$3:DH126,"&gt;0"),0)</f>
        <v>0</v>
      </c>
      <c r="DI127">
        <f>IF(IF(OR(IFERROR(SEARCH("Cleric",$T127,1),0)&gt;0,IFERROR(SEARCH(DivineDomain&amp;",",$T127,1),0)&gt;0),1,0)*IF($C127=DI$2,1,0)=1,1+COUNTIF(DI$3:DI126,"&gt;0"),0)</f>
        <v>0</v>
      </c>
      <c r="DJ127">
        <f>IF(IF(OR(IFERROR(SEARCH("Druid",$T127,1),0)&gt;0,IFERROR(SEARCH(DruidLand1,$T127,1),0)&gt;0,IFERROR(SEARCH(DruidLand2,$T127,1),0)&gt;0,IFERROR(SEARCH(DruidLand3,$T127,1),0)&gt;0,IFERROR(SEARCH(DruidLand4,$T127,1),0)&gt;0),1,0)*IF($C127=1,1,0)*IF($C127=DJ$2,1,0)=0,0,1+COUNTIF(DJ$3:DJ126,"&gt;0"))</f>
        <v>0</v>
      </c>
      <c r="DK127">
        <f>IF(IF(OR(IFERROR(SEARCH("Druid",$T127,1),0)&gt;0,IFERROR(SEARCH(DruidLand1,$T127,1),0)&gt;0,IFERROR(SEARCH(DruidLand2,$T127,1),0)&gt;0,IFERROR(SEARCH(DruidLand3,$T127,1),0)&gt;0,IFERROR(SEARCH(DruidLand4,$T127,1),0)&gt;0),1,0)*IF($C127=1,1,0)*IF($C127=DK$2,1,0)=0,0,1+COUNTIF(DK$3:DK126,"&gt;0"))</f>
        <v>0</v>
      </c>
      <c r="DL127">
        <f>IF(IF(OR(IFERROR(SEARCH("Druid",$T127,1),0)&gt;0,IFERROR(SEARCH(DruidLand1,$T127,1),0)&gt;0,IFERROR(SEARCH(DruidLand2,$T127,1),0)&gt;0,IFERROR(SEARCH(DruidLand3,$T127,1),0)&gt;0,IFERROR(SEARCH(DruidLand4,$T127,1),0)&gt;0),1,0)*IF($C127=1,1,0)*IF($C127=DL$2,1,0)=0,0,1+COUNTIF(DL$3:DL126,"&gt;0"))</f>
        <v>0</v>
      </c>
      <c r="DM127">
        <f>IF(IF(OR(IFERROR(SEARCH("Druid",$T127,1),0)&gt;0,IFERROR(SEARCH(DruidLand1,$T127,1),0)&gt;0,IFERROR(SEARCH(DruidLand2,$T127,1),0)&gt;0,IFERROR(SEARCH(DruidLand3,$T127,1),0)&gt;0,IFERROR(SEARCH(DruidLand4,$T127,1),0)&gt;0),1,0)*IF($C127=1,1,0)*IF($C127=DM$2,1,0)=0,0,1+COUNTIF(DM$3:DM126,"&gt;0"))</f>
        <v>0</v>
      </c>
      <c r="DN127">
        <f>IF(IF(OR(IFERROR(SEARCH("Druid",$T127,1),0)&gt;0,IFERROR(SEARCH(DruidLand1,$T127,1),0)&gt;0,IFERROR(SEARCH(DruidLand2,$T127,1),0)&gt;0,IFERROR(SEARCH(DruidLand3,$T127,1),0)&gt;0,IFERROR(SEARCH(DruidLand4,$T127,1),0)&gt;0),1,0)*IF($C127=1,1,0)*IF($C127=DN$2,1,0)=0,0,1+COUNTIF(DN$3:DN126,"&gt;0"))</f>
        <v>0</v>
      </c>
      <c r="DO127">
        <f>IF(IF(OR(IFERROR(SEARCH("Druid",$T127,1),0)&gt;0,IFERROR(SEARCH(DruidLand1,$T127,1),0)&gt;0,IFERROR(SEARCH(DruidLand2,$T127,1),0)&gt;0,IFERROR(SEARCH(DruidLand3,$T127,1),0)&gt;0,IFERROR(SEARCH(DruidLand4,$T127,1),0)&gt;0),1,0)*IF($C127=1,1,0)*IF($C127=DO$2,1,0)=0,0,1+COUNTIF(DO$3:DO126,"&gt;0"))</f>
        <v>0</v>
      </c>
      <c r="DP127">
        <f>IF(IF(OR(IFERROR(SEARCH("Druid",$T127,1),0)&gt;0,IFERROR(SEARCH(DruidLand1,$T127,1),0)&gt;0,IFERROR(SEARCH(DruidLand2,$T127,1),0)&gt;0,IFERROR(SEARCH(DruidLand3,$T127,1),0)&gt;0,IFERROR(SEARCH(DruidLand4,$T127,1),0)&gt;0),1,0)*IF($C127=1,1,0)*IF($C127=DP$2,1,0)=0,0,1+COUNTIF(DP$3:DP126,"&gt;0"))</f>
        <v>0</v>
      </c>
      <c r="DQ127">
        <f>IF(IF(OR(IFERROR(SEARCH("Druid",$T127,1),0)&gt;0,IFERROR(SEARCH(DruidLand1,$T127,1),0)&gt;0,IFERROR(SEARCH(DruidLand2,$T127,1),0)&gt;0,IFERROR(SEARCH(DruidLand3,$T127,1),0)&gt;0,IFERROR(SEARCH(DruidLand4,$T127,1),0)&gt;0),1,0)*IF($C127=1,1,0)*IF($C127=DQ$2,1,0)=0,0,1+COUNTIF(DQ$3:DQ126,"&gt;0"))</f>
        <v>0</v>
      </c>
      <c r="DR127">
        <f>IF(IF(OR(IFERROR(SEARCH("Druid",$T127,1),0)&gt;0,IFERROR(SEARCH(DruidLand1,$T127,1),0)&gt;0,IFERROR(SEARCH(DruidLand2,$T127,1),0)&gt;0,IFERROR(SEARCH(DruidLand3,$T127,1),0)&gt;0,IFERROR(SEARCH(DruidLand4,$T127,1),0)&gt;0),1,0)*IF($C127=1,1,0)*IF($C127=DR$2,1,0)=0,0,1+COUNTIF(DR$3:DR126,"&gt;0"))</f>
        <v>0</v>
      </c>
      <c r="DS127">
        <f>IF(IF(OR(IFERROR(SEARCH("Paladin",$T127,1),0)&gt;0,IFERROR(SEARCH(PaladinOath,$T127,1),0)&gt;0),1,0)*IF($C127=DS$2,1,0)=1,1+COUNTIF(DS$3:DS126,"&gt;0"),0)</f>
        <v>0</v>
      </c>
      <c r="DT127">
        <f>IF(IF(OR(IFERROR(SEARCH("Paladin",$T127,1),0)&gt;0,IFERROR(SEARCH(PaladinOath,$T127,1),0)&gt;0),1,0)*IF($C127=DT$2,1,0)=1,1+COUNTIF(DT$3:DT126,"&gt;0"),0)</f>
        <v>0</v>
      </c>
      <c r="DU127">
        <f>IF(IF(OR(IFERROR(SEARCH("Paladin",$T127,1),0)&gt;0,IFERROR(SEARCH(PaladinOath,$T127,1),0)&gt;0),1,0)*IF($C127=DU$2,1,0)=1,1+COUNTIF(DU$3:DU126,"&gt;0"),0)</f>
        <v>0</v>
      </c>
      <c r="DV127">
        <f>IF(IF(OR(IFERROR(SEARCH("Paladin",$T127,1),0)&gt;0,IFERROR(SEARCH(PaladinOath,$T127,1),0)&gt;0),1,0)*IF($C127=DV$2,1,0)=1,1+COUNTIF(DV$3:DV126,"&gt;0"),0)</f>
        <v>0</v>
      </c>
      <c r="DW127">
        <f>IF(IF(OR(IFERROR(SEARCH("Paladin",$T127,1),0)&gt;0,IFERROR(SEARCH(PaladinOath,$T127,1),0)&gt;0),1,0)*IF($C127=DW$2,1,0)=1,1+COUNTIF(DW$3:DW126,"&gt;0"),0)</f>
        <v>0</v>
      </c>
      <c r="DY127">
        <f t="shared" si="56"/>
        <v>1</v>
      </c>
      <c r="DZ127">
        <f>IF(DY127=0,0,1+MAX(DZ$3:$DZ126))</f>
        <v>125</v>
      </c>
      <c r="EB127">
        <f t="shared" si="70"/>
        <v>0</v>
      </c>
      <c r="EC127">
        <f>IF(EB127=0,0,1+COUNTIF(EC$3:EC126,"&gt;0"))</f>
        <v>0</v>
      </c>
      <c r="ED127" t="str">
        <f t="shared" si="98"/>
        <v/>
      </c>
      <c r="EE127" t="str">
        <f t="shared" si="71"/>
        <v/>
      </c>
      <c r="EG127">
        <f t="shared" si="72"/>
        <v>0</v>
      </c>
      <c r="EH127">
        <f>IF(EG127=0,0,1+COUNTIF(EH$3:EH126,"&gt;0"))</f>
        <v>0</v>
      </c>
      <c r="EI127" t="str">
        <f t="shared" si="99"/>
        <v/>
      </c>
      <c r="EJ127" t="str">
        <f t="shared" si="73"/>
        <v/>
      </c>
      <c r="EL127">
        <f t="shared" si="74"/>
        <v>0</v>
      </c>
      <c r="EM127">
        <f>IF(EL127=0,0,1+COUNTIF(EM$3:EM126,"&gt;0"))</f>
        <v>0</v>
      </c>
      <c r="EN127" t="str">
        <f t="shared" si="100"/>
        <v/>
      </c>
      <c r="EO127" t="str">
        <f t="shared" si="75"/>
        <v/>
      </c>
      <c r="EQ127">
        <f t="shared" si="76"/>
        <v>0</v>
      </c>
      <c r="ER127">
        <f>IF(EQ127=0,0,1+COUNTIF(ER$3:ER126,"&gt;0"))</f>
        <v>0</v>
      </c>
      <c r="ES127" t="str">
        <f t="shared" si="101"/>
        <v/>
      </c>
      <c r="ET127" t="str">
        <f t="shared" si="77"/>
        <v/>
      </c>
      <c r="EV127">
        <f t="shared" si="78"/>
        <v>0</v>
      </c>
      <c r="EW127">
        <f>IF(EV127=0,0,1+COUNTIF(EW$3:EW126,"&gt;0"))</f>
        <v>0</v>
      </c>
      <c r="EX127" t="str">
        <f t="shared" si="102"/>
        <v/>
      </c>
      <c r="EY127" t="str">
        <f t="shared" si="79"/>
        <v/>
      </c>
      <c r="FA127">
        <f t="shared" si="80"/>
        <v>0</v>
      </c>
      <c r="FB127">
        <f>IF(FA127=0,0,1+COUNTIF(FB$3:FB126,"&gt;0"))</f>
        <v>0</v>
      </c>
      <c r="FC127" t="str">
        <f t="shared" si="103"/>
        <v/>
      </c>
      <c r="FD127" t="str">
        <f t="shared" si="81"/>
        <v/>
      </c>
      <c r="FF127">
        <f t="shared" si="82"/>
        <v>0</v>
      </c>
      <c r="FG127">
        <f>IF(FF127=0,0,1+COUNTIF(FG$3:FG126,"&gt;0"))</f>
        <v>0</v>
      </c>
      <c r="FH127" t="str">
        <f t="shared" si="104"/>
        <v/>
      </c>
      <c r="FI127" t="str">
        <f t="shared" si="83"/>
        <v/>
      </c>
      <c r="FK127">
        <f t="shared" si="84"/>
        <v>0</v>
      </c>
      <c r="FL127">
        <f>IF(FK127=0,0,1+COUNTIF(FL$3:FL126,"&gt;0"))</f>
        <v>0</v>
      </c>
      <c r="FM127" t="str">
        <f t="shared" si="105"/>
        <v/>
      </c>
      <c r="FN127" t="str">
        <f t="shared" si="85"/>
        <v/>
      </c>
      <c r="FP127">
        <f t="shared" si="86"/>
        <v>0</v>
      </c>
      <c r="FQ127">
        <f>IF(FP127=0,0,1+COUNTIF(FQ$3:FQ126,"&gt;0"))</f>
        <v>0</v>
      </c>
      <c r="FR127" t="str">
        <f t="shared" si="106"/>
        <v/>
      </c>
      <c r="FS127" t="str">
        <f t="shared" si="87"/>
        <v/>
      </c>
    </row>
    <row r="128" spans="1:175" x14ac:dyDescent="0.25">
      <c r="A128" s="347">
        <f t="shared" si="107"/>
        <v>126</v>
      </c>
      <c r="B128" s="348" t="s">
        <v>2497</v>
      </c>
      <c r="C128" s="348">
        <v>1</v>
      </c>
      <c r="D128" s="347">
        <v>1</v>
      </c>
      <c r="E128" s="627" t="s">
        <v>6952</v>
      </c>
      <c r="F128" s="346"/>
      <c r="G128" s="347" t="str">
        <f>""</f>
        <v/>
      </c>
      <c r="H128" s="347" t="s">
        <v>5912</v>
      </c>
      <c r="I128" s="347" t="s">
        <v>424</v>
      </c>
      <c r="J128" s="347" t="str">
        <f t="shared" si="57"/>
        <v/>
      </c>
      <c r="K128" s="347" t="s">
        <v>5291</v>
      </c>
      <c r="L128" s="611" t="str">
        <f t="shared" si="58"/>
        <v>V</v>
      </c>
      <c r="M128" s="347" t="s">
        <v>2373</v>
      </c>
      <c r="N128" s="347" t="s">
        <v>3034</v>
      </c>
      <c r="O128" s="347" t="s">
        <v>3034</v>
      </c>
      <c r="P128" s="346" t="str">
        <f>""</f>
        <v/>
      </c>
      <c r="Q128" s="347" t="s">
        <v>5273</v>
      </c>
      <c r="S128" s="346" t="s">
        <v>5684</v>
      </c>
      <c r="T128" s="346" t="str">
        <f t="shared" si="59"/>
        <v xml:space="preserve">Bard, Druid, Archfey, Light, </v>
      </c>
      <c r="U128" s="347" t="str">
        <f>$B128</f>
        <v>Faerie Fire</v>
      </c>
      <c r="AA128" s="347" t="str">
        <f>$B128</f>
        <v>Faerie Fire</v>
      </c>
      <c r="AE128" t="str">
        <f>IF(IFERROR(MATCH($B128,temp!A$4:A$13,0),0)&gt;0,T08_Spells!AE$2,"")</f>
        <v/>
      </c>
      <c r="AF128" t="str">
        <f>IF(IFERROR(MATCH($B128,temp!B$4:B$13,0),0)&gt;0,T08_Spells!AF$2,"")</f>
        <v/>
      </c>
      <c r="AG128" t="str">
        <f>IF(IFERROR(MATCH($B128,temp!C$4:C$13,0),0)&gt;0,T08_Spells!AG$2,"")</f>
        <v/>
      </c>
      <c r="AH128" t="str">
        <f>IF(IFERROR(MATCH($B128,temp!D$4:D$13,0),0)&gt;0,T08_Spells!AH$2,"")</f>
        <v/>
      </c>
      <c r="AI128" t="str">
        <f>IF(IFERROR(MATCH($B128,temp!E$4:E$13,0),0)&gt;0,T08_Spells!AI$2,"")</f>
        <v>Archfey</v>
      </c>
      <c r="AJ128" t="str">
        <f>IF(IFERROR(MATCH($B128,temp!F$4:F$13,0),0)&gt;0,T08_Spells!AJ$2,"")</f>
        <v/>
      </c>
      <c r="AK128" t="str">
        <f>IF(IFERROR(MATCH($B128,temp!G$4:G$13,0),0)&gt;0,T08_Spells!AK$2,"")</f>
        <v/>
      </c>
      <c r="AL128" t="str">
        <f>IF(IFERROR(MATCH($B128,temp!H$4:H$13,0),0)&gt;0,T08_Spells!AL$2,"")</f>
        <v/>
      </c>
      <c r="AM128" t="str">
        <f>IF(IFERROR(MATCH($B128,temp!I$4:I$13,0),0)&gt;0,T08_Spells!AM$2,"")</f>
        <v/>
      </c>
      <c r="AN128" t="str">
        <f>IF(IFERROR(MATCH($B128,temp!J$4:J$13,0),0)&gt;0,T08_Spells!AN$2,"")</f>
        <v/>
      </c>
      <c r="AO128" t="str">
        <f>IF(IFERROR(MATCH($B128,temp!K$4:K$13,0),0)&gt;0,T08_Spells!AO$2,"")</f>
        <v/>
      </c>
      <c r="AP128" t="str">
        <f>IF(IFERROR(MATCH($B128,temp!L$4:L$13,0),0)&gt;0,T08_Spells!AP$2,"")</f>
        <v/>
      </c>
      <c r="AQ128" t="str">
        <f>IF(IFERROR(MATCH($B128,temp!M$4:M$13,0),0)&gt;0,T08_Spells!AQ$2,"")</f>
        <v/>
      </c>
      <c r="AR128" t="str">
        <f>IF(IFERROR(MATCH($B128,temp!N$4:N$13,0),0)&gt;0,T08_Spells!AR$2,"")</f>
        <v/>
      </c>
      <c r="AS128" t="str">
        <f>IF(IFERROR(MATCH($B128,temp!O$4:O$13,0),0)&gt;0,T08_Spells!AS$2,"")</f>
        <v/>
      </c>
      <c r="AT128" t="str">
        <f>IF(IFERROR(MATCH($B128,temp!P$4:P$13,0),0)&gt;0,T08_Spells!AT$2,"")</f>
        <v/>
      </c>
      <c r="AU128" t="str">
        <f>IF(IFERROR(MATCH($B128,temp!Q$4:Q$13,0),0)&gt;0,T08_Spells!AU$2,"")</f>
        <v/>
      </c>
      <c r="AV128" t="str">
        <f>IF(IFERROR(MATCH($B128,temp!R$4:R$13,0),0)&gt;0,T08_Spells!AV$2,"")</f>
        <v>Light</v>
      </c>
      <c r="AW128" t="str">
        <f>IF(IFERROR(MATCH($B128,temp!S$4:S$13,0),0)&gt;0,T08_Spells!AW$2,"")</f>
        <v/>
      </c>
      <c r="AX128" t="str">
        <f>IF(IFERROR(MATCH($B128,temp!T$4:T$13,0),0)&gt;0,T08_Spells!AX$2,"")</f>
        <v/>
      </c>
      <c r="AY128" t="str">
        <f>IF(IFERROR(MATCH($B128,temp!U$4:U$13,0),0)&gt;0,T08_Spells!AY$2,"")</f>
        <v/>
      </c>
      <c r="AZ128" t="str">
        <f>IF(IFERROR(MATCH($B128,temp!V$4:V$13,0),0)&gt;0,T08_Spells!AZ$2,"")</f>
        <v/>
      </c>
      <c r="BA128" t="str">
        <f>IF(IFERROR(MATCH($B128,temp!W$4:W$13,0),0)&gt;0,T08_Spells!BA$2,"")</f>
        <v/>
      </c>
      <c r="BC128">
        <f>IF(IFERROR(SEARCH("Ranger",$T128,1),0)&gt;0,1,0)*IF(RangerMaxSpellLevel&gt;=$C128,1,0)*IF(IFERROR(MATCH(B128,Character_Creation!$X$79:$X$382,0),0)&gt;0,0,1)</f>
        <v>0</v>
      </c>
      <c r="BD128">
        <f>IF(BC128=0,0,1+COUNTIF(BD$3:BD127,"&gt;0"))</f>
        <v>0</v>
      </c>
      <c r="BE128" t="str">
        <f t="shared" si="88"/>
        <v/>
      </c>
      <c r="BF128" t="str">
        <f t="shared" si="60"/>
        <v/>
      </c>
      <c r="BH128">
        <f>IF(IFERROR(SEARCH("Sorcerer",$T128,1),0)&gt;0,1,0)*IF(SorcererMaxSpellLevel&gt;=$C128,1,0)*IF(IFERROR(MATCH(B128,Character_Creation!$J$380:$J$394,0),0)&gt;0,0,1)</f>
        <v>0</v>
      </c>
      <c r="BI128">
        <f>IF(BH128=0,0,1+COUNTIF(BI$3:BI127,"&gt;0"))</f>
        <v>0</v>
      </c>
      <c r="BJ128" t="str">
        <f t="shared" si="89"/>
        <v/>
      </c>
      <c r="BK128" t="str">
        <f t="shared" si="61"/>
        <v/>
      </c>
      <c r="BM128">
        <f>IF(OR(IFERROR(SEARCH("Warlock",$T128,1),0)&gt;0,IFERROR(SEARCH(WarlockPatron,$T128,1),0)&gt;0),1,0)*IF(WarlockMaxSpellLevel&gt;=$C128,1,0)*IF(IFERROR(MATCH(B128,Character_Creation!$J$361:$J$375,0),0)&gt;0,0,1)</f>
        <v>0</v>
      </c>
      <c r="BN128">
        <f>IF(BM128=0,0,1+COUNTIF(BN$3:BN127,"&gt;0"))</f>
        <v>0</v>
      </c>
      <c r="BO128" t="str">
        <f t="shared" si="90"/>
        <v/>
      </c>
      <c r="BP128" t="str">
        <f t="shared" si="62"/>
        <v/>
      </c>
      <c r="BR128">
        <f>IF(IFERROR(SEARCH("Eldritch Knight",$T128,1),0)&gt;0,1,0)*IF(EldritchKnightMaxSpellLevel&gt;=$C128,1,0)*IF(IFERROR(MATCH($B128,Character_Creation!$J$350:$J$356,0),0)&gt;0,0,1)*IF(Character_Creation!$M$338&gt;0,1,0)</f>
        <v>0</v>
      </c>
      <c r="BS128">
        <f>IF(BR128=0,0,1+COUNTIF(BS$3:BS127,"&gt;0"))</f>
        <v>0</v>
      </c>
      <c r="BT128" t="str">
        <f t="shared" si="91"/>
        <v/>
      </c>
      <c r="BU128" t="str">
        <f t="shared" si="63"/>
        <v/>
      </c>
      <c r="BW128">
        <f>IF(IFERROR(SEARCH("Arcane Trickster",$T128,1),0)&gt;0,1,0)*IF(ArcaneTricksterMaxSpellLevel&gt;=$C128,1,0)*IF(IFERROR(MATCH($B128,Character_Creation!$J$350:$J$356,0),0)&gt;0,0,1)*IF(Character_Creation!$T$338&gt;0,1,0)</f>
        <v>0</v>
      </c>
      <c r="BX128">
        <f>IF(BW128=0,0,1+COUNTIF(BX$3:BX127,"&gt;0"))</f>
        <v>0</v>
      </c>
      <c r="BY128" t="str">
        <f t="shared" si="92"/>
        <v/>
      </c>
      <c r="BZ128" t="str">
        <f t="shared" si="64"/>
        <v/>
      </c>
      <c r="CB128">
        <f>IF(IFERROR(SEARCH("Wizard",$T128,1),0)&gt;0,1,0)*IF(C128&lt;=ArcaneTricksterMaxSpellLevel,1,0)*IF(IFERROR(MATCH($B128,Character_Creation!$J$350:$J$356,0),0)&gt;0,0,1)*IF(Character_Creation!$T$350&gt;0,1,0)</f>
        <v>0</v>
      </c>
      <c r="CC128">
        <f>IF(CB128=0,0,1+COUNTIF(CC$3:CC127,"&gt;0"))</f>
        <v>0</v>
      </c>
      <c r="CD128" t="str">
        <f t="shared" si="93"/>
        <v/>
      </c>
      <c r="CE128" t="str">
        <f t="shared" si="65"/>
        <v/>
      </c>
      <c r="CG128">
        <f>IF(IFERROR(SEARCH("Wizard",$T128,1),0)&gt;0,1,0)*IF($C128&lt;=EldritchKnightMaxSpellLevel,1,0)*IF(IFERROR(MATCH($B128,Character_Creation!$J$350:$J$356,0),0)&gt;0,0,1)*IF(Character_Creation!$M$350&gt;0,1,0)</f>
        <v>0</v>
      </c>
      <c r="CH128">
        <f>IF(CG128=0,0,1+COUNTIF(CH$3:CH127,"&gt;0"))</f>
        <v>0</v>
      </c>
      <c r="CI128" t="str">
        <f t="shared" si="94"/>
        <v/>
      </c>
      <c r="CJ128" t="str">
        <f t="shared" si="66"/>
        <v/>
      </c>
      <c r="CL128">
        <f>IF(IFERROR(SEARCH("Bard",$T128,1),0)&gt;0,1,0)*IF(BardMaxSpellLevel&gt;=$C128,1,0)*IF(IFERROR(MATCH(B128,Character_Creation!$C$341:$F$362,0),0)&gt;0,0,1)*IF(IFERROR(MATCH($B128,Character_Creation!$C$341:$C$362,0),0)&gt;0,0,1)</f>
        <v>0</v>
      </c>
      <c r="CM128">
        <f>IF(CL128=0,0,1+COUNTIF(CM$3:CM127,"&gt;0"))</f>
        <v>0</v>
      </c>
      <c r="CN128" t="str">
        <f t="shared" si="95"/>
        <v/>
      </c>
      <c r="CO128" t="str">
        <f t="shared" si="67"/>
        <v/>
      </c>
      <c r="CQ128">
        <f>IF(IFERROR(SEARCH("Wizard",$T128,1),0)&gt;0,1,0)*IF(WizardMaxSpellLevel&gt;=$C128,1,0)*IF(IFERROR(MATCH(B128,Character_Creation!$X$341:$X$400,0),0)&gt;0,0,1)*IF(SelectedWizardSpellLevel=$C128,1,0)</f>
        <v>0</v>
      </c>
      <c r="CR128">
        <f>IF(CQ128=0,0,1+COUNTIF(CR$3:CR127,"&gt;0"))</f>
        <v>0</v>
      </c>
      <c r="CS128" t="str">
        <f t="shared" si="96"/>
        <v/>
      </c>
      <c r="CT128" t="str">
        <f t="shared" si="68"/>
        <v/>
      </c>
      <c r="CV128">
        <f>IF(IFERROR(MATCH($B128,Character_Creation!$C$341:$C$362,0),0)&gt;0,0,1)*IF(OR(C128="Cantrip",C128&lt;=BardMaxSpellLevel),1,0)*IF(IFERROR(MATCH($B128,Character_Creation!$C$367:$C$374,0),0)&gt;0,0,1)</f>
        <v>0</v>
      </c>
      <c r="CW128">
        <f>IF(CV128=0,0,1+COUNTIF(CW$3:CW127,"&gt;0"))</f>
        <v>0</v>
      </c>
      <c r="CX128" t="str">
        <f t="shared" si="97"/>
        <v/>
      </c>
      <c r="CY128" t="str">
        <f t="shared" si="69"/>
        <v/>
      </c>
      <c r="DA128">
        <f>IF(IF(OR(IFERROR(SEARCH("Cleric",$T128,1),0)&gt;0,IFERROR(SEARCH(DivineDomain&amp;",",$T128,1),0)&gt;0),1,0)*IF($C128=DA$2,1,0)=1,1+COUNTIF(DA$3:DA127,"&gt;0"),0)</f>
        <v>0</v>
      </c>
      <c r="DB128">
        <f>IF(IF(OR(IFERROR(SEARCH("Cleric",$T128,1),0)&gt;0,IFERROR(SEARCH(DivineDomain&amp;",",$T128,1),0)&gt;0),1,0)*IF($C128=DB$2,1,0)=1,1+COUNTIF(DB$3:DB127,"&gt;0"),0)</f>
        <v>0</v>
      </c>
      <c r="DC128">
        <f>IF(IF(OR(IFERROR(SEARCH("Cleric",$T128,1),0)&gt;0,IFERROR(SEARCH(DivineDomain&amp;",",$T128,1),0)&gt;0),1,0)*IF($C128=DC$2,1,0)=1,1+COUNTIF(DC$3:DC127,"&gt;0"),0)</f>
        <v>0</v>
      </c>
      <c r="DD128">
        <f>IF(IF(OR(IFERROR(SEARCH("Cleric",$T128,1),0)&gt;0,IFERROR(SEARCH(DivineDomain&amp;",",$T128,1),0)&gt;0),1,0)*IF($C128=DD$2,1,0)=1,1+COUNTIF(DD$3:DD127,"&gt;0"),0)</f>
        <v>0</v>
      </c>
      <c r="DE128">
        <f>IF(IF(OR(IFERROR(SEARCH("Cleric",$T128,1),0)&gt;0,IFERROR(SEARCH(DivineDomain&amp;",",$T128,1),0)&gt;0),1,0)*IF($C128=DE$2,1,0)=1,1+COUNTIF(DE$3:DE127,"&gt;0"),0)</f>
        <v>0</v>
      </c>
      <c r="DF128">
        <f>IF(IF(OR(IFERROR(SEARCH("Cleric",$T128,1),0)&gt;0,IFERROR(SEARCH(DivineDomain&amp;",",$T128,1),0)&gt;0),1,0)*IF($C128=DF$2,1,0)=1,1+COUNTIF(DF$3:DF127,"&gt;0"),0)</f>
        <v>0</v>
      </c>
      <c r="DG128">
        <f>IF(IF(OR(IFERROR(SEARCH("Cleric",$T128,1),0)&gt;0,IFERROR(SEARCH(DivineDomain&amp;",",$T128,1),0)&gt;0),1,0)*IF($C128=DG$2,1,0)=1,1+COUNTIF(DG$3:DG127,"&gt;0"),0)</f>
        <v>0</v>
      </c>
      <c r="DH128">
        <f>IF(IF(OR(IFERROR(SEARCH("Cleric",$T128,1),0)&gt;0,IFERROR(SEARCH(DivineDomain&amp;",",$T128,1),0)&gt;0),1,0)*IF($C128=DH$2,1,0)=1,1+COUNTIF(DH$3:DH127,"&gt;0"),0)</f>
        <v>0</v>
      </c>
      <c r="DI128">
        <f>IF(IF(OR(IFERROR(SEARCH("Cleric",$T128,1),0)&gt;0,IFERROR(SEARCH(DivineDomain&amp;",",$T128,1),0)&gt;0),1,0)*IF($C128=DI$2,1,0)=1,1+COUNTIF(DI$3:DI127,"&gt;0"),0)</f>
        <v>0</v>
      </c>
      <c r="DJ128">
        <f>IF(IF(OR(IFERROR(SEARCH("Druid",$T128,1),0)&gt;0,IFERROR(SEARCH(DruidLand1,$T128,1),0)&gt;0,IFERROR(SEARCH(DruidLand2,$T128,1),0)&gt;0,IFERROR(SEARCH(DruidLand3,$T128,1),0)&gt;0,IFERROR(SEARCH(DruidLand4,$T128,1),0)&gt;0),1,0)*IF($C128=1,1,0)*IF($C128=DJ$2,1,0)=0,0,1+COUNTIF(DJ$3:DJ127,"&gt;0"))</f>
        <v>8</v>
      </c>
      <c r="DK128">
        <f>IF(IF(OR(IFERROR(SEARCH("Druid",$T128,1),0)&gt;0,IFERROR(SEARCH(DruidLand1,$T128,1),0)&gt;0,IFERROR(SEARCH(DruidLand2,$T128,1),0)&gt;0,IFERROR(SEARCH(DruidLand3,$T128,1),0)&gt;0,IFERROR(SEARCH(DruidLand4,$T128,1),0)&gt;0),1,0)*IF($C128=DK$2,1,0)=0,0,1+COUNTIF(DK$3:DK127,"&gt;0"))</f>
        <v>0</v>
      </c>
      <c r="DL128">
        <f>IF(IF(OR(IFERROR(SEARCH("Druid",$T128,1),0)&gt;0,IFERROR(SEARCH(DruidLand1,$T128,1),0)&gt;0,IFERROR(SEARCH(DruidLand2,$T128,1),0)&gt;0,IFERROR(SEARCH(DruidLand3,$T128,1),0)&gt;0,IFERROR(SEARCH(DruidLand4,$T128,1),0)&gt;0),1,0)*IF($C128=DL$2,1,0)=0,0,1+COUNTIF(DL$3:DL127,"&gt;0"))</f>
        <v>0</v>
      </c>
      <c r="DM128">
        <f>IF(IF(OR(IFERROR(SEARCH("Druid",$T128,1),0)&gt;0,IFERROR(SEARCH(DruidLand1,$T128,1),0)&gt;0,IFERROR(SEARCH(DruidLand2,$T128,1),0)&gt;0,IFERROR(SEARCH(DruidLand3,$T128,1),0)&gt;0,IFERROR(SEARCH(DruidLand4,$T128,1),0)&gt;0),1,0)*IF($C128=DM$2,1,0)=0,0,1+COUNTIF(DM$3:DM127,"&gt;0"))</f>
        <v>0</v>
      </c>
      <c r="DN128">
        <f>IF(IF(OR(IFERROR(SEARCH("Druid",$T128,1),0)&gt;0,IFERROR(SEARCH(DruidLand1,$T128,1),0)&gt;0,IFERROR(SEARCH(DruidLand2,$T128,1),0)&gt;0,IFERROR(SEARCH(DruidLand3,$T128,1),0)&gt;0,IFERROR(SEARCH(DruidLand4,$T128,1),0)&gt;0),1,0)*IF($C128=DN$2,1,0)=0,0,1+COUNTIF(DN$3:DN127,"&gt;0"))</f>
        <v>0</v>
      </c>
      <c r="DO128">
        <f>IF(IF(OR(IFERROR(SEARCH("Druid",$T128,1),0)&gt;0,IFERROR(SEARCH(DruidLand1,$T128,1),0)&gt;0,IFERROR(SEARCH(DruidLand2,$T128,1),0)&gt;0,IFERROR(SEARCH(DruidLand3,$T128,1),0)&gt;0,IFERROR(SEARCH(DruidLand4,$T128,1),0)&gt;0),1,0)*IF($C128=DO$2,1,0)=0,0,1+COUNTIF(DO$3:DO127,"&gt;0"))</f>
        <v>0</v>
      </c>
      <c r="DP128">
        <f>IF(IF(OR(IFERROR(SEARCH("Druid",$T128,1),0)&gt;0,IFERROR(SEARCH(DruidLand1,$T128,1),0)&gt;0,IFERROR(SEARCH(DruidLand2,$T128,1),0)&gt;0,IFERROR(SEARCH(DruidLand3,$T128,1),0)&gt;0,IFERROR(SEARCH(DruidLand4,$T128,1),0)&gt;0),1,0)*IF($C128=DP$2,1,0)=0,0,1+COUNTIF(DP$3:DP127,"&gt;0"))</f>
        <v>0</v>
      </c>
      <c r="DQ128">
        <f>IF(IF(OR(IFERROR(SEARCH("Druid",$T128,1),0)&gt;0,IFERROR(SEARCH(DruidLand1,$T128,1),0)&gt;0,IFERROR(SEARCH(DruidLand2,$T128,1),0)&gt;0,IFERROR(SEARCH(DruidLand3,$T128,1),0)&gt;0,IFERROR(SEARCH(DruidLand4,$T128,1),0)&gt;0),1,0)*IF($C128=DQ$2,1,0)=0,0,1+COUNTIF(DQ$3:DQ127,"&gt;0"))</f>
        <v>0</v>
      </c>
      <c r="DR128">
        <f>IF(IF(OR(IFERROR(SEARCH("Druid",$T128,1),0)&gt;0,IFERROR(SEARCH(DruidLand1,$T128,1),0)&gt;0,IFERROR(SEARCH(DruidLand2,$T128,1),0)&gt;0,IFERROR(SEARCH(DruidLand3,$T128,1),0)&gt;0,IFERROR(SEARCH(DruidLand4,$T128,1),0)&gt;0),1,0)*IF($C128=DR$2,1,0)=0,0,1+COUNTIF(DR$3:DR127,"&gt;0"))</f>
        <v>0</v>
      </c>
      <c r="DS128">
        <f>IF(IF(OR(IFERROR(SEARCH("Paladin",$T128,1),0)&gt;0,IFERROR(SEARCH(PaladinOath,$T128,1),0)&gt;0),1,0)*IF($C128=DS$2,1,0)=1,1+COUNTIF(DS$3:DS127,"&gt;0"),0)</f>
        <v>0</v>
      </c>
      <c r="DT128">
        <f>IF(IF(OR(IFERROR(SEARCH("Paladin",$T128,1),0)&gt;0,IFERROR(SEARCH(PaladinOath,$T128,1),0)&gt;0),1,0)*IF($C128=DT$2,1,0)=1,1+COUNTIF(DT$3:DT127,"&gt;0"),0)</f>
        <v>0</v>
      </c>
      <c r="DU128">
        <f>IF(IF(OR(IFERROR(SEARCH("Paladin",$T128,1),0)&gt;0,IFERROR(SEARCH(PaladinOath,$T128,1),0)&gt;0),1,0)*IF($C128=DU$2,1,0)=1,1+COUNTIF(DU$3:DU127,"&gt;0"),0)</f>
        <v>0</v>
      </c>
      <c r="DV128">
        <f>IF(IF(OR(IFERROR(SEARCH("Paladin",$T128,1),0)&gt;0,IFERROR(SEARCH(PaladinOath,$T128,1),0)&gt;0),1,0)*IF($C128=DV$2,1,0)=1,1+COUNTIF(DV$3:DV127,"&gt;0"),0)</f>
        <v>0</v>
      </c>
      <c r="DW128">
        <f>IF(IF(OR(IFERROR(SEARCH("Paladin",$T128,1),0)&gt;0,IFERROR(SEARCH(PaladinOath,$T128,1),0)&gt;0),1,0)*IF($C128=DW$2,1,0)=1,1+COUNTIF(DW$3:DW127,"&gt;0"),0)</f>
        <v>0</v>
      </c>
      <c r="DY128">
        <f t="shared" si="56"/>
        <v>1</v>
      </c>
      <c r="DZ128">
        <f>IF(DY128=0,0,1+MAX(DZ$3:$DZ127))</f>
        <v>126</v>
      </c>
      <c r="EB128">
        <f t="shared" si="70"/>
        <v>0</v>
      </c>
      <c r="EC128">
        <f>IF(EB128=0,0,1+COUNTIF(EC$3:EC127,"&gt;0"))</f>
        <v>0</v>
      </c>
      <c r="ED128" t="str">
        <f t="shared" si="98"/>
        <v/>
      </c>
      <c r="EE128" t="str">
        <f t="shared" si="71"/>
        <v/>
      </c>
      <c r="EG128">
        <f t="shared" si="72"/>
        <v>0</v>
      </c>
      <c r="EH128">
        <f>IF(EG128=0,0,1+COUNTIF(EH$3:EH127,"&gt;0"))</f>
        <v>0</v>
      </c>
      <c r="EI128" t="str">
        <f t="shared" si="99"/>
        <v/>
      </c>
      <c r="EJ128" t="str">
        <f t="shared" si="73"/>
        <v/>
      </c>
      <c r="EL128">
        <f t="shared" si="74"/>
        <v>0</v>
      </c>
      <c r="EM128">
        <f>IF(EL128=0,0,1+COUNTIF(EM$3:EM127,"&gt;0"))</f>
        <v>0</v>
      </c>
      <c r="EN128" t="str">
        <f t="shared" si="100"/>
        <v/>
      </c>
      <c r="EO128" t="str">
        <f t="shared" si="75"/>
        <v/>
      </c>
      <c r="EQ128">
        <f t="shared" si="76"/>
        <v>0</v>
      </c>
      <c r="ER128">
        <f>IF(EQ128=0,0,1+COUNTIF(ER$3:ER127,"&gt;0"))</f>
        <v>0</v>
      </c>
      <c r="ES128" t="str">
        <f t="shared" si="101"/>
        <v/>
      </c>
      <c r="ET128" t="str">
        <f t="shared" si="77"/>
        <v/>
      </c>
      <c r="EV128">
        <f t="shared" si="78"/>
        <v>0</v>
      </c>
      <c r="EW128">
        <f>IF(EV128=0,0,1+COUNTIF(EW$3:EW127,"&gt;0"))</f>
        <v>0</v>
      </c>
      <c r="EX128" t="str">
        <f t="shared" si="102"/>
        <v/>
      </c>
      <c r="EY128" t="str">
        <f t="shared" si="79"/>
        <v/>
      </c>
      <c r="FA128">
        <f t="shared" si="80"/>
        <v>0</v>
      </c>
      <c r="FB128">
        <f>IF(FA128=0,0,1+COUNTIF(FB$3:FB127,"&gt;0"))</f>
        <v>0</v>
      </c>
      <c r="FC128" t="str">
        <f t="shared" si="103"/>
        <v/>
      </c>
      <c r="FD128" t="str">
        <f t="shared" si="81"/>
        <v/>
      </c>
      <c r="FF128">
        <f t="shared" si="82"/>
        <v>0</v>
      </c>
      <c r="FG128">
        <f>IF(FF128=0,0,1+COUNTIF(FG$3:FG127,"&gt;0"))</f>
        <v>0</v>
      </c>
      <c r="FH128" t="str">
        <f t="shared" si="104"/>
        <v/>
      </c>
      <c r="FI128" t="str">
        <f t="shared" si="83"/>
        <v/>
      </c>
      <c r="FK128">
        <f t="shared" si="84"/>
        <v>0</v>
      </c>
      <c r="FL128">
        <f>IF(FK128=0,0,1+COUNTIF(FL$3:FL127,"&gt;0"))</f>
        <v>0</v>
      </c>
      <c r="FM128" t="str">
        <f t="shared" si="105"/>
        <v/>
      </c>
      <c r="FN128" t="str">
        <f t="shared" si="85"/>
        <v/>
      </c>
      <c r="FP128">
        <f t="shared" si="86"/>
        <v>0</v>
      </c>
      <c r="FQ128">
        <f>IF(FP128=0,0,1+COUNTIF(FQ$3:FQ127,"&gt;0"))</f>
        <v>0</v>
      </c>
      <c r="FR128" t="str">
        <f t="shared" si="106"/>
        <v/>
      </c>
      <c r="FS128" t="str">
        <f t="shared" si="87"/>
        <v/>
      </c>
    </row>
    <row r="129" spans="1:175" x14ac:dyDescent="0.25">
      <c r="A129" s="347">
        <f t="shared" si="107"/>
        <v>127</v>
      </c>
      <c r="B129" s="348" t="s">
        <v>2498</v>
      </c>
      <c r="C129" s="348">
        <v>1</v>
      </c>
      <c r="D129" s="347">
        <v>1</v>
      </c>
      <c r="E129" s="627" t="s">
        <v>6952</v>
      </c>
      <c r="F129" s="346"/>
      <c r="G129" s="347" t="str">
        <f>""</f>
        <v/>
      </c>
      <c r="H129" s="347" t="s">
        <v>5912</v>
      </c>
      <c r="I129" s="347" t="s">
        <v>5283</v>
      </c>
      <c r="J129" s="347" t="str">
        <f t="shared" si="57"/>
        <v/>
      </c>
      <c r="K129" s="347" t="s">
        <v>5293</v>
      </c>
      <c r="L129" s="611" t="str">
        <f t="shared" si="58"/>
        <v>V, S, M, a small amount of alcohol or distilled spirits</v>
      </c>
      <c r="M129" s="347" t="s">
        <v>2373</v>
      </c>
      <c r="N129" s="347" t="s">
        <v>2387</v>
      </c>
      <c r="O129" s="347" t="s">
        <v>1244</v>
      </c>
      <c r="P129" s="346" t="s">
        <v>5361</v>
      </c>
      <c r="Q129" s="347" t="s">
        <v>5275</v>
      </c>
      <c r="S129" s="346" t="s">
        <v>5685</v>
      </c>
      <c r="T129" s="346" t="str">
        <f t="shared" si="59"/>
        <v xml:space="preserve">Sorcerer, Wizard, Death, </v>
      </c>
      <c r="X129" s="347" t="str">
        <f>$B129</f>
        <v>False Life</v>
      </c>
      <c r="AD129" s="347" t="str">
        <f t="shared" ref="AD129:AD134" si="110">$B129</f>
        <v>False Life</v>
      </c>
      <c r="AE129" t="str">
        <f>IF(IFERROR(MATCH($B129,temp!A$4:A$13,0),0)&gt;0,T08_Spells!AE$2,"")</f>
        <v/>
      </c>
      <c r="AF129" t="str">
        <f>IF(IFERROR(MATCH($B129,temp!B$4:B$13,0),0)&gt;0,T08_Spells!AF$2,"")</f>
        <v/>
      </c>
      <c r="AG129" t="str">
        <f>IF(IFERROR(MATCH($B129,temp!C$4:C$13,0),0)&gt;0,T08_Spells!AG$2,"")</f>
        <v/>
      </c>
      <c r="AH129" t="str">
        <f>IF(IFERROR(MATCH($B129,temp!D$4:D$13,0),0)&gt;0,T08_Spells!AH$2,"")</f>
        <v/>
      </c>
      <c r="AI129" t="str">
        <f>IF(IFERROR(MATCH($B129,temp!E$4:E$13,0),0)&gt;0,T08_Spells!AI$2,"")</f>
        <v/>
      </c>
      <c r="AJ129" t="str">
        <f>IF(IFERROR(MATCH($B129,temp!F$4:F$13,0),0)&gt;0,T08_Spells!AJ$2,"")</f>
        <v/>
      </c>
      <c r="AK129" t="str">
        <f>IF(IFERROR(MATCH($B129,temp!G$4:G$13,0),0)&gt;0,T08_Spells!AK$2,"")</f>
        <v/>
      </c>
      <c r="AL129" t="str">
        <f>IF(IFERROR(MATCH($B129,temp!H$4:H$13,0),0)&gt;0,T08_Spells!AL$2,"")</f>
        <v/>
      </c>
      <c r="AM129" t="str">
        <f>IF(IFERROR(MATCH($B129,temp!I$4:I$13,0),0)&gt;0,T08_Spells!AM$2,"")</f>
        <v/>
      </c>
      <c r="AN129" t="str">
        <f>IF(IFERROR(MATCH($B129,temp!J$4:J$13,0),0)&gt;0,T08_Spells!AN$2,"")</f>
        <v/>
      </c>
      <c r="AO129" t="str">
        <f>IF(IFERROR(MATCH($B129,temp!K$4:K$13,0),0)&gt;0,T08_Spells!AO$2,"")</f>
        <v/>
      </c>
      <c r="AP129" t="str">
        <f>IF(IFERROR(MATCH($B129,temp!L$4:L$13,0),0)&gt;0,T08_Spells!AP$2,"")</f>
        <v/>
      </c>
      <c r="AQ129" t="str">
        <f>IF(IFERROR(MATCH($B129,temp!M$4:M$13,0),0)&gt;0,T08_Spells!AQ$2,"")</f>
        <v/>
      </c>
      <c r="AR129" t="str">
        <f>IF(IFERROR(MATCH($B129,temp!N$4:N$13,0),0)&gt;0,T08_Spells!AR$2,"")</f>
        <v/>
      </c>
      <c r="AS129" t="str">
        <f>IF(IFERROR(MATCH($B129,temp!O$4:O$13,0),0)&gt;0,T08_Spells!AS$2,"")</f>
        <v/>
      </c>
      <c r="AT129" t="str">
        <f>IF(IFERROR(MATCH($B129,temp!P$4:P$13,0),0)&gt;0,T08_Spells!AT$2,"")</f>
        <v/>
      </c>
      <c r="AU129" t="str">
        <f>IF(IFERROR(MATCH($B129,temp!Q$4:Q$13,0),0)&gt;0,T08_Spells!AU$2,"")</f>
        <v/>
      </c>
      <c r="AV129" t="str">
        <f>IF(IFERROR(MATCH($B129,temp!R$4:R$13,0),0)&gt;0,T08_Spells!AV$2,"")</f>
        <v/>
      </c>
      <c r="AW129" t="str">
        <f>IF(IFERROR(MATCH($B129,temp!S$4:S$13,0),0)&gt;0,T08_Spells!AW$2,"")</f>
        <v/>
      </c>
      <c r="AX129" t="str">
        <f>IF(IFERROR(MATCH($B129,temp!T$4:T$13,0),0)&gt;0,T08_Spells!AX$2,"")</f>
        <v/>
      </c>
      <c r="AY129" t="str">
        <f>IF(IFERROR(MATCH($B129,temp!U$4:U$13,0),0)&gt;0,T08_Spells!AY$2,"")</f>
        <v/>
      </c>
      <c r="AZ129" t="str">
        <f>IF(IFERROR(MATCH($B129,temp!V$4:V$13,0),0)&gt;0,T08_Spells!AZ$2,"")</f>
        <v/>
      </c>
      <c r="BA129" t="str">
        <f>IF(IFERROR(MATCH($B129,temp!W$4:W$13,0),0)&gt;0,T08_Spells!BA$2,"")</f>
        <v>Death</v>
      </c>
      <c r="BC129">
        <f>IF(IFERROR(SEARCH("Ranger",$T129,1),0)&gt;0,1,0)*IF(RangerMaxSpellLevel&gt;=$C129,1,0)*IF(IFERROR(MATCH(B129,Character_Creation!$X$79:$X$382,0),0)&gt;0,0,1)</f>
        <v>0</v>
      </c>
      <c r="BD129">
        <f>IF(BC129=0,0,1+COUNTIF(BD$3:BD128,"&gt;0"))</f>
        <v>0</v>
      </c>
      <c r="BE129" t="str">
        <f t="shared" si="88"/>
        <v/>
      </c>
      <c r="BF129" t="str">
        <f t="shared" si="60"/>
        <v/>
      </c>
      <c r="BH129">
        <f>IF(IFERROR(SEARCH("Sorcerer",$T129,1),0)&gt;0,1,0)*IF(SorcererMaxSpellLevel&gt;=$C129,1,0)*IF(IFERROR(MATCH(B129,Character_Creation!$J$380:$J$394,0),0)&gt;0,0,1)</f>
        <v>0</v>
      </c>
      <c r="BI129">
        <f>IF(BH129=0,0,1+COUNTIF(BI$3:BI128,"&gt;0"))</f>
        <v>0</v>
      </c>
      <c r="BJ129" t="str">
        <f t="shared" si="89"/>
        <v/>
      </c>
      <c r="BK129" t="str">
        <f t="shared" si="61"/>
        <v/>
      </c>
      <c r="BM129">
        <f>IF(OR(IFERROR(SEARCH("Warlock",$T129,1),0)&gt;0,IFERROR(SEARCH(WarlockPatron,$T129,1),0)&gt;0),1,0)*IF(WarlockMaxSpellLevel&gt;=$C129,1,0)*IF(IFERROR(MATCH(B129,Character_Creation!$J$361:$J$375,0),0)&gt;0,0,1)</f>
        <v>0</v>
      </c>
      <c r="BN129">
        <f>IF(BM129=0,0,1+COUNTIF(BN$3:BN128,"&gt;0"))</f>
        <v>0</v>
      </c>
      <c r="BO129" t="str">
        <f t="shared" si="90"/>
        <v/>
      </c>
      <c r="BP129" t="str">
        <f t="shared" si="62"/>
        <v/>
      </c>
      <c r="BR129">
        <f>IF(IFERROR(SEARCH("Eldritch Knight",$T129,1),0)&gt;0,1,0)*IF(EldritchKnightMaxSpellLevel&gt;=$C129,1,0)*IF(IFERROR(MATCH($B129,Character_Creation!$J$350:$J$356,0),0)&gt;0,0,1)*IF(Character_Creation!$M$338&gt;0,1,0)</f>
        <v>0</v>
      </c>
      <c r="BS129">
        <f>IF(BR129=0,0,1+COUNTIF(BS$3:BS128,"&gt;0"))</f>
        <v>0</v>
      </c>
      <c r="BT129" t="str">
        <f t="shared" si="91"/>
        <v/>
      </c>
      <c r="BU129" t="str">
        <f t="shared" si="63"/>
        <v/>
      </c>
      <c r="BW129">
        <f>IF(IFERROR(SEARCH("Arcane Trickster",$T129,1),0)&gt;0,1,0)*IF(ArcaneTricksterMaxSpellLevel&gt;=$C129,1,0)*IF(IFERROR(MATCH($B129,Character_Creation!$J$350:$J$356,0),0)&gt;0,0,1)*IF(Character_Creation!$T$338&gt;0,1,0)</f>
        <v>0</v>
      </c>
      <c r="BX129">
        <f>IF(BW129=0,0,1+COUNTIF(BX$3:BX128,"&gt;0"))</f>
        <v>0</v>
      </c>
      <c r="BY129" t="str">
        <f t="shared" si="92"/>
        <v/>
      </c>
      <c r="BZ129" t="str">
        <f t="shared" si="64"/>
        <v/>
      </c>
      <c r="CB129">
        <f>IF(IFERROR(SEARCH("Wizard",$T129,1),0)&gt;0,1,0)*IF(C129&lt;=ArcaneTricksterMaxSpellLevel,1,0)*IF(IFERROR(MATCH($B129,Character_Creation!$J$350:$J$356,0),0)&gt;0,0,1)*IF(Character_Creation!$T$350&gt;0,1,0)</f>
        <v>0</v>
      </c>
      <c r="CC129">
        <f>IF(CB129=0,0,1+COUNTIF(CC$3:CC128,"&gt;0"))</f>
        <v>0</v>
      </c>
      <c r="CD129" t="str">
        <f t="shared" si="93"/>
        <v/>
      </c>
      <c r="CE129" t="str">
        <f t="shared" si="65"/>
        <v/>
      </c>
      <c r="CG129">
        <f>IF(IFERROR(SEARCH("Wizard",$T129,1),0)&gt;0,1,0)*IF($C129&lt;=EldritchKnightMaxSpellLevel,1,0)*IF(IFERROR(MATCH($B129,Character_Creation!$J$350:$J$356,0),0)&gt;0,0,1)*IF(Character_Creation!$M$350&gt;0,1,0)</f>
        <v>1</v>
      </c>
      <c r="CH129">
        <f>IF(CG129=0,0,1+COUNTIF(CH$3:CH128,"&gt;0"))</f>
        <v>21</v>
      </c>
      <c r="CI129" t="str">
        <f t="shared" si="94"/>
        <v/>
      </c>
      <c r="CJ129" t="str">
        <f t="shared" si="66"/>
        <v/>
      </c>
      <c r="CL129">
        <f>IF(IFERROR(SEARCH("Bard",$T129,1),0)&gt;0,1,0)*IF(BardMaxSpellLevel&gt;=$C129,1,0)*IF(IFERROR(MATCH(B129,Character_Creation!$C$341:$F$362,0),0)&gt;0,0,1)*IF(IFERROR(MATCH($B129,Character_Creation!$C$341:$C$362,0),0)&gt;0,0,1)</f>
        <v>0</v>
      </c>
      <c r="CM129">
        <f>IF(CL129=0,0,1+COUNTIF(CM$3:CM128,"&gt;0"))</f>
        <v>0</v>
      </c>
      <c r="CN129" t="str">
        <f t="shared" si="95"/>
        <v/>
      </c>
      <c r="CO129" t="str">
        <f t="shared" si="67"/>
        <v/>
      </c>
      <c r="CQ129">
        <f>IF(IFERROR(SEARCH("Wizard",$T129,1),0)&gt;0,1,0)*IF(WizardMaxSpellLevel&gt;=$C129,1,0)*IF(IFERROR(MATCH(B129,Character_Creation!$X$341:$X$400,0),0)&gt;0,0,1)*IF(SelectedWizardSpellLevel=$C129,1,0)</f>
        <v>0</v>
      </c>
      <c r="CR129">
        <f>IF(CQ129=0,0,1+COUNTIF(CR$3:CR128,"&gt;0"))</f>
        <v>0</v>
      </c>
      <c r="CS129" t="str">
        <f t="shared" si="96"/>
        <v/>
      </c>
      <c r="CT129" t="str">
        <f t="shared" si="68"/>
        <v/>
      </c>
      <c r="CV129">
        <f>IF(IFERROR(MATCH($B129,Character_Creation!$C$341:$C$362,0),0)&gt;0,0,1)*IF(OR(C129="Cantrip",C129&lt;=BardMaxSpellLevel),1,0)*IF(IFERROR(MATCH($B129,Character_Creation!$C$367:$C$374,0),0)&gt;0,0,1)</f>
        <v>0</v>
      </c>
      <c r="CW129">
        <f>IF(CV129=0,0,1+COUNTIF(CW$3:CW128,"&gt;0"))</f>
        <v>0</v>
      </c>
      <c r="CX129" t="str">
        <f t="shared" si="97"/>
        <v/>
      </c>
      <c r="CY129" t="str">
        <f t="shared" si="69"/>
        <v/>
      </c>
      <c r="DA129">
        <f>IF(IF(OR(IFERROR(SEARCH("Cleric",$T129,1),0)&gt;0,IFERROR(SEARCH(DivineDomain&amp;",",$T129,1),0)&gt;0),1,0)*IF($C129=DA$2,1,0)=1,1+COUNTIF(DA$3:DA128,"&gt;0"),0)</f>
        <v>0</v>
      </c>
      <c r="DB129">
        <f>IF(IF(OR(IFERROR(SEARCH("Cleric",$T129,1),0)&gt;0,IFERROR(SEARCH(DivineDomain&amp;",",$T129,1),0)&gt;0),1,0)*IF($C129=DB$2,1,0)=1,1+COUNTIF(DB$3:DB128,"&gt;0"),0)</f>
        <v>0</v>
      </c>
      <c r="DC129">
        <f>IF(IF(OR(IFERROR(SEARCH("Cleric",$T129,1),0)&gt;0,IFERROR(SEARCH(DivineDomain&amp;",",$T129,1),0)&gt;0),1,0)*IF($C129=DC$2,1,0)=1,1+COUNTIF(DC$3:DC128,"&gt;0"),0)</f>
        <v>0</v>
      </c>
      <c r="DD129">
        <f>IF(IF(OR(IFERROR(SEARCH("Cleric",$T129,1),0)&gt;0,IFERROR(SEARCH(DivineDomain&amp;",",$T129,1),0)&gt;0),1,0)*IF($C129=DD$2,1,0)=1,1+COUNTIF(DD$3:DD128,"&gt;0"),0)</f>
        <v>0</v>
      </c>
      <c r="DE129">
        <f>IF(IF(OR(IFERROR(SEARCH("Cleric",$T129,1),0)&gt;0,IFERROR(SEARCH(DivineDomain&amp;",",$T129,1),0)&gt;0),1,0)*IF($C129=DE$2,1,0)=1,1+COUNTIF(DE$3:DE128,"&gt;0"),0)</f>
        <v>0</v>
      </c>
      <c r="DF129">
        <f>IF(IF(OR(IFERROR(SEARCH("Cleric",$T129,1),0)&gt;0,IFERROR(SEARCH(DivineDomain&amp;",",$T129,1),0)&gt;0),1,0)*IF($C129=DF$2,1,0)=1,1+COUNTIF(DF$3:DF128,"&gt;0"),0)</f>
        <v>0</v>
      </c>
      <c r="DG129">
        <f>IF(IF(OR(IFERROR(SEARCH("Cleric",$T129,1),0)&gt;0,IFERROR(SEARCH(DivineDomain&amp;",",$T129,1),0)&gt;0),1,0)*IF($C129=DG$2,1,0)=1,1+COUNTIF(DG$3:DG128,"&gt;0"),0)</f>
        <v>0</v>
      </c>
      <c r="DH129">
        <f>IF(IF(OR(IFERROR(SEARCH("Cleric",$T129,1),0)&gt;0,IFERROR(SEARCH(DivineDomain&amp;",",$T129,1),0)&gt;0),1,0)*IF($C129=DH$2,1,0)=1,1+COUNTIF(DH$3:DH128,"&gt;0"),0)</f>
        <v>0</v>
      </c>
      <c r="DI129">
        <f>IF(IF(OR(IFERROR(SEARCH("Cleric",$T129,1),0)&gt;0,IFERROR(SEARCH(DivineDomain&amp;",",$T129,1),0)&gt;0),1,0)*IF($C129=DI$2,1,0)=1,1+COUNTIF(DI$3:DI128,"&gt;0"),0)</f>
        <v>0</v>
      </c>
      <c r="DJ129">
        <f>IF(IF(OR(IFERROR(SEARCH("Druid",$T129,1),0)&gt;0,IFERROR(SEARCH(DruidLand1,$T129,1),0)&gt;0,IFERROR(SEARCH(DruidLand2,$T129,1),0)&gt;0,IFERROR(SEARCH(DruidLand3,$T129,1),0)&gt;0,IFERROR(SEARCH(DruidLand4,$T129,1),0)&gt;0),1,0)*IF($C129=1,1,0)*IF($C129=DJ$2,1,0)=0,0,1+COUNTIF(DJ$3:DJ128,"&gt;0"))</f>
        <v>0</v>
      </c>
      <c r="DK129">
        <f>IF(IF(OR(IFERROR(SEARCH("Druid",$T129,1),0)&gt;0,IFERROR(SEARCH(DruidLand1,$T129,1),0)&gt;0,IFERROR(SEARCH(DruidLand2,$T129,1),0)&gt;0,IFERROR(SEARCH(DruidLand3,$T129,1),0)&gt;0,IFERROR(SEARCH(DruidLand4,$T129,1),0)&gt;0),1,0)*IF($C129=1,1,0)*IF($C129=DK$2,1,0)=0,0,1+COUNTIF(DK$3:DK128,"&gt;0"))</f>
        <v>0</v>
      </c>
      <c r="DL129">
        <f>IF(IF(OR(IFERROR(SEARCH("Druid",$T129,1),0)&gt;0,IFERROR(SEARCH(DruidLand1,$T129,1),0)&gt;0,IFERROR(SEARCH(DruidLand2,$T129,1),0)&gt;0,IFERROR(SEARCH(DruidLand3,$T129,1),0)&gt;0,IFERROR(SEARCH(DruidLand4,$T129,1),0)&gt;0),1,0)*IF($C129=1,1,0)*IF($C129=DL$2,1,0)=0,0,1+COUNTIF(DL$3:DL128,"&gt;0"))</f>
        <v>0</v>
      </c>
      <c r="DM129">
        <f>IF(IF(OR(IFERROR(SEARCH("Druid",$T129,1),0)&gt;0,IFERROR(SEARCH(DruidLand1,$T129,1),0)&gt;0,IFERROR(SEARCH(DruidLand2,$T129,1),0)&gt;0,IFERROR(SEARCH(DruidLand3,$T129,1),0)&gt;0,IFERROR(SEARCH(DruidLand4,$T129,1),0)&gt;0),1,0)*IF($C129=1,1,0)*IF($C129=DM$2,1,0)=0,0,1+COUNTIF(DM$3:DM128,"&gt;0"))</f>
        <v>0</v>
      </c>
      <c r="DN129">
        <f>IF(IF(OR(IFERROR(SEARCH("Druid",$T129,1),0)&gt;0,IFERROR(SEARCH(DruidLand1,$T129,1),0)&gt;0,IFERROR(SEARCH(DruidLand2,$T129,1),0)&gt;0,IFERROR(SEARCH(DruidLand3,$T129,1),0)&gt;0,IFERROR(SEARCH(DruidLand4,$T129,1),0)&gt;0),1,0)*IF($C129=1,1,0)*IF($C129=DN$2,1,0)=0,0,1+COUNTIF(DN$3:DN128,"&gt;0"))</f>
        <v>0</v>
      </c>
      <c r="DO129">
        <f>IF(IF(OR(IFERROR(SEARCH("Druid",$T129,1),0)&gt;0,IFERROR(SEARCH(DruidLand1,$T129,1),0)&gt;0,IFERROR(SEARCH(DruidLand2,$T129,1),0)&gt;0,IFERROR(SEARCH(DruidLand3,$T129,1),0)&gt;0,IFERROR(SEARCH(DruidLand4,$T129,1),0)&gt;0),1,0)*IF($C129=1,1,0)*IF($C129=DO$2,1,0)=0,0,1+COUNTIF(DO$3:DO128,"&gt;0"))</f>
        <v>0</v>
      </c>
      <c r="DP129">
        <f>IF(IF(OR(IFERROR(SEARCH("Druid",$T129,1),0)&gt;0,IFERROR(SEARCH(DruidLand1,$T129,1),0)&gt;0,IFERROR(SEARCH(DruidLand2,$T129,1),0)&gt;0,IFERROR(SEARCH(DruidLand3,$T129,1),0)&gt;0,IFERROR(SEARCH(DruidLand4,$T129,1),0)&gt;0),1,0)*IF($C129=1,1,0)*IF($C129=DP$2,1,0)=0,0,1+COUNTIF(DP$3:DP128,"&gt;0"))</f>
        <v>0</v>
      </c>
      <c r="DQ129">
        <f>IF(IF(OR(IFERROR(SEARCH("Druid",$T129,1),0)&gt;0,IFERROR(SEARCH(DruidLand1,$T129,1),0)&gt;0,IFERROR(SEARCH(DruidLand2,$T129,1),0)&gt;0,IFERROR(SEARCH(DruidLand3,$T129,1),0)&gt;0,IFERROR(SEARCH(DruidLand4,$T129,1),0)&gt;0),1,0)*IF($C129=1,1,0)*IF($C129=DQ$2,1,0)=0,0,1+COUNTIF(DQ$3:DQ128,"&gt;0"))</f>
        <v>0</v>
      </c>
      <c r="DR129">
        <f>IF(IF(OR(IFERROR(SEARCH("Druid",$T129,1),0)&gt;0,IFERROR(SEARCH(DruidLand1,$T129,1),0)&gt;0,IFERROR(SEARCH(DruidLand2,$T129,1),0)&gt;0,IFERROR(SEARCH(DruidLand3,$T129,1),0)&gt;0,IFERROR(SEARCH(DruidLand4,$T129,1),0)&gt;0),1,0)*IF($C129=1,1,0)*IF($C129=DR$2,1,0)=0,0,1+COUNTIF(DR$3:DR128,"&gt;0"))</f>
        <v>0</v>
      </c>
      <c r="DS129">
        <f>IF(IF(OR(IFERROR(SEARCH("Paladin",$T129,1),0)&gt;0,IFERROR(SEARCH(PaladinOath,$T129,1),0)&gt;0),1,0)*IF($C129=DS$2,1,0)=1,1+COUNTIF(DS$3:DS128,"&gt;0"),0)</f>
        <v>0</v>
      </c>
      <c r="DT129">
        <f>IF(IF(OR(IFERROR(SEARCH("Paladin",$T129,1),0)&gt;0,IFERROR(SEARCH(PaladinOath,$T129,1),0)&gt;0),1,0)*IF($C129=DT$2,1,0)=1,1+COUNTIF(DT$3:DT128,"&gt;0"),0)</f>
        <v>0</v>
      </c>
      <c r="DU129">
        <f>IF(IF(OR(IFERROR(SEARCH("Paladin",$T129,1),0)&gt;0,IFERROR(SEARCH(PaladinOath,$T129,1),0)&gt;0),1,0)*IF($C129=DU$2,1,0)=1,1+COUNTIF(DU$3:DU128,"&gt;0"),0)</f>
        <v>0</v>
      </c>
      <c r="DV129">
        <f>IF(IF(OR(IFERROR(SEARCH("Paladin",$T129,1),0)&gt;0,IFERROR(SEARCH(PaladinOath,$T129,1),0)&gt;0),1,0)*IF($C129=DV$2,1,0)=1,1+COUNTIF(DV$3:DV128,"&gt;0"),0)</f>
        <v>0</v>
      </c>
      <c r="DW129">
        <f>IF(IF(OR(IFERROR(SEARCH("Paladin",$T129,1),0)&gt;0,IFERROR(SEARCH(PaladinOath,$T129,1),0)&gt;0),1,0)*IF($C129=DW$2,1,0)=1,1+COUNTIF(DW$3:DW128,"&gt;0"),0)</f>
        <v>0</v>
      </c>
      <c r="DY129">
        <f t="shared" si="56"/>
        <v>1</v>
      </c>
      <c r="DZ129">
        <f>IF(DY129=0,0,1+MAX(DZ$3:$DZ128))</f>
        <v>127</v>
      </c>
      <c r="EB129">
        <f t="shared" si="70"/>
        <v>0</v>
      </c>
      <c r="EC129">
        <f>IF(EB129=0,0,1+COUNTIF(EC$3:EC128,"&gt;0"))</f>
        <v>0</v>
      </c>
      <c r="ED129" t="str">
        <f t="shared" si="98"/>
        <v/>
      </c>
      <c r="EE129" t="str">
        <f t="shared" si="71"/>
        <v/>
      </c>
      <c r="EG129">
        <f t="shared" si="72"/>
        <v>0</v>
      </c>
      <c r="EH129">
        <f>IF(EG129=0,0,1+COUNTIF(EH$3:EH128,"&gt;0"))</f>
        <v>0</v>
      </c>
      <c r="EI129" t="str">
        <f t="shared" si="99"/>
        <v/>
      </c>
      <c r="EJ129" t="str">
        <f t="shared" si="73"/>
        <v/>
      </c>
      <c r="EL129">
        <f t="shared" si="74"/>
        <v>0</v>
      </c>
      <c r="EM129">
        <f>IF(EL129=0,0,1+COUNTIF(EM$3:EM128,"&gt;0"))</f>
        <v>0</v>
      </c>
      <c r="EN129" t="str">
        <f t="shared" si="100"/>
        <v/>
      </c>
      <c r="EO129" t="str">
        <f t="shared" si="75"/>
        <v/>
      </c>
      <c r="EQ129">
        <f t="shared" si="76"/>
        <v>0</v>
      </c>
      <c r="ER129">
        <f>IF(EQ129=0,0,1+COUNTIF(ER$3:ER128,"&gt;0"))</f>
        <v>0</v>
      </c>
      <c r="ES129" t="str">
        <f t="shared" si="101"/>
        <v/>
      </c>
      <c r="ET129" t="str">
        <f t="shared" si="77"/>
        <v/>
      </c>
      <c r="EV129">
        <f t="shared" si="78"/>
        <v>0</v>
      </c>
      <c r="EW129">
        <f>IF(EV129=0,0,1+COUNTIF(EW$3:EW128,"&gt;0"))</f>
        <v>0</v>
      </c>
      <c r="EX129" t="str">
        <f t="shared" si="102"/>
        <v/>
      </c>
      <c r="EY129" t="str">
        <f t="shared" si="79"/>
        <v/>
      </c>
      <c r="FA129">
        <f t="shared" si="80"/>
        <v>0</v>
      </c>
      <c r="FB129">
        <f>IF(FA129=0,0,1+COUNTIF(FB$3:FB128,"&gt;0"))</f>
        <v>0</v>
      </c>
      <c r="FC129" t="str">
        <f t="shared" si="103"/>
        <v/>
      </c>
      <c r="FD129" t="str">
        <f t="shared" si="81"/>
        <v/>
      </c>
      <c r="FF129">
        <f t="shared" si="82"/>
        <v>0</v>
      </c>
      <c r="FG129">
        <f>IF(FF129=0,0,1+COUNTIF(FG$3:FG128,"&gt;0"))</f>
        <v>0</v>
      </c>
      <c r="FH129" t="str">
        <f t="shared" si="104"/>
        <v/>
      </c>
      <c r="FI129" t="str">
        <f t="shared" si="83"/>
        <v/>
      </c>
      <c r="FK129">
        <f t="shared" si="84"/>
        <v>0</v>
      </c>
      <c r="FL129">
        <f>IF(FK129=0,0,1+COUNTIF(FL$3:FL128,"&gt;0"))</f>
        <v>0</v>
      </c>
      <c r="FM129" t="str">
        <f t="shared" si="105"/>
        <v/>
      </c>
      <c r="FN129" t="str">
        <f t="shared" si="85"/>
        <v/>
      </c>
      <c r="FP129">
        <f t="shared" si="86"/>
        <v>0</v>
      </c>
      <c r="FQ129">
        <f>IF(FP129=0,0,1+COUNTIF(FQ$3:FQ128,"&gt;0"))</f>
        <v>0</v>
      </c>
      <c r="FR129" t="str">
        <f t="shared" si="106"/>
        <v/>
      </c>
      <c r="FS129" t="str">
        <f t="shared" si="87"/>
        <v/>
      </c>
    </row>
    <row r="130" spans="1:175" x14ac:dyDescent="0.25">
      <c r="A130" s="347">
        <f t="shared" si="107"/>
        <v>128</v>
      </c>
      <c r="B130" s="348" t="s">
        <v>1583</v>
      </c>
      <c r="C130" s="348">
        <v>3</v>
      </c>
      <c r="D130" s="347">
        <v>3</v>
      </c>
      <c r="E130" s="627" t="s">
        <v>6952</v>
      </c>
      <c r="F130" s="346"/>
      <c r="G130" s="347" t="str">
        <f>""</f>
        <v/>
      </c>
      <c r="H130" s="347" t="s">
        <v>5912</v>
      </c>
      <c r="I130" s="347" t="s">
        <v>5283</v>
      </c>
      <c r="J130" s="347" t="str">
        <f t="shared" si="57"/>
        <v/>
      </c>
      <c r="K130" s="347" t="s">
        <v>5291</v>
      </c>
      <c r="L130" s="611" t="str">
        <f t="shared" si="58"/>
        <v>V, S, M, a white feather or the heart of a hen</v>
      </c>
      <c r="M130" s="347" t="s">
        <v>2373</v>
      </c>
      <c r="N130" s="347" t="s">
        <v>2387</v>
      </c>
      <c r="O130" s="347" t="s">
        <v>1244</v>
      </c>
      <c r="P130" s="346" t="s">
        <v>5362</v>
      </c>
      <c r="Q130" s="347" t="s">
        <v>5274</v>
      </c>
      <c r="S130" s="346" t="s">
        <v>5686</v>
      </c>
      <c r="T130" s="346" t="str">
        <f t="shared" si="59"/>
        <v xml:space="preserve">Bard, Sorcerer, Warlock, Arcane Trickster, Wizard, </v>
      </c>
      <c r="U130" s="347" t="str">
        <f>$B130</f>
        <v>Fear</v>
      </c>
      <c r="X130" s="347" t="str">
        <f>$B130</f>
        <v>Fear</v>
      </c>
      <c r="Y130" s="347" t="str">
        <f>$B130</f>
        <v>Fear</v>
      </c>
      <c r="AC130" s="539" t="str">
        <f>B130</f>
        <v>Fear</v>
      </c>
      <c r="AD130" s="347" t="str">
        <f t="shared" si="110"/>
        <v>Fear</v>
      </c>
      <c r="AE130" t="str">
        <f>IF(IFERROR(MATCH($B130,temp!A$4:A$13,0),0)&gt;0,T08_Spells!AE$2,"")</f>
        <v/>
      </c>
      <c r="AF130" t="str">
        <f>IF(IFERROR(MATCH($B130,temp!B$4:B$13,0),0)&gt;0,T08_Spells!AF$2,"")</f>
        <v/>
      </c>
      <c r="AG130" t="str">
        <f>IF(IFERROR(MATCH($B130,temp!C$4:C$13,0),0)&gt;0,T08_Spells!AG$2,"")</f>
        <v/>
      </c>
      <c r="AH130" t="str">
        <f>IF(IFERROR(MATCH($B130,temp!D$4:D$13,0),0)&gt;0,T08_Spells!AH$2,"")</f>
        <v/>
      </c>
      <c r="AI130" t="str">
        <f>IF(IFERROR(MATCH($B130,temp!E$4:E$13,0),0)&gt;0,T08_Spells!AI$2,"")</f>
        <v/>
      </c>
      <c r="AJ130" t="str">
        <f>IF(IFERROR(MATCH($B130,temp!F$4:F$13,0),0)&gt;0,T08_Spells!AJ$2,"")</f>
        <v/>
      </c>
      <c r="AK130" t="str">
        <f>IF(IFERROR(MATCH($B130,temp!G$4:G$13,0),0)&gt;0,T08_Spells!AK$2,"")</f>
        <v/>
      </c>
      <c r="AL130" t="str">
        <f>IF(IFERROR(MATCH($B130,temp!H$4:H$13,0),0)&gt;0,T08_Spells!AL$2,"")</f>
        <v/>
      </c>
      <c r="AM130" t="str">
        <f>IF(IFERROR(MATCH($B130,temp!I$4:I$13,0),0)&gt;0,T08_Spells!AM$2,"")</f>
        <v/>
      </c>
      <c r="AN130" t="str">
        <f>IF(IFERROR(MATCH($B130,temp!J$4:J$13,0),0)&gt;0,T08_Spells!AN$2,"")</f>
        <v/>
      </c>
      <c r="AO130" t="str">
        <f>IF(IFERROR(MATCH($B130,temp!K$4:K$13,0),0)&gt;0,T08_Spells!AO$2,"")</f>
        <v/>
      </c>
      <c r="AP130" t="str">
        <f>IF(IFERROR(MATCH($B130,temp!L$4:L$13,0),0)&gt;0,T08_Spells!AP$2,"")</f>
        <v/>
      </c>
      <c r="AQ130" t="str">
        <f>IF(IFERROR(MATCH($B130,temp!M$4:M$13,0),0)&gt;0,T08_Spells!AQ$2,"")</f>
        <v/>
      </c>
      <c r="AR130" t="str">
        <f>IF(IFERROR(MATCH($B130,temp!N$4:N$13,0),0)&gt;0,T08_Spells!AR$2,"")</f>
        <v/>
      </c>
      <c r="AS130" t="str">
        <f>IF(IFERROR(MATCH($B130,temp!O$4:O$13,0),0)&gt;0,T08_Spells!AS$2,"")</f>
        <v/>
      </c>
      <c r="AT130" t="str">
        <f>IF(IFERROR(MATCH($B130,temp!P$4:P$13,0),0)&gt;0,T08_Spells!AT$2,"")</f>
        <v/>
      </c>
      <c r="AU130" t="str">
        <f>IF(IFERROR(MATCH($B130,temp!Q$4:Q$13,0),0)&gt;0,T08_Spells!AU$2,"")</f>
        <v/>
      </c>
      <c r="AV130" t="str">
        <f>IF(IFERROR(MATCH($B130,temp!R$4:R$13,0),0)&gt;0,T08_Spells!AV$2,"")</f>
        <v/>
      </c>
      <c r="AW130" t="str">
        <f>IF(IFERROR(MATCH($B130,temp!S$4:S$13,0),0)&gt;0,T08_Spells!AW$2,"")</f>
        <v/>
      </c>
      <c r="AX130" t="str">
        <f>IF(IFERROR(MATCH($B130,temp!T$4:T$13,0),0)&gt;0,T08_Spells!AX$2,"")</f>
        <v/>
      </c>
      <c r="AY130" t="str">
        <f>IF(IFERROR(MATCH($B130,temp!U$4:U$13,0),0)&gt;0,T08_Spells!AY$2,"")</f>
        <v/>
      </c>
      <c r="AZ130" t="str">
        <f>IF(IFERROR(MATCH($B130,temp!V$4:V$13,0),0)&gt;0,T08_Spells!AZ$2,"")</f>
        <v/>
      </c>
      <c r="BA130" t="str">
        <f>IF(IFERROR(MATCH($B130,temp!W$4:W$13,0),0)&gt;0,T08_Spells!BA$2,"")</f>
        <v/>
      </c>
      <c r="BC130">
        <f>IF(IFERROR(SEARCH("Ranger",$T130,1),0)&gt;0,1,0)*IF(RangerMaxSpellLevel&gt;=$C130,1,0)*IF(IFERROR(MATCH(B130,Character_Creation!$X$79:$X$382,0),0)&gt;0,0,1)</f>
        <v>0</v>
      </c>
      <c r="BD130">
        <f>IF(BC130=0,0,1+COUNTIF(BD$3:BD129,"&gt;0"))</f>
        <v>0</v>
      </c>
      <c r="BE130" t="str">
        <f t="shared" si="88"/>
        <v/>
      </c>
      <c r="BF130" t="str">
        <f t="shared" si="60"/>
        <v/>
      </c>
      <c r="BH130">
        <f>IF(IFERROR(SEARCH("Sorcerer",$T130,1),0)&gt;0,1,0)*IF(SorcererMaxSpellLevel&gt;=$C130,1,0)*IF(IFERROR(MATCH(B130,Character_Creation!$J$380:$J$394,0),0)&gt;0,0,1)</f>
        <v>0</v>
      </c>
      <c r="BI130">
        <f>IF(BH130=0,0,1+COUNTIF(BI$3:BI129,"&gt;0"))</f>
        <v>0</v>
      </c>
      <c r="BJ130" t="str">
        <f t="shared" si="89"/>
        <v/>
      </c>
      <c r="BK130" t="str">
        <f t="shared" si="61"/>
        <v/>
      </c>
      <c r="BM130">
        <f>IF(OR(IFERROR(SEARCH("Warlock",$T130,1),0)&gt;0,IFERROR(SEARCH(WarlockPatron,$T130,1),0)&gt;0),1,0)*IF(WarlockMaxSpellLevel&gt;=$C130,1,0)*IF(IFERROR(MATCH(B130,Character_Creation!$J$361:$J$375,0),0)&gt;0,0,1)</f>
        <v>0</v>
      </c>
      <c r="BN130">
        <f>IF(BM130=0,0,1+COUNTIF(BN$3:BN129,"&gt;0"))</f>
        <v>0</v>
      </c>
      <c r="BO130" t="str">
        <f t="shared" si="90"/>
        <v/>
      </c>
      <c r="BP130" t="str">
        <f t="shared" si="62"/>
        <v/>
      </c>
      <c r="BR130">
        <f>IF(IFERROR(SEARCH("Eldritch Knight",$T130,1),0)&gt;0,1,0)*IF(EldritchKnightMaxSpellLevel&gt;=$C130,1,0)*IF(IFERROR(MATCH($B130,Character_Creation!$J$350:$J$356,0),0)&gt;0,0,1)*IF(Character_Creation!$M$338&gt;0,1,0)</f>
        <v>0</v>
      </c>
      <c r="BS130">
        <f>IF(BR130=0,0,1+COUNTIF(BS$3:BS129,"&gt;0"))</f>
        <v>0</v>
      </c>
      <c r="BT130" t="str">
        <f t="shared" si="91"/>
        <v/>
      </c>
      <c r="BU130" t="str">
        <f t="shared" si="63"/>
        <v/>
      </c>
      <c r="BW130">
        <f>IF(IFERROR(SEARCH("Arcane Trickster",$T130,1),0)&gt;0,1,0)*IF(ArcaneTricksterMaxSpellLevel&gt;=$C130,1,0)*IF(IFERROR(MATCH($B130,Character_Creation!$J$350:$J$356,0),0)&gt;0,0,1)*IF(Character_Creation!$T$338&gt;0,1,0)</f>
        <v>0</v>
      </c>
      <c r="BX130">
        <f>IF(BW130=0,0,1+COUNTIF(BX$3:BX129,"&gt;0"))</f>
        <v>0</v>
      </c>
      <c r="BY130" t="str">
        <f t="shared" si="92"/>
        <v/>
      </c>
      <c r="BZ130" t="str">
        <f t="shared" si="64"/>
        <v/>
      </c>
      <c r="CB130">
        <f>IF(IFERROR(SEARCH("Wizard",$T130,1),0)&gt;0,1,0)*IF(C130&lt;=ArcaneTricksterMaxSpellLevel,1,0)*IF(IFERROR(MATCH($B130,Character_Creation!$J$350:$J$356,0),0)&gt;0,0,1)*IF(Character_Creation!$T$350&gt;0,1,0)</f>
        <v>0</v>
      </c>
      <c r="CC130">
        <f>IF(CB130=0,0,1+COUNTIF(CC$3:CC129,"&gt;0"))</f>
        <v>0</v>
      </c>
      <c r="CD130" t="str">
        <f t="shared" si="93"/>
        <v/>
      </c>
      <c r="CE130" t="str">
        <f t="shared" si="65"/>
        <v/>
      </c>
      <c r="CG130">
        <f>IF(IFERROR(SEARCH("Wizard",$T130,1),0)&gt;0,1,0)*IF($C130&lt;=EldritchKnightMaxSpellLevel,1,0)*IF(IFERROR(MATCH($B130,Character_Creation!$J$350:$J$356,0),0)&gt;0,0,1)*IF(Character_Creation!$M$350&gt;0,1,0)</f>
        <v>0</v>
      </c>
      <c r="CH130">
        <f>IF(CG130=0,0,1+COUNTIF(CH$3:CH129,"&gt;0"))</f>
        <v>0</v>
      </c>
      <c r="CI130" t="str">
        <f t="shared" si="94"/>
        <v/>
      </c>
      <c r="CJ130" t="str">
        <f t="shared" si="66"/>
        <v/>
      </c>
      <c r="CL130">
        <f>IF(IFERROR(SEARCH("Bard",$T130,1),0)&gt;0,1,0)*IF(BardMaxSpellLevel&gt;=$C130,1,0)*IF(IFERROR(MATCH(B130,Character_Creation!$C$341:$F$362,0),0)&gt;0,0,1)*IF(IFERROR(MATCH($B130,Character_Creation!$C$341:$C$362,0),0)&gt;0,0,1)</f>
        <v>0</v>
      </c>
      <c r="CM130">
        <f>IF(CL130=0,0,1+COUNTIF(CM$3:CM129,"&gt;0"))</f>
        <v>0</v>
      </c>
      <c r="CN130" t="str">
        <f t="shared" si="95"/>
        <v/>
      </c>
      <c r="CO130" t="str">
        <f t="shared" si="67"/>
        <v/>
      </c>
      <c r="CQ130">
        <f>IF(IFERROR(SEARCH("Wizard",$T130,1),0)&gt;0,1,0)*IF(WizardMaxSpellLevel&gt;=$C130,1,0)*IF(IFERROR(MATCH(B130,Character_Creation!$X$341:$X$400,0),0)&gt;0,0,1)*IF(SelectedWizardSpellLevel=$C130,1,0)</f>
        <v>1</v>
      </c>
      <c r="CR130">
        <f>IF(CQ130=0,0,1+COUNTIF(CR$3:CR129,"&gt;0"))</f>
        <v>7</v>
      </c>
      <c r="CS130" t="str">
        <f t="shared" si="96"/>
        <v/>
      </c>
      <c r="CT130" t="str">
        <f t="shared" si="68"/>
        <v/>
      </c>
      <c r="CV130">
        <f>IF(IFERROR(MATCH($B130,Character_Creation!$C$341:$C$362,0),0)&gt;0,0,1)*IF(OR(C130="Cantrip",C130&lt;=BardMaxSpellLevel),1,0)*IF(IFERROR(MATCH($B130,Character_Creation!$C$367:$C$374,0),0)&gt;0,0,1)</f>
        <v>0</v>
      </c>
      <c r="CW130">
        <f>IF(CV130=0,0,1+COUNTIF(CW$3:CW129,"&gt;0"))</f>
        <v>0</v>
      </c>
      <c r="CX130" t="str">
        <f t="shared" si="97"/>
        <v/>
      </c>
      <c r="CY130" t="str">
        <f t="shared" si="69"/>
        <v/>
      </c>
      <c r="DA130">
        <f>IF(IF(OR(IFERROR(SEARCH("Cleric",$T130,1),0)&gt;0,IFERROR(SEARCH(DivineDomain&amp;",",$T130,1),0)&gt;0),1,0)*IF($C130=DA$2,1,0)=1,1+COUNTIF(DA$3:DA129,"&gt;0"),0)</f>
        <v>0</v>
      </c>
      <c r="DB130">
        <f>IF(IF(OR(IFERROR(SEARCH("Cleric",$T130,1),0)&gt;0,IFERROR(SEARCH(DivineDomain&amp;",",$T130,1),0)&gt;0),1,0)*IF($C130=DB$2,1,0)=1,1+COUNTIF(DB$3:DB129,"&gt;0"),0)</f>
        <v>0</v>
      </c>
      <c r="DC130">
        <f>IF(IF(OR(IFERROR(SEARCH("Cleric",$T130,1),0)&gt;0,IFERROR(SEARCH(DivineDomain&amp;",",$T130,1),0)&gt;0),1,0)*IF($C130=DC$2,1,0)=1,1+COUNTIF(DC$3:DC129,"&gt;0"),0)</f>
        <v>0</v>
      </c>
      <c r="DD130">
        <f>IF(IF(OR(IFERROR(SEARCH("Cleric",$T130,1),0)&gt;0,IFERROR(SEARCH(DivineDomain&amp;",",$T130,1),0)&gt;0),1,0)*IF($C130=DD$2,1,0)=1,1+COUNTIF(DD$3:DD129,"&gt;0"),0)</f>
        <v>0</v>
      </c>
      <c r="DE130">
        <f>IF(IF(OR(IFERROR(SEARCH("Cleric",$T130,1),0)&gt;0,IFERROR(SEARCH(DivineDomain&amp;",",$T130,1),0)&gt;0),1,0)*IF($C130=DE$2,1,0)=1,1+COUNTIF(DE$3:DE129,"&gt;0"),0)</f>
        <v>0</v>
      </c>
      <c r="DF130">
        <f>IF(IF(OR(IFERROR(SEARCH("Cleric",$T130,1),0)&gt;0,IFERROR(SEARCH(DivineDomain&amp;",",$T130,1),0)&gt;0),1,0)*IF($C130=DF$2,1,0)=1,1+COUNTIF(DF$3:DF129,"&gt;0"),0)</f>
        <v>0</v>
      </c>
      <c r="DG130">
        <f>IF(IF(OR(IFERROR(SEARCH("Cleric",$T130,1),0)&gt;0,IFERROR(SEARCH(DivineDomain&amp;",",$T130,1),0)&gt;0),1,0)*IF($C130=DG$2,1,0)=1,1+COUNTIF(DG$3:DG129,"&gt;0"),0)</f>
        <v>0</v>
      </c>
      <c r="DH130">
        <f>IF(IF(OR(IFERROR(SEARCH("Cleric",$T130,1),0)&gt;0,IFERROR(SEARCH(DivineDomain&amp;",",$T130,1),0)&gt;0),1,0)*IF($C130=DH$2,1,0)=1,1+COUNTIF(DH$3:DH129,"&gt;0"),0)</f>
        <v>0</v>
      </c>
      <c r="DI130">
        <f>IF(IF(OR(IFERROR(SEARCH("Cleric",$T130,1),0)&gt;0,IFERROR(SEARCH(DivineDomain&amp;",",$T130,1),0)&gt;0),1,0)*IF($C130=DI$2,1,0)=1,1+COUNTIF(DI$3:DI129,"&gt;0"),0)</f>
        <v>0</v>
      </c>
      <c r="DJ130">
        <f>IF(IF(OR(IFERROR(SEARCH("Druid",$T130,1),0)&gt;0,IFERROR(SEARCH(DruidLand1,$T130,1),0)&gt;0,IFERROR(SEARCH(DruidLand2,$T130,1),0)&gt;0,IFERROR(SEARCH(DruidLand3,$T130,1),0)&gt;0,IFERROR(SEARCH(DruidLand4,$T130,1),0)&gt;0),1,0)*IF($C130=1,1,0)*IF($C130=DJ$2,1,0)=0,0,1+COUNTIF(DJ$3:DJ129,"&gt;0"))</f>
        <v>0</v>
      </c>
      <c r="DK130">
        <f>IF(IF(OR(IFERROR(SEARCH("Druid",$T130,1),0)&gt;0,IFERROR(SEARCH(DruidLand1,$T130,1),0)&gt;0,IFERROR(SEARCH(DruidLand2,$T130,1),0)&gt;0,IFERROR(SEARCH(DruidLand3,$T130,1),0)&gt;0,IFERROR(SEARCH(DruidLand4,$T130,1),0)&gt;0),1,0)*IF($C130=1,1,0)*IF($C130=DK$2,1,0)=0,0,1+COUNTIF(DK$3:DK129,"&gt;0"))</f>
        <v>0</v>
      </c>
      <c r="DL130">
        <f>IF(IF(OR(IFERROR(SEARCH("Druid",$T130,1),0)&gt;0,IFERROR(SEARCH(DruidLand1,$T130,1),0)&gt;0,IFERROR(SEARCH(DruidLand2,$T130,1),0)&gt;0,IFERROR(SEARCH(DruidLand3,$T130,1),0)&gt;0,IFERROR(SEARCH(DruidLand4,$T130,1),0)&gt;0),1,0)*IF($C130=1,1,0)*IF($C130=DL$2,1,0)=0,0,1+COUNTIF(DL$3:DL129,"&gt;0"))</f>
        <v>0</v>
      </c>
      <c r="DM130">
        <f>IF(IF(OR(IFERROR(SEARCH("Druid",$T130,1),0)&gt;0,IFERROR(SEARCH(DruidLand1,$T130,1),0)&gt;0,IFERROR(SEARCH(DruidLand2,$T130,1),0)&gt;0,IFERROR(SEARCH(DruidLand3,$T130,1),0)&gt;0,IFERROR(SEARCH(DruidLand4,$T130,1),0)&gt;0),1,0)*IF($C130=1,1,0)*IF($C130=DM$2,1,0)=0,0,1+COUNTIF(DM$3:DM129,"&gt;0"))</f>
        <v>0</v>
      </c>
      <c r="DN130">
        <f>IF(IF(OR(IFERROR(SEARCH("Druid",$T130,1),0)&gt;0,IFERROR(SEARCH(DruidLand1,$T130,1),0)&gt;0,IFERROR(SEARCH(DruidLand2,$T130,1),0)&gt;0,IFERROR(SEARCH(DruidLand3,$T130,1),0)&gt;0,IFERROR(SEARCH(DruidLand4,$T130,1),0)&gt;0),1,0)*IF($C130=1,1,0)*IF($C130=DN$2,1,0)=0,0,1+COUNTIF(DN$3:DN129,"&gt;0"))</f>
        <v>0</v>
      </c>
      <c r="DO130">
        <f>IF(IF(OR(IFERROR(SEARCH("Druid",$T130,1),0)&gt;0,IFERROR(SEARCH(DruidLand1,$T130,1),0)&gt;0,IFERROR(SEARCH(DruidLand2,$T130,1),0)&gt;0,IFERROR(SEARCH(DruidLand3,$T130,1),0)&gt;0,IFERROR(SEARCH(DruidLand4,$T130,1),0)&gt;0),1,0)*IF($C130=1,1,0)*IF($C130=DO$2,1,0)=0,0,1+COUNTIF(DO$3:DO129,"&gt;0"))</f>
        <v>0</v>
      </c>
      <c r="DP130">
        <f>IF(IF(OR(IFERROR(SEARCH("Druid",$T130,1),0)&gt;0,IFERROR(SEARCH(DruidLand1,$T130,1),0)&gt;0,IFERROR(SEARCH(DruidLand2,$T130,1),0)&gt;0,IFERROR(SEARCH(DruidLand3,$T130,1),0)&gt;0,IFERROR(SEARCH(DruidLand4,$T130,1),0)&gt;0),1,0)*IF($C130=1,1,0)*IF($C130=DP$2,1,0)=0,0,1+COUNTIF(DP$3:DP129,"&gt;0"))</f>
        <v>0</v>
      </c>
      <c r="DQ130">
        <f>IF(IF(OR(IFERROR(SEARCH("Druid",$T130,1),0)&gt;0,IFERROR(SEARCH(DruidLand1,$T130,1),0)&gt;0,IFERROR(SEARCH(DruidLand2,$T130,1),0)&gt;0,IFERROR(SEARCH(DruidLand3,$T130,1),0)&gt;0,IFERROR(SEARCH(DruidLand4,$T130,1),0)&gt;0),1,0)*IF($C130=1,1,0)*IF($C130=DQ$2,1,0)=0,0,1+COUNTIF(DQ$3:DQ129,"&gt;0"))</f>
        <v>0</v>
      </c>
      <c r="DR130">
        <f>IF(IF(OR(IFERROR(SEARCH("Druid",$T130,1),0)&gt;0,IFERROR(SEARCH(DruidLand1,$T130,1),0)&gt;0,IFERROR(SEARCH(DruidLand2,$T130,1),0)&gt;0,IFERROR(SEARCH(DruidLand3,$T130,1),0)&gt;0,IFERROR(SEARCH(DruidLand4,$T130,1),0)&gt;0),1,0)*IF($C130=1,1,0)*IF($C130=DR$2,1,0)=0,0,1+COUNTIF(DR$3:DR129,"&gt;0"))</f>
        <v>0</v>
      </c>
      <c r="DS130">
        <f>IF(IF(OR(IFERROR(SEARCH("Paladin",$T130,1),0)&gt;0,IFERROR(SEARCH(PaladinOath,$T130,1),0)&gt;0),1,0)*IF($C130=DS$2,1,0)=1,1+COUNTIF(DS$3:DS129,"&gt;0"),0)</f>
        <v>0</v>
      </c>
      <c r="DT130">
        <f>IF(IF(OR(IFERROR(SEARCH("Paladin",$T130,1),0)&gt;0,IFERROR(SEARCH(PaladinOath,$T130,1),0)&gt;0),1,0)*IF($C130=DT$2,1,0)=1,1+COUNTIF(DT$3:DT129,"&gt;0"),0)</f>
        <v>0</v>
      </c>
      <c r="DU130">
        <f>IF(IF(OR(IFERROR(SEARCH("Paladin",$T130,1),0)&gt;0,IFERROR(SEARCH(PaladinOath,$T130,1),0)&gt;0),1,0)*IF($C130=DU$2,1,0)=1,1+COUNTIF(DU$3:DU129,"&gt;0"),0)</f>
        <v>0</v>
      </c>
      <c r="DV130">
        <f>IF(IF(OR(IFERROR(SEARCH("Paladin",$T130,1),0)&gt;0,IFERROR(SEARCH(PaladinOath,$T130,1),0)&gt;0),1,0)*IF($C130=DV$2,1,0)=1,1+COUNTIF(DV$3:DV129,"&gt;0"),0)</f>
        <v>0</v>
      </c>
      <c r="DW130">
        <f>IF(IF(OR(IFERROR(SEARCH("Paladin",$T130,1),0)&gt;0,IFERROR(SEARCH(PaladinOath,$T130,1),0)&gt;0),1,0)*IF($C130=DW$2,1,0)=1,1+COUNTIF(DW$3:DW129,"&gt;0"),0)</f>
        <v>0</v>
      </c>
      <c r="DY130">
        <f t="shared" si="56"/>
        <v>1</v>
      </c>
      <c r="DZ130">
        <f>IF(DY130=0,0,1+MAX(DZ$3:$DZ129))</f>
        <v>128</v>
      </c>
      <c r="EB130">
        <f t="shared" si="70"/>
        <v>0</v>
      </c>
      <c r="EC130">
        <f>IF(EB130=0,0,1+COUNTIF(EC$3:EC129,"&gt;0"))</f>
        <v>0</v>
      </c>
      <c r="ED130" t="str">
        <f t="shared" si="98"/>
        <v/>
      </c>
      <c r="EE130" t="str">
        <f t="shared" si="71"/>
        <v/>
      </c>
      <c r="EG130">
        <f t="shared" si="72"/>
        <v>0</v>
      </c>
      <c r="EH130">
        <f>IF(EG130=0,0,1+COUNTIF(EH$3:EH129,"&gt;0"))</f>
        <v>0</v>
      </c>
      <c r="EI130" t="str">
        <f t="shared" si="99"/>
        <v/>
      </c>
      <c r="EJ130" t="str">
        <f t="shared" si="73"/>
        <v/>
      </c>
      <c r="EL130">
        <f t="shared" si="74"/>
        <v>0</v>
      </c>
      <c r="EM130">
        <f>IF(EL130=0,0,1+COUNTIF(EM$3:EM129,"&gt;0"))</f>
        <v>0</v>
      </c>
      <c r="EN130" t="str">
        <f t="shared" si="100"/>
        <v/>
      </c>
      <c r="EO130" t="str">
        <f t="shared" si="75"/>
        <v/>
      </c>
      <c r="EQ130">
        <f t="shared" si="76"/>
        <v>0</v>
      </c>
      <c r="ER130">
        <f>IF(EQ130=0,0,1+COUNTIF(ER$3:ER129,"&gt;0"))</f>
        <v>0</v>
      </c>
      <c r="ES130" t="str">
        <f t="shared" si="101"/>
        <v/>
      </c>
      <c r="ET130" t="str">
        <f t="shared" si="77"/>
        <v/>
      </c>
      <c r="EV130">
        <f t="shared" si="78"/>
        <v>0</v>
      </c>
      <c r="EW130">
        <f>IF(EV130=0,0,1+COUNTIF(EW$3:EW129,"&gt;0"))</f>
        <v>0</v>
      </c>
      <c r="EX130" t="str">
        <f t="shared" si="102"/>
        <v/>
      </c>
      <c r="EY130" t="str">
        <f t="shared" si="79"/>
        <v/>
      </c>
      <c r="FA130">
        <f t="shared" si="80"/>
        <v>0</v>
      </c>
      <c r="FB130">
        <f>IF(FA130=0,0,1+COUNTIF(FB$3:FB129,"&gt;0"))</f>
        <v>0</v>
      </c>
      <c r="FC130" t="str">
        <f t="shared" si="103"/>
        <v/>
      </c>
      <c r="FD130" t="str">
        <f t="shared" si="81"/>
        <v/>
      </c>
      <c r="FF130">
        <f t="shared" si="82"/>
        <v>0</v>
      </c>
      <c r="FG130">
        <f>IF(FF130=0,0,1+COUNTIF(FG$3:FG129,"&gt;0"))</f>
        <v>0</v>
      </c>
      <c r="FH130" t="str">
        <f t="shared" si="104"/>
        <v/>
      </c>
      <c r="FI130" t="str">
        <f t="shared" si="83"/>
        <v/>
      </c>
      <c r="FK130">
        <f t="shared" si="84"/>
        <v>0</v>
      </c>
      <c r="FL130">
        <f>IF(FK130=0,0,1+COUNTIF(FL$3:FL129,"&gt;0"))</f>
        <v>0</v>
      </c>
      <c r="FM130" t="str">
        <f t="shared" si="105"/>
        <v/>
      </c>
      <c r="FN130" t="str">
        <f t="shared" si="85"/>
        <v/>
      </c>
      <c r="FP130">
        <f t="shared" si="86"/>
        <v>0</v>
      </c>
      <c r="FQ130">
        <f>IF(FP130=0,0,1+COUNTIF(FQ$3:FQ129,"&gt;0"))</f>
        <v>0</v>
      </c>
      <c r="FR130" t="str">
        <f t="shared" si="106"/>
        <v/>
      </c>
      <c r="FS130" t="str">
        <f t="shared" si="87"/>
        <v/>
      </c>
    </row>
    <row r="131" spans="1:175" x14ac:dyDescent="0.25">
      <c r="A131" s="347">
        <f t="shared" si="107"/>
        <v>129</v>
      </c>
      <c r="B131" s="348" t="s">
        <v>2499</v>
      </c>
      <c r="C131" s="348">
        <v>1</v>
      </c>
      <c r="D131" s="347">
        <v>1</v>
      </c>
      <c r="E131" s="627" t="s">
        <v>6952</v>
      </c>
      <c r="F131" s="346"/>
      <c r="G131" s="347" t="str">
        <f>""</f>
        <v/>
      </c>
      <c r="H131" s="347" t="s">
        <v>5341</v>
      </c>
      <c r="I131" s="347" t="s">
        <v>424</v>
      </c>
      <c r="J131" s="347" t="str">
        <f t="shared" si="57"/>
        <v/>
      </c>
      <c r="K131" s="347" t="s">
        <v>5288</v>
      </c>
      <c r="L131" s="611" t="str">
        <f t="shared" si="58"/>
        <v>V, M, a small feather or piece of down</v>
      </c>
      <c r="M131" s="347" t="s">
        <v>2373</v>
      </c>
      <c r="N131" s="347" t="s">
        <v>3034</v>
      </c>
      <c r="O131" s="347" t="s">
        <v>1244</v>
      </c>
      <c r="P131" s="346" t="s">
        <v>5363</v>
      </c>
      <c r="Q131" s="347" t="s">
        <v>5276</v>
      </c>
      <c r="S131" s="346" t="s">
        <v>2500</v>
      </c>
      <c r="T131" s="346" t="str">
        <f t="shared" si="59"/>
        <v xml:space="preserve">Bard, Sorcerer, Wizard, </v>
      </c>
      <c r="U131" s="347" t="str">
        <f>$B131</f>
        <v>Feather Fall</v>
      </c>
      <c r="X131" s="347" t="str">
        <f>$B131</f>
        <v>Feather Fall</v>
      </c>
      <c r="AD131" s="347" t="str">
        <f t="shared" si="110"/>
        <v>Feather Fall</v>
      </c>
      <c r="AE131" t="str">
        <f>IF(IFERROR(MATCH($B131,temp!A$4:A$13,0),0)&gt;0,T08_Spells!AE$2,"")</f>
        <v/>
      </c>
      <c r="AF131" t="str">
        <f>IF(IFERROR(MATCH($B131,temp!B$4:B$13,0),0)&gt;0,T08_Spells!AF$2,"")</f>
        <v/>
      </c>
      <c r="AG131" t="str">
        <f>IF(IFERROR(MATCH($B131,temp!C$4:C$13,0),0)&gt;0,T08_Spells!AG$2,"")</f>
        <v/>
      </c>
      <c r="AH131" t="str">
        <f>IF(IFERROR(MATCH($B131,temp!D$4:D$13,0),0)&gt;0,T08_Spells!AH$2,"")</f>
        <v/>
      </c>
      <c r="AI131" t="str">
        <f>IF(IFERROR(MATCH($B131,temp!E$4:E$13,0),0)&gt;0,T08_Spells!AI$2,"")</f>
        <v/>
      </c>
      <c r="AJ131" t="str">
        <f>IF(IFERROR(MATCH($B131,temp!F$4:F$13,0),0)&gt;0,T08_Spells!AJ$2,"")</f>
        <v/>
      </c>
      <c r="AK131" t="str">
        <f>IF(IFERROR(MATCH($B131,temp!G$4:G$13,0),0)&gt;0,T08_Spells!AK$2,"")</f>
        <v/>
      </c>
      <c r="AL131" t="str">
        <f>IF(IFERROR(MATCH($B131,temp!H$4:H$13,0),0)&gt;0,T08_Spells!AL$2,"")</f>
        <v/>
      </c>
      <c r="AM131" t="str">
        <f>IF(IFERROR(MATCH($B131,temp!I$4:I$13,0),0)&gt;0,T08_Spells!AM$2,"")</f>
        <v/>
      </c>
      <c r="AN131" t="str">
        <f>IF(IFERROR(MATCH($B131,temp!J$4:J$13,0),0)&gt;0,T08_Spells!AN$2,"")</f>
        <v/>
      </c>
      <c r="AO131" t="str">
        <f>IF(IFERROR(MATCH($B131,temp!K$4:K$13,0),0)&gt;0,T08_Spells!AO$2,"")</f>
        <v/>
      </c>
      <c r="AP131" t="str">
        <f>IF(IFERROR(MATCH($B131,temp!L$4:L$13,0),0)&gt;0,T08_Spells!AP$2,"")</f>
        <v/>
      </c>
      <c r="AQ131" t="str">
        <f>IF(IFERROR(MATCH($B131,temp!M$4:M$13,0),0)&gt;0,T08_Spells!AQ$2,"")</f>
        <v/>
      </c>
      <c r="AR131" t="str">
        <f>IF(IFERROR(MATCH($B131,temp!N$4:N$13,0),0)&gt;0,T08_Spells!AR$2,"")</f>
        <v/>
      </c>
      <c r="AS131" t="str">
        <f>IF(IFERROR(MATCH($B131,temp!O$4:O$13,0),0)&gt;0,T08_Spells!AS$2,"")</f>
        <v/>
      </c>
      <c r="AT131" t="str">
        <f>IF(IFERROR(MATCH($B131,temp!P$4:P$13,0),0)&gt;0,T08_Spells!AT$2,"")</f>
        <v/>
      </c>
      <c r="AU131" t="str">
        <f>IF(IFERROR(MATCH($B131,temp!Q$4:Q$13,0),0)&gt;0,T08_Spells!AU$2,"")</f>
        <v/>
      </c>
      <c r="AV131" t="str">
        <f>IF(IFERROR(MATCH($B131,temp!R$4:R$13,0),0)&gt;0,T08_Spells!AV$2,"")</f>
        <v/>
      </c>
      <c r="AW131" t="str">
        <f>IF(IFERROR(MATCH($B131,temp!S$4:S$13,0),0)&gt;0,T08_Spells!AW$2,"")</f>
        <v/>
      </c>
      <c r="AX131" t="str">
        <f>IF(IFERROR(MATCH($B131,temp!T$4:T$13,0),0)&gt;0,T08_Spells!AX$2,"")</f>
        <v/>
      </c>
      <c r="AY131" t="str">
        <f>IF(IFERROR(MATCH($B131,temp!U$4:U$13,0),0)&gt;0,T08_Spells!AY$2,"")</f>
        <v/>
      </c>
      <c r="AZ131" t="str">
        <f>IF(IFERROR(MATCH($B131,temp!V$4:V$13,0),0)&gt;0,T08_Spells!AZ$2,"")</f>
        <v/>
      </c>
      <c r="BA131" t="str">
        <f>IF(IFERROR(MATCH($B131,temp!W$4:W$13,0),0)&gt;0,T08_Spells!BA$2,"")</f>
        <v/>
      </c>
      <c r="BC131">
        <f>IF(IFERROR(SEARCH("Ranger",$T131,1),0)&gt;0,1,0)*IF(RangerMaxSpellLevel&gt;=$C131,1,0)*IF(IFERROR(MATCH(B131,Character_Creation!$X$79:$X$382,0),0)&gt;0,0,1)</f>
        <v>0</v>
      </c>
      <c r="BD131">
        <f>IF(BC131=0,0,1+COUNTIF(BD$3:BD130,"&gt;0"))</f>
        <v>0</v>
      </c>
      <c r="BE131" t="str">
        <f t="shared" si="88"/>
        <v/>
      </c>
      <c r="BF131" t="str">
        <f t="shared" si="60"/>
        <v/>
      </c>
      <c r="BH131">
        <f>IF(IFERROR(SEARCH("Sorcerer",$T131,1),0)&gt;0,1,0)*IF(SorcererMaxSpellLevel&gt;=$C131,1,0)*IF(IFERROR(MATCH(B131,Character_Creation!$J$380:$J$394,0),0)&gt;0,0,1)</f>
        <v>0</v>
      </c>
      <c r="BI131">
        <f>IF(BH131=0,0,1+COUNTIF(BI$3:BI130,"&gt;0"))</f>
        <v>0</v>
      </c>
      <c r="BJ131" t="str">
        <f t="shared" si="89"/>
        <v/>
      </c>
      <c r="BK131" t="str">
        <f t="shared" si="61"/>
        <v/>
      </c>
      <c r="BM131">
        <f>IF(OR(IFERROR(SEARCH("Warlock",$T131,1),0)&gt;0,IFERROR(SEARCH(WarlockPatron,$T131,1),0)&gt;0),1,0)*IF(WarlockMaxSpellLevel&gt;=$C131,1,0)*IF(IFERROR(MATCH(B131,Character_Creation!$J$361:$J$375,0),0)&gt;0,0,1)</f>
        <v>0</v>
      </c>
      <c r="BN131">
        <f>IF(BM131=0,0,1+COUNTIF(BN$3:BN130,"&gt;0"))</f>
        <v>0</v>
      </c>
      <c r="BO131" t="str">
        <f t="shared" si="90"/>
        <v/>
      </c>
      <c r="BP131" t="str">
        <f t="shared" si="62"/>
        <v/>
      </c>
      <c r="BR131">
        <f>IF(IFERROR(SEARCH("Eldritch Knight",$T131,1),0)&gt;0,1,0)*IF(EldritchKnightMaxSpellLevel&gt;=$C131,1,0)*IF(IFERROR(MATCH($B131,Character_Creation!$J$350:$J$356,0),0)&gt;0,0,1)*IF(Character_Creation!$M$338&gt;0,1,0)</f>
        <v>0</v>
      </c>
      <c r="BS131">
        <f>IF(BR131=0,0,1+COUNTIF(BS$3:BS130,"&gt;0"))</f>
        <v>0</v>
      </c>
      <c r="BT131" t="str">
        <f t="shared" si="91"/>
        <v/>
      </c>
      <c r="BU131" t="str">
        <f t="shared" si="63"/>
        <v/>
      </c>
      <c r="BW131">
        <f>IF(IFERROR(SEARCH("Arcane Trickster",$T131,1),0)&gt;0,1,0)*IF(ArcaneTricksterMaxSpellLevel&gt;=$C131,1,0)*IF(IFERROR(MATCH($B131,Character_Creation!$J$350:$J$356,0),0)&gt;0,0,1)*IF(Character_Creation!$T$338&gt;0,1,0)</f>
        <v>0</v>
      </c>
      <c r="BX131">
        <f>IF(BW131=0,0,1+COUNTIF(BX$3:BX130,"&gt;0"))</f>
        <v>0</v>
      </c>
      <c r="BY131" t="str">
        <f t="shared" si="92"/>
        <v/>
      </c>
      <c r="BZ131" t="str">
        <f t="shared" si="64"/>
        <v/>
      </c>
      <c r="CB131">
        <f>IF(IFERROR(SEARCH("Wizard",$T131,1),0)&gt;0,1,0)*IF(C131&lt;=ArcaneTricksterMaxSpellLevel,1,0)*IF(IFERROR(MATCH($B131,Character_Creation!$J$350:$J$356,0),0)&gt;0,0,1)*IF(Character_Creation!$T$350&gt;0,1,0)</f>
        <v>0</v>
      </c>
      <c r="CC131">
        <f>IF(CB131=0,0,1+COUNTIF(CC$3:CC130,"&gt;0"))</f>
        <v>0</v>
      </c>
      <c r="CD131" t="str">
        <f t="shared" si="93"/>
        <v/>
      </c>
      <c r="CE131" t="str">
        <f t="shared" si="65"/>
        <v/>
      </c>
      <c r="CG131">
        <f>IF(IFERROR(SEARCH("Wizard",$T131,1),0)&gt;0,1,0)*IF($C131&lt;=EldritchKnightMaxSpellLevel,1,0)*IF(IFERROR(MATCH($B131,Character_Creation!$J$350:$J$356,0),0)&gt;0,0,1)*IF(Character_Creation!$M$350&gt;0,1,0)</f>
        <v>1</v>
      </c>
      <c r="CH131">
        <f>IF(CG131=0,0,1+COUNTIF(CH$3:CH130,"&gt;0"))</f>
        <v>22</v>
      </c>
      <c r="CI131" t="str">
        <f t="shared" si="94"/>
        <v/>
      </c>
      <c r="CJ131" t="str">
        <f t="shared" si="66"/>
        <v/>
      </c>
      <c r="CL131">
        <f>IF(IFERROR(SEARCH("Bard",$T131,1),0)&gt;0,1,0)*IF(BardMaxSpellLevel&gt;=$C131,1,0)*IF(IFERROR(MATCH(B131,Character_Creation!$C$341:$F$362,0),0)&gt;0,0,1)*IF(IFERROR(MATCH($B131,Character_Creation!$C$341:$C$362,0),0)&gt;0,0,1)</f>
        <v>0</v>
      </c>
      <c r="CM131">
        <f>IF(CL131=0,0,1+COUNTIF(CM$3:CM130,"&gt;0"))</f>
        <v>0</v>
      </c>
      <c r="CN131" t="str">
        <f t="shared" si="95"/>
        <v/>
      </c>
      <c r="CO131" t="str">
        <f t="shared" si="67"/>
        <v/>
      </c>
      <c r="CQ131">
        <f>IF(IFERROR(SEARCH("Wizard",$T131,1),0)&gt;0,1,0)*IF(WizardMaxSpellLevel&gt;=$C131,1,0)*IF(IFERROR(MATCH(B131,Character_Creation!$X$341:$X$400,0),0)&gt;0,0,1)*IF(SelectedWizardSpellLevel=$C131,1,0)</f>
        <v>0</v>
      </c>
      <c r="CR131">
        <f>IF(CQ131=0,0,1+COUNTIF(CR$3:CR130,"&gt;0"))</f>
        <v>0</v>
      </c>
      <c r="CS131" t="str">
        <f t="shared" si="96"/>
        <v/>
      </c>
      <c r="CT131" t="str">
        <f t="shared" si="68"/>
        <v/>
      </c>
      <c r="CV131">
        <f>IF(IFERROR(MATCH($B131,Character_Creation!$C$341:$C$362,0),0)&gt;0,0,1)*IF(OR(C131="Cantrip",C131&lt;=BardMaxSpellLevel),1,0)*IF(IFERROR(MATCH($B131,Character_Creation!$C$367:$C$374,0),0)&gt;0,0,1)</f>
        <v>0</v>
      </c>
      <c r="CW131">
        <f>IF(CV131=0,0,1+COUNTIF(CW$3:CW130,"&gt;0"))</f>
        <v>0</v>
      </c>
      <c r="CX131" t="str">
        <f t="shared" si="97"/>
        <v/>
      </c>
      <c r="CY131" t="str">
        <f t="shared" si="69"/>
        <v/>
      </c>
      <c r="DA131">
        <f>IF(IF(OR(IFERROR(SEARCH("Cleric",$T131,1),0)&gt;0,IFERROR(SEARCH(DivineDomain&amp;",",$T131,1),0)&gt;0),1,0)*IF($C131=DA$2,1,0)=1,1+COUNTIF(DA$3:DA130,"&gt;0"),0)</f>
        <v>0</v>
      </c>
      <c r="DB131">
        <f>IF(IF(OR(IFERROR(SEARCH("Cleric",$T131,1),0)&gt;0,IFERROR(SEARCH(DivineDomain&amp;",",$T131,1),0)&gt;0),1,0)*IF($C131=DB$2,1,0)=1,1+COUNTIF(DB$3:DB130,"&gt;0"),0)</f>
        <v>0</v>
      </c>
      <c r="DC131">
        <f>IF(IF(OR(IFERROR(SEARCH("Cleric",$T131,1),0)&gt;0,IFERROR(SEARCH(DivineDomain&amp;",",$T131,1),0)&gt;0),1,0)*IF($C131=DC$2,1,0)=1,1+COUNTIF(DC$3:DC130,"&gt;0"),0)</f>
        <v>0</v>
      </c>
      <c r="DD131">
        <f>IF(IF(OR(IFERROR(SEARCH("Cleric",$T131,1),0)&gt;0,IFERROR(SEARCH(DivineDomain&amp;",",$T131,1),0)&gt;0),1,0)*IF($C131=DD$2,1,0)=1,1+COUNTIF(DD$3:DD130,"&gt;0"),0)</f>
        <v>0</v>
      </c>
      <c r="DE131">
        <f>IF(IF(OR(IFERROR(SEARCH("Cleric",$T131,1),0)&gt;0,IFERROR(SEARCH(DivineDomain&amp;",",$T131,1),0)&gt;0),1,0)*IF($C131=DE$2,1,0)=1,1+COUNTIF(DE$3:DE130,"&gt;0"),0)</f>
        <v>0</v>
      </c>
      <c r="DF131">
        <f>IF(IF(OR(IFERROR(SEARCH("Cleric",$T131,1),0)&gt;0,IFERROR(SEARCH(DivineDomain&amp;",",$T131,1),0)&gt;0),1,0)*IF($C131=DF$2,1,0)=1,1+COUNTIF(DF$3:DF130,"&gt;0"),0)</f>
        <v>0</v>
      </c>
      <c r="DG131">
        <f>IF(IF(OR(IFERROR(SEARCH("Cleric",$T131,1),0)&gt;0,IFERROR(SEARCH(DivineDomain&amp;",",$T131,1),0)&gt;0),1,0)*IF($C131=DG$2,1,0)=1,1+COUNTIF(DG$3:DG130,"&gt;0"),0)</f>
        <v>0</v>
      </c>
      <c r="DH131">
        <f>IF(IF(OR(IFERROR(SEARCH("Cleric",$T131,1),0)&gt;0,IFERROR(SEARCH(DivineDomain&amp;",",$T131,1),0)&gt;0),1,0)*IF($C131=DH$2,1,0)=1,1+COUNTIF(DH$3:DH130,"&gt;0"),0)</f>
        <v>0</v>
      </c>
      <c r="DI131">
        <f>IF(IF(OR(IFERROR(SEARCH("Cleric",$T131,1),0)&gt;0,IFERROR(SEARCH(DivineDomain&amp;",",$T131,1),0)&gt;0),1,0)*IF($C131=DI$2,1,0)=1,1+COUNTIF(DI$3:DI130,"&gt;0"),0)</f>
        <v>0</v>
      </c>
      <c r="DJ131">
        <f>IF(IF(OR(IFERROR(SEARCH("Druid",$T131,1),0)&gt;0,IFERROR(SEARCH(DruidLand1,$T131,1),0)&gt;0,IFERROR(SEARCH(DruidLand2,$T131,1),0)&gt;0,IFERROR(SEARCH(DruidLand3,$T131,1),0)&gt;0,IFERROR(SEARCH(DruidLand4,$T131,1),0)&gt;0),1,0)*IF($C131=1,1,0)*IF($C131=DJ$2,1,0)=0,0,1+COUNTIF(DJ$3:DJ130,"&gt;0"))</f>
        <v>0</v>
      </c>
      <c r="DK131">
        <f>IF(IF(OR(IFERROR(SEARCH("Druid",$T131,1),0)&gt;0,IFERROR(SEARCH(DruidLand1,$T131,1),0)&gt;0,IFERROR(SEARCH(DruidLand2,$T131,1),0)&gt;0,IFERROR(SEARCH(DruidLand3,$T131,1),0)&gt;0,IFERROR(SEARCH(DruidLand4,$T131,1),0)&gt;0),1,0)*IF($C131=1,1,0)*IF($C131=DK$2,1,0)=0,0,1+COUNTIF(DK$3:DK130,"&gt;0"))</f>
        <v>0</v>
      </c>
      <c r="DL131">
        <f>IF(IF(OR(IFERROR(SEARCH("Druid",$T131,1),0)&gt;0,IFERROR(SEARCH(DruidLand1,$T131,1),0)&gt;0,IFERROR(SEARCH(DruidLand2,$T131,1),0)&gt;0,IFERROR(SEARCH(DruidLand3,$T131,1),0)&gt;0,IFERROR(SEARCH(DruidLand4,$T131,1),0)&gt;0),1,0)*IF($C131=1,1,0)*IF($C131=DL$2,1,0)=0,0,1+COUNTIF(DL$3:DL130,"&gt;0"))</f>
        <v>0</v>
      </c>
      <c r="DM131">
        <f>IF(IF(OR(IFERROR(SEARCH("Druid",$T131,1),0)&gt;0,IFERROR(SEARCH(DruidLand1,$T131,1),0)&gt;0,IFERROR(SEARCH(DruidLand2,$T131,1),0)&gt;0,IFERROR(SEARCH(DruidLand3,$T131,1),0)&gt;0,IFERROR(SEARCH(DruidLand4,$T131,1),0)&gt;0),1,0)*IF($C131=1,1,0)*IF($C131=DM$2,1,0)=0,0,1+COUNTIF(DM$3:DM130,"&gt;0"))</f>
        <v>0</v>
      </c>
      <c r="DN131">
        <f>IF(IF(OR(IFERROR(SEARCH("Druid",$T131,1),0)&gt;0,IFERROR(SEARCH(DruidLand1,$T131,1),0)&gt;0,IFERROR(SEARCH(DruidLand2,$T131,1),0)&gt;0,IFERROR(SEARCH(DruidLand3,$T131,1),0)&gt;0,IFERROR(SEARCH(DruidLand4,$T131,1),0)&gt;0),1,0)*IF($C131=1,1,0)*IF($C131=DN$2,1,0)=0,0,1+COUNTIF(DN$3:DN130,"&gt;0"))</f>
        <v>0</v>
      </c>
      <c r="DO131">
        <f>IF(IF(OR(IFERROR(SEARCH("Druid",$T131,1),0)&gt;0,IFERROR(SEARCH(DruidLand1,$T131,1),0)&gt;0,IFERROR(SEARCH(DruidLand2,$T131,1),0)&gt;0,IFERROR(SEARCH(DruidLand3,$T131,1),0)&gt;0,IFERROR(SEARCH(DruidLand4,$T131,1),0)&gt;0),1,0)*IF($C131=1,1,0)*IF($C131=DO$2,1,0)=0,0,1+COUNTIF(DO$3:DO130,"&gt;0"))</f>
        <v>0</v>
      </c>
      <c r="DP131">
        <f>IF(IF(OR(IFERROR(SEARCH("Druid",$T131,1),0)&gt;0,IFERROR(SEARCH(DruidLand1,$T131,1),0)&gt;0,IFERROR(SEARCH(DruidLand2,$T131,1),0)&gt;0,IFERROR(SEARCH(DruidLand3,$T131,1),0)&gt;0,IFERROR(SEARCH(DruidLand4,$T131,1),0)&gt;0),1,0)*IF($C131=1,1,0)*IF($C131=DP$2,1,0)=0,0,1+COUNTIF(DP$3:DP130,"&gt;0"))</f>
        <v>0</v>
      </c>
      <c r="DQ131">
        <f>IF(IF(OR(IFERROR(SEARCH("Druid",$T131,1),0)&gt;0,IFERROR(SEARCH(DruidLand1,$T131,1),0)&gt;0,IFERROR(SEARCH(DruidLand2,$T131,1),0)&gt;0,IFERROR(SEARCH(DruidLand3,$T131,1),0)&gt;0,IFERROR(SEARCH(DruidLand4,$T131,1),0)&gt;0),1,0)*IF($C131=1,1,0)*IF($C131=DQ$2,1,0)=0,0,1+COUNTIF(DQ$3:DQ130,"&gt;0"))</f>
        <v>0</v>
      </c>
      <c r="DR131">
        <f>IF(IF(OR(IFERROR(SEARCH("Druid",$T131,1),0)&gt;0,IFERROR(SEARCH(DruidLand1,$T131,1),0)&gt;0,IFERROR(SEARCH(DruidLand2,$T131,1),0)&gt;0,IFERROR(SEARCH(DruidLand3,$T131,1),0)&gt;0,IFERROR(SEARCH(DruidLand4,$T131,1),0)&gt;0),1,0)*IF($C131=1,1,0)*IF($C131=DR$2,1,0)=0,0,1+COUNTIF(DR$3:DR130,"&gt;0"))</f>
        <v>0</v>
      </c>
      <c r="DS131">
        <f>IF(IF(OR(IFERROR(SEARCH("Paladin",$T131,1),0)&gt;0,IFERROR(SEARCH(PaladinOath,$T131,1),0)&gt;0),1,0)*IF($C131=DS$2,1,0)=1,1+COUNTIF(DS$3:DS130,"&gt;0"),0)</f>
        <v>0</v>
      </c>
      <c r="DT131">
        <f>IF(IF(OR(IFERROR(SEARCH("Paladin",$T131,1),0)&gt;0,IFERROR(SEARCH(PaladinOath,$T131,1),0)&gt;0),1,0)*IF($C131=DT$2,1,0)=1,1+COUNTIF(DT$3:DT130,"&gt;0"),0)</f>
        <v>0</v>
      </c>
      <c r="DU131">
        <f>IF(IF(OR(IFERROR(SEARCH("Paladin",$T131,1),0)&gt;0,IFERROR(SEARCH(PaladinOath,$T131,1),0)&gt;0),1,0)*IF($C131=DU$2,1,0)=1,1+COUNTIF(DU$3:DU130,"&gt;0"),0)</f>
        <v>0</v>
      </c>
      <c r="DV131">
        <f>IF(IF(OR(IFERROR(SEARCH("Paladin",$T131,1),0)&gt;0,IFERROR(SEARCH(PaladinOath,$T131,1),0)&gt;0),1,0)*IF($C131=DV$2,1,0)=1,1+COUNTIF(DV$3:DV130,"&gt;0"),0)</f>
        <v>0</v>
      </c>
      <c r="DW131">
        <f>IF(IF(OR(IFERROR(SEARCH("Paladin",$T131,1),0)&gt;0,IFERROR(SEARCH(PaladinOath,$T131,1),0)&gt;0),1,0)*IF($C131=DW$2,1,0)=1,1+COUNTIF(DW$3:DW130,"&gt;0"),0)</f>
        <v>0</v>
      </c>
      <c r="DY131">
        <f t="shared" ref="DY131:DY194" si="111">IF(IFERROR(SEARCH(FavoredSoul_Domain&amp;",",$T131,1),0)&gt;0,1,0)</f>
        <v>1</v>
      </c>
      <c r="DZ131">
        <f>IF(DY131=0,0,1+MAX(DZ$3:$DZ130))</f>
        <v>129</v>
      </c>
      <c r="EB131">
        <f t="shared" si="70"/>
        <v>0</v>
      </c>
      <c r="EC131">
        <f>IF(EB131=0,0,1+COUNTIF(EC$3:EC130,"&gt;0"))</f>
        <v>0</v>
      </c>
      <c r="ED131" t="str">
        <f t="shared" si="98"/>
        <v/>
      </c>
      <c r="EE131" t="str">
        <f t="shared" si="71"/>
        <v/>
      </c>
      <c r="EG131">
        <f t="shared" si="72"/>
        <v>0</v>
      </c>
      <c r="EH131">
        <f>IF(EG131=0,0,1+COUNTIF(EH$3:EH130,"&gt;0"))</f>
        <v>0</v>
      </c>
      <c r="EI131" t="str">
        <f t="shared" si="99"/>
        <v/>
      </c>
      <c r="EJ131" t="str">
        <f t="shared" si="73"/>
        <v/>
      </c>
      <c r="EL131">
        <f t="shared" si="74"/>
        <v>0</v>
      </c>
      <c r="EM131">
        <f>IF(EL131=0,0,1+COUNTIF(EM$3:EM130,"&gt;0"))</f>
        <v>0</v>
      </c>
      <c r="EN131" t="str">
        <f t="shared" si="100"/>
        <v/>
      </c>
      <c r="EO131" t="str">
        <f t="shared" si="75"/>
        <v/>
      </c>
      <c r="EQ131">
        <f t="shared" si="76"/>
        <v>0</v>
      </c>
      <c r="ER131">
        <f>IF(EQ131=0,0,1+COUNTIF(ER$3:ER130,"&gt;0"))</f>
        <v>0</v>
      </c>
      <c r="ES131" t="str">
        <f t="shared" si="101"/>
        <v/>
      </c>
      <c r="ET131" t="str">
        <f t="shared" si="77"/>
        <v/>
      </c>
      <c r="EV131">
        <f t="shared" si="78"/>
        <v>0</v>
      </c>
      <c r="EW131">
        <f>IF(EV131=0,0,1+COUNTIF(EW$3:EW130,"&gt;0"))</f>
        <v>0</v>
      </c>
      <c r="EX131" t="str">
        <f t="shared" si="102"/>
        <v/>
      </c>
      <c r="EY131" t="str">
        <f t="shared" si="79"/>
        <v/>
      </c>
      <c r="FA131">
        <f t="shared" si="80"/>
        <v>0</v>
      </c>
      <c r="FB131">
        <f>IF(FA131=0,0,1+COUNTIF(FB$3:FB130,"&gt;0"))</f>
        <v>0</v>
      </c>
      <c r="FC131" t="str">
        <f t="shared" si="103"/>
        <v/>
      </c>
      <c r="FD131" t="str">
        <f t="shared" si="81"/>
        <v/>
      </c>
      <c r="FF131">
        <f t="shared" si="82"/>
        <v>0</v>
      </c>
      <c r="FG131">
        <f>IF(FF131=0,0,1+COUNTIF(FG$3:FG130,"&gt;0"))</f>
        <v>0</v>
      </c>
      <c r="FH131" t="str">
        <f t="shared" si="104"/>
        <v/>
      </c>
      <c r="FI131" t="str">
        <f t="shared" si="83"/>
        <v/>
      </c>
      <c r="FK131">
        <f t="shared" si="84"/>
        <v>0</v>
      </c>
      <c r="FL131">
        <f>IF(FK131=0,0,1+COUNTIF(FL$3:FL130,"&gt;0"))</f>
        <v>0</v>
      </c>
      <c r="FM131" t="str">
        <f t="shared" si="105"/>
        <v/>
      </c>
      <c r="FN131" t="str">
        <f t="shared" si="85"/>
        <v/>
      </c>
      <c r="FP131">
        <f t="shared" si="86"/>
        <v>0</v>
      </c>
      <c r="FQ131">
        <f>IF(FP131=0,0,1+COUNTIF(FQ$3:FQ130,"&gt;0"))</f>
        <v>0</v>
      </c>
      <c r="FR131" t="str">
        <f t="shared" si="106"/>
        <v/>
      </c>
      <c r="FS131" t="str">
        <f t="shared" si="87"/>
        <v/>
      </c>
    </row>
    <row r="132" spans="1:175" x14ac:dyDescent="0.25">
      <c r="A132" s="347">
        <f t="shared" si="107"/>
        <v>130</v>
      </c>
      <c r="B132" s="348" t="s">
        <v>2501</v>
      </c>
      <c r="C132" s="348">
        <v>8</v>
      </c>
      <c r="D132" s="347">
        <v>8</v>
      </c>
      <c r="E132" s="627" t="s">
        <v>6952</v>
      </c>
      <c r="F132" s="346"/>
      <c r="G132" s="347" t="str">
        <f>""</f>
        <v/>
      </c>
      <c r="H132" s="347" t="s">
        <v>5912</v>
      </c>
      <c r="I132" s="347" t="s">
        <v>5315</v>
      </c>
      <c r="J132" s="347" t="str">
        <f t="shared" ref="J132:J195" si="112">IF(IFERROR(SEARCH("con",K132,1),0)&gt;0,"Concentration","")</f>
        <v/>
      </c>
      <c r="K132" s="347" t="s">
        <v>5278</v>
      </c>
      <c r="L132" s="611" t="str">
        <f t="shared" ref="L132:L195" si="113">LEFT(TRIM(IF(M132&lt;&gt;"",M132&amp;", ","")&amp;IF(N132&lt;&gt;"",N132&amp;", ","")&amp;IF(O132&lt;&gt;"",O132&amp;", ","")&amp;IF(P132&lt;&gt;"",P132&amp;", ","")),LEN(TRIM(IF(M132&lt;&gt;"",M132&amp;", ","")&amp;IF(N132&lt;&gt;"",N132&amp;", ","")&amp;IF(O132&lt;&gt;"",O132&amp;", ","")&amp;IF(P132&lt;&gt;"",P132&amp;", ","")))-1)</f>
        <v>V, S, M, a handful of clay, crystal, glass, or mineral spheres</v>
      </c>
      <c r="M132" s="347" t="s">
        <v>2373</v>
      </c>
      <c r="N132" s="347" t="s">
        <v>2387</v>
      </c>
      <c r="O132" s="347" t="s">
        <v>1244</v>
      </c>
      <c r="P132" s="346" t="s">
        <v>5364</v>
      </c>
      <c r="Q132" s="347" t="s">
        <v>5272</v>
      </c>
      <c r="S132" s="346" t="s">
        <v>5687</v>
      </c>
      <c r="T132" s="346" t="str">
        <f t="shared" ref="T132:T195" si="114">IF(U132&lt;&gt;"","Bard, ","")&amp;IF(V132&lt;&gt;"","Paladin, ","")&amp;IF(W132&lt;&gt;"","Ranger, ","")&amp;IF(X132&lt;&gt;"","Sorcerer, ","")&amp;IF(Y132&lt;&gt;"","Warlock, ","")&amp;IF(Z132&lt;&gt;"","Cleric, ","")&amp;IF(AA132&lt;&gt;"","Druid, ","")&amp;IF(AB132&lt;&gt;"","Eldritch Knight, ","")&amp;IF(AC132&lt;&gt;"","Arcane Trickster, ","")&amp;IF(AD132&lt;&gt;"","Wizard, ","")&amp;IF(AE132&lt;&gt;"","Devotion, ","")&amp;IF(AF132&lt;&gt;"","Vengeance, ","")&amp;IF(AG132&lt;&gt;"","Ancients, ","")&amp;IF(AH132&lt;&gt;"","Oathbreaker, ","")&amp;IF(AI132&lt;&gt;"","Archfey, ","")&amp;IF(AJ132&lt;&gt;"","Archfiend, ","")&amp;IF(AK132&lt;&gt;"","Old One, ","")&amp;IF(AL132&lt;&gt;"","Arctic, ","")&amp;IF(AO132&lt;&gt;"","Fores, ","")&amp;IF(AM132&lt;&gt;"","Coast, ","")&amp;IF(AN132&lt;&gt;"","Desert, ","")&amp;IF(AP132&lt;&gt;"","GrassLand, ","")&amp;IF(AQ132&lt;&gt;"","Mountain, ","")&amp;IF(AR132&lt;&gt;"","Swamp, ","")&amp;IF(AS132&lt;&gt;"","Underdark, ","")&amp;IF(AT132&lt;&gt;"","Knowledge, ","")&amp;IF(AU132&lt;&gt;"","Life, ","")&amp;IF(AV132&lt;&gt;"","Light, ","")&amp;IF(AW132&lt;&gt;"","Nature, ","")&amp;IF(AX132&lt;&gt;"","Tempest, ","")&amp;IF(AY132&lt;&gt;"","Trickery, ","")&amp;IF(AZ132&lt;&gt;"","War, ","")&amp;IF(BA132&lt;&gt;"","Death, ","")</f>
        <v xml:space="preserve">Bard, Warlock, Druid, Arcane Trickster, Wizard, </v>
      </c>
      <c r="U132" s="347" t="str">
        <f>$B132</f>
        <v>Feeblemind</v>
      </c>
      <c r="Y132" s="347" t="str">
        <f>$B132</f>
        <v>Feeblemind</v>
      </c>
      <c r="AA132" s="347" t="str">
        <f>$B132</f>
        <v>Feeblemind</v>
      </c>
      <c r="AC132" s="539" t="str">
        <f>B132</f>
        <v>Feeblemind</v>
      </c>
      <c r="AD132" s="347" t="str">
        <f t="shared" si="110"/>
        <v>Feeblemind</v>
      </c>
      <c r="AE132" t="str">
        <f>IF(IFERROR(MATCH($B132,temp!A$4:A$13,0),0)&gt;0,T08_Spells!AE$2,"")</f>
        <v/>
      </c>
      <c r="AF132" t="str">
        <f>IF(IFERROR(MATCH($B132,temp!B$4:B$13,0),0)&gt;0,T08_Spells!AF$2,"")</f>
        <v/>
      </c>
      <c r="AG132" t="str">
        <f>IF(IFERROR(MATCH($B132,temp!C$4:C$13,0),0)&gt;0,T08_Spells!AG$2,"")</f>
        <v/>
      </c>
      <c r="AH132" t="str">
        <f>IF(IFERROR(MATCH($B132,temp!D$4:D$13,0),0)&gt;0,T08_Spells!AH$2,"")</f>
        <v/>
      </c>
      <c r="AI132" t="str">
        <f>IF(IFERROR(MATCH($B132,temp!E$4:E$13,0),0)&gt;0,T08_Spells!AI$2,"")</f>
        <v/>
      </c>
      <c r="AJ132" t="str">
        <f>IF(IFERROR(MATCH($B132,temp!F$4:F$13,0),0)&gt;0,T08_Spells!AJ$2,"")</f>
        <v/>
      </c>
      <c r="AK132" t="str">
        <f>IF(IFERROR(MATCH($B132,temp!G$4:G$13,0),0)&gt;0,T08_Spells!AK$2,"")</f>
        <v/>
      </c>
      <c r="AL132" t="str">
        <f>IF(IFERROR(MATCH($B132,temp!H$4:H$13,0),0)&gt;0,T08_Spells!AL$2,"")</f>
        <v/>
      </c>
      <c r="AM132" t="str">
        <f>IF(IFERROR(MATCH($B132,temp!I$4:I$13,0),0)&gt;0,T08_Spells!AM$2,"")</f>
        <v/>
      </c>
      <c r="AN132" t="str">
        <f>IF(IFERROR(MATCH($B132,temp!J$4:J$13,0),0)&gt;0,T08_Spells!AN$2,"")</f>
        <v/>
      </c>
      <c r="AO132" t="str">
        <f>IF(IFERROR(MATCH($B132,temp!K$4:K$13,0),0)&gt;0,T08_Spells!AO$2,"")</f>
        <v/>
      </c>
      <c r="AP132" t="str">
        <f>IF(IFERROR(MATCH($B132,temp!L$4:L$13,0),0)&gt;0,T08_Spells!AP$2,"")</f>
        <v/>
      </c>
      <c r="AQ132" t="str">
        <f>IF(IFERROR(MATCH($B132,temp!M$4:M$13,0),0)&gt;0,T08_Spells!AQ$2,"")</f>
        <v/>
      </c>
      <c r="AR132" t="str">
        <f>IF(IFERROR(MATCH($B132,temp!N$4:N$13,0),0)&gt;0,T08_Spells!AR$2,"")</f>
        <v/>
      </c>
      <c r="AS132" t="str">
        <f>IF(IFERROR(MATCH($B132,temp!O$4:O$13,0),0)&gt;0,T08_Spells!AS$2,"")</f>
        <v/>
      </c>
      <c r="AT132" t="str">
        <f>IF(IFERROR(MATCH($B132,temp!P$4:P$13,0),0)&gt;0,T08_Spells!AT$2,"")</f>
        <v/>
      </c>
      <c r="AU132" t="str">
        <f>IF(IFERROR(MATCH($B132,temp!Q$4:Q$13,0),0)&gt;0,T08_Spells!AU$2,"")</f>
        <v/>
      </c>
      <c r="AV132" t="str">
        <f>IF(IFERROR(MATCH($B132,temp!R$4:R$13,0),0)&gt;0,T08_Spells!AV$2,"")</f>
        <v/>
      </c>
      <c r="AW132" t="str">
        <f>IF(IFERROR(MATCH($B132,temp!S$4:S$13,0),0)&gt;0,T08_Spells!AW$2,"")</f>
        <v/>
      </c>
      <c r="AX132" t="str">
        <f>IF(IFERROR(MATCH($B132,temp!T$4:T$13,0),0)&gt;0,T08_Spells!AX$2,"")</f>
        <v/>
      </c>
      <c r="AY132" t="str">
        <f>IF(IFERROR(MATCH($B132,temp!U$4:U$13,0),0)&gt;0,T08_Spells!AY$2,"")</f>
        <v/>
      </c>
      <c r="AZ132" t="str">
        <f>IF(IFERROR(MATCH($B132,temp!V$4:V$13,0),0)&gt;0,T08_Spells!AZ$2,"")</f>
        <v/>
      </c>
      <c r="BA132" t="str">
        <f>IF(IFERROR(MATCH($B132,temp!W$4:W$13,0),0)&gt;0,T08_Spells!BA$2,"")</f>
        <v/>
      </c>
      <c r="BC132">
        <f>IF(IFERROR(SEARCH("Ranger",$T132,1),0)&gt;0,1,0)*IF(RangerMaxSpellLevel&gt;=$C132,1,0)*IF(IFERROR(MATCH(B132,Character_Creation!$X$79:$X$382,0),0)&gt;0,0,1)</f>
        <v>0</v>
      </c>
      <c r="BD132">
        <f>IF(BC132=0,0,1+COUNTIF(BD$3:BD131,"&gt;0"))</f>
        <v>0</v>
      </c>
      <c r="BE132" t="str">
        <f t="shared" si="88"/>
        <v/>
      </c>
      <c r="BF132" t="str">
        <f t="shared" ref="BF132:BF195" si="115">IFERROR(INDEX($B$3:$B$407,MATCH(BE132,BD$3:BD$407,0),1),"")</f>
        <v/>
      </c>
      <c r="BH132">
        <f>IF(IFERROR(SEARCH("Sorcerer",$T132,1),0)&gt;0,1,0)*IF(SorcererMaxSpellLevel&gt;=$C132,1,0)*IF(IFERROR(MATCH(B132,Character_Creation!$J$380:$J$394,0),0)&gt;0,0,1)</f>
        <v>0</v>
      </c>
      <c r="BI132">
        <f>IF(BH132=0,0,1+COUNTIF(BI$3:BI131,"&gt;0"))</f>
        <v>0</v>
      </c>
      <c r="BJ132" t="str">
        <f t="shared" si="89"/>
        <v/>
      </c>
      <c r="BK132" t="str">
        <f t="shared" ref="BK132:BK195" si="116">IFERROR(INDEX($B$3:$B$407,MATCH(BJ132,BI$3:BI$407,0),1),"")</f>
        <v/>
      </c>
      <c r="BM132">
        <f>IF(OR(IFERROR(SEARCH("Warlock",$T132,1),0)&gt;0,IFERROR(SEARCH(WarlockPatron,$T132,1),0)&gt;0),1,0)*IF(WarlockMaxSpellLevel&gt;=$C132,1,0)*IF(IFERROR(MATCH(B132,Character_Creation!$J$361:$J$375,0),0)&gt;0,0,1)</f>
        <v>0</v>
      </c>
      <c r="BN132">
        <f>IF(BM132=0,0,1+COUNTIF(BN$3:BN131,"&gt;0"))</f>
        <v>0</v>
      </c>
      <c r="BO132" t="str">
        <f t="shared" si="90"/>
        <v/>
      </c>
      <c r="BP132" t="str">
        <f t="shared" ref="BP132:BP195" si="117">IFERROR(INDEX($B$3:$B$407,MATCH(BO132,BN$3:BN$407,0),1),"")</f>
        <v/>
      </c>
      <c r="BR132">
        <f>IF(IFERROR(SEARCH("Eldritch Knight",$T132,1),0)&gt;0,1,0)*IF(EldritchKnightMaxSpellLevel&gt;=$C132,1,0)*IF(IFERROR(MATCH($B132,Character_Creation!$J$350:$J$356,0),0)&gt;0,0,1)*IF(Character_Creation!$M$338&gt;0,1,0)</f>
        <v>0</v>
      </c>
      <c r="BS132">
        <f>IF(BR132=0,0,1+COUNTIF(BS$3:BS131,"&gt;0"))</f>
        <v>0</v>
      </c>
      <c r="BT132" t="str">
        <f t="shared" si="91"/>
        <v/>
      </c>
      <c r="BU132" t="str">
        <f t="shared" ref="BU132:BU195" si="118">IFERROR(INDEX($B$3:$B$407,MATCH(BT132,BS$3:BS$407,0),1),"")</f>
        <v/>
      </c>
      <c r="BW132">
        <f>IF(IFERROR(SEARCH("Arcane Trickster",$T132,1),0)&gt;0,1,0)*IF(ArcaneTricksterMaxSpellLevel&gt;=$C132,1,0)*IF(IFERROR(MATCH($B132,Character_Creation!$J$350:$J$356,0),0)&gt;0,0,1)*IF(Character_Creation!$T$338&gt;0,1,0)</f>
        <v>0</v>
      </c>
      <c r="BX132">
        <f>IF(BW132=0,0,1+COUNTIF(BX$3:BX131,"&gt;0"))</f>
        <v>0</v>
      </c>
      <c r="BY132" t="str">
        <f t="shared" si="92"/>
        <v/>
      </c>
      <c r="BZ132" t="str">
        <f t="shared" ref="BZ132:BZ195" si="119">IFERROR(INDEX($B$3:$B$407,MATCH(BY132,BX$3:BX$407,0),1),"")</f>
        <v/>
      </c>
      <c r="CB132">
        <f>IF(IFERROR(SEARCH("Wizard",$T132,1),0)&gt;0,1,0)*IF(C132&lt;=ArcaneTricksterMaxSpellLevel,1,0)*IF(IFERROR(MATCH($B132,Character_Creation!$J$350:$J$356,0),0)&gt;0,0,1)*IF(Character_Creation!$T$350&gt;0,1,0)</f>
        <v>0</v>
      </c>
      <c r="CC132">
        <f>IF(CB132=0,0,1+COUNTIF(CC$3:CC131,"&gt;0"))</f>
        <v>0</v>
      </c>
      <c r="CD132" t="str">
        <f t="shared" si="93"/>
        <v/>
      </c>
      <c r="CE132" t="str">
        <f t="shared" ref="CE132:CE195" si="120">IFERROR(INDEX($B$3:$B$407,MATCH(CD132,CC$3:CC$407,0),1),"")</f>
        <v/>
      </c>
      <c r="CG132">
        <f>IF(IFERROR(SEARCH("Wizard",$T132,1),0)&gt;0,1,0)*IF($C132&lt;=EldritchKnightMaxSpellLevel,1,0)*IF(IFERROR(MATCH($B132,Character_Creation!$J$350:$J$356,0),0)&gt;0,0,1)*IF(Character_Creation!$M$350&gt;0,1,0)</f>
        <v>0</v>
      </c>
      <c r="CH132">
        <f>IF(CG132=0,0,1+COUNTIF(CH$3:CH131,"&gt;0"))</f>
        <v>0</v>
      </c>
      <c r="CI132" t="str">
        <f t="shared" si="94"/>
        <v/>
      </c>
      <c r="CJ132" t="str">
        <f t="shared" ref="CJ132:CJ195" si="121">IFERROR(INDEX($B$3:$B$407,MATCH(CI132,CH$3:CH$407,0),1),"")</f>
        <v/>
      </c>
      <c r="CL132">
        <f>IF(IFERROR(SEARCH("Bard",$T132,1),0)&gt;0,1,0)*IF(BardMaxSpellLevel&gt;=$C132,1,0)*IF(IFERROR(MATCH(B132,Character_Creation!$C$341:$F$362,0),0)&gt;0,0,1)*IF(IFERROR(MATCH($B132,Character_Creation!$C$341:$C$362,0),0)&gt;0,0,1)</f>
        <v>0</v>
      </c>
      <c r="CM132">
        <f>IF(CL132=0,0,1+COUNTIF(CM$3:CM131,"&gt;0"))</f>
        <v>0</v>
      </c>
      <c r="CN132" t="str">
        <f t="shared" si="95"/>
        <v/>
      </c>
      <c r="CO132" t="str">
        <f t="shared" ref="CO132:CO195" si="122">IFERROR(INDEX($B$3:$B$407,MATCH(CN132,CM$3:CM$407,0),1),"")</f>
        <v/>
      </c>
      <c r="CQ132">
        <f>IF(IFERROR(SEARCH("Wizard",$T132,1),0)&gt;0,1,0)*IF(WizardMaxSpellLevel&gt;=$C132,1,0)*IF(IFERROR(MATCH(B132,Character_Creation!$X$341:$X$400,0),0)&gt;0,0,1)*IF(SelectedWizardSpellLevel=$C132,1,0)</f>
        <v>0</v>
      </c>
      <c r="CR132">
        <f>IF(CQ132=0,0,1+COUNTIF(CR$3:CR131,"&gt;0"))</f>
        <v>0</v>
      </c>
      <c r="CS132" t="str">
        <f t="shared" si="96"/>
        <v/>
      </c>
      <c r="CT132" t="str">
        <f t="shared" ref="CT132:CT195" si="123">IFERROR(INDEX($B$3:$B$407,MATCH(CS132,CR$3:CR$407,0),1),"")</f>
        <v/>
      </c>
      <c r="CV132">
        <f>IF(IFERROR(MATCH($B132,Character_Creation!$C$341:$C$362,0),0)&gt;0,0,1)*IF(OR(C132="Cantrip",C132&lt;=BardMaxSpellLevel),1,0)*IF(IFERROR(MATCH($B132,Character_Creation!$C$367:$C$374,0),0)&gt;0,0,1)</f>
        <v>0</v>
      </c>
      <c r="CW132">
        <f>IF(CV132=0,0,1+COUNTIF(CW$3:CW131,"&gt;0"))</f>
        <v>0</v>
      </c>
      <c r="CX132" t="str">
        <f t="shared" si="97"/>
        <v/>
      </c>
      <c r="CY132" t="str">
        <f t="shared" ref="CY132:CY195" si="124">IFERROR(INDEX($B$3:$B$407,MATCH(CX132,CW$3:CW$407,0),1),"")</f>
        <v/>
      </c>
      <c r="DA132">
        <f>IF(IF(OR(IFERROR(SEARCH("Cleric",$T132,1),0)&gt;0,IFERROR(SEARCH(DivineDomain&amp;",",$T132,1),0)&gt;0),1,0)*IF($C132=DA$2,1,0)=1,1+COUNTIF(DA$3:DA131,"&gt;0"),0)</f>
        <v>0</v>
      </c>
      <c r="DB132">
        <f>IF(IF(OR(IFERROR(SEARCH("Cleric",$T132,1),0)&gt;0,IFERROR(SEARCH(DivineDomain&amp;",",$T132,1),0)&gt;0),1,0)*IF($C132=DB$2,1,0)=1,1+COUNTIF(DB$3:DB131,"&gt;0"),0)</f>
        <v>0</v>
      </c>
      <c r="DC132">
        <f>IF(IF(OR(IFERROR(SEARCH("Cleric",$T132,1),0)&gt;0,IFERROR(SEARCH(DivineDomain&amp;",",$T132,1),0)&gt;0),1,0)*IF($C132=DC$2,1,0)=1,1+COUNTIF(DC$3:DC131,"&gt;0"),0)</f>
        <v>0</v>
      </c>
      <c r="DD132">
        <f>IF(IF(OR(IFERROR(SEARCH("Cleric",$T132,1),0)&gt;0,IFERROR(SEARCH(DivineDomain&amp;",",$T132,1),0)&gt;0),1,0)*IF($C132=DD$2,1,0)=1,1+COUNTIF(DD$3:DD131,"&gt;0"),0)</f>
        <v>0</v>
      </c>
      <c r="DE132">
        <f>IF(IF(OR(IFERROR(SEARCH("Cleric",$T132,1),0)&gt;0,IFERROR(SEARCH(DivineDomain&amp;",",$T132,1),0)&gt;0),1,0)*IF($C132=DE$2,1,0)=1,1+COUNTIF(DE$3:DE131,"&gt;0"),0)</f>
        <v>0</v>
      </c>
      <c r="DF132">
        <f>IF(IF(OR(IFERROR(SEARCH("Cleric",$T132,1),0)&gt;0,IFERROR(SEARCH(DivineDomain&amp;",",$T132,1),0)&gt;0),1,0)*IF($C132=DF$2,1,0)=1,1+COUNTIF(DF$3:DF131,"&gt;0"),0)</f>
        <v>0</v>
      </c>
      <c r="DG132">
        <f>IF(IF(OR(IFERROR(SEARCH("Cleric",$T132,1),0)&gt;0,IFERROR(SEARCH(DivineDomain&amp;",",$T132,1),0)&gt;0),1,0)*IF($C132=DG$2,1,0)=1,1+COUNTIF(DG$3:DG131,"&gt;0"),0)</f>
        <v>0</v>
      </c>
      <c r="DH132">
        <f>IF(IF(OR(IFERROR(SEARCH("Cleric",$T132,1),0)&gt;0,IFERROR(SEARCH(DivineDomain&amp;",",$T132,1),0)&gt;0),1,0)*IF($C132=DH$2,1,0)=1,1+COUNTIF(DH$3:DH131,"&gt;0"),0)</f>
        <v>0</v>
      </c>
      <c r="DI132">
        <f>IF(IF(OR(IFERROR(SEARCH("Cleric",$T132,1),0)&gt;0,IFERROR(SEARCH(DivineDomain&amp;",",$T132,1),0)&gt;0),1,0)*IF($C132=DI$2,1,0)=1,1+COUNTIF(DI$3:DI131,"&gt;0"),0)</f>
        <v>0</v>
      </c>
      <c r="DJ132">
        <f>IF(IF(OR(IFERROR(SEARCH("Druid",$T132,1),0)&gt;0,IFERROR(SEARCH(DruidLand1,$T132,1),0)&gt;0,IFERROR(SEARCH(DruidLand2,$T132,1),0)&gt;0,IFERROR(SEARCH(DruidLand3,$T132,1),0)&gt;0,IFERROR(SEARCH(DruidLand4,$T132,1),0)&gt;0),1,0)*IF($C132=1,1,0)*IF($C132=DJ$2,1,0)=0,0,1+COUNTIF(DJ$3:DJ131,"&gt;0"))</f>
        <v>0</v>
      </c>
      <c r="DK132">
        <f>IF(IF(OR(IFERROR(SEARCH("Druid",$T132,1),0)&gt;0,IFERROR(SEARCH(DruidLand1,$T132,1),0)&gt;0,IFERROR(SEARCH(DruidLand2,$T132,1),0)&gt;0,IFERROR(SEARCH(DruidLand3,$T132,1),0)&gt;0,IFERROR(SEARCH(DruidLand4,$T132,1),0)&gt;0),1,0)*IF($C132=DK$2,1,0)=0,0,1+COUNTIF(DK$3:DK131,"&gt;0"))</f>
        <v>0</v>
      </c>
      <c r="DL132">
        <f>IF(IF(OR(IFERROR(SEARCH("Druid",$T132,1),0)&gt;0,IFERROR(SEARCH(DruidLand1,$T132,1),0)&gt;0,IFERROR(SEARCH(DruidLand2,$T132,1),0)&gt;0,IFERROR(SEARCH(DruidLand3,$T132,1),0)&gt;0,IFERROR(SEARCH(DruidLand4,$T132,1),0)&gt;0),1,0)*IF($C132=DL$2,1,0)=0,0,1+COUNTIF(DL$3:DL131,"&gt;0"))</f>
        <v>0</v>
      </c>
      <c r="DM132">
        <f>IF(IF(OR(IFERROR(SEARCH("Druid",$T132,1),0)&gt;0,IFERROR(SEARCH(DruidLand1,$T132,1),0)&gt;0,IFERROR(SEARCH(DruidLand2,$T132,1),0)&gt;0,IFERROR(SEARCH(DruidLand3,$T132,1),0)&gt;0,IFERROR(SEARCH(DruidLand4,$T132,1),0)&gt;0),1,0)*IF($C132=DM$2,1,0)=0,0,1+COUNTIF(DM$3:DM131,"&gt;0"))</f>
        <v>0</v>
      </c>
      <c r="DN132">
        <f>IF(IF(OR(IFERROR(SEARCH("Druid",$T132,1),0)&gt;0,IFERROR(SEARCH(DruidLand1,$T132,1),0)&gt;0,IFERROR(SEARCH(DruidLand2,$T132,1),0)&gt;0,IFERROR(SEARCH(DruidLand3,$T132,1),0)&gt;0,IFERROR(SEARCH(DruidLand4,$T132,1),0)&gt;0),1,0)*IF($C132=DN$2,1,0)=0,0,1+COUNTIF(DN$3:DN131,"&gt;0"))</f>
        <v>0</v>
      </c>
      <c r="DO132">
        <f>IF(IF(OR(IFERROR(SEARCH("Druid",$T132,1),0)&gt;0,IFERROR(SEARCH(DruidLand1,$T132,1),0)&gt;0,IFERROR(SEARCH(DruidLand2,$T132,1),0)&gt;0,IFERROR(SEARCH(DruidLand3,$T132,1),0)&gt;0,IFERROR(SEARCH(DruidLand4,$T132,1),0)&gt;0),1,0)*IF($C132=DO$2,1,0)=0,0,1+COUNTIF(DO$3:DO131,"&gt;0"))</f>
        <v>0</v>
      </c>
      <c r="DP132">
        <f>IF(IF(OR(IFERROR(SEARCH("Druid",$T132,1),0)&gt;0,IFERROR(SEARCH(DruidLand1,$T132,1),0)&gt;0,IFERROR(SEARCH(DruidLand2,$T132,1),0)&gt;0,IFERROR(SEARCH(DruidLand3,$T132,1),0)&gt;0,IFERROR(SEARCH(DruidLand4,$T132,1),0)&gt;0),1,0)*IF($C132=DP$2,1,0)=0,0,1+COUNTIF(DP$3:DP131,"&gt;0"))</f>
        <v>0</v>
      </c>
      <c r="DQ132">
        <f>IF(IF(OR(IFERROR(SEARCH("Druid",$T132,1),0)&gt;0,IFERROR(SEARCH(DruidLand1,$T132,1),0)&gt;0,IFERROR(SEARCH(DruidLand2,$T132,1),0)&gt;0,IFERROR(SEARCH(DruidLand3,$T132,1),0)&gt;0,IFERROR(SEARCH(DruidLand4,$T132,1),0)&gt;0),1,0)*IF($C132=DQ$2,1,0)=0,0,1+COUNTIF(DQ$3:DQ131,"&gt;0"))</f>
        <v>5</v>
      </c>
      <c r="DR132">
        <f>IF(IF(OR(IFERROR(SEARCH("Druid",$T132,1),0)&gt;0,IFERROR(SEARCH(DruidLand1,$T132,1),0)&gt;0,IFERROR(SEARCH(DruidLand2,$T132,1),0)&gt;0,IFERROR(SEARCH(DruidLand3,$T132,1),0)&gt;0,IFERROR(SEARCH(DruidLand4,$T132,1),0)&gt;0),1,0)*IF($C132=DR$2,1,0)=0,0,1+COUNTIF(DR$3:DR131,"&gt;0"))</f>
        <v>0</v>
      </c>
      <c r="DS132">
        <f>IF(IF(OR(IFERROR(SEARCH("Paladin",$T132,1),0)&gt;0,IFERROR(SEARCH(PaladinOath,$T132,1),0)&gt;0),1,0)*IF($C132=DS$2,1,0)=1,1+COUNTIF(DS$3:DS131,"&gt;0"),0)</f>
        <v>0</v>
      </c>
      <c r="DT132">
        <f>IF(IF(OR(IFERROR(SEARCH("Paladin",$T132,1),0)&gt;0,IFERROR(SEARCH(PaladinOath,$T132,1),0)&gt;0),1,0)*IF($C132=DT$2,1,0)=1,1+COUNTIF(DT$3:DT131,"&gt;0"),0)</f>
        <v>0</v>
      </c>
      <c r="DU132">
        <f>IF(IF(OR(IFERROR(SEARCH("Paladin",$T132,1),0)&gt;0,IFERROR(SEARCH(PaladinOath,$T132,1),0)&gt;0),1,0)*IF($C132=DU$2,1,0)=1,1+COUNTIF(DU$3:DU131,"&gt;0"),0)</f>
        <v>0</v>
      </c>
      <c r="DV132">
        <f>IF(IF(OR(IFERROR(SEARCH("Paladin",$T132,1),0)&gt;0,IFERROR(SEARCH(PaladinOath,$T132,1),0)&gt;0),1,0)*IF($C132=DV$2,1,0)=1,1+COUNTIF(DV$3:DV131,"&gt;0"),0)</f>
        <v>0</v>
      </c>
      <c r="DW132">
        <f>IF(IF(OR(IFERROR(SEARCH("Paladin",$T132,1),0)&gt;0,IFERROR(SEARCH(PaladinOath,$T132,1),0)&gt;0),1,0)*IF($C132=DW$2,1,0)=1,1+COUNTIF(DW$3:DW131,"&gt;0"),0)</f>
        <v>0</v>
      </c>
      <c r="DY132">
        <f t="shared" si="111"/>
        <v>1</v>
      </c>
      <c r="DZ132">
        <f>IF(DY132=0,0,1+MAX(DZ$3:$DZ131))</f>
        <v>130</v>
      </c>
      <c r="EB132">
        <f t="shared" ref="EB132:EB195" si="125">IF(IFERROR(SEARCH("Bard",$T132,1),0)&gt;0,1,0)*IF($C132="cantrip",1,0)</f>
        <v>0</v>
      </c>
      <c r="EC132">
        <f>IF(EB132=0,0,1+COUNTIF(EC$3:EC131,"&gt;0"))</f>
        <v>0</v>
      </c>
      <c r="ED132" t="str">
        <f t="shared" si="98"/>
        <v/>
      </c>
      <c r="EE132" t="str">
        <f t="shared" ref="EE132:EE195" si="126">IFERROR(INDEX($B$3:$B$407,MATCH(ED132,EC$3:EC$407,0),1),"")</f>
        <v/>
      </c>
      <c r="EG132">
        <f t="shared" ref="EG132:EG195" si="127">IF(IFERROR(SEARCH("Cleric",$T132,1),0)&gt;0,1,0)*IF($C132="cantrip",1,0)</f>
        <v>0</v>
      </c>
      <c r="EH132">
        <f>IF(EG132=0,0,1+COUNTIF(EH$3:EH131,"&gt;0"))</f>
        <v>0</v>
      </c>
      <c r="EI132" t="str">
        <f t="shared" si="99"/>
        <v/>
      </c>
      <c r="EJ132" t="str">
        <f t="shared" ref="EJ132:EJ195" si="128">IFERROR(INDEX($B$3:$B$407,MATCH(EI132,EH$3:EH$407,0),1),"")</f>
        <v/>
      </c>
      <c r="EL132">
        <f t="shared" ref="EL132:EL195" si="129">IF(IFERROR(SEARCH("Druid",$T132,1),0)&gt;0,1,0)*IF($C132="cantrip",1,0)</f>
        <v>0</v>
      </c>
      <c r="EM132">
        <f>IF(EL132=0,0,1+COUNTIF(EM$3:EM131,"&gt;0"))</f>
        <v>0</v>
      </c>
      <c r="EN132" t="str">
        <f t="shared" si="100"/>
        <v/>
      </c>
      <c r="EO132" t="str">
        <f t="shared" ref="EO132:EO195" si="130">IFERROR(INDEX($B$3:$B$407,MATCH(EN132,EM$3:EM$407,0),1),"")</f>
        <v/>
      </c>
      <c r="EQ132">
        <f t="shared" ref="EQ132:EQ195" si="131">IF(IFERROR(SEARCH("Eldritch Knight",$T132,1),0)&gt;0,1,0)*IF($C132="cantrip",1,0)</f>
        <v>0</v>
      </c>
      <c r="ER132">
        <f>IF(EQ132=0,0,1+COUNTIF(ER$3:ER131,"&gt;0"))</f>
        <v>0</v>
      </c>
      <c r="ES132" t="str">
        <f t="shared" si="101"/>
        <v/>
      </c>
      <c r="ET132" t="str">
        <f t="shared" ref="ET132:ET195" si="132">IFERROR(INDEX($B$3:$B$407,MATCH(ES132,ER$3:ER$407,0),1),"")</f>
        <v/>
      </c>
      <c r="EV132">
        <f t="shared" ref="EV132:EV195" si="133">IF(IFERROR(SEARCH("Arcane Trickster",$T132,1),0)&gt;0,1,0)*IF($C132="cantrip",1,0)</f>
        <v>0</v>
      </c>
      <c r="EW132">
        <f>IF(EV132=0,0,1+COUNTIF(EW$3:EW131,"&gt;0"))</f>
        <v>0</v>
      </c>
      <c r="EX132" t="str">
        <f t="shared" si="102"/>
        <v/>
      </c>
      <c r="EY132" t="str">
        <f t="shared" ref="EY132:EY195" si="134">IFERROR(INDEX($B$3:$B$407,MATCH(EX132,EW$3:EW$407,0),1),"")</f>
        <v/>
      </c>
      <c r="FA132">
        <f t="shared" ref="FA132:FA195" si="135">IF(IFERROR(SEARCH("Sorcerer",$T132,1),0)&gt;0,1,0)*IF($C132="cantrip",1,0)</f>
        <v>0</v>
      </c>
      <c r="FB132">
        <f>IF(FA132=0,0,1+COUNTIF(FB$3:FB131,"&gt;0"))</f>
        <v>0</v>
      </c>
      <c r="FC132" t="str">
        <f t="shared" si="103"/>
        <v/>
      </c>
      <c r="FD132" t="str">
        <f t="shared" ref="FD132:FD195" si="136">IFERROR(INDEX($B$3:$B$407,MATCH(FC132,FB$3:FB$407,0),1),"")</f>
        <v/>
      </c>
      <c r="FF132">
        <f t="shared" ref="FF132:FF195" si="137">IF(IFERROR(SEARCH("Warlock",$T132,1),0)&gt;0,1,0)*IF($C132="cantrip",1,0)</f>
        <v>0</v>
      </c>
      <c r="FG132">
        <f>IF(FF132=0,0,1+COUNTIF(FG$3:FG131,"&gt;0"))</f>
        <v>0</v>
      </c>
      <c r="FH132" t="str">
        <f t="shared" si="104"/>
        <v/>
      </c>
      <c r="FI132" t="str">
        <f t="shared" ref="FI132:FI195" si="138">IFERROR(INDEX($B$3:$B$407,MATCH(FH132,FG$3:FG$407,0),1),"")</f>
        <v/>
      </c>
      <c r="FK132">
        <f t="shared" ref="FK132:FK195" si="139">IF(IFERROR(SEARCH("Wizard",$T132,1),0)&gt;0,1,0)*IF($C132="cantrip",1,0)</f>
        <v>0</v>
      </c>
      <c r="FL132">
        <f>IF(FK132=0,0,1+COUNTIF(FL$3:FL131,"&gt;0"))</f>
        <v>0</v>
      </c>
      <c r="FM132" t="str">
        <f t="shared" si="105"/>
        <v/>
      </c>
      <c r="FN132" t="str">
        <f t="shared" ref="FN132:FN195" si="140">IFERROR(INDEX($B$3:$B$407,MATCH(FM132,FL$3:FL$407,0),1),"")</f>
        <v/>
      </c>
      <c r="FP132">
        <f t="shared" ref="FP132:FP195" si="141">IF(IFERROR(SEARCH("Bard",$T132,1),0)&gt;0,1,0)*IF($C132="cantrip",1,0)</f>
        <v>0</v>
      </c>
      <c r="FQ132">
        <f>IF(FP132=0,0,1+COUNTIF(FQ$3:FQ131,"&gt;0"))</f>
        <v>0</v>
      </c>
      <c r="FR132" t="str">
        <f t="shared" si="106"/>
        <v/>
      </c>
      <c r="FS132" t="str">
        <f t="shared" ref="FS132:FS195" si="142">IFERROR(INDEX($B$3:$B$407,MATCH(FR132,FQ$3:FQ$407,0),1),"")</f>
        <v/>
      </c>
    </row>
    <row r="133" spans="1:175" x14ac:dyDescent="0.25">
      <c r="A133" s="347">
        <f t="shared" si="107"/>
        <v>131</v>
      </c>
      <c r="B133" s="348" t="s">
        <v>2502</v>
      </c>
      <c r="C133" s="348">
        <v>3</v>
      </c>
      <c r="D133" s="347">
        <v>3</v>
      </c>
      <c r="E133" s="627" t="s">
        <v>6952</v>
      </c>
      <c r="F133" s="346"/>
      <c r="G133" s="347" t="s">
        <v>5269</v>
      </c>
      <c r="H133" s="347" t="s">
        <v>5913</v>
      </c>
      <c r="I133" s="347" t="s">
        <v>5298</v>
      </c>
      <c r="J133" s="347" t="str">
        <f t="shared" si="112"/>
        <v/>
      </c>
      <c r="K133" s="347" t="s">
        <v>5293</v>
      </c>
      <c r="L133" s="611" t="str">
        <f t="shared" si="113"/>
        <v>V, S, M, a pinch of graveyard dirt</v>
      </c>
      <c r="M133" s="347" t="s">
        <v>2373</v>
      </c>
      <c r="N133" s="347" t="s">
        <v>2387</v>
      </c>
      <c r="O133" s="347" t="s">
        <v>1244</v>
      </c>
      <c r="P133" s="346" t="s">
        <v>5365</v>
      </c>
      <c r="Q133" s="347" t="s">
        <v>5275</v>
      </c>
      <c r="S133" s="346" t="s">
        <v>5688</v>
      </c>
      <c r="T133" s="346" t="str">
        <f t="shared" si="114"/>
        <v xml:space="preserve">Bard, Cleric, Druid, Wizard, </v>
      </c>
      <c r="U133" s="347" t="str">
        <f>$B133</f>
        <v>Feign Death</v>
      </c>
      <c r="Z133" s="347" t="str">
        <f>$B133</f>
        <v>Feign Death</v>
      </c>
      <c r="AA133" s="347" t="str">
        <f>$B133</f>
        <v>Feign Death</v>
      </c>
      <c r="AD133" s="347" t="str">
        <f t="shared" si="110"/>
        <v>Feign Death</v>
      </c>
      <c r="AE133" t="str">
        <f>IF(IFERROR(MATCH($B133,temp!A$4:A$13,0),0)&gt;0,T08_Spells!AE$2,"")</f>
        <v/>
      </c>
      <c r="AF133" t="str">
        <f>IF(IFERROR(MATCH($B133,temp!B$4:B$13,0),0)&gt;0,T08_Spells!AF$2,"")</f>
        <v/>
      </c>
      <c r="AG133" t="str">
        <f>IF(IFERROR(MATCH($B133,temp!C$4:C$13,0),0)&gt;0,T08_Spells!AG$2,"")</f>
        <v/>
      </c>
      <c r="AH133" t="str">
        <f>IF(IFERROR(MATCH($B133,temp!D$4:D$13,0),0)&gt;0,T08_Spells!AH$2,"")</f>
        <v/>
      </c>
      <c r="AI133" t="str">
        <f>IF(IFERROR(MATCH($B133,temp!E$4:E$13,0),0)&gt;0,T08_Spells!AI$2,"")</f>
        <v/>
      </c>
      <c r="AJ133" t="str">
        <f>IF(IFERROR(MATCH($B133,temp!F$4:F$13,0),0)&gt;0,T08_Spells!AJ$2,"")</f>
        <v/>
      </c>
      <c r="AK133" t="str">
        <f>IF(IFERROR(MATCH($B133,temp!G$4:G$13,0),0)&gt;0,T08_Spells!AK$2,"")</f>
        <v/>
      </c>
      <c r="AL133" t="str">
        <f>IF(IFERROR(MATCH($B133,temp!H$4:H$13,0),0)&gt;0,T08_Spells!AL$2,"")</f>
        <v/>
      </c>
      <c r="AM133" t="str">
        <f>IF(IFERROR(MATCH($B133,temp!I$4:I$13,0),0)&gt;0,T08_Spells!AM$2,"")</f>
        <v/>
      </c>
      <c r="AN133" t="str">
        <f>IF(IFERROR(MATCH($B133,temp!J$4:J$13,0),0)&gt;0,T08_Spells!AN$2,"")</f>
        <v/>
      </c>
      <c r="AO133" t="str">
        <f>IF(IFERROR(MATCH($B133,temp!K$4:K$13,0),0)&gt;0,T08_Spells!AO$2,"")</f>
        <v/>
      </c>
      <c r="AP133" t="str">
        <f>IF(IFERROR(MATCH($B133,temp!L$4:L$13,0),0)&gt;0,T08_Spells!AP$2,"")</f>
        <v/>
      </c>
      <c r="AQ133" t="str">
        <f>IF(IFERROR(MATCH($B133,temp!M$4:M$13,0),0)&gt;0,T08_Spells!AQ$2,"")</f>
        <v/>
      </c>
      <c r="AR133" t="str">
        <f>IF(IFERROR(MATCH($B133,temp!N$4:N$13,0),0)&gt;0,T08_Spells!AR$2,"")</f>
        <v/>
      </c>
      <c r="AS133" t="str">
        <f>IF(IFERROR(MATCH($B133,temp!O$4:O$13,0),0)&gt;0,T08_Spells!AS$2,"")</f>
        <v/>
      </c>
      <c r="AT133" t="str">
        <f>IF(IFERROR(MATCH($B133,temp!P$4:P$13,0),0)&gt;0,T08_Spells!AT$2,"")</f>
        <v/>
      </c>
      <c r="AU133" t="str">
        <f>IF(IFERROR(MATCH($B133,temp!Q$4:Q$13,0),0)&gt;0,T08_Spells!AU$2,"")</f>
        <v/>
      </c>
      <c r="AV133" t="str">
        <f>IF(IFERROR(MATCH($B133,temp!R$4:R$13,0),0)&gt;0,T08_Spells!AV$2,"")</f>
        <v/>
      </c>
      <c r="AW133" t="str">
        <f>IF(IFERROR(MATCH($B133,temp!S$4:S$13,0),0)&gt;0,T08_Spells!AW$2,"")</f>
        <v/>
      </c>
      <c r="AX133" t="str">
        <f>IF(IFERROR(MATCH($B133,temp!T$4:T$13,0),0)&gt;0,T08_Spells!AX$2,"")</f>
        <v/>
      </c>
      <c r="AY133" t="str">
        <f>IF(IFERROR(MATCH($B133,temp!U$4:U$13,0),0)&gt;0,T08_Spells!AY$2,"")</f>
        <v/>
      </c>
      <c r="AZ133" t="str">
        <f>IF(IFERROR(MATCH($B133,temp!V$4:V$13,0),0)&gt;0,T08_Spells!AZ$2,"")</f>
        <v/>
      </c>
      <c r="BA133" t="str">
        <f>IF(IFERROR(MATCH($B133,temp!W$4:W$13,0),0)&gt;0,T08_Spells!BA$2,"")</f>
        <v/>
      </c>
      <c r="BC133">
        <f>IF(IFERROR(SEARCH("Ranger",$T133,1),0)&gt;0,1,0)*IF(RangerMaxSpellLevel&gt;=$C133,1,0)*IF(IFERROR(MATCH(B133,Character_Creation!$X$79:$X$382,0),0)&gt;0,0,1)</f>
        <v>0</v>
      </c>
      <c r="BD133">
        <f>IF(BC133=0,0,1+COUNTIF(BD$3:BD132,"&gt;0"))</f>
        <v>0</v>
      </c>
      <c r="BE133" t="str">
        <f t="shared" ref="BE133:BE196" si="143">IFERROR(IF(BE132&lt;MAX(BD132:BD536),BE132+1,""),"")</f>
        <v/>
      </c>
      <c r="BF133" t="str">
        <f t="shared" si="115"/>
        <v/>
      </c>
      <c r="BH133">
        <f>IF(IFERROR(SEARCH("Sorcerer",$T133,1),0)&gt;0,1,0)*IF(SorcererMaxSpellLevel&gt;=$C133,1,0)*IF(IFERROR(MATCH(B133,Character_Creation!$J$380:$J$394,0),0)&gt;0,0,1)</f>
        <v>0</v>
      </c>
      <c r="BI133">
        <f>IF(BH133=0,0,1+COUNTIF(BI$3:BI132,"&gt;0"))</f>
        <v>0</v>
      </c>
      <c r="BJ133" t="str">
        <f t="shared" ref="BJ133:BJ196" si="144">IFERROR(IF(BJ132&lt;MAX(BI132:BI536),BJ132+1,""),"")</f>
        <v/>
      </c>
      <c r="BK133" t="str">
        <f t="shared" si="116"/>
        <v/>
      </c>
      <c r="BM133">
        <f>IF(OR(IFERROR(SEARCH("Warlock",$T133,1),0)&gt;0,IFERROR(SEARCH(WarlockPatron,$T133,1),0)&gt;0),1,0)*IF(WarlockMaxSpellLevel&gt;=$C133,1,0)*IF(IFERROR(MATCH(B133,Character_Creation!$J$361:$J$375,0),0)&gt;0,0,1)</f>
        <v>0</v>
      </c>
      <c r="BN133">
        <f>IF(BM133=0,0,1+COUNTIF(BN$3:BN132,"&gt;0"))</f>
        <v>0</v>
      </c>
      <c r="BO133" t="str">
        <f t="shared" ref="BO133:BO196" si="145">IFERROR(IF(BO132&lt;MAX(BN132:BN536),BO132+1,""),"")</f>
        <v/>
      </c>
      <c r="BP133" t="str">
        <f t="shared" si="117"/>
        <v/>
      </c>
      <c r="BR133">
        <f>IF(IFERROR(SEARCH("Eldritch Knight",$T133,1),0)&gt;0,1,0)*IF(EldritchKnightMaxSpellLevel&gt;=$C133,1,0)*IF(IFERROR(MATCH($B133,Character_Creation!$J$350:$J$356,0),0)&gt;0,0,1)*IF(Character_Creation!$M$338&gt;0,1,0)</f>
        <v>0</v>
      </c>
      <c r="BS133">
        <f>IF(BR133=0,0,1+COUNTIF(BS$3:BS132,"&gt;0"))</f>
        <v>0</v>
      </c>
      <c r="BT133" t="str">
        <f t="shared" ref="BT133:BT196" si="146">IFERROR(IF(BT132&lt;MAX(BS132:BS536),BT132+1,""),"")</f>
        <v/>
      </c>
      <c r="BU133" t="str">
        <f t="shared" si="118"/>
        <v/>
      </c>
      <c r="BW133">
        <f>IF(IFERROR(SEARCH("Arcane Trickster",$T133,1),0)&gt;0,1,0)*IF(ArcaneTricksterMaxSpellLevel&gt;=$C133,1,0)*IF(IFERROR(MATCH($B133,Character_Creation!$J$350:$J$356,0),0)&gt;0,0,1)*IF(Character_Creation!$T$338&gt;0,1,0)</f>
        <v>0</v>
      </c>
      <c r="BX133">
        <f>IF(BW133=0,0,1+COUNTIF(BX$3:BX132,"&gt;0"))</f>
        <v>0</v>
      </c>
      <c r="BY133" t="str">
        <f t="shared" ref="BY133:BY196" si="147">IFERROR(IF(BY132&lt;MAX(BX132:BX536),BY132+1,""),"")</f>
        <v/>
      </c>
      <c r="BZ133" t="str">
        <f t="shared" si="119"/>
        <v/>
      </c>
      <c r="CB133">
        <f>IF(IFERROR(SEARCH("Wizard",$T133,1),0)&gt;0,1,0)*IF(C133&lt;=ArcaneTricksterMaxSpellLevel,1,0)*IF(IFERROR(MATCH($B133,Character_Creation!$J$350:$J$356,0),0)&gt;0,0,1)*IF(Character_Creation!$T$350&gt;0,1,0)</f>
        <v>0</v>
      </c>
      <c r="CC133">
        <f>IF(CB133=0,0,1+COUNTIF(CC$3:CC132,"&gt;0"))</f>
        <v>0</v>
      </c>
      <c r="CD133" t="str">
        <f t="shared" ref="CD133:CD196" si="148">IFERROR(IF(CD132&lt;MAX(CC132:CC536),CD132+1,""),"")</f>
        <v/>
      </c>
      <c r="CE133" t="str">
        <f t="shared" si="120"/>
        <v/>
      </c>
      <c r="CG133">
        <f>IF(IFERROR(SEARCH("Wizard",$T133,1),0)&gt;0,1,0)*IF($C133&lt;=EldritchKnightMaxSpellLevel,1,0)*IF(IFERROR(MATCH($B133,Character_Creation!$J$350:$J$356,0),0)&gt;0,0,1)*IF(Character_Creation!$M$350&gt;0,1,0)</f>
        <v>0</v>
      </c>
      <c r="CH133">
        <f>IF(CG133=0,0,1+COUNTIF(CH$3:CH132,"&gt;0"))</f>
        <v>0</v>
      </c>
      <c r="CI133" t="str">
        <f t="shared" ref="CI133:CI196" si="149">IFERROR(IF(CI132&lt;MAX(CH132:CH536),CI132+1,""),"")</f>
        <v/>
      </c>
      <c r="CJ133" t="str">
        <f t="shared" si="121"/>
        <v/>
      </c>
      <c r="CL133">
        <f>IF(IFERROR(SEARCH("Bard",$T133,1),0)&gt;0,1,0)*IF(BardMaxSpellLevel&gt;=$C133,1,0)*IF(IFERROR(MATCH(B133,Character_Creation!$C$341:$F$362,0),0)&gt;0,0,1)*IF(IFERROR(MATCH($B133,Character_Creation!$C$341:$C$362,0),0)&gt;0,0,1)</f>
        <v>0</v>
      </c>
      <c r="CM133">
        <f>IF(CL133=0,0,1+COUNTIF(CM$3:CM132,"&gt;0"))</f>
        <v>0</v>
      </c>
      <c r="CN133" t="str">
        <f t="shared" ref="CN133:CN196" si="150">IFERROR(IF(CN132&lt;MAX(CM132:CM536),CN132+1,""),"")</f>
        <v/>
      </c>
      <c r="CO133" t="str">
        <f t="shared" si="122"/>
        <v/>
      </c>
      <c r="CQ133">
        <f>IF(IFERROR(SEARCH("Wizard",$T133,1),0)&gt;0,1,0)*IF(WizardMaxSpellLevel&gt;=$C133,1,0)*IF(IFERROR(MATCH(B133,Character_Creation!$X$341:$X$400,0),0)&gt;0,0,1)*IF(SelectedWizardSpellLevel=$C133,1,0)</f>
        <v>1</v>
      </c>
      <c r="CR133">
        <f>IF(CQ133=0,0,1+COUNTIF(CR$3:CR132,"&gt;0"))</f>
        <v>8</v>
      </c>
      <c r="CS133" t="str">
        <f t="shared" ref="CS133:CS196" si="151">IFERROR(IF(CS132&lt;MAX(CR132:CR536),CS132+1,""),"")</f>
        <v/>
      </c>
      <c r="CT133" t="str">
        <f t="shared" si="123"/>
        <v/>
      </c>
      <c r="CV133">
        <f>IF(IFERROR(MATCH($B133,Character_Creation!$C$341:$C$362,0),0)&gt;0,0,1)*IF(OR(C133="Cantrip",C133&lt;=BardMaxSpellLevel),1,0)*IF(IFERROR(MATCH($B133,Character_Creation!$C$367:$C$374,0),0)&gt;0,0,1)</f>
        <v>0</v>
      </c>
      <c r="CW133">
        <f>IF(CV133=0,0,1+COUNTIF(CW$3:CW132,"&gt;0"))</f>
        <v>0</v>
      </c>
      <c r="CX133" t="str">
        <f t="shared" ref="CX133:CX196" si="152">IFERROR(IF(CX132&lt;MAX(CW132:CW536),CX132+1,""),"")</f>
        <v/>
      </c>
      <c r="CY133" t="str">
        <f t="shared" si="124"/>
        <v/>
      </c>
      <c r="DA133">
        <f>IF(IF(OR(IFERROR(SEARCH("Cleric",$T133,1),0)&gt;0,IFERROR(SEARCH(DivineDomain&amp;",",$T133,1),0)&gt;0),1,0)*IF($C133=DA$2,1,0)=1,1+COUNTIF(DA$3:DA132,"&gt;0"),0)</f>
        <v>0</v>
      </c>
      <c r="DB133">
        <f>IF(IF(OR(IFERROR(SEARCH("Cleric",$T133,1),0)&gt;0,IFERROR(SEARCH(DivineDomain&amp;",",$T133,1),0)&gt;0),1,0)*IF($C133=DB$2,1,0)=1,1+COUNTIF(DB$3:DB132,"&gt;0"),0)</f>
        <v>0</v>
      </c>
      <c r="DC133">
        <f>IF(IF(OR(IFERROR(SEARCH("Cleric",$T133,1),0)&gt;0,IFERROR(SEARCH(DivineDomain&amp;",",$T133,1),0)&gt;0),1,0)*IF($C133=DC$2,1,0)=1,1+COUNTIF(DC$3:DC132,"&gt;0"),0)</f>
        <v>8</v>
      </c>
      <c r="DD133">
        <f>IF(IF(OR(IFERROR(SEARCH("Cleric",$T133,1),0)&gt;0,IFERROR(SEARCH(DivineDomain&amp;",",$T133,1),0)&gt;0),1,0)*IF($C133=DD$2,1,0)=1,1+COUNTIF(DD$3:DD132,"&gt;0"),0)</f>
        <v>0</v>
      </c>
      <c r="DE133">
        <f>IF(IF(OR(IFERROR(SEARCH("Cleric",$T133,1),0)&gt;0,IFERROR(SEARCH(DivineDomain&amp;",",$T133,1),0)&gt;0),1,0)*IF($C133=DE$2,1,0)=1,1+COUNTIF(DE$3:DE132,"&gt;0"),0)</f>
        <v>0</v>
      </c>
      <c r="DF133">
        <f>IF(IF(OR(IFERROR(SEARCH("Cleric",$T133,1),0)&gt;0,IFERROR(SEARCH(DivineDomain&amp;",",$T133,1),0)&gt;0),1,0)*IF($C133=DF$2,1,0)=1,1+COUNTIF(DF$3:DF132,"&gt;0"),0)</f>
        <v>0</v>
      </c>
      <c r="DG133">
        <f>IF(IF(OR(IFERROR(SEARCH("Cleric",$T133,1),0)&gt;0,IFERROR(SEARCH(DivineDomain&amp;",",$T133,1),0)&gt;0),1,0)*IF($C133=DG$2,1,0)=1,1+COUNTIF(DG$3:DG132,"&gt;0"),0)</f>
        <v>0</v>
      </c>
      <c r="DH133">
        <f>IF(IF(OR(IFERROR(SEARCH("Cleric",$T133,1),0)&gt;0,IFERROR(SEARCH(DivineDomain&amp;",",$T133,1),0)&gt;0),1,0)*IF($C133=DH$2,1,0)=1,1+COUNTIF(DH$3:DH132,"&gt;0"),0)</f>
        <v>0</v>
      </c>
      <c r="DI133">
        <f>IF(IF(OR(IFERROR(SEARCH("Cleric",$T133,1),0)&gt;0,IFERROR(SEARCH(DivineDomain&amp;",",$T133,1),0)&gt;0),1,0)*IF($C133=DI$2,1,0)=1,1+COUNTIF(DI$3:DI132,"&gt;0"),0)</f>
        <v>0</v>
      </c>
      <c r="DJ133">
        <f>IF(IF(OR(IFERROR(SEARCH("Druid",$T133,1),0)&gt;0,IFERROR(SEARCH(DruidLand1,$T133,1),0)&gt;0,IFERROR(SEARCH(DruidLand2,$T133,1),0)&gt;0,IFERROR(SEARCH(DruidLand3,$T133,1),0)&gt;0,IFERROR(SEARCH(DruidLand4,$T133,1),0)&gt;0),1,0)*IF($C133=1,1,0)*IF($C133=DJ$2,1,0)=0,0,1+COUNTIF(DJ$3:DJ132,"&gt;0"))</f>
        <v>0</v>
      </c>
      <c r="DK133">
        <f>IF(IF(OR(IFERROR(SEARCH("Druid",$T133,1),0)&gt;0,IFERROR(SEARCH(DruidLand1,$T133,1),0)&gt;0,IFERROR(SEARCH(DruidLand2,$T133,1),0)&gt;0,IFERROR(SEARCH(DruidLand3,$T133,1),0)&gt;0,IFERROR(SEARCH(DruidLand4,$T133,1),0)&gt;0),1,0)*IF($C133=DK$2,1,0)=0,0,1+COUNTIF(DK$3:DK132,"&gt;0"))</f>
        <v>0</v>
      </c>
      <c r="DL133">
        <f>IF(IF(OR(IFERROR(SEARCH("Druid",$T133,1),0)&gt;0,IFERROR(SEARCH(DruidLand1,$T133,1),0)&gt;0,IFERROR(SEARCH(DruidLand2,$T133,1),0)&gt;0,IFERROR(SEARCH(DruidLand3,$T133,1),0)&gt;0,IFERROR(SEARCH(DruidLand4,$T133,1),0)&gt;0),1,0)*IF($C133=DL$2,1,0)=0,0,1+COUNTIF(DL$3:DL132,"&gt;0"))</f>
        <v>5</v>
      </c>
      <c r="DM133">
        <f>IF(IF(OR(IFERROR(SEARCH("Druid",$T133,1),0)&gt;0,IFERROR(SEARCH(DruidLand1,$T133,1),0)&gt;0,IFERROR(SEARCH(DruidLand2,$T133,1),0)&gt;0,IFERROR(SEARCH(DruidLand3,$T133,1),0)&gt;0,IFERROR(SEARCH(DruidLand4,$T133,1),0)&gt;0),1,0)*IF($C133=DM$2,1,0)=0,0,1+COUNTIF(DM$3:DM132,"&gt;0"))</f>
        <v>0</v>
      </c>
      <c r="DN133">
        <f>IF(IF(OR(IFERROR(SEARCH("Druid",$T133,1),0)&gt;0,IFERROR(SEARCH(DruidLand1,$T133,1),0)&gt;0,IFERROR(SEARCH(DruidLand2,$T133,1),0)&gt;0,IFERROR(SEARCH(DruidLand3,$T133,1),0)&gt;0,IFERROR(SEARCH(DruidLand4,$T133,1),0)&gt;0),1,0)*IF($C133=DN$2,1,0)=0,0,1+COUNTIF(DN$3:DN132,"&gt;0"))</f>
        <v>0</v>
      </c>
      <c r="DO133">
        <f>IF(IF(OR(IFERROR(SEARCH("Druid",$T133,1),0)&gt;0,IFERROR(SEARCH(DruidLand1,$T133,1),0)&gt;0,IFERROR(SEARCH(DruidLand2,$T133,1),0)&gt;0,IFERROR(SEARCH(DruidLand3,$T133,1),0)&gt;0,IFERROR(SEARCH(DruidLand4,$T133,1),0)&gt;0),1,0)*IF($C133=DO$2,1,0)=0,0,1+COUNTIF(DO$3:DO132,"&gt;0"))</f>
        <v>0</v>
      </c>
      <c r="DP133">
        <f>IF(IF(OR(IFERROR(SEARCH("Druid",$T133,1),0)&gt;0,IFERROR(SEARCH(DruidLand1,$T133,1),0)&gt;0,IFERROR(SEARCH(DruidLand2,$T133,1),0)&gt;0,IFERROR(SEARCH(DruidLand3,$T133,1),0)&gt;0,IFERROR(SEARCH(DruidLand4,$T133,1),0)&gt;0),1,0)*IF($C133=DP$2,1,0)=0,0,1+COUNTIF(DP$3:DP132,"&gt;0"))</f>
        <v>0</v>
      </c>
      <c r="DQ133">
        <f>IF(IF(OR(IFERROR(SEARCH("Druid",$T133,1),0)&gt;0,IFERROR(SEARCH(DruidLand1,$T133,1),0)&gt;0,IFERROR(SEARCH(DruidLand2,$T133,1),0)&gt;0,IFERROR(SEARCH(DruidLand3,$T133,1),0)&gt;0,IFERROR(SEARCH(DruidLand4,$T133,1),0)&gt;0),1,0)*IF($C133=DQ$2,1,0)=0,0,1+COUNTIF(DQ$3:DQ132,"&gt;0"))</f>
        <v>0</v>
      </c>
      <c r="DR133">
        <f>IF(IF(OR(IFERROR(SEARCH("Druid",$T133,1),0)&gt;0,IFERROR(SEARCH(DruidLand1,$T133,1),0)&gt;0,IFERROR(SEARCH(DruidLand2,$T133,1),0)&gt;0,IFERROR(SEARCH(DruidLand3,$T133,1),0)&gt;0,IFERROR(SEARCH(DruidLand4,$T133,1),0)&gt;0),1,0)*IF($C133=DR$2,1,0)=0,0,1+COUNTIF(DR$3:DR132,"&gt;0"))</f>
        <v>0</v>
      </c>
      <c r="DS133">
        <f>IF(IF(OR(IFERROR(SEARCH("Paladin",$T133,1),0)&gt;0,IFERROR(SEARCH(PaladinOath,$T133,1),0)&gt;0),1,0)*IF($C133=DS$2,1,0)=1,1+COUNTIF(DS$3:DS132,"&gt;0"),0)</f>
        <v>0</v>
      </c>
      <c r="DT133">
        <f>IF(IF(OR(IFERROR(SEARCH("Paladin",$T133,1),0)&gt;0,IFERROR(SEARCH(PaladinOath,$T133,1),0)&gt;0),1,0)*IF($C133=DT$2,1,0)=1,1+COUNTIF(DT$3:DT132,"&gt;0"),0)</f>
        <v>0</v>
      </c>
      <c r="DU133">
        <f>IF(IF(OR(IFERROR(SEARCH("Paladin",$T133,1),0)&gt;0,IFERROR(SEARCH(PaladinOath,$T133,1),0)&gt;0),1,0)*IF($C133=DU$2,1,0)=1,1+COUNTIF(DU$3:DU132,"&gt;0"),0)</f>
        <v>0</v>
      </c>
      <c r="DV133">
        <f>IF(IF(OR(IFERROR(SEARCH("Paladin",$T133,1),0)&gt;0,IFERROR(SEARCH(PaladinOath,$T133,1),0)&gt;0),1,0)*IF($C133=DV$2,1,0)=1,1+COUNTIF(DV$3:DV132,"&gt;0"),0)</f>
        <v>0</v>
      </c>
      <c r="DW133">
        <f>IF(IF(OR(IFERROR(SEARCH("Paladin",$T133,1),0)&gt;0,IFERROR(SEARCH(PaladinOath,$T133,1),0)&gt;0),1,0)*IF($C133=DW$2,1,0)=1,1+COUNTIF(DW$3:DW132,"&gt;0"),0)</f>
        <v>0</v>
      </c>
      <c r="DY133">
        <f t="shared" si="111"/>
        <v>1</v>
      </c>
      <c r="DZ133">
        <f>IF(DY133=0,0,1+MAX(DZ$3:$DZ132))</f>
        <v>131</v>
      </c>
      <c r="EB133">
        <f t="shared" si="125"/>
        <v>0</v>
      </c>
      <c r="EC133">
        <f>IF(EB133=0,0,1+COUNTIF(EC$3:EC132,"&gt;0"))</f>
        <v>0</v>
      </c>
      <c r="ED133" t="str">
        <f t="shared" ref="ED133:ED196" si="153">IFERROR(IF(ED132&lt;MAX(EC132:EC536),ED132+1,""),"")</f>
        <v/>
      </c>
      <c r="EE133" t="str">
        <f t="shared" si="126"/>
        <v/>
      </c>
      <c r="EG133">
        <f t="shared" si="127"/>
        <v>0</v>
      </c>
      <c r="EH133">
        <f>IF(EG133=0,0,1+COUNTIF(EH$3:EH132,"&gt;0"))</f>
        <v>0</v>
      </c>
      <c r="EI133" t="str">
        <f t="shared" ref="EI133:EI196" si="154">IFERROR(IF(EI132&lt;MAX(EH132:EH536),EI132+1,""),"")</f>
        <v/>
      </c>
      <c r="EJ133" t="str">
        <f t="shared" si="128"/>
        <v/>
      </c>
      <c r="EL133">
        <f t="shared" si="129"/>
        <v>0</v>
      </c>
      <c r="EM133">
        <f>IF(EL133=0,0,1+COUNTIF(EM$3:EM132,"&gt;0"))</f>
        <v>0</v>
      </c>
      <c r="EN133" t="str">
        <f t="shared" ref="EN133:EN196" si="155">IFERROR(IF(EN132&lt;MAX(EM132:EM536),EN132+1,""),"")</f>
        <v/>
      </c>
      <c r="EO133" t="str">
        <f t="shared" si="130"/>
        <v/>
      </c>
      <c r="EQ133">
        <f t="shared" si="131"/>
        <v>0</v>
      </c>
      <c r="ER133">
        <f>IF(EQ133=0,0,1+COUNTIF(ER$3:ER132,"&gt;0"))</f>
        <v>0</v>
      </c>
      <c r="ES133" t="str">
        <f t="shared" ref="ES133:ES196" si="156">IFERROR(IF(ES132&lt;MAX(ER132:ER536),ES132+1,""),"")</f>
        <v/>
      </c>
      <c r="ET133" t="str">
        <f t="shared" si="132"/>
        <v/>
      </c>
      <c r="EV133">
        <f t="shared" si="133"/>
        <v>0</v>
      </c>
      <c r="EW133">
        <f>IF(EV133=0,0,1+COUNTIF(EW$3:EW132,"&gt;0"))</f>
        <v>0</v>
      </c>
      <c r="EX133" t="str">
        <f t="shared" ref="EX133:EX196" si="157">IFERROR(IF(EX132&lt;MAX(EW132:EW536),EX132+1,""),"")</f>
        <v/>
      </c>
      <c r="EY133" t="str">
        <f t="shared" si="134"/>
        <v/>
      </c>
      <c r="FA133">
        <f t="shared" si="135"/>
        <v>0</v>
      </c>
      <c r="FB133">
        <f>IF(FA133=0,0,1+COUNTIF(FB$3:FB132,"&gt;0"))</f>
        <v>0</v>
      </c>
      <c r="FC133" t="str">
        <f t="shared" ref="FC133:FC196" si="158">IFERROR(IF(FC132&lt;MAX(FB132:FB536),FC132+1,""),"")</f>
        <v/>
      </c>
      <c r="FD133" t="str">
        <f t="shared" si="136"/>
        <v/>
      </c>
      <c r="FF133">
        <f t="shared" si="137"/>
        <v>0</v>
      </c>
      <c r="FG133">
        <f>IF(FF133=0,0,1+COUNTIF(FG$3:FG132,"&gt;0"))</f>
        <v>0</v>
      </c>
      <c r="FH133" t="str">
        <f t="shared" ref="FH133:FH196" si="159">IFERROR(IF(FH132&lt;MAX(FG132:FG536),FH132+1,""),"")</f>
        <v/>
      </c>
      <c r="FI133" t="str">
        <f t="shared" si="138"/>
        <v/>
      </c>
      <c r="FK133">
        <f t="shared" si="139"/>
        <v>0</v>
      </c>
      <c r="FL133">
        <f>IF(FK133=0,0,1+COUNTIF(FL$3:FL132,"&gt;0"))</f>
        <v>0</v>
      </c>
      <c r="FM133" t="str">
        <f t="shared" ref="FM133:FM196" si="160">IFERROR(IF(FM132&lt;MAX(FL132:FL536),FM132+1,""),"")</f>
        <v/>
      </c>
      <c r="FN133" t="str">
        <f t="shared" si="140"/>
        <v/>
      </c>
      <c r="FP133">
        <f t="shared" si="141"/>
        <v>0</v>
      </c>
      <c r="FQ133">
        <f>IF(FP133=0,0,1+COUNTIF(FQ$3:FQ132,"&gt;0"))</f>
        <v>0</v>
      </c>
      <c r="FR133" t="str">
        <f t="shared" ref="FR133:FR196" si="161">IFERROR(IF(FR132&lt;MAX(FQ132:FQ536),FR132+1,""),"")</f>
        <v/>
      </c>
      <c r="FS133" t="str">
        <f t="shared" si="142"/>
        <v/>
      </c>
    </row>
    <row r="134" spans="1:175" x14ac:dyDescent="0.25">
      <c r="A134" s="347">
        <f t="shared" ref="A134:A197" si="162">A133+1</f>
        <v>132</v>
      </c>
      <c r="B134" s="348" t="s">
        <v>2503</v>
      </c>
      <c r="C134" s="348">
        <v>1</v>
      </c>
      <c r="D134" s="347">
        <v>1</v>
      </c>
      <c r="E134" s="627" t="s">
        <v>6952</v>
      </c>
      <c r="F134" s="346"/>
      <c r="G134" s="347" t="s">
        <v>5269</v>
      </c>
      <c r="H134" s="347" t="s">
        <v>5366</v>
      </c>
      <c r="I134" s="347" t="s">
        <v>5052</v>
      </c>
      <c r="J134" s="347" t="str">
        <f t="shared" si="112"/>
        <v/>
      </c>
      <c r="K134" s="347" t="s">
        <v>5278</v>
      </c>
      <c r="L134" s="611" t="str">
        <f t="shared" si="113"/>
        <v>V, S, M, 10 gp worth of charcoal, incense, and herbs that must be consumed by fire in a brass brazier</v>
      </c>
      <c r="M134" s="347" t="s">
        <v>2373</v>
      </c>
      <c r="N134" s="347" t="s">
        <v>2387</v>
      </c>
      <c r="O134" s="347" t="s">
        <v>1244</v>
      </c>
      <c r="P134" s="346" t="s">
        <v>5367</v>
      </c>
      <c r="Q134" s="347" t="s">
        <v>5271</v>
      </c>
      <c r="S134" s="346" t="s">
        <v>5689</v>
      </c>
      <c r="T134" s="346" t="str">
        <f t="shared" si="114"/>
        <v xml:space="preserve">Wizard, </v>
      </c>
      <c r="AD134" s="347" t="str">
        <f t="shared" si="110"/>
        <v>Find Familiar</v>
      </c>
      <c r="AE134" t="str">
        <f>IF(IFERROR(MATCH($B134,temp!A$4:A$13,0),0)&gt;0,T08_Spells!AE$2,"")</f>
        <v/>
      </c>
      <c r="AF134" t="str">
        <f>IF(IFERROR(MATCH($B134,temp!B$4:B$13,0),0)&gt;0,T08_Spells!AF$2,"")</f>
        <v/>
      </c>
      <c r="AG134" t="str">
        <f>IF(IFERROR(MATCH($B134,temp!C$4:C$13,0),0)&gt;0,T08_Spells!AG$2,"")</f>
        <v/>
      </c>
      <c r="AH134" t="str">
        <f>IF(IFERROR(MATCH($B134,temp!D$4:D$13,0),0)&gt;0,T08_Spells!AH$2,"")</f>
        <v/>
      </c>
      <c r="AI134" t="str">
        <f>IF(IFERROR(MATCH($B134,temp!E$4:E$13,0),0)&gt;0,T08_Spells!AI$2,"")</f>
        <v/>
      </c>
      <c r="AJ134" t="str">
        <f>IF(IFERROR(MATCH($B134,temp!F$4:F$13,0),0)&gt;0,T08_Spells!AJ$2,"")</f>
        <v/>
      </c>
      <c r="AK134" t="str">
        <f>IF(IFERROR(MATCH($B134,temp!G$4:G$13,0),0)&gt;0,T08_Spells!AK$2,"")</f>
        <v/>
      </c>
      <c r="AL134" t="str">
        <f>IF(IFERROR(MATCH($B134,temp!H$4:H$13,0),0)&gt;0,T08_Spells!AL$2,"")</f>
        <v/>
      </c>
      <c r="AM134" t="str">
        <f>IF(IFERROR(MATCH($B134,temp!I$4:I$13,0),0)&gt;0,T08_Spells!AM$2,"")</f>
        <v/>
      </c>
      <c r="AN134" t="str">
        <f>IF(IFERROR(MATCH($B134,temp!J$4:J$13,0),0)&gt;0,T08_Spells!AN$2,"")</f>
        <v/>
      </c>
      <c r="AO134" t="str">
        <f>IF(IFERROR(MATCH($B134,temp!K$4:K$13,0),0)&gt;0,T08_Spells!AO$2,"")</f>
        <v/>
      </c>
      <c r="AP134" t="str">
        <f>IF(IFERROR(MATCH($B134,temp!L$4:L$13,0),0)&gt;0,T08_Spells!AP$2,"")</f>
        <v/>
      </c>
      <c r="AQ134" t="str">
        <f>IF(IFERROR(MATCH($B134,temp!M$4:M$13,0),0)&gt;0,T08_Spells!AQ$2,"")</f>
        <v/>
      </c>
      <c r="AR134" t="str">
        <f>IF(IFERROR(MATCH($B134,temp!N$4:N$13,0),0)&gt;0,T08_Spells!AR$2,"")</f>
        <v/>
      </c>
      <c r="AS134" t="str">
        <f>IF(IFERROR(MATCH($B134,temp!O$4:O$13,0),0)&gt;0,T08_Spells!AS$2,"")</f>
        <v/>
      </c>
      <c r="AT134" t="str">
        <f>IF(IFERROR(MATCH($B134,temp!P$4:P$13,0),0)&gt;0,T08_Spells!AT$2,"")</f>
        <v/>
      </c>
      <c r="AU134" t="str">
        <f>IF(IFERROR(MATCH($B134,temp!Q$4:Q$13,0),0)&gt;0,T08_Spells!AU$2,"")</f>
        <v/>
      </c>
      <c r="AV134" t="str">
        <f>IF(IFERROR(MATCH($B134,temp!R$4:R$13,0),0)&gt;0,T08_Spells!AV$2,"")</f>
        <v/>
      </c>
      <c r="AW134" t="str">
        <f>IF(IFERROR(MATCH($B134,temp!S$4:S$13,0),0)&gt;0,T08_Spells!AW$2,"")</f>
        <v/>
      </c>
      <c r="AX134" t="str">
        <f>IF(IFERROR(MATCH($B134,temp!T$4:T$13,0),0)&gt;0,T08_Spells!AX$2,"")</f>
        <v/>
      </c>
      <c r="AY134" t="str">
        <f>IF(IFERROR(MATCH($B134,temp!U$4:U$13,0),0)&gt;0,T08_Spells!AY$2,"")</f>
        <v/>
      </c>
      <c r="AZ134" t="str">
        <f>IF(IFERROR(MATCH($B134,temp!V$4:V$13,0),0)&gt;0,T08_Spells!AZ$2,"")</f>
        <v/>
      </c>
      <c r="BA134" t="str">
        <f>IF(IFERROR(MATCH($B134,temp!W$4:W$13,0),0)&gt;0,T08_Spells!BA$2,"")</f>
        <v/>
      </c>
      <c r="BC134">
        <f>IF(IFERROR(SEARCH("Ranger",$T134,1),0)&gt;0,1,0)*IF(RangerMaxSpellLevel&gt;=$C134,1,0)*IF(IFERROR(MATCH(B134,Character_Creation!$X$79:$X$382,0),0)&gt;0,0,1)</f>
        <v>0</v>
      </c>
      <c r="BD134">
        <f>IF(BC134=0,0,1+COUNTIF(BD$3:BD133,"&gt;0"))</f>
        <v>0</v>
      </c>
      <c r="BE134" t="str">
        <f t="shared" si="143"/>
        <v/>
      </c>
      <c r="BF134" t="str">
        <f t="shared" si="115"/>
        <v/>
      </c>
      <c r="BH134">
        <f>IF(IFERROR(SEARCH("Sorcerer",$T134,1),0)&gt;0,1,0)*IF(SorcererMaxSpellLevel&gt;=$C134,1,0)*IF(IFERROR(MATCH(B134,Character_Creation!$J$380:$J$394,0),0)&gt;0,0,1)</f>
        <v>0</v>
      </c>
      <c r="BI134">
        <f>IF(BH134=0,0,1+COUNTIF(BI$3:BI133,"&gt;0"))</f>
        <v>0</v>
      </c>
      <c r="BJ134" t="str">
        <f t="shared" si="144"/>
        <v/>
      </c>
      <c r="BK134" t="str">
        <f t="shared" si="116"/>
        <v/>
      </c>
      <c r="BM134">
        <f>IF(OR(IFERROR(SEARCH("Warlock",$T134,1),0)&gt;0,IFERROR(SEARCH(WarlockPatron,$T134,1),0)&gt;0),1,0)*IF(WarlockMaxSpellLevel&gt;=$C134,1,0)*IF(IFERROR(MATCH(B134,Character_Creation!$J$361:$J$375,0),0)&gt;0,0,1)</f>
        <v>0</v>
      </c>
      <c r="BN134">
        <f>IF(BM134=0,0,1+COUNTIF(BN$3:BN133,"&gt;0"))</f>
        <v>0</v>
      </c>
      <c r="BO134" t="str">
        <f t="shared" si="145"/>
        <v/>
      </c>
      <c r="BP134" t="str">
        <f t="shared" si="117"/>
        <v/>
      </c>
      <c r="BR134">
        <f>IF(IFERROR(SEARCH("Eldritch Knight",$T134,1),0)&gt;0,1,0)*IF(EldritchKnightMaxSpellLevel&gt;=$C134,1,0)*IF(IFERROR(MATCH($B134,Character_Creation!$J$350:$J$356,0),0)&gt;0,0,1)*IF(Character_Creation!$M$338&gt;0,1,0)</f>
        <v>0</v>
      </c>
      <c r="BS134">
        <f>IF(BR134=0,0,1+COUNTIF(BS$3:BS133,"&gt;0"))</f>
        <v>0</v>
      </c>
      <c r="BT134" t="str">
        <f t="shared" si="146"/>
        <v/>
      </c>
      <c r="BU134" t="str">
        <f t="shared" si="118"/>
        <v/>
      </c>
      <c r="BW134">
        <f>IF(IFERROR(SEARCH("Arcane Trickster",$T134,1),0)&gt;0,1,0)*IF(ArcaneTricksterMaxSpellLevel&gt;=$C134,1,0)*IF(IFERROR(MATCH($B134,Character_Creation!$J$350:$J$356,0),0)&gt;0,0,1)*IF(Character_Creation!$T$338&gt;0,1,0)</f>
        <v>0</v>
      </c>
      <c r="BX134">
        <f>IF(BW134=0,0,1+COUNTIF(BX$3:BX133,"&gt;0"))</f>
        <v>0</v>
      </c>
      <c r="BY134" t="str">
        <f t="shared" si="147"/>
        <v/>
      </c>
      <c r="BZ134" t="str">
        <f t="shared" si="119"/>
        <v/>
      </c>
      <c r="CB134">
        <f>IF(IFERROR(SEARCH("Wizard",$T134,1),0)&gt;0,1,0)*IF(C134&lt;=ArcaneTricksterMaxSpellLevel,1,0)*IF(IFERROR(MATCH($B134,Character_Creation!$J$350:$J$356,0),0)&gt;0,0,1)*IF(Character_Creation!$T$350&gt;0,1,0)</f>
        <v>0</v>
      </c>
      <c r="CC134">
        <f>IF(CB134=0,0,1+COUNTIF(CC$3:CC133,"&gt;0"))</f>
        <v>0</v>
      </c>
      <c r="CD134" t="str">
        <f t="shared" si="148"/>
        <v/>
      </c>
      <c r="CE134" t="str">
        <f t="shared" si="120"/>
        <v/>
      </c>
      <c r="CG134">
        <f>IF(IFERROR(SEARCH("Wizard",$T134,1),0)&gt;0,1,0)*IF($C134&lt;=EldritchKnightMaxSpellLevel,1,0)*IF(IFERROR(MATCH($B134,Character_Creation!$J$350:$J$356,0),0)&gt;0,0,1)*IF(Character_Creation!$M$350&gt;0,1,0)</f>
        <v>1</v>
      </c>
      <c r="CH134">
        <f>IF(CG134=0,0,1+COUNTIF(CH$3:CH133,"&gt;0"))</f>
        <v>23</v>
      </c>
      <c r="CI134" t="str">
        <f t="shared" si="149"/>
        <v/>
      </c>
      <c r="CJ134" t="str">
        <f t="shared" si="121"/>
        <v/>
      </c>
      <c r="CL134">
        <f>IF(IFERROR(SEARCH("Bard",$T134,1),0)&gt;0,1,0)*IF(BardMaxSpellLevel&gt;=$C134,1,0)*IF(IFERROR(MATCH(B134,Character_Creation!$C$341:$F$362,0),0)&gt;0,0,1)*IF(IFERROR(MATCH($B134,Character_Creation!$C$341:$C$362,0),0)&gt;0,0,1)</f>
        <v>0</v>
      </c>
      <c r="CM134">
        <f>IF(CL134=0,0,1+COUNTIF(CM$3:CM133,"&gt;0"))</f>
        <v>0</v>
      </c>
      <c r="CN134" t="str">
        <f t="shared" si="150"/>
        <v/>
      </c>
      <c r="CO134" t="str">
        <f t="shared" si="122"/>
        <v/>
      </c>
      <c r="CQ134">
        <f>IF(IFERROR(SEARCH("Wizard",$T134,1),0)&gt;0,1,0)*IF(WizardMaxSpellLevel&gt;=$C134,1,0)*IF(IFERROR(MATCH(B134,Character_Creation!$X$341:$X$400,0),0)&gt;0,0,1)*IF(SelectedWizardSpellLevel=$C134,1,0)</f>
        <v>0</v>
      </c>
      <c r="CR134">
        <f>IF(CQ134=0,0,1+COUNTIF(CR$3:CR133,"&gt;0"))</f>
        <v>0</v>
      </c>
      <c r="CS134" t="str">
        <f t="shared" si="151"/>
        <v/>
      </c>
      <c r="CT134" t="str">
        <f t="shared" si="123"/>
        <v/>
      </c>
      <c r="CV134">
        <f>IF(IFERROR(MATCH($B134,Character_Creation!$C$341:$C$362,0),0)&gt;0,0,1)*IF(OR(C134="Cantrip",C134&lt;=BardMaxSpellLevel),1,0)*IF(IFERROR(MATCH($B134,Character_Creation!$C$367:$C$374,0),0)&gt;0,0,1)</f>
        <v>0</v>
      </c>
      <c r="CW134">
        <f>IF(CV134=0,0,1+COUNTIF(CW$3:CW133,"&gt;0"))</f>
        <v>0</v>
      </c>
      <c r="CX134" t="str">
        <f t="shared" si="152"/>
        <v/>
      </c>
      <c r="CY134" t="str">
        <f t="shared" si="124"/>
        <v/>
      </c>
      <c r="DA134">
        <f>IF(IF(OR(IFERROR(SEARCH("Cleric",$T134,1),0)&gt;0,IFERROR(SEARCH(DivineDomain&amp;",",$T134,1),0)&gt;0),1,0)*IF($C134=DA$2,1,0)=1,1+COUNTIF(DA$3:DA133,"&gt;0"),0)</f>
        <v>0</v>
      </c>
      <c r="DB134">
        <f>IF(IF(OR(IFERROR(SEARCH("Cleric",$T134,1),0)&gt;0,IFERROR(SEARCH(DivineDomain&amp;",",$T134,1),0)&gt;0),1,0)*IF($C134=DB$2,1,0)=1,1+COUNTIF(DB$3:DB133,"&gt;0"),0)</f>
        <v>0</v>
      </c>
      <c r="DC134">
        <f>IF(IF(OR(IFERROR(SEARCH("Cleric",$T134,1),0)&gt;0,IFERROR(SEARCH(DivineDomain&amp;",",$T134,1),0)&gt;0),1,0)*IF($C134=DC$2,1,0)=1,1+COUNTIF(DC$3:DC133,"&gt;0"),0)</f>
        <v>0</v>
      </c>
      <c r="DD134">
        <f>IF(IF(OR(IFERROR(SEARCH("Cleric",$T134,1),0)&gt;0,IFERROR(SEARCH(DivineDomain&amp;",",$T134,1),0)&gt;0),1,0)*IF($C134=DD$2,1,0)=1,1+COUNTIF(DD$3:DD133,"&gt;0"),0)</f>
        <v>0</v>
      </c>
      <c r="DE134">
        <f>IF(IF(OR(IFERROR(SEARCH("Cleric",$T134,1),0)&gt;0,IFERROR(SEARCH(DivineDomain&amp;",",$T134,1),0)&gt;0),1,0)*IF($C134=DE$2,1,0)=1,1+COUNTIF(DE$3:DE133,"&gt;0"),0)</f>
        <v>0</v>
      </c>
      <c r="DF134">
        <f>IF(IF(OR(IFERROR(SEARCH("Cleric",$T134,1),0)&gt;0,IFERROR(SEARCH(DivineDomain&amp;",",$T134,1),0)&gt;0),1,0)*IF($C134=DF$2,1,0)=1,1+COUNTIF(DF$3:DF133,"&gt;0"),0)</f>
        <v>0</v>
      </c>
      <c r="DG134">
        <f>IF(IF(OR(IFERROR(SEARCH("Cleric",$T134,1),0)&gt;0,IFERROR(SEARCH(DivineDomain&amp;",",$T134,1),0)&gt;0),1,0)*IF($C134=DG$2,1,0)=1,1+COUNTIF(DG$3:DG133,"&gt;0"),0)</f>
        <v>0</v>
      </c>
      <c r="DH134">
        <f>IF(IF(OR(IFERROR(SEARCH("Cleric",$T134,1),0)&gt;0,IFERROR(SEARCH(DivineDomain&amp;",",$T134,1),0)&gt;0),1,0)*IF($C134=DH$2,1,0)=1,1+COUNTIF(DH$3:DH133,"&gt;0"),0)</f>
        <v>0</v>
      </c>
      <c r="DI134">
        <f>IF(IF(OR(IFERROR(SEARCH("Cleric",$T134,1),0)&gt;0,IFERROR(SEARCH(DivineDomain&amp;",",$T134,1),0)&gt;0),1,0)*IF($C134=DI$2,1,0)=1,1+COUNTIF(DI$3:DI133,"&gt;0"),0)</f>
        <v>0</v>
      </c>
      <c r="DJ134">
        <f>IF(IF(OR(IFERROR(SEARCH("Druid",$T134,1),0)&gt;0,IFERROR(SEARCH(DruidLand1,$T134,1),0)&gt;0,IFERROR(SEARCH(DruidLand2,$T134,1),0)&gt;0,IFERROR(SEARCH(DruidLand3,$T134,1),0)&gt;0,IFERROR(SEARCH(DruidLand4,$T134,1),0)&gt;0),1,0)*IF($C134=1,1,0)*IF($C134=DJ$2,1,0)=0,0,1+COUNTIF(DJ$3:DJ133,"&gt;0"))</f>
        <v>0</v>
      </c>
      <c r="DK134">
        <f>IF(IF(OR(IFERROR(SEARCH("Druid",$T134,1),0)&gt;0,IFERROR(SEARCH(DruidLand1,$T134,1),0)&gt;0,IFERROR(SEARCH(DruidLand2,$T134,1),0)&gt;0,IFERROR(SEARCH(DruidLand3,$T134,1),0)&gt;0,IFERROR(SEARCH(DruidLand4,$T134,1),0)&gt;0),1,0)*IF($C134=1,1,0)*IF($C134=DK$2,1,0)=0,0,1+COUNTIF(DK$3:DK133,"&gt;0"))</f>
        <v>0</v>
      </c>
      <c r="DL134">
        <f>IF(IF(OR(IFERROR(SEARCH("Druid",$T134,1),0)&gt;0,IFERROR(SEARCH(DruidLand1,$T134,1),0)&gt;0,IFERROR(SEARCH(DruidLand2,$T134,1),0)&gt;0,IFERROR(SEARCH(DruidLand3,$T134,1),0)&gt;0,IFERROR(SEARCH(DruidLand4,$T134,1),0)&gt;0),1,0)*IF($C134=1,1,0)*IF($C134=DL$2,1,0)=0,0,1+COUNTIF(DL$3:DL133,"&gt;0"))</f>
        <v>0</v>
      </c>
      <c r="DM134">
        <f>IF(IF(OR(IFERROR(SEARCH("Druid",$T134,1),0)&gt;0,IFERROR(SEARCH(DruidLand1,$T134,1),0)&gt;0,IFERROR(SEARCH(DruidLand2,$T134,1),0)&gt;0,IFERROR(SEARCH(DruidLand3,$T134,1),0)&gt;0,IFERROR(SEARCH(DruidLand4,$T134,1),0)&gt;0),1,0)*IF($C134=1,1,0)*IF($C134=DM$2,1,0)=0,0,1+COUNTIF(DM$3:DM133,"&gt;0"))</f>
        <v>0</v>
      </c>
      <c r="DN134">
        <f>IF(IF(OR(IFERROR(SEARCH("Druid",$T134,1),0)&gt;0,IFERROR(SEARCH(DruidLand1,$T134,1),0)&gt;0,IFERROR(SEARCH(DruidLand2,$T134,1),0)&gt;0,IFERROR(SEARCH(DruidLand3,$T134,1),0)&gt;0,IFERROR(SEARCH(DruidLand4,$T134,1),0)&gt;0),1,0)*IF($C134=1,1,0)*IF($C134=DN$2,1,0)=0,0,1+COUNTIF(DN$3:DN133,"&gt;0"))</f>
        <v>0</v>
      </c>
      <c r="DO134">
        <f>IF(IF(OR(IFERROR(SEARCH("Druid",$T134,1),0)&gt;0,IFERROR(SEARCH(DruidLand1,$T134,1),0)&gt;0,IFERROR(SEARCH(DruidLand2,$T134,1),0)&gt;0,IFERROR(SEARCH(DruidLand3,$T134,1),0)&gt;0,IFERROR(SEARCH(DruidLand4,$T134,1),0)&gt;0),1,0)*IF($C134=1,1,0)*IF($C134=DO$2,1,0)=0,0,1+COUNTIF(DO$3:DO133,"&gt;0"))</f>
        <v>0</v>
      </c>
      <c r="DP134">
        <f>IF(IF(OR(IFERROR(SEARCH("Druid",$T134,1),0)&gt;0,IFERROR(SEARCH(DruidLand1,$T134,1),0)&gt;0,IFERROR(SEARCH(DruidLand2,$T134,1),0)&gt;0,IFERROR(SEARCH(DruidLand3,$T134,1),0)&gt;0,IFERROR(SEARCH(DruidLand4,$T134,1),0)&gt;0),1,0)*IF($C134=1,1,0)*IF($C134=DP$2,1,0)=0,0,1+COUNTIF(DP$3:DP133,"&gt;0"))</f>
        <v>0</v>
      </c>
      <c r="DQ134">
        <f>IF(IF(OR(IFERROR(SEARCH("Druid",$T134,1),0)&gt;0,IFERROR(SEARCH(DruidLand1,$T134,1),0)&gt;0,IFERROR(SEARCH(DruidLand2,$T134,1),0)&gt;0,IFERROR(SEARCH(DruidLand3,$T134,1),0)&gt;0,IFERROR(SEARCH(DruidLand4,$T134,1),0)&gt;0),1,0)*IF($C134=1,1,0)*IF($C134=DQ$2,1,0)=0,0,1+COUNTIF(DQ$3:DQ133,"&gt;0"))</f>
        <v>0</v>
      </c>
      <c r="DR134">
        <f>IF(IF(OR(IFERROR(SEARCH("Druid",$T134,1),0)&gt;0,IFERROR(SEARCH(DruidLand1,$T134,1),0)&gt;0,IFERROR(SEARCH(DruidLand2,$T134,1),0)&gt;0,IFERROR(SEARCH(DruidLand3,$T134,1),0)&gt;0,IFERROR(SEARCH(DruidLand4,$T134,1),0)&gt;0),1,0)*IF($C134=1,1,0)*IF($C134=DR$2,1,0)=0,0,1+COUNTIF(DR$3:DR133,"&gt;0"))</f>
        <v>0</v>
      </c>
      <c r="DS134">
        <f>IF(IF(OR(IFERROR(SEARCH("Paladin",$T134,1),0)&gt;0,IFERROR(SEARCH(PaladinOath,$T134,1),0)&gt;0),1,0)*IF($C134=DS$2,1,0)=1,1+COUNTIF(DS$3:DS133,"&gt;0"),0)</f>
        <v>0</v>
      </c>
      <c r="DT134">
        <f>IF(IF(OR(IFERROR(SEARCH("Paladin",$T134,1),0)&gt;0,IFERROR(SEARCH(PaladinOath,$T134,1),0)&gt;0),1,0)*IF($C134=DT$2,1,0)=1,1+COUNTIF(DT$3:DT133,"&gt;0"),0)</f>
        <v>0</v>
      </c>
      <c r="DU134">
        <f>IF(IF(OR(IFERROR(SEARCH("Paladin",$T134,1),0)&gt;0,IFERROR(SEARCH(PaladinOath,$T134,1),0)&gt;0),1,0)*IF($C134=DU$2,1,0)=1,1+COUNTIF(DU$3:DU133,"&gt;0"),0)</f>
        <v>0</v>
      </c>
      <c r="DV134">
        <f>IF(IF(OR(IFERROR(SEARCH("Paladin",$T134,1),0)&gt;0,IFERROR(SEARCH(PaladinOath,$T134,1),0)&gt;0),1,0)*IF($C134=DV$2,1,0)=1,1+COUNTIF(DV$3:DV133,"&gt;0"),0)</f>
        <v>0</v>
      </c>
      <c r="DW134">
        <f>IF(IF(OR(IFERROR(SEARCH("Paladin",$T134,1),0)&gt;0,IFERROR(SEARCH(PaladinOath,$T134,1),0)&gt;0),1,0)*IF($C134=DW$2,1,0)=1,1+COUNTIF(DW$3:DW133,"&gt;0"),0)</f>
        <v>0</v>
      </c>
      <c r="DY134">
        <f t="shared" si="111"/>
        <v>1</v>
      </c>
      <c r="DZ134">
        <f>IF(DY134=0,0,1+MAX(DZ$3:$DZ133))</f>
        <v>132</v>
      </c>
      <c r="EB134">
        <f t="shared" si="125"/>
        <v>0</v>
      </c>
      <c r="EC134">
        <f>IF(EB134=0,0,1+COUNTIF(EC$3:EC133,"&gt;0"))</f>
        <v>0</v>
      </c>
      <c r="ED134" t="str">
        <f t="shared" si="153"/>
        <v/>
      </c>
      <c r="EE134" t="str">
        <f t="shared" si="126"/>
        <v/>
      </c>
      <c r="EG134">
        <f t="shared" si="127"/>
        <v>0</v>
      </c>
      <c r="EH134">
        <f>IF(EG134=0,0,1+COUNTIF(EH$3:EH133,"&gt;0"))</f>
        <v>0</v>
      </c>
      <c r="EI134" t="str">
        <f t="shared" si="154"/>
        <v/>
      </c>
      <c r="EJ134" t="str">
        <f t="shared" si="128"/>
        <v/>
      </c>
      <c r="EL134">
        <f t="shared" si="129"/>
        <v>0</v>
      </c>
      <c r="EM134">
        <f>IF(EL134=0,0,1+COUNTIF(EM$3:EM133,"&gt;0"))</f>
        <v>0</v>
      </c>
      <c r="EN134" t="str">
        <f t="shared" si="155"/>
        <v/>
      </c>
      <c r="EO134" t="str">
        <f t="shared" si="130"/>
        <v/>
      </c>
      <c r="EQ134">
        <f t="shared" si="131"/>
        <v>0</v>
      </c>
      <c r="ER134">
        <f>IF(EQ134=0,0,1+COUNTIF(ER$3:ER133,"&gt;0"))</f>
        <v>0</v>
      </c>
      <c r="ES134" t="str">
        <f t="shared" si="156"/>
        <v/>
      </c>
      <c r="ET134" t="str">
        <f t="shared" si="132"/>
        <v/>
      </c>
      <c r="EV134">
        <f t="shared" si="133"/>
        <v>0</v>
      </c>
      <c r="EW134">
        <f>IF(EV134=0,0,1+COUNTIF(EW$3:EW133,"&gt;0"))</f>
        <v>0</v>
      </c>
      <c r="EX134" t="str">
        <f t="shared" si="157"/>
        <v/>
      </c>
      <c r="EY134" t="str">
        <f t="shared" si="134"/>
        <v/>
      </c>
      <c r="FA134">
        <f t="shared" si="135"/>
        <v>0</v>
      </c>
      <c r="FB134">
        <f>IF(FA134=0,0,1+COUNTIF(FB$3:FB133,"&gt;0"))</f>
        <v>0</v>
      </c>
      <c r="FC134" t="str">
        <f t="shared" si="158"/>
        <v/>
      </c>
      <c r="FD134" t="str">
        <f t="shared" si="136"/>
        <v/>
      </c>
      <c r="FF134">
        <f t="shared" si="137"/>
        <v>0</v>
      </c>
      <c r="FG134">
        <f>IF(FF134=0,0,1+COUNTIF(FG$3:FG133,"&gt;0"))</f>
        <v>0</v>
      </c>
      <c r="FH134" t="str">
        <f t="shared" si="159"/>
        <v/>
      </c>
      <c r="FI134" t="str">
        <f t="shared" si="138"/>
        <v/>
      </c>
      <c r="FK134">
        <f t="shared" si="139"/>
        <v>0</v>
      </c>
      <c r="FL134">
        <f>IF(FK134=0,0,1+COUNTIF(FL$3:FL133,"&gt;0"))</f>
        <v>0</v>
      </c>
      <c r="FM134" t="str">
        <f t="shared" si="160"/>
        <v/>
      </c>
      <c r="FN134" t="str">
        <f t="shared" si="140"/>
        <v/>
      </c>
      <c r="FP134">
        <f t="shared" si="141"/>
        <v>0</v>
      </c>
      <c r="FQ134">
        <f>IF(FP134=0,0,1+COUNTIF(FQ$3:FQ133,"&gt;0"))</f>
        <v>0</v>
      </c>
      <c r="FR134" t="str">
        <f t="shared" si="161"/>
        <v/>
      </c>
      <c r="FS134" t="str">
        <f t="shared" si="142"/>
        <v/>
      </c>
    </row>
    <row r="135" spans="1:175" x14ac:dyDescent="0.25">
      <c r="A135" s="347">
        <f t="shared" si="162"/>
        <v>133</v>
      </c>
      <c r="B135" s="348" t="s">
        <v>2504</v>
      </c>
      <c r="C135" s="348">
        <v>2</v>
      </c>
      <c r="D135" s="347">
        <v>2</v>
      </c>
      <c r="E135" s="627" t="s">
        <v>6952</v>
      </c>
      <c r="F135" s="346"/>
      <c r="G135" s="347" t="str">
        <f>""</f>
        <v/>
      </c>
      <c r="H135" s="347" t="s">
        <v>5319</v>
      </c>
      <c r="I135" s="347" t="s">
        <v>5060</v>
      </c>
      <c r="J135" s="347" t="str">
        <f t="shared" si="112"/>
        <v/>
      </c>
      <c r="K135" s="347" t="s">
        <v>5278</v>
      </c>
      <c r="L135" s="611" t="str">
        <f t="shared" si="113"/>
        <v>V, S</v>
      </c>
      <c r="M135" s="347" t="s">
        <v>2373</v>
      </c>
      <c r="N135" s="347" t="s">
        <v>2387</v>
      </c>
      <c r="O135" s="347" t="s">
        <v>3034</v>
      </c>
      <c r="Q135" s="347" t="s">
        <v>5271</v>
      </c>
      <c r="S135" s="346" t="s">
        <v>5690</v>
      </c>
      <c r="T135" s="346" t="str">
        <f t="shared" si="114"/>
        <v xml:space="preserve">Paladin, </v>
      </c>
      <c r="V135" s="347" t="str">
        <f>$B135</f>
        <v>Find Steed</v>
      </c>
      <c r="AE135" t="str">
        <f>IF(IFERROR(MATCH($B135,temp!A$4:A$13,0),0)&gt;0,T08_Spells!AE$2,"")</f>
        <v/>
      </c>
      <c r="AF135" t="str">
        <f>IF(IFERROR(MATCH($B135,temp!B$4:B$13,0),0)&gt;0,T08_Spells!AF$2,"")</f>
        <v/>
      </c>
      <c r="AG135" t="str">
        <f>IF(IFERROR(MATCH($B135,temp!C$4:C$13,0),0)&gt;0,T08_Spells!AG$2,"")</f>
        <v/>
      </c>
      <c r="AH135" t="str">
        <f>IF(IFERROR(MATCH($B135,temp!D$4:D$13,0),0)&gt;0,T08_Spells!AH$2,"")</f>
        <v/>
      </c>
      <c r="AI135" t="str">
        <f>IF(IFERROR(MATCH($B135,temp!E$4:E$13,0),0)&gt;0,T08_Spells!AI$2,"")</f>
        <v/>
      </c>
      <c r="AJ135" t="str">
        <f>IF(IFERROR(MATCH($B135,temp!F$4:F$13,0),0)&gt;0,T08_Spells!AJ$2,"")</f>
        <v/>
      </c>
      <c r="AK135" t="str">
        <f>IF(IFERROR(MATCH($B135,temp!G$4:G$13,0),0)&gt;0,T08_Spells!AK$2,"")</f>
        <v/>
      </c>
      <c r="AL135" t="str">
        <f>IF(IFERROR(MATCH($B135,temp!H$4:H$13,0),0)&gt;0,T08_Spells!AL$2,"")</f>
        <v/>
      </c>
      <c r="AM135" t="str">
        <f>IF(IFERROR(MATCH($B135,temp!I$4:I$13,0),0)&gt;0,T08_Spells!AM$2,"")</f>
        <v/>
      </c>
      <c r="AN135" t="str">
        <f>IF(IFERROR(MATCH($B135,temp!J$4:J$13,0),0)&gt;0,T08_Spells!AN$2,"")</f>
        <v/>
      </c>
      <c r="AO135" t="str">
        <f>IF(IFERROR(MATCH($B135,temp!K$4:K$13,0),0)&gt;0,T08_Spells!AO$2,"")</f>
        <v/>
      </c>
      <c r="AP135" t="str">
        <f>IF(IFERROR(MATCH($B135,temp!L$4:L$13,0),0)&gt;0,T08_Spells!AP$2,"")</f>
        <v/>
      </c>
      <c r="AQ135" t="str">
        <f>IF(IFERROR(MATCH($B135,temp!M$4:M$13,0),0)&gt;0,T08_Spells!AQ$2,"")</f>
        <v/>
      </c>
      <c r="AR135" t="str">
        <f>IF(IFERROR(MATCH($B135,temp!N$4:N$13,0),0)&gt;0,T08_Spells!AR$2,"")</f>
        <v/>
      </c>
      <c r="AS135" t="str">
        <f>IF(IFERROR(MATCH($B135,temp!O$4:O$13,0),0)&gt;0,T08_Spells!AS$2,"")</f>
        <v/>
      </c>
      <c r="AT135" t="str">
        <f>IF(IFERROR(MATCH($B135,temp!P$4:P$13,0),0)&gt;0,T08_Spells!AT$2,"")</f>
        <v/>
      </c>
      <c r="AU135" t="str">
        <f>IF(IFERROR(MATCH($B135,temp!Q$4:Q$13,0),0)&gt;0,T08_Spells!AU$2,"")</f>
        <v/>
      </c>
      <c r="AV135" t="str">
        <f>IF(IFERROR(MATCH($B135,temp!R$4:R$13,0),0)&gt;0,T08_Spells!AV$2,"")</f>
        <v/>
      </c>
      <c r="AW135" t="str">
        <f>IF(IFERROR(MATCH($B135,temp!S$4:S$13,0),0)&gt;0,T08_Spells!AW$2,"")</f>
        <v/>
      </c>
      <c r="AX135" t="str">
        <f>IF(IFERROR(MATCH($B135,temp!T$4:T$13,0),0)&gt;0,T08_Spells!AX$2,"")</f>
        <v/>
      </c>
      <c r="AY135" t="str">
        <f>IF(IFERROR(MATCH($B135,temp!U$4:U$13,0),0)&gt;0,T08_Spells!AY$2,"")</f>
        <v/>
      </c>
      <c r="AZ135" t="str">
        <f>IF(IFERROR(MATCH($B135,temp!V$4:V$13,0),0)&gt;0,T08_Spells!AZ$2,"")</f>
        <v/>
      </c>
      <c r="BA135" t="str">
        <f>IF(IFERROR(MATCH($B135,temp!W$4:W$13,0),0)&gt;0,T08_Spells!BA$2,"")</f>
        <v/>
      </c>
      <c r="BC135">
        <f>IF(IFERROR(SEARCH("Ranger",$T135,1),0)&gt;0,1,0)*IF(RangerMaxSpellLevel&gt;=$C135,1,0)*IF(IFERROR(MATCH(B135,Character_Creation!$X$79:$X$382,0),0)&gt;0,0,1)</f>
        <v>0</v>
      </c>
      <c r="BD135">
        <f>IF(BC135=0,0,1+COUNTIF(BD$3:BD134,"&gt;0"))</f>
        <v>0</v>
      </c>
      <c r="BE135" t="str">
        <f t="shared" si="143"/>
        <v/>
      </c>
      <c r="BF135" t="str">
        <f t="shared" si="115"/>
        <v/>
      </c>
      <c r="BH135">
        <f>IF(IFERROR(SEARCH("Sorcerer",$T135,1),0)&gt;0,1,0)*IF(SorcererMaxSpellLevel&gt;=$C135,1,0)*IF(IFERROR(MATCH(B135,Character_Creation!$J$380:$J$394,0),0)&gt;0,0,1)</f>
        <v>0</v>
      </c>
      <c r="BI135">
        <f>IF(BH135=0,0,1+COUNTIF(BI$3:BI134,"&gt;0"))</f>
        <v>0</v>
      </c>
      <c r="BJ135" t="str">
        <f t="shared" si="144"/>
        <v/>
      </c>
      <c r="BK135" t="str">
        <f t="shared" si="116"/>
        <v/>
      </c>
      <c r="BM135">
        <f>IF(OR(IFERROR(SEARCH("Warlock",$T135,1),0)&gt;0,IFERROR(SEARCH(WarlockPatron,$T135,1),0)&gt;0),1,0)*IF(WarlockMaxSpellLevel&gt;=$C135,1,0)*IF(IFERROR(MATCH(B135,Character_Creation!$J$361:$J$375,0),0)&gt;0,0,1)</f>
        <v>0</v>
      </c>
      <c r="BN135">
        <f>IF(BM135=0,0,1+COUNTIF(BN$3:BN134,"&gt;0"))</f>
        <v>0</v>
      </c>
      <c r="BO135" t="str">
        <f t="shared" si="145"/>
        <v/>
      </c>
      <c r="BP135" t="str">
        <f t="shared" si="117"/>
        <v/>
      </c>
      <c r="BR135">
        <f>IF(IFERROR(SEARCH("Eldritch Knight",$T135,1),0)&gt;0,1,0)*IF(EldritchKnightMaxSpellLevel&gt;=$C135,1,0)*IF(IFERROR(MATCH($B135,Character_Creation!$J$350:$J$356,0),0)&gt;0,0,1)*IF(Character_Creation!$M$338&gt;0,1,0)</f>
        <v>0</v>
      </c>
      <c r="BS135">
        <f>IF(BR135=0,0,1+COUNTIF(BS$3:BS134,"&gt;0"))</f>
        <v>0</v>
      </c>
      <c r="BT135" t="str">
        <f t="shared" si="146"/>
        <v/>
      </c>
      <c r="BU135" t="str">
        <f t="shared" si="118"/>
        <v/>
      </c>
      <c r="BW135">
        <f>IF(IFERROR(SEARCH("Arcane Trickster",$T135,1),0)&gt;0,1,0)*IF(ArcaneTricksterMaxSpellLevel&gt;=$C135,1,0)*IF(IFERROR(MATCH($B135,Character_Creation!$J$350:$J$356,0),0)&gt;0,0,1)*IF(Character_Creation!$T$338&gt;0,1,0)</f>
        <v>0</v>
      </c>
      <c r="BX135">
        <f>IF(BW135=0,0,1+COUNTIF(BX$3:BX134,"&gt;0"))</f>
        <v>0</v>
      </c>
      <c r="BY135" t="str">
        <f t="shared" si="147"/>
        <v/>
      </c>
      <c r="BZ135" t="str">
        <f t="shared" si="119"/>
        <v/>
      </c>
      <c r="CB135">
        <f>IF(IFERROR(SEARCH("Wizard",$T135,1),0)&gt;0,1,0)*IF(C135&lt;=ArcaneTricksterMaxSpellLevel,1,0)*IF(IFERROR(MATCH($B135,Character_Creation!$J$350:$J$356,0),0)&gt;0,0,1)*IF(Character_Creation!$T$350&gt;0,1,0)</f>
        <v>0</v>
      </c>
      <c r="CC135">
        <f>IF(CB135=0,0,1+COUNTIF(CC$3:CC134,"&gt;0"))</f>
        <v>0</v>
      </c>
      <c r="CD135" t="str">
        <f t="shared" si="148"/>
        <v/>
      </c>
      <c r="CE135" t="str">
        <f t="shared" si="120"/>
        <v/>
      </c>
      <c r="CG135">
        <f>IF(IFERROR(SEARCH("Wizard",$T135,1),0)&gt;0,1,0)*IF($C135&lt;=EldritchKnightMaxSpellLevel,1,0)*IF(IFERROR(MATCH($B135,Character_Creation!$J$350:$J$356,0),0)&gt;0,0,1)*IF(Character_Creation!$M$350&gt;0,1,0)</f>
        <v>0</v>
      </c>
      <c r="CH135">
        <f>IF(CG135=0,0,1+COUNTIF(CH$3:CH134,"&gt;0"))</f>
        <v>0</v>
      </c>
      <c r="CI135" t="str">
        <f t="shared" si="149"/>
        <v/>
      </c>
      <c r="CJ135" t="str">
        <f t="shared" si="121"/>
        <v/>
      </c>
      <c r="CL135">
        <f>IF(IFERROR(SEARCH("Bard",$T135,1),0)&gt;0,1,0)*IF(BardMaxSpellLevel&gt;=$C135,1,0)*IF(IFERROR(MATCH(B135,Character_Creation!$C$341:$F$362,0),0)&gt;0,0,1)*IF(IFERROR(MATCH($B135,Character_Creation!$C$341:$C$362,0),0)&gt;0,0,1)</f>
        <v>0</v>
      </c>
      <c r="CM135">
        <f>IF(CL135=0,0,1+COUNTIF(CM$3:CM134,"&gt;0"))</f>
        <v>0</v>
      </c>
      <c r="CN135" t="str">
        <f t="shared" si="150"/>
        <v/>
      </c>
      <c r="CO135" t="str">
        <f t="shared" si="122"/>
        <v/>
      </c>
      <c r="CQ135">
        <f>IF(IFERROR(SEARCH("Wizard",$T135,1),0)&gt;0,1,0)*IF(WizardMaxSpellLevel&gt;=$C135,1,0)*IF(IFERROR(MATCH(B135,Character_Creation!$X$341:$X$400,0),0)&gt;0,0,1)*IF(SelectedWizardSpellLevel=$C135,1,0)</f>
        <v>0</v>
      </c>
      <c r="CR135">
        <f>IF(CQ135=0,0,1+COUNTIF(CR$3:CR134,"&gt;0"))</f>
        <v>0</v>
      </c>
      <c r="CS135" t="str">
        <f t="shared" si="151"/>
        <v/>
      </c>
      <c r="CT135" t="str">
        <f t="shared" si="123"/>
        <v/>
      </c>
      <c r="CV135">
        <f>IF(IFERROR(MATCH($B135,Character_Creation!$C$341:$C$362,0),0)&gt;0,0,1)*IF(OR(C135="Cantrip",C135&lt;=BardMaxSpellLevel),1,0)*IF(IFERROR(MATCH($B135,Character_Creation!$C$367:$C$374,0),0)&gt;0,0,1)</f>
        <v>0</v>
      </c>
      <c r="CW135">
        <f>IF(CV135=0,0,1+COUNTIF(CW$3:CW134,"&gt;0"))</f>
        <v>0</v>
      </c>
      <c r="CX135" t="str">
        <f t="shared" si="152"/>
        <v/>
      </c>
      <c r="CY135" t="str">
        <f t="shared" si="124"/>
        <v/>
      </c>
      <c r="DA135">
        <f>IF(IF(OR(IFERROR(SEARCH("Cleric",$T135,1),0)&gt;0,IFERROR(SEARCH(DivineDomain&amp;",",$T135,1),0)&gt;0),1,0)*IF($C135=DA$2,1,0)=1,1+COUNTIF(DA$3:DA134,"&gt;0"),0)</f>
        <v>0</v>
      </c>
      <c r="DB135">
        <f>IF(IF(OR(IFERROR(SEARCH("Cleric",$T135,1),0)&gt;0,IFERROR(SEARCH(DivineDomain&amp;",",$T135,1),0)&gt;0),1,0)*IF($C135=DB$2,1,0)=1,1+COUNTIF(DB$3:DB134,"&gt;0"),0)</f>
        <v>0</v>
      </c>
      <c r="DC135">
        <f>IF(IF(OR(IFERROR(SEARCH("Cleric",$T135,1),0)&gt;0,IFERROR(SEARCH(DivineDomain&amp;",",$T135,1),0)&gt;0),1,0)*IF($C135=DC$2,1,0)=1,1+COUNTIF(DC$3:DC134,"&gt;0"),0)</f>
        <v>0</v>
      </c>
      <c r="DD135">
        <f>IF(IF(OR(IFERROR(SEARCH("Cleric",$T135,1),0)&gt;0,IFERROR(SEARCH(DivineDomain&amp;",",$T135,1),0)&gt;0),1,0)*IF($C135=DD$2,1,0)=1,1+COUNTIF(DD$3:DD134,"&gt;0"),0)</f>
        <v>0</v>
      </c>
      <c r="DE135">
        <f>IF(IF(OR(IFERROR(SEARCH("Cleric",$T135,1),0)&gt;0,IFERROR(SEARCH(DivineDomain&amp;",",$T135,1),0)&gt;0),1,0)*IF($C135=DE$2,1,0)=1,1+COUNTIF(DE$3:DE134,"&gt;0"),0)</f>
        <v>0</v>
      </c>
      <c r="DF135">
        <f>IF(IF(OR(IFERROR(SEARCH("Cleric",$T135,1),0)&gt;0,IFERROR(SEARCH(DivineDomain&amp;",",$T135,1),0)&gt;0),1,0)*IF($C135=DF$2,1,0)=1,1+COUNTIF(DF$3:DF134,"&gt;0"),0)</f>
        <v>0</v>
      </c>
      <c r="DG135">
        <f>IF(IF(OR(IFERROR(SEARCH("Cleric",$T135,1),0)&gt;0,IFERROR(SEARCH(DivineDomain&amp;",",$T135,1),0)&gt;0),1,0)*IF($C135=DG$2,1,0)=1,1+COUNTIF(DG$3:DG134,"&gt;0"),0)</f>
        <v>0</v>
      </c>
      <c r="DH135">
        <f>IF(IF(OR(IFERROR(SEARCH("Cleric",$T135,1),0)&gt;0,IFERROR(SEARCH(DivineDomain&amp;",",$T135,1),0)&gt;0),1,0)*IF($C135=DH$2,1,0)=1,1+COUNTIF(DH$3:DH134,"&gt;0"),0)</f>
        <v>0</v>
      </c>
      <c r="DI135">
        <f>IF(IF(OR(IFERROR(SEARCH("Cleric",$T135,1),0)&gt;0,IFERROR(SEARCH(DivineDomain&amp;",",$T135,1),0)&gt;0),1,0)*IF($C135=DI$2,1,0)=1,1+COUNTIF(DI$3:DI134,"&gt;0"),0)</f>
        <v>0</v>
      </c>
      <c r="DJ135">
        <f>IF(IF(OR(IFERROR(SEARCH("Druid",$T135,1),0)&gt;0,IFERROR(SEARCH(DruidLand1,$T135,1),0)&gt;0,IFERROR(SEARCH(DruidLand2,$T135,1),0)&gt;0,IFERROR(SEARCH(DruidLand3,$T135,1),0)&gt;0,IFERROR(SEARCH(DruidLand4,$T135,1),0)&gt;0),1,0)*IF($C135=1,1,0)*IF($C135=DJ$2,1,0)=0,0,1+COUNTIF(DJ$3:DJ134,"&gt;0"))</f>
        <v>0</v>
      </c>
      <c r="DK135">
        <f>IF(IF(OR(IFERROR(SEARCH("Druid",$T135,1),0)&gt;0,IFERROR(SEARCH(DruidLand1,$T135,1),0)&gt;0,IFERROR(SEARCH(DruidLand2,$T135,1),0)&gt;0,IFERROR(SEARCH(DruidLand3,$T135,1),0)&gt;0,IFERROR(SEARCH(DruidLand4,$T135,1),0)&gt;0),1,0)*IF($C135=1,1,0)*IF($C135=DK$2,1,0)=0,0,1+COUNTIF(DK$3:DK134,"&gt;0"))</f>
        <v>0</v>
      </c>
      <c r="DL135">
        <f>IF(IF(OR(IFERROR(SEARCH("Druid",$T135,1),0)&gt;0,IFERROR(SEARCH(DruidLand1,$T135,1),0)&gt;0,IFERROR(SEARCH(DruidLand2,$T135,1),0)&gt;0,IFERROR(SEARCH(DruidLand3,$T135,1),0)&gt;0,IFERROR(SEARCH(DruidLand4,$T135,1),0)&gt;0),1,0)*IF($C135=1,1,0)*IF($C135=DL$2,1,0)=0,0,1+COUNTIF(DL$3:DL134,"&gt;0"))</f>
        <v>0</v>
      </c>
      <c r="DM135">
        <f>IF(IF(OR(IFERROR(SEARCH("Druid",$T135,1),0)&gt;0,IFERROR(SEARCH(DruidLand1,$T135,1),0)&gt;0,IFERROR(SEARCH(DruidLand2,$T135,1),0)&gt;0,IFERROR(SEARCH(DruidLand3,$T135,1),0)&gt;0,IFERROR(SEARCH(DruidLand4,$T135,1),0)&gt;0),1,0)*IF($C135=1,1,0)*IF($C135=DM$2,1,0)=0,0,1+COUNTIF(DM$3:DM134,"&gt;0"))</f>
        <v>0</v>
      </c>
      <c r="DN135">
        <f>IF(IF(OR(IFERROR(SEARCH("Druid",$T135,1),0)&gt;0,IFERROR(SEARCH(DruidLand1,$T135,1),0)&gt;0,IFERROR(SEARCH(DruidLand2,$T135,1),0)&gt;0,IFERROR(SEARCH(DruidLand3,$T135,1),0)&gt;0,IFERROR(SEARCH(DruidLand4,$T135,1),0)&gt;0),1,0)*IF($C135=1,1,0)*IF($C135=DN$2,1,0)=0,0,1+COUNTIF(DN$3:DN134,"&gt;0"))</f>
        <v>0</v>
      </c>
      <c r="DO135">
        <f>IF(IF(OR(IFERROR(SEARCH("Druid",$T135,1),0)&gt;0,IFERROR(SEARCH(DruidLand1,$T135,1),0)&gt;0,IFERROR(SEARCH(DruidLand2,$T135,1),0)&gt;0,IFERROR(SEARCH(DruidLand3,$T135,1),0)&gt;0,IFERROR(SEARCH(DruidLand4,$T135,1),0)&gt;0),1,0)*IF($C135=1,1,0)*IF($C135=DO$2,1,0)=0,0,1+COUNTIF(DO$3:DO134,"&gt;0"))</f>
        <v>0</v>
      </c>
      <c r="DP135">
        <f>IF(IF(OR(IFERROR(SEARCH("Druid",$T135,1),0)&gt;0,IFERROR(SEARCH(DruidLand1,$T135,1),0)&gt;0,IFERROR(SEARCH(DruidLand2,$T135,1),0)&gt;0,IFERROR(SEARCH(DruidLand3,$T135,1),0)&gt;0,IFERROR(SEARCH(DruidLand4,$T135,1),0)&gt;0),1,0)*IF($C135=1,1,0)*IF($C135=DP$2,1,0)=0,0,1+COUNTIF(DP$3:DP134,"&gt;0"))</f>
        <v>0</v>
      </c>
      <c r="DQ135">
        <f>IF(IF(OR(IFERROR(SEARCH("Druid",$T135,1),0)&gt;0,IFERROR(SEARCH(DruidLand1,$T135,1),0)&gt;0,IFERROR(SEARCH(DruidLand2,$T135,1),0)&gt;0,IFERROR(SEARCH(DruidLand3,$T135,1),0)&gt;0,IFERROR(SEARCH(DruidLand4,$T135,1),0)&gt;0),1,0)*IF($C135=1,1,0)*IF($C135=DQ$2,1,0)=0,0,1+COUNTIF(DQ$3:DQ134,"&gt;0"))</f>
        <v>0</v>
      </c>
      <c r="DR135">
        <f>IF(IF(OR(IFERROR(SEARCH("Druid",$T135,1),0)&gt;0,IFERROR(SEARCH(DruidLand1,$T135,1),0)&gt;0,IFERROR(SEARCH(DruidLand2,$T135,1),0)&gt;0,IFERROR(SEARCH(DruidLand3,$T135,1),0)&gt;0,IFERROR(SEARCH(DruidLand4,$T135,1),0)&gt;0),1,0)*IF($C135=1,1,0)*IF($C135=DR$2,1,0)=0,0,1+COUNTIF(DR$3:DR134,"&gt;0"))</f>
        <v>0</v>
      </c>
      <c r="DS135">
        <f>IF(IF(OR(IFERROR(SEARCH("Paladin",$T135,1),0)&gt;0,IFERROR(SEARCH(PaladinOath,$T135,1),0)&gt;0),1,0)*IF($C135=DS$2,1,0)=1,1+COUNTIF(DS$3:DS134,"&gt;0"),0)</f>
        <v>0</v>
      </c>
      <c r="DT135">
        <f>IF(IF(OR(IFERROR(SEARCH("Paladin",$T135,1),0)&gt;0,IFERROR(SEARCH(PaladinOath,$T135,1),0)&gt;0),1,0)*IF($C135=DT$2,1,0)=1,1+COUNTIF(DT$3:DT134,"&gt;0"),0)</f>
        <v>3</v>
      </c>
      <c r="DU135">
        <f>IF(IF(OR(IFERROR(SEARCH("Paladin",$T135,1),0)&gt;0,IFERROR(SEARCH(PaladinOath,$T135,1),0)&gt;0),1,0)*IF($C135=DU$2,1,0)=1,1+COUNTIF(DU$3:DU134,"&gt;0"),0)</f>
        <v>0</v>
      </c>
      <c r="DV135">
        <f>IF(IF(OR(IFERROR(SEARCH("Paladin",$T135,1),0)&gt;0,IFERROR(SEARCH(PaladinOath,$T135,1),0)&gt;0),1,0)*IF($C135=DV$2,1,0)=1,1+COUNTIF(DV$3:DV134,"&gt;0"),0)</f>
        <v>0</v>
      </c>
      <c r="DW135">
        <f>IF(IF(OR(IFERROR(SEARCH("Paladin",$T135,1),0)&gt;0,IFERROR(SEARCH(PaladinOath,$T135,1),0)&gt;0),1,0)*IF($C135=DW$2,1,0)=1,1+COUNTIF(DW$3:DW134,"&gt;0"),0)</f>
        <v>0</v>
      </c>
      <c r="DY135">
        <f t="shared" si="111"/>
        <v>1</v>
      </c>
      <c r="DZ135">
        <f>IF(DY135=0,0,1+MAX(DZ$3:$DZ134))</f>
        <v>133</v>
      </c>
      <c r="EB135">
        <f t="shared" si="125"/>
        <v>0</v>
      </c>
      <c r="EC135">
        <f>IF(EB135=0,0,1+COUNTIF(EC$3:EC134,"&gt;0"))</f>
        <v>0</v>
      </c>
      <c r="ED135" t="str">
        <f t="shared" si="153"/>
        <v/>
      </c>
      <c r="EE135" t="str">
        <f t="shared" si="126"/>
        <v/>
      </c>
      <c r="EG135">
        <f t="shared" si="127"/>
        <v>0</v>
      </c>
      <c r="EH135">
        <f>IF(EG135=0,0,1+COUNTIF(EH$3:EH134,"&gt;0"))</f>
        <v>0</v>
      </c>
      <c r="EI135" t="str">
        <f t="shared" si="154"/>
        <v/>
      </c>
      <c r="EJ135" t="str">
        <f t="shared" si="128"/>
        <v/>
      </c>
      <c r="EL135">
        <f t="shared" si="129"/>
        <v>0</v>
      </c>
      <c r="EM135">
        <f>IF(EL135=0,0,1+COUNTIF(EM$3:EM134,"&gt;0"))</f>
        <v>0</v>
      </c>
      <c r="EN135" t="str">
        <f t="shared" si="155"/>
        <v/>
      </c>
      <c r="EO135" t="str">
        <f t="shared" si="130"/>
        <v/>
      </c>
      <c r="EQ135">
        <f t="shared" si="131"/>
        <v>0</v>
      </c>
      <c r="ER135">
        <f>IF(EQ135=0,0,1+COUNTIF(ER$3:ER134,"&gt;0"))</f>
        <v>0</v>
      </c>
      <c r="ES135" t="str">
        <f t="shared" si="156"/>
        <v/>
      </c>
      <c r="ET135" t="str">
        <f t="shared" si="132"/>
        <v/>
      </c>
      <c r="EV135">
        <f t="shared" si="133"/>
        <v>0</v>
      </c>
      <c r="EW135">
        <f>IF(EV135=0,0,1+COUNTIF(EW$3:EW134,"&gt;0"))</f>
        <v>0</v>
      </c>
      <c r="EX135" t="str">
        <f t="shared" si="157"/>
        <v/>
      </c>
      <c r="EY135" t="str">
        <f t="shared" si="134"/>
        <v/>
      </c>
      <c r="FA135">
        <f t="shared" si="135"/>
        <v>0</v>
      </c>
      <c r="FB135">
        <f>IF(FA135=0,0,1+COUNTIF(FB$3:FB134,"&gt;0"))</f>
        <v>0</v>
      </c>
      <c r="FC135" t="str">
        <f t="shared" si="158"/>
        <v/>
      </c>
      <c r="FD135" t="str">
        <f t="shared" si="136"/>
        <v/>
      </c>
      <c r="FF135">
        <f t="shared" si="137"/>
        <v>0</v>
      </c>
      <c r="FG135">
        <f>IF(FF135=0,0,1+COUNTIF(FG$3:FG134,"&gt;0"))</f>
        <v>0</v>
      </c>
      <c r="FH135" t="str">
        <f t="shared" si="159"/>
        <v/>
      </c>
      <c r="FI135" t="str">
        <f t="shared" si="138"/>
        <v/>
      </c>
      <c r="FK135">
        <f t="shared" si="139"/>
        <v>0</v>
      </c>
      <c r="FL135">
        <f>IF(FK135=0,0,1+COUNTIF(FL$3:FL134,"&gt;0"))</f>
        <v>0</v>
      </c>
      <c r="FM135" t="str">
        <f t="shared" si="160"/>
        <v/>
      </c>
      <c r="FN135" t="str">
        <f t="shared" si="140"/>
        <v/>
      </c>
      <c r="FP135">
        <f t="shared" si="141"/>
        <v>0</v>
      </c>
      <c r="FQ135">
        <f>IF(FP135=0,0,1+COUNTIF(FQ$3:FQ134,"&gt;0"))</f>
        <v>0</v>
      </c>
      <c r="FR135" t="str">
        <f t="shared" si="161"/>
        <v/>
      </c>
      <c r="FS135" t="str">
        <f t="shared" si="142"/>
        <v/>
      </c>
    </row>
    <row r="136" spans="1:175" x14ac:dyDescent="0.25">
      <c r="A136" s="347">
        <f t="shared" si="162"/>
        <v>134</v>
      </c>
      <c r="B136" s="348" t="s">
        <v>2505</v>
      </c>
      <c r="C136" s="348">
        <v>6</v>
      </c>
      <c r="D136" s="347">
        <v>6</v>
      </c>
      <c r="E136" s="627" t="s">
        <v>6952</v>
      </c>
      <c r="F136" s="346"/>
      <c r="G136" s="347" t="str">
        <f>""</f>
        <v/>
      </c>
      <c r="H136" s="347" t="s">
        <v>5288</v>
      </c>
      <c r="I136" s="347" t="s">
        <v>5283</v>
      </c>
      <c r="J136" s="347" t="str">
        <f t="shared" si="112"/>
        <v/>
      </c>
      <c r="K136" s="347" t="s">
        <v>5368</v>
      </c>
      <c r="L136" s="611" t="str">
        <f t="shared" si="113"/>
        <v>V, S, M, a set of divinatory tools - such as bones, ivory sticks, cards, teeth, or carved runes - worth 100 gp and an object from the location you wish to find</v>
      </c>
      <c r="M136" s="347" t="s">
        <v>2373</v>
      </c>
      <c r="N136" s="347" t="s">
        <v>2387</v>
      </c>
      <c r="O136" s="347" t="s">
        <v>1244</v>
      </c>
      <c r="P136" s="346" t="s">
        <v>5369</v>
      </c>
      <c r="Q136" s="347" t="s">
        <v>2473</v>
      </c>
      <c r="S136" s="346" t="s">
        <v>5691</v>
      </c>
      <c r="T136" s="346" t="str">
        <f t="shared" si="114"/>
        <v xml:space="preserve">Bard, Cleric, Druid, </v>
      </c>
      <c r="U136" s="347" t="str">
        <f>$B136</f>
        <v>Find the Path</v>
      </c>
      <c r="Z136" s="347" t="str">
        <f>$B136</f>
        <v>Find the Path</v>
      </c>
      <c r="AA136" s="347" t="str">
        <f>$B136</f>
        <v>Find the Path</v>
      </c>
      <c r="AE136" t="str">
        <f>IF(IFERROR(MATCH($B136,temp!A$4:A$13,0),0)&gt;0,T08_Spells!AE$2,"")</f>
        <v/>
      </c>
      <c r="AF136" t="str">
        <f>IF(IFERROR(MATCH($B136,temp!B$4:B$13,0),0)&gt;0,T08_Spells!AF$2,"")</f>
        <v/>
      </c>
      <c r="AG136" t="str">
        <f>IF(IFERROR(MATCH($B136,temp!C$4:C$13,0),0)&gt;0,T08_Spells!AG$2,"")</f>
        <v/>
      </c>
      <c r="AH136" t="str">
        <f>IF(IFERROR(MATCH($B136,temp!D$4:D$13,0),0)&gt;0,T08_Spells!AH$2,"")</f>
        <v/>
      </c>
      <c r="AI136" t="str">
        <f>IF(IFERROR(MATCH($B136,temp!E$4:E$13,0),0)&gt;0,T08_Spells!AI$2,"")</f>
        <v/>
      </c>
      <c r="AJ136" t="str">
        <f>IF(IFERROR(MATCH($B136,temp!F$4:F$13,0),0)&gt;0,T08_Spells!AJ$2,"")</f>
        <v/>
      </c>
      <c r="AK136" t="str">
        <f>IF(IFERROR(MATCH($B136,temp!G$4:G$13,0),0)&gt;0,T08_Spells!AK$2,"")</f>
        <v/>
      </c>
      <c r="AL136" t="str">
        <f>IF(IFERROR(MATCH($B136,temp!H$4:H$13,0),0)&gt;0,T08_Spells!AL$2,"")</f>
        <v/>
      </c>
      <c r="AM136" t="str">
        <f>IF(IFERROR(MATCH($B136,temp!I$4:I$13,0),0)&gt;0,T08_Spells!AM$2,"")</f>
        <v/>
      </c>
      <c r="AN136" t="str">
        <f>IF(IFERROR(MATCH($B136,temp!J$4:J$13,0),0)&gt;0,T08_Spells!AN$2,"")</f>
        <v/>
      </c>
      <c r="AO136" t="str">
        <f>IF(IFERROR(MATCH($B136,temp!K$4:K$13,0),0)&gt;0,T08_Spells!AO$2,"")</f>
        <v/>
      </c>
      <c r="AP136" t="str">
        <f>IF(IFERROR(MATCH($B136,temp!L$4:L$13,0),0)&gt;0,T08_Spells!AP$2,"")</f>
        <v/>
      </c>
      <c r="AQ136" t="str">
        <f>IF(IFERROR(MATCH($B136,temp!M$4:M$13,0),0)&gt;0,T08_Spells!AQ$2,"")</f>
        <v/>
      </c>
      <c r="AR136" t="str">
        <f>IF(IFERROR(MATCH($B136,temp!N$4:N$13,0),0)&gt;0,T08_Spells!AR$2,"")</f>
        <v/>
      </c>
      <c r="AS136" t="str">
        <f>IF(IFERROR(MATCH($B136,temp!O$4:O$13,0),0)&gt;0,T08_Spells!AS$2,"")</f>
        <v/>
      </c>
      <c r="AT136" t="str">
        <f>IF(IFERROR(MATCH($B136,temp!P$4:P$13,0),0)&gt;0,T08_Spells!AT$2,"")</f>
        <v/>
      </c>
      <c r="AU136" t="str">
        <f>IF(IFERROR(MATCH($B136,temp!Q$4:Q$13,0),0)&gt;0,T08_Spells!AU$2,"")</f>
        <v/>
      </c>
      <c r="AV136" t="str">
        <f>IF(IFERROR(MATCH($B136,temp!R$4:R$13,0),0)&gt;0,T08_Spells!AV$2,"")</f>
        <v/>
      </c>
      <c r="AW136" t="str">
        <f>IF(IFERROR(MATCH($B136,temp!S$4:S$13,0),0)&gt;0,T08_Spells!AW$2,"")</f>
        <v/>
      </c>
      <c r="AX136" t="str">
        <f>IF(IFERROR(MATCH($B136,temp!T$4:T$13,0),0)&gt;0,T08_Spells!AX$2,"")</f>
        <v/>
      </c>
      <c r="AY136" t="str">
        <f>IF(IFERROR(MATCH($B136,temp!U$4:U$13,0),0)&gt;0,T08_Spells!AY$2,"")</f>
        <v/>
      </c>
      <c r="AZ136" t="str">
        <f>IF(IFERROR(MATCH($B136,temp!V$4:V$13,0),0)&gt;0,T08_Spells!AZ$2,"")</f>
        <v/>
      </c>
      <c r="BA136" t="str">
        <f>IF(IFERROR(MATCH($B136,temp!W$4:W$13,0),0)&gt;0,T08_Spells!BA$2,"")</f>
        <v/>
      </c>
      <c r="BC136">
        <f>IF(IFERROR(SEARCH("Ranger",$T136,1),0)&gt;0,1,0)*IF(RangerMaxSpellLevel&gt;=$C136,1,0)*IF(IFERROR(MATCH(B136,Character_Creation!$X$79:$X$382,0),0)&gt;0,0,1)</f>
        <v>0</v>
      </c>
      <c r="BD136">
        <f>IF(BC136=0,0,1+COUNTIF(BD$3:BD135,"&gt;0"))</f>
        <v>0</v>
      </c>
      <c r="BE136" t="str">
        <f t="shared" si="143"/>
        <v/>
      </c>
      <c r="BF136" t="str">
        <f t="shared" si="115"/>
        <v/>
      </c>
      <c r="BH136">
        <f>IF(IFERROR(SEARCH("Sorcerer",$T136,1),0)&gt;0,1,0)*IF(SorcererMaxSpellLevel&gt;=$C136,1,0)*IF(IFERROR(MATCH(B136,Character_Creation!$J$380:$J$394,0),0)&gt;0,0,1)</f>
        <v>0</v>
      </c>
      <c r="BI136">
        <f>IF(BH136=0,0,1+COUNTIF(BI$3:BI135,"&gt;0"))</f>
        <v>0</v>
      </c>
      <c r="BJ136" t="str">
        <f t="shared" si="144"/>
        <v/>
      </c>
      <c r="BK136" t="str">
        <f t="shared" si="116"/>
        <v/>
      </c>
      <c r="BM136">
        <f>IF(OR(IFERROR(SEARCH("Warlock",$T136,1),0)&gt;0,IFERROR(SEARCH(WarlockPatron,$T136,1),0)&gt;0),1,0)*IF(WarlockMaxSpellLevel&gt;=$C136,1,0)*IF(IFERROR(MATCH(B136,Character_Creation!$J$361:$J$375,0),0)&gt;0,0,1)</f>
        <v>0</v>
      </c>
      <c r="BN136">
        <f>IF(BM136=0,0,1+COUNTIF(BN$3:BN135,"&gt;0"))</f>
        <v>0</v>
      </c>
      <c r="BO136" t="str">
        <f t="shared" si="145"/>
        <v/>
      </c>
      <c r="BP136" t="str">
        <f t="shared" si="117"/>
        <v/>
      </c>
      <c r="BR136">
        <f>IF(IFERROR(SEARCH("Eldritch Knight",$T136,1),0)&gt;0,1,0)*IF(EldritchKnightMaxSpellLevel&gt;=$C136,1,0)*IF(IFERROR(MATCH($B136,Character_Creation!$J$350:$J$356,0),0)&gt;0,0,1)*IF(Character_Creation!$M$338&gt;0,1,0)</f>
        <v>0</v>
      </c>
      <c r="BS136">
        <f>IF(BR136=0,0,1+COUNTIF(BS$3:BS135,"&gt;0"))</f>
        <v>0</v>
      </c>
      <c r="BT136" t="str">
        <f t="shared" si="146"/>
        <v/>
      </c>
      <c r="BU136" t="str">
        <f t="shared" si="118"/>
        <v/>
      </c>
      <c r="BW136">
        <f>IF(IFERROR(SEARCH("Arcane Trickster",$T136,1),0)&gt;0,1,0)*IF(ArcaneTricksterMaxSpellLevel&gt;=$C136,1,0)*IF(IFERROR(MATCH($B136,Character_Creation!$J$350:$J$356,0),0)&gt;0,0,1)*IF(Character_Creation!$T$338&gt;0,1,0)</f>
        <v>0</v>
      </c>
      <c r="BX136">
        <f>IF(BW136=0,0,1+COUNTIF(BX$3:BX135,"&gt;0"))</f>
        <v>0</v>
      </c>
      <c r="BY136" t="str">
        <f t="shared" si="147"/>
        <v/>
      </c>
      <c r="BZ136" t="str">
        <f t="shared" si="119"/>
        <v/>
      </c>
      <c r="CB136">
        <f>IF(IFERROR(SEARCH("Wizard",$T136,1),0)&gt;0,1,0)*IF(C136&lt;=ArcaneTricksterMaxSpellLevel,1,0)*IF(IFERROR(MATCH($B136,Character_Creation!$J$350:$J$356,0),0)&gt;0,0,1)*IF(Character_Creation!$T$350&gt;0,1,0)</f>
        <v>0</v>
      </c>
      <c r="CC136">
        <f>IF(CB136=0,0,1+COUNTIF(CC$3:CC135,"&gt;0"))</f>
        <v>0</v>
      </c>
      <c r="CD136" t="str">
        <f t="shared" si="148"/>
        <v/>
      </c>
      <c r="CE136" t="str">
        <f t="shared" si="120"/>
        <v/>
      </c>
      <c r="CG136">
        <f>IF(IFERROR(SEARCH("Wizard",$T136,1),0)&gt;0,1,0)*IF($C136&lt;=EldritchKnightMaxSpellLevel,1,0)*IF(IFERROR(MATCH($B136,Character_Creation!$J$350:$J$356,0),0)&gt;0,0,1)*IF(Character_Creation!$M$350&gt;0,1,0)</f>
        <v>0</v>
      </c>
      <c r="CH136">
        <f>IF(CG136=0,0,1+COUNTIF(CH$3:CH135,"&gt;0"))</f>
        <v>0</v>
      </c>
      <c r="CI136" t="str">
        <f t="shared" si="149"/>
        <v/>
      </c>
      <c r="CJ136" t="str">
        <f t="shared" si="121"/>
        <v/>
      </c>
      <c r="CL136">
        <f>IF(IFERROR(SEARCH("Bard",$T136,1),0)&gt;0,1,0)*IF(BardMaxSpellLevel&gt;=$C136,1,0)*IF(IFERROR(MATCH(B136,Character_Creation!$C$341:$F$362,0),0)&gt;0,0,1)*IF(IFERROR(MATCH($B136,Character_Creation!$C$341:$C$362,0),0)&gt;0,0,1)</f>
        <v>0</v>
      </c>
      <c r="CM136">
        <f>IF(CL136=0,0,1+COUNTIF(CM$3:CM135,"&gt;0"))</f>
        <v>0</v>
      </c>
      <c r="CN136" t="str">
        <f t="shared" si="150"/>
        <v/>
      </c>
      <c r="CO136" t="str">
        <f t="shared" si="122"/>
        <v/>
      </c>
      <c r="CQ136">
        <f>IF(IFERROR(SEARCH("Wizard",$T136,1),0)&gt;0,1,0)*IF(WizardMaxSpellLevel&gt;=$C136,1,0)*IF(IFERROR(MATCH(B136,Character_Creation!$X$341:$X$400,0),0)&gt;0,0,1)*IF(SelectedWizardSpellLevel=$C136,1,0)</f>
        <v>0</v>
      </c>
      <c r="CR136">
        <f>IF(CQ136=0,0,1+COUNTIF(CR$3:CR135,"&gt;0"))</f>
        <v>0</v>
      </c>
      <c r="CS136" t="str">
        <f t="shared" si="151"/>
        <v/>
      </c>
      <c r="CT136" t="str">
        <f t="shared" si="123"/>
        <v/>
      </c>
      <c r="CV136">
        <f>IF(IFERROR(MATCH($B136,Character_Creation!$C$341:$C$362,0),0)&gt;0,0,1)*IF(OR(C136="Cantrip",C136&lt;=BardMaxSpellLevel),1,0)*IF(IFERROR(MATCH($B136,Character_Creation!$C$367:$C$374,0),0)&gt;0,0,1)</f>
        <v>0</v>
      </c>
      <c r="CW136">
        <f>IF(CV136=0,0,1+COUNTIF(CW$3:CW135,"&gt;0"))</f>
        <v>0</v>
      </c>
      <c r="CX136" t="str">
        <f t="shared" si="152"/>
        <v/>
      </c>
      <c r="CY136" t="str">
        <f t="shared" si="124"/>
        <v/>
      </c>
      <c r="DA136">
        <f>IF(IF(OR(IFERROR(SEARCH("Cleric",$T136,1),0)&gt;0,IFERROR(SEARCH(DivineDomain&amp;",",$T136,1),0)&gt;0),1,0)*IF($C136=DA$2,1,0)=1,1+COUNTIF(DA$3:DA135,"&gt;0"),0)</f>
        <v>0</v>
      </c>
      <c r="DB136">
        <f>IF(IF(OR(IFERROR(SEARCH("Cleric",$T136,1),0)&gt;0,IFERROR(SEARCH(DivineDomain&amp;",",$T136,1),0)&gt;0),1,0)*IF($C136=DB$2,1,0)=1,1+COUNTIF(DB$3:DB135,"&gt;0"),0)</f>
        <v>0</v>
      </c>
      <c r="DC136">
        <f>IF(IF(OR(IFERROR(SEARCH("Cleric",$T136,1),0)&gt;0,IFERROR(SEARCH(DivineDomain&amp;",",$T136,1),0)&gt;0),1,0)*IF($C136=DC$2,1,0)=1,1+COUNTIF(DC$3:DC135,"&gt;0"),0)</f>
        <v>0</v>
      </c>
      <c r="DD136">
        <f>IF(IF(OR(IFERROR(SEARCH("Cleric",$T136,1),0)&gt;0,IFERROR(SEARCH(DivineDomain&amp;",",$T136,1),0)&gt;0),1,0)*IF($C136=DD$2,1,0)=1,1+COUNTIF(DD$3:DD135,"&gt;0"),0)</f>
        <v>0</v>
      </c>
      <c r="DE136">
        <f>IF(IF(OR(IFERROR(SEARCH("Cleric",$T136,1),0)&gt;0,IFERROR(SEARCH(DivineDomain&amp;",",$T136,1),0)&gt;0),1,0)*IF($C136=DE$2,1,0)=1,1+COUNTIF(DE$3:DE135,"&gt;0"),0)</f>
        <v>0</v>
      </c>
      <c r="DF136">
        <f>IF(IF(OR(IFERROR(SEARCH("Cleric",$T136,1),0)&gt;0,IFERROR(SEARCH(DivineDomain&amp;",",$T136,1),0)&gt;0),1,0)*IF($C136=DF$2,1,0)=1,1+COUNTIF(DF$3:DF135,"&gt;0"),0)</f>
        <v>3</v>
      </c>
      <c r="DG136">
        <f>IF(IF(OR(IFERROR(SEARCH("Cleric",$T136,1),0)&gt;0,IFERROR(SEARCH(DivineDomain&amp;",",$T136,1),0)&gt;0),1,0)*IF($C136=DG$2,1,0)=1,1+COUNTIF(DG$3:DG135,"&gt;0"),0)</f>
        <v>0</v>
      </c>
      <c r="DH136">
        <f>IF(IF(OR(IFERROR(SEARCH("Cleric",$T136,1),0)&gt;0,IFERROR(SEARCH(DivineDomain&amp;",",$T136,1),0)&gt;0),1,0)*IF($C136=DH$2,1,0)=1,1+COUNTIF(DH$3:DH135,"&gt;0"),0)</f>
        <v>0</v>
      </c>
      <c r="DI136">
        <f>IF(IF(OR(IFERROR(SEARCH("Cleric",$T136,1),0)&gt;0,IFERROR(SEARCH(DivineDomain&amp;",",$T136,1),0)&gt;0),1,0)*IF($C136=DI$2,1,0)=1,1+COUNTIF(DI$3:DI135,"&gt;0"),0)</f>
        <v>0</v>
      </c>
      <c r="DJ136">
        <f>IF(IF(OR(IFERROR(SEARCH("Druid",$T136,1),0)&gt;0,IFERROR(SEARCH(DruidLand1,$T136,1),0)&gt;0,IFERROR(SEARCH(DruidLand2,$T136,1),0)&gt;0,IFERROR(SEARCH(DruidLand3,$T136,1),0)&gt;0,IFERROR(SEARCH(DruidLand4,$T136,1),0)&gt;0),1,0)*IF($C136=1,1,0)*IF($C136=DJ$2,1,0)=0,0,1+COUNTIF(DJ$3:DJ135,"&gt;0"))</f>
        <v>0</v>
      </c>
      <c r="DK136">
        <f>IF(IF(OR(IFERROR(SEARCH("Druid",$T136,1),0)&gt;0,IFERROR(SEARCH(DruidLand1,$T136,1),0)&gt;0,IFERROR(SEARCH(DruidLand2,$T136,1),0)&gt;0,IFERROR(SEARCH(DruidLand3,$T136,1),0)&gt;0,IFERROR(SEARCH(DruidLand4,$T136,1),0)&gt;0),1,0)*IF($C136=DK$2,1,0)=0,0,1+COUNTIF(DK$3:DK135,"&gt;0"))</f>
        <v>0</v>
      </c>
      <c r="DL136">
        <f>IF(IF(OR(IFERROR(SEARCH("Druid",$T136,1),0)&gt;0,IFERROR(SEARCH(DruidLand1,$T136,1),0)&gt;0,IFERROR(SEARCH(DruidLand2,$T136,1),0)&gt;0,IFERROR(SEARCH(DruidLand3,$T136,1),0)&gt;0,IFERROR(SEARCH(DruidLand4,$T136,1),0)&gt;0),1,0)*IF($C136=DL$2,1,0)=0,0,1+COUNTIF(DL$3:DL135,"&gt;0"))</f>
        <v>0</v>
      </c>
      <c r="DM136">
        <f>IF(IF(OR(IFERROR(SEARCH("Druid",$T136,1),0)&gt;0,IFERROR(SEARCH(DruidLand1,$T136,1),0)&gt;0,IFERROR(SEARCH(DruidLand2,$T136,1),0)&gt;0,IFERROR(SEARCH(DruidLand3,$T136,1),0)&gt;0,IFERROR(SEARCH(DruidLand4,$T136,1),0)&gt;0),1,0)*IF($C136=DM$2,1,0)=0,0,1+COUNTIF(DM$3:DM135,"&gt;0"))</f>
        <v>0</v>
      </c>
      <c r="DN136">
        <f>IF(IF(OR(IFERROR(SEARCH("Druid",$T136,1),0)&gt;0,IFERROR(SEARCH(DruidLand1,$T136,1),0)&gt;0,IFERROR(SEARCH(DruidLand2,$T136,1),0)&gt;0,IFERROR(SEARCH(DruidLand3,$T136,1),0)&gt;0,IFERROR(SEARCH(DruidLand4,$T136,1),0)&gt;0),1,0)*IF($C136=DN$2,1,0)=0,0,1+COUNTIF(DN$3:DN135,"&gt;0"))</f>
        <v>0</v>
      </c>
      <c r="DO136">
        <f>IF(IF(OR(IFERROR(SEARCH("Druid",$T136,1),0)&gt;0,IFERROR(SEARCH(DruidLand1,$T136,1),0)&gt;0,IFERROR(SEARCH(DruidLand2,$T136,1),0)&gt;0,IFERROR(SEARCH(DruidLand3,$T136,1),0)&gt;0,IFERROR(SEARCH(DruidLand4,$T136,1),0)&gt;0),1,0)*IF($C136=DO$2,1,0)=0,0,1+COUNTIF(DO$3:DO135,"&gt;0"))</f>
        <v>2</v>
      </c>
      <c r="DP136">
        <f>IF(IF(OR(IFERROR(SEARCH("Druid",$T136,1),0)&gt;0,IFERROR(SEARCH(DruidLand1,$T136,1),0)&gt;0,IFERROR(SEARCH(DruidLand2,$T136,1),0)&gt;0,IFERROR(SEARCH(DruidLand3,$T136,1),0)&gt;0,IFERROR(SEARCH(DruidLand4,$T136,1),0)&gt;0),1,0)*IF($C136=DP$2,1,0)=0,0,1+COUNTIF(DP$3:DP135,"&gt;0"))</f>
        <v>0</v>
      </c>
      <c r="DQ136">
        <f>IF(IF(OR(IFERROR(SEARCH("Druid",$T136,1),0)&gt;0,IFERROR(SEARCH(DruidLand1,$T136,1),0)&gt;0,IFERROR(SEARCH(DruidLand2,$T136,1),0)&gt;0,IFERROR(SEARCH(DruidLand3,$T136,1),0)&gt;0,IFERROR(SEARCH(DruidLand4,$T136,1),0)&gt;0),1,0)*IF($C136=DQ$2,1,0)=0,0,1+COUNTIF(DQ$3:DQ135,"&gt;0"))</f>
        <v>0</v>
      </c>
      <c r="DR136">
        <f>IF(IF(OR(IFERROR(SEARCH("Druid",$T136,1),0)&gt;0,IFERROR(SEARCH(DruidLand1,$T136,1),0)&gt;0,IFERROR(SEARCH(DruidLand2,$T136,1),0)&gt;0,IFERROR(SEARCH(DruidLand3,$T136,1),0)&gt;0,IFERROR(SEARCH(DruidLand4,$T136,1),0)&gt;0),1,0)*IF($C136=DR$2,1,0)=0,0,1+COUNTIF(DR$3:DR135,"&gt;0"))</f>
        <v>0</v>
      </c>
      <c r="DS136">
        <f>IF(IF(OR(IFERROR(SEARCH("Paladin",$T136,1),0)&gt;0,IFERROR(SEARCH(PaladinOath,$T136,1),0)&gt;0),1,0)*IF($C136=DS$2,1,0)=1,1+COUNTIF(DS$3:DS135,"&gt;0"),0)</f>
        <v>0</v>
      </c>
      <c r="DT136">
        <f>IF(IF(OR(IFERROR(SEARCH("Paladin",$T136,1),0)&gt;0,IFERROR(SEARCH(PaladinOath,$T136,1),0)&gt;0),1,0)*IF($C136=DT$2,1,0)=1,1+COUNTIF(DT$3:DT135,"&gt;0"),0)</f>
        <v>0</v>
      </c>
      <c r="DU136">
        <f>IF(IF(OR(IFERROR(SEARCH("Paladin",$T136,1),0)&gt;0,IFERROR(SEARCH(PaladinOath,$T136,1),0)&gt;0),1,0)*IF($C136=DU$2,1,0)=1,1+COUNTIF(DU$3:DU135,"&gt;0"),0)</f>
        <v>0</v>
      </c>
      <c r="DV136">
        <f>IF(IF(OR(IFERROR(SEARCH("Paladin",$T136,1),0)&gt;0,IFERROR(SEARCH(PaladinOath,$T136,1),0)&gt;0),1,0)*IF($C136=DV$2,1,0)=1,1+COUNTIF(DV$3:DV135,"&gt;0"),0)</f>
        <v>0</v>
      </c>
      <c r="DW136">
        <f>IF(IF(OR(IFERROR(SEARCH("Paladin",$T136,1),0)&gt;0,IFERROR(SEARCH(PaladinOath,$T136,1),0)&gt;0),1,0)*IF($C136=DW$2,1,0)=1,1+COUNTIF(DW$3:DW135,"&gt;0"),0)</f>
        <v>0</v>
      </c>
      <c r="DY136">
        <f t="shared" si="111"/>
        <v>1</v>
      </c>
      <c r="DZ136">
        <f>IF(DY136=0,0,1+MAX(DZ$3:$DZ135))</f>
        <v>134</v>
      </c>
      <c r="EB136">
        <f t="shared" si="125"/>
        <v>0</v>
      </c>
      <c r="EC136">
        <f>IF(EB136=0,0,1+COUNTIF(EC$3:EC135,"&gt;0"))</f>
        <v>0</v>
      </c>
      <c r="ED136" t="str">
        <f t="shared" si="153"/>
        <v/>
      </c>
      <c r="EE136" t="str">
        <f t="shared" si="126"/>
        <v/>
      </c>
      <c r="EG136">
        <f t="shared" si="127"/>
        <v>0</v>
      </c>
      <c r="EH136">
        <f>IF(EG136=0,0,1+COUNTIF(EH$3:EH135,"&gt;0"))</f>
        <v>0</v>
      </c>
      <c r="EI136" t="str">
        <f t="shared" si="154"/>
        <v/>
      </c>
      <c r="EJ136" t="str">
        <f t="shared" si="128"/>
        <v/>
      </c>
      <c r="EL136">
        <f t="shared" si="129"/>
        <v>0</v>
      </c>
      <c r="EM136">
        <f>IF(EL136=0,0,1+COUNTIF(EM$3:EM135,"&gt;0"))</f>
        <v>0</v>
      </c>
      <c r="EN136" t="str">
        <f t="shared" si="155"/>
        <v/>
      </c>
      <c r="EO136" t="str">
        <f t="shared" si="130"/>
        <v/>
      </c>
      <c r="EQ136">
        <f t="shared" si="131"/>
        <v>0</v>
      </c>
      <c r="ER136">
        <f>IF(EQ136=0,0,1+COUNTIF(ER$3:ER135,"&gt;0"))</f>
        <v>0</v>
      </c>
      <c r="ES136" t="str">
        <f t="shared" si="156"/>
        <v/>
      </c>
      <c r="ET136" t="str">
        <f t="shared" si="132"/>
        <v/>
      </c>
      <c r="EV136">
        <f t="shared" si="133"/>
        <v>0</v>
      </c>
      <c r="EW136">
        <f>IF(EV136=0,0,1+COUNTIF(EW$3:EW135,"&gt;0"))</f>
        <v>0</v>
      </c>
      <c r="EX136" t="str">
        <f t="shared" si="157"/>
        <v/>
      </c>
      <c r="EY136" t="str">
        <f t="shared" si="134"/>
        <v/>
      </c>
      <c r="FA136">
        <f t="shared" si="135"/>
        <v>0</v>
      </c>
      <c r="FB136">
        <f>IF(FA136=0,0,1+COUNTIF(FB$3:FB135,"&gt;0"))</f>
        <v>0</v>
      </c>
      <c r="FC136" t="str">
        <f t="shared" si="158"/>
        <v/>
      </c>
      <c r="FD136" t="str">
        <f t="shared" si="136"/>
        <v/>
      </c>
      <c r="FF136">
        <f t="shared" si="137"/>
        <v>0</v>
      </c>
      <c r="FG136">
        <f>IF(FF136=0,0,1+COUNTIF(FG$3:FG135,"&gt;0"))</f>
        <v>0</v>
      </c>
      <c r="FH136" t="str">
        <f t="shared" si="159"/>
        <v/>
      </c>
      <c r="FI136" t="str">
        <f t="shared" si="138"/>
        <v/>
      </c>
      <c r="FK136">
        <f t="shared" si="139"/>
        <v>0</v>
      </c>
      <c r="FL136">
        <f>IF(FK136=0,0,1+COUNTIF(FL$3:FL135,"&gt;0"))</f>
        <v>0</v>
      </c>
      <c r="FM136" t="str">
        <f t="shared" si="160"/>
        <v/>
      </c>
      <c r="FN136" t="str">
        <f t="shared" si="140"/>
        <v/>
      </c>
      <c r="FP136">
        <f t="shared" si="141"/>
        <v>0</v>
      </c>
      <c r="FQ136">
        <f>IF(FP136=0,0,1+COUNTIF(FQ$3:FQ135,"&gt;0"))</f>
        <v>0</v>
      </c>
      <c r="FR136" t="str">
        <f t="shared" si="161"/>
        <v/>
      </c>
      <c r="FS136" t="str">
        <f t="shared" si="142"/>
        <v/>
      </c>
    </row>
    <row r="137" spans="1:175" x14ac:dyDescent="0.25">
      <c r="A137" s="347">
        <f t="shared" si="162"/>
        <v>135</v>
      </c>
      <c r="B137" s="348" t="s">
        <v>2506</v>
      </c>
      <c r="C137" s="348">
        <v>2</v>
      </c>
      <c r="D137" s="347">
        <v>2</v>
      </c>
      <c r="E137" s="627" t="s">
        <v>6952</v>
      </c>
      <c r="F137" s="346"/>
      <c r="G137" s="347" t="str">
        <f>""</f>
        <v/>
      </c>
      <c r="H137" s="347" t="s">
        <v>5912</v>
      </c>
      <c r="I137" s="347" t="s">
        <v>5290</v>
      </c>
      <c r="J137" s="347" t="str">
        <f t="shared" si="112"/>
        <v/>
      </c>
      <c r="K137" s="347" t="s">
        <v>5278</v>
      </c>
      <c r="L137" s="611" t="str">
        <f t="shared" si="113"/>
        <v>V, S</v>
      </c>
      <c r="M137" s="347" t="s">
        <v>2373</v>
      </c>
      <c r="N137" s="347" t="s">
        <v>2387</v>
      </c>
      <c r="O137" s="347" t="s">
        <v>3034</v>
      </c>
      <c r="P137" s="346" t="str">
        <f>""</f>
        <v/>
      </c>
      <c r="Q137" s="347" t="s">
        <v>2473</v>
      </c>
      <c r="S137" s="346" t="s">
        <v>5692</v>
      </c>
      <c r="T137" s="346" t="str">
        <f t="shared" si="114"/>
        <v xml:space="preserve">Cleric, Druid, </v>
      </c>
      <c r="Z137" s="347" t="str">
        <f>$B137</f>
        <v>Find Traps</v>
      </c>
      <c r="AA137" s="347" t="str">
        <f>$B137</f>
        <v>Find Traps</v>
      </c>
      <c r="AE137" t="str">
        <f>IF(IFERROR(MATCH($B137,temp!A$4:A$13,0),0)&gt;0,T08_Spells!AE$2,"")</f>
        <v/>
      </c>
      <c r="AF137" t="str">
        <f>IF(IFERROR(MATCH($B137,temp!B$4:B$13,0),0)&gt;0,T08_Spells!AF$2,"")</f>
        <v/>
      </c>
      <c r="AG137" t="str">
        <f>IF(IFERROR(MATCH($B137,temp!C$4:C$13,0),0)&gt;0,T08_Spells!AG$2,"")</f>
        <v/>
      </c>
      <c r="AH137" t="str">
        <f>IF(IFERROR(MATCH($B137,temp!D$4:D$13,0),0)&gt;0,T08_Spells!AH$2,"")</f>
        <v/>
      </c>
      <c r="AI137" t="str">
        <f>IF(IFERROR(MATCH($B137,temp!E$4:E$13,0),0)&gt;0,T08_Spells!AI$2,"")</f>
        <v/>
      </c>
      <c r="AJ137" t="str">
        <f>IF(IFERROR(MATCH($B137,temp!F$4:F$13,0),0)&gt;0,T08_Spells!AJ$2,"")</f>
        <v/>
      </c>
      <c r="AK137" t="str">
        <f>IF(IFERROR(MATCH($B137,temp!G$4:G$13,0),0)&gt;0,T08_Spells!AK$2,"")</f>
        <v/>
      </c>
      <c r="AL137" t="str">
        <f>IF(IFERROR(MATCH($B137,temp!H$4:H$13,0),0)&gt;0,T08_Spells!AL$2,"")</f>
        <v/>
      </c>
      <c r="AM137" t="str">
        <f>IF(IFERROR(MATCH($B137,temp!I$4:I$13,0),0)&gt;0,T08_Spells!AM$2,"")</f>
        <v/>
      </c>
      <c r="AN137" t="str">
        <f>IF(IFERROR(MATCH($B137,temp!J$4:J$13,0),0)&gt;0,T08_Spells!AN$2,"")</f>
        <v/>
      </c>
      <c r="AO137" t="str">
        <f>IF(IFERROR(MATCH($B137,temp!K$4:K$13,0),0)&gt;0,T08_Spells!AO$2,"")</f>
        <v/>
      </c>
      <c r="AP137" t="str">
        <f>IF(IFERROR(MATCH($B137,temp!L$4:L$13,0),0)&gt;0,T08_Spells!AP$2,"")</f>
        <v/>
      </c>
      <c r="AQ137" t="str">
        <f>IF(IFERROR(MATCH($B137,temp!M$4:M$13,0),0)&gt;0,T08_Spells!AQ$2,"")</f>
        <v/>
      </c>
      <c r="AR137" t="str">
        <f>IF(IFERROR(MATCH($B137,temp!N$4:N$13,0),0)&gt;0,T08_Spells!AR$2,"")</f>
        <v/>
      </c>
      <c r="AS137" t="str">
        <f>IF(IFERROR(MATCH($B137,temp!O$4:O$13,0),0)&gt;0,T08_Spells!AS$2,"")</f>
        <v/>
      </c>
      <c r="AT137" t="str">
        <f>IF(IFERROR(MATCH($B137,temp!P$4:P$13,0),0)&gt;0,T08_Spells!AT$2,"")</f>
        <v/>
      </c>
      <c r="AU137" t="str">
        <f>IF(IFERROR(MATCH($B137,temp!Q$4:Q$13,0),0)&gt;0,T08_Spells!AU$2,"")</f>
        <v/>
      </c>
      <c r="AV137" t="str">
        <f>IF(IFERROR(MATCH($B137,temp!R$4:R$13,0),0)&gt;0,T08_Spells!AV$2,"")</f>
        <v/>
      </c>
      <c r="AW137" t="str">
        <f>IF(IFERROR(MATCH($B137,temp!S$4:S$13,0),0)&gt;0,T08_Spells!AW$2,"")</f>
        <v/>
      </c>
      <c r="AX137" t="str">
        <f>IF(IFERROR(MATCH($B137,temp!T$4:T$13,0),0)&gt;0,T08_Spells!AX$2,"")</f>
        <v/>
      </c>
      <c r="AY137" t="str">
        <f>IF(IFERROR(MATCH($B137,temp!U$4:U$13,0),0)&gt;0,T08_Spells!AY$2,"")</f>
        <v/>
      </c>
      <c r="AZ137" t="str">
        <f>IF(IFERROR(MATCH($B137,temp!V$4:V$13,0),0)&gt;0,T08_Spells!AZ$2,"")</f>
        <v/>
      </c>
      <c r="BA137" t="str">
        <f>IF(IFERROR(MATCH($B137,temp!W$4:W$13,0),0)&gt;0,T08_Spells!BA$2,"")</f>
        <v/>
      </c>
      <c r="BC137">
        <f>IF(IFERROR(SEARCH("Ranger",$T137,1),0)&gt;0,1,0)*IF(RangerMaxSpellLevel&gt;=$C137,1,0)*IF(IFERROR(MATCH(B137,Character_Creation!$X$79:$X$382,0),0)&gt;0,0,1)</f>
        <v>0</v>
      </c>
      <c r="BD137">
        <f>IF(BC137=0,0,1+COUNTIF(BD$3:BD136,"&gt;0"))</f>
        <v>0</v>
      </c>
      <c r="BE137" t="str">
        <f t="shared" si="143"/>
        <v/>
      </c>
      <c r="BF137" t="str">
        <f t="shared" si="115"/>
        <v/>
      </c>
      <c r="BH137">
        <f>IF(IFERROR(SEARCH("Sorcerer",$T137,1),0)&gt;0,1,0)*IF(SorcererMaxSpellLevel&gt;=$C137,1,0)*IF(IFERROR(MATCH(B137,Character_Creation!$J$380:$J$394,0),0)&gt;0,0,1)</f>
        <v>0</v>
      </c>
      <c r="BI137">
        <f>IF(BH137=0,0,1+COUNTIF(BI$3:BI136,"&gt;0"))</f>
        <v>0</v>
      </c>
      <c r="BJ137" t="str">
        <f t="shared" si="144"/>
        <v/>
      </c>
      <c r="BK137" t="str">
        <f t="shared" si="116"/>
        <v/>
      </c>
      <c r="BM137">
        <f>IF(OR(IFERROR(SEARCH("Warlock",$T137,1),0)&gt;0,IFERROR(SEARCH(WarlockPatron,$T137,1),0)&gt;0),1,0)*IF(WarlockMaxSpellLevel&gt;=$C137,1,0)*IF(IFERROR(MATCH(B137,Character_Creation!$J$361:$J$375,0),0)&gt;0,0,1)</f>
        <v>0</v>
      </c>
      <c r="BN137">
        <f>IF(BM137=0,0,1+COUNTIF(BN$3:BN136,"&gt;0"))</f>
        <v>0</v>
      </c>
      <c r="BO137" t="str">
        <f t="shared" si="145"/>
        <v/>
      </c>
      <c r="BP137" t="str">
        <f t="shared" si="117"/>
        <v/>
      </c>
      <c r="BR137">
        <f>IF(IFERROR(SEARCH("Eldritch Knight",$T137,1),0)&gt;0,1,0)*IF(EldritchKnightMaxSpellLevel&gt;=$C137,1,0)*IF(IFERROR(MATCH($B137,Character_Creation!$J$350:$J$356,0),0)&gt;0,0,1)*IF(Character_Creation!$M$338&gt;0,1,0)</f>
        <v>0</v>
      </c>
      <c r="BS137">
        <f>IF(BR137=0,0,1+COUNTIF(BS$3:BS136,"&gt;0"))</f>
        <v>0</v>
      </c>
      <c r="BT137" t="str">
        <f t="shared" si="146"/>
        <v/>
      </c>
      <c r="BU137" t="str">
        <f t="shared" si="118"/>
        <v/>
      </c>
      <c r="BW137">
        <f>IF(IFERROR(SEARCH("Arcane Trickster",$T137,1),0)&gt;0,1,0)*IF(ArcaneTricksterMaxSpellLevel&gt;=$C137,1,0)*IF(IFERROR(MATCH($B137,Character_Creation!$J$350:$J$356,0),0)&gt;0,0,1)*IF(Character_Creation!$T$338&gt;0,1,0)</f>
        <v>0</v>
      </c>
      <c r="BX137">
        <f>IF(BW137=0,0,1+COUNTIF(BX$3:BX136,"&gt;0"))</f>
        <v>0</v>
      </c>
      <c r="BY137" t="str">
        <f t="shared" si="147"/>
        <v/>
      </c>
      <c r="BZ137" t="str">
        <f t="shared" si="119"/>
        <v/>
      </c>
      <c r="CB137">
        <f>IF(IFERROR(SEARCH("Wizard",$T137,1),0)&gt;0,1,0)*IF(C137&lt;=ArcaneTricksterMaxSpellLevel,1,0)*IF(IFERROR(MATCH($B137,Character_Creation!$J$350:$J$356,0),0)&gt;0,0,1)*IF(Character_Creation!$T$350&gt;0,1,0)</f>
        <v>0</v>
      </c>
      <c r="CC137">
        <f>IF(CB137=0,0,1+COUNTIF(CC$3:CC136,"&gt;0"))</f>
        <v>0</v>
      </c>
      <c r="CD137" t="str">
        <f t="shared" si="148"/>
        <v/>
      </c>
      <c r="CE137" t="str">
        <f t="shared" si="120"/>
        <v/>
      </c>
      <c r="CG137">
        <f>IF(IFERROR(SEARCH("Wizard",$T137,1),0)&gt;0,1,0)*IF($C137&lt;=EldritchKnightMaxSpellLevel,1,0)*IF(IFERROR(MATCH($B137,Character_Creation!$J$350:$J$356,0),0)&gt;0,0,1)*IF(Character_Creation!$M$350&gt;0,1,0)</f>
        <v>0</v>
      </c>
      <c r="CH137">
        <f>IF(CG137=0,0,1+COUNTIF(CH$3:CH136,"&gt;0"))</f>
        <v>0</v>
      </c>
      <c r="CI137" t="str">
        <f t="shared" si="149"/>
        <v/>
      </c>
      <c r="CJ137" t="str">
        <f t="shared" si="121"/>
        <v/>
      </c>
      <c r="CL137">
        <f>IF(IFERROR(SEARCH("Bard",$T137,1),0)&gt;0,1,0)*IF(BardMaxSpellLevel&gt;=$C137,1,0)*IF(IFERROR(MATCH(B137,Character_Creation!$C$341:$F$362,0),0)&gt;0,0,1)*IF(IFERROR(MATCH($B137,Character_Creation!$C$341:$C$362,0),0)&gt;0,0,1)</f>
        <v>0</v>
      </c>
      <c r="CM137">
        <f>IF(CL137=0,0,1+COUNTIF(CM$3:CM136,"&gt;0"))</f>
        <v>0</v>
      </c>
      <c r="CN137" t="str">
        <f t="shared" si="150"/>
        <v/>
      </c>
      <c r="CO137" t="str">
        <f t="shared" si="122"/>
        <v/>
      </c>
      <c r="CQ137">
        <f>IF(IFERROR(SEARCH("Wizard",$T137,1),0)&gt;0,1,0)*IF(WizardMaxSpellLevel&gt;=$C137,1,0)*IF(IFERROR(MATCH(B137,Character_Creation!$X$341:$X$400,0),0)&gt;0,0,1)*IF(SelectedWizardSpellLevel=$C137,1,0)</f>
        <v>0</v>
      </c>
      <c r="CR137">
        <f>IF(CQ137=0,0,1+COUNTIF(CR$3:CR136,"&gt;0"))</f>
        <v>0</v>
      </c>
      <c r="CS137" t="str">
        <f t="shared" si="151"/>
        <v/>
      </c>
      <c r="CT137" t="str">
        <f t="shared" si="123"/>
        <v/>
      </c>
      <c r="CV137">
        <f>IF(IFERROR(MATCH($B137,Character_Creation!$C$341:$C$362,0),0)&gt;0,0,1)*IF(OR(C137="Cantrip",C137&lt;=BardMaxSpellLevel),1,0)*IF(IFERROR(MATCH($B137,Character_Creation!$C$367:$C$374,0),0)&gt;0,0,1)</f>
        <v>0</v>
      </c>
      <c r="CW137">
        <f>IF(CV137=0,0,1+COUNTIF(CW$3:CW136,"&gt;0"))</f>
        <v>0</v>
      </c>
      <c r="CX137" t="str">
        <f t="shared" si="152"/>
        <v/>
      </c>
      <c r="CY137" t="str">
        <f t="shared" si="124"/>
        <v/>
      </c>
      <c r="DA137">
        <f>IF(IF(OR(IFERROR(SEARCH("Cleric",$T137,1),0)&gt;0,IFERROR(SEARCH(DivineDomain&amp;",",$T137,1),0)&gt;0),1,0)*IF($C137=DA$2,1,0)=1,1+COUNTIF(DA$3:DA136,"&gt;0"),0)</f>
        <v>0</v>
      </c>
      <c r="DB137">
        <f>IF(IF(OR(IFERROR(SEARCH("Cleric",$T137,1),0)&gt;0,IFERROR(SEARCH(DivineDomain&amp;",",$T137,1),0)&gt;0),1,0)*IF($C137=DB$2,1,0)=1,1+COUNTIF(DB$3:DB136,"&gt;0"),0)</f>
        <v>6</v>
      </c>
      <c r="DC137">
        <f>IF(IF(OR(IFERROR(SEARCH("Cleric",$T137,1),0)&gt;0,IFERROR(SEARCH(DivineDomain&amp;",",$T137,1),0)&gt;0),1,0)*IF($C137=DC$2,1,0)=1,1+COUNTIF(DC$3:DC136,"&gt;0"),0)</f>
        <v>0</v>
      </c>
      <c r="DD137">
        <f>IF(IF(OR(IFERROR(SEARCH("Cleric",$T137,1),0)&gt;0,IFERROR(SEARCH(DivineDomain&amp;",",$T137,1),0)&gt;0),1,0)*IF($C137=DD$2,1,0)=1,1+COUNTIF(DD$3:DD136,"&gt;0"),0)</f>
        <v>0</v>
      </c>
      <c r="DE137">
        <f>IF(IF(OR(IFERROR(SEARCH("Cleric",$T137,1),0)&gt;0,IFERROR(SEARCH(DivineDomain&amp;",",$T137,1),0)&gt;0),1,0)*IF($C137=DE$2,1,0)=1,1+COUNTIF(DE$3:DE136,"&gt;0"),0)</f>
        <v>0</v>
      </c>
      <c r="DF137">
        <f>IF(IF(OR(IFERROR(SEARCH("Cleric",$T137,1),0)&gt;0,IFERROR(SEARCH(DivineDomain&amp;",",$T137,1),0)&gt;0),1,0)*IF($C137=DF$2,1,0)=1,1+COUNTIF(DF$3:DF136,"&gt;0"),0)</f>
        <v>0</v>
      </c>
      <c r="DG137">
        <f>IF(IF(OR(IFERROR(SEARCH("Cleric",$T137,1),0)&gt;0,IFERROR(SEARCH(DivineDomain&amp;",",$T137,1),0)&gt;0),1,0)*IF($C137=DG$2,1,0)=1,1+COUNTIF(DG$3:DG136,"&gt;0"),0)</f>
        <v>0</v>
      </c>
      <c r="DH137">
        <f>IF(IF(OR(IFERROR(SEARCH("Cleric",$T137,1),0)&gt;0,IFERROR(SEARCH(DivineDomain&amp;",",$T137,1),0)&gt;0),1,0)*IF($C137=DH$2,1,0)=1,1+COUNTIF(DH$3:DH136,"&gt;0"),0)</f>
        <v>0</v>
      </c>
      <c r="DI137">
        <f>IF(IF(OR(IFERROR(SEARCH("Cleric",$T137,1),0)&gt;0,IFERROR(SEARCH(DivineDomain&amp;",",$T137,1),0)&gt;0),1,0)*IF($C137=DI$2,1,0)=1,1+COUNTIF(DI$3:DI136,"&gt;0"),0)</f>
        <v>0</v>
      </c>
      <c r="DJ137">
        <f>IF(IF(OR(IFERROR(SEARCH("Druid",$T137,1),0)&gt;0,IFERROR(SEARCH(DruidLand1,$T137,1),0)&gt;0,IFERROR(SEARCH(DruidLand2,$T137,1),0)&gt;0,IFERROR(SEARCH(DruidLand3,$T137,1),0)&gt;0,IFERROR(SEARCH(DruidLand4,$T137,1),0)&gt;0),1,0)*IF($C137=1,1,0)*IF($C137=DJ$2,1,0)=0,0,1+COUNTIF(DJ$3:DJ136,"&gt;0"))</f>
        <v>0</v>
      </c>
      <c r="DK137">
        <f>IF(IF(OR(IFERROR(SEARCH("Druid",$T137,1),0)&gt;0,IFERROR(SEARCH(DruidLand1,$T137,1),0)&gt;0,IFERROR(SEARCH(DruidLand2,$T137,1),0)&gt;0,IFERROR(SEARCH(DruidLand3,$T137,1),0)&gt;0,IFERROR(SEARCH(DruidLand4,$T137,1),0)&gt;0),1,0)*IF($C137=DK$2,1,0)=0,0,1+COUNTIF(DK$3:DK136,"&gt;0"))</f>
        <v>6</v>
      </c>
      <c r="DL137">
        <f>IF(IF(OR(IFERROR(SEARCH("Druid",$T137,1),0)&gt;0,IFERROR(SEARCH(DruidLand1,$T137,1),0)&gt;0,IFERROR(SEARCH(DruidLand2,$T137,1),0)&gt;0,IFERROR(SEARCH(DruidLand3,$T137,1),0)&gt;0,IFERROR(SEARCH(DruidLand4,$T137,1),0)&gt;0),1,0)*IF($C137=DL$2,1,0)=0,0,1+COUNTIF(DL$3:DL136,"&gt;0"))</f>
        <v>0</v>
      </c>
      <c r="DM137">
        <f>IF(IF(OR(IFERROR(SEARCH("Druid",$T137,1),0)&gt;0,IFERROR(SEARCH(DruidLand1,$T137,1),0)&gt;0,IFERROR(SEARCH(DruidLand2,$T137,1),0)&gt;0,IFERROR(SEARCH(DruidLand3,$T137,1),0)&gt;0,IFERROR(SEARCH(DruidLand4,$T137,1),0)&gt;0),1,0)*IF($C137=DM$2,1,0)=0,0,1+COUNTIF(DM$3:DM136,"&gt;0"))</f>
        <v>0</v>
      </c>
      <c r="DN137">
        <f>IF(IF(OR(IFERROR(SEARCH("Druid",$T137,1),0)&gt;0,IFERROR(SEARCH(DruidLand1,$T137,1),0)&gt;0,IFERROR(SEARCH(DruidLand2,$T137,1),0)&gt;0,IFERROR(SEARCH(DruidLand3,$T137,1),0)&gt;0,IFERROR(SEARCH(DruidLand4,$T137,1),0)&gt;0),1,0)*IF($C137=DN$2,1,0)=0,0,1+COUNTIF(DN$3:DN136,"&gt;0"))</f>
        <v>0</v>
      </c>
      <c r="DO137">
        <f>IF(IF(OR(IFERROR(SEARCH("Druid",$T137,1),0)&gt;0,IFERROR(SEARCH(DruidLand1,$T137,1),0)&gt;0,IFERROR(SEARCH(DruidLand2,$T137,1),0)&gt;0,IFERROR(SEARCH(DruidLand3,$T137,1),0)&gt;0,IFERROR(SEARCH(DruidLand4,$T137,1),0)&gt;0),1,0)*IF($C137=DO$2,1,0)=0,0,1+COUNTIF(DO$3:DO136,"&gt;0"))</f>
        <v>0</v>
      </c>
      <c r="DP137">
        <f>IF(IF(OR(IFERROR(SEARCH("Druid",$T137,1),0)&gt;0,IFERROR(SEARCH(DruidLand1,$T137,1),0)&gt;0,IFERROR(SEARCH(DruidLand2,$T137,1),0)&gt;0,IFERROR(SEARCH(DruidLand3,$T137,1),0)&gt;0,IFERROR(SEARCH(DruidLand4,$T137,1),0)&gt;0),1,0)*IF($C137=DP$2,1,0)=0,0,1+COUNTIF(DP$3:DP136,"&gt;0"))</f>
        <v>0</v>
      </c>
      <c r="DQ137">
        <f>IF(IF(OR(IFERROR(SEARCH("Druid",$T137,1),0)&gt;0,IFERROR(SEARCH(DruidLand1,$T137,1),0)&gt;0,IFERROR(SEARCH(DruidLand2,$T137,1),0)&gt;0,IFERROR(SEARCH(DruidLand3,$T137,1),0)&gt;0,IFERROR(SEARCH(DruidLand4,$T137,1),0)&gt;0),1,0)*IF($C137=DQ$2,1,0)=0,0,1+COUNTIF(DQ$3:DQ136,"&gt;0"))</f>
        <v>0</v>
      </c>
      <c r="DR137">
        <f>IF(IF(OR(IFERROR(SEARCH("Druid",$T137,1),0)&gt;0,IFERROR(SEARCH(DruidLand1,$T137,1),0)&gt;0,IFERROR(SEARCH(DruidLand2,$T137,1),0)&gt;0,IFERROR(SEARCH(DruidLand3,$T137,1),0)&gt;0,IFERROR(SEARCH(DruidLand4,$T137,1),0)&gt;0),1,0)*IF($C137=DR$2,1,0)=0,0,1+COUNTIF(DR$3:DR136,"&gt;0"))</f>
        <v>0</v>
      </c>
      <c r="DS137">
        <f>IF(IF(OR(IFERROR(SEARCH("Paladin",$T137,1),0)&gt;0,IFERROR(SEARCH(PaladinOath,$T137,1),0)&gt;0),1,0)*IF($C137=DS$2,1,0)=1,1+COUNTIF(DS$3:DS136,"&gt;0"),0)</f>
        <v>0</v>
      </c>
      <c r="DT137">
        <f>IF(IF(OR(IFERROR(SEARCH("Paladin",$T137,1),0)&gt;0,IFERROR(SEARCH(PaladinOath,$T137,1),0)&gt;0),1,0)*IF($C137=DT$2,1,0)=1,1+COUNTIF(DT$3:DT136,"&gt;0"),0)</f>
        <v>0</v>
      </c>
      <c r="DU137">
        <f>IF(IF(OR(IFERROR(SEARCH("Paladin",$T137,1),0)&gt;0,IFERROR(SEARCH(PaladinOath,$T137,1),0)&gt;0),1,0)*IF($C137=DU$2,1,0)=1,1+COUNTIF(DU$3:DU136,"&gt;0"),0)</f>
        <v>0</v>
      </c>
      <c r="DV137">
        <f>IF(IF(OR(IFERROR(SEARCH("Paladin",$T137,1),0)&gt;0,IFERROR(SEARCH(PaladinOath,$T137,1),0)&gt;0),1,0)*IF($C137=DV$2,1,0)=1,1+COUNTIF(DV$3:DV136,"&gt;0"),0)</f>
        <v>0</v>
      </c>
      <c r="DW137">
        <f>IF(IF(OR(IFERROR(SEARCH("Paladin",$T137,1),0)&gt;0,IFERROR(SEARCH(PaladinOath,$T137,1),0)&gt;0),1,0)*IF($C137=DW$2,1,0)=1,1+COUNTIF(DW$3:DW136,"&gt;0"),0)</f>
        <v>0</v>
      </c>
      <c r="DY137">
        <f t="shared" si="111"/>
        <v>1</v>
      </c>
      <c r="DZ137">
        <f>IF(DY137=0,0,1+MAX(DZ$3:$DZ136))</f>
        <v>135</v>
      </c>
      <c r="EB137">
        <f t="shared" si="125"/>
        <v>0</v>
      </c>
      <c r="EC137">
        <f>IF(EB137=0,0,1+COUNTIF(EC$3:EC136,"&gt;0"))</f>
        <v>0</v>
      </c>
      <c r="ED137" t="str">
        <f t="shared" si="153"/>
        <v/>
      </c>
      <c r="EE137" t="str">
        <f t="shared" si="126"/>
        <v/>
      </c>
      <c r="EG137">
        <f t="shared" si="127"/>
        <v>0</v>
      </c>
      <c r="EH137">
        <f>IF(EG137=0,0,1+COUNTIF(EH$3:EH136,"&gt;0"))</f>
        <v>0</v>
      </c>
      <c r="EI137" t="str">
        <f t="shared" si="154"/>
        <v/>
      </c>
      <c r="EJ137" t="str">
        <f t="shared" si="128"/>
        <v/>
      </c>
      <c r="EL137">
        <f t="shared" si="129"/>
        <v>0</v>
      </c>
      <c r="EM137">
        <f>IF(EL137=0,0,1+COUNTIF(EM$3:EM136,"&gt;0"))</f>
        <v>0</v>
      </c>
      <c r="EN137" t="str">
        <f t="shared" si="155"/>
        <v/>
      </c>
      <c r="EO137" t="str">
        <f t="shared" si="130"/>
        <v/>
      </c>
      <c r="EQ137">
        <f t="shared" si="131"/>
        <v>0</v>
      </c>
      <c r="ER137">
        <f>IF(EQ137=0,0,1+COUNTIF(ER$3:ER136,"&gt;0"))</f>
        <v>0</v>
      </c>
      <c r="ES137" t="str">
        <f t="shared" si="156"/>
        <v/>
      </c>
      <c r="ET137" t="str">
        <f t="shared" si="132"/>
        <v/>
      </c>
      <c r="EV137">
        <f t="shared" si="133"/>
        <v>0</v>
      </c>
      <c r="EW137">
        <f>IF(EV137=0,0,1+COUNTIF(EW$3:EW136,"&gt;0"))</f>
        <v>0</v>
      </c>
      <c r="EX137" t="str">
        <f t="shared" si="157"/>
        <v/>
      </c>
      <c r="EY137" t="str">
        <f t="shared" si="134"/>
        <v/>
      </c>
      <c r="FA137">
        <f t="shared" si="135"/>
        <v>0</v>
      </c>
      <c r="FB137">
        <f>IF(FA137=0,0,1+COUNTIF(FB$3:FB136,"&gt;0"))</f>
        <v>0</v>
      </c>
      <c r="FC137" t="str">
        <f t="shared" si="158"/>
        <v/>
      </c>
      <c r="FD137" t="str">
        <f t="shared" si="136"/>
        <v/>
      </c>
      <c r="FF137">
        <f t="shared" si="137"/>
        <v>0</v>
      </c>
      <c r="FG137">
        <f>IF(FF137=0,0,1+COUNTIF(FG$3:FG136,"&gt;0"))</f>
        <v>0</v>
      </c>
      <c r="FH137" t="str">
        <f t="shared" si="159"/>
        <v/>
      </c>
      <c r="FI137" t="str">
        <f t="shared" si="138"/>
        <v/>
      </c>
      <c r="FK137">
        <f t="shared" si="139"/>
        <v>0</v>
      </c>
      <c r="FL137">
        <f>IF(FK137=0,0,1+COUNTIF(FL$3:FL136,"&gt;0"))</f>
        <v>0</v>
      </c>
      <c r="FM137" t="str">
        <f t="shared" si="160"/>
        <v/>
      </c>
      <c r="FN137" t="str">
        <f t="shared" si="140"/>
        <v/>
      </c>
      <c r="FP137">
        <f t="shared" si="141"/>
        <v>0</v>
      </c>
      <c r="FQ137">
        <f>IF(FP137=0,0,1+COUNTIF(FQ$3:FQ136,"&gt;0"))</f>
        <v>0</v>
      </c>
      <c r="FR137" t="str">
        <f t="shared" si="161"/>
        <v/>
      </c>
      <c r="FS137" t="str">
        <f t="shared" si="142"/>
        <v/>
      </c>
    </row>
    <row r="138" spans="1:175" x14ac:dyDescent="0.25">
      <c r="A138" s="347">
        <f t="shared" si="162"/>
        <v>136</v>
      </c>
      <c r="B138" s="348" t="s">
        <v>2507</v>
      </c>
      <c r="C138" s="348">
        <v>7</v>
      </c>
      <c r="D138" s="347">
        <v>7</v>
      </c>
      <c r="E138" s="627" t="s">
        <v>6952</v>
      </c>
      <c r="F138" s="346"/>
      <c r="G138" s="347" t="str">
        <f>""</f>
        <v/>
      </c>
      <c r="H138" s="347" t="s">
        <v>5912</v>
      </c>
      <c r="I138" s="347" t="s">
        <v>424</v>
      </c>
      <c r="J138" s="347" t="str">
        <f t="shared" si="112"/>
        <v/>
      </c>
      <c r="K138" s="347" t="s">
        <v>5278</v>
      </c>
      <c r="L138" s="611" t="str">
        <f t="shared" si="113"/>
        <v>V, S</v>
      </c>
      <c r="M138" s="347" t="s">
        <v>2373</v>
      </c>
      <c r="N138" s="347" t="s">
        <v>2387</v>
      </c>
      <c r="O138" s="347" t="s">
        <v>3034</v>
      </c>
      <c r="P138" s="346" t="str">
        <f>""</f>
        <v/>
      </c>
      <c r="Q138" s="347" t="s">
        <v>5275</v>
      </c>
      <c r="S138" s="346" t="s">
        <v>5693</v>
      </c>
      <c r="T138" s="346" t="str">
        <f t="shared" si="114"/>
        <v xml:space="preserve">Sorcerer, Warlock, Wizard, </v>
      </c>
      <c r="X138" s="347" t="str">
        <f>$B138</f>
        <v>Finger of Death</v>
      </c>
      <c r="Y138" s="347" t="str">
        <f>$B138</f>
        <v>Finger of Death</v>
      </c>
      <c r="AD138" s="347" t="str">
        <f>$B138</f>
        <v>Finger of Death</v>
      </c>
      <c r="AE138" t="str">
        <f>IF(IFERROR(MATCH($B138,temp!A$4:A$13,0),0)&gt;0,T08_Spells!AE$2,"")</f>
        <v/>
      </c>
      <c r="AF138" t="str">
        <f>IF(IFERROR(MATCH($B138,temp!B$4:B$13,0),0)&gt;0,T08_Spells!AF$2,"")</f>
        <v/>
      </c>
      <c r="AG138" t="str">
        <f>IF(IFERROR(MATCH($B138,temp!C$4:C$13,0),0)&gt;0,T08_Spells!AG$2,"")</f>
        <v/>
      </c>
      <c r="AH138" t="str">
        <f>IF(IFERROR(MATCH($B138,temp!D$4:D$13,0),0)&gt;0,T08_Spells!AH$2,"")</f>
        <v/>
      </c>
      <c r="AI138" t="str">
        <f>IF(IFERROR(MATCH($B138,temp!E$4:E$13,0),0)&gt;0,T08_Spells!AI$2,"")</f>
        <v/>
      </c>
      <c r="AJ138" t="str">
        <f>IF(IFERROR(MATCH($B138,temp!F$4:F$13,0),0)&gt;0,T08_Spells!AJ$2,"")</f>
        <v/>
      </c>
      <c r="AK138" t="str">
        <f>IF(IFERROR(MATCH($B138,temp!G$4:G$13,0),0)&gt;0,T08_Spells!AK$2,"")</f>
        <v/>
      </c>
      <c r="AL138" t="str">
        <f>IF(IFERROR(MATCH($B138,temp!H$4:H$13,0),0)&gt;0,T08_Spells!AL$2,"")</f>
        <v/>
      </c>
      <c r="AM138" t="str">
        <f>IF(IFERROR(MATCH($B138,temp!I$4:I$13,0),0)&gt;0,T08_Spells!AM$2,"")</f>
        <v/>
      </c>
      <c r="AN138" t="str">
        <f>IF(IFERROR(MATCH($B138,temp!J$4:J$13,0),0)&gt;0,T08_Spells!AN$2,"")</f>
        <v/>
      </c>
      <c r="AO138" t="str">
        <f>IF(IFERROR(MATCH($B138,temp!K$4:K$13,0),0)&gt;0,T08_Spells!AO$2,"")</f>
        <v/>
      </c>
      <c r="AP138" t="str">
        <f>IF(IFERROR(MATCH($B138,temp!L$4:L$13,0),0)&gt;0,T08_Spells!AP$2,"")</f>
        <v/>
      </c>
      <c r="AQ138" t="str">
        <f>IF(IFERROR(MATCH($B138,temp!M$4:M$13,0),0)&gt;0,T08_Spells!AQ$2,"")</f>
        <v/>
      </c>
      <c r="AR138" t="str">
        <f>IF(IFERROR(MATCH($B138,temp!N$4:N$13,0),0)&gt;0,T08_Spells!AR$2,"")</f>
        <v/>
      </c>
      <c r="AS138" t="str">
        <f>IF(IFERROR(MATCH($B138,temp!O$4:O$13,0),0)&gt;0,T08_Spells!AS$2,"")</f>
        <v/>
      </c>
      <c r="AT138" t="str">
        <f>IF(IFERROR(MATCH($B138,temp!P$4:P$13,0),0)&gt;0,T08_Spells!AT$2,"")</f>
        <v/>
      </c>
      <c r="AU138" t="str">
        <f>IF(IFERROR(MATCH($B138,temp!Q$4:Q$13,0),0)&gt;0,T08_Spells!AU$2,"")</f>
        <v/>
      </c>
      <c r="AV138" t="str">
        <f>IF(IFERROR(MATCH($B138,temp!R$4:R$13,0),0)&gt;0,T08_Spells!AV$2,"")</f>
        <v/>
      </c>
      <c r="AW138" t="str">
        <f>IF(IFERROR(MATCH($B138,temp!S$4:S$13,0),0)&gt;0,T08_Spells!AW$2,"")</f>
        <v/>
      </c>
      <c r="AX138" t="str">
        <f>IF(IFERROR(MATCH($B138,temp!T$4:T$13,0),0)&gt;0,T08_Spells!AX$2,"")</f>
        <v/>
      </c>
      <c r="AY138" t="str">
        <f>IF(IFERROR(MATCH($B138,temp!U$4:U$13,0),0)&gt;0,T08_Spells!AY$2,"")</f>
        <v/>
      </c>
      <c r="AZ138" t="str">
        <f>IF(IFERROR(MATCH($B138,temp!V$4:V$13,0),0)&gt;0,T08_Spells!AZ$2,"")</f>
        <v/>
      </c>
      <c r="BA138" t="str">
        <f>IF(IFERROR(MATCH($B138,temp!W$4:W$13,0),0)&gt;0,T08_Spells!BA$2,"")</f>
        <v/>
      </c>
      <c r="BC138">
        <f>IF(IFERROR(SEARCH("Ranger",$T138,1),0)&gt;0,1,0)*IF(RangerMaxSpellLevel&gt;=$C138,1,0)*IF(IFERROR(MATCH(B138,Character_Creation!$X$79:$X$382,0),0)&gt;0,0,1)</f>
        <v>0</v>
      </c>
      <c r="BD138">
        <f>IF(BC138=0,0,1+COUNTIF(BD$3:BD137,"&gt;0"))</f>
        <v>0</v>
      </c>
      <c r="BE138" t="str">
        <f t="shared" si="143"/>
        <v/>
      </c>
      <c r="BF138" t="str">
        <f t="shared" si="115"/>
        <v/>
      </c>
      <c r="BH138">
        <f>IF(IFERROR(SEARCH("Sorcerer",$T138,1),0)&gt;0,1,0)*IF(SorcererMaxSpellLevel&gt;=$C138,1,0)*IF(IFERROR(MATCH(B138,Character_Creation!$J$380:$J$394,0),0)&gt;0,0,1)</f>
        <v>0</v>
      </c>
      <c r="BI138">
        <f>IF(BH138=0,0,1+COUNTIF(BI$3:BI137,"&gt;0"))</f>
        <v>0</v>
      </c>
      <c r="BJ138" t="str">
        <f t="shared" si="144"/>
        <v/>
      </c>
      <c r="BK138" t="str">
        <f t="shared" si="116"/>
        <v/>
      </c>
      <c r="BM138">
        <f>IF(OR(IFERROR(SEARCH("Warlock",$T138,1),0)&gt;0,IFERROR(SEARCH(WarlockPatron,$T138,1),0)&gt;0),1,0)*IF(WarlockMaxSpellLevel&gt;=$C138,1,0)*IF(IFERROR(MATCH(B138,Character_Creation!$J$361:$J$375,0),0)&gt;0,0,1)</f>
        <v>0</v>
      </c>
      <c r="BN138">
        <f>IF(BM138=0,0,1+COUNTIF(BN$3:BN137,"&gt;0"))</f>
        <v>0</v>
      </c>
      <c r="BO138" t="str">
        <f t="shared" si="145"/>
        <v/>
      </c>
      <c r="BP138" t="str">
        <f t="shared" si="117"/>
        <v/>
      </c>
      <c r="BR138">
        <f>IF(IFERROR(SEARCH("Eldritch Knight",$T138,1),0)&gt;0,1,0)*IF(EldritchKnightMaxSpellLevel&gt;=$C138,1,0)*IF(IFERROR(MATCH($B138,Character_Creation!$J$350:$J$356,0),0)&gt;0,0,1)*IF(Character_Creation!$M$338&gt;0,1,0)</f>
        <v>0</v>
      </c>
      <c r="BS138">
        <f>IF(BR138=0,0,1+COUNTIF(BS$3:BS137,"&gt;0"))</f>
        <v>0</v>
      </c>
      <c r="BT138" t="str">
        <f t="shared" si="146"/>
        <v/>
      </c>
      <c r="BU138" t="str">
        <f t="shared" si="118"/>
        <v/>
      </c>
      <c r="BW138">
        <f>IF(IFERROR(SEARCH("Arcane Trickster",$T138,1),0)&gt;0,1,0)*IF(ArcaneTricksterMaxSpellLevel&gt;=$C138,1,0)*IF(IFERROR(MATCH($B138,Character_Creation!$J$350:$J$356,0),0)&gt;0,0,1)*IF(Character_Creation!$T$338&gt;0,1,0)</f>
        <v>0</v>
      </c>
      <c r="BX138">
        <f>IF(BW138=0,0,1+COUNTIF(BX$3:BX137,"&gt;0"))</f>
        <v>0</v>
      </c>
      <c r="BY138" t="str">
        <f t="shared" si="147"/>
        <v/>
      </c>
      <c r="BZ138" t="str">
        <f t="shared" si="119"/>
        <v/>
      </c>
      <c r="CB138">
        <f>IF(IFERROR(SEARCH("Wizard",$T138,1),0)&gt;0,1,0)*IF(C138&lt;=ArcaneTricksterMaxSpellLevel,1,0)*IF(IFERROR(MATCH($B138,Character_Creation!$J$350:$J$356,0),0)&gt;0,0,1)*IF(Character_Creation!$T$350&gt;0,1,0)</f>
        <v>0</v>
      </c>
      <c r="CC138">
        <f>IF(CB138=0,0,1+COUNTIF(CC$3:CC137,"&gt;0"))</f>
        <v>0</v>
      </c>
      <c r="CD138" t="str">
        <f t="shared" si="148"/>
        <v/>
      </c>
      <c r="CE138" t="str">
        <f t="shared" si="120"/>
        <v/>
      </c>
      <c r="CG138">
        <f>IF(IFERROR(SEARCH("Wizard",$T138,1),0)&gt;0,1,0)*IF($C138&lt;=EldritchKnightMaxSpellLevel,1,0)*IF(IFERROR(MATCH($B138,Character_Creation!$J$350:$J$356,0),0)&gt;0,0,1)*IF(Character_Creation!$M$350&gt;0,1,0)</f>
        <v>0</v>
      </c>
      <c r="CH138">
        <f>IF(CG138=0,0,1+COUNTIF(CH$3:CH137,"&gt;0"))</f>
        <v>0</v>
      </c>
      <c r="CI138" t="str">
        <f t="shared" si="149"/>
        <v/>
      </c>
      <c r="CJ138" t="str">
        <f t="shared" si="121"/>
        <v/>
      </c>
      <c r="CL138">
        <f>IF(IFERROR(SEARCH("Bard",$T138,1),0)&gt;0,1,0)*IF(BardMaxSpellLevel&gt;=$C138,1,0)*IF(IFERROR(MATCH(B138,Character_Creation!$C$341:$F$362,0),0)&gt;0,0,1)*IF(IFERROR(MATCH($B138,Character_Creation!$C$341:$C$362,0),0)&gt;0,0,1)</f>
        <v>0</v>
      </c>
      <c r="CM138">
        <f>IF(CL138=0,0,1+COUNTIF(CM$3:CM137,"&gt;0"))</f>
        <v>0</v>
      </c>
      <c r="CN138" t="str">
        <f t="shared" si="150"/>
        <v/>
      </c>
      <c r="CO138" t="str">
        <f t="shared" si="122"/>
        <v/>
      </c>
      <c r="CQ138">
        <f>IF(IFERROR(SEARCH("Wizard",$T138,1),0)&gt;0,1,0)*IF(WizardMaxSpellLevel&gt;=$C138,1,0)*IF(IFERROR(MATCH(B138,Character_Creation!$X$341:$X$400,0),0)&gt;0,0,1)*IF(SelectedWizardSpellLevel=$C138,1,0)</f>
        <v>0</v>
      </c>
      <c r="CR138">
        <f>IF(CQ138=0,0,1+COUNTIF(CR$3:CR137,"&gt;0"))</f>
        <v>0</v>
      </c>
      <c r="CS138" t="str">
        <f t="shared" si="151"/>
        <v/>
      </c>
      <c r="CT138" t="str">
        <f t="shared" si="123"/>
        <v/>
      </c>
      <c r="CV138">
        <f>IF(IFERROR(MATCH($B138,Character_Creation!$C$341:$C$362,0),0)&gt;0,0,1)*IF(OR(C138="Cantrip",C138&lt;=BardMaxSpellLevel),1,0)*IF(IFERROR(MATCH($B138,Character_Creation!$C$367:$C$374,0),0)&gt;0,0,1)</f>
        <v>0</v>
      </c>
      <c r="CW138">
        <f>IF(CV138=0,0,1+COUNTIF(CW$3:CW137,"&gt;0"))</f>
        <v>0</v>
      </c>
      <c r="CX138" t="str">
        <f t="shared" si="152"/>
        <v/>
      </c>
      <c r="CY138" t="str">
        <f t="shared" si="124"/>
        <v/>
      </c>
      <c r="DA138">
        <f>IF(IF(OR(IFERROR(SEARCH("Cleric",$T138,1),0)&gt;0,IFERROR(SEARCH(DivineDomain&amp;",",$T138,1),0)&gt;0),1,0)*IF($C138=DA$2,1,0)=1,1+COUNTIF(DA$3:DA137,"&gt;0"),0)</f>
        <v>0</v>
      </c>
      <c r="DB138">
        <f>IF(IF(OR(IFERROR(SEARCH("Cleric",$T138,1),0)&gt;0,IFERROR(SEARCH(DivineDomain&amp;",",$T138,1),0)&gt;0),1,0)*IF($C138=DB$2,1,0)=1,1+COUNTIF(DB$3:DB137,"&gt;0"),0)</f>
        <v>0</v>
      </c>
      <c r="DC138">
        <f>IF(IF(OR(IFERROR(SEARCH("Cleric",$T138,1),0)&gt;0,IFERROR(SEARCH(DivineDomain&amp;",",$T138,1),0)&gt;0),1,0)*IF($C138=DC$2,1,0)=1,1+COUNTIF(DC$3:DC137,"&gt;0"),0)</f>
        <v>0</v>
      </c>
      <c r="DD138">
        <f>IF(IF(OR(IFERROR(SEARCH("Cleric",$T138,1),0)&gt;0,IFERROR(SEARCH(DivineDomain&amp;",",$T138,1),0)&gt;0),1,0)*IF($C138=DD$2,1,0)=1,1+COUNTIF(DD$3:DD137,"&gt;0"),0)</f>
        <v>0</v>
      </c>
      <c r="DE138">
        <f>IF(IF(OR(IFERROR(SEARCH("Cleric",$T138,1),0)&gt;0,IFERROR(SEARCH(DivineDomain&amp;",",$T138,1),0)&gt;0),1,0)*IF($C138=DE$2,1,0)=1,1+COUNTIF(DE$3:DE137,"&gt;0"),0)</f>
        <v>0</v>
      </c>
      <c r="DF138">
        <f>IF(IF(OR(IFERROR(SEARCH("Cleric",$T138,1),0)&gt;0,IFERROR(SEARCH(DivineDomain&amp;",",$T138,1),0)&gt;0),1,0)*IF($C138=DF$2,1,0)=1,1+COUNTIF(DF$3:DF137,"&gt;0"),0)</f>
        <v>0</v>
      </c>
      <c r="DG138">
        <f>IF(IF(OR(IFERROR(SEARCH("Cleric",$T138,1),0)&gt;0,IFERROR(SEARCH(DivineDomain&amp;",",$T138,1),0)&gt;0),1,0)*IF($C138=DG$2,1,0)=1,1+COUNTIF(DG$3:DG137,"&gt;0"),0)</f>
        <v>0</v>
      </c>
      <c r="DH138">
        <f>IF(IF(OR(IFERROR(SEARCH("Cleric",$T138,1),0)&gt;0,IFERROR(SEARCH(DivineDomain&amp;",",$T138,1),0)&gt;0),1,0)*IF($C138=DH$2,1,0)=1,1+COUNTIF(DH$3:DH137,"&gt;0"),0)</f>
        <v>0</v>
      </c>
      <c r="DI138">
        <f>IF(IF(OR(IFERROR(SEARCH("Cleric",$T138,1),0)&gt;0,IFERROR(SEARCH(DivineDomain&amp;",",$T138,1),0)&gt;0),1,0)*IF($C138=DI$2,1,0)=1,1+COUNTIF(DI$3:DI137,"&gt;0"),0)</f>
        <v>0</v>
      </c>
      <c r="DJ138">
        <f>IF(IF(OR(IFERROR(SEARCH("Druid",$T138,1),0)&gt;0,IFERROR(SEARCH(DruidLand1,$T138,1),0)&gt;0,IFERROR(SEARCH(DruidLand2,$T138,1),0)&gt;0,IFERROR(SEARCH(DruidLand3,$T138,1),0)&gt;0,IFERROR(SEARCH(DruidLand4,$T138,1),0)&gt;0),1,0)*IF($C138=1,1,0)*IF($C138=DJ$2,1,0)=0,0,1+COUNTIF(DJ$3:DJ137,"&gt;0"))</f>
        <v>0</v>
      </c>
      <c r="DK138">
        <f>IF(IF(OR(IFERROR(SEARCH("Druid",$T138,1),0)&gt;0,IFERROR(SEARCH(DruidLand1,$T138,1),0)&gt;0,IFERROR(SEARCH(DruidLand2,$T138,1),0)&gt;0,IFERROR(SEARCH(DruidLand3,$T138,1),0)&gt;0,IFERROR(SEARCH(DruidLand4,$T138,1),0)&gt;0),1,0)*IF($C138=1,1,0)*IF($C138=DK$2,1,0)=0,0,1+COUNTIF(DK$3:DK137,"&gt;0"))</f>
        <v>0</v>
      </c>
      <c r="DL138">
        <f>IF(IF(OR(IFERROR(SEARCH("Druid",$T138,1),0)&gt;0,IFERROR(SEARCH(DruidLand1,$T138,1),0)&gt;0,IFERROR(SEARCH(DruidLand2,$T138,1),0)&gt;0,IFERROR(SEARCH(DruidLand3,$T138,1),0)&gt;0,IFERROR(SEARCH(DruidLand4,$T138,1),0)&gt;0),1,0)*IF($C138=1,1,0)*IF($C138=DL$2,1,0)=0,0,1+COUNTIF(DL$3:DL137,"&gt;0"))</f>
        <v>0</v>
      </c>
      <c r="DM138">
        <f>IF(IF(OR(IFERROR(SEARCH("Druid",$T138,1),0)&gt;0,IFERROR(SEARCH(DruidLand1,$T138,1),0)&gt;0,IFERROR(SEARCH(DruidLand2,$T138,1),0)&gt;0,IFERROR(SEARCH(DruidLand3,$T138,1),0)&gt;0,IFERROR(SEARCH(DruidLand4,$T138,1),0)&gt;0),1,0)*IF($C138=1,1,0)*IF($C138=DM$2,1,0)=0,0,1+COUNTIF(DM$3:DM137,"&gt;0"))</f>
        <v>0</v>
      </c>
      <c r="DN138">
        <f>IF(IF(OR(IFERROR(SEARCH("Druid",$T138,1),0)&gt;0,IFERROR(SEARCH(DruidLand1,$T138,1),0)&gt;0,IFERROR(SEARCH(DruidLand2,$T138,1),0)&gt;0,IFERROR(SEARCH(DruidLand3,$T138,1),0)&gt;0,IFERROR(SEARCH(DruidLand4,$T138,1),0)&gt;0),1,0)*IF($C138=1,1,0)*IF($C138=DN$2,1,0)=0,0,1+COUNTIF(DN$3:DN137,"&gt;0"))</f>
        <v>0</v>
      </c>
      <c r="DO138">
        <f>IF(IF(OR(IFERROR(SEARCH("Druid",$T138,1),0)&gt;0,IFERROR(SEARCH(DruidLand1,$T138,1),0)&gt;0,IFERROR(SEARCH(DruidLand2,$T138,1),0)&gt;0,IFERROR(SEARCH(DruidLand3,$T138,1),0)&gt;0,IFERROR(SEARCH(DruidLand4,$T138,1),0)&gt;0),1,0)*IF($C138=1,1,0)*IF($C138=DO$2,1,0)=0,0,1+COUNTIF(DO$3:DO137,"&gt;0"))</f>
        <v>0</v>
      </c>
      <c r="DP138">
        <f>IF(IF(OR(IFERROR(SEARCH("Druid",$T138,1),0)&gt;0,IFERROR(SEARCH(DruidLand1,$T138,1),0)&gt;0,IFERROR(SEARCH(DruidLand2,$T138,1),0)&gt;0,IFERROR(SEARCH(DruidLand3,$T138,1),0)&gt;0,IFERROR(SEARCH(DruidLand4,$T138,1),0)&gt;0),1,0)*IF($C138=1,1,0)*IF($C138=DP$2,1,0)=0,0,1+COUNTIF(DP$3:DP137,"&gt;0"))</f>
        <v>0</v>
      </c>
      <c r="DQ138">
        <f>IF(IF(OR(IFERROR(SEARCH("Druid",$T138,1),0)&gt;0,IFERROR(SEARCH(DruidLand1,$T138,1),0)&gt;0,IFERROR(SEARCH(DruidLand2,$T138,1),0)&gt;0,IFERROR(SEARCH(DruidLand3,$T138,1),0)&gt;0,IFERROR(SEARCH(DruidLand4,$T138,1),0)&gt;0),1,0)*IF($C138=1,1,0)*IF($C138=DQ$2,1,0)=0,0,1+COUNTIF(DQ$3:DQ137,"&gt;0"))</f>
        <v>0</v>
      </c>
      <c r="DR138">
        <f>IF(IF(OR(IFERROR(SEARCH("Druid",$T138,1),0)&gt;0,IFERROR(SEARCH(DruidLand1,$T138,1),0)&gt;0,IFERROR(SEARCH(DruidLand2,$T138,1),0)&gt;0,IFERROR(SEARCH(DruidLand3,$T138,1),0)&gt;0,IFERROR(SEARCH(DruidLand4,$T138,1),0)&gt;0),1,0)*IF($C138=1,1,0)*IF($C138=DR$2,1,0)=0,0,1+COUNTIF(DR$3:DR137,"&gt;0"))</f>
        <v>0</v>
      </c>
      <c r="DS138">
        <f>IF(IF(OR(IFERROR(SEARCH("Paladin",$T138,1),0)&gt;0,IFERROR(SEARCH(PaladinOath,$T138,1),0)&gt;0),1,0)*IF($C138=DS$2,1,0)=1,1+COUNTIF(DS$3:DS137,"&gt;0"),0)</f>
        <v>0</v>
      </c>
      <c r="DT138">
        <f>IF(IF(OR(IFERROR(SEARCH("Paladin",$T138,1),0)&gt;0,IFERROR(SEARCH(PaladinOath,$T138,1),0)&gt;0),1,0)*IF($C138=DT$2,1,0)=1,1+COUNTIF(DT$3:DT137,"&gt;0"),0)</f>
        <v>0</v>
      </c>
      <c r="DU138">
        <f>IF(IF(OR(IFERROR(SEARCH("Paladin",$T138,1),0)&gt;0,IFERROR(SEARCH(PaladinOath,$T138,1),0)&gt;0),1,0)*IF($C138=DU$2,1,0)=1,1+COUNTIF(DU$3:DU137,"&gt;0"),0)</f>
        <v>0</v>
      </c>
      <c r="DV138">
        <f>IF(IF(OR(IFERROR(SEARCH("Paladin",$T138,1),0)&gt;0,IFERROR(SEARCH(PaladinOath,$T138,1),0)&gt;0),1,0)*IF($C138=DV$2,1,0)=1,1+COUNTIF(DV$3:DV137,"&gt;0"),0)</f>
        <v>0</v>
      </c>
      <c r="DW138">
        <f>IF(IF(OR(IFERROR(SEARCH("Paladin",$T138,1),0)&gt;0,IFERROR(SEARCH(PaladinOath,$T138,1),0)&gt;0),1,0)*IF($C138=DW$2,1,0)=1,1+COUNTIF(DW$3:DW137,"&gt;0"),0)</f>
        <v>0</v>
      </c>
      <c r="DY138">
        <f t="shared" si="111"/>
        <v>1</v>
      </c>
      <c r="DZ138">
        <f>IF(DY138=0,0,1+MAX(DZ$3:$DZ137))</f>
        <v>136</v>
      </c>
      <c r="EB138">
        <f t="shared" si="125"/>
        <v>0</v>
      </c>
      <c r="EC138">
        <f>IF(EB138=0,0,1+COUNTIF(EC$3:EC137,"&gt;0"))</f>
        <v>0</v>
      </c>
      <c r="ED138" t="str">
        <f t="shared" si="153"/>
        <v/>
      </c>
      <c r="EE138" t="str">
        <f t="shared" si="126"/>
        <v/>
      </c>
      <c r="EG138">
        <f t="shared" si="127"/>
        <v>0</v>
      </c>
      <c r="EH138">
        <f>IF(EG138=0,0,1+COUNTIF(EH$3:EH137,"&gt;0"))</f>
        <v>0</v>
      </c>
      <c r="EI138" t="str">
        <f t="shared" si="154"/>
        <v/>
      </c>
      <c r="EJ138" t="str">
        <f t="shared" si="128"/>
        <v/>
      </c>
      <c r="EL138">
        <f t="shared" si="129"/>
        <v>0</v>
      </c>
      <c r="EM138">
        <f>IF(EL138=0,0,1+COUNTIF(EM$3:EM137,"&gt;0"))</f>
        <v>0</v>
      </c>
      <c r="EN138" t="str">
        <f t="shared" si="155"/>
        <v/>
      </c>
      <c r="EO138" t="str">
        <f t="shared" si="130"/>
        <v/>
      </c>
      <c r="EQ138">
        <f t="shared" si="131"/>
        <v>0</v>
      </c>
      <c r="ER138">
        <f>IF(EQ138=0,0,1+COUNTIF(ER$3:ER137,"&gt;0"))</f>
        <v>0</v>
      </c>
      <c r="ES138" t="str">
        <f t="shared" si="156"/>
        <v/>
      </c>
      <c r="ET138" t="str">
        <f t="shared" si="132"/>
        <v/>
      </c>
      <c r="EV138">
        <f t="shared" si="133"/>
        <v>0</v>
      </c>
      <c r="EW138">
        <f>IF(EV138=0,0,1+COUNTIF(EW$3:EW137,"&gt;0"))</f>
        <v>0</v>
      </c>
      <c r="EX138" t="str">
        <f t="shared" si="157"/>
        <v/>
      </c>
      <c r="EY138" t="str">
        <f t="shared" si="134"/>
        <v/>
      </c>
      <c r="FA138">
        <f t="shared" si="135"/>
        <v>0</v>
      </c>
      <c r="FB138">
        <f>IF(FA138=0,0,1+COUNTIF(FB$3:FB137,"&gt;0"))</f>
        <v>0</v>
      </c>
      <c r="FC138" t="str">
        <f t="shared" si="158"/>
        <v/>
      </c>
      <c r="FD138" t="str">
        <f t="shared" si="136"/>
        <v/>
      </c>
      <c r="FF138">
        <f t="shared" si="137"/>
        <v>0</v>
      </c>
      <c r="FG138">
        <f>IF(FF138=0,0,1+COUNTIF(FG$3:FG137,"&gt;0"))</f>
        <v>0</v>
      </c>
      <c r="FH138" t="str">
        <f t="shared" si="159"/>
        <v/>
      </c>
      <c r="FI138" t="str">
        <f t="shared" si="138"/>
        <v/>
      </c>
      <c r="FK138">
        <f t="shared" si="139"/>
        <v>0</v>
      </c>
      <c r="FL138">
        <f>IF(FK138=0,0,1+COUNTIF(FL$3:FL137,"&gt;0"))</f>
        <v>0</v>
      </c>
      <c r="FM138" t="str">
        <f t="shared" si="160"/>
        <v/>
      </c>
      <c r="FN138" t="str">
        <f t="shared" si="140"/>
        <v/>
      </c>
      <c r="FP138">
        <f t="shared" si="141"/>
        <v>0</v>
      </c>
      <c r="FQ138">
        <f>IF(FP138=0,0,1+COUNTIF(FQ$3:FQ137,"&gt;0"))</f>
        <v>0</v>
      </c>
      <c r="FR138" t="str">
        <f t="shared" si="161"/>
        <v/>
      </c>
      <c r="FS138" t="str">
        <f t="shared" si="142"/>
        <v/>
      </c>
    </row>
    <row r="139" spans="1:175" x14ac:dyDescent="0.25">
      <c r="A139" s="347">
        <f t="shared" si="162"/>
        <v>137</v>
      </c>
      <c r="B139" s="348" t="s">
        <v>2509</v>
      </c>
      <c r="C139" s="348" t="s">
        <v>5277</v>
      </c>
      <c r="D139" s="347">
        <v>0.5</v>
      </c>
      <c r="E139" s="627" t="s">
        <v>6952</v>
      </c>
      <c r="F139" s="346"/>
      <c r="G139" s="347" t="str">
        <f>""</f>
        <v/>
      </c>
      <c r="H139" s="347" t="s">
        <v>5912</v>
      </c>
      <c r="I139" s="347" t="s">
        <v>5290</v>
      </c>
      <c r="J139" s="347" t="str">
        <f t="shared" si="112"/>
        <v/>
      </c>
      <c r="K139" s="347" t="s">
        <v>5278</v>
      </c>
      <c r="L139" s="611" t="str">
        <f t="shared" si="113"/>
        <v>V, S</v>
      </c>
      <c r="M139" s="347" t="s">
        <v>2373</v>
      </c>
      <c r="N139" s="347" t="s">
        <v>2387</v>
      </c>
      <c r="O139" s="347" t="s">
        <v>3034</v>
      </c>
      <c r="P139" s="346" t="str">
        <f>""</f>
        <v/>
      </c>
      <c r="Q139" s="347" t="s">
        <v>5273</v>
      </c>
      <c r="S139" s="346" t="s">
        <v>5694</v>
      </c>
      <c r="T139" s="346" t="str">
        <f t="shared" si="114"/>
        <v xml:space="preserve">Sorcerer, Eldritch Knight, Wizard, </v>
      </c>
      <c r="X139" s="347" t="str">
        <f>$B139</f>
        <v>Fire Bolt</v>
      </c>
      <c r="AB139" s="542" t="str">
        <f>AD139</f>
        <v>Fire Bolt</v>
      </c>
      <c r="AD139" s="347" t="str">
        <f>$B139</f>
        <v>Fire Bolt</v>
      </c>
      <c r="AE139" t="str">
        <f>IF(IFERROR(MATCH($B139,temp!A$4:A$13,0),0)&gt;0,T08_Spells!AE$2,"")</f>
        <v/>
      </c>
      <c r="AF139" t="str">
        <f>IF(IFERROR(MATCH($B139,temp!B$4:B$13,0),0)&gt;0,T08_Spells!AF$2,"")</f>
        <v/>
      </c>
      <c r="AG139" t="str">
        <f>IF(IFERROR(MATCH($B139,temp!C$4:C$13,0),0)&gt;0,T08_Spells!AG$2,"")</f>
        <v/>
      </c>
      <c r="AH139" t="str">
        <f>IF(IFERROR(MATCH($B139,temp!D$4:D$13,0),0)&gt;0,T08_Spells!AH$2,"")</f>
        <v/>
      </c>
      <c r="AI139" t="str">
        <f>IF(IFERROR(MATCH($B139,temp!E$4:E$13,0),0)&gt;0,T08_Spells!AI$2,"")</f>
        <v/>
      </c>
      <c r="AJ139" t="str">
        <f>IF(IFERROR(MATCH($B139,temp!F$4:F$13,0),0)&gt;0,T08_Spells!AJ$2,"")</f>
        <v/>
      </c>
      <c r="AK139" t="str">
        <f>IF(IFERROR(MATCH($B139,temp!G$4:G$13,0),0)&gt;0,T08_Spells!AK$2,"")</f>
        <v/>
      </c>
      <c r="AL139" t="str">
        <f>IF(IFERROR(MATCH($B139,temp!H$4:H$13,0),0)&gt;0,T08_Spells!AL$2,"")</f>
        <v/>
      </c>
      <c r="AM139" t="str">
        <f>IF(IFERROR(MATCH($B139,temp!I$4:I$13,0),0)&gt;0,T08_Spells!AM$2,"")</f>
        <v/>
      </c>
      <c r="AN139" t="str">
        <f>IF(IFERROR(MATCH($B139,temp!J$4:J$13,0),0)&gt;0,T08_Spells!AN$2,"")</f>
        <v/>
      </c>
      <c r="AO139" t="str">
        <f>IF(IFERROR(MATCH($B139,temp!K$4:K$13,0),0)&gt;0,T08_Spells!AO$2,"")</f>
        <v/>
      </c>
      <c r="AP139" t="str">
        <f>IF(IFERROR(MATCH($B139,temp!L$4:L$13,0),0)&gt;0,T08_Spells!AP$2,"")</f>
        <v/>
      </c>
      <c r="AQ139" t="str">
        <f>IF(IFERROR(MATCH($B139,temp!M$4:M$13,0),0)&gt;0,T08_Spells!AQ$2,"")</f>
        <v/>
      </c>
      <c r="AR139" t="str">
        <f>IF(IFERROR(MATCH($B139,temp!N$4:N$13,0),0)&gt;0,T08_Spells!AR$2,"")</f>
        <v/>
      </c>
      <c r="AS139" t="str">
        <f>IF(IFERROR(MATCH($B139,temp!O$4:O$13,0),0)&gt;0,T08_Spells!AS$2,"")</f>
        <v/>
      </c>
      <c r="AT139" t="str">
        <f>IF(IFERROR(MATCH($B139,temp!P$4:P$13,0),0)&gt;0,T08_Spells!AT$2,"")</f>
        <v/>
      </c>
      <c r="AU139" t="str">
        <f>IF(IFERROR(MATCH($B139,temp!Q$4:Q$13,0),0)&gt;0,T08_Spells!AU$2,"")</f>
        <v/>
      </c>
      <c r="AV139" t="str">
        <f>IF(IFERROR(MATCH($B139,temp!R$4:R$13,0),0)&gt;0,T08_Spells!AV$2,"")</f>
        <v/>
      </c>
      <c r="AW139" t="str">
        <f>IF(IFERROR(MATCH($B139,temp!S$4:S$13,0),0)&gt;0,T08_Spells!AW$2,"")</f>
        <v/>
      </c>
      <c r="AX139" t="str">
        <f>IF(IFERROR(MATCH($B139,temp!T$4:T$13,0),0)&gt;0,T08_Spells!AX$2,"")</f>
        <v/>
      </c>
      <c r="AY139" t="str">
        <f>IF(IFERROR(MATCH($B139,temp!U$4:U$13,0),0)&gt;0,T08_Spells!AY$2,"")</f>
        <v/>
      </c>
      <c r="AZ139" t="str">
        <f>IF(IFERROR(MATCH($B139,temp!V$4:V$13,0),0)&gt;0,T08_Spells!AZ$2,"")</f>
        <v/>
      </c>
      <c r="BA139" t="str">
        <f>IF(IFERROR(MATCH($B139,temp!W$4:W$13,0),0)&gt;0,T08_Spells!BA$2,"")</f>
        <v/>
      </c>
      <c r="BC139">
        <f>IF(IFERROR(SEARCH("Ranger",$T139,1),0)&gt;0,1,0)*IF(RangerMaxSpellLevel&gt;=$C139,1,0)*IF(IFERROR(MATCH(B139,Character_Creation!$X$79:$X$382,0),0)&gt;0,0,1)</f>
        <v>0</v>
      </c>
      <c r="BD139">
        <f>IF(BC139=0,0,1+COUNTIF(BD$3:BD138,"&gt;0"))</f>
        <v>0</v>
      </c>
      <c r="BE139" t="str">
        <f t="shared" si="143"/>
        <v/>
      </c>
      <c r="BF139" t="str">
        <f t="shared" si="115"/>
        <v/>
      </c>
      <c r="BH139">
        <f>IF(IFERROR(SEARCH("Sorcerer",$T139,1),0)&gt;0,1,0)*IF(SorcererMaxSpellLevel&gt;=$C139,1,0)*IF(IFERROR(MATCH(B139,Character_Creation!$J$380:$J$394,0),0)&gt;0,0,1)</f>
        <v>0</v>
      </c>
      <c r="BI139">
        <f>IF(BH139=0,0,1+COUNTIF(BI$3:BI138,"&gt;0"))</f>
        <v>0</v>
      </c>
      <c r="BJ139" t="str">
        <f t="shared" si="144"/>
        <v/>
      </c>
      <c r="BK139" t="str">
        <f t="shared" si="116"/>
        <v/>
      </c>
      <c r="BM139">
        <f>IF(OR(IFERROR(SEARCH("Warlock",$T139,1),0)&gt;0,IFERROR(SEARCH(WarlockPatron,$T139,1),0)&gt;0),1,0)*IF(WarlockMaxSpellLevel&gt;=$C139,1,0)*IF(IFERROR(MATCH(B139,Character_Creation!$J$361:$J$375,0),0)&gt;0,0,1)</f>
        <v>0</v>
      </c>
      <c r="BN139">
        <f>IF(BM139=0,0,1+COUNTIF(BN$3:BN138,"&gt;0"))</f>
        <v>0</v>
      </c>
      <c r="BO139" t="str">
        <f t="shared" si="145"/>
        <v/>
      </c>
      <c r="BP139" t="str">
        <f t="shared" si="117"/>
        <v/>
      </c>
      <c r="BR139">
        <f>IF(IFERROR(SEARCH("Eldritch Knight",$T139,1),0)&gt;0,1,0)*IF(EldritchKnightMaxSpellLevel&gt;=$C139,1,0)*IF(IFERROR(MATCH($B139,Character_Creation!$J$350:$J$356,0),0)&gt;0,0,1)*IF(Character_Creation!$M$338&gt;0,1,0)</f>
        <v>0</v>
      </c>
      <c r="BS139">
        <f>IF(BR139=0,0,1+COUNTIF(BS$3:BS138,"&gt;0"))</f>
        <v>0</v>
      </c>
      <c r="BT139" t="str">
        <f t="shared" si="146"/>
        <v/>
      </c>
      <c r="BU139" t="str">
        <f t="shared" si="118"/>
        <v/>
      </c>
      <c r="BW139">
        <f>IF(IFERROR(SEARCH("Arcane Trickster",$T139,1),0)&gt;0,1,0)*IF(ArcaneTricksterMaxSpellLevel&gt;=$C139,1,0)*IF(IFERROR(MATCH($B139,Character_Creation!$J$350:$J$356,0),0)&gt;0,0,1)*IF(Character_Creation!$T$338&gt;0,1,0)</f>
        <v>0</v>
      </c>
      <c r="BX139">
        <f>IF(BW139=0,0,1+COUNTIF(BX$3:BX138,"&gt;0"))</f>
        <v>0</v>
      </c>
      <c r="BY139" t="str">
        <f t="shared" si="147"/>
        <v/>
      </c>
      <c r="BZ139" t="str">
        <f t="shared" si="119"/>
        <v/>
      </c>
      <c r="CB139">
        <f>IF(IFERROR(SEARCH("Wizard",$T139,1),0)&gt;0,1,0)*IF(C139&lt;=ArcaneTricksterMaxSpellLevel,1,0)*IF(IFERROR(MATCH($B139,Character_Creation!$J$350:$J$356,0),0)&gt;0,0,1)*IF(Character_Creation!$T$350&gt;0,1,0)</f>
        <v>0</v>
      </c>
      <c r="CC139">
        <f>IF(CB139=0,0,1+COUNTIF(CC$3:CC138,"&gt;0"))</f>
        <v>0</v>
      </c>
      <c r="CD139" t="str">
        <f t="shared" si="148"/>
        <v/>
      </c>
      <c r="CE139" t="str">
        <f t="shared" si="120"/>
        <v/>
      </c>
      <c r="CG139">
        <f>IF(IFERROR(SEARCH("Wizard",$T139,1),0)&gt;0,1,0)*IF($C139&lt;=EldritchKnightMaxSpellLevel,1,0)*IF(IFERROR(MATCH($B139,Character_Creation!$J$350:$J$356,0),0)&gt;0,0,1)*IF(Character_Creation!$M$350&gt;0,1,0)</f>
        <v>0</v>
      </c>
      <c r="CH139">
        <f>IF(CG139=0,0,1+COUNTIF(CH$3:CH138,"&gt;0"))</f>
        <v>0</v>
      </c>
      <c r="CI139" t="str">
        <f t="shared" si="149"/>
        <v/>
      </c>
      <c r="CJ139" t="str">
        <f t="shared" si="121"/>
        <v/>
      </c>
      <c r="CL139">
        <f>IF(IFERROR(SEARCH("Bard",$T139,1),0)&gt;0,1,0)*IF(BardMaxSpellLevel&gt;=$C139,1,0)*IF(IFERROR(MATCH(B139,Character_Creation!$C$341:$F$362,0),0)&gt;0,0,1)*IF(IFERROR(MATCH($B139,Character_Creation!$C$341:$C$362,0),0)&gt;0,0,1)</f>
        <v>0</v>
      </c>
      <c r="CM139">
        <f>IF(CL139=0,0,1+COUNTIF(CM$3:CM138,"&gt;0"))</f>
        <v>0</v>
      </c>
      <c r="CN139" t="str">
        <f t="shared" si="150"/>
        <v/>
      </c>
      <c r="CO139" t="str">
        <f t="shared" si="122"/>
        <v/>
      </c>
      <c r="CQ139">
        <f>IF(IFERROR(SEARCH("Wizard",$T139,1),0)&gt;0,1,0)*IF(WizardMaxSpellLevel&gt;=$C139,1,0)*IF(IFERROR(MATCH(B139,Character_Creation!$X$341:$X$400,0),0)&gt;0,0,1)*IF(SelectedWizardSpellLevel=$C139,1,0)</f>
        <v>0</v>
      </c>
      <c r="CR139">
        <f>IF(CQ139=0,0,1+COUNTIF(CR$3:CR138,"&gt;0"))</f>
        <v>0</v>
      </c>
      <c r="CS139" t="str">
        <f t="shared" si="151"/>
        <v/>
      </c>
      <c r="CT139" t="str">
        <f t="shared" si="123"/>
        <v/>
      </c>
      <c r="CV139">
        <f>IF(IFERROR(MATCH($B139,Character_Creation!$C$341:$C$362,0),0)&gt;0,0,1)*IF(OR(C139="Cantrip",C139&lt;=BardMaxSpellLevel),1,0)*IF(IFERROR(MATCH($B139,Character_Creation!$C$367:$C$374,0),0)&gt;0,0,1)</f>
        <v>1</v>
      </c>
      <c r="CW139">
        <f>IF(CV139=0,0,1+COUNTIF(CW$3:CW138,"&gt;0"))</f>
        <v>7</v>
      </c>
      <c r="CX139" t="str">
        <f t="shared" si="152"/>
        <v/>
      </c>
      <c r="CY139" t="str">
        <f t="shared" si="124"/>
        <v/>
      </c>
      <c r="DA139">
        <f>IF(IF(OR(IFERROR(SEARCH("Cleric",$T139,1),0)&gt;0,IFERROR(SEARCH(DivineDomain&amp;",",$T139,1),0)&gt;0),1,0)*IF($C139=DA$2,1,0)=1,1+COUNTIF(DA$3:DA138,"&gt;0"),0)</f>
        <v>0</v>
      </c>
      <c r="DB139">
        <f>IF(IF(OR(IFERROR(SEARCH("Cleric",$T139,1),0)&gt;0,IFERROR(SEARCH(DivineDomain&amp;",",$T139,1),0)&gt;0),1,0)*IF($C139=DB$2,1,0)=1,1+COUNTIF(DB$3:DB138,"&gt;0"),0)</f>
        <v>0</v>
      </c>
      <c r="DC139">
        <f>IF(IF(OR(IFERROR(SEARCH("Cleric",$T139,1),0)&gt;0,IFERROR(SEARCH(DivineDomain&amp;",",$T139,1),0)&gt;0),1,0)*IF($C139=DC$2,1,0)=1,1+COUNTIF(DC$3:DC138,"&gt;0"),0)</f>
        <v>0</v>
      </c>
      <c r="DD139">
        <f>IF(IF(OR(IFERROR(SEARCH("Cleric",$T139,1),0)&gt;0,IFERROR(SEARCH(DivineDomain&amp;",",$T139,1),0)&gt;0),1,0)*IF($C139=DD$2,1,0)=1,1+COUNTIF(DD$3:DD138,"&gt;0"),0)</f>
        <v>0</v>
      </c>
      <c r="DE139">
        <f>IF(IF(OR(IFERROR(SEARCH("Cleric",$T139,1),0)&gt;0,IFERROR(SEARCH(DivineDomain&amp;",",$T139,1),0)&gt;0),1,0)*IF($C139=DE$2,1,0)=1,1+COUNTIF(DE$3:DE138,"&gt;0"),0)</f>
        <v>0</v>
      </c>
      <c r="DF139">
        <f>IF(IF(OR(IFERROR(SEARCH("Cleric",$T139,1),0)&gt;0,IFERROR(SEARCH(DivineDomain&amp;",",$T139,1),0)&gt;0),1,0)*IF($C139=DF$2,1,0)=1,1+COUNTIF(DF$3:DF138,"&gt;0"),0)</f>
        <v>0</v>
      </c>
      <c r="DG139">
        <f>IF(IF(OR(IFERROR(SEARCH("Cleric",$T139,1),0)&gt;0,IFERROR(SEARCH(DivineDomain&amp;",",$T139,1),0)&gt;0),1,0)*IF($C139=DG$2,1,0)=1,1+COUNTIF(DG$3:DG138,"&gt;0"),0)</f>
        <v>0</v>
      </c>
      <c r="DH139">
        <f>IF(IF(OR(IFERROR(SEARCH("Cleric",$T139,1),0)&gt;0,IFERROR(SEARCH(DivineDomain&amp;",",$T139,1),0)&gt;0),1,0)*IF($C139=DH$2,1,0)=1,1+COUNTIF(DH$3:DH138,"&gt;0"),0)</f>
        <v>0</v>
      </c>
      <c r="DI139">
        <f>IF(IF(OR(IFERROR(SEARCH("Cleric",$T139,1),0)&gt;0,IFERROR(SEARCH(DivineDomain&amp;",",$T139,1),0)&gt;0),1,0)*IF($C139=DI$2,1,0)=1,1+COUNTIF(DI$3:DI138,"&gt;0"),0)</f>
        <v>0</v>
      </c>
      <c r="DJ139">
        <f>IF(IF(OR(IFERROR(SEARCH("Druid",$T139,1),0)&gt;0,IFERROR(SEARCH(DruidLand1,$T139,1),0)&gt;0,IFERROR(SEARCH(DruidLand2,$T139,1),0)&gt;0,IFERROR(SEARCH(DruidLand3,$T139,1),0)&gt;0,IFERROR(SEARCH(DruidLand4,$T139,1),0)&gt;0),1,0)*IF($C139=1,1,0)*IF($C139=DJ$2,1,0)=0,0,1+COUNTIF(DJ$3:DJ138,"&gt;0"))</f>
        <v>0</v>
      </c>
      <c r="DK139">
        <f>IF(IF(OR(IFERROR(SEARCH("Druid",$T139,1),0)&gt;0,IFERROR(SEARCH(DruidLand1,$T139,1),0)&gt;0,IFERROR(SEARCH(DruidLand2,$T139,1),0)&gt;0,IFERROR(SEARCH(DruidLand3,$T139,1),0)&gt;0,IFERROR(SEARCH(DruidLand4,$T139,1),0)&gt;0),1,0)*IF($C139=1,1,0)*IF($C139=DK$2,1,0)=0,0,1+COUNTIF(DK$3:DK138,"&gt;0"))</f>
        <v>0</v>
      </c>
      <c r="DL139">
        <f>IF(IF(OR(IFERROR(SEARCH("Druid",$T139,1),0)&gt;0,IFERROR(SEARCH(DruidLand1,$T139,1),0)&gt;0,IFERROR(SEARCH(DruidLand2,$T139,1),0)&gt;0,IFERROR(SEARCH(DruidLand3,$T139,1),0)&gt;0,IFERROR(SEARCH(DruidLand4,$T139,1),0)&gt;0),1,0)*IF($C139=1,1,0)*IF($C139=DL$2,1,0)=0,0,1+COUNTIF(DL$3:DL138,"&gt;0"))</f>
        <v>0</v>
      </c>
      <c r="DM139">
        <f>IF(IF(OR(IFERROR(SEARCH("Druid",$T139,1),0)&gt;0,IFERROR(SEARCH(DruidLand1,$T139,1),0)&gt;0,IFERROR(SEARCH(DruidLand2,$T139,1),0)&gt;0,IFERROR(SEARCH(DruidLand3,$T139,1),0)&gt;0,IFERROR(SEARCH(DruidLand4,$T139,1),0)&gt;0),1,0)*IF($C139=1,1,0)*IF($C139=DM$2,1,0)=0,0,1+COUNTIF(DM$3:DM138,"&gt;0"))</f>
        <v>0</v>
      </c>
      <c r="DN139">
        <f>IF(IF(OR(IFERROR(SEARCH("Druid",$T139,1),0)&gt;0,IFERROR(SEARCH(DruidLand1,$T139,1),0)&gt;0,IFERROR(SEARCH(DruidLand2,$T139,1),0)&gt;0,IFERROR(SEARCH(DruidLand3,$T139,1),0)&gt;0,IFERROR(SEARCH(DruidLand4,$T139,1),0)&gt;0),1,0)*IF($C139=1,1,0)*IF($C139=DN$2,1,0)=0,0,1+COUNTIF(DN$3:DN138,"&gt;0"))</f>
        <v>0</v>
      </c>
      <c r="DO139">
        <f>IF(IF(OR(IFERROR(SEARCH("Druid",$T139,1),0)&gt;0,IFERROR(SEARCH(DruidLand1,$T139,1),0)&gt;0,IFERROR(SEARCH(DruidLand2,$T139,1),0)&gt;0,IFERROR(SEARCH(DruidLand3,$T139,1),0)&gt;0,IFERROR(SEARCH(DruidLand4,$T139,1),0)&gt;0),1,0)*IF($C139=1,1,0)*IF($C139=DO$2,1,0)=0,0,1+COUNTIF(DO$3:DO138,"&gt;0"))</f>
        <v>0</v>
      </c>
      <c r="DP139">
        <f>IF(IF(OR(IFERROR(SEARCH("Druid",$T139,1),0)&gt;0,IFERROR(SEARCH(DruidLand1,$T139,1),0)&gt;0,IFERROR(SEARCH(DruidLand2,$T139,1),0)&gt;0,IFERROR(SEARCH(DruidLand3,$T139,1),0)&gt;0,IFERROR(SEARCH(DruidLand4,$T139,1),0)&gt;0),1,0)*IF($C139=1,1,0)*IF($C139=DP$2,1,0)=0,0,1+COUNTIF(DP$3:DP138,"&gt;0"))</f>
        <v>0</v>
      </c>
      <c r="DQ139">
        <f>IF(IF(OR(IFERROR(SEARCH("Druid",$T139,1),0)&gt;0,IFERROR(SEARCH(DruidLand1,$T139,1),0)&gt;0,IFERROR(SEARCH(DruidLand2,$T139,1),0)&gt;0,IFERROR(SEARCH(DruidLand3,$T139,1),0)&gt;0,IFERROR(SEARCH(DruidLand4,$T139,1),0)&gt;0),1,0)*IF($C139=1,1,0)*IF($C139=DQ$2,1,0)=0,0,1+COUNTIF(DQ$3:DQ138,"&gt;0"))</f>
        <v>0</v>
      </c>
      <c r="DR139">
        <f>IF(IF(OR(IFERROR(SEARCH("Druid",$T139,1),0)&gt;0,IFERROR(SEARCH(DruidLand1,$T139,1),0)&gt;0,IFERROR(SEARCH(DruidLand2,$T139,1),0)&gt;0,IFERROR(SEARCH(DruidLand3,$T139,1),0)&gt;0,IFERROR(SEARCH(DruidLand4,$T139,1),0)&gt;0),1,0)*IF($C139=1,1,0)*IF($C139=DR$2,1,0)=0,0,1+COUNTIF(DR$3:DR138,"&gt;0"))</f>
        <v>0</v>
      </c>
      <c r="DS139">
        <f>IF(IF(OR(IFERROR(SEARCH("Paladin",$T139,1),0)&gt;0,IFERROR(SEARCH(PaladinOath,$T139,1),0)&gt;0),1,0)*IF($C139=DS$2,1,0)=1,1+COUNTIF(DS$3:DS138,"&gt;0"),0)</f>
        <v>0</v>
      </c>
      <c r="DT139">
        <f>IF(IF(OR(IFERROR(SEARCH("Paladin",$T139,1),0)&gt;0,IFERROR(SEARCH(PaladinOath,$T139,1),0)&gt;0),1,0)*IF($C139=DT$2,1,0)=1,1+COUNTIF(DT$3:DT138,"&gt;0"),0)</f>
        <v>0</v>
      </c>
      <c r="DU139">
        <f>IF(IF(OR(IFERROR(SEARCH("Paladin",$T139,1),0)&gt;0,IFERROR(SEARCH(PaladinOath,$T139,1),0)&gt;0),1,0)*IF($C139=DU$2,1,0)=1,1+COUNTIF(DU$3:DU138,"&gt;0"),0)</f>
        <v>0</v>
      </c>
      <c r="DV139">
        <f>IF(IF(OR(IFERROR(SEARCH("Paladin",$T139,1),0)&gt;0,IFERROR(SEARCH(PaladinOath,$T139,1),0)&gt;0),1,0)*IF($C139=DV$2,1,0)=1,1+COUNTIF(DV$3:DV138,"&gt;0"),0)</f>
        <v>0</v>
      </c>
      <c r="DW139">
        <f>IF(IF(OR(IFERROR(SEARCH("Paladin",$T139,1),0)&gt;0,IFERROR(SEARCH(PaladinOath,$T139,1),0)&gt;0),1,0)*IF($C139=DW$2,1,0)=1,1+COUNTIF(DW$3:DW138,"&gt;0"),0)</f>
        <v>0</v>
      </c>
      <c r="DY139">
        <f t="shared" si="111"/>
        <v>1</v>
      </c>
      <c r="DZ139">
        <f>IF(DY139=0,0,1+MAX(DZ$3:$DZ138))</f>
        <v>137</v>
      </c>
      <c r="EB139">
        <f t="shared" si="125"/>
        <v>0</v>
      </c>
      <c r="EC139">
        <f>IF(EB139=0,0,1+COUNTIF(EC$3:EC138,"&gt;0"))</f>
        <v>0</v>
      </c>
      <c r="ED139" t="str">
        <f t="shared" si="153"/>
        <v/>
      </c>
      <c r="EE139" t="str">
        <f t="shared" si="126"/>
        <v/>
      </c>
      <c r="EG139">
        <f t="shared" si="127"/>
        <v>0</v>
      </c>
      <c r="EH139">
        <f>IF(EG139=0,0,1+COUNTIF(EH$3:EH138,"&gt;0"))</f>
        <v>0</v>
      </c>
      <c r="EI139" t="str">
        <f t="shared" si="154"/>
        <v/>
      </c>
      <c r="EJ139" t="str">
        <f t="shared" si="128"/>
        <v/>
      </c>
      <c r="EL139">
        <f t="shared" si="129"/>
        <v>0</v>
      </c>
      <c r="EM139">
        <f>IF(EL139=0,0,1+COUNTIF(EM$3:EM138,"&gt;0"))</f>
        <v>0</v>
      </c>
      <c r="EN139" t="str">
        <f t="shared" si="155"/>
        <v/>
      </c>
      <c r="EO139" t="str">
        <f t="shared" si="130"/>
        <v/>
      </c>
      <c r="EQ139">
        <f t="shared" si="131"/>
        <v>1</v>
      </c>
      <c r="ER139">
        <f>IF(EQ139=0,0,1+COUNTIF(ER$3:ER138,"&gt;0"))</f>
        <v>5</v>
      </c>
      <c r="ES139" t="str">
        <f t="shared" si="156"/>
        <v/>
      </c>
      <c r="ET139" t="str">
        <f t="shared" si="132"/>
        <v/>
      </c>
      <c r="EV139">
        <f t="shared" si="133"/>
        <v>0</v>
      </c>
      <c r="EW139">
        <f>IF(EV139=0,0,1+COUNTIF(EW$3:EW138,"&gt;0"))</f>
        <v>0</v>
      </c>
      <c r="EX139" t="str">
        <f t="shared" si="157"/>
        <v/>
      </c>
      <c r="EY139" t="str">
        <f t="shared" si="134"/>
        <v/>
      </c>
      <c r="FA139">
        <f t="shared" si="135"/>
        <v>1</v>
      </c>
      <c r="FB139">
        <f>IF(FA139=0,0,1+COUNTIF(FB$3:FB138,"&gt;0"))</f>
        <v>5</v>
      </c>
      <c r="FC139" t="str">
        <f t="shared" si="158"/>
        <v/>
      </c>
      <c r="FD139" t="str">
        <f t="shared" si="136"/>
        <v/>
      </c>
      <c r="FF139">
        <f t="shared" si="137"/>
        <v>0</v>
      </c>
      <c r="FG139">
        <f>IF(FF139=0,0,1+COUNTIF(FG$3:FG138,"&gt;0"))</f>
        <v>0</v>
      </c>
      <c r="FH139" t="str">
        <f t="shared" si="159"/>
        <v/>
      </c>
      <c r="FI139" t="str">
        <f t="shared" si="138"/>
        <v/>
      </c>
      <c r="FK139">
        <f t="shared" si="139"/>
        <v>1</v>
      </c>
      <c r="FL139">
        <f>IF(FK139=0,0,1+COUNTIF(FL$3:FL138,"&gt;0"))</f>
        <v>5</v>
      </c>
      <c r="FM139" t="str">
        <f t="shared" si="160"/>
        <v/>
      </c>
      <c r="FN139" t="str">
        <f t="shared" si="140"/>
        <v/>
      </c>
      <c r="FP139">
        <f t="shared" si="141"/>
        <v>0</v>
      </c>
      <c r="FQ139">
        <f>IF(FP139=0,0,1+COUNTIF(FQ$3:FQ138,"&gt;0"))</f>
        <v>0</v>
      </c>
      <c r="FR139" t="str">
        <f t="shared" si="161"/>
        <v/>
      </c>
      <c r="FS139" t="str">
        <f t="shared" si="142"/>
        <v/>
      </c>
    </row>
    <row r="140" spans="1:175" x14ac:dyDescent="0.25">
      <c r="A140" s="347">
        <f t="shared" si="162"/>
        <v>138</v>
      </c>
      <c r="B140" s="348" t="s">
        <v>2510</v>
      </c>
      <c r="C140" s="348">
        <v>4</v>
      </c>
      <c r="D140" s="347">
        <v>4</v>
      </c>
      <c r="E140" s="627" t="s">
        <v>6952</v>
      </c>
      <c r="F140" s="346"/>
      <c r="G140" s="347" t="str">
        <f>""</f>
        <v/>
      </c>
      <c r="H140" s="347" t="s">
        <v>5912</v>
      </c>
      <c r="I140" s="347" t="s">
        <v>5283</v>
      </c>
      <c r="J140" s="347" t="str">
        <f t="shared" si="112"/>
        <v/>
      </c>
      <c r="K140" s="347" t="s">
        <v>5319</v>
      </c>
      <c r="L140" s="611" t="str">
        <f t="shared" si="113"/>
        <v>V, S, M, a bit of phosphorus or a firefly</v>
      </c>
      <c r="M140" s="347" t="s">
        <v>2373</v>
      </c>
      <c r="N140" s="347" t="s">
        <v>2387</v>
      </c>
      <c r="O140" s="347" t="s">
        <v>1244</v>
      </c>
      <c r="P140" s="346" t="s">
        <v>5370</v>
      </c>
      <c r="Q140" s="347" t="s">
        <v>5273</v>
      </c>
      <c r="S140" s="346" t="s">
        <v>5695</v>
      </c>
      <c r="T140" s="346" t="str">
        <f t="shared" si="114"/>
        <v xml:space="preserve">Eldritch Knight, Wizard, Archfiend, </v>
      </c>
      <c r="AB140" s="542" t="str">
        <f>AD140</f>
        <v>Fire Shield</v>
      </c>
      <c r="AD140" s="347" t="str">
        <f>$B140</f>
        <v>Fire Shield</v>
      </c>
      <c r="AE140" t="str">
        <f>IF(IFERROR(MATCH($B140,temp!A$4:A$13,0),0)&gt;0,T08_Spells!AE$2,"")</f>
        <v/>
      </c>
      <c r="AF140" t="str">
        <f>IF(IFERROR(MATCH($B140,temp!B$4:B$13,0),0)&gt;0,T08_Spells!AF$2,"")</f>
        <v/>
      </c>
      <c r="AG140" t="str">
        <f>IF(IFERROR(MATCH($B140,temp!C$4:C$13,0),0)&gt;0,T08_Spells!AG$2,"")</f>
        <v/>
      </c>
      <c r="AH140" t="str">
        <f>IF(IFERROR(MATCH($B140,temp!D$4:D$13,0),0)&gt;0,T08_Spells!AH$2,"")</f>
        <v/>
      </c>
      <c r="AI140" t="str">
        <f>IF(IFERROR(MATCH($B140,temp!E$4:E$13,0),0)&gt;0,T08_Spells!AI$2,"")</f>
        <v/>
      </c>
      <c r="AJ140" t="str">
        <f>IF(IFERROR(MATCH($B140,temp!F$4:F$13,0),0)&gt;0,T08_Spells!AJ$2,"")</f>
        <v>Archfiend</v>
      </c>
      <c r="AK140" t="str">
        <f>IF(IFERROR(MATCH($B140,temp!G$4:G$13,0),0)&gt;0,T08_Spells!AK$2,"")</f>
        <v/>
      </c>
      <c r="AL140" t="str">
        <f>IF(IFERROR(MATCH($B140,temp!H$4:H$13,0),0)&gt;0,T08_Spells!AL$2,"")</f>
        <v/>
      </c>
      <c r="AM140" t="str">
        <f>IF(IFERROR(MATCH($B140,temp!I$4:I$13,0),0)&gt;0,T08_Spells!AM$2,"")</f>
        <v/>
      </c>
      <c r="AN140" t="str">
        <f>IF(IFERROR(MATCH($B140,temp!J$4:J$13,0),0)&gt;0,T08_Spells!AN$2,"")</f>
        <v/>
      </c>
      <c r="AO140" t="str">
        <f>IF(IFERROR(MATCH($B140,temp!K$4:K$13,0),0)&gt;0,T08_Spells!AO$2,"")</f>
        <v/>
      </c>
      <c r="AP140" t="str">
        <f>IF(IFERROR(MATCH($B140,temp!L$4:L$13,0),0)&gt;0,T08_Spells!AP$2,"")</f>
        <v/>
      </c>
      <c r="AQ140" t="str">
        <f>IF(IFERROR(MATCH($B140,temp!M$4:M$13,0),0)&gt;0,T08_Spells!AQ$2,"")</f>
        <v/>
      </c>
      <c r="AR140" t="str">
        <f>IF(IFERROR(MATCH($B140,temp!N$4:N$13,0),0)&gt;0,T08_Spells!AR$2,"")</f>
        <v/>
      </c>
      <c r="AS140" t="str">
        <f>IF(IFERROR(MATCH($B140,temp!O$4:O$13,0),0)&gt;0,T08_Spells!AS$2,"")</f>
        <v/>
      </c>
      <c r="AT140" t="str">
        <f>IF(IFERROR(MATCH($B140,temp!P$4:P$13,0),0)&gt;0,T08_Spells!AT$2,"")</f>
        <v/>
      </c>
      <c r="AU140" t="str">
        <f>IF(IFERROR(MATCH($B140,temp!Q$4:Q$13,0),0)&gt;0,T08_Spells!AU$2,"")</f>
        <v/>
      </c>
      <c r="AV140" t="str">
        <f>IF(IFERROR(MATCH($B140,temp!R$4:R$13,0),0)&gt;0,T08_Spells!AV$2,"")</f>
        <v/>
      </c>
      <c r="AW140" t="str">
        <f>IF(IFERROR(MATCH($B140,temp!S$4:S$13,0),0)&gt;0,T08_Spells!AW$2,"")</f>
        <v/>
      </c>
      <c r="AX140" t="str">
        <f>IF(IFERROR(MATCH($B140,temp!T$4:T$13,0),0)&gt;0,T08_Spells!AX$2,"")</f>
        <v/>
      </c>
      <c r="AY140" t="str">
        <f>IF(IFERROR(MATCH($B140,temp!U$4:U$13,0),0)&gt;0,T08_Spells!AY$2,"")</f>
        <v/>
      </c>
      <c r="AZ140" t="str">
        <f>IF(IFERROR(MATCH($B140,temp!V$4:V$13,0),0)&gt;0,T08_Spells!AZ$2,"")</f>
        <v/>
      </c>
      <c r="BA140" t="str">
        <f>IF(IFERROR(MATCH($B140,temp!W$4:W$13,0),0)&gt;0,T08_Spells!BA$2,"")</f>
        <v/>
      </c>
      <c r="BC140">
        <f>IF(IFERROR(SEARCH("Ranger",$T140,1),0)&gt;0,1,0)*IF(RangerMaxSpellLevel&gt;=$C140,1,0)*IF(IFERROR(MATCH(B140,Character_Creation!$X$79:$X$382,0),0)&gt;0,0,1)</f>
        <v>0</v>
      </c>
      <c r="BD140">
        <f>IF(BC140=0,0,1+COUNTIF(BD$3:BD139,"&gt;0"))</f>
        <v>0</v>
      </c>
      <c r="BE140" t="str">
        <f t="shared" si="143"/>
        <v/>
      </c>
      <c r="BF140" t="str">
        <f t="shared" si="115"/>
        <v/>
      </c>
      <c r="BH140">
        <f>IF(IFERROR(SEARCH("Sorcerer",$T140,1),0)&gt;0,1,0)*IF(SorcererMaxSpellLevel&gt;=$C140,1,0)*IF(IFERROR(MATCH(B140,Character_Creation!$J$380:$J$394,0),0)&gt;0,0,1)</f>
        <v>0</v>
      </c>
      <c r="BI140">
        <f>IF(BH140=0,0,1+COUNTIF(BI$3:BI139,"&gt;0"))</f>
        <v>0</v>
      </c>
      <c r="BJ140" t="str">
        <f t="shared" si="144"/>
        <v/>
      </c>
      <c r="BK140" t="str">
        <f t="shared" si="116"/>
        <v/>
      </c>
      <c r="BM140">
        <f>IF(OR(IFERROR(SEARCH("Warlock",$T140,1),0)&gt;0,IFERROR(SEARCH(WarlockPatron,$T140,1),0)&gt;0),1,0)*IF(WarlockMaxSpellLevel&gt;=$C140,1,0)*IF(IFERROR(MATCH(B140,Character_Creation!$J$361:$J$375,0),0)&gt;0,0,1)</f>
        <v>0</v>
      </c>
      <c r="BN140">
        <f>IF(BM140=0,0,1+COUNTIF(BN$3:BN139,"&gt;0"))</f>
        <v>0</v>
      </c>
      <c r="BO140" t="str">
        <f t="shared" si="145"/>
        <v/>
      </c>
      <c r="BP140" t="str">
        <f t="shared" si="117"/>
        <v/>
      </c>
      <c r="BR140">
        <f>IF(IFERROR(SEARCH("Eldritch Knight",$T140,1),0)&gt;0,1,0)*IF(EldritchKnightMaxSpellLevel&gt;=$C140,1,0)*IF(IFERROR(MATCH($B140,Character_Creation!$J$350:$J$356,0),0)&gt;0,0,1)*IF(Character_Creation!$M$338&gt;0,1,0)</f>
        <v>0</v>
      </c>
      <c r="BS140">
        <f>IF(BR140=0,0,1+COUNTIF(BS$3:BS139,"&gt;0"))</f>
        <v>0</v>
      </c>
      <c r="BT140" t="str">
        <f t="shared" si="146"/>
        <v/>
      </c>
      <c r="BU140" t="str">
        <f t="shared" si="118"/>
        <v/>
      </c>
      <c r="BW140">
        <f>IF(IFERROR(SEARCH("Arcane Trickster",$T140,1),0)&gt;0,1,0)*IF(ArcaneTricksterMaxSpellLevel&gt;=$C140,1,0)*IF(IFERROR(MATCH($B140,Character_Creation!$J$350:$J$356,0),0)&gt;0,0,1)*IF(Character_Creation!$T$338&gt;0,1,0)</f>
        <v>0</v>
      </c>
      <c r="BX140">
        <f>IF(BW140=0,0,1+COUNTIF(BX$3:BX139,"&gt;0"))</f>
        <v>0</v>
      </c>
      <c r="BY140" t="str">
        <f t="shared" si="147"/>
        <v/>
      </c>
      <c r="BZ140" t="str">
        <f t="shared" si="119"/>
        <v/>
      </c>
      <c r="CB140">
        <f>IF(IFERROR(SEARCH("Wizard",$T140,1),0)&gt;0,1,0)*IF(C140&lt;=ArcaneTricksterMaxSpellLevel,1,0)*IF(IFERROR(MATCH($B140,Character_Creation!$J$350:$J$356,0),0)&gt;0,0,1)*IF(Character_Creation!$T$350&gt;0,1,0)</f>
        <v>0</v>
      </c>
      <c r="CC140">
        <f>IF(CB140=0,0,1+COUNTIF(CC$3:CC139,"&gt;0"))</f>
        <v>0</v>
      </c>
      <c r="CD140" t="str">
        <f t="shared" si="148"/>
        <v/>
      </c>
      <c r="CE140" t="str">
        <f t="shared" si="120"/>
        <v/>
      </c>
      <c r="CG140">
        <f>IF(IFERROR(SEARCH("Wizard",$T140,1),0)&gt;0,1,0)*IF($C140&lt;=EldritchKnightMaxSpellLevel,1,0)*IF(IFERROR(MATCH($B140,Character_Creation!$J$350:$J$356,0),0)&gt;0,0,1)*IF(Character_Creation!$M$350&gt;0,1,0)</f>
        <v>0</v>
      </c>
      <c r="CH140">
        <f>IF(CG140=0,0,1+COUNTIF(CH$3:CH139,"&gt;0"))</f>
        <v>0</v>
      </c>
      <c r="CI140" t="str">
        <f t="shared" si="149"/>
        <v/>
      </c>
      <c r="CJ140" t="str">
        <f t="shared" si="121"/>
        <v/>
      </c>
      <c r="CL140">
        <f>IF(IFERROR(SEARCH("Bard",$T140,1),0)&gt;0,1,0)*IF(BardMaxSpellLevel&gt;=$C140,1,0)*IF(IFERROR(MATCH(B140,Character_Creation!$C$341:$F$362,0),0)&gt;0,0,1)*IF(IFERROR(MATCH($B140,Character_Creation!$C$341:$C$362,0),0)&gt;0,0,1)</f>
        <v>0</v>
      </c>
      <c r="CM140">
        <f>IF(CL140=0,0,1+COUNTIF(CM$3:CM139,"&gt;0"))</f>
        <v>0</v>
      </c>
      <c r="CN140" t="str">
        <f t="shared" si="150"/>
        <v/>
      </c>
      <c r="CO140" t="str">
        <f t="shared" si="122"/>
        <v/>
      </c>
      <c r="CQ140">
        <f>IF(IFERROR(SEARCH("Wizard",$T140,1),0)&gt;0,1,0)*IF(WizardMaxSpellLevel&gt;=$C140,1,0)*IF(IFERROR(MATCH(B140,Character_Creation!$X$341:$X$400,0),0)&gt;0,0,1)*IF(SelectedWizardSpellLevel=$C140,1,0)</f>
        <v>0</v>
      </c>
      <c r="CR140">
        <f>IF(CQ140=0,0,1+COUNTIF(CR$3:CR139,"&gt;0"))</f>
        <v>0</v>
      </c>
      <c r="CS140" t="str">
        <f t="shared" si="151"/>
        <v/>
      </c>
      <c r="CT140" t="str">
        <f t="shared" si="123"/>
        <v/>
      </c>
      <c r="CV140">
        <f>IF(IFERROR(MATCH($B140,Character_Creation!$C$341:$C$362,0),0)&gt;0,0,1)*IF(OR(C140="Cantrip",C140&lt;=BardMaxSpellLevel),1,0)*IF(IFERROR(MATCH($B140,Character_Creation!$C$367:$C$374,0),0)&gt;0,0,1)</f>
        <v>0</v>
      </c>
      <c r="CW140">
        <f>IF(CV140=0,0,1+COUNTIF(CW$3:CW139,"&gt;0"))</f>
        <v>0</v>
      </c>
      <c r="CX140" t="str">
        <f t="shared" si="152"/>
        <v/>
      </c>
      <c r="CY140" t="str">
        <f t="shared" si="124"/>
        <v/>
      </c>
      <c r="DA140">
        <f>IF(IF(OR(IFERROR(SEARCH("Cleric",$T140,1),0)&gt;0,IFERROR(SEARCH(DivineDomain&amp;",",$T140,1),0)&gt;0),1,0)*IF($C140=DA$2,1,0)=1,1+COUNTIF(DA$3:DA139,"&gt;0"),0)</f>
        <v>0</v>
      </c>
      <c r="DB140">
        <f>IF(IF(OR(IFERROR(SEARCH("Cleric",$T140,1),0)&gt;0,IFERROR(SEARCH(DivineDomain&amp;",",$T140,1),0)&gt;0),1,0)*IF($C140=DB$2,1,0)=1,1+COUNTIF(DB$3:DB139,"&gt;0"),0)</f>
        <v>0</v>
      </c>
      <c r="DC140">
        <f>IF(IF(OR(IFERROR(SEARCH("Cleric",$T140,1),0)&gt;0,IFERROR(SEARCH(DivineDomain&amp;",",$T140,1),0)&gt;0),1,0)*IF($C140=DC$2,1,0)=1,1+COUNTIF(DC$3:DC139,"&gt;0"),0)</f>
        <v>0</v>
      </c>
      <c r="DD140">
        <f>IF(IF(OR(IFERROR(SEARCH("Cleric",$T140,1),0)&gt;0,IFERROR(SEARCH(DivineDomain&amp;",",$T140,1),0)&gt;0),1,0)*IF($C140=DD$2,1,0)=1,1+COUNTIF(DD$3:DD139,"&gt;0"),0)</f>
        <v>0</v>
      </c>
      <c r="DE140">
        <f>IF(IF(OR(IFERROR(SEARCH("Cleric",$T140,1),0)&gt;0,IFERROR(SEARCH(DivineDomain&amp;",",$T140,1),0)&gt;0),1,0)*IF($C140=DE$2,1,0)=1,1+COUNTIF(DE$3:DE139,"&gt;0"),0)</f>
        <v>0</v>
      </c>
      <c r="DF140">
        <f>IF(IF(OR(IFERROR(SEARCH("Cleric",$T140,1),0)&gt;0,IFERROR(SEARCH(DivineDomain&amp;",",$T140,1),0)&gt;0),1,0)*IF($C140=DF$2,1,0)=1,1+COUNTIF(DF$3:DF139,"&gt;0"),0)</f>
        <v>0</v>
      </c>
      <c r="DG140">
        <f>IF(IF(OR(IFERROR(SEARCH("Cleric",$T140,1),0)&gt;0,IFERROR(SEARCH(DivineDomain&amp;",",$T140,1),0)&gt;0),1,0)*IF($C140=DG$2,1,0)=1,1+COUNTIF(DG$3:DG139,"&gt;0"),0)</f>
        <v>0</v>
      </c>
      <c r="DH140">
        <f>IF(IF(OR(IFERROR(SEARCH("Cleric",$T140,1),0)&gt;0,IFERROR(SEARCH(DivineDomain&amp;",",$T140,1),0)&gt;0),1,0)*IF($C140=DH$2,1,0)=1,1+COUNTIF(DH$3:DH139,"&gt;0"),0)</f>
        <v>0</v>
      </c>
      <c r="DI140">
        <f>IF(IF(OR(IFERROR(SEARCH("Cleric",$T140,1),0)&gt;0,IFERROR(SEARCH(DivineDomain&amp;",",$T140,1),0)&gt;0),1,0)*IF($C140=DI$2,1,0)=1,1+COUNTIF(DI$3:DI139,"&gt;0"),0)</f>
        <v>0</v>
      </c>
      <c r="DJ140">
        <f>IF(IF(OR(IFERROR(SEARCH("Druid",$T140,1),0)&gt;0,IFERROR(SEARCH(DruidLand1,$T140,1),0)&gt;0,IFERROR(SEARCH(DruidLand2,$T140,1),0)&gt;0,IFERROR(SEARCH(DruidLand3,$T140,1),0)&gt;0,IFERROR(SEARCH(DruidLand4,$T140,1),0)&gt;0),1,0)*IF($C140=1,1,0)*IF($C140=DJ$2,1,0)=0,0,1+COUNTIF(DJ$3:DJ139,"&gt;0"))</f>
        <v>0</v>
      </c>
      <c r="DK140">
        <f>IF(IF(OR(IFERROR(SEARCH("Druid",$T140,1),0)&gt;0,IFERROR(SEARCH(DruidLand1,$T140,1),0)&gt;0,IFERROR(SEARCH(DruidLand2,$T140,1),0)&gt;0,IFERROR(SEARCH(DruidLand3,$T140,1),0)&gt;0,IFERROR(SEARCH(DruidLand4,$T140,1),0)&gt;0),1,0)*IF($C140=1,1,0)*IF($C140=DK$2,1,0)=0,0,1+COUNTIF(DK$3:DK139,"&gt;0"))</f>
        <v>0</v>
      </c>
      <c r="DL140">
        <f>IF(IF(OR(IFERROR(SEARCH("Druid",$T140,1),0)&gt;0,IFERROR(SEARCH(DruidLand1,$T140,1),0)&gt;0,IFERROR(SEARCH(DruidLand2,$T140,1),0)&gt;0,IFERROR(SEARCH(DruidLand3,$T140,1),0)&gt;0,IFERROR(SEARCH(DruidLand4,$T140,1),0)&gt;0),1,0)*IF($C140=1,1,0)*IF($C140=DL$2,1,0)=0,0,1+COUNTIF(DL$3:DL139,"&gt;0"))</f>
        <v>0</v>
      </c>
      <c r="DM140">
        <f>IF(IF(OR(IFERROR(SEARCH("Druid",$T140,1),0)&gt;0,IFERROR(SEARCH(DruidLand1,$T140,1),0)&gt;0,IFERROR(SEARCH(DruidLand2,$T140,1),0)&gt;0,IFERROR(SEARCH(DruidLand3,$T140,1),0)&gt;0,IFERROR(SEARCH(DruidLand4,$T140,1),0)&gt;0),1,0)*IF($C140=1,1,0)*IF($C140=DM$2,1,0)=0,0,1+COUNTIF(DM$3:DM139,"&gt;0"))</f>
        <v>0</v>
      </c>
      <c r="DN140">
        <f>IF(IF(OR(IFERROR(SEARCH("Druid",$T140,1),0)&gt;0,IFERROR(SEARCH(DruidLand1,$T140,1),0)&gt;0,IFERROR(SEARCH(DruidLand2,$T140,1),0)&gt;0,IFERROR(SEARCH(DruidLand3,$T140,1),0)&gt;0,IFERROR(SEARCH(DruidLand4,$T140,1),0)&gt;0),1,0)*IF($C140=1,1,0)*IF($C140=DN$2,1,0)=0,0,1+COUNTIF(DN$3:DN139,"&gt;0"))</f>
        <v>0</v>
      </c>
      <c r="DO140">
        <f>IF(IF(OR(IFERROR(SEARCH("Druid",$T140,1),0)&gt;0,IFERROR(SEARCH(DruidLand1,$T140,1),0)&gt;0,IFERROR(SEARCH(DruidLand2,$T140,1),0)&gt;0,IFERROR(SEARCH(DruidLand3,$T140,1),0)&gt;0,IFERROR(SEARCH(DruidLand4,$T140,1),0)&gt;0),1,0)*IF($C140=1,1,0)*IF($C140=DO$2,1,0)=0,0,1+COUNTIF(DO$3:DO139,"&gt;0"))</f>
        <v>0</v>
      </c>
      <c r="DP140">
        <f>IF(IF(OR(IFERROR(SEARCH("Druid",$T140,1),0)&gt;0,IFERROR(SEARCH(DruidLand1,$T140,1),0)&gt;0,IFERROR(SEARCH(DruidLand2,$T140,1),0)&gt;0,IFERROR(SEARCH(DruidLand3,$T140,1),0)&gt;0,IFERROR(SEARCH(DruidLand4,$T140,1),0)&gt;0),1,0)*IF($C140=1,1,0)*IF($C140=DP$2,1,0)=0,0,1+COUNTIF(DP$3:DP139,"&gt;0"))</f>
        <v>0</v>
      </c>
      <c r="DQ140">
        <f>IF(IF(OR(IFERROR(SEARCH("Druid",$T140,1),0)&gt;0,IFERROR(SEARCH(DruidLand1,$T140,1),0)&gt;0,IFERROR(SEARCH(DruidLand2,$T140,1),0)&gt;0,IFERROR(SEARCH(DruidLand3,$T140,1),0)&gt;0,IFERROR(SEARCH(DruidLand4,$T140,1),0)&gt;0),1,0)*IF($C140=1,1,0)*IF($C140=DQ$2,1,0)=0,0,1+COUNTIF(DQ$3:DQ139,"&gt;0"))</f>
        <v>0</v>
      </c>
      <c r="DR140">
        <f>IF(IF(OR(IFERROR(SEARCH("Druid",$T140,1),0)&gt;0,IFERROR(SEARCH(DruidLand1,$T140,1),0)&gt;0,IFERROR(SEARCH(DruidLand2,$T140,1),0)&gt;0,IFERROR(SEARCH(DruidLand3,$T140,1),0)&gt;0,IFERROR(SEARCH(DruidLand4,$T140,1),0)&gt;0),1,0)*IF($C140=1,1,0)*IF($C140=DR$2,1,0)=0,0,1+COUNTIF(DR$3:DR139,"&gt;0"))</f>
        <v>0</v>
      </c>
      <c r="DS140">
        <f>IF(IF(OR(IFERROR(SEARCH("Paladin",$T140,1),0)&gt;0,IFERROR(SEARCH(PaladinOath,$T140,1),0)&gt;0),1,0)*IF($C140=DS$2,1,0)=1,1+COUNTIF(DS$3:DS139,"&gt;0"),0)</f>
        <v>0</v>
      </c>
      <c r="DT140">
        <f>IF(IF(OR(IFERROR(SEARCH("Paladin",$T140,1),0)&gt;0,IFERROR(SEARCH(PaladinOath,$T140,1),0)&gt;0),1,0)*IF($C140=DT$2,1,0)=1,1+COUNTIF(DT$3:DT139,"&gt;0"),0)</f>
        <v>0</v>
      </c>
      <c r="DU140">
        <f>IF(IF(OR(IFERROR(SEARCH("Paladin",$T140,1),0)&gt;0,IFERROR(SEARCH(PaladinOath,$T140,1),0)&gt;0),1,0)*IF($C140=DU$2,1,0)=1,1+COUNTIF(DU$3:DU139,"&gt;0"),0)</f>
        <v>0</v>
      </c>
      <c r="DV140">
        <f>IF(IF(OR(IFERROR(SEARCH("Paladin",$T140,1),0)&gt;0,IFERROR(SEARCH(PaladinOath,$T140,1),0)&gt;0),1,0)*IF($C140=DV$2,1,0)=1,1+COUNTIF(DV$3:DV139,"&gt;0"),0)</f>
        <v>0</v>
      </c>
      <c r="DW140">
        <f>IF(IF(OR(IFERROR(SEARCH("Paladin",$T140,1),0)&gt;0,IFERROR(SEARCH(PaladinOath,$T140,1),0)&gt;0),1,0)*IF($C140=DW$2,1,0)=1,1+COUNTIF(DW$3:DW139,"&gt;0"),0)</f>
        <v>0</v>
      </c>
      <c r="DY140">
        <f t="shared" si="111"/>
        <v>1</v>
      </c>
      <c r="DZ140">
        <f>IF(DY140=0,0,1+MAX(DZ$3:$DZ139))</f>
        <v>138</v>
      </c>
      <c r="EB140">
        <f t="shared" si="125"/>
        <v>0</v>
      </c>
      <c r="EC140">
        <f>IF(EB140=0,0,1+COUNTIF(EC$3:EC139,"&gt;0"))</f>
        <v>0</v>
      </c>
      <c r="ED140" t="str">
        <f t="shared" si="153"/>
        <v/>
      </c>
      <c r="EE140" t="str">
        <f t="shared" si="126"/>
        <v/>
      </c>
      <c r="EG140">
        <f t="shared" si="127"/>
        <v>0</v>
      </c>
      <c r="EH140">
        <f>IF(EG140=0,0,1+COUNTIF(EH$3:EH139,"&gt;0"))</f>
        <v>0</v>
      </c>
      <c r="EI140" t="str">
        <f t="shared" si="154"/>
        <v/>
      </c>
      <c r="EJ140" t="str">
        <f t="shared" si="128"/>
        <v/>
      </c>
      <c r="EL140">
        <f t="shared" si="129"/>
        <v>0</v>
      </c>
      <c r="EM140">
        <f>IF(EL140=0,0,1+COUNTIF(EM$3:EM139,"&gt;0"))</f>
        <v>0</v>
      </c>
      <c r="EN140" t="str">
        <f t="shared" si="155"/>
        <v/>
      </c>
      <c r="EO140" t="str">
        <f t="shared" si="130"/>
        <v/>
      </c>
      <c r="EQ140">
        <f t="shared" si="131"/>
        <v>0</v>
      </c>
      <c r="ER140">
        <f>IF(EQ140=0,0,1+COUNTIF(ER$3:ER139,"&gt;0"))</f>
        <v>0</v>
      </c>
      <c r="ES140" t="str">
        <f t="shared" si="156"/>
        <v/>
      </c>
      <c r="ET140" t="str">
        <f t="shared" si="132"/>
        <v/>
      </c>
      <c r="EV140">
        <f t="shared" si="133"/>
        <v>0</v>
      </c>
      <c r="EW140">
        <f>IF(EV140=0,0,1+COUNTIF(EW$3:EW139,"&gt;0"))</f>
        <v>0</v>
      </c>
      <c r="EX140" t="str">
        <f t="shared" si="157"/>
        <v/>
      </c>
      <c r="EY140" t="str">
        <f t="shared" si="134"/>
        <v/>
      </c>
      <c r="FA140">
        <f t="shared" si="135"/>
        <v>0</v>
      </c>
      <c r="FB140">
        <f>IF(FA140=0,0,1+COUNTIF(FB$3:FB139,"&gt;0"))</f>
        <v>0</v>
      </c>
      <c r="FC140" t="str">
        <f t="shared" si="158"/>
        <v/>
      </c>
      <c r="FD140" t="str">
        <f t="shared" si="136"/>
        <v/>
      </c>
      <c r="FF140">
        <f t="shared" si="137"/>
        <v>0</v>
      </c>
      <c r="FG140">
        <f>IF(FF140=0,0,1+COUNTIF(FG$3:FG139,"&gt;0"))</f>
        <v>0</v>
      </c>
      <c r="FH140" t="str">
        <f t="shared" si="159"/>
        <v/>
      </c>
      <c r="FI140" t="str">
        <f t="shared" si="138"/>
        <v/>
      </c>
      <c r="FK140">
        <f t="shared" si="139"/>
        <v>0</v>
      </c>
      <c r="FL140">
        <f>IF(FK140=0,0,1+COUNTIF(FL$3:FL139,"&gt;0"))</f>
        <v>0</v>
      </c>
      <c r="FM140" t="str">
        <f t="shared" si="160"/>
        <v/>
      </c>
      <c r="FN140" t="str">
        <f t="shared" si="140"/>
        <v/>
      </c>
      <c r="FP140">
        <f t="shared" si="141"/>
        <v>0</v>
      </c>
      <c r="FQ140">
        <f>IF(FP140=0,0,1+COUNTIF(FQ$3:FQ139,"&gt;0"))</f>
        <v>0</v>
      </c>
      <c r="FR140" t="str">
        <f t="shared" si="161"/>
        <v/>
      </c>
      <c r="FS140" t="str">
        <f t="shared" si="142"/>
        <v/>
      </c>
    </row>
    <row r="141" spans="1:175" x14ac:dyDescent="0.25">
      <c r="A141" s="347">
        <f>A140+1</f>
        <v>139</v>
      </c>
      <c r="B141" s="348" t="s">
        <v>2511</v>
      </c>
      <c r="C141" s="348">
        <v>7</v>
      </c>
      <c r="D141" s="347">
        <v>7</v>
      </c>
      <c r="E141" s="627" t="s">
        <v>6952</v>
      </c>
      <c r="F141" s="346"/>
      <c r="G141" s="347" t="str">
        <f>""</f>
        <v/>
      </c>
      <c r="H141" s="347" t="s">
        <v>5912</v>
      </c>
      <c r="I141" s="347" t="s">
        <v>5315</v>
      </c>
      <c r="J141" s="347" t="str">
        <f t="shared" si="112"/>
        <v/>
      </c>
      <c r="K141" s="347" t="s">
        <v>5278</v>
      </c>
      <c r="L141" s="611" t="str">
        <f t="shared" si="113"/>
        <v>V, S</v>
      </c>
      <c r="M141" s="347" t="s">
        <v>2373</v>
      </c>
      <c r="N141" s="347" t="s">
        <v>2387</v>
      </c>
      <c r="O141" s="347" t="s">
        <v>3034</v>
      </c>
      <c r="P141" s="346" t="str">
        <f>""</f>
        <v/>
      </c>
      <c r="Q141" s="347" t="s">
        <v>5273</v>
      </c>
      <c r="S141" s="346" t="s">
        <v>5696</v>
      </c>
      <c r="T141" s="346" t="str">
        <f t="shared" si="114"/>
        <v xml:space="preserve">Sorcerer, Cleric, Druid, </v>
      </c>
      <c r="X141" s="347" t="str">
        <f>$B141</f>
        <v>Fire Storm</v>
      </c>
      <c r="Z141" s="347" t="str">
        <f>$B141</f>
        <v>Fire Storm</v>
      </c>
      <c r="AA141" s="347" t="str">
        <f>$B141</f>
        <v>Fire Storm</v>
      </c>
      <c r="AE141" t="str">
        <f>IF(IFERROR(MATCH($B141,temp!A$4:A$13,0),0)&gt;0,T08_Spells!AE$2,"")</f>
        <v/>
      </c>
      <c r="AF141" t="str">
        <f>IF(IFERROR(MATCH($B141,temp!B$4:B$13,0),0)&gt;0,T08_Spells!AF$2,"")</f>
        <v/>
      </c>
      <c r="AG141" t="str">
        <f>IF(IFERROR(MATCH($B141,temp!C$4:C$13,0),0)&gt;0,T08_Spells!AG$2,"")</f>
        <v/>
      </c>
      <c r="AH141" t="str">
        <f>IF(IFERROR(MATCH($B141,temp!D$4:D$13,0),0)&gt;0,T08_Spells!AH$2,"")</f>
        <v/>
      </c>
      <c r="AI141" t="str">
        <f>IF(IFERROR(MATCH($B141,temp!E$4:E$13,0),0)&gt;0,T08_Spells!AI$2,"")</f>
        <v/>
      </c>
      <c r="AJ141" t="str">
        <f>IF(IFERROR(MATCH($B141,temp!F$4:F$13,0),0)&gt;0,T08_Spells!AJ$2,"")</f>
        <v/>
      </c>
      <c r="AK141" t="str">
        <f>IF(IFERROR(MATCH($B141,temp!G$4:G$13,0),0)&gt;0,T08_Spells!AK$2,"")</f>
        <v/>
      </c>
      <c r="AL141" t="str">
        <f>IF(IFERROR(MATCH($B141,temp!H$4:H$13,0),0)&gt;0,T08_Spells!AL$2,"")</f>
        <v/>
      </c>
      <c r="AM141" t="str">
        <f>IF(IFERROR(MATCH($B141,temp!I$4:I$13,0),0)&gt;0,T08_Spells!AM$2,"")</f>
        <v/>
      </c>
      <c r="AN141" t="str">
        <f>IF(IFERROR(MATCH($B141,temp!J$4:J$13,0),0)&gt;0,T08_Spells!AN$2,"")</f>
        <v/>
      </c>
      <c r="AO141" t="str">
        <f>IF(IFERROR(MATCH($B141,temp!K$4:K$13,0),0)&gt;0,T08_Spells!AO$2,"")</f>
        <v/>
      </c>
      <c r="AP141" t="str">
        <f>IF(IFERROR(MATCH($B141,temp!L$4:L$13,0),0)&gt;0,T08_Spells!AP$2,"")</f>
        <v/>
      </c>
      <c r="AQ141" t="str">
        <f>IF(IFERROR(MATCH($B141,temp!M$4:M$13,0),0)&gt;0,T08_Spells!AQ$2,"")</f>
        <v/>
      </c>
      <c r="AR141" t="str">
        <f>IF(IFERROR(MATCH($B141,temp!N$4:N$13,0),0)&gt;0,T08_Spells!AR$2,"")</f>
        <v/>
      </c>
      <c r="AS141" t="str">
        <f>IF(IFERROR(MATCH($B141,temp!O$4:O$13,0),0)&gt;0,T08_Spells!AS$2,"")</f>
        <v/>
      </c>
      <c r="AT141" t="str">
        <f>IF(IFERROR(MATCH($B141,temp!P$4:P$13,0),0)&gt;0,T08_Spells!AT$2,"")</f>
        <v/>
      </c>
      <c r="AU141" t="str">
        <f>IF(IFERROR(MATCH($B141,temp!Q$4:Q$13,0),0)&gt;0,T08_Spells!AU$2,"")</f>
        <v/>
      </c>
      <c r="AV141" t="str">
        <f>IF(IFERROR(MATCH($B141,temp!R$4:R$13,0),0)&gt;0,T08_Spells!AV$2,"")</f>
        <v/>
      </c>
      <c r="AW141" t="str">
        <f>IF(IFERROR(MATCH($B141,temp!S$4:S$13,0),0)&gt;0,T08_Spells!AW$2,"")</f>
        <v/>
      </c>
      <c r="AX141" t="str">
        <f>IF(IFERROR(MATCH($B141,temp!T$4:T$13,0),0)&gt;0,T08_Spells!AX$2,"")</f>
        <v/>
      </c>
      <c r="AY141" t="str">
        <f>IF(IFERROR(MATCH($B141,temp!U$4:U$13,0),0)&gt;0,T08_Spells!AY$2,"")</f>
        <v/>
      </c>
      <c r="AZ141" t="str">
        <f>IF(IFERROR(MATCH($B141,temp!V$4:V$13,0),0)&gt;0,T08_Spells!AZ$2,"")</f>
        <v/>
      </c>
      <c r="BA141" t="str">
        <f>IF(IFERROR(MATCH($B141,temp!W$4:W$13,0),0)&gt;0,T08_Spells!BA$2,"")</f>
        <v/>
      </c>
      <c r="BC141">
        <f>IF(IFERROR(SEARCH("Ranger",$T141,1),0)&gt;0,1,0)*IF(RangerMaxSpellLevel&gt;=$C141,1,0)*IF(IFERROR(MATCH(B141,Character_Creation!$X$79:$X$382,0),0)&gt;0,0,1)</f>
        <v>0</v>
      </c>
      <c r="BD141">
        <f>IF(BC141=0,0,1+COUNTIF(BD$3:BD140,"&gt;0"))</f>
        <v>0</v>
      </c>
      <c r="BE141" t="str">
        <f t="shared" si="143"/>
        <v/>
      </c>
      <c r="BF141" t="str">
        <f t="shared" si="115"/>
        <v/>
      </c>
      <c r="BH141">
        <f>IF(IFERROR(SEARCH("Sorcerer",$T141,1),0)&gt;0,1,0)*IF(SorcererMaxSpellLevel&gt;=$C141,1,0)*IF(IFERROR(MATCH(B141,Character_Creation!$J$380:$J$394,0),0)&gt;0,0,1)</f>
        <v>0</v>
      </c>
      <c r="BI141">
        <f>IF(BH141=0,0,1+COUNTIF(BI$3:BI140,"&gt;0"))</f>
        <v>0</v>
      </c>
      <c r="BJ141" t="str">
        <f t="shared" si="144"/>
        <v/>
      </c>
      <c r="BK141" t="str">
        <f t="shared" si="116"/>
        <v/>
      </c>
      <c r="BM141">
        <f>IF(OR(IFERROR(SEARCH("Warlock",$T141,1),0)&gt;0,IFERROR(SEARCH(WarlockPatron,$T141,1),0)&gt;0),1,0)*IF(WarlockMaxSpellLevel&gt;=$C141,1,0)*IF(IFERROR(MATCH(B141,Character_Creation!$J$361:$J$375,0),0)&gt;0,0,1)</f>
        <v>0</v>
      </c>
      <c r="BN141">
        <f>IF(BM141=0,0,1+COUNTIF(BN$3:BN140,"&gt;0"))</f>
        <v>0</v>
      </c>
      <c r="BO141" t="str">
        <f t="shared" si="145"/>
        <v/>
      </c>
      <c r="BP141" t="str">
        <f t="shared" si="117"/>
        <v/>
      </c>
      <c r="BR141">
        <f>IF(IFERROR(SEARCH("Eldritch Knight",$T141,1),0)&gt;0,1,0)*IF(EldritchKnightMaxSpellLevel&gt;=$C141,1,0)*IF(IFERROR(MATCH($B141,Character_Creation!$J$350:$J$356,0),0)&gt;0,0,1)*IF(Character_Creation!$M$338&gt;0,1,0)</f>
        <v>0</v>
      </c>
      <c r="BS141">
        <f>IF(BR141=0,0,1+COUNTIF(BS$3:BS140,"&gt;0"))</f>
        <v>0</v>
      </c>
      <c r="BT141" t="str">
        <f t="shared" si="146"/>
        <v/>
      </c>
      <c r="BU141" t="str">
        <f t="shared" si="118"/>
        <v/>
      </c>
      <c r="BW141">
        <f>IF(IFERROR(SEARCH("Arcane Trickster",$T141,1),0)&gt;0,1,0)*IF(ArcaneTricksterMaxSpellLevel&gt;=$C141,1,0)*IF(IFERROR(MATCH($B141,Character_Creation!$J$350:$J$356,0),0)&gt;0,0,1)*IF(Character_Creation!$T$338&gt;0,1,0)</f>
        <v>0</v>
      </c>
      <c r="BX141">
        <f>IF(BW141=0,0,1+COUNTIF(BX$3:BX140,"&gt;0"))</f>
        <v>0</v>
      </c>
      <c r="BY141" t="str">
        <f t="shared" si="147"/>
        <v/>
      </c>
      <c r="BZ141" t="str">
        <f t="shared" si="119"/>
        <v/>
      </c>
      <c r="CB141">
        <f>IF(IFERROR(SEARCH("Wizard",$T141,1),0)&gt;0,1,0)*IF(C141&lt;=ArcaneTricksterMaxSpellLevel,1,0)*IF(IFERROR(MATCH($B141,Character_Creation!$J$350:$J$356,0),0)&gt;0,0,1)*IF(Character_Creation!$T$350&gt;0,1,0)</f>
        <v>0</v>
      </c>
      <c r="CC141">
        <f>IF(CB141=0,0,1+COUNTIF(CC$3:CC140,"&gt;0"))</f>
        <v>0</v>
      </c>
      <c r="CD141" t="str">
        <f t="shared" si="148"/>
        <v/>
      </c>
      <c r="CE141" t="str">
        <f t="shared" si="120"/>
        <v/>
      </c>
      <c r="CG141">
        <f>IF(IFERROR(SEARCH("Wizard",$T141,1),0)&gt;0,1,0)*IF($C141&lt;=EldritchKnightMaxSpellLevel,1,0)*IF(IFERROR(MATCH($B141,Character_Creation!$J$350:$J$356,0),0)&gt;0,0,1)*IF(Character_Creation!$M$350&gt;0,1,0)</f>
        <v>0</v>
      </c>
      <c r="CH141">
        <f>IF(CG141=0,0,1+COUNTIF(CH$3:CH140,"&gt;0"))</f>
        <v>0</v>
      </c>
      <c r="CI141" t="str">
        <f t="shared" si="149"/>
        <v/>
      </c>
      <c r="CJ141" t="str">
        <f t="shared" si="121"/>
        <v/>
      </c>
      <c r="CL141">
        <f>IF(IFERROR(SEARCH("Bard",$T141,1),0)&gt;0,1,0)*IF(BardMaxSpellLevel&gt;=$C141,1,0)*IF(IFERROR(MATCH(B141,Character_Creation!$C$341:$F$362,0),0)&gt;0,0,1)*IF(IFERROR(MATCH($B141,Character_Creation!$C$341:$C$362,0),0)&gt;0,0,1)</f>
        <v>0</v>
      </c>
      <c r="CM141">
        <f>IF(CL141=0,0,1+COUNTIF(CM$3:CM140,"&gt;0"))</f>
        <v>0</v>
      </c>
      <c r="CN141" t="str">
        <f t="shared" si="150"/>
        <v/>
      </c>
      <c r="CO141" t="str">
        <f t="shared" si="122"/>
        <v/>
      </c>
      <c r="CQ141">
        <f>IF(IFERROR(SEARCH("Wizard",$T141,1),0)&gt;0,1,0)*IF(WizardMaxSpellLevel&gt;=$C141,1,0)*IF(IFERROR(MATCH(B141,Character_Creation!$X$341:$X$400,0),0)&gt;0,0,1)*IF(SelectedWizardSpellLevel=$C141,1,0)</f>
        <v>0</v>
      </c>
      <c r="CR141">
        <f>IF(CQ141=0,0,1+COUNTIF(CR$3:CR140,"&gt;0"))</f>
        <v>0</v>
      </c>
      <c r="CS141" t="str">
        <f t="shared" si="151"/>
        <v/>
      </c>
      <c r="CT141" t="str">
        <f t="shared" si="123"/>
        <v/>
      </c>
      <c r="CV141">
        <f>IF(IFERROR(MATCH($B141,Character_Creation!$C$341:$C$362,0),0)&gt;0,0,1)*IF(OR(C141="Cantrip",C141&lt;=BardMaxSpellLevel),1,0)*IF(IFERROR(MATCH($B141,Character_Creation!$C$367:$C$374,0),0)&gt;0,0,1)</f>
        <v>0</v>
      </c>
      <c r="CW141">
        <f>IF(CV141=0,0,1+COUNTIF(CW$3:CW140,"&gt;0"))</f>
        <v>0</v>
      </c>
      <c r="CX141" t="str">
        <f t="shared" si="152"/>
        <v/>
      </c>
      <c r="CY141" t="str">
        <f t="shared" si="124"/>
        <v/>
      </c>
      <c r="DA141">
        <f>IF(IF(OR(IFERROR(SEARCH("Cleric",$T141,1),0)&gt;0,IFERROR(SEARCH(DivineDomain&amp;",",$T141,1),0)&gt;0),1,0)*IF($C141=DA$2,1,0)=1,1+COUNTIF(DA$3:DA140,"&gt;0"),0)</f>
        <v>0</v>
      </c>
      <c r="DB141">
        <f>IF(IF(OR(IFERROR(SEARCH("Cleric",$T141,1),0)&gt;0,IFERROR(SEARCH(DivineDomain&amp;",",$T141,1),0)&gt;0),1,0)*IF($C141=DB$2,1,0)=1,1+COUNTIF(DB$3:DB140,"&gt;0"),0)</f>
        <v>0</v>
      </c>
      <c r="DC141">
        <f>IF(IF(OR(IFERROR(SEARCH("Cleric",$T141,1),0)&gt;0,IFERROR(SEARCH(DivineDomain&amp;",",$T141,1),0)&gt;0),1,0)*IF($C141=DC$2,1,0)=1,1+COUNTIF(DC$3:DC140,"&gt;0"),0)</f>
        <v>0</v>
      </c>
      <c r="DD141">
        <f>IF(IF(OR(IFERROR(SEARCH("Cleric",$T141,1),0)&gt;0,IFERROR(SEARCH(DivineDomain&amp;",",$T141,1),0)&gt;0),1,0)*IF($C141=DD$2,1,0)=1,1+COUNTIF(DD$3:DD140,"&gt;0"),0)</f>
        <v>0</v>
      </c>
      <c r="DE141">
        <f>IF(IF(OR(IFERROR(SEARCH("Cleric",$T141,1),0)&gt;0,IFERROR(SEARCH(DivineDomain&amp;",",$T141,1),0)&gt;0),1,0)*IF($C141=DE$2,1,0)=1,1+COUNTIF(DE$3:DE140,"&gt;0"),0)</f>
        <v>0</v>
      </c>
      <c r="DF141">
        <f>IF(IF(OR(IFERROR(SEARCH("Cleric",$T141,1),0)&gt;0,IFERROR(SEARCH(DivineDomain&amp;",",$T141,1),0)&gt;0),1,0)*IF($C141=DF$2,1,0)=1,1+COUNTIF(DF$3:DF140,"&gt;0"),0)</f>
        <v>0</v>
      </c>
      <c r="DG141">
        <f>IF(IF(OR(IFERROR(SEARCH("Cleric",$T141,1),0)&gt;0,IFERROR(SEARCH(DivineDomain&amp;",",$T141,1),0)&gt;0),1,0)*IF($C141=DG$2,1,0)=1,1+COUNTIF(DG$3:DG140,"&gt;0"),0)</f>
        <v>4</v>
      </c>
      <c r="DH141">
        <f>IF(IF(OR(IFERROR(SEARCH("Cleric",$T141,1),0)&gt;0,IFERROR(SEARCH(DivineDomain&amp;",",$T141,1),0)&gt;0),1,0)*IF($C141=DH$2,1,0)=1,1+COUNTIF(DH$3:DH140,"&gt;0"),0)</f>
        <v>0</v>
      </c>
      <c r="DI141">
        <f>IF(IF(OR(IFERROR(SEARCH("Cleric",$T141,1),0)&gt;0,IFERROR(SEARCH(DivineDomain&amp;",",$T141,1),0)&gt;0),1,0)*IF($C141=DI$2,1,0)=1,1+COUNTIF(DI$3:DI140,"&gt;0"),0)</f>
        <v>0</v>
      </c>
      <c r="DJ141">
        <f>IF(IF(OR(IFERROR(SEARCH("Druid",$T141,1),0)&gt;0,IFERROR(SEARCH(DruidLand1,$T141,1),0)&gt;0,IFERROR(SEARCH(DruidLand2,$T141,1),0)&gt;0,IFERROR(SEARCH(DruidLand3,$T141,1),0)&gt;0,IFERROR(SEARCH(DruidLand4,$T141,1),0)&gt;0),1,0)*IF($C141=1,1,0)*IF($C141=DJ$2,1,0)=0,0,1+COUNTIF(DJ$3:DJ140,"&gt;0"))</f>
        <v>0</v>
      </c>
      <c r="DK141">
        <f>IF(IF(OR(IFERROR(SEARCH("Druid",$T141,1),0)&gt;0,IFERROR(SEARCH(DruidLand1,$T141,1),0)&gt;0,IFERROR(SEARCH(DruidLand2,$T141,1),0)&gt;0,IFERROR(SEARCH(DruidLand3,$T141,1),0)&gt;0,IFERROR(SEARCH(DruidLand4,$T141,1),0)&gt;0),1,0)*IF($C141=DK$2,1,0)=0,0,1+COUNTIF(DK$3:DK140,"&gt;0"))</f>
        <v>0</v>
      </c>
      <c r="DL141">
        <f>IF(IF(OR(IFERROR(SEARCH("Druid",$T141,1),0)&gt;0,IFERROR(SEARCH(DruidLand1,$T141,1),0)&gt;0,IFERROR(SEARCH(DruidLand2,$T141,1),0)&gt;0,IFERROR(SEARCH(DruidLand3,$T141,1),0)&gt;0,IFERROR(SEARCH(DruidLand4,$T141,1),0)&gt;0),1,0)*IF($C141=DL$2,1,0)=0,0,1+COUNTIF(DL$3:DL140,"&gt;0"))</f>
        <v>0</v>
      </c>
      <c r="DM141">
        <f>IF(IF(OR(IFERROR(SEARCH("Druid",$T141,1),0)&gt;0,IFERROR(SEARCH(DruidLand1,$T141,1),0)&gt;0,IFERROR(SEARCH(DruidLand2,$T141,1),0)&gt;0,IFERROR(SEARCH(DruidLand3,$T141,1),0)&gt;0,IFERROR(SEARCH(DruidLand4,$T141,1),0)&gt;0),1,0)*IF($C141=DM$2,1,0)=0,0,1+COUNTIF(DM$3:DM140,"&gt;0"))</f>
        <v>0</v>
      </c>
      <c r="DN141">
        <f>IF(IF(OR(IFERROR(SEARCH("Druid",$T141,1),0)&gt;0,IFERROR(SEARCH(DruidLand1,$T141,1),0)&gt;0,IFERROR(SEARCH(DruidLand2,$T141,1),0)&gt;0,IFERROR(SEARCH(DruidLand3,$T141,1),0)&gt;0,IFERROR(SEARCH(DruidLand4,$T141,1),0)&gt;0),1,0)*IF($C141=DN$2,1,0)=0,0,1+COUNTIF(DN$3:DN140,"&gt;0"))</f>
        <v>0</v>
      </c>
      <c r="DO141">
        <f>IF(IF(OR(IFERROR(SEARCH("Druid",$T141,1),0)&gt;0,IFERROR(SEARCH(DruidLand1,$T141,1),0)&gt;0,IFERROR(SEARCH(DruidLand2,$T141,1),0)&gt;0,IFERROR(SEARCH(DruidLand3,$T141,1),0)&gt;0,IFERROR(SEARCH(DruidLand4,$T141,1),0)&gt;0),1,0)*IF($C141=DO$2,1,0)=0,0,1+COUNTIF(DO$3:DO140,"&gt;0"))</f>
        <v>0</v>
      </c>
      <c r="DP141">
        <f>IF(IF(OR(IFERROR(SEARCH("Druid",$T141,1),0)&gt;0,IFERROR(SEARCH(DruidLand1,$T141,1),0)&gt;0,IFERROR(SEARCH(DruidLand2,$T141,1),0)&gt;0,IFERROR(SEARCH(DruidLand3,$T141,1),0)&gt;0,IFERROR(SEARCH(DruidLand4,$T141,1),0)&gt;0),1,0)*IF($C141=DP$2,1,0)=0,0,1+COUNTIF(DP$3:DP140,"&gt;0"))</f>
        <v>1</v>
      </c>
      <c r="DQ141">
        <f>IF(IF(OR(IFERROR(SEARCH("Druid",$T141,1),0)&gt;0,IFERROR(SEARCH(DruidLand1,$T141,1),0)&gt;0,IFERROR(SEARCH(DruidLand2,$T141,1),0)&gt;0,IFERROR(SEARCH(DruidLand3,$T141,1),0)&gt;0,IFERROR(SEARCH(DruidLand4,$T141,1),0)&gt;0),1,0)*IF($C141=DQ$2,1,0)=0,0,1+COUNTIF(DQ$3:DQ140,"&gt;0"))</f>
        <v>0</v>
      </c>
      <c r="DR141">
        <f>IF(IF(OR(IFERROR(SEARCH("Druid",$T141,1),0)&gt;0,IFERROR(SEARCH(DruidLand1,$T141,1),0)&gt;0,IFERROR(SEARCH(DruidLand2,$T141,1),0)&gt;0,IFERROR(SEARCH(DruidLand3,$T141,1),0)&gt;0,IFERROR(SEARCH(DruidLand4,$T141,1),0)&gt;0),1,0)*IF($C141=DR$2,1,0)=0,0,1+COUNTIF(DR$3:DR140,"&gt;0"))</f>
        <v>0</v>
      </c>
      <c r="DS141">
        <f>IF(IF(OR(IFERROR(SEARCH("Paladin",$T141,1),0)&gt;0,IFERROR(SEARCH(PaladinOath,$T141,1),0)&gt;0),1,0)*IF($C141=DS$2,1,0)=1,1+COUNTIF(DS$3:DS140,"&gt;0"),0)</f>
        <v>0</v>
      </c>
      <c r="DT141">
        <f>IF(IF(OR(IFERROR(SEARCH("Paladin",$T141,1),0)&gt;0,IFERROR(SEARCH(PaladinOath,$T141,1),0)&gt;0),1,0)*IF($C141=DT$2,1,0)=1,1+COUNTIF(DT$3:DT140,"&gt;0"),0)</f>
        <v>0</v>
      </c>
      <c r="DU141">
        <f>IF(IF(OR(IFERROR(SEARCH("Paladin",$T141,1),0)&gt;0,IFERROR(SEARCH(PaladinOath,$T141,1),0)&gt;0),1,0)*IF($C141=DU$2,1,0)=1,1+COUNTIF(DU$3:DU140,"&gt;0"),0)</f>
        <v>0</v>
      </c>
      <c r="DV141">
        <f>IF(IF(OR(IFERROR(SEARCH("Paladin",$T141,1),0)&gt;0,IFERROR(SEARCH(PaladinOath,$T141,1),0)&gt;0),1,0)*IF($C141=DV$2,1,0)=1,1+COUNTIF(DV$3:DV140,"&gt;0"),0)</f>
        <v>0</v>
      </c>
      <c r="DW141">
        <f>IF(IF(OR(IFERROR(SEARCH("Paladin",$T141,1),0)&gt;0,IFERROR(SEARCH(PaladinOath,$T141,1),0)&gt;0),1,0)*IF($C141=DW$2,1,0)=1,1+COUNTIF(DW$3:DW140,"&gt;0"),0)</f>
        <v>0</v>
      </c>
      <c r="DY141">
        <f t="shared" si="111"/>
        <v>1</v>
      </c>
      <c r="DZ141">
        <f>IF(DY141=0,0,1+MAX(DZ$3:$DZ140))</f>
        <v>139</v>
      </c>
      <c r="EB141">
        <f t="shared" si="125"/>
        <v>0</v>
      </c>
      <c r="EC141">
        <f>IF(EB141=0,0,1+COUNTIF(EC$3:EC140,"&gt;0"))</f>
        <v>0</v>
      </c>
      <c r="ED141" t="str">
        <f t="shared" si="153"/>
        <v/>
      </c>
      <c r="EE141" t="str">
        <f t="shared" si="126"/>
        <v/>
      </c>
      <c r="EG141">
        <f t="shared" si="127"/>
        <v>0</v>
      </c>
      <c r="EH141">
        <f>IF(EG141=0,0,1+COUNTIF(EH$3:EH140,"&gt;0"))</f>
        <v>0</v>
      </c>
      <c r="EI141" t="str">
        <f t="shared" si="154"/>
        <v/>
      </c>
      <c r="EJ141" t="str">
        <f t="shared" si="128"/>
        <v/>
      </c>
      <c r="EL141">
        <f t="shared" si="129"/>
        <v>0</v>
      </c>
      <c r="EM141">
        <f>IF(EL141=0,0,1+COUNTIF(EM$3:EM140,"&gt;0"))</f>
        <v>0</v>
      </c>
      <c r="EN141" t="str">
        <f t="shared" si="155"/>
        <v/>
      </c>
      <c r="EO141" t="str">
        <f t="shared" si="130"/>
        <v/>
      </c>
      <c r="EQ141">
        <f t="shared" si="131"/>
        <v>0</v>
      </c>
      <c r="ER141">
        <f>IF(EQ141=0,0,1+COUNTIF(ER$3:ER140,"&gt;0"))</f>
        <v>0</v>
      </c>
      <c r="ES141" t="str">
        <f t="shared" si="156"/>
        <v/>
      </c>
      <c r="ET141" t="str">
        <f t="shared" si="132"/>
        <v/>
      </c>
      <c r="EV141">
        <f t="shared" si="133"/>
        <v>0</v>
      </c>
      <c r="EW141">
        <f>IF(EV141=0,0,1+COUNTIF(EW$3:EW140,"&gt;0"))</f>
        <v>0</v>
      </c>
      <c r="EX141" t="str">
        <f t="shared" si="157"/>
        <v/>
      </c>
      <c r="EY141" t="str">
        <f t="shared" si="134"/>
        <v/>
      </c>
      <c r="FA141">
        <f t="shared" si="135"/>
        <v>0</v>
      </c>
      <c r="FB141">
        <f>IF(FA141=0,0,1+COUNTIF(FB$3:FB140,"&gt;0"))</f>
        <v>0</v>
      </c>
      <c r="FC141" t="str">
        <f t="shared" si="158"/>
        <v/>
      </c>
      <c r="FD141" t="str">
        <f t="shared" si="136"/>
        <v/>
      </c>
      <c r="FF141">
        <f t="shared" si="137"/>
        <v>0</v>
      </c>
      <c r="FG141">
        <f>IF(FF141=0,0,1+COUNTIF(FG$3:FG140,"&gt;0"))</f>
        <v>0</v>
      </c>
      <c r="FH141" t="str">
        <f t="shared" si="159"/>
        <v/>
      </c>
      <c r="FI141" t="str">
        <f t="shared" si="138"/>
        <v/>
      </c>
      <c r="FK141">
        <f t="shared" si="139"/>
        <v>0</v>
      </c>
      <c r="FL141">
        <f>IF(FK141=0,0,1+COUNTIF(FL$3:FL140,"&gt;0"))</f>
        <v>0</v>
      </c>
      <c r="FM141" t="str">
        <f t="shared" si="160"/>
        <v/>
      </c>
      <c r="FN141" t="str">
        <f t="shared" si="140"/>
        <v/>
      </c>
      <c r="FP141">
        <f t="shared" si="141"/>
        <v>0</v>
      </c>
      <c r="FQ141">
        <f>IF(FP141=0,0,1+COUNTIF(FQ$3:FQ140,"&gt;0"))</f>
        <v>0</v>
      </c>
      <c r="FR141" t="str">
        <f t="shared" si="161"/>
        <v/>
      </c>
      <c r="FS141" t="str">
        <f t="shared" si="142"/>
        <v/>
      </c>
    </row>
    <row r="142" spans="1:175" x14ac:dyDescent="0.25">
      <c r="A142" s="347">
        <f t="shared" si="162"/>
        <v>140</v>
      </c>
      <c r="B142" s="348" t="s">
        <v>2508</v>
      </c>
      <c r="C142" s="348">
        <v>3</v>
      </c>
      <c r="D142" s="347">
        <v>3</v>
      </c>
      <c r="E142" s="627" t="s">
        <v>6952</v>
      </c>
      <c r="F142" s="346"/>
      <c r="G142" s="347" t="str">
        <f>""</f>
        <v/>
      </c>
      <c r="H142" s="347" t="s">
        <v>5912</v>
      </c>
      <c r="I142" s="347" t="s">
        <v>5315</v>
      </c>
      <c r="J142" s="347" t="str">
        <f t="shared" si="112"/>
        <v/>
      </c>
      <c r="K142" s="347" t="s">
        <v>5278</v>
      </c>
      <c r="L142" s="611" t="str">
        <f t="shared" si="113"/>
        <v>V, S, M, a tiny ball of bat guano and sulfur</v>
      </c>
      <c r="M142" s="347" t="s">
        <v>2373</v>
      </c>
      <c r="N142" s="347" t="s">
        <v>2387</v>
      </c>
      <c r="O142" s="347" t="s">
        <v>1244</v>
      </c>
      <c r="P142" s="346" t="s">
        <v>5348</v>
      </c>
      <c r="Q142" s="347" t="s">
        <v>5273</v>
      </c>
      <c r="S142" s="346" t="s">
        <v>5697</v>
      </c>
      <c r="T142" s="346" t="str">
        <f t="shared" si="114"/>
        <v xml:space="preserve">Sorcerer, Eldritch Knight, Wizard, Archfiend, Light, </v>
      </c>
      <c r="X142" s="347" t="str">
        <f>$B142</f>
        <v>Fireball</v>
      </c>
      <c r="AB142" s="542" t="str">
        <f>AD142</f>
        <v>Fireball</v>
      </c>
      <c r="AD142" s="347" t="str">
        <f>$B142</f>
        <v>Fireball</v>
      </c>
      <c r="AE142" t="str">
        <f>IF(IFERROR(MATCH($B142,temp!A$4:A$13,0),0)&gt;0,T08_Spells!AE$2,"")</f>
        <v/>
      </c>
      <c r="AF142" t="str">
        <f>IF(IFERROR(MATCH($B142,temp!B$4:B$13,0),0)&gt;0,T08_Spells!AF$2,"")</f>
        <v/>
      </c>
      <c r="AG142" t="str">
        <f>IF(IFERROR(MATCH($B142,temp!C$4:C$13,0),0)&gt;0,T08_Spells!AG$2,"")</f>
        <v/>
      </c>
      <c r="AH142" t="str">
        <f>IF(IFERROR(MATCH($B142,temp!D$4:D$13,0),0)&gt;0,T08_Spells!AH$2,"")</f>
        <v/>
      </c>
      <c r="AI142" t="str">
        <f>IF(IFERROR(MATCH($B142,temp!E$4:E$13,0),0)&gt;0,T08_Spells!AI$2,"")</f>
        <v/>
      </c>
      <c r="AJ142" t="str">
        <f>IF(IFERROR(MATCH($B142,temp!F$4:F$13,0),0)&gt;0,T08_Spells!AJ$2,"")</f>
        <v>Archfiend</v>
      </c>
      <c r="AK142" t="str">
        <f>IF(IFERROR(MATCH($B142,temp!G$4:G$13,0),0)&gt;0,T08_Spells!AK$2,"")</f>
        <v/>
      </c>
      <c r="AL142" t="str">
        <f>IF(IFERROR(MATCH($B142,temp!H$4:H$13,0),0)&gt;0,T08_Spells!AL$2,"")</f>
        <v/>
      </c>
      <c r="AM142" t="str">
        <f>IF(IFERROR(MATCH($B142,temp!I$4:I$13,0),0)&gt;0,T08_Spells!AM$2,"")</f>
        <v/>
      </c>
      <c r="AN142" t="str">
        <f>IF(IFERROR(MATCH($B142,temp!J$4:J$13,0),0)&gt;0,T08_Spells!AN$2,"")</f>
        <v/>
      </c>
      <c r="AO142" t="str">
        <f>IF(IFERROR(MATCH($B142,temp!K$4:K$13,0),0)&gt;0,T08_Spells!AO$2,"")</f>
        <v/>
      </c>
      <c r="AP142" t="str">
        <f>IF(IFERROR(MATCH($B142,temp!L$4:L$13,0),0)&gt;0,T08_Spells!AP$2,"")</f>
        <v/>
      </c>
      <c r="AQ142" t="str">
        <f>IF(IFERROR(MATCH($B142,temp!M$4:M$13,0),0)&gt;0,T08_Spells!AQ$2,"")</f>
        <v/>
      </c>
      <c r="AR142" t="str">
        <f>IF(IFERROR(MATCH($B142,temp!N$4:N$13,0),0)&gt;0,T08_Spells!AR$2,"")</f>
        <v/>
      </c>
      <c r="AS142" t="str">
        <f>IF(IFERROR(MATCH($B142,temp!O$4:O$13,0),0)&gt;0,T08_Spells!AS$2,"")</f>
        <v/>
      </c>
      <c r="AT142" t="str">
        <f>IF(IFERROR(MATCH($B142,temp!P$4:P$13,0),0)&gt;0,T08_Spells!AT$2,"")</f>
        <v/>
      </c>
      <c r="AU142" t="str">
        <f>IF(IFERROR(MATCH($B142,temp!Q$4:Q$13,0),0)&gt;0,T08_Spells!AU$2,"")</f>
        <v/>
      </c>
      <c r="AV142" t="str">
        <f>IF(IFERROR(MATCH($B142,temp!R$4:R$13,0),0)&gt;0,T08_Spells!AV$2,"")</f>
        <v>Light</v>
      </c>
      <c r="AW142" t="str">
        <f>IF(IFERROR(MATCH($B142,temp!S$4:S$13,0),0)&gt;0,T08_Spells!AW$2,"")</f>
        <v/>
      </c>
      <c r="AX142" t="str">
        <f>IF(IFERROR(MATCH($B142,temp!T$4:T$13,0),0)&gt;0,T08_Spells!AX$2,"")</f>
        <v/>
      </c>
      <c r="AY142" t="str">
        <f>IF(IFERROR(MATCH($B142,temp!U$4:U$13,0),0)&gt;0,T08_Spells!AY$2,"")</f>
        <v/>
      </c>
      <c r="AZ142" t="str">
        <f>IF(IFERROR(MATCH($B142,temp!V$4:V$13,0),0)&gt;0,T08_Spells!AZ$2,"")</f>
        <v/>
      </c>
      <c r="BA142" t="str">
        <f>IF(IFERROR(MATCH($B142,temp!W$4:W$13,0),0)&gt;0,T08_Spells!BA$2,"")</f>
        <v/>
      </c>
      <c r="BC142">
        <f>IF(IFERROR(SEARCH("Ranger",$T142,1),0)&gt;0,1,0)*IF(RangerMaxSpellLevel&gt;=$C142,1,0)*IF(IFERROR(MATCH(B142,Character_Creation!$X$79:$X$382,0),0)&gt;0,0,1)</f>
        <v>0</v>
      </c>
      <c r="BD142">
        <f>IF(BC142=0,0,1+COUNTIF(BD$3:BD141,"&gt;0"))</f>
        <v>0</v>
      </c>
      <c r="BE142" t="str">
        <f t="shared" si="143"/>
        <v/>
      </c>
      <c r="BF142" t="str">
        <f t="shared" si="115"/>
        <v/>
      </c>
      <c r="BH142">
        <f>IF(IFERROR(SEARCH("Sorcerer",$T142,1),0)&gt;0,1,0)*IF(SorcererMaxSpellLevel&gt;=$C142,1,0)*IF(IFERROR(MATCH(B142,Character_Creation!$J$380:$J$394,0),0)&gt;0,0,1)</f>
        <v>0</v>
      </c>
      <c r="BI142">
        <f>IF(BH142=0,0,1+COUNTIF(BI$3:BI141,"&gt;0"))</f>
        <v>0</v>
      </c>
      <c r="BJ142" t="str">
        <f t="shared" si="144"/>
        <v/>
      </c>
      <c r="BK142" t="str">
        <f t="shared" si="116"/>
        <v/>
      </c>
      <c r="BM142">
        <f>IF(OR(IFERROR(SEARCH("Warlock",$T142,1),0)&gt;0,IFERROR(SEARCH(WarlockPatron,$T142,1),0)&gt;0),1,0)*IF(WarlockMaxSpellLevel&gt;=$C142,1,0)*IF(IFERROR(MATCH(B142,Character_Creation!$J$361:$J$375,0),0)&gt;0,0,1)</f>
        <v>0</v>
      </c>
      <c r="BN142">
        <f>IF(BM142=0,0,1+COUNTIF(BN$3:BN141,"&gt;0"))</f>
        <v>0</v>
      </c>
      <c r="BO142" t="str">
        <f t="shared" si="145"/>
        <v/>
      </c>
      <c r="BP142" t="str">
        <f t="shared" si="117"/>
        <v/>
      </c>
      <c r="BR142">
        <f>IF(IFERROR(SEARCH("Eldritch Knight",$T142,1),0)&gt;0,1,0)*IF(EldritchKnightMaxSpellLevel&gt;=$C142,1,0)*IF(IFERROR(MATCH($B142,Character_Creation!$J$350:$J$356,0),0)&gt;0,0,1)*IF(Character_Creation!$M$338&gt;0,1,0)</f>
        <v>0</v>
      </c>
      <c r="BS142">
        <f>IF(BR142=0,0,1+COUNTIF(BS$3:BS141,"&gt;0"))</f>
        <v>0</v>
      </c>
      <c r="BT142" t="str">
        <f t="shared" si="146"/>
        <v/>
      </c>
      <c r="BU142" t="str">
        <f t="shared" si="118"/>
        <v/>
      </c>
      <c r="BW142">
        <f>IF(IFERROR(SEARCH("Arcane Trickster",$T142,1),0)&gt;0,1,0)*IF(ArcaneTricksterMaxSpellLevel&gt;=$C142,1,0)*IF(IFERROR(MATCH($B142,Character_Creation!$J$350:$J$356,0),0)&gt;0,0,1)*IF(Character_Creation!$T$338&gt;0,1,0)</f>
        <v>0</v>
      </c>
      <c r="BX142">
        <f>IF(BW142=0,0,1+COUNTIF(BX$3:BX141,"&gt;0"))</f>
        <v>0</v>
      </c>
      <c r="BY142" t="str">
        <f t="shared" si="147"/>
        <v/>
      </c>
      <c r="BZ142" t="str">
        <f t="shared" si="119"/>
        <v/>
      </c>
      <c r="CB142">
        <f>IF(IFERROR(SEARCH("Wizard",$T142,1),0)&gt;0,1,0)*IF(C142&lt;=ArcaneTricksterMaxSpellLevel,1,0)*IF(IFERROR(MATCH($B142,Character_Creation!$J$350:$J$356,0),0)&gt;0,0,1)*IF(Character_Creation!$T$350&gt;0,1,0)</f>
        <v>0</v>
      </c>
      <c r="CC142">
        <f>IF(CB142=0,0,1+COUNTIF(CC$3:CC141,"&gt;0"))</f>
        <v>0</v>
      </c>
      <c r="CD142" t="str">
        <f t="shared" si="148"/>
        <v/>
      </c>
      <c r="CE142" t="str">
        <f t="shared" si="120"/>
        <v/>
      </c>
      <c r="CG142">
        <f>IF(IFERROR(SEARCH("Wizard",$T142,1),0)&gt;0,1,0)*IF($C142&lt;=EldritchKnightMaxSpellLevel,1,0)*IF(IFERROR(MATCH($B142,Character_Creation!$J$350:$J$356,0),0)&gt;0,0,1)*IF(Character_Creation!$M$350&gt;0,1,0)</f>
        <v>0</v>
      </c>
      <c r="CH142">
        <f>IF(CG142=0,0,1+COUNTIF(CH$3:CH141,"&gt;0"))</f>
        <v>0</v>
      </c>
      <c r="CI142" t="str">
        <f t="shared" si="149"/>
        <v/>
      </c>
      <c r="CJ142" t="str">
        <f t="shared" si="121"/>
        <v/>
      </c>
      <c r="CL142">
        <f>IF(IFERROR(SEARCH("Bard",$T142,1),0)&gt;0,1,0)*IF(BardMaxSpellLevel&gt;=$C142,1,0)*IF(IFERROR(MATCH(B142,Character_Creation!$C$341:$F$362,0),0)&gt;0,0,1)*IF(IFERROR(MATCH($B142,Character_Creation!$C$341:$C$362,0),0)&gt;0,0,1)</f>
        <v>0</v>
      </c>
      <c r="CM142">
        <f>IF(CL142=0,0,1+COUNTIF(CM$3:CM141,"&gt;0"))</f>
        <v>0</v>
      </c>
      <c r="CN142" t="str">
        <f t="shared" si="150"/>
        <v/>
      </c>
      <c r="CO142" t="str">
        <f t="shared" si="122"/>
        <v/>
      </c>
      <c r="CQ142">
        <f>IF(IFERROR(SEARCH("Wizard",$T142,1),0)&gt;0,1,0)*IF(WizardMaxSpellLevel&gt;=$C142,1,0)*IF(IFERROR(MATCH(B142,Character_Creation!$X$341:$X$400,0),0)&gt;0,0,1)*IF(SelectedWizardSpellLevel=$C142,1,0)</f>
        <v>1</v>
      </c>
      <c r="CR142">
        <f>IF(CQ142=0,0,1+COUNTIF(CR$3:CR141,"&gt;0"))</f>
        <v>9</v>
      </c>
      <c r="CS142" t="str">
        <f t="shared" si="151"/>
        <v/>
      </c>
      <c r="CT142" t="str">
        <f t="shared" si="123"/>
        <v/>
      </c>
      <c r="CV142">
        <f>IF(IFERROR(MATCH($B142,Character_Creation!$C$341:$C$362,0),0)&gt;0,0,1)*IF(OR(C142="Cantrip",C142&lt;=BardMaxSpellLevel),1,0)*IF(IFERROR(MATCH($B142,Character_Creation!$C$367:$C$374,0),0)&gt;0,0,1)</f>
        <v>0</v>
      </c>
      <c r="CW142">
        <f>IF(CV142=0,0,1+COUNTIF(CW$3:CW141,"&gt;0"))</f>
        <v>0</v>
      </c>
      <c r="CX142" t="str">
        <f t="shared" si="152"/>
        <v/>
      </c>
      <c r="CY142" t="str">
        <f t="shared" si="124"/>
        <v/>
      </c>
      <c r="DA142">
        <f>IF(IF(OR(IFERROR(SEARCH("Cleric",$T142,1),0)&gt;0,IFERROR(SEARCH(DivineDomain&amp;",",$T142,1),0)&gt;0),1,0)*IF($C142=DA$2,1,0)=1,1+COUNTIF(DA$3:DA141,"&gt;0"),0)</f>
        <v>0</v>
      </c>
      <c r="DB142">
        <f>IF(IF(OR(IFERROR(SEARCH("Cleric",$T142,1),0)&gt;0,IFERROR(SEARCH(DivineDomain&amp;",",$T142,1),0)&gt;0),1,0)*IF($C142=DB$2,1,0)=1,1+COUNTIF(DB$3:DB141,"&gt;0"),0)</f>
        <v>0</v>
      </c>
      <c r="DC142">
        <f>IF(IF(OR(IFERROR(SEARCH("Cleric",$T142,1),0)&gt;0,IFERROR(SEARCH(DivineDomain&amp;",",$T142,1),0)&gt;0),1,0)*IF($C142=DC$2,1,0)=1,1+COUNTIF(DC$3:DC141,"&gt;0"),0)</f>
        <v>0</v>
      </c>
      <c r="DD142">
        <f>IF(IF(OR(IFERROR(SEARCH("Cleric",$T142,1),0)&gt;0,IFERROR(SEARCH(DivineDomain&amp;",",$T142,1),0)&gt;0),1,0)*IF($C142=DD$2,1,0)=1,1+COUNTIF(DD$3:DD141,"&gt;0"),0)</f>
        <v>0</v>
      </c>
      <c r="DE142">
        <f>IF(IF(OR(IFERROR(SEARCH("Cleric",$T142,1),0)&gt;0,IFERROR(SEARCH(DivineDomain&amp;",",$T142,1),0)&gt;0),1,0)*IF($C142=DE$2,1,0)=1,1+COUNTIF(DE$3:DE141,"&gt;0"),0)</f>
        <v>0</v>
      </c>
      <c r="DF142">
        <f>IF(IF(OR(IFERROR(SEARCH("Cleric",$T142,1),0)&gt;0,IFERROR(SEARCH(DivineDomain&amp;",",$T142,1),0)&gt;0),1,0)*IF($C142=DF$2,1,0)=1,1+COUNTIF(DF$3:DF141,"&gt;0"),0)</f>
        <v>0</v>
      </c>
      <c r="DG142">
        <f>IF(IF(OR(IFERROR(SEARCH("Cleric",$T142,1),0)&gt;0,IFERROR(SEARCH(DivineDomain&amp;",",$T142,1),0)&gt;0),1,0)*IF($C142=DG$2,1,0)=1,1+COUNTIF(DG$3:DG141,"&gt;0"),0)</f>
        <v>0</v>
      </c>
      <c r="DH142">
        <f>IF(IF(OR(IFERROR(SEARCH("Cleric",$T142,1),0)&gt;0,IFERROR(SEARCH(DivineDomain&amp;",",$T142,1),0)&gt;0),1,0)*IF($C142=DH$2,1,0)=1,1+COUNTIF(DH$3:DH141,"&gt;0"),0)</f>
        <v>0</v>
      </c>
      <c r="DI142">
        <f>IF(IF(OR(IFERROR(SEARCH("Cleric",$T142,1),0)&gt;0,IFERROR(SEARCH(DivineDomain&amp;",",$T142,1),0)&gt;0),1,0)*IF($C142=DI$2,1,0)=1,1+COUNTIF(DI$3:DI141,"&gt;0"),0)</f>
        <v>0</v>
      </c>
      <c r="DJ142">
        <f>IF(IF(OR(IFERROR(SEARCH("Druid",$T142,1),0)&gt;0,IFERROR(SEARCH(DruidLand1,$T142,1),0)&gt;0,IFERROR(SEARCH(DruidLand2,$T142,1),0)&gt;0,IFERROR(SEARCH(DruidLand3,$T142,1),0)&gt;0,IFERROR(SEARCH(DruidLand4,$T142,1),0)&gt;0),1,0)*IF($C142=1,1,0)*IF($C142=DJ$2,1,0)=0,0,1+COUNTIF(DJ$3:DJ141,"&gt;0"))</f>
        <v>0</v>
      </c>
      <c r="DK142">
        <f>IF(IF(OR(IFERROR(SEARCH("Druid",$T142,1),0)&gt;0,IFERROR(SEARCH(DruidLand1,$T142,1),0)&gt;0,IFERROR(SEARCH(DruidLand2,$T142,1),0)&gt;0,IFERROR(SEARCH(DruidLand3,$T142,1),0)&gt;0,IFERROR(SEARCH(DruidLand4,$T142,1),0)&gt;0),1,0)*IF($C142=1,1,0)*IF($C142=DK$2,1,0)=0,0,1+COUNTIF(DK$3:DK141,"&gt;0"))</f>
        <v>0</v>
      </c>
      <c r="DL142">
        <f>IF(IF(OR(IFERROR(SEARCH("Druid",$T142,1),0)&gt;0,IFERROR(SEARCH(DruidLand1,$T142,1),0)&gt;0,IFERROR(SEARCH(DruidLand2,$T142,1),0)&gt;0,IFERROR(SEARCH(DruidLand3,$T142,1),0)&gt;0,IFERROR(SEARCH(DruidLand4,$T142,1),0)&gt;0),1,0)*IF($C142=1,1,0)*IF($C142=DL$2,1,0)=0,0,1+COUNTIF(DL$3:DL141,"&gt;0"))</f>
        <v>0</v>
      </c>
      <c r="DM142">
        <f>IF(IF(OR(IFERROR(SEARCH("Druid",$T142,1),0)&gt;0,IFERROR(SEARCH(DruidLand1,$T142,1),0)&gt;0,IFERROR(SEARCH(DruidLand2,$T142,1),0)&gt;0,IFERROR(SEARCH(DruidLand3,$T142,1),0)&gt;0,IFERROR(SEARCH(DruidLand4,$T142,1),0)&gt;0),1,0)*IF($C142=1,1,0)*IF($C142=DM$2,1,0)=0,0,1+COUNTIF(DM$3:DM141,"&gt;0"))</f>
        <v>0</v>
      </c>
      <c r="DN142">
        <f>IF(IF(OR(IFERROR(SEARCH("Druid",$T142,1),0)&gt;0,IFERROR(SEARCH(DruidLand1,$T142,1),0)&gt;0,IFERROR(SEARCH(DruidLand2,$T142,1),0)&gt;0,IFERROR(SEARCH(DruidLand3,$T142,1),0)&gt;0,IFERROR(SEARCH(DruidLand4,$T142,1),0)&gt;0),1,0)*IF($C142=1,1,0)*IF($C142=DN$2,1,0)=0,0,1+COUNTIF(DN$3:DN141,"&gt;0"))</f>
        <v>0</v>
      </c>
      <c r="DO142">
        <f>IF(IF(OR(IFERROR(SEARCH("Druid",$T142,1),0)&gt;0,IFERROR(SEARCH(DruidLand1,$T142,1),0)&gt;0,IFERROR(SEARCH(DruidLand2,$T142,1),0)&gt;0,IFERROR(SEARCH(DruidLand3,$T142,1),0)&gt;0,IFERROR(SEARCH(DruidLand4,$T142,1),0)&gt;0),1,0)*IF($C142=1,1,0)*IF($C142=DO$2,1,0)=0,0,1+COUNTIF(DO$3:DO141,"&gt;0"))</f>
        <v>0</v>
      </c>
      <c r="DP142">
        <f>IF(IF(OR(IFERROR(SEARCH("Druid",$T142,1),0)&gt;0,IFERROR(SEARCH(DruidLand1,$T142,1),0)&gt;0,IFERROR(SEARCH(DruidLand2,$T142,1),0)&gt;0,IFERROR(SEARCH(DruidLand3,$T142,1),0)&gt;0,IFERROR(SEARCH(DruidLand4,$T142,1),0)&gt;0),1,0)*IF($C142=1,1,0)*IF($C142=DP$2,1,0)=0,0,1+COUNTIF(DP$3:DP141,"&gt;0"))</f>
        <v>0</v>
      </c>
      <c r="DQ142">
        <f>IF(IF(OR(IFERROR(SEARCH("Druid",$T142,1),0)&gt;0,IFERROR(SEARCH(DruidLand1,$T142,1),0)&gt;0,IFERROR(SEARCH(DruidLand2,$T142,1),0)&gt;0,IFERROR(SEARCH(DruidLand3,$T142,1),0)&gt;0,IFERROR(SEARCH(DruidLand4,$T142,1),0)&gt;0),1,0)*IF($C142=1,1,0)*IF($C142=DQ$2,1,0)=0,0,1+COUNTIF(DQ$3:DQ141,"&gt;0"))</f>
        <v>0</v>
      </c>
      <c r="DR142">
        <f>IF(IF(OR(IFERROR(SEARCH("Druid",$T142,1),0)&gt;0,IFERROR(SEARCH(DruidLand1,$T142,1),0)&gt;0,IFERROR(SEARCH(DruidLand2,$T142,1),0)&gt;0,IFERROR(SEARCH(DruidLand3,$T142,1),0)&gt;0,IFERROR(SEARCH(DruidLand4,$T142,1),0)&gt;0),1,0)*IF($C142=1,1,0)*IF($C142=DR$2,1,0)=0,0,1+COUNTIF(DR$3:DR141,"&gt;0"))</f>
        <v>0</v>
      </c>
      <c r="DS142">
        <f>IF(IF(OR(IFERROR(SEARCH("Paladin",$T142,1),0)&gt;0,IFERROR(SEARCH(PaladinOath,$T142,1),0)&gt;0),1,0)*IF($C142=DS$2,1,0)=1,1+COUNTIF(DS$3:DS141,"&gt;0"),0)</f>
        <v>0</v>
      </c>
      <c r="DT142">
        <f>IF(IF(OR(IFERROR(SEARCH("Paladin",$T142,1),0)&gt;0,IFERROR(SEARCH(PaladinOath,$T142,1),0)&gt;0),1,0)*IF($C142=DT$2,1,0)=1,1+COUNTIF(DT$3:DT141,"&gt;0"),0)</f>
        <v>0</v>
      </c>
      <c r="DU142">
        <f>IF(IF(OR(IFERROR(SEARCH("Paladin",$T142,1),0)&gt;0,IFERROR(SEARCH(PaladinOath,$T142,1),0)&gt;0),1,0)*IF($C142=DU$2,1,0)=1,1+COUNTIF(DU$3:DU141,"&gt;0"),0)</f>
        <v>0</v>
      </c>
      <c r="DV142">
        <f>IF(IF(OR(IFERROR(SEARCH("Paladin",$T142,1),0)&gt;0,IFERROR(SEARCH(PaladinOath,$T142,1),0)&gt;0),1,0)*IF($C142=DV$2,1,0)=1,1+COUNTIF(DV$3:DV141,"&gt;0"),0)</f>
        <v>0</v>
      </c>
      <c r="DW142">
        <f>IF(IF(OR(IFERROR(SEARCH("Paladin",$T142,1),0)&gt;0,IFERROR(SEARCH(PaladinOath,$T142,1),0)&gt;0),1,0)*IF($C142=DW$2,1,0)=1,1+COUNTIF(DW$3:DW141,"&gt;0"),0)</f>
        <v>0</v>
      </c>
      <c r="DY142">
        <f t="shared" si="111"/>
        <v>1</v>
      </c>
      <c r="DZ142">
        <f>IF(DY142=0,0,1+MAX(DZ$3:$DZ141))</f>
        <v>140</v>
      </c>
      <c r="EB142">
        <f t="shared" si="125"/>
        <v>0</v>
      </c>
      <c r="EC142">
        <f>IF(EB142=0,0,1+COUNTIF(EC$3:EC141,"&gt;0"))</f>
        <v>0</v>
      </c>
      <c r="ED142" t="str">
        <f t="shared" si="153"/>
        <v/>
      </c>
      <c r="EE142" t="str">
        <f t="shared" si="126"/>
        <v/>
      </c>
      <c r="EG142">
        <f t="shared" si="127"/>
        <v>0</v>
      </c>
      <c r="EH142">
        <f>IF(EG142=0,0,1+COUNTIF(EH$3:EH141,"&gt;0"))</f>
        <v>0</v>
      </c>
      <c r="EI142" t="str">
        <f t="shared" si="154"/>
        <v/>
      </c>
      <c r="EJ142" t="str">
        <f t="shared" si="128"/>
        <v/>
      </c>
      <c r="EL142">
        <f t="shared" si="129"/>
        <v>0</v>
      </c>
      <c r="EM142">
        <f>IF(EL142=0,0,1+COUNTIF(EM$3:EM141,"&gt;0"))</f>
        <v>0</v>
      </c>
      <c r="EN142" t="str">
        <f t="shared" si="155"/>
        <v/>
      </c>
      <c r="EO142" t="str">
        <f t="shared" si="130"/>
        <v/>
      </c>
      <c r="EQ142">
        <f t="shared" si="131"/>
        <v>0</v>
      </c>
      <c r="ER142">
        <f>IF(EQ142=0,0,1+COUNTIF(ER$3:ER141,"&gt;0"))</f>
        <v>0</v>
      </c>
      <c r="ES142" t="str">
        <f t="shared" si="156"/>
        <v/>
      </c>
      <c r="ET142" t="str">
        <f t="shared" si="132"/>
        <v/>
      </c>
      <c r="EV142">
        <f t="shared" si="133"/>
        <v>0</v>
      </c>
      <c r="EW142">
        <f>IF(EV142=0,0,1+COUNTIF(EW$3:EW141,"&gt;0"))</f>
        <v>0</v>
      </c>
      <c r="EX142" t="str">
        <f t="shared" si="157"/>
        <v/>
      </c>
      <c r="EY142" t="str">
        <f t="shared" si="134"/>
        <v/>
      </c>
      <c r="FA142">
        <f t="shared" si="135"/>
        <v>0</v>
      </c>
      <c r="FB142">
        <f>IF(FA142=0,0,1+COUNTIF(FB$3:FB141,"&gt;0"))</f>
        <v>0</v>
      </c>
      <c r="FC142" t="str">
        <f t="shared" si="158"/>
        <v/>
      </c>
      <c r="FD142" t="str">
        <f t="shared" si="136"/>
        <v/>
      </c>
      <c r="FF142">
        <f t="shared" si="137"/>
        <v>0</v>
      </c>
      <c r="FG142">
        <f>IF(FF142=0,0,1+COUNTIF(FG$3:FG141,"&gt;0"))</f>
        <v>0</v>
      </c>
      <c r="FH142" t="str">
        <f t="shared" si="159"/>
        <v/>
      </c>
      <c r="FI142" t="str">
        <f t="shared" si="138"/>
        <v/>
      </c>
      <c r="FK142">
        <f t="shared" si="139"/>
        <v>0</v>
      </c>
      <c r="FL142">
        <f>IF(FK142=0,0,1+COUNTIF(FL$3:FL141,"&gt;0"))</f>
        <v>0</v>
      </c>
      <c r="FM142" t="str">
        <f t="shared" si="160"/>
        <v/>
      </c>
      <c r="FN142" t="str">
        <f t="shared" si="140"/>
        <v/>
      </c>
      <c r="FP142">
        <f t="shared" si="141"/>
        <v>0</v>
      </c>
      <c r="FQ142">
        <f>IF(FP142=0,0,1+COUNTIF(FQ$3:FQ141,"&gt;0"))</f>
        <v>0</v>
      </c>
      <c r="FR142" t="str">
        <f t="shared" si="161"/>
        <v/>
      </c>
      <c r="FS142" t="str">
        <f t="shared" si="142"/>
        <v/>
      </c>
    </row>
    <row r="143" spans="1:175" x14ac:dyDescent="0.25">
      <c r="A143" s="347">
        <f t="shared" si="162"/>
        <v>141</v>
      </c>
      <c r="B143" s="348" t="s">
        <v>2512</v>
      </c>
      <c r="C143" s="348">
        <v>2</v>
      </c>
      <c r="D143" s="347">
        <v>2</v>
      </c>
      <c r="E143" s="627" t="s">
        <v>6952</v>
      </c>
      <c r="F143" s="346"/>
      <c r="G143" s="347" t="str">
        <f>""</f>
        <v/>
      </c>
      <c r="H143" s="347" t="s">
        <v>5918</v>
      </c>
      <c r="I143" s="347" t="s">
        <v>5283</v>
      </c>
      <c r="J143" s="347" t="str">
        <f t="shared" si="112"/>
        <v/>
      </c>
      <c r="K143" s="347" t="s">
        <v>5297</v>
      </c>
      <c r="L143" s="611" t="str">
        <f t="shared" si="113"/>
        <v>V, S, M, leaf of sumac</v>
      </c>
      <c r="M143" s="347" t="s">
        <v>2373</v>
      </c>
      <c r="N143" s="347" t="s">
        <v>2387</v>
      </c>
      <c r="O143" s="347" t="s">
        <v>1244</v>
      </c>
      <c r="P143" s="346" t="s">
        <v>5371</v>
      </c>
      <c r="Q143" s="347" t="s">
        <v>5273</v>
      </c>
      <c r="S143" s="346" t="s">
        <v>5698</v>
      </c>
      <c r="T143" s="346" t="str">
        <f t="shared" si="114"/>
        <v xml:space="preserve">Druid, </v>
      </c>
      <c r="AA143" s="347" t="str">
        <f>$B143</f>
        <v>Flame Blade</v>
      </c>
      <c r="AE143" t="str">
        <f>IF(IFERROR(MATCH($B143,temp!A$4:A$13,0),0)&gt;0,T08_Spells!AE$2,"")</f>
        <v/>
      </c>
      <c r="AF143" t="str">
        <f>IF(IFERROR(MATCH($B143,temp!B$4:B$13,0),0)&gt;0,T08_Spells!AF$2,"")</f>
        <v/>
      </c>
      <c r="AG143" t="str">
        <f>IF(IFERROR(MATCH($B143,temp!C$4:C$13,0),0)&gt;0,T08_Spells!AG$2,"")</f>
        <v/>
      </c>
      <c r="AH143" t="str">
        <f>IF(IFERROR(MATCH($B143,temp!D$4:D$13,0),0)&gt;0,T08_Spells!AH$2,"")</f>
        <v/>
      </c>
      <c r="AI143" t="str">
        <f>IF(IFERROR(MATCH($B143,temp!E$4:E$13,0),0)&gt;0,T08_Spells!AI$2,"")</f>
        <v/>
      </c>
      <c r="AJ143" t="str">
        <f>IF(IFERROR(MATCH($B143,temp!F$4:F$13,0),0)&gt;0,T08_Spells!AJ$2,"")</f>
        <v/>
      </c>
      <c r="AK143" t="str">
        <f>IF(IFERROR(MATCH($B143,temp!G$4:G$13,0),0)&gt;0,T08_Spells!AK$2,"")</f>
        <v/>
      </c>
      <c r="AL143" t="str">
        <f>IF(IFERROR(MATCH($B143,temp!H$4:H$13,0),0)&gt;0,T08_Spells!AL$2,"")</f>
        <v/>
      </c>
      <c r="AM143" t="str">
        <f>IF(IFERROR(MATCH($B143,temp!I$4:I$13,0),0)&gt;0,T08_Spells!AM$2,"")</f>
        <v/>
      </c>
      <c r="AN143" t="str">
        <f>IF(IFERROR(MATCH($B143,temp!J$4:J$13,0),0)&gt;0,T08_Spells!AN$2,"")</f>
        <v/>
      </c>
      <c r="AO143" t="str">
        <f>IF(IFERROR(MATCH($B143,temp!K$4:K$13,0),0)&gt;0,T08_Spells!AO$2,"")</f>
        <v/>
      </c>
      <c r="AP143" t="str">
        <f>IF(IFERROR(MATCH($B143,temp!L$4:L$13,0),0)&gt;0,T08_Spells!AP$2,"")</f>
        <v/>
      </c>
      <c r="AQ143" t="str">
        <f>IF(IFERROR(MATCH($B143,temp!M$4:M$13,0),0)&gt;0,T08_Spells!AQ$2,"")</f>
        <v/>
      </c>
      <c r="AR143" t="str">
        <f>IF(IFERROR(MATCH($B143,temp!N$4:N$13,0),0)&gt;0,T08_Spells!AR$2,"")</f>
        <v/>
      </c>
      <c r="AS143" t="str">
        <f>IF(IFERROR(MATCH($B143,temp!O$4:O$13,0),0)&gt;0,T08_Spells!AS$2,"")</f>
        <v/>
      </c>
      <c r="AT143" t="str">
        <f>IF(IFERROR(MATCH($B143,temp!P$4:P$13,0),0)&gt;0,T08_Spells!AT$2,"")</f>
        <v/>
      </c>
      <c r="AU143" t="str">
        <f>IF(IFERROR(MATCH($B143,temp!Q$4:Q$13,0),0)&gt;0,T08_Spells!AU$2,"")</f>
        <v/>
      </c>
      <c r="AV143" t="str">
        <f>IF(IFERROR(MATCH($B143,temp!R$4:R$13,0),0)&gt;0,T08_Spells!AV$2,"")</f>
        <v/>
      </c>
      <c r="AW143" t="str">
        <f>IF(IFERROR(MATCH($B143,temp!S$4:S$13,0),0)&gt;0,T08_Spells!AW$2,"")</f>
        <v/>
      </c>
      <c r="AX143" t="str">
        <f>IF(IFERROR(MATCH($B143,temp!T$4:T$13,0),0)&gt;0,T08_Spells!AX$2,"")</f>
        <v/>
      </c>
      <c r="AY143" t="str">
        <f>IF(IFERROR(MATCH($B143,temp!U$4:U$13,0),0)&gt;0,T08_Spells!AY$2,"")</f>
        <v/>
      </c>
      <c r="AZ143" t="str">
        <f>IF(IFERROR(MATCH($B143,temp!V$4:V$13,0),0)&gt;0,T08_Spells!AZ$2,"")</f>
        <v/>
      </c>
      <c r="BA143" t="str">
        <f>IF(IFERROR(MATCH($B143,temp!W$4:W$13,0),0)&gt;0,T08_Spells!BA$2,"")</f>
        <v/>
      </c>
      <c r="BC143">
        <f>IF(IFERROR(SEARCH("Ranger",$T143,1),0)&gt;0,1,0)*IF(RangerMaxSpellLevel&gt;=$C143,1,0)*IF(IFERROR(MATCH(B143,Character_Creation!$X$79:$X$382,0),0)&gt;0,0,1)</f>
        <v>0</v>
      </c>
      <c r="BD143">
        <f>IF(BC143=0,0,1+COUNTIF(BD$3:BD142,"&gt;0"))</f>
        <v>0</v>
      </c>
      <c r="BE143" t="str">
        <f t="shared" si="143"/>
        <v/>
      </c>
      <c r="BF143" t="str">
        <f t="shared" si="115"/>
        <v/>
      </c>
      <c r="BH143">
        <f>IF(IFERROR(SEARCH("Sorcerer",$T143,1),0)&gt;0,1,0)*IF(SorcererMaxSpellLevel&gt;=$C143,1,0)*IF(IFERROR(MATCH(B143,Character_Creation!$J$380:$J$394,0),0)&gt;0,0,1)</f>
        <v>0</v>
      </c>
      <c r="BI143">
        <f>IF(BH143=0,0,1+COUNTIF(BI$3:BI142,"&gt;0"))</f>
        <v>0</v>
      </c>
      <c r="BJ143" t="str">
        <f t="shared" si="144"/>
        <v/>
      </c>
      <c r="BK143" t="str">
        <f t="shared" si="116"/>
        <v/>
      </c>
      <c r="BM143">
        <f>IF(OR(IFERROR(SEARCH("Warlock",$T143,1),0)&gt;0,IFERROR(SEARCH(WarlockPatron,$T143,1),0)&gt;0),1,0)*IF(WarlockMaxSpellLevel&gt;=$C143,1,0)*IF(IFERROR(MATCH(B143,Character_Creation!$J$361:$J$375,0),0)&gt;0,0,1)</f>
        <v>0</v>
      </c>
      <c r="BN143">
        <f>IF(BM143=0,0,1+COUNTIF(BN$3:BN142,"&gt;0"))</f>
        <v>0</v>
      </c>
      <c r="BO143" t="str">
        <f t="shared" si="145"/>
        <v/>
      </c>
      <c r="BP143" t="str">
        <f t="shared" si="117"/>
        <v/>
      </c>
      <c r="BR143">
        <f>IF(IFERROR(SEARCH("Eldritch Knight",$T143,1),0)&gt;0,1,0)*IF(EldritchKnightMaxSpellLevel&gt;=$C143,1,0)*IF(IFERROR(MATCH($B143,Character_Creation!$J$350:$J$356,0),0)&gt;0,0,1)*IF(Character_Creation!$M$338&gt;0,1,0)</f>
        <v>0</v>
      </c>
      <c r="BS143">
        <f>IF(BR143=0,0,1+COUNTIF(BS$3:BS142,"&gt;0"))</f>
        <v>0</v>
      </c>
      <c r="BT143" t="str">
        <f t="shared" si="146"/>
        <v/>
      </c>
      <c r="BU143" t="str">
        <f t="shared" si="118"/>
        <v/>
      </c>
      <c r="BW143">
        <f>IF(IFERROR(SEARCH("Arcane Trickster",$T143,1),0)&gt;0,1,0)*IF(ArcaneTricksterMaxSpellLevel&gt;=$C143,1,0)*IF(IFERROR(MATCH($B143,Character_Creation!$J$350:$J$356,0),0)&gt;0,0,1)*IF(Character_Creation!$T$338&gt;0,1,0)</f>
        <v>0</v>
      </c>
      <c r="BX143">
        <f>IF(BW143=0,0,1+COUNTIF(BX$3:BX142,"&gt;0"))</f>
        <v>0</v>
      </c>
      <c r="BY143" t="str">
        <f t="shared" si="147"/>
        <v/>
      </c>
      <c r="BZ143" t="str">
        <f t="shared" si="119"/>
        <v/>
      </c>
      <c r="CB143">
        <f>IF(IFERROR(SEARCH("Wizard",$T143,1),0)&gt;0,1,0)*IF(C143&lt;=ArcaneTricksterMaxSpellLevel,1,0)*IF(IFERROR(MATCH($B143,Character_Creation!$J$350:$J$356,0),0)&gt;0,0,1)*IF(Character_Creation!$T$350&gt;0,1,0)</f>
        <v>0</v>
      </c>
      <c r="CC143">
        <f>IF(CB143=0,0,1+COUNTIF(CC$3:CC142,"&gt;0"))</f>
        <v>0</v>
      </c>
      <c r="CD143" t="str">
        <f t="shared" si="148"/>
        <v/>
      </c>
      <c r="CE143" t="str">
        <f t="shared" si="120"/>
        <v/>
      </c>
      <c r="CG143">
        <f>IF(IFERROR(SEARCH("Wizard",$T143,1),0)&gt;0,1,0)*IF($C143&lt;=EldritchKnightMaxSpellLevel,1,0)*IF(IFERROR(MATCH($B143,Character_Creation!$J$350:$J$356,0),0)&gt;0,0,1)*IF(Character_Creation!$M$350&gt;0,1,0)</f>
        <v>0</v>
      </c>
      <c r="CH143">
        <f>IF(CG143=0,0,1+COUNTIF(CH$3:CH142,"&gt;0"))</f>
        <v>0</v>
      </c>
      <c r="CI143" t="str">
        <f t="shared" si="149"/>
        <v/>
      </c>
      <c r="CJ143" t="str">
        <f t="shared" si="121"/>
        <v/>
      </c>
      <c r="CL143">
        <f>IF(IFERROR(SEARCH("Bard",$T143,1),0)&gt;0,1,0)*IF(BardMaxSpellLevel&gt;=$C143,1,0)*IF(IFERROR(MATCH(B143,Character_Creation!$C$341:$F$362,0),0)&gt;0,0,1)*IF(IFERROR(MATCH($B143,Character_Creation!$C$341:$C$362,0),0)&gt;0,0,1)</f>
        <v>0</v>
      </c>
      <c r="CM143">
        <f>IF(CL143=0,0,1+COUNTIF(CM$3:CM142,"&gt;0"))</f>
        <v>0</v>
      </c>
      <c r="CN143" t="str">
        <f t="shared" si="150"/>
        <v/>
      </c>
      <c r="CO143" t="str">
        <f t="shared" si="122"/>
        <v/>
      </c>
      <c r="CQ143">
        <f>IF(IFERROR(SEARCH("Wizard",$T143,1),0)&gt;0,1,0)*IF(WizardMaxSpellLevel&gt;=$C143,1,0)*IF(IFERROR(MATCH(B143,Character_Creation!$X$341:$X$400,0),0)&gt;0,0,1)*IF(SelectedWizardSpellLevel=$C143,1,0)</f>
        <v>0</v>
      </c>
      <c r="CR143">
        <f>IF(CQ143=0,0,1+COUNTIF(CR$3:CR142,"&gt;0"))</f>
        <v>0</v>
      </c>
      <c r="CS143" t="str">
        <f t="shared" si="151"/>
        <v/>
      </c>
      <c r="CT143" t="str">
        <f t="shared" si="123"/>
        <v/>
      </c>
      <c r="CV143">
        <f>IF(IFERROR(MATCH($B143,Character_Creation!$C$341:$C$362,0),0)&gt;0,0,1)*IF(OR(C143="Cantrip",C143&lt;=BardMaxSpellLevel),1,0)*IF(IFERROR(MATCH($B143,Character_Creation!$C$367:$C$374,0),0)&gt;0,0,1)</f>
        <v>0</v>
      </c>
      <c r="CW143">
        <f>IF(CV143=0,0,1+COUNTIF(CW$3:CW142,"&gt;0"))</f>
        <v>0</v>
      </c>
      <c r="CX143" t="str">
        <f t="shared" si="152"/>
        <v/>
      </c>
      <c r="CY143" t="str">
        <f t="shared" si="124"/>
        <v/>
      </c>
      <c r="DA143">
        <f>IF(IF(OR(IFERROR(SEARCH("Cleric",$T143,1),0)&gt;0,IFERROR(SEARCH(DivineDomain&amp;",",$T143,1),0)&gt;0),1,0)*IF($C143=DA$2,1,0)=1,1+COUNTIF(DA$3:DA142,"&gt;0"),0)</f>
        <v>0</v>
      </c>
      <c r="DB143">
        <f>IF(IF(OR(IFERROR(SEARCH("Cleric",$T143,1),0)&gt;0,IFERROR(SEARCH(DivineDomain&amp;",",$T143,1),0)&gt;0),1,0)*IF($C143=DB$2,1,0)=1,1+COUNTIF(DB$3:DB142,"&gt;0"),0)</f>
        <v>0</v>
      </c>
      <c r="DC143">
        <f>IF(IF(OR(IFERROR(SEARCH("Cleric",$T143,1),0)&gt;0,IFERROR(SEARCH(DivineDomain&amp;",",$T143,1),0)&gt;0),1,0)*IF($C143=DC$2,1,0)=1,1+COUNTIF(DC$3:DC142,"&gt;0"),0)</f>
        <v>0</v>
      </c>
      <c r="DD143">
        <f>IF(IF(OR(IFERROR(SEARCH("Cleric",$T143,1),0)&gt;0,IFERROR(SEARCH(DivineDomain&amp;",",$T143,1),0)&gt;0),1,0)*IF($C143=DD$2,1,0)=1,1+COUNTIF(DD$3:DD142,"&gt;0"),0)</f>
        <v>0</v>
      </c>
      <c r="DE143">
        <f>IF(IF(OR(IFERROR(SEARCH("Cleric",$T143,1),0)&gt;0,IFERROR(SEARCH(DivineDomain&amp;",",$T143,1),0)&gt;0),1,0)*IF($C143=DE$2,1,0)=1,1+COUNTIF(DE$3:DE142,"&gt;0"),0)</f>
        <v>0</v>
      </c>
      <c r="DF143">
        <f>IF(IF(OR(IFERROR(SEARCH("Cleric",$T143,1),0)&gt;0,IFERROR(SEARCH(DivineDomain&amp;",",$T143,1),0)&gt;0),1,0)*IF($C143=DF$2,1,0)=1,1+COUNTIF(DF$3:DF142,"&gt;0"),0)</f>
        <v>0</v>
      </c>
      <c r="DG143">
        <f>IF(IF(OR(IFERROR(SEARCH("Cleric",$T143,1),0)&gt;0,IFERROR(SEARCH(DivineDomain&amp;",",$T143,1),0)&gt;0),1,0)*IF($C143=DG$2,1,0)=1,1+COUNTIF(DG$3:DG142,"&gt;0"),0)</f>
        <v>0</v>
      </c>
      <c r="DH143">
        <f>IF(IF(OR(IFERROR(SEARCH("Cleric",$T143,1),0)&gt;0,IFERROR(SEARCH(DivineDomain&amp;",",$T143,1),0)&gt;0),1,0)*IF($C143=DH$2,1,0)=1,1+COUNTIF(DH$3:DH142,"&gt;0"),0)</f>
        <v>0</v>
      </c>
      <c r="DI143">
        <f>IF(IF(OR(IFERROR(SEARCH("Cleric",$T143,1),0)&gt;0,IFERROR(SEARCH(DivineDomain&amp;",",$T143,1),0)&gt;0),1,0)*IF($C143=DI$2,1,0)=1,1+COUNTIF(DI$3:DI142,"&gt;0"),0)</f>
        <v>0</v>
      </c>
      <c r="DJ143">
        <f>IF(IF(OR(IFERROR(SEARCH("Druid",$T143,1),0)&gt;0,IFERROR(SEARCH(DruidLand1,$T143,1),0)&gt;0,IFERROR(SEARCH(DruidLand2,$T143,1),0)&gt;0,IFERROR(SEARCH(DruidLand3,$T143,1),0)&gt;0,IFERROR(SEARCH(DruidLand4,$T143,1),0)&gt;0),1,0)*IF($C143=1,1,0)*IF($C143=DJ$2,1,0)=0,0,1+COUNTIF(DJ$3:DJ142,"&gt;0"))</f>
        <v>0</v>
      </c>
      <c r="DK143">
        <f>IF(IF(OR(IFERROR(SEARCH("Druid",$T143,1),0)&gt;0,IFERROR(SEARCH(DruidLand1,$T143,1),0)&gt;0,IFERROR(SEARCH(DruidLand2,$T143,1),0)&gt;0,IFERROR(SEARCH(DruidLand3,$T143,1),0)&gt;0,IFERROR(SEARCH(DruidLand4,$T143,1),0)&gt;0),1,0)*IF($C143=DK$2,1,0)=0,0,1+COUNTIF(DK$3:DK142,"&gt;0"))</f>
        <v>7</v>
      </c>
      <c r="DL143">
        <f>IF(IF(OR(IFERROR(SEARCH("Druid",$T143,1),0)&gt;0,IFERROR(SEARCH(DruidLand1,$T143,1),0)&gt;0,IFERROR(SEARCH(DruidLand2,$T143,1),0)&gt;0,IFERROR(SEARCH(DruidLand3,$T143,1),0)&gt;0,IFERROR(SEARCH(DruidLand4,$T143,1),0)&gt;0),1,0)*IF($C143=DL$2,1,0)=0,0,1+COUNTIF(DL$3:DL142,"&gt;0"))</f>
        <v>0</v>
      </c>
      <c r="DM143">
        <f>IF(IF(OR(IFERROR(SEARCH("Druid",$T143,1),0)&gt;0,IFERROR(SEARCH(DruidLand1,$T143,1),0)&gt;0,IFERROR(SEARCH(DruidLand2,$T143,1),0)&gt;0,IFERROR(SEARCH(DruidLand3,$T143,1),0)&gt;0,IFERROR(SEARCH(DruidLand4,$T143,1),0)&gt;0),1,0)*IF($C143=DM$2,1,0)=0,0,1+COUNTIF(DM$3:DM142,"&gt;0"))</f>
        <v>0</v>
      </c>
      <c r="DN143">
        <f>IF(IF(OR(IFERROR(SEARCH("Druid",$T143,1),0)&gt;0,IFERROR(SEARCH(DruidLand1,$T143,1),0)&gt;0,IFERROR(SEARCH(DruidLand2,$T143,1),0)&gt;0,IFERROR(SEARCH(DruidLand3,$T143,1),0)&gt;0,IFERROR(SEARCH(DruidLand4,$T143,1),0)&gt;0),1,0)*IF($C143=DN$2,1,0)=0,0,1+COUNTIF(DN$3:DN142,"&gt;0"))</f>
        <v>0</v>
      </c>
      <c r="DO143">
        <f>IF(IF(OR(IFERROR(SEARCH("Druid",$T143,1),0)&gt;0,IFERROR(SEARCH(DruidLand1,$T143,1),0)&gt;0,IFERROR(SEARCH(DruidLand2,$T143,1),0)&gt;0,IFERROR(SEARCH(DruidLand3,$T143,1),0)&gt;0,IFERROR(SEARCH(DruidLand4,$T143,1),0)&gt;0),1,0)*IF($C143=DO$2,1,0)=0,0,1+COUNTIF(DO$3:DO142,"&gt;0"))</f>
        <v>0</v>
      </c>
      <c r="DP143">
        <f>IF(IF(OR(IFERROR(SEARCH("Druid",$T143,1),0)&gt;0,IFERROR(SEARCH(DruidLand1,$T143,1),0)&gt;0,IFERROR(SEARCH(DruidLand2,$T143,1),0)&gt;0,IFERROR(SEARCH(DruidLand3,$T143,1),0)&gt;0,IFERROR(SEARCH(DruidLand4,$T143,1),0)&gt;0),1,0)*IF($C143=DP$2,1,0)=0,0,1+COUNTIF(DP$3:DP142,"&gt;0"))</f>
        <v>0</v>
      </c>
      <c r="DQ143">
        <f>IF(IF(OR(IFERROR(SEARCH("Druid",$T143,1),0)&gt;0,IFERROR(SEARCH(DruidLand1,$T143,1),0)&gt;0,IFERROR(SEARCH(DruidLand2,$T143,1),0)&gt;0,IFERROR(SEARCH(DruidLand3,$T143,1),0)&gt;0,IFERROR(SEARCH(DruidLand4,$T143,1),0)&gt;0),1,0)*IF($C143=DQ$2,1,0)=0,0,1+COUNTIF(DQ$3:DQ142,"&gt;0"))</f>
        <v>0</v>
      </c>
      <c r="DR143">
        <f>IF(IF(OR(IFERROR(SEARCH("Druid",$T143,1),0)&gt;0,IFERROR(SEARCH(DruidLand1,$T143,1),0)&gt;0,IFERROR(SEARCH(DruidLand2,$T143,1),0)&gt;0,IFERROR(SEARCH(DruidLand3,$T143,1),0)&gt;0,IFERROR(SEARCH(DruidLand4,$T143,1),0)&gt;0),1,0)*IF($C143=DR$2,1,0)=0,0,1+COUNTIF(DR$3:DR142,"&gt;0"))</f>
        <v>0</v>
      </c>
      <c r="DS143">
        <f>IF(IF(OR(IFERROR(SEARCH("Paladin",$T143,1),0)&gt;0,IFERROR(SEARCH(PaladinOath,$T143,1),0)&gt;0),1,0)*IF($C143=DS$2,1,0)=1,1+COUNTIF(DS$3:DS142,"&gt;0"),0)</f>
        <v>0</v>
      </c>
      <c r="DT143">
        <f>IF(IF(OR(IFERROR(SEARCH("Paladin",$T143,1),0)&gt;0,IFERROR(SEARCH(PaladinOath,$T143,1),0)&gt;0),1,0)*IF($C143=DT$2,1,0)=1,1+COUNTIF(DT$3:DT142,"&gt;0"),0)</f>
        <v>0</v>
      </c>
      <c r="DU143">
        <f>IF(IF(OR(IFERROR(SEARCH("Paladin",$T143,1),0)&gt;0,IFERROR(SEARCH(PaladinOath,$T143,1),0)&gt;0),1,0)*IF($C143=DU$2,1,0)=1,1+COUNTIF(DU$3:DU142,"&gt;0"),0)</f>
        <v>0</v>
      </c>
      <c r="DV143">
        <f>IF(IF(OR(IFERROR(SEARCH("Paladin",$T143,1),0)&gt;0,IFERROR(SEARCH(PaladinOath,$T143,1),0)&gt;0),1,0)*IF($C143=DV$2,1,0)=1,1+COUNTIF(DV$3:DV142,"&gt;0"),0)</f>
        <v>0</v>
      </c>
      <c r="DW143">
        <f>IF(IF(OR(IFERROR(SEARCH("Paladin",$T143,1),0)&gt;0,IFERROR(SEARCH(PaladinOath,$T143,1),0)&gt;0),1,0)*IF($C143=DW$2,1,0)=1,1+COUNTIF(DW$3:DW142,"&gt;0"),0)</f>
        <v>0</v>
      </c>
      <c r="DY143">
        <f t="shared" si="111"/>
        <v>1</v>
      </c>
      <c r="DZ143">
        <f>IF(DY143=0,0,1+MAX(DZ$3:$DZ142))</f>
        <v>141</v>
      </c>
      <c r="EB143">
        <f t="shared" si="125"/>
        <v>0</v>
      </c>
      <c r="EC143">
        <f>IF(EB143=0,0,1+COUNTIF(EC$3:EC142,"&gt;0"))</f>
        <v>0</v>
      </c>
      <c r="ED143" t="str">
        <f t="shared" si="153"/>
        <v/>
      </c>
      <c r="EE143" t="str">
        <f t="shared" si="126"/>
        <v/>
      </c>
      <c r="EG143">
        <f t="shared" si="127"/>
        <v>0</v>
      </c>
      <c r="EH143">
        <f>IF(EG143=0,0,1+COUNTIF(EH$3:EH142,"&gt;0"))</f>
        <v>0</v>
      </c>
      <c r="EI143" t="str">
        <f t="shared" si="154"/>
        <v/>
      </c>
      <c r="EJ143" t="str">
        <f t="shared" si="128"/>
        <v/>
      </c>
      <c r="EL143">
        <f t="shared" si="129"/>
        <v>0</v>
      </c>
      <c r="EM143">
        <f>IF(EL143=0,0,1+COUNTIF(EM$3:EM142,"&gt;0"))</f>
        <v>0</v>
      </c>
      <c r="EN143" t="str">
        <f t="shared" si="155"/>
        <v/>
      </c>
      <c r="EO143" t="str">
        <f t="shared" si="130"/>
        <v/>
      </c>
      <c r="EQ143">
        <f t="shared" si="131"/>
        <v>0</v>
      </c>
      <c r="ER143">
        <f>IF(EQ143=0,0,1+COUNTIF(ER$3:ER142,"&gt;0"))</f>
        <v>0</v>
      </c>
      <c r="ES143" t="str">
        <f t="shared" si="156"/>
        <v/>
      </c>
      <c r="ET143" t="str">
        <f t="shared" si="132"/>
        <v/>
      </c>
      <c r="EV143">
        <f t="shared" si="133"/>
        <v>0</v>
      </c>
      <c r="EW143">
        <f>IF(EV143=0,0,1+COUNTIF(EW$3:EW142,"&gt;0"))</f>
        <v>0</v>
      </c>
      <c r="EX143" t="str">
        <f t="shared" si="157"/>
        <v/>
      </c>
      <c r="EY143" t="str">
        <f t="shared" si="134"/>
        <v/>
      </c>
      <c r="FA143">
        <f t="shared" si="135"/>
        <v>0</v>
      </c>
      <c r="FB143">
        <f>IF(FA143=0,0,1+COUNTIF(FB$3:FB142,"&gt;0"))</f>
        <v>0</v>
      </c>
      <c r="FC143" t="str">
        <f t="shared" si="158"/>
        <v/>
      </c>
      <c r="FD143" t="str">
        <f t="shared" si="136"/>
        <v/>
      </c>
      <c r="FF143">
        <f t="shared" si="137"/>
        <v>0</v>
      </c>
      <c r="FG143">
        <f>IF(FF143=0,0,1+COUNTIF(FG$3:FG142,"&gt;0"))</f>
        <v>0</v>
      </c>
      <c r="FH143" t="str">
        <f t="shared" si="159"/>
        <v/>
      </c>
      <c r="FI143" t="str">
        <f t="shared" si="138"/>
        <v/>
      </c>
      <c r="FK143">
        <f t="shared" si="139"/>
        <v>0</v>
      </c>
      <c r="FL143">
        <f>IF(FK143=0,0,1+COUNTIF(FL$3:FL142,"&gt;0"))</f>
        <v>0</v>
      </c>
      <c r="FM143" t="str">
        <f t="shared" si="160"/>
        <v/>
      </c>
      <c r="FN143" t="str">
        <f t="shared" si="140"/>
        <v/>
      </c>
      <c r="FP143">
        <f t="shared" si="141"/>
        <v>0</v>
      </c>
      <c r="FQ143">
        <f>IF(FP143=0,0,1+COUNTIF(FQ$3:FQ142,"&gt;0"))</f>
        <v>0</v>
      </c>
      <c r="FR143" t="str">
        <f t="shared" si="161"/>
        <v/>
      </c>
      <c r="FS143" t="str">
        <f t="shared" si="142"/>
        <v/>
      </c>
    </row>
    <row r="144" spans="1:175" x14ac:dyDescent="0.25">
      <c r="A144" s="347">
        <f t="shared" si="162"/>
        <v>142</v>
      </c>
      <c r="B144" s="348" t="s">
        <v>2513</v>
      </c>
      <c r="C144" s="348">
        <v>5</v>
      </c>
      <c r="D144" s="347">
        <v>5</v>
      </c>
      <c r="E144" s="627" t="s">
        <v>6952</v>
      </c>
      <c r="F144" s="346"/>
      <c r="G144" s="347" t="str">
        <f>""</f>
        <v/>
      </c>
      <c r="H144" s="347" t="s">
        <v>5912</v>
      </c>
      <c r="I144" s="347" t="s">
        <v>424</v>
      </c>
      <c r="J144" s="347" t="str">
        <f t="shared" si="112"/>
        <v/>
      </c>
      <c r="K144" s="347" t="s">
        <v>5278</v>
      </c>
      <c r="L144" s="611" t="str">
        <f t="shared" si="113"/>
        <v>V, S, M, a pinch of sulphur</v>
      </c>
      <c r="M144" s="347" t="s">
        <v>2373</v>
      </c>
      <c r="N144" s="347" t="s">
        <v>2387</v>
      </c>
      <c r="O144" s="347" t="s">
        <v>1244</v>
      </c>
      <c r="P144" s="346" t="s">
        <v>5372</v>
      </c>
      <c r="Q144" s="347" t="s">
        <v>5273</v>
      </c>
      <c r="S144" s="346" t="s">
        <v>5699</v>
      </c>
      <c r="T144" s="346" t="str">
        <f t="shared" si="114"/>
        <v xml:space="preserve">Cleric, Devotion, Archfiend, Light, War, </v>
      </c>
      <c r="Z144" s="347" t="str">
        <f>$B144</f>
        <v>Flame Strike</v>
      </c>
      <c r="AE144" t="str">
        <f>IF(IFERROR(MATCH($B144,temp!A$4:A$13,0),0)&gt;0,T08_Spells!AE$2,"")</f>
        <v>Devotion</v>
      </c>
      <c r="AF144" t="str">
        <f>IF(IFERROR(MATCH($B144,temp!B$4:B$13,0),0)&gt;0,T08_Spells!AF$2,"")</f>
        <v/>
      </c>
      <c r="AG144" t="str">
        <f>IF(IFERROR(MATCH($B144,temp!C$4:C$13,0),0)&gt;0,T08_Spells!AG$2,"")</f>
        <v/>
      </c>
      <c r="AH144" t="str">
        <f>IF(IFERROR(MATCH($B144,temp!D$4:D$13,0),0)&gt;0,T08_Spells!AH$2,"")</f>
        <v/>
      </c>
      <c r="AI144" t="str">
        <f>IF(IFERROR(MATCH($B144,temp!E$4:E$13,0),0)&gt;0,T08_Spells!AI$2,"")</f>
        <v/>
      </c>
      <c r="AJ144" t="str">
        <f>IF(IFERROR(MATCH($B144,temp!F$4:F$13,0),0)&gt;0,T08_Spells!AJ$2,"")</f>
        <v>Archfiend</v>
      </c>
      <c r="AK144" t="str">
        <f>IF(IFERROR(MATCH($B144,temp!G$4:G$13,0),0)&gt;0,T08_Spells!AK$2,"")</f>
        <v/>
      </c>
      <c r="AL144" t="str">
        <f>IF(IFERROR(MATCH($B144,temp!H$4:H$13,0),0)&gt;0,T08_Spells!AL$2,"")</f>
        <v/>
      </c>
      <c r="AM144" t="str">
        <f>IF(IFERROR(MATCH($B144,temp!I$4:I$13,0),0)&gt;0,T08_Spells!AM$2,"")</f>
        <v/>
      </c>
      <c r="AN144" t="str">
        <f>IF(IFERROR(MATCH($B144,temp!J$4:J$13,0),0)&gt;0,T08_Spells!AN$2,"")</f>
        <v/>
      </c>
      <c r="AO144" t="str">
        <f>IF(IFERROR(MATCH($B144,temp!K$4:K$13,0),0)&gt;0,T08_Spells!AO$2,"")</f>
        <v/>
      </c>
      <c r="AP144" t="str">
        <f>IF(IFERROR(MATCH($B144,temp!L$4:L$13,0),0)&gt;0,T08_Spells!AP$2,"")</f>
        <v/>
      </c>
      <c r="AQ144" t="str">
        <f>IF(IFERROR(MATCH($B144,temp!M$4:M$13,0),0)&gt;0,T08_Spells!AQ$2,"")</f>
        <v/>
      </c>
      <c r="AR144" t="str">
        <f>IF(IFERROR(MATCH($B144,temp!N$4:N$13,0),0)&gt;0,T08_Spells!AR$2,"")</f>
        <v/>
      </c>
      <c r="AS144" t="str">
        <f>IF(IFERROR(MATCH($B144,temp!O$4:O$13,0),0)&gt;0,T08_Spells!AS$2,"")</f>
        <v/>
      </c>
      <c r="AT144" t="str">
        <f>IF(IFERROR(MATCH($B144,temp!P$4:P$13,0),0)&gt;0,T08_Spells!AT$2,"")</f>
        <v/>
      </c>
      <c r="AU144" t="str">
        <f>IF(IFERROR(MATCH($B144,temp!Q$4:Q$13,0),0)&gt;0,T08_Spells!AU$2,"")</f>
        <v/>
      </c>
      <c r="AV144" t="str">
        <f>IF(IFERROR(MATCH($B144,temp!R$4:R$13,0),0)&gt;0,T08_Spells!AV$2,"")</f>
        <v>Light</v>
      </c>
      <c r="AW144" t="str">
        <f>IF(IFERROR(MATCH($B144,temp!S$4:S$13,0),0)&gt;0,T08_Spells!AW$2,"")</f>
        <v/>
      </c>
      <c r="AX144" t="str">
        <f>IF(IFERROR(MATCH($B144,temp!T$4:T$13,0),0)&gt;0,T08_Spells!AX$2,"")</f>
        <v/>
      </c>
      <c r="AY144" t="str">
        <f>IF(IFERROR(MATCH($B144,temp!U$4:U$13,0),0)&gt;0,T08_Spells!AY$2,"")</f>
        <v/>
      </c>
      <c r="AZ144" t="str">
        <f>IF(IFERROR(MATCH($B144,temp!V$4:V$13,0),0)&gt;0,T08_Spells!AZ$2,"")</f>
        <v>War</v>
      </c>
      <c r="BA144" t="str">
        <f>IF(IFERROR(MATCH($B144,temp!W$4:W$13,0),0)&gt;0,T08_Spells!BA$2,"")</f>
        <v/>
      </c>
      <c r="BC144">
        <f>IF(IFERROR(SEARCH("Ranger",$T144,1),0)&gt;0,1,0)*IF(RangerMaxSpellLevel&gt;=$C144,1,0)*IF(IFERROR(MATCH(B144,Character_Creation!$X$79:$X$382,0),0)&gt;0,0,1)</f>
        <v>0</v>
      </c>
      <c r="BD144">
        <f>IF(BC144=0,0,1+COUNTIF(BD$3:BD143,"&gt;0"))</f>
        <v>0</v>
      </c>
      <c r="BE144" t="str">
        <f t="shared" si="143"/>
        <v/>
      </c>
      <c r="BF144" t="str">
        <f t="shared" si="115"/>
        <v/>
      </c>
      <c r="BH144">
        <f>IF(IFERROR(SEARCH("Sorcerer",$T144,1),0)&gt;0,1,0)*IF(SorcererMaxSpellLevel&gt;=$C144,1,0)*IF(IFERROR(MATCH(B144,Character_Creation!$J$380:$J$394,0),0)&gt;0,0,1)</f>
        <v>0</v>
      </c>
      <c r="BI144">
        <f>IF(BH144=0,0,1+COUNTIF(BI$3:BI143,"&gt;0"))</f>
        <v>0</v>
      </c>
      <c r="BJ144" t="str">
        <f t="shared" si="144"/>
        <v/>
      </c>
      <c r="BK144" t="str">
        <f t="shared" si="116"/>
        <v/>
      </c>
      <c r="BM144">
        <f>IF(OR(IFERROR(SEARCH("Warlock",$T144,1),0)&gt;0,IFERROR(SEARCH(WarlockPatron,$T144,1),0)&gt;0),1,0)*IF(WarlockMaxSpellLevel&gt;=$C144,1,0)*IF(IFERROR(MATCH(B144,Character_Creation!$J$361:$J$375,0),0)&gt;0,0,1)</f>
        <v>0</v>
      </c>
      <c r="BN144">
        <f>IF(BM144=0,0,1+COUNTIF(BN$3:BN143,"&gt;0"))</f>
        <v>0</v>
      </c>
      <c r="BO144" t="str">
        <f t="shared" si="145"/>
        <v/>
      </c>
      <c r="BP144" t="str">
        <f t="shared" si="117"/>
        <v/>
      </c>
      <c r="BR144">
        <f>IF(IFERROR(SEARCH("Eldritch Knight",$T144,1),0)&gt;0,1,0)*IF(EldritchKnightMaxSpellLevel&gt;=$C144,1,0)*IF(IFERROR(MATCH($B144,Character_Creation!$J$350:$J$356,0),0)&gt;0,0,1)*IF(Character_Creation!$M$338&gt;0,1,0)</f>
        <v>0</v>
      </c>
      <c r="BS144">
        <f>IF(BR144=0,0,1+COUNTIF(BS$3:BS143,"&gt;0"))</f>
        <v>0</v>
      </c>
      <c r="BT144" t="str">
        <f t="shared" si="146"/>
        <v/>
      </c>
      <c r="BU144" t="str">
        <f t="shared" si="118"/>
        <v/>
      </c>
      <c r="BW144">
        <f>IF(IFERROR(SEARCH("Arcane Trickster",$T144,1),0)&gt;0,1,0)*IF(ArcaneTricksterMaxSpellLevel&gt;=$C144,1,0)*IF(IFERROR(MATCH($B144,Character_Creation!$J$350:$J$356,0),0)&gt;0,0,1)*IF(Character_Creation!$T$338&gt;0,1,0)</f>
        <v>0</v>
      </c>
      <c r="BX144">
        <f>IF(BW144=0,0,1+COUNTIF(BX$3:BX143,"&gt;0"))</f>
        <v>0</v>
      </c>
      <c r="BY144" t="str">
        <f t="shared" si="147"/>
        <v/>
      </c>
      <c r="BZ144" t="str">
        <f t="shared" si="119"/>
        <v/>
      </c>
      <c r="CB144">
        <f>IF(IFERROR(SEARCH("Wizard",$T144,1),0)&gt;0,1,0)*IF(C144&lt;=ArcaneTricksterMaxSpellLevel,1,0)*IF(IFERROR(MATCH($B144,Character_Creation!$J$350:$J$356,0),0)&gt;0,0,1)*IF(Character_Creation!$T$350&gt;0,1,0)</f>
        <v>0</v>
      </c>
      <c r="CC144">
        <f>IF(CB144=0,0,1+COUNTIF(CC$3:CC143,"&gt;0"))</f>
        <v>0</v>
      </c>
      <c r="CD144" t="str">
        <f t="shared" si="148"/>
        <v/>
      </c>
      <c r="CE144" t="str">
        <f t="shared" si="120"/>
        <v/>
      </c>
      <c r="CG144">
        <f>IF(IFERROR(SEARCH("Wizard",$T144,1),0)&gt;0,1,0)*IF($C144&lt;=EldritchKnightMaxSpellLevel,1,0)*IF(IFERROR(MATCH($B144,Character_Creation!$J$350:$J$356,0),0)&gt;0,0,1)*IF(Character_Creation!$M$350&gt;0,1,0)</f>
        <v>0</v>
      </c>
      <c r="CH144">
        <f>IF(CG144=0,0,1+COUNTIF(CH$3:CH143,"&gt;0"))</f>
        <v>0</v>
      </c>
      <c r="CI144" t="str">
        <f t="shared" si="149"/>
        <v/>
      </c>
      <c r="CJ144" t="str">
        <f t="shared" si="121"/>
        <v/>
      </c>
      <c r="CL144">
        <f>IF(IFERROR(SEARCH("Bard",$T144,1),0)&gt;0,1,0)*IF(BardMaxSpellLevel&gt;=$C144,1,0)*IF(IFERROR(MATCH(B144,Character_Creation!$C$341:$F$362,0),0)&gt;0,0,1)*IF(IFERROR(MATCH($B144,Character_Creation!$C$341:$C$362,0),0)&gt;0,0,1)</f>
        <v>0</v>
      </c>
      <c r="CM144">
        <f>IF(CL144=0,0,1+COUNTIF(CM$3:CM143,"&gt;0"))</f>
        <v>0</v>
      </c>
      <c r="CN144" t="str">
        <f t="shared" si="150"/>
        <v/>
      </c>
      <c r="CO144" t="str">
        <f t="shared" si="122"/>
        <v/>
      </c>
      <c r="CQ144">
        <f>IF(IFERROR(SEARCH("Wizard",$T144,1),0)&gt;0,1,0)*IF(WizardMaxSpellLevel&gt;=$C144,1,0)*IF(IFERROR(MATCH(B144,Character_Creation!$X$341:$X$400,0),0)&gt;0,0,1)*IF(SelectedWizardSpellLevel=$C144,1,0)</f>
        <v>0</v>
      </c>
      <c r="CR144">
        <f>IF(CQ144=0,0,1+COUNTIF(CR$3:CR143,"&gt;0"))</f>
        <v>0</v>
      </c>
      <c r="CS144" t="str">
        <f t="shared" si="151"/>
        <v/>
      </c>
      <c r="CT144" t="str">
        <f t="shared" si="123"/>
        <v/>
      </c>
      <c r="CV144">
        <f>IF(IFERROR(MATCH($B144,Character_Creation!$C$341:$C$362,0),0)&gt;0,0,1)*IF(OR(C144="Cantrip",C144&lt;=BardMaxSpellLevel),1,0)*IF(IFERROR(MATCH($B144,Character_Creation!$C$367:$C$374,0),0)&gt;0,0,1)</f>
        <v>0</v>
      </c>
      <c r="CW144">
        <f>IF(CV144=0,0,1+COUNTIF(CW$3:CW143,"&gt;0"))</f>
        <v>0</v>
      </c>
      <c r="CX144" t="str">
        <f t="shared" si="152"/>
        <v/>
      </c>
      <c r="CY144" t="str">
        <f t="shared" si="124"/>
        <v/>
      </c>
      <c r="DA144">
        <f>IF(IF(OR(IFERROR(SEARCH("Cleric",$T144,1),0)&gt;0,IFERROR(SEARCH(DivineDomain&amp;",",$T144,1),0)&gt;0),1,0)*IF($C144=DA$2,1,0)=1,1+COUNTIF(DA$3:DA143,"&gt;0"),0)</f>
        <v>0</v>
      </c>
      <c r="DB144">
        <f>IF(IF(OR(IFERROR(SEARCH("Cleric",$T144,1),0)&gt;0,IFERROR(SEARCH(DivineDomain&amp;",",$T144,1),0)&gt;0),1,0)*IF($C144=DB$2,1,0)=1,1+COUNTIF(DB$3:DB143,"&gt;0"),0)</f>
        <v>0</v>
      </c>
      <c r="DC144">
        <f>IF(IF(OR(IFERROR(SEARCH("Cleric",$T144,1),0)&gt;0,IFERROR(SEARCH(DivineDomain&amp;",",$T144,1),0)&gt;0),1,0)*IF($C144=DC$2,1,0)=1,1+COUNTIF(DC$3:DC143,"&gt;0"),0)</f>
        <v>0</v>
      </c>
      <c r="DD144">
        <f>IF(IF(OR(IFERROR(SEARCH("Cleric",$T144,1),0)&gt;0,IFERROR(SEARCH(DivineDomain&amp;",",$T144,1),0)&gt;0),1,0)*IF($C144=DD$2,1,0)=1,1+COUNTIF(DD$3:DD143,"&gt;0"),0)</f>
        <v>0</v>
      </c>
      <c r="DE144">
        <f>IF(IF(OR(IFERROR(SEARCH("Cleric",$T144,1),0)&gt;0,IFERROR(SEARCH(DivineDomain&amp;",",$T144,1),0)&gt;0),1,0)*IF($C144=DE$2,1,0)=1,1+COUNTIF(DE$3:DE143,"&gt;0"),0)</f>
        <v>4</v>
      </c>
      <c r="DF144">
        <f>IF(IF(OR(IFERROR(SEARCH("Cleric",$T144,1),0)&gt;0,IFERROR(SEARCH(DivineDomain&amp;",",$T144,1),0)&gt;0),1,0)*IF($C144=DF$2,1,0)=1,1+COUNTIF(DF$3:DF143,"&gt;0"),0)</f>
        <v>0</v>
      </c>
      <c r="DG144">
        <f>IF(IF(OR(IFERROR(SEARCH("Cleric",$T144,1),0)&gt;0,IFERROR(SEARCH(DivineDomain&amp;",",$T144,1),0)&gt;0),1,0)*IF($C144=DG$2,1,0)=1,1+COUNTIF(DG$3:DG143,"&gt;0"),0)</f>
        <v>0</v>
      </c>
      <c r="DH144">
        <f>IF(IF(OR(IFERROR(SEARCH("Cleric",$T144,1),0)&gt;0,IFERROR(SEARCH(DivineDomain&amp;",",$T144,1),0)&gt;0),1,0)*IF($C144=DH$2,1,0)=1,1+COUNTIF(DH$3:DH143,"&gt;0"),0)</f>
        <v>0</v>
      </c>
      <c r="DI144">
        <f>IF(IF(OR(IFERROR(SEARCH("Cleric",$T144,1),0)&gt;0,IFERROR(SEARCH(DivineDomain&amp;",",$T144,1),0)&gt;0),1,0)*IF($C144=DI$2,1,0)=1,1+COUNTIF(DI$3:DI143,"&gt;0"),0)</f>
        <v>0</v>
      </c>
      <c r="DJ144">
        <f>IF(IF(OR(IFERROR(SEARCH("Druid",$T144,1),0)&gt;0,IFERROR(SEARCH(DruidLand1,$T144,1),0)&gt;0,IFERROR(SEARCH(DruidLand2,$T144,1),0)&gt;0,IFERROR(SEARCH(DruidLand3,$T144,1),0)&gt;0,IFERROR(SEARCH(DruidLand4,$T144,1),0)&gt;0),1,0)*IF($C144=1,1,0)*IF($C144=DJ$2,1,0)=0,0,1+COUNTIF(DJ$3:DJ143,"&gt;0"))</f>
        <v>0</v>
      </c>
      <c r="DK144">
        <f>IF(IF(OR(IFERROR(SEARCH("Druid",$T144,1),0)&gt;0,IFERROR(SEARCH(DruidLand1,$T144,1),0)&gt;0,IFERROR(SEARCH(DruidLand2,$T144,1),0)&gt;0,IFERROR(SEARCH(DruidLand3,$T144,1),0)&gt;0,IFERROR(SEARCH(DruidLand4,$T144,1),0)&gt;0),1,0)*IF($C144=1,1,0)*IF($C144=DK$2,1,0)=0,0,1+COUNTIF(DK$3:DK143,"&gt;0"))</f>
        <v>0</v>
      </c>
      <c r="DL144">
        <f>IF(IF(OR(IFERROR(SEARCH("Druid",$T144,1),0)&gt;0,IFERROR(SEARCH(DruidLand1,$T144,1),0)&gt;0,IFERROR(SEARCH(DruidLand2,$T144,1),0)&gt;0,IFERROR(SEARCH(DruidLand3,$T144,1),0)&gt;0,IFERROR(SEARCH(DruidLand4,$T144,1),0)&gt;0),1,0)*IF($C144=1,1,0)*IF($C144=DL$2,1,0)=0,0,1+COUNTIF(DL$3:DL143,"&gt;0"))</f>
        <v>0</v>
      </c>
      <c r="DM144">
        <f>IF(IF(OR(IFERROR(SEARCH("Druid",$T144,1),0)&gt;0,IFERROR(SEARCH(DruidLand1,$T144,1),0)&gt;0,IFERROR(SEARCH(DruidLand2,$T144,1),0)&gt;0,IFERROR(SEARCH(DruidLand3,$T144,1),0)&gt;0,IFERROR(SEARCH(DruidLand4,$T144,1),0)&gt;0),1,0)*IF($C144=1,1,0)*IF($C144=DM$2,1,0)=0,0,1+COUNTIF(DM$3:DM143,"&gt;0"))</f>
        <v>0</v>
      </c>
      <c r="DN144">
        <f>IF(IF(OR(IFERROR(SEARCH("Druid",$T144,1),0)&gt;0,IFERROR(SEARCH(DruidLand1,$T144,1),0)&gt;0,IFERROR(SEARCH(DruidLand2,$T144,1),0)&gt;0,IFERROR(SEARCH(DruidLand3,$T144,1),0)&gt;0,IFERROR(SEARCH(DruidLand4,$T144,1),0)&gt;0),1,0)*IF($C144=1,1,0)*IF($C144=DN$2,1,0)=0,0,1+COUNTIF(DN$3:DN143,"&gt;0"))</f>
        <v>0</v>
      </c>
      <c r="DO144">
        <f>IF(IF(OR(IFERROR(SEARCH("Druid",$T144,1),0)&gt;0,IFERROR(SEARCH(DruidLand1,$T144,1),0)&gt;0,IFERROR(SEARCH(DruidLand2,$T144,1),0)&gt;0,IFERROR(SEARCH(DruidLand3,$T144,1),0)&gt;0,IFERROR(SEARCH(DruidLand4,$T144,1),0)&gt;0),1,0)*IF($C144=1,1,0)*IF($C144=DO$2,1,0)=0,0,1+COUNTIF(DO$3:DO143,"&gt;0"))</f>
        <v>0</v>
      </c>
      <c r="DP144">
        <f>IF(IF(OR(IFERROR(SEARCH("Druid",$T144,1),0)&gt;0,IFERROR(SEARCH(DruidLand1,$T144,1),0)&gt;0,IFERROR(SEARCH(DruidLand2,$T144,1),0)&gt;0,IFERROR(SEARCH(DruidLand3,$T144,1),0)&gt;0,IFERROR(SEARCH(DruidLand4,$T144,1),0)&gt;0),1,0)*IF($C144=1,1,0)*IF($C144=DP$2,1,0)=0,0,1+COUNTIF(DP$3:DP143,"&gt;0"))</f>
        <v>0</v>
      </c>
      <c r="DQ144">
        <f>IF(IF(OR(IFERROR(SEARCH("Druid",$T144,1),0)&gt;0,IFERROR(SEARCH(DruidLand1,$T144,1),0)&gt;0,IFERROR(SEARCH(DruidLand2,$T144,1),0)&gt;0,IFERROR(SEARCH(DruidLand3,$T144,1),0)&gt;0,IFERROR(SEARCH(DruidLand4,$T144,1),0)&gt;0),1,0)*IF($C144=1,1,0)*IF($C144=DQ$2,1,0)=0,0,1+COUNTIF(DQ$3:DQ143,"&gt;0"))</f>
        <v>0</v>
      </c>
      <c r="DR144">
        <f>IF(IF(OR(IFERROR(SEARCH("Druid",$T144,1),0)&gt;0,IFERROR(SEARCH(DruidLand1,$T144,1),0)&gt;0,IFERROR(SEARCH(DruidLand2,$T144,1),0)&gt;0,IFERROR(SEARCH(DruidLand3,$T144,1),0)&gt;0,IFERROR(SEARCH(DruidLand4,$T144,1),0)&gt;0),1,0)*IF($C144=1,1,0)*IF($C144=DR$2,1,0)=0,0,1+COUNTIF(DR$3:DR143,"&gt;0"))</f>
        <v>0</v>
      </c>
      <c r="DS144">
        <f>IF(IF(OR(IFERROR(SEARCH("Paladin",$T144,1),0)&gt;0,IFERROR(SEARCH(PaladinOath,$T144,1),0)&gt;0),1,0)*IF($C144=DS$2,1,0)=1,1+COUNTIF(DS$3:DS143,"&gt;0"),0)</f>
        <v>0</v>
      </c>
      <c r="DT144">
        <f>IF(IF(OR(IFERROR(SEARCH("Paladin",$T144,1),0)&gt;0,IFERROR(SEARCH(PaladinOath,$T144,1),0)&gt;0),1,0)*IF($C144=DT$2,1,0)=1,1+COUNTIF(DT$3:DT143,"&gt;0"),0)</f>
        <v>0</v>
      </c>
      <c r="DU144">
        <f>IF(IF(OR(IFERROR(SEARCH("Paladin",$T144,1),0)&gt;0,IFERROR(SEARCH(PaladinOath,$T144,1),0)&gt;0),1,0)*IF($C144=DU$2,1,0)=1,1+COUNTIF(DU$3:DU143,"&gt;0"),0)</f>
        <v>0</v>
      </c>
      <c r="DV144">
        <f>IF(IF(OR(IFERROR(SEARCH("Paladin",$T144,1),0)&gt;0,IFERROR(SEARCH(PaladinOath,$T144,1),0)&gt;0),1,0)*IF($C144=DV$2,1,0)=1,1+COUNTIF(DV$3:DV143,"&gt;0"),0)</f>
        <v>0</v>
      </c>
      <c r="DW144">
        <f>IF(IF(OR(IFERROR(SEARCH("Paladin",$T144,1),0)&gt;0,IFERROR(SEARCH(PaladinOath,$T144,1),0)&gt;0),1,0)*IF($C144=DW$2,1,0)=1,1+COUNTIF(DW$3:DW143,"&gt;0"),0)</f>
        <v>0</v>
      </c>
      <c r="DY144">
        <f t="shared" si="111"/>
        <v>1</v>
      </c>
      <c r="DZ144">
        <f>IF(DY144=0,0,1+MAX(DZ$3:$DZ143))</f>
        <v>142</v>
      </c>
      <c r="EB144">
        <f t="shared" si="125"/>
        <v>0</v>
      </c>
      <c r="EC144">
        <f>IF(EB144=0,0,1+COUNTIF(EC$3:EC143,"&gt;0"))</f>
        <v>0</v>
      </c>
      <c r="ED144" t="str">
        <f t="shared" si="153"/>
        <v/>
      </c>
      <c r="EE144" t="str">
        <f t="shared" si="126"/>
        <v/>
      </c>
      <c r="EG144">
        <f t="shared" si="127"/>
        <v>0</v>
      </c>
      <c r="EH144">
        <f>IF(EG144=0,0,1+COUNTIF(EH$3:EH143,"&gt;0"))</f>
        <v>0</v>
      </c>
      <c r="EI144" t="str">
        <f t="shared" si="154"/>
        <v/>
      </c>
      <c r="EJ144" t="str">
        <f t="shared" si="128"/>
        <v/>
      </c>
      <c r="EL144">
        <f t="shared" si="129"/>
        <v>0</v>
      </c>
      <c r="EM144">
        <f>IF(EL144=0,0,1+COUNTIF(EM$3:EM143,"&gt;0"))</f>
        <v>0</v>
      </c>
      <c r="EN144" t="str">
        <f t="shared" si="155"/>
        <v/>
      </c>
      <c r="EO144" t="str">
        <f t="shared" si="130"/>
        <v/>
      </c>
      <c r="EQ144">
        <f t="shared" si="131"/>
        <v>0</v>
      </c>
      <c r="ER144">
        <f>IF(EQ144=0,0,1+COUNTIF(ER$3:ER143,"&gt;0"))</f>
        <v>0</v>
      </c>
      <c r="ES144" t="str">
        <f t="shared" si="156"/>
        <v/>
      </c>
      <c r="ET144" t="str">
        <f t="shared" si="132"/>
        <v/>
      </c>
      <c r="EV144">
        <f t="shared" si="133"/>
        <v>0</v>
      </c>
      <c r="EW144">
        <f>IF(EV144=0,0,1+COUNTIF(EW$3:EW143,"&gt;0"))</f>
        <v>0</v>
      </c>
      <c r="EX144" t="str">
        <f t="shared" si="157"/>
        <v/>
      </c>
      <c r="EY144" t="str">
        <f t="shared" si="134"/>
        <v/>
      </c>
      <c r="FA144">
        <f t="shared" si="135"/>
        <v>0</v>
      </c>
      <c r="FB144">
        <f>IF(FA144=0,0,1+COUNTIF(FB$3:FB143,"&gt;0"))</f>
        <v>0</v>
      </c>
      <c r="FC144" t="str">
        <f t="shared" si="158"/>
        <v/>
      </c>
      <c r="FD144" t="str">
        <f t="shared" si="136"/>
        <v/>
      </c>
      <c r="FF144">
        <f t="shared" si="137"/>
        <v>0</v>
      </c>
      <c r="FG144">
        <f>IF(FF144=0,0,1+COUNTIF(FG$3:FG143,"&gt;0"))</f>
        <v>0</v>
      </c>
      <c r="FH144" t="str">
        <f t="shared" si="159"/>
        <v/>
      </c>
      <c r="FI144" t="str">
        <f t="shared" si="138"/>
        <v/>
      </c>
      <c r="FK144">
        <f t="shared" si="139"/>
        <v>0</v>
      </c>
      <c r="FL144">
        <f>IF(FK144=0,0,1+COUNTIF(FL$3:FL143,"&gt;0"))</f>
        <v>0</v>
      </c>
      <c r="FM144" t="str">
        <f t="shared" si="160"/>
        <v/>
      </c>
      <c r="FN144" t="str">
        <f t="shared" si="140"/>
        <v/>
      </c>
      <c r="FP144">
        <f t="shared" si="141"/>
        <v>0</v>
      </c>
      <c r="FQ144">
        <f>IF(FP144=0,0,1+COUNTIF(FQ$3:FQ143,"&gt;0"))</f>
        <v>0</v>
      </c>
      <c r="FR144" t="str">
        <f t="shared" si="161"/>
        <v/>
      </c>
      <c r="FS144" t="str">
        <f t="shared" si="142"/>
        <v/>
      </c>
    </row>
    <row r="145" spans="1:175" x14ac:dyDescent="0.25">
      <c r="A145" s="347">
        <f t="shared" si="162"/>
        <v>143</v>
      </c>
      <c r="B145" s="348" t="s">
        <v>2514</v>
      </c>
      <c r="C145" s="348">
        <v>2</v>
      </c>
      <c r="D145" s="347">
        <v>2</v>
      </c>
      <c r="E145" s="627" t="s">
        <v>6952</v>
      </c>
      <c r="F145" s="346"/>
      <c r="G145" s="347" t="str">
        <f>""</f>
        <v/>
      </c>
      <c r="H145" s="347" t="s">
        <v>5912</v>
      </c>
      <c r="I145" s="347" t="s">
        <v>424</v>
      </c>
      <c r="J145" s="347" t="str">
        <f t="shared" si="112"/>
        <v/>
      </c>
      <c r="K145" s="347" t="s">
        <v>5291</v>
      </c>
      <c r="L145" s="611" t="str">
        <f t="shared" si="113"/>
        <v>V, S, M, a bit of tallow, a pinch of brimstone, and a dusting of powdered iron</v>
      </c>
      <c r="M145" s="347" t="s">
        <v>2373</v>
      </c>
      <c r="N145" s="347" t="s">
        <v>2387</v>
      </c>
      <c r="O145" s="347" t="s">
        <v>1244</v>
      </c>
      <c r="P145" s="346" t="s">
        <v>5373</v>
      </c>
      <c r="Q145" s="347" t="s">
        <v>5271</v>
      </c>
      <c r="S145" s="346" t="s">
        <v>5700</v>
      </c>
      <c r="T145" s="346" t="str">
        <f t="shared" si="114"/>
        <v xml:space="preserve">Druid, Wizard, Light, </v>
      </c>
      <c r="AA145" s="347" t="str">
        <f>$B145</f>
        <v>Flaming Sphere</v>
      </c>
      <c r="AD145" s="347" t="str">
        <f>$B145</f>
        <v>Flaming Sphere</v>
      </c>
      <c r="AE145" t="str">
        <f>IF(IFERROR(MATCH($B145,temp!A$4:A$13,0),0)&gt;0,T08_Spells!AE$2,"")</f>
        <v/>
      </c>
      <c r="AF145" t="str">
        <f>IF(IFERROR(MATCH($B145,temp!B$4:B$13,0),0)&gt;0,T08_Spells!AF$2,"")</f>
        <v/>
      </c>
      <c r="AG145" t="str">
        <f>IF(IFERROR(MATCH($B145,temp!C$4:C$13,0),0)&gt;0,T08_Spells!AG$2,"")</f>
        <v/>
      </c>
      <c r="AH145" t="str">
        <f>IF(IFERROR(MATCH($B145,temp!D$4:D$13,0),0)&gt;0,T08_Spells!AH$2,"")</f>
        <v/>
      </c>
      <c r="AI145" t="str">
        <f>IF(IFERROR(MATCH($B145,temp!E$4:E$13,0),0)&gt;0,T08_Spells!AI$2,"")</f>
        <v/>
      </c>
      <c r="AJ145" t="str">
        <f>IF(IFERROR(MATCH($B145,temp!F$4:F$13,0),0)&gt;0,T08_Spells!AJ$2,"")</f>
        <v/>
      </c>
      <c r="AK145" t="str">
        <f>IF(IFERROR(MATCH($B145,temp!G$4:G$13,0),0)&gt;0,T08_Spells!AK$2,"")</f>
        <v/>
      </c>
      <c r="AL145" t="str">
        <f>IF(IFERROR(MATCH($B145,temp!H$4:H$13,0),0)&gt;0,T08_Spells!AL$2,"")</f>
        <v/>
      </c>
      <c r="AM145" t="str">
        <f>IF(IFERROR(MATCH($B145,temp!I$4:I$13,0),0)&gt;0,T08_Spells!AM$2,"")</f>
        <v/>
      </c>
      <c r="AN145" t="str">
        <f>IF(IFERROR(MATCH($B145,temp!J$4:J$13,0),0)&gt;0,T08_Spells!AN$2,"")</f>
        <v/>
      </c>
      <c r="AO145" t="str">
        <f>IF(IFERROR(MATCH($B145,temp!K$4:K$13,0),0)&gt;0,T08_Spells!AO$2,"")</f>
        <v/>
      </c>
      <c r="AP145" t="str">
        <f>IF(IFERROR(MATCH($B145,temp!L$4:L$13,0),0)&gt;0,T08_Spells!AP$2,"")</f>
        <v/>
      </c>
      <c r="AQ145" t="str">
        <f>IF(IFERROR(MATCH($B145,temp!M$4:M$13,0),0)&gt;0,T08_Spells!AQ$2,"")</f>
        <v/>
      </c>
      <c r="AR145" t="str">
        <f>IF(IFERROR(MATCH($B145,temp!N$4:N$13,0),0)&gt;0,T08_Spells!AR$2,"")</f>
        <v/>
      </c>
      <c r="AS145" t="str">
        <f>IF(IFERROR(MATCH($B145,temp!O$4:O$13,0),0)&gt;0,T08_Spells!AS$2,"")</f>
        <v/>
      </c>
      <c r="AT145" t="str">
        <f>IF(IFERROR(MATCH($B145,temp!P$4:P$13,0),0)&gt;0,T08_Spells!AT$2,"")</f>
        <v/>
      </c>
      <c r="AU145" t="str">
        <f>IF(IFERROR(MATCH($B145,temp!Q$4:Q$13,0),0)&gt;0,T08_Spells!AU$2,"")</f>
        <v/>
      </c>
      <c r="AV145" t="str">
        <f>IF(IFERROR(MATCH($B145,temp!R$4:R$13,0),0)&gt;0,T08_Spells!AV$2,"")</f>
        <v>Light</v>
      </c>
      <c r="AW145" t="str">
        <f>IF(IFERROR(MATCH($B145,temp!S$4:S$13,0),0)&gt;0,T08_Spells!AW$2,"")</f>
        <v/>
      </c>
      <c r="AX145" t="str">
        <f>IF(IFERROR(MATCH($B145,temp!T$4:T$13,0),0)&gt;0,T08_Spells!AX$2,"")</f>
        <v/>
      </c>
      <c r="AY145" t="str">
        <f>IF(IFERROR(MATCH($B145,temp!U$4:U$13,0),0)&gt;0,T08_Spells!AY$2,"")</f>
        <v/>
      </c>
      <c r="AZ145" t="str">
        <f>IF(IFERROR(MATCH($B145,temp!V$4:V$13,0),0)&gt;0,T08_Spells!AZ$2,"")</f>
        <v/>
      </c>
      <c r="BA145" t="str">
        <f>IF(IFERROR(MATCH($B145,temp!W$4:W$13,0),0)&gt;0,T08_Spells!BA$2,"")</f>
        <v/>
      </c>
      <c r="BC145">
        <f>IF(IFERROR(SEARCH("Ranger",$T145,1),0)&gt;0,1,0)*IF(RangerMaxSpellLevel&gt;=$C145,1,0)*IF(IFERROR(MATCH(B145,Character_Creation!$X$79:$X$382,0),0)&gt;0,0,1)</f>
        <v>0</v>
      </c>
      <c r="BD145">
        <f>IF(BC145=0,0,1+COUNTIF(BD$3:BD144,"&gt;0"))</f>
        <v>0</v>
      </c>
      <c r="BE145" t="str">
        <f t="shared" si="143"/>
        <v/>
      </c>
      <c r="BF145" t="str">
        <f t="shared" si="115"/>
        <v/>
      </c>
      <c r="BH145">
        <f>IF(IFERROR(SEARCH("Sorcerer",$T145,1),0)&gt;0,1,0)*IF(SorcererMaxSpellLevel&gt;=$C145,1,0)*IF(IFERROR(MATCH(B145,Character_Creation!$J$380:$J$394,0),0)&gt;0,0,1)</f>
        <v>0</v>
      </c>
      <c r="BI145">
        <f>IF(BH145=0,0,1+COUNTIF(BI$3:BI144,"&gt;0"))</f>
        <v>0</v>
      </c>
      <c r="BJ145" t="str">
        <f t="shared" si="144"/>
        <v/>
      </c>
      <c r="BK145" t="str">
        <f t="shared" si="116"/>
        <v/>
      </c>
      <c r="BM145">
        <f>IF(OR(IFERROR(SEARCH("Warlock",$T145,1),0)&gt;0,IFERROR(SEARCH(WarlockPatron,$T145,1),0)&gt;0),1,0)*IF(WarlockMaxSpellLevel&gt;=$C145,1,0)*IF(IFERROR(MATCH(B145,Character_Creation!$J$361:$J$375,0),0)&gt;0,0,1)</f>
        <v>0</v>
      </c>
      <c r="BN145">
        <f>IF(BM145=0,0,1+COUNTIF(BN$3:BN144,"&gt;0"))</f>
        <v>0</v>
      </c>
      <c r="BO145" t="str">
        <f t="shared" si="145"/>
        <v/>
      </c>
      <c r="BP145" t="str">
        <f t="shared" si="117"/>
        <v/>
      </c>
      <c r="BR145">
        <f>IF(IFERROR(SEARCH("Eldritch Knight",$T145,1),0)&gt;0,1,0)*IF(EldritchKnightMaxSpellLevel&gt;=$C145,1,0)*IF(IFERROR(MATCH($B145,Character_Creation!$J$350:$J$356,0),0)&gt;0,0,1)*IF(Character_Creation!$M$338&gt;0,1,0)</f>
        <v>0</v>
      </c>
      <c r="BS145">
        <f>IF(BR145=0,0,1+COUNTIF(BS$3:BS144,"&gt;0"))</f>
        <v>0</v>
      </c>
      <c r="BT145" t="str">
        <f t="shared" si="146"/>
        <v/>
      </c>
      <c r="BU145" t="str">
        <f t="shared" si="118"/>
        <v/>
      </c>
      <c r="BW145">
        <f>IF(IFERROR(SEARCH("Arcane Trickster",$T145,1),0)&gt;0,1,0)*IF(ArcaneTricksterMaxSpellLevel&gt;=$C145,1,0)*IF(IFERROR(MATCH($B145,Character_Creation!$J$350:$J$356,0),0)&gt;0,0,1)*IF(Character_Creation!$T$338&gt;0,1,0)</f>
        <v>0</v>
      </c>
      <c r="BX145">
        <f>IF(BW145=0,0,1+COUNTIF(BX$3:BX144,"&gt;0"))</f>
        <v>0</v>
      </c>
      <c r="BY145" t="str">
        <f t="shared" si="147"/>
        <v/>
      </c>
      <c r="BZ145" t="str">
        <f t="shared" si="119"/>
        <v/>
      </c>
      <c r="CB145">
        <f>IF(IFERROR(SEARCH("Wizard",$T145,1),0)&gt;0,1,0)*IF(C145&lt;=ArcaneTricksterMaxSpellLevel,1,0)*IF(IFERROR(MATCH($B145,Character_Creation!$J$350:$J$356,0),0)&gt;0,0,1)*IF(Character_Creation!$T$350&gt;0,1,0)</f>
        <v>0</v>
      </c>
      <c r="CC145">
        <f>IF(CB145=0,0,1+COUNTIF(CC$3:CC144,"&gt;0"))</f>
        <v>0</v>
      </c>
      <c r="CD145" t="str">
        <f t="shared" si="148"/>
        <v/>
      </c>
      <c r="CE145" t="str">
        <f t="shared" si="120"/>
        <v/>
      </c>
      <c r="CG145">
        <f>IF(IFERROR(SEARCH("Wizard",$T145,1),0)&gt;0,1,0)*IF($C145&lt;=EldritchKnightMaxSpellLevel,1,0)*IF(IFERROR(MATCH($B145,Character_Creation!$J$350:$J$356,0),0)&gt;0,0,1)*IF(Character_Creation!$M$350&gt;0,1,0)</f>
        <v>1</v>
      </c>
      <c r="CH145">
        <f>IF(CG145=0,0,1+COUNTIF(CH$3:CH144,"&gt;0"))</f>
        <v>24</v>
      </c>
      <c r="CI145" t="str">
        <f t="shared" si="149"/>
        <v/>
      </c>
      <c r="CJ145" t="str">
        <f t="shared" si="121"/>
        <v/>
      </c>
      <c r="CL145">
        <f>IF(IFERROR(SEARCH("Bard",$T145,1),0)&gt;0,1,0)*IF(BardMaxSpellLevel&gt;=$C145,1,0)*IF(IFERROR(MATCH(B145,Character_Creation!$C$341:$F$362,0),0)&gt;0,0,1)*IF(IFERROR(MATCH($B145,Character_Creation!$C$341:$C$362,0),0)&gt;0,0,1)</f>
        <v>0</v>
      </c>
      <c r="CM145">
        <f>IF(CL145=0,0,1+COUNTIF(CM$3:CM144,"&gt;0"))</f>
        <v>0</v>
      </c>
      <c r="CN145" t="str">
        <f t="shared" si="150"/>
        <v/>
      </c>
      <c r="CO145" t="str">
        <f t="shared" si="122"/>
        <v/>
      </c>
      <c r="CQ145">
        <f>IF(IFERROR(SEARCH("Wizard",$T145,1),0)&gt;0,1,0)*IF(WizardMaxSpellLevel&gt;=$C145,1,0)*IF(IFERROR(MATCH(B145,Character_Creation!$X$341:$X$400,0),0)&gt;0,0,1)*IF(SelectedWizardSpellLevel=$C145,1,0)</f>
        <v>0</v>
      </c>
      <c r="CR145">
        <f>IF(CQ145=0,0,1+COUNTIF(CR$3:CR144,"&gt;0"))</f>
        <v>0</v>
      </c>
      <c r="CS145" t="str">
        <f t="shared" si="151"/>
        <v/>
      </c>
      <c r="CT145" t="str">
        <f t="shared" si="123"/>
        <v/>
      </c>
      <c r="CV145">
        <f>IF(IFERROR(MATCH($B145,Character_Creation!$C$341:$C$362,0),0)&gt;0,0,1)*IF(OR(C145="Cantrip",C145&lt;=BardMaxSpellLevel),1,0)*IF(IFERROR(MATCH($B145,Character_Creation!$C$367:$C$374,0),0)&gt;0,0,1)</f>
        <v>0</v>
      </c>
      <c r="CW145">
        <f>IF(CV145=0,0,1+COUNTIF(CW$3:CW144,"&gt;0"))</f>
        <v>0</v>
      </c>
      <c r="CX145" t="str">
        <f t="shared" si="152"/>
        <v/>
      </c>
      <c r="CY145" t="str">
        <f t="shared" si="124"/>
        <v/>
      </c>
      <c r="DA145">
        <f>IF(IF(OR(IFERROR(SEARCH("Cleric",$T145,1),0)&gt;0,IFERROR(SEARCH(DivineDomain&amp;",",$T145,1),0)&gt;0),1,0)*IF($C145=DA$2,1,0)=1,1+COUNTIF(DA$3:DA144,"&gt;0"),0)</f>
        <v>0</v>
      </c>
      <c r="DB145">
        <f>IF(IF(OR(IFERROR(SEARCH("Cleric",$T145,1),0)&gt;0,IFERROR(SEARCH(DivineDomain&amp;",",$T145,1),0)&gt;0),1,0)*IF($C145=DB$2,1,0)=1,1+COUNTIF(DB$3:DB144,"&gt;0"),0)</f>
        <v>0</v>
      </c>
      <c r="DC145">
        <f>IF(IF(OR(IFERROR(SEARCH("Cleric",$T145,1),0)&gt;0,IFERROR(SEARCH(DivineDomain&amp;",",$T145,1),0)&gt;0),1,0)*IF($C145=DC$2,1,0)=1,1+COUNTIF(DC$3:DC144,"&gt;0"),0)</f>
        <v>0</v>
      </c>
      <c r="DD145">
        <f>IF(IF(OR(IFERROR(SEARCH("Cleric",$T145,1),0)&gt;0,IFERROR(SEARCH(DivineDomain&amp;",",$T145,1),0)&gt;0),1,0)*IF($C145=DD$2,1,0)=1,1+COUNTIF(DD$3:DD144,"&gt;0"),0)</f>
        <v>0</v>
      </c>
      <c r="DE145">
        <f>IF(IF(OR(IFERROR(SEARCH("Cleric",$T145,1),0)&gt;0,IFERROR(SEARCH(DivineDomain&amp;",",$T145,1),0)&gt;0),1,0)*IF($C145=DE$2,1,0)=1,1+COUNTIF(DE$3:DE144,"&gt;0"),0)</f>
        <v>0</v>
      </c>
      <c r="DF145">
        <f>IF(IF(OR(IFERROR(SEARCH("Cleric",$T145,1),0)&gt;0,IFERROR(SEARCH(DivineDomain&amp;",",$T145,1),0)&gt;0),1,0)*IF($C145=DF$2,1,0)=1,1+COUNTIF(DF$3:DF144,"&gt;0"),0)</f>
        <v>0</v>
      </c>
      <c r="DG145">
        <f>IF(IF(OR(IFERROR(SEARCH("Cleric",$T145,1),0)&gt;0,IFERROR(SEARCH(DivineDomain&amp;",",$T145,1),0)&gt;0),1,0)*IF($C145=DG$2,1,0)=1,1+COUNTIF(DG$3:DG144,"&gt;0"),0)</f>
        <v>0</v>
      </c>
      <c r="DH145">
        <f>IF(IF(OR(IFERROR(SEARCH("Cleric",$T145,1),0)&gt;0,IFERROR(SEARCH(DivineDomain&amp;",",$T145,1),0)&gt;0),1,0)*IF($C145=DH$2,1,0)=1,1+COUNTIF(DH$3:DH144,"&gt;0"),0)</f>
        <v>0</v>
      </c>
      <c r="DI145">
        <f>IF(IF(OR(IFERROR(SEARCH("Cleric",$T145,1),0)&gt;0,IFERROR(SEARCH(DivineDomain&amp;",",$T145,1),0)&gt;0),1,0)*IF($C145=DI$2,1,0)=1,1+COUNTIF(DI$3:DI144,"&gt;0"),0)</f>
        <v>0</v>
      </c>
      <c r="DJ145">
        <f>IF(IF(OR(IFERROR(SEARCH("Druid",$T145,1),0)&gt;0,IFERROR(SEARCH(DruidLand1,$T145,1),0)&gt;0,IFERROR(SEARCH(DruidLand2,$T145,1),0)&gt;0,IFERROR(SEARCH(DruidLand3,$T145,1),0)&gt;0,IFERROR(SEARCH(DruidLand4,$T145,1),0)&gt;0),1,0)*IF($C145=1,1,0)*IF($C145=DJ$2,1,0)=0,0,1+COUNTIF(DJ$3:DJ144,"&gt;0"))</f>
        <v>0</v>
      </c>
      <c r="DK145">
        <f>IF(IF(OR(IFERROR(SEARCH("Druid",$T145,1),0)&gt;0,IFERROR(SEARCH(DruidLand1,$T145,1),0)&gt;0,IFERROR(SEARCH(DruidLand2,$T145,1),0)&gt;0,IFERROR(SEARCH(DruidLand3,$T145,1),0)&gt;0,IFERROR(SEARCH(DruidLand4,$T145,1),0)&gt;0),1,0)*IF($C145=DK$2,1,0)=0,0,1+COUNTIF(DK$3:DK144,"&gt;0"))</f>
        <v>8</v>
      </c>
      <c r="DL145">
        <f>IF(IF(OR(IFERROR(SEARCH("Druid",$T145,1),0)&gt;0,IFERROR(SEARCH(DruidLand1,$T145,1),0)&gt;0,IFERROR(SEARCH(DruidLand2,$T145,1),0)&gt;0,IFERROR(SEARCH(DruidLand3,$T145,1),0)&gt;0,IFERROR(SEARCH(DruidLand4,$T145,1),0)&gt;0),1,0)*IF($C145=DL$2,1,0)=0,0,1+COUNTIF(DL$3:DL144,"&gt;0"))</f>
        <v>0</v>
      </c>
      <c r="DM145">
        <f>IF(IF(OR(IFERROR(SEARCH("Druid",$T145,1),0)&gt;0,IFERROR(SEARCH(DruidLand1,$T145,1),0)&gt;0,IFERROR(SEARCH(DruidLand2,$T145,1),0)&gt;0,IFERROR(SEARCH(DruidLand3,$T145,1),0)&gt;0,IFERROR(SEARCH(DruidLand4,$T145,1),0)&gt;0),1,0)*IF($C145=DM$2,1,0)=0,0,1+COUNTIF(DM$3:DM144,"&gt;0"))</f>
        <v>0</v>
      </c>
      <c r="DN145">
        <f>IF(IF(OR(IFERROR(SEARCH("Druid",$T145,1),0)&gt;0,IFERROR(SEARCH(DruidLand1,$T145,1),0)&gt;0,IFERROR(SEARCH(DruidLand2,$T145,1),0)&gt;0,IFERROR(SEARCH(DruidLand3,$T145,1),0)&gt;0,IFERROR(SEARCH(DruidLand4,$T145,1),0)&gt;0),1,0)*IF($C145=DN$2,1,0)=0,0,1+COUNTIF(DN$3:DN144,"&gt;0"))</f>
        <v>0</v>
      </c>
      <c r="DO145">
        <f>IF(IF(OR(IFERROR(SEARCH("Druid",$T145,1),0)&gt;0,IFERROR(SEARCH(DruidLand1,$T145,1),0)&gt;0,IFERROR(SEARCH(DruidLand2,$T145,1),0)&gt;0,IFERROR(SEARCH(DruidLand3,$T145,1),0)&gt;0,IFERROR(SEARCH(DruidLand4,$T145,1),0)&gt;0),1,0)*IF($C145=DO$2,1,0)=0,0,1+COUNTIF(DO$3:DO144,"&gt;0"))</f>
        <v>0</v>
      </c>
      <c r="DP145">
        <f>IF(IF(OR(IFERROR(SEARCH("Druid",$T145,1),0)&gt;0,IFERROR(SEARCH(DruidLand1,$T145,1),0)&gt;0,IFERROR(SEARCH(DruidLand2,$T145,1),0)&gt;0,IFERROR(SEARCH(DruidLand3,$T145,1),0)&gt;0,IFERROR(SEARCH(DruidLand4,$T145,1),0)&gt;0),1,0)*IF($C145=DP$2,1,0)=0,0,1+COUNTIF(DP$3:DP144,"&gt;0"))</f>
        <v>0</v>
      </c>
      <c r="DQ145">
        <f>IF(IF(OR(IFERROR(SEARCH("Druid",$T145,1),0)&gt;0,IFERROR(SEARCH(DruidLand1,$T145,1),0)&gt;0,IFERROR(SEARCH(DruidLand2,$T145,1),0)&gt;0,IFERROR(SEARCH(DruidLand3,$T145,1),0)&gt;0,IFERROR(SEARCH(DruidLand4,$T145,1),0)&gt;0),1,0)*IF($C145=DQ$2,1,0)=0,0,1+COUNTIF(DQ$3:DQ144,"&gt;0"))</f>
        <v>0</v>
      </c>
      <c r="DR145">
        <f>IF(IF(OR(IFERROR(SEARCH("Druid",$T145,1),0)&gt;0,IFERROR(SEARCH(DruidLand1,$T145,1),0)&gt;0,IFERROR(SEARCH(DruidLand2,$T145,1),0)&gt;0,IFERROR(SEARCH(DruidLand3,$T145,1),0)&gt;0,IFERROR(SEARCH(DruidLand4,$T145,1),0)&gt;0),1,0)*IF($C145=DR$2,1,0)=0,0,1+COUNTIF(DR$3:DR144,"&gt;0"))</f>
        <v>0</v>
      </c>
      <c r="DS145">
        <f>IF(IF(OR(IFERROR(SEARCH("Paladin",$T145,1),0)&gt;0,IFERROR(SEARCH(PaladinOath,$T145,1),0)&gt;0),1,0)*IF($C145=DS$2,1,0)=1,1+COUNTIF(DS$3:DS144,"&gt;0"),0)</f>
        <v>0</v>
      </c>
      <c r="DT145">
        <f>IF(IF(OR(IFERROR(SEARCH("Paladin",$T145,1),0)&gt;0,IFERROR(SEARCH(PaladinOath,$T145,1),0)&gt;0),1,0)*IF($C145=DT$2,1,0)=1,1+COUNTIF(DT$3:DT144,"&gt;0"),0)</f>
        <v>0</v>
      </c>
      <c r="DU145">
        <f>IF(IF(OR(IFERROR(SEARCH("Paladin",$T145,1),0)&gt;0,IFERROR(SEARCH(PaladinOath,$T145,1),0)&gt;0),1,0)*IF($C145=DU$2,1,0)=1,1+COUNTIF(DU$3:DU144,"&gt;0"),0)</f>
        <v>0</v>
      </c>
      <c r="DV145">
        <f>IF(IF(OR(IFERROR(SEARCH("Paladin",$T145,1),0)&gt;0,IFERROR(SEARCH(PaladinOath,$T145,1),0)&gt;0),1,0)*IF($C145=DV$2,1,0)=1,1+COUNTIF(DV$3:DV144,"&gt;0"),0)</f>
        <v>0</v>
      </c>
      <c r="DW145">
        <f>IF(IF(OR(IFERROR(SEARCH("Paladin",$T145,1),0)&gt;0,IFERROR(SEARCH(PaladinOath,$T145,1),0)&gt;0),1,0)*IF($C145=DW$2,1,0)=1,1+COUNTIF(DW$3:DW144,"&gt;0"),0)</f>
        <v>0</v>
      </c>
      <c r="DY145">
        <f t="shared" si="111"/>
        <v>1</v>
      </c>
      <c r="DZ145">
        <f>IF(DY145=0,0,1+MAX(DZ$3:$DZ144))</f>
        <v>143</v>
      </c>
      <c r="EB145">
        <f t="shared" si="125"/>
        <v>0</v>
      </c>
      <c r="EC145">
        <f>IF(EB145=0,0,1+COUNTIF(EC$3:EC144,"&gt;0"))</f>
        <v>0</v>
      </c>
      <c r="ED145" t="str">
        <f t="shared" si="153"/>
        <v/>
      </c>
      <c r="EE145" t="str">
        <f t="shared" si="126"/>
        <v/>
      </c>
      <c r="EG145">
        <f t="shared" si="127"/>
        <v>0</v>
      </c>
      <c r="EH145">
        <f>IF(EG145=0,0,1+COUNTIF(EH$3:EH144,"&gt;0"))</f>
        <v>0</v>
      </c>
      <c r="EI145" t="str">
        <f t="shared" si="154"/>
        <v/>
      </c>
      <c r="EJ145" t="str">
        <f t="shared" si="128"/>
        <v/>
      </c>
      <c r="EL145">
        <f t="shared" si="129"/>
        <v>0</v>
      </c>
      <c r="EM145">
        <f>IF(EL145=0,0,1+COUNTIF(EM$3:EM144,"&gt;0"))</f>
        <v>0</v>
      </c>
      <c r="EN145" t="str">
        <f t="shared" si="155"/>
        <v/>
      </c>
      <c r="EO145" t="str">
        <f t="shared" si="130"/>
        <v/>
      </c>
      <c r="EQ145">
        <f t="shared" si="131"/>
        <v>0</v>
      </c>
      <c r="ER145">
        <f>IF(EQ145=0,0,1+COUNTIF(ER$3:ER144,"&gt;0"))</f>
        <v>0</v>
      </c>
      <c r="ES145" t="str">
        <f t="shared" si="156"/>
        <v/>
      </c>
      <c r="ET145" t="str">
        <f t="shared" si="132"/>
        <v/>
      </c>
      <c r="EV145">
        <f t="shared" si="133"/>
        <v>0</v>
      </c>
      <c r="EW145">
        <f>IF(EV145=0,0,1+COUNTIF(EW$3:EW144,"&gt;0"))</f>
        <v>0</v>
      </c>
      <c r="EX145" t="str">
        <f t="shared" si="157"/>
        <v/>
      </c>
      <c r="EY145" t="str">
        <f t="shared" si="134"/>
        <v/>
      </c>
      <c r="FA145">
        <f t="shared" si="135"/>
        <v>0</v>
      </c>
      <c r="FB145">
        <f>IF(FA145=0,0,1+COUNTIF(FB$3:FB144,"&gt;0"))</f>
        <v>0</v>
      </c>
      <c r="FC145" t="str">
        <f t="shared" si="158"/>
        <v/>
      </c>
      <c r="FD145" t="str">
        <f t="shared" si="136"/>
        <v/>
      </c>
      <c r="FF145">
        <f t="shared" si="137"/>
        <v>0</v>
      </c>
      <c r="FG145">
        <f>IF(FF145=0,0,1+COUNTIF(FG$3:FG144,"&gt;0"))</f>
        <v>0</v>
      </c>
      <c r="FH145" t="str">
        <f t="shared" si="159"/>
        <v/>
      </c>
      <c r="FI145" t="str">
        <f t="shared" si="138"/>
        <v/>
      </c>
      <c r="FK145">
        <f t="shared" si="139"/>
        <v>0</v>
      </c>
      <c r="FL145">
        <f>IF(FK145=0,0,1+COUNTIF(FL$3:FL144,"&gt;0"))</f>
        <v>0</v>
      </c>
      <c r="FM145" t="str">
        <f t="shared" si="160"/>
        <v/>
      </c>
      <c r="FN145" t="str">
        <f t="shared" si="140"/>
        <v/>
      </c>
      <c r="FP145">
        <f t="shared" si="141"/>
        <v>0</v>
      </c>
      <c r="FQ145">
        <f>IF(FP145=0,0,1+COUNTIF(FQ$3:FQ144,"&gt;0"))</f>
        <v>0</v>
      </c>
      <c r="FR145" t="str">
        <f t="shared" si="161"/>
        <v/>
      </c>
      <c r="FS145" t="str">
        <f t="shared" si="142"/>
        <v/>
      </c>
    </row>
    <row r="146" spans="1:175" x14ac:dyDescent="0.25">
      <c r="A146" s="347">
        <f t="shared" si="162"/>
        <v>144</v>
      </c>
      <c r="B146" s="348" t="s">
        <v>2515</v>
      </c>
      <c r="C146" s="348">
        <v>6</v>
      </c>
      <c r="D146" s="347">
        <v>6</v>
      </c>
      <c r="E146" s="627" t="s">
        <v>6952</v>
      </c>
      <c r="F146" s="346"/>
      <c r="G146" s="347" t="str">
        <f>""</f>
        <v/>
      </c>
      <c r="H146" s="347" t="s">
        <v>5912</v>
      </c>
      <c r="I146" s="347" t="s">
        <v>424</v>
      </c>
      <c r="J146" s="347" t="str">
        <f t="shared" si="112"/>
        <v/>
      </c>
      <c r="K146" s="347" t="s">
        <v>5291</v>
      </c>
      <c r="L146" s="611" t="str">
        <f t="shared" si="113"/>
        <v>V, S, M, a pinch of lime, water, and earth</v>
      </c>
      <c r="M146" s="347" t="s">
        <v>2373</v>
      </c>
      <c r="N146" s="347" t="s">
        <v>2387</v>
      </c>
      <c r="O146" s="347" t="s">
        <v>1244</v>
      </c>
      <c r="P146" s="346" t="s">
        <v>5374</v>
      </c>
      <c r="Q146" s="347" t="s">
        <v>5276</v>
      </c>
      <c r="S146" s="346" t="s">
        <v>5701</v>
      </c>
      <c r="T146" s="346" t="str">
        <f t="shared" si="114"/>
        <v xml:space="preserve">Warlock, Wizard, </v>
      </c>
      <c r="Y146" s="347" t="str">
        <f>$B146</f>
        <v>Flesh to Stone</v>
      </c>
      <c r="AD146" s="347" t="str">
        <f>$B146</f>
        <v>Flesh to Stone</v>
      </c>
      <c r="AE146" t="str">
        <f>IF(IFERROR(MATCH($B146,temp!A$4:A$13,0),0)&gt;0,T08_Spells!AE$2,"")</f>
        <v/>
      </c>
      <c r="AF146" t="str">
        <f>IF(IFERROR(MATCH($B146,temp!B$4:B$13,0),0)&gt;0,T08_Spells!AF$2,"")</f>
        <v/>
      </c>
      <c r="AG146" t="str">
        <f>IF(IFERROR(MATCH($B146,temp!C$4:C$13,0),0)&gt;0,T08_Spells!AG$2,"")</f>
        <v/>
      </c>
      <c r="AH146" t="str">
        <f>IF(IFERROR(MATCH($B146,temp!D$4:D$13,0),0)&gt;0,T08_Spells!AH$2,"")</f>
        <v/>
      </c>
      <c r="AI146" t="str">
        <f>IF(IFERROR(MATCH($B146,temp!E$4:E$13,0),0)&gt;0,T08_Spells!AI$2,"")</f>
        <v/>
      </c>
      <c r="AJ146" t="str">
        <f>IF(IFERROR(MATCH($B146,temp!F$4:F$13,0),0)&gt;0,T08_Spells!AJ$2,"")</f>
        <v/>
      </c>
      <c r="AK146" t="str">
        <f>IF(IFERROR(MATCH($B146,temp!G$4:G$13,0),0)&gt;0,T08_Spells!AK$2,"")</f>
        <v/>
      </c>
      <c r="AL146" t="str">
        <f>IF(IFERROR(MATCH($B146,temp!H$4:H$13,0),0)&gt;0,T08_Spells!AL$2,"")</f>
        <v/>
      </c>
      <c r="AM146" t="str">
        <f>IF(IFERROR(MATCH($B146,temp!I$4:I$13,0),0)&gt;0,T08_Spells!AM$2,"")</f>
        <v/>
      </c>
      <c r="AN146" t="str">
        <f>IF(IFERROR(MATCH($B146,temp!J$4:J$13,0),0)&gt;0,T08_Spells!AN$2,"")</f>
        <v/>
      </c>
      <c r="AO146" t="str">
        <f>IF(IFERROR(MATCH($B146,temp!K$4:K$13,0),0)&gt;0,T08_Spells!AO$2,"")</f>
        <v/>
      </c>
      <c r="AP146" t="str">
        <f>IF(IFERROR(MATCH($B146,temp!L$4:L$13,0),0)&gt;0,T08_Spells!AP$2,"")</f>
        <v/>
      </c>
      <c r="AQ146" t="str">
        <f>IF(IFERROR(MATCH($B146,temp!M$4:M$13,0),0)&gt;0,T08_Spells!AQ$2,"")</f>
        <v/>
      </c>
      <c r="AR146" t="str">
        <f>IF(IFERROR(MATCH($B146,temp!N$4:N$13,0),0)&gt;0,T08_Spells!AR$2,"")</f>
        <v/>
      </c>
      <c r="AS146" t="str">
        <f>IF(IFERROR(MATCH($B146,temp!O$4:O$13,0),0)&gt;0,T08_Spells!AS$2,"")</f>
        <v/>
      </c>
      <c r="AT146" t="str">
        <f>IF(IFERROR(MATCH($B146,temp!P$4:P$13,0),0)&gt;0,T08_Spells!AT$2,"")</f>
        <v/>
      </c>
      <c r="AU146" t="str">
        <f>IF(IFERROR(MATCH($B146,temp!Q$4:Q$13,0),0)&gt;0,T08_Spells!AU$2,"")</f>
        <v/>
      </c>
      <c r="AV146" t="str">
        <f>IF(IFERROR(MATCH($B146,temp!R$4:R$13,0),0)&gt;0,T08_Spells!AV$2,"")</f>
        <v/>
      </c>
      <c r="AW146" t="str">
        <f>IF(IFERROR(MATCH($B146,temp!S$4:S$13,0),0)&gt;0,T08_Spells!AW$2,"")</f>
        <v/>
      </c>
      <c r="AX146" t="str">
        <f>IF(IFERROR(MATCH($B146,temp!T$4:T$13,0),0)&gt;0,T08_Spells!AX$2,"")</f>
        <v/>
      </c>
      <c r="AY146" t="str">
        <f>IF(IFERROR(MATCH($B146,temp!U$4:U$13,0),0)&gt;0,T08_Spells!AY$2,"")</f>
        <v/>
      </c>
      <c r="AZ146" t="str">
        <f>IF(IFERROR(MATCH($B146,temp!V$4:V$13,0),0)&gt;0,T08_Spells!AZ$2,"")</f>
        <v/>
      </c>
      <c r="BA146" t="str">
        <f>IF(IFERROR(MATCH($B146,temp!W$4:W$13,0),0)&gt;0,T08_Spells!BA$2,"")</f>
        <v/>
      </c>
      <c r="BC146">
        <f>IF(IFERROR(SEARCH("Ranger",$T146,1),0)&gt;0,1,0)*IF(RangerMaxSpellLevel&gt;=$C146,1,0)*IF(IFERROR(MATCH(B146,Character_Creation!$X$79:$X$382,0),0)&gt;0,0,1)</f>
        <v>0</v>
      </c>
      <c r="BD146">
        <f>IF(BC146=0,0,1+COUNTIF(BD$3:BD145,"&gt;0"))</f>
        <v>0</v>
      </c>
      <c r="BE146" t="str">
        <f t="shared" si="143"/>
        <v/>
      </c>
      <c r="BF146" t="str">
        <f t="shared" si="115"/>
        <v/>
      </c>
      <c r="BH146">
        <f>IF(IFERROR(SEARCH("Sorcerer",$T146,1),0)&gt;0,1,0)*IF(SorcererMaxSpellLevel&gt;=$C146,1,0)*IF(IFERROR(MATCH(B146,Character_Creation!$J$380:$J$394,0),0)&gt;0,0,1)</f>
        <v>0</v>
      </c>
      <c r="BI146">
        <f>IF(BH146=0,0,1+COUNTIF(BI$3:BI145,"&gt;0"))</f>
        <v>0</v>
      </c>
      <c r="BJ146" t="str">
        <f t="shared" si="144"/>
        <v/>
      </c>
      <c r="BK146" t="str">
        <f t="shared" si="116"/>
        <v/>
      </c>
      <c r="BM146">
        <f>IF(OR(IFERROR(SEARCH("Warlock",$T146,1),0)&gt;0,IFERROR(SEARCH(WarlockPatron,$T146,1),0)&gt;0),1,0)*IF(WarlockMaxSpellLevel&gt;=$C146,1,0)*IF(IFERROR(MATCH(B146,Character_Creation!$J$361:$J$375,0),0)&gt;0,0,1)</f>
        <v>0</v>
      </c>
      <c r="BN146">
        <f>IF(BM146=0,0,1+COUNTIF(BN$3:BN145,"&gt;0"))</f>
        <v>0</v>
      </c>
      <c r="BO146" t="str">
        <f t="shared" si="145"/>
        <v/>
      </c>
      <c r="BP146" t="str">
        <f t="shared" si="117"/>
        <v/>
      </c>
      <c r="BR146">
        <f>IF(IFERROR(SEARCH("Eldritch Knight",$T146,1),0)&gt;0,1,0)*IF(EldritchKnightMaxSpellLevel&gt;=$C146,1,0)*IF(IFERROR(MATCH($B146,Character_Creation!$J$350:$J$356,0),0)&gt;0,0,1)*IF(Character_Creation!$M$338&gt;0,1,0)</f>
        <v>0</v>
      </c>
      <c r="BS146">
        <f>IF(BR146=0,0,1+COUNTIF(BS$3:BS145,"&gt;0"))</f>
        <v>0</v>
      </c>
      <c r="BT146" t="str">
        <f t="shared" si="146"/>
        <v/>
      </c>
      <c r="BU146" t="str">
        <f t="shared" si="118"/>
        <v/>
      </c>
      <c r="BW146">
        <f>IF(IFERROR(SEARCH("Arcane Trickster",$T146,1),0)&gt;0,1,0)*IF(ArcaneTricksterMaxSpellLevel&gt;=$C146,1,0)*IF(IFERROR(MATCH($B146,Character_Creation!$J$350:$J$356,0),0)&gt;0,0,1)*IF(Character_Creation!$T$338&gt;0,1,0)</f>
        <v>0</v>
      </c>
      <c r="BX146">
        <f>IF(BW146=0,0,1+COUNTIF(BX$3:BX145,"&gt;0"))</f>
        <v>0</v>
      </c>
      <c r="BY146" t="str">
        <f t="shared" si="147"/>
        <v/>
      </c>
      <c r="BZ146" t="str">
        <f t="shared" si="119"/>
        <v/>
      </c>
      <c r="CB146">
        <f>IF(IFERROR(SEARCH("Wizard",$T146,1),0)&gt;0,1,0)*IF(C146&lt;=ArcaneTricksterMaxSpellLevel,1,0)*IF(IFERROR(MATCH($B146,Character_Creation!$J$350:$J$356,0),0)&gt;0,0,1)*IF(Character_Creation!$T$350&gt;0,1,0)</f>
        <v>0</v>
      </c>
      <c r="CC146">
        <f>IF(CB146=0,0,1+COUNTIF(CC$3:CC145,"&gt;0"))</f>
        <v>0</v>
      </c>
      <c r="CD146" t="str">
        <f t="shared" si="148"/>
        <v/>
      </c>
      <c r="CE146" t="str">
        <f t="shared" si="120"/>
        <v/>
      </c>
      <c r="CG146">
        <f>IF(IFERROR(SEARCH("Wizard",$T146,1),0)&gt;0,1,0)*IF($C146&lt;=EldritchKnightMaxSpellLevel,1,0)*IF(IFERROR(MATCH($B146,Character_Creation!$J$350:$J$356,0),0)&gt;0,0,1)*IF(Character_Creation!$M$350&gt;0,1,0)</f>
        <v>0</v>
      </c>
      <c r="CH146">
        <f>IF(CG146=0,0,1+COUNTIF(CH$3:CH145,"&gt;0"))</f>
        <v>0</v>
      </c>
      <c r="CI146" t="str">
        <f t="shared" si="149"/>
        <v/>
      </c>
      <c r="CJ146" t="str">
        <f t="shared" si="121"/>
        <v/>
      </c>
      <c r="CL146">
        <f>IF(IFERROR(SEARCH("Bard",$T146,1),0)&gt;0,1,0)*IF(BardMaxSpellLevel&gt;=$C146,1,0)*IF(IFERROR(MATCH(B146,Character_Creation!$C$341:$F$362,0),0)&gt;0,0,1)*IF(IFERROR(MATCH($B146,Character_Creation!$C$341:$C$362,0),0)&gt;0,0,1)</f>
        <v>0</v>
      </c>
      <c r="CM146">
        <f>IF(CL146=0,0,1+COUNTIF(CM$3:CM145,"&gt;0"))</f>
        <v>0</v>
      </c>
      <c r="CN146" t="str">
        <f t="shared" si="150"/>
        <v/>
      </c>
      <c r="CO146" t="str">
        <f t="shared" si="122"/>
        <v/>
      </c>
      <c r="CQ146">
        <f>IF(IFERROR(SEARCH("Wizard",$T146,1),0)&gt;0,1,0)*IF(WizardMaxSpellLevel&gt;=$C146,1,0)*IF(IFERROR(MATCH(B146,Character_Creation!$X$341:$X$400,0),0)&gt;0,0,1)*IF(SelectedWizardSpellLevel=$C146,1,0)</f>
        <v>0</v>
      </c>
      <c r="CR146">
        <f>IF(CQ146=0,0,1+COUNTIF(CR$3:CR145,"&gt;0"))</f>
        <v>0</v>
      </c>
      <c r="CS146" t="str">
        <f t="shared" si="151"/>
        <v/>
      </c>
      <c r="CT146" t="str">
        <f t="shared" si="123"/>
        <v/>
      </c>
      <c r="CV146">
        <f>IF(IFERROR(MATCH($B146,Character_Creation!$C$341:$C$362,0),0)&gt;0,0,1)*IF(OR(C146="Cantrip",C146&lt;=BardMaxSpellLevel),1,0)*IF(IFERROR(MATCH($B146,Character_Creation!$C$367:$C$374,0),0)&gt;0,0,1)</f>
        <v>0</v>
      </c>
      <c r="CW146">
        <f>IF(CV146=0,0,1+COUNTIF(CW$3:CW145,"&gt;0"))</f>
        <v>0</v>
      </c>
      <c r="CX146" t="str">
        <f t="shared" si="152"/>
        <v/>
      </c>
      <c r="CY146" t="str">
        <f t="shared" si="124"/>
        <v/>
      </c>
      <c r="DA146">
        <f>IF(IF(OR(IFERROR(SEARCH("Cleric",$T146,1),0)&gt;0,IFERROR(SEARCH(DivineDomain&amp;",",$T146,1),0)&gt;0),1,0)*IF($C146=DA$2,1,0)=1,1+COUNTIF(DA$3:DA145,"&gt;0"),0)</f>
        <v>0</v>
      </c>
      <c r="DB146">
        <f>IF(IF(OR(IFERROR(SEARCH("Cleric",$T146,1),0)&gt;0,IFERROR(SEARCH(DivineDomain&amp;",",$T146,1),0)&gt;0),1,0)*IF($C146=DB$2,1,0)=1,1+COUNTIF(DB$3:DB145,"&gt;0"),0)</f>
        <v>0</v>
      </c>
      <c r="DC146">
        <f>IF(IF(OR(IFERROR(SEARCH("Cleric",$T146,1),0)&gt;0,IFERROR(SEARCH(DivineDomain&amp;",",$T146,1),0)&gt;0),1,0)*IF($C146=DC$2,1,0)=1,1+COUNTIF(DC$3:DC145,"&gt;0"),0)</f>
        <v>0</v>
      </c>
      <c r="DD146">
        <f>IF(IF(OR(IFERROR(SEARCH("Cleric",$T146,1),0)&gt;0,IFERROR(SEARCH(DivineDomain&amp;",",$T146,1),0)&gt;0),1,0)*IF($C146=DD$2,1,0)=1,1+COUNTIF(DD$3:DD145,"&gt;0"),0)</f>
        <v>0</v>
      </c>
      <c r="DE146">
        <f>IF(IF(OR(IFERROR(SEARCH("Cleric",$T146,1),0)&gt;0,IFERROR(SEARCH(DivineDomain&amp;",",$T146,1),0)&gt;0),1,0)*IF($C146=DE$2,1,0)=1,1+COUNTIF(DE$3:DE145,"&gt;0"),0)</f>
        <v>0</v>
      </c>
      <c r="DF146">
        <f>IF(IF(OR(IFERROR(SEARCH("Cleric",$T146,1),0)&gt;0,IFERROR(SEARCH(DivineDomain&amp;",",$T146,1),0)&gt;0),1,0)*IF($C146=DF$2,1,0)=1,1+COUNTIF(DF$3:DF145,"&gt;0"),0)</f>
        <v>0</v>
      </c>
      <c r="DG146">
        <f>IF(IF(OR(IFERROR(SEARCH("Cleric",$T146,1),0)&gt;0,IFERROR(SEARCH(DivineDomain&amp;",",$T146,1),0)&gt;0),1,0)*IF($C146=DG$2,1,0)=1,1+COUNTIF(DG$3:DG145,"&gt;0"),0)</f>
        <v>0</v>
      </c>
      <c r="DH146">
        <f>IF(IF(OR(IFERROR(SEARCH("Cleric",$T146,1),0)&gt;0,IFERROR(SEARCH(DivineDomain&amp;",",$T146,1),0)&gt;0),1,0)*IF($C146=DH$2,1,0)=1,1+COUNTIF(DH$3:DH145,"&gt;0"),0)</f>
        <v>0</v>
      </c>
      <c r="DI146">
        <f>IF(IF(OR(IFERROR(SEARCH("Cleric",$T146,1),0)&gt;0,IFERROR(SEARCH(DivineDomain&amp;",",$T146,1),0)&gt;0),1,0)*IF($C146=DI$2,1,0)=1,1+COUNTIF(DI$3:DI145,"&gt;0"),0)</f>
        <v>0</v>
      </c>
      <c r="DJ146">
        <f>IF(IF(OR(IFERROR(SEARCH("Druid",$T146,1),0)&gt;0,IFERROR(SEARCH(DruidLand1,$T146,1),0)&gt;0,IFERROR(SEARCH(DruidLand2,$T146,1),0)&gt;0,IFERROR(SEARCH(DruidLand3,$T146,1),0)&gt;0,IFERROR(SEARCH(DruidLand4,$T146,1),0)&gt;0),1,0)*IF($C146=1,1,0)*IF($C146=DJ$2,1,0)=0,0,1+COUNTIF(DJ$3:DJ145,"&gt;0"))</f>
        <v>0</v>
      </c>
      <c r="DK146">
        <f>IF(IF(OR(IFERROR(SEARCH("Druid",$T146,1),0)&gt;0,IFERROR(SEARCH(DruidLand1,$T146,1),0)&gt;0,IFERROR(SEARCH(DruidLand2,$T146,1),0)&gt;0,IFERROR(SEARCH(DruidLand3,$T146,1),0)&gt;0,IFERROR(SEARCH(DruidLand4,$T146,1),0)&gt;0),1,0)*IF($C146=1,1,0)*IF($C146=DK$2,1,0)=0,0,1+COUNTIF(DK$3:DK145,"&gt;0"))</f>
        <v>0</v>
      </c>
      <c r="DL146">
        <f>IF(IF(OR(IFERROR(SEARCH("Druid",$T146,1),0)&gt;0,IFERROR(SEARCH(DruidLand1,$T146,1),0)&gt;0,IFERROR(SEARCH(DruidLand2,$T146,1),0)&gt;0,IFERROR(SEARCH(DruidLand3,$T146,1),0)&gt;0,IFERROR(SEARCH(DruidLand4,$T146,1),0)&gt;0),1,0)*IF($C146=1,1,0)*IF($C146=DL$2,1,0)=0,0,1+COUNTIF(DL$3:DL145,"&gt;0"))</f>
        <v>0</v>
      </c>
      <c r="DM146">
        <f>IF(IF(OR(IFERROR(SEARCH("Druid",$T146,1),0)&gt;0,IFERROR(SEARCH(DruidLand1,$T146,1),0)&gt;0,IFERROR(SEARCH(DruidLand2,$T146,1),0)&gt;0,IFERROR(SEARCH(DruidLand3,$T146,1),0)&gt;0,IFERROR(SEARCH(DruidLand4,$T146,1),0)&gt;0),1,0)*IF($C146=1,1,0)*IF($C146=DM$2,1,0)=0,0,1+COUNTIF(DM$3:DM145,"&gt;0"))</f>
        <v>0</v>
      </c>
      <c r="DN146">
        <f>IF(IF(OR(IFERROR(SEARCH("Druid",$T146,1),0)&gt;0,IFERROR(SEARCH(DruidLand1,$T146,1),0)&gt;0,IFERROR(SEARCH(DruidLand2,$T146,1),0)&gt;0,IFERROR(SEARCH(DruidLand3,$T146,1),0)&gt;0,IFERROR(SEARCH(DruidLand4,$T146,1),0)&gt;0),1,0)*IF($C146=1,1,0)*IF($C146=DN$2,1,0)=0,0,1+COUNTIF(DN$3:DN145,"&gt;0"))</f>
        <v>0</v>
      </c>
      <c r="DO146">
        <f>IF(IF(OR(IFERROR(SEARCH("Druid",$T146,1),0)&gt;0,IFERROR(SEARCH(DruidLand1,$T146,1),0)&gt;0,IFERROR(SEARCH(DruidLand2,$T146,1),0)&gt;0,IFERROR(SEARCH(DruidLand3,$T146,1),0)&gt;0,IFERROR(SEARCH(DruidLand4,$T146,1),0)&gt;0),1,0)*IF($C146=1,1,0)*IF($C146=DO$2,1,0)=0,0,1+COUNTIF(DO$3:DO145,"&gt;0"))</f>
        <v>0</v>
      </c>
      <c r="DP146">
        <f>IF(IF(OR(IFERROR(SEARCH("Druid",$T146,1),0)&gt;0,IFERROR(SEARCH(DruidLand1,$T146,1),0)&gt;0,IFERROR(SEARCH(DruidLand2,$T146,1),0)&gt;0,IFERROR(SEARCH(DruidLand3,$T146,1),0)&gt;0,IFERROR(SEARCH(DruidLand4,$T146,1),0)&gt;0),1,0)*IF($C146=1,1,0)*IF($C146=DP$2,1,0)=0,0,1+COUNTIF(DP$3:DP145,"&gt;0"))</f>
        <v>0</v>
      </c>
      <c r="DQ146">
        <f>IF(IF(OR(IFERROR(SEARCH("Druid",$T146,1),0)&gt;0,IFERROR(SEARCH(DruidLand1,$T146,1),0)&gt;0,IFERROR(SEARCH(DruidLand2,$T146,1),0)&gt;0,IFERROR(SEARCH(DruidLand3,$T146,1),0)&gt;0,IFERROR(SEARCH(DruidLand4,$T146,1),0)&gt;0),1,0)*IF($C146=1,1,0)*IF($C146=DQ$2,1,0)=0,0,1+COUNTIF(DQ$3:DQ145,"&gt;0"))</f>
        <v>0</v>
      </c>
      <c r="DR146">
        <f>IF(IF(OR(IFERROR(SEARCH("Druid",$T146,1),0)&gt;0,IFERROR(SEARCH(DruidLand1,$T146,1),0)&gt;0,IFERROR(SEARCH(DruidLand2,$T146,1),0)&gt;0,IFERROR(SEARCH(DruidLand3,$T146,1),0)&gt;0,IFERROR(SEARCH(DruidLand4,$T146,1),0)&gt;0),1,0)*IF($C146=1,1,0)*IF($C146=DR$2,1,0)=0,0,1+COUNTIF(DR$3:DR145,"&gt;0"))</f>
        <v>0</v>
      </c>
      <c r="DS146">
        <f>IF(IF(OR(IFERROR(SEARCH("Paladin",$T146,1),0)&gt;0,IFERROR(SEARCH(PaladinOath,$T146,1),0)&gt;0),1,0)*IF($C146=DS$2,1,0)=1,1+COUNTIF(DS$3:DS145,"&gt;0"),0)</f>
        <v>0</v>
      </c>
      <c r="DT146">
        <f>IF(IF(OR(IFERROR(SEARCH("Paladin",$T146,1),0)&gt;0,IFERROR(SEARCH(PaladinOath,$T146,1),0)&gt;0),1,0)*IF($C146=DT$2,1,0)=1,1+COUNTIF(DT$3:DT145,"&gt;0"),0)</f>
        <v>0</v>
      </c>
      <c r="DU146">
        <f>IF(IF(OR(IFERROR(SEARCH("Paladin",$T146,1),0)&gt;0,IFERROR(SEARCH(PaladinOath,$T146,1),0)&gt;0),1,0)*IF($C146=DU$2,1,0)=1,1+COUNTIF(DU$3:DU145,"&gt;0"),0)</f>
        <v>0</v>
      </c>
      <c r="DV146">
        <f>IF(IF(OR(IFERROR(SEARCH("Paladin",$T146,1),0)&gt;0,IFERROR(SEARCH(PaladinOath,$T146,1),0)&gt;0),1,0)*IF($C146=DV$2,1,0)=1,1+COUNTIF(DV$3:DV145,"&gt;0"),0)</f>
        <v>0</v>
      </c>
      <c r="DW146">
        <f>IF(IF(OR(IFERROR(SEARCH("Paladin",$T146,1),0)&gt;0,IFERROR(SEARCH(PaladinOath,$T146,1),0)&gt;0),1,0)*IF($C146=DW$2,1,0)=1,1+COUNTIF(DW$3:DW145,"&gt;0"),0)</f>
        <v>0</v>
      </c>
      <c r="DY146">
        <f t="shared" si="111"/>
        <v>1</v>
      </c>
      <c r="DZ146">
        <f>IF(DY146=0,0,1+MAX(DZ$3:$DZ145))</f>
        <v>144</v>
      </c>
      <c r="EB146">
        <f t="shared" si="125"/>
        <v>0</v>
      </c>
      <c r="EC146">
        <f>IF(EB146=0,0,1+COUNTIF(EC$3:EC145,"&gt;0"))</f>
        <v>0</v>
      </c>
      <c r="ED146" t="str">
        <f t="shared" si="153"/>
        <v/>
      </c>
      <c r="EE146" t="str">
        <f t="shared" si="126"/>
        <v/>
      </c>
      <c r="EG146">
        <f t="shared" si="127"/>
        <v>0</v>
      </c>
      <c r="EH146">
        <f>IF(EG146=0,0,1+COUNTIF(EH$3:EH145,"&gt;0"))</f>
        <v>0</v>
      </c>
      <c r="EI146" t="str">
        <f t="shared" si="154"/>
        <v/>
      </c>
      <c r="EJ146" t="str">
        <f t="shared" si="128"/>
        <v/>
      </c>
      <c r="EL146">
        <f t="shared" si="129"/>
        <v>0</v>
      </c>
      <c r="EM146">
        <f>IF(EL146=0,0,1+COUNTIF(EM$3:EM145,"&gt;0"))</f>
        <v>0</v>
      </c>
      <c r="EN146" t="str">
        <f t="shared" si="155"/>
        <v/>
      </c>
      <c r="EO146" t="str">
        <f t="shared" si="130"/>
        <v/>
      </c>
      <c r="EQ146">
        <f t="shared" si="131"/>
        <v>0</v>
      </c>
      <c r="ER146">
        <f>IF(EQ146=0,0,1+COUNTIF(ER$3:ER145,"&gt;0"))</f>
        <v>0</v>
      </c>
      <c r="ES146" t="str">
        <f t="shared" si="156"/>
        <v/>
      </c>
      <c r="ET146" t="str">
        <f t="shared" si="132"/>
        <v/>
      </c>
      <c r="EV146">
        <f t="shared" si="133"/>
        <v>0</v>
      </c>
      <c r="EW146">
        <f>IF(EV146=0,0,1+COUNTIF(EW$3:EW145,"&gt;0"))</f>
        <v>0</v>
      </c>
      <c r="EX146" t="str">
        <f t="shared" si="157"/>
        <v/>
      </c>
      <c r="EY146" t="str">
        <f t="shared" si="134"/>
        <v/>
      </c>
      <c r="FA146">
        <f t="shared" si="135"/>
        <v>0</v>
      </c>
      <c r="FB146">
        <f>IF(FA146=0,0,1+COUNTIF(FB$3:FB145,"&gt;0"))</f>
        <v>0</v>
      </c>
      <c r="FC146" t="str">
        <f t="shared" si="158"/>
        <v/>
      </c>
      <c r="FD146" t="str">
        <f t="shared" si="136"/>
        <v/>
      </c>
      <c r="FF146">
        <f t="shared" si="137"/>
        <v>0</v>
      </c>
      <c r="FG146">
        <f>IF(FF146=0,0,1+COUNTIF(FG$3:FG145,"&gt;0"))</f>
        <v>0</v>
      </c>
      <c r="FH146" t="str">
        <f t="shared" si="159"/>
        <v/>
      </c>
      <c r="FI146" t="str">
        <f t="shared" si="138"/>
        <v/>
      </c>
      <c r="FK146">
        <f t="shared" si="139"/>
        <v>0</v>
      </c>
      <c r="FL146">
        <f>IF(FK146=0,0,1+COUNTIF(FL$3:FL145,"&gt;0"))</f>
        <v>0</v>
      </c>
      <c r="FM146" t="str">
        <f t="shared" si="160"/>
        <v/>
      </c>
      <c r="FN146" t="str">
        <f t="shared" si="140"/>
        <v/>
      </c>
      <c r="FP146">
        <f t="shared" si="141"/>
        <v>0</v>
      </c>
      <c r="FQ146">
        <f>IF(FP146=0,0,1+COUNTIF(FQ$3:FQ145,"&gt;0"))</f>
        <v>0</v>
      </c>
      <c r="FR146" t="str">
        <f t="shared" si="161"/>
        <v/>
      </c>
      <c r="FS146" t="str">
        <f t="shared" si="142"/>
        <v/>
      </c>
    </row>
    <row r="147" spans="1:175" x14ac:dyDescent="0.25">
      <c r="A147" s="347">
        <f t="shared" si="162"/>
        <v>145</v>
      </c>
      <c r="B147" s="348" t="s">
        <v>2516</v>
      </c>
      <c r="C147" s="348">
        <v>3</v>
      </c>
      <c r="D147" s="347">
        <v>3</v>
      </c>
      <c r="E147" s="627" t="s">
        <v>6952</v>
      </c>
      <c r="F147" s="346"/>
      <c r="G147" s="347" t="str">
        <f>""</f>
        <v/>
      </c>
      <c r="H147" s="347" t="s">
        <v>5912</v>
      </c>
      <c r="I147" s="347" t="s">
        <v>5298</v>
      </c>
      <c r="J147" s="347" t="str">
        <f t="shared" si="112"/>
        <v/>
      </c>
      <c r="K147" s="347" t="s">
        <v>5297</v>
      </c>
      <c r="L147" s="611" t="str">
        <f t="shared" si="113"/>
        <v>V, S, M, a wing feather from any bird</v>
      </c>
      <c r="M147" s="347" t="s">
        <v>2373</v>
      </c>
      <c r="N147" s="347" t="s">
        <v>2387</v>
      </c>
      <c r="O147" s="347" t="s">
        <v>1244</v>
      </c>
      <c r="P147" s="346" t="s">
        <v>5375</v>
      </c>
      <c r="Q147" s="347" t="s">
        <v>5276</v>
      </c>
      <c r="S147" s="346" t="s">
        <v>5702</v>
      </c>
      <c r="T147" s="346" t="str">
        <f t="shared" si="114"/>
        <v xml:space="preserve">Sorcerer, Warlock, Wizard, </v>
      </c>
      <c r="X147" s="347" t="str">
        <f>$B147</f>
        <v>Fly</v>
      </c>
      <c r="Y147" s="347" t="str">
        <f>$B147</f>
        <v>Fly</v>
      </c>
      <c r="AD147" s="347" t="str">
        <f>$B147</f>
        <v>Fly</v>
      </c>
      <c r="AE147" t="str">
        <f>IF(IFERROR(MATCH($B147,temp!A$4:A$13,0),0)&gt;0,T08_Spells!AE$2,"")</f>
        <v/>
      </c>
      <c r="AF147" t="str">
        <f>IF(IFERROR(MATCH($B147,temp!B$4:B$13,0),0)&gt;0,T08_Spells!AF$2,"")</f>
        <v/>
      </c>
      <c r="AG147" t="str">
        <f>IF(IFERROR(MATCH($B147,temp!C$4:C$13,0),0)&gt;0,T08_Spells!AG$2,"")</f>
        <v/>
      </c>
      <c r="AH147" t="str">
        <f>IF(IFERROR(MATCH($B147,temp!D$4:D$13,0),0)&gt;0,T08_Spells!AH$2,"")</f>
        <v/>
      </c>
      <c r="AI147" t="str">
        <f>IF(IFERROR(MATCH($B147,temp!E$4:E$13,0),0)&gt;0,T08_Spells!AI$2,"")</f>
        <v/>
      </c>
      <c r="AJ147" t="str">
        <f>IF(IFERROR(MATCH($B147,temp!F$4:F$13,0),0)&gt;0,T08_Spells!AJ$2,"")</f>
        <v/>
      </c>
      <c r="AK147" t="str">
        <f>IF(IFERROR(MATCH($B147,temp!G$4:G$13,0),0)&gt;0,T08_Spells!AK$2,"")</f>
        <v/>
      </c>
      <c r="AL147" t="str">
        <f>IF(IFERROR(MATCH($B147,temp!H$4:H$13,0),0)&gt;0,T08_Spells!AL$2,"")</f>
        <v/>
      </c>
      <c r="AM147" t="str">
        <f>IF(IFERROR(MATCH($B147,temp!I$4:I$13,0),0)&gt;0,T08_Spells!AM$2,"")</f>
        <v/>
      </c>
      <c r="AN147" t="str">
        <f>IF(IFERROR(MATCH($B147,temp!J$4:J$13,0),0)&gt;0,T08_Spells!AN$2,"")</f>
        <v/>
      </c>
      <c r="AO147" t="str">
        <f>IF(IFERROR(MATCH($B147,temp!K$4:K$13,0),0)&gt;0,T08_Spells!AO$2,"")</f>
        <v/>
      </c>
      <c r="AP147" t="str">
        <f>IF(IFERROR(MATCH($B147,temp!L$4:L$13,0),0)&gt;0,T08_Spells!AP$2,"")</f>
        <v/>
      </c>
      <c r="AQ147" t="str">
        <f>IF(IFERROR(MATCH($B147,temp!M$4:M$13,0),0)&gt;0,T08_Spells!AQ$2,"")</f>
        <v/>
      </c>
      <c r="AR147" t="str">
        <f>IF(IFERROR(MATCH($B147,temp!N$4:N$13,0),0)&gt;0,T08_Spells!AR$2,"")</f>
        <v/>
      </c>
      <c r="AS147" t="str">
        <f>IF(IFERROR(MATCH($B147,temp!O$4:O$13,0),0)&gt;0,T08_Spells!AS$2,"")</f>
        <v/>
      </c>
      <c r="AT147" t="str">
        <f>IF(IFERROR(MATCH($B147,temp!P$4:P$13,0),0)&gt;0,T08_Spells!AT$2,"")</f>
        <v/>
      </c>
      <c r="AU147" t="str">
        <f>IF(IFERROR(MATCH($B147,temp!Q$4:Q$13,0),0)&gt;0,T08_Spells!AU$2,"")</f>
        <v/>
      </c>
      <c r="AV147" t="str">
        <f>IF(IFERROR(MATCH($B147,temp!R$4:R$13,0),0)&gt;0,T08_Spells!AV$2,"")</f>
        <v/>
      </c>
      <c r="AW147" t="str">
        <f>IF(IFERROR(MATCH($B147,temp!S$4:S$13,0),0)&gt;0,T08_Spells!AW$2,"")</f>
        <v/>
      </c>
      <c r="AX147" t="str">
        <f>IF(IFERROR(MATCH($B147,temp!T$4:T$13,0),0)&gt;0,T08_Spells!AX$2,"")</f>
        <v/>
      </c>
      <c r="AY147" t="str">
        <f>IF(IFERROR(MATCH($B147,temp!U$4:U$13,0),0)&gt;0,T08_Spells!AY$2,"")</f>
        <v/>
      </c>
      <c r="AZ147" t="str">
        <f>IF(IFERROR(MATCH($B147,temp!V$4:V$13,0),0)&gt;0,T08_Spells!AZ$2,"")</f>
        <v/>
      </c>
      <c r="BA147" t="str">
        <f>IF(IFERROR(MATCH($B147,temp!W$4:W$13,0),0)&gt;0,T08_Spells!BA$2,"")</f>
        <v/>
      </c>
      <c r="BC147">
        <f>IF(IFERROR(SEARCH("Ranger",$T147,1),0)&gt;0,1,0)*IF(RangerMaxSpellLevel&gt;=$C147,1,0)*IF(IFERROR(MATCH(B147,Character_Creation!$X$79:$X$382,0),0)&gt;0,0,1)</f>
        <v>0</v>
      </c>
      <c r="BD147">
        <f>IF(BC147=0,0,1+COUNTIF(BD$3:BD146,"&gt;0"))</f>
        <v>0</v>
      </c>
      <c r="BE147" t="str">
        <f t="shared" si="143"/>
        <v/>
      </c>
      <c r="BF147" t="str">
        <f t="shared" si="115"/>
        <v/>
      </c>
      <c r="BH147">
        <f>IF(IFERROR(SEARCH("Sorcerer",$T147,1),0)&gt;0,1,0)*IF(SorcererMaxSpellLevel&gt;=$C147,1,0)*IF(IFERROR(MATCH(B147,Character_Creation!$J$380:$J$394,0),0)&gt;0,0,1)</f>
        <v>0</v>
      </c>
      <c r="BI147">
        <f>IF(BH147=0,0,1+COUNTIF(BI$3:BI146,"&gt;0"))</f>
        <v>0</v>
      </c>
      <c r="BJ147" t="str">
        <f t="shared" si="144"/>
        <v/>
      </c>
      <c r="BK147" t="str">
        <f t="shared" si="116"/>
        <v/>
      </c>
      <c r="BM147">
        <f>IF(OR(IFERROR(SEARCH("Warlock",$T147,1),0)&gt;0,IFERROR(SEARCH(WarlockPatron,$T147,1),0)&gt;0),1,0)*IF(WarlockMaxSpellLevel&gt;=$C147,1,0)*IF(IFERROR(MATCH(B147,Character_Creation!$J$361:$J$375,0),0)&gt;0,0,1)</f>
        <v>0</v>
      </c>
      <c r="BN147">
        <f>IF(BM147=0,0,1+COUNTIF(BN$3:BN146,"&gt;0"))</f>
        <v>0</v>
      </c>
      <c r="BO147" t="str">
        <f t="shared" si="145"/>
        <v/>
      </c>
      <c r="BP147" t="str">
        <f t="shared" si="117"/>
        <v/>
      </c>
      <c r="BR147">
        <f>IF(IFERROR(SEARCH("Eldritch Knight",$T147,1),0)&gt;0,1,0)*IF(EldritchKnightMaxSpellLevel&gt;=$C147,1,0)*IF(IFERROR(MATCH($B147,Character_Creation!$J$350:$J$356,0),0)&gt;0,0,1)*IF(Character_Creation!$M$338&gt;0,1,0)</f>
        <v>0</v>
      </c>
      <c r="BS147">
        <f>IF(BR147=0,0,1+COUNTIF(BS$3:BS146,"&gt;0"))</f>
        <v>0</v>
      </c>
      <c r="BT147" t="str">
        <f t="shared" si="146"/>
        <v/>
      </c>
      <c r="BU147" t="str">
        <f t="shared" si="118"/>
        <v/>
      </c>
      <c r="BW147">
        <f>IF(IFERROR(SEARCH("Arcane Trickster",$T147,1),0)&gt;0,1,0)*IF(ArcaneTricksterMaxSpellLevel&gt;=$C147,1,0)*IF(IFERROR(MATCH($B147,Character_Creation!$J$350:$J$356,0),0)&gt;0,0,1)*IF(Character_Creation!$T$338&gt;0,1,0)</f>
        <v>0</v>
      </c>
      <c r="BX147">
        <f>IF(BW147=0,0,1+COUNTIF(BX$3:BX146,"&gt;0"))</f>
        <v>0</v>
      </c>
      <c r="BY147" t="str">
        <f t="shared" si="147"/>
        <v/>
      </c>
      <c r="BZ147" t="str">
        <f t="shared" si="119"/>
        <v/>
      </c>
      <c r="CB147">
        <f>IF(IFERROR(SEARCH("Wizard",$T147,1),0)&gt;0,1,0)*IF(C147&lt;=ArcaneTricksterMaxSpellLevel,1,0)*IF(IFERROR(MATCH($B147,Character_Creation!$J$350:$J$356,0),0)&gt;0,0,1)*IF(Character_Creation!$T$350&gt;0,1,0)</f>
        <v>0</v>
      </c>
      <c r="CC147">
        <f>IF(CB147=0,0,1+COUNTIF(CC$3:CC146,"&gt;0"))</f>
        <v>0</v>
      </c>
      <c r="CD147" t="str">
        <f t="shared" si="148"/>
        <v/>
      </c>
      <c r="CE147" t="str">
        <f t="shared" si="120"/>
        <v/>
      </c>
      <c r="CG147">
        <f>IF(IFERROR(SEARCH("Wizard",$T147,1),0)&gt;0,1,0)*IF($C147&lt;=EldritchKnightMaxSpellLevel,1,0)*IF(IFERROR(MATCH($B147,Character_Creation!$J$350:$J$356,0),0)&gt;0,0,1)*IF(Character_Creation!$M$350&gt;0,1,0)</f>
        <v>0</v>
      </c>
      <c r="CH147">
        <f>IF(CG147=0,0,1+COUNTIF(CH$3:CH146,"&gt;0"))</f>
        <v>0</v>
      </c>
      <c r="CI147" t="str">
        <f t="shared" si="149"/>
        <v/>
      </c>
      <c r="CJ147" t="str">
        <f t="shared" si="121"/>
        <v/>
      </c>
      <c r="CL147">
        <f>IF(IFERROR(SEARCH("Bard",$T147,1),0)&gt;0,1,0)*IF(BardMaxSpellLevel&gt;=$C147,1,0)*IF(IFERROR(MATCH(B147,Character_Creation!$C$341:$F$362,0),0)&gt;0,0,1)*IF(IFERROR(MATCH($B147,Character_Creation!$C$341:$C$362,0),0)&gt;0,0,1)</f>
        <v>0</v>
      </c>
      <c r="CM147">
        <f>IF(CL147=0,0,1+COUNTIF(CM$3:CM146,"&gt;0"))</f>
        <v>0</v>
      </c>
      <c r="CN147" t="str">
        <f t="shared" si="150"/>
        <v/>
      </c>
      <c r="CO147" t="str">
        <f t="shared" si="122"/>
        <v/>
      </c>
      <c r="CQ147">
        <f>IF(IFERROR(SEARCH("Wizard",$T147,1),0)&gt;0,1,0)*IF(WizardMaxSpellLevel&gt;=$C147,1,0)*IF(IFERROR(MATCH(B147,Character_Creation!$X$341:$X$400,0),0)&gt;0,0,1)*IF(SelectedWizardSpellLevel=$C147,1,0)</f>
        <v>0</v>
      </c>
      <c r="CR147">
        <f>IF(CQ147=0,0,1+COUNTIF(CR$3:CR146,"&gt;0"))</f>
        <v>0</v>
      </c>
      <c r="CS147" t="str">
        <f t="shared" si="151"/>
        <v/>
      </c>
      <c r="CT147" t="str">
        <f t="shared" si="123"/>
        <v/>
      </c>
      <c r="CV147">
        <f>IF(IFERROR(MATCH($B147,Character_Creation!$C$341:$C$362,0),0)&gt;0,0,1)*IF(OR(C147="Cantrip",C147&lt;=BardMaxSpellLevel),1,0)*IF(IFERROR(MATCH($B147,Character_Creation!$C$367:$C$374,0),0)&gt;0,0,1)</f>
        <v>0</v>
      </c>
      <c r="CW147">
        <f>IF(CV147=0,0,1+COUNTIF(CW$3:CW146,"&gt;0"))</f>
        <v>0</v>
      </c>
      <c r="CX147" t="str">
        <f t="shared" si="152"/>
        <v/>
      </c>
      <c r="CY147" t="str">
        <f t="shared" si="124"/>
        <v/>
      </c>
      <c r="DA147">
        <f>IF(IF(OR(IFERROR(SEARCH("Cleric",$T147,1),0)&gt;0,IFERROR(SEARCH(DivineDomain&amp;",",$T147,1),0)&gt;0),1,0)*IF($C147=DA$2,1,0)=1,1+COUNTIF(DA$3:DA146,"&gt;0"),0)</f>
        <v>0</v>
      </c>
      <c r="DB147">
        <f>IF(IF(OR(IFERROR(SEARCH("Cleric",$T147,1),0)&gt;0,IFERROR(SEARCH(DivineDomain&amp;",",$T147,1),0)&gt;0),1,0)*IF($C147=DB$2,1,0)=1,1+COUNTIF(DB$3:DB146,"&gt;0"),0)</f>
        <v>0</v>
      </c>
      <c r="DC147">
        <f>IF(IF(OR(IFERROR(SEARCH("Cleric",$T147,1),0)&gt;0,IFERROR(SEARCH(DivineDomain&amp;",",$T147,1),0)&gt;0),1,0)*IF($C147=DC$2,1,0)=1,1+COUNTIF(DC$3:DC146,"&gt;0"),0)</f>
        <v>0</v>
      </c>
      <c r="DD147">
        <f>IF(IF(OR(IFERROR(SEARCH("Cleric",$T147,1),0)&gt;0,IFERROR(SEARCH(DivineDomain&amp;",",$T147,1),0)&gt;0),1,0)*IF($C147=DD$2,1,0)=1,1+COUNTIF(DD$3:DD146,"&gt;0"),0)</f>
        <v>0</v>
      </c>
      <c r="DE147">
        <f>IF(IF(OR(IFERROR(SEARCH("Cleric",$T147,1),0)&gt;0,IFERROR(SEARCH(DivineDomain&amp;",",$T147,1),0)&gt;0),1,0)*IF($C147=DE$2,1,0)=1,1+COUNTIF(DE$3:DE146,"&gt;0"),0)</f>
        <v>0</v>
      </c>
      <c r="DF147">
        <f>IF(IF(OR(IFERROR(SEARCH("Cleric",$T147,1),0)&gt;0,IFERROR(SEARCH(DivineDomain&amp;",",$T147,1),0)&gt;0),1,0)*IF($C147=DF$2,1,0)=1,1+COUNTIF(DF$3:DF146,"&gt;0"),0)</f>
        <v>0</v>
      </c>
      <c r="DG147">
        <f>IF(IF(OR(IFERROR(SEARCH("Cleric",$T147,1),0)&gt;0,IFERROR(SEARCH(DivineDomain&amp;",",$T147,1),0)&gt;0),1,0)*IF($C147=DG$2,1,0)=1,1+COUNTIF(DG$3:DG146,"&gt;0"),0)</f>
        <v>0</v>
      </c>
      <c r="DH147">
        <f>IF(IF(OR(IFERROR(SEARCH("Cleric",$T147,1),0)&gt;0,IFERROR(SEARCH(DivineDomain&amp;",",$T147,1),0)&gt;0),1,0)*IF($C147=DH$2,1,0)=1,1+COUNTIF(DH$3:DH146,"&gt;0"),0)</f>
        <v>0</v>
      </c>
      <c r="DI147">
        <f>IF(IF(OR(IFERROR(SEARCH("Cleric",$T147,1),0)&gt;0,IFERROR(SEARCH(DivineDomain&amp;",",$T147,1),0)&gt;0),1,0)*IF($C147=DI$2,1,0)=1,1+COUNTIF(DI$3:DI146,"&gt;0"),0)</f>
        <v>0</v>
      </c>
      <c r="DJ147">
        <f>IF(IF(OR(IFERROR(SEARCH("Druid",$T147,1),0)&gt;0,IFERROR(SEARCH(DruidLand1,$T147,1),0)&gt;0,IFERROR(SEARCH(DruidLand2,$T147,1),0)&gt;0,IFERROR(SEARCH(DruidLand3,$T147,1),0)&gt;0,IFERROR(SEARCH(DruidLand4,$T147,1),0)&gt;0),1,0)*IF($C147=1,1,0)*IF($C147=DJ$2,1,0)=0,0,1+COUNTIF(DJ$3:DJ146,"&gt;0"))</f>
        <v>0</v>
      </c>
      <c r="DK147">
        <f>IF(IF(OR(IFERROR(SEARCH("Druid",$T147,1),0)&gt;0,IFERROR(SEARCH(DruidLand1,$T147,1),0)&gt;0,IFERROR(SEARCH(DruidLand2,$T147,1),0)&gt;0,IFERROR(SEARCH(DruidLand3,$T147,1),0)&gt;0,IFERROR(SEARCH(DruidLand4,$T147,1),0)&gt;0),1,0)*IF($C147=1,1,0)*IF($C147=DK$2,1,0)=0,0,1+COUNTIF(DK$3:DK146,"&gt;0"))</f>
        <v>0</v>
      </c>
      <c r="DL147">
        <f>IF(IF(OR(IFERROR(SEARCH("Druid",$T147,1),0)&gt;0,IFERROR(SEARCH(DruidLand1,$T147,1),0)&gt;0,IFERROR(SEARCH(DruidLand2,$T147,1),0)&gt;0,IFERROR(SEARCH(DruidLand3,$T147,1),0)&gt;0,IFERROR(SEARCH(DruidLand4,$T147,1),0)&gt;0),1,0)*IF($C147=1,1,0)*IF($C147=DL$2,1,0)=0,0,1+COUNTIF(DL$3:DL146,"&gt;0"))</f>
        <v>0</v>
      </c>
      <c r="DM147">
        <f>IF(IF(OR(IFERROR(SEARCH("Druid",$T147,1),0)&gt;0,IFERROR(SEARCH(DruidLand1,$T147,1),0)&gt;0,IFERROR(SEARCH(DruidLand2,$T147,1),0)&gt;0,IFERROR(SEARCH(DruidLand3,$T147,1),0)&gt;0,IFERROR(SEARCH(DruidLand4,$T147,1),0)&gt;0),1,0)*IF($C147=1,1,0)*IF($C147=DM$2,1,0)=0,0,1+COUNTIF(DM$3:DM146,"&gt;0"))</f>
        <v>0</v>
      </c>
      <c r="DN147">
        <f>IF(IF(OR(IFERROR(SEARCH("Druid",$T147,1),0)&gt;0,IFERROR(SEARCH(DruidLand1,$T147,1),0)&gt;0,IFERROR(SEARCH(DruidLand2,$T147,1),0)&gt;0,IFERROR(SEARCH(DruidLand3,$T147,1),0)&gt;0,IFERROR(SEARCH(DruidLand4,$T147,1),0)&gt;0),1,0)*IF($C147=1,1,0)*IF($C147=DN$2,1,0)=0,0,1+COUNTIF(DN$3:DN146,"&gt;0"))</f>
        <v>0</v>
      </c>
      <c r="DO147">
        <f>IF(IF(OR(IFERROR(SEARCH("Druid",$T147,1),0)&gt;0,IFERROR(SEARCH(DruidLand1,$T147,1),0)&gt;0,IFERROR(SEARCH(DruidLand2,$T147,1),0)&gt;0,IFERROR(SEARCH(DruidLand3,$T147,1),0)&gt;0,IFERROR(SEARCH(DruidLand4,$T147,1),0)&gt;0),1,0)*IF($C147=1,1,0)*IF($C147=DO$2,1,0)=0,0,1+COUNTIF(DO$3:DO146,"&gt;0"))</f>
        <v>0</v>
      </c>
      <c r="DP147">
        <f>IF(IF(OR(IFERROR(SEARCH("Druid",$T147,1),0)&gt;0,IFERROR(SEARCH(DruidLand1,$T147,1),0)&gt;0,IFERROR(SEARCH(DruidLand2,$T147,1),0)&gt;0,IFERROR(SEARCH(DruidLand3,$T147,1),0)&gt;0,IFERROR(SEARCH(DruidLand4,$T147,1),0)&gt;0),1,0)*IF($C147=1,1,0)*IF($C147=DP$2,1,0)=0,0,1+COUNTIF(DP$3:DP146,"&gt;0"))</f>
        <v>0</v>
      </c>
      <c r="DQ147">
        <f>IF(IF(OR(IFERROR(SEARCH("Druid",$T147,1),0)&gt;0,IFERROR(SEARCH(DruidLand1,$T147,1),0)&gt;0,IFERROR(SEARCH(DruidLand2,$T147,1),0)&gt;0,IFERROR(SEARCH(DruidLand3,$T147,1),0)&gt;0,IFERROR(SEARCH(DruidLand4,$T147,1),0)&gt;0),1,0)*IF($C147=1,1,0)*IF($C147=DQ$2,1,0)=0,0,1+COUNTIF(DQ$3:DQ146,"&gt;0"))</f>
        <v>0</v>
      </c>
      <c r="DR147">
        <f>IF(IF(OR(IFERROR(SEARCH("Druid",$T147,1),0)&gt;0,IFERROR(SEARCH(DruidLand1,$T147,1),0)&gt;0,IFERROR(SEARCH(DruidLand2,$T147,1),0)&gt;0,IFERROR(SEARCH(DruidLand3,$T147,1),0)&gt;0,IFERROR(SEARCH(DruidLand4,$T147,1),0)&gt;0),1,0)*IF($C147=1,1,0)*IF($C147=DR$2,1,0)=0,0,1+COUNTIF(DR$3:DR146,"&gt;0"))</f>
        <v>0</v>
      </c>
      <c r="DS147">
        <f>IF(IF(OR(IFERROR(SEARCH("Paladin",$T147,1),0)&gt;0,IFERROR(SEARCH(PaladinOath,$T147,1),0)&gt;0),1,0)*IF($C147=DS$2,1,0)=1,1+COUNTIF(DS$3:DS146,"&gt;0"),0)</f>
        <v>0</v>
      </c>
      <c r="DT147">
        <f>IF(IF(OR(IFERROR(SEARCH("Paladin",$T147,1),0)&gt;0,IFERROR(SEARCH(PaladinOath,$T147,1),0)&gt;0),1,0)*IF($C147=DT$2,1,0)=1,1+COUNTIF(DT$3:DT146,"&gt;0"),0)</f>
        <v>0</v>
      </c>
      <c r="DU147">
        <f>IF(IF(OR(IFERROR(SEARCH("Paladin",$T147,1),0)&gt;0,IFERROR(SEARCH(PaladinOath,$T147,1),0)&gt;0),1,0)*IF($C147=DU$2,1,0)=1,1+COUNTIF(DU$3:DU146,"&gt;0"),0)</f>
        <v>0</v>
      </c>
      <c r="DV147">
        <f>IF(IF(OR(IFERROR(SEARCH("Paladin",$T147,1),0)&gt;0,IFERROR(SEARCH(PaladinOath,$T147,1),0)&gt;0),1,0)*IF($C147=DV$2,1,0)=1,1+COUNTIF(DV$3:DV146,"&gt;0"),0)</f>
        <v>0</v>
      </c>
      <c r="DW147">
        <f>IF(IF(OR(IFERROR(SEARCH("Paladin",$T147,1),0)&gt;0,IFERROR(SEARCH(PaladinOath,$T147,1),0)&gt;0),1,0)*IF($C147=DW$2,1,0)=1,1+COUNTIF(DW$3:DW146,"&gt;0"),0)</f>
        <v>0</v>
      </c>
      <c r="DY147">
        <f t="shared" si="111"/>
        <v>1</v>
      </c>
      <c r="DZ147">
        <f>IF(DY147=0,0,1+MAX(DZ$3:$DZ146))</f>
        <v>145</v>
      </c>
      <c r="EB147">
        <f t="shared" si="125"/>
        <v>0</v>
      </c>
      <c r="EC147">
        <f>IF(EB147=0,0,1+COUNTIF(EC$3:EC146,"&gt;0"))</f>
        <v>0</v>
      </c>
      <c r="ED147" t="str">
        <f t="shared" si="153"/>
        <v/>
      </c>
      <c r="EE147" t="str">
        <f t="shared" si="126"/>
        <v/>
      </c>
      <c r="EG147">
        <f t="shared" si="127"/>
        <v>0</v>
      </c>
      <c r="EH147">
        <f>IF(EG147=0,0,1+COUNTIF(EH$3:EH146,"&gt;0"))</f>
        <v>0</v>
      </c>
      <c r="EI147" t="str">
        <f t="shared" si="154"/>
        <v/>
      </c>
      <c r="EJ147" t="str">
        <f t="shared" si="128"/>
        <v/>
      </c>
      <c r="EL147">
        <f t="shared" si="129"/>
        <v>0</v>
      </c>
      <c r="EM147">
        <f>IF(EL147=0,0,1+COUNTIF(EM$3:EM146,"&gt;0"))</f>
        <v>0</v>
      </c>
      <c r="EN147" t="str">
        <f t="shared" si="155"/>
        <v/>
      </c>
      <c r="EO147" t="str">
        <f t="shared" si="130"/>
        <v/>
      </c>
      <c r="EQ147">
        <f t="shared" si="131"/>
        <v>0</v>
      </c>
      <c r="ER147">
        <f>IF(EQ147=0,0,1+COUNTIF(ER$3:ER146,"&gt;0"))</f>
        <v>0</v>
      </c>
      <c r="ES147" t="str">
        <f t="shared" si="156"/>
        <v/>
      </c>
      <c r="ET147" t="str">
        <f t="shared" si="132"/>
        <v/>
      </c>
      <c r="EV147">
        <f t="shared" si="133"/>
        <v>0</v>
      </c>
      <c r="EW147">
        <f>IF(EV147=0,0,1+COUNTIF(EW$3:EW146,"&gt;0"))</f>
        <v>0</v>
      </c>
      <c r="EX147" t="str">
        <f t="shared" si="157"/>
        <v/>
      </c>
      <c r="EY147" t="str">
        <f t="shared" si="134"/>
        <v/>
      </c>
      <c r="FA147">
        <f t="shared" si="135"/>
        <v>0</v>
      </c>
      <c r="FB147">
        <f>IF(FA147=0,0,1+COUNTIF(FB$3:FB146,"&gt;0"))</f>
        <v>0</v>
      </c>
      <c r="FC147" t="str">
        <f t="shared" si="158"/>
        <v/>
      </c>
      <c r="FD147" t="str">
        <f t="shared" si="136"/>
        <v/>
      </c>
      <c r="FF147">
        <f t="shared" si="137"/>
        <v>0</v>
      </c>
      <c r="FG147">
        <f>IF(FF147=0,0,1+COUNTIF(FG$3:FG146,"&gt;0"))</f>
        <v>0</v>
      </c>
      <c r="FH147" t="str">
        <f t="shared" si="159"/>
        <v/>
      </c>
      <c r="FI147" t="str">
        <f t="shared" si="138"/>
        <v/>
      </c>
      <c r="FK147">
        <f t="shared" si="139"/>
        <v>0</v>
      </c>
      <c r="FL147">
        <f>IF(FK147=0,0,1+COUNTIF(FL$3:FL146,"&gt;0"))</f>
        <v>0</v>
      </c>
      <c r="FM147" t="str">
        <f t="shared" si="160"/>
        <v/>
      </c>
      <c r="FN147" t="str">
        <f t="shared" si="140"/>
        <v/>
      </c>
      <c r="FP147">
        <f t="shared" si="141"/>
        <v>0</v>
      </c>
      <c r="FQ147">
        <f>IF(FP147=0,0,1+COUNTIF(FQ$3:FQ146,"&gt;0"))</f>
        <v>0</v>
      </c>
      <c r="FR147" t="str">
        <f t="shared" si="161"/>
        <v/>
      </c>
      <c r="FS147" t="str">
        <f t="shared" si="142"/>
        <v/>
      </c>
    </row>
    <row r="148" spans="1:175" x14ac:dyDescent="0.25">
      <c r="A148" s="347">
        <f t="shared" si="162"/>
        <v>146</v>
      </c>
      <c r="B148" s="348" t="s">
        <v>2517</v>
      </c>
      <c r="C148" s="348">
        <v>1</v>
      </c>
      <c r="D148" s="347">
        <v>1</v>
      </c>
      <c r="E148" s="627" t="s">
        <v>6952</v>
      </c>
      <c r="F148" s="346"/>
      <c r="G148" s="347" t="str">
        <f>""</f>
        <v/>
      </c>
      <c r="H148" s="347" t="s">
        <v>5912</v>
      </c>
      <c r="I148" s="347" t="s">
        <v>5290</v>
      </c>
      <c r="J148" s="347" t="str">
        <f t="shared" si="112"/>
        <v/>
      </c>
      <c r="K148" s="347" t="s">
        <v>5284</v>
      </c>
      <c r="L148" s="611" t="str">
        <f t="shared" si="113"/>
        <v>V, S</v>
      </c>
      <c r="M148" s="347" t="s">
        <v>2373</v>
      </c>
      <c r="N148" s="347" t="s">
        <v>2387</v>
      </c>
      <c r="O148" s="347" t="s">
        <v>3034</v>
      </c>
      <c r="P148" s="346" t="str">
        <f>""</f>
        <v/>
      </c>
      <c r="Q148" s="347" t="s">
        <v>5271</v>
      </c>
      <c r="S148" s="346" t="s">
        <v>5703</v>
      </c>
      <c r="T148" s="346" t="str">
        <f t="shared" si="114"/>
        <v xml:space="preserve">Ranger, Sorcerer, Druid, Wizard, Tempest, </v>
      </c>
      <c r="W148" s="347" t="str">
        <f>$B148</f>
        <v>Fog Cloud</v>
      </c>
      <c r="X148" s="347" t="str">
        <f>$B148</f>
        <v>Fog Cloud</v>
      </c>
      <c r="AA148" s="347" t="str">
        <f>$B148</f>
        <v>Fog Cloud</v>
      </c>
      <c r="AD148" s="347" t="str">
        <f>$B148</f>
        <v>Fog Cloud</v>
      </c>
      <c r="AE148" t="str">
        <f>IF(IFERROR(MATCH($B148,temp!A$4:A$13,0),0)&gt;0,T08_Spells!AE$2,"")</f>
        <v/>
      </c>
      <c r="AF148" t="str">
        <f>IF(IFERROR(MATCH($B148,temp!B$4:B$13,0),0)&gt;0,T08_Spells!AF$2,"")</f>
        <v/>
      </c>
      <c r="AG148" t="str">
        <f>IF(IFERROR(MATCH($B148,temp!C$4:C$13,0),0)&gt;0,T08_Spells!AG$2,"")</f>
        <v/>
      </c>
      <c r="AH148" t="str">
        <f>IF(IFERROR(MATCH($B148,temp!D$4:D$13,0),0)&gt;0,T08_Spells!AH$2,"")</f>
        <v/>
      </c>
      <c r="AI148" t="str">
        <f>IF(IFERROR(MATCH($B148,temp!E$4:E$13,0),0)&gt;0,T08_Spells!AI$2,"")</f>
        <v/>
      </c>
      <c r="AJ148" t="str">
        <f>IF(IFERROR(MATCH($B148,temp!F$4:F$13,0),0)&gt;0,T08_Spells!AJ$2,"")</f>
        <v/>
      </c>
      <c r="AK148" t="str">
        <f>IF(IFERROR(MATCH($B148,temp!G$4:G$13,0),0)&gt;0,T08_Spells!AK$2,"")</f>
        <v/>
      </c>
      <c r="AL148" t="str">
        <f>IF(IFERROR(MATCH($B148,temp!H$4:H$13,0),0)&gt;0,T08_Spells!AL$2,"")</f>
        <v/>
      </c>
      <c r="AM148" t="str">
        <f>IF(IFERROR(MATCH($B148,temp!I$4:I$13,0),0)&gt;0,T08_Spells!AM$2,"")</f>
        <v/>
      </c>
      <c r="AN148" t="str">
        <f>IF(IFERROR(MATCH($B148,temp!J$4:J$13,0),0)&gt;0,T08_Spells!AN$2,"")</f>
        <v/>
      </c>
      <c r="AO148" t="str">
        <f>IF(IFERROR(MATCH($B148,temp!K$4:K$13,0),0)&gt;0,T08_Spells!AO$2,"")</f>
        <v/>
      </c>
      <c r="AP148" t="str">
        <f>IF(IFERROR(MATCH($B148,temp!L$4:L$13,0),0)&gt;0,T08_Spells!AP$2,"")</f>
        <v/>
      </c>
      <c r="AQ148" t="str">
        <f>IF(IFERROR(MATCH($B148,temp!M$4:M$13,0),0)&gt;0,T08_Spells!AQ$2,"")</f>
        <v/>
      </c>
      <c r="AR148" t="str">
        <f>IF(IFERROR(MATCH($B148,temp!N$4:N$13,0),0)&gt;0,T08_Spells!AR$2,"")</f>
        <v/>
      </c>
      <c r="AS148" t="str">
        <f>IF(IFERROR(MATCH($B148,temp!O$4:O$13,0),0)&gt;0,T08_Spells!AS$2,"")</f>
        <v/>
      </c>
      <c r="AT148" t="str">
        <f>IF(IFERROR(MATCH($B148,temp!P$4:P$13,0),0)&gt;0,T08_Spells!AT$2,"")</f>
        <v/>
      </c>
      <c r="AU148" t="str">
        <f>IF(IFERROR(MATCH($B148,temp!Q$4:Q$13,0),0)&gt;0,T08_Spells!AU$2,"")</f>
        <v/>
      </c>
      <c r="AV148" t="str">
        <f>IF(IFERROR(MATCH($B148,temp!R$4:R$13,0),0)&gt;0,T08_Spells!AV$2,"")</f>
        <v/>
      </c>
      <c r="AW148" t="str">
        <f>IF(IFERROR(MATCH($B148,temp!S$4:S$13,0),0)&gt;0,T08_Spells!AW$2,"")</f>
        <v/>
      </c>
      <c r="AX148" t="str">
        <f>IF(IFERROR(MATCH($B148,temp!T$4:T$13,0),0)&gt;0,T08_Spells!AX$2,"")</f>
        <v>Tempest</v>
      </c>
      <c r="AY148" t="str">
        <f>IF(IFERROR(MATCH($B148,temp!U$4:U$13,0),0)&gt;0,T08_Spells!AY$2,"")</f>
        <v/>
      </c>
      <c r="AZ148" t="str">
        <f>IF(IFERROR(MATCH($B148,temp!V$4:V$13,0),0)&gt;0,T08_Spells!AZ$2,"")</f>
        <v/>
      </c>
      <c r="BA148" t="str">
        <f>IF(IFERROR(MATCH($B148,temp!W$4:W$13,0),0)&gt;0,T08_Spells!BA$2,"")</f>
        <v/>
      </c>
      <c r="BC148">
        <f>IF(IFERROR(SEARCH("Ranger",$T148,1),0)&gt;0,1,0)*IF(RangerMaxSpellLevel&gt;=$C148,1,0)*IF(IFERROR(MATCH(B148,Character_Creation!$X$79:$X$382,0),0)&gt;0,0,1)</f>
        <v>0</v>
      </c>
      <c r="BD148">
        <f>IF(BC148=0,0,1+COUNTIF(BD$3:BD147,"&gt;0"))</f>
        <v>0</v>
      </c>
      <c r="BE148" t="str">
        <f t="shared" si="143"/>
        <v/>
      </c>
      <c r="BF148" t="str">
        <f t="shared" si="115"/>
        <v/>
      </c>
      <c r="BH148">
        <f>IF(IFERROR(SEARCH("Sorcerer",$T148,1),0)&gt;0,1,0)*IF(SorcererMaxSpellLevel&gt;=$C148,1,0)*IF(IFERROR(MATCH(B148,Character_Creation!$J$380:$J$394,0),0)&gt;0,0,1)</f>
        <v>0</v>
      </c>
      <c r="BI148">
        <f>IF(BH148=0,0,1+COUNTIF(BI$3:BI147,"&gt;0"))</f>
        <v>0</v>
      </c>
      <c r="BJ148" t="str">
        <f t="shared" si="144"/>
        <v/>
      </c>
      <c r="BK148" t="str">
        <f t="shared" si="116"/>
        <v/>
      </c>
      <c r="BM148">
        <f>IF(OR(IFERROR(SEARCH("Warlock",$T148,1),0)&gt;0,IFERROR(SEARCH(WarlockPatron,$T148,1),0)&gt;0),1,0)*IF(WarlockMaxSpellLevel&gt;=$C148,1,0)*IF(IFERROR(MATCH(B148,Character_Creation!$J$361:$J$375,0),0)&gt;0,0,1)</f>
        <v>0</v>
      </c>
      <c r="BN148">
        <f>IF(BM148=0,0,1+COUNTIF(BN$3:BN147,"&gt;0"))</f>
        <v>0</v>
      </c>
      <c r="BO148" t="str">
        <f t="shared" si="145"/>
        <v/>
      </c>
      <c r="BP148" t="str">
        <f t="shared" si="117"/>
        <v/>
      </c>
      <c r="BR148">
        <f>IF(IFERROR(SEARCH("Eldritch Knight",$T148,1),0)&gt;0,1,0)*IF(EldritchKnightMaxSpellLevel&gt;=$C148,1,0)*IF(IFERROR(MATCH($B148,Character_Creation!$J$350:$J$356,0),0)&gt;0,0,1)*IF(Character_Creation!$M$338&gt;0,1,0)</f>
        <v>0</v>
      </c>
      <c r="BS148">
        <f>IF(BR148=0,0,1+COUNTIF(BS$3:BS147,"&gt;0"))</f>
        <v>0</v>
      </c>
      <c r="BT148" t="str">
        <f t="shared" si="146"/>
        <v/>
      </c>
      <c r="BU148" t="str">
        <f t="shared" si="118"/>
        <v/>
      </c>
      <c r="BW148">
        <f>IF(IFERROR(SEARCH("Arcane Trickster",$T148,1),0)&gt;0,1,0)*IF(ArcaneTricksterMaxSpellLevel&gt;=$C148,1,0)*IF(IFERROR(MATCH($B148,Character_Creation!$J$350:$J$356,0),0)&gt;0,0,1)*IF(Character_Creation!$T$338&gt;0,1,0)</f>
        <v>0</v>
      </c>
      <c r="BX148">
        <f>IF(BW148=0,0,1+COUNTIF(BX$3:BX147,"&gt;0"))</f>
        <v>0</v>
      </c>
      <c r="BY148" t="str">
        <f t="shared" si="147"/>
        <v/>
      </c>
      <c r="BZ148" t="str">
        <f t="shared" si="119"/>
        <v/>
      </c>
      <c r="CB148">
        <f>IF(IFERROR(SEARCH("Wizard",$T148,1),0)&gt;0,1,0)*IF(C148&lt;=ArcaneTricksterMaxSpellLevel,1,0)*IF(IFERROR(MATCH($B148,Character_Creation!$J$350:$J$356,0),0)&gt;0,0,1)*IF(Character_Creation!$T$350&gt;0,1,0)</f>
        <v>0</v>
      </c>
      <c r="CC148">
        <f>IF(CB148=0,0,1+COUNTIF(CC$3:CC147,"&gt;0"))</f>
        <v>0</v>
      </c>
      <c r="CD148" t="str">
        <f t="shared" si="148"/>
        <v/>
      </c>
      <c r="CE148" t="str">
        <f t="shared" si="120"/>
        <v/>
      </c>
      <c r="CG148">
        <f>IF(IFERROR(SEARCH("Wizard",$T148,1),0)&gt;0,1,0)*IF($C148&lt;=EldritchKnightMaxSpellLevel,1,0)*IF(IFERROR(MATCH($B148,Character_Creation!$J$350:$J$356,0),0)&gt;0,0,1)*IF(Character_Creation!$M$350&gt;0,1,0)</f>
        <v>1</v>
      </c>
      <c r="CH148">
        <f>IF(CG148=0,0,1+COUNTIF(CH$3:CH147,"&gt;0"))</f>
        <v>25</v>
      </c>
      <c r="CI148" t="str">
        <f t="shared" si="149"/>
        <v/>
      </c>
      <c r="CJ148" t="str">
        <f t="shared" si="121"/>
        <v/>
      </c>
      <c r="CL148">
        <f>IF(IFERROR(SEARCH("Bard",$T148,1),0)&gt;0,1,0)*IF(BardMaxSpellLevel&gt;=$C148,1,0)*IF(IFERROR(MATCH(B148,Character_Creation!$C$341:$F$362,0),0)&gt;0,0,1)*IF(IFERROR(MATCH($B148,Character_Creation!$C$341:$C$362,0),0)&gt;0,0,1)</f>
        <v>0</v>
      </c>
      <c r="CM148">
        <f>IF(CL148=0,0,1+COUNTIF(CM$3:CM147,"&gt;0"))</f>
        <v>0</v>
      </c>
      <c r="CN148" t="str">
        <f t="shared" si="150"/>
        <v/>
      </c>
      <c r="CO148" t="str">
        <f t="shared" si="122"/>
        <v/>
      </c>
      <c r="CQ148">
        <f>IF(IFERROR(SEARCH("Wizard",$T148,1),0)&gt;0,1,0)*IF(WizardMaxSpellLevel&gt;=$C148,1,0)*IF(IFERROR(MATCH(B148,Character_Creation!$X$341:$X$400,0),0)&gt;0,0,1)*IF(SelectedWizardSpellLevel=$C148,1,0)</f>
        <v>0</v>
      </c>
      <c r="CR148">
        <f>IF(CQ148=0,0,1+COUNTIF(CR$3:CR147,"&gt;0"))</f>
        <v>0</v>
      </c>
      <c r="CS148" t="str">
        <f t="shared" si="151"/>
        <v/>
      </c>
      <c r="CT148" t="str">
        <f t="shared" si="123"/>
        <v/>
      </c>
      <c r="CV148">
        <f>IF(IFERROR(MATCH($B148,Character_Creation!$C$341:$C$362,0),0)&gt;0,0,1)*IF(OR(C148="Cantrip",C148&lt;=BardMaxSpellLevel),1,0)*IF(IFERROR(MATCH($B148,Character_Creation!$C$367:$C$374,0),0)&gt;0,0,1)</f>
        <v>0</v>
      </c>
      <c r="CW148">
        <f>IF(CV148=0,0,1+COUNTIF(CW$3:CW147,"&gt;0"))</f>
        <v>0</v>
      </c>
      <c r="CX148" t="str">
        <f t="shared" si="152"/>
        <v/>
      </c>
      <c r="CY148" t="str">
        <f t="shared" si="124"/>
        <v/>
      </c>
      <c r="DA148">
        <f>IF(IF(OR(IFERROR(SEARCH("Cleric",$T148,1),0)&gt;0,IFERROR(SEARCH(DivineDomain&amp;",",$T148,1),0)&gt;0),1,0)*IF($C148=DA$2,1,0)=1,1+COUNTIF(DA$3:DA147,"&gt;0"),0)</f>
        <v>0</v>
      </c>
      <c r="DB148">
        <f>IF(IF(OR(IFERROR(SEARCH("Cleric",$T148,1),0)&gt;0,IFERROR(SEARCH(DivineDomain&amp;",",$T148,1),0)&gt;0),1,0)*IF($C148=DB$2,1,0)=1,1+COUNTIF(DB$3:DB147,"&gt;0"),0)</f>
        <v>0</v>
      </c>
      <c r="DC148">
        <f>IF(IF(OR(IFERROR(SEARCH("Cleric",$T148,1),0)&gt;0,IFERROR(SEARCH(DivineDomain&amp;",",$T148,1),0)&gt;0),1,0)*IF($C148=DC$2,1,0)=1,1+COUNTIF(DC$3:DC147,"&gt;0"),0)</f>
        <v>0</v>
      </c>
      <c r="DD148">
        <f>IF(IF(OR(IFERROR(SEARCH("Cleric",$T148,1),0)&gt;0,IFERROR(SEARCH(DivineDomain&amp;",",$T148,1),0)&gt;0),1,0)*IF($C148=DD$2,1,0)=1,1+COUNTIF(DD$3:DD147,"&gt;0"),0)</f>
        <v>0</v>
      </c>
      <c r="DE148">
        <f>IF(IF(OR(IFERROR(SEARCH("Cleric",$T148,1),0)&gt;0,IFERROR(SEARCH(DivineDomain&amp;",",$T148,1),0)&gt;0),1,0)*IF($C148=DE$2,1,0)=1,1+COUNTIF(DE$3:DE147,"&gt;0"),0)</f>
        <v>0</v>
      </c>
      <c r="DF148">
        <f>IF(IF(OR(IFERROR(SEARCH("Cleric",$T148,1),0)&gt;0,IFERROR(SEARCH(DivineDomain&amp;",",$T148,1),0)&gt;0),1,0)*IF($C148=DF$2,1,0)=1,1+COUNTIF(DF$3:DF147,"&gt;0"),0)</f>
        <v>0</v>
      </c>
      <c r="DG148">
        <f>IF(IF(OR(IFERROR(SEARCH("Cleric",$T148,1),0)&gt;0,IFERROR(SEARCH(DivineDomain&amp;",",$T148,1),0)&gt;0),1,0)*IF($C148=DG$2,1,0)=1,1+COUNTIF(DG$3:DG147,"&gt;0"),0)</f>
        <v>0</v>
      </c>
      <c r="DH148">
        <f>IF(IF(OR(IFERROR(SEARCH("Cleric",$T148,1),0)&gt;0,IFERROR(SEARCH(DivineDomain&amp;",",$T148,1),0)&gt;0),1,0)*IF($C148=DH$2,1,0)=1,1+COUNTIF(DH$3:DH147,"&gt;0"),0)</f>
        <v>0</v>
      </c>
      <c r="DI148">
        <f>IF(IF(OR(IFERROR(SEARCH("Cleric",$T148,1),0)&gt;0,IFERROR(SEARCH(DivineDomain&amp;",",$T148,1),0)&gt;0),1,0)*IF($C148=DI$2,1,0)=1,1+COUNTIF(DI$3:DI147,"&gt;0"),0)</f>
        <v>0</v>
      </c>
      <c r="DJ148">
        <f>IF(IF(OR(IFERROR(SEARCH("Druid",$T148,1),0)&gt;0,IFERROR(SEARCH(DruidLand1,$T148,1),0)&gt;0,IFERROR(SEARCH(DruidLand2,$T148,1),0)&gt;0,IFERROR(SEARCH(DruidLand3,$T148,1),0)&gt;0,IFERROR(SEARCH(DruidLand4,$T148,1),0)&gt;0),1,0)*IF($C148=1,1,0)*IF($C148=DJ$2,1,0)=0,0,1+COUNTIF(DJ$3:DJ147,"&gt;0"))</f>
        <v>9</v>
      </c>
      <c r="DK148">
        <f>IF(IF(OR(IFERROR(SEARCH("Druid",$T148,1),0)&gt;0,IFERROR(SEARCH(DruidLand1,$T148,1),0)&gt;0,IFERROR(SEARCH(DruidLand2,$T148,1),0)&gt;0,IFERROR(SEARCH(DruidLand3,$T148,1),0)&gt;0,IFERROR(SEARCH(DruidLand4,$T148,1),0)&gt;0),1,0)*IF($C148=DK$2,1,0)=0,0,1+COUNTIF(DK$3:DK147,"&gt;0"))</f>
        <v>0</v>
      </c>
      <c r="DL148">
        <f>IF(IF(OR(IFERROR(SEARCH("Druid",$T148,1),0)&gt;0,IFERROR(SEARCH(DruidLand1,$T148,1),0)&gt;0,IFERROR(SEARCH(DruidLand2,$T148,1),0)&gt;0,IFERROR(SEARCH(DruidLand3,$T148,1),0)&gt;0,IFERROR(SEARCH(DruidLand4,$T148,1),0)&gt;0),1,0)*IF($C148=DL$2,1,0)=0,0,1+COUNTIF(DL$3:DL147,"&gt;0"))</f>
        <v>0</v>
      </c>
      <c r="DM148">
        <f>IF(IF(OR(IFERROR(SEARCH("Druid",$T148,1),0)&gt;0,IFERROR(SEARCH(DruidLand1,$T148,1),0)&gt;0,IFERROR(SEARCH(DruidLand2,$T148,1),0)&gt;0,IFERROR(SEARCH(DruidLand3,$T148,1),0)&gt;0,IFERROR(SEARCH(DruidLand4,$T148,1),0)&gt;0),1,0)*IF($C148=DM$2,1,0)=0,0,1+COUNTIF(DM$3:DM147,"&gt;0"))</f>
        <v>0</v>
      </c>
      <c r="DN148">
        <f>IF(IF(OR(IFERROR(SEARCH("Druid",$T148,1),0)&gt;0,IFERROR(SEARCH(DruidLand1,$T148,1),0)&gt;0,IFERROR(SEARCH(DruidLand2,$T148,1),0)&gt;0,IFERROR(SEARCH(DruidLand3,$T148,1),0)&gt;0,IFERROR(SEARCH(DruidLand4,$T148,1),0)&gt;0),1,0)*IF($C148=DN$2,1,0)=0,0,1+COUNTIF(DN$3:DN147,"&gt;0"))</f>
        <v>0</v>
      </c>
      <c r="DO148">
        <f>IF(IF(OR(IFERROR(SEARCH("Druid",$T148,1),0)&gt;0,IFERROR(SEARCH(DruidLand1,$T148,1),0)&gt;0,IFERROR(SEARCH(DruidLand2,$T148,1),0)&gt;0,IFERROR(SEARCH(DruidLand3,$T148,1),0)&gt;0,IFERROR(SEARCH(DruidLand4,$T148,1),0)&gt;0),1,0)*IF($C148=DO$2,1,0)=0,0,1+COUNTIF(DO$3:DO147,"&gt;0"))</f>
        <v>0</v>
      </c>
      <c r="DP148">
        <f>IF(IF(OR(IFERROR(SEARCH("Druid",$T148,1),0)&gt;0,IFERROR(SEARCH(DruidLand1,$T148,1),0)&gt;0,IFERROR(SEARCH(DruidLand2,$T148,1),0)&gt;0,IFERROR(SEARCH(DruidLand3,$T148,1),0)&gt;0,IFERROR(SEARCH(DruidLand4,$T148,1),0)&gt;0),1,0)*IF($C148=DP$2,1,0)=0,0,1+COUNTIF(DP$3:DP147,"&gt;0"))</f>
        <v>0</v>
      </c>
      <c r="DQ148">
        <f>IF(IF(OR(IFERROR(SEARCH("Druid",$T148,1),0)&gt;0,IFERROR(SEARCH(DruidLand1,$T148,1),0)&gt;0,IFERROR(SEARCH(DruidLand2,$T148,1),0)&gt;0,IFERROR(SEARCH(DruidLand3,$T148,1),0)&gt;0,IFERROR(SEARCH(DruidLand4,$T148,1),0)&gt;0),1,0)*IF($C148=DQ$2,1,0)=0,0,1+COUNTIF(DQ$3:DQ147,"&gt;0"))</f>
        <v>0</v>
      </c>
      <c r="DR148">
        <f>IF(IF(OR(IFERROR(SEARCH("Druid",$T148,1),0)&gt;0,IFERROR(SEARCH(DruidLand1,$T148,1),0)&gt;0,IFERROR(SEARCH(DruidLand2,$T148,1),0)&gt;0,IFERROR(SEARCH(DruidLand3,$T148,1),0)&gt;0,IFERROR(SEARCH(DruidLand4,$T148,1),0)&gt;0),1,0)*IF($C148=DR$2,1,0)=0,0,1+COUNTIF(DR$3:DR147,"&gt;0"))</f>
        <v>0</v>
      </c>
      <c r="DS148">
        <f>IF(IF(OR(IFERROR(SEARCH("Paladin",$T148,1),0)&gt;0,IFERROR(SEARCH(PaladinOath,$T148,1),0)&gt;0),1,0)*IF($C148=DS$2,1,0)=1,1+COUNTIF(DS$3:DS147,"&gt;0"),0)</f>
        <v>0</v>
      </c>
      <c r="DT148">
        <f>IF(IF(OR(IFERROR(SEARCH("Paladin",$T148,1),0)&gt;0,IFERROR(SEARCH(PaladinOath,$T148,1),0)&gt;0),1,0)*IF($C148=DT$2,1,0)=1,1+COUNTIF(DT$3:DT147,"&gt;0"),0)</f>
        <v>0</v>
      </c>
      <c r="DU148">
        <f>IF(IF(OR(IFERROR(SEARCH("Paladin",$T148,1),0)&gt;0,IFERROR(SEARCH(PaladinOath,$T148,1),0)&gt;0),1,0)*IF($C148=DU$2,1,0)=1,1+COUNTIF(DU$3:DU147,"&gt;0"),0)</f>
        <v>0</v>
      </c>
      <c r="DV148">
        <f>IF(IF(OR(IFERROR(SEARCH("Paladin",$T148,1),0)&gt;0,IFERROR(SEARCH(PaladinOath,$T148,1),0)&gt;0),1,0)*IF($C148=DV$2,1,0)=1,1+COUNTIF(DV$3:DV147,"&gt;0"),0)</f>
        <v>0</v>
      </c>
      <c r="DW148">
        <f>IF(IF(OR(IFERROR(SEARCH("Paladin",$T148,1),0)&gt;0,IFERROR(SEARCH(PaladinOath,$T148,1),0)&gt;0),1,0)*IF($C148=DW$2,1,0)=1,1+COUNTIF(DW$3:DW147,"&gt;0"),0)</f>
        <v>0</v>
      </c>
      <c r="DY148">
        <f t="shared" si="111"/>
        <v>1</v>
      </c>
      <c r="DZ148">
        <f>IF(DY148=0,0,1+MAX(DZ$3:$DZ147))</f>
        <v>146</v>
      </c>
      <c r="EB148">
        <f t="shared" si="125"/>
        <v>0</v>
      </c>
      <c r="EC148">
        <f>IF(EB148=0,0,1+COUNTIF(EC$3:EC147,"&gt;0"))</f>
        <v>0</v>
      </c>
      <c r="ED148" t="str">
        <f t="shared" si="153"/>
        <v/>
      </c>
      <c r="EE148" t="str">
        <f t="shared" si="126"/>
        <v/>
      </c>
      <c r="EG148">
        <f t="shared" si="127"/>
        <v>0</v>
      </c>
      <c r="EH148">
        <f>IF(EG148=0,0,1+COUNTIF(EH$3:EH147,"&gt;0"))</f>
        <v>0</v>
      </c>
      <c r="EI148" t="str">
        <f t="shared" si="154"/>
        <v/>
      </c>
      <c r="EJ148" t="str">
        <f t="shared" si="128"/>
        <v/>
      </c>
      <c r="EL148">
        <f t="shared" si="129"/>
        <v>0</v>
      </c>
      <c r="EM148">
        <f>IF(EL148=0,0,1+COUNTIF(EM$3:EM147,"&gt;0"))</f>
        <v>0</v>
      </c>
      <c r="EN148" t="str">
        <f t="shared" si="155"/>
        <v/>
      </c>
      <c r="EO148" t="str">
        <f t="shared" si="130"/>
        <v/>
      </c>
      <c r="EQ148">
        <f t="shared" si="131"/>
        <v>0</v>
      </c>
      <c r="ER148">
        <f>IF(EQ148=0,0,1+COUNTIF(ER$3:ER147,"&gt;0"))</f>
        <v>0</v>
      </c>
      <c r="ES148" t="str">
        <f t="shared" si="156"/>
        <v/>
      </c>
      <c r="ET148" t="str">
        <f t="shared" si="132"/>
        <v/>
      </c>
      <c r="EV148">
        <f t="shared" si="133"/>
        <v>0</v>
      </c>
      <c r="EW148">
        <f>IF(EV148=0,0,1+COUNTIF(EW$3:EW147,"&gt;0"))</f>
        <v>0</v>
      </c>
      <c r="EX148" t="str">
        <f t="shared" si="157"/>
        <v/>
      </c>
      <c r="EY148" t="str">
        <f t="shared" si="134"/>
        <v/>
      </c>
      <c r="FA148">
        <f t="shared" si="135"/>
        <v>0</v>
      </c>
      <c r="FB148">
        <f>IF(FA148=0,0,1+COUNTIF(FB$3:FB147,"&gt;0"))</f>
        <v>0</v>
      </c>
      <c r="FC148" t="str">
        <f t="shared" si="158"/>
        <v/>
      </c>
      <c r="FD148" t="str">
        <f t="shared" si="136"/>
        <v/>
      </c>
      <c r="FF148">
        <f t="shared" si="137"/>
        <v>0</v>
      </c>
      <c r="FG148">
        <f>IF(FF148=0,0,1+COUNTIF(FG$3:FG147,"&gt;0"))</f>
        <v>0</v>
      </c>
      <c r="FH148" t="str">
        <f t="shared" si="159"/>
        <v/>
      </c>
      <c r="FI148" t="str">
        <f t="shared" si="138"/>
        <v/>
      </c>
      <c r="FK148">
        <f t="shared" si="139"/>
        <v>0</v>
      </c>
      <c r="FL148">
        <f>IF(FK148=0,0,1+COUNTIF(FL$3:FL147,"&gt;0"))</f>
        <v>0</v>
      </c>
      <c r="FM148" t="str">
        <f t="shared" si="160"/>
        <v/>
      </c>
      <c r="FN148" t="str">
        <f t="shared" si="140"/>
        <v/>
      </c>
      <c r="FP148">
        <f t="shared" si="141"/>
        <v>0</v>
      </c>
      <c r="FQ148">
        <f>IF(FP148=0,0,1+COUNTIF(FQ$3:FQ147,"&gt;0"))</f>
        <v>0</v>
      </c>
      <c r="FR148" t="str">
        <f t="shared" si="161"/>
        <v/>
      </c>
      <c r="FS148" t="str">
        <f t="shared" si="142"/>
        <v/>
      </c>
    </row>
    <row r="149" spans="1:175" x14ac:dyDescent="0.25">
      <c r="A149" s="347">
        <f t="shared" si="162"/>
        <v>147</v>
      </c>
      <c r="B149" s="348" t="s">
        <v>2518</v>
      </c>
      <c r="C149" s="348">
        <v>6</v>
      </c>
      <c r="D149" s="347">
        <v>6</v>
      </c>
      <c r="E149" s="627" t="s">
        <v>6952</v>
      </c>
      <c r="F149" s="346"/>
      <c r="G149" s="347" t="s">
        <v>5269</v>
      </c>
      <c r="H149" s="347" t="s">
        <v>5376</v>
      </c>
      <c r="I149" s="347" t="s">
        <v>5298</v>
      </c>
      <c r="J149" s="347" t="str">
        <f t="shared" si="112"/>
        <v/>
      </c>
      <c r="K149" s="347" t="s">
        <v>2519</v>
      </c>
      <c r="L149" s="611" t="str">
        <f t="shared" si="113"/>
        <v>V, S, M, a sprinkling of holy water, rare incense, and powered ruby worth at least 1,000 gp</v>
      </c>
      <c r="M149" s="347" t="s">
        <v>2373</v>
      </c>
      <c r="N149" s="347" t="s">
        <v>2387</v>
      </c>
      <c r="O149" s="347" t="s">
        <v>1244</v>
      </c>
      <c r="P149" s="346" t="s">
        <v>5377</v>
      </c>
      <c r="Q149" s="347" t="s">
        <v>5270</v>
      </c>
      <c r="S149" s="346" t="s">
        <v>5704</v>
      </c>
      <c r="T149" s="346" t="str">
        <f t="shared" si="114"/>
        <v xml:space="preserve">Cleric, </v>
      </c>
      <c r="Z149" s="347" t="str">
        <f>$B149</f>
        <v>Forbiddance</v>
      </c>
      <c r="AE149" t="str">
        <f>IF(IFERROR(MATCH($B149,temp!A$4:A$13,0),0)&gt;0,T08_Spells!AE$2,"")</f>
        <v/>
      </c>
      <c r="AF149" t="str">
        <f>IF(IFERROR(MATCH($B149,temp!B$4:B$13,0),0)&gt;0,T08_Spells!AF$2,"")</f>
        <v/>
      </c>
      <c r="AG149" t="str">
        <f>IF(IFERROR(MATCH($B149,temp!C$4:C$13,0),0)&gt;0,T08_Spells!AG$2,"")</f>
        <v/>
      </c>
      <c r="AH149" t="str">
        <f>IF(IFERROR(MATCH($B149,temp!D$4:D$13,0),0)&gt;0,T08_Spells!AH$2,"")</f>
        <v/>
      </c>
      <c r="AI149" t="str">
        <f>IF(IFERROR(MATCH($B149,temp!E$4:E$13,0),0)&gt;0,T08_Spells!AI$2,"")</f>
        <v/>
      </c>
      <c r="AJ149" t="str">
        <f>IF(IFERROR(MATCH($B149,temp!F$4:F$13,0),0)&gt;0,T08_Spells!AJ$2,"")</f>
        <v/>
      </c>
      <c r="AK149" t="str">
        <f>IF(IFERROR(MATCH($B149,temp!G$4:G$13,0),0)&gt;0,T08_Spells!AK$2,"")</f>
        <v/>
      </c>
      <c r="AL149" t="str">
        <f>IF(IFERROR(MATCH($B149,temp!H$4:H$13,0),0)&gt;0,T08_Spells!AL$2,"")</f>
        <v/>
      </c>
      <c r="AM149" t="str">
        <f>IF(IFERROR(MATCH($B149,temp!I$4:I$13,0),0)&gt;0,T08_Spells!AM$2,"")</f>
        <v/>
      </c>
      <c r="AN149" t="str">
        <f>IF(IFERROR(MATCH($B149,temp!J$4:J$13,0),0)&gt;0,T08_Spells!AN$2,"")</f>
        <v/>
      </c>
      <c r="AO149" t="str">
        <f>IF(IFERROR(MATCH($B149,temp!K$4:K$13,0),0)&gt;0,T08_Spells!AO$2,"")</f>
        <v/>
      </c>
      <c r="AP149" t="str">
        <f>IF(IFERROR(MATCH($B149,temp!L$4:L$13,0),0)&gt;0,T08_Spells!AP$2,"")</f>
        <v/>
      </c>
      <c r="AQ149" t="str">
        <f>IF(IFERROR(MATCH($B149,temp!M$4:M$13,0),0)&gt;0,T08_Spells!AQ$2,"")</f>
        <v/>
      </c>
      <c r="AR149" t="str">
        <f>IF(IFERROR(MATCH($B149,temp!N$4:N$13,0),0)&gt;0,T08_Spells!AR$2,"")</f>
        <v/>
      </c>
      <c r="AS149" t="str">
        <f>IF(IFERROR(MATCH($B149,temp!O$4:O$13,0),0)&gt;0,T08_Spells!AS$2,"")</f>
        <v/>
      </c>
      <c r="AT149" t="str">
        <f>IF(IFERROR(MATCH($B149,temp!P$4:P$13,0),0)&gt;0,T08_Spells!AT$2,"")</f>
        <v/>
      </c>
      <c r="AU149" t="str">
        <f>IF(IFERROR(MATCH($B149,temp!Q$4:Q$13,0),0)&gt;0,T08_Spells!AU$2,"")</f>
        <v/>
      </c>
      <c r="AV149" t="str">
        <f>IF(IFERROR(MATCH($B149,temp!R$4:R$13,0),0)&gt;0,T08_Spells!AV$2,"")</f>
        <v/>
      </c>
      <c r="AW149" t="str">
        <f>IF(IFERROR(MATCH($B149,temp!S$4:S$13,0),0)&gt;0,T08_Spells!AW$2,"")</f>
        <v/>
      </c>
      <c r="AX149" t="str">
        <f>IF(IFERROR(MATCH($B149,temp!T$4:T$13,0),0)&gt;0,T08_Spells!AX$2,"")</f>
        <v/>
      </c>
      <c r="AY149" t="str">
        <f>IF(IFERROR(MATCH($B149,temp!U$4:U$13,0),0)&gt;0,T08_Spells!AY$2,"")</f>
        <v/>
      </c>
      <c r="AZ149" t="str">
        <f>IF(IFERROR(MATCH($B149,temp!V$4:V$13,0),0)&gt;0,T08_Spells!AZ$2,"")</f>
        <v/>
      </c>
      <c r="BA149" t="str">
        <f>IF(IFERROR(MATCH($B149,temp!W$4:W$13,0),0)&gt;0,T08_Spells!BA$2,"")</f>
        <v/>
      </c>
      <c r="BC149">
        <f>IF(IFERROR(SEARCH("Ranger",$T149,1),0)&gt;0,1,0)*IF(RangerMaxSpellLevel&gt;=$C149,1,0)*IF(IFERROR(MATCH(B149,Character_Creation!$X$79:$X$382,0),0)&gt;0,0,1)</f>
        <v>0</v>
      </c>
      <c r="BD149">
        <f>IF(BC149=0,0,1+COUNTIF(BD$3:BD148,"&gt;0"))</f>
        <v>0</v>
      </c>
      <c r="BE149" t="str">
        <f t="shared" si="143"/>
        <v/>
      </c>
      <c r="BF149" t="str">
        <f t="shared" si="115"/>
        <v/>
      </c>
      <c r="BH149">
        <f>IF(IFERROR(SEARCH("Sorcerer",$T149,1),0)&gt;0,1,0)*IF(SorcererMaxSpellLevel&gt;=$C149,1,0)*IF(IFERROR(MATCH(B149,Character_Creation!$J$380:$J$394,0),0)&gt;0,0,1)</f>
        <v>0</v>
      </c>
      <c r="BI149">
        <f>IF(BH149=0,0,1+COUNTIF(BI$3:BI148,"&gt;0"))</f>
        <v>0</v>
      </c>
      <c r="BJ149" t="str">
        <f t="shared" si="144"/>
        <v/>
      </c>
      <c r="BK149" t="str">
        <f t="shared" si="116"/>
        <v/>
      </c>
      <c r="BM149">
        <f>IF(OR(IFERROR(SEARCH("Warlock",$T149,1),0)&gt;0,IFERROR(SEARCH(WarlockPatron,$T149,1),0)&gt;0),1,0)*IF(WarlockMaxSpellLevel&gt;=$C149,1,0)*IF(IFERROR(MATCH(B149,Character_Creation!$J$361:$J$375,0),0)&gt;0,0,1)</f>
        <v>0</v>
      </c>
      <c r="BN149">
        <f>IF(BM149=0,0,1+COUNTIF(BN$3:BN148,"&gt;0"))</f>
        <v>0</v>
      </c>
      <c r="BO149" t="str">
        <f t="shared" si="145"/>
        <v/>
      </c>
      <c r="BP149" t="str">
        <f t="shared" si="117"/>
        <v/>
      </c>
      <c r="BR149">
        <f>IF(IFERROR(SEARCH("Eldritch Knight",$T149,1),0)&gt;0,1,0)*IF(EldritchKnightMaxSpellLevel&gt;=$C149,1,0)*IF(IFERROR(MATCH($B149,Character_Creation!$J$350:$J$356,0),0)&gt;0,0,1)*IF(Character_Creation!$M$338&gt;0,1,0)</f>
        <v>0</v>
      </c>
      <c r="BS149">
        <f>IF(BR149=0,0,1+COUNTIF(BS$3:BS148,"&gt;0"))</f>
        <v>0</v>
      </c>
      <c r="BT149" t="str">
        <f t="shared" si="146"/>
        <v/>
      </c>
      <c r="BU149" t="str">
        <f t="shared" si="118"/>
        <v/>
      </c>
      <c r="BW149">
        <f>IF(IFERROR(SEARCH("Arcane Trickster",$T149,1),0)&gt;0,1,0)*IF(ArcaneTricksterMaxSpellLevel&gt;=$C149,1,0)*IF(IFERROR(MATCH($B149,Character_Creation!$J$350:$J$356,0),0)&gt;0,0,1)*IF(Character_Creation!$T$338&gt;0,1,0)</f>
        <v>0</v>
      </c>
      <c r="BX149">
        <f>IF(BW149=0,0,1+COUNTIF(BX$3:BX148,"&gt;0"))</f>
        <v>0</v>
      </c>
      <c r="BY149" t="str">
        <f t="shared" si="147"/>
        <v/>
      </c>
      <c r="BZ149" t="str">
        <f t="shared" si="119"/>
        <v/>
      </c>
      <c r="CB149">
        <f>IF(IFERROR(SEARCH("Wizard",$T149,1),0)&gt;0,1,0)*IF(C149&lt;=ArcaneTricksterMaxSpellLevel,1,0)*IF(IFERROR(MATCH($B149,Character_Creation!$J$350:$J$356,0),0)&gt;0,0,1)*IF(Character_Creation!$T$350&gt;0,1,0)</f>
        <v>0</v>
      </c>
      <c r="CC149">
        <f>IF(CB149=0,0,1+COUNTIF(CC$3:CC148,"&gt;0"))</f>
        <v>0</v>
      </c>
      <c r="CD149" t="str">
        <f t="shared" si="148"/>
        <v/>
      </c>
      <c r="CE149" t="str">
        <f t="shared" si="120"/>
        <v/>
      </c>
      <c r="CG149">
        <f>IF(IFERROR(SEARCH("Wizard",$T149,1),0)&gt;0,1,0)*IF($C149&lt;=EldritchKnightMaxSpellLevel,1,0)*IF(IFERROR(MATCH($B149,Character_Creation!$J$350:$J$356,0),0)&gt;0,0,1)*IF(Character_Creation!$M$350&gt;0,1,0)</f>
        <v>0</v>
      </c>
      <c r="CH149">
        <f>IF(CG149=0,0,1+COUNTIF(CH$3:CH148,"&gt;0"))</f>
        <v>0</v>
      </c>
      <c r="CI149" t="str">
        <f t="shared" si="149"/>
        <v/>
      </c>
      <c r="CJ149" t="str">
        <f t="shared" si="121"/>
        <v/>
      </c>
      <c r="CL149">
        <f>IF(IFERROR(SEARCH("Bard",$T149,1),0)&gt;0,1,0)*IF(BardMaxSpellLevel&gt;=$C149,1,0)*IF(IFERROR(MATCH(B149,Character_Creation!$C$341:$F$362,0),0)&gt;0,0,1)*IF(IFERROR(MATCH($B149,Character_Creation!$C$341:$C$362,0),0)&gt;0,0,1)</f>
        <v>0</v>
      </c>
      <c r="CM149">
        <f>IF(CL149=0,0,1+COUNTIF(CM$3:CM148,"&gt;0"))</f>
        <v>0</v>
      </c>
      <c r="CN149" t="str">
        <f t="shared" si="150"/>
        <v/>
      </c>
      <c r="CO149" t="str">
        <f t="shared" si="122"/>
        <v/>
      </c>
      <c r="CQ149">
        <f>IF(IFERROR(SEARCH("Wizard",$T149,1),0)&gt;0,1,0)*IF(WizardMaxSpellLevel&gt;=$C149,1,0)*IF(IFERROR(MATCH(B149,Character_Creation!$X$341:$X$400,0),0)&gt;0,0,1)*IF(SelectedWizardSpellLevel=$C149,1,0)</f>
        <v>0</v>
      </c>
      <c r="CR149">
        <f>IF(CQ149=0,0,1+COUNTIF(CR$3:CR148,"&gt;0"))</f>
        <v>0</v>
      </c>
      <c r="CS149" t="str">
        <f t="shared" si="151"/>
        <v/>
      </c>
      <c r="CT149" t="str">
        <f t="shared" si="123"/>
        <v/>
      </c>
      <c r="CV149">
        <f>IF(IFERROR(MATCH($B149,Character_Creation!$C$341:$C$362,0),0)&gt;0,0,1)*IF(OR(C149="Cantrip",C149&lt;=BardMaxSpellLevel),1,0)*IF(IFERROR(MATCH($B149,Character_Creation!$C$367:$C$374,0),0)&gt;0,0,1)</f>
        <v>0</v>
      </c>
      <c r="CW149">
        <f>IF(CV149=0,0,1+COUNTIF(CW$3:CW148,"&gt;0"))</f>
        <v>0</v>
      </c>
      <c r="CX149" t="str">
        <f t="shared" si="152"/>
        <v/>
      </c>
      <c r="CY149" t="str">
        <f t="shared" si="124"/>
        <v/>
      </c>
      <c r="DA149">
        <f>IF(IF(OR(IFERROR(SEARCH("Cleric",$T149,1),0)&gt;0,IFERROR(SEARCH(DivineDomain&amp;",",$T149,1),0)&gt;0),1,0)*IF($C149=DA$2,1,0)=1,1+COUNTIF(DA$3:DA148,"&gt;0"),0)</f>
        <v>0</v>
      </c>
      <c r="DB149">
        <f>IF(IF(OR(IFERROR(SEARCH("Cleric",$T149,1),0)&gt;0,IFERROR(SEARCH(DivineDomain&amp;",",$T149,1),0)&gt;0),1,0)*IF($C149=DB$2,1,0)=1,1+COUNTIF(DB$3:DB148,"&gt;0"),0)</f>
        <v>0</v>
      </c>
      <c r="DC149">
        <f>IF(IF(OR(IFERROR(SEARCH("Cleric",$T149,1),0)&gt;0,IFERROR(SEARCH(DivineDomain&amp;",",$T149,1),0)&gt;0),1,0)*IF($C149=DC$2,1,0)=1,1+COUNTIF(DC$3:DC148,"&gt;0"),0)</f>
        <v>0</v>
      </c>
      <c r="DD149">
        <f>IF(IF(OR(IFERROR(SEARCH("Cleric",$T149,1),0)&gt;0,IFERROR(SEARCH(DivineDomain&amp;",",$T149,1),0)&gt;0),1,0)*IF($C149=DD$2,1,0)=1,1+COUNTIF(DD$3:DD148,"&gt;0"),0)</f>
        <v>0</v>
      </c>
      <c r="DE149">
        <f>IF(IF(OR(IFERROR(SEARCH("Cleric",$T149,1),0)&gt;0,IFERROR(SEARCH(DivineDomain&amp;",",$T149,1),0)&gt;0),1,0)*IF($C149=DE$2,1,0)=1,1+COUNTIF(DE$3:DE148,"&gt;0"),0)</f>
        <v>0</v>
      </c>
      <c r="DF149">
        <f>IF(IF(OR(IFERROR(SEARCH("Cleric",$T149,1),0)&gt;0,IFERROR(SEARCH(DivineDomain&amp;",",$T149,1),0)&gt;0),1,0)*IF($C149=DF$2,1,0)=1,1+COUNTIF(DF$3:DF148,"&gt;0"),0)</f>
        <v>4</v>
      </c>
      <c r="DG149">
        <f>IF(IF(OR(IFERROR(SEARCH("Cleric",$T149,1),0)&gt;0,IFERROR(SEARCH(DivineDomain&amp;",",$T149,1),0)&gt;0),1,0)*IF($C149=DG$2,1,0)=1,1+COUNTIF(DG$3:DG148,"&gt;0"),0)</f>
        <v>0</v>
      </c>
      <c r="DH149">
        <f>IF(IF(OR(IFERROR(SEARCH("Cleric",$T149,1),0)&gt;0,IFERROR(SEARCH(DivineDomain&amp;",",$T149,1),0)&gt;0),1,0)*IF($C149=DH$2,1,0)=1,1+COUNTIF(DH$3:DH148,"&gt;0"),0)</f>
        <v>0</v>
      </c>
      <c r="DI149">
        <f>IF(IF(OR(IFERROR(SEARCH("Cleric",$T149,1),0)&gt;0,IFERROR(SEARCH(DivineDomain&amp;",",$T149,1),0)&gt;0),1,0)*IF($C149=DI$2,1,0)=1,1+COUNTIF(DI$3:DI148,"&gt;0"),0)</f>
        <v>0</v>
      </c>
      <c r="DJ149">
        <f>IF(IF(OR(IFERROR(SEARCH("Druid",$T149,1),0)&gt;0,IFERROR(SEARCH(DruidLand1,$T149,1),0)&gt;0,IFERROR(SEARCH(DruidLand2,$T149,1),0)&gt;0,IFERROR(SEARCH(DruidLand3,$T149,1),0)&gt;0,IFERROR(SEARCH(DruidLand4,$T149,1),0)&gt;0),1,0)*IF($C149=1,1,0)*IF($C149=DJ$2,1,0)=0,0,1+COUNTIF(DJ$3:DJ148,"&gt;0"))</f>
        <v>0</v>
      </c>
      <c r="DK149">
        <f>IF(IF(OR(IFERROR(SEARCH("Druid",$T149,1),0)&gt;0,IFERROR(SEARCH(DruidLand1,$T149,1),0)&gt;0,IFERROR(SEARCH(DruidLand2,$T149,1),0)&gt;0,IFERROR(SEARCH(DruidLand3,$T149,1),0)&gt;0,IFERROR(SEARCH(DruidLand4,$T149,1),0)&gt;0),1,0)*IF($C149=1,1,0)*IF($C149=DK$2,1,0)=0,0,1+COUNTIF(DK$3:DK148,"&gt;0"))</f>
        <v>0</v>
      </c>
      <c r="DL149">
        <f>IF(IF(OR(IFERROR(SEARCH("Druid",$T149,1),0)&gt;0,IFERROR(SEARCH(DruidLand1,$T149,1),0)&gt;0,IFERROR(SEARCH(DruidLand2,$T149,1),0)&gt;0,IFERROR(SEARCH(DruidLand3,$T149,1),0)&gt;0,IFERROR(SEARCH(DruidLand4,$T149,1),0)&gt;0),1,0)*IF($C149=1,1,0)*IF($C149=DL$2,1,0)=0,0,1+COUNTIF(DL$3:DL148,"&gt;0"))</f>
        <v>0</v>
      </c>
      <c r="DM149">
        <f>IF(IF(OR(IFERROR(SEARCH("Druid",$T149,1),0)&gt;0,IFERROR(SEARCH(DruidLand1,$T149,1),0)&gt;0,IFERROR(SEARCH(DruidLand2,$T149,1),0)&gt;0,IFERROR(SEARCH(DruidLand3,$T149,1),0)&gt;0,IFERROR(SEARCH(DruidLand4,$T149,1),0)&gt;0),1,0)*IF($C149=1,1,0)*IF($C149=DM$2,1,0)=0,0,1+COUNTIF(DM$3:DM148,"&gt;0"))</f>
        <v>0</v>
      </c>
      <c r="DN149">
        <f>IF(IF(OR(IFERROR(SEARCH("Druid",$T149,1),0)&gt;0,IFERROR(SEARCH(DruidLand1,$T149,1),0)&gt;0,IFERROR(SEARCH(DruidLand2,$T149,1),0)&gt;0,IFERROR(SEARCH(DruidLand3,$T149,1),0)&gt;0,IFERROR(SEARCH(DruidLand4,$T149,1),0)&gt;0),1,0)*IF($C149=1,1,0)*IF($C149=DN$2,1,0)=0,0,1+COUNTIF(DN$3:DN148,"&gt;0"))</f>
        <v>0</v>
      </c>
      <c r="DO149">
        <f>IF(IF(OR(IFERROR(SEARCH("Druid",$T149,1),0)&gt;0,IFERROR(SEARCH(DruidLand1,$T149,1),0)&gt;0,IFERROR(SEARCH(DruidLand2,$T149,1),0)&gt;0,IFERROR(SEARCH(DruidLand3,$T149,1),0)&gt;0,IFERROR(SEARCH(DruidLand4,$T149,1),0)&gt;0),1,0)*IF($C149=1,1,0)*IF($C149=DO$2,1,0)=0,0,1+COUNTIF(DO$3:DO148,"&gt;0"))</f>
        <v>0</v>
      </c>
      <c r="DP149">
        <f>IF(IF(OR(IFERROR(SEARCH("Druid",$T149,1),0)&gt;0,IFERROR(SEARCH(DruidLand1,$T149,1),0)&gt;0,IFERROR(SEARCH(DruidLand2,$T149,1),0)&gt;0,IFERROR(SEARCH(DruidLand3,$T149,1),0)&gt;0,IFERROR(SEARCH(DruidLand4,$T149,1),0)&gt;0),1,0)*IF($C149=1,1,0)*IF($C149=DP$2,1,0)=0,0,1+COUNTIF(DP$3:DP148,"&gt;0"))</f>
        <v>0</v>
      </c>
      <c r="DQ149">
        <f>IF(IF(OR(IFERROR(SEARCH("Druid",$T149,1),0)&gt;0,IFERROR(SEARCH(DruidLand1,$T149,1),0)&gt;0,IFERROR(SEARCH(DruidLand2,$T149,1),0)&gt;0,IFERROR(SEARCH(DruidLand3,$T149,1),0)&gt;0,IFERROR(SEARCH(DruidLand4,$T149,1),0)&gt;0),1,0)*IF($C149=1,1,0)*IF($C149=DQ$2,1,0)=0,0,1+COUNTIF(DQ$3:DQ148,"&gt;0"))</f>
        <v>0</v>
      </c>
      <c r="DR149">
        <f>IF(IF(OR(IFERROR(SEARCH("Druid",$T149,1),0)&gt;0,IFERROR(SEARCH(DruidLand1,$T149,1),0)&gt;0,IFERROR(SEARCH(DruidLand2,$T149,1),0)&gt;0,IFERROR(SEARCH(DruidLand3,$T149,1),0)&gt;0,IFERROR(SEARCH(DruidLand4,$T149,1),0)&gt;0),1,0)*IF($C149=1,1,0)*IF($C149=DR$2,1,0)=0,0,1+COUNTIF(DR$3:DR148,"&gt;0"))</f>
        <v>0</v>
      </c>
      <c r="DS149">
        <f>IF(IF(OR(IFERROR(SEARCH("Paladin",$T149,1),0)&gt;0,IFERROR(SEARCH(PaladinOath,$T149,1),0)&gt;0),1,0)*IF($C149=DS$2,1,0)=1,1+COUNTIF(DS$3:DS148,"&gt;0"),0)</f>
        <v>0</v>
      </c>
      <c r="DT149">
        <f>IF(IF(OR(IFERROR(SEARCH("Paladin",$T149,1),0)&gt;0,IFERROR(SEARCH(PaladinOath,$T149,1),0)&gt;0),1,0)*IF($C149=DT$2,1,0)=1,1+COUNTIF(DT$3:DT148,"&gt;0"),0)</f>
        <v>0</v>
      </c>
      <c r="DU149">
        <f>IF(IF(OR(IFERROR(SEARCH("Paladin",$T149,1),0)&gt;0,IFERROR(SEARCH(PaladinOath,$T149,1),0)&gt;0),1,0)*IF($C149=DU$2,1,0)=1,1+COUNTIF(DU$3:DU148,"&gt;0"),0)</f>
        <v>0</v>
      </c>
      <c r="DV149">
        <f>IF(IF(OR(IFERROR(SEARCH("Paladin",$T149,1),0)&gt;0,IFERROR(SEARCH(PaladinOath,$T149,1),0)&gt;0),1,0)*IF($C149=DV$2,1,0)=1,1+COUNTIF(DV$3:DV148,"&gt;0"),0)</f>
        <v>0</v>
      </c>
      <c r="DW149">
        <f>IF(IF(OR(IFERROR(SEARCH("Paladin",$T149,1),0)&gt;0,IFERROR(SEARCH(PaladinOath,$T149,1),0)&gt;0),1,0)*IF($C149=DW$2,1,0)=1,1+COUNTIF(DW$3:DW148,"&gt;0"),0)</f>
        <v>0</v>
      </c>
      <c r="DY149">
        <f t="shared" si="111"/>
        <v>1</v>
      </c>
      <c r="DZ149">
        <f>IF(DY149=0,0,1+MAX(DZ$3:$DZ148))</f>
        <v>147</v>
      </c>
      <c r="EB149">
        <f t="shared" si="125"/>
        <v>0</v>
      </c>
      <c r="EC149">
        <f>IF(EB149=0,0,1+COUNTIF(EC$3:EC148,"&gt;0"))</f>
        <v>0</v>
      </c>
      <c r="ED149" t="str">
        <f t="shared" si="153"/>
        <v/>
      </c>
      <c r="EE149" t="str">
        <f t="shared" si="126"/>
        <v/>
      </c>
      <c r="EG149">
        <f t="shared" si="127"/>
        <v>0</v>
      </c>
      <c r="EH149">
        <f>IF(EG149=0,0,1+COUNTIF(EH$3:EH148,"&gt;0"))</f>
        <v>0</v>
      </c>
      <c r="EI149" t="str">
        <f t="shared" si="154"/>
        <v/>
      </c>
      <c r="EJ149" t="str">
        <f t="shared" si="128"/>
        <v/>
      </c>
      <c r="EL149">
        <f t="shared" si="129"/>
        <v>0</v>
      </c>
      <c r="EM149">
        <f>IF(EL149=0,0,1+COUNTIF(EM$3:EM148,"&gt;0"))</f>
        <v>0</v>
      </c>
      <c r="EN149" t="str">
        <f t="shared" si="155"/>
        <v/>
      </c>
      <c r="EO149" t="str">
        <f t="shared" si="130"/>
        <v/>
      </c>
      <c r="EQ149">
        <f t="shared" si="131"/>
        <v>0</v>
      </c>
      <c r="ER149">
        <f>IF(EQ149=0,0,1+COUNTIF(ER$3:ER148,"&gt;0"))</f>
        <v>0</v>
      </c>
      <c r="ES149" t="str">
        <f t="shared" si="156"/>
        <v/>
      </c>
      <c r="ET149" t="str">
        <f t="shared" si="132"/>
        <v/>
      </c>
      <c r="EV149">
        <f t="shared" si="133"/>
        <v>0</v>
      </c>
      <c r="EW149">
        <f>IF(EV149=0,0,1+COUNTIF(EW$3:EW148,"&gt;0"))</f>
        <v>0</v>
      </c>
      <c r="EX149" t="str">
        <f t="shared" si="157"/>
        <v/>
      </c>
      <c r="EY149" t="str">
        <f t="shared" si="134"/>
        <v/>
      </c>
      <c r="FA149">
        <f t="shared" si="135"/>
        <v>0</v>
      </c>
      <c r="FB149">
        <f>IF(FA149=0,0,1+COUNTIF(FB$3:FB148,"&gt;0"))</f>
        <v>0</v>
      </c>
      <c r="FC149" t="str">
        <f t="shared" si="158"/>
        <v/>
      </c>
      <c r="FD149" t="str">
        <f t="shared" si="136"/>
        <v/>
      </c>
      <c r="FF149">
        <f t="shared" si="137"/>
        <v>0</v>
      </c>
      <c r="FG149">
        <f>IF(FF149=0,0,1+COUNTIF(FG$3:FG148,"&gt;0"))</f>
        <v>0</v>
      </c>
      <c r="FH149" t="str">
        <f t="shared" si="159"/>
        <v/>
      </c>
      <c r="FI149" t="str">
        <f t="shared" si="138"/>
        <v/>
      </c>
      <c r="FK149">
        <f t="shared" si="139"/>
        <v>0</v>
      </c>
      <c r="FL149">
        <f>IF(FK149=0,0,1+COUNTIF(FL$3:FL148,"&gt;0"))</f>
        <v>0</v>
      </c>
      <c r="FM149" t="str">
        <f t="shared" si="160"/>
        <v/>
      </c>
      <c r="FN149" t="str">
        <f t="shared" si="140"/>
        <v/>
      </c>
      <c r="FP149">
        <f t="shared" si="141"/>
        <v>0</v>
      </c>
      <c r="FQ149">
        <f>IF(FP149=0,0,1+COUNTIF(FQ$3:FQ148,"&gt;0"))</f>
        <v>0</v>
      </c>
      <c r="FR149" t="str">
        <f t="shared" si="161"/>
        <v/>
      </c>
      <c r="FS149" t="str">
        <f t="shared" si="142"/>
        <v/>
      </c>
    </row>
    <row r="150" spans="1:175" x14ac:dyDescent="0.25">
      <c r="A150" s="347">
        <f t="shared" si="162"/>
        <v>148</v>
      </c>
      <c r="B150" s="348" t="s">
        <v>2520</v>
      </c>
      <c r="C150" s="348">
        <v>7</v>
      </c>
      <c r="D150" s="347">
        <v>7</v>
      </c>
      <c r="E150" s="627" t="s">
        <v>6952</v>
      </c>
      <c r="F150" s="346"/>
      <c r="G150" s="347" t="str">
        <f>""</f>
        <v/>
      </c>
      <c r="H150" s="347" t="s">
        <v>5912</v>
      </c>
      <c r="I150" s="347" t="s">
        <v>5378</v>
      </c>
      <c r="J150" s="347" t="str">
        <f t="shared" si="112"/>
        <v/>
      </c>
      <c r="K150" s="347" t="s">
        <v>5293</v>
      </c>
      <c r="L150" s="611" t="str">
        <f t="shared" si="113"/>
        <v>V, S, M, ruby dust worth 1,500 gp</v>
      </c>
      <c r="M150" s="347" t="s">
        <v>2373</v>
      </c>
      <c r="N150" s="347" t="s">
        <v>2387</v>
      </c>
      <c r="O150" s="347" t="s">
        <v>1244</v>
      </c>
      <c r="P150" s="346" t="s">
        <v>5379</v>
      </c>
      <c r="Q150" s="347" t="s">
        <v>5273</v>
      </c>
      <c r="S150" s="346" t="s">
        <v>5705</v>
      </c>
      <c r="T150" s="346" t="str">
        <f t="shared" si="114"/>
        <v xml:space="preserve">Bard, Warlock, Eldritch Knight, Wizard, </v>
      </c>
      <c r="U150" s="347" t="str">
        <f>$B150</f>
        <v>Forcecage</v>
      </c>
      <c r="Y150" s="347" t="str">
        <f>$B150</f>
        <v>Forcecage</v>
      </c>
      <c r="AB150" s="542" t="str">
        <f>AD150</f>
        <v>Forcecage</v>
      </c>
      <c r="AD150" s="347" t="str">
        <f>$B150</f>
        <v>Forcecage</v>
      </c>
      <c r="AE150" t="str">
        <f>IF(IFERROR(MATCH($B150,temp!A$4:A$13,0),0)&gt;0,T08_Spells!AE$2,"")</f>
        <v/>
      </c>
      <c r="AF150" t="str">
        <f>IF(IFERROR(MATCH($B150,temp!B$4:B$13,0),0)&gt;0,T08_Spells!AF$2,"")</f>
        <v/>
      </c>
      <c r="AG150" t="str">
        <f>IF(IFERROR(MATCH($B150,temp!C$4:C$13,0),0)&gt;0,T08_Spells!AG$2,"")</f>
        <v/>
      </c>
      <c r="AH150" t="str">
        <f>IF(IFERROR(MATCH($B150,temp!D$4:D$13,0),0)&gt;0,T08_Spells!AH$2,"")</f>
        <v/>
      </c>
      <c r="AI150" t="str">
        <f>IF(IFERROR(MATCH($B150,temp!E$4:E$13,0),0)&gt;0,T08_Spells!AI$2,"")</f>
        <v/>
      </c>
      <c r="AJ150" t="str">
        <f>IF(IFERROR(MATCH($B150,temp!F$4:F$13,0),0)&gt;0,T08_Spells!AJ$2,"")</f>
        <v/>
      </c>
      <c r="AK150" t="str">
        <f>IF(IFERROR(MATCH($B150,temp!G$4:G$13,0),0)&gt;0,T08_Spells!AK$2,"")</f>
        <v/>
      </c>
      <c r="AL150" t="str">
        <f>IF(IFERROR(MATCH($B150,temp!H$4:H$13,0),0)&gt;0,T08_Spells!AL$2,"")</f>
        <v/>
      </c>
      <c r="AM150" t="str">
        <f>IF(IFERROR(MATCH($B150,temp!I$4:I$13,0),0)&gt;0,T08_Spells!AM$2,"")</f>
        <v/>
      </c>
      <c r="AN150" t="str">
        <f>IF(IFERROR(MATCH($B150,temp!J$4:J$13,0),0)&gt;0,T08_Spells!AN$2,"")</f>
        <v/>
      </c>
      <c r="AO150" t="str">
        <f>IF(IFERROR(MATCH($B150,temp!K$4:K$13,0),0)&gt;0,T08_Spells!AO$2,"")</f>
        <v/>
      </c>
      <c r="AP150" t="str">
        <f>IF(IFERROR(MATCH($B150,temp!L$4:L$13,0),0)&gt;0,T08_Spells!AP$2,"")</f>
        <v/>
      </c>
      <c r="AQ150" t="str">
        <f>IF(IFERROR(MATCH($B150,temp!M$4:M$13,0),0)&gt;0,T08_Spells!AQ$2,"")</f>
        <v/>
      </c>
      <c r="AR150" t="str">
        <f>IF(IFERROR(MATCH($B150,temp!N$4:N$13,0),0)&gt;0,T08_Spells!AR$2,"")</f>
        <v/>
      </c>
      <c r="AS150" t="str">
        <f>IF(IFERROR(MATCH($B150,temp!O$4:O$13,0),0)&gt;0,T08_Spells!AS$2,"")</f>
        <v/>
      </c>
      <c r="AT150" t="str">
        <f>IF(IFERROR(MATCH($B150,temp!P$4:P$13,0),0)&gt;0,T08_Spells!AT$2,"")</f>
        <v/>
      </c>
      <c r="AU150" t="str">
        <f>IF(IFERROR(MATCH($B150,temp!Q$4:Q$13,0),0)&gt;0,T08_Spells!AU$2,"")</f>
        <v/>
      </c>
      <c r="AV150" t="str">
        <f>IF(IFERROR(MATCH($B150,temp!R$4:R$13,0),0)&gt;0,T08_Spells!AV$2,"")</f>
        <v/>
      </c>
      <c r="AW150" t="str">
        <f>IF(IFERROR(MATCH($B150,temp!S$4:S$13,0),0)&gt;0,T08_Spells!AW$2,"")</f>
        <v/>
      </c>
      <c r="AX150" t="str">
        <f>IF(IFERROR(MATCH($B150,temp!T$4:T$13,0),0)&gt;0,T08_Spells!AX$2,"")</f>
        <v/>
      </c>
      <c r="AY150" t="str">
        <f>IF(IFERROR(MATCH($B150,temp!U$4:U$13,0),0)&gt;0,T08_Spells!AY$2,"")</f>
        <v/>
      </c>
      <c r="AZ150" t="str">
        <f>IF(IFERROR(MATCH($B150,temp!V$4:V$13,0),0)&gt;0,T08_Spells!AZ$2,"")</f>
        <v/>
      </c>
      <c r="BA150" t="str">
        <f>IF(IFERROR(MATCH($B150,temp!W$4:W$13,0),0)&gt;0,T08_Spells!BA$2,"")</f>
        <v/>
      </c>
      <c r="BC150">
        <f>IF(IFERROR(SEARCH("Ranger",$T150,1),0)&gt;0,1,0)*IF(RangerMaxSpellLevel&gt;=$C150,1,0)*IF(IFERROR(MATCH(B150,Character_Creation!$X$79:$X$382,0),0)&gt;0,0,1)</f>
        <v>0</v>
      </c>
      <c r="BD150">
        <f>IF(BC150=0,0,1+COUNTIF(BD$3:BD149,"&gt;0"))</f>
        <v>0</v>
      </c>
      <c r="BE150" t="str">
        <f t="shared" si="143"/>
        <v/>
      </c>
      <c r="BF150" t="str">
        <f t="shared" si="115"/>
        <v/>
      </c>
      <c r="BH150">
        <f>IF(IFERROR(SEARCH("Sorcerer",$T150,1),0)&gt;0,1,0)*IF(SorcererMaxSpellLevel&gt;=$C150,1,0)*IF(IFERROR(MATCH(B150,Character_Creation!$J$380:$J$394,0),0)&gt;0,0,1)</f>
        <v>0</v>
      </c>
      <c r="BI150">
        <f>IF(BH150=0,0,1+COUNTIF(BI$3:BI149,"&gt;0"))</f>
        <v>0</v>
      </c>
      <c r="BJ150" t="str">
        <f t="shared" si="144"/>
        <v/>
      </c>
      <c r="BK150" t="str">
        <f t="shared" si="116"/>
        <v/>
      </c>
      <c r="BM150">
        <f>IF(OR(IFERROR(SEARCH("Warlock",$T150,1),0)&gt;0,IFERROR(SEARCH(WarlockPatron,$T150,1),0)&gt;0),1,0)*IF(WarlockMaxSpellLevel&gt;=$C150,1,0)*IF(IFERROR(MATCH(B150,Character_Creation!$J$361:$J$375,0),0)&gt;0,0,1)</f>
        <v>0</v>
      </c>
      <c r="BN150">
        <f>IF(BM150=0,0,1+COUNTIF(BN$3:BN149,"&gt;0"))</f>
        <v>0</v>
      </c>
      <c r="BO150" t="str">
        <f t="shared" si="145"/>
        <v/>
      </c>
      <c r="BP150" t="str">
        <f t="shared" si="117"/>
        <v/>
      </c>
      <c r="BR150">
        <f>IF(IFERROR(SEARCH("Eldritch Knight",$T150,1),0)&gt;0,1,0)*IF(EldritchKnightMaxSpellLevel&gt;=$C150,1,0)*IF(IFERROR(MATCH($B150,Character_Creation!$J$350:$J$356,0),0)&gt;0,0,1)*IF(Character_Creation!$M$338&gt;0,1,0)</f>
        <v>0</v>
      </c>
      <c r="BS150">
        <f>IF(BR150=0,0,1+COUNTIF(BS$3:BS149,"&gt;0"))</f>
        <v>0</v>
      </c>
      <c r="BT150" t="str">
        <f t="shared" si="146"/>
        <v/>
      </c>
      <c r="BU150" t="str">
        <f t="shared" si="118"/>
        <v/>
      </c>
      <c r="BW150">
        <f>IF(IFERROR(SEARCH("Arcane Trickster",$T150,1),0)&gt;0,1,0)*IF(ArcaneTricksterMaxSpellLevel&gt;=$C150,1,0)*IF(IFERROR(MATCH($B150,Character_Creation!$J$350:$J$356,0),0)&gt;0,0,1)*IF(Character_Creation!$T$338&gt;0,1,0)</f>
        <v>0</v>
      </c>
      <c r="BX150">
        <f>IF(BW150=0,0,1+COUNTIF(BX$3:BX149,"&gt;0"))</f>
        <v>0</v>
      </c>
      <c r="BY150" t="str">
        <f t="shared" si="147"/>
        <v/>
      </c>
      <c r="BZ150" t="str">
        <f t="shared" si="119"/>
        <v/>
      </c>
      <c r="CB150">
        <f>IF(IFERROR(SEARCH("Wizard",$T150,1),0)&gt;0,1,0)*IF(C150&lt;=ArcaneTricksterMaxSpellLevel,1,0)*IF(IFERROR(MATCH($B150,Character_Creation!$J$350:$J$356,0),0)&gt;0,0,1)*IF(Character_Creation!$T$350&gt;0,1,0)</f>
        <v>0</v>
      </c>
      <c r="CC150">
        <f>IF(CB150=0,0,1+COUNTIF(CC$3:CC149,"&gt;0"))</f>
        <v>0</v>
      </c>
      <c r="CD150" t="str">
        <f t="shared" si="148"/>
        <v/>
      </c>
      <c r="CE150" t="str">
        <f t="shared" si="120"/>
        <v/>
      </c>
      <c r="CG150">
        <f>IF(IFERROR(SEARCH("Wizard",$T150,1),0)&gt;0,1,0)*IF($C150&lt;=EldritchKnightMaxSpellLevel,1,0)*IF(IFERROR(MATCH($B150,Character_Creation!$J$350:$J$356,0),0)&gt;0,0,1)*IF(Character_Creation!$M$350&gt;0,1,0)</f>
        <v>0</v>
      </c>
      <c r="CH150">
        <f>IF(CG150=0,0,1+COUNTIF(CH$3:CH149,"&gt;0"))</f>
        <v>0</v>
      </c>
      <c r="CI150" t="str">
        <f t="shared" si="149"/>
        <v/>
      </c>
      <c r="CJ150" t="str">
        <f t="shared" si="121"/>
        <v/>
      </c>
      <c r="CL150">
        <f>IF(IFERROR(SEARCH("Bard",$T150,1),0)&gt;0,1,0)*IF(BardMaxSpellLevel&gt;=$C150,1,0)*IF(IFERROR(MATCH(B150,Character_Creation!$C$341:$F$362,0),0)&gt;0,0,1)*IF(IFERROR(MATCH($B150,Character_Creation!$C$341:$C$362,0),0)&gt;0,0,1)</f>
        <v>0</v>
      </c>
      <c r="CM150">
        <f>IF(CL150=0,0,1+COUNTIF(CM$3:CM149,"&gt;0"))</f>
        <v>0</v>
      </c>
      <c r="CN150" t="str">
        <f t="shared" si="150"/>
        <v/>
      </c>
      <c r="CO150" t="str">
        <f t="shared" si="122"/>
        <v/>
      </c>
      <c r="CQ150">
        <f>IF(IFERROR(SEARCH("Wizard",$T150,1),0)&gt;0,1,0)*IF(WizardMaxSpellLevel&gt;=$C150,1,0)*IF(IFERROR(MATCH(B150,Character_Creation!$X$341:$X$400,0),0)&gt;0,0,1)*IF(SelectedWizardSpellLevel=$C150,1,0)</f>
        <v>0</v>
      </c>
      <c r="CR150">
        <f>IF(CQ150=0,0,1+COUNTIF(CR$3:CR149,"&gt;0"))</f>
        <v>0</v>
      </c>
      <c r="CS150" t="str">
        <f t="shared" si="151"/>
        <v/>
      </c>
      <c r="CT150" t="str">
        <f t="shared" si="123"/>
        <v/>
      </c>
      <c r="CV150">
        <f>IF(IFERROR(MATCH($B150,Character_Creation!$C$341:$C$362,0),0)&gt;0,0,1)*IF(OR(C150="Cantrip",C150&lt;=BardMaxSpellLevel),1,0)*IF(IFERROR(MATCH($B150,Character_Creation!$C$367:$C$374,0),0)&gt;0,0,1)</f>
        <v>0</v>
      </c>
      <c r="CW150">
        <f>IF(CV150=0,0,1+COUNTIF(CW$3:CW149,"&gt;0"))</f>
        <v>0</v>
      </c>
      <c r="CX150" t="str">
        <f t="shared" si="152"/>
        <v/>
      </c>
      <c r="CY150" t="str">
        <f t="shared" si="124"/>
        <v/>
      </c>
      <c r="DA150">
        <f>IF(IF(OR(IFERROR(SEARCH("Cleric",$T150,1),0)&gt;0,IFERROR(SEARCH(DivineDomain&amp;",",$T150,1),0)&gt;0),1,0)*IF($C150=DA$2,1,0)=1,1+COUNTIF(DA$3:DA149,"&gt;0"),0)</f>
        <v>0</v>
      </c>
      <c r="DB150">
        <f>IF(IF(OR(IFERROR(SEARCH("Cleric",$T150,1),0)&gt;0,IFERROR(SEARCH(DivineDomain&amp;",",$T150,1),0)&gt;0),1,0)*IF($C150=DB$2,1,0)=1,1+COUNTIF(DB$3:DB149,"&gt;0"),0)</f>
        <v>0</v>
      </c>
      <c r="DC150">
        <f>IF(IF(OR(IFERROR(SEARCH("Cleric",$T150,1),0)&gt;0,IFERROR(SEARCH(DivineDomain&amp;",",$T150,1),0)&gt;0),1,0)*IF($C150=DC$2,1,0)=1,1+COUNTIF(DC$3:DC149,"&gt;0"),0)</f>
        <v>0</v>
      </c>
      <c r="DD150">
        <f>IF(IF(OR(IFERROR(SEARCH("Cleric",$T150,1),0)&gt;0,IFERROR(SEARCH(DivineDomain&amp;",",$T150,1),0)&gt;0),1,0)*IF($C150=DD$2,1,0)=1,1+COUNTIF(DD$3:DD149,"&gt;0"),0)</f>
        <v>0</v>
      </c>
      <c r="DE150">
        <f>IF(IF(OR(IFERROR(SEARCH("Cleric",$T150,1),0)&gt;0,IFERROR(SEARCH(DivineDomain&amp;",",$T150,1),0)&gt;0),1,0)*IF($C150=DE$2,1,0)=1,1+COUNTIF(DE$3:DE149,"&gt;0"),0)</f>
        <v>0</v>
      </c>
      <c r="DF150">
        <f>IF(IF(OR(IFERROR(SEARCH("Cleric",$T150,1),0)&gt;0,IFERROR(SEARCH(DivineDomain&amp;",",$T150,1),0)&gt;0),1,0)*IF($C150=DF$2,1,0)=1,1+COUNTIF(DF$3:DF149,"&gt;0"),0)</f>
        <v>0</v>
      </c>
      <c r="DG150">
        <f>IF(IF(OR(IFERROR(SEARCH("Cleric",$T150,1),0)&gt;0,IFERROR(SEARCH(DivineDomain&amp;",",$T150,1),0)&gt;0),1,0)*IF($C150=DG$2,1,0)=1,1+COUNTIF(DG$3:DG149,"&gt;0"),0)</f>
        <v>0</v>
      </c>
      <c r="DH150">
        <f>IF(IF(OR(IFERROR(SEARCH("Cleric",$T150,1),0)&gt;0,IFERROR(SEARCH(DivineDomain&amp;",",$T150,1),0)&gt;0),1,0)*IF($C150=DH$2,1,0)=1,1+COUNTIF(DH$3:DH149,"&gt;0"),0)</f>
        <v>0</v>
      </c>
      <c r="DI150">
        <f>IF(IF(OR(IFERROR(SEARCH("Cleric",$T150,1),0)&gt;0,IFERROR(SEARCH(DivineDomain&amp;",",$T150,1),0)&gt;0),1,0)*IF($C150=DI$2,1,0)=1,1+COUNTIF(DI$3:DI149,"&gt;0"),0)</f>
        <v>0</v>
      </c>
      <c r="DJ150">
        <f>IF(IF(OR(IFERROR(SEARCH("Druid",$T150,1),0)&gt;0,IFERROR(SEARCH(DruidLand1,$T150,1),0)&gt;0,IFERROR(SEARCH(DruidLand2,$T150,1),0)&gt;0,IFERROR(SEARCH(DruidLand3,$T150,1),0)&gt;0,IFERROR(SEARCH(DruidLand4,$T150,1),0)&gt;0),1,0)*IF($C150=1,1,0)*IF($C150=DJ$2,1,0)=0,0,1+COUNTIF(DJ$3:DJ149,"&gt;0"))</f>
        <v>0</v>
      </c>
      <c r="DK150">
        <f>IF(IF(OR(IFERROR(SEARCH("Druid",$T150,1),0)&gt;0,IFERROR(SEARCH(DruidLand1,$T150,1),0)&gt;0,IFERROR(SEARCH(DruidLand2,$T150,1),0)&gt;0,IFERROR(SEARCH(DruidLand3,$T150,1),0)&gt;0,IFERROR(SEARCH(DruidLand4,$T150,1),0)&gt;0),1,0)*IF($C150=1,1,0)*IF($C150=DK$2,1,0)=0,0,1+COUNTIF(DK$3:DK149,"&gt;0"))</f>
        <v>0</v>
      </c>
      <c r="DL150">
        <f>IF(IF(OR(IFERROR(SEARCH("Druid",$T150,1),0)&gt;0,IFERROR(SEARCH(DruidLand1,$T150,1),0)&gt;0,IFERROR(SEARCH(DruidLand2,$T150,1),0)&gt;0,IFERROR(SEARCH(DruidLand3,$T150,1),0)&gt;0,IFERROR(SEARCH(DruidLand4,$T150,1),0)&gt;0),1,0)*IF($C150=1,1,0)*IF($C150=DL$2,1,0)=0,0,1+COUNTIF(DL$3:DL149,"&gt;0"))</f>
        <v>0</v>
      </c>
      <c r="DM150">
        <f>IF(IF(OR(IFERROR(SEARCH("Druid",$T150,1),0)&gt;0,IFERROR(SEARCH(DruidLand1,$T150,1),0)&gt;0,IFERROR(SEARCH(DruidLand2,$T150,1),0)&gt;0,IFERROR(SEARCH(DruidLand3,$T150,1),0)&gt;0,IFERROR(SEARCH(DruidLand4,$T150,1),0)&gt;0),1,0)*IF($C150=1,1,0)*IF($C150=DM$2,1,0)=0,0,1+COUNTIF(DM$3:DM149,"&gt;0"))</f>
        <v>0</v>
      </c>
      <c r="DN150">
        <f>IF(IF(OR(IFERROR(SEARCH("Druid",$T150,1),0)&gt;0,IFERROR(SEARCH(DruidLand1,$T150,1),0)&gt;0,IFERROR(SEARCH(DruidLand2,$T150,1),0)&gt;0,IFERROR(SEARCH(DruidLand3,$T150,1),0)&gt;0,IFERROR(SEARCH(DruidLand4,$T150,1),0)&gt;0),1,0)*IF($C150=1,1,0)*IF($C150=DN$2,1,0)=0,0,1+COUNTIF(DN$3:DN149,"&gt;0"))</f>
        <v>0</v>
      </c>
      <c r="DO150">
        <f>IF(IF(OR(IFERROR(SEARCH("Druid",$T150,1),0)&gt;0,IFERROR(SEARCH(DruidLand1,$T150,1),0)&gt;0,IFERROR(SEARCH(DruidLand2,$T150,1),0)&gt;0,IFERROR(SEARCH(DruidLand3,$T150,1),0)&gt;0,IFERROR(SEARCH(DruidLand4,$T150,1),0)&gt;0),1,0)*IF($C150=1,1,0)*IF($C150=DO$2,1,0)=0,0,1+COUNTIF(DO$3:DO149,"&gt;0"))</f>
        <v>0</v>
      </c>
      <c r="DP150">
        <f>IF(IF(OR(IFERROR(SEARCH("Druid",$T150,1),0)&gt;0,IFERROR(SEARCH(DruidLand1,$T150,1),0)&gt;0,IFERROR(SEARCH(DruidLand2,$T150,1),0)&gt;0,IFERROR(SEARCH(DruidLand3,$T150,1),0)&gt;0,IFERROR(SEARCH(DruidLand4,$T150,1),0)&gt;0),1,0)*IF($C150=1,1,0)*IF($C150=DP$2,1,0)=0,0,1+COUNTIF(DP$3:DP149,"&gt;0"))</f>
        <v>0</v>
      </c>
      <c r="DQ150">
        <f>IF(IF(OR(IFERROR(SEARCH("Druid",$T150,1),0)&gt;0,IFERROR(SEARCH(DruidLand1,$T150,1),0)&gt;0,IFERROR(SEARCH(DruidLand2,$T150,1),0)&gt;0,IFERROR(SEARCH(DruidLand3,$T150,1),0)&gt;0,IFERROR(SEARCH(DruidLand4,$T150,1),0)&gt;0),1,0)*IF($C150=1,1,0)*IF($C150=DQ$2,1,0)=0,0,1+COUNTIF(DQ$3:DQ149,"&gt;0"))</f>
        <v>0</v>
      </c>
      <c r="DR150">
        <f>IF(IF(OR(IFERROR(SEARCH("Druid",$T150,1),0)&gt;0,IFERROR(SEARCH(DruidLand1,$T150,1),0)&gt;0,IFERROR(SEARCH(DruidLand2,$T150,1),0)&gt;0,IFERROR(SEARCH(DruidLand3,$T150,1),0)&gt;0,IFERROR(SEARCH(DruidLand4,$T150,1),0)&gt;0),1,0)*IF($C150=1,1,0)*IF($C150=DR$2,1,0)=0,0,1+COUNTIF(DR$3:DR149,"&gt;0"))</f>
        <v>0</v>
      </c>
      <c r="DS150">
        <f>IF(IF(OR(IFERROR(SEARCH("Paladin",$T150,1),0)&gt;0,IFERROR(SEARCH(PaladinOath,$T150,1),0)&gt;0),1,0)*IF($C150=DS$2,1,0)=1,1+COUNTIF(DS$3:DS149,"&gt;0"),0)</f>
        <v>0</v>
      </c>
      <c r="DT150">
        <f>IF(IF(OR(IFERROR(SEARCH("Paladin",$T150,1),0)&gt;0,IFERROR(SEARCH(PaladinOath,$T150,1),0)&gt;0),1,0)*IF($C150=DT$2,1,0)=1,1+COUNTIF(DT$3:DT149,"&gt;0"),0)</f>
        <v>0</v>
      </c>
      <c r="DU150">
        <f>IF(IF(OR(IFERROR(SEARCH("Paladin",$T150,1),0)&gt;0,IFERROR(SEARCH(PaladinOath,$T150,1),0)&gt;0),1,0)*IF($C150=DU$2,1,0)=1,1+COUNTIF(DU$3:DU149,"&gt;0"),0)</f>
        <v>0</v>
      </c>
      <c r="DV150">
        <f>IF(IF(OR(IFERROR(SEARCH("Paladin",$T150,1),0)&gt;0,IFERROR(SEARCH(PaladinOath,$T150,1),0)&gt;0),1,0)*IF($C150=DV$2,1,0)=1,1+COUNTIF(DV$3:DV149,"&gt;0"),0)</f>
        <v>0</v>
      </c>
      <c r="DW150">
        <f>IF(IF(OR(IFERROR(SEARCH("Paladin",$T150,1),0)&gt;0,IFERROR(SEARCH(PaladinOath,$T150,1),0)&gt;0),1,0)*IF($C150=DW$2,1,0)=1,1+COUNTIF(DW$3:DW149,"&gt;0"),0)</f>
        <v>0</v>
      </c>
      <c r="DY150">
        <f t="shared" si="111"/>
        <v>1</v>
      </c>
      <c r="DZ150">
        <f>IF(DY150=0,0,1+MAX(DZ$3:$DZ149))</f>
        <v>148</v>
      </c>
      <c r="EB150">
        <f t="shared" si="125"/>
        <v>0</v>
      </c>
      <c r="EC150">
        <f>IF(EB150=0,0,1+COUNTIF(EC$3:EC149,"&gt;0"))</f>
        <v>0</v>
      </c>
      <c r="ED150" t="str">
        <f t="shared" si="153"/>
        <v/>
      </c>
      <c r="EE150" t="str">
        <f t="shared" si="126"/>
        <v/>
      </c>
      <c r="EG150">
        <f t="shared" si="127"/>
        <v>0</v>
      </c>
      <c r="EH150">
        <f>IF(EG150=0,0,1+COUNTIF(EH$3:EH149,"&gt;0"))</f>
        <v>0</v>
      </c>
      <c r="EI150" t="str">
        <f t="shared" si="154"/>
        <v/>
      </c>
      <c r="EJ150" t="str">
        <f t="shared" si="128"/>
        <v/>
      </c>
      <c r="EL150">
        <f t="shared" si="129"/>
        <v>0</v>
      </c>
      <c r="EM150">
        <f>IF(EL150=0,0,1+COUNTIF(EM$3:EM149,"&gt;0"))</f>
        <v>0</v>
      </c>
      <c r="EN150" t="str">
        <f t="shared" si="155"/>
        <v/>
      </c>
      <c r="EO150" t="str">
        <f t="shared" si="130"/>
        <v/>
      </c>
      <c r="EQ150">
        <f t="shared" si="131"/>
        <v>0</v>
      </c>
      <c r="ER150">
        <f>IF(EQ150=0,0,1+COUNTIF(ER$3:ER149,"&gt;0"))</f>
        <v>0</v>
      </c>
      <c r="ES150" t="str">
        <f t="shared" si="156"/>
        <v/>
      </c>
      <c r="ET150" t="str">
        <f t="shared" si="132"/>
        <v/>
      </c>
      <c r="EV150">
        <f t="shared" si="133"/>
        <v>0</v>
      </c>
      <c r="EW150">
        <f>IF(EV150=0,0,1+COUNTIF(EW$3:EW149,"&gt;0"))</f>
        <v>0</v>
      </c>
      <c r="EX150" t="str">
        <f t="shared" si="157"/>
        <v/>
      </c>
      <c r="EY150" t="str">
        <f t="shared" si="134"/>
        <v/>
      </c>
      <c r="FA150">
        <f t="shared" si="135"/>
        <v>0</v>
      </c>
      <c r="FB150">
        <f>IF(FA150=0,0,1+COUNTIF(FB$3:FB149,"&gt;0"))</f>
        <v>0</v>
      </c>
      <c r="FC150" t="str">
        <f t="shared" si="158"/>
        <v/>
      </c>
      <c r="FD150" t="str">
        <f t="shared" si="136"/>
        <v/>
      </c>
      <c r="FF150">
        <f t="shared" si="137"/>
        <v>0</v>
      </c>
      <c r="FG150">
        <f>IF(FF150=0,0,1+COUNTIF(FG$3:FG149,"&gt;0"))</f>
        <v>0</v>
      </c>
      <c r="FH150" t="str">
        <f t="shared" si="159"/>
        <v/>
      </c>
      <c r="FI150" t="str">
        <f t="shared" si="138"/>
        <v/>
      </c>
      <c r="FK150">
        <f t="shared" si="139"/>
        <v>0</v>
      </c>
      <c r="FL150">
        <f>IF(FK150=0,0,1+COUNTIF(FL$3:FL149,"&gt;0"))</f>
        <v>0</v>
      </c>
      <c r="FM150" t="str">
        <f t="shared" si="160"/>
        <v/>
      </c>
      <c r="FN150" t="str">
        <f t="shared" si="140"/>
        <v/>
      </c>
      <c r="FP150">
        <f t="shared" si="141"/>
        <v>0</v>
      </c>
      <c r="FQ150">
        <f>IF(FP150=0,0,1+COUNTIF(FQ$3:FQ149,"&gt;0"))</f>
        <v>0</v>
      </c>
      <c r="FR150" t="str">
        <f t="shared" si="161"/>
        <v/>
      </c>
      <c r="FS150" t="str">
        <f t="shared" si="142"/>
        <v/>
      </c>
    </row>
    <row r="151" spans="1:175" x14ac:dyDescent="0.25">
      <c r="A151" s="347">
        <f t="shared" si="162"/>
        <v>149</v>
      </c>
      <c r="B151" s="348" t="s">
        <v>2521</v>
      </c>
      <c r="C151" s="348">
        <v>9</v>
      </c>
      <c r="D151" s="347">
        <v>9</v>
      </c>
      <c r="E151" s="627" t="s">
        <v>6952</v>
      </c>
      <c r="F151" s="346"/>
      <c r="G151" s="347" t="str">
        <f>""</f>
        <v/>
      </c>
      <c r="H151" s="347" t="s">
        <v>5288</v>
      </c>
      <c r="I151" s="347" t="s">
        <v>5298</v>
      </c>
      <c r="J151" s="347" t="str">
        <f t="shared" si="112"/>
        <v/>
      </c>
      <c r="K151" s="347" t="s">
        <v>5279</v>
      </c>
      <c r="L151" s="611" t="str">
        <f t="shared" si="113"/>
        <v>V, S, M, a hummingbird feather</v>
      </c>
      <c r="M151" s="347" t="s">
        <v>2373</v>
      </c>
      <c r="N151" s="347" t="s">
        <v>2387</v>
      </c>
      <c r="O151" s="347" t="s">
        <v>1244</v>
      </c>
      <c r="P151" s="346" t="s">
        <v>5380</v>
      </c>
      <c r="Q151" s="347" t="s">
        <v>2473</v>
      </c>
      <c r="S151" s="346" t="s">
        <v>5706</v>
      </c>
      <c r="T151" s="346" t="str">
        <f t="shared" si="114"/>
        <v xml:space="preserve">Bard, Warlock, Druid, Wizard, </v>
      </c>
      <c r="U151" s="347" t="str">
        <f>$B151</f>
        <v>Foresight</v>
      </c>
      <c r="Y151" s="347" t="str">
        <f>$B151</f>
        <v>Foresight</v>
      </c>
      <c r="AA151" s="347" t="str">
        <f>$B151</f>
        <v>Foresight</v>
      </c>
      <c r="AD151" s="347" t="str">
        <f>$B151</f>
        <v>Foresight</v>
      </c>
      <c r="AE151" t="str">
        <f>IF(IFERROR(MATCH($B151,temp!A$4:A$13,0),0)&gt;0,T08_Spells!AE$2,"")</f>
        <v/>
      </c>
      <c r="AF151" t="str">
        <f>IF(IFERROR(MATCH($B151,temp!B$4:B$13,0),0)&gt;0,T08_Spells!AF$2,"")</f>
        <v/>
      </c>
      <c r="AG151" t="str">
        <f>IF(IFERROR(MATCH($B151,temp!C$4:C$13,0),0)&gt;0,T08_Spells!AG$2,"")</f>
        <v/>
      </c>
      <c r="AH151" t="str">
        <f>IF(IFERROR(MATCH($B151,temp!D$4:D$13,0),0)&gt;0,T08_Spells!AH$2,"")</f>
        <v/>
      </c>
      <c r="AI151" t="str">
        <f>IF(IFERROR(MATCH($B151,temp!E$4:E$13,0),0)&gt;0,T08_Spells!AI$2,"")</f>
        <v/>
      </c>
      <c r="AJ151" t="str">
        <f>IF(IFERROR(MATCH($B151,temp!F$4:F$13,0),0)&gt;0,T08_Spells!AJ$2,"")</f>
        <v/>
      </c>
      <c r="AK151" t="str">
        <f>IF(IFERROR(MATCH($B151,temp!G$4:G$13,0),0)&gt;0,T08_Spells!AK$2,"")</f>
        <v/>
      </c>
      <c r="AL151" t="str">
        <f>IF(IFERROR(MATCH($B151,temp!H$4:H$13,0),0)&gt;0,T08_Spells!AL$2,"")</f>
        <v/>
      </c>
      <c r="AM151" t="str">
        <f>IF(IFERROR(MATCH($B151,temp!I$4:I$13,0),0)&gt;0,T08_Spells!AM$2,"")</f>
        <v/>
      </c>
      <c r="AN151" t="str">
        <f>IF(IFERROR(MATCH($B151,temp!J$4:J$13,0),0)&gt;0,T08_Spells!AN$2,"")</f>
        <v/>
      </c>
      <c r="AO151" t="str">
        <f>IF(IFERROR(MATCH($B151,temp!K$4:K$13,0),0)&gt;0,T08_Spells!AO$2,"")</f>
        <v/>
      </c>
      <c r="AP151" t="str">
        <f>IF(IFERROR(MATCH($B151,temp!L$4:L$13,0),0)&gt;0,T08_Spells!AP$2,"")</f>
        <v/>
      </c>
      <c r="AQ151" t="str">
        <f>IF(IFERROR(MATCH($B151,temp!M$4:M$13,0),0)&gt;0,T08_Spells!AQ$2,"")</f>
        <v/>
      </c>
      <c r="AR151" t="str">
        <f>IF(IFERROR(MATCH($B151,temp!N$4:N$13,0),0)&gt;0,T08_Spells!AR$2,"")</f>
        <v/>
      </c>
      <c r="AS151" t="str">
        <f>IF(IFERROR(MATCH($B151,temp!O$4:O$13,0),0)&gt;0,T08_Spells!AS$2,"")</f>
        <v/>
      </c>
      <c r="AT151" t="str">
        <f>IF(IFERROR(MATCH($B151,temp!P$4:P$13,0),0)&gt;0,T08_Spells!AT$2,"")</f>
        <v/>
      </c>
      <c r="AU151" t="str">
        <f>IF(IFERROR(MATCH($B151,temp!Q$4:Q$13,0),0)&gt;0,T08_Spells!AU$2,"")</f>
        <v/>
      </c>
      <c r="AV151" t="str">
        <f>IF(IFERROR(MATCH($B151,temp!R$4:R$13,0),0)&gt;0,T08_Spells!AV$2,"")</f>
        <v/>
      </c>
      <c r="AW151" t="str">
        <f>IF(IFERROR(MATCH($B151,temp!S$4:S$13,0),0)&gt;0,T08_Spells!AW$2,"")</f>
        <v/>
      </c>
      <c r="AX151" t="str">
        <f>IF(IFERROR(MATCH($B151,temp!T$4:T$13,0),0)&gt;0,T08_Spells!AX$2,"")</f>
        <v/>
      </c>
      <c r="AY151" t="str">
        <f>IF(IFERROR(MATCH($B151,temp!U$4:U$13,0),0)&gt;0,T08_Spells!AY$2,"")</f>
        <v/>
      </c>
      <c r="AZ151" t="str">
        <f>IF(IFERROR(MATCH($B151,temp!V$4:V$13,0),0)&gt;0,T08_Spells!AZ$2,"")</f>
        <v/>
      </c>
      <c r="BA151" t="str">
        <f>IF(IFERROR(MATCH($B151,temp!W$4:W$13,0),0)&gt;0,T08_Spells!BA$2,"")</f>
        <v/>
      </c>
      <c r="BC151">
        <f>IF(IFERROR(SEARCH("Ranger",$T151,1),0)&gt;0,1,0)*IF(RangerMaxSpellLevel&gt;=$C151,1,0)*IF(IFERROR(MATCH(B151,Character_Creation!$X$79:$X$382,0),0)&gt;0,0,1)</f>
        <v>0</v>
      </c>
      <c r="BD151">
        <f>IF(BC151=0,0,1+COUNTIF(BD$3:BD150,"&gt;0"))</f>
        <v>0</v>
      </c>
      <c r="BE151" t="str">
        <f t="shared" si="143"/>
        <v/>
      </c>
      <c r="BF151" t="str">
        <f t="shared" si="115"/>
        <v/>
      </c>
      <c r="BH151">
        <f>IF(IFERROR(SEARCH("Sorcerer",$T151,1),0)&gt;0,1,0)*IF(SorcererMaxSpellLevel&gt;=$C151,1,0)*IF(IFERROR(MATCH(B151,Character_Creation!$J$380:$J$394,0),0)&gt;0,0,1)</f>
        <v>0</v>
      </c>
      <c r="BI151">
        <f>IF(BH151=0,0,1+COUNTIF(BI$3:BI150,"&gt;0"))</f>
        <v>0</v>
      </c>
      <c r="BJ151" t="str">
        <f t="shared" si="144"/>
        <v/>
      </c>
      <c r="BK151" t="str">
        <f t="shared" si="116"/>
        <v/>
      </c>
      <c r="BM151">
        <f>IF(OR(IFERROR(SEARCH("Warlock",$T151,1),0)&gt;0,IFERROR(SEARCH(WarlockPatron,$T151,1),0)&gt;0),1,0)*IF(WarlockMaxSpellLevel&gt;=$C151,1,0)*IF(IFERROR(MATCH(B151,Character_Creation!$J$361:$J$375,0),0)&gt;0,0,1)</f>
        <v>0</v>
      </c>
      <c r="BN151">
        <f>IF(BM151=0,0,1+COUNTIF(BN$3:BN150,"&gt;0"))</f>
        <v>0</v>
      </c>
      <c r="BO151" t="str">
        <f t="shared" si="145"/>
        <v/>
      </c>
      <c r="BP151" t="str">
        <f t="shared" si="117"/>
        <v/>
      </c>
      <c r="BR151">
        <f>IF(IFERROR(SEARCH("Eldritch Knight",$T151,1),0)&gt;0,1,0)*IF(EldritchKnightMaxSpellLevel&gt;=$C151,1,0)*IF(IFERROR(MATCH($B151,Character_Creation!$J$350:$J$356,0),0)&gt;0,0,1)*IF(Character_Creation!$M$338&gt;0,1,0)</f>
        <v>0</v>
      </c>
      <c r="BS151">
        <f>IF(BR151=0,0,1+COUNTIF(BS$3:BS150,"&gt;0"))</f>
        <v>0</v>
      </c>
      <c r="BT151" t="str">
        <f t="shared" si="146"/>
        <v/>
      </c>
      <c r="BU151" t="str">
        <f t="shared" si="118"/>
        <v/>
      </c>
      <c r="BW151">
        <f>IF(IFERROR(SEARCH("Arcane Trickster",$T151,1),0)&gt;0,1,0)*IF(ArcaneTricksterMaxSpellLevel&gt;=$C151,1,0)*IF(IFERROR(MATCH($B151,Character_Creation!$J$350:$J$356,0),0)&gt;0,0,1)*IF(Character_Creation!$T$338&gt;0,1,0)</f>
        <v>0</v>
      </c>
      <c r="BX151">
        <f>IF(BW151=0,0,1+COUNTIF(BX$3:BX150,"&gt;0"))</f>
        <v>0</v>
      </c>
      <c r="BY151" t="str">
        <f t="shared" si="147"/>
        <v/>
      </c>
      <c r="BZ151" t="str">
        <f t="shared" si="119"/>
        <v/>
      </c>
      <c r="CB151">
        <f>IF(IFERROR(SEARCH("Wizard",$T151,1),0)&gt;0,1,0)*IF(C151&lt;=ArcaneTricksterMaxSpellLevel,1,0)*IF(IFERROR(MATCH($B151,Character_Creation!$J$350:$J$356,0),0)&gt;0,0,1)*IF(Character_Creation!$T$350&gt;0,1,0)</f>
        <v>0</v>
      </c>
      <c r="CC151">
        <f>IF(CB151=0,0,1+COUNTIF(CC$3:CC150,"&gt;0"))</f>
        <v>0</v>
      </c>
      <c r="CD151" t="str">
        <f t="shared" si="148"/>
        <v/>
      </c>
      <c r="CE151" t="str">
        <f t="shared" si="120"/>
        <v/>
      </c>
      <c r="CG151">
        <f>IF(IFERROR(SEARCH("Wizard",$T151,1),0)&gt;0,1,0)*IF($C151&lt;=EldritchKnightMaxSpellLevel,1,0)*IF(IFERROR(MATCH($B151,Character_Creation!$J$350:$J$356,0),0)&gt;0,0,1)*IF(Character_Creation!$M$350&gt;0,1,0)</f>
        <v>0</v>
      </c>
      <c r="CH151">
        <f>IF(CG151=0,0,1+COUNTIF(CH$3:CH150,"&gt;0"))</f>
        <v>0</v>
      </c>
      <c r="CI151" t="str">
        <f t="shared" si="149"/>
        <v/>
      </c>
      <c r="CJ151" t="str">
        <f t="shared" si="121"/>
        <v/>
      </c>
      <c r="CL151">
        <f>IF(IFERROR(SEARCH("Bard",$T151,1),0)&gt;0,1,0)*IF(BardMaxSpellLevel&gt;=$C151,1,0)*IF(IFERROR(MATCH(B151,Character_Creation!$C$341:$F$362,0),0)&gt;0,0,1)*IF(IFERROR(MATCH($B151,Character_Creation!$C$341:$C$362,0),0)&gt;0,0,1)</f>
        <v>0</v>
      </c>
      <c r="CM151">
        <f>IF(CL151=0,0,1+COUNTIF(CM$3:CM150,"&gt;0"))</f>
        <v>0</v>
      </c>
      <c r="CN151" t="str">
        <f t="shared" si="150"/>
        <v/>
      </c>
      <c r="CO151" t="str">
        <f t="shared" si="122"/>
        <v/>
      </c>
      <c r="CQ151">
        <f>IF(IFERROR(SEARCH("Wizard",$T151,1),0)&gt;0,1,0)*IF(WizardMaxSpellLevel&gt;=$C151,1,0)*IF(IFERROR(MATCH(B151,Character_Creation!$X$341:$X$400,0),0)&gt;0,0,1)*IF(SelectedWizardSpellLevel=$C151,1,0)</f>
        <v>0</v>
      </c>
      <c r="CR151">
        <f>IF(CQ151=0,0,1+COUNTIF(CR$3:CR150,"&gt;0"))</f>
        <v>0</v>
      </c>
      <c r="CS151" t="str">
        <f t="shared" si="151"/>
        <v/>
      </c>
      <c r="CT151" t="str">
        <f t="shared" si="123"/>
        <v/>
      </c>
      <c r="CV151">
        <f>IF(IFERROR(MATCH($B151,Character_Creation!$C$341:$C$362,0),0)&gt;0,0,1)*IF(OR(C151="Cantrip",C151&lt;=BardMaxSpellLevel),1,0)*IF(IFERROR(MATCH($B151,Character_Creation!$C$367:$C$374,0),0)&gt;0,0,1)</f>
        <v>0</v>
      </c>
      <c r="CW151">
        <f>IF(CV151=0,0,1+COUNTIF(CW$3:CW150,"&gt;0"))</f>
        <v>0</v>
      </c>
      <c r="CX151" t="str">
        <f t="shared" si="152"/>
        <v/>
      </c>
      <c r="CY151" t="str">
        <f t="shared" si="124"/>
        <v/>
      </c>
      <c r="DA151">
        <f>IF(IF(OR(IFERROR(SEARCH("Cleric",$T151,1),0)&gt;0,IFERROR(SEARCH(DivineDomain&amp;",",$T151,1),0)&gt;0),1,0)*IF($C151=DA$2,1,0)=1,1+COUNTIF(DA$3:DA150,"&gt;0"),0)</f>
        <v>0</v>
      </c>
      <c r="DB151">
        <f>IF(IF(OR(IFERROR(SEARCH("Cleric",$T151,1),0)&gt;0,IFERROR(SEARCH(DivineDomain&amp;",",$T151,1),0)&gt;0),1,0)*IF($C151=DB$2,1,0)=1,1+COUNTIF(DB$3:DB150,"&gt;0"),0)</f>
        <v>0</v>
      </c>
      <c r="DC151">
        <f>IF(IF(OR(IFERROR(SEARCH("Cleric",$T151,1),0)&gt;0,IFERROR(SEARCH(DivineDomain&amp;",",$T151,1),0)&gt;0),1,0)*IF($C151=DC$2,1,0)=1,1+COUNTIF(DC$3:DC150,"&gt;0"),0)</f>
        <v>0</v>
      </c>
      <c r="DD151">
        <f>IF(IF(OR(IFERROR(SEARCH("Cleric",$T151,1),0)&gt;0,IFERROR(SEARCH(DivineDomain&amp;",",$T151,1),0)&gt;0),1,0)*IF($C151=DD$2,1,0)=1,1+COUNTIF(DD$3:DD150,"&gt;0"),0)</f>
        <v>0</v>
      </c>
      <c r="DE151">
        <f>IF(IF(OR(IFERROR(SEARCH("Cleric",$T151,1),0)&gt;0,IFERROR(SEARCH(DivineDomain&amp;",",$T151,1),0)&gt;0),1,0)*IF($C151=DE$2,1,0)=1,1+COUNTIF(DE$3:DE150,"&gt;0"),0)</f>
        <v>0</v>
      </c>
      <c r="DF151">
        <f>IF(IF(OR(IFERROR(SEARCH("Cleric",$T151,1),0)&gt;0,IFERROR(SEARCH(DivineDomain&amp;",",$T151,1),0)&gt;0),1,0)*IF($C151=DF$2,1,0)=1,1+COUNTIF(DF$3:DF150,"&gt;0"),0)</f>
        <v>0</v>
      </c>
      <c r="DG151">
        <f>IF(IF(OR(IFERROR(SEARCH("Cleric",$T151,1),0)&gt;0,IFERROR(SEARCH(DivineDomain&amp;",",$T151,1),0)&gt;0),1,0)*IF($C151=DG$2,1,0)=1,1+COUNTIF(DG$3:DG150,"&gt;0"),0)</f>
        <v>0</v>
      </c>
      <c r="DH151">
        <f>IF(IF(OR(IFERROR(SEARCH("Cleric",$T151,1),0)&gt;0,IFERROR(SEARCH(DivineDomain&amp;",",$T151,1),0)&gt;0),1,0)*IF($C151=DH$2,1,0)=1,1+COUNTIF(DH$3:DH150,"&gt;0"),0)</f>
        <v>0</v>
      </c>
      <c r="DI151">
        <f>IF(IF(OR(IFERROR(SEARCH("Cleric",$T151,1),0)&gt;0,IFERROR(SEARCH(DivineDomain&amp;",",$T151,1),0)&gt;0),1,0)*IF($C151=DI$2,1,0)=1,1+COUNTIF(DI$3:DI150,"&gt;0"),0)</f>
        <v>0</v>
      </c>
      <c r="DJ151">
        <f>IF(IF(OR(IFERROR(SEARCH("Druid",$T151,1),0)&gt;0,IFERROR(SEARCH(DruidLand1,$T151,1),0)&gt;0,IFERROR(SEARCH(DruidLand2,$T151,1),0)&gt;0,IFERROR(SEARCH(DruidLand3,$T151,1),0)&gt;0,IFERROR(SEARCH(DruidLand4,$T151,1),0)&gt;0),1,0)*IF($C151=1,1,0)*IF($C151=DJ$2,1,0)=0,0,1+COUNTIF(DJ$3:DJ150,"&gt;0"))</f>
        <v>0</v>
      </c>
      <c r="DK151">
        <f>IF(IF(OR(IFERROR(SEARCH("Druid",$T151,1),0)&gt;0,IFERROR(SEARCH(DruidLand1,$T151,1),0)&gt;0,IFERROR(SEARCH(DruidLand2,$T151,1),0)&gt;0,IFERROR(SEARCH(DruidLand3,$T151,1),0)&gt;0,IFERROR(SEARCH(DruidLand4,$T151,1),0)&gt;0),1,0)*IF($C151=DK$2,1,0)=0,0,1+COUNTIF(DK$3:DK150,"&gt;0"))</f>
        <v>0</v>
      </c>
      <c r="DL151">
        <f>IF(IF(OR(IFERROR(SEARCH("Druid",$T151,1),0)&gt;0,IFERROR(SEARCH(DruidLand1,$T151,1),0)&gt;0,IFERROR(SEARCH(DruidLand2,$T151,1),0)&gt;0,IFERROR(SEARCH(DruidLand3,$T151,1),0)&gt;0,IFERROR(SEARCH(DruidLand4,$T151,1),0)&gt;0),1,0)*IF($C151=DL$2,1,0)=0,0,1+COUNTIF(DL$3:DL150,"&gt;0"))</f>
        <v>0</v>
      </c>
      <c r="DM151">
        <f>IF(IF(OR(IFERROR(SEARCH("Druid",$T151,1),0)&gt;0,IFERROR(SEARCH(DruidLand1,$T151,1),0)&gt;0,IFERROR(SEARCH(DruidLand2,$T151,1),0)&gt;0,IFERROR(SEARCH(DruidLand3,$T151,1),0)&gt;0,IFERROR(SEARCH(DruidLand4,$T151,1),0)&gt;0),1,0)*IF($C151=DM$2,1,0)=0,0,1+COUNTIF(DM$3:DM150,"&gt;0"))</f>
        <v>0</v>
      </c>
      <c r="DN151">
        <f>IF(IF(OR(IFERROR(SEARCH("Druid",$T151,1),0)&gt;0,IFERROR(SEARCH(DruidLand1,$T151,1),0)&gt;0,IFERROR(SEARCH(DruidLand2,$T151,1),0)&gt;0,IFERROR(SEARCH(DruidLand3,$T151,1),0)&gt;0,IFERROR(SEARCH(DruidLand4,$T151,1),0)&gt;0),1,0)*IF($C151=DN$2,1,0)=0,0,1+COUNTIF(DN$3:DN150,"&gt;0"))</f>
        <v>0</v>
      </c>
      <c r="DO151">
        <f>IF(IF(OR(IFERROR(SEARCH("Druid",$T151,1),0)&gt;0,IFERROR(SEARCH(DruidLand1,$T151,1),0)&gt;0,IFERROR(SEARCH(DruidLand2,$T151,1),0)&gt;0,IFERROR(SEARCH(DruidLand3,$T151,1),0)&gt;0,IFERROR(SEARCH(DruidLand4,$T151,1),0)&gt;0),1,0)*IF($C151=DO$2,1,0)=0,0,1+COUNTIF(DO$3:DO150,"&gt;0"))</f>
        <v>0</v>
      </c>
      <c r="DP151">
        <f>IF(IF(OR(IFERROR(SEARCH("Druid",$T151,1),0)&gt;0,IFERROR(SEARCH(DruidLand1,$T151,1),0)&gt;0,IFERROR(SEARCH(DruidLand2,$T151,1),0)&gt;0,IFERROR(SEARCH(DruidLand3,$T151,1),0)&gt;0,IFERROR(SEARCH(DruidLand4,$T151,1),0)&gt;0),1,0)*IF($C151=DP$2,1,0)=0,0,1+COUNTIF(DP$3:DP150,"&gt;0"))</f>
        <v>0</v>
      </c>
      <c r="DQ151">
        <f>IF(IF(OR(IFERROR(SEARCH("Druid",$T151,1),0)&gt;0,IFERROR(SEARCH(DruidLand1,$T151,1),0)&gt;0,IFERROR(SEARCH(DruidLand2,$T151,1),0)&gt;0,IFERROR(SEARCH(DruidLand3,$T151,1),0)&gt;0,IFERROR(SEARCH(DruidLand4,$T151,1),0)&gt;0),1,0)*IF($C151=DQ$2,1,0)=0,0,1+COUNTIF(DQ$3:DQ150,"&gt;0"))</f>
        <v>0</v>
      </c>
      <c r="DR151">
        <f>IF(IF(OR(IFERROR(SEARCH("Druid",$T151,1),0)&gt;0,IFERROR(SEARCH(DruidLand1,$T151,1),0)&gt;0,IFERROR(SEARCH(DruidLand2,$T151,1),0)&gt;0,IFERROR(SEARCH(DruidLand3,$T151,1),0)&gt;0,IFERROR(SEARCH(DruidLand4,$T151,1),0)&gt;0),1,0)*IF($C151=DR$2,1,0)=0,0,1+COUNTIF(DR$3:DR150,"&gt;0"))</f>
        <v>1</v>
      </c>
      <c r="DS151">
        <f>IF(IF(OR(IFERROR(SEARCH("Paladin",$T151,1),0)&gt;0,IFERROR(SEARCH(PaladinOath,$T151,1),0)&gt;0),1,0)*IF($C151=DS$2,1,0)=1,1+COUNTIF(DS$3:DS150,"&gt;0"),0)</f>
        <v>0</v>
      </c>
      <c r="DT151">
        <f>IF(IF(OR(IFERROR(SEARCH("Paladin",$T151,1),0)&gt;0,IFERROR(SEARCH(PaladinOath,$T151,1),0)&gt;0),1,0)*IF($C151=DT$2,1,0)=1,1+COUNTIF(DT$3:DT150,"&gt;0"),0)</f>
        <v>0</v>
      </c>
      <c r="DU151">
        <f>IF(IF(OR(IFERROR(SEARCH("Paladin",$T151,1),0)&gt;0,IFERROR(SEARCH(PaladinOath,$T151,1),0)&gt;0),1,0)*IF($C151=DU$2,1,0)=1,1+COUNTIF(DU$3:DU150,"&gt;0"),0)</f>
        <v>0</v>
      </c>
      <c r="DV151">
        <f>IF(IF(OR(IFERROR(SEARCH("Paladin",$T151,1),0)&gt;0,IFERROR(SEARCH(PaladinOath,$T151,1),0)&gt;0),1,0)*IF($C151=DV$2,1,0)=1,1+COUNTIF(DV$3:DV150,"&gt;0"),0)</f>
        <v>0</v>
      </c>
      <c r="DW151">
        <f>IF(IF(OR(IFERROR(SEARCH("Paladin",$T151,1),0)&gt;0,IFERROR(SEARCH(PaladinOath,$T151,1),0)&gt;0),1,0)*IF($C151=DW$2,1,0)=1,1+COUNTIF(DW$3:DW150,"&gt;0"),0)</f>
        <v>0</v>
      </c>
      <c r="DY151">
        <f t="shared" si="111"/>
        <v>1</v>
      </c>
      <c r="DZ151">
        <f>IF(DY151=0,0,1+MAX(DZ$3:$DZ150))</f>
        <v>149</v>
      </c>
      <c r="EB151">
        <f t="shared" si="125"/>
        <v>0</v>
      </c>
      <c r="EC151">
        <f>IF(EB151=0,0,1+COUNTIF(EC$3:EC150,"&gt;0"))</f>
        <v>0</v>
      </c>
      <c r="ED151" t="str">
        <f t="shared" si="153"/>
        <v/>
      </c>
      <c r="EE151" t="str">
        <f t="shared" si="126"/>
        <v/>
      </c>
      <c r="EG151">
        <f t="shared" si="127"/>
        <v>0</v>
      </c>
      <c r="EH151">
        <f>IF(EG151=0,0,1+COUNTIF(EH$3:EH150,"&gt;0"))</f>
        <v>0</v>
      </c>
      <c r="EI151" t="str">
        <f t="shared" si="154"/>
        <v/>
      </c>
      <c r="EJ151" t="str">
        <f t="shared" si="128"/>
        <v/>
      </c>
      <c r="EL151">
        <f t="shared" si="129"/>
        <v>0</v>
      </c>
      <c r="EM151">
        <f>IF(EL151=0,0,1+COUNTIF(EM$3:EM150,"&gt;0"))</f>
        <v>0</v>
      </c>
      <c r="EN151" t="str">
        <f t="shared" si="155"/>
        <v/>
      </c>
      <c r="EO151" t="str">
        <f t="shared" si="130"/>
        <v/>
      </c>
      <c r="EQ151">
        <f t="shared" si="131"/>
        <v>0</v>
      </c>
      <c r="ER151">
        <f>IF(EQ151=0,0,1+COUNTIF(ER$3:ER150,"&gt;0"))</f>
        <v>0</v>
      </c>
      <c r="ES151" t="str">
        <f t="shared" si="156"/>
        <v/>
      </c>
      <c r="ET151" t="str">
        <f t="shared" si="132"/>
        <v/>
      </c>
      <c r="EV151">
        <f t="shared" si="133"/>
        <v>0</v>
      </c>
      <c r="EW151">
        <f>IF(EV151=0,0,1+COUNTIF(EW$3:EW150,"&gt;0"))</f>
        <v>0</v>
      </c>
      <c r="EX151" t="str">
        <f t="shared" si="157"/>
        <v/>
      </c>
      <c r="EY151" t="str">
        <f t="shared" si="134"/>
        <v/>
      </c>
      <c r="FA151">
        <f t="shared" si="135"/>
        <v>0</v>
      </c>
      <c r="FB151">
        <f>IF(FA151=0,0,1+COUNTIF(FB$3:FB150,"&gt;0"))</f>
        <v>0</v>
      </c>
      <c r="FC151" t="str">
        <f t="shared" si="158"/>
        <v/>
      </c>
      <c r="FD151" t="str">
        <f t="shared" si="136"/>
        <v/>
      </c>
      <c r="FF151">
        <f t="shared" si="137"/>
        <v>0</v>
      </c>
      <c r="FG151">
        <f>IF(FF151=0,0,1+COUNTIF(FG$3:FG150,"&gt;0"))</f>
        <v>0</v>
      </c>
      <c r="FH151" t="str">
        <f t="shared" si="159"/>
        <v/>
      </c>
      <c r="FI151" t="str">
        <f t="shared" si="138"/>
        <v/>
      </c>
      <c r="FK151">
        <f t="shared" si="139"/>
        <v>0</v>
      </c>
      <c r="FL151">
        <f>IF(FK151=0,0,1+COUNTIF(FL$3:FL150,"&gt;0"))</f>
        <v>0</v>
      </c>
      <c r="FM151" t="str">
        <f t="shared" si="160"/>
        <v/>
      </c>
      <c r="FN151" t="str">
        <f t="shared" si="140"/>
        <v/>
      </c>
      <c r="FP151">
        <f t="shared" si="141"/>
        <v>0</v>
      </c>
      <c r="FQ151">
        <f>IF(FP151=0,0,1+COUNTIF(FQ$3:FQ150,"&gt;0"))</f>
        <v>0</v>
      </c>
      <c r="FR151" t="str">
        <f t="shared" si="161"/>
        <v/>
      </c>
      <c r="FS151" t="str">
        <f t="shared" si="142"/>
        <v/>
      </c>
    </row>
    <row r="152" spans="1:175" x14ac:dyDescent="0.25">
      <c r="A152" s="347">
        <f t="shared" si="162"/>
        <v>150</v>
      </c>
      <c r="B152" s="348" t="s">
        <v>2522</v>
      </c>
      <c r="C152" s="348">
        <v>4</v>
      </c>
      <c r="D152" s="347">
        <v>4</v>
      </c>
      <c r="E152" s="627" t="s">
        <v>6952</v>
      </c>
      <c r="F152" s="346"/>
      <c r="G152" s="347" t="str">
        <f>""</f>
        <v/>
      </c>
      <c r="H152" s="347" t="s">
        <v>5912</v>
      </c>
      <c r="I152" s="347" t="s">
        <v>5298</v>
      </c>
      <c r="J152" s="347" t="str">
        <f t="shared" si="112"/>
        <v/>
      </c>
      <c r="K152" s="347" t="s">
        <v>5293</v>
      </c>
      <c r="L152" s="611" t="str">
        <f t="shared" si="113"/>
        <v>V, S, M, a leather strap bound, around the arm or a similar appendage</v>
      </c>
      <c r="M152" s="347" t="s">
        <v>2373</v>
      </c>
      <c r="N152" s="347" t="s">
        <v>2387</v>
      </c>
      <c r="O152" s="347" t="s">
        <v>1244</v>
      </c>
      <c r="P152" s="346" t="s">
        <v>5381</v>
      </c>
      <c r="Q152" s="347" t="s">
        <v>5270</v>
      </c>
      <c r="S152" s="346" t="s">
        <v>5707</v>
      </c>
      <c r="T152" s="346" t="str">
        <f t="shared" si="114"/>
        <v xml:space="preserve">Bard, Ranger, Cleric, Druid, Devotion, Arctic, Fores, Coast, GrassLand, Swamp, War, </v>
      </c>
      <c r="U152" s="347" t="str">
        <f>$B152</f>
        <v>Freedom of Movement</v>
      </c>
      <c r="W152" s="347" t="str">
        <f>$B152</f>
        <v>Freedom of Movement</v>
      </c>
      <c r="Z152" s="347" t="str">
        <f>$B152</f>
        <v>Freedom of Movement</v>
      </c>
      <c r="AA152" s="347" t="str">
        <f>$B152</f>
        <v>Freedom of Movement</v>
      </c>
      <c r="AE152" t="str">
        <f>IF(IFERROR(MATCH($B152,temp!A$4:A$13,0),0)&gt;0,T08_Spells!AE$2,"")</f>
        <v>Devotion</v>
      </c>
      <c r="AF152" t="str">
        <f>IF(IFERROR(MATCH($B152,temp!B$4:B$13,0),0)&gt;0,T08_Spells!AF$2,"")</f>
        <v/>
      </c>
      <c r="AG152" t="str">
        <f>IF(IFERROR(MATCH($B152,temp!C$4:C$13,0),0)&gt;0,T08_Spells!AG$2,"")</f>
        <v/>
      </c>
      <c r="AH152" t="str">
        <f>IF(IFERROR(MATCH($B152,temp!D$4:D$13,0),0)&gt;0,T08_Spells!AH$2,"")</f>
        <v/>
      </c>
      <c r="AI152" t="str">
        <f>IF(IFERROR(MATCH($B152,temp!E$4:E$13,0),0)&gt;0,T08_Spells!AI$2,"")</f>
        <v/>
      </c>
      <c r="AJ152" t="str">
        <f>IF(IFERROR(MATCH($B152,temp!F$4:F$13,0),0)&gt;0,T08_Spells!AJ$2,"")</f>
        <v/>
      </c>
      <c r="AK152" t="str">
        <f>IF(IFERROR(MATCH($B152,temp!G$4:G$13,0),0)&gt;0,T08_Spells!AK$2,"")</f>
        <v/>
      </c>
      <c r="AL152" t="str">
        <f>IF(IFERROR(MATCH($B152,temp!H$4:H$13,0),0)&gt;0,T08_Spells!AL$2,"")</f>
        <v>Arctic</v>
      </c>
      <c r="AM152" t="str">
        <f>IF(IFERROR(MATCH($B152,temp!I$4:I$13,0),0)&gt;0,T08_Spells!AM$2,"")</f>
        <v>Coast</v>
      </c>
      <c r="AN152" t="str">
        <f>IF(IFERROR(MATCH($B152,temp!J$4:J$13,0),0)&gt;0,T08_Spells!AN$2,"")</f>
        <v/>
      </c>
      <c r="AO152" t="str">
        <f>IF(IFERROR(MATCH($B152,temp!K$4:K$13,0),0)&gt;0,T08_Spells!AO$2,"")</f>
        <v>Forest</v>
      </c>
      <c r="AP152" t="str">
        <f>IF(IFERROR(MATCH($B152,temp!L$4:L$13,0),0)&gt;0,T08_Spells!AP$2,"")</f>
        <v>Grassland</v>
      </c>
      <c r="AQ152" t="str">
        <f>IF(IFERROR(MATCH($B152,temp!M$4:M$13,0),0)&gt;0,T08_Spells!AQ$2,"")</f>
        <v/>
      </c>
      <c r="AR152" t="str">
        <f>IF(IFERROR(MATCH($B152,temp!N$4:N$13,0),0)&gt;0,T08_Spells!AR$2,"")</f>
        <v>Swamp</v>
      </c>
      <c r="AS152" t="str">
        <f>IF(IFERROR(MATCH($B152,temp!O$4:O$13,0),0)&gt;0,T08_Spells!AS$2,"")</f>
        <v/>
      </c>
      <c r="AT152" t="str">
        <f>IF(IFERROR(MATCH($B152,temp!P$4:P$13,0),0)&gt;0,T08_Spells!AT$2,"")</f>
        <v/>
      </c>
      <c r="AU152" t="str">
        <f>IF(IFERROR(MATCH($B152,temp!Q$4:Q$13,0),0)&gt;0,T08_Spells!AU$2,"")</f>
        <v/>
      </c>
      <c r="AV152" t="str">
        <f>IF(IFERROR(MATCH($B152,temp!R$4:R$13,0),0)&gt;0,T08_Spells!AV$2,"")</f>
        <v/>
      </c>
      <c r="AW152" t="str">
        <f>IF(IFERROR(MATCH($B152,temp!S$4:S$13,0),0)&gt;0,T08_Spells!AW$2,"")</f>
        <v/>
      </c>
      <c r="AX152" t="str">
        <f>IF(IFERROR(MATCH($B152,temp!T$4:T$13,0),0)&gt;0,T08_Spells!AX$2,"")</f>
        <v/>
      </c>
      <c r="AY152" t="str">
        <f>IF(IFERROR(MATCH($B152,temp!U$4:U$13,0),0)&gt;0,T08_Spells!AY$2,"")</f>
        <v/>
      </c>
      <c r="AZ152" t="str">
        <f>IF(IFERROR(MATCH($B152,temp!V$4:V$13,0),0)&gt;0,T08_Spells!AZ$2,"")</f>
        <v>War</v>
      </c>
      <c r="BA152" t="str">
        <f>IF(IFERROR(MATCH($B152,temp!W$4:W$13,0),0)&gt;0,T08_Spells!BA$2,"")</f>
        <v/>
      </c>
      <c r="BC152">
        <f>IF(IFERROR(SEARCH("Ranger",$T152,1),0)&gt;0,1,0)*IF(RangerMaxSpellLevel&gt;=$C152,1,0)*IF(IFERROR(MATCH(B152,Character_Creation!$X$79:$X$382,0),0)&gt;0,0,1)</f>
        <v>0</v>
      </c>
      <c r="BD152">
        <f>IF(BC152=0,0,1+COUNTIF(BD$3:BD151,"&gt;0"))</f>
        <v>0</v>
      </c>
      <c r="BE152" t="str">
        <f t="shared" si="143"/>
        <v/>
      </c>
      <c r="BF152" t="str">
        <f t="shared" si="115"/>
        <v/>
      </c>
      <c r="BH152">
        <f>IF(IFERROR(SEARCH("Sorcerer",$T152,1),0)&gt;0,1,0)*IF(SorcererMaxSpellLevel&gt;=$C152,1,0)*IF(IFERROR(MATCH(B152,Character_Creation!$J$380:$J$394,0),0)&gt;0,0,1)</f>
        <v>0</v>
      </c>
      <c r="BI152">
        <f>IF(BH152=0,0,1+COUNTIF(BI$3:BI151,"&gt;0"))</f>
        <v>0</v>
      </c>
      <c r="BJ152" t="str">
        <f t="shared" si="144"/>
        <v/>
      </c>
      <c r="BK152" t="str">
        <f t="shared" si="116"/>
        <v/>
      </c>
      <c r="BM152">
        <f>IF(OR(IFERROR(SEARCH("Warlock",$T152,1),0)&gt;0,IFERROR(SEARCH(WarlockPatron,$T152,1),0)&gt;0),1,0)*IF(WarlockMaxSpellLevel&gt;=$C152,1,0)*IF(IFERROR(MATCH(B152,Character_Creation!$J$361:$J$375,0),0)&gt;0,0,1)</f>
        <v>0</v>
      </c>
      <c r="BN152">
        <f>IF(BM152=0,0,1+COUNTIF(BN$3:BN151,"&gt;0"))</f>
        <v>0</v>
      </c>
      <c r="BO152" t="str">
        <f t="shared" si="145"/>
        <v/>
      </c>
      <c r="BP152" t="str">
        <f t="shared" si="117"/>
        <v/>
      </c>
      <c r="BR152">
        <f>IF(IFERROR(SEARCH("Eldritch Knight",$T152,1),0)&gt;0,1,0)*IF(EldritchKnightMaxSpellLevel&gt;=$C152,1,0)*IF(IFERROR(MATCH($B152,Character_Creation!$J$350:$J$356,0),0)&gt;0,0,1)*IF(Character_Creation!$M$338&gt;0,1,0)</f>
        <v>0</v>
      </c>
      <c r="BS152">
        <f>IF(BR152=0,0,1+COUNTIF(BS$3:BS151,"&gt;0"))</f>
        <v>0</v>
      </c>
      <c r="BT152" t="str">
        <f t="shared" si="146"/>
        <v/>
      </c>
      <c r="BU152" t="str">
        <f t="shared" si="118"/>
        <v/>
      </c>
      <c r="BW152">
        <f>IF(IFERROR(SEARCH("Arcane Trickster",$T152,1),0)&gt;0,1,0)*IF(ArcaneTricksterMaxSpellLevel&gt;=$C152,1,0)*IF(IFERROR(MATCH($B152,Character_Creation!$J$350:$J$356,0),0)&gt;0,0,1)*IF(Character_Creation!$T$338&gt;0,1,0)</f>
        <v>0</v>
      </c>
      <c r="BX152">
        <f>IF(BW152=0,0,1+COUNTIF(BX$3:BX151,"&gt;0"))</f>
        <v>0</v>
      </c>
      <c r="BY152" t="str">
        <f t="shared" si="147"/>
        <v/>
      </c>
      <c r="BZ152" t="str">
        <f t="shared" si="119"/>
        <v/>
      </c>
      <c r="CB152">
        <f>IF(IFERROR(SEARCH("Wizard",$T152,1),0)&gt;0,1,0)*IF(C152&lt;=ArcaneTricksterMaxSpellLevel,1,0)*IF(IFERROR(MATCH($B152,Character_Creation!$J$350:$J$356,0),0)&gt;0,0,1)*IF(Character_Creation!$T$350&gt;0,1,0)</f>
        <v>0</v>
      </c>
      <c r="CC152">
        <f>IF(CB152=0,0,1+COUNTIF(CC$3:CC151,"&gt;0"))</f>
        <v>0</v>
      </c>
      <c r="CD152" t="str">
        <f t="shared" si="148"/>
        <v/>
      </c>
      <c r="CE152" t="str">
        <f t="shared" si="120"/>
        <v/>
      </c>
      <c r="CG152">
        <f>IF(IFERROR(SEARCH("Wizard",$T152,1),0)&gt;0,1,0)*IF($C152&lt;=EldritchKnightMaxSpellLevel,1,0)*IF(IFERROR(MATCH($B152,Character_Creation!$J$350:$J$356,0),0)&gt;0,0,1)*IF(Character_Creation!$M$350&gt;0,1,0)</f>
        <v>0</v>
      </c>
      <c r="CH152">
        <f>IF(CG152=0,0,1+COUNTIF(CH$3:CH151,"&gt;0"))</f>
        <v>0</v>
      </c>
      <c r="CI152" t="str">
        <f t="shared" si="149"/>
        <v/>
      </c>
      <c r="CJ152" t="str">
        <f t="shared" si="121"/>
        <v/>
      </c>
      <c r="CL152">
        <f>IF(IFERROR(SEARCH("Bard",$T152,1),0)&gt;0,1,0)*IF(BardMaxSpellLevel&gt;=$C152,1,0)*IF(IFERROR(MATCH(B152,Character_Creation!$C$341:$F$362,0),0)&gt;0,0,1)*IF(IFERROR(MATCH($B152,Character_Creation!$C$341:$C$362,0),0)&gt;0,0,1)</f>
        <v>0</v>
      </c>
      <c r="CM152">
        <f>IF(CL152=0,0,1+COUNTIF(CM$3:CM151,"&gt;0"))</f>
        <v>0</v>
      </c>
      <c r="CN152" t="str">
        <f t="shared" si="150"/>
        <v/>
      </c>
      <c r="CO152" t="str">
        <f t="shared" si="122"/>
        <v/>
      </c>
      <c r="CQ152">
        <f>IF(IFERROR(SEARCH("Wizard",$T152,1),0)&gt;0,1,0)*IF(WizardMaxSpellLevel&gt;=$C152,1,0)*IF(IFERROR(MATCH(B152,Character_Creation!$X$341:$X$400,0),0)&gt;0,0,1)*IF(SelectedWizardSpellLevel=$C152,1,0)</f>
        <v>0</v>
      </c>
      <c r="CR152">
        <f>IF(CQ152=0,0,1+COUNTIF(CR$3:CR151,"&gt;0"))</f>
        <v>0</v>
      </c>
      <c r="CS152" t="str">
        <f t="shared" si="151"/>
        <v/>
      </c>
      <c r="CT152" t="str">
        <f t="shared" si="123"/>
        <v/>
      </c>
      <c r="CV152">
        <f>IF(IFERROR(MATCH($B152,Character_Creation!$C$341:$C$362,0),0)&gt;0,0,1)*IF(OR(C152="Cantrip",C152&lt;=BardMaxSpellLevel),1,0)*IF(IFERROR(MATCH($B152,Character_Creation!$C$367:$C$374,0),0)&gt;0,0,1)</f>
        <v>0</v>
      </c>
      <c r="CW152">
        <f>IF(CV152=0,0,1+COUNTIF(CW$3:CW151,"&gt;0"))</f>
        <v>0</v>
      </c>
      <c r="CX152" t="str">
        <f t="shared" si="152"/>
        <v/>
      </c>
      <c r="CY152" t="str">
        <f t="shared" si="124"/>
        <v/>
      </c>
      <c r="DA152">
        <f>IF(IF(OR(IFERROR(SEARCH("Cleric",$T152,1),0)&gt;0,IFERROR(SEARCH(DivineDomain&amp;",",$T152,1),0)&gt;0),1,0)*IF($C152=DA$2,1,0)=1,1+COUNTIF(DA$3:DA151,"&gt;0"),0)</f>
        <v>0</v>
      </c>
      <c r="DB152">
        <f>IF(IF(OR(IFERROR(SEARCH("Cleric",$T152,1),0)&gt;0,IFERROR(SEARCH(DivineDomain&amp;",",$T152,1),0)&gt;0),1,0)*IF($C152=DB$2,1,0)=1,1+COUNTIF(DB$3:DB151,"&gt;0"),0)</f>
        <v>0</v>
      </c>
      <c r="DC152">
        <f>IF(IF(OR(IFERROR(SEARCH("Cleric",$T152,1),0)&gt;0,IFERROR(SEARCH(DivineDomain&amp;",",$T152,1),0)&gt;0),1,0)*IF($C152=DC$2,1,0)=1,1+COUNTIF(DC$3:DC151,"&gt;0"),0)</f>
        <v>0</v>
      </c>
      <c r="DD152">
        <f>IF(IF(OR(IFERROR(SEARCH("Cleric",$T152,1),0)&gt;0,IFERROR(SEARCH(DivineDomain&amp;",",$T152,1),0)&gt;0),1,0)*IF($C152=DD$2,1,0)=1,1+COUNTIF(DD$3:DD151,"&gt;0"),0)</f>
        <v>5</v>
      </c>
      <c r="DE152">
        <f>IF(IF(OR(IFERROR(SEARCH("Cleric",$T152,1),0)&gt;0,IFERROR(SEARCH(DivineDomain&amp;",",$T152,1),0)&gt;0),1,0)*IF($C152=DE$2,1,0)=1,1+COUNTIF(DE$3:DE151,"&gt;0"),0)</f>
        <v>0</v>
      </c>
      <c r="DF152">
        <f>IF(IF(OR(IFERROR(SEARCH("Cleric",$T152,1),0)&gt;0,IFERROR(SEARCH(DivineDomain&amp;",",$T152,1),0)&gt;0),1,0)*IF($C152=DF$2,1,0)=1,1+COUNTIF(DF$3:DF151,"&gt;0"),0)</f>
        <v>0</v>
      </c>
      <c r="DG152">
        <f>IF(IF(OR(IFERROR(SEARCH("Cleric",$T152,1),0)&gt;0,IFERROR(SEARCH(DivineDomain&amp;",",$T152,1),0)&gt;0),1,0)*IF($C152=DG$2,1,0)=1,1+COUNTIF(DG$3:DG151,"&gt;0"),0)</f>
        <v>0</v>
      </c>
      <c r="DH152">
        <f>IF(IF(OR(IFERROR(SEARCH("Cleric",$T152,1),0)&gt;0,IFERROR(SEARCH(DivineDomain&amp;",",$T152,1),0)&gt;0),1,0)*IF($C152=DH$2,1,0)=1,1+COUNTIF(DH$3:DH151,"&gt;0"),0)</f>
        <v>0</v>
      </c>
      <c r="DI152">
        <f>IF(IF(OR(IFERROR(SEARCH("Cleric",$T152,1),0)&gt;0,IFERROR(SEARCH(DivineDomain&amp;",",$T152,1),0)&gt;0),1,0)*IF($C152=DI$2,1,0)=1,1+COUNTIF(DI$3:DI151,"&gt;0"),0)</f>
        <v>0</v>
      </c>
      <c r="DJ152">
        <f>IF(IF(OR(IFERROR(SEARCH("Druid",$T152,1),0)&gt;0,IFERROR(SEARCH(DruidLand1,$T152,1),0)&gt;0,IFERROR(SEARCH(DruidLand2,$T152,1),0)&gt;0,IFERROR(SEARCH(DruidLand3,$T152,1),0)&gt;0,IFERROR(SEARCH(DruidLand4,$T152,1),0)&gt;0),1,0)*IF($C152=1,1,0)*IF($C152=DJ$2,1,0)=0,0,1+COUNTIF(DJ$3:DJ151,"&gt;0"))</f>
        <v>0</v>
      </c>
      <c r="DK152">
        <f>IF(IF(OR(IFERROR(SEARCH("Druid",$T152,1),0)&gt;0,IFERROR(SEARCH(DruidLand1,$T152,1),0)&gt;0,IFERROR(SEARCH(DruidLand2,$T152,1),0)&gt;0,IFERROR(SEARCH(DruidLand3,$T152,1),0)&gt;0,IFERROR(SEARCH(DruidLand4,$T152,1),0)&gt;0),1,0)*IF($C152=DK$2,1,0)=0,0,1+COUNTIF(DK$3:DK151,"&gt;0"))</f>
        <v>0</v>
      </c>
      <c r="DL152">
        <f>IF(IF(OR(IFERROR(SEARCH("Druid",$T152,1),0)&gt;0,IFERROR(SEARCH(DruidLand1,$T152,1),0)&gt;0,IFERROR(SEARCH(DruidLand2,$T152,1),0)&gt;0,IFERROR(SEARCH(DruidLand3,$T152,1),0)&gt;0,IFERROR(SEARCH(DruidLand4,$T152,1),0)&gt;0),1,0)*IF($C152=DL$2,1,0)=0,0,1+COUNTIF(DL$3:DL151,"&gt;0"))</f>
        <v>0</v>
      </c>
      <c r="DM152">
        <f>IF(IF(OR(IFERROR(SEARCH("Druid",$T152,1),0)&gt;0,IFERROR(SEARCH(DruidLand1,$T152,1),0)&gt;0,IFERROR(SEARCH(DruidLand2,$T152,1),0)&gt;0,IFERROR(SEARCH(DruidLand3,$T152,1),0)&gt;0,IFERROR(SEARCH(DruidLand4,$T152,1),0)&gt;0),1,0)*IF($C152=DM$2,1,0)=0,0,1+COUNTIF(DM$3:DM151,"&gt;0"))</f>
        <v>7</v>
      </c>
      <c r="DN152">
        <f>IF(IF(OR(IFERROR(SEARCH("Druid",$T152,1),0)&gt;0,IFERROR(SEARCH(DruidLand1,$T152,1),0)&gt;0,IFERROR(SEARCH(DruidLand2,$T152,1),0)&gt;0,IFERROR(SEARCH(DruidLand3,$T152,1),0)&gt;0,IFERROR(SEARCH(DruidLand4,$T152,1),0)&gt;0),1,0)*IF($C152=DN$2,1,0)=0,0,1+COUNTIF(DN$3:DN151,"&gt;0"))</f>
        <v>0</v>
      </c>
      <c r="DO152">
        <f>IF(IF(OR(IFERROR(SEARCH("Druid",$T152,1),0)&gt;0,IFERROR(SEARCH(DruidLand1,$T152,1),0)&gt;0,IFERROR(SEARCH(DruidLand2,$T152,1),0)&gt;0,IFERROR(SEARCH(DruidLand3,$T152,1),0)&gt;0,IFERROR(SEARCH(DruidLand4,$T152,1),0)&gt;0),1,0)*IF($C152=DO$2,1,0)=0,0,1+COUNTIF(DO$3:DO151,"&gt;0"))</f>
        <v>0</v>
      </c>
      <c r="DP152">
        <f>IF(IF(OR(IFERROR(SEARCH("Druid",$T152,1),0)&gt;0,IFERROR(SEARCH(DruidLand1,$T152,1),0)&gt;0,IFERROR(SEARCH(DruidLand2,$T152,1),0)&gt;0,IFERROR(SEARCH(DruidLand3,$T152,1),0)&gt;0,IFERROR(SEARCH(DruidLand4,$T152,1),0)&gt;0),1,0)*IF($C152=DP$2,1,0)=0,0,1+COUNTIF(DP$3:DP151,"&gt;0"))</f>
        <v>0</v>
      </c>
      <c r="DQ152">
        <f>IF(IF(OR(IFERROR(SEARCH("Druid",$T152,1),0)&gt;0,IFERROR(SEARCH(DruidLand1,$T152,1),0)&gt;0,IFERROR(SEARCH(DruidLand2,$T152,1),0)&gt;0,IFERROR(SEARCH(DruidLand3,$T152,1),0)&gt;0,IFERROR(SEARCH(DruidLand4,$T152,1),0)&gt;0),1,0)*IF($C152=DQ$2,1,0)=0,0,1+COUNTIF(DQ$3:DQ151,"&gt;0"))</f>
        <v>0</v>
      </c>
      <c r="DR152">
        <f>IF(IF(OR(IFERROR(SEARCH("Druid",$T152,1),0)&gt;0,IFERROR(SEARCH(DruidLand1,$T152,1),0)&gt;0,IFERROR(SEARCH(DruidLand2,$T152,1),0)&gt;0,IFERROR(SEARCH(DruidLand3,$T152,1),0)&gt;0,IFERROR(SEARCH(DruidLand4,$T152,1),0)&gt;0),1,0)*IF($C152=DR$2,1,0)=0,0,1+COUNTIF(DR$3:DR151,"&gt;0"))</f>
        <v>0</v>
      </c>
      <c r="DS152">
        <f>IF(IF(OR(IFERROR(SEARCH("Paladin",$T152,1),0)&gt;0,IFERROR(SEARCH(PaladinOath,$T152,1),0)&gt;0),1,0)*IF($C152=DS$2,1,0)=1,1+COUNTIF(DS$3:DS151,"&gt;0"),0)</f>
        <v>0</v>
      </c>
      <c r="DT152">
        <f>IF(IF(OR(IFERROR(SEARCH("Paladin",$T152,1),0)&gt;0,IFERROR(SEARCH(PaladinOath,$T152,1),0)&gt;0),1,0)*IF($C152=DT$2,1,0)=1,1+COUNTIF(DT$3:DT151,"&gt;0"),0)</f>
        <v>0</v>
      </c>
      <c r="DU152">
        <f>IF(IF(OR(IFERROR(SEARCH("Paladin",$T152,1),0)&gt;0,IFERROR(SEARCH(PaladinOath,$T152,1),0)&gt;0),1,0)*IF($C152=DU$2,1,0)=1,1+COUNTIF(DU$3:DU151,"&gt;0"),0)</f>
        <v>0</v>
      </c>
      <c r="DV152">
        <f>IF(IF(OR(IFERROR(SEARCH("Paladin",$T152,1),0)&gt;0,IFERROR(SEARCH(PaladinOath,$T152,1),0)&gt;0),1,0)*IF($C152=DV$2,1,0)=1,1+COUNTIF(DV$3:DV151,"&gt;0"),0)</f>
        <v>0</v>
      </c>
      <c r="DW152">
        <f>IF(IF(OR(IFERROR(SEARCH("Paladin",$T152,1),0)&gt;0,IFERROR(SEARCH(PaladinOath,$T152,1),0)&gt;0),1,0)*IF($C152=DW$2,1,0)=1,1+COUNTIF(DW$3:DW151,"&gt;0"),0)</f>
        <v>0</v>
      </c>
      <c r="DY152">
        <f t="shared" si="111"/>
        <v>1</v>
      </c>
      <c r="DZ152">
        <f>IF(DY152=0,0,1+MAX(DZ$3:$DZ151))</f>
        <v>150</v>
      </c>
      <c r="EB152">
        <f t="shared" si="125"/>
        <v>0</v>
      </c>
      <c r="EC152">
        <f>IF(EB152=0,0,1+COUNTIF(EC$3:EC151,"&gt;0"))</f>
        <v>0</v>
      </c>
      <c r="ED152" t="str">
        <f t="shared" si="153"/>
        <v/>
      </c>
      <c r="EE152" t="str">
        <f t="shared" si="126"/>
        <v/>
      </c>
      <c r="EG152">
        <f t="shared" si="127"/>
        <v>0</v>
      </c>
      <c r="EH152">
        <f>IF(EG152=0,0,1+COUNTIF(EH$3:EH151,"&gt;0"))</f>
        <v>0</v>
      </c>
      <c r="EI152" t="str">
        <f t="shared" si="154"/>
        <v/>
      </c>
      <c r="EJ152" t="str">
        <f t="shared" si="128"/>
        <v/>
      </c>
      <c r="EL152">
        <f t="shared" si="129"/>
        <v>0</v>
      </c>
      <c r="EM152">
        <f>IF(EL152=0,0,1+COUNTIF(EM$3:EM151,"&gt;0"))</f>
        <v>0</v>
      </c>
      <c r="EN152" t="str">
        <f t="shared" si="155"/>
        <v/>
      </c>
      <c r="EO152" t="str">
        <f t="shared" si="130"/>
        <v/>
      </c>
      <c r="EQ152">
        <f t="shared" si="131"/>
        <v>0</v>
      </c>
      <c r="ER152">
        <f>IF(EQ152=0,0,1+COUNTIF(ER$3:ER151,"&gt;0"))</f>
        <v>0</v>
      </c>
      <c r="ES152" t="str">
        <f t="shared" si="156"/>
        <v/>
      </c>
      <c r="ET152" t="str">
        <f t="shared" si="132"/>
        <v/>
      </c>
      <c r="EV152">
        <f t="shared" si="133"/>
        <v>0</v>
      </c>
      <c r="EW152">
        <f>IF(EV152=0,0,1+COUNTIF(EW$3:EW151,"&gt;0"))</f>
        <v>0</v>
      </c>
      <c r="EX152" t="str">
        <f t="shared" si="157"/>
        <v/>
      </c>
      <c r="EY152" t="str">
        <f t="shared" si="134"/>
        <v/>
      </c>
      <c r="FA152">
        <f t="shared" si="135"/>
        <v>0</v>
      </c>
      <c r="FB152">
        <f>IF(FA152=0,0,1+COUNTIF(FB$3:FB151,"&gt;0"))</f>
        <v>0</v>
      </c>
      <c r="FC152" t="str">
        <f t="shared" si="158"/>
        <v/>
      </c>
      <c r="FD152" t="str">
        <f t="shared" si="136"/>
        <v/>
      </c>
      <c r="FF152">
        <f t="shared" si="137"/>
        <v>0</v>
      </c>
      <c r="FG152">
        <f>IF(FF152=0,0,1+COUNTIF(FG$3:FG151,"&gt;0"))</f>
        <v>0</v>
      </c>
      <c r="FH152" t="str">
        <f t="shared" si="159"/>
        <v/>
      </c>
      <c r="FI152" t="str">
        <f t="shared" si="138"/>
        <v/>
      </c>
      <c r="FK152">
        <f t="shared" si="139"/>
        <v>0</v>
      </c>
      <c r="FL152">
        <f>IF(FK152=0,0,1+COUNTIF(FL$3:FL151,"&gt;0"))</f>
        <v>0</v>
      </c>
      <c r="FM152" t="str">
        <f t="shared" si="160"/>
        <v/>
      </c>
      <c r="FN152" t="str">
        <f t="shared" si="140"/>
        <v/>
      </c>
      <c r="FP152">
        <f t="shared" si="141"/>
        <v>0</v>
      </c>
      <c r="FQ152">
        <f>IF(FP152=0,0,1+COUNTIF(FQ$3:FQ151,"&gt;0"))</f>
        <v>0</v>
      </c>
      <c r="FR152" t="str">
        <f t="shared" si="161"/>
        <v/>
      </c>
      <c r="FS152" t="str">
        <f t="shared" si="142"/>
        <v/>
      </c>
    </row>
    <row r="153" spans="1:175" x14ac:dyDescent="0.25">
      <c r="A153" s="347">
        <f t="shared" si="162"/>
        <v>151</v>
      </c>
      <c r="B153" s="348" t="s">
        <v>2523</v>
      </c>
      <c r="C153" s="348" t="s">
        <v>5277</v>
      </c>
      <c r="D153" s="347">
        <v>0.5</v>
      </c>
      <c r="E153" s="627" t="s">
        <v>6952</v>
      </c>
      <c r="F153" s="346"/>
      <c r="G153" s="347" t="str">
        <f>""</f>
        <v/>
      </c>
      <c r="H153" s="347" t="s">
        <v>5912</v>
      </c>
      <c r="I153" s="347" t="s">
        <v>5283</v>
      </c>
      <c r="J153" s="347" t="str">
        <f t="shared" si="112"/>
        <v/>
      </c>
      <c r="K153" s="347" t="s">
        <v>5291</v>
      </c>
      <c r="L153" s="611" t="str">
        <f t="shared" si="113"/>
        <v>S, M, a small amount of makeup applied to the face as this spell is cast</v>
      </c>
      <c r="M153" s="347" t="s">
        <v>3034</v>
      </c>
      <c r="N153" s="347" t="s">
        <v>2387</v>
      </c>
      <c r="O153" s="347" t="s">
        <v>1244</v>
      </c>
      <c r="P153" s="346" t="s">
        <v>5382</v>
      </c>
      <c r="Q153" s="347" t="s">
        <v>5272</v>
      </c>
      <c r="S153" s="346" t="s">
        <v>2524</v>
      </c>
      <c r="T153" s="346" t="str">
        <f t="shared" si="114"/>
        <v xml:space="preserve">Bard, Sorcerer, Warlock, Arcane Trickster, Wizard, </v>
      </c>
      <c r="U153" s="347" t="str">
        <f>$B153</f>
        <v>Friends</v>
      </c>
      <c r="X153" s="347" t="str">
        <f>$B153</f>
        <v>Friends</v>
      </c>
      <c r="Y153" s="347" t="str">
        <f>$B153</f>
        <v>Friends</v>
      </c>
      <c r="AC153" s="539" t="str">
        <f>B153</f>
        <v>Friends</v>
      </c>
      <c r="AD153" s="347" t="str">
        <f>$B153</f>
        <v>Friends</v>
      </c>
      <c r="AE153" t="str">
        <f>IF(IFERROR(MATCH($B153,temp!A$4:A$13,0),0)&gt;0,T08_Spells!AE$2,"")</f>
        <v/>
      </c>
      <c r="AF153" t="str">
        <f>IF(IFERROR(MATCH($B153,temp!B$4:B$13,0),0)&gt;0,T08_Spells!AF$2,"")</f>
        <v/>
      </c>
      <c r="AG153" t="str">
        <f>IF(IFERROR(MATCH($B153,temp!C$4:C$13,0),0)&gt;0,T08_Spells!AG$2,"")</f>
        <v/>
      </c>
      <c r="AH153" t="str">
        <f>IF(IFERROR(MATCH($B153,temp!D$4:D$13,0),0)&gt;0,T08_Spells!AH$2,"")</f>
        <v/>
      </c>
      <c r="AI153" t="str">
        <f>IF(IFERROR(MATCH($B153,temp!E$4:E$13,0),0)&gt;0,T08_Spells!AI$2,"")</f>
        <v/>
      </c>
      <c r="AJ153" t="str">
        <f>IF(IFERROR(MATCH($B153,temp!F$4:F$13,0),0)&gt;0,T08_Spells!AJ$2,"")</f>
        <v/>
      </c>
      <c r="AK153" t="str">
        <f>IF(IFERROR(MATCH($B153,temp!G$4:G$13,0),0)&gt;0,T08_Spells!AK$2,"")</f>
        <v/>
      </c>
      <c r="AL153" t="str">
        <f>IF(IFERROR(MATCH($B153,temp!H$4:H$13,0),0)&gt;0,T08_Spells!AL$2,"")</f>
        <v/>
      </c>
      <c r="AM153" t="str">
        <f>IF(IFERROR(MATCH($B153,temp!I$4:I$13,0),0)&gt;0,T08_Spells!AM$2,"")</f>
        <v/>
      </c>
      <c r="AN153" t="str">
        <f>IF(IFERROR(MATCH($B153,temp!J$4:J$13,0),0)&gt;0,T08_Spells!AN$2,"")</f>
        <v/>
      </c>
      <c r="AO153" t="str">
        <f>IF(IFERROR(MATCH($B153,temp!K$4:K$13,0),0)&gt;0,T08_Spells!AO$2,"")</f>
        <v/>
      </c>
      <c r="AP153" t="str">
        <f>IF(IFERROR(MATCH($B153,temp!L$4:L$13,0),0)&gt;0,T08_Spells!AP$2,"")</f>
        <v/>
      </c>
      <c r="AQ153" t="str">
        <f>IF(IFERROR(MATCH($B153,temp!M$4:M$13,0),0)&gt;0,T08_Spells!AQ$2,"")</f>
        <v/>
      </c>
      <c r="AR153" t="str">
        <f>IF(IFERROR(MATCH($B153,temp!N$4:N$13,0),0)&gt;0,T08_Spells!AR$2,"")</f>
        <v/>
      </c>
      <c r="AS153" t="str">
        <f>IF(IFERROR(MATCH($B153,temp!O$4:O$13,0),0)&gt;0,T08_Spells!AS$2,"")</f>
        <v/>
      </c>
      <c r="AT153" t="str">
        <f>IF(IFERROR(MATCH($B153,temp!P$4:P$13,0),0)&gt;0,T08_Spells!AT$2,"")</f>
        <v/>
      </c>
      <c r="AU153" t="str">
        <f>IF(IFERROR(MATCH($B153,temp!Q$4:Q$13,0),0)&gt;0,T08_Spells!AU$2,"")</f>
        <v/>
      </c>
      <c r="AV153" t="str">
        <f>IF(IFERROR(MATCH($B153,temp!R$4:R$13,0),0)&gt;0,T08_Spells!AV$2,"")</f>
        <v/>
      </c>
      <c r="AW153" t="str">
        <f>IF(IFERROR(MATCH($B153,temp!S$4:S$13,0),0)&gt;0,T08_Spells!AW$2,"")</f>
        <v/>
      </c>
      <c r="AX153" t="str">
        <f>IF(IFERROR(MATCH($B153,temp!T$4:T$13,0),0)&gt;0,T08_Spells!AX$2,"")</f>
        <v/>
      </c>
      <c r="AY153" t="str">
        <f>IF(IFERROR(MATCH($B153,temp!U$4:U$13,0),0)&gt;0,T08_Spells!AY$2,"")</f>
        <v/>
      </c>
      <c r="AZ153" t="str">
        <f>IF(IFERROR(MATCH($B153,temp!V$4:V$13,0),0)&gt;0,T08_Spells!AZ$2,"")</f>
        <v/>
      </c>
      <c r="BA153" t="str">
        <f>IF(IFERROR(MATCH($B153,temp!W$4:W$13,0),0)&gt;0,T08_Spells!BA$2,"")</f>
        <v/>
      </c>
      <c r="BC153">
        <f>IF(IFERROR(SEARCH("Ranger",$T153,1),0)&gt;0,1,0)*IF(RangerMaxSpellLevel&gt;=$C153,1,0)*IF(IFERROR(MATCH(B153,Character_Creation!$X$79:$X$382,0),0)&gt;0,0,1)</f>
        <v>0</v>
      </c>
      <c r="BD153">
        <f>IF(BC153=0,0,1+COUNTIF(BD$3:BD152,"&gt;0"))</f>
        <v>0</v>
      </c>
      <c r="BE153" t="str">
        <f t="shared" si="143"/>
        <v/>
      </c>
      <c r="BF153" t="str">
        <f t="shared" si="115"/>
        <v/>
      </c>
      <c r="BH153">
        <f>IF(IFERROR(SEARCH("Sorcerer",$T153,1),0)&gt;0,1,0)*IF(SorcererMaxSpellLevel&gt;=$C153,1,0)*IF(IFERROR(MATCH(B153,Character_Creation!$J$380:$J$394,0),0)&gt;0,0,1)</f>
        <v>0</v>
      </c>
      <c r="BI153">
        <f>IF(BH153=0,0,1+COUNTIF(BI$3:BI152,"&gt;0"))</f>
        <v>0</v>
      </c>
      <c r="BJ153" t="str">
        <f t="shared" si="144"/>
        <v/>
      </c>
      <c r="BK153" t="str">
        <f t="shared" si="116"/>
        <v/>
      </c>
      <c r="BM153">
        <f>IF(OR(IFERROR(SEARCH("Warlock",$T153,1),0)&gt;0,IFERROR(SEARCH(WarlockPatron,$T153,1),0)&gt;0),1,0)*IF(WarlockMaxSpellLevel&gt;=$C153,1,0)*IF(IFERROR(MATCH(B153,Character_Creation!$J$361:$J$375,0),0)&gt;0,0,1)</f>
        <v>0</v>
      </c>
      <c r="BN153">
        <f>IF(BM153=0,0,1+COUNTIF(BN$3:BN152,"&gt;0"))</f>
        <v>0</v>
      </c>
      <c r="BO153" t="str">
        <f t="shared" si="145"/>
        <v/>
      </c>
      <c r="BP153" t="str">
        <f t="shared" si="117"/>
        <v/>
      </c>
      <c r="BR153">
        <f>IF(IFERROR(SEARCH("Eldritch Knight",$T153,1),0)&gt;0,1,0)*IF(EldritchKnightMaxSpellLevel&gt;=$C153,1,0)*IF(IFERROR(MATCH($B153,Character_Creation!$J$350:$J$356,0),0)&gt;0,0,1)*IF(Character_Creation!$M$338&gt;0,1,0)</f>
        <v>0</v>
      </c>
      <c r="BS153">
        <f>IF(BR153=0,0,1+COUNTIF(BS$3:BS152,"&gt;0"))</f>
        <v>0</v>
      </c>
      <c r="BT153" t="str">
        <f t="shared" si="146"/>
        <v/>
      </c>
      <c r="BU153" t="str">
        <f t="shared" si="118"/>
        <v/>
      </c>
      <c r="BW153">
        <f>IF(IFERROR(SEARCH("Arcane Trickster",$T153,1),0)&gt;0,1,0)*IF(ArcaneTricksterMaxSpellLevel&gt;=$C153,1,0)*IF(IFERROR(MATCH($B153,Character_Creation!$J$350:$J$356,0),0)&gt;0,0,1)*IF(Character_Creation!$T$338&gt;0,1,0)</f>
        <v>0</v>
      </c>
      <c r="BX153">
        <f>IF(BW153=0,0,1+COUNTIF(BX$3:BX152,"&gt;0"))</f>
        <v>0</v>
      </c>
      <c r="BY153" t="str">
        <f t="shared" si="147"/>
        <v/>
      </c>
      <c r="BZ153" t="str">
        <f t="shared" si="119"/>
        <v/>
      </c>
      <c r="CB153">
        <f>IF(IFERROR(SEARCH("Wizard",$T153,1),0)&gt;0,1,0)*IF(C153&lt;=ArcaneTricksterMaxSpellLevel,1,0)*IF(IFERROR(MATCH($B153,Character_Creation!$J$350:$J$356,0),0)&gt;0,0,1)*IF(Character_Creation!$T$350&gt;0,1,0)</f>
        <v>0</v>
      </c>
      <c r="CC153">
        <f>IF(CB153=0,0,1+COUNTIF(CC$3:CC152,"&gt;0"))</f>
        <v>0</v>
      </c>
      <c r="CD153" t="str">
        <f t="shared" si="148"/>
        <v/>
      </c>
      <c r="CE153" t="str">
        <f t="shared" si="120"/>
        <v/>
      </c>
      <c r="CG153">
        <f>IF(IFERROR(SEARCH("Wizard",$T153,1),0)&gt;0,1,0)*IF($C153&lt;=EldritchKnightMaxSpellLevel,1,0)*IF(IFERROR(MATCH($B153,Character_Creation!$J$350:$J$356,0),0)&gt;0,0,1)*IF(Character_Creation!$M$350&gt;0,1,0)</f>
        <v>0</v>
      </c>
      <c r="CH153">
        <f>IF(CG153=0,0,1+COUNTIF(CH$3:CH152,"&gt;0"))</f>
        <v>0</v>
      </c>
      <c r="CI153" t="str">
        <f t="shared" si="149"/>
        <v/>
      </c>
      <c r="CJ153" t="str">
        <f t="shared" si="121"/>
        <v/>
      </c>
      <c r="CL153">
        <f>IF(IFERROR(SEARCH("Bard",$T153,1),0)&gt;0,1,0)*IF(BardMaxSpellLevel&gt;=$C153,1,0)*IF(IFERROR(MATCH(B153,Character_Creation!$C$341:$F$362,0),0)&gt;0,0,1)*IF(IFERROR(MATCH($B153,Character_Creation!$C$341:$C$362,0),0)&gt;0,0,1)</f>
        <v>0</v>
      </c>
      <c r="CM153">
        <f>IF(CL153=0,0,1+COUNTIF(CM$3:CM152,"&gt;0"))</f>
        <v>0</v>
      </c>
      <c r="CN153" t="str">
        <f t="shared" si="150"/>
        <v/>
      </c>
      <c r="CO153" t="str">
        <f t="shared" si="122"/>
        <v/>
      </c>
      <c r="CQ153">
        <f>IF(IFERROR(SEARCH("Wizard",$T153,1),0)&gt;0,1,0)*IF(WizardMaxSpellLevel&gt;=$C153,1,0)*IF(IFERROR(MATCH(B153,Character_Creation!$X$341:$X$400,0),0)&gt;0,0,1)*IF(SelectedWizardSpellLevel=$C153,1,0)</f>
        <v>0</v>
      </c>
      <c r="CR153">
        <f>IF(CQ153=0,0,1+COUNTIF(CR$3:CR152,"&gt;0"))</f>
        <v>0</v>
      </c>
      <c r="CS153" t="str">
        <f t="shared" si="151"/>
        <v/>
      </c>
      <c r="CT153" t="str">
        <f t="shared" si="123"/>
        <v/>
      </c>
      <c r="CV153">
        <f>IF(IFERROR(MATCH($B153,Character_Creation!$C$341:$C$362,0),0)&gt;0,0,1)*IF(OR(C153="Cantrip",C153&lt;=BardMaxSpellLevel),1,0)*IF(IFERROR(MATCH($B153,Character_Creation!$C$367:$C$374,0),0)&gt;0,0,1)</f>
        <v>1</v>
      </c>
      <c r="CW153">
        <f>IF(CV153=0,0,1+COUNTIF(CW$3:CW152,"&gt;0"))</f>
        <v>8</v>
      </c>
      <c r="CX153" t="str">
        <f t="shared" si="152"/>
        <v/>
      </c>
      <c r="CY153" t="str">
        <f t="shared" si="124"/>
        <v/>
      </c>
      <c r="DA153">
        <f>IF(IF(OR(IFERROR(SEARCH("Cleric",$T153,1),0)&gt;0,IFERROR(SEARCH(DivineDomain&amp;",",$T153,1),0)&gt;0),1,0)*IF($C153=DA$2,1,0)=1,1+COUNTIF(DA$3:DA152,"&gt;0"),0)</f>
        <v>0</v>
      </c>
      <c r="DB153">
        <f>IF(IF(OR(IFERROR(SEARCH("Cleric",$T153,1),0)&gt;0,IFERROR(SEARCH(DivineDomain&amp;",",$T153,1),0)&gt;0),1,0)*IF($C153=DB$2,1,0)=1,1+COUNTIF(DB$3:DB152,"&gt;0"),0)</f>
        <v>0</v>
      </c>
      <c r="DC153">
        <f>IF(IF(OR(IFERROR(SEARCH("Cleric",$T153,1),0)&gt;0,IFERROR(SEARCH(DivineDomain&amp;",",$T153,1),0)&gt;0),1,0)*IF($C153=DC$2,1,0)=1,1+COUNTIF(DC$3:DC152,"&gt;0"),0)</f>
        <v>0</v>
      </c>
      <c r="DD153">
        <f>IF(IF(OR(IFERROR(SEARCH("Cleric",$T153,1),0)&gt;0,IFERROR(SEARCH(DivineDomain&amp;",",$T153,1),0)&gt;0),1,0)*IF($C153=DD$2,1,0)=1,1+COUNTIF(DD$3:DD152,"&gt;0"),0)</f>
        <v>0</v>
      </c>
      <c r="DE153">
        <f>IF(IF(OR(IFERROR(SEARCH("Cleric",$T153,1),0)&gt;0,IFERROR(SEARCH(DivineDomain&amp;",",$T153,1),0)&gt;0),1,0)*IF($C153=DE$2,1,0)=1,1+COUNTIF(DE$3:DE152,"&gt;0"),0)</f>
        <v>0</v>
      </c>
      <c r="DF153">
        <f>IF(IF(OR(IFERROR(SEARCH("Cleric",$T153,1),0)&gt;0,IFERROR(SEARCH(DivineDomain&amp;",",$T153,1),0)&gt;0),1,0)*IF($C153=DF$2,1,0)=1,1+COUNTIF(DF$3:DF152,"&gt;0"),0)</f>
        <v>0</v>
      </c>
      <c r="DG153">
        <f>IF(IF(OR(IFERROR(SEARCH("Cleric",$T153,1),0)&gt;0,IFERROR(SEARCH(DivineDomain&amp;",",$T153,1),0)&gt;0),1,0)*IF($C153=DG$2,1,0)=1,1+COUNTIF(DG$3:DG152,"&gt;0"),0)</f>
        <v>0</v>
      </c>
      <c r="DH153">
        <f>IF(IF(OR(IFERROR(SEARCH("Cleric",$T153,1),0)&gt;0,IFERROR(SEARCH(DivineDomain&amp;",",$T153,1),0)&gt;0),1,0)*IF($C153=DH$2,1,0)=1,1+COUNTIF(DH$3:DH152,"&gt;0"),0)</f>
        <v>0</v>
      </c>
      <c r="DI153">
        <f>IF(IF(OR(IFERROR(SEARCH("Cleric",$T153,1),0)&gt;0,IFERROR(SEARCH(DivineDomain&amp;",",$T153,1),0)&gt;0),1,0)*IF($C153=DI$2,1,0)=1,1+COUNTIF(DI$3:DI152,"&gt;0"),0)</f>
        <v>0</v>
      </c>
      <c r="DJ153">
        <f>IF(IF(OR(IFERROR(SEARCH("Druid",$T153,1),0)&gt;0,IFERROR(SEARCH(DruidLand1,$T153,1),0)&gt;0,IFERROR(SEARCH(DruidLand2,$T153,1),0)&gt;0,IFERROR(SEARCH(DruidLand3,$T153,1),0)&gt;0,IFERROR(SEARCH(DruidLand4,$T153,1),0)&gt;0),1,0)*IF($C153=1,1,0)*IF($C153=DJ$2,1,0)=0,0,1+COUNTIF(DJ$3:DJ152,"&gt;0"))</f>
        <v>0</v>
      </c>
      <c r="DK153">
        <f>IF(IF(OR(IFERROR(SEARCH("Druid",$T153,1),0)&gt;0,IFERROR(SEARCH(DruidLand1,$T153,1),0)&gt;0,IFERROR(SEARCH(DruidLand2,$T153,1),0)&gt;0,IFERROR(SEARCH(DruidLand3,$T153,1),0)&gt;0,IFERROR(SEARCH(DruidLand4,$T153,1),0)&gt;0),1,0)*IF($C153=1,1,0)*IF($C153=DK$2,1,0)=0,0,1+COUNTIF(DK$3:DK152,"&gt;0"))</f>
        <v>0</v>
      </c>
      <c r="DL153">
        <f>IF(IF(OR(IFERROR(SEARCH("Druid",$T153,1),0)&gt;0,IFERROR(SEARCH(DruidLand1,$T153,1),0)&gt;0,IFERROR(SEARCH(DruidLand2,$T153,1),0)&gt;0,IFERROR(SEARCH(DruidLand3,$T153,1),0)&gt;0,IFERROR(SEARCH(DruidLand4,$T153,1),0)&gt;0),1,0)*IF($C153=1,1,0)*IF($C153=DL$2,1,0)=0,0,1+COUNTIF(DL$3:DL152,"&gt;0"))</f>
        <v>0</v>
      </c>
      <c r="DM153">
        <f>IF(IF(OR(IFERROR(SEARCH("Druid",$T153,1),0)&gt;0,IFERROR(SEARCH(DruidLand1,$T153,1),0)&gt;0,IFERROR(SEARCH(DruidLand2,$T153,1),0)&gt;0,IFERROR(SEARCH(DruidLand3,$T153,1),0)&gt;0,IFERROR(SEARCH(DruidLand4,$T153,1),0)&gt;0),1,0)*IF($C153=1,1,0)*IF($C153=DM$2,1,0)=0,0,1+COUNTIF(DM$3:DM152,"&gt;0"))</f>
        <v>0</v>
      </c>
      <c r="DN153">
        <f>IF(IF(OR(IFERROR(SEARCH("Druid",$T153,1),0)&gt;0,IFERROR(SEARCH(DruidLand1,$T153,1),0)&gt;0,IFERROR(SEARCH(DruidLand2,$T153,1),0)&gt;0,IFERROR(SEARCH(DruidLand3,$T153,1),0)&gt;0,IFERROR(SEARCH(DruidLand4,$T153,1),0)&gt;0),1,0)*IF($C153=1,1,0)*IF($C153=DN$2,1,0)=0,0,1+COUNTIF(DN$3:DN152,"&gt;0"))</f>
        <v>0</v>
      </c>
      <c r="DO153">
        <f>IF(IF(OR(IFERROR(SEARCH("Druid",$T153,1),0)&gt;0,IFERROR(SEARCH(DruidLand1,$T153,1),0)&gt;0,IFERROR(SEARCH(DruidLand2,$T153,1),0)&gt;0,IFERROR(SEARCH(DruidLand3,$T153,1),0)&gt;0,IFERROR(SEARCH(DruidLand4,$T153,1),0)&gt;0),1,0)*IF($C153=1,1,0)*IF($C153=DO$2,1,0)=0,0,1+COUNTIF(DO$3:DO152,"&gt;0"))</f>
        <v>0</v>
      </c>
      <c r="DP153">
        <f>IF(IF(OR(IFERROR(SEARCH("Druid",$T153,1),0)&gt;0,IFERROR(SEARCH(DruidLand1,$T153,1),0)&gt;0,IFERROR(SEARCH(DruidLand2,$T153,1),0)&gt;0,IFERROR(SEARCH(DruidLand3,$T153,1),0)&gt;0,IFERROR(SEARCH(DruidLand4,$T153,1),0)&gt;0),1,0)*IF($C153=1,1,0)*IF($C153=DP$2,1,0)=0,0,1+COUNTIF(DP$3:DP152,"&gt;0"))</f>
        <v>0</v>
      </c>
      <c r="DQ153">
        <f>IF(IF(OR(IFERROR(SEARCH("Druid",$T153,1),0)&gt;0,IFERROR(SEARCH(DruidLand1,$T153,1),0)&gt;0,IFERROR(SEARCH(DruidLand2,$T153,1),0)&gt;0,IFERROR(SEARCH(DruidLand3,$T153,1),0)&gt;0,IFERROR(SEARCH(DruidLand4,$T153,1),0)&gt;0),1,0)*IF($C153=1,1,0)*IF($C153=DQ$2,1,0)=0,0,1+COUNTIF(DQ$3:DQ152,"&gt;0"))</f>
        <v>0</v>
      </c>
      <c r="DR153">
        <f>IF(IF(OR(IFERROR(SEARCH("Druid",$T153,1),0)&gt;0,IFERROR(SEARCH(DruidLand1,$T153,1),0)&gt;0,IFERROR(SEARCH(DruidLand2,$T153,1),0)&gt;0,IFERROR(SEARCH(DruidLand3,$T153,1),0)&gt;0,IFERROR(SEARCH(DruidLand4,$T153,1),0)&gt;0),1,0)*IF($C153=1,1,0)*IF($C153=DR$2,1,0)=0,0,1+COUNTIF(DR$3:DR152,"&gt;0"))</f>
        <v>0</v>
      </c>
      <c r="DS153">
        <f>IF(IF(OR(IFERROR(SEARCH("Paladin",$T153,1),0)&gt;0,IFERROR(SEARCH(PaladinOath,$T153,1),0)&gt;0),1,0)*IF($C153=DS$2,1,0)=1,1+COUNTIF(DS$3:DS152,"&gt;0"),0)</f>
        <v>0</v>
      </c>
      <c r="DT153">
        <f>IF(IF(OR(IFERROR(SEARCH("Paladin",$T153,1),0)&gt;0,IFERROR(SEARCH(PaladinOath,$T153,1),0)&gt;0),1,0)*IF($C153=DT$2,1,0)=1,1+COUNTIF(DT$3:DT152,"&gt;0"),0)</f>
        <v>0</v>
      </c>
      <c r="DU153">
        <f>IF(IF(OR(IFERROR(SEARCH("Paladin",$T153,1),0)&gt;0,IFERROR(SEARCH(PaladinOath,$T153,1),0)&gt;0),1,0)*IF($C153=DU$2,1,0)=1,1+COUNTIF(DU$3:DU152,"&gt;0"),0)</f>
        <v>0</v>
      </c>
      <c r="DV153">
        <f>IF(IF(OR(IFERROR(SEARCH("Paladin",$T153,1),0)&gt;0,IFERROR(SEARCH(PaladinOath,$T153,1),0)&gt;0),1,0)*IF($C153=DV$2,1,0)=1,1+COUNTIF(DV$3:DV152,"&gt;0"),0)</f>
        <v>0</v>
      </c>
      <c r="DW153">
        <f>IF(IF(OR(IFERROR(SEARCH("Paladin",$T153,1),0)&gt;0,IFERROR(SEARCH(PaladinOath,$T153,1),0)&gt;0),1,0)*IF($C153=DW$2,1,0)=1,1+COUNTIF(DW$3:DW152,"&gt;0"),0)</f>
        <v>0</v>
      </c>
      <c r="DY153">
        <f t="shared" si="111"/>
        <v>1</v>
      </c>
      <c r="DZ153">
        <f>IF(DY153=0,0,1+MAX(DZ$3:$DZ152))</f>
        <v>151</v>
      </c>
      <c r="EB153">
        <f t="shared" si="125"/>
        <v>1</v>
      </c>
      <c r="EC153">
        <f>IF(EB153=0,0,1+COUNTIF(EC$3:EC152,"&gt;0"))</f>
        <v>3</v>
      </c>
      <c r="ED153" t="str">
        <f t="shared" si="153"/>
        <v/>
      </c>
      <c r="EE153" t="str">
        <f t="shared" si="126"/>
        <v/>
      </c>
      <c r="EG153">
        <f t="shared" si="127"/>
        <v>0</v>
      </c>
      <c r="EH153">
        <f>IF(EG153=0,0,1+COUNTIF(EH$3:EH152,"&gt;0"))</f>
        <v>0</v>
      </c>
      <c r="EI153" t="str">
        <f t="shared" si="154"/>
        <v/>
      </c>
      <c r="EJ153" t="str">
        <f t="shared" si="128"/>
        <v/>
      </c>
      <c r="EL153">
        <f t="shared" si="129"/>
        <v>0</v>
      </c>
      <c r="EM153">
        <f>IF(EL153=0,0,1+COUNTIF(EM$3:EM152,"&gt;0"))</f>
        <v>0</v>
      </c>
      <c r="EN153" t="str">
        <f t="shared" si="155"/>
        <v/>
      </c>
      <c r="EO153" t="str">
        <f t="shared" si="130"/>
        <v/>
      </c>
      <c r="EQ153">
        <f t="shared" si="131"/>
        <v>0</v>
      </c>
      <c r="ER153">
        <f>IF(EQ153=0,0,1+COUNTIF(ER$3:ER152,"&gt;0"))</f>
        <v>0</v>
      </c>
      <c r="ES153" t="str">
        <f t="shared" si="156"/>
        <v/>
      </c>
      <c r="ET153" t="str">
        <f t="shared" si="132"/>
        <v/>
      </c>
      <c r="EV153">
        <f t="shared" si="133"/>
        <v>1</v>
      </c>
      <c r="EW153">
        <f>IF(EV153=0,0,1+COUNTIF(EW$3:EW152,"&gt;0"))</f>
        <v>1</v>
      </c>
      <c r="EX153" t="str">
        <f t="shared" si="157"/>
        <v/>
      </c>
      <c r="EY153" t="str">
        <f t="shared" si="134"/>
        <v/>
      </c>
      <c r="FA153">
        <f t="shared" si="135"/>
        <v>1</v>
      </c>
      <c r="FB153">
        <f>IF(FA153=0,0,1+COUNTIF(FB$3:FB152,"&gt;0"))</f>
        <v>6</v>
      </c>
      <c r="FC153" t="str">
        <f t="shared" si="158"/>
        <v/>
      </c>
      <c r="FD153" t="str">
        <f t="shared" si="136"/>
        <v/>
      </c>
      <c r="FF153">
        <f t="shared" si="137"/>
        <v>1</v>
      </c>
      <c r="FG153">
        <f>IF(FF153=0,0,1+COUNTIF(FG$3:FG152,"&gt;0"))</f>
        <v>4</v>
      </c>
      <c r="FH153" t="str">
        <f t="shared" si="159"/>
        <v/>
      </c>
      <c r="FI153" t="str">
        <f t="shared" si="138"/>
        <v/>
      </c>
      <c r="FK153">
        <f t="shared" si="139"/>
        <v>1</v>
      </c>
      <c r="FL153">
        <f>IF(FK153=0,0,1+COUNTIF(FL$3:FL152,"&gt;0"))</f>
        <v>6</v>
      </c>
      <c r="FM153" t="str">
        <f t="shared" si="160"/>
        <v/>
      </c>
      <c r="FN153" t="str">
        <f t="shared" si="140"/>
        <v/>
      </c>
      <c r="FP153">
        <f t="shared" si="141"/>
        <v>1</v>
      </c>
      <c r="FQ153">
        <f>IF(FP153=0,0,1+COUNTIF(FQ$3:FQ152,"&gt;0"))</f>
        <v>3</v>
      </c>
      <c r="FR153" t="str">
        <f t="shared" si="161"/>
        <v/>
      </c>
      <c r="FS153" t="str">
        <f t="shared" si="142"/>
        <v/>
      </c>
    </row>
    <row r="154" spans="1:175" x14ac:dyDescent="0.25">
      <c r="A154" s="347">
        <f t="shared" si="162"/>
        <v>152</v>
      </c>
      <c r="B154" s="348" t="s">
        <v>2525</v>
      </c>
      <c r="C154" s="348">
        <v>3</v>
      </c>
      <c r="D154" s="347">
        <v>3</v>
      </c>
      <c r="E154" s="627" t="s">
        <v>6952</v>
      </c>
      <c r="F154" s="346"/>
      <c r="G154" s="347" t="str">
        <f>""</f>
        <v/>
      </c>
      <c r="H154" s="347" t="s">
        <v>5912</v>
      </c>
      <c r="I154" s="347" t="s">
        <v>5298</v>
      </c>
      <c r="J154" s="347" t="str">
        <f t="shared" si="112"/>
        <v/>
      </c>
      <c r="K154" s="347" t="s">
        <v>5284</v>
      </c>
      <c r="L154" s="611" t="str">
        <f t="shared" si="113"/>
        <v>V, S, M, a bit of gauze and a wisp of smoke</v>
      </c>
      <c r="M154" s="347" t="s">
        <v>2373</v>
      </c>
      <c r="N154" s="347" t="s">
        <v>2387</v>
      </c>
      <c r="O154" s="347" t="s">
        <v>1244</v>
      </c>
      <c r="P154" s="346" t="s">
        <v>5383</v>
      </c>
      <c r="Q154" s="347" t="s">
        <v>5276</v>
      </c>
      <c r="S154" s="346" t="s">
        <v>5708</v>
      </c>
      <c r="T154" s="346" t="str">
        <f t="shared" si="114"/>
        <v xml:space="preserve">Sorcerer, Warlock, Wizard, Underdark, </v>
      </c>
      <c r="X154" s="347" t="str">
        <f>$B154</f>
        <v>Gaseous Form</v>
      </c>
      <c r="Y154" s="347" t="str">
        <f>$B154</f>
        <v>Gaseous Form</v>
      </c>
      <c r="AD154" s="347" t="str">
        <f>$B154</f>
        <v>Gaseous Form</v>
      </c>
      <c r="AE154" t="str">
        <f>IF(IFERROR(MATCH($B154,temp!A$4:A$13,0),0)&gt;0,T08_Spells!AE$2,"")</f>
        <v/>
      </c>
      <c r="AF154" t="str">
        <f>IF(IFERROR(MATCH($B154,temp!B$4:B$13,0),0)&gt;0,T08_Spells!AF$2,"")</f>
        <v/>
      </c>
      <c r="AG154" t="str">
        <f>IF(IFERROR(MATCH($B154,temp!C$4:C$13,0),0)&gt;0,T08_Spells!AG$2,"")</f>
        <v/>
      </c>
      <c r="AH154" t="str">
        <f>IF(IFERROR(MATCH($B154,temp!D$4:D$13,0),0)&gt;0,T08_Spells!AH$2,"")</f>
        <v/>
      </c>
      <c r="AI154" t="str">
        <f>IF(IFERROR(MATCH($B154,temp!E$4:E$13,0),0)&gt;0,T08_Spells!AI$2,"")</f>
        <v/>
      </c>
      <c r="AJ154" t="str">
        <f>IF(IFERROR(MATCH($B154,temp!F$4:F$13,0),0)&gt;0,T08_Spells!AJ$2,"")</f>
        <v/>
      </c>
      <c r="AK154" t="str">
        <f>IF(IFERROR(MATCH($B154,temp!G$4:G$13,0),0)&gt;0,T08_Spells!AK$2,"")</f>
        <v/>
      </c>
      <c r="AL154" t="str">
        <f>IF(IFERROR(MATCH($B154,temp!H$4:H$13,0),0)&gt;0,T08_Spells!AL$2,"")</f>
        <v/>
      </c>
      <c r="AM154" t="str">
        <f>IF(IFERROR(MATCH($B154,temp!I$4:I$13,0),0)&gt;0,T08_Spells!AM$2,"")</f>
        <v/>
      </c>
      <c r="AN154" t="str">
        <f>IF(IFERROR(MATCH($B154,temp!J$4:J$13,0),0)&gt;0,T08_Spells!AN$2,"")</f>
        <v/>
      </c>
      <c r="AO154" t="str">
        <f>IF(IFERROR(MATCH($B154,temp!K$4:K$13,0),0)&gt;0,T08_Spells!AO$2,"")</f>
        <v/>
      </c>
      <c r="AP154" t="str">
        <f>IF(IFERROR(MATCH($B154,temp!L$4:L$13,0),0)&gt;0,T08_Spells!AP$2,"")</f>
        <v/>
      </c>
      <c r="AQ154" t="str">
        <f>IF(IFERROR(MATCH($B154,temp!M$4:M$13,0),0)&gt;0,T08_Spells!AQ$2,"")</f>
        <v/>
      </c>
      <c r="AR154" t="str">
        <f>IF(IFERROR(MATCH($B154,temp!N$4:N$13,0),0)&gt;0,T08_Spells!AR$2,"")</f>
        <v/>
      </c>
      <c r="AS154" t="str">
        <f>IF(IFERROR(MATCH($B154,temp!O$4:O$13,0),0)&gt;0,T08_Spells!AS$2,"")</f>
        <v>Underdark</v>
      </c>
      <c r="AT154" t="str">
        <f>IF(IFERROR(MATCH($B154,temp!P$4:P$13,0),0)&gt;0,T08_Spells!AT$2,"")</f>
        <v/>
      </c>
      <c r="AU154" t="str">
        <f>IF(IFERROR(MATCH($B154,temp!Q$4:Q$13,0),0)&gt;0,T08_Spells!AU$2,"")</f>
        <v/>
      </c>
      <c r="AV154" t="str">
        <f>IF(IFERROR(MATCH($B154,temp!R$4:R$13,0),0)&gt;0,T08_Spells!AV$2,"")</f>
        <v/>
      </c>
      <c r="AW154" t="str">
        <f>IF(IFERROR(MATCH($B154,temp!S$4:S$13,0),0)&gt;0,T08_Spells!AW$2,"")</f>
        <v/>
      </c>
      <c r="AX154" t="str">
        <f>IF(IFERROR(MATCH($B154,temp!T$4:T$13,0),0)&gt;0,T08_Spells!AX$2,"")</f>
        <v/>
      </c>
      <c r="AY154" t="str">
        <f>IF(IFERROR(MATCH($B154,temp!U$4:U$13,0),0)&gt;0,T08_Spells!AY$2,"")</f>
        <v/>
      </c>
      <c r="AZ154" t="str">
        <f>IF(IFERROR(MATCH($B154,temp!V$4:V$13,0),0)&gt;0,T08_Spells!AZ$2,"")</f>
        <v/>
      </c>
      <c r="BA154" t="str">
        <f>IF(IFERROR(MATCH($B154,temp!W$4:W$13,0),0)&gt;0,T08_Spells!BA$2,"")</f>
        <v/>
      </c>
      <c r="BC154">
        <f>IF(IFERROR(SEARCH("Ranger",$T154,1),0)&gt;0,1,0)*IF(RangerMaxSpellLevel&gt;=$C154,1,0)*IF(IFERROR(MATCH(B154,Character_Creation!$X$79:$X$382,0),0)&gt;0,0,1)</f>
        <v>0</v>
      </c>
      <c r="BD154">
        <f>IF(BC154=0,0,1+COUNTIF(BD$3:BD153,"&gt;0"))</f>
        <v>0</v>
      </c>
      <c r="BE154" t="str">
        <f t="shared" si="143"/>
        <v/>
      </c>
      <c r="BF154" t="str">
        <f t="shared" si="115"/>
        <v/>
      </c>
      <c r="BH154">
        <f>IF(IFERROR(SEARCH("Sorcerer",$T154,1),0)&gt;0,1,0)*IF(SorcererMaxSpellLevel&gt;=$C154,1,0)*IF(IFERROR(MATCH(B154,Character_Creation!$J$380:$J$394,0),0)&gt;0,0,1)</f>
        <v>0</v>
      </c>
      <c r="BI154">
        <f>IF(BH154=0,0,1+COUNTIF(BI$3:BI153,"&gt;0"))</f>
        <v>0</v>
      </c>
      <c r="BJ154" t="str">
        <f t="shared" si="144"/>
        <v/>
      </c>
      <c r="BK154" t="str">
        <f t="shared" si="116"/>
        <v/>
      </c>
      <c r="BM154">
        <f>IF(OR(IFERROR(SEARCH("Warlock",$T154,1),0)&gt;0,IFERROR(SEARCH(WarlockPatron,$T154,1),0)&gt;0),1,0)*IF(WarlockMaxSpellLevel&gt;=$C154,1,0)*IF(IFERROR(MATCH(B154,Character_Creation!$J$361:$J$375,0),0)&gt;0,0,1)</f>
        <v>0</v>
      </c>
      <c r="BN154">
        <f>IF(BM154=0,0,1+COUNTIF(BN$3:BN153,"&gt;0"))</f>
        <v>0</v>
      </c>
      <c r="BO154" t="str">
        <f t="shared" si="145"/>
        <v/>
      </c>
      <c r="BP154" t="str">
        <f t="shared" si="117"/>
        <v/>
      </c>
      <c r="BR154">
        <f>IF(IFERROR(SEARCH("Eldritch Knight",$T154,1),0)&gt;0,1,0)*IF(EldritchKnightMaxSpellLevel&gt;=$C154,1,0)*IF(IFERROR(MATCH($B154,Character_Creation!$J$350:$J$356,0),0)&gt;0,0,1)*IF(Character_Creation!$M$338&gt;0,1,0)</f>
        <v>0</v>
      </c>
      <c r="BS154">
        <f>IF(BR154=0,0,1+COUNTIF(BS$3:BS153,"&gt;0"))</f>
        <v>0</v>
      </c>
      <c r="BT154" t="str">
        <f t="shared" si="146"/>
        <v/>
      </c>
      <c r="BU154" t="str">
        <f t="shared" si="118"/>
        <v/>
      </c>
      <c r="BW154">
        <f>IF(IFERROR(SEARCH("Arcane Trickster",$T154,1),0)&gt;0,1,0)*IF(ArcaneTricksterMaxSpellLevel&gt;=$C154,1,0)*IF(IFERROR(MATCH($B154,Character_Creation!$J$350:$J$356,0),0)&gt;0,0,1)*IF(Character_Creation!$T$338&gt;0,1,0)</f>
        <v>0</v>
      </c>
      <c r="BX154">
        <f>IF(BW154=0,0,1+COUNTIF(BX$3:BX153,"&gt;0"))</f>
        <v>0</v>
      </c>
      <c r="BY154" t="str">
        <f t="shared" si="147"/>
        <v/>
      </c>
      <c r="BZ154" t="str">
        <f t="shared" si="119"/>
        <v/>
      </c>
      <c r="CB154">
        <f>IF(IFERROR(SEARCH("Wizard",$T154,1),0)&gt;0,1,0)*IF(C154&lt;=ArcaneTricksterMaxSpellLevel,1,0)*IF(IFERROR(MATCH($B154,Character_Creation!$J$350:$J$356,0),0)&gt;0,0,1)*IF(Character_Creation!$T$350&gt;0,1,0)</f>
        <v>0</v>
      </c>
      <c r="CC154">
        <f>IF(CB154=0,0,1+COUNTIF(CC$3:CC153,"&gt;0"))</f>
        <v>0</v>
      </c>
      <c r="CD154" t="str">
        <f t="shared" si="148"/>
        <v/>
      </c>
      <c r="CE154" t="str">
        <f t="shared" si="120"/>
        <v/>
      </c>
      <c r="CG154">
        <f>IF(IFERROR(SEARCH("Wizard",$T154,1),0)&gt;0,1,0)*IF($C154&lt;=EldritchKnightMaxSpellLevel,1,0)*IF(IFERROR(MATCH($B154,Character_Creation!$J$350:$J$356,0),0)&gt;0,0,1)*IF(Character_Creation!$M$350&gt;0,1,0)</f>
        <v>0</v>
      </c>
      <c r="CH154">
        <f>IF(CG154=0,0,1+COUNTIF(CH$3:CH153,"&gt;0"))</f>
        <v>0</v>
      </c>
      <c r="CI154" t="str">
        <f t="shared" si="149"/>
        <v/>
      </c>
      <c r="CJ154" t="str">
        <f t="shared" si="121"/>
        <v/>
      </c>
      <c r="CL154">
        <f>IF(IFERROR(SEARCH("Bard",$T154,1),0)&gt;0,1,0)*IF(BardMaxSpellLevel&gt;=$C154,1,0)*IF(IFERROR(MATCH(B154,Character_Creation!$C$341:$F$362,0),0)&gt;0,0,1)*IF(IFERROR(MATCH($B154,Character_Creation!$C$341:$C$362,0),0)&gt;0,0,1)</f>
        <v>0</v>
      </c>
      <c r="CM154">
        <f>IF(CL154=0,0,1+COUNTIF(CM$3:CM153,"&gt;0"))</f>
        <v>0</v>
      </c>
      <c r="CN154" t="str">
        <f t="shared" si="150"/>
        <v/>
      </c>
      <c r="CO154" t="str">
        <f t="shared" si="122"/>
        <v/>
      </c>
      <c r="CQ154">
        <f>IF(IFERROR(SEARCH("Wizard",$T154,1),0)&gt;0,1,0)*IF(WizardMaxSpellLevel&gt;=$C154,1,0)*IF(IFERROR(MATCH(B154,Character_Creation!$X$341:$X$400,0),0)&gt;0,0,1)*IF(SelectedWizardSpellLevel=$C154,1,0)</f>
        <v>1</v>
      </c>
      <c r="CR154">
        <f>IF(CQ154=0,0,1+COUNTIF(CR$3:CR153,"&gt;0"))</f>
        <v>10</v>
      </c>
      <c r="CS154" t="str">
        <f t="shared" si="151"/>
        <v/>
      </c>
      <c r="CT154" t="str">
        <f t="shared" si="123"/>
        <v/>
      </c>
      <c r="CV154">
        <f>IF(IFERROR(MATCH($B154,Character_Creation!$C$341:$C$362,0),0)&gt;0,0,1)*IF(OR(C154="Cantrip",C154&lt;=BardMaxSpellLevel),1,0)*IF(IFERROR(MATCH($B154,Character_Creation!$C$367:$C$374,0),0)&gt;0,0,1)</f>
        <v>0</v>
      </c>
      <c r="CW154">
        <f>IF(CV154=0,0,1+COUNTIF(CW$3:CW153,"&gt;0"))</f>
        <v>0</v>
      </c>
      <c r="CX154" t="str">
        <f t="shared" si="152"/>
        <v/>
      </c>
      <c r="CY154" t="str">
        <f t="shared" si="124"/>
        <v/>
      </c>
      <c r="DA154">
        <f>IF(IF(OR(IFERROR(SEARCH("Cleric",$T154,1),0)&gt;0,IFERROR(SEARCH(DivineDomain&amp;",",$T154,1),0)&gt;0),1,0)*IF($C154=DA$2,1,0)=1,1+COUNTIF(DA$3:DA153,"&gt;0"),0)</f>
        <v>0</v>
      </c>
      <c r="DB154">
        <f>IF(IF(OR(IFERROR(SEARCH("Cleric",$T154,1),0)&gt;0,IFERROR(SEARCH(DivineDomain&amp;",",$T154,1),0)&gt;0),1,0)*IF($C154=DB$2,1,0)=1,1+COUNTIF(DB$3:DB153,"&gt;0"),0)</f>
        <v>0</v>
      </c>
      <c r="DC154">
        <f>IF(IF(OR(IFERROR(SEARCH("Cleric",$T154,1),0)&gt;0,IFERROR(SEARCH(DivineDomain&amp;",",$T154,1),0)&gt;0),1,0)*IF($C154=DC$2,1,0)=1,1+COUNTIF(DC$3:DC153,"&gt;0"),0)</f>
        <v>0</v>
      </c>
      <c r="DD154">
        <f>IF(IF(OR(IFERROR(SEARCH("Cleric",$T154,1),0)&gt;0,IFERROR(SEARCH(DivineDomain&amp;",",$T154,1),0)&gt;0),1,0)*IF($C154=DD$2,1,0)=1,1+COUNTIF(DD$3:DD153,"&gt;0"),0)</f>
        <v>0</v>
      </c>
      <c r="DE154">
        <f>IF(IF(OR(IFERROR(SEARCH("Cleric",$T154,1),0)&gt;0,IFERROR(SEARCH(DivineDomain&amp;",",$T154,1),0)&gt;0),1,0)*IF($C154=DE$2,1,0)=1,1+COUNTIF(DE$3:DE153,"&gt;0"),0)</f>
        <v>0</v>
      </c>
      <c r="DF154">
        <f>IF(IF(OR(IFERROR(SEARCH("Cleric",$T154,1),0)&gt;0,IFERROR(SEARCH(DivineDomain&amp;",",$T154,1),0)&gt;0),1,0)*IF($C154=DF$2,1,0)=1,1+COUNTIF(DF$3:DF153,"&gt;0"),0)</f>
        <v>0</v>
      </c>
      <c r="DG154">
        <f>IF(IF(OR(IFERROR(SEARCH("Cleric",$T154,1),0)&gt;0,IFERROR(SEARCH(DivineDomain&amp;",",$T154,1),0)&gt;0),1,0)*IF($C154=DG$2,1,0)=1,1+COUNTIF(DG$3:DG153,"&gt;0"),0)</f>
        <v>0</v>
      </c>
      <c r="DH154">
        <f>IF(IF(OR(IFERROR(SEARCH("Cleric",$T154,1),0)&gt;0,IFERROR(SEARCH(DivineDomain&amp;",",$T154,1),0)&gt;0),1,0)*IF($C154=DH$2,1,0)=1,1+COUNTIF(DH$3:DH153,"&gt;0"),0)</f>
        <v>0</v>
      </c>
      <c r="DI154">
        <f>IF(IF(OR(IFERROR(SEARCH("Cleric",$T154,1),0)&gt;0,IFERROR(SEARCH(DivineDomain&amp;",",$T154,1),0)&gt;0),1,0)*IF($C154=DI$2,1,0)=1,1+COUNTIF(DI$3:DI153,"&gt;0"),0)</f>
        <v>0</v>
      </c>
      <c r="DJ154">
        <f>IF(IF(OR(IFERROR(SEARCH("Druid",$T154,1),0)&gt;0,IFERROR(SEARCH(DruidLand1,$T154,1),0)&gt;0,IFERROR(SEARCH(DruidLand2,$T154,1),0)&gt;0,IFERROR(SEARCH(DruidLand3,$T154,1),0)&gt;0,IFERROR(SEARCH(DruidLand4,$T154,1),0)&gt;0),1,0)*IF($C154=1,1,0)*IF($C154=DJ$2,1,0)=0,0,1+COUNTIF(DJ$3:DJ153,"&gt;0"))</f>
        <v>0</v>
      </c>
      <c r="DK154">
        <f>IF(IF(OR(IFERROR(SEARCH("Druid",$T154,1),0)&gt;0,IFERROR(SEARCH(DruidLand1,$T154,1),0)&gt;0,IFERROR(SEARCH(DruidLand2,$T154,1),0)&gt;0,IFERROR(SEARCH(DruidLand3,$T154,1),0)&gt;0,IFERROR(SEARCH(DruidLand4,$T154,1),0)&gt;0),1,0)*IF($C154=1,1,0)*IF($C154=DK$2,1,0)=0,0,1+COUNTIF(DK$3:DK153,"&gt;0"))</f>
        <v>0</v>
      </c>
      <c r="DL154">
        <f>IF(IF(OR(IFERROR(SEARCH("Druid",$T154,1),0)&gt;0,IFERROR(SEARCH(DruidLand1,$T154,1),0)&gt;0,IFERROR(SEARCH(DruidLand2,$T154,1),0)&gt;0,IFERROR(SEARCH(DruidLand3,$T154,1),0)&gt;0,IFERROR(SEARCH(DruidLand4,$T154,1),0)&gt;0),1,0)*IF($C154=1,1,0)*IF($C154=DL$2,1,0)=0,0,1+COUNTIF(DL$3:DL153,"&gt;0"))</f>
        <v>0</v>
      </c>
      <c r="DM154">
        <f>IF(IF(OR(IFERROR(SEARCH("Druid",$T154,1),0)&gt;0,IFERROR(SEARCH(DruidLand1,$T154,1),0)&gt;0,IFERROR(SEARCH(DruidLand2,$T154,1),0)&gt;0,IFERROR(SEARCH(DruidLand3,$T154,1),0)&gt;0,IFERROR(SEARCH(DruidLand4,$T154,1),0)&gt;0),1,0)*IF($C154=1,1,0)*IF($C154=DM$2,1,0)=0,0,1+COUNTIF(DM$3:DM153,"&gt;0"))</f>
        <v>0</v>
      </c>
      <c r="DN154">
        <f>IF(IF(OR(IFERROR(SEARCH("Druid",$T154,1),0)&gt;0,IFERROR(SEARCH(DruidLand1,$T154,1),0)&gt;0,IFERROR(SEARCH(DruidLand2,$T154,1),0)&gt;0,IFERROR(SEARCH(DruidLand3,$T154,1),0)&gt;0,IFERROR(SEARCH(DruidLand4,$T154,1),0)&gt;0),1,0)*IF($C154=1,1,0)*IF($C154=DN$2,1,0)=0,0,1+COUNTIF(DN$3:DN153,"&gt;0"))</f>
        <v>0</v>
      </c>
      <c r="DO154">
        <f>IF(IF(OR(IFERROR(SEARCH("Druid",$T154,1),0)&gt;0,IFERROR(SEARCH(DruidLand1,$T154,1),0)&gt;0,IFERROR(SEARCH(DruidLand2,$T154,1),0)&gt;0,IFERROR(SEARCH(DruidLand3,$T154,1),0)&gt;0,IFERROR(SEARCH(DruidLand4,$T154,1),0)&gt;0),1,0)*IF($C154=1,1,0)*IF($C154=DO$2,1,0)=0,0,1+COUNTIF(DO$3:DO153,"&gt;0"))</f>
        <v>0</v>
      </c>
      <c r="DP154">
        <f>IF(IF(OR(IFERROR(SEARCH("Druid",$T154,1),0)&gt;0,IFERROR(SEARCH(DruidLand1,$T154,1),0)&gt;0,IFERROR(SEARCH(DruidLand2,$T154,1),0)&gt;0,IFERROR(SEARCH(DruidLand3,$T154,1),0)&gt;0,IFERROR(SEARCH(DruidLand4,$T154,1),0)&gt;0),1,0)*IF($C154=1,1,0)*IF($C154=DP$2,1,0)=0,0,1+COUNTIF(DP$3:DP153,"&gt;0"))</f>
        <v>0</v>
      </c>
      <c r="DQ154">
        <f>IF(IF(OR(IFERROR(SEARCH("Druid",$T154,1),0)&gt;0,IFERROR(SEARCH(DruidLand1,$T154,1),0)&gt;0,IFERROR(SEARCH(DruidLand2,$T154,1),0)&gt;0,IFERROR(SEARCH(DruidLand3,$T154,1),0)&gt;0,IFERROR(SEARCH(DruidLand4,$T154,1),0)&gt;0),1,0)*IF($C154=1,1,0)*IF($C154=DQ$2,1,0)=0,0,1+COUNTIF(DQ$3:DQ153,"&gt;0"))</f>
        <v>0</v>
      </c>
      <c r="DR154">
        <f>IF(IF(OR(IFERROR(SEARCH("Druid",$T154,1),0)&gt;0,IFERROR(SEARCH(DruidLand1,$T154,1),0)&gt;0,IFERROR(SEARCH(DruidLand2,$T154,1),0)&gt;0,IFERROR(SEARCH(DruidLand3,$T154,1),0)&gt;0,IFERROR(SEARCH(DruidLand4,$T154,1),0)&gt;0),1,0)*IF($C154=1,1,0)*IF($C154=DR$2,1,0)=0,0,1+COUNTIF(DR$3:DR153,"&gt;0"))</f>
        <v>0</v>
      </c>
      <c r="DS154">
        <f>IF(IF(OR(IFERROR(SEARCH("Paladin",$T154,1),0)&gt;0,IFERROR(SEARCH(PaladinOath,$T154,1),0)&gt;0),1,0)*IF($C154=DS$2,1,0)=1,1+COUNTIF(DS$3:DS153,"&gt;0"),0)</f>
        <v>0</v>
      </c>
      <c r="DT154">
        <f>IF(IF(OR(IFERROR(SEARCH("Paladin",$T154,1),0)&gt;0,IFERROR(SEARCH(PaladinOath,$T154,1),0)&gt;0),1,0)*IF($C154=DT$2,1,0)=1,1+COUNTIF(DT$3:DT153,"&gt;0"),0)</f>
        <v>0</v>
      </c>
      <c r="DU154">
        <f>IF(IF(OR(IFERROR(SEARCH("Paladin",$T154,1),0)&gt;0,IFERROR(SEARCH(PaladinOath,$T154,1),0)&gt;0),1,0)*IF($C154=DU$2,1,0)=1,1+COUNTIF(DU$3:DU153,"&gt;0"),0)</f>
        <v>0</v>
      </c>
      <c r="DV154">
        <f>IF(IF(OR(IFERROR(SEARCH("Paladin",$T154,1),0)&gt;0,IFERROR(SEARCH(PaladinOath,$T154,1),0)&gt;0),1,0)*IF($C154=DV$2,1,0)=1,1+COUNTIF(DV$3:DV153,"&gt;0"),0)</f>
        <v>0</v>
      </c>
      <c r="DW154">
        <f>IF(IF(OR(IFERROR(SEARCH("Paladin",$T154,1),0)&gt;0,IFERROR(SEARCH(PaladinOath,$T154,1),0)&gt;0),1,0)*IF($C154=DW$2,1,0)=1,1+COUNTIF(DW$3:DW153,"&gt;0"),0)</f>
        <v>0</v>
      </c>
      <c r="DY154">
        <f t="shared" si="111"/>
        <v>1</v>
      </c>
      <c r="DZ154">
        <f>IF(DY154=0,0,1+MAX(DZ$3:$DZ153))</f>
        <v>152</v>
      </c>
      <c r="EB154">
        <f t="shared" si="125"/>
        <v>0</v>
      </c>
      <c r="EC154">
        <f>IF(EB154=0,0,1+COUNTIF(EC$3:EC153,"&gt;0"))</f>
        <v>0</v>
      </c>
      <c r="ED154" t="str">
        <f t="shared" si="153"/>
        <v/>
      </c>
      <c r="EE154" t="str">
        <f t="shared" si="126"/>
        <v/>
      </c>
      <c r="EG154">
        <f t="shared" si="127"/>
        <v>0</v>
      </c>
      <c r="EH154">
        <f>IF(EG154=0,0,1+COUNTIF(EH$3:EH153,"&gt;0"))</f>
        <v>0</v>
      </c>
      <c r="EI154" t="str">
        <f t="shared" si="154"/>
        <v/>
      </c>
      <c r="EJ154" t="str">
        <f t="shared" si="128"/>
        <v/>
      </c>
      <c r="EL154">
        <f t="shared" si="129"/>
        <v>0</v>
      </c>
      <c r="EM154">
        <f>IF(EL154=0,0,1+COUNTIF(EM$3:EM153,"&gt;0"))</f>
        <v>0</v>
      </c>
      <c r="EN154" t="str">
        <f t="shared" si="155"/>
        <v/>
      </c>
      <c r="EO154" t="str">
        <f t="shared" si="130"/>
        <v/>
      </c>
      <c r="EQ154">
        <f t="shared" si="131"/>
        <v>0</v>
      </c>
      <c r="ER154">
        <f>IF(EQ154=0,0,1+COUNTIF(ER$3:ER153,"&gt;0"))</f>
        <v>0</v>
      </c>
      <c r="ES154" t="str">
        <f t="shared" si="156"/>
        <v/>
      </c>
      <c r="ET154" t="str">
        <f t="shared" si="132"/>
        <v/>
      </c>
      <c r="EV154">
        <f t="shared" si="133"/>
        <v>0</v>
      </c>
      <c r="EW154">
        <f>IF(EV154=0,0,1+COUNTIF(EW$3:EW153,"&gt;0"))</f>
        <v>0</v>
      </c>
      <c r="EX154" t="str">
        <f t="shared" si="157"/>
        <v/>
      </c>
      <c r="EY154" t="str">
        <f t="shared" si="134"/>
        <v/>
      </c>
      <c r="FA154">
        <f t="shared" si="135"/>
        <v>0</v>
      </c>
      <c r="FB154">
        <f>IF(FA154=0,0,1+COUNTIF(FB$3:FB153,"&gt;0"))</f>
        <v>0</v>
      </c>
      <c r="FC154" t="str">
        <f t="shared" si="158"/>
        <v/>
      </c>
      <c r="FD154" t="str">
        <f t="shared" si="136"/>
        <v/>
      </c>
      <c r="FF154">
        <f t="shared" si="137"/>
        <v>0</v>
      </c>
      <c r="FG154">
        <f>IF(FF154=0,0,1+COUNTIF(FG$3:FG153,"&gt;0"))</f>
        <v>0</v>
      </c>
      <c r="FH154" t="str">
        <f t="shared" si="159"/>
        <v/>
      </c>
      <c r="FI154" t="str">
        <f t="shared" si="138"/>
        <v/>
      </c>
      <c r="FK154">
        <f t="shared" si="139"/>
        <v>0</v>
      </c>
      <c r="FL154">
        <f>IF(FK154=0,0,1+COUNTIF(FL$3:FL153,"&gt;0"))</f>
        <v>0</v>
      </c>
      <c r="FM154" t="str">
        <f t="shared" si="160"/>
        <v/>
      </c>
      <c r="FN154" t="str">
        <f t="shared" si="140"/>
        <v/>
      </c>
      <c r="FP154">
        <f t="shared" si="141"/>
        <v>0</v>
      </c>
      <c r="FQ154">
        <f>IF(FP154=0,0,1+COUNTIF(FQ$3:FQ153,"&gt;0"))</f>
        <v>0</v>
      </c>
      <c r="FR154" t="str">
        <f t="shared" si="161"/>
        <v/>
      </c>
      <c r="FS154" t="str">
        <f t="shared" si="142"/>
        <v/>
      </c>
    </row>
    <row r="155" spans="1:175" x14ac:dyDescent="0.25">
      <c r="A155" s="347">
        <f t="shared" si="162"/>
        <v>153</v>
      </c>
      <c r="B155" s="348" t="s">
        <v>2526</v>
      </c>
      <c r="C155" s="348">
        <v>9</v>
      </c>
      <c r="D155" s="347">
        <v>9</v>
      </c>
      <c r="E155" s="627" t="s">
        <v>6952</v>
      </c>
      <c r="F155" s="346"/>
      <c r="G155" s="347" t="str">
        <f>""</f>
        <v/>
      </c>
      <c r="H155" s="347" t="s">
        <v>5912</v>
      </c>
      <c r="I155" s="347" t="s">
        <v>424</v>
      </c>
      <c r="J155" s="347" t="str">
        <f t="shared" si="112"/>
        <v/>
      </c>
      <c r="K155" s="347" t="s">
        <v>5291</v>
      </c>
      <c r="L155" s="611" t="str">
        <f t="shared" si="113"/>
        <v>V, S, M, a diamond worth at least 5,000 gp</v>
      </c>
      <c r="M155" s="347" t="s">
        <v>2373</v>
      </c>
      <c r="N155" s="347" t="s">
        <v>2387</v>
      </c>
      <c r="O155" s="347" t="s">
        <v>1244</v>
      </c>
      <c r="P155" s="346" t="s">
        <v>5384</v>
      </c>
      <c r="Q155" s="347" t="s">
        <v>5271</v>
      </c>
      <c r="S155" s="346" t="s">
        <v>5709</v>
      </c>
      <c r="T155" s="346" t="str">
        <f t="shared" si="114"/>
        <v xml:space="preserve">Sorcerer, Cleric, Wizard, </v>
      </c>
      <c r="X155" s="347" t="str">
        <f>$B155</f>
        <v>Gate</v>
      </c>
      <c r="Z155" s="347" t="str">
        <f>$B155</f>
        <v>Gate</v>
      </c>
      <c r="AD155" s="347" t="str">
        <f>$B155</f>
        <v>Gate</v>
      </c>
      <c r="AE155" t="str">
        <f>IF(IFERROR(MATCH($B155,temp!A$4:A$13,0),0)&gt;0,T08_Spells!AE$2,"")</f>
        <v/>
      </c>
      <c r="AF155" t="str">
        <f>IF(IFERROR(MATCH($B155,temp!B$4:B$13,0),0)&gt;0,T08_Spells!AF$2,"")</f>
        <v/>
      </c>
      <c r="AG155" t="str">
        <f>IF(IFERROR(MATCH($B155,temp!C$4:C$13,0),0)&gt;0,T08_Spells!AG$2,"")</f>
        <v/>
      </c>
      <c r="AH155" t="str">
        <f>IF(IFERROR(MATCH($B155,temp!D$4:D$13,0),0)&gt;0,T08_Spells!AH$2,"")</f>
        <v/>
      </c>
      <c r="AI155" t="str">
        <f>IF(IFERROR(MATCH($B155,temp!E$4:E$13,0),0)&gt;0,T08_Spells!AI$2,"")</f>
        <v/>
      </c>
      <c r="AJ155" t="str">
        <f>IF(IFERROR(MATCH($B155,temp!F$4:F$13,0),0)&gt;0,T08_Spells!AJ$2,"")</f>
        <v/>
      </c>
      <c r="AK155" t="str">
        <f>IF(IFERROR(MATCH($B155,temp!G$4:G$13,0),0)&gt;0,T08_Spells!AK$2,"")</f>
        <v/>
      </c>
      <c r="AL155" t="str">
        <f>IF(IFERROR(MATCH($B155,temp!H$4:H$13,0),0)&gt;0,T08_Spells!AL$2,"")</f>
        <v/>
      </c>
      <c r="AM155" t="str">
        <f>IF(IFERROR(MATCH($B155,temp!I$4:I$13,0),0)&gt;0,T08_Spells!AM$2,"")</f>
        <v/>
      </c>
      <c r="AN155" t="str">
        <f>IF(IFERROR(MATCH($B155,temp!J$4:J$13,0),0)&gt;0,T08_Spells!AN$2,"")</f>
        <v/>
      </c>
      <c r="AO155" t="str">
        <f>IF(IFERROR(MATCH($B155,temp!K$4:K$13,0),0)&gt;0,T08_Spells!AO$2,"")</f>
        <v/>
      </c>
      <c r="AP155" t="str">
        <f>IF(IFERROR(MATCH($B155,temp!L$4:L$13,0),0)&gt;0,T08_Spells!AP$2,"")</f>
        <v/>
      </c>
      <c r="AQ155" t="str">
        <f>IF(IFERROR(MATCH($B155,temp!M$4:M$13,0),0)&gt;0,T08_Spells!AQ$2,"")</f>
        <v/>
      </c>
      <c r="AR155" t="str">
        <f>IF(IFERROR(MATCH($B155,temp!N$4:N$13,0),0)&gt;0,T08_Spells!AR$2,"")</f>
        <v/>
      </c>
      <c r="AS155" t="str">
        <f>IF(IFERROR(MATCH($B155,temp!O$4:O$13,0),0)&gt;0,T08_Spells!AS$2,"")</f>
        <v/>
      </c>
      <c r="AT155" t="str">
        <f>IF(IFERROR(MATCH($B155,temp!P$4:P$13,0),0)&gt;0,T08_Spells!AT$2,"")</f>
        <v/>
      </c>
      <c r="AU155" t="str">
        <f>IF(IFERROR(MATCH($B155,temp!Q$4:Q$13,0),0)&gt;0,T08_Spells!AU$2,"")</f>
        <v/>
      </c>
      <c r="AV155" t="str">
        <f>IF(IFERROR(MATCH($B155,temp!R$4:R$13,0),0)&gt;0,T08_Spells!AV$2,"")</f>
        <v/>
      </c>
      <c r="AW155" t="str">
        <f>IF(IFERROR(MATCH($B155,temp!S$4:S$13,0),0)&gt;0,T08_Spells!AW$2,"")</f>
        <v/>
      </c>
      <c r="AX155" t="str">
        <f>IF(IFERROR(MATCH($B155,temp!T$4:T$13,0),0)&gt;0,T08_Spells!AX$2,"")</f>
        <v/>
      </c>
      <c r="AY155" t="str">
        <f>IF(IFERROR(MATCH($B155,temp!U$4:U$13,0),0)&gt;0,T08_Spells!AY$2,"")</f>
        <v/>
      </c>
      <c r="AZ155" t="str">
        <f>IF(IFERROR(MATCH($B155,temp!V$4:V$13,0),0)&gt;0,T08_Spells!AZ$2,"")</f>
        <v/>
      </c>
      <c r="BA155" t="str">
        <f>IF(IFERROR(MATCH($B155,temp!W$4:W$13,0),0)&gt;0,T08_Spells!BA$2,"")</f>
        <v/>
      </c>
      <c r="BC155">
        <f>IF(IFERROR(SEARCH("Ranger",$T155,1),0)&gt;0,1,0)*IF(RangerMaxSpellLevel&gt;=$C155,1,0)*IF(IFERROR(MATCH(B155,Character_Creation!$X$79:$X$382,0),0)&gt;0,0,1)</f>
        <v>0</v>
      </c>
      <c r="BD155">
        <f>IF(BC155=0,0,1+COUNTIF(BD$3:BD154,"&gt;0"))</f>
        <v>0</v>
      </c>
      <c r="BE155" t="str">
        <f t="shared" si="143"/>
        <v/>
      </c>
      <c r="BF155" t="str">
        <f t="shared" si="115"/>
        <v/>
      </c>
      <c r="BH155">
        <f>IF(IFERROR(SEARCH("Sorcerer",$T155,1),0)&gt;0,1,0)*IF(SorcererMaxSpellLevel&gt;=$C155,1,0)*IF(IFERROR(MATCH(B155,Character_Creation!$J$380:$J$394,0),0)&gt;0,0,1)</f>
        <v>0</v>
      </c>
      <c r="BI155">
        <f>IF(BH155=0,0,1+COUNTIF(BI$3:BI154,"&gt;0"))</f>
        <v>0</v>
      </c>
      <c r="BJ155" t="str">
        <f t="shared" si="144"/>
        <v/>
      </c>
      <c r="BK155" t="str">
        <f t="shared" si="116"/>
        <v/>
      </c>
      <c r="BM155">
        <f>IF(OR(IFERROR(SEARCH("Warlock",$T155,1),0)&gt;0,IFERROR(SEARCH(WarlockPatron,$T155,1),0)&gt;0),1,0)*IF(WarlockMaxSpellLevel&gt;=$C155,1,0)*IF(IFERROR(MATCH(B155,Character_Creation!$J$361:$J$375,0),0)&gt;0,0,1)</f>
        <v>0</v>
      </c>
      <c r="BN155">
        <f>IF(BM155=0,0,1+COUNTIF(BN$3:BN154,"&gt;0"))</f>
        <v>0</v>
      </c>
      <c r="BO155" t="str">
        <f t="shared" si="145"/>
        <v/>
      </c>
      <c r="BP155" t="str">
        <f t="shared" si="117"/>
        <v/>
      </c>
      <c r="BR155">
        <f>IF(IFERROR(SEARCH("Eldritch Knight",$T155,1),0)&gt;0,1,0)*IF(EldritchKnightMaxSpellLevel&gt;=$C155,1,0)*IF(IFERROR(MATCH($B155,Character_Creation!$J$350:$J$356,0),0)&gt;0,0,1)*IF(Character_Creation!$M$338&gt;0,1,0)</f>
        <v>0</v>
      </c>
      <c r="BS155">
        <f>IF(BR155=0,0,1+COUNTIF(BS$3:BS154,"&gt;0"))</f>
        <v>0</v>
      </c>
      <c r="BT155" t="str">
        <f t="shared" si="146"/>
        <v/>
      </c>
      <c r="BU155" t="str">
        <f t="shared" si="118"/>
        <v/>
      </c>
      <c r="BW155">
        <f>IF(IFERROR(SEARCH("Arcane Trickster",$T155,1),0)&gt;0,1,0)*IF(ArcaneTricksterMaxSpellLevel&gt;=$C155,1,0)*IF(IFERROR(MATCH($B155,Character_Creation!$J$350:$J$356,0),0)&gt;0,0,1)*IF(Character_Creation!$T$338&gt;0,1,0)</f>
        <v>0</v>
      </c>
      <c r="BX155">
        <f>IF(BW155=0,0,1+COUNTIF(BX$3:BX154,"&gt;0"))</f>
        <v>0</v>
      </c>
      <c r="BY155" t="str">
        <f t="shared" si="147"/>
        <v/>
      </c>
      <c r="BZ155" t="str">
        <f t="shared" si="119"/>
        <v/>
      </c>
      <c r="CB155">
        <f>IF(IFERROR(SEARCH("Wizard",$T155,1),0)&gt;0,1,0)*IF(C155&lt;=ArcaneTricksterMaxSpellLevel,1,0)*IF(IFERROR(MATCH($B155,Character_Creation!$J$350:$J$356,0),0)&gt;0,0,1)*IF(Character_Creation!$T$350&gt;0,1,0)</f>
        <v>0</v>
      </c>
      <c r="CC155">
        <f>IF(CB155=0,0,1+COUNTIF(CC$3:CC154,"&gt;0"))</f>
        <v>0</v>
      </c>
      <c r="CD155" t="str">
        <f t="shared" si="148"/>
        <v/>
      </c>
      <c r="CE155" t="str">
        <f t="shared" si="120"/>
        <v/>
      </c>
      <c r="CG155">
        <f>IF(IFERROR(SEARCH("Wizard",$T155,1),0)&gt;0,1,0)*IF($C155&lt;=EldritchKnightMaxSpellLevel,1,0)*IF(IFERROR(MATCH($B155,Character_Creation!$J$350:$J$356,0),0)&gt;0,0,1)*IF(Character_Creation!$M$350&gt;0,1,0)</f>
        <v>0</v>
      </c>
      <c r="CH155">
        <f>IF(CG155=0,0,1+COUNTIF(CH$3:CH154,"&gt;0"))</f>
        <v>0</v>
      </c>
      <c r="CI155" t="str">
        <f t="shared" si="149"/>
        <v/>
      </c>
      <c r="CJ155" t="str">
        <f t="shared" si="121"/>
        <v/>
      </c>
      <c r="CL155">
        <f>IF(IFERROR(SEARCH("Bard",$T155,1),0)&gt;0,1,0)*IF(BardMaxSpellLevel&gt;=$C155,1,0)*IF(IFERROR(MATCH(B155,Character_Creation!$C$341:$F$362,0),0)&gt;0,0,1)*IF(IFERROR(MATCH($B155,Character_Creation!$C$341:$C$362,0),0)&gt;0,0,1)</f>
        <v>0</v>
      </c>
      <c r="CM155">
        <f>IF(CL155=0,0,1+COUNTIF(CM$3:CM154,"&gt;0"))</f>
        <v>0</v>
      </c>
      <c r="CN155" t="str">
        <f t="shared" si="150"/>
        <v/>
      </c>
      <c r="CO155" t="str">
        <f t="shared" si="122"/>
        <v/>
      </c>
      <c r="CQ155">
        <f>IF(IFERROR(SEARCH("Wizard",$T155,1),0)&gt;0,1,0)*IF(WizardMaxSpellLevel&gt;=$C155,1,0)*IF(IFERROR(MATCH(B155,Character_Creation!$X$341:$X$400,0),0)&gt;0,0,1)*IF(SelectedWizardSpellLevel=$C155,1,0)</f>
        <v>0</v>
      </c>
      <c r="CR155">
        <f>IF(CQ155=0,0,1+COUNTIF(CR$3:CR154,"&gt;0"))</f>
        <v>0</v>
      </c>
      <c r="CS155" t="str">
        <f t="shared" si="151"/>
        <v/>
      </c>
      <c r="CT155" t="str">
        <f t="shared" si="123"/>
        <v/>
      </c>
      <c r="CV155">
        <f>IF(IFERROR(MATCH($B155,Character_Creation!$C$341:$C$362,0),0)&gt;0,0,1)*IF(OR(C155="Cantrip",C155&lt;=BardMaxSpellLevel),1,0)*IF(IFERROR(MATCH($B155,Character_Creation!$C$367:$C$374,0),0)&gt;0,0,1)</f>
        <v>0</v>
      </c>
      <c r="CW155">
        <f>IF(CV155=0,0,1+COUNTIF(CW$3:CW154,"&gt;0"))</f>
        <v>0</v>
      </c>
      <c r="CX155" t="str">
        <f t="shared" si="152"/>
        <v/>
      </c>
      <c r="CY155" t="str">
        <f t="shared" si="124"/>
        <v/>
      </c>
      <c r="DA155">
        <f>IF(IF(OR(IFERROR(SEARCH("Cleric",$T155,1),0)&gt;0,IFERROR(SEARCH(DivineDomain&amp;",",$T155,1),0)&gt;0),1,0)*IF($C155=DA$2,1,0)=1,1+COUNTIF(DA$3:DA154,"&gt;0"),0)</f>
        <v>0</v>
      </c>
      <c r="DB155">
        <f>IF(IF(OR(IFERROR(SEARCH("Cleric",$T155,1),0)&gt;0,IFERROR(SEARCH(DivineDomain&amp;",",$T155,1),0)&gt;0),1,0)*IF($C155=DB$2,1,0)=1,1+COUNTIF(DB$3:DB154,"&gt;0"),0)</f>
        <v>0</v>
      </c>
      <c r="DC155">
        <f>IF(IF(OR(IFERROR(SEARCH("Cleric",$T155,1),0)&gt;0,IFERROR(SEARCH(DivineDomain&amp;",",$T155,1),0)&gt;0),1,0)*IF($C155=DC$2,1,0)=1,1+COUNTIF(DC$3:DC154,"&gt;0"),0)</f>
        <v>0</v>
      </c>
      <c r="DD155">
        <f>IF(IF(OR(IFERROR(SEARCH("Cleric",$T155,1),0)&gt;0,IFERROR(SEARCH(DivineDomain&amp;",",$T155,1),0)&gt;0),1,0)*IF($C155=DD$2,1,0)=1,1+COUNTIF(DD$3:DD154,"&gt;0"),0)</f>
        <v>0</v>
      </c>
      <c r="DE155">
        <f>IF(IF(OR(IFERROR(SEARCH("Cleric",$T155,1),0)&gt;0,IFERROR(SEARCH(DivineDomain&amp;",",$T155,1),0)&gt;0),1,0)*IF($C155=DE$2,1,0)=1,1+COUNTIF(DE$3:DE154,"&gt;0"),0)</f>
        <v>0</v>
      </c>
      <c r="DF155">
        <f>IF(IF(OR(IFERROR(SEARCH("Cleric",$T155,1),0)&gt;0,IFERROR(SEARCH(DivineDomain&amp;",",$T155,1),0)&gt;0),1,0)*IF($C155=DF$2,1,0)=1,1+COUNTIF(DF$3:DF154,"&gt;0"),0)</f>
        <v>0</v>
      </c>
      <c r="DG155">
        <f>IF(IF(OR(IFERROR(SEARCH("Cleric",$T155,1),0)&gt;0,IFERROR(SEARCH(DivineDomain&amp;",",$T155,1),0)&gt;0),1,0)*IF($C155=DG$2,1,0)=1,1+COUNTIF(DG$3:DG154,"&gt;0"),0)</f>
        <v>0</v>
      </c>
      <c r="DH155">
        <f>IF(IF(OR(IFERROR(SEARCH("Cleric",$T155,1),0)&gt;0,IFERROR(SEARCH(DivineDomain&amp;",",$T155,1),0)&gt;0),1,0)*IF($C155=DH$2,1,0)=1,1+COUNTIF(DH$3:DH154,"&gt;0"),0)</f>
        <v>0</v>
      </c>
      <c r="DI155">
        <f>IF(IF(OR(IFERROR(SEARCH("Cleric",$T155,1),0)&gt;0,IFERROR(SEARCH(DivineDomain&amp;",",$T155,1),0)&gt;0),1,0)*IF($C155=DI$2,1,0)=1,1+COUNTIF(DI$3:DI154,"&gt;0"),0)</f>
        <v>2</v>
      </c>
      <c r="DJ155">
        <f>IF(IF(OR(IFERROR(SEARCH("Druid",$T155,1),0)&gt;0,IFERROR(SEARCH(DruidLand1,$T155,1),0)&gt;0,IFERROR(SEARCH(DruidLand2,$T155,1),0)&gt;0,IFERROR(SEARCH(DruidLand3,$T155,1),0)&gt;0,IFERROR(SEARCH(DruidLand4,$T155,1),0)&gt;0),1,0)*IF($C155=1,1,0)*IF($C155=DJ$2,1,0)=0,0,1+COUNTIF(DJ$3:DJ154,"&gt;0"))</f>
        <v>0</v>
      </c>
      <c r="DK155">
        <f>IF(IF(OR(IFERROR(SEARCH("Druid",$T155,1),0)&gt;0,IFERROR(SEARCH(DruidLand1,$T155,1),0)&gt;0,IFERROR(SEARCH(DruidLand2,$T155,1),0)&gt;0,IFERROR(SEARCH(DruidLand3,$T155,1),0)&gt;0,IFERROR(SEARCH(DruidLand4,$T155,1),0)&gt;0),1,0)*IF($C155=1,1,0)*IF($C155=DK$2,1,0)=0,0,1+COUNTIF(DK$3:DK154,"&gt;0"))</f>
        <v>0</v>
      </c>
      <c r="DL155">
        <f>IF(IF(OR(IFERROR(SEARCH("Druid",$T155,1),0)&gt;0,IFERROR(SEARCH(DruidLand1,$T155,1),0)&gt;0,IFERROR(SEARCH(DruidLand2,$T155,1),0)&gt;0,IFERROR(SEARCH(DruidLand3,$T155,1),0)&gt;0,IFERROR(SEARCH(DruidLand4,$T155,1),0)&gt;0),1,0)*IF($C155=1,1,0)*IF($C155=DL$2,1,0)=0,0,1+COUNTIF(DL$3:DL154,"&gt;0"))</f>
        <v>0</v>
      </c>
      <c r="DM155">
        <f>IF(IF(OR(IFERROR(SEARCH("Druid",$T155,1),0)&gt;0,IFERROR(SEARCH(DruidLand1,$T155,1),0)&gt;0,IFERROR(SEARCH(DruidLand2,$T155,1),0)&gt;0,IFERROR(SEARCH(DruidLand3,$T155,1),0)&gt;0,IFERROR(SEARCH(DruidLand4,$T155,1),0)&gt;0),1,0)*IF($C155=1,1,0)*IF($C155=DM$2,1,0)=0,0,1+COUNTIF(DM$3:DM154,"&gt;0"))</f>
        <v>0</v>
      </c>
      <c r="DN155">
        <f>IF(IF(OR(IFERROR(SEARCH("Druid",$T155,1),0)&gt;0,IFERROR(SEARCH(DruidLand1,$T155,1),0)&gt;0,IFERROR(SEARCH(DruidLand2,$T155,1),0)&gt;0,IFERROR(SEARCH(DruidLand3,$T155,1),0)&gt;0,IFERROR(SEARCH(DruidLand4,$T155,1),0)&gt;0),1,0)*IF($C155=1,1,0)*IF($C155=DN$2,1,0)=0,0,1+COUNTIF(DN$3:DN154,"&gt;0"))</f>
        <v>0</v>
      </c>
      <c r="DO155">
        <f>IF(IF(OR(IFERROR(SEARCH("Druid",$T155,1),0)&gt;0,IFERROR(SEARCH(DruidLand1,$T155,1),0)&gt;0,IFERROR(SEARCH(DruidLand2,$T155,1),0)&gt;0,IFERROR(SEARCH(DruidLand3,$T155,1),0)&gt;0,IFERROR(SEARCH(DruidLand4,$T155,1),0)&gt;0),1,0)*IF($C155=1,1,0)*IF($C155=DO$2,1,0)=0,0,1+COUNTIF(DO$3:DO154,"&gt;0"))</f>
        <v>0</v>
      </c>
      <c r="DP155">
        <f>IF(IF(OR(IFERROR(SEARCH("Druid",$T155,1),0)&gt;0,IFERROR(SEARCH(DruidLand1,$T155,1),0)&gt;0,IFERROR(SEARCH(DruidLand2,$T155,1),0)&gt;0,IFERROR(SEARCH(DruidLand3,$T155,1),0)&gt;0,IFERROR(SEARCH(DruidLand4,$T155,1),0)&gt;0),1,0)*IF($C155=1,1,0)*IF($C155=DP$2,1,0)=0,0,1+COUNTIF(DP$3:DP154,"&gt;0"))</f>
        <v>0</v>
      </c>
      <c r="DQ155">
        <f>IF(IF(OR(IFERROR(SEARCH("Druid",$T155,1),0)&gt;0,IFERROR(SEARCH(DruidLand1,$T155,1),0)&gt;0,IFERROR(SEARCH(DruidLand2,$T155,1),0)&gt;0,IFERROR(SEARCH(DruidLand3,$T155,1),0)&gt;0,IFERROR(SEARCH(DruidLand4,$T155,1),0)&gt;0),1,0)*IF($C155=1,1,0)*IF($C155=DQ$2,1,0)=0,0,1+COUNTIF(DQ$3:DQ154,"&gt;0"))</f>
        <v>0</v>
      </c>
      <c r="DR155">
        <f>IF(IF(OR(IFERROR(SEARCH("Druid",$T155,1),0)&gt;0,IFERROR(SEARCH(DruidLand1,$T155,1),0)&gt;0,IFERROR(SEARCH(DruidLand2,$T155,1),0)&gt;0,IFERROR(SEARCH(DruidLand3,$T155,1),0)&gt;0,IFERROR(SEARCH(DruidLand4,$T155,1),0)&gt;0),1,0)*IF($C155=1,1,0)*IF($C155=DR$2,1,0)=0,0,1+COUNTIF(DR$3:DR154,"&gt;0"))</f>
        <v>0</v>
      </c>
      <c r="DS155">
        <f>IF(IF(OR(IFERROR(SEARCH("Paladin",$T155,1),0)&gt;0,IFERROR(SEARCH(PaladinOath,$T155,1),0)&gt;0),1,0)*IF($C155=DS$2,1,0)=1,1+COUNTIF(DS$3:DS154,"&gt;0"),0)</f>
        <v>0</v>
      </c>
      <c r="DT155">
        <f>IF(IF(OR(IFERROR(SEARCH("Paladin",$T155,1),0)&gt;0,IFERROR(SEARCH(PaladinOath,$T155,1),0)&gt;0),1,0)*IF($C155=DT$2,1,0)=1,1+COUNTIF(DT$3:DT154,"&gt;0"),0)</f>
        <v>0</v>
      </c>
      <c r="DU155">
        <f>IF(IF(OR(IFERROR(SEARCH("Paladin",$T155,1),0)&gt;0,IFERROR(SEARCH(PaladinOath,$T155,1),0)&gt;0),1,0)*IF($C155=DU$2,1,0)=1,1+COUNTIF(DU$3:DU154,"&gt;0"),0)</f>
        <v>0</v>
      </c>
      <c r="DV155">
        <f>IF(IF(OR(IFERROR(SEARCH("Paladin",$T155,1),0)&gt;0,IFERROR(SEARCH(PaladinOath,$T155,1),0)&gt;0),1,0)*IF($C155=DV$2,1,0)=1,1+COUNTIF(DV$3:DV154,"&gt;0"),0)</f>
        <v>0</v>
      </c>
      <c r="DW155">
        <f>IF(IF(OR(IFERROR(SEARCH("Paladin",$T155,1),0)&gt;0,IFERROR(SEARCH(PaladinOath,$T155,1),0)&gt;0),1,0)*IF($C155=DW$2,1,0)=1,1+COUNTIF(DW$3:DW154,"&gt;0"),0)</f>
        <v>0</v>
      </c>
      <c r="DY155">
        <f t="shared" si="111"/>
        <v>1</v>
      </c>
      <c r="DZ155">
        <f>IF(DY155=0,0,1+MAX(DZ$3:$DZ154))</f>
        <v>153</v>
      </c>
      <c r="EB155">
        <f t="shared" si="125"/>
        <v>0</v>
      </c>
      <c r="EC155">
        <f>IF(EB155=0,0,1+COUNTIF(EC$3:EC154,"&gt;0"))</f>
        <v>0</v>
      </c>
      <c r="ED155" t="str">
        <f t="shared" si="153"/>
        <v/>
      </c>
      <c r="EE155" t="str">
        <f t="shared" si="126"/>
        <v/>
      </c>
      <c r="EG155">
        <f t="shared" si="127"/>
        <v>0</v>
      </c>
      <c r="EH155">
        <f>IF(EG155=0,0,1+COUNTIF(EH$3:EH154,"&gt;0"))</f>
        <v>0</v>
      </c>
      <c r="EI155" t="str">
        <f t="shared" si="154"/>
        <v/>
      </c>
      <c r="EJ155" t="str">
        <f t="shared" si="128"/>
        <v/>
      </c>
      <c r="EL155">
        <f t="shared" si="129"/>
        <v>0</v>
      </c>
      <c r="EM155">
        <f>IF(EL155=0,0,1+COUNTIF(EM$3:EM154,"&gt;0"))</f>
        <v>0</v>
      </c>
      <c r="EN155" t="str">
        <f t="shared" si="155"/>
        <v/>
      </c>
      <c r="EO155" t="str">
        <f t="shared" si="130"/>
        <v/>
      </c>
      <c r="EQ155">
        <f t="shared" si="131"/>
        <v>0</v>
      </c>
      <c r="ER155">
        <f>IF(EQ155=0,0,1+COUNTIF(ER$3:ER154,"&gt;0"))</f>
        <v>0</v>
      </c>
      <c r="ES155" t="str">
        <f t="shared" si="156"/>
        <v/>
      </c>
      <c r="ET155" t="str">
        <f t="shared" si="132"/>
        <v/>
      </c>
      <c r="EV155">
        <f t="shared" si="133"/>
        <v>0</v>
      </c>
      <c r="EW155">
        <f>IF(EV155=0,0,1+COUNTIF(EW$3:EW154,"&gt;0"))</f>
        <v>0</v>
      </c>
      <c r="EX155" t="str">
        <f t="shared" si="157"/>
        <v/>
      </c>
      <c r="EY155" t="str">
        <f t="shared" si="134"/>
        <v/>
      </c>
      <c r="FA155">
        <f t="shared" si="135"/>
        <v>0</v>
      </c>
      <c r="FB155">
        <f>IF(FA155=0,0,1+COUNTIF(FB$3:FB154,"&gt;0"))</f>
        <v>0</v>
      </c>
      <c r="FC155" t="str">
        <f t="shared" si="158"/>
        <v/>
      </c>
      <c r="FD155" t="str">
        <f t="shared" si="136"/>
        <v/>
      </c>
      <c r="FF155">
        <f t="shared" si="137"/>
        <v>0</v>
      </c>
      <c r="FG155">
        <f>IF(FF155=0,0,1+COUNTIF(FG$3:FG154,"&gt;0"))</f>
        <v>0</v>
      </c>
      <c r="FH155" t="str">
        <f t="shared" si="159"/>
        <v/>
      </c>
      <c r="FI155" t="str">
        <f t="shared" si="138"/>
        <v/>
      </c>
      <c r="FK155">
        <f t="shared" si="139"/>
        <v>0</v>
      </c>
      <c r="FL155">
        <f>IF(FK155=0,0,1+COUNTIF(FL$3:FL154,"&gt;0"))</f>
        <v>0</v>
      </c>
      <c r="FM155" t="str">
        <f t="shared" si="160"/>
        <v/>
      </c>
      <c r="FN155" t="str">
        <f t="shared" si="140"/>
        <v/>
      </c>
      <c r="FP155">
        <f t="shared" si="141"/>
        <v>0</v>
      </c>
      <c r="FQ155">
        <f>IF(FP155=0,0,1+COUNTIF(FQ$3:FQ154,"&gt;0"))</f>
        <v>0</v>
      </c>
      <c r="FR155" t="str">
        <f t="shared" si="161"/>
        <v/>
      </c>
      <c r="FS155" t="str">
        <f t="shared" si="142"/>
        <v/>
      </c>
    </row>
    <row r="156" spans="1:175" x14ac:dyDescent="0.25">
      <c r="A156" s="347">
        <f t="shared" si="162"/>
        <v>154</v>
      </c>
      <c r="B156" s="348" t="s">
        <v>2527</v>
      </c>
      <c r="C156" s="348">
        <v>5</v>
      </c>
      <c r="D156" s="347">
        <v>5</v>
      </c>
      <c r="E156" s="627" t="s">
        <v>6952</v>
      </c>
      <c r="F156" s="346"/>
      <c r="G156" s="347" t="str">
        <f>""</f>
        <v/>
      </c>
      <c r="H156" s="347" t="s">
        <v>5288</v>
      </c>
      <c r="I156" s="347" t="s">
        <v>424</v>
      </c>
      <c r="J156" s="347" t="str">
        <f t="shared" si="112"/>
        <v/>
      </c>
      <c r="K156" s="347" t="s">
        <v>2528</v>
      </c>
      <c r="L156" s="611" t="str">
        <f t="shared" si="113"/>
        <v>V</v>
      </c>
      <c r="M156" s="347" t="s">
        <v>2373</v>
      </c>
      <c r="N156" s="347" t="s">
        <v>3034</v>
      </c>
      <c r="O156" s="347" t="s">
        <v>3034</v>
      </c>
      <c r="P156" s="346" t="str">
        <f>""</f>
        <v/>
      </c>
      <c r="Q156" s="347" t="s">
        <v>5272</v>
      </c>
      <c r="S156" s="346" t="s">
        <v>5710</v>
      </c>
      <c r="T156" s="346" t="str">
        <f t="shared" si="114"/>
        <v xml:space="preserve">Bard, Paladin, Cleric, Druid, Arcane Trickster, Wizard, </v>
      </c>
      <c r="U156" s="347" t="str">
        <f>$B156</f>
        <v>Geas</v>
      </c>
      <c r="V156" s="347" t="str">
        <f>$B156</f>
        <v>Geas</v>
      </c>
      <c r="Z156" s="347" t="str">
        <f>$B156</f>
        <v>Geas</v>
      </c>
      <c r="AA156" s="347" t="str">
        <f>$B156</f>
        <v>Geas</v>
      </c>
      <c r="AC156" s="539" t="str">
        <f>B156</f>
        <v>Geas</v>
      </c>
      <c r="AD156" s="347" t="str">
        <f>$B156</f>
        <v>Geas</v>
      </c>
      <c r="AE156" t="str">
        <f>IF(IFERROR(MATCH($B156,temp!A$4:A$13,0),0)&gt;0,T08_Spells!AE$2,"")</f>
        <v/>
      </c>
      <c r="AF156" t="str">
        <f>IF(IFERROR(MATCH($B156,temp!B$4:B$13,0),0)&gt;0,T08_Spells!AF$2,"")</f>
        <v/>
      </c>
      <c r="AG156" t="str">
        <f>IF(IFERROR(MATCH($B156,temp!C$4:C$13,0),0)&gt;0,T08_Spells!AG$2,"")</f>
        <v/>
      </c>
      <c r="AH156" t="str">
        <f>IF(IFERROR(MATCH($B156,temp!D$4:D$13,0),0)&gt;0,T08_Spells!AH$2,"")</f>
        <v/>
      </c>
      <c r="AI156" t="str">
        <f>IF(IFERROR(MATCH($B156,temp!E$4:E$13,0),0)&gt;0,T08_Spells!AI$2,"")</f>
        <v/>
      </c>
      <c r="AJ156" t="str">
        <f>IF(IFERROR(MATCH($B156,temp!F$4:F$13,0),0)&gt;0,T08_Spells!AJ$2,"")</f>
        <v/>
      </c>
      <c r="AK156" t="str">
        <f>IF(IFERROR(MATCH($B156,temp!G$4:G$13,0),0)&gt;0,T08_Spells!AK$2,"")</f>
        <v/>
      </c>
      <c r="AL156" t="str">
        <f>IF(IFERROR(MATCH($B156,temp!H$4:H$13,0),0)&gt;0,T08_Spells!AL$2,"")</f>
        <v/>
      </c>
      <c r="AM156" t="str">
        <f>IF(IFERROR(MATCH($B156,temp!I$4:I$13,0),0)&gt;0,T08_Spells!AM$2,"")</f>
        <v/>
      </c>
      <c r="AN156" t="str">
        <f>IF(IFERROR(MATCH($B156,temp!J$4:J$13,0),0)&gt;0,T08_Spells!AN$2,"")</f>
        <v/>
      </c>
      <c r="AO156" t="str">
        <f>IF(IFERROR(MATCH($B156,temp!K$4:K$13,0),0)&gt;0,T08_Spells!AO$2,"")</f>
        <v/>
      </c>
      <c r="AP156" t="str">
        <f>IF(IFERROR(MATCH($B156,temp!L$4:L$13,0),0)&gt;0,T08_Spells!AP$2,"")</f>
        <v/>
      </c>
      <c r="AQ156" t="str">
        <f>IF(IFERROR(MATCH($B156,temp!M$4:M$13,0),0)&gt;0,T08_Spells!AQ$2,"")</f>
        <v/>
      </c>
      <c r="AR156" t="str">
        <f>IF(IFERROR(MATCH($B156,temp!N$4:N$13,0),0)&gt;0,T08_Spells!AR$2,"")</f>
        <v/>
      </c>
      <c r="AS156" t="str">
        <f>IF(IFERROR(MATCH($B156,temp!O$4:O$13,0),0)&gt;0,T08_Spells!AS$2,"")</f>
        <v/>
      </c>
      <c r="AT156" t="str">
        <f>IF(IFERROR(MATCH($B156,temp!P$4:P$13,0),0)&gt;0,T08_Spells!AT$2,"")</f>
        <v/>
      </c>
      <c r="AU156" t="str">
        <f>IF(IFERROR(MATCH($B156,temp!Q$4:Q$13,0),0)&gt;0,T08_Spells!AU$2,"")</f>
        <v/>
      </c>
      <c r="AV156" t="str">
        <f>IF(IFERROR(MATCH($B156,temp!R$4:R$13,0),0)&gt;0,T08_Spells!AV$2,"")</f>
        <v/>
      </c>
      <c r="AW156" t="str">
        <f>IF(IFERROR(MATCH($B156,temp!S$4:S$13,0),0)&gt;0,T08_Spells!AW$2,"")</f>
        <v/>
      </c>
      <c r="AX156" t="str">
        <f>IF(IFERROR(MATCH($B156,temp!T$4:T$13,0),0)&gt;0,T08_Spells!AX$2,"")</f>
        <v/>
      </c>
      <c r="AY156" t="str">
        <f>IF(IFERROR(MATCH($B156,temp!U$4:U$13,0),0)&gt;0,T08_Spells!AY$2,"")</f>
        <v/>
      </c>
      <c r="AZ156" t="str">
        <f>IF(IFERROR(MATCH($B156,temp!V$4:V$13,0),0)&gt;0,T08_Spells!AZ$2,"")</f>
        <v/>
      </c>
      <c r="BA156" t="str">
        <f>IF(IFERROR(MATCH($B156,temp!W$4:W$13,0),0)&gt;0,T08_Spells!BA$2,"")</f>
        <v/>
      </c>
      <c r="BC156">
        <f>IF(IFERROR(SEARCH("Ranger",$T156,1),0)&gt;0,1,0)*IF(RangerMaxSpellLevel&gt;=$C156,1,0)*IF(IFERROR(MATCH(B156,Character_Creation!$X$79:$X$382,0),0)&gt;0,0,1)</f>
        <v>0</v>
      </c>
      <c r="BD156">
        <f>IF(BC156=0,0,1+COUNTIF(BD$3:BD155,"&gt;0"))</f>
        <v>0</v>
      </c>
      <c r="BE156" t="str">
        <f t="shared" si="143"/>
        <v/>
      </c>
      <c r="BF156" t="str">
        <f t="shared" si="115"/>
        <v/>
      </c>
      <c r="BH156">
        <f>IF(IFERROR(SEARCH("Sorcerer",$T156,1),0)&gt;0,1,0)*IF(SorcererMaxSpellLevel&gt;=$C156,1,0)*IF(IFERROR(MATCH(B156,Character_Creation!$J$380:$J$394,0),0)&gt;0,0,1)</f>
        <v>0</v>
      </c>
      <c r="BI156">
        <f>IF(BH156=0,0,1+COUNTIF(BI$3:BI155,"&gt;0"))</f>
        <v>0</v>
      </c>
      <c r="BJ156" t="str">
        <f t="shared" si="144"/>
        <v/>
      </c>
      <c r="BK156" t="str">
        <f t="shared" si="116"/>
        <v/>
      </c>
      <c r="BM156">
        <f>IF(OR(IFERROR(SEARCH("Warlock",$T156,1),0)&gt;0,IFERROR(SEARCH(WarlockPatron,$T156,1),0)&gt;0),1,0)*IF(WarlockMaxSpellLevel&gt;=$C156,1,0)*IF(IFERROR(MATCH(B156,Character_Creation!$J$361:$J$375,0),0)&gt;0,0,1)</f>
        <v>0</v>
      </c>
      <c r="BN156">
        <f>IF(BM156=0,0,1+COUNTIF(BN$3:BN155,"&gt;0"))</f>
        <v>0</v>
      </c>
      <c r="BO156" t="str">
        <f t="shared" si="145"/>
        <v/>
      </c>
      <c r="BP156" t="str">
        <f t="shared" si="117"/>
        <v/>
      </c>
      <c r="BR156">
        <f>IF(IFERROR(SEARCH("Eldritch Knight",$T156,1),0)&gt;0,1,0)*IF(EldritchKnightMaxSpellLevel&gt;=$C156,1,0)*IF(IFERROR(MATCH($B156,Character_Creation!$J$350:$J$356,0),0)&gt;0,0,1)*IF(Character_Creation!$M$338&gt;0,1,0)</f>
        <v>0</v>
      </c>
      <c r="BS156">
        <f>IF(BR156=0,0,1+COUNTIF(BS$3:BS155,"&gt;0"))</f>
        <v>0</v>
      </c>
      <c r="BT156" t="str">
        <f t="shared" si="146"/>
        <v/>
      </c>
      <c r="BU156" t="str">
        <f t="shared" si="118"/>
        <v/>
      </c>
      <c r="BW156">
        <f>IF(IFERROR(SEARCH("Arcane Trickster",$T156,1),0)&gt;0,1,0)*IF(ArcaneTricksterMaxSpellLevel&gt;=$C156,1,0)*IF(IFERROR(MATCH($B156,Character_Creation!$J$350:$J$356,0),0)&gt;0,0,1)*IF(Character_Creation!$T$338&gt;0,1,0)</f>
        <v>0</v>
      </c>
      <c r="BX156">
        <f>IF(BW156=0,0,1+COUNTIF(BX$3:BX155,"&gt;0"))</f>
        <v>0</v>
      </c>
      <c r="BY156" t="str">
        <f t="shared" si="147"/>
        <v/>
      </c>
      <c r="BZ156" t="str">
        <f t="shared" si="119"/>
        <v/>
      </c>
      <c r="CB156">
        <f>IF(IFERROR(SEARCH("Wizard",$T156,1),0)&gt;0,1,0)*IF(C156&lt;=ArcaneTricksterMaxSpellLevel,1,0)*IF(IFERROR(MATCH($B156,Character_Creation!$J$350:$J$356,0),0)&gt;0,0,1)*IF(Character_Creation!$T$350&gt;0,1,0)</f>
        <v>0</v>
      </c>
      <c r="CC156">
        <f>IF(CB156=0,0,1+COUNTIF(CC$3:CC155,"&gt;0"))</f>
        <v>0</v>
      </c>
      <c r="CD156" t="str">
        <f t="shared" si="148"/>
        <v/>
      </c>
      <c r="CE156" t="str">
        <f t="shared" si="120"/>
        <v/>
      </c>
      <c r="CG156">
        <f>IF(IFERROR(SEARCH("Wizard",$T156,1),0)&gt;0,1,0)*IF($C156&lt;=EldritchKnightMaxSpellLevel,1,0)*IF(IFERROR(MATCH($B156,Character_Creation!$J$350:$J$356,0),0)&gt;0,0,1)*IF(Character_Creation!$M$350&gt;0,1,0)</f>
        <v>0</v>
      </c>
      <c r="CH156">
        <f>IF(CG156=0,0,1+COUNTIF(CH$3:CH155,"&gt;0"))</f>
        <v>0</v>
      </c>
      <c r="CI156" t="str">
        <f t="shared" si="149"/>
        <v/>
      </c>
      <c r="CJ156" t="str">
        <f t="shared" si="121"/>
        <v/>
      </c>
      <c r="CL156">
        <f>IF(IFERROR(SEARCH("Bard",$T156,1),0)&gt;0,1,0)*IF(BardMaxSpellLevel&gt;=$C156,1,0)*IF(IFERROR(MATCH(B156,Character_Creation!$C$341:$F$362,0),0)&gt;0,0,1)*IF(IFERROR(MATCH($B156,Character_Creation!$C$341:$C$362,0),0)&gt;0,0,1)</f>
        <v>0</v>
      </c>
      <c r="CM156">
        <f>IF(CL156=0,0,1+COUNTIF(CM$3:CM155,"&gt;0"))</f>
        <v>0</v>
      </c>
      <c r="CN156" t="str">
        <f t="shared" si="150"/>
        <v/>
      </c>
      <c r="CO156" t="str">
        <f t="shared" si="122"/>
        <v/>
      </c>
      <c r="CQ156">
        <f>IF(IFERROR(SEARCH("Wizard",$T156,1),0)&gt;0,1,0)*IF(WizardMaxSpellLevel&gt;=$C156,1,0)*IF(IFERROR(MATCH(B156,Character_Creation!$X$341:$X$400,0),0)&gt;0,0,1)*IF(SelectedWizardSpellLevel=$C156,1,0)</f>
        <v>0</v>
      </c>
      <c r="CR156">
        <f>IF(CQ156=0,0,1+COUNTIF(CR$3:CR155,"&gt;0"))</f>
        <v>0</v>
      </c>
      <c r="CS156" t="str">
        <f t="shared" si="151"/>
        <v/>
      </c>
      <c r="CT156" t="str">
        <f t="shared" si="123"/>
        <v/>
      </c>
      <c r="CV156">
        <f>IF(IFERROR(MATCH($B156,Character_Creation!$C$341:$C$362,0),0)&gt;0,0,1)*IF(OR(C156="Cantrip",C156&lt;=BardMaxSpellLevel),1,0)*IF(IFERROR(MATCH($B156,Character_Creation!$C$367:$C$374,0),0)&gt;0,0,1)</f>
        <v>0</v>
      </c>
      <c r="CW156">
        <f>IF(CV156=0,0,1+COUNTIF(CW$3:CW155,"&gt;0"))</f>
        <v>0</v>
      </c>
      <c r="CX156" t="str">
        <f t="shared" si="152"/>
        <v/>
      </c>
      <c r="CY156" t="str">
        <f t="shared" si="124"/>
        <v/>
      </c>
      <c r="DA156">
        <f>IF(IF(OR(IFERROR(SEARCH("Cleric",$T156,1),0)&gt;0,IFERROR(SEARCH(DivineDomain&amp;",",$T156,1),0)&gt;0),1,0)*IF($C156=DA$2,1,0)=1,1+COUNTIF(DA$3:DA155,"&gt;0"),0)</f>
        <v>0</v>
      </c>
      <c r="DB156">
        <f>IF(IF(OR(IFERROR(SEARCH("Cleric",$T156,1),0)&gt;0,IFERROR(SEARCH(DivineDomain&amp;",",$T156,1),0)&gt;0),1,0)*IF($C156=DB$2,1,0)=1,1+COUNTIF(DB$3:DB155,"&gt;0"),0)</f>
        <v>0</v>
      </c>
      <c r="DC156">
        <f>IF(IF(OR(IFERROR(SEARCH("Cleric",$T156,1),0)&gt;0,IFERROR(SEARCH(DivineDomain&amp;",",$T156,1),0)&gt;0),1,0)*IF($C156=DC$2,1,0)=1,1+COUNTIF(DC$3:DC155,"&gt;0"),0)</f>
        <v>0</v>
      </c>
      <c r="DD156">
        <f>IF(IF(OR(IFERROR(SEARCH("Cleric",$T156,1),0)&gt;0,IFERROR(SEARCH(DivineDomain&amp;",",$T156,1),0)&gt;0),1,0)*IF($C156=DD$2,1,0)=1,1+COUNTIF(DD$3:DD155,"&gt;0"),0)</f>
        <v>0</v>
      </c>
      <c r="DE156">
        <f>IF(IF(OR(IFERROR(SEARCH("Cleric",$T156,1),0)&gt;0,IFERROR(SEARCH(DivineDomain&amp;",",$T156,1),0)&gt;0),1,0)*IF($C156=DE$2,1,0)=1,1+COUNTIF(DE$3:DE155,"&gt;0"),0)</f>
        <v>5</v>
      </c>
      <c r="DF156">
        <f>IF(IF(OR(IFERROR(SEARCH("Cleric",$T156,1),0)&gt;0,IFERROR(SEARCH(DivineDomain&amp;",",$T156,1),0)&gt;0),1,0)*IF($C156=DF$2,1,0)=1,1+COUNTIF(DF$3:DF155,"&gt;0"),0)</f>
        <v>0</v>
      </c>
      <c r="DG156">
        <f>IF(IF(OR(IFERROR(SEARCH("Cleric",$T156,1),0)&gt;0,IFERROR(SEARCH(DivineDomain&amp;",",$T156,1),0)&gt;0),1,0)*IF($C156=DG$2,1,0)=1,1+COUNTIF(DG$3:DG155,"&gt;0"),0)</f>
        <v>0</v>
      </c>
      <c r="DH156">
        <f>IF(IF(OR(IFERROR(SEARCH("Cleric",$T156,1),0)&gt;0,IFERROR(SEARCH(DivineDomain&amp;",",$T156,1),0)&gt;0),1,0)*IF($C156=DH$2,1,0)=1,1+COUNTIF(DH$3:DH155,"&gt;0"),0)</f>
        <v>0</v>
      </c>
      <c r="DI156">
        <f>IF(IF(OR(IFERROR(SEARCH("Cleric",$T156,1),0)&gt;0,IFERROR(SEARCH(DivineDomain&amp;",",$T156,1),0)&gt;0),1,0)*IF($C156=DI$2,1,0)=1,1+COUNTIF(DI$3:DI155,"&gt;0"),0)</f>
        <v>0</v>
      </c>
      <c r="DJ156">
        <f>IF(IF(OR(IFERROR(SEARCH("Druid",$T156,1),0)&gt;0,IFERROR(SEARCH(DruidLand1,$T156,1),0)&gt;0,IFERROR(SEARCH(DruidLand2,$T156,1),0)&gt;0,IFERROR(SEARCH(DruidLand3,$T156,1),0)&gt;0,IFERROR(SEARCH(DruidLand4,$T156,1),0)&gt;0),1,0)*IF($C156=1,1,0)*IF($C156=DJ$2,1,0)=0,0,1+COUNTIF(DJ$3:DJ155,"&gt;0"))</f>
        <v>0</v>
      </c>
      <c r="DK156">
        <f>IF(IF(OR(IFERROR(SEARCH("Druid",$T156,1),0)&gt;0,IFERROR(SEARCH(DruidLand1,$T156,1),0)&gt;0,IFERROR(SEARCH(DruidLand2,$T156,1),0)&gt;0,IFERROR(SEARCH(DruidLand3,$T156,1),0)&gt;0,IFERROR(SEARCH(DruidLand4,$T156,1),0)&gt;0),1,0)*IF($C156=DK$2,1,0)=0,0,1+COUNTIF(DK$3:DK155,"&gt;0"))</f>
        <v>0</v>
      </c>
      <c r="DL156">
        <f>IF(IF(OR(IFERROR(SEARCH("Druid",$T156,1),0)&gt;0,IFERROR(SEARCH(DruidLand1,$T156,1),0)&gt;0,IFERROR(SEARCH(DruidLand2,$T156,1),0)&gt;0,IFERROR(SEARCH(DruidLand3,$T156,1),0)&gt;0,IFERROR(SEARCH(DruidLand4,$T156,1),0)&gt;0),1,0)*IF($C156=DL$2,1,0)=0,0,1+COUNTIF(DL$3:DL155,"&gt;0"))</f>
        <v>0</v>
      </c>
      <c r="DM156">
        <f>IF(IF(OR(IFERROR(SEARCH("Druid",$T156,1),0)&gt;0,IFERROR(SEARCH(DruidLand1,$T156,1),0)&gt;0,IFERROR(SEARCH(DruidLand2,$T156,1),0)&gt;0,IFERROR(SEARCH(DruidLand3,$T156,1),0)&gt;0,IFERROR(SEARCH(DruidLand4,$T156,1),0)&gt;0),1,0)*IF($C156=DM$2,1,0)=0,0,1+COUNTIF(DM$3:DM155,"&gt;0"))</f>
        <v>0</v>
      </c>
      <c r="DN156">
        <f>IF(IF(OR(IFERROR(SEARCH("Druid",$T156,1),0)&gt;0,IFERROR(SEARCH(DruidLand1,$T156,1),0)&gt;0,IFERROR(SEARCH(DruidLand2,$T156,1),0)&gt;0,IFERROR(SEARCH(DruidLand3,$T156,1),0)&gt;0,IFERROR(SEARCH(DruidLand4,$T156,1),0)&gt;0),1,0)*IF($C156=DN$2,1,0)=0,0,1+COUNTIF(DN$3:DN155,"&gt;0"))</f>
        <v>6</v>
      </c>
      <c r="DO156">
        <f>IF(IF(OR(IFERROR(SEARCH("Druid",$T156,1),0)&gt;0,IFERROR(SEARCH(DruidLand1,$T156,1),0)&gt;0,IFERROR(SEARCH(DruidLand2,$T156,1),0)&gt;0,IFERROR(SEARCH(DruidLand3,$T156,1),0)&gt;0,IFERROR(SEARCH(DruidLand4,$T156,1),0)&gt;0),1,0)*IF($C156=DO$2,1,0)=0,0,1+COUNTIF(DO$3:DO155,"&gt;0"))</f>
        <v>0</v>
      </c>
      <c r="DP156">
        <f>IF(IF(OR(IFERROR(SEARCH("Druid",$T156,1),0)&gt;0,IFERROR(SEARCH(DruidLand1,$T156,1),0)&gt;0,IFERROR(SEARCH(DruidLand2,$T156,1),0)&gt;0,IFERROR(SEARCH(DruidLand3,$T156,1),0)&gt;0,IFERROR(SEARCH(DruidLand4,$T156,1),0)&gt;0),1,0)*IF($C156=DP$2,1,0)=0,0,1+COUNTIF(DP$3:DP155,"&gt;0"))</f>
        <v>0</v>
      </c>
      <c r="DQ156">
        <f>IF(IF(OR(IFERROR(SEARCH("Druid",$T156,1),0)&gt;0,IFERROR(SEARCH(DruidLand1,$T156,1),0)&gt;0,IFERROR(SEARCH(DruidLand2,$T156,1),0)&gt;0,IFERROR(SEARCH(DruidLand3,$T156,1),0)&gt;0,IFERROR(SEARCH(DruidLand4,$T156,1),0)&gt;0),1,0)*IF($C156=DQ$2,1,0)=0,0,1+COUNTIF(DQ$3:DQ155,"&gt;0"))</f>
        <v>0</v>
      </c>
      <c r="DR156">
        <f>IF(IF(OR(IFERROR(SEARCH("Druid",$T156,1),0)&gt;0,IFERROR(SEARCH(DruidLand1,$T156,1),0)&gt;0,IFERROR(SEARCH(DruidLand2,$T156,1),0)&gt;0,IFERROR(SEARCH(DruidLand3,$T156,1),0)&gt;0,IFERROR(SEARCH(DruidLand4,$T156,1),0)&gt;0),1,0)*IF($C156=DR$2,1,0)=0,0,1+COUNTIF(DR$3:DR155,"&gt;0"))</f>
        <v>0</v>
      </c>
      <c r="DS156">
        <f>IF(IF(OR(IFERROR(SEARCH("Paladin",$T156,1),0)&gt;0,IFERROR(SEARCH(PaladinOath,$T156,1),0)&gt;0),1,0)*IF($C156=DS$2,1,0)=1,1+COUNTIF(DS$3:DS155,"&gt;0"),0)</f>
        <v>0</v>
      </c>
      <c r="DT156">
        <f>IF(IF(OR(IFERROR(SEARCH("Paladin",$T156,1),0)&gt;0,IFERROR(SEARCH(PaladinOath,$T156,1),0)&gt;0),1,0)*IF($C156=DT$2,1,0)=1,1+COUNTIF(DT$3:DT155,"&gt;0"),0)</f>
        <v>0</v>
      </c>
      <c r="DU156">
        <f>IF(IF(OR(IFERROR(SEARCH("Paladin",$T156,1),0)&gt;0,IFERROR(SEARCH(PaladinOath,$T156,1),0)&gt;0),1,0)*IF($C156=DU$2,1,0)=1,1+COUNTIF(DU$3:DU155,"&gt;0"),0)</f>
        <v>0</v>
      </c>
      <c r="DV156">
        <f>IF(IF(OR(IFERROR(SEARCH("Paladin",$T156,1),0)&gt;0,IFERROR(SEARCH(PaladinOath,$T156,1),0)&gt;0),1,0)*IF($C156=DV$2,1,0)=1,1+COUNTIF(DV$3:DV155,"&gt;0"),0)</f>
        <v>0</v>
      </c>
      <c r="DW156">
        <f>IF(IF(OR(IFERROR(SEARCH("Paladin",$T156,1),0)&gt;0,IFERROR(SEARCH(PaladinOath,$T156,1),0)&gt;0),1,0)*IF($C156=DW$2,1,0)=1,1+COUNTIF(DW$3:DW155,"&gt;0"),0)</f>
        <v>5</v>
      </c>
      <c r="DY156">
        <f t="shared" si="111"/>
        <v>1</v>
      </c>
      <c r="DZ156">
        <f>IF(DY156=0,0,1+MAX(DZ$3:$DZ155))</f>
        <v>154</v>
      </c>
      <c r="EB156">
        <f t="shared" si="125"/>
        <v>0</v>
      </c>
      <c r="EC156">
        <f>IF(EB156=0,0,1+COUNTIF(EC$3:EC155,"&gt;0"))</f>
        <v>0</v>
      </c>
      <c r="ED156" t="str">
        <f t="shared" si="153"/>
        <v/>
      </c>
      <c r="EE156" t="str">
        <f t="shared" si="126"/>
        <v/>
      </c>
      <c r="EG156">
        <f t="shared" si="127"/>
        <v>0</v>
      </c>
      <c r="EH156">
        <f>IF(EG156=0,0,1+COUNTIF(EH$3:EH155,"&gt;0"))</f>
        <v>0</v>
      </c>
      <c r="EI156" t="str">
        <f t="shared" si="154"/>
        <v/>
      </c>
      <c r="EJ156" t="str">
        <f t="shared" si="128"/>
        <v/>
      </c>
      <c r="EL156">
        <f t="shared" si="129"/>
        <v>0</v>
      </c>
      <c r="EM156">
        <f>IF(EL156=0,0,1+COUNTIF(EM$3:EM155,"&gt;0"))</f>
        <v>0</v>
      </c>
      <c r="EN156" t="str">
        <f t="shared" si="155"/>
        <v/>
      </c>
      <c r="EO156" t="str">
        <f t="shared" si="130"/>
        <v/>
      </c>
      <c r="EQ156">
        <f t="shared" si="131"/>
        <v>0</v>
      </c>
      <c r="ER156">
        <f>IF(EQ156=0,0,1+COUNTIF(ER$3:ER155,"&gt;0"))</f>
        <v>0</v>
      </c>
      <c r="ES156" t="str">
        <f t="shared" si="156"/>
        <v/>
      </c>
      <c r="ET156" t="str">
        <f t="shared" si="132"/>
        <v/>
      </c>
      <c r="EV156">
        <f t="shared" si="133"/>
        <v>0</v>
      </c>
      <c r="EW156">
        <f>IF(EV156=0,0,1+COUNTIF(EW$3:EW155,"&gt;0"))</f>
        <v>0</v>
      </c>
      <c r="EX156" t="str">
        <f t="shared" si="157"/>
        <v/>
      </c>
      <c r="EY156" t="str">
        <f t="shared" si="134"/>
        <v/>
      </c>
      <c r="FA156">
        <f t="shared" si="135"/>
        <v>0</v>
      </c>
      <c r="FB156">
        <f>IF(FA156=0,0,1+COUNTIF(FB$3:FB155,"&gt;0"))</f>
        <v>0</v>
      </c>
      <c r="FC156" t="str">
        <f t="shared" si="158"/>
        <v/>
      </c>
      <c r="FD156" t="str">
        <f t="shared" si="136"/>
        <v/>
      </c>
      <c r="FF156">
        <f t="shared" si="137"/>
        <v>0</v>
      </c>
      <c r="FG156">
        <f>IF(FF156=0,0,1+COUNTIF(FG$3:FG155,"&gt;0"))</f>
        <v>0</v>
      </c>
      <c r="FH156" t="str">
        <f t="shared" si="159"/>
        <v/>
      </c>
      <c r="FI156" t="str">
        <f t="shared" si="138"/>
        <v/>
      </c>
      <c r="FK156">
        <f t="shared" si="139"/>
        <v>0</v>
      </c>
      <c r="FL156">
        <f>IF(FK156=0,0,1+COUNTIF(FL$3:FL155,"&gt;0"))</f>
        <v>0</v>
      </c>
      <c r="FM156" t="str">
        <f t="shared" si="160"/>
        <v/>
      </c>
      <c r="FN156" t="str">
        <f t="shared" si="140"/>
        <v/>
      </c>
      <c r="FP156">
        <f t="shared" si="141"/>
        <v>0</v>
      </c>
      <c r="FQ156">
        <f>IF(FP156=0,0,1+COUNTIF(FQ$3:FQ155,"&gt;0"))</f>
        <v>0</v>
      </c>
      <c r="FR156" t="str">
        <f t="shared" si="161"/>
        <v/>
      </c>
      <c r="FS156" t="str">
        <f t="shared" si="142"/>
        <v/>
      </c>
    </row>
    <row r="157" spans="1:175" x14ac:dyDescent="0.25">
      <c r="A157" s="347">
        <f>A156+1</f>
        <v>155</v>
      </c>
      <c r="B157" s="348" t="s">
        <v>2529</v>
      </c>
      <c r="C157" s="348">
        <v>2</v>
      </c>
      <c r="D157" s="347">
        <v>2</v>
      </c>
      <c r="E157" s="627" t="s">
        <v>6952</v>
      </c>
      <c r="F157" s="346"/>
      <c r="G157" s="347" t="s">
        <v>5269</v>
      </c>
      <c r="H157" s="347" t="s">
        <v>5913</v>
      </c>
      <c r="I157" s="347" t="s">
        <v>5298</v>
      </c>
      <c r="J157" s="347" t="str">
        <f t="shared" si="112"/>
        <v/>
      </c>
      <c r="K157" s="347" t="s">
        <v>2364</v>
      </c>
      <c r="L157" s="611" t="str">
        <f t="shared" si="113"/>
        <v>V, S, M, a pinch of salt and one copper piece placed on each of the corpse’s eyes, which must remain there for the duration</v>
      </c>
      <c r="M157" s="347" t="s">
        <v>2373</v>
      </c>
      <c r="N157" s="347" t="s">
        <v>2387</v>
      </c>
      <c r="O157" s="347" t="s">
        <v>1244</v>
      </c>
      <c r="P157" s="346" t="s">
        <v>5385</v>
      </c>
      <c r="Q157" s="347" t="s">
        <v>5275</v>
      </c>
      <c r="S157" s="346" t="s">
        <v>5711</v>
      </c>
      <c r="T157" s="346" t="str">
        <f t="shared" si="114"/>
        <v xml:space="preserve">Cleric, Wizard, </v>
      </c>
      <c r="Z157" s="347" t="str">
        <f>$B157</f>
        <v>Gentle Repose</v>
      </c>
      <c r="AD157" s="347" t="str">
        <f>$B157</f>
        <v>Gentle Repose</v>
      </c>
      <c r="AE157" t="str">
        <f>IF(IFERROR(MATCH($B157,temp!A$4:A$13,0),0)&gt;0,T08_Spells!AE$2,"")</f>
        <v/>
      </c>
      <c r="AF157" t="str">
        <f>IF(IFERROR(MATCH($B157,temp!B$4:B$13,0),0)&gt;0,T08_Spells!AF$2,"")</f>
        <v/>
      </c>
      <c r="AG157" t="str">
        <f>IF(IFERROR(MATCH($B157,temp!C$4:C$13,0),0)&gt;0,T08_Spells!AG$2,"")</f>
        <v/>
      </c>
      <c r="AH157" t="str">
        <f>IF(IFERROR(MATCH($B157,temp!D$4:D$13,0),0)&gt;0,T08_Spells!AH$2,"")</f>
        <v/>
      </c>
      <c r="AI157" t="str">
        <f>IF(IFERROR(MATCH($B157,temp!E$4:E$13,0),0)&gt;0,T08_Spells!AI$2,"")</f>
        <v/>
      </c>
      <c r="AJ157" t="str">
        <f>IF(IFERROR(MATCH($B157,temp!F$4:F$13,0),0)&gt;0,T08_Spells!AJ$2,"")</f>
        <v/>
      </c>
      <c r="AK157" t="str">
        <f>IF(IFERROR(MATCH($B157,temp!G$4:G$13,0),0)&gt;0,T08_Spells!AK$2,"")</f>
        <v/>
      </c>
      <c r="AL157" t="str">
        <f>IF(IFERROR(MATCH($B157,temp!H$4:H$13,0),0)&gt;0,T08_Spells!AL$2,"")</f>
        <v/>
      </c>
      <c r="AM157" t="str">
        <f>IF(IFERROR(MATCH($B157,temp!I$4:I$13,0),0)&gt;0,T08_Spells!AM$2,"")</f>
        <v/>
      </c>
      <c r="AN157" t="str">
        <f>IF(IFERROR(MATCH($B157,temp!J$4:J$13,0),0)&gt;0,T08_Spells!AN$2,"")</f>
        <v/>
      </c>
      <c r="AO157" t="str">
        <f>IF(IFERROR(MATCH($B157,temp!K$4:K$13,0),0)&gt;0,T08_Spells!AO$2,"")</f>
        <v/>
      </c>
      <c r="AP157" t="str">
        <f>IF(IFERROR(MATCH($B157,temp!L$4:L$13,0),0)&gt;0,T08_Spells!AP$2,"")</f>
        <v/>
      </c>
      <c r="AQ157" t="str">
        <f>IF(IFERROR(MATCH($B157,temp!M$4:M$13,0),0)&gt;0,T08_Spells!AQ$2,"")</f>
        <v/>
      </c>
      <c r="AR157" t="str">
        <f>IF(IFERROR(MATCH($B157,temp!N$4:N$13,0),0)&gt;0,T08_Spells!AR$2,"")</f>
        <v/>
      </c>
      <c r="AS157" t="str">
        <f>IF(IFERROR(MATCH($B157,temp!O$4:O$13,0),0)&gt;0,T08_Spells!AS$2,"")</f>
        <v/>
      </c>
      <c r="AT157" t="str">
        <f>IF(IFERROR(MATCH($B157,temp!P$4:P$13,0),0)&gt;0,T08_Spells!AT$2,"")</f>
        <v/>
      </c>
      <c r="AU157" t="str">
        <f>IF(IFERROR(MATCH($B157,temp!Q$4:Q$13,0),0)&gt;0,T08_Spells!AU$2,"")</f>
        <v/>
      </c>
      <c r="AV157" t="str">
        <f>IF(IFERROR(MATCH($B157,temp!R$4:R$13,0),0)&gt;0,T08_Spells!AV$2,"")</f>
        <v/>
      </c>
      <c r="AW157" t="str">
        <f>IF(IFERROR(MATCH($B157,temp!S$4:S$13,0),0)&gt;0,T08_Spells!AW$2,"")</f>
        <v/>
      </c>
      <c r="AX157" t="str">
        <f>IF(IFERROR(MATCH($B157,temp!T$4:T$13,0),0)&gt;0,T08_Spells!AX$2,"")</f>
        <v/>
      </c>
      <c r="AY157" t="str">
        <f>IF(IFERROR(MATCH($B157,temp!U$4:U$13,0),0)&gt;0,T08_Spells!AY$2,"")</f>
        <v/>
      </c>
      <c r="AZ157" t="str">
        <f>IF(IFERROR(MATCH($B157,temp!V$4:V$13,0),0)&gt;0,T08_Spells!AZ$2,"")</f>
        <v/>
      </c>
      <c r="BA157" t="str">
        <f>IF(IFERROR(MATCH($B157,temp!W$4:W$13,0),0)&gt;0,T08_Spells!BA$2,"")</f>
        <v/>
      </c>
      <c r="BC157">
        <f>IF(IFERROR(SEARCH("Ranger",$T157,1),0)&gt;0,1,0)*IF(RangerMaxSpellLevel&gt;=$C157,1,0)*IF(IFERROR(MATCH(B157,Character_Creation!$X$79:$X$382,0),0)&gt;0,0,1)</f>
        <v>0</v>
      </c>
      <c r="BD157">
        <f>IF(BC157=0,0,1+COUNTIF(BD$3:BD156,"&gt;0"))</f>
        <v>0</v>
      </c>
      <c r="BE157" t="str">
        <f t="shared" si="143"/>
        <v/>
      </c>
      <c r="BF157" t="str">
        <f t="shared" si="115"/>
        <v/>
      </c>
      <c r="BH157">
        <f>IF(IFERROR(SEARCH("Sorcerer",$T157,1),0)&gt;0,1,0)*IF(SorcererMaxSpellLevel&gt;=$C157,1,0)*IF(IFERROR(MATCH(B157,Character_Creation!$J$380:$J$394,0),0)&gt;0,0,1)</f>
        <v>0</v>
      </c>
      <c r="BI157">
        <f>IF(BH157=0,0,1+COUNTIF(BI$3:BI156,"&gt;0"))</f>
        <v>0</v>
      </c>
      <c r="BJ157" t="str">
        <f t="shared" si="144"/>
        <v/>
      </c>
      <c r="BK157" t="str">
        <f t="shared" si="116"/>
        <v/>
      </c>
      <c r="BM157">
        <f>IF(OR(IFERROR(SEARCH("Warlock",$T157,1),0)&gt;0,IFERROR(SEARCH(WarlockPatron,$T157,1),0)&gt;0),1,0)*IF(WarlockMaxSpellLevel&gt;=$C157,1,0)*IF(IFERROR(MATCH(B157,Character_Creation!$J$361:$J$375,0),0)&gt;0,0,1)</f>
        <v>0</v>
      </c>
      <c r="BN157">
        <f>IF(BM157=0,0,1+COUNTIF(BN$3:BN156,"&gt;0"))</f>
        <v>0</v>
      </c>
      <c r="BO157" t="str">
        <f t="shared" si="145"/>
        <v/>
      </c>
      <c r="BP157" t="str">
        <f t="shared" si="117"/>
        <v/>
      </c>
      <c r="BR157">
        <f>IF(IFERROR(SEARCH("Eldritch Knight",$T157,1),0)&gt;0,1,0)*IF(EldritchKnightMaxSpellLevel&gt;=$C157,1,0)*IF(IFERROR(MATCH($B157,Character_Creation!$J$350:$J$356,0),0)&gt;0,0,1)*IF(Character_Creation!$M$338&gt;0,1,0)</f>
        <v>0</v>
      </c>
      <c r="BS157">
        <f>IF(BR157=0,0,1+COUNTIF(BS$3:BS156,"&gt;0"))</f>
        <v>0</v>
      </c>
      <c r="BT157" t="str">
        <f t="shared" si="146"/>
        <v/>
      </c>
      <c r="BU157" t="str">
        <f t="shared" si="118"/>
        <v/>
      </c>
      <c r="BW157">
        <f>IF(IFERROR(SEARCH("Arcane Trickster",$T157,1),0)&gt;0,1,0)*IF(ArcaneTricksterMaxSpellLevel&gt;=$C157,1,0)*IF(IFERROR(MATCH($B157,Character_Creation!$J$350:$J$356,0),0)&gt;0,0,1)*IF(Character_Creation!$T$338&gt;0,1,0)</f>
        <v>0</v>
      </c>
      <c r="BX157">
        <f>IF(BW157=0,0,1+COUNTIF(BX$3:BX156,"&gt;0"))</f>
        <v>0</v>
      </c>
      <c r="BY157" t="str">
        <f t="shared" si="147"/>
        <v/>
      </c>
      <c r="BZ157" t="str">
        <f t="shared" si="119"/>
        <v/>
      </c>
      <c r="CB157">
        <f>IF(IFERROR(SEARCH("Wizard",$T157,1),0)&gt;0,1,0)*IF(C157&lt;=ArcaneTricksterMaxSpellLevel,1,0)*IF(IFERROR(MATCH($B157,Character_Creation!$J$350:$J$356,0),0)&gt;0,0,1)*IF(Character_Creation!$T$350&gt;0,1,0)</f>
        <v>0</v>
      </c>
      <c r="CC157">
        <f>IF(CB157=0,0,1+COUNTIF(CC$3:CC156,"&gt;0"))</f>
        <v>0</v>
      </c>
      <c r="CD157" t="str">
        <f t="shared" si="148"/>
        <v/>
      </c>
      <c r="CE157" t="str">
        <f t="shared" si="120"/>
        <v/>
      </c>
      <c r="CG157">
        <f>IF(IFERROR(SEARCH("Wizard",$T157,1),0)&gt;0,1,0)*IF($C157&lt;=EldritchKnightMaxSpellLevel,1,0)*IF(IFERROR(MATCH($B157,Character_Creation!$J$350:$J$356,0),0)&gt;0,0,1)*IF(Character_Creation!$M$350&gt;0,1,0)</f>
        <v>1</v>
      </c>
      <c r="CH157">
        <f>IF(CG157=0,0,1+COUNTIF(CH$3:CH156,"&gt;0"))</f>
        <v>26</v>
      </c>
      <c r="CI157" t="str">
        <f t="shared" si="149"/>
        <v/>
      </c>
      <c r="CJ157" t="str">
        <f t="shared" si="121"/>
        <v/>
      </c>
      <c r="CL157">
        <f>IF(IFERROR(SEARCH("Bard",$T157,1),0)&gt;0,1,0)*IF(BardMaxSpellLevel&gt;=$C157,1,0)*IF(IFERROR(MATCH(B157,Character_Creation!$C$341:$F$362,0),0)&gt;0,0,1)*IF(IFERROR(MATCH($B157,Character_Creation!$C$341:$C$362,0),0)&gt;0,0,1)</f>
        <v>0</v>
      </c>
      <c r="CM157">
        <f>IF(CL157=0,0,1+COUNTIF(CM$3:CM156,"&gt;0"))</f>
        <v>0</v>
      </c>
      <c r="CN157" t="str">
        <f t="shared" si="150"/>
        <v/>
      </c>
      <c r="CO157" t="str">
        <f t="shared" si="122"/>
        <v/>
      </c>
      <c r="CQ157">
        <f>IF(IFERROR(SEARCH("Wizard",$T157,1),0)&gt;0,1,0)*IF(WizardMaxSpellLevel&gt;=$C157,1,0)*IF(IFERROR(MATCH(B157,Character_Creation!$X$341:$X$400,0),0)&gt;0,0,1)*IF(SelectedWizardSpellLevel=$C157,1,0)</f>
        <v>0</v>
      </c>
      <c r="CR157">
        <f>IF(CQ157=0,0,1+COUNTIF(CR$3:CR156,"&gt;0"))</f>
        <v>0</v>
      </c>
      <c r="CS157" t="str">
        <f t="shared" si="151"/>
        <v/>
      </c>
      <c r="CT157" t="str">
        <f t="shared" si="123"/>
        <v/>
      </c>
      <c r="CV157">
        <f>IF(IFERROR(MATCH($B157,Character_Creation!$C$341:$C$362,0),0)&gt;0,0,1)*IF(OR(C157="Cantrip",C157&lt;=BardMaxSpellLevel),1,0)*IF(IFERROR(MATCH($B157,Character_Creation!$C$367:$C$374,0),0)&gt;0,0,1)</f>
        <v>0</v>
      </c>
      <c r="CW157">
        <f>IF(CV157=0,0,1+COUNTIF(CW$3:CW156,"&gt;0"))</f>
        <v>0</v>
      </c>
      <c r="CX157" t="str">
        <f t="shared" si="152"/>
        <v/>
      </c>
      <c r="CY157" t="str">
        <f t="shared" si="124"/>
        <v/>
      </c>
      <c r="DA157">
        <f>IF(IF(OR(IFERROR(SEARCH("Cleric",$T157,1),0)&gt;0,IFERROR(SEARCH(DivineDomain&amp;",",$T157,1),0)&gt;0),1,0)*IF($C157=DA$2,1,0)=1,1+COUNTIF(DA$3:DA156,"&gt;0"),0)</f>
        <v>0</v>
      </c>
      <c r="DB157">
        <f>IF(IF(OR(IFERROR(SEARCH("Cleric",$T157,1),0)&gt;0,IFERROR(SEARCH(DivineDomain&amp;",",$T157,1),0)&gt;0),1,0)*IF($C157=DB$2,1,0)=1,1+COUNTIF(DB$3:DB156,"&gt;0"),0)</f>
        <v>7</v>
      </c>
      <c r="DC157">
        <f>IF(IF(OR(IFERROR(SEARCH("Cleric",$T157,1),0)&gt;0,IFERROR(SEARCH(DivineDomain&amp;",",$T157,1),0)&gt;0),1,0)*IF($C157=DC$2,1,0)=1,1+COUNTIF(DC$3:DC156,"&gt;0"),0)</f>
        <v>0</v>
      </c>
      <c r="DD157">
        <f>IF(IF(OR(IFERROR(SEARCH("Cleric",$T157,1),0)&gt;0,IFERROR(SEARCH(DivineDomain&amp;",",$T157,1),0)&gt;0),1,0)*IF($C157=DD$2,1,0)=1,1+COUNTIF(DD$3:DD156,"&gt;0"),0)</f>
        <v>0</v>
      </c>
      <c r="DE157">
        <f>IF(IF(OR(IFERROR(SEARCH("Cleric",$T157,1),0)&gt;0,IFERROR(SEARCH(DivineDomain&amp;",",$T157,1),0)&gt;0),1,0)*IF($C157=DE$2,1,0)=1,1+COUNTIF(DE$3:DE156,"&gt;0"),0)</f>
        <v>0</v>
      </c>
      <c r="DF157">
        <f>IF(IF(OR(IFERROR(SEARCH("Cleric",$T157,1),0)&gt;0,IFERROR(SEARCH(DivineDomain&amp;",",$T157,1),0)&gt;0),1,0)*IF($C157=DF$2,1,0)=1,1+COUNTIF(DF$3:DF156,"&gt;0"),0)</f>
        <v>0</v>
      </c>
      <c r="DG157">
        <f>IF(IF(OR(IFERROR(SEARCH("Cleric",$T157,1),0)&gt;0,IFERROR(SEARCH(DivineDomain&amp;",",$T157,1),0)&gt;0),1,0)*IF($C157=DG$2,1,0)=1,1+COUNTIF(DG$3:DG156,"&gt;0"),0)</f>
        <v>0</v>
      </c>
      <c r="DH157">
        <f>IF(IF(OR(IFERROR(SEARCH("Cleric",$T157,1),0)&gt;0,IFERROR(SEARCH(DivineDomain&amp;",",$T157,1),0)&gt;0),1,0)*IF($C157=DH$2,1,0)=1,1+COUNTIF(DH$3:DH156,"&gt;0"),0)</f>
        <v>0</v>
      </c>
      <c r="DI157">
        <f>IF(IF(OR(IFERROR(SEARCH("Cleric",$T157,1),0)&gt;0,IFERROR(SEARCH(DivineDomain&amp;",",$T157,1),0)&gt;0),1,0)*IF($C157=DI$2,1,0)=1,1+COUNTIF(DI$3:DI156,"&gt;0"),0)</f>
        <v>0</v>
      </c>
      <c r="DJ157">
        <f>IF(IF(OR(IFERROR(SEARCH("Druid",$T157,1),0)&gt;0,IFERROR(SEARCH(DruidLand1,$T157,1),0)&gt;0,IFERROR(SEARCH(DruidLand2,$T157,1),0)&gt;0,IFERROR(SEARCH(DruidLand3,$T157,1),0)&gt;0,IFERROR(SEARCH(DruidLand4,$T157,1),0)&gt;0),1,0)*IF($C157=1,1,0)*IF($C157=DJ$2,1,0)=0,0,1+COUNTIF(DJ$3:DJ156,"&gt;0"))</f>
        <v>0</v>
      </c>
      <c r="DK157">
        <f>IF(IF(OR(IFERROR(SEARCH("Druid",$T157,1),0)&gt;0,IFERROR(SEARCH(DruidLand1,$T157,1),0)&gt;0,IFERROR(SEARCH(DruidLand2,$T157,1),0)&gt;0,IFERROR(SEARCH(DruidLand3,$T157,1),0)&gt;0,IFERROR(SEARCH(DruidLand4,$T157,1),0)&gt;0),1,0)*IF($C157=1,1,0)*IF($C157=DK$2,1,0)=0,0,1+COUNTIF(DK$3:DK156,"&gt;0"))</f>
        <v>0</v>
      </c>
      <c r="DL157">
        <f>IF(IF(OR(IFERROR(SEARCH("Druid",$T157,1),0)&gt;0,IFERROR(SEARCH(DruidLand1,$T157,1),0)&gt;0,IFERROR(SEARCH(DruidLand2,$T157,1),0)&gt;0,IFERROR(SEARCH(DruidLand3,$T157,1),0)&gt;0,IFERROR(SEARCH(DruidLand4,$T157,1),0)&gt;0),1,0)*IF($C157=1,1,0)*IF($C157=DL$2,1,0)=0,0,1+COUNTIF(DL$3:DL156,"&gt;0"))</f>
        <v>0</v>
      </c>
      <c r="DM157">
        <f>IF(IF(OR(IFERROR(SEARCH("Druid",$T157,1),0)&gt;0,IFERROR(SEARCH(DruidLand1,$T157,1),0)&gt;0,IFERROR(SEARCH(DruidLand2,$T157,1),0)&gt;0,IFERROR(SEARCH(DruidLand3,$T157,1),0)&gt;0,IFERROR(SEARCH(DruidLand4,$T157,1),0)&gt;0),1,0)*IF($C157=1,1,0)*IF($C157=DM$2,1,0)=0,0,1+COUNTIF(DM$3:DM156,"&gt;0"))</f>
        <v>0</v>
      </c>
      <c r="DN157">
        <f>IF(IF(OR(IFERROR(SEARCH("Druid",$T157,1),0)&gt;0,IFERROR(SEARCH(DruidLand1,$T157,1),0)&gt;0,IFERROR(SEARCH(DruidLand2,$T157,1),0)&gt;0,IFERROR(SEARCH(DruidLand3,$T157,1),0)&gt;0,IFERROR(SEARCH(DruidLand4,$T157,1),0)&gt;0),1,0)*IF($C157=1,1,0)*IF($C157=DN$2,1,0)=0,0,1+COUNTIF(DN$3:DN156,"&gt;0"))</f>
        <v>0</v>
      </c>
      <c r="DO157">
        <f>IF(IF(OR(IFERROR(SEARCH("Druid",$T157,1),0)&gt;0,IFERROR(SEARCH(DruidLand1,$T157,1),0)&gt;0,IFERROR(SEARCH(DruidLand2,$T157,1),0)&gt;0,IFERROR(SEARCH(DruidLand3,$T157,1),0)&gt;0,IFERROR(SEARCH(DruidLand4,$T157,1),0)&gt;0),1,0)*IF($C157=1,1,0)*IF($C157=DO$2,1,0)=0,0,1+COUNTIF(DO$3:DO156,"&gt;0"))</f>
        <v>0</v>
      </c>
      <c r="DP157">
        <f>IF(IF(OR(IFERROR(SEARCH("Druid",$T157,1),0)&gt;0,IFERROR(SEARCH(DruidLand1,$T157,1),0)&gt;0,IFERROR(SEARCH(DruidLand2,$T157,1),0)&gt;0,IFERROR(SEARCH(DruidLand3,$T157,1),0)&gt;0,IFERROR(SEARCH(DruidLand4,$T157,1),0)&gt;0),1,0)*IF($C157=1,1,0)*IF($C157=DP$2,1,0)=0,0,1+COUNTIF(DP$3:DP156,"&gt;0"))</f>
        <v>0</v>
      </c>
      <c r="DQ157">
        <f>IF(IF(OR(IFERROR(SEARCH("Druid",$T157,1),0)&gt;0,IFERROR(SEARCH(DruidLand1,$T157,1),0)&gt;0,IFERROR(SEARCH(DruidLand2,$T157,1),0)&gt;0,IFERROR(SEARCH(DruidLand3,$T157,1),0)&gt;0,IFERROR(SEARCH(DruidLand4,$T157,1),0)&gt;0),1,0)*IF($C157=1,1,0)*IF($C157=DQ$2,1,0)=0,0,1+COUNTIF(DQ$3:DQ156,"&gt;0"))</f>
        <v>0</v>
      </c>
      <c r="DR157">
        <f>IF(IF(OR(IFERROR(SEARCH("Druid",$T157,1),0)&gt;0,IFERROR(SEARCH(DruidLand1,$T157,1),0)&gt;0,IFERROR(SEARCH(DruidLand2,$T157,1),0)&gt;0,IFERROR(SEARCH(DruidLand3,$T157,1),0)&gt;0,IFERROR(SEARCH(DruidLand4,$T157,1),0)&gt;0),1,0)*IF($C157=1,1,0)*IF($C157=DR$2,1,0)=0,0,1+COUNTIF(DR$3:DR156,"&gt;0"))</f>
        <v>0</v>
      </c>
      <c r="DS157">
        <f>IF(IF(OR(IFERROR(SEARCH("Paladin",$T157,1),0)&gt;0,IFERROR(SEARCH(PaladinOath,$T157,1),0)&gt;0),1,0)*IF($C157=DS$2,1,0)=1,1+COUNTIF(DS$3:DS156,"&gt;0"),0)</f>
        <v>0</v>
      </c>
      <c r="DT157">
        <f>IF(IF(OR(IFERROR(SEARCH("Paladin",$T157,1),0)&gt;0,IFERROR(SEARCH(PaladinOath,$T157,1),0)&gt;0),1,0)*IF($C157=DT$2,1,0)=1,1+COUNTIF(DT$3:DT156,"&gt;0"),0)</f>
        <v>0</v>
      </c>
      <c r="DU157">
        <f>IF(IF(OR(IFERROR(SEARCH("Paladin",$T157,1),0)&gt;0,IFERROR(SEARCH(PaladinOath,$T157,1),0)&gt;0),1,0)*IF($C157=DU$2,1,0)=1,1+COUNTIF(DU$3:DU156,"&gt;0"),0)</f>
        <v>0</v>
      </c>
      <c r="DV157">
        <f>IF(IF(OR(IFERROR(SEARCH("Paladin",$T157,1),0)&gt;0,IFERROR(SEARCH(PaladinOath,$T157,1),0)&gt;0),1,0)*IF($C157=DV$2,1,0)=1,1+COUNTIF(DV$3:DV156,"&gt;0"),0)</f>
        <v>0</v>
      </c>
      <c r="DW157">
        <f>IF(IF(OR(IFERROR(SEARCH("Paladin",$T157,1),0)&gt;0,IFERROR(SEARCH(PaladinOath,$T157,1),0)&gt;0),1,0)*IF($C157=DW$2,1,0)=1,1+COUNTIF(DW$3:DW156,"&gt;0"),0)</f>
        <v>0</v>
      </c>
      <c r="DY157">
        <f t="shared" si="111"/>
        <v>1</v>
      </c>
      <c r="DZ157">
        <f>IF(DY157=0,0,1+MAX(DZ$3:$DZ156))</f>
        <v>155</v>
      </c>
      <c r="EB157">
        <f t="shared" si="125"/>
        <v>0</v>
      </c>
      <c r="EC157">
        <f>IF(EB157=0,0,1+COUNTIF(EC$3:EC156,"&gt;0"))</f>
        <v>0</v>
      </c>
      <c r="ED157" t="str">
        <f t="shared" si="153"/>
        <v/>
      </c>
      <c r="EE157" t="str">
        <f t="shared" si="126"/>
        <v/>
      </c>
      <c r="EG157">
        <f t="shared" si="127"/>
        <v>0</v>
      </c>
      <c r="EH157">
        <f>IF(EG157=0,0,1+COUNTIF(EH$3:EH156,"&gt;0"))</f>
        <v>0</v>
      </c>
      <c r="EI157" t="str">
        <f t="shared" si="154"/>
        <v/>
      </c>
      <c r="EJ157" t="str">
        <f t="shared" si="128"/>
        <v/>
      </c>
      <c r="EL157">
        <f t="shared" si="129"/>
        <v>0</v>
      </c>
      <c r="EM157">
        <f>IF(EL157=0,0,1+COUNTIF(EM$3:EM156,"&gt;0"))</f>
        <v>0</v>
      </c>
      <c r="EN157" t="str">
        <f t="shared" si="155"/>
        <v/>
      </c>
      <c r="EO157" t="str">
        <f t="shared" si="130"/>
        <v/>
      </c>
      <c r="EQ157">
        <f t="shared" si="131"/>
        <v>0</v>
      </c>
      <c r="ER157">
        <f>IF(EQ157=0,0,1+COUNTIF(ER$3:ER156,"&gt;0"))</f>
        <v>0</v>
      </c>
      <c r="ES157" t="str">
        <f t="shared" si="156"/>
        <v/>
      </c>
      <c r="ET157" t="str">
        <f t="shared" si="132"/>
        <v/>
      </c>
      <c r="EV157">
        <f t="shared" si="133"/>
        <v>0</v>
      </c>
      <c r="EW157">
        <f>IF(EV157=0,0,1+COUNTIF(EW$3:EW156,"&gt;0"))</f>
        <v>0</v>
      </c>
      <c r="EX157" t="str">
        <f t="shared" si="157"/>
        <v/>
      </c>
      <c r="EY157" t="str">
        <f t="shared" si="134"/>
        <v/>
      </c>
      <c r="FA157">
        <f t="shared" si="135"/>
        <v>0</v>
      </c>
      <c r="FB157">
        <f>IF(FA157=0,0,1+COUNTIF(FB$3:FB156,"&gt;0"))</f>
        <v>0</v>
      </c>
      <c r="FC157" t="str">
        <f t="shared" si="158"/>
        <v/>
      </c>
      <c r="FD157" t="str">
        <f t="shared" si="136"/>
        <v/>
      </c>
      <c r="FF157">
        <f t="shared" si="137"/>
        <v>0</v>
      </c>
      <c r="FG157">
        <f>IF(FF157=0,0,1+COUNTIF(FG$3:FG156,"&gt;0"))</f>
        <v>0</v>
      </c>
      <c r="FH157" t="str">
        <f t="shared" si="159"/>
        <v/>
      </c>
      <c r="FI157" t="str">
        <f t="shared" si="138"/>
        <v/>
      </c>
      <c r="FK157">
        <f t="shared" si="139"/>
        <v>0</v>
      </c>
      <c r="FL157">
        <f>IF(FK157=0,0,1+COUNTIF(FL$3:FL156,"&gt;0"))</f>
        <v>0</v>
      </c>
      <c r="FM157" t="str">
        <f t="shared" si="160"/>
        <v/>
      </c>
      <c r="FN157" t="str">
        <f t="shared" si="140"/>
        <v/>
      </c>
      <c r="FP157">
        <f t="shared" si="141"/>
        <v>0</v>
      </c>
      <c r="FQ157">
        <f>IF(FP157=0,0,1+COUNTIF(FQ$3:FQ156,"&gt;0"))</f>
        <v>0</v>
      </c>
      <c r="FR157" t="str">
        <f t="shared" si="161"/>
        <v/>
      </c>
      <c r="FS157" t="str">
        <f t="shared" si="142"/>
        <v/>
      </c>
    </row>
    <row r="158" spans="1:175" x14ac:dyDescent="0.25">
      <c r="A158" s="347">
        <f t="shared" si="162"/>
        <v>156</v>
      </c>
      <c r="B158" s="348" t="s">
        <v>2530</v>
      </c>
      <c r="C158" s="348">
        <v>4</v>
      </c>
      <c r="D158" s="347">
        <v>4</v>
      </c>
      <c r="E158" s="627" t="s">
        <v>6952</v>
      </c>
      <c r="F158" s="346"/>
      <c r="G158" s="347" t="str">
        <f>""</f>
        <v/>
      </c>
      <c r="H158" s="347" t="s">
        <v>5912</v>
      </c>
      <c r="I158" s="347" t="s">
        <v>5060</v>
      </c>
      <c r="J158" s="347" t="str">
        <f t="shared" si="112"/>
        <v/>
      </c>
      <c r="K158" s="347" t="s">
        <v>5297</v>
      </c>
      <c r="L158" s="611" t="str">
        <f t="shared" si="113"/>
        <v>V, S</v>
      </c>
      <c r="M158" s="347" t="s">
        <v>2373</v>
      </c>
      <c r="N158" s="347" t="s">
        <v>2387</v>
      </c>
      <c r="O158" s="347" t="s">
        <v>3034</v>
      </c>
      <c r="Q158" s="347" t="s">
        <v>5276</v>
      </c>
      <c r="S158" s="346" t="s">
        <v>5712</v>
      </c>
      <c r="T158" s="346" t="str">
        <f t="shared" si="114"/>
        <v xml:space="preserve">Druid, </v>
      </c>
      <c r="AA158" s="347" t="str">
        <f>$B158</f>
        <v>Giant Insect</v>
      </c>
      <c r="AE158" t="str">
        <f>IF(IFERROR(MATCH($B158,temp!A$4:A$13,0),0)&gt;0,T08_Spells!AE$2,"")</f>
        <v/>
      </c>
      <c r="AF158" t="str">
        <f>IF(IFERROR(MATCH($B158,temp!B$4:B$13,0),0)&gt;0,T08_Spells!AF$2,"")</f>
        <v/>
      </c>
      <c r="AG158" t="str">
        <f>IF(IFERROR(MATCH($B158,temp!C$4:C$13,0),0)&gt;0,T08_Spells!AG$2,"")</f>
        <v/>
      </c>
      <c r="AH158" t="str">
        <f>IF(IFERROR(MATCH($B158,temp!D$4:D$13,0),0)&gt;0,T08_Spells!AH$2,"")</f>
        <v/>
      </c>
      <c r="AI158" t="str">
        <f>IF(IFERROR(MATCH($B158,temp!E$4:E$13,0),0)&gt;0,T08_Spells!AI$2,"")</f>
        <v/>
      </c>
      <c r="AJ158" t="str">
        <f>IF(IFERROR(MATCH($B158,temp!F$4:F$13,0),0)&gt;0,T08_Spells!AJ$2,"")</f>
        <v/>
      </c>
      <c r="AK158" t="str">
        <f>IF(IFERROR(MATCH($B158,temp!G$4:G$13,0),0)&gt;0,T08_Spells!AK$2,"")</f>
        <v/>
      </c>
      <c r="AL158" t="str">
        <f>IF(IFERROR(MATCH($B158,temp!H$4:H$13,0),0)&gt;0,T08_Spells!AL$2,"")</f>
        <v/>
      </c>
      <c r="AM158" t="str">
        <f>IF(IFERROR(MATCH($B158,temp!I$4:I$13,0),0)&gt;0,T08_Spells!AM$2,"")</f>
        <v/>
      </c>
      <c r="AN158" t="str">
        <f>IF(IFERROR(MATCH($B158,temp!J$4:J$13,0),0)&gt;0,T08_Spells!AN$2,"")</f>
        <v/>
      </c>
      <c r="AO158" t="str">
        <f>IF(IFERROR(MATCH($B158,temp!K$4:K$13,0),0)&gt;0,T08_Spells!AO$2,"")</f>
        <v/>
      </c>
      <c r="AP158" t="str">
        <f>IF(IFERROR(MATCH($B158,temp!L$4:L$13,0),0)&gt;0,T08_Spells!AP$2,"")</f>
        <v/>
      </c>
      <c r="AQ158" t="str">
        <f>IF(IFERROR(MATCH($B158,temp!M$4:M$13,0),0)&gt;0,T08_Spells!AQ$2,"")</f>
        <v/>
      </c>
      <c r="AR158" t="str">
        <f>IF(IFERROR(MATCH($B158,temp!N$4:N$13,0),0)&gt;0,T08_Spells!AR$2,"")</f>
        <v/>
      </c>
      <c r="AS158" t="str">
        <f>IF(IFERROR(MATCH($B158,temp!O$4:O$13,0),0)&gt;0,T08_Spells!AS$2,"")</f>
        <v/>
      </c>
      <c r="AT158" t="str">
        <f>IF(IFERROR(MATCH($B158,temp!P$4:P$13,0),0)&gt;0,T08_Spells!AT$2,"")</f>
        <v/>
      </c>
      <c r="AU158" t="str">
        <f>IF(IFERROR(MATCH($B158,temp!Q$4:Q$13,0),0)&gt;0,T08_Spells!AU$2,"")</f>
        <v/>
      </c>
      <c r="AV158" t="str">
        <f>IF(IFERROR(MATCH($B158,temp!R$4:R$13,0),0)&gt;0,T08_Spells!AV$2,"")</f>
        <v/>
      </c>
      <c r="AW158" t="str">
        <f>IF(IFERROR(MATCH($B158,temp!S$4:S$13,0),0)&gt;0,T08_Spells!AW$2,"")</f>
        <v/>
      </c>
      <c r="AX158" t="str">
        <f>IF(IFERROR(MATCH($B158,temp!T$4:T$13,0),0)&gt;0,T08_Spells!AX$2,"")</f>
        <v/>
      </c>
      <c r="AY158" t="str">
        <f>IF(IFERROR(MATCH($B158,temp!U$4:U$13,0),0)&gt;0,T08_Spells!AY$2,"")</f>
        <v/>
      </c>
      <c r="AZ158" t="str">
        <f>IF(IFERROR(MATCH($B158,temp!V$4:V$13,0),0)&gt;0,T08_Spells!AZ$2,"")</f>
        <v/>
      </c>
      <c r="BA158" t="str">
        <f>IF(IFERROR(MATCH($B158,temp!W$4:W$13,0),0)&gt;0,T08_Spells!BA$2,"")</f>
        <v/>
      </c>
      <c r="BC158">
        <f>IF(IFERROR(SEARCH("Ranger",$T158,1),0)&gt;0,1,0)*IF(RangerMaxSpellLevel&gt;=$C158,1,0)*IF(IFERROR(MATCH(B158,Character_Creation!$X$79:$X$382,0),0)&gt;0,0,1)</f>
        <v>0</v>
      </c>
      <c r="BD158">
        <f>IF(BC158=0,0,1+COUNTIF(BD$3:BD157,"&gt;0"))</f>
        <v>0</v>
      </c>
      <c r="BE158" t="str">
        <f t="shared" si="143"/>
        <v/>
      </c>
      <c r="BF158" t="str">
        <f t="shared" si="115"/>
        <v/>
      </c>
      <c r="BH158">
        <f>IF(IFERROR(SEARCH("Sorcerer",$T158,1),0)&gt;0,1,0)*IF(SorcererMaxSpellLevel&gt;=$C158,1,0)*IF(IFERROR(MATCH(B158,Character_Creation!$J$380:$J$394,0),0)&gt;0,0,1)</f>
        <v>0</v>
      </c>
      <c r="BI158">
        <f>IF(BH158=0,0,1+COUNTIF(BI$3:BI157,"&gt;0"))</f>
        <v>0</v>
      </c>
      <c r="BJ158" t="str">
        <f t="shared" si="144"/>
        <v/>
      </c>
      <c r="BK158" t="str">
        <f t="shared" si="116"/>
        <v/>
      </c>
      <c r="BM158">
        <f>IF(OR(IFERROR(SEARCH("Warlock",$T158,1),0)&gt;0,IFERROR(SEARCH(WarlockPatron,$T158,1),0)&gt;0),1,0)*IF(WarlockMaxSpellLevel&gt;=$C158,1,0)*IF(IFERROR(MATCH(B158,Character_Creation!$J$361:$J$375,0),0)&gt;0,0,1)</f>
        <v>0</v>
      </c>
      <c r="BN158">
        <f>IF(BM158=0,0,1+COUNTIF(BN$3:BN157,"&gt;0"))</f>
        <v>0</v>
      </c>
      <c r="BO158" t="str">
        <f t="shared" si="145"/>
        <v/>
      </c>
      <c r="BP158" t="str">
        <f t="shared" si="117"/>
        <v/>
      </c>
      <c r="BR158">
        <f>IF(IFERROR(SEARCH("Eldritch Knight",$T158,1),0)&gt;0,1,0)*IF(EldritchKnightMaxSpellLevel&gt;=$C158,1,0)*IF(IFERROR(MATCH($B158,Character_Creation!$J$350:$J$356,0),0)&gt;0,0,1)*IF(Character_Creation!$M$338&gt;0,1,0)</f>
        <v>0</v>
      </c>
      <c r="BS158">
        <f>IF(BR158=0,0,1+COUNTIF(BS$3:BS157,"&gt;0"))</f>
        <v>0</v>
      </c>
      <c r="BT158" t="str">
        <f t="shared" si="146"/>
        <v/>
      </c>
      <c r="BU158" t="str">
        <f t="shared" si="118"/>
        <v/>
      </c>
      <c r="BW158">
        <f>IF(IFERROR(SEARCH("Arcane Trickster",$T158,1),0)&gt;0,1,0)*IF(ArcaneTricksterMaxSpellLevel&gt;=$C158,1,0)*IF(IFERROR(MATCH($B158,Character_Creation!$J$350:$J$356,0),0)&gt;0,0,1)*IF(Character_Creation!$T$338&gt;0,1,0)</f>
        <v>0</v>
      </c>
      <c r="BX158">
        <f>IF(BW158=0,0,1+COUNTIF(BX$3:BX157,"&gt;0"))</f>
        <v>0</v>
      </c>
      <c r="BY158" t="str">
        <f t="shared" si="147"/>
        <v/>
      </c>
      <c r="BZ158" t="str">
        <f t="shared" si="119"/>
        <v/>
      </c>
      <c r="CB158">
        <f>IF(IFERROR(SEARCH("Wizard",$T158,1),0)&gt;0,1,0)*IF(C158&lt;=ArcaneTricksterMaxSpellLevel,1,0)*IF(IFERROR(MATCH($B158,Character_Creation!$J$350:$J$356,0),0)&gt;0,0,1)*IF(Character_Creation!$T$350&gt;0,1,0)</f>
        <v>0</v>
      </c>
      <c r="CC158">
        <f>IF(CB158=0,0,1+COUNTIF(CC$3:CC157,"&gt;0"))</f>
        <v>0</v>
      </c>
      <c r="CD158" t="str">
        <f t="shared" si="148"/>
        <v/>
      </c>
      <c r="CE158" t="str">
        <f t="shared" si="120"/>
        <v/>
      </c>
      <c r="CG158">
        <f>IF(IFERROR(SEARCH("Wizard",$T158,1),0)&gt;0,1,0)*IF($C158&lt;=EldritchKnightMaxSpellLevel,1,0)*IF(IFERROR(MATCH($B158,Character_Creation!$J$350:$J$356,0),0)&gt;0,0,1)*IF(Character_Creation!$M$350&gt;0,1,0)</f>
        <v>0</v>
      </c>
      <c r="CH158">
        <f>IF(CG158=0,0,1+COUNTIF(CH$3:CH157,"&gt;0"))</f>
        <v>0</v>
      </c>
      <c r="CI158" t="str">
        <f t="shared" si="149"/>
        <v/>
      </c>
      <c r="CJ158" t="str">
        <f t="shared" si="121"/>
        <v/>
      </c>
      <c r="CL158">
        <f>IF(IFERROR(SEARCH("Bard",$T158,1),0)&gt;0,1,0)*IF(BardMaxSpellLevel&gt;=$C158,1,0)*IF(IFERROR(MATCH(B158,Character_Creation!$C$341:$F$362,0),0)&gt;0,0,1)*IF(IFERROR(MATCH($B158,Character_Creation!$C$341:$C$362,0),0)&gt;0,0,1)</f>
        <v>0</v>
      </c>
      <c r="CM158">
        <f>IF(CL158=0,0,1+COUNTIF(CM$3:CM157,"&gt;0"))</f>
        <v>0</v>
      </c>
      <c r="CN158" t="str">
        <f t="shared" si="150"/>
        <v/>
      </c>
      <c r="CO158" t="str">
        <f t="shared" si="122"/>
        <v/>
      </c>
      <c r="CQ158">
        <f>IF(IFERROR(SEARCH("Wizard",$T158,1),0)&gt;0,1,0)*IF(WizardMaxSpellLevel&gt;=$C158,1,0)*IF(IFERROR(MATCH(B158,Character_Creation!$X$341:$X$400,0),0)&gt;0,0,1)*IF(SelectedWizardSpellLevel=$C158,1,0)</f>
        <v>0</v>
      </c>
      <c r="CR158">
        <f>IF(CQ158=0,0,1+COUNTIF(CR$3:CR157,"&gt;0"))</f>
        <v>0</v>
      </c>
      <c r="CS158" t="str">
        <f t="shared" si="151"/>
        <v/>
      </c>
      <c r="CT158" t="str">
        <f t="shared" si="123"/>
        <v/>
      </c>
      <c r="CV158">
        <f>IF(IFERROR(MATCH($B158,Character_Creation!$C$341:$C$362,0),0)&gt;0,0,1)*IF(OR(C158="Cantrip",C158&lt;=BardMaxSpellLevel),1,0)*IF(IFERROR(MATCH($B158,Character_Creation!$C$367:$C$374,0),0)&gt;0,0,1)</f>
        <v>0</v>
      </c>
      <c r="CW158">
        <f>IF(CV158=0,0,1+COUNTIF(CW$3:CW157,"&gt;0"))</f>
        <v>0</v>
      </c>
      <c r="CX158" t="str">
        <f t="shared" si="152"/>
        <v/>
      </c>
      <c r="CY158" t="str">
        <f t="shared" si="124"/>
        <v/>
      </c>
      <c r="DA158">
        <f>IF(IF(OR(IFERROR(SEARCH("Cleric",$T158,1),0)&gt;0,IFERROR(SEARCH(DivineDomain&amp;",",$T158,1),0)&gt;0),1,0)*IF($C158=DA$2,1,0)=1,1+COUNTIF(DA$3:DA157,"&gt;0"),0)</f>
        <v>0</v>
      </c>
      <c r="DB158">
        <f>IF(IF(OR(IFERROR(SEARCH("Cleric",$T158,1),0)&gt;0,IFERROR(SEARCH(DivineDomain&amp;",",$T158,1),0)&gt;0),1,0)*IF($C158=DB$2,1,0)=1,1+COUNTIF(DB$3:DB157,"&gt;0"),0)</f>
        <v>0</v>
      </c>
      <c r="DC158">
        <f>IF(IF(OR(IFERROR(SEARCH("Cleric",$T158,1),0)&gt;0,IFERROR(SEARCH(DivineDomain&amp;",",$T158,1),0)&gt;0),1,0)*IF($C158=DC$2,1,0)=1,1+COUNTIF(DC$3:DC157,"&gt;0"),0)</f>
        <v>0</v>
      </c>
      <c r="DD158">
        <f>IF(IF(OR(IFERROR(SEARCH("Cleric",$T158,1),0)&gt;0,IFERROR(SEARCH(DivineDomain&amp;",",$T158,1),0)&gt;0),1,0)*IF($C158=DD$2,1,0)=1,1+COUNTIF(DD$3:DD157,"&gt;0"),0)</f>
        <v>0</v>
      </c>
      <c r="DE158">
        <f>IF(IF(OR(IFERROR(SEARCH("Cleric",$T158,1),0)&gt;0,IFERROR(SEARCH(DivineDomain&amp;",",$T158,1),0)&gt;0),1,0)*IF($C158=DE$2,1,0)=1,1+COUNTIF(DE$3:DE157,"&gt;0"),0)</f>
        <v>0</v>
      </c>
      <c r="DF158">
        <f>IF(IF(OR(IFERROR(SEARCH("Cleric",$T158,1),0)&gt;0,IFERROR(SEARCH(DivineDomain&amp;",",$T158,1),0)&gt;0),1,0)*IF($C158=DF$2,1,0)=1,1+COUNTIF(DF$3:DF157,"&gt;0"),0)</f>
        <v>0</v>
      </c>
      <c r="DG158">
        <f>IF(IF(OR(IFERROR(SEARCH("Cleric",$T158,1),0)&gt;0,IFERROR(SEARCH(DivineDomain&amp;",",$T158,1),0)&gt;0),1,0)*IF($C158=DG$2,1,0)=1,1+COUNTIF(DG$3:DG157,"&gt;0"),0)</f>
        <v>0</v>
      </c>
      <c r="DH158">
        <f>IF(IF(OR(IFERROR(SEARCH("Cleric",$T158,1),0)&gt;0,IFERROR(SEARCH(DivineDomain&amp;",",$T158,1),0)&gt;0),1,0)*IF($C158=DH$2,1,0)=1,1+COUNTIF(DH$3:DH157,"&gt;0"),0)</f>
        <v>0</v>
      </c>
      <c r="DI158">
        <f>IF(IF(OR(IFERROR(SEARCH("Cleric",$T158,1),0)&gt;0,IFERROR(SEARCH(DivineDomain&amp;",",$T158,1),0)&gt;0),1,0)*IF($C158=DI$2,1,0)=1,1+COUNTIF(DI$3:DI157,"&gt;0"),0)</f>
        <v>0</v>
      </c>
      <c r="DJ158">
        <f>IF(IF(OR(IFERROR(SEARCH("Druid",$T158,1),0)&gt;0,IFERROR(SEARCH(DruidLand1,$T158,1),0)&gt;0,IFERROR(SEARCH(DruidLand2,$T158,1),0)&gt;0,IFERROR(SEARCH(DruidLand3,$T158,1),0)&gt;0,IFERROR(SEARCH(DruidLand4,$T158,1),0)&gt;0),1,0)*IF($C158=1,1,0)*IF($C158=DJ$2,1,0)=0,0,1+COUNTIF(DJ$3:DJ157,"&gt;0"))</f>
        <v>0</v>
      </c>
      <c r="DK158">
        <f>IF(IF(OR(IFERROR(SEARCH("Druid",$T158,1),0)&gt;0,IFERROR(SEARCH(DruidLand1,$T158,1),0)&gt;0,IFERROR(SEARCH(DruidLand2,$T158,1),0)&gt;0,IFERROR(SEARCH(DruidLand3,$T158,1),0)&gt;0,IFERROR(SEARCH(DruidLand4,$T158,1),0)&gt;0),1,0)*IF($C158=DK$2,1,0)=0,0,1+COUNTIF(DK$3:DK157,"&gt;0"))</f>
        <v>0</v>
      </c>
      <c r="DL158">
        <f>IF(IF(OR(IFERROR(SEARCH("Druid",$T158,1),0)&gt;0,IFERROR(SEARCH(DruidLand1,$T158,1),0)&gt;0,IFERROR(SEARCH(DruidLand2,$T158,1),0)&gt;0,IFERROR(SEARCH(DruidLand3,$T158,1),0)&gt;0,IFERROR(SEARCH(DruidLand4,$T158,1),0)&gt;0),1,0)*IF($C158=DL$2,1,0)=0,0,1+COUNTIF(DL$3:DL157,"&gt;0"))</f>
        <v>0</v>
      </c>
      <c r="DM158">
        <f>IF(IF(OR(IFERROR(SEARCH("Druid",$T158,1),0)&gt;0,IFERROR(SEARCH(DruidLand1,$T158,1),0)&gt;0,IFERROR(SEARCH(DruidLand2,$T158,1),0)&gt;0,IFERROR(SEARCH(DruidLand3,$T158,1),0)&gt;0,IFERROR(SEARCH(DruidLand4,$T158,1),0)&gt;0),1,0)*IF($C158=DM$2,1,0)=0,0,1+COUNTIF(DM$3:DM157,"&gt;0"))</f>
        <v>8</v>
      </c>
      <c r="DN158">
        <f>IF(IF(OR(IFERROR(SEARCH("Druid",$T158,1),0)&gt;0,IFERROR(SEARCH(DruidLand1,$T158,1),0)&gt;0,IFERROR(SEARCH(DruidLand2,$T158,1),0)&gt;0,IFERROR(SEARCH(DruidLand3,$T158,1),0)&gt;0,IFERROR(SEARCH(DruidLand4,$T158,1),0)&gt;0),1,0)*IF($C158=DN$2,1,0)=0,0,1+COUNTIF(DN$3:DN157,"&gt;0"))</f>
        <v>0</v>
      </c>
      <c r="DO158">
        <f>IF(IF(OR(IFERROR(SEARCH("Druid",$T158,1),0)&gt;0,IFERROR(SEARCH(DruidLand1,$T158,1),0)&gt;0,IFERROR(SEARCH(DruidLand2,$T158,1),0)&gt;0,IFERROR(SEARCH(DruidLand3,$T158,1),0)&gt;0,IFERROR(SEARCH(DruidLand4,$T158,1),0)&gt;0),1,0)*IF($C158=DO$2,1,0)=0,0,1+COUNTIF(DO$3:DO157,"&gt;0"))</f>
        <v>0</v>
      </c>
      <c r="DP158">
        <f>IF(IF(OR(IFERROR(SEARCH("Druid",$T158,1),0)&gt;0,IFERROR(SEARCH(DruidLand1,$T158,1),0)&gt;0,IFERROR(SEARCH(DruidLand2,$T158,1),0)&gt;0,IFERROR(SEARCH(DruidLand3,$T158,1),0)&gt;0,IFERROR(SEARCH(DruidLand4,$T158,1),0)&gt;0),1,0)*IF($C158=DP$2,1,0)=0,0,1+COUNTIF(DP$3:DP157,"&gt;0"))</f>
        <v>0</v>
      </c>
      <c r="DQ158">
        <f>IF(IF(OR(IFERROR(SEARCH("Druid",$T158,1),0)&gt;0,IFERROR(SEARCH(DruidLand1,$T158,1),0)&gt;0,IFERROR(SEARCH(DruidLand2,$T158,1),0)&gt;0,IFERROR(SEARCH(DruidLand3,$T158,1),0)&gt;0,IFERROR(SEARCH(DruidLand4,$T158,1),0)&gt;0),1,0)*IF($C158=DQ$2,1,0)=0,0,1+COUNTIF(DQ$3:DQ157,"&gt;0"))</f>
        <v>0</v>
      </c>
      <c r="DR158">
        <f>IF(IF(OR(IFERROR(SEARCH("Druid",$T158,1),0)&gt;0,IFERROR(SEARCH(DruidLand1,$T158,1),0)&gt;0,IFERROR(SEARCH(DruidLand2,$T158,1),0)&gt;0,IFERROR(SEARCH(DruidLand3,$T158,1),0)&gt;0,IFERROR(SEARCH(DruidLand4,$T158,1),0)&gt;0),1,0)*IF($C158=DR$2,1,0)=0,0,1+COUNTIF(DR$3:DR157,"&gt;0"))</f>
        <v>0</v>
      </c>
      <c r="DS158">
        <f>IF(IF(OR(IFERROR(SEARCH("Paladin",$T158,1),0)&gt;0,IFERROR(SEARCH(PaladinOath,$T158,1),0)&gt;0),1,0)*IF($C158=DS$2,1,0)=1,1+COUNTIF(DS$3:DS157,"&gt;0"),0)</f>
        <v>0</v>
      </c>
      <c r="DT158">
        <f>IF(IF(OR(IFERROR(SEARCH("Paladin",$T158,1),0)&gt;0,IFERROR(SEARCH(PaladinOath,$T158,1),0)&gt;0),1,0)*IF($C158=DT$2,1,0)=1,1+COUNTIF(DT$3:DT157,"&gt;0"),0)</f>
        <v>0</v>
      </c>
      <c r="DU158">
        <f>IF(IF(OR(IFERROR(SEARCH("Paladin",$T158,1),0)&gt;0,IFERROR(SEARCH(PaladinOath,$T158,1),0)&gt;0),1,0)*IF($C158=DU$2,1,0)=1,1+COUNTIF(DU$3:DU157,"&gt;0"),0)</f>
        <v>0</v>
      </c>
      <c r="DV158">
        <f>IF(IF(OR(IFERROR(SEARCH("Paladin",$T158,1),0)&gt;0,IFERROR(SEARCH(PaladinOath,$T158,1),0)&gt;0),1,0)*IF($C158=DV$2,1,0)=1,1+COUNTIF(DV$3:DV157,"&gt;0"),0)</f>
        <v>0</v>
      </c>
      <c r="DW158">
        <f>IF(IF(OR(IFERROR(SEARCH("Paladin",$T158,1),0)&gt;0,IFERROR(SEARCH(PaladinOath,$T158,1),0)&gt;0),1,0)*IF($C158=DW$2,1,0)=1,1+COUNTIF(DW$3:DW157,"&gt;0"),0)</f>
        <v>0</v>
      </c>
      <c r="DY158">
        <f t="shared" si="111"/>
        <v>1</v>
      </c>
      <c r="DZ158">
        <f>IF(DY158=0,0,1+MAX(DZ$3:$DZ157))</f>
        <v>156</v>
      </c>
      <c r="EB158">
        <f t="shared" si="125"/>
        <v>0</v>
      </c>
      <c r="EC158">
        <f>IF(EB158=0,0,1+COUNTIF(EC$3:EC157,"&gt;0"))</f>
        <v>0</v>
      </c>
      <c r="ED158" t="str">
        <f t="shared" si="153"/>
        <v/>
      </c>
      <c r="EE158" t="str">
        <f t="shared" si="126"/>
        <v/>
      </c>
      <c r="EG158">
        <f t="shared" si="127"/>
        <v>0</v>
      </c>
      <c r="EH158">
        <f>IF(EG158=0,0,1+COUNTIF(EH$3:EH157,"&gt;0"))</f>
        <v>0</v>
      </c>
      <c r="EI158" t="str">
        <f t="shared" si="154"/>
        <v/>
      </c>
      <c r="EJ158" t="str">
        <f t="shared" si="128"/>
        <v/>
      </c>
      <c r="EL158">
        <f t="shared" si="129"/>
        <v>0</v>
      </c>
      <c r="EM158">
        <f>IF(EL158=0,0,1+COUNTIF(EM$3:EM157,"&gt;0"))</f>
        <v>0</v>
      </c>
      <c r="EN158" t="str">
        <f t="shared" si="155"/>
        <v/>
      </c>
      <c r="EO158" t="str">
        <f t="shared" si="130"/>
        <v/>
      </c>
      <c r="EQ158">
        <f t="shared" si="131"/>
        <v>0</v>
      </c>
      <c r="ER158">
        <f>IF(EQ158=0,0,1+COUNTIF(ER$3:ER157,"&gt;0"))</f>
        <v>0</v>
      </c>
      <c r="ES158" t="str">
        <f t="shared" si="156"/>
        <v/>
      </c>
      <c r="ET158" t="str">
        <f t="shared" si="132"/>
        <v/>
      </c>
      <c r="EV158">
        <f t="shared" si="133"/>
        <v>0</v>
      </c>
      <c r="EW158">
        <f>IF(EV158=0,0,1+COUNTIF(EW$3:EW157,"&gt;0"))</f>
        <v>0</v>
      </c>
      <c r="EX158" t="str">
        <f t="shared" si="157"/>
        <v/>
      </c>
      <c r="EY158" t="str">
        <f t="shared" si="134"/>
        <v/>
      </c>
      <c r="FA158">
        <f t="shared" si="135"/>
        <v>0</v>
      </c>
      <c r="FB158">
        <f>IF(FA158=0,0,1+COUNTIF(FB$3:FB157,"&gt;0"))</f>
        <v>0</v>
      </c>
      <c r="FC158" t="str">
        <f t="shared" si="158"/>
        <v/>
      </c>
      <c r="FD158" t="str">
        <f t="shared" si="136"/>
        <v/>
      </c>
      <c r="FF158">
        <f t="shared" si="137"/>
        <v>0</v>
      </c>
      <c r="FG158">
        <f>IF(FF158=0,0,1+COUNTIF(FG$3:FG157,"&gt;0"))</f>
        <v>0</v>
      </c>
      <c r="FH158" t="str">
        <f t="shared" si="159"/>
        <v/>
      </c>
      <c r="FI158" t="str">
        <f t="shared" si="138"/>
        <v/>
      </c>
      <c r="FK158">
        <f t="shared" si="139"/>
        <v>0</v>
      </c>
      <c r="FL158">
        <f>IF(FK158=0,0,1+COUNTIF(FL$3:FL157,"&gt;0"))</f>
        <v>0</v>
      </c>
      <c r="FM158" t="str">
        <f t="shared" si="160"/>
        <v/>
      </c>
      <c r="FN158" t="str">
        <f t="shared" si="140"/>
        <v/>
      </c>
      <c r="FP158">
        <f t="shared" si="141"/>
        <v>0</v>
      </c>
      <c r="FQ158">
        <f>IF(FP158=0,0,1+COUNTIF(FQ$3:FQ157,"&gt;0"))</f>
        <v>0</v>
      </c>
      <c r="FR158" t="str">
        <f t="shared" si="161"/>
        <v/>
      </c>
      <c r="FS158" t="str">
        <f t="shared" si="142"/>
        <v/>
      </c>
    </row>
    <row r="159" spans="1:175" x14ac:dyDescent="0.25">
      <c r="A159" s="347">
        <f t="shared" si="162"/>
        <v>157</v>
      </c>
      <c r="B159" s="348" t="s">
        <v>2531</v>
      </c>
      <c r="C159" s="348">
        <v>8</v>
      </c>
      <c r="D159" s="347">
        <v>8</v>
      </c>
      <c r="E159" s="627" t="s">
        <v>6952</v>
      </c>
      <c r="F159" s="346"/>
      <c r="G159" s="347" t="str">
        <f>""</f>
        <v/>
      </c>
      <c r="H159" s="347" t="s">
        <v>5912</v>
      </c>
      <c r="I159" s="347" t="s">
        <v>5283</v>
      </c>
      <c r="J159" s="347" t="str">
        <f t="shared" si="112"/>
        <v/>
      </c>
      <c r="K159" s="347" t="s">
        <v>5293</v>
      </c>
      <c r="L159" s="611" t="str">
        <f t="shared" si="113"/>
        <v>V</v>
      </c>
      <c r="M159" s="347" t="s">
        <v>2373</v>
      </c>
      <c r="N159" s="347" t="s">
        <v>3034</v>
      </c>
      <c r="O159" s="347" t="s">
        <v>3034</v>
      </c>
      <c r="Q159" s="347" t="s">
        <v>5276</v>
      </c>
      <c r="S159" s="346" t="s">
        <v>2532</v>
      </c>
      <c r="T159" s="346" t="str">
        <f t="shared" si="114"/>
        <v xml:space="preserve">Warlock, </v>
      </c>
      <c r="Y159" s="347" t="str">
        <f>$B159</f>
        <v>Glibness</v>
      </c>
      <c r="AE159" t="str">
        <f>IF(IFERROR(MATCH($B159,temp!A$4:A$13,0),0)&gt;0,T08_Spells!AE$2,"")</f>
        <v/>
      </c>
      <c r="AF159" t="str">
        <f>IF(IFERROR(MATCH($B159,temp!B$4:B$13,0),0)&gt;0,T08_Spells!AF$2,"")</f>
        <v/>
      </c>
      <c r="AG159" t="str">
        <f>IF(IFERROR(MATCH($B159,temp!C$4:C$13,0),0)&gt;0,T08_Spells!AG$2,"")</f>
        <v/>
      </c>
      <c r="AH159" t="str">
        <f>IF(IFERROR(MATCH($B159,temp!D$4:D$13,0),0)&gt;0,T08_Spells!AH$2,"")</f>
        <v/>
      </c>
      <c r="AI159" t="str">
        <f>IF(IFERROR(MATCH($B159,temp!E$4:E$13,0),0)&gt;0,T08_Spells!AI$2,"")</f>
        <v/>
      </c>
      <c r="AJ159" t="str">
        <f>IF(IFERROR(MATCH($B159,temp!F$4:F$13,0),0)&gt;0,T08_Spells!AJ$2,"")</f>
        <v/>
      </c>
      <c r="AK159" t="str">
        <f>IF(IFERROR(MATCH($B159,temp!G$4:G$13,0),0)&gt;0,T08_Spells!AK$2,"")</f>
        <v/>
      </c>
      <c r="AL159" t="str">
        <f>IF(IFERROR(MATCH($B159,temp!H$4:H$13,0),0)&gt;0,T08_Spells!AL$2,"")</f>
        <v/>
      </c>
      <c r="AM159" t="str">
        <f>IF(IFERROR(MATCH($B159,temp!I$4:I$13,0),0)&gt;0,T08_Spells!AM$2,"")</f>
        <v/>
      </c>
      <c r="AN159" t="str">
        <f>IF(IFERROR(MATCH($B159,temp!J$4:J$13,0),0)&gt;0,T08_Spells!AN$2,"")</f>
        <v/>
      </c>
      <c r="AO159" t="str">
        <f>IF(IFERROR(MATCH($B159,temp!K$4:K$13,0),0)&gt;0,T08_Spells!AO$2,"")</f>
        <v/>
      </c>
      <c r="AP159" t="str">
        <f>IF(IFERROR(MATCH($B159,temp!L$4:L$13,0),0)&gt;0,T08_Spells!AP$2,"")</f>
        <v/>
      </c>
      <c r="AQ159" t="str">
        <f>IF(IFERROR(MATCH($B159,temp!M$4:M$13,0),0)&gt;0,T08_Spells!AQ$2,"")</f>
        <v/>
      </c>
      <c r="AR159" t="str">
        <f>IF(IFERROR(MATCH($B159,temp!N$4:N$13,0),0)&gt;0,T08_Spells!AR$2,"")</f>
        <v/>
      </c>
      <c r="AS159" t="str">
        <f>IF(IFERROR(MATCH($B159,temp!O$4:O$13,0),0)&gt;0,T08_Spells!AS$2,"")</f>
        <v/>
      </c>
      <c r="AT159" t="str">
        <f>IF(IFERROR(MATCH($B159,temp!P$4:P$13,0),0)&gt;0,T08_Spells!AT$2,"")</f>
        <v/>
      </c>
      <c r="AU159" t="str">
        <f>IF(IFERROR(MATCH($B159,temp!Q$4:Q$13,0),0)&gt;0,T08_Spells!AU$2,"")</f>
        <v/>
      </c>
      <c r="AV159" t="str">
        <f>IF(IFERROR(MATCH($B159,temp!R$4:R$13,0),0)&gt;0,T08_Spells!AV$2,"")</f>
        <v/>
      </c>
      <c r="AW159" t="str">
        <f>IF(IFERROR(MATCH($B159,temp!S$4:S$13,0),0)&gt;0,T08_Spells!AW$2,"")</f>
        <v/>
      </c>
      <c r="AX159" t="str">
        <f>IF(IFERROR(MATCH($B159,temp!T$4:T$13,0),0)&gt;0,T08_Spells!AX$2,"")</f>
        <v/>
      </c>
      <c r="AY159" t="str">
        <f>IF(IFERROR(MATCH($B159,temp!U$4:U$13,0),0)&gt;0,T08_Spells!AY$2,"")</f>
        <v/>
      </c>
      <c r="AZ159" t="str">
        <f>IF(IFERROR(MATCH($B159,temp!V$4:V$13,0),0)&gt;0,T08_Spells!AZ$2,"")</f>
        <v/>
      </c>
      <c r="BA159" t="str">
        <f>IF(IFERROR(MATCH($B159,temp!W$4:W$13,0),0)&gt;0,T08_Spells!BA$2,"")</f>
        <v/>
      </c>
      <c r="BC159">
        <f>IF(IFERROR(SEARCH("Ranger",$T159,1),0)&gt;0,1,0)*IF(RangerMaxSpellLevel&gt;=$C159,1,0)*IF(IFERROR(MATCH(B159,Character_Creation!$X$79:$X$382,0),0)&gt;0,0,1)</f>
        <v>0</v>
      </c>
      <c r="BD159">
        <f>IF(BC159=0,0,1+COUNTIF(BD$3:BD158,"&gt;0"))</f>
        <v>0</v>
      </c>
      <c r="BE159" t="str">
        <f t="shared" si="143"/>
        <v/>
      </c>
      <c r="BF159" t="str">
        <f t="shared" si="115"/>
        <v/>
      </c>
      <c r="BH159">
        <f>IF(IFERROR(SEARCH("Sorcerer",$T159,1),0)&gt;0,1,0)*IF(SorcererMaxSpellLevel&gt;=$C159,1,0)*IF(IFERROR(MATCH(B159,Character_Creation!$J$380:$J$394,0),0)&gt;0,0,1)</f>
        <v>0</v>
      </c>
      <c r="BI159">
        <f>IF(BH159=0,0,1+COUNTIF(BI$3:BI158,"&gt;0"))</f>
        <v>0</v>
      </c>
      <c r="BJ159" t="str">
        <f t="shared" si="144"/>
        <v/>
      </c>
      <c r="BK159" t="str">
        <f t="shared" si="116"/>
        <v/>
      </c>
      <c r="BM159">
        <f>IF(OR(IFERROR(SEARCH("Warlock",$T159,1),0)&gt;0,IFERROR(SEARCH(WarlockPatron,$T159,1),0)&gt;0),1,0)*IF(WarlockMaxSpellLevel&gt;=$C159,1,0)*IF(IFERROR(MATCH(B159,Character_Creation!$J$361:$J$375,0),0)&gt;0,0,1)</f>
        <v>0</v>
      </c>
      <c r="BN159">
        <f>IF(BM159=0,0,1+COUNTIF(BN$3:BN158,"&gt;0"))</f>
        <v>0</v>
      </c>
      <c r="BO159" t="str">
        <f t="shared" si="145"/>
        <v/>
      </c>
      <c r="BP159" t="str">
        <f t="shared" si="117"/>
        <v/>
      </c>
      <c r="BR159">
        <f>IF(IFERROR(SEARCH("Eldritch Knight",$T159,1),0)&gt;0,1,0)*IF(EldritchKnightMaxSpellLevel&gt;=$C159,1,0)*IF(IFERROR(MATCH($B159,Character_Creation!$J$350:$J$356,0),0)&gt;0,0,1)*IF(Character_Creation!$M$338&gt;0,1,0)</f>
        <v>0</v>
      </c>
      <c r="BS159">
        <f>IF(BR159=0,0,1+COUNTIF(BS$3:BS158,"&gt;0"))</f>
        <v>0</v>
      </c>
      <c r="BT159" t="str">
        <f t="shared" si="146"/>
        <v/>
      </c>
      <c r="BU159" t="str">
        <f t="shared" si="118"/>
        <v/>
      </c>
      <c r="BW159">
        <f>IF(IFERROR(SEARCH("Arcane Trickster",$T159,1),0)&gt;0,1,0)*IF(ArcaneTricksterMaxSpellLevel&gt;=$C159,1,0)*IF(IFERROR(MATCH($B159,Character_Creation!$J$350:$J$356,0),0)&gt;0,0,1)*IF(Character_Creation!$T$338&gt;0,1,0)</f>
        <v>0</v>
      </c>
      <c r="BX159">
        <f>IF(BW159=0,0,1+COUNTIF(BX$3:BX158,"&gt;0"))</f>
        <v>0</v>
      </c>
      <c r="BY159" t="str">
        <f t="shared" si="147"/>
        <v/>
      </c>
      <c r="BZ159" t="str">
        <f t="shared" si="119"/>
        <v/>
      </c>
      <c r="CB159">
        <f>IF(IFERROR(SEARCH("Wizard",$T159,1),0)&gt;0,1,0)*IF(C159&lt;=ArcaneTricksterMaxSpellLevel,1,0)*IF(IFERROR(MATCH($B159,Character_Creation!$J$350:$J$356,0),0)&gt;0,0,1)*IF(Character_Creation!$T$350&gt;0,1,0)</f>
        <v>0</v>
      </c>
      <c r="CC159">
        <f>IF(CB159=0,0,1+COUNTIF(CC$3:CC158,"&gt;0"))</f>
        <v>0</v>
      </c>
      <c r="CD159" t="str">
        <f t="shared" si="148"/>
        <v/>
      </c>
      <c r="CE159" t="str">
        <f t="shared" si="120"/>
        <v/>
      </c>
      <c r="CG159">
        <f>IF(IFERROR(SEARCH("Wizard",$T159,1),0)&gt;0,1,0)*IF($C159&lt;=EldritchKnightMaxSpellLevel,1,0)*IF(IFERROR(MATCH($B159,Character_Creation!$J$350:$J$356,0),0)&gt;0,0,1)*IF(Character_Creation!$M$350&gt;0,1,0)</f>
        <v>0</v>
      </c>
      <c r="CH159">
        <f>IF(CG159=0,0,1+COUNTIF(CH$3:CH158,"&gt;0"))</f>
        <v>0</v>
      </c>
      <c r="CI159" t="str">
        <f t="shared" si="149"/>
        <v/>
      </c>
      <c r="CJ159" t="str">
        <f t="shared" si="121"/>
        <v/>
      </c>
      <c r="CL159">
        <f>IF(IFERROR(SEARCH("Bard",$T159,1),0)&gt;0,1,0)*IF(BardMaxSpellLevel&gt;=$C159,1,0)*IF(IFERROR(MATCH(B159,Character_Creation!$C$341:$F$362,0),0)&gt;0,0,1)*IF(IFERROR(MATCH($B159,Character_Creation!$C$341:$C$362,0),0)&gt;0,0,1)</f>
        <v>0</v>
      </c>
      <c r="CM159">
        <f>IF(CL159=0,0,1+COUNTIF(CM$3:CM158,"&gt;0"))</f>
        <v>0</v>
      </c>
      <c r="CN159" t="str">
        <f t="shared" si="150"/>
        <v/>
      </c>
      <c r="CO159" t="str">
        <f t="shared" si="122"/>
        <v/>
      </c>
      <c r="CQ159">
        <f>IF(IFERROR(SEARCH("Wizard",$T159,1),0)&gt;0,1,0)*IF(WizardMaxSpellLevel&gt;=$C159,1,0)*IF(IFERROR(MATCH(B159,Character_Creation!$X$341:$X$400,0),0)&gt;0,0,1)*IF(SelectedWizardSpellLevel=$C159,1,0)</f>
        <v>0</v>
      </c>
      <c r="CR159">
        <f>IF(CQ159=0,0,1+COUNTIF(CR$3:CR158,"&gt;0"))</f>
        <v>0</v>
      </c>
      <c r="CS159" t="str">
        <f t="shared" si="151"/>
        <v/>
      </c>
      <c r="CT159" t="str">
        <f t="shared" si="123"/>
        <v/>
      </c>
      <c r="CV159">
        <f>IF(IFERROR(MATCH($B159,Character_Creation!$C$341:$C$362,0),0)&gt;0,0,1)*IF(OR(C159="Cantrip",C159&lt;=BardMaxSpellLevel),1,0)*IF(IFERROR(MATCH($B159,Character_Creation!$C$367:$C$374,0),0)&gt;0,0,1)</f>
        <v>0</v>
      </c>
      <c r="CW159">
        <f>IF(CV159=0,0,1+COUNTIF(CW$3:CW158,"&gt;0"))</f>
        <v>0</v>
      </c>
      <c r="CX159" t="str">
        <f t="shared" si="152"/>
        <v/>
      </c>
      <c r="CY159" t="str">
        <f t="shared" si="124"/>
        <v/>
      </c>
      <c r="DA159">
        <f>IF(IF(OR(IFERROR(SEARCH("Cleric",$T159,1),0)&gt;0,IFERROR(SEARCH(DivineDomain&amp;",",$T159,1),0)&gt;0),1,0)*IF($C159=DA$2,1,0)=1,1+COUNTIF(DA$3:DA158,"&gt;0"),0)</f>
        <v>0</v>
      </c>
      <c r="DB159">
        <f>IF(IF(OR(IFERROR(SEARCH("Cleric",$T159,1),0)&gt;0,IFERROR(SEARCH(DivineDomain&amp;",",$T159,1),0)&gt;0),1,0)*IF($C159=DB$2,1,0)=1,1+COUNTIF(DB$3:DB158,"&gt;0"),0)</f>
        <v>0</v>
      </c>
      <c r="DC159">
        <f>IF(IF(OR(IFERROR(SEARCH("Cleric",$T159,1),0)&gt;0,IFERROR(SEARCH(DivineDomain&amp;",",$T159,1),0)&gt;0),1,0)*IF($C159=DC$2,1,0)=1,1+COUNTIF(DC$3:DC158,"&gt;0"),0)</f>
        <v>0</v>
      </c>
      <c r="DD159">
        <f>IF(IF(OR(IFERROR(SEARCH("Cleric",$T159,1),0)&gt;0,IFERROR(SEARCH(DivineDomain&amp;",",$T159,1),0)&gt;0),1,0)*IF($C159=DD$2,1,0)=1,1+COUNTIF(DD$3:DD158,"&gt;0"),0)</f>
        <v>0</v>
      </c>
      <c r="DE159">
        <f>IF(IF(OR(IFERROR(SEARCH("Cleric",$T159,1),0)&gt;0,IFERROR(SEARCH(DivineDomain&amp;",",$T159,1),0)&gt;0),1,0)*IF($C159=DE$2,1,0)=1,1+COUNTIF(DE$3:DE158,"&gt;0"),0)</f>
        <v>0</v>
      </c>
      <c r="DF159">
        <f>IF(IF(OR(IFERROR(SEARCH("Cleric",$T159,1),0)&gt;0,IFERROR(SEARCH(DivineDomain&amp;",",$T159,1),0)&gt;0),1,0)*IF($C159=DF$2,1,0)=1,1+COUNTIF(DF$3:DF158,"&gt;0"),0)</f>
        <v>0</v>
      </c>
      <c r="DG159">
        <f>IF(IF(OR(IFERROR(SEARCH("Cleric",$T159,1),0)&gt;0,IFERROR(SEARCH(DivineDomain&amp;",",$T159,1),0)&gt;0),1,0)*IF($C159=DG$2,1,0)=1,1+COUNTIF(DG$3:DG158,"&gt;0"),0)</f>
        <v>0</v>
      </c>
      <c r="DH159">
        <f>IF(IF(OR(IFERROR(SEARCH("Cleric",$T159,1),0)&gt;0,IFERROR(SEARCH(DivineDomain&amp;",",$T159,1),0)&gt;0),1,0)*IF($C159=DH$2,1,0)=1,1+COUNTIF(DH$3:DH158,"&gt;0"),0)</f>
        <v>0</v>
      </c>
      <c r="DI159">
        <f>IF(IF(OR(IFERROR(SEARCH("Cleric",$T159,1),0)&gt;0,IFERROR(SEARCH(DivineDomain&amp;",",$T159,1),0)&gt;0),1,0)*IF($C159=DI$2,1,0)=1,1+COUNTIF(DI$3:DI158,"&gt;0"),0)</f>
        <v>0</v>
      </c>
      <c r="DJ159">
        <f>IF(IF(OR(IFERROR(SEARCH("Druid",$T159,1),0)&gt;0,IFERROR(SEARCH(DruidLand1,$T159,1),0)&gt;0,IFERROR(SEARCH(DruidLand2,$T159,1),0)&gt;0,IFERROR(SEARCH(DruidLand3,$T159,1),0)&gt;0,IFERROR(SEARCH(DruidLand4,$T159,1),0)&gt;0),1,0)*IF($C159=1,1,0)*IF($C159=DJ$2,1,0)=0,0,1+COUNTIF(DJ$3:DJ158,"&gt;0"))</f>
        <v>0</v>
      </c>
      <c r="DK159">
        <f>IF(IF(OR(IFERROR(SEARCH("Druid",$T159,1),0)&gt;0,IFERROR(SEARCH(DruidLand1,$T159,1),0)&gt;0,IFERROR(SEARCH(DruidLand2,$T159,1),0)&gt;0,IFERROR(SEARCH(DruidLand3,$T159,1),0)&gt;0,IFERROR(SEARCH(DruidLand4,$T159,1),0)&gt;0),1,0)*IF($C159=1,1,0)*IF($C159=DK$2,1,0)=0,0,1+COUNTIF(DK$3:DK158,"&gt;0"))</f>
        <v>0</v>
      </c>
      <c r="DL159">
        <f>IF(IF(OR(IFERROR(SEARCH("Druid",$T159,1),0)&gt;0,IFERROR(SEARCH(DruidLand1,$T159,1),0)&gt;0,IFERROR(SEARCH(DruidLand2,$T159,1),0)&gt;0,IFERROR(SEARCH(DruidLand3,$T159,1),0)&gt;0,IFERROR(SEARCH(DruidLand4,$T159,1),0)&gt;0),1,0)*IF($C159=1,1,0)*IF($C159=DL$2,1,0)=0,0,1+COUNTIF(DL$3:DL158,"&gt;0"))</f>
        <v>0</v>
      </c>
      <c r="DM159">
        <f>IF(IF(OR(IFERROR(SEARCH("Druid",$T159,1),0)&gt;0,IFERROR(SEARCH(DruidLand1,$T159,1),0)&gt;0,IFERROR(SEARCH(DruidLand2,$T159,1),0)&gt;0,IFERROR(SEARCH(DruidLand3,$T159,1),0)&gt;0,IFERROR(SEARCH(DruidLand4,$T159,1),0)&gt;0),1,0)*IF($C159=1,1,0)*IF($C159=DM$2,1,0)=0,0,1+COUNTIF(DM$3:DM158,"&gt;0"))</f>
        <v>0</v>
      </c>
      <c r="DN159">
        <f>IF(IF(OR(IFERROR(SEARCH("Druid",$T159,1),0)&gt;0,IFERROR(SEARCH(DruidLand1,$T159,1),0)&gt;0,IFERROR(SEARCH(DruidLand2,$T159,1),0)&gt;0,IFERROR(SEARCH(DruidLand3,$T159,1),0)&gt;0,IFERROR(SEARCH(DruidLand4,$T159,1),0)&gt;0),1,0)*IF($C159=1,1,0)*IF($C159=DN$2,1,0)=0,0,1+COUNTIF(DN$3:DN158,"&gt;0"))</f>
        <v>0</v>
      </c>
      <c r="DO159">
        <f>IF(IF(OR(IFERROR(SEARCH("Druid",$T159,1),0)&gt;0,IFERROR(SEARCH(DruidLand1,$T159,1),0)&gt;0,IFERROR(SEARCH(DruidLand2,$T159,1),0)&gt;0,IFERROR(SEARCH(DruidLand3,$T159,1),0)&gt;0,IFERROR(SEARCH(DruidLand4,$T159,1),0)&gt;0),1,0)*IF($C159=1,1,0)*IF($C159=DO$2,1,0)=0,0,1+COUNTIF(DO$3:DO158,"&gt;0"))</f>
        <v>0</v>
      </c>
      <c r="DP159">
        <f>IF(IF(OR(IFERROR(SEARCH("Druid",$T159,1),0)&gt;0,IFERROR(SEARCH(DruidLand1,$T159,1),0)&gt;0,IFERROR(SEARCH(DruidLand2,$T159,1),0)&gt;0,IFERROR(SEARCH(DruidLand3,$T159,1),0)&gt;0,IFERROR(SEARCH(DruidLand4,$T159,1),0)&gt;0),1,0)*IF($C159=1,1,0)*IF($C159=DP$2,1,0)=0,0,1+COUNTIF(DP$3:DP158,"&gt;0"))</f>
        <v>0</v>
      </c>
      <c r="DQ159">
        <f>IF(IF(OR(IFERROR(SEARCH("Druid",$T159,1),0)&gt;0,IFERROR(SEARCH(DruidLand1,$T159,1),0)&gt;0,IFERROR(SEARCH(DruidLand2,$T159,1),0)&gt;0,IFERROR(SEARCH(DruidLand3,$T159,1),0)&gt;0,IFERROR(SEARCH(DruidLand4,$T159,1),0)&gt;0),1,0)*IF($C159=1,1,0)*IF($C159=DQ$2,1,0)=0,0,1+COUNTIF(DQ$3:DQ158,"&gt;0"))</f>
        <v>0</v>
      </c>
      <c r="DR159">
        <f>IF(IF(OR(IFERROR(SEARCH("Druid",$T159,1),0)&gt;0,IFERROR(SEARCH(DruidLand1,$T159,1),0)&gt;0,IFERROR(SEARCH(DruidLand2,$T159,1),0)&gt;0,IFERROR(SEARCH(DruidLand3,$T159,1),0)&gt;0,IFERROR(SEARCH(DruidLand4,$T159,1),0)&gt;0),1,0)*IF($C159=1,1,0)*IF($C159=DR$2,1,0)=0,0,1+COUNTIF(DR$3:DR158,"&gt;0"))</f>
        <v>0</v>
      </c>
      <c r="DS159">
        <f>IF(IF(OR(IFERROR(SEARCH("Paladin",$T159,1),0)&gt;0,IFERROR(SEARCH(PaladinOath,$T159,1),0)&gt;0),1,0)*IF($C159=DS$2,1,0)=1,1+COUNTIF(DS$3:DS158,"&gt;0"),0)</f>
        <v>0</v>
      </c>
      <c r="DT159">
        <f>IF(IF(OR(IFERROR(SEARCH("Paladin",$T159,1),0)&gt;0,IFERROR(SEARCH(PaladinOath,$T159,1),0)&gt;0),1,0)*IF($C159=DT$2,1,0)=1,1+COUNTIF(DT$3:DT158,"&gt;0"),0)</f>
        <v>0</v>
      </c>
      <c r="DU159">
        <f>IF(IF(OR(IFERROR(SEARCH("Paladin",$T159,1),0)&gt;0,IFERROR(SEARCH(PaladinOath,$T159,1),0)&gt;0),1,0)*IF($C159=DU$2,1,0)=1,1+COUNTIF(DU$3:DU158,"&gt;0"),0)</f>
        <v>0</v>
      </c>
      <c r="DV159">
        <f>IF(IF(OR(IFERROR(SEARCH("Paladin",$T159,1),0)&gt;0,IFERROR(SEARCH(PaladinOath,$T159,1),0)&gt;0),1,0)*IF($C159=DV$2,1,0)=1,1+COUNTIF(DV$3:DV158,"&gt;0"),0)</f>
        <v>0</v>
      </c>
      <c r="DW159">
        <f>IF(IF(OR(IFERROR(SEARCH("Paladin",$T159,1),0)&gt;0,IFERROR(SEARCH(PaladinOath,$T159,1),0)&gt;0),1,0)*IF($C159=DW$2,1,0)=1,1+COUNTIF(DW$3:DW158,"&gt;0"),0)</f>
        <v>0</v>
      </c>
      <c r="DY159">
        <f t="shared" si="111"/>
        <v>1</v>
      </c>
      <c r="DZ159">
        <f>IF(DY159=0,0,1+MAX(DZ$3:$DZ158))</f>
        <v>157</v>
      </c>
      <c r="EB159">
        <f t="shared" si="125"/>
        <v>0</v>
      </c>
      <c r="EC159">
        <f>IF(EB159=0,0,1+COUNTIF(EC$3:EC158,"&gt;0"))</f>
        <v>0</v>
      </c>
      <c r="ED159" t="str">
        <f t="shared" si="153"/>
        <v/>
      </c>
      <c r="EE159" t="str">
        <f t="shared" si="126"/>
        <v/>
      </c>
      <c r="EG159">
        <f t="shared" si="127"/>
        <v>0</v>
      </c>
      <c r="EH159">
        <f>IF(EG159=0,0,1+COUNTIF(EH$3:EH158,"&gt;0"))</f>
        <v>0</v>
      </c>
      <c r="EI159" t="str">
        <f t="shared" si="154"/>
        <v/>
      </c>
      <c r="EJ159" t="str">
        <f t="shared" si="128"/>
        <v/>
      </c>
      <c r="EL159">
        <f t="shared" si="129"/>
        <v>0</v>
      </c>
      <c r="EM159">
        <f>IF(EL159=0,0,1+COUNTIF(EM$3:EM158,"&gt;0"))</f>
        <v>0</v>
      </c>
      <c r="EN159" t="str">
        <f t="shared" si="155"/>
        <v/>
      </c>
      <c r="EO159" t="str">
        <f t="shared" si="130"/>
        <v/>
      </c>
      <c r="EQ159">
        <f t="shared" si="131"/>
        <v>0</v>
      </c>
      <c r="ER159">
        <f>IF(EQ159=0,0,1+COUNTIF(ER$3:ER158,"&gt;0"))</f>
        <v>0</v>
      </c>
      <c r="ES159" t="str">
        <f t="shared" si="156"/>
        <v/>
      </c>
      <c r="ET159" t="str">
        <f t="shared" si="132"/>
        <v/>
      </c>
      <c r="EV159">
        <f t="shared" si="133"/>
        <v>0</v>
      </c>
      <c r="EW159">
        <f>IF(EV159=0,0,1+COUNTIF(EW$3:EW158,"&gt;0"))</f>
        <v>0</v>
      </c>
      <c r="EX159" t="str">
        <f t="shared" si="157"/>
        <v/>
      </c>
      <c r="EY159" t="str">
        <f t="shared" si="134"/>
        <v/>
      </c>
      <c r="FA159">
        <f t="shared" si="135"/>
        <v>0</v>
      </c>
      <c r="FB159">
        <f>IF(FA159=0,0,1+COUNTIF(FB$3:FB158,"&gt;0"))</f>
        <v>0</v>
      </c>
      <c r="FC159" t="str">
        <f t="shared" si="158"/>
        <v/>
      </c>
      <c r="FD159" t="str">
        <f t="shared" si="136"/>
        <v/>
      </c>
      <c r="FF159">
        <f t="shared" si="137"/>
        <v>0</v>
      </c>
      <c r="FG159">
        <f>IF(FF159=0,0,1+COUNTIF(FG$3:FG158,"&gt;0"))</f>
        <v>0</v>
      </c>
      <c r="FH159" t="str">
        <f t="shared" si="159"/>
        <v/>
      </c>
      <c r="FI159" t="str">
        <f t="shared" si="138"/>
        <v/>
      </c>
      <c r="FK159">
        <f t="shared" si="139"/>
        <v>0</v>
      </c>
      <c r="FL159">
        <f>IF(FK159=0,0,1+COUNTIF(FL$3:FL158,"&gt;0"))</f>
        <v>0</v>
      </c>
      <c r="FM159" t="str">
        <f t="shared" si="160"/>
        <v/>
      </c>
      <c r="FN159" t="str">
        <f t="shared" si="140"/>
        <v/>
      </c>
      <c r="FP159">
        <f t="shared" si="141"/>
        <v>0</v>
      </c>
      <c r="FQ159">
        <f>IF(FP159=0,0,1+COUNTIF(FQ$3:FQ158,"&gt;0"))</f>
        <v>0</v>
      </c>
      <c r="FR159" t="str">
        <f t="shared" si="161"/>
        <v/>
      </c>
      <c r="FS159" t="str">
        <f t="shared" si="142"/>
        <v/>
      </c>
    </row>
    <row r="160" spans="1:175" x14ac:dyDescent="0.25">
      <c r="A160" s="347">
        <f t="shared" si="162"/>
        <v>158</v>
      </c>
      <c r="B160" s="348" t="s">
        <v>2533</v>
      </c>
      <c r="C160" s="348">
        <v>6</v>
      </c>
      <c r="D160" s="347">
        <v>6</v>
      </c>
      <c r="E160" s="627" t="s">
        <v>6952</v>
      </c>
      <c r="F160" s="346"/>
      <c r="G160" s="347" t="str">
        <f>""</f>
        <v/>
      </c>
      <c r="H160" s="347" t="s">
        <v>5912</v>
      </c>
      <c r="I160" s="347" t="s">
        <v>5283</v>
      </c>
      <c r="J160" s="347" t="str">
        <f t="shared" si="112"/>
        <v/>
      </c>
      <c r="K160" s="347" t="s">
        <v>5291</v>
      </c>
      <c r="L160" s="611" t="str">
        <f t="shared" si="113"/>
        <v>V, S, M, a glass or crytal bead that shatters when the spell ends</v>
      </c>
      <c r="M160" s="347" t="s">
        <v>2373</v>
      </c>
      <c r="N160" s="347" t="s">
        <v>2387</v>
      </c>
      <c r="O160" s="347" t="s">
        <v>1244</v>
      </c>
      <c r="P160" s="346" t="s">
        <v>5386</v>
      </c>
      <c r="Q160" s="347" t="s">
        <v>5270</v>
      </c>
      <c r="S160" s="346" t="s">
        <v>5713</v>
      </c>
      <c r="T160" s="346" t="str">
        <f t="shared" si="114"/>
        <v xml:space="preserve">Sorcerer, Eldritch Knight, Wizard, </v>
      </c>
      <c r="X160" s="347" t="str">
        <f>$B160</f>
        <v>Globe of Invulnerability</v>
      </c>
      <c r="AB160" s="542" t="str">
        <f>AD160</f>
        <v>Globe of Invulnerability</v>
      </c>
      <c r="AD160" s="347" t="str">
        <f>$B160</f>
        <v>Globe of Invulnerability</v>
      </c>
      <c r="AE160" t="str">
        <f>IF(IFERROR(MATCH($B160,temp!A$4:A$13,0),0)&gt;0,T08_Spells!AE$2,"")</f>
        <v/>
      </c>
      <c r="AF160" t="str">
        <f>IF(IFERROR(MATCH($B160,temp!B$4:B$13,0),0)&gt;0,T08_Spells!AF$2,"")</f>
        <v/>
      </c>
      <c r="AG160" t="str">
        <f>IF(IFERROR(MATCH($B160,temp!C$4:C$13,0),0)&gt;0,T08_Spells!AG$2,"")</f>
        <v/>
      </c>
      <c r="AH160" t="str">
        <f>IF(IFERROR(MATCH($B160,temp!D$4:D$13,0),0)&gt;0,T08_Spells!AH$2,"")</f>
        <v/>
      </c>
      <c r="AI160" t="str">
        <f>IF(IFERROR(MATCH($B160,temp!E$4:E$13,0),0)&gt;0,T08_Spells!AI$2,"")</f>
        <v/>
      </c>
      <c r="AJ160" t="str">
        <f>IF(IFERROR(MATCH($B160,temp!F$4:F$13,0),0)&gt;0,T08_Spells!AJ$2,"")</f>
        <v/>
      </c>
      <c r="AK160" t="str">
        <f>IF(IFERROR(MATCH($B160,temp!G$4:G$13,0),0)&gt;0,T08_Spells!AK$2,"")</f>
        <v/>
      </c>
      <c r="AL160" t="str">
        <f>IF(IFERROR(MATCH($B160,temp!H$4:H$13,0),0)&gt;0,T08_Spells!AL$2,"")</f>
        <v/>
      </c>
      <c r="AM160" t="str">
        <f>IF(IFERROR(MATCH($B160,temp!I$4:I$13,0),0)&gt;0,T08_Spells!AM$2,"")</f>
        <v/>
      </c>
      <c r="AN160" t="str">
        <f>IF(IFERROR(MATCH($B160,temp!J$4:J$13,0),0)&gt;0,T08_Spells!AN$2,"")</f>
        <v/>
      </c>
      <c r="AO160" t="str">
        <f>IF(IFERROR(MATCH($B160,temp!K$4:K$13,0),0)&gt;0,T08_Spells!AO$2,"")</f>
        <v/>
      </c>
      <c r="AP160" t="str">
        <f>IF(IFERROR(MATCH($B160,temp!L$4:L$13,0),0)&gt;0,T08_Spells!AP$2,"")</f>
        <v/>
      </c>
      <c r="AQ160" t="str">
        <f>IF(IFERROR(MATCH($B160,temp!M$4:M$13,0),0)&gt;0,T08_Spells!AQ$2,"")</f>
        <v/>
      </c>
      <c r="AR160" t="str">
        <f>IF(IFERROR(MATCH($B160,temp!N$4:N$13,0),0)&gt;0,T08_Spells!AR$2,"")</f>
        <v/>
      </c>
      <c r="AS160" t="str">
        <f>IF(IFERROR(MATCH($B160,temp!O$4:O$13,0),0)&gt;0,T08_Spells!AS$2,"")</f>
        <v/>
      </c>
      <c r="AT160" t="str">
        <f>IF(IFERROR(MATCH($B160,temp!P$4:P$13,0),0)&gt;0,T08_Spells!AT$2,"")</f>
        <v/>
      </c>
      <c r="AU160" t="str">
        <f>IF(IFERROR(MATCH($B160,temp!Q$4:Q$13,0),0)&gt;0,T08_Spells!AU$2,"")</f>
        <v/>
      </c>
      <c r="AV160" t="str">
        <f>IF(IFERROR(MATCH($B160,temp!R$4:R$13,0),0)&gt;0,T08_Spells!AV$2,"")</f>
        <v/>
      </c>
      <c r="AW160" t="str">
        <f>IF(IFERROR(MATCH($B160,temp!S$4:S$13,0),0)&gt;0,T08_Spells!AW$2,"")</f>
        <v/>
      </c>
      <c r="AX160" t="str">
        <f>IF(IFERROR(MATCH($B160,temp!T$4:T$13,0),0)&gt;0,T08_Spells!AX$2,"")</f>
        <v/>
      </c>
      <c r="AY160" t="str">
        <f>IF(IFERROR(MATCH($B160,temp!U$4:U$13,0),0)&gt;0,T08_Spells!AY$2,"")</f>
        <v/>
      </c>
      <c r="AZ160" t="str">
        <f>IF(IFERROR(MATCH($B160,temp!V$4:V$13,0),0)&gt;0,T08_Spells!AZ$2,"")</f>
        <v/>
      </c>
      <c r="BA160" t="str">
        <f>IF(IFERROR(MATCH($B160,temp!W$4:W$13,0),0)&gt;0,T08_Spells!BA$2,"")</f>
        <v/>
      </c>
      <c r="BC160">
        <f>IF(IFERROR(SEARCH("Ranger",$T160,1),0)&gt;0,1,0)*IF(RangerMaxSpellLevel&gt;=$C160,1,0)*IF(IFERROR(MATCH(B160,Character_Creation!$X$79:$X$382,0),0)&gt;0,0,1)</f>
        <v>0</v>
      </c>
      <c r="BD160">
        <f>IF(BC160=0,0,1+COUNTIF(BD$3:BD159,"&gt;0"))</f>
        <v>0</v>
      </c>
      <c r="BE160" t="str">
        <f t="shared" si="143"/>
        <v/>
      </c>
      <c r="BF160" t="str">
        <f t="shared" si="115"/>
        <v/>
      </c>
      <c r="BH160">
        <f>IF(IFERROR(SEARCH("Sorcerer",$T160,1),0)&gt;0,1,0)*IF(SorcererMaxSpellLevel&gt;=$C160,1,0)*IF(IFERROR(MATCH(B160,Character_Creation!$J$380:$J$394,0),0)&gt;0,0,1)</f>
        <v>0</v>
      </c>
      <c r="BI160">
        <f>IF(BH160=0,0,1+COUNTIF(BI$3:BI159,"&gt;0"))</f>
        <v>0</v>
      </c>
      <c r="BJ160" t="str">
        <f t="shared" si="144"/>
        <v/>
      </c>
      <c r="BK160" t="str">
        <f t="shared" si="116"/>
        <v/>
      </c>
      <c r="BM160">
        <f>IF(OR(IFERROR(SEARCH("Warlock",$T160,1),0)&gt;0,IFERROR(SEARCH(WarlockPatron,$T160,1),0)&gt;0),1,0)*IF(WarlockMaxSpellLevel&gt;=$C160,1,0)*IF(IFERROR(MATCH(B160,Character_Creation!$J$361:$J$375,0),0)&gt;0,0,1)</f>
        <v>0</v>
      </c>
      <c r="BN160">
        <f>IF(BM160=0,0,1+COUNTIF(BN$3:BN159,"&gt;0"))</f>
        <v>0</v>
      </c>
      <c r="BO160" t="str">
        <f t="shared" si="145"/>
        <v/>
      </c>
      <c r="BP160" t="str">
        <f t="shared" si="117"/>
        <v/>
      </c>
      <c r="BR160">
        <f>IF(IFERROR(SEARCH("Eldritch Knight",$T160,1),0)&gt;0,1,0)*IF(EldritchKnightMaxSpellLevel&gt;=$C160,1,0)*IF(IFERROR(MATCH($B160,Character_Creation!$J$350:$J$356,0),0)&gt;0,0,1)*IF(Character_Creation!$M$338&gt;0,1,0)</f>
        <v>0</v>
      </c>
      <c r="BS160">
        <f>IF(BR160=0,0,1+COUNTIF(BS$3:BS159,"&gt;0"))</f>
        <v>0</v>
      </c>
      <c r="BT160" t="str">
        <f t="shared" si="146"/>
        <v/>
      </c>
      <c r="BU160" t="str">
        <f t="shared" si="118"/>
        <v/>
      </c>
      <c r="BW160">
        <f>IF(IFERROR(SEARCH("Arcane Trickster",$T160,1),0)&gt;0,1,0)*IF(ArcaneTricksterMaxSpellLevel&gt;=$C160,1,0)*IF(IFERROR(MATCH($B160,Character_Creation!$J$350:$J$356,0),0)&gt;0,0,1)*IF(Character_Creation!$T$338&gt;0,1,0)</f>
        <v>0</v>
      </c>
      <c r="BX160">
        <f>IF(BW160=0,0,1+COUNTIF(BX$3:BX159,"&gt;0"))</f>
        <v>0</v>
      </c>
      <c r="BY160" t="str">
        <f t="shared" si="147"/>
        <v/>
      </c>
      <c r="BZ160" t="str">
        <f t="shared" si="119"/>
        <v/>
      </c>
      <c r="CB160">
        <f>IF(IFERROR(SEARCH("Wizard",$T160,1),0)&gt;0,1,0)*IF(C160&lt;=ArcaneTricksterMaxSpellLevel,1,0)*IF(IFERROR(MATCH($B160,Character_Creation!$J$350:$J$356,0),0)&gt;0,0,1)*IF(Character_Creation!$T$350&gt;0,1,0)</f>
        <v>0</v>
      </c>
      <c r="CC160">
        <f>IF(CB160=0,0,1+COUNTIF(CC$3:CC159,"&gt;0"))</f>
        <v>0</v>
      </c>
      <c r="CD160" t="str">
        <f t="shared" si="148"/>
        <v/>
      </c>
      <c r="CE160" t="str">
        <f t="shared" si="120"/>
        <v/>
      </c>
      <c r="CG160">
        <f>IF(IFERROR(SEARCH("Wizard",$T160,1),0)&gt;0,1,0)*IF($C160&lt;=EldritchKnightMaxSpellLevel,1,0)*IF(IFERROR(MATCH($B160,Character_Creation!$J$350:$J$356,0),0)&gt;0,0,1)*IF(Character_Creation!$M$350&gt;0,1,0)</f>
        <v>0</v>
      </c>
      <c r="CH160">
        <f>IF(CG160=0,0,1+COUNTIF(CH$3:CH159,"&gt;0"))</f>
        <v>0</v>
      </c>
      <c r="CI160" t="str">
        <f t="shared" si="149"/>
        <v/>
      </c>
      <c r="CJ160" t="str">
        <f t="shared" si="121"/>
        <v/>
      </c>
      <c r="CL160">
        <f>IF(IFERROR(SEARCH("Bard",$T160,1),0)&gt;0,1,0)*IF(BardMaxSpellLevel&gt;=$C160,1,0)*IF(IFERROR(MATCH(B160,Character_Creation!$C$341:$F$362,0),0)&gt;0,0,1)*IF(IFERROR(MATCH($B160,Character_Creation!$C$341:$C$362,0),0)&gt;0,0,1)</f>
        <v>0</v>
      </c>
      <c r="CM160">
        <f>IF(CL160=0,0,1+COUNTIF(CM$3:CM159,"&gt;0"))</f>
        <v>0</v>
      </c>
      <c r="CN160" t="str">
        <f t="shared" si="150"/>
        <v/>
      </c>
      <c r="CO160" t="str">
        <f t="shared" si="122"/>
        <v/>
      </c>
      <c r="CQ160">
        <f>IF(IFERROR(SEARCH("Wizard",$T160,1),0)&gt;0,1,0)*IF(WizardMaxSpellLevel&gt;=$C160,1,0)*IF(IFERROR(MATCH(B160,Character_Creation!$X$341:$X$400,0),0)&gt;0,0,1)*IF(SelectedWizardSpellLevel=$C160,1,0)</f>
        <v>0</v>
      </c>
      <c r="CR160">
        <f>IF(CQ160=0,0,1+COUNTIF(CR$3:CR159,"&gt;0"))</f>
        <v>0</v>
      </c>
      <c r="CS160" t="str">
        <f t="shared" si="151"/>
        <v/>
      </c>
      <c r="CT160" t="str">
        <f t="shared" si="123"/>
        <v/>
      </c>
      <c r="CV160">
        <f>IF(IFERROR(MATCH($B160,Character_Creation!$C$341:$C$362,0),0)&gt;0,0,1)*IF(OR(C160="Cantrip",C160&lt;=BardMaxSpellLevel),1,0)*IF(IFERROR(MATCH($B160,Character_Creation!$C$367:$C$374,0),0)&gt;0,0,1)</f>
        <v>0</v>
      </c>
      <c r="CW160">
        <f>IF(CV160=0,0,1+COUNTIF(CW$3:CW159,"&gt;0"))</f>
        <v>0</v>
      </c>
      <c r="CX160" t="str">
        <f t="shared" si="152"/>
        <v/>
      </c>
      <c r="CY160" t="str">
        <f t="shared" si="124"/>
        <v/>
      </c>
      <c r="DA160">
        <f>IF(IF(OR(IFERROR(SEARCH("Cleric",$T160,1),0)&gt;0,IFERROR(SEARCH(DivineDomain&amp;",",$T160,1),0)&gt;0),1,0)*IF($C160=DA$2,1,0)=1,1+COUNTIF(DA$3:DA159,"&gt;0"),0)</f>
        <v>0</v>
      </c>
      <c r="DB160">
        <f>IF(IF(OR(IFERROR(SEARCH("Cleric",$T160,1),0)&gt;0,IFERROR(SEARCH(DivineDomain&amp;",",$T160,1),0)&gt;0),1,0)*IF($C160=DB$2,1,0)=1,1+COUNTIF(DB$3:DB159,"&gt;0"),0)</f>
        <v>0</v>
      </c>
      <c r="DC160">
        <f>IF(IF(OR(IFERROR(SEARCH("Cleric",$T160,1),0)&gt;0,IFERROR(SEARCH(DivineDomain&amp;",",$T160,1),0)&gt;0),1,0)*IF($C160=DC$2,1,0)=1,1+COUNTIF(DC$3:DC159,"&gt;0"),0)</f>
        <v>0</v>
      </c>
      <c r="DD160">
        <f>IF(IF(OR(IFERROR(SEARCH("Cleric",$T160,1),0)&gt;0,IFERROR(SEARCH(DivineDomain&amp;",",$T160,1),0)&gt;0),1,0)*IF($C160=DD$2,1,0)=1,1+COUNTIF(DD$3:DD159,"&gt;0"),0)</f>
        <v>0</v>
      </c>
      <c r="DE160">
        <f>IF(IF(OR(IFERROR(SEARCH("Cleric",$T160,1),0)&gt;0,IFERROR(SEARCH(DivineDomain&amp;",",$T160,1),0)&gt;0),1,0)*IF($C160=DE$2,1,0)=1,1+COUNTIF(DE$3:DE159,"&gt;0"),0)</f>
        <v>0</v>
      </c>
      <c r="DF160">
        <f>IF(IF(OR(IFERROR(SEARCH("Cleric",$T160,1),0)&gt;0,IFERROR(SEARCH(DivineDomain&amp;",",$T160,1),0)&gt;0),1,0)*IF($C160=DF$2,1,0)=1,1+COUNTIF(DF$3:DF159,"&gt;0"),0)</f>
        <v>0</v>
      </c>
      <c r="DG160">
        <f>IF(IF(OR(IFERROR(SEARCH("Cleric",$T160,1),0)&gt;0,IFERROR(SEARCH(DivineDomain&amp;",",$T160,1),0)&gt;0),1,0)*IF($C160=DG$2,1,0)=1,1+COUNTIF(DG$3:DG159,"&gt;0"),0)</f>
        <v>0</v>
      </c>
      <c r="DH160">
        <f>IF(IF(OR(IFERROR(SEARCH("Cleric",$T160,1),0)&gt;0,IFERROR(SEARCH(DivineDomain&amp;",",$T160,1),0)&gt;0),1,0)*IF($C160=DH$2,1,0)=1,1+COUNTIF(DH$3:DH159,"&gt;0"),0)</f>
        <v>0</v>
      </c>
      <c r="DI160">
        <f>IF(IF(OR(IFERROR(SEARCH("Cleric",$T160,1),0)&gt;0,IFERROR(SEARCH(DivineDomain&amp;",",$T160,1),0)&gt;0),1,0)*IF($C160=DI$2,1,0)=1,1+COUNTIF(DI$3:DI159,"&gt;0"),0)</f>
        <v>0</v>
      </c>
      <c r="DJ160">
        <f>IF(IF(OR(IFERROR(SEARCH("Druid",$T160,1),0)&gt;0,IFERROR(SEARCH(DruidLand1,$T160,1),0)&gt;0,IFERROR(SEARCH(DruidLand2,$T160,1),0)&gt;0,IFERROR(SEARCH(DruidLand3,$T160,1),0)&gt;0,IFERROR(SEARCH(DruidLand4,$T160,1),0)&gt;0),1,0)*IF($C160=1,1,0)*IF($C160=DJ$2,1,0)=0,0,1+COUNTIF(DJ$3:DJ159,"&gt;0"))</f>
        <v>0</v>
      </c>
      <c r="DK160">
        <f>IF(IF(OR(IFERROR(SEARCH("Druid",$T160,1),0)&gt;0,IFERROR(SEARCH(DruidLand1,$T160,1),0)&gt;0,IFERROR(SEARCH(DruidLand2,$T160,1),0)&gt;0,IFERROR(SEARCH(DruidLand3,$T160,1),0)&gt;0,IFERROR(SEARCH(DruidLand4,$T160,1),0)&gt;0),1,0)*IF($C160=1,1,0)*IF($C160=DK$2,1,0)=0,0,1+COUNTIF(DK$3:DK159,"&gt;0"))</f>
        <v>0</v>
      </c>
      <c r="DL160">
        <f>IF(IF(OR(IFERROR(SEARCH("Druid",$T160,1),0)&gt;0,IFERROR(SEARCH(DruidLand1,$T160,1),0)&gt;0,IFERROR(SEARCH(DruidLand2,$T160,1),0)&gt;0,IFERROR(SEARCH(DruidLand3,$T160,1),0)&gt;0,IFERROR(SEARCH(DruidLand4,$T160,1),0)&gt;0),1,0)*IF($C160=1,1,0)*IF($C160=DL$2,1,0)=0,0,1+COUNTIF(DL$3:DL159,"&gt;0"))</f>
        <v>0</v>
      </c>
      <c r="DM160">
        <f>IF(IF(OR(IFERROR(SEARCH("Druid",$T160,1),0)&gt;0,IFERROR(SEARCH(DruidLand1,$T160,1),0)&gt;0,IFERROR(SEARCH(DruidLand2,$T160,1),0)&gt;0,IFERROR(SEARCH(DruidLand3,$T160,1),0)&gt;0,IFERROR(SEARCH(DruidLand4,$T160,1),0)&gt;0),1,0)*IF($C160=1,1,0)*IF($C160=DM$2,1,0)=0,0,1+COUNTIF(DM$3:DM159,"&gt;0"))</f>
        <v>0</v>
      </c>
      <c r="DN160">
        <f>IF(IF(OR(IFERROR(SEARCH("Druid",$T160,1),0)&gt;0,IFERROR(SEARCH(DruidLand1,$T160,1),0)&gt;0,IFERROR(SEARCH(DruidLand2,$T160,1),0)&gt;0,IFERROR(SEARCH(DruidLand3,$T160,1),0)&gt;0,IFERROR(SEARCH(DruidLand4,$T160,1),0)&gt;0),1,0)*IF($C160=1,1,0)*IF($C160=DN$2,1,0)=0,0,1+COUNTIF(DN$3:DN159,"&gt;0"))</f>
        <v>0</v>
      </c>
      <c r="DO160">
        <f>IF(IF(OR(IFERROR(SEARCH("Druid",$T160,1),0)&gt;0,IFERROR(SEARCH(DruidLand1,$T160,1),0)&gt;0,IFERROR(SEARCH(DruidLand2,$T160,1),0)&gt;0,IFERROR(SEARCH(DruidLand3,$T160,1),0)&gt;0,IFERROR(SEARCH(DruidLand4,$T160,1),0)&gt;0),1,0)*IF($C160=1,1,0)*IF($C160=DO$2,1,0)=0,0,1+COUNTIF(DO$3:DO159,"&gt;0"))</f>
        <v>0</v>
      </c>
      <c r="DP160">
        <f>IF(IF(OR(IFERROR(SEARCH("Druid",$T160,1),0)&gt;0,IFERROR(SEARCH(DruidLand1,$T160,1),0)&gt;0,IFERROR(SEARCH(DruidLand2,$T160,1),0)&gt;0,IFERROR(SEARCH(DruidLand3,$T160,1),0)&gt;0,IFERROR(SEARCH(DruidLand4,$T160,1),0)&gt;0),1,0)*IF($C160=1,1,0)*IF($C160=DP$2,1,0)=0,0,1+COUNTIF(DP$3:DP159,"&gt;0"))</f>
        <v>0</v>
      </c>
      <c r="DQ160">
        <f>IF(IF(OR(IFERROR(SEARCH("Druid",$T160,1),0)&gt;0,IFERROR(SEARCH(DruidLand1,$T160,1),0)&gt;0,IFERROR(SEARCH(DruidLand2,$T160,1),0)&gt;0,IFERROR(SEARCH(DruidLand3,$T160,1),0)&gt;0,IFERROR(SEARCH(DruidLand4,$T160,1),0)&gt;0),1,0)*IF($C160=1,1,0)*IF($C160=DQ$2,1,0)=0,0,1+COUNTIF(DQ$3:DQ159,"&gt;0"))</f>
        <v>0</v>
      </c>
      <c r="DR160">
        <f>IF(IF(OR(IFERROR(SEARCH("Druid",$T160,1),0)&gt;0,IFERROR(SEARCH(DruidLand1,$T160,1),0)&gt;0,IFERROR(SEARCH(DruidLand2,$T160,1),0)&gt;0,IFERROR(SEARCH(DruidLand3,$T160,1),0)&gt;0,IFERROR(SEARCH(DruidLand4,$T160,1),0)&gt;0),1,0)*IF($C160=1,1,0)*IF($C160=DR$2,1,0)=0,0,1+COUNTIF(DR$3:DR159,"&gt;0"))</f>
        <v>0</v>
      </c>
      <c r="DS160">
        <f>IF(IF(OR(IFERROR(SEARCH("Paladin",$T160,1),0)&gt;0,IFERROR(SEARCH(PaladinOath,$T160,1),0)&gt;0),1,0)*IF($C160=DS$2,1,0)=1,1+COUNTIF(DS$3:DS159,"&gt;0"),0)</f>
        <v>0</v>
      </c>
      <c r="DT160">
        <f>IF(IF(OR(IFERROR(SEARCH("Paladin",$T160,1),0)&gt;0,IFERROR(SEARCH(PaladinOath,$T160,1),0)&gt;0),1,0)*IF($C160=DT$2,1,0)=1,1+COUNTIF(DT$3:DT159,"&gt;0"),0)</f>
        <v>0</v>
      </c>
      <c r="DU160">
        <f>IF(IF(OR(IFERROR(SEARCH("Paladin",$T160,1),0)&gt;0,IFERROR(SEARCH(PaladinOath,$T160,1),0)&gt;0),1,0)*IF($C160=DU$2,1,0)=1,1+COUNTIF(DU$3:DU159,"&gt;0"),0)</f>
        <v>0</v>
      </c>
      <c r="DV160">
        <f>IF(IF(OR(IFERROR(SEARCH("Paladin",$T160,1),0)&gt;0,IFERROR(SEARCH(PaladinOath,$T160,1),0)&gt;0),1,0)*IF($C160=DV$2,1,0)=1,1+COUNTIF(DV$3:DV159,"&gt;0"),0)</f>
        <v>0</v>
      </c>
      <c r="DW160">
        <f>IF(IF(OR(IFERROR(SEARCH("Paladin",$T160,1),0)&gt;0,IFERROR(SEARCH(PaladinOath,$T160,1),0)&gt;0),1,0)*IF($C160=DW$2,1,0)=1,1+COUNTIF(DW$3:DW159,"&gt;0"),0)</f>
        <v>0</v>
      </c>
      <c r="DY160">
        <f t="shared" si="111"/>
        <v>1</v>
      </c>
      <c r="DZ160">
        <f>IF(DY160=0,0,1+MAX(DZ$3:$DZ159))</f>
        <v>158</v>
      </c>
      <c r="EB160">
        <f t="shared" si="125"/>
        <v>0</v>
      </c>
      <c r="EC160">
        <f>IF(EB160=0,0,1+COUNTIF(EC$3:EC159,"&gt;0"))</f>
        <v>0</v>
      </c>
      <c r="ED160" t="str">
        <f t="shared" si="153"/>
        <v/>
      </c>
      <c r="EE160" t="str">
        <f t="shared" si="126"/>
        <v/>
      </c>
      <c r="EG160">
        <f t="shared" si="127"/>
        <v>0</v>
      </c>
      <c r="EH160">
        <f>IF(EG160=0,0,1+COUNTIF(EH$3:EH159,"&gt;0"))</f>
        <v>0</v>
      </c>
      <c r="EI160" t="str">
        <f t="shared" si="154"/>
        <v/>
      </c>
      <c r="EJ160" t="str">
        <f t="shared" si="128"/>
        <v/>
      </c>
      <c r="EL160">
        <f t="shared" si="129"/>
        <v>0</v>
      </c>
      <c r="EM160">
        <f>IF(EL160=0,0,1+COUNTIF(EM$3:EM159,"&gt;0"))</f>
        <v>0</v>
      </c>
      <c r="EN160" t="str">
        <f t="shared" si="155"/>
        <v/>
      </c>
      <c r="EO160" t="str">
        <f t="shared" si="130"/>
        <v/>
      </c>
      <c r="EQ160">
        <f t="shared" si="131"/>
        <v>0</v>
      </c>
      <c r="ER160">
        <f>IF(EQ160=0,0,1+COUNTIF(ER$3:ER159,"&gt;0"))</f>
        <v>0</v>
      </c>
      <c r="ES160" t="str">
        <f t="shared" si="156"/>
        <v/>
      </c>
      <c r="ET160" t="str">
        <f t="shared" si="132"/>
        <v/>
      </c>
      <c r="EV160">
        <f t="shared" si="133"/>
        <v>0</v>
      </c>
      <c r="EW160">
        <f>IF(EV160=0,0,1+COUNTIF(EW$3:EW159,"&gt;0"))</f>
        <v>0</v>
      </c>
      <c r="EX160" t="str">
        <f t="shared" si="157"/>
        <v/>
      </c>
      <c r="EY160" t="str">
        <f t="shared" si="134"/>
        <v/>
      </c>
      <c r="FA160">
        <f t="shared" si="135"/>
        <v>0</v>
      </c>
      <c r="FB160">
        <f>IF(FA160=0,0,1+COUNTIF(FB$3:FB159,"&gt;0"))</f>
        <v>0</v>
      </c>
      <c r="FC160" t="str">
        <f t="shared" si="158"/>
        <v/>
      </c>
      <c r="FD160" t="str">
        <f t="shared" si="136"/>
        <v/>
      </c>
      <c r="FF160">
        <f t="shared" si="137"/>
        <v>0</v>
      </c>
      <c r="FG160">
        <f>IF(FF160=0,0,1+COUNTIF(FG$3:FG159,"&gt;0"))</f>
        <v>0</v>
      </c>
      <c r="FH160" t="str">
        <f t="shared" si="159"/>
        <v/>
      </c>
      <c r="FI160" t="str">
        <f t="shared" si="138"/>
        <v/>
      </c>
      <c r="FK160">
        <f t="shared" si="139"/>
        <v>0</v>
      </c>
      <c r="FL160">
        <f>IF(FK160=0,0,1+COUNTIF(FL$3:FL159,"&gt;0"))</f>
        <v>0</v>
      </c>
      <c r="FM160" t="str">
        <f t="shared" si="160"/>
        <v/>
      </c>
      <c r="FN160" t="str">
        <f t="shared" si="140"/>
        <v/>
      </c>
      <c r="FP160">
        <f t="shared" si="141"/>
        <v>0</v>
      </c>
      <c r="FQ160">
        <f>IF(FP160=0,0,1+COUNTIF(FQ$3:FQ159,"&gt;0"))</f>
        <v>0</v>
      </c>
      <c r="FR160" t="str">
        <f t="shared" si="161"/>
        <v/>
      </c>
      <c r="FS160" t="str">
        <f t="shared" si="142"/>
        <v/>
      </c>
    </row>
    <row r="161" spans="1:175" x14ac:dyDescent="0.25">
      <c r="A161" s="347">
        <f t="shared" si="162"/>
        <v>159</v>
      </c>
      <c r="B161" s="348" t="s">
        <v>2534</v>
      </c>
      <c r="C161" s="348">
        <v>3</v>
      </c>
      <c r="D161" s="347">
        <v>3</v>
      </c>
      <c r="E161" s="627" t="s">
        <v>6952</v>
      </c>
      <c r="F161" s="346"/>
      <c r="G161" s="347" t="str">
        <f>""</f>
        <v/>
      </c>
      <c r="H161" s="347" t="s">
        <v>5293</v>
      </c>
      <c r="I161" s="347" t="s">
        <v>5298</v>
      </c>
      <c r="J161" s="347" t="str">
        <f t="shared" si="112"/>
        <v/>
      </c>
      <c r="K161" s="347" t="s">
        <v>5387</v>
      </c>
      <c r="L161" s="611" t="str">
        <f t="shared" si="113"/>
        <v>V, S, M, incense and powdered diamond worth at least 200 gp, which the spell consumes</v>
      </c>
      <c r="M161" s="347" t="s">
        <v>2373</v>
      </c>
      <c r="N161" s="347" t="s">
        <v>2387</v>
      </c>
      <c r="O161" s="347" t="s">
        <v>1244</v>
      </c>
      <c r="P161" s="346" t="s">
        <v>5388</v>
      </c>
      <c r="Q161" s="347" t="s">
        <v>5270</v>
      </c>
      <c r="S161" s="346" t="s">
        <v>5714</v>
      </c>
      <c r="T161" s="346" t="str">
        <f t="shared" si="114"/>
        <v xml:space="preserve">Bard, Cleric, Eldritch Knight, Wizard, </v>
      </c>
      <c r="U161" s="347" t="str">
        <f>$B161</f>
        <v>Glyph of Warding</v>
      </c>
      <c r="Z161" s="347" t="str">
        <f>$B161</f>
        <v>Glyph of Warding</v>
      </c>
      <c r="AB161" s="542" t="str">
        <f>AD161</f>
        <v>Glyph of Warding</v>
      </c>
      <c r="AD161" s="347" t="str">
        <f>$B161</f>
        <v>Glyph of Warding</v>
      </c>
      <c r="AE161" t="str">
        <f>IF(IFERROR(MATCH($B161,temp!A$4:A$13,0),0)&gt;0,T08_Spells!AE$2,"")</f>
        <v/>
      </c>
      <c r="AF161" t="str">
        <f>IF(IFERROR(MATCH($B161,temp!B$4:B$13,0),0)&gt;0,T08_Spells!AF$2,"")</f>
        <v/>
      </c>
      <c r="AG161" t="str">
        <f>IF(IFERROR(MATCH($B161,temp!C$4:C$13,0),0)&gt;0,T08_Spells!AG$2,"")</f>
        <v/>
      </c>
      <c r="AH161" t="str">
        <f>IF(IFERROR(MATCH($B161,temp!D$4:D$13,0),0)&gt;0,T08_Spells!AH$2,"")</f>
        <v/>
      </c>
      <c r="AI161" t="str">
        <f>IF(IFERROR(MATCH($B161,temp!E$4:E$13,0),0)&gt;0,T08_Spells!AI$2,"")</f>
        <v/>
      </c>
      <c r="AJ161" t="str">
        <f>IF(IFERROR(MATCH($B161,temp!F$4:F$13,0),0)&gt;0,T08_Spells!AJ$2,"")</f>
        <v/>
      </c>
      <c r="AK161" t="str">
        <f>IF(IFERROR(MATCH($B161,temp!G$4:G$13,0),0)&gt;0,T08_Spells!AK$2,"")</f>
        <v/>
      </c>
      <c r="AL161" t="str">
        <f>IF(IFERROR(MATCH($B161,temp!H$4:H$13,0),0)&gt;0,T08_Spells!AL$2,"")</f>
        <v/>
      </c>
      <c r="AM161" t="str">
        <f>IF(IFERROR(MATCH($B161,temp!I$4:I$13,0),0)&gt;0,T08_Spells!AM$2,"")</f>
        <v/>
      </c>
      <c r="AN161" t="str">
        <f>IF(IFERROR(MATCH($B161,temp!J$4:J$13,0),0)&gt;0,T08_Spells!AN$2,"")</f>
        <v/>
      </c>
      <c r="AO161" t="str">
        <f>IF(IFERROR(MATCH($B161,temp!K$4:K$13,0),0)&gt;0,T08_Spells!AO$2,"")</f>
        <v/>
      </c>
      <c r="AP161" t="str">
        <f>IF(IFERROR(MATCH($B161,temp!L$4:L$13,0),0)&gt;0,T08_Spells!AP$2,"")</f>
        <v/>
      </c>
      <c r="AQ161" t="str">
        <f>IF(IFERROR(MATCH($B161,temp!M$4:M$13,0),0)&gt;0,T08_Spells!AQ$2,"")</f>
        <v/>
      </c>
      <c r="AR161" t="str">
        <f>IF(IFERROR(MATCH($B161,temp!N$4:N$13,0),0)&gt;0,T08_Spells!AR$2,"")</f>
        <v/>
      </c>
      <c r="AS161" t="str">
        <f>IF(IFERROR(MATCH($B161,temp!O$4:O$13,0),0)&gt;0,T08_Spells!AS$2,"")</f>
        <v/>
      </c>
      <c r="AT161" t="str">
        <f>IF(IFERROR(MATCH($B161,temp!P$4:P$13,0),0)&gt;0,T08_Spells!AT$2,"")</f>
        <v/>
      </c>
      <c r="AU161" t="str">
        <f>IF(IFERROR(MATCH($B161,temp!Q$4:Q$13,0),0)&gt;0,T08_Spells!AU$2,"")</f>
        <v/>
      </c>
      <c r="AV161" t="str">
        <f>IF(IFERROR(MATCH($B161,temp!R$4:R$13,0),0)&gt;0,T08_Spells!AV$2,"")</f>
        <v/>
      </c>
      <c r="AW161" t="str">
        <f>IF(IFERROR(MATCH($B161,temp!S$4:S$13,0),0)&gt;0,T08_Spells!AW$2,"")</f>
        <v/>
      </c>
      <c r="AX161" t="str">
        <f>IF(IFERROR(MATCH($B161,temp!T$4:T$13,0),0)&gt;0,T08_Spells!AX$2,"")</f>
        <v/>
      </c>
      <c r="AY161" t="str">
        <f>IF(IFERROR(MATCH($B161,temp!U$4:U$13,0),0)&gt;0,T08_Spells!AY$2,"")</f>
        <v/>
      </c>
      <c r="AZ161" t="str">
        <f>IF(IFERROR(MATCH($B161,temp!V$4:V$13,0),0)&gt;0,T08_Spells!AZ$2,"")</f>
        <v/>
      </c>
      <c r="BA161" t="str">
        <f>IF(IFERROR(MATCH($B161,temp!W$4:W$13,0),0)&gt;0,T08_Spells!BA$2,"")</f>
        <v/>
      </c>
      <c r="BC161">
        <f>IF(IFERROR(SEARCH("Ranger",$T161,1),0)&gt;0,1,0)*IF(RangerMaxSpellLevel&gt;=$C161,1,0)*IF(IFERROR(MATCH(B161,Character_Creation!$X$79:$X$382,0),0)&gt;0,0,1)</f>
        <v>0</v>
      </c>
      <c r="BD161">
        <f>IF(BC161=0,0,1+COUNTIF(BD$3:BD160,"&gt;0"))</f>
        <v>0</v>
      </c>
      <c r="BE161" t="str">
        <f t="shared" si="143"/>
        <v/>
      </c>
      <c r="BF161" t="str">
        <f t="shared" si="115"/>
        <v/>
      </c>
      <c r="BH161">
        <f>IF(IFERROR(SEARCH("Sorcerer",$T161,1),0)&gt;0,1,0)*IF(SorcererMaxSpellLevel&gt;=$C161,1,0)*IF(IFERROR(MATCH(B161,Character_Creation!$J$380:$J$394,0),0)&gt;0,0,1)</f>
        <v>0</v>
      </c>
      <c r="BI161">
        <f>IF(BH161=0,0,1+COUNTIF(BI$3:BI160,"&gt;0"))</f>
        <v>0</v>
      </c>
      <c r="BJ161" t="str">
        <f t="shared" si="144"/>
        <v/>
      </c>
      <c r="BK161" t="str">
        <f t="shared" si="116"/>
        <v/>
      </c>
      <c r="BM161">
        <f>IF(OR(IFERROR(SEARCH("Warlock",$T161,1),0)&gt;0,IFERROR(SEARCH(WarlockPatron,$T161,1),0)&gt;0),1,0)*IF(WarlockMaxSpellLevel&gt;=$C161,1,0)*IF(IFERROR(MATCH(B161,Character_Creation!$J$361:$J$375,0),0)&gt;0,0,1)</f>
        <v>0</v>
      </c>
      <c r="BN161">
        <f>IF(BM161=0,0,1+COUNTIF(BN$3:BN160,"&gt;0"))</f>
        <v>0</v>
      </c>
      <c r="BO161" t="str">
        <f t="shared" si="145"/>
        <v/>
      </c>
      <c r="BP161" t="str">
        <f t="shared" si="117"/>
        <v/>
      </c>
      <c r="BR161">
        <f>IF(IFERROR(SEARCH("Eldritch Knight",$T161,1),0)&gt;0,1,0)*IF(EldritchKnightMaxSpellLevel&gt;=$C161,1,0)*IF(IFERROR(MATCH($B161,Character_Creation!$J$350:$J$356,0),0)&gt;0,0,1)*IF(Character_Creation!$M$338&gt;0,1,0)</f>
        <v>0</v>
      </c>
      <c r="BS161">
        <f>IF(BR161=0,0,1+COUNTIF(BS$3:BS160,"&gt;0"))</f>
        <v>0</v>
      </c>
      <c r="BT161" t="str">
        <f t="shared" si="146"/>
        <v/>
      </c>
      <c r="BU161" t="str">
        <f t="shared" si="118"/>
        <v/>
      </c>
      <c r="BW161">
        <f>IF(IFERROR(SEARCH("Arcane Trickster",$T161,1),0)&gt;0,1,0)*IF(ArcaneTricksterMaxSpellLevel&gt;=$C161,1,0)*IF(IFERROR(MATCH($B161,Character_Creation!$J$350:$J$356,0),0)&gt;0,0,1)*IF(Character_Creation!$T$338&gt;0,1,0)</f>
        <v>0</v>
      </c>
      <c r="BX161">
        <f>IF(BW161=0,0,1+COUNTIF(BX$3:BX160,"&gt;0"))</f>
        <v>0</v>
      </c>
      <c r="BY161" t="str">
        <f t="shared" si="147"/>
        <v/>
      </c>
      <c r="BZ161" t="str">
        <f t="shared" si="119"/>
        <v/>
      </c>
      <c r="CB161">
        <f>IF(IFERROR(SEARCH("Wizard",$T161,1),0)&gt;0,1,0)*IF(C161&lt;=ArcaneTricksterMaxSpellLevel,1,0)*IF(IFERROR(MATCH($B161,Character_Creation!$J$350:$J$356,0),0)&gt;0,0,1)*IF(Character_Creation!$T$350&gt;0,1,0)</f>
        <v>0</v>
      </c>
      <c r="CC161">
        <f>IF(CB161=0,0,1+COUNTIF(CC$3:CC160,"&gt;0"))</f>
        <v>0</v>
      </c>
      <c r="CD161" t="str">
        <f t="shared" si="148"/>
        <v/>
      </c>
      <c r="CE161" t="str">
        <f t="shared" si="120"/>
        <v/>
      </c>
      <c r="CG161">
        <f>IF(IFERROR(SEARCH("Wizard",$T161,1),0)&gt;0,1,0)*IF($C161&lt;=EldritchKnightMaxSpellLevel,1,0)*IF(IFERROR(MATCH($B161,Character_Creation!$J$350:$J$356,0),0)&gt;0,0,1)*IF(Character_Creation!$M$350&gt;0,1,0)</f>
        <v>0</v>
      </c>
      <c r="CH161">
        <f>IF(CG161=0,0,1+COUNTIF(CH$3:CH160,"&gt;0"))</f>
        <v>0</v>
      </c>
      <c r="CI161" t="str">
        <f t="shared" si="149"/>
        <v/>
      </c>
      <c r="CJ161" t="str">
        <f t="shared" si="121"/>
        <v/>
      </c>
      <c r="CL161">
        <f>IF(IFERROR(SEARCH("Bard",$T161,1),0)&gt;0,1,0)*IF(BardMaxSpellLevel&gt;=$C161,1,0)*IF(IFERROR(MATCH(B161,Character_Creation!$C$341:$F$362,0),0)&gt;0,0,1)*IF(IFERROR(MATCH($B161,Character_Creation!$C$341:$C$362,0),0)&gt;0,0,1)</f>
        <v>0</v>
      </c>
      <c r="CM161">
        <f>IF(CL161=0,0,1+COUNTIF(CM$3:CM160,"&gt;0"))</f>
        <v>0</v>
      </c>
      <c r="CN161" t="str">
        <f t="shared" si="150"/>
        <v/>
      </c>
      <c r="CO161" t="str">
        <f t="shared" si="122"/>
        <v/>
      </c>
      <c r="CQ161">
        <f>IF(IFERROR(SEARCH("Wizard",$T161,1),0)&gt;0,1,0)*IF(WizardMaxSpellLevel&gt;=$C161,1,0)*IF(IFERROR(MATCH(B161,Character_Creation!$X$341:$X$400,0),0)&gt;0,0,1)*IF(SelectedWizardSpellLevel=$C161,1,0)</f>
        <v>1</v>
      </c>
      <c r="CR161">
        <f>IF(CQ161=0,0,1+COUNTIF(CR$3:CR160,"&gt;0"))</f>
        <v>11</v>
      </c>
      <c r="CS161" t="str">
        <f t="shared" si="151"/>
        <v/>
      </c>
      <c r="CT161" t="str">
        <f t="shared" si="123"/>
        <v/>
      </c>
      <c r="CV161">
        <f>IF(IFERROR(MATCH($B161,Character_Creation!$C$341:$C$362,0),0)&gt;0,0,1)*IF(OR(C161="Cantrip",C161&lt;=BardMaxSpellLevel),1,0)*IF(IFERROR(MATCH($B161,Character_Creation!$C$367:$C$374,0),0)&gt;0,0,1)</f>
        <v>0</v>
      </c>
      <c r="CW161">
        <f>IF(CV161=0,0,1+COUNTIF(CW$3:CW160,"&gt;0"))</f>
        <v>0</v>
      </c>
      <c r="CX161" t="str">
        <f t="shared" si="152"/>
        <v/>
      </c>
      <c r="CY161" t="str">
        <f t="shared" si="124"/>
        <v/>
      </c>
      <c r="DA161">
        <f>IF(IF(OR(IFERROR(SEARCH("Cleric",$T161,1),0)&gt;0,IFERROR(SEARCH(DivineDomain&amp;",",$T161,1),0)&gt;0),1,0)*IF($C161=DA$2,1,0)=1,1+COUNTIF(DA$3:DA160,"&gt;0"),0)</f>
        <v>0</v>
      </c>
      <c r="DB161">
        <f>IF(IF(OR(IFERROR(SEARCH("Cleric",$T161,1),0)&gt;0,IFERROR(SEARCH(DivineDomain&amp;",",$T161,1),0)&gt;0),1,0)*IF($C161=DB$2,1,0)=1,1+COUNTIF(DB$3:DB160,"&gt;0"),0)</f>
        <v>0</v>
      </c>
      <c r="DC161">
        <f>IF(IF(OR(IFERROR(SEARCH("Cleric",$T161,1),0)&gt;0,IFERROR(SEARCH(DivineDomain&amp;",",$T161,1),0)&gt;0),1,0)*IF($C161=DC$2,1,0)=1,1+COUNTIF(DC$3:DC160,"&gt;0"),0)</f>
        <v>9</v>
      </c>
      <c r="DD161">
        <f>IF(IF(OR(IFERROR(SEARCH("Cleric",$T161,1),0)&gt;0,IFERROR(SEARCH(DivineDomain&amp;",",$T161,1),0)&gt;0),1,0)*IF($C161=DD$2,1,0)=1,1+COUNTIF(DD$3:DD160,"&gt;0"),0)</f>
        <v>0</v>
      </c>
      <c r="DE161">
        <f>IF(IF(OR(IFERROR(SEARCH("Cleric",$T161,1),0)&gt;0,IFERROR(SEARCH(DivineDomain&amp;",",$T161,1),0)&gt;0),1,0)*IF($C161=DE$2,1,0)=1,1+COUNTIF(DE$3:DE160,"&gt;0"),0)</f>
        <v>0</v>
      </c>
      <c r="DF161">
        <f>IF(IF(OR(IFERROR(SEARCH("Cleric",$T161,1),0)&gt;0,IFERROR(SEARCH(DivineDomain&amp;",",$T161,1),0)&gt;0),1,0)*IF($C161=DF$2,1,0)=1,1+COUNTIF(DF$3:DF160,"&gt;0"),0)</f>
        <v>0</v>
      </c>
      <c r="DG161">
        <f>IF(IF(OR(IFERROR(SEARCH("Cleric",$T161,1),0)&gt;0,IFERROR(SEARCH(DivineDomain&amp;",",$T161,1),0)&gt;0),1,0)*IF($C161=DG$2,1,0)=1,1+COUNTIF(DG$3:DG160,"&gt;0"),0)</f>
        <v>0</v>
      </c>
      <c r="DH161">
        <f>IF(IF(OR(IFERROR(SEARCH("Cleric",$T161,1),0)&gt;0,IFERROR(SEARCH(DivineDomain&amp;",",$T161,1),0)&gt;0),1,0)*IF($C161=DH$2,1,0)=1,1+COUNTIF(DH$3:DH160,"&gt;0"),0)</f>
        <v>0</v>
      </c>
      <c r="DI161">
        <f>IF(IF(OR(IFERROR(SEARCH("Cleric",$T161,1),0)&gt;0,IFERROR(SEARCH(DivineDomain&amp;",",$T161,1),0)&gt;0),1,0)*IF($C161=DI$2,1,0)=1,1+COUNTIF(DI$3:DI160,"&gt;0"),0)</f>
        <v>0</v>
      </c>
      <c r="DJ161">
        <f>IF(IF(OR(IFERROR(SEARCH("Druid",$T161,1),0)&gt;0,IFERROR(SEARCH(DruidLand1,$T161,1),0)&gt;0,IFERROR(SEARCH(DruidLand2,$T161,1),0)&gt;0,IFERROR(SEARCH(DruidLand3,$T161,1),0)&gt;0,IFERROR(SEARCH(DruidLand4,$T161,1),0)&gt;0),1,0)*IF($C161=1,1,0)*IF($C161=DJ$2,1,0)=0,0,1+COUNTIF(DJ$3:DJ160,"&gt;0"))</f>
        <v>0</v>
      </c>
      <c r="DK161">
        <f>IF(IF(OR(IFERROR(SEARCH("Druid",$T161,1),0)&gt;0,IFERROR(SEARCH(DruidLand1,$T161,1),0)&gt;0,IFERROR(SEARCH(DruidLand2,$T161,1),0)&gt;0,IFERROR(SEARCH(DruidLand3,$T161,1),0)&gt;0,IFERROR(SEARCH(DruidLand4,$T161,1),0)&gt;0),1,0)*IF($C161=1,1,0)*IF($C161=DK$2,1,0)=0,0,1+COUNTIF(DK$3:DK160,"&gt;0"))</f>
        <v>0</v>
      </c>
      <c r="DL161">
        <f>IF(IF(OR(IFERROR(SEARCH("Druid",$T161,1),0)&gt;0,IFERROR(SEARCH(DruidLand1,$T161,1),0)&gt;0,IFERROR(SEARCH(DruidLand2,$T161,1),0)&gt;0,IFERROR(SEARCH(DruidLand3,$T161,1),0)&gt;0,IFERROR(SEARCH(DruidLand4,$T161,1),0)&gt;0),1,0)*IF($C161=1,1,0)*IF($C161=DL$2,1,0)=0,0,1+COUNTIF(DL$3:DL160,"&gt;0"))</f>
        <v>0</v>
      </c>
      <c r="DM161">
        <f>IF(IF(OR(IFERROR(SEARCH("Druid",$T161,1),0)&gt;0,IFERROR(SEARCH(DruidLand1,$T161,1),0)&gt;0,IFERROR(SEARCH(DruidLand2,$T161,1),0)&gt;0,IFERROR(SEARCH(DruidLand3,$T161,1),0)&gt;0,IFERROR(SEARCH(DruidLand4,$T161,1),0)&gt;0),1,0)*IF($C161=1,1,0)*IF($C161=DM$2,1,0)=0,0,1+COUNTIF(DM$3:DM160,"&gt;0"))</f>
        <v>0</v>
      </c>
      <c r="DN161">
        <f>IF(IF(OR(IFERROR(SEARCH("Druid",$T161,1),0)&gt;0,IFERROR(SEARCH(DruidLand1,$T161,1),0)&gt;0,IFERROR(SEARCH(DruidLand2,$T161,1),0)&gt;0,IFERROR(SEARCH(DruidLand3,$T161,1),0)&gt;0,IFERROR(SEARCH(DruidLand4,$T161,1),0)&gt;0),1,0)*IF($C161=1,1,0)*IF($C161=DN$2,1,0)=0,0,1+COUNTIF(DN$3:DN160,"&gt;0"))</f>
        <v>0</v>
      </c>
      <c r="DO161">
        <f>IF(IF(OR(IFERROR(SEARCH("Druid",$T161,1),0)&gt;0,IFERROR(SEARCH(DruidLand1,$T161,1),0)&gt;0,IFERROR(SEARCH(DruidLand2,$T161,1),0)&gt;0,IFERROR(SEARCH(DruidLand3,$T161,1),0)&gt;0,IFERROR(SEARCH(DruidLand4,$T161,1),0)&gt;0),1,0)*IF($C161=1,1,0)*IF($C161=DO$2,1,0)=0,0,1+COUNTIF(DO$3:DO160,"&gt;0"))</f>
        <v>0</v>
      </c>
      <c r="DP161">
        <f>IF(IF(OR(IFERROR(SEARCH("Druid",$T161,1),0)&gt;0,IFERROR(SEARCH(DruidLand1,$T161,1),0)&gt;0,IFERROR(SEARCH(DruidLand2,$T161,1),0)&gt;0,IFERROR(SEARCH(DruidLand3,$T161,1),0)&gt;0,IFERROR(SEARCH(DruidLand4,$T161,1),0)&gt;0),1,0)*IF($C161=1,1,0)*IF($C161=DP$2,1,0)=0,0,1+COUNTIF(DP$3:DP160,"&gt;0"))</f>
        <v>0</v>
      </c>
      <c r="DQ161">
        <f>IF(IF(OR(IFERROR(SEARCH("Druid",$T161,1),0)&gt;0,IFERROR(SEARCH(DruidLand1,$T161,1),0)&gt;0,IFERROR(SEARCH(DruidLand2,$T161,1),0)&gt;0,IFERROR(SEARCH(DruidLand3,$T161,1),0)&gt;0,IFERROR(SEARCH(DruidLand4,$T161,1),0)&gt;0),1,0)*IF($C161=1,1,0)*IF($C161=DQ$2,1,0)=0,0,1+COUNTIF(DQ$3:DQ160,"&gt;0"))</f>
        <v>0</v>
      </c>
      <c r="DR161">
        <f>IF(IF(OR(IFERROR(SEARCH("Druid",$T161,1),0)&gt;0,IFERROR(SEARCH(DruidLand1,$T161,1),0)&gt;0,IFERROR(SEARCH(DruidLand2,$T161,1),0)&gt;0,IFERROR(SEARCH(DruidLand3,$T161,1),0)&gt;0,IFERROR(SEARCH(DruidLand4,$T161,1),0)&gt;0),1,0)*IF($C161=1,1,0)*IF($C161=DR$2,1,0)=0,0,1+COUNTIF(DR$3:DR160,"&gt;0"))</f>
        <v>0</v>
      </c>
      <c r="DS161">
        <f>IF(IF(OR(IFERROR(SEARCH("Paladin",$T161,1),0)&gt;0,IFERROR(SEARCH(PaladinOath,$T161,1),0)&gt;0),1,0)*IF($C161=DS$2,1,0)=1,1+COUNTIF(DS$3:DS160,"&gt;0"),0)</f>
        <v>0</v>
      </c>
      <c r="DT161">
        <f>IF(IF(OR(IFERROR(SEARCH("Paladin",$T161,1),0)&gt;0,IFERROR(SEARCH(PaladinOath,$T161,1),0)&gt;0),1,0)*IF($C161=DT$2,1,0)=1,1+COUNTIF(DT$3:DT160,"&gt;0"),0)</f>
        <v>0</v>
      </c>
      <c r="DU161">
        <f>IF(IF(OR(IFERROR(SEARCH("Paladin",$T161,1),0)&gt;0,IFERROR(SEARCH(PaladinOath,$T161,1),0)&gt;0),1,0)*IF($C161=DU$2,1,0)=1,1+COUNTIF(DU$3:DU160,"&gt;0"),0)</f>
        <v>0</v>
      </c>
      <c r="DV161">
        <f>IF(IF(OR(IFERROR(SEARCH("Paladin",$T161,1),0)&gt;0,IFERROR(SEARCH(PaladinOath,$T161,1),0)&gt;0),1,0)*IF($C161=DV$2,1,0)=1,1+COUNTIF(DV$3:DV160,"&gt;0"),0)</f>
        <v>0</v>
      </c>
      <c r="DW161">
        <f>IF(IF(OR(IFERROR(SEARCH("Paladin",$T161,1),0)&gt;0,IFERROR(SEARCH(PaladinOath,$T161,1),0)&gt;0),1,0)*IF($C161=DW$2,1,0)=1,1+COUNTIF(DW$3:DW160,"&gt;0"),0)</f>
        <v>0</v>
      </c>
      <c r="DY161">
        <f t="shared" si="111"/>
        <v>1</v>
      </c>
      <c r="DZ161">
        <f>IF(DY161=0,0,1+MAX(DZ$3:$DZ160))</f>
        <v>159</v>
      </c>
      <c r="EB161">
        <f t="shared" si="125"/>
        <v>0</v>
      </c>
      <c r="EC161">
        <f>IF(EB161=0,0,1+COUNTIF(EC$3:EC160,"&gt;0"))</f>
        <v>0</v>
      </c>
      <c r="ED161" t="str">
        <f t="shared" si="153"/>
        <v/>
      </c>
      <c r="EE161" t="str">
        <f t="shared" si="126"/>
        <v/>
      </c>
      <c r="EG161">
        <f t="shared" si="127"/>
        <v>0</v>
      </c>
      <c r="EH161">
        <f>IF(EG161=0,0,1+COUNTIF(EH$3:EH160,"&gt;0"))</f>
        <v>0</v>
      </c>
      <c r="EI161" t="str">
        <f t="shared" si="154"/>
        <v/>
      </c>
      <c r="EJ161" t="str">
        <f t="shared" si="128"/>
        <v/>
      </c>
      <c r="EL161">
        <f t="shared" si="129"/>
        <v>0</v>
      </c>
      <c r="EM161">
        <f>IF(EL161=0,0,1+COUNTIF(EM$3:EM160,"&gt;0"))</f>
        <v>0</v>
      </c>
      <c r="EN161" t="str">
        <f t="shared" si="155"/>
        <v/>
      </c>
      <c r="EO161" t="str">
        <f t="shared" si="130"/>
        <v/>
      </c>
      <c r="EQ161">
        <f t="shared" si="131"/>
        <v>0</v>
      </c>
      <c r="ER161">
        <f>IF(EQ161=0,0,1+COUNTIF(ER$3:ER160,"&gt;0"))</f>
        <v>0</v>
      </c>
      <c r="ES161" t="str">
        <f t="shared" si="156"/>
        <v/>
      </c>
      <c r="ET161" t="str">
        <f t="shared" si="132"/>
        <v/>
      </c>
      <c r="EV161">
        <f t="shared" si="133"/>
        <v>0</v>
      </c>
      <c r="EW161">
        <f>IF(EV161=0,0,1+COUNTIF(EW$3:EW160,"&gt;0"))</f>
        <v>0</v>
      </c>
      <c r="EX161" t="str">
        <f t="shared" si="157"/>
        <v/>
      </c>
      <c r="EY161" t="str">
        <f t="shared" si="134"/>
        <v/>
      </c>
      <c r="FA161">
        <f t="shared" si="135"/>
        <v>0</v>
      </c>
      <c r="FB161">
        <f>IF(FA161=0,0,1+COUNTIF(FB$3:FB160,"&gt;0"))</f>
        <v>0</v>
      </c>
      <c r="FC161" t="str">
        <f t="shared" si="158"/>
        <v/>
      </c>
      <c r="FD161" t="str">
        <f t="shared" si="136"/>
        <v/>
      </c>
      <c r="FF161">
        <f t="shared" si="137"/>
        <v>0</v>
      </c>
      <c r="FG161">
        <f>IF(FF161=0,0,1+COUNTIF(FG$3:FG160,"&gt;0"))</f>
        <v>0</v>
      </c>
      <c r="FH161" t="str">
        <f t="shared" si="159"/>
        <v/>
      </c>
      <c r="FI161" t="str">
        <f t="shared" si="138"/>
        <v/>
      </c>
      <c r="FK161">
        <f t="shared" si="139"/>
        <v>0</v>
      </c>
      <c r="FL161">
        <f>IF(FK161=0,0,1+COUNTIF(FL$3:FL160,"&gt;0"))</f>
        <v>0</v>
      </c>
      <c r="FM161" t="str">
        <f t="shared" si="160"/>
        <v/>
      </c>
      <c r="FN161" t="str">
        <f t="shared" si="140"/>
        <v/>
      </c>
      <c r="FP161">
        <f t="shared" si="141"/>
        <v>0</v>
      </c>
      <c r="FQ161">
        <f>IF(FP161=0,0,1+COUNTIF(FQ$3:FQ160,"&gt;0"))</f>
        <v>0</v>
      </c>
      <c r="FR161" t="str">
        <f t="shared" si="161"/>
        <v/>
      </c>
      <c r="FS161" t="str">
        <f t="shared" si="142"/>
        <v/>
      </c>
    </row>
    <row r="162" spans="1:175" x14ac:dyDescent="0.25">
      <c r="A162" s="347">
        <f t="shared" si="162"/>
        <v>160</v>
      </c>
      <c r="B162" s="348" t="s">
        <v>2535</v>
      </c>
      <c r="C162" s="348">
        <v>1</v>
      </c>
      <c r="D162" s="347">
        <v>1</v>
      </c>
      <c r="E162" s="627" t="s">
        <v>6952</v>
      </c>
      <c r="F162" s="346"/>
      <c r="G162" s="347" t="str">
        <f>""</f>
        <v/>
      </c>
      <c r="H162" s="347" t="s">
        <v>5912</v>
      </c>
      <c r="I162" s="347" t="s">
        <v>5298</v>
      </c>
      <c r="J162" s="347" t="str">
        <f t="shared" si="112"/>
        <v/>
      </c>
      <c r="K162" s="347" t="s">
        <v>5278</v>
      </c>
      <c r="L162" s="611" t="str">
        <f t="shared" si="113"/>
        <v>V, S, M, a sprig of mistletoe</v>
      </c>
      <c r="M162" s="347" t="s">
        <v>2373</v>
      </c>
      <c r="N162" s="347" t="s">
        <v>2387</v>
      </c>
      <c r="O162" s="347" t="s">
        <v>1244</v>
      </c>
      <c r="P162" s="346" t="s">
        <v>5389</v>
      </c>
      <c r="Q162" s="347" t="s">
        <v>5276</v>
      </c>
      <c r="S162" s="346" t="s">
        <v>5390</v>
      </c>
      <c r="T162" s="346" t="str">
        <f t="shared" si="114"/>
        <v xml:space="preserve">Ranger, Druid, </v>
      </c>
      <c r="W162" s="347" t="str">
        <f>$B162</f>
        <v>Goodberry</v>
      </c>
      <c r="AA162" s="347" t="str">
        <f>$B162</f>
        <v>Goodberry</v>
      </c>
      <c r="AE162" t="str">
        <f>IF(IFERROR(MATCH($B162,temp!A$4:A$13,0),0)&gt;0,T08_Spells!AE$2,"")</f>
        <v/>
      </c>
      <c r="AF162" t="str">
        <f>IF(IFERROR(MATCH($B162,temp!B$4:B$13,0),0)&gt;0,T08_Spells!AF$2,"")</f>
        <v/>
      </c>
      <c r="AG162" t="str">
        <f>IF(IFERROR(MATCH($B162,temp!C$4:C$13,0),0)&gt;0,T08_Spells!AG$2,"")</f>
        <v/>
      </c>
      <c r="AH162" t="str">
        <f>IF(IFERROR(MATCH($B162,temp!D$4:D$13,0),0)&gt;0,T08_Spells!AH$2,"")</f>
        <v/>
      </c>
      <c r="AI162" t="str">
        <f>IF(IFERROR(MATCH($B162,temp!E$4:E$13,0),0)&gt;0,T08_Spells!AI$2,"")</f>
        <v/>
      </c>
      <c r="AJ162" t="str">
        <f>IF(IFERROR(MATCH($B162,temp!F$4:F$13,0),0)&gt;0,T08_Spells!AJ$2,"")</f>
        <v/>
      </c>
      <c r="AK162" t="str">
        <f>IF(IFERROR(MATCH($B162,temp!G$4:G$13,0),0)&gt;0,T08_Spells!AK$2,"")</f>
        <v/>
      </c>
      <c r="AL162" t="str">
        <f>IF(IFERROR(MATCH($B162,temp!H$4:H$13,0),0)&gt;0,T08_Spells!AL$2,"")</f>
        <v/>
      </c>
      <c r="AM162" t="str">
        <f>IF(IFERROR(MATCH($B162,temp!I$4:I$13,0),0)&gt;0,T08_Spells!AM$2,"")</f>
        <v/>
      </c>
      <c r="AN162" t="str">
        <f>IF(IFERROR(MATCH($B162,temp!J$4:J$13,0),0)&gt;0,T08_Spells!AN$2,"")</f>
        <v/>
      </c>
      <c r="AO162" t="str">
        <f>IF(IFERROR(MATCH($B162,temp!K$4:K$13,0),0)&gt;0,T08_Spells!AO$2,"")</f>
        <v/>
      </c>
      <c r="AP162" t="str">
        <f>IF(IFERROR(MATCH($B162,temp!L$4:L$13,0),0)&gt;0,T08_Spells!AP$2,"")</f>
        <v/>
      </c>
      <c r="AQ162" t="str">
        <f>IF(IFERROR(MATCH($B162,temp!M$4:M$13,0),0)&gt;0,T08_Spells!AQ$2,"")</f>
        <v/>
      </c>
      <c r="AR162" t="str">
        <f>IF(IFERROR(MATCH($B162,temp!N$4:N$13,0),0)&gt;0,T08_Spells!AR$2,"")</f>
        <v/>
      </c>
      <c r="AS162" t="str">
        <f>IF(IFERROR(MATCH($B162,temp!O$4:O$13,0),0)&gt;0,T08_Spells!AS$2,"")</f>
        <v/>
      </c>
      <c r="AT162" t="str">
        <f>IF(IFERROR(MATCH($B162,temp!P$4:P$13,0),0)&gt;0,T08_Spells!AT$2,"")</f>
        <v/>
      </c>
      <c r="AU162" t="str">
        <f>IF(IFERROR(MATCH($B162,temp!Q$4:Q$13,0),0)&gt;0,T08_Spells!AU$2,"")</f>
        <v/>
      </c>
      <c r="AV162" t="str">
        <f>IF(IFERROR(MATCH($B162,temp!R$4:R$13,0),0)&gt;0,T08_Spells!AV$2,"")</f>
        <v/>
      </c>
      <c r="AW162" t="str">
        <f>IF(IFERROR(MATCH($B162,temp!S$4:S$13,0),0)&gt;0,T08_Spells!AW$2,"")</f>
        <v/>
      </c>
      <c r="AX162" t="str">
        <f>IF(IFERROR(MATCH($B162,temp!T$4:T$13,0),0)&gt;0,T08_Spells!AX$2,"")</f>
        <v/>
      </c>
      <c r="AY162" t="str">
        <f>IF(IFERROR(MATCH($B162,temp!U$4:U$13,0),0)&gt;0,T08_Spells!AY$2,"")</f>
        <v/>
      </c>
      <c r="AZ162" t="str">
        <f>IF(IFERROR(MATCH($B162,temp!V$4:V$13,0),0)&gt;0,T08_Spells!AZ$2,"")</f>
        <v/>
      </c>
      <c r="BA162" t="str">
        <f>IF(IFERROR(MATCH($B162,temp!W$4:W$13,0),0)&gt;0,T08_Spells!BA$2,"")</f>
        <v/>
      </c>
      <c r="BC162">
        <f>IF(IFERROR(SEARCH("Ranger",$T162,1),0)&gt;0,1,0)*IF(RangerMaxSpellLevel&gt;=$C162,1,0)*IF(IFERROR(MATCH(B162,Character_Creation!$X$79:$X$382,0),0)&gt;0,0,1)</f>
        <v>0</v>
      </c>
      <c r="BD162">
        <f>IF(BC162=0,0,1+COUNTIF(BD$3:BD161,"&gt;0"))</f>
        <v>0</v>
      </c>
      <c r="BE162" t="str">
        <f t="shared" si="143"/>
        <v/>
      </c>
      <c r="BF162" t="str">
        <f t="shared" si="115"/>
        <v/>
      </c>
      <c r="BH162">
        <f>IF(IFERROR(SEARCH("Sorcerer",$T162,1),0)&gt;0,1,0)*IF(SorcererMaxSpellLevel&gt;=$C162,1,0)*IF(IFERROR(MATCH(B162,Character_Creation!$J$380:$J$394,0),0)&gt;0,0,1)</f>
        <v>0</v>
      </c>
      <c r="BI162">
        <f>IF(BH162=0,0,1+COUNTIF(BI$3:BI161,"&gt;0"))</f>
        <v>0</v>
      </c>
      <c r="BJ162" t="str">
        <f t="shared" si="144"/>
        <v/>
      </c>
      <c r="BK162" t="str">
        <f t="shared" si="116"/>
        <v/>
      </c>
      <c r="BM162">
        <f>IF(OR(IFERROR(SEARCH("Warlock",$T162,1),0)&gt;0,IFERROR(SEARCH(WarlockPatron,$T162,1),0)&gt;0),1,0)*IF(WarlockMaxSpellLevel&gt;=$C162,1,0)*IF(IFERROR(MATCH(B162,Character_Creation!$J$361:$J$375,0),0)&gt;0,0,1)</f>
        <v>0</v>
      </c>
      <c r="BN162">
        <f>IF(BM162=0,0,1+COUNTIF(BN$3:BN161,"&gt;0"))</f>
        <v>0</v>
      </c>
      <c r="BO162" t="str">
        <f t="shared" si="145"/>
        <v/>
      </c>
      <c r="BP162" t="str">
        <f t="shared" si="117"/>
        <v/>
      </c>
      <c r="BR162">
        <f>IF(IFERROR(SEARCH("Eldritch Knight",$T162,1),0)&gt;0,1,0)*IF(EldritchKnightMaxSpellLevel&gt;=$C162,1,0)*IF(IFERROR(MATCH($B162,Character_Creation!$J$350:$J$356,0),0)&gt;0,0,1)*IF(Character_Creation!$M$338&gt;0,1,0)</f>
        <v>0</v>
      </c>
      <c r="BS162">
        <f>IF(BR162=0,0,1+COUNTIF(BS$3:BS161,"&gt;0"))</f>
        <v>0</v>
      </c>
      <c r="BT162" t="str">
        <f t="shared" si="146"/>
        <v/>
      </c>
      <c r="BU162" t="str">
        <f t="shared" si="118"/>
        <v/>
      </c>
      <c r="BW162">
        <f>IF(IFERROR(SEARCH("Arcane Trickster",$T162,1),0)&gt;0,1,0)*IF(ArcaneTricksterMaxSpellLevel&gt;=$C162,1,0)*IF(IFERROR(MATCH($B162,Character_Creation!$J$350:$J$356,0),0)&gt;0,0,1)*IF(Character_Creation!$T$338&gt;0,1,0)</f>
        <v>0</v>
      </c>
      <c r="BX162">
        <f>IF(BW162=0,0,1+COUNTIF(BX$3:BX161,"&gt;0"))</f>
        <v>0</v>
      </c>
      <c r="BY162" t="str">
        <f t="shared" si="147"/>
        <v/>
      </c>
      <c r="BZ162" t="str">
        <f t="shared" si="119"/>
        <v/>
      </c>
      <c r="CB162">
        <f>IF(IFERROR(SEARCH("Wizard",$T162,1),0)&gt;0,1,0)*IF(C162&lt;=ArcaneTricksterMaxSpellLevel,1,0)*IF(IFERROR(MATCH($B162,Character_Creation!$J$350:$J$356,0),0)&gt;0,0,1)*IF(Character_Creation!$T$350&gt;0,1,0)</f>
        <v>0</v>
      </c>
      <c r="CC162">
        <f>IF(CB162=0,0,1+COUNTIF(CC$3:CC161,"&gt;0"))</f>
        <v>0</v>
      </c>
      <c r="CD162" t="str">
        <f t="shared" si="148"/>
        <v/>
      </c>
      <c r="CE162" t="str">
        <f t="shared" si="120"/>
        <v/>
      </c>
      <c r="CG162">
        <f>IF(IFERROR(SEARCH("Wizard",$T162,1),0)&gt;0,1,0)*IF($C162&lt;=EldritchKnightMaxSpellLevel,1,0)*IF(IFERROR(MATCH($B162,Character_Creation!$J$350:$J$356,0),0)&gt;0,0,1)*IF(Character_Creation!$M$350&gt;0,1,0)</f>
        <v>0</v>
      </c>
      <c r="CH162">
        <f>IF(CG162=0,0,1+COUNTIF(CH$3:CH161,"&gt;0"))</f>
        <v>0</v>
      </c>
      <c r="CI162" t="str">
        <f t="shared" si="149"/>
        <v/>
      </c>
      <c r="CJ162" t="str">
        <f t="shared" si="121"/>
        <v/>
      </c>
      <c r="CL162">
        <f>IF(IFERROR(SEARCH("Bard",$T162,1),0)&gt;0,1,0)*IF(BardMaxSpellLevel&gt;=$C162,1,0)*IF(IFERROR(MATCH(B162,Character_Creation!$C$341:$F$362,0),0)&gt;0,0,1)*IF(IFERROR(MATCH($B162,Character_Creation!$C$341:$C$362,0),0)&gt;0,0,1)</f>
        <v>0</v>
      </c>
      <c r="CM162">
        <f>IF(CL162=0,0,1+COUNTIF(CM$3:CM161,"&gt;0"))</f>
        <v>0</v>
      </c>
      <c r="CN162" t="str">
        <f t="shared" si="150"/>
        <v/>
      </c>
      <c r="CO162" t="str">
        <f t="shared" si="122"/>
        <v/>
      </c>
      <c r="CQ162">
        <f>IF(IFERROR(SEARCH("Wizard",$T162,1),0)&gt;0,1,0)*IF(WizardMaxSpellLevel&gt;=$C162,1,0)*IF(IFERROR(MATCH(B162,Character_Creation!$X$341:$X$400,0),0)&gt;0,0,1)*IF(SelectedWizardSpellLevel=$C162,1,0)</f>
        <v>0</v>
      </c>
      <c r="CR162">
        <f>IF(CQ162=0,0,1+COUNTIF(CR$3:CR161,"&gt;0"))</f>
        <v>0</v>
      </c>
      <c r="CS162" t="str">
        <f t="shared" si="151"/>
        <v/>
      </c>
      <c r="CT162" t="str">
        <f t="shared" si="123"/>
        <v/>
      </c>
      <c r="CV162">
        <f>IF(IFERROR(MATCH($B162,Character_Creation!$C$341:$C$362,0),0)&gt;0,0,1)*IF(OR(C162="Cantrip",C162&lt;=BardMaxSpellLevel),1,0)*IF(IFERROR(MATCH($B162,Character_Creation!$C$367:$C$374,0),0)&gt;0,0,1)</f>
        <v>0</v>
      </c>
      <c r="CW162">
        <f>IF(CV162=0,0,1+COUNTIF(CW$3:CW161,"&gt;0"))</f>
        <v>0</v>
      </c>
      <c r="CX162" t="str">
        <f t="shared" si="152"/>
        <v/>
      </c>
      <c r="CY162" t="str">
        <f t="shared" si="124"/>
        <v/>
      </c>
      <c r="DA162">
        <f>IF(IF(OR(IFERROR(SEARCH("Cleric",$T162,1),0)&gt;0,IFERROR(SEARCH(DivineDomain&amp;",",$T162,1),0)&gt;0),1,0)*IF($C162=DA$2,1,0)=1,1+COUNTIF(DA$3:DA161,"&gt;0"),0)</f>
        <v>0</v>
      </c>
      <c r="DB162">
        <f>IF(IF(OR(IFERROR(SEARCH("Cleric",$T162,1),0)&gt;0,IFERROR(SEARCH(DivineDomain&amp;",",$T162,1),0)&gt;0),1,0)*IF($C162=DB$2,1,0)=1,1+COUNTIF(DB$3:DB161,"&gt;0"),0)</f>
        <v>0</v>
      </c>
      <c r="DC162">
        <f>IF(IF(OR(IFERROR(SEARCH("Cleric",$T162,1),0)&gt;0,IFERROR(SEARCH(DivineDomain&amp;",",$T162,1),0)&gt;0),1,0)*IF($C162=DC$2,1,0)=1,1+COUNTIF(DC$3:DC161,"&gt;0"),0)</f>
        <v>0</v>
      </c>
      <c r="DD162">
        <f>IF(IF(OR(IFERROR(SEARCH("Cleric",$T162,1),0)&gt;0,IFERROR(SEARCH(DivineDomain&amp;",",$T162,1),0)&gt;0),1,0)*IF($C162=DD$2,1,0)=1,1+COUNTIF(DD$3:DD161,"&gt;0"),0)</f>
        <v>0</v>
      </c>
      <c r="DE162">
        <f>IF(IF(OR(IFERROR(SEARCH("Cleric",$T162,1),0)&gt;0,IFERROR(SEARCH(DivineDomain&amp;",",$T162,1),0)&gt;0),1,0)*IF($C162=DE$2,1,0)=1,1+COUNTIF(DE$3:DE161,"&gt;0"),0)</f>
        <v>0</v>
      </c>
      <c r="DF162">
        <f>IF(IF(OR(IFERROR(SEARCH("Cleric",$T162,1),0)&gt;0,IFERROR(SEARCH(DivineDomain&amp;",",$T162,1),0)&gt;0),1,0)*IF($C162=DF$2,1,0)=1,1+COUNTIF(DF$3:DF161,"&gt;0"),0)</f>
        <v>0</v>
      </c>
      <c r="DG162">
        <f>IF(IF(OR(IFERROR(SEARCH("Cleric",$T162,1),0)&gt;0,IFERROR(SEARCH(DivineDomain&amp;",",$T162,1),0)&gt;0),1,0)*IF($C162=DG$2,1,0)=1,1+COUNTIF(DG$3:DG161,"&gt;0"),0)</f>
        <v>0</v>
      </c>
      <c r="DH162">
        <f>IF(IF(OR(IFERROR(SEARCH("Cleric",$T162,1),0)&gt;0,IFERROR(SEARCH(DivineDomain&amp;",",$T162,1),0)&gt;0),1,0)*IF($C162=DH$2,1,0)=1,1+COUNTIF(DH$3:DH161,"&gt;0"),0)</f>
        <v>0</v>
      </c>
      <c r="DI162">
        <f>IF(IF(OR(IFERROR(SEARCH("Cleric",$T162,1),0)&gt;0,IFERROR(SEARCH(DivineDomain&amp;",",$T162,1),0)&gt;0),1,0)*IF($C162=DI$2,1,0)=1,1+COUNTIF(DI$3:DI161,"&gt;0"),0)</f>
        <v>0</v>
      </c>
      <c r="DJ162">
        <f>IF(IF(OR(IFERROR(SEARCH("Druid",$T162,1),0)&gt;0,IFERROR(SEARCH(DruidLand1,$T162,1),0)&gt;0,IFERROR(SEARCH(DruidLand2,$T162,1),0)&gt;0,IFERROR(SEARCH(DruidLand3,$T162,1),0)&gt;0,IFERROR(SEARCH(DruidLand4,$T162,1),0)&gt;0),1,0)*IF($C162=1,1,0)*IF($C162=DJ$2,1,0)=0,0,1+COUNTIF(DJ$3:DJ161,"&gt;0"))</f>
        <v>10</v>
      </c>
      <c r="DK162">
        <f>IF(IF(OR(IFERROR(SEARCH("Druid",$T162,1),0)&gt;0,IFERROR(SEARCH(DruidLand1,$T162,1),0)&gt;0,IFERROR(SEARCH(DruidLand2,$T162,1),0)&gt;0,IFERROR(SEARCH(DruidLand3,$T162,1),0)&gt;0,IFERROR(SEARCH(DruidLand4,$T162,1),0)&gt;0),1,0)*IF($C162=DK$2,1,0)=0,0,1+COUNTIF(DK$3:DK161,"&gt;0"))</f>
        <v>0</v>
      </c>
      <c r="DL162">
        <f>IF(IF(OR(IFERROR(SEARCH("Druid",$T162,1),0)&gt;0,IFERROR(SEARCH(DruidLand1,$T162,1),0)&gt;0,IFERROR(SEARCH(DruidLand2,$T162,1),0)&gt;0,IFERROR(SEARCH(DruidLand3,$T162,1),0)&gt;0,IFERROR(SEARCH(DruidLand4,$T162,1),0)&gt;0),1,0)*IF($C162=DL$2,1,0)=0,0,1+COUNTIF(DL$3:DL161,"&gt;0"))</f>
        <v>0</v>
      </c>
      <c r="DM162">
        <f>IF(IF(OR(IFERROR(SEARCH("Druid",$T162,1),0)&gt;0,IFERROR(SEARCH(DruidLand1,$T162,1),0)&gt;0,IFERROR(SEARCH(DruidLand2,$T162,1),0)&gt;0,IFERROR(SEARCH(DruidLand3,$T162,1),0)&gt;0,IFERROR(SEARCH(DruidLand4,$T162,1),0)&gt;0),1,0)*IF($C162=DM$2,1,0)=0,0,1+COUNTIF(DM$3:DM161,"&gt;0"))</f>
        <v>0</v>
      </c>
      <c r="DN162">
        <f>IF(IF(OR(IFERROR(SEARCH("Druid",$T162,1),0)&gt;0,IFERROR(SEARCH(DruidLand1,$T162,1),0)&gt;0,IFERROR(SEARCH(DruidLand2,$T162,1),0)&gt;0,IFERROR(SEARCH(DruidLand3,$T162,1),0)&gt;0,IFERROR(SEARCH(DruidLand4,$T162,1),0)&gt;0),1,0)*IF($C162=DN$2,1,0)=0,0,1+COUNTIF(DN$3:DN161,"&gt;0"))</f>
        <v>0</v>
      </c>
      <c r="DO162">
        <f>IF(IF(OR(IFERROR(SEARCH("Druid",$T162,1),0)&gt;0,IFERROR(SEARCH(DruidLand1,$T162,1),0)&gt;0,IFERROR(SEARCH(DruidLand2,$T162,1),0)&gt;0,IFERROR(SEARCH(DruidLand3,$T162,1),0)&gt;0,IFERROR(SEARCH(DruidLand4,$T162,1),0)&gt;0),1,0)*IF($C162=DO$2,1,0)=0,0,1+COUNTIF(DO$3:DO161,"&gt;0"))</f>
        <v>0</v>
      </c>
      <c r="DP162">
        <f>IF(IF(OR(IFERROR(SEARCH("Druid",$T162,1),0)&gt;0,IFERROR(SEARCH(DruidLand1,$T162,1),0)&gt;0,IFERROR(SEARCH(DruidLand2,$T162,1),0)&gt;0,IFERROR(SEARCH(DruidLand3,$T162,1),0)&gt;0,IFERROR(SEARCH(DruidLand4,$T162,1),0)&gt;0),1,0)*IF($C162=DP$2,1,0)=0,0,1+COUNTIF(DP$3:DP161,"&gt;0"))</f>
        <v>0</v>
      </c>
      <c r="DQ162">
        <f>IF(IF(OR(IFERROR(SEARCH("Druid",$T162,1),0)&gt;0,IFERROR(SEARCH(DruidLand1,$T162,1),0)&gt;0,IFERROR(SEARCH(DruidLand2,$T162,1),0)&gt;0,IFERROR(SEARCH(DruidLand3,$T162,1),0)&gt;0,IFERROR(SEARCH(DruidLand4,$T162,1),0)&gt;0),1,0)*IF($C162=DQ$2,1,0)=0,0,1+COUNTIF(DQ$3:DQ161,"&gt;0"))</f>
        <v>0</v>
      </c>
      <c r="DR162">
        <f>IF(IF(OR(IFERROR(SEARCH("Druid",$T162,1),0)&gt;0,IFERROR(SEARCH(DruidLand1,$T162,1),0)&gt;0,IFERROR(SEARCH(DruidLand2,$T162,1),0)&gt;0,IFERROR(SEARCH(DruidLand3,$T162,1),0)&gt;0,IFERROR(SEARCH(DruidLand4,$T162,1),0)&gt;0),1,0)*IF($C162=DR$2,1,0)=0,0,1+COUNTIF(DR$3:DR161,"&gt;0"))</f>
        <v>0</v>
      </c>
      <c r="DS162">
        <f>IF(IF(OR(IFERROR(SEARCH("Paladin",$T162,1),0)&gt;0,IFERROR(SEARCH(PaladinOath,$T162,1),0)&gt;0),1,0)*IF($C162=DS$2,1,0)=1,1+COUNTIF(DS$3:DS161,"&gt;0"),0)</f>
        <v>0</v>
      </c>
      <c r="DT162">
        <f>IF(IF(OR(IFERROR(SEARCH("Paladin",$T162,1),0)&gt;0,IFERROR(SEARCH(PaladinOath,$T162,1),0)&gt;0),1,0)*IF($C162=DT$2,1,0)=1,1+COUNTIF(DT$3:DT161,"&gt;0"),0)</f>
        <v>0</v>
      </c>
      <c r="DU162">
        <f>IF(IF(OR(IFERROR(SEARCH("Paladin",$T162,1),0)&gt;0,IFERROR(SEARCH(PaladinOath,$T162,1),0)&gt;0),1,0)*IF($C162=DU$2,1,0)=1,1+COUNTIF(DU$3:DU161,"&gt;0"),0)</f>
        <v>0</v>
      </c>
      <c r="DV162">
        <f>IF(IF(OR(IFERROR(SEARCH("Paladin",$T162,1),0)&gt;0,IFERROR(SEARCH(PaladinOath,$T162,1),0)&gt;0),1,0)*IF($C162=DV$2,1,0)=1,1+COUNTIF(DV$3:DV161,"&gt;0"),0)</f>
        <v>0</v>
      </c>
      <c r="DW162">
        <f>IF(IF(OR(IFERROR(SEARCH("Paladin",$T162,1),0)&gt;0,IFERROR(SEARCH(PaladinOath,$T162,1),0)&gt;0),1,0)*IF($C162=DW$2,1,0)=1,1+COUNTIF(DW$3:DW161,"&gt;0"),0)</f>
        <v>0</v>
      </c>
      <c r="DY162">
        <f t="shared" si="111"/>
        <v>1</v>
      </c>
      <c r="DZ162">
        <f>IF(DY162=0,0,1+MAX(DZ$3:$DZ161))</f>
        <v>160</v>
      </c>
      <c r="EB162">
        <f t="shared" si="125"/>
        <v>0</v>
      </c>
      <c r="EC162">
        <f>IF(EB162=0,0,1+COUNTIF(EC$3:EC161,"&gt;0"))</f>
        <v>0</v>
      </c>
      <c r="ED162" t="str">
        <f t="shared" si="153"/>
        <v/>
      </c>
      <c r="EE162" t="str">
        <f t="shared" si="126"/>
        <v/>
      </c>
      <c r="EG162">
        <f t="shared" si="127"/>
        <v>0</v>
      </c>
      <c r="EH162">
        <f>IF(EG162=0,0,1+COUNTIF(EH$3:EH161,"&gt;0"))</f>
        <v>0</v>
      </c>
      <c r="EI162" t="str">
        <f t="shared" si="154"/>
        <v/>
      </c>
      <c r="EJ162" t="str">
        <f t="shared" si="128"/>
        <v/>
      </c>
      <c r="EL162">
        <f t="shared" si="129"/>
        <v>0</v>
      </c>
      <c r="EM162">
        <f>IF(EL162=0,0,1+COUNTIF(EM$3:EM161,"&gt;0"))</f>
        <v>0</v>
      </c>
      <c r="EN162" t="str">
        <f t="shared" si="155"/>
        <v/>
      </c>
      <c r="EO162" t="str">
        <f t="shared" si="130"/>
        <v/>
      </c>
      <c r="EQ162">
        <f t="shared" si="131"/>
        <v>0</v>
      </c>
      <c r="ER162">
        <f>IF(EQ162=0,0,1+COUNTIF(ER$3:ER161,"&gt;0"))</f>
        <v>0</v>
      </c>
      <c r="ES162" t="str">
        <f t="shared" si="156"/>
        <v/>
      </c>
      <c r="ET162" t="str">
        <f t="shared" si="132"/>
        <v/>
      </c>
      <c r="EV162">
        <f t="shared" si="133"/>
        <v>0</v>
      </c>
      <c r="EW162">
        <f>IF(EV162=0,0,1+COUNTIF(EW$3:EW161,"&gt;0"))</f>
        <v>0</v>
      </c>
      <c r="EX162" t="str">
        <f t="shared" si="157"/>
        <v/>
      </c>
      <c r="EY162" t="str">
        <f t="shared" si="134"/>
        <v/>
      </c>
      <c r="FA162">
        <f t="shared" si="135"/>
        <v>0</v>
      </c>
      <c r="FB162">
        <f>IF(FA162=0,0,1+COUNTIF(FB$3:FB161,"&gt;0"))</f>
        <v>0</v>
      </c>
      <c r="FC162" t="str">
        <f t="shared" si="158"/>
        <v/>
      </c>
      <c r="FD162" t="str">
        <f t="shared" si="136"/>
        <v/>
      </c>
      <c r="FF162">
        <f t="shared" si="137"/>
        <v>0</v>
      </c>
      <c r="FG162">
        <f>IF(FF162=0,0,1+COUNTIF(FG$3:FG161,"&gt;0"))</f>
        <v>0</v>
      </c>
      <c r="FH162" t="str">
        <f t="shared" si="159"/>
        <v/>
      </c>
      <c r="FI162" t="str">
        <f t="shared" si="138"/>
        <v/>
      </c>
      <c r="FK162">
        <f t="shared" si="139"/>
        <v>0</v>
      </c>
      <c r="FL162">
        <f>IF(FK162=0,0,1+COUNTIF(FL$3:FL161,"&gt;0"))</f>
        <v>0</v>
      </c>
      <c r="FM162" t="str">
        <f t="shared" si="160"/>
        <v/>
      </c>
      <c r="FN162" t="str">
        <f t="shared" si="140"/>
        <v/>
      </c>
      <c r="FP162">
        <f t="shared" si="141"/>
        <v>0</v>
      </c>
      <c r="FQ162">
        <f>IF(FP162=0,0,1+COUNTIF(FQ$3:FQ161,"&gt;0"))</f>
        <v>0</v>
      </c>
      <c r="FR162" t="str">
        <f t="shared" si="161"/>
        <v/>
      </c>
      <c r="FS162" t="str">
        <f t="shared" si="142"/>
        <v/>
      </c>
    </row>
    <row r="163" spans="1:175" x14ac:dyDescent="0.25">
      <c r="A163" s="347">
        <f t="shared" si="162"/>
        <v>161</v>
      </c>
      <c r="B163" s="348" t="s">
        <v>2536</v>
      </c>
      <c r="C163" s="348">
        <v>4</v>
      </c>
      <c r="D163" s="347">
        <v>4</v>
      </c>
      <c r="E163" s="627" t="s">
        <v>6952</v>
      </c>
      <c r="F163" s="346"/>
      <c r="G163" s="347" t="str">
        <f>""</f>
        <v/>
      </c>
      <c r="H163" s="347" t="s">
        <v>5918</v>
      </c>
      <c r="I163" s="347" t="s">
        <v>5060</v>
      </c>
      <c r="J163" s="347" t="str">
        <f t="shared" si="112"/>
        <v/>
      </c>
      <c r="K163" s="347" t="s">
        <v>5291</v>
      </c>
      <c r="L163" s="611" t="str">
        <f t="shared" si="113"/>
        <v>V, S</v>
      </c>
      <c r="M163" s="347" t="s">
        <v>2373</v>
      </c>
      <c r="N163" s="347" t="s">
        <v>2387</v>
      </c>
      <c r="O163" s="347" t="s">
        <v>3034</v>
      </c>
      <c r="P163" s="346" t="str">
        <f>""</f>
        <v/>
      </c>
      <c r="Q163" s="347" t="s">
        <v>5271</v>
      </c>
      <c r="S163" s="346" t="s">
        <v>5715</v>
      </c>
      <c r="T163" s="346" t="str">
        <f t="shared" si="114"/>
        <v xml:space="preserve">Ranger, Druid, Nature, </v>
      </c>
      <c r="W163" s="347" t="str">
        <f>$B163</f>
        <v>Grasping Vine</v>
      </c>
      <c r="AA163" s="347" t="str">
        <f>$B163</f>
        <v>Grasping Vine</v>
      </c>
      <c r="AE163" t="str">
        <f>IF(IFERROR(MATCH($B163,temp!A$4:A$13,0),0)&gt;0,T08_Spells!AE$2,"")</f>
        <v/>
      </c>
      <c r="AF163" t="str">
        <f>IF(IFERROR(MATCH($B163,temp!B$4:B$13,0),0)&gt;0,T08_Spells!AF$2,"")</f>
        <v/>
      </c>
      <c r="AG163" t="str">
        <f>IF(IFERROR(MATCH($B163,temp!C$4:C$13,0),0)&gt;0,T08_Spells!AG$2,"")</f>
        <v/>
      </c>
      <c r="AH163" t="str">
        <f>IF(IFERROR(MATCH($B163,temp!D$4:D$13,0),0)&gt;0,T08_Spells!AH$2,"")</f>
        <v/>
      </c>
      <c r="AI163" t="str">
        <f>IF(IFERROR(MATCH($B163,temp!E$4:E$13,0),0)&gt;0,T08_Spells!AI$2,"")</f>
        <v/>
      </c>
      <c r="AJ163" t="str">
        <f>IF(IFERROR(MATCH($B163,temp!F$4:F$13,0),0)&gt;0,T08_Spells!AJ$2,"")</f>
        <v/>
      </c>
      <c r="AK163" t="str">
        <f>IF(IFERROR(MATCH($B163,temp!G$4:G$13,0),0)&gt;0,T08_Spells!AK$2,"")</f>
        <v/>
      </c>
      <c r="AL163" t="str">
        <f>IF(IFERROR(MATCH($B163,temp!H$4:H$13,0),0)&gt;0,T08_Spells!AL$2,"")</f>
        <v/>
      </c>
      <c r="AM163" t="str">
        <f>IF(IFERROR(MATCH($B163,temp!I$4:I$13,0),0)&gt;0,T08_Spells!AM$2,"")</f>
        <v/>
      </c>
      <c r="AN163" t="str">
        <f>IF(IFERROR(MATCH($B163,temp!J$4:J$13,0),0)&gt;0,T08_Spells!AN$2,"")</f>
        <v/>
      </c>
      <c r="AO163" t="str">
        <f>IF(IFERROR(MATCH($B163,temp!K$4:K$13,0),0)&gt;0,T08_Spells!AO$2,"")</f>
        <v/>
      </c>
      <c r="AP163" t="str">
        <f>IF(IFERROR(MATCH($B163,temp!L$4:L$13,0),0)&gt;0,T08_Spells!AP$2,"")</f>
        <v/>
      </c>
      <c r="AQ163" t="str">
        <f>IF(IFERROR(MATCH($B163,temp!M$4:M$13,0),0)&gt;0,T08_Spells!AQ$2,"")</f>
        <v/>
      </c>
      <c r="AR163" t="str">
        <f>IF(IFERROR(MATCH($B163,temp!N$4:N$13,0),0)&gt;0,T08_Spells!AR$2,"")</f>
        <v/>
      </c>
      <c r="AS163" t="str">
        <f>IF(IFERROR(MATCH($B163,temp!O$4:O$13,0),0)&gt;0,T08_Spells!AS$2,"")</f>
        <v/>
      </c>
      <c r="AT163" t="str">
        <f>IF(IFERROR(MATCH($B163,temp!P$4:P$13,0),0)&gt;0,T08_Spells!AT$2,"")</f>
        <v/>
      </c>
      <c r="AU163" t="str">
        <f>IF(IFERROR(MATCH($B163,temp!Q$4:Q$13,0),0)&gt;0,T08_Spells!AU$2,"")</f>
        <v/>
      </c>
      <c r="AV163" t="str">
        <f>IF(IFERROR(MATCH($B163,temp!R$4:R$13,0),0)&gt;0,T08_Spells!AV$2,"")</f>
        <v/>
      </c>
      <c r="AW163" t="str">
        <f>IF(IFERROR(MATCH($B163,temp!S$4:S$13,0),0)&gt;0,T08_Spells!AW$2,"")</f>
        <v>Nature</v>
      </c>
      <c r="AX163" t="str">
        <f>IF(IFERROR(MATCH($B163,temp!T$4:T$13,0),0)&gt;0,T08_Spells!AX$2,"")</f>
        <v/>
      </c>
      <c r="AY163" t="str">
        <f>IF(IFERROR(MATCH($B163,temp!U$4:U$13,0),0)&gt;0,T08_Spells!AY$2,"")</f>
        <v/>
      </c>
      <c r="AZ163" t="str">
        <f>IF(IFERROR(MATCH($B163,temp!V$4:V$13,0),0)&gt;0,T08_Spells!AZ$2,"")</f>
        <v/>
      </c>
      <c r="BA163" t="str">
        <f>IF(IFERROR(MATCH($B163,temp!W$4:W$13,0),0)&gt;0,T08_Spells!BA$2,"")</f>
        <v/>
      </c>
      <c r="BC163">
        <f>IF(IFERROR(SEARCH("Ranger",$T163,1),0)&gt;0,1,0)*IF(RangerMaxSpellLevel&gt;=$C163,1,0)*IF(IFERROR(MATCH(B163,Character_Creation!$X$79:$X$382,0),0)&gt;0,0,1)</f>
        <v>0</v>
      </c>
      <c r="BD163">
        <f>IF(BC163=0,0,1+COUNTIF(BD$3:BD162,"&gt;0"))</f>
        <v>0</v>
      </c>
      <c r="BE163" t="str">
        <f t="shared" si="143"/>
        <v/>
      </c>
      <c r="BF163" t="str">
        <f t="shared" si="115"/>
        <v/>
      </c>
      <c r="BH163">
        <f>IF(IFERROR(SEARCH("Sorcerer",$T163,1),0)&gt;0,1,0)*IF(SorcererMaxSpellLevel&gt;=$C163,1,0)*IF(IFERROR(MATCH(B163,Character_Creation!$J$380:$J$394,0),0)&gt;0,0,1)</f>
        <v>0</v>
      </c>
      <c r="BI163">
        <f>IF(BH163=0,0,1+COUNTIF(BI$3:BI162,"&gt;0"))</f>
        <v>0</v>
      </c>
      <c r="BJ163" t="str">
        <f t="shared" si="144"/>
        <v/>
      </c>
      <c r="BK163" t="str">
        <f t="shared" si="116"/>
        <v/>
      </c>
      <c r="BM163">
        <f>IF(OR(IFERROR(SEARCH("Warlock",$T163,1),0)&gt;0,IFERROR(SEARCH(WarlockPatron,$T163,1),0)&gt;0),1,0)*IF(WarlockMaxSpellLevel&gt;=$C163,1,0)*IF(IFERROR(MATCH(B163,Character_Creation!$J$361:$J$375,0),0)&gt;0,0,1)</f>
        <v>0</v>
      </c>
      <c r="BN163">
        <f>IF(BM163=0,0,1+COUNTIF(BN$3:BN162,"&gt;0"))</f>
        <v>0</v>
      </c>
      <c r="BO163" t="str">
        <f t="shared" si="145"/>
        <v/>
      </c>
      <c r="BP163" t="str">
        <f t="shared" si="117"/>
        <v/>
      </c>
      <c r="BR163">
        <f>IF(IFERROR(SEARCH("Eldritch Knight",$T163,1),0)&gt;0,1,0)*IF(EldritchKnightMaxSpellLevel&gt;=$C163,1,0)*IF(IFERROR(MATCH($B163,Character_Creation!$J$350:$J$356,0),0)&gt;0,0,1)*IF(Character_Creation!$M$338&gt;0,1,0)</f>
        <v>0</v>
      </c>
      <c r="BS163">
        <f>IF(BR163=0,0,1+COUNTIF(BS$3:BS162,"&gt;0"))</f>
        <v>0</v>
      </c>
      <c r="BT163" t="str">
        <f t="shared" si="146"/>
        <v/>
      </c>
      <c r="BU163" t="str">
        <f t="shared" si="118"/>
        <v/>
      </c>
      <c r="BW163">
        <f>IF(IFERROR(SEARCH("Arcane Trickster",$T163,1),0)&gt;0,1,0)*IF(ArcaneTricksterMaxSpellLevel&gt;=$C163,1,0)*IF(IFERROR(MATCH($B163,Character_Creation!$J$350:$J$356,0),0)&gt;0,0,1)*IF(Character_Creation!$T$338&gt;0,1,0)</f>
        <v>0</v>
      </c>
      <c r="BX163">
        <f>IF(BW163=0,0,1+COUNTIF(BX$3:BX162,"&gt;0"))</f>
        <v>0</v>
      </c>
      <c r="BY163" t="str">
        <f t="shared" si="147"/>
        <v/>
      </c>
      <c r="BZ163" t="str">
        <f t="shared" si="119"/>
        <v/>
      </c>
      <c r="CB163">
        <f>IF(IFERROR(SEARCH("Wizard",$T163,1),0)&gt;0,1,0)*IF(C163&lt;=ArcaneTricksterMaxSpellLevel,1,0)*IF(IFERROR(MATCH($B163,Character_Creation!$J$350:$J$356,0),0)&gt;0,0,1)*IF(Character_Creation!$T$350&gt;0,1,0)</f>
        <v>0</v>
      </c>
      <c r="CC163">
        <f>IF(CB163=0,0,1+COUNTIF(CC$3:CC162,"&gt;0"))</f>
        <v>0</v>
      </c>
      <c r="CD163" t="str">
        <f t="shared" si="148"/>
        <v/>
      </c>
      <c r="CE163" t="str">
        <f t="shared" si="120"/>
        <v/>
      </c>
      <c r="CG163">
        <f>IF(IFERROR(SEARCH("Wizard",$T163,1),0)&gt;0,1,0)*IF($C163&lt;=EldritchKnightMaxSpellLevel,1,0)*IF(IFERROR(MATCH($B163,Character_Creation!$J$350:$J$356,0),0)&gt;0,0,1)*IF(Character_Creation!$M$350&gt;0,1,0)</f>
        <v>0</v>
      </c>
      <c r="CH163">
        <f>IF(CG163=0,0,1+COUNTIF(CH$3:CH162,"&gt;0"))</f>
        <v>0</v>
      </c>
      <c r="CI163" t="str">
        <f t="shared" si="149"/>
        <v/>
      </c>
      <c r="CJ163" t="str">
        <f t="shared" si="121"/>
        <v/>
      </c>
      <c r="CL163">
        <f>IF(IFERROR(SEARCH("Bard",$T163,1),0)&gt;0,1,0)*IF(BardMaxSpellLevel&gt;=$C163,1,0)*IF(IFERROR(MATCH(B163,Character_Creation!$C$341:$F$362,0),0)&gt;0,0,1)*IF(IFERROR(MATCH($B163,Character_Creation!$C$341:$C$362,0),0)&gt;0,0,1)</f>
        <v>0</v>
      </c>
      <c r="CM163">
        <f>IF(CL163=0,0,1+COUNTIF(CM$3:CM162,"&gt;0"))</f>
        <v>0</v>
      </c>
      <c r="CN163" t="str">
        <f t="shared" si="150"/>
        <v/>
      </c>
      <c r="CO163" t="str">
        <f t="shared" si="122"/>
        <v/>
      </c>
      <c r="CQ163">
        <f>IF(IFERROR(SEARCH("Wizard",$T163,1),0)&gt;0,1,0)*IF(WizardMaxSpellLevel&gt;=$C163,1,0)*IF(IFERROR(MATCH(B163,Character_Creation!$X$341:$X$400,0),0)&gt;0,0,1)*IF(SelectedWizardSpellLevel=$C163,1,0)</f>
        <v>0</v>
      </c>
      <c r="CR163">
        <f>IF(CQ163=0,0,1+COUNTIF(CR$3:CR162,"&gt;0"))</f>
        <v>0</v>
      </c>
      <c r="CS163" t="str">
        <f t="shared" si="151"/>
        <v/>
      </c>
      <c r="CT163" t="str">
        <f t="shared" si="123"/>
        <v/>
      </c>
      <c r="CV163">
        <f>IF(IFERROR(MATCH($B163,Character_Creation!$C$341:$C$362,0),0)&gt;0,0,1)*IF(OR(C163="Cantrip",C163&lt;=BardMaxSpellLevel),1,0)*IF(IFERROR(MATCH($B163,Character_Creation!$C$367:$C$374,0),0)&gt;0,0,1)</f>
        <v>0</v>
      </c>
      <c r="CW163">
        <f>IF(CV163=0,0,1+COUNTIF(CW$3:CW162,"&gt;0"))</f>
        <v>0</v>
      </c>
      <c r="CX163" t="str">
        <f t="shared" si="152"/>
        <v/>
      </c>
      <c r="CY163" t="str">
        <f t="shared" si="124"/>
        <v/>
      </c>
      <c r="DA163">
        <f>IF(IF(OR(IFERROR(SEARCH("Cleric",$T163,1),0)&gt;0,IFERROR(SEARCH(DivineDomain&amp;",",$T163,1),0)&gt;0),1,0)*IF($C163=DA$2,1,0)=1,1+COUNTIF(DA$3:DA162,"&gt;0"),0)</f>
        <v>0</v>
      </c>
      <c r="DB163">
        <f>IF(IF(OR(IFERROR(SEARCH("Cleric",$T163,1),0)&gt;0,IFERROR(SEARCH(DivineDomain&amp;",",$T163,1),0)&gt;0),1,0)*IF($C163=DB$2,1,0)=1,1+COUNTIF(DB$3:DB162,"&gt;0"),0)</f>
        <v>0</v>
      </c>
      <c r="DC163">
        <f>IF(IF(OR(IFERROR(SEARCH("Cleric",$T163,1),0)&gt;0,IFERROR(SEARCH(DivineDomain&amp;",",$T163,1),0)&gt;0),1,0)*IF($C163=DC$2,1,0)=1,1+COUNTIF(DC$3:DC162,"&gt;0"),0)</f>
        <v>0</v>
      </c>
      <c r="DD163">
        <f>IF(IF(OR(IFERROR(SEARCH("Cleric",$T163,1),0)&gt;0,IFERROR(SEARCH(DivineDomain&amp;",",$T163,1),0)&gt;0),1,0)*IF($C163=DD$2,1,0)=1,1+COUNTIF(DD$3:DD162,"&gt;0"),0)</f>
        <v>0</v>
      </c>
      <c r="DE163">
        <f>IF(IF(OR(IFERROR(SEARCH("Cleric",$T163,1),0)&gt;0,IFERROR(SEARCH(DivineDomain&amp;",",$T163,1),0)&gt;0),1,0)*IF($C163=DE$2,1,0)=1,1+COUNTIF(DE$3:DE162,"&gt;0"),0)</f>
        <v>0</v>
      </c>
      <c r="DF163">
        <f>IF(IF(OR(IFERROR(SEARCH("Cleric",$T163,1),0)&gt;0,IFERROR(SEARCH(DivineDomain&amp;",",$T163,1),0)&gt;0),1,0)*IF($C163=DF$2,1,0)=1,1+COUNTIF(DF$3:DF162,"&gt;0"),0)</f>
        <v>0</v>
      </c>
      <c r="DG163">
        <f>IF(IF(OR(IFERROR(SEARCH("Cleric",$T163,1),0)&gt;0,IFERROR(SEARCH(DivineDomain&amp;",",$T163,1),0)&gt;0),1,0)*IF($C163=DG$2,1,0)=1,1+COUNTIF(DG$3:DG162,"&gt;0"),0)</f>
        <v>0</v>
      </c>
      <c r="DH163">
        <f>IF(IF(OR(IFERROR(SEARCH("Cleric",$T163,1),0)&gt;0,IFERROR(SEARCH(DivineDomain&amp;",",$T163,1),0)&gt;0),1,0)*IF($C163=DH$2,1,0)=1,1+COUNTIF(DH$3:DH162,"&gt;0"),0)</f>
        <v>0</v>
      </c>
      <c r="DI163">
        <f>IF(IF(OR(IFERROR(SEARCH("Cleric",$T163,1),0)&gt;0,IFERROR(SEARCH(DivineDomain&amp;",",$T163,1),0)&gt;0),1,0)*IF($C163=DI$2,1,0)=1,1+COUNTIF(DI$3:DI162,"&gt;0"),0)</f>
        <v>0</v>
      </c>
      <c r="DJ163">
        <f>IF(IF(OR(IFERROR(SEARCH("Druid",$T163,1),0)&gt;0,IFERROR(SEARCH(DruidLand1,$T163,1),0)&gt;0,IFERROR(SEARCH(DruidLand2,$T163,1),0)&gt;0,IFERROR(SEARCH(DruidLand3,$T163,1),0)&gt;0,IFERROR(SEARCH(DruidLand4,$T163,1),0)&gt;0),1,0)*IF($C163=1,1,0)*IF($C163=DJ$2,1,0)=0,0,1+COUNTIF(DJ$3:DJ162,"&gt;0"))</f>
        <v>0</v>
      </c>
      <c r="DK163">
        <f>IF(IF(OR(IFERROR(SEARCH("Druid",$T163,1),0)&gt;0,IFERROR(SEARCH(DruidLand1,$T163,1),0)&gt;0,IFERROR(SEARCH(DruidLand2,$T163,1),0)&gt;0,IFERROR(SEARCH(DruidLand3,$T163,1),0)&gt;0,IFERROR(SEARCH(DruidLand4,$T163,1),0)&gt;0),1,0)*IF($C163=DK$2,1,0)=0,0,1+COUNTIF(DK$3:DK162,"&gt;0"))</f>
        <v>0</v>
      </c>
      <c r="DL163">
        <f>IF(IF(OR(IFERROR(SEARCH("Druid",$T163,1),0)&gt;0,IFERROR(SEARCH(DruidLand1,$T163,1),0)&gt;0,IFERROR(SEARCH(DruidLand2,$T163,1),0)&gt;0,IFERROR(SEARCH(DruidLand3,$T163,1),0)&gt;0,IFERROR(SEARCH(DruidLand4,$T163,1),0)&gt;0),1,0)*IF($C163=DL$2,1,0)=0,0,1+COUNTIF(DL$3:DL162,"&gt;0"))</f>
        <v>0</v>
      </c>
      <c r="DM163">
        <f>IF(IF(OR(IFERROR(SEARCH("Druid",$T163,1),0)&gt;0,IFERROR(SEARCH(DruidLand1,$T163,1),0)&gt;0,IFERROR(SEARCH(DruidLand2,$T163,1),0)&gt;0,IFERROR(SEARCH(DruidLand3,$T163,1),0)&gt;0,IFERROR(SEARCH(DruidLand4,$T163,1),0)&gt;0),1,0)*IF($C163=DM$2,1,0)=0,0,1+COUNTIF(DM$3:DM162,"&gt;0"))</f>
        <v>9</v>
      </c>
      <c r="DN163">
        <f>IF(IF(OR(IFERROR(SEARCH("Druid",$T163,1),0)&gt;0,IFERROR(SEARCH(DruidLand1,$T163,1),0)&gt;0,IFERROR(SEARCH(DruidLand2,$T163,1),0)&gt;0,IFERROR(SEARCH(DruidLand3,$T163,1),0)&gt;0,IFERROR(SEARCH(DruidLand4,$T163,1),0)&gt;0),1,0)*IF($C163=DN$2,1,0)=0,0,1+COUNTIF(DN$3:DN162,"&gt;0"))</f>
        <v>0</v>
      </c>
      <c r="DO163">
        <f>IF(IF(OR(IFERROR(SEARCH("Druid",$T163,1),0)&gt;0,IFERROR(SEARCH(DruidLand1,$T163,1),0)&gt;0,IFERROR(SEARCH(DruidLand2,$T163,1),0)&gt;0,IFERROR(SEARCH(DruidLand3,$T163,1),0)&gt;0,IFERROR(SEARCH(DruidLand4,$T163,1),0)&gt;0),1,0)*IF($C163=DO$2,1,0)=0,0,1+COUNTIF(DO$3:DO162,"&gt;0"))</f>
        <v>0</v>
      </c>
      <c r="DP163">
        <f>IF(IF(OR(IFERROR(SEARCH("Druid",$T163,1),0)&gt;0,IFERROR(SEARCH(DruidLand1,$T163,1),0)&gt;0,IFERROR(SEARCH(DruidLand2,$T163,1),0)&gt;0,IFERROR(SEARCH(DruidLand3,$T163,1),0)&gt;0,IFERROR(SEARCH(DruidLand4,$T163,1),0)&gt;0),1,0)*IF($C163=DP$2,1,0)=0,0,1+COUNTIF(DP$3:DP162,"&gt;0"))</f>
        <v>0</v>
      </c>
      <c r="DQ163">
        <f>IF(IF(OR(IFERROR(SEARCH("Druid",$T163,1),0)&gt;0,IFERROR(SEARCH(DruidLand1,$T163,1),0)&gt;0,IFERROR(SEARCH(DruidLand2,$T163,1),0)&gt;0,IFERROR(SEARCH(DruidLand3,$T163,1),0)&gt;0,IFERROR(SEARCH(DruidLand4,$T163,1),0)&gt;0),1,0)*IF($C163=DQ$2,1,0)=0,0,1+COUNTIF(DQ$3:DQ162,"&gt;0"))</f>
        <v>0</v>
      </c>
      <c r="DR163">
        <f>IF(IF(OR(IFERROR(SEARCH("Druid",$T163,1),0)&gt;0,IFERROR(SEARCH(DruidLand1,$T163,1),0)&gt;0,IFERROR(SEARCH(DruidLand2,$T163,1),0)&gt;0,IFERROR(SEARCH(DruidLand3,$T163,1),0)&gt;0,IFERROR(SEARCH(DruidLand4,$T163,1),0)&gt;0),1,0)*IF($C163=DR$2,1,0)=0,0,1+COUNTIF(DR$3:DR162,"&gt;0"))</f>
        <v>0</v>
      </c>
      <c r="DS163">
        <f>IF(IF(OR(IFERROR(SEARCH("Paladin",$T163,1),0)&gt;0,IFERROR(SEARCH(PaladinOath,$T163,1),0)&gt;0),1,0)*IF($C163=DS$2,1,0)=1,1+COUNTIF(DS$3:DS162,"&gt;0"),0)</f>
        <v>0</v>
      </c>
      <c r="DT163">
        <f>IF(IF(OR(IFERROR(SEARCH("Paladin",$T163,1),0)&gt;0,IFERROR(SEARCH(PaladinOath,$T163,1),0)&gt;0),1,0)*IF($C163=DT$2,1,0)=1,1+COUNTIF(DT$3:DT162,"&gt;0"),0)</f>
        <v>0</v>
      </c>
      <c r="DU163">
        <f>IF(IF(OR(IFERROR(SEARCH("Paladin",$T163,1),0)&gt;0,IFERROR(SEARCH(PaladinOath,$T163,1),0)&gt;0),1,0)*IF($C163=DU$2,1,0)=1,1+COUNTIF(DU$3:DU162,"&gt;0"),0)</f>
        <v>0</v>
      </c>
      <c r="DV163">
        <f>IF(IF(OR(IFERROR(SEARCH("Paladin",$T163,1),0)&gt;0,IFERROR(SEARCH(PaladinOath,$T163,1),0)&gt;0),1,0)*IF($C163=DV$2,1,0)=1,1+COUNTIF(DV$3:DV162,"&gt;0"),0)</f>
        <v>0</v>
      </c>
      <c r="DW163">
        <f>IF(IF(OR(IFERROR(SEARCH("Paladin",$T163,1),0)&gt;0,IFERROR(SEARCH(PaladinOath,$T163,1),0)&gt;0),1,0)*IF($C163=DW$2,1,0)=1,1+COUNTIF(DW$3:DW162,"&gt;0"),0)</f>
        <v>0</v>
      </c>
      <c r="DY163">
        <f t="shared" si="111"/>
        <v>1</v>
      </c>
      <c r="DZ163">
        <f>IF(DY163=0,0,1+MAX(DZ$3:$DZ162))</f>
        <v>161</v>
      </c>
      <c r="EB163">
        <f t="shared" si="125"/>
        <v>0</v>
      </c>
      <c r="EC163">
        <f>IF(EB163=0,0,1+COUNTIF(EC$3:EC162,"&gt;0"))</f>
        <v>0</v>
      </c>
      <c r="ED163" t="str">
        <f t="shared" si="153"/>
        <v/>
      </c>
      <c r="EE163" t="str">
        <f t="shared" si="126"/>
        <v/>
      </c>
      <c r="EG163">
        <f t="shared" si="127"/>
        <v>0</v>
      </c>
      <c r="EH163">
        <f>IF(EG163=0,0,1+COUNTIF(EH$3:EH162,"&gt;0"))</f>
        <v>0</v>
      </c>
      <c r="EI163" t="str">
        <f t="shared" si="154"/>
        <v/>
      </c>
      <c r="EJ163" t="str">
        <f t="shared" si="128"/>
        <v/>
      </c>
      <c r="EL163">
        <f t="shared" si="129"/>
        <v>0</v>
      </c>
      <c r="EM163">
        <f>IF(EL163=0,0,1+COUNTIF(EM$3:EM162,"&gt;0"))</f>
        <v>0</v>
      </c>
      <c r="EN163" t="str">
        <f t="shared" si="155"/>
        <v/>
      </c>
      <c r="EO163" t="str">
        <f t="shared" si="130"/>
        <v/>
      </c>
      <c r="EQ163">
        <f t="shared" si="131"/>
        <v>0</v>
      </c>
      <c r="ER163">
        <f>IF(EQ163=0,0,1+COUNTIF(ER$3:ER162,"&gt;0"))</f>
        <v>0</v>
      </c>
      <c r="ES163" t="str">
        <f t="shared" si="156"/>
        <v/>
      </c>
      <c r="ET163" t="str">
        <f t="shared" si="132"/>
        <v/>
      </c>
      <c r="EV163">
        <f t="shared" si="133"/>
        <v>0</v>
      </c>
      <c r="EW163">
        <f>IF(EV163=0,0,1+COUNTIF(EW$3:EW162,"&gt;0"))</f>
        <v>0</v>
      </c>
      <c r="EX163" t="str">
        <f t="shared" si="157"/>
        <v/>
      </c>
      <c r="EY163" t="str">
        <f t="shared" si="134"/>
        <v/>
      </c>
      <c r="FA163">
        <f t="shared" si="135"/>
        <v>0</v>
      </c>
      <c r="FB163">
        <f>IF(FA163=0,0,1+COUNTIF(FB$3:FB162,"&gt;0"))</f>
        <v>0</v>
      </c>
      <c r="FC163" t="str">
        <f t="shared" si="158"/>
        <v/>
      </c>
      <c r="FD163" t="str">
        <f t="shared" si="136"/>
        <v/>
      </c>
      <c r="FF163">
        <f t="shared" si="137"/>
        <v>0</v>
      </c>
      <c r="FG163">
        <f>IF(FF163=0,0,1+COUNTIF(FG$3:FG162,"&gt;0"))</f>
        <v>0</v>
      </c>
      <c r="FH163" t="str">
        <f t="shared" si="159"/>
        <v/>
      </c>
      <c r="FI163" t="str">
        <f t="shared" si="138"/>
        <v/>
      </c>
      <c r="FK163">
        <f t="shared" si="139"/>
        <v>0</v>
      </c>
      <c r="FL163">
        <f>IF(FK163=0,0,1+COUNTIF(FL$3:FL162,"&gt;0"))</f>
        <v>0</v>
      </c>
      <c r="FM163" t="str">
        <f t="shared" si="160"/>
        <v/>
      </c>
      <c r="FN163" t="str">
        <f t="shared" si="140"/>
        <v/>
      </c>
      <c r="FP163">
        <f t="shared" si="141"/>
        <v>0</v>
      </c>
      <c r="FQ163">
        <f>IF(FP163=0,0,1+COUNTIF(FQ$3:FQ162,"&gt;0"))</f>
        <v>0</v>
      </c>
      <c r="FR163" t="str">
        <f t="shared" si="161"/>
        <v/>
      </c>
      <c r="FS163" t="str">
        <f t="shared" si="142"/>
        <v/>
      </c>
    </row>
    <row r="164" spans="1:175" x14ac:dyDescent="0.25">
      <c r="A164" s="347">
        <f t="shared" si="162"/>
        <v>162</v>
      </c>
      <c r="B164" s="348" t="s">
        <v>2537</v>
      </c>
      <c r="C164" s="348">
        <v>1</v>
      </c>
      <c r="D164" s="347">
        <v>1</v>
      </c>
      <c r="E164" s="627" t="s">
        <v>6952</v>
      </c>
      <c r="F164" s="346"/>
      <c r="G164" s="347" t="str">
        <f>""</f>
        <v/>
      </c>
      <c r="H164" s="347" t="s">
        <v>5912</v>
      </c>
      <c r="I164" s="347" t="s">
        <v>424</v>
      </c>
      <c r="J164" s="347" t="str">
        <f t="shared" si="112"/>
        <v/>
      </c>
      <c r="K164" s="347" t="s">
        <v>5288</v>
      </c>
      <c r="L164" s="611" t="str">
        <f t="shared" si="113"/>
        <v>V, S, M, a bit of pork rind or butter</v>
      </c>
      <c r="M164" s="347" t="s">
        <v>2373</v>
      </c>
      <c r="N164" s="347" t="s">
        <v>2387</v>
      </c>
      <c r="O164" s="347" t="s">
        <v>1244</v>
      </c>
      <c r="P164" s="346" t="s">
        <v>5391</v>
      </c>
      <c r="Q164" s="347" t="s">
        <v>5271</v>
      </c>
      <c r="S164" s="346" t="s">
        <v>5716</v>
      </c>
      <c r="T164" s="346" t="str">
        <f t="shared" si="114"/>
        <v xml:space="preserve">Wizard, </v>
      </c>
      <c r="AD164" s="347" t="str">
        <f>$B164</f>
        <v>Grease</v>
      </c>
      <c r="AE164" t="str">
        <f>IF(IFERROR(MATCH($B164,temp!A$4:A$13,0),0)&gt;0,T08_Spells!AE$2,"")</f>
        <v/>
      </c>
      <c r="AF164" t="str">
        <f>IF(IFERROR(MATCH($B164,temp!B$4:B$13,0),0)&gt;0,T08_Spells!AF$2,"")</f>
        <v/>
      </c>
      <c r="AG164" t="str">
        <f>IF(IFERROR(MATCH($B164,temp!C$4:C$13,0),0)&gt;0,T08_Spells!AG$2,"")</f>
        <v/>
      </c>
      <c r="AH164" t="str">
        <f>IF(IFERROR(MATCH($B164,temp!D$4:D$13,0),0)&gt;0,T08_Spells!AH$2,"")</f>
        <v/>
      </c>
      <c r="AI164" t="str">
        <f>IF(IFERROR(MATCH($B164,temp!E$4:E$13,0),0)&gt;0,T08_Spells!AI$2,"")</f>
        <v/>
      </c>
      <c r="AJ164" t="str">
        <f>IF(IFERROR(MATCH($B164,temp!F$4:F$13,0),0)&gt;0,T08_Spells!AJ$2,"")</f>
        <v/>
      </c>
      <c r="AK164" t="str">
        <f>IF(IFERROR(MATCH($B164,temp!G$4:G$13,0),0)&gt;0,T08_Spells!AK$2,"")</f>
        <v/>
      </c>
      <c r="AL164" t="str">
        <f>IF(IFERROR(MATCH($B164,temp!H$4:H$13,0),0)&gt;0,T08_Spells!AL$2,"")</f>
        <v/>
      </c>
      <c r="AM164" t="str">
        <f>IF(IFERROR(MATCH($B164,temp!I$4:I$13,0),0)&gt;0,T08_Spells!AM$2,"")</f>
        <v/>
      </c>
      <c r="AN164" t="str">
        <f>IF(IFERROR(MATCH($B164,temp!J$4:J$13,0),0)&gt;0,T08_Spells!AN$2,"")</f>
        <v/>
      </c>
      <c r="AO164" t="str">
        <f>IF(IFERROR(MATCH($B164,temp!K$4:K$13,0),0)&gt;0,T08_Spells!AO$2,"")</f>
        <v/>
      </c>
      <c r="AP164" t="str">
        <f>IF(IFERROR(MATCH($B164,temp!L$4:L$13,0),0)&gt;0,T08_Spells!AP$2,"")</f>
        <v/>
      </c>
      <c r="AQ164" t="str">
        <f>IF(IFERROR(MATCH($B164,temp!M$4:M$13,0),0)&gt;0,T08_Spells!AQ$2,"")</f>
        <v/>
      </c>
      <c r="AR164" t="str">
        <f>IF(IFERROR(MATCH($B164,temp!N$4:N$13,0),0)&gt;0,T08_Spells!AR$2,"")</f>
        <v/>
      </c>
      <c r="AS164" t="str">
        <f>IF(IFERROR(MATCH($B164,temp!O$4:O$13,0),0)&gt;0,T08_Spells!AS$2,"")</f>
        <v/>
      </c>
      <c r="AT164" t="str">
        <f>IF(IFERROR(MATCH($B164,temp!P$4:P$13,0),0)&gt;0,T08_Spells!AT$2,"")</f>
        <v/>
      </c>
      <c r="AU164" t="str">
        <f>IF(IFERROR(MATCH($B164,temp!Q$4:Q$13,0),0)&gt;0,T08_Spells!AU$2,"")</f>
        <v/>
      </c>
      <c r="AV164" t="str">
        <f>IF(IFERROR(MATCH($B164,temp!R$4:R$13,0),0)&gt;0,T08_Spells!AV$2,"")</f>
        <v/>
      </c>
      <c r="AW164" t="str">
        <f>IF(IFERROR(MATCH($B164,temp!S$4:S$13,0),0)&gt;0,T08_Spells!AW$2,"")</f>
        <v/>
      </c>
      <c r="AX164" t="str">
        <f>IF(IFERROR(MATCH($B164,temp!T$4:T$13,0),0)&gt;0,T08_Spells!AX$2,"")</f>
        <v/>
      </c>
      <c r="AY164" t="str">
        <f>IF(IFERROR(MATCH($B164,temp!U$4:U$13,0),0)&gt;0,T08_Spells!AY$2,"")</f>
        <v/>
      </c>
      <c r="AZ164" t="str">
        <f>IF(IFERROR(MATCH($B164,temp!V$4:V$13,0),0)&gt;0,T08_Spells!AZ$2,"")</f>
        <v/>
      </c>
      <c r="BA164" t="str">
        <f>IF(IFERROR(MATCH($B164,temp!W$4:W$13,0),0)&gt;0,T08_Spells!BA$2,"")</f>
        <v/>
      </c>
      <c r="BC164">
        <f>IF(IFERROR(SEARCH("Ranger",$T164,1),0)&gt;0,1,0)*IF(RangerMaxSpellLevel&gt;=$C164,1,0)*IF(IFERROR(MATCH(B164,Character_Creation!$X$79:$X$382,0),0)&gt;0,0,1)</f>
        <v>0</v>
      </c>
      <c r="BD164">
        <f>IF(BC164=0,0,1+COUNTIF(BD$3:BD163,"&gt;0"))</f>
        <v>0</v>
      </c>
      <c r="BE164" t="str">
        <f t="shared" si="143"/>
        <v/>
      </c>
      <c r="BF164" t="str">
        <f t="shared" si="115"/>
        <v/>
      </c>
      <c r="BH164">
        <f>IF(IFERROR(SEARCH("Sorcerer",$T164,1),0)&gt;0,1,0)*IF(SorcererMaxSpellLevel&gt;=$C164,1,0)*IF(IFERROR(MATCH(B164,Character_Creation!$J$380:$J$394,0),0)&gt;0,0,1)</f>
        <v>0</v>
      </c>
      <c r="BI164">
        <f>IF(BH164=0,0,1+COUNTIF(BI$3:BI163,"&gt;0"))</f>
        <v>0</v>
      </c>
      <c r="BJ164" t="str">
        <f t="shared" si="144"/>
        <v/>
      </c>
      <c r="BK164" t="str">
        <f t="shared" si="116"/>
        <v/>
      </c>
      <c r="BM164">
        <f>IF(OR(IFERROR(SEARCH("Warlock",$T164,1),0)&gt;0,IFERROR(SEARCH(WarlockPatron,$T164,1),0)&gt;0),1,0)*IF(WarlockMaxSpellLevel&gt;=$C164,1,0)*IF(IFERROR(MATCH(B164,Character_Creation!$J$361:$J$375,0),0)&gt;0,0,1)</f>
        <v>0</v>
      </c>
      <c r="BN164">
        <f>IF(BM164=0,0,1+COUNTIF(BN$3:BN163,"&gt;0"))</f>
        <v>0</v>
      </c>
      <c r="BO164" t="str">
        <f t="shared" si="145"/>
        <v/>
      </c>
      <c r="BP164" t="str">
        <f t="shared" si="117"/>
        <v/>
      </c>
      <c r="BR164">
        <f>IF(IFERROR(SEARCH("Eldritch Knight",$T164,1),0)&gt;0,1,0)*IF(EldritchKnightMaxSpellLevel&gt;=$C164,1,0)*IF(IFERROR(MATCH($B164,Character_Creation!$J$350:$J$356,0),0)&gt;0,0,1)*IF(Character_Creation!$M$338&gt;0,1,0)</f>
        <v>0</v>
      </c>
      <c r="BS164">
        <f>IF(BR164=0,0,1+COUNTIF(BS$3:BS163,"&gt;0"))</f>
        <v>0</v>
      </c>
      <c r="BT164" t="str">
        <f t="shared" si="146"/>
        <v/>
      </c>
      <c r="BU164" t="str">
        <f t="shared" si="118"/>
        <v/>
      </c>
      <c r="BW164">
        <f>IF(IFERROR(SEARCH("Arcane Trickster",$T164,1),0)&gt;0,1,0)*IF(ArcaneTricksterMaxSpellLevel&gt;=$C164,1,0)*IF(IFERROR(MATCH($B164,Character_Creation!$J$350:$J$356,0),0)&gt;0,0,1)*IF(Character_Creation!$T$338&gt;0,1,0)</f>
        <v>0</v>
      </c>
      <c r="BX164">
        <f>IF(BW164=0,0,1+COUNTIF(BX$3:BX163,"&gt;0"))</f>
        <v>0</v>
      </c>
      <c r="BY164" t="str">
        <f t="shared" si="147"/>
        <v/>
      </c>
      <c r="BZ164" t="str">
        <f t="shared" si="119"/>
        <v/>
      </c>
      <c r="CB164">
        <f>IF(IFERROR(SEARCH("Wizard",$T164,1),0)&gt;0,1,0)*IF(C164&lt;=ArcaneTricksterMaxSpellLevel,1,0)*IF(IFERROR(MATCH($B164,Character_Creation!$J$350:$J$356,0),0)&gt;0,0,1)*IF(Character_Creation!$T$350&gt;0,1,0)</f>
        <v>0</v>
      </c>
      <c r="CC164">
        <f>IF(CB164=0,0,1+COUNTIF(CC$3:CC163,"&gt;0"))</f>
        <v>0</v>
      </c>
      <c r="CD164" t="str">
        <f t="shared" si="148"/>
        <v/>
      </c>
      <c r="CE164" t="str">
        <f t="shared" si="120"/>
        <v/>
      </c>
      <c r="CG164">
        <f>IF(IFERROR(SEARCH("Wizard",$T164,1),0)&gt;0,1,0)*IF($C164&lt;=EldritchKnightMaxSpellLevel,1,0)*IF(IFERROR(MATCH($B164,Character_Creation!$J$350:$J$356,0),0)&gt;0,0,1)*IF(Character_Creation!$M$350&gt;0,1,0)</f>
        <v>1</v>
      </c>
      <c r="CH164">
        <f>IF(CG164=0,0,1+COUNTIF(CH$3:CH163,"&gt;0"))</f>
        <v>27</v>
      </c>
      <c r="CI164" t="str">
        <f t="shared" si="149"/>
        <v/>
      </c>
      <c r="CJ164" t="str">
        <f t="shared" si="121"/>
        <v/>
      </c>
      <c r="CL164">
        <f>IF(IFERROR(SEARCH("Bard",$T164,1),0)&gt;0,1,0)*IF(BardMaxSpellLevel&gt;=$C164,1,0)*IF(IFERROR(MATCH(B164,Character_Creation!$C$341:$F$362,0),0)&gt;0,0,1)*IF(IFERROR(MATCH($B164,Character_Creation!$C$341:$C$362,0),0)&gt;0,0,1)</f>
        <v>0</v>
      </c>
      <c r="CM164">
        <f>IF(CL164=0,0,1+COUNTIF(CM$3:CM163,"&gt;0"))</f>
        <v>0</v>
      </c>
      <c r="CN164" t="str">
        <f t="shared" si="150"/>
        <v/>
      </c>
      <c r="CO164" t="str">
        <f t="shared" si="122"/>
        <v/>
      </c>
      <c r="CQ164">
        <f>IF(IFERROR(SEARCH("Wizard",$T164,1),0)&gt;0,1,0)*IF(WizardMaxSpellLevel&gt;=$C164,1,0)*IF(IFERROR(MATCH(B164,Character_Creation!$X$341:$X$400,0),0)&gt;0,0,1)*IF(SelectedWizardSpellLevel=$C164,1,0)</f>
        <v>0</v>
      </c>
      <c r="CR164">
        <f>IF(CQ164=0,0,1+COUNTIF(CR$3:CR163,"&gt;0"))</f>
        <v>0</v>
      </c>
      <c r="CS164" t="str">
        <f t="shared" si="151"/>
        <v/>
      </c>
      <c r="CT164" t="str">
        <f t="shared" si="123"/>
        <v/>
      </c>
      <c r="CV164">
        <f>IF(IFERROR(MATCH($B164,Character_Creation!$C$341:$C$362,0),0)&gt;0,0,1)*IF(OR(C164="Cantrip",C164&lt;=BardMaxSpellLevel),1,0)*IF(IFERROR(MATCH($B164,Character_Creation!$C$367:$C$374,0),0)&gt;0,0,1)</f>
        <v>0</v>
      </c>
      <c r="CW164">
        <f>IF(CV164=0,0,1+COUNTIF(CW$3:CW163,"&gt;0"))</f>
        <v>0</v>
      </c>
      <c r="CX164" t="str">
        <f t="shared" si="152"/>
        <v/>
      </c>
      <c r="CY164" t="str">
        <f t="shared" si="124"/>
        <v/>
      </c>
      <c r="DA164">
        <f>IF(IF(OR(IFERROR(SEARCH("Cleric",$T164,1),0)&gt;0,IFERROR(SEARCH(DivineDomain&amp;",",$T164,1),0)&gt;0),1,0)*IF($C164=DA$2,1,0)=1,1+COUNTIF(DA$3:DA163,"&gt;0"),0)</f>
        <v>0</v>
      </c>
      <c r="DB164">
        <f>IF(IF(OR(IFERROR(SEARCH("Cleric",$T164,1),0)&gt;0,IFERROR(SEARCH(DivineDomain&amp;",",$T164,1),0)&gt;0),1,0)*IF($C164=DB$2,1,0)=1,1+COUNTIF(DB$3:DB163,"&gt;0"),0)</f>
        <v>0</v>
      </c>
      <c r="DC164">
        <f>IF(IF(OR(IFERROR(SEARCH("Cleric",$T164,1),0)&gt;0,IFERROR(SEARCH(DivineDomain&amp;",",$T164,1),0)&gt;0),1,0)*IF($C164=DC$2,1,0)=1,1+COUNTIF(DC$3:DC163,"&gt;0"),0)</f>
        <v>0</v>
      </c>
      <c r="DD164">
        <f>IF(IF(OR(IFERROR(SEARCH("Cleric",$T164,1),0)&gt;0,IFERROR(SEARCH(DivineDomain&amp;",",$T164,1),0)&gt;0),1,0)*IF($C164=DD$2,1,0)=1,1+COUNTIF(DD$3:DD163,"&gt;0"),0)</f>
        <v>0</v>
      </c>
      <c r="DE164">
        <f>IF(IF(OR(IFERROR(SEARCH("Cleric",$T164,1),0)&gt;0,IFERROR(SEARCH(DivineDomain&amp;",",$T164,1),0)&gt;0),1,0)*IF($C164=DE$2,1,0)=1,1+COUNTIF(DE$3:DE163,"&gt;0"),0)</f>
        <v>0</v>
      </c>
      <c r="DF164">
        <f>IF(IF(OR(IFERROR(SEARCH("Cleric",$T164,1),0)&gt;0,IFERROR(SEARCH(DivineDomain&amp;",",$T164,1),0)&gt;0),1,0)*IF($C164=DF$2,1,0)=1,1+COUNTIF(DF$3:DF163,"&gt;0"),0)</f>
        <v>0</v>
      </c>
      <c r="DG164">
        <f>IF(IF(OR(IFERROR(SEARCH("Cleric",$T164,1),0)&gt;0,IFERROR(SEARCH(DivineDomain&amp;",",$T164,1),0)&gt;0),1,0)*IF($C164=DG$2,1,0)=1,1+COUNTIF(DG$3:DG163,"&gt;0"),0)</f>
        <v>0</v>
      </c>
      <c r="DH164">
        <f>IF(IF(OR(IFERROR(SEARCH("Cleric",$T164,1),0)&gt;0,IFERROR(SEARCH(DivineDomain&amp;",",$T164,1),0)&gt;0),1,0)*IF($C164=DH$2,1,0)=1,1+COUNTIF(DH$3:DH163,"&gt;0"),0)</f>
        <v>0</v>
      </c>
      <c r="DI164">
        <f>IF(IF(OR(IFERROR(SEARCH("Cleric",$T164,1),0)&gt;0,IFERROR(SEARCH(DivineDomain&amp;",",$T164,1),0)&gt;0),1,0)*IF($C164=DI$2,1,0)=1,1+COUNTIF(DI$3:DI163,"&gt;0"),0)</f>
        <v>0</v>
      </c>
      <c r="DJ164">
        <f>IF(IF(OR(IFERROR(SEARCH("Druid",$T164,1),0)&gt;0,IFERROR(SEARCH(DruidLand1,$T164,1),0)&gt;0,IFERROR(SEARCH(DruidLand2,$T164,1),0)&gt;0,IFERROR(SEARCH(DruidLand3,$T164,1),0)&gt;0,IFERROR(SEARCH(DruidLand4,$T164,1),0)&gt;0),1,0)*IF($C164=1,1,0)*IF($C164=DJ$2,1,0)=0,0,1+COUNTIF(DJ$3:DJ163,"&gt;0"))</f>
        <v>0</v>
      </c>
      <c r="DK164">
        <f>IF(IF(OR(IFERROR(SEARCH("Druid",$T164,1),0)&gt;0,IFERROR(SEARCH(DruidLand1,$T164,1),0)&gt;0,IFERROR(SEARCH(DruidLand2,$T164,1),0)&gt;0,IFERROR(SEARCH(DruidLand3,$T164,1),0)&gt;0,IFERROR(SEARCH(DruidLand4,$T164,1),0)&gt;0),1,0)*IF($C164=1,1,0)*IF($C164=DK$2,1,0)=0,0,1+COUNTIF(DK$3:DK163,"&gt;0"))</f>
        <v>0</v>
      </c>
      <c r="DL164">
        <f>IF(IF(OR(IFERROR(SEARCH("Druid",$T164,1),0)&gt;0,IFERROR(SEARCH(DruidLand1,$T164,1),0)&gt;0,IFERROR(SEARCH(DruidLand2,$T164,1),0)&gt;0,IFERROR(SEARCH(DruidLand3,$T164,1),0)&gt;0,IFERROR(SEARCH(DruidLand4,$T164,1),0)&gt;0),1,0)*IF($C164=1,1,0)*IF($C164=DL$2,1,0)=0,0,1+COUNTIF(DL$3:DL163,"&gt;0"))</f>
        <v>0</v>
      </c>
      <c r="DM164">
        <f>IF(IF(OR(IFERROR(SEARCH("Druid",$T164,1),0)&gt;0,IFERROR(SEARCH(DruidLand1,$T164,1),0)&gt;0,IFERROR(SEARCH(DruidLand2,$T164,1),0)&gt;0,IFERROR(SEARCH(DruidLand3,$T164,1),0)&gt;0,IFERROR(SEARCH(DruidLand4,$T164,1),0)&gt;0),1,0)*IF($C164=1,1,0)*IF($C164=DM$2,1,0)=0,0,1+COUNTIF(DM$3:DM163,"&gt;0"))</f>
        <v>0</v>
      </c>
      <c r="DN164">
        <f>IF(IF(OR(IFERROR(SEARCH("Druid",$T164,1),0)&gt;0,IFERROR(SEARCH(DruidLand1,$T164,1),0)&gt;0,IFERROR(SEARCH(DruidLand2,$T164,1),0)&gt;0,IFERROR(SEARCH(DruidLand3,$T164,1),0)&gt;0,IFERROR(SEARCH(DruidLand4,$T164,1),0)&gt;0),1,0)*IF($C164=1,1,0)*IF($C164=DN$2,1,0)=0,0,1+COUNTIF(DN$3:DN163,"&gt;0"))</f>
        <v>0</v>
      </c>
      <c r="DO164">
        <f>IF(IF(OR(IFERROR(SEARCH("Druid",$T164,1),0)&gt;0,IFERROR(SEARCH(DruidLand1,$T164,1),0)&gt;0,IFERROR(SEARCH(DruidLand2,$T164,1),0)&gt;0,IFERROR(SEARCH(DruidLand3,$T164,1),0)&gt;0,IFERROR(SEARCH(DruidLand4,$T164,1),0)&gt;0),1,0)*IF($C164=1,1,0)*IF($C164=DO$2,1,0)=0,0,1+COUNTIF(DO$3:DO163,"&gt;0"))</f>
        <v>0</v>
      </c>
      <c r="DP164">
        <f>IF(IF(OR(IFERROR(SEARCH("Druid",$T164,1),0)&gt;0,IFERROR(SEARCH(DruidLand1,$T164,1),0)&gt;0,IFERROR(SEARCH(DruidLand2,$T164,1),0)&gt;0,IFERROR(SEARCH(DruidLand3,$T164,1),0)&gt;0,IFERROR(SEARCH(DruidLand4,$T164,1),0)&gt;0),1,0)*IF($C164=1,1,0)*IF($C164=DP$2,1,0)=0,0,1+COUNTIF(DP$3:DP163,"&gt;0"))</f>
        <v>0</v>
      </c>
      <c r="DQ164">
        <f>IF(IF(OR(IFERROR(SEARCH("Druid",$T164,1),0)&gt;0,IFERROR(SEARCH(DruidLand1,$T164,1),0)&gt;0,IFERROR(SEARCH(DruidLand2,$T164,1),0)&gt;0,IFERROR(SEARCH(DruidLand3,$T164,1),0)&gt;0,IFERROR(SEARCH(DruidLand4,$T164,1),0)&gt;0),1,0)*IF($C164=1,1,0)*IF($C164=DQ$2,1,0)=0,0,1+COUNTIF(DQ$3:DQ163,"&gt;0"))</f>
        <v>0</v>
      </c>
      <c r="DR164">
        <f>IF(IF(OR(IFERROR(SEARCH("Druid",$T164,1),0)&gt;0,IFERROR(SEARCH(DruidLand1,$T164,1),0)&gt;0,IFERROR(SEARCH(DruidLand2,$T164,1),0)&gt;0,IFERROR(SEARCH(DruidLand3,$T164,1),0)&gt;0,IFERROR(SEARCH(DruidLand4,$T164,1),0)&gt;0),1,0)*IF($C164=1,1,0)*IF($C164=DR$2,1,0)=0,0,1+COUNTIF(DR$3:DR163,"&gt;0"))</f>
        <v>0</v>
      </c>
      <c r="DS164">
        <f>IF(IF(OR(IFERROR(SEARCH("Paladin",$T164,1),0)&gt;0,IFERROR(SEARCH(PaladinOath,$T164,1),0)&gt;0),1,0)*IF($C164=DS$2,1,0)=1,1+COUNTIF(DS$3:DS163,"&gt;0"),0)</f>
        <v>0</v>
      </c>
      <c r="DT164">
        <f>IF(IF(OR(IFERROR(SEARCH("Paladin",$T164,1),0)&gt;0,IFERROR(SEARCH(PaladinOath,$T164,1),0)&gt;0),1,0)*IF($C164=DT$2,1,0)=1,1+COUNTIF(DT$3:DT163,"&gt;0"),0)</f>
        <v>0</v>
      </c>
      <c r="DU164">
        <f>IF(IF(OR(IFERROR(SEARCH("Paladin",$T164,1),0)&gt;0,IFERROR(SEARCH(PaladinOath,$T164,1),0)&gt;0),1,0)*IF($C164=DU$2,1,0)=1,1+COUNTIF(DU$3:DU163,"&gt;0"),0)</f>
        <v>0</v>
      </c>
      <c r="DV164">
        <f>IF(IF(OR(IFERROR(SEARCH("Paladin",$T164,1),0)&gt;0,IFERROR(SEARCH(PaladinOath,$T164,1),0)&gt;0),1,0)*IF($C164=DV$2,1,0)=1,1+COUNTIF(DV$3:DV163,"&gt;0"),0)</f>
        <v>0</v>
      </c>
      <c r="DW164">
        <f>IF(IF(OR(IFERROR(SEARCH("Paladin",$T164,1),0)&gt;0,IFERROR(SEARCH(PaladinOath,$T164,1),0)&gt;0),1,0)*IF($C164=DW$2,1,0)=1,1+COUNTIF(DW$3:DW163,"&gt;0"),0)</f>
        <v>0</v>
      </c>
      <c r="DY164">
        <f t="shared" si="111"/>
        <v>1</v>
      </c>
      <c r="DZ164">
        <f>IF(DY164=0,0,1+MAX(DZ$3:$DZ163))</f>
        <v>162</v>
      </c>
      <c r="EB164">
        <f t="shared" si="125"/>
        <v>0</v>
      </c>
      <c r="EC164">
        <f>IF(EB164=0,0,1+COUNTIF(EC$3:EC163,"&gt;0"))</f>
        <v>0</v>
      </c>
      <c r="ED164" t="str">
        <f t="shared" si="153"/>
        <v/>
      </c>
      <c r="EE164" t="str">
        <f t="shared" si="126"/>
        <v/>
      </c>
      <c r="EG164">
        <f t="shared" si="127"/>
        <v>0</v>
      </c>
      <c r="EH164">
        <f>IF(EG164=0,0,1+COUNTIF(EH$3:EH163,"&gt;0"))</f>
        <v>0</v>
      </c>
      <c r="EI164" t="str">
        <f t="shared" si="154"/>
        <v/>
      </c>
      <c r="EJ164" t="str">
        <f t="shared" si="128"/>
        <v/>
      </c>
      <c r="EL164">
        <f t="shared" si="129"/>
        <v>0</v>
      </c>
      <c r="EM164">
        <f>IF(EL164=0,0,1+COUNTIF(EM$3:EM163,"&gt;0"))</f>
        <v>0</v>
      </c>
      <c r="EN164" t="str">
        <f t="shared" si="155"/>
        <v/>
      </c>
      <c r="EO164" t="str">
        <f t="shared" si="130"/>
        <v/>
      </c>
      <c r="EQ164">
        <f t="shared" si="131"/>
        <v>0</v>
      </c>
      <c r="ER164">
        <f>IF(EQ164=0,0,1+COUNTIF(ER$3:ER163,"&gt;0"))</f>
        <v>0</v>
      </c>
      <c r="ES164" t="str">
        <f t="shared" si="156"/>
        <v/>
      </c>
      <c r="ET164" t="str">
        <f t="shared" si="132"/>
        <v/>
      </c>
      <c r="EV164">
        <f t="shared" si="133"/>
        <v>0</v>
      </c>
      <c r="EW164">
        <f>IF(EV164=0,0,1+COUNTIF(EW$3:EW163,"&gt;0"))</f>
        <v>0</v>
      </c>
      <c r="EX164" t="str">
        <f t="shared" si="157"/>
        <v/>
      </c>
      <c r="EY164" t="str">
        <f t="shared" si="134"/>
        <v/>
      </c>
      <c r="FA164">
        <f t="shared" si="135"/>
        <v>0</v>
      </c>
      <c r="FB164">
        <f>IF(FA164=0,0,1+COUNTIF(FB$3:FB163,"&gt;0"))</f>
        <v>0</v>
      </c>
      <c r="FC164" t="str">
        <f t="shared" si="158"/>
        <v/>
      </c>
      <c r="FD164" t="str">
        <f t="shared" si="136"/>
        <v/>
      </c>
      <c r="FF164">
        <f t="shared" si="137"/>
        <v>0</v>
      </c>
      <c r="FG164">
        <f>IF(FF164=0,0,1+COUNTIF(FG$3:FG163,"&gt;0"))</f>
        <v>0</v>
      </c>
      <c r="FH164" t="str">
        <f t="shared" si="159"/>
        <v/>
      </c>
      <c r="FI164" t="str">
        <f t="shared" si="138"/>
        <v/>
      </c>
      <c r="FK164">
        <f t="shared" si="139"/>
        <v>0</v>
      </c>
      <c r="FL164">
        <f>IF(FK164=0,0,1+COUNTIF(FL$3:FL163,"&gt;0"))</f>
        <v>0</v>
      </c>
      <c r="FM164" t="str">
        <f t="shared" si="160"/>
        <v/>
      </c>
      <c r="FN164" t="str">
        <f t="shared" si="140"/>
        <v/>
      </c>
      <c r="FP164">
        <f t="shared" si="141"/>
        <v>0</v>
      </c>
      <c r="FQ164">
        <f>IF(FP164=0,0,1+COUNTIF(FQ$3:FQ163,"&gt;0"))</f>
        <v>0</v>
      </c>
      <c r="FR164" t="str">
        <f t="shared" si="161"/>
        <v/>
      </c>
      <c r="FS164" t="str">
        <f t="shared" si="142"/>
        <v/>
      </c>
    </row>
    <row r="165" spans="1:175" x14ac:dyDescent="0.25">
      <c r="A165" s="347">
        <f t="shared" si="162"/>
        <v>163</v>
      </c>
      <c r="B165" s="348" t="s">
        <v>2538</v>
      </c>
      <c r="C165" s="348">
        <v>4</v>
      </c>
      <c r="D165" s="347">
        <v>4</v>
      </c>
      <c r="E165" s="627" t="s">
        <v>6952</v>
      </c>
      <c r="F165" s="346"/>
      <c r="G165" s="347" t="str">
        <f>""</f>
        <v/>
      </c>
      <c r="H165" s="347" t="s">
        <v>5912</v>
      </c>
      <c r="I165" s="347" t="s">
        <v>5298</v>
      </c>
      <c r="J165" s="347" t="str">
        <f t="shared" si="112"/>
        <v/>
      </c>
      <c r="K165" s="347" t="s">
        <v>5291</v>
      </c>
      <c r="L165" s="611" t="str">
        <f t="shared" si="113"/>
        <v>V, S</v>
      </c>
      <c r="M165" s="347" t="s">
        <v>2373</v>
      </c>
      <c r="N165" s="347" t="s">
        <v>2387</v>
      </c>
      <c r="O165" s="347" t="s">
        <v>3034</v>
      </c>
      <c r="P165" s="346" t="str">
        <f>""</f>
        <v/>
      </c>
      <c r="Q165" s="347" t="s">
        <v>5274</v>
      </c>
      <c r="S165" s="346" t="s">
        <v>2539</v>
      </c>
      <c r="T165" s="346" t="str">
        <f t="shared" si="114"/>
        <v xml:space="preserve">Bard, Sorcerer, Arcane Trickster, Wizard, Archfey, Underdark, </v>
      </c>
      <c r="U165" s="347" t="str">
        <f>$B165</f>
        <v>Greater Invisibility</v>
      </c>
      <c r="X165" s="347" t="str">
        <f>$B165</f>
        <v>Greater Invisibility</v>
      </c>
      <c r="AC165" s="539" t="str">
        <f>B165</f>
        <v>Greater Invisibility</v>
      </c>
      <c r="AD165" s="347" t="str">
        <f>$B165</f>
        <v>Greater Invisibility</v>
      </c>
      <c r="AE165" t="str">
        <f>IF(IFERROR(MATCH($B165,temp!A$4:A$13,0),0)&gt;0,T08_Spells!AE$2,"")</f>
        <v/>
      </c>
      <c r="AF165" t="str">
        <f>IF(IFERROR(MATCH($B165,temp!B$4:B$13,0),0)&gt;0,T08_Spells!AF$2,"")</f>
        <v/>
      </c>
      <c r="AG165" t="str">
        <f>IF(IFERROR(MATCH($B165,temp!C$4:C$13,0),0)&gt;0,T08_Spells!AG$2,"")</f>
        <v/>
      </c>
      <c r="AH165" t="str">
        <f>IF(IFERROR(MATCH($B165,temp!D$4:D$13,0),0)&gt;0,T08_Spells!AH$2,"")</f>
        <v/>
      </c>
      <c r="AI165" t="str">
        <f>IF(IFERROR(MATCH($B165,temp!E$4:E$13,0),0)&gt;0,T08_Spells!AI$2,"")</f>
        <v>Archfey</v>
      </c>
      <c r="AJ165" t="str">
        <f>IF(IFERROR(MATCH($B165,temp!F$4:F$13,0),0)&gt;0,T08_Spells!AJ$2,"")</f>
        <v/>
      </c>
      <c r="AK165" t="str">
        <f>IF(IFERROR(MATCH($B165,temp!G$4:G$13,0),0)&gt;0,T08_Spells!AK$2,"")</f>
        <v/>
      </c>
      <c r="AL165" t="str">
        <f>IF(IFERROR(MATCH($B165,temp!H$4:H$13,0),0)&gt;0,T08_Spells!AL$2,"")</f>
        <v/>
      </c>
      <c r="AM165" t="str">
        <f>IF(IFERROR(MATCH($B165,temp!I$4:I$13,0),0)&gt;0,T08_Spells!AM$2,"")</f>
        <v/>
      </c>
      <c r="AN165" t="str">
        <f>IF(IFERROR(MATCH($B165,temp!J$4:J$13,0),0)&gt;0,T08_Spells!AN$2,"")</f>
        <v/>
      </c>
      <c r="AO165" t="str">
        <f>IF(IFERROR(MATCH($B165,temp!K$4:K$13,0),0)&gt;0,T08_Spells!AO$2,"")</f>
        <v/>
      </c>
      <c r="AP165" t="str">
        <f>IF(IFERROR(MATCH($B165,temp!L$4:L$13,0),0)&gt;0,T08_Spells!AP$2,"")</f>
        <v/>
      </c>
      <c r="AQ165" t="str">
        <f>IF(IFERROR(MATCH($B165,temp!M$4:M$13,0),0)&gt;0,T08_Spells!AQ$2,"")</f>
        <v/>
      </c>
      <c r="AR165" t="str">
        <f>IF(IFERROR(MATCH($B165,temp!N$4:N$13,0),0)&gt;0,T08_Spells!AR$2,"")</f>
        <v/>
      </c>
      <c r="AS165" t="str">
        <f>IF(IFERROR(MATCH($B165,temp!O$4:O$13,0),0)&gt;0,T08_Spells!AS$2,"")</f>
        <v>Underdark</v>
      </c>
      <c r="AT165" t="str">
        <f>IF(IFERROR(MATCH($B165,temp!P$4:P$13,0),0)&gt;0,T08_Spells!AT$2,"")</f>
        <v/>
      </c>
      <c r="AU165" t="str">
        <f>IF(IFERROR(MATCH($B165,temp!Q$4:Q$13,0),0)&gt;0,T08_Spells!AU$2,"")</f>
        <v/>
      </c>
      <c r="AV165" t="str">
        <f>IF(IFERROR(MATCH($B165,temp!R$4:R$13,0),0)&gt;0,T08_Spells!AV$2,"")</f>
        <v/>
      </c>
      <c r="AW165" t="str">
        <f>IF(IFERROR(MATCH($B165,temp!S$4:S$13,0),0)&gt;0,T08_Spells!AW$2,"")</f>
        <v/>
      </c>
      <c r="AX165" t="str">
        <f>IF(IFERROR(MATCH($B165,temp!T$4:T$13,0),0)&gt;0,T08_Spells!AX$2,"")</f>
        <v/>
      </c>
      <c r="AY165" t="str">
        <f>IF(IFERROR(MATCH($B165,temp!U$4:U$13,0),0)&gt;0,T08_Spells!AY$2,"")</f>
        <v/>
      </c>
      <c r="AZ165" t="str">
        <f>IF(IFERROR(MATCH($B165,temp!V$4:V$13,0),0)&gt;0,T08_Spells!AZ$2,"")</f>
        <v/>
      </c>
      <c r="BA165" t="str">
        <f>IF(IFERROR(MATCH($B165,temp!W$4:W$13,0),0)&gt;0,T08_Spells!BA$2,"")</f>
        <v/>
      </c>
      <c r="BC165">
        <f>IF(IFERROR(SEARCH("Ranger",$T165,1),0)&gt;0,1,0)*IF(RangerMaxSpellLevel&gt;=$C165,1,0)*IF(IFERROR(MATCH(B165,Character_Creation!$X$79:$X$382,0),0)&gt;0,0,1)</f>
        <v>0</v>
      </c>
      <c r="BD165">
        <f>IF(BC165=0,0,1+COUNTIF(BD$3:BD164,"&gt;0"))</f>
        <v>0</v>
      </c>
      <c r="BE165" t="str">
        <f t="shared" si="143"/>
        <v/>
      </c>
      <c r="BF165" t="str">
        <f t="shared" si="115"/>
        <v/>
      </c>
      <c r="BH165">
        <f>IF(IFERROR(SEARCH("Sorcerer",$T165,1),0)&gt;0,1,0)*IF(SorcererMaxSpellLevel&gt;=$C165,1,0)*IF(IFERROR(MATCH(B165,Character_Creation!$J$380:$J$394,0),0)&gt;0,0,1)</f>
        <v>0</v>
      </c>
      <c r="BI165">
        <f>IF(BH165=0,0,1+COUNTIF(BI$3:BI164,"&gt;0"))</f>
        <v>0</v>
      </c>
      <c r="BJ165" t="str">
        <f t="shared" si="144"/>
        <v/>
      </c>
      <c r="BK165" t="str">
        <f t="shared" si="116"/>
        <v/>
      </c>
      <c r="BM165">
        <f>IF(OR(IFERROR(SEARCH("Warlock",$T165,1),0)&gt;0,IFERROR(SEARCH(WarlockPatron,$T165,1),0)&gt;0),1,0)*IF(WarlockMaxSpellLevel&gt;=$C165,1,0)*IF(IFERROR(MATCH(B165,Character_Creation!$J$361:$J$375,0),0)&gt;0,0,1)</f>
        <v>0</v>
      </c>
      <c r="BN165">
        <f>IF(BM165=0,0,1+COUNTIF(BN$3:BN164,"&gt;0"))</f>
        <v>0</v>
      </c>
      <c r="BO165" t="str">
        <f t="shared" si="145"/>
        <v/>
      </c>
      <c r="BP165" t="str">
        <f t="shared" si="117"/>
        <v/>
      </c>
      <c r="BR165">
        <f>IF(IFERROR(SEARCH("Eldritch Knight",$T165,1),0)&gt;0,1,0)*IF(EldritchKnightMaxSpellLevel&gt;=$C165,1,0)*IF(IFERROR(MATCH($B165,Character_Creation!$J$350:$J$356,0),0)&gt;0,0,1)*IF(Character_Creation!$M$338&gt;0,1,0)</f>
        <v>0</v>
      </c>
      <c r="BS165">
        <f>IF(BR165=0,0,1+COUNTIF(BS$3:BS164,"&gt;0"))</f>
        <v>0</v>
      </c>
      <c r="BT165" t="str">
        <f t="shared" si="146"/>
        <v/>
      </c>
      <c r="BU165" t="str">
        <f t="shared" si="118"/>
        <v/>
      </c>
      <c r="BW165">
        <f>IF(IFERROR(SEARCH("Arcane Trickster",$T165,1),0)&gt;0,1,0)*IF(ArcaneTricksterMaxSpellLevel&gt;=$C165,1,0)*IF(IFERROR(MATCH($B165,Character_Creation!$J$350:$J$356,0),0)&gt;0,0,1)*IF(Character_Creation!$T$338&gt;0,1,0)</f>
        <v>0</v>
      </c>
      <c r="BX165">
        <f>IF(BW165=0,0,1+COUNTIF(BX$3:BX164,"&gt;0"))</f>
        <v>0</v>
      </c>
      <c r="BY165" t="str">
        <f t="shared" si="147"/>
        <v/>
      </c>
      <c r="BZ165" t="str">
        <f t="shared" si="119"/>
        <v/>
      </c>
      <c r="CB165">
        <f>IF(IFERROR(SEARCH("Wizard",$T165,1),0)&gt;0,1,0)*IF(C165&lt;=ArcaneTricksterMaxSpellLevel,1,0)*IF(IFERROR(MATCH($B165,Character_Creation!$J$350:$J$356,0),0)&gt;0,0,1)*IF(Character_Creation!$T$350&gt;0,1,0)</f>
        <v>0</v>
      </c>
      <c r="CC165">
        <f>IF(CB165=0,0,1+COUNTIF(CC$3:CC164,"&gt;0"))</f>
        <v>0</v>
      </c>
      <c r="CD165" t="str">
        <f t="shared" si="148"/>
        <v/>
      </c>
      <c r="CE165" t="str">
        <f t="shared" si="120"/>
        <v/>
      </c>
      <c r="CG165">
        <f>IF(IFERROR(SEARCH("Wizard",$T165,1),0)&gt;0,1,0)*IF($C165&lt;=EldritchKnightMaxSpellLevel,1,0)*IF(IFERROR(MATCH($B165,Character_Creation!$J$350:$J$356,0),0)&gt;0,0,1)*IF(Character_Creation!$M$350&gt;0,1,0)</f>
        <v>0</v>
      </c>
      <c r="CH165">
        <f>IF(CG165=0,0,1+COUNTIF(CH$3:CH164,"&gt;0"))</f>
        <v>0</v>
      </c>
      <c r="CI165" t="str">
        <f t="shared" si="149"/>
        <v/>
      </c>
      <c r="CJ165" t="str">
        <f t="shared" si="121"/>
        <v/>
      </c>
      <c r="CL165">
        <f>IF(IFERROR(SEARCH("Bard",$T165,1),0)&gt;0,1,0)*IF(BardMaxSpellLevel&gt;=$C165,1,0)*IF(IFERROR(MATCH(B165,Character_Creation!$C$341:$F$362,0),0)&gt;0,0,1)*IF(IFERROR(MATCH($B165,Character_Creation!$C$341:$C$362,0),0)&gt;0,0,1)</f>
        <v>0</v>
      </c>
      <c r="CM165">
        <f>IF(CL165=0,0,1+COUNTIF(CM$3:CM164,"&gt;0"))</f>
        <v>0</v>
      </c>
      <c r="CN165" t="str">
        <f t="shared" si="150"/>
        <v/>
      </c>
      <c r="CO165" t="str">
        <f t="shared" si="122"/>
        <v/>
      </c>
      <c r="CQ165">
        <f>IF(IFERROR(SEARCH("Wizard",$T165,1),0)&gt;0,1,0)*IF(WizardMaxSpellLevel&gt;=$C165,1,0)*IF(IFERROR(MATCH(B165,Character_Creation!$X$341:$X$400,0),0)&gt;0,0,1)*IF(SelectedWizardSpellLevel=$C165,1,0)</f>
        <v>0</v>
      </c>
      <c r="CR165">
        <f>IF(CQ165=0,0,1+COUNTIF(CR$3:CR164,"&gt;0"))</f>
        <v>0</v>
      </c>
      <c r="CS165" t="str">
        <f t="shared" si="151"/>
        <v/>
      </c>
      <c r="CT165" t="str">
        <f t="shared" si="123"/>
        <v/>
      </c>
      <c r="CV165">
        <f>IF(IFERROR(MATCH($B165,Character_Creation!$C$341:$C$362,0),0)&gt;0,0,1)*IF(OR(C165="Cantrip",C165&lt;=BardMaxSpellLevel),1,0)*IF(IFERROR(MATCH($B165,Character_Creation!$C$367:$C$374,0),0)&gt;0,0,1)</f>
        <v>0</v>
      </c>
      <c r="CW165">
        <f>IF(CV165=0,0,1+COUNTIF(CW$3:CW164,"&gt;0"))</f>
        <v>0</v>
      </c>
      <c r="CX165" t="str">
        <f t="shared" si="152"/>
        <v/>
      </c>
      <c r="CY165" t="str">
        <f t="shared" si="124"/>
        <v/>
      </c>
      <c r="DA165">
        <f>IF(IF(OR(IFERROR(SEARCH("Cleric",$T165,1),0)&gt;0,IFERROR(SEARCH(DivineDomain&amp;",",$T165,1),0)&gt;0),1,0)*IF($C165=DA$2,1,0)=1,1+COUNTIF(DA$3:DA164,"&gt;0"),0)</f>
        <v>0</v>
      </c>
      <c r="DB165">
        <f>IF(IF(OR(IFERROR(SEARCH("Cleric",$T165,1),0)&gt;0,IFERROR(SEARCH(DivineDomain&amp;",",$T165,1),0)&gt;0),1,0)*IF($C165=DB$2,1,0)=1,1+COUNTIF(DB$3:DB164,"&gt;0"),0)</f>
        <v>0</v>
      </c>
      <c r="DC165">
        <f>IF(IF(OR(IFERROR(SEARCH("Cleric",$T165,1),0)&gt;0,IFERROR(SEARCH(DivineDomain&amp;",",$T165,1),0)&gt;0),1,0)*IF($C165=DC$2,1,0)=1,1+COUNTIF(DC$3:DC164,"&gt;0"),0)</f>
        <v>0</v>
      </c>
      <c r="DD165">
        <f>IF(IF(OR(IFERROR(SEARCH("Cleric",$T165,1),0)&gt;0,IFERROR(SEARCH(DivineDomain&amp;",",$T165,1),0)&gt;0),1,0)*IF($C165=DD$2,1,0)=1,1+COUNTIF(DD$3:DD164,"&gt;0"),0)</f>
        <v>0</v>
      </c>
      <c r="DE165">
        <f>IF(IF(OR(IFERROR(SEARCH("Cleric",$T165,1),0)&gt;0,IFERROR(SEARCH(DivineDomain&amp;",",$T165,1),0)&gt;0),1,0)*IF($C165=DE$2,1,0)=1,1+COUNTIF(DE$3:DE164,"&gt;0"),0)</f>
        <v>0</v>
      </c>
      <c r="DF165">
        <f>IF(IF(OR(IFERROR(SEARCH("Cleric",$T165,1),0)&gt;0,IFERROR(SEARCH(DivineDomain&amp;",",$T165,1),0)&gt;0),1,0)*IF($C165=DF$2,1,0)=1,1+COUNTIF(DF$3:DF164,"&gt;0"),0)</f>
        <v>0</v>
      </c>
      <c r="DG165">
        <f>IF(IF(OR(IFERROR(SEARCH("Cleric",$T165,1),0)&gt;0,IFERROR(SEARCH(DivineDomain&amp;",",$T165,1),0)&gt;0),1,0)*IF($C165=DG$2,1,0)=1,1+COUNTIF(DG$3:DG164,"&gt;0"),0)</f>
        <v>0</v>
      </c>
      <c r="DH165">
        <f>IF(IF(OR(IFERROR(SEARCH("Cleric",$T165,1),0)&gt;0,IFERROR(SEARCH(DivineDomain&amp;",",$T165,1),0)&gt;0),1,0)*IF($C165=DH$2,1,0)=1,1+COUNTIF(DH$3:DH164,"&gt;0"),0)</f>
        <v>0</v>
      </c>
      <c r="DI165">
        <f>IF(IF(OR(IFERROR(SEARCH("Cleric",$T165,1),0)&gt;0,IFERROR(SEARCH(DivineDomain&amp;",",$T165,1),0)&gt;0),1,0)*IF($C165=DI$2,1,0)=1,1+COUNTIF(DI$3:DI164,"&gt;0"),0)</f>
        <v>0</v>
      </c>
      <c r="DJ165">
        <f>IF(IF(OR(IFERROR(SEARCH("Druid",$T165,1),0)&gt;0,IFERROR(SEARCH(DruidLand1,$T165,1),0)&gt;0,IFERROR(SEARCH(DruidLand2,$T165,1),0)&gt;0,IFERROR(SEARCH(DruidLand3,$T165,1),0)&gt;0,IFERROR(SEARCH(DruidLand4,$T165,1),0)&gt;0),1,0)*IF($C165=1,1,0)*IF($C165=DJ$2,1,0)=0,0,1+COUNTIF(DJ$3:DJ164,"&gt;0"))</f>
        <v>0</v>
      </c>
      <c r="DK165">
        <f>IF(IF(OR(IFERROR(SEARCH("Druid",$T165,1),0)&gt;0,IFERROR(SEARCH(DruidLand1,$T165,1),0)&gt;0,IFERROR(SEARCH(DruidLand2,$T165,1),0)&gt;0,IFERROR(SEARCH(DruidLand3,$T165,1),0)&gt;0,IFERROR(SEARCH(DruidLand4,$T165,1),0)&gt;0),1,0)*IF($C165=1,1,0)*IF($C165=DK$2,1,0)=0,0,1+COUNTIF(DK$3:DK164,"&gt;0"))</f>
        <v>0</v>
      </c>
      <c r="DL165">
        <f>IF(IF(OR(IFERROR(SEARCH("Druid",$T165,1),0)&gt;0,IFERROR(SEARCH(DruidLand1,$T165,1),0)&gt;0,IFERROR(SEARCH(DruidLand2,$T165,1),0)&gt;0,IFERROR(SEARCH(DruidLand3,$T165,1),0)&gt;0,IFERROR(SEARCH(DruidLand4,$T165,1),0)&gt;0),1,0)*IF($C165=1,1,0)*IF($C165=DL$2,1,0)=0,0,1+COUNTIF(DL$3:DL164,"&gt;0"))</f>
        <v>0</v>
      </c>
      <c r="DM165">
        <f>IF(IF(OR(IFERROR(SEARCH("Druid",$T165,1),0)&gt;0,IFERROR(SEARCH(DruidLand1,$T165,1),0)&gt;0,IFERROR(SEARCH(DruidLand2,$T165,1),0)&gt;0,IFERROR(SEARCH(DruidLand3,$T165,1),0)&gt;0,IFERROR(SEARCH(DruidLand4,$T165,1),0)&gt;0),1,0)*IF($C165=1,1,0)*IF($C165=DM$2,1,0)=0,0,1+COUNTIF(DM$3:DM164,"&gt;0"))</f>
        <v>0</v>
      </c>
      <c r="DN165">
        <f>IF(IF(OR(IFERROR(SEARCH("Druid",$T165,1),0)&gt;0,IFERROR(SEARCH(DruidLand1,$T165,1),0)&gt;0,IFERROR(SEARCH(DruidLand2,$T165,1),0)&gt;0,IFERROR(SEARCH(DruidLand3,$T165,1),0)&gt;0,IFERROR(SEARCH(DruidLand4,$T165,1),0)&gt;0),1,0)*IF($C165=1,1,0)*IF($C165=DN$2,1,0)=0,0,1+COUNTIF(DN$3:DN164,"&gt;0"))</f>
        <v>0</v>
      </c>
      <c r="DO165">
        <f>IF(IF(OR(IFERROR(SEARCH("Druid",$T165,1),0)&gt;0,IFERROR(SEARCH(DruidLand1,$T165,1),0)&gt;0,IFERROR(SEARCH(DruidLand2,$T165,1),0)&gt;0,IFERROR(SEARCH(DruidLand3,$T165,1),0)&gt;0,IFERROR(SEARCH(DruidLand4,$T165,1),0)&gt;0),1,0)*IF($C165=1,1,0)*IF($C165=DO$2,1,0)=0,0,1+COUNTIF(DO$3:DO164,"&gt;0"))</f>
        <v>0</v>
      </c>
      <c r="DP165">
        <f>IF(IF(OR(IFERROR(SEARCH("Druid",$T165,1),0)&gt;0,IFERROR(SEARCH(DruidLand1,$T165,1),0)&gt;0,IFERROR(SEARCH(DruidLand2,$T165,1),0)&gt;0,IFERROR(SEARCH(DruidLand3,$T165,1),0)&gt;0,IFERROR(SEARCH(DruidLand4,$T165,1),0)&gt;0),1,0)*IF($C165=1,1,0)*IF($C165=DP$2,1,0)=0,0,1+COUNTIF(DP$3:DP164,"&gt;0"))</f>
        <v>0</v>
      </c>
      <c r="DQ165">
        <f>IF(IF(OR(IFERROR(SEARCH("Druid",$T165,1),0)&gt;0,IFERROR(SEARCH(DruidLand1,$T165,1),0)&gt;0,IFERROR(SEARCH(DruidLand2,$T165,1),0)&gt;0,IFERROR(SEARCH(DruidLand3,$T165,1),0)&gt;0,IFERROR(SEARCH(DruidLand4,$T165,1),0)&gt;0),1,0)*IF($C165=1,1,0)*IF($C165=DQ$2,1,0)=0,0,1+COUNTIF(DQ$3:DQ164,"&gt;0"))</f>
        <v>0</v>
      </c>
      <c r="DR165">
        <f>IF(IF(OR(IFERROR(SEARCH("Druid",$T165,1),0)&gt;0,IFERROR(SEARCH(DruidLand1,$T165,1),0)&gt;0,IFERROR(SEARCH(DruidLand2,$T165,1),0)&gt;0,IFERROR(SEARCH(DruidLand3,$T165,1),0)&gt;0,IFERROR(SEARCH(DruidLand4,$T165,1),0)&gt;0),1,0)*IF($C165=1,1,0)*IF($C165=DR$2,1,0)=0,0,1+COUNTIF(DR$3:DR164,"&gt;0"))</f>
        <v>0</v>
      </c>
      <c r="DS165">
        <f>IF(IF(OR(IFERROR(SEARCH("Paladin",$T165,1),0)&gt;0,IFERROR(SEARCH(PaladinOath,$T165,1),0)&gt;0),1,0)*IF($C165=DS$2,1,0)=1,1+COUNTIF(DS$3:DS164,"&gt;0"),0)</f>
        <v>0</v>
      </c>
      <c r="DT165">
        <f>IF(IF(OR(IFERROR(SEARCH("Paladin",$T165,1),0)&gt;0,IFERROR(SEARCH(PaladinOath,$T165,1),0)&gt;0),1,0)*IF($C165=DT$2,1,0)=1,1+COUNTIF(DT$3:DT164,"&gt;0"),0)</f>
        <v>0</v>
      </c>
      <c r="DU165">
        <f>IF(IF(OR(IFERROR(SEARCH("Paladin",$T165,1),0)&gt;0,IFERROR(SEARCH(PaladinOath,$T165,1),0)&gt;0),1,0)*IF($C165=DU$2,1,0)=1,1+COUNTIF(DU$3:DU164,"&gt;0"),0)</f>
        <v>0</v>
      </c>
      <c r="DV165">
        <f>IF(IF(OR(IFERROR(SEARCH("Paladin",$T165,1),0)&gt;0,IFERROR(SEARCH(PaladinOath,$T165,1),0)&gt;0),1,0)*IF($C165=DV$2,1,0)=1,1+COUNTIF(DV$3:DV164,"&gt;0"),0)</f>
        <v>0</v>
      </c>
      <c r="DW165">
        <f>IF(IF(OR(IFERROR(SEARCH("Paladin",$T165,1),0)&gt;0,IFERROR(SEARCH(PaladinOath,$T165,1),0)&gt;0),1,0)*IF($C165=DW$2,1,0)=1,1+COUNTIF(DW$3:DW164,"&gt;0"),0)</f>
        <v>0</v>
      </c>
      <c r="DY165">
        <f t="shared" si="111"/>
        <v>1</v>
      </c>
      <c r="DZ165">
        <f>IF(DY165=0,0,1+MAX(DZ$3:$DZ164))</f>
        <v>163</v>
      </c>
      <c r="EB165">
        <f t="shared" si="125"/>
        <v>0</v>
      </c>
      <c r="EC165">
        <f>IF(EB165=0,0,1+COUNTIF(EC$3:EC164,"&gt;0"))</f>
        <v>0</v>
      </c>
      <c r="ED165" t="str">
        <f t="shared" si="153"/>
        <v/>
      </c>
      <c r="EE165" t="str">
        <f t="shared" si="126"/>
        <v/>
      </c>
      <c r="EG165">
        <f t="shared" si="127"/>
        <v>0</v>
      </c>
      <c r="EH165">
        <f>IF(EG165=0,0,1+COUNTIF(EH$3:EH164,"&gt;0"))</f>
        <v>0</v>
      </c>
      <c r="EI165" t="str">
        <f t="shared" si="154"/>
        <v/>
      </c>
      <c r="EJ165" t="str">
        <f t="shared" si="128"/>
        <v/>
      </c>
      <c r="EL165">
        <f t="shared" si="129"/>
        <v>0</v>
      </c>
      <c r="EM165">
        <f>IF(EL165=0,0,1+COUNTIF(EM$3:EM164,"&gt;0"))</f>
        <v>0</v>
      </c>
      <c r="EN165" t="str">
        <f t="shared" si="155"/>
        <v/>
      </c>
      <c r="EO165" t="str">
        <f t="shared" si="130"/>
        <v/>
      </c>
      <c r="EQ165">
        <f t="shared" si="131"/>
        <v>0</v>
      </c>
      <c r="ER165">
        <f>IF(EQ165=0,0,1+COUNTIF(ER$3:ER164,"&gt;0"))</f>
        <v>0</v>
      </c>
      <c r="ES165" t="str">
        <f t="shared" si="156"/>
        <v/>
      </c>
      <c r="ET165" t="str">
        <f t="shared" si="132"/>
        <v/>
      </c>
      <c r="EV165">
        <f t="shared" si="133"/>
        <v>0</v>
      </c>
      <c r="EW165">
        <f>IF(EV165=0,0,1+COUNTIF(EW$3:EW164,"&gt;0"))</f>
        <v>0</v>
      </c>
      <c r="EX165" t="str">
        <f t="shared" si="157"/>
        <v/>
      </c>
      <c r="EY165" t="str">
        <f t="shared" si="134"/>
        <v/>
      </c>
      <c r="FA165">
        <f t="shared" si="135"/>
        <v>0</v>
      </c>
      <c r="FB165">
        <f>IF(FA165=0,0,1+COUNTIF(FB$3:FB164,"&gt;0"))</f>
        <v>0</v>
      </c>
      <c r="FC165" t="str">
        <f t="shared" si="158"/>
        <v/>
      </c>
      <c r="FD165" t="str">
        <f t="shared" si="136"/>
        <v/>
      </c>
      <c r="FF165">
        <f t="shared" si="137"/>
        <v>0</v>
      </c>
      <c r="FG165">
        <f>IF(FF165=0,0,1+COUNTIF(FG$3:FG164,"&gt;0"))</f>
        <v>0</v>
      </c>
      <c r="FH165" t="str">
        <f t="shared" si="159"/>
        <v/>
      </c>
      <c r="FI165" t="str">
        <f t="shared" si="138"/>
        <v/>
      </c>
      <c r="FK165">
        <f t="shared" si="139"/>
        <v>0</v>
      </c>
      <c r="FL165">
        <f>IF(FK165=0,0,1+COUNTIF(FL$3:FL164,"&gt;0"))</f>
        <v>0</v>
      </c>
      <c r="FM165" t="str">
        <f t="shared" si="160"/>
        <v/>
      </c>
      <c r="FN165" t="str">
        <f t="shared" si="140"/>
        <v/>
      </c>
      <c r="FP165">
        <f t="shared" si="141"/>
        <v>0</v>
      </c>
      <c r="FQ165">
        <f>IF(FP165=0,0,1+COUNTIF(FQ$3:FQ164,"&gt;0"))</f>
        <v>0</v>
      </c>
      <c r="FR165" t="str">
        <f t="shared" si="161"/>
        <v/>
      </c>
      <c r="FS165" t="str">
        <f t="shared" si="142"/>
        <v/>
      </c>
    </row>
    <row r="166" spans="1:175" x14ac:dyDescent="0.25">
      <c r="A166" s="347">
        <f t="shared" si="162"/>
        <v>164</v>
      </c>
      <c r="B166" s="348" t="s">
        <v>2540</v>
      </c>
      <c r="C166" s="348">
        <v>5</v>
      </c>
      <c r="D166" s="347">
        <v>5</v>
      </c>
      <c r="E166" s="627" t="s">
        <v>6952</v>
      </c>
      <c r="F166" s="346"/>
      <c r="G166" s="347" t="str">
        <f>""</f>
        <v/>
      </c>
      <c r="H166" s="347" t="s">
        <v>5912</v>
      </c>
      <c r="I166" s="347" t="s">
        <v>5298</v>
      </c>
      <c r="J166" s="347" t="str">
        <f t="shared" si="112"/>
        <v/>
      </c>
      <c r="K166" s="347" t="s">
        <v>5278</v>
      </c>
      <c r="L166" s="611" t="str">
        <f t="shared" si="113"/>
        <v>V, S, M, diamond dust worth at least 100 gp, which the spell consumes</v>
      </c>
      <c r="M166" s="347" t="s">
        <v>2373</v>
      </c>
      <c r="N166" s="347" t="s">
        <v>2387</v>
      </c>
      <c r="O166" s="347" t="s">
        <v>1244</v>
      </c>
      <c r="P166" s="346" t="s">
        <v>5392</v>
      </c>
      <c r="Q166" s="347" t="s">
        <v>5270</v>
      </c>
      <c r="S166" s="346" t="s">
        <v>5717</v>
      </c>
      <c r="T166" s="346" t="str">
        <f t="shared" si="114"/>
        <v xml:space="preserve">Bard, Cleric, Druid, </v>
      </c>
      <c r="U166" s="347" t="str">
        <f>$B166</f>
        <v>Greater Restoration</v>
      </c>
      <c r="Z166" s="347" t="str">
        <f>$B166</f>
        <v>Greater Restoration</v>
      </c>
      <c r="AA166" s="347" t="str">
        <f>$B166</f>
        <v>Greater Restoration</v>
      </c>
      <c r="AE166" t="str">
        <f>IF(IFERROR(MATCH($B166,temp!A$4:A$13,0),0)&gt;0,T08_Spells!AE$2,"")</f>
        <v/>
      </c>
      <c r="AF166" t="str">
        <f>IF(IFERROR(MATCH($B166,temp!B$4:B$13,0),0)&gt;0,T08_Spells!AF$2,"")</f>
        <v/>
      </c>
      <c r="AG166" t="str">
        <f>IF(IFERROR(MATCH($B166,temp!C$4:C$13,0),0)&gt;0,T08_Spells!AG$2,"")</f>
        <v/>
      </c>
      <c r="AH166" t="str">
        <f>IF(IFERROR(MATCH($B166,temp!D$4:D$13,0),0)&gt;0,T08_Spells!AH$2,"")</f>
        <v/>
      </c>
      <c r="AI166" t="str">
        <f>IF(IFERROR(MATCH($B166,temp!E$4:E$13,0),0)&gt;0,T08_Spells!AI$2,"")</f>
        <v/>
      </c>
      <c r="AJ166" t="str">
        <f>IF(IFERROR(MATCH($B166,temp!F$4:F$13,0),0)&gt;0,T08_Spells!AJ$2,"")</f>
        <v/>
      </c>
      <c r="AK166" t="str">
        <f>IF(IFERROR(MATCH($B166,temp!G$4:G$13,0),0)&gt;0,T08_Spells!AK$2,"")</f>
        <v/>
      </c>
      <c r="AL166" t="str">
        <f>IF(IFERROR(MATCH($B166,temp!H$4:H$13,0),0)&gt;0,T08_Spells!AL$2,"")</f>
        <v/>
      </c>
      <c r="AM166" t="str">
        <f>IF(IFERROR(MATCH($B166,temp!I$4:I$13,0),0)&gt;0,T08_Spells!AM$2,"")</f>
        <v/>
      </c>
      <c r="AN166" t="str">
        <f>IF(IFERROR(MATCH($B166,temp!J$4:J$13,0),0)&gt;0,T08_Spells!AN$2,"")</f>
        <v/>
      </c>
      <c r="AO166" t="str">
        <f>IF(IFERROR(MATCH($B166,temp!K$4:K$13,0),0)&gt;0,T08_Spells!AO$2,"")</f>
        <v/>
      </c>
      <c r="AP166" t="str">
        <f>IF(IFERROR(MATCH($B166,temp!L$4:L$13,0),0)&gt;0,T08_Spells!AP$2,"")</f>
        <v/>
      </c>
      <c r="AQ166" t="str">
        <f>IF(IFERROR(MATCH($B166,temp!M$4:M$13,0),0)&gt;0,T08_Spells!AQ$2,"")</f>
        <v/>
      </c>
      <c r="AR166" t="str">
        <f>IF(IFERROR(MATCH($B166,temp!N$4:N$13,0),0)&gt;0,T08_Spells!AR$2,"")</f>
        <v/>
      </c>
      <c r="AS166" t="str">
        <f>IF(IFERROR(MATCH($B166,temp!O$4:O$13,0),0)&gt;0,T08_Spells!AS$2,"")</f>
        <v/>
      </c>
      <c r="AT166" t="str">
        <f>IF(IFERROR(MATCH($B166,temp!P$4:P$13,0),0)&gt;0,T08_Spells!AT$2,"")</f>
        <v/>
      </c>
      <c r="AU166" t="str">
        <f>IF(IFERROR(MATCH($B166,temp!Q$4:Q$13,0),0)&gt;0,T08_Spells!AU$2,"")</f>
        <v/>
      </c>
      <c r="AV166" t="str">
        <f>IF(IFERROR(MATCH($B166,temp!R$4:R$13,0),0)&gt;0,T08_Spells!AV$2,"")</f>
        <v/>
      </c>
      <c r="AW166" t="str">
        <f>IF(IFERROR(MATCH($B166,temp!S$4:S$13,0),0)&gt;0,T08_Spells!AW$2,"")</f>
        <v/>
      </c>
      <c r="AX166" t="str">
        <f>IF(IFERROR(MATCH($B166,temp!T$4:T$13,0),0)&gt;0,T08_Spells!AX$2,"")</f>
        <v/>
      </c>
      <c r="AY166" t="str">
        <f>IF(IFERROR(MATCH($B166,temp!U$4:U$13,0),0)&gt;0,T08_Spells!AY$2,"")</f>
        <v/>
      </c>
      <c r="AZ166" t="str">
        <f>IF(IFERROR(MATCH($B166,temp!V$4:V$13,0),0)&gt;0,T08_Spells!AZ$2,"")</f>
        <v/>
      </c>
      <c r="BA166" t="str">
        <f>IF(IFERROR(MATCH($B166,temp!W$4:W$13,0),0)&gt;0,T08_Spells!BA$2,"")</f>
        <v/>
      </c>
      <c r="BC166">
        <f>IF(IFERROR(SEARCH("Ranger",$T166,1),0)&gt;0,1,0)*IF(RangerMaxSpellLevel&gt;=$C166,1,0)*IF(IFERROR(MATCH(B166,Character_Creation!$X$79:$X$382,0),0)&gt;0,0,1)</f>
        <v>0</v>
      </c>
      <c r="BD166">
        <f>IF(BC166=0,0,1+COUNTIF(BD$3:BD165,"&gt;0"))</f>
        <v>0</v>
      </c>
      <c r="BE166" t="str">
        <f t="shared" si="143"/>
        <v/>
      </c>
      <c r="BF166" t="str">
        <f t="shared" si="115"/>
        <v/>
      </c>
      <c r="BH166">
        <f>IF(IFERROR(SEARCH("Sorcerer",$T166,1),0)&gt;0,1,0)*IF(SorcererMaxSpellLevel&gt;=$C166,1,0)*IF(IFERROR(MATCH(B166,Character_Creation!$J$380:$J$394,0),0)&gt;0,0,1)</f>
        <v>0</v>
      </c>
      <c r="BI166">
        <f>IF(BH166=0,0,1+COUNTIF(BI$3:BI165,"&gt;0"))</f>
        <v>0</v>
      </c>
      <c r="BJ166" t="str">
        <f t="shared" si="144"/>
        <v/>
      </c>
      <c r="BK166" t="str">
        <f t="shared" si="116"/>
        <v/>
      </c>
      <c r="BM166">
        <f>IF(OR(IFERROR(SEARCH("Warlock",$T166,1),0)&gt;0,IFERROR(SEARCH(WarlockPatron,$T166,1),0)&gt;0),1,0)*IF(WarlockMaxSpellLevel&gt;=$C166,1,0)*IF(IFERROR(MATCH(B166,Character_Creation!$J$361:$J$375,0),0)&gt;0,0,1)</f>
        <v>0</v>
      </c>
      <c r="BN166">
        <f>IF(BM166=0,0,1+COUNTIF(BN$3:BN165,"&gt;0"))</f>
        <v>0</v>
      </c>
      <c r="BO166" t="str">
        <f t="shared" si="145"/>
        <v/>
      </c>
      <c r="BP166" t="str">
        <f t="shared" si="117"/>
        <v/>
      </c>
      <c r="BR166">
        <f>IF(IFERROR(SEARCH("Eldritch Knight",$T166,1),0)&gt;0,1,0)*IF(EldritchKnightMaxSpellLevel&gt;=$C166,1,0)*IF(IFERROR(MATCH($B166,Character_Creation!$J$350:$J$356,0),0)&gt;0,0,1)*IF(Character_Creation!$M$338&gt;0,1,0)</f>
        <v>0</v>
      </c>
      <c r="BS166">
        <f>IF(BR166=0,0,1+COUNTIF(BS$3:BS165,"&gt;0"))</f>
        <v>0</v>
      </c>
      <c r="BT166" t="str">
        <f t="shared" si="146"/>
        <v/>
      </c>
      <c r="BU166" t="str">
        <f t="shared" si="118"/>
        <v/>
      </c>
      <c r="BW166">
        <f>IF(IFERROR(SEARCH("Arcane Trickster",$T166,1),0)&gt;0,1,0)*IF(ArcaneTricksterMaxSpellLevel&gt;=$C166,1,0)*IF(IFERROR(MATCH($B166,Character_Creation!$J$350:$J$356,0),0)&gt;0,0,1)*IF(Character_Creation!$T$338&gt;0,1,0)</f>
        <v>0</v>
      </c>
      <c r="BX166">
        <f>IF(BW166=0,0,1+COUNTIF(BX$3:BX165,"&gt;0"))</f>
        <v>0</v>
      </c>
      <c r="BY166" t="str">
        <f t="shared" si="147"/>
        <v/>
      </c>
      <c r="BZ166" t="str">
        <f t="shared" si="119"/>
        <v/>
      </c>
      <c r="CB166">
        <f>IF(IFERROR(SEARCH("Wizard",$T166,1),0)&gt;0,1,0)*IF(C166&lt;=ArcaneTricksterMaxSpellLevel,1,0)*IF(IFERROR(MATCH($B166,Character_Creation!$J$350:$J$356,0),0)&gt;0,0,1)*IF(Character_Creation!$T$350&gt;0,1,0)</f>
        <v>0</v>
      </c>
      <c r="CC166">
        <f>IF(CB166=0,0,1+COUNTIF(CC$3:CC165,"&gt;0"))</f>
        <v>0</v>
      </c>
      <c r="CD166" t="str">
        <f t="shared" si="148"/>
        <v/>
      </c>
      <c r="CE166" t="str">
        <f t="shared" si="120"/>
        <v/>
      </c>
      <c r="CG166">
        <f>IF(IFERROR(SEARCH("Wizard",$T166,1),0)&gt;0,1,0)*IF($C166&lt;=EldritchKnightMaxSpellLevel,1,0)*IF(IFERROR(MATCH($B166,Character_Creation!$J$350:$J$356,0),0)&gt;0,0,1)*IF(Character_Creation!$M$350&gt;0,1,0)</f>
        <v>0</v>
      </c>
      <c r="CH166">
        <f>IF(CG166=0,0,1+COUNTIF(CH$3:CH165,"&gt;0"))</f>
        <v>0</v>
      </c>
      <c r="CI166" t="str">
        <f t="shared" si="149"/>
        <v/>
      </c>
      <c r="CJ166" t="str">
        <f t="shared" si="121"/>
        <v/>
      </c>
      <c r="CL166">
        <f>IF(IFERROR(SEARCH("Bard",$T166,1),0)&gt;0,1,0)*IF(BardMaxSpellLevel&gt;=$C166,1,0)*IF(IFERROR(MATCH(B166,Character_Creation!$C$341:$F$362,0),0)&gt;0,0,1)*IF(IFERROR(MATCH($B166,Character_Creation!$C$341:$C$362,0),0)&gt;0,0,1)</f>
        <v>0</v>
      </c>
      <c r="CM166">
        <f>IF(CL166=0,0,1+COUNTIF(CM$3:CM165,"&gt;0"))</f>
        <v>0</v>
      </c>
      <c r="CN166" t="str">
        <f t="shared" si="150"/>
        <v/>
      </c>
      <c r="CO166" t="str">
        <f t="shared" si="122"/>
        <v/>
      </c>
      <c r="CQ166">
        <f>IF(IFERROR(SEARCH("Wizard",$T166,1),0)&gt;0,1,0)*IF(WizardMaxSpellLevel&gt;=$C166,1,0)*IF(IFERROR(MATCH(B166,Character_Creation!$X$341:$X$400,0),0)&gt;0,0,1)*IF(SelectedWizardSpellLevel=$C166,1,0)</f>
        <v>0</v>
      </c>
      <c r="CR166">
        <f>IF(CQ166=0,0,1+COUNTIF(CR$3:CR165,"&gt;0"))</f>
        <v>0</v>
      </c>
      <c r="CS166" t="str">
        <f t="shared" si="151"/>
        <v/>
      </c>
      <c r="CT166" t="str">
        <f t="shared" si="123"/>
        <v/>
      </c>
      <c r="CV166">
        <f>IF(IFERROR(MATCH($B166,Character_Creation!$C$341:$C$362,0),0)&gt;0,0,1)*IF(OR(C166="Cantrip",C166&lt;=BardMaxSpellLevel),1,0)*IF(IFERROR(MATCH($B166,Character_Creation!$C$367:$C$374,0),0)&gt;0,0,1)</f>
        <v>0</v>
      </c>
      <c r="CW166">
        <f>IF(CV166=0,0,1+COUNTIF(CW$3:CW165,"&gt;0"))</f>
        <v>0</v>
      </c>
      <c r="CX166" t="str">
        <f t="shared" si="152"/>
        <v/>
      </c>
      <c r="CY166" t="str">
        <f t="shared" si="124"/>
        <v/>
      </c>
      <c r="DA166">
        <f>IF(IF(OR(IFERROR(SEARCH("Cleric",$T166,1),0)&gt;0,IFERROR(SEARCH(DivineDomain&amp;",",$T166,1),0)&gt;0),1,0)*IF($C166=DA$2,1,0)=1,1+COUNTIF(DA$3:DA165,"&gt;0"),0)</f>
        <v>0</v>
      </c>
      <c r="DB166">
        <f>IF(IF(OR(IFERROR(SEARCH("Cleric",$T166,1),0)&gt;0,IFERROR(SEARCH(DivineDomain&amp;",",$T166,1),0)&gt;0),1,0)*IF($C166=DB$2,1,0)=1,1+COUNTIF(DB$3:DB165,"&gt;0"),0)</f>
        <v>0</v>
      </c>
      <c r="DC166">
        <f>IF(IF(OR(IFERROR(SEARCH("Cleric",$T166,1),0)&gt;0,IFERROR(SEARCH(DivineDomain&amp;",",$T166,1),0)&gt;0),1,0)*IF($C166=DC$2,1,0)=1,1+COUNTIF(DC$3:DC165,"&gt;0"),0)</f>
        <v>0</v>
      </c>
      <c r="DD166">
        <f>IF(IF(OR(IFERROR(SEARCH("Cleric",$T166,1),0)&gt;0,IFERROR(SEARCH(DivineDomain&amp;",",$T166,1),0)&gt;0),1,0)*IF($C166=DD$2,1,0)=1,1+COUNTIF(DD$3:DD165,"&gt;0"),0)</f>
        <v>0</v>
      </c>
      <c r="DE166">
        <f>IF(IF(OR(IFERROR(SEARCH("Cleric",$T166,1),0)&gt;0,IFERROR(SEARCH(DivineDomain&amp;",",$T166,1),0)&gt;0),1,0)*IF($C166=DE$2,1,0)=1,1+COUNTIF(DE$3:DE165,"&gt;0"),0)</f>
        <v>6</v>
      </c>
      <c r="DF166">
        <f>IF(IF(OR(IFERROR(SEARCH("Cleric",$T166,1),0)&gt;0,IFERROR(SEARCH(DivineDomain&amp;",",$T166,1),0)&gt;0),1,0)*IF($C166=DF$2,1,0)=1,1+COUNTIF(DF$3:DF165,"&gt;0"),0)</f>
        <v>0</v>
      </c>
      <c r="DG166">
        <f>IF(IF(OR(IFERROR(SEARCH("Cleric",$T166,1),0)&gt;0,IFERROR(SEARCH(DivineDomain&amp;",",$T166,1),0)&gt;0),1,0)*IF($C166=DG$2,1,0)=1,1+COUNTIF(DG$3:DG165,"&gt;0"),0)</f>
        <v>0</v>
      </c>
      <c r="DH166">
        <f>IF(IF(OR(IFERROR(SEARCH("Cleric",$T166,1),0)&gt;0,IFERROR(SEARCH(DivineDomain&amp;",",$T166,1),0)&gt;0),1,0)*IF($C166=DH$2,1,0)=1,1+COUNTIF(DH$3:DH165,"&gt;0"),0)</f>
        <v>0</v>
      </c>
      <c r="DI166">
        <f>IF(IF(OR(IFERROR(SEARCH("Cleric",$T166,1),0)&gt;0,IFERROR(SEARCH(DivineDomain&amp;",",$T166,1),0)&gt;0),1,0)*IF($C166=DI$2,1,0)=1,1+COUNTIF(DI$3:DI165,"&gt;0"),0)</f>
        <v>0</v>
      </c>
      <c r="DJ166">
        <f>IF(IF(OR(IFERROR(SEARCH("Druid",$T166,1),0)&gt;0,IFERROR(SEARCH(DruidLand1,$T166,1),0)&gt;0,IFERROR(SEARCH(DruidLand2,$T166,1),0)&gt;0,IFERROR(SEARCH(DruidLand3,$T166,1),0)&gt;0,IFERROR(SEARCH(DruidLand4,$T166,1),0)&gt;0),1,0)*IF($C166=1,1,0)*IF($C166=DJ$2,1,0)=0,0,1+COUNTIF(DJ$3:DJ165,"&gt;0"))</f>
        <v>0</v>
      </c>
      <c r="DK166">
        <f>IF(IF(OR(IFERROR(SEARCH("Druid",$T166,1),0)&gt;0,IFERROR(SEARCH(DruidLand1,$T166,1),0)&gt;0,IFERROR(SEARCH(DruidLand2,$T166,1),0)&gt;0,IFERROR(SEARCH(DruidLand3,$T166,1),0)&gt;0,IFERROR(SEARCH(DruidLand4,$T166,1),0)&gt;0),1,0)*IF($C166=DK$2,1,0)=0,0,1+COUNTIF(DK$3:DK165,"&gt;0"))</f>
        <v>0</v>
      </c>
      <c r="DL166">
        <f>IF(IF(OR(IFERROR(SEARCH("Druid",$T166,1),0)&gt;0,IFERROR(SEARCH(DruidLand1,$T166,1),0)&gt;0,IFERROR(SEARCH(DruidLand2,$T166,1),0)&gt;0,IFERROR(SEARCH(DruidLand3,$T166,1),0)&gt;0,IFERROR(SEARCH(DruidLand4,$T166,1),0)&gt;0),1,0)*IF($C166=DL$2,1,0)=0,0,1+COUNTIF(DL$3:DL165,"&gt;0"))</f>
        <v>0</v>
      </c>
      <c r="DM166">
        <f>IF(IF(OR(IFERROR(SEARCH("Druid",$T166,1),0)&gt;0,IFERROR(SEARCH(DruidLand1,$T166,1),0)&gt;0,IFERROR(SEARCH(DruidLand2,$T166,1),0)&gt;0,IFERROR(SEARCH(DruidLand3,$T166,1),0)&gt;0,IFERROR(SEARCH(DruidLand4,$T166,1),0)&gt;0),1,0)*IF($C166=DM$2,1,0)=0,0,1+COUNTIF(DM$3:DM165,"&gt;0"))</f>
        <v>0</v>
      </c>
      <c r="DN166">
        <f>IF(IF(OR(IFERROR(SEARCH("Druid",$T166,1),0)&gt;0,IFERROR(SEARCH(DruidLand1,$T166,1),0)&gt;0,IFERROR(SEARCH(DruidLand2,$T166,1),0)&gt;0,IFERROR(SEARCH(DruidLand3,$T166,1),0)&gt;0,IFERROR(SEARCH(DruidLand4,$T166,1),0)&gt;0),1,0)*IF($C166=DN$2,1,0)=0,0,1+COUNTIF(DN$3:DN165,"&gt;0"))</f>
        <v>7</v>
      </c>
      <c r="DO166">
        <f>IF(IF(OR(IFERROR(SEARCH("Druid",$T166,1),0)&gt;0,IFERROR(SEARCH(DruidLand1,$T166,1),0)&gt;0,IFERROR(SEARCH(DruidLand2,$T166,1),0)&gt;0,IFERROR(SEARCH(DruidLand3,$T166,1),0)&gt;0,IFERROR(SEARCH(DruidLand4,$T166,1),0)&gt;0),1,0)*IF($C166=DO$2,1,0)=0,0,1+COUNTIF(DO$3:DO165,"&gt;0"))</f>
        <v>0</v>
      </c>
      <c r="DP166">
        <f>IF(IF(OR(IFERROR(SEARCH("Druid",$T166,1),0)&gt;0,IFERROR(SEARCH(DruidLand1,$T166,1),0)&gt;0,IFERROR(SEARCH(DruidLand2,$T166,1),0)&gt;0,IFERROR(SEARCH(DruidLand3,$T166,1),0)&gt;0,IFERROR(SEARCH(DruidLand4,$T166,1),0)&gt;0),1,0)*IF($C166=DP$2,1,0)=0,0,1+COUNTIF(DP$3:DP165,"&gt;0"))</f>
        <v>0</v>
      </c>
      <c r="DQ166">
        <f>IF(IF(OR(IFERROR(SEARCH("Druid",$T166,1),0)&gt;0,IFERROR(SEARCH(DruidLand1,$T166,1),0)&gt;0,IFERROR(SEARCH(DruidLand2,$T166,1),0)&gt;0,IFERROR(SEARCH(DruidLand3,$T166,1),0)&gt;0,IFERROR(SEARCH(DruidLand4,$T166,1),0)&gt;0),1,0)*IF($C166=DQ$2,1,0)=0,0,1+COUNTIF(DQ$3:DQ165,"&gt;0"))</f>
        <v>0</v>
      </c>
      <c r="DR166">
        <f>IF(IF(OR(IFERROR(SEARCH("Druid",$T166,1),0)&gt;0,IFERROR(SEARCH(DruidLand1,$T166,1),0)&gt;0,IFERROR(SEARCH(DruidLand2,$T166,1),0)&gt;0,IFERROR(SEARCH(DruidLand3,$T166,1),0)&gt;0,IFERROR(SEARCH(DruidLand4,$T166,1),0)&gt;0),1,0)*IF($C166=DR$2,1,0)=0,0,1+COUNTIF(DR$3:DR165,"&gt;0"))</f>
        <v>0</v>
      </c>
      <c r="DS166">
        <f>IF(IF(OR(IFERROR(SEARCH("Paladin",$T166,1),0)&gt;0,IFERROR(SEARCH(PaladinOath,$T166,1),0)&gt;0),1,0)*IF($C166=DS$2,1,0)=1,1+COUNTIF(DS$3:DS165,"&gt;0"),0)</f>
        <v>0</v>
      </c>
      <c r="DT166">
        <f>IF(IF(OR(IFERROR(SEARCH("Paladin",$T166,1),0)&gt;0,IFERROR(SEARCH(PaladinOath,$T166,1),0)&gt;0),1,0)*IF($C166=DT$2,1,0)=1,1+COUNTIF(DT$3:DT165,"&gt;0"),0)</f>
        <v>0</v>
      </c>
      <c r="DU166">
        <f>IF(IF(OR(IFERROR(SEARCH("Paladin",$T166,1),0)&gt;0,IFERROR(SEARCH(PaladinOath,$T166,1),0)&gt;0),1,0)*IF($C166=DU$2,1,0)=1,1+COUNTIF(DU$3:DU165,"&gt;0"),0)</f>
        <v>0</v>
      </c>
      <c r="DV166">
        <f>IF(IF(OR(IFERROR(SEARCH("Paladin",$T166,1),0)&gt;0,IFERROR(SEARCH(PaladinOath,$T166,1),0)&gt;0),1,0)*IF($C166=DV$2,1,0)=1,1+COUNTIF(DV$3:DV165,"&gt;0"),0)</f>
        <v>0</v>
      </c>
      <c r="DW166">
        <f>IF(IF(OR(IFERROR(SEARCH("Paladin",$T166,1),0)&gt;0,IFERROR(SEARCH(PaladinOath,$T166,1),0)&gt;0),1,0)*IF($C166=DW$2,1,0)=1,1+COUNTIF(DW$3:DW165,"&gt;0"),0)</f>
        <v>0</v>
      </c>
      <c r="DY166">
        <f t="shared" si="111"/>
        <v>1</v>
      </c>
      <c r="DZ166">
        <f>IF(DY166=0,0,1+MAX(DZ$3:$DZ165))</f>
        <v>164</v>
      </c>
      <c r="EB166">
        <f t="shared" si="125"/>
        <v>0</v>
      </c>
      <c r="EC166">
        <f>IF(EB166=0,0,1+COUNTIF(EC$3:EC165,"&gt;0"))</f>
        <v>0</v>
      </c>
      <c r="ED166" t="str">
        <f t="shared" si="153"/>
        <v/>
      </c>
      <c r="EE166" t="str">
        <f t="shared" si="126"/>
        <v/>
      </c>
      <c r="EG166">
        <f t="shared" si="127"/>
        <v>0</v>
      </c>
      <c r="EH166">
        <f>IF(EG166=0,0,1+COUNTIF(EH$3:EH165,"&gt;0"))</f>
        <v>0</v>
      </c>
      <c r="EI166" t="str">
        <f t="shared" si="154"/>
        <v/>
      </c>
      <c r="EJ166" t="str">
        <f t="shared" si="128"/>
        <v/>
      </c>
      <c r="EL166">
        <f t="shared" si="129"/>
        <v>0</v>
      </c>
      <c r="EM166">
        <f>IF(EL166=0,0,1+COUNTIF(EM$3:EM165,"&gt;0"))</f>
        <v>0</v>
      </c>
      <c r="EN166" t="str">
        <f t="shared" si="155"/>
        <v/>
      </c>
      <c r="EO166" t="str">
        <f t="shared" si="130"/>
        <v/>
      </c>
      <c r="EQ166">
        <f t="shared" si="131"/>
        <v>0</v>
      </c>
      <c r="ER166">
        <f>IF(EQ166=0,0,1+COUNTIF(ER$3:ER165,"&gt;0"))</f>
        <v>0</v>
      </c>
      <c r="ES166" t="str">
        <f t="shared" si="156"/>
        <v/>
      </c>
      <c r="ET166" t="str">
        <f t="shared" si="132"/>
        <v/>
      </c>
      <c r="EV166">
        <f t="shared" si="133"/>
        <v>0</v>
      </c>
      <c r="EW166">
        <f>IF(EV166=0,0,1+COUNTIF(EW$3:EW165,"&gt;0"))</f>
        <v>0</v>
      </c>
      <c r="EX166" t="str">
        <f t="shared" si="157"/>
        <v/>
      </c>
      <c r="EY166" t="str">
        <f t="shared" si="134"/>
        <v/>
      </c>
      <c r="FA166">
        <f t="shared" si="135"/>
        <v>0</v>
      </c>
      <c r="FB166">
        <f>IF(FA166=0,0,1+COUNTIF(FB$3:FB165,"&gt;0"))</f>
        <v>0</v>
      </c>
      <c r="FC166" t="str">
        <f t="shared" si="158"/>
        <v/>
      </c>
      <c r="FD166" t="str">
        <f t="shared" si="136"/>
        <v/>
      </c>
      <c r="FF166">
        <f t="shared" si="137"/>
        <v>0</v>
      </c>
      <c r="FG166">
        <f>IF(FF166=0,0,1+COUNTIF(FG$3:FG165,"&gt;0"))</f>
        <v>0</v>
      </c>
      <c r="FH166" t="str">
        <f t="shared" si="159"/>
        <v/>
      </c>
      <c r="FI166" t="str">
        <f t="shared" si="138"/>
        <v/>
      </c>
      <c r="FK166">
        <f t="shared" si="139"/>
        <v>0</v>
      </c>
      <c r="FL166">
        <f>IF(FK166=0,0,1+COUNTIF(FL$3:FL165,"&gt;0"))</f>
        <v>0</v>
      </c>
      <c r="FM166" t="str">
        <f t="shared" si="160"/>
        <v/>
      </c>
      <c r="FN166" t="str">
        <f t="shared" si="140"/>
        <v/>
      </c>
      <c r="FP166">
        <f t="shared" si="141"/>
        <v>0</v>
      </c>
      <c r="FQ166">
        <f>IF(FP166=0,0,1+COUNTIF(FQ$3:FQ165,"&gt;0"))</f>
        <v>0</v>
      </c>
      <c r="FR166" t="str">
        <f t="shared" si="161"/>
        <v/>
      </c>
      <c r="FS166" t="str">
        <f t="shared" si="142"/>
        <v/>
      </c>
    </row>
    <row r="167" spans="1:175" x14ac:dyDescent="0.25">
      <c r="A167" s="347">
        <f t="shared" si="162"/>
        <v>165</v>
      </c>
      <c r="B167" s="348" t="s">
        <v>2541</v>
      </c>
      <c r="C167" s="348">
        <v>4</v>
      </c>
      <c r="D167" s="347">
        <v>4</v>
      </c>
      <c r="E167" s="627" t="s">
        <v>6952</v>
      </c>
      <c r="F167" s="346"/>
      <c r="G167" s="347" t="str">
        <f>""</f>
        <v/>
      </c>
      <c r="H167" s="347" t="s">
        <v>5912</v>
      </c>
      <c r="I167" s="347" t="s">
        <v>5060</v>
      </c>
      <c r="J167" s="347" t="str">
        <f t="shared" si="112"/>
        <v/>
      </c>
      <c r="K167" s="347" t="s">
        <v>5279</v>
      </c>
      <c r="L167" s="611" t="str">
        <f t="shared" si="113"/>
        <v>V</v>
      </c>
      <c r="M167" s="347" t="s">
        <v>2373</v>
      </c>
      <c r="N167" s="347" t="s">
        <v>3034</v>
      </c>
      <c r="O167" s="347" t="s">
        <v>3034</v>
      </c>
      <c r="P167" s="346" t="str">
        <f>""</f>
        <v/>
      </c>
      <c r="Q167" s="347" t="s">
        <v>5271</v>
      </c>
      <c r="S167" s="346" t="s">
        <v>5718</v>
      </c>
      <c r="T167" s="346" t="str">
        <f t="shared" si="114"/>
        <v xml:space="preserve">Cleric, Devotion, Life, Light, </v>
      </c>
      <c r="Z167" s="347" t="str">
        <f>$B167</f>
        <v>Guardian of Faith</v>
      </c>
      <c r="AE167" t="str">
        <f>IF(IFERROR(MATCH($B167,temp!A$4:A$13,0),0)&gt;0,T08_Spells!AE$2,"")</f>
        <v>Devotion</v>
      </c>
      <c r="AF167" t="str">
        <f>IF(IFERROR(MATCH($B167,temp!B$4:B$13,0),0)&gt;0,T08_Spells!AF$2,"")</f>
        <v/>
      </c>
      <c r="AG167" t="str">
        <f>IF(IFERROR(MATCH($B167,temp!C$4:C$13,0),0)&gt;0,T08_Spells!AG$2,"")</f>
        <v/>
      </c>
      <c r="AH167" t="str">
        <f>IF(IFERROR(MATCH($B167,temp!D$4:D$13,0),0)&gt;0,T08_Spells!AH$2,"")</f>
        <v/>
      </c>
      <c r="AI167" t="str">
        <f>IF(IFERROR(MATCH($B167,temp!E$4:E$13,0),0)&gt;0,T08_Spells!AI$2,"")</f>
        <v/>
      </c>
      <c r="AJ167" t="str">
        <f>IF(IFERROR(MATCH($B167,temp!F$4:F$13,0),0)&gt;0,T08_Spells!AJ$2,"")</f>
        <v/>
      </c>
      <c r="AK167" t="str">
        <f>IF(IFERROR(MATCH($B167,temp!G$4:G$13,0),0)&gt;0,T08_Spells!AK$2,"")</f>
        <v/>
      </c>
      <c r="AL167" t="str">
        <f>IF(IFERROR(MATCH($B167,temp!H$4:H$13,0),0)&gt;0,T08_Spells!AL$2,"")</f>
        <v/>
      </c>
      <c r="AM167" t="str">
        <f>IF(IFERROR(MATCH($B167,temp!I$4:I$13,0),0)&gt;0,T08_Spells!AM$2,"")</f>
        <v/>
      </c>
      <c r="AN167" t="str">
        <f>IF(IFERROR(MATCH($B167,temp!J$4:J$13,0),0)&gt;0,T08_Spells!AN$2,"")</f>
        <v/>
      </c>
      <c r="AO167" t="str">
        <f>IF(IFERROR(MATCH($B167,temp!K$4:K$13,0),0)&gt;0,T08_Spells!AO$2,"")</f>
        <v/>
      </c>
      <c r="AP167" t="str">
        <f>IF(IFERROR(MATCH($B167,temp!L$4:L$13,0),0)&gt;0,T08_Spells!AP$2,"")</f>
        <v/>
      </c>
      <c r="AQ167" t="str">
        <f>IF(IFERROR(MATCH($B167,temp!M$4:M$13,0),0)&gt;0,T08_Spells!AQ$2,"")</f>
        <v/>
      </c>
      <c r="AR167" t="str">
        <f>IF(IFERROR(MATCH($B167,temp!N$4:N$13,0),0)&gt;0,T08_Spells!AR$2,"")</f>
        <v/>
      </c>
      <c r="AS167" t="str">
        <f>IF(IFERROR(MATCH($B167,temp!O$4:O$13,0),0)&gt;0,T08_Spells!AS$2,"")</f>
        <v/>
      </c>
      <c r="AT167" t="str">
        <f>IF(IFERROR(MATCH($B167,temp!P$4:P$13,0),0)&gt;0,T08_Spells!AT$2,"")</f>
        <v/>
      </c>
      <c r="AU167" t="str">
        <f>IF(IFERROR(MATCH($B167,temp!Q$4:Q$13,0),0)&gt;0,T08_Spells!AU$2,"")</f>
        <v>Life</v>
      </c>
      <c r="AV167" t="str">
        <f>IF(IFERROR(MATCH($B167,temp!R$4:R$13,0),0)&gt;0,T08_Spells!AV$2,"")</f>
        <v>Light</v>
      </c>
      <c r="AW167" t="str">
        <f>IF(IFERROR(MATCH($B167,temp!S$4:S$13,0),0)&gt;0,T08_Spells!AW$2,"")</f>
        <v/>
      </c>
      <c r="AX167" t="str">
        <f>IF(IFERROR(MATCH($B167,temp!T$4:T$13,0),0)&gt;0,T08_Spells!AX$2,"")</f>
        <v/>
      </c>
      <c r="AY167" t="str">
        <f>IF(IFERROR(MATCH($B167,temp!U$4:U$13,0),0)&gt;0,T08_Spells!AY$2,"")</f>
        <v/>
      </c>
      <c r="AZ167" t="str">
        <f>IF(IFERROR(MATCH($B167,temp!V$4:V$13,0),0)&gt;0,T08_Spells!AZ$2,"")</f>
        <v/>
      </c>
      <c r="BA167" t="str">
        <f>IF(IFERROR(MATCH($B167,temp!W$4:W$13,0),0)&gt;0,T08_Spells!BA$2,"")</f>
        <v/>
      </c>
      <c r="BC167">
        <f>IF(IFERROR(SEARCH("Ranger",$T167,1),0)&gt;0,1,0)*IF(RangerMaxSpellLevel&gt;=$C167,1,0)*IF(IFERROR(MATCH(B167,Character_Creation!$X$79:$X$382,0),0)&gt;0,0,1)</f>
        <v>0</v>
      </c>
      <c r="BD167">
        <f>IF(BC167=0,0,1+COUNTIF(BD$3:BD166,"&gt;0"))</f>
        <v>0</v>
      </c>
      <c r="BE167" t="str">
        <f t="shared" si="143"/>
        <v/>
      </c>
      <c r="BF167" t="str">
        <f t="shared" si="115"/>
        <v/>
      </c>
      <c r="BH167">
        <f>IF(IFERROR(SEARCH("Sorcerer",$T167,1),0)&gt;0,1,0)*IF(SorcererMaxSpellLevel&gt;=$C167,1,0)*IF(IFERROR(MATCH(B167,Character_Creation!$J$380:$J$394,0),0)&gt;0,0,1)</f>
        <v>0</v>
      </c>
      <c r="BI167">
        <f>IF(BH167=0,0,1+COUNTIF(BI$3:BI166,"&gt;0"))</f>
        <v>0</v>
      </c>
      <c r="BJ167" t="str">
        <f t="shared" si="144"/>
        <v/>
      </c>
      <c r="BK167" t="str">
        <f t="shared" si="116"/>
        <v/>
      </c>
      <c r="BM167">
        <f>IF(OR(IFERROR(SEARCH("Warlock",$T167,1),0)&gt;0,IFERROR(SEARCH(WarlockPatron,$T167,1),0)&gt;0),1,0)*IF(WarlockMaxSpellLevel&gt;=$C167,1,0)*IF(IFERROR(MATCH(B167,Character_Creation!$J$361:$J$375,0),0)&gt;0,0,1)</f>
        <v>0</v>
      </c>
      <c r="BN167">
        <f>IF(BM167=0,0,1+COUNTIF(BN$3:BN166,"&gt;0"))</f>
        <v>0</v>
      </c>
      <c r="BO167" t="str">
        <f t="shared" si="145"/>
        <v/>
      </c>
      <c r="BP167" t="str">
        <f t="shared" si="117"/>
        <v/>
      </c>
      <c r="BR167">
        <f>IF(IFERROR(SEARCH("Eldritch Knight",$T167,1),0)&gt;0,1,0)*IF(EldritchKnightMaxSpellLevel&gt;=$C167,1,0)*IF(IFERROR(MATCH($B167,Character_Creation!$J$350:$J$356,0),0)&gt;0,0,1)*IF(Character_Creation!$M$338&gt;0,1,0)</f>
        <v>0</v>
      </c>
      <c r="BS167">
        <f>IF(BR167=0,0,1+COUNTIF(BS$3:BS166,"&gt;0"))</f>
        <v>0</v>
      </c>
      <c r="BT167" t="str">
        <f t="shared" si="146"/>
        <v/>
      </c>
      <c r="BU167" t="str">
        <f t="shared" si="118"/>
        <v/>
      </c>
      <c r="BW167">
        <f>IF(IFERROR(SEARCH("Arcane Trickster",$T167,1),0)&gt;0,1,0)*IF(ArcaneTricksterMaxSpellLevel&gt;=$C167,1,0)*IF(IFERROR(MATCH($B167,Character_Creation!$J$350:$J$356,0),0)&gt;0,0,1)*IF(Character_Creation!$T$338&gt;0,1,0)</f>
        <v>0</v>
      </c>
      <c r="BX167">
        <f>IF(BW167=0,0,1+COUNTIF(BX$3:BX166,"&gt;0"))</f>
        <v>0</v>
      </c>
      <c r="BY167" t="str">
        <f t="shared" si="147"/>
        <v/>
      </c>
      <c r="BZ167" t="str">
        <f t="shared" si="119"/>
        <v/>
      </c>
      <c r="CB167">
        <f>IF(IFERROR(SEARCH("Wizard",$T167,1),0)&gt;0,1,0)*IF(C167&lt;=ArcaneTricksterMaxSpellLevel,1,0)*IF(IFERROR(MATCH($B167,Character_Creation!$J$350:$J$356,0),0)&gt;0,0,1)*IF(Character_Creation!$T$350&gt;0,1,0)</f>
        <v>0</v>
      </c>
      <c r="CC167">
        <f>IF(CB167=0,0,1+COUNTIF(CC$3:CC166,"&gt;0"))</f>
        <v>0</v>
      </c>
      <c r="CD167" t="str">
        <f t="shared" si="148"/>
        <v/>
      </c>
      <c r="CE167" t="str">
        <f t="shared" si="120"/>
        <v/>
      </c>
      <c r="CG167">
        <f>IF(IFERROR(SEARCH("Wizard",$T167,1),0)&gt;0,1,0)*IF($C167&lt;=EldritchKnightMaxSpellLevel,1,0)*IF(IFERROR(MATCH($B167,Character_Creation!$J$350:$J$356,0),0)&gt;0,0,1)*IF(Character_Creation!$M$350&gt;0,1,0)</f>
        <v>0</v>
      </c>
      <c r="CH167">
        <f>IF(CG167=0,0,1+COUNTIF(CH$3:CH166,"&gt;0"))</f>
        <v>0</v>
      </c>
      <c r="CI167" t="str">
        <f t="shared" si="149"/>
        <v/>
      </c>
      <c r="CJ167" t="str">
        <f t="shared" si="121"/>
        <v/>
      </c>
      <c r="CL167">
        <f>IF(IFERROR(SEARCH("Bard",$T167,1),0)&gt;0,1,0)*IF(BardMaxSpellLevel&gt;=$C167,1,0)*IF(IFERROR(MATCH(B167,Character_Creation!$C$341:$F$362,0),0)&gt;0,0,1)*IF(IFERROR(MATCH($B167,Character_Creation!$C$341:$C$362,0),0)&gt;0,0,1)</f>
        <v>0</v>
      </c>
      <c r="CM167">
        <f>IF(CL167=0,0,1+COUNTIF(CM$3:CM166,"&gt;0"))</f>
        <v>0</v>
      </c>
      <c r="CN167" t="str">
        <f t="shared" si="150"/>
        <v/>
      </c>
      <c r="CO167" t="str">
        <f t="shared" si="122"/>
        <v/>
      </c>
      <c r="CQ167">
        <f>IF(IFERROR(SEARCH("Wizard",$T167,1),0)&gt;0,1,0)*IF(WizardMaxSpellLevel&gt;=$C167,1,0)*IF(IFERROR(MATCH(B167,Character_Creation!$X$341:$X$400,0),0)&gt;0,0,1)*IF(SelectedWizardSpellLevel=$C167,1,0)</f>
        <v>0</v>
      </c>
      <c r="CR167">
        <f>IF(CQ167=0,0,1+COUNTIF(CR$3:CR166,"&gt;0"))</f>
        <v>0</v>
      </c>
      <c r="CS167" t="str">
        <f t="shared" si="151"/>
        <v/>
      </c>
      <c r="CT167" t="str">
        <f t="shared" si="123"/>
        <v/>
      </c>
      <c r="CV167">
        <f>IF(IFERROR(MATCH($B167,Character_Creation!$C$341:$C$362,0),0)&gt;0,0,1)*IF(OR(C167="Cantrip",C167&lt;=BardMaxSpellLevel),1,0)*IF(IFERROR(MATCH($B167,Character_Creation!$C$367:$C$374,0),0)&gt;0,0,1)</f>
        <v>0</v>
      </c>
      <c r="CW167">
        <f>IF(CV167=0,0,1+COUNTIF(CW$3:CW166,"&gt;0"))</f>
        <v>0</v>
      </c>
      <c r="CX167" t="str">
        <f t="shared" si="152"/>
        <v/>
      </c>
      <c r="CY167" t="str">
        <f t="shared" si="124"/>
        <v/>
      </c>
      <c r="DA167">
        <f>IF(IF(OR(IFERROR(SEARCH("Cleric",$T167,1),0)&gt;0,IFERROR(SEARCH(DivineDomain&amp;",",$T167,1),0)&gt;0),1,0)*IF($C167=DA$2,1,0)=1,1+COUNTIF(DA$3:DA166,"&gt;0"),0)</f>
        <v>0</v>
      </c>
      <c r="DB167">
        <f>IF(IF(OR(IFERROR(SEARCH("Cleric",$T167,1),0)&gt;0,IFERROR(SEARCH(DivineDomain&amp;",",$T167,1),0)&gt;0),1,0)*IF($C167=DB$2,1,0)=1,1+COUNTIF(DB$3:DB166,"&gt;0"),0)</f>
        <v>0</v>
      </c>
      <c r="DC167">
        <f>IF(IF(OR(IFERROR(SEARCH("Cleric",$T167,1),0)&gt;0,IFERROR(SEARCH(DivineDomain&amp;",",$T167,1),0)&gt;0),1,0)*IF($C167=DC$2,1,0)=1,1+COUNTIF(DC$3:DC166,"&gt;0"),0)</f>
        <v>0</v>
      </c>
      <c r="DD167">
        <f>IF(IF(OR(IFERROR(SEARCH("Cleric",$T167,1),0)&gt;0,IFERROR(SEARCH(DivineDomain&amp;",",$T167,1),0)&gt;0),1,0)*IF($C167=DD$2,1,0)=1,1+COUNTIF(DD$3:DD166,"&gt;0"),0)</f>
        <v>6</v>
      </c>
      <c r="DE167">
        <f>IF(IF(OR(IFERROR(SEARCH("Cleric",$T167,1),0)&gt;0,IFERROR(SEARCH(DivineDomain&amp;",",$T167,1),0)&gt;0),1,0)*IF($C167=DE$2,1,0)=1,1+COUNTIF(DE$3:DE166,"&gt;0"),0)</f>
        <v>0</v>
      </c>
      <c r="DF167">
        <f>IF(IF(OR(IFERROR(SEARCH("Cleric",$T167,1),0)&gt;0,IFERROR(SEARCH(DivineDomain&amp;",",$T167,1),0)&gt;0),1,0)*IF($C167=DF$2,1,0)=1,1+COUNTIF(DF$3:DF166,"&gt;0"),0)</f>
        <v>0</v>
      </c>
      <c r="DG167">
        <f>IF(IF(OR(IFERROR(SEARCH("Cleric",$T167,1),0)&gt;0,IFERROR(SEARCH(DivineDomain&amp;",",$T167,1),0)&gt;0),1,0)*IF($C167=DG$2,1,0)=1,1+COUNTIF(DG$3:DG166,"&gt;0"),0)</f>
        <v>0</v>
      </c>
      <c r="DH167">
        <f>IF(IF(OR(IFERROR(SEARCH("Cleric",$T167,1),0)&gt;0,IFERROR(SEARCH(DivineDomain&amp;",",$T167,1),0)&gt;0),1,0)*IF($C167=DH$2,1,0)=1,1+COUNTIF(DH$3:DH166,"&gt;0"),0)</f>
        <v>0</v>
      </c>
      <c r="DI167">
        <f>IF(IF(OR(IFERROR(SEARCH("Cleric",$T167,1),0)&gt;0,IFERROR(SEARCH(DivineDomain&amp;",",$T167,1),0)&gt;0),1,0)*IF($C167=DI$2,1,0)=1,1+COUNTIF(DI$3:DI166,"&gt;0"),0)</f>
        <v>0</v>
      </c>
      <c r="DJ167">
        <f>IF(IF(OR(IFERROR(SEARCH("Druid",$T167,1),0)&gt;0,IFERROR(SEARCH(DruidLand1,$T167,1),0)&gt;0,IFERROR(SEARCH(DruidLand2,$T167,1),0)&gt;0,IFERROR(SEARCH(DruidLand3,$T167,1),0)&gt;0,IFERROR(SEARCH(DruidLand4,$T167,1),0)&gt;0),1,0)*IF($C167=1,1,0)*IF($C167=DJ$2,1,0)=0,0,1+COUNTIF(DJ$3:DJ166,"&gt;0"))</f>
        <v>0</v>
      </c>
      <c r="DK167">
        <f>IF(IF(OR(IFERROR(SEARCH("Druid",$T167,1),0)&gt;0,IFERROR(SEARCH(DruidLand1,$T167,1),0)&gt;0,IFERROR(SEARCH(DruidLand2,$T167,1),0)&gt;0,IFERROR(SEARCH(DruidLand3,$T167,1),0)&gt;0,IFERROR(SEARCH(DruidLand4,$T167,1),0)&gt;0),1,0)*IF($C167=1,1,0)*IF($C167=DK$2,1,0)=0,0,1+COUNTIF(DK$3:DK166,"&gt;0"))</f>
        <v>0</v>
      </c>
      <c r="DL167">
        <f>IF(IF(OR(IFERROR(SEARCH("Druid",$T167,1),0)&gt;0,IFERROR(SEARCH(DruidLand1,$T167,1),0)&gt;0,IFERROR(SEARCH(DruidLand2,$T167,1),0)&gt;0,IFERROR(SEARCH(DruidLand3,$T167,1),0)&gt;0,IFERROR(SEARCH(DruidLand4,$T167,1),0)&gt;0),1,0)*IF($C167=1,1,0)*IF($C167=DL$2,1,0)=0,0,1+COUNTIF(DL$3:DL166,"&gt;0"))</f>
        <v>0</v>
      </c>
      <c r="DM167">
        <f>IF(IF(OR(IFERROR(SEARCH("Druid",$T167,1),0)&gt;0,IFERROR(SEARCH(DruidLand1,$T167,1),0)&gt;0,IFERROR(SEARCH(DruidLand2,$T167,1),0)&gt;0,IFERROR(SEARCH(DruidLand3,$T167,1),0)&gt;0,IFERROR(SEARCH(DruidLand4,$T167,1),0)&gt;0),1,0)*IF($C167=1,1,0)*IF($C167=DM$2,1,0)=0,0,1+COUNTIF(DM$3:DM166,"&gt;0"))</f>
        <v>0</v>
      </c>
      <c r="DN167">
        <f>IF(IF(OR(IFERROR(SEARCH("Druid",$T167,1),0)&gt;0,IFERROR(SEARCH(DruidLand1,$T167,1),0)&gt;0,IFERROR(SEARCH(DruidLand2,$T167,1),0)&gt;0,IFERROR(SEARCH(DruidLand3,$T167,1),0)&gt;0,IFERROR(SEARCH(DruidLand4,$T167,1),0)&gt;0),1,0)*IF($C167=1,1,0)*IF($C167=DN$2,1,0)=0,0,1+COUNTIF(DN$3:DN166,"&gt;0"))</f>
        <v>0</v>
      </c>
      <c r="DO167">
        <f>IF(IF(OR(IFERROR(SEARCH("Druid",$T167,1),0)&gt;0,IFERROR(SEARCH(DruidLand1,$T167,1),0)&gt;0,IFERROR(SEARCH(DruidLand2,$T167,1),0)&gt;0,IFERROR(SEARCH(DruidLand3,$T167,1),0)&gt;0,IFERROR(SEARCH(DruidLand4,$T167,1),0)&gt;0),1,0)*IF($C167=1,1,0)*IF($C167=DO$2,1,0)=0,0,1+COUNTIF(DO$3:DO166,"&gt;0"))</f>
        <v>0</v>
      </c>
      <c r="DP167">
        <f>IF(IF(OR(IFERROR(SEARCH("Druid",$T167,1),0)&gt;0,IFERROR(SEARCH(DruidLand1,$T167,1),0)&gt;0,IFERROR(SEARCH(DruidLand2,$T167,1),0)&gt;0,IFERROR(SEARCH(DruidLand3,$T167,1),0)&gt;0,IFERROR(SEARCH(DruidLand4,$T167,1),0)&gt;0),1,0)*IF($C167=1,1,0)*IF($C167=DP$2,1,0)=0,0,1+COUNTIF(DP$3:DP166,"&gt;0"))</f>
        <v>0</v>
      </c>
      <c r="DQ167">
        <f>IF(IF(OR(IFERROR(SEARCH("Druid",$T167,1),0)&gt;0,IFERROR(SEARCH(DruidLand1,$T167,1),0)&gt;0,IFERROR(SEARCH(DruidLand2,$T167,1),0)&gt;0,IFERROR(SEARCH(DruidLand3,$T167,1),0)&gt;0,IFERROR(SEARCH(DruidLand4,$T167,1),0)&gt;0),1,0)*IF($C167=1,1,0)*IF($C167=DQ$2,1,0)=0,0,1+COUNTIF(DQ$3:DQ166,"&gt;0"))</f>
        <v>0</v>
      </c>
      <c r="DR167">
        <f>IF(IF(OR(IFERROR(SEARCH("Druid",$T167,1),0)&gt;0,IFERROR(SEARCH(DruidLand1,$T167,1),0)&gt;0,IFERROR(SEARCH(DruidLand2,$T167,1),0)&gt;0,IFERROR(SEARCH(DruidLand3,$T167,1),0)&gt;0,IFERROR(SEARCH(DruidLand4,$T167,1),0)&gt;0),1,0)*IF($C167=1,1,0)*IF($C167=DR$2,1,0)=0,0,1+COUNTIF(DR$3:DR166,"&gt;0"))</f>
        <v>0</v>
      </c>
      <c r="DS167">
        <f>IF(IF(OR(IFERROR(SEARCH("Paladin",$T167,1),0)&gt;0,IFERROR(SEARCH(PaladinOath,$T167,1),0)&gt;0),1,0)*IF($C167=DS$2,1,0)=1,1+COUNTIF(DS$3:DS166,"&gt;0"),0)</f>
        <v>0</v>
      </c>
      <c r="DT167">
        <f>IF(IF(OR(IFERROR(SEARCH("Paladin",$T167,1),0)&gt;0,IFERROR(SEARCH(PaladinOath,$T167,1),0)&gt;0),1,0)*IF($C167=DT$2,1,0)=1,1+COUNTIF(DT$3:DT166,"&gt;0"),0)</f>
        <v>0</v>
      </c>
      <c r="DU167">
        <f>IF(IF(OR(IFERROR(SEARCH("Paladin",$T167,1),0)&gt;0,IFERROR(SEARCH(PaladinOath,$T167,1),0)&gt;0),1,0)*IF($C167=DU$2,1,0)=1,1+COUNTIF(DU$3:DU166,"&gt;0"),0)</f>
        <v>0</v>
      </c>
      <c r="DV167">
        <f>IF(IF(OR(IFERROR(SEARCH("Paladin",$T167,1),0)&gt;0,IFERROR(SEARCH(PaladinOath,$T167,1),0)&gt;0),1,0)*IF($C167=DV$2,1,0)=1,1+COUNTIF(DV$3:DV166,"&gt;0"),0)</f>
        <v>0</v>
      </c>
      <c r="DW167">
        <f>IF(IF(OR(IFERROR(SEARCH("Paladin",$T167,1),0)&gt;0,IFERROR(SEARCH(PaladinOath,$T167,1),0)&gt;0),1,0)*IF($C167=DW$2,1,0)=1,1+COUNTIF(DW$3:DW166,"&gt;0"),0)</f>
        <v>0</v>
      </c>
      <c r="DY167">
        <f t="shared" si="111"/>
        <v>1</v>
      </c>
      <c r="DZ167">
        <f>IF(DY167=0,0,1+MAX(DZ$3:$DZ166))</f>
        <v>165</v>
      </c>
      <c r="EB167">
        <f t="shared" si="125"/>
        <v>0</v>
      </c>
      <c r="EC167">
        <f>IF(EB167=0,0,1+COUNTIF(EC$3:EC166,"&gt;0"))</f>
        <v>0</v>
      </c>
      <c r="ED167" t="str">
        <f t="shared" si="153"/>
        <v/>
      </c>
      <c r="EE167" t="str">
        <f t="shared" si="126"/>
        <v/>
      </c>
      <c r="EG167">
        <f t="shared" si="127"/>
        <v>0</v>
      </c>
      <c r="EH167">
        <f>IF(EG167=0,0,1+COUNTIF(EH$3:EH166,"&gt;0"))</f>
        <v>0</v>
      </c>
      <c r="EI167" t="str">
        <f t="shared" si="154"/>
        <v/>
      </c>
      <c r="EJ167" t="str">
        <f t="shared" si="128"/>
        <v/>
      </c>
      <c r="EL167">
        <f t="shared" si="129"/>
        <v>0</v>
      </c>
      <c r="EM167">
        <f>IF(EL167=0,0,1+COUNTIF(EM$3:EM166,"&gt;0"))</f>
        <v>0</v>
      </c>
      <c r="EN167" t="str">
        <f t="shared" si="155"/>
        <v/>
      </c>
      <c r="EO167" t="str">
        <f t="shared" si="130"/>
        <v/>
      </c>
      <c r="EQ167">
        <f t="shared" si="131"/>
        <v>0</v>
      </c>
      <c r="ER167">
        <f>IF(EQ167=0,0,1+COUNTIF(ER$3:ER166,"&gt;0"))</f>
        <v>0</v>
      </c>
      <c r="ES167" t="str">
        <f t="shared" si="156"/>
        <v/>
      </c>
      <c r="ET167" t="str">
        <f t="shared" si="132"/>
        <v/>
      </c>
      <c r="EV167">
        <f t="shared" si="133"/>
        <v>0</v>
      </c>
      <c r="EW167">
        <f>IF(EV167=0,0,1+COUNTIF(EW$3:EW166,"&gt;0"))</f>
        <v>0</v>
      </c>
      <c r="EX167" t="str">
        <f t="shared" si="157"/>
        <v/>
      </c>
      <c r="EY167" t="str">
        <f t="shared" si="134"/>
        <v/>
      </c>
      <c r="FA167">
        <f t="shared" si="135"/>
        <v>0</v>
      </c>
      <c r="FB167">
        <f>IF(FA167=0,0,1+COUNTIF(FB$3:FB166,"&gt;0"))</f>
        <v>0</v>
      </c>
      <c r="FC167" t="str">
        <f t="shared" si="158"/>
        <v/>
      </c>
      <c r="FD167" t="str">
        <f t="shared" si="136"/>
        <v/>
      </c>
      <c r="FF167">
        <f t="shared" si="137"/>
        <v>0</v>
      </c>
      <c r="FG167">
        <f>IF(FF167=0,0,1+COUNTIF(FG$3:FG166,"&gt;0"))</f>
        <v>0</v>
      </c>
      <c r="FH167" t="str">
        <f t="shared" si="159"/>
        <v/>
      </c>
      <c r="FI167" t="str">
        <f t="shared" si="138"/>
        <v/>
      </c>
      <c r="FK167">
        <f t="shared" si="139"/>
        <v>0</v>
      </c>
      <c r="FL167">
        <f>IF(FK167=0,0,1+COUNTIF(FL$3:FL166,"&gt;0"))</f>
        <v>0</v>
      </c>
      <c r="FM167" t="str">
        <f t="shared" si="160"/>
        <v/>
      </c>
      <c r="FN167" t="str">
        <f t="shared" si="140"/>
        <v/>
      </c>
      <c r="FP167">
        <f t="shared" si="141"/>
        <v>0</v>
      </c>
      <c r="FQ167">
        <f>IF(FP167=0,0,1+COUNTIF(FQ$3:FQ166,"&gt;0"))</f>
        <v>0</v>
      </c>
      <c r="FR167" t="str">
        <f t="shared" si="161"/>
        <v/>
      </c>
      <c r="FS167" t="str">
        <f t="shared" si="142"/>
        <v/>
      </c>
    </row>
    <row r="168" spans="1:175" x14ac:dyDescent="0.25">
      <c r="A168" s="347">
        <f t="shared" si="162"/>
        <v>166</v>
      </c>
      <c r="B168" s="348" t="s">
        <v>2542</v>
      </c>
      <c r="C168" s="348">
        <v>6</v>
      </c>
      <c r="D168" s="347">
        <v>6</v>
      </c>
      <c r="E168" s="627" t="s">
        <v>6952</v>
      </c>
      <c r="F168" s="346"/>
      <c r="G168" s="347" t="str">
        <f>""</f>
        <v/>
      </c>
      <c r="H168" s="347" t="s">
        <v>5319</v>
      </c>
      <c r="I168" s="347" t="s">
        <v>5298</v>
      </c>
      <c r="J168" s="347" t="str">
        <f t="shared" si="112"/>
        <v/>
      </c>
      <c r="K168" s="347" t="s">
        <v>5285</v>
      </c>
      <c r="L168" s="611" t="str">
        <f t="shared" si="113"/>
        <v>V, S, M, burning incense, a small measure of brimstone and oil, a knotted string, a small amount of umber hulk blood, and a small silver rod worth at least 10 gp</v>
      </c>
      <c r="M168" s="347" t="s">
        <v>2373</v>
      </c>
      <c r="N168" s="347" t="s">
        <v>2387</v>
      </c>
      <c r="O168" s="347" t="s">
        <v>1244</v>
      </c>
      <c r="P168" s="346" t="s">
        <v>5393</v>
      </c>
      <c r="Q168" s="347" t="s">
        <v>5270</v>
      </c>
      <c r="S168" s="346" t="s">
        <v>5719</v>
      </c>
      <c r="T168" s="346" t="str">
        <f t="shared" si="114"/>
        <v xml:space="preserve">Bard, Eldritch Knight, Wizard, </v>
      </c>
      <c r="U168" s="347" t="str">
        <f>$B168</f>
        <v>Guards and Wards</v>
      </c>
      <c r="AB168" s="542" t="str">
        <f>AD168</f>
        <v>Guards and Wards</v>
      </c>
      <c r="AD168" s="347" t="str">
        <f>$B168</f>
        <v>Guards and Wards</v>
      </c>
      <c r="AE168" t="str">
        <f>IF(IFERROR(MATCH($B168,temp!A$4:A$13,0),0)&gt;0,T08_Spells!AE$2,"")</f>
        <v/>
      </c>
      <c r="AF168" t="str">
        <f>IF(IFERROR(MATCH($B168,temp!B$4:B$13,0),0)&gt;0,T08_Spells!AF$2,"")</f>
        <v/>
      </c>
      <c r="AG168" t="str">
        <f>IF(IFERROR(MATCH($B168,temp!C$4:C$13,0),0)&gt;0,T08_Spells!AG$2,"")</f>
        <v/>
      </c>
      <c r="AH168" t="str">
        <f>IF(IFERROR(MATCH($B168,temp!D$4:D$13,0),0)&gt;0,T08_Spells!AH$2,"")</f>
        <v/>
      </c>
      <c r="AI168" t="str">
        <f>IF(IFERROR(MATCH($B168,temp!E$4:E$13,0),0)&gt;0,T08_Spells!AI$2,"")</f>
        <v/>
      </c>
      <c r="AJ168" t="str">
        <f>IF(IFERROR(MATCH($B168,temp!F$4:F$13,0),0)&gt;0,T08_Spells!AJ$2,"")</f>
        <v/>
      </c>
      <c r="AK168" t="str">
        <f>IF(IFERROR(MATCH($B168,temp!G$4:G$13,0),0)&gt;0,T08_Spells!AK$2,"")</f>
        <v/>
      </c>
      <c r="AL168" t="str">
        <f>IF(IFERROR(MATCH($B168,temp!H$4:H$13,0),0)&gt;0,T08_Spells!AL$2,"")</f>
        <v/>
      </c>
      <c r="AM168" t="str">
        <f>IF(IFERROR(MATCH($B168,temp!I$4:I$13,0),0)&gt;0,T08_Spells!AM$2,"")</f>
        <v/>
      </c>
      <c r="AN168" t="str">
        <f>IF(IFERROR(MATCH($B168,temp!J$4:J$13,0),0)&gt;0,T08_Spells!AN$2,"")</f>
        <v/>
      </c>
      <c r="AO168" t="str">
        <f>IF(IFERROR(MATCH($B168,temp!K$4:K$13,0),0)&gt;0,T08_Spells!AO$2,"")</f>
        <v/>
      </c>
      <c r="AP168" t="str">
        <f>IF(IFERROR(MATCH($B168,temp!L$4:L$13,0),0)&gt;0,T08_Spells!AP$2,"")</f>
        <v/>
      </c>
      <c r="AQ168" t="str">
        <f>IF(IFERROR(MATCH($B168,temp!M$4:M$13,0),0)&gt;0,T08_Spells!AQ$2,"")</f>
        <v/>
      </c>
      <c r="AR168" t="str">
        <f>IF(IFERROR(MATCH($B168,temp!N$4:N$13,0),0)&gt;0,T08_Spells!AR$2,"")</f>
        <v/>
      </c>
      <c r="AS168" t="str">
        <f>IF(IFERROR(MATCH($B168,temp!O$4:O$13,0),0)&gt;0,T08_Spells!AS$2,"")</f>
        <v/>
      </c>
      <c r="AT168" t="str">
        <f>IF(IFERROR(MATCH($B168,temp!P$4:P$13,0),0)&gt;0,T08_Spells!AT$2,"")</f>
        <v/>
      </c>
      <c r="AU168" t="str">
        <f>IF(IFERROR(MATCH($B168,temp!Q$4:Q$13,0),0)&gt;0,T08_Spells!AU$2,"")</f>
        <v/>
      </c>
      <c r="AV168" t="str">
        <f>IF(IFERROR(MATCH($B168,temp!R$4:R$13,0),0)&gt;0,T08_Spells!AV$2,"")</f>
        <v/>
      </c>
      <c r="AW168" t="str">
        <f>IF(IFERROR(MATCH($B168,temp!S$4:S$13,0),0)&gt;0,T08_Spells!AW$2,"")</f>
        <v/>
      </c>
      <c r="AX168" t="str">
        <f>IF(IFERROR(MATCH($B168,temp!T$4:T$13,0),0)&gt;0,T08_Spells!AX$2,"")</f>
        <v/>
      </c>
      <c r="AY168" t="str">
        <f>IF(IFERROR(MATCH($B168,temp!U$4:U$13,0),0)&gt;0,T08_Spells!AY$2,"")</f>
        <v/>
      </c>
      <c r="AZ168" t="str">
        <f>IF(IFERROR(MATCH($B168,temp!V$4:V$13,0),0)&gt;0,T08_Spells!AZ$2,"")</f>
        <v/>
      </c>
      <c r="BA168" t="str">
        <f>IF(IFERROR(MATCH($B168,temp!W$4:W$13,0),0)&gt;0,T08_Spells!BA$2,"")</f>
        <v/>
      </c>
      <c r="BC168">
        <f>IF(IFERROR(SEARCH("Ranger",$T168,1),0)&gt;0,1,0)*IF(RangerMaxSpellLevel&gt;=$C168,1,0)*IF(IFERROR(MATCH(B168,Character_Creation!$X$79:$X$382,0),0)&gt;0,0,1)</f>
        <v>0</v>
      </c>
      <c r="BD168">
        <f>IF(BC168=0,0,1+COUNTIF(BD$3:BD167,"&gt;0"))</f>
        <v>0</v>
      </c>
      <c r="BE168" t="str">
        <f t="shared" si="143"/>
        <v/>
      </c>
      <c r="BF168" t="str">
        <f t="shared" si="115"/>
        <v/>
      </c>
      <c r="BH168">
        <f>IF(IFERROR(SEARCH("Sorcerer",$T168,1),0)&gt;0,1,0)*IF(SorcererMaxSpellLevel&gt;=$C168,1,0)*IF(IFERROR(MATCH(B168,Character_Creation!$J$380:$J$394,0),0)&gt;0,0,1)</f>
        <v>0</v>
      </c>
      <c r="BI168">
        <f>IF(BH168=0,0,1+COUNTIF(BI$3:BI167,"&gt;0"))</f>
        <v>0</v>
      </c>
      <c r="BJ168" t="str">
        <f t="shared" si="144"/>
        <v/>
      </c>
      <c r="BK168" t="str">
        <f t="shared" si="116"/>
        <v/>
      </c>
      <c r="BM168">
        <f>IF(OR(IFERROR(SEARCH("Warlock",$T168,1),0)&gt;0,IFERROR(SEARCH(WarlockPatron,$T168,1),0)&gt;0),1,0)*IF(WarlockMaxSpellLevel&gt;=$C168,1,0)*IF(IFERROR(MATCH(B168,Character_Creation!$J$361:$J$375,0),0)&gt;0,0,1)</f>
        <v>0</v>
      </c>
      <c r="BN168">
        <f>IF(BM168=0,0,1+COUNTIF(BN$3:BN167,"&gt;0"))</f>
        <v>0</v>
      </c>
      <c r="BO168" t="str">
        <f t="shared" si="145"/>
        <v/>
      </c>
      <c r="BP168" t="str">
        <f t="shared" si="117"/>
        <v/>
      </c>
      <c r="BR168">
        <f>IF(IFERROR(SEARCH("Eldritch Knight",$T168,1),0)&gt;0,1,0)*IF(EldritchKnightMaxSpellLevel&gt;=$C168,1,0)*IF(IFERROR(MATCH($B168,Character_Creation!$J$350:$J$356,0),0)&gt;0,0,1)*IF(Character_Creation!$M$338&gt;0,1,0)</f>
        <v>0</v>
      </c>
      <c r="BS168">
        <f>IF(BR168=0,0,1+COUNTIF(BS$3:BS167,"&gt;0"))</f>
        <v>0</v>
      </c>
      <c r="BT168" t="str">
        <f t="shared" si="146"/>
        <v/>
      </c>
      <c r="BU168" t="str">
        <f t="shared" si="118"/>
        <v/>
      </c>
      <c r="BW168">
        <f>IF(IFERROR(SEARCH("Arcane Trickster",$T168,1),0)&gt;0,1,0)*IF(ArcaneTricksterMaxSpellLevel&gt;=$C168,1,0)*IF(IFERROR(MATCH($B168,Character_Creation!$J$350:$J$356,0),0)&gt;0,0,1)*IF(Character_Creation!$T$338&gt;0,1,0)</f>
        <v>0</v>
      </c>
      <c r="BX168">
        <f>IF(BW168=0,0,1+COUNTIF(BX$3:BX167,"&gt;0"))</f>
        <v>0</v>
      </c>
      <c r="BY168" t="str">
        <f t="shared" si="147"/>
        <v/>
      </c>
      <c r="BZ168" t="str">
        <f t="shared" si="119"/>
        <v/>
      </c>
      <c r="CB168">
        <f>IF(IFERROR(SEARCH("Wizard",$T168,1),0)&gt;0,1,0)*IF(C168&lt;=ArcaneTricksterMaxSpellLevel,1,0)*IF(IFERROR(MATCH($B168,Character_Creation!$J$350:$J$356,0),0)&gt;0,0,1)*IF(Character_Creation!$T$350&gt;0,1,0)</f>
        <v>0</v>
      </c>
      <c r="CC168">
        <f>IF(CB168=0,0,1+COUNTIF(CC$3:CC167,"&gt;0"))</f>
        <v>0</v>
      </c>
      <c r="CD168" t="str">
        <f t="shared" si="148"/>
        <v/>
      </c>
      <c r="CE168" t="str">
        <f t="shared" si="120"/>
        <v/>
      </c>
      <c r="CG168">
        <f>IF(IFERROR(SEARCH("Wizard",$T168,1),0)&gt;0,1,0)*IF($C168&lt;=EldritchKnightMaxSpellLevel,1,0)*IF(IFERROR(MATCH($B168,Character_Creation!$J$350:$J$356,0),0)&gt;0,0,1)*IF(Character_Creation!$M$350&gt;0,1,0)</f>
        <v>0</v>
      </c>
      <c r="CH168">
        <f>IF(CG168=0,0,1+COUNTIF(CH$3:CH167,"&gt;0"))</f>
        <v>0</v>
      </c>
      <c r="CI168" t="str">
        <f t="shared" si="149"/>
        <v/>
      </c>
      <c r="CJ168" t="str">
        <f t="shared" si="121"/>
        <v/>
      </c>
      <c r="CL168">
        <f>IF(IFERROR(SEARCH("Bard",$T168,1),0)&gt;0,1,0)*IF(BardMaxSpellLevel&gt;=$C168,1,0)*IF(IFERROR(MATCH(B168,Character_Creation!$C$341:$F$362,0),0)&gt;0,0,1)*IF(IFERROR(MATCH($B168,Character_Creation!$C$341:$C$362,0),0)&gt;0,0,1)</f>
        <v>0</v>
      </c>
      <c r="CM168">
        <f>IF(CL168=0,0,1+COUNTIF(CM$3:CM167,"&gt;0"))</f>
        <v>0</v>
      </c>
      <c r="CN168" t="str">
        <f t="shared" si="150"/>
        <v/>
      </c>
      <c r="CO168" t="str">
        <f t="shared" si="122"/>
        <v/>
      </c>
      <c r="CQ168">
        <f>IF(IFERROR(SEARCH("Wizard",$T168,1),0)&gt;0,1,0)*IF(WizardMaxSpellLevel&gt;=$C168,1,0)*IF(IFERROR(MATCH(B168,Character_Creation!$X$341:$X$400,0),0)&gt;0,0,1)*IF(SelectedWizardSpellLevel=$C168,1,0)</f>
        <v>0</v>
      </c>
      <c r="CR168">
        <f>IF(CQ168=0,0,1+COUNTIF(CR$3:CR167,"&gt;0"))</f>
        <v>0</v>
      </c>
      <c r="CS168" t="str">
        <f t="shared" si="151"/>
        <v/>
      </c>
      <c r="CT168" t="str">
        <f t="shared" si="123"/>
        <v/>
      </c>
      <c r="CV168">
        <f>IF(IFERROR(MATCH($B168,Character_Creation!$C$341:$C$362,0),0)&gt;0,0,1)*IF(OR(C168="Cantrip",C168&lt;=BardMaxSpellLevel),1,0)*IF(IFERROR(MATCH($B168,Character_Creation!$C$367:$C$374,0),0)&gt;0,0,1)</f>
        <v>0</v>
      </c>
      <c r="CW168">
        <f>IF(CV168=0,0,1+COUNTIF(CW$3:CW167,"&gt;0"))</f>
        <v>0</v>
      </c>
      <c r="CX168" t="str">
        <f t="shared" si="152"/>
        <v/>
      </c>
      <c r="CY168" t="str">
        <f t="shared" si="124"/>
        <v/>
      </c>
      <c r="DA168">
        <f>IF(IF(OR(IFERROR(SEARCH("Cleric",$T168,1),0)&gt;0,IFERROR(SEARCH(DivineDomain&amp;",",$T168,1),0)&gt;0),1,0)*IF($C168=DA$2,1,0)=1,1+COUNTIF(DA$3:DA167,"&gt;0"),0)</f>
        <v>0</v>
      </c>
      <c r="DB168">
        <f>IF(IF(OR(IFERROR(SEARCH("Cleric",$T168,1),0)&gt;0,IFERROR(SEARCH(DivineDomain&amp;",",$T168,1),0)&gt;0),1,0)*IF($C168=DB$2,1,0)=1,1+COUNTIF(DB$3:DB167,"&gt;0"),0)</f>
        <v>0</v>
      </c>
      <c r="DC168">
        <f>IF(IF(OR(IFERROR(SEARCH("Cleric",$T168,1),0)&gt;0,IFERROR(SEARCH(DivineDomain&amp;",",$T168,1),0)&gt;0),1,0)*IF($C168=DC$2,1,0)=1,1+COUNTIF(DC$3:DC167,"&gt;0"),0)</f>
        <v>0</v>
      </c>
      <c r="DD168">
        <f>IF(IF(OR(IFERROR(SEARCH("Cleric",$T168,1),0)&gt;0,IFERROR(SEARCH(DivineDomain&amp;",",$T168,1),0)&gt;0),1,0)*IF($C168=DD$2,1,0)=1,1+COUNTIF(DD$3:DD167,"&gt;0"),0)</f>
        <v>0</v>
      </c>
      <c r="DE168">
        <f>IF(IF(OR(IFERROR(SEARCH("Cleric",$T168,1),0)&gt;0,IFERROR(SEARCH(DivineDomain&amp;",",$T168,1),0)&gt;0),1,0)*IF($C168=DE$2,1,0)=1,1+COUNTIF(DE$3:DE167,"&gt;0"),0)</f>
        <v>0</v>
      </c>
      <c r="DF168">
        <f>IF(IF(OR(IFERROR(SEARCH("Cleric",$T168,1),0)&gt;0,IFERROR(SEARCH(DivineDomain&amp;",",$T168,1),0)&gt;0),1,0)*IF($C168=DF$2,1,0)=1,1+COUNTIF(DF$3:DF167,"&gt;0"),0)</f>
        <v>0</v>
      </c>
      <c r="DG168">
        <f>IF(IF(OR(IFERROR(SEARCH("Cleric",$T168,1),0)&gt;0,IFERROR(SEARCH(DivineDomain&amp;",",$T168,1),0)&gt;0),1,0)*IF($C168=DG$2,1,0)=1,1+COUNTIF(DG$3:DG167,"&gt;0"),0)</f>
        <v>0</v>
      </c>
      <c r="DH168">
        <f>IF(IF(OR(IFERROR(SEARCH("Cleric",$T168,1),0)&gt;0,IFERROR(SEARCH(DivineDomain&amp;",",$T168,1),0)&gt;0),1,0)*IF($C168=DH$2,1,0)=1,1+COUNTIF(DH$3:DH167,"&gt;0"),0)</f>
        <v>0</v>
      </c>
      <c r="DI168">
        <f>IF(IF(OR(IFERROR(SEARCH("Cleric",$T168,1),0)&gt;0,IFERROR(SEARCH(DivineDomain&amp;",",$T168,1),0)&gt;0),1,0)*IF($C168=DI$2,1,0)=1,1+COUNTIF(DI$3:DI167,"&gt;0"),0)</f>
        <v>0</v>
      </c>
      <c r="DJ168">
        <f>IF(IF(OR(IFERROR(SEARCH("Druid",$T168,1),0)&gt;0,IFERROR(SEARCH(DruidLand1,$T168,1),0)&gt;0,IFERROR(SEARCH(DruidLand2,$T168,1),0)&gt;0,IFERROR(SEARCH(DruidLand3,$T168,1),0)&gt;0,IFERROR(SEARCH(DruidLand4,$T168,1),0)&gt;0),1,0)*IF($C168=1,1,0)*IF($C168=DJ$2,1,0)=0,0,1+COUNTIF(DJ$3:DJ167,"&gt;0"))</f>
        <v>0</v>
      </c>
      <c r="DK168">
        <f>IF(IF(OR(IFERROR(SEARCH("Druid",$T168,1),0)&gt;0,IFERROR(SEARCH(DruidLand1,$T168,1),0)&gt;0,IFERROR(SEARCH(DruidLand2,$T168,1),0)&gt;0,IFERROR(SEARCH(DruidLand3,$T168,1),0)&gt;0,IFERROR(SEARCH(DruidLand4,$T168,1),0)&gt;0),1,0)*IF($C168=1,1,0)*IF($C168=DK$2,1,0)=0,0,1+COUNTIF(DK$3:DK167,"&gt;0"))</f>
        <v>0</v>
      </c>
      <c r="DL168">
        <f>IF(IF(OR(IFERROR(SEARCH("Druid",$T168,1),0)&gt;0,IFERROR(SEARCH(DruidLand1,$T168,1),0)&gt;0,IFERROR(SEARCH(DruidLand2,$T168,1),0)&gt;0,IFERROR(SEARCH(DruidLand3,$T168,1),0)&gt;0,IFERROR(SEARCH(DruidLand4,$T168,1),0)&gt;0),1,0)*IF($C168=1,1,0)*IF($C168=DL$2,1,0)=0,0,1+COUNTIF(DL$3:DL167,"&gt;0"))</f>
        <v>0</v>
      </c>
      <c r="DM168">
        <f>IF(IF(OR(IFERROR(SEARCH("Druid",$T168,1),0)&gt;0,IFERROR(SEARCH(DruidLand1,$T168,1),0)&gt;0,IFERROR(SEARCH(DruidLand2,$T168,1),0)&gt;0,IFERROR(SEARCH(DruidLand3,$T168,1),0)&gt;0,IFERROR(SEARCH(DruidLand4,$T168,1),0)&gt;0),1,0)*IF($C168=1,1,0)*IF($C168=DM$2,1,0)=0,0,1+COUNTIF(DM$3:DM167,"&gt;0"))</f>
        <v>0</v>
      </c>
      <c r="DN168">
        <f>IF(IF(OR(IFERROR(SEARCH("Druid",$T168,1),0)&gt;0,IFERROR(SEARCH(DruidLand1,$T168,1),0)&gt;0,IFERROR(SEARCH(DruidLand2,$T168,1),0)&gt;0,IFERROR(SEARCH(DruidLand3,$T168,1),0)&gt;0,IFERROR(SEARCH(DruidLand4,$T168,1),0)&gt;0),1,0)*IF($C168=1,1,0)*IF($C168=DN$2,1,0)=0,0,1+COUNTIF(DN$3:DN167,"&gt;0"))</f>
        <v>0</v>
      </c>
      <c r="DO168">
        <f>IF(IF(OR(IFERROR(SEARCH("Druid",$T168,1),0)&gt;0,IFERROR(SEARCH(DruidLand1,$T168,1),0)&gt;0,IFERROR(SEARCH(DruidLand2,$T168,1),0)&gt;0,IFERROR(SEARCH(DruidLand3,$T168,1),0)&gt;0,IFERROR(SEARCH(DruidLand4,$T168,1),0)&gt;0),1,0)*IF($C168=1,1,0)*IF($C168=DO$2,1,0)=0,0,1+COUNTIF(DO$3:DO167,"&gt;0"))</f>
        <v>0</v>
      </c>
      <c r="DP168">
        <f>IF(IF(OR(IFERROR(SEARCH("Druid",$T168,1),0)&gt;0,IFERROR(SEARCH(DruidLand1,$T168,1),0)&gt;0,IFERROR(SEARCH(DruidLand2,$T168,1),0)&gt;0,IFERROR(SEARCH(DruidLand3,$T168,1),0)&gt;0,IFERROR(SEARCH(DruidLand4,$T168,1),0)&gt;0),1,0)*IF($C168=1,1,0)*IF($C168=DP$2,1,0)=0,0,1+COUNTIF(DP$3:DP167,"&gt;0"))</f>
        <v>0</v>
      </c>
      <c r="DQ168">
        <f>IF(IF(OR(IFERROR(SEARCH("Druid",$T168,1),0)&gt;0,IFERROR(SEARCH(DruidLand1,$T168,1),0)&gt;0,IFERROR(SEARCH(DruidLand2,$T168,1),0)&gt;0,IFERROR(SEARCH(DruidLand3,$T168,1),0)&gt;0,IFERROR(SEARCH(DruidLand4,$T168,1),0)&gt;0),1,0)*IF($C168=1,1,0)*IF($C168=DQ$2,1,0)=0,0,1+COUNTIF(DQ$3:DQ167,"&gt;0"))</f>
        <v>0</v>
      </c>
      <c r="DR168">
        <f>IF(IF(OR(IFERROR(SEARCH("Druid",$T168,1),0)&gt;0,IFERROR(SEARCH(DruidLand1,$T168,1),0)&gt;0,IFERROR(SEARCH(DruidLand2,$T168,1),0)&gt;0,IFERROR(SEARCH(DruidLand3,$T168,1),0)&gt;0,IFERROR(SEARCH(DruidLand4,$T168,1),0)&gt;0),1,0)*IF($C168=1,1,0)*IF($C168=DR$2,1,0)=0,0,1+COUNTIF(DR$3:DR167,"&gt;0"))</f>
        <v>0</v>
      </c>
      <c r="DS168">
        <f>IF(IF(OR(IFERROR(SEARCH("Paladin",$T168,1),0)&gt;0,IFERROR(SEARCH(PaladinOath,$T168,1),0)&gt;0),1,0)*IF($C168=DS$2,1,0)=1,1+COUNTIF(DS$3:DS167,"&gt;0"),0)</f>
        <v>0</v>
      </c>
      <c r="DT168">
        <f>IF(IF(OR(IFERROR(SEARCH("Paladin",$T168,1),0)&gt;0,IFERROR(SEARCH(PaladinOath,$T168,1),0)&gt;0),1,0)*IF($C168=DT$2,1,0)=1,1+COUNTIF(DT$3:DT167,"&gt;0"),0)</f>
        <v>0</v>
      </c>
      <c r="DU168">
        <f>IF(IF(OR(IFERROR(SEARCH("Paladin",$T168,1),0)&gt;0,IFERROR(SEARCH(PaladinOath,$T168,1),0)&gt;0),1,0)*IF($C168=DU$2,1,0)=1,1+COUNTIF(DU$3:DU167,"&gt;0"),0)</f>
        <v>0</v>
      </c>
      <c r="DV168">
        <f>IF(IF(OR(IFERROR(SEARCH("Paladin",$T168,1),0)&gt;0,IFERROR(SEARCH(PaladinOath,$T168,1),0)&gt;0),1,0)*IF($C168=DV$2,1,0)=1,1+COUNTIF(DV$3:DV167,"&gt;0"),0)</f>
        <v>0</v>
      </c>
      <c r="DW168">
        <f>IF(IF(OR(IFERROR(SEARCH("Paladin",$T168,1),0)&gt;0,IFERROR(SEARCH(PaladinOath,$T168,1),0)&gt;0),1,0)*IF($C168=DW$2,1,0)=1,1+COUNTIF(DW$3:DW167,"&gt;0"),0)</f>
        <v>0</v>
      </c>
      <c r="DY168">
        <f t="shared" si="111"/>
        <v>1</v>
      </c>
      <c r="DZ168">
        <f>IF(DY168=0,0,1+MAX(DZ$3:$DZ167))</f>
        <v>166</v>
      </c>
      <c r="EB168">
        <f t="shared" si="125"/>
        <v>0</v>
      </c>
      <c r="EC168">
        <f>IF(EB168=0,0,1+COUNTIF(EC$3:EC167,"&gt;0"))</f>
        <v>0</v>
      </c>
      <c r="ED168" t="str">
        <f t="shared" si="153"/>
        <v/>
      </c>
      <c r="EE168" t="str">
        <f t="shared" si="126"/>
        <v/>
      </c>
      <c r="EG168">
        <f t="shared" si="127"/>
        <v>0</v>
      </c>
      <c r="EH168">
        <f>IF(EG168=0,0,1+COUNTIF(EH$3:EH167,"&gt;0"))</f>
        <v>0</v>
      </c>
      <c r="EI168" t="str">
        <f t="shared" si="154"/>
        <v/>
      </c>
      <c r="EJ168" t="str">
        <f t="shared" si="128"/>
        <v/>
      </c>
      <c r="EL168">
        <f t="shared" si="129"/>
        <v>0</v>
      </c>
      <c r="EM168">
        <f>IF(EL168=0,0,1+COUNTIF(EM$3:EM167,"&gt;0"))</f>
        <v>0</v>
      </c>
      <c r="EN168" t="str">
        <f t="shared" si="155"/>
        <v/>
      </c>
      <c r="EO168" t="str">
        <f t="shared" si="130"/>
        <v/>
      </c>
      <c r="EQ168">
        <f t="shared" si="131"/>
        <v>0</v>
      </c>
      <c r="ER168">
        <f>IF(EQ168=0,0,1+COUNTIF(ER$3:ER167,"&gt;0"))</f>
        <v>0</v>
      </c>
      <c r="ES168" t="str">
        <f t="shared" si="156"/>
        <v/>
      </c>
      <c r="ET168" t="str">
        <f t="shared" si="132"/>
        <v/>
      </c>
      <c r="EV168">
        <f t="shared" si="133"/>
        <v>0</v>
      </c>
      <c r="EW168">
        <f>IF(EV168=0,0,1+COUNTIF(EW$3:EW167,"&gt;0"))</f>
        <v>0</v>
      </c>
      <c r="EX168" t="str">
        <f t="shared" si="157"/>
        <v/>
      </c>
      <c r="EY168" t="str">
        <f t="shared" si="134"/>
        <v/>
      </c>
      <c r="FA168">
        <f t="shared" si="135"/>
        <v>0</v>
      </c>
      <c r="FB168">
        <f>IF(FA168=0,0,1+COUNTIF(FB$3:FB167,"&gt;0"))</f>
        <v>0</v>
      </c>
      <c r="FC168" t="str">
        <f t="shared" si="158"/>
        <v/>
      </c>
      <c r="FD168" t="str">
        <f t="shared" si="136"/>
        <v/>
      </c>
      <c r="FF168">
        <f t="shared" si="137"/>
        <v>0</v>
      </c>
      <c r="FG168">
        <f>IF(FF168=0,0,1+COUNTIF(FG$3:FG167,"&gt;0"))</f>
        <v>0</v>
      </c>
      <c r="FH168" t="str">
        <f t="shared" si="159"/>
        <v/>
      </c>
      <c r="FI168" t="str">
        <f t="shared" si="138"/>
        <v/>
      </c>
      <c r="FK168">
        <f t="shared" si="139"/>
        <v>0</v>
      </c>
      <c r="FL168">
        <f>IF(FK168=0,0,1+COUNTIF(FL$3:FL167,"&gt;0"))</f>
        <v>0</v>
      </c>
      <c r="FM168" t="str">
        <f t="shared" si="160"/>
        <v/>
      </c>
      <c r="FN168" t="str">
        <f t="shared" si="140"/>
        <v/>
      </c>
      <c r="FP168">
        <f t="shared" si="141"/>
        <v>0</v>
      </c>
      <c r="FQ168">
        <f>IF(FP168=0,0,1+COUNTIF(FQ$3:FQ167,"&gt;0"))</f>
        <v>0</v>
      </c>
      <c r="FR168" t="str">
        <f t="shared" si="161"/>
        <v/>
      </c>
      <c r="FS168" t="str">
        <f t="shared" si="142"/>
        <v/>
      </c>
    </row>
    <row r="169" spans="1:175" x14ac:dyDescent="0.25">
      <c r="A169" s="347">
        <f t="shared" si="162"/>
        <v>167</v>
      </c>
      <c r="B169" s="348" t="s">
        <v>2543</v>
      </c>
      <c r="C169" s="348" t="s">
        <v>5277</v>
      </c>
      <c r="D169" s="347">
        <v>0.5</v>
      </c>
      <c r="E169" s="627" t="s">
        <v>6952</v>
      </c>
      <c r="F169" s="346"/>
      <c r="G169" s="347" t="str">
        <f>""</f>
        <v/>
      </c>
      <c r="H169" s="347" t="s">
        <v>5912</v>
      </c>
      <c r="I169" s="347" t="s">
        <v>5298</v>
      </c>
      <c r="J169" s="347" t="str">
        <f t="shared" si="112"/>
        <v/>
      </c>
      <c r="K169" s="347" t="s">
        <v>5291</v>
      </c>
      <c r="L169" s="611" t="str">
        <f t="shared" si="113"/>
        <v>V, S</v>
      </c>
      <c r="M169" s="347" t="s">
        <v>2373</v>
      </c>
      <c r="N169" s="347" t="s">
        <v>2387</v>
      </c>
      <c r="O169" s="347" t="s">
        <v>3034</v>
      </c>
      <c r="P169" s="346" t="str">
        <f>""</f>
        <v/>
      </c>
      <c r="Q169" s="347" t="s">
        <v>2473</v>
      </c>
      <c r="S169" s="346" t="s">
        <v>2544</v>
      </c>
      <c r="T169" s="346" t="str">
        <f t="shared" si="114"/>
        <v xml:space="preserve">Cleric, Druid, </v>
      </c>
      <c r="Z169" s="347" t="str">
        <f>$B169</f>
        <v>Guidance</v>
      </c>
      <c r="AA169" s="347" t="str">
        <f>$B169</f>
        <v>Guidance</v>
      </c>
      <c r="AE169" t="str">
        <f>IF(IFERROR(MATCH($B169,temp!A$4:A$13,0),0)&gt;0,T08_Spells!AE$2,"")</f>
        <v/>
      </c>
      <c r="AF169" t="str">
        <f>IF(IFERROR(MATCH($B169,temp!B$4:B$13,0),0)&gt;0,T08_Spells!AF$2,"")</f>
        <v/>
      </c>
      <c r="AG169" t="str">
        <f>IF(IFERROR(MATCH($B169,temp!C$4:C$13,0),0)&gt;0,T08_Spells!AG$2,"")</f>
        <v/>
      </c>
      <c r="AH169" t="str">
        <f>IF(IFERROR(MATCH($B169,temp!D$4:D$13,0),0)&gt;0,T08_Spells!AH$2,"")</f>
        <v/>
      </c>
      <c r="AI169" t="str">
        <f>IF(IFERROR(MATCH($B169,temp!E$4:E$13,0),0)&gt;0,T08_Spells!AI$2,"")</f>
        <v/>
      </c>
      <c r="AJ169" t="str">
        <f>IF(IFERROR(MATCH($B169,temp!F$4:F$13,0),0)&gt;0,T08_Spells!AJ$2,"")</f>
        <v/>
      </c>
      <c r="AK169" t="str">
        <f>IF(IFERROR(MATCH($B169,temp!G$4:G$13,0),0)&gt;0,T08_Spells!AK$2,"")</f>
        <v/>
      </c>
      <c r="AL169" t="str">
        <f>IF(IFERROR(MATCH($B169,temp!H$4:H$13,0),0)&gt;0,T08_Spells!AL$2,"")</f>
        <v/>
      </c>
      <c r="AM169" t="str">
        <f>IF(IFERROR(MATCH($B169,temp!I$4:I$13,0),0)&gt;0,T08_Spells!AM$2,"")</f>
        <v/>
      </c>
      <c r="AN169" t="str">
        <f>IF(IFERROR(MATCH($B169,temp!J$4:J$13,0),0)&gt;0,T08_Spells!AN$2,"")</f>
        <v/>
      </c>
      <c r="AO169" t="str">
        <f>IF(IFERROR(MATCH($B169,temp!K$4:K$13,0),0)&gt;0,T08_Spells!AO$2,"")</f>
        <v/>
      </c>
      <c r="AP169" t="str">
        <f>IF(IFERROR(MATCH($B169,temp!L$4:L$13,0),0)&gt;0,T08_Spells!AP$2,"")</f>
        <v/>
      </c>
      <c r="AQ169" t="str">
        <f>IF(IFERROR(MATCH($B169,temp!M$4:M$13,0),0)&gt;0,T08_Spells!AQ$2,"")</f>
        <v/>
      </c>
      <c r="AR169" t="str">
        <f>IF(IFERROR(MATCH($B169,temp!N$4:N$13,0),0)&gt;0,T08_Spells!AR$2,"")</f>
        <v/>
      </c>
      <c r="AS169" t="str">
        <f>IF(IFERROR(MATCH($B169,temp!O$4:O$13,0),0)&gt;0,T08_Spells!AS$2,"")</f>
        <v/>
      </c>
      <c r="AT169" t="str">
        <f>IF(IFERROR(MATCH($B169,temp!P$4:P$13,0),0)&gt;0,T08_Spells!AT$2,"")</f>
        <v/>
      </c>
      <c r="AU169" t="str">
        <f>IF(IFERROR(MATCH($B169,temp!Q$4:Q$13,0),0)&gt;0,T08_Spells!AU$2,"")</f>
        <v/>
      </c>
      <c r="AV169" t="str">
        <f>IF(IFERROR(MATCH($B169,temp!R$4:R$13,0),0)&gt;0,T08_Spells!AV$2,"")</f>
        <v/>
      </c>
      <c r="AW169" t="str">
        <f>IF(IFERROR(MATCH($B169,temp!S$4:S$13,0),0)&gt;0,T08_Spells!AW$2,"")</f>
        <v/>
      </c>
      <c r="AX169" t="str">
        <f>IF(IFERROR(MATCH($B169,temp!T$4:T$13,0),0)&gt;0,T08_Spells!AX$2,"")</f>
        <v/>
      </c>
      <c r="AY169" t="str">
        <f>IF(IFERROR(MATCH($B169,temp!U$4:U$13,0),0)&gt;0,T08_Spells!AY$2,"")</f>
        <v/>
      </c>
      <c r="AZ169" t="str">
        <f>IF(IFERROR(MATCH($B169,temp!V$4:V$13,0),0)&gt;0,T08_Spells!AZ$2,"")</f>
        <v/>
      </c>
      <c r="BA169" t="str">
        <f>IF(IFERROR(MATCH($B169,temp!W$4:W$13,0),0)&gt;0,T08_Spells!BA$2,"")</f>
        <v/>
      </c>
      <c r="BC169">
        <f>IF(IFERROR(SEARCH("Ranger",$T169,1),0)&gt;0,1,0)*IF(RangerMaxSpellLevel&gt;=$C169,1,0)*IF(IFERROR(MATCH(B169,Character_Creation!$X$79:$X$382,0),0)&gt;0,0,1)</f>
        <v>0</v>
      </c>
      <c r="BD169">
        <f>IF(BC169=0,0,1+COUNTIF(BD$3:BD168,"&gt;0"))</f>
        <v>0</v>
      </c>
      <c r="BE169" t="str">
        <f t="shared" si="143"/>
        <v/>
      </c>
      <c r="BF169" t="str">
        <f t="shared" si="115"/>
        <v/>
      </c>
      <c r="BH169">
        <f>IF(IFERROR(SEARCH("Sorcerer",$T169,1),0)&gt;0,1,0)*IF(SorcererMaxSpellLevel&gt;=$C169,1,0)*IF(IFERROR(MATCH(B169,Character_Creation!$J$380:$J$394,0),0)&gt;0,0,1)</f>
        <v>0</v>
      </c>
      <c r="BI169">
        <f>IF(BH169=0,0,1+COUNTIF(BI$3:BI168,"&gt;0"))</f>
        <v>0</v>
      </c>
      <c r="BJ169" t="str">
        <f t="shared" si="144"/>
        <v/>
      </c>
      <c r="BK169" t="str">
        <f t="shared" si="116"/>
        <v/>
      </c>
      <c r="BM169">
        <f>IF(OR(IFERROR(SEARCH("Warlock",$T169,1),0)&gt;0,IFERROR(SEARCH(WarlockPatron,$T169,1),0)&gt;0),1,0)*IF(WarlockMaxSpellLevel&gt;=$C169,1,0)*IF(IFERROR(MATCH(B169,Character_Creation!$J$361:$J$375,0),0)&gt;0,0,1)</f>
        <v>0</v>
      </c>
      <c r="BN169">
        <f>IF(BM169=0,0,1+COUNTIF(BN$3:BN168,"&gt;0"))</f>
        <v>0</v>
      </c>
      <c r="BO169" t="str">
        <f t="shared" si="145"/>
        <v/>
      </c>
      <c r="BP169" t="str">
        <f t="shared" si="117"/>
        <v/>
      </c>
      <c r="BR169">
        <f>IF(IFERROR(SEARCH("Eldritch Knight",$T169,1),0)&gt;0,1,0)*IF(EldritchKnightMaxSpellLevel&gt;=$C169,1,0)*IF(IFERROR(MATCH($B169,Character_Creation!$J$350:$J$356,0),0)&gt;0,0,1)*IF(Character_Creation!$M$338&gt;0,1,0)</f>
        <v>0</v>
      </c>
      <c r="BS169">
        <f>IF(BR169=0,0,1+COUNTIF(BS$3:BS168,"&gt;0"))</f>
        <v>0</v>
      </c>
      <c r="BT169" t="str">
        <f t="shared" si="146"/>
        <v/>
      </c>
      <c r="BU169" t="str">
        <f t="shared" si="118"/>
        <v/>
      </c>
      <c r="BW169">
        <f>IF(IFERROR(SEARCH("Arcane Trickster",$T169,1),0)&gt;0,1,0)*IF(ArcaneTricksterMaxSpellLevel&gt;=$C169,1,0)*IF(IFERROR(MATCH($B169,Character_Creation!$J$350:$J$356,0),0)&gt;0,0,1)*IF(Character_Creation!$T$338&gt;0,1,0)</f>
        <v>0</v>
      </c>
      <c r="BX169">
        <f>IF(BW169=0,0,1+COUNTIF(BX$3:BX168,"&gt;0"))</f>
        <v>0</v>
      </c>
      <c r="BY169" t="str">
        <f t="shared" si="147"/>
        <v/>
      </c>
      <c r="BZ169" t="str">
        <f t="shared" si="119"/>
        <v/>
      </c>
      <c r="CB169">
        <f>IF(IFERROR(SEARCH("Wizard",$T169,1),0)&gt;0,1,0)*IF(C169&lt;=ArcaneTricksterMaxSpellLevel,1,0)*IF(IFERROR(MATCH($B169,Character_Creation!$J$350:$J$356,0),0)&gt;0,0,1)*IF(Character_Creation!$T$350&gt;0,1,0)</f>
        <v>0</v>
      </c>
      <c r="CC169">
        <f>IF(CB169=0,0,1+COUNTIF(CC$3:CC168,"&gt;0"))</f>
        <v>0</v>
      </c>
      <c r="CD169" t="str">
        <f t="shared" si="148"/>
        <v/>
      </c>
      <c r="CE169" t="str">
        <f t="shared" si="120"/>
        <v/>
      </c>
      <c r="CG169">
        <f>IF(IFERROR(SEARCH("Wizard",$T169,1),0)&gt;0,1,0)*IF($C169&lt;=EldritchKnightMaxSpellLevel,1,0)*IF(IFERROR(MATCH($B169,Character_Creation!$J$350:$J$356,0),0)&gt;0,0,1)*IF(Character_Creation!$M$350&gt;0,1,0)</f>
        <v>0</v>
      </c>
      <c r="CH169">
        <f>IF(CG169=0,0,1+COUNTIF(CH$3:CH168,"&gt;0"))</f>
        <v>0</v>
      </c>
      <c r="CI169" t="str">
        <f t="shared" si="149"/>
        <v/>
      </c>
      <c r="CJ169" t="str">
        <f t="shared" si="121"/>
        <v/>
      </c>
      <c r="CL169">
        <f>IF(IFERROR(SEARCH("Bard",$T169,1),0)&gt;0,1,0)*IF(BardMaxSpellLevel&gt;=$C169,1,0)*IF(IFERROR(MATCH(B169,Character_Creation!$C$341:$F$362,0),0)&gt;0,0,1)*IF(IFERROR(MATCH($B169,Character_Creation!$C$341:$C$362,0),0)&gt;0,0,1)</f>
        <v>0</v>
      </c>
      <c r="CM169">
        <f>IF(CL169=0,0,1+COUNTIF(CM$3:CM168,"&gt;0"))</f>
        <v>0</v>
      </c>
      <c r="CN169" t="str">
        <f t="shared" si="150"/>
        <v/>
      </c>
      <c r="CO169" t="str">
        <f t="shared" si="122"/>
        <v/>
      </c>
      <c r="CQ169">
        <f>IF(IFERROR(SEARCH("Wizard",$T169,1),0)&gt;0,1,0)*IF(WizardMaxSpellLevel&gt;=$C169,1,0)*IF(IFERROR(MATCH(B169,Character_Creation!$X$341:$X$400,0),0)&gt;0,0,1)*IF(SelectedWizardSpellLevel=$C169,1,0)</f>
        <v>0</v>
      </c>
      <c r="CR169">
        <f>IF(CQ169=0,0,1+COUNTIF(CR$3:CR168,"&gt;0"))</f>
        <v>0</v>
      </c>
      <c r="CS169" t="str">
        <f t="shared" si="151"/>
        <v/>
      </c>
      <c r="CT169" t="str">
        <f t="shared" si="123"/>
        <v/>
      </c>
      <c r="CV169">
        <f>IF(IFERROR(MATCH($B169,Character_Creation!$C$341:$C$362,0),0)&gt;0,0,1)*IF(OR(C169="Cantrip",C169&lt;=BardMaxSpellLevel),1,0)*IF(IFERROR(MATCH($B169,Character_Creation!$C$367:$C$374,0),0)&gt;0,0,1)</f>
        <v>1</v>
      </c>
      <c r="CW169">
        <f>IF(CV169=0,0,1+COUNTIF(CW$3:CW168,"&gt;0"))</f>
        <v>9</v>
      </c>
      <c r="CX169" t="str">
        <f t="shared" si="152"/>
        <v/>
      </c>
      <c r="CY169" t="str">
        <f t="shared" si="124"/>
        <v/>
      </c>
      <c r="DA169">
        <f>IF(IF(OR(IFERROR(SEARCH("Cleric",$T169,1),0)&gt;0,IFERROR(SEARCH(DivineDomain&amp;",",$T169,1),0)&gt;0),1,0)*IF($C169=DA$2,1,0)=1,1+COUNTIF(DA$3:DA168,"&gt;0"),0)</f>
        <v>0</v>
      </c>
      <c r="DB169">
        <f>IF(IF(OR(IFERROR(SEARCH("Cleric",$T169,1),0)&gt;0,IFERROR(SEARCH(DivineDomain&amp;",",$T169,1),0)&gt;0),1,0)*IF($C169=DB$2,1,0)=1,1+COUNTIF(DB$3:DB168,"&gt;0"),0)</f>
        <v>0</v>
      </c>
      <c r="DC169">
        <f>IF(IF(OR(IFERROR(SEARCH("Cleric",$T169,1),0)&gt;0,IFERROR(SEARCH(DivineDomain&amp;",",$T169,1),0)&gt;0),1,0)*IF($C169=DC$2,1,0)=1,1+COUNTIF(DC$3:DC168,"&gt;0"),0)</f>
        <v>0</v>
      </c>
      <c r="DD169">
        <f>IF(IF(OR(IFERROR(SEARCH("Cleric",$T169,1),0)&gt;0,IFERROR(SEARCH(DivineDomain&amp;",",$T169,1),0)&gt;0),1,0)*IF($C169=DD$2,1,0)=1,1+COUNTIF(DD$3:DD168,"&gt;0"),0)</f>
        <v>0</v>
      </c>
      <c r="DE169">
        <f>IF(IF(OR(IFERROR(SEARCH("Cleric",$T169,1),0)&gt;0,IFERROR(SEARCH(DivineDomain&amp;",",$T169,1),0)&gt;0),1,0)*IF($C169=DE$2,1,0)=1,1+COUNTIF(DE$3:DE168,"&gt;0"),0)</f>
        <v>0</v>
      </c>
      <c r="DF169">
        <f>IF(IF(OR(IFERROR(SEARCH("Cleric",$T169,1),0)&gt;0,IFERROR(SEARCH(DivineDomain&amp;",",$T169,1),0)&gt;0),1,0)*IF($C169=DF$2,1,0)=1,1+COUNTIF(DF$3:DF168,"&gt;0"),0)</f>
        <v>0</v>
      </c>
      <c r="DG169">
        <f>IF(IF(OR(IFERROR(SEARCH("Cleric",$T169,1),0)&gt;0,IFERROR(SEARCH(DivineDomain&amp;",",$T169,1),0)&gt;0),1,0)*IF($C169=DG$2,1,0)=1,1+COUNTIF(DG$3:DG168,"&gt;0"),0)</f>
        <v>0</v>
      </c>
      <c r="DH169">
        <f>IF(IF(OR(IFERROR(SEARCH("Cleric",$T169,1),0)&gt;0,IFERROR(SEARCH(DivineDomain&amp;",",$T169,1),0)&gt;0),1,0)*IF($C169=DH$2,1,0)=1,1+COUNTIF(DH$3:DH168,"&gt;0"),0)</f>
        <v>0</v>
      </c>
      <c r="DI169">
        <f>IF(IF(OR(IFERROR(SEARCH("Cleric",$T169,1),0)&gt;0,IFERROR(SEARCH(DivineDomain&amp;",",$T169,1),0)&gt;0),1,0)*IF($C169=DI$2,1,0)=1,1+COUNTIF(DI$3:DI168,"&gt;0"),0)</f>
        <v>0</v>
      </c>
      <c r="DJ169">
        <f>IF(IF(OR(IFERROR(SEARCH("Druid",$T169,1),0)&gt;0,IFERROR(SEARCH(DruidLand1,$T169,1),0)&gt;0,IFERROR(SEARCH(DruidLand2,$T169,1),0)&gt;0,IFERROR(SEARCH(DruidLand3,$T169,1),0)&gt;0,IFERROR(SEARCH(DruidLand4,$T169,1),0)&gt;0),1,0)*IF($C169=1,1,0)*IF($C169=DJ$2,1,0)=0,0,1+COUNTIF(DJ$3:DJ168,"&gt;0"))</f>
        <v>0</v>
      </c>
      <c r="DK169">
        <f>IF(IF(OR(IFERROR(SEARCH("Druid",$T169,1),0)&gt;0,IFERROR(SEARCH(DruidLand1,$T169,1),0)&gt;0,IFERROR(SEARCH(DruidLand2,$T169,1),0)&gt;0,IFERROR(SEARCH(DruidLand3,$T169,1),0)&gt;0,IFERROR(SEARCH(DruidLand4,$T169,1),0)&gt;0),1,0)*IF($C169=DK$2,1,0)=0,0,1+COUNTIF(DK$3:DK168,"&gt;0"))</f>
        <v>0</v>
      </c>
      <c r="DL169">
        <f>IF(IF(OR(IFERROR(SEARCH("Druid",$T169,1),0)&gt;0,IFERROR(SEARCH(DruidLand1,$T169,1),0)&gt;0,IFERROR(SEARCH(DruidLand2,$T169,1),0)&gt;0,IFERROR(SEARCH(DruidLand3,$T169,1),0)&gt;0,IFERROR(SEARCH(DruidLand4,$T169,1),0)&gt;0),1,0)*IF($C169=DL$2,1,0)=0,0,1+COUNTIF(DL$3:DL168,"&gt;0"))</f>
        <v>0</v>
      </c>
      <c r="DM169">
        <f>IF(IF(OR(IFERROR(SEARCH("Druid",$T169,1),0)&gt;0,IFERROR(SEARCH(DruidLand1,$T169,1),0)&gt;0,IFERROR(SEARCH(DruidLand2,$T169,1),0)&gt;0,IFERROR(SEARCH(DruidLand3,$T169,1),0)&gt;0,IFERROR(SEARCH(DruidLand4,$T169,1),0)&gt;0),1,0)*IF($C169=DM$2,1,0)=0,0,1+COUNTIF(DM$3:DM168,"&gt;0"))</f>
        <v>0</v>
      </c>
      <c r="DN169">
        <f>IF(IF(OR(IFERROR(SEARCH("Druid",$T169,1),0)&gt;0,IFERROR(SEARCH(DruidLand1,$T169,1),0)&gt;0,IFERROR(SEARCH(DruidLand2,$T169,1),0)&gt;0,IFERROR(SEARCH(DruidLand3,$T169,1),0)&gt;0,IFERROR(SEARCH(DruidLand4,$T169,1),0)&gt;0),1,0)*IF($C169=DN$2,1,0)=0,0,1+COUNTIF(DN$3:DN168,"&gt;0"))</f>
        <v>0</v>
      </c>
      <c r="DO169">
        <f>IF(IF(OR(IFERROR(SEARCH("Druid",$T169,1),0)&gt;0,IFERROR(SEARCH(DruidLand1,$T169,1),0)&gt;0,IFERROR(SEARCH(DruidLand2,$T169,1),0)&gt;0,IFERROR(SEARCH(DruidLand3,$T169,1),0)&gt;0,IFERROR(SEARCH(DruidLand4,$T169,1),0)&gt;0),1,0)*IF($C169=DO$2,1,0)=0,0,1+COUNTIF(DO$3:DO168,"&gt;0"))</f>
        <v>0</v>
      </c>
      <c r="DP169">
        <f>IF(IF(OR(IFERROR(SEARCH("Druid",$T169,1),0)&gt;0,IFERROR(SEARCH(DruidLand1,$T169,1),0)&gt;0,IFERROR(SEARCH(DruidLand2,$T169,1),0)&gt;0,IFERROR(SEARCH(DruidLand3,$T169,1),0)&gt;0,IFERROR(SEARCH(DruidLand4,$T169,1),0)&gt;0),1,0)*IF($C169=DP$2,1,0)=0,0,1+COUNTIF(DP$3:DP168,"&gt;0"))</f>
        <v>0</v>
      </c>
      <c r="DQ169">
        <f>IF(IF(OR(IFERROR(SEARCH("Druid",$T169,1),0)&gt;0,IFERROR(SEARCH(DruidLand1,$T169,1),0)&gt;0,IFERROR(SEARCH(DruidLand2,$T169,1),0)&gt;0,IFERROR(SEARCH(DruidLand3,$T169,1),0)&gt;0,IFERROR(SEARCH(DruidLand4,$T169,1),0)&gt;0),1,0)*IF($C169=DQ$2,1,0)=0,0,1+COUNTIF(DQ$3:DQ168,"&gt;0"))</f>
        <v>0</v>
      </c>
      <c r="DR169">
        <f>IF(IF(OR(IFERROR(SEARCH("Druid",$T169,1),0)&gt;0,IFERROR(SEARCH(DruidLand1,$T169,1),0)&gt;0,IFERROR(SEARCH(DruidLand2,$T169,1),0)&gt;0,IFERROR(SEARCH(DruidLand3,$T169,1),0)&gt;0,IFERROR(SEARCH(DruidLand4,$T169,1),0)&gt;0),1,0)*IF($C169=DR$2,1,0)=0,0,1+COUNTIF(DR$3:DR168,"&gt;0"))</f>
        <v>0</v>
      </c>
      <c r="DS169">
        <f>IF(IF(OR(IFERROR(SEARCH("Paladin",$T169,1),0)&gt;0,IFERROR(SEARCH(PaladinOath,$T169,1),0)&gt;0),1,0)*IF($C169=DS$2,1,0)=1,1+COUNTIF(DS$3:DS168,"&gt;0"),0)</f>
        <v>0</v>
      </c>
      <c r="DT169">
        <f>IF(IF(OR(IFERROR(SEARCH("Paladin",$T169,1),0)&gt;0,IFERROR(SEARCH(PaladinOath,$T169,1),0)&gt;0),1,0)*IF($C169=DT$2,1,0)=1,1+COUNTIF(DT$3:DT168,"&gt;0"),0)</f>
        <v>0</v>
      </c>
      <c r="DU169">
        <f>IF(IF(OR(IFERROR(SEARCH("Paladin",$T169,1),0)&gt;0,IFERROR(SEARCH(PaladinOath,$T169,1),0)&gt;0),1,0)*IF($C169=DU$2,1,0)=1,1+COUNTIF(DU$3:DU168,"&gt;0"),0)</f>
        <v>0</v>
      </c>
      <c r="DV169">
        <f>IF(IF(OR(IFERROR(SEARCH("Paladin",$T169,1),0)&gt;0,IFERROR(SEARCH(PaladinOath,$T169,1),0)&gt;0),1,0)*IF($C169=DV$2,1,0)=1,1+COUNTIF(DV$3:DV168,"&gt;0"),0)</f>
        <v>0</v>
      </c>
      <c r="DW169">
        <f>IF(IF(OR(IFERROR(SEARCH("Paladin",$T169,1),0)&gt;0,IFERROR(SEARCH(PaladinOath,$T169,1),0)&gt;0),1,0)*IF($C169=DW$2,1,0)=1,1+COUNTIF(DW$3:DW168,"&gt;0"),0)</f>
        <v>0</v>
      </c>
      <c r="DY169">
        <f t="shared" si="111"/>
        <v>1</v>
      </c>
      <c r="DZ169">
        <f>IF(DY169=0,0,1+MAX(DZ$3:$DZ168))</f>
        <v>167</v>
      </c>
      <c r="EB169">
        <f t="shared" si="125"/>
        <v>0</v>
      </c>
      <c r="EC169">
        <f>IF(EB169=0,0,1+COUNTIF(EC$3:EC168,"&gt;0"))</f>
        <v>0</v>
      </c>
      <c r="ED169" t="str">
        <f t="shared" si="153"/>
        <v/>
      </c>
      <c r="EE169" t="str">
        <f t="shared" si="126"/>
        <v/>
      </c>
      <c r="EG169">
        <f t="shared" si="127"/>
        <v>1</v>
      </c>
      <c r="EH169">
        <f>IF(EG169=0,0,1+COUNTIF(EH$3:EH168,"&gt;0"))</f>
        <v>1</v>
      </c>
      <c r="EI169" t="str">
        <f t="shared" si="154"/>
        <v/>
      </c>
      <c r="EJ169" t="str">
        <f t="shared" si="128"/>
        <v/>
      </c>
      <c r="EL169">
        <f t="shared" si="129"/>
        <v>1</v>
      </c>
      <c r="EM169">
        <f>IF(EL169=0,0,1+COUNTIF(EM$3:EM168,"&gt;0"))</f>
        <v>2</v>
      </c>
      <c r="EN169" t="str">
        <f t="shared" si="155"/>
        <v/>
      </c>
      <c r="EO169" t="str">
        <f t="shared" si="130"/>
        <v/>
      </c>
      <c r="EQ169">
        <f t="shared" si="131"/>
        <v>0</v>
      </c>
      <c r="ER169">
        <f>IF(EQ169=0,0,1+COUNTIF(ER$3:ER168,"&gt;0"))</f>
        <v>0</v>
      </c>
      <c r="ES169" t="str">
        <f t="shared" si="156"/>
        <v/>
      </c>
      <c r="ET169" t="str">
        <f t="shared" si="132"/>
        <v/>
      </c>
      <c r="EV169">
        <f t="shared" si="133"/>
        <v>0</v>
      </c>
      <c r="EW169">
        <f>IF(EV169=0,0,1+COUNTIF(EW$3:EW168,"&gt;0"))</f>
        <v>0</v>
      </c>
      <c r="EX169" t="str">
        <f t="shared" si="157"/>
        <v/>
      </c>
      <c r="EY169" t="str">
        <f t="shared" si="134"/>
        <v/>
      </c>
      <c r="FA169">
        <f t="shared" si="135"/>
        <v>0</v>
      </c>
      <c r="FB169">
        <f>IF(FA169=0,0,1+COUNTIF(FB$3:FB168,"&gt;0"))</f>
        <v>0</v>
      </c>
      <c r="FC169" t="str">
        <f t="shared" si="158"/>
        <v/>
      </c>
      <c r="FD169" t="str">
        <f t="shared" si="136"/>
        <v/>
      </c>
      <c r="FF169">
        <f t="shared" si="137"/>
        <v>0</v>
      </c>
      <c r="FG169">
        <f>IF(FF169=0,0,1+COUNTIF(FG$3:FG168,"&gt;0"))</f>
        <v>0</v>
      </c>
      <c r="FH169" t="str">
        <f t="shared" si="159"/>
        <v/>
      </c>
      <c r="FI169" t="str">
        <f t="shared" si="138"/>
        <v/>
      </c>
      <c r="FK169">
        <f t="shared" si="139"/>
        <v>0</v>
      </c>
      <c r="FL169">
        <f>IF(FK169=0,0,1+COUNTIF(FL$3:FL168,"&gt;0"))</f>
        <v>0</v>
      </c>
      <c r="FM169" t="str">
        <f t="shared" si="160"/>
        <v/>
      </c>
      <c r="FN169" t="str">
        <f t="shared" si="140"/>
        <v/>
      </c>
      <c r="FP169">
        <f t="shared" si="141"/>
        <v>0</v>
      </c>
      <c r="FQ169">
        <f>IF(FP169=0,0,1+COUNTIF(FQ$3:FQ168,"&gt;0"))</f>
        <v>0</v>
      </c>
      <c r="FR169" t="str">
        <f t="shared" si="161"/>
        <v/>
      </c>
      <c r="FS169" t="str">
        <f t="shared" si="142"/>
        <v/>
      </c>
    </row>
    <row r="170" spans="1:175" x14ac:dyDescent="0.25">
      <c r="A170" s="347">
        <f t="shared" si="162"/>
        <v>168</v>
      </c>
      <c r="B170" s="348" t="s">
        <v>2545</v>
      </c>
      <c r="C170" s="348">
        <v>1</v>
      </c>
      <c r="D170" s="347">
        <v>1</v>
      </c>
      <c r="E170" s="627" t="s">
        <v>6952</v>
      </c>
      <c r="F170" s="346"/>
      <c r="G170" s="347" t="str">
        <f>""</f>
        <v/>
      </c>
      <c r="H170" s="347" t="s">
        <v>5912</v>
      </c>
      <c r="I170" s="347" t="s">
        <v>5290</v>
      </c>
      <c r="J170" s="347" t="str">
        <f t="shared" si="112"/>
        <v/>
      </c>
      <c r="K170" s="347" t="s">
        <v>5313</v>
      </c>
      <c r="L170" s="611" t="str">
        <f t="shared" si="113"/>
        <v>V, S</v>
      </c>
      <c r="M170" s="347" t="s">
        <v>2373</v>
      </c>
      <c r="N170" s="347" t="s">
        <v>2387</v>
      </c>
      <c r="O170" s="347" t="s">
        <v>3034</v>
      </c>
      <c r="P170" s="346" t="str">
        <f>""</f>
        <v/>
      </c>
      <c r="Q170" s="347" t="s">
        <v>5273</v>
      </c>
      <c r="S170" s="346" t="s">
        <v>5720</v>
      </c>
      <c r="T170" s="346" t="str">
        <f t="shared" si="114"/>
        <v xml:space="preserve">Cleric, </v>
      </c>
      <c r="Z170" s="347" t="str">
        <f>$B170</f>
        <v>Guiding Bolt</v>
      </c>
      <c r="AE170" t="str">
        <f>IF(IFERROR(MATCH($B170,temp!A$4:A$13,0),0)&gt;0,T08_Spells!AE$2,"")</f>
        <v/>
      </c>
      <c r="AF170" t="str">
        <f>IF(IFERROR(MATCH($B170,temp!B$4:B$13,0),0)&gt;0,T08_Spells!AF$2,"")</f>
        <v/>
      </c>
      <c r="AG170" t="str">
        <f>IF(IFERROR(MATCH($B170,temp!C$4:C$13,0),0)&gt;0,T08_Spells!AG$2,"")</f>
        <v/>
      </c>
      <c r="AH170" t="str">
        <f>IF(IFERROR(MATCH($B170,temp!D$4:D$13,0),0)&gt;0,T08_Spells!AH$2,"")</f>
        <v/>
      </c>
      <c r="AI170" t="str">
        <f>IF(IFERROR(MATCH($B170,temp!E$4:E$13,0),0)&gt;0,T08_Spells!AI$2,"")</f>
        <v/>
      </c>
      <c r="AJ170" t="str">
        <f>IF(IFERROR(MATCH($B170,temp!F$4:F$13,0),0)&gt;0,T08_Spells!AJ$2,"")</f>
        <v/>
      </c>
      <c r="AK170" t="str">
        <f>IF(IFERROR(MATCH($B170,temp!G$4:G$13,0),0)&gt;0,T08_Spells!AK$2,"")</f>
        <v/>
      </c>
      <c r="AL170" t="str">
        <f>IF(IFERROR(MATCH($B170,temp!H$4:H$13,0),0)&gt;0,T08_Spells!AL$2,"")</f>
        <v/>
      </c>
      <c r="AM170" t="str">
        <f>IF(IFERROR(MATCH($B170,temp!I$4:I$13,0),0)&gt;0,T08_Spells!AM$2,"")</f>
        <v/>
      </c>
      <c r="AN170" t="str">
        <f>IF(IFERROR(MATCH($B170,temp!J$4:J$13,0),0)&gt;0,T08_Spells!AN$2,"")</f>
        <v/>
      </c>
      <c r="AO170" t="str">
        <f>IF(IFERROR(MATCH($B170,temp!K$4:K$13,0),0)&gt;0,T08_Spells!AO$2,"")</f>
        <v/>
      </c>
      <c r="AP170" t="str">
        <f>IF(IFERROR(MATCH($B170,temp!L$4:L$13,0),0)&gt;0,T08_Spells!AP$2,"")</f>
        <v/>
      </c>
      <c r="AQ170" t="str">
        <f>IF(IFERROR(MATCH($B170,temp!M$4:M$13,0),0)&gt;0,T08_Spells!AQ$2,"")</f>
        <v/>
      </c>
      <c r="AR170" t="str">
        <f>IF(IFERROR(MATCH($B170,temp!N$4:N$13,0),0)&gt;0,T08_Spells!AR$2,"")</f>
        <v/>
      </c>
      <c r="AS170" t="str">
        <f>IF(IFERROR(MATCH($B170,temp!O$4:O$13,0),0)&gt;0,T08_Spells!AS$2,"")</f>
        <v/>
      </c>
      <c r="AT170" t="str">
        <f>IF(IFERROR(MATCH($B170,temp!P$4:P$13,0),0)&gt;0,T08_Spells!AT$2,"")</f>
        <v/>
      </c>
      <c r="AU170" t="str">
        <f>IF(IFERROR(MATCH($B170,temp!Q$4:Q$13,0),0)&gt;0,T08_Spells!AU$2,"")</f>
        <v/>
      </c>
      <c r="AV170" t="str">
        <f>IF(IFERROR(MATCH($B170,temp!R$4:R$13,0),0)&gt;0,T08_Spells!AV$2,"")</f>
        <v/>
      </c>
      <c r="AW170" t="str">
        <f>IF(IFERROR(MATCH($B170,temp!S$4:S$13,0),0)&gt;0,T08_Spells!AW$2,"")</f>
        <v/>
      </c>
      <c r="AX170" t="str">
        <f>IF(IFERROR(MATCH($B170,temp!T$4:T$13,0),0)&gt;0,T08_Spells!AX$2,"")</f>
        <v/>
      </c>
      <c r="AY170" t="str">
        <f>IF(IFERROR(MATCH($B170,temp!U$4:U$13,0),0)&gt;0,T08_Spells!AY$2,"")</f>
        <v/>
      </c>
      <c r="AZ170" t="str">
        <f>IF(IFERROR(MATCH($B170,temp!V$4:V$13,0),0)&gt;0,T08_Spells!AZ$2,"")</f>
        <v/>
      </c>
      <c r="BA170" t="str">
        <f>IF(IFERROR(MATCH($B170,temp!W$4:W$13,0),0)&gt;0,T08_Spells!BA$2,"")</f>
        <v/>
      </c>
      <c r="BC170">
        <f>IF(IFERROR(SEARCH("Ranger",$T170,1),0)&gt;0,1,0)*IF(RangerMaxSpellLevel&gt;=$C170,1,0)*IF(IFERROR(MATCH(B170,Character_Creation!$X$79:$X$382,0),0)&gt;0,0,1)</f>
        <v>0</v>
      </c>
      <c r="BD170">
        <f>IF(BC170=0,0,1+COUNTIF(BD$3:BD169,"&gt;0"))</f>
        <v>0</v>
      </c>
      <c r="BE170" t="str">
        <f t="shared" si="143"/>
        <v/>
      </c>
      <c r="BF170" t="str">
        <f t="shared" si="115"/>
        <v/>
      </c>
      <c r="BH170">
        <f>IF(IFERROR(SEARCH("Sorcerer",$T170,1),0)&gt;0,1,0)*IF(SorcererMaxSpellLevel&gt;=$C170,1,0)*IF(IFERROR(MATCH(B170,Character_Creation!$J$380:$J$394,0),0)&gt;0,0,1)</f>
        <v>0</v>
      </c>
      <c r="BI170">
        <f>IF(BH170=0,0,1+COUNTIF(BI$3:BI169,"&gt;0"))</f>
        <v>0</v>
      </c>
      <c r="BJ170" t="str">
        <f t="shared" si="144"/>
        <v/>
      </c>
      <c r="BK170" t="str">
        <f t="shared" si="116"/>
        <v/>
      </c>
      <c r="BM170">
        <f>IF(OR(IFERROR(SEARCH("Warlock",$T170,1),0)&gt;0,IFERROR(SEARCH(WarlockPatron,$T170,1),0)&gt;0),1,0)*IF(WarlockMaxSpellLevel&gt;=$C170,1,0)*IF(IFERROR(MATCH(B170,Character_Creation!$J$361:$J$375,0),0)&gt;0,0,1)</f>
        <v>0</v>
      </c>
      <c r="BN170">
        <f>IF(BM170=0,0,1+COUNTIF(BN$3:BN169,"&gt;0"))</f>
        <v>0</v>
      </c>
      <c r="BO170" t="str">
        <f t="shared" si="145"/>
        <v/>
      </c>
      <c r="BP170" t="str">
        <f t="shared" si="117"/>
        <v/>
      </c>
      <c r="BR170">
        <f>IF(IFERROR(SEARCH("Eldritch Knight",$T170,1),0)&gt;0,1,0)*IF(EldritchKnightMaxSpellLevel&gt;=$C170,1,0)*IF(IFERROR(MATCH($B170,Character_Creation!$J$350:$J$356,0),0)&gt;0,0,1)*IF(Character_Creation!$M$338&gt;0,1,0)</f>
        <v>0</v>
      </c>
      <c r="BS170">
        <f>IF(BR170=0,0,1+COUNTIF(BS$3:BS169,"&gt;0"))</f>
        <v>0</v>
      </c>
      <c r="BT170" t="str">
        <f t="shared" si="146"/>
        <v/>
      </c>
      <c r="BU170" t="str">
        <f t="shared" si="118"/>
        <v/>
      </c>
      <c r="BW170">
        <f>IF(IFERROR(SEARCH("Arcane Trickster",$T170,1),0)&gt;0,1,0)*IF(ArcaneTricksterMaxSpellLevel&gt;=$C170,1,0)*IF(IFERROR(MATCH($B170,Character_Creation!$J$350:$J$356,0),0)&gt;0,0,1)*IF(Character_Creation!$T$338&gt;0,1,0)</f>
        <v>0</v>
      </c>
      <c r="BX170">
        <f>IF(BW170=0,0,1+COUNTIF(BX$3:BX169,"&gt;0"))</f>
        <v>0</v>
      </c>
      <c r="BY170" t="str">
        <f t="shared" si="147"/>
        <v/>
      </c>
      <c r="BZ170" t="str">
        <f t="shared" si="119"/>
        <v/>
      </c>
      <c r="CB170">
        <f>IF(IFERROR(SEARCH("Wizard",$T170,1),0)&gt;0,1,0)*IF(C170&lt;=ArcaneTricksterMaxSpellLevel,1,0)*IF(IFERROR(MATCH($B170,Character_Creation!$J$350:$J$356,0),0)&gt;0,0,1)*IF(Character_Creation!$T$350&gt;0,1,0)</f>
        <v>0</v>
      </c>
      <c r="CC170">
        <f>IF(CB170=0,0,1+COUNTIF(CC$3:CC169,"&gt;0"))</f>
        <v>0</v>
      </c>
      <c r="CD170" t="str">
        <f t="shared" si="148"/>
        <v/>
      </c>
      <c r="CE170" t="str">
        <f t="shared" si="120"/>
        <v/>
      </c>
      <c r="CG170">
        <f>IF(IFERROR(SEARCH("Wizard",$T170,1),0)&gt;0,1,0)*IF($C170&lt;=EldritchKnightMaxSpellLevel,1,0)*IF(IFERROR(MATCH($B170,Character_Creation!$J$350:$J$356,0),0)&gt;0,0,1)*IF(Character_Creation!$M$350&gt;0,1,0)</f>
        <v>0</v>
      </c>
      <c r="CH170">
        <f>IF(CG170=0,0,1+COUNTIF(CH$3:CH169,"&gt;0"))</f>
        <v>0</v>
      </c>
      <c r="CI170" t="str">
        <f t="shared" si="149"/>
        <v/>
      </c>
      <c r="CJ170" t="str">
        <f t="shared" si="121"/>
        <v/>
      </c>
      <c r="CL170">
        <f>IF(IFERROR(SEARCH("Bard",$T170,1),0)&gt;0,1,0)*IF(BardMaxSpellLevel&gt;=$C170,1,0)*IF(IFERROR(MATCH(B170,Character_Creation!$C$341:$F$362,0),0)&gt;0,0,1)*IF(IFERROR(MATCH($B170,Character_Creation!$C$341:$C$362,0),0)&gt;0,0,1)</f>
        <v>0</v>
      </c>
      <c r="CM170">
        <f>IF(CL170=0,0,1+COUNTIF(CM$3:CM169,"&gt;0"))</f>
        <v>0</v>
      </c>
      <c r="CN170" t="str">
        <f t="shared" si="150"/>
        <v/>
      </c>
      <c r="CO170" t="str">
        <f t="shared" si="122"/>
        <v/>
      </c>
      <c r="CQ170">
        <f>IF(IFERROR(SEARCH("Wizard",$T170,1),0)&gt;0,1,0)*IF(WizardMaxSpellLevel&gt;=$C170,1,0)*IF(IFERROR(MATCH(B170,Character_Creation!$X$341:$X$400,0),0)&gt;0,0,1)*IF(SelectedWizardSpellLevel=$C170,1,0)</f>
        <v>0</v>
      </c>
      <c r="CR170">
        <f>IF(CQ170=0,0,1+COUNTIF(CR$3:CR169,"&gt;0"))</f>
        <v>0</v>
      </c>
      <c r="CS170" t="str">
        <f t="shared" si="151"/>
        <v/>
      </c>
      <c r="CT170" t="str">
        <f t="shared" si="123"/>
        <v/>
      </c>
      <c r="CV170">
        <f>IF(IFERROR(MATCH($B170,Character_Creation!$C$341:$C$362,0),0)&gt;0,0,1)*IF(OR(C170="Cantrip",C170&lt;=BardMaxSpellLevel),1,0)*IF(IFERROR(MATCH($B170,Character_Creation!$C$367:$C$374,0),0)&gt;0,0,1)</f>
        <v>0</v>
      </c>
      <c r="CW170">
        <f>IF(CV170=0,0,1+COUNTIF(CW$3:CW169,"&gt;0"))</f>
        <v>0</v>
      </c>
      <c r="CX170" t="str">
        <f t="shared" si="152"/>
        <v/>
      </c>
      <c r="CY170" t="str">
        <f t="shared" si="124"/>
        <v/>
      </c>
      <c r="DA170">
        <f>IF(IF(OR(IFERROR(SEARCH("Cleric",$T170,1),0)&gt;0,IFERROR(SEARCH(DivineDomain&amp;",",$T170,1),0)&gt;0),1,0)*IF($C170=DA$2,1,0)=1,1+COUNTIF(DA$3:DA169,"&gt;0"),0)</f>
        <v>9</v>
      </c>
      <c r="DB170">
        <f>IF(IF(OR(IFERROR(SEARCH("Cleric",$T170,1),0)&gt;0,IFERROR(SEARCH(DivineDomain&amp;",",$T170,1),0)&gt;0),1,0)*IF($C170=DB$2,1,0)=1,1+COUNTIF(DB$3:DB169,"&gt;0"),0)</f>
        <v>0</v>
      </c>
      <c r="DC170">
        <f>IF(IF(OR(IFERROR(SEARCH("Cleric",$T170,1),0)&gt;0,IFERROR(SEARCH(DivineDomain&amp;",",$T170,1),0)&gt;0),1,0)*IF($C170=DC$2,1,0)=1,1+COUNTIF(DC$3:DC169,"&gt;0"),0)</f>
        <v>0</v>
      </c>
      <c r="DD170">
        <f>IF(IF(OR(IFERROR(SEARCH("Cleric",$T170,1),0)&gt;0,IFERROR(SEARCH(DivineDomain&amp;",",$T170,1),0)&gt;0),1,0)*IF($C170=DD$2,1,0)=1,1+COUNTIF(DD$3:DD169,"&gt;0"),0)</f>
        <v>0</v>
      </c>
      <c r="DE170">
        <f>IF(IF(OR(IFERROR(SEARCH("Cleric",$T170,1),0)&gt;0,IFERROR(SEARCH(DivineDomain&amp;",",$T170,1),0)&gt;0),1,0)*IF($C170=DE$2,1,0)=1,1+COUNTIF(DE$3:DE169,"&gt;0"),0)</f>
        <v>0</v>
      </c>
      <c r="DF170">
        <f>IF(IF(OR(IFERROR(SEARCH("Cleric",$T170,1),0)&gt;0,IFERROR(SEARCH(DivineDomain&amp;",",$T170,1),0)&gt;0),1,0)*IF($C170=DF$2,1,0)=1,1+COUNTIF(DF$3:DF169,"&gt;0"),0)</f>
        <v>0</v>
      </c>
      <c r="DG170">
        <f>IF(IF(OR(IFERROR(SEARCH("Cleric",$T170,1),0)&gt;0,IFERROR(SEARCH(DivineDomain&amp;",",$T170,1),0)&gt;0),1,0)*IF($C170=DG$2,1,0)=1,1+COUNTIF(DG$3:DG169,"&gt;0"),0)</f>
        <v>0</v>
      </c>
      <c r="DH170">
        <f>IF(IF(OR(IFERROR(SEARCH("Cleric",$T170,1),0)&gt;0,IFERROR(SEARCH(DivineDomain&amp;",",$T170,1),0)&gt;0),1,0)*IF($C170=DH$2,1,0)=1,1+COUNTIF(DH$3:DH169,"&gt;0"),0)</f>
        <v>0</v>
      </c>
      <c r="DI170">
        <f>IF(IF(OR(IFERROR(SEARCH("Cleric",$T170,1),0)&gt;0,IFERROR(SEARCH(DivineDomain&amp;",",$T170,1),0)&gt;0),1,0)*IF($C170=DI$2,1,0)=1,1+COUNTIF(DI$3:DI169,"&gt;0"),0)</f>
        <v>0</v>
      </c>
      <c r="DJ170">
        <f>IF(IF(OR(IFERROR(SEARCH("Druid",$T170,1),0)&gt;0,IFERROR(SEARCH(DruidLand1,$T170,1),0)&gt;0,IFERROR(SEARCH(DruidLand2,$T170,1),0)&gt;0,IFERROR(SEARCH(DruidLand3,$T170,1),0)&gt;0,IFERROR(SEARCH(DruidLand4,$T170,1),0)&gt;0),1,0)*IF($C170=1,1,0)*IF($C170=DJ$2,1,0)=0,0,1+COUNTIF(DJ$3:DJ169,"&gt;0"))</f>
        <v>0</v>
      </c>
      <c r="DK170">
        <f>IF(IF(OR(IFERROR(SEARCH("Druid",$T170,1),0)&gt;0,IFERROR(SEARCH(DruidLand1,$T170,1),0)&gt;0,IFERROR(SEARCH(DruidLand2,$T170,1),0)&gt;0,IFERROR(SEARCH(DruidLand3,$T170,1),0)&gt;0,IFERROR(SEARCH(DruidLand4,$T170,1),0)&gt;0),1,0)*IF($C170=1,1,0)*IF($C170=DK$2,1,0)=0,0,1+COUNTIF(DK$3:DK169,"&gt;0"))</f>
        <v>0</v>
      </c>
      <c r="DL170">
        <f>IF(IF(OR(IFERROR(SEARCH("Druid",$T170,1),0)&gt;0,IFERROR(SEARCH(DruidLand1,$T170,1),0)&gt;0,IFERROR(SEARCH(DruidLand2,$T170,1),0)&gt;0,IFERROR(SEARCH(DruidLand3,$T170,1),0)&gt;0,IFERROR(SEARCH(DruidLand4,$T170,1),0)&gt;0),1,0)*IF($C170=1,1,0)*IF($C170=DL$2,1,0)=0,0,1+COUNTIF(DL$3:DL169,"&gt;0"))</f>
        <v>0</v>
      </c>
      <c r="DM170">
        <f>IF(IF(OR(IFERROR(SEARCH("Druid",$T170,1),0)&gt;0,IFERROR(SEARCH(DruidLand1,$T170,1),0)&gt;0,IFERROR(SEARCH(DruidLand2,$T170,1),0)&gt;0,IFERROR(SEARCH(DruidLand3,$T170,1),0)&gt;0,IFERROR(SEARCH(DruidLand4,$T170,1),0)&gt;0),1,0)*IF($C170=1,1,0)*IF($C170=DM$2,1,0)=0,0,1+COUNTIF(DM$3:DM169,"&gt;0"))</f>
        <v>0</v>
      </c>
      <c r="DN170">
        <f>IF(IF(OR(IFERROR(SEARCH("Druid",$T170,1),0)&gt;0,IFERROR(SEARCH(DruidLand1,$T170,1),0)&gt;0,IFERROR(SEARCH(DruidLand2,$T170,1),0)&gt;0,IFERROR(SEARCH(DruidLand3,$T170,1),0)&gt;0,IFERROR(SEARCH(DruidLand4,$T170,1),0)&gt;0),1,0)*IF($C170=1,1,0)*IF($C170=DN$2,1,0)=0,0,1+COUNTIF(DN$3:DN169,"&gt;0"))</f>
        <v>0</v>
      </c>
      <c r="DO170">
        <f>IF(IF(OR(IFERROR(SEARCH("Druid",$T170,1),0)&gt;0,IFERROR(SEARCH(DruidLand1,$T170,1),0)&gt;0,IFERROR(SEARCH(DruidLand2,$T170,1),0)&gt;0,IFERROR(SEARCH(DruidLand3,$T170,1),0)&gt;0,IFERROR(SEARCH(DruidLand4,$T170,1),0)&gt;0),1,0)*IF($C170=1,1,0)*IF($C170=DO$2,1,0)=0,0,1+COUNTIF(DO$3:DO169,"&gt;0"))</f>
        <v>0</v>
      </c>
      <c r="DP170">
        <f>IF(IF(OR(IFERROR(SEARCH("Druid",$T170,1),0)&gt;0,IFERROR(SEARCH(DruidLand1,$T170,1),0)&gt;0,IFERROR(SEARCH(DruidLand2,$T170,1),0)&gt;0,IFERROR(SEARCH(DruidLand3,$T170,1),0)&gt;0,IFERROR(SEARCH(DruidLand4,$T170,1),0)&gt;0),1,0)*IF($C170=1,1,0)*IF($C170=DP$2,1,0)=0,0,1+COUNTIF(DP$3:DP169,"&gt;0"))</f>
        <v>0</v>
      </c>
      <c r="DQ170">
        <f>IF(IF(OR(IFERROR(SEARCH("Druid",$T170,1),0)&gt;0,IFERROR(SEARCH(DruidLand1,$T170,1),0)&gt;0,IFERROR(SEARCH(DruidLand2,$T170,1),0)&gt;0,IFERROR(SEARCH(DruidLand3,$T170,1),0)&gt;0,IFERROR(SEARCH(DruidLand4,$T170,1),0)&gt;0),1,0)*IF($C170=1,1,0)*IF($C170=DQ$2,1,0)=0,0,1+COUNTIF(DQ$3:DQ169,"&gt;0"))</f>
        <v>0</v>
      </c>
      <c r="DR170">
        <f>IF(IF(OR(IFERROR(SEARCH("Druid",$T170,1),0)&gt;0,IFERROR(SEARCH(DruidLand1,$T170,1),0)&gt;0,IFERROR(SEARCH(DruidLand2,$T170,1),0)&gt;0,IFERROR(SEARCH(DruidLand3,$T170,1),0)&gt;0,IFERROR(SEARCH(DruidLand4,$T170,1),0)&gt;0),1,0)*IF($C170=1,1,0)*IF($C170=DR$2,1,0)=0,0,1+COUNTIF(DR$3:DR169,"&gt;0"))</f>
        <v>0</v>
      </c>
      <c r="DS170">
        <f>IF(IF(OR(IFERROR(SEARCH("Paladin",$T170,1),0)&gt;0,IFERROR(SEARCH(PaladinOath,$T170,1),0)&gt;0),1,0)*IF($C170=DS$2,1,0)=1,1+COUNTIF(DS$3:DS169,"&gt;0"),0)</f>
        <v>0</v>
      </c>
      <c r="DT170">
        <f>IF(IF(OR(IFERROR(SEARCH("Paladin",$T170,1),0)&gt;0,IFERROR(SEARCH(PaladinOath,$T170,1),0)&gt;0),1,0)*IF($C170=DT$2,1,0)=1,1+COUNTIF(DT$3:DT169,"&gt;0"),0)</f>
        <v>0</v>
      </c>
      <c r="DU170">
        <f>IF(IF(OR(IFERROR(SEARCH("Paladin",$T170,1),0)&gt;0,IFERROR(SEARCH(PaladinOath,$T170,1),0)&gt;0),1,0)*IF($C170=DU$2,1,0)=1,1+COUNTIF(DU$3:DU169,"&gt;0"),0)</f>
        <v>0</v>
      </c>
      <c r="DV170">
        <f>IF(IF(OR(IFERROR(SEARCH("Paladin",$T170,1),0)&gt;0,IFERROR(SEARCH(PaladinOath,$T170,1),0)&gt;0),1,0)*IF($C170=DV$2,1,0)=1,1+COUNTIF(DV$3:DV169,"&gt;0"),0)</f>
        <v>0</v>
      </c>
      <c r="DW170">
        <f>IF(IF(OR(IFERROR(SEARCH("Paladin",$T170,1),0)&gt;0,IFERROR(SEARCH(PaladinOath,$T170,1),0)&gt;0),1,0)*IF($C170=DW$2,1,0)=1,1+COUNTIF(DW$3:DW169,"&gt;0"),0)</f>
        <v>0</v>
      </c>
      <c r="DY170">
        <f t="shared" si="111"/>
        <v>1</v>
      </c>
      <c r="DZ170">
        <f>IF(DY170=0,0,1+MAX(DZ$3:$DZ169))</f>
        <v>168</v>
      </c>
      <c r="EB170">
        <f t="shared" si="125"/>
        <v>0</v>
      </c>
      <c r="EC170">
        <f>IF(EB170=0,0,1+COUNTIF(EC$3:EC169,"&gt;0"))</f>
        <v>0</v>
      </c>
      <c r="ED170" t="str">
        <f t="shared" si="153"/>
        <v/>
      </c>
      <c r="EE170" t="str">
        <f t="shared" si="126"/>
        <v/>
      </c>
      <c r="EG170">
        <f t="shared" si="127"/>
        <v>0</v>
      </c>
      <c r="EH170">
        <f>IF(EG170=0,0,1+COUNTIF(EH$3:EH169,"&gt;0"))</f>
        <v>0</v>
      </c>
      <c r="EI170" t="str">
        <f t="shared" si="154"/>
        <v/>
      </c>
      <c r="EJ170" t="str">
        <f t="shared" si="128"/>
        <v/>
      </c>
      <c r="EL170">
        <f t="shared" si="129"/>
        <v>0</v>
      </c>
      <c r="EM170">
        <f>IF(EL170=0,0,1+COUNTIF(EM$3:EM169,"&gt;0"))</f>
        <v>0</v>
      </c>
      <c r="EN170" t="str">
        <f t="shared" si="155"/>
        <v/>
      </c>
      <c r="EO170" t="str">
        <f t="shared" si="130"/>
        <v/>
      </c>
      <c r="EQ170">
        <f t="shared" si="131"/>
        <v>0</v>
      </c>
      <c r="ER170">
        <f>IF(EQ170=0,0,1+COUNTIF(ER$3:ER169,"&gt;0"))</f>
        <v>0</v>
      </c>
      <c r="ES170" t="str">
        <f t="shared" si="156"/>
        <v/>
      </c>
      <c r="ET170" t="str">
        <f t="shared" si="132"/>
        <v/>
      </c>
      <c r="EV170">
        <f t="shared" si="133"/>
        <v>0</v>
      </c>
      <c r="EW170">
        <f>IF(EV170=0,0,1+COUNTIF(EW$3:EW169,"&gt;0"))</f>
        <v>0</v>
      </c>
      <c r="EX170" t="str">
        <f t="shared" si="157"/>
        <v/>
      </c>
      <c r="EY170" t="str">
        <f t="shared" si="134"/>
        <v/>
      </c>
      <c r="FA170">
        <f t="shared" si="135"/>
        <v>0</v>
      </c>
      <c r="FB170">
        <f>IF(FA170=0,0,1+COUNTIF(FB$3:FB169,"&gt;0"))</f>
        <v>0</v>
      </c>
      <c r="FC170" t="str">
        <f t="shared" si="158"/>
        <v/>
      </c>
      <c r="FD170" t="str">
        <f t="shared" si="136"/>
        <v/>
      </c>
      <c r="FF170">
        <f t="shared" si="137"/>
        <v>0</v>
      </c>
      <c r="FG170">
        <f>IF(FF170=0,0,1+COUNTIF(FG$3:FG169,"&gt;0"))</f>
        <v>0</v>
      </c>
      <c r="FH170" t="str">
        <f t="shared" si="159"/>
        <v/>
      </c>
      <c r="FI170" t="str">
        <f t="shared" si="138"/>
        <v/>
      </c>
      <c r="FK170">
        <f t="shared" si="139"/>
        <v>0</v>
      </c>
      <c r="FL170">
        <f>IF(FK170=0,0,1+COUNTIF(FL$3:FL169,"&gt;0"))</f>
        <v>0</v>
      </c>
      <c r="FM170" t="str">
        <f t="shared" si="160"/>
        <v/>
      </c>
      <c r="FN170" t="str">
        <f t="shared" si="140"/>
        <v/>
      </c>
      <c r="FP170">
        <f t="shared" si="141"/>
        <v>0</v>
      </c>
      <c r="FQ170">
        <f>IF(FP170=0,0,1+COUNTIF(FQ$3:FQ169,"&gt;0"))</f>
        <v>0</v>
      </c>
      <c r="FR170" t="str">
        <f t="shared" si="161"/>
        <v/>
      </c>
      <c r="FS170" t="str">
        <f t="shared" si="142"/>
        <v/>
      </c>
    </row>
    <row r="171" spans="1:175" x14ac:dyDescent="0.25">
      <c r="A171" s="347">
        <f t="shared" si="162"/>
        <v>169</v>
      </c>
      <c r="B171" s="348" t="s">
        <v>2546</v>
      </c>
      <c r="C171" s="348">
        <v>2</v>
      </c>
      <c r="D171" s="347">
        <v>2</v>
      </c>
      <c r="E171" s="627" t="s">
        <v>6952</v>
      </c>
      <c r="F171" s="346"/>
      <c r="G171" s="347" t="str">
        <f>""</f>
        <v/>
      </c>
      <c r="H171" s="347" t="s">
        <v>5912</v>
      </c>
      <c r="I171" s="347" t="s">
        <v>5283</v>
      </c>
      <c r="J171" s="347" t="str">
        <f t="shared" si="112"/>
        <v/>
      </c>
      <c r="K171" s="347" t="s">
        <v>5291</v>
      </c>
      <c r="L171" s="611" t="str">
        <f t="shared" si="113"/>
        <v>V, S, M, a legume seed</v>
      </c>
      <c r="M171" s="347" t="s">
        <v>2373</v>
      </c>
      <c r="N171" s="347" t="s">
        <v>2387</v>
      </c>
      <c r="O171" s="347" t="s">
        <v>1244</v>
      </c>
      <c r="P171" s="346" t="s">
        <v>5394</v>
      </c>
      <c r="Q171" s="347" t="s">
        <v>5273</v>
      </c>
      <c r="S171" s="346" t="s">
        <v>5721</v>
      </c>
      <c r="T171" s="346" t="str">
        <f t="shared" si="114"/>
        <v xml:space="preserve">Sorcerer, Druid, Eldritch Knight, Wizard, Tempest, </v>
      </c>
      <c r="X171" s="347" t="str">
        <f>$B171</f>
        <v>Gust of Wind</v>
      </c>
      <c r="AA171" s="347" t="str">
        <f>$B171</f>
        <v>Gust of Wind</v>
      </c>
      <c r="AB171" s="542" t="str">
        <f>AD171</f>
        <v>Gust of Wind</v>
      </c>
      <c r="AD171" s="347" t="str">
        <f>$B171</f>
        <v>Gust of Wind</v>
      </c>
      <c r="AE171" t="str">
        <f>IF(IFERROR(MATCH($B171,temp!A$4:A$13,0),0)&gt;0,T08_Spells!AE$2,"")</f>
        <v/>
      </c>
      <c r="AF171" t="str">
        <f>IF(IFERROR(MATCH($B171,temp!B$4:B$13,0),0)&gt;0,T08_Spells!AF$2,"")</f>
        <v/>
      </c>
      <c r="AG171" t="str">
        <f>IF(IFERROR(MATCH($B171,temp!C$4:C$13,0),0)&gt;0,T08_Spells!AG$2,"")</f>
        <v/>
      </c>
      <c r="AH171" t="str">
        <f>IF(IFERROR(MATCH($B171,temp!D$4:D$13,0),0)&gt;0,T08_Spells!AH$2,"")</f>
        <v/>
      </c>
      <c r="AI171" t="str">
        <f>IF(IFERROR(MATCH($B171,temp!E$4:E$13,0),0)&gt;0,T08_Spells!AI$2,"")</f>
        <v/>
      </c>
      <c r="AJ171" t="str">
        <f>IF(IFERROR(MATCH($B171,temp!F$4:F$13,0),0)&gt;0,T08_Spells!AJ$2,"")</f>
        <v/>
      </c>
      <c r="AK171" t="str">
        <f>IF(IFERROR(MATCH($B171,temp!G$4:G$13,0),0)&gt;0,T08_Spells!AK$2,"")</f>
        <v/>
      </c>
      <c r="AL171" t="str">
        <f>IF(IFERROR(MATCH($B171,temp!H$4:H$13,0),0)&gt;0,T08_Spells!AL$2,"")</f>
        <v/>
      </c>
      <c r="AM171" t="str">
        <f>IF(IFERROR(MATCH($B171,temp!I$4:I$13,0),0)&gt;0,T08_Spells!AM$2,"")</f>
        <v/>
      </c>
      <c r="AN171" t="str">
        <f>IF(IFERROR(MATCH($B171,temp!J$4:J$13,0),0)&gt;0,T08_Spells!AN$2,"")</f>
        <v/>
      </c>
      <c r="AO171" t="str">
        <f>IF(IFERROR(MATCH($B171,temp!K$4:K$13,0),0)&gt;0,T08_Spells!AO$2,"")</f>
        <v/>
      </c>
      <c r="AP171" t="str">
        <f>IF(IFERROR(MATCH($B171,temp!L$4:L$13,0),0)&gt;0,T08_Spells!AP$2,"")</f>
        <v/>
      </c>
      <c r="AQ171" t="str">
        <f>IF(IFERROR(MATCH($B171,temp!M$4:M$13,0),0)&gt;0,T08_Spells!AQ$2,"")</f>
        <v/>
      </c>
      <c r="AR171" t="str">
        <f>IF(IFERROR(MATCH($B171,temp!N$4:N$13,0),0)&gt;0,T08_Spells!AR$2,"")</f>
        <v/>
      </c>
      <c r="AS171" t="str">
        <f>IF(IFERROR(MATCH($B171,temp!O$4:O$13,0),0)&gt;0,T08_Spells!AS$2,"")</f>
        <v/>
      </c>
      <c r="AT171" t="str">
        <f>IF(IFERROR(MATCH($B171,temp!P$4:P$13,0),0)&gt;0,T08_Spells!AT$2,"")</f>
        <v/>
      </c>
      <c r="AU171" t="str">
        <f>IF(IFERROR(MATCH($B171,temp!Q$4:Q$13,0),0)&gt;0,T08_Spells!AU$2,"")</f>
        <v/>
      </c>
      <c r="AV171" t="str">
        <f>IF(IFERROR(MATCH($B171,temp!R$4:R$13,0),0)&gt;0,T08_Spells!AV$2,"")</f>
        <v/>
      </c>
      <c r="AW171" t="str">
        <f>IF(IFERROR(MATCH($B171,temp!S$4:S$13,0),0)&gt;0,T08_Spells!AW$2,"")</f>
        <v/>
      </c>
      <c r="AX171" t="str">
        <f>IF(IFERROR(MATCH($B171,temp!T$4:T$13,0),0)&gt;0,T08_Spells!AX$2,"")</f>
        <v>Tempest</v>
      </c>
      <c r="AY171" t="str">
        <f>IF(IFERROR(MATCH($B171,temp!U$4:U$13,0),0)&gt;0,T08_Spells!AY$2,"")</f>
        <v/>
      </c>
      <c r="AZ171" t="str">
        <f>IF(IFERROR(MATCH($B171,temp!V$4:V$13,0),0)&gt;0,T08_Spells!AZ$2,"")</f>
        <v/>
      </c>
      <c r="BA171" t="str">
        <f>IF(IFERROR(MATCH($B171,temp!W$4:W$13,0),0)&gt;0,T08_Spells!BA$2,"")</f>
        <v/>
      </c>
      <c r="BC171">
        <f>IF(IFERROR(SEARCH("Ranger",$T171,1),0)&gt;0,1,0)*IF(RangerMaxSpellLevel&gt;=$C171,1,0)*IF(IFERROR(MATCH(B171,Character_Creation!$X$79:$X$382,0),0)&gt;0,0,1)</f>
        <v>0</v>
      </c>
      <c r="BD171">
        <f>IF(BC171=0,0,1+COUNTIF(BD$3:BD170,"&gt;0"))</f>
        <v>0</v>
      </c>
      <c r="BE171" t="str">
        <f t="shared" si="143"/>
        <v/>
      </c>
      <c r="BF171" t="str">
        <f t="shared" si="115"/>
        <v/>
      </c>
      <c r="BH171">
        <f>IF(IFERROR(SEARCH("Sorcerer",$T171,1),0)&gt;0,1,0)*IF(SorcererMaxSpellLevel&gt;=$C171,1,0)*IF(IFERROR(MATCH(B171,Character_Creation!$J$380:$J$394,0),0)&gt;0,0,1)</f>
        <v>0</v>
      </c>
      <c r="BI171">
        <f>IF(BH171=0,0,1+COUNTIF(BI$3:BI170,"&gt;0"))</f>
        <v>0</v>
      </c>
      <c r="BJ171" t="str">
        <f t="shared" si="144"/>
        <v/>
      </c>
      <c r="BK171" t="str">
        <f t="shared" si="116"/>
        <v/>
      </c>
      <c r="BM171">
        <f>IF(OR(IFERROR(SEARCH("Warlock",$T171,1),0)&gt;0,IFERROR(SEARCH(WarlockPatron,$T171,1),0)&gt;0),1,0)*IF(WarlockMaxSpellLevel&gt;=$C171,1,0)*IF(IFERROR(MATCH(B171,Character_Creation!$J$361:$J$375,0),0)&gt;0,0,1)</f>
        <v>0</v>
      </c>
      <c r="BN171">
        <f>IF(BM171=0,0,1+COUNTIF(BN$3:BN170,"&gt;0"))</f>
        <v>0</v>
      </c>
      <c r="BO171" t="str">
        <f t="shared" si="145"/>
        <v/>
      </c>
      <c r="BP171" t="str">
        <f t="shared" si="117"/>
        <v/>
      </c>
      <c r="BR171">
        <f>IF(IFERROR(SEARCH("Eldritch Knight",$T171,1),0)&gt;0,1,0)*IF(EldritchKnightMaxSpellLevel&gt;=$C171,1,0)*IF(IFERROR(MATCH($B171,Character_Creation!$J$350:$J$356,0),0)&gt;0,0,1)*IF(Character_Creation!$M$338&gt;0,1,0)</f>
        <v>0</v>
      </c>
      <c r="BS171">
        <f>IF(BR171=0,0,1+COUNTIF(BS$3:BS170,"&gt;0"))</f>
        <v>0</v>
      </c>
      <c r="BT171" t="str">
        <f t="shared" si="146"/>
        <v/>
      </c>
      <c r="BU171" t="str">
        <f t="shared" si="118"/>
        <v/>
      </c>
      <c r="BW171">
        <f>IF(IFERROR(SEARCH("Arcane Trickster",$T171,1),0)&gt;0,1,0)*IF(ArcaneTricksterMaxSpellLevel&gt;=$C171,1,0)*IF(IFERROR(MATCH($B171,Character_Creation!$J$350:$J$356,0),0)&gt;0,0,1)*IF(Character_Creation!$T$338&gt;0,1,0)</f>
        <v>0</v>
      </c>
      <c r="BX171">
        <f>IF(BW171=0,0,1+COUNTIF(BX$3:BX170,"&gt;0"))</f>
        <v>0</v>
      </c>
      <c r="BY171" t="str">
        <f t="shared" si="147"/>
        <v/>
      </c>
      <c r="BZ171" t="str">
        <f t="shared" si="119"/>
        <v/>
      </c>
      <c r="CB171">
        <f>IF(IFERROR(SEARCH("Wizard",$T171,1),0)&gt;0,1,0)*IF(C171&lt;=ArcaneTricksterMaxSpellLevel,1,0)*IF(IFERROR(MATCH($B171,Character_Creation!$J$350:$J$356,0),0)&gt;0,0,1)*IF(Character_Creation!$T$350&gt;0,1,0)</f>
        <v>0</v>
      </c>
      <c r="CC171">
        <f>IF(CB171=0,0,1+COUNTIF(CC$3:CC170,"&gt;0"))</f>
        <v>0</v>
      </c>
      <c r="CD171" t="str">
        <f t="shared" si="148"/>
        <v/>
      </c>
      <c r="CE171" t="str">
        <f t="shared" si="120"/>
        <v/>
      </c>
      <c r="CG171">
        <f>IF(IFERROR(SEARCH("Wizard",$T171,1),0)&gt;0,1,0)*IF($C171&lt;=EldritchKnightMaxSpellLevel,1,0)*IF(IFERROR(MATCH($B171,Character_Creation!$J$350:$J$356,0),0)&gt;0,0,1)*IF(Character_Creation!$M$350&gt;0,1,0)</f>
        <v>1</v>
      </c>
      <c r="CH171">
        <f>IF(CG171=0,0,1+COUNTIF(CH$3:CH170,"&gt;0"))</f>
        <v>28</v>
      </c>
      <c r="CI171" t="str">
        <f t="shared" si="149"/>
        <v/>
      </c>
      <c r="CJ171" t="str">
        <f t="shared" si="121"/>
        <v/>
      </c>
      <c r="CL171">
        <f>IF(IFERROR(SEARCH("Bard",$T171,1),0)&gt;0,1,0)*IF(BardMaxSpellLevel&gt;=$C171,1,0)*IF(IFERROR(MATCH(B171,Character_Creation!$C$341:$F$362,0),0)&gt;0,0,1)*IF(IFERROR(MATCH($B171,Character_Creation!$C$341:$C$362,0),0)&gt;0,0,1)</f>
        <v>0</v>
      </c>
      <c r="CM171">
        <f>IF(CL171=0,0,1+COUNTIF(CM$3:CM170,"&gt;0"))</f>
        <v>0</v>
      </c>
      <c r="CN171" t="str">
        <f t="shared" si="150"/>
        <v/>
      </c>
      <c r="CO171" t="str">
        <f t="shared" si="122"/>
        <v/>
      </c>
      <c r="CQ171">
        <f>IF(IFERROR(SEARCH("Wizard",$T171,1),0)&gt;0,1,0)*IF(WizardMaxSpellLevel&gt;=$C171,1,0)*IF(IFERROR(MATCH(B171,Character_Creation!$X$341:$X$400,0),0)&gt;0,0,1)*IF(SelectedWizardSpellLevel=$C171,1,0)</f>
        <v>0</v>
      </c>
      <c r="CR171">
        <f>IF(CQ171=0,0,1+COUNTIF(CR$3:CR170,"&gt;0"))</f>
        <v>0</v>
      </c>
      <c r="CS171" t="str">
        <f t="shared" si="151"/>
        <v/>
      </c>
      <c r="CT171" t="str">
        <f t="shared" si="123"/>
        <v/>
      </c>
      <c r="CV171">
        <f>IF(IFERROR(MATCH($B171,Character_Creation!$C$341:$C$362,0),0)&gt;0,0,1)*IF(OR(C171="Cantrip",C171&lt;=BardMaxSpellLevel),1,0)*IF(IFERROR(MATCH($B171,Character_Creation!$C$367:$C$374,0),0)&gt;0,0,1)</f>
        <v>0</v>
      </c>
      <c r="CW171">
        <f>IF(CV171=0,0,1+COUNTIF(CW$3:CW170,"&gt;0"))</f>
        <v>0</v>
      </c>
      <c r="CX171" t="str">
        <f t="shared" si="152"/>
        <v/>
      </c>
      <c r="CY171" t="str">
        <f t="shared" si="124"/>
        <v/>
      </c>
      <c r="DA171">
        <f>IF(IF(OR(IFERROR(SEARCH("Cleric",$T171,1),0)&gt;0,IFERROR(SEARCH(DivineDomain&amp;",",$T171,1),0)&gt;0),1,0)*IF($C171=DA$2,1,0)=1,1+COUNTIF(DA$3:DA170,"&gt;0"),0)</f>
        <v>0</v>
      </c>
      <c r="DB171">
        <f>IF(IF(OR(IFERROR(SEARCH("Cleric",$T171,1),0)&gt;0,IFERROR(SEARCH(DivineDomain&amp;",",$T171,1),0)&gt;0),1,0)*IF($C171=DB$2,1,0)=1,1+COUNTIF(DB$3:DB170,"&gt;0"),0)</f>
        <v>0</v>
      </c>
      <c r="DC171">
        <f>IF(IF(OR(IFERROR(SEARCH("Cleric",$T171,1),0)&gt;0,IFERROR(SEARCH(DivineDomain&amp;",",$T171,1),0)&gt;0),1,0)*IF($C171=DC$2,1,0)=1,1+COUNTIF(DC$3:DC170,"&gt;0"),0)</f>
        <v>0</v>
      </c>
      <c r="DD171">
        <f>IF(IF(OR(IFERROR(SEARCH("Cleric",$T171,1),0)&gt;0,IFERROR(SEARCH(DivineDomain&amp;",",$T171,1),0)&gt;0),1,0)*IF($C171=DD$2,1,0)=1,1+COUNTIF(DD$3:DD170,"&gt;0"),0)</f>
        <v>0</v>
      </c>
      <c r="DE171">
        <f>IF(IF(OR(IFERROR(SEARCH("Cleric",$T171,1),0)&gt;0,IFERROR(SEARCH(DivineDomain&amp;",",$T171,1),0)&gt;0),1,0)*IF($C171=DE$2,1,0)=1,1+COUNTIF(DE$3:DE170,"&gt;0"),0)</f>
        <v>0</v>
      </c>
      <c r="DF171">
        <f>IF(IF(OR(IFERROR(SEARCH("Cleric",$T171,1),0)&gt;0,IFERROR(SEARCH(DivineDomain&amp;",",$T171,1),0)&gt;0),1,0)*IF($C171=DF$2,1,0)=1,1+COUNTIF(DF$3:DF170,"&gt;0"),0)</f>
        <v>0</v>
      </c>
      <c r="DG171">
        <f>IF(IF(OR(IFERROR(SEARCH("Cleric",$T171,1),0)&gt;0,IFERROR(SEARCH(DivineDomain&amp;",",$T171,1),0)&gt;0),1,0)*IF($C171=DG$2,1,0)=1,1+COUNTIF(DG$3:DG170,"&gt;0"),0)</f>
        <v>0</v>
      </c>
      <c r="DH171">
        <f>IF(IF(OR(IFERROR(SEARCH("Cleric",$T171,1),0)&gt;0,IFERROR(SEARCH(DivineDomain&amp;",",$T171,1),0)&gt;0),1,0)*IF($C171=DH$2,1,0)=1,1+COUNTIF(DH$3:DH170,"&gt;0"),0)</f>
        <v>0</v>
      </c>
      <c r="DI171">
        <f>IF(IF(OR(IFERROR(SEARCH("Cleric",$T171,1),0)&gt;0,IFERROR(SEARCH(DivineDomain&amp;",",$T171,1),0)&gt;0),1,0)*IF($C171=DI$2,1,0)=1,1+COUNTIF(DI$3:DI170,"&gt;0"),0)</f>
        <v>0</v>
      </c>
      <c r="DJ171">
        <f>IF(IF(OR(IFERROR(SEARCH("Druid",$T171,1),0)&gt;0,IFERROR(SEARCH(DruidLand1,$T171,1),0)&gt;0,IFERROR(SEARCH(DruidLand2,$T171,1),0)&gt;0,IFERROR(SEARCH(DruidLand3,$T171,1),0)&gt;0,IFERROR(SEARCH(DruidLand4,$T171,1),0)&gt;0),1,0)*IF($C171=1,1,0)*IF($C171=DJ$2,1,0)=0,0,1+COUNTIF(DJ$3:DJ170,"&gt;0"))</f>
        <v>0</v>
      </c>
      <c r="DK171">
        <f>IF(IF(OR(IFERROR(SEARCH("Druid",$T171,1),0)&gt;0,IFERROR(SEARCH(DruidLand1,$T171,1),0)&gt;0,IFERROR(SEARCH(DruidLand2,$T171,1),0)&gt;0,IFERROR(SEARCH(DruidLand3,$T171,1),0)&gt;0,IFERROR(SEARCH(DruidLand4,$T171,1),0)&gt;0),1,0)*IF($C171=DK$2,1,0)=0,0,1+COUNTIF(DK$3:DK170,"&gt;0"))</f>
        <v>9</v>
      </c>
      <c r="DL171">
        <f>IF(IF(OR(IFERROR(SEARCH("Druid",$T171,1),0)&gt;0,IFERROR(SEARCH(DruidLand1,$T171,1),0)&gt;0,IFERROR(SEARCH(DruidLand2,$T171,1),0)&gt;0,IFERROR(SEARCH(DruidLand3,$T171,1),0)&gt;0,IFERROR(SEARCH(DruidLand4,$T171,1),0)&gt;0),1,0)*IF($C171=DL$2,1,0)=0,0,1+COUNTIF(DL$3:DL170,"&gt;0"))</f>
        <v>0</v>
      </c>
      <c r="DM171">
        <f>IF(IF(OR(IFERROR(SEARCH("Druid",$T171,1),0)&gt;0,IFERROR(SEARCH(DruidLand1,$T171,1),0)&gt;0,IFERROR(SEARCH(DruidLand2,$T171,1),0)&gt;0,IFERROR(SEARCH(DruidLand3,$T171,1),0)&gt;0,IFERROR(SEARCH(DruidLand4,$T171,1),0)&gt;0),1,0)*IF($C171=DM$2,1,0)=0,0,1+COUNTIF(DM$3:DM170,"&gt;0"))</f>
        <v>0</v>
      </c>
      <c r="DN171">
        <f>IF(IF(OR(IFERROR(SEARCH("Druid",$T171,1),0)&gt;0,IFERROR(SEARCH(DruidLand1,$T171,1),0)&gt;0,IFERROR(SEARCH(DruidLand2,$T171,1),0)&gt;0,IFERROR(SEARCH(DruidLand3,$T171,1),0)&gt;0,IFERROR(SEARCH(DruidLand4,$T171,1),0)&gt;0),1,0)*IF($C171=DN$2,1,0)=0,0,1+COUNTIF(DN$3:DN170,"&gt;0"))</f>
        <v>0</v>
      </c>
      <c r="DO171">
        <f>IF(IF(OR(IFERROR(SEARCH("Druid",$T171,1),0)&gt;0,IFERROR(SEARCH(DruidLand1,$T171,1),0)&gt;0,IFERROR(SEARCH(DruidLand2,$T171,1),0)&gt;0,IFERROR(SEARCH(DruidLand3,$T171,1),0)&gt;0,IFERROR(SEARCH(DruidLand4,$T171,1),0)&gt;0),1,0)*IF($C171=DO$2,1,0)=0,0,1+COUNTIF(DO$3:DO170,"&gt;0"))</f>
        <v>0</v>
      </c>
      <c r="DP171">
        <f>IF(IF(OR(IFERROR(SEARCH("Druid",$T171,1),0)&gt;0,IFERROR(SEARCH(DruidLand1,$T171,1),0)&gt;0,IFERROR(SEARCH(DruidLand2,$T171,1),0)&gt;0,IFERROR(SEARCH(DruidLand3,$T171,1),0)&gt;0,IFERROR(SEARCH(DruidLand4,$T171,1),0)&gt;0),1,0)*IF($C171=DP$2,1,0)=0,0,1+COUNTIF(DP$3:DP170,"&gt;0"))</f>
        <v>0</v>
      </c>
      <c r="DQ171">
        <f>IF(IF(OR(IFERROR(SEARCH("Druid",$T171,1),0)&gt;0,IFERROR(SEARCH(DruidLand1,$T171,1),0)&gt;0,IFERROR(SEARCH(DruidLand2,$T171,1),0)&gt;0,IFERROR(SEARCH(DruidLand3,$T171,1),0)&gt;0,IFERROR(SEARCH(DruidLand4,$T171,1),0)&gt;0),1,0)*IF($C171=DQ$2,1,0)=0,0,1+COUNTIF(DQ$3:DQ170,"&gt;0"))</f>
        <v>0</v>
      </c>
      <c r="DR171">
        <f>IF(IF(OR(IFERROR(SEARCH("Druid",$T171,1),0)&gt;0,IFERROR(SEARCH(DruidLand1,$T171,1),0)&gt;0,IFERROR(SEARCH(DruidLand2,$T171,1),0)&gt;0,IFERROR(SEARCH(DruidLand3,$T171,1),0)&gt;0,IFERROR(SEARCH(DruidLand4,$T171,1),0)&gt;0),1,0)*IF($C171=DR$2,1,0)=0,0,1+COUNTIF(DR$3:DR170,"&gt;0"))</f>
        <v>0</v>
      </c>
      <c r="DS171">
        <f>IF(IF(OR(IFERROR(SEARCH("Paladin",$T171,1),0)&gt;0,IFERROR(SEARCH(PaladinOath,$T171,1),0)&gt;0),1,0)*IF($C171=DS$2,1,0)=1,1+COUNTIF(DS$3:DS170,"&gt;0"),0)</f>
        <v>0</v>
      </c>
      <c r="DT171">
        <f>IF(IF(OR(IFERROR(SEARCH("Paladin",$T171,1),0)&gt;0,IFERROR(SEARCH(PaladinOath,$T171,1),0)&gt;0),1,0)*IF($C171=DT$2,1,0)=1,1+COUNTIF(DT$3:DT170,"&gt;0"),0)</f>
        <v>0</v>
      </c>
      <c r="DU171">
        <f>IF(IF(OR(IFERROR(SEARCH("Paladin",$T171,1),0)&gt;0,IFERROR(SEARCH(PaladinOath,$T171,1),0)&gt;0),1,0)*IF($C171=DU$2,1,0)=1,1+COUNTIF(DU$3:DU170,"&gt;0"),0)</f>
        <v>0</v>
      </c>
      <c r="DV171">
        <f>IF(IF(OR(IFERROR(SEARCH("Paladin",$T171,1),0)&gt;0,IFERROR(SEARCH(PaladinOath,$T171,1),0)&gt;0),1,0)*IF($C171=DV$2,1,0)=1,1+COUNTIF(DV$3:DV170,"&gt;0"),0)</f>
        <v>0</v>
      </c>
      <c r="DW171">
        <f>IF(IF(OR(IFERROR(SEARCH("Paladin",$T171,1),0)&gt;0,IFERROR(SEARCH(PaladinOath,$T171,1),0)&gt;0),1,0)*IF($C171=DW$2,1,0)=1,1+COUNTIF(DW$3:DW170,"&gt;0"),0)</f>
        <v>0</v>
      </c>
      <c r="DY171">
        <f t="shared" si="111"/>
        <v>1</v>
      </c>
      <c r="DZ171">
        <f>IF(DY171=0,0,1+MAX(DZ$3:$DZ170))</f>
        <v>169</v>
      </c>
      <c r="EB171">
        <f t="shared" si="125"/>
        <v>0</v>
      </c>
      <c r="EC171">
        <f>IF(EB171=0,0,1+COUNTIF(EC$3:EC170,"&gt;0"))</f>
        <v>0</v>
      </c>
      <c r="ED171" t="str">
        <f t="shared" si="153"/>
        <v/>
      </c>
      <c r="EE171" t="str">
        <f t="shared" si="126"/>
        <v/>
      </c>
      <c r="EG171">
        <f t="shared" si="127"/>
        <v>0</v>
      </c>
      <c r="EH171">
        <f>IF(EG171=0,0,1+COUNTIF(EH$3:EH170,"&gt;0"))</f>
        <v>0</v>
      </c>
      <c r="EI171" t="str">
        <f t="shared" si="154"/>
        <v/>
      </c>
      <c r="EJ171" t="str">
        <f t="shared" si="128"/>
        <v/>
      </c>
      <c r="EL171">
        <f t="shared" si="129"/>
        <v>0</v>
      </c>
      <c r="EM171">
        <f>IF(EL171=0,0,1+COUNTIF(EM$3:EM170,"&gt;0"))</f>
        <v>0</v>
      </c>
      <c r="EN171" t="str">
        <f t="shared" si="155"/>
        <v/>
      </c>
      <c r="EO171" t="str">
        <f t="shared" si="130"/>
        <v/>
      </c>
      <c r="EQ171">
        <f t="shared" si="131"/>
        <v>0</v>
      </c>
      <c r="ER171">
        <f>IF(EQ171=0,0,1+COUNTIF(ER$3:ER170,"&gt;0"))</f>
        <v>0</v>
      </c>
      <c r="ES171" t="str">
        <f t="shared" si="156"/>
        <v/>
      </c>
      <c r="ET171" t="str">
        <f t="shared" si="132"/>
        <v/>
      </c>
      <c r="EV171">
        <f t="shared" si="133"/>
        <v>0</v>
      </c>
      <c r="EW171">
        <f>IF(EV171=0,0,1+COUNTIF(EW$3:EW170,"&gt;0"))</f>
        <v>0</v>
      </c>
      <c r="EX171" t="str">
        <f t="shared" si="157"/>
        <v/>
      </c>
      <c r="EY171" t="str">
        <f t="shared" si="134"/>
        <v/>
      </c>
      <c r="FA171">
        <f t="shared" si="135"/>
        <v>0</v>
      </c>
      <c r="FB171">
        <f>IF(FA171=0,0,1+COUNTIF(FB$3:FB170,"&gt;0"))</f>
        <v>0</v>
      </c>
      <c r="FC171" t="str">
        <f t="shared" si="158"/>
        <v/>
      </c>
      <c r="FD171" t="str">
        <f t="shared" si="136"/>
        <v/>
      </c>
      <c r="FF171">
        <f t="shared" si="137"/>
        <v>0</v>
      </c>
      <c r="FG171">
        <f>IF(FF171=0,0,1+COUNTIF(FG$3:FG170,"&gt;0"))</f>
        <v>0</v>
      </c>
      <c r="FH171" t="str">
        <f t="shared" si="159"/>
        <v/>
      </c>
      <c r="FI171" t="str">
        <f t="shared" si="138"/>
        <v/>
      </c>
      <c r="FK171">
        <f t="shared" si="139"/>
        <v>0</v>
      </c>
      <c r="FL171">
        <f>IF(FK171=0,0,1+COUNTIF(FL$3:FL170,"&gt;0"))</f>
        <v>0</v>
      </c>
      <c r="FM171" t="str">
        <f t="shared" si="160"/>
        <v/>
      </c>
      <c r="FN171" t="str">
        <f t="shared" si="140"/>
        <v/>
      </c>
      <c r="FP171">
        <f t="shared" si="141"/>
        <v>0</v>
      </c>
      <c r="FQ171">
        <f>IF(FP171=0,0,1+COUNTIF(FQ$3:FQ170,"&gt;0"))</f>
        <v>0</v>
      </c>
      <c r="FR171" t="str">
        <f t="shared" si="161"/>
        <v/>
      </c>
      <c r="FS171" t="str">
        <f t="shared" si="142"/>
        <v/>
      </c>
    </row>
    <row r="172" spans="1:175" x14ac:dyDescent="0.25">
      <c r="A172" s="347">
        <f t="shared" si="162"/>
        <v>170</v>
      </c>
      <c r="B172" s="348" t="s">
        <v>2547</v>
      </c>
      <c r="C172" s="348">
        <v>1</v>
      </c>
      <c r="D172" s="347">
        <v>1</v>
      </c>
      <c r="E172" s="627" t="s">
        <v>6952</v>
      </c>
      <c r="F172" s="346"/>
      <c r="G172" s="347" t="str">
        <f>""</f>
        <v/>
      </c>
      <c r="H172" s="347" t="s">
        <v>5918</v>
      </c>
      <c r="I172" s="347" t="s">
        <v>5283</v>
      </c>
      <c r="J172" s="347" t="str">
        <f t="shared" si="112"/>
        <v/>
      </c>
      <c r="K172" s="347" t="s">
        <v>5291</v>
      </c>
      <c r="L172" s="611" t="str">
        <f t="shared" si="113"/>
        <v>V</v>
      </c>
      <c r="M172" s="347" t="s">
        <v>2373</v>
      </c>
      <c r="N172" s="347" t="s">
        <v>3034</v>
      </c>
      <c r="O172" s="347" t="s">
        <v>3034</v>
      </c>
      <c r="P172" s="346" t="str">
        <f>""</f>
        <v/>
      </c>
      <c r="Q172" s="347" t="s">
        <v>5271</v>
      </c>
      <c r="S172" s="346" t="s">
        <v>5722</v>
      </c>
      <c r="T172" s="346" t="str">
        <f t="shared" si="114"/>
        <v xml:space="preserve">Ranger, </v>
      </c>
      <c r="W172" s="347" t="str">
        <f>$B172</f>
        <v>Hail of Thorns</v>
      </c>
      <c r="AE172" t="str">
        <f>IF(IFERROR(MATCH($B172,temp!A$4:A$13,0),0)&gt;0,T08_Spells!AE$2,"")</f>
        <v/>
      </c>
      <c r="AF172" t="str">
        <f>IF(IFERROR(MATCH($B172,temp!B$4:B$13,0),0)&gt;0,T08_Spells!AF$2,"")</f>
        <v/>
      </c>
      <c r="AG172" t="str">
        <f>IF(IFERROR(MATCH($B172,temp!C$4:C$13,0),0)&gt;0,T08_Spells!AG$2,"")</f>
        <v/>
      </c>
      <c r="AH172" t="str">
        <f>IF(IFERROR(MATCH($B172,temp!D$4:D$13,0),0)&gt;0,T08_Spells!AH$2,"")</f>
        <v/>
      </c>
      <c r="AI172" t="str">
        <f>IF(IFERROR(MATCH($B172,temp!E$4:E$13,0),0)&gt;0,T08_Spells!AI$2,"")</f>
        <v/>
      </c>
      <c r="AJ172" t="str">
        <f>IF(IFERROR(MATCH($B172,temp!F$4:F$13,0),0)&gt;0,T08_Spells!AJ$2,"")</f>
        <v/>
      </c>
      <c r="AK172" t="str">
        <f>IF(IFERROR(MATCH($B172,temp!G$4:G$13,0),0)&gt;0,T08_Spells!AK$2,"")</f>
        <v/>
      </c>
      <c r="AL172" t="str">
        <f>IF(IFERROR(MATCH($B172,temp!H$4:H$13,0),0)&gt;0,T08_Spells!AL$2,"")</f>
        <v/>
      </c>
      <c r="AM172" t="str">
        <f>IF(IFERROR(MATCH($B172,temp!I$4:I$13,0),0)&gt;0,T08_Spells!AM$2,"")</f>
        <v/>
      </c>
      <c r="AN172" t="str">
        <f>IF(IFERROR(MATCH($B172,temp!J$4:J$13,0),0)&gt;0,T08_Spells!AN$2,"")</f>
        <v/>
      </c>
      <c r="AO172" t="str">
        <f>IF(IFERROR(MATCH($B172,temp!K$4:K$13,0),0)&gt;0,T08_Spells!AO$2,"")</f>
        <v/>
      </c>
      <c r="AP172" t="str">
        <f>IF(IFERROR(MATCH($B172,temp!L$4:L$13,0),0)&gt;0,T08_Spells!AP$2,"")</f>
        <v/>
      </c>
      <c r="AQ172" t="str">
        <f>IF(IFERROR(MATCH($B172,temp!M$4:M$13,0),0)&gt;0,T08_Spells!AQ$2,"")</f>
        <v/>
      </c>
      <c r="AR172" t="str">
        <f>IF(IFERROR(MATCH($B172,temp!N$4:N$13,0),0)&gt;0,T08_Spells!AR$2,"")</f>
        <v/>
      </c>
      <c r="AS172" t="str">
        <f>IF(IFERROR(MATCH($B172,temp!O$4:O$13,0),0)&gt;0,T08_Spells!AS$2,"")</f>
        <v/>
      </c>
      <c r="AT172" t="str">
        <f>IF(IFERROR(MATCH($B172,temp!P$4:P$13,0),0)&gt;0,T08_Spells!AT$2,"")</f>
        <v/>
      </c>
      <c r="AU172" t="str">
        <f>IF(IFERROR(MATCH($B172,temp!Q$4:Q$13,0),0)&gt;0,T08_Spells!AU$2,"")</f>
        <v/>
      </c>
      <c r="AV172" t="str">
        <f>IF(IFERROR(MATCH($B172,temp!R$4:R$13,0),0)&gt;0,T08_Spells!AV$2,"")</f>
        <v/>
      </c>
      <c r="AW172" t="str">
        <f>IF(IFERROR(MATCH($B172,temp!S$4:S$13,0),0)&gt;0,T08_Spells!AW$2,"")</f>
        <v/>
      </c>
      <c r="AX172" t="str">
        <f>IF(IFERROR(MATCH($B172,temp!T$4:T$13,0),0)&gt;0,T08_Spells!AX$2,"")</f>
        <v/>
      </c>
      <c r="AY172" t="str">
        <f>IF(IFERROR(MATCH($B172,temp!U$4:U$13,0),0)&gt;0,T08_Spells!AY$2,"")</f>
        <v/>
      </c>
      <c r="AZ172" t="str">
        <f>IF(IFERROR(MATCH($B172,temp!V$4:V$13,0),0)&gt;0,T08_Spells!AZ$2,"")</f>
        <v/>
      </c>
      <c r="BA172" t="str">
        <f>IF(IFERROR(MATCH($B172,temp!W$4:W$13,0),0)&gt;0,T08_Spells!BA$2,"")</f>
        <v/>
      </c>
      <c r="BC172">
        <f>IF(IFERROR(SEARCH("Ranger",$T172,1),0)&gt;0,1,0)*IF(RangerMaxSpellLevel&gt;=$C172,1,0)*IF(IFERROR(MATCH(B172,Character_Creation!$X$79:$X$382,0),0)&gt;0,0,1)</f>
        <v>0</v>
      </c>
      <c r="BD172">
        <f>IF(BC172=0,0,1+COUNTIF(BD$3:BD171,"&gt;0"))</f>
        <v>0</v>
      </c>
      <c r="BE172" t="str">
        <f t="shared" si="143"/>
        <v/>
      </c>
      <c r="BF172" t="str">
        <f t="shared" si="115"/>
        <v/>
      </c>
      <c r="BH172">
        <f>IF(IFERROR(SEARCH("Sorcerer",$T172,1),0)&gt;0,1,0)*IF(SorcererMaxSpellLevel&gt;=$C172,1,0)*IF(IFERROR(MATCH(B172,Character_Creation!$J$380:$J$394,0),0)&gt;0,0,1)</f>
        <v>0</v>
      </c>
      <c r="BI172">
        <f>IF(BH172=0,0,1+COUNTIF(BI$3:BI171,"&gt;0"))</f>
        <v>0</v>
      </c>
      <c r="BJ172" t="str">
        <f t="shared" si="144"/>
        <v/>
      </c>
      <c r="BK172" t="str">
        <f t="shared" si="116"/>
        <v/>
      </c>
      <c r="BM172">
        <f>IF(OR(IFERROR(SEARCH("Warlock",$T172,1),0)&gt;0,IFERROR(SEARCH(WarlockPatron,$T172,1),0)&gt;0),1,0)*IF(WarlockMaxSpellLevel&gt;=$C172,1,0)*IF(IFERROR(MATCH(B172,Character_Creation!$J$361:$J$375,0),0)&gt;0,0,1)</f>
        <v>0</v>
      </c>
      <c r="BN172">
        <f>IF(BM172=0,0,1+COUNTIF(BN$3:BN171,"&gt;0"))</f>
        <v>0</v>
      </c>
      <c r="BO172" t="str">
        <f t="shared" si="145"/>
        <v/>
      </c>
      <c r="BP172" t="str">
        <f t="shared" si="117"/>
        <v/>
      </c>
      <c r="BR172">
        <f>IF(IFERROR(SEARCH("Eldritch Knight",$T172,1),0)&gt;0,1,0)*IF(EldritchKnightMaxSpellLevel&gt;=$C172,1,0)*IF(IFERROR(MATCH($B172,Character_Creation!$J$350:$J$356,0),0)&gt;0,0,1)*IF(Character_Creation!$M$338&gt;0,1,0)</f>
        <v>0</v>
      </c>
      <c r="BS172">
        <f>IF(BR172=0,0,1+COUNTIF(BS$3:BS171,"&gt;0"))</f>
        <v>0</v>
      </c>
      <c r="BT172" t="str">
        <f t="shared" si="146"/>
        <v/>
      </c>
      <c r="BU172" t="str">
        <f t="shared" si="118"/>
        <v/>
      </c>
      <c r="BW172">
        <f>IF(IFERROR(SEARCH("Arcane Trickster",$T172,1),0)&gt;0,1,0)*IF(ArcaneTricksterMaxSpellLevel&gt;=$C172,1,0)*IF(IFERROR(MATCH($B172,Character_Creation!$J$350:$J$356,0),0)&gt;0,0,1)*IF(Character_Creation!$T$338&gt;0,1,0)</f>
        <v>0</v>
      </c>
      <c r="BX172">
        <f>IF(BW172=0,0,1+COUNTIF(BX$3:BX171,"&gt;0"))</f>
        <v>0</v>
      </c>
      <c r="BY172" t="str">
        <f t="shared" si="147"/>
        <v/>
      </c>
      <c r="BZ172" t="str">
        <f t="shared" si="119"/>
        <v/>
      </c>
      <c r="CB172">
        <f>IF(IFERROR(SEARCH("Wizard",$T172,1),0)&gt;0,1,0)*IF(C172&lt;=ArcaneTricksterMaxSpellLevel,1,0)*IF(IFERROR(MATCH($B172,Character_Creation!$J$350:$J$356,0),0)&gt;0,0,1)*IF(Character_Creation!$T$350&gt;0,1,0)</f>
        <v>0</v>
      </c>
      <c r="CC172">
        <f>IF(CB172=0,0,1+COUNTIF(CC$3:CC171,"&gt;0"))</f>
        <v>0</v>
      </c>
      <c r="CD172" t="str">
        <f t="shared" si="148"/>
        <v/>
      </c>
      <c r="CE172" t="str">
        <f t="shared" si="120"/>
        <v/>
      </c>
      <c r="CG172">
        <f>IF(IFERROR(SEARCH("Wizard",$T172,1),0)&gt;0,1,0)*IF($C172&lt;=EldritchKnightMaxSpellLevel,1,0)*IF(IFERROR(MATCH($B172,Character_Creation!$J$350:$J$356,0),0)&gt;0,0,1)*IF(Character_Creation!$M$350&gt;0,1,0)</f>
        <v>0</v>
      </c>
      <c r="CH172">
        <f>IF(CG172=0,0,1+COUNTIF(CH$3:CH171,"&gt;0"))</f>
        <v>0</v>
      </c>
      <c r="CI172" t="str">
        <f t="shared" si="149"/>
        <v/>
      </c>
      <c r="CJ172" t="str">
        <f t="shared" si="121"/>
        <v/>
      </c>
      <c r="CL172">
        <f>IF(IFERROR(SEARCH("Bard",$T172,1),0)&gt;0,1,0)*IF(BardMaxSpellLevel&gt;=$C172,1,0)*IF(IFERROR(MATCH(B172,Character_Creation!$C$341:$F$362,0),0)&gt;0,0,1)*IF(IFERROR(MATCH($B172,Character_Creation!$C$341:$C$362,0),0)&gt;0,0,1)</f>
        <v>0</v>
      </c>
      <c r="CM172">
        <f>IF(CL172=0,0,1+COUNTIF(CM$3:CM171,"&gt;0"))</f>
        <v>0</v>
      </c>
      <c r="CN172" t="str">
        <f t="shared" si="150"/>
        <v/>
      </c>
      <c r="CO172" t="str">
        <f t="shared" si="122"/>
        <v/>
      </c>
      <c r="CQ172">
        <f>IF(IFERROR(SEARCH("Wizard",$T172,1),0)&gt;0,1,0)*IF(WizardMaxSpellLevel&gt;=$C172,1,0)*IF(IFERROR(MATCH(B172,Character_Creation!$X$341:$X$400,0),0)&gt;0,0,1)*IF(SelectedWizardSpellLevel=$C172,1,0)</f>
        <v>0</v>
      </c>
      <c r="CR172">
        <f>IF(CQ172=0,0,1+COUNTIF(CR$3:CR171,"&gt;0"))</f>
        <v>0</v>
      </c>
      <c r="CS172" t="str">
        <f t="shared" si="151"/>
        <v/>
      </c>
      <c r="CT172" t="str">
        <f t="shared" si="123"/>
        <v/>
      </c>
      <c r="CV172">
        <f>IF(IFERROR(MATCH($B172,Character_Creation!$C$341:$C$362,0),0)&gt;0,0,1)*IF(OR(C172="Cantrip",C172&lt;=BardMaxSpellLevel),1,0)*IF(IFERROR(MATCH($B172,Character_Creation!$C$367:$C$374,0),0)&gt;0,0,1)</f>
        <v>0</v>
      </c>
      <c r="CW172">
        <f>IF(CV172=0,0,1+COUNTIF(CW$3:CW171,"&gt;0"))</f>
        <v>0</v>
      </c>
      <c r="CX172" t="str">
        <f t="shared" si="152"/>
        <v/>
      </c>
      <c r="CY172" t="str">
        <f t="shared" si="124"/>
        <v/>
      </c>
      <c r="DA172">
        <f>IF(IF(OR(IFERROR(SEARCH("Cleric",$T172,1),0)&gt;0,IFERROR(SEARCH(DivineDomain&amp;",",$T172,1),0)&gt;0),1,0)*IF($C172=DA$2,1,0)=1,1+COUNTIF(DA$3:DA171,"&gt;0"),0)</f>
        <v>0</v>
      </c>
      <c r="DB172">
        <f>IF(IF(OR(IFERROR(SEARCH("Cleric",$T172,1),0)&gt;0,IFERROR(SEARCH(DivineDomain&amp;",",$T172,1),0)&gt;0),1,0)*IF($C172=DB$2,1,0)=1,1+COUNTIF(DB$3:DB171,"&gt;0"),0)</f>
        <v>0</v>
      </c>
      <c r="DC172">
        <f>IF(IF(OR(IFERROR(SEARCH("Cleric",$T172,1),0)&gt;0,IFERROR(SEARCH(DivineDomain&amp;",",$T172,1),0)&gt;0),1,0)*IF($C172=DC$2,1,0)=1,1+COUNTIF(DC$3:DC171,"&gt;0"),0)</f>
        <v>0</v>
      </c>
      <c r="DD172">
        <f>IF(IF(OR(IFERROR(SEARCH("Cleric",$T172,1),0)&gt;0,IFERROR(SEARCH(DivineDomain&amp;",",$T172,1),0)&gt;0),1,0)*IF($C172=DD$2,1,0)=1,1+COUNTIF(DD$3:DD171,"&gt;0"),0)</f>
        <v>0</v>
      </c>
      <c r="DE172">
        <f>IF(IF(OR(IFERROR(SEARCH("Cleric",$T172,1),0)&gt;0,IFERROR(SEARCH(DivineDomain&amp;",",$T172,1),0)&gt;0),1,0)*IF($C172=DE$2,1,0)=1,1+COUNTIF(DE$3:DE171,"&gt;0"),0)</f>
        <v>0</v>
      </c>
      <c r="DF172">
        <f>IF(IF(OR(IFERROR(SEARCH("Cleric",$T172,1),0)&gt;0,IFERROR(SEARCH(DivineDomain&amp;",",$T172,1),0)&gt;0),1,0)*IF($C172=DF$2,1,0)=1,1+COUNTIF(DF$3:DF171,"&gt;0"),0)</f>
        <v>0</v>
      </c>
      <c r="DG172">
        <f>IF(IF(OR(IFERROR(SEARCH("Cleric",$T172,1),0)&gt;0,IFERROR(SEARCH(DivineDomain&amp;",",$T172,1),0)&gt;0),1,0)*IF($C172=DG$2,1,0)=1,1+COUNTIF(DG$3:DG171,"&gt;0"),0)</f>
        <v>0</v>
      </c>
      <c r="DH172">
        <f>IF(IF(OR(IFERROR(SEARCH("Cleric",$T172,1),0)&gt;0,IFERROR(SEARCH(DivineDomain&amp;",",$T172,1),0)&gt;0),1,0)*IF($C172=DH$2,1,0)=1,1+COUNTIF(DH$3:DH171,"&gt;0"),0)</f>
        <v>0</v>
      </c>
      <c r="DI172">
        <f>IF(IF(OR(IFERROR(SEARCH("Cleric",$T172,1),0)&gt;0,IFERROR(SEARCH(DivineDomain&amp;",",$T172,1),0)&gt;0),1,0)*IF($C172=DI$2,1,0)=1,1+COUNTIF(DI$3:DI171,"&gt;0"),0)</f>
        <v>0</v>
      </c>
      <c r="DJ172">
        <f>IF(IF(OR(IFERROR(SEARCH("Druid",$T172,1),0)&gt;0,IFERROR(SEARCH(DruidLand1,$T172,1),0)&gt;0,IFERROR(SEARCH(DruidLand2,$T172,1),0)&gt;0,IFERROR(SEARCH(DruidLand3,$T172,1),0)&gt;0,IFERROR(SEARCH(DruidLand4,$T172,1),0)&gt;0),1,0)*IF($C172=1,1,0)*IF($C172=DJ$2,1,0)=0,0,1+COUNTIF(DJ$3:DJ171,"&gt;0"))</f>
        <v>0</v>
      </c>
      <c r="DK172">
        <f>IF(IF(OR(IFERROR(SEARCH("Druid",$T172,1),0)&gt;0,IFERROR(SEARCH(DruidLand1,$T172,1),0)&gt;0,IFERROR(SEARCH(DruidLand2,$T172,1),0)&gt;0,IFERROR(SEARCH(DruidLand3,$T172,1),0)&gt;0,IFERROR(SEARCH(DruidLand4,$T172,1),0)&gt;0),1,0)*IF($C172=1,1,0)*IF($C172=DK$2,1,0)=0,0,1+COUNTIF(DK$3:DK171,"&gt;0"))</f>
        <v>0</v>
      </c>
      <c r="DL172">
        <f>IF(IF(OR(IFERROR(SEARCH("Druid",$T172,1),0)&gt;0,IFERROR(SEARCH(DruidLand1,$T172,1),0)&gt;0,IFERROR(SEARCH(DruidLand2,$T172,1),0)&gt;0,IFERROR(SEARCH(DruidLand3,$T172,1),0)&gt;0,IFERROR(SEARCH(DruidLand4,$T172,1),0)&gt;0),1,0)*IF($C172=1,1,0)*IF($C172=DL$2,1,0)=0,0,1+COUNTIF(DL$3:DL171,"&gt;0"))</f>
        <v>0</v>
      </c>
      <c r="DM172">
        <f>IF(IF(OR(IFERROR(SEARCH("Druid",$T172,1),0)&gt;0,IFERROR(SEARCH(DruidLand1,$T172,1),0)&gt;0,IFERROR(SEARCH(DruidLand2,$T172,1),0)&gt;0,IFERROR(SEARCH(DruidLand3,$T172,1),0)&gt;0,IFERROR(SEARCH(DruidLand4,$T172,1),0)&gt;0),1,0)*IF($C172=1,1,0)*IF($C172=DM$2,1,0)=0,0,1+COUNTIF(DM$3:DM171,"&gt;0"))</f>
        <v>0</v>
      </c>
      <c r="DN172">
        <f>IF(IF(OR(IFERROR(SEARCH("Druid",$T172,1),0)&gt;0,IFERROR(SEARCH(DruidLand1,$T172,1),0)&gt;0,IFERROR(SEARCH(DruidLand2,$T172,1),0)&gt;0,IFERROR(SEARCH(DruidLand3,$T172,1),0)&gt;0,IFERROR(SEARCH(DruidLand4,$T172,1),0)&gt;0),1,0)*IF($C172=1,1,0)*IF($C172=DN$2,1,0)=0,0,1+COUNTIF(DN$3:DN171,"&gt;0"))</f>
        <v>0</v>
      </c>
      <c r="DO172">
        <f>IF(IF(OR(IFERROR(SEARCH("Druid",$T172,1),0)&gt;0,IFERROR(SEARCH(DruidLand1,$T172,1),0)&gt;0,IFERROR(SEARCH(DruidLand2,$T172,1),0)&gt;0,IFERROR(SEARCH(DruidLand3,$T172,1),0)&gt;0,IFERROR(SEARCH(DruidLand4,$T172,1),0)&gt;0),1,0)*IF($C172=1,1,0)*IF($C172=DO$2,1,0)=0,0,1+COUNTIF(DO$3:DO171,"&gt;0"))</f>
        <v>0</v>
      </c>
      <c r="DP172">
        <f>IF(IF(OR(IFERROR(SEARCH("Druid",$T172,1),0)&gt;0,IFERROR(SEARCH(DruidLand1,$T172,1),0)&gt;0,IFERROR(SEARCH(DruidLand2,$T172,1),0)&gt;0,IFERROR(SEARCH(DruidLand3,$T172,1),0)&gt;0,IFERROR(SEARCH(DruidLand4,$T172,1),0)&gt;0),1,0)*IF($C172=1,1,0)*IF($C172=DP$2,1,0)=0,0,1+COUNTIF(DP$3:DP171,"&gt;0"))</f>
        <v>0</v>
      </c>
      <c r="DQ172">
        <f>IF(IF(OR(IFERROR(SEARCH("Druid",$T172,1),0)&gt;0,IFERROR(SEARCH(DruidLand1,$T172,1),0)&gt;0,IFERROR(SEARCH(DruidLand2,$T172,1),0)&gt;0,IFERROR(SEARCH(DruidLand3,$T172,1),0)&gt;0,IFERROR(SEARCH(DruidLand4,$T172,1),0)&gt;0),1,0)*IF($C172=1,1,0)*IF($C172=DQ$2,1,0)=0,0,1+COUNTIF(DQ$3:DQ171,"&gt;0"))</f>
        <v>0</v>
      </c>
      <c r="DR172">
        <f>IF(IF(OR(IFERROR(SEARCH("Druid",$T172,1),0)&gt;0,IFERROR(SEARCH(DruidLand1,$T172,1),0)&gt;0,IFERROR(SEARCH(DruidLand2,$T172,1),0)&gt;0,IFERROR(SEARCH(DruidLand3,$T172,1),0)&gt;0,IFERROR(SEARCH(DruidLand4,$T172,1),0)&gt;0),1,0)*IF($C172=1,1,0)*IF($C172=DR$2,1,0)=0,0,1+COUNTIF(DR$3:DR171,"&gt;0"))</f>
        <v>0</v>
      </c>
      <c r="DS172">
        <f>IF(IF(OR(IFERROR(SEARCH("Paladin",$T172,1),0)&gt;0,IFERROR(SEARCH(PaladinOath,$T172,1),0)&gt;0),1,0)*IF($C172=DS$2,1,0)=1,1+COUNTIF(DS$3:DS171,"&gt;0"),0)</f>
        <v>0</v>
      </c>
      <c r="DT172">
        <f>IF(IF(OR(IFERROR(SEARCH("Paladin",$T172,1),0)&gt;0,IFERROR(SEARCH(PaladinOath,$T172,1),0)&gt;0),1,0)*IF($C172=DT$2,1,0)=1,1+COUNTIF(DT$3:DT171,"&gt;0"),0)</f>
        <v>0</v>
      </c>
      <c r="DU172">
        <f>IF(IF(OR(IFERROR(SEARCH("Paladin",$T172,1),0)&gt;0,IFERROR(SEARCH(PaladinOath,$T172,1),0)&gt;0),1,0)*IF($C172=DU$2,1,0)=1,1+COUNTIF(DU$3:DU171,"&gt;0"),0)</f>
        <v>0</v>
      </c>
      <c r="DV172">
        <f>IF(IF(OR(IFERROR(SEARCH("Paladin",$T172,1),0)&gt;0,IFERROR(SEARCH(PaladinOath,$T172,1),0)&gt;0),1,0)*IF($C172=DV$2,1,0)=1,1+COUNTIF(DV$3:DV171,"&gt;0"),0)</f>
        <v>0</v>
      </c>
      <c r="DW172">
        <f>IF(IF(OR(IFERROR(SEARCH("Paladin",$T172,1),0)&gt;0,IFERROR(SEARCH(PaladinOath,$T172,1),0)&gt;0),1,0)*IF($C172=DW$2,1,0)=1,1+COUNTIF(DW$3:DW171,"&gt;0"),0)</f>
        <v>0</v>
      </c>
      <c r="DY172">
        <f t="shared" si="111"/>
        <v>1</v>
      </c>
      <c r="DZ172">
        <f>IF(DY172=0,0,1+MAX(DZ$3:$DZ171))</f>
        <v>170</v>
      </c>
      <c r="EB172">
        <f t="shared" si="125"/>
        <v>0</v>
      </c>
      <c r="EC172">
        <f>IF(EB172=0,0,1+COUNTIF(EC$3:EC171,"&gt;0"))</f>
        <v>0</v>
      </c>
      <c r="ED172" t="str">
        <f t="shared" si="153"/>
        <v/>
      </c>
      <c r="EE172" t="str">
        <f t="shared" si="126"/>
        <v/>
      </c>
      <c r="EG172">
        <f t="shared" si="127"/>
        <v>0</v>
      </c>
      <c r="EH172">
        <f>IF(EG172=0,0,1+COUNTIF(EH$3:EH171,"&gt;0"))</f>
        <v>0</v>
      </c>
      <c r="EI172" t="str">
        <f t="shared" si="154"/>
        <v/>
      </c>
      <c r="EJ172" t="str">
        <f t="shared" si="128"/>
        <v/>
      </c>
      <c r="EL172">
        <f t="shared" si="129"/>
        <v>0</v>
      </c>
      <c r="EM172">
        <f>IF(EL172=0,0,1+COUNTIF(EM$3:EM171,"&gt;0"))</f>
        <v>0</v>
      </c>
      <c r="EN172" t="str">
        <f t="shared" si="155"/>
        <v/>
      </c>
      <c r="EO172" t="str">
        <f t="shared" si="130"/>
        <v/>
      </c>
      <c r="EQ172">
        <f t="shared" si="131"/>
        <v>0</v>
      </c>
      <c r="ER172">
        <f>IF(EQ172=0,0,1+COUNTIF(ER$3:ER171,"&gt;0"))</f>
        <v>0</v>
      </c>
      <c r="ES172" t="str">
        <f t="shared" si="156"/>
        <v/>
      </c>
      <c r="ET172" t="str">
        <f t="shared" si="132"/>
        <v/>
      </c>
      <c r="EV172">
        <f t="shared" si="133"/>
        <v>0</v>
      </c>
      <c r="EW172">
        <f>IF(EV172=0,0,1+COUNTIF(EW$3:EW171,"&gt;0"))</f>
        <v>0</v>
      </c>
      <c r="EX172" t="str">
        <f t="shared" si="157"/>
        <v/>
      </c>
      <c r="EY172" t="str">
        <f t="shared" si="134"/>
        <v/>
      </c>
      <c r="FA172">
        <f t="shared" si="135"/>
        <v>0</v>
      </c>
      <c r="FB172">
        <f>IF(FA172=0,0,1+COUNTIF(FB$3:FB171,"&gt;0"))</f>
        <v>0</v>
      </c>
      <c r="FC172" t="str">
        <f t="shared" si="158"/>
        <v/>
      </c>
      <c r="FD172" t="str">
        <f t="shared" si="136"/>
        <v/>
      </c>
      <c r="FF172">
        <f t="shared" si="137"/>
        <v>0</v>
      </c>
      <c r="FG172">
        <f>IF(FF172=0,0,1+COUNTIF(FG$3:FG171,"&gt;0"))</f>
        <v>0</v>
      </c>
      <c r="FH172" t="str">
        <f t="shared" si="159"/>
        <v/>
      </c>
      <c r="FI172" t="str">
        <f t="shared" si="138"/>
        <v/>
      </c>
      <c r="FK172">
        <f t="shared" si="139"/>
        <v>0</v>
      </c>
      <c r="FL172">
        <f>IF(FK172=0,0,1+COUNTIF(FL$3:FL171,"&gt;0"))</f>
        <v>0</v>
      </c>
      <c r="FM172" t="str">
        <f t="shared" si="160"/>
        <v/>
      </c>
      <c r="FN172" t="str">
        <f t="shared" si="140"/>
        <v/>
      </c>
      <c r="FP172">
        <f t="shared" si="141"/>
        <v>0</v>
      </c>
      <c r="FQ172">
        <f>IF(FP172=0,0,1+COUNTIF(FQ$3:FQ171,"&gt;0"))</f>
        <v>0</v>
      </c>
      <c r="FR172" t="str">
        <f t="shared" si="161"/>
        <v/>
      </c>
      <c r="FS172" t="str">
        <f t="shared" si="142"/>
        <v/>
      </c>
    </row>
    <row r="173" spans="1:175" x14ac:dyDescent="0.25">
      <c r="A173" s="347">
        <f t="shared" si="162"/>
        <v>171</v>
      </c>
      <c r="B173" s="348" t="s">
        <v>2548</v>
      </c>
      <c r="C173" s="348">
        <v>5</v>
      </c>
      <c r="D173" s="347">
        <v>5</v>
      </c>
      <c r="E173" s="627" t="s">
        <v>6952</v>
      </c>
      <c r="F173" s="346"/>
      <c r="G173" s="347" t="str">
        <f>""</f>
        <v/>
      </c>
      <c r="H173" s="347" t="s">
        <v>5285</v>
      </c>
      <c r="I173" s="347" t="s">
        <v>5298</v>
      </c>
      <c r="J173" s="347" t="str">
        <f t="shared" si="112"/>
        <v/>
      </c>
      <c r="K173" s="347" t="s">
        <v>5299</v>
      </c>
      <c r="L173" s="611" t="str">
        <f t="shared" si="113"/>
        <v>V, S, M, herbs, oils, and incense worth at least 1,000 gp, which the spell consumes</v>
      </c>
      <c r="M173" s="347" t="s">
        <v>2373</v>
      </c>
      <c r="N173" s="347" t="s">
        <v>2387</v>
      </c>
      <c r="O173" s="347" t="s">
        <v>1244</v>
      </c>
      <c r="P173" s="346" t="s">
        <v>5395</v>
      </c>
      <c r="Q173" s="347" t="s">
        <v>5273</v>
      </c>
      <c r="S173" s="346" t="s">
        <v>5723</v>
      </c>
      <c r="T173" s="346" t="str">
        <f t="shared" si="114"/>
        <v xml:space="preserve">Cleric, Archfiend, </v>
      </c>
      <c r="Z173" s="347" t="str">
        <f>$B173</f>
        <v>Hallow</v>
      </c>
      <c r="AE173" t="str">
        <f>IF(IFERROR(MATCH($B173,temp!A$4:A$13,0),0)&gt;0,T08_Spells!AE$2,"")</f>
        <v/>
      </c>
      <c r="AF173" t="str">
        <f>IF(IFERROR(MATCH($B173,temp!B$4:B$13,0),0)&gt;0,T08_Spells!AF$2,"")</f>
        <v/>
      </c>
      <c r="AG173" t="str">
        <f>IF(IFERROR(MATCH($B173,temp!C$4:C$13,0),0)&gt;0,T08_Spells!AG$2,"")</f>
        <v/>
      </c>
      <c r="AH173" t="str">
        <f>IF(IFERROR(MATCH($B173,temp!D$4:D$13,0),0)&gt;0,T08_Spells!AH$2,"")</f>
        <v/>
      </c>
      <c r="AI173" t="str">
        <f>IF(IFERROR(MATCH($B173,temp!E$4:E$13,0),0)&gt;0,T08_Spells!AI$2,"")</f>
        <v/>
      </c>
      <c r="AJ173" t="str">
        <f>IF(IFERROR(MATCH($B173,temp!F$4:F$13,0),0)&gt;0,T08_Spells!AJ$2,"")</f>
        <v>Archfiend</v>
      </c>
      <c r="AK173" t="str">
        <f>IF(IFERROR(MATCH($B173,temp!G$4:G$13,0),0)&gt;0,T08_Spells!AK$2,"")</f>
        <v/>
      </c>
      <c r="AL173" t="str">
        <f>IF(IFERROR(MATCH($B173,temp!H$4:H$13,0),0)&gt;0,T08_Spells!AL$2,"")</f>
        <v/>
      </c>
      <c r="AM173" t="str">
        <f>IF(IFERROR(MATCH($B173,temp!I$4:I$13,0),0)&gt;0,T08_Spells!AM$2,"")</f>
        <v/>
      </c>
      <c r="AN173" t="str">
        <f>IF(IFERROR(MATCH($B173,temp!J$4:J$13,0),0)&gt;0,T08_Spells!AN$2,"")</f>
        <v/>
      </c>
      <c r="AO173" t="str">
        <f>IF(IFERROR(MATCH($B173,temp!K$4:K$13,0),0)&gt;0,T08_Spells!AO$2,"")</f>
        <v/>
      </c>
      <c r="AP173" t="str">
        <f>IF(IFERROR(MATCH($B173,temp!L$4:L$13,0),0)&gt;0,T08_Spells!AP$2,"")</f>
        <v/>
      </c>
      <c r="AQ173" t="str">
        <f>IF(IFERROR(MATCH($B173,temp!M$4:M$13,0),0)&gt;0,T08_Spells!AQ$2,"")</f>
        <v/>
      </c>
      <c r="AR173" t="str">
        <f>IF(IFERROR(MATCH($B173,temp!N$4:N$13,0),0)&gt;0,T08_Spells!AR$2,"")</f>
        <v/>
      </c>
      <c r="AS173" t="str">
        <f>IF(IFERROR(MATCH($B173,temp!O$4:O$13,0),0)&gt;0,T08_Spells!AS$2,"")</f>
        <v/>
      </c>
      <c r="AT173" t="str">
        <f>IF(IFERROR(MATCH($B173,temp!P$4:P$13,0),0)&gt;0,T08_Spells!AT$2,"")</f>
        <v/>
      </c>
      <c r="AU173" t="str">
        <f>IF(IFERROR(MATCH($B173,temp!Q$4:Q$13,0),0)&gt;0,T08_Spells!AU$2,"")</f>
        <v/>
      </c>
      <c r="AV173" t="str">
        <f>IF(IFERROR(MATCH($B173,temp!R$4:R$13,0),0)&gt;0,T08_Spells!AV$2,"")</f>
        <v/>
      </c>
      <c r="AW173" t="str">
        <f>IF(IFERROR(MATCH($B173,temp!S$4:S$13,0),0)&gt;0,T08_Spells!AW$2,"")</f>
        <v/>
      </c>
      <c r="AX173" t="str">
        <f>IF(IFERROR(MATCH($B173,temp!T$4:T$13,0),0)&gt;0,T08_Spells!AX$2,"")</f>
        <v/>
      </c>
      <c r="AY173" t="str">
        <f>IF(IFERROR(MATCH($B173,temp!U$4:U$13,0),0)&gt;0,T08_Spells!AY$2,"")</f>
        <v/>
      </c>
      <c r="AZ173" t="str">
        <f>IF(IFERROR(MATCH($B173,temp!V$4:V$13,0),0)&gt;0,T08_Spells!AZ$2,"")</f>
        <v/>
      </c>
      <c r="BA173" t="str">
        <f>IF(IFERROR(MATCH($B173,temp!W$4:W$13,0),0)&gt;0,T08_Spells!BA$2,"")</f>
        <v/>
      </c>
      <c r="BC173">
        <f>IF(IFERROR(SEARCH("Ranger",$T173,1),0)&gt;0,1,0)*IF(RangerMaxSpellLevel&gt;=$C173,1,0)*IF(IFERROR(MATCH(B173,Character_Creation!$X$79:$X$382,0),0)&gt;0,0,1)</f>
        <v>0</v>
      </c>
      <c r="BD173">
        <f>IF(BC173=0,0,1+COUNTIF(BD$3:BD172,"&gt;0"))</f>
        <v>0</v>
      </c>
      <c r="BE173" t="str">
        <f t="shared" si="143"/>
        <v/>
      </c>
      <c r="BF173" t="str">
        <f t="shared" si="115"/>
        <v/>
      </c>
      <c r="BH173">
        <f>IF(IFERROR(SEARCH("Sorcerer",$T173,1),0)&gt;0,1,0)*IF(SorcererMaxSpellLevel&gt;=$C173,1,0)*IF(IFERROR(MATCH(B173,Character_Creation!$J$380:$J$394,0),0)&gt;0,0,1)</f>
        <v>0</v>
      </c>
      <c r="BI173">
        <f>IF(BH173=0,0,1+COUNTIF(BI$3:BI172,"&gt;0"))</f>
        <v>0</v>
      </c>
      <c r="BJ173" t="str">
        <f t="shared" si="144"/>
        <v/>
      </c>
      <c r="BK173" t="str">
        <f t="shared" si="116"/>
        <v/>
      </c>
      <c r="BM173">
        <f>IF(OR(IFERROR(SEARCH("Warlock",$T173,1),0)&gt;0,IFERROR(SEARCH(WarlockPatron,$T173,1),0)&gt;0),1,0)*IF(WarlockMaxSpellLevel&gt;=$C173,1,0)*IF(IFERROR(MATCH(B173,Character_Creation!$J$361:$J$375,0),0)&gt;0,0,1)</f>
        <v>0</v>
      </c>
      <c r="BN173">
        <f>IF(BM173=0,0,1+COUNTIF(BN$3:BN172,"&gt;0"))</f>
        <v>0</v>
      </c>
      <c r="BO173" t="str">
        <f t="shared" si="145"/>
        <v/>
      </c>
      <c r="BP173" t="str">
        <f t="shared" si="117"/>
        <v/>
      </c>
      <c r="BR173">
        <f>IF(IFERROR(SEARCH("Eldritch Knight",$T173,1),0)&gt;0,1,0)*IF(EldritchKnightMaxSpellLevel&gt;=$C173,1,0)*IF(IFERROR(MATCH($B173,Character_Creation!$J$350:$J$356,0),0)&gt;0,0,1)*IF(Character_Creation!$M$338&gt;0,1,0)</f>
        <v>0</v>
      </c>
      <c r="BS173">
        <f>IF(BR173=0,0,1+COUNTIF(BS$3:BS172,"&gt;0"))</f>
        <v>0</v>
      </c>
      <c r="BT173" t="str">
        <f t="shared" si="146"/>
        <v/>
      </c>
      <c r="BU173" t="str">
        <f t="shared" si="118"/>
        <v/>
      </c>
      <c r="BW173">
        <f>IF(IFERROR(SEARCH("Arcane Trickster",$T173,1),0)&gt;0,1,0)*IF(ArcaneTricksterMaxSpellLevel&gt;=$C173,1,0)*IF(IFERROR(MATCH($B173,Character_Creation!$J$350:$J$356,0),0)&gt;0,0,1)*IF(Character_Creation!$T$338&gt;0,1,0)</f>
        <v>0</v>
      </c>
      <c r="BX173">
        <f>IF(BW173=0,0,1+COUNTIF(BX$3:BX172,"&gt;0"))</f>
        <v>0</v>
      </c>
      <c r="BY173" t="str">
        <f t="shared" si="147"/>
        <v/>
      </c>
      <c r="BZ173" t="str">
        <f t="shared" si="119"/>
        <v/>
      </c>
      <c r="CB173">
        <f>IF(IFERROR(SEARCH("Wizard",$T173,1),0)&gt;0,1,0)*IF(C173&lt;=ArcaneTricksterMaxSpellLevel,1,0)*IF(IFERROR(MATCH($B173,Character_Creation!$J$350:$J$356,0),0)&gt;0,0,1)*IF(Character_Creation!$T$350&gt;0,1,0)</f>
        <v>0</v>
      </c>
      <c r="CC173">
        <f>IF(CB173=0,0,1+COUNTIF(CC$3:CC172,"&gt;0"))</f>
        <v>0</v>
      </c>
      <c r="CD173" t="str">
        <f t="shared" si="148"/>
        <v/>
      </c>
      <c r="CE173" t="str">
        <f t="shared" si="120"/>
        <v/>
      </c>
      <c r="CG173">
        <f>IF(IFERROR(SEARCH("Wizard",$T173,1),0)&gt;0,1,0)*IF($C173&lt;=EldritchKnightMaxSpellLevel,1,0)*IF(IFERROR(MATCH($B173,Character_Creation!$J$350:$J$356,0),0)&gt;0,0,1)*IF(Character_Creation!$M$350&gt;0,1,0)</f>
        <v>0</v>
      </c>
      <c r="CH173">
        <f>IF(CG173=0,0,1+COUNTIF(CH$3:CH172,"&gt;0"))</f>
        <v>0</v>
      </c>
      <c r="CI173" t="str">
        <f t="shared" si="149"/>
        <v/>
      </c>
      <c r="CJ173" t="str">
        <f t="shared" si="121"/>
        <v/>
      </c>
      <c r="CL173">
        <f>IF(IFERROR(SEARCH("Bard",$T173,1),0)&gt;0,1,0)*IF(BardMaxSpellLevel&gt;=$C173,1,0)*IF(IFERROR(MATCH(B173,Character_Creation!$C$341:$F$362,0),0)&gt;0,0,1)*IF(IFERROR(MATCH($B173,Character_Creation!$C$341:$C$362,0),0)&gt;0,0,1)</f>
        <v>0</v>
      </c>
      <c r="CM173">
        <f>IF(CL173=0,0,1+COUNTIF(CM$3:CM172,"&gt;0"))</f>
        <v>0</v>
      </c>
      <c r="CN173" t="str">
        <f t="shared" si="150"/>
        <v/>
      </c>
      <c r="CO173" t="str">
        <f t="shared" si="122"/>
        <v/>
      </c>
      <c r="CQ173">
        <f>IF(IFERROR(SEARCH("Wizard",$T173,1),0)&gt;0,1,0)*IF(WizardMaxSpellLevel&gt;=$C173,1,0)*IF(IFERROR(MATCH(B173,Character_Creation!$X$341:$X$400,0),0)&gt;0,0,1)*IF(SelectedWizardSpellLevel=$C173,1,0)</f>
        <v>0</v>
      </c>
      <c r="CR173">
        <f>IF(CQ173=0,0,1+COUNTIF(CR$3:CR172,"&gt;0"))</f>
        <v>0</v>
      </c>
      <c r="CS173" t="str">
        <f t="shared" si="151"/>
        <v/>
      </c>
      <c r="CT173" t="str">
        <f t="shared" si="123"/>
        <v/>
      </c>
      <c r="CV173">
        <f>IF(IFERROR(MATCH($B173,Character_Creation!$C$341:$C$362,0),0)&gt;0,0,1)*IF(OR(C173="Cantrip",C173&lt;=BardMaxSpellLevel),1,0)*IF(IFERROR(MATCH($B173,Character_Creation!$C$367:$C$374,0),0)&gt;0,0,1)</f>
        <v>0</v>
      </c>
      <c r="CW173">
        <f>IF(CV173=0,0,1+COUNTIF(CW$3:CW172,"&gt;0"))</f>
        <v>0</v>
      </c>
      <c r="CX173" t="str">
        <f t="shared" si="152"/>
        <v/>
      </c>
      <c r="CY173" t="str">
        <f t="shared" si="124"/>
        <v/>
      </c>
      <c r="DA173">
        <f>IF(IF(OR(IFERROR(SEARCH("Cleric",$T173,1),0)&gt;0,IFERROR(SEARCH(DivineDomain&amp;",",$T173,1),0)&gt;0),1,0)*IF($C173=DA$2,1,0)=1,1+COUNTIF(DA$3:DA172,"&gt;0"),0)</f>
        <v>0</v>
      </c>
      <c r="DB173">
        <f>IF(IF(OR(IFERROR(SEARCH("Cleric",$T173,1),0)&gt;0,IFERROR(SEARCH(DivineDomain&amp;",",$T173,1),0)&gt;0),1,0)*IF($C173=DB$2,1,0)=1,1+COUNTIF(DB$3:DB172,"&gt;0"),0)</f>
        <v>0</v>
      </c>
      <c r="DC173">
        <f>IF(IF(OR(IFERROR(SEARCH("Cleric",$T173,1),0)&gt;0,IFERROR(SEARCH(DivineDomain&amp;",",$T173,1),0)&gt;0),1,0)*IF($C173=DC$2,1,0)=1,1+COUNTIF(DC$3:DC172,"&gt;0"),0)</f>
        <v>0</v>
      </c>
      <c r="DD173">
        <f>IF(IF(OR(IFERROR(SEARCH("Cleric",$T173,1),0)&gt;0,IFERROR(SEARCH(DivineDomain&amp;",",$T173,1),0)&gt;0),1,0)*IF($C173=DD$2,1,0)=1,1+COUNTIF(DD$3:DD172,"&gt;0"),0)</f>
        <v>0</v>
      </c>
      <c r="DE173">
        <f>IF(IF(OR(IFERROR(SEARCH("Cleric",$T173,1),0)&gt;0,IFERROR(SEARCH(DivineDomain&amp;",",$T173,1),0)&gt;0),1,0)*IF($C173=DE$2,1,0)=1,1+COUNTIF(DE$3:DE172,"&gt;0"),0)</f>
        <v>7</v>
      </c>
      <c r="DF173">
        <f>IF(IF(OR(IFERROR(SEARCH("Cleric",$T173,1),0)&gt;0,IFERROR(SEARCH(DivineDomain&amp;",",$T173,1),0)&gt;0),1,0)*IF($C173=DF$2,1,0)=1,1+COUNTIF(DF$3:DF172,"&gt;0"),0)</f>
        <v>0</v>
      </c>
      <c r="DG173">
        <f>IF(IF(OR(IFERROR(SEARCH("Cleric",$T173,1),0)&gt;0,IFERROR(SEARCH(DivineDomain&amp;",",$T173,1),0)&gt;0),1,0)*IF($C173=DG$2,1,0)=1,1+COUNTIF(DG$3:DG172,"&gt;0"),0)</f>
        <v>0</v>
      </c>
      <c r="DH173">
        <f>IF(IF(OR(IFERROR(SEARCH("Cleric",$T173,1),0)&gt;0,IFERROR(SEARCH(DivineDomain&amp;",",$T173,1),0)&gt;0),1,0)*IF($C173=DH$2,1,0)=1,1+COUNTIF(DH$3:DH172,"&gt;0"),0)</f>
        <v>0</v>
      </c>
      <c r="DI173">
        <f>IF(IF(OR(IFERROR(SEARCH("Cleric",$T173,1),0)&gt;0,IFERROR(SEARCH(DivineDomain&amp;",",$T173,1),0)&gt;0),1,0)*IF($C173=DI$2,1,0)=1,1+COUNTIF(DI$3:DI172,"&gt;0"),0)</f>
        <v>0</v>
      </c>
      <c r="DJ173">
        <f>IF(IF(OR(IFERROR(SEARCH("Druid",$T173,1),0)&gt;0,IFERROR(SEARCH(DruidLand1,$T173,1),0)&gt;0,IFERROR(SEARCH(DruidLand2,$T173,1),0)&gt;0,IFERROR(SEARCH(DruidLand3,$T173,1),0)&gt;0,IFERROR(SEARCH(DruidLand4,$T173,1),0)&gt;0),1,0)*IF($C173=1,1,0)*IF($C173=DJ$2,1,0)=0,0,1+COUNTIF(DJ$3:DJ172,"&gt;0"))</f>
        <v>0</v>
      </c>
      <c r="DK173">
        <f>IF(IF(OR(IFERROR(SEARCH("Druid",$T173,1),0)&gt;0,IFERROR(SEARCH(DruidLand1,$T173,1),0)&gt;0,IFERROR(SEARCH(DruidLand2,$T173,1),0)&gt;0,IFERROR(SEARCH(DruidLand3,$T173,1),0)&gt;0,IFERROR(SEARCH(DruidLand4,$T173,1),0)&gt;0),1,0)*IF($C173=1,1,0)*IF($C173=DK$2,1,0)=0,0,1+COUNTIF(DK$3:DK172,"&gt;0"))</f>
        <v>0</v>
      </c>
      <c r="DL173">
        <f>IF(IF(OR(IFERROR(SEARCH("Druid",$T173,1),0)&gt;0,IFERROR(SEARCH(DruidLand1,$T173,1),0)&gt;0,IFERROR(SEARCH(DruidLand2,$T173,1),0)&gt;0,IFERROR(SEARCH(DruidLand3,$T173,1),0)&gt;0,IFERROR(SEARCH(DruidLand4,$T173,1),0)&gt;0),1,0)*IF($C173=1,1,0)*IF($C173=DL$2,1,0)=0,0,1+COUNTIF(DL$3:DL172,"&gt;0"))</f>
        <v>0</v>
      </c>
      <c r="DM173">
        <f>IF(IF(OR(IFERROR(SEARCH("Druid",$T173,1),0)&gt;0,IFERROR(SEARCH(DruidLand1,$T173,1),0)&gt;0,IFERROR(SEARCH(DruidLand2,$T173,1),0)&gt;0,IFERROR(SEARCH(DruidLand3,$T173,1),0)&gt;0,IFERROR(SEARCH(DruidLand4,$T173,1),0)&gt;0),1,0)*IF($C173=1,1,0)*IF($C173=DM$2,1,0)=0,0,1+COUNTIF(DM$3:DM172,"&gt;0"))</f>
        <v>0</v>
      </c>
      <c r="DN173">
        <f>IF(IF(OR(IFERROR(SEARCH("Druid",$T173,1),0)&gt;0,IFERROR(SEARCH(DruidLand1,$T173,1),0)&gt;0,IFERROR(SEARCH(DruidLand2,$T173,1),0)&gt;0,IFERROR(SEARCH(DruidLand3,$T173,1),0)&gt;0,IFERROR(SEARCH(DruidLand4,$T173,1),0)&gt;0),1,0)*IF($C173=1,1,0)*IF($C173=DN$2,1,0)=0,0,1+COUNTIF(DN$3:DN172,"&gt;0"))</f>
        <v>0</v>
      </c>
      <c r="DO173">
        <f>IF(IF(OR(IFERROR(SEARCH("Druid",$T173,1),0)&gt;0,IFERROR(SEARCH(DruidLand1,$T173,1),0)&gt;0,IFERROR(SEARCH(DruidLand2,$T173,1),0)&gt;0,IFERROR(SEARCH(DruidLand3,$T173,1),0)&gt;0,IFERROR(SEARCH(DruidLand4,$T173,1),0)&gt;0),1,0)*IF($C173=1,1,0)*IF($C173=DO$2,1,0)=0,0,1+COUNTIF(DO$3:DO172,"&gt;0"))</f>
        <v>0</v>
      </c>
      <c r="DP173">
        <f>IF(IF(OR(IFERROR(SEARCH("Druid",$T173,1),0)&gt;0,IFERROR(SEARCH(DruidLand1,$T173,1),0)&gt;0,IFERROR(SEARCH(DruidLand2,$T173,1),0)&gt;0,IFERROR(SEARCH(DruidLand3,$T173,1),0)&gt;0,IFERROR(SEARCH(DruidLand4,$T173,1),0)&gt;0),1,0)*IF($C173=1,1,0)*IF($C173=DP$2,1,0)=0,0,1+COUNTIF(DP$3:DP172,"&gt;0"))</f>
        <v>0</v>
      </c>
      <c r="DQ173">
        <f>IF(IF(OR(IFERROR(SEARCH("Druid",$T173,1),0)&gt;0,IFERROR(SEARCH(DruidLand1,$T173,1),0)&gt;0,IFERROR(SEARCH(DruidLand2,$T173,1),0)&gt;0,IFERROR(SEARCH(DruidLand3,$T173,1),0)&gt;0,IFERROR(SEARCH(DruidLand4,$T173,1),0)&gt;0),1,0)*IF($C173=1,1,0)*IF($C173=DQ$2,1,0)=0,0,1+COUNTIF(DQ$3:DQ172,"&gt;0"))</f>
        <v>0</v>
      </c>
      <c r="DR173">
        <f>IF(IF(OR(IFERROR(SEARCH("Druid",$T173,1),0)&gt;0,IFERROR(SEARCH(DruidLand1,$T173,1),0)&gt;0,IFERROR(SEARCH(DruidLand2,$T173,1),0)&gt;0,IFERROR(SEARCH(DruidLand3,$T173,1),0)&gt;0,IFERROR(SEARCH(DruidLand4,$T173,1),0)&gt;0),1,0)*IF($C173=1,1,0)*IF($C173=DR$2,1,0)=0,0,1+COUNTIF(DR$3:DR172,"&gt;0"))</f>
        <v>0</v>
      </c>
      <c r="DS173">
        <f>IF(IF(OR(IFERROR(SEARCH("Paladin",$T173,1),0)&gt;0,IFERROR(SEARCH(PaladinOath,$T173,1),0)&gt;0),1,0)*IF($C173=DS$2,1,0)=1,1+COUNTIF(DS$3:DS172,"&gt;0"),0)</f>
        <v>0</v>
      </c>
      <c r="DT173">
        <f>IF(IF(OR(IFERROR(SEARCH("Paladin",$T173,1),0)&gt;0,IFERROR(SEARCH(PaladinOath,$T173,1),0)&gt;0),1,0)*IF($C173=DT$2,1,0)=1,1+COUNTIF(DT$3:DT172,"&gt;0"),0)</f>
        <v>0</v>
      </c>
      <c r="DU173">
        <f>IF(IF(OR(IFERROR(SEARCH("Paladin",$T173,1),0)&gt;0,IFERROR(SEARCH(PaladinOath,$T173,1),0)&gt;0),1,0)*IF($C173=DU$2,1,0)=1,1+COUNTIF(DU$3:DU172,"&gt;0"),0)</f>
        <v>0</v>
      </c>
      <c r="DV173">
        <f>IF(IF(OR(IFERROR(SEARCH("Paladin",$T173,1),0)&gt;0,IFERROR(SEARCH(PaladinOath,$T173,1),0)&gt;0),1,0)*IF($C173=DV$2,1,0)=1,1+COUNTIF(DV$3:DV172,"&gt;0"),0)</f>
        <v>0</v>
      </c>
      <c r="DW173">
        <f>IF(IF(OR(IFERROR(SEARCH("Paladin",$T173,1),0)&gt;0,IFERROR(SEARCH(PaladinOath,$T173,1),0)&gt;0),1,0)*IF($C173=DW$2,1,0)=1,1+COUNTIF(DW$3:DW172,"&gt;0"),0)</f>
        <v>0</v>
      </c>
      <c r="DY173">
        <f t="shared" si="111"/>
        <v>1</v>
      </c>
      <c r="DZ173">
        <f>IF(DY173=0,0,1+MAX(DZ$3:$DZ172))</f>
        <v>171</v>
      </c>
      <c r="EB173">
        <f t="shared" si="125"/>
        <v>0</v>
      </c>
      <c r="EC173">
        <f>IF(EB173=0,0,1+COUNTIF(EC$3:EC172,"&gt;0"))</f>
        <v>0</v>
      </c>
      <c r="ED173" t="str">
        <f t="shared" si="153"/>
        <v/>
      </c>
      <c r="EE173" t="str">
        <f t="shared" si="126"/>
        <v/>
      </c>
      <c r="EG173">
        <f t="shared" si="127"/>
        <v>0</v>
      </c>
      <c r="EH173">
        <f>IF(EG173=0,0,1+COUNTIF(EH$3:EH172,"&gt;0"))</f>
        <v>0</v>
      </c>
      <c r="EI173" t="str">
        <f t="shared" si="154"/>
        <v/>
      </c>
      <c r="EJ173" t="str">
        <f t="shared" si="128"/>
        <v/>
      </c>
      <c r="EL173">
        <f t="shared" si="129"/>
        <v>0</v>
      </c>
      <c r="EM173">
        <f>IF(EL173=0,0,1+COUNTIF(EM$3:EM172,"&gt;0"))</f>
        <v>0</v>
      </c>
      <c r="EN173" t="str">
        <f t="shared" si="155"/>
        <v/>
      </c>
      <c r="EO173" t="str">
        <f t="shared" si="130"/>
        <v/>
      </c>
      <c r="EQ173">
        <f t="shared" si="131"/>
        <v>0</v>
      </c>
      <c r="ER173">
        <f>IF(EQ173=0,0,1+COUNTIF(ER$3:ER172,"&gt;0"))</f>
        <v>0</v>
      </c>
      <c r="ES173" t="str">
        <f t="shared" si="156"/>
        <v/>
      </c>
      <c r="ET173" t="str">
        <f t="shared" si="132"/>
        <v/>
      </c>
      <c r="EV173">
        <f t="shared" si="133"/>
        <v>0</v>
      </c>
      <c r="EW173">
        <f>IF(EV173=0,0,1+COUNTIF(EW$3:EW172,"&gt;0"))</f>
        <v>0</v>
      </c>
      <c r="EX173" t="str">
        <f t="shared" si="157"/>
        <v/>
      </c>
      <c r="EY173" t="str">
        <f t="shared" si="134"/>
        <v/>
      </c>
      <c r="FA173">
        <f t="shared" si="135"/>
        <v>0</v>
      </c>
      <c r="FB173">
        <f>IF(FA173=0,0,1+COUNTIF(FB$3:FB172,"&gt;0"))</f>
        <v>0</v>
      </c>
      <c r="FC173" t="str">
        <f t="shared" si="158"/>
        <v/>
      </c>
      <c r="FD173" t="str">
        <f t="shared" si="136"/>
        <v/>
      </c>
      <c r="FF173">
        <f t="shared" si="137"/>
        <v>0</v>
      </c>
      <c r="FG173">
        <f>IF(FF173=0,0,1+COUNTIF(FG$3:FG172,"&gt;0"))</f>
        <v>0</v>
      </c>
      <c r="FH173" t="str">
        <f t="shared" si="159"/>
        <v/>
      </c>
      <c r="FI173" t="str">
        <f t="shared" si="138"/>
        <v/>
      </c>
      <c r="FK173">
        <f t="shared" si="139"/>
        <v>0</v>
      </c>
      <c r="FL173">
        <f>IF(FK173=0,0,1+COUNTIF(FL$3:FL172,"&gt;0"))</f>
        <v>0</v>
      </c>
      <c r="FM173" t="str">
        <f t="shared" si="160"/>
        <v/>
      </c>
      <c r="FN173" t="str">
        <f t="shared" si="140"/>
        <v/>
      </c>
      <c r="FP173">
        <f t="shared" si="141"/>
        <v>0</v>
      </c>
      <c r="FQ173">
        <f>IF(FP173=0,0,1+COUNTIF(FQ$3:FQ172,"&gt;0"))</f>
        <v>0</v>
      </c>
      <c r="FR173" t="str">
        <f t="shared" si="161"/>
        <v/>
      </c>
      <c r="FS173" t="str">
        <f t="shared" si="142"/>
        <v/>
      </c>
    </row>
    <row r="174" spans="1:175" x14ac:dyDescent="0.25">
      <c r="A174" s="347">
        <f t="shared" si="162"/>
        <v>172</v>
      </c>
      <c r="B174" s="348" t="s">
        <v>2549</v>
      </c>
      <c r="C174" s="348">
        <v>4</v>
      </c>
      <c r="D174" s="347">
        <v>4</v>
      </c>
      <c r="E174" s="627" t="s">
        <v>6952</v>
      </c>
      <c r="F174" s="346"/>
      <c r="G174" s="347" t="str">
        <f>""</f>
        <v/>
      </c>
      <c r="H174" s="347" t="s">
        <v>5319</v>
      </c>
      <c r="I174" s="347" t="s">
        <v>5334</v>
      </c>
      <c r="J174" s="347" t="str">
        <f t="shared" si="112"/>
        <v/>
      </c>
      <c r="K174" s="347" t="s">
        <v>5285</v>
      </c>
      <c r="L174" s="611" t="str">
        <f t="shared" si="113"/>
        <v>V, S, M, a stone, a twig, and a bit of green plant</v>
      </c>
      <c r="M174" s="347" t="s">
        <v>2373</v>
      </c>
      <c r="N174" s="347" t="s">
        <v>2387</v>
      </c>
      <c r="O174" s="347" t="s">
        <v>1244</v>
      </c>
      <c r="P174" s="346" t="s">
        <v>5396</v>
      </c>
      <c r="Q174" s="347" t="s">
        <v>5274</v>
      </c>
      <c r="S174" s="346" t="s">
        <v>5724</v>
      </c>
      <c r="T174" s="346" t="str">
        <f t="shared" si="114"/>
        <v xml:space="preserve">Bard, Warlock, Druid, Arcane Trickster, Wizard, Desert, </v>
      </c>
      <c r="U174" s="347" t="str">
        <f>$B174</f>
        <v>Hallucinatory Terrain</v>
      </c>
      <c r="Y174" s="347" t="str">
        <f>$B174</f>
        <v>Hallucinatory Terrain</v>
      </c>
      <c r="AA174" s="347" t="str">
        <f>$B174</f>
        <v>Hallucinatory Terrain</v>
      </c>
      <c r="AC174" s="539" t="str">
        <f>B174</f>
        <v>Hallucinatory Terrain</v>
      </c>
      <c r="AD174" s="347" t="str">
        <f>$B174</f>
        <v>Hallucinatory Terrain</v>
      </c>
      <c r="AE174" t="str">
        <f>IF(IFERROR(MATCH($B174,temp!A$4:A$13,0),0)&gt;0,T08_Spells!AE$2,"")</f>
        <v/>
      </c>
      <c r="AF174" t="str">
        <f>IF(IFERROR(MATCH($B174,temp!B$4:B$13,0),0)&gt;0,T08_Spells!AF$2,"")</f>
        <v/>
      </c>
      <c r="AG174" t="str">
        <f>IF(IFERROR(MATCH($B174,temp!C$4:C$13,0),0)&gt;0,T08_Spells!AG$2,"")</f>
        <v/>
      </c>
      <c r="AH174" t="str">
        <f>IF(IFERROR(MATCH($B174,temp!D$4:D$13,0),0)&gt;0,T08_Spells!AH$2,"")</f>
        <v/>
      </c>
      <c r="AI174" t="str">
        <f>IF(IFERROR(MATCH($B174,temp!E$4:E$13,0),0)&gt;0,T08_Spells!AI$2,"")</f>
        <v/>
      </c>
      <c r="AJ174" t="str">
        <f>IF(IFERROR(MATCH($B174,temp!F$4:F$13,0),0)&gt;0,T08_Spells!AJ$2,"")</f>
        <v/>
      </c>
      <c r="AK174" t="str">
        <f>IF(IFERROR(MATCH($B174,temp!G$4:G$13,0),0)&gt;0,T08_Spells!AK$2,"")</f>
        <v/>
      </c>
      <c r="AL174" t="str">
        <f>IF(IFERROR(MATCH($B174,temp!H$4:H$13,0),0)&gt;0,T08_Spells!AL$2,"")</f>
        <v/>
      </c>
      <c r="AM174" t="str">
        <f>IF(IFERROR(MATCH($B174,temp!I$4:I$13,0),0)&gt;0,T08_Spells!AM$2,"")</f>
        <v/>
      </c>
      <c r="AN174" t="str">
        <f>IF(IFERROR(MATCH($B174,temp!J$4:J$13,0),0)&gt;0,T08_Spells!AN$2,"")</f>
        <v>Desert</v>
      </c>
      <c r="AO174" t="str">
        <f>IF(IFERROR(MATCH($B174,temp!K$4:K$13,0),0)&gt;0,T08_Spells!AO$2,"")</f>
        <v/>
      </c>
      <c r="AP174" t="str">
        <f>IF(IFERROR(MATCH($B174,temp!L$4:L$13,0),0)&gt;0,T08_Spells!AP$2,"")</f>
        <v/>
      </c>
      <c r="AQ174" t="str">
        <f>IF(IFERROR(MATCH($B174,temp!M$4:M$13,0),0)&gt;0,T08_Spells!AQ$2,"")</f>
        <v/>
      </c>
      <c r="AR174" t="str">
        <f>IF(IFERROR(MATCH($B174,temp!N$4:N$13,0),0)&gt;0,T08_Spells!AR$2,"")</f>
        <v/>
      </c>
      <c r="AS174" t="str">
        <f>IF(IFERROR(MATCH($B174,temp!O$4:O$13,0),0)&gt;0,T08_Spells!AS$2,"")</f>
        <v/>
      </c>
      <c r="AT174" t="str">
        <f>IF(IFERROR(MATCH($B174,temp!P$4:P$13,0),0)&gt;0,T08_Spells!AT$2,"")</f>
        <v/>
      </c>
      <c r="AU174" t="str">
        <f>IF(IFERROR(MATCH($B174,temp!Q$4:Q$13,0),0)&gt;0,T08_Spells!AU$2,"")</f>
        <v/>
      </c>
      <c r="AV174" t="str">
        <f>IF(IFERROR(MATCH($B174,temp!R$4:R$13,0),0)&gt;0,T08_Spells!AV$2,"")</f>
        <v/>
      </c>
      <c r="AW174" t="str">
        <f>IF(IFERROR(MATCH($B174,temp!S$4:S$13,0),0)&gt;0,T08_Spells!AW$2,"")</f>
        <v/>
      </c>
      <c r="AX174" t="str">
        <f>IF(IFERROR(MATCH($B174,temp!T$4:T$13,0),0)&gt;0,T08_Spells!AX$2,"")</f>
        <v/>
      </c>
      <c r="AY174" t="str">
        <f>IF(IFERROR(MATCH($B174,temp!U$4:U$13,0),0)&gt;0,T08_Spells!AY$2,"")</f>
        <v/>
      </c>
      <c r="AZ174" t="str">
        <f>IF(IFERROR(MATCH($B174,temp!V$4:V$13,0),0)&gt;0,T08_Spells!AZ$2,"")</f>
        <v/>
      </c>
      <c r="BA174" t="str">
        <f>IF(IFERROR(MATCH($B174,temp!W$4:W$13,0),0)&gt;0,T08_Spells!BA$2,"")</f>
        <v/>
      </c>
      <c r="BC174">
        <f>IF(IFERROR(SEARCH("Ranger",$T174,1),0)&gt;0,1,0)*IF(RangerMaxSpellLevel&gt;=$C174,1,0)*IF(IFERROR(MATCH(B174,Character_Creation!$X$79:$X$382,0),0)&gt;0,0,1)</f>
        <v>0</v>
      </c>
      <c r="BD174">
        <f>IF(BC174=0,0,1+COUNTIF(BD$3:BD173,"&gt;0"))</f>
        <v>0</v>
      </c>
      <c r="BE174" t="str">
        <f t="shared" si="143"/>
        <v/>
      </c>
      <c r="BF174" t="str">
        <f t="shared" si="115"/>
        <v/>
      </c>
      <c r="BH174">
        <f>IF(IFERROR(SEARCH("Sorcerer",$T174,1),0)&gt;0,1,0)*IF(SorcererMaxSpellLevel&gt;=$C174,1,0)*IF(IFERROR(MATCH(B174,Character_Creation!$J$380:$J$394,0),0)&gt;0,0,1)</f>
        <v>0</v>
      </c>
      <c r="BI174">
        <f>IF(BH174=0,0,1+COUNTIF(BI$3:BI173,"&gt;0"))</f>
        <v>0</v>
      </c>
      <c r="BJ174" t="str">
        <f t="shared" si="144"/>
        <v/>
      </c>
      <c r="BK174" t="str">
        <f t="shared" si="116"/>
        <v/>
      </c>
      <c r="BM174">
        <f>IF(OR(IFERROR(SEARCH("Warlock",$T174,1),0)&gt;0,IFERROR(SEARCH(WarlockPatron,$T174,1),0)&gt;0),1,0)*IF(WarlockMaxSpellLevel&gt;=$C174,1,0)*IF(IFERROR(MATCH(B174,Character_Creation!$J$361:$J$375,0),0)&gt;0,0,1)</f>
        <v>0</v>
      </c>
      <c r="BN174">
        <f>IF(BM174=0,0,1+COUNTIF(BN$3:BN173,"&gt;0"))</f>
        <v>0</v>
      </c>
      <c r="BO174" t="str">
        <f t="shared" si="145"/>
        <v/>
      </c>
      <c r="BP174" t="str">
        <f t="shared" si="117"/>
        <v/>
      </c>
      <c r="BR174">
        <f>IF(IFERROR(SEARCH("Eldritch Knight",$T174,1),0)&gt;0,1,0)*IF(EldritchKnightMaxSpellLevel&gt;=$C174,1,0)*IF(IFERROR(MATCH($B174,Character_Creation!$J$350:$J$356,0),0)&gt;0,0,1)*IF(Character_Creation!$M$338&gt;0,1,0)</f>
        <v>0</v>
      </c>
      <c r="BS174">
        <f>IF(BR174=0,0,1+COUNTIF(BS$3:BS173,"&gt;0"))</f>
        <v>0</v>
      </c>
      <c r="BT174" t="str">
        <f t="shared" si="146"/>
        <v/>
      </c>
      <c r="BU174" t="str">
        <f t="shared" si="118"/>
        <v/>
      </c>
      <c r="BW174">
        <f>IF(IFERROR(SEARCH("Arcane Trickster",$T174,1),0)&gt;0,1,0)*IF(ArcaneTricksterMaxSpellLevel&gt;=$C174,1,0)*IF(IFERROR(MATCH($B174,Character_Creation!$J$350:$J$356,0),0)&gt;0,0,1)*IF(Character_Creation!$T$338&gt;0,1,0)</f>
        <v>0</v>
      </c>
      <c r="BX174">
        <f>IF(BW174=0,0,1+COUNTIF(BX$3:BX173,"&gt;0"))</f>
        <v>0</v>
      </c>
      <c r="BY174" t="str">
        <f t="shared" si="147"/>
        <v/>
      </c>
      <c r="BZ174" t="str">
        <f t="shared" si="119"/>
        <v/>
      </c>
      <c r="CB174">
        <f>IF(IFERROR(SEARCH("Wizard",$T174,1),0)&gt;0,1,0)*IF(C174&lt;=ArcaneTricksterMaxSpellLevel,1,0)*IF(IFERROR(MATCH($B174,Character_Creation!$J$350:$J$356,0),0)&gt;0,0,1)*IF(Character_Creation!$T$350&gt;0,1,0)</f>
        <v>0</v>
      </c>
      <c r="CC174">
        <f>IF(CB174=0,0,1+COUNTIF(CC$3:CC173,"&gt;0"))</f>
        <v>0</v>
      </c>
      <c r="CD174" t="str">
        <f t="shared" si="148"/>
        <v/>
      </c>
      <c r="CE174" t="str">
        <f t="shared" si="120"/>
        <v/>
      </c>
      <c r="CG174">
        <f>IF(IFERROR(SEARCH("Wizard",$T174,1),0)&gt;0,1,0)*IF($C174&lt;=EldritchKnightMaxSpellLevel,1,0)*IF(IFERROR(MATCH($B174,Character_Creation!$J$350:$J$356,0),0)&gt;0,0,1)*IF(Character_Creation!$M$350&gt;0,1,0)</f>
        <v>0</v>
      </c>
      <c r="CH174">
        <f>IF(CG174=0,0,1+COUNTIF(CH$3:CH173,"&gt;0"))</f>
        <v>0</v>
      </c>
      <c r="CI174" t="str">
        <f t="shared" si="149"/>
        <v/>
      </c>
      <c r="CJ174" t="str">
        <f t="shared" si="121"/>
        <v/>
      </c>
      <c r="CL174">
        <f>IF(IFERROR(SEARCH("Bard",$T174,1),0)&gt;0,1,0)*IF(BardMaxSpellLevel&gt;=$C174,1,0)*IF(IFERROR(MATCH(B174,Character_Creation!$C$341:$F$362,0),0)&gt;0,0,1)*IF(IFERROR(MATCH($B174,Character_Creation!$C$341:$C$362,0),0)&gt;0,0,1)</f>
        <v>0</v>
      </c>
      <c r="CM174">
        <f>IF(CL174=0,0,1+COUNTIF(CM$3:CM173,"&gt;0"))</f>
        <v>0</v>
      </c>
      <c r="CN174" t="str">
        <f t="shared" si="150"/>
        <v/>
      </c>
      <c r="CO174" t="str">
        <f t="shared" si="122"/>
        <v/>
      </c>
      <c r="CQ174">
        <f>IF(IFERROR(SEARCH("Wizard",$T174,1),0)&gt;0,1,0)*IF(WizardMaxSpellLevel&gt;=$C174,1,0)*IF(IFERROR(MATCH(B174,Character_Creation!$X$341:$X$400,0),0)&gt;0,0,1)*IF(SelectedWizardSpellLevel=$C174,1,0)</f>
        <v>0</v>
      </c>
      <c r="CR174">
        <f>IF(CQ174=0,0,1+COUNTIF(CR$3:CR173,"&gt;0"))</f>
        <v>0</v>
      </c>
      <c r="CS174" t="str">
        <f t="shared" si="151"/>
        <v/>
      </c>
      <c r="CT174" t="str">
        <f t="shared" si="123"/>
        <v/>
      </c>
      <c r="CV174">
        <f>IF(IFERROR(MATCH($B174,Character_Creation!$C$341:$C$362,0),0)&gt;0,0,1)*IF(OR(C174="Cantrip",C174&lt;=BardMaxSpellLevel),1,0)*IF(IFERROR(MATCH($B174,Character_Creation!$C$367:$C$374,0),0)&gt;0,0,1)</f>
        <v>0</v>
      </c>
      <c r="CW174">
        <f>IF(CV174=0,0,1+COUNTIF(CW$3:CW173,"&gt;0"))</f>
        <v>0</v>
      </c>
      <c r="CX174" t="str">
        <f t="shared" si="152"/>
        <v/>
      </c>
      <c r="CY174" t="str">
        <f t="shared" si="124"/>
        <v/>
      </c>
      <c r="DA174">
        <f>IF(IF(OR(IFERROR(SEARCH("Cleric",$T174,1),0)&gt;0,IFERROR(SEARCH(DivineDomain&amp;",",$T174,1),0)&gt;0),1,0)*IF($C174=DA$2,1,0)=1,1+COUNTIF(DA$3:DA173,"&gt;0"),0)</f>
        <v>0</v>
      </c>
      <c r="DB174">
        <f>IF(IF(OR(IFERROR(SEARCH("Cleric",$T174,1),0)&gt;0,IFERROR(SEARCH(DivineDomain&amp;",",$T174,1),0)&gt;0),1,0)*IF($C174=DB$2,1,0)=1,1+COUNTIF(DB$3:DB173,"&gt;0"),0)</f>
        <v>0</v>
      </c>
      <c r="DC174">
        <f>IF(IF(OR(IFERROR(SEARCH("Cleric",$T174,1),0)&gt;0,IFERROR(SEARCH(DivineDomain&amp;",",$T174,1),0)&gt;0),1,0)*IF($C174=DC$2,1,0)=1,1+COUNTIF(DC$3:DC173,"&gt;0"),0)</f>
        <v>0</v>
      </c>
      <c r="DD174">
        <f>IF(IF(OR(IFERROR(SEARCH("Cleric",$T174,1),0)&gt;0,IFERROR(SEARCH(DivineDomain&amp;",",$T174,1),0)&gt;0),1,0)*IF($C174=DD$2,1,0)=1,1+COUNTIF(DD$3:DD173,"&gt;0"),0)</f>
        <v>0</v>
      </c>
      <c r="DE174">
        <f>IF(IF(OR(IFERROR(SEARCH("Cleric",$T174,1),0)&gt;0,IFERROR(SEARCH(DivineDomain&amp;",",$T174,1),0)&gt;0),1,0)*IF($C174=DE$2,1,0)=1,1+COUNTIF(DE$3:DE173,"&gt;0"),0)</f>
        <v>0</v>
      </c>
      <c r="DF174">
        <f>IF(IF(OR(IFERROR(SEARCH("Cleric",$T174,1),0)&gt;0,IFERROR(SEARCH(DivineDomain&amp;",",$T174,1),0)&gt;0),1,0)*IF($C174=DF$2,1,0)=1,1+COUNTIF(DF$3:DF173,"&gt;0"),0)</f>
        <v>0</v>
      </c>
      <c r="DG174">
        <f>IF(IF(OR(IFERROR(SEARCH("Cleric",$T174,1),0)&gt;0,IFERROR(SEARCH(DivineDomain&amp;",",$T174,1),0)&gt;0),1,0)*IF($C174=DG$2,1,0)=1,1+COUNTIF(DG$3:DG173,"&gt;0"),0)</f>
        <v>0</v>
      </c>
      <c r="DH174">
        <f>IF(IF(OR(IFERROR(SEARCH("Cleric",$T174,1),0)&gt;0,IFERROR(SEARCH(DivineDomain&amp;",",$T174,1),0)&gt;0),1,0)*IF($C174=DH$2,1,0)=1,1+COUNTIF(DH$3:DH173,"&gt;0"),0)</f>
        <v>0</v>
      </c>
      <c r="DI174">
        <f>IF(IF(OR(IFERROR(SEARCH("Cleric",$T174,1),0)&gt;0,IFERROR(SEARCH(DivineDomain&amp;",",$T174,1),0)&gt;0),1,0)*IF($C174=DI$2,1,0)=1,1+COUNTIF(DI$3:DI173,"&gt;0"),0)</f>
        <v>0</v>
      </c>
      <c r="DJ174">
        <f>IF(IF(OR(IFERROR(SEARCH("Druid",$T174,1),0)&gt;0,IFERROR(SEARCH(DruidLand1,$T174,1),0)&gt;0,IFERROR(SEARCH(DruidLand2,$T174,1),0)&gt;0,IFERROR(SEARCH(DruidLand3,$T174,1),0)&gt;0,IFERROR(SEARCH(DruidLand4,$T174,1),0)&gt;0),1,0)*IF($C174=1,1,0)*IF($C174=DJ$2,1,0)=0,0,1+COUNTIF(DJ$3:DJ173,"&gt;0"))</f>
        <v>0</v>
      </c>
      <c r="DK174">
        <f>IF(IF(OR(IFERROR(SEARCH("Druid",$T174,1),0)&gt;0,IFERROR(SEARCH(DruidLand1,$T174,1),0)&gt;0,IFERROR(SEARCH(DruidLand2,$T174,1),0)&gt;0,IFERROR(SEARCH(DruidLand3,$T174,1),0)&gt;0,IFERROR(SEARCH(DruidLand4,$T174,1),0)&gt;0),1,0)*IF($C174=DK$2,1,0)=0,0,1+COUNTIF(DK$3:DK173,"&gt;0"))</f>
        <v>0</v>
      </c>
      <c r="DL174">
        <f>IF(IF(OR(IFERROR(SEARCH("Druid",$T174,1),0)&gt;0,IFERROR(SEARCH(DruidLand1,$T174,1),0)&gt;0,IFERROR(SEARCH(DruidLand2,$T174,1),0)&gt;0,IFERROR(SEARCH(DruidLand3,$T174,1),0)&gt;0,IFERROR(SEARCH(DruidLand4,$T174,1),0)&gt;0),1,0)*IF($C174=DL$2,1,0)=0,0,1+COUNTIF(DL$3:DL173,"&gt;0"))</f>
        <v>0</v>
      </c>
      <c r="DM174">
        <f>IF(IF(OR(IFERROR(SEARCH("Druid",$T174,1),0)&gt;0,IFERROR(SEARCH(DruidLand1,$T174,1),0)&gt;0,IFERROR(SEARCH(DruidLand2,$T174,1),0)&gt;0,IFERROR(SEARCH(DruidLand3,$T174,1),0)&gt;0,IFERROR(SEARCH(DruidLand4,$T174,1),0)&gt;0),1,0)*IF($C174=DM$2,1,0)=0,0,1+COUNTIF(DM$3:DM173,"&gt;0"))</f>
        <v>10</v>
      </c>
      <c r="DN174">
        <f>IF(IF(OR(IFERROR(SEARCH("Druid",$T174,1),0)&gt;0,IFERROR(SEARCH(DruidLand1,$T174,1),0)&gt;0,IFERROR(SEARCH(DruidLand2,$T174,1),0)&gt;0,IFERROR(SEARCH(DruidLand3,$T174,1),0)&gt;0,IFERROR(SEARCH(DruidLand4,$T174,1),0)&gt;0),1,0)*IF($C174=DN$2,1,0)=0,0,1+COUNTIF(DN$3:DN173,"&gt;0"))</f>
        <v>0</v>
      </c>
      <c r="DO174">
        <f>IF(IF(OR(IFERROR(SEARCH("Druid",$T174,1),0)&gt;0,IFERROR(SEARCH(DruidLand1,$T174,1),0)&gt;0,IFERROR(SEARCH(DruidLand2,$T174,1),0)&gt;0,IFERROR(SEARCH(DruidLand3,$T174,1),0)&gt;0,IFERROR(SEARCH(DruidLand4,$T174,1),0)&gt;0),1,0)*IF($C174=DO$2,1,0)=0,0,1+COUNTIF(DO$3:DO173,"&gt;0"))</f>
        <v>0</v>
      </c>
      <c r="DP174">
        <f>IF(IF(OR(IFERROR(SEARCH("Druid",$T174,1),0)&gt;0,IFERROR(SEARCH(DruidLand1,$T174,1),0)&gt;0,IFERROR(SEARCH(DruidLand2,$T174,1),0)&gt;0,IFERROR(SEARCH(DruidLand3,$T174,1),0)&gt;0,IFERROR(SEARCH(DruidLand4,$T174,1),0)&gt;0),1,0)*IF($C174=DP$2,1,0)=0,0,1+COUNTIF(DP$3:DP173,"&gt;0"))</f>
        <v>0</v>
      </c>
      <c r="DQ174">
        <f>IF(IF(OR(IFERROR(SEARCH("Druid",$T174,1),0)&gt;0,IFERROR(SEARCH(DruidLand1,$T174,1),0)&gt;0,IFERROR(SEARCH(DruidLand2,$T174,1),0)&gt;0,IFERROR(SEARCH(DruidLand3,$T174,1),0)&gt;0,IFERROR(SEARCH(DruidLand4,$T174,1),0)&gt;0),1,0)*IF($C174=DQ$2,1,0)=0,0,1+COUNTIF(DQ$3:DQ173,"&gt;0"))</f>
        <v>0</v>
      </c>
      <c r="DR174">
        <f>IF(IF(OR(IFERROR(SEARCH("Druid",$T174,1),0)&gt;0,IFERROR(SEARCH(DruidLand1,$T174,1),0)&gt;0,IFERROR(SEARCH(DruidLand2,$T174,1),0)&gt;0,IFERROR(SEARCH(DruidLand3,$T174,1),0)&gt;0,IFERROR(SEARCH(DruidLand4,$T174,1),0)&gt;0),1,0)*IF($C174=DR$2,1,0)=0,0,1+COUNTIF(DR$3:DR173,"&gt;0"))</f>
        <v>0</v>
      </c>
      <c r="DS174">
        <f>IF(IF(OR(IFERROR(SEARCH("Paladin",$T174,1),0)&gt;0,IFERROR(SEARCH(PaladinOath,$T174,1),0)&gt;0),1,0)*IF($C174=DS$2,1,0)=1,1+COUNTIF(DS$3:DS173,"&gt;0"),0)</f>
        <v>0</v>
      </c>
      <c r="DT174">
        <f>IF(IF(OR(IFERROR(SEARCH("Paladin",$T174,1),0)&gt;0,IFERROR(SEARCH(PaladinOath,$T174,1),0)&gt;0),1,0)*IF($C174=DT$2,1,0)=1,1+COUNTIF(DT$3:DT173,"&gt;0"),0)</f>
        <v>0</v>
      </c>
      <c r="DU174">
        <f>IF(IF(OR(IFERROR(SEARCH("Paladin",$T174,1),0)&gt;0,IFERROR(SEARCH(PaladinOath,$T174,1),0)&gt;0),1,0)*IF($C174=DU$2,1,0)=1,1+COUNTIF(DU$3:DU173,"&gt;0"),0)</f>
        <v>0</v>
      </c>
      <c r="DV174">
        <f>IF(IF(OR(IFERROR(SEARCH("Paladin",$T174,1),0)&gt;0,IFERROR(SEARCH(PaladinOath,$T174,1),0)&gt;0),1,0)*IF($C174=DV$2,1,0)=1,1+COUNTIF(DV$3:DV173,"&gt;0"),0)</f>
        <v>0</v>
      </c>
      <c r="DW174">
        <f>IF(IF(OR(IFERROR(SEARCH("Paladin",$T174,1),0)&gt;0,IFERROR(SEARCH(PaladinOath,$T174,1),0)&gt;0),1,0)*IF($C174=DW$2,1,0)=1,1+COUNTIF(DW$3:DW173,"&gt;0"),0)</f>
        <v>0</v>
      </c>
      <c r="DY174">
        <f t="shared" si="111"/>
        <v>1</v>
      </c>
      <c r="DZ174">
        <f>IF(DY174=0,0,1+MAX(DZ$3:$DZ173))</f>
        <v>172</v>
      </c>
      <c r="EB174">
        <f t="shared" si="125"/>
        <v>0</v>
      </c>
      <c r="EC174">
        <f>IF(EB174=0,0,1+COUNTIF(EC$3:EC173,"&gt;0"))</f>
        <v>0</v>
      </c>
      <c r="ED174" t="str">
        <f t="shared" si="153"/>
        <v/>
      </c>
      <c r="EE174" t="str">
        <f t="shared" si="126"/>
        <v/>
      </c>
      <c r="EG174">
        <f t="shared" si="127"/>
        <v>0</v>
      </c>
      <c r="EH174">
        <f>IF(EG174=0,0,1+COUNTIF(EH$3:EH173,"&gt;0"))</f>
        <v>0</v>
      </c>
      <c r="EI174" t="str">
        <f t="shared" si="154"/>
        <v/>
      </c>
      <c r="EJ174" t="str">
        <f t="shared" si="128"/>
        <v/>
      </c>
      <c r="EL174">
        <f t="shared" si="129"/>
        <v>0</v>
      </c>
      <c r="EM174">
        <f>IF(EL174=0,0,1+COUNTIF(EM$3:EM173,"&gt;0"))</f>
        <v>0</v>
      </c>
      <c r="EN174" t="str">
        <f t="shared" si="155"/>
        <v/>
      </c>
      <c r="EO174" t="str">
        <f t="shared" si="130"/>
        <v/>
      </c>
      <c r="EQ174">
        <f t="shared" si="131"/>
        <v>0</v>
      </c>
      <c r="ER174">
        <f>IF(EQ174=0,0,1+COUNTIF(ER$3:ER173,"&gt;0"))</f>
        <v>0</v>
      </c>
      <c r="ES174" t="str">
        <f t="shared" si="156"/>
        <v/>
      </c>
      <c r="ET174" t="str">
        <f t="shared" si="132"/>
        <v/>
      </c>
      <c r="EV174">
        <f t="shared" si="133"/>
        <v>0</v>
      </c>
      <c r="EW174">
        <f>IF(EV174=0,0,1+COUNTIF(EW$3:EW173,"&gt;0"))</f>
        <v>0</v>
      </c>
      <c r="EX174" t="str">
        <f t="shared" si="157"/>
        <v/>
      </c>
      <c r="EY174" t="str">
        <f t="shared" si="134"/>
        <v/>
      </c>
      <c r="FA174">
        <f t="shared" si="135"/>
        <v>0</v>
      </c>
      <c r="FB174">
        <f>IF(FA174=0,0,1+COUNTIF(FB$3:FB173,"&gt;0"))</f>
        <v>0</v>
      </c>
      <c r="FC174" t="str">
        <f t="shared" si="158"/>
        <v/>
      </c>
      <c r="FD174" t="str">
        <f t="shared" si="136"/>
        <v/>
      </c>
      <c r="FF174">
        <f t="shared" si="137"/>
        <v>0</v>
      </c>
      <c r="FG174">
        <f>IF(FF174=0,0,1+COUNTIF(FG$3:FG173,"&gt;0"))</f>
        <v>0</v>
      </c>
      <c r="FH174" t="str">
        <f t="shared" si="159"/>
        <v/>
      </c>
      <c r="FI174" t="str">
        <f t="shared" si="138"/>
        <v/>
      </c>
      <c r="FK174">
        <f t="shared" si="139"/>
        <v>0</v>
      </c>
      <c r="FL174">
        <f>IF(FK174=0,0,1+COUNTIF(FL$3:FL173,"&gt;0"))</f>
        <v>0</v>
      </c>
      <c r="FM174" t="str">
        <f t="shared" si="160"/>
        <v/>
      </c>
      <c r="FN174" t="str">
        <f t="shared" si="140"/>
        <v/>
      </c>
      <c r="FP174">
        <f t="shared" si="141"/>
        <v>0</v>
      </c>
      <c r="FQ174">
        <f>IF(FP174=0,0,1+COUNTIF(FQ$3:FQ173,"&gt;0"))</f>
        <v>0</v>
      </c>
      <c r="FR174" t="str">
        <f t="shared" si="161"/>
        <v/>
      </c>
      <c r="FS174" t="str">
        <f t="shared" si="142"/>
        <v/>
      </c>
    </row>
    <row r="175" spans="1:175" x14ac:dyDescent="0.25">
      <c r="A175" s="347">
        <f t="shared" si="162"/>
        <v>173</v>
      </c>
      <c r="B175" s="348" t="s">
        <v>2550</v>
      </c>
      <c r="C175" s="348">
        <v>6</v>
      </c>
      <c r="D175" s="347">
        <v>6</v>
      </c>
      <c r="E175" s="627" t="s">
        <v>6952</v>
      </c>
      <c r="F175" s="346"/>
      <c r="G175" s="347" t="str">
        <f>""</f>
        <v/>
      </c>
      <c r="H175" s="347" t="s">
        <v>5912</v>
      </c>
      <c r="I175" s="347" t="s">
        <v>424</v>
      </c>
      <c r="J175" s="347" t="str">
        <f t="shared" si="112"/>
        <v/>
      </c>
      <c r="K175" s="347" t="s">
        <v>5278</v>
      </c>
      <c r="L175" s="611" t="str">
        <f t="shared" si="113"/>
        <v>V, S</v>
      </c>
      <c r="M175" s="347" t="s">
        <v>2373</v>
      </c>
      <c r="N175" s="347" t="s">
        <v>2387</v>
      </c>
      <c r="O175" s="347" t="s">
        <v>3034</v>
      </c>
      <c r="P175" s="346" t="str">
        <f>""</f>
        <v/>
      </c>
      <c r="Q175" s="347" t="s">
        <v>5275</v>
      </c>
      <c r="S175" s="346" t="s">
        <v>2551</v>
      </c>
      <c r="T175" s="346" t="str">
        <f t="shared" si="114"/>
        <v xml:space="preserve">Cleric, </v>
      </c>
      <c r="Z175" s="347" t="str">
        <f>$B175</f>
        <v>Harm</v>
      </c>
      <c r="AE175" t="str">
        <f>IF(IFERROR(MATCH($B175,temp!A$4:A$13,0),0)&gt;0,T08_Spells!AE$2,"")</f>
        <v/>
      </c>
      <c r="AF175" t="str">
        <f>IF(IFERROR(MATCH($B175,temp!B$4:B$13,0),0)&gt;0,T08_Spells!AF$2,"")</f>
        <v/>
      </c>
      <c r="AG175" t="str">
        <f>IF(IFERROR(MATCH($B175,temp!C$4:C$13,0),0)&gt;0,T08_Spells!AG$2,"")</f>
        <v/>
      </c>
      <c r="AH175" t="str">
        <f>IF(IFERROR(MATCH($B175,temp!D$4:D$13,0),0)&gt;0,T08_Spells!AH$2,"")</f>
        <v/>
      </c>
      <c r="AI175" t="str">
        <f>IF(IFERROR(MATCH($B175,temp!E$4:E$13,0),0)&gt;0,T08_Spells!AI$2,"")</f>
        <v/>
      </c>
      <c r="AJ175" t="str">
        <f>IF(IFERROR(MATCH($B175,temp!F$4:F$13,0),0)&gt;0,T08_Spells!AJ$2,"")</f>
        <v/>
      </c>
      <c r="AK175" t="str">
        <f>IF(IFERROR(MATCH($B175,temp!G$4:G$13,0),0)&gt;0,T08_Spells!AK$2,"")</f>
        <v/>
      </c>
      <c r="AL175" t="str">
        <f>IF(IFERROR(MATCH($B175,temp!H$4:H$13,0),0)&gt;0,T08_Spells!AL$2,"")</f>
        <v/>
      </c>
      <c r="AM175" t="str">
        <f>IF(IFERROR(MATCH($B175,temp!I$4:I$13,0),0)&gt;0,T08_Spells!AM$2,"")</f>
        <v/>
      </c>
      <c r="AN175" t="str">
        <f>IF(IFERROR(MATCH($B175,temp!J$4:J$13,0),0)&gt;0,T08_Spells!AN$2,"")</f>
        <v/>
      </c>
      <c r="AO175" t="str">
        <f>IF(IFERROR(MATCH($B175,temp!K$4:K$13,0),0)&gt;0,T08_Spells!AO$2,"")</f>
        <v/>
      </c>
      <c r="AP175" t="str">
        <f>IF(IFERROR(MATCH($B175,temp!L$4:L$13,0),0)&gt;0,T08_Spells!AP$2,"")</f>
        <v/>
      </c>
      <c r="AQ175" t="str">
        <f>IF(IFERROR(MATCH($B175,temp!M$4:M$13,0),0)&gt;0,T08_Spells!AQ$2,"")</f>
        <v/>
      </c>
      <c r="AR175" t="str">
        <f>IF(IFERROR(MATCH($B175,temp!N$4:N$13,0),0)&gt;0,T08_Spells!AR$2,"")</f>
        <v/>
      </c>
      <c r="AS175" t="str">
        <f>IF(IFERROR(MATCH($B175,temp!O$4:O$13,0),0)&gt;0,T08_Spells!AS$2,"")</f>
        <v/>
      </c>
      <c r="AT175" t="str">
        <f>IF(IFERROR(MATCH($B175,temp!P$4:P$13,0),0)&gt;0,T08_Spells!AT$2,"")</f>
        <v/>
      </c>
      <c r="AU175" t="str">
        <f>IF(IFERROR(MATCH($B175,temp!Q$4:Q$13,0),0)&gt;0,T08_Spells!AU$2,"")</f>
        <v/>
      </c>
      <c r="AV175" t="str">
        <f>IF(IFERROR(MATCH($B175,temp!R$4:R$13,0),0)&gt;0,T08_Spells!AV$2,"")</f>
        <v/>
      </c>
      <c r="AW175" t="str">
        <f>IF(IFERROR(MATCH($B175,temp!S$4:S$13,0),0)&gt;0,T08_Spells!AW$2,"")</f>
        <v/>
      </c>
      <c r="AX175" t="str">
        <f>IF(IFERROR(MATCH($B175,temp!T$4:T$13,0),0)&gt;0,T08_Spells!AX$2,"")</f>
        <v/>
      </c>
      <c r="AY175" t="str">
        <f>IF(IFERROR(MATCH($B175,temp!U$4:U$13,0),0)&gt;0,T08_Spells!AY$2,"")</f>
        <v/>
      </c>
      <c r="AZ175" t="str">
        <f>IF(IFERROR(MATCH($B175,temp!V$4:V$13,0),0)&gt;0,T08_Spells!AZ$2,"")</f>
        <v/>
      </c>
      <c r="BA175" t="str">
        <f>IF(IFERROR(MATCH($B175,temp!W$4:W$13,0),0)&gt;0,T08_Spells!BA$2,"")</f>
        <v/>
      </c>
      <c r="BC175">
        <f>IF(IFERROR(SEARCH("Ranger",$T175,1),0)&gt;0,1,0)*IF(RangerMaxSpellLevel&gt;=$C175,1,0)*IF(IFERROR(MATCH(B175,Character_Creation!$X$79:$X$382,0),0)&gt;0,0,1)</f>
        <v>0</v>
      </c>
      <c r="BD175">
        <f>IF(BC175=0,0,1+COUNTIF(BD$3:BD174,"&gt;0"))</f>
        <v>0</v>
      </c>
      <c r="BE175" t="str">
        <f t="shared" si="143"/>
        <v/>
      </c>
      <c r="BF175" t="str">
        <f t="shared" si="115"/>
        <v/>
      </c>
      <c r="BH175">
        <f>IF(IFERROR(SEARCH("Sorcerer",$T175,1),0)&gt;0,1,0)*IF(SorcererMaxSpellLevel&gt;=$C175,1,0)*IF(IFERROR(MATCH(B175,Character_Creation!$J$380:$J$394,0),0)&gt;0,0,1)</f>
        <v>0</v>
      </c>
      <c r="BI175">
        <f>IF(BH175=0,0,1+COUNTIF(BI$3:BI174,"&gt;0"))</f>
        <v>0</v>
      </c>
      <c r="BJ175" t="str">
        <f t="shared" si="144"/>
        <v/>
      </c>
      <c r="BK175" t="str">
        <f t="shared" si="116"/>
        <v/>
      </c>
      <c r="BM175">
        <f>IF(OR(IFERROR(SEARCH("Warlock",$T175,1),0)&gt;0,IFERROR(SEARCH(WarlockPatron,$T175,1),0)&gt;0),1,0)*IF(WarlockMaxSpellLevel&gt;=$C175,1,0)*IF(IFERROR(MATCH(B175,Character_Creation!$J$361:$J$375,0),0)&gt;0,0,1)</f>
        <v>0</v>
      </c>
      <c r="BN175">
        <f>IF(BM175=0,0,1+COUNTIF(BN$3:BN174,"&gt;0"))</f>
        <v>0</v>
      </c>
      <c r="BO175" t="str">
        <f t="shared" si="145"/>
        <v/>
      </c>
      <c r="BP175" t="str">
        <f t="shared" si="117"/>
        <v/>
      </c>
      <c r="BR175">
        <f>IF(IFERROR(SEARCH("Eldritch Knight",$T175,1),0)&gt;0,1,0)*IF(EldritchKnightMaxSpellLevel&gt;=$C175,1,0)*IF(IFERROR(MATCH($B175,Character_Creation!$J$350:$J$356,0),0)&gt;0,0,1)*IF(Character_Creation!$M$338&gt;0,1,0)</f>
        <v>0</v>
      </c>
      <c r="BS175">
        <f>IF(BR175=0,0,1+COUNTIF(BS$3:BS174,"&gt;0"))</f>
        <v>0</v>
      </c>
      <c r="BT175" t="str">
        <f t="shared" si="146"/>
        <v/>
      </c>
      <c r="BU175" t="str">
        <f t="shared" si="118"/>
        <v/>
      </c>
      <c r="BW175">
        <f>IF(IFERROR(SEARCH("Arcane Trickster",$T175,1),0)&gt;0,1,0)*IF(ArcaneTricksterMaxSpellLevel&gt;=$C175,1,0)*IF(IFERROR(MATCH($B175,Character_Creation!$J$350:$J$356,0),0)&gt;0,0,1)*IF(Character_Creation!$T$338&gt;0,1,0)</f>
        <v>0</v>
      </c>
      <c r="BX175">
        <f>IF(BW175=0,0,1+COUNTIF(BX$3:BX174,"&gt;0"))</f>
        <v>0</v>
      </c>
      <c r="BY175" t="str">
        <f t="shared" si="147"/>
        <v/>
      </c>
      <c r="BZ175" t="str">
        <f t="shared" si="119"/>
        <v/>
      </c>
      <c r="CB175">
        <f>IF(IFERROR(SEARCH("Wizard",$T175,1),0)&gt;0,1,0)*IF(C175&lt;=ArcaneTricksterMaxSpellLevel,1,0)*IF(IFERROR(MATCH($B175,Character_Creation!$J$350:$J$356,0),0)&gt;0,0,1)*IF(Character_Creation!$T$350&gt;0,1,0)</f>
        <v>0</v>
      </c>
      <c r="CC175">
        <f>IF(CB175=0,0,1+COUNTIF(CC$3:CC174,"&gt;0"))</f>
        <v>0</v>
      </c>
      <c r="CD175" t="str">
        <f t="shared" si="148"/>
        <v/>
      </c>
      <c r="CE175" t="str">
        <f t="shared" si="120"/>
        <v/>
      </c>
      <c r="CG175">
        <f>IF(IFERROR(SEARCH("Wizard",$T175,1),0)&gt;0,1,0)*IF($C175&lt;=EldritchKnightMaxSpellLevel,1,0)*IF(IFERROR(MATCH($B175,Character_Creation!$J$350:$J$356,0),0)&gt;0,0,1)*IF(Character_Creation!$M$350&gt;0,1,0)</f>
        <v>0</v>
      </c>
      <c r="CH175">
        <f>IF(CG175=0,0,1+COUNTIF(CH$3:CH174,"&gt;0"))</f>
        <v>0</v>
      </c>
      <c r="CI175" t="str">
        <f t="shared" si="149"/>
        <v/>
      </c>
      <c r="CJ175" t="str">
        <f t="shared" si="121"/>
        <v/>
      </c>
      <c r="CL175">
        <f>IF(IFERROR(SEARCH("Bard",$T175,1),0)&gt;0,1,0)*IF(BardMaxSpellLevel&gt;=$C175,1,0)*IF(IFERROR(MATCH(B175,Character_Creation!$C$341:$F$362,0),0)&gt;0,0,1)*IF(IFERROR(MATCH($B175,Character_Creation!$C$341:$C$362,0),0)&gt;0,0,1)</f>
        <v>0</v>
      </c>
      <c r="CM175">
        <f>IF(CL175=0,0,1+COUNTIF(CM$3:CM174,"&gt;0"))</f>
        <v>0</v>
      </c>
      <c r="CN175" t="str">
        <f t="shared" si="150"/>
        <v/>
      </c>
      <c r="CO175" t="str">
        <f t="shared" si="122"/>
        <v/>
      </c>
      <c r="CQ175">
        <f>IF(IFERROR(SEARCH("Wizard",$T175,1),0)&gt;0,1,0)*IF(WizardMaxSpellLevel&gt;=$C175,1,0)*IF(IFERROR(MATCH(B175,Character_Creation!$X$341:$X$400,0),0)&gt;0,0,1)*IF(SelectedWizardSpellLevel=$C175,1,0)</f>
        <v>0</v>
      </c>
      <c r="CR175">
        <f>IF(CQ175=0,0,1+COUNTIF(CR$3:CR174,"&gt;0"))</f>
        <v>0</v>
      </c>
      <c r="CS175" t="str">
        <f t="shared" si="151"/>
        <v/>
      </c>
      <c r="CT175" t="str">
        <f t="shared" si="123"/>
        <v/>
      </c>
      <c r="CV175">
        <f>IF(IFERROR(MATCH($B175,Character_Creation!$C$341:$C$362,0),0)&gt;0,0,1)*IF(OR(C175="Cantrip",C175&lt;=BardMaxSpellLevel),1,0)*IF(IFERROR(MATCH($B175,Character_Creation!$C$367:$C$374,0),0)&gt;0,0,1)</f>
        <v>0</v>
      </c>
      <c r="CW175">
        <f>IF(CV175=0,0,1+COUNTIF(CW$3:CW174,"&gt;0"))</f>
        <v>0</v>
      </c>
      <c r="CX175" t="str">
        <f t="shared" si="152"/>
        <v/>
      </c>
      <c r="CY175" t="str">
        <f t="shared" si="124"/>
        <v/>
      </c>
      <c r="DA175">
        <f>IF(IF(OR(IFERROR(SEARCH("Cleric",$T175,1),0)&gt;0,IFERROR(SEARCH(DivineDomain&amp;",",$T175,1),0)&gt;0),1,0)*IF($C175=DA$2,1,0)=1,1+COUNTIF(DA$3:DA174,"&gt;0"),0)</f>
        <v>0</v>
      </c>
      <c r="DB175">
        <f>IF(IF(OR(IFERROR(SEARCH("Cleric",$T175,1),0)&gt;0,IFERROR(SEARCH(DivineDomain&amp;",",$T175,1),0)&gt;0),1,0)*IF($C175=DB$2,1,0)=1,1+COUNTIF(DB$3:DB174,"&gt;0"),0)</f>
        <v>0</v>
      </c>
      <c r="DC175">
        <f>IF(IF(OR(IFERROR(SEARCH("Cleric",$T175,1),0)&gt;0,IFERROR(SEARCH(DivineDomain&amp;",",$T175,1),0)&gt;0),1,0)*IF($C175=DC$2,1,0)=1,1+COUNTIF(DC$3:DC174,"&gt;0"),0)</f>
        <v>0</v>
      </c>
      <c r="DD175">
        <f>IF(IF(OR(IFERROR(SEARCH("Cleric",$T175,1),0)&gt;0,IFERROR(SEARCH(DivineDomain&amp;",",$T175,1),0)&gt;0),1,0)*IF($C175=DD$2,1,0)=1,1+COUNTIF(DD$3:DD174,"&gt;0"),0)</f>
        <v>0</v>
      </c>
      <c r="DE175">
        <f>IF(IF(OR(IFERROR(SEARCH("Cleric",$T175,1),0)&gt;0,IFERROR(SEARCH(DivineDomain&amp;",",$T175,1),0)&gt;0),1,0)*IF($C175=DE$2,1,0)=1,1+COUNTIF(DE$3:DE174,"&gt;0"),0)</f>
        <v>0</v>
      </c>
      <c r="DF175">
        <f>IF(IF(OR(IFERROR(SEARCH("Cleric",$T175,1),0)&gt;0,IFERROR(SEARCH(DivineDomain&amp;",",$T175,1),0)&gt;0),1,0)*IF($C175=DF$2,1,0)=1,1+COUNTIF(DF$3:DF174,"&gt;0"),0)</f>
        <v>5</v>
      </c>
      <c r="DG175">
        <f>IF(IF(OR(IFERROR(SEARCH("Cleric",$T175,1),0)&gt;0,IFERROR(SEARCH(DivineDomain&amp;",",$T175,1),0)&gt;0),1,0)*IF($C175=DG$2,1,0)=1,1+COUNTIF(DG$3:DG174,"&gt;0"),0)</f>
        <v>0</v>
      </c>
      <c r="DH175">
        <f>IF(IF(OR(IFERROR(SEARCH("Cleric",$T175,1),0)&gt;0,IFERROR(SEARCH(DivineDomain&amp;",",$T175,1),0)&gt;0),1,0)*IF($C175=DH$2,1,0)=1,1+COUNTIF(DH$3:DH174,"&gt;0"),0)</f>
        <v>0</v>
      </c>
      <c r="DI175">
        <f>IF(IF(OR(IFERROR(SEARCH("Cleric",$T175,1),0)&gt;0,IFERROR(SEARCH(DivineDomain&amp;",",$T175,1),0)&gt;0),1,0)*IF($C175=DI$2,1,0)=1,1+COUNTIF(DI$3:DI174,"&gt;0"),0)</f>
        <v>0</v>
      </c>
      <c r="DJ175">
        <f>IF(IF(OR(IFERROR(SEARCH("Druid",$T175,1),0)&gt;0,IFERROR(SEARCH(DruidLand1,$T175,1),0)&gt;0,IFERROR(SEARCH(DruidLand2,$T175,1),0)&gt;0,IFERROR(SEARCH(DruidLand3,$T175,1),0)&gt;0,IFERROR(SEARCH(DruidLand4,$T175,1),0)&gt;0),1,0)*IF($C175=1,1,0)*IF($C175=DJ$2,1,0)=0,0,1+COUNTIF(DJ$3:DJ174,"&gt;0"))</f>
        <v>0</v>
      </c>
      <c r="DK175">
        <f>IF(IF(OR(IFERROR(SEARCH("Druid",$T175,1),0)&gt;0,IFERROR(SEARCH(DruidLand1,$T175,1),0)&gt;0,IFERROR(SEARCH(DruidLand2,$T175,1),0)&gt;0,IFERROR(SEARCH(DruidLand3,$T175,1),0)&gt;0,IFERROR(SEARCH(DruidLand4,$T175,1),0)&gt;0),1,0)*IF($C175=1,1,0)*IF($C175=DK$2,1,0)=0,0,1+COUNTIF(DK$3:DK174,"&gt;0"))</f>
        <v>0</v>
      </c>
      <c r="DL175">
        <f>IF(IF(OR(IFERROR(SEARCH("Druid",$T175,1),0)&gt;0,IFERROR(SEARCH(DruidLand1,$T175,1),0)&gt;0,IFERROR(SEARCH(DruidLand2,$T175,1),0)&gt;0,IFERROR(SEARCH(DruidLand3,$T175,1),0)&gt;0,IFERROR(SEARCH(DruidLand4,$T175,1),0)&gt;0),1,0)*IF($C175=1,1,0)*IF($C175=DL$2,1,0)=0,0,1+COUNTIF(DL$3:DL174,"&gt;0"))</f>
        <v>0</v>
      </c>
      <c r="DM175">
        <f>IF(IF(OR(IFERROR(SEARCH("Druid",$T175,1),0)&gt;0,IFERROR(SEARCH(DruidLand1,$T175,1),0)&gt;0,IFERROR(SEARCH(DruidLand2,$T175,1),0)&gt;0,IFERROR(SEARCH(DruidLand3,$T175,1),0)&gt;0,IFERROR(SEARCH(DruidLand4,$T175,1),0)&gt;0),1,0)*IF($C175=1,1,0)*IF($C175=DM$2,1,0)=0,0,1+COUNTIF(DM$3:DM174,"&gt;0"))</f>
        <v>0</v>
      </c>
      <c r="DN175">
        <f>IF(IF(OR(IFERROR(SEARCH("Druid",$T175,1),0)&gt;0,IFERROR(SEARCH(DruidLand1,$T175,1),0)&gt;0,IFERROR(SEARCH(DruidLand2,$T175,1),0)&gt;0,IFERROR(SEARCH(DruidLand3,$T175,1),0)&gt;0,IFERROR(SEARCH(DruidLand4,$T175,1),0)&gt;0),1,0)*IF($C175=1,1,0)*IF($C175=DN$2,1,0)=0,0,1+COUNTIF(DN$3:DN174,"&gt;0"))</f>
        <v>0</v>
      </c>
      <c r="DO175">
        <f>IF(IF(OR(IFERROR(SEARCH("Druid",$T175,1),0)&gt;0,IFERROR(SEARCH(DruidLand1,$T175,1),0)&gt;0,IFERROR(SEARCH(DruidLand2,$T175,1),0)&gt;0,IFERROR(SEARCH(DruidLand3,$T175,1),0)&gt;0,IFERROR(SEARCH(DruidLand4,$T175,1),0)&gt;0),1,0)*IF($C175=1,1,0)*IF($C175=DO$2,1,0)=0,0,1+COUNTIF(DO$3:DO174,"&gt;0"))</f>
        <v>0</v>
      </c>
      <c r="DP175">
        <f>IF(IF(OR(IFERROR(SEARCH("Druid",$T175,1),0)&gt;0,IFERROR(SEARCH(DruidLand1,$T175,1),0)&gt;0,IFERROR(SEARCH(DruidLand2,$T175,1),0)&gt;0,IFERROR(SEARCH(DruidLand3,$T175,1),0)&gt;0,IFERROR(SEARCH(DruidLand4,$T175,1),0)&gt;0),1,0)*IF($C175=1,1,0)*IF($C175=DP$2,1,0)=0,0,1+COUNTIF(DP$3:DP174,"&gt;0"))</f>
        <v>0</v>
      </c>
      <c r="DQ175">
        <f>IF(IF(OR(IFERROR(SEARCH("Druid",$T175,1),0)&gt;0,IFERROR(SEARCH(DruidLand1,$T175,1),0)&gt;0,IFERROR(SEARCH(DruidLand2,$T175,1),0)&gt;0,IFERROR(SEARCH(DruidLand3,$T175,1),0)&gt;0,IFERROR(SEARCH(DruidLand4,$T175,1),0)&gt;0),1,0)*IF($C175=1,1,0)*IF($C175=DQ$2,1,0)=0,0,1+COUNTIF(DQ$3:DQ174,"&gt;0"))</f>
        <v>0</v>
      </c>
      <c r="DR175">
        <f>IF(IF(OR(IFERROR(SEARCH("Druid",$T175,1),0)&gt;0,IFERROR(SEARCH(DruidLand1,$T175,1),0)&gt;0,IFERROR(SEARCH(DruidLand2,$T175,1),0)&gt;0,IFERROR(SEARCH(DruidLand3,$T175,1),0)&gt;0,IFERROR(SEARCH(DruidLand4,$T175,1),0)&gt;0),1,0)*IF($C175=1,1,0)*IF($C175=DR$2,1,0)=0,0,1+COUNTIF(DR$3:DR174,"&gt;0"))</f>
        <v>0</v>
      </c>
      <c r="DS175">
        <f>IF(IF(OR(IFERROR(SEARCH("Paladin",$T175,1),0)&gt;0,IFERROR(SEARCH(PaladinOath,$T175,1),0)&gt;0),1,0)*IF($C175=DS$2,1,0)=1,1+COUNTIF(DS$3:DS174,"&gt;0"),0)</f>
        <v>0</v>
      </c>
      <c r="DT175">
        <f>IF(IF(OR(IFERROR(SEARCH("Paladin",$T175,1),0)&gt;0,IFERROR(SEARCH(PaladinOath,$T175,1),0)&gt;0),1,0)*IF($C175=DT$2,1,0)=1,1+COUNTIF(DT$3:DT174,"&gt;0"),0)</f>
        <v>0</v>
      </c>
      <c r="DU175">
        <f>IF(IF(OR(IFERROR(SEARCH("Paladin",$T175,1),0)&gt;0,IFERROR(SEARCH(PaladinOath,$T175,1),0)&gt;0),1,0)*IF($C175=DU$2,1,0)=1,1+COUNTIF(DU$3:DU174,"&gt;0"),0)</f>
        <v>0</v>
      </c>
      <c r="DV175">
        <f>IF(IF(OR(IFERROR(SEARCH("Paladin",$T175,1),0)&gt;0,IFERROR(SEARCH(PaladinOath,$T175,1),0)&gt;0),1,0)*IF($C175=DV$2,1,0)=1,1+COUNTIF(DV$3:DV174,"&gt;0"),0)</f>
        <v>0</v>
      </c>
      <c r="DW175">
        <f>IF(IF(OR(IFERROR(SEARCH("Paladin",$T175,1),0)&gt;0,IFERROR(SEARCH(PaladinOath,$T175,1),0)&gt;0),1,0)*IF($C175=DW$2,1,0)=1,1+COUNTIF(DW$3:DW174,"&gt;0"),0)</f>
        <v>0</v>
      </c>
      <c r="DY175">
        <f t="shared" si="111"/>
        <v>1</v>
      </c>
      <c r="DZ175">
        <f>IF(DY175=0,0,1+MAX(DZ$3:$DZ174))</f>
        <v>173</v>
      </c>
      <c r="EB175">
        <f t="shared" si="125"/>
        <v>0</v>
      </c>
      <c r="EC175">
        <f>IF(EB175=0,0,1+COUNTIF(EC$3:EC174,"&gt;0"))</f>
        <v>0</v>
      </c>
      <c r="ED175" t="str">
        <f t="shared" si="153"/>
        <v/>
      </c>
      <c r="EE175" t="str">
        <f t="shared" si="126"/>
        <v/>
      </c>
      <c r="EG175">
        <f t="shared" si="127"/>
        <v>0</v>
      </c>
      <c r="EH175">
        <f>IF(EG175=0,0,1+COUNTIF(EH$3:EH174,"&gt;0"))</f>
        <v>0</v>
      </c>
      <c r="EI175" t="str">
        <f t="shared" si="154"/>
        <v/>
      </c>
      <c r="EJ175" t="str">
        <f t="shared" si="128"/>
        <v/>
      </c>
      <c r="EL175">
        <f t="shared" si="129"/>
        <v>0</v>
      </c>
      <c r="EM175">
        <f>IF(EL175=0,0,1+COUNTIF(EM$3:EM174,"&gt;0"))</f>
        <v>0</v>
      </c>
      <c r="EN175" t="str">
        <f t="shared" si="155"/>
        <v/>
      </c>
      <c r="EO175" t="str">
        <f t="shared" si="130"/>
        <v/>
      </c>
      <c r="EQ175">
        <f t="shared" si="131"/>
        <v>0</v>
      </c>
      <c r="ER175">
        <f>IF(EQ175=0,0,1+COUNTIF(ER$3:ER174,"&gt;0"))</f>
        <v>0</v>
      </c>
      <c r="ES175" t="str">
        <f t="shared" si="156"/>
        <v/>
      </c>
      <c r="ET175" t="str">
        <f t="shared" si="132"/>
        <v/>
      </c>
      <c r="EV175">
        <f t="shared" si="133"/>
        <v>0</v>
      </c>
      <c r="EW175">
        <f>IF(EV175=0,0,1+COUNTIF(EW$3:EW174,"&gt;0"))</f>
        <v>0</v>
      </c>
      <c r="EX175" t="str">
        <f t="shared" si="157"/>
        <v/>
      </c>
      <c r="EY175" t="str">
        <f t="shared" si="134"/>
        <v/>
      </c>
      <c r="FA175">
        <f t="shared" si="135"/>
        <v>0</v>
      </c>
      <c r="FB175">
        <f>IF(FA175=0,0,1+COUNTIF(FB$3:FB174,"&gt;0"))</f>
        <v>0</v>
      </c>
      <c r="FC175" t="str">
        <f t="shared" si="158"/>
        <v/>
      </c>
      <c r="FD175" t="str">
        <f t="shared" si="136"/>
        <v/>
      </c>
      <c r="FF175">
        <f t="shared" si="137"/>
        <v>0</v>
      </c>
      <c r="FG175">
        <f>IF(FF175=0,0,1+COUNTIF(FG$3:FG174,"&gt;0"))</f>
        <v>0</v>
      </c>
      <c r="FH175" t="str">
        <f t="shared" si="159"/>
        <v/>
      </c>
      <c r="FI175" t="str">
        <f t="shared" si="138"/>
        <v/>
      </c>
      <c r="FK175">
        <f t="shared" si="139"/>
        <v>0</v>
      </c>
      <c r="FL175">
        <f>IF(FK175=0,0,1+COUNTIF(FL$3:FL174,"&gt;0"))</f>
        <v>0</v>
      </c>
      <c r="FM175" t="str">
        <f t="shared" si="160"/>
        <v/>
      </c>
      <c r="FN175" t="str">
        <f t="shared" si="140"/>
        <v/>
      </c>
      <c r="FP175">
        <f t="shared" si="141"/>
        <v>0</v>
      </c>
      <c r="FQ175">
        <f>IF(FP175=0,0,1+COUNTIF(FQ$3:FQ174,"&gt;0"))</f>
        <v>0</v>
      </c>
      <c r="FR175" t="str">
        <f t="shared" si="161"/>
        <v/>
      </c>
      <c r="FS175" t="str">
        <f t="shared" si="142"/>
        <v/>
      </c>
    </row>
    <row r="176" spans="1:175" x14ac:dyDescent="0.25">
      <c r="A176" s="347">
        <f t="shared" si="162"/>
        <v>174</v>
      </c>
      <c r="B176" s="348" t="s">
        <v>2552</v>
      </c>
      <c r="C176" s="348">
        <v>3</v>
      </c>
      <c r="D176" s="347">
        <v>3</v>
      </c>
      <c r="E176" s="627" t="s">
        <v>6952</v>
      </c>
      <c r="F176" s="346"/>
      <c r="G176" s="347" t="str">
        <f>""</f>
        <v/>
      </c>
      <c r="H176" s="347" t="s">
        <v>5912</v>
      </c>
      <c r="I176" s="347" t="s">
        <v>5060</v>
      </c>
      <c r="J176" s="347" t="str">
        <f t="shared" si="112"/>
        <v/>
      </c>
      <c r="K176" s="347" t="s">
        <v>5291</v>
      </c>
      <c r="L176" s="611" t="str">
        <f t="shared" si="113"/>
        <v>V, S, M, a shaving of licorice root</v>
      </c>
      <c r="M176" s="347" t="s">
        <v>2373</v>
      </c>
      <c r="N176" s="347" t="s">
        <v>2387</v>
      </c>
      <c r="O176" s="347" t="s">
        <v>1244</v>
      </c>
      <c r="P176" s="346" t="s">
        <v>5397</v>
      </c>
      <c r="Q176" s="347" t="s">
        <v>5276</v>
      </c>
      <c r="S176" s="346" t="s">
        <v>5725</v>
      </c>
      <c r="T176" s="346" t="str">
        <f t="shared" si="114"/>
        <v xml:space="preserve">Sorcerer, Wizard, Vengeance, GrassLand, </v>
      </c>
      <c r="X176" s="347" t="str">
        <f>$B176</f>
        <v>Haste</v>
      </c>
      <c r="AD176" s="347" t="str">
        <f>$B176</f>
        <v>Haste</v>
      </c>
      <c r="AE176" t="str">
        <f>IF(IFERROR(MATCH($B176,temp!A$4:A$13,0),0)&gt;0,T08_Spells!AE$2,"")</f>
        <v/>
      </c>
      <c r="AF176" t="str">
        <f>IF(IFERROR(MATCH($B176,temp!B$4:B$13,0),0)&gt;0,T08_Spells!AF$2,"")</f>
        <v>Vengeance</v>
      </c>
      <c r="AG176" t="str">
        <f>IF(IFERROR(MATCH($B176,temp!C$4:C$13,0),0)&gt;0,T08_Spells!AG$2,"")</f>
        <v/>
      </c>
      <c r="AH176" t="str">
        <f>IF(IFERROR(MATCH($B176,temp!D$4:D$13,0),0)&gt;0,T08_Spells!AH$2,"")</f>
        <v/>
      </c>
      <c r="AI176" t="str">
        <f>IF(IFERROR(MATCH($B176,temp!E$4:E$13,0),0)&gt;0,T08_Spells!AI$2,"")</f>
        <v/>
      </c>
      <c r="AJ176" t="str">
        <f>IF(IFERROR(MATCH($B176,temp!F$4:F$13,0),0)&gt;0,T08_Spells!AJ$2,"")</f>
        <v/>
      </c>
      <c r="AK176" t="str">
        <f>IF(IFERROR(MATCH($B176,temp!G$4:G$13,0),0)&gt;0,T08_Spells!AK$2,"")</f>
        <v/>
      </c>
      <c r="AL176" t="str">
        <f>IF(IFERROR(MATCH($B176,temp!H$4:H$13,0),0)&gt;0,T08_Spells!AL$2,"")</f>
        <v/>
      </c>
      <c r="AM176" t="str">
        <f>IF(IFERROR(MATCH($B176,temp!I$4:I$13,0),0)&gt;0,T08_Spells!AM$2,"")</f>
        <v/>
      </c>
      <c r="AN176" t="str">
        <f>IF(IFERROR(MATCH($B176,temp!J$4:J$13,0),0)&gt;0,T08_Spells!AN$2,"")</f>
        <v/>
      </c>
      <c r="AO176" t="str">
        <f>IF(IFERROR(MATCH($B176,temp!K$4:K$13,0),0)&gt;0,T08_Spells!AO$2,"")</f>
        <v/>
      </c>
      <c r="AP176" t="str">
        <f>IF(IFERROR(MATCH($B176,temp!L$4:L$13,0),0)&gt;0,T08_Spells!AP$2,"")</f>
        <v>Grassland</v>
      </c>
      <c r="AQ176" t="str">
        <f>IF(IFERROR(MATCH($B176,temp!M$4:M$13,0),0)&gt;0,T08_Spells!AQ$2,"")</f>
        <v/>
      </c>
      <c r="AR176" t="str">
        <f>IF(IFERROR(MATCH($B176,temp!N$4:N$13,0),0)&gt;0,T08_Spells!AR$2,"")</f>
        <v/>
      </c>
      <c r="AS176" t="str">
        <f>IF(IFERROR(MATCH($B176,temp!O$4:O$13,0),0)&gt;0,T08_Spells!AS$2,"")</f>
        <v/>
      </c>
      <c r="AT176" t="str">
        <f>IF(IFERROR(MATCH($B176,temp!P$4:P$13,0),0)&gt;0,T08_Spells!AT$2,"")</f>
        <v/>
      </c>
      <c r="AU176" t="str">
        <f>IF(IFERROR(MATCH($B176,temp!Q$4:Q$13,0),0)&gt;0,T08_Spells!AU$2,"")</f>
        <v/>
      </c>
      <c r="AV176" t="str">
        <f>IF(IFERROR(MATCH($B176,temp!R$4:R$13,0),0)&gt;0,T08_Spells!AV$2,"")</f>
        <v/>
      </c>
      <c r="AW176" t="str">
        <f>IF(IFERROR(MATCH($B176,temp!S$4:S$13,0),0)&gt;0,T08_Spells!AW$2,"")</f>
        <v/>
      </c>
      <c r="AX176" t="str">
        <f>IF(IFERROR(MATCH($B176,temp!T$4:T$13,0),0)&gt;0,T08_Spells!AX$2,"")</f>
        <v/>
      </c>
      <c r="AY176" t="str">
        <f>IF(IFERROR(MATCH($B176,temp!U$4:U$13,0),0)&gt;0,T08_Spells!AY$2,"")</f>
        <v/>
      </c>
      <c r="AZ176" t="str">
        <f>IF(IFERROR(MATCH($B176,temp!V$4:V$13,0),0)&gt;0,T08_Spells!AZ$2,"")</f>
        <v/>
      </c>
      <c r="BA176" t="str">
        <f>IF(IFERROR(MATCH($B176,temp!W$4:W$13,0),0)&gt;0,T08_Spells!BA$2,"")</f>
        <v/>
      </c>
      <c r="BC176">
        <f>IF(IFERROR(SEARCH("Ranger",$T176,1),0)&gt;0,1,0)*IF(RangerMaxSpellLevel&gt;=$C176,1,0)*IF(IFERROR(MATCH(B176,Character_Creation!$X$79:$X$382,0),0)&gt;0,0,1)</f>
        <v>0</v>
      </c>
      <c r="BD176">
        <f>IF(BC176=0,0,1+COUNTIF(BD$3:BD175,"&gt;0"))</f>
        <v>0</v>
      </c>
      <c r="BE176" t="str">
        <f t="shared" si="143"/>
        <v/>
      </c>
      <c r="BF176" t="str">
        <f t="shared" si="115"/>
        <v/>
      </c>
      <c r="BH176">
        <f>IF(IFERROR(SEARCH("Sorcerer",$T176,1),0)&gt;0,1,0)*IF(SorcererMaxSpellLevel&gt;=$C176,1,0)*IF(IFERROR(MATCH(B176,Character_Creation!$J$380:$J$394,0),0)&gt;0,0,1)</f>
        <v>0</v>
      </c>
      <c r="BI176">
        <f>IF(BH176=0,0,1+COUNTIF(BI$3:BI175,"&gt;0"))</f>
        <v>0</v>
      </c>
      <c r="BJ176" t="str">
        <f t="shared" si="144"/>
        <v/>
      </c>
      <c r="BK176" t="str">
        <f t="shared" si="116"/>
        <v/>
      </c>
      <c r="BM176">
        <f>IF(OR(IFERROR(SEARCH("Warlock",$T176,1),0)&gt;0,IFERROR(SEARCH(WarlockPatron,$T176,1),0)&gt;0),1,0)*IF(WarlockMaxSpellLevel&gt;=$C176,1,0)*IF(IFERROR(MATCH(B176,Character_Creation!$J$361:$J$375,0),0)&gt;0,0,1)</f>
        <v>0</v>
      </c>
      <c r="BN176">
        <f>IF(BM176=0,0,1+COUNTIF(BN$3:BN175,"&gt;0"))</f>
        <v>0</v>
      </c>
      <c r="BO176" t="str">
        <f t="shared" si="145"/>
        <v/>
      </c>
      <c r="BP176" t="str">
        <f t="shared" si="117"/>
        <v/>
      </c>
      <c r="BR176">
        <f>IF(IFERROR(SEARCH("Eldritch Knight",$T176,1),0)&gt;0,1,0)*IF(EldritchKnightMaxSpellLevel&gt;=$C176,1,0)*IF(IFERROR(MATCH($B176,Character_Creation!$J$350:$J$356,0),0)&gt;0,0,1)*IF(Character_Creation!$M$338&gt;0,1,0)</f>
        <v>0</v>
      </c>
      <c r="BS176">
        <f>IF(BR176=0,0,1+COUNTIF(BS$3:BS175,"&gt;0"))</f>
        <v>0</v>
      </c>
      <c r="BT176" t="str">
        <f t="shared" si="146"/>
        <v/>
      </c>
      <c r="BU176" t="str">
        <f t="shared" si="118"/>
        <v/>
      </c>
      <c r="BW176">
        <f>IF(IFERROR(SEARCH("Arcane Trickster",$T176,1),0)&gt;0,1,0)*IF(ArcaneTricksterMaxSpellLevel&gt;=$C176,1,0)*IF(IFERROR(MATCH($B176,Character_Creation!$J$350:$J$356,0),0)&gt;0,0,1)*IF(Character_Creation!$T$338&gt;0,1,0)</f>
        <v>0</v>
      </c>
      <c r="BX176">
        <f>IF(BW176=0,0,1+COUNTIF(BX$3:BX175,"&gt;0"))</f>
        <v>0</v>
      </c>
      <c r="BY176" t="str">
        <f t="shared" si="147"/>
        <v/>
      </c>
      <c r="BZ176" t="str">
        <f t="shared" si="119"/>
        <v/>
      </c>
      <c r="CB176">
        <f>IF(IFERROR(SEARCH("Wizard",$T176,1),0)&gt;0,1,0)*IF(C176&lt;=ArcaneTricksterMaxSpellLevel,1,0)*IF(IFERROR(MATCH($B176,Character_Creation!$J$350:$J$356,0),0)&gt;0,0,1)*IF(Character_Creation!$T$350&gt;0,1,0)</f>
        <v>0</v>
      </c>
      <c r="CC176">
        <f>IF(CB176=0,0,1+COUNTIF(CC$3:CC175,"&gt;0"))</f>
        <v>0</v>
      </c>
      <c r="CD176" t="str">
        <f t="shared" si="148"/>
        <v/>
      </c>
      <c r="CE176" t="str">
        <f t="shared" si="120"/>
        <v/>
      </c>
      <c r="CG176">
        <f>IF(IFERROR(SEARCH("Wizard",$T176,1),0)&gt;0,1,0)*IF($C176&lt;=EldritchKnightMaxSpellLevel,1,0)*IF(IFERROR(MATCH($B176,Character_Creation!$J$350:$J$356,0),0)&gt;0,0,1)*IF(Character_Creation!$M$350&gt;0,1,0)</f>
        <v>0</v>
      </c>
      <c r="CH176">
        <f>IF(CG176=0,0,1+COUNTIF(CH$3:CH175,"&gt;0"))</f>
        <v>0</v>
      </c>
      <c r="CI176" t="str">
        <f t="shared" si="149"/>
        <v/>
      </c>
      <c r="CJ176" t="str">
        <f t="shared" si="121"/>
        <v/>
      </c>
      <c r="CL176">
        <f>IF(IFERROR(SEARCH("Bard",$T176,1),0)&gt;0,1,0)*IF(BardMaxSpellLevel&gt;=$C176,1,0)*IF(IFERROR(MATCH(B176,Character_Creation!$C$341:$F$362,0),0)&gt;0,0,1)*IF(IFERROR(MATCH($B176,Character_Creation!$C$341:$C$362,0),0)&gt;0,0,1)</f>
        <v>0</v>
      </c>
      <c r="CM176">
        <f>IF(CL176=0,0,1+COUNTIF(CM$3:CM175,"&gt;0"))</f>
        <v>0</v>
      </c>
      <c r="CN176" t="str">
        <f t="shared" si="150"/>
        <v/>
      </c>
      <c r="CO176" t="str">
        <f t="shared" si="122"/>
        <v/>
      </c>
      <c r="CQ176">
        <f>IF(IFERROR(SEARCH("Wizard",$T176,1),0)&gt;0,1,0)*IF(WizardMaxSpellLevel&gt;=$C176,1,0)*IF(IFERROR(MATCH(B176,Character_Creation!$X$341:$X$400,0),0)&gt;0,0,1)*IF(SelectedWizardSpellLevel=$C176,1,0)</f>
        <v>0</v>
      </c>
      <c r="CR176">
        <f>IF(CQ176=0,0,1+COUNTIF(CR$3:CR175,"&gt;0"))</f>
        <v>0</v>
      </c>
      <c r="CS176" t="str">
        <f t="shared" si="151"/>
        <v/>
      </c>
      <c r="CT176" t="str">
        <f t="shared" si="123"/>
        <v/>
      </c>
      <c r="CV176">
        <f>IF(IFERROR(MATCH($B176,Character_Creation!$C$341:$C$362,0),0)&gt;0,0,1)*IF(OR(C176="Cantrip",C176&lt;=BardMaxSpellLevel),1,0)*IF(IFERROR(MATCH($B176,Character_Creation!$C$367:$C$374,0),0)&gt;0,0,1)</f>
        <v>0</v>
      </c>
      <c r="CW176">
        <f>IF(CV176=0,0,1+COUNTIF(CW$3:CW175,"&gt;0"))</f>
        <v>0</v>
      </c>
      <c r="CX176" t="str">
        <f t="shared" si="152"/>
        <v/>
      </c>
      <c r="CY176" t="str">
        <f t="shared" si="124"/>
        <v/>
      </c>
      <c r="DA176">
        <f>IF(IF(OR(IFERROR(SEARCH("Cleric",$T176,1),0)&gt;0,IFERROR(SEARCH(DivineDomain&amp;",",$T176,1),0)&gt;0),1,0)*IF($C176=DA$2,1,0)=1,1+COUNTIF(DA$3:DA175,"&gt;0"),0)</f>
        <v>0</v>
      </c>
      <c r="DB176">
        <f>IF(IF(OR(IFERROR(SEARCH("Cleric",$T176,1),0)&gt;0,IFERROR(SEARCH(DivineDomain&amp;",",$T176,1),0)&gt;0),1,0)*IF($C176=DB$2,1,0)=1,1+COUNTIF(DB$3:DB175,"&gt;0"),0)</f>
        <v>0</v>
      </c>
      <c r="DC176">
        <f>IF(IF(OR(IFERROR(SEARCH("Cleric",$T176,1),0)&gt;0,IFERROR(SEARCH(DivineDomain&amp;",",$T176,1),0)&gt;0),1,0)*IF($C176=DC$2,1,0)=1,1+COUNTIF(DC$3:DC175,"&gt;0"),0)</f>
        <v>0</v>
      </c>
      <c r="DD176">
        <f>IF(IF(OR(IFERROR(SEARCH("Cleric",$T176,1),0)&gt;0,IFERROR(SEARCH(DivineDomain&amp;",",$T176,1),0)&gt;0),1,0)*IF($C176=DD$2,1,0)=1,1+COUNTIF(DD$3:DD175,"&gt;0"),0)</f>
        <v>0</v>
      </c>
      <c r="DE176">
        <f>IF(IF(OR(IFERROR(SEARCH("Cleric",$T176,1),0)&gt;0,IFERROR(SEARCH(DivineDomain&amp;",",$T176,1),0)&gt;0),1,0)*IF($C176=DE$2,1,0)=1,1+COUNTIF(DE$3:DE175,"&gt;0"),0)</f>
        <v>0</v>
      </c>
      <c r="DF176">
        <f>IF(IF(OR(IFERROR(SEARCH("Cleric",$T176,1),0)&gt;0,IFERROR(SEARCH(DivineDomain&amp;",",$T176,1),0)&gt;0),1,0)*IF($C176=DF$2,1,0)=1,1+COUNTIF(DF$3:DF175,"&gt;0"),0)</f>
        <v>0</v>
      </c>
      <c r="DG176">
        <f>IF(IF(OR(IFERROR(SEARCH("Cleric",$T176,1),0)&gt;0,IFERROR(SEARCH(DivineDomain&amp;",",$T176,1),0)&gt;0),1,0)*IF($C176=DG$2,1,0)=1,1+COUNTIF(DG$3:DG175,"&gt;0"),0)</f>
        <v>0</v>
      </c>
      <c r="DH176">
        <f>IF(IF(OR(IFERROR(SEARCH("Cleric",$T176,1),0)&gt;0,IFERROR(SEARCH(DivineDomain&amp;",",$T176,1),0)&gt;0),1,0)*IF($C176=DH$2,1,0)=1,1+COUNTIF(DH$3:DH175,"&gt;0"),0)</f>
        <v>0</v>
      </c>
      <c r="DI176">
        <f>IF(IF(OR(IFERROR(SEARCH("Cleric",$T176,1),0)&gt;0,IFERROR(SEARCH(DivineDomain&amp;",",$T176,1),0)&gt;0),1,0)*IF($C176=DI$2,1,0)=1,1+COUNTIF(DI$3:DI175,"&gt;0"),0)</f>
        <v>0</v>
      </c>
      <c r="DJ176">
        <f>IF(IF(OR(IFERROR(SEARCH("Druid",$T176,1),0)&gt;0,IFERROR(SEARCH(DruidLand1,$T176,1),0)&gt;0,IFERROR(SEARCH(DruidLand2,$T176,1),0)&gt;0,IFERROR(SEARCH(DruidLand3,$T176,1),0)&gt;0,IFERROR(SEARCH(DruidLand4,$T176,1),0)&gt;0),1,0)*IF($C176=1,1,0)*IF($C176=DJ$2,1,0)=0,0,1+COUNTIF(DJ$3:DJ175,"&gt;0"))</f>
        <v>0</v>
      </c>
      <c r="DK176">
        <f>IF(IF(OR(IFERROR(SEARCH("Druid",$T176,1),0)&gt;0,IFERROR(SEARCH(DruidLand1,$T176,1),0)&gt;0,IFERROR(SEARCH(DruidLand2,$T176,1),0)&gt;0,IFERROR(SEARCH(DruidLand3,$T176,1),0)&gt;0,IFERROR(SEARCH(DruidLand4,$T176,1),0)&gt;0),1,0)*IF($C176=1,1,0)*IF($C176=DK$2,1,0)=0,0,1+COUNTIF(DK$3:DK175,"&gt;0"))</f>
        <v>0</v>
      </c>
      <c r="DL176">
        <f>IF(IF(OR(IFERROR(SEARCH("Druid",$T176,1),0)&gt;0,IFERROR(SEARCH(DruidLand1,$T176,1),0)&gt;0,IFERROR(SEARCH(DruidLand2,$T176,1),0)&gt;0,IFERROR(SEARCH(DruidLand3,$T176,1),0)&gt;0,IFERROR(SEARCH(DruidLand4,$T176,1),0)&gt;0),1,0)*IF($C176=1,1,0)*IF($C176=DL$2,1,0)=0,0,1+COUNTIF(DL$3:DL175,"&gt;0"))</f>
        <v>0</v>
      </c>
      <c r="DM176">
        <f>IF(IF(OR(IFERROR(SEARCH("Druid",$T176,1),0)&gt;0,IFERROR(SEARCH(DruidLand1,$T176,1),0)&gt;0,IFERROR(SEARCH(DruidLand2,$T176,1),0)&gt;0,IFERROR(SEARCH(DruidLand3,$T176,1),0)&gt;0,IFERROR(SEARCH(DruidLand4,$T176,1),0)&gt;0),1,0)*IF($C176=1,1,0)*IF($C176=DM$2,1,0)=0,0,1+COUNTIF(DM$3:DM175,"&gt;0"))</f>
        <v>0</v>
      </c>
      <c r="DN176">
        <f>IF(IF(OR(IFERROR(SEARCH("Druid",$T176,1),0)&gt;0,IFERROR(SEARCH(DruidLand1,$T176,1),0)&gt;0,IFERROR(SEARCH(DruidLand2,$T176,1),0)&gt;0,IFERROR(SEARCH(DruidLand3,$T176,1),0)&gt;0,IFERROR(SEARCH(DruidLand4,$T176,1),0)&gt;0),1,0)*IF($C176=1,1,0)*IF($C176=DN$2,1,0)=0,0,1+COUNTIF(DN$3:DN175,"&gt;0"))</f>
        <v>0</v>
      </c>
      <c r="DO176">
        <f>IF(IF(OR(IFERROR(SEARCH("Druid",$T176,1),0)&gt;0,IFERROR(SEARCH(DruidLand1,$T176,1),0)&gt;0,IFERROR(SEARCH(DruidLand2,$T176,1),0)&gt;0,IFERROR(SEARCH(DruidLand3,$T176,1),0)&gt;0,IFERROR(SEARCH(DruidLand4,$T176,1),0)&gt;0),1,0)*IF($C176=1,1,0)*IF($C176=DO$2,1,0)=0,0,1+COUNTIF(DO$3:DO175,"&gt;0"))</f>
        <v>0</v>
      </c>
      <c r="DP176">
        <f>IF(IF(OR(IFERROR(SEARCH("Druid",$T176,1),0)&gt;0,IFERROR(SEARCH(DruidLand1,$T176,1),0)&gt;0,IFERROR(SEARCH(DruidLand2,$T176,1),0)&gt;0,IFERROR(SEARCH(DruidLand3,$T176,1),0)&gt;0,IFERROR(SEARCH(DruidLand4,$T176,1),0)&gt;0),1,0)*IF($C176=1,1,0)*IF($C176=DP$2,1,0)=0,0,1+COUNTIF(DP$3:DP175,"&gt;0"))</f>
        <v>0</v>
      </c>
      <c r="DQ176">
        <f>IF(IF(OR(IFERROR(SEARCH("Druid",$T176,1),0)&gt;0,IFERROR(SEARCH(DruidLand1,$T176,1),0)&gt;0,IFERROR(SEARCH(DruidLand2,$T176,1),0)&gt;0,IFERROR(SEARCH(DruidLand3,$T176,1),0)&gt;0,IFERROR(SEARCH(DruidLand4,$T176,1),0)&gt;0),1,0)*IF($C176=1,1,0)*IF($C176=DQ$2,1,0)=0,0,1+COUNTIF(DQ$3:DQ175,"&gt;0"))</f>
        <v>0</v>
      </c>
      <c r="DR176">
        <f>IF(IF(OR(IFERROR(SEARCH("Druid",$T176,1),0)&gt;0,IFERROR(SEARCH(DruidLand1,$T176,1),0)&gt;0,IFERROR(SEARCH(DruidLand2,$T176,1),0)&gt;0,IFERROR(SEARCH(DruidLand3,$T176,1),0)&gt;0,IFERROR(SEARCH(DruidLand4,$T176,1),0)&gt;0),1,0)*IF($C176=1,1,0)*IF($C176=DR$2,1,0)=0,0,1+COUNTIF(DR$3:DR175,"&gt;0"))</f>
        <v>0</v>
      </c>
      <c r="DS176">
        <f>IF(IF(OR(IFERROR(SEARCH("Paladin",$T176,1),0)&gt;0,IFERROR(SEARCH(PaladinOath,$T176,1),0)&gt;0),1,0)*IF($C176=DS$2,1,0)=1,1+COUNTIF(DS$3:DS175,"&gt;0"),0)</f>
        <v>0</v>
      </c>
      <c r="DT176">
        <f>IF(IF(OR(IFERROR(SEARCH("Paladin",$T176,1),0)&gt;0,IFERROR(SEARCH(PaladinOath,$T176,1),0)&gt;0),1,0)*IF($C176=DT$2,1,0)=1,1+COUNTIF(DT$3:DT175,"&gt;0"),0)</f>
        <v>0</v>
      </c>
      <c r="DU176">
        <f>IF(IF(OR(IFERROR(SEARCH("Paladin",$T176,1),0)&gt;0,IFERROR(SEARCH(PaladinOath,$T176,1),0)&gt;0),1,0)*IF($C176=DU$2,1,0)=1,1+COUNTIF(DU$3:DU175,"&gt;0"),0)</f>
        <v>0</v>
      </c>
      <c r="DV176">
        <f>IF(IF(OR(IFERROR(SEARCH("Paladin",$T176,1),0)&gt;0,IFERROR(SEARCH(PaladinOath,$T176,1),0)&gt;0),1,0)*IF($C176=DV$2,1,0)=1,1+COUNTIF(DV$3:DV175,"&gt;0"),0)</f>
        <v>0</v>
      </c>
      <c r="DW176">
        <f>IF(IF(OR(IFERROR(SEARCH("Paladin",$T176,1),0)&gt;0,IFERROR(SEARCH(PaladinOath,$T176,1),0)&gt;0),1,0)*IF($C176=DW$2,1,0)=1,1+COUNTIF(DW$3:DW175,"&gt;0"),0)</f>
        <v>0</v>
      </c>
      <c r="DY176">
        <f t="shared" si="111"/>
        <v>1</v>
      </c>
      <c r="DZ176">
        <f>IF(DY176=0,0,1+MAX(DZ$3:$DZ175))</f>
        <v>174</v>
      </c>
      <c r="EB176">
        <f t="shared" si="125"/>
        <v>0</v>
      </c>
      <c r="EC176">
        <f>IF(EB176=0,0,1+COUNTIF(EC$3:EC175,"&gt;0"))</f>
        <v>0</v>
      </c>
      <c r="ED176" t="str">
        <f t="shared" si="153"/>
        <v/>
      </c>
      <c r="EE176" t="str">
        <f t="shared" si="126"/>
        <v/>
      </c>
      <c r="EG176">
        <f t="shared" si="127"/>
        <v>0</v>
      </c>
      <c r="EH176">
        <f>IF(EG176=0,0,1+COUNTIF(EH$3:EH175,"&gt;0"))</f>
        <v>0</v>
      </c>
      <c r="EI176" t="str">
        <f t="shared" si="154"/>
        <v/>
      </c>
      <c r="EJ176" t="str">
        <f t="shared" si="128"/>
        <v/>
      </c>
      <c r="EL176">
        <f t="shared" si="129"/>
        <v>0</v>
      </c>
      <c r="EM176">
        <f>IF(EL176=0,0,1+COUNTIF(EM$3:EM175,"&gt;0"))</f>
        <v>0</v>
      </c>
      <c r="EN176" t="str">
        <f t="shared" si="155"/>
        <v/>
      </c>
      <c r="EO176" t="str">
        <f t="shared" si="130"/>
        <v/>
      </c>
      <c r="EQ176">
        <f t="shared" si="131"/>
        <v>0</v>
      </c>
      <c r="ER176">
        <f>IF(EQ176=0,0,1+COUNTIF(ER$3:ER175,"&gt;0"))</f>
        <v>0</v>
      </c>
      <c r="ES176" t="str">
        <f t="shared" si="156"/>
        <v/>
      </c>
      <c r="ET176" t="str">
        <f t="shared" si="132"/>
        <v/>
      </c>
      <c r="EV176">
        <f t="shared" si="133"/>
        <v>0</v>
      </c>
      <c r="EW176">
        <f>IF(EV176=0,0,1+COUNTIF(EW$3:EW175,"&gt;0"))</f>
        <v>0</v>
      </c>
      <c r="EX176" t="str">
        <f t="shared" si="157"/>
        <v/>
      </c>
      <c r="EY176" t="str">
        <f t="shared" si="134"/>
        <v/>
      </c>
      <c r="FA176">
        <f t="shared" si="135"/>
        <v>0</v>
      </c>
      <c r="FB176">
        <f>IF(FA176=0,0,1+COUNTIF(FB$3:FB175,"&gt;0"))</f>
        <v>0</v>
      </c>
      <c r="FC176" t="str">
        <f t="shared" si="158"/>
        <v/>
      </c>
      <c r="FD176" t="str">
        <f t="shared" si="136"/>
        <v/>
      </c>
      <c r="FF176">
        <f t="shared" si="137"/>
        <v>0</v>
      </c>
      <c r="FG176">
        <f>IF(FF176=0,0,1+COUNTIF(FG$3:FG175,"&gt;0"))</f>
        <v>0</v>
      </c>
      <c r="FH176" t="str">
        <f t="shared" si="159"/>
        <v/>
      </c>
      <c r="FI176" t="str">
        <f t="shared" si="138"/>
        <v/>
      </c>
      <c r="FK176">
        <f t="shared" si="139"/>
        <v>0</v>
      </c>
      <c r="FL176">
        <f>IF(FK176=0,0,1+COUNTIF(FL$3:FL175,"&gt;0"))</f>
        <v>0</v>
      </c>
      <c r="FM176" t="str">
        <f t="shared" si="160"/>
        <v/>
      </c>
      <c r="FN176" t="str">
        <f t="shared" si="140"/>
        <v/>
      </c>
      <c r="FP176">
        <f t="shared" si="141"/>
        <v>0</v>
      </c>
      <c r="FQ176">
        <f>IF(FP176=0,0,1+COUNTIF(FQ$3:FQ175,"&gt;0"))</f>
        <v>0</v>
      </c>
      <c r="FR176" t="str">
        <f t="shared" si="161"/>
        <v/>
      </c>
      <c r="FS176" t="str">
        <f t="shared" si="142"/>
        <v/>
      </c>
    </row>
    <row r="177" spans="1:175" x14ac:dyDescent="0.25">
      <c r="A177" s="347">
        <f t="shared" si="162"/>
        <v>175</v>
      </c>
      <c r="B177" s="348" t="s">
        <v>2553</v>
      </c>
      <c r="C177" s="348">
        <v>6</v>
      </c>
      <c r="D177" s="347">
        <v>6</v>
      </c>
      <c r="E177" s="627" t="s">
        <v>6952</v>
      </c>
      <c r="F177" s="346"/>
      <c r="G177" s="347" t="str">
        <f>""</f>
        <v/>
      </c>
      <c r="H177" s="347" t="s">
        <v>5912</v>
      </c>
      <c r="I177" s="347" t="s">
        <v>424</v>
      </c>
      <c r="J177" s="347" t="str">
        <f t="shared" si="112"/>
        <v/>
      </c>
      <c r="K177" s="347" t="s">
        <v>5278</v>
      </c>
      <c r="L177" s="611" t="str">
        <f t="shared" si="113"/>
        <v>V, S</v>
      </c>
      <c r="M177" s="347" t="s">
        <v>2373</v>
      </c>
      <c r="N177" s="347" t="s">
        <v>2387</v>
      </c>
      <c r="O177" s="347" t="s">
        <v>3034</v>
      </c>
      <c r="P177" s="346" t="str">
        <f>""</f>
        <v/>
      </c>
      <c r="Q177" s="347" t="s">
        <v>5273</v>
      </c>
      <c r="S177" s="346" t="s">
        <v>5726</v>
      </c>
      <c r="T177" s="346" t="str">
        <f t="shared" si="114"/>
        <v xml:space="preserve">Cleric, Druid, </v>
      </c>
      <c r="Z177" s="347" t="str">
        <f t="shared" ref="Z177:AA179" si="163">$B177</f>
        <v>Heal</v>
      </c>
      <c r="AA177" s="347" t="str">
        <f t="shared" si="163"/>
        <v>Heal</v>
      </c>
      <c r="AE177" t="str">
        <f>IF(IFERROR(MATCH($B177,temp!A$4:A$13,0),0)&gt;0,T08_Spells!AE$2,"")</f>
        <v/>
      </c>
      <c r="AF177" t="str">
        <f>IF(IFERROR(MATCH($B177,temp!B$4:B$13,0),0)&gt;0,T08_Spells!AF$2,"")</f>
        <v/>
      </c>
      <c r="AG177" t="str">
        <f>IF(IFERROR(MATCH($B177,temp!C$4:C$13,0),0)&gt;0,T08_Spells!AG$2,"")</f>
        <v/>
      </c>
      <c r="AH177" t="str">
        <f>IF(IFERROR(MATCH($B177,temp!D$4:D$13,0),0)&gt;0,T08_Spells!AH$2,"")</f>
        <v/>
      </c>
      <c r="AI177" t="str">
        <f>IF(IFERROR(MATCH($B177,temp!E$4:E$13,0),0)&gt;0,T08_Spells!AI$2,"")</f>
        <v/>
      </c>
      <c r="AJ177" t="str">
        <f>IF(IFERROR(MATCH($B177,temp!F$4:F$13,0),0)&gt;0,T08_Spells!AJ$2,"")</f>
        <v/>
      </c>
      <c r="AK177" t="str">
        <f>IF(IFERROR(MATCH($B177,temp!G$4:G$13,0),0)&gt;0,T08_Spells!AK$2,"")</f>
        <v/>
      </c>
      <c r="AL177" t="str">
        <f>IF(IFERROR(MATCH($B177,temp!H$4:H$13,0),0)&gt;0,T08_Spells!AL$2,"")</f>
        <v/>
      </c>
      <c r="AM177" t="str">
        <f>IF(IFERROR(MATCH($B177,temp!I$4:I$13,0),0)&gt;0,T08_Spells!AM$2,"")</f>
        <v/>
      </c>
      <c r="AN177" t="str">
        <f>IF(IFERROR(MATCH($B177,temp!J$4:J$13,0),0)&gt;0,T08_Spells!AN$2,"")</f>
        <v/>
      </c>
      <c r="AO177" t="str">
        <f>IF(IFERROR(MATCH($B177,temp!K$4:K$13,0),0)&gt;0,T08_Spells!AO$2,"")</f>
        <v/>
      </c>
      <c r="AP177" t="str">
        <f>IF(IFERROR(MATCH($B177,temp!L$4:L$13,0),0)&gt;0,T08_Spells!AP$2,"")</f>
        <v/>
      </c>
      <c r="AQ177" t="str">
        <f>IF(IFERROR(MATCH($B177,temp!M$4:M$13,0),0)&gt;0,T08_Spells!AQ$2,"")</f>
        <v/>
      </c>
      <c r="AR177" t="str">
        <f>IF(IFERROR(MATCH($B177,temp!N$4:N$13,0),0)&gt;0,T08_Spells!AR$2,"")</f>
        <v/>
      </c>
      <c r="AS177" t="str">
        <f>IF(IFERROR(MATCH($B177,temp!O$4:O$13,0),0)&gt;0,T08_Spells!AS$2,"")</f>
        <v/>
      </c>
      <c r="AT177" t="str">
        <f>IF(IFERROR(MATCH($B177,temp!P$4:P$13,0),0)&gt;0,T08_Spells!AT$2,"")</f>
        <v/>
      </c>
      <c r="AU177" t="str">
        <f>IF(IFERROR(MATCH($B177,temp!Q$4:Q$13,0),0)&gt;0,T08_Spells!AU$2,"")</f>
        <v/>
      </c>
      <c r="AV177" t="str">
        <f>IF(IFERROR(MATCH($B177,temp!R$4:R$13,0),0)&gt;0,T08_Spells!AV$2,"")</f>
        <v/>
      </c>
      <c r="AW177" t="str">
        <f>IF(IFERROR(MATCH($B177,temp!S$4:S$13,0),0)&gt;0,T08_Spells!AW$2,"")</f>
        <v/>
      </c>
      <c r="AX177" t="str">
        <f>IF(IFERROR(MATCH($B177,temp!T$4:T$13,0),0)&gt;0,T08_Spells!AX$2,"")</f>
        <v/>
      </c>
      <c r="AY177" t="str">
        <f>IF(IFERROR(MATCH($B177,temp!U$4:U$13,0),0)&gt;0,T08_Spells!AY$2,"")</f>
        <v/>
      </c>
      <c r="AZ177" t="str">
        <f>IF(IFERROR(MATCH($B177,temp!V$4:V$13,0),0)&gt;0,T08_Spells!AZ$2,"")</f>
        <v/>
      </c>
      <c r="BA177" t="str">
        <f>IF(IFERROR(MATCH($B177,temp!W$4:W$13,0),0)&gt;0,T08_Spells!BA$2,"")</f>
        <v/>
      </c>
      <c r="BC177">
        <f>IF(IFERROR(SEARCH("Ranger",$T177,1),0)&gt;0,1,0)*IF(RangerMaxSpellLevel&gt;=$C177,1,0)*IF(IFERROR(MATCH(B177,Character_Creation!$X$79:$X$382,0),0)&gt;0,0,1)</f>
        <v>0</v>
      </c>
      <c r="BD177">
        <f>IF(BC177=0,0,1+COUNTIF(BD$3:BD176,"&gt;0"))</f>
        <v>0</v>
      </c>
      <c r="BE177" t="str">
        <f t="shared" si="143"/>
        <v/>
      </c>
      <c r="BF177" t="str">
        <f t="shared" si="115"/>
        <v/>
      </c>
      <c r="BH177">
        <f>IF(IFERROR(SEARCH("Sorcerer",$T177,1),0)&gt;0,1,0)*IF(SorcererMaxSpellLevel&gt;=$C177,1,0)*IF(IFERROR(MATCH(B177,Character_Creation!$J$380:$J$394,0),0)&gt;0,0,1)</f>
        <v>0</v>
      </c>
      <c r="BI177">
        <f>IF(BH177=0,0,1+COUNTIF(BI$3:BI176,"&gt;0"))</f>
        <v>0</v>
      </c>
      <c r="BJ177" t="str">
        <f t="shared" si="144"/>
        <v/>
      </c>
      <c r="BK177" t="str">
        <f t="shared" si="116"/>
        <v/>
      </c>
      <c r="BM177">
        <f>IF(OR(IFERROR(SEARCH("Warlock",$T177,1),0)&gt;0,IFERROR(SEARCH(WarlockPatron,$T177,1),0)&gt;0),1,0)*IF(WarlockMaxSpellLevel&gt;=$C177,1,0)*IF(IFERROR(MATCH(B177,Character_Creation!$J$361:$J$375,0),0)&gt;0,0,1)</f>
        <v>0</v>
      </c>
      <c r="BN177">
        <f>IF(BM177=0,0,1+COUNTIF(BN$3:BN176,"&gt;0"))</f>
        <v>0</v>
      </c>
      <c r="BO177" t="str">
        <f t="shared" si="145"/>
        <v/>
      </c>
      <c r="BP177" t="str">
        <f t="shared" si="117"/>
        <v/>
      </c>
      <c r="BR177">
        <f>IF(IFERROR(SEARCH("Eldritch Knight",$T177,1),0)&gt;0,1,0)*IF(EldritchKnightMaxSpellLevel&gt;=$C177,1,0)*IF(IFERROR(MATCH($B177,Character_Creation!$J$350:$J$356,0),0)&gt;0,0,1)*IF(Character_Creation!$M$338&gt;0,1,0)</f>
        <v>0</v>
      </c>
      <c r="BS177">
        <f>IF(BR177=0,0,1+COUNTIF(BS$3:BS176,"&gt;0"))</f>
        <v>0</v>
      </c>
      <c r="BT177" t="str">
        <f t="shared" si="146"/>
        <v/>
      </c>
      <c r="BU177" t="str">
        <f t="shared" si="118"/>
        <v/>
      </c>
      <c r="BW177">
        <f>IF(IFERROR(SEARCH("Arcane Trickster",$T177,1),0)&gt;0,1,0)*IF(ArcaneTricksterMaxSpellLevel&gt;=$C177,1,0)*IF(IFERROR(MATCH($B177,Character_Creation!$J$350:$J$356,0),0)&gt;0,0,1)*IF(Character_Creation!$T$338&gt;0,1,0)</f>
        <v>0</v>
      </c>
      <c r="BX177">
        <f>IF(BW177=0,0,1+COUNTIF(BX$3:BX176,"&gt;0"))</f>
        <v>0</v>
      </c>
      <c r="BY177" t="str">
        <f t="shared" si="147"/>
        <v/>
      </c>
      <c r="BZ177" t="str">
        <f t="shared" si="119"/>
        <v/>
      </c>
      <c r="CB177">
        <f>IF(IFERROR(SEARCH("Wizard",$T177,1),0)&gt;0,1,0)*IF(C177&lt;=ArcaneTricksterMaxSpellLevel,1,0)*IF(IFERROR(MATCH($B177,Character_Creation!$J$350:$J$356,0),0)&gt;0,0,1)*IF(Character_Creation!$T$350&gt;0,1,0)</f>
        <v>0</v>
      </c>
      <c r="CC177">
        <f>IF(CB177=0,0,1+COUNTIF(CC$3:CC176,"&gt;0"))</f>
        <v>0</v>
      </c>
      <c r="CD177" t="str">
        <f t="shared" si="148"/>
        <v/>
      </c>
      <c r="CE177" t="str">
        <f t="shared" si="120"/>
        <v/>
      </c>
      <c r="CG177">
        <f>IF(IFERROR(SEARCH("Wizard",$T177,1),0)&gt;0,1,0)*IF($C177&lt;=EldritchKnightMaxSpellLevel,1,0)*IF(IFERROR(MATCH($B177,Character_Creation!$J$350:$J$356,0),0)&gt;0,0,1)*IF(Character_Creation!$M$350&gt;0,1,0)</f>
        <v>0</v>
      </c>
      <c r="CH177">
        <f>IF(CG177=0,0,1+COUNTIF(CH$3:CH176,"&gt;0"))</f>
        <v>0</v>
      </c>
      <c r="CI177" t="str">
        <f t="shared" si="149"/>
        <v/>
      </c>
      <c r="CJ177" t="str">
        <f t="shared" si="121"/>
        <v/>
      </c>
      <c r="CL177">
        <f>IF(IFERROR(SEARCH("Bard",$T177,1),0)&gt;0,1,0)*IF(BardMaxSpellLevel&gt;=$C177,1,0)*IF(IFERROR(MATCH(B177,Character_Creation!$C$341:$F$362,0),0)&gt;0,0,1)*IF(IFERROR(MATCH($B177,Character_Creation!$C$341:$C$362,0),0)&gt;0,0,1)</f>
        <v>0</v>
      </c>
      <c r="CM177">
        <f>IF(CL177=0,0,1+COUNTIF(CM$3:CM176,"&gt;0"))</f>
        <v>0</v>
      </c>
      <c r="CN177" t="str">
        <f t="shared" si="150"/>
        <v/>
      </c>
      <c r="CO177" t="str">
        <f t="shared" si="122"/>
        <v/>
      </c>
      <c r="CQ177">
        <f>IF(IFERROR(SEARCH("Wizard",$T177,1),0)&gt;0,1,0)*IF(WizardMaxSpellLevel&gt;=$C177,1,0)*IF(IFERROR(MATCH(B177,Character_Creation!$X$341:$X$400,0),0)&gt;0,0,1)*IF(SelectedWizardSpellLevel=$C177,1,0)</f>
        <v>0</v>
      </c>
      <c r="CR177">
        <f>IF(CQ177=0,0,1+COUNTIF(CR$3:CR176,"&gt;0"))</f>
        <v>0</v>
      </c>
      <c r="CS177" t="str">
        <f t="shared" si="151"/>
        <v/>
      </c>
      <c r="CT177" t="str">
        <f t="shared" si="123"/>
        <v/>
      </c>
      <c r="CV177">
        <f>IF(IFERROR(MATCH($B177,Character_Creation!$C$341:$C$362,0),0)&gt;0,0,1)*IF(OR(C177="Cantrip",C177&lt;=BardMaxSpellLevel),1,0)*IF(IFERROR(MATCH($B177,Character_Creation!$C$367:$C$374,0),0)&gt;0,0,1)</f>
        <v>0</v>
      </c>
      <c r="CW177">
        <f>IF(CV177=0,0,1+COUNTIF(CW$3:CW176,"&gt;0"))</f>
        <v>0</v>
      </c>
      <c r="CX177" t="str">
        <f t="shared" si="152"/>
        <v/>
      </c>
      <c r="CY177" t="str">
        <f t="shared" si="124"/>
        <v/>
      </c>
      <c r="DA177">
        <f>IF(IF(OR(IFERROR(SEARCH("Cleric",$T177,1),0)&gt;0,IFERROR(SEARCH(DivineDomain&amp;",",$T177,1),0)&gt;0),1,0)*IF($C177=DA$2,1,0)=1,1+COUNTIF(DA$3:DA176,"&gt;0"),0)</f>
        <v>0</v>
      </c>
      <c r="DB177">
        <f>IF(IF(OR(IFERROR(SEARCH("Cleric",$T177,1),0)&gt;0,IFERROR(SEARCH(DivineDomain&amp;",",$T177,1),0)&gt;0),1,0)*IF($C177=DB$2,1,0)=1,1+COUNTIF(DB$3:DB176,"&gt;0"),0)</f>
        <v>0</v>
      </c>
      <c r="DC177">
        <f>IF(IF(OR(IFERROR(SEARCH("Cleric",$T177,1),0)&gt;0,IFERROR(SEARCH(DivineDomain&amp;",",$T177,1),0)&gt;0),1,0)*IF($C177=DC$2,1,0)=1,1+COUNTIF(DC$3:DC176,"&gt;0"),0)</f>
        <v>0</v>
      </c>
      <c r="DD177">
        <f>IF(IF(OR(IFERROR(SEARCH("Cleric",$T177,1),0)&gt;0,IFERROR(SEARCH(DivineDomain&amp;",",$T177,1),0)&gt;0),1,0)*IF($C177=DD$2,1,0)=1,1+COUNTIF(DD$3:DD176,"&gt;0"),0)</f>
        <v>0</v>
      </c>
      <c r="DE177">
        <f>IF(IF(OR(IFERROR(SEARCH("Cleric",$T177,1),0)&gt;0,IFERROR(SEARCH(DivineDomain&amp;",",$T177,1),0)&gt;0),1,0)*IF($C177=DE$2,1,0)=1,1+COUNTIF(DE$3:DE176,"&gt;0"),0)</f>
        <v>0</v>
      </c>
      <c r="DF177">
        <f>IF(IF(OR(IFERROR(SEARCH("Cleric",$T177,1),0)&gt;0,IFERROR(SEARCH(DivineDomain&amp;",",$T177,1),0)&gt;0),1,0)*IF($C177=DF$2,1,0)=1,1+COUNTIF(DF$3:DF176,"&gt;0"),0)</f>
        <v>6</v>
      </c>
      <c r="DG177">
        <f>IF(IF(OR(IFERROR(SEARCH("Cleric",$T177,1),0)&gt;0,IFERROR(SEARCH(DivineDomain&amp;",",$T177,1),0)&gt;0),1,0)*IF($C177=DG$2,1,0)=1,1+COUNTIF(DG$3:DG176,"&gt;0"),0)</f>
        <v>0</v>
      </c>
      <c r="DH177">
        <f>IF(IF(OR(IFERROR(SEARCH("Cleric",$T177,1),0)&gt;0,IFERROR(SEARCH(DivineDomain&amp;",",$T177,1),0)&gt;0),1,0)*IF($C177=DH$2,1,0)=1,1+COUNTIF(DH$3:DH176,"&gt;0"),0)</f>
        <v>0</v>
      </c>
      <c r="DI177">
        <f>IF(IF(OR(IFERROR(SEARCH("Cleric",$T177,1),0)&gt;0,IFERROR(SEARCH(DivineDomain&amp;",",$T177,1),0)&gt;0),1,0)*IF($C177=DI$2,1,0)=1,1+COUNTIF(DI$3:DI176,"&gt;0"),0)</f>
        <v>0</v>
      </c>
      <c r="DJ177">
        <f>IF(IF(OR(IFERROR(SEARCH("Druid",$T177,1),0)&gt;0,IFERROR(SEARCH(DruidLand1,$T177,1),0)&gt;0,IFERROR(SEARCH(DruidLand2,$T177,1),0)&gt;0,IFERROR(SEARCH(DruidLand3,$T177,1),0)&gt;0,IFERROR(SEARCH(DruidLand4,$T177,1),0)&gt;0),1,0)*IF($C177=1,1,0)*IF($C177=DJ$2,1,0)=0,0,1+COUNTIF(DJ$3:DJ176,"&gt;0"))</f>
        <v>0</v>
      </c>
      <c r="DK177">
        <f>IF(IF(OR(IFERROR(SEARCH("Druid",$T177,1),0)&gt;0,IFERROR(SEARCH(DruidLand1,$T177,1),0)&gt;0,IFERROR(SEARCH(DruidLand2,$T177,1),0)&gt;0,IFERROR(SEARCH(DruidLand3,$T177,1),0)&gt;0,IFERROR(SEARCH(DruidLand4,$T177,1),0)&gt;0),1,0)*IF($C177=DK$2,1,0)=0,0,1+COUNTIF(DK$3:DK176,"&gt;0"))</f>
        <v>0</v>
      </c>
      <c r="DL177">
        <f>IF(IF(OR(IFERROR(SEARCH("Druid",$T177,1),0)&gt;0,IFERROR(SEARCH(DruidLand1,$T177,1),0)&gt;0,IFERROR(SEARCH(DruidLand2,$T177,1),0)&gt;0,IFERROR(SEARCH(DruidLand3,$T177,1),0)&gt;0,IFERROR(SEARCH(DruidLand4,$T177,1),0)&gt;0),1,0)*IF($C177=DL$2,1,0)=0,0,1+COUNTIF(DL$3:DL176,"&gt;0"))</f>
        <v>0</v>
      </c>
      <c r="DM177">
        <f>IF(IF(OR(IFERROR(SEARCH("Druid",$T177,1),0)&gt;0,IFERROR(SEARCH(DruidLand1,$T177,1),0)&gt;0,IFERROR(SEARCH(DruidLand2,$T177,1),0)&gt;0,IFERROR(SEARCH(DruidLand3,$T177,1),0)&gt;0,IFERROR(SEARCH(DruidLand4,$T177,1),0)&gt;0),1,0)*IF($C177=DM$2,1,0)=0,0,1+COUNTIF(DM$3:DM176,"&gt;0"))</f>
        <v>0</v>
      </c>
      <c r="DN177">
        <f>IF(IF(OR(IFERROR(SEARCH("Druid",$T177,1),0)&gt;0,IFERROR(SEARCH(DruidLand1,$T177,1),0)&gt;0,IFERROR(SEARCH(DruidLand2,$T177,1),0)&gt;0,IFERROR(SEARCH(DruidLand3,$T177,1),0)&gt;0,IFERROR(SEARCH(DruidLand4,$T177,1),0)&gt;0),1,0)*IF($C177=DN$2,1,0)=0,0,1+COUNTIF(DN$3:DN176,"&gt;0"))</f>
        <v>0</v>
      </c>
      <c r="DO177">
        <f>IF(IF(OR(IFERROR(SEARCH("Druid",$T177,1),0)&gt;0,IFERROR(SEARCH(DruidLand1,$T177,1),0)&gt;0,IFERROR(SEARCH(DruidLand2,$T177,1),0)&gt;0,IFERROR(SEARCH(DruidLand3,$T177,1),0)&gt;0,IFERROR(SEARCH(DruidLand4,$T177,1),0)&gt;0),1,0)*IF($C177=DO$2,1,0)=0,0,1+COUNTIF(DO$3:DO176,"&gt;0"))</f>
        <v>3</v>
      </c>
      <c r="DP177">
        <f>IF(IF(OR(IFERROR(SEARCH("Druid",$T177,1),0)&gt;0,IFERROR(SEARCH(DruidLand1,$T177,1),0)&gt;0,IFERROR(SEARCH(DruidLand2,$T177,1),0)&gt;0,IFERROR(SEARCH(DruidLand3,$T177,1),0)&gt;0,IFERROR(SEARCH(DruidLand4,$T177,1),0)&gt;0),1,0)*IF($C177=DP$2,1,0)=0,0,1+COUNTIF(DP$3:DP176,"&gt;0"))</f>
        <v>0</v>
      </c>
      <c r="DQ177">
        <f>IF(IF(OR(IFERROR(SEARCH("Druid",$T177,1),0)&gt;0,IFERROR(SEARCH(DruidLand1,$T177,1),0)&gt;0,IFERROR(SEARCH(DruidLand2,$T177,1),0)&gt;0,IFERROR(SEARCH(DruidLand3,$T177,1),0)&gt;0,IFERROR(SEARCH(DruidLand4,$T177,1),0)&gt;0),1,0)*IF($C177=DQ$2,1,0)=0,0,1+COUNTIF(DQ$3:DQ176,"&gt;0"))</f>
        <v>0</v>
      </c>
      <c r="DR177">
        <f>IF(IF(OR(IFERROR(SEARCH("Druid",$T177,1),0)&gt;0,IFERROR(SEARCH(DruidLand1,$T177,1),0)&gt;0,IFERROR(SEARCH(DruidLand2,$T177,1),0)&gt;0,IFERROR(SEARCH(DruidLand3,$T177,1),0)&gt;0,IFERROR(SEARCH(DruidLand4,$T177,1),0)&gt;0),1,0)*IF($C177=DR$2,1,0)=0,0,1+COUNTIF(DR$3:DR176,"&gt;0"))</f>
        <v>0</v>
      </c>
      <c r="DS177">
        <f>IF(IF(OR(IFERROR(SEARCH("Paladin",$T177,1),0)&gt;0,IFERROR(SEARCH(PaladinOath,$T177,1),0)&gt;0),1,0)*IF($C177=DS$2,1,0)=1,1+COUNTIF(DS$3:DS176,"&gt;0"),0)</f>
        <v>0</v>
      </c>
      <c r="DT177">
        <f>IF(IF(OR(IFERROR(SEARCH("Paladin",$T177,1),0)&gt;0,IFERROR(SEARCH(PaladinOath,$T177,1),0)&gt;0),1,0)*IF($C177=DT$2,1,0)=1,1+COUNTIF(DT$3:DT176,"&gt;0"),0)</f>
        <v>0</v>
      </c>
      <c r="DU177">
        <f>IF(IF(OR(IFERROR(SEARCH("Paladin",$T177,1),0)&gt;0,IFERROR(SEARCH(PaladinOath,$T177,1),0)&gt;0),1,0)*IF($C177=DU$2,1,0)=1,1+COUNTIF(DU$3:DU176,"&gt;0"),0)</f>
        <v>0</v>
      </c>
      <c r="DV177">
        <f>IF(IF(OR(IFERROR(SEARCH("Paladin",$T177,1),0)&gt;0,IFERROR(SEARCH(PaladinOath,$T177,1),0)&gt;0),1,0)*IF($C177=DV$2,1,0)=1,1+COUNTIF(DV$3:DV176,"&gt;0"),0)</f>
        <v>0</v>
      </c>
      <c r="DW177">
        <f>IF(IF(OR(IFERROR(SEARCH("Paladin",$T177,1),0)&gt;0,IFERROR(SEARCH(PaladinOath,$T177,1),0)&gt;0),1,0)*IF($C177=DW$2,1,0)=1,1+COUNTIF(DW$3:DW176,"&gt;0"),0)</f>
        <v>0</v>
      </c>
      <c r="DY177">
        <f t="shared" si="111"/>
        <v>1</v>
      </c>
      <c r="DZ177">
        <f>IF(DY177=0,0,1+MAX(DZ$3:$DZ176))</f>
        <v>175</v>
      </c>
      <c r="EB177">
        <f t="shared" si="125"/>
        <v>0</v>
      </c>
      <c r="EC177">
        <f>IF(EB177=0,0,1+COUNTIF(EC$3:EC176,"&gt;0"))</f>
        <v>0</v>
      </c>
      <c r="ED177" t="str">
        <f t="shared" si="153"/>
        <v/>
      </c>
      <c r="EE177" t="str">
        <f t="shared" si="126"/>
        <v/>
      </c>
      <c r="EG177">
        <f t="shared" si="127"/>
        <v>0</v>
      </c>
      <c r="EH177">
        <f>IF(EG177=0,0,1+COUNTIF(EH$3:EH176,"&gt;0"))</f>
        <v>0</v>
      </c>
      <c r="EI177" t="str">
        <f t="shared" si="154"/>
        <v/>
      </c>
      <c r="EJ177" t="str">
        <f t="shared" si="128"/>
        <v/>
      </c>
      <c r="EL177">
        <f t="shared" si="129"/>
        <v>0</v>
      </c>
      <c r="EM177">
        <f>IF(EL177=0,0,1+COUNTIF(EM$3:EM176,"&gt;0"))</f>
        <v>0</v>
      </c>
      <c r="EN177" t="str">
        <f t="shared" si="155"/>
        <v/>
      </c>
      <c r="EO177" t="str">
        <f t="shared" si="130"/>
        <v/>
      </c>
      <c r="EQ177">
        <f t="shared" si="131"/>
        <v>0</v>
      </c>
      <c r="ER177">
        <f>IF(EQ177=0,0,1+COUNTIF(ER$3:ER176,"&gt;0"))</f>
        <v>0</v>
      </c>
      <c r="ES177" t="str">
        <f t="shared" si="156"/>
        <v/>
      </c>
      <c r="ET177" t="str">
        <f t="shared" si="132"/>
        <v/>
      </c>
      <c r="EV177">
        <f t="shared" si="133"/>
        <v>0</v>
      </c>
      <c r="EW177">
        <f>IF(EV177=0,0,1+COUNTIF(EW$3:EW176,"&gt;0"))</f>
        <v>0</v>
      </c>
      <c r="EX177" t="str">
        <f t="shared" si="157"/>
        <v/>
      </c>
      <c r="EY177" t="str">
        <f t="shared" si="134"/>
        <v/>
      </c>
      <c r="FA177">
        <f t="shared" si="135"/>
        <v>0</v>
      </c>
      <c r="FB177">
        <f>IF(FA177=0,0,1+COUNTIF(FB$3:FB176,"&gt;0"))</f>
        <v>0</v>
      </c>
      <c r="FC177" t="str">
        <f t="shared" si="158"/>
        <v/>
      </c>
      <c r="FD177" t="str">
        <f t="shared" si="136"/>
        <v/>
      </c>
      <c r="FF177">
        <f t="shared" si="137"/>
        <v>0</v>
      </c>
      <c r="FG177">
        <f>IF(FF177=0,0,1+COUNTIF(FG$3:FG176,"&gt;0"))</f>
        <v>0</v>
      </c>
      <c r="FH177" t="str">
        <f t="shared" si="159"/>
        <v/>
      </c>
      <c r="FI177" t="str">
        <f t="shared" si="138"/>
        <v/>
      </c>
      <c r="FK177">
        <f t="shared" si="139"/>
        <v>0</v>
      </c>
      <c r="FL177">
        <f>IF(FK177=0,0,1+COUNTIF(FL$3:FL176,"&gt;0"))</f>
        <v>0</v>
      </c>
      <c r="FM177" t="str">
        <f t="shared" si="160"/>
        <v/>
      </c>
      <c r="FN177" t="str">
        <f t="shared" si="140"/>
        <v/>
      </c>
      <c r="FP177">
        <f t="shared" si="141"/>
        <v>0</v>
      </c>
      <c r="FQ177">
        <f>IF(FP177=0,0,1+COUNTIF(FQ$3:FQ176,"&gt;0"))</f>
        <v>0</v>
      </c>
      <c r="FR177" t="str">
        <f t="shared" si="161"/>
        <v/>
      </c>
      <c r="FS177" t="str">
        <f t="shared" si="142"/>
        <v/>
      </c>
    </row>
    <row r="178" spans="1:175" x14ac:dyDescent="0.25">
      <c r="A178" s="347">
        <f t="shared" si="162"/>
        <v>176</v>
      </c>
      <c r="B178" s="348" t="s">
        <v>2554</v>
      </c>
      <c r="C178" s="348">
        <v>1</v>
      </c>
      <c r="D178" s="347">
        <v>1</v>
      </c>
      <c r="E178" s="627" t="s">
        <v>6952</v>
      </c>
      <c r="F178" s="346"/>
      <c r="G178" s="347" t="str">
        <f>""</f>
        <v/>
      </c>
      <c r="H178" s="347" t="s">
        <v>5918</v>
      </c>
      <c r="I178" s="347" t="s">
        <v>424</v>
      </c>
      <c r="J178" s="347" t="str">
        <f t="shared" si="112"/>
        <v/>
      </c>
      <c r="K178" s="347" t="s">
        <v>5278</v>
      </c>
      <c r="L178" s="611" t="str">
        <f t="shared" si="113"/>
        <v>V</v>
      </c>
      <c r="M178" s="347" t="s">
        <v>2373</v>
      </c>
      <c r="N178" s="347" t="s">
        <v>3034</v>
      </c>
      <c r="O178" s="347" t="s">
        <v>3034</v>
      </c>
      <c r="P178" s="346" t="str">
        <f>""</f>
        <v/>
      </c>
      <c r="Q178" s="347" t="s">
        <v>5273</v>
      </c>
      <c r="S178" s="346" t="s">
        <v>5727</v>
      </c>
      <c r="T178" s="346" t="str">
        <f t="shared" si="114"/>
        <v xml:space="preserve">Bard, Cleric, Druid, </v>
      </c>
      <c r="U178" s="347" t="str">
        <f>$B178</f>
        <v>Healing Word</v>
      </c>
      <c r="Z178" s="347" t="str">
        <f t="shared" si="163"/>
        <v>Healing Word</v>
      </c>
      <c r="AA178" s="347" t="str">
        <f t="shared" si="163"/>
        <v>Healing Word</v>
      </c>
      <c r="AE178" t="str">
        <f>IF(IFERROR(MATCH($B178,temp!A$4:A$13,0),0)&gt;0,T08_Spells!AE$2,"")</f>
        <v/>
      </c>
      <c r="AF178" t="str">
        <f>IF(IFERROR(MATCH($B178,temp!B$4:B$13,0),0)&gt;0,T08_Spells!AF$2,"")</f>
        <v/>
      </c>
      <c r="AG178" t="str">
        <f>IF(IFERROR(MATCH($B178,temp!C$4:C$13,0),0)&gt;0,T08_Spells!AG$2,"")</f>
        <v/>
      </c>
      <c r="AH178" t="str">
        <f>IF(IFERROR(MATCH($B178,temp!D$4:D$13,0),0)&gt;0,T08_Spells!AH$2,"")</f>
        <v/>
      </c>
      <c r="AI178" t="str">
        <f>IF(IFERROR(MATCH($B178,temp!E$4:E$13,0),0)&gt;0,T08_Spells!AI$2,"")</f>
        <v/>
      </c>
      <c r="AJ178" t="str">
        <f>IF(IFERROR(MATCH($B178,temp!F$4:F$13,0),0)&gt;0,T08_Spells!AJ$2,"")</f>
        <v/>
      </c>
      <c r="AK178" t="str">
        <f>IF(IFERROR(MATCH($B178,temp!G$4:G$13,0),0)&gt;0,T08_Spells!AK$2,"")</f>
        <v/>
      </c>
      <c r="AL178" t="str">
        <f>IF(IFERROR(MATCH($B178,temp!H$4:H$13,0),0)&gt;0,T08_Spells!AL$2,"")</f>
        <v/>
      </c>
      <c r="AM178" t="str">
        <f>IF(IFERROR(MATCH($B178,temp!I$4:I$13,0),0)&gt;0,T08_Spells!AM$2,"")</f>
        <v/>
      </c>
      <c r="AN178" t="str">
        <f>IF(IFERROR(MATCH($B178,temp!J$4:J$13,0),0)&gt;0,T08_Spells!AN$2,"")</f>
        <v/>
      </c>
      <c r="AO178" t="str">
        <f>IF(IFERROR(MATCH($B178,temp!K$4:K$13,0),0)&gt;0,T08_Spells!AO$2,"")</f>
        <v/>
      </c>
      <c r="AP178" t="str">
        <f>IF(IFERROR(MATCH($B178,temp!L$4:L$13,0),0)&gt;0,T08_Spells!AP$2,"")</f>
        <v/>
      </c>
      <c r="AQ178" t="str">
        <f>IF(IFERROR(MATCH($B178,temp!M$4:M$13,0),0)&gt;0,T08_Spells!AQ$2,"")</f>
        <v/>
      </c>
      <c r="AR178" t="str">
        <f>IF(IFERROR(MATCH($B178,temp!N$4:N$13,0),0)&gt;0,T08_Spells!AR$2,"")</f>
        <v/>
      </c>
      <c r="AS178" t="str">
        <f>IF(IFERROR(MATCH($B178,temp!O$4:O$13,0),0)&gt;0,T08_Spells!AS$2,"")</f>
        <v/>
      </c>
      <c r="AT178" t="str">
        <f>IF(IFERROR(MATCH($B178,temp!P$4:P$13,0),0)&gt;0,T08_Spells!AT$2,"")</f>
        <v/>
      </c>
      <c r="AU178" t="str">
        <f>IF(IFERROR(MATCH($B178,temp!Q$4:Q$13,0),0)&gt;0,T08_Spells!AU$2,"")</f>
        <v/>
      </c>
      <c r="AV178" t="str">
        <f>IF(IFERROR(MATCH($B178,temp!R$4:R$13,0),0)&gt;0,T08_Spells!AV$2,"")</f>
        <v/>
      </c>
      <c r="AW178" t="str">
        <f>IF(IFERROR(MATCH($B178,temp!S$4:S$13,0),0)&gt;0,T08_Spells!AW$2,"")</f>
        <v/>
      </c>
      <c r="AX178" t="str">
        <f>IF(IFERROR(MATCH($B178,temp!T$4:T$13,0),0)&gt;0,T08_Spells!AX$2,"")</f>
        <v/>
      </c>
      <c r="AY178" t="str">
        <f>IF(IFERROR(MATCH($B178,temp!U$4:U$13,0),0)&gt;0,T08_Spells!AY$2,"")</f>
        <v/>
      </c>
      <c r="AZ178" t="str">
        <f>IF(IFERROR(MATCH($B178,temp!V$4:V$13,0),0)&gt;0,T08_Spells!AZ$2,"")</f>
        <v/>
      </c>
      <c r="BA178" t="str">
        <f>IF(IFERROR(MATCH($B178,temp!W$4:W$13,0),0)&gt;0,T08_Spells!BA$2,"")</f>
        <v/>
      </c>
      <c r="BC178">
        <f>IF(IFERROR(SEARCH("Ranger",$T178,1),0)&gt;0,1,0)*IF(RangerMaxSpellLevel&gt;=$C178,1,0)*IF(IFERROR(MATCH(B178,Character_Creation!$X$79:$X$382,0),0)&gt;0,0,1)</f>
        <v>0</v>
      </c>
      <c r="BD178">
        <f>IF(BC178=0,0,1+COUNTIF(BD$3:BD177,"&gt;0"))</f>
        <v>0</v>
      </c>
      <c r="BE178" t="str">
        <f t="shared" si="143"/>
        <v/>
      </c>
      <c r="BF178" t="str">
        <f t="shared" si="115"/>
        <v/>
      </c>
      <c r="BH178">
        <f>IF(IFERROR(SEARCH("Sorcerer",$T178,1),0)&gt;0,1,0)*IF(SorcererMaxSpellLevel&gt;=$C178,1,0)*IF(IFERROR(MATCH(B178,Character_Creation!$J$380:$J$394,0),0)&gt;0,0,1)</f>
        <v>0</v>
      </c>
      <c r="BI178">
        <f>IF(BH178=0,0,1+COUNTIF(BI$3:BI177,"&gt;0"))</f>
        <v>0</v>
      </c>
      <c r="BJ178" t="str">
        <f t="shared" si="144"/>
        <v/>
      </c>
      <c r="BK178" t="str">
        <f t="shared" si="116"/>
        <v/>
      </c>
      <c r="BM178">
        <f>IF(OR(IFERROR(SEARCH("Warlock",$T178,1),0)&gt;0,IFERROR(SEARCH(WarlockPatron,$T178,1),0)&gt;0),1,0)*IF(WarlockMaxSpellLevel&gt;=$C178,1,0)*IF(IFERROR(MATCH(B178,Character_Creation!$J$361:$J$375,0),0)&gt;0,0,1)</f>
        <v>0</v>
      </c>
      <c r="BN178">
        <f>IF(BM178=0,0,1+COUNTIF(BN$3:BN177,"&gt;0"))</f>
        <v>0</v>
      </c>
      <c r="BO178" t="str">
        <f t="shared" si="145"/>
        <v/>
      </c>
      <c r="BP178" t="str">
        <f t="shared" si="117"/>
        <v/>
      </c>
      <c r="BR178">
        <f>IF(IFERROR(SEARCH("Eldritch Knight",$T178,1),0)&gt;0,1,0)*IF(EldritchKnightMaxSpellLevel&gt;=$C178,1,0)*IF(IFERROR(MATCH($B178,Character_Creation!$J$350:$J$356,0),0)&gt;0,0,1)*IF(Character_Creation!$M$338&gt;0,1,0)</f>
        <v>0</v>
      </c>
      <c r="BS178">
        <f>IF(BR178=0,0,1+COUNTIF(BS$3:BS177,"&gt;0"))</f>
        <v>0</v>
      </c>
      <c r="BT178" t="str">
        <f t="shared" si="146"/>
        <v/>
      </c>
      <c r="BU178" t="str">
        <f t="shared" si="118"/>
        <v/>
      </c>
      <c r="BW178">
        <f>IF(IFERROR(SEARCH("Arcane Trickster",$T178,1),0)&gt;0,1,0)*IF(ArcaneTricksterMaxSpellLevel&gt;=$C178,1,0)*IF(IFERROR(MATCH($B178,Character_Creation!$J$350:$J$356,0),0)&gt;0,0,1)*IF(Character_Creation!$T$338&gt;0,1,0)</f>
        <v>0</v>
      </c>
      <c r="BX178">
        <f>IF(BW178=0,0,1+COUNTIF(BX$3:BX177,"&gt;0"))</f>
        <v>0</v>
      </c>
      <c r="BY178" t="str">
        <f t="shared" si="147"/>
        <v/>
      </c>
      <c r="BZ178" t="str">
        <f t="shared" si="119"/>
        <v/>
      </c>
      <c r="CB178">
        <f>IF(IFERROR(SEARCH("Wizard",$T178,1),0)&gt;0,1,0)*IF(C178&lt;=ArcaneTricksterMaxSpellLevel,1,0)*IF(IFERROR(MATCH($B178,Character_Creation!$J$350:$J$356,0),0)&gt;0,0,1)*IF(Character_Creation!$T$350&gt;0,1,0)</f>
        <v>0</v>
      </c>
      <c r="CC178">
        <f>IF(CB178=0,0,1+COUNTIF(CC$3:CC177,"&gt;0"))</f>
        <v>0</v>
      </c>
      <c r="CD178" t="str">
        <f t="shared" si="148"/>
        <v/>
      </c>
      <c r="CE178" t="str">
        <f t="shared" si="120"/>
        <v/>
      </c>
      <c r="CG178">
        <f>IF(IFERROR(SEARCH("Wizard",$T178,1),0)&gt;0,1,0)*IF($C178&lt;=EldritchKnightMaxSpellLevel,1,0)*IF(IFERROR(MATCH($B178,Character_Creation!$J$350:$J$356,0),0)&gt;0,0,1)*IF(Character_Creation!$M$350&gt;0,1,0)</f>
        <v>0</v>
      </c>
      <c r="CH178">
        <f>IF(CG178=0,0,1+COUNTIF(CH$3:CH177,"&gt;0"))</f>
        <v>0</v>
      </c>
      <c r="CI178" t="str">
        <f t="shared" si="149"/>
        <v/>
      </c>
      <c r="CJ178" t="str">
        <f t="shared" si="121"/>
        <v/>
      </c>
      <c r="CL178">
        <f>IF(IFERROR(SEARCH("Bard",$T178,1),0)&gt;0,1,0)*IF(BardMaxSpellLevel&gt;=$C178,1,0)*IF(IFERROR(MATCH(B178,Character_Creation!$C$341:$F$362,0),0)&gt;0,0,1)*IF(IFERROR(MATCH($B178,Character_Creation!$C$341:$C$362,0),0)&gt;0,0,1)</f>
        <v>0</v>
      </c>
      <c r="CM178">
        <f>IF(CL178=0,0,1+COUNTIF(CM$3:CM177,"&gt;0"))</f>
        <v>0</v>
      </c>
      <c r="CN178" t="str">
        <f t="shared" si="150"/>
        <v/>
      </c>
      <c r="CO178" t="str">
        <f t="shared" si="122"/>
        <v/>
      </c>
      <c r="CQ178">
        <f>IF(IFERROR(SEARCH("Wizard",$T178,1),0)&gt;0,1,0)*IF(WizardMaxSpellLevel&gt;=$C178,1,0)*IF(IFERROR(MATCH(B178,Character_Creation!$X$341:$X$400,0),0)&gt;0,0,1)*IF(SelectedWizardSpellLevel=$C178,1,0)</f>
        <v>0</v>
      </c>
      <c r="CR178">
        <f>IF(CQ178=0,0,1+COUNTIF(CR$3:CR177,"&gt;0"))</f>
        <v>0</v>
      </c>
      <c r="CS178" t="str">
        <f t="shared" si="151"/>
        <v/>
      </c>
      <c r="CT178" t="str">
        <f t="shared" si="123"/>
        <v/>
      </c>
      <c r="CV178">
        <f>IF(IFERROR(MATCH($B178,Character_Creation!$C$341:$C$362,0),0)&gt;0,0,1)*IF(OR(C178="Cantrip",C178&lt;=BardMaxSpellLevel),1,0)*IF(IFERROR(MATCH($B178,Character_Creation!$C$367:$C$374,0),0)&gt;0,0,1)</f>
        <v>0</v>
      </c>
      <c r="CW178">
        <f>IF(CV178=0,0,1+COUNTIF(CW$3:CW177,"&gt;0"))</f>
        <v>0</v>
      </c>
      <c r="CX178" t="str">
        <f t="shared" si="152"/>
        <v/>
      </c>
      <c r="CY178" t="str">
        <f t="shared" si="124"/>
        <v/>
      </c>
      <c r="DA178">
        <f>IF(IF(OR(IFERROR(SEARCH("Cleric",$T178,1),0)&gt;0,IFERROR(SEARCH(DivineDomain&amp;",",$T178,1),0)&gt;0),1,0)*IF($C178=DA$2,1,0)=1,1+COUNTIF(DA$3:DA177,"&gt;0"),0)</f>
        <v>10</v>
      </c>
      <c r="DB178">
        <f>IF(IF(OR(IFERROR(SEARCH("Cleric",$T178,1),0)&gt;0,IFERROR(SEARCH(DivineDomain&amp;",",$T178,1),0)&gt;0),1,0)*IF($C178=DB$2,1,0)=1,1+COUNTIF(DB$3:DB177,"&gt;0"),0)</f>
        <v>0</v>
      </c>
      <c r="DC178">
        <f>IF(IF(OR(IFERROR(SEARCH("Cleric",$T178,1),0)&gt;0,IFERROR(SEARCH(DivineDomain&amp;",",$T178,1),0)&gt;0),1,0)*IF($C178=DC$2,1,0)=1,1+COUNTIF(DC$3:DC177,"&gt;0"),0)</f>
        <v>0</v>
      </c>
      <c r="DD178">
        <f>IF(IF(OR(IFERROR(SEARCH("Cleric",$T178,1),0)&gt;0,IFERROR(SEARCH(DivineDomain&amp;",",$T178,1),0)&gt;0),1,0)*IF($C178=DD$2,1,0)=1,1+COUNTIF(DD$3:DD177,"&gt;0"),0)</f>
        <v>0</v>
      </c>
      <c r="DE178">
        <f>IF(IF(OR(IFERROR(SEARCH("Cleric",$T178,1),0)&gt;0,IFERROR(SEARCH(DivineDomain&amp;",",$T178,1),0)&gt;0),1,0)*IF($C178=DE$2,1,0)=1,1+COUNTIF(DE$3:DE177,"&gt;0"),0)</f>
        <v>0</v>
      </c>
      <c r="DF178">
        <f>IF(IF(OR(IFERROR(SEARCH("Cleric",$T178,1),0)&gt;0,IFERROR(SEARCH(DivineDomain&amp;",",$T178,1),0)&gt;0),1,0)*IF($C178=DF$2,1,0)=1,1+COUNTIF(DF$3:DF177,"&gt;0"),0)</f>
        <v>0</v>
      </c>
      <c r="DG178">
        <f>IF(IF(OR(IFERROR(SEARCH("Cleric",$T178,1),0)&gt;0,IFERROR(SEARCH(DivineDomain&amp;",",$T178,1),0)&gt;0),1,0)*IF($C178=DG$2,1,0)=1,1+COUNTIF(DG$3:DG177,"&gt;0"),0)</f>
        <v>0</v>
      </c>
      <c r="DH178">
        <f>IF(IF(OR(IFERROR(SEARCH("Cleric",$T178,1),0)&gt;0,IFERROR(SEARCH(DivineDomain&amp;",",$T178,1),0)&gt;0),1,0)*IF($C178=DH$2,1,0)=1,1+COUNTIF(DH$3:DH177,"&gt;0"),0)</f>
        <v>0</v>
      </c>
      <c r="DI178">
        <f>IF(IF(OR(IFERROR(SEARCH("Cleric",$T178,1),0)&gt;0,IFERROR(SEARCH(DivineDomain&amp;",",$T178,1),0)&gt;0),1,0)*IF($C178=DI$2,1,0)=1,1+COUNTIF(DI$3:DI177,"&gt;0"),0)</f>
        <v>0</v>
      </c>
      <c r="DJ178">
        <f>IF(IF(OR(IFERROR(SEARCH("Druid",$T178,1),0)&gt;0,IFERROR(SEARCH(DruidLand1,$T178,1),0)&gt;0,IFERROR(SEARCH(DruidLand2,$T178,1),0)&gt;0,IFERROR(SEARCH(DruidLand3,$T178,1),0)&gt;0,IFERROR(SEARCH(DruidLand4,$T178,1),0)&gt;0),1,0)*IF($C178=1,1,0)*IF($C178=DJ$2,1,0)=0,0,1+COUNTIF(DJ$3:DJ177,"&gt;0"))</f>
        <v>11</v>
      </c>
      <c r="DK178">
        <f>IF(IF(OR(IFERROR(SEARCH("Druid",$T178,1),0)&gt;0,IFERROR(SEARCH(DruidLand1,$T178,1),0)&gt;0,IFERROR(SEARCH(DruidLand2,$T178,1),0)&gt;0,IFERROR(SEARCH(DruidLand3,$T178,1),0)&gt;0,IFERROR(SEARCH(DruidLand4,$T178,1),0)&gt;0),1,0)*IF($C178=DK$2,1,0)=0,0,1+COUNTIF(DK$3:DK177,"&gt;0"))</f>
        <v>0</v>
      </c>
      <c r="DL178">
        <f>IF(IF(OR(IFERROR(SEARCH("Druid",$T178,1),0)&gt;0,IFERROR(SEARCH(DruidLand1,$T178,1),0)&gt;0,IFERROR(SEARCH(DruidLand2,$T178,1),0)&gt;0,IFERROR(SEARCH(DruidLand3,$T178,1),0)&gt;0,IFERROR(SEARCH(DruidLand4,$T178,1),0)&gt;0),1,0)*IF($C178=DL$2,1,0)=0,0,1+COUNTIF(DL$3:DL177,"&gt;0"))</f>
        <v>0</v>
      </c>
      <c r="DM178">
        <f>IF(IF(OR(IFERROR(SEARCH("Druid",$T178,1),0)&gt;0,IFERROR(SEARCH(DruidLand1,$T178,1),0)&gt;0,IFERROR(SEARCH(DruidLand2,$T178,1),0)&gt;0,IFERROR(SEARCH(DruidLand3,$T178,1),0)&gt;0,IFERROR(SEARCH(DruidLand4,$T178,1),0)&gt;0),1,0)*IF($C178=DM$2,1,0)=0,0,1+COUNTIF(DM$3:DM177,"&gt;0"))</f>
        <v>0</v>
      </c>
      <c r="DN178">
        <f>IF(IF(OR(IFERROR(SEARCH("Druid",$T178,1),0)&gt;0,IFERROR(SEARCH(DruidLand1,$T178,1),0)&gt;0,IFERROR(SEARCH(DruidLand2,$T178,1),0)&gt;0,IFERROR(SEARCH(DruidLand3,$T178,1),0)&gt;0,IFERROR(SEARCH(DruidLand4,$T178,1),0)&gt;0),1,0)*IF($C178=DN$2,1,0)=0,0,1+COUNTIF(DN$3:DN177,"&gt;0"))</f>
        <v>0</v>
      </c>
      <c r="DO178">
        <f>IF(IF(OR(IFERROR(SEARCH("Druid",$T178,1),0)&gt;0,IFERROR(SEARCH(DruidLand1,$T178,1),0)&gt;0,IFERROR(SEARCH(DruidLand2,$T178,1),0)&gt;0,IFERROR(SEARCH(DruidLand3,$T178,1),0)&gt;0,IFERROR(SEARCH(DruidLand4,$T178,1),0)&gt;0),1,0)*IF($C178=DO$2,1,0)=0,0,1+COUNTIF(DO$3:DO177,"&gt;0"))</f>
        <v>0</v>
      </c>
      <c r="DP178">
        <f>IF(IF(OR(IFERROR(SEARCH("Druid",$T178,1),0)&gt;0,IFERROR(SEARCH(DruidLand1,$T178,1),0)&gt;0,IFERROR(SEARCH(DruidLand2,$T178,1),0)&gt;0,IFERROR(SEARCH(DruidLand3,$T178,1),0)&gt;0,IFERROR(SEARCH(DruidLand4,$T178,1),0)&gt;0),1,0)*IF($C178=DP$2,1,0)=0,0,1+COUNTIF(DP$3:DP177,"&gt;0"))</f>
        <v>0</v>
      </c>
      <c r="DQ178">
        <f>IF(IF(OR(IFERROR(SEARCH("Druid",$T178,1),0)&gt;0,IFERROR(SEARCH(DruidLand1,$T178,1),0)&gt;0,IFERROR(SEARCH(DruidLand2,$T178,1),0)&gt;0,IFERROR(SEARCH(DruidLand3,$T178,1),0)&gt;0,IFERROR(SEARCH(DruidLand4,$T178,1),0)&gt;0),1,0)*IF($C178=DQ$2,1,0)=0,0,1+COUNTIF(DQ$3:DQ177,"&gt;0"))</f>
        <v>0</v>
      </c>
      <c r="DR178">
        <f>IF(IF(OR(IFERROR(SEARCH("Druid",$T178,1),0)&gt;0,IFERROR(SEARCH(DruidLand1,$T178,1),0)&gt;0,IFERROR(SEARCH(DruidLand2,$T178,1),0)&gt;0,IFERROR(SEARCH(DruidLand3,$T178,1),0)&gt;0,IFERROR(SEARCH(DruidLand4,$T178,1),0)&gt;0),1,0)*IF($C178=DR$2,1,0)=0,0,1+COUNTIF(DR$3:DR177,"&gt;0"))</f>
        <v>0</v>
      </c>
      <c r="DS178">
        <f>IF(IF(OR(IFERROR(SEARCH("Paladin",$T178,1),0)&gt;0,IFERROR(SEARCH(PaladinOath,$T178,1),0)&gt;0),1,0)*IF($C178=DS$2,1,0)=1,1+COUNTIF(DS$3:DS177,"&gt;0"),0)</f>
        <v>0</v>
      </c>
      <c r="DT178">
        <f>IF(IF(OR(IFERROR(SEARCH("Paladin",$T178,1),0)&gt;0,IFERROR(SEARCH(PaladinOath,$T178,1),0)&gt;0),1,0)*IF($C178=DT$2,1,0)=1,1+COUNTIF(DT$3:DT177,"&gt;0"),0)</f>
        <v>0</v>
      </c>
      <c r="DU178">
        <f>IF(IF(OR(IFERROR(SEARCH("Paladin",$T178,1),0)&gt;0,IFERROR(SEARCH(PaladinOath,$T178,1),0)&gt;0),1,0)*IF($C178=DU$2,1,0)=1,1+COUNTIF(DU$3:DU177,"&gt;0"),0)</f>
        <v>0</v>
      </c>
      <c r="DV178">
        <f>IF(IF(OR(IFERROR(SEARCH("Paladin",$T178,1),0)&gt;0,IFERROR(SEARCH(PaladinOath,$T178,1),0)&gt;0),1,0)*IF($C178=DV$2,1,0)=1,1+COUNTIF(DV$3:DV177,"&gt;0"),0)</f>
        <v>0</v>
      </c>
      <c r="DW178">
        <f>IF(IF(OR(IFERROR(SEARCH("Paladin",$T178,1),0)&gt;0,IFERROR(SEARCH(PaladinOath,$T178,1),0)&gt;0),1,0)*IF($C178=DW$2,1,0)=1,1+COUNTIF(DW$3:DW177,"&gt;0"),0)</f>
        <v>0</v>
      </c>
      <c r="DY178">
        <f t="shared" si="111"/>
        <v>1</v>
      </c>
      <c r="DZ178">
        <f>IF(DY178=0,0,1+MAX(DZ$3:$DZ177))</f>
        <v>176</v>
      </c>
      <c r="EB178">
        <f t="shared" si="125"/>
        <v>0</v>
      </c>
      <c r="EC178">
        <f>IF(EB178=0,0,1+COUNTIF(EC$3:EC177,"&gt;0"))</f>
        <v>0</v>
      </c>
      <c r="ED178" t="str">
        <f t="shared" si="153"/>
        <v/>
      </c>
      <c r="EE178" t="str">
        <f t="shared" si="126"/>
        <v/>
      </c>
      <c r="EG178">
        <f t="shared" si="127"/>
        <v>0</v>
      </c>
      <c r="EH178">
        <f>IF(EG178=0,0,1+COUNTIF(EH$3:EH177,"&gt;0"))</f>
        <v>0</v>
      </c>
      <c r="EI178" t="str">
        <f t="shared" si="154"/>
        <v/>
      </c>
      <c r="EJ178" t="str">
        <f t="shared" si="128"/>
        <v/>
      </c>
      <c r="EL178">
        <f t="shared" si="129"/>
        <v>0</v>
      </c>
      <c r="EM178">
        <f>IF(EL178=0,0,1+COUNTIF(EM$3:EM177,"&gt;0"))</f>
        <v>0</v>
      </c>
      <c r="EN178" t="str">
        <f t="shared" si="155"/>
        <v/>
      </c>
      <c r="EO178" t="str">
        <f t="shared" si="130"/>
        <v/>
      </c>
      <c r="EQ178">
        <f t="shared" si="131"/>
        <v>0</v>
      </c>
      <c r="ER178">
        <f>IF(EQ178=0,0,1+COUNTIF(ER$3:ER177,"&gt;0"))</f>
        <v>0</v>
      </c>
      <c r="ES178" t="str">
        <f t="shared" si="156"/>
        <v/>
      </c>
      <c r="ET178" t="str">
        <f t="shared" si="132"/>
        <v/>
      </c>
      <c r="EV178">
        <f t="shared" si="133"/>
        <v>0</v>
      </c>
      <c r="EW178">
        <f>IF(EV178=0,0,1+COUNTIF(EW$3:EW177,"&gt;0"))</f>
        <v>0</v>
      </c>
      <c r="EX178" t="str">
        <f t="shared" si="157"/>
        <v/>
      </c>
      <c r="EY178" t="str">
        <f t="shared" si="134"/>
        <v/>
      </c>
      <c r="FA178">
        <f t="shared" si="135"/>
        <v>0</v>
      </c>
      <c r="FB178">
        <f>IF(FA178=0,0,1+COUNTIF(FB$3:FB177,"&gt;0"))</f>
        <v>0</v>
      </c>
      <c r="FC178" t="str">
        <f t="shared" si="158"/>
        <v/>
      </c>
      <c r="FD178" t="str">
        <f t="shared" si="136"/>
        <v/>
      </c>
      <c r="FF178">
        <f t="shared" si="137"/>
        <v>0</v>
      </c>
      <c r="FG178">
        <f>IF(FF178=0,0,1+COUNTIF(FG$3:FG177,"&gt;0"))</f>
        <v>0</v>
      </c>
      <c r="FH178" t="str">
        <f t="shared" si="159"/>
        <v/>
      </c>
      <c r="FI178" t="str">
        <f t="shared" si="138"/>
        <v/>
      </c>
      <c r="FK178">
        <f t="shared" si="139"/>
        <v>0</v>
      </c>
      <c r="FL178">
        <f>IF(FK178=0,0,1+COUNTIF(FL$3:FL177,"&gt;0"))</f>
        <v>0</v>
      </c>
      <c r="FM178" t="str">
        <f t="shared" si="160"/>
        <v/>
      </c>
      <c r="FN178" t="str">
        <f t="shared" si="140"/>
        <v/>
      </c>
      <c r="FP178">
        <f t="shared" si="141"/>
        <v>0</v>
      </c>
      <c r="FQ178">
        <f>IF(FP178=0,0,1+COUNTIF(FQ$3:FQ177,"&gt;0"))</f>
        <v>0</v>
      </c>
      <c r="FR178" t="str">
        <f t="shared" si="161"/>
        <v/>
      </c>
      <c r="FS178" t="str">
        <f t="shared" si="142"/>
        <v/>
      </c>
    </row>
    <row r="179" spans="1:175" x14ac:dyDescent="0.25">
      <c r="A179" s="347">
        <f t="shared" si="162"/>
        <v>177</v>
      </c>
      <c r="B179" s="348" t="s">
        <v>2555</v>
      </c>
      <c r="C179" s="348">
        <v>2</v>
      </c>
      <c r="D179" s="347">
        <v>2</v>
      </c>
      <c r="E179" s="627" t="s">
        <v>6952</v>
      </c>
      <c r="F179" s="346"/>
      <c r="G179" s="347" t="str">
        <f>""</f>
        <v/>
      </c>
      <c r="H179" s="347" t="s">
        <v>5912</v>
      </c>
      <c r="I179" s="347" t="s">
        <v>424</v>
      </c>
      <c r="J179" s="347" t="str">
        <f t="shared" si="112"/>
        <v/>
      </c>
      <c r="K179" s="347" t="s">
        <v>5291</v>
      </c>
      <c r="L179" s="611" t="str">
        <f t="shared" si="113"/>
        <v>V, S, M, a piece of iron and a flame</v>
      </c>
      <c r="M179" s="347" t="s">
        <v>2373</v>
      </c>
      <c r="N179" s="347" t="s">
        <v>2387</v>
      </c>
      <c r="O179" s="347" t="s">
        <v>1244</v>
      </c>
      <c r="P179" s="346" t="s">
        <v>5398</v>
      </c>
      <c r="Q179" s="347" t="s">
        <v>5276</v>
      </c>
      <c r="S179" s="346" t="s">
        <v>5728</v>
      </c>
      <c r="T179" s="346" t="str">
        <f t="shared" si="114"/>
        <v xml:space="preserve">Bard, Druid, </v>
      </c>
      <c r="U179" s="347" t="str">
        <f>$B179</f>
        <v>Heat Metal</v>
      </c>
      <c r="AA179" s="347" t="str">
        <f t="shared" si="163"/>
        <v>Heat Metal</v>
      </c>
      <c r="AE179" t="str">
        <f>IF(IFERROR(MATCH($B179,temp!A$4:A$13,0),0)&gt;0,T08_Spells!AE$2,"")</f>
        <v/>
      </c>
      <c r="AF179" t="str">
        <f>IF(IFERROR(MATCH($B179,temp!B$4:B$13,0),0)&gt;0,T08_Spells!AF$2,"")</f>
        <v/>
      </c>
      <c r="AG179" t="str">
        <f>IF(IFERROR(MATCH($B179,temp!C$4:C$13,0),0)&gt;0,T08_Spells!AG$2,"")</f>
        <v/>
      </c>
      <c r="AH179" t="str">
        <f>IF(IFERROR(MATCH($B179,temp!D$4:D$13,0),0)&gt;0,T08_Spells!AH$2,"")</f>
        <v/>
      </c>
      <c r="AI179" t="str">
        <f>IF(IFERROR(MATCH($B179,temp!E$4:E$13,0),0)&gt;0,T08_Spells!AI$2,"")</f>
        <v/>
      </c>
      <c r="AJ179" t="str">
        <f>IF(IFERROR(MATCH($B179,temp!F$4:F$13,0),0)&gt;0,T08_Spells!AJ$2,"")</f>
        <v/>
      </c>
      <c r="AK179" t="str">
        <f>IF(IFERROR(MATCH($B179,temp!G$4:G$13,0),0)&gt;0,T08_Spells!AK$2,"")</f>
        <v/>
      </c>
      <c r="AL179" t="str">
        <f>IF(IFERROR(MATCH($B179,temp!H$4:H$13,0),0)&gt;0,T08_Spells!AL$2,"")</f>
        <v/>
      </c>
      <c r="AM179" t="str">
        <f>IF(IFERROR(MATCH($B179,temp!I$4:I$13,0),0)&gt;0,T08_Spells!AM$2,"")</f>
        <v/>
      </c>
      <c r="AN179" t="str">
        <f>IF(IFERROR(MATCH($B179,temp!J$4:J$13,0),0)&gt;0,T08_Spells!AN$2,"")</f>
        <v/>
      </c>
      <c r="AO179" t="str">
        <f>IF(IFERROR(MATCH($B179,temp!K$4:K$13,0),0)&gt;0,T08_Spells!AO$2,"")</f>
        <v/>
      </c>
      <c r="AP179" t="str">
        <f>IF(IFERROR(MATCH($B179,temp!L$4:L$13,0),0)&gt;0,T08_Spells!AP$2,"")</f>
        <v/>
      </c>
      <c r="AQ179" t="str">
        <f>IF(IFERROR(MATCH($B179,temp!M$4:M$13,0),0)&gt;0,T08_Spells!AQ$2,"")</f>
        <v/>
      </c>
      <c r="AR179" t="str">
        <f>IF(IFERROR(MATCH($B179,temp!N$4:N$13,0),0)&gt;0,T08_Spells!AR$2,"")</f>
        <v/>
      </c>
      <c r="AS179" t="str">
        <f>IF(IFERROR(MATCH($B179,temp!O$4:O$13,0),0)&gt;0,T08_Spells!AS$2,"")</f>
        <v/>
      </c>
      <c r="AT179" t="str">
        <f>IF(IFERROR(MATCH($B179,temp!P$4:P$13,0),0)&gt;0,T08_Spells!AT$2,"")</f>
        <v/>
      </c>
      <c r="AU179" t="str">
        <f>IF(IFERROR(MATCH($B179,temp!Q$4:Q$13,0),0)&gt;0,T08_Spells!AU$2,"")</f>
        <v/>
      </c>
      <c r="AV179" t="str">
        <f>IF(IFERROR(MATCH($B179,temp!R$4:R$13,0),0)&gt;0,T08_Spells!AV$2,"")</f>
        <v/>
      </c>
      <c r="AW179" t="str">
        <f>IF(IFERROR(MATCH($B179,temp!S$4:S$13,0),0)&gt;0,T08_Spells!AW$2,"")</f>
        <v/>
      </c>
      <c r="AX179" t="str">
        <f>IF(IFERROR(MATCH($B179,temp!T$4:T$13,0),0)&gt;0,T08_Spells!AX$2,"")</f>
        <v/>
      </c>
      <c r="AY179" t="str">
        <f>IF(IFERROR(MATCH($B179,temp!U$4:U$13,0),0)&gt;0,T08_Spells!AY$2,"")</f>
        <v/>
      </c>
      <c r="AZ179" t="str">
        <f>IF(IFERROR(MATCH($B179,temp!V$4:V$13,0),0)&gt;0,T08_Spells!AZ$2,"")</f>
        <v/>
      </c>
      <c r="BA179" t="str">
        <f>IF(IFERROR(MATCH($B179,temp!W$4:W$13,0),0)&gt;0,T08_Spells!BA$2,"")</f>
        <v/>
      </c>
      <c r="BC179">
        <f>IF(IFERROR(SEARCH("Ranger",$T179,1),0)&gt;0,1,0)*IF(RangerMaxSpellLevel&gt;=$C179,1,0)*IF(IFERROR(MATCH(B179,Character_Creation!$X$79:$X$382,0),0)&gt;0,0,1)</f>
        <v>0</v>
      </c>
      <c r="BD179">
        <f>IF(BC179=0,0,1+COUNTIF(BD$3:BD178,"&gt;0"))</f>
        <v>0</v>
      </c>
      <c r="BE179" t="str">
        <f t="shared" si="143"/>
        <v/>
      </c>
      <c r="BF179" t="str">
        <f t="shared" si="115"/>
        <v/>
      </c>
      <c r="BH179">
        <f>IF(IFERROR(SEARCH("Sorcerer",$T179,1),0)&gt;0,1,0)*IF(SorcererMaxSpellLevel&gt;=$C179,1,0)*IF(IFERROR(MATCH(B179,Character_Creation!$J$380:$J$394,0),0)&gt;0,0,1)</f>
        <v>0</v>
      </c>
      <c r="BI179">
        <f>IF(BH179=0,0,1+COUNTIF(BI$3:BI178,"&gt;0"))</f>
        <v>0</v>
      </c>
      <c r="BJ179" t="str">
        <f t="shared" si="144"/>
        <v/>
      </c>
      <c r="BK179" t="str">
        <f t="shared" si="116"/>
        <v/>
      </c>
      <c r="BM179">
        <f>IF(OR(IFERROR(SEARCH("Warlock",$T179,1),0)&gt;0,IFERROR(SEARCH(WarlockPatron,$T179,1),0)&gt;0),1,0)*IF(WarlockMaxSpellLevel&gt;=$C179,1,0)*IF(IFERROR(MATCH(B179,Character_Creation!$J$361:$J$375,0),0)&gt;0,0,1)</f>
        <v>0</v>
      </c>
      <c r="BN179">
        <f>IF(BM179=0,0,1+COUNTIF(BN$3:BN178,"&gt;0"))</f>
        <v>0</v>
      </c>
      <c r="BO179" t="str">
        <f t="shared" si="145"/>
        <v/>
      </c>
      <c r="BP179" t="str">
        <f t="shared" si="117"/>
        <v/>
      </c>
      <c r="BR179">
        <f>IF(IFERROR(SEARCH("Eldritch Knight",$T179,1),0)&gt;0,1,0)*IF(EldritchKnightMaxSpellLevel&gt;=$C179,1,0)*IF(IFERROR(MATCH($B179,Character_Creation!$J$350:$J$356,0),0)&gt;0,0,1)*IF(Character_Creation!$M$338&gt;0,1,0)</f>
        <v>0</v>
      </c>
      <c r="BS179">
        <f>IF(BR179=0,0,1+COUNTIF(BS$3:BS178,"&gt;0"))</f>
        <v>0</v>
      </c>
      <c r="BT179" t="str">
        <f t="shared" si="146"/>
        <v/>
      </c>
      <c r="BU179" t="str">
        <f t="shared" si="118"/>
        <v/>
      </c>
      <c r="BW179">
        <f>IF(IFERROR(SEARCH("Arcane Trickster",$T179,1),0)&gt;0,1,0)*IF(ArcaneTricksterMaxSpellLevel&gt;=$C179,1,0)*IF(IFERROR(MATCH($B179,Character_Creation!$J$350:$J$356,0),0)&gt;0,0,1)*IF(Character_Creation!$T$338&gt;0,1,0)</f>
        <v>0</v>
      </c>
      <c r="BX179">
        <f>IF(BW179=0,0,1+COUNTIF(BX$3:BX178,"&gt;0"))</f>
        <v>0</v>
      </c>
      <c r="BY179" t="str">
        <f t="shared" si="147"/>
        <v/>
      </c>
      <c r="BZ179" t="str">
        <f t="shared" si="119"/>
        <v/>
      </c>
      <c r="CB179">
        <f>IF(IFERROR(SEARCH("Wizard",$T179,1),0)&gt;0,1,0)*IF(C179&lt;=ArcaneTricksterMaxSpellLevel,1,0)*IF(IFERROR(MATCH($B179,Character_Creation!$J$350:$J$356,0),0)&gt;0,0,1)*IF(Character_Creation!$T$350&gt;0,1,0)</f>
        <v>0</v>
      </c>
      <c r="CC179">
        <f>IF(CB179=0,0,1+COUNTIF(CC$3:CC178,"&gt;0"))</f>
        <v>0</v>
      </c>
      <c r="CD179" t="str">
        <f t="shared" si="148"/>
        <v/>
      </c>
      <c r="CE179" t="str">
        <f t="shared" si="120"/>
        <v/>
      </c>
      <c r="CG179">
        <f>IF(IFERROR(SEARCH("Wizard",$T179,1),0)&gt;0,1,0)*IF($C179&lt;=EldritchKnightMaxSpellLevel,1,0)*IF(IFERROR(MATCH($B179,Character_Creation!$J$350:$J$356,0),0)&gt;0,0,1)*IF(Character_Creation!$M$350&gt;0,1,0)</f>
        <v>0</v>
      </c>
      <c r="CH179">
        <f>IF(CG179=0,0,1+COUNTIF(CH$3:CH178,"&gt;0"))</f>
        <v>0</v>
      </c>
      <c r="CI179" t="str">
        <f t="shared" si="149"/>
        <v/>
      </c>
      <c r="CJ179" t="str">
        <f t="shared" si="121"/>
        <v/>
      </c>
      <c r="CL179">
        <f>IF(IFERROR(SEARCH("Bard",$T179,1),0)&gt;0,1,0)*IF(BardMaxSpellLevel&gt;=$C179,1,0)*IF(IFERROR(MATCH(B179,Character_Creation!$C$341:$F$362,0),0)&gt;0,0,1)*IF(IFERROR(MATCH($B179,Character_Creation!$C$341:$C$362,0),0)&gt;0,0,1)</f>
        <v>0</v>
      </c>
      <c r="CM179">
        <f>IF(CL179=0,0,1+COUNTIF(CM$3:CM178,"&gt;0"))</f>
        <v>0</v>
      </c>
      <c r="CN179" t="str">
        <f t="shared" si="150"/>
        <v/>
      </c>
      <c r="CO179" t="str">
        <f t="shared" si="122"/>
        <v/>
      </c>
      <c r="CQ179">
        <f>IF(IFERROR(SEARCH("Wizard",$T179,1),0)&gt;0,1,0)*IF(WizardMaxSpellLevel&gt;=$C179,1,0)*IF(IFERROR(MATCH(B179,Character_Creation!$X$341:$X$400,0),0)&gt;0,0,1)*IF(SelectedWizardSpellLevel=$C179,1,0)</f>
        <v>0</v>
      </c>
      <c r="CR179">
        <f>IF(CQ179=0,0,1+COUNTIF(CR$3:CR178,"&gt;0"))</f>
        <v>0</v>
      </c>
      <c r="CS179" t="str">
        <f t="shared" si="151"/>
        <v/>
      </c>
      <c r="CT179" t="str">
        <f t="shared" si="123"/>
        <v/>
      </c>
      <c r="CV179">
        <f>IF(IFERROR(MATCH($B179,Character_Creation!$C$341:$C$362,0),0)&gt;0,0,1)*IF(OR(C179="Cantrip",C179&lt;=BardMaxSpellLevel),1,0)*IF(IFERROR(MATCH($B179,Character_Creation!$C$367:$C$374,0),0)&gt;0,0,1)</f>
        <v>0</v>
      </c>
      <c r="CW179">
        <f>IF(CV179=0,0,1+COUNTIF(CW$3:CW178,"&gt;0"))</f>
        <v>0</v>
      </c>
      <c r="CX179" t="str">
        <f t="shared" si="152"/>
        <v/>
      </c>
      <c r="CY179" t="str">
        <f t="shared" si="124"/>
        <v/>
      </c>
      <c r="DA179">
        <f>IF(IF(OR(IFERROR(SEARCH("Cleric",$T179,1),0)&gt;0,IFERROR(SEARCH(DivineDomain&amp;",",$T179,1),0)&gt;0),1,0)*IF($C179=DA$2,1,0)=1,1+COUNTIF(DA$3:DA178,"&gt;0"),0)</f>
        <v>0</v>
      </c>
      <c r="DB179">
        <f>IF(IF(OR(IFERROR(SEARCH("Cleric",$T179,1),0)&gt;0,IFERROR(SEARCH(DivineDomain&amp;",",$T179,1),0)&gt;0),1,0)*IF($C179=DB$2,1,0)=1,1+COUNTIF(DB$3:DB178,"&gt;0"),0)</f>
        <v>0</v>
      </c>
      <c r="DC179">
        <f>IF(IF(OR(IFERROR(SEARCH("Cleric",$T179,1),0)&gt;0,IFERROR(SEARCH(DivineDomain&amp;",",$T179,1),0)&gt;0),1,0)*IF($C179=DC$2,1,0)=1,1+COUNTIF(DC$3:DC178,"&gt;0"),0)</f>
        <v>0</v>
      </c>
      <c r="DD179">
        <f>IF(IF(OR(IFERROR(SEARCH("Cleric",$T179,1),0)&gt;0,IFERROR(SEARCH(DivineDomain&amp;",",$T179,1),0)&gt;0),1,0)*IF($C179=DD$2,1,0)=1,1+COUNTIF(DD$3:DD178,"&gt;0"),0)</f>
        <v>0</v>
      </c>
      <c r="DE179">
        <f>IF(IF(OR(IFERROR(SEARCH("Cleric",$T179,1),0)&gt;0,IFERROR(SEARCH(DivineDomain&amp;",",$T179,1),0)&gt;0),1,0)*IF($C179=DE$2,1,0)=1,1+COUNTIF(DE$3:DE178,"&gt;0"),0)</f>
        <v>0</v>
      </c>
      <c r="DF179">
        <f>IF(IF(OR(IFERROR(SEARCH("Cleric",$T179,1),0)&gt;0,IFERROR(SEARCH(DivineDomain&amp;",",$T179,1),0)&gt;0),1,0)*IF($C179=DF$2,1,0)=1,1+COUNTIF(DF$3:DF178,"&gt;0"),0)</f>
        <v>0</v>
      </c>
      <c r="DG179">
        <f>IF(IF(OR(IFERROR(SEARCH("Cleric",$T179,1),0)&gt;0,IFERROR(SEARCH(DivineDomain&amp;",",$T179,1),0)&gt;0),1,0)*IF($C179=DG$2,1,0)=1,1+COUNTIF(DG$3:DG178,"&gt;0"),0)</f>
        <v>0</v>
      </c>
      <c r="DH179">
        <f>IF(IF(OR(IFERROR(SEARCH("Cleric",$T179,1),0)&gt;0,IFERROR(SEARCH(DivineDomain&amp;",",$T179,1),0)&gt;0),1,0)*IF($C179=DH$2,1,0)=1,1+COUNTIF(DH$3:DH178,"&gt;0"),0)</f>
        <v>0</v>
      </c>
      <c r="DI179">
        <f>IF(IF(OR(IFERROR(SEARCH("Cleric",$T179,1),0)&gt;0,IFERROR(SEARCH(DivineDomain&amp;",",$T179,1),0)&gt;0),1,0)*IF($C179=DI$2,1,0)=1,1+COUNTIF(DI$3:DI178,"&gt;0"),0)</f>
        <v>0</v>
      </c>
      <c r="DJ179">
        <f>IF(IF(OR(IFERROR(SEARCH("Druid",$T179,1),0)&gt;0,IFERROR(SEARCH(DruidLand1,$T179,1),0)&gt;0,IFERROR(SEARCH(DruidLand2,$T179,1),0)&gt;0,IFERROR(SEARCH(DruidLand3,$T179,1),0)&gt;0,IFERROR(SEARCH(DruidLand4,$T179,1),0)&gt;0),1,0)*IF($C179=1,1,0)*IF($C179=DJ$2,1,0)=0,0,1+COUNTIF(DJ$3:DJ178,"&gt;0"))</f>
        <v>0</v>
      </c>
      <c r="DK179">
        <f>IF(IF(OR(IFERROR(SEARCH("Druid",$T179,1),0)&gt;0,IFERROR(SEARCH(DruidLand1,$T179,1),0)&gt;0,IFERROR(SEARCH(DruidLand2,$T179,1),0)&gt;0,IFERROR(SEARCH(DruidLand3,$T179,1),0)&gt;0,IFERROR(SEARCH(DruidLand4,$T179,1),0)&gt;0),1,0)*IF($C179=DK$2,1,0)=0,0,1+COUNTIF(DK$3:DK178,"&gt;0"))</f>
        <v>10</v>
      </c>
      <c r="DL179">
        <f>IF(IF(OR(IFERROR(SEARCH("Druid",$T179,1),0)&gt;0,IFERROR(SEARCH(DruidLand1,$T179,1),0)&gt;0,IFERROR(SEARCH(DruidLand2,$T179,1),0)&gt;0,IFERROR(SEARCH(DruidLand3,$T179,1),0)&gt;0,IFERROR(SEARCH(DruidLand4,$T179,1),0)&gt;0),1,0)*IF($C179=DL$2,1,0)=0,0,1+COUNTIF(DL$3:DL178,"&gt;0"))</f>
        <v>0</v>
      </c>
      <c r="DM179">
        <f>IF(IF(OR(IFERROR(SEARCH("Druid",$T179,1),0)&gt;0,IFERROR(SEARCH(DruidLand1,$T179,1),0)&gt;0,IFERROR(SEARCH(DruidLand2,$T179,1),0)&gt;0,IFERROR(SEARCH(DruidLand3,$T179,1),0)&gt;0,IFERROR(SEARCH(DruidLand4,$T179,1),0)&gt;0),1,0)*IF($C179=DM$2,1,0)=0,0,1+COUNTIF(DM$3:DM178,"&gt;0"))</f>
        <v>0</v>
      </c>
      <c r="DN179">
        <f>IF(IF(OR(IFERROR(SEARCH("Druid",$T179,1),0)&gt;0,IFERROR(SEARCH(DruidLand1,$T179,1),0)&gt;0,IFERROR(SEARCH(DruidLand2,$T179,1),0)&gt;0,IFERROR(SEARCH(DruidLand3,$T179,1),0)&gt;0,IFERROR(SEARCH(DruidLand4,$T179,1),0)&gt;0),1,0)*IF($C179=DN$2,1,0)=0,0,1+COUNTIF(DN$3:DN178,"&gt;0"))</f>
        <v>0</v>
      </c>
      <c r="DO179">
        <f>IF(IF(OR(IFERROR(SEARCH("Druid",$T179,1),0)&gt;0,IFERROR(SEARCH(DruidLand1,$T179,1),0)&gt;0,IFERROR(SEARCH(DruidLand2,$T179,1),0)&gt;0,IFERROR(SEARCH(DruidLand3,$T179,1),0)&gt;0,IFERROR(SEARCH(DruidLand4,$T179,1),0)&gt;0),1,0)*IF($C179=DO$2,1,0)=0,0,1+COUNTIF(DO$3:DO178,"&gt;0"))</f>
        <v>0</v>
      </c>
      <c r="DP179">
        <f>IF(IF(OR(IFERROR(SEARCH("Druid",$T179,1),0)&gt;0,IFERROR(SEARCH(DruidLand1,$T179,1),0)&gt;0,IFERROR(SEARCH(DruidLand2,$T179,1),0)&gt;0,IFERROR(SEARCH(DruidLand3,$T179,1),0)&gt;0,IFERROR(SEARCH(DruidLand4,$T179,1),0)&gt;0),1,0)*IF($C179=DP$2,1,0)=0,0,1+COUNTIF(DP$3:DP178,"&gt;0"))</f>
        <v>0</v>
      </c>
      <c r="DQ179">
        <f>IF(IF(OR(IFERROR(SEARCH("Druid",$T179,1),0)&gt;0,IFERROR(SEARCH(DruidLand1,$T179,1),0)&gt;0,IFERROR(SEARCH(DruidLand2,$T179,1),0)&gt;0,IFERROR(SEARCH(DruidLand3,$T179,1),0)&gt;0,IFERROR(SEARCH(DruidLand4,$T179,1),0)&gt;0),1,0)*IF($C179=DQ$2,1,0)=0,0,1+COUNTIF(DQ$3:DQ178,"&gt;0"))</f>
        <v>0</v>
      </c>
      <c r="DR179">
        <f>IF(IF(OR(IFERROR(SEARCH("Druid",$T179,1),0)&gt;0,IFERROR(SEARCH(DruidLand1,$T179,1),0)&gt;0,IFERROR(SEARCH(DruidLand2,$T179,1),0)&gt;0,IFERROR(SEARCH(DruidLand3,$T179,1),0)&gt;0,IFERROR(SEARCH(DruidLand4,$T179,1),0)&gt;0),1,0)*IF($C179=DR$2,1,0)=0,0,1+COUNTIF(DR$3:DR178,"&gt;0"))</f>
        <v>0</v>
      </c>
      <c r="DS179">
        <f>IF(IF(OR(IFERROR(SEARCH("Paladin",$T179,1),0)&gt;0,IFERROR(SEARCH(PaladinOath,$T179,1),0)&gt;0),1,0)*IF($C179=DS$2,1,0)=1,1+COUNTIF(DS$3:DS178,"&gt;0"),0)</f>
        <v>0</v>
      </c>
      <c r="DT179">
        <f>IF(IF(OR(IFERROR(SEARCH("Paladin",$T179,1),0)&gt;0,IFERROR(SEARCH(PaladinOath,$T179,1),0)&gt;0),1,0)*IF($C179=DT$2,1,0)=1,1+COUNTIF(DT$3:DT178,"&gt;0"),0)</f>
        <v>0</v>
      </c>
      <c r="DU179">
        <f>IF(IF(OR(IFERROR(SEARCH("Paladin",$T179,1),0)&gt;0,IFERROR(SEARCH(PaladinOath,$T179,1),0)&gt;0),1,0)*IF($C179=DU$2,1,0)=1,1+COUNTIF(DU$3:DU178,"&gt;0"),0)</f>
        <v>0</v>
      </c>
      <c r="DV179">
        <f>IF(IF(OR(IFERROR(SEARCH("Paladin",$T179,1),0)&gt;0,IFERROR(SEARCH(PaladinOath,$T179,1),0)&gt;0),1,0)*IF($C179=DV$2,1,0)=1,1+COUNTIF(DV$3:DV178,"&gt;0"),0)</f>
        <v>0</v>
      </c>
      <c r="DW179">
        <f>IF(IF(OR(IFERROR(SEARCH("Paladin",$T179,1),0)&gt;0,IFERROR(SEARCH(PaladinOath,$T179,1),0)&gt;0),1,0)*IF($C179=DW$2,1,0)=1,1+COUNTIF(DW$3:DW178,"&gt;0"),0)</f>
        <v>0</v>
      </c>
      <c r="DY179">
        <f t="shared" si="111"/>
        <v>1</v>
      </c>
      <c r="DZ179">
        <f>IF(DY179=0,0,1+MAX(DZ$3:$DZ178))</f>
        <v>177</v>
      </c>
      <c r="EB179">
        <f t="shared" si="125"/>
        <v>0</v>
      </c>
      <c r="EC179">
        <f>IF(EB179=0,0,1+COUNTIF(EC$3:EC178,"&gt;0"))</f>
        <v>0</v>
      </c>
      <c r="ED179" t="str">
        <f t="shared" si="153"/>
        <v/>
      </c>
      <c r="EE179" t="str">
        <f t="shared" si="126"/>
        <v/>
      </c>
      <c r="EG179">
        <f t="shared" si="127"/>
        <v>0</v>
      </c>
      <c r="EH179">
        <f>IF(EG179=0,0,1+COUNTIF(EH$3:EH178,"&gt;0"))</f>
        <v>0</v>
      </c>
      <c r="EI179" t="str">
        <f t="shared" si="154"/>
        <v/>
      </c>
      <c r="EJ179" t="str">
        <f t="shared" si="128"/>
        <v/>
      </c>
      <c r="EL179">
        <f t="shared" si="129"/>
        <v>0</v>
      </c>
      <c r="EM179">
        <f>IF(EL179=0,0,1+COUNTIF(EM$3:EM178,"&gt;0"))</f>
        <v>0</v>
      </c>
      <c r="EN179" t="str">
        <f t="shared" si="155"/>
        <v/>
      </c>
      <c r="EO179" t="str">
        <f t="shared" si="130"/>
        <v/>
      </c>
      <c r="EQ179">
        <f t="shared" si="131"/>
        <v>0</v>
      </c>
      <c r="ER179">
        <f>IF(EQ179=0,0,1+COUNTIF(ER$3:ER178,"&gt;0"))</f>
        <v>0</v>
      </c>
      <c r="ES179" t="str">
        <f t="shared" si="156"/>
        <v/>
      </c>
      <c r="ET179" t="str">
        <f t="shared" si="132"/>
        <v/>
      </c>
      <c r="EV179">
        <f t="shared" si="133"/>
        <v>0</v>
      </c>
      <c r="EW179">
        <f>IF(EV179=0,0,1+COUNTIF(EW$3:EW178,"&gt;0"))</f>
        <v>0</v>
      </c>
      <c r="EX179" t="str">
        <f t="shared" si="157"/>
        <v/>
      </c>
      <c r="EY179" t="str">
        <f t="shared" si="134"/>
        <v/>
      </c>
      <c r="FA179">
        <f t="shared" si="135"/>
        <v>0</v>
      </c>
      <c r="FB179">
        <f>IF(FA179=0,0,1+COUNTIF(FB$3:FB178,"&gt;0"))</f>
        <v>0</v>
      </c>
      <c r="FC179" t="str">
        <f t="shared" si="158"/>
        <v/>
      </c>
      <c r="FD179" t="str">
        <f t="shared" si="136"/>
        <v/>
      </c>
      <c r="FF179">
        <f t="shared" si="137"/>
        <v>0</v>
      </c>
      <c r="FG179">
        <f>IF(FF179=0,0,1+COUNTIF(FG$3:FG178,"&gt;0"))</f>
        <v>0</v>
      </c>
      <c r="FH179" t="str">
        <f t="shared" si="159"/>
        <v/>
      </c>
      <c r="FI179" t="str">
        <f t="shared" si="138"/>
        <v/>
      </c>
      <c r="FK179">
        <f t="shared" si="139"/>
        <v>0</v>
      </c>
      <c r="FL179">
        <f>IF(FK179=0,0,1+COUNTIF(FL$3:FL178,"&gt;0"))</f>
        <v>0</v>
      </c>
      <c r="FM179" t="str">
        <f t="shared" si="160"/>
        <v/>
      </c>
      <c r="FN179" t="str">
        <f t="shared" si="140"/>
        <v/>
      </c>
      <c r="FP179">
        <f t="shared" si="141"/>
        <v>0</v>
      </c>
      <c r="FQ179">
        <f>IF(FP179=0,0,1+COUNTIF(FQ$3:FQ178,"&gt;0"))</f>
        <v>0</v>
      </c>
      <c r="FR179" t="str">
        <f t="shared" si="161"/>
        <v/>
      </c>
      <c r="FS179" t="str">
        <f t="shared" si="142"/>
        <v/>
      </c>
    </row>
    <row r="180" spans="1:175" x14ac:dyDescent="0.25">
      <c r="A180" s="347">
        <f t="shared" si="162"/>
        <v>178</v>
      </c>
      <c r="B180" s="348" t="s">
        <v>2556</v>
      </c>
      <c r="C180" s="348">
        <v>1</v>
      </c>
      <c r="D180" s="347">
        <v>1</v>
      </c>
      <c r="E180" s="627" t="s">
        <v>6952</v>
      </c>
      <c r="F180" s="346"/>
      <c r="G180" s="347" t="str">
        <f>""</f>
        <v/>
      </c>
      <c r="H180" s="347" t="s">
        <v>5341</v>
      </c>
      <c r="I180" s="347" t="s">
        <v>424</v>
      </c>
      <c r="J180" s="347" t="str">
        <f t="shared" si="112"/>
        <v/>
      </c>
      <c r="K180" s="347" t="s">
        <v>5278</v>
      </c>
      <c r="L180" s="611" t="str">
        <f t="shared" si="113"/>
        <v>V, S</v>
      </c>
      <c r="M180" s="347" t="s">
        <v>2373</v>
      </c>
      <c r="N180" s="347" t="s">
        <v>2387</v>
      </c>
      <c r="O180" s="347" t="s">
        <v>3034</v>
      </c>
      <c r="Q180" s="347" t="s">
        <v>5273</v>
      </c>
      <c r="S180" s="346" t="s">
        <v>5729</v>
      </c>
      <c r="T180" s="346" t="str">
        <f t="shared" si="114"/>
        <v xml:space="preserve">Warlock, Oathbreaker, </v>
      </c>
      <c r="Y180" s="347" t="str">
        <f>$B180</f>
        <v>Hellish Rebuke</v>
      </c>
      <c r="AE180" t="str">
        <f>IF(IFERROR(MATCH($B180,temp!A$4:A$13,0),0)&gt;0,T08_Spells!AE$2,"")</f>
        <v/>
      </c>
      <c r="AF180" t="str">
        <f>IF(IFERROR(MATCH($B180,temp!B$4:B$13,0),0)&gt;0,T08_Spells!AF$2,"")</f>
        <v/>
      </c>
      <c r="AG180" t="str">
        <f>IF(IFERROR(MATCH($B180,temp!C$4:C$13,0),0)&gt;0,T08_Spells!AG$2,"")</f>
        <v/>
      </c>
      <c r="AH180" t="str">
        <f>IF(IFERROR(MATCH($B180,temp!D$4:D$13,0),0)&gt;0,T08_Spells!AH$2,"")</f>
        <v>Oathbreaker</v>
      </c>
      <c r="AI180" t="str">
        <f>IF(IFERROR(MATCH($B180,temp!E$4:E$13,0),0)&gt;0,T08_Spells!AI$2,"")</f>
        <v/>
      </c>
      <c r="AJ180" t="str">
        <f>IF(IFERROR(MATCH($B180,temp!F$4:F$13,0),0)&gt;0,T08_Spells!AJ$2,"")</f>
        <v/>
      </c>
      <c r="AK180" t="str">
        <f>IF(IFERROR(MATCH($B180,temp!G$4:G$13,0),0)&gt;0,T08_Spells!AK$2,"")</f>
        <v/>
      </c>
      <c r="AL180" t="str">
        <f>IF(IFERROR(MATCH($B180,temp!H$4:H$13,0),0)&gt;0,T08_Spells!AL$2,"")</f>
        <v/>
      </c>
      <c r="AM180" t="str">
        <f>IF(IFERROR(MATCH($B180,temp!I$4:I$13,0),0)&gt;0,T08_Spells!AM$2,"")</f>
        <v/>
      </c>
      <c r="AN180" t="str">
        <f>IF(IFERROR(MATCH($B180,temp!J$4:J$13,0),0)&gt;0,T08_Spells!AN$2,"")</f>
        <v/>
      </c>
      <c r="AO180" t="str">
        <f>IF(IFERROR(MATCH($B180,temp!K$4:K$13,0),0)&gt;0,T08_Spells!AO$2,"")</f>
        <v/>
      </c>
      <c r="AP180" t="str">
        <f>IF(IFERROR(MATCH($B180,temp!L$4:L$13,0),0)&gt;0,T08_Spells!AP$2,"")</f>
        <v/>
      </c>
      <c r="AQ180" t="str">
        <f>IF(IFERROR(MATCH($B180,temp!M$4:M$13,0),0)&gt;0,T08_Spells!AQ$2,"")</f>
        <v/>
      </c>
      <c r="AR180" t="str">
        <f>IF(IFERROR(MATCH($B180,temp!N$4:N$13,0),0)&gt;0,T08_Spells!AR$2,"")</f>
        <v/>
      </c>
      <c r="AS180" t="str">
        <f>IF(IFERROR(MATCH($B180,temp!O$4:O$13,0),0)&gt;0,T08_Spells!AS$2,"")</f>
        <v/>
      </c>
      <c r="AT180" t="str">
        <f>IF(IFERROR(MATCH($B180,temp!P$4:P$13,0),0)&gt;0,T08_Spells!AT$2,"")</f>
        <v/>
      </c>
      <c r="AU180" t="str">
        <f>IF(IFERROR(MATCH($B180,temp!Q$4:Q$13,0),0)&gt;0,T08_Spells!AU$2,"")</f>
        <v/>
      </c>
      <c r="AV180" t="str">
        <f>IF(IFERROR(MATCH($B180,temp!R$4:R$13,0),0)&gt;0,T08_Spells!AV$2,"")</f>
        <v/>
      </c>
      <c r="AW180" t="str">
        <f>IF(IFERROR(MATCH($B180,temp!S$4:S$13,0),0)&gt;0,T08_Spells!AW$2,"")</f>
        <v/>
      </c>
      <c r="AX180" t="str">
        <f>IF(IFERROR(MATCH($B180,temp!T$4:T$13,0),0)&gt;0,T08_Spells!AX$2,"")</f>
        <v/>
      </c>
      <c r="AY180" t="str">
        <f>IF(IFERROR(MATCH($B180,temp!U$4:U$13,0),0)&gt;0,T08_Spells!AY$2,"")</f>
        <v/>
      </c>
      <c r="AZ180" t="str">
        <f>IF(IFERROR(MATCH($B180,temp!V$4:V$13,0),0)&gt;0,T08_Spells!AZ$2,"")</f>
        <v/>
      </c>
      <c r="BA180" t="str">
        <f>IF(IFERROR(MATCH($B180,temp!W$4:W$13,0),0)&gt;0,T08_Spells!BA$2,"")</f>
        <v/>
      </c>
      <c r="BC180">
        <f>IF(IFERROR(SEARCH("Ranger",$T180,1),0)&gt;0,1,0)*IF(RangerMaxSpellLevel&gt;=$C180,1,0)*IF(IFERROR(MATCH(B180,Character_Creation!$X$79:$X$382,0),0)&gt;0,0,1)</f>
        <v>0</v>
      </c>
      <c r="BD180">
        <f>IF(BC180=0,0,1+COUNTIF(BD$3:BD179,"&gt;0"))</f>
        <v>0</v>
      </c>
      <c r="BE180" t="str">
        <f t="shared" si="143"/>
        <v/>
      </c>
      <c r="BF180" t="str">
        <f t="shared" si="115"/>
        <v/>
      </c>
      <c r="BH180">
        <f>IF(IFERROR(SEARCH("Sorcerer",$T180,1),0)&gt;0,1,0)*IF(SorcererMaxSpellLevel&gt;=$C180,1,0)*IF(IFERROR(MATCH(B180,Character_Creation!$J$380:$J$394,0),0)&gt;0,0,1)</f>
        <v>0</v>
      </c>
      <c r="BI180">
        <f>IF(BH180=0,0,1+COUNTIF(BI$3:BI179,"&gt;0"))</f>
        <v>0</v>
      </c>
      <c r="BJ180" t="str">
        <f t="shared" si="144"/>
        <v/>
      </c>
      <c r="BK180" t="str">
        <f t="shared" si="116"/>
        <v/>
      </c>
      <c r="BM180">
        <f>IF(OR(IFERROR(SEARCH("Warlock",$T180,1),0)&gt;0,IFERROR(SEARCH(WarlockPatron,$T180,1),0)&gt;0),1,0)*IF(WarlockMaxSpellLevel&gt;=$C180,1,0)*IF(IFERROR(MATCH(B180,Character_Creation!$J$361:$J$375,0),0)&gt;0,0,1)</f>
        <v>0</v>
      </c>
      <c r="BN180">
        <f>IF(BM180=0,0,1+COUNTIF(BN$3:BN179,"&gt;0"))</f>
        <v>0</v>
      </c>
      <c r="BO180" t="str">
        <f t="shared" si="145"/>
        <v/>
      </c>
      <c r="BP180" t="str">
        <f t="shared" si="117"/>
        <v/>
      </c>
      <c r="BR180">
        <f>IF(IFERROR(SEARCH("Eldritch Knight",$T180,1),0)&gt;0,1,0)*IF(EldritchKnightMaxSpellLevel&gt;=$C180,1,0)*IF(IFERROR(MATCH($B180,Character_Creation!$J$350:$J$356,0),0)&gt;0,0,1)*IF(Character_Creation!$M$338&gt;0,1,0)</f>
        <v>0</v>
      </c>
      <c r="BS180">
        <f>IF(BR180=0,0,1+COUNTIF(BS$3:BS179,"&gt;0"))</f>
        <v>0</v>
      </c>
      <c r="BT180" t="str">
        <f t="shared" si="146"/>
        <v/>
      </c>
      <c r="BU180" t="str">
        <f t="shared" si="118"/>
        <v/>
      </c>
      <c r="BW180">
        <f>IF(IFERROR(SEARCH("Arcane Trickster",$T180,1),0)&gt;0,1,0)*IF(ArcaneTricksterMaxSpellLevel&gt;=$C180,1,0)*IF(IFERROR(MATCH($B180,Character_Creation!$J$350:$J$356,0),0)&gt;0,0,1)*IF(Character_Creation!$T$338&gt;0,1,0)</f>
        <v>0</v>
      </c>
      <c r="BX180">
        <f>IF(BW180=0,0,1+COUNTIF(BX$3:BX179,"&gt;0"))</f>
        <v>0</v>
      </c>
      <c r="BY180" t="str">
        <f t="shared" si="147"/>
        <v/>
      </c>
      <c r="BZ180" t="str">
        <f t="shared" si="119"/>
        <v/>
      </c>
      <c r="CB180">
        <f>IF(IFERROR(SEARCH("Wizard",$T180,1),0)&gt;0,1,0)*IF(C180&lt;=ArcaneTricksterMaxSpellLevel,1,0)*IF(IFERROR(MATCH($B180,Character_Creation!$J$350:$J$356,0),0)&gt;0,0,1)*IF(Character_Creation!$T$350&gt;0,1,0)</f>
        <v>0</v>
      </c>
      <c r="CC180">
        <f>IF(CB180=0,0,1+COUNTIF(CC$3:CC179,"&gt;0"))</f>
        <v>0</v>
      </c>
      <c r="CD180" t="str">
        <f t="shared" si="148"/>
        <v/>
      </c>
      <c r="CE180" t="str">
        <f t="shared" si="120"/>
        <v/>
      </c>
      <c r="CG180">
        <f>IF(IFERROR(SEARCH("Wizard",$T180,1),0)&gt;0,1,0)*IF($C180&lt;=EldritchKnightMaxSpellLevel,1,0)*IF(IFERROR(MATCH($B180,Character_Creation!$J$350:$J$356,0),0)&gt;0,0,1)*IF(Character_Creation!$M$350&gt;0,1,0)</f>
        <v>0</v>
      </c>
      <c r="CH180">
        <f>IF(CG180=0,0,1+COUNTIF(CH$3:CH179,"&gt;0"))</f>
        <v>0</v>
      </c>
      <c r="CI180" t="str">
        <f t="shared" si="149"/>
        <v/>
      </c>
      <c r="CJ180" t="str">
        <f t="shared" si="121"/>
        <v/>
      </c>
      <c r="CL180">
        <f>IF(IFERROR(SEARCH("Bard",$T180,1),0)&gt;0,1,0)*IF(BardMaxSpellLevel&gt;=$C180,1,0)*IF(IFERROR(MATCH(B180,Character_Creation!$C$341:$F$362,0),0)&gt;0,0,1)*IF(IFERROR(MATCH($B180,Character_Creation!$C$341:$C$362,0),0)&gt;0,0,1)</f>
        <v>0</v>
      </c>
      <c r="CM180">
        <f>IF(CL180=0,0,1+COUNTIF(CM$3:CM179,"&gt;0"))</f>
        <v>0</v>
      </c>
      <c r="CN180" t="str">
        <f t="shared" si="150"/>
        <v/>
      </c>
      <c r="CO180" t="str">
        <f t="shared" si="122"/>
        <v/>
      </c>
      <c r="CQ180">
        <f>IF(IFERROR(SEARCH("Wizard",$T180,1),0)&gt;0,1,0)*IF(WizardMaxSpellLevel&gt;=$C180,1,0)*IF(IFERROR(MATCH(B180,Character_Creation!$X$341:$X$400,0),0)&gt;0,0,1)*IF(SelectedWizardSpellLevel=$C180,1,0)</f>
        <v>0</v>
      </c>
      <c r="CR180">
        <f>IF(CQ180=0,0,1+COUNTIF(CR$3:CR179,"&gt;0"))</f>
        <v>0</v>
      </c>
      <c r="CS180" t="str">
        <f t="shared" si="151"/>
        <v/>
      </c>
      <c r="CT180" t="str">
        <f t="shared" si="123"/>
        <v/>
      </c>
      <c r="CV180">
        <f>IF(IFERROR(MATCH($B180,Character_Creation!$C$341:$C$362,0),0)&gt;0,0,1)*IF(OR(C180="Cantrip",C180&lt;=BardMaxSpellLevel),1,0)*IF(IFERROR(MATCH($B180,Character_Creation!$C$367:$C$374,0),0)&gt;0,0,1)</f>
        <v>0</v>
      </c>
      <c r="CW180">
        <f>IF(CV180=0,0,1+COUNTIF(CW$3:CW179,"&gt;0"))</f>
        <v>0</v>
      </c>
      <c r="CX180" t="str">
        <f t="shared" si="152"/>
        <v/>
      </c>
      <c r="CY180" t="str">
        <f t="shared" si="124"/>
        <v/>
      </c>
      <c r="DA180">
        <f>IF(IF(OR(IFERROR(SEARCH("Cleric",$T180,1),0)&gt;0,IFERROR(SEARCH(DivineDomain&amp;",",$T180,1),0)&gt;0),1,0)*IF($C180=DA$2,1,0)=1,1+COUNTIF(DA$3:DA179,"&gt;0"),0)</f>
        <v>0</v>
      </c>
      <c r="DB180">
        <f>IF(IF(OR(IFERROR(SEARCH("Cleric",$T180,1),0)&gt;0,IFERROR(SEARCH(DivineDomain&amp;",",$T180,1),0)&gt;0),1,0)*IF($C180=DB$2,1,0)=1,1+COUNTIF(DB$3:DB179,"&gt;0"),0)</f>
        <v>0</v>
      </c>
      <c r="DC180">
        <f>IF(IF(OR(IFERROR(SEARCH("Cleric",$T180,1),0)&gt;0,IFERROR(SEARCH(DivineDomain&amp;",",$T180,1),0)&gt;0),1,0)*IF($C180=DC$2,1,0)=1,1+COUNTIF(DC$3:DC179,"&gt;0"),0)</f>
        <v>0</v>
      </c>
      <c r="DD180">
        <f>IF(IF(OR(IFERROR(SEARCH("Cleric",$T180,1),0)&gt;0,IFERROR(SEARCH(DivineDomain&amp;",",$T180,1),0)&gt;0),1,0)*IF($C180=DD$2,1,0)=1,1+COUNTIF(DD$3:DD179,"&gt;0"),0)</f>
        <v>0</v>
      </c>
      <c r="DE180">
        <f>IF(IF(OR(IFERROR(SEARCH("Cleric",$T180,1),0)&gt;0,IFERROR(SEARCH(DivineDomain&amp;",",$T180,1),0)&gt;0),1,0)*IF($C180=DE$2,1,0)=1,1+COUNTIF(DE$3:DE179,"&gt;0"),0)</f>
        <v>0</v>
      </c>
      <c r="DF180">
        <f>IF(IF(OR(IFERROR(SEARCH("Cleric",$T180,1),0)&gt;0,IFERROR(SEARCH(DivineDomain&amp;",",$T180,1),0)&gt;0),1,0)*IF($C180=DF$2,1,0)=1,1+COUNTIF(DF$3:DF179,"&gt;0"),0)</f>
        <v>0</v>
      </c>
      <c r="DG180">
        <f>IF(IF(OR(IFERROR(SEARCH("Cleric",$T180,1),0)&gt;0,IFERROR(SEARCH(DivineDomain&amp;",",$T180,1),0)&gt;0),1,0)*IF($C180=DG$2,1,0)=1,1+COUNTIF(DG$3:DG179,"&gt;0"),0)</f>
        <v>0</v>
      </c>
      <c r="DH180">
        <f>IF(IF(OR(IFERROR(SEARCH("Cleric",$T180,1),0)&gt;0,IFERROR(SEARCH(DivineDomain&amp;",",$T180,1),0)&gt;0),1,0)*IF($C180=DH$2,1,0)=1,1+COUNTIF(DH$3:DH179,"&gt;0"),0)</f>
        <v>0</v>
      </c>
      <c r="DI180">
        <f>IF(IF(OR(IFERROR(SEARCH("Cleric",$T180,1),0)&gt;0,IFERROR(SEARCH(DivineDomain&amp;",",$T180,1),0)&gt;0),1,0)*IF($C180=DI$2,1,0)=1,1+COUNTIF(DI$3:DI179,"&gt;0"),0)</f>
        <v>0</v>
      </c>
      <c r="DJ180">
        <f>IF(IF(OR(IFERROR(SEARCH("Druid",$T180,1),0)&gt;0,IFERROR(SEARCH(DruidLand1,$T180,1),0)&gt;0,IFERROR(SEARCH(DruidLand2,$T180,1),0)&gt;0,IFERROR(SEARCH(DruidLand3,$T180,1),0)&gt;0,IFERROR(SEARCH(DruidLand4,$T180,1),0)&gt;0),1,0)*IF($C180=1,1,0)*IF($C180=DJ$2,1,0)=0,0,1+COUNTIF(DJ$3:DJ179,"&gt;0"))</f>
        <v>0</v>
      </c>
      <c r="DK180">
        <f>IF(IF(OR(IFERROR(SEARCH("Druid",$T180,1),0)&gt;0,IFERROR(SEARCH(DruidLand1,$T180,1),0)&gt;0,IFERROR(SEARCH(DruidLand2,$T180,1),0)&gt;0,IFERROR(SEARCH(DruidLand3,$T180,1),0)&gt;0,IFERROR(SEARCH(DruidLand4,$T180,1),0)&gt;0),1,0)*IF($C180=1,1,0)*IF($C180=DK$2,1,0)=0,0,1+COUNTIF(DK$3:DK179,"&gt;0"))</f>
        <v>0</v>
      </c>
      <c r="DL180">
        <f>IF(IF(OR(IFERROR(SEARCH("Druid",$T180,1),0)&gt;0,IFERROR(SEARCH(DruidLand1,$T180,1),0)&gt;0,IFERROR(SEARCH(DruidLand2,$T180,1),0)&gt;0,IFERROR(SEARCH(DruidLand3,$T180,1),0)&gt;0,IFERROR(SEARCH(DruidLand4,$T180,1),0)&gt;0),1,0)*IF($C180=1,1,0)*IF($C180=DL$2,1,0)=0,0,1+COUNTIF(DL$3:DL179,"&gt;0"))</f>
        <v>0</v>
      </c>
      <c r="DM180">
        <f>IF(IF(OR(IFERROR(SEARCH("Druid",$T180,1),0)&gt;0,IFERROR(SEARCH(DruidLand1,$T180,1),0)&gt;0,IFERROR(SEARCH(DruidLand2,$T180,1),0)&gt;0,IFERROR(SEARCH(DruidLand3,$T180,1),0)&gt;0,IFERROR(SEARCH(DruidLand4,$T180,1),0)&gt;0),1,0)*IF($C180=1,1,0)*IF($C180=DM$2,1,0)=0,0,1+COUNTIF(DM$3:DM179,"&gt;0"))</f>
        <v>0</v>
      </c>
      <c r="DN180">
        <f>IF(IF(OR(IFERROR(SEARCH("Druid",$T180,1),0)&gt;0,IFERROR(SEARCH(DruidLand1,$T180,1),0)&gt;0,IFERROR(SEARCH(DruidLand2,$T180,1),0)&gt;0,IFERROR(SEARCH(DruidLand3,$T180,1),0)&gt;0,IFERROR(SEARCH(DruidLand4,$T180,1),0)&gt;0),1,0)*IF($C180=1,1,0)*IF($C180=DN$2,1,0)=0,0,1+COUNTIF(DN$3:DN179,"&gt;0"))</f>
        <v>0</v>
      </c>
      <c r="DO180">
        <f>IF(IF(OR(IFERROR(SEARCH("Druid",$T180,1),0)&gt;0,IFERROR(SEARCH(DruidLand1,$T180,1),0)&gt;0,IFERROR(SEARCH(DruidLand2,$T180,1),0)&gt;0,IFERROR(SEARCH(DruidLand3,$T180,1),0)&gt;0,IFERROR(SEARCH(DruidLand4,$T180,1),0)&gt;0),1,0)*IF($C180=1,1,0)*IF($C180=DO$2,1,0)=0,0,1+COUNTIF(DO$3:DO179,"&gt;0"))</f>
        <v>0</v>
      </c>
      <c r="DP180">
        <f>IF(IF(OR(IFERROR(SEARCH("Druid",$T180,1),0)&gt;0,IFERROR(SEARCH(DruidLand1,$T180,1),0)&gt;0,IFERROR(SEARCH(DruidLand2,$T180,1),0)&gt;0,IFERROR(SEARCH(DruidLand3,$T180,1),0)&gt;0,IFERROR(SEARCH(DruidLand4,$T180,1),0)&gt;0),1,0)*IF($C180=1,1,0)*IF($C180=DP$2,1,0)=0,0,1+COUNTIF(DP$3:DP179,"&gt;0"))</f>
        <v>0</v>
      </c>
      <c r="DQ180">
        <f>IF(IF(OR(IFERROR(SEARCH("Druid",$T180,1),0)&gt;0,IFERROR(SEARCH(DruidLand1,$T180,1),0)&gt;0,IFERROR(SEARCH(DruidLand2,$T180,1),0)&gt;0,IFERROR(SEARCH(DruidLand3,$T180,1),0)&gt;0,IFERROR(SEARCH(DruidLand4,$T180,1),0)&gt;0),1,0)*IF($C180=1,1,0)*IF($C180=DQ$2,1,0)=0,0,1+COUNTIF(DQ$3:DQ179,"&gt;0"))</f>
        <v>0</v>
      </c>
      <c r="DR180">
        <f>IF(IF(OR(IFERROR(SEARCH("Druid",$T180,1),0)&gt;0,IFERROR(SEARCH(DruidLand1,$T180,1),0)&gt;0,IFERROR(SEARCH(DruidLand2,$T180,1),0)&gt;0,IFERROR(SEARCH(DruidLand3,$T180,1),0)&gt;0,IFERROR(SEARCH(DruidLand4,$T180,1),0)&gt;0),1,0)*IF($C180=1,1,0)*IF($C180=DR$2,1,0)=0,0,1+COUNTIF(DR$3:DR179,"&gt;0"))</f>
        <v>0</v>
      </c>
      <c r="DS180">
        <f>IF(IF(OR(IFERROR(SEARCH("Paladin",$T180,1),0)&gt;0,IFERROR(SEARCH(PaladinOath,$T180,1),0)&gt;0),1,0)*IF($C180=DS$2,1,0)=1,1+COUNTIF(DS$3:DS179,"&gt;0"),0)</f>
        <v>0</v>
      </c>
      <c r="DT180">
        <f>IF(IF(OR(IFERROR(SEARCH("Paladin",$T180,1),0)&gt;0,IFERROR(SEARCH(PaladinOath,$T180,1),0)&gt;0),1,0)*IF($C180=DT$2,1,0)=1,1+COUNTIF(DT$3:DT179,"&gt;0"),0)</f>
        <v>0</v>
      </c>
      <c r="DU180">
        <f>IF(IF(OR(IFERROR(SEARCH("Paladin",$T180,1),0)&gt;0,IFERROR(SEARCH(PaladinOath,$T180,1),0)&gt;0),1,0)*IF($C180=DU$2,1,0)=1,1+COUNTIF(DU$3:DU179,"&gt;0"),0)</f>
        <v>0</v>
      </c>
      <c r="DV180">
        <f>IF(IF(OR(IFERROR(SEARCH("Paladin",$T180,1),0)&gt;0,IFERROR(SEARCH(PaladinOath,$T180,1),0)&gt;0),1,0)*IF($C180=DV$2,1,0)=1,1+COUNTIF(DV$3:DV179,"&gt;0"),0)</f>
        <v>0</v>
      </c>
      <c r="DW180">
        <f>IF(IF(OR(IFERROR(SEARCH("Paladin",$T180,1),0)&gt;0,IFERROR(SEARCH(PaladinOath,$T180,1),0)&gt;0),1,0)*IF($C180=DW$2,1,0)=1,1+COUNTIF(DW$3:DW179,"&gt;0"),0)</f>
        <v>0</v>
      </c>
      <c r="DY180">
        <f t="shared" si="111"/>
        <v>1</v>
      </c>
      <c r="DZ180">
        <f>IF(DY180=0,0,1+MAX(DZ$3:$DZ179))</f>
        <v>178</v>
      </c>
      <c r="EB180">
        <f t="shared" si="125"/>
        <v>0</v>
      </c>
      <c r="EC180">
        <f>IF(EB180=0,0,1+COUNTIF(EC$3:EC179,"&gt;0"))</f>
        <v>0</v>
      </c>
      <c r="ED180" t="str">
        <f t="shared" si="153"/>
        <v/>
      </c>
      <c r="EE180" t="str">
        <f t="shared" si="126"/>
        <v/>
      </c>
      <c r="EG180">
        <f t="shared" si="127"/>
        <v>0</v>
      </c>
      <c r="EH180">
        <f>IF(EG180=0,0,1+COUNTIF(EH$3:EH179,"&gt;0"))</f>
        <v>0</v>
      </c>
      <c r="EI180" t="str">
        <f t="shared" si="154"/>
        <v/>
      </c>
      <c r="EJ180" t="str">
        <f t="shared" si="128"/>
        <v/>
      </c>
      <c r="EL180">
        <f t="shared" si="129"/>
        <v>0</v>
      </c>
      <c r="EM180">
        <f>IF(EL180=0,0,1+COUNTIF(EM$3:EM179,"&gt;0"))</f>
        <v>0</v>
      </c>
      <c r="EN180" t="str">
        <f t="shared" si="155"/>
        <v/>
      </c>
      <c r="EO180" t="str">
        <f t="shared" si="130"/>
        <v/>
      </c>
      <c r="EQ180">
        <f t="shared" si="131"/>
        <v>0</v>
      </c>
      <c r="ER180">
        <f>IF(EQ180=0,0,1+COUNTIF(ER$3:ER179,"&gt;0"))</f>
        <v>0</v>
      </c>
      <c r="ES180" t="str">
        <f t="shared" si="156"/>
        <v/>
      </c>
      <c r="ET180" t="str">
        <f t="shared" si="132"/>
        <v/>
      </c>
      <c r="EV180">
        <f t="shared" si="133"/>
        <v>0</v>
      </c>
      <c r="EW180">
        <f>IF(EV180=0,0,1+COUNTIF(EW$3:EW179,"&gt;0"))</f>
        <v>0</v>
      </c>
      <c r="EX180" t="str">
        <f t="shared" si="157"/>
        <v/>
      </c>
      <c r="EY180" t="str">
        <f t="shared" si="134"/>
        <v/>
      </c>
      <c r="FA180">
        <f t="shared" si="135"/>
        <v>0</v>
      </c>
      <c r="FB180">
        <f>IF(FA180=0,0,1+COUNTIF(FB$3:FB179,"&gt;0"))</f>
        <v>0</v>
      </c>
      <c r="FC180" t="str">
        <f t="shared" si="158"/>
        <v/>
      </c>
      <c r="FD180" t="str">
        <f t="shared" si="136"/>
        <v/>
      </c>
      <c r="FF180">
        <f t="shared" si="137"/>
        <v>0</v>
      </c>
      <c r="FG180">
        <f>IF(FF180=0,0,1+COUNTIF(FG$3:FG179,"&gt;0"))</f>
        <v>0</v>
      </c>
      <c r="FH180" t="str">
        <f t="shared" si="159"/>
        <v/>
      </c>
      <c r="FI180" t="str">
        <f t="shared" si="138"/>
        <v/>
      </c>
      <c r="FK180">
        <f t="shared" si="139"/>
        <v>0</v>
      </c>
      <c r="FL180">
        <f>IF(FK180=0,0,1+COUNTIF(FL$3:FL179,"&gt;0"))</f>
        <v>0</v>
      </c>
      <c r="FM180" t="str">
        <f t="shared" si="160"/>
        <v/>
      </c>
      <c r="FN180" t="str">
        <f t="shared" si="140"/>
        <v/>
      </c>
      <c r="FP180">
        <f t="shared" si="141"/>
        <v>0</v>
      </c>
      <c r="FQ180">
        <f>IF(FP180=0,0,1+COUNTIF(FQ$3:FQ179,"&gt;0"))</f>
        <v>0</v>
      </c>
      <c r="FR180" t="str">
        <f t="shared" si="161"/>
        <v/>
      </c>
      <c r="FS180" t="str">
        <f t="shared" si="142"/>
        <v/>
      </c>
    </row>
    <row r="181" spans="1:175" x14ac:dyDescent="0.25">
      <c r="A181" s="347">
        <f t="shared" si="162"/>
        <v>179</v>
      </c>
      <c r="B181" s="348" t="s">
        <v>2557</v>
      </c>
      <c r="C181" s="348">
        <v>6</v>
      </c>
      <c r="D181" s="347">
        <v>6</v>
      </c>
      <c r="E181" s="627" t="s">
        <v>6952</v>
      </c>
      <c r="F181" s="346"/>
      <c r="G181" s="347" t="str">
        <f>""</f>
        <v/>
      </c>
      <c r="H181" s="347" t="s">
        <v>5319</v>
      </c>
      <c r="I181" s="347" t="s">
        <v>5060</v>
      </c>
      <c r="J181" s="347" t="str">
        <f t="shared" si="112"/>
        <v/>
      </c>
      <c r="K181" s="347" t="s">
        <v>5278</v>
      </c>
      <c r="L181" s="611" t="str">
        <f t="shared" si="113"/>
        <v>V, S, M, a gem-encrusted bowl worth at least 1,000 gp, which the spell comsumes</v>
      </c>
      <c r="M181" s="347" t="s">
        <v>2373</v>
      </c>
      <c r="N181" s="347" t="s">
        <v>2387</v>
      </c>
      <c r="O181" s="347" t="s">
        <v>1244</v>
      </c>
      <c r="P181" s="346" t="s">
        <v>5399</v>
      </c>
      <c r="Q181" s="347" t="s">
        <v>5271</v>
      </c>
      <c r="S181" s="346" t="s">
        <v>5730</v>
      </c>
      <c r="T181" s="346" t="str">
        <f t="shared" si="114"/>
        <v xml:space="preserve">Cleric, Druid, </v>
      </c>
      <c r="Z181" s="347" t="str">
        <f>$B181</f>
        <v>Heroes' Feast</v>
      </c>
      <c r="AA181" s="347" t="str">
        <f>$B181</f>
        <v>Heroes' Feast</v>
      </c>
      <c r="AE181" t="str">
        <f>IF(IFERROR(MATCH($B181,temp!A$4:A$13,0),0)&gt;0,T08_Spells!AE$2,"")</f>
        <v/>
      </c>
      <c r="AF181" t="str">
        <f>IF(IFERROR(MATCH($B181,temp!B$4:B$13,0),0)&gt;0,T08_Spells!AF$2,"")</f>
        <v/>
      </c>
      <c r="AG181" t="str">
        <f>IF(IFERROR(MATCH($B181,temp!C$4:C$13,0),0)&gt;0,T08_Spells!AG$2,"")</f>
        <v/>
      </c>
      <c r="AH181" t="str">
        <f>IF(IFERROR(MATCH($B181,temp!D$4:D$13,0),0)&gt;0,T08_Spells!AH$2,"")</f>
        <v/>
      </c>
      <c r="AI181" t="str">
        <f>IF(IFERROR(MATCH($B181,temp!E$4:E$13,0),0)&gt;0,T08_Spells!AI$2,"")</f>
        <v/>
      </c>
      <c r="AJ181" t="str">
        <f>IF(IFERROR(MATCH($B181,temp!F$4:F$13,0),0)&gt;0,T08_Spells!AJ$2,"")</f>
        <v/>
      </c>
      <c r="AK181" t="str">
        <f>IF(IFERROR(MATCH($B181,temp!G$4:G$13,0),0)&gt;0,T08_Spells!AK$2,"")</f>
        <v/>
      </c>
      <c r="AL181" t="str">
        <f>IF(IFERROR(MATCH($B181,temp!H$4:H$13,0),0)&gt;0,T08_Spells!AL$2,"")</f>
        <v/>
      </c>
      <c r="AM181" t="str">
        <f>IF(IFERROR(MATCH($B181,temp!I$4:I$13,0),0)&gt;0,T08_Spells!AM$2,"")</f>
        <v/>
      </c>
      <c r="AN181" t="str">
        <f>IF(IFERROR(MATCH($B181,temp!J$4:J$13,0),0)&gt;0,T08_Spells!AN$2,"")</f>
        <v/>
      </c>
      <c r="AO181" t="str">
        <f>IF(IFERROR(MATCH($B181,temp!K$4:K$13,0),0)&gt;0,T08_Spells!AO$2,"")</f>
        <v/>
      </c>
      <c r="AP181" t="str">
        <f>IF(IFERROR(MATCH($B181,temp!L$4:L$13,0),0)&gt;0,T08_Spells!AP$2,"")</f>
        <v/>
      </c>
      <c r="AQ181" t="str">
        <f>IF(IFERROR(MATCH($B181,temp!M$4:M$13,0),0)&gt;0,T08_Spells!AQ$2,"")</f>
        <v/>
      </c>
      <c r="AR181" t="str">
        <f>IF(IFERROR(MATCH($B181,temp!N$4:N$13,0),0)&gt;0,T08_Spells!AR$2,"")</f>
        <v/>
      </c>
      <c r="AS181" t="str">
        <f>IF(IFERROR(MATCH($B181,temp!O$4:O$13,0),0)&gt;0,T08_Spells!AS$2,"")</f>
        <v/>
      </c>
      <c r="AT181" t="str">
        <f>IF(IFERROR(MATCH($B181,temp!P$4:P$13,0),0)&gt;0,T08_Spells!AT$2,"")</f>
        <v/>
      </c>
      <c r="AU181" t="str">
        <f>IF(IFERROR(MATCH($B181,temp!Q$4:Q$13,0),0)&gt;0,T08_Spells!AU$2,"")</f>
        <v/>
      </c>
      <c r="AV181" t="str">
        <f>IF(IFERROR(MATCH($B181,temp!R$4:R$13,0),0)&gt;0,T08_Spells!AV$2,"")</f>
        <v/>
      </c>
      <c r="AW181" t="str">
        <f>IF(IFERROR(MATCH($B181,temp!S$4:S$13,0),0)&gt;0,T08_Spells!AW$2,"")</f>
        <v/>
      </c>
      <c r="AX181" t="str">
        <f>IF(IFERROR(MATCH($B181,temp!T$4:T$13,0),0)&gt;0,T08_Spells!AX$2,"")</f>
        <v/>
      </c>
      <c r="AY181" t="str">
        <f>IF(IFERROR(MATCH($B181,temp!U$4:U$13,0),0)&gt;0,T08_Spells!AY$2,"")</f>
        <v/>
      </c>
      <c r="AZ181" t="str">
        <f>IF(IFERROR(MATCH($B181,temp!V$4:V$13,0),0)&gt;0,T08_Spells!AZ$2,"")</f>
        <v/>
      </c>
      <c r="BA181" t="str">
        <f>IF(IFERROR(MATCH($B181,temp!W$4:W$13,0),0)&gt;0,T08_Spells!BA$2,"")</f>
        <v/>
      </c>
      <c r="BC181">
        <f>IF(IFERROR(SEARCH("Ranger",$T181,1),0)&gt;0,1,0)*IF(RangerMaxSpellLevel&gt;=$C181,1,0)*IF(IFERROR(MATCH(B181,Character_Creation!$X$79:$X$382,0),0)&gt;0,0,1)</f>
        <v>0</v>
      </c>
      <c r="BD181">
        <f>IF(BC181=0,0,1+COUNTIF(BD$3:BD180,"&gt;0"))</f>
        <v>0</v>
      </c>
      <c r="BE181" t="str">
        <f t="shared" si="143"/>
        <v/>
      </c>
      <c r="BF181" t="str">
        <f t="shared" si="115"/>
        <v/>
      </c>
      <c r="BH181">
        <f>IF(IFERROR(SEARCH("Sorcerer",$T181,1),0)&gt;0,1,0)*IF(SorcererMaxSpellLevel&gt;=$C181,1,0)*IF(IFERROR(MATCH(B181,Character_Creation!$J$380:$J$394,0),0)&gt;0,0,1)</f>
        <v>0</v>
      </c>
      <c r="BI181">
        <f>IF(BH181=0,0,1+COUNTIF(BI$3:BI180,"&gt;0"))</f>
        <v>0</v>
      </c>
      <c r="BJ181" t="str">
        <f t="shared" si="144"/>
        <v/>
      </c>
      <c r="BK181" t="str">
        <f t="shared" si="116"/>
        <v/>
      </c>
      <c r="BM181">
        <f>IF(OR(IFERROR(SEARCH("Warlock",$T181,1),0)&gt;0,IFERROR(SEARCH(WarlockPatron,$T181,1),0)&gt;0),1,0)*IF(WarlockMaxSpellLevel&gt;=$C181,1,0)*IF(IFERROR(MATCH(B181,Character_Creation!$J$361:$J$375,0),0)&gt;0,0,1)</f>
        <v>0</v>
      </c>
      <c r="BN181">
        <f>IF(BM181=0,0,1+COUNTIF(BN$3:BN180,"&gt;0"))</f>
        <v>0</v>
      </c>
      <c r="BO181" t="str">
        <f t="shared" si="145"/>
        <v/>
      </c>
      <c r="BP181" t="str">
        <f t="shared" si="117"/>
        <v/>
      </c>
      <c r="BR181">
        <f>IF(IFERROR(SEARCH("Eldritch Knight",$T181,1),0)&gt;0,1,0)*IF(EldritchKnightMaxSpellLevel&gt;=$C181,1,0)*IF(IFERROR(MATCH($B181,Character_Creation!$J$350:$J$356,0),0)&gt;0,0,1)*IF(Character_Creation!$M$338&gt;0,1,0)</f>
        <v>0</v>
      </c>
      <c r="BS181">
        <f>IF(BR181=0,0,1+COUNTIF(BS$3:BS180,"&gt;0"))</f>
        <v>0</v>
      </c>
      <c r="BT181" t="str">
        <f t="shared" si="146"/>
        <v/>
      </c>
      <c r="BU181" t="str">
        <f t="shared" si="118"/>
        <v/>
      </c>
      <c r="BW181">
        <f>IF(IFERROR(SEARCH("Arcane Trickster",$T181,1),0)&gt;0,1,0)*IF(ArcaneTricksterMaxSpellLevel&gt;=$C181,1,0)*IF(IFERROR(MATCH($B181,Character_Creation!$J$350:$J$356,0),0)&gt;0,0,1)*IF(Character_Creation!$T$338&gt;0,1,0)</f>
        <v>0</v>
      </c>
      <c r="BX181">
        <f>IF(BW181=0,0,1+COUNTIF(BX$3:BX180,"&gt;0"))</f>
        <v>0</v>
      </c>
      <c r="BY181" t="str">
        <f t="shared" si="147"/>
        <v/>
      </c>
      <c r="BZ181" t="str">
        <f t="shared" si="119"/>
        <v/>
      </c>
      <c r="CB181">
        <f>IF(IFERROR(SEARCH("Wizard",$T181,1),0)&gt;0,1,0)*IF(C181&lt;=ArcaneTricksterMaxSpellLevel,1,0)*IF(IFERROR(MATCH($B181,Character_Creation!$J$350:$J$356,0),0)&gt;0,0,1)*IF(Character_Creation!$T$350&gt;0,1,0)</f>
        <v>0</v>
      </c>
      <c r="CC181">
        <f>IF(CB181=0,0,1+COUNTIF(CC$3:CC180,"&gt;0"))</f>
        <v>0</v>
      </c>
      <c r="CD181" t="str">
        <f t="shared" si="148"/>
        <v/>
      </c>
      <c r="CE181" t="str">
        <f t="shared" si="120"/>
        <v/>
      </c>
      <c r="CG181">
        <f>IF(IFERROR(SEARCH("Wizard",$T181,1),0)&gt;0,1,0)*IF($C181&lt;=EldritchKnightMaxSpellLevel,1,0)*IF(IFERROR(MATCH($B181,Character_Creation!$J$350:$J$356,0),0)&gt;0,0,1)*IF(Character_Creation!$M$350&gt;0,1,0)</f>
        <v>0</v>
      </c>
      <c r="CH181">
        <f>IF(CG181=0,0,1+COUNTIF(CH$3:CH180,"&gt;0"))</f>
        <v>0</v>
      </c>
      <c r="CI181" t="str">
        <f t="shared" si="149"/>
        <v/>
      </c>
      <c r="CJ181" t="str">
        <f t="shared" si="121"/>
        <v/>
      </c>
      <c r="CL181">
        <f>IF(IFERROR(SEARCH("Bard",$T181,1),0)&gt;0,1,0)*IF(BardMaxSpellLevel&gt;=$C181,1,0)*IF(IFERROR(MATCH(B181,Character_Creation!$C$341:$F$362,0),0)&gt;0,0,1)*IF(IFERROR(MATCH($B181,Character_Creation!$C$341:$C$362,0),0)&gt;0,0,1)</f>
        <v>0</v>
      </c>
      <c r="CM181">
        <f>IF(CL181=0,0,1+COUNTIF(CM$3:CM180,"&gt;0"))</f>
        <v>0</v>
      </c>
      <c r="CN181" t="str">
        <f t="shared" si="150"/>
        <v/>
      </c>
      <c r="CO181" t="str">
        <f t="shared" si="122"/>
        <v/>
      </c>
      <c r="CQ181">
        <f>IF(IFERROR(SEARCH("Wizard",$T181,1),0)&gt;0,1,0)*IF(WizardMaxSpellLevel&gt;=$C181,1,0)*IF(IFERROR(MATCH(B181,Character_Creation!$X$341:$X$400,0),0)&gt;0,0,1)*IF(SelectedWizardSpellLevel=$C181,1,0)</f>
        <v>0</v>
      </c>
      <c r="CR181">
        <f>IF(CQ181=0,0,1+COUNTIF(CR$3:CR180,"&gt;0"))</f>
        <v>0</v>
      </c>
      <c r="CS181" t="str">
        <f t="shared" si="151"/>
        <v/>
      </c>
      <c r="CT181" t="str">
        <f t="shared" si="123"/>
        <v/>
      </c>
      <c r="CV181">
        <f>IF(IFERROR(MATCH($B181,Character_Creation!$C$341:$C$362,0),0)&gt;0,0,1)*IF(OR(C181="Cantrip",C181&lt;=BardMaxSpellLevel),1,0)*IF(IFERROR(MATCH($B181,Character_Creation!$C$367:$C$374,0),0)&gt;0,0,1)</f>
        <v>0</v>
      </c>
      <c r="CW181">
        <f>IF(CV181=0,0,1+COUNTIF(CW$3:CW180,"&gt;0"))</f>
        <v>0</v>
      </c>
      <c r="CX181" t="str">
        <f t="shared" si="152"/>
        <v/>
      </c>
      <c r="CY181" t="str">
        <f t="shared" si="124"/>
        <v/>
      </c>
      <c r="DA181">
        <f>IF(IF(OR(IFERROR(SEARCH("Cleric",$T181,1),0)&gt;0,IFERROR(SEARCH(DivineDomain&amp;",",$T181,1),0)&gt;0),1,0)*IF($C181=DA$2,1,0)=1,1+COUNTIF(DA$3:DA180,"&gt;0"),0)</f>
        <v>0</v>
      </c>
      <c r="DB181">
        <f>IF(IF(OR(IFERROR(SEARCH("Cleric",$T181,1),0)&gt;0,IFERROR(SEARCH(DivineDomain&amp;",",$T181,1),0)&gt;0),1,0)*IF($C181=DB$2,1,0)=1,1+COUNTIF(DB$3:DB180,"&gt;0"),0)</f>
        <v>0</v>
      </c>
      <c r="DC181">
        <f>IF(IF(OR(IFERROR(SEARCH("Cleric",$T181,1),0)&gt;0,IFERROR(SEARCH(DivineDomain&amp;",",$T181,1),0)&gt;0),1,0)*IF($C181=DC$2,1,0)=1,1+COUNTIF(DC$3:DC180,"&gt;0"),0)</f>
        <v>0</v>
      </c>
      <c r="DD181">
        <f>IF(IF(OR(IFERROR(SEARCH("Cleric",$T181,1),0)&gt;0,IFERROR(SEARCH(DivineDomain&amp;",",$T181,1),0)&gt;0),1,0)*IF($C181=DD$2,1,0)=1,1+COUNTIF(DD$3:DD180,"&gt;0"),0)</f>
        <v>0</v>
      </c>
      <c r="DE181">
        <f>IF(IF(OR(IFERROR(SEARCH("Cleric",$T181,1),0)&gt;0,IFERROR(SEARCH(DivineDomain&amp;",",$T181,1),0)&gt;0),1,0)*IF($C181=DE$2,1,0)=1,1+COUNTIF(DE$3:DE180,"&gt;0"),0)</f>
        <v>0</v>
      </c>
      <c r="DF181">
        <f>IF(IF(OR(IFERROR(SEARCH("Cleric",$T181,1),0)&gt;0,IFERROR(SEARCH(DivineDomain&amp;",",$T181,1),0)&gt;0),1,0)*IF($C181=DF$2,1,0)=1,1+COUNTIF(DF$3:DF180,"&gt;0"),0)</f>
        <v>7</v>
      </c>
      <c r="DG181">
        <f>IF(IF(OR(IFERROR(SEARCH("Cleric",$T181,1),0)&gt;0,IFERROR(SEARCH(DivineDomain&amp;",",$T181,1),0)&gt;0),1,0)*IF($C181=DG$2,1,0)=1,1+COUNTIF(DG$3:DG180,"&gt;0"),0)</f>
        <v>0</v>
      </c>
      <c r="DH181">
        <f>IF(IF(OR(IFERROR(SEARCH("Cleric",$T181,1),0)&gt;0,IFERROR(SEARCH(DivineDomain&amp;",",$T181,1),0)&gt;0),1,0)*IF($C181=DH$2,1,0)=1,1+COUNTIF(DH$3:DH180,"&gt;0"),0)</f>
        <v>0</v>
      </c>
      <c r="DI181">
        <f>IF(IF(OR(IFERROR(SEARCH("Cleric",$T181,1),0)&gt;0,IFERROR(SEARCH(DivineDomain&amp;",",$T181,1),0)&gt;0),1,0)*IF($C181=DI$2,1,0)=1,1+COUNTIF(DI$3:DI180,"&gt;0"),0)</f>
        <v>0</v>
      </c>
      <c r="DJ181">
        <f>IF(IF(OR(IFERROR(SEARCH("Druid",$T181,1),0)&gt;0,IFERROR(SEARCH(DruidLand1,$T181,1),0)&gt;0,IFERROR(SEARCH(DruidLand2,$T181,1),0)&gt;0,IFERROR(SEARCH(DruidLand3,$T181,1),0)&gt;0,IFERROR(SEARCH(DruidLand4,$T181,1),0)&gt;0),1,0)*IF($C181=1,1,0)*IF($C181=DJ$2,1,0)=0,0,1+COUNTIF(DJ$3:DJ180,"&gt;0"))</f>
        <v>0</v>
      </c>
      <c r="DK181">
        <f>IF(IF(OR(IFERROR(SEARCH("Druid",$T181,1),0)&gt;0,IFERROR(SEARCH(DruidLand1,$T181,1),0)&gt;0,IFERROR(SEARCH(DruidLand2,$T181,1),0)&gt;0,IFERROR(SEARCH(DruidLand3,$T181,1),0)&gt;0,IFERROR(SEARCH(DruidLand4,$T181,1),0)&gt;0),1,0)*IF($C181=DK$2,1,0)=0,0,1+COUNTIF(DK$3:DK180,"&gt;0"))</f>
        <v>0</v>
      </c>
      <c r="DL181">
        <f>IF(IF(OR(IFERROR(SEARCH("Druid",$T181,1),0)&gt;0,IFERROR(SEARCH(DruidLand1,$T181,1),0)&gt;0,IFERROR(SEARCH(DruidLand2,$T181,1),0)&gt;0,IFERROR(SEARCH(DruidLand3,$T181,1),0)&gt;0,IFERROR(SEARCH(DruidLand4,$T181,1),0)&gt;0),1,0)*IF($C181=DL$2,1,0)=0,0,1+COUNTIF(DL$3:DL180,"&gt;0"))</f>
        <v>0</v>
      </c>
      <c r="DM181">
        <f>IF(IF(OR(IFERROR(SEARCH("Druid",$T181,1),0)&gt;0,IFERROR(SEARCH(DruidLand1,$T181,1),0)&gt;0,IFERROR(SEARCH(DruidLand2,$T181,1),0)&gt;0,IFERROR(SEARCH(DruidLand3,$T181,1),0)&gt;0,IFERROR(SEARCH(DruidLand4,$T181,1),0)&gt;0),1,0)*IF($C181=DM$2,1,0)=0,0,1+COUNTIF(DM$3:DM180,"&gt;0"))</f>
        <v>0</v>
      </c>
      <c r="DN181">
        <f>IF(IF(OR(IFERROR(SEARCH("Druid",$T181,1),0)&gt;0,IFERROR(SEARCH(DruidLand1,$T181,1),0)&gt;0,IFERROR(SEARCH(DruidLand2,$T181,1),0)&gt;0,IFERROR(SEARCH(DruidLand3,$T181,1),0)&gt;0,IFERROR(SEARCH(DruidLand4,$T181,1),0)&gt;0),1,0)*IF($C181=DN$2,1,0)=0,0,1+COUNTIF(DN$3:DN180,"&gt;0"))</f>
        <v>0</v>
      </c>
      <c r="DO181">
        <f>IF(IF(OR(IFERROR(SEARCH("Druid",$T181,1),0)&gt;0,IFERROR(SEARCH(DruidLand1,$T181,1),0)&gt;0,IFERROR(SEARCH(DruidLand2,$T181,1),0)&gt;0,IFERROR(SEARCH(DruidLand3,$T181,1),0)&gt;0,IFERROR(SEARCH(DruidLand4,$T181,1),0)&gt;0),1,0)*IF($C181=DO$2,1,0)=0,0,1+COUNTIF(DO$3:DO180,"&gt;0"))</f>
        <v>4</v>
      </c>
      <c r="DP181">
        <f>IF(IF(OR(IFERROR(SEARCH("Druid",$T181,1),0)&gt;0,IFERROR(SEARCH(DruidLand1,$T181,1),0)&gt;0,IFERROR(SEARCH(DruidLand2,$T181,1),0)&gt;0,IFERROR(SEARCH(DruidLand3,$T181,1),0)&gt;0,IFERROR(SEARCH(DruidLand4,$T181,1),0)&gt;0),1,0)*IF($C181=DP$2,1,0)=0,0,1+COUNTIF(DP$3:DP180,"&gt;0"))</f>
        <v>0</v>
      </c>
      <c r="DQ181">
        <f>IF(IF(OR(IFERROR(SEARCH("Druid",$T181,1),0)&gt;0,IFERROR(SEARCH(DruidLand1,$T181,1),0)&gt;0,IFERROR(SEARCH(DruidLand2,$T181,1),0)&gt;0,IFERROR(SEARCH(DruidLand3,$T181,1),0)&gt;0,IFERROR(SEARCH(DruidLand4,$T181,1),0)&gt;0),1,0)*IF($C181=DQ$2,1,0)=0,0,1+COUNTIF(DQ$3:DQ180,"&gt;0"))</f>
        <v>0</v>
      </c>
      <c r="DR181">
        <f>IF(IF(OR(IFERROR(SEARCH("Druid",$T181,1),0)&gt;0,IFERROR(SEARCH(DruidLand1,$T181,1),0)&gt;0,IFERROR(SEARCH(DruidLand2,$T181,1),0)&gt;0,IFERROR(SEARCH(DruidLand3,$T181,1),0)&gt;0,IFERROR(SEARCH(DruidLand4,$T181,1),0)&gt;0),1,0)*IF($C181=DR$2,1,0)=0,0,1+COUNTIF(DR$3:DR180,"&gt;0"))</f>
        <v>0</v>
      </c>
      <c r="DS181">
        <f>IF(IF(OR(IFERROR(SEARCH("Paladin",$T181,1),0)&gt;0,IFERROR(SEARCH(PaladinOath,$T181,1),0)&gt;0),1,0)*IF($C181=DS$2,1,0)=1,1+COUNTIF(DS$3:DS180,"&gt;0"),0)</f>
        <v>0</v>
      </c>
      <c r="DT181">
        <f>IF(IF(OR(IFERROR(SEARCH("Paladin",$T181,1),0)&gt;0,IFERROR(SEARCH(PaladinOath,$T181,1),0)&gt;0),1,0)*IF($C181=DT$2,1,0)=1,1+COUNTIF(DT$3:DT180,"&gt;0"),0)</f>
        <v>0</v>
      </c>
      <c r="DU181">
        <f>IF(IF(OR(IFERROR(SEARCH("Paladin",$T181,1),0)&gt;0,IFERROR(SEARCH(PaladinOath,$T181,1),0)&gt;0),1,0)*IF($C181=DU$2,1,0)=1,1+COUNTIF(DU$3:DU180,"&gt;0"),0)</f>
        <v>0</v>
      </c>
      <c r="DV181">
        <f>IF(IF(OR(IFERROR(SEARCH("Paladin",$T181,1),0)&gt;0,IFERROR(SEARCH(PaladinOath,$T181,1),0)&gt;0),1,0)*IF($C181=DV$2,1,0)=1,1+COUNTIF(DV$3:DV180,"&gt;0"),0)</f>
        <v>0</v>
      </c>
      <c r="DW181">
        <f>IF(IF(OR(IFERROR(SEARCH("Paladin",$T181,1),0)&gt;0,IFERROR(SEARCH(PaladinOath,$T181,1),0)&gt;0),1,0)*IF($C181=DW$2,1,0)=1,1+COUNTIF(DW$3:DW180,"&gt;0"),0)</f>
        <v>0</v>
      </c>
      <c r="DY181">
        <f t="shared" si="111"/>
        <v>1</v>
      </c>
      <c r="DZ181">
        <f>IF(DY181=0,0,1+MAX(DZ$3:$DZ180))</f>
        <v>179</v>
      </c>
      <c r="EB181">
        <f t="shared" si="125"/>
        <v>0</v>
      </c>
      <c r="EC181">
        <f>IF(EB181=0,0,1+COUNTIF(EC$3:EC180,"&gt;0"))</f>
        <v>0</v>
      </c>
      <c r="ED181" t="str">
        <f t="shared" si="153"/>
        <v/>
      </c>
      <c r="EE181" t="str">
        <f t="shared" si="126"/>
        <v/>
      </c>
      <c r="EG181">
        <f t="shared" si="127"/>
        <v>0</v>
      </c>
      <c r="EH181">
        <f>IF(EG181=0,0,1+COUNTIF(EH$3:EH180,"&gt;0"))</f>
        <v>0</v>
      </c>
      <c r="EI181" t="str">
        <f t="shared" si="154"/>
        <v/>
      </c>
      <c r="EJ181" t="str">
        <f t="shared" si="128"/>
        <v/>
      </c>
      <c r="EL181">
        <f t="shared" si="129"/>
        <v>0</v>
      </c>
      <c r="EM181">
        <f>IF(EL181=0,0,1+COUNTIF(EM$3:EM180,"&gt;0"))</f>
        <v>0</v>
      </c>
      <c r="EN181" t="str">
        <f t="shared" si="155"/>
        <v/>
      </c>
      <c r="EO181" t="str">
        <f t="shared" si="130"/>
        <v/>
      </c>
      <c r="EQ181">
        <f t="shared" si="131"/>
        <v>0</v>
      </c>
      <c r="ER181">
        <f>IF(EQ181=0,0,1+COUNTIF(ER$3:ER180,"&gt;0"))</f>
        <v>0</v>
      </c>
      <c r="ES181" t="str">
        <f t="shared" si="156"/>
        <v/>
      </c>
      <c r="ET181" t="str">
        <f t="shared" si="132"/>
        <v/>
      </c>
      <c r="EV181">
        <f t="shared" si="133"/>
        <v>0</v>
      </c>
      <c r="EW181">
        <f>IF(EV181=0,0,1+COUNTIF(EW$3:EW180,"&gt;0"))</f>
        <v>0</v>
      </c>
      <c r="EX181" t="str">
        <f t="shared" si="157"/>
        <v/>
      </c>
      <c r="EY181" t="str">
        <f t="shared" si="134"/>
        <v/>
      </c>
      <c r="FA181">
        <f t="shared" si="135"/>
        <v>0</v>
      </c>
      <c r="FB181">
        <f>IF(FA181=0,0,1+COUNTIF(FB$3:FB180,"&gt;0"))</f>
        <v>0</v>
      </c>
      <c r="FC181" t="str">
        <f t="shared" si="158"/>
        <v/>
      </c>
      <c r="FD181" t="str">
        <f t="shared" si="136"/>
        <v/>
      </c>
      <c r="FF181">
        <f t="shared" si="137"/>
        <v>0</v>
      </c>
      <c r="FG181">
        <f>IF(FF181=0,0,1+COUNTIF(FG$3:FG180,"&gt;0"))</f>
        <v>0</v>
      </c>
      <c r="FH181" t="str">
        <f t="shared" si="159"/>
        <v/>
      </c>
      <c r="FI181" t="str">
        <f t="shared" si="138"/>
        <v/>
      </c>
      <c r="FK181">
        <f t="shared" si="139"/>
        <v>0</v>
      </c>
      <c r="FL181">
        <f>IF(FK181=0,0,1+COUNTIF(FL$3:FL180,"&gt;0"))</f>
        <v>0</v>
      </c>
      <c r="FM181" t="str">
        <f t="shared" si="160"/>
        <v/>
      </c>
      <c r="FN181" t="str">
        <f t="shared" si="140"/>
        <v/>
      </c>
      <c r="FP181">
        <f t="shared" si="141"/>
        <v>0</v>
      </c>
      <c r="FQ181">
        <f>IF(FP181=0,0,1+COUNTIF(FQ$3:FQ180,"&gt;0"))</f>
        <v>0</v>
      </c>
      <c r="FR181" t="str">
        <f t="shared" si="161"/>
        <v/>
      </c>
      <c r="FS181" t="str">
        <f t="shared" si="142"/>
        <v/>
      </c>
    </row>
    <row r="182" spans="1:175" x14ac:dyDescent="0.25">
      <c r="A182" s="347">
        <f t="shared" si="162"/>
        <v>180</v>
      </c>
      <c r="B182" s="348" t="s">
        <v>2558</v>
      </c>
      <c r="C182" s="348">
        <v>1</v>
      </c>
      <c r="D182" s="347">
        <v>1</v>
      </c>
      <c r="E182" s="627" t="s">
        <v>6952</v>
      </c>
      <c r="F182" s="346"/>
      <c r="G182" s="347" t="str">
        <f>""</f>
        <v/>
      </c>
      <c r="H182" s="347" t="s">
        <v>5912</v>
      </c>
      <c r="I182" s="347" t="s">
        <v>5298</v>
      </c>
      <c r="J182" s="347" t="str">
        <f t="shared" si="112"/>
        <v/>
      </c>
      <c r="K182" s="347" t="s">
        <v>5291</v>
      </c>
      <c r="L182" s="611" t="str">
        <f t="shared" si="113"/>
        <v>V, S</v>
      </c>
      <c r="M182" s="347" t="s">
        <v>2373</v>
      </c>
      <c r="N182" s="347" t="s">
        <v>2387</v>
      </c>
      <c r="O182" s="347" t="s">
        <v>3034</v>
      </c>
      <c r="Q182" s="347" t="s">
        <v>5272</v>
      </c>
      <c r="S182" s="346" t="s">
        <v>5731</v>
      </c>
      <c r="T182" s="346" t="str">
        <f t="shared" si="114"/>
        <v xml:space="preserve">Bard, Paladin, </v>
      </c>
      <c r="U182" s="347" t="str">
        <f>$B182</f>
        <v>Heroism</v>
      </c>
      <c r="V182" s="347" t="str">
        <f>$B182</f>
        <v>Heroism</v>
      </c>
      <c r="AE182" t="str">
        <f>IF(IFERROR(MATCH($B182,temp!A$4:A$13,0),0)&gt;0,T08_Spells!AE$2,"")</f>
        <v/>
      </c>
      <c r="AF182" t="str">
        <f>IF(IFERROR(MATCH($B182,temp!B$4:B$13,0),0)&gt;0,T08_Spells!AF$2,"")</f>
        <v/>
      </c>
      <c r="AG182" t="str">
        <f>IF(IFERROR(MATCH($B182,temp!C$4:C$13,0),0)&gt;0,T08_Spells!AG$2,"")</f>
        <v/>
      </c>
      <c r="AH182" t="str">
        <f>IF(IFERROR(MATCH($B182,temp!D$4:D$13,0),0)&gt;0,T08_Spells!AH$2,"")</f>
        <v/>
      </c>
      <c r="AI182" t="str">
        <f>IF(IFERROR(MATCH($B182,temp!E$4:E$13,0),0)&gt;0,T08_Spells!AI$2,"")</f>
        <v/>
      </c>
      <c r="AJ182" t="str">
        <f>IF(IFERROR(MATCH($B182,temp!F$4:F$13,0),0)&gt;0,T08_Spells!AJ$2,"")</f>
        <v/>
      </c>
      <c r="AK182" t="str">
        <f>IF(IFERROR(MATCH($B182,temp!G$4:G$13,0),0)&gt;0,T08_Spells!AK$2,"")</f>
        <v/>
      </c>
      <c r="AL182" t="str">
        <f>IF(IFERROR(MATCH($B182,temp!H$4:H$13,0),0)&gt;0,T08_Spells!AL$2,"")</f>
        <v/>
      </c>
      <c r="AM182" t="str">
        <f>IF(IFERROR(MATCH($B182,temp!I$4:I$13,0),0)&gt;0,T08_Spells!AM$2,"")</f>
        <v/>
      </c>
      <c r="AN182" t="str">
        <f>IF(IFERROR(MATCH($B182,temp!J$4:J$13,0),0)&gt;0,T08_Spells!AN$2,"")</f>
        <v/>
      </c>
      <c r="AO182" t="str">
        <f>IF(IFERROR(MATCH($B182,temp!K$4:K$13,0),0)&gt;0,T08_Spells!AO$2,"")</f>
        <v/>
      </c>
      <c r="AP182" t="str">
        <f>IF(IFERROR(MATCH($B182,temp!L$4:L$13,0),0)&gt;0,T08_Spells!AP$2,"")</f>
        <v/>
      </c>
      <c r="AQ182" t="str">
        <f>IF(IFERROR(MATCH($B182,temp!M$4:M$13,0),0)&gt;0,T08_Spells!AQ$2,"")</f>
        <v/>
      </c>
      <c r="AR182" t="str">
        <f>IF(IFERROR(MATCH($B182,temp!N$4:N$13,0),0)&gt;0,T08_Spells!AR$2,"")</f>
        <v/>
      </c>
      <c r="AS182" t="str">
        <f>IF(IFERROR(MATCH($B182,temp!O$4:O$13,0),0)&gt;0,T08_Spells!AS$2,"")</f>
        <v/>
      </c>
      <c r="AT182" t="str">
        <f>IF(IFERROR(MATCH($B182,temp!P$4:P$13,0),0)&gt;0,T08_Spells!AT$2,"")</f>
        <v/>
      </c>
      <c r="AU182" t="str">
        <f>IF(IFERROR(MATCH($B182,temp!Q$4:Q$13,0),0)&gt;0,T08_Spells!AU$2,"")</f>
        <v/>
      </c>
      <c r="AV182" t="str">
        <f>IF(IFERROR(MATCH($B182,temp!R$4:R$13,0),0)&gt;0,T08_Spells!AV$2,"")</f>
        <v/>
      </c>
      <c r="AW182" t="str">
        <f>IF(IFERROR(MATCH($B182,temp!S$4:S$13,0),0)&gt;0,T08_Spells!AW$2,"")</f>
        <v/>
      </c>
      <c r="AX182" t="str">
        <f>IF(IFERROR(MATCH($B182,temp!T$4:T$13,0),0)&gt;0,T08_Spells!AX$2,"")</f>
        <v/>
      </c>
      <c r="AY182" t="str">
        <f>IF(IFERROR(MATCH($B182,temp!U$4:U$13,0),0)&gt;0,T08_Spells!AY$2,"")</f>
        <v/>
      </c>
      <c r="AZ182" t="str">
        <f>IF(IFERROR(MATCH($B182,temp!V$4:V$13,0),0)&gt;0,T08_Spells!AZ$2,"")</f>
        <v/>
      </c>
      <c r="BA182" t="str">
        <f>IF(IFERROR(MATCH($B182,temp!W$4:W$13,0),0)&gt;0,T08_Spells!BA$2,"")</f>
        <v/>
      </c>
      <c r="BC182">
        <f>IF(IFERROR(SEARCH("Ranger",$T182,1),0)&gt;0,1,0)*IF(RangerMaxSpellLevel&gt;=$C182,1,0)*IF(IFERROR(MATCH(B182,Character_Creation!$X$79:$X$382,0),0)&gt;0,0,1)</f>
        <v>0</v>
      </c>
      <c r="BD182">
        <f>IF(BC182=0,0,1+COUNTIF(BD$3:BD181,"&gt;0"))</f>
        <v>0</v>
      </c>
      <c r="BE182" t="str">
        <f t="shared" si="143"/>
        <v/>
      </c>
      <c r="BF182" t="str">
        <f t="shared" si="115"/>
        <v/>
      </c>
      <c r="BH182">
        <f>IF(IFERROR(SEARCH("Sorcerer",$T182,1),0)&gt;0,1,0)*IF(SorcererMaxSpellLevel&gt;=$C182,1,0)*IF(IFERROR(MATCH(B182,Character_Creation!$J$380:$J$394,0),0)&gt;0,0,1)</f>
        <v>0</v>
      </c>
      <c r="BI182">
        <f>IF(BH182=0,0,1+COUNTIF(BI$3:BI181,"&gt;0"))</f>
        <v>0</v>
      </c>
      <c r="BJ182" t="str">
        <f t="shared" si="144"/>
        <v/>
      </c>
      <c r="BK182" t="str">
        <f t="shared" si="116"/>
        <v/>
      </c>
      <c r="BM182">
        <f>IF(OR(IFERROR(SEARCH("Warlock",$T182,1),0)&gt;0,IFERROR(SEARCH(WarlockPatron,$T182,1),0)&gt;0),1,0)*IF(WarlockMaxSpellLevel&gt;=$C182,1,0)*IF(IFERROR(MATCH(B182,Character_Creation!$J$361:$J$375,0),0)&gt;0,0,1)</f>
        <v>0</v>
      </c>
      <c r="BN182">
        <f>IF(BM182=0,0,1+COUNTIF(BN$3:BN181,"&gt;0"))</f>
        <v>0</v>
      </c>
      <c r="BO182" t="str">
        <f t="shared" si="145"/>
        <v/>
      </c>
      <c r="BP182" t="str">
        <f t="shared" si="117"/>
        <v/>
      </c>
      <c r="BR182">
        <f>IF(IFERROR(SEARCH("Eldritch Knight",$T182,1),0)&gt;0,1,0)*IF(EldritchKnightMaxSpellLevel&gt;=$C182,1,0)*IF(IFERROR(MATCH($B182,Character_Creation!$J$350:$J$356,0),0)&gt;0,0,1)*IF(Character_Creation!$M$338&gt;0,1,0)</f>
        <v>0</v>
      </c>
      <c r="BS182">
        <f>IF(BR182=0,0,1+COUNTIF(BS$3:BS181,"&gt;0"))</f>
        <v>0</v>
      </c>
      <c r="BT182" t="str">
        <f t="shared" si="146"/>
        <v/>
      </c>
      <c r="BU182" t="str">
        <f t="shared" si="118"/>
        <v/>
      </c>
      <c r="BW182">
        <f>IF(IFERROR(SEARCH("Arcane Trickster",$T182,1),0)&gt;0,1,0)*IF(ArcaneTricksterMaxSpellLevel&gt;=$C182,1,0)*IF(IFERROR(MATCH($B182,Character_Creation!$J$350:$J$356,0),0)&gt;0,0,1)*IF(Character_Creation!$T$338&gt;0,1,0)</f>
        <v>0</v>
      </c>
      <c r="BX182">
        <f>IF(BW182=0,0,1+COUNTIF(BX$3:BX181,"&gt;0"))</f>
        <v>0</v>
      </c>
      <c r="BY182" t="str">
        <f t="shared" si="147"/>
        <v/>
      </c>
      <c r="BZ182" t="str">
        <f t="shared" si="119"/>
        <v/>
      </c>
      <c r="CB182">
        <f>IF(IFERROR(SEARCH("Wizard",$T182,1),0)&gt;0,1,0)*IF(C182&lt;=ArcaneTricksterMaxSpellLevel,1,0)*IF(IFERROR(MATCH($B182,Character_Creation!$J$350:$J$356,0),0)&gt;0,0,1)*IF(Character_Creation!$T$350&gt;0,1,0)</f>
        <v>0</v>
      </c>
      <c r="CC182">
        <f>IF(CB182=0,0,1+COUNTIF(CC$3:CC181,"&gt;0"))</f>
        <v>0</v>
      </c>
      <c r="CD182" t="str">
        <f t="shared" si="148"/>
        <v/>
      </c>
      <c r="CE182" t="str">
        <f t="shared" si="120"/>
        <v/>
      </c>
      <c r="CG182">
        <f>IF(IFERROR(SEARCH("Wizard",$T182,1),0)&gt;0,1,0)*IF($C182&lt;=EldritchKnightMaxSpellLevel,1,0)*IF(IFERROR(MATCH($B182,Character_Creation!$J$350:$J$356,0),0)&gt;0,0,1)*IF(Character_Creation!$M$350&gt;0,1,0)</f>
        <v>0</v>
      </c>
      <c r="CH182">
        <f>IF(CG182=0,0,1+COUNTIF(CH$3:CH181,"&gt;0"))</f>
        <v>0</v>
      </c>
      <c r="CI182" t="str">
        <f t="shared" si="149"/>
        <v/>
      </c>
      <c r="CJ182" t="str">
        <f t="shared" si="121"/>
        <v/>
      </c>
      <c r="CL182">
        <f>IF(IFERROR(SEARCH("Bard",$T182,1),0)&gt;0,1,0)*IF(BardMaxSpellLevel&gt;=$C182,1,0)*IF(IFERROR(MATCH(B182,Character_Creation!$C$341:$F$362,0),0)&gt;0,0,1)*IF(IFERROR(MATCH($B182,Character_Creation!$C$341:$C$362,0),0)&gt;0,0,1)</f>
        <v>0</v>
      </c>
      <c r="CM182">
        <f>IF(CL182=0,0,1+COUNTIF(CM$3:CM181,"&gt;0"))</f>
        <v>0</v>
      </c>
      <c r="CN182" t="str">
        <f t="shared" si="150"/>
        <v/>
      </c>
      <c r="CO182" t="str">
        <f t="shared" si="122"/>
        <v/>
      </c>
      <c r="CQ182">
        <f>IF(IFERROR(SEARCH("Wizard",$T182,1),0)&gt;0,1,0)*IF(WizardMaxSpellLevel&gt;=$C182,1,0)*IF(IFERROR(MATCH(B182,Character_Creation!$X$341:$X$400,0),0)&gt;0,0,1)*IF(SelectedWizardSpellLevel=$C182,1,0)</f>
        <v>0</v>
      </c>
      <c r="CR182">
        <f>IF(CQ182=0,0,1+COUNTIF(CR$3:CR181,"&gt;0"))</f>
        <v>0</v>
      </c>
      <c r="CS182" t="str">
        <f t="shared" si="151"/>
        <v/>
      </c>
      <c r="CT182" t="str">
        <f t="shared" si="123"/>
        <v/>
      </c>
      <c r="CV182">
        <f>IF(IFERROR(MATCH($B182,Character_Creation!$C$341:$C$362,0),0)&gt;0,0,1)*IF(OR(C182="Cantrip",C182&lt;=BardMaxSpellLevel),1,0)*IF(IFERROR(MATCH($B182,Character_Creation!$C$367:$C$374,0),0)&gt;0,0,1)</f>
        <v>0</v>
      </c>
      <c r="CW182">
        <f>IF(CV182=0,0,1+COUNTIF(CW$3:CW181,"&gt;0"))</f>
        <v>0</v>
      </c>
      <c r="CX182" t="str">
        <f t="shared" si="152"/>
        <v/>
      </c>
      <c r="CY182" t="str">
        <f t="shared" si="124"/>
        <v/>
      </c>
      <c r="DA182">
        <f>IF(IF(OR(IFERROR(SEARCH("Cleric",$T182,1),0)&gt;0,IFERROR(SEARCH(DivineDomain&amp;",",$T182,1),0)&gt;0),1,0)*IF($C182=DA$2,1,0)=1,1+COUNTIF(DA$3:DA181,"&gt;0"),0)</f>
        <v>0</v>
      </c>
      <c r="DB182">
        <f>IF(IF(OR(IFERROR(SEARCH("Cleric",$T182,1),0)&gt;0,IFERROR(SEARCH(DivineDomain&amp;",",$T182,1),0)&gt;0),1,0)*IF($C182=DB$2,1,0)=1,1+COUNTIF(DB$3:DB181,"&gt;0"),0)</f>
        <v>0</v>
      </c>
      <c r="DC182">
        <f>IF(IF(OR(IFERROR(SEARCH("Cleric",$T182,1),0)&gt;0,IFERROR(SEARCH(DivineDomain&amp;",",$T182,1),0)&gt;0),1,0)*IF($C182=DC$2,1,0)=1,1+COUNTIF(DC$3:DC181,"&gt;0"),0)</f>
        <v>0</v>
      </c>
      <c r="DD182">
        <f>IF(IF(OR(IFERROR(SEARCH("Cleric",$T182,1),0)&gt;0,IFERROR(SEARCH(DivineDomain&amp;",",$T182,1),0)&gt;0),1,0)*IF($C182=DD$2,1,0)=1,1+COUNTIF(DD$3:DD181,"&gt;0"),0)</f>
        <v>0</v>
      </c>
      <c r="DE182">
        <f>IF(IF(OR(IFERROR(SEARCH("Cleric",$T182,1),0)&gt;0,IFERROR(SEARCH(DivineDomain&amp;",",$T182,1),0)&gt;0),1,0)*IF($C182=DE$2,1,0)=1,1+COUNTIF(DE$3:DE181,"&gt;0"),0)</f>
        <v>0</v>
      </c>
      <c r="DF182">
        <f>IF(IF(OR(IFERROR(SEARCH("Cleric",$T182,1),0)&gt;0,IFERROR(SEARCH(DivineDomain&amp;",",$T182,1),0)&gt;0),1,0)*IF($C182=DF$2,1,0)=1,1+COUNTIF(DF$3:DF181,"&gt;0"),0)</f>
        <v>0</v>
      </c>
      <c r="DG182">
        <f>IF(IF(OR(IFERROR(SEARCH("Cleric",$T182,1),0)&gt;0,IFERROR(SEARCH(DivineDomain&amp;",",$T182,1),0)&gt;0),1,0)*IF($C182=DG$2,1,0)=1,1+COUNTIF(DG$3:DG181,"&gt;0"),0)</f>
        <v>0</v>
      </c>
      <c r="DH182">
        <f>IF(IF(OR(IFERROR(SEARCH("Cleric",$T182,1),0)&gt;0,IFERROR(SEARCH(DivineDomain&amp;",",$T182,1),0)&gt;0),1,0)*IF($C182=DH$2,1,0)=1,1+COUNTIF(DH$3:DH181,"&gt;0"),0)</f>
        <v>0</v>
      </c>
      <c r="DI182">
        <f>IF(IF(OR(IFERROR(SEARCH("Cleric",$T182,1),0)&gt;0,IFERROR(SEARCH(DivineDomain&amp;",",$T182,1),0)&gt;0),1,0)*IF($C182=DI$2,1,0)=1,1+COUNTIF(DI$3:DI181,"&gt;0"),0)</f>
        <v>0</v>
      </c>
      <c r="DJ182">
        <f>IF(IF(OR(IFERROR(SEARCH("Druid",$T182,1),0)&gt;0,IFERROR(SEARCH(DruidLand1,$T182,1),0)&gt;0,IFERROR(SEARCH(DruidLand2,$T182,1),0)&gt;0,IFERROR(SEARCH(DruidLand3,$T182,1),0)&gt;0,IFERROR(SEARCH(DruidLand4,$T182,1),0)&gt;0),1,0)*IF($C182=1,1,0)*IF($C182=DJ$2,1,0)=0,0,1+COUNTIF(DJ$3:DJ181,"&gt;0"))</f>
        <v>0</v>
      </c>
      <c r="DK182">
        <f>IF(IF(OR(IFERROR(SEARCH("Druid",$T182,1),0)&gt;0,IFERROR(SEARCH(DruidLand1,$T182,1),0)&gt;0,IFERROR(SEARCH(DruidLand2,$T182,1),0)&gt;0,IFERROR(SEARCH(DruidLand3,$T182,1),0)&gt;0,IFERROR(SEARCH(DruidLand4,$T182,1),0)&gt;0),1,0)*IF($C182=1,1,0)*IF($C182=DK$2,1,0)=0,0,1+COUNTIF(DK$3:DK181,"&gt;0"))</f>
        <v>0</v>
      </c>
      <c r="DL182">
        <f>IF(IF(OR(IFERROR(SEARCH("Druid",$T182,1),0)&gt;0,IFERROR(SEARCH(DruidLand1,$T182,1),0)&gt;0,IFERROR(SEARCH(DruidLand2,$T182,1),0)&gt;0,IFERROR(SEARCH(DruidLand3,$T182,1),0)&gt;0,IFERROR(SEARCH(DruidLand4,$T182,1),0)&gt;0),1,0)*IF($C182=1,1,0)*IF($C182=DL$2,1,0)=0,0,1+COUNTIF(DL$3:DL181,"&gt;0"))</f>
        <v>0</v>
      </c>
      <c r="DM182">
        <f>IF(IF(OR(IFERROR(SEARCH("Druid",$T182,1),0)&gt;0,IFERROR(SEARCH(DruidLand1,$T182,1),0)&gt;0,IFERROR(SEARCH(DruidLand2,$T182,1),0)&gt;0,IFERROR(SEARCH(DruidLand3,$T182,1),0)&gt;0,IFERROR(SEARCH(DruidLand4,$T182,1),0)&gt;0),1,0)*IF($C182=1,1,0)*IF($C182=DM$2,1,0)=0,0,1+COUNTIF(DM$3:DM181,"&gt;0"))</f>
        <v>0</v>
      </c>
      <c r="DN182">
        <f>IF(IF(OR(IFERROR(SEARCH("Druid",$T182,1),0)&gt;0,IFERROR(SEARCH(DruidLand1,$T182,1),0)&gt;0,IFERROR(SEARCH(DruidLand2,$T182,1),0)&gt;0,IFERROR(SEARCH(DruidLand3,$T182,1),0)&gt;0,IFERROR(SEARCH(DruidLand4,$T182,1),0)&gt;0),1,0)*IF($C182=1,1,0)*IF($C182=DN$2,1,0)=0,0,1+COUNTIF(DN$3:DN181,"&gt;0"))</f>
        <v>0</v>
      </c>
      <c r="DO182">
        <f>IF(IF(OR(IFERROR(SEARCH("Druid",$T182,1),0)&gt;0,IFERROR(SEARCH(DruidLand1,$T182,1),0)&gt;0,IFERROR(SEARCH(DruidLand2,$T182,1),0)&gt;0,IFERROR(SEARCH(DruidLand3,$T182,1),0)&gt;0,IFERROR(SEARCH(DruidLand4,$T182,1),0)&gt;0),1,0)*IF($C182=1,1,0)*IF($C182=DO$2,1,0)=0,0,1+COUNTIF(DO$3:DO181,"&gt;0"))</f>
        <v>0</v>
      </c>
      <c r="DP182">
        <f>IF(IF(OR(IFERROR(SEARCH("Druid",$T182,1),0)&gt;0,IFERROR(SEARCH(DruidLand1,$T182,1),0)&gt;0,IFERROR(SEARCH(DruidLand2,$T182,1),0)&gt;0,IFERROR(SEARCH(DruidLand3,$T182,1),0)&gt;0,IFERROR(SEARCH(DruidLand4,$T182,1),0)&gt;0),1,0)*IF($C182=1,1,0)*IF($C182=DP$2,1,0)=0,0,1+COUNTIF(DP$3:DP181,"&gt;0"))</f>
        <v>0</v>
      </c>
      <c r="DQ182">
        <f>IF(IF(OR(IFERROR(SEARCH("Druid",$T182,1),0)&gt;0,IFERROR(SEARCH(DruidLand1,$T182,1),0)&gt;0,IFERROR(SEARCH(DruidLand2,$T182,1),0)&gt;0,IFERROR(SEARCH(DruidLand3,$T182,1),0)&gt;0,IFERROR(SEARCH(DruidLand4,$T182,1),0)&gt;0),1,0)*IF($C182=1,1,0)*IF($C182=DQ$2,1,0)=0,0,1+COUNTIF(DQ$3:DQ181,"&gt;0"))</f>
        <v>0</v>
      </c>
      <c r="DR182">
        <f>IF(IF(OR(IFERROR(SEARCH("Druid",$T182,1),0)&gt;0,IFERROR(SEARCH(DruidLand1,$T182,1),0)&gt;0,IFERROR(SEARCH(DruidLand2,$T182,1),0)&gt;0,IFERROR(SEARCH(DruidLand3,$T182,1),0)&gt;0,IFERROR(SEARCH(DruidLand4,$T182,1),0)&gt;0),1,0)*IF($C182=1,1,0)*IF($C182=DR$2,1,0)=0,0,1+COUNTIF(DR$3:DR181,"&gt;0"))</f>
        <v>0</v>
      </c>
      <c r="DS182">
        <f>IF(IF(OR(IFERROR(SEARCH("Paladin",$T182,1),0)&gt;0,IFERROR(SEARCH(PaladinOath,$T182,1),0)&gt;0),1,0)*IF($C182=DS$2,1,0)=1,1+COUNTIF(DS$3:DS181,"&gt;0"),0)</f>
        <v>9</v>
      </c>
      <c r="DT182">
        <f>IF(IF(OR(IFERROR(SEARCH("Paladin",$T182,1),0)&gt;0,IFERROR(SEARCH(PaladinOath,$T182,1),0)&gt;0),1,0)*IF($C182=DT$2,1,0)=1,1+COUNTIF(DT$3:DT181,"&gt;0"),0)</f>
        <v>0</v>
      </c>
      <c r="DU182">
        <f>IF(IF(OR(IFERROR(SEARCH("Paladin",$T182,1),0)&gt;0,IFERROR(SEARCH(PaladinOath,$T182,1),0)&gt;0),1,0)*IF($C182=DU$2,1,0)=1,1+COUNTIF(DU$3:DU181,"&gt;0"),0)</f>
        <v>0</v>
      </c>
      <c r="DV182">
        <f>IF(IF(OR(IFERROR(SEARCH("Paladin",$T182,1),0)&gt;0,IFERROR(SEARCH(PaladinOath,$T182,1),0)&gt;0),1,0)*IF($C182=DV$2,1,0)=1,1+COUNTIF(DV$3:DV181,"&gt;0"),0)</f>
        <v>0</v>
      </c>
      <c r="DW182">
        <f>IF(IF(OR(IFERROR(SEARCH("Paladin",$T182,1),0)&gt;0,IFERROR(SEARCH(PaladinOath,$T182,1),0)&gt;0),1,0)*IF($C182=DW$2,1,0)=1,1+COUNTIF(DW$3:DW181,"&gt;0"),0)</f>
        <v>0</v>
      </c>
      <c r="DY182">
        <f t="shared" si="111"/>
        <v>1</v>
      </c>
      <c r="DZ182">
        <f>IF(DY182=0,0,1+MAX(DZ$3:$DZ181))</f>
        <v>180</v>
      </c>
      <c r="EB182">
        <f t="shared" si="125"/>
        <v>0</v>
      </c>
      <c r="EC182">
        <f>IF(EB182=0,0,1+COUNTIF(EC$3:EC181,"&gt;0"))</f>
        <v>0</v>
      </c>
      <c r="ED182" t="str">
        <f t="shared" si="153"/>
        <v/>
      </c>
      <c r="EE182" t="str">
        <f t="shared" si="126"/>
        <v/>
      </c>
      <c r="EG182">
        <f t="shared" si="127"/>
        <v>0</v>
      </c>
      <c r="EH182">
        <f>IF(EG182=0,0,1+COUNTIF(EH$3:EH181,"&gt;0"))</f>
        <v>0</v>
      </c>
      <c r="EI182" t="str">
        <f t="shared" si="154"/>
        <v/>
      </c>
      <c r="EJ182" t="str">
        <f t="shared" si="128"/>
        <v/>
      </c>
      <c r="EL182">
        <f t="shared" si="129"/>
        <v>0</v>
      </c>
      <c r="EM182">
        <f>IF(EL182=0,0,1+COUNTIF(EM$3:EM181,"&gt;0"))</f>
        <v>0</v>
      </c>
      <c r="EN182" t="str">
        <f t="shared" si="155"/>
        <v/>
      </c>
      <c r="EO182" t="str">
        <f t="shared" si="130"/>
        <v/>
      </c>
      <c r="EQ182">
        <f t="shared" si="131"/>
        <v>0</v>
      </c>
      <c r="ER182">
        <f>IF(EQ182=0,0,1+COUNTIF(ER$3:ER181,"&gt;0"))</f>
        <v>0</v>
      </c>
      <c r="ES182" t="str">
        <f t="shared" si="156"/>
        <v/>
      </c>
      <c r="ET182" t="str">
        <f t="shared" si="132"/>
        <v/>
      </c>
      <c r="EV182">
        <f t="shared" si="133"/>
        <v>0</v>
      </c>
      <c r="EW182">
        <f>IF(EV182=0,0,1+COUNTIF(EW$3:EW181,"&gt;0"))</f>
        <v>0</v>
      </c>
      <c r="EX182" t="str">
        <f t="shared" si="157"/>
        <v/>
      </c>
      <c r="EY182" t="str">
        <f t="shared" si="134"/>
        <v/>
      </c>
      <c r="FA182">
        <f t="shared" si="135"/>
        <v>0</v>
      </c>
      <c r="FB182">
        <f>IF(FA182=0,0,1+COUNTIF(FB$3:FB181,"&gt;0"))</f>
        <v>0</v>
      </c>
      <c r="FC182" t="str">
        <f t="shared" si="158"/>
        <v/>
      </c>
      <c r="FD182" t="str">
        <f t="shared" si="136"/>
        <v/>
      </c>
      <c r="FF182">
        <f t="shared" si="137"/>
        <v>0</v>
      </c>
      <c r="FG182">
        <f>IF(FF182=0,0,1+COUNTIF(FG$3:FG181,"&gt;0"))</f>
        <v>0</v>
      </c>
      <c r="FH182" t="str">
        <f t="shared" si="159"/>
        <v/>
      </c>
      <c r="FI182" t="str">
        <f t="shared" si="138"/>
        <v/>
      </c>
      <c r="FK182">
        <f t="shared" si="139"/>
        <v>0</v>
      </c>
      <c r="FL182">
        <f>IF(FK182=0,0,1+COUNTIF(FL$3:FL181,"&gt;0"))</f>
        <v>0</v>
      </c>
      <c r="FM182" t="str">
        <f t="shared" si="160"/>
        <v/>
      </c>
      <c r="FN182" t="str">
        <f t="shared" si="140"/>
        <v/>
      </c>
      <c r="FP182">
        <f t="shared" si="141"/>
        <v>0</v>
      </c>
      <c r="FQ182">
        <f>IF(FP182=0,0,1+COUNTIF(FQ$3:FQ181,"&gt;0"))</f>
        <v>0</v>
      </c>
      <c r="FR182" t="str">
        <f t="shared" si="161"/>
        <v/>
      </c>
      <c r="FS182" t="str">
        <f t="shared" si="142"/>
        <v/>
      </c>
    </row>
    <row r="183" spans="1:175" x14ac:dyDescent="0.25">
      <c r="A183" s="347">
        <f t="shared" si="162"/>
        <v>181</v>
      </c>
      <c r="B183" s="348" t="s">
        <v>2559</v>
      </c>
      <c r="C183" s="348">
        <v>1</v>
      </c>
      <c r="D183" s="347">
        <v>1</v>
      </c>
      <c r="E183" s="627" t="s">
        <v>6952</v>
      </c>
      <c r="F183" s="346"/>
      <c r="G183" s="347" t="str">
        <f>""</f>
        <v/>
      </c>
      <c r="H183" s="347" t="s">
        <v>5918</v>
      </c>
      <c r="I183" s="347" t="s">
        <v>5312</v>
      </c>
      <c r="J183" s="347" t="str">
        <f t="shared" si="112"/>
        <v/>
      </c>
      <c r="K183" s="347" t="s">
        <v>5284</v>
      </c>
      <c r="L183" s="611" t="str">
        <f t="shared" si="113"/>
        <v>V, S, M, the petrified eye of a newt</v>
      </c>
      <c r="M183" s="347" t="s">
        <v>2373</v>
      </c>
      <c r="N183" s="347" t="s">
        <v>2387</v>
      </c>
      <c r="O183" s="347" t="s">
        <v>1244</v>
      </c>
      <c r="P183" s="346" t="s">
        <v>5400</v>
      </c>
      <c r="Q183" s="347" t="s">
        <v>5272</v>
      </c>
      <c r="S183" s="346" t="s">
        <v>5732</v>
      </c>
      <c r="T183" s="346" t="str">
        <f t="shared" si="114"/>
        <v xml:space="preserve">Warlock, </v>
      </c>
      <c r="Y183" s="347" t="str">
        <f>$B183</f>
        <v>Hex</v>
      </c>
      <c r="AE183" t="str">
        <f>IF(IFERROR(MATCH($B183,temp!A$4:A$13,0),0)&gt;0,T08_Spells!AE$2,"")</f>
        <v/>
      </c>
      <c r="AF183" t="str">
        <f>IF(IFERROR(MATCH($B183,temp!B$4:B$13,0),0)&gt;0,T08_Spells!AF$2,"")</f>
        <v/>
      </c>
      <c r="AG183" t="str">
        <f>IF(IFERROR(MATCH($B183,temp!C$4:C$13,0),0)&gt;0,T08_Spells!AG$2,"")</f>
        <v/>
      </c>
      <c r="AH183" t="str">
        <f>IF(IFERROR(MATCH($B183,temp!D$4:D$13,0),0)&gt;0,T08_Spells!AH$2,"")</f>
        <v/>
      </c>
      <c r="AI183" t="str">
        <f>IF(IFERROR(MATCH($B183,temp!E$4:E$13,0),0)&gt;0,T08_Spells!AI$2,"")</f>
        <v/>
      </c>
      <c r="AJ183" t="str">
        <f>IF(IFERROR(MATCH($B183,temp!F$4:F$13,0),0)&gt;0,T08_Spells!AJ$2,"")</f>
        <v/>
      </c>
      <c r="AK183" t="str">
        <f>IF(IFERROR(MATCH($B183,temp!G$4:G$13,0),0)&gt;0,T08_Spells!AK$2,"")</f>
        <v/>
      </c>
      <c r="AL183" t="str">
        <f>IF(IFERROR(MATCH($B183,temp!H$4:H$13,0),0)&gt;0,T08_Spells!AL$2,"")</f>
        <v/>
      </c>
      <c r="AM183" t="str">
        <f>IF(IFERROR(MATCH($B183,temp!I$4:I$13,0),0)&gt;0,T08_Spells!AM$2,"")</f>
        <v/>
      </c>
      <c r="AN183" t="str">
        <f>IF(IFERROR(MATCH($B183,temp!J$4:J$13,0),0)&gt;0,T08_Spells!AN$2,"")</f>
        <v/>
      </c>
      <c r="AO183" t="str">
        <f>IF(IFERROR(MATCH($B183,temp!K$4:K$13,0),0)&gt;0,T08_Spells!AO$2,"")</f>
        <v/>
      </c>
      <c r="AP183" t="str">
        <f>IF(IFERROR(MATCH($B183,temp!L$4:L$13,0),0)&gt;0,T08_Spells!AP$2,"")</f>
        <v/>
      </c>
      <c r="AQ183" t="str">
        <f>IF(IFERROR(MATCH($B183,temp!M$4:M$13,0),0)&gt;0,T08_Spells!AQ$2,"")</f>
        <v/>
      </c>
      <c r="AR183" t="str">
        <f>IF(IFERROR(MATCH($B183,temp!N$4:N$13,0),0)&gt;0,T08_Spells!AR$2,"")</f>
        <v/>
      </c>
      <c r="AS183" t="str">
        <f>IF(IFERROR(MATCH($B183,temp!O$4:O$13,0),0)&gt;0,T08_Spells!AS$2,"")</f>
        <v/>
      </c>
      <c r="AT183" t="str">
        <f>IF(IFERROR(MATCH($B183,temp!P$4:P$13,0),0)&gt;0,T08_Spells!AT$2,"")</f>
        <v/>
      </c>
      <c r="AU183" t="str">
        <f>IF(IFERROR(MATCH($B183,temp!Q$4:Q$13,0),0)&gt;0,T08_Spells!AU$2,"")</f>
        <v/>
      </c>
      <c r="AV183" t="str">
        <f>IF(IFERROR(MATCH($B183,temp!R$4:R$13,0),0)&gt;0,T08_Spells!AV$2,"")</f>
        <v/>
      </c>
      <c r="AW183" t="str">
        <f>IF(IFERROR(MATCH($B183,temp!S$4:S$13,0),0)&gt;0,T08_Spells!AW$2,"")</f>
        <v/>
      </c>
      <c r="AX183" t="str">
        <f>IF(IFERROR(MATCH($B183,temp!T$4:T$13,0),0)&gt;0,T08_Spells!AX$2,"")</f>
        <v/>
      </c>
      <c r="AY183" t="str">
        <f>IF(IFERROR(MATCH($B183,temp!U$4:U$13,0),0)&gt;0,T08_Spells!AY$2,"")</f>
        <v/>
      </c>
      <c r="AZ183" t="str">
        <f>IF(IFERROR(MATCH($B183,temp!V$4:V$13,0),0)&gt;0,T08_Spells!AZ$2,"")</f>
        <v/>
      </c>
      <c r="BA183" t="str">
        <f>IF(IFERROR(MATCH($B183,temp!W$4:W$13,0),0)&gt;0,T08_Spells!BA$2,"")</f>
        <v/>
      </c>
      <c r="BC183">
        <f>IF(IFERROR(SEARCH("Ranger",$T183,1),0)&gt;0,1,0)*IF(RangerMaxSpellLevel&gt;=$C183,1,0)*IF(IFERROR(MATCH(B183,Character_Creation!$X$79:$X$382,0),0)&gt;0,0,1)</f>
        <v>0</v>
      </c>
      <c r="BD183">
        <f>IF(BC183=0,0,1+COUNTIF(BD$3:BD182,"&gt;0"))</f>
        <v>0</v>
      </c>
      <c r="BE183" t="str">
        <f t="shared" si="143"/>
        <v/>
      </c>
      <c r="BF183" t="str">
        <f t="shared" si="115"/>
        <v/>
      </c>
      <c r="BH183">
        <f>IF(IFERROR(SEARCH("Sorcerer",$T183,1),0)&gt;0,1,0)*IF(SorcererMaxSpellLevel&gt;=$C183,1,0)*IF(IFERROR(MATCH(B183,Character_Creation!$J$380:$J$394,0),0)&gt;0,0,1)</f>
        <v>0</v>
      </c>
      <c r="BI183">
        <f>IF(BH183=0,0,1+COUNTIF(BI$3:BI182,"&gt;0"))</f>
        <v>0</v>
      </c>
      <c r="BJ183" t="str">
        <f t="shared" si="144"/>
        <v/>
      </c>
      <c r="BK183" t="str">
        <f t="shared" si="116"/>
        <v/>
      </c>
      <c r="BM183">
        <f>IF(OR(IFERROR(SEARCH("Warlock",$T183,1),0)&gt;0,IFERROR(SEARCH(WarlockPatron,$T183,1),0)&gt;0),1,0)*IF(WarlockMaxSpellLevel&gt;=$C183,1,0)*IF(IFERROR(MATCH(B183,Character_Creation!$J$361:$J$375,0),0)&gt;0,0,1)</f>
        <v>0</v>
      </c>
      <c r="BN183">
        <f>IF(BM183=0,0,1+COUNTIF(BN$3:BN182,"&gt;0"))</f>
        <v>0</v>
      </c>
      <c r="BO183" t="str">
        <f t="shared" si="145"/>
        <v/>
      </c>
      <c r="BP183" t="str">
        <f t="shared" si="117"/>
        <v/>
      </c>
      <c r="BR183">
        <f>IF(IFERROR(SEARCH("Eldritch Knight",$T183,1),0)&gt;0,1,0)*IF(EldritchKnightMaxSpellLevel&gt;=$C183,1,0)*IF(IFERROR(MATCH($B183,Character_Creation!$J$350:$J$356,0),0)&gt;0,0,1)*IF(Character_Creation!$M$338&gt;0,1,0)</f>
        <v>0</v>
      </c>
      <c r="BS183">
        <f>IF(BR183=0,0,1+COUNTIF(BS$3:BS182,"&gt;0"))</f>
        <v>0</v>
      </c>
      <c r="BT183" t="str">
        <f t="shared" si="146"/>
        <v/>
      </c>
      <c r="BU183" t="str">
        <f t="shared" si="118"/>
        <v/>
      </c>
      <c r="BW183">
        <f>IF(IFERROR(SEARCH("Arcane Trickster",$T183,1),0)&gt;0,1,0)*IF(ArcaneTricksterMaxSpellLevel&gt;=$C183,1,0)*IF(IFERROR(MATCH($B183,Character_Creation!$J$350:$J$356,0),0)&gt;0,0,1)*IF(Character_Creation!$T$338&gt;0,1,0)</f>
        <v>0</v>
      </c>
      <c r="BX183">
        <f>IF(BW183=0,0,1+COUNTIF(BX$3:BX182,"&gt;0"))</f>
        <v>0</v>
      </c>
      <c r="BY183" t="str">
        <f t="shared" si="147"/>
        <v/>
      </c>
      <c r="BZ183" t="str">
        <f t="shared" si="119"/>
        <v/>
      </c>
      <c r="CB183">
        <f>IF(IFERROR(SEARCH("Wizard",$T183,1),0)&gt;0,1,0)*IF(C183&lt;=ArcaneTricksterMaxSpellLevel,1,0)*IF(IFERROR(MATCH($B183,Character_Creation!$J$350:$J$356,0),0)&gt;0,0,1)*IF(Character_Creation!$T$350&gt;0,1,0)</f>
        <v>0</v>
      </c>
      <c r="CC183">
        <f>IF(CB183=0,0,1+COUNTIF(CC$3:CC182,"&gt;0"))</f>
        <v>0</v>
      </c>
      <c r="CD183" t="str">
        <f t="shared" si="148"/>
        <v/>
      </c>
      <c r="CE183" t="str">
        <f t="shared" si="120"/>
        <v/>
      </c>
      <c r="CG183">
        <f>IF(IFERROR(SEARCH("Wizard",$T183,1),0)&gt;0,1,0)*IF($C183&lt;=EldritchKnightMaxSpellLevel,1,0)*IF(IFERROR(MATCH($B183,Character_Creation!$J$350:$J$356,0),0)&gt;0,0,1)*IF(Character_Creation!$M$350&gt;0,1,0)</f>
        <v>0</v>
      </c>
      <c r="CH183">
        <f>IF(CG183=0,0,1+COUNTIF(CH$3:CH182,"&gt;0"))</f>
        <v>0</v>
      </c>
      <c r="CI183" t="str">
        <f t="shared" si="149"/>
        <v/>
      </c>
      <c r="CJ183" t="str">
        <f t="shared" si="121"/>
        <v/>
      </c>
      <c r="CL183">
        <f>IF(IFERROR(SEARCH("Bard",$T183,1),0)&gt;0,1,0)*IF(BardMaxSpellLevel&gt;=$C183,1,0)*IF(IFERROR(MATCH(B183,Character_Creation!$C$341:$F$362,0),0)&gt;0,0,1)*IF(IFERROR(MATCH($B183,Character_Creation!$C$341:$C$362,0),0)&gt;0,0,1)</f>
        <v>0</v>
      </c>
      <c r="CM183">
        <f>IF(CL183=0,0,1+COUNTIF(CM$3:CM182,"&gt;0"))</f>
        <v>0</v>
      </c>
      <c r="CN183" t="str">
        <f t="shared" si="150"/>
        <v/>
      </c>
      <c r="CO183" t="str">
        <f t="shared" si="122"/>
        <v/>
      </c>
      <c r="CQ183">
        <f>IF(IFERROR(SEARCH("Wizard",$T183,1),0)&gt;0,1,0)*IF(WizardMaxSpellLevel&gt;=$C183,1,0)*IF(IFERROR(MATCH(B183,Character_Creation!$X$341:$X$400,0),0)&gt;0,0,1)*IF(SelectedWizardSpellLevel=$C183,1,0)</f>
        <v>0</v>
      </c>
      <c r="CR183">
        <f>IF(CQ183=0,0,1+COUNTIF(CR$3:CR182,"&gt;0"))</f>
        <v>0</v>
      </c>
      <c r="CS183" t="str">
        <f t="shared" si="151"/>
        <v/>
      </c>
      <c r="CT183" t="str">
        <f t="shared" si="123"/>
        <v/>
      </c>
      <c r="CV183">
        <f>IF(IFERROR(MATCH($B183,Character_Creation!$C$341:$C$362,0),0)&gt;0,0,1)*IF(OR(C183="Cantrip",C183&lt;=BardMaxSpellLevel),1,0)*IF(IFERROR(MATCH($B183,Character_Creation!$C$367:$C$374,0),0)&gt;0,0,1)</f>
        <v>0</v>
      </c>
      <c r="CW183">
        <f>IF(CV183=0,0,1+COUNTIF(CW$3:CW182,"&gt;0"))</f>
        <v>0</v>
      </c>
      <c r="CX183" t="str">
        <f t="shared" si="152"/>
        <v/>
      </c>
      <c r="CY183" t="str">
        <f t="shared" si="124"/>
        <v/>
      </c>
      <c r="DA183">
        <f>IF(IF(OR(IFERROR(SEARCH("Cleric",$T183,1),0)&gt;0,IFERROR(SEARCH(DivineDomain&amp;",",$T183,1),0)&gt;0),1,0)*IF($C183=DA$2,1,0)=1,1+COUNTIF(DA$3:DA182,"&gt;0"),0)</f>
        <v>0</v>
      </c>
      <c r="DB183">
        <f>IF(IF(OR(IFERROR(SEARCH("Cleric",$T183,1),0)&gt;0,IFERROR(SEARCH(DivineDomain&amp;",",$T183,1),0)&gt;0),1,0)*IF($C183=DB$2,1,0)=1,1+COUNTIF(DB$3:DB182,"&gt;0"),0)</f>
        <v>0</v>
      </c>
      <c r="DC183">
        <f>IF(IF(OR(IFERROR(SEARCH("Cleric",$T183,1),0)&gt;0,IFERROR(SEARCH(DivineDomain&amp;",",$T183,1),0)&gt;0),1,0)*IF($C183=DC$2,1,0)=1,1+COUNTIF(DC$3:DC182,"&gt;0"),0)</f>
        <v>0</v>
      </c>
      <c r="DD183">
        <f>IF(IF(OR(IFERROR(SEARCH("Cleric",$T183,1),0)&gt;0,IFERROR(SEARCH(DivineDomain&amp;",",$T183,1),0)&gt;0),1,0)*IF($C183=DD$2,1,0)=1,1+COUNTIF(DD$3:DD182,"&gt;0"),0)</f>
        <v>0</v>
      </c>
      <c r="DE183">
        <f>IF(IF(OR(IFERROR(SEARCH("Cleric",$T183,1),0)&gt;0,IFERROR(SEARCH(DivineDomain&amp;",",$T183,1),0)&gt;0),1,0)*IF($C183=DE$2,1,0)=1,1+COUNTIF(DE$3:DE182,"&gt;0"),0)</f>
        <v>0</v>
      </c>
      <c r="DF183">
        <f>IF(IF(OR(IFERROR(SEARCH("Cleric",$T183,1),0)&gt;0,IFERROR(SEARCH(DivineDomain&amp;",",$T183,1),0)&gt;0),1,0)*IF($C183=DF$2,1,0)=1,1+COUNTIF(DF$3:DF182,"&gt;0"),0)</f>
        <v>0</v>
      </c>
      <c r="DG183">
        <f>IF(IF(OR(IFERROR(SEARCH("Cleric",$T183,1),0)&gt;0,IFERROR(SEARCH(DivineDomain&amp;",",$T183,1),0)&gt;0),1,0)*IF($C183=DG$2,1,0)=1,1+COUNTIF(DG$3:DG182,"&gt;0"),0)</f>
        <v>0</v>
      </c>
      <c r="DH183">
        <f>IF(IF(OR(IFERROR(SEARCH("Cleric",$T183,1),0)&gt;0,IFERROR(SEARCH(DivineDomain&amp;",",$T183,1),0)&gt;0),1,0)*IF($C183=DH$2,1,0)=1,1+COUNTIF(DH$3:DH182,"&gt;0"),0)</f>
        <v>0</v>
      </c>
      <c r="DI183">
        <f>IF(IF(OR(IFERROR(SEARCH("Cleric",$T183,1),0)&gt;0,IFERROR(SEARCH(DivineDomain&amp;",",$T183,1),0)&gt;0),1,0)*IF($C183=DI$2,1,0)=1,1+COUNTIF(DI$3:DI182,"&gt;0"),0)</f>
        <v>0</v>
      </c>
      <c r="DJ183">
        <f>IF(IF(OR(IFERROR(SEARCH("Druid",$T183,1),0)&gt;0,IFERROR(SEARCH(DruidLand1,$T183,1),0)&gt;0,IFERROR(SEARCH(DruidLand2,$T183,1),0)&gt;0,IFERROR(SEARCH(DruidLand3,$T183,1),0)&gt;0,IFERROR(SEARCH(DruidLand4,$T183,1),0)&gt;0),1,0)*IF($C183=1,1,0)*IF($C183=DJ$2,1,0)=0,0,1+COUNTIF(DJ$3:DJ182,"&gt;0"))</f>
        <v>0</v>
      </c>
      <c r="DK183">
        <f>IF(IF(OR(IFERROR(SEARCH("Druid",$T183,1),0)&gt;0,IFERROR(SEARCH(DruidLand1,$T183,1),0)&gt;0,IFERROR(SEARCH(DruidLand2,$T183,1),0)&gt;0,IFERROR(SEARCH(DruidLand3,$T183,1),0)&gt;0,IFERROR(SEARCH(DruidLand4,$T183,1),0)&gt;0),1,0)*IF($C183=1,1,0)*IF($C183=DK$2,1,0)=0,0,1+COUNTIF(DK$3:DK182,"&gt;0"))</f>
        <v>0</v>
      </c>
      <c r="DL183">
        <f>IF(IF(OR(IFERROR(SEARCH("Druid",$T183,1),0)&gt;0,IFERROR(SEARCH(DruidLand1,$T183,1),0)&gt;0,IFERROR(SEARCH(DruidLand2,$T183,1),0)&gt;0,IFERROR(SEARCH(DruidLand3,$T183,1),0)&gt;0,IFERROR(SEARCH(DruidLand4,$T183,1),0)&gt;0),1,0)*IF($C183=1,1,0)*IF($C183=DL$2,1,0)=0,0,1+COUNTIF(DL$3:DL182,"&gt;0"))</f>
        <v>0</v>
      </c>
      <c r="DM183">
        <f>IF(IF(OR(IFERROR(SEARCH("Druid",$T183,1),0)&gt;0,IFERROR(SEARCH(DruidLand1,$T183,1),0)&gt;0,IFERROR(SEARCH(DruidLand2,$T183,1),0)&gt;0,IFERROR(SEARCH(DruidLand3,$T183,1),0)&gt;0,IFERROR(SEARCH(DruidLand4,$T183,1),0)&gt;0),1,0)*IF($C183=1,1,0)*IF($C183=DM$2,1,0)=0,0,1+COUNTIF(DM$3:DM182,"&gt;0"))</f>
        <v>0</v>
      </c>
      <c r="DN183">
        <f>IF(IF(OR(IFERROR(SEARCH("Druid",$T183,1),0)&gt;0,IFERROR(SEARCH(DruidLand1,$T183,1),0)&gt;0,IFERROR(SEARCH(DruidLand2,$T183,1),0)&gt;0,IFERROR(SEARCH(DruidLand3,$T183,1),0)&gt;0,IFERROR(SEARCH(DruidLand4,$T183,1),0)&gt;0),1,0)*IF($C183=1,1,0)*IF($C183=DN$2,1,0)=0,0,1+COUNTIF(DN$3:DN182,"&gt;0"))</f>
        <v>0</v>
      </c>
      <c r="DO183">
        <f>IF(IF(OR(IFERROR(SEARCH("Druid",$T183,1),0)&gt;0,IFERROR(SEARCH(DruidLand1,$T183,1),0)&gt;0,IFERROR(SEARCH(DruidLand2,$T183,1),0)&gt;0,IFERROR(SEARCH(DruidLand3,$T183,1),0)&gt;0,IFERROR(SEARCH(DruidLand4,$T183,1),0)&gt;0),1,0)*IF($C183=1,1,0)*IF($C183=DO$2,1,0)=0,0,1+COUNTIF(DO$3:DO182,"&gt;0"))</f>
        <v>0</v>
      </c>
      <c r="DP183">
        <f>IF(IF(OR(IFERROR(SEARCH("Druid",$T183,1),0)&gt;0,IFERROR(SEARCH(DruidLand1,$T183,1),0)&gt;0,IFERROR(SEARCH(DruidLand2,$T183,1),0)&gt;0,IFERROR(SEARCH(DruidLand3,$T183,1),0)&gt;0,IFERROR(SEARCH(DruidLand4,$T183,1),0)&gt;0),1,0)*IF($C183=1,1,0)*IF($C183=DP$2,1,0)=0,0,1+COUNTIF(DP$3:DP182,"&gt;0"))</f>
        <v>0</v>
      </c>
      <c r="DQ183">
        <f>IF(IF(OR(IFERROR(SEARCH("Druid",$T183,1),0)&gt;0,IFERROR(SEARCH(DruidLand1,$T183,1),0)&gt;0,IFERROR(SEARCH(DruidLand2,$T183,1),0)&gt;0,IFERROR(SEARCH(DruidLand3,$T183,1),0)&gt;0,IFERROR(SEARCH(DruidLand4,$T183,1),0)&gt;0),1,0)*IF($C183=1,1,0)*IF($C183=DQ$2,1,0)=0,0,1+COUNTIF(DQ$3:DQ182,"&gt;0"))</f>
        <v>0</v>
      </c>
      <c r="DR183">
        <f>IF(IF(OR(IFERROR(SEARCH("Druid",$T183,1),0)&gt;0,IFERROR(SEARCH(DruidLand1,$T183,1),0)&gt;0,IFERROR(SEARCH(DruidLand2,$T183,1),0)&gt;0,IFERROR(SEARCH(DruidLand3,$T183,1),0)&gt;0,IFERROR(SEARCH(DruidLand4,$T183,1),0)&gt;0),1,0)*IF($C183=1,1,0)*IF($C183=DR$2,1,0)=0,0,1+COUNTIF(DR$3:DR182,"&gt;0"))</f>
        <v>0</v>
      </c>
      <c r="DS183">
        <f>IF(IF(OR(IFERROR(SEARCH("Paladin",$T183,1),0)&gt;0,IFERROR(SEARCH(PaladinOath,$T183,1),0)&gt;0),1,0)*IF($C183=DS$2,1,0)=1,1+COUNTIF(DS$3:DS182,"&gt;0"),0)</f>
        <v>0</v>
      </c>
      <c r="DT183">
        <f>IF(IF(OR(IFERROR(SEARCH("Paladin",$T183,1),0)&gt;0,IFERROR(SEARCH(PaladinOath,$T183,1),0)&gt;0),1,0)*IF($C183=DT$2,1,0)=1,1+COUNTIF(DT$3:DT182,"&gt;0"),0)</f>
        <v>0</v>
      </c>
      <c r="DU183">
        <f>IF(IF(OR(IFERROR(SEARCH("Paladin",$T183,1),0)&gt;0,IFERROR(SEARCH(PaladinOath,$T183,1),0)&gt;0),1,0)*IF($C183=DU$2,1,0)=1,1+COUNTIF(DU$3:DU182,"&gt;0"),0)</f>
        <v>0</v>
      </c>
      <c r="DV183">
        <f>IF(IF(OR(IFERROR(SEARCH("Paladin",$T183,1),0)&gt;0,IFERROR(SEARCH(PaladinOath,$T183,1),0)&gt;0),1,0)*IF($C183=DV$2,1,0)=1,1+COUNTIF(DV$3:DV182,"&gt;0"),0)</f>
        <v>0</v>
      </c>
      <c r="DW183">
        <f>IF(IF(OR(IFERROR(SEARCH("Paladin",$T183,1),0)&gt;0,IFERROR(SEARCH(PaladinOath,$T183,1),0)&gt;0),1,0)*IF($C183=DW$2,1,0)=1,1+COUNTIF(DW$3:DW182,"&gt;0"),0)</f>
        <v>0</v>
      </c>
      <c r="DY183">
        <f t="shared" si="111"/>
        <v>1</v>
      </c>
      <c r="DZ183">
        <f>IF(DY183=0,0,1+MAX(DZ$3:$DZ182))</f>
        <v>181</v>
      </c>
      <c r="EB183">
        <f t="shared" si="125"/>
        <v>0</v>
      </c>
      <c r="EC183">
        <f>IF(EB183=0,0,1+COUNTIF(EC$3:EC182,"&gt;0"))</f>
        <v>0</v>
      </c>
      <c r="ED183" t="str">
        <f t="shared" si="153"/>
        <v/>
      </c>
      <c r="EE183" t="str">
        <f t="shared" si="126"/>
        <v/>
      </c>
      <c r="EG183">
        <f t="shared" si="127"/>
        <v>0</v>
      </c>
      <c r="EH183">
        <f>IF(EG183=0,0,1+COUNTIF(EH$3:EH182,"&gt;0"))</f>
        <v>0</v>
      </c>
      <c r="EI183" t="str">
        <f t="shared" si="154"/>
        <v/>
      </c>
      <c r="EJ183" t="str">
        <f t="shared" si="128"/>
        <v/>
      </c>
      <c r="EL183">
        <f t="shared" si="129"/>
        <v>0</v>
      </c>
      <c r="EM183">
        <f>IF(EL183=0,0,1+COUNTIF(EM$3:EM182,"&gt;0"))</f>
        <v>0</v>
      </c>
      <c r="EN183" t="str">
        <f t="shared" si="155"/>
        <v/>
      </c>
      <c r="EO183" t="str">
        <f t="shared" si="130"/>
        <v/>
      </c>
      <c r="EQ183">
        <f t="shared" si="131"/>
        <v>0</v>
      </c>
      <c r="ER183">
        <f>IF(EQ183=0,0,1+COUNTIF(ER$3:ER182,"&gt;0"))</f>
        <v>0</v>
      </c>
      <c r="ES183" t="str">
        <f t="shared" si="156"/>
        <v/>
      </c>
      <c r="ET183" t="str">
        <f t="shared" si="132"/>
        <v/>
      </c>
      <c r="EV183">
        <f t="shared" si="133"/>
        <v>0</v>
      </c>
      <c r="EW183">
        <f>IF(EV183=0,0,1+COUNTIF(EW$3:EW182,"&gt;0"))</f>
        <v>0</v>
      </c>
      <c r="EX183" t="str">
        <f t="shared" si="157"/>
        <v/>
      </c>
      <c r="EY183" t="str">
        <f t="shared" si="134"/>
        <v/>
      </c>
      <c r="FA183">
        <f t="shared" si="135"/>
        <v>0</v>
      </c>
      <c r="FB183">
        <f>IF(FA183=0,0,1+COUNTIF(FB$3:FB182,"&gt;0"))</f>
        <v>0</v>
      </c>
      <c r="FC183" t="str">
        <f t="shared" si="158"/>
        <v/>
      </c>
      <c r="FD183" t="str">
        <f t="shared" si="136"/>
        <v/>
      </c>
      <c r="FF183">
        <f t="shared" si="137"/>
        <v>0</v>
      </c>
      <c r="FG183">
        <f>IF(FF183=0,0,1+COUNTIF(FG$3:FG182,"&gt;0"))</f>
        <v>0</v>
      </c>
      <c r="FH183" t="str">
        <f t="shared" si="159"/>
        <v/>
      </c>
      <c r="FI183" t="str">
        <f t="shared" si="138"/>
        <v/>
      </c>
      <c r="FK183">
        <f t="shared" si="139"/>
        <v>0</v>
      </c>
      <c r="FL183">
        <f>IF(FK183=0,0,1+COUNTIF(FL$3:FL182,"&gt;0"))</f>
        <v>0</v>
      </c>
      <c r="FM183" t="str">
        <f t="shared" si="160"/>
        <v/>
      </c>
      <c r="FN183" t="str">
        <f t="shared" si="140"/>
        <v/>
      </c>
      <c r="FP183">
        <f t="shared" si="141"/>
        <v>0</v>
      </c>
      <c r="FQ183">
        <f>IF(FP183=0,0,1+COUNTIF(FQ$3:FQ182,"&gt;0"))</f>
        <v>0</v>
      </c>
      <c r="FR183" t="str">
        <f t="shared" si="161"/>
        <v/>
      </c>
      <c r="FS183" t="str">
        <f t="shared" si="142"/>
        <v/>
      </c>
    </row>
    <row r="184" spans="1:175" x14ac:dyDescent="0.25">
      <c r="A184" s="347">
        <f t="shared" si="162"/>
        <v>182</v>
      </c>
      <c r="B184" s="348" t="s">
        <v>2560</v>
      </c>
      <c r="C184" s="348">
        <v>5</v>
      </c>
      <c r="D184" s="347">
        <v>5</v>
      </c>
      <c r="E184" s="627" t="s">
        <v>6952</v>
      </c>
      <c r="F184" s="346"/>
      <c r="G184" s="347" t="str">
        <f>""</f>
        <v/>
      </c>
      <c r="H184" s="347" t="s">
        <v>5912</v>
      </c>
      <c r="I184" s="347" t="s">
        <v>5312</v>
      </c>
      <c r="J184" s="347" t="str">
        <f t="shared" si="112"/>
        <v/>
      </c>
      <c r="K184" s="347" t="s">
        <v>5291</v>
      </c>
      <c r="L184" s="611" t="str">
        <f t="shared" si="113"/>
        <v>V, S, M, a small, straight piece of iron</v>
      </c>
      <c r="M184" s="347" t="s">
        <v>2373</v>
      </c>
      <c r="N184" s="347" t="s">
        <v>2387</v>
      </c>
      <c r="O184" s="347" t="s">
        <v>1244</v>
      </c>
      <c r="P184" s="346" t="s">
        <v>5401</v>
      </c>
      <c r="Q184" s="347" t="s">
        <v>5272</v>
      </c>
      <c r="S184" s="346" t="s">
        <v>5733</v>
      </c>
      <c r="T184" s="346" t="str">
        <f t="shared" si="114"/>
        <v xml:space="preserve">Bard, Sorcerer, Warlock, Arcane Trickster, Wizard, Vengeance, War, </v>
      </c>
      <c r="U184" s="347" t="str">
        <f>$B184</f>
        <v>Hold Monster</v>
      </c>
      <c r="X184" s="347" t="str">
        <f t="shared" ref="X184:Z186" si="164">$B184</f>
        <v>Hold Monster</v>
      </c>
      <c r="Y184" s="347" t="str">
        <f t="shared" si="164"/>
        <v>Hold Monster</v>
      </c>
      <c r="AC184" s="539" t="str">
        <f>B184</f>
        <v>Hold Monster</v>
      </c>
      <c r="AD184" s="347" t="str">
        <f>$B184</f>
        <v>Hold Monster</v>
      </c>
      <c r="AE184" t="str">
        <f>IF(IFERROR(MATCH($B184,temp!A$4:A$13,0),0)&gt;0,T08_Spells!AE$2,"")</f>
        <v/>
      </c>
      <c r="AF184" t="str">
        <f>IF(IFERROR(MATCH($B184,temp!B$4:B$13,0),0)&gt;0,T08_Spells!AF$2,"")</f>
        <v>Vengeance</v>
      </c>
      <c r="AG184" t="str">
        <f>IF(IFERROR(MATCH($B184,temp!C$4:C$13,0),0)&gt;0,T08_Spells!AG$2,"")</f>
        <v/>
      </c>
      <c r="AH184" t="str">
        <f>IF(IFERROR(MATCH($B184,temp!D$4:D$13,0),0)&gt;0,T08_Spells!AH$2,"")</f>
        <v/>
      </c>
      <c r="AI184" t="str">
        <f>IF(IFERROR(MATCH($B184,temp!E$4:E$13,0),0)&gt;0,T08_Spells!AI$2,"")</f>
        <v/>
      </c>
      <c r="AJ184" t="str">
        <f>IF(IFERROR(MATCH($B184,temp!F$4:F$13,0),0)&gt;0,T08_Spells!AJ$2,"")</f>
        <v/>
      </c>
      <c r="AK184" t="str">
        <f>IF(IFERROR(MATCH($B184,temp!G$4:G$13,0),0)&gt;0,T08_Spells!AK$2,"")</f>
        <v/>
      </c>
      <c r="AL184" t="str">
        <f>IF(IFERROR(MATCH($B184,temp!H$4:H$13,0),0)&gt;0,T08_Spells!AL$2,"")</f>
        <v/>
      </c>
      <c r="AM184" t="str">
        <f>IF(IFERROR(MATCH($B184,temp!I$4:I$13,0),0)&gt;0,T08_Spells!AM$2,"")</f>
        <v/>
      </c>
      <c r="AN184" t="str">
        <f>IF(IFERROR(MATCH($B184,temp!J$4:J$13,0),0)&gt;0,T08_Spells!AN$2,"")</f>
        <v/>
      </c>
      <c r="AO184" t="str">
        <f>IF(IFERROR(MATCH($B184,temp!K$4:K$13,0),0)&gt;0,T08_Spells!AO$2,"")</f>
        <v/>
      </c>
      <c r="AP184" t="str">
        <f>IF(IFERROR(MATCH($B184,temp!L$4:L$13,0),0)&gt;0,T08_Spells!AP$2,"")</f>
        <v/>
      </c>
      <c r="AQ184" t="str">
        <f>IF(IFERROR(MATCH($B184,temp!M$4:M$13,0),0)&gt;0,T08_Spells!AQ$2,"")</f>
        <v/>
      </c>
      <c r="AR184" t="str">
        <f>IF(IFERROR(MATCH($B184,temp!N$4:N$13,0),0)&gt;0,T08_Spells!AR$2,"")</f>
        <v/>
      </c>
      <c r="AS184" t="str">
        <f>IF(IFERROR(MATCH($B184,temp!O$4:O$13,0),0)&gt;0,T08_Spells!AS$2,"")</f>
        <v/>
      </c>
      <c r="AT184" t="str">
        <f>IF(IFERROR(MATCH($B184,temp!P$4:P$13,0),0)&gt;0,T08_Spells!AT$2,"")</f>
        <v/>
      </c>
      <c r="AU184" t="str">
        <f>IF(IFERROR(MATCH($B184,temp!Q$4:Q$13,0),0)&gt;0,T08_Spells!AU$2,"")</f>
        <v/>
      </c>
      <c r="AV184" t="str">
        <f>IF(IFERROR(MATCH($B184,temp!R$4:R$13,0),0)&gt;0,T08_Spells!AV$2,"")</f>
        <v/>
      </c>
      <c r="AW184" t="str">
        <f>IF(IFERROR(MATCH($B184,temp!S$4:S$13,0),0)&gt;0,T08_Spells!AW$2,"")</f>
        <v/>
      </c>
      <c r="AX184" t="str">
        <f>IF(IFERROR(MATCH($B184,temp!T$4:T$13,0),0)&gt;0,T08_Spells!AX$2,"")</f>
        <v/>
      </c>
      <c r="AY184" t="str">
        <f>IF(IFERROR(MATCH($B184,temp!U$4:U$13,0),0)&gt;0,T08_Spells!AY$2,"")</f>
        <v/>
      </c>
      <c r="AZ184" t="str">
        <f>IF(IFERROR(MATCH($B184,temp!V$4:V$13,0),0)&gt;0,T08_Spells!AZ$2,"")</f>
        <v>War</v>
      </c>
      <c r="BA184" t="str">
        <f>IF(IFERROR(MATCH($B184,temp!W$4:W$13,0),0)&gt;0,T08_Spells!BA$2,"")</f>
        <v/>
      </c>
      <c r="BC184">
        <f>IF(IFERROR(SEARCH("Ranger",$T184,1),0)&gt;0,1,0)*IF(RangerMaxSpellLevel&gt;=$C184,1,0)*IF(IFERROR(MATCH(B184,Character_Creation!$X$79:$X$382,0),0)&gt;0,0,1)</f>
        <v>0</v>
      </c>
      <c r="BD184">
        <f>IF(BC184=0,0,1+COUNTIF(BD$3:BD183,"&gt;0"))</f>
        <v>0</v>
      </c>
      <c r="BE184" t="str">
        <f t="shared" si="143"/>
        <v/>
      </c>
      <c r="BF184" t="str">
        <f t="shared" si="115"/>
        <v/>
      </c>
      <c r="BH184">
        <f>IF(IFERROR(SEARCH("Sorcerer",$T184,1),0)&gt;0,1,0)*IF(SorcererMaxSpellLevel&gt;=$C184,1,0)*IF(IFERROR(MATCH(B184,Character_Creation!$J$380:$J$394,0),0)&gt;0,0,1)</f>
        <v>0</v>
      </c>
      <c r="BI184">
        <f>IF(BH184=0,0,1+COUNTIF(BI$3:BI183,"&gt;0"))</f>
        <v>0</v>
      </c>
      <c r="BJ184" t="str">
        <f t="shared" si="144"/>
        <v/>
      </c>
      <c r="BK184" t="str">
        <f t="shared" si="116"/>
        <v/>
      </c>
      <c r="BM184">
        <f>IF(OR(IFERROR(SEARCH("Warlock",$T184,1),0)&gt;0,IFERROR(SEARCH(WarlockPatron,$T184,1),0)&gt;0),1,0)*IF(WarlockMaxSpellLevel&gt;=$C184,1,0)*IF(IFERROR(MATCH(B184,Character_Creation!$J$361:$J$375,0),0)&gt;0,0,1)</f>
        <v>0</v>
      </c>
      <c r="BN184">
        <f>IF(BM184=0,0,1+COUNTIF(BN$3:BN183,"&gt;0"))</f>
        <v>0</v>
      </c>
      <c r="BO184" t="str">
        <f t="shared" si="145"/>
        <v/>
      </c>
      <c r="BP184" t="str">
        <f t="shared" si="117"/>
        <v/>
      </c>
      <c r="BR184">
        <f>IF(IFERROR(SEARCH("Eldritch Knight",$T184,1),0)&gt;0,1,0)*IF(EldritchKnightMaxSpellLevel&gt;=$C184,1,0)*IF(IFERROR(MATCH($B184,Character_Creation!$J$350:$J$356,0),0)&gt;0,0,1)*IF(Character_Creation!$M$338&gt;0,1,0)</f>
        <v>0</v>
      </c>
      <c r="BS184">
        <f>IF(BR184=0,0,1+COUNTIF(BS$3:BS183,"&gt;0"))</f>
        <v>0</v>
      </c>
      <c r="BT184" t="str">
        <f t="shared" si="146"/>
        <v/>
      </c>
      <c r="BU184" t="str">
        <f t="shared" si="118"/>
        <v/>
      </c>
      <c r="BW184">
        <f>IF(IFERROR(SEARCH("Arcane Trickster",$T184,1),0)&gt;0,1,0)*IF(ArcaneTricksterMaxSpellLevel&gt;=$C184,1,0)*IF(IFERROR(MATCH($B184,Character_Creation!$J$350:$J$356,0),0)&gt;0,0,1)*IF(Character_Creation!$T$338&gt;0,1,0)</f>
        <v>0</v>
      </c>
      <c r="BX184">
        <f>IF(BW184=0,0,1+COUNTIF(BX$3:BX183,"&gt;0"))</f>
        <v>0</v>
      </c>
      <c r="BY184" t="str">
        <f t="shared" si="147"/>
        <v/>
      </c>
      <c r="BZ184" t="str">
        <f t="shared" si="119"/>
        <v/>
      </c>
      <c r="CB184">
        <f>IF(IFERROR(SEARCH("Wizard",$T184,1),0)&gt;0,1,0)*IF(C184&lt;=ArcaneTricksterMaxSpellLevel,1,0)*IF(IFERROR(MATCH($B184,Character_Creation!$J$350:$J$356,0),0)&gt;0,0,1)*IF(Character_Creation!$T$350&gt;0,1,0)</f>
        <v>0</v>
      </c>
      <c r="CC184">
        <f>IF(CB184=0,0,1+COUNTIF(CC$3:CC183,"&gt;0"))</f>
        <v>0</v>
      </c>
      <c r="CD184" t="str">
        <f t="shared" si="148"/>
        <v/>
      </c>
      <c r="CE184" t="str">
        <f t="shared" si="120"/>
        <v/>
      </c>
      <c r="CG184">
        <f>IF(IFERROR(SEARCH("Wizard",$T184,1),0)&gt;0,1,0)*IF($C184&lt;=EldritchKnightMaxSpellLevel,1,0)*IF(IFERROR(MATCH($B184,Character_Creation!$J$350:$J$356,0),0)&gt;0,0,1)*IF(Character_Creation!$M$350&gt;0,1,0)</f>
        <v>0</v>
      </c>
      <c r="CH184">
        <f>IF(CG184=0,0,1+COUNTIF(CH$3:CH183,"&gt;0"))</f>
        <v>0</v>
      </c>
      <c r="CI184" t="str">
        <f t="shared" si="149"/>
        <v/>
      </c>
      <c r="CJ184" t="str">
        <f t="shared" si="121"/>
        <v/>
      </c>
      <c r="CL184">
        <f>IF(IFERROR(SEARCH("Bard",$T184,1),0)&gt;0,1,0)*IF(BardMaxSpellLevel&gt;=$C184,1,0)*IF(IFERROR(MATCH(B184,Character_Creation!$C$341:$F$362,0),0)&gt;0,0,1)*IF(IFERROR(MATCH($B184,Character_Creation!$C$341:$C$362,0),0)&gt;0,0,1)</f>
        <v>0</v>
      </c>
      <c r="CM184">
        <f>IF(CL184=0,0,1+COUNTIF(CM$3:CM183,"&gt;0"))</f>
        <v>0</v>
      </c>
      <c r="CN184" t="str">
        <f t="shared" si="150"/>
        <v/>
      </c>
      <c r="CO184" t="str">
        <f t="shared" si="122"/>
        <v/>
      </c>
      <c r="CQ184">
        <f>IF(IFERROR(SEARCH("Wizard",$T184,1),0)&gt;0,1,0)*IF(WizardMaxSpellLevel&gt;=$C184,1,0)*IF(IFERROR(MATCH(B184,Character_Creation!$X$341:$X$400,0),0)&gt;0,0,1)*IF(SelectedWizardSpellLevel=$C184,1,0)</f>
        <v>0</v>
      </c>
      <c r="CR184">
        <f>IF(CQ184=0,0,1+COUNTIF(CR$3:CR183,"&gt;0"))</f>
        <v>0</v>
      </c>
      <c r="CS184" t="str">
        <f t="shared" si="151"/>
        <v/>
      </c>
      <c r="CT184" t="str">
        <f t="shared" si="123"/>
        <v/>
      </c>
      <c r="CV184">
        <f>IF(IFERROR(MATCH($B184,Character_Creation!$C$341:$C$362,0),0)&gt;0,0,1)*IF(OR(C184="Cantrip",C184&lt;=BardMaxSpellLevel),1,0)*IF(IFERROR(MATCH($B184,Character_Creation!$C$367:$C$374,0),0)&gt;0,0,1)</f>
        <v>0</v>
      </c>
      <c r="CW184">
        <f>IF(CV184=0,0,1+COUNTIF(CW$3:CW183,"&gt;0"))</f>
        <v>0</v>
      </c>
      <c r="CX184" t="str">
        <f t="shared" si="152"/>
        <v/>
      </c>
      <c r="CY184" t="str">
        <f t="shared" si="124"/>
        <v/>
      </c>
      <c r="DA184">
        <f>IF(IF(OR(IFERROR(SEARCH("Cleric",$T184,1),0)&gt;0,IFERROR(SEARCH(DivineDomain&amp;",",$T184,1),0)&gt;0),1,0)*IF($C184=DA$2,1,0)=1,1+COUNTIF(DA$3:DA183,"&gt;0"),0)</f>
        <v>0</v>
      </c>
      <c r="DB184">
        <f>IF(IF(OR(IFERROR(SEARCH("Cleric",$T184,1),0)&gt;0,IFERROR(SEARCH(DivineDomain&amp;",",$T184,1),0)&gt;0),1,0)*IF($C184=DB$2,1,0)=1,1+COUNTIF(DB$3:DB183,"&gt;0"),0)</f>
        <v>0</v>
      </c>
      <c r="DC184">
        <f>IF(IF(OR(IFERROR(SEARCH("Cleric",$T184,1),0)&gt;0,IFERROR(SEARCH(DivineDomain&amp;",",$T184,1),0)&gt;0),1,0)*IF($C184=DC$2,1,0)=1,1+COUNTIF(DC$3:DC183,"&gt;0"),0)</f>
        <v>0</v>
      </c>
      <c r="DD184">
        <f>IF(IF(OR(IFERROR(SEARCH("Cleric",$T184,1),0)&gt;0,IFERROR(SEARCH(DivineDomain&amp;",",$T184,1),0)&gt;0),1,0)*IF($C184=DD$2,1,0)=1,1+COUNTIF(DD$3:DD183,"&gt;0"),0)</f>
        <v>0</v>
      </c>
      <c r="DE184">
        <f>IF(IF(OR(IFERROR(SEARCH("Cleric",$T184,1),0)&gt;0,IFERROR(SEARCH(DivineDomain&amp;",",$T184,1),0)&gt;0),1,0)*IF($C184=DE$2,1,0)=1,1+COUNTIF(DE$3:DE183,"&gt;0"),0)</f>
        <v>0</v>
      </c>
      <c r="DF184">
        <f>IF(IF(OR(IFERROR(SEARCH("Cleric",$T184,1),0)&gt;0,IFERROR(SEARCH(DivineDomain&amp;",",$T184,1),0)&gt;0),1,0)*IF($C184=DF$2,1,0)=1,1+COUNTIF(DF$3:DF183,"&gt;0"),0)</f>
        <v>0</v>
      </c>
      <c r="DG184">
        <f>IF(IF(OR(IFERROR(SEARCH("Cleric",$T184,1),0)&gt;0,IFERROR(SEARCH(DivineDomain&amp;",",$T184,1),0)&gt;0),1,0)*IF($C184=DG$2,1,0)=1,1+COUNTIF(DG$3:DG183,"&gt;0"),0)</f>
        <v>0</v>
      </c>
      <c r="DH184">
        <f>IF(IF(OR(IFERROR(SEARCH("Cleric",$T184,1),0)&gt;0,IFERROR(SEARCH(DivineDomain&amp;",",$T184,1),0)&gt;0),1,0)*IF($C184=DH$2,1,0)=1,1+COUNTIF(DH$3:DH183,"&gt;0"),0)</f>
        <v>0</v>
      </c>
      <c r="DI184">
        <f>IF(IF(OR(IFERROR(SEARCH("Cleric",$T184,1),0)&gt;0,IFERROR(SEARCH(DivineDomain&amp;",",$T184,1),0)&gt;0),1,0)*IF($C184=DI$2,1,0)=1,1+COUNTIF(DI$3:DI183,"&gt;0"),0)</f>
        <v>0</v>
      </c>
      <c r="DJ184">
        <f>IF(IF(OR(IFERROR(SEARCH("Druid",$T184,1),0)&gt;0,IFERROR(SEARCH(DruidLand1,$T184,1),0)&gt;0,IFERROR(SEARCH(DruidLand2,$T184,1),0)&gt;0,IFERROR(SEARCH(DruidLand3,$T184,1),0)&gt;0,IFERROR(SEARCH(DruidLand4,$T184,1),0)&gt;0),1,0)*IF($C184=1,1,0)*IF($C184=DJ$2,1,0)=0,0,1+COUNTIF(DJ$3:DJ183,"&gt;0"))</f>
        <v>0</v>
      </c>
      <c r="DK184">
        <f>IF(IF(OR(IFERROR(SEARCH("Druid",$T184,1),0)&gt;0,IFERROR(SEARCH(DruidLand1,$T184,1),0)&gt;0,IFERROR(SEARCH(DruidLand2,$T184,1),0)&gt;0,IFERROR(SEARCH(DruidLand3,$T184,1),0)&gt;0,IFERROR(SEARCH(DruidLand4,$T184,1),0)&gt;0),1,0)*IF($C184=1,1,0)*IF($C184=DK$2,1,0)=0,0,1+COUNTIF(DK$3:DK183,"&gt;0"))</f>
        <v>0</v>
      </c>
      <c r="DL184">
        <f>IF(IF(OR(IFERROR(SEARCH("Druid",$T184,1),0)&gt;0,IFERROR(SEARCH(DruidLand1,$T184,1),0)&gt;0,IFERROR(SEARCH(DruidLand2,$T184,1),0)&gt;0,IFERROR(SEARCH(DruidLand3,$T184,1),0)&gt;0,IFERROR(SEARCH(DruidLand4,$T184,1),0)&gt;0),1,0)*IF($C184=1,1,0)*IF($C184=DL$2,1,0)=0,0,1+COUNTIF(DL$3:DL183,"&gt;0"))</f>
        <v>0</v>
      </c>
      <c r="DM184">
        <f>IF(IF(OR(IFERROR(SEARCH("Druid",$T184,1),0)&gt;0,IFERROR(SEARCH(DruidLand1,$T184,1),0)&gt;0,IFERROR(SEARCH(DruidLand2,$T184,1),0)&gt;0,IFERROR(SEARCH(DruidLand3,$T184,1),0)&gt;0,IFERROR(SEARCH(DruidLand4,$T184,1),0)&gt;0),1,0)*IF($C184=1,1,0)*IF($C184=DM$2,1,0)=0,0,1+COUNTIF(DM$3:DM183,"&gt;0"))</f>
        <v>0</v>
      </c>
      <c r="DN184">
        <f>IF(IF(OR(IFERROR(SEARCH("Druid",$T184,1),0)&gt;0,IFERROR(SEARCH(DruidLand1,$T184,1),0)&gt;0,IFERROR(SEARCH(DruidLand2,$T184,1),0)&gt;0,IFERROR(SEARCH(DruidLand3,$T184,1),0)&gt;0,IFERROR(SEARCH(DruidLand4,$T184,1),0)&gt;0),1,0)*IF($C184=1,1,0)*IF($C184=DN$2,1,0)=0,0,1+COUNTIF(DN$3:DN183,"&gt;0"))</f>
        <v>0</v>
      </c>
      <c r="DO184">
        <f>IF(IF(OR(IFERROR(SEARCH("Druid",$T184,1),0)&gt;0,IFERROR(SEARCH(DruidLand1,$T184,1),0)&gt;0,IFERROR(SEARCH(DruidLand2,$T184,1),0)&gt;0,IFERROR(SEARCH(DruidLand3,$T184,1),0)&gt;0,IFERROR(SEARCH(DruidLand4,$T184,1),0)&gt;0),1,0)*IF($C184=1,1,0)*IF($C184=DO$2,1,0)=0,0,1+COUNTIF(DO$3:DO183,"&gt;0"))</f>
        <v>0</v>
      </c>
      <c r="DP184">
        <f>IF(IF(OR(IFERROR(SEARCH("Druid",$T184,1),0)&gt;0,IFERROR(SEARCH(DruidLand1,$T184,1),0)&gt;0,IFERROR(SEARCH(DruidLand2,$T184,1),0)&gt;0,IFERROR(SEARCH(DruidLand3,$T184,1),0)&gt;0,IFERROR(SEARCH(DruidLand4,$T184,1),0)&gt;0),1,0)*IF($C184=1,1,0)*IF($C184=DP$2,1,0)=0,0,1+COUNTIF(DP$3:DP183,"&gt;0"))</f>
        <v>0</v>
      </c>
      <c r="DQ184">
        <f>IF(IF(OR(IFERROR(SEARCH("Druid",$T184,1),0)&gt;0,IFERROR(SEARCH(DruidLand1,$T184,1),0)&gt;0,IFERROR(SEARCH(DruidLand2,$T184,1),0)&gt;0,IFERROR(SEARCH(DruidLand3,$T184,1),0)&gt;0,IFERROR(SEARCH(DruidLand4,$T184,1),0)&gt;0),1,0)*IF($C184=1,1,0)*IF($C184=DQ$2,1,0)=0,0,1+COUNTIF(DQ$3:DQ183,"&gt;0"))</f>
        <v>0</v>
      </c>
      <c r="DR184">
        <f>IF(IF(OR(IFERROR(SEARCH("Druid",$T184,1),0)&gt;0,IFERROR(SEARCH(DruidLand1,$T184,1),0)&gt;0,IFERROR(SEARCH(DruidLand2,$T184,1),0)&gt;0,IFERROR(SEARCH(DruidLand3,$T184,1),0)&gt;0,IFERROR(SEARCH(DruidLand4,$T184,1),0)&gt;0),1,0)*IF($C184=1,1,0)*IF($C184=DR$2,1,0)=0,0,1+COUNTIF(DR$3:DR183,"&gt;0"))</f>
        <v>0</v>
      </c>
      <c r="DS184">
        <f>IF(IF(OR(IFERROR(SEARCH("Paladin",$T184,1),0)&gt;0,IFERROR(SEARCH(PaladinOath,$T184,1),0)&gt;0),1,0)*IF($C184=DS$2,1,0)=1,1+COUNTIF(DS$3:DS183,"&gt;0"),0)</f>
        <v>0</v>
      </c>
      <c r="DT184">
        <f>IF(IF(OR(IFERROR(SEARCH("Paladin",$T184,1),0)&gt;0,IFERROR(SEARCH(PaladinOath,$T184,1),0)&gt;0),1,0)*IF($C184=DT$2,1,0)=1,1+COUNTIF(DT$3:DT183,"&gt;0"),0)</f>
        <v>0</v>
      </c>
      <c r="DU184">
        <f>IF(IF(OR(IFERROR(SEARCH("Paladin",$T184,1),0)&gt;0,IFERROR(SEARCH(PaladinOath,$T184,1),0)&gt;0),1,0)*IF($C184=DU$2,1,0)=1,1+COUNTIF(DU$3:DU183,"&gt;0"),0)</f>
        <v>0</v>
      </c>
      <c r="DV184">
        <f>IF(IF(OR(IFERROR(SEARCH("Paladin",$T184,1),0)&gt;0,IFERROR(SEARCH(PaladinOath,$T184,1),0)&gt;0),1,0)*IF($C184=DV$2,1,0)=1,1+COUNTIF(DV$3:DV183,"&gt;0"),0)</f>
        <v>0</v>
      </c>
      <c r="DW184">
        <f>IF(IF(OR(IFERROR(SEARCH("Paladin",$T184,1),0)&gt;0,IFERROR(SEARCH(PaladinOath,$T184,1),0)&gt;0),1,0)*IF($C184=DW$2,1,0)=1,1+COUNTIF(DW$3:DW183,"&gt;0"),0)</f>
        <v>0</v>
      </c>
      <c r="DY184">
        <f t="shared" si="111"/>
        <v>1</v>
      </c>
      <c r="DZ184">
        <f>IF(DY184=0,0,1+MAX(DZ$3:$DZ183))</f>
        <v>182</v>
      </c>
      <c r="EB184">
        <f t="shared" si="125"/>
        <v>0</v>
      </c>
      <c r="EC184">
        <f>IF(EB184=0,0,1+COUNTIF(EC$3:EC183,"&gt;0"))</f>
        <v>0</v>
      </c>
      <c r="ED184" t="str">
        <f t="shared" si="153"/>
        <v/>
      </c>
      <c r="EE184" t="str">
        <f t="shared" si="126"/>
        <v/>
      </c>
      <c r="EG184">
        <f t="shared" si="127"/>
        <v>0</v>
      </c>
      <c r="EH184">
        <f>IF(EG184=0,0,1+COUNTIF(EH$3:EH183,"&gt;0"))</f>
        <v>0</v>
      </c>
      <c r="EI184" t="str">
        <f t="shared" si="154"/>
        <v/>
      </c>
      <c r="EJ184" t="str">
        <f t="shared" si="128"/>
        <v/>
      </c>
      <c r="EL184">
        <f t="shared" si="129"/>
        <v>0</v>
      </c>
      <c r="EM184">
        <f>IF(EL184=0,0,1+COUNTIF(EM$3:EM183,"&gt;0"))</f>
        <v>0</v>
      </c>
      <c r="EN184" t="str">
        <f t="shared" si="155"/>
        <v/>
      </c>
      <c r="EO184" t="str">
        <f t="shared" si="130"/>
        <v/>
      </c>
      <c r="EQ184">
        <f t="shared" si="131"/>
        <v>0</v>
      </c>
      <c r="ER184">
        <f>IF(EQ184=0,0,1+COUNTIF(ER$3:ER183,"&gt;0"))</f>
        <v>0</v>
      </c>
      <c r="ES184" t="str">
        <f t="shared" si="156"/>
        <v/>
      </c>
      <c r="ET184" t="str">
        <f t="shared" si="132"/>
        <v/>
      </c>
      <c r="EV184">
        <f t="shared" si="133"/>
        <v>0</v>
      </c>
      <c r="EW184">
        <f>IF(EV184=0,0,1+COUNTIF(EW$3:EW183,"&gt;0"))</f>
        <v>0</v>
      </c>
      <c r="EX184" t="str">
        <f t="shared" si="157"/>
        <v/>
      </c>
      <c r="EY184" t="str">
        <f t="shared" si="134"/>
        <v/>
      </c>
      <c r="FA184">
        <f t="shared" si="135"/>
        <v>0</v>
      </c>
      <c r="FB184">
        <f>IF(FA184=0,0,1+COUNTIF(FB$3:FB183,"&gt;0"))</f>
        <v>0</v>
      </c>
      <c r="FC184" t="str">
        <f t="shared" si="158"/>
        <v/>
      </c>
      <c r="FD184" t="str">
        <f t="shared" si="136"/>
        <v/>
      </c>
      <c r="FF184">
        <f t="shared" si="137"/>
        <v>0</v>
      </c>
      <c r="FG184">
        <f>IF(FF184=0,0,1+COUNTIF(FG$3:FG183,"&gt;0"))</f>
        <v>0</v>
      </c>
      <c r="FH184" t="str">
        <f t="shared" si="159"/>
        <v/>
      </c>
      <c r="FI184" t="str">
        <f t="shared" si="138"/>
        <v/>
      </c>
      <c r="FK184">
        <f t="shared" si="139"/>
        <v>0</v>
      </c>
      <c r="FL184">
        <f>IF(FK184=0,0,1+COUNTIF(FL$3:FL183,"&gt;0"))</f>
        <v>0</v>
      </c>
      <c r="FM184" t="str">
        <f t="shared" si="160"/>
        <v/>
      </c>
      <c r="FN184" t="str">
        <f t="shared" si="140"/>
        <v/>
      </c>
      <c r="FP184">
        <f t="shared" si="141"/>
        <v>0</v>
      </c>
      <c r="FQ184">
        <f>IF(FP184=0,0,1+COUNTIF(FQ$3:FQ183,"&gt;0"))</f>
        <v>0</v>
      </c>
      <c r="FR184" t="str">
        <f t="shared" si="161"/>
        <v/>
      </c>
      <c r="FS184" t="str">
        <f t="shared" si="142"/>
        <v/>
      </c>
    </row>
    <row r="185" spans="1:175" x14ac:dyDescent="0.25">
      <c r="A185" s="347">
        <f t="shared" si="162"/>
        <v>183</v>
      </c>
      <c r="B185" s="348" t="s">
        <v>2561</v>
      </c>
      <c r="C185" s="348">
        <v>2</v>
      </c>
      <c r="D185" s="347">
        <v>2</v>
      </c>
      <c r="E185" s="627" t="s">
        <v>6952</v>
      </c>
      <c r="F185" s="346"/>
      <c r="G185" s="347" t="str">
        <f>""</f>
        <v/>
      </c>
      <c r="H185" s="347" t="s">
        <v>5912</v>
      </c>
      <c r="I185" s="347" t="s">
        <v>424</v>
      </c>
      <c r="J185" s="347" t="str">
        <f t="shared" si="112"/>
        <v/>
      </c>
      <c r="K185" s="347" t="s">
        <v>5291</v>
      </c>
      <c r="L185" s="611" t="str">
        <f t="shared" si="113"/>
        <v>V, S, M, a small, straight piece of iron</v>
      </c>
      <c r="M185" s="347" t="s">
        <v>2373</v>
      </c>
      <c r="N185" s="347" t="s">
        <v>2387</v>
      </c>
      <c r="O185" s="347" t="s">
        <v>1244</v>
      </c>
      <c r="P185" s="346" t="s">
        <v>5401</v>
      </c>
      <c r="Q185" s="347" t="s">
        <v>5272</v>
      </c>
      <c r="S185" s="346" t="s">
        <v>5734</v>
      </c>
      <c r="T185" s="346" t="str">
        <f t="shared" si="114"/>
        <v xml:space="preserve">Bard, Sorcerer, Warlock, Cleric, Druid, Arcane Trickster, Wizard, Vengeance, Arctic, </v>
      </c>
      <c r="U185" s="347" t="str">
        <f>$B185</f>
        <v>Hold Person</v>
      </c>
      <c r="X185" s="347" t="str">
        <f t="shared" si="164"/>
        <v>Hold Person</v>
      </c>
      <c r="Y185" s="347" t="str">
        <f t="shared" si="164"/>
        <v>Hold Person</v>
      </c>
      <c r="Z185" s="347" t="str">
        <f t="shared" si="164"/>
        <v>Hold Person</v>
      </c>
      <c r="AA185" s="347" t="str">
        <f>$B185</f>
        <v>Hold Person</v>
      </c>
      <c r="AC185" s="539" t="str">
        <f>B185</f>
        <v>Hold Person</v>
      </c>
      <c r="AD185" s="347" t="str">
        <f>$B185</f>
        <v>Hold Person</v>
      </c>
      <c r="AE185" t="str">
        <f>IF(IFERROR(MATCH($B185,temp!A$4:A$13,0),0)&gt;0,T08_Spells!AE$2,"")</f>
        <v/>
      </c>
      <c r="AF185" t="str">
        <f>IF(IFERROR(MATCH($B185,temp!B$4:B$13,0),0)&gt;0,T08_Spells!AF$2,"")</f>
        <v>Vengeance</v>
      </c>
      <c r="AG185" t="str">
        <f>IF(IFERROR(MATCH($B185,temp!C$4:C$13,0),0)&gt;0,T08_Spells!AG$2,"")</f>
        <v/>
      </c>
      <c r="AH185" t="str">
        <f>IF(IFERROR(MATCH($B185,temp!D$4:D$13,0),0)&gt;0,T08_Spells!AH$2,"")</f>
        <v/>
      </c>
      <c r="AI185" t="str">
        <f>IF(IFERROR(MATCH($B185,temp!E$4:E$13,0),0)&gt;0,T08_Spells!AI$2,"")</f>
        <v/>
      </c>
      <c r="AJ185" t="str">
        <f>IF(IFERROR(MATCH($B185,temp!F$4:F$13,0),0)&gt;0,T08_Spells!AJ$2,"")</f>
        <v/>
      </c>
      <c r="AK185" t="str">
        <f>IF(IFERROR(MATCH($B185,temp!G$4:G$13,0),0)&gt;0,T08_Spells!AK$2,"")</f>
        <v/>
      </c>
      <c r="AL185" t="str">
        <f>IF(IFERROR(MATCH($B185,temp!H$4:H$13,0),0)&gt;0,T08_Spells!AL$2,"")</f>
        <v>Arctic</v>
      </c>
      <c r="AM185" t="str">
        <f>IF(IFERROR(MATCH($B185,temp!I$4:I$13,0),0)&gt;0,T08_Spells!AM$2,"")</f>
        <v/>
      </c>
      <c r="AN185" t="str">
        <f>IF(IFERROR(MATCH($B185,temp!J$4:J$13,0),0)&gt;0,T08_Spells!AN$2,"")</f>
        <v/>
      </c>
      <c r="AO185" t="str">
        <f>IF(IFERROR(MATCH($B185,temp!K$4:K$13,0),0)&gt;0,T08_Spells!AO$2,"")</f>
        <v/>
      </c>
      <c r="AP185" t="str">
        <f>IF(IFERROR(MATCH($B185,temp!L$4:L$13,0),0)&gt;0,T08_Spells!AP$2,"")</f>
        <v/>
      </c>
      <c r="AQ185" t="str">
        <f>IF(IFERROR(MATCH($B185,temp!M$4:M$13,0),0)&gt;0,T08_Spells!AQ$2,"")</f>
        <v/>
      </c>
      <c r="AR185" t="str">
        <f>IF(IFERROR(MATCH($B185,temp!N$4:N$13,0),0)&gt;0,T08_Spells!AR$2,"")</f>
        <v/>
      </c>
      <c r="AS185" t="str">
        <f>IF(IFERROR(MATCH($B185,temp!O$4:O$13,0),0)&gt;0,T08_Spells!AS$2,"")</f>
        <v/>
      </c>
      <c r="AT185" t="str">
        <f>IF(IFERROR(MATCH($B185,temp!P$4:P$13,0),0)&gt;0,T08_Spells!AT$2,"")</f>
        <v/>
      </c>
      <c r="AU185" t="str">
        <f>IF(IFERROR(MATCH($B185,temp!Q$4:Q$13,0),0)&gt;0,T08_Spells!AU$2,"")</f>
        <v/>
      </c>
      <c r="AV185" t="str">
        <f>IF(IFERROR(MATCH($B185,temp!R$4:R$13,0),0)&gt;0,T08_Spells!AV$2,"")</f>
        <v/>
      </c>
      <c r="AW185" t="str">
        <f>IF(IFERROR(MATCH($B185,temp!S$4:S$13,0),0)&gt;0,T08_Spells!AW$2,"")</f>
        <v/>
      </c>
      <c r="AX185" t="str">
        <f>IF(IFERROR(MATCH($B185,temp!T$4:T$13,0),0)&gt;0,T08_Spells!AX$2,"")</f>
        <v/>
      </c>
      <c r="AY185" t="str">
        <f>IF(IFERROR(MATCH($B185,temp!U$4:U$13,0),0)&gt;0,T08_Spells!AY$2,"")</f>
        <v/>
      </c>
      <c r="AZ185" t="str">
        <f>IF(IFERROR(MATCH($B185,temp!V$4:V$13,0),0)&gt;0,T08_Spells!AZ$2,"")</f>
        <v/>
      </c>
      <c r="BA185" t="str">
        <f>IF(IFERROR(MATCH($B185,temp!W$4:W$13,0),0)&gt;0,T08_Spells!BA$2,"")</f>
        <v/>
      </c>
      <c r="BC185">
        <f>IF(IFERROR(SEARCH("Ranger",$T185,1),0)&gt;0,1,0)*IF(RangerMaxSpellLevel&gt;=$C185,1,0)*IF(IFERROR(MATCH(B185,Character_Creation!$X$79:$X$382,0),0)&gt;0,0,1)</f>
        <v>0</v>
      </c>
      <c r="BD185">
        <f>IF(BC185=0,0,1+COUNTIF(BD$3:BD184,"&gt;0"))</f>
        <v>0</v>
      </c>
      <c r="BE185" t="str">
        <f t="shared" si="143"/>
        <v/>
      </c>
      <c r="BF185" t="str">
        <f t="shared" si="115"/>
        <v/>
      </c>
      <c r="BH185">
        <f>IF(IFERROR(SEARCH("Sorcerer",$T185,1),0)&gt;0,1,0)*IF(SorcererMaxSpellLevel&gt;=$C185,1,0)*IF(IFERROR(MATCH(B185,Character_Creation!$J$380:$J$394,0),0)&gt;0,0,1)</f>
        <v>0</v>
      </c>
      <c r="BI185">
        <f>IF(BH185=0,0,1+COUNTIF(BI$3:BI184,"&gt;0"))</f>
        <v>0</v>
      </c>
      <c r="BJ185" t="str">
        <f t="shared" si="144"/>
        <v/>
      </c>
      <c r="BK185" t="str">
        <f t="shared" si="116"/>
        <v/>
      </c>
      <c r="BM185">
        <f>IF(OR(IFERROR(SEARCH("Warlock",$T185,1),0)&gt;0,IFERROR(SEARCH(WarlockPatron,$T185,1),0)&gt;0),1,0)*IF(WarlockMaxSpellLevel&gt;=$C185,1,0)*IF(IFERROR(MATCH(B185,Character_Creation!$J$361:$J$375,0),0)&gt;0,0,1)</f>
        <v>0</v>
      </c>
      <c r="BN185">
        <f>IF(BM185=0,0,1+COUNTIF(BN$3:BN184,"&gt;0"))</f>
        <v>0</v>
      </c>
      <c r="BO185" t="str">
        <f t="shared" si="145"/>
        <v/>
      </c>
      <c r="BP185" t="str">
        <f t="shared" si="117"/>
        <v/>
      </c>
      <c r="BR185">
        <f>IF(IFERROR(SEARCH("Eldritch Knight",$T185,1),0)&gt;0,1,0)*IF(EldritchKnightMaxSpellLevel&gt;=$C185,1,0)*IF(IFERROR(MATCH($B185,Character_Creation!$J$350:$J$356,0),0)&gt;0,0,1)*IF(Character_Creation!$M$338&gt;0,1,0)</f>
        <v>0</v>
      </c>
      <c r="BS185">
        <f>IF(BR185=0,0,1+COUNTIF(BS$3:BS184,"&gt;0"))</f>
        <v>0</v>
      </c>
      <c r="BT185" t="str">
        <f t="shared" si="146"/>
        <v/>
      </c>
      <c r="BU185" t="str">
        <f t="shared" si="118"/>
        <v/>
      </c>
      <c r="BW185">
        <f>IF(IFERROR(SEARCH("Arcane Trickster",$T185,1),0)&gt;0,1,0)*IF(ArcaneTricksterMaxSpellLevel&gt;=$C185,1,0)*IF(IFERROR(MATCH($B185,Character_Creation!$J$350:$J$356,0),0)&gt;0,0,1)*IF(Character_Creation!$T$338&gt;0,1,0)</f>
        <v>0</v>
      </c>
      <c r="BX185">
        <f>IF(BW185=0,0,1+COUNTIF(BX$3:BX184,"&gt;0"))</f>
        <v>0</v>
      </c>
      <c r="BY185" t="str">
        <f t="shared" si="147"/>
        <v/>
      </c>
      <c r="BZ185" t="str">
        <f t="shared" si="119"/>
        <v/>
      </c>
      <c r="CB185">
        <f>IF(IFERROR(SEARCH("Wizard",$T185,1),0)&gt;0,1,0)*IF(C185&lt;=ArcaneTricksterMaxSpellLevel,1,0)*IF(IFERROR(MATCH($B185,Character_Creation!$J$350:$J$356,0),0)&gt;0,0,1)*IF(Character_Creation!$T$350&gt;0,1,0)</f>
        <v>0</v>
      </c>
      <c r="CC185">
        <f>IF(CB185=0,0,1+COUNTIF(CC$3:CC184,"&gt;0"))</f>
        <v>0</v>
      </c>
      <c r="CD185" t="str">
        <f t="shared" si="148"/>
        <v/>
      </c>
      <c r="CE185" t="str">
        <f t="shared" si="120"/>
        <v/>
      </c>
      <c r="CG185">
        <f>IF(IFERROR(SEARCH("Wizard",$T185,1),0)&gt;0,1,0)*IF($C185&lt;=EldritchKnightMaxSpellLevel,1,0)*IF(IFERROR(MATCH($B185,Character_Creation!$J$350:$J$356,0),0)&gt;0,0,1)*IF(Character_Creation!$M$350&gt;0,1,0)</f>
        <v>1</v>
      </c>
      <c r="CH185">
        <f>IF(CG185=0,0,1+COUNTIF(CH$3:CH184,"&gt;0"))</f>
        <v>29</v>
      </c>
      <c r="CI185" t="str">
        <f t="shared" si="149"/>
        <v/>
      </c>
      <c r="CJ185" t="str">
        <f t="shared" si="121"/>
        <v/>
      </c>
      <c r="CL185">
        <f>IF(IFERROR(SEARCH("Bard",$T185,1),0)&gt;0,1,0)*IF(BardMaxSpellLevel&gt;=$C185,1,0)*IF(IFERROR(MATCH(B185,Character_Creation!$C$341:$F$362,0),0)&gt;0,0,1)*IF(IFERROR(MATCH($B185,Character_Creation!$C$341:$C$362,0),0)&gt;0,0,1)</f>
        <v>0</v>
      </c>
      <c r="CM185">
        <f>IF(CL185=0,0,1+COUNTIF(CM$3:CM184,"&gt;0"))</f>
        <v>0</v>
      </c>
      <c r="CN185" t="str">
        <f t="shared" si="150"/>
        <v/>
      </c>
      <c r="CO185" t="str">
        <f t="shared" si="122"/>
        <v/>
      </c>
      <c r="CQ185">
        <f>IF(IFERROR(SEARCH("Wizard",$T185,1),0)&gt;0,1,0)*IF(WizardMaxSpellLevel&gt;=$C185,1,0)*IF(IFERROR(MATCH(B185,Character_Creation!$X$341:$X$400,0),0)&gt;0,0,1)*IF(SelectedWizardSpellLevel=$C185,1,0)</f>
        <v>0</v>
      </c>
      <c r="CR185">
        <f>IF(CQ185=0,0,1+COUNTIF(CR$3:CR184,"&gt;0"))</f>
        <v>0</v>
      </c>
      <c r="CS185" t="str">
        <f t="shared" si="151"/>
        <v/>
      </c>
      <c r="CT185" t="str">
        <f t="shared" si="123"/>
        <v/>
      </c>
      <c r="CV185">
        <f>IF(IFERROR(MATCH($B185,Character_Creation!$C$341:$C$362,0),0)&gt;0,0,1)*IF(OR(C185="Cantrip",C185&lt;=BardMaxSpellLevel),1,0)*IF(IFERROR(MATCH($B185,Character_Creation!$C$367:$C$374,0),0)&gt;0,0,1)</f>
        <v>0</v>
      </c>
      <c r="CW185">
        <f>IF(CV185=0,0,1+COUNTIF(CW$3:CW184,"&gt;0"))</f>
        <v>0</v>
      </c>
      <c r="CX185" t="str">
        <f t="shared" si="152"/>
        <v/>
      </c>
      <c r="CY185" t="str">
        <f t="shared" si="124"/>
        <v/>
      </c>
      <c r="DA185">
        <f>IF(IF(OR(IFERROR(SEARCH("Cleric",$T185,1),0)&gt;0,IFERROR(SEARCH(DivineDomain&amp;",",$T185,1),0)&gt;0),1,0)*IF($C185=DA$2,1,0)=1,1+COUNTIF(DA$3:DA184,"&gt;0"),0)</f>
        <v>0</v>
      </c>
      <c r="DB185">
        <f>IF(IF(OR(IFERROR(SEARCH("Cleric",$T185,1),0)&gt;0,IFERROR(SEARCH(DivineDomain&amp;",",$T185,1),0)&gt;0),1,0)*IF($C185=DB$2,1,0)=1,1+COUNTIF(DB$3:DB184,"&gt;0"),0)</f>
        <v>8</v>
      </c>
      <c r="DC185">
        <f>IF(IF(OR(IFERROR(SEARCH("Cleric",$T185,1),0)&gt;0,IFERROR(SEARCH(DivineDomain&amp;",",$T185,1),0)&gt;0),1,0)*IF($C185=DC$2,1,0)=1,1+COUNTIF(DC$3:DC184,"&gt;0"),0)</f>
        <v>0</v>
      </c>
      <c r="DD185">
        <f>IF(IF(OR(IFERROR(SEARCH("Cleric",$T185,1),0)&gt;0,IFERROR(SEARCH(DivineDomain&amp;",",$T185,1),0)&gt;0),1,0)*IF($C185=DD$2,1,0)=1,1+COUNTIF(DD$3:DD184,"&gt;0"),0)</f>
        <v>0</v>
      </c>
      <c r="DE185">
        <f>IF(IF(OR(IFERROR(SEARCH("Cleric",$T185,1),0)&gt;0,IFERROR(SEARCH(DivineDomain&amp;",",$T185,1),0)&gt;0),1,0)*IF($C185=DE$2,1,0)=1,1+COUNTIF(DE$3:DE184,"&gt;0"),0)</f>
        <v>0</v>
      </c>
      <c r="DF185">
        <f>IF(IF(OR(IFERROR(SEARCH("Cleric",$T185,1),0)&gt;0,IFERROR(SEARCH(DivineDomain&amp;",",$T185,1),0)&gt;0),1,0)*IF($C185=DF$2,1,0)=1,1+COUNTIF(DF$3:DF184,"&gt;0"),0)</f>
        <v>0</v>
      </c>
      <c r="DG185">
        <f>IF(IF(OR(IFERROR(SEARCH("Cleric",$T185,1),0)&gt;0,IFERROR(SEARCH(DivineDomain&amp;",",$T185,1),0)&gt;0),1,0)*IF($C185=DG$2,1,0)=1,1+COUNTIF(DG$3:DG184,"&gt;0"),0)</f>
        <v>0</v>
      </c>
      <c r="DH185">
        <f>IF(IF(OR(IFERROR(SEARCH("Cleric",$T185,1),0)&gt;0,IFERROR(SEARCH(DivineDomain&amp;",",$T185,1),0)&gt;0),1,0)*IF($C185=DH$2,1,0)=1,1+COUNTIF(DH$3:DH184,"&gt;0"),0)</f>
        <v>0</v>
      </c>
      <c r="DI185">
        <f>IF(IF(OR(IFERROR(SEARCH("Cleric",$T185,1),0)&gt;0,IFERROR(SEARCH(DivineDomain&amp;",",$T185,1),0)&gt;0),1,0)*IF($C185=DI$2,1,0)=1,1+COUNTIF(DI$3:DI184,"&gt;0"),0)</f>
        <v>0</v>
      </c>
      <c r="DJ185">
        <f>IF(IF(OR(IFERROR(SEARCH("Druid",$T185,1),0)&gt;0,IFERROR(SEARCH(DruidLand1,$T185,1),0)&gt;0,IFERROR(SEARCH(DruidLand2,$T185,1),0)&gt;0,IFERROR(SEARCH(DruidLand3,$T185,1),0)&gt;0,IFERROR(SEARCH(DruidLand4,$T185,1),0)&gt;0),1,0)*IF($C185=1,1,0)*IF($C185=DJ$2,1,0)=0,0,1+COUNTIF(DJ$3:DJ184,"&gt;0"))</f>
        <v>0</v>
      </c>
      <c r="DK185">
        <f>IF(IF(OR(IFERROR(SEARCH("Druid",$T185,1),0)&gt;0,IFERROR(SEARCH(DruidLand1,$T185,1),0)&gt;0,IFERROR(SEARCH(DruidLand2,$T185,1),0)&gt;0,IFERROR(SEARCH(DruidLand3,$T185,1),0)&gt;0,IFERROR(SEARCH(DruidLand4,$T185,1),0)&gt;0),1,0)*IF($C185=DK$2,1,0)=0,0,1+COUNTIF(DK$3:DK184,"&gt;0"))</f>
        <v>11</v>
      </c>
      <c r="DL185">
        <f>IF(IF(OR(IFERROR(SEARCH("Druid",$T185,1),0)&gt;0,IFERROR(SEARCH(DruidLand1,$T185,1),0)&gt;0,IFERROR(SEARCH(DruidLand2,$T185,1),0)&gt;0,IFERROR(SEARCH(DruidLand3,$T185,1),0)&gt;0,IFERROR(SEARCH(DruidLand4,$T185,1),0)&gt;0),1,0)*IF($C185=DL$2,1,0)=0,0,1+COUNTIF(DL$3:DL184,"&gt;0"))</f>
        <v>0</v>
      </c>
      <c r="DM185">
        <f>IF(IF(OR(IFERROR(SEARCH("Druid",$T185,1),0)&gt;0,IFERROR(SEARCH(DruidLand1,$T185,1),0)&gt;0,IFERROR(SEARCH(DruidLand2,$T185,1),0)&gt;0,IFERROR(SEARCH(DruidLand3,$T185,1),0)&gt;0,IFERROR(SEARCH(DruidLand4,$T185,1),0)&gt;0),1,0)*IF($C185=DM$2,1,0)=0,0,1+COUNTIF(DM$3:DM184,"&gt;0"))</f>
        <v>0</v>
      </c>
      <c r="DN185">
        <f>IF(IF(OR(IFERROR(SEARCH("Druid",$T185,1),0)&gt;0,IFERROR(SEARCH(DruidLand1,$T185,1),0)&gt;0,IFERROR(SEARCH(DruidLand2,$T185,1),0)&gt;0,IFERROR(SEARCH(DruidLand3,$T185,1),0)&gt;0,IFERROR(SEARCH(DruidLand4,$T185,1),0)&gt;0),1,0)*IF($C185=DN$2,1,0)=0,0,1+COUNTIF(DN$3:DN184,"&gt;0"))</f>
        <v>0</v>
      </c>
      <c r="DO185">
        <f>IF(IF(OR(IFERROR(SEARCH("Druid",$T185,1),0)&gt;0,IFERROR(SEARCH(DruidLand1,$T185,1),0)&gt;0,IFERROR(SEARCH(DruidLand2,$T185,1),0)&gt;0,IFERROR(SEARCH(DruidLand3,$T185,1),0)&gt;0,IFERROR(SEARCH(DruidLand4,$T185,1),0)&gt;0),1,0)*IF($C185=DO$2,1,0)=0,0,1+COUNTIF(DO$3:DO184,"&gt;0"))</f>
        <v>0</v>
      </c>
      <c r="DP185">
        <f>IF(IF(OR(IFERROR(SEARCH("Druid",$T185,1),0)&gt;0,IFERROR(SEARCH(DruidLand1,$T185,1),0)&gt;0,IFERROR(SEARCH(DruidLand2,$T185,1),0)&gt;0,IFERROR(SEARCH(DruidLand3,$T185,1),0)&gt;0,IFERROR(SEARCH(DruidLand4,$T185,1),0)&gt;0),1,0)*IF($C185=DP$2,1,0)=0,0,1+COUNTIF(DP$3:DP184,"&gt;0"))</f>
        <v>0</v>
      </c>
      <c r="DQ185">
        <f>IF(IF(OR(IFERROR(SEARCH("Druid",$T185,1),0)&gt;0,IFERROR(SEARCH(DruidLand1,$T185,1),0)&gt;0,IFERROR(SEARCH(DruidLand2,$T185,1),0)&gt;0,IFERROR(SEARCH(DruidLand3,$T185,1),0)&gt;0,IFERROR(SEARCH(DruidLand4,$T185,1),0)&gt;0),1,0)*IF($C185=DQ$2,1,0)=0,0,1+COUNTIF(DQ$3:DQ184,"&gt;0"))</f>
        <v>0</v>
      </c>
      <c r="DR185">
        <f>IF(IF(OR(IFERROR(SEARCH("Druid",$T185,1),0)&gt;0,IFERROR(SEARCH(DruidLand1,$T185,1),0)&gt;0,IFERROR(SEARCH(DruidLand2,$T185,1),0)&gt;0,IFERROR(SEARCH(DruidLand3,$T185,1),0)&gt;0,IFERROR(SEARCH(DruidLand4,$T185,1),0)&gt;0),1,0)*IF($C185=DR$2,1,0)=0,0,1+COUNTIF(DR$3:DR184,"&gt;0"))</f>
        <v>0</v>
      </c>
      <c r="DS185">
        <f>IF(IF(OR(IFERROR(SEARCH("Paladin",$T185,1),0)&gt;0,IFERROR(SEARCH(PaladinOath,$T185,1),0)&gt;0),1,0)*IF($C185=DS$2,1,0)=1,1+COUNTIF(DS$3:DS184,"&gt;0"),0)</f>
        <v>0</v>
      </c>
      <c r="DT185">
        <f>IF(IF(OR(IFERROR(SEARCH("Paladin",$T185,1),0)&gt;0,IFERROR(SEARCH(PaladinOath,$T185,1),0)&gt;0),1,0)*IF($C185=DT$2,1,0)=1,1+COUNTIF(DT$3:DT184,"&gt;0"),0)</f>
        <v>0</v>
      </c>
      <c r="DU185">
        <f>IF(IF(OR(IFERROR(SEARCH("Paladin",$T185,1),0)&gt;0,IFERROR(SEARCH(PaladinOath,$T185,1),0)&gt;0),1,0)*IF($C185=DU$2,1,0)=1,1+COUNTIF(DU$3:DU184,"&gt;0"),0)</f>
        <v>0</v>
      </c>
      <c r="DV185">
        <f>IF(IF(OR(IFERROR(SEARCH("Paladin",$T185,1),0)&gt;0,IFERROR(SEARCH(PaladinOath,$T185,1),0)&gt;0),1,0)*IF($C185=DV$2,1,0)=1,1+COUNTIF(DV$3:DV184,"&gt;0"),0)</f>
        <v>0</v>
      </c>
      <c r="DW185">
        <f>IF(IF(OR(IFERROR(SEARCH("Paladin",$T185,1),0)&gt;0,IFERROR(SEARCH(PaladinOath,$T185,1),0)&gt;0),1,0)*IF($C185=DW$2,1,0)=1,1+COUNTIF(DW$3:DW184,"&gt;0"),0)</f>
        <v>0</v>
      </c>
      <c r="DY185">
        <f t="shared" si="111"/>
        <v>1</v>
      </c>
      <c r="DZ185">
        <f>IF(DY185=0,0,1+MAX(DZ$3:$DZ184))</f>
        <v>183</v>
      </c>
      <c r="EB185">
        <f t="shared" si="125"/>
        <v>0</v>
      </c>
      <c r="EC185">
        <f>IF(EB185=0,0,1+COUNTIF(EC$3:EC184,"&gt;0"))</f>
        <v>0</v>
      </c>
      <c r="ED185" t="str">
        <f t="shared" si="153"/>
        <v/>
      </c>
      <c r="EE185" t="str">
        <f t="shared" si="126"/>
        <v/>
      </c>
      <c r="EG185">
        <f t="shared" si="127"/>
        <v>0</v>
      </c>
      <c r="EH185">
        <f>IF(EG185=0,0,1+COUNTIF(EH$3:EH184,"&gt;0"))</f>
        <v>0</v>
      </c>
      <c r="EI185" t="str">
        <f t="shared" si="154"/>
        <v/>
      </c>
      <c r="EJ185" t="str">
        <f t="shared" si="128"/>
        <v/>
      </c>
      <c r="EL185">
        <f t="shared" si="129"/>
        <v>0</v>
      </c>
      <c r="EM185">
        <f>IF(EL185=0,0,1+COUNTIF(EM$3:EM184,"&gt;0"))</f>
        <v>0</v>
      </c>
      <c r="EN185" t="str">
        <f t="shared" si="155"/>
        <v/>
      </c>
      <c r="EO185" t="str">
        <f t="shared" si="130"/>
        <v/>
      </c>
      <c r="EQ185">
        <f t="shared" si="131"/>
        <v>0</v>
      </c>
      <c r="ER185">
        <f>IF(EQ185=0,0,1+COUNTIF(ER$3:ER184,"&gt;0"))</f>
        <v>0</v>
      </c>
      <c r="ES185" t="str">
        <f t="shared" si="156"/>
        <v/>
      </c>
      <c r="ET185" t="str">
        <f t="shared" si="132"/>
        <v/>
      </c>
      <c r="EV185">
        <f t="shared" si="133"/>
        <v>0</v>
      </c>
      <c r="EW185">
        <f>IF(EV185=0,0,1+COUNTIF(EW$3:EW184,"&gt;0"))</f>
        <v>0</v>
      </c>
      <c r="EX185" t="str">
        <f t="shared" si="157"/>
        <v/>
      </c>
      <c r="EY185" t="str">
        <f t="shared" si="134"/>
        <v/>
      </c>
      <c r="FA185">
        <f t="shared" si="135"/>
        <v>0</v>
      </c>
      <c r="FB185">
        <f>IF(FA185=0,0,1+COUNTIF(FB$3:FB184,"&gt;0"))</f>
        <v>0</v>
      </c>
      <c r="FC185" t="str">
        <f t="shared" si="158"/>
        <v/>
      </c>
      <c r="FD185" t="str">
        <f t="shared" si="136"/>
        <v/>
      </c>
      <c r="FF185">
        <f t="shared" si="137"/>
        <v>0</v>
      </c>
      <c r="FG185">
        <f>IF(FF185=0,0,1+COUNTIF(FG$3:FG184,"&gt;0"))</f>
        <v>0</v>
      </c>
      <c r="FH185" t="str">
        <f t="shared" si="159"/>
        <v/>
      </c>
      <c r="FI185" t="str">
        <f t="shared" si="138"/>
        <v/>
      </c>
      <c r="FK185">
        <f t="shared" si="139"/>
        <v>0</v>
      </c>
      <c r="FL185">
        <f>IF(FK185=0,0,1+COUNTIF(FL$3:FL184,"&gt;0"))</f>
        <v>0</v>
      </c>
      <c r="FM185" t="str">
        <f t="shared" si="160"/>
        <v/>
      </c>
      <c r="FN185" t="str">
        <f t="shared" si="140"/>
        <v/>
      </c>
      <c r="FP185">
        <f t="shared" si="141"/>
        <v>0</v>
      </c>
      <c r="FQ185">
        <f>IF(FP185=0,0,1+COUNTIF(FQ$3:FQ184,"&gt;0"))</f>
        <v>0</v>
      </c>
      <c r="FR185" t="str">
        <f t="shared" si="161"/>
        <v/>
      </c>
      <c r="FS185" t="str">
        <f t="shared" si="142"/>
        <v/>
      </c>
    </row>
    <row r="186" spans="1:175" x14ac:dyDescent="0.25">
      <c r="A186" s="347">
        <f t="shared" si="162"/>
        <v>184</v>
      </c>
      <c r="B186" s="348" t="s">
        <v>2562</v>
      </c>
      <c r="C186" s="348">
        <v>8</v>
      </c>
      <c r="D186" s="347">
        <v>8</v>
      </c>
      <c r="E186" s="627" t="s">
        <v>6952</v>
      </c>
      <c r="F186" s="346"/>
      <c r="G186" s="347" t="str">
        <f>""</f>
        <v/>
      </c>
      <c r="H186" s="347" t="s">
        <v>5912</v>
      </c>
      <c r="I186" s="347" t="s">
        <v>5283</v>
      </c>
      <c r="J186" s="347" t="str">
        <f t="shared" si="112"/>
        <v/>
      </c>
      <c r="K186" s="347" t="s">
        <v>5291</v>
      </c>
      <c r="L186" s="611" t="str">
        <f t="shared" si="113"/>
        <v>V, S, M, a tiny reliquary worth at least 1,000 gp containing a sacred relic, such as a scrap of cloth from a saint’s robe or a piece of parchment from a religious text</v>
      </c>
      <c r="M186" s="347" t="s">
        <v>2373</v>
      </c>
      <c r="N186" s="347" t="s">
        <v>2387</v>
      </c>
      <c r="O186" s="347" t="s">
        <v>1244</v>
      </c>
      <c r="P186" s="346" t="s">
        <v>5402</v>
      </c>
      <c r="Q186" s="347" t="s">
        <v>5270</v>
      </c>
      <c r="S186" s="346" t="s">
        <v>2563</v>
      </c>
      <c r="T186" s="346" t="str">
        <f t="shared" si="114"/>
        <v xml:space="preserve">Cleric, </v>
      </c>
      <c r="Z186" s="347" t="str">
        <f t="shared" si="164"/>
        <v>Holy Aura</v>
      </c>
      <c r="AE186" t="str">
        <f>IF(IFERROR(MATCH($B186,temp!A$4:A$13,0),0)&gt;0,T08_Spells!AE$2,"")</f>
        <v/>
      </c>
      <c r="AF186" t="str">
        <f>IF(IFERROR(MATCH($B186,temp!B$4:B$13,0),0)&gt;0,T08_Spells!AF$2,"")</f>
        <v/>
      </c>
      <c r="AG186" t="str">
        <f>IF(IFERROR(MATCH($B186,temp!C$4:C$13,0),0)&gt;0,T08_Spells!AG$2,"")</f>
        <v/>
      </c>
      <c r="AH186" t="str">
        <f>IF(IFERROR(MATCH($B186,temp!D$4:D$13,0),0)&gt;0,T08_Spells!AH$2,"")</f>
        <v/>
      </c>
      <c r="AI186" t="str">
        <f>IF(IFERROR(MATCH($B186,temp!E$4:E$13,0),0)&gt;0,T08_Spells!AI$2,"")</f>
        <v/>
      </c>
      <c r="AJ186" t="str">
        <f>IF(IFERROR(MATCH($B186,temp!F$4:F$13,0),0)&gt;0,T08_Spells!AJ$2,"")</f>
        <v/>
      </c>
      <c r="AK186" t="str">
        <f>IF(IFERROR(MATCH($B186,temp!G$4:G$13,0),0)&gt;0,T08_Spells!AK$2,"")</f>
        <v/>
      </c>
      <c r="AL186" t="str">
        <f>IF(IFERROR(MATCH($B186,temp!H$4:H$13,0),0)&gt;0,T08_Spells!AL$2,"")</f>
        <v/>
      </c>
      <c r="AM186" t="str">
        <f>IF(IFERROR(MATCH($B186,temp!I$4:I$13,0),0)&gt;0,T08_Spells!AM$2,"")</f>
        <v/>
      </c>
      <c r="AN186" t="str">
        <f>IF(IFERROR(MATCH($B186,temp!J$4:J$13,0),0)&gt;0,T08_Spells!AN$2,"")</f>
        <v/>
      </c>
      <c r="AO186" t="str">
        <f>IF(IFERROR(MATCH($B186,temp!K$4:K$13,0),0)&gt;0,T08_Spells!AO$2,"")</f>
        <v/>
      </c>
      <c r="AP186" t="str">
        <f>IF(IFERROR(MATCH($B186,temp!L$4:L$13,0),0)&gt;0,T08_Spells!AP$2,"")</f>
        <v/>
      </c>
      <c r="AQ186" t="str">
        <f>IF(IFERROR(MATCH($B186,temp!M$4:M$13,0),0)&gt;0,T08_Spells!AQ$2,"")</f>
        <v/>
      </c>
      <c r="AR186" t="str">
        <f>IF(IFERROR(MATCH($B186,temp!N$4:N$13,0),0)&gt;0,T08_Spells!AR$2,"")</f>
        <v/>
      </c>
      <c r="AS186" t="str">
        <f>IF(IFERROR(MATCH($B186,temp!O$4:O$13,0),0)&gt;0,T08_Spells!AS$2,"")</f>
        <v/>
      </c>
      <c r="AT186" t="str">
        <f>IF(IFERROR(MATCH($B186,temp!P$4:P$13,0),0)&gt;0,T08_Spells!AT$2,"")</f>
        <v/>
      </c>
      <c r="AU186" t="str">
        <f>IF(IFERROR(MATCH($B186,temp!Q$4:Q$13,0),0)&gt;0,T08_Spells!AU$2,"")</f>
        <v/>
      </c>
      <c r="AV186" t="str">
        <f>IF(IFERROR(MATCH($B186,temp!R$4:R$13,0),0)&gt;0,T08_Spells!AV$2,"")</f>
        <v/>
      </c>
      <c r="AW186" t="str">
        <f>IF(IFERROR(MATCH($B186,temp!S$4:S$13,0),0)&gt;0,T08_Spells!AW$2,"")</f>
        <v/>
      </c>
      <c r="AX186" t="str">
        <f>IF(IFERROR(MATCH($B186,temp!T$4:T$13,0),0)&gt;0,T08_Spells!AX$2,"")</f>
        <v/>
      </c>
      <c r="AY186" t="str">
        <f>IF(IFERROR(MATCH($B186,temp!U$4:U$13,0),0)&gt;0,T08_Spells!AY$2,"")</f>
        <v/>
      </c>
      <c r="AZ186" t="str">
        <f>IF(IFERROR(MATCH($B186,temp!V$4:V$13,0),0)&gt;0,T08_Spells!AZ$2,"")</f>
        <v/>
      </c>
      <c r="BA186" t="str">
        <f>IF(IFERROR(MATCH($B186,temp!W$4:W$13,0),0)&gt;0,T08_Spells!BA$2,"")</f>
        <v/>
      </c>
      <c r="BC186">
        <f>IF(IFERROR(SEARCH("Ranger",$T186,1),0)&gt;0,1,0)*IF(RangerMaxSpellLevel&gt;=$C186,1,0)*IF(IFERROR(MATCH(B186,Character_Creation!$X$79:$X$382,0),0)&gt;0,0,1)</f>
        <v>0</v>
      </c>
      <c r="BD186">
        <f>IF(BC186=0,0,1+COUNTIF(BD$3:BD185,"&gt;0"))</f>
        <v>0</v>
      </c>
      <c r="BE186" t="str">
        <f t="shared" si="143"/>
        <v/>
      </c>
      <c r="BF186" t="str">
        <f t="shared" si="115"/>
        <v/>
      </c>
      <c r="BH186">
        <f>IF(IFERROR(SEARCH("Sorcerer",$T186,1),0)&gt;0,1,0)*IF(SorcererMaxSpellLevel&gt;=$C186,1,0)*IF(IFERROR(MATCH(B186,Character_Creation!$J$380:$J$394,0),0)&gt;0,0,1)</f>
        <v>0</v>
      </c>
      <c r="BI186">
        <f>IF(BH186=0,0,1+COUNTIF(BI$3:BI185,"&gt;0"))</f>
        <v>0</v>
      </c>
      <c r="BJ186" t="str">
        <f t="shared" si="144"/>
        <v/>
      </c>
      <c r="BK186" t="str">
        <f t="shared" si="116"/>
        <v/>
      </c>
      <c r="BM186">
        <f>IF(OR(IFERROR(SEARCH("Warlock",$T186,1),0)&gt;0,IFERROR(SEARCH(WarlockPatron,$T186,1),0)&gt;0),1,0)*IF(WarlockMaxSpellLevel&gt;=$C186,1,0)*IF(IFERROR(MATCH(B186,Character_Creation!$J$361:$J$375,0),0)&gt;0,0,1)</f>
        <v>0</v>
      </c>
      <c r="BN186">
        <f>IF(BM186=0,0,1+COUNTIF(BN$3:BN185,"&gt;0"))</f>
        <v>0</v>
      </c>
      <c r="BO186" t="str">
        <f t="shared" si="145"/>
        <v/>
      </c>
      <c r="BP186" t="str">
        <f t="shared" si="117"/>
        <v/>
      </c>
      <c r="BR186">
        <f>IF(IFERROR(SEARCH("Eldritch Knight",$T186,1),0)&gt;0,1,0)*IF(EldritchKnightMaxSpellLevel&gt;=$C186,1,0)*IF(IFERROR(MATCH($B186,Character_Creation!$J$350:$J$356,0),0)&gt;0,0,1)*IF(Character_Creation!$M$338&gt;0,1,0)</f>
        <v>0</v>
      </c>
      <c r="BS186">
        <f>IF(BR186=0,0,1+COUNTIF(BS$3:BS185,"&gt;0"))</f>
        <v>0</v>
      </c>
      <c r="BT186" t="str">
        <f t="shared" si="146"/>
        <v/>
      </c>
      <c r="BU186" t="str">
        <f t="shared" si="118"/>
        <v/>
      </c>
      <c r="BW186">
        <f>IF(IFERROR(SEARCH("Arcane Trickster",$T186,1),0)&gt;0,1,0)*IF(ArcaneTricksterMaxSpellLevel&gt;=$C186,1,0)*IF(IFERROR(MATCH($B186,Character_Creation!$J$350:$J$356,0),0)&gt;0,0,1)*IF(Character_Creation!$T$338&gt;0,1,0)</f>
        <v>0</v>
      </c>
      <c r="BX186">
        <f>IF(BW186=0,0,1+COUNTIF(BX$3:BX185,"&gt;0"))</f>
        <v>0</v>
      </c>
      <c r="BY186" t="str">
        <f t="shared" si="147"/>
        <v/>
      </c>
      <c r="BZ186" t="str">
        <f t="shared" si="119"/>
        <v/>
      </c>
      <c r="CB186">
        <f>IF(IFERROR(SEARCH("Wizard",$T186,1),0)&gt;0,1,0)*IF(C186&lt;=ArcaneTricksterMaxSpellLevel,1,0)*IF(IFERROR(MATCH($B186,Character_Creation!$J$350:$J$356,0),0)&gt;0,0,1)*IF(Character_Creation!$T$350&gt;0,1,0)</f>
        <v>0</v>
      </c>
      <c r="CC186">
        <f>IF(CB186=0,0,1+COUNTIF(CC$3:CC185,"&gt;0"))</f>
        <v>0</v>
      </c>
      <c r="CD186" t="str">
        <f t="shared" si="148"/>
        <v/>
      </c>
      <c r="CE186" t="str">
        <f t="shared" si="120"/>
        <v/>
      </c>
      <c r="CG186">
        <f>IF(IFERROR(SEARCH("Wizard",$T186,1),0)&gt;0,1,0)*IF($C186&lt;=EldritchKnightMaxSpellLevel,1,0)*IF(IFERROR(MATCH($B186,Character_Creation!$J$350:$J$356,0),0)&gt;0,0,1)*IF(Character_Creation!$M$350&gt;0,1,0)</f>
        <v>0</v>
      </c>
      <c r="CH186">
        <f>IF(CG186=0,0,1+COUNTIF(CH$3:CH185,"&gt;0"))</f>
        <v>0</v>
      </c>
      <c r="CI186" t="str">
        <f t="shared" si="149"/>
        <v/>
      </c>
      <c r="CJ186" t="str">
        <f t="shared" si="121"/>
        <v/>
      </c>
      <c r="CL186">
        <f>IF(IFERROR(SEARCH("Bard",$T186,1),0)&gt;0,1,0)*IF(BardMaxSpellLevel&gt;=$C186,1,0)*IF(IFERROR(MATCH(B186,Character_Creation!$C$341:$F$362,0),0)&gt;0,0,1)*IF(IFERROR(MATCH($B186,Character_Creation!$C$341:$C$362,0),0)&gt;0,0,1)</f>
        <v>0</v>
      </c>
      <c r="CM186">
        <f>IF(CL186=0,0,1+COUNTIF(CM$3:CM185,"&gt;0"))</f>
        <v>0</v>
      </c>
      <c r="CN186" t="str">
        <f t="shared" si="150"/>
        <v/>
      </c>
      <c r="CO186" t="str">
        <f t="shared" si="122"/>
        <v/>
      </c>
      <c r="CQ186">
        <f>IF(IFERROR(SEARCH("Wizard",$T186,1),0)&gt;0,1,0)*IF(WizardMaxSpellLevel&gt;=$C186,1,0)*IF(IFERROR(MATCH(B186,Character_Creation!$X$341:$X$400,0),0)&gt;0,0,1)*IF(SelectedWizardSpellLevel=$C186,1,0)</f>
        <v>0</v>
      </c>
      <c r="CR186">
        <f>IF(CQ186=0,0,1+COUNTIF(CR$3:CR185,"&gt;0"))</f>
        <v>0</v>
      </c>
      <c r="CS186" t="str">
        <f t="shared" si="151"/>
        <v/>
      </c>
      <c r="CT186" t="str">
        <f t="shared" si="123"/>
        <v/>
      </c>
      <c r="CV186">
        <f>IF(IFERROR(MATCH($B186,Character_Creation!$C$341:$C$362,0),0)&gt;0,0,1)*IF(OR(C186="Cantrip",C186&lt;=BardMaxSpellLevel),1,0)*IF(IFERROR(MATCH($B186,Character_Creation!$C$367:$C$374,0),0)&gt;0,0,1)</f>
        <v>0</v>
      </c>
      <c r="CW186">
        <f>IF(CV186=0,0,1+COUNTIF(CW$3:CW185,"&gt;0"))</f>
        <v>0</v>
      </c>
      <c r="CX186" t="str">
        <f t="shared" si="152"/>
        <v/>
      </c>
      <c r="CY186" t="str">
        <f t="shared" si="124"/>
        <v/>
      </c>
      <c r="DA186">
        <f>IF(IF(OR(IFERROR(SEARCH("Cleric",$T186,1),0)&gt;0,IFERROR(SEARCH(DivineDomain&amp;",",$T186,1),0)&gt;0),1,0)*IF($C186=DA$2,1,0)=1,1+COUNTIF(DA$3:DA185,"&gt;0"),0)</f>
        <v>0</v>
      </c>
      <c r="DB186">
        <f>IF(IF(OR(IFERROR(SEARCH("Cleric",$T186,1),0)&gt;0,IFERROR(SEARCH(DivineDomain&amp;",",$T186,1),0)&gt;0),1,0)*IF($C186=DB$2,1,0)=1,1+COUNTIF(DB$3:DB185,"&gt;0"),0)</f>
        <v>0</v>
      </c>
      <c r="DC186">
        <f>IF(IF(OR(IFERROR(SEARCH("Cleric",$T186,1),0)&gt;0,IFERROR(SEARCH(DivineDomain&amp;",",$T186,1),0)&gt;0),1,0)*IF($C186=DC$2,1,0)=1,1+COUNTIF(DC$3:DC185,"&gt;0"),0)</f>
        <v>0</v>
      </c>
      <c r="DD186">
        <f>IF(IF(OR(IFERROR(SEARCH("Cleric",$T186,1),0)&gt;0,IFERROR(SEARCH(DivineDomain&amp;",",$T186,1),0)&gt;0),1,0)*IF($C186=DD$2,1,0)=1,1+COUNTIF(DD$3:DD185,"&gt;0"),0)</f>
        <v>0</v>
      </c>
      <c r="DE186">
        <f>IF(IF(OR(IFERROR(SEARCH("Cleric",$T186,1),0)&gt;0,IFERROR(SEARCH(DivineDomain&amp;",",$T186,1),0)&gt;0),1,0)*IF($C186=DE$2,1,0)=1,1+COUNTIF(DE$3:DE185,"&gt;0"),0)</f>
        <v>0</v>
      </c>
      <c r="DF186">
        <f>IF(IF(OR(IFERROR(SEARCH("Cleric",$T186,1),0)&gt;0,IFERROR(SEARCH(DivineDomain&amp;",",$T186,1),0)&gt;0),1,0)*IF($C186=DF$2,1,0)=1,1+COUNTIF(DF$3:DF185,"&gt;0"),0)</f>
        <v>0</v>
      </c>
      <c r="DG186">
        <f>IF(IF(OR(IFERROR(SEARCH("Cleric",$T186,1),0)&gt;0,IFERROR(SEARCH(DivineDomain&amp;",",$T186,1),0)&gt;0),1,0)*IF($C186=DG$2,1,0)=1,1+COUNTIF(DG$3:DG185,"&gt;0"),0)</f>
        <v>0</v>
      </c>
      <c r="DH186">
        <f>IF(IF(OR(IFERROR(SEARCH("Cleric",$T186,1),0)&gt;0,IFERROR(SEARCH(DivineDomain&amp;",",$T186,1),0)&gt;0),1,0)*IF($C186=DH$2,1,0)=1,1+COUNTIF(DH$3:DH185,"&gt;0"),0)</f>
        <v>4</v>
      </c>
      <c r="DI186">
        <f>IF(IF(OR(IFERROR(SEARCH("Cleric",$T186,1),0)&gt;0,IFERROR(SEARCH(DivineDomain&amp;",",$T186,1),0)&gt;0),1,0)*IF($C186=DI$2,1,0)=1,1+COUNTIF(DI$3:DI185,"&gt;0"),0)</f>
        <v>0</v>
      </c>
      <c r="DJ186">
        <f>IF(IF(OR(IFERROR(SEARCH("Druid",$T186,1),0)&gt;0,IFERROR(SEARCH(DruidLand1,$T186,1),0)&gt;0,IFERROR(SEARCH(DruidLand2,$T186,1),0)&gt;0,IFERROR(SEARCH(DruidLand3,$T186,1),0)&gt;0,IFERROR(SEARCH(DruidLand4,$T186,1),0)&gt;0),1,0)*IF($C186=1,1,0)*IF($C186=DJ$2,1,0)=0,0,1+COUNTIF(DJ$3:DJ185,"&gt;0"))</f>
        <v>0</v>
      </c>
      <c r="DK186">
        <f>IF(IF(OR(IFERROR(SEARCH("Druid",$T186,1),0)&gt;0,IFERROR(SEARCH(DruidLand1,$T186,1),0)&gt;0,IFERROR(SEARCH(DruidLand2,$T186,1),0)&gt;0,IFERROR(SEARCH(DruidLand3,$T186,1),0)&gt;0,IFERROR(SEARCH(DruidLand4,$T186,1),0)&gt;0),1,0)*IF($C186=1,1,0)*IF($C186=DK$2,1,0)=0,0,1+COUNTIF(DK$3:DK185,"&gt;0"))</f>
        <v>0</v>
      </c>
      <c r="DL186">
        <f>IF(IF(OR(IFERROR(SEARCH("Druid",$T186,1),0)&gt;0,IFERROR(SEARCH(DruidLand1,$T186,1),0)&gt;0,IFERROR(SEARCH(DruidLand2,$T186,1),0)&gt;0,IFERROR(SEARCH(DruidLand3,$T186,1),0)&gt;0,IFERROR(SEARCH(DruidLand4,$T186,1),0)&gt;0),1,0)*IF($C186=1,1,0)*IF($C186=DL$2,1,0)=0,0,1+COUNTIF(DL$3:DL185,"&gt;0"))</f>
        <v>0</v>
      </c>
      <c r="DM186">
        <f>IF(IF(OR(IFERROR(SEARCH("Druid",$T186,1),0)&gt;0,IFERROR(SEARCH(DruidLand1,$T186,1),0)&gt;0,IFERROR(SEARCH(DruidLand2,$T186,1),0)&gt;0,IFERROR(SEARCH(DruidLand3,$T186,1),0)&gt;0,IFERROR(SEARCH(DruidLand4,$T186,1),0)&gt;0),1,0)*IF($C186=1,1,0)*IF($C186=DM$2,1,0)=0,0,1+COUNTIF(DM$3:DM185,"&gt;0"))</f>
        <v>0</v>
      </c>
      <c r="DN186">
        <f>IF(IF(OR(IFERROR(SEARCH("Druid",$T186,1),0)&gt;0,IFERROR(SEARCH(DruidLand1,$T186,1),0)&gt;0,IFERROR(SEARCH(DruidLand2,$T186,1),0)&gt;0,IFERROR(SEARCH(DruidLand3,$T186,1),0)&gt;0,IFERROR(SEARCH(DruidLand4,$T186,1),0)&gt;0),1,0)*IF($C186=1,1,0)*IF($C186=DN$2,1,0)=0,0,1+COUNTIF(DN$3:DN185,"&gt;0"))</f>
        <v>0</v>
      </c>
      <c r="DO186">
        <f>IF(IF(OR(IFERROR(SEARCH("Druid",$T186,1),0)&gt;0,IFERROR(SEARCH(DruidLand1,$T186,1),0)&gt;0,IFERROR(SEARCH(DruidLand2,$T186,1),0)&gt;0,IFERROR(SEARCH(DruidLand3,$T186,1),0)&gt;0,IFERROR(SEARCH(DruidLand4,$T186,1),0)&gt;0),1,0)*IF($C186=1,1,0)*IF($C186=DO$2,1,0)=0,0,1+COUNTIF(DO$3:DO185,"&gt;0"))</f>
        <v>0</v>
      </c>
      <c r="DP186">
        <f>IF(IF(OR(IFERROR(SEARCH("Druid",$T186,1),0)&gt;0,IFERROR(SEARCH(DruidLand1,$T186,1),0)&gt;0,IFERROR(SEARCH(DruidLand2,$T186,1),0)&gt;0,IFERROR(SEARCH(DruidLand3,$T186,1),0)&gt;0,IFERROR(SEARCH(DruidLand4,$T186,1),0)&gt;0),1,0)*IF($C186=1,1,0)*IF($C186=DP$2,1,0)=0,0,1+COUNTIF(DP$3:DP185,"&gt;0"))</f>
        <v>0</v>
      </c>
      <c r="DQ186">
        <f>IF(IF(OR(IFERROR(SEARCH("Druid",$T186,1),0)&gt;0,IFERROR(SEARCH(DruidLand1,$T186,1),0)&gt;0,IFERROR(SEARCH(DruidLand2,$T186,1),0)&gt;0,IFERROR(SEARCH(DruidLand3,$T186,1),0)&gt;0,IFERROR(SEARCH(DruidLand4,$T186,1),0)&gt;0),1,0)*IF($C186=1,1,0)*IF($C186=DQ$2,1,0)=0,0,1+COUNTIF(DQ$3:DQ185,"&gt;0"))</f>
        <v>0</v>
      </c>
      <c r="DR186">
        <f>IF(IF(OR(IFERROR(SEARCH("Druid",$T186,1),0)&gt;0,IFERROR(SEARCH(DruidLand1,$T186,1),0)&gt;0,IFERROR(SEARCH(DruidLand2,$T186,1),0)&gt;0,IFERROR(SEARCH(DruidLand3,$T186,1),0)&gt;0,IFERROR(SEARCH(DruidLand4,$T186,1),0)&gt;0),1,0)*IF($C186=1,1,0)*IF($C186=DR$2,1,0)=0,0,1+COUNTIF(DR$3:DR185,"&gt;0"))</f>
        <v>0</v>
      </c>
      <c r="DS186">
        <f>IF(IF(OR(IFERROR(SEARCH("Paladin",$T186,1),0)&gt;0,IFERROR(SEARCH(PaladinOath,$T186,1),0)&gt;0),1,0)*IF($C186=DS$2,1,0)=1,1+COUNTIF(DS$3:DS185,"&gt;0"),0)</f>
        <v>0</v>
      </c>
      <c r="DT186">
        <f>IF(IF(OR(IFERROR(SEARCH("Paladin",$T186,1),0)&gt;0,IFERROR(SEARCH(PaladinOath,$T186,1),0)&gt;0),1,0)*IF($C186=DT$2,1,0)=1,1+COUNTIF(DT$3:DT185,"&gt;0"),0)</f>
        <v>0</v>
      </c>
      <c r="DU186">
        <f>IF(IF(OR(IFERROR(SEARCH("Paladin",$T186,1),0)&gt;0,IFERROR(SEARCH(PaladinOath,$T186,1),0)&gt;0),1,0)*IF($C186=DU$2,1,0)=1,1+COUNTIF(DU$3:DU185,"&gt;0"),0)</f>
        <v>0</v>
      </c>
      <c r="DV186">
        <f>IF(IF(OR(IFERROR(SEARCH("Paladin",$T186,1),0)&gt;0,IFERROR(SEARCH(PaladinOath,$T186,1),0)&gt;0),1,0)*IF($C186=DV$2,1,0)=1,1+COUNTIF(DV$3:DV185,"&gt;0"),0)</f>
        <v>0</v>
      </c>
      <c r="DW186">
        <f>IF(IF(OR(IFERROR(SEARCH("Paladin",$T186,1),0)&gt;0,IFERROR(SEARCH(PaladinOath,$T186,1),0)&gt;0),1,0)*IF($C186=DW$2,1,0)=1,1+COUNTIF(DW$3:DW185,"&gt;0"),0)</f>
        <v>0</v>
      </c>
      <c r="DY186">
        <f t="shared" si="111"/>
        <v>1</v>
      </c>
      <c r="DZ186">
        <f>IF(DY186=0,0,1+MAX(DZ$3:$DZ185))</f>
        <v>184</v>
      </c>
      <c r="EB186">
        <f t="shared" si="125"/>
        <v>0</v>
      </c>
      <c r="EC186">
        <f>IF(EB186=0,0,1+COUNTIF(EC$3:EC185,"&gt;0"))</f>
        <v>0</v>
      </c>
      <c r="ED186" t="str">
        <f t="shared" si="153"/>
        <v/>
      </c>
      <c r="EE186" t="str">
        <f t="shared" si="126"/>
        <v/>
      </c>
      <c r="EG186">
        <f t="shared" si="127"/>
        <v>0</v>
      </c>
      <c r="EH186">
        <f>IF(EG186=0,0,1+COUNTIF(EH$3:EH185,"&gt;0"))</f>
        <v>0</v>
      </c>
      <c r="EI186" t="str">
        <f t="shared" si="154"/>
        <v/>
      </c>
      <c r="EJ186" t="str">
        <f t="shared" si="128"/>
        <v/>
      </c>
      <c r="EL186">
        <f t="shared" si="129"/>
        <v>0</v>
      </c>
      <c r="EM186">
        <f>IF(EL186=0,0,1+COUNTIF(EM$3:EM185,"&gt;0"))</f>
        <v>0</v>
      </c>
      <c r="EN186" t="str">
        <f t="shared" si="155"/>
        <v/>
      </c>
      <c r="EO186" t="str">
        <f t="shared" si="130"/>
        <v/>
      </c>
      <c r="EQ186">
        <f t="shared" si="131"/>
        <v>0</v>
      </c>
      <c r="ER186">
        <f>IF(EQ186=0,0,1+COUNTIF(ER$3:ER185,"&gt;0"))</f>
        <v>0</v>
      </c>
      <c r="ES186" t="str">
        <f t="shared" si="156"/>
        <v/>
      </c>
      <c r="ET186" t="str">
        <f t="shared" si="132"/>
        <v/>
      </c>
      <c r="EV186">
        <f t="shared" si="133"/>
        <v>0</v>
      </c>
      <c r="EW186">
        <f>IF(EV186=0,0,1+COUNTIF(EW$3:EW185,"&gt;0"))</f>
        <v>0</v>
      </c>
      <c r="EX186" t="str">
        <f t="shared" si="157"/>
        <v/>
      </c>
      <c r="EY186" t="str">
        <f t="shared" si="134"/>
        <v/>
      </c>
      <c r="FA186">
        <f t="shared" si="135"/>
        <v>0</v>
      </c>
      <c r="FB186">
        <f>IF(FA186=0,0,1+COUNTIF(FB$3:FB185,"&gt;0"))</f>
        <v>0</v>
      </c>
      <c r="FC186" t="str">
        <f t="shared" si="158"/>
        <v/>
      </c>
      <c r="FD186" t="str">
        <f t="shared" si="136"/>
        <v/>
      </c>
      <c r="FF186">
        <f t="shared" si="137"/>
        <v>0</v>
      </c>
      <c r="FG186">
        <f>IF(FF186=0,0,1+COUNTIF(FG$3:FG185,"&gt;0"))</f>
        <v>0</v>
      </c>
      <c r="FH186" t="str">
        <f t="shared" si="159"/>
        <v/>
      </c>
      <c r="FI186" t="str">
        <f t="shared" si="138"/>
        <v/>
      </c>
      <c r="FK186">
        <f t="shared" si="139"/>
        <v>0</v>
      </c>
      <c r="FL186">
        <f>IF(FK186=0,0,1+COUNTIF(FL$3:FL185,"&gt;0"))</f>
        <v>0</v>
      </c>
      <c r="FM186" t="str">
        <f t="shared" si="160"/>
        <v/>
      </c>
      <c r="FN186" t="str">
        <f t="shared" si="140"/>
        <v/>
      </c>
      <c r="FP186">
        <f t="shared" si="141"/>
        <v>0</v>
      </c>
      <c r="FQ186">
        <f>IF(FP186=0,0,1+COUNTIF(FQ$3:FQ185,"&gt;0"))</f>
        <v>0</v>
      </c>
      <c r="FR186" t="str">
        <f t="shared" si="161"/>
        <v/>
      </c>
      <c r="FS186" t="str">
        <f t="shared" si="142"/>
        <v/>
      </c>
    </row>
    <row r="187" spans="1:175" x14ac:dyDescent="0.25">
      <c r="A187" s="347">
        <f t="shared" si="162"/>
        <v>185</v>
      </c>
      <c r="B187" s="348" t="s">
        <v>2564</v>
      </c>
      <c r="C187" s="348">
        <v>3</v>
      </c>
      <c r="D187" s="347">
        <v>3</v>
      </c>
      <c r="E187" s="627" t="s">
        <v>6952</v>
      </c>
      <c r="F187" s="346"/>
      <c r="G187" s="347" t="str">
        <f>""</f>
        <v/>
      </c>
      <c r="H187" s="347" t="s">
        <v>5912</v>
      </c>
      <c r="I187" s="347" t="s">
        <v>5315</v>
      </c>
      <c r="J187" s="347" t="str">
        <f t="shared" si="112"/>
        <v/>
      </c>
      <c r="K187" s="347" t="s">
        <v>5291</v>
      </c>
      <c r="L187" s="611" t="str">
        <f t="shared" si="113"/>
        <v>V, S, M, a pickled octopus tentacle</v>
      </c>
      <c r="M187" s="347" t="s">
        <v>2373</v>
      </c>
      <c r="N187" s="347" t="s">
        <v>2387</v>
      </c>
      <c r="O187" s="347" t="s">
        <v>1244</v>
      </c>
      <c r="P187" s="346" t="s">
        <v>5403</v>
      </c>
      <c r="Q187" s="347" t="s">
        <v>5271</v>
      </c>
      <c r="S187" s="346" t="s">
        <v>5735</v>
      </c>
      <c r="T187" s="346" t="str">
        <f t="shared" si="114"/>
        <v xml:space="preserve">Warlock, </v>
      </c>
      <c r="Y187" s="347" t="str">
        <f>$B187</f>
        <v>Hunger of Hadar</v>
      </c>
      <c r="AE187" t="str">
        <f>IF(IFERROR(MATCH($B187,temp!A$4:A$13,0),0)&gt;0,T08_Spells!AE$2,"")</f>
        <v/>
      </c>
      <c r="AF187" t="str">
        <f>IF(IFERROR(MATCH($B187,temp!B$4:B$13,0),0)&gt;0,T08_Spells!AF$2,"")</f>
        <v/>
      </c>
      <c r="AG187" t="str">
        <f>IF(IFERROR(MATCH($B187,temp!C$4:C$13,0),0)&gt;0,T08_Spells!AG$2,"")</f>
        <v/>
      </c>
      <c r="AH187" t="str">
        <f>IF(IFERROR(MATCH($B187,temp!D$4:D$13,0),0)&gt;0,T08_Spells!AH$2,"")</f>
        <v/>
      </c>
      <c r="AI187" t="str">
        <f>IF(IFERROR(MATCH($B187,temp!E$4:E$13,0),0)&gt;0,T08_Spells!AI$2,"")</f>
        <v/>
      </c>
      <c r="AJ187" t="str">
        <f>IF(IFERROR(MATCH($B187,temp!F$4:F$13,0),0)&gt;0,T08_Spells!AJ$2,"")</f>
        <v/>
      </c>
      <c r="AK187" t="str">
        <f>IF(IFERROR(MATCH($B187,temp!G$4:G$13,0),0)&gt;0,T08_Spells!AK$2,"")</f>
        <v/>
      </c>
      <c r="AL187" t="str">
        <f>IF(IFERROR(MATCH($B187,temp!H$4:H$13,0),0)&gt;0,T08_Spells!AL$2,"")</f>
        <v/>
      </c>
      <c r="AM187" t="str">
        <f>IF(IFERROR(MATCH($B187,temp!I$4:I$13,0),0)&gt;0,T08_Spells!AM$2,"")</f>
        <v/>
      </c>
      <c r="AN187" t="str">
        <f>IF(IFERROR(MATCH($B187,temp!J$4:J$13,0),0)&gt;0,T08_Spells!AN$2,"")</f>
        <v/>
      </c>
      <c r="AO187" t="str">
        <f>IF(IFERROR(MATCH($B187,temp!K$4:K$13,0),0)&gt;0,T08_Spells!AO$2,"")</f>
        <v/>
      </c>
      <c r="AP187" t="str">
        <f>IF(IFERROR(MATCH($B187,temp!L$4:L$13,0),0)&gt;0,T08_Spells!AP$2,"")</f>
        <v/>
      </c>
      <c r="AQ187" t="str">
        <f>IF(IFERROR(MATCH($B187,temp!M$4:M$13,0),0)&gt;0,T08_Spells!AQ$2,"")</f>
        <v/>
      </c>
      <c r="AR187" t="str">
        <f>IF(IFERROR(MATCH($B187,temp!N$4:N$13,0),0)&gt;0,T08_Spells!AR$2,"")</f>
        <v/>
      </c>
      <c r="AS187" t="str">
        <f>IF(IFERROR(MATCH($B187,temp!O$4:O$13,0),0)&gt;0,T08_Spells!AS$2,"")</f>
        <v/>
      </c>
      <c r="AT187" t="str">
        <f>IF(IFERROR(MATCH($B187,temp!P$4:P$13,0),0)&gt;0,T08_Spells!AT$2,"")</f>
        <v/>
      </c>
      <c r="AU187" t="str">
        <f>IF(IFERROR(MATCH($B187,temp!Q$4:Q$13,0),0)&gt;0,T08_Spells!AU$2,"")</f>
        <v/>
      </c>
      <c r="AV187" t="str">
        <f>IF(IFERROR(MATCH($B187,temp!R$4:R$13,0),0)&gt;0,T08_Spells!AV$2,"")</f>
        <v/>
      </c>
      <c r="AW187" t="str">
        <f>IF(IFERROR(MATCH($B187,temp!S$4:S$13,0),0)&gt;0,T08_Spells!AW$2,"")</f>
        <v/>
      </c>
      <c r="AX187" t="str">
        <f>IF(IFERROR(MATCH($B187,temp!T$4:T$13,0),0)&gt;0,T08_Spells!AX$2,"")</f>
        <v/>
      </c>
      <c r="AY187" t="str">
        <f>IF(IFERROR(MATCH($B187,temp!U$4:U$13,0),0)&gt;0,T08_Spells!AY$2,"")</f>
        <v/>
      </c>
      <c r="AZ187" t="str">
        <f>IF(IFERROR(MATCH($B187,temp!V$4:V$13,0),0)&gt;0,T08_Spells!AZ$2,"")</f>
        <v/>
      </c>
      <c r="BA187" t="str">
        <f>IF(IFERROR(MATCH($B187,temp!W$4:W$13,0),0)&gt;0,T08_Spells!BA$2,"")</f>
        <v/>
      </c>
      <c r="BC187">
        <f>IF(IFERROR(SEARCH("Ranger",$T187,1),0)&gt;0,1,0)*IF(RangerMaxSpellLevel&gt;=$C187,1,0)*IF(IFERROR(MATCH(B187,Character_Creation!$X$79:$X$382,0),0)&gt;0,0,1)</f>
        <v>0</v>
      </c>
      <c r="BD187">
        <f>IF(BC187=0,0,1+COUNTIF(BD$3:BD186,"&gt;0"))</f>
        <v>0</v>
      </c>
      <c r="BE187" t="str">
        <f t="shared" si="143"/>
        <v/>
      </c>
      <c r="BF187" t="str">
        <f t="shared" si="115"/>
        <v/>
      </c>
      <c r="BH187">
        <f>IF(IFERROR(SEARCH("Sorcerer",$T187,1),0)&gt;0,1,0)*IF(SorcererMaxSpellLevel&gt;=$C187,1,0)*IF(IFERROR(MATCH(B187,Character_Creation!$J$380:$J$394,0),0)&gt;0,0,1)</f>
        <v>0</v>
      </c>
      <c r="BI187">
        <f>IF(BH187=0,0,1+COUNTIF(BI$3:BI186,"&gt;0"))</f>
        <v>0</v>
      </c>
      <c r="BJ187" t="str">
        <f t="shared" si="144"/>
        <v/>
      </c>
      <c r="BK187" t="str">
        <f t="shared" si="116"/>
        <v/>
      </c>
      <c r="BM187">
        <f>IF(OR(IFERROR(SEARCH("Warlock",$T187,1),0)&gt;0,IFERROR(SEARCH(WarlockPatron,$T187,1),0)&gt;0),1,0)*IF(WarlockMaxSpellLevel&gt;=$C187,1,0)*IF(IFERROR(MATCH(B187,Character_Creation!$J$361:$J$375,0),0)&gt;0,0,1)</f>
        <v>0</v>
      </c>
      <c r="BN187">
        <f>IF(BM187=0,0,1+COUNTIF(BN$3:BN186,"&gt;0"))</f>
        <v>0</v>
      </c>
      <c r="BO187" t="str">
        <f t="shared" si="145"/>
        <v/>
      </c>
      <c r="BP187" t="str">
        <f t="shared" si="117"/>
        <v/>
      </c>
      <c r="BR187">
        <f>IF(IFERROR(SEARCH("Eldritch Knight",$T187,1),0)&gt;0,1,0)*IF(EldritchKnightMaxSpellLevel&gt;=$C187,1,0)*IF(IFERROR(MATCH($B187,Character_Creation!$J$350:$J$356,0),0)&gt;0,0,1)*IF(Character_Creation!$M$338&gt;0,1,0)</f>
        <v>0</v>
      </c>
      <c r="BS187">
        <f>IF(BR187=0,0,1+COUNTIF(BS$3:BS186,"&gt;0"))</f>
        <v>0</v>
      </c>
      <c r="BT187" t="str">
        <f t="shared" si="146"/>
        <v/>
      </c>
      <c r="BU187" t="str">
        <f t="shared" si="118"/>
        <v/>
      </c>
      <c r="BW187">
        <f>IF(IFERROR(SEARCH("Arcane Trickster",$T187,1),0)&gt;0,1,0)*IF(ArcaneTricksterMaxSpellLevel&gt;=$C187,1,0)*IF(IFERROR(MATCH($B187,Character_Creation!$J$350:$J$356,0),0)&gt;0,0,1)*IF(Character_Creation!$T$338&gt;0,1,0)</f>
        <v>0</v>
      </c>
      <c r="BX187">
        <f>IF(BW187=0,0,1+COUNTIF(BX$3:BX186,"&gt;0"))</f>
        <v>0</v>
      </c>
      <c r="BY187" t="str">
        <f t="shared" si="147"/>
        <v/>
      </c>
      <c r="BZ187" t="str">
        <f t="shared" si="119"/>
        <v/>
      </c>
      <c r="CB187">
        <f>IF(IFERROR(SEARCH("Wizard",$T187,1),0)&gt;0,1,0)*IF(C187&lt;=ArcaneTricksterMaxSpellLevel,1,0)*IF(IFERROR(MATCH($B187,Character_Creation!$J$350:$J$356,0),0)&gt;0,0,1)*IF(Character_Creation!$T$350&gt;0,1,0)</f>
        <v>0</v>
      </c>
      <c r="CC187">
        <f>IF(CB187=0,0,1+COUNTIF(CC$3:CC186,"&gt;0"))</f>
        <v>0</v>
      </c>
      <c r="CD187" t="str">
        <f t="shared" si="148"/>
        <v/>
      </c>
      <c r="CE187" t="str">
        <f t="shared" si="120"/>
        <v/>
      </c>
      <c r="CG187">
        <f>IF(IFERROR(SEARCH("Wizard",$T187,1),0)&gt;0,1,0)*IF($C187&lt;=EldritchKnightMaxSpellLevel,1,0)*IF(IFERROR(MATCH($B187,Character_Creation!$J$350:$J$356,0),0)&gt;0,0,1)*IF(Character_Creation!$M$350&gt;0,1,0)</f>
        <v>0</v>
      </c>
      <c r="CH187">
        <f>IF(CG187=0,0,1+COUNTIF(CH$3:CH186,"&gt;0"))</f>
        <v>0</v>
      </c>
      <c r="CI187" t="str">
        <f t="shared" si="149"/>
        <v/>
      </c>
      <c r="CJ187" t="str">
        <f t="shared" si="121"/>
        <v/>
      </c>
      <c r="CL187">
        <f>IF(IFERROR(SEARCH("Bard",$T187,1),0)&gt;0,1,0)*IF(BardMaxSpellLevel&gt;=$C187,1,0)*IF(IFERROR(MATCH(B187,Character_Creation!$C$341:$F$362,0),0)&gt;0,0,1)*IF(IFERROR(MATCH($B187,Character_Creation!$C$341:$C$362,0),0)&gt;0,0,1)</f>
        <v>0</v>
      </c>
      <c r="CM187">
        <f>IF(CL187=0,0,1+COUNTIF(CM$3:CM186,"&gt;0"))</f>
        <v>0</v>
      </c>
      <c r="CN187" t="str">
        <f t="shared" si="150"/>
        <v/>
      </c>
      <c r="CO187" t="str">
        <f t="shared" si="122"/>
        <v/>
      </c>
      <c r="CQ187">
        <f>IF(IFERROR(SEARCH("Wizard",$T187,1),0)&gt;0,1,0)*IF(WizardMaxSpellLevel&gt;=$C187,1,0)*IF(IFERROR(MATCH(B187,Character_Creation!$X$341:$X$400,0),0)&gt;0,0,1)*IF(SelectedWizardSpellLevel=$C187,1,0)</f>
        <v>0</v>
      </c>
      <c r="CR187">
        <f>IF(CQ187=0,0,1+COUNTIF(CR$3:CR186,"&gt;0"))</f>
        <v>0</v>
      </c>
      <c r="CS187" t="str">
        <f t="shared" si="151"/>
        <v/>
      </c>
      <c r="CT187" t="str">
        <f t="shared" si="123"/>
        <v/>
      </c>
      <c r="CV187">
        <f>IF(IFERROR(MATCH($B187,Character_Creation!$C$341:$C$362,0),0)&gt;0,0,1)*IF(OR(C187="Cantrip",C187&lt;=BardMaxSpellLevel),1,0)*IF(IFERROR(MATCH($B187,Character_Creation!$C$367:$C$374,0),0)&gt;0,0,1)</f>
        <v>0</v>
      </c>
      <c r="CW187">
        <f>IF(CV187=0,0,1+COUNTIF(CW$3:CW186,"&gt;0"))</f>
        <v>0</v>
      </c>
      <c r="CX187" t="str">
        <f t="shared" si="152"/>
        <v/>
      </c>
      <c r="CY187" t="str">
        <f t="shared" si="124"/>
        <v/>
      </c>
      <c r="DA187">
        <f>IF(IF(OR(IFERROR(SEARCH("Cleric",$T187,1),0)&gt;0,IFERROR(SEARCH(DivineDomain&amp;",",$T187,1),0)&gt;0),1,0)*IF($C187=DA$2,1,0)=1,1+COUNTIF(DA$3:DA186,"&gt;0"),0)</f>
        <v>0</v>
      </c>
      <c r="DB187">
        <f>IF(IF(OR(IFERROR(SEARCH("Cleric",$T187,1),0)&gt;0,IFERROR(SEARCH(DivineDomain&amp;",",$T187,1),0)&gt;0),1,0)*IF($C187=DB$2,1,0)=1,1+COUNTIF(DB$3:DB186,"&gt;0"),0)</f>
        <v>0</v>
      </c>
      <c r="DC187">
        <f>IF(IF(OR(IFERROR(SEARCH("Cleric",$T187,1),0)&gt;0,IFERROR(SEARCH(DivineDomain&amp;",",$T187,1),0)&gt;0),1,0)*IF($C187=DC$2,1,0)=1,1+COUNTIF(DC$3:DC186,"&gt;0"),0)</f>
        <v>0</v>
      </c>
      <c r="DD187">
        <f>IF(IF(OR(IFERROR(SEARCH("Cleric",$T187,1),0)&gt;0,IFERROR(SEARCH(DivineDomain&amp;",",$T187,1),0)&gt;0),1,0)*IF($C187=DD$2,1,0)=1,1+COUNTIF(DD$3:DD186,"&gt;0"),0)</f>
        <v>0</v>
      </c>
      <c r="DE187">
        <f>IF(IF(OR(IFERROR(SEARCH("Cleric",$T187,1),0)&gt;0,IFERROR(SEARCH(DivineDomain&amp;",",$T187,1),0)&gt;0),1,0)*IF($C187=DE$2,1,0)=1,1+COUNTIF(DE$3:DE186,"&gt;0"),0)</f>
        <v>0</v>
      </c>
      <c r="DF187">
        <f>IF(IF(OR(IFERROR(SEARCH("Cleric",$T187,1),0)&gt;0,IFERROR(SEARCH(DivineDomain&amp;",",$T187,1),0)&gt;0),1,0)*IF($C187=DF$2,1,0)=1,1+COUNTIF(DF$3:DF186,"&gt;0"),0)</f>
        <v>0</v>
      </c>
      <c r="DG187">
        <f>IF(IF(OR(IFERROR(SEARCH("Cleric",$T187,1),0)&gt;0,IFERROR(SEARCH(DivineDomain&amp;",",$T187,1),0)&gt;0),1,0)*IF($C187=DG$2,1,0)=1,1+COUNTIF(DG$3:DG186,"&gt;0"),0)</f>
        <v>0</v>
      </c>
      <c r="DH187">
        <f>IF(IF(OR(IFERROR(SEARCH("Cleric",$T187,1),0)&gt;0,IFERROR(SEARCH(DivineDomain&amp;",",$T187,1),0)&gt;0),1,0)*IF($C187=DH$2,1,0)=1,1+COUNTIF(DH$3:DH186,"&gt;0"),0)</f>
        <v>0</v>
      </c>
      <c r="DI187">
        <f>IF(IF(OR(IFERROR(SEARCH("Cleric",$T187,1),0)&gt;0,IFERROR(SEARCH(DivineDomain&amp;",",$T187,1),0)&gt;0),1,0)*IF($C187=DI$2,1,0)=1,1+COUNTIF(DI$3:DI186,"&gt;0"),0)</f>
        <v>0</v>
      </c>
      <c r="DJ187">
        <f>IF(IF(OR(IFERROR(SEARCH("Druid",$T187,1),0)&gt;0,IFERROR(SEARCH(DruidLand1,$T187,1),0)&gt;0,IFERROR(SEARCH(DruidLand2,$T187,1),0)&gt;0,IFERROR(SEARCH(DruidLand3,$T187,1),0)&gt;0,IFERROR(SEARCH(DruidLand4,$T187,1),0)&gt;0),1,0)*IF($C187=1,1,0)*IF($C187=DJ$2,1,0)=0,0,1+COUNTIF(DJ$3:DJ186,"&gt;0"))</f>
        <v>0</v>
      </c>
      <c r="DK187">
        <f>IF(IF(OR(IFERROR(SEARCH("Druid",$T187,1),0)&gt;0,IFERROR(SEARCH(DruidLand1,$T187,1),0)&gt;0,IFERROR(SEARCH(DruidLand2,$T187,1),0)&gt;0,IFERROR(SEARCH(DruidLand3,$T187,1),0)&gt;0,IFERROR(SEARCH(DruidLand4,$T187,1),0)&gt;0),1,0)*IF($C187=1,1,0)*IF($C187=DK$2,1,0)=0,0,1+COUNTIF(DK$3:DK186,"&gt;0"))</f>
        <v>0</v>
      </c>
      <c r="DL187">
        <f>IF(IF(OR(IFERROR(SEARCH("Druid",$T187,1),0)&gt;0,IFERROR(SEARCH(DruidLand1,$T187,1),0)&gt;0,IFERROR(SEARCH(DruidLand2,$T187,1),0)&gt;0,IFERROR(SEARCH(DruidLand3,$T187,1),0)&gt;0,IFERROR(SEARCH(DruidLand4,$T187,1),0)&gt;0),1,0)*IF($C187=1,1,0)*IF($C187=DL$2,1,0)=0,0,1+COUNTIF(DL$3:DL186,"&gt;0"))</f>
        <v>0</v>
      </c>
      <c r="DM187">
        <f>IF(IF(OR(IFERROR(SEARCH("Druid",$T187,1),0)&gt;0,IFERROR(SEARCH(DruidLand1,$T187,1),0)&gt;0,IFERROR(SEARCH(DruidLand2,$T187,1),0)&gt;0,IFERROR(SEARCH(DruidLand3,$T187,1),0)&gt;0,IFERROR(SEARCH(DruidLand4,$T187,1),0)&gt;0),1,0)*IF($C187=1,1,0)*IF($C187=DM$2,1,0)=0,0,1+COUNTIF(DM$3:DM186,"&gt;0"))</f>
        <v>0</v>
      </c>
      <c r="DN187">
        <f>IF(IF(OR(IFERROR(SEARCH("Druid",$T187,1),0)&gt;0,IFERROR(SEARCH(DruidLand1,$T187,1),0)&gt;0,IFERROR(SEARCH(DruidLand2,$T187,1),0)&gt;0,IFERROR(SEARCH(DruidLand3,$T187,1),0)&gt;0,IFERROR(SEARCH(DruidLand4,$T187,1),0)&gt;0),1,0)*IF($C187=1,1,0)*IF($C187=DN$2,1,0)=0,0,1+COUNTIF(DN$3:DN186,"&gt;0"))</f>
        <v>0</v>
      </c>
      <c r="DO187">
        <f>IF(IF(OR(IFERROR(SEARCH("Druid",$T187,1),0)&gt;0,IFERROR(SEARCH(DruidLand1,$T187,1),0)&gt;0,IFERROR(SEARCH(DruidLand2,$T187,1),0)&gt;0,IFERROR(SEARCH(DruidLand3,$T187,1),0)&gt;0,IFERROR(SEARCH(DruidLand4,$T187,1),0)&gt;0),1,0)*IF($C187=1,1,0)*IF($C187=DO$2,1,0)=0,0,1+COUNTIF(DO$3:DO186,"&gt;0"))</f>
        <v>0</v>
      </c>
      <c r="DP187">
        <f>IF(IF(OR(IFERROR(SEARCH("Druid",$T187,1),0)&gt;0,IFERROR(SEARCH(DruidLand1,$T187,1),0)&gt;0,IFERROR(SEARCH(DruidLand2,$T187,1),0)&gt;0,IFERROR(SEARCH(DruidLand3,$T187,1),0)&gt;0,IFERROR(SEARCH(DruidLand4,$T187,1),0)&gt;0),1,0)*IF($C187=1,1,0)*IF($C187=DP$2,1,0)=0,0,1+COUNTIF(DP$3:DP186,"&gt;0"))</f>
        <v>0</v>
      </c>
      <c r="DQ187">
        <f>IF(IF(OR(IFERROR(SEARCH("Druid",$T187,1),0)&gt;0,IFERROR(SEARCH(DruidLand1,$T187,1),0)&gt;0,IFERROR(SEARCH(DruidLand2,$T187,1),0)&gt;0,IFERROR(SEARCH(DruidLand3,$T187,1),0)&gt;0,IFERROR(SEARCH(DruidLand4,$T187,1),0)&gt;0),1,0)*IF($C187=1,1,0)*IF($C187=DQ$2,1,0)=0,0,1+COUNTIF(DQ$3:DQ186,"&gt;0"))</f>
        <v>0</v>
      </c>
      <c r="DR187">
        <f>IF(IF(OR(IFERROR(SEARCH("Druid",$T187,1),0)&gt;0,IFERROR(SEARCH(DruidLand1,$T187,1),0)&gt;0,IFERROR(SEARCH(DruidLand2,$T187,1),0)&gt;0,IFERROR(SEARCH(DruidLand3,$T187,1),0)&gt;0,IFERROR(SEARCH(DruidLand4,$T187,1),0)&gt;0),1,0)*IF($C187=1,1,0)*IF($C187=DR$2,1,0)=0,0,1+COUNTIF(DR$3:DR186,"&gt;0"))</f>
        <v>0</v>
      </c>
      <c r="DS187">
        <f>IF(IF(OR(IFERROR(SEARCH("Paladin",$T187,1),0)&gt;0,IFERROR(SEARCH(PaladinOath,$T187,1),0)&gt;0),1,0)*IF($C187=DS$2,1,0)=1,1+COUNTIF(DS$3:DS186,"&gt;0"),0)</f>
        <v>0</v>
      </c>
      <c r="DT187">
        <f>IF(IF(OR(IFERROR(SEARCH("Paladin",$T187,1),0)&gt;0,IFERROR(SEARCH(PaladinOath,$T187,1),0)&gt;0),1,0)*IF($C187=DT$2,1,0)=1,1+COUNTIF(DT$3:DT186,"&gt;0"),0)</f>
        <v>0</v>
      </c>
      <c r="DU187">
        <f>IF(IF(OR(IFERROR(SEARCH("Paladin",$T187,1),0)&gt;0,IFERROR(SEARCH(PaladinOath,$T187,1),0)&gt;0),1,0)*IF($C187=DU$2,1,0)=1,1+COUNTIF(DU$3:DU186,"&gt;0"),0)</f>
        <v>0</v>
      </c>
      <c r="DV187">
        <f>IF(IF(OR(IFERROR(SEARCH("Paladin",$T187,1),0)&gt;0,IFERROR(SEARCH(PaladinOath,$T187,1),0)&gt;0),1,0)*IF($C187=DV$2,1,0)=1,1+COUNTIF(DV$3:DV186,"&gt;0"),0)</f>
        <v>0</v>
      </c>
      <c r="DW187">
        <f>IF(IF(OR(IFERROR(SEARCH("Paladin",$T187,1),0)&gt;0,IFERROR(SEARCH(PaladinOath,$T187,1),0)&gt;0),1,0)*IF($C187=DW$2,1,0)=1,1+COUNTIF(DW$3:DW186,"&gt;0"),0)</f>
        <v>0</v>
      </c>
      <c r="DY187">
        <f t="shared" si="111"/>
        <v>1</v>
      </c>
      <c r="DZ187">
        <f>IF(DY187=0,0,1+MAX(DZ$3:$DZ186))</f>
        <v>185</v>
      </c>
      <c r="EB187">
        <f t="shared" si="125"/>
        <v>0</v>
      </c>
      <c r="EC187">
        <f>IF(EB187=0,0,1+COUNTIF(EC$3:EC186,"&gt;0"))</f>
        <v>0</v>
      </c>
      <c r="ED187" t="str">
        <f t="shared" si="153"/>
        <v/>
      </c>
      <c r="EE187" t="str">
        <f t="shared" si="126"/>
        <v/>
      </c>
      <c r="EG187">
        <f t="shared" si="127"/>
        <v>0</v>
      </c>
      <c r="EH187">
        <f>IF(EG187=0,0,1+COUNTIF(EH$3:EH186,"&gt;0"))</f>
        <v>0</v>
      </c>
      <c r="EI187" t="str">
        <f t="shared" si="154"/>
        <v/>
      </c>
      <c r="EJ187" t="str">
        <f t="shared" si="128"/>
        <v/>
      </c>
      <c r="EL187">
        <f t="shared" si="129"/>
        <v>0</v>
      </c>
      <c r="EM187">
        <f>IF(EL187=0,0,1+COUNTIF(EM$3:EM186,"&gt;0"))</f>
        <v>0</v>
      </c>
      <c r="EN187" t="str">
        <f t="shared" si="155"/>
        <v/>
      </c>
      <c r="EO187" t="str">
        <f t="shared" si="130"/>
        <v/>
      </c>
      <c r="EQ187">
        <f t="shared" si="131"/>
        <v>0</v>
      </c>
      <c r="ER187">
        <f>IF(EQ187=0,0,1+COUNTIF(ER$3:ER186,"&gt;0"))</f>
        <v>0</v>
      </c>
      <c r="ES187" t="str">
        <f t="shared" si="156"/>
        <v/>
      </c>
      <c r="ET187" t="str">
        <f t="shared" si="132"/>
        <v/>
      </c>
      <c r="EV187">
        <f t="shared" si="133"/>
        <v>0</v>
      </c>
      <c r="EW187">
        <f>IF(EV187=0,0,1+COUNTIF(EW$3:EW186,"&gt;0"))</f>
        <v>0</v>
      </c>
      <c r="EX187" t="str">
        <f t="shared" si="157"/>
        <v/>
      </c>
      <c r="EY187" t="str">
        <f t="shared" si="134"/>
        <v/>
      </c>
      <c r="FA187">
        <f t="shared" si="135"/>
        <v>0</v>
      </c>
      <c r="FB187">
        <f>IF(FA187=0,0,1+COUNTIF(FB$3:FB186,"&gt;0"))</f>
        <v>0</v>
      </c>
      <c r="FC187" t="str">
        <f t="shared" si="158"/>
        <v/>
      </c>
      <c r="FD187" t="str">
        <f t="shared" si="136"/>
        <v/>
      </c>
      <c r="FF187">
        <f t="shared" si="137"/>
        <v>0</v>
      </c>
      <c r="FG187">
        <f>IF(FF187=0,0,1+COUNTIF(FG$3:FG186,"&gt;0"))</f>
        <v>0</v>
      </c>
      <c r="FH187" t="str">
        <f t="shared" si="159"/>
        <v/>
      </c>
      <c r="FI187" t="str">
        <f t="shared" si="138"/>
        <v/>
      </c>
      <c r="FK187">
        <f t="shared" si="139"/>
        <v>0</v>
      </c>
      <c r="FL187">
        <f>IF(FK187=0,0,1+COUNTIF(FL$3:FL186,"&gt;0"))</f>
        <v>0</v>
      </c>
      <c r="FM187" t="str">
        <f t="shared" si="160"/>
        <v/>
      </c>
      <c r="FN187" t="str">
        <f t="shared" si="140"/>
        <v/>
      </c>
      <c r="FP187">
        <f t="shared" si="141"/>
        <v>0</v>
      </c>
      <c r="FQ187">
        <f>IF(FP187=0,0,1+COUNTIF(FQ$3:FQ186,"&gt;0"))</f>
        <v>0</v>
      </c>
      <c r="FR187" t="str">
        <f t="shared" si="161"/>
        <v/>
      </c>
      <c r="FS187" t="str">
        <f t="shared" si="142"/>
        <v/>
      </c>
    </row>
    <row r="188" spans="1:175" x14ac:dyDescent="0.25">
      <c r="A188" s="347">
        <f t="shared" si="162"/>
        <v>186</v>
      </c>
      <c r="B188" s="348" t="s">
        <v>2565</v>
      </c>
      <c r="C188" s="348">
        <v>1</v>
      </c>
      <c r="D188" s="347">
        <v>1</v>
      </c>
      <c r="E188" s="627" t="s">
        <v>6952</v>
      </c>
      <c r="F188" s="346"/>
      <c r="G188" s="347" t="str">
        <f>""</f>
        <v/>
      </c>
      <c r="H188" s="347" t="s">
        <v>5918</v>
      </c>
      <c r="I188" s="347" t="s">
        <v>5312</v>
      </c>
      <c r="J188" s="347" t="str">
        <f t="shared" si="112"/>
        <v/>
      </c>
      <c r="K188" s="347" t="s">
        <v>5284</v>
      </c>
      <c r="L188" s="611" t="str">
        <f t="shared" si="113"/>
        <v>V</v>
      </c>
      <c r="M188" s="347" t="s">
        <v>2373</v>
      </c>
      <c r="N188" s="347" t="s">
        <v>3034</v>
      </c>
      <c r="O188" s="347" t="s">
        <v>3034</v>
      </c>
      <c r="P188" s="346" t="str">
        <f>""</f>
        <v/>
      </c>
      <c r="Q188" s="347" t="s">
        <v>2473</v>
      </c>
      <c r="S188" s="346" t="s">
        <v>5736</v>
      </c>
      <c r="T188" s="346" t="str">
        <f t="shared" si="114"/>
        <v xml:space="preserve">Ranger, Vengeance, </v>
      </c>
      <c r="W188" s="347" t="str">
        <f>$B188</f>
        <v>Hunter's Mark</v>
      </c>
      <c r="AE188" t="str">
        <f>IF(IFERROR(MATCH($B188,temp!A$4:A$13,0),0)&gt;0,T08_Spells!AE$2,"")</f>
        <v/>
      </c>
      <c r="AF188" t="str">
        <f>IF(IFERROR(MATCH($B188,temp!B$4:B$13,0),0)&gt;0,T08_Spells!AF$2,"")</f>
        <v>Vengeance</v>
      </c>
      <c r="AG188" t="str">
        <f>IF(IFERROR(MATCH($B188,temp!C$4:C$13,0),0)&gt;0,T08_Spells!AG$2,"")</f>
        <v/>
      </c>
      <c r="AH188" t="str">
        <f>IF(IFERROR(MATCH($B188,temp!D$4:D$13,0),0)&gt;0,T08_Spells!AH$2,"")</f>
        <v/>
      </c>
      <c r="AI188" t="str">
        <f>IF(IFERROR(MATCH($B188,temp!E$4:E$13,0),0)&gt;0,T08_Spells!AI$2,"")</f>
        <v/>
      </c>
      <c r="AJ188" t="str">
        <f>IF(IFERROR(MATCH($B188,temp!F$4:F$13,0),0)&gt;0,T08_Spells!AJ$2,"")</f>
        <v/>
      </c>
      <c r="AK188" t="str">
        <f>IF(IFERROR(MATCH($B188,temp!G$4:G$13,0),0)&gt;0,T08_Spells!AK$2,"")</f>
        <v/>
      </c>
      <c r="AL188" t="str">
        <f>IF(IFERROR(MATCH($B188,temp!H$4:H$13,0),0)&gt;0,T08_Spells!AL$2,"")</f>
        <v/>
      </c>
      <c r="AM188" t="str">
        <f>IF(IFERROR(MATCH($B188,temp!I$4:I$13,0),0)&gt;0,T08_Spells!AM$2,"")</f>
        <v/>
      </c>
      <c r="AN188" t="str">
        <f>IF(IFERROR(MATCH($B188,temp!J$4:J$13,0),0)&gt;0,T08_Spells!AN$2,"")</f>
        <v/>
      </c>
      <c r="AO188" t="str">
        <f>IF(IFERROR(MATCH($B188,temp!K$4:K$13,0),0)&gt;0,T08_Spells!AO$2,"")</f>
        <v/>
      </c>
      <c r="AP188" t="str">
        <f>IF(IFERROR(MATCH($B188,temp!L$4:L$13,0),0)&gt;0,T08_Spells!AP$2,"")</f>
        <v/>
      </c>
      <c r="AQ188" t="str">
        <f>IF(IFERROR(MATCH($B188,temp!M$4:M$13,0),0)&gt;0,T08_Spells!AQ$2,"")</f>
        <v/>
      </c>
      <c r="AR188" t="str">
        <f>IF(IFERROR(MATCH($B188,temp!N$4:N$13,0),0)&gt;0,T08_Spells!AR$2,"")</f>
        <v/>
      </c>
      <c r="AS188" t="str">
        <f>IF(IFERROR(MATCH($B188,temp!O$4:O$13,0),0)&gt;0,T08_Spells!AS$2,"")</f>
        <v/>
      </c>
      <c r="AT188" t="str">
        <f>IF(IFERROR(MATCH($B188,temp!P$4:P$13,0),0)&gt;0,T08_Spells!AT$2,"")</f>
        <v/>
      </c>
      <c r="AU188" t="str">
        <f>IF(IFERROR(MATCH($B188,temp!Q$4:Q$13,0),0)&gt;0,T08_Spells!AU$2,"")</f>
        <v/>
      </c>
      <c r="AV188" t="str">
        <f>IF(IFERROR(MATCH($B188,temp!R$4:R$13,0),0)&gt;0,T08_Spells!AV$2,"")</f>
        <v/>
      </c>
      <c r="AW188" t="str">
        <f>IF(IFERROR(MATCH($B188,temp!S$4:S$13,0),0)&gt;0,T08_Spells!AW$2,"")</f>
        <v/>
      </c>
      <c r="AX188" t="str">
        <f>IF(IFERROR(MATCH($B188,temp!T$4:T$13,0),0)&gt;0,T08_Spells!AX$2,"")</f>
        <v/>
      </c>
      <c r="AY188" t="str">
        <f>IF(IFERROR(MATCH($B188,temp!U$4:U$13,0),0)&gt;0,T08_Spells!AY$2,"")</f>
        <v/>
      </c>
      <c r="AZ188" t="str">
        <f>IF(IFERROR(MATCH($B188,temp!V$4:V$13,0),0)&gt;0,T08_Spells!AZ$2,"")</f>
        <v/>
      </c>
      <c r="BA188" t="str">
        <f>IF(IFERROR(MATCH($B188,temp!W$4:W$13,0),0)&gt;0,T08_Spells!BA$2,"")</f>
        <v/>
      </c>
      <c r="BC188">
        <f>IF(IFERROR(SEARCH("Ranger",$T188,1),0)&gt;0,1,0)*IF(RangerMaxSpellLevel&gt;=$C188,1,0)*IF(IFERROR(MATCH(B188,Character_Creation!$X$79:$X$382,0),0)&gt;0,0,1)</f>
        <v>0</v>
      </c>
      <c r="BD188">
        <f>IF(BC188=0,0,1+COUNTIF(BD$3:BD187,"&gt;0"))</f>
        <v>0</v>
      </c>
      <c r="BE188" t="str">
        <f t="shared" si="143"/>
        <v/>
      </c>
      <c r="BF188" t="str">
        <f t="shared" si="115"/>
        <v/>
      </c>
      <c r="BH188">
        <f>IF(IFERROR(SEARCH("Sorcerer",$T188,1),0)&gt;0,1,0)*IF(SorcererMaxSpellLevel&gt;=$C188,1,0)*IF(IFERROR(MATCH(B188,Character_Creation!$J$380:$J$394,0),0)&gt;0,0,1)</f>
        <v>0</v>
      </c>
      <c r="BI188">
        <f>IF(BH188=0,0,1+COUNTIF(BI$3:BI187,"&gt;0"))</f>
        <v>0</v>
      </c>
      <c r="BJ188" t="str">
        <f t="shared" si="144"/>
        <v/>
      </c>
      <c r="BK188" t="str">
        <f t="shared" si="116"/>
        <v/>
      </c>
      <c r="BM188">
        <f>IF(OR(IFERROR(SEARCH("Warlock",$T188,1),0)&gt;0,IFERROR(SEARCH(WarlockPatron,$T188,1),0)&gt;0),1,0)*IF(WarlockMaxSpellLevel&gt;=$C188,1,0)*IF(IFERROR(MATCH(B188,Character_Creation!$J$361:$J$375,0),0)&gt;0,0,1)</f>
        <v>0</v>
      </c>
      <c r="BN188">
        <f>IF(BM188=0,0,1+COUNTIF(BN$3:BN187,"&gt;0"))</f>
        <v>0</v>
      </c>
      <c r="BO188" t="str">
        <f t="shared" si="145"/>
        <v/>
      </c>
      <c r="BP188" t="str">
        <f t="shared" si="117"/>
        <v/>
      </c>
      <c r="BR188">
        <f>IF(IFERROR(SEARCH("Eldritch Knight",$T188,1),0)&gt;0,1,0)*IF(EldritchKnightMaxSpellLevel&gt;=$C188,1,0)*IF(IFERROR(MATCH($B188,Character_Creation!$J$350:$J$356,0),0)&gt;0,0,1)*IF(Character_Creation!$M$338&gt;0,1,0)</f>
        <v>0</v>
      </c>
      <c r="BS188">
        <f>IF(BR188=0,0,1+COUNTIF(BS$3:BS187,"&gt;0"))</f>
        <v>0</v>
      </c>
      <c r="BT188" t="str">
        <f t="shared" si="146"/>
        <v/>
      </c>
      <c r="BU188" t="str">
        <f t="shared" si="118"/>
        <v/>
      </c>
      <c r="BW188">
        <f>IF(IFERROR(SEARCH("Arcane Trickster",$T188,1),0)&gt;0,1,0)*IF(ArcaneTricksterMaxSpellLevel&gt;=$C188,1,0)*IF(IFERROR(MATCH($B188,Character_Creation!$J$350:$J$356,0),0)&gt;0,0,1)*IF(Character_Creation!$T$338&gt;0,1,0)</f>
        <v>0</v>
      </c>
      <c r="BX188">
        <f>IF(BW188=0,0,1+COUNTIF(BX$3:BX187,"&gt;0"))</f>
        <v>0</v>
      </c>
      <c r="BY188" t="str">
        <f t="shared" si="147"/>
        <v/>
      </c>
      <c r="BZ188" t="str">
        <f t="shared" si="119"/>
        <v/>
      </c>
      <c r="CB188">
        <f>IF(IFERROR(SEARCH("Wizard",$T188,1),0)&gt;0,1,0)*IF(C188&lt;=ArcaneTricksterMaxSpellLevel,1,0)*IF(IFERROR(MATCH($B188,Character_Creation!$J$350:$J$356,0),0)&gt;0,0,1)*IF(Character_Creation!$T$350&gt;0,1,0)</f>
        <v>0</v>
      </c>
      <c r="CC188">
        <f>IF(CB188=0,0,1+COUNTIF(CC$3:CC187,"&gt;0"))</f>
        <v>0</v>
      </c>
      <c r="CD188" t="str">
        <f t="shared" si="148"/>
        <v/>
      </c>
      <c r="CE188" t="str">
        <f t="shared" si="120"/>
        <v/>
      </c>
      <c r="CG188">
        <f>IF(IFERROR(SEARCH("Wizard",$T188,1),0)&gt;0,1,0)*IF($C188&lt;=EldritchKnightMaxSpellLevel,1,0)*IF(IFERROR(MATCH($B188,Character_Creation!$J$350:$J$356,0),0)&gt;0,0,1)*IF(Character_Creation!$M$350&gt;0,1,0)</f>
        <v>0</v>
      </c>
      <c r="CH188">
        <f>IF(CG188=0,0,1+COUNTIF(CH$3:CH187,"&gt;0"))</f>
        <v>0</v>
      </c>
      <c r="CI188" t="str">
        <f t="shared" si="149"/>
        <v/>
      </c>
      <c r="CJ188" t="str">
        <f t="shared" si="121"/>
        <v/>
      </c>
      <c r="CL188">
        <f>IF(IFERROR(SEARCH("Bard",$T188,1),0)&gt;0,1,0)*IF(BardMaxSpellLevel&gt;=$C188,1,0)*IF(IFERROR(MATCH(B188,Character_Creation!$C$341:$F$362,0),0)&gt;0,0,1)*IF(IFERROR(MATCH($B188,Character_Creation!$C$341:$C$362,0),0)&gt;0,0,1)</f>
        <v>0</v>
      </c>
      <c r="CM188">
        <f>IF(CL188=0,0,1+COUNTIF(CM$3:CM187,"&gt;0"))</f>
        <v>0</v>
      </c>
      <c r="CN188" t="str">
        <f t="shared" si="150"/>
        <v/>
      </c>
      <c r="CO188" t="str">
        <f t="shared" si="122"/>
        <v/>
      </c>
      <c r="CQ188">
        <f>IF(IFERROR(SEARCH("Wizard",$T188,1),0)&gt;0,1,0)*IF(WizardMaxSpellLevel&gt;=$C188,1,0)*IF(IFERROR(MATCH(B188,Character_Creation!$X$341:$X$400,0),0)&gt;0,0,1)*IF(SelectedWizardSpellLevel=$C188,1,0)</f>
        <v>0</v>
      </c>
      <c r="CR188">
        <f>IF(CQ188=0,0,1+COUNTIF(CR$3:CR187,"&gt;0"))</f>
        <v>0</v>
      </c>
      <c r="CS188" t="str">
        <f t="shared" si="151"/>
        <v/>
      </c>
      <c r="CT188" t="str">
        <f t="shared" si="123"/>
        <v/>
      </c>
      <c r="CV188">
        <f>IF(IFERROR(MATCH($B188,Character_Creation!$C$341:$C$362,0),0)&gt;0,0,1)*IF(OR(C188="Cantrip",C188&lt;=BardMaxSpellLevel),1,0)*IF(IFERROR(MATCH($B188,Character_Creation!$C$367:$C$374,0),0)&gt;0,0,1)</f>
        <v>0</v>
      </c>
      <c r="CW188">
        <f>IF(CV188=0,0,1+COUNTIF(CW$3:CW187,"&gt;0"))</f>
        <v>0</v>
      </c>
      <c r="CX188" t="str">
        <f t="shared" si="152"/>
        <v/>
      </c>
      <c r="CY188" t="str">
        <f t="shared" si="124"/>
        <v/>
      </c>
      <c r="DA188">
        <f>IF(IF(OR(IFERROR(SEARCH("Cleric",$T188,1),0)&gt;0,IFERROR(SEARCH(DivineDomain&amp;",",$T188,1),0)&gt;0),1,0)*IF($C188=DA$2,1,0)=1,1+COUNTIF(DA$3:DA187,"&gt;0"),0)</f>
        <v>0</v>
      </c>
      <c r="DB188">
        <f>IF(IF(OR(IFERROR(SEARCH("Cleric",$T188,1),0)&gt;0,IFERROR(SEARCH(DivineDomain&amp;",",$T188,1),0)&gt;0),1,0)*IF($C188=DB$2,1,0)=1,1+COUNTIF(DB$3:DB187,"&gt;0"),0)</f>
        <v>0</v>
      </c>
      <c r="DC188">
        <f>IF(IF(OR(IFERROR(SEARCH("Cleric",$T188,1),0)&gt;0,IFERROR(SEARCH(DivineDomain&amp;",",$T188,1),0)&gt;0),1,0)*IF($C188=DC$2,1,0)=1,1+COUNTIF(DC$3:DC187,"&gt;0"),0)</f>
        <v>0</v>
      </c>
      <c r="DD188">
        <f>IF(IF(OR(IFERROR(SEARCH("Cleric",$T188,1),0)&gt;0,IFERROR(SEARCH(DivineDomain&amp;",",$T188,1),0)&gt;0),1,0)*IF($C188=DD$2,1,0)=1,1+COUNTIF(DD$3:DD187,"&gt;0"),0)</f>
        <v>0</v>
      </c>
      <c r="DE188">
        <f>IF(IF(OR(IFERROR(SEARCH("Cleric",$T188,1),0)&gt;0,IFERROR(SEARCH(DivineDomain&amp;",",$T188,1),0)&gt;0),1,0)*IF($C188=DE$2,1,0)=1,1+COUNTIF(DE$3:DE187,"&gt;0"),0)</f>
        <v>0</v>
      </c>
      <c r="DF188">
        <f>IF(IF(OR(IFERROR(SEARCH("Cleric",$T188,1),0)&gt;0,IFERROR(SEARCH(DivineDomain&amp;",",$T188,1),0)&gt;0),1,0)*IF($C188=DF$2,1,0)=1,1+COUNTIF(DF$3:DF187,"&gt;0"),0)</f>
        <v>0</v>
      </c>
      <c r="DG188">
        <f>IF(IF(OR(IFERROR(SEARCH("Cleric",$T188,1),0)&gt;0,IFERROR(SEARCH(DivineDomain&amp;",",$T188,1),0)&gt;0),1,0)*IF($C188=DG$2,1,0)=1,1+COUNTIF(DG$3:DG187,"&gt;0"),0)</f>
        <v>0</v>
      </c>
      <c r="DH188">
        <f>IF(IF(OR(IFERROR(SEARCH("Cleric",$T188,1),0)&gt;0,IFERROR(SEARCH(DivineDomain&amp;",",$T188,1),0)&gt;0),1,0)*IF($C188=DH$2,1,0)=1,1+COUNTIF(DH$3:DH187,"&gt;0"),0)</f>
        <v>0</v>
      </c>
      <c r="DI188">
        <f>IF(IF(OR(IFERROR(SEARCH("Cleric",$T188,1),0)&gt;0,IFERROR(SEARCH(DivineDomain&amp;",",$T188,1),0)&gt;0),1,0)*IF($C188=DI$2,1,0)=1,1+COUNTIF(DI$3:DI187,"&gt;0"),0)</f>
        <v>0</v>
      </c>
      <c r="DJ188">
        <f>IF(IF(OR(IFERROR(SEARCH("Druid",$T188,1),0)&gt;0,IFERROR(SEARCH(DruidLand1,$T188,1),0)&gt;0,IFERROR(SEARCH(DruidLand2,$T188,1),0)&gt;0,IFERROR(SEARCH(DruidLand3,$T188,1),0)&gt;0,IFERROR(SEARCH(DruidLand4,$T188,1),0)&gt;0),1,0)*IF($C188=1,1,0)*IF($C188=DJ$2,1,0)=0,0,1+COUNTIF(DJ$3:DJ187,"&gt;0"))</f>
        <v>0</v>
      </c>
      <c r="DK188">
        <f>IF(IF(OR(IFERROR(SEARCH("Druid",$T188,1),0)&gt;0,IFERROR(SEARCH(DruidLand1,$T188,1),0)&gt;0,IFERROR(SEARCH(DruidLand2,$T188,1),0)&gt;0,IFERROR(SEARCH(DruidLand3,$T188,1),0)&gt;0,IFERROR(SEARCH(DruidLand4,$T188,1),0)&gt;0),1,0)*IF($C188=1,1,0)*IF($C188=DK$2,1,0)=0,0,1+COUNTIF(DK$3:DK187,"&gt;0"))</f>
        <v>0</v>
      </c>
      <c r="DL188">
        <f>IF(IF(OR(IFERROR(SEARCH("Druid",$T188,1),0)&gt;0,IFERROR(SEARCH(DruidLand1,$T188,1),0)&gt;0,IFERROR(SEARCH(DruidLand2,$T188,1),0)&gt;0,IFERROR(SEARCH(DruidLand3,$T188,1),0)&gt;0,IFERROR(SEARCH(DruidLand4,$T188,1),0)&gt;0),1,0)*IF($C188=1,1,0)*IF($C188=DL$2,1,0)=0,0,1+COUNTIF(DL$3:DL187,"&gt;0"))</f>
        <v>0</v>
      </c>
      <c r="DM188">
        <f>IF(IF(OR(IFERROR(SEARCH("Druid",$T188,1),0)&gt;0,IFERROR(SEARCH(DruidLand1,$T188,1),0)&gt;0,IFERROR(SEARCH(DruidLand2,$T188,1),0)&gt;0,IFERROR(SEARCH(DruidLand3,$T188,1),0)&gt;0,IFERROR(SEARCH(DruidLand4,$T188,1),0)&gt;0),1,0)*IF($C188=1,1,0)*IF($C188=DM$2,1,0)=0,0,1+COUNTIF(DM$3:DM187,"&gt;0"))</f>
        <v>0</v>
      </c>
      <c r="DN188">
        <f>IF(IF(OR(IFERROR(SEARCH("Druid",$T188,1),0)&gt;0,IFERROR(SEARCH(DruidLand1,$T188,1),0)&gt;0,IFERROR(SEARCH(DruidLand2,$T188,1),0)&gt;0,IFERROR(SEARCH(DruidLand3,$T188,1),0)&gt;0,IFERROR(SEARCH(DruidLand4,$T188,1),0)&gt;0),1,0)*IF($C188=1,1,0)*IF($C188=DN$2,1,0)=0,0,1+COUNTIF(DN$3:DN187,"&gt;0"))</f>
        <v>0</v>
      </c>
      <c r="DO188">
        <f>IF(IF(OR(IFERROR(SEARCH("Druid",$T188,1),0)&gt;0,IFERROR(SEARCH(DruidLand1,$T188,1),0)&gt;0,IFERROR(SEARCH(DruidLand2,$T188,1),0)&gt;0,IFERROR(SEARCH(DruidLand3,$T188,1),0)&gt;0,IFERROR(SEARCH(DruidLand4,$T188,1),0)&gt;0),1,0)*IF($C188=1,1,0)*IF($C188=DO$2,1,0)=0,0,1+COUNTIF(DO$3:DO187,"&gt;0"))</f>
        <v>0</v>
      </c>
      <c r="DP188">
        <f>IF(IF(OR(IFERROR(SEARCH("Druid",$T188,1),0)&gt;0,IFERROR(SEARCH(DruidLand1,$T188,1),0)&gt;0,IFERROR(SEARCH(DruidLand2,$T188,1),0)&gt;0,IFERROR(SEARCH(DruidLand3,$T188,1),0)&gt;0,IFERROR(SEARCH(DruidLand4,$T188,1),0)&gt;0),1,0)*IF($C188=1,1,0)*IF($C188=DP$2,1,0)=0,0,1+COUNTIF(DP$3:DP187,"&gt;0"))</f>
        <v>0</v>
      </c>
      <c r="DQ188">
        <f>IF(IF(OR(IFERROR(SEARCH("Druid",$T188,1),0)&gt;0,IFERROR(SEARCH(DruidLand1,$T188,1),0)&gt;0,IFERROR(SEARCH(DruidLand2,$T188,1),0)&gt;0,IFERROR(SEARCH(DruidLand3,$T188,1),0)&gt;0,IFERROR(SEARCH(DruidLand4,$T188,1),0)&gt;0),1,0)*IF($C188=1,1,0)*IF($C188=DQ$2,1,0)=0,0,1+COUNTIF(DQ$3:DQ187,"&gt;0"))</f>
        <v>0</v>
      </c>
      <c r="DR188">
        <f>IF(IF(OR(IFERROR(SEARCH("Druid",$T188,1),0)&gt;0,IFERROR(SEARCH(DruidLand1,$T188,1),0)&gt;0,IFERROR(SEARCH(DruidLand2,$T188,1),0)&gt;0,IFERROR(SEARCH(DruidLand3,$T188,1),0)&gt;0,IFERROR(SEARCH(DruidLand4,$T188,1),0)&gt;0),1,0)*IF($C188=1,1,0)*IF($C188=DR$2,1,0)=0,0,1+COUNTIF(DR$3:DR187,"&gt;0"))</f>
        <v>0</v>
      </c>
      <c r="DS188">
        <f>IF(IF(OR(IFERROR(SEARCH("Paladin",$T188,1),0)&gt;0,IFERROR(SEARCH(PaladinOath,$T188,1),0)&gt;0),1,0)*IF($C188=DS$2,1,0)=1,1+COUNTIF(DS$3:DS187,"&gt;0"),0)</f>
        <v>0</v>
      </c>
      <c r="DT188">
        <f>IF(IF(OR(IFERROR(SEARCH("Paladin",$T188,1),0)&gt;0,IFERROR(SEARCH(PaladinOath,$T188,1),0)&gt;0),1,0)*IF($C188=DT$2,1,0)=1,1+COUNTIF(DT$3:DT187,"&gt;0"),0)</f>
        <v>0</v>
      </c>
      <c r="DU188">
        <f>IF(IF(OR(IFERROR(SEARCH("Paladin",$T188,1),0)&gt;0,IFERROR(SEARCH(PaladinOath,$T188,1),0)&gt;0),1,0)*IF($C188=DU$2,1,0)=1,1+COUNTIF(DU$3:DU187,"&gt;0"),0)</f>
        <v>0</v>
      </c>
      <c r="DV188">
        <f>IF(IF(OR(IFERROR(SEARCH("Paladin",$T188,1),0)&gt;0,IFERROR(SEARCH(PaladinOath,$T188,1),0)&gt;0),1,0)*IF($C188=DV$2,1,0)=1,1+COUNTIF(DV$3:DV187,"&gt;0"),0)</f>
        <v>0</v>
      </c>
      <c r="DW188">
        <f>IF(IF(OR(IFERROR(SEARCH("Paladin",$T188,1),0)&gt;0,IFERROR(SEARCH(PaladinOath,$T188,1),0)&gt;0),1,0)*IF($C188=DW$2,1,0)=1,1+COUNTIF(DW$3:DW187,"&gt;0"),0)</f>
        <v>0</v>
      </c>
      <c r="DY188">
        <f t="shared" si="111"/>
        <v>1</v>
      </c>
      <c r="DZ188">
        <f>IF(DY188=0,0,1+MAX(DZ$3:$DZ187))</f>
        <v>186</v>
      </c>
      <c r="EB188">
        <f t="shared" si="125"/>
        <v>0</v>
      </c>
      <c r="EC188">
        <f>IF(EB188=0,0,1+COUNTIF(EC$3:EC187,"&gt;0"))</f>
        <v>0</v>
      </c>
      <c r="ED188" t="str">
        <f t="shared" si="153"/>
        <v/>
      </c>
      <c r="EE188" t="str">
        <f t="shared" si="126"/>
        <v/>
      </c>
      <c r="EG188">
        <f t="shared" si="127"/>
        <v>0</v>
      </c>
      <c r="EH188">
        <f>IF(EG188=0,0,1+COUNTIF(EH$3:EH187,"&gt;0"))</f>
        <v>0</v>
      </c>
      <c r="EI188" t="str">
        <f t="shared" si="154"/>
        <v/>
      </c>
      <c r="EJ188" t="str">
        <f t="shared" si="128"/>
        <v/>
      </c>
      <c r="EL188">
        <f t="shared" si="129"/>
        <v>0</v>
      </c>
      <c r="EM188">
        <f>IF(EL188=0,0,1+COUNTIF(EM$3:EM187,"&gt;0"))</f>
        <v>0</v>
      </c>
      <c r="EN188" t="str">
        <f t="shared" si="155"/>
        <v/>
      </c>
      <c r="EO188" t="str">
        <f t="shared" si="130"/>
        <v/>
      </c>
      <c r="EQ188">
        <f t="shared" si="131"/>
        <v>0</v>
      </c>
      <c r="ER188">
        <f>IF(EQ188=0,0,1+COUNTIF(ER$3:ER187,"&gt;0"))</f>
        <v>0</v>
      </c>
      <c r="ES188" t="str">
        <f t="shared" si="156"/>
        <v/>
      </c>
      <c r="ET188" t="str">
        <f t="shared" si="132"/>
        <v/>
      </c>
      <c r="EV188">
        <f t="shared" si="133"/>
        <v>0</v>
      </c>
      <c r="EW188">
        <f>IF(EV188=0,0,1+COUNTIF(EW$3:EW187,"&gt;0"))</f>
        <v>0</v>
      </c>
      <c r="EX188" t="str">
        <f t="shared" si="157"/>
        <v/>
      </c>
      <c r="EY188" t="str">
        <f t="shared" si="134"/>
        <v/>
      </c>
      <c r="FA188">
        <f t="shared" si="135"/>
        <v>0</v>
      </c>
      <c r="FB188">
        <f>IF(FA188=0,0,1+COUNTIF(FB$3:FB187,"&gt;0"))</f>
        <v>0</v>
      </c>
      <c r="FC188" t="str">
        <f t="shared" si="158"/>
        <v/>
      </c>
      <c r="FD188" t="str">
        <f t="shared" si="136"/>
        <v/>
      </c>
      <c r="FF188">
        <f t="shared" si="137"/>
        <v>0</v>
      </c>
      <c r="FG188">
        <f>IF(FF188=0,0,1+COUNTIF(FG$3:FG187,"&gt;0"))</f>
        <v>0</v>
      </c>
      <c r="FH188" t="str">
        <f t="shared" si="159"/>
        <v/>
      </c>
      <c r="FI188" t="str">
        <f t="shared" si="138"/>
        <v/>
      </c>
      <c r="FK188">
        <f t="shared" si="139"/>
        <v>0</v>
      </c>
      <c r="FL188">
        <f>IF(FK188=0,0,1+COUNTIF(FL$3:FL187,"&gt;0"))</f>
        <v>0</v>
      </c>
      <c r="FM188" t="str">
        <f t="shared" si="160"/>
        <v/>
      </c>
      <c r="FN188" t="str">
        <f t="shared" si="140"/>
        <v/>
      </c>
      <c r="FP188">
        <f t="shared" si="141"/>
        <v>0</v>
      </c>
      <c r="FQ188">
        <f>IF(FP188=0,0,1+COUNTIF(FQ$3:FQ187,"&gt;0"))</f>
        <v>0</v>
      </c>
      <c r="FR188" t="str">
        <f t="shared" si="161"/>
        <v/>
      </c>
      <c r="FS188" t="str">
        <f t="shared" si="142"/>
        <v/>
      </c>
    </row>
    <row r="189" spans="1:175" x14ac:dyDescent="0.25">
      <c r="A189" s="347">
        <f t="shared" si="162"/>
        <v>187</v>
      </c>
      <c r="B189" s="348" t="s">
        <v>2566</v>
      </c>
      <c r="C189" s="348">
        <v>3</v>
      </c>
      <c r="D189" s="347">
        <v>3</v>
      </c>
      <c r="E189" s="627" t="s">
        <v>6952</v>
      </c>
      <c r="F189" s="346"/>
      <c r="G189" s="347" t="str">
        <f>""</f>
        <v/>
      </c>
      <c r="H189" s="347" t="s">
        <v>5912</v>
      </c>
      <c r="I189" s="347" t="s">
        <v>5290</v>
      </c>
      <c r="J189" s="347" t="str">
        <f t="shared" si="112"/>
        <v/>
      </c>
      <c r="K189" s="347" t="s">
        <v>5291</v>
      </c>
      <c r="L189" s="611" t="str">
        <f t="shared" si="113"/>
        <v>S, M, a glowing stick of incense or a crystal vial filled with phosphorescent material</v>
      </c>
      <c r="M189" s="347" t="s">
        <v>3034</v>
      </c>
      <c r="N189" s="347" t="s">
        <v>2387</v>
      </c>
      <c r="O189" s="347" t="s">
        <v>1244</v>
      </c>
      <c r="P189" s="346" t="s">
        <v>5404</v>
      </c>
      <c r="Q189" s="347" t="s">
        <v>5274</v>
      </c>
      <c r="S189" s="346" t="s">
        <v>5737</v>
      </c>
      <c r="T189" s="346" t="str">
        <f t="shared" si="114"/>
        <v xml:space="preserve">Bard, Sorcerer, Warlock, Arcane Trickster, Wizard, </v>
      </c>
      <c r="U189" s="347" t="str">
        <f>$B189</f>
        <v>Hypnotic Pattern</v>
      </c>
      <c r="X189" s="347" t="str">
        <f>$B189</f>
        <v>Hypnotic Pattern</v>
      </c>
      <c r="Y189" s="347" t="str">
        <f>$B189</f>
        <v>Hypnotic Pattern</v>
      </c>
      <c r="AC189" s="539" t="str">
        <f>B189</f>
        <v>Hypnotic Pattern</v>
      </c>
      <c r="AD189" s="347" t="str">
        <f t="shared" ref="AD189:AD194" si="165">$B189</f>
        <v>Hypnotic Pattern</v>
      </c>
      <c r="AE189" t="str">
        <f>IF(IFERROR(MATCH($B189,temp!A$4:A$13,0),0)&gt;0,T08_Spells!AE$2,"")</f>
        <v/>
      </c>
      <c r="AF189" t="str">
        <f>IF(IFERROR(MATCH($B189,temp!B$4:B$13,0),0)&gt;0,T08_Spells!AF$2,"")</f>
        <v/>
      </c>
      <c r="AG189" t="str">
        <f>IF(IFERROR(MATCH($B189,temp!C$4:C$13,0),0)&gt;0,T08_Spells!AG$2,"")</f>
        <v/>
      </c>
      <c r="AH189" t="str">
        <f>IF(IFERROR(MATCH($B189,temp!D$4:D$13,0),0)&gt;0,T08_Spells!AH$2,"")</f>
        <v/>
      </c>
      <c r="AI189" t="str">
        <f>IF(IFERROR(MATCH($B189,temp!E$4:E$13,0),0)&gt;0,T08_Spells!AI$2,"")</f>
        <v/>
      </c>
      <c r="AJ189" t="str">
        <f>IF(IFERROR(MATCH($B189,temp!F$4:F$13,0),0)&gt;0,T08_Spells!AJ$2,"")</f>
        <v/>
      </c>
      <c r="AK189" t="str">
        <f>IF(IFERROR(MATCH($B189,temp!G$4:G$13,0),0)&gt;0,T08_Spells!AK$2,"")</f>
        <v/>
      </c>
      <c r="AL189" t="str">
        <f>IF(IFERROR(MATCH($B189,temp!H$4:H$13,0),0)&gt;0,T08_Spells!AL$2,"")</f>
        <v/>
      </c>
      <c r="AM189" t="str">
        <f>IF(IFERROR(MATCH($B189,temp!I$4:I$13,0),0)&gt;0,T08_Spells!AM$2,"")</f>
        <v/>
      </c>
      <c r="AN189" t="str">
        <f>IF(IFERROR(MATCH($B189,temp!J$4:J$13,0),0)&gt;0,T08_Spells!AN$2,"")</f>
        <v/>
      </c>
      <c r="AO189" t="str">
        <f>IF(IFERROR(MATCH($B189,temp!K$4:K$13,0),0)&gt;0,T08_Spells!AO$2,"")</f>
        <v/>
      </c>
      <c r="AP189" t="str">
        <f>IF(IFERROR(MATCH($B189,temp!L$4:L$13,0),0)&gt;0,T08_Spells!AP$2,"")</f>
        <v/>
      </c>
      <c r="AQ189" t="str">
        <f>IF(IFERROR(MATCH($B189,temp!M$4:M$13,0),0)&gt;0,T08_Spells!AQ$2,"")</f>
        <v/>
      </c>
      <c r="AR189" t="str">
        <f>IF(IFERROR(MATCH($B189,temp!N$4:N$13,0),0)&gt;0,T08_Spells!AR$2,"")</f>
        <v/>
      </c>
      <c r="AS189" t="str">
        <f>IF(IFERROR(MATCH($B189,temp!O$4:O$13,0),0)&gt;0,T08_Spells!AS$2,"")</f>
        <v/>
      </c>
      <c r="AT189" t="str">
        <f>IF(IFERROR(MATCH($B189,temp!P$4:P$13,0),0)&gt;0,T08_Spells!AT$2,"")</f>
        <v/>
      </c>
      <c r="AU189" t="str">
        <f>IF(IFERROR(MATCH($B189,temp!Q$4:Q$13,0),0)&gt;0,T08_Spells!AU$2,"")</f>
        <v/>
      </c>
      <c r="AV189" t="str">
        <f>IF(IFERROR(MATCH($B189,temp!R$4:R$13,0),0)&gt;0,T08_Spells!AV$2,"")</f>
        <v/>
      </c>
      <c r="AW189" t="str">
        <f>IF(IFERROR(MATCH($B189,temp!S$4:S$13,0),0)&gt;0,T08_Spells!AW$2,"")</f>
        <v/>
      </c>
      <c r="AX189" t="str">
        <f>IF(IFERROR(MATCH($B189,temp!T$4:T$13,0),0)&gt;0,T08_Spells!AX$2,"")</f>
        <v/>
      </c>
      <c r="AY189" t="str">
        <f>IF(IFERROR(MATCH($B189,temp!U$4:U$13,0),0)&gt;0,T08_Spells!AY$2,"")</f>
        <v/>
      </c>
      <c r="AZ189" t="str">
        <f>IF(IFERROR(MATCH($B189,temp!V$4:V$13,0),0)&gt;0,T08_Spells!AZ$2,"")</f>
        <v/>
      </c>
      <c r="BA189" t="str">
        <f>IF(IFERROR(MATCH($B189,temp!W$4:W$13,0),0)&gt;0,T08_Spells!BA$2,"")</f>
        <v/>
      </c>
      <c r="BC189">
        <f>IF(IFERROR(SEARCH("Ranger",$T189,1),0)&gt;0,1,0)*IF(RangerMaxSpellLevel&gt;=$C189,1,0)*IF(IFERROR(MATCH(B189,Character_Creation!$X$79:$X$382,0),0)&gt;0,0,1)</f>
        <v>0</v>
      </c>
      <c r="BD189">
        <f>IF(BC189=0,0,1+COUNTIF(BD$3:BD188,"&gt;0"))</f>
        <v>0</v>
      </c>
      <c r="BE189" t="str">
        <f t="shared" si="143"/>
        <v/>
      </c>
      <c r="BF189" t="str">
        <f t="shared" si="115"/>
        <v/>
      </c>
      <c r="BH189">
        <f>IF(IFERROR(SEARCH("Sorcerer",$T189,1),0)&gt;0,1,0)*IF(SorcererMaxSpellLevel&gt;=$C189,1,0)*IF(IFERROR(MATCH(B189,Character_Creation!$J$380:$J$394,0),0)&gt;0,0,1)</f>
        <v>0</v>
      </c>
      <c r="BI189">
        <f>IF(BH189=0,0,1+COUNTIF(BI$3:BI188,"&gt;0"))</f>
        <v>0</v>
      </c>
      <c r="BJ189" t="str">
        <f t="shared" si="144"/>
        <v/>
      </c>
      <c r="BK189" t="str">
        <f t="shared" si="116"/>
        <v/>
      </c>
      <c r="BM189">
        <f>IF(OR(IFERROR(SEARCH("Warlock",$T189,1),0)&gt;0,IFERROR(SEARCH(WarlockPatron,$T189,1),0)&gt;0),1,0)*IF(WarlockMaxSpellLevel&gt;=$C189,1,0)*IF(IFERROR(MATCH(B189,Character_Creation!$J$361:$J$375,0),0)&gt;0,0,1)</f>
        <v>0</v>
      </c>
      <c r="BN189">
        <f>IF(BM189=0,0,1+COUNTIF(BN$3:BN188,"&gt;0"))</f>
        <v>0</v>
      </c>
      <c r="BO189" t="str">
        <f t="shared" si="145"/>
        <v/>
      </c>
      <c r="BP189" t="str">
        <f t="shared" si="117"/>
        <v/>
      </c>
      <c r="BR189">
        <f>IF(IFERROR(SEARCH("Eldritch Knight",$T189,1),0)&gt;0,1,0)*IF(EldritchKnightMaxSpellLevel&gt;=$C189,1,0)*IF(IFERROR(MATCH($B189,Character_Creation!$J$350:$J$356,0),0)&gt;0,0,1)*IF(Character_Creation!$M$338&gt;0,1,0)</f>
        <v>0</v>
      </c>
      <c r="BS189">
        <f>IF(BR189=0,0,1+COUNTIF(BS$3:BS188,"&gt;0"))</f>
        <v>0</v>
      </c>
      <c r="BT189" t="str">
        <f t="shared" si="146"/>
        <v/>
      </c>
      <c r="BU189" t="str">
        <f t="shared" si="118"/>
        <v/>
      </c>
      <c r="BW189">
        <f>IF(IFERROR(SEARCH("Arcane Trickster",$T189,1),0)&gt;0,1,0)*IF(ArcaneTricksterMaxSpellLevel&gt;=$C189,1,0)*IF(IFERROR(MATCH($B189,Character_Creation!$J$350:$J$356,0),0)&gt;0,0,1)*IF(Character_Creation!$T$338&gt;0,1,0)</f>
        <v>0</v>
      </c>
      <c r="BX189">
        <f>IF(BW189=0,0,1+COUNTIF(BX$3:BX188,"&gt;0"))</f>
        <v>0</v>
      </c>
      <c r="BY189" t="str">
        <f t="shared" si="147"/>
        <v/>
      </c>
      <c r="BZ189" t="str">
        <f t="shared" si="119"/>
        <v/>
      </c>
      <c r="CB189">
        <f>IF(IFERROR(SEARCH("Wizard",$T189,1),0)&gt;0,1,0)*IF(C189&lt;=ArcaneTricksterMaxSpellLevel,1,0)*IF(IFERROR(MATCH($B189,Character_Creation!$J$350:$J$356,0),0)&gt;0,0,1)*IF(Character_Creation!$T$350&gt;0,1,0)</f>
        <v>0</v>
      </c>
      <c r="CC189">
        <f>IF(CB189=0,0,1+COUNTIF(CC$3:CC188,"&gt;0"))</f>
        <v>0</v>
      </c>
      <c r="CD189" t="str">
        <f t="shared" si="148"/>
        <v/>
      </c>
      <c r="CE189" t="str">
        <f t="shared" si="120"/>
        <v/>
      </c>
      <c r="CG189">
        <f>IF(IFERROR(SEARCH("Wizard",$T189,1),0)&gt;0,1,0)*IF($C189&lt;=EldritchKnightMaxSpellLevel,1,0)*IF(IFERROR(MATCH($B189,Character_Creation!$J$350:$J$356,0),0)&gt;0,0,1)*IF(Character_Creation!$M$350&gt;0,1,0)</f>
        <v>0</v>
      </c>
      <c r="CH189">
        <f>IF(CG189=0,0,1+COUNTIF(CH$3:CH188,"&gt;0"))</f>
        <v>0</v>
      </c>
      <c r="CI189" t="str">
        <f t="shared" si="149"/>
        <v/>
      </c>
      <c r="CJ189" t="str">
        <f t="shared" si="121"/>
        <v/>
      </c>
      <c r="CL189">
        <f>IF(IFERROR(SEARCH("Bard",$T189,1),0)&gt;0,1,0)*IF(BardMaxSpellLevel&gt;=$C189,1,0)*IF(IFERROR(MATCH(B189,Character_Creation!$C$341:$F$362,0),0)&gt;0,0,1)*IF(IFERROR(MATCH($B189,Character_Creation!$C$341:$C$362,0),0)&gt;0,0,1)</f>
        <v>0</v>
      </c>
      <c r="CM189">
        <f>IF(CL189=0,0,1+COUNTIF(CM$3:CM188,"&gt;0"))</f>
        <v>0</v>
      </c>
      <c r="CN189" t="str">
        <f t="shared" si="150"/>
        <v/>
      </c>
      <c r="CO189" t="str">
        <f t="shared" si="122"/>
        <v/>
      </c>
      <c r="CQ189">
        <f>IF(IFERROR(SEARCH("Wizard",$T189,1),0)&gt;0,1,0)*IF(WizardMaxSpellLevel&gt;=$C189,1,0)*IF(IFERROR(MATCH(B189,Character_Creation!$X$341:$X$400,0),0)&gt;0,0,1)*IF(SelectedWizardSpellLevel=$C189,1,0)</f>
        <v>1</v>
      </c>
      <c r="CR189">
        <f>IF(CQ189=0,0,1+COUNTIF(CR$3:CR188,"&gt;0"))</f>
        <v>12</v>
      </c>
      <c r="CS189" t="str">
        <f t="shared" si="151"/>
        <v/>
      </c>
      <c r="CT189" t="str">
        <f t="shared" si="123"/>
        <v/>
      </c>
      <c r="CV189">
        <f>IF(IFERROR(MATCH($B189,Character_Creation!$C$341:$C$362,0),0)&gt;0,0,1)*IF(OR(C189="Cantrip",C189&lt;=BardMaxSpellLevel),1,0)*IF(IFERROR(MATCH($B189,Character_Creation!$C$367:$C$374,0),0)&gt;0,0,1)</f>
        <v>0</v>
      </c>
      <c r="CW189">
        <f>IF(CV189=0,0,1+COUNTIF(CW$3:CW188,"&gt;0"))</f>
        <v>0</v>
      </c>
      <c r="CX189" t="str">
        <f t="shared" si="152"/>
        <v/>
      </c>
      <c r="CY189" t="str">
        <f t="shared" si="124"/>
        <v/>
      </c>
      <c r="DA189">
        <f>IF(IF(OR(IFERROR(SEARCH("Cleric",$T189,1),0)&gt;0,IFERROR(SEARCH(DivineDomain&amp;",",$T189,1),0)&gt;0),1,0)*IF($C189=DA$2,1,0)=1,1+COUNTIF(DA$3:DA188,"&gt;0"),0)</f>
        <v>0</v>
      </c>
      <c r="DB189">
        <f>IF(IF(OR(IFERROR(SEARCH("Cleric",$T189,1),0)&gt;0,IFERROR(SEARCH(DivineDomain&amp;",",$T189,1),0)&gt;0),1,0)*IF($C189=DB$2,1,0)=1,1+COUNTIF(DB$3:DB188,"&gt;0"),0)</f>
        <v>0</v>
      </c>
      <c r="DC189">
        <f>IF(IF(OR(IFERROR(SEARCH("Cleric",$T189,1),0)&gt;0,IFERROR(SEARCH(DivineDomain&amp;",",$T189,1),0)&gt;0),1,0)*IF($C189=DC$2,1,0)=1,1+COUNTIF(DC$3:DC188,"&gt;0"),0)</f>
        <v>0</v>
      </c>
      <c r="DD189">
        <f>IF(IF(OR(IFERROR(SEARCH("Cleric",$T189,1),0)&gt;0,IFERROR(SEARCH(DivineDomain&amp;",",$T189,1),0)&gt;0),1,0)*IF($C189=DD$2,1,0)=1,1+COUNTIF(DD$3:DD188,"&gt;0"),0)</f>
        <v>0</v>
      </c>
      <c r="DE189">
        <f>IF(IF(OR(IFERROR(SEARCH("Cleric",$T189,1),0)&gt;0,IFERROR(SEARCH(DivineDomain&amp;",",$T189,1),0)&gt;0),1,0)*IF($C189=DE$2,1,0)=1,1+COUNTIF(DE$3:DE188,"&gt;0"),0)</f>
        <v>0</v>
      </c>
      <c r="DF189">
        <f>IF(IF(OR(IFERROR(SEARCH("Cleric",$T189,1),0)&gt;0,IFERROR(SEARCH(DivineDomain&amp;",",$T189,1),0)&gt;0),1,0)*IF($C189=DF$2,1,0)=1,1+COUNTIF(DF$3:DF188,"&gt;0"),0)</f>
        <v>0</v>
      </c>
      <c r="DG189">
        <f>IF(IF(OR(IFERROR(SEARCH("Cleric",$T189,1),0)&gt;0,IFERROR(SEARCH(DivineDomain&amp;",",$T189,1),0)&gt;0),1,0)*IF($C189=DG$2,1,0)=1,1+COUNTIF(DG$3:DG188,"&gt;0"),0)</f>
        <v>0</v>
      </c>
      <c r="DH189">
        <f>IF(IF(OR(IFERROR(SEARCH("Cleric",$T189,1),0)&gt;0,IFERROR(SEARCH(DivineDomain&amp;",",$T189,1),0)&gt;0),1,0)*IF($C189=DH$2,1,0)=1,1+COUNTIF(DH$3:DH188,"&gt;0"),0)</f>
        <v>0</v>
      </c>
      <c r="DI189">
        <f>IF(IF(OR(IFERROR(SEARCH("Cleric",$T189,1),0)&gt;0,IFERROR(SEARCH(DivineDomain&amp;",",$T189,1),0)&gt;0),1,0)*IF($C189=DI$2,1,0)=1,1+COUNTIF(DI$3:DI188,"&gt;0"),0)</f>
        <v>0</v>
      </c>
      <c r="DJ189">
        <f>IF(IF(OR(IFERROR(SEARCH("Druid",$T189,1),0)&gt;0,IFERROR(SEARCH(DruidLand1,$T189,1),0)&gt;0,IFERROR(SEARCH(DruidLand2,$T189,1),0)&gt;0,IFERROR(SEARCH(DruidLand3,$T189,1),0)&gt;0,IFERROR(SEARCH(DruidLand4,$T189,1),0)&gt;0),1,0)*IF($C189=1,1,0)*IF($C189=DJ$2,1,0)=0,0,1+COUNTIF(DJ$3:DJ188,"&gt;0"))</f>
        <v>0</v>
      </c>
      <c r="DK189">
        <f>IF(IF(OR(IFERROR(SEARCH("Druid",$T189,1),0)&gt;0,IFERROR(SEARCH(DruidLand1,$T189,1),0)&gt;0,IFERROR(SEARCH(DruidLand2,$T189,1),0)&gt;0,IFERROR(SEARCH(DruidLand3,$T189,1),0)&gt;0,IFERROR(SEARCH(DruidLand4,$T189,1),0)&gt;0),1,0)*IF($C189=1,1,0)*IF($C189=DK$2,1,0)=0,0,1+COUNTIF(DK$3:DK188,"&gt;0"))</f>
        <v>0</v>
      </c>
      <c r="DL189">
        <f>IF(IF(OR(IFERROR(SEARCH("Druid",$T189,1),0)&gt;0,IFERROR(SEARCH(DruidLand1,$T189,1),0)&gt;0,IFERROR(SEARCH(DruidLand2,$T189,1),0)&gt;0,IFERROR(SEARCH(DruidLand3,$T189,1),0)&gt;0,IFERROR(SEARCH(DruidLand4,$T189,1),0)&gt;0),1,0)*IF($C189=1,1,0)*IF($C189=DL$2,1,0)=0,0,1+COUNTIF(DL$3:DL188,"&gt;0"))</f>
        <v>0</v>
      </c>
      <c r="DM189">
        <f>IF(IF(OR(IFERROR(SEARCH("Druid",$T189,1),0)&gt;0,IFERROR(SEARCH(DruidLand1,$T189,1),0)&gt;0,IFERROR(SEARCH(DruidLand2,$T189,1),0)&gt;0,IFERROR(SEARCH(DruidLand3,$T189,1),0)&gt;0,IFERROR(SEARCH(DruidLand4,$T189,1),0)&gt;0),1,0)*IF($C189=1,1,0)*IF($C189=DM$2,1,0)=0,0,1+COUNTIF(DM$3:DM188,"&gt;0"))</f>
        <v>0</v>
      </c>
      <c r="DN189">
        <f>IF(IF(OR(IFERROR(SEARCH("Druid",$T189,1),0)&gt;0,IFERROR(SEARCH(DruidLand1,$T189,1),0)&gt;0,IFERROR(SEARCH(DruidLand2,$T189,1),0)&gt;0,IFERROR(SEARCH(DruidLand3,$T189,1),0)&gt;0,IFERROR(SEARCH(DruidLand4,$T189,1),0)&gt;0),1,0)*IF($C189=1,1,0)*IF($C189=DN$2,1,0)=0,0,1+COUNTIF(DN$3:DN188,"&gt;0"))</f>
        <v>0</v>
      </c>
      <c r="DO189">
        <f>IF(IF(OR(IFERROR(SEARCH("Druid",$T189,1),0)&gt;0,IFERROR(SEARCH(DruidLand1,$T189,1),0)&gt;0,IFERROR(SEARCH(DruidLand2,$T189,1),0)&gt;0,IFERROR(SEARCH(DruidLand3,$T189,1),0)&gt;0,IFERROR(SEARCH(DruidLand4,$T189,1),0)&gt;0),1,0)*IF($C189=1,1,0)*IF($C189=DO$2,1,0)=0,0,1+COUNTIF(DO$3:DO188,"&gt;0"))</f>
        <v>0</v>
      </c>
      <c r="DP189">
        <f>IF(IF(OR(IFERROR(SEARCH("Druid",$T189,1),0)&gt;0,IFERROR(SEARCH(DruidLand1,$T189,1),0)&gt;0,IFERROR(SEARCH(DruidLand2,$T189,1),0)&gt;0,IFERROR(SEARCH(DruidLand3,$T189,1),0)&gt;0,IFERROR(SEARCH(DruidLand4,$T189,1),0)&gt;0),1,0)*IF($C189=1,1,0)*IF($C189=DP$2,1,0)=0,0,1+COUNTIF(DP$3:DP188,"&gt;0"))</f>
        <v>0</v>
      </c>
      <c r="DQ189">
        <f>IF(IF(OR(IFERROR(SEARCH("Druid",$T189,1),0)&gt;0,IFERROR(SEARCH(DruidLand1,$T189,1),0)&gt;0,IFERROR(SEARCH(DruidLand2,$T189,1),0)&gt;0,IFERROR(SEARCH(DruidLand3,$T189,1),0)&gt;0,IFERROR(SEARCH(DruidLand4,$T189,1),0)&gt;0),1,0)*IF($C189=1,1,0)*IF($C189=DQ$2,1,0)=0,0,1+COUNTIF(DQ$3:DQ188,"&gt;0"))</f>
        <v>0</v>
      </c>
      <c r="DR189">
        <f>IF(IF(OR(IFERROR(SEARCH("Druid",$T189,1),0)&gt;0,IFERROR(SEARCH(DruidLand1,$T189,1),0)&gt;0,IFERROR(SEARCH(DruidLand2,$T189,1),0)&gt;0,IFERROR(SEARCH(DruidLand3,$T189,1),0)&gt;0,IFERROR(SEARCH(DruidLand4,$T189,1),0)&gt;0),1,0)*IF($C189=1,1,0)*IF($C189=DR$2,1,0)=0,0,1+COUNTIF(DR$3:DR188,"&gt;0"))</f>
        <v>0</v>
      </c>
      <c r="DS189">
        <f>IF(IF(OR(IFERROR(SEARCH("Paladin",$T189,1),0)&gt;0,IFERROR(SEARCH(PaladinOath,$T189,1),0)&gt;0),1,0)*IF($C189=DS$2,1,0)=1,1+COUNTIF(DS$3:DS188,"&gt;0"),0)</f>
        <v>0</v>
      </c>
      <c r="DT189">
        <f>IF(IF(OR(IFERROR(SEARCH("Paladin",$T189,1),0)&gt;0,IFERROR(SEARCH(PaladinOath,$T189,1),0)&gt;0),1,0)*IF($C189=DT$2,1,0)=1,1+COUNTIF(DT$3:DT188,"&gt;0"),0)</f>
        <v>0</v>
      </c>
      <c r="DU189">
        <f>IF(IF(OR(IFERROR(SEARCH("Paladin",$T189,1),0)&gt;0,IFERROR(SEARCH(PaladinOath,$T189,1),0)&gt;0),1,0)*IF($C189=DU$2,1,0)=1,1+COUNTIF(DU$3:DU188,"&gt;0"),0)</f>
        <v>0</v>
      </c>
      <c r="DV189">
        <f>IF(IF(OR(IFERROR(SEARCH("Paladin",$T189,1),0)&gt;0,IFERROR(SEARCH(PaladinOath,$T189,1),0)&gt;0),1,0)*IF($C189=DV$2,1,0)=1,1+COUNTIF(DV$3:DV188,"&gt;0"),0)</f>
        <v>0</v>
      </c>
      <c r="DW189">
        <f>IF(IF(OR(IFERROR(SEARCH("Paladin",$T189,1),0)&gt;0,IFERROR(SEARCH(PaladinOath,$T189,1),0)&gt;0),1,0)*IF($C189=DW$2,1,0)=1,1+COUNTIF(DW$3:DW188,"&gt;0"),0)</f>
        <v>0</v>
      </c>
      <c r="DY189">
        <f t="shared" si="111"/>
        <v>1</v>
      </c>
      <c r="DZ189">
        <f>IF(DY189=0,0,1+MAX(DZ$3:$DZ188))</f>
        <v>187</v>
      </c>
      <c r="EB189">
        <f t="shared" si="125"/>
        <v>0</v>
      </c>
      <c r="EC189">
        <f>IF(EB189=0,0,1+COUNTIF(EC$3:EC188,"&gt;0"))</f>
        <v>0</v>
      </c>
      <c r="ED189" t="str">
        <f t="shared" si="153"/>
        <v/>
      </c>
      <c r="EE189" t="str">
        <f t="shared" si="126"/>
        <v/>
      </c>
      <c r="EG189">
        <f t="shared" si="127"/>
        <v>0</v>
      </c>
      <c r="EH189">
        <f>IF(EG189=0,0,1+COUNTIF(EH$3:EH188,"&gt;0"))</f>
        <v>0</v>
      </c>
      <c r="EI189" t="str">
        <f t="shared" si="154"/>
        <v/>
      </c>
      <c r="EJ189" t="str">
        <f t="shared" si="128"/>
        <v/>
      </c>
      <c r="EL189">
        <f t="shared" si="129"/>
        <v>0</v>
      </c>
      <c r="EM189">
        <f>IF(EL189=0,0,1+COUNTIF(EM$3:EM188,"&gt;0"))</f>
        <v>0</v>
      </c>
      <c r="EN189" t="str">
        <f t="shared" si="155"/>
        <v/>
      </c>
      <c r="EO189" t="str">
        <f t="shared" si="130"/>
        <v/>
      </c>
      <c r="EQ189">
        <f t="shared" si="131"/>
        <v>0</v>
      </c>
      <c r="ER189">
        <f>IF(EQ189=0,0,1+COUNTIF(ER$3:ER188,"&gt;0"))</f>
        <v>0</v>
      </c>
      <c r="ES189" t="str">
        <f t="shared" si="156"/>
        <v/>
      </c>
      <c r="ET189" t="str">
        <f t="shared" si="132"/>
        <v/>
      </c>
      <c r="EV189">
        <f t="shared" si="133"/>
        <v>0</v>
      </c>
      <c r="EW189">
        <f>IF(EV189=0,0,1+COUNTIF(EW$3:EW188,"&gt;0"))</f>
        <v>0</v>
      </c>
      <c r="EX189" t="str">
        <f t="shared" si="157"/>
        <v/>
      </c>
      <c r="EY189" t="str">
        <f t="shared" si="134"/>
        <v/>
      </c>
      <c r="FA189">
        <f t="shared" si="135"/>
        <v>0</v>
      </c>
      <c r="FB189">
        <f>IF(FA189=0,0,1+COUNTIF(FB$3:FB188,"&gt;0"))</f>
        <v>0</v>
      </c>
      <c r="FC189" t="str">
        <f t="shared" si="158"/>
        <v/>
      </c>
      <c r="FD189" t="str">
        <f t="shared" si="136"/>
        <v/>
      </c>
      <c r="FF189">
        <f t="shared" si="137"/>
        <v>0</v>
      </c>
      <c r="FG189">
        <f>IF(FF189=0,0,1+COUNTIF(FG$3:FG188,"&gt;0"))</f>
        <v>0</v>
      </c>
      <c r="FH189" t="str">
        <f t="shared" si="159"/>
        <v/>
      </c>
      <c r="FI189" t="str">
        <f t="shared" si="138"/>
        <v/>
      </c>
      <c r="FK189">
        <f t="shared" si="139"/>
        <v>0</v>
      </c>
      <c r="FL189">
        <f>IF(FK189=0,0,1+COUNTIF(FL$3:FL188,"&gt;0"))</f>
        <v>0</v>
      </c>
      <c r="FM189" t="str">
        <f t="shared" si="160"/>
        <v/>
      </c>
      <c r="FN189" t="str">
        <f t="shared" si="140"/>
        <v/>
      </c>
      <c r="FP189">
        <f t="shared" si="141"/>
        <v>0</v>
      </c>
      <c r="FQ189">
        <f>IF(FP189=0,0,1+COUNTIF(FQ$3:FQ188,"&gt;0"))</f>
        <v>0</v>
      </c>
      <c r="FR189" t="str">
        <f t="shared" si="161"/>
        <v/>
      </c>
      <c r="FS189" t="str">
        <f t="shared" si="142"/>
        <v/>
      </c>
    </row>
    <row r="190" spans="1:175" x14ac:dyDescent="0.25">
      <c r="A190" s="347">
        <f t="shared" si="162"/>
        <v>188</v>
      </c>
      <c r="B190" s="348" t="s">
        <v>2567</v>
      </c>
      <c r="C190" s="348">
        <v>4</v>
      </c>
      <c r="D190" s="347">
        <v>4</v>
      </c>
      <c r="E190" s="627" t="s">
        <v>6952</v>
      </c>
      <c r="F190" s="346"/>
      <c r="G190" s="347" t="str">
        <f>""</f>
        <v/>
      </c>
      <c r="H190" s="347" t="s">
        <v>5912</v>
      </c>
      <c r="I190" s="347" t="s">
        <v>5334</v>
      </c>
      <c r="J190" s="347" t="str">
        <f t="shared" si="112"/>
        <v/>
      </c>
      <c r="K190" s="347" t="s">
        <v>5278</v>
      </c>
      <c r="L190" s="611" t="str">
        <f t="shared" si="113"/>
        <v>V, S, M, a pinch of dust and a few drops of water</v>
      </c>
      <c r="M190" s="347" t="s">
        <v>2373</v>
      </c>
      <c r="N190" s="347" t="s">
        <v>2387</v>
      </c>
      <c r="O190" s="347" t="s">
        <v>1244</v>
      </c>
      <c r="P190" s="346" t="s">
        <v>5405</v>
      </c>
      <c r="Q190" s="347" t="s">
        <v>5273</v>
      </c>
      <c r="S190" s="346" t="s">
        <v>5738</v>
      </c>
      <c r="T190" s="346" t="str">
        <f t="shared" si="114"/>
        <v xml:space="preserve">Sorcerer, Druid, Eldritch Knight, Wizard, Ancients, Arctic, Tempest, </v>
      </c>
      <c r="X190" s="347" t="str">
        <f>$B190</f>
        <v>Ice Storm</v>
      </c>
      <c r="AA190" s="347" t="str">
        <f>$B190</f>
        <v>Ice Storm</v>
      </c>
      <c r="AB190" s="542" t="str">
        <f>AD190</f>
        <v>Ice Storm</v>
      </c>
      <c r="AD190" s="347" t="str">
        <f t="shared" si="165"/>
        <v>Ice Storm</v>
      </c>
      <c r="AE190" t="str">
        <f>IF(IFERROR(MATCH($B190,temp!A$4:A$13,0),0)&gt;0,T08_Spells!AE$2,"")</f>
        <v/>
      </c>
      <c r="AF190" t="str">
        <f>IF(IFERROR(MATCH($B190,temp!B$4:B$13,0),0)&gt;0,T08_Spells!AF$2,"")</f>
        <v/>
      </c>
      <c r="AG190" t="str">
        <f>IF(IFERROR(MATCH($B190,temp!C$4:C$13,0),0)&gt;0,T08_Spells!AG$2,"")</f>
        <v>Ancients</v>
      </c>
      <c r="AH190" t="str">
        <f>IF(IFERROR(MATCH($B190,temp!D$4:D$13,0),0)&gt;0,T08_Spells!AH$2,"")</f>
        <v/>
      </c>
      <c r="AI190" t="str">
        <f>IF(IFERROR(MATCH($B190,temp!E$4:E$13,0),0)&gt;0,T08_Spells!AI$2,"")</f>
        <v/>
      </c>
      <c r="AJ190" t="str">
        <f>IF(IFERROR(MATCH($B190,temp!F$4:F$13,0),0)&gt;0,T08_Spells!AJ$2,"")</f>
        <v/>
      </c>
      <c r="AK190" t="str">
        <f>IF(IFERROR(MATCH($B190,temp!G$4:G$13,0),0)&gt;0,T08_Spells!AK$2,"")</f>
        <v/>
      </c>
      <c r="AL190" t="str">
        <f>IF(IFERROR(MATCH($B190,temp!H$4:H$13,0),0)&gt;0,T08_Spells!AL$2,"")</f>
        <v>Arctic</v>
      </c>
      <c r="AM190" t="str">
        <f>IF(IFERROR(MATCH($B190,temp!I$4:I$13,0),0)&gt;0,T08_Spells!AM$2,"")</f>
        <v/>
      </c>
      <c r="AN190" t="str">
        <f>IF(IFERROR(MATCH($B190,temp!J$4:J$13,0),0)&gt;0,T08_Spells!AN$2,"")</f>
        <v/>
      </c>
      <c r="AO190" t="str">
        <f>IF(IFERROR(MATCH($B190,temp!K$4:K$13,0),0)&gt;0,T08_Spells!AO$2,"")</f>
        <v/>
      </c>
      <c r="AP190" t="str">
        <f>IF(IFERROR(MATCH($B190,temp!L$4:L$13,0),0)&gt;0,T08_Spells!AP$2,"")</f>
        <v/>
      </c>
      <c r="AQ190" t="str">
        <f>IF(IFERROR(MATCH($B190,temp!M$4:M$13,0),0)&gt;0,T08_Spells!AQ$2,"")</f>
        <v/>
      </c>
      <c r="AR190" t="str">
        <f>IF(IFERROR(MATCH($B190,temp!N$4:N$13,0),0)&gt;0,T08_Spells!AR$2,"")</f>
        <v/>
      </c>
      <c r="AS190" t="str">
        <f>IF(IFERROR(MATCH($B190,temp!O$4:O$13,0),0)&gt;0,T08_Spells!AS$2,"")</f>
        <v/>
      </c>
      <c r="AT190" t="str">
        <f>IF(IFERROR(MATCH($B190,temp!P$4:P$13,0),0)&gt;0,T08_Spells!AT$2,"")</f>
        <v/>
      </c>
      <c r="AU190" t="str">
        <f>IF(IFERROR(MATCH($B190,temp!Q$4:Q$13,0),0)&gt;0,T08_Spells!AU$2,"")</f>
        <v/>
      </c>
      <c r="AV190" t="str">
        <f>IF(IFERROR(MATCH($B190,temp!R$4:R$13,0),0)&gt;0,T08_Spells!AV$2,"")</f>
        <v/>
      </c>
      <c r="AW190" t="str">
        <f>IF(IFERROR(MATCH($B190,temp!S$4:S$13,0),0)&gt;0,T08_Spells!AW$2,"")</f>
        <v/>
      </c>
      <c r="AX190" t="str">
        <f>IF(IFERROR(MATCH($B190,temp!T$4:T$13,0),0)&gt;0,T08_Spells!AX$2,"")</f>
        <v>Tempest</v>
      </c>
      <c r="AY190" t="str">
        <f>IF(IFERROR(MATCH($B190,temp!U$4:U$13,0),0)&gt;0,T08_Spells!AY$2,"")</f>
        <v/>
      </c>
      <c r="AZ190" t="str">
        <f>IF(IFERROR(MATCH($B190,temp!V$4:V$13,0),0)&gt;0,T08_Spells!AZ$2,"")</f>
        <v/>
      </c>
      <c r="BA190" t="str">
        <f>IF(IFERROR(MATCH($B190,temp!W$4:W$13,0),0)&gt;0,T08_Spells!BA$2,"")</f>
        <v/>
      </c>
      <c r="BC190">
        <f>IF(IFERROR(SEARCH("Ranger",$T190,1),0)&gt;0,1,0)*IF(RangerMaxSpellLevel&gt;=$C190,1,0)*IF(IFERROR(MATCH(B190,Character_Creation!$X$79:$X$382,0),0)&gt;0,0,1)</f>
        <v>0</v>
      </c>
      <c r="BD190">
        <f>IF(BC190=0,0,1+COUNTIF(BD$3:BD189,"&gt;0"))</f>
        <v>0</v>
      </c>
      <c r="BE190" t="str">
        <f t="shared" si="143"/>
        <v/>
      </c>
      <c r="BF190" t="str">
        <f t="shared" si="115"/>
        <v/>
      </c>
      <c r="BH190">
        <f>IF(IFERROR(SEARCH("Sorcerer",$T190,1),0)&gt;0,1,0)*IF(SorcererMaxSpellLevel&gt;=$C190,1,0)*IF(IFERROR(MATCH(B190,Character_Creation!$J$380:$J$394,0),0)&gt;0,0,1)</f>
        <v>0</v>
      </c>
      <c r="BI190">
        <f>IF(BH190=0,0,1+COUNTIF(BI$3:BI189,"&gt;0"))</f>
        <v>0</v>
      </c>
      <c r="BJ190" t="str">
        <f t="shared" si="144"/>
        <v/>
      </c>
      <c r="BK190" t="str">
        <f t="shared" si="116"/>
        <v/>
      </c>
      <c r="BM190">
        <f>IF(OR(IFERROR(SEARCH("Warlock",$T190,1),0)&gt;0,IFERROR(SEARCH(WarlockPatron,$T190,1),0)&gt;0),1,0)*IF(WarlockMaxSpellLevel&gt;=$C190,1,0)*IF(IFERROR(MATCH(B190,Character_Creation!$J$361:$J$375,0),0)&gt;0,0,1)</f>
        <v>0</v>
      </c>
      <c r="BN190">
        <f>IF(BM190=0,0,1+COUNTIF(BN$3:BN189,"&gt;0"))</f>
        <v>0</v>
      </c>
      <c r="BO190" t="str">
        <f t="shared" si="145"/>
        <v/>
      </c>
      <c r="BP190" t="str">
        <f t="shared" si="117"/>
        <v/>
      </c>
      <c r="BR190">
        <f>IF(IFERROR(SEARCH("Eldritch Knight",$T190,1),0)&gt;0,1,0)*IF(EldritchKnightMaxSpellLevel&gt;=$C190,1,0)*IF(IFERROR(MATCH($B190,Character_Creation!$J$350:$J$356,0),0)&gt;0,0,1)*IF(Character_Creation!$M$338&gt;0,1,0)</f>
        <v>0</v>
      </c>
      <c r="BS190">
        <f>IF(BR190=0,0,1+COUNTIF(BS$3:BS189,"&gt;0"))</f>
        <v>0</v>
      </c>
      <c r="BT190" t="str">
        <f t="shared" si="146"/>
        <v/>
      </c>
      <c r="BU190" t="str">
        <f t="shared" si="118"/>
        <v/>
      </c>
      <c r="BW190">
        <f>IF(IFERROR(SEARCH("Arcane Trickster",$T190,1),0)&gt;0,1,0)*IF(ArcaneTricksterMaxSpellLevel&gt;=$C190,1,0)*IF(IFERROR(MATCH($B190,Character_Creation!$J$350:$J$356,0),0)&gt;0,0,1)*IF(Character_Creation!$T$338&gt;0,1,0)</f>
        <v>0</v>
      </c>
      <c r="BX190">
        <f>IF(BW190=0,0,1+COUNTIF(BX$3:BX189,"&gt;0"))</f>
        <v>0</v>
      </c>
      <c r="BY190" t="str">
        <f t="shared" si="147"/>
        <v/>
      </c>
      <c r="BZ190" t="str">
        <f t="shared" si="119"/>
        <v/>
      </c>
      <c r="CB190">
        <f>IF(IFERROR(SEARCH("Wizard",$T190,1),0)&gt;0,1,0)*IF(C190&lt;=ArcaneTricksterMaxSpellLevel,1,0)*IF(IFERROR(MATCH($B190,Character_Creation!$J$350:$J$356,0),0)&gt;0,0,1)*IF(Character_Creation!$T$350&gt;0,1,0)</f>
        <v>0</v>
      </c>
      <c r="CC190">
        <f>IF(CB190=0,0,1+COUNTIF(CC$3:CC189,"&gt;0"))</f>
        <v>0</v>
      </c>
      <c r="CD190" t="str">
        <f t="shared" si="148"/>
        <v/>
      </c>
      <c r="CE190" t="str">
        <f t="shared" si="120"/>
        <v/>
      </c>
      <c r="CG190">
        <f>IF(IFERROR(SEARCH("Wizard",$T190,1),0)&gt;0,1,0)*IF($C190&lt;=EldritchKnightMaxSpellLevel,1,0)*IF(IFERROR(MATCH($B190,Character_Creation!$J$350:$J$356,0),0)&gt;0,0,1)*IF(Character_Creation!$M$350&gt;0,1,0)</f>
        <v>0</v>
      </c>
      <c r="CH190">
        <f>IF(CG190=0,0,1+COUNTIF(CH$3:CH189,"&gt;0"))</f>
        <v>0</v>
      </c>
      <c r="CI190" t="str">
        <f t="shared" si="149"/>
        <v/>
      </c>
      <c r="CJ190" t="str">
        <f t="shared" si="121"/>
        <v/>
      </c>
      <c r="CL190">
        <f>IF(IFERROR(SEARCH("Bard",$T190,1),0)&gt;0,1,0)*IF(BardMaxSpellLevel&gt;=$C190,1,0)*IF(IFERROR(MATCH(B190,Character_Creation!$C$341:$F$362,0),0)&gt;0,0,1)*IF(IFERROR(MATCH($B190,Character_Creation!$C$341:$C$362,0),0)&gt;0,0,1)</f>
        <v>0</v>
      </c>
      <c r="CM190">
        <f>IF(CL190=0,0,1+COUNTIF(CM$3:CM189,"&gt;0"))</f>
        <v>0</v>
      </c>
      <c r="CN190" t="str">
        <f t="shared" si="150"/>
        <v/>
      </c>
      <c r="CO190" t="str">
        <f t="shared" si="122"/>
        <v/>
      </c>
      <c r="CQ190">
        <f>IF(IFERROR(SEARCH("Wizard",$T190,1),0)&gt;0,1,0)*IF(WizardMaxSpellLevel&gt;=$C190,1,0)*IF(IFERROR(MATCH(B190,Character_Creation!$X$341:$X$400,0),0)&gt;0,0,1)*IF(SelectedWizardSpellLevel=$C190,1,0)</f>
        <v>0</v>
      </c>
      <c r="CR190">
        <f>IF(CQ190=0,0,1+COUNTIF(CR$3:CR189,"&gt;0"))</f>
        <v>0</v>
      </c>
      <c r="CS190" t="str">
        <f t="shared" si="151"/>
        <v/>
      </c>
      <c r="CT190" t="str">
        <f t="shared" si="123"/>
        <v/>
      </c>
      <c r="CV190">
        <f>IF(IFERROR(MATCH($B190,Character_Creation!$C$341:$C$362,0),0)&gt;0,0,1)*IF(OR(C190="Cantrip",C190&lt;=BardMaxSpellLevel),1,0)*IF(IFERROR(MATCH($B190,Character_Creation!$C$367:$C$374,0),0)&gt;0,0,1)</f>
        <v>0</v>
      </c>
      <c r="CW190">
        <f>IF(CV190=0,0,1+COUNTIF(CW$3:CW189,"&gt;0"))</f>
        <v>0</v>
      </c>
      <c r="CX190" t="str">
        <f t="shared" si="152"/>
        <v/>
      </c>
      <c r="CY190" t="str">
        <f t="shared" si="124"/>
        <v/>
      </c>
      <c r="DA190">
        <f>IF(IF(OR(IFERROR(SEARCH("Cleric",$T190,1),0)&gt;0,IFERROR(SEARCH(DivineDomain&amp;",",$T190,1),0)&gt;0),1,0)*IF($C190=DA$2,1,0)=1,1+COUNTIF(DA$3:DA189,"&gt;0"),0)</f>
        <v>0</v>
      </c>
      <c r="DB190">
        <f>IF(IF(OR(IFERROR(SEARCH("Cleric",$T190,1),0)&gt;0,IFERROR(SEARCH(DivineDomain&amp;",",$T190,1),0)&gt;0),1,0)*IF($C190=DB$2,1,0)=1,1+COUNTIF(DB$3:DB189,"&gt;0"),0)</f>
        <v>0</v>
      </c>
      <c r="DC190">
        <f>IF(IF(OR(IFERROR(SEARCH("Cleric",$T190,1),0)&gt;0,IFERROR(SEARCH(DivineDomain&amp;",",$T190,1),0)&gt;0),1,0)*IF($C190=DC$2,1,0)=1,1+COUNTIF(DC$3:DC189,"&gt;0"),0)</f>
        <v>0</v>
      </c>
      <c r="DD190">
        <f>IF(IF(OR(IFERROR(SEARCH("Cleric",$T190,1),0)&gt;0,IFERROR(SEARCH(DivineDomain&amp;",",$T190,1),0)&gt;0),1,0)*IF($C190=DD$2,1,0)=1,1+COUNTIF(DD$3:DD189,"&gt;0"),0)</f>
        <v>0</v>
      </c>
      <c r="DE190">
        <f>IF(IF(OR(IFERROR(SEARCH("Cleric",$T190,1),0)&gt;0,IFERROR(SEARCH(DivineDomain&amp;",",$T190,1),0)&gt;0),1,0)*IF($C190=DE$2,1,0)=1,1+COUNTIF(DE$3:DE189,"&gt;0"),0)</f>
        <v>0</v>
      </c>
      <c r="DF190">
        <f>IF(IF(OR(IFERROR(SEARCH("Cleric",$T190,1),0)&gt;0,IFERROR(SEARCH(DivineDomain&amp;",",$T190,1),0)&gt;0),1,0)*IF($C190=DF$2,1,0)=1,1+COUNTIF(DF$3:DF189,"&gt;0"),0)</f>
        <v>0</v>
      </c>
      <c r="DG190">
        <f>IF(IF(OR(IFERROR(SEARCH("Cleric",$T190,1),0)&gt;0,IFERROR(SEARCH(DivineDomain&amp;",",$T190,1),0)&gt;0),1,0)*IF($C190=DG$2,1,0)=1,1+COUNTIF(DG$3:DG189,"&gt;0"),0)</f>
        <v>0</v>
      </c>
      <c r="DH190">
        <f>IF(IF(OR(IFERROR(SEARCH("Cleric",$T190,1),0)&gt;0,IFERROR(SEARCH(DivineDomain&amp;",",$T190,1),0)&gt;0),1,0)*IF($C190=DH$2,1,0)=1,1+COUNTIF(DH$3:DH189,"&gt;0"),0)</f>
        <v>0</v>
      </c>
      <c r="DI190">
        <f>IF(IF(OR(IFERROR(SEARCH("Cleric",$T190,1),0)&gt;0,IFERROR(SEARCH(DivineDomain&amp;",",$T190,1),0)&gt;0),1,0)*IF($C190=DI$2,1,0)=1,1+COUNTIF(DI$3:DI189,"&gt;0"),0)</f>
        <v>0</v>
      </c>
      <c r="DJ190">
        <f>IF(IF(OR(IFERROR(SEARCH("Druid",$T190,1),0)&gt;0,IFERROR(SEARCH(DruidLand1,$T190,1),0)&gt;0,IFERROR(SEARCH(DruidLand2,$T190,1),0)&gt;0,IFERROR(SEARCH(DruidLand3,$T190,1),0)&gt;0,IFERROR(SEARCH(DruidLand4,$T190,1),0)&gt;0),1,0)*IF($C190=1,1,0)*IF($C190=DJ$2,1,0)=0,0,1+COUNTIF(DJ$3:DJ189,"&gt;0"))</f>
        <v>0</v>
      </c>
      <c r="DK190">
        <f>IF(IF(OR(IFERROR(SEARCH("Druid",$T190,1),0)&gt;0,IFERROR(SEARCH(DruidLand1,$T190,1),0)&gt;0,IFERROR(SEARCH(DruidLand2,$T190,1),0)&gt;0,IFERROR(SEARCH(DruidLand3,$T190,1),0)&gt;0,IFERROR(SEARCH(DruidLand4,$T190,1),0)&gt;0),1,0)*IF($C190=DK$2,1,0)=0,0,1+COUNTIF(DK$3:DK189,"&gt;0"))</f>
        <v>0</v>
      </c>
      <c r="DL190">
        <f>IF(IF(OR(IFERROR(SEARCH("Druid",$T190,1),0)&gt;0,IFERROR(SEARCH(DruidLand1,$T190,1),0)&gt;0,IFERROR(SEARCH(DruidLand2,$T190,1),0)&gt;0,IFERROR(SEARCH(DruidLand3,$T190,1),0)&gt;0,IFERROR(SEARCH(DruidLand4,$T190,1),0)&gt;0),1,0)*IF($C190=DL$2,1,0)=0,0,1+COUNTIF(DL$3:DL189,"&gt;0"))</f>
        <v>0</v>
      </c>
      <c r="DM190">
        <f>IF(IF(OR(IFERROR(SEARCH("Druid",$T190,1),0)&gt;0,IFERROR(SEARCH(DruidLand1,$T190,1),0)&gt;0,IFERROR(SEARCH(DruidLand2,$T190,1),0)&gt;0,IFERROR(SEARCH(DruidLand3,$T190,1),0)&gt;0,IFERROR(SEARCH(DruidLand4,$T190,1),0)&gt;0),1,0)*IF($C190=DM$2,1,0)=0,0,1+COUNTIF(DM$3:DM189,"&gt;0"))</f>
        <v>11</v>
      </c>
      <c r="DN190">
        <f>IF(IF(OR(IFERROR(SEARCH("Druid",$T190,1),0)&gt;0,IFERROR(SEARCH(DruidLand1,$T190,1),0)&gt;0,IFERROR(SEARCH(DruidLand2,$T190,1),0)&gt;0,IFERROR(SEARCH(DruidLand3,$T190,1),0)&gt;0,IFERROR(SEARCH(DruidLand4,$T190,1),0)&gt;0),1,0)*IF($C190=DN$2,1,0)=0,0,1+COUNTIF(DN$3:DN189,"&gt;0"))</f>
        <v>0</v>
      </c>
      <c r="DO190">
        <f>IF(IF(OR(IFERROR(SEARCH("Druid",$T190,1),0)&gt;0,IFERROR(SEARCH(DruidLand1,$T190,1),0)&gt;0,IFERROR(SEARCH(DruidLand2,$T190,1),0)&gt;0,IFERROR(SEARCH(DruidLand3,$T190,1),0)&gt;0,IFERROR(SEARCH(DruidLand4,$T190,1),0)&gt;0),1,0)*IF($C190=DO$2,1,0)=0,0,1+COUNTIF(DO$3:DO189,"&gt;0"))</f>
        <v>0</v>
      </c>
      <c r="DP190">
        <f>IF(IF(OR(IFERROR(SEARCH("Druid",$T190,1),0)&gt;0,IFERROR(SEARCH(DruidLand1,$T190,1),0)&gt;0,IFERROR(SEARCH(DruidLand2,$T190,1),0)&gt;0,IFERROR(SEARCH(DruidLand3,$T190,1),0)&gt;0,IFERROR(SEARCH(DruidLand4,$T190,1),0)&gt;0),1,0)*IF($C190=DP$2,1,0)=0,0,1+COUNTIF(DP$3:DP189,"&gt;0"))</f>
        <v>0</v>
      </c>
      <c r="DQ190">
        <f>IF(IF(OR(IFERROR(SEARCH("Druid",$T190,1),0)&gt;0,IFERROR(SEARCH(DruidLand1,$T190,1),0)&gt;0,IFERROR(SEARCH(DruidLand2,$T190,1),0)&gt;0,IFERROR(SEARCH(DruidLand3,$T190,1),0)&gt;0,IFERROR(SEARCH(DruidLand4,$T190,1),0)&gt;0),1,0)*IF($C190=DQ$2,1,0)=0,0,1+COUNTIF(DQ$3:DQ189,"&gt;0"))</f>
        <v>0</v>
      </c>
      <c r="DR190">
        <f>IF(IF(OR(IFERROR(SEARCH("Druid",$T190,1),0)&gt;0,IFERROR(SEARCH(DruidLand1,$T190,1),0)&gt;0,IFERROR(SEARCH(DruidLand2,$T190,1),0)&gt;0,IFERROR(SEARCH(DruidLand3,$T190,1),0)&gt;0,IFERROR(SEARCH(DruidLand4,$T190,1),0)&gt;0),1,0)*IF($C190=DR$2,1,0)=0,0,1+COUNTIF(DR$3:DR189,"&gt;0"))</f>
        <v>0</v>
      </c>
      <c r="DS190">
        <f>IF(IF(OR(IFERROR(SEARCH("Paladin",$T190,1),0)&gt;0,IFERROR(SEARCH(PaladinOath,$T190,1),0)&gt;0),1,0)*IF($C190=DS$2,1,0)=1,1+COUNTIF(DS$3:DS189,"&gt;0"),0)</f>
        <v>0</v>
      </c>
      <c r="DT190">
        <f>IF(IF(OR(IFERROR(SEARCH("Paladin",$T190,1),0)&gt;0,IFERROR(SEARCH(PaladinOath,$T190,1),0)&gt;0),1,0)*IF($C190=DT$2,1,0)=1,1+COUNTIF(DT$3:DT189,"&gt;0"),0)</f>
        <v>0</v>
      </c>
      <c r="DU190">
        <f>IF(IF(OR(IFERROR(SEARCH("Paladin",$T190,1),0)&gt;0,IFERROR(SEARCH(PaladinOath,$T190,1),0)&gt;0),1,0)*IF($C190=DU$2,1,0)=1,1+COUNTIF(DU$3:DU189,"&gt;0"),0)</f>
        <v>0</v>
      </c>
      <c r="DV190">
        <f>IF(IF(OR(IFERROR(SEARCH("Paladin",$T190,1),0)&gt;0,IFERROR(SEARCH(PaladinOath,$T190,1),0)&gt;0),1,0)*IF($C190=DV$2,1,0)=1,1+COUNTIF(DV$3:DV189,"&gt;0"),0)</f>
        <v>0</v>
      </c>
      <c r="DW190">
        <f>IF(IF(OR(IFERROR(SEARCH("Paladin",$T190,1),0)&gt;0,IFERROR(SEARCH(PaladinOath,$T190,1),0)&gt;0),1,0)*IF($C190=DW$2,1,0)=1,1+COUNTIF(DW$3:DW189,"&gt;0"),0)</f>
        <v>0</v>
      </c>
      <c r="DY190">
        <f t="shared" si="111"/>
        <v>1</v>
      </c>
      <c r="DZ190">
        <f>IF(DY190=0,0,1+MAX(DZ$3:$DZ189))</f>
        <v>188</v>
      </c>
      <c r="EB190">
        <f t="shared" si="125"/>
        <v>0</v>
      </c>
      <c r="EC190">
        <f>IF(EB190=0,0,1+COUNTIF(EC$3:EC189,"&gt;0"))</f>
        <v>0</v>
      </c>
      <c r="ED190" t="str">
        <f t="shared" si="153"/>
        <v/>
      </c>
      <c r="EE190" t="str">
        <f t="shared" si="126"/>
        <v/>
      </c>
      <c r="EG190">
        <f t="shared" si="127"/>
        <v>0</v>
      </c>
      <c r="EH190">
        <f>IF(EG190=0,0,1+COUNTIF(EH$3:EH189,"&gt;0"))</f>
        <v>0</v>
      </c>
      <c r="EI190" t="str">
        <f t="shared" si="154"/>
        <v/>
      </c>
      <c r="EJ190" t="str">
        <f t="shared" si="128"/>
        <v/>
      </c>
      <c r="EL190">
        <f t="shared" si="129"/>
        <v>0</v>
      </c>
      <c r="EM190">
        <f>IF(EL190=0,0,1+COUNTIF(EM$3:EM189,"&gt;0"))</f>
        <v>0</v>
      </c>
      <c r="EN190" t="str">
        <f t="shared" si="155"/>
        <v/>
      </c>
      <c r="EO190" t="str">
        <f t="shared" si="130"/>
        <v/>
      </c>
      <c r="EQ190">
        <f t="shared" si="131"/>
        <v>0</v>
      </c>
      <c r="ER190">
        <f>IF(EQ190=0,0,1+COUNTIF(ER$3:ER189,"&gt;0"))</f>
        <v>0</v>
      </c>
      <c r="ES190" t="str">
        <f t="shared" si="156"/>
        <v/>
      </c>
      <c r="ET190" t="str">
        <f t="shared" si="132"/>
        <v/>
      </c>
      <c r="EV190">
        <f t="shared" si="133"/>
        <v>0</v>
      </c>
      <c r="EW190">
        <f>IF(EV190=0,0,1+COUNTIF(EW$3:EW189,"&gt;0"))</f>
        <v>0</v>
      </c>
      <c r="EX190" t="str">
        <f t="shared" si="157"/>
        <v/>
      </c>
      <c r="EY190" t="str">
        <f t="shared" si="134"/>
        <v/>
      </c>
      <c r="FA190">
        <f t="shared" si="135"/>
        <v>0</v>
      </c>
      <c r="FB190">
        <f>IF(FA190=0,0,1+COUNTIF(FB$3:FB189,"&gt;0"))</f>
        <v>0</v>
      </c>
      <c r="FC190" t="str">
        <f t="shared" si="158"/>
        <v/>
      </c>
      <c r="FD190" t="str">
        <f t="shared" si="136"/>
        <v/>
      </c>
      <c r="FF190">
        <f t="shared" si="137"/>
        <v>0</v>
      </c>
      <c r="FG190">
        <f>IF(FF190=0,0,1+COUNTIF(FG$3:FG189,"&gt;0"))</f>
        <v>0</v>
      </c>
      <c r="FH190" t="str">
        <f t="shared" si="159"/>
        <v/>
      </c>
      <c r="FI190" t="str">
        <f t="shared" si="138"/>
        <v/>
      </c>
      <c r="FK190">
        <f t="shared" si="139"/>
        <v>0</v>
      </c>
      <c r="FL190">
        <f>IF(FK190=0,0,1+COUNTIF(FL$3:FL189,"&gt;0"))</f>
        <v>0</v>
      </c>
      <c r="FM190" t="str">
        <f t="shared" si="160"/>
        <v/>
      </c>
      <c r="FN190" t="str">
        <f t="shared" si="140"/>
        <v/>
      </c>
      <c r="FP190">
        <f t="shared" si="141"/>
        <v>0</v>
      </c>
      <c r="FQ190">
        <f>IF(FP190=0,0,1+COUNTIF(FQ$3:FQ189,"&gt;0"))</f>
        <v>0</v>
      </c>
      <c r="FR190" t="str">
        <f t="shared" si="161"/>
        <v/>
      </c>
      <c r="FS190" t="str">
        <f t="shared" si="142"/>
        <v/>
      </c>
    </row>
    <row r="191" spans="1:175" x14ac:dyDescent="0.25">
      <c r="A191" s="347">
        <f t="shared" si="162"/>
        <v>189</v>
      </c>
      <c r="B191" s="348" t="s">
        <v>2568</v>
      </c>
      <c r="C191" s="348">
        <v>1</v>
      </c>
      <c r="D191" s="347">
        <v>1</v>
      </c>
      <c r="E191" s="627" t="s">
        <v>6952</v>
      </c>
      <c r="F191" s="346"/>
      <c r="G191" s="347" t="s">
        <v>5269</v>
      </c>
      <c r="H191" s="347" t="s">
        <v>5281</v>
      </c>
      <c r="I191" s="347" t="s">
        <v>5298</v>
      </c>
      <c r="J191" s="347" t="str">
        <f t="shared" si="112"/>
        <v/>
      </c>
      <c r="K191" s="347" t="s">
        <v>5278</v>
      </c>
      <c r="L191" s="611" t="str">
        <f t="shared" si="113"/>
        <v>V, S, M, a pearl worth at least 100 gp and an owl feather</v>
      </c>
      <c r="M191" s="347" t="s">
        <v>2373</v>
      </c>
      <c r="N191" s="347" t="s">
        <v>2387</v>
      </c>
      <c r="O191" s="347" t="s">
        <v>1244</v>
      </c>
      <c r="P191" s="346" t="s">
        <v>5406</v>
      </c>
      <c r="Q191" s="347" t="s">
        <v>2473</v>
      </c>
      <c r="S191" s="346" t="s">
        <v>5739</v>
      </c>
      <c r="T191" s="346" t="str">
        <f t="shared" si="114"/>
        <v xml:space="preserve">Bard, Wizard, Knowledge, </v>
      </c>
      <c r="U191" s="347" t="str">
        <f>$B191</f>
        <v>Identify</v>
      </c>
      <c r="AD191" s="347" t="str">
        <f t="shared" si="165"/>
        <v>Identify</v>
      </c>
      <c r="AE191" t="str">
        <f>IF(IFERROR(MATCH($B191,temp!A$4:A$13,0),0)&gt;0,T08_Spells!AE$2,"")</f>
        <v/>
      </c>
      <c r="AF191" t="str">
        <f>IF(IFERROR(MATCH($B191,temp!B$4:B$13,0),0)&gt;0,T08_Spells!AF$2,"")</f>
        <v/>
      </c>
      <c r="AG191" t="str">
        <f>IF(IFERROR(MATCH($B191,temp!C$4:C$13,0),0)&gt;0,T08_Spells!AG$2,"")</f>
        <v/>
      </c>
      <c r="AH191" t="str">
        <f>IF(IFERROR(MATCH($B191,temp!D$4:D$13,0),0)&gt;0,T08_Spells!AH$2,"")</f>
        <v/>
      </c>
      <c r="AI191" t="str">
        <f>IF(IFERROR(MATCH($B191,temp!E$4:E$13,0),0)&gt;0,T08_Spells!AI$2,"")</f>
        <v/>
      </c>
      <c r="AJ191" t="str">
        <f>IF(IFERROR(MATCH($B191,temp!F$4:F$13,0),0)&gt;0,T08_Spells!AJ$2,"")</f>
        <v/>
      </c>
      <c r="AK191" t="str">
        <f>IF(IFERROR(MATCH($B191,temp!G$4:G$13,0),0)&gt;0,T08_Spells!AK$2,"")</f>
        <v/>
      </c>
      <c r="AL191" t="str">
        <f>IF(IFERROR(MATCH($B191,temp!H$4:H$13,0),0)&gt;0,T08_Spells!AL$2,"")</f>
        <v/>
      </c>
      <c r="AM191" t="str">
        <f>IF(IFERROR(MATCH($B191,temp!I$4:I$13,0),0)&gt;0,T08_Spells!AM$2,"")</f>
        <v/>
      </c>
      <c r="AN191" t="str">
        <f>IF(IFERROR(MATCH($B191,temp!J$4:J$13,0),0)&gt;0,T08_Spells!AN$2,"")</f>
        <v/>
      </c>
      <c r="AO191" t="str">
        <f>IF(IFERROR(MATCH($B191,temp!K$4:K$13,0),0)&gt;0,T08_Spells!AO$2,"")</f>
        <v/>
      </c>
      <c r="AP191" t="str">
        <f>IF(IFERROR(MATCH($B191,temp!L$4:L$13,0),0)&gt;0,T08_Spells!AP$2,"")</f>
        <v/>
      </c>
      <c r="AQ191" t="str">
        <f>IF(IFERROR(MATCH($B191,temp!M$4:M$13,0),0)&gt;0,T08_Spells!AQ$2,"")</f>
        <v/>
      </c>
      <c r="AR191" t="str">
        <f>IF(IFERROR(MATCH($B191,temp!N$4:N$13,0),0)&gt;0,T08_Spells!AR$2,"")</f>
        <v/>
      </c>
      <c r="AS191" t="str">
        <f>IF(IFERROR(MATCH($B191,temp!O$4:O$13,0),0)&gt;0,T08_Spells!AS$2,"")</f>
        <v/>
      </c>
      <c r="AT191" t="str">
        <f>IF(IFERROR(MATCH($B191,temp!P$4:P$13,0),0)&gt;0,T08_Spells!AT$2,"")</f>
        <v>Knowledge</v>
      </c>
      <c r="AU191" t="str">
        <f>IF(IFERROR(MATCH($B191,temp!Q$4:Q$13,0),0)&gt;0,T08_Spells!AU$2,"")</f>
        <v/>
      </c>
      <c r="AV191" t="str">
        <f>IF(IFERROR(MATCH($B191,temp!R$4:R$13,0),0)&gt;0,T08_Spells!AV$2,"")</f>
        <v/>
      </c>
      <c r="AW191" t="str">
        <f>IF(IFERROR(MATCH($B191,temp!S$4:S$13,0),0)&gt;0,T08_Spells!AW$2,"")</f>
        <v/>
      </c>
      <c r="AX191" t="str">
        <f>IF(IFERROR(MATCH($B191,temp!T$4:T$13,0),0)&gt;0,T08_Spells!AX$2,"")</f>
        <v/>
      </c>
      <c r="AY191" t="str">
        <f>IF(IFERROR(MATCH($B191,temp!U$4:U$13,0),0)&gt;0,T08_Spells!AY$2,"")</f>
        <v/>
      </c>
      <c r="AZ191" t="str">
        <f>IF(IFERROR(MATCH($B191,temp!V$4:V$13,0),0)&gt;0,T08_Spells!AZ$2,"")</f>
        <v/>
      </c>
      <c r="BA191" t="str">
        <f>IF(IFERROR(MATCH($B191,temp!W$4:W$13,0),0)&gt;0,T08_Spells!BA$2,"")</f>
        <v/>
      </c>
      <c r="BC191">
        <f>IF(IFERROR(SEARCH("Ranger",$T191,1),0)&gt;0,1,0)*IF(RangerMaxSpellLevel&gt;=$C191,1,0)*IF(IFERROR(MATCH(B191,Character_Creation!$X$79:$X$382,0),0)&gt;0,0,1)</f>
        <v>0</v>
      </c>
      <c r="BD191">
        <f>IF(BC191=0,0,1+COUNTIF(BD$3:BD190,"&gt;0"))</f>
        <v>0</v>
      </c>
      <c r="BE191" t="str">
        <f t="shared" si="143"/>
        <v/>
      </c>
      <c r="BF191" t="str">
        <f t="shared" si="115"/>
        <v/>
      </c>
      <c r="BH191">
        <f>IF(IFERROR(SEARCH("Sorcerer",$T191,1),0)&gt;0,1,0)*IF(SorcererMaxSpellLevel&gt;=$C191,1,0)*IF(IFERROR(MATCH(B191,Character_Creation!$J$380:$J$394,0),0)&gt;0,0,1)</f>
        <v>0</v>
      </c>
      <c r="BI191">
        <f>IF(BH191=0,0,1+COUNTIF(BI$3:BI190,"&gt;0"))</f>
        <v>0</v>
      </c>
      <c r="BJ191" t="str">
        <f t="shared" si="144"/>
        <v/>
      </c>
      <c r="BK191" t="str">
        <f t="shared" si="116"/>
        <v/>
      </c>
      <c r="BM191">
        <f>IF(OR(IFERROR(SEARCH("Warlock",$T191,1),0)&gt;0,IFERROR(SEARCH(WarlockPatron,$T191,1),0)&gt;0),1,0)*IF(WarlockMaxSpellLevel&gt;=$C191,1,0)*IF(IFERROR(MATCH(B191,Character_Creation!$J$361:$J$375,0),0)&gt;0,0,1)</f>
        <v>0</v>
      </c>
      <c r="BN191">
        <f>IF(BM191=0,0,1+COUNTIF(BN$3:BN190,"&gt;0"))</f>
        <v>0</v>
      </c>
      <c r="BO191" t="str">
        <f t="shared" si="145"/>
        <v/>
      </c>
      <c r="BP191" t="str">
        <f t="shared" si="117"/>
        <v/>
      </c>
      <c r="BR191">
        <f>IF(IFERROR(SEARCH("Eldritch Knight",$T191,1),0)&gt;0,1,0)*IF(EldritchKnightMaxSpellLevel&gt;=$C191,1,0)*IF(IFERROR(MATCH($B191,Character_Creation!$J$350:$J$356,0),0)&gt;0,0,1)*IF(Character_Creation!$M$338&gt;0,1,0)</f>
        <v>0</v>
      </c>
      <c r="BS191">
        <f>IF(BR191=0,0,1+COUNTIF(BS$3:BS190,"&gt;0"))</f>
        <v>0</v>
      </c>
      <c r="BT191" t="str">
        <f t="shared" si="146"/>
        <v/>
      </c>
      <c r="BU191" t="str">
        <f t="shared" si="118"/>
        <v/>
      </c>
      <c r="BW191">
        <f>IF(IFERROR(SEARCH("Arcane Trickster",$T191,1),0)&gt;0,1,0)*IF(ArcaneTricksterMaxSpellLevel&gt;=$C191,1,0)*IF(IFERROR(MATCH($B191,Character_Creation!$J$350:$J$356,0),0)&gt;0,0,1)*IF(Character_Creation!$T$338&gt;0,1,0)</f>
        <v>0</v>
      </c>
      <c r="BX191">
        <f>IF(BW191=0,0,1+COUNTIF(BX$3:BX190,"&gt;0"))</f>
        <v>0</v>
      </c>
      <c r="BY191" t="str">
        <f t="shared" si="147"/>
        <v/>
      </c>
      <c r="BZ191" t="str">
        <f t="shared" si="119"/>
        <v/>
      </c>
      <c r="CB191">
        <f>IF(IFERROR(SEARCH("Wizard",$T191,1),0)&gt;0,1,0)*IF(C191&lt;=ArcaneTricksterMaxSpellLevel,1,0)*IF(IFERROR(MATCH($B191,Character_Creation!$J$350:$J$356,0),0)&gt;0,0,1)*IF(Character_Creation!$T$350&gt;0,1,0)</f>
        <v>0</v>
      </c>
      <c r="CC191">
        <f>IF(CB191=0,0,1+COUNTIF(CC$3:CC190,"&gt;0"))</f>
        <v>0</v>
      </c>
      <c r="CD191" t="str">
        <f t="shared" si="148"/>
        <v/>
      </c>
      <c r="CE191" t="str">
        <f t="shared" si="120"/>
        <v/>
      </c>
      <c r="CG191">
        <f>IF(IFERROR(SEARCH("Wizard",$T191,1),0)&gt;0,1,0)*IF($C191&lt;=EldritchKnightMaxSpellLevel,1,0)*IF(IFERROR(MATCH($B191,Character_Creation!$J$350:$J$356,0),0)&gt;0,0,1)*IF(Character_Creation!$M$350&gt;0,1,0)</f>
        <v>1</v>
      </c>
      <c r="CH191">
        <f>IF(CG191=0,0,1+COUNTIF(CH$3:CH190,"&gt;0"))</f>
        <v>30</v>
      </c>
      <c r="CI191" t="str">
        <f t="shared" si="149"/>
        <v/>
      </c>
      <c r="CJ191" t="str">
        <f t="shared" si="121"/>
        <v/>
      </c>
      <c r="CL191">
        <f>IF(IFERROR(SEARCH("Bard",$T191,1),0)&gt;0,1,0)*IF(BardMaxSpellLevel&gt;=$C191,1,0)*IF(IFERROR(MATCH(B191,Character_Creation!$C$341:$F$362,0),0)&gt;0,0,1)*IF(IFERROR(MATCH($B191,Character_Creation!$C$341:$C$362,0),0)&gt;0,0,1)</f>
        <v>0</v>
      </c>
      <c r="CM191">
        <f>IF(CL191=0,0,1+COUNTIF(CM$3:CM190,"&gt;0"))</f>
        <v>0</v>
      </c>
      <c r="CN191" t="str">
        <f t="shared" si="150"/>
        <v/>
      </c>
      <c r="CO191" t="str">
        <f t="shared" si="122"/>
        <v/>
      </c>
      <c r="CQ191">
        <f>IF(IFERROR(SEARCH("Wizard",$T191,1),0)&gt;0,1,0)*IF(WizardMaxSpellLevel&gt;=$C191,1,0)*IF(IFERROR(MATCH(B191,Character_Creation!$X$341:$X$400,0),0)&gt;0,0,1)*IF(SelectedWizardSpellLevel=$C191,1,0)</f>
        <v>0</v>
      </c>
      <c r="CR191">
        <f>IF(CQ191=0,0,1+COUNTIF(CR$3:CR190,"&gt;0"))</f>
        <v>0</v>
      </c>
      <c r="CS191" t="str">
        <f t="shared" si="151"/>
        <v/>
      </c>
      <c r="CT191" t="str">
        <f t="shared" si="123"/>
        <v/>
      </c>
      <c r="CV191">
        <f>IF(IFERROR(MATCH($B191,Character_Creation!$C$341:$C$362,0),0)&gt;0,0,1)*IF(OR(C191="Cantrip",C191&lt;=BardMaxSpellLevel),1,0)*IF(IFERROR(MATCH($B191,Character_Creation!$C$367:$C$374,0),0)&gt;0,0,1)</f>
        <v>0</v>
      </c>
      <c r="CW191">
        <f>IF(CV191=0,0,1+COUNTIF(CW$3:CW190,"&gt;0"))</f>
        <v>0</v>
      </c>
      <c r="CX191" t="str">
        <f t="shared" si="152"/>
        <v/>
      </c>
      <c r="CY191" t="str">
        <f t="shared" si="124"/>
        <v/>
      </c>
      <c r="DA191">
        <f>IF(IF(OR(IFERROR(SEARCH("Cleric",$T191,1),0)&gt;0,IFERROR(SEARCH(DivineDomain&amp;",",$T191,1),0)&gt;0),1,0)*IF($C191=DA$2,1,0)=1,1+COUNTIF(DA$3:DA190,"&gt;0"),0)</f>
        <v>0</v>
      </c>
      <c r="DB191">
        <f>IF(IF(OR(IFERROR(SEARCH("Cleric",$T191,1),0)&gt;0,IFERROR(SEARCH(DivineDomain&amp;",",$T191,1),0)&gt;0),1,0)*IF($C191=DB$2,1,0)=1,1+COUNTIF(DB$3:DB190,"&gt;0"),0)</f>
        <v>0</v>
      </c>
      <c r="DC191">
        <f>IF(IF(OR(IFERROR(SEARCH("Cleric",$T191,1),0)&gt;0,IFERROR(SEARCH(DivineDomain&amp;",",$T191,1),0)&gt;0),1,0)*IF($C191=DC$2,1,0)=1,1+COUNTIF(DC$3:DC190,"&gt;0"),0)</f>
        <v>0</v>
      </c>
      <c r="DD191">
        <f>IF(IF(OR(IFERROR(SEARCH("Cleric",$T191,1),0)&gt;0,IFERROR(SEARCH(DivineDomain&amp;",",$T191,1),0)&gt;0),1,0)*IF($C191=DD$2,1,0)=1,1+COUNTIF(DD$3:DD190,"&gt;0"),0)</f>
        <v>0</v>
      </c>
      <c r="DE191">
        <f>IF(IF(OR(IFERROR(SEARCH("Cleric",$T191,1),0)&gt;0,IFERROR(SEARCH(DivineDomain&amp;",",$T191,1),0)&gt;0),1,0)*IF($C191=DE$2,1,0)=1,1+COUNTIF(DE$3:DE190,"&gt;0"),0)</f>
        <v>0</v>
      </c>
      <c r="DF191">
        <f>IF(IF(OR(IFERROR(SEARCH("Cleric",$T191,1),0)&gt;0,IFERROR(SEARCH(DivineDomain&amp;",",$T191,1),0)&gt;0),1,0)*IF($C191=DF$2,1,0)=1,1+COUNTIF(DF$3:DF190,"&gt;0"),0)</f>
        <v>0</v>
      </c>
      <c r="DG191">
        <f>IF(IF(OR(IFERROR(SEARCH("Cleric",$T191,1),0)&gt;0,IFERROR(SEARCH(DivineDomain&amp;",",$T191,1),0)&gt;0),1,0)*IF($C191=DG$2,1,0)=1,1+COUNTIF(DG$3:DG190,"&gt;0"),0)</f>
        <v>0</v>
      </c>
      <c r="DH191">
        <f>IF(IF(OR(IFERROR(SEARCH("Cleric",$T191,1),0)&gt;0,IFERROR(SEARCH(DivineDomain&amp;",",$T191,1),0)&gt;0),1,0)*IF($C191=DH$2,1,0)=1,1+COUNTIF(DH$3:DH190,"&gt;0"),0)</f>
        <v>0</v>
      </c>
      <c r="DI191">
        <f>IF(IF(OR(IFERROR(SEARCH("Cleric",$T191,1),0)&gt;0,IFERROR(SEARCH(DivineDomain&amp;",",$T191,1),0)&gt;0),1,0)*IF($C191=DI$2,1,0)=1,1+COUNTIF(DI$3:DI190,"&gt;0"),0)</f>
        <v>0</v>
      </c>
      <c r="DJ191">
        <f>IF(IF(OR(IFERROR(SEARCH("Druid",$T191,1),0)&gt;0,IFERROR(SEARCH(DruidLand1,$T191,1),0)&gt;0,IFERROR(SEARCH(DruidLand2,$T191,1),0)&gt;0,IFERROR(SEARCH(DruidLand3,$T191,1),0)&gt;0,IFERROR(SEARCH(DruidLand4,$T191,1),0)&gt;0),1,0)*IF($C191=1,1,0)*IF($C191=DJ$2,1,0)=0,0,1+COUNTIF(DJ$3:DJ190,"&gt;0"))</f>
        <v>0</v>
      </c>
      <c r="DK191">
        <f>IF(IF(OR(IFERROR(SEARCH("Druid",$T191,1),0)&gt;0,IFERROR(SEARCH(DruidLand1,$T191,1),0)&gt;0,IFERROR(SEARCH(DruidLand2,$T191,1),0)&gt;0,IFERROR(SEARCH(DruidLand3,$T191,1),0)&gt;0,IFERROR(SEARCH(DruidLand4,$T191,1),0)&gt;0),1,0)*IF($C191=1,1,0)*IF($C191=DK$2,1,0)=0,0,1+COUNTIF(DK$3:DK190,"&gt;0"))</f>
        <v>0</v>
      </c>
      <c r="DL191">
        <f>IF(IF(OR(IFERROR(SEARCH("Druid",$T191,1),0)&gt;0,IFERROR(SEARCH(DruidLand1,$T191,1),0)&gt;0,IFERROR(SEARCH(DruidLand2,$T191,1),0)&gt;0,IFERROR(SEARCH(DruidLand3,$T191,1),0)&gt;0,IFERROR(SEARCH(DruidLand4,$T191,1),0)&gt;0),1,0)*IF($C191=1,1,0)*IF($C191=DL$2,1,0)=0,0,1+COUNTIF(DL$3:DL190,"&gt;0"))</f>
        <v>0</v>
      </c>
      <c r="DM191">
        <f>IF(IF(OR(IFERROR(SEARCH("Druid",$T191,1),0)&gt;0,IFERROR(SEARCH(DruidLand1,$T191,1),0)&gt;0,IFERROR(SEARCH(DruidLand2,$T191,1),0)&gt;0,IFERROR(SEARCH(DruidLand3,$T191,1),0)&gt;0,IFERROR(SEARCH(DruidLand4,$T191,1),0)&gt;0),1,0)*IF($C191=1,1,0)*IF($C191=DM$2,1,0)=0,0,1+COUNTIF(DM$3:DM190,"&gt;0"))</f>
        <v>0</v>
      </c>
      <c r="DN191">
        <f>IF(IF(OR(IFERROR(SEARCH("Druid",$T191,1),0)&gt;0,IFERROR(SEARCH(DruidLand1,$T191,1),0)&gt;0,IFERROR(SEARCH(DruidLand2,$T191,1),0)&gt;0,IFERROR(SEARCH(DruidLand3,$T191,1),0)&gt;0,IFERROR(SEARCH(DruidLand4,$T191,1),0)&gt;0),1,0)*IF($C191=1,1,0)*IF($C191=DN$2,1,0)=0,0,1+COUNTIF(DN$3:DN190,"&gt;0"))</f>
        <v>0</v>
      </c>
      <c r="DO191">
        <f>IF(IF(OR(IFERROR(SEARCH("Druid",$T191,1),0)&gt;0,IFERROR(SEARCH(DruidLand1,$T191,1),0)&gt;0,IFERROR(SEARCH(DruidLand2,$T191,1),0)&gt;0,IFERROR(SEARCH(DruidLand3,$T191,1),0)&gt;0,IFERROR(SEARCH(DruidLand4,$T191,1),0)&gt;0),1,0)*IF($C191=1,1,0)*IF($C191=DO$2,1,0)=0,0,1+COUNTIF(DO$3:DO190,"&gt;0"))</f>
        <v>0</v>
      </c>
      <c r="DP191">
        <f>IF(IF(OR(IFERROR(SEARCH("Druid",$T191,1),0)&gt;0,IFERROR(SEARCH(DruidLand1,$T191,1),0)&gt;0,IFERROR(SEARCH(DruidLand2,$T191,1),0)&gt;0,IFERROR(SEARCH(DruidLand3,$T191,1),0)&gt;0,IFERROR(SEARCH(DruidLand4,$T191,1),0)&gt;0),1,0)*IF($C191=1,1,0)*IF($C191=DP$2,1,0)=0,0,1+COUNTIF(DP$3:DP190,"&gt;0"))</f>
        <v>0</v>
      </c>
      <c r="DQ191">
        <f>IF(IF(OR(IFERROR(SEARCH("Druid",$T191,1),0)&gt;0,IFERROR(SEARCH(DruidLand1,$T191,1),0)&gt;0,IFERROR(SEARCH(DruidLand2,$T191,1),0)&gt;0,IFERROR(SEARCH(DruidLand3,$T191,1),0)&gt;0,IFERROR(SEARCH(DruidLand4,$T191,1),0)&gt;0),1,0)*IF($C191=1,1,0)*IF($C191=DQ$2,1,0)=0,0,1+COUNTIF(DQ$3:DQ190,"&gt;0"))</f>
        <v>0</v>
      </c>
      <c r="DR191">
        <f>IF(IF(OR(IFERROR(SEARCH("Druid",$T191,1),0)&gt;0,IFERROR(SEARCH(DruidLand1,$T191,1),0)&gt;0,IFERROR(SEARCH(DruidLand2,$T191,1),0)&gt;0,IFERROR(SEARCH(DruidLand3,$T191,1),0)&gt;0,IFERROR(SEARCH(DruidLand4,$T191,1),0)&gt;0),1,0)*IF($C191=1,1,0)*IF($C191=DR$2,1,0)=0,0,1+COUNTIF(DR$3:DR190,"&gt;0"))</f>
        <v>0</v>
      </c>
      <c r="DS191">
        <f>IF(IF(OR(IFERROR(SEARCH("Paladin",$T191,1),0)&gt;0,IFERROR(SEARCH(PaladinOath,$T191,1),0)&gt;0),1,0)*IF($C191=DS$2,1,0)=1,1+COUNTIF(DS$3:DS190,"&gt;0"),0)</f>
        <v>0</v>
      </c>
      <c r="DT191">
        <f>IF(IF(OR(IFERROR(SEARCH("Paladin",$T191,1),0)&gt;0,IFERROR(SEARCH(PaladinOath,$T191,1),0)&gt;0),1,0)*IF($C191=DT$2,1,0)=1,1+COUNTIF(DT$3:DT190,"&gt;0"),0)</f>
        <v>0</v>
      </c>
      <c r="DU191">
        <f>IF(IF(OR(IFERROR(SEARCH("Paladin",$T191,1),0)&gt;0,IFERROR(SEARCH(PaladinOath,$T191,1),0)&gt;0),1,0)*IF($C191=DU$2,1,0)=1,1+COUNTIF(DU$3:DU190,"&gt;0"),0)</f>
        <v>0</v>
      </c>
      <c r="DV191">
        <f>IF(IF(OR(IFERROR(SEARCH("Paladin",$T191,1),0)&gt;0,IFERROR(SEARCH(PaladinOath,$T191,1),0)&gt;0),1,0)*IF($C191=DV$2,1,0)=1,1+COUNTIF(DV$3:DV190,"&gt;0"),0)</f>
        <v>0</v>
      </c>
      <c r="DW191">
        <f>IF(IF(OR(IFERROR(SEARCH("Paladin",$T191,1),0)&gt;0,IFERROR(SEARCH(PaladinOath,$T191,1),0)&gt;0),1,0)*IF($C191=DW$2,1,0)=1,1+COUNTIF(DW$3:DW190,"&gt;0"),0)</f>
        <v>0</v>
      </c>
      <c r="DY191">
        <f t="shared" si="111"/>
        <v>1</v>
      </c>
      <c r="DZ191">
        <f>IF(DY191=0,0,1+MAX(DZ$3:$DZ190))</f>
        <v>189</v>
      </c>
      <c r="EB191">
        <f t="shared" si="125"/>
        <v>0</v>
      </c>
      <c r="EC191">
        <f>IF(EB191=0,0,1+COUNTIF(EC$3:EC190,"&gt;0"))</f>
        <v>0</v>
      </c>
      <c r="ED191" t="str">
        <f t="shared" si="153"/>
        <v/>
      </c>
      <c r="EE191" t="str">
        <f t="shared" si="126"/>
        <v/>
      </c>
      <c r="EG191">
        <f t="shared" si="127"/>
        <v>0</v>
      </c>
      <c r="EH191">
        <f>IF(EG191=0,0,1+COUNTIF(EH$3:EH190,"&gt;0"))</f>
        <v>0</v>
      </c>
      <c r="EI191" t="str">
        <f t="shared" si="154"/>
        <v/>
      </c>
      <c r="EJ191" t="str">
        <f t="shared" si="128"/>
        <v/>
      </c>
      <c r="EL191">
        <f t="shared" si="129"/>
        <v>0</v>
      </c>
      <c r="EM191">
        <f>IF(EL191=0,0,1+COUNTIF(EM$3:EM190,"&gt;0"))</f>
        <v>0</v>
      </c>
      <c r="EN191" t="str">
        <f t="shared" si="155"/>
        <v/>
      </c>
      <c r="EO191" t="str">
        <f t="shared" si="130"/>
        <v/>
      </c>
      <c r="EQ191">
        <f t="shared" si="131"/>
        <v>0</v>
      </c>
      <c r="ER191">
        <f>IF(EQ191=0,0,1+COUNTIF(ER$3:ER190,"&gt;0"))</f>
        <v>0</v>
      </c>
      <c r="ES191" t="str">
        <f t="shared" si="156"/>
        <v/>
      </c>
      <c r="ET191" t="str">
        <f t="shared" si="132"/>
        <v/>
      </c>
      <c r="EV191">
        <f t="shared" si="133"/>
        <v>0</v>
      </c>
      <c r="EW191">
        <f>IF(EV191=0,0,1+COUNTIF(EW$3:EW190,"&gt;0"))</f>
        <v>0</v>
      </c>
      <c r="EX191" t="str">
        <f t="shared" si="157"/>
        <v/>
      </c>
      <c r="EY191" t="str">
        <f t="shared" si="134"/>
        <v/>
      </c>
      <c r="FA191">
        <f t="shared" si="135"/>
        <v>0</v>
      </c>
      <c r="FB191">
        <f>IF(FA191=0,0,1+COUNTIF(FB$3:FB190,"&gt;0"))</f>
        <v>0</v>
      </c>
      <c r="FC191" t="str">
        <f t="shared" si="158"/>
        <v/>
      </c>
      <c r="FD191" t="str">
        <f t="shared" si="136"/>
        <v/>
      </c>
      <c r="FF191">
        <f t="shared" si="137"/>
        <v>0</v>
      </c>
      <c r="FG191">
        <f>IF(FF191=0,0,1+COUNTIF(FG$3:FG190,"&gt;0"))</f>
        <v>0</v>
      </c>
      <c r="FH191" t="str">
        <f t="shared" si="159"/>
        <v/>
      </c>
      <c r="FI191" t="str">
        <f t="shared" si="138"/>
        <v/>
      </c>
      <c r="FK191">
        <f t="shared" si="139"/>
        <v>0</v>
      </c>
      <c r="FL191">
        <f>IF(FK191=0,0,1+COUNTIF(FL$3:FL190,"&gt;0"))</f>
        <v>0</v>
      </c>
      <c r="FM191" t="str">
        <f t="shared" si="160"/>
        <v/>
      </c>
      <c r="FN191" t="str">
        <f t="shared" si="140"/>
        <v/>
      </c>
      <c r="FP191">
        <f t="shared" si="141"/>
        <v>0</v>
      </c>
      <c r="FQ191">
        <f>IF(FP191=0,0,1+COUNTIF(FQ$3:FQ190,"&gt;0"))</f>
        <v>0</v>
      </c>
      <c r="FR191" t="str">
        <f t="shared" si="161"/>
        <v/>
      </c>
      <c r="FS191" t="str">
        <f t="shared" si="142"/>
        <v/>
      </c>
    </row>
    <row r="192" spans="1:175" x14ac:dyDescent="0.25">
      <c r="A192" s="347">
        <f t="shared" si="162"/>
        <v>190</v>
      </c>
      <c r="B192" s="348" t="s">
        <v>2569</v>
      </c>
      <c r="C192" s="348">
        <v>1</v>
      </c>
      <c r="D192" s="347">
        <v>1</v>
      </c>
      <c r="E192" s="627" t="s">
        <v>6952</v>
      </c>
      <c r="F192" s="346"/>
      <c r="G192" s="347" t="s">
        <v>5269</v>
      </c>
      <c r="H192" s="347" t="s">
        <v>5281</v>
      </c>
      <c r="I192" s="347" t="s">
        <v>5298</v>
      </c>
      <c r="J192" s="347" t="str">
        <f t="shared" si="112"/>
        <v/>
      </c>
      <c r="K192" s="347" t="s">
        <v>2364</v>
      </c>
      <c r="L192" s="611" t="str">
        <f t="shared" si="113"/>
        <v>S, M, a lead-based ink worth at least 10 gp, which the spell consumes</v>
      </c>
      <c r="M192" s="347" t="s">
        <v>3034</v>
      </c>
      <c r="N192" s="347" t="s">
        <v>2387</v>
      </c>
      <c r="O192" s="347" t="s">
        <v>1244</v>
      </c>
      <c r="P192" s="346" t="s">
        <v>5407</v>
      </c>
      <c r="Q192" s="347" t="s">
        <v>5274</v>
      </c>
      <c r="S192" s="346" t="s">
        <v>5740</v>
      </c>
      <c r="T192" s="346" t="str">
        <f t="shared" si="114"/>
        <v xml:space="preserve">Bard, Warlock, Arcane Trickster, Wizard, </v>
      </c>
      <c r="U192" s="347" t="str">
        <f>$B192</f>
        <v>Illusory Script</v>
      </c>
      <c r="Y192" s="347" t="str">
        <f>$B192</f>
        <v>Illusory Script</v>
      </c>
      <c r="AC192" s="539" t="str">
        <f>B192</f>
        <v>Illusory Script</v>
      </c>
      <c r="AD192" s="347" t="str">
        <f t="shared" si="165"/>
        <v>Illusory Script</v>
      </c>
      <c r="AE192" t="str">
        <f>IF(IFERROR(MATCH($B192,temp!A$4:A$13,0),0)&gt;0,T08_Spells!AE$2,"")</f>
        <v/>
      </c>
      <c r="AF192" t="str">
        <f>IF(IFERROR(MATCH($B192,temp!B$4:B$13,0),0)&gt;0,T08_Spells!AF$2,"")</f>
        <v/>
      </c>
      <c r="AG192" t="str">
        <f>IF(IFERROR(MATCH($B192,temp!C$4:C$13,0),0)&gt;0,T08_Spells!AG$2,"")</f>
        <v/>
      </c>
      <c r="AH192" t="str">
        <f>IF(IFERROR(MATCH($B192,temp!D$4:D$13,0),0)&gt;0,T08_Spells!AH$2,"")</f>
        <v/>
      </c>
      <c r="AI192" t="str">
        <f>IF(IFERROR(MATCH($B192,temp!E$4:E$13,0),0)&gt;0,T08_Spells!AI$2,"")</f>
        <v/>
      </c>
      <c r="AJ192" t="str">
        <f>IF(IFERROR(MATCH($B192,temp!F$4:F$13,0),0)&gt;0,T08_Spells!AJ$2,"")</f>
        <v/>
      </c>
      <c r="AK192" t="str">
        <f>IF(IFERROR(MATCH($B192,temp!G$4:G$13,0),0)&gt;0,T08_Spells!AK$2,"")</f>
        <v/>
      </c>
      <c r="AL192" t="str">
        <f>IF(IFERROR(MATCH($B192,temp!H$4:H$13,0),0)&gt;0,T08_Spells!AL$2,"")</f>
        <v/>
      </c>
      <c r="AM192" t="str">
        <f>IF(IFERROR(MATCH($B192,temp!I$4:I$13,0),0)&gt;0,T08_Spells!AM$2,"")</f>
        <v/>
      </c>
      <c r="AN192" t="str">
        <f>IF(IFERROR(MATCH($B192,temp!J$4:J$13,0),0)&gt;0,T08_Spells!AN$2,"")</f>
        <v/>
      </c>
      <c r="AO192" t="str">
        <f>IF(IFERROR(MATCH($B192,temp!K$4:K$13,0),0)&gt;0,T08_Spells!AO$2,"")</f>
        <v/>
      </c>
      <c r="AP192" t="str">
        <f>IF(IFERROR(MATCH($B192,temp!L$4:L$13,0),0)&gt;0,T08_Spells!AP$2,"")</f>
        <v/>
      </c>
      <c r="AQ192" t="str">
        <f>IF(IFERROR(MATCH($B192,temp!M$4:M$13,0),0)&gt;0,T08_Spells!AQ$2,"")</f>
        <v/>
      </c>
      <c r="AR192" t="str">
        <f>IF(IFERROR(MATCH($B192,temp!N$4:N$13,0),0)&gt;0,T08_Spells!AR$2,"")</f>
        <v/>
      </c>
      <c r="AS192" t="str">
        <f>IF(IFERROR(MATCH($B192,temp!O$4:O$13,0),0)&gt;0,T08_Spells!AS$2,"")</f>
        <v/>
      </c>
      <c r="AT192" t="str">
        <f>IF(IFERROR(MATCH($B192,temp!P$4:P$13,0),0)&gt;0,T08_Spells!AT$2,"")</f>
        <v/>
      </c>
      <c r="AU192" t="str">
        <f>IF(IFERROR(MATCH($B192,temp!Q$4:Q$13,0),0)&gt;0,T08_Spells!AU$2,"")</f>
        <v/>
      </c>
      <c r="AV192" t="str">
        <f>IF(IFERROR(MATCH($B192,temp!R$4:R$13,0),0)&gt;0,T08_Spells!AV$2,"")</f>
        <v/>
      </c>
      <c r="AW192" t="str">
        <f>IF(IFERROR(MATCH($B192,temp!S$4:S$13,0),0)&gt;0,T08_Spells!AW$2,"")</f>
        <v/>
      </c>
      <c r="AX192" t="str">
        <f>IF(IFERROR(MATCH($B192,temp!T$4:T$13,0),0)&gt;0,T08_Spells!AX$2,"")</f>
        <v/>
      </c>
      <c r="AY192" t="str">
        <f>IF(IFERROR(MATCH($B192,temp!U$4:U$13,0),0)&gt;0,T08_Spells!AY$2,"")</f>
        <v/>
      </c>
      <c r="AZ192" t="str">
        <f>IF(IFERROR(MATCH($B192,temp!V$4:V$13,0),0)&gt;0,T08_Spells!AZ$2,"")</f>
        <v/>
      </c>
      <c r="BA192" t="str">
        <f>IF(IFERROR(MATCH($B192,temp!W$4:W$13,0),0)&gt;0,T08_Spells!BA$2,"")</f>
        <v/>
      </c>
      <c r="BC192">
        <f>IF(IFERROR(SEARCH("Ranger",$T192,1),0)&gt;0,1,0)*IF(RangerMaxSpellLevel&gt;=$C192,1,0)*IF(IFERROR(MATCH(B192,Character_Creation!$X$79:$X$382,0),0)&gt;0,0,1)</f>
        <v>0</v>
      </c>
      <c r="BD192">
        <f>IF(BC192=0,0,1+COUNTIF(BD$3:BD191,"&gt;0"))</f>
        <v>0</v>
      </c>
      <c r="BE192" t="str">
        <f t="shared" si="143"/>
        <v/>
      </c>
      <c r="BF192" t="str">
        <f t="shared" si="115"/>
        <v/>
      </c>
      <c r="BH192">
        <f>IF(IFERROR(SEARCH("Sorcerer",$T192,1),0)&gt;0,1,0)*IF(SorcererMaxSpellLevel&gt;=$C192,1,0)*IF(IFERROR(MATCH(B192,Character_Creation!$J$380:$J$394,0),0)&gt;0,0,1)</f>
        <v>0</v>
      </c>
      <c r="BI192">
        <f>IF(BH192=0,0,1+COUNTIF(BI$3:BI191,"&gt;0"))</f>
        <v>0</v>
      </c>
      <c r="BJ192" t="str">
        <f t="shared" si="144"/>
        <v/>
      </c>
      <c r="BK192" t="str">
        <f t="shared" si="116"/>
        <v/>
      </c>
      <c r="BM192">
        <f>IF(OR(IFERROR(SEARCH("Warlock",$T192,1),0)&gt;0,IFERROR(SEARCH(WarlockPatron,$T192,1),0)&gt;0),1,0)*IF(WarlockMaxSpellLevel&gt;=$C192,1,0)*IF(IFERROR(MATCH(B192,Character_Creation!$J$361:$J$375,0),0)&gt;0,0,1)</f>
        <v>0</v>
      </c>
      <c r="BN192">
        <f>IF(BM192=0,0,1+COUNTIF(BN$3:BN191,"&gt;0"))</f>
        <v>0</v>
      </c>
      <c r="BO192" t="str">
        <f t="shared" si="145"/>
        <v/>
      </c>
      <c r="BP192" t="str">
        <f t="shared" si="117"/>
        <v/>
      </c>
      <c r="BR192">
        <f>IF(IFERROR(SEARCH("Eldritch Knight",$T192,1),0)&gt;0,1,0)*IF(EldritchKnightMaxSpellLevel&gt;=$C192,1,0)*IF(IFERROR(MATCH($B192,Character_Creation!$J$350:$J$356,0),0)&gt;0,0,1)*IF(Character_Creation!$M$338&gt;0,1,0)</f>
        <v>0</v>
      </c>
      <c r="BS192">
        <f>IF(BR192=0,0,1+COUNTIF(BS$3:BS191,"&gt;0"))</f>
        <v>0</v>
      </c>
      <c r="BT192" t="str">
        <f t="shared" si="146"/>
        <v/>
      </c>
      <c r="BU192" t="str">
        <f t="shared" si="118"/>
        <v/>
      </c>
      <c r="BW192">
        <f>IF(IFERROR(SEARCH("Arcane Trickster",$T192,1),0)&gt;0,1,0)*IF(ArcaneTricksterMaxSpellLevel&gt;=$C192,1,0)*IF(IFERROR(MATCH($B192,Character_Creation!$J$350:$J$356,0),0)&gt;0,0,1)*IF(Character_Creation!$T$338&gt;0,1,0)</f>
        <v>0</v>
      </c>
      <c r="BX192">
        <f>IF(BW192=0,0,1+COUNTIF(BX$3:BX191,"&gt;0"))</f>
        <v>0</v>
      </c>
      <c r="BY192" t="str">
        <f t="shared" si="147"/>
        <v/>
      </c>
      <c r="BZ192" t="str">
        <f t="shared" si="119"/>
        <v/>
      </c>
      <c r="CB192">
        <f>IF(IFERROR(SEARCH("Wizard",$T192,1),0)&gt;0,1,0)*IF(C192&lt;=ArcaneTricksterMaxSpellLevel,1,0)*IF(IFERROR(MATCH($B192,Character_Creation!$J$350:$J$356,0),0)&gt;0,0,1)*IF(Character_Creation!$T$350&gt;0,1,0)</f>
        <v>0</v>
      </c>
      <c r="CC192">
        <f>IF(CB192=0,0,1+COUNTIF(CC$3:CC191,"&gt;0"))</f>
        <v>0</v>
      </c>
      <c r="CD192" t="str">
        <f t="shared" si="148"/>
        <v/>
      </c>
      <c r="CE192" t="str">
        <f t="shared" si="120"/>
        <v/>
      </c>
      <c r="CG192">
        <f>IF(IFERROR(SEARCH("Wizard",$T192,1),0)&gt;0,1,0)*IF($C192&lt;=EldritchKnightMaxSpellLevel,1,0)*IF(IFERROR(MATCH($B192,Character_Creation!$J$350:$J$356,0),0)&gt;0,0,1)*IF(Character_Creation!$M$350&gt;0,1,0)</f>
        <v>1</v>
      </c>
      <c r="CH192">
        <f>IF(CG192=0,0,1+COUNTIF(CH$3:CH191,"&gt;0"))</f>
        <v>31</v>
      </c>
      <c r="CI192" t="str">
        <f t="shared" si="149"/>
        <v/>
      </c>
      <c r="CJ192" t="str">
        <f t="shared" si="121"/>
        <v/>
      </c>
      <c r="CL192">
        <f>IF(IFERROR(SEARCH("Bard",$T192,1),0)&gt;0,1,0)*IF(BardMaxSpellLevel&gt;=$C192,1,0)*IF(IFERROR(MATCH(B192,Character_Creation!$C$341:$F$362,0),0)&gt;0,0,1)*IF(IFERROR(MATCH($B192,Character_Creation!$C$341:$C$362,0),0)&gt;0,0,1)</f>
        <v>0</v>
      </c>
      <c r="CM192">
        <f>IF(CL192=0,0,1+COUNTIF(CM$3:CM191,"&gt;0"))</f>
        <v>0</v>
      </c>
      <c r="CN192" t="str">
        <f t="shared" si="150"/>
        <v/>
      </c>
      <c r="CO192" t="str">
        <f t="shared" si="122"/>
        <v/>
      </c>
      <c r="CQ192">
        <f>IF(IFERROR(SEARCH("Wizard",$T192,1),0)&gt;0,1,0)*IF(WizardMaxSpellLevel&gt;=$C192,1,0)*IF(IFERROR(MATCH(B192,Character_Creation!$X$341:$X$400,0),0)&gt;0,0,1)*IF(SelectedWizardSpellLevel=$C192,1,0)</f>
        <v>0</v>
      </c>
      <c r="CR192">
        <f>IF(CQ192=0,0,1+COUNTIF(CR$3:CR191,"&gt;0"))</f>
        <v>0</v>
      </c>
      <c r="CS192" t="str">
        <f t="shared" si="151"/>
        <v/>
      </c>
      <c r="CT192" t="str">
        <f t="shared" si="123"/>
        <v/>
      </c>
      <c r="CV192">
        <f>IF(IFERROR(MATCH($B192,Character_Creation!$C$341:$C$362,0),0)&gt;0,0,1)*IF(OR(C192="Cantrip",C192&lt;=BardMaxSpellLevel),1,0)*IF(IFERROR(MATCH($B192,Character_Creation!$C$367:$C$374,0),0)&gt;0,0,1)</f>
        <v>0</v>
      </c>
      <c r="CW192">
        <f>IF(CV192=0,0,1+COUNTIF(CW$3:CW191,"&gt;0"))</f>
        <v>0</v>
      </c>
      <c r="CX192" t="str">
        <f t="shared" si="152"/>
        <v/>
      </c>
      <c r="CY192" t="str">
        <f t="shared" si="124"/>
        <v/>
      </c>
      <c r="DA192">
        <f>IF(IF(OR(IFERROR(SEARCH("Cleric",$T192,1),0)&gt;0,IFERROR(SEARCH(DivineDomain&amp;",",$T192,1),0)&gt;0),1,0)*IF($C192=DA$2,1,0)=1,1+COUNTIF(DA$3:DA191,"&gt;0"),0)</f>
        <v>0</v>
      </c>
      <c r="DB192">
        <f>IF(IF(OR(IFERROR(SEARCH("Cleric",$T192,1),0)&gt;0,IFERROR(SEARCH(DivineDomain&amp;",",$T192,1),0)&gt;0),1,0)*IF($C192=DB$2,1,0)=1,1+COUNTIF(DB$3:DB191,"&gt;0"),0)</f>
        <v>0</v>
      </c>
      <c r="DC192">
        <f>IF(IF(OR(IFERROR(SEARCH("Cleric",$T192,1),0)&gt;0,IFERROR(SEARCH(DivineDomain&amp;",",$T192,1),0)&gt;0),1,0)*IF($C192=DC$2,1,0)=1,1+COUNTIF(DC$3:DC191,"&gt;0"),0)</f>
        <v>0</v>
      </c>
      <c r="DD192">
        <f>IF(IF(OR(IFERROR(SEARCH("Cleric",$T192,1),0)&gt;0,IFERROR(SEARCH(DivineDomain&amp;",",$T192,1),0)&gt;0),1,0)*IF($C192=DD$2,1,0)=1,1+COUNTIF(DD$3:DD191,"&gt;0"),0)</f>
        <v>0</v>
      </c>
      <c r="DE192">
        <f>IF(IF(OR(IFERROR(SEARCH("Cleric",$T192,1),0)&gt;0,IFERROR(SEARCH(DivineDomain&amp;",",$T192,1),0)&gt;0),1,0)*IF($C192=DE$2,1,0)=1,1+COUNTIF(DE$3:DE191,"&gt;0"),0)</f>
        <v>0</v>
      </c>
      <c r="DF192">
        <f>IF(IF(OR(IFERROR(SEARCH("Cleric",$T192,1),0)&gt;0,IFERROR(SEARCH(DivineDomain&amp;",",$T192,1),0)&gt;0),1,0)*IF($C192=DF$2,1,0)=1,1+COUNTIF(DF$3:DF191,"&gt;0"),0)</f>
        <v>0</v>
      </c>
      <c r="DG192">
        <f>IF(IF(OR(IFERROR(SEARCH("Cleric",$T192,1),0)&gt;0,IFERROR(SEARCH(DivineDomain&amp;",",$T192,1),0)&gt;0),1,0)*IF($C192=DG$2,1,0)=1,1+COUNTIF(DG$3:DG191,"&gt;0"),0)</f>
        <v>0</v>
      </c>
      <c r="DH192">
        <f>IF(IF(OR(IFERROR(SEARCH("Cleric",$T192,1),0)&gt;0,IFERROR(SEARCH(DivineDomain&amp;",",$T192,1),0)&gt;0),1,0)*IF($C192=DH$2,1,0)=1,1+COUNTIF(DH$3:DH191,"&gt;0"),0)</f>
        <v>0</v>
      </c>
      <c r="DI192">
        <f>IF(IF(OR(IFERROR(SEARCH("Cleric",$T192,1),0)&gt;0,IFERROR(SEARCH(DivineDomain&amp;",",$T192,1),0)&gt;0),1,0)*IF($C192=DI$2,1,0)=1,1+COUNTIF(DI$3:DI191,"&gt;0"),0)</f>
        <v>0</v>
      </c>
      <c r="DJ192">
        <f>IF(IF(OR(IFERROR(SEARCH("Druid",$T192,1),0)&gt;0,IFERROR(SEARCH(DruidLand1,$T192,1),0)&gt;0,IFERROR(SEARCH(DruidLand2,$T192,1),0)&gt;0,IFERROR(SEARCH(DruidLand3,$T192,1),0)&gt;0,IFERROR(SEARCH(DruidLand4,$T192,1),0)&gt;0),1,0)*IF($C192=1,1,0)*IF($C192=DJ$2,1,0)=0,0,1+COUNTIF(DJ$3:DJ191,"&gt;0"))</f>
        <v>0</v>
      </c>
      <c r="DK192">
        <f>IF(IF(OR(IFERROR(SEARCH("Druid",$T192,1),0)&gt;0,IFERROR(SEARCH(DruidLand1,$T192,1),0)&gt;0,IFERROR(SEARCH(DruidLand2,$T192,1),0)&gt;0,IFERROR(SEARCH(DruidLand3,$T192,1),0)&gt;0,IFERROR(SEARCH(DruidLand4,$T192,1),0)&gt;0),1,0)*IF($C192=1,1,0)*IF($C192=DK$2,1,0)=0,0,1+COUNTIF(DK$3:DK191,"&gt;0"))</f>
        <v>0</v>
      </c>
      <c r="DL192">
        <f>IF(IF(OR(IFERROR(SEARCH("Druid",$T192,1),0)&gt;0,IFERROR(SEARCH(DruidLand1,$T192,1),0)&gt;0,IFERROR(SEARCH(DruidLand2,$T192,1),0)&gt;0,IFERROR(SEARCH(DruidLand3,$T192,1),0)&gt;0,IFERROR(SEARCH(DruidLand4,$T192,1),0)&gt;0),1,0)*IF($C192=1,1,0)*IF($C192=DL$2,1,0)=0,0,1+COUNTIF(DL$3:DL191,"&gt;0"))</f>
        <v>0</v>
      </c>
      <c r="DM192">
        <f>IF(IF(OR(IFERROR(SEARCH("Druid",$T192,1),0)&gt;0,IFERROR(SEARCH(DruidLand1,$T192,1),0)&gt;0,IFERROR(SEARCH(DruidLand2,$T192,1),0)&gt;0,IFERROR(SEARCH(DruidLand3,$T192,1),0)&gt;0,IFERROR(SEARCH(DruidLand4,$T192,1),0)&gt;0),1,0)*IF($C192=1,1,0)*IF($C192=DM$2,1,0)=0,0,1+COUNTIF(DM$3:DM191,"&gt;0"))</f>
        <v>0</v>
      </c>
      <c r="DN192">
        <f>IF(IF(OR(IFERROR(SEARCH("Druid",$T192,1),0)&gt;0,IFERROR(SEARCH(DruidLand1,$T192,1),0)&gt;0,IFERROR(SEARCH(DruidLand2,$T192,1),0)&gt;0,IFERROR(SEARCH(DruidLand3,$T192,1),0)&gt;0,IFERROR(SEARCH(DruidLand4,$T192,1),0)&gt;0),1,0)*IF($C192=1,1,0)*IF($C192=DN$2,1,0)=0,0,1+COUNTIF(DN$3:DN191,"&gt;0"))</f>
        <v>0</v>
      </c>
      <c r="DO192">
        <f>IF(IF(OR(IFERROR(SEARCH("Druid",$T192,1),0)&gt;0,IFERROR(SEARCH(DruidLand1,$T192,1),0)&gt;0,IFERROR(SEARCH(DruidLand2,$T192,1),0)&gt;0,IFERROR(SEARCH(DruidLand3,$T192,1),0)&gt;0,IFERROR(SEARCH(DruidLand4,$T192,1),0)&gt;0),1,0)*IF($C192=1,1,0)*IF($C192=DO$2,1,0)=0,0,1+COUNTIF(DO$3:DO191,"&gt;0"))</f>
        <v>0</v>
      </c>
      <c r="DP192">
        <f>IF(IF(OR(IFERROR(SEARCH("Druid",$T192,1),0)&gt;0,IFERROR(SEARCH(DruidLand1,$T192,1),0)&gt;0,IFERROR(SEARCH(DruidLand2,$T192,1),0)&gt;0,IFERROR(SEARCH(DruidLand3,$T192,1),0)&gt;0,IFERROR(SEARCH(DruidLand4,$T192,1),0)&gt;0),1,0)*IF($C192=1,1,0)*IF($C192=DP$2,1,0)=0,0,1+COUNTIF(DP$3:DP191,"&gt;0"))</f>
        <v>0</v>
      </c>
      <c r="DQ192">
        <f>IF(IF(OR(IFERROR(SEARCH("Druid",$T192,1),0)&gt;0,IFERROR(SEARCH(DruidLand1,$T192,1),0)&gt;0,IFERROR(SEARCH(DruidLand2,$T192,1),0)&gt;0,IFERROR(SEARCH(DruidLand3,$T192,1),0)&gt;0,IFERROR(SEARCH(DruidLand4,$T192,1),0)&gt;0),1,0)*IF($C192=1,1,0)*IF($C192=DQ$2,1,0)=0,0,1+COUNTIF(DQ$3:DQ191,"&gt;0"))</f>
        <v>0</v>
      </c>
      <c r="DR192">
        <f>IF(IF(OR(IFERROR(SEARCH("Druid",$T192,1),0)&gt;0,IFERROR(SEARCH(DruidLand1,$T192,1),0)&gt;0,IFERROR(SEARCH(DruidLand2,$T192,1),0)&gt;0,IFERROR(SEARCH(DruidLand3,$T192,1),0)&gt;0,IFERROR(SEARCH(DruidLand4,$T192,1),0)&gt;0),1,0)*IF($C192=1,1,0)*IF($C192=DR$2,1,0)=0,0,1+COUNTIF(DR$3:DR191,"&gt;0"))</f>
        <v>0</v>
      </c>
      <c r="DS192">
        <f>IF(IF(OR(IFERROR(SEARCH("Paladin",$T192,1),0)&gt;0,IFERROR(SEARCH(PaladinOath,$T192,1),0)&gt;0),1,0)*IF($C192=DS$2,1,0)=1,1+COUNTIF(DS$3:DS191,"&gt;0"),0)</f>
        <v>0</v>
      </c>
      <c r="DT192">
        <f>IF(IF(OR(IFERROR(SEARCH("Paladin",$T192,1),0)&gt;0,IFERROR(SEARCH(PaladinOath,$T192,1),0)&gt;0),1,0)*IF($C192=DT$2,1,0)=1,1+COUNTIF(DT$3:DT191,"&gt;0"),0)</f>
        <v>0</v>
      </c>
      <c r="DU192">
        <f>IF(IF(OR(IFERROR(SEARCH("Paladin",$T192,1),0)&gt;0,IFERROR(SEARCH(PaladinOath,$T192,1),0)&gt;0),1,0)*IF($C192=DU$2,1,0)=1,1+COUNTIF(DU$3:DU191,"&gt;0"),0)</f>
        <v>0</v>
      </c>
      <c r="DV192">
        <f>IF(IF(OR(IFERROR(SEARCH("Paladin",$T192,1),0)&gt;0,IFERROR(SEARCH(PaladinOath,$T192,1),0)&gt;0),1,0)*IF($C192=DV$2,1,0)=1,1+COUNTIF(DV$3:DV191,"&gt;0"),0)</f>
        <v>0</v>
      </c>
      <c r="DW192">
        <f>IF(IF(OR(IFERROR(SEARCH("Paladin",$T192,1),0)&gt;0,IFERROR(SEARCH(PaladinOath,$T192,1),0)&gt;0),1,0)*IF($C192=DW$2,1,0)=1,1+COUNTIF(DW$3:DW191,"&gt;0"),0)</f>
        <v>0</v>
      </c>
      <c r="DY192">
        <f t="shared" si="111"/>
        <v>1</v>
      </c>
      <c r="DZ192">
        <f>IF(DY192=0,0,1+MAX(DZ$3:$DZ191))</f>
        <v>190</v>
      </c>
      <c r="EB192">
        <f t="shared" si="125"/>
        <v>0</v>
      </c>
      <c r="EC192">
        <f>IF(EB192=0,0,1+COUNTIF(EC$3:EC191,"&gt;0"))</f>
        <v>0</v>
      </c>
      <c r="ED192" t="str">
        <f t="shared" si="153"/>
        <v/>
      </c>
      <c r="EE192" t="str">
        <f t="shared" si="126"/>
        <v/>
      </c>
      <c r="EG192">
        <f t="shared" si="127"/>
        <v>0</v>
      </c>
      <c r="EH192">
        <f>IF(EG192=0,0,1+COUNTIF(EH$3:EH191,"&gt;0"))</f>
        <v>0</v>
      </c>
      <c r="EI192" t="str">
        <f t="shared" si="154"/>
        <v/>
      </c>
      <c r="EJ192" t="str">
        <f t="shared" si="128"/>
        <v/>
      </c>
      <c r="EL192">
        <f t="shared" si="129"/>
        <v>0</v>
      </c>
      <c r="EM192">
        <f>IF(EL192=0,0,1+COUNTIF(EM$3:EM191,"&gt;0"))</f>
        <v>0</v>
      </c>
      <c r="EN192" t="str">
        <f t="shared" si="155"/>
        <v/>
      </c>
      <c r="EO192" t="str">
        <f t="shared" si="130"/>
        <v/>
      </c>
      <c r="EQ192">
        <f t="shared" si="131"/>
        <v>0</v>
      </c>
      <c r="ER192">
        <f>IF(EQ192=0,0,1+COUNTIF(ER$3:ER191,"&gt;0"))</f>
        <v>0</v>
      </c>
      <c r="ES192" t="str">
        <f t="shared" si="156"/>
        <v/>
      </c>
      <c r="ET192" t="str">
        <f t="shared" si="132"/>
        <v/>
      </c>
      <c r="EV192">
        <f t="shared" si="133"/>
        <v>0</v>
      </c>
      <c r="EW192">
        <f>IF(EV192=0,0,1+COUNTIF(EW$3:EW191,"&gt;0"))</f>
        <v>0</v>
      </c>
      <c r="EX192" t="str">
        <f t="shared" si="157"/>
        <v/>
      </c>
      <c r="EY192" t="str">
        <f t="shared" si="134"/>
        <v/>
      </c>
      <c r="FA192">
        <f t="shared" si="135"/>
        <v>0</v>
      </c>
      <c r="FB192">
        <f>IF(FA192=0,0,1+COUNTIF(FB$3:FB191,"&gt;0"))</f>
        <v>0</v>
      </c>
      <c r="FC192" t="str">
        <f t="shared" si="158"/>
        <v/>
      </c>
      <c r="FD192" t="str">
        <f t="shared" si="136"/>
        <v/>
      </c>
      <c r="FF192">
        <f t="shared" si="137"/>
        <v>0</v>
      </c>
      <c r="FG192">
        <f>IF(FF192=0,0,1+COUNTIF(FG$3:FG191,"&gt;0"))</f>
        <v>0</v>
      </c>
      <c r="FH192" t="str">
        <f t="shared" si="159"/>
        <v/>
      </c>
      <c r="FI192" t="str">
        <f t="shared" si="138"/>
        <v/>
      </c>
      <c r="FK192">
        <f t="shared" si="139"/>
        <v>0</v>
      </c>
      <c r="FL192">
        <f>IF(FK192=0,0,1+COUNTIF(FL$3:FL191,"&gt;0"))</f>
        <v>0</v>
      </c>
      <c r="FM192" t="str">
        <f t="shared" si="160"/>
        <v/>
      </c>
      <c r="FN192" t="str">
        <f t="shared" si="140"/>
        <v/>
      </c>
      <c r="FP192">
        <f t="shared" si="141"/>
        <v>0</v>
      </c>
      <c r="FQ192">
        <f>IF(FP192=0,0,1+COUNTIF(FQ$3:FQ191,"&gt;0"))</f>
        <v>0</v>
      </c>
      <c r="FR192" t="str">
        <f t="shared" si="161"/>
        <v/>
      </c>
      <c r="FS192" t="str">
        <f t="shared" si="142"/>
        <v/>
      </c>
    </row>
    <row r="193" spans="1:175" x14ac:dyDescent="0.25">
      <c r="A193" s="347">
        <f t="shared" si="162"/>
        <v>191</v>
      </c>
      <c r="B193" s="348" t="s">
        <v>2570</v>
      </c>
      <c r="C193" s="348">
        <v>9</v>
      </c>
      <c r="D193" s="347">
        <v>9</v>
      </c>
      <c r="E193" s="627" t="s">
        <v>6952</v>
      </c>
      <c r="F193" s="346"/>
      <c r="G193" s="347" t="str">
        <f>""</f>
        <v/>
      </c>
      <c r="H193" s="347" t="s">
        <v>5288</v>
      </c>
      <c r="I193" s="347" t="s">
        <v>5060</v>
      </c>
      <c r="J193" s="347" t="str">
        <f t="shared" si="112"/>
        <v/>
      </c>
      <c r="K193" s="347" t="s">
        <v>5299</v>
      </c>
      <c r="L193" s="611" t="str">
        <f t="shared" si="113"/>
        <v>V, S, M, a vellum depiction or a carved statuette in the likeness of the target, and a special component that varies according to the version of the spell you choose, worth at least 500 gp per Hit Die of the target</v>
      </c>
      <c r="M193" s="347" t="s">
        <v>2373</v>
      </c>
      <c r="N193" s="347" t="s">
        <v>2387</v>
      </c>
      <c r="O193" s="347" t="s">
        <v>1244</v>
      </c>
      <c r="P193" s="346" t="s">
        <v>5408</v>
      </c>
      <c r="Q193" s="347" t="s">
        <v>5270</v>
      </c>
      <c r="S193" s="346" t="s">
        <v>5741</v>
      </c>
      <c r="T193" s="346" t="str">
        <f t="shared" si="114"/>
        <v xml:space="preserve">Warlock, Eldritch Knight, Wizard, </v>
      </c>
      <c r="Y193" s="347" t="str">
        <f>$B193</f>
        <v>Imprisonment</v>
      </c>
      <c r="AB193" s="542" t="str">
        <f>AD193</f>
        <v>Imprisonment</v>
      </c>
      <c r="AD193" s="347" t="str">
        <f t="shared" si="165"/>
        <v>Imprisonment</v>
      </c>
      <c r="AE193" t="str">
        <f>IF(IFERROR(MATCH($B193,temp!A$4:A$13,0),0)&gt;0,T08_Spells!AE$2,"")</f>
        <v/>
      </c>
      <c r="AF193" t="str">
        <f>IF(IFERROR(MATCH($B193,temp!B$4:B$13,0),0)&gt;0,T08_Spells!AF$2,"")</f>
        <v/>
      </c>
      <c r="AG193" t="str">
        <f>IF(IFERROR(MATCH($B193,temp!C$4:C$13,0),0)&gt;0,T08_Spells!AG$2,"")</f>
        <v/>
      </c>
      <c r="AH193" t="str">
        <f>IF(IFERROR(MATCH($B193,temp!D$4:D$13,0),0)&gt;0,T08_Spells!AH$2,"")</f>
        <v/>
      </c>
      <c r="AI193" t="str">
        <f>IF(IFERROR(MATCH($B193,temp!E$4:E$13,0),0)&gt;0,T08_Spells!AI$2,"")</f>
        <v/>
      </c>
      <c r="AJ193" t="str">
        <f>IF(IFERROR(MATCH($B193,temp!F$4:F$13,0),0)&gt;0,T08_Spells!AJ$2,"")</f>
        <v/>
      </c>
      <c r="AK193" t="str">
        <f>IF(IFERROR(MATCH($B193,temp!G$4:G$13,0),0)&gt;0,T08_Spells!AK$2,"")</f>
        <v/>
      </c>
      <c r="AL193" t="str">
        <f>IF(IFERROR(MATCH($B193,temp!H$4:H$13,0),0)&gt;0,T08_Spells!AL$2,"")</f>
        <v/>
      </c>
      <c r="AM193" t="str">
        <f>IF(IFERROR(MATCH($B193,temp!I$4:I$13,0),0)&gt;0,T08_Spells!AM$2,"")</f>
        <v/>
      </c>
      <c r="AN193" t="str">
        <f>IF(IFERROR(MATCH($B193,temp!J$4:J$13,0),0)&gt;0,T08_Spells!AN$2,"")</f>
        <v/>
      </c>
      <c r="AO193" t="str">
        <f>IF(IFERROR(MATCH($B193,temp!K$4:K$13,0),0)&gt;0,T08_Spells!AO$2,"")</f>
        <v/>
      </c>
      <c r="AP193" t="str">
        <f>IF(IFERROR(MATCH($B193,temp!L$4:L$13,0),0)&gt;0,T08_Spells!AP$2,"")</f>
        <v/>
      </c>
      <c r="AQ193" t="str">
        <f>IF(IFERROR(MATCH($B193,temp!M$4:M$13,0),0)&gt;0,T08_Spells!AQ$2,"")</f>
        <v/>
      </c>
      <c r="AR193" t="str">
        <f>IF(IFERROR(MATCH($B193,temp!N$4:N$13,0),0)&gt;0,T08_Spells!AR$2,"")</f>
        <v/>
      </c>
      <c r="AS193" t="str">
        <f>IF(IFERROR(MATCH($B193,temp!O$4:O$13,0),0)&gt;0,T08_Spells!AS$2,"")</f>
        <v/>
      </c>
      <c r="AT193" t="str">
        <f>IF(IFERROR(MATCH($B193,temp!P$4:P$13,0),0)&gt;0,T08_Spells!AT$2,"")</f>
        <v/>
      </c>
      <c r="AU193" t="str">
        <f>IF(IFERROR(MATCH($B193,temp!Q$4:Q$13,0),0)&gt;0,T08_Spells!AU$2,"")</f>
        <v/>
      </c>
      <c r="AV193" t="str">
        <f>IF(IFERROR(MATCH($B193,temp!R$4:R$13,0),0)&gt;0,T08_Spells!AV$2,"")</f>
        <v/>
      </c>
      <c r="AW193" t="str">
        <f>IF(IFERROR(MATCH($B193,temp!S$4:S$13,0),0)&gt;0,T08_Spells!AW$2,"")</f>
        <v/>
      </c>
      <c r="AX193" t="str">
        <f>IF(IFERROR(MATCH($B193,temp!T$4:T$13,0),0)&gt;0,T08_Spells!AX$2,"")</f>
        <v/>
      </c>
      <c r="AY193" t="str">
        <f>IF(IFERROR(MATCH($B193,temp!U$4:U$13,0),0)&gt;0,T08_Spells!AY$2,"")</f>
        <v/>
      </c>
      <c r="AZ193" t="str">
        <f>IF(IFERROR(MATCH($B193,temp!V$4:V$13,0),0)&gt;0,T08_Spells!AZ$2,"")</f>
        <v/>
      </c>
      <c r="BA193" t="str">
        <f>IF(IFERROR(MATCH($B193,temp!W$4:W$13,0),0)&gt;0,T08_Spells!BA$2,"")</f>
        <v/>
      </c>
      <c r="BC193">
        <f>IF(IFERROR(SEARCH("Ranger",$T193,1),0)&gt;0,1,0)*IF(RangerMaxSpellLevel&gt;=$C193,1,0)*IF(IFERROR(MATCH(B193,Character_Creation!$X$79:$X$382,0),0)&gt;0,0,1)</f>
        <v>0</v>
      </c>
      <c r="BD193">
        <f>IF(BC193=0,0,1+COUNTIF(BD$3:BD192,"&gt;0"))</f>
        <v>0</v>
      </c>
      <c r="BE193" t="str">
        <f t="shared" si="143"/>
        <v/>
      </c>
      <c r="BF193" t="str">
        <f t="shared" si="115"/>
        <v/>
      </c>
      <c r="BH193">
        <f>IF(IFERROR(SEARCH("Sorcerer",$T193,1),0)&gt;0,1,0)*IF(SorcererMaxSpellLevel&gt;=$C193,1,0)*IF(IFERROR(MATCH(B193,Character_Creation!$J$380:$J$394,0),0)&gt;0,0,1)</f>
        <v>0</v>
      </c>
      <c r="BI193">
        <f>IF(BH193=0,0,1+COUNTIF(BI$3:BI192,"&gt;0"))</f>
        <v>0</v>
      </c>
      <c r="BJ193" t="str">
        <f t="shared" si="144"/>
        <v/>
      </c>
      <c r="BK193" t="str">
        <f t="shared" si="116"/>
        <v/>
      </c>
      <c r="BM193">
        <f>IF(OR(IFERROR(SEARCH("Warlock",$T193,1),0)&gt;0,IFERROR(SEARCH(WarlockPatron,$T193,1),0)&gt;0),1,0)*IF(WarlockMaxSpellLevel&gt;=$C193,1,0)*IF(IFERROR(MATCH(B193,Character_Creation!$J$361:$J$375,0),0)&gt;0,0,1)</f>
        <v>0</v>
      </c>
      <c r="BN193">
        <f>IF(BM193=0,0,1+COUNTIF(BN$3:BN192,"&gt;0"))</f>
        <v>0</v>
      </c>
      <c r="BO193" t="str">
        <f t="shared" si="145"/>
        <v/>
      </c>
      <c r="BP193" t="str">
        <f t="shared" si="117"/>
        <v/>
      </c>
      <c r="BR193">
        <f>IF(IFERROR(SEARCH("Eldritch Knight",$T193,1),0)&gt;0,1,0)*IF(EldritchKnightMaxSpellLevel&gt;=$C193,1,0)*IF(IFERROR(MATCH($B193,Character_Creation!$J$350:$J$356,0),0)&gt;0,0,1)*IF(Character_Creation!$M$338&gt;0,1,0)</f>
        <v>0</v>
      </c>
      <c r="BS193">
        <f>IF(BR193=0,0,1+COUNTIF(BS$3:BS192,"&gt;0"))</f>
        <v>0</v>
      </c>
      <c r="BT193" t="str">
        <f t="shared" si="146"/>
        <v/>
      </c>
      <c r="BU193" t="str">
        <f t="shared" si="118"/>
        <v/>
      </c>
      <c r="BW193">
        <f>IF(IFERROR(SEARCH("Arcane Trickster",$T193,1),0)&gt;0,1,0)*IF(ArcaneTricksterMaxSpellLevel&gt;=$C193,1,0)*IF(IFERROR(MATCH($B193,Character_Creation!$J$350:$J$356,0),0)&gt;0,0,1)*IF(Character_Creation!$T$338&gt;0,1,0)</f>
        <v>0</v>
      </c>
      <c r="BX193">
        <f>IF(BW193=0,0,1+COUNTIF(BX$3:BX192,"&gt;0"))</f>
        <v>0</v>
      </c>
      <c r="BY193" t="str">
        <f t="shared" si="147"/>
        <v/>
      </c>
      <c r="BZ193" t="str">
        <f t="shared" si="119"/>
        <v/>
      </c>
      <c r="CB193">
        <f>IF(IFERROR(SEARCH("Wizard",$T193,1),0)&gt;0,1,0)*IF(C193&lt;=ArcaneTricksterMaxSpellLevel,1,0)*IF(IFERROR(MATCH($B193,Character_Creation!$J$350:$J$356,0),0)&gt;0,0,1)*IF(Character_Creation!$T$350&gt;0,1,0)</f>
        <v>0</v>
      </c>
      <c r="CC193">
        <f>IF(CB193=0,0,1+COUNTIF(CC$3:CC192,"&gt;0"))</f>
        <v>0</v>
      </c>
      <c r="CD193" t="str">
        <f t="shared" si="148"/>
        <v/>
      </c>
      <c r="CE193" t="str">
        <f t="shared" si="120"/>
        <v/>
      </c>
      <c r="CG193">
        <f>IF(IFERROR(SEARCH("Wizard",$T193,1),0)&gt;0,1,0)*IF($C193&lt;=EldritchKnightMaxSpellLevel,1,0)*IF(IFERROR(MATCH($B193,Character_Creation!$J$350:$J$356,0),0)&gt;0,0,1)*IF(Character_Creation!$M$350&gt;0,1,0)</f>
        <v>0</v>
      </c>
      <c r="CH193">
        <f>IF(CG193=0,0,1+COUNTIF(CH$3:CH192,"&gt;0"))</f>
        <v>0</v>
      </c>
      <c r="CI193" t="str">
        <f t="shared" si="149"/>
        <v/>
      </c>
      <c r="CJ193" t="str">
        <f t="shared" si="121"/>
        <v/>
      </c>
      <c r="CL193">
        <f>IF(IFERROR(SEARCH("Bard",$T193,1),0)&gt;0,1,0)*IF(BardMaxSpellLevel&gt;=$C193,1,0)*IF(IFERROR(MATCH(B193,Character_Creation!$C$341:$F$362,0),0)&gt;0,0,1)*IF(IFERROR(MATCH($B193,Character_Creation!$C$341:$C$362,0),0)&gt;0,0,1)</f>
        <v>0</v>
      </c>
      <c r="CM193">
        <f>IF(CL193=0,0,1+COUNTIF(CM$3:CM192,"&gt;0"))</f>
        <v>0</v>
      </c>
      <c r="CN193" t="str">
        <f t="shared" si="150"/>
        <v/>
      </c>
      <c r="CO193" t="str">
        <f t="shared" si="122"/>
        <v/>
      </c>
      <c r="CQ193">
        <f>IF(IFERROR(SEARCH("Wizard",$T193,1),0)&gt;0,1,0)*IF(WizardMaxSpellLevel&gt;=$C193,1,0)*IF(IFERROR(MATCH(B193,Character_Creation!$X$341:$X$400,0),0)&gt;0,0,1)*IF(SelectedWizardSpellLevel=$C193,1,0)</f>
        <v>0</v>
      </c>
      <c r="CR193">
        <f>IF(CQ193=0,0,1+COUNTIF(CR$3:CR192,"&gt;0"))</f>
        <v>0</v>
      </c>
      <c r="CS193" t="str">
        <f t="shared" si="151"/>
        <v/>
      </c>
      <c r="CT193" t="str">
        <f t="shared" si="123"/>
        <v/>
      </c>
      <c r="CV193">
        <f>IF(IFERROR(MATCH($B193,Character_Creation!$C$341:$C$362,0),0)&gt;0,0,1)*IF(OR(C193="Cantrip",C193&lt;=BardMaxSpellLevel),1,0)*IF(IFERROR(MATCH($B193,Character_Creation!$C$367:$C$374,0),0)&gt;0,0,1)</f>
        <v>0</v>
      </c>
      <c r="CW193">
        <f>IF(CV193=0,0,1+COUNTIF(CW$3:CW192,"&gt;0"))</f>
        <v>0</v>
      </c>
      <c r="CX193" t="str">
        <f t="shared" si="152"/>
        <v/>
      </c>
      <c r="CY193" t="str">
        <f t="shared" si="124"/>
        <v/>
      </c>
      <c r="DA193">
        <f>IF(IF(OR(IFERROR(SEARCH("Cleric",$T193,1),0)&gt;0,IFERROR(SEARCH(DivineDomain&amp;",",$T193,1),0)&gt;0),1,0)*IF($C193=DA$2,1,0)=1,1+COUNTIF(DA$3:DA192,"&gt;0"),0)</f>
        <v>0</v>
      </c>
      <c r="DB193">
        <f>IF(IF(OR(IFERROR(SEARCH("Cleric",$T193,1),0)&gt;0,IFERROR(SEARCH(DivineDomain&amp;",",$T193,1),0)&gt;0),1,0)*IF($C193=DB$2,1,0)=1,1+COUNTIF(DB$3:DB192,"&gt;0"),0)</f>
        <v>0</v>
      </c>
      <c r="DC193">
        <f>IF(IF(OR(IFERROR(SEARCH("Cleric",$T193,1),0)&gt;0,IFERROR(SEARCH(DivineDomain&amp;",",$T193,1),0)&gt;0),1,0)*IF($C193=DC$2,1,0)=1,1+COUNTIF(DC$3:DC192,"&gt;0"),0)</f>
        <v>0</v>
      </c>
      <c r="DD193">
        <f>IF(IF(OR(IFERROR(SEARCH("Cleric",$T193,1),0)&gt;0,IFERROR(SEARCH(DivineDomain&amp;",",$T193,1),0)&gt;0),1,0)*IF($C193=DD$2,1,0)=1,1+COUNTIF(DD$3:DD192,"&gt;0"),0)</f>
        <v>0</v>
      </c>
      <c r="DE193">
        <f>IF(IF(OR(IFERROR(SEARCH("Cleric",$T193,1),0)&gt;0,IFERROR(SEARCH(DivineDomain&amp;",",$T193,1),0)&gt;0),1,0)*IF($C193=DE$2,1,0)=1,1+COUNTIF(DE$3:DE192,"&gt;0"),0)</f>
        <v>0</v>
      </c>
      <c r="DF193">
        <f>IF(IF(OR(IFERROR(SEARCH("Cleric",$T193,1),0)&gt;0,IFERROR(SEARCH(DivineDomain&amp;",",$T193,1),0)&gt;0),1,0)*IF($C193=DF$2,1,0)=1,1+COUNTIF(DF$3:DF192,"&gt;0"),0)</f>
        <v>0</v>
      </c>
      <c r="DG193">
        <f>IF(IF(OR(IFERROR(SEARCH("Cleric",$T193,1),0)&gt;0,IFERROR(SEARCH(DivineDomain&amp;",",$T193,1),0)&gt;0),1,0)*IF($C193=DG$2,1,0)=1,1+COUNTIF(DG$3:DG192,"&gt;0"),0)</f>
        <v>0</v>
      </c>
      <c r="DH193">
        <f>IF(IF(OR(IFERROR(SEARCH("Cleric",$T193,1),0)&gt;0,IFERROR(SEARCH(DivineDomain&amp;",",$T193,1),0)&gt;0),1,0)*IF($C193=DH$2,1,0)=1,1+COUNTIF(DH$3:DH192,"&gt;0"),0)</f>
        <v>0</v>
      </c>
      <c r="DI193">
        <f>IF(IF(OR(IFERROR(SEARCH("Cleric",$T193,1),0)&gt;0,IFERROR(SEARCH(DivineDomain&amp;",",$T193,1),0)&gt;0),1,0)*IF($C193=DI$2,1,0)=1,1+COUNTIF(DI$3:DI192,"&gt;0"),0)</f>
        <v>0</v>
      </c>
      <c r="DJ193">
        <f>IF(IF(OR(IFERROR(SEARCH("Druid",$T193,1),0)&gt;0,IFERROR(SEARCH(DruidLand1,$T193,1),0)&gt;0,IFERROR(SEARCH(DruidLand2,$T193,1),0)&gt;0,IFERROR(SEARCH(DruidLand3,$T193,1),0)&gt;0,IFERROR(SEARCH(DruidLand4,$T193,1),0)&gt;0),1,0)*IF($C193=1,1,0)*IF($C193=DJ$2,1,0)=0,0,1+COUNTIF(DJ$3:DJ192,"&gt;0"))</f>
        <v>0</v>
      </c>
      <c r="DK193">
        <f>IF(IF(OR(IFERROR(SEARCH("Druid",$T193,1),0)&gt;0,IFERROR(SEARCH(DruidLand1,$T193,1),0)&gt;0,IFERROR(SEARCH(DruidLand2,$T193,1),0)&gt;0,IFERROR(SEARCH(DruidLand3,$T193,1),0)&gt;0,IFERROR(SEARCH(DruidLand4,$T193,1),0)&gt;0),1,0)*IF($C193=1,1,0)*IF($C193=DK$2,1,0)=0,0,1+COUNTIF(DK$3:DK192,"&gt;0"))</f>
        <v>0</v>
      </c>
      <c r="DL193">
        <f>IF(IF(OR(IFERROR(SEARCH("Druid",$T193,1),0)&gt;0,IFERROR(SEARCH(DruidLand1,$T193,1),0)&gt;0,IFERROR(SEARCH(DruidLand2,$T193,1),0)&gt;0,IFERROR(SEARCH(DruidLand3,$T193,1),0)&gt;0,IFERROR(SEARCH(DruidLand4,$T193,1),0)&gt;0),1,0)*IF($C193=1,1,0)*IF($C193=DL$2,1,0)=0,0,1+COUNTIF(DL$3:DL192,"&gt;0"))</f>
        <v>0</v>
      </c>
      <c r="DM193">
        <f>IF(IF(OR(IFERROR(SEARCH("Druid",$T193,1),0)&gt;0,IFERROR(SEARCH(DruidLand1,$T193,1),0)&gt;0,IFERROR(SEARCH(DruidLand2,$T193,1),0)&gt;0,IFERROR(SEARCH(DruidLand3,$T193,1),0)&gt;0,IFERROR(SEARCH(DruidLand4,$T193,1),0)&gt;0),1,0)*IF($C193=1,1,0)*IF($C193=DM$2,1,0)=0,0,1+COUNTIF(DM$3:DM192,"&gt;0"))</f>
        <v>0</v>
      </c>
      <c r="DN193">
        <f>IF(IF(OR(IFERROR(SEARCH("Druid",$T193,1),0)&gt;0,IFERROR(SEARCH(DruidLand1,$T193,1),0)&gt;0,IFERROR(SEARCH(DruidLand2,$T193,1),0)&gt;0,IFERROR(SEARCH(DruidLand3,$T193,1),0)&gt;0,IFERROR(SEARCH(DruidLand4,$T193,1),0)&gt;0),1,0)*IF($C193=1,1,0)*IF($C193=DN$2,1,0)=0,0,1+COUNTIF(DN$3:DN192,"&gt;0"))</f>
        <v>0</v>
      </c>
      <c r="DO193">
        <f>IF(IF(OR(IFERROR(SEARCH("Druid",$T193,1),0)&gt;0,IFERROR(SEARCH(DruidLand1,$T193,1),0)&gt;0,IFERROR(SEARCH(DruidLand2,$T193,1),0)&gt;0,IFERROR(SEARCH(DruidLand3,$T193,1),0)&gt;0,IFERROR(SEARCH(DruidLand4,$T193,1),0)&gt;0),1,0)*IF($C193=1,1,0)*IF($C193=DO$2,1,0)=0,0,1+COUNTIF(DO$3:DO192,"&gt;0"))</f>
        <v>0</v>
      </c>
      <c r="DP193">
        <f>IF(IF(OR(IFERROR(SEARCH("Druid",$T193,1),0)&gt;0,IFERROR(SEARCH(DruidLand1,$T193,1),0)&gt;0,IFERROR(SEARCH(DruidLand2,$T193,1),0)&gt;0,IFERROR(SEARCH(DruidLand3,$T193,1),0)&gt;0,IFERROR(SEARCH(DruidLand4,$T193,1),0)&gt;0),1,0)*IF($C193=1,1,0)*IF($C193=DP$2,1,0)=0,0,1+COUNTIF(DP$3:DP192,"&gt;0"))</f>
        <v>0</v>
      </c>
      <c r="DQ193">
        <f>IF(IF(OR(IFERROR(SEARCH("Druid",$T193,1),0)&gt;0,IFERROR(SEARCH(DruidLand1,$T193,1),0)&gt;0,IFERROR(SEARCH(DruidLand2,$T193,1),0)&gt;0,IFERROR(SEARCH(DruidLand3,$T193,1),0)&gt;0,IFERROR(SEARCH(DruidLand4,$T193,1),0)&gt;0),1,0)*IF($C193=1,1,0)*IF($C193=DQ$2,1,0)=0,0,1+COUNTIF(DQ$3:DQ192,"&gt;0"))</f>
        <v>0</v>
      </c>
      <c r="DR193">
        <f>IF(IF(OR(IFERROR(SEARCH("Druid",$T193,1),0)&gt;0,IFERROR(SEARCH(DruidLand1,$T193,1),0)&gt;0,IFERROR(SEARCH(DruidLand2,$T193,1),0)&gt;0,IFERROR(SEARCH(DruidLand3,$T193,1),0)&gt;0,IFERROR(SEARCH(DruidLand4,$T193,1),0)&gt;0),1,0)*IF($C193=1,1,0)*IF($C193=DR$2,1,0)=0,0,1+COUNTIF(DR$3:DR192,"&gt;0"))</f>
        <v>0</v>
      </c>
      <c r="DS193">
        <f>IF(IF(OR(IFERROR(SEARCH("Paladin",$T193,1),0)&gt;0,IFERROR(SEARCH(PaladinOath,$T193,1),0)&gt;0),1,0)*IF($C193=DS$2,1,0)=1,1+COUNTIF(DS$3:DS192,"&gt;0"),0)</f>
        <v>0</v>
      </c>
      <c r="DT193">
        <f>IF(IF(OR(IFERROR(SEARCH("Paladin",$T193,1),0)&gt;0,IFERROR(SEARCH(PaladinOath,$T193,1),0)&gt;0),1,0)*IF($C193=DT$2,1,0)=1,1+COUNTIF(DT$3:DT192,"&gt;0"),0)</f>
        <v>0</v>
      </c>
      <c r="DU193">
        <f>IF(IF(OR(IFERROR(SEARCH("Paladin",$T193,1),0)&gt;0,IFERROR(SEARCH(PaladinOath,$T193,1),0)&gt;0),1,0)*IF($C193=DU$2,1,0)=1,1+COUNTIF(DU$3:DU192,"&gt;0"),0)</f>
        <v>0</v>
      </c>
      <c r="DV193">
        <f>IF(IF(OR(IFERROR(SEARCH("Paladin",$T193,1),0)&gt;0,IFERROR(SEARCH(PaladinOath,$T193,1),0)&gt;0),1,0)*IF($C193=DV$2,1,0)=1,1+COUNTIF(DV$3:DV192,"&gt;0"),0)</f>
        <v>0</v>
      </c>
      <c r="DW193">
        <f>IF(IF(OR(IFERROR(SEARCH("Paladin",$T193,1),0)&gt;0,IFERROR(SEARCH(PaladinOath,$T193,1),0)&gt;0),1,0)*IF($C193=DW$2,1,0)=1,1+COUNTIF(DW$3:DW192,"&gt;0"),0)</f>
        <v>0</v>
      </c>
      <c r="DY193">
        <f t="shared" si="111"/>
        <v>1</v>
      </c>
      <c r="DZ193">
        <f>IF(DY193=0,0,1+MAX(DZ$3:$DZ192))</f>
        <v>191</v>
      </c>
      <c r="EB193">
        <f t="shared" si="125"/>
        <v>0</v>
      </c>
      <c r="EC193">
        <f>IF(EB193=0,0,1+COUNTIF(EC$3:EC192,"&gt;0"))</f>
        <v>0</v>
      </c>
      <c r="ED193" t="str">
        <f t="shared" si="153"/>
        <v/>
      </c>
      <c r="EE193" t="str">
        <f t="shared" si="126"/>
        <v/>
      </c>
      <c r="EG193">
        <f t="shared" si="127"/>
        <v>0</v>
      </c>
      <c r="EH193">
        <f>IF(EG193=0,0,1+COUNTIF(EH$3:EH192,"&gt;0"))</f>
        <v>0</v>
      </c>
      <c r="EI193" t="str">
        <f t="shared" si="154"/>
        <v/>
      </c>
      <c r="EJ193" t="str">
        <f t="shared" si="128"/>
        <v/>
      </c>
      <c r="EL193">
        <f t="shared" si="129"/>
        <v>0</v>
      </c>
      <c r="EM193">
        <f>IF(EL193=0,0,1+COUNTIF(EM$3:EM192,"&gt;0"))</f>
        <v>0</v>
      </c>
      <c r="EN193" t="str">
        <f t="shared" si="155"/>
        <v/>
      </c>
      <c r="EO193" t="str">
        <f t="shared" si="130"/>
        <v/>
      </c>
      <c r="EQ193">
        <f t="shared" si="131"/>
        <v>0</v>
      </c>
      <c r="ER193">
        <f>IF(EQ193=0,0,1+COUNTIF(ER$3:ER192,"&gt;0"))</f>
        <v>0</v>
      </c>
      <c r="ES193" t="str">
        <f t="shared" si="156"/>
        <v/>
      </c>
      <c r="ET193" t="str">
        <f t="shared" si="132"/>
        <v/>
      </c>
      <c r="EV193">
        <f t="shared" si="133"/>
        <v>0</v>
      </c>
      <c r="EW193">
        <f>IF(EV193=0,0,1+COUNTIF(EW$3:EW192,"&gt;0"))</f>
        <v>0</v>
      </c>
      <c r="EX193" t="str">
        <f t="shared" si="157"/>
        <v/>
      </c>
      <c r="EY193" t="str">
        <f t="shared" si="134"/>
        <v/>
      </c>
      <c r="FA193">
        <f t="shared" si="135"/>
        <v>0</v>
      </c>
      <c r="FB193">
        <f>IF(FA193=0,0,1+COUNTIF(FB$3:FB192,"&gt;0"))</f>
        <v>0</v>
      </c>
      <c r="FC193" t="str">
        <f t="shared" si="158"/>
        <v/>
      </c>
      <c r="FD193" t="str">
        <f t="shared" si="136"/>
        <v/>
      </c>
      <c r="FF193">
        <f t="shared" si="137"/>
        <v>0</v>
      </c>
      <c r="FG193">
        <f>IF(FF193=0,0,1+COUNTIF(FG$3:FG192,"&gt;0"))</f>
        <v>0</v>
      </c>
      <c r="FH193" t="str">
        <f t="shared" si="159"/>
        <v/>
      </c>
      <c r="FI193" t="str">
        <f t="shared" si="138"/>
        <v/>
      </c>
      <c r="FK193">
        <f t="shared" si="139"/>
        <v>0</v>
      </c>
      <c r="FL193">
        <f>IF(FK193=0,0,1+COUNTIF(FL$3:FL192,"&gt;0"))</f>
        <v>0</v>
      </c>
      <c r="FM193" t="str">
        <f t="shared" si="160"/>
        <v/>
      </c>
      <c r="FN193" t="str">
        <f t="shared" si="140"/>
        <v/>
      </c>
      <c r="FP193">
        <f t="shared" si="141"/>
        <v>0</v>
      </c>
      <c r="FQ193">
        <f>IF(FP193=0,0,1+COUNTIF(FQ$3:FQ192,"&gt;0"))</f>
        <v>0</v>
      </c>
      <c r="FR193" t="str">
        <f t="shared" si="161"/>
        <v/>
      </c>
      <c r="FS193" t="str">
        <f t="shared" si="142"/>
        <v/>
      </c>
    </row>
    <row r="194" spans="1:175" x14ac:dyDescent="0.25">
      <c r="A194" s="347">
        <f t="shared" si="162"/>
        <v>192</v>
      </c>
      <c r="B194" s="348" t="s">
        <v>2571</v>
      </c>
      <c r="C194" s="348">
        <v>8</v>
      </c>
      <c r="D194" s="347">
        <v>8</v>
      </c>
      <c r="E194" s="627" t="s">
        <v>6952</v>
      </c>
      <c r="F194" s="346"/>
      <c r="G194" s="347" t="str">
        <f>""</f>
        <v/>
      </c>
      <c r="H194" s="347" t="s">
        <v>5912</v>
      </c>
      <c r="I194" s="347" t="s">
        <v>5315</v>
      </c>
      <c r="J194" s="347" t="str">
        <f t="shared" si="112"/>
        <v/>
      </c>
      <c r="K194" s="347" t="s">
        <v>5291</v>
      </c>
      <c r="L194" s="611" t="str">
        <f t="shared" si="113"/>
        <v>V, S</v>
      </c>
      <c r="M194" s="347" t="s">
        <v>2373</v>
      </c>
      <c r="N194" s="347" t="s">
        <v>2387</v>
      </c>
      <c r="O194" s="347" t="s">
        <v>3034</v>
      </c>
      <c r="P194" s="346" t="str">
        <f>""</f>
        <v/>
      </c>
      <c r="Q194" s="347" t="s">
        <v>5271</v>
      </c>
      <c r="S194" s="346" t="s">
        <v>5742</v>
      </c>
      <c r="T194" s="346" t="str">
        <f t="shared" si="114"/>
        <v xml:space="preserve">Sorcerer, Wizard, </v>
      </c>
      <c r="X194" s="347" t="str">
        <f>$B194</f>
        <v>Incendiary Cloud</v>
      </c>
      <c r="AD194" s="347" t="str">
        <f t="shared" si="165"/>
        <v>Incendiary Cloud</v>
      </c>
      <c r="AE194" t="str">
        <f>IF(IFERROR(MATCH($B194,temp!A$4:A$13,0),0)&gt;0,T08_Spells!AE$2,"")</f>
        <v/>
      </c>
      <c r="AF194" t="str">
        <f>IF(IFERROR(MATCH($B194,temp!B$4:B$13,0),0)&gt;0,T08_Spells!AF$2,"")</f>
        <v/>
      </c>
      <c r="AG194" t="str">
        <f>IF(IFERROR(MATCH($B194,temp!C$4:C$13,0),0)&gt;0,T08_Spells!AG$2,"")</f>
        <v/>
      </c>
      <c r="AH194" t="str">
        <f>IF(IFERROR(MATCH($B194,temp!D$4:D$13,0),0)&gt;0,T08_Spells!AH$2,"")</f>
        <v/>
      </c>
      <c r="AI194" t="str">
        <f>IF(IFERROR(MATCH($B194,temp!E$4:E$13,0),0)&gt;0,T08_Spells!AI$2,"")</f>
        <v/>
      </c>
      <c r="AJ194" t="str">
        <f>IF(IFERROR(MATCH($B194,temp!F$4:F$13,0),0)&gt;0,T08_Spells!AJ$2,"")</f>
        <v/>
      </c>
      <c r="AK194" t="str">
        <f>IF(IFERROR(MATCH($B194,temp!G$4:G$13,0),0)&gt;0,T08_Spells!AK$2,"")</f>
        <v/>
      </c>
      <c r="AL194" t="str">
        <f>IF(IFERROR(MATCH($B194,temp!H$4:H$13,0),0)&gt;0,T08_Spells!AL$2,"")</f>
        <v/>
      </c>
      <c r="AM194" t="str">
        <f>IF(IFERROR(MATCH($B194,temp!I$4:I$13,0),0)&gt;0,T08_Spells!AM$2,"")</f>
        <v/>
      </c>
      <c r="AN194" t="str">
        <f>IF(IFERROR(MATCH($B194,temp!J$4:J$13,0),0)&gt;0,T08_Spells!AN$2,"")</f>
        <v/>
      </c>
      <c r="AO194" t="str">
        <f>IF(IFERROR(MATCH($B194,temp!K$4:K$13,0),0)&gt;0,T08_Spells!AO$2,"")</f>
        <v/>
      </c>
      <c r="AP194" t="str">
        <f>IF(IFERROR(MATCH($B194,temp!L$4:L$13,0),0)&gt;0,T08_Spells!AP$2,"")</f>
        <v/>
      </c>
      <c r="AQ194" t="str">
        <f>IF(IFERROR(MATCH($B194,temp!M$4:M$13,0),0)&gt;0,T08_Spells!AQ$2,"")</f>
        <v/>
      </c>
      <c r="AR194" t="str">
        <f>IF(IFERROR(MATCH($B194,temp!N$4:N$13,0),0)&gt;0,T08_Spells!AR$2,"")</f>
        <v/>
      </c>
      <c r="AS194" t="str">
        <f>IF(IFERROR(MATCH($B194,temp!O$4:O$13,0),0)&gt;0,T08_Spells!AS$2,"")</f>
        <v/>
      </c>
      <c r="AT194" t="str">
        <f>IF(IFERROR(MATCH($B194,temp!P$4:P$13,0),0)&gt;0,T08_Spells!AT$2,"")</f>
        <v/>
      </c>
      <c r="AU194" t="str">
        <f>IF(IFERROR(MATCH($B194,temp!Q$4:Q$13,0),0)&gt;0,T08_Spells!AU$2,"")</f>
        <v/>
      </c>
      <c r="AV194" t="str">
        <f>IF(IFERROR(MATCH($B194,temp!R$4:R$13,0),0)&gt;0,T08_Spells!AV$2,"")</f>
        <v/>
      </c>
      <c r="AW194" t="str">
        <f>IF(IFERROR(MATCH($B194,temp!S$4:S$13,0),0)&gt;0,T08_Spells!AW$2,"")</f>
        <v/>
      </c>
      <c r="AX194" t="str">
        <f>IF(IFERROR(MATCH($B194,temp!T$4:T$13,0),0)&gt;0,T08_Spells!AX$2,"")</f>
        <v/>
      </c>
      <c r="AY194" t="str">
        <f>IF(IFERROR(MATCH($B194,temp!U$4:U$13,0),0)&gt;0,T08_Spells!AY$2,"")</f>
        <v/>
      </c>
      <c r="AZ194" t="str">
        <f>IF(IFERROR(MATCH($B194,temp!V$4:V$13,0),0)&gt;0,T08_Spells!AZ$2,"")</f>
        <v/>
      </c>
      <c r="BA194" t="str">
        <f>IF(IFERROR(MATCH($B194,temp!W$4:W$13,0),0)&gt;0,T08_Spells!BA$2,"")</f>
        <v/>
      </c>
      <c r="BC194">
        <f>IF(IFERROR(SEARCH("Ranger",$T194,1),0)&gt;0,1,0)*IF(RangerMaxSpellLevel&gt;=$C194,1,0)*IF(IFERROR(MATCH(B194,Character_Creation!$X$79:$X$382,0),0)&gt;0,0,1)</f>
        <v>0</v>
      </c>
      <c r="BD194">
        <f>IF(BC194=0,0,1+COUNTIF(BD$3:BD193,"&gt;0"))</f>
        <v>0</v>
      </c>
      <c r="BE194" t="str">
        <f t="shared" si="143"/>
        <v/>
      </c>
      <c r="BF194" t="str">
        <f t="shared" si="115"/>
        <v/>
      </c>
      <c r="BH194">
        <f>IF(IFERROR(SEARCH("Sorcerer",$T194,1),0)&gt;0,1,0)*IF(SorcererMaxSpellLevel&gt;=$C194,1,0)*IF(IFERROR(MATCH(B194,Character_Creation!$J$380:$J$394,0),0)&gt;0,0,1)</f>
        <v>0</v>
      </c>
      <c r="BI194">
        <f>IF(BH194=0,0,1+COUNTIF(BI$3:BI193,"&gt;0"))</f>
        <v>0</v>
      </c>
      <c r="BJ194" t="str">
        <f t="shared" si="144"/>
        <v/>
      </c>
      <c r="BK194" t="str">
        <f t="shared" si="116"/>
        <v/>
      </c>
      <c r="BM194">
        <f>IF(OR(IFERROR(SEARCH("Warlock",$T194,1),0)&gt;0,IFERROR(SEARCH(WarlockPatron,$T194,1),0)&gt;0),1,0)*IF(WarlockMaxSpellLevel&gt;=$C194,1,0)*IF(IFERROR(MATCH(B194,Character_Creation!$J$361:$J$375,0),0)&gt;0,0,1)</f>
        <v>0</v>
      </c>
      <c r="BN194">
        <f>IF(BM194=0,0,1+COUNTIF(BN$3:BN193,"&gt;0"))</f>
        <v>0</v>
      </c>
      <c r="BO194" t="str">
        <f t="shared" si="145"/>
        <v/>
      </c>
      <c r="BP194" t="str">
        <f t="shared" si="117"/>
        <v/>
      </c>
      <c r="BR194">
        <f>IF(IFERROR(SEARCH("Eldritch Knight",$T194,1),0)&gt;0,1,0)*IF(EldritchKnightMaxSpellLevel&gt;=$C194,1,0)*IF(IFERROR(MATCH($B194,Character_Creation!$J$350:$J$356,0),0)&gt;0,0,1)*IF(Character_Creation!$M$338&gt;0,1,0)</f>
        <v>0</v>
      </c>
      <c r="BS194">
        <f>IF(BR194=0,0,1+COUNTIF(BS$3:BS193,"&gt;0"))</f>
        <v>0</v>
      </c>
      <c r="BT194" t="str">
        <f t="shared" si="146"/>
        <v/>
      </c>
      <c r="BU194" t="str">
        <f t="shared" si="118"/>
        <v/>
      </c>
      <c r="BW194">
        <f>IF(IFERROR(SEARCH("Arcane Trickster",$T194,1),0)&gt;0,1,0)*IF(ArcaneTricksterMaxSpellLevel&gt;=$C194,1,0)*IF(IFERROR(MATCH($B194,Character_Creation!$J$350:$J$356,0),0)&gt;0,0,1)*IF(Character_Creation!$T$338&gt;0,1,0)</f>
        <v>0</v>
      </c>
      <c r="BX194">
        <f>IF(BW194=0,0,1+COUNTIF(BX$3:BX193,"&gt;0"))</f>
        <v>0</v>
      </c>
      <c r="BY194" t="str">
        <f t="shared" si="147"/>
        <v/>
      </c>
      <c r="BZ194" t="str">
        <f t="shared" si="119"/>
        <v/>
      </c>
      <c r="CB194">
        <f>IF(IFERROR(SEARCH("Wizard",$T194,1),0)&gt;0,1,0)*IF(C194&lt;=ArcaneTricksterMaxSpellLevel,1,0)*IF(IFERROR(MATCH($B194,Character_Creation!$J$350:$J$356,0),0)&gt;0,0,1)*IF(Character_Creation!$T$350&gt;0,1,0)</f>
        <v>0</v>
      </c>
      <c r="CC194">
        <f>IF(CB194=0,0,1+COUNTIF(CC$3:CC193,"&gt;0"))</f>
        <v>0</v>
      </c>
      <c r="CD194" t="str">
        <f t="shared" si="148"/>
        <v/>
      </c>
      <c r="CE194" t="str">
        <f t="shared" si="120"/>
        <v/>
      </c>
      <c r="CG194">
        <f>IF(IFERROR(SEARCH("Wizard",$T194,1),0)&gt;0,1,0)*IF($C194&lt;=EldritchKnightMaxSpellLevel,1,0)*IF(IFERROR(MATCH($B194,Character_Creation!$J$350:$J$356,0),0)&gt;0,0,1)*IF(Character_Creation!$M$350&gt;0,1,0)</f>
        <v>0</v>
      </c>
      <c r="CH194">
        <f>IF(CG194=0,0,1+COUNTIF(CH$3:CH193,"&gt;0"))</f>
        <v>0</v>
      </c>
      <c r="CI194" t="str">
        <f t="shared" si="149"/>
        <v/>
      </c>
      <c r="CJ194" t="str">
        <f t="shared" si="121"/>
        <v/>
      </c>
      <c r="CL194">
        <f>IF(IFERROR(SEARCH("Bard",$T194,1),0)&gt;0,1,0)*IF(BardMaxSpellLevel&gt;=$C194,1,0)*IF(IFERROR(MATCH(B194,Character_Creation!$C$341:$F$362,0),0)&gt;0,0,1)*IF(IFERROR(MATCH($B194,Character_Creation!$C$341:$C$362,0),0)&gt;0,0,1)</f>
        <v>0</v>
      </c>
      <c r="CM194">
        <f>IF(CL194=0,0,1+COUNTIF(CM$3:CM193,"&gt;0"))</f>
        <v>0</v>
      </c>
      <c r="CN194" t="str">
        <f t="shared" si="150"/>
        <v/>
      </c>
      <c r="CO194" t="str">
        <f t="shared" si="122"/>
        <v/>
      </c>
      <c r="CQ194">
        <f>IF(IFERROR(SEARCH("Wizard",$T194,1),0)&gt;0,1,0)*IF(WizardMaxSpellLevel&gt;=$C194,1,0)*IF(IFERROR(MATCH(B194,Character_Creation!$X$341:$X$400,0),0)&gt;0,0,1)*IF(SelectedWizardSpellLevel=$C194,1,0)</f>
        <v>0</v>
      </c>
      <c r="CR194">
        <f>IF(CQ194=0,0,1+COUNTIF(CR$3:CR193,"&gt;0"))</f>
        <v>0</v>
      </c>
      <c r="CS194" t="str">
        <f t="shared" si="151"/>
        <v/>
      </c>
      <c r="CT194" t="str">
        <f t="shared" si="123"/>
        <v/>
      </c>
      <c r="CV194">
        <f>IF(IFERROR(MATCH($B194,Character_Creation!$C$341:$C$362,0),0)&gt;0,0,1)*IF(OR(C194="Cantrip",C194&lt;=BardMaxSpellLevel),1,0)*IF(IFERROR(MATCH($B194,Character_Creation!$C$367:$C$374,0),0)&gt;0,0,1)</f>
        <v>0</v>
      </c>
      <c r="CW194">
        <f>IF(CV194=0,0,1+COUNTIF(CW$3:CW193,"&gt;0"))</f>
        <v>0</v>
      </c>
      <c r="CX194" t="str">
        <f t="shared" si="152"/>
        <v/>
      </c>
      <c r="CY194" t="str">
        <f t="shared" si="124"/>
        <v/>
      </c>
      <c r="DA194">
        <f>IF(IF(OR(IFERROR(SEARCH("Cleric",$T194,1),0)&gt;0,IFERROR(SEARCH(DivineDomain&amp;",",$T194,1),0)&gt;0),1,0)*IF($C194=DA$2,1,0)=1,1+COUNTIF(DA$3:DA193,"&gt;0"),0)</f>
        <v>0</v>
      </c>
      <c r="DB194">
        <f>IF(IF(OR(IFERROR(SEARCH("Cleric",$T194,1),0)&gt;0,IFERROR(SEARCH(DivineDomain&amp;",",$T194,1),0)&gt;0),1,0)*IF($C194=DB$2,1,0)=1,1+COUNTIF(DB$3:DB193,"&gt;0"),0)</f>
        <v>0</v>
      </c>
      <c r="DC194">
        <f>IF(IF(OR(IFERROR(SEARCH("Cleric",$T194,1),0)&gt;0,IFERROR(SEARCH(DivineDomain&amp;",",$T194,1),0)&gt;0),1,0)*IF($C194=DC$2,1,0)=1,1+COUNTIF(DC$3:DC193,"&gt;0"),0)</f>
        <v>0</v>
      </c>
      <c r="DD194">
        <f>IF(IF(OR(IFERROR(SEARCH("Cleric",$T194,1),0)&gt;0,IFERROR(SEARCH(DivineDomain&amp;",",$T194,1),0)&gt;0),1,0)*IF($C194=DD$2,1,0)=1,1+COUNTIF(DD$3:DD193,"&gt;0"),0)</f>
        <v>0</v>
      </c>
      <c r="DE194">
        <f>IF(IF(OR(IFERROR(SEARCH("Cleric",$T194,1),0)&gt;0,IFERROR(SEARCH(DivineDomain&amp;",",$T194,1),0)&gt;0),1,0)*IF($C194=DE$2,1,0)=1,1+COUNTIF(DE$3:DE193,"&gt;0"),0)</f>
        <v>0</v>
      </c>
      <c r="DF194">
        <f>IF(IF(OR(IFERROR(SEARCH("Cleric",$T194,1),0)&gt;0,IFERROR(SEARCH(DivineDomain&amp;",",$T194,1),0)&gt;0),1,0)*IF($C194=DF$2,1,0)=1,1+COUNTIF(DF$3:DF193,"&gt;0"),0)</f>
        <v>0</v>
      </c>
      <c r="DG194">
        <f>IF(IF(OR(IFERROR(SEARCH("Cleric",$T194,1),0)&gt;0,IFERROR(SEARCH(DivineDomain&amp;",",$T194,1),0)&gt;0),1,0)*IF($C194=DG$2,1,0)=1,1+COUNTIF(DG$3:DG193,"&gt;0"),0)</f>
        <v>0</v>
      </c>
      <c r="DH194">
        <f>IF(IF(OR(IFERROR(SEARCH("Cleric",$T194,1),0)&gt;0,IFERROR(SEARCH(DivineDomain&amp;",",$T194,1),0)&gt;0),1,0)*IF($C194=DH$2,1,0)=1,1+COUNTIF(DH$3:DH193,"&gt;0"),0)</f>
        <v>0</v>
      </c>
      <c r="DI194">
        <f>IF(IF(OR(IFERROR(SEARCH("Cleric",$T194,1),0)&gt;0,IFERROR(SEARCH(DivineDomain&amp;",",$T194,1),0)&gt;0),1,0)*IF($C194=DI$2,1,0)=1,1+COUNTIF(DI$3:DI193,"&gt;0"),0)</f>
        <v>0</v>
      </c>
      <c r="DJ194">
        <f>IF(IF(OR(IFERROR(SEARCH("Druid",$T194,1),0)&gt;0,IFERROR(SEARCH(DruidLand1,$T194,1),0)&gt;0,IFERROR(SEARCH(DruidLand2,$T194,1),0)&gt;0,IFERROR(SEARCH(DruidLand3,$T194,1),0)&gt;0,IFERROR(SEARCH(DruidLand4,$T194,1),0)&gt;0),1,0)*IF($C194=1,1,0)*IF($C194=DJ$2,1,0)=0,0,1+COUNTIF(DJ$3:DJ193,"&gt;0"))</f>
        <v>0</v>
      </c>
      <c r="DK194">
        <f>IF(IF(OR(IFERROR(SEARCH("Druid",$T194,1),0)&gt;0,IFERROR(SEARCH(DruidLand1,$T194,1),0)&gt;0,IFERROR(SEARCH(DruidLand2,$T194,1),0)&gt;0,IFERROR(SEARCH(DruidLand3,$T194,1),0)&gt;0,IFERROR(SEARCH(DruidLand4,$T194,1),0)&gt;0),1,0)*IF($C194=1,1,0)*IF($C194=DK$2,1,0)=0,0,1+COUNTIF(DK$3:DK193,"&gt;0"))</f>
        <v>0</v>
      </c>
      <c r="DL194">
        <f>IF(IF(OR(IFERROR(SEARCH("Druid",$T194,1),0)&gt;0,IFERROR(SEARCH(DruidLand1,$T194,1),0)&gt;0,IFERROR(SEARCH(DruidLand2,$T194,1),0)&gt;0,IFERROR(SEARCH(DruidLand3,$T194,1),0)&gt;0,IFERROR(SEARCH(DruidLand4,$T194,1),0)&gt;0),1,0)*IF($C194=1,1,0)*IF($C194=DL$2,1,0)=0,0,1+COUNTIF(DL$3:DL193,"&gt;0"))</f>
        <v>0</v>
      </c>
      <c r="DM194">
        <f>IF(IF(OR(IFERROR(SEARCH("Druid",$T194,1),0)&gt;0,IFERROR(SEARCH(DruidLand1,$T194,1),0)&gt;0,IFERROR(SEARCH(DruidLand2,$T194,1),0)&gt;0,IFERROR(SEARCH(DruidLand3,$T194,1),0)&gt;0,IFERROR(SEARCH(DruidLand4,$T194,1),0)&gt;0),1,0)*IF($C194=1,1,0)*IF($C194=DM$2,1,0)=0,0,1+COUNTIF(DM$3:DM193,"&gt;0"))</f>
        <v>0</v>
      </c>
      <c r="DN194">
        <f>IF(IF(OR(IFERROR(SEARCH("Druid",$T194,1),0)&gt;0,IFERROR(SEARCH(DruidLand1,$T194,1),0)&gt;0,IFERROR(SEARCH(DruidLand2,$T194,1),0)&gt;0,IFERROR(SEARCH(DruidLand3,$T194,1),0)&gt;0,IFERROR(SEARCH(DruidLand4,$T194,1),0)&gt;0),1,0)*IF($C194=1,1,0)*IF($C194=DN$2,1,0)=0,0,1+COUNTIF(DN$3:DN193,"&gt;0"))</f>
        <v>0</v>
      </c>
      <c r="DO194">
        <f>IF(IF(OR(IFERROR(SEARCH("Druid",$T194,1),0)&gt;0,IFERROR(SEARCH(DruidLand1,$T194,1),0)&gt;0,IFERROR(SEARCH(DruidLand2,$T194,1),0)&gt;0,IFERROR(SEARCH(DruidLand3,$T194,1),0)&gt;0,IFERROR(SEARCH(DruidLand4,$T194,1),0)&gt;0),1,0)*IF($C194=1,1,0)*IF($C194=DO$2,1,0)=0,0,1+COUNTIF(DO$3:DO193,"&gt;0"))</f>
        <v>0</v>
      </c>
      <c r="DP194">
        <f>IF(IF(OR(IFERROR(SEARCH("Druid",$T194,1),0)&gt;0,IFERROR(SEARCH(DruidLand1,$T194,1),0)&gt;0,IFERROR(SEARCH(DruidLand2,$T194,1),0)&gt;0,IFERROR(SEARCH(DruidLand3,$T194,1),0)&gt;0,IFERROR(SEARCH(DruidLand4,$T194,1),0)&gt;0),1,0)*IF($C194=1,1,0)*IF($C194=DP$2,1,0)=0,0,1+COUNTIF(DP$3:DP193,"&gt;0"))</f>
        <v>0</v>
      </c>
      <c r="DQ194">
        <f>IF(IF(OR(IFERROR(SEARCH("Druid",$T194,1),0)&gt;0,IFERROR(SEARCH(DruidLand1,$T194,1),0)&gt;0,IFERROR(SEARCH(DruidLand2,$T194,1),0)&gt;0,IFERROR(SEARCH(DruidLand3,$T194,1),0)&gt;0,IFERROR(SEARCH(DruidLand4,$T194,1),0)&gt;0),1,0)*IF($C194=1,1,0)*IF($C194=DQ$2,1,0)=0,0,1+COUNTIF(DQ$3:DQ193,"&gt;0"))</f>
        <v>0</v>
      </c>
      <c r="DR194">
        <f>IF(IF(OR(IFERROR(SEARCH("Druid",$T194,1),0)&gt;0,IFERROR(SEARCH(DruidLand1,$T194,1),0)&gt;0,IFERROR(SEARCH(DruidLand2,$T194,1),0)&gt;0,IFERROR(SEARCH(DruidLand3,$T194,1),0)&gt;0,IFERROR(SEARCH(DruidLand4,$T194,1),0)&gt;0),1,0)*IF($C194=1,1,0)*IF($C194=DR$2,1,0)=0,0,1+COUNTIF(DR$3:DR193,"&gt;0"))</f>
        <v>0</v>
      </c>
      <c r="DS194">
        <f>IF(IF(OR(IFERROR(SEARCH("Paladin",$T194,1),0)&gt;0,IFERROR(SEARCH(PaladinOath,$T194,1),0)&gt;0),1,0)*IF($C194=DS$2,1,0)=1,1+COUNTIF(DS$3:DS193,"&gt;0"),0)</f>
        <v>0</v>
      </c>
      <c r="DT194">
        <f>IF(IF(OR(IFERROR(SEARCH("Paladin",$T194,1),0)&gt;0,IFERROR(SEARCH(PaladinOath,$T194,1),0)&gt;0),1,0)*IF($C194=DT$2,1,0)=1,1+COUNTIF(DT$3:DT193,"&gt;0"),0)</f>
        <v>0</v>
      </c>
      <c r="DU194">
        <f>IF(IF(OR(IFERROR(SEARCH("Paladin",$T194,1),0)&gt;0,IFERROR(SEARCH(PaladinOath,$T194,1),0)&gt;0),1,0)*IF($C194=DU$2,1,0)=1,1+COUNTIF(DU$3:DU193,"&gt;0"),0)</f>
        <v>0</v>
      </c>
      <c r="DV194">
        <f>IF(IF(OR(IFERROR(SEARCH("Paladin",$T194,1),0)&gt;0,IFERROR(SEARCH(PaladinOath,$T194,1),0)&gt;0),1,0)*IF($C194=DV$2,1,0)=1,1+COUNTIF(DV$3:DV193,"&gt;0"),0)</f>
        <v>0</v>
      </c>
      <c r="DW194">
        <f>IF(IF(OR(IFERROR(SEARCH("Paladin",$T194,1),0)&gt;0,IFERROR(SEARCH(PaladinOath,$T194,1),0)&gt;0),1,0)*IF($C194=DW$2,1,0)=1,1+COUNTIF(DW$3:DW193,"&gt;0"),0)</f>
        <v>0</v>
      </c>
      <c r="DY194">
        <f t="shared" si="111"/>
        <v>1</v>
      </c>
      <c r="DZ194">
        <f>IF(DY194=0,0,1+MAX(DZ$3:$DZ193))</f>
        <v>192</v>
      </c>
      <c r="EB194">
        <f t="shared" si="125"/>
        <v>0</v>
      </c>
      <c r="EC194">
        <f>IF(EB194=0,0,1+COUNTIF(EC$3:EC193,"&gt;0"))</f>
        <v>0</v>
      </c>
      <c r="ED194" t="str">
        <f t="shared" si="153"/>
        <v/>
      </c>
      <c r="EE194" t="str">
        <f t="shared" si="126"/>
        <v/>
      </c>
      <c r="EG194">
        <f t="shared" si="127"/>
        <v>0</v>
      </c>
      <c r="EH194">
        <f>IF(EG194=0,0,1+COUNTIF(EH$3:EH193,"&gt;0"))</f>
        <v>0</v>
      </c>
      <c r="EI194" t="str">
        <f t="shared" si="154"/>
        <v/>
      </c>
      <c r="EJ194" t="str">
        <f t="shared" si="128"/>
        <v/>
      </c>
      <c r="EL194">
        <f t="shared" si="129"/>
        <v>0</v>
      </c>
      <c r="EM194">
        <f>IF(EL194=0,0,1+COUNTIF(EM$3:EM193,"&gt;0"))</f>
        <v>0</v>
      </c>
      <c r="EN194" t="str">
        <f t="shared" si="155"/>
        <v/>
      </c>
      <c r="EO194" t="str">
        <f t="shared" si="130"/>
        <v/>
      </c>
      <c r="EQ194">
        <f t="shared" si="131"/>
        <v>0</v>
      </c>
      <c r="ER194">
        <f>IF(EQ194=0,0,1+COUNTIF(ER$3:ER193,"&gt;0"))</f>
        <v>0</v>
      </c>
      <c r="ES194" t="str">
        <f t="shared" si="156"/>
        <v/>
      </c>
      <c r="ET194" t="str">
        <f t="shared" si="132"/>
        <v/>
      </c>
      <c r="EV194">
        <f t="shared" si="133"/>
        <v>0</v>
      </c>
      <c r="EW194">
        <f>IF(EV194=0,0,1+COUNTIF(EW$3:EW193,"&gt;0"))</f>
        <v>0</v>
      </c>
      <c r="EX194" t="str">
        <f t="shared" si="157"/>
        <v/>
      </c>
      <c r="EY194" t="str">
        <f t="shared" si="134"/>
        <v/>
      </c>
      <c r="FA194">
        <f t="shared" si="135"/>
        <v>0</v>
      </c>
      <c r="FB194">
        <f>IF(FA194=0,0,1+COUNTIF(FB$3:FB193,"&gt;0"))</f>
        <v>0</v>
      </c>
      <c r="FC194" t="str">
        <f t="shared" si="158"/>
        <v/>
      </c>
      <c r="FD194" t="str">
        <f t="shared" si="136"/>
        <v/>
      </c>
      <c r="FF194">
        <f t="shared" si="137"/>
        <v>0</v>
      </c>
      <c r="FG194">
        <f>IF(FF194=0,0,1+COUNTIF(FG$3:FG193,"&gt;0"))</f>
        <v>0</v>
      </c>
      <c r="FH194" t="str">
        <f t="shared" si="159"/>
        <v/>
      </c>
      <c r="FI194" t="str">
        <f t="shared" si="138"/>
        <v/>
      </c>
      <c r="FK194">
        <f t="shared" si="139"/>
        <v>0</v>
      </c>
      <c r="FL194">
        <f>IF(FK194=0,0,1+COUNTIF(FL$3:FL193,"&gt;0"))</f>
        <v>0</v>
      </c>
      <c r="FM194" t="str">
        <f t="shared" si="160"/>
        <v/>
      </c>
      <c r="FN194" t="str">
        <f t="shared" si="140"/>
        <v/>
      </c>
      <c r="FP194">
        <f t="shared" si="141"/>
        <v>0</v>
      </c>
      <c r="FQ194">
        <f>IF(FP194=0,0,1+COUNTIF(FQ$3:FQ193,"&gt;0"))</f>
        <v>0</v>
      </c>
      <c r="FR194" t="str">
        <f t="shared" si="161"/>
        <v/>
      </c>
      <c r="FS194" t="str">
        <f t="shared" si="142"/>
        <v/>
      </c>
    </row>
    <row r="195" spans="1:175" x14ac:dyDescent="0.25">
      <c r="A195" s="347">
        <f t="shared" si="162"/>
        <v>193</v>
      </c>
      <c r="B195" s="348" t="s">
        <v>2572</v>
      </c>
      <c r="C195" s="348">
        <v>1</v>
      </c>
      <c r="D195" s="347">
        <v>1</v>
      </c>
      <c r="E195" s="627" t="s">
        <v>6952</v>
      </c>
      <c r="F195" s="346"/>
      <c r="G195" s="347" t="str">
        <f>""</f>
        <v/>
      </c>
      <c r="H195" s="347" t="s">
        <v>5912</v>
      </c>
      <c r="I195" s="347" t="s">
        <v>5298</v>
      </c>
      <c r="J195" s="347" t="str">
        <f t="shared" si="112"/>
        <v/>
      </c>
      <c r="K195" s="347" t="s">
        <v>5278</v>
      </c>
      <c r="L195" s="611" t="str">
        <f t="shared" si="113"/>
        <v>V, S</v>
      </c>
      <c r="M195" s="347" t="s">
        <v>2373</v>
      </c>
      <c r="N195" s="347" t="s">
        <v>2387</v>
      </c>
      <c r="O195" s="347" t="s">
        <v>3034</v>
      </c>
      <c r="P195" s="346" t="str">
        <f>""</f>
        <v/>
      </c>
      <c r="Q195" s="347" t="s">
        <v>5275</v>
      </c>
      <c r="S195" s="346" t="s">
        <v>5743</v>
      </c>
      <c r="T195" s="346" t="str">
        <f t="shared" si="114"/>
        <v xml:space="preserve">Cleric, Oathbreaker, </v>
      </c>
      <c r="Z195" s="347" t="str">
        <f>$B195</f>
        <v>Inflict Wounds</v>
      </c>
      <c r="AE195" t="str">
        <f>IF(IFERROR(MATCH($B195,temp!A$4:A$13,0),0)&gt;0,T08_Spells!AE$2,"")</f>
        <v/>
      </c>
      <c r="AF195" t="str">
        <f>IF(IFERROR(MATCH($B195,temp!B$4:B$13,0),0)&gt;0,T08_Spells!AF$2,"")</f>
        <v/>
      </c>
      <c r="AG195" t="str">
        <f>IF(IFERROR(MATCH($B195,temp!C$4:C$13,0),0)&gt;0,T08_Spells!AG$2,"")</f>
        <v/>
      </c>
      <c r="AH195" t="str">
        <f>IF(IFERROR(MATCH($B195,temp!D$4:D$13,0),0)&gt;0,T08_Spells!AH$2,"")</f>
        <v>Oathbreaker</v>
      </c>
      <c r="AI195" t="str">
        <f>IF(IFERROR(MATCH($B195,temp!E$4:E$13,0),0)&gt;0,T08_Spells!AI$2,"")</f>
        <v/>
      </c>
      <c r="AJ195" t="str">
        <f>IF(IFERROR(MATCH($B195,temp!F$4:F$13,0),0)&gt;0,T08_Spells!AJ$2,"")</f>
        <v/>
      </c>
      <c r="AK195" t="str">
        <f>IF(IFERROR(MATCH($B195,temp!G$4:G$13,0),0)&gt;0,T08_Spells!AK$2,"")</f>
        <v/>
      </c>
      <c r="AL195" t="str">
        <f>IF(IFERROR(MATCH($B195,temp!H$4:H$13,0),0)&gt;0,T08_Spells!AL$2,"")</f>
        <v/>
      </c>
      <c r="AM195" t="str">
        <f>IF(IFERROR(MATCH($B195,temp!I$4:I$13,0),0)&gt;0,T08_Spells!AM$2,"")</f>
        <v/>
      </c>
      <c r="AN195" t="str">
        <f>IF(IFERROR(MATCH($B195,temp!J$4:J$13,0),0)&gt;0,T08_Spells!AN$2,"")</f>
        <v/>
      </c>
      <c r="AO195" t="str">
        <f>IF(IFERROR(MATCH($B195,temp!K$4:K$13,0),0)&gt;0,T08_Spells!AO$2,"")</f>
        <v/>
      </c>
      <c r="AP195" t="str">
        <f>IF(IFERROR(MATCH($B195,temp!L$4:L$13,0),0)&gt;0,T08_Spells!AP$2,"")</f>
        <v/>
      </c>
      <c r="AQ195" t="str">
        <f>IF(IFERROR(MATCH($B195,temp!M$4:M$13,0),0)&gt;0,T08_Spells!AQ$2,"")</f>
        <v/>
      </c>
      <c r="AR195" t="str">
        <f>IF(IFERROR(MATCH($B195,temp!N$4:N$13,0),0)&gt;0,T08_Spells!AR$2,"")</f>
        <v/>
      </c>
      <c r="AS195" t="str">
        <f>IF(IFERROR(MATCH($B195,temp!O$4:O$13,0),0)&gt;0,T08_Spells!AS$2,"")</f>
        <v/>
      </c>
      <c r="AT195" t="str">
        <f>IF(IFERROR(MATCH($B195,temp!P$4:P$13,0),0)&gt;0,T08_Spells!AT$2,"")</f>
        <v/>
      </c>
      <c r="AU195" t="str">
        <f>IF(IFERROR(MATCH($B195,temp!Q$4:Q$13,0),0)&gt;0,T08_Spells!AU$2,"")</f>
        <v/>
      </c>
      <c r="AV195" t="str">
        <f>IF(IFERROR(MATCH($B195,temp!R$4:R$13,0),0)&gt;0,T08_Spells!AV$2,"")</f>
        <v/>
      </c>
      <c r="AW195" t="str">
        <f>IF(IFERROR(MATCH($B195,temp!S$4:S$13,0),0)&gt;0,T08_Spells!AW$2,"")</f>
        <v/>
      </c>
      <c r="AX195" t="str">
        <f>IF(IFERROR(MATCH($B195,temp!T$4:T$13,0),0)&gt;0,T08_Spells!AX$2,"")</f>
        <v/>
      </c>
      <c r="AY195" t="str">
        <f>IF(IFERROR(MATCH($B195,temp!U$4:U$13,0),0)&gt;0,T08_Spells!AY$2,"")</f>
        <v/>
      </c>
      <c r="AZ195" t="str">
        <f>IF(IFERROR(MATCH($B195,temp!V$4:V$13,0),0)&gt;0,T08_Spells!AZ$2,"")</f>
        <v/>
      </c>
      <c r="BA195" t="str">
        <f>IF(IFERROR(MATCH($B195,temp!W$4:W$13,0),0)&gt;0,T08_Spells!BA$2,"")</f>
        <v/>
      </c>
      <c r="BC195">
        <f>IF(IFERROR(SEARCH("Ranger",$T195,1),0)&gt;0,1,0)*IF(RangerMaxSpellLevel&gt;=$C195,1,0)*IF(IFERROR(MATCH(B195,Character_Creation!$X$79:$X$382,0),0)&gt;0,0,1)</f>
        <v>0</v>
      </c>
      <c r="BD195">
        <f>IF(BC195=0,0,1+COUNTIF(BD$3:BD194,"&gt;0"))</f>
        <v>0</v>
      </c>
      <c r="BE195" t="str">
        <f t="shared" si="143"/>
        <v/>
      </c>
      <c r="BF195" t="str">
        <f t="shared" si="115"/>
        <v/>
      </c>
      <c r="BH195">
        <f>IF(IFERROR(SEARCH("Sorcerer",$T195,1),0)&gt;0,1,0)*IF(SorcererMaxSpellLevel&gt;=$C195,1,0)*IF(IFERROR(MATCH(B195,Character_Creation!$J$380:$J$394,0),0)&gt;0,0,1)</f>
        <v>0</v>
      </c>
      <c r="BI195">
        <f>IF(BH195=0,0,1+COUNTIF(BI$3:BI194,"&gt;0"))</f>
        <v>0</v>
      </c>
      <c r="BJ195" t="str">
        <f t="shared" si="144"/>
        <v/>
      </c>
      <c r="BK195" t="str">
        <f t="shared" si="116"/>
        <v/>
      </c>
      <c r="BM195">
        <f>IF(OR(IFERROR(SEARCH("Warlock",$T195,1),0)&gt;0,IFERROR(SEARCH(WarlockPatron,$T195,1),0)&gt;0),1,0)*IF(WarlockMaxSpellLevel&gt;=$C195,1,0)*IF(IFERROR(MATCH(B195,Character_Creation!$J$361:$J$375,0),0)&gt;0,0,1)</f>
        <v>0</v>
      </c>
      <c r="BN195">
        <f>IF(BM195=0,0,1+COUNTIF(BN$3:BN194,"&gt;0"))</f>
        <v>0</v>
      </c>
      <c r="BO195" t="str">
        <f t="shared" si="145"/>
        <v/>
      </c>
      <c r="BP195" t="str">
        <f t="shared" si="117"/>
        <v/>
      </c>
      <c r="BR195">
        <f>IF(IFERROR(SEARCH("Eldritch Knight",$T195,1),0)&gt;0,1,0)*IF(EldritchKnightMaxSpellLevel&gt;=$C195,1,0)*IF(IFERROR(MATCH($B195,Character_Creation!$J$350:$J$356,0),0)&gt;0,0,1)*IF(Character_Creation!$M$338&gt;0,1,0)</f>
        <v>0</v>
      </c>
      <c r="BS195">
        <f>IF(BR195=0,0,1+COUNTIF(BS$3:BS194,"&gt;0"))</f>
        <v>0</v>
      </c>
      <c r="BT195" t="str">
        <f t="shared" si="146"/>
        <v/>
      </c>
      <c r="BU195" t="str">
        <f t="shared" si="118"/>
        <v/>
      </c>
      <c r="BW195">
        <f>IF(IFERROR(SEARCH("Arcane Trickster",$T195,1),0)&gt;0,1,0)*IF(ArcaneTricksterMaxSpellLevel&gt;=$C195,1,0)*IF(IFERROR(MATCH($B195,Character_Creation!$J$350:$J$356,0),0)&gt;0,0,1)*IF(Character_Creation!$T$338&gt;0,1,0)</f>
        <v>0</v>
      </c>
      <c r="BX195">
        <f>IF(BW195=0,0,1+COUNTIF(BX$3:BX194,"&gt;0"))</f>
        <v>0</v>
      </c>
      <c r="BY195" t="str">
        <f t="shared" si="147"/>
        <v/>
      </c>
      <c r="BZ195" t="str">
        <f t="shared" si="119"/>
        <v/>
      </c>
      <c r="CB195">
        <f>IF(IFERROR(SEARCH("Wizard",$T195,1),0)&gt;0,1,0)*IF(C195&lt;=ArcaneTricksterMaxSpellLevel,1,0)*IF(IFERROR(MATCH($B195,Character_Creation!$J$350:$J$356,0),0)&gt;0,0,1)*IF(Character_Creation!$T$350&gt;0,1,0)</f>
        <v>0</v>
      </c>
      <c r="CC195">
        <f>IF(CB195=0,0,1+COUNTIF(CC$3:CC194,"&gt;0"))</f>
        <v>0</v>
      </c>
      <c r="CD195" t="str">
        <f t="shared" si="148"/>
        <v/>
      </c>
      <c r="CE195" t="str">
        <f t="shared" si="120"/>
        <v/>
      </c>
      <c r="CG195">
        <f>IF(IFERROR(SEARCH("Wizard",$T195,1),0)&gt;0,1,0)*IF($C195&lt;=EldritchKnightMaxSpellLevel,1,0)*IF(IFERROR(MATCH($B195,Character_Creation!$J$350:$J$356,0),0)&gt;0,0,1)*IF(Character_Creation!$M$350&gt;0,1,0)</f>
        <v>0</v>
      </c>
      <c r="CH195">
        <f>IF(CG195=0,0,1+COUNTIF(CH$3:CH194,"&gt;0"))</f>
        <v>0</v>
      </c>
      <c r="CI195" t="str">
        <f t="shared" si="149"/>
        <v/>
      </c>
      <c r="CJ195" t="str">
        <f t="shared" si="121"/>
        <v/>
      </c>
      <c r="CL195">
        <f>IF(IFERROR(SEARCH("Bard",$T195,1),0)&gt;0,1,0)*IF(BardMaxSpellLevel&gt;=$C195,1,0)*IF(IFERROR(MATCH(B195,Character_Creation!$C$341:$F$362,0),0)&gt;0,0,1)*IF(IFERROR(MATCH($B195,Character_Creation!$C$341:$C$362,0),0)&gt;0,0,1)</f>
        <v>0</v>
      </c>
      <c r="CM195">
        <f>IF(CL195=0,0,1+COUNTIF(CM$3:CM194,"&gt;0"))</f>
        <v>0</v>
      </c>
      <c r="CN195" t="str">
        <f t="shared" si="150"/>
        <v/>
      </c>
      <c r="CO195" t="str">
        <f t="shared" si="122"/>
        <v/>
      </c>
      <c r="CQ195">
        <f>IF(IFERROR(SEARCH("Wizard",$T195,1),0)&gt;0,1,0)*IF(WizardMaxSpellLevel&gt;=$C195,1,0)*IF(IFERROR(MATCH(B195,Character_Creation!$X$341:$X$400,0),0)&gt;0,0,1)*IF(SelectedWizardSpellLevel=$C195,1,0)</f>
        <v>0</v>
      </c>
      <c r="CR195">
        <f>IF(CQ195=0,0,1+COUNTIF(CR$3:CR194,"&gt;0"))</f>
        <v>0</v>
      </c>
      <c r="CS195" t="str">
        <f t="shared" si="151"/>
        <v/>
      </c>
      <c r="CT195" t="str">
        <f t="shared" si="123"/>
        <v/>
      </c>
      <c r="CV195">
        <f>IF(IFERROR(MATCH($B195,Character_Creation!$C$341:$C$362,0),0)&gt;0,0,1)*IF(OR(C195="Cantrip",C195&lt;=BardMaxSpellLevel),1,0)*IF(IFERROR(MATCH($B195,Character_Creation!$C$367:$C$374,0),0)&gt;0,0,1)</f>
        <v>0</v>
      </c>
      <c r="CW195">
        <f>IF(CV195=0,0,1+COUNTIF(CW$3:CW194,"&gt;0"))</f>
        <v>0</v>
      </c>
      <c r="CX195" t="str">
        <f t="shared" si="152"/>
        <v/>
      </c>
      <c r="CY195" t="str">
        <f t="shared" si="124"/>
        <v/>
      </c>
      <c r="DA195">
        <f>IF(IF(OR(IFERROR(SEARCH("Cleric",$T195,1),0)&gt;0,IFERROR(SEARCH(DivineDomain&amp;",",$T195,1),0)&gt;0),1,0)*IF($C195=DA$2,1,0)=1,1+COUNTIF(DA$3:DA194,"&gt;0"),0)</f>
        <v>11</v>
      </c>
      <c r="DB195">
        <f>IF(IF(OR(IFERROR(SEARCH("Cleric",$T195,1),0)&gt;0,IFERROR(SEARCH(DivineDomain&amp;",",$T195,1),0)&gt;0),1,0)*IF($C195=DB$2,1,0)=1,1+COUNTIF(DB$3:DB194,"&gt;0"),0)</f>
        <v>0</v>
      </c>
      <c r="DC195">
        <f>IF(IF(OR(IFERROR(SEARCH("Cleric",$T195,1),0)&gt;0,IFERROR(SEARCH(DivineDomain&amp;",",$T195,1),0)&gt;0),1,0)*IF($C195=DC$2,1,0)=1,1+COUNTIF(DC$3:DC194,"&gt;0"),0)</f>
        <v>0</v>
      </c>
      <c r="DD195">
        <f>IF(IF(OR(IFERROR(SEARCH("Cleric",$T195,1),0)&gt;0,IFERROR(SEARCH(DivineDomain&amp;",",$T195,1),0)&gt;0),1,0)*IF($C195=DD$2,1,0)=1,1+COUNTIF(DD$3:DD194,"&gt;0"),0)</f>
        <v>0</v>
      </c>
      <c r="DE195">
        <f>IF(IF(OR(IFERROR(SEARCH("Cleric",$T195,1),0)&gt;0,IFERROR(SEARCH(DivineDomain&amp;",",$T195,1),0)&gt;0),1,0)*IF($C195=DE$2,1,0)=1,1+COUNTIF(DE$3:DE194,"&gt;0"),0)</f>
        <v>0</v>
      </c>
      <c r="DF195">
        <f>IF(IF(OR(IFERROR(SEARCH("Cleric",$T195,1),0)&gt;0,IFERROR(SEARCH(DivineDomain&amp;",",$T195,1),0)&gt;0),1,0)*IF($C195=DF$2,1,0)=1,1+COUNTIF(DF$3:DF194,"&gt;0"),0)</f>
        <v>0</v>
      </c>
      <c r="DG195">
        <f>IF(IF(OR(IFERROR(SEARCH("Cleric",$T195,1),0)&gt;0,IFERROR(SEARCH(DivineDomain&amp;",",$T195,1),0)&gt;0),1,0)*IF($C195=DG$2,1,0)=1,1+COUNTIF(DG$3:DG194,"&gt;0"),0)</f>
        <v>0</v>
      </c>
      <c r="DH195">
        <f>IF(IF(OR(IFERROR(SEARCH("Cleric",$T195,1),0)&gt;0,IFERROR(SEARCH(DivineDomain&amp;",",$T195,1),0)&gt;0),1,0)*IF($C195=DH$2,1,0)=1,1+COUNTIF(DH$3:DH194,"&gt;0"),0)</f>
        <v>0</v>
      </c>
      <c r="DI195">
        <f>IF(IF(OR(IFERROR(SEARCH("Cleric",$T195,1),0)&gt;0,IFERROR(SEARCH(DivineDomain&amp;",",$T195,1),0)&gt;0),1,0)*IF($C195=DI$2,1,0)=1,1+COUNTIF(DI$3:DI194,"&gt;0"),0)</f>
        <v>0</v>
      </c>
      <c r="DJ195">
        <f>IF(IF(OR(IFERROR(SEARCH("Druid",$T195,1),0)&gt;0,IFERROR(SEARCH(DruidLand1,$T195,1),0)&gt;0,IFERROR(SEARCH(DruidLand2,$T195,1),0)&gt;0,IFERROR(SEARCH(DruidLand3,$T195,1),0)&gt;0,IFERROR(SEARCH(DruidLand4,$T195,1),0)&gt;0),1,0)*IF($C195=1,1,0)*IF($C195=DJ$2,1,0)=0,0,1+COUNTIF(DJ$3:DJ194,"&gt;0"))</f>
        <v>0</v>
      </c>
      <c r="DK195">
        <f>IF(IF(OR(IFERROR(SEARCH("Druid",$T195,1),0)&gt;0,IFERROR(SEARCH(DruidLand1,$T195,1),0)&gt;0,IFERROR(SEARCH(DruidLand2,$T195,1),0)&gt;0,IFERROR(SEARCH(DruidLand3,$T195,1),0)&gt;0,IFERROR(SEARCH(DruidLand4,$T195,1),0)&gt;0),1,0)*IF($C195=1,1,0)*IF($C195=DK$2,1,0)=0,0,1+COUNTIF(DK$3:DK194,"&gt;0"))</f>
        <v>0</v>
      </c>
      <c r="DL195">
        <f>IF(IF(OR(IFERROR(SEARCH("Druid",$T195,1),0)&gt;0,IFERROR(SEARCH(DruidLand1,$T195,1),0)&gt;0,IFERROR(SEARCH(DruidLand2,$T195,1),0)&gt;0,IFERROR(SEARCH(DruidLand3,$T195,1),0)&gt;0,IFERROR(SEARCH(DruidLand4,$T195,1),0)&gt;0),1,0)*IF($C195=1,1,0)*IF($C195=DL$2,1,0)=0,0,1+COUNTIF(DL$3:DL194,"&gt;0"))</f>
        <v>0</v>
      </c>
      <c r="DM195">
        <f>IF(IF(OR(IFERROR(SEARCH("Druid",$T195,1),0)&gt;0,IFERROR(SEARCH(DruidLand1,$T195,1),0)&gt;0,IFERROR(SEARCH(DruidLand2,$T195,1),0)&gt;0,IFERROR(SEARCH(DruidLand3,$T195,1),0)&gt;0,IFERROR(SEARCH(DruidLand4,$T195,1),0)&gt;0),1,0)*IF($C195=1,1,0)*IF($C195=DM$2,1,0)=0,0,1+COUNTIF(DM$3:DM194,"&gt;0"))</f>
        <v>0</v>
      </c>
      <c r="DN195">
        <f>IF(IF(OR(IFERROR(SEARCH("Druid",$T195,1),0)&gt;0,IFERROR(SEARCH(DruidLand1,$T195,1),0)&gt;0,IFERROR(SEARCH(DruidLand2,$T195,1),0)&gt;0,IFERROR(SEARCH(DruidLand3,$T195,1),0)&gt;0,IFERROR(SEARCH(DruidLand4,$T195,1),0)&gt;0),1,0)*IF($C195=1,1,0)*IF($C195=DN$2,1,0)=0,0,1+COUNTIF(DN$3:DN194,"&gt;0"))</f>
        <v>0</v>
      </c>
      <c r="DO195">
        <f>IF(IF(OR(IFERROR(SEARCH("Druid",$T195,1),0)&gt;0,IFERROR(SEARCH(DruidLand1,$T195,1),0)&gt;0,IFERROR(SEARCH(DruidLand2,$T195,1),0)&gt;0,IFERROR(SEARCH(DruidLand3,$T195,1),0)&gt;0,IFERROR(SEARCH(DruidLand4,$T195,1),0)&gt;0),1,0)*IF($C195=1,1,0)*IF($C195=DO$2,1,0)=0,0,1+COUNTIF(DO$3:DO194,"&gt;0"))</f>
        <v>0</v>
      </c>
      <c r="DP195">
        <f>IF(IF(OR(IFERROR(SEARCH("Druid",$T195,1),0)&gt;0,IFERROR(SEARCH(DruidLand1,$T195,1),0)&gt;0,IFERROR(SEARCH(DruidLand2,$T195,1),0)&gt;0,IFERROR(SEARCH(DruidLand3,$T195,1),0)&gt;0,IFERROR(SEARCH(DruidLand4,$T195,1),0)&gt;0),1,0)*IF($C195=1,1,0)*IF($C195=DP$2,1,0)=0,0,1+COUNTIF(DP$3:DP194,"&gt;0"))</f>
        <v>0</v>
      </c>
      <c r="DQ195">
        <f>IF(IF(OR(IFERROR(SEARCH("Druid",$T195,1),0)&gt;0,IFERROR(SEARCH(DruidLand1,$T195,1),0)&gt;0,IFERROR(SEARCH(DruidLand2,$T195,1),0)&gt;0,IFERROR(SEARCH(DruidLand3,$T195,1),0)&gt;0,IFERROR(SEARCH(DruidLand4,$T195,1),0)&gt;0),1,0)*IF($C195=1,1,0)*IF($C195=DQ$2,1,0)=0,0,1+COUNTIF(DQ$3:DQ194,"&gt;0"))</f>
        <v>0</v>
      </c>
      <c r="DR195">
        <f>IF(IF(OR(IFERROR(SEARCH("Druid",$T195,1),0)&gt;0,IFERROR(SEARCH(DruidLand1,$T195,1),0)&gt;0,IFERROR(SEARCH(DruidLand2,$T195,1),0)&gt;0,IFERROR(SEARCH(DruidLand3,$T195,1),0)&gt;0,IFERROR(SEARCH(DruidLand4,$T195,1),0)&gt;0),1,0)*IF($C195=1,1,0)*IF($C195=DR$2,1,0)=0,0,1+COUNTIF(DR$3:DR194,"&gt;0"))</f>
        <v>0</v>
      </c>
      <c r="DS195">
        <f>IF(IF(OR(IFERROR(SEARCH("Paladin",$T195,1),0)&gt;0,IFERROR(SEARCH(PaladinOath,$T195,1),0)&gt;0),1,0)*IF($C195=DS$2,1,0)=1,1+COUNTIF(DS$3:DS194,"&gt;0"),0)</f>
        <v>0</v>
      </c>
      <c r="DT195">
        <f>IF(IF(OR(IFERROR(SEARCH("Paladin",$T195,1),0)&gt;0,IFERROR(SEARCH(PaladinOath,$T195,1),0)&gt;0),1,0)*IF($C195=DT$2,1,0)=1,1+COUNTIF(DT$3:DT194,"&gt;0"),0)</f>
        <v>0</v>
      </c>
      <c r="DU195">
        <f>IF(IF(OR(IFERROR(SEARCH("Paladin",$T195,1),0)&gt;0,IFERROR(SEARCH(PaladinOath,$T195,1),0)&gt;0),1,0)*IF($C195=DU$2,1,0)=1,1+COUNTIF(DU$3:DU194,"&gt;0"),0)</f>
        <v>0</v>
      </c>
      <c r="DV195">
        <f>IF(IF(OR(IFERROR(SEARCH("Paladin",$T195,1),0)&gt;0,IFERROR(SEARCH(PaladinOath,$T195,1),0)&gt;0),1,0)*IF($C195=DV$2,1,0)=1,1+COUNTIF(DV$3:DV194,"&gt;0"),0)</f>
        <v>0</v>
      </c>
      <c r="DW195">
        <f>IF(IF(OR(IFERROR(SEARCH("Paladin",$T195,1),0)&gt;0,IFERROR(SEARCH(PaladinOath,$T195,1),0)&gt;0),1,0)*IF($C195=DW$2,1,0)=1,1+COUNTIF(DW$3:DW194,"&gt;0"),0)</f>
        <v>0</v>
      </c>
      <c r="DY195">
        <f t="shared" ref="DY195:DY258" si="166">IF(IFERROR(SEARCH(FavoredSoul_Domain&amp;",",$T195,1),0)&gt;0,1,0)</f>
        <v>1</v>
      </c>
      <c r="DZ195">
        <f>IF(DY195=0,0,1+MAX(DZ$3:$DZ194))</f>
        <v>193</v>
      </c>
      <c r="EB195">
        <f t="shared" si="125"/>
        <v>0</v>
      </c>
      <c r="EC195">
        <f>IF(EB195=0,0,1+COUNTIF(EC$3:EC194,"&gt;0"))</f>
        <v>0</v>
      </c>
      <c r="ED195" t="str">
        <f t="shared" si="153"/>
        <v/>
      </c>
      <c r="EE195" t="str">
        <f t="shared" si="126"/>
        <v/>
      </c>
      <c r="EG195">
        <f t="shared" si="127"/>
        <v>0</v>
      </c>
      <c r="EH195">
        <f>IF(EG195=0,0,1+COUNTIF(EH$3:EH194,"&gt;0"))</f>
        <v>0</v>
      </c>
      <c r="EI195" t="str">
        <f t="shared" si="154"/>
        <v/>
      </c>
      <c r="EJ195" t="str">
        <f t="shared" si="128"/>
        <v/>
      </c>
      <c r="EL195">
        <f t="shared" si="129"/>
        <v>0</v>
      </c>
      <c r="EM195">
        <f>IF(EL195=0,0,1+COUNTIF(EM$3:EM194,"&gt;0"))</f>
        <v>0</v>
      </c>
      <c r="EN195" t="str">
        <f t="shared" si="155"/>
        <v/>
      </c>
      <c r="EO195" t="str">
        <f t="shared" si="130"/>
        <v/>
      </c>
      <c r="EQ195">
        <f t="shared" si="131"/>
        <v>0</v>
      </c>
      <c r="ER195">
        <f>IF(EQ195=0,0,1+COUNTIF(ER$3:ER194,"&gt;0"))</f>
        <v>0</v>
      </c>
      <c r="ES195" t="str">
        <f t="shared" si="156"/>
        <v/>
      </c>
      <c r="ET195" t="str">
        <f t="shared" si="132"/>
        <v/>
      </c>
      <c r="EV195">
        <f t="shared" si="133"/>
        <v>0</v>
      </c>
      <c r="EW195">
        <f>IF(EV195=0,0,1+COUNTIF(EW$3:EW194,"&gt;0"))</f>
        <v>0</v>
      </c>
      <c r="EX195" t="str">
        <f t="shared" si="157"/>
        <v/>
      </c>
      <c r="EY195" t="str">
        <f t="shared" si="134"/>
        <v/>
      </c>
      <c r="FA195">
        <f t="shared" si="135"/>
        <v>0</v>
      </c>
      <c r="FB195">
        <f>IF(FA195=0,0,1+COUNTIF(FB$3:FB194,"&gt;0"))</f>
        <v>0</v>
      </c>
      <c r="FC195" t="str">
        <f t="shared" si="158"/>
        <v/>
      </c>
      <c r="FD195" t="str">
        <f t="shared" si="136"/>
        <v/>
      </c>
      <c r="FF195">
        <f t="shared" si="137"/>
        <v>0</v>
      </c>
      <c r="FG195">
        <f>IF(FF195=0,0,1+COUNTIF(FG$3:FG194,"&gt;0"))</f>
        <v>0</v>
      </c>
      <c r="FH195" t="str">
        <f t="shared" si="159"/>
        <v/>
      </c>
      <c r="FI195" t="str">
        <f t="shared" si="138"/>
        <v/>
      </c>
      <c r="FK195">
        <f t="shared" si="139"/>
        <v>0</v>
      </c>
      <c r="FL195">
        <f>IF(FK195=0,0,1+COUNTIF(FL$3:FL194,"&gt;0"))</f>
        <v>0</v>
      </c>
      <c r="FM195" t="str">
        <f t="shared" si="160"/>
        <v/>
      </c>
      <c r="FN195" t="str">
        <f t="shared" si="140"/>
        <v/>
      </c>
      <c r="FP195">
        <f t="shared" si="141"/>
        <v>0</v>
      </c>
      <c r="FQ195">
        <f>IF(FP195=0,0,1+COUNTIF(FQ$3:FQ194,"&gt;0"))</f>
        <v>0</v>
      </c>
      <c r="FR195" t="str">
        <f t="shared" si="161"/>
        <v/>
      </c>
      <c r="FS195" t="str">
        <f t="shared" si="142"/>
        <v/>
      </c>
    </row>
    <row r="196" spans="1:175" x14ac:dyDescent="0.25">
      <c r="A196" s="347">
        <f t="shared" si="162"/>
        <v>194</v>
      </c>
      <c r="B196" s="348" t="s">
        <v>2573</v>
      </c>
      <c r="C196" s="348">
        <v>5</v>
      </c>
      <c r="D196" s="347">
        <v>5</v>
      </c>
      <c r="E196" s="627" t="s">
        <v>6952</v>
      </c>
      <c r="F196" s="346"/>
      <c r="G196" s="347" t="str">
        <f>""</f>
        <v/>
      </c>
      <c r="H196" s="347" t="s">
        <v>5912</v>
      </c>
      <c r="I196" s="347" t="s">
        <v>5334</v>
      </c>
      <c r="J196" s="347" t="str">
        <f t="shared" ref="J196:J259" si="167">IF(IFERROR(SEARCH("con",K196,1),0)&gt;0,"Concentration","")</f>
        <v/>
      </c>
      <c r="K196" s="347" t="s">
        <v>5297</v>
      </c>
      <c r="L196" s="611" t="str">
        <f t="shared" ref="L196:L259" si="168">LEFT(TRIM(IF(M196&lt;&gt;"",M196&amp;", ","")&amp;IF(N196&lt;&gt;"",N196&amp;", ","")&amp;IF(O196&lt;&gt;"",O196&amp;", ","")&amp;IF(P196&lt;&gt;"",P196&amp;", ","")),LEN(TRIM(IF(M196&lt;&gt;"",M196&amp;", ","")&amp;IF(N196&lt;&gt;"",N196&amp;", ","")&amp;IF(O196&lt;&gt;"",O196&amp;", ","")&amp;IF(P196&lt;&gt;"",P196&amp;", ","")))-1)</f>
        <v>V, S, M, a few grains of sugar, some kernels of grain, and a smear of fat</v>
      </c>
      <c r="M196" s="347" t="s">
        <v>2373</v>
      </c>
      <c r="N196" s="347" t="s">
        <v>2387</v>
      </c>
      <c r="O196" s="347" t="s">
        <v>1244</v>
      </c>
      <c r="P196" s="346" t="s">
        <v>5409</v>
      </c>
      <c r="Q196" s="347" t="s">
        <v>5271</v>
      </c>
      <c r="S196" s="346" t="s">
        <v>5744</v>
      </c>
      <c r="T196" s="346" t="str">
        <f t="shared" ref="T196:T259" si="169">IF(U196&lt;&gt;"","Bard, ","")&amp;IF(V196&lt;&gt;"","Paladin, ","")&amp;IF(W196&lt;&gt;"","Ranger, ","")&amp;IF(X196&lt;&gt;"","Sorcerer, ","")&amp;IF(Y196&lt;&gt;"","Warlock, ","")&amp;IF(Z196&lt;&gt;"","Cleric, ","")&amp;IF(AA196&lt;&gt;"","Druid, ","")&amp;IF(AB196&lt;&gt;"","Eldritch Knight, ","")&amp;IF(AC196&lt;&gt;"","Arcane Trickster, ","")&amp;IF(AD196&lt;&gt;"","Wizard, ","")&amp;IF(AE196&lt;&gt;"","Devotion, ","")&amp;IF(AF196&lt;&gt;"","Vengeance, ","")&amp;IF(AG196&lt;&gt;"","Ancients, ","")&amp;IF(AH196&lt;&gt;"","Oathbreaker, ","")&amp;IF(AI196&lt;&gt;"","Archfey, ","")&amp;IF(AJ196&lt;&gt;"","Archfiend, ","")&amp;IF(AK196&lt;&gt;"","Old One, ","")&amp;IF(AL196&lt;&gt;"","Arctic, ","")&amp;IF(AO196&lt;&gt;"","Fores, ","")&amp;IF(AM196&lt;&gt;"","Coast, ","")&amp;IF(AN196&lt;&gt;"","Desert, ","")&amp;IF(AP196&lt;&gt;"","GrassLand, ","")&amp;IF(AQ196&lt;&gt;"","Mountain, ","")&amp;IF(AR196&lt;&gt;"","Swamp, ","")&amp;IF(AS196&lt;&gt;"","Underdark, ","")&amp;IF(AT196&lt;&gt;"","Knowledge, ","")&amp;IF(AU196&lt;&gt;"","Life, ","")&amp;IF(AV196&lt;&gt;"","Light, ","")&amp;IF(AW196&lt;&gt;"","Nature, ","")&amp;IF(AX196&lt;&gt;"","Tempest, ","")&amp;IF(AY196&lt;&gt;"","Trickery, ","")&amp;IF(AZ196&lt;&gt;"","War, ","")&amp;IF(BA196&lt;&gt;"","Death, ","")</f>
        <v xml:space="preserve">Sorcerer, Cleric, Druid, Desert, GrassLand, Swamp, Underdark, Nature, Tempest, </v>
      </c>
      <c r="X196" s="347" t="str">
        <f>$B196</f>
        <v>Insect Plague</v>
      </c>
      <c r="Z196" s="347" t="str">
        <f>$B196</f>
        <v>Insect Plague</v>
      </c>
      <c r="AA196" s="347" t="str">
        <f>$B196</f>
        <v>Insect Plague</v>
      </c>
      <c r="AE196" t="str">
        <f>IF(IFERROR(MATCH($B196,temp!A$4:A$13,0),0)&gt;0,T08_Spells!AE$2,"")</f>
        <v/>
      </c>
      <c r="AF196" t="str">
        <f>IF(IFERROR(MATCH($B196,temp!B$4:B$13,0),0)&gt;0,T08_Spells!AF$2,"")</f>
        <v/>
      </c>
      <c r="AG196" t="str">
        <f>IF(IFERROR(MATCH($B196,temp!C$4:C$13,0),0)&gt;0,T08_Spells!AG$2,"")</f>
        <v/>
      </c>
      <c r="AH196" t="str">
        <f>IF(IFERROR(MATCH($B196,temp!D$4:D$13,0),0)&gt;0,T08_Spells!AH$2,"")</f>
        <v/>
      </c>
      <c r="AI196" t="str">
        <f>IF(IFERROR(MATCH($B196,temp!E$4:E$13,0),0)&gt;0,T08_Spells!AI$2,"")</f>
        <v/>
      </c>
      <c r="AJ196" t="str">
        <f>IF(IFERROR(MATCH($B196,temp!F$4:F$13,0),0)&gt;0,T08_Spells!AJ$2,"")</f>
        <v/>
      </c>
      <c r="AK196" t="str">
        <f>IF(IFERROR(MATCH($B196,temp!G$4:G$13,0),0)&gt;0,T08_Spells!AK$2,"")</f>
        <v/>
      </c>
      <c r="AL196" t="str">
        <f>IF(IFERROR(MATCH($B196,temp!H$4:H$13,0),0)&gt;0,T08_Spells!AL$2,"")</f>
        <v/>
      </c>
      <c r="AM196" t="str">
        <f>IF(IFERROR(MATCH($B196,temp!I$4:I$13,0),0)&gt;0,T08_Spells!AM$2,"")</f>
        <v/>
      </c>
      <c r="AN196" t="str">
        <f>IF(IFERROR(MATCH($B196,temp!J$4:J$13,0),0)&gt;0,T08_Spells!AN$2,"")</f>
        <v>Desert</v>
      </c>
      <c r="AO196" t="str">
        <f>IF(IFERROR(MATCH($B196,temp!K$4:K$13,0),0)&gt;0,T08_Spells!AO$2,"")</f>
        <v/>
      </c>
      <c r="AP196" t="str">
        <f>IF(IFERROR(MATCH($B196,temp!L$4:L$13,0),0)&gt;0,T08_Spells!AP$2,"")</f>
        <v>Grassland</v>
      </c>
      <c r="AQ196" t="str">
        <f>IF(IFERROR(MATCH($B196,temp!M$4:M$13,0),0)&gt;0,T08_Spells!AQ$2,"")</f>
        <v/>
      </c>
      <c r="AR196" t="str">
        <f>IF(IFERROR(MATCH($B196,temp!N$4:N$13,0),0)&gt;0,T08_Spells!AR$2,"")</f>
        <v>Swamp</v>
      </c>
      <c r="AS196" t="str">
        <f>IF(IFERROR(MATCH($B196,temp!O$4:O$13,0),0)&gt;0,T08_Spells!AS$2,"")</f>
        <v>Underdark</v>
      </c>
      <c r="AT196" t="str">
        <f>IF(IFERROR(MATCH($B196,temp!P$4:P$13,0),0)&gt;0,T08_Spells!AT$2,"")</f>
        <v/>
      </c>
      <c r="AU196" t="str">
        <f>IF(IFERROR(MATCH($B196,temp!Q$4:Q$13,0),0)&gt;0,T08_Spells!AU$2,"")</f>
        <v/>
      </c>
      <c r="AV196" t="str">
        <f>IF(IFERROR(MATCH($B196,temp!R$4:R$13,0),0)&gt;0,T08_Spells!AV$2,"")</f>
        <v/>
      </c>
      <c r="AW196" t="str">
        <f>IF(IFERROR(MATCH($B196,temp!S$4:S$13,0),0)&gt;0,T08_Spells!AW$2,"")</f>
        <v>Nature</v>
      </c>
      <c r="AX196" t="str">
        <f>IF(IFERROR(MATCH($B196,temp!T$4:T$13,0),0)&gt;0,T08_Spells!AX$2,"")</f>
        <v>Tempest</v>
      </c>
      <c r="AY196" t="str">
        <f>IF(IFERROR(MATCH($B196,temp!U$4:U$13,0),0)&gt;0,T08_Spells!AY$2,"")</f>
        <v/>
      </c>
      <c r="AZ196" t="str">
        <f>IF(IFERROR(MATCH($B196,temp!V$4:V$13,0),0)&gt;0,T08_Spells!AZ$2,"")</f>
        <v/>
      </c>
      <c r="BA196" t="str">
        <f>IF(IFERROR(MATCH($B196,temp!W$4:W$13,0),0)&gt;0,T08_Spells!BA$2,"")</f>
        <v/>
      </c>
      <c r="BC196">
        <f>IF(IFERROR(SEARCH("Ranger",$T196,1),0)&gt;0,1,0)*IF(RangerMaxSpellLevel&gt;=$C196,1,0)*IF(IFERROR(MATCH(B196,Character_Creation!$X$79:$X$382,0),0)&gt;0,0,1)</f>
        <v>0</v>
      </c>
      <c r="BD196">
        <f>IF(BC196=0,0,1+COUNTIF(BD$3:BD195,"&gt;0"))</f>
        <v>0</v>
      </c>
      <c r="BE196" t="str">
        <f t="shared" si="143"/>
        <v/>
      </c>
      <c r="BF196" t="str">
        <f t="shared" ref="BF196:BF259" si="170">IFERROR(INDEX($B$3:$B$407,MATCH(BE196,BD$3:BD$407,0),1),"")</f>
        <v/>
      </c>
      <c r="BH196">
        <f>IF(IFERROR(SEARCH("Sorcerer",$T196,1),0)&gt;0,1,0)*IF(SorcererMaxSpellLevel&gt;=$C196,1,0)*IF(IFERROR(MATCH(B196,Character_Creation!$J$380:$J$394,0),0)&gt;0,0,1)</f>
        <v>0</v>
      </c>
      <c r="BI196">
        <f>IF(BH196=0,0,1+COUNTIF(BI$3:BI195,"&gt;0"))</f>
        <v>0</v>
      </c>
      <c r="BJ196" t="str">
        <f t="shared" si="144"/>
        <v/>
      </c>
      <c r="BK196" t="str">
        <f t="shared" ref="BK196:BK259" si="171">IFERROR(INDEX($B$3:$B$407,MATCH(BJ196,BI$3:BI$407,0),1),"")</f>
        <v/>
      </c>
      <c r="BM196">
        <f>IF(OR(IFERROR(SEARCH("Warlock",$T196,1),0)&gt;0,IFERROR(SEARCH(WarlockPatron,$T196,1),0)&gt;0),1,0)*IF(WarlockMaxSpellLevel&gt;=$C196,1,0)*IF(IFERROR(MATCH(B196,Character_Creation!$J$361:$J$375,0),0)&gt;0,0,1)</f>
        <v>0</v>
      </c>
      <c r="BN196">
        <f>IF(BM196=0,0,1+COUNTIF(BN$3:BN195,"&gt;0"))</f>
        <v>0</v>
      </c>
      <c r="BO196" t="str">
        <f t="shared" si="145"/>
        <v/>
      </c>
      <c r="BP196" t="str">
        <f t="shared" ref="BP196:BP259" si="172">IFERROR(INDEX($B$3:$B$407,MATCH(BO196,BN$3:BN$407,0),1),"")</f>
        <v/>
      </c>
      <c r="BR196">
        <f>IF(IFERROR(SEARCH("Eldritch Knight",$T196,1),0)&gt;0,1,0)*IF(EldritchKnightMaxSpellLevel&gt;=$C196,1,0)*IF(IFERROR(MATCH($B196,Character_Creation!$J$350:$J$356,0),0)&gt;0,0,1)*IF(Character_Creation!$M$338&gt;0,1,0)</f>
        <v>0</v>
      </c>
      <c r="BS196">
        <f>IF(BR196=0,0,1+COUNTIF(BS$3:BS195,"&gt;0"))</f>
        <v>0</v>
      </c>
      <c r="BT196" t="str">
        <f t="shared" si="146"/>
        <v/>
      </c>
      <c r="BU196" t="str">
        <f t="shared" ref="BU196:BU259" si="173">IFERROR(INDEX($B$3:$B$407,MATCH(BT196,BS$3:BS$407,0),1),"")</f>
        <v/>
      </c>
      <c r="BW196">
        <f>IF(IFERROR(SEARCH("Arcane Trickster",$T196,1),0)&gt;0,1,0)*IF(ArcaneTricksterMaxSpellLevel&gt;=$C196,1,0)*IF(IFERROR(MATCH($B196,Character_Creation!$J$350:$J$356,0),0)&gt;0,0,1)*IF(Character_Creation!$T$338&gt;0,1,0)</f>
        <v>0</v>
      </c>
      <c r="BX196">
        <f>IF(BW196=0,0,1+COUNTIF(BX$3:BX195,"&gt;0"))</f>
        <v>0</v>
      </c>
      <c r="BY196" t="str">
        <f t="shared" si="147"/>
        <v/>
      </c>
      <c r="BZ196" t="str">
        <f t="shared" ref="BZ196:BZ259" si="174">IFERROR(INDEX($B$3:$B$407,MATCH(BY196,BX$3:BX$407,0),1),"")</f>
        <v/>
      </c>
      <c r="CB196">
        <f>IF(IFERROR(SEARCH("Wizard",$T196,1),0)&gt;0,1,0)*IF(C196&lt;=ArcaneTricksterMaxSpellLevel,1,0)*IF(IFERROR(MATCH($B196,Character_Creation!$J$350:$J$356,0),0)&gt;0,0,1)*IF(Character_Creation!$T$350&gt;0,1,0)</f>
        <v>0</v>
      </c>
      <c r="CC196">
        <f>IF(CB196=0,0,1+COUNTIF(CC$3:CC195,"&gt;0"))</f>
        <v>0</v>
      </c>
      <c r="CD196" t="str">
        <f t="shared" si="148"/>
        <v/>
      </c>
      <c r="CE196" t="str">
        <f t="shared" ref="CE196:CE259" si="175">IFERROR(INDEX($B$3:$B$407,MATCH(CD196,CC$3:CC$407,0),1),"")</f>
        <v/>
      </c>
      <c r="CG196">
        <f>IF(IFERROR(SEARCH("Wizard",$T196,1),0)&gt;0,1,0)*IF($C196&lt;=EldritchKnightMaxSpellLevel,1,0)*IF(IFERROR(MATCH($B196,Character_Creation!$J$350:$J$356,0),0)&gt;0,0,1)*IF(Character_Creation!$M$350&gt;0,1,0)</f>
        <v>0</v>
      </c>
      <c r="CH196">
        <f>IF(CG196=0,0,1+COUNTIF(CH$3:CH195,"&gt;0"))</f>
        <v>0</v>
      </c>
      <c r="CI196" t="str">
        <f t="shared" si="149"/>
        <v/>
      </c>
      <c r="CJ196" t="str">
        <f t="shared" ref="CJ196:CJ259" si="176">IFERROR(INDEX($B$3:$B$407,MATCH(CI196,CH$3:CH$407,0),1),"")</f>
        <v/>
      </c>
      <c r="CL196">
        <f>IF(IFERROR(SEARCH("Bard",$T196,1),0)&gt;0,1,0)*IF(BardMaxSpellLevel&gt;=$C196,1,0)*IF(IFERROR(MATCH(B196,Character_Creation!$C$341:$F$362,0),0)&gt;0,0,1)*IF(IFERROR(MATCH($B196,Character_Creation!$C$341:$C$362,0),0)&gt;0,0,1)</f>
        <v>0</v>
      </c>
      <c r="CM196">
        <f>IF(CL196=0,0,1+COUNTIF(CM$3:CM195,"&gt;0"))</f>
        <v>0</v>
      </c>
      <c r="CN196" t="str">
        <f t="shared" si="150"/>
        <v/>
      </c>
      <c r="CO196" t="str">
        <f t="shared" ref="CO196:CO259" si="177">IFERROR(INDEX($B$3:$B$407,MATCH(CN196,CM$3:CM$407,0),1),"")</f>
        <v/>
      </c>
      <c r="CQ196">
        <f>IF(IFERROR(SEARCH("Wizard",$T196,1),0)&gt;0,1,0)*IF(WizardMaxSpellLevel&gt;=$C196,1,0)*IF(IFERROR(MATCH(B196,Character_Creation!$X$341:$X$400,0),0)&gt;0,0,1)*IF(SelectedWizardSpellLevel=$C196,1,0)</f>
        <v>0</v>
      </c>
      <c r="CR196">
        <f>IF(CQ196=0,0,1+COUNTIF(CR$3:CR195,"&gt;0"))</f>
        <v>0</v>
      </c>
      <c r="CS196" t="str">
        <f t="shared" si="151"/>
        <v/>
      </c>
      <c r="CT196" t="str">
        <f t="shared" ref="CT196:CT259" si="178">IFERROR(INDEX($B$3:$B$407,MATCH(CS196,CR$3:CR$407,0),1),"")</f>
        <v/>
      </c>
      <c r="CV196">
        <f>IF(IFERROR(MATCH($B196,Character_Creation!$C$341:$C$362,0),0)&gt;0,0,1)*IF(OR(C196="Cantrip",C196&lt;=BardMaxSpellLevel),1,0)*IF(IFERROR(MATCH($B196,Character_Creation!$C$367:$C$374,0),0)&gt;0,0,1)</f>
        <v>0</v>
      </c>
      <c r="CW196">
        <f>IF(CV196=0,0,1+COUNTIF(CW$3:CW195,"&gt;0"))</f>
        <v>0</v>
      </c>
      <c r="CX196" t="str">
        <f t="shared" si="152"/>
        <v/>
      </c>
      <c r="CY196" t="str">
        <f t="shared" ref="CY196:CY259" si="179">IFERROR(INDEX($B$3:$B$407,MATCH(CX196,CW$3:CW$407,0),1),"")</f>
        <v/>
      </c>
      <c r="DA196">
        <f>IF(IF(OR(IFERROR(SEARCH("Cleric",$T196,1),0)&gt;0,IFERROR(SEARCH(DivineDomain&amp;",",$T196,1),0)&gt;0),1,0)*IF($C196=DA$2,1,0)=1,1+COUNTIF(DA$3:DA195,"&gt;0"),0)</f>
        <v>0</v>
      </c>
      <c r="DB196">
        <f>IF(IF(OR(IFERROR(SEARCH("Cleric",$T196,1),0)&gt;0,IFERROR(SEARCH(DivineDomain&amp;",",$T196,1),0)&gt;0),1,0)*IF($C196=DB$2,1,0)=1,1+COUNTIF(DB$3:DB195,"&gt;0"),0)</f>
        <v>0</v>
      </c>
      <c r="DC196">
        <f>IF(IF(OR(IFERROR(SEARCH("Cleric",$T196,1),0)&gt;0,IFERROR(SEARCH(DivineDomain&amp;",",$T196,1),0)&gt;0),1,0)*IF($C196=DC$2,1,0)=1,1+COUNTIF(DC$3:DC195,"&gt;0"),0)</f>
        <v>0</v>
      </c>
      <c r="DD196">
        <f>IF(IF(OR(IFERROR(SEARCH("Cleric",$T196,1),0)&gt;0,IFERROR(SEARCH(DivineDomain&amp;",",$T196,1),0)&gt;0),1,0)*IF($C196=DD$2,1,0)=1,1+COUNTIF(DD$3:DD195,"&gt;0"),0)</f>
        <v>0</v>
      </c>
      <c r="DE196">
        <f>IF(IF(OR(IFERROR(SEARCH("Cleric",$T196,1),0)&gt;0,IFERROR(SEARCH(DivineDomain&amp;",",$T196,1),0)&gt;0),1,0)*IF($C196=DE$2,1,0)=1,1+COUNTIF(DE$3:DE195,"&gt;0"),0)</f>
        <v>8</v>
      </c>
      <c r="DF196">
        <f>IF(IF(OR(IFERROR(SEARCH("Cleric",$T196,1),0)&gt;0,IFERROR(SEARCH(DivineDomain&amp;",",$T196,1),0)&gt;0),1,0)*IF($C196=DF$2,1,0)=1,1+COUNTIF(DF$3:DF195,"&gt;0"),0)</f>
        <v>0</v>
      </c>
      <c r="DG196">
        <f>IF(IF(OR(IFERROR(SEARCH("Cleric",$T196,1),0)&gt;0,IFERROR(SEARCH(DivineDomain&amp;",",$T196,1),0)&gt;0),1,0)*IF($C196=DG$2,1,0)=1,1+COUNTIF(DG$3:DG195,"&gt;0"),0)</f>
        <v>0</v>
      </c>
      <c r="DH196">
        <f>IF(IF(OR(IFERROR(SEARCH("Cleric",$T196,1),0)&gt;0,IFERROR(SEARCH(DivineDomain&amp;",",$T196,1),0)&gt;0),1,0)*IF($C196=DH$2,1,0)=1,1+COUNTIF(DH$3:DH195,"&gt;0"),0)</f>
        <v>0</v>
      </c>
      <c r="DI196">
        <f>IF(IF(OR(IFERROR(SEARCH("Cleric",$T196,1),0)&gt;0,IFERROR(SEARCH(DivineDomain&amp;",",$T196,1),0)&gt;0),1,0)*IF($C196=DI$2,1,0)=1,1+COUNTIF(DI$3:DI195,"&gt;0"),0)</f>
        <v>0</v>
      </c>
      <c r="DJ196">
        <f>IF(IF(OR(IFERROR(SEARCH("Druid",$T196,1),0)&gt;0,IFERROR(SEARCH(DruidLand1,$T196,1),0)&gt;0,IFERROR(SEARCH(DruidLand2,$T196,1),0)&gt;0,IFERROR(SEARCH(DruidLand3,$T196,1),0)&gt;0,IFERROR(SEARCH(DruidLand4,$T196,1),0)&gt;0),1,0)*IF($C196=1,1,0)*IF($C196=DJ$2,1,0)=0,0,1+COUNTIF(DJ$3:DJ195,"&gt;0"))</f>
        <v>0</v>
      </c>
      <c r="DK196">
        <f>IF(IF(OR(IFERROR(SEARCH("Druid",$T196,1),0)&gt;0,IFERROR(SEARCH(DruidLand1,$T196,1),0)&gt;0,IFERROR(SEARCH(DruidLand2,$T196,1),0)&gt;0,IFERROR(SEARCH(DruidLand3,$T196,1),0)&gt;0,IFERROR(SEARCH(DruidLand4,$T196,1),0)&gt;0),1,0)*IF($C196=DK$2,1,0)=0,0,1+COUNTIF(DK$3:DK195,"&gt;0"))</f>
        <v>0</v>
      </c>
      <c r="DL196">
        <f>IF(IF(OR(IFERROR(SEARCH("Druid",$T196,1),0)&gt;0,IFERROR(SEARCH(DruidLand1,$T196,1),0)&gt;0,IFERROR(SEARCH(DruidLand2,$T196,1),0)&gt;0,IFERROR(SEARCH(DruidLand3,$T196,1),0)&gt;0,IFERROR(SEARCH(DruidLand4,$T196,1),0)&gt;0),1,0)*IF($C196=DL$2,1,0)=0,0,1+COUNTIF(DL$3:DL195,"&gt;0"))</f>
        <v>0</v>
      </c>
      <c r="DM196">
        <f>IF(IF(OR(IFERROR(SEARCH("Druid",$T196,1),0)&gt;0,IFERROR(SEARCH(DruidLand1,$T196,1),0)&gt;0,IFERROR(SEARCH(DruidLand2,$T196,1),0)&gt;0,IFERROR(SEARCH(DruidLand3,$T196,1),0)&gt;0,IFERROR(SEARCH(DruidLand4,$T196,1),0)&gt;0),1,0)*IF($C196=DM$2,1,0)=0,0,1+COUNTIF(DM$3:DM195,"&gt;0"))</f>
        <v>0</v>
      </c>
      <c r="DN196">
        <f>IF(IF(OR(IFERROR(SEARCH("Druid",$T196,1),0)&gt;0,IFERROR(SEARCH(DruidLand1,$T196,1),0)&gt;0,IFERROR(SEARCH(DruidLand2,$T196,1),0)&gt;0,IFERROR(SEARCH(DruidLand3,$T196,1),0)&gt;0,IFERROR(SEARCH(DruidLand4,$T196,1),0)&gt;0),1,0)*IF($C196=DN$2,1,0)=0,0,1+COUNTIF(DN$3:DN195,"&gt;0"))</f>
        <v>8</v>
      </c>
      <c r="DO196">
        <f>IF(IF(OR(IFERROR(SEARCH("Druid",$T196,1),0)&gt;0,IFERROR(SEARCH(DruidLand1,$T196,1),0)&gt;0,IFERROR(SEARCH(DruidLand2,$T196,1),0)&gt;0,IFERROR(SEARCH(DruidLand3,$T196,1),0)&gt;0,IFERROR(SEARCH(DruidLand4,$T196,1),0)&gt;0),1,0)*IF($C196=DO$2,1,0)=0,0,1+COUNTIF(DO$3:DO195,"&gt;0"))</f>
        <v>0</v>
      </c>
      <c r="DP196">
        <f>IF(IF(OR(IFERROR(SEARCH("Druid",$T196,1),0)&gt;0,IFERROR(SEARCH(DruidLand1,$T196,1),0)&gt;0,IFERROR(SEARCH(DruidLand2,$T196,1),0)&gt;0,IFERROR(SEARCH(DruidLand3,$T196,1),0)&gt;0,IFERROR(SEARCH(DruidLand4,$T196,1),0)&gt;0),1,0)*IF($C196=DP$2,1,0)=0,0,1+COUNTIF(DP$3:DP195,"&gt;0"))</f>
        <v>0</v>
      </c>
      <c r="DQ196">
        <f>IF(IF(OR(IFERROR(SEARCH("Druid",$T196,1),0)&gt;0,IFERROR(SEARCH(DruidLand1,$T196,1),0)&gt;0,IFERROR(SEARCH(DruidLand2,$T196,1),0)&gt;0,IFERROR(SEARCH(DruidLand3,$T196,1),0)&gt;0,IFERROR(SEARCH(DruidLand4,$T196,1),0)&gt;0),1,0)*IF($C196=DQ$2,1,0)=0,0,1+COUNTIF(DQ$3:DQ195,"&gt;0"))</f>
        <v>0</v>
      </c>
      <c r="DR196">
        <f>IF(IF(OR(IFERROR(SEARCH("Druid",$T196,1),0)&gt;0,IFERROR(SEARCH(DruidLand1,$T196,1),0)&gt;0,IFERROR(SEARCH(DruidLand2,$T196,1),0)&gt;0,IFERROR(SEARCH(DruidLand3,$T196,1),0)&gt;0,IFERROR(SEARCH(DruidLand4,$T196,1),0)&gt;0),1,0)*IF($C196=DR$2,1,0)=0,0,1+COUNTIF(DR$3:DR195,"&gt;0"))</f>
        <v>0</v>
      </c>
      <c r="DS196">
        <f>IF(IF(OR(IFERROR(SEARCH("Paladin",$T196,1),0)&gt;0,IFERROR(SEARCH(PaladinOath,$T196,1),0)&gt;0),1,0)*IF($C196=DS$2,1,0)=1,1+COUNTIF(DS$3:DS195,"&gt;0"),0)</f>
        <v>0</v>
      </c>
      <c r="DT196">
        <f>IF(IF(OR(IFERROR(SEARCH("Paladin",$T196,1),0)&gt;0,IFERROR(SEARCH(PaladinOath,$T196,1),0)&gt;0),1,0)*IF($C196=DT$2,1,0)=1,1+COUNTIF(DT$3:DT195,"&gt;0"),0)</f>
        <v>0</v>
      </c>
      <c r="DU196">
        <f>IF(IF(OR(IFERROR(SEARCH("Paladin",$T196,1),0)&gt;0,IFERROR(SEARCH(PaladinOath,$T196,1),0)&gt;0),1,0)*IF($C196=DU$2,1,0)=1,1+COUNTIF(DU$3:DU195,"&gt;0"),0)</f>
        <v>0</v>
      </c>
      <c r="DV196">
        <f>IF(IF(OR(IFERROR(SEARCH("Paladin",$T196,1),0)&gt;0,IFERROR(SEARCH(PaladinOath,$T196,1),0)&gt;0),1,0)*IF($C196=DV$2,1,0)=1,1+COUNTIF(DV$3:DV195,"&gt;0"),0)</f>
        <v>0</v>
      </c>
      <c r="DW196">
        <f>IF(IF(OR(IFERROR(SEARCH("Paladin",$T196,1),0)&gt;0,IFERROR(SEARCH(PaladinOath,$T196,1),0)&gt;0),1,0)*IF($C196=DW$2,1,0)=1,1+COUNTIF(DW$3:DW195,"&gt;0"),0)</f>
        <v>0</v>
      </c>
      <c r="DY196">
        <f t="shared" si="166"/>
        <v>1</v>
      </c>
      <c r="DZ196">
        <f>IF(DY196=0,0,1+MAX(DZ$3:$DZ195))</f>
        <v>194</v>
      </c>
      <c r="EB196">
        <f t="shared" ref="EB196:EB259" si="180">IF(IFERROR(SEARCH("Bard",$T196,1),0)&gt;0,1,0)*IF($C196="cantrip",1,0)</f>
        <v>0</v>
      </c>
      <c r="EC196">
        <f>IF(EB196=0,0,1+COUNTIF(EC$3:EC195,"&gt;0"))</f>
        <v>0</v>
      </c>
      <c r="ED196" t="str">
        <f t="shared" si="153"/>
        <v/>
      </c>
      <c r="EE196" t="str">
        <f t="shared" ref="EE196:EE259" si="181">IFERROR(INDEX($B$3:$B$407,MATCH(ED196,EC$3:EC$407,0),1),"")</f>
        <v/>
      </c>
      <c r="EG196">
        <f t="shared" ref="EG196:EG259" si="182">IF(IFERROR(SEARCH("Cleric",$T196,1),0)&gt;0,1,0)*IF($C196="cantrip",1,0)</f>
        <v>0</v>
      </c>
      <c r="EH196">
        <f>IF(EG196=0,0,1+COUNTIF(EH$3:EH195,"&gt;0"))</f>
        <v>0</v>
      </c>
      <c r="EI196" t="str">
        <f t="shared" si="154"/>
        <v/>
      </c>
      <c r="EJ196" t="str">
        <f t="shared" ref="EJ196:EJ259" si="183">IFERROR(INDEX($B$3:$B$407,MATCH(EI196,EH$3:EH$407,0),1),"")</f>
        <v/>
      </c>
      <c r="EL196">
        <f t="shared" ref="EL196:EL259" si="184">IF(IFERROR(SEARCH("Druid",$T196,1),0)&gt;0,1,0)*IF($C196="cantrip",1,0)</f>
        <v>0</v>
      </c>
      <c r="EM196">
        <f>IF(EL196=0,0,1+COUNTIF(EM$3:EM195,"&gt;0"))</f>
        <v>0</v>
      </c>
      <c r="EN196" t="str">
        <f t="shared" si="155"/>
        <v/>
      </c>
      <c r="EO196" t="str">
        <f t="shared" ref="EO196:EO259" si="185">IFERROR(INDEX($B$3:$B$407,MATCH(EN196,EM$3:EM$407,0),1),"")</f>
        <v/>
      </c>
      <c r="EQ196">
        <f t="shared" ref="EQ196:EQ259" si="186">IF(IFERROR(SEARCH("Eldritch Knight",$T196,1),0)&gt;0,1,0)*IF($C196="cantrip",1,0)</f>
        <v>0</v>
      </c>
      <c r="ER196">
        <f>IF(EQ196=0,0,1+COUNTIF(ER$3:ER195,"&gt;0"))</f>
        <v>0</v>
      </c>
      <c r="ES196" t="str">
        <f t="shared" si="156"/>
        <v/>
      </c>
      <c r="ET196" t="str">
        <f t="shared" ref="ET196:ET259" si="187">IFERROR(INDEX($B$3:$B$407,MATCH(ES196,ER$3:ER$407,0),1),"")</f>
        <v/>
      </c>
      <c r="EV196">
        <f t="shared" ref="EV196:EV259" si="188">IF(IFERROR(SEARCH("Arcane Trickster",$T196,1),0)&gt;0,1,0)*IF($C196="cantrip",1,0)</f>
        <v>0</v>
      </c>
      <c r="EW196">
        <f>IF(EV196=0,0,1+COUNTIF(EW$3:EW195,"&gt;0"))</f>
        <v>0</v>
      </c>
      <c r="EX196" t="str">
        <f t="shared" si="157"/>
        <v/>
      </c>
      <c r="EY196" t="str">
        <f t="shared" ref="EY196:EY259" si="189">IFERROR(INDEX($B$3:$B$407,MATCH(EX196,EW$3:EW$407,0),1),"")</f>
        <v/>
      </c>
      <c r="FA196">
        <f t="shared" ref="FA196:FA259" si="190">IF(IFERROR(SEARCH("Sorcerer",$T196,1),0)&gt;0,1,0)*IF($C196="cantrip",1,0)</f>
        <v>0</v>
      </c>
      <c r="FB196">
        <f>IF(FA196=0,0,1+COUNTIF(FB$3:FB195,"&gt;0"))</f>
        <v>0</v>
      </c>
      <c r="FC196" t="str">
        <f t="shared" si="158"/>
        <v/>
      </c>
      <c r="FD196" t="str">
        <f t="shared" ref="FD196:FD259" si="191">IFERROR(INDEX($B$3:$B$407,MATCH(FC196,FB$3:FB$407,0),1),"")</f>
        <v/>
      </c>
      <c r="FF196">
        <f t="shared" ref="FF196:FF259" si="192">IF(IFERROR(SEARCH("Warlock",$T196,1),0)&gt;0,1,0)*IF($C196="cantrip",1,0)</f>
        <v>0</v>
      </c>
      <c r="FG196">
        <f>IF(FF196=0,0,1+COUNTIF(FG$3:FG195,"&gt;0"))</f>
        <v>0</v>
      </c>
      <c r="FH196" t="str">
        <f t="shared" si="159"/>
        <v/>
      </c>
      <c r="FI196" t="str">
        <f t="shared" ref="FI196:FI259" si="193">IFERROR(INDEX($B$3:$B$407,MATCH(FH196,FG$3:FG$407,0),1),"")</f>
        <v/>
      </c>
      <c r="FK196">
        <f t="shared" ref="FK196:FK259" si="194">IF(IFERROR(SEARCH("Wizard",$T196,1),0)&gt;0,1,0)*IF($C196="cantrip",1,0)</f>
        <v>0</v>
      </c>
      <c r="FL196">
        <f>IF(FK196=0,0,1+COUNTIF(FL$3:FL195,"&gt;0"))</f>
        <v>0</v>
      </c>
      <c r="FM196" t="str">
        <f t="shared" si="160"/>
        <v/>
      </c>
      <c r="FN196" t="str">
        <f t="shared" ref="FN196:FN259" si="195">IFERROR(INDEX($B$3:$B$407,MATCH(FM196,FL$3:FL$407,0),1),"")</f>
        <v/>
      </c>
      <c r="FP196">
        <f t="shared" ref="FP196:FP259" si="196">IF(IFERROR(SEARCH("Bard",$T196,1),0)&gt;0,1,0)*IF($C196="cantrip",1,0)</f>
        <v>0</v>
      </c>
      <c r="FQ196">
        <f>IF(FP196=0,0,1+COUNTIF(FQ$3:FQ195,"&gt;0"))</f>
        <v>0</v>
      </c>
      <c r="FR196" t="str">
        <f t="shared" si="161"/>
        <v/>
      </c>
      <c r="FS196" t="str">
        <f t="shared" ref="FS196:FS259" si="197">IFERROR(INDEX($B$3:$B$407,MATCH(FR196,FQ$3:FQ$407,0),1),"")</f>
        <v/>
      </c>
    </row>
    <row r="197" spans="1:175" x14ac:dyDescent="0.25">
      <c r="A197" s="347">
        <f t="shared" si="162"/>
        <v>195</v>
      </c>
      <c r="B197" s="348" t="s">
        <v>2574</v>
      </c>
      <c r="C197" s="348">
        <v>2</v>
      </c>
      <c r="D197" s="347">
        <v>2</v>
      </c>
      <c r="E197" s="627" t="s">
        <v>6952</v>
      </c>
      <c r="F197" s="346"/>
      <c r="G197" s="347" t="str">
        <f>""</f>
        <v/>
      </c>
      <c r="H197" s="347" t="s">
        <v>5912</v>
      </c>
      <c r="I197" s="347" t="s">
        <v>5298</v>
      </c>
      <c r="J197" s="347" t="str">
        <f t="shared" si="167"/>
        <v/>
      </c>
      <c r="K197" s="347" t="s">
        <v>5284</v>
      </c>
      <c r="L197" s="611" t="str">
        <f t="shared" si="168"/>
        <v>V, S, M, an eyelash encased in gum arabic</v>
      </c>
      <c r="M197" s="347" t="s">
        <v>2373</v>
      </c>
      <c r="N197" s="347" t="s">
        <v>2387</v>
      </c>
      <c r="O197" s="347" t="s">
        <v>1244</v>
      </c>
      <c r="P197" s="346" t="s">
        <v>5410</v>
      </c>
      <c r="Q197" s="347" t="s">
        <v>5274</v>
      </c>
      <c r="S197" s="346" t="s">
        <v>5745</v>
      </c>
      <c r="T197" s="346" t="str">
        <f t="shared" si="169"/>
        <v xml:space="preserve">Bard, Sorcerer, Warlock, Arcane Trickster, Wizard, GrassLand, </v>
      </c>
      <c r="U197" s="347" t="str">
        <f>$B197</f>
        <v>Invisibility</v>
      </c>
      <c r="X197" s="347" t="str">
        <f>$B197</f>
        <v>Invisibility</v>
      </c>
      <c r="Y197" s="347" t="str">
        <f>$B197</f>
        <v>Invisibility</v>
      </c>
      <c r="AC197" s="539" t="str">
        <f>B197</f>
        <v>Invisibility</v>
      </c>
      <c r="AD197" s="347" t="str">
        <f t="shared" ref="AD197:AD202" si="198">$B197</f>
        <v>Invisibility</v>
      </c>
      <c r="AE197" t="str">
        <f>IF(IFERROR(MATCH($B197,temp!A$4:A$13,0),0)&gt;0,T08_Spells!AE$2,"")</f>
        <v/>
      </c>
      <c r="AF197" t="str">
        <f>IF(IFERROR(MATCH($B197,temp!B$4:B$13,0),0)&gt;0,T08_Spells!AF$2,"")</f>
        <v/>
      </c>
      <c r="AG197" t="str">
        <f>IF(IFERROR(MATCH($B197,temp!C$4:C$13,0),0)&gt;0,T08_Spells!AG$2,"")</f>
        <v/>
      </c>
      <c r="AH197" t="str">
        <f>IF(IFERROR(MATCH($B197,temp!D$4:D$13,0),0)&gt;0,T08_Spells!AH$2,"")</f>
        <v/>
      </c>
      <c r="AI197" t="str">
        <f>IF(IFERROR(MATCH($B197,temp!E$4:E$13,0),0)&gt;0,T08_Spells!AI$2,"")</f>
        <v/>
      </c>
      <c r="AJ197" t="str">
        <f>IF(IFERROR(MATCH($B197,temp!F$4:F$13,0),0)&gt;0,T08_Spells!AJ$2,"")</f>
        <v/>
      </c>
      <c r="AK197" t="str">
        <f>IF(IFERROR(MATCH($B197,temp!G$4:G$13,0),0)&gt;0,T08_Spells!AK$2,"")</f>
        <v/>
      </c>
      <c r="AL197" t="str">
        <f>IF(IFERROR(MATCH($B197,temp!H$4:H$13,0),0)&gt;0,T08_Spells!AL$2,"")</f>
        <v/>
      </c>
      <c r="AM197" t="str">
        <f>IF(IFERROR(MATCH($B197,temp!I$4:I$13,0),0)&gt;0,T08_Spells!AM$2,"")</f>
        <v/>
      </c>
      <c r="AN197" t="str">
        <f>IF(IFERROR(MATCH($B197,temp!J$4:J$13,0),0)&gt;0,T08_Spells!AN$2,"")</f>
        <v/>
      </c>
      <c r="AO197" t="str">
        <f>IF(IFERROR(MATCH($B197,temp!K$4:K$13,0),0)&gt;0,T08_Spells!AO$2,"")</f>
        <v/>
      </c>
      <c r="AP197" t="str">
        <f>IF(IFERROR(MATCH($B197,temp!L$4:L$13,0),0)&gt;0,T08_Spells!AP$2,"")</f>
        <v>Grassland</v>
      </c>
      <c r="AQ197" t="str">
        <f>IF(IFERROR(MATCH($B197,temp!M$4:M$13,0),0)&gt;0,T08_Spells!AQ$2,"")</f>
        <v/>
      </c>
      <c r="AR197" t="str">
        <f>IF(IFERROR(MATCH($B197,temp!N$4:N$13,0),0)&gt;0,T08_Spells!AR$2,"")</f>
        <v/>
      </c>
      <c r="AS197" t="str">
        <f>IF(IFERROR(MATCH($B197,temp!O$4:O$13,0),0)&gt;0,T08_Spells!AS$2,"")</f>
        <v/>
      </c>
      <c r="AT197" t="str">
        <f>IF(IFERROR(MATCH($B197,temp!P$4:P$13,0),0)&gt;0,T08_Spells!AT$2,"")</f>
        <v/>
      </c>
      <c r="AU197" t="str">
        <f>IF(IFERROR(MATCH($B197,temp!Q$4:Q$13,0),0)&gt;0,T08_Spells!AU$2,"")</f>
        <v/>
      </c>
      <c r="AV197" t="str">
        <f>IF(IFERROR(MATCH($B197,temp!R$4:R$13,0),0)&gt;0,T08_Spells!AV$2,"")</f>
        <v/>
      </c>
      <c r="AW197" t="str">
        <f>IF(IFERROR(MATCH($B197,temp!S$4:S$13,0),0)&gt;0,T08_Spells!AW$2,"")</f>
        <v/>
      </c>
      <c r="AX197" t="str">
        <f>IF(IFERROR(MATCH($B197,temp!T$4:T$13,0),0)&gt;0,T08_Spells!AX$2,"")</f>
        <v/>
      </c>
      <c r="AY197" t="str">
        <f>IF(IFERROR(MATCH($B197,temp!U$4:U$13,0),0)&gt;0,T08_Spells!AY$2,"")</f>
        <v/>
      </c>
      <c r="AZ197" t="str">
        <f>IF(IFERROR(MATCH($B197,temp!V$4:V$13,0),0)&gt;0,T08_Spells!AZ$2,"")</f>
        <v/>
      </c>
      <c r="BA197" t="str">
        <f>IF(IFERROR(MATCH($B197,temp!W$4:W$13,0),0)&gt;0,T08_Spells!BA$2,"")</f>
        <v/>
      </c>
      <c r="BC197">
        <f>IF(IFERROR(SEARCH("Ranger",$T197,1),0)&gt;0,1,0)*IF(RangerMaxSpellLevel&gt;=$C197,1,0)*IF(IFERROR(MATCH(B197,Character_Creation!$X$79:$X$382,0),0)&gt;0,0,1)</f>
        <v>0</v>
      </c>
      <c r="BD197">
        <f>IF(BC197=0,0,1+COUNTIF(BD$3:BD196,"&gt;0"))</f>
        <v>0</v>
      </c>
      <c r="BE197" t="str">
        <f t="shared" ref="BE197:BE260" si="199">IFERROR(IF(BE196&lt;MAX(BD196:BD600),BE196+1,""),"")</f>
        <v/>
      </c>
      <c r="BF197" t="str">
        <f t="shared" si="170"/>
        <v/>
      </c>
      <c r="BH197">
        <f>IF(IFERROR(SEARCH("Sorcerer",$T197,1),0)&gt;0,1,0)*IF(SorcererMaxSpellLevel&gt;=$C197,1,0)*IF(IFERROR(MATCH(B197,Character_Creation!$J$380:$J$394,0),0)&gt;0,0,1)</f>
        <v>0</v>
      </c>
      <c r="BI197">
        <f>IF(BH197=0,0,1+COUNTIF(BI$3:BI196,"&gt;0"))</f>
        <v>0</v>
      </c>
      <c r="BJ197" t="str">
        <f t="shared" ref="BJ197:BJ260" si="200">IFERROR(IF(BJ196&lt;MAX(BI196:BI600),BJ196+1,""),"")</f>
        <v/>
      </c>
      <c r="BK197" t="str">
        <f t="shared" si="171"/>
        <v/>
      </c>
      <c r="BM197">
        <f>IF(OR(IFERROR(SEARCH("Warlock",$T197,1),0)&gt;0,IFERROR(SEARCH(WarlockPatron,$T197,1),0)&gt;0),1,0)*IF(WarlockMaxSpellLevel&gt;=$C197,1,0)*IF(IFERROR(MATCH(B197,Character_Creation!$J$361:$J$375,0),0)&gt;0,0,1)</f>
        <v>0</v>
      </c>
      <c r="BN197">
        <f>IF(BM197=0,0,1+COUNTIF(BN$3:BN196,"&gt;0"))</f>
        <v>0</v>
      </c>
      <c r="BO197" t="str">
        <f t="shared" ref="BO197:BO260" si="201">IFERROR(IF(BO196&lt;MAX(BN196:BN600),BO196+1,""),"")</f>
        <v/>
      </c>
      <c r="BP197" t="str">
        <f t="shared" si="172"/>
        <v/>
      </c>
      <c r="BR197">
        <f>IF(IFERROR(SEARCH("Eldritch Knight",$T197,1),0)&gt;0,1,0)*IF(EldritchKnightMaxSpellLevel&gt;=$C197,1,0)*IF(IFERROR(MATCH($B197,Character_Creation!$J$350:$J$356,0),0)&gt;0,0,1)*IF(Character_Creation!$M$338&gt;0,1,0)</f>
        <v>0</v>
      </c>
      <c r="BS197">
        <f>IF(BR197=0,0,1+COUNTIF(BS$3:BS196,"&gt;0"))</f>
        <v>0</v>
      </c>
      <c r="BT197" t="str">
        <f t="shared" ref="BT197:BT260" si="202">IFERROR(IF(BT196&lt;MAX(BS196:BS600),BT196+1,""),"")</f>
        <v/>
      </c>
      <c r="BU197" t="str">
        <f t="shared" si="173"/>
        <v/>
      </c>
      <c r="BW197">
        <f>IF(IFERROR(SEARCH("Arcane Trickster",$T197,1),0)&gt;0,1,0)*IF(ArcaneTricksterMaxSpellLevel&gt;=$C197,1,0)*IF(IFERROR(MATCH($B197,Character_Creation!$J$350:$J$356,0),0)&gt;0,0,1)*IF(Character_Creation!$T$338&gt;0,1,0)</f>
        <v>0</v>
      </c>
      <c r="BX197">
        <f>IF(BW197=0,0,1+COUNTIF(BX$3:BX196,"&gt;0"))</f>
        <v>0</v>
      </c>
      <c r="BY197" t="str">
        <f t="shared" ref="BY197:BY260" si="203">IFERROR(IF(BY196&lt;MAX(BX196:BX600),BY196+1,""),"")</f>
        <v/>
      </c>
      <c r="BZ197" t="str">
        <f t="shared" si="174"/>
        <v/>
      </c>
      <c r="CB197">
        <f>IF(IFERROR(SEARCH("Wizard",$T197,1),0)&gt;0,1,0)*IF(C197&lt;=ArcaneTricksterMaxSpellLevel,1,0)*IF(IFERROR(MATCH($B197,Character_Creation!$J$350:$J$356,0),0)&gt;0,0,1)*IF(Character_Creation!$T$350&gt;0,1,0)</f>
        <v>0</v>
      </c>
      <c r="CC197">
        <f>IF(CB197=0,0,1+COUNTIF(CC$3:CC196,"&gt;0"))</f>
        <v>0</v>
      </c>
      <c r="CD197" t="str">
        <f t="shared" ref="CD197:CD260" si="204">IFERROR(IF(CD196&lt;MAX(CC196:CC600),CD196+1,""),"")</f>
        <v/>
      </c>
      <c r="CE197" t="str">
        <f t="shared" si="175"/>
        <v/>
      </c>
      <c r="CG197">
        <f>IF(IFERROR(SEARCH("Wizard",$T197,1),0)&gt;0,1,0)*IF($C197&lt;=EldritchKnightMaxSpellLevel,1,0)*IF(IFERROR(MATCH($B197,Character_Creation!$J$350:$J$356,0),0)&gt;0,0,1)*IF(Character_Creation!$M$350&gt;0,1,0)</f>
        <v>1</v>
      </c>
      <c r="CH197">
        <f>IF(CG197=0,0,1+COUNTIF(CH$3:CH196,"&gt;0"))</f>
        <v>32</v>
      </c>
      <c r="CI197" t="str">
        <f t="shared" ref="CI197:CI260" si="205">IFERROR(IF(CI196&lt;MAX(CH196:CH600),CI196+1,""),"")</f>
        <v/>
      </c>
      <c r="CJ197" t="str">
        <f t="shared" si="176"/>
        <v/>
      </c>
      <c r="CL197">
        <f>IF(IFERROR(SEARCH("Bard",$T197,1),0)&gt;0,1,0)*IF(BardMaxSpellLevel&gt;=$C197,1,0)*IF(IFERROR(MATCH(B197,Character_Creation!$C$341:$F$362,0),0)&gt;0,0,1)*IF(IFERROR(MATCH($B197,Character_Creation!$C$341:$C$362,0),0)&gt;0,0,1)</f>
        <v>0</v>
      </c>
      <c r="CM197">
        <f>IF(CL197=0,0,1+COUNTIF(CM$3:CM196,"&gt;0"))</f>
        <v>0</v>
      </c>
      <c r="CN197" t="str">
        <f t="shared" ref="CN197:CN260" si="206">IFERROR(IF(CN196&lt;MAX(CM196:CM600),CN196+1,""),"")</f>
        <v/>
      </c>
      <c r="CO197" t="str">
        <f t="shared" si="177"/>
        <v/>
      </c>
      <c r="CQ197">
        <f>IF(IFERROR(SEARCH("Wizard",$T197,1),0)&gt;0,1,0)*IF(WizardMaxSpellLevel&gt;=$C197,1,0)*IF(IFERROR(MATCH(B197,Character_Creation!$X$341:$X$400,0),0)&gt;0,0,1)*IF(SelectedWizardSpellLevel=$C197,1,0)</f>
        <v>0</v>
      </c>
      <c r="CR197">
        <f>IF(CQ197=0,0,1+COUNTIF(CR$3:CR196,"&gt;0"))</f>
        <v>0</v>
      </c>
      <c r="CS197" t="str">
        <f t="shared" ref="CS197:CS260" si="207">IFERROR(IF(CS196&lt;MAX(CR196:CR600),CS196+1,""),"")</f>
        <v/>
      </c>
      <c r="CT197" t="str">
        <f t="shared" si="178"/>
        <v/>
      </c>
      <c r="CV197">
        <f>IF(IFERROR(MATCH($B197,Character_Creation!$C$341:$C$362,0),0)&gt;0,0,1)*IF(OR(C197="Cantrip",C197&lt;=BardMaxSpellLevel),1,0)*IF(IFERROR(MATCH($B197,Character_Creation!$C$367:$C$374,0),0)&gt;0,0,1)</f>
        <v>0</v>
      </c>
      <c r="CW197">
        <f>IF(CV197=0,0,1+COUNTIF(CW$3:CW196,"&gt;0"))</f>
        <v>0</v>
      </c>
      <c r="CX197" t="str">
        <f t="shared" ref="CX197:CX260" si="208">IFERROR(IF(CX196&lt;MAX(CW196:CW600),CX196+1,""),"")</f>
        <v/>
      </c>
      <c r="CY197" t="str">
        <f t="shared" si="179"/>
        <v/>
      </c>
      <c r="DA197">
        <f>IF(IF(OR(IFERROR(SEARCH("Cleric",$T197,1),0)&gt;0,IFERROR(SEARCH(DivineDomain&amp;",",$T197,1),0)&gt;0),1,0)*IF($C197=DA$2,1,0)=1,1+COUNTIF(DA$3:DA196,"&gt;0"),0)</f>
        <v>0</v>
      </c>
      <c r="DB197">
        <f>IF(IF(OR(IFERROR(SEARCH("Cleric",$T197,1),0)&gt;0,IFERROR(SEARCH(DivineDomain&amp;",",$T197,1),0)&gt;0),1,0)*IF($C197=DB$2,1,0)=1,1+COUNTIF(DB$3:DB196,"&gt;0"),0)</f>
        <v>0</v>
      </c>
      <c r="DC197">
        <f>IF(IF(OR(IFERROR(SEARCH("Cleric",$T197,1),0)&gt;0,IFERROR(SEARCH(DivineDomain&amp;",",$T197,1),0)&gt;0),1,0)*IF($C197=DC$2,1,0)=1,1+COUNTIF(DC$3:DC196,"&gt;0"),0)</f>
        <v>0</v>
      </c>
      <c r="DD197">
        <f>IF(IF(OR(IFERROR(SEARCH("Cleric",$T197,1),0)&gt;0,IFERROR(SEARCH(DivineDomain&amp;",",$T197,1),0)&gt;0),1,0)*IF($C197=DD$2,1,0)=1,1+COUNTIF(DD$3:DD196,"&gt;0"),0)</f>
        <v>0</v>
      </c>
      <c r="DE197">
        <f>IF(IF(OR(IFERROR(SEARCH("Cleric",$T197,1),0)&gt;0,IFERROR(SEARCH(DivineDomain&amp;",",$T197,1),0)&gt;0),1,0)*IF($C197=DE$2,1,0)=1,1+COUNTIF(DE$3:DE196,"&gt;0"),0)</f>
        <v>0</v>
      </c>
      <c r="DF197">
        <f>IF(IF(OR(IFERROR(SEARCH("Cleric",$T197,1),0)&gt;0,IFERROR(SEARCH(DivineDomain&amp;",",$T197,1),0)&gt;0),1,0)*IF($C197=DF$2,1,0)=1,1+COUNTIF(DF$3:DF196,"&gt;0"),0)</f>
        <v>0</v>
      </c>
      <c r="DG197">
        <f>IF(IF(OR(IFERROR(SEARCH("Cleric",$T197,1),0)&gt;0,IFERROR(SEARCH(DivineDomain&amp;",",$T197,1),0)&gt;0),1,0)*IF($C197=DG$2,1,0)=1,1+COUNTIF(DG$3:DG196,"&gt;0"),0)</f>
        <v>0</v>
      </c>
      <c r="DH197">
        <f>IF(IF(OR(IFERROR(SEARCH("Cleric",$T197,1),0)&gt;0,IFERROR(SEARCH(DivineDomain&amp;",",$T197,1),0)&gt;0),1,0)*IF($C197=DH$2,1,0)=1,1+COUNTIF(DH$3:DH196,"&gt;0"),0)</f>
        <v>0</v>
      </c>
      <c r="DI197">
        <f>IF(IF(OR(IFERROR(SEARCH("Cleric",$T197,1),0)&gt;0,IFERROR(SEARCH(DivineDomain&amp;",",$T197,1),0)&gt;0),1,0)*IF($C197=DI$2,1,0)=1,1+COUNTIF(DI$3:DI196,"&gt;0"),0)</f>
        <v>0</v>
      </c>
      <c r="DJ197">
        <f>IF(IF(OR(IFERROR(SEARCH("Druid",$T197,1),0)&gt;0,IFERROR(SEARCH(DruidLand1,$T197,1),0)&gt;0,IFERROR(SEARCH(DruidLand2,$T197,1),0)&gt;0,IFERROR(SEARCH(DruidLand3,$T197,1),0)&gt;0,IFERROR(SEARCH(DruidLand4,$T197,1),0)&gt;0),1,0)*IF($C197=1,1,0)*IF($C197=DJ$2,1,0)=0,0,1+COUNTIF(DJ$3:DJ196,"&gt;0"))</f>
        <v>0</v>
      </c>
      <c r="DK197">
        <f>IF(IF(OR(IFERROR(SEARCH("Druid",$T197,1),0)&gt;0,IFERROR(SEARCH(DruidLand1,$T197,1),0)&gt;0,IFERROR(SEARCH(DruidLand2,$T197,1),0)&gt;0,IFERROR(SEARCH(DruidLand3,$T197,1),0)&gt;0,IFERROR(SEARCH(DruidLand4,$T197,1),0)&gt;0),1,0)*IF($C197=1,1,0)*IF($C197=DK$2,1,0)=0,0,1+COUNTIF(DK$3:DK196,"&gt;0"))</f>
        <v>0</v>
      </c>
      <c r="DL197">
        <f>IF(IF(OR(IFERROR(SEARCH("Druid",$T197,1),0)&gt;0,IFERROR(SEARCH(DruidLand1,$T197,1),0)&gt;0,IFERROR(SEARCH(DruidLand2,$T197,1),0)&gt;0,IFERROR(SEARCH(DruidLand3,$T197,1),0)&gt;0,IFERROR(SEARCH(DruidLand4,$T197,1),0)&gt;0),1,0)*IF($C197=1,1,0)*IF($C197=DL$2,1,0)=0,0,1+COUNTIF(DL$3:DL196,"&gt;0"))</f>
        <v>0</v>
      </c>
      <c r="DM197">
        <f>IF(IF(OR(IFERROR(SEARCH("Druid",$T197,1),0)&gt;0,IFERROR(SEARCH(DruidLand1,$T197,1),0)&gt;0,IFERROR(SEARCH(DruidLand2,$T197,1),0)&gt;0,IFERROR(SEARCH(DruidLand3,$T197,1),0)&gt;0,IFERROR(SEARCH(DruidLand4,$T197,1),0)&gt;0),1,0)*IF($C197=1,1,0)*IF($C197=DM$2,1,0)=0,0,1+COUNTIF(DM$3:DM196,"&gt;0"))</f>
        <v>0</v>
      </c>
      <c r="DN197">
        <f>IF(IF(OR(IFERROR(SEARCH("Druid",$T197,1),0)&gt;0,IFERROR(SEARCH(DruidLand1,$T197,1),0)&gt;0,IFERROR(SEARCH(DruidLand2,$T197,1),0)&gt;0,IFERROR(SEARCH(DruidLand3,$T197,1),0)&gt;0,IFERROR(SEARCH(DruidLand4,$T197,1),0)&gt;0),1,0)*IF($C197=1,1,0)*IF($C197=DN$2,1,0)=0,0,1+COUNTIF(DN$3:DN196,"&gt;0"))</f>
        <v>0</v>
      </c>
      <c r="DO197">
        <f>IF(IF(OR(IFERROR(SEARCH("Druid",$T197,1),0)&gt;0,IFERROR(SEARCH(DruidLand1,$T197,1),0)&gt;0,IFERROR(SEARCH(DruidLand2,$T197,1),0)&gt;0,IFERROR(SEARCH(DruidLand3,$T197,1),0)&gt;0,IFERROR(SEARCH(DruidLand4,$T197,1),0)&gt;0),1,0)*IF($C197=1,1,0)*IF($C197=DO$2,1,0)=0,0,1+COUNTIF(DO$3:DO196,"&gt;0"))</f>
        <v>0</v>
      </c>
      <c r="DP197">
        <f>IF(IF(OR(IFERROR(SEARCH("Druid",$T197,1),0)&gt;0,IFERROR(SEARCH(DruidLand1,$T197,1),0)&gt;0,IFERROR(SEARCH(DruidLand2,$T197,1),0)&gt;0,IFERROR(SEARCH(DruidLand3,$T197,1),0)&gt;0,IFERROR(SEARCH(DruidLand4,$T197,1),0)&gt;0),1,0)*IF($C197=1,1,0)*IF($C197=DP$2,1,0)=0,0,1+COUNTIF(DP$3:DP196,"&gt;0"))</f>
        <v>0</v>
      </c>
      <c r="DQ197">
        <f>IF(IF(OR(IFERROR(SEARCH("Druid",$T197,1),0)&gt;0,IFERROR(SEARCH(DruidLand1,$T197,1),0)&gt;0,IFERROR(SEARCH(DruidLand2,$T197,1),0)&gt;0,IFERROR(SEARCH(DruidLand3,$T197,1),0)&gt;0,IFERROR(SEARCH(DruidLand4,$T197,1),0)&gt;0),1,0)*IF($C197=1,1,0)*IF($C197=DQ$2,1,0)=0,0,1+COUNTIF(DQ$3:DQ196,"&gt;0"))</f>
        <v>0</v>
      </c>
      <c r="DR197">
        <f>IF(IF(OR(IFERROR(SEARCH("Druid",$T197,1),0)&gt;0,IFERROR(SEARCH(DruidLand1,$T197,1),0)&gt;0,IFERROR(SEARCH(DruidLand2,$T197,1),0)&gt;0,IFERROR(SEARCH(DruidLand3,$T197,1),0)&gt;0,IFERROR(SEARCH(DruidLand4,$T197,1),0)&gt;0),1,0)*IF($C197=1,1,0)*IF($C197=DR$2,1,0)=0,0,1+COUNTIF(DR$3:DR196,"&gt;0"))</f>
        <v>0</v>
      </c>
      <c r="DS197">
        <f>IF(IF(OR(IFERROR(SEARCH("Paladin",$T197,1),0)&gt;0,IFERROR(SEARCH(PaladinOath,$T197,1),0)&gt;0),1,0)*IF($C197=DS$2,1,0)=1,1+COUNTIF(DS$3:DS196,"&gt;0"),0)</f>
        <v>0</v>
      </c>
      <c r="DT197">
        <f>IF(IF(OR(IFERROR(SEARCH("Paladin",$T197,1),0)&gt;0,IFERROR(SEARCH(PaladinOath,$T197,1),0)&gt;0),1,0)*IF($C197=DT$2,1,0)=1,1+COUNTIF(DT$3:DT196,"&gt;0"),0)</f>
        <v>0</v>
      </c>
      <c r="DU197">
        <f>IF(IF(OR(IFERROR(SEARCH("Paladin",$T197,1),0)&gt;0,IFERROR(SEARCH(PaladinOath,$T197,1),0)&gt;0),1,0)*IF($C197=DU$2,1,0)=1,1+COUNTIF(DU$3:DU196,"&gt;0"),0)</f>
        <v>0</v>
      </c>
      <c r="DV197">
        <f>IF(IF(OR(IFERROR(SEARCH("Paladin",$T197,1),0)&gt;0,IFERROR(SEARCH(PaladinOath,$T197,1),0)&gt;0),1,0)*IF($C197=DV$2,1,0)=1,1+COUNTIF(DV$3:DV196,"&gt;0"),0)</f>
        <v>0</v>
      </c>
      <c r="DW197">
        <f>IF(IF(OR(IFERROR(SEARCH("Paladin",$T197,1),0)&gt;0,IFERROR(SEARCH(PaladinOath,$T197,1),0)&gt;0),1,0)*IF($C197=DW$2,1,0)=1,1+COUNTIF(DW$3:DW196,"&gt;0"),0)</f>
        <v>0</v>
      </c>
      <c r="DY197">
        <f t="shared" si="166"/>
        <v>1</v>
      </c>
      <c r="DZ197">
        <f>IF(DY197=0,0,1+MAX(DZ$3:$DZ196))</f>
        <v>195</v>
      </c>
      <c r="EB197">
        <f t="shared" si="180"/>
        <v>0</v>
      </c>
      <c r="EC197">
        <f>IF(EB197=0,0,1+COUNTIF(EC$3:EC196,"&gt;0"))</f>
        <v>0</v>
      </c>
      <c r="ED197" t="str">
        <f t="shared" ref="ED197:ED260" si="209">IFERROR(IF(ED196&lt;MAX(EC196:EC600),ED196+1,""),"")</f>
        <v/>
      </c>
      <c r="EE197" t="str">
        <f t="shared" si="181"/>
        <v/>
      </c>
      <c r="EG197">
        <f t="shared" si="182"/>
        <v>0</v>
      </c>
      <c r="EH197">
        <f>IF(EG197=0,0,1+COUNTIF(EH$3:EH196,"&gt;0"))</f>
        <v>0</v>
      </c>
      <c r="EI197" t="str">
        <f t="shared" ref="EI197:EI260" si="210">IFERROR(IF(EI196&lt;MAX(EH196:EH600),EI196+1,""),"")</f>
        <v/>
      </c>
      <c r="EJ197" t="str">
        <f t="shared" si="183"/>
        <v/>
      </c>
      <c r="EL197">
        <f t="shared" si="184"/>
        <v>0</v>
      </c>
      <c r="EM197">
        <f>IF(EL197=0,0,1+COUNTIF(EM$3:EM196,"&gt;0"))</f>
        <v>0</v>
      </c>
      <c r="EN197" t="str">
        <f t="shared" ref="EN197:EN260" si="211">IFERROR(IF(EN196&lt;MAX(EM196:EM600),EN196+1,""),"")</f>
        <v/>
      </c>
      <c r="EO197" t="str">
        <f t="shared" si="185"/>
        <v/>
      </c>
      <c r="EQ197">
        <f t="shared" si="186"/>
        <v>0</v>
      </c>
      <c r="ER197">
        <f>IF(EQ197=0,0,1+COUNTIF(ER$3:ER196,"&gt;0"))</f>
        <v>0</v>
      </c>
      <c r="ES197" t="str">
        <f t="shared" ref="ES197:ES260" si="212">IFERROR(IF(ES196&lt;MAX(ER196:ER600),ES196+1,""),"")</f>
        <v/>
      </c>
      <c r="ET197" t="str">
        <f t="shared" si="187"/>
        <v/>
      </c>
      <c r="EV197">
        <f t="shared" si="188"/>
        <v>0</v>
      </c>
      <c r="EW197">
        <f>IF(EV197=0,0,1+COUNTIF(EW$3:EW196,"&gt;0"))</f>
        <v>0</v>
      </c>
      <c r="EX197" t="str">
        <f t="shared" ref="EX197:EX260" si="213">IFERROR(IF(EX196&lt;MAX(EW196:EW600),EX196+1,""),"")</f>
        <v/>
      </c>
      <c r="EY197" t="str">
        <f t="shared" si="189"/>
        <v/>
      </c>
      <c r="FA197">
        <f t="shared" si="190"/>
        <v>0</v>
      </c>
      <c r="FB197">
        <f>IF(FA197=0,0,1+COUNTIF(FB$3:FB196,"&gt;0"))</f>
        <v>0</v>
      </c>
      <c r="FC197" t="str">
        <f t="shared" ref="FC197:FC260" si="214">IFERROR(IF(FC196&lt;MAX(FB196:FB600),FC196+1,""),"")</f>
        <v/>
      </c>
      <c r="FD197" t="str">
        <f t="shared" si="191"/>
        <v/>
      </c>
      <c r="FF197">
        <f t="shared" si="192"/>
        <v>0</v>
      </c>
      <c r="FG197">
        <f>IF(FF197=0,0,1+COUNTIF(FG$3:FG196,"&gt;0"))</f>
        <v>0</v>
      </c>
      <c r="FH197" t="str">
        <f t="shared" ref="FH197:FH260" si="215">IFERROR(IF(FH196&lt;MAX(FG196:FG600),FH196+1,""),"")</f>
        <v/>
      </c>
      <c r="FI197" t="str">
        <f t="shared" si="193"/>
        <v/>
      </c>
      <c r="FK197">
        <f t="shared" si="194"/>
        <v>0</v>
      </c>
      <c r="FL197">
        <f>IF(FK197=0,0,1+COUNTIF(FL$3:FL196,"&gt;0"))</f>
        <v>0</v>
      </c>
      <c r="FM197" t="str">
        <f t="shared" ref="FM197:FM260" si="216">IFERROR(IF(FM196&lt;MAX(FL196:FL600),FM196+1,""),"")</f>
        <v/>
      </c>
      <c r="FN197" t="str">
        <f t="shared" si="195"/>
        <v/>
      </c>
      <c r="FP197">
        <f t="shared" si="196"/>
        <v>0</v>
      </c>
      <c r="FQ197">
        <f>IF(FP197=0,0,1+COUNTIF(FQ$3:FQ196,"&gt;0"))</f>
        <v>0</v>
      </c>
      <c r="FR197" t="str">
        <f t="shared" ref="FR197:FR260" si="217">IFERROR(IF(FR196&lt;MAX(FQ196:FQ600),FR196+1,""),"")</f>
        <v/>
      </c>
      <c r="FS197" t="str">
        <f t="shared" si="197"/>
        <v/>
      </c>
    </row>
    <row r="198" spans="1:175" x14ac:dyDescent="0.25">
      <c r="A198" s="347">
        <f t="shared" ref="A198:A206" si="218">A197+1</f>
        <v>196</v>
      </c>
      <c r="B198" s="348" t="s">
        <v>2575</v>
      </c>
      <c r="C198" s="348">
        <v>1</v>
      </c>
      <c r="D198" s="347">
        <v>1</v>
      </c>
      <c r="E198" s="627" t="s">
        <v>6952</v>
      </c>
      <c r="F198" s="346"/>
      <c r="G198" s="347" t="str">
        <f>""</f>
        <v/>
      </c>
      <c r="H198" s="347" t="s">
        <v>5912</v>
      </c>
      <c r="I198" s="347" t="s">
        <v>5298</v>
      </c>
      <c r="J198" s="347" t="str">
        <f t="shared" si="167"/>
        <v/>
      </c>
      <c r="K198" s="347" t="s">
        <v>5288</v>
      </c>
      <c r="L198" s="611" t="str">
        <f t="shared" si="168"/>
        <v>V, S, M, a grasshopper’s hind leg</v>
      </c>
      <c r="M198" s="347" t="s">
        <v>2373</v>
      </c>
      <c r="N198" s="347" t="s">
        <v>2387</v>
      </c>
      <c r="O198" s="347" t="s">
        <v>1244</v>
      </c>
      <c r="P198" s="346" t="s">
        <v>5411</v>
      </c>
      <c r="Q198" s="347" t="s">
        <v>5276</v>
      </c>
      <c r="S198" s="346" t="s">
        <v>2576</v>
      </c>
      <c r="T198" s="346" t="str">
        <f t="shared" si="169"/>
        <v xml:space="preserve">Sorcerer, Druid, Wizard, </v>
      </c>
      <c r="X198" s="347" t="str">
        <f>$B198</f>
        <v>Jump</v>
      </c>
      <c r="AA198" s="347" t="str">
        <f>$B198</f>
        <v>Jump</v>
      </c>
      <c r="AD198" s="347" t="str">
        <f t="shared" si="198"/>
        <v>Jump</v>
      </c>
      <c r="AE198" t="str">
        <f>IF(IFERROR(MATCH($B198,temp!A$4:A$13,0),0)&gt;0,T08_Spells!AE$2,"")</f>
        <v/>
      </c>
      <c r="AF198" t="str">
        <f>IF(IFERROR(MATCH($B198,temp!B$4:B$13,0),0)&gt;0,T08_Spells!AF$2,"")</f>
        <v/>
      </c>
      <c r="AG198" t="str">
        <f>IF(IFERROR(MATCH($B198,temp!C$4:C$13,0),0)&gt;0,T08_Spells!AG$2,"")</f>
        <v/>
      </c>
      <c r="AH198" t="str">
        <f>IF(IFERROR(MATCH($B198,temp!D$4:D$13,0),0)&gt;0,T08_Spells!AH$2,"")</f>
        <v/>
      </c>
      <c r="AI198" t="str">
        <f>IF(IFERROR(MATCH($B198,temp!E$4:E$13,0),0)&gt;0,T08_Spells!AI$2,"")</f>
        <v/>
      </c>
      <c r="AJ198" t="str">
        <f>IF(IFERROR(MATCH($B198,temp!F$4:F$13,0),0)&gt;0,T08_Spells!AJ$2,"")</f>
        <v/>
      </c>
      <c r="AK198" t="str">
        <f>IF(IFERROR(MATCH($B198,temp!G$4:G$13,0),0)&gt;0,T08_Spells!AK$2,"")</f>
        <v/>
      </c>
      <c r="AL198" t="str">
        <f>IF(IFERROR(MATCH($B198,temp!H$4:H$13,0),0)&gt;0,T08_Spells!AL$2,"")</f>
        <v/>
      </c>
      <c r="AM198" t="str">
        <f>IF(IFERROR(MATCH($B198,temp!I$4:I$13,0),0)&gt;0,T08_Spells!AM$2,"")</f>
        <v/>
      </c>
      <c r="AN198" t="str">
        <f>IF(IFERROR(MATCH($B198,temp!J$4:J$13,0),0)&gt;0,T08_Spells!AN$2,"")</f>
        <v/>
      </c>
      <c r="AO198" t="str">
        <f>IF(IFERROR(MATCH($B198,temp!K$4:K$13,0),0)&gt;0,T08_Spells!AO$2,"")</f>
        <v/>
      </c>
      <c r="AP198" t="str">
        <f>IF(IFERROR(MATCH($B198,temp!L$4:L$13,0),0)&gt;0,T08_Spells!AP$2,"")</f>
        <v/>
      </c>
      <c r="AQ198" t="str">
        <f>IF(IFERROR(MATCH($B198,temp!M$4:M$13,0),0)&gt;0,T08_Spells!AQ$2,"")</f>
        <v/>
      </c>
      <c r="AR198" t="str">
        <f>IF(IFERROR(MATCH($B198,temp!N$4:N$13,0),0)&gt;0,T08_Spells!AR$2,"")</f>
        <v/>
      </c>
      <c r="AS198" t="str">
        <f>IF(IFERROR(MATCH($B198,temp!O$4:O$13,0),0)&gt;0,T08_Spells!AS$2,"")</f>
        <v/>
      </c>
      <c r="AT198" t="str">
        <f>IF(IFERROR(MATCH($B198,temp!P$4:P$13,0),0)&gt;0,T08_Spells!AT$2,"")</f>
        <v/>
      </c>
      <c r="AU198" t="str">
        <f>IF(IFERROR(MATCH($B198,temp!Q$4:Q$13,0),0)&gt;0,T08_Spells!AU$2,"")</f>
        <v/>
      </c>
      <c r="AV198" t="str">
        <f>IF(IFERROR(MATCH($B198,temp!R$4:R$13,0),0)&gt;0,T08_Spells!AV$2,"")</f>
        <v/>
      </c>
      <c r="AW198" t="str">
        <f>IF(IFERROR(MATCH($B198,temp!S$4:S$13,0),0)&gt;0,T08_Spells!AW$2,"")</f>
        <v/>
      </c>
      <c r="AX198" t="str">
        <f>IF(IFERROR(MATCH($B198,temp!T$4:T$13,0),0)&gt;0,T08_Spells!AX$2,"")</f>
        <v/>
      </c>
      <c r="AY198" t="str">
        <f>IF(IFERROR(MATCH($B198,temp!U$4:U$13,0),0)&gt;0,T08_Spells!AY$2,"")</f>
        <v/>
      </c>
      <c r="AZ198" t="str">
        <f>IF(IFERROR(MATCH($B198,temp!V$4:V$13,0),0)&gt;0,T08_Spells!AZ$2,"")</f>
        <v/>
      </c>
      <c r="BA198" t="str">
        <f>IF(IFERROR(MATCH($B198,temp!W$4:W$13,0),0)&gt;0,T08_Spells!BA$2,"")</f>
        <v/>
      </c>
      <c r="BC198">
        <f>IF(IFERROR(SEARCH("Ranger",$T198,1),0)&gt;0,1,0)*IF(RangerMaxSpellLevel&gt;=$C198,1,0)*IF(IFERROR(MATCH(B198,Character_Creation!$X$79:$X$382,0),0)&gt;0,0,1)</f>
        <v>0</v>
      </c>
      <c r="BD198">
        <f>IF(BC198=0,0,1+COUNTIF(BD$3:BD197,"&gt;0"))</f>
        <v>0</v>
      </c>
      <c r="BE198" t="str">
        <f t="shared" si="199"/>
        <v/>
      </c>
      <c r="BF198" t="str">
        <f t="shared" si="170"/>
        <v/>
      </c>
      <c r="BH198">
        <f>IF(IFERROR(SEARCH("Sorcerer",$T198,1),0)&gt;0,1,0)*IF(SorcererMaxSpellLevel&gt;=$C198,1,0)*IF(IFERROR(MATCH(B198,Character_Creation!$J$380:$J$394,0),0)&gt;0,0,1)</f>
        <v>0</v>
      </c>
      <c r="BI198">
        <f>IF(BH198=0,0,1+COUNTIF(BI$3:BI197,"&gt;0"))</f>
        <v>0</v>
      </c>
      <c r="BJ198" t="str">
        <f t="shared" si="200"/>
        <v/>
      </c>
      <c r="BK198" t="str">
        <f t="shared" si="171"/>
        <v/>
      </c>
      <c r="BM198">
        <f>IF(OR(IFERROR(SEARCH("Warlock",$T198,1),0)&gt;0,IFERROR(SEARCH(WarlockPatron,$T198,1),0)&gt;0),1,0)*IF(WarlockMaxSpellLevel&gt;=$C198,1,0)*IF(IFERROR(MATCH(B198,Character_Creation!$J$361:$J$375,0),0)&gt;0,0,1)</f>
        <v>0</v>
      </c>
      <c r="BN198">
        <f>IF(BM198=0,0,1+COUNTIF(BN$3:BN197,"&gt;0"))</f>
        <v>0</v>
      </c>
      <c r="BO198" t="str">
        <f t="shared" si="201"/>
        <v/>
      </c>
      <c r="BP198" t="str">
        <f t="shared" si="172"/>
        <v/>
      </c>
      <c r="BR198">
        <f>IF(IFERROR(SEARCH("Eldritch Knight",$T198,1),0)&gt;0,1,0)*IF(EldritchKnightMaxSpellLevel&gt;=$C198,1,0)*IF(IFERROR(MATCH($B198,Character_Creation!$J$350:$J$356,0),0)&gt;0,0,1)*IF(Character_Creation!$M$338&gt;0,1,0)</f>
        <v>0</v>
      </c>
      <c r="BS198">
        <f>IF(BR198=0,0,1+COUNTIF(BS$3:BS197,"&gt;0"))</f>
        <v>0</v>
      </c>
      <c r="BT198" t="str">
        <f t="shared" si="202"/>
        <v/>
      </c>
      <c r="BU198" t="str">
        <f t="shared" si="173"/>
        <v/>
      </c>
      <c r="BW198">
        <f>IF(IFERROR(SEARCH("Arcane Trickster",$T198,1),0)&gt;0,1,0)*IF(ArcaneTricksterMaxSpellLevel&gt;=$C198,1,0)*IF(IFERROR(MATCH($B198,Character_Creation!$J$350:$J$356,0),0)&gt;0,0,1)*IF(Character_Creation!$T$338&gt;0,1,0)</f>
        <v>0</v>
      </c>
      <c r="BX198">
        <f>IF(BW198=0,0,1+COUNTIF(BX$3:BX197,"&gt;0"))</f>
        <v>0</v>
      </c>
      <c r="BY198" t="str">
        <f t="shared" si="203"/>
        <v/>
      </c>
      <c r="BZ198" t="str">
        <f t="shared" si="174"/>
        <v/>
      </c>
      <c r="CB198">
        <f>IF(IFERROR(SEARCH("Wizard",$T198,1),0)&gt;0,1,0)*IF(C198&lt;=ArcaneTricksterMaxSpellLevel,1,0)*IF(IFERROR(MATCH($B198,Character_Creation!$J$350:$J$356,0),0)&gt;0,0,1)*IF(Character_Creation!$T$350&gt;0,1,0)</f>
        <v>0</v>
      </c>
      <c r="CC198">
        <f>IF(CB198=0,0,1+COUNTIF(CC$3:CC197,"&gt;0"))</f>
        <v>0</v>
      </c>
      <c r="CD198" t="str">
        <f t="shared" si="204"/>
        <v/>
      </c>
      <c r="CE198" t="str">
        <f t="shared" si="175"/>
        <v/>
      </c>
      <c r="CG198">
        <f>IF(IFERROR(SEARCH("Wizard",$T198,1),0)&gt;0,1,0)*IF($C198&lt;=EldritchKnightMaxSpellLevel,1,0)*IF(IFERROR(MATCH($B198,Character_Creation!$J$350:$J$356,0),0)&gt;0,0,1)*IF(Character_Creation!$M$350&gt;0,1,0)</f>
        <v>1</v>
      </c>
      <c r="CH198">
        <f>IF(CG198=0,0,1+COUNTIF(CH$3:CH197,"&gt;0"))</f>
        <v>33</v>
      </c>
      <c r="CI198" t="str">
        <f t="shared" si="205"/>
        <v/>
      </c>
      <c r="CJ198" t="str">
        <f t="shared" si="176"/>
        <v/>
      </c>
      <c r="CL198">
        <f>IF(IFERROR(SEARCH("Bard",$T198,1),0)&gt;0,1,0)*IF(BardMaxSpellLevel&gt;=$C198,1,0)*IF(IFERROR(MATCH(B198,Character_Creation!$C$341:$F$362,0),0)&gt;0,0,1)*IF(IFERROR(MATCH($B198,Character_Creation!$C$341:$C$362,0),0)&gt;0,0,1)</f>
        <v>0</v>
      </c>
      <c r="CM198">
        <f>IF(CL198=0,0,1+COUNTIF(CM$3:CM197,"&gt;0"))</f>
        <v>0</v>
      </c>
      <c r="CN198" t="str">
        <f t="shared" si="206"/>
        <v/>
      </c>
      <c r="CO198" t="str">
        <f t="shared" si="177"/>
        <v/>
      </c>
      <c r="CQ198">
        <f>IF(IFERROR(SEARCH("Wizard",$T198,1),0)&gt;0,1,0)*IF(WizardMaxSpellLevel&gt;=$C198,1,0)*IF(IFERROR(MATCH(B198,Character_Creation!$X$341:$X$400,0),0)&gt;0,0,1)*IF(SelectedWizardSpellLevel=$C198,1,0)</f>
        <v>0</v>
      </c>
      <c r="CR198">
        <f>IF(CQ198=0,0,1+COUNTIF(CR$3:CR197,"&gt;0"))</f>
        <v>0</v>
      </c>
      <c r="CS198" t="str">
        <f t="shared" si="207"/>
        <v/>
      </c>
      <c r="CT198" t="str">
        <f t="shared" si="178"/>
        <v/>
      </c>
      <c r="CV198">
        <f>IF(IFERROR(MATCH($B198,Character_Creation!$C$341:$C$362,0),0)&gt;0,0,1)*IF(OR(C198="Cantrip",C198&lt;=BardMaxSpellLevel),1,0)*IF(IFERROR(MATCH($B198,Character_Creation!$C$367:$C$374,0),0)&gt;0,0,1)</f>
        <v>0</v>
      </c>
      <c r="CW198">
        <f>IF(CV198=0,0,1+COUNTIF(CW$3:CW197,"&gt;0"))</f>
        <v>0</v>
      </c>
      <c r="CX198" t="str">
        <f t="shared" si="208"/>
        <v/>
      </c>
      <c r="CY198" t="str">
        <f t="shared" si="179"/>
        <v/>
      </c>
      <c r="DA198">
        <f>IF(IF(OR(IFERROR(SEARCH("Cleric",$T198,1),0)&gt;0,IFERROR(SEARCH(DivineDomain&amp;",",$T198,1),0)&gt;0),1,0)*IF($C198=DA$2,1,0)=1,1+COUNTIF(DA$3:DA197,"&gt;0"),0)</f>
        <v>0</v>
      </c>
      <c r="DB198">
        <f>IF(IF(OR(IFERROR(SEARCH("Cleric",$T198,1),0)&gt;0,IFERROR(SEARCH(DivineDomain&amp;",",$T198,1),0)&gt;0),1,0)*IF($C198=DB$2,1,0)=1,1+COUNTIF(DB$3:DB197,"&gt;0"),0)</f>
        <v>0</v>
      </c>
      <c r="DC198">
        <f>IF(IF(OR(IFERROR(SEARCH("Cleric",$T198,1),0)&gt;0,IFERROR(SEARCH(DivineDomain&amp;",",$T198,1),0)&gt;0),1,0)*IF($C198=DC$2,1,0)=1,1+COUNTIF(DC$3:DC197,"&gt;0"),0)</f>
        <v>0</v>
      </c>
      <c r="DD198">
        <f>IF(IF(OR(IFERROR(SEARCH("Cleric",$T198,1),0)&gt;0,IFERROR(SEARCH(DivineDomain&amp;",",$T198,1),0)&gt;0),1,0)*IF($C198=DD$2,1,0)=1,1+COUNTIF(DD$3:DD197,"&gt;0"),0)</f>
        <v>0</v>
      </c>
      <c r="DE198">
        <f>IF(IF(OR(IFERROR(SEARCH("Cleric",$T198,1),0)&gt;0,IFERROR(SEARCH(DivineDomain&amp;",",$T198,1),0)&gt;0),1,0)*IF($C198=DE$2,1,0)=1,1+COUNTIF(DE$3:DE197,"&gt;0"),0)</f>
        <v>0</v>
      </c>
      <c r="DF198">
        <f>IF(IF(OR(IFERROR(SEARCH("Cleric",$T198,1),0)&gt;0,IFERROR(SEARCH(DivineDomain&amp;",",$T198,1),0)&gt;0),1,0)*IF($C198=DF$2,1,0)=1,1+COUNTIF(DF$3:DF197,"&gt;0"),0)</f>
        <v>0</v>
      </c>
      <c r="DG198">
        <f>IF(IF(OR(IFERROR(SEARCH("Cleric",$T198,1),0)&gt;0,IFERROR(SEARCH(DivineDomain&amp;",",$T198,1),0)&gt;0),1,0)*IF($C198=DG$2,1,0)=1,1+COUNTIF(DG$3:DG197,"&gt;0"),0)</f>
        <v>0</v>
      </c>
      <c r="DH198">
        <f>IF(IF(OR(IFERROR(SEARCH("Cleric",$T198,1),0)&gt;0,IFERROR(SEARCH(DivineDomain&amp;",",$T198,1),0)&gt;0),1,0)*IF($C198=DH$2,1,0)=1,1+COUNTIF(DH$3:DH197,"&gt;0"),0)</f>
        <v>0</v>
      </c>
      <c r="DI198">
        <f>IF(IF(OR(IFERROR(SEARCH("Cleric",$T198,1),0)&gt;0,IFERROR(SEARCH(DivineDomain&amp;",",$T198,1),0)&gt;0),1,0)*IF($C198=DI$2,1,0)=1,1+COUNTIF(DI$3:DI197,"&gt;0"),0)</f>
        <v>0</v>
      </c>
      <c r="DJ198">
        <f>IF(IF(OR(IFERROR(SEARCH("Druid",$T198,1),0)&gt;0,IFERROR(SEARCH(DruidLand1,$T198,1),0)&gt;0,IFERROR(SEARCH(DruidLand2,$T198,1),0)&gt;0,IFERROR(SEARCH(DruidLand3,$T198,1),0)&gt;0,IFERROR(SEARCH(DruidLand4,$T198,1),0)&gt;0),1,0)*IF($C198=1,1,0)*IF($C198=DJ$2,1,0)=0,0,1+COUNTIF(DJ$3:DJ197,"&gt;0"))</f>
        <v>12</v>
      </c>
      <c r="DK198">
        <f>IF(IF(OR(IFERROR(SEARCH("Druid",$T198,1),0)&gt;0,IFERROR(SEARCH(DruidLand1,$T198,1),0)&gt;0,IFERROR(SEARCH(DruidLand2,$T198,1),0)&gt;0,IFERROR(SEARCH(DruidLand3,$T198,1),0)&gt;0,IFERROR(SEARCH(DruidLand4,$T198,1),0)&gt;0),1,0)*IF($C198=DK$2,1,0)=0,0,1+COUNTIF(DK$3:DK197,"&gt;0"))</f>
        <v>0</v>
      </c>
      <c r="DL198">
        <f>IF(IF(OR(IFERROR(SEARCH("Druid",$T198,1),0)&gt;0,IFERROR(SEARCH(DruidLand1,$T198,1),0)&gt;0,IFERROR(SEARCH(DruidLand2,$T198,1),0)&gt;0,IFERROR(SEARCH(DruidLand3,$T198,1),0)&gt;0,IFERROR(SEARCH(DruidLand4,$T198,1),0)&gt;0),1,0)*IF($C198=DL$2,1,0)=0,0,1+COUNTIF(DL$3:DL197,"&gt;0"))</f>
        <v>0</v>
      </c>
      <c r="DM198">
        <f>IF(IF(OR(IFERROR(SEARCH("Druid",$T198,1),0)&gt;0,IFERROR(SEARCH(DruidLand1,$T198,1),0)&gt;0,IFERROR(SEARCH(DruidLand2,$T198,1),0)&gt;0,IFERROR(SEARCH(DruidLand3,$T198,1),0)&gt;0,IFERROR(SEARCH(DruidLand4,$T198,1),0)&gt;0),1,0)*IF($C198=DM$2,1,0)=0,0,1+COUNTIF(DM$3:DM197,"&gt;0"))</f>
        <v>0</v>
      </c>
      <c r="DN198">
        <f>IF(IF(OR(IFERROR(SEARCH("Druid",$T198,1),0)&gt;0,IFERROR(SEARCH(DruidLand1,$T198,1),0)&gt;0,IFERROR(SEARCH(DruidLand2,$T198,1),0)&gt;0,IFERROR(SEARCH(DruidLand3,$T198,1),0)&gt;0,IFERROR(SEARCH(DruidLand4,$T198,1),0)&gt;0),1,0)*IF($C198=DN$2,1,0)=0,0,1+COUNTIF(DN$3:DN197,"&gt;0"))</f>
        <v>0</v>
      </c>
      <c r="DO198">
        <f>IF(IF(OR(IFERROR(SEARCH("Druid",$T198,1),0)&gt;0,IFERROR(SEARCH(DruidLand1,$T198,1),0)&gt;0,IFERROR(SEARCH(DruidLand2,$T198,1),0)&gt;0,IFERROR(SEARCH(DruidLand3,$T198,1),0)&gt;0,IFERROR(SEARCH(DruidLand4,$T198,1),0)&gt;0),1,0)*IF($C198=DO$2,1,0)=0,0,1+COUNTIF(DO$3:DO197,"&gt;0"))</f>
        <v>0</v>
      </c>
      <c r="DP198">
        <f>IF(IF(OR(IFERROR(SEARCH("Druid",$T198,1),0)&gt;0,IFERROR(SEARCH(DruidLand1,$T198,1),0)&gt;0,IFERROR(SEARCH(DruidLand2,$T198,1),0)&gt;0,IFERROR(SEARCH(DruidLand3,$T198,1),0)&gt;0,IFERROR(SEARCH(DruidLand4,$T198,1),0)&gt;0),1,0)*IF($C198=DP$2,1,0)=0,0,1+COUNTIF(DP$3:DP197,"&gt;0"))</f>
        <v>0</v>
      </c>
      <c r="DQ198">
        <f>IF(IF(OR(IFERROR(SEARCH("Druid",$T198,1),0)&gt;0,IFERROR(SEARCH(DruidLand1,$T198,1),0)&gt;0,IFERROR(SEARCH(DruidLand2,$T198,1),0)&gt;0,IFERROR(SEARCH(DruidLand3,$T198,1),0)&gt;0,IFERROR(SEARCH(DruidLand4,$T198,1),0)&gt;0),1,0)*IF($C198=DQ$2,1,0)=0,0,1+COUNTIF(DQ$3:DQ197,"&gt;0"))</f>
        <v>0</v>
      </c>
      <c r="DR198">
        <f>IF(IF(OR(IFERROR(SEARCH("Druid",$T198,1),0)&gt;0,IFERROR(SEARCH(DruidLand1,$T198,1),0)&gt;0,IFERROR(SEARCH(DruidLand2,$T198,1),0)&gt;0,IFERROR(SEARCH(DruidLand3,$T198,1),0)&gt;0,IFERROR(SEARCH(DruidLand4,$T198,1),0)&gt;0),1,0)*IF($C198=DR$2,1,0)=0,0,1+COUNTIF(DR$3:DR197,"&gt;0"))</f>
        <v>0</v>
      </c>
      <c r="DS198">
        <f>IF(IF(OR(IFERROR(SEARCH("Paladin",$T198,1),0)&gt;0,IFERROR(SEARCH(PaladinOath,$T198,1),0)&gt;0),1,0)*IF($C198=DS$2,1,0)=1,1+COUNTIF(DS$3:DS197,"&gt;0"),0)</f>
        <v>0</v>
      </c>
      <c r="DT198">
        <f>IF(IF(OR(IFERROR(SEARCH("Paladin",$T198,1),0)&gt;0,IFERROR(SEARCH(PaladinOath,$T198,1),0)&gt;0),1,0)*IF($C198=DT$2,1,0)=1,1+COUNTIF(DT$3:DT197,"&gt;0"),0)</f>
        <v>0</v>
      </c>
      <c r="DU198">
        <f>IF(IF(OR(IFERROR(SEARCH("Paladin",$T198,1),0)&gt;0,IFERROR(SEARCH(PaladinOath,$T198,1),0)&gt;0),1,0)*IF($C198=DU$2,1,0)=1,1+COUNTIF(DU$3:DU197,"&gt;0"),0)</f>
        <v>0</v>
      </c>
      <c r="DV198">
        <f>IF(IF(OR(IFERROR(SEARCH("Paladin",$T198,1),0)&gt;0,IFERROR(SEARCH(PaladinOath,$T198,1),0)&gt;0),1,0)*IF($C198=DV$2,1,0)=1,1+COUNTIF(DV$3:DV197,"&gt;0"),0)</f>
        <v>0</v>
      </c>
      <c r="DW198">
        <f>IF(IF(OR(IFERROR(SEARCH("Paladin",$T198,1),0)&gt;0,IFERROR(SEARCH(PaladinOath,$T198,1),0)&gt;0),1,0)*IF($C198=DW$2,1,0)=1,1+COUNTIF(DW$3:DW197,"&gt;0"),0)</f>
        <v>0</v>
      </c>
      <c r="DY198">
        <f t="shared" si="166"/>
        <v>1</v>
      </c>
      <c r="DZ198">
        <f>IF(DY198=0,0,1+MAX(DZ$3:$DZ197))</f>
        <v>196</v>
      </c>
      <c r="EB198">
        <f t="shared" si="180"/>
        <v>0</v>
      </c>
      <c r="EC198">
        <f>IF(EB198=0,0,1+COUNTIF(EC$3:EC197,"&gt;0"))</f>
        <v>0</v>
      </c>
      <c r="ED198" t="str">
        <f t="shared" si="209"/>
        <v/>
      </c>
      <c r="EE198" t="str">
        <f t="shared" si="181"/>
        <v/>
      </c>
      <c r="EG198">
        <f t="shared" si="182"/>
        <v>0</v>
      </c>
      <c r="EH198">
        <f>IF(EG198=0,0,1+COUNTIF(EH$3:EH197,"&gt;0"))</f>
        <v>0</v>
      </c>
      <c r="EI198" t="str">
        <f t="shared" si="210"/>
        <v/>
      </c>
      <c r="EJ198" t="str">
        <f t="shared" si="183"/>
        <v/>
      </c>
      <c r="EL198">
        <f t="shared" si="184"/>
        <v>0</v>
      </c>
      <c r="EM198">
        <f>IF(EL198=0,0,1+COUNTIF(EM$3:EM197,"&gt;0"))</f>
        <v>0</v>
      </c>
      <c r="EN198" t="str">
        <f t="shared" si="211"/>
        <v/>
      </c>
      <c r="EO198" t="str">
        <f t="shared" si="185"/>
        <v/>
      </c>
      <c r="EQ198">
        <f t="shared" si="186"/>
        <v>0</v>
      </c>
      <c r="ER198">
        <f>IF(EQ198=0,0,1+COUNTIF(ER$3:ER197,"&gt;0"))</f>
        <v>0</v>
      </c>
      <c r="ES198" t="str">
        <f t="shared" si="212"/>
        <v/>
      </c>
      <c r="ET198" t="str">
        <f t="shared" si="187"/>
        <v/>
      </c>
      <c r="EV198">
        <f t="shared" si="188"/>
        <v>0</v>
      </c>
      <c r="EW198">
        <f>IF(EV198=0,0,1+COUNTIF(EW$3:EW197,"&gt;0"))</f>
        <v>0</v>
      </c>
      <c r="EX198" t="str">
        <f t="shared" si="213"/>
        <v/>
      </c>
      <c r="EY198" t="str">
        <f t="shared" si="189"/>
        <v/>
      </c>
      <c r="FA198">
        <f t="shared" si="190"/>
        <v>0</v>
      </c>
      <c r="FB198">
        <f>IF(FA198=0,0,1+COUNTIF(FB$3:FB197,"&gt;0"))</f>
        <v>0</v>
      </c>
      <c r="FC198" t="str">
        <f t="shared" si="214"/>
        <v/>
      </c>
      <c r="FD198" t="str">
        <f t="shared" si="191"/>
        <v/>
      </c>
      <c r="FF198">
        <f t="shared" si="192"/>
        <v>0</v>
      </c>
      <c r="FG198">
        <f>IF(FF198=0,0,1+COUNTIF(FG$3:FG197,"&gt;0"))</f>
        <v>0</v>
      </c>
      <c r="FH198" t="str">
        <f t="shared" si="215"/>
        <v/>
      </c>
      <c r="FI198" t="str">
        <f t="shared" si="193"/>
        <v/>
      </c>
      <c r="FK198">
        <f t="shared" si="194"/>
        <v>0</v>
      </c>
      <c r="FL198">
        <f>IF(FK198=0,0,1+COUNTIF(FL$3:FL197,"&gt;0"))</f>
        <v>0</v>
      </c>
      <c r="FM198" t="str">
        <f t="shared" si="216"/>
        <v/>
      </c>
      <c r="FN198" t="str">
        <f t="shared" si="195"/>
        <v/>
      </c>
      <c r="FP198">
        <f t="shared" si="196"/>
        <v>0</v>
      </c>
      <c r="FQ198">
        <f>IF(FP198=0,0,1+COUNTIF(FQ$3:FQ197,"&gt;0"))</f>
        <v>0</v>
      </c>
      <c r="FR198" t="str">
        <f t="shared" si="217"/>
        <v/>
      </c>
      <c r="FS198" t="str">
        <f t="shared" si="197"/>
        <v/>
      </c>
    </row>
    <row r="199" spans="1:175" x14ac:dyDescent="0.25">
      <c r="A199" s="347">
        <f t="shared" si="218"/>
        <v>197</v>
      </c>
      <c r="B199" s="348" t="s">
        <v>2577</v>
      </c>
      <c r="C199" s="348">
        <v>2</v>
      </c>
      <c r="D199" s="347">
        <v>2</v>
      </c>
      <c r="E199" s="627" t="s">
        <v>6952</v>
      </c>
      <c r="F199" s="346"/>
      <c r="G199" s="347" t="str">
        <f>""</f>
        <v/>
      </c>
      <c r="H199" s="347" t="s">
        <v>5912</v>
      </c>
      <c r="I199" s="347" t="s">
        <v>424</v>
      </c>
      <c r="J199" s="347" t="str">
        <f t="shared" si="167"/>
        <v/>
      </c>
      <c r="K199" s="347" t="s">
        <v>5278</v>
      </c>
      <c r="L199" s="611" t="str">
        <f t="shared" si="168"/>
        <v>V</v>
      </c>
      <c r="M199" s="347" t="s">
        <v>2373</v>
      </c>
      <c r="N199" s="347" t="s">
        <v>3034</v>
      </c>
      <c r="O199" s="347" t="s">
        <v>3034</v>
      </c>
      <c r="P199" s="346" t="str">
        <f>""</f>
        <v/>
      </c>
      <c r="Q199" s="347" t="s">
        <v>5276</v>
      </c>
      <c r="S199" s="346" t="s">
        <v>5746</v>
      </c>
      <c r="T199" s="346" t="str">
        <f t="shared" si="169"/>
        <v xml:space="preserve">Bard, Sorcerer, Wizard, </v>
      </c>
      <c r="U199" s="347" t="str">
        <f>$B199</f>
        <v>Knock</v>
      </c>
      <c r="X199" s="347" t="str">
        <f>$B199</f>
        <v>Knock</v>
      </c>
      <c r="AD199" s="347" t="str">
        <f t="shared" si="198"/>
        <v>Knock</v>
      </c>
      <c r="AE199" t="str">
        <f>IF(IFERROR(MATCH($B199,temp!A$4:A$13,0),0)&gt;0,T08_Spells!AE$2,"")</f>
        <v/>
      </c>
      <c r="AF199" t="str">
        <f>IF(IFERROR(MATCH($B199,temp!B$4:B$13,0),0)&gt;0,T08_Spells!AF$2,"")</f>
        <v/>
      </c>
      <c r="AG199" t="str">
        <f>IF(IFERROR(MATCH($B199,temp!C$4:C$13,0),0)&gt;0,T08_Spells!AG$2,"")</f>
        <v/>
      </c>
      <c r="AH199" t="str">
        <f>IF(IFERROR(MATCH($B199,temp!D$4:D$13,0),0)&gt;0,T08_Spells!AH$2,"")</f>
        <v/>
      </c>
      <c r="AI199" t="str">
        <f>IF(IFERROR(MATCH($B199,temp!E$4:E$13,0),0)&gt;0,T08_Spells!AI$2,"")</f>
        <v/>
      </c>
      <c r="AJ199" t="str">
        <f>IF(IFERROR(MATCH($B199,temp!F$4:F$13,0),0)&gt;0,T08_Spells!AJ$2,"")</f>
        <v/>
      </c>
      <c r="AK199" t="str">
        <f>IF(IFERROR(MATCH($B199,temp!G$4:G$13,0),0)&gt;0,T08_Spells!AK$2,"")</f>
        <v/>
      </c>
      <c r="AL199" t="str">
        <f>IF(IFERROR(MATCH($B199,temp!H$4:H$13,0),0)&gt;0,T08_Spells!AL$2,"")</f>
        <v/>
      </c>
      <c r="AM199" t="str">
        <f>IF(IFERROR(MATCH($B199,temp!I$4:I$13,0),0)&gt;0,T08_Spells!AM$2,"")</f>
        <v/>
      </c>
      <c r="AN199" t="str">
        <f>IF(IFERROR(MATCH($B199,temp!J$4:J$13,0),0)&gt;0,T08_Spells!AN$2,"")</f>
        <v/>
      </c>
      <c r="AO199" t="str">
        <f>IF(IFERROR(MATCH($B199,temp!K$4:K$13,0),0)&gt;0,T08_Spells!AO$2,"")</f>
        <v/>
      </c>
      <c r="AP199" t="str">
        <f>IF(IFERROR(MATCH($B199,temp!L$4:L$13,0),0)&gt;0,T08_Spells!AP$2,"")</f>
        <v/>
      </c>
      <c r="AQ199" t="str">
        <f>IF(IFERROR(MATCH($B199,temp!M$4:M$13,0),0)&gt;0,T08_Spells!AQ$2,"")</f>
        <v/>
      </c>
      <c r="AR199" t="str">
        <f>IF(IFERROR(MATCH($B199,temp!N$4:N$13,0),0)&gt;0,T08_Spells!AR$2,"")</f>
        <v/>
      </c>
      <c r="AS199" t="str">
        <f>IF(IFERROR(MATCH($B199,temp!O$4:O$13,0),0)&gt;0,T08_Spells!AS$2,"")</f>
        <v/>
      </c>
      <c r="AT199" t="str">
        <f>IF(IFERROR(MATCH($B199,temp!P$4:P$13,0),0)&gt;0,T08_Spells!AT$2,"")</f>
        <v/>
      </c>
      <c r="AU199" t="str">
        <f>IF(IFERROR(MATCH($B199,temp!Q$4:Q$13,0),0)&gt;0,T08_Spells!AU$2,"")</f>
        <v/>
      </c>
      <c r="AV199" t="str">
        <f>IF(IFERROR(MATCH($B199,temp!R$4:R$13,0),0)&gt;0,T08_Spells!AV$2,"")</f>
        <v/>
      </c>
      <c r="AW199" t="str">
        <f>IF(IFERROR(MATCH($B199,temp!S$4:S$13,0),0)&gt;0,T08_Spells!AW$2,"")</f>
        <v/>
      </c>
      <c r="AX199" t="str">
        <f>IF(IFERROR(MATCH($B199,temp!T$4:T$13,0),0)&gt;0,T08_Spells!AX$2,"")</f>
        <v/>
      </c>
      <c r="AY199" t="str">
        <f>IF(IFERROR(MATCH($B199,temp!U$4:U$13,0),0)&gt;0,T08_Spells!AY$2,"")</f>
        <v/>
      </c>
      <c r="AZ199" t="str">
        <f>IF(IFERROR(MATCH($B199,temp!V$4:V$13,0),0)&gt;0,T08_Spells!AZ$2,"")</f>
        <v/>
      </c>
      <c r="BA199" t="str">
        <f>IF(IFERROR(MATCH($B199,temp!W$4:W$13,0),0)&gt;0,T08_Spells!BA$2,"")</f>
        <v/>
      </c>
      <c r="BC199">
        <f>IF(IFERROR(SEARCH("Ranger",$T199,1),0)&gt;0,1,0)*IF(RangerMaxSpellLevel&gt;=$C199,1,0)*IF(IFERROR(MATCH(B199,Character_Creation!$X$79:$X$382,0),0)&gt;0,0,1)</f>
        <v>0</v>
      </c>
      <c r="BD199">
        <f>IF(BC199=0,0,1+COUNTIF(BD$3:BD198,"&gt;0"))</f>
        <v>0</v>
      </c>
      <c r="BE199" t="str">
        <f t="shared" si="199"/>
        <v/>
      </c>
      <c r="BF199" t="str">
        <f t="shared" si="170"/>
        <v/>
      </c>
      <c r="BH199">
        <f>IF(IFERROR(SEARCH("Sorcerer",$T199,1),0)&gt;0,1,0)*IF(SorcererMaxSpellLevel&gt;=$C199,1,0)*IF(IFERROR(MATCH(B199,Character_Creation!$J$380:$J$394,0),0)&gt;0,0,1)</f>
        <v>0</v>
      </c>
      <c r="BI199">
        <f>IF(BH199=0,0,1+COUNTIF(BI$3:BI198,"&gt;0"))</f>
        <v>0</v>
      </c>
      <c r="BJ199" t="str">
        <f t="shared" si="200"/>
        <v/>
      </c>
      <c r="BK199" t="str">
        <f t="shared" si="171"/>
        <v/>
      </c>
      <c r="BM199">
        <f>IF(OR(IFERROR(SEARCH("Warlock",$T199,1),0)&gt;0,IFERROR(SEARCH(WarlockPatron,$T199,1),0)&gt;0),1,0)*IF(WarlockMaxSpellLevel&gt;=$C199,1,0)*IF(IFERROR(MATCH(B199,Character_Creation!$J$361:$J$375,0),0)&gt;0,0,1)</f>
        <v>0</v>
      </c>
      <c r="BN199">
        <f>IF(BM199=0,0,1+COUNTIF(BN$3:BN198,"&gt;0"))</f>
        <v>0</v>
      </c>
      <c r="BO199" t="str">
        <f t="shared" si="201"/>
        <v/>
      </c>
      <c r="BP199" t="str">
        <f t="shared" si="172"/>
        <v/>
      </c>
      <c r="BR199">
        <f>IF(IFERROR(SEARCH("Eldritch Knight",$T199,1),0)&gt;0,1,0)*IF(EldritchKnightMaxSpellLevel&gt;=$C199,1,0)*IF(IFERROR(MATCH($B199,Character_Creation!$J$350:$J$356,0),0)&gt;0,0,1)*IF(Character_Creation!$M$338&gt;0,1,0)</f>
        <v>0</v>
      </c>
      <c r="BS199">
        <f>IF(BR199=0,0,1+COUNTIF(BS$3:BS198,"&gt;0"))</f>
        <v>0</v>
      </c>
      <c r="BT199" t="str">
        <f t="shared" si="202"/>
        <v/>
      </c>
      <c r="BU199" t="str">
        <f t="shared" si="173"/>
        <v/>
      </c>
      <c r="BW199">
        <f>IF(IFERROR(SEARCH("Arcane Trickster",$T199,1),0)&gt;0,1,0)*IF(ArcaneTricksterMaxSpellLevel&gt;=$C199,1,0)*IF(IFERROR(MATCH($B199,Character_Creation!$J$350:$J$356,0),0)&gt;0,0,1)*IF(Character_Creation!$T$338&gt;0,1,0)</f>
        <v>0</v>
      </c>
      <c r="BX199">
        <f>IF(BW199=0,0,1+COUNTIF(BX$3:BX198,"&gt;0"))</f>
        <v>0</v>
      </c>
      <c r="BY199" t="str">
        <f t="shared" si="203"/>
        <v/>
      </c>
      <c r="BZ199" t="str">
        <f t="shared" si="174"/>
        <v/>
      </c>
      <c r="CB199">
        <f>IF(IFERROR(SEARCH("Wizard",$T199,1),0)&gt;0,1,0)*IF(C199&lt;=ArcaneTricksterMaxSpellLevel,1,0)*IF(IFERROR(MATCH($B199,Character_Creation!$J$350:$J$356,0),0)&gt;0,0,1)*IF(Character_Creation!$T$350&gt;0,1,0)</f>
        <v>0</v>
      </c>
      <c r="CC199">
        <f>IF(CB199=0,0,1+COUNTIF(CC$3:CC198,"&gt;0"))</f>
        <v>0</v>
      </c>
      <c r="CD199" t="str">
        <f t="shared" si="204"/>
        <v/>
      </c>
      <c r="CE199" t="str">
        <f t="shared" si="175"/>
        <v/>
      </c>
      <c r="CG199">
        <f>IF(IFERROR(SEARCH("Wizard",$T199,1),0)&gt;0,1,0)*IF($C199&lt;=EldritchKnightMaxSpellLevel,1,0)*IF(IFERROR(MATCH($B199,Character_Creation!$J$350:$J$356,0),0)&gt;0,0,1)*IF(Character_Creation!$M$350&gt;0,1,0)</f>
        <v>1</v>
      </c>
      <c r="CH199">
        <f>IF(CG199=0,0,1+COUNTIF(CH$3:CH198,"&gt;0"))</f>
        <v>34</v>
      </c>
      <c r="CI199" t="str">
        <f t="shared" si="205"/>
        <v/>
      </c>
      <c r="CJ199" t="str">
        <f t="shared" si="176"/>
        <v/>
      </c>
      <c r="CL199">
        <f>IF(IFERROR(SEARCH("Bard",$T199,1),0)&gt;0,1,0)*IF(BardMaxSpellLevel&gt;=$C199,1,0)*IF(IFERROR(MATCH(B199,Character_Creation!$C$341:$F$362,0),0)&gt;0,0,1)*IF(IFERROR(MATCH($B199,Character_Creation!$C$341:$C$362,0),0)&gt;0,0,1)</f>
        <v>0</v>
      </c>
      <c r="CM199">
        <f>IF(CL199=0,0,1+COUNTIF(CM$3:CM198,"&gt;0"))</f>
        <v>0</v>
      </c>
      <c r="CN199" t="str">
        <f t="shared" si="206"/>
        <v/>
      </c>
      <c r="CO199" t="str">
        <f t="shared" si="177"/>
        <v/>
      </c>
      <c r="CQ199">
        <f>IF(IFERROR(SEARCH("Wizard",$T199,1),0)&gt;0,1,0)*IF(WizardMaxSpellLevel&gt;=$C199,1,0)*IF(IFERROR(MATCH(B199,Character_Creation!$X$341:$X$400,0),0)&gt;0,0,1)*IF(SelectedWizardSpellLevel=$C199,1,0)</f>
        <v>0</v>
      </c>
      <c r="CR199">
        <f>IF(CQ199=0,0,1+COUNTIF(CR$3:CR198,"&gt;0"))</f>
        <v>0</v>
      </c>
      <c r="CS199" t="str">
        <f t="shared" si="207"/>
        <v/>
      </c>
      <c r="CT199" t="str">
        <f t="shared" si="178"/>
        <v/>
      </c>
      <c r="CV199">
        <f>IF(IFERROR(MATCH($B199,Character_Creation!$C$341:$C$362,0),0)&gt;0,0,1)*IF(OR(C199="Cantrip",C199&lt;=BardMaxSpellLevel),1,0)*IF(IFERROR(MATCH($B199,Character_Creation!$C$367:$C$374,0),0)&gt;0,0,1)</f>
        <v>0</v>
      </c>
      <c r="CW199">
        <f>IF(CV199=0,0,1+COUNTIF(CW$3:CW198,"&gt;0"))</f>
        <v>0</v>
      </c>
      <c r="CX199" t="str">
        <f t="shared" si="208"/>
        <v/>
      </c>
      <c r="CY199" t="str">
        <f t="shared" si="179"/>
        <v/>
      </c>
      <c r="DA199">
        <f>IF(IF(OR(IFERROR(SEARCH("Cleric",$T199,1),0)&gt;0,IFERROR(SEARCH(DivineDomain&amp;",",$T199,1),0)&gt;0),1,0)*IF($C199=DA$2,1,0)=1,1+COUNTIF(DA$3:DA198,"&gt;0"),0)</f>
        <v>0</v>
      </c>
      <c r="DB199">
        <f>IF(IF(OR(IFERROR(SEARCH("Cleric",$T199,1),0)&gt;0,IFERROR(SEARCH(DivineDomain&amp;",",$T199,1),0)&gt;0),1,0)*IF($C199=DB$2,1,0)=1,1+COUNTIF(DB$3:DB198,"&gt;0"),0)</f>
        <v>0</v>
      </c>
      <c r="DC199">
        <f>IF(IF(OR(IFERROR(SEARCH("Cleric",$T199,1),0)&gt;0,IFERROR(SEARCH(DivineDomain&amp;",",$T199,1),0)&gt;0),1,0)*IF($C199=DC$2,1,0)=1,1+COUNTIF(DC$3:DC198,"&gt;0"),0)</f>
        <v>0</v>
      </c>
      <c r="DD199">
        <f>IF(IF(OR(IFERROR(SEARCH("Cleric",$T199,1),0)&gt;0,IFERROR(SEARCH(DivineDomain&amp;",",$T199,1),0)&gt;0),1,0)*IF($C199=DD$2,1,0)=1,1+COUNTIF(DD$3:DD198,"&gt;0"),0)</f>
        <v>0</v>
      </c>
      <c r="DE199">
        <f>IF(IF(OR(IFERROR(SEARCH("Cleric",$T199,1),0)&gt;0,IFERROR(SEARCH(DivineDomain&amp;",",$T199,1),0)&gt;0),1,0)*IF($C199=DE$2,1,0)=1,1+COUNTIF(DE$3:DE198,"&gt;0"),0)</f>
        <v>0</v>
      </c>
      <c r="DF199">
        <f>IF(IF(OR(IFERROR(SEARCH("Cleric",$T199,1),0)&gt;0,IFERROR(SEARCH(DivineDomain&amp;",",$T199,1),0)&gt;0),1,0)*IF($C199=DF$2,1,0)=1,1+COUNTIF(DF$3:DF198,"&gt;0"),0)</f>
        <v>0</v>
      </c>
      <c r="DG199">
        <f>IF(IF(OR(IFERROR(SEARCH("Cleric",$T199,1),0)&gt;0,IFERROR(SEARCH(DivineDomain&amp;",",$T199,1),0)&gt;0),1,0)*IF($C199=DG$2,1,0)=1,1+COUNTIF(DG$3:DG198,"&gt;0"),0)</f>
        <v>0</v>
      </c>
      <c r="DH199">
        <f>IF(IF(OR(IFERROR(SEARCH("Cleric",$T199,1),0)&gt;0,IFERROR(SEARCH(DivineDomain&amp;",",$T199,1),0)&gt;0),1,0)*IF($C199=DH$2,1,0)=1,1+COUNTIF(DH$3:DH198,"&gt;0"),0)</f>
        <v>0</v>
      </c>
      <c r="DI199">
        <f>IF(IF(OR(IFERROR(SEARCH("Cleric",$T199,1),0)&gt;0,IFERROR(SEARCH(DivineDomain&amp;",",$T199,1),0)&gt;0),1,0)*IF($C199=DI$2,1,0)=1,1+COUNTIF(DI$3:DI198,"&gt;0"),0)</f>
        <v>0</v>
      </c>
      <c r="DJ199">
        <f>IF(IF(OR(IFERROR(SEARCH("Druid",$T199,1),0)&gt;0,IFERROR(SEARCH(DruidLand1,$T199,1),0)&gt;0,IFERROR(SEARCH(DruidLand2,$T199,1),0)&gt;0,IFERROR(SEARCH(DruidLand3,$T199,1),0)&gt;0,IFERROR(SEARCH(DruidLand4,$T199,1),0)&gt;0),1,0)*IF($C199=1,1,0)*IF($C199=DJ$2,1,0)=0,0,1+COUNTIF(DJ$3:DJ198,"&gt;0"))</f>
        <v>0</v>
      </c>
      <c r="DK199">
        <f>IF(IF(OR(IFERROR(SEARCH("Druid",$T199,1),0)&gt;0,IFERROR(SEARCH(DruidLand1,$T199,1),0)&gt;0,IFERROR(SEARCH(DruidLand2,$T199,1),0)&gt;0,IFERROR(SEARCH(DruidLand3,$T199,1),0)&gt;0,IFERROR(SEARCH(DruidLand4,$T199,1),0)&gt;0),1,0)*IF($C199=1,1,0)*IF($C199=DK$2,1,0)=0,0,1+COUNTIF(DK$3:DK198,"&gt;0"))</f>
        <v>0</v>
      </c>
      <c r="DL199">
        <f>IF(IF(OR(IFERROR(SEARCH("Druid",$T199,1),0)&gt;0,IFERROR(SEARCH(DruidLand1,$T199,1),0)&gt;0,IFERROR(SEARCH(DruidLand2,$T199,1),0)&gt;0,IFERROR(SEARCH(DruidLand3,$T199,1),0)&gt;0,IFERROR(SEARCH(DruidLand4,$T199,1),0)&gt;0),1,0)*IF($C199=1,1,0)*IF($C199=DL$2,1,0)=0,0,1+COUNTIF(DL$3:DL198,"&gt;0"))</f>
        <v>0</v>
      </c>
      <c r="DM199">
        <f>IF(IF(OR(IFERROR(SEARCH("Druid",$T199,1),0)&gt;0,IFERROR(SEARCH(DruidLand1,$T199,1),0)&gt;0,IFERROR(SEARCH(DruidLand2,$T199,1),0)&gt;0,IFERROR(SEARCH(DruidLand3,$T199,1),0)&gt;0,IFERROR(SEARCH(DruidLand4,$T199,1),0)&gt;0),1,0)*IF($C199=1,1,0)*IF($C199=DM$2,1,0)=0,0,1+COUNTIF(DM$3:DM198,"&gt;0"))</f>
        <v>0</v>
      </c>
      <c r="DN199">
        <f>IF(IF(OR(IFERROR(SEARCH("Druid",$T199,1),0)&gt;0,IFERROR(SEARCH(DruidLand1,$T199,1),0)&gt;0,IFERROR(SEARCH(DruidLand2,$T199,1),0)&gt;0,IFERROR(SEARCH(DruidLand3,$T199,1),0)&gt;0,IFERROR(SEARCH(DruidLand4,$T199,1),0)&gt;0),1,0)*IF($C199=1,1,0)*IF($C199=DN$2,1,0)=0,0,1+COUNTIF(DN$3:DN198,"&gt;0"))</f>
        <v>0</v>
      </c>
      <c r="DO199">
        <f>IF(IF(OR(IFERROR(SEARCH("Druid",$T199,1),0)&gt;0,IFERROR(SEARCH(DruidLand1,$T199,1),0)&gt;0,IFERROR(SEARCH(DruidLand2,$T199,1),0)&gt;0,IFERROR(SEARCH(DruidLand3,$T199,1),0)&gt;0,IFERROR(SEARCH(DruidLand4,$T199,1),0)&gt;0),1,0)*IF($C199=1,1,0)*IF($C199=DO$2,1,0)=0,0,1+COUNTIF(DO$3:DO198,"&gt;0"))</f>
        <v>0</v>
      </c>
      <c r="DP199">
        <f>IF(IF(OR(IFERROR(SEARCH("Druid",$T199,1),0)&gt;0,IFERROR(SEARCH(DruidLand1,$T199,1),0)&gt;0,IFERROR(SEARCH(DruidLand2,$T199,1),0)&gt;0,IFERROR(SEARCH(DruidLand3,$T199,1),0)&gt;0,IFERROR(SEARCH(DruidLand4,$T199,1),0)&gt;0),1,0)*IF($C199=1,1,0)*IF($C199=DP$2,1,0)=0,0,1+COUNTIF(DP$3:DP198,"&gt;0"))</f>
        <v>0</v>
      </c>
      <c r="DQ199">
        <f>IF(IF(OR(IFERROR(SEARCH("Druid",$T199,1),0)&gt;0,IFERROR(SEARCH(DruidLand1,$T199,1),0)&gt;0,IFERROR(SEARCH(DruidLand2,$T199,1),0)&gt;0,IFERROR(SEARCH(DruidLand3,$T199,1),0)&gt;0,IFERROR(SEARCH(DruidLand4,$T199,1),0)&gt;0),1,0)*IF($C199=1,1,0)*IF($C199=DQ$2,1,0)=0,0,1+COUNTIF(DQ$3:DQ198,"&gt;0"))</f>
        <v>0</v>
      </c>
      <c r="DR199">
        <f>IF(IF(OR(IFERROR(SEARCH("Druid",$T199,1),0)&gt;0,IFERROR(SEARCH(DruidLand1,$T199,1),0)&gt;0,IFERROR(SEARCH(DruidLand2,$T199,1),0)&gt;0,IFERROR(SEARCH(DruidLand3,$T199,1),0)&gt;0,IFERROR(SEARCH(DruidLand4,$T199,1),0)&gt;0),1,0)*IF($C199=1,1,0)*IF($C199=DR$2,1,0)=0,0,1+COUNTIF(DR$3:DR198,"&gt;0"))</f>
        <v>0</v>
      </c>
      <c r="DS199">
        <f>IF(IF(OR(IFERROR(SEARCH("Paladin",$T199,1),0)&gt;0,IFERROR(SEARCH(PaladinOath,$T199,1),0)&gt;0),1,0)*IF($C199=DS$2,1,0)=1,1+COUNTIF(DS$3:DS198,"&gt;0"),0)</f>
        <v>0</v>
      </c>
      <c r="DT199">
        <f>IF(IF(OR(IFERROR(SEARCH("Paladin",$T199,1),0)&gt;0,IFERROR(SEARCH(PaladinOath,$T199,1),0)&gt;0),1,0)*IF($C199=DT$2,1,0)=1,1+COUNTIF(DT$3:DT198,"&gt;0"),0)</f>
        <v>0</v>
      </c>
      <c r="DU199">
        <f>IF(IF(OR(IFERROR(SEARCH("Paladin",$T199,1),0)&gt;0,IFERROR(SEARCH(PaladinOath,$T199,1),0)&gt;0),1,0)*IF($C199=DU$2,1,0)=1,1+COUNTIF(DU$3:DU198,"&gt;0"),0)</f>
        <v>0</v>
      </c>
      <c r="DV199">
        <f>IF(IF(OR(IFERROR(SEARCH("Paladin",$T199,1),0)&gt;0,IFERROR(SEARCH(PaladinOath,$T199,1),0)&gt;0),1,0)*IF($C199=DV$2,1,0)=1,1+COUNTIF(DV$3:DV198,"&gt;0"),0)</f>
        <v>0</v>
      </c>
      <c r="DW199">
        <f>IF(IF(OR(IFERROR(SEARCH("Paladin",$T199,1),0)&gt;0,IFERROR(SEARCH(PaladinOath,$T199,1),0)&gt;0),1,0)*IF($C199=DW$2,1,0)=1,1+COUNTIF(DW$3:DW198,"&gt;0"),0)</f>
        <v>0</v>
      </c>
      <c r="DY199">
        <f t="shared" si="166"/>
        <v>1</v>
      </c>
      <c r="DZ199">
        <f>IF(DY199=0,0,1+MAX(DZ$3:$DZ198))</f>
        <v>197</v>
      </c>
      <c r="EB199">
        <f t="shared" si="180"/>
        <v>0</v>
      </c>
      <c r="EC199">
        <f>IF(EB199=0,0,1+COUNTIF(EC$3:EC198,"&gt;0"))</f>
        <v>0</v>
      </c>
      <c r="ED199" t="str">
        <f t="shared" si="209"/>
        <v/>
      </c>
      <c r="EE199" t="str">
        <f t="shared" si="181"/>
        <v/>
      </c>
      <c r="EG199">
        <f t="shared" si="182"/>
        <v>0</v>
      </c>
      <c r="EH199">
        <f>IF(EG199=0,0,1+COUNTIF(EH$3:EH198,"&gt;0"))</f>
        <v>0</v>
      </c>
      <c r="EI199" t="str">
        <f t="shared" si="210"/>
        <v/>
      </c>
      <c r="EJ199" t="str">
        <f t="shared" si="183"/>
        <v/>
      </c>
      <c r="EL199">
        <f t="shared" si="184"/>
        <v>0</v>
      </c>
      <c r="EM199">
        <f>IF(EL199=0,0,1+COUNTIF(EM$3:EM198,"&gt;0"))</f>
        <v>0</v>
      </c>
      <c r="EN199" t="str">
        <f t="shared" si="211"/>
        <v/>
      </c>
      <c r="EO199" t="str">
        <f t="shared" si="185"/>
        <v/>
      </c>
      <c r="EQ199">
        <f t="shared" si="186"/>
        <v>0</v>
      </c>
      <c r="ER199">
        <f>IF(EQ199=0,0,1+COUNTIF(ER$3:ER198,"&gt;0"))</f>
        <v>0</v>
      </c>
      <c r="ES199" t="str">
        <f t="shared" si="212"/>
        <v/>
      </c>
      <c r="ET199" t="str">
        <f t="shared" si="187"/>
        <v/>
      </c>
      <c r="EV199">
        <f t="shared" si="188"/>
        <v>0</v>
      </c>
      <c r="EW199">
        <f>IF(EV199=0,0,1+COUNTIF(EW$3:EW198,"&gt;0"))</f>
        <v>0</v>
      </c>
      <c r="EX199" t="str">
        <f t="shared" si="213"/>
        <v/>
      </c>
      <c r="EY199" t="str">
        <f t="shared" si="189"/>
        <v/>
      </c>
      <c r="FA199">
        <f t="shared" si="190"/>
        <v>0</v>
      </c>
      <c r="FB199">
        <f>IF(FA199=0,0,1+COUNTIF(FB$3:FB198,"&gt;0"))</f>
        <v>0</v>
      </c>
      <c r="FC199" t="str">
        <f t="shared" si="214"/>
        <v/>
      </c>
      <c r="FD199" t="str">
        <f t="shared" si="191"/>
        <v/>
      </c>
      <c r="FF199">
        <f t="shared" si="192"/>
        <v>0</v>
      </c>
      <c r="FG199">
        <f>IF(FF199=0,0,1+COUNTIF(FG$3:FG198,"&gt;0"))</f>
        <v>0</v>
      </c>
      <c r="FH199" t="str">
        <f t="shared" si="215"/>
        <v/>
      </c>
      <c r="FI199" t="str">
        <f t="shared" si="193"/>
        <v/>
      </c>
      <c r="FK199">
        <f t="shared" si="194"/>
        <v>0</v>
      </c>
      <c r="FL199">
        <f>IF(FK199=0,0,1+COUNTIF(FL$3:FL198,"&gt;0"))</f>
        <v>0</v>
      </c>
      <c r="FM199" t="str">
        <f t="shared" si="216"/>
        <v/>
      </c>
      <c r="FN199" t="str">
        <f t="shared" si="195"/>
        <v/>
      </c>
      <c r="FP199">
        <f t="shared" si="196"/>
        <v>0</v>
      </c>
      <c r="FQ199">
        <f>IF(FP199=0,0,1+COUNTIF(FQ$3:FQ198,"&gt;0"))</f>
        <v>0</v>
      </c>
      <c r="FR199" t="str">
        <f t="shared" si="217"/>
        <v/>
      </c>
      <c r="FS199" t="str">
        <f t="shared" si="197"/>
        <v/>
      </c>
    </row>
    <row r="200" spans="1:175" x14ac:dyDescent="0.25">
      <c r="A200" s="347">
        <f t="shared" si="218"/>
        <v>198</v>
      </c>
      <c r="B200" s="348" t="s">
        <v>2578</v>
      </c>
      <c r="C200" s="348">
        <v>5</v>
      </c>
      <c r="D200" s="347">
        <v>5</v>
      </c>
      <c r="E200" s="627" t="s">
        <v>6952</v>
      </c>
      <c r="F200" s="346"/>
      <c r="G200" s="347" t="str">
        <f>""</f>
        <v/>
      </c>
      <c r="H200" s="347" t="s">
        <v>5319</v>
      </c>
      <c r="I200" s="347" t="s">
        <v>5283</v>
      </c>
      <c r="J200" s="347" t="str">
        <f t="shared" si="167"/>
        <v/>
      </c>
      <c r="K200" s="347" t="s">
        <v>5278</v>
      </c>
      <c r="L200" s="611" t="str">
        <f t="shared" si="168"/>
        <v>V, S, M, incense worth at least 250 gp, which the spell consumes, and four ivory strips worth at least 50 gp each</v>
      </c>
      <c r="M200" s="347" t="s">
        <v>2373</v>
      </c>
      <c r="N200" s="347" t="s">
        <v>2387</v>
      </c>
      <c r="O200" s="347" t="s">
        <v>1244</v>
      </c>
      <c r="P200" s="346" t="s">
        <v>5412</v>
      </c>
      <c r="Q200" s="347" t="s">
        <v>2473</v>
      </c>
      <c r="S200" s="346" t="s">
        <v>5747</v>
      </c>
      <c r="T200" s="346" t="str">
        <f t="shared" si="169"/>
        <v xml:space="preserve">Bard, Cleric, Wizard, Knowledge, </v>
      </c>
      <c r="U200" s="347" t="str">
        <f>$B200</f>
        <v>Legend Lore</v>
      </c>
      <c r="Z200" s="347" t="str">
        <f>$B200</f>
        <v>Legend Lore</v>
      </c>
      <c r="AD200" s="347" t="str">
        <f t="shared" si="198"/>
        <v>Legend Lore</v>
      </c>
      <c r="AE200" t="str">
        <f>IF(IFERROR(MATCH($B200,temp!A$4:A$13,0),0)&gt;0,T08_Spells!AE$2,"")</f>
        <v/>
      </c>
      <c r="AF200" t="str">
        <f>IF(IFERROR(MATCH($B200,temp!B$4:B$13,0),0)&gt;0,T08_Spells!AF$2,"")</f>
        <v/>
      </c>
      <c r="AG200" t="str">
        <f>IF(IFERROR(MATCH($B200,temp!C$4:C$13,0),0)&gt;0,T08_Spells!AG$2,"")</f>
        <v/>
      </c>
      <c r="AH200" t="str">
        <f>IF(IFERROR(MATCH($B200,temp!D$4:D$13,0),0)&gt;0,T08_Spells!AH$2,"")</f>
        <v/>
      </c>
      <c r="AI200" t="str">
        <f>IF(IFERROR(MATCH($B200,temp!E$4:E$13,0),0)&gt;0,T08_Spells!AI$2,"")</f>
        <v/>
      </c>
      <c r="AJ200" t="str">
        <f>IF(IFERROR(MATCH($B200,temp!F$4:F$13,0),0)&gt;0,T08_Spells!AJ$2,"")</f>
        <v/>
      </c>
      <c r="AK200" t="str">
        <f>IF(IFERROR(MATCH($B200,temp!G$4:G$13,0),0)&gt;0,T08_Spells!AK$2,"")</f>
        <v/>
      </c>
      <c r="AL200" t="str">
        <f>IF(IFERROR(MATCH($B200,temp!H$4:H$13,0),0)&gt;0,T08_Spells!AL$2,"")</f>
        <v/>
      </c>
      <c r="AM200" t="str">
        <f>IF(IFERROR(MATCH($B200,temp!I$4:I$13,0),0)&gt;0,T08_Spells!AM$2,"")</f>
        <v/>
      </c>
      <c r="AN200" t="str">
        <f>IF(IFERROR(MATCH($B200,temp!J$4:J$13,0),0)&gt;0,T08_Spells!AN$2,"")</f>
        <v/>
      </c>
      <c r="AO200" t="str">
        <f>IF(IFERROR(MATCH($B200,temp!K$4:K$13,0),0)&gt;0,T08_Spells!AO$2,"")</f>
        <v/>
      </c>
      <c r="AP200" t="str">
        <f>IF(IFERROR(MATCH($B200,temp!L$4:L$13,0),0)&gt;0,T08_Spells!AP$2,"")</f>
        <v/>
      </c>
      <c r="AQ200" t="str">
        <f>IF(IFERROR(MATCH($B200,temp!M$4:M$13,0),0)&gt;0,T08_Spells!AQ$2,"")</f>
        <v/>
      </c>
      <c r="AR200" t="str">
        <f>IF(IFERROR(MATCH($B200,temp!N$4:N$13,0),0)&gt;0,T08_Spells!AR$2,"")</f>
        <v/>
      </c>
      <c r="AS200" t="str">
        <f>IF(IFERROR(MATCH($B200,temp!O$4:O$13,0),0)&gt;0,T08_Spells!AS$2,"")</f>
        <v/>
      </c>
      <c r="AT200" t="str">
        <f>IF(IFERROR(MATCH($B200,temp!P$4:P$13,0),0)&gt;0,T08_Spells!AT$2,"")</f>
        <v>Knowledge</v>
      </c>
      <c r="AU200" t="str">
        <f>IF(IFERROR(MATCH($B200,temp!Q$4:Q$13,0),0)&gt;0,T08_Spells!AU$2,"")</f>
        <v/>
      </c>
      <c r="AV200" t="str">
        <f>IF(IFERROR(MATCH($B200,temp!R$4:R$13,0),0)&gt;0,T08_Spells!AV$2,"")</f>
        <v/>
      </c>
      <c r="AW200" t="str">
        <f>IF(IFERROR(MATCH($B200,temp!S$4:S$13,0),0)&gt;0,T08_Spells!AW$2,"")</f>
        <v/>
      </c>
      <c r="AX200" t="str">
        <f>IF(IFERROR(MATCH($B200,temp!T$4:T$13,0),0)&gt;0,T08_Spells!AX$2,"")</f>
        <v/>
      </c>
      <c r="AY200" t="str">
        <f>IF(IFERROR(MATCH($B200,temp!U$4:U$13,0),0)&gt;0,T08_Spells!AY$2,"")</f>
        <v/>
      </c>
      <c r="AZ200" t="str">
        <f>IF(IFERROR(MATCH($B200,temp!V$4:V$13,0),0)&gt;0,T08_Spells!AZ$2,"")</f>
        <v/>
      </c>
      <c r="BA200" t="str">
        <f>IF(IFERROR(MATCH($B200,temp!W$4:W$13,0),0)&gt;0,T08_Spells!BA$2,"")</f>
        <v/>
      </c>
      <c r="BC200">
        <f>IF(IFERROR(SEARCH("Ranger",$T200,1),0)&gt;0,1,0)*IF(RangerMaxSpellLevel&gt;=$C200,1,0)*IF(IFERROR(MATCH(B200,Character_Creation!$X$79:$X$382,0),0)&gt;0,0,1)</f>
        <v>0</v>
      </c>
      <c r="BD200">
        <f>IF(BC200=0,0,1+COUNTIF(BD$3:BD199,"&gt;0"))</f>
        <v>0</v>
      </c>
      <c r="BE200" t="str">
        <f t="shared" si="199"/>
        <v/>
      </c>
      <c r="BF200" t="str">
        <f t="shared" si="170"/>
        <v/>
      </c>
      <c r="BH200">
        <f>IF(IFERROR(SEARCH("Sorcerer",$T200,1),0)&gt;0,1,0)*IF(SorcererMaxSpellLevel&gt;=$C200,1,0)*IF(IFERROR(MATCH(B200,Character_Creation!$J$380:$J$394,0),0)&gt;0,0,1)</f>
        <v>0</v>
      </c>
      <c r="BI200">
        <f>IF(BH200=0,0,1+COUNTIF(BI$3:BI199,"&gt;0"))</f>
        <v>0</v>
      </c>
      <c r="BJ200" t="str">
        <f t="shared" si="200"/>
        <v/>
      </c>
      <c r="BK200" t="str">
        <f t="shared" si="171"/>
        <v/>
      </c>
      <c r="BM200">
        <f>IF(OR(IFERROR(SEARCH("Warlock",$T200,1),0)&gt;0,IFERROR(SEARCH(WarlockPatron,$T200,1),0)&gt;0),1,0)*IF(WarlockMaxSpellLevel&gt;=$C200,1,0)*IF(IFERROR(MATCH(B200,Character_Creation!$J$361:$J$375,0),0)&gt;0,0,1)</f>
        <v>0</v>
      </c>
      <c r="BN200">
        <f>IF(BM200=0,0,1+COUNTIF(BN$3:BN199,"&gt;0"))</f>
        <v>0</v>
      </c>
      <c r="BO200" t="str">
        <f t="shared" si="201"/>
        <v/>
      </c>
      <c r="BP200" t="str">
        <f t="shared" si="172"/>
        <v/>
      </c>
      <c r="BR200">
        <f>IF(IFERROR(SEARCH("Eldritch Knight",$T200,1),0)&gt;0,1,0)*IF(EldritchKnightMaxSpellLevel&gt;=$C200,1,0)*IF(IFERROR(MATCH($B200,Character_Creation!$J$350:$J$356,0),0)&gt;0,0,1)*IF(Character_Creation!$M$338&gt;0,1,0)</f>
        <v>0</v>
      </c>
      <c r="BS200">
        <f>IF(BR200=0,0,1+COUNTIF(BS$3:BS199,"&gt;0"))</f>
        <v>0</v>
      </c>
      <c r="BT200" t="str">
        <f t="shared" si="202"/>
        <v/>
      </c>
      <c r="BU200" t="str">
        <f t="shared" si="173"/>
        <v/>
      </c>
      <c r="BW200">
        <f>IF(IFERROR(SEARCH("Arcane Trickster",$T200,1),0)&gt;0,1,0)*IF(ArcaneTricksterMaxSpellLevel&gt;=$C200,1,0)*IF(IFERROR(MATCH($B200,Character_Creation!$J$350:$J$356,0),0)&gt;0,0,1)*IF(Character_Creation!$T$338&gt;0,1,0)</f>
        <v>0</v>
      </c>
      <c r="BX200">
        <f>IF(BW200=0,0,1+COUNTIF(BX$3:BX199,"&gt;0"))</f>
        <v>0</v>
      </c>
      <c r="BY200" t="str">
        <f t="shared" si="203"/>
        <v/>
      </c>
      <c r="BZ200" t="str">
        <f t="shared" si="174"/>
        <v/>
      </c>
      <c r="CB200">
        <f>IF(IFERROR(SEARCH("Wizard",$T200,1),0)&gt;0,1,0)*IF(C200&lt;=ArcaneTricksterMaxSpellLevel,1,0)*IF(IFERROR(MATCH($B200,Character_Creation!$J$350:$J$356,0),0)&gt;0,0,1)*IF(Character_Creation!$T$350&gt;0,1,0)</f>
        <v>0</v>
      </c>
      <c r="CC200">
        <f>IF(CB200=0,0,1+COUNTIF(CC$3:CC199,"&gt;0"))</f>
        <v>0</v>
      </c>
      <c r="CD200" t="str">
        <f t="shared" si="204"/>
        <v/>
      </c>
      <c r="CE200" t="str">
        <f t="shared" si="175"/>
        <v/>
      </c>
      <c r="CG200">
        <f>IF(IFERROR(SEARCH("Wizard",$T200,1),0)&gt;0,1,0)*IF($C200&lt;=EldritchKnightMaxSpellLevel,1,0)*IF(IFERROR(MATCH($B200,Character_Creation!$J$350:$J$356,0),0)&gt;0,0,1)*IF(Character_Creation!$M$350&gt;0,1,0)</f>
        <v>0</v>
      </c>
      <c r="CH200">
        <f>IF(CG200=0,0,1+COUNTIF(CH$3:CH199,"&gt;0"))</f>
        <v>0</v>
      </c>
      <c r="CI200" t="str">
        <f t="shared" si="205"/>
        <v/>
      </c>
      <c r="CJ200" t="str">
        <f t="shared" si="176"/>
        <v/>
      </c>
      <c r="CL200">
        <f>IF(IFERROR(SEARCH("Bard",$T200,1),0)&gt;0,1,0)*IF(BardMaxSpellLevel&gt;=$C200,1,0)*IF(IFERROR(MATCH(B200,Character_Creation!$C$341:$F$362,0),0)&gt;0,0,1)*IF(IFERROR(MATCH($B200,Character_Creation!$C$341:$C$362,0),0)&gt;0,0,1)</f>
        <v>0</v>
      </c>
      <c r="CM200">
        <f>IF(CL200=0,0,1+COUNTIF(CM$3:CM199,"&gt;0"))</f>
        <v>0</v>
      </c>
      <c r="CN200" t="str">
        <f t="shared" si="206"/>
        <v/>
      </c>
      <c r="CO200" t="str">
        <f t="shared" si="177"/>
        <v/>
      </c>
      <c r="CQ200">
        <f>IF(IFERROR(SEARCH("Wizard",$T200,1),0)&gt;0,1,0)*IF(WizardMaxSpellLevel&gt;=$C200,1,0)*IF(IFERROR(MATCH(B200,Character_Creation!$X$341:$X$400,0),0)&gt;0,0,1)*IF(SelectedWizardSpellLevel=$C200,1,0)</f>
        <v>0</v>
      </c>
      <c r="CR200">
        <f>IF(CQ200=0,0,1+COUNTIF(CR$3:CR199,"&gt;0"))</f>
        <v>0</v>
      </c>
      <c r="CS200" t="str">
        <f t="shared" si="207"/>
        <v/>
      </c>
      <c r="CT200" t="str">
        <f t="shared" si="178"/>
        <v/>
      </c>
      <c r="CV200">
        <f>IF(IFERROR(MATCH($B200,Character_Creation!$C$341:$C$362,0),0)&gt;0,0,1)*IF(OR(C200="Cantrip",C200&lt;=BardMaxSpellLevel),1,0)*IF(IFERROR(MATCH($B200,Character_Creation!$C$367:$C$374,0),0)&gt;0,0,1)</f>
        <v>0</v>
      </c>
      <c r="CW200">
        <f>IF(CV200=0,0,1+COUNTIF(CW$3:CW199,"&gt;0"))</f>
        <v>0</v>
      </c>
      <c r="CX200" t="str">
        <f t="shared" si="208"/>
        <v/>
      </c>
      <c r="CY200" t="str">
        <f t="shared" si="179"/>
        <v/>
      </c>
      <c r="DA200">
        <f>IF(IF(OR(IFERROR(SEARCH("Cleric",$T200,1),0)&gt;0,IFERROR(SEARCH(DivineDomain&amp;",",$T200,1),0)&gt;0),1,0)*IF($C200=DA$2,1,0)=1,1+COUNTIF(DA$3:DA199,"&gt;0"),0)</f>
        <v>0</v>
      </c>
      <c r="DB200">
        <f>IF(IF(OR(IFERROR(SEARCH("Cleric",$T200,1),0)&gt;0,IFERROR(SEARCH(DivineDomain&amp;",",$T200,1),0)&gt;0),1,0)*IF($C200=DB$2,1,0)=1,1+COUNTIF(DB$3:DB199,"&gt;0"),0)</f>
        <v>0</v>
      </c>
      <c r="DC200">
        <f>IF(IF(OR(IFERROR(SEARCH("Cleric",$T200,1),0)&gt;0,IFERROR(SEARCH(DivineDomain&amp;",",$T200,1),0)&gt;0),1,0)*IF($C200=DC$2,1,0)=1,1+COUNTIF(DC$3:DC199,"&gt;0"),0)</f>
        <v>0</v>
      </c>
      <c r="DD200">
        <f>IF(IF(OR(IFERROR(SEARCH("Cleric",$T200,1),0)&gt;0,IFERROR(SEARCH(DivineDomain&amp;",",$T200,1),0)&gt;0),1,0)*IF($C200=DD$2,1,0)=1,1+COUNTIF(DD$3:DD199,"&gt;0"),0)</f>
        <v>0</v>
      </c>
      <c r="DE200">
        <f>IF(IF(OR(IFERROR(SEARCH("Cleric",$T200,1),0)&gt;0,IFERROR(SEARCH(DivineDomain&amp;",",$T200,1),0)&gt;0),1,0)*IF($C200=DE$2,1,0)=1,1+COUNTIF(DE$3:DE199,"&gt;0"),0)</f>
        <v>9</v>
      </c>
      <c r="DF200">
        <f>IF(IF(OR(IFERROR(SEARCH("Cleric",$T200,1),0)&gt;0,IFERROR(SEARCH(DivineDomain&amp;",",$T200,1),0)&gt;0),1,0)*IF($C200=DF$2,1,0)=1,1+COUNTIF(DF$3:DF199,"&gt;0"),0)</f>
        <v>0</v>
      </c>
      <c r="DG200">
        <f>IF(IF(OR(IFERROR(SEARCH("Cleric",$T200,1),0)&gt;0,IFERROR(SEARCH(DivineDomain&amp;",",$T200,1),0)&gt;0),1,0)*IF($C200=DG$2,1,0)=1,1+COUNTIF(DG$3:DG199,"&gt;0"),0)</f>
        <v>0</v>
      </c>
      <c r="DH200">
        <f>IF(IF(OR(IFERROR(SEARCH("Cleric",$T200,1),0)&gt;0,IFERROR(SEARCH(DivineDomain&amp;",",$T200,1),0)&gt;0),1,0)*IF($C200=DH$2,1,0)=1,1+COUNTIF(DH$3:DH199,"&gt;0"),0)</f>
        <v>0</v>
      </c>
      <c r="DI200">
        <f>IF(IF(OR(IFERROR(SEARCH("Cleric",$T200,1),0)&gt;0,IFERROR(SEARCH(DivineDomain&amp;",",$T200,1),0)&gt;0),1,0)*IF($C200=DI$2,1,0)=1,1+COUNTIF(DI$3:DI199,"&gt;0"),0)</f>
        <v>0</v>
      </c>
      <c r="DJ200">
        <f>IF(IF(OR(IFERROR(SEARCH("Druid",$T200,1),0)&gt;0,IFERROR(SEARCH(DruidLand1,$T200,1),0)&gt;0,IFERROR(SEARCH(DruidLand2,$T200,1),0)&gt;0,IFERROR(SEARCH(DruidLand3,$T200,1),0)&gt;0,IFERROR(SEARCH(DruidLand4,$T200,1),0)&gt;0),1,0)*IF($C200=1,1,0)*IF($C200=DJ$2,1,0)=0,0,1+COUNTIF(DJ$3:DJ199,"&gt;0"))</f>
        <v>0</v>
      </c>
      <c r="DK200">
        <f>IF(IF(OR(IFERROR(SEARCH("Druid",$T200,1),0)&gt;0,IFERROR(SEARCH(DruidLand1,$T200,1),0)&gt;0,IFERROR(SEARCH(DruidLand2,$T200,1),0)&gt;0,IFERROR(SEARCH(DruidLand3,$T200,1),0)&gt;0,IFERROR(SEARCH(DruidLand4,$T200,1),0)&gt;0),1,0)*IF($C200=1,1,0)*IF($C200=DK$2,1,0)=0,0,1+COUNTIF(DK$3:DK199,"&gt;0"))</f>
        <v>0</v>
      </c>
      <c r="DL200">
        <f>IF(IF(OR(IFERROR(SEARCH("Druid",$T200,1),0)&gt;0,IFERROR(SEARCH(DruidLand1,$T200,1),0)&gt;0,IFERROR(SEARCH(DruidLand2,$T200,1),0)&gt;0,IFERROR(SEARCH(DruidLand3,$T200,1),0)&gt;0,IFERROR(SEARCH(DruidLand4,$T200,1),0)&gt;0),1,0)*IF($C200=1,1,0)*IF($C200=DL$2,1,0)=0,0,1+COUNTIF(DL$3:DL199,"&gt;0"))</f>
        <v>0</v>
      </c>
      <c r="DM200">
        <f>IF(IF(OR(IFERROR(SEARCH("Druid",$T200,1),0)&gt;0,IFERROR(SEARCH(DruidLand1,$T200,1),0)&gt;0,IFERROR(SEARCH(DruidLand2,$T200,1),0)&gt;0,IFERROR(SEARCH(DruidLand3,$T200,1),0)&gt;0,IFERROR(SEARCH(DruidLand4,$T200,1),0)&gt;0),1,0)*IF($C200=1,1,0)*IF($C200=DM$2,1,0)=0,0,1+COUNTIF(DM$3:DM199,"&gt;0"))</f>
        <v>0</v>
      </c>
      <c r="DN200">
        <f>IF(IF(OR(IFERROR(SEARCH("Druid",$T200,1),0)&gt;0,IFERROR(SEARCH(DruidLand1,$T200,1),0)&gt;0,IFERROR(SEARCH(DruidLand2,$T200,1),0)&gt;0,IFERROR(SEARCH(DruidLand3,$T200,1),0)&gt;0,IFERROR(SEARCH(DruidLand4,$T200,1),0)&gt;0),1,0)*IF($C200=1,1,0)*IF($C200=DN$2,1,0)=0,0,1+COUNTIF(DN$3:DN199,"&gt;0"))</f>
        <v>0</v>
      </c>
      <c r="DO200">
        <f>IF(IF(OR(IFERROR(SEARCH("Druid",$T200,1),0)&gt;0,IFERROR(SEARCH(DruidLand1,$T200,1),0)&gt;0,IFERROR(SEARCH(DruidLand2,$T200,1),0)&gt;0,IFERROR(SEARCH(DruidLand3,$T200,1),0)&gt;0,IFERROR(SEARCH(DruidLand4,$T200,1),0)&gt;0),1,0)*IF($C200=1,1,0)*IF($C200=DO$2,1,0)=0,0,1+COUNTIF(DO$3:DO199,"&gt;0"))</f>
        <v>0</v>
      </c>
      <c r="DP200">
        <f>IF(IF(OR(IFERROR(SEARCH("Druid",$T200,1),0)&gt;0,IFERROR(SEARCH(DruidLand1,$T200,1),0)&gt;0,IFERROR(SEARCH(DruidLand2,$T200,1),0)&gt;0,IFERROR(SEARCH(DruidLand3,$T200,1),0)&gt;0,IFERROR(SEARCH(DruidLand4,$T200,1),0)&gt;0),1,0)*IF($C200=1,1,0)*IF($C200=DP$2,1,0)=0,0,1+COUNTIF(DP$3:DP199,"&gt;0"))</f>
        <v>0</v>
      </c>
      <c r="DQ200">
        <f>IF(IF(OR(IFERROR(SEARCH("Druid",$T200,1),0)&gt;0,IFERROR(SEARCH(DruidLand1,$T200,1),0)&gt;0,IFERROR(SEARCH(DruidLand2,$T200,1),0)&gt;0,IFERROR(SEARCH(DruidLand3,$T200,1),0)&gt;0,IFERROR(SEARCH(DruidLand4,$T200,1),0)&gt;0),1,0)*IF($C200=1,1,0)*IF($C200=DQ$2,1,0)=0,0,1+COUNTIF(DQ$3:DQ199,"&gt;0"))</f>
        <v>0</v>
      </c>
      <c r="DR200">
        <f>IF(IF(OR(IFERROR(SEARCH("Druid",$T200,1),0)&gt;0,IFERROR(SEARCH(DruidLand1,$T200,1),0)&gt;0,IFERROR(SEARCH(DruidLand2,$T200,1),0)&gt;0,IFERROR(SEARCH(DruidLand3,$T200,1),0)&gt;0,IFERROR(SEARCH(DruidLand4,$T200,1),0)&gt;0),1,0)*IF($C200=1,1,0)*IF($C200=DR$2,1,0)=0,0,1+COUNTIF(DR$3:DR199,"&gt;0"))</f>
        <v>0</v>
      </c>
      <c r="DS200">
        <f>IF(IF(OR(IFERROR(SEARCH("Paladin",$T200,1),0)&gt;0,IFERROR(SEARCH(PaladinOath,$T200,1),0)&gt;0),1,0)*IF($C200=DS$2,1,0)=1,1+COUNTIF(DS$3:DS199,"&gt;0"),0)</f>
        <v>0</v>
      </c>
      <c r="DT200">
        <f>IF(IF(OR(IFERROR(SEARCH("Paladin",$T200,1),0)&gt;0,IFERROR(SEARCH(PaladinOath,$T200,1),0)&gt;0),1,0)*IF($C200=DT$2,1,0)=1,1+COUNTIF(DT$3:DT199,"&gt;0"),0)</f>
        <v>0</v>
      </c>
      <c r="DU200">
        <f>IF(IF(OR(IFERROR(SEARCH("Paladin",$T200,1),0)&gt;0,IFERROR(SEARCH(PaladinOath,$T200,1),0)&gt;0),1,0)*IF($C200=DU$2,1,0)=1,1+COUNTIF(DU$3:DU199,"&gt;0"),0)</f>
        <v>0</v>
      </c>
      <c r="DV200">
        <f>IF(IF(OR(IFERROR(SEARCH("Paladin",$T200,1),0)&gt;0,IFERROR(SEARCH(PaladinOath,$T200,1),0)&gt;0),1,0)*IF($C200=DV$2,1,0)=1,1+COUNTIF(DV$3:DV199,"&gt;0"),0)</f>
        <v>0</v>
      </c>
      <c r="DW200">
        <f>IF(IF(OR(IFERROR(SEARCH("Paladin",$T200,1),0)&gt;0,IFERROR(SEARCH(PaladinOath,$T200,1),0)&gt;0),1,0)*IF($C200=DW$2,1,0)=1,1+COUNTIF(DW$3:DW199,"&gt;0"),0)</f>
        <v>0</v>
      </c>
      <c r="DY200">
        <f t="shared" si="166"/>
        <v>1</v>
      </c>
      <c r="DZ200">
        <f>IF(DY200=0,0,1+MAX(DZ$3:$DZ199))</f>
        <v>198</v>
      </c>
      <c r="EB200">
        <f t="shared" si="180"/>
        <v>0</v>
      </c>
      <c r="EC200">
        <f>IF(EB200=0,0,1+COUNTIF(EC$3:EC199,"&gt;0"))</f>
        <v>0</v>
      </c>
      <c r="ED200" t="str">
        <f t="shared" si="209"/>
        <v/>
      </c>
      <c r="EE200" t="str">
        <f t="shared" si="181"/>
        <v/>
      </c>
      <c r="EG200">
        <f t="shared" si="182"/>
        <v>0</v>
      </c>
      <c r="EH200">
        <f>IF(EG200=0,0,1+COUNTIF(EH$3:EH199,"&gt;0"))</f>
        <v>0</v>
      </c>
      <c r="EI200" t="str">
        <f t="shared" si="210"/>
        <v/>
      </c>
      <c r="EJ200" t="str">
        <f t="shared" si="183"/>
        <v/>
      </c>
      <c r="EL200">
        <f t="shared" si="184"/>
        <v>0</v>
      </c>
      <c r="EM200">
        <f>IF(EL200=0,0,1+COUNTIF(EM$3:EM199,"&gt;0"))</f>
        <v>0</v>
      </c>
      <c r="EN200" t="str">
        <f t="shared" si="211"/>
        <v/>
      </c>
      <c r="EO200" t="str">
        <f t="shared" si="185"/>
        <v/>
      </c>
      <c r="EQ200">
        <f t="shared" si="186"/>
        <v>0</v>
      </c>
      <c r="ER200">
        <f>IF(EQ200=0,0,1+COUNTIF(ER$3:ER199,"&gt;0"))</f>
        <v>0</v>
      </c>
      <c r="ES200" t="str">
        <f t="shared" si="212"/>
        <v/>
      </c>
      <c r="ET200" t="str">
        <f t="shared" si="187"/>
        <v/>
      </c>
      <c r="EV200">
        <f t="shared" si="188"/>
        <v>0</v>
      </c>
      <c r="EW200">
        <f>IF(EV200=0,0,1+COUNTIF(EW$3:EW199,"&gt;0"))</f>
        <v>0</v>
      </c>
      <c r="EX200" t="str">
        <f t="shared" si="213"/>
        <v/>
      </c>
      <c r="EY200" t="str">
        <f t="shared" si="189"/>
        <v/>
      </c>
      <c r="FA200">
        <f t="shared" si="190"/>
        <v>0</v>
      </c>
      <c r="FB200">
        <f>IF(FA200=0,0,1+COUNTIF(FB$3:FB199,"&gt;0"))</f>
        <v>0</v>
      </c>
      <c r="FC200" t="str">
        <f t="shared" si="214"/>
        <v/>
      </c>
      <c r="FD200" t="str">
        <f t="shared" si="191"/>
        <v/>
      </c>
      <c r="FF200">
        <f t="shared" si="192"/>
        <v>0</v>
      </c>
      <c r="FG200">
        <f>IF(FF200=0,0,1+COUNTIF(FG$3:FG199,"&gt;0"))</f>
        <v>0</v>
      </c>
      <c r="FH200" t="str">
        <f t="shared" si="215"/>
        <v/>
      </c>
      <c r="FI200" t="str">
        <f t="shared" si="193"/>
        <v/>
      </c>
      <c r="FK200">
        <f t="shared" si="194"/>
        <v>0</v>
      </c>
      <c r="FL200">
        <f>IF(FK200=0,0,1+COUNTIF(FL$3:FL199,"&gt;0"))</f>
        <v>0</v>
      </c>
      <c r="FM200" t="str">
        <f t="shared" si="216"/>
        <v/>
      </c>
      <c r="FN200" t="str">
        <f t="shared" si="195"/>
        <v/>
      </c>
      <c r="FP200">
        <f t="shared" si="196"/>
        <v>0</v>
      </c>
      <c r="FQ200">
        <f>IF(FP200=0,0,1+COUNTIF(FQ$3:FQ199,"&gt;0"))</f>
        <v>0</v>
      </c>
      <c r="FR200" t="str">
        <f t="shared" si="217"/>
        <v/>
      </c>
      <c r="FS200" t="str">
        <f t="shared" si="197"/>
        <v/>
      </c>
    </row>
    <row r="201" spans="1:175" x14ac:dyDescent="0.25">
      <c r="A201" s="347">
        <f t="shared" si="218"/>
        <v>199</v>
      </c>
      <c r="B201" s="348" t="s">
        <v>2579</v>
      </c>
      <c r="C201" s="348">
        <v>4</v>
      </c>
      <c r="D201" s="347">
        <v>4</v>
      </c>
      <c r="E201" s="627" t="s">
        <v>6952</v>
      </c>
      <c r="F201" s="346"/>
      <c r="G201" s="347" t="str">
        <f>""</f>
        <v/>
      </c>
      <c r="H201" s="347" t="s">
        <v>5912</v>
      </c>
      <c r="I201" s="347" t="s">
        <v>5298</v>
      </c>
      <c r="J201" s="347" t="str">
        <f t="shared" si="167"/>
        <v/>
      </c>
      <c r="K201" s="347" t="s">
        <v>5278</v>
      </c>
      <c r="L201" s="611" t="str">
        <f t="shared" si="168"/>
        <v>V, S, M, an exquisite chest, 3 feet by 2 feet by 2 feet, constructed from rare materials worth at least 5,000 gp, and a Tiny replica made from the same materials worth at least 50 gp</v>
      </c>
      <c r="M201" s="347" t="s">
        <v>2373</v>
      </c>
      <c r="N201" s="347" t="s">
        <v>2387</v>
      </c>
      <c r="O201" s="347" t="s">
        <v>1244</v>
      </c>
      <c r="P201" s="346" t="s">
        <v>5413</v>
      </c>
      <c r="Q201" s="347" t="s">
        <v>5271</v>
      </c>
      <c r="S201" s="346" t="s">
        <v>5748</v>
      </c>
      <c r="T201" s="346" t="str">
        <f t="shared" si="169"/>
        <v xml:space="preserve">Wizard, </v>
      </c>
      <c r="AD201" s="347" t="str">
        <f t="shared" si="198"/>
        <v>Leomund's Secret Chest</v>
      </c>
      <c r="AE201" t="str">
        <f>IF(IFERROR(MATCH($B201,temp!A$4:A$13,0),0)&gt;0,T08_Spells!AE$2,"")</f>
        <v/>
      </c>
      <c r="AF201" t="str">
        <f>IF(IFERROR(MATCH($B201,temp!B$4:B$13,0),0)&gt;0,T08_Spells!AF$2,"")</f>
        <v/>
      </c>
      <c r="AG201" t="str">
        <f>IF(IFERROR(MATCH($B201,temp!C$4:C$13,0),0)&gt;0,T08_Spells!AG$2,"")</f>
        <v/>
      </c>
      <c r="AH201" t="str">
        <f>IF(IFERROR(MATCH($B201,temp!D$4:D$13,0),0)&gt;0,T08_Spells!AH$2,"")</f>
        <v/>
      </c>
      <c r="AI201" t="str">
        <f>IF(IFERROR(MATCH($B201,temp!E$4:E$13,0),0)&gt;0,T08_Spells!AI$2,"")</f>
        <v/>
      </c>
      <c r="AJ201" t="str">
        <f>IF(IFERROR(MATCH($B201,temp!F$4:F$13,0),0)&gt;0,T08_Spells!AJ$2,"")</f>
        <v/>
      </c>
      <c r="AK201" t="str">
        <f>IF(IFERROR(MATCH($B201,temp!G$4:G$13,0),0)&gt;0,T08_Spells!AK$2,"")</f>
        <v/>
      </c>
      <c r="AL201" t="str">
        <f>IF(IFERROR(MATCH($B201,temp!H$4:H$13,0),0)&gt;0,T08_Spells!AL$2,"")</f>
        <v/>
      </c>
      <c r="AM201" t="str">
        <f>IF(IFERROR(MATCH($B201,temp!I$4:I$13,0),0)&gt;0,T08_Spells!AM$2,"")</f>
        <v/>
      </c>
      <c r="AN201" t="str">
        <f>IF(IFERROR(MATCH($B201,temp!J$4:J$13,0),0)&gt;0,T08_Spells!AN$2,"")</f>
        <v/>
      </c>
      <c r="AO201" t="str">
        <f>IF(IFERROR(MATCH($B201,temp!K$4:K$13,0),0)&gt;0,T08_Spells!AO$2,"")</f>
        <v/>
      </c>
      <c r="AP201" t="str">
        <f>IF(IFERROR(MATCH($B201,temp!L$4:L$13,0),0)&gt;0,T08_Spells!AP$2,"")</f>
        <v/>
      </c>
      <c r="AQ201" t="str">
        <f>IF(IFERROR(MATCH($B201,temp!M$4:M$13,0),0)&gt;0,T08_Spells!AQ$2,"")</f>
        <v/>
      </c>
      <c r="AR201" t="str">
        <f>IF(IFERROR(MATCH($B201,temp!N$4:N$13,0),0)&gt;0,T08_Spells!AR$2,"")</f>
        <v/>
      </c>
      <c r="AS201" t="str">
        <f>IF(IFERROR(MATCH($B201,temp!O$4:O$13,0),0)&gt;0,T08_Spells!AS$2,"")</f>
        <v/>
      </c>
      <c r="AT201" t="str">
        <f>IF(IFERROR(MATCH($B201,temp!P$4:P$13,0),0)&gt;0,T08_Spells!AT$2,"")</f>
        <v/>
      </c>
      <c r="AU201" t="str">
        <f>IF(IFERROR(MATCH($B201,temp!Q$4:Q$13,0),0)&gt;0,T08_Spells!AU$2,"")</f>
        <v/>
      </c>
      <c r="AV201" t="str">
        <f>IF(IFERROR(MATCH($B201,temp!R$4:R$13,0),0)&gt;0,T08_Spells!AV$2,"")</f>
        <v/>
      </c>
      <c r="AW201" t="str">
        <f>IF(IFERROR(MATCH($B201,temp!S$4:S$13,0),0)&gt;0,T08_Spells!AW$2,"")</f>
        <v/>
      </c>
      <c r="AX201" t="str">
        <f>IF(IFERROR(MATCH($B201,temp!T$4:T$13,0),0)&gt;0,T08_Spells!AX$2,"")</f>
        <v/>
      </c>
      <c r="AY201" t="str">
        <f>IF(IFERROR(MATCH($B201,temp!U$4:U$13,0),0)&gt;0,T08_Spells!AY$2,"")</f>
        <v/>
      </c>
      <c r="AZ201" t="str">
        <f>IF(IFERROR(MATCH($B201,temp!V$4:V$13,0),0)&gt;0,T08_Spells!AZ$2,"")</f>
        <v/>
      </c>
      <c r="BA201" t="str">
        <f>IF(IFERROR(MATCH($B201,temp!W$4:W$13,0),0)&gt;0,T08_Spells!BA$2,"")</f>
        <v/>
      </c>
      <c r="BC201">
        <f>IF(IFERROR(SEARCH("Ranger",$T201,1),0)&gt;0,1,0)*IF(RangerMaxSpellLevel&gt;=$C201,1,0)*IF(IFERROR(MATCH(B201,Character_Creation!$X$79:$X$382,0),0)&gt;0,0,1)</f>
        <v>0</v>
      </c>
      <c r="BD201">
        <f>IF(BC201=0,0,1+COUNTIF(BD$3:BD200,"&gt;0"))</f>
        <v>0</v>
      </c>
      <c r="BE201" t="str">
        <f t="shared" si="199"/>
        <v/>
      </c>
      <c r="BF201" t="str">
        <f t="shared" si="170"/>
        <v/>
      </c>
      <c r="BH201">
        <f>IF(IFERROR(SEARCH("Sorcerer",$T201,1),0)&gt;0,1,0)*IF(SorcererMaxSpellLevel&gt;=$C201,1,0)*IF(IFERROR(MATCH(B201,Character_Creation!$J$380:$J$394,0),0)&gt;0,0,1)</f>
        <v>0</v>
      </c>
      <c r="BI201">
        <f>IF(BH201=0,0,1+COUNTIF(BI$3:BI200,"&gt;0"))</f>
        <v>0</v>
      </c>
      <c r="BJ201" t="str">
        <f t="shared" si="200"/>
        <v/>
      </c>
      <c r="BK201" t="str">
        <f t="shared" si="171"/>
        <v/>
      </c>
      <c r="BM201">
        <f>IF(OR(IFERROR(SEARCH("Warlock",$T201,1),0)&gt;0,IFERROR(SEARCH(WarlockPatron,$T201,1),0)&gt;0),1,0)*IF(WarlockMaxSpellLevel&gt;=$C201,1,0)*IF(IFERROR(MATCH(B201,Character_Creation!$J$361:$J$375,0),0)&gt;0,0,1)</f>
        <v>0</v>
      </c>
      <c r="BN201">
        <f>IF(BM201=0,0,1+COUNTIF(BN$3:BN200,"&gt;0"))</f>
        <v>0</v>
      </c>
      <c r="BO201" t="str">
        <f t="shared" si="201"/>
        <v/>
      </c>
      <c r="BP201" t="str">
        <f t="shared" si="172"/>
        <v/>
      </c>
      <c r="BR201">
        <f>IF(IFERROR(SEARCH("Eldritch Knight",$T201,1),0)&gt;0,1,0)*IF(EldritchKnightMaxSpellLevel&gt;=$C201,1,0)*IF(IFERROR(MATCH($B201,Character_Creation!$J$350:$J$356,0),0)&gt;0,0,1)*IF(Character_Creation!$M$338&gt;0,1,0)</f>
        <v>0</v>
      </c>
      <c r="BS201">
        <f>IF(BR201=0,0,1+COUNTIF(BS$3:BS200,"&gt;0"))</f>
        <v>0</v>
      </c>
      <c r="BT201" t="str">
        <f t="shared" si="202"/>
        <v/>
      </c>
      <c r="BU201" t="str">
        <f t="shared" si="173"/>
        <v/>
      </c>
      <c r="BW201">
        <f>IF(IFERROR(SEARCH("Arcane Trickster",$T201,1),0)&gt;0,1,0)*IF(ArcaneTricksterMaxSpellLevel&gt;=$C201,1,0)*IF(IFERROR(MATCH($B201,Character_Creation!$J$350:$J$356,0),0)&gt;0,0,1)*IF(Character_Creation!$T$338&gt;0,1,0)</f>
        <v>0</v>
      </c>
      <c r="BX201">
        <f>IF(BW201=0,0,1+COUNTIF(BX$3:BX200,"&gt;0"))</f>
        <v>0</v>
      </c>
      <c r="BY201" t="str">
        <f t="shared" si="203"/>
        <v/>
      </c>
      <c r="BZ201" t="str">
        <f t="shared" si="174"/>
        <v/>
      </c>
      <c r="CB201">
        <f>IF(IFERROR(SEARCH("Wizard",$T201,1),0)&gt;0,1,0)*IF(C201&lt;=ArcaneTricksterMaxSpellLevel,1,0)*IF(IFERROR(MATCH($B201,Character_Creation!$J$350:$J$356,0),0)&gt;0,0,1)*IF(Character_Creation!$T$350&gt;0,1,0)</f>
        <v>0</v>
      </c>
      <c r="CC201">
        <f>IF(CB201=0,0,1+COUNTIF(CC$3:CC200,"&gt;0"))</f>
        <v>0</v>
      </c>
      <c r="CD201" t="str">
        <f t="shared" si="204"/>
        <v/>
      </c>
      <c r="CE201" t="str">
        <f t="shared" si="175"/>
        <v/>
      </c>
      <c r="CG201">
        <f>IF(IFERROR(SEARCH("Wizard",$T201,1),0)&gt;0,1,0)*IF($C201&lt;=EldritchKnightMaxSpellLevel,1,0)*IF(IFERROR(MATCH($B201,Character_Creation!$J$350:$J$356,0),0)&gt;0,0,1)*IF(Character_Creation!$M$350&gt;0,1,0)</f>
        <v>0</v>
      </c>
      <c r="CH201">
        <f>IF(CG201=0,0,1+COUNTIF(CH$3:CH200,"&gt;0"))</f>
        <v>0</v>
      </c>
      <c r="CI201" t="str">
        <f t="shared" si="205"/>
        <v/>
      </c>
      <c r="CJ201" t="str">
        <f t="shared" si="176"/>
        <v/>
      </c>
      <c r="CL201">
        <f>IF(IFERROR(SEARCH("Bard",$T201,1),0)&gt;0,1,0)*IF(BardMaxSpellLevel&gt;=$C201,1,0)*IF(IFERROR(MATCH(B201,Character_Creation!$C$341:$F$362,0),0)&gt;0,0,1)*IF(IFERROR(MATCH($B201,Character_Creation!$C$341:$C$362,0),0)&gt;0,0,1)</f>
        <v>0</v>
      </c>
      <c r="CM201">
        <f>IF(CL201=0,0,1+COUNTIF(CM$3:CM200,"&gt;0"))</f>
        <v>0</v>
      </c>
      <c r="CN201" t="str">
        <f t="shared" si="206"/>
        <v/>
      </c>
      <c r="CO201" t="str">
        <f t="shared" si="177"/>
        <v/>
      </c>
      <c r="CQ201">
        <f>IF(IFERROR(SEARCH("Wizard",$T201,1),0)&gt;0,1,0)*IF(WizardMaxSpellLevel&gt;=$C201,1,0)*IF(IFERROR(MATCH(B201,Character_Creation!$X$341:$X$400,0),0)&gt;0,0,1)*IF(SelectedWizardSpellLevel=$C201,1,0)</f>
        <v>0</v>
      </c>
      <c r="CR201">
        <f>IF(CQ201=0,0,1+COUNTIF(CR$3:CR200,"&gt;0"))</f>
        <v>0</v>
      </c>
      <c r="CS201" t="str">
        <f t="shared" si="207"/>
        <v/>
      </c>
      <c r="CT201" t="str">
        <f t="shared" si="178"/>
        <v/>
      </c>
      <c r="CV201">
        <f>IF(IFERROR(MATCH($B201,Character_Creation!$C$341:$C$362,0),0)&gt;0,0,1)*IF(OR(C201="Cantrip",C201&lt;=BardMaxSpellLevel),1,0)*IF(IFERROR(MATCH($B201,Character_Creation!$C$367:$C$374,0),0)&gt;0,0,1)</f>
        <v>0</v>
      </c>
      <c r="CW201">
        <f>IF(CV201=0,0,1+COUNTIF(CW$3:CW200,"&gt;0"))</f>
        <v>0</v>
      </c>
      <c r="CX201" t="str">
        <f t="shared" si="208"/>
        <v/>
      </c>
      <c r="CY201" t="str">
        <f t="shared" si="179"/>
        <v/>
      </c>
      <c r="DA201">
        <f>IF(IF(OR(IFERROR(SEARCH("Cleric",$T201,1),0)&gt;0,IFERROR(SEARCH(DivineDomain&amp;",",$T201,1),0)&gt;0),1,0)*IF($C201=DA$2,1,0)=1,1+COUNTIF(DA$3:DA200,"&gt;0"),0)</f>
        <v>0</v>
      </c>
      <c r="DB201">
        <f>IF(IF(OR(IFERROR(SEARCH("Cleric",$T201,1),0)&gt;0,IFERROR(SEARCH(DivineDomain&amp;",",$T201,1),0)&gt;0),1,0)*IF($C201=DB$2,1,0)=1,1+COUNTIF(DB$3:DB200,"&gt;0"),0)</f>
        <v>0</v>
      </c>
      <c r="DC201">
        <f>IF(IF(OR(IFERROR(SEARCH("Cleric",$T201,1),0)&gt;0,IFERROR(SEARCH(DivineDomain&amp;",",$T201,1),0)&gt;0),1,0)*IF($C201=DC$2,1,0)=1,1+COUNTIF(DC$3:DC200,"&gt;0"),0)</f>
        <v>0</v>
      </c>
      <c r="DD201">
        <f>IF(IF(OR(IFERROR(SEARCH("Cleric",$T201,1),0)&gt;0,IFERROR(SEARCH(DivineDomain&amp;",",$T201,1),0)&gt;0),1,0)*IF($C201=DD$2,1,0)=1,1+COUNTIF(DD$3:DD200,"&gt;0"),0)</f>
        <v>0</v>
      </c>
      <c r="DE201">
        <f>IF(IF(OR(IFERROR(SEARCH("Cleric",$T201,1),0)&gt;0,IFERROR(SEARCH(DivineDomain&amp;",",$T201,1),0)&gt;0),1,0)*IF($C201=DE$2,1,0)=1,1+COUNTIF(DE$3:DE200,"&gt;0"),0)</f>
        <v>0</v>
      </c>
      <c r="DF201">
        <f>IF(IF(OR(IFERROR(SEARCH("Cleric",$T201,1),0)&gt;0,IFERROR(SEARCH(DivineDomain&amp;",",$T201,1),0)&gt;0),1,0)*IF($C201=DF$2,1,0)=1,1+COUNTIF(DF$3:DF200,"&gt;0"),0)</f>
        <v>0</v>
      </c>
      <c r="DG201">
        <f>IF(IF(OR(IFERROR(SEARCH("Cleric",$T201,1),0)&gt;0,IFERROR(SEARCH(DivineDomain&amp;",",$T201,1),0)&gt;0),1,0)*IF($C201=DG$2,1,0)=1,1+COUNTIF(DG$3:DG200,"&gt;0"),0)</f>
        <v>0</v>
      </c>
      <c r="DH201">
        <f>IF(IF(OR(IFERROR(SEARCH("Cleric",$T201,1),0)&gt;0,IFERROR(SEARCH(DivineDomain&amp;",",$T201,1),0)&gt;0),1,0)*IF($C201=DH$2,1,0)=1,1+COUNTIF(DH$3:DH200,"&gt;0"),0)</f>
        <v>0</v>
      </c>
      <c r="DI201">
        <f>IF(IF(OR(IFERROR(SEARCH("Cleric",$T201,1),0)&gt;0,IFERROR(SEARCH(DivineDomain&amp;",",$T201,1),0)&gt;0),1,0)*IF($C201=DI$2,1,0)=1,1+COUNTIF(DI$3:DI200,"&gt;0"),0)</f>
        <v>0</v>
      </c>
      <c r="DJ201">
        <f>IF(IF(OR(IFERROR(SEARCH("Druid",$T201,1),0)&gt;0,IFERROR(SEARCH(DruidLand1,$T201,1),0)&gt;0,IFERROR(SEARCH(DruidLand2,$T201,1),0)&gt;0,IFERROR(SEARCH(DruidLand3,$T201,1),0)&gt;0,IFERROR(SEARCH(DruidLand4,$T201,1),0)&gt;0),1,0)*IF($C201=1,1,0)*IF($C201=DJ$2,1,0)=0,0,1+COUNTIF(DJ$3:DJ200,"&gt;0"))</f>
        <v>0</v>
      </c>
      <c r="DK201">
        <f>IF(IF(OR(IFERROR(SEARCH("Druid",$T201,1),0)&gt;0,IFERROR(SEARCH(DruidLand1,$T201,1),0)&gt;0,IFERROR(SEARCH(DruidLand2,$T201,1),0)&gt;0,IFERROR(SEARCH(DruidLand3,$T201,1),0)&gt;0,IFERROR(SEARCH(DruidLand4,$T201,1),0)&gt;0),1,0)*IF($C201=1,1,0)*IF($C201=DK$2,1,0)=0,0,1+COUNTIF(DK$3:DK200,"&gt;0"))</f>
        <v>0</v>
      </c>
      <c r="DL201">
        <f>IF(IF(OR(IFERROR(SEARCH("Druid",$T201,1),0)&gt;0,IFERROR(SEARCH(DruidLand1,$T201,1),0)&gt;0,IFERROR(SEARCH(DruidLand2,$T201,1),0)&gt;0,IFERROR(SEARCH(DruidLand3,$T201,1),0)&gt;0,IFERROR(SEARCH(DruidLand4,$T201,1),0)&gt;0),1,0)*IF($C201=1,1,0)*IF($C201=DL$2,1,0)=0,0,1+COUNTIF(DL$3:DL200,"&gt;0"))</f>
        <v>0</v>
      </c>
      <c r="DM201">
        <f>IF(IF(OR(IFERROR(SEARCH("Druid",$T201,1),0)&gt;0,IFERROR(SEARCH(DruidLand1,$T201,1),0)&gt;0,IFERROR(SEARCH(DruidLand2,$T201,1),0)&gt;0,IFERROR(SEARCH(DruidLand3,$T201,1),0)&gt;0,IFERROR(SEARCH(DruidLand4,$T201,1),0)&gt;0),1,0)*IF($C201=1,1,0)*IF($C201=DM$2,1,0)=0,0,1+COUNTIF(DM$3:DM200,"&gt;0"))</f>
        <v>0</v>
      </c>
      <c r="DN201">
        <f>IF(IF(OR(IFERROR(SEARCH("Druid",$T201,1),0)&gt;0,IFERROR(SEARCH(DruidLand1,$T201,1),0)&gt;0,IFERROR(SEARCH(DruidLand2,$T201,1),0)&gt;0,IFERROR(SEARCH(DruidLand3,$T201,1),0)&gt;0,IFERROR(SEARCH(DruidLand4,$T201,1),0)&gt;0),1,0)*IF($C201=1,1,0)*IF($C201=DN$2,1,0)=0,0,1+COUNTIF(DN$3:DN200,"&gt;0"))</f>
        <v>0</v>
      </c>
      <c r="DO201">
        <f>IF(IF(OR(IFERROR(SEARCH("Druid",$T201,1),0)&gt;0,IFERROR(SEARCH(DruidLand1,$T201,1),0)&gt;0,IFERROR(SEARCH(DruidLand2,$T201,1),0)&gt;0,IFERROR(SEARCH(DruidLand3,$T201,1),0)&gt;0,IFERROR(SEARCH(DruidLand4,$T201,1),0)&gt;0),1,0)*IF($C201=1,1,0)*IF($C201=DO$2,1,0)=0,0,1+COUNTIF(DO$3:DO200,"&gt;0"))</f>
        <v>0</v>
      </c>
      <c r="DP201">
        <f>IF(IF(OR(IFERROR(SEARCH("Druid",$T201,1),0)&gt;0,IFERROR(SEARCH(DruidLand1,$T201,1),0)&gt;0,IFERROR(SEARCH(DruidLand2,$T201,1),0)&gt;0,IFERROR(SEARCH(DruidLand3,$T201,1),0)&gt;0,IFERROR(SEARCH(DruidLand4,$T201,1),0)&gt;0),1,0)*IF($C201=1,1,0)*IF($C201=DP$2,1,0)=0,0,1+COUNTIF(DP$3:DP200,"&gt;0"))</f>
        <v>0</v>
      </c>
      <c r="DQ201">
        <f>IF(IF(OR(IFERROR(SEARCH("Druid",$T201,1),0)&gt;0,IFERROR(SEARCH(DruidLand1,$T201,1),0)&gt;0,IFERROR(SEARCH(DruidLand2,$T201,1),0)&gt;0,IFERROR(SEARCH(DruidLand3,$T201,1),0)&gt;0,IFERROR(SEARCH(DruidLand4,$T201,1),0)&gt;0),1,0)*IF($C201=1,1,0)*IF($C201=DQ$2,1,0)=0,0,1+COUNTIF(DQ$3:DQ200,"&gt;0"))</f>
        <v>0</v>
      </c>
      <c r="DR201">
        <f>IF(IF(OR(IFERROR(SEARCH("Druid",$T201,1),0)&gt;0,IFERROR(SEARCH(DruidLand1,$T201,1),0)&gt;0,IFERROR(SEARCH(DruidLand2,$T201,1),0)&gt;0,IFERROR(SEARCH(DruidLand3,$T201,1),0)&gt;0,IFERROR(SEARCH(DruidLand4,$T201,1),0)&gt;0),1,0)*IF($C201=1,1,0)*IF($C201=DR$2,1,0)=0,0,1+COUNTIF(DR$3:DR200,"&gt;0"))</f>
        <v>0</v>
      </c>
      <c r="DS201">
        <f>IF(IF(OR(IFERROR(SEARCH("Paladin",$T201,1),0)&gt;0,IFERROR(SEARCH(PaladinOath,$T201,1),0)&gt;0),1,0)*IF($C201=DS$2,1,0)=1,1+COUNTIF(DS$3:DS200,"&gt;0"),0)</f>
        <v>0</v>
      </c>
      <c r="DT201">
        <f>IF(IF(OR(IFERROR(SEARCH("Paladin",$T201,1),0)&gt;0,IFERROR(SEARCH(PaladinOath,$T201,1),0)&gt;0),1,0)*IF($C201=DT$2,1,0)=1,1+COUNTIF(DT$3:DT200,"&gt;0"),0)</f>
        <v>0</v>
      </c>
      <c r="DU201">
        <f>IF(IF(OR(IFERROR(SEARCH("Paladin",$T201,1),0)&gt;0,IFERROR(SEARCH(PaladinOath,$T201,1),0)&gt;0),1,0)*IF($C201=DU$2,1,0)=1,1+COUNTIF(DU$3:DU200,"&gt;0"),0)</f>
        <v>0</v>
      </c>
      <c r="DV201">
        <f>IF(IF(OR(IFERROR(SEARCH("Paladin",$T201,1),0)&gt;0,IFERROR(SEARCH(PaladinOath,$T201,1),0)&gt;0),1,0)*IF($C201=DV$2,1,0)=1,1+COUNTIF(DV$3:DV200,"&gt;0"),0)</f>
        <v>0</v>
      </c>
      <c r="DW201">
        <f>IF(IF(OR(IFERROR(SEARCH("Paladin",$T201,1),0)&gt;0,IFERROR(SEARCH(PaladinOath,$T201,1),0)&gt;0),1,0)*IF($C201=DW$2,1,0)=1,1+COUNTIF(DW$3:DW200,"&gt;0"),0)</f>
        <v>0</v>
      </c>
      <c r="DY201">
        <f t="shared" si="166"/>
        <v>1</v>
      </c>
      <c r="DZ201">
        <f>IF(DY201=0,0,1+MAX(DZ$3:$DZ200))</f>
        <v>199</v>
      </c>
      <c r="EB201">
        <f t="shared" si="180"/>
        <v>0</v>
      </c>
      <c r="EC201">
        <f>IF(EB201=0,0,1+COUNTIF(EC$3:EC200,"&gt;0"))</f>
        <v>0</v>
      </c>
      <c r="ED201" t="str">
        <f t="shared" si="209"/>
        <v/>
      </c>
      <c r="EE201" t="str">
        <f t="shared" si="181"/>
        <v/>
      </c>
      <c r="EG201">
        <f t="shared" si="182"/>
        <v>0</v>
      </c>
      <c r="EH201">
        <f>IF(EG201=0,0,1+COUNTIF(EH$3:EH200,"&gt;0"))</f>
        <v>0</v>
      </c>
      <c r="EI201" t="str">
        <f t="shared" si="210"/>
        <v/>
      </c>
      <c r="EJ201" t="str">
        <f t="shared" si="183"/>
        <v/>
      </c>
      <c r="EL201">
        <f t="shared" si="184"/>
        <v>0</v>
      </c>
      <c r="EM201">
        <f>IF(EL201=0,0,1+COUNTIF(EM$3:EM200,"&gt;0"))</f>
        <v>0</v>
      </c>
      <c r="EN201" t="str">
        <f t="shared" si="211"/>
        <v/>
      </c>
      <c r="EO201" t="str">
        <f t="shared" si="185"/>
        <v/>
      </c>
      <c r="EQ201">
        <f t="shared" si="186"/>
        <v>0</v>
      </c>
      <c r="ER201">
        <f>IF(EQ201=0,0,1+COUNTIF(ER$3:ER200,"&gt;0"))</f>
        <v>0</v>
      </c>
      <c r="ES201" t="str">
        <f t="shared" si="212"/>
        <v/>
      </c>
      <c r="ET201" t="str">
        <f t="shared" si="187"/>
        <v/>
      </c>
      <c r="EV201">
        <f t="shared" si="188"/>
        <v>0</v>
      </c>
      <c r="EW201">
        <f>IF(EV201=0,0,1+COUNTIF(EW$3:EW200,"&gt;0"))</f>
        <v>0</v>
      </c>
      <c r="EX201" t="str">
        <f t="shared" si="213"/>
        <v/>
      </c>
      <c r="EY201" t="str">
        <f t="shared" si="189"/>
        <v/>
      </c>
      <c r="FA201">
        <f t="shared" si="190"/>
        <v>0</v>
      </c>
      <c r="FB201">
        <f>IF(FA201=0,0,1+COUNTIF(FB$3:FB200,"&gt;0"))</f>
        <v>0</v>
      </c>
      <c r="FC201" t="str">
        <f t="shared" si="214"/>
        <v/>
      </c>
      <c r="FD201" t="str">
        <f t="shared" si="191"/>
        <v/>
      </c>
      <c r="FF201">
        <f t="shared" si="192"/>
        <v>0</v>
      </c>
      <c r="FG201">
        <f>IF(FF201=0,0,1+COUNTIF(FG$3:FG200,"&gt;0"))</f>
        <v>0</v>
      </c>
      <c r="FH201" t="str">
        <f t="shared" si="215"/>
        <v/>
      </c>
      <c r="FI201" t="str">
        <f t="shared" si="193"/>
        <v/>
      </c>
      <c r="FK201">
        <f t="shared" si="194"/>
        <v>0</v>
      </c>
      <c r="FL201">
        <f>IF(FK201=0,0,1+COUNTIF(FL$3:FL200,"&gt;0"))</f>
        <v>0</v>
      </c>
      <c r="FM201" t="str">
        <f t="shared" si="216"/>
        <v/>
      </c>
      <c r="FN201" t="str">
        <f t="shared" si="195"/>
        <v/>
      </c>
      <c r="FP201">
        <f t="shared" si="196"/>
        <v>0</v>
      </c>
      <c r="FQ201">
        <f>IF(FP201=0,0,1+COUNTIF(FQ$3:FQ200,"&gt;0"))</f>
        <v>0</v>
      </c>
      <c r="FR201" t="str">
        <f t="shared" si="217"/>
        <v/>
      </c>
      <c r="FS201" t="str">
        <f t="shared" si="197"/>
        <v/>
      </c>
    </row>
    <row r="202" spans="1:175" x14ac:dyDescent="0.25">
      <c r="A202" s="347">
        <f t="shared" si="218"/>
        <v>200</v>
      </c>
      <c r="B202" s="348" t="s">
        <v>2580</v>
      </c>
      <c r="C202" s="348">
        <v>3</v>
      </c>
      <c r="D202" s="347">
        <v>3</v>
      </c>
      <c r="E202" s="627" t="s">
        <v>6952</v>
      </c>
      <c r="F202" s="346"/>
      <c r="G202" s="347" t="s">
        <v>5269</v>
      </c>
      <c r="H202" s="347" t="s">
        <v>5281</v>
      </c>
      <c r="I202" s="347" t="s">
        <v>5283</v>
      </c>
      <c r="J202" s="347" t="str">
        <f t="shared" si="167"/>
        <v/>
      </c>
      <c r="K202" s="347" t="s">
        <v>5279</v>
      </c>
      <c r="L202" s="611" t="str">
        <f t="shared" si="168"/>
        <v>V, S, M, a small crystal bead</v>
      </c>
      <c r="M202" s="347" t="s">
        <v>2373</v>
      </c>
      <c r="N202" s="347" t="s">
        <v>2387</v>
      </c>
      <c r="O202" s="347" t="s">
        <v>1244</v>
      </c>
      <c r="P202" s="346" t="s">
        <v>5414</v>
      </c>
      <c r="Q202" s="347" t="s">
        <v>5273</v>
      </c>
      <c r="S202" s="346" t="s">
        <v>5749</v>
      </c>
      <c r="T202" s="346" t="str">
        <f t="shared" si="169"/>
        <v xml:space="preserve">Bard, Eldritch Knight, Wizard, </v>
      </c>
      <c r="U202" s="347" t="str">
        <f>$B202</f>
        <v>Leomund's Tiny Hut</v>
      </c>
      <c r="AB202" s="542" t="str">
        <f>AD202</f>
        <v>Leomund's Tiny Hut</v>
      </c>
      <c r="AD202" s="347" t="str">
        <f t="shared" si="198"/>
        <v>Leomund's Tiny Hut</v>
      </c>
      <c r="AE202" t="str">
        <f>IF(IFERROR(MATCH($B202,temp!A$4:A$13,0),0)&gt;0,T08_Spells!AE$2,"")</f>
        <v/>
      </c>
      <c r="AF202" t="str">
        <f>IF(IFERROR(MATCH($B202,temp!B$4:B$13,0),0)&gt;0,T08_Spells!AF$2,"")</f>
        <v/>
      </c>
      <c r="AG202" t="str">
        <f>IF(IFERROR(MATCH($B202,temp!C$4:C$13,0),0)&gt;0,T08_Spells!AG$2,"")</f>
        <v/>
      </c>
      <c r="AH202" t="str">
        <f>IF(IFERROR(MATCH($B202,temp!D$4:D$13,0),0)&gt;0,T08_Spells!AH$2,"")</f>
        <v/>
      </c>
      <c r="AI202" t="str">
        <f>IF(IFERROR(MATCH($B202,temp!E$4:E$13,0),0)&gt;0,T08_Spells!AI$2,"")</f>
        <v/>
      </c>
      <c r="AJ202" t="str">
        <f>IF(IFERROR(MATCH($B202,temp!F$4:F$13,0),0)&gt;0,T08_Spells!AJ$2,"")</f>
        <v/>
      </c>
      <c r="AK202" t="str">
        <f>IF(IFERROR(MATCH($B202,temp!G$4:G$13,0),0)&gt;0,T08_Spells!AK$2,"")</f>
        <v/>
      </c>
      <c r="AL202" t="str">
        <f>IF(IFERROR(MATCH($B202,temp!H$4:H$13,0),0)&gt;0,T08_Spells!AL$2,"")</f>
        <v/>
      </c>
      <c r="AM202" t="str">
        <f>IF(IFERROR(MATCH($B202,temp!I$4:I$13,0),0)&gt;0,T08_Spells!AM$2,"")</f>
        <v/>
      </c>
      <c r="AN202" t="str">
        <f>IF(IFERROR(MATCH($B202,temp!J$4:J$13,0),0)&gt;0,T08_Spells!AN$2,"")</f>
        <v/>
      </c>
      <c r="AO202" t="str">
        <f>IF(IFERROR(MATCH($B202,temp!K$4:K$13,0),0)&gt;0,T08_Spells!AO$2,"")</f>
        <v/>
      </c>
      <c r="AP202" t="str">
        <f>IF(IFERROR(MATCH($B202,temp!L$4:L$13,0),0)&gt;0,T08_Spells!AP$2,"")</f>
        <v/>
      </c>
      <c r="AQ202" t="str">
        <f>IF(IFERROR(MATCH($B202,temp!M$4:M$13,0),0)&gt;0,T08_Spells!AQ$2,"")</f>
        <v/>
      </c>
      <c r="AR202" t="str">
        <f>IF(IFERROR(MATCH($B202,temp!N$4:N$13,0),0)&gt;0,T08_Spells!AR$2,"")</f>
        <v/>
      </c>
      <c r="AS202" t="str">
        <f>IF(IFERROR(MATCH($B202,temp!O$4:O$13,0),0)&gt;0,T08_Spells!AS$2,"")</f>
        <v/>
      </c>
      <c r="AT202" t="str">
        <f>IF(IFERROR(MATCH($B202,temp!P$4:P$13,0),0)&gt;0,T08_Spells!AT$2,"")</f>
        <v/>
      </c>
      <c r="AU202" t="str">
        <f>IF(IFERROR(MATCH($B202,temp!Q$4:Q$13,0),0)&gt;0,T08_Spells!AU$2,"")</f>
        <v/>
      </c>
      <c r="AV202" t="str">
        <f>IF(IFERROR(MATCH($B202,temp!R$4:R$13,0),0)&gt;0,T08_Spells!AV$2,"")</f>
        <v/>
      </c>
      <c r="AW202" t="str">
        <f>IF(IFERROR(MATCH($B202,temp!S$4:S$13,0),0)&gt;0,T08_Spells!AW$2,"")</f>
        <v/>
      </c>
      <c r="AX202" t="str">
        <f>IF(IFERROR(MATCH($B202,temp!T$4:T$13,0),0)&gt;0,T08_Spells!AX$2,"")</f>
        <v/>
      </c>
      <c r="AY202" t="str">
        <f>IF(IFERROR(MATCH($B202,temp!U$4:U$13,0),0)&gt;0,T08_Spells!AY$2,"")</f>
        <v/>
      </c>
      <c r="AZ202" t="str">
        <f>IF(IFERROR(MATCH($B202,temp!V$4:V$13,0),0)&gt;0,T08_Spells!AZ$2,"")</f>
        <v/>
      </c>
      <c r="BA202" t="str">
        <f>IF(IFERROR(MATCH($B202,temp!W$4:W$13,0),0)&gt;0,T08_Spells!BA$2,"")</f>
        <v/>
      </c>
      <c r="BC202">
        <f>IF(IFERROR(SEARCH("Ranger",$T202,1),0)&gt;0,1,0)*IF(RangerMaxSpellLevel&gt;=$C202,1,0)*IF(IFERROR(MATCH(B202,Character_Creation!$X$79:$X$382,0),0)&gt;0,0,1)</f>
        <v>0</v>
      </c>
      <c r="BD202">
        <f>IF(BC202=0,0,1+COUNTIF(BD$3:BD201,"&gt;0"))</f>
        <v>0</v>
      </c>
      <c r="BE202" t="str">
        <f t="shared" si="199"/>
        <v/>
      </c>
      <c r="BF202" t="str">
        <f t="shared" si="170"/>
        <v/>
      </c>
      <c r="BH202">
        <f>IF(IFERROR(SEARCH("Sorcerer",$T202,1),0)&gt;0,1,0)*IF(SorcererMaxSpellLevel&gt;=$C202,1,0)*IF(IFERROR(MATCH(B202,Character_Creation!$J$380:$J$394,0),0)&gt;0,0,1)</f>
        <v>0</v>
      </c>
      <c r="BI202">
        <f>IF(BH202=0,0,1+COUNTIF(BI$3:BI201,"&gt;0"))</f>
        <v>0</v>
      </c>
      <c r="BJ202" t="str">
        <f t="shared" si="200"/>
        <v/>
      </c>
      <c r="BK202" t="str">
        <f t="shared" si="171"/>
        <v/>
      </c>
      <c r="BM202">
        <f>IF(OR(IFERROR(SEARCH("Warlock",$T202,1),0)&gt;0,IFERROR(SEARCH(WarlockPatron,$T202,1),0)&gt;0),1,0)*IF(WarlockMaxSpellLevel&gt;=$C202,1,0)*IF(IFERROR(MATCH(B202,Character_Creation!$J$361:$J$375,0),0)&gt;0,0,1)</f>
        <v>0</v>
      </c>
      <c r="BN202">
        <f>IF(BM202=0,0,1+COUNTIF(BN$3:BN201,"&gt;0"))</f>
        <v>0</v>
      </c>
      <c r="BO202" t="str">
        <f t="shared" si="201"/>
        <v/>
      </c>
      <c r="BP202" t="str">
        <f t="shared" si="172"/>
        <v/>
      </c>
      <c r="BR202">
        <f>IF(IFERROR(SEARCH("Eldritch Knight",$T202,1),0)&gt;0,1,0)*IF(EldritchKnightMaxSpellLevel&gt;=$C202,1,0)*IF(IFERROR(MATCH($B202,Character_Creation!$J$350:$J$356,0),0)&gt;0,0,1)*IF(Character_Creation!$M$338&gt;0,1,0)</f>
        <v>0</v>
      </c>
      <c r="BS202">
        <f>IF(BR202=0,0,1+COUNTIF(BS$3:BS201,"&gt;0"))</f>
        <v>0</v>
      </c>
      <c r="BT202" t="str">
        <f t="shared" si="202"/>
        <v/>
      </c>
      <c r="BU202" t="str">
        <f t="shared" si="173"/>
        <v/>
      </c>
      <c r="BW202">
        <f>IF(IFERROR(SEARCH("Arcane Trickster",$T202,1),0)&gt;0,1,0)*IF(ArcaneTricksterMaxSpellLevel&gt;=$C202,1,0)*IF(IFERROR(MATCH($B202,Character_Creation!$J$350:$J$356,0),0)&gt;0,0,1)*IF(Character_Creation!$T$338&gt;0,1,0)</f>
        <v>0</v>
      </c>
      <c r="BX202">
        <f>IF(BW202=0,0,1+COUNTIF(BX$3:BX201,"&gt;0"))</f>
        <v>0</v>
      </c>
      <c r="BY202" t="str">
        <f t="shared" si="203"/>
        <v/>
      </c>
      <c r="BZ202" t="str">
        <f t="shared" si="174"/>
        <v/>
      </c>
      <c r="CB202">
        <f>IF(IFERROR(SEARCH("Wizard",$T202,1),0)&gt;0,1,0)*IF(C202&lt;=ArcaneTricksterMaxSpellLevel,1,0)*IF(IFERROR(MATCH($B202,Character_Creation!$J$350:$J$356,0),0)&gt;0,0,1)*IF(Character_Creation!$T$350&gt;0,1,0)</f>
        <v>0</v>
      </c>
      <c r="CC202">
        <f>IF(CB202=0,0,1+COUNTIF(CC$3:CC201,"&gt;0"))</f>
        <v>0</v>
      </c>
      <c r="CD202" t="str">
        <f t="shared" si="204"/>
        <v/>
      </c>
      <c r="CE202" t="str">
        <f t="shared" si="175"/>
        <v/>
      </c>
      <c r="CG202">
        <f>IF(IFERROR(SEARCH("Wizard",$T202,1),0)&gt;0,1,0)*IF($C202&lt;=EldritchKnightMaxSpellLevel,1,0)*IF(IFERROR(MATCH($B202,Character_Creation!$J$350:$J$356,0),0)&gt;0,0,1)*IF(Character_Creation!$M$350&gt;0,1,0)</f>
        <v>0</v>
      </c>
      <c r="CH202">
        <f>IF(CG202=0,0,1+COUNTIF(CH$3:CH201,"&gt;0"))</f>
        <v>0</v>
      </c>
      <c r="CI202" t="str">
        <f t="shared" si="205"/>
        <v/>
      </c>
      <c r="CJ202" t="str">
        <f t="shared" si="176"/>
        <v/>
      </c>
      <c r="CL202">
        <f>IF(IFERROR(SEARCH("Bard",$T202,1),0)&gt;0,1,0)*IF(BardMaxSpellLevel&gt;=$C202,1,0)*IF(IFERROR(MATCH(B202,Character_Creation!$C$341:$F$362,0),0)&gt;0,0,1)*IF(IFERROR(MATCH($B202,Character_Creation!$C$341:$C$362,0),0)&gt;0,0,1)</f>
        <v>0</v>
      </c>
      <c r="CM202">
        <f>IF(CL202=0,0,1+COUNTIF(CM$3:CM201,"&gt;0"))</f>
        <v>0</v>
      </c>
      <c r="CN202" t="str">
        <f t="shared" si="206"/>
        <v/>
      </c>
      <c r="CO202" t="str">
        <f t="shared" si="177"/>
        <v/>
      </c>
      <c r="CQ202">
        <f>IF(IFERROR(SEARCH("Wizard",$T202,1),0)&gt;0,1,0)*IF(WizardMaxSpellLevel&gt;=$C202,1,0)*IF(IFERROR(MATCH(B202,Character_Creation!$X$341:$X$400,0),0)&gt;0,0,1)*IF(SelectedWizardSpellLevel=$C202,1,0)</f>
        <v>1</v>
      </c>
      <c r="CR202">
        <f>IF(CQ202=0,0,1+COUNTIF(CR$3:CR201,"&gt;0"))</f>
        <v>13</v>
      </c>
      <c r="CS202" t="str">
        <f t="shared" si="207"/>
        <v/>
      </c>
      <c r="CT202" t="str">
        <f t="shared" si="178"/>
        <v/>
      </c>
      <c r="CV202">
        <f>IF(IFERROR(MATCH($B202,Character_Creation!$C$341:$C$362,0),0)&gt;0,0,1)*IF(OR(C202="Cantrip",C202&lt;=BardMaxSpellLevel),1,0)*IF(IFERROR(MATCH($B202,Character_Creation!$C$367:$C$374,0),0)&gt;0,0,1)</f>
        <v>0</v>
      </c>
      <c r="CW202">
        <f>IF(CV202=0,0,1+COUNTIF(CW$3:CW201,"&gt;0"))</f>
        <v>0</v>
      </c>
      <c r="CX202" t="str">
        <f t="shared" si="208"/>
        <v/>
      </c>
      <c r="CY202" t="str">
        <f t="shared" si="179"/>
        <v/>
      </c>
      <c r="DA202">
        <f>IF(IF(OR(IFERROR(SEARCH("Cleric",$T202,1),0)&gt;0,IFERROR(SEARCH(DivineDomain&amp;",",$T202,1),0)&gt;0),1,0)*IF($C202=DA$2,1,0)=1,1+COUNTIF(DA$3:DA201,"&gt;0"),0)</f>
        <v>0</v>
      </c>
      <c r="DB202">
        <f>IF(IF(OR(IFERROR(SEARCH("Cleric",$T202,1),0)&gt;0,IFERROR(SEARCH(DivineDomain&amp;",",$T202,1),0)&gt;0),1,0)*IF($C202=DB$2,1,0)=1,1+COUNTIF(DB$3:DB201,"&gt;0"),0)</f>
        <v>0</v>
      </c>
      <c r="DC202">
        <f>IF(IF(OR(IFERROR(SEARCH("Cleric",$T202,1),0)&gt;0,IFERROR(SEARCH(DivineDomain&amp;",",$T202,1),0)&gt;0),1,0)*IF($C202=DC$2,1,0)=1,1+COUNTIF(DC$3:DC201,"&gt;0"),0)</f>
        <v>0</v>
      </c>
      <c r="DD202">
        <f>IF(IF(OR(IFERROR(SEARCH("Cleric",$T202,1),0)&gt;0,IFERROR(SEARCH(DivineDomain&amp;",",$T202,1),0)&gt;0),1,0)*IF($C202=DD$2,1,0)=1,1+COUNTIF(DD$3:DD201,"&gt;0"),0)</f>
        <v>0</v>
      </c>
      <c r="DE202">
        <f>IF(IF(OR(IFERROR(SEARCH("Cleric",$T202,1),0)&gt;0,IFERROR(SEARCH(DivineDomain&amp;",",$T202,1),0)&gt;0),1,0)*IF($C202=DE$2,1,0)=1,1+COUNTIF(DE$3:DE201,"&gt;0"),0)</f>
        <v>0</v>
      </c>
      <c r="DF202">
        <f>IF(IF(OR(IFERROR(SEARCH("Cleric",$T202,1),0)&gt;0,IFERROR(SEARCH(DivineDomain&amp;",",$T202,1),0)&gt;0),1,0)*IF($C202=DF$2,1,0)=1,1+COUNTIF(DF$3:DF201,"&gt;0"),0)</f>
        <v>0</v>
      </c>
      <c r="DG202">
        <f>IF(IF(OR(IFERROR(SEARCH("Cleric",$T202,1),0)&gt;0,IFERROR(SEARCH(DivineDomain&amp;",",$T202,1),0)&gt;0),1,0)*IF($C202=DG$2,1,0)=1,1+COUNTIF(DG$3:DG201,"&gt;0"),0)</f>
        <v>0</v>
      </c>
      <c r="DH202">
        <f>IF(IF(OR(IFERROR(SEARCH("Cleric",$T202,1),0)&gt;0,IFERROR(SEARCH(DivineDomain&amp;",",$T202,1),0)&gt;0),1,0)*IF($C202=DH$2,1,0)=1,1+COUNTIF(DH$3:DH201,"&gt;0"),0)</f>
        <v>0</v>
      </c>
      <c r="DI202">
        <f>IF(IF(OR(IFERROR(SEARCH("Cleric",$T202,1),0)&gt;0,IFERROR(SEARCH(DivineDomain&amp;",",$T202,1),0)&gt;0),1,0)*IF($C202=DI$2,1,0)=1,1+COUNTIF(DI$3:DI201,"&gt;0"),0)</f>
        <v>0</v>
      </c>
      <c r="DJ202">
        <f>IF(IF(OR(IFERROR(SEARCH("Druid",$T202,1),0)&gt;0,IFERROR(SEARCH(DruidLand1,$T202,1),0)&gt;0,IFERROR(SEARCH(DruidLand2,$T202,1),0)&gt;0,IFERROR(SEARCH(DruidLand3,$T202,1),0)&gt;0,IFERROR(SEARCH(DruidLand4,$T202,1),0)&gt;0),1,0)*IF($C202=1,1,0)*IF($C202=DJ$2,1,0)=0,0,1+COUNTIF(DJ$3:DJ201,"&gt;0"))</f>
        <v>0</v>
      </c>
      <c r="DK202">
        <f>IF(IF(OR(IFERROR(SEARCH("Druid",$T202,1),0)&gt;0,IFERROR(SEARCH(DruidLand1,$T202,1),0)&gt;0,IFERROR(SEARCH(DruidLand2,$T202,1),0)&gt;0,IFERROR(SEARCH(DruidLand3,$T202,1),0)&gt;0,IFERROR(SEARCH(DruidLand4,$T202,1),0)&gt;0),1,0)*IF($C202=1,1,0)*IF($C202=DK$2,1,0)=0,0,1+COUNTIF(DK$3:DK201,"&gt;0"))</f>
        <v>0</v>
      </c>
      <c r="DL202">
        <f>IF(IF(OR(IFERROR(SEARCH("Druid",$T202,1),0)&gt;0,IFERROR(SEARCH(DruidLand1,$T202,1),0)&gt;0,IFERROR(SEARCH(DruidLand2,$T202,1),0)&gt;0,IFERROR(SEARCH(DruidLand3,$T202,1),0)&gt;0,IFERROR(SEARCH(DruidLand4,$T202,1),0)&gt;0),1,0)*IF($C202=1,1,0)*IF($C202=DL$2,1,0)=0,0,1+COUNTIF(DL$3:DL201,"&gt;0"))</f>
        <v>0</v>
      </c>
      <c r="DM202">
        <f>IF(IF(OR(IFERROR(SEARCH("Druid",$T202,1),0)&gt;0,IFERROR(SEARCH(DruidLand1,$T202,1),0)&gt;0,IFERROR(SEARCH(DruidLand2,$T202,1),0)&gt;0,IFERROR(SEARCH(DruidLand3,$T202,1),0)&gt;0,IFERROR(SEARCH(DruidLand4,$T202,1),0)&gt;0),1,0)*IF($C202=1,1,0)*IF($C202=DM$2,1,0)=0,0,1+COUNTIF(DM$3:DM201,"&gt;0"))</f>
        <v>0</v>
      </c>
      <c r="DN202">
        <f>IF(IF(OR(IFERROR(SEARCH("Druid",$T202,1),0)&gt;0,IFERROR(SEARCH(DruidLand1,$T202,1),0)&gt;0,IFERROR(SEARCH(DruidLand2,$T202,1),0)&gt;0,IFERROR(SEARCH(DruidLand3,$T202,1),0)&gt;0,IFERROR(SEARCH(DruidLand4,$T202,1),0)&gt;0),1,0)*IF($C202=1,1,0)*IF($C202=DN$2,1,0)=0,0,1+COUNTIF(DN$3:DN201,"&gt;0"))</f>
        <v>0</v>
      </c>
      <c r="DO202">
        <f>IF(IF(OR(IFERROR(SEARCH("Druid",$T202,1),0)&gt;0,IFERROR(SEARCH(DruidLand1,$T202,1),0)&gt;0,IFERROR(SEARCH(DruidLand2,$T202,1),0)&gt;0,IFERROR(SEARCH(DruidLand3,$T202,1),0)&gt;0,IFERROR(SEARCH(DruidLand4,$T202,1),0)&gt;0),1,0)*IF($C202=1,1,0)*IF($C202=DO$2,1,0)=0,0,1+COUNTIF(DO$3:DO201,"&gt;0"))</f>
        <v>0</v>
      </c>
      <c r="DP202">
        <f>IF(IF(OR(IFERROR(SEARCH("Druid",$T202,1),0)&gt;0,IFERROR(SEARCH(DruidLand1,$T202,1),0)&gt;0,IFERROR(SEARCH(DruidLand2,$T202,1),0)&gt;0,IFERROR(SEARCH(DruidLand3,$T202,1),0)&gt;0,IFERROR(SEARCH(DruidLand4,$T202,1),0)&gt;0),1,0)*IF($C202=1,1,0)*IF($C202=DP$2,1,0)=0,0,1+COUNTIF(DP$3:DP201,"&gt;0"))</f>
        <v>0</v>
      </c>
      <c r="DQ202">
        <f>IF(IF(OR(IFERROR(SEARCH("Druid",$T202,1),0)&gt;0,IFERROR(SEARCH(DruidLand1,$T202,1),0)&gt;0,IFERROR(SEARCH(DruidLand2,$T202,1),0)&gt;0,IFERROR(SEARCH(DruidLand3,$T202,1),0)&gt;0,IFERROR(SEARCH(DruidLand4,$T202,1),0)&gt;0),1,0)*IF($C202=1,1,0)*IF($C202=DQ$2,1,0)=0,0,1+COUNTIF(DQ$3:DQ201,"&gt;0"))</f>
        <v>0</v>
      </c>
      <c r="DR202">
        <f>IF(IF(OR(IFERROR(SEARCH("Druid",$T202,1),0)&gt;0,IFERROR(SEARCH(DruidLand1,$T202,1),0)&gt;0,IFERROR(SEARCH(DruidLand2,$T202,1),0)&gt;0,IFERROR(SEARCH(DruidLand3,$T202,1),0)&gt;0,IFERROR(SEARCH(DruidLand4,$T202,1),0)&gt;0),1,0)*IF($C202=1,1,0)*IF($C202=DR$2,1,0)=0,0,1+COUNTIF(DR$3:DR201,"&gt;0"))</f>
        <v>0</v>
      </c>
      <c r="DS202">
        <f>IF(IF(OR(IFERROR(SEARCH("Paladin",$T202,1),0)&gt;0,IFERROR(SEARCH(PaladinOath,$T202,1),0)&gt;0),1,0)*IF($C202=DS$2,1,0)=1,1+COUNTIF(DS$3:DS201,"&gt;0"),0)</f>
        <v>0</v>
      </c>
      <c r="DT202">
        <f>IF(IF(OR(IFERROR(SEARCH("Paladin",$T202,1),0)&gt;0,IFERROR(SEARCH(PaladinOath,$T202,1),0)&gt;0),1,0)*IF($C202=DT$2,1,0)=1,1+COUNTIF(DT$3:DT201,"&gt;0"),0)</f>
        <v>0</v>
      </c>
      <c r="DU202">
        <f>IF(IF(OR(IFERROR(SEARCH("Paladin",$T202,1),0)&gt;0,IFERROR(SEARCH(PaladinOath,$T202,1),0)&gt;0),1,0)*IF($C202=DU$2,1,0)=1,1+COUNTIF(DU$3:DU201,"&gt;0"),0)</f>
        <v>0</v>
      </c>
      <c r="DV202">
        <f>IF(IF(OR(IFERROR(SEARCH("Paladin",$T202,1),0)&gt;0,IFERROR(SEARCH(PaladinOath,$T202,1),0)&gt;0),1,0)*IF($C202=DV$2,1,0)=1,1+COUNTIF(DV$3:DV201,"&gt;0"),0)</f>
        <v>0</v>
      </c>
      <c r="DW202">
        <f>IF(IF(OR(IFERROR(SEARCH("Paladin",$T202,1),0)&gt;0,IFERROR(SEARCH(PaladinOath,$T202,1),0)&gt;0),1,0)*IF($C202=DW$2,1,0)=1,1+COUNTIF(DW$3:DW201,"&gt;0"),0)</f>
        <v>0</v>
      </c>
      <c r="DY202">
        <f t="shared" si="166"/>
        <v>1</v>
      </c>
      <c r="DZ202">
        <f>IF(DY202=0,0,1+MAX(DZ$3:$DZ201))</f>
        <v>200</v>
      </c>
      <c r="EB202">
        <f t="shared" si="180"/>
        <v>0</v>
      </c>
      <c r="EC202">
        <f>IF(EB202=0,0,1+COUNTIF(EC$3:EC201,"&gt;0"))</f>
        <v>0</v>
      </c>
      <c r="ED202" t="str">
        <f t="shared" si="209"/>
        <v/>
      </c>
      <c r="EE202" t="str">
        <f t="shared" si="181"/>
        <v/>
      </c>
      <c r="EG202">
        <f t="shared" si="182"/>
        <v>0</v>
      </c>
      <c r="EH202">
        <f>IF(EG202=0,0,1+COUNTIF(EH$3:EH201,"&gt;0"))</f>
        <v>0</v>
      </c>
      <c r="EI202" t="str">
        <f t="shared" si="210"/>
        <v/>
      </c>
      <c r="EJ202" t="str">
        <f t="shared" si="183"/>
        <v/>
      </c>
      <c r="EL202">
        <f t="shared" si="184"/>
        <v>0</v>
      </c>
      <c r="EM202">
        <f>IF(EL202=0,0,1+COUNTIF(EM$3:EM201,"&gt;0"))</f>
        <v>0</v>
      </c>
      <c r="EN202" t="str">
        <f t="shared" si="211"/>
        <v/>
      </c>
      <c r="EO202" t="str">
        <f t="shared" si="185"/>
        <v/>
      </c>
      <c r="EQ202">
        <f t="shared" si="186"/>
        <v>0</v>
      </c>
      <c r="ER202">
        <f>IF(EQ202=0,0,1+COUNTIF(ER$3:ER201,"&gt;0"))</f>
        <v>0</v>
      </c>
      <c r="ES202" t="str">
        <f t="shared" si="212"/>
        <v/>
      </c>
      <c r="ET202" t="str">
        <f t="shared" si="187"/>
        <v/>
      </c>
      <c r="EV202">
        <f t="shared" si="188"/>
        <v>0</v>
      </c>
      <c r="EW202">
        <f>IF(EV202=0,0,1+COUNTIF(EW$3:EW201,"&gt;0"))</f>
        <v>0</v>
      </c>
      <c r="EX202" t="str">
        <f t="shared" si="213"/>
        <v/>
      </c>
      <c r="EY202" t="str">
        <f t="shared" si="189"/>
        <v/>
      </c>
      <c r="FA202">
        <f t="shared" si="190"/>
        <v>0</v>
      </c>
      <c r="FB202">
        <f>IF(FA202=0,0,1+COUNTIF(FB$3:FB201,"&gt;0"))</f>
        <v>0</v>
      </c>
      <c r="FC202" t="str">
        <f t="shared" si="214"/>
        <v/>
      </c>
      <c r="FD202" t="str">
        <f t="shared" si="191"/>
        <v/>
      </c>
      <c r="FF202">
        <f t="shared" si="192"/>
        <v>0</v>
      </c>
      <c r="FG202">
        <f>IF(FF202=0,0,1+COUNTIF(FG$3:FG201,"&gt;0"))</f>
        <v>0</v>
      </c>
      <c r="FH202" t="str">
        <f t="shared" si="215"/>
        <v/>
      </c>
      <c r="FI202" t="str">
        <f t="shared" si="193"/>
        <v/>
      </c>
      <c r="FK202">
        <f t="shared" si="194"/>
        <v>0</v>
      </c>
      <c r="FL202">
        <f>IF(FK202=0,0,1+COUNTIF(FL$3:FL201,"&gt;0"))</f>
        <v>0</v>
      </c>
      <c r="FM202" t="str">
        <f t="shared" si="216"/>
        <v/>
      </c>
      <c r="FN202" t="str">
        <f t="shared" si="195"/>
        <v/>
      </c>
      <c r="FP202">
        <f t="shared" si="196"/>
        <v>0</v>
      </c>
      <c r="FQ202">
        <f>IF(FP202=0,0,1+COUNTIF(FQ$3:FQ201,"&gt;0"))</f>
        <v>0</v>
      </c>
      <c r="FR202" t="str">
        <f t="shared" si="217"/>
        <v/>
      </c>
      <c r="FS202" t="str">
        <f t="shared" si="197"/>
        <v/>
      </c>
    </row>
    <row r="203" spans="1:175" x14ac:dyDescent="0.25">
      <c r="A203" s="347">
        <f t="shared" si="218"/>
        <v>201</v>
      </c>
      <c r="B203" s="348" t="s">
        <v>2581</v>
      </c>
      <c r="C203" s="348">
        <v>2</v>
      </c>
      <c r="D203" s="347">
        <v>2</v>
      </c>
      <c r="E203" s="627" t="s">
        <v>6952</v>
      </c>
      <c r="F203" s="346"/>
      <c r="G203" s="347" t="str">
        <f>""</f>
        <v/>
      </c>
      <c r="H203" s="347" t="s">
        <v>5912</v>
      </c>
      <c r="I203" s="347" t="s">
        <v>5298</v>
      </c>
      <c r="J203" s="347" t="str">
        <f t="shared" si="167"/>
        <v/>
      </c>
      <c r="K203" s="347" t="s">
        <v>5278</v>
      </c>
      <c r="L203" s="611" t="str">
        <f t="shared" si="168"/>
        <v>V, S</v>
      </c>
      <c r="M203" s="347" t="s">
        <v>2373</v>
      </c>
      <c r="N203" s="347" t="s">
        <v>2387</v>
      </c>
      <c r="O203" s="347" t="s">
        <v>3034</v>
      </c>
      <c r="P203" s="346" t="str">
        <f>""</f>
        <v/>
      </c>
      <c r="Q203" s="347" t="s">
        <v>5270</v>
      </c>
      <c r="S203" s="346" t="s">
        <v>2582</v>
      </c>
      <c r="T203" s="346" t="str">
        <f t="shared" si="169"/>
        <v xml:space="preserve">Bard, Paladin, Ranger, Cleric, Druid, Devotion, Life, </v>
      </c>
      <c r="U203" s="347" t="str">
        <f>$B203</f>
        <v>Lesser Restoration</v>
      </c>
      <c r="V203" s="347" t="str">
        <f>$B203</f>
        <v>Lesser Restoration</v>
      </c>
      <c r="W203" s="347" t="str">
        <f>$B203</f>
        <v>Lesser Restoration</v>
      </c>
      <c r="Z203" s="347" t="str">
        <f>$B203</f>
        <v>Lesser Restoration</v>
      </c>
      <c r="AA203" s="347" t="str">
        <f>$B203</f>
        <v>Lesser Restoration</v>
      </c>
      <c r="AE203" t="str">
        <f>IF(IFERROR(MATCH($B203,temp!A$4:A$13,0),0)&gt;0,T08_Spells!AE$2,"")</f>
        <v>Devotion</v>
      </c>
      <c r="AF203" t="str">
        <f>IF(IFERROR(MATCH($B203,temp!B$4:B$13,0),0)&gt;0,T08_Spells!AF$2,"")</f>
        <v/>
      </c>
      <c r="AG203" t="str">
        <f>IF(IFERROR(MATCH($B203,temp!C$4:C$13,0),0)&gt;0,T08_Spells!AG$2,"")</f>
        <v/>
      </c>
      <c r="AH203" t="str">
        <f>IF(IFERROR(MATCH($B203,temp!D$4:D$13,0),0)&gt;0,T08_Spells!AH$2,"")</f>
        <v/>
      </c>
      <c r="AI203" t="str">
        <f>IF(IFERROR(MATCH($B203,temp!E$4:E$13,0),0)&gt;0,T08_Spells!AI$2,"")</f>
        <v/>
      </c>
      <c r="AJ203" t="str">
        <f>IF(IFERROR(MATCH($B203,temp!F$4:F$13,0),0)&gt;0,T08_Spells!AJ$2,"")</f>
        <v/>
      </c>
      <c r="AK203" t="str">
        <f>IF(IFERROR(MATCH($B203,temp!G$4:G$13,0),0)&gt;0,T08_Spells!AK$2,"")</f>
        <v/>
      </c>
      <c r="AL203" t="str">
        <f>IF(IFERROR(MATCH($B203,temp!H$4:H$13,0),0)&gt;0,T08_Spells!AL$2,"")</f>
        <v/>
      </c>
      <c r="AM203" t="str">
        <f>IF(IFERROR(MATCH($B203,temp!I$4:I$13,0),0)&gt;0,T08_Spells!AM$2,"")</f>
        <v/>
      </c>
      <c r="AN203" t="str">
        <f>IF(IFERROR(MATCH($B203,temp!J$4:J$13,0),0)&gt;0,T08_Spells!AN$2,"")</f>
        <v/>
      </c>
      <c r="AO203" t="str">
        <f>IF(IFERROR(MATCH($B203,temp!K$4:K$13,0),0)&gt;0,T08_Spells!AO$2,"")</f>
        <v/>
      </c>
      <c r="AP203" t="str">
        <f>IF(IFERROR(MATCH($B203,temp!L$4:L$13,0),0)&gt;0,T08_Spells!AP$2,"")</f>
        <v/>
      </c>
      <c r="AQ203" t="str">
        <f>IF(IFERROR(MATCH($B203,temp!M$4:M$13,0),0)&gt;0,T08_Spells!AQ$2,"")</f>
        <v/>
      </c>
      <c r="AR203" t="str">
        <f>IF(IFERROR(MATCH($B203,temp!N$4:N$13,0),0)&gt;0,T08_Spells!AR$2,"")</f>
        <v/>
      </c>
      <c r="AS203" t="str">
        <f>IF(IFERROR(MATCH($B203,temp!O$4:O$13,0),0)&gt;0,T08_Spells!AS$2,"")</f>
        <v/>
      </c>
      <c r="AT203" t="str">
        <f>IF(IFERROR(MATCH($B203,temp!P$4:P$13,0),0)&gt;0,T08_Spells!AT$2,"")</f>
        <v/>
      </c>
      <c r="AU203" t="str">
        <f>IF(IFERROR(MATCH($B203,temp!Q$4:Q$13,0),0)&gt;0,T08_Spells!AU$2,"")</f>
        <v>Life</v>
      </c>
      <c r="AV203" t="str">
        <f>IF(IFERROR(MATCH($B203,temp!R$4:R$13,0),0)&gt;0,T08_Spells!AV$2,"")</f>
        <v/>
      </c>
      <c r="AW203" t="str">
        <f>IF(IFERROR(MATCH($B203,temp!S$4:S$13,0),0)&gt;0,T08_Spells!AW$2,"")</f>
        <v/>
      </c>
      <c r="AX203" t="str">
        <f>IF(IFERROR(MATCH($B203,temp!T$4:T$13,0),0)&gt;0,T08_Spells!AX$2,"")</f>
        <v/>
      </c>
      <c r="AY203" t="str">
        <f>IF(IFERROR(MATCH($B203,temp!U$4:U$13,0),0)&gt;0,T08_Spells!AY$2,"")</f>
        <v/>
      </c>
      <c r="AZ203" t="str">
        <f>IF(IFERROR(MATCH($B203,temp!V$4:V$13,0),0)&gt;0,T08_Spells!AZ$2,"")</f>
        <v/>
      </c>
      <c r="BA203" t="str">
        <f>IF(IFERROR(MATCH($B203,temp!W$4:W$13,0),0)&gt;0,T08_Spells!BA$2,"")</f>
        <v/>
      </c>
      <c r="BC203">
        <f>IF(IFERROR(SEARCH("Ranger",$T203,1),0)&gt;0,1,0)*IF(RangerMaxSpellLevel&gt;=$C203,1,0)*IF(IFERROR(MATCH(B203,Character_Creation!$X$79:$X$382,0),0)&gt;0,0,1)</f>
        <v>0</v>
      </c>
      <c r="BD203">
        <f>IF(BC203=0,0,1+COUNTIF(BD$3:BD202,"&gt;0"))</f>
        <v>0</v>
      </c>
      <c r="BE203" t="str">
        <f t="shared" si="199"/>
        <v/>
      </c>
      <c r="BF203" t="str">
        <f t="shared" si="170"/>
        <v/>
      </c>
      <c r="BH203">
        <f>IF(IFERROR(SEARCH("Sorcerer",$T203,1),0)&gt;0,1,0)*IF(SorcererMaxSpellLevel&gt;=$C203,1,0)*IF(IFERROR(MATCH(B203,Character_Creation!$J$380:$J$394,0),0)&gt;0,0,1)</f>
        <v>0</v>
      </c>
      <c r="BI203">
        <f>IF(BH203=0,0,1+COUNTIF(BI$3:BI202,"&gt;0"))</f>
        <v>0</v>
      </c>
      <c r="BJ203" t="str">
        <f t="shared" si="200"/>
        <v/>
      </c>
      <c r="BK203" t="str">
        <f t="shared" si="171"/>
        <v/>
      </c>
      <c r="BM203">
        <f>IF(OR(IFERROR(SEARCH("Warlock",$T203,1),0)&gt;0,IFERROR(SEARCH(WarlockPatron,$T203,1),0)&gt;0),1,0)*IF(WarlockMaxSpellLevel&gt;=$C203,1,0)*IF(IFERROR(MATCH(B203,Character_Creation!$J$361:$J$375,0),0)&gt;0,0,1)</f>
        <v>0</v>
      </c>
      <c r="BN203">
        <f>IF(BM203=0,0,1+COUNTIF(BN$3:BN202,"&gt;0"))</f>
        <v>0</v>
      </c>
      <c r="BO203" t="str">
        <f t="shared" si="201"/>
        <v/>
      </c>
      <c r="BP203" t="str">
        <f t="shared" si="172"/>
        <v/>
      </c>
      <c r="BR203">
        <f>IF(IFERROR(SEARCH("Eldritch Knight",$T203,1),0)&gt;0,1,0)*IF(EldritchKnightMaxSpellLevel&gt;=$C203,1,0)*IF(IFERROR(MATCH($B203,Character_Creation!$J$350:$J$356,0),0)&gt;0,0,1)*IF(Character_Creation!$M$338&gt;0,1,0)</f>
        <v>0</v>
      </c>
      <c r="BS203">
        <f>IF(BR203=0,0,1+COUNTIF(BS$3:BS202,"&gt;0"))</f>
        <v>0</v>
      </c>
      <c r="BT203" t="str">
        <f t="shared" si="202"/>
        <v/>
      </c>
      <c r="BU203" t="str">
        <f t="shared" si="173"/>
        <v/>
      </c>
      <c r="BW203">
        <f>IF(IFERROR(SEARCH("Arcane Trickster",$T203,1),0)&gt;0,1,0)*IF(ArcaneTricksterMaxSpellLevel&gt;=$C203,1,0)*IF(IFERROR(MATCH($B203,Character_Creation!$J$350:$J$356,0),0)&gt;0,0,1)*IF(Character_Creation!$T$338&gt;0,1,0)</f>
        <v>0</v>
      </c>
      <c r="BX203">
        <f>IF(BW203=0,0,1+COUNTIF(BX$3:BX202,"&gt;0"))</f>
        <v>0</v>
      </c>
      <c r="BY203" t="str">
        <f t="shared" si="203"/>
        <v/>
      </c>
      <c r="BZ203" t="str">
        <f t="shared" si="174"/>
        <v/>
      </c>
      <c r="CB203">
        <f>IF(IFERROR(SEARCH("Wizard",$T203,1),0)&gt;0,1,0)*IF(C203&lt;=ArcaneTricksterMaxSpellLevel,1,0)*IF(IFERROR(MATCH($B203,Character_Creation!$J$350:$J$356,0),0)&gt;0,0,1)*IF(Character_Creation!$T$350&gt;0,1,0)</f>
        <v>0</v>
      </c>
      <c r="CC203">
        <f>IF(CB203=0,0,1+COUNTIF(CC$3:CC202,"&gt;0"))</f>
        <v>0</v>
      </c>
      <c r="CD203" t="str">
        <f t="shared" si="204"/>
        <v/>
      </c>
      <c r="CE203" t="str">
        <f t="shared" si="175"/>
        <v/>
      </c>
      <c r="CG203">
        <f>IF(IFERROR(SEARCH("Wizard",$T203,1),0)&gt;0,1,0)*IF($C203&lt;=EldritchKnightMaxSpellLevel,1,0)*IF(IFERROR(MATCH($B203,Character_Creation!$J$350:$J$356,0),0)&gt;0,0,1)*IF(Character_Creation!$M$350&gt;0,1,0)</f>
        <v>0</v>
      </c>
      <c r="CH203">
        <f>IF(CG203=0,0,1+COUNTIF(CH$3:CH202,"&gt;0"))</f>
        <v>0</v>
      </c>
      <c r="CI203" t="str">
        <f t="shared" si="205"/>
        <v/>
      </c>
      <c r="CJ203" t="str">
        <f t="shared" si="176"/>
        <v/>
      </c>
      <c r="CL203">
        <f>IF(IFERROR(SEARCH("Bard",$T203,1),0)&gt;0,1,0)*IF(BardMaxSpellLevel&gt;=$C203,1,0)*IF(IFERROR(MATCH(B203,Character_Creation!$C$341:$F$362,0),0)&gt;0,0,1)*IF(IFERROR(MATCH($B203,Character_Creation!$C$341:$C$362,0),0)&gt;0,0,1)</f>
        <v>0</v>
      </c>
      <c r="CM203">
        <f>IF(CL203=0,0,1+COUNTIF(CM$3:CM202,"&gt;0"))</f>
        <v>0</v>
      </c>
      <c r="CN203" t="str">
        <f t="shared" si="206"/>
        <v/>
      </c>
      <c r="CO203" t="str">
        <f t="shared" si="177"/>
        <v/>
      </c>
      <c r="CQ203">
        <f>IF(IFERROR(SEARCH("Wizard",$T203,1),0)&gt;0,1,0)*IF(WizardMaxSpellLevel&gt;=$C203,1,0)*IF(IFERROR(MATCH(B203,Character_Creation!$X$341:$X$400,0),0)&gt;0,0,1)*IF(SelectedWizardSpellLevel=$C203,1,0)</f>
        <v>0</v>
      </c>
      <c r="CR203">
        <f>IF(CQ203=0,0,1+COUNTIF(CR$3:CR202,"&gt;0"))</f>
        <v>0</v>
      </c>
      <c r="CS203" t="str">
        <f t="shared" si="207"/>
        <v/>
      </c>
      <c r="CT203" t="str">
        <f t="shared" si="178"/>
        <v/>
      </c>
      <c r="CV203">
        <f>IF(IFERROR(MATCH($B203,Character_Creation!$C$341:$C$362,0),0)&gt;0,0,1)*IF(OR(C203="Cantrip",C203&lt;=BardMaxSpellLevel),1,0)*IF(IFERROR(MATCH($B203,Character_Creation!$C$367:$C$374,0),0)&gt;0,0,1)</f>
        <v>0</v>
      </c>
      <c r="CW203">
        <f>IF(CV203=0,0,1+COUNTIF(CW$3:CW202,"&gt;0"))</f>
        <v>0</v>
      </c>
      <c r="CX203" t="str">
        <f t="shared" si="208"/>
        <v/>
      </c>
      <c r="CY203" t="str">
        <f t="shared" si="179"/>
        <v/>
      </c>
      <c r="DA203">
        <f>IF(IF(OR(IFERROR(SEARCH("Cleric",$T203,1),0)&gt;0,IFERROR(SEARCH(DivineDomain&amp;",",$T203,1),0)&gt;0),1,0)*IF($C203=DA$2,1,0)=1,1+COUNTIF(DA$3:DA202,"&gt;0"),0)</f>
        <v>0</v>
      </c>
      <c r="DB203">
        <f>IF(IF(OR(IFERROR(SEARCH("Cleric",$T203,1),0)&gt;0,IFERROR(SEARCH(DivineDomain&amp;",",$T203,1),0)&gt;0),1,0)*IF($C203=DB$2,1,0)=1,1+COUNTIF(DB$3:DB202,"&gt;0"),0)</f>
        <v>9</v>
      </c>
      <c r="DC203">
        <f>IF(IF(OR(IFERROR(SEARCH("Cleric",$T203,1),0)&gt;0,IFERROR(SEARCH(DivineDomain&amp;",",$T203,1),0)&gt;0),1,0)*IF($C203=DC$2,1,0)=1,1+COUNTIF(DC$3:DC202,"&gt;0"),0)</f>
        <v>0</v>
      </c>
      <c r="DD203">
        <f>IF(IF(OR(IFERROR(SEARCH("Cleric",$T203,1),0)&gt;0,IFERROR(SEARCH(DivineDomain&amp;",",$T203,1),0)&gt;0),1,0)*IF($C203=DD$2,1,0)=1,1+COUNTIF(DD$3:DD202,"&gt;0"),0)</f>
        <v>0</v>
      </c>
      <c r="DE203">
        <f>IF(IF(OR(IFERROR(SEARCH("Cleric",$T203,1),0)&gt;0,IFERROR(SEARCH(DivineDomain&amp;",",$T203,1),0)&gt;0),1,0)*IF($C203=DE$2,1,0)=1,1+COUNTIF(DE$3:DE202,"&gt;0"),0)</f>
        <v>0</v>
      </c>
      <c r="DF203">
        <f>IF(IF(OR(IFERROR(SEARCH("Cleric",$T203,1),0)&gt;0,IFERROR(SEARCH(DivineDomain&amp;",",$T203,1),0)&gt;0),1,0)*IF($C203=DF$2,1,0)=1,1+COUNTIF(DF$3:DF202,"&gt;0"),0)</f>
        <v>0</v>
      </c>
      <c r="DG203">
        <f>IF(IF(OR(IFERROR(SEARCH("Cleric",$T203,1),0)&gt;0,IFERROR(SEARCH(DivineDomain&amp;",",$T203,1),0)&gt;0),1,0)*IF($C203=DG$2,1,0)=1,1+COUNTIF(DG$3:DG202,"&gt;0"),0)</f>
        <v>0</v>
      </c>
      <c r="DH203">
        <f>IF(IF(OR(IFERROR(SEARCH("Cleric",$T203,1),0)&gt;0,IFERROR(SEARCH(DivineDomain&amp;",",$T203,1),0)&gt;0),1,0)*IF($C203=DH$2,1,0)=1,1+COUNTIF(DH$3:DH202,"&gt;0"),0)</f>
        <v>0</v>
      </c>
      <c r="DI203">
        <f>IF(IF(OR(IFERROR(SEARCH("Cleric",$T203,1),0)&gt;0,IFERROR(SEARCH(DivineDomain&amp;",",$T203,1),0)&gt;0),1,0)*IF($C203=DI$2,1,0)=1,1+COUNTIF(DI$3:DI202,"&gt;0"),0)</f>
        <v>0</v>
      </c>
      <c r="DJ203">
        <f>IF(IF(OR(IFERROR(SEARCH("Druid",$T203,1),0)&gt;0,IFERROR(SEARCH(DruidLand1,$T203,1),0)&gt;0,IFERROR(SEARCH(DruidLand2,$T203,1),0)&gt;0,IFERROR(SEARCH(DruidLand3,$T203,1),0)&gt;0,IFERROR(SEARCH(DruidLand4,$T203,1),0)&gt;0),1,0)*IF($C203=1,1,0)*IF($C203=DJ$2,1,0)=0,0,1+COUNTIF(DJ$3:DJ202,"&gt;0"))</f>
        <v>0</v>
      </c>
      <c r="DK203">
        <f>IF(IF(OR(IFERROR(SEARCH("Druid",$T203,1),0)&gt;0,IFERROR(SEARCH(DruidLand1,$T203,1),0)&gt;0,IFERROR(SEARCH(DruidLand2,$T203,1),0)&gt;0,IFERROR(SEARCH(DruidLand3,$T203,1),0)&gt;0,IFERROR(SEARCH(DruidLand4,$T203,1),0)&gt;0),1,0)*IF($C203=DK$2,1,0)=0,0,1+COUNTIF(DK$3:DK202,"&gt;0"))</f>
        <v>12</v>
      </c>
      <c r="DL203">
        <f>IF(IF(OR(IFERROR(SEARCH("Druid",$T203,1),0)&gt;0,IFERROR(SEARCH(DruidLand1,$T203,1),0)&gt;0,IFERROR(SEARCH(DruidLand2,$T203,1),0)&gt;0,IFERROR(SEARCH(DruidLand3,$T203,1),0)&gt;0,IFERROR(SEARCH(DruidLand4,$T203,1),0)&gt;0),1,0)*IF($C203=DL$2,1,0)=0,0,1+COUNTIF(DL$3:DL202,"&gt;0"))</f>
        <v>0</v>
      </c>
      <c r="DM203">
        <f>IF(IF(OR(IFERROR(SEARCH("Druid",$T203,1),0)&gt;0,IFERROR(SEARCH(DruidLand1,$T203,1),0)&gt;0,IFERROR(SEARCH(DruidLand2,$T203,1),0)&gt;0,IFERROR(SEARCH(DruidLand3,$T203,1),0)&gt;0,IFERROR(SEARCH(DruidLand4,$T203,1),0)&gt;0),1,0)*IF($C203=DM$2,1,0)=0,0,1+COUNTIF(DM$3:DM202,"&gt;0"))</f>
        <v>0</v>
      </c>
      <c r="DN203">
        <f>IF(IF(OR(IFERROR(SEARCH("Druid",$T203,1),0)&gt;0,IFERROR(SEARCH(DruidLand1,$T203,1),0)&gt;0,IFERROR(SEARCH(DruidLand2,$T203,1),0)&gt;0,IFERROR(SEARCH(DruidLand3,$T203,1),0)&gt;0,IFERROR(SEARCH(DruidLand4,$T203,1),0)&gt;0),1,0)*IF($C203=DN$2,1,0)=0,0,1+COUNTIF(DN$3:DN202,"&gt;0"))</f>
        <v>0</v>
      </c>
      <c r="DO203">
        <f>IF(IF(OR(IFERROR(SEARCH("Druid",$T203,1),0)&gt;0,IFERROR(SEARCH(DruidLand1,$T203,1),0)&gt;0,IFERROR(SEARCH(DruidLand2,$T203,1),0)&gt;0,IFERROR(SEARCH(DruidLand3,$T203,1),0)&gt;0,IFERROR(SEARCH(DruidLand4,$T203,1),0)&gt;0),1,0)*IF($C203=DO$2,1,0)=0,0,1+COUNTIF(DO$3:DO202,"&gt;0"))</f>
        <v>0</v>
      </c>
      <c r="DP203">
        <f>IF(IF(OR(IFERROR(SEARCH("Druid",$T203,1),0)&gt;0,IFERROR(SEARCH(DruidLand1,$T203,1),0)&gt;0,IFERROR(SEARCH(DruidLand2,$T203,1),0)&gt;0,IFERROR(SEARCH(DruidLand3,$T203,1),0)&gt;0,IFERROR(SEARCH(DruidLand4,$T203,1),0)&gt;0),1,0)*IF($C203=DP$2,1,0)=0,0,1+COUNTIF(DP$3:DP202,"&gt;0"))</f>
        <v>0</v>
      </c>
      <c r="DQ203">
        <f>IF(IF(OR(IFERROR(SEARCH("Druid",$T203,1),0)&gt;0,IFERROR(SEARCH(DruidLand1,$T203,1),0)&gt;0,IFERROR(SEARCH(DruidLand2,$T203,1),0)&gt;0,IFERROR(SEARCH(DruidLand3,$T203,1),0)&gt;0,IFERROR(SEARCH(DruidLand4,$T203,1),0)&gt;0),1,0)*IF($C203=DQ$2,1,0)=0,0,1+COUNTIF(DQ$3:DQ202,"&gt;0"))</f>
        <v>0</v>
      </c>
      <c r="DR203">
        <f>IF(IF(OR(IFERROR(SEARCH("Druid",$T203,1),0)&gt;0,IFERROR(SEARCH(DruidLand1,$T203,1),0)&gt;0,IFERROR(SEARCH(DruidLand2,$T203,1),0)&gt;0,IFERROR(SEARCH(DruidLand3,$T203,1),0)&gt;0,IFERROR(SEARCH(DruidLand4,$T203,1),0)&gt;0),1,0)*IF($C203=DR$2,1,0)=0,0,1+COUNTIF(DR$3:DR202,"&gt;0"))</f>
        <v>0</v>
      </c>
      <c r="DS203">
        <f>IF(IF(OR(IFERROR(SEARCH("Paladin",$T203,1),0)&gt;0,IFERROR(SEARCH(PaladinOath,$T203,1),0)&gt;0),1,0)*IF($C203=DS$2,1,0)=1,1+COUNTIF(DS$3:DS202,"&gt;0"),0)</f>
        <v>0</v>
      </c>
      <c r="DT203">
        <f>IF(IF(OR(IFERROR(SEARCH("Paladin",$T203,1),0)&gt;0,IFERROR(SEARCH(PaladinOath,$T203,1),0)&gt;0),1,0)*IF($C203=DT$2,1,0)=1,1+COUNTIF(DT$3:DT202,"&gt;0"),0)</f>
        <v>4</v>
      </c>
      <c r="DU203">
        <f>IF(IF(OR(IFERROR(SEARCH("Paladin",$T203,1),0)&gt;0,IFERROR(SEARCH(PaladinOath,$T203,1),0)&gt;0),1,0)*IF($C203=DU$2,1,0)=1,1+COUNTIF(DU$3:DU202,"&gt;0"),0)</f>
        <v>0</v>
      </c>
      <c r="DV203">
        <f>IF(IF(OR(IFERROR(SEARCH("Paladin",$T203,1),0)&gt;0,IFERROR(SEARCH(PaladinOath,$T203,1),0)&gt;0),1,0)*IF($C203=DV$2,1,0)=1,1+COUNTIF(DV$3:DV202,"&gt;0"),0)</f>
        <v>0</v>
      </c>
      <c r="DW203">
        <f>IF(IF(OR(IFERROR(SEARCH("Paladin",$T203,1),0)&gt;0,IFERROR(SEARCH(PaladinOath,$T203,1),0)&gt;0),1,0)*IF($C203=DW$2,1,0)=1,1+COUNTIF(DW$3:DW202,"&gt;0"),0)</f>
        <v>0</v>
      </c>
      <c r="DY203">
        <f t="shared" si="166"/>
        <v>1</v>
      </c>
      <c r="DZ203">
        <f>IF(DY203=0,0,1+MAX(DZ$3:$DZ202))</f>
        <v>201</v>
      </c>
      <c r="EB203">
        <f t="shared" si="180"/>
        <v>0</v>
      </c>
      <c r="EC203">
        <f>IF(EB203=0,0,1+COUNTIF(EC$3:EC202,"&gt;0"))</f>
        <v>0</v>
      </c>
      <c r="ED203" t="str">
        <f t="shared" si="209"/>
        <v/>
      </c>
      <c r="EE203" t="str">
        <f t="shared" si="181"/>
        <v/>
      </c>
      <c r="EG203">
        <f t="shared" si="182"/>
        <v>0</v>
      </c>
      <c r="EH203">
        <f>IF(EG203=0,0,1+COUNTIF(EH$3:EH202,"&gt;0"))</f>
        <v>0</v>
      </c>
      <c r="EI203" t="str">
        <f t="shared" si="210"/>
        <v/>
      </c>
      <c r="EJ203" t="str">
        <f t="shared" si="183"/>
        <v/>
      </c>
      <c r="EL203">
        <f t="shared" si="184"/>
        <v>0</v>
      </c>
      <c r="EM203">
        <f>IF(EL203=0,0,1+COUNTIF(EM$3:EM202,"&gt;0"))</f>
        <v>0</v>
      </c>
      <c r="EN203" t="str">
        <f t="shared" si="211"/>
        <v/>
      </c>
      <c r="EO203" t="str">
        <f t="shared" si="185"/>
        <v/>
      </c>
      <c r="EQ203">
        <f t="shared" si="186"/>
        <v>0</v>
      </c>
      <c r="ER203">
        <f>IF(EQ203=0,0,1+COUNTIF(ER$3:ER202,"&gt;0"))</f>
        <v>0</v>
      </c>
      <c r="ES203" t="str">
        <f t="shared" si="212"/>
        <v/>
      </c>
      <c r="ET203" t="str">
        <f t="shared" si="187"/>
        <v/>
      </c>
      <c r="EV203">
        <f t="shared" si="188"/>
        <v>0</v>
      </c>
      <c r="EW203">
        <f>IF(EV203=0,0,1+COUNTIF(EW$3:EW202,"&gt;0"))</f>
        <v>0</v>
      </c>
      <c r="EX203" t="str">
        <f t="shared" si="213"/>
        <v/>
      </c>
      <c r="EY203" t="str">
        <f t="shared" si="189"/>
        <v/>
      </c>
      <c r="FA203">
        <f t="shared" si="190"/>
        <v>0</v>
      </c>
      <c r="FB203">
        <f>IF(FA203=0,0,1+COUNTIF(FB$3:FB202,"&gt;0"))</f>
        <v>0</v>
      </c>
      <c r="FC203" t="str">
        <f t="shared" si="214"/>
        <v/>
      </c>
      <c r="FD203" t="str">
        <f t="shared" si="191"/>
        <v/>
      </c>
      <c r="FF203">
        <f t="shared" si="192"/>
        <v>0</v>
      </c>
      <c r="FG203">
        <f>IF(FF203=0,0,1+COUNTIF(FG$3:FG202,"&gt;0"))</f>
        <v>0</v>
      </c>
      <c r="FH203" t="str">
        <f t="shared" si="215"/>
        <v/>
      </c>
      <c r="FI203" t="str">
        <f t="shared" si="193"/>
        <v/>
      </c>
      <c r="FK203">
        <f t="shared" si="194"/>
        <v>0</v>
      </c>
      <c r="FL203">
        <f>IF(FK203=0,0,1+COUNTIF(FL$3:FL202,"&gt;0"))</f>
        <v>0</v>
      </c>
      <c r="FM203" t="str">
        <f t="shared" si="216"/>
        <v/>
      </c>
      <c r="FN203" t="str">
        <f t="shared" si="195"/>
        <v/>
      </c>
      <c r="FP203">
        <f t="shared" si="196"/>
        <v>0</v>
      </c>
      <c r="FQ203">
        <f>IF(FP203=0,0,1+COUNTIF(FQ$3:FQ202,"&gt;0"))</f>
        <v>0</v>
      </c>
      <c r="FR203" t="str">
        <f t="shared" si="217"/>
        <v/>
      </c>
      <c r="FS203" t="str">
        <f t="shared" si="197"/>
        <v/>
      </c>
    </row>
    <row r="204" spans="1:175" x14ac:dyDescent="0.25">
      <c r="A204" s="347">
        <f t="shared" si="218"/>
        <v>202</v>
      </c>
      <c r="B204" s="348" t="s">
        <v>2583</v>
      </c>
      <c r="C204" s="348">
        <v>2</v>
      </c>
      <c r="D204" s="347">
        <v>2</v>
      </c>
      <c r="E204" s="627" t="s">
        <v>6952</v>
      </c>
      <c r="F204" s="346"/>
      <c r="G204" s="347" t="str">
        <f>""</f>
        <v/>
      </c>
      <c r="H204" s="347" t="s">
        <v>5912</v>
      </c>
      <c r="I204" s="347" t="s">
        <v>424</v>
      </c>
      <c r="J204" s="347" t="str">
        <f t="shared" si="167"/>
        <v/>
      </c>
      <c r="K204" s="347" t="s">
        <v>5297</v>
      </c>
      <c r="L204" s="611" t="str">
        <f t="shared" si="168"/>
        <v>V, S, M, either a small leather loop or a piece of golden wire bent into a cup shape with a long shank on one end</v>
      </c>
      <c r="M204" s="347" t="s">
        <v>2373</v>
      </c>
      <c r="N204" s="347" t="s">
        <v>2387</v>
      </c>
      <c r="O204" s="347" t="s">
        <v>1244</v>
      </c>
      <c r="P204" s="346" t="s">
        <v>5415</v>
      </c>
      <c r="Q204" s="347" t="s">
        <v>5276</v>
      </c>
      <c r="S204" s="346" t="s">
        <v>5750</v>
      </c>
      <c r="T204" s="346" t="str">
        <f t="shared" si="169"/>
        <v xml:space="preserve">Sorcerer, Wizard, </v>
      </c>
      <c r="X204" s="347" t="str">
        <f>$B204</f>
        <v>Levitate</v>
      </c>
      <c r="AD204" s="347" t="str">
        <f>$B204</f>
        <v>Levitate</v>
      </c>
      <c r="AE204" t="str">
        <f>IF(IFERROR(MATCH($B204,temp!A$4:A$13,0),0)&gt;0,T08_Spells!AE$2,"")</f>
        <v/>
      </c>
      <c r="AF204" t="str">
        <f>IF(IFERROR(MATCH($B204,temp!B$4:B$13,0),0)&gt;0,T08_Spells!AF$2,"")</f>
        <v/>
      </c>
      <c r="AG204" t="str">
        <f>IF(IFERROR(MATCH($B204,temp!C$4:C$13,0),0)&gt;0,T08_Spells!AG$2,"")</f>
        <v/>
      </c>
      <c r="AH204" t="str">
        <f>IF(IFERROR(MATCH($B204,temp!D$4:D$13,0),0)&gt;0,T08_Spells!AH$2,"")</f>
        <v/>
      </c>
      <c r="AI204" t="str">
        <f>IF(IFERROR(MATCH($B204,temp!E$4:E$13,0),0)&gt;0,T08_Spells!AI$2,"")</f>
        <v/>
      </c>
      <c r="AJ204" t="str">
        <f>IF(IFERROR(MATCH($B204,temp!F$4:F$13,0),0)&gt;0,T08_Spells!AJ$2,"")</f>
        <v/>
      </c>
      <c r="AK204" t="str">
        <f>IF(IFERROR(MATCH($B204,temp!G$4:G$13,0),0)&gt;0,T08_Spells!AK$2,"")</f>
        <v/>
      </c>
      <c r="AL204" t="str">
        <f>IF(IFERROR(MATCH($B204,temp!H$4:H$13,0),0)&gt;0,T08_Spells!AL$2,"")</f>
        <v/>
      </c>
      <c r="AM204" t="str">
        <f>IF(IFERROR(MATCH($B204,temp!I$4:I$13,0),0)&gt;0,T08_Spells!AM$2,"")</f>
        <v/>
      </c>
      <c r="AN204" t="str">
        <f>IF(IFERROR(MATCH($B204,temp!J$4:J$13,0),0)&gt;0,T08_Spells!AN$2,"")</f>
        <v/>
      </c>
      <c r="AO204" t="str">
        <f>IF(IFERROR(MATCH($B204,temp!K$4:K$13,0),0)&gt;0,T08_Spells!AO$2,"")</f>
        <v/>
      </c>
      <c r="AP204" t="str">
        <f>IF(IFERROR(MATCH($B204,temp!L$4:L$13,0),0)&gt;0,T08_Spells!AP$2,"")</f>
        <v/>
      </c>
      <c r="AQ204" t="str">
        <f>IF(IFERROR(MATCH($B204,temp!M$4:M$13,0),0)&gt;0,T08_Spells!AQ$2,"")</f>
        <v/>
      </c>
      <c r="AR204" t="str">
        <f>IF(IFERROR(MATCH($B204,temp!N$4:N$13,0),0)&gt;0,T08_Spells!AR$2,"")</f>
        <v/>
      </c>
      <c r="AS204" t="str">
        <f>IF(IFERROR(MATCH($B204,temp!O$4:O$13,0),0)&gt;0,T08_Spells!AS$2,"")</f>
        <v/>
      </c>
      <c r="AT204" t="str">
        <f>IF(IFERROR(MATCH($B204,temp!P$4:P$13,0),0)&gt;0,T08_Spells!AT$2,"")</f>
        <v/>
      </c>
      <c r="AU204" t="str">
        <f>IF(IFERROR(MATCH($B204,temp!Q$4:Q$13,0),0)&gt;0,T08_Spells!AU$2,"")</f>
        <v/>
      </c>
      <c r="AV204" t="str">
        <f>IF(IFERROR(MATCH($B204,temp!R$4:R$13,0),0)&gt;0,T08_Spells!AV$2,"")</f>
        <v/>
      </c>
      <c r="AW204" t="str">
        <f>IF(IFERROR(MATCH($B204,temp!S$4:S$13,0),0)&gt;0,T08_Spells!AW$2,"")</f>
        <v/>
      </c>
      <c r="AX204" t="str">
        <f>IF(IFERROR(MATCH($B204,temp!T$4:T$13,0),0)&gt;0,T08_Spells!AX$2,"")</f>
        <v/>
      </c>
      <c r="AY204" t="str">
        <f>IF(IFERROR(MATCH($B204,temp!U$4:U$13,0),0)&gt;0,T08_Spells!AY$2,"")</f>
        <v/>
      </c>
      <c r="AZ204" t="str">
        <f>IF(IFERROR(MATCH($B204,temp!V$4:V$13,0),0)&gt;0,T08_Spells!AZ$2,"")</f>
        <v/>
      </c>
      <c r="BA204" t="str">
        <f>IF(IFERROR(MATCH($B204,temp!W$4:W$13,0),0)&gt;0,T08_Spells!BA$2,"")</f>
        <v/>
      </c>
      <c r="BC204">
        <f>IF(IFERROR(SEARCH("Ranger",$T204,1),0)&gt;0,1,0)*IF(RangerMaxSpellLevel&gt;=$C204,1,0)*IF(IFERROR(MATCH(B204,Character_Creation!$X$79:$X$382,0),0)&gt;0,0,1)</f>
        <v>0</v>
      </c>
      <c r="BD204">
        <f>IF(BC204=0,0,1+COUNTIF(BD$3:BD203,"&gt;0"))</f>
        <v>0</v>
      </c>
      <c r="BE204" t="str">
        <f t="shared" si="199"/>
        <v/>
      </c>
      <c r="BF204" t="str">
        <f t="shared" si="170"/>
        <v/>
      </c>
      <c r="BH204">
        <f>IF(IFERROR(SEARCH("Sorcerer",$T204,1),0)&gt;0,1,0)*IF(SorcererMaxSpellLevel&gt;=$C204,1,0)*IF(IFERROR(MATCH(B204,Character_Creation!$J$380:$J$394,0),0)&gt;0,0,1)</f>
        <v>0</v>
      </c>
      <c r="BI204">
        <f>IF(BH204=0,0,1+COUNTIF(BI$3:BI203,"&gt;0"))</f>
        <v>0</v>
      </c>
      <c r="BJ204" t="str">
        <f t="shared" si="200"/>
        <v/>
      </c>
      <c r="BK204" t="str">
        <f t="shared" si="171"/>
        <v/>
      </c>
      <c r="BM204">
        <f>IF(OR(IFERROR(SEARCH("Warlock",$T204,1),0)&gt;0,IFERROR(SEARCH(WarlockPatron,$T204,1),0)&gt;0),1,0)*IF(WarlockMaxSpellLevel&gt;=$C204,1,0)*IF(IFERROR(MATCH(B204,Character_Creation!$J$361:$J$375,0),0)&gt;0,0,1)</f>
        <v>0</v>
      </c>
      <c r="BN204">
        <f>IF(BM204=0,0,1+COUNTIF(BN$3:BN203,"&gt;0"))</f>
        <v>0</v>
      </c>
      <c r="BO204" t="str">
        <f t="shared" si="201"/>
        <v/>
      </c>
      <c r="BP204" t="str">
        <f t="shared" si="172"/>
        <v/>
      </c>
      <c r="BR204">
        <f>IF(IFERROR(SEARCH("Eldritch Knight",$T204,1),0)&gt;0,1,0)*IF(EldritchKnightMaxSpellLevel&gt;=$C204,1,0)*IF(IFERROR(MATCH($B204,Character_Creation!$J$350:$J$356,0),0)&gt;0,0,1)*IF(Character_Creation!$M$338&gt;0,1,0)</f>
        <v>0</v>
      </c>
      <c r="BS204">
        <f>IF(BR204=0,0,1+COUNTIF(BS$3:BS203,"&gt;0"))</f>
        <v>0</v>
      </c>
      <c r="BT204" t="str">
        <f t="shared" si="202"/>
        <v/>
      </c>
      <c r="BU204" t="str">
        <f t="shared" si="173"/>
        <v/>
      </c>
      <c r="BW204">
        <f>IF(IFERROR(SEARCH("Arcane Trickster",$T204,1),0)&gt;0,1,0)*IF(ArcaneTricksterMaxSpellLevel&gt;=$C204,1,0)*IF(IFERROR(MATCH($B204,Character_Creation!$J$350:$J$356,0),0)&gt;0,0,1)*IF(Character_Creation!$T$338&gt;0,1,0)</f>
        <v>0</v>
      </c>
      <c r="BX204">
        <f>IF(BW204=0,0,1+COUNTIF(BX$3:BX203,"&gt;0"))</f>
        <v>0</v>
      </c>
      <c r="BY204" t="str">
        <f t="shared" si="203"/>
        <v/>
      </c>
      <c r="BZ204" t="str">
        <f t="shared" si="174"/>
        <v/>
      </c>
      <c r="CB204">
        <f>IF(IFERROR(SEARCH("Wizard",$T204,1),0)&gt;0,1,0)*IF(C204&lt;=ArcaneTricksterMaxSpellLevel,1,0)*IF(IFERROR(MATCH($B204,Character_Creation!$J$350:$J$356,0),0)&gt;0,0,1)*IF(Character_Creation!$T$350&gt;0,1,0)</f>
        <v>0</v>
      </c>
      <c r="CC204">
        <f>IF(CB204=0,0,1+COUNTIF(CC$3:CC203,"&gt;0"))</f>
        <v>0</v>
      </c>
      <c r="CD204" t="str">
        <f t="shared" si="204"/>
        <v/>
      </c>
      <c r="CE204" t="str">
        <f t="shared" si="175"/>
        <v/>
      </c>
      <c r="CG204">
        <f>IF(IFERROR(SEARCH("Wizard",$T204,1),0)&gt;0,1,0)*IF($C204&lt;=EldritchKnightMaxSpellLevel,1,0)*IF(IFERROR(MATCH($B204,Character_Creation!$J$350:$J$356,0),0)&gt;0,0,1)*IF(Character_Creation!$M$350&gt;0,1,0)</f>
        <v>1</v>
      </c>
      <c r="CH204">
        <f>IF(CG204=0,0,1+COUNTIF(CH$3:CH203,"&gt;0"))</f>
        <v>35</v>
      </c>
      <c r="CI204" t="str">
        <f t="shared" si="205"/>
        <v/>
      </c>
      <c r="CJ204" t="str">
        <f t="shared" si="176"/>
        <v/>
      </c>
      <c r="CL204">
        <f>IF(IFERROR(SEARCH("Bard",$T204,1),0)&gt;0,1,0)*IF(BardMaxSpellLevel&gt;=$C204,1,0)*IF(IFERROR(MATCH(B204,Character_Creation!$C$341:$F$362,0),0)&gt;0,0,1)*IF(IFERROR(MATCH($B204,Character_Creation!$C$341:$C$362,0),0)&gt;0,0,1)</f>
        <v>0</v>
      </c>
      <c r="CM204">
        <f>IF(CL204=0,0,1+COUNTIF(CM$3:CM203,"&gt;0"))</f>
        <v>0</v>
      </c>
      <c r="CN204" t="str">
        <f t="shared" si="206"/>
        <v/>
      </c>
      <c r="CO204" t="str">
        <f t="shared" si="177"/>
        <v/>
      </c>
      <c r="CQ204">
        <f>IF(IFERROR(SEARCH("Wizard",$T204,1),0)&gt;0,1,0)*IF(WizardMaxSpellLevel&gt;=$C204,1,0)*IF(IFERROR(MATCH(B204,Character_Creation!$X$341:$X$400,0),0)&gt;0,0,1)*IF(SelectedWizardSpellLevel=$C204,1,0)</f>
        <v>0</v>
      </c>
      <c r="CR204">
        <f>IF(CQ204=0,0,1+COUNTIF(CR$3:CR203,"&gt;0"))</f>
        <v>0</v>
      </c>
      <c r="CS204" t="str">
        <f t="shared" si="207"/>
        <v/>
      </c>
      <c r="CT204" t="str">
        <f t="shared" si="178"/>
        <v/>
      </c>
      <c r="CV204">
        <f>IF(IFERROR(MATCH($B204,Character_Creation!$C$341:$C$362,0),0)&gt;0,0,1)*IF(OR(C204="Cantrip",C204&lt;=BardMaxSpellLevel),1,0)*IF(IFERROR(MATCH($B204,Character_Creation!$C$367:$C$374,0),0)&gt;0,0,1)</f>
        <v>0</v>
      </c>
      <c r="CW204">
        <f>IF(CV204=0,0,1+COUNTIF(CW$3:CW203,"&gt;0"))</f>
        <v>0</v>
      </c>
      <c r="CX204" t="str">
        <f t="shared" si="208"/>
        <v/>
      </c>
      <c r="CY204" t="str">
        <f t="shared" si="179"/>
        <v/>
      </c>
      <c r="DA204">
        <f>IF(IF(OR(IFERROR(SEARCH("Cleric",$T204,1),0)&gt;0,IFERROR(SEARCH(DivineDomain&amp;",",$T204,1),0)&gt;0),1,0)*IF($C204=DA$2,1,0)=1,1+COUNTIF(DA$3:DA203,"&gt;0"),0)</f>
        <v>0</v>
      </c>
      <c r="DB204">
        <f>IF(IF(OR(IFERROR(SEARCH("Cleric",$T204,1),0)&gt;0,IFERROR(SEARCH(DivineDomain&amp;",",$T204,1),0)&gt;0),1,0)*IF($C204=DB$2,1,0)=1,1+COUNTIF(DB$3:DB203,"&gt;0"),0)</f>
        <v>0</v>
      </c>
      <c r="DC204">
        <f>IF(IF(OR(IFERROR(SEARCH("Cleric",$T204,1),0)&gt;0,IFERROR(SEARCH(DivineDomain&amp;",",$T204,1),0)&gt;0),1,0)*IF($C204=DC$2,1,0)=1,1+COUNTIF(DC$3:DC203,"&gt;0"),0)</f>
        <v>0</v>
      </c>
      <c r="DD204">
        <f>IF(IF(OR(IFERROR(SEARCH("Cleric",$T204,1),0)&gt;0,IFERROR(SEARCH(DivineDomain&amp;",",$T204,1),0)&gt;0),1,0)*IF($C204=DD$2,1,0)=1,1+COUNTIF(DD$3:DD203,"&gt;0"),0)</f>
        <v>0</v>
      </c>
      <c r="DE204">
        <f>IF(IF(OR(IFERROR(SEARCH("Cleric",$T204,1),0)&gt;0,IFERROR(SEARCH(DivineDomain&amp;",",$T204,1),0)&gt;0),1,0)*IF($C204=DE$2,1,0)=1,1+COUNTIF(DE$3:DE203,"&gt;0"),0)</f>
        <v>0</v>
      </c>
      <c r="DF204">
        <f>IF(IF(OR(IFERROR(SEARCH("Cleric",$T204,1),0)&gt;0,IFERROR(SEARCH(DivineDomain&amp;",",$T204,1),0)&gt;0),1,0)*IF($C204=DF$2,1,0)=1,1+COUNTIF(DF$3:DF203,"&gt;0"),0)</f>
        <v>0</v>
      </c>
      <c r="DG204">
        <f>IF(IF(OR(IFERROR(SEARCH("Cleric",$T204,1),0)&gt;0,IFERROR(SEARCH(DivineDomain&amp;",",$T204,1),0)&gt;0),1,0)*IF($C204=DG$2,1,0)=1,1+COUNTIF(DG$3:DG203,"&gt;0"),0)</f>
        <v>0</v>
      </c>
      <c r="DH204">
        <f>IF(IF(OR(IFERROR(SEARCH("Cleric",$T204,1),0)&gt;0,IFERROR(SEARCH(DivineDomain&amp;",",$T204,1),0)&gt;0),1,0)*IF($C204=DH$2,1,0)=1,1+COUNTIF(DH$3:DH203,"&gt;0"),0)</f>
        <v>0</v>
      </c>
      <c r="DI204">
        <f>IF(IF(OR(IFERROR(SEARCH("Cleric",$T204,1),0)&gt;0,IFERROR(SEARCH(DivineDomain&amp;",",$T204,1),0)&gt;0),1,0)*IF($C204=DI$2,1,0)=1,1+COUNTIF(DI$3:DI203,"&gt;0"),0)</f>
        <v>0</v>
      </c>
      <c r="DJ204">
        <f>IF(IF(OR(IFERROR(SEARCH("Druid",$T204,1),0)&gt;0,IFERROR(SEARCH(DruidLand1,$T204,1),0)&gt;0,IFERROR(SEARCH(DruidLand2,$T204,1),0)&gt;0,IFERROR(SEARCH(DruidLand3,$T204,1),0)&gt;0,IFERROR(SEARCH(DruidLand4,$T204,1),0)&gt;0),1,0)*IF($C204=1,1,0)*IF($C204=DJ$2,1,0)=0,0,1+COUNTIF(DJ$3:DJ203,"&gt;0"))</f>
        <v>0</v>
      </c>
      <c r="DK204">
        <f>IF(IF(OR(IFERROR(SEARCH("Druid",$T204,1),0)&gt;0,IFERROR(SEARCH(DruidLand1,$T204,1),0)&gt;0,IFERROR(SEARCH(DruidLand2,$T204,1),0)&gt;0,IFERROR(SEARCH(DruidLand3,$T204,1),0)&gt;0,IFERROR(SEARCH(DruidLand4,$T204,1),0)&gt;0),1,0)*IF($C204=1,1,0)*IF($C204=DK$2,1,0)=0,0,1+COUNTIF(DK$3:DK203,"&gt;0"))</f>
        <v>0</v>
      </c>
      <c r="DL204">
        <f>IF(IF(OR(IFERROR(SEARCH("Druid",$T204,1),0)&gt;0,IFERROR(SEARCH(DruidLand1,$T204,1),0)&gt;0,IFERROR(SEARCH(DruidLand2,$T204,1),0)&gt;0,IFERROR(SEARCH(DruidLand3,$T204,1),0)&gt;0,IFERROR(SEARCH(DruidLand4,$T204,1),0)&gt;0),1,0)*IF($C204=1,1,0)*IF($C204=DL$2,1,0)=0,0,1+COUNTIF(DL$3:DL203,"&gt;0"))</f>
        <v>0</v>
      </c>
      <c r="DM204">
        <f>IF(IF(OR(IFERROR(SEARCH("Druid",$T204,1),0)&gt;0,IFERROR(SEARCH(DruidLand1,$T204,1),0)&gt;0,IFERROR(SEARCH(DruidLand2,$T204,1),0)&gt;0,IFERROR(SEARCH(DruidLand3,$T204,1),0)&gt;0,IFERROR(SEARCH(DruidLand4,$T204,1),0)&gt;0),1,0)*IF($C204=1,1,0)*IF($C204=DM$2,1,0)=0,0,1+COUNTIF(DM$3:DM203,"&gt;0"))</f>
        <v>0</v>
      </c>
      <c r="DN204">
        <f>IF(IF(OR(IFERROR(SEARCH("Druid",$T204,1),0)&gt;0,IFERROR(SEARCH(DruidLand1,$T204,1),0)&gt;0,IFERROR(SEARCH(DruidLand2,$T204,1),0)&gt;0,IFERROR(SEARCH(DruidLand3,$T204,1),0)&gt;0,IFERROR(SEARCH(DruidLand4,$T204,1),0)&gt;0),1,0)*IF($C204=1,1,0)*IF($C204=DN$2,1,0)=0,0,1+COUNTIF(DN$3:DN203,"&gt;0"))</f>
        <v>0</v>
      </c>
      <c r="DO204">
        <f>IF(IF(OR(IFERROR(SEARCH("Druid",$T204,1),0)&gt;0,IFERROR(SEARCH(DruidLand1,$T204,1),0)&gt;0,IFERROR(SEARCH(DruidLand2,$T204,1),0)&gt;0,IFERROR(SEARCH(DruidLand3,$T204,1),0)&gt;0,IFERROR(SEARCH(DruidLand4,$T204,1),0)&gt;0),1,0)*IF($C204=1,1,0)*IF($C204=DO$2,1,0)=0,0,1+COUNTIF(DO$3:DO203,"&gt;0"))</f>
        <v>0</v>
      </c>
      <c r="DP204">
        <f>IF(IF(OR(IFERROR(SEARCH("Druid",$T204,1),0)&gt;0,IFERROR(SEARCH(DruidLand1,$T204,1),0)&gt;0,IFERROR(SEARCH(DruidLand2,$T204,1),0)&gt;0,IFERROR(SEARCH(DruidLand3,$T204,1),0)&gt;0,IFERROR(SEARCH(DruidLand4,$T204,1),0)&gt;0),1,0)*IF($C204=1,1,0)*IF($C204=DP$2,1,0)=0,0,1+COUNTIF(DP$3:DP203,"&gt;0"))</f>
        <v>0</v>
      </c>
      <c r="DQ204">
        <f>IF(IF(OR(IFERROR(SEARCH("Druid",$T204,1),0)&gt;0,IFERROR(SEARCH(DruidLand1,$T204,1),0)&gt;0,IFERROR(SEARCH(DruidLand2,$T204,1),0)&gt;0,IFERROR(SEARCH(DruidLand3,$T204,1),0)&gt;0,IFERROR(SEARCH(DruidLand4,$T204,1),0)&gt;0),1,0)*IF($C204=1,1,0)*IF($C204=DQ$2,1,0)=0,0,1+COUNTIF(DQ$3:DQ203,"&gt;0"))</f>
        <v>0</v>
      </c>
      <c r="DR204">
        <f>IF(IF(OR(IFERROR(SEARCH("Druid",$T204,1),0)&gt;0,IFERROR(SEARCH(DruidLand1,$T204,1),0)&gt;0,IFERROR(SEARCH(DruidLand2,$T204,1),0)&gt;0,IFERROR(SEARCH(DruidLand3,$T204,1),0)&gt;0,IFERROR(SEARCH(DruidLand4,$T204,1),0)&gt;0),1,0)*IF($C204=1,1,0)*IF($C204=DR$2,1,0)=0,0,1+COUNTIF(DR$3:DR203,"&gt;0"))</f>
        <v>0</v>
      </c>
      <c r="DS204">
        <f>IF(IF(OR(IFERROR(SEARCH("Paladin",$T204,1),0)&gt;0,IFERROR(SEARCH(PaladinOath,$T204,1),0)&gt;0),1,0)*IF($C204=DS$2,1,0)=1,1+COUNTIF(DS$3:DS203,"&gt;0"),0)</f>
        <v>0</v>
      </c>
      <c r="DT204">
        <f>IF(IF(OR(IFERROR(SEARCH("Paladin",$T204,1),0)&gt;0,IFERROR(SEARCH(PaladinOath,$T204,1),0)&gt;0),1,0)*IF($C204=DT$2,1,0)=1,1+COUNTIF(DT$3:DT203,"&gt;0"),0)</f>
        <v>0</v>
      </c>
      <c r="DU204">
        <f>IF(IF(OR(IFERROR(SEARCH("Paladin",$T204,1),0)&gt;0,IFERROR(SEARCH(PaladinOath,$T204,1),0)&gt;0),1,0)*IF($C204=DU$2,1,0)=1,1+COUNTIF(DU$3:DU203,"&gt;0"),0)</f>
        <v>0</v>
      </c>
      <c r="DV204">
        <f>IF(IF(OR(IFERROR(SEARCH("Paladin",$T204,1),0)&gt;0,IFERROR(SEARCH(PaladinOath,$T204,1),0)&gt;0),1,0)*IF($C204=DV$2,1,0)=1,1+COUNTIF(DV$3:DV203,"&gt;0"),0)</f>
        <v>0</v>
      </c>
      <c r="DW204">
        <f>IF(IF(OR(IFERROR(SEARCH("Paladin",$T204,1),0)&gt;0,IFERROR(SEARCH(PaladinOath,$T204,1),0)&gt;0),1,0)*IF($C204=DW$2,1,0)=1,1+COUNTIF(DW$3:DW203,"&gt;0"),0)</f>
        <v>0</v>
      </c>
      <c r="DY204">
        <f t="shared" si="166"/>
        <v>1</v>
      </c>
      <c r="DZ204">
        <f>IF(DY204=0,0,1+MAX(DZ$3:$DZ203))</f>
        <v>202</v>
      </c>
      <c r="EB204">
        <f t="shared" si="180"/>
        <v>0</v>
      </c>
      <c r="EC204">
        <f>IF(EB204=0,0,1+COUNTIF(EC$3:EC203,"&gt;0"))</f>
        <v>0</v>
      </c>
      <c r="ED204" t="str">
        <f t="shared" si="209"/>
        <v/>
      </c>
      <c r="EE204" t="str">
        <f t="shared" si="181"/>
        <v/>
      </c>
      <c r="EG204">
        <f t="shared" si="182"/>
        <v>0</v>
      </c>
      <c r="EH204">
        <f>IF(EG204=0,0,1+COUNTIF(EH$3:EH203,"&gt;0"))</f>
        <v>0</v>
      </c>
      <c r="EI204" t="str">
        <f t="shared" si="210"/>
        <v/>
      </c>
      <c r="EJ204" t="str">
        <f t="shared" si="183"/>
        <v/>
      </c>
      <c r="EL204">
        <f t="shared" si="184"/>
        <v>0</v>
      </c>
      <c r="EM204">
        <f>IF(EL204=0,0,1+COUNTIF(EM$3:EM203,"&gt;0"))</f>
        <v>0</v>
      </c>
      <c r="EN204" t="str">
        <f t="shared" si="211"/>
        <v/>
      </c>
      <c r="EO204" t="str">
        <f t="shared" si="185"/>
        <v/>
      </c>
      <c r="EQ204">
        <f t="shared" si="186"/>
        <v>0</v>
      </c>
      <c r="ER204">
        <f>IF(EQ204=0,0,1+COUNTIF(ER$3:ER203,"&gt;0"))</f>
        <v>0</v>
      </c>
      <c r="ES204" t="str">
        <f t="shared" si="212"/>
        <v/>
      </c>
      <c r="ET204" t="str">
        <f t="shared" si="187"/>
        <v/>
      </c>
      <c r="EV204">
        <f t="shared" si="188"/>
        <v>0</v>
      </c>
      <c r="EW204">
        <f>IF(EV204=0,0,1+COUNTIF(EW$3:EW203,"&gt;0"))</f>
        <v>0</v>
      </c>
      <c r="EX204" t="str">
        <f t="shared" si="213"/>
        <v/>
      </c>
      <c r="EY204" t="str">
        <f t="shared" si="189"/>
        <v/>
      </c>
      <c r="FA204">
        <f t="shared" si="190"/>
        <v>0</v>
      </c>
      <c r="FB204">
        <f>IF(FA204=0,0,1+COUNTIF(FB$3:FB203,"&gt;0"))</f>
        <v>0</v>
      </c>
      <c r="FC204" t="str">
        <f t="shared" si="214"/>
        <v/>
      </c>
      <c r="FD204" t="str">
        <f t="shared" si="191"/>
        <v/>
      </c>
      <c r="FF204">
        <f t="shared" si="192"/>
        <v>0</v>
      </c>
      <c r="FG204">
        <f>IF(FF204=0,0,1+COUNTIF(FG$3:FG203,"&gt;0"))</f>
        <v>0</v>
      </c>
      <c r="FH204" t="str">
        <f t="shared" si="215"/>
        <v/>
      </c>
      <c r="FI204" t="str">
        <f t="shared" si="193"/>
        <v/>
      </c>
      <c r="FK204">
        <f t="shared" si="194"/>
        <v>0</v>
      </c>
      <c r="FL204">
        <f>IF(FK204=0,0,1+COUNTIF(FL$3:FL203,"&gt;0"))</f>
        <v>0</v>
      </c>
      <c r="FM204" t="str">
        <f t="shared" si="216"/>
        <v/>
      </c>
      <c r="FN204" t="str">
        <f t="shared" si="195"/>
        <v/>
      </c>
      <c r="FP204">
        <f t="shared" si="196"/>
        <v>0</v>
      </c>
      <c r="FQ204">
        <f>IF(FP204=0,0,1+COUNTIF(FQ$3:FQ203,"&gt;0"))</f>
        <v>0</v>
      </c>
      <c r="FR204" t="str">
        <f t="shared" si="217"/>
        <v/>
      </c>
      <c r="FS204" t="str">
        <f t="shared" si="197"/>
        <v/>
      </c>
    </row>
    <row r="205" spans="1:175" x14ac:dyDescent="0.25">
      <c r="A205" s="347">
        <f t="shared" si="218"/>
        <v>203</v>
      </c>
      <c r="B205" s="348" t="s">
        <v>122</v>
      </c>
      <c r="C205" s="348" t="s">
        <v>5277</v>
      </c>
      <c r="D205" s="347">
        <v>0.5</v>
      </c>
      <c r="E205" s="627" t="s">
        <v>6952</v>
      </c>
      <c r="F205" s="346"/>
      <c r="G205" s="347" t="str">
        <f>""</f>
        <v/>
      </c>
      <c r="H205" s="347" t="s">
        <v>5912</v>
      </c>
      <c r="I205" s="347" t="s">
        <v>5298</v>
      </c>
      <c r="J205" s="347" t="str">
        <f t="shared" si="167"/>
        <v/>
      </c>
      <c r="K205" s="347" t="s">
        <v>5293</v>
      </c>
      <c r="L205" s="611" t="str">
        <f t="shared" si="168"/>
        <v>V, M, a firefly or phosphorescent moss</v>
      </c>
      <c r="M205" s="347" t="s">
        <v>2373</v>
      </c>
      <c r="N205" s="347" t="s">
        <v>3034</v>
      </c>
      <c r="O205" s="347" t="s">
        <v>1244</v>
      </c>
      <c r="P205" s="346" t="s">
        <v>5416</v>
      </c>
      <c r="Q205" s="347" t="s">
        <v>5273</v>
      </c>
      <c r="S205" s="346" t="s">
        <v>5751</v>
      </c>
      <c r="T205" s="346" t="str">
        <f t="shared" si="169"/>
        <v xml:space="preserve">Bard, Sorcerer, Cleric, Eldritch Knight, Wizard, </v>
      </c>
      <c r="U205" s="347" t="str">
        <f>$B205</f>
        <v>Light</v>
      </c>
      <c r="X205" s="347" t="str">
        <f>$B205</f>
        <v>Light</v>
      </c>
      <c r="Z205" s="347" t="str">
        <f>$B205</f>
        <v>Light</v>
      </c>
      <c r="AB205" s="542" t="str">
        <f>AD205</f>
        <v>Light</v>
      </c>
      <c r="AD205" s="347" t="str">
        <f>$B205</f>
        <v>Light</v>
      </c>
      <c r="AE205" t="str">
        <f>IF(IFERROR(MATCH($B205,temp!A$4:A$13,0),0)&gt;0,T08_Spells!AE$2,"")</f>
        <v/>
      </c>
      <c r="AF205" t="str">
        <f>IF(IFERROR(MATCH($B205,temp!B$4:B$13,0),0)&gt;0,T08_Spells!AF$2,"")</f>
        <v/>
      </c>
      <c r="AG205" t="str">
        <f>IF(IFERROR(MATCH($B205,temp!C$4:C$13,0),0)&gt;0,T08_Spells!AG$2,"")</f>
        <v/>
      </c>
      <c r="AH205" t="str">
        <f>IF(IFERROR(MATCH($B205,temp!D$4:D$13,0),0)&gt;0,T08_Spells!AH$2,"")</f>
        <v/>
      </c>
      <c r="AI205" t="str">
        <f>IF(IFERROR(MATCH($B205,temp!E$4:E$13,0),0)&gt;0,T08_Spells!AI$2,"")</f>
        <v/>
      </c>
      <c r="AJ205" t="str">
        <f>IF(IFERROR(MATCH($B205,temp!F$4:F$13,0),0)&gt;0,T08_Spells!AJ$2,"")</f>
        <v/>
      </c>
      <c r="AK205" t="str">
        <f>IF(IFERROR(MATCH($B205,temp!G$4:G$13,0),0)&gt;0,T08_Spells!AK$2,"")</f>
        <v/>
      </c>
      <c r="AL205" t="str">
        <f>IF(IFERROR(MATCH($B205,temp!H$4:H$13,0),0)&gt;0,T08_Spells!AL$2,"")</f>
        <v/>
      </c>
      <c r="AM205" t="str">
        <f>IF(IFERROR(MATCH($B205,temp!I$4:I$13,0),0)&gt;0,T08_Spells!AM$2,"")</f>
        <v/>
      </c>
      <c r="AN205" t="str">
        <f>IF(IFERROR(MATCH($B205,temp!J$4:J$13,0),0)&gt;0,T08_Spells!AN$2,"")</f>
        <v/>
      </c>
      <c r="AO205" t="str">
        <f>IF(IFERROR(MATCH($B205,temp!K$4:K$13,0),0)&gt;0,T08_Spells!AO$2,"")</f>
        <v/>
      </c>
      <c r="AP205" t="str">
        <f>IF(IFERROR(MATCH($B205,temp!L$4:L$13,0),0)&gt;0,T08_Spells!AP$2,"")</f>
        <v/>
      </c>
      <c r="AQ205" t="str">
        <f>IF(IFERROR(MATCH($B205,temp!M$4:M$13,0),0)&gt;0,T08_Spells!AQ$2,"")</f>
        <v/>
      </c>
      <c r="AR205" t="str">
        <f>IF(IFERROR(MATCH($B205,temp!N$4:N$13,0),0)&gt;0,T08_Spells!AR$2,"")</f>
        <v/>
      </c>
      <c r="AS205" t="str">
        <f>IF(IFERROR(MATCH($B205,temp!O$4:O$13,0),0)&gt;0,T08_Spells!AS$2,"")</f>
        <v/>
      </c>
      <c r="AT205" t="str">
        <f>IF(IFERROR(MATCH($B205,temp!P$4:P$13,0),0)&gt;0,T08_Spells!AT$2,"")</f>
        <v/>
      </c>
      <c r="AU205" t="str">
        <f>IF(IFERROR(MATCH($B205,temp!Q$4:Q$13,0),0)&gt;0,T08_Spells!AU$2,"")</f>
        <v/>
      </c>
      <c r="AV205" t="str">
        <f>IF(IFERROR(MATCH($B205,temp!R$4:R$13,0),0)&gt;0,T08_Spells!AV$2,"")</f>
        <v/>
      </c>
      <c r="AW205" t="str">
        <f>IF(IFERROR(MATCH($B205,temp!S$4:S$13,0),0)&gt;0,T08_Spells!AW$2,"")</f>
        <v/>
      </c>
      <c r="AX205" t="str">
        <f>IF(IFERROR(MATCH($B205,temp!T$4:T$13,0),0)&gt;0,T08_Spells!AX$2,"")</f>
        <v/>
      </c>
      <c r="AY205" t="str">
        <f>IF(IFERROR(MATCH($B205,temp!U$4:U$13,0),0)&gt;0,T08_Spells!AY$2,"")</f>
        <v/>
      </c>
      <c r="AZ205" t="str">
        <f>IF(IFERROR(MATCH($B205,temp!V$4:V$13,0),0)&gt;0,T08_Spells!AZ$2,"")</f>
        <v/>
      </c>
      <c r="BA205" t="str">
        <f>IF(IFERROR(MATCH($B205,temp!W$4:W$13,0),0)&gt;0,T08_Spells!BA$2,"")</f>
        <v/>
      </c>
      <c r="BC205">
        <f>IF(IFERROR(SEARCH("Ranger",$T205,1),0)&gt;0,1,0)*IF(RangerMaxSpellLevel&gt;=$C205,1,0)*IF(IFERROR(MATCH(B205,Character_Creation!$X$79:$X$382,0),0)&gt;0,0,1)</f>
        <v>0</v>
      </c>
      <c r="BD205">
        <f>IF(BC205=0,0,1+COUNTIF(BD$3:BD204,"&gt;0"))</f>
        <v>0</v>
      </c>
      <c r="BE205" t="str">
        <f t="shared" si="199"/>
        <v/>
      </c>
      <c r="BF205" t="str">
        <f t="shared" si="170"/>
        <v/>
      </c>
      <c r="BH205">
        <f>IF(IFERROR(SEARCH("Sorcerer",$T205,1),0)&gt;0,1,0)*IF(SorcererMaxSpellLevel&gt;=$C205,1,0)*IF(IFERROR(MATCH(B205,Character_Creation!$J$380:$J$394,0),0)&gt;0,0,1)</f>
        <v>0</v>
      </c>
      <c r="BI205">
        <f>IF(BH205=0,0,1+COUNTIF(BI$3:BI204,"&gt;0"))</f>
        <v>0</v>
      </c>
      <c r="BJ205" t="str">
        <f t="shared" si="200"/>
        <v/>
      </c>
      <c r="BK205" t="str">
        <f t="shared" si="171"/>
        <v/>
      </c>
      <c r="BM205">
        <f>IF(OR(IFERROR(SEARCH("Warlock",$T205,1),0)&gt;0,IFERROR(SEARCH(WarlockPatron,$T205,1),0)&gt;0),1,0)*IF(WarlockMaxSpellLevel&gt;=$C205,1,0)*IF(IFERROR(MATCH(B205,Character_Creation!$J$361:$J$375,0),0)&gt;0,0,1)</f>
        <v>0</v>
      </c>
      <c r="BN205">
        <f>IF(BM205=0,0,1+COUNTIF(BN$3:BN204,"&gt;0"))</f>
        <v>0</v>
      </c>
      <c r="BO205" t="str">
        <f t="shared" si="201"/>
        <v/>
      </c>
      <c r="BP205" t="str">
        <f t="shared" si="172"/>
        <v/>
      </c>
      <c r="BR205">
        <f>IF(IFERROR(SEARCH("Eldritch Knight",$T205,1),0)&gt;0,1,0)*IF(EldritchKnightMaxSpellLevel&gt;=$C205,1,0)*IF(IFERROR(MATCH($B205,Character_Creation!$J$350:$J$356,0),0)&gt;0,0,1)*IF(Character_Creation!$M$338&gt;0,1,0)</f>
        <v>0</v>
      </c>
      <c r="BS205">
        <f>IF(BR205=0,0,1+COUNTIF(BS$3:BS204,"&gt;0"))</f>
        <v>0</v>
      </c>
      <c r="BT205" t="str">
        <f t="shared" si="202"/>
        <v/>
      </c>
      <c r="BU205" t="str">
        <f t="shared" si="173"/>
        <v/>
      </c>
      <c r="BW205">
        <f>IF(IFERROR(SEARCH("Arcane Trickster",$T205,1),0)&gt;0,1,0)*IF(ArcaneTricksterMaxSpellLevel&gt;=$C205,1,0)*IF(IFERROR(MATCH($B205,Character_Creation!$J$350:$J$356,0),0)&gt;0,0,1)*IF(Character_Creation!$T$338&gt;0,1,0)</f>
        <v>0</v>
      </c>
      <c r="BX205">
        <f>IF(BW205=0,0,1+COUNTIF(BX$3:BX204,"&gt;0"))</f>
        <v>0</v>
      </c>
      <c r="BY205" t="str">
        <f t="shared" si="203"/>
        <v/>
      </c>
      <c r="BZ205" t="str">
        <f t="shared" si="174"/>
        <v/>
      </c>
      <c r="CB205">
        <f>IF(IFERROR(SEARCH("Wizard",$T205,1),0)&gt;0,1,0)*IF(C205&lt;=ArcaneTricksterMaxSpellLevel,1,0)*IF(IFERROR(MATCH($B205,Character_Creation!$J$350:$J$356,0),0)&gt;0,0,1)*IF(Character_Creation!$T$350&gt;0,1,0)</f>
        <v>0</v>
      </c>
      <c r="CC205">
        <f>IF(CB205=0,0,1+COUNTIF(CC$3:CC204,"&gt;0"))</f>
        <v>0</v>
      </c>
      <c r="CD205" t="str">
        <f t="shared" si="204"/>
        <v/>
      </c>
      <c r="CE205" t="str">
        <f t="shared" si="175"/>
        <v/>
      </c>
      <c r="CG205">
        <f>IF(IFERROR(SEARCH("Wizard",$T205,1),0)&gt;0,1,0)*IF($C205&lt;=EldritchKnightMaxSpellLevel,1,0)*IF(IFERROR(MATCH($B205,Character_Creation!$J$350:$J$356,0),0)&gt;0,0,1)*IF(Character_Creation!$M$350&gt;0,1,0)</f>
        <v>0</v>
      </c>
      <c r="CH205">
        <f>IF(CG205=0,0,1+COUNTIF(CH$3:CH204,"&gt;0"))</f>
        <v>0</v>
      </c>
      <c r="CI205" t="str">
        <f t="shared" si="205"/>
        <v/>
      </c>
      <c r="CJ205" t="str">
        <f t="shared" si="176"/>
        <v/>
      </c>
      <c r="CL205">
        <f>IF(IFERROR(SEARCH("Bard",$T205,1),0)&gt;0,1,0)*IF(BardMaxSpellLevel&gt;=$C205,1,0)*IF(IFERROR(MATCH(B205,Character_Creation!$C$341:$F$362,0),0)&gt;0,0,1)*IF(IFERROR(MATCH($B205,Character_Creation!$C$341:$C$362,0),0)&gt;0,0,1)</f>
        <v>0</v>
      </c>
      <c r="CM205">
        <f>IF(CL205=0,0,1+COUNTIF(CM$3:CM204,"&gt;0"))</f>
        <v>0</v>
      </c>
      <c r="CN205" t="str">
        <f t="shared" si="206"/>
        <v/>
      </c>
      <c r="CO205" t="str">
        <f t="shared" si="177"/>
        <v/>
      </c>
      <c r="CQ205">
        <f>IF(IFERROR(SEARCH("Wizard",$T205,1),0)&gt;0,1,0)*IF(WizardMaxSpellLevel&gt;=$C205,1,0)*IF(IFERROR(MATCH(B205,Character_Creation!$X$341:$X$400,0),0)&gt;0,0,1)*IF(SelectedWizardSpellLevel=$C205,1,0)</f>
        <v>0</v>
      </c>
      <c r="CR205">
        <f>IF(CQ205=0,0,1+COUNTIF(CR$3:CR204,"&gt;0"))</f>
        <v>0</v>
      </c>
      <c r="CS205" t="str">
        <f t="shared" si="207"/>
        <v/>
      </c>
      <c r="CT205" t="str">
        <f t="shared" si="178"/>
        <v/>
      </c>
      <c r="CV205">
        <f>IF(IFERROR(MATCH($B205,Character_Creation!$C$341:$C$362,0),0)&gt;0,0,1)*IF(OR(C205="Cantrip",C205&lt;=BardMaxSpellLevel),1,0)*IF(IFERROR(MATCH($B205,Character_Creation!$C$367:$C$374,0),0)&gt;0,0,1)</f>
        <v>1</v>
      </c>
      <c r="CW205">
        <f>IF(CV205=0,0,1+COUNTIF(CW$3:CW204,"&gt;0"))</f>
        <v>10</v>
      </c>
      <c r="CX205" t="str">
        <f t="shared" si="208"/>
        <v/>
      </c>
      <c r="CY205" t="str">
        <f t="shared" si="179"/>
        <v/>
      </c>
      <c r="DA205">
        <f>IF(IF(OR(IFERROR(SEARCH("Cleric",$T205,1),0)&gt;0,IFERROR(SEARCH(DivineDomain&amp;",",$T205,1),0)&gt;0),1,0)*IF($C205=DA$2,1,0)=1,1+COUNTIF(DA$3:DA204,"&gt;0"),0)</f>
        <v>0</v>
      </c>
      <c r="DB205">
        <f>IF(IF(OR(IFERROR(SEARCH("Cleric",$T205,1),0)&gt;0,IFERROR(SEARCH(DivineDomain&amp;",",$T205,1),0)&gt;0),1,0)*IF($C205=DB$2,1,0)=1,1+COUNTIF(DB$3:DB204,"&gt;0"),0)</f>
        <v>0</v>
      </c>
      <c r="DC205">
        <f>IF(IF(OR(IFERROR(SEARCH("Cleric",$T205,1),0)&gt;0,IFERROR(SEARCH(DivineDomain&amp;",",$T205,1),0)&gt;0),1,0)*IF($C205=DC$2,1,0)=1,1+COUNTIF(DC$3:DC204,"&gt;0"),0)</f>
        <v>0</v>
      </c>
      <c r="DD205">
        <f>IF(IF(OR(IFERROR(SEARCH("Cleric",$T205,1),0)&gt;0,IFERROR(SEARCH(DivineDomain&amp;",",$T205,1),0)&gt;0),1,0)*IF($C205=DD$2,1,0)=1,1+COUNTIF(DD$3:DD204,"&gt;0"),0)</f>
        <v>0</v>
      </c>
      <c r="DE205">
        <f>IF(IF(OR(IFERROR(SEARCH("Cleric",$T205,1),0)&gt;0,IFERROR(SEARCH(DivineDomain&amp;",",$T205,1),0)&gt;0),1,0)*IF($C205=DE$2,1,0)=1,1+COUNTIF(DE$3:DE204,"&gt;0"),0)</f>
        <v>0</v>
      </c>
      <c r="DF205">
        <f>IF(IF(OR(IFERROR(SEARCH("Cleric",$T205,1),0)&gt;0,IFERROR(SEARCH(DivineDomain&amp;",",$T205,1),0)&gt;0),1,0)*IF($C205=DF$2,1,0)=1,1+COUNTIF(DF$3:DF204,"&gt;0"),0)</f>
        <v>0</v>
      </c>
      <c r="DG205">
        <f>IF(IF(OR(IFERROR(SEARCH("Cleric",$T205,1),0)&gt;0,IFERROR(SEARCH(DivineDomain&amp;",",$T205,1),0)&gt;0),1,0)*IF($C205=DG$2,1,0)=1,1+COUNTIF(DG$3:DG204,"&gt;0"),0)</f>
        <v>0</v>
      </c>
      <c r="DH205">
        <f>IF(IF(OR(IFERROR(SEARCH("Cleric",$T205,1),0)&gt;0,IFERROR(SEARCH(DivineDomain&amp;",",$T205,1),0)&gt;0),1,0)*IF($C205=DH$2,1,0)=1,1+COUNTIF(DH$3:DH204,"&gt;0"),0)</f>
        <v>0</v>
      </c>
      <c r="DI205">
        <f>IF(IF(OR(IFERROR(SEARCH("Cleric",$T205,1),0)&gt;0,IFERROR(SEARCH(DivineDomain&amp;",",$T205,1),0)&gt;0),1,0)*IF($C205=DI$2,1,0)=1,1+COUNTIF(DI$3:DI204,"&gt;0"),0)</f>
        <v>0</v>
      </c>
      <c r="DJ205">
        <f>IF(IF(OR(IFERROR(SEARCH("Druid",$T205,1),0)&gt;0,IFERROR(SEARCH(DruidLand1,$T205,1),0)&gt;0,IFERROR(SEARCH(DruidLand2,$T205,1),0)&gt;0,IFERROR(SEARCH(DruidLand3,$T205,1),0)&gt;0,IFERROR(SEARCH(DruidLand4,$T205,1),0)&gt;0),1,0)*IF($C205=1,1,0)*IF($C205=DJ$2,1,0)=0,0,1+COUNTIF(DJ$3:DJ204,"&gt;0"))</f>
        <v>0</v>
      </c>
      <c r="DK205">
        <f>IF(IF(OR(IFERROR(SEARCH("Druid",$T205,1),0)&gt;0,IFERROR(SEARCH(DruidLand1,$T205,1),0)&gt;0,IFERROR(SEARCH(DruidLand2,$T205,1),0)&gt;0,IFERROR(SEARCH(DruidLand3,$T205,1),0)&gt;0,IFERROR(SEARCH(DruidLand4,$T205,1),0)&gt;0),1,0)*IF($C205=1,1,0)*IF($C205=DK$2,1,0)=0,0,1+COUNTIF(DK$3:DK204,"&gt;0"))</f>
        <v>0</v>
      </c>
      <c r="DL205">
        <f>IF(IF(OR(IFERROR(SEARCH("Druid",$T205,1),0)&gt;0,IFERROR(SEARCH(DruidLand1,$T205,1),0)&gt;0,IFERROR(SEARCH(DruidLand2,$T205,1),0)&gt;0,IFERROR(SEARCH(DruidLand3,$T205,1),0)&gt;0,IFERROR(SEARCH(DruidLand4,$T205,1),0)&gt;0),1,0)*IF($C205=1,1,0)*IF($C205=DL$2,1,0)=0,0,1+COUNTIF(DL$3:DL204,"&gt;0"))</f>
        <v>0</v>
      </c>
      <c r="DM205">
        <f>IF(IF(OR(IFERROR(SEARCH("Druid",$T205,1),0)&gt;0,IFERROR(SEARCH(DruidLand1,$T205,1),0)&gt;0,IFERROR(SEARCH(DruidLand2,$T205,1),0)&gt;0,IFERROR(SEARCH(DruidLand3,$T205,1),0)&gt;0,IFERROR(SEARCH(DruidLand4,$T205,1),0)&gt;0),1,0)*IF($C205=1,1,0)*IF($C205=DM$2,1,0)=0,0,1+COUNTIF(DM$3:DM204,"&gt;0"))</f>
        <v>0</v>
      </c>
      <c r="DN205">
        <f>IF(IF(OR(IFERROR(SEARCH("Druid",$T205,1),0)&gt;0,IFERROR(SEARCH(DruidLand1,$T205,1),0)&gt;0,IFERROR(SEARCH(DruidLand2,$T205,1),0)&gt;0,IFERROR(SEARCH(DruidLand3,$T205,1),0)&gt;0,IFERROR(SEARCH(DruidLand4,$T205,1),0)&gt;0),1,0)*IF($C205=1,1,0)*IF($C205=DN$2,1,0)=0,0,1+COUNTIF(DN$3:DN204,"&gt;0"))</f>
        <v>0</v>
      </c>
      <c r="DO205">
        <f>IF(IF(OR(IFERROR(SEARCH("Druid",$T205,1),0)&gt;0,IFERROR(SEARCH(DruidLand1,$T205,1),0)&gt;0,IFERROR(SEARCH(DruidLand2,$T205,1),0)&gt;0,IFERROR(SEARCH(DruidLand3,$T205,1),0)&gt;0,IFERROR(SEARCH(DruidLand4,$T205,1),0)&gt;0),1,0)*IF($C205=1,1,0)*IF($C205=DO$2,1,0)=0,0,1+COUNTIF(DO$3:DO204,"&gt;0"))</f>
        <v>0</v>
      </c>
      <c r="DP205">
        <f>IF(IF(OR(IFERROR(SEARCH("Druid",$T205,1),0)&gt;0,IFERROR(SEARCH(DruidLand1,$T205,1),0)&gt;0,IFERROR(SEARCH(DruidLand2,$T205,1),0)&gt;0,IFERROR(SEARCH(DruidLand3,$T205,1),0)&gt;0,IFERROR(SEARCH(DruidLand4,$T205,1),0)&gt;0),1,0)*IF($C205=1,1,0)*IF($C205=DP$2,1,0)=0,0,1+COUNTIF(DP$3:DP204,"&gt;0"))</f>
        <v>0</v>
      </c>
      <c r="DQ205">
        <f>IF(IF(OR(IFERROR(SEARCH("Druid",$T205,1),0)&gt;0,IFERROR(SEARCH(DruidLand1,$T205,1),0)&gt;0,IFERROR(SEARCH(DruidLand2,$T205,1),0)&gt;0,IFERROR(SEARCH(DruidLand3,$T205,1),0)&gt;0,IFERROR(SEARCH(DruidLand4,$T205,1),0)&gt;0),1,0)*IF($C205=1,1,0)*IF($C205=DQ$2,1,0)=0,0,1+COUNTIF(DQ$3:DQ204,"&gt;0"))</f>
        <v>0</v>
      </c>
      <c r="DR205">
        <f>IF(IF(OR(IFERROR(SEARCH("Druid",$T205,1),0)&gt;0,IFERROR(SEARCH(DruidLand1,$T205,1),0)&gt;0,IFERROR(SEARCH(DruidLand2,$T205,1),0)&gt;0,IFERROR(SEARCH(DruidLand3,$T205,1),0)&gt;0,IFERROR(SEARCH(DruidLand4,$T205,1),0)&gt;0),1,0)*IF($C205=1,1,0)*IF($C205=DR$2,1,0)=0,0,1+COUNTIF(DR$3:DR204,"&gt;0"))</f>
        <v>0</v>
      </c>
      <c r="DS205">
        <f>IF(IF(OR(IFERROR(SEARCH("Paladin",$T205,1),0)&gt;0,IFERROR(SEARCH(PaladinOath,$T205,1),0)&gt;0),1,0)*IF($C205=DS$2,1,0)=1,1+COUNTIF(DS$3:DS204,"&gt;0"),0)</f>
        <v>0</v>
      </c>
      <c r="DT205">
        <f>IF(IF(OR(IFERROR(SEARCH("Paladin",$T205,1),0)&gt;0,IFERROR(SEARCH(PaladinOath,$T205,1),0)&gt;0),1,0)*IF($C205=DT$2,1,0)=1,1+COUNTIF(DT$3:DT204,"&gt;0"),0)</f>
        <v>0</v>
      </c>
      <c r="DU205">
        <f>IF(IF(OR(IFERROR(SEARCH("Paladin",$T205,1),0)&gt;0,IFERROR(SEARCH(PaladinOath,$T205,1),0)&gt;0),1,0)*IF($C205=DU$2,1,0)=1,1+COUNTIF(DU$3:DU204,"&gt;0"),0)</f>
        <v>0</v>
      </c>
      <c r="DV205">
        <f>IF(IF(OR(IFERROR(SEARCH("Paladin",$T205,1),0)&gt;0,IFERROR(SEARCH(PaladinOath,$T205,1),0)&gt;0),1,0)*IF($C205=DV$2,1,0)=1,1+COUNTIF(DV$3:DV204,"&gt;0"),0)</f>
        <v>0</v>
      </c>
      <c r="DW205">
        <f>IF(IF(OR(IFERROR(SEARCH("Paladin",$T205,1),0)&gt;0,IFERROR(SEARCH(PaladinOath,$T205,1),0)&gt;0),1,0)*IF($C205=DW$2,1,0)=1,1+COUNTIF(DW$3:DW204,"&gt;0"),0)</f>
        <v>0</v>
      </c>
      <c r="DY205">
        <f t="shared" si="166"/>
        <v>1</v>
      </c>
      <c r="DZ205">
        <f>IF(DY205=0,0,1+MAX(DZ$3:$DZ204))</f>
        <v>203</v>
      </c>
      <c r="EB205">
        <f t="shared" si="180"/>
        <v>1</v>
      </c>
      <c r="EC205">
        <f>IF(EB205=0,0,1+COUNTIF(EC$3:EC204,"&gt;0"))</f>
        <v>4</v>
      </c>
      <c r="ED205" t="str">
        <f t="shared" si="209"/>
        <v/>
      </c>
      <c r="EE205" t="str">
        <f t="shared" si="181"/>
        <v/>
      </c>
      <c r="EG205">
        <f t="shared" si="182"/>
        <v>1</v>
      </c>
      <c r="EH205">
        <f>IF(EG205=0,0,1+COUNTIF(EH$3:EH204,"&gt;0"))</f>
        <v>2</v>
      </c>
      <c r="EI205" t="str">
        <f t="shared" si="210"/>
        <v/>
      </c>
      <c r="EJ205" t="str">
        <f t="shared" si="183"/>
        <v/>
      </c>
      <c r="EL205">
        <f t="shared" si="184"/>
        <v>0</v>
      </c>
      <c r="EM205">
        <f>IF(EL205=0,0,1+COUNTIF(EM$3:EM204,"&gt;0"))</f>
        <v>0</v>
      </c>
      <c r="EN205" t="str">
        <f t="shared" si="211"/>
        <v/>
      </c>
      <c r="EO205" t="str">
        <f t="shared" si="185"/>
        <v/>
      </c>
      <c r="EQ205">
        <f t="shared" si="186"/>
        <v>1</v>
      </c>
      <c r="ER205">
        <f>IF(EQ205=0,0,1+COUNTIF(ER$3:ER204,"&gt;0"))</f>
        <v>6</v>
      </c>
      <c r="ES205" t="str">
        <f t="shared" si="212"/>
        <v/>
      </c>
      <c r="ET205" t="str">
        <f t="shared" si="187"/>
        <v/>
      </c>
      <c r="EV205">
        <f t="shared" si="188"/>
        <v>0</v>
      </c>
      <c r="EW205">
        <f>IF(EV205=0,0,1+COUNTIF(EW$3:EW204,"&gt;0"))</f>
        <v>0</v>
      </c>
      <c r="EX205" t="str">
        <f t="shared" si="213"/>
        <v/>
      </c>
      <c r="EY205" t="str">
        <f t="shared" si="189"/>
        <v/>
      </c>
      <c r="FA205">
        <f t="shared" si="190"/>
        <v>1</v>
      </c>
      <c r="FB205">
        <f>IF(FA205=0,0,1+COUNTIF(FB$3:FB204,"&gt;0"))</f>
        <v>7</v>
      </c>
      <c r="FC205" t="str">
        <f t="shared" si="214"/>
        <v/>
      </c>
      <c r="FD205" t="str">
        <f t="shared" si="191"/>
        <v/>
      </c>
      <c r="FF205">
        <f t="shared" si="192"/>
        <v>0</v>
      </c>
      <c r="FG205">
        <f>IF(FF205=0,0,1+COUNTIF(FG$3:FG204,"&gt;0"))</f>
        <v>0</v>
      </c>
      <c r="FH205" t="str">
        <f t="shared" si="215"/>
        <v/>
      </c>
      <c r="FI205" t="str">
        <f t="shared" si="193"/>
        <v/>
      </c>
      <c r="FK205">
        <f t="shared" si="194"/>
        <v>1</v>
      </c>
      <c r="FL205">
        <f>IF(FK205=0,0,1+COUNTIF(FL$3:FL204,"&gt;0"))</f>
        <v>7</v>
      </c>
      <c r="FM205" t="str">
        <f t="shared" si="216"/>
        <v/>
      </c>
      <c r="FN205" t="str">
        <f t="shared" si="195"/>
        <v/>
      </c>
      <c r="FP205">
        <f t="shared" si="196"/>
        <v>1</v>
      </c>
      <c r="FQ205">
        <f>IF(FP205=0,0,1+COUNTIF(FQ$3:FQ204,"&gt;0"))</f>
        <v>4</v>
      </c>
      <c r="FR205" t="str">
        <f t="shared" si="217"/>
        <v/>
      </c>
      <c r="FS205" t="str">
        <f t="shared" si="197"/>
        <v/>
      </c>
    </row>
    <row r="206" spans="1:175" x14ac:dyDescent="0.25">
      <c r="A206" s="347">
        <f t="shared" si="218"/>
        <v>204</v>
      </c>
      <c r="B206" s="348" t="s">
        <v>2584</v>
      </c>
      <c r="C206" s="348">
        <v>3</v>
      </c>
      <c r="D206" s="347">
        <v>3</v>
      </c>
      <c r="E206" s="627" t="s">
        <v>6952</v>
      </c>
      <c r="F206" s="346"/>
      <c r="G206" s="347" t="str">
        <f>""</f>
        <v/>
      </c>
      <c r="H206" s="347" t="s">
        <v>5918</v>
      </c>
      <c r="I206" s="347" t="s">
        <v>5283</v>
      </c>
      <c r="J206" s="347" t="str">
        <f t="shared" si="167"/>
        <v/>
      </c>
      <c r="K206" s="347" t="s">
        <v>5291</v>
      </c>
      <c r="L206" s="611" t="str">
        <f t="shared" si="168"/>
        <v>V, S</v>
      </c>
      <c r="M206" s="347" t="s">
        <v>2373</v>
      </c>
      <c r="N206" s="347" t="s">
        <v>2387</v>
      </c>
      <c r="O206" s="347" t="s">
        <v>3034</v>
      </c>
      <c r="Q206" s="347" t="s">
        <v>5276</v>
      </c>
      <c r="S206" s="346" t="s">
        <v>5752</v>
      </c>
      <c r="T206" s="346" t="str">
        <f t="shared" si="169"/>
        <v xml:space="preserve">Ranger, </v>
      </c>
      <c r="W206" s="347" t="str">
        <f>$B206</f>
        <v>Lightning Arrow</v>
      </c>
      <c r="AE206" t="str">
        <f>IF(IFERROR(MATCH($B206,temp!A$4:A$13,0),0)&gt;0,T08_Spells!AE$2,"")</f>
        <v/>
      </c>
      <c r="AF206" t="str">
        <f>IF(IFERROR(MATCH($B206,temp!B$4:B$13,0),0)&gt;0,T08_Spells!AF$2,"")</f>
        <v/>
      </c>
      <c r="AG206" t="str">
        <f>IF(IFERROR(MATCH($B206,temp!C$4:C$13,0),0)&gt;0,T08_Spells!AG$2,"")</f>
        <v/>
      </c>
      <c r="AH206" t="str">
        <f>IF(IFERROR(MATCH($B206,temp!D$4:D$13,0),0)&gt;0,T08_Spells!AH$2,"")</f>
        <v/>
      </c>
      <c r="AI206" t="str">
        <f>IF(IFERROR(MATCH($B206,temp!E$4:E$13,0),0)&gt;0,T08_Spells!AI$2,"")</f>
        <v/>
      </c>
      <c r="AJ206" t="str">
        <f>IF(IFERROR(MATCH($B206,temp!F$4:F$13,0),0)&gt;0,T08_Spells!AJ$2,"")</f>
        <v/>
      </c>
      <c r="AK206" t="str">
        <f>IF(IFERROR(MATCH($B206,temp!G$4:G$13,0),0)&gt;0,T08_Spells!AK$2,"")</f>
        <v/>
      </c>
      <c r="AL206" t="str">
        <f>IF(IFERROR(MATCH($B206,temp!H$4:H$13,0),0)&gt;0,T08_Spells!AL$2,"")</f>
        <v/>
      </c>
      <c r="AM206" t="str">
        <f>IF(IFERROR(MATCH($B206,temp!I$4:I$13,0),0)&gt;0,T08_Spells!AM$2,"")</f>
        <v/>
      </c>
      <c r="AN206" t="str">
        <f>IF(IFERROR(MATCH($B206,temp!J$4:J$13,0),0)&gt;0,T08_Spells!AN$2,"")</f>
        <v/>
      </c>
      <c r="AO206" t="str">
        <f>IF(IFERROR(MATCH($B206,temp!K$4:K$13,0),0)&gt;0,T08_Spells!AO$2,"")</f>
        <v/>
      </c>
      <c r="AP206" t="str">
        <f>IF(IFERROR(MATCH($B206,temp!L$4:L$13,0),0)&gt;0,T08_Spells!AP$2,"")</f>
        <v/>
      </c>
      <c r="AQ206" t="str">
        <f>IF(IFERROR(MATCH($B206,temp!M$4:M$13,0),0)&gt;0,T08_Spells!AQ$2,"")</f>
        <v/>
      </c>
      <c r="AR206" t="str">
        <f>IF(IFERROR(MATCH($B206,temp!N$4:N$13,0),0)&gt;0,T08_Spells!AR$2,"")</f>
        <v/>
      </c>
      <c r="AS206" t="str">
        <f>IF(IFERROR(MATCH($B206,temp!O$4:O$13,0),0)&gt;0,T08_Spells!AS$2,"")</f>
        <v/>
      </c>
      <c r="AT206" t="str">
        <f>IF(IFERROR(MATCH($B206,temp!P$4:P$13,0),0)&gt;0,T08_Spells!AT$2,"")</f>
        <v/>
      </c>
      <c r="AU206" t="str">
        <f>IF(IFERROR(MATCH($B206,temp!Q$4:Q$13,0),0)&gt;0,T08_Spells!AU$2,"")</f>
        <v/>
      </c>
      <c r="AV206" t="str">
        <f>IF(IFERROR(MATCH($B206,temp!R$4:R$13,0),0)&gt;0,T08_Spells!AV$2,"")</f>
        <v/>
      </c>
      <c r="AW206" t="str">
        <f>IF(IFERROR(MATCH($B206,temp!S$4:S$13,0),0)&gt;0,T08_Spells!AW$2,"")</f>
        <v/>
      </c>
      <c r="AX206" t="str">
        <f>IF(IFERROR(MATCH($B206,temp!T$4:T$13,0),0)&gt;0,T08_Spells!AX$2,"")</f>
        <v/>
      </c>
      <c r="AY206" t="str">
        <f>IF(IFERROR(MATCH($B206,temp!U$4:U$13,0),0)&gt;0,T08_Spells!AY$2,"")</f>
        <v/>
      </c>
      <c r="AZ206" t="str">
        <f>IF(IFERROR(MATCH($B206,temp!V$4:V$13,0),0)&gt;0,T08_Spells!AZ$2,"")</f>
        <v/>
      </c>
      <c r="BA206" t="str">
        <f>IF(IFERROR(MATCH($B206,temp!W$4:W$13,0),0)&gt;0,T08_Spells!BA$2,"")</f>
        <v/>
      </c>
      <c r="BC206">
        <f>IF(IFERROR(SEARCH("Ranger",$T206,1),0)&gt;0,1,0)*IF(RangerMaxSpellLevel&gt;=$C206,1,0)*IF(IFERROR(MATCH(B206,Character_Creation!$X$79:$X$382,0),0)&gt;0,0,1)</f>
        <v>0</v>
      </c>
      <c r="BD206">
        <f>IF(BC206=0,0,1+COUNTIF(BD$3:BD205,"&gt;0"))</f>
        <v>0</v>
      </c>
      <c r="BE206" t="str">
        <f t="shared" si="199"/>
        <v/>
      </c>
      <c r="BF206" t="str">
        <f t="shared" si="170"/>
        <v/>
      </c>
      <c r="BH206">
        <f>IF(IFERROR(SEARCH("Sorcerer",$T206,1),0)&gt;0,1,0)*IF(SorcererMaxSpellLevel&gt;=$C206,1,0)*IF(IFERROR(MATCH(B206,Character_Creation!$J$380:$J$394,0),0)&gt;0,0,1)</f>
        <v>0</v>
      </c>
      <c r="BI206">
        <f>IF(BH206=0,0,1+COUNTIF(BI$3:BI205,"&gt;0"))</f>
        <v>0</v>
      </c>
      <c r="BJ206" t="str">
        <f t="shared" si="200"/>
        <v/>
      </c>
      <c r="BK206" t="str">
        <f t="shared" si="171"/>
        <v/>
      </c>
      <c r="BM206">
        <f>IF(OR(IFERROR(SEARCH("Warlock",$T206,1),0)&gt;0,IFERROR(SEARCH(WarlockPatron,$T206,1),0)&gt;0),1,0)*IF(WarlockMaxSpellLevel&gt;=$C206,1,0)*IF(IFERROR(MATCH(B206,Character_Creation!$J$361:$J$375,0),0)&gt;0,0,1)</f>
        <v>0</v>
      </c>
      <c r="BN206">
        <f>IF(BM206=0,0,1+COUNTIF(BN$3:BN205,"&gt;0"))</f>
        <v>0</v>
      </c>
      <c r="BO206" t="str">
        <f t="shared" si="201"/>
        <v/>
      </c>
      <c r="BP206" t="str">
        <f t="shared" si="172"/>
        <v/>
      </c>
      <c r="BR206">
        <f>IF(IFERROR(SEARCH("Eldritch Knight",$T206,1),0)&gt;0,1,0)*IF(EldritchKnightMaxSpellLevel&gt;=$C206,1,0)*IF(IFERROR(MATCH($B206,Character_Creation!$J$350:$J$356,0),0)&gt;0,0,1)*IF(Character_Creation!$M$338&gt;0,1,0)</f>
        <v>0</v>
      </c>
      <c r="BS206">
        <f>IF(BR206=0,0,1+COUNTIF(BS$3:BS205,"&gt;0"))</f>
        <v>0</v>
      </c>
      <c r="BT206" t="str">
        <f t="shared" si="202"/>
        <v/>
      </c>
      <c r="BU206" t="str">
        <f t="shared" si="173"/>
        <v/>
      </c>
      <c r="BW206">
        <f>IF(IFERROR(SEARCH("Arcane Trickster",$T206,1),0)&gt;0,1,0)*IF(ArcaneTricksterMaxSpellLevel&gt;=$C206,1,0)*IF(IFERROR(MATCH($B206,Character_Creation!$J$350:$J$356,0),0)&gt;0,0,1)*IF(Character_Creation!$T$338&gt;0,1,0)</f>
        <v>0</v>
      </c>
      <c r="BX206">
        <f>IF(BW206=0,0,1+COUNTIF(BX$3:BX205,"&gt;0"))</f>
        <v>0</v>
      </c>
      <c r="BY206" t="str">
        <f t="shared" si="203"/>
        <v/>
      </c>
      <c r="BZ206" t="str">
        <f t="shared" si="174"/>
        <v/>
      </c>
      <c r="CB206">
        <f>IF(IFERROR(SEARCH("Wizard",$T206,1),0)&gt;0,1,0)*IF(C206&lt;=ArcaneTricksterMaxSpellLevel,1,0)*IF(IFERROR(MATCH($B206,Character_Creation!$J$350:$J$356,0),0)&gt;0,0,1)*IF(Character_Creation!$T$350&gt;0,1,0)</f>
        <v>0</v>
      </c>
      <c r="CC206">
        <f>IF(CB206=0,0,1+COUNTIF(CC$3:CC205,"&gt;0"))</f>
        <v>0</v>
      </c>
      <c r="CD206" t="str">
        <f t="shared" si="204"/>
        <v/>
      </c>
      <c r="CE206" t="str">
        <f t="shared" si="175"/>
        <v/>
      </c>
      <c r="CG206">
        <f>IF(IFERROR(SEARCH("Wizard",$T206,1),0)&gt;0,1,0)*IF($C206&lt;=EldritchKnightMaxSpellLevel,1,0)*IF(IFERROR(MATCH($B206,Character_Creation!$J$350:$J$356,0),0)&gt;0,0,1)*IF(Character_Creation!$M$350&gt;0,1,0)</f>
        <v>0</v>
      </c>
      <c r="CH206">
        <f>IF(CG206=0,0,1+COUNTIF(CH$3:CH205,"&gt;0"))</f>
        <v>0</v>
      </c>
      <c r="CI206" t="str">
        <f t="shared" si="205"/>
        <v/>
      </c>
      <c r="CJ206" t="str">
        <f t="shared" si="176"/>
        <v/>
      </c>
      <c r="CL206">
        <f>IF(IFERROR(SEARCH("Bard",$T206,1),0)&gt;0,1,0)*IF(BardMaxSpellLevel&gt;=$C206,1,0)*IF(IFERROR(MATCH(B206,Character_Creation!$C$341:$F$362,0),0)&gt;0,0,1)*IF(IFERROR(MATCH($B206,Character_Creation!$C$341:$C$362,0),0)&gt;0,0,1)</f>
        <v>0</v>
      </c>
      <c r="CM206">
        <f>IF(CL206=0,0,1+COUNTIF(CM$3:CM205,"&gt;0"))</f>
        <v>0</v>
      </c>
      <c r="CN206" t="str">
        <f t="shared" si="206"/>
        <v/>
      </c>
      <c r="CO206" t="str">
        <f t="shared" si="177"/>
        <v/>
      </c>
      <c r="CQ206">
        <f>IF(IFERROR(SEARCH("Wizard",$T206,1),0)&gt;0,1,0)*IF(WizardMaxSpellLevel&gt;=$C206,1,0)*IF(IFERROR(MATCH(B206,Character_Creation!$X$341:$X$400,0),0)&gt;0,0,1)*IF(SelectedWizardSpellLevel=$C206,1,0)</f>
        <v>0</v>
      </c>
      <c r="CR206">
        <f>IF(CQ206=0,0,1+COUNTIF(CR$3:CR205,"&gt;0"))</f>
        <v>0</v>
      </c>
      <c r="CS206" t="str">
        <f t="shared" si="207"/>
        <v/>
      </c>
      <c r="CT206" t="str">
        <f t="shared" si="178"/>
        <v/>
      </c>
      <c r="CV206">
        <f>IF(IFERROR(MATCH($B206,Character_Creation!$C$341:$C$362,0),0)&gt;0,0,1)*IF(OR(C206="Cantrip",C206&lt;=BardMaxSpellLevel),1,0)*IF(IFERROR(MATCH($B206,Character_Creation!$C$367:$C$374,0),0)&gt;0,0,1)</f>
        <v>0</v>
      </c>
      <c r="CW206">
        <f>IF(CV206=0,0,1+COUNTIF(CW$3:CW205,"&gt;0"))</f>
        <v>0</v>
      </c>
      <c r="CX206" t="str">
        <f t="shared" si="208"/>
        <v/>
      </c>
      <c r="CY206" t="str">
        <f t="shared" si="179"/>
        <v/>
      </c>
      <c r="DA206">
        <f>IF(IF(OR(IFERROR(SEARCH("Cleric",$T206,1),0)&gt;0,IFERROR(SEARCH(DivineDomain&amp;",",$T206,1),0)&gt;0),1,0)*IF($C206=DA$2,1,0)=1,1+COUNTIF(DA$3:DA205,"&gt;0"),0)</f>
        <v>0</v>
      </c>
      <c r="DB206">
        <f>IF(IF(OR(IFERROR(SEARCH("Cleric",$T206,1),0)&gt;0,IFERROR(SEARCH(DivineDomain&amp;",",$T206,1),0)&gt;0),1,0)*IF($C206=DB$2,1,0)=1,1+COUNTIF(DB$3:DB205,"&gt;0"),0)</f>
        <v>0</v>
      </c>
      <c r="DC206">
        <f>IF(IF(OR(IFERROR(SEARCH("Cleric",$T206,1),0)&gt;0,IFERROR(SEARCH(DivineDomain&amp;",",$T206,1),0)&gt;0),1,0)*IF($C206=DC$2,1,0)=1,1+COUNTIF(DC$3:DC205,"&gt;0"),0)</f>
        <v>0</v>
      </c>
      <c r="DD206">
        <f>IF(IF(OR(IFERROR(SEARCH("Cleric",$T206,1),0)&gt;0,IFERROR(SEARCH(DivineDomain&amp;",",$T206,1),0)&gt;0),1,0)*IF($C206=DD$2,1,0)=1,1+COUNTIF(DD$3:DD205,"&gt;0"),0)</f>
        <v>0</v>
      </c>
      <c r="DE206">
        <f>IF(IF(OR(IFERROR(SEARCH("Cleric",$T206,1),0)&gt;0,IFERROR(SEARCH(DivineDomain&amp;",",$T206,1),0)&gt;0),1,0)*IF($C206=DE$2,1,0)=1,1+COUNTIF(DE$3:DE205,"&gt;0"),0)</f>
        <v>0</v>
      </c>
      <c r="DF206">
        <f>IF(IF(OR(IFERROR(SEARCH("Cleric",$T206,1),0)&gt;0,IFERROR(SEARCH(DivineDomain&amp;",",$T206,1),0)&gt;0),1,0)*IF($C206=DF$2,1,0)=1,1+COUNTIF(DF$3:DF205,"&gt;0"),0)</f>
        <v>0</v>
      </c>
      <c r="DG206">
        <f>IF(IF(OR(IFERROR(SEARCH("Cleric",$T206,1),0)&gt;0,IFERROR(SEARCH(DivineDomain&amp;",",$T206,1),0)&gt;0),1,0)*IF($C206=DG$2,1,0)=1,1+COUNTIF(DG$3:DG205,"&gt;0"),0)</f>
        <v>0</v>
      </c>
      <c r="DH206">
        <f>IF(IF(OR(IFERROR(SEARCH("Cleric",$T206,1),0)&gt;0,IFERROR(SEARCH(DivineDomain&amp;",",$T206,1),0)&gt;0),1,0)*IF($C206=DH$2,1,0)=1,1+COUNTIF(DH$3:DH205,"&gt;0"),0)</f>
        <v>0</v>
      </c>
      <c r="DI206">
        <f>IF(IF(OR(IFERROR(SEARCH("Cleric",$T206,1),0)&gt;0,IFERROR(SEARCH(DivineDomain&amp;",",$T206,1),0)&gt;0),1,0)*IF($C206=DI$2,1,0)=1,1+COUNTIF(DI$3:DI205,"&gt;0"),0)</f>
        <v>0</v>
      </c>
      <c r="DJ206">
        <f>IF(IF(OR(IFERROR(SEARCH("Druid",$T206,1),0)&gt;0,IFERROR(SEARCH(DruidLand1,$T206,1),0)&gt;0,IFERROR(SEARCH(DruidLand2,$T206,1),0)&gt;0,IFERROR(SEARCH(DruidLand3,$T206,1),0)&gt;0,IFERROR(SEARCH(DruidLand4,$T206,1),0)&gt;0),1,0)*IF($C206=1,1,0)*IF($C206=DJ$2,1,0)=0,0,1+COUNTIF(DJ$3:DJ205,"&gt;0"))</f>
        <v>0</v>
      </c>
      <c r="DK206">
        <f>IF(IF(OR(IFERROR(SEARCH("Druid",$T206,1),0)&gt;0,IFERROR(SEARCH(DruidLand1,$T206,1),0)&gt;0,IFERROR(SEARCH(DruidLand2,$T206,1),0)&gt;0,IFERROR(SEARCH(DruidLand3,$T206,1),0)&gt;0,IFERROR(SEARCH(DruidLand4,$T206,1),0)&gt;0),1,0)*IF($C206=1,1,0)*IF($C206=DK$2,1,0)=0,0,1+COUNTIF(DK$3:DK205,"&gt;0"))</f>
        <v>0</v>
      </c>
      <c r="DL206">
        <f>IF(IF(OR(IFERROR(SEARCH("Druid",$T206,1),0)&gt;0,IFERROR(SEARCH(DruidLand1,$T206,1),0)&gt;0,IFERROR(SEARCH(DruidLand2,$T206,1),0)&gt;0,IFERROR(SEARCH(DruidLand3,$T206,1),0)&gt;0,IFERROR(SEARCH(DruidLand4,$T206,1),0)&gt;0),1,0)*IF($C206=1,1,0)*IF($C206=DL$2,1,0)=0,0,1+COUNTIF(DL$3:DL205,"&gt;0"))</f>
        <v>0</v>
      </c>
      <c r="DM206">
        <f>IF(IF(OR(IFERROR(SEARCH("Druid",$T206,1),0)&gt;0,IFERROR(SEARCH(DruidLand1,$T206,1),0)&gt;0,IFERROR(SEARCH(DruidLand2,$T206,1),0)&gt;0,IFERROR(SEARCH(DruidLand3,$T206,1),0)&gt;0,IFERROR(SEARCH(DruidLand4,$T206,1),0)&gt;0),1,0)*IF($C206=1,1,0)*IF($C206=DM$2,1,0)=0,0,1+COUNTIF(DM$3:DM205,"&gt;0"))</f>
        <v>0</v>
      </c>
      <c r="DN206">
        <f>IF(IF(OR(IFERROR(SEARCH("Druid",$T206,1),0)&gt;0,IFERROR(SEARCH(DruidLand1,$T206,1),0)&gt;0,IFERROR(SEARCH(DruidLand2,$T206,1),0)&gt;0,IFERROR(SEARCH(DruidLand3,$T206,1),0)&gt;0,IFERROR(SEARCH(DruidLand4,$T206,1),0)&gt;0),1,0)*IF($C206=1,1,0)*IF($C206=DN$2,1,0)=0,0,1+COUNTIF(DN$3:DN205,"&gt;0"))</f>
        <v>0</v>
      </c>
      <c r="DO206">
        <f>IF(IF(OR(IFERROR(SEARCH("Druid",$T206,1),0)&gt;0,IFERROR(SEARCH(DruidLand1,$T206,1),0)&gt;0,IFERROR(SEARCH(DruidLand2,$T206,1),0)&gt;0,IFERROR(SEARCH(DruidLand3,$T206,1),0)&gt;0,IFERROR(SEARCH(DruidLand4,$T206,1),0)&gt;0),1,0)*IF($C206=1,1,0)*IF($C206=DO$2,1,0)=0,0,1+COUNTIF(DO$3:DO205,"&gt;0"))</f>
        <v>0</v>
      </c>
      <c r="DP206">
        <f>IF(IF(OR(IFERROR(SEARCH("Druid",$T206,1),0)&gt;0,IFERROR(SEARCH(DruidLand1,$T206,1),0)&gt;0,IFERROR(SEARCH(DruidLand2,$T206,1),0)&gt;0,IFERROR(SEARCH(DruidLand3,$T206,1),0)&gt;0,IFERROR(SEARCH(DruidLand4,$T206,1),0)&gt;0),1,0)*IF($C206=1,1,0)*IF($C206=DP$2,1,0)=0,0,1+COUNTIF(DP$3:DP205,"&gt;0"))</f>
        <v>0</v>
      </c>
      <c r="DQ206">
        <f>IF(IF(OR(IFERROR(SEARCH("Druid",$T206,1),0)&gt;0,IFERROR(SEARCH(DruidLand1,$T206,1),0)&gt;0,IFERROR(SEARCH(DruidLand2,$T206,1),0)&gt;0,IFERROR(SEARCH(DruidLand3,$T206,1),0)&gt;0,IFERROR(SEARCH(DruidLand4,$T206,1),0)&gt;0),1,0)*IF($C206=1,1,0)*IF($C206=DQ$2,1,0)=0,0,1+COUNTIF(DQ$3:DQ205,"&gt;0"))</f>
        <v>0</v>
      </c>
      <c r="DR206">
        <f>IF(IF(OR(IFERROR(SEARCH("Druid",$T206,1),0)&gt;0,IFERROR(SEARCH(DruidLand1,$T206,1),0)&gt;0,IFERROR(SEARCH(DruidLand2,$T206,1),0)&gt;0,IFERROR(SEARCH(DruidLand3,$T206,1),0)&gt;0,IFERROR(SEARCH(DruidLand4,$T206,1),0)&gt;0),1,0)*IF($C206=1,1,0)*IF($C206=DR$2,1,0)=0,0,1+COUNTIF(DR$3:DR205,"&gt;0"))</f>
        <v>0</v>
      </c>
      <c r="DS206">
        <f>IF(IF(OR(IFERROR(SEARCH("Paladin",$T206,1),0)&gt;0,IFERROR(SEARCH(PaladinOath,$T206,1),0)&gt;0),1,0)*IF($C206=DS$2,1,0)=1,1+COUNTIF(DS$3:DS205,"&gt;0"),0)</f>
        <v>0</v>
      </c>
      <c r="DT206">
        <f>IF(IF(OR(IFERROR(SEARCH("Paladin",$T206,1),0)&gt;0,IFERROR(SEARCH(PaladinOath,$T206,1),0)&gt;0),1,0)*IF($C206=DT$2,1,0)=1,1+COUNTIF(DT$3:DT205,"&gt;0"),0)</f>
        <v>0</v>
      </c>
      <c r="DU206">
        <f>IF(IF(OR(IFERROR(SEARCH("Paladin",$T206,1),0)&gt;0,IFERROR(SEARCH(PaladinOath,$T206,1),0)&gt;0),1,0)*IF($C206=DU$2,1,0)=1,1+COUNTIF(DU$3:DU205,"&gt;0"),0)</f>
        <v>0</v>
      </c>
      <c r="DV206">
        <f>IF(IF(OR(IFERROR(SEARCH("Paladin",$T206,1),0)&gt;0,IFERROR(SEARCH(PaladinOath,$T206,1),0)&gt;0),1,0)*IF($C206=DV$2,1,0)=1,1+COUNTIF(DV$3:DV205,"&gt;0"),0)</f>
        <v>0</v>
      </c>
      <c r="DW206">
        <f>IF(IF(OR(IFERROR(SEARCH("Paladin",$T206,1),0)&gt;0,IFERROR(SEARCH(PaladinOath,$T206,1),0)&gt;0),1,0)*IF($C206=DW$2,1,0)=1,1+COUNTIF(DW$3:DW205,"&gt;0"),0)</f>
        <v>0</v>
      </c>
      <c r="DY206">
        <f t="shared" si="166"/>
        <v>1</v>
      </c>
      <c r="DZ206">
        <f>IF(DY206=0,0,1+MAX(DZ$3:$DZ205))</f>
        <v>204</v>
      </c>
      <c r="EB206">
        <f t="shared" si="180"/>
        <v>0</v>
      </c>
      <c r="EC206">
        <f>IF(EB206=0,0,1+COUNTIF(EC$3:EC205,"&gt;0"))</f>
        <v>0</v>
      </c>
      <c r="ED206" t="str">
        <f t="shared" si="209"/>
        <v/>
      </c>
      <c r="EE206" t="str">
        <f t="shared" si="181"/>
        <v/>
      </c>
      <c r="EG206">
        <f t="shared" si="182"/>
        <v>0</v>
      </c>
      <c r="EH206">
        <f>IF(EG206=0,0,1+COUNTIF(EH$3:EH205,"&gt;0"))</f>
        <v>0</v>
      </c>
      <c r="EI206" t="str">
        <f t="shared" si="210"/>
        <v/>
      </c>
      <c r="EJ206" t="str">
        <f t="shared" si="183"/>
        <v/>
      </c>
      <c r="EL206">
        <f t="shared" si="184"/>
        <v>0</v>
      </c>
      <c r="EM206">
        <f>IF(EL206=0,0,1+COUNTIF(EM$3:EM205,"&gt;0"))</f>
        <v>0</v>
      </c>
      <c r="EN206" t="str">
        <f t="shared" si="211"/>
        <v/>
      </c>
      <c r="EO206" t="str">
        <f t="shared" si="185"/>
        <v/>
      </c>
      <c r="EQ206">
        <f t="shared" si="186"/>
        <v>0</v>
      </c>
      <c r="ER206">
        <f>IF(EQ206=0,0,1+COUNTIF(ER$3:ER205,"&gt;0"))</f>
        <v>0</v>
      </c>
      <c r="ES206" t="str">
        <f t="shared" si="212"/>
        <v/>
      </c>
      <c r="ET206" t="str">
        <f t="shared" si="187"/>
        <v/>
      </c>
      <c r="EV206">
        <f t="shared" si="188"/>
        <v>0</v>
      </c>
      <c r="EW206">
        <f>IF(EV206=0,0,1+COUNTIF(EW$3:EW205,"&gt;0"))</f>
        <v>0</v>
      </c>
      <c r="EX206" t="str">
        <f t="shared" si="213"/>
        <v/>
      </c>
      <c r="EY206" t="str">
        <f t="shared" si="189"/>
        <v/>
      </c>
      <c r="FA206">
        <f t="shared" si="190"/>
        <v>0</v>
      </c>
      <c r="FB206">
        <f>IF(FA206=0,0,1+COUNTIF(FB$3:FB205,"&gt;0"))</f>
        <v>0</v>
      </c>
      <c r="FC206" t="str">
        <f t="shared" si="214"/>
        <v/>
      </c>
      <c r="FD206" t="str">
        <f t="shared" si="191"/>
        <v/>
      </c>
      <c r="FF206">
        <f t="shared" si="192"/>
        <v>0</v>
      </c>
      <c r="FG206">
        <f>IF(FF206=0,0,1+COUNTIF(FG$3:FG205,"&gt;0"))</f>
        <v>0</v>
      </c>
      <c r="FH206" t="str">
        <f t="shared" si="215"/>
        <v/>
      </c>
      <c r="FI206" t="str">
        <f t="shared" si="193"/>
        <v/>
      </c>
      <c r="FK206">
        <f t="shared" si="194"/>
        <v>0</v>
      </c>
      <c r="FL206">
        <f>IF(FK206=0,0,1+COUNTIF(FL$3:FL205,"&gt;0"))</f>
        <v>0</v>
      </c>
      <c r="FM206" t="str">
        <f t="shared" si="216"/>
        <v/>
      </c>
      <c r="FN206" t="str">
        <f t="shared" si="195"/>
        <v/>
      </c>
      <c r="FP206">
        <f t="shared" si="196"/>
        <v>0</v>
      </c>
      <c r="FQ206">
        <f>IF(FP206=0,0,1+COUNTIF(FQ$3:FQ205,"&gt;0"))</f>
        <v>0</v>
      </c>
      <c r="FR206" t="str">
        <f t="shared" si="217"/>
        <v/>
      </c>
      <c r="FS206" t="str">
        <f t="shared" si="197"/>
        <v/>
      </c>
    </row>
    <row r="207" spans="1:175" x14ac:dyDescent="0.25">
      <c r="A207" s="347">
        <f>A206+1</f>
        <v>205</v>
      </c>
      <c r="B207" s="348" t="s">
        <v>2585</v>
      </c>
      <c r="C207" s="348">
        <v>3</v>
      </c>
      <c r="D207" s="347">
        <v>3</v>
      </c>
      <c r="E207" s="627" t="s">
        <v>6952</v>
      </c>
      <c r="F207" s="346"/>
      <c r="G207" s="347" t="str">
        <f>""</f>
        <v/>
      </c>
      <c r="H207" s="347" t="s">
        <v>5912</v>
      </c>
      <c r="I207" s="347" t="s">
        <v>5378</v>
      </c>
      <c r="J207" s="347" t="str">
        <f t="shared" si="167"/>
        <v/>
      </c>
      <c r="K207" s="347" t="s">
        <v>5278</v>
      </c>
      <c r="L207" s="611" t="str">
        <f t="shared" si="168"/>
        <v>V, S, M, a bit of fur and a rod of amber, crystal, or glass</v>
      </c>
      <c r="M207" s="347" t="s">
        <v>2373</v>
      </c>
      <c r="N207" s="347" t="s">
        <v>2387</v>
      </c>
      <c r="O207" s="347" t="s">
        <v>1244</v>
      </c>
      <c r="P207" s="346" t="s">
        <v>5417</v>
      </c>
      <c r="Q207" s="347" t="s">
        <v>5273</v>
      </c>
      <c r="S207" s="346" t="s">
        <v>5753</v>
      </c>
      <c r="T207" s="346" t="str">
        <f t="shared" si="169"/>
        <v xml:space="preserve">Sorcerer, Eldritch Knight, Wizard, Mountain, </v>
      </c>
      <c r="X207" s="347" t="str">
        <f>$B207</f>
        <v>Lightning Bolt</v>
      </c>
      <c r="AB207" s="542" t="str">
        <f>AD207</f>
        <v>Lightning Bolt</v>
      </c>
      <c r="AD207" s="347" t="str">
        <f>$B207</f>
        <v>Lightning Bolt</v>
      </c>
      <c r="AE207" t="str">
        <f>IF(IFERROR(MATCH($B207,temp!A$4:A$13,0),0)&gt;0,T08_Spells!AE$2,"")</f>
        <v/>
      </c>
      <c r="AF207" t="str">
        <f>IF(IFERROR(MATCH($B207,temp!B$4:B$13,0),0)&gt;0,T08_Spells!AF$2,"")</f>
        <v/>
      </c>
      <c r="AG207" t="str">
        <f>IF(IFERROR(MATCH($B207,temp!C$4:C$13,0),0)&gt;0,T08_Spells!AG$2,"")</f>
        <v/>
      </c>
      <c r="AH207" t="str">
        <f>IF(IFERROR(MATCH($B207,temp!D$4:D$13,0),0)&gt;0,T08_Spells!AH$2,"")</f>
        <v/>
      </c>
      <c r="AI207" t="str">
        <f>IF(IFERROR(MATCH($B207,temp!E$4:E$13,0),0)&gt;0,T08_Spells!AI$2,"")</f>
        <v/>
      </c>
      <c r="AJ207" t="str">
        <f>IF(IFERROR(MATCH($B207,temp!F$4:F$13,0),0)&gt;0,T08_Spells!AJ$2,"")</f>
        <v/>
      </c>
      <c r="AK207" t="str">
        <f>IF(IFERROR(MATCH($B207,temp!G$4:G$13,0),0)&gt;0,T08_Spells!AK$2,"")</f>
        <v/>
      </c>
      <c r="AL207" t="str">
        <f>IF(IFERROR(MATCH($B207,temp!H$4:H$13,0),0)&gt;0,T08_Spells!AL$2,"")</f>
        <v/>
      </c>
      <c r="AM207" t="str">
        <f>IF(IFERROR(MATCH($B207,temp!I$4:I$13,0),0)&gt;0,T08_Spells!AM$2,"")</f>
        <v/>
      </c>
      <c r="AN207" t="str">
        <f>IF(IFERROR(MATCH($B207,temp!J$4:J$13,0),0)&gt;0,T08_Spells!AN$2,"")</f>
        <v/>
      </c>
      <c r="AO207" t="str">
        <f>IF(IFERROR(MATCH($B207,temp!K$4:K$13,0),0)&gt;0,T08_Spells!AO$2,"")</f>
        <v/>
      </c>
      <c r="AP207" t="str">
        <f>IF(IFERROR(MATCH($B207,temp!L$4:L$13,0),0)&gt;0,T08_Spells!AP$2,"")</f>
        <v/>
      </c>
      <c r="AQ207" t="str">
        <f>IF(IFERROR(MATCH($B207,temp!M$4:M$13,0),0)&gt;0,T08_Spells!AQ$2,"")</f>
        <v>Mountain</v>
      </c>
      <c r="AR207" t="str">
        <f>IF(IFERROR(MATCH($B207,temp!N$4:N$13,0),0)&gt;0,T08_Spells!AR$2,"")</f>
        <v/>
      </c>
      <c r="AS207" t="str">
        <f>IF(IFERROR(MATCH($B207,temp!O$4:O$13,0),0)&gt;0,T08_Spells!AS$2,"")</f>
        <v/>
      </c>
      <c r="AT207" t="str">
        <f>IF(IFERROR(MATCH($B207,temp!P$4:P$13,0),0)&gt;0,T08_Spells!AT$2,"")</f>
        <v/>
      </c>
      <c r="AU207" t="str">
        <f>IF(IFERROR(MATCH($B207,temp!Q$4:Q$13,0),0)&gt;0,T08_Spells!AU$2,"")</f>
        <v/>
      </c>
      <c r="AV207" t="str">
        <f>IF(IFERROR(MATCH($B207,temp!R$4:R$13,0),0)&gt;0,T08_Spells!AV$2,"")</f>
        <v/>
      </c>
      <c r="AW207" t="str">
        <f>IF(IFERROR(MATCH($B207,temp!S$4:S$13,0),0)&gt;0,T08_Spells!AW$2,"")</f>
        <v/>
      </c>
      <c r="AX207" t="str">
        <f>IF(IFERROR(MATCH($B207,temp!T$4:T$13,0),0)&gt;0,T08_Spells!AX$2,"")</f>
        <v/>
      </c>
      <c r="AY207" t="str">
        <f>IF(IFERROR(MATCH($B207,temp!U$4:U$13,0),0)&gt;0,T08_Spells!AY$2,"")</f>
        <v/>
      </c>
      <c r="AZ207" t="str">
        <f>IF(IFERROR(MATCH($B207,temp!V$4:V$13,0),0)&gt;0,T08_Spells!AZ$2,"")</f>
        <v/>
      </c>
      <c r="BA207" t="str">
        <f>IF(IFERROR(MATCH($B207,temp!W$4:W$13,0),0)&gt;0,T08_Spells!BA$2,"")</f>
        <v/>
      </c>
      <c r="BC207">
        <f>IF(IFERROR(SEARCH("Ranger",$T207,1),0)&gt;0,1,0)*IF(RangerMaxSpellLevel&gt;=$C207,1,0)*IF(IFERROR(MATCH(B207,Character_Creation!$X$79:$X$382,0),0)&gt;0,0,1)</f>
        <v>0</v>
      </c>
      <c r="BD207">
        <f>IF(BC207=0,0,1+COUNTIF(BD$3:BD206,"&gt;0"))</f>
        <v>0</v>
      </c>
      <c r="BE207" t="str">
        <f t="shared" si="199"/>
        <v/>
      </c>
      <c r="BF207" t="str">
        <f t="shared" si="170"/>
        <v/>
      </c>
      <c r="BH207">
        <f>IF(IFERROR(SEARCH("Sorcerer",$T207,1),0)&gt;0,1,0)*IF(SorcererMaxSpellLevel&gt;=$C207,1,0)*IF(IFERROR(MATCH(B207,Character_Creation!$J$380:$J$394,0),0)&gt;0,0,1)</f>
        <v>0</v>
      </c>
      <c r="BI207">
        <f>IF(BH207=0,0,1+COUNTIF(BI$3:BI206,"&gt;0"))</f>
        <v>0</v>
      </c>
      <c r="BJ207" t="str">
        <f t="shared" si="200"/>
        <v/>
      </c>
      <c r="BK207" t="str">
        <f t="shared" si="171"/>
        <v/>
      </c>
      <c r="BM207">
        <f>IF(OR(IFERROR(SEARCH("Warlock",$T207,1),0)&gt;0,IFERROR(SEARCH(WarlockPatron,$T207,1),0)&gt;0),1,0)*IF(WarlockMaxSpellLevel&gt;=$C207,1,0)*IF(IFERROR(MATCH(B207,Character_Creation!$J$361:$J$375,0),0)&gt;0,0,1)</f>
        <v>0</v>
      </c>
      <c r="BN207">
        <f>IF(BM207=0,0,1+COUNTIF(BN$3:BN206,"&gt;0"))</f>
        <v>0</v>
      </c>
      <c r="BO207" t="str">
        <f t="shared" si="201"/>
        <v/>
      </c>
      <c r="BP207" t="str">
        <f t="shared" si="172"/>
        <v/>
      </c>
      <c r="BR207">
        <f>IF(IFERROR(SEARCH("Eldritch Knight",$T207,1),0)&gt;0,1,0)*IF(EldritchKnightMaxSpellLevel&gt;=$C207,1,0)*IF(IFERROR(MATCH($B207,Character_Creation!$J$350:$J$356,0),0)&gt;0,0,1)*IF(Character_Creation!$M$338&gt;0,1,0)</f>
        <v>0</v>
      </c>
      <c r="BS207">
        <f>IF(BR207=0,0,1+COUNTIF(BS$3:BS206,"&gt;0"))</f>
        <v>0</v>
      </c>
      <c r="BT207" t="str">
        <f t="shared" si="202"/>
        <v/>
      </c>
      <c r="BU207" t="str">
        <f t="shared" si="173"/>
        <v/>
      </c>
      <c r="BW207">
        <f>IF(IFERROR(SEARCH("Arcane Trickster",$T207,1),0)&gt;0,1,0)*IF(ArcaneTricksterMaxSpellLevel&gt;=$C207,1,0)*IF(IFERROR(MATCH($B207,Character_Creation!$J$350:$J$356,0),0)&gt;0,0,1)*IF(Character_Creation!$T$338&gt;0,1,0)</f>
        <v>0</v>
      </c>
      <c r="BX207">
        <f>IF(BW207=0,0,1+COUNTIF(BX$3:BX206,"&gt;0"))</f>
        <v>0</v>
      </c>
      <c r="BY207" t="str">
        <f t="shared" si="203"/>
        <v/>
      </c>
      <c r="BZ207" t="str">
        <f t="shared" si="174"/>
        <v/>
      </c>
      <c r="CB207">
        <f>IF(IFERROR(SEARCH("Wizard",$T207,1),0)&gt;0,1,0)*IF(C207&lt;=ArcaneTricksterMaxSpellLevel,1,0)*IF(IFERROR(MATCH($B207,Character_Creation!$J$350:$J$356,0),0)&gt;0,0,1)*IF(Character_Creation!$T$350&gt;0,1,0)</f>
        <v>0</v>
      </c>
      <c r="CC207">
        <f>IF(CB207=0,0,1+COUNTIF(CC$3:CC206,"&gt;0"))</f>
        <v>0</v>
      </c>
      <c r="CD207" t="str">
        <f t="shared" si="204"/>
        <v/>
      </c>
      <c r="CE207" t="str">
        <f t="shared" si="175"/>
        <v/>
      </c>
      <c r="CG207">
        <f>IF(IFERROR(SEARCH("Wizard",$T207,1),0)&gt;0,1,0)*IF($C207&lt;=EldritchKnightMaxSpellLevel,1,0)*IF(IFERROR(MATCH($B207,Character_Creation!$J$350:$J$356,0),0)&gt;0,0,1)*IF(Character_Creation!$M$350&gt;0,1,0)</f>
        <v>0</v>
      </c>
      <c r="CH207">
        <f>IF(CG207=0,0,1+COUNTIF(CH$3:CH206,"&gt;0"))</f>
        <v>0</v>
      </c>
      <c r="CI207" t="str">
        <f t="shared" si="205"/>
        <v/>
      </c>
      <c r="CJ207" t="str">
        <f t="shared" si="176"/>
        <v/>
      </c>
      <c r="CL207">
        <f>IF(IFERROR(SEARCH("Bard",$T207,1),0)&gt;0,1,0)*IF(BardMaxSpellLevel&gt;=$C207,1,0)*IF(IFERROR(MATCH(B207,Character_Creation!$C$341:$F$362,0),0)&gt;0,0,1)*IF(IFERROR(MATCH($B207,Character_Creation!$C$341:$C$362,0),0)&gt;0,0,1)</f>
        <v>0</v>
      </c>
      <c r="CM207">
        <f>IF(CL207=0,0,1+COUNTIF(CM$3:CM206,"&gt;0"))</f>
        <v>0</v>
      </c>
      <c r="CN207" t="str">
        <f t="shared" si="206"/>
        <v/>
      </c>
      <c r="CO207" t="str">
        <f t="shared" si="177"/>
        <v/>
      </c>
      <c r="CQ207">
        <f>IF(IFERROR(SEARCH("Wizard",$T207,1),0)&gt;0,1,0)*IF(WizardMaxSpellLevel&gt;=$C207,1,0)*IF(IFERROR(MATCH(B207,Character_Creation!$X$341:$X$400,0),0)&gt;0,0,1)*IF(SelectedWizardSpellLevel=$C207,1,0)</f>
        <v>1</v>
      </c>
      <c r="CR207">
        <f>IF(CQ207=0,0,1+COUNTIF(CR$3:CR206,"&gt;0"))</f>
        <v>14</v>
      </c>
      <c r="CS207" t="str">
        <f t="shared" si="207"/>
        <v/>
      </c>
      <c r="CT207" t="str">
        <f t="shared" si="178"/>
        <v/>
      </c>
      <c r="CV207">
        <f>IF(IFERROR(MATCH($B207,Character_Creation!$C$341:$C$362,0),0)&gt;0,0,1)*IF(OR(C207="Cantrip",C207&lt;=BardMaxSpellLevel),1,0)*IF(IFERROR(MATCH($B207,Character_Creation!$C$367:$C$374,0),0)&gt;0,0,1)</f>
        <v>0</v>
      </c>
      <c r="CW207">
        <f>IF(CV207=0,0,1+COUNTIF(CW$3:CW206,"&gt;0"))</f>
        <v>0</v>
      </c>
      <c r="CX207" t="str">
        <f t="shared" si="208"/>
        <v/>
      </c>
      <c r="CY207" t="str">
        <f t="shared" si="179"/>
        <v/>
      </c>
      <c r="DA207">
        <f>IF(IF(OR(IFERROR(SEARCH("Cleric",$T207,1),0)&gt;0,IFERROR(SEARCH(DivineDomain&amp;",",$T207,1),0)&gt;0),1,0)*IF($C207=DA$2,1,0)=1,1+COUNTIF(DA$3:DA206,"&gt;0"),0)</f>
        <v>0</v>
      </c>
      <c r="DB207">
        <f>IF(IF(OR(IFERROR(SEARCH("Cleric",$T207,1),0)&gt;0,IFERROR(SEARCH(DivineDomain&amp;",",$T207,1),0)&gt;0),1,0)*IF($C207=DB$2,1,0)=1,1+COUNTIF(DB$3:DB206,"&gt;0"),0)</f>
        <v>0</v>
      </c>
      <c r="DC207">
        <f>IF(IF(OR(IFERROR(SEARCH("Cleric",$T207,1),0)&gt;0,IFERROR(SEARCH(DivineDomain&amp;",",$T207,1),0)&gt;0),1,0)*IF($C207=DC$2,1,0)=1,1+COUNTIF(DC$3:DC206,"&gt;0"),0)</f>
        <v>0</v>
      </c>
      <c r="DD207">
        <f>IF(IF(OR(IFERROR(SEARCH("Cleric",$T207,1),0)&gt;0,IFERROR(SEARCH(DivineDomain&amp;",",$T207,1),0)&gt;0),1,0)*IF($C207=DD$2,1,0)=1,1+COUNTIF(DD$3:DD206,"&gt;0"),0)</f>
        <v>0</v>
      </c>
      <c r="DE207">
        <f>IF(IF(OR(IFERROR(SEARCH("Cleric",$T207,1),0)&gt;0,IFERROR(SEARCH(DivineDomain&amp;",",$T207,1),0)&gt;0),1,0)*IF($C207=DE$2,1,0)=1,1+COUNTIF(DE$3:DE206,"&gt;0"),0)</f>
        <v>0</v>
      </c>
      <c r="DF207">
        <f>IF(IF(OR(IFERROR(SEARCH("Cleric",$T207,1),0)&gt;0,IFERROR(SEARCH(DivineDomain&amp;",",$T207,1),0)&gt;0),1,0)*IF($C207=DF$2,1,0)=1,1+COUNTIF(DF$3:DF206,"&gt;0"),0)</f>
        <v>0</v>
      </c>
      <c r="DG207">
        <f>IF(IF(OR(IFERROR(SEARCH("Cleric",$T207,1),0)&gt;0,IFERROR(SEARCH(DivineDomain&amp;",",$T207,1),0)&gt;0),1,0)*IF($C207=DG$2,1,0)=1,1+COUNTIF(DG$3:DG206,"&gt;0"),0)</f>
        <v>0</v>
      </c>
      <c r="DH207">
        <f>IF(IF(OR(IFERROR(SEARCH("Cleric",$T207,1),0)&gt;0,IFERROR(SEARCH(DivineDomain&amp;",",$T207,1),0)&gt;0),1,0)*IF($C207=DH$2,1,0)=1,1+COUNTIF(DH$3:DH206,"&gt;0"),0)</f>
        <v>0</v>
      </c>
      <c r="DI207">
        <f>IF(IF(OR(IFERROR(SEARCH("Cleric",$T207,1),0)&gt;0,IFERROR(SEARCH(DivineDomain&amp;",",$T207,1),0)&gt;0),1,0)*IF($C207=DI$2,1,0)=1,1+COUNTIF(DI$3:DI206,"&gt;0"),0)</f>
        <v>0</v>
      </c>
      <c r="DJ207">
        <f>IF(IF(OR(IFERROR(SEARCH("Druid",$T207,1),0)&gt;0,IFERROR(SEARCH(DruidLand1,$T207,1),0)&gt;0,IFERROR(SEARCH(DruidLand2,$T207,1),0)&gt;0,IFERROR(SEARCH(DruidLand3,$T207,1),0)&gt;0,IFERROR(SEARCH(DruidLand4,$T207,1),0)&gt;0),1,0)*IF($C207=1,1,0)*IF($C207=DJ$2,1,0)=0,0,1+COUNTIF(DJ$3:DJ206,"&gt;0"))</f>
        <v>0</v>
      </c>
      <c r="DK207">
        <f>IF(IF(OR(IFERROR(SEARCH("Druid",$T207,1),0)&gt;0,IFERROR(SEARCH(DruidLand1,$T207,1),0)&gt;0,IFERROR(SEARCH(DruidLand2,$T207,1),0)&gt;0,IFERROR(SEARCH(DruidLand3,$T207,1),0)&gt;0,IFERROR(SEARCH(DruidLand4,$T207,1),0)&gt;0),1,0)*IF($C207=1,1,0)*IF($C207=DK$2,1,0)=0,0,1+COUNTIF(DK$3:DK206,"&gt;0"))</f>
        <v>0</v>
      </c>
      <c r="DL207">
        <f>IF(IF(OR(IFERROR(SEARCH("Druid",$T207,1),0)&gt;0,IFERROR(SEARCH(DruidLand1,$T207,1),0)&gt;0,IFERROR(SEARCH(DruidLand2,$T207,1),0)&gt;0,IFERROR(SEARCH(DruidLand3,$T207,1),0)&gt;0,IFERROR(SEARCH(DruidLand4,$T207,1),0)&gt;0),1,0)*IF($C207=1,1,0)*IF($C207=DL$2,1,0)=0,0,1+COUNTIF(DL$3:DL206,"&gt;0"))</f>
        <v>0</v>
      </c>
      <c r="DM207">
        <f>IF(IF(OR(IFERROR(SEARCH("Druid",$T207,1),0)&gt;0,IFERROR(SEARCH(DruidLand1,$T207,1),0)&gt;0,IFERROR(SEARCH(DruidLand2,$T207,1),0)&gt;0,IFERROR(SEARCH(DruidLand3,$T207,1),0)&gt;0,IFERROR(SEARCH(DruidLand4,$T207,1),0)&gt;0),1,0)*IF($C207=1,1,0)*IF($C207=DM$2,1,0)=0,0,1+COUNTIF(DM$3:DM206,"&gt;0"))</f>
        <v>0</v>
      </c>
      <c r="DN207">
        <f>IF(IF(OR(IFERROR(SEARCH("Druid",$T207,1),0)&gt;0,IFERROR(SEARCH(DruidLand1,$T207,1),0)&gt;0,IFERROR(SEARCH(DruidLand2,$T207,1),0)&gt;0,IFERROR(SEARCH(DruidLand3,$T207,1),0)&gt;0,IFERROR(SEARCH(DruidLand4,$T207,1),0)&gt;0),1,0)*IF($C207=1,1,0)*IF($C207=DN$2,1,0)=0,0,1+COUNTIF(DN$3:DN206,"&gt;0"))</f>
        <v>0</v>
      </c>
      <c r="DO207">
        <f>IF(IF(OR(IFERROR(SEARCH("Druid",$T207,1),0)&gt;0,IFERROR(SEARCH(DruidLand1,$T207,1),0)&gt;0,IFERROR(SEARCH(DruidLand2,$T207,1),0)&gt;0,IFERROR(SEARCH(DruidLand3,$T207,1),0)&gt;0,IFERROR(SEARCH(DruidLand4,$T207,1),0)&gt;0),1,0)*IF($C207=1,1,0)*IF($C207=DO$2,1,0)=0,0,1+COUNTIF(DO$3:DO206,"&gt;0"))</f>
        <v>0</v>
      </c>
      <c r="DP207">
        <f>IF(IF(OR(IFERROR(SEARCH("Druid",$T207,1),0)&gt;0,IFERROR(SEARCH(DruidLand1,$T207,1),0)&gt;0,IFERROR(SEARCH(DruidLand2,$T207,1),0)&gt;0,IFERROR(SEARCH(DruidLand3,$T207,1),0)&gt;0,IFERROR(SEARCH(DruidLand4,$T207,1),0)&gt;0),1,0)*IF($C207=1,1,0)*IF($C207=DP$2,1,0)=0,0,1+COUNTIF(DP$3:DP206,"&gt;0"))</f>
        <v>0</v>
      </c>
      <c r="DQ207">
        <f>IF(IF(OR(IFERROR(SEARCH("Druid",$T207,1),0)&gt;0,IFERROR(SEARCH(DruidLand1,$T207,1),0)&gt;0,IFERROR(SEARCH(DruidLand2,$T207,1),0)&gt;0,IFERROR(SEARCH(DruidLand3,$T207,1),0)&gt;0,IFERROR(SEARCH(DruidLand4,$T207,1),0)&gt;0),1,0)*IF($C207=1,1,0)*IF($C207=DQ$2,1,0)=0,0,1+COUNTIF(DQ$3:DQ206,"&gt;0"))</f>
        <v>0</v>
      </c>
      <c r="DR207">
        <f>IF(IF(OR(IFERROR(SEARCH("Druid",$T207,1),0)&gt;0,IFERROR(SEARCH(DruidLand1,$T207,1),0)&gt;0,IFERROR(SEARCH(DruidLand2,$T207,1),0)&gt;0,IFERROR(SEARCH(DruidLand3,$T207,1),0)&gt;0,IFERROR(SEARCH(DruidLand4,$T207,1),0)&gt;0),1,0)*IF($C207=1,1,0)*IF($C207=DR$2,1,0)=0,0,1+COUNTIF(DR$3:DR206,"&gt;0"))</f>
        <v>0</v>
      </c>
      <c r="DS207">
        <f>IF(IF(OR(IFERROR(SEARCH("Paladin",$T207,1),0)&gt;0,IFERROR(SEARCH(PaladinOath,$T207,1),0)&gt;0),1,0)*IF($C207=DS$2,1,0)=1,1+COUNTIF(DS$3:DS206,"&gt;0"),0)</f>
        <v>0</v>
      </c>
      <c r="DT207">
        <f>IF(IF(OR(IFERROR(SEARCH("Paladin",$T207,1),0)&gt;0,IFERROR(SEARCH(PaladinOath,$T207,1),0)&gt;0),1,0)*IF($C207=DT$2,1,0)=1,1+COUNTIF(DT$3:DT206,"&gt;0"),0)</f>
        <v>0</v>
      </c>
      <c r="DU207">
        <f>IF(IF(OR(IFERROR(SEARCH("Paladin",$T207,1),0)&gt;0,IFERROR(SEARCH(PaladinOath,$T207,1),0)&gt;0),1,0)*IF($C207=DU$2,1,0)=1,1+COUNTIF(DU$3:DU206,"&gt;0"),0)</f>
        <v>0</v>
      </c>
      <c r="DV207">
        <f>IF(IF(OR(IFERROR(SEARCH("Paladin",$T207,1),0)&gt;0,IFERROR(SEARCH(PaladinOath,$T207,1),0)&gt;0),1,0)*IF($C207=DV$2,1,0)=1,1+COUNTIF(DV$3:DV206,"&gt;0"),0)</f>
        <v>0</v>
      </c>
      <c r="DW207">
        <f>IF(IF(OR(IFERROR(SEARCH("Paladin",$T207,1),0)&gt;0,IFERROR(SEARCH(PaladinOath,$T207,1),0)&gt;0),1,0)*IF($C207=DW$2,1,0)=1,1+COUNTIF(DW$3:DW206,"&gt;0"),0)</f>
        <v>0</v>
      </c>
      <c r="DY207">
        <f t="shared" si="166"/>
        <v>1</v>
      </c>
      <c r="DZ207">
        <f>IF(DY207=0,0,1+MAX(DZ$3:$DZ206))</f>
        <v>205</v>
      </c>
      <c r="EB207">
        <f t="shared" si="180"/>
        <v>0</v>
      </c>
      <c r="EC207">
        <f>IF(EB207=0,0,1+COUNTIF(EC$3:EC206,"&gt;0"))</f>
        <v>0</v>
      </c>
      <c r="ED207" t="str">
        <f t="shared" si="209"/>
        <v/>
      </c>
      <c r="EE207" t="str">
        <f t="shared" si="181"/>
        <v/>
      </c>
      <c r="EG207">
        <f t="shared" si="182"/>
        <v>0</v>
      </c>
      <c r="EH207">
        <f>IF(EG207=0,0,1+COUNTIF(EH$3:EH206,"&gt;0"))</f>
        <v>0</v>
      </c>
      <c r="EI207" t="str">
        <f t="shared" si="210"/>
        <v/>
      </c>
      <c r="EJ207" t="str">
        <f t="shared" si="183"/>
        <v/>
      </c>
      <c r="EL207">
        <f t="shared" si="184"/>
        <v>0</v>
      </c>
      <c r="EM207">
        <f>IF(EL207=0,0,1+COUNTIF(EM$3:EM206,"&gt;0"))</f>
        <v>0</v>
      </c>
      <c r="EN207" t="str">
        <f t="shared" si="211"/>
        <v/>
      </c>
      <c r="EO207" t="str">
        <f t="shared" si="185"/>
        <v/>
      </c>
      <c r="EQ207">
        <f t="shared" si="186"/>
        <v>0</v>
      </c>
      <c r="ER207">
        <f>IF(EQ207=0,0,1+COUNTIF(ER$3:ER206,"&gt;0"))</f>
        <v>0</v>
      </c>
      <c r="ES207" t="str">
        <f t="shared" si="212"/>
        <v/>
      </c>
      <c r="ET207" t="str">
        <f t="shared" si="187"/>
        <v/>
      </c>
      <c r="EV207">
        <f t="shared" si="188"/>
        <v>0</v>
      </c>
      <c r="EW207">
        <f>IF(EV207=0,0,1+COUNTIF(EW$3:EW206,"&gt;0"))</f>
        <v>0</v>
      </c>
      <c r="EX207" t="str">
        <f t="shared" si="213"/>
        <v/>
      </c>
      <c r="EY207" t="str">
        <f t="shared" si="189"/>
        <v/>
      </c>
      <c r="FA207">
        <f t="shared" si="190"/>
        <v>0</v>
      </c>
      <c r="FB207">
        <f>IF(FA207=0,0,1+COUNTIF(FB$3:FB206,"&gt;0"))</f>
        <v>0</v>
      </c>
      <c r="FC207" t="str">
        <f t="shared" si="214"/>
        <v/>
      </c>
      <c r="FD207" t="str">
        <f t="shared" si="191"/>
        <v/>
      </c>
      <c r="FF207">
        <f t="shared" si="192"/>
        <v>0</v>
      </c>
      <c r="FG207">
        <f>IF(FF207=0,0,1+COUNTIF(FG$3:FG206,"&gt;0"))</f>
        <v>0</v>
      </c>
      <c r="FH207" t="str">
        <f t="shared" si="215"/>
        <v/>
      </c>
      <c r="FI207" t="str">
        <f t="shared" si="193"/>
        <v/>
      </c>
      <c r="FK207">
        <f t="shared" si="194"/>
        <v>0</v>
      </c>
      <c r="FL207">
        <f>IF(FK207=0,0,1+COUNTIF(FL$3:FL206,"&gt;0"))</f>
        <v>0</v>
      </c>
      <c r="FM207" t="str">
        <f t="shared" si="216"/>
        <v/>
      </c>
      <c r="FN207" t="str">
        <f t="shared" si="195"/>
        <v/>
      </c>
      <c r="FP207">
        <f t="shared" si="196"/>
        <v>0</v>
      </c>
      <c r="FQ207">
        <f>IF(FP207=0,0,1+COUNTIF(FQ$3:FQ206,"&gt;0"))</f>
        <v>0</v>
      </c>
      <c r="FR207" t="str">
        <f t="shared" si="217"/>
        <v/>
      </c>
      <c r="FS207" t="str">
        <f t="shared" si="197"/>
        <v/>
      </c>
    </row>
    <row r="208" spans="1:175" x14ac:dyDescent="0.25">
      <c r="A208" s="347">
        <f t="shared" ref="A208:A271" si="219">A207+1</f>
        <v>206</v>
      </c>
      <c r="B208" s="348" t="s">
        <v>2586</v>
      </c>
      <c r="C208" s="348">
        <v>2</v>
      </c>
      <c r="D208" s="347">
        <v>2</v>
      </c>
      <c r="E208" s="627" t="s">
        <v>6952</v>
      </c>
      <c r="F208" s="346"/>
      <c r="G208" s="347" t="s">
        <v>5269</v>
      </c>
      <c r="H208" s="347" t="s">
        <v>5913</v>
      </c>
      <c r="I208" s="347" t="s">
        <v>5283</v>
      </c>
      <c r="J208" s="347" t="str">
        <f t="shared" si="167"/>
        <v/>
      </c>
      <c r="K208" s="347" t="s">
        <v>5278</v>
      </c>
      <c r="L208" s="611" t="str">
        <f t="shared" si="168"/>
        <v>V, S, M, a bit of fur from a bloodhound</v>
      </c>
      <c r="M208" s="347" t="s">
        <v>2373</v>
      </c>
      <c r="N208" s="347" t="s">
        <v>2387</v>
      </c>
      <c r="O208" s="347" t="s">
        <v>1244</v>
      </c>
      <c r="P208" s="346" t="s">
        <v>5418</v>
      </c>
      <c r="Q208" s="347" t="s">
        <v>2473</v>
      </c>
      <c r="S208" s="346" t="s">
        <v>2587</v>
      </c>
      <c r="T208" s="346" t="str">
        <f t="shared" si="169"/>
        <v xml:space="preserve">Bard, Ranger, Druid, </v>
      </c>
      <c r="U208" s="347" t="str">
        <f>$B208</f>
        <v>Locate Animals or Plants</v>
      </c>
      <c r="W208" s="347" t="str">
        <f>$B208</f>
        <v>Locate Animals or Plants</v>
      </c>
      <c r="AA208" s="347" t="str">
        <f>$B208</f>
        <v>Locate Animals or Plants</v>
      </c>
      <c r="AE208" t="str">
        <f>IF(IFERROR(MATCH($B208,temp!A$4:A$13,0),0)&gt;0,T08_Spells!AE$2,"")</f>
        <v/>
      </c>
      <c r="AF208" t="str">
        <f>IF(IFERROR(MATCH($B208,temp!B$4:B$13,0),0)&gt;0,T08_Spells!AF$2,"")</f>
        <v/>
      </c>
      <c r="AG208" t="str">
        <f>IF(IFERROR(MATCH($B208,temp!C$4:C$13,0),0)&gt;0,T08_Spells!AG$2,"")</f>
        <v/>
      </c>
      <c r="AH208" t="str">
        <f>IF(IFERROR(MATCH($B208,temp!D$4:D$13,0),0)&gt;0,T08_Spells!AH$2,"")</f>
        <v/>
      </c>
      <c r="AI208" t="str">
        <f>IF(IFERROR(MATCH($B208,temp!E$4:E$13,0),0)&gt;0,T08_Spells!AI$2,"")</f>
        <v/>
      </c>
      <c r="AJ208" t="str">
        <f>IF(IFERROR(MATCH($B208,temp!F$4:F$13,0),0)&gt;0,T08_Spells!AJ$2,"")</f>
        <v/>
      </c>
      <c r="AK208" t="str">
        <f>IF(IFERROR(MATCH($B208,temp!G$4:G$13,0),0)&gt;0,T08_Spells!AK$2,"")</f>
        <v/>
      </c>
      <c r="AL208" t="str">
        <f>IF(IFERROR(MATCH($B208,temp!H$4:H$13,0),0)&gt;0,T08_Spells!AL$2,"")</f>
        <v/>
      </c>
      <c r="AM208" t="str">
        <f>IF(IFERROR(MATCH($B208,temp!I$4:I$13,0),0)&gt;0,T08_Spells!AM$2,"")</f>
        <v/>
      </c>
      <c r="AN208" t="str">
        <f>IF(IFERROR(MATCH($B208,temp!J$4:J$13,0),0)&gt;0,T08_Spells!AN$2,"")</f>
        <v/>
      </c>
      <c r="AO208" t="str">
        <f>IF(IFERROR(MATCH($B208,temp!K$4:K$13,0),0)&gt;0,T08_Spells!AO$2,"")</f>
        <v/>
      </c>
      <c r="AP208" t="str">
        <f>IF(IFERROR(MATCH($B208,temp!L$4:L$13,0),0)&gt;0,T08_Spells!AP$2,"")</f>
        <v/>
      </c>
      <c r="AQ208" t="str">
        <f>IF(IFERROR(MATCH($B208,temp!M$4:M$13,0),0)&gt;0,T08_Spells!AQ$2,"")</f>
        <v/>
      </c>
      <c r="AR208" t="str">
        <f>IF(IFERROR(MATCH($B208,temp!N$4:N$13,0),0)&gt;0,T08_Spells!AR$2,"")</f>
        <v/>
      </c>
      <c r="AS208" t="str">
        <f>IF(IFERROR(MATCH($B208,temp!O$4:O$13,0),0)&gt;0,T08_Spells!AS$2,"")</f>
        <v/>
      </c>
      <c r="AT208" t="str">
        <f>IF(IFERROR(MATCH($B208,temp!P$4:P$13,0),0)&gt;0,T08_Spells!AT$2,"")</f>
        <v/>
      </c>
      <c r="AU208" t="str">
        <f>IF(IFERROR(MATCH($B208,temp!Q$4:Q$13,0),0)&gt;0,T08_Spells!AU$2,"")</f>
        <v/>
      </c>
      <c r="AV208" t="str">
        <f>IF(IFERROR(MATCH($B208,temp!R$4:R$13,0),0)&gt;0,T08_Spells!AV$2,"")</f>
        <v/>
      </c>
      <c r="AW208" t="str">
        <f>IF(IFERROR(MATCH($B208,temp!S$4:S$13,0),0)&gt;0,T08_Spells!AW$2,"")</f>
        <v/>
      </c>
      <c r="AX208" t="str">
        <f>IF(IFERROR(MATCH($B208,temp!T$4:T$13,0),0)&gt;0,T08_Spells!AX$2,"")</f>
        <v/>
      </c>
      <c r="AY208" t="str">
        <f>IF(IFERROR(MATCH($B208,temp!U$4:U$13,0),0)&gt;0,T08_Spells!AY$2,"")</f>
        <v/>
      </c>
      <c r="AZ208" t="str">
        <f>IF(IFERROR(MATCH($B208,temp!V$4:V$13,0),0)&gt;0,T08_Spells!AZ$2,"")</f>
        <v/>
      </c>
      <c r="BA208" t="str">
        <f>IF(IFERROR(MATCH($B208,temp!W$4:W$13,0),0)&gt;0,T08_Spells!BA$2,"")</f>
        <v/>
      </c>
      <c r="BC208">
        <f>IF(IFERROR(SEARCH("Ranger",$T208,1),0)&gt;0,1,0)*IF(RangerMaxSpellLevel&gt;=$C208,1,0)*IF(IFERROR(MATCH(B208,Character_Creation!$X$79:$X$382,0),0)&gt;0,0,1)</f>
        <v>0</v>
      </c>
      <c r="BD208">
        <f>IF(BC208=0,0,1+COUNTIF(BD$3:BD207,"&gt;0"))</f>
        <v>0</v>
      </c>
      <c r="BE208" t="str">
        <f t="shared" si="199"/>
        <v/>
      </c>
      <c r="BF208" t="str">
        <f t="shared" si="170"/>
        <v/>
      </c>
      <c r="BH208">
        <f>IF(IFERROR(SEARCH("Sorcerer",$T208,1),0)&gt;0,1,0)*IF(SorcererMaxSpellLevel&gt;=$C208,1,0)*IF(IFERROR(MATCH(B208,Character_Creation!$J$380:$J$394,0),0)&gt;0,0,1)</f>
        <v>0</v>
      </c>
      <c r="BI208">
        <f>IF(BH208=0,0,1+COUNTIF(BI$3:BI207,"&gt;0"))</f>
        <v>0</v>
      </c>
      <c r="BJ208" t="str">
        <f t="shared" si="200"/>
        <v/>
      </c>
      <c r="BK208" t="str">
        <f t="shared" si="171"/>
        <v/>
      </c>
      <c r="BM208">
        <f>IF(OR(IFERROR(SEARCH("Warlock",$T208,1),0)&gt;0,IFERROR(SEARCH(WarlockPatron,$T208,1),0)&gt;0),1,0)*IF(WarlockMaxSpellLevel&gt;=$C208,1,0)*IF(IFERROR(MATCH(B208,Character_Creation!$J$361:$J$375,0),0)&gt;0,0,1)</f>
        <v>0</v>
      </c>
      <c r="BN208">
        <f>IF(BM208=0,0,1+COUNTIF(BN$3:BN207,"&gt;0"))</f>
        <v>0</v>
      </c>
      <c r="BO208" t="str">
        <f t="shared" si="201"/>
        <v/>
      </c>
      <c r="BP208" t="str">
        <f t="shared" si="172"/>
        <v/>
      </c>
      <c r="BR208">
        <f>IF(IFERROR(SEARCH("Eldritch Knight",$T208,1),0)&gt;0,1,0)*IF(EldritchKnightMaxSpellLevel&gt;=$C208,1,0)*IF(IFERROR(MATCH($B208,Character_Creation!$J$350:$J$356,0),0)&gt;0,0,1)*IF(Character_Creation!$M$338&gt;0,1,0)</f>
        <v>0</v>
      </c>
      <c r="BS208">
        <f>IF(BR208=0,0,1+COUNTIF(BS$3:BS207,"&gt;0"))</f>
        <v>0</v>
      </c>
      <c r="BT208" t="str">
        <f t="shared" si="202"/>
        <v/>
      </c>
      <c r="BU208" t="str">
        <f t="shared" si="173"/>
        <v/>
      </c>
      <c r="BW208">
        <f>IF(IFERROR(SEARCH("Arcane Trickster",$T208,1),0)&gt;0,1,0)*IF(ArcaneTricksterMaxSpellLevel&gt;=$C208,1,0)*IF(IFERROR(MATCH($B208,Character_Creation!$J$350:$J$356,0),0)&gt;0,0,1)*IF(Character_Creation!$T$338&gt;0,1,0)</f>
        <v>0</v>
      </c>
      <c r="BX208">
        <f>IF(BW208=0,0,1+COUNTIF(BX$3:BX207,"&gt;0"))</f>
        <v>0</v>
      </c>
      <c r="BY208" t="str">
        <f t="shared" si="203"/>
        <v/>
      </c>
      <c r="BZ208" t="str">
        <f t="shared" si="174"/>
        <v/>
      </c>
      <c r="CB208">
        <f>IF(IFERROR(SEARCH("Wizard",$T208,1),0)&gt;0,1,0)*IF(C208&lt;=ArcaneTricksterMaxSpellLevel,1,0)*IF(IFERROR(MATCH($B208,Character_Creation!$J$350:$J$356,0),0)&gt;0,0,1)*IF(Character_Creation!$T$350&gt;0,1,0)</f>
        <v>0</v>
      </c>
      <c r="CC208">
        <f>IF(CB208=0,0,1+COUNTIF(CC$3:CC207,"&gt;0"))</f>
        <v>0</v>
      </c>
      <c r="CD208" t="str">
        <f t="shared" si="204"/>
        <v/>
      </c>
      <c r="CE208" t="str">
        <f t="shared" si="175"/>
        <v/>
      </c>
      <c r="CG208">
        <f>IF(IFERROR(SEARCH("Wizard",$T208,1),0)&gt;0,1,0)*IF($C208&lt;=EldritchKnightMaxSpellLevel,1,0)*IF(IFERROR(MATCH($B208,Character_Creation!$J$350:$J$356,0),0)&gt;0,0,1)*IF(Character_Creation!$M$350&gt;0,1,0)</f>
        <v>0</v>
      </c>
      <c r="CH208">
        <f>IF(CG208=0,0,1+COUNTIF(CH$3:CH207,"&gt;0"))</f>
        <v>0</v>
      </c>
      <c r="CI208" t="str">
        <f t="shared" si="205"/>
        <v/>
      </c>
      <c r="CJ208" t="str">
        <f t="shared" si="176"/>
        <v/>
      </c>
      <c r="CL208">
        <f>IF(IFERROR(SEARCH("Bard",$T208,1),0)&gt;0,1,0)*IF(BardMaxSpellLevel&gt;=$C208,1,0)*IF(IFERROR(MATCH(B208,Character_Creation!$C$341:$F$362,0),0)&gt;0,0,1)*IF(IFERROR(MATCH($B208,Character_Creation!$C$341:$C$362,0),0)&gt;0,0,1)</f>
        <v>0</v>
      </c>
      <c r="CM208">
        <f>IF(CL208=0,0,1+COUNTIF(CM$3:CM207,"&gt;0"))</f>
        <v>0</v>
      </c>
      <c r="CN208" t="str">
        <f t="shared" si="206"/>
        <v/>
      </c>
      <c r="CO208" t="str">
        <f t="shared" si="177"/>
        <v/>
      </c>
      <c r="CQ208">
        <f>IF(IFERROR(SEARCH("Wizard",$T208,1),0)&gt;0,1,0)*IF(WizardMaxSpellLevel&gt;=$C208,1,0)*IF(IFERROR(MATCH(B208,Character_Creation!$X$341:$X$400,0),0)&gt;0,0,1)*IF(SelectedWizardSpellLevel=$C208,1,0)</f>
        <v>0</v>
      </c>
      <c r="CR208">
        <f>IF(CQ208=0,0,1+COUNTIF(CR$3:CR207,"&gt;0"))</f>
        <v>0</v>
      </c>
      <c r="CS208" t="str">
        <f t="shared" si="207"/>
        <v/>
      </c>
      <c r="CT208" t="str">
        <f t="shared" si="178"/>
        <v/>
      </c>
      <c r="CV208">
        <f>IF(IFERROR(MATCH($B208,Character_Creation!$C$341:$C$362,0),0)&gt;0,0,1)*IF(OR(C208="Cantrip",C208&lt;=BardMaxSpellLevel),1,0)*IF(IFERROR(MATCH($B208,Character_Creation!$C$367:$C$374,0),0)&gt;0,0,1)</f>
        <v>0</v>
      </c>
      <c r="CW208">
        <f>IF(CV208=0,0,1+COUNTIF(CW$3:CW207,"&gt;0"))</f>
        <v>0</v>
      </c>
      <c r="CX208" t="str">
        <f t="shared" si="208"/>
        <v/>
      </c>
      <c r="CY208" t="str">
        <f t="shared" si="179"/>
        <v/>
      </c>
      <c r="DA208">
        <f>IF(IF(OR(IFERROR(SEARCH("Cleric",$T208,1),0)&gt;0,IFERROR(SEARCH(DivineDomain&amp;",",$T208,1),0)&gt;0),1,0)*IF($C208=DA$2,1,0)=1,1+COUNTIF(DA$3:DA207,"&gt;0"),0)</f>
        <v>0</v>
      </c>
      <c r="DB208">
        <f>IF(IF(OR(IFERROR(SEARCH("Cleric",$T208,1),0)&gt;0,IFERROR(SEARCH(DivineDomain&amp;",",$T208,1),0)&gt;0),1,0)*IF($C208=DB$2,1,0)=1,1+COUNTIF(DB$3:DB207,"&gt;0"),0)</f>
        <v>0</v>
      </c>
      <c r="DC208">
        <f>IF(IF(OR(IFERROR(SEARCH("Cleric",$T208,1),0)&gt;0,IFERROR(SEARCH(DivineDomain&amp;",",$T208,1),0)&gt;0),1,0)*IF($C208=DC$2,1,0)=1,1+COUNTIF(DC$3:DC207,"&gt;0"),0)</f>
        <v>0</v>
      </c>
      <c r="DD208">
        <f>IF(IF(OR(IFERROR(SEARCH("Cleric",$T208,1),0)&gt;0,IFERROR(SEARCH(DivineDomain&amp;",",$T208,1),0)&gt;0),1,0)*IF($C208=DD$2,1,0)=1,1+COUNTIF(DD$3:DD207,"&gt;0"),0)</f>
        <v>0</v>
      </c>
      <c r="DE208">
        <f>IF(IF(OR(IFERROR(SEARCH("Cleric",$T208,1),0)&gt;0,IFERROR(SEARCH(DivineDomain&amp;",",$T208,1),0)&gt;0),1,0)*IF($C208=DE$2,1,0)=1,1+COUNTIF(DE$3:DE207,"&gt;0"),0)</f>
        <v>0</v>
      </c>
      <c r="DF208">
        <f>IF(IF(OR(IFERROR(SEARCH("Cleric",$T208,1),0)&gt;0,IFERROR(SEARCH(DivineDomain&amp;",",$T208,1),0)&gt;0),1,0)*IF($C208=DF$2,1,0)=1,1+COUNTIF(DF$3:DF207,"&gt;0"),0)</f>
        <v>0</v>
      </c>
      <c r="DG208">
        <f>IF(IF(OR(IFERROR(SEARCH("Cleric",$T208,1),0)&gt;0,IFERROR(SEARCH(DivineDomain&amp;",",$T208,1),0)&gt;0),1,0)*IF($C208=DG$2,1,0)=1,1+COUNTIF(DG$3:DG207,"&gt;0"),0)</f>
        <v>0</v>
      </c>
      <c r="DH208">
        <f>IF(IF(OR(IFERROR(SEARCH("Cleric",$T208,1),0)&gt;0,IFERROR(SEARCH(DivineDomain&amp;",",$T208,1),0)&gt;0),1,0)*IF($C208=DH$2,1,0)=1,1+COUNTIF(DH$3:DH207,"&gt;0"),0)</f>
        <v>0</v>
      </c>
      <c r="DI208">
        <f>IF(IF(OR(IFERROR(SEARCH("Cleric",$T208,1),0)&gt;0,IFERROR(SEARCH(DivineDomain&amp;",",$T208,1),0)&gt;0),1,0)*IF($C208=DI$2,1,0)=1,1+COUNTIF(DI$3:DI207,"&gt;0"),0)</f>
        <v>0</v>
      </c>
      <c r="DJ208">
        <f>IF(IF(OR(IFERROR(SEARCH("Druid",$T208,1),0)&gt;0,IFERROR(SEARCH(DruidLand1,$T208,1),0)&gt;0,IFERROR(SEARCH(DruidLand2,$T208,1),0)&gt;0,IFERROR(SEARCH(DruidLand3,$T208,1),0)&gt;0,IFERROR(SEARCH(DruidLand4,$T208,1),0)&gt;0),1,0)*IF($C208=1,1,0)*IF($C208=DJ$2,1,0)=0,0,1+COUNTIF(DJ$3:DJ207,"&gt;0"))</f>
        <v>0</v>
      </c>
      <c r="DK208">
        <f>IF(IF(OR(IFERROR(SEARCH("Druid",$T208,1),0)&gt;0,IFERROR(SEARCH(DruidLand1,$T208,1),0)&gt;0,IFERROR(SEARCH(DruidLand2,$T208,1),0)&gt;0,IFERROR(SEARCH(DruidLand3,$T208,1),0)&gt;0,IFERROR(SEARCH(DruidLand4,$T208,1),0)&gt;0),1,0)*IF($C208=DK$2,1,0)=0,0,1+COUNTIF(DK$3:DK207,"&gt;0"))</f>
        <v>13</v>
      </c>
      <c r="DL208">
        <f>IF(IF(OR(IFERROR(SEARCH("Druid",$T208,1),0)&gt;0,IFERROR(SEARCH(DruidLand1,$T208,1),0)&gt;0,IFERROR(SEARCH(DruidLand2,$T208,1),0)&gt;0,IFERROR(SEARCH(DruidLand3,$T208,1),0)&gt;0,IFERROR(SEARCH(DruidLand4,$T208,1),0)&gt;0),1,0)*IF($C208=DL$2,1,0)=0,0,1+COUNTIF(DL$3:DL207,"&gt;0"))</f>
        <v>0</v>
      </c>
      <c r="DM208">
        <f>IF(IF(OR(IFERROR(SEARCH("Druid",$T208,1),0)&gt;0,IFERROR(SEARCH(DruidLand1,$T208,1),0)&gt;0,IFERROR(SEARCH(DruidLand2,$T208,1),0)&gt;0,IFERROR(SEARCH(DruidLand3,$T208,1),0)&gt;0,IFERROR(SEARCH(DruidLand4,$T208,1),0)&gt;0),1,0)*IF($C208=DM$2,1,0)=0,0,1+COUNTIF(DM$3:DM207,"&gt;0"))</f>
        <v>0</v>
      </c>
      <c r="DN208">
        <f>IF(IF(OR(IFERROR(SEARCH("Druid",$T208,1),0)&gt;0,IFERROR(SEARCH(DruidLand1,$T208,1),0)&gt;0,IFERROR(SEARCH(DruidLand2,$T208,1),0)&gt;0,IFERROR(SEARCH(DruidLand3,$T208,1),0)&gt;0,IFERROR(SEARCH(DruidLand4,$T208,1),0)&gt;0),1,0)*IF($C208=DN$2,1,0)=0,0,1+COUNTIF(DN$3:DN207,"&gt;0"))</f>
        <v>0</v>
      </c>
      <c r="DO208">
        <f>IF(IF(OR(IFERROR(SEARCH("Druid",$T208,1),0)&gt;0,IFERROR(SEARCH(DruidLand1,$T208,1),0)&gt;0,IFERROR(SEARCH(DruidLand2,$T208,1),0)&gt;0,IFERROR(SEARCH(DruidLand3,$T208,1),0)&gt;0,IFERROR(SEARCH(DruidLand4,$T208,1),0)&gt;0),1,0)*IF($C208=DO$2,1,0)=0,0,1+COUNTIF(DO$3:DO207,"&gt;0"))</f>
        <v>0</v>
      </c>
      <c r="DP208">
        <f>IF(IF(OR(IFERROR(SEARCH("Druid",$T208,1),0)&gt;0,IFERROR(SEARCH(DruidLand1,$T208,1),0)&gt;0,IFERROR(SEARCH(DruidLand2,$T208,1),0)&gt;0,IFERROR(SEARCH(DruidLand3,$T208,1),0)&gt;0,IFERROR(SEARCH(DruidLand4,$T208,1),0)&gt;0),1,0)*IF($C208=DP$2,1,0)=0,0,1+COUNTIF(DP$3:DP207,"&gt;0"))</f>
        <v>0</v>
      </c>
      <c r="DQ208">
        <f>IF(IF(OR(IFERROR(SEARCH("Druid",$T208,1),0)&gt;0,IFERROR(SEARCH(DruidLand1,$T208,1),0)&gt;0,IFERROR(SEARCH(DruidLand2,$T208,1),0)&gt;0,IFERROR(SEARCH(DruidLand3,$T208,1),0)&gt;0,IFERROR(SEARCH(DruidLand4,$T208,1),0)&gt;0),1,0)*IF($C208=DQ$2,1,0)=0,0,1+COUNTIF(DQ$3:DQ207,"&gt;0"))</f>
        <v>0</v>
      </c>
      <c r="DR208">
        <f>IF(IF(OR(IFERROR(SEARCH("Druid",$T208,1),0)&gt;0,IFERROR(SEARCH(DruidLand1,$T208,1),0)&gt;0,IFERROR(SEARCH(DruidLand2,$T208,1),0)&gt;0,IFERROR(SEARCH(DruidLand3,$T208,1),0)&gt;0,IFERROR(SEARCH(DruidLand4,$T208,1),0)&gt;0),1,0)*IF($C208=DR$2,1,0)=0,0,1+COUNTIF(DR$3:DR207,"&gt;0"))</f>
        <v>0</v>
      </c>
      <c r="DS208">
        <f>IF(IF(OR(IFERROR(SEARCH("Paladin",$T208,1),0)&gt;0,IFERROR(SEARCH(PaladinOath,$T208,1),0)&gt;0),1,0)*IF($C208=DS$2,1,0)=1,1+COUNTIF(DS$3:DS207,"&gt;0"),0)</f>
        <v>0</v>
      </c>
      <c r="DT208">
        <f>IF(IF(OR(IFERROR(SEARCH("Paladin",$T208,1),0)&gt;0,IFERROR(SEARCH(PaladinOath,$T208,1),0)&gt;0),1,0)*IF($C208=DT$2,1,0)=1,1+COUNTIF(DT$3:DT207,"&gt;0"),0)</f>
        <v>0</v>
      </c>
      <c r="DU208">
        <f>IF(IF(OR(IFERROR(SEARCH("Paladin",$T208,1),0)&gt;0,IFERROR(SEARCH(PaladinOath,$T208,1),0)&gt;0),1,0)*IF($C208=DU$2,1,0)=1,1+COUNTIF(DU$3:DU207,"&gt;0"),0)</f>
        <v>0</v>
      </c>
      <c r="DV208">
        <f>IF(IF(OR(IFERROR(SEARCH("Paladin",$T208,1),0)&gt;0,IFERROR(SEARCH(PaladinOath,$T208,1),0)&gt;0),1,0)*IF($C208=DV$2,1,0)=1,1+COUNTIF(DV$3:DV207,"&gt;0"),0)</f>
        <v>0</v>
      </c>
      <c r="DW208">
        <f>IF(IF(OR(IFERROR(SEARCH("Paladin",$T208,1),0)&gt;0,IFERROR(SEARCH(PaladinOath,$T208,1),0)&gt;0),1,0)*IF($C208=DW$2,1,0)=1,1+COUNTIF(DW$3:DW207,"&gt;0"),0)</f>
        <v>0</v>
      </c>
      <c r="DY208">
        <f t="shared" si="166"/>
        <v>1</v>
      </c>
      <c r="DZ208">
        <f>IF(DY208=0,0,1+MAX(DZ$3:$DZ207))</f>
        <v>206</v>
      </c>
      <c r="EB208">
        <f t="shared" si="180"/>
        <v>0</v>
      </c>
      <c r="EC208">
        <f>IF(EB208=0,0,1+COUNTIF(EC$3:EC207,"&gt;0"))</f>
        <v>0</v>
      </c>
      <c r="ED208" t="str">
        <f t="shared" si="209"/>
        <v/>
      </c>
      <c r="EE208" t="str">
        <f t="shared" si="181"/>
        <v/>
      </c>
      <c r="EG208">
        <f t="shared" si="182"/>
        <v>0</v>
      </c>
      <c r="EH208">
        <f>IF(EG208=0,0,1+COUNTIF(EH$3:EH207,"&gt;0"))</f>
        <v>0</v>
      </c>
      <c r="EI208" t="str">
        <f t="shared" si="210"/>
        <v/>
      </c>
      <c r="EJ208" t="str">
        <f t="shared" si="183"/>
        <v/>
      </c>
      <c r="EL208">
        <f t="shared" si="184"/>
        <v>0</v>
      </c>
      <c r="EM208">
        <f>IF(EL208=0,0,1+COUNTIF(EM$3:EM207,"&gt;0"))</f>
        <v>0</v>
      </c>
      <c r="EN208" t="str">
        <f t="shared" si="211"/>
        <v/>
      </c>
      <c r="EO208" t="str">
        <f t="shared" si="185"/>
        <v/>
      </c>
      <c r="EQ208">
        <f t="shared" si="186"/>
        <v>0</v>
      </c>
      <c r="ER208">
        <f>IF(EQ208=0,0,1+COUNTIF(ER$3:ER207,"&gt;0"))</f>
        <v>0</v>
      </c>
      <c r="ES208" t="str">
        <f t="shared" si="212"/>
        <v/>
      </c>
      <c r="ET208" t="str">
        <f t="shared" si="187"/>
        <v/>
      </c>
      <c r="EV208">
        <f t="shared" si="188"/>
        <v>0</v>
      </c>
      <c r="EW208">
        <f>IF(EV208=0,0,1+COUNTIF(EW$3:EW207,"&gt;0"))</f>
        <v>0</v>
      </c>
      <c r="EX208" t="str">
        <f t="shared" si="213"/>
        <v/>
      </c>
      <c r="EY208" t="str">
        <f t="shared" si="189"/>
        <v/>
      </c>
      <c r="FA208">
        <f t="shared" si="190"/>
        <v>0</v>
      </c>
      <c r="FB208">
        <f>IF(FA208=0,0,1+COUNTIF(FB$3:FB207,"&gt;0"))</f>
        <v>0</v>
      </c>
      <c r="FC208" t="str">
        <f t="shared" si="214"/>
        <v/>
      </c>
      <c r="FD208" t="str">
        <f t="shared" si="191"/>
        <v/>
      </c>
      <c r="FF208">
        <f t="shared" si="192"/>
        <v>0</v>
      </c>
      <c r="FG208">
        <f>IF(FF208=0,0,1+COUNTIF(FG$3:FG207,"&gt;0"))</f>
        <v>0</v>
      </c>
      <c r="FH208" t="str">
        <f t="shared" si="215"/>
        <v/>
      </c>
      <c r="FI208" t="str">
        <f t="shared" si="193"/>
        <v/>
      </c>
      <c r="FK208">
        <f t="shared" si="194"/>
        <v>0</v>
      </c>
      <c r="FL208">
        <f>IF(FK208=0,0,1+COUNTIF(FL$3:FL207,"&gt;0"))</f>
        <v>0</v>
      </c>
      <c r="FM208" t="str">
        <f t="shared" si="216"/>
        <v/>
      </c>
      <c r="FN208" t="str">
        <f t="shared" si="195"/>
        <v/>
      </c>
      <c r="FP208">
        <f t="shared" si="196"/>
        <v>0</v>
      </c>
      <c r="FQ208">
        <f>IF(FP208=0,0,1+COUNTIF(FQ$3:FQ207,"&gt;0"))</f>
        <v>0</v>
      </c>
      <c r="FR208" t="str">
        <f t="shared" si="217"/>
        <v/>
      </c>
      <c r="FS208" t="str">
        <f t="shared" si="197"/>
        <v/>
      </c>
    </row>
    <row r="209" spans="1:175" x14ac:dyDescent="0.25">
      <c r="A209" s="347">
        <f t="shared" si="219"/>
        <v>207</v>
      </c>
      <c r="B209" s="348" t="s">
        <v>2588</v>
      </c>
      <c r="C209" s="348">
        <v>4</v>
      </c>
      <c r="D209" s="347">
        <v>4</v>
      </c>
      <c r="E209" s="627" t="s">
        <v>6952</v>
      </c>
      <c r="F209" s="346"/>
      <c r="G209" s="347" t="str">
        <f>""</f>
        <v/>
      </c>
      <c r="H209" s="347" t="s">
        <v>5912</v>
      </c>
      <c r="I209" s="347" t="s">
        <v>5283</v>
      </c>
      <c r="J209" s="347" t="str">
        <f t="shared" si="167"/>
        <v/>
      </c>
      <c r="K209" s="347" t="s">
        <v>5284</v>
      </c>
      <c r="L209" s="611" t="str">
        <f t="shared" si="168"/>
        <v>V, S, M, a bit of fur from a bloodhound</v>
      </c>
      <c r="M209" s="347" t="s">
        <v>2373</v>
      </c>
      <c r="N209" s="347" t="s">
        <v>2387</v>
      </c>
      <c r="O209" s="347" t="s">
        <v>1244</v>
      </c>
      <c r="P209" s="346" t="s">
        <v>5418</v>
      </c>
      <c r="Q209" s="347" t="s">
        <v>2473</v>
      </c>
      <c r="S209" s="346" t="s">
        <v>5754</v>
      </c>
      <c r="T209" s="346" t="str">
        <f t="shared" si="169"/>
        <v xml:space="preserve">Bard, Paladin, Cleric, Wizard, Swamp, </v>
      </c>
      <c r="U209" s="347" t="str">
        <f>$B209</f>
        <v>Locate Creature</v>
      </c>
      <c r="V209" s="347" t="str">
        <f>$B209</f>
        <v>Locate Creature</v>
      </c>
      <c r="Z209" s="347" t="str">
        <f>$B209</f>
        <v>Locate Creature</v>
      </c>
      <c r="AD209" s="347" t="str">
        <f t="shared" ref="AD209:AD219" si="220">$B209</f>
        <v>Locate Creature</v>
      </c>
      <c r="AE209" t="str">
        <f>IF(IFERROR(MATCH($B209,temp!A$4:A$13,0),0)&gt;0,T08_Spells!AE$2,"")</f>
        <v/>
      </c>
      <c r="AF209" t="str">
        <f>IF(IFERROR(MATCH($B209,temp!B$4:B$13,0),0)&gt;0,T08_Spells!AF$2,"")</f>
        <v/>
      </c>
      <c r="AG209" t="str">
        <f>IF(IFERROR(MATCH($B209,temp!C$4:C$13,0),0)&gt;0,T08_Spells!AG$2,"")</f>
        <v/>
      </c>
      <c r="AH209" t="str">
        <f>IF(IFERROR(MATCH($B209,temp!D$4:D$13,0),0)&gt;0,T08_Spells!AH$2,"")</f>
        <v/>
      </c>
      <c r="AI209" t="str">
        <f>IF(IFERROR(MATCH($B209,temp!E$4:E$13,0),0)&gt;0,T08_Spells!AI$2,"")</f>
        <v/>
      </c>
      <c r="AJ209" t="str">
        <f>IF(IFERROR(MATCH($B209,temp!F$4:F$13,0),0)&gt;0,T08_Spells!AJ$2,"")</f>
        <v/>
      </c>
      <c r="AK209" t="str">
        <f>IF(IFERROR(MATCH($B209,temp!G$4:G$13,0),0)&gt;0,T08_Spells!AK$2,"")</f>
        <v/>
      </c>
      <c r="AL209" t="str">
        <f>IF(IFERROR(MATCH($B209,temp!H$4:H$13,0),0)&gt;0,T08_Spells!AL$2,"")</f>
        <v/>
      </c>
      <c r="AM209" t="str">
        <f>IF(IFERROR(MATCH($B209,temp!I$4:I$13,0),0)&gt;0,T08_Spells!AM$2,"")</f>
        <v/>
      </c>
      <c r="AN209" t="str">
        <f>IF(IFERROR(MATCH($B209,temp!J$4:J$13,0),0)&gt;0,T08_Spells!AN$2,"")</f>
        <v/>
      </c>
      <c r="AO209" t="str">
        <f>IF(IFERROR(MATCH($B209,temp!K$4:K$13,0),0)&gt;0,T08_Spells!AO$2,"")</f>
        <v/>
      </c>
      <c r="AP209" t="str">
        <f>IF(IFERROR(MATCH($B209,temp!L$4:L$13,0),0)&gt;0,T08_Spells!AP$2,"")</f>
        <v/>
      </c>
      <c r="AQ209" t="str">
        <f>IF(IFERROR(MATCH($B209,temp!M$4:M$13,0),0)&gt;0,T08_Spells!AQ$2,"")</f>
        <v/>
      </c>
      <c r="AR209" t="str">
        <f>IF(IFERROR(MATCH($B209,temp!N$4:N$13,0),0)&gt;0,T08_Spells!AR$2,"")</f>
        <v>Swamp</v>
      </c>
      <c r="AS209" t="str">
        <f>IF(IFERROR(MATCH($B209,temp!O$4:O$13,0),0)&gt;0,T08_Spells!AS$2,"")</f>
        <v/>
      </c>
      <c r="AT209" t="str">
        <f>IF(IFERROR(MATCH($B209,temp!P$4:P$13,0),0)&gt;0,T08_Spells!AT$2,"")</f>
        <v/>
      </c>
      <c r="AU209" t="str">
        <f>IF(IFERROR(MATCH($B209,temp!Q$4:Q$13,0),0)&gt;0,T08_Spells!AU$2,"")</f>
        <v/>
      </c>
      <c r="AV209" t="str">
        <f>IF(IFERROR(MATCH($B209,temp!R$4:R$13,0),0)&gt;0,T08_Spells!AV$2,"")</f>
        <v/>
      </c>
      <c r="AW209" t="str">
        <f>IF(IFERROR(MATCH($B209,temp!S$4:S$13,0),0)&gt;0,T08_Spells!AW$2,"")</f>
        <v/>
      </c>
      <c r="AX209" t="str">
        <f>IF(IFERROR(MATCH($B209,temp!T$4:T$13,0),0)&gt;0,T08_Spells!AX$2,"")</f>
        <v/>
      </c>
      <c r="AY209" t="str">
        <f>IF(IFERROR(MATCH($B209,temp!U$4:U$13,0),0)&gt;0,T08_Spells!AY$2,"")</f>
        <v/>
      </c>
      <c r="AZ209" t="str">
        <f>IF(IFERROR(MATCH($B209,temp!V$4:V$13,0),0)&gt;0,T08_Spells!AZ$2,"")</f>
        <v/>
      </c>
      <c r="BA209" t="str">
        <f>IF(IFERROR(MATCH($B209,temp!W$4:W$13,0),0)&gt;0,T08_Spells!BA$2,"")</f>
        <v/>
      </c>
      <c r="BC209">
        <f>IF(IFERROR(SEARCH("Ranger",$T209,1),0)&gt;0,1,0)*IF(RangerMaxSpellLevel&gt;=$C209,1,0)*IF(IFERROR(MATCH(B209,Character_Creation!$X$79:$X$382,0),0)&gt;0,0,1)</f>
        <v>0</v>
      </c>
      <c r="BD209">
        <f>IF(BC209=0,0,1+COUNTIF(BD$3:BD208,"&gt;0"))</f>
        <v>0</v>
      </c>
      <c r="BE209" t="str">
        <f t="shared" si="199"/>
        <v/>
      </c>
      <c r="BF209" t="str">
        <f t="shared" si="170"/>
        <v/>
      </c>
      <c r="BH209">
        <f>IF(IFERROR(SEARCH("Sorcerer",$T209,1),0)&gt;0,1,0)*IF(SorcererMaxSpellLevel&gt;=$C209,1,0)*IF(IFERROR(MATCH(B209,Character_Creation!$J$380:$J$394,0),0)&gt;0,0,1)</f>
        <v>0</v>
      </c>
      <c r="BI209">
        <f>IF(BH209=0,0,1+COUNTIF(BI$3:BI208,"&gt;0"))</f>
        <v>0</v>
      </c>
      <c r="BJ209" t="str">
        <f t="shared" si="200"/>
        <v/>
      </c>
      <c r="BK209" t="str">
        <f t="shared" si="171"/>
        <v/>
      </c>
      <c r="BM209">
        <f>IF(OR(IFERROR(SEARCH("Warlock",$T209,1),0)&gt;0,IFERROR(SEARCH(WarlockPatron,$T209,1),0)&gt;0),1,0)*IF(WarlockMaxSpellLevel&gt;=$C209,1,0)*IF(IFERROR(MATCH(B209,Character_Creation!$J$361:$J$375,0),0)&gt;0,0,1)</f>
        <v>0</v>
      </c>
      <c r="BN209">
        <f>IF(BM209=0,0,1+COUNTIF(BN$3:BN208,"&gt;0"))</f>
        <v>0</v>
      </c>
      <c r="BO209" t="str">
        <f t="shared" si="201"/>
        <v/>
      </c>
      <c r="BP209" t="str">
        <f t="shared" si="172"/>
        <v/>
      </c>
      <c r="BR209">
        <f>IF(IFERROR(SEARCH("Eldritch Knight",$T209,1),0)&gt;0,1,0)*IF(EldritchKnightMaxSpellLevel&gt;=$C209,1,0)*IF(IFERROR(MATCH($B209,Character_Creation!$J$350:$J$356,0),0)&gt;0,0,1)*IF(Character_Creation!$M$338&gt;0,1,0)</f>
        <v>0</v>
      </c>
      <c r="BS209">
        <f>IF(BR209=0,0,1+COUNTIF(BS$3:BS208,"&gt;0"))</f>
        <v>0</v>
      </c>
      <c r="BT209" t="str">
        <f t="shared" si="202"/>
        <v/>
      </c>
      <c r="BU209" t="str">
        <f t="shared" si="173"/>
        <v/>
      </c>
      <c r="BW209">
        <f>IF(IFERROR(SEARCH("Arcane Trickster",$T209,1),0)&gt;0,1,0)*IF(ArcaneTricksterMaxSpellLevel&gt;=$C209,1,0)*IF(IFERROR(MATCH($B209,Character_Creation!$J$350:$J$356,0),0)&gt;0,0,1)*IF(Character_Creation!$T$338&gt;0,1,0)</f>
        <v>0</v>
      </c>
      <c r="BX209">
        <f>IF(BW209=0,0,1+COUNTIF(BX$3:BX208,"&gt;0"))</f>
        <v>0</v>
      </c>
      <c r="BY209" t="str">
        <f t="shared" si="203"/>
        <v/>
      </c>
      <c r="BZ209" t="str">
        <f t="shared" si="174"/>
        <v/>
      </c>
      <c r="CB209">
        <f>IF(IFERROR(SEARCH("Wizard",$T209,1),0)&gt;0,1,0)*IF(C209&lt;=ArcaneTricksterMaxSpellLevel,1,0)*IF(IFERROR(MATCH($B209,Character_Creation!$J$350:$J$356,0),0)&gt;0,0,1)*IF(Character_Creation!$T$350&gt;0,1,0)</f>
        <v>0</v>
      </c>
      <c r="CC209">
        <f>IF(CB209=0,0,1+COUNTIF(CC$3:CC208,"&gt;0"))</f>
        <v>0</v>
      </c>
      <c r="CD209" t="str">
        <f t="shared" si="204"/>
        <v/>
      </c>
      <c r="CE209" t="str">
        <f t="shared" si="175"/>
        <v/>
      </c>
      <c r="CG209">
        <f>IF(IFERROR(SEARCH("Wizard",$T209,1),0)&gt;0,1,0)*IF($C209&lt;=EldritchKnightMaxSpellLevel,1,0)*IF(IFERROR(MATCH($B209,Character_Creation!$J$350:$J$356,0),0)&gt;0,0,1)*IF(Character_Creation!$M$350&gt;0,1,0)</f>
        <v>0</v>
      </c>
      <c r="CH209">
        <f>IF(CG209=0,0,1+COUNTIF(CH$3:CH208,"&gt;0"))</f>
        <v>0</v>
      </c>
      <c r="CI209" t="str">
        <f t="shared" si="205"/>
        <v/>
      </c>
      <c r="CJ209" t="str">
        <f t="shared" si="176"/>
        <v/>
      </c>
      <c r="CL209">
        <f>IF(IFERROR(SEARCH("Bard",$T209,1),0)&gt;0,1,0)*IF(BardMaxSpellLevel&gt;=$C209,1,0)*IF(IFERROR(MATCH(B209,Character_Creation!$C$341:$F$362,0),0)&gt;0,0,1)*IF(IFERROR(MATCH($B209,Character_Creation!$C$341:$C$362,0),0)&gt;0,0,1)</f>
        <v>0</v>
      </c>
      <c r="CM209">
        <f>IF(CL209=0,0,1+COUNTIF(CM$3:CM208,"&gt;0"))</f>
        <v>0</v>
      </c>
      <c r="CN209" t="str">
        <f t="shared" si="206"/>
        <v/>
      </c>
      <c r="CO209" t="str">
        <f t="shared" si="177"/>
        <v/>
      </c>
      <c r="CQ209">
        <f>IF(IFERROR(SEARCH("Wizard",$T209,1),0)&gt;0,1,0)*IF(WizardMaxSpellLevel&gt;=$C209,1,0)*IF(IFERROR(MATCH(B209,Character_Creation!$X$341:$X$400,0),0)&gt;0,0,1)*IF(SelectedWizardSpellLevel=$C209,1,0)</f>
        <v>0</v>
      </c>
      <c r="CR209">
        <f>IF(CQ209=0,0,1+COUNTIF(CR$3:CR208,"&gt;0"))</f>
        <v>0</v>
      </c>
      <c r="CS209" t="str">
        <f t="shared" si="207"/>
        <v/>
      </c>
      <c r="CT209" t="str">
        <f t="shared" si="178"/>
        <v/>
      </c>
      <c r="CV209">
        <f>IF(IFERROR(MATCH($B209,Character_Creation!$C$341:$C$362,0),0)&gt;0,0,1)*IF(OR(C209="Cantrip",C209&lt;=BardMaxSpellLevel),1,0)*IF(IFERROR(MATCH($B209,Character_Creation!$C$367:$C$374,0),0)&gt;0,0,1)</f>
        <v>0</v>
      </c>
      <c r="CW209">
        <f>IF(CV209=0,0,1+COUNTIF(CW$3:CW208,"&gt;0"))</f>
        <v>0</v>
      </c>
      <c r="CX209" t="str">
        <f t="shared" si="208"/>
        <v/>
      </c>
      <c r="CY209" t="str">
        <f t="shared" si="179"/>
        <v/>
      </c>
      <c r="DA209">
        <f>IF(IF(OR(IFERROR(SEARCH("Cleric",$T209,1),0)&gt;0,IFERROR(SEARCH(DivineDomain&amp;",",$T209,1),0)&gt;0),1,0)*IF($C209=DA$2,1,0)=1,1+COUNTIF(DA$3:DA208,"&gt;0"),0)</f>
        <v>0</v>
      </c>
      <c r="DB209">
        <f>IF(IF(OR(IFERROR(SEARCH("Cleric",$T209,1),0)&gt;0,IFERROR(SEARCH(DivineDomain&amp;",",$T209,1),0)&gt;0),1,0)*IF($C209=DB$2,1,0)=1,1+COUNTIF(DB$3:DB208,"&gt;0"),0)</f>
        <v>0</v>
      </c>
      <c r="DC209">
        <f>IF(IF(OR(IFERROR(SEARCH("Cleric",$T209,1),0)&gt;0,IFERROR(SEARCH(DivineDomain&amp;",",$T209,1),0)&gt;0),1,0)*IF($C209=DC$2,1,0)=1,1+COUNTIF(DC$3:DC208,"&gt;0"),0)</f>
        <v>0</v>
      </c>
      <c r="DD209">
        <f>IF(IF(OR(IFERROR(SEARCH("Cleric",$T209,1),0)&gt;0,IFERROR(SEARCH(DivineDomain&amp;",",$T209,1),0)&gt;0),1,0)*IF($C209=DD$2,1,0)=1,1+COUNTIF(DD$3:DD208,"&gt;0"),0)</f>
        <v>7</v>
      </c>
      <c r="DE209">
        <f>IF(IF(OR(IFERROR(SEARCH("Cleric",$T209,1),0)&gt;0,IFERROR(SEARCH(DivineDomain&amp;",",$T209,1),0)&gt;0),1,0)*IF($C209=DE$2,1,0)=1,1+COUNTIF(DE$3:DE208,"&gt;0"),0)</f>
        <v>0</v>
      </c>
      <c r="DF209">
        <f>IF(IF(OR(IFERROR(SEARCH("Cleric",$T209,1),0)&gt;0,IFERROR(SEARCH(DivineDomain&amp;",",$T209,1),0)&gt;0),1,0)*IF($C209=DF$2,1,0)=1,1+COUNTIF(DF$3:DF208,"&gt;0"),0)</f>
        <v>0</v>
      </c>
      <c r="DG209">
        <f>IF(IF(OR(IFERROR(SEARCH("Cleric",$T209,1),0)&gt;0,IFERROR(SEARCH(DivineDomain&amp;",",$T209,1),0)&gt;0),1,0)*IF($C209=DG$2,1,0)=1,1+COUNTIF(DG$3:DG208,"&gt;0"),0)</f>
        <v>0</v>
      </c>
      <c r="DH209">
        <f>IF(IF(OR(IFERROR(SEARCH("Cleric",$T209,1),0)&gt;0,IFERROR(SEARCH(DivineDomain&amp;",",$T209,1),0)&gt;0),1,0)*IF($C209=DH$2,1,0)=1,1+COUNTIF(DH$3:DH208,"&gt;0"),0)</f>
        <v>0</v>
      </c>
      <c r="DI209">
        <f>IF(IF(OR(IFERROR(SEARCH("Cleric",$T209,1),0)&gt;0,IFERROR(SEARCH(DivineDomain&amp;",",$T209,1),0)&gt;0),1,0)*IF($C209=DI$2,1,0)=1,1+COUNTIF(DI$3:DI208,"&gt;0"),0)</f>
        <v>0</v>
      </c>
      <c r="DJ209">
        <f>IF(IF(OR(IFERROR(SEARCH("Druid",$T209,1),0)&gt;0,IFERROR(SEARCH(DruidLand1,$T209,1),0)&gt;0,IFERROR(SEARCH(DruidLand2,$T209,1),0)&gt;0,IFERROR(SEARCH(DruidLand3,$T209,1),0)&gt;0,IFERROR(SEARCH(DruidLand4,$T209,1),0)&gt;0),1,0)*IF($C209=1,1,0)*IF($C209=DJ$2,1,0)=0,0,1+COUNTIF(DJ$3:DJ208,"&gt;0"))</f>
        <v>0</v>
      </c>
      <c r="DK209">
        <f>IF(IF(OR(IFERROR(SEARCH("Druid",$T209,1),0)&gt;0,IFERROR(SEARCH(DruidLand1,$T209,1),0)&gt;0,IFERROR(SEARCH(DruidLand2,$T209,1),0)&gt;0,IFERROR(SEARCH(DruidLand3,$T209,1),0)&gt;0,IFERROR(SEARCH(DruidLand4,$T209,1),0)&gt;0),1,0)*IF($C209=1,1,0)*IF($C209=DK$2,1,0)=0,0,1+COUNTIF(DK$3:DK208,"&gt;0"))</f>
        <v>0</v>
      </c>
      <c r="DL209">
        <f>IF(IF(OR(IFERROR(SEARCH("Druid",$T209,1),0)&gt;0,IFERROR(SEARCH(DruidLand1,$T209,1),0)&gt;0,IFERROR(SEARCH(DruidLand2,$T209,1),0)&gt;0,IFERROR(SEARCH(DruidLand3,$T209,1),0)&gt;0,IFERROR(SEARCH(DruidLand4,$T209,1),0)&gt;0),1,0)*IF($C209=1,1,0)*IF($C209=DL$2,1,0)=0,0,1+COUNTIF(DL$3:DL208,"&gt;0"))</f>
        <v>0</v>
      </c>
      <c r="DM209">
        <f>IF(IF(OR(IFERROR(SEARCH("Druid",$T209,1),0)&gt;0,IFERROR(SEARCH(DruidLand1,$T209,1),0)&gt;0,IFERROR(SEARCH(DruidLand2,$T209,1),0)&gt;0,IFERROR(SEARCH(DruidLand3,$T209,1),0)&gt;0,IFERROR(SEARCH(DruidLand4,$T209,1),0)&gt;0),1,0)*IF($C209=1,1,0)*IF($C209=DM$2,1,0)=0,0,1+COUNTIF(DM$3:DM208,"&gt;0"))</f>
        <v>0</v>
      </c>
      <c r="DN209">
        <f>IF(IF(OR(IFERROR(SEARCH("Druid",$T209,1),0)&gt;0,IFERROR(SEARCH(DruidLand1,$T209,1),0)&gt;0,IFERROR(SEARCH(DruidLand2,$T209,1),0)&gt;0,IFERROR(SEARCH(DruidLand3,$T209,1),0)&gt;0,IFERROR(SEARCH(DruidLand4,$T209,1),0)&gt;0),1,0)*IF($C209=1,1,0)*IF($C209=DN$2,1,0)=0,0,1+COUNTIF(DN$3:DN208,"&gt;0"))</f>
        <v>0</v>
      </c>
      <c r="DO209">
        <f>IF(IF(OR(IFERROR(SEARCH("Druid",$T209,1),0)&gt;0,IFERROR(SEARCH(DruidLand1,$T209,1),0)&gt;0,IFERROR(SEARCH(DruidLand2,$T209,1),0)&gt;0,IFERROR(SEARCH(DruidLand3,$T209,1),0)&gt;0,IFERROR(SEARCH(DruidLand4,$T209,1),0)&gt;0),1,0)*IF($C209=1,1,0)*IF($C209=DO$2,1,0)=0,0,1+COUNTIF(DO$3:DO208,"&gt;0"))</f>
        <v>0</v>
      </c>
      <c r="DP209">
        <f>IF(IF(OR(IFERROR(SEARCH("Druid",$T209,1),0)&gt;0,IFERROR(SEARCH(DruidLand1,$T209,1),0)&gt;0,IFERROR(SEARCH(DruidLand2,$T209,1),0)&gt;0,IFERROR(SEARCH(DruidLand3,$T209,1),0)&gt;0,IFERROR(SEARCH(DruidLand4,$T209,1),0)&gt;0),1,0)*IF($C209=1,1,0)*IF($C209=DP$2,1,0)=0,0,1+COUNTIF(DP$3:DP208,"&gt;0"))</f>
        <v>0</v>
      </c>
      <c r="DQ209">
        <f>IF(IF(OR(IFERROR(SEARCH("Druid",$T209,1),0)&gt;0,IFERROR(SEARCH(DruidLand1,$T209,1),0)&gt;0,IFERROR(SEARCH(DruidLand2,$T209,1),0)&gt;0,IFERROR(SEARCH(DruidLand3,$T209,1),0)&gt;0,IFERROR(SEARCH(DruidLand4,$T209,1),0)&gt;0),1,0)*IF($C209=1,1,0)*IF($C209=DQ$2,1,0)=0,0,1+COUNTIF(DQ$3:DQ208,"&gt;0"))</f>
        <v>0</v>
      </c>
      <c r="DR209">
        <f>IF(IF(OR(IFERROR(SEARCH("Druid",$T209,1),0)&gt;0,IFERROR(SEARCH(DruidLand1,$T209,1),0)&gt;0,IFERROR(SEARCH(DruidLand2,$T209,1),0)&gt;0,IFERROR(SEARCH(DruidLand3,$T209,1),0)&gt;0,IFERROR(SEARCH(DruidLand4,$T209,1),0)&gt;0),1,0)*IF($C209=1,1,0)*IF($C209=DR$2,1,0)=0,0,1+COUNTIF(DR$3:DR208,"&gt;0"))</f>
        <v>0</v>
      </c>
      <c r="DS209">
        <f>IF(IF(OR(IFERROR(SEARCH("Paladin",$T209,1),0)&gt;0,IFERROR(SEARCH(PaladinOath,$T209,1),0)&gt;0),1,0)*IF($C209=DS$2,1,0)=1,1+COUNTIF(DS$3:DS208,"&gt;0"),0)</f>
        <v>0</v>
      </c>
      <c r="DT209">
        <f>IF(IF(OR(IFERROR(SEARCH("Paladin",$T209,1),0)&gt;0,IFERROR(SEARCH(PaladinOath,$T209,1),0)&gt;0),1,0)*IF($C209=DT$2,1,0)=1,1+COUNTIF(DT$3:DT208,"&gt;0"),0)</f>
        <v>0</v>
      </c>
      <c r="DU209">
        <f>IF(IF(OR(IFERROR(SEARCH("Paladin",$T209,1),0)&gt;0,IFERROR(SEARCH(PaladinOath,$T209,1),0)&gt;0),1,0)*IF($C209=DU$2,1,0)=1,1+COUNTIF(DU$3:DU208,"&gt;0"),0)</f>
        <v>0</v>
      </c>
      <c r="DV209">
        <f>IF(IF(OR(IFERROR(SEARCH("Paladin",$T209,1),0)&gt;0,IFERROR(SEARCH(PaladinOath,$T209,1),0)&gt;0),1,0)*IF($C209=DV$2,1,0)=1,1+COUNTIF(DV$3:DV208,"&gt;0"),0)</f>
        <v>5</v>
      </c>
      <c r="DW209">
        <f>IF(IF(OR(IFERROR(SEARCH("Paladin",$T209,1),0)&gt;0,IFERROR(SEARCH(PaladinOath,$T209,1),0)&gt;0),1,0)*IF($C209=DW$2,1,0)=1,1+COUNTIF(DW$3:DW208,"&gt;0"),0)</f>
        <v>0</v>
      </c>
      <c r="DY209">
        <f t="shared" si="166"/>
        <v>1</v>
      </c>
      <c r="DZ209">
        <f>IF(DY209=0,0,1+MAX(DZ$3:$DZ208))</f>
        <v>207</v>
      </c>
      <c r="EB209">
        <f t="shared" si="180"/>
        <v>0</v>
      </c>
      <c r="EC209">
        <f>IF(EB209=0,0,1+COUNTIF(EC$3:EC208,"&gt;0"))</f>
        <v>0</v>
      </c>
      <c r="ED209" t="str">
        <f t="shared" si="209"/>
        <v/>
      </c>
      <c r="EE209" t="str">
        <f t="shared" si="181"/>
        <v/>
      </c>
      <c r="EG209">
        <f t="shared" si="182"/>
        <v>0</v>
      </c>
      <c r="EH209">
        <f>IF(EG209=0,0,1+COUNTIF(EH$3:EH208,"&gt;0"))</f>
        <v>0</v>
      </c>
      <c r="EI209" t="str">
        <f t="shared" si="210"/>
        <v/>
      </c>
      <c r="EJ209" t="str">
        <f t="shared" si="183"/>
        <v/>
      </c>
      <c r="EL209">
        <f t="shared" si="184"/>
        <v>0</v>
      </c>
      <c r="EM209">
        <f>IF(EL209=0,0,1+COUNTIF(EM$3:EM208,"&gt;0"))</f>
        <v>0</v>
      </c>
      <c r="EN209" t="str">
        <f t="shared" si="211"/>
        <v/>
      </c>
      <c r="EO209" t="str">
        <f t="shared" si="185"/>
        <v/>
      </c>
      <c r="EQ209">
        <f t="shared" si="186"/>
        <v>0</v>
      </c>
      <c r="ER209">
        <f>IF(EQ209=0,0,1+COUNTIF(ER$3:ER208,"&gt;0"))</f>
        <v>0</v>
      </c>
      <c r="ES209" t="str">
        <f t="shared" si="212"/>
        <v/>
      </c>
      <c r="ET209" t="str">
        <f t="shared" si="187"/>
        <v/>
      </c>
      <c r="EV209">
        <f t="shared" si="188"/>
        <v>0</v>
      </c>
      <c r="EW209">
        <f>IF(EV209=0,0,1+COUNTIF(EW$3:EW208,"&gt;0"))</f>
        <v>0</v>
      </c>
      <c r="EX209" t="str">
        <f t="shared" si="213"/>
        <v/>
      </c>
      <c r="EY209" t="str">
        <f t="shared" si="189"/>
        <v/>
      </c>
      <c r="FA209">
        <f t="shared" si="190"/>
        <v>0</v>
      </c>
      <c r="FB209">
        <f>IF(FA209=0,0,1+COUNTIF(FB$3:FB208,"&gt;0"))</f>
        <v>0</v>
      </c>
      <c r="FC209" t="str">
        <f t="shared" si="214"/>
        <v/>
      </c>
      <c r="FD209" t="str">
        <f t="shared" si="191"/>
        <v/>
      </c>
      <c r="FF209">
        <f t="shared" si="192"/>
        <v>0</v>
      </c>
      <c r="FG209">
        <f>IF(FF209=0,0,1+COUNTIF(FG$3:FG208,"&gt;0"))</f>
        <v>0</v>
      </c>
      <c r="FH209" t="str">
        <f t="shared" si="215"/>
        <v/>
      </c>
      <c r="FI209" t="str">
        <f t="shared" si="193"/>
        <v/>
      </c>
      <c r="FK209">
        <f t="shared" si="194"/>
        <v>0</v>
      </c>
      <c r="FL209">
        <f>IF(FK209=0,0,1+COUNTIF(FL$3:FL208,"&gt;0"))</f>
        <v>0</v>
      </c>
      <c r="FM209" t="str">
        <f t="shared" si="216"/>
        <v/>
      </c>
      <c r="FN209" t="str">
        <f t="shared" si="195"/>
        <v/>
      </c>
      <c r="FP209">
        <f t="shared" si="196"/>
        <v>0</v>
      </c>
      <c r="FQ209">
        <f>IF(FP209=0,0,1+COUNTIF(FQ$3:FQ208,"&gt;0"))</f>
        <v>0</v>
      </c>
      <c r="FR209" t="str">
        <f t="shared" si="217"/>
        <v/>
      </c>
      <c r="FS209" t="str">
        <f t="shared" si="197"/>
        <v/>
      </c>
    </row>
    <row r="210" spans="1:175" x14ac:dyDescent="0.25">
      <c r="A210" s="347">
        <f t="shared" si="219"/>
        <v>208</v>
      </c>
      <c r="B210" s="348" t="s">
        <v>2589</v>
      </c>
      <c r="C210" s="348">
        <v>2</v>
      </c>
      <c r="D210" s="347">
        <v>2</v>
      </c>
      <c r="E210" s="627" t="s">
        <v>6952</v>
      </c>
      <c r="F210" s="346"/>
      <c r="G210" s="347" t="str">
        <f>""</f>
        <v/>
      </c>
      <c r="H210" s="347" t="s">
        <v>5912</v>
      </c>
      <c r="I210" s="347" t="s">
        <v>5283</v>
      </c>
      <c r="J210" s="347" t="str">
        <f t="shared" si="167"/>
        <v/>
      </c>
      <c r="K210" s="347" t="s">
        <v>5297</v>
      </c>
      <c r="L210" s="611" t="str">
        <f t="shared" si="168"/>
        <v>V, S, M, a forked twig</v>
      </c>
      <c r="M210" s="347" t="s">
        <v>2373</v>
      </c>
      <c r="N210" s="347" t="s">
        <v>2387</v>
      </c>
      <c r="O210" s="347" t="s">
        <v>1244</v>
      </c>
      <c r="P210" s="346" t="s">
        <v>5419</v>
      </c>
      <c r="Q210" s="347" t="s">
        <v>2473</v>
      </c>
      <c r="S210" s="346" t="s">
        <v>5755</v>
      </c>
      <c r="T210" s="346" t="str">
        <f t="shared" si="169"/>
        <v xml:space="preserve">Bard, Paladin, Cleric, Wizard, </v>
      </c>
      <c r="U210" s="347" t="str">
        <f>$B210</f>
        <v>Locate Object</v>
      </c>
      <c r="V210" s="347" t="str">
        <f>$B210</f>
        <v>Locate Object</v>
      </c>
      <c r="Z210" s="347" t="str">
        <f>$B210</f>
        <v>Locate Object</v>
      </c>
      <c r="AD210" s="347" t="str">
        <f t="shared" si="220"/>
        <v>Locate Object</v>
      </c>
      <c r="AE210" t="str">
        <f>IF(IFERROR(MATCH($B210,temp!A$4:A$13,0),0)&gt;0,T08_Spells!AE$2,"")</f>
        <v/>
      </c>
      <c r="AF210" t="str">
        <f>IF(IFERROR(MATCH($B210,temp!B$4:B$13,0),0)&gt;0,T08_Spells!AF$2,"")</f>
        <v/>
      </c>
      <c r="AG210" t="str">
        <f>IF(IFERROR(MATCH($B210,temp!C$4:C$13,0),0)&gt;0,T08_Spells!AG$2,"")</f>
        <v/>
      </c>
      <c r="AH210" t="str">
        <f>IF(IFERROR(MATCH($B210,temp!D$4:D$13,0),0)&gt;0,T08_Spells!AH$2,"")</f>
        <v/>
      </c>
      <c r="AI210" t="str">
        <f>IF(IFERROR(MATCH($B210,temp!E$4:E$13,0),0)&gt;0,T08_Spells!AI$2,"")</f>
        <v/>
      </c>
      <c r="AJ210" t="str">
        <f>IF(IFERROR(MATCH($B210,temp!F$4:F$13,0),0)&gt;0,T08_Spells!AJ$2,"")</f>
        <v/>
      </c>
      <c r="AK210" t="str">
        <f>IF(IFERROR(MATCH($B210,temp!G$4:G$13,0),0)&gt;0,T08_Spells!AK$2,"")</f>
        <v/>
      </c>
      <c r="AL210" t="str">
        <f>IF(IFERROR(MATCH($B210,temp!H$4:H$13,0),0)&gt;0,T08_Spells!AL$2,"")</f>
        <v/>
      </c>
      <c r="AM210" t="str">
        <f>IF(IFERROR(MATCH($B210,temp!I$4:I$13,0),0)&gt;0,T08_Spells!AM$2,"")</f>
        <v/>
      </c>
      <c r="AN210" t="str">
        <f>IF(IFERROR(MATCH($B210,temp!J$4:J$13,0),0)&gt;0,T08_Spells!AN$2,"")</f>
        <v/>
      </c>
      <c r="AO210" t="str">
        <f>IF(IFERROR(MATCH($B210,temp!K$4:K$13,0),0)&gt;0,T08_Spells!AO$2,"")</f>
        <v/>
      </c>
      <c r="AP210" t="str">
        <f>IF(IFERROR(MATCH($B210,temp!L$4:L$13,0),0)&gt;0,T08_Spells!AP$2,"")</f>
        <v/>
      </c>
      <c r="AQ210" t="str">
        <f>IF(IFERROR(MATCH($B210,temp!M$4:M$13,0),0)&gt;0,T08_Spells!AQ$2,"")</f>
        <v/>
      </c>
      <c r="AR210" t="str">
        <f>IF(IFERROR(MATCH($B210,temp!N$4:N$13,0),0)&gt;0,T08_Spells!AR$2,"")</f>
        <v/>
      </c>
      <c r="AS210" t="str">
        <f>IF(IFERROR(MATCH($B210,temp!O$4:O$13,0),0)&gt;0,T08_Spells!AS$2,"")</f>
        <v/>
      </c>
      <c r="AT210" t="str">
        <f>IF(IFERROR(MATCH($B210,temp!P$4:P$13,0),0)&gt;0,T08_Spells!AT$2,"")</f>
        <v/>
      </c>
      <c r="AU210" t="str">
        <f>IF(IFERROR(MATCH($B210,temp!Q$4:Q$13,0),0)&gt;0,T08_Spells!AU$2,"")</f>
        <v/>
      </c>
      <c r="AV210" t="str">
        <f>IF(IFERROR(MATCH($B210,temp!R$4:R$13,0),0)&gt;0,T08_Spells!AV$2,"")</f>
        <v/>
      </c>
      <c r="AW210" t="str">
        <f>IF(IFERROR(MATCH($B210,temp!S$4:S$13,0),0)&gt;0,T08_Spells!AW$2,"")</f>
        <v/>
      </c>
      <c r="AX210" t="str">
        <f>IF(IFERROR(MATCH($B210,temp!T$4:T$13,0),0)&gt;0,T08_Spells!AX$2,"")</f>
        <v/>
      </c>
      <c r="AY210" t="str">
        <f>IF(IFERROR(MATCH($B210,temp!U$4:U$13,0),0)&gt;0,T08_Spells!AY$2,"")</f>
        <v/>
      </c>
      <c r="AZ210" t="str">
        <f>IF(IFERROR(MATCH($B210,temp!V$4:V$13,0),0)&gt;0,T08_Spells!AZ$2,"")</f>
        <v/>
      </c>
      <c r="BA210" t="str">
        <f>IF(IFERROR(MATCH($B210,temp!W$4:W$13,0),0)&gt;0,T08_Spells!BA$2,"")</f>
        <v/>
      </c>
      <c r="BC210">
        <f>IF(IFERROR(SEARCH("Ranger",$T210,1),0)&gt;0,1,0)*IF(RangerMaxSpellLevel&gt;=$C210,1,0)*IF(IFERROR(MATCH(B210,Character_Creation!$X$79:$X$382,0),0)&gt;0,0,1)</f>
        <v>0</v>
      </c>
      <c r="BD210">
        <f>IF(BC210=0,0,1+COUNTIF(BD$3:BD209,"&gt;0"))</f>
        <v>0</v>
      </c>
      <c r="BE210" t="str">
        <f t="shared" si="199"/>
        <v/>
      </c>
      <c r="BF210" t="str">
        <f t="shared" si="170"/>
        <v/>
      </c>
      <c r="BH210">
        <f>IF(IFERROR(SEARCH("Sorcerer",$T210,1),0)&gt;0,1,0)*IF(SorcererMaxSpellLevel&gt;=$C210,1,0)*IF(IFERROR(MATCH(B210,Character_Creation!$J$380:$J$394,0),0)&gt;0,0,1)</f>
        <v>0</v>
      </c>
      <c r="BI210">
        <f>IF(BH210=0,0,1+COUNTIF(BI$3:BI209,"&gt;0"))</f>
        <v>0</v>
      </c>
      <c r="BJ210" t="str">
        <f t="shared" si="200"/>
        <v/>
      </c>
      <c r="BK210" t="str">
        <f t="shared" si="171"/>
        <v/>
      </c>
      <c r="BM210">
        <f>IF(OR(IFERROR(SEARCH("Warlock",$T210,1),0)&gt;0,IFERROR(SEARCH(WarlockPatron,$T210,1),0)&gt;0),1,0)*IF(WarlockMaxSpellLevel&gt;=$C210,1,0)*IF(IFERROR(MATCH(B210,Character_Creation!$J$361:$J$375,0),0)&gt;0,0,1)</f>
        <v>0</v>
      </c>
      <c r="BN210">
        <f>IF(BM210=0,0,1+COUNTIF(BN$3:BN209,"&gt;0"))</f>
        <v>0</v>
      </c>
      <c r="BO210" t="str">
        <f t="shared" si="201"/>
        <v/>
      </c>
      <c r="BP210" t="str">
        <f t="shared" si="172"/>
        <v/>
      </c>
      <c r="BR210">
        <f>IF(IFERROR(SEARCH("Eldritch Knight",$T210,1),0)&gt;0,1,0)*IF(EldritchKnightMaxSpellLevel&gt;=$C210,1,0)*IF(IFERROR(MATCH($B210,Character_Creation!$J$350:$J$356,0),0)&gt;0,0,1)*IF(Character_Creation!$M$338&gt;0,1,0)</f>
        <v>0</v>
      </c>
      <c r="BS210">
        <f>IF(BR210=0,0,1+COUNTIF(BS$3:BS209,"&gt;0"))</f>
        <v>0</v>
      </c>
      <c r="BT210" t="str">
        <f t="shared" si="202"/>
        <v/>
      </c>
      <c r="BU210" t="str">
        <f t="shared" si="173"/>
        <v/>
      </c>
      <c r="BW210">
        <f>IF(IFERROR(SEARCH("Arcane Trickster",$T210,1),0)&gt;0,1,0)*IF(ArcaneTricksterMaxSpellLevel&gt;=$C210,1,0)*IF(IFERROR(MATCH($B210,Character_Creation!$J$350:$J$356,0),0)&gt;0,0,1)*IF(Character_Creation!$T$338&gt;0,1,0)</f>
        <v>0</v>
      </c>
      <c r="BX210">
        <f>IF(BW210=0,0,1+COUNTIF(BX$3:BX209,"&gt;0"))</f>
        <v>0</v>
      </c>
      <c r="BY210" t="str">
        <f t="shared" si="203"/>
        <v/>
      </c>
      <c r="BZ210" t="str">
        <f t="shared" si="174"/>
        <v/>
      </c>
      <c r="CB210">
        <f>IF(IFERROR(SEARCH("Wizard",$T210,1),0)&gt;0,1,0)*IF(C210&lt;=ArcaneTricksterMaxSpellLevel,1,0)*IF(IFERROR(MATCH($B210,Character_Creation!$J$350:$J$356,0),0)&gt;0,0,1)*IF(Character_Creation!$T$350&gt;0,1,0)</f>
        <v>0</v>
      </c>
      <c r="CC210">
        <f>IF(CB210=0,0,1+COUNTIF(CC$3:CC209,"&gt;0"))</f>
        <v>0</v>
      </c>
      <c r="CD210" t="str">
        <f t="shared" si="204"/>
        <v/>
      </c>
      <c r="CE210" t="str">
        <f t="shared" si="175"/>
        <v/>
      </c>
      <c r="CG210">
        <f>IF(IFERROR(SEARCH("Wizard",$T210,1),0)&gt;0,1,0)*IF($C210&lt;=EldritchKnightMaxSpellLevel,1,0)*IF(IFERROR(MATCH($B210,Character_Creation!$J$350:$J$356,0),0)&gt;0,0,1)*IF(Character_Creation!$M$350&gt;0,1,0)</f>
        <v>1</v>
      </c>
      <c r="CH210">
        <f>IF(CG210=0,0,1+COUNTIF(CH$3:CH209,"&gt;0"))</f>
        <v>36</v>
      </c>
      <c r="CI210" t="str">
        <f t="shared" si="205"/>
        <v/>
      </c>
      <c r="CJ210" t="str">
        <f t="shared" si="176"/>
        <v/>
      </c>
      <c r="CL210">
        <f>IF(IFERROR(SEARCH("Bard",$T210,1),0)&gt;0,1,0)*IF(BardMaxSpellLevel&gt;=$C210,1,0)*IF(IFERROR(MATCH(B210,Character_Creation!$C$341:$F$362,0),0)&gt;0,0,1)*IF(IFERROR(MATCH($B210,Character_Creation!$C$341:$C$362,0),0)&gt;0,0,1)</f>
        <v>0</v>
      </c>
      <c r="CM210">
        <f>IF(CL210=0,0,1+COUNTIF(CM$3:CM209,"&gt;0"))</f>
        <v>0</v>
      </c>
      <c r="CN210" t="str">
        <f t="shared" si="206"/>
        <v/>
      </c>
      <c r="CO210" t="str">
        <f t="shared" si="177"/>
        <v/>
      </c>
      <c r="CQ210">
        <f>IF(IFERROR(SEARCH("Wizard",$T210,1),0)&gt;0,1,0)*IF(WizardMaxSpellLevel&gt;=$C210,1,0)*IF(IFERROR(MATCH(B210,Character_Creation!$X$341:$X$400,0),0)&gt;0,0,1)*IF(SelectedWizardSpellLevel=$C210,1,0)</f>
        <v>0</v>
      </c>
      <c r="CR210">
        <f>IF(CQ210=0,0,1+COUNTIF(CR$3:CR209,"&gt;0"))</f>
        <v>0</v>
      </c>
      <c r="CS210" t="str">
        <f t="shared" si="207"/>
        <v/>
      </c>
      <c r="CT210" t="str">
        <f t="shared" si="178"/>
        <v/>
      </c>
      <c r="CV210">
        <f>IF(IFERROR(MATCH($B210,Character_Creation!$C$341:$C$362,0),0)&gt;0,0,1)*IF(OR(C210="Cantrip",C210&lt;=BardMaxSpellLevel),1,0)*IF(IFERROR(MATCH($B210,Character_Creation!$C$367:$C$374,0),0)&gt;0,0,1)</f>
        <v>0</v>
      </c>
      <c r="CW210">
        <f>IF(CV210=0,0,1+COUNTIF(CW$3:CW209,"&gt;0"))</f>
        <v>0</v>
      </c>
      <c r="CX210" t="str">
        <f t="shared" si="208"/>
        <v/>
      </c>
      <c r="CY210" t="str">
        <f t="shared" si="179"/>
        <v/>
      </c>
      <c r="DA210">
        <f>IF(IF(OR(IFERROR(SEARCH("Cleric",$T210,1),0)&gt;0,IFERROR(SEARCH(DivineDomain&amp;",",$T210,1),0)&gt;0),1,0)*IF($C210=DA$2,1,0)=1,1+COUNTIF(DA$3:DA209,"&gt;0"),0)</f>
        <v>0</v>
      </c>
      <c r="DB210">
        <f>IF(IF(OR(IFERROR(SEARCH("Cleric",$T210,1),0)&gt;0,IFERROR(SEARCH(DivineDomain&amp;",",$T210,1),0)&gt;0),1,0)*IF($C210=DB$2,1,0)=1,1+COUNTIF(DB$3:DB209,"&gt;0"),0)</f>
        <v>10</v>
      </c>
      <c r="DC210">
        <f>IF(IF(OR(IFERROR(SEARCH("Cleric",$T210,1),0)&gt;0,IFERROR(SEARCH(DivineDomain&amp;",",$T210,1),0)&gt;0),1,0)*IF($C210=DC$2,1,0)=1,1+COUNTIF(DC$3:DC209,"&gt;0"),0)</f>
        <v>0</v>
      </c>
      <c r="DD210">
        <f>IF(IF(OR(IFERROR(SEARCH("Cleric",$T210,1),0)&gt;0,IFERROR(SEARCH(DivineDomain&amp;",",$T210,1),0)&gt;0),1,0)*IF($C210=DD$2,1,0)=1,1+COUNTIF(DD$3:DD209,"&gt;0"),0)</f>
        <v>0</v>
      </c>
      <c r="DE210">
        <f>IF(IF(OR(IFERROR(SEARCH("Cleric",$T210,1),0)&gt;0,IFERROR(SEARCH(DivineDomain&amp;",",$T210,1),0)&gt;0),1,0)*IF($C210=DE$2,1,0)=1,1+COUNTIF(DE$3:DE209,"&gt;0"),0)</f>
        <v>0</v>
      </c>
      <c r="DF210">
        <f>IF(IF(OR(IFERROR(SEARCH("Cleric",$T210,1),0)&gt;0,IFERROR(SEARCH(DivineDomain&amp;",",$T210,1),0)&gt;0),1,0)*IF($C210=DF$2,1,0)=1,1+COUNTIF(DF$3:DF209,"&gt;0"),0)</f>
        <v>0</v>
      </c>
      <c r="DG210">
        <f>IF(IF(OR(IFERROR(SEARCH("Cleric",$T210,1),0)&gt;0,IFERROR(SEARCH(DivineDomain&amp;",",$T210,1),0)&gt;0),1,0)*IF($C210=DG$2,1,0)=1,1+COUNTIF(DG$3:DG209,"&gt;0"),0)</f>
        <v>0</v>
      </c>
      <c r="DH210">
        <f>IF(IF(OR(IFERROR(SEARCH("Cleric",$T210,1),0)&gt;0,IFERROR(SEARCH(DivineDomain&amp;",",$T210,1),0)&gt;0),1,0)*IF($C210=DH$2,1,0)=1,1+COUNTIF(DH$3:DH209,"&gt;0"),0)</f>
        <v>0</v>
      </c>
      <c r="DI210">
        <f>IF(IF(OR(IFERROR(SEARCH("Cleric",$T210,1),0)&gt;0,IFERROR(SEARCH(DivineDomain&amp;",",$T210,1),0)&gt;0),1,0)*IF($C210=DI$2,1,0)=1,1+COUNTIF(DI$3:DI209,"&gt;0"),0)</f>
        <v>0</v>
      </c>
      <c r="DJ210">
        <f>IF(IF(OR(IFERROR(SEARCH("Druid",$T210,1),0)&gt;0,IFERROR(SEARCH(DruidLand1,$T210,1),0)&gt;0,IFERROR(SEARCH(DruidLand2,$T210,1),0)&gt;0,IFERROR(SEARCH(DruidLand3,$T210,1),0)&gt;0,IFERROR(SEARCH(DruidLand4,$T210,1),0)&gt;0),1,0)*IF($C210=1,1,0)*IF($C210=DJ$2,1,0)=0,0,1+COUNTIF(DJ$3:DJ209,"&gt;0"))</f>
        <v>0</v>
      </c>
      <c r="DK210">
        <f>IF(IF(OR(IFERROR(SEARCH("Druid",$T210,1),0)&gt;0,IFERROR(SEARCH(DruidLand1,$T210,1),0)&gt;0,IFERROR(SEARCH(DruidLand2,$T210,1),0)&gt;0,IFERROR(SEARCH(DruidLand3,$T210,1),0)&gt;0,IFERROR(SEARCH(DruidLand4,$T210,1),0)&gt;0),1,0)*IF($C210=1,1,0)*IF($C210=DK$2,1,0)=0,0,1+COUNTIF(DK$3:DK209,"&gt;0"))</f>
        <v>0</v>
      </c>
      <c r="DL210">
        <f>IF(IF(OR(IFERROR(SEARCH("Druid",$T210,1),0)&gt;0,IFERROR(SEARCH(DruidLand1,$T210,1),0)&gt;0,IFERROR(SEARCH(DruidLand2,$T210,1),0)&gt;0,IFERROR(SEARCH(DruidLand3,$T210,1),0)&gt;0,IFERROR(SEARCH(DruidLand4,$T210,1),0)&gt;0),1,0)*IF($C210=1,1,0)*IF($C210=DL$2,1,0)=0,0,1+COUNTIF(DL$3:DL209,"&gt;0"))</f>
        <v>0</v>
      </c>
      <c r="DM210">
        <f>IF(IF(OR(IFERROR(SEARCH("Druid",$T210,1),0)&gt;0,IFERROR(SEARCH(DruidLand1,$T210,1),0)&gt;0,IFERROR(SEARCH(DruidLand2,$T210,1),0)&gt;0,IFERROR(SEARCH(DruidLand3,$T210,1),0)&gt;0,IFERROR(SEARCH(DruidLand4,$T210,1),0)&gt;0),1,0)*IF($C210=1,1,0)*IF($C210=DM$2,1,0)=0,0,1+COUNTIF(DM$3:DM209,"&gt;0"))</f>
        <v>0</v>
      </c>
      <c r="DN210">
        <f>IF(IF(OR(IFERROR(SEARCH("Druid",$T210,1),0)&gt;0,IFERROR(SEARCH(DruidLand1,$T210,1),0)&gt;0,IFERROR(SEARCH(DruidLand2,$T210,1),0)&gt;0,IFERROR(SEARCH(DruidLand3,$T210,1),0)&gt;0,IFERROR(SEARCH(DruidLand4,$T210,1),0)&gt;0),1,0)*IF($C210=1,1,0)*IF($C210=DN$2,1,0)=0,0,1+COUNTIF(DN$3:DN209,"&gt;0"))</f>
        <v>0</v>
      </c>
      <c r="DO210">
        <f>IF(IF(OR(IFERROR(SEARCH("Druid",$T210,1),0)&gt;0,IFERROR(SEARCH(DruidLand1,$T210,1),0)&gt;0,IFERROR(SEARCH(DruidLand2,$T210,1),0)&gt;0,IFERROR(SEARCH(DruidLand3,$T210,1),0)&gt;0,IFERROR(SEARCH(DruidLand4,$T210,1),0)&gt;0),1,0)*IF($C210=1,1,0)*IF($C210=DO$2,1,0)=0,0,1+COUNTIF(DO$3:DO209,"&gt;0"))</f>
        <v>0</v>
      </c>
      <c r="DP210">
        <f>IF(IF(OR(IFERROR(SEARCH("Druid",$T210,1),0)&gt;0,IFERROR(SEARCH(DruidLand1,$T210,1),0)&gt;0,IFERROR(SEARCH(DruidLand2,$T210,1),0)&gt;0,IFERROR(SEARCH(DruidLand3,$T210,1),0)&gt;0,IFERROR(SEARCH(DruidLand4,$T210,1),0)&gt;0),1,0)*IF($C210=1,1,0)*IF($C210=DP$2,1,0)=0,0,1+COUNTIF(DP$3:DP209,"&gt;0"))</f>
        <v>0</v>
      </c>
      <c r="DQ210">
        <f>IF(IF(OR(IFERROR(SEARCH("Druid",$T210,1),0)&gt;0,IFERROR(SEARCH(DruidLand1,$T210,1),0)&gt;0,IFERROR(SEARCH(DruidLand2,$T210,1),0)&gt;0,IFERROR(SEARCH(DruidLand3,$T210,1),0)&gt;0,IFERROR(SEARCH(DruidLand4,$T210,1),0)&gt;0),1,0)*IF($C210=1,1,0)*IF($C210=DQ$2,1,0)=0,0,1+COUNTIF(DQ$3:DQ209,"&gt;0"))</f>
        <v>0</v>
      </c>
      <c r="DR210">
        <f>IF(IF(OR(IFERROR(SEARCH("Druid",$T210,1),0)&gt;0,IFERROR(SEARCH(DruidLand1,$T210,1),0)&gt;0,IFERROR(SEARCH(DruidLand2,$T210,1),0)&gt;0,IFERROR(SEARCH(DruidLand3,$T210,1),0)&gt;0,IFERROR(SEARCH(DruidLand4,$T210,1),0)&gt;0),1,0)*IF($C210=1,1,0)*IF($C210=DR$2,1,0)=0,0,1+COUNTIF(DR$3:DR209,"&gt;0"))</f>
        <v>0</v>
      </c>
      <c r="DS210">
        <f>IF(IF(OR(IFERROR(SEARCH("Paladin",$T210,1),0)&gt;0,IFERROR(SEARCH(PaladinOath,$T210,1),0)&gt;0),1,0)*IF($C210=DS$2,1,0)=1,1+COUNTIF(DS$3:DS209,"&gt;0"),0)</f>
        <v>0</v>
      </c>
      <c r="DT210">
        <f>IF(IF(OR(IFERROR(SEARCH("Paladin",$T210,1),0)&gt;0,IFERROR(SEARCH(PaladinOath,$T210,1),0)&gt;0),1,0)*IF($C210=DT$2,1,0)=1,1+COUNTIF(DT$3:DT209,"&gt;0"),0)</f>
        <v>5</v>
      </c>
      <c r="DU210">
        <f>IF(IF(OR(IFERROR(SEARCH("Paladin",$T210,1),0)&gt;0,IFERROR(SEARCH(PaladinOath,$T210,1),0)&gt;0),1,0)*IF($C210=DU$2,1,0)=1,1+COUNTIF(DU$3:DU209,"&gt;0"),0)</f>
        <v>0</v>
      </c>
      <c r="DV210">
        <f>IF(IF(OR(IFERROR(SEARCH("Paladin",$T210,1),0)&gt;0,IFERROR(SEARCH(PaladinOath,$T210,1),0)&gt;0),1,0)*IF($C210=DV$2,1,0)=1,1+COUNTIF(DV$3:DV209,"&gt;0"),0)</f>
        <v>0</v>
      </c>
      <c r="DW210">
        <f>IF(IF(OR(IFERROR(SEARCH("Paladin",$T210,1),0)&gt;0,IFERROR(SEARCH(PaladinOath,$T210,1),0)&gt;0),1,0)*IF($C210=DW$2,1,0)=1,1+COUNTIF(DW$3:DW209,"&gt;0"),0)</f>
        <v>0</v>
      </c>
      <c r="DY210">
        <f t="shared" si="166"/>
        <v>1</v>
      </c>
      <c r="DZ210">
        <f>IF(DY210=0,0,1+MAX(DZ$3:$DZ209))</f>
        <v>208</v>
      </c>
      <c r="EB210">
        <f t="shared" si="180"/>
        <v>0</v>
      </c>
      <c r="EC210">
        <f>IF(EB210=0,0,1+COUNTIF(EC$3:EC209,"&gt;0"))</f>
        <v>0</v>
      </c>
      <c r="ED210" t="str">
        <f t="shared" si="209"/>
        <v/>
      </c>
      <c r="EE210" t="str">
        <f t="shared" si="181"/>
        <v/>
      </c>
      <c r="EG210">
        <f t="shared" si="182"/>
        <v>0</v>
      </c>
      <c r="EH210">
        <f>IF(EG210=0,0,1+COUNTIF(EH$3:EH209,"&gt;0"))</f>
        <v>0</v>
      </c>
      <c r="EI210" t="str">
        <f t="shared" si="210"/>
        <v/>
      </c>
      <c r="EJ210" t="str">
        <f t="shared" si="183"/>
        <v/>
      </c>
      <c r="EL210">
        <f t="shared" si="184"/>
        <v>0</v>
      </c>
      <c r="EM210">
        <f>IF(EL210=0,0,1+COUNTIF(EM$3:EM209,"&gt;0"))</f>
        <v>0</v>
      </c>
      <c r="EN210" t="str">
        <f t="shared" si="211"/>
        <v/>
      </c>
      <c r="EO210" t="str">
        <f t="shared" si="185"/>
        <v/>
      </c>
      <c r="EQ210">
        <f t="shared" si="186"/>
        <v>0</v>
      </c>
      <c r="ER210">
        <f>IF(EQ210=0,0,1+COUNTIF(ER$3:ER209,"&gt;0"))</f>
        <v>0</v>
      </c>
      <c r="ES210" t="str">
        <f t="shared" si="212"/>
        <v/>
      </c>
      <c r="ET210" t="str">
        <f t="shared" si="187"/>
        <v/>
      </c>
      <c r="EV210">
        <f t="shared" si="188"/>
        <v>0</v>
      </c>
      <c r="EW210">
        <f>IF(EV210=0,0,1+COUNTIF(EW$3:EW209,"&gt;0"))</f>
        <v>0</v>
      </c>
      <c r="EX210" t="str">
        <f t="shared" si="213"/>
        <v/>
      </c>
      <c r="EY210" t="str">
        <f t="shared" si="189"/>
        <v/>
      </c>
      <c r="FA210">
        <f t="shared" si="190"/>
        <v>0</v>
      </c>
      <c r="FB210">
        <f>IF(FA210=0,0,1+COUNTIF(FB$3:FB209,"&gt;0"))</f>
        <v>0</v>
      </c>
      <c r="FC210" t="str">
        <f t="shared" si="214"/>
        <v/>
      </c>
      <c r="FD210" t="str">
        <f t="shared" si="191"/>
        <v/>
      </c>
      <c r="FF210">
        <f t="shared" si="192"/>
        <v>0</v>
      </c>
      <c r="FG210">
        <f>IF(FF210=0,0,1+COUNTIF(FG$3:FG209,"&gt;0"))</f>
        <v>0</v>
      </c>
      <c r="FH210" t="str">
        <f t="shared" si="215"/>
        <v/>
      </c>
      <c r="FI210" t="str">
        <f t="shared" si="193"/>
        <v/>
      </c>
      <c r="FK210">
        <f t="shared" si="194"/>
        <v>0</v>
      </c>
      <c r="FL210">
        <f>IF(FK210=0,0,1+COUNTIF(FL$3:FL209,"&gt;0"))</f>
        <v>0</v>
      </c>
      <c r="FM210" t="str">
        <f t="shared" si="216"/>
        <v/>
      </c>
      <c r="FN210" t="str">
        <f t="shared" si="195"/>
        <v/>
      </c>
      <c r="FP210">
        <f t="shared" si="196"/>
        <v>0</v>
      </c>
      <c r="FQ210">
        <f>IF(FP210=0,0,1+COUNTIF(FQ$3:FQ209,"&gt;0"))</f>
        <v>0</v>
      </c>
      <c r="FR210" t="str">
        <f t="shared" si="217"/>
        <v/>
      </c>
      <c r="FS210" t="str">
        <f t="shared" si="197"/>
        <v/>
      </c>
    </row>
    <row r="211" spans="1:175" x14ac:dyDescent="0.25">
      <c r="A211" s="347">
        <f t="shared" si="219"/>
        <v>209</v>
      </c>
      <c r="B211" s="348" t="s">
        <v>2590</v>
      </c>
      <c r="C211" s="348">
        <v>1</v>
      </c>
      <c r="D211" s="347">
        <v>1</v>
      </c>
      <c r="E211" s="627" t="s">
        <v>6952</v>
      </c>
      <c r="F211" s="346"/>
      <c r="G211" s="347" t="str">
        <f>""</f>
        <v/>
      </c>
      <c r="H211" s="347" t="s">
        <v>5912</v>
      </c>
      <c r="I211" s="347" t="s">
        <v>5298</v>
      </c>
      <c r="J211" s="347" t="str">
        <f t="shared" si="167"/>
        <v/>
      </c>
      <c r="K211" s="347" t="s">
        <v>5293</v>
      </c>
      <c r="L211" s="611" t="str">
        <f t="shared" si="168"/>
        <v>V, S, M, a pinch of dirt</v>
      </c>
      <c r="M211" s="347" t="s">
        <v>2373</v>
      </c>
      <c r="N211" s="347" t="s">
        <v>2387</v>
      </c>
      <c r="O211" s="347" t="s">
        <v>1244</v>
      </c>
      <c r="P211" s="346" t="s">
        <v>5420</v>
      </c>
      <c r="Q211" s="347" t="s">
        <v>5276</v>
      </c>
      <c r="S211" s="346" t="s">
        <v>5421</v>
      </c>
      <c r="T211" s="346" t="str">
        <f t="shared" si="169"/>
        <v xml:space="preserve">Bard, Ranger, Druid, Wizard, </v>
      </c>
      <c r="U211" s="347" t="str">
        <f>$B211</f>
        <v>Longstrider</v>
      </c>
      <c r="W211" s="347" t="str">
        <f>$B211</f>
        <v>Longstrider</v>
      </c>
      <c r="AA211" s="347" t="str">
        <f>$B211</f>
        <v>Longstrider</v>
      </c>
      <c r="AD211" s="347" t="str">
        <f t="shared" si="220"/>
        <v>Longstrider</v>
      </c>
      <c r="AE211" t="str">
        <f>IF(IFERROR(MATCH($B211,temp!A$4:A$13,0),0)&gt;0,T08_Spells!AE$2,"")</f>
        <v/>
      </c>
      <c r="AF211" t="str">
        <f>IF(IFERROR(MATCH($B211,temp!B$4:B$13,0),0)&gt;0,T08_Spells!AF$2,"")</f>
        <v/>
      </c>
      <c r="AG211" t="str">
        <f>IF(IFERROR(MATCH($B211,temp!C$4:C$13,0),0)&gt;0,T08_Spells!AG$2,"")</f>
        <v/>
      </c>
      <c r="AH211" t="str">
        <f>IF(IFERROR(MATCH($B211,temp!D$4:D$13,0),0)&gt;0,T08_Spells!AH$2,"")</f>
        <v/>
      </c>
      <c r="AI211" t="str">
        <f>IF(IFERROR(MATCH($B211,temp!E$4:E$13,0),0)&gt;0,T08_Spells!AI$2,"")</f>
        <v/>
      </c>
      <c r="AJ211" t="str">
        <f>IF(IFERROR(MATCH($B211,temp!F$4:F$13,0),0)&gt;0,T08_Spells!AJ$2,"")</f>
        <v/>
      </c>
      <c r="AK211" t="str">
        <f>IF(IFERROR(MATCH($B211,temp!G$4:G$13,0),0)&gt;0,T08_Spells!AK$2,"")</f>
        <v/>
      </c>
      <c r="AL211" t="str">
        <f>IF(IFERROR(MATCH($B211,temp!H$4:H$13,0),0)&gt;0,T08_Spells!AL$2,"")</f>
        <v/>
      </c>
      <c r="AM211" t="str">
        <f>IF(IFERROR(MATCH($B211,temp!I$4:I$13,0),0)&gt;0,T08_Spells!AM$2,"")</f>
        <v/>
      </c>
      <c r="AN211" t="str">
        <f>IF(IFERROR(MATCH($B211,temp!J$4:J$13,0),0)&gt;0,T08_Spells!AN$2,"")</f>
        <v/>
      </c>
      <c r="AO211" t="str">
        <f>IF(IFERROR(MATCH($B211,temp!K$4:K$13,0),0)&gt;0,T08_Spells!AO$2,"")</f>
        <v/>
      </c>
      <c r="AP211" t="str">
        <f>IF(IFERROR(MATCH($B211,temp!L$4:L$13,0),0)&gt;0,T08_Spells!AP$2,"")</f>
        <v/>
      </c>
      <c r="AQ211" t="str">
        <f>IF(IFERROR(MATCH($B211,temp!M$4:M$13,0),0)&gt;0,T08_Spells!AQ$2,"")</f>
        <v/>
      </c>
      <c r="AR211" t="str">
        <f>IF(IFERROR(MATCH($B211,temp!N$4:N$13,0),0)&gt;0,T08_Spells!AR$2,"")</f>
        <v/>
      </c>
      <c r="AS211" t="str">
        <f>IF(IFERROR(MATCH($B211,temp!O$4:O$13,0),0)&gt;0,T08_Spells!AS$2,"")</f>
        <v/>
      </c>
      <c r="AT211" t="str">
        <f>IF(IFERROR(MATCH($B211,temp!P$4:P$13,0),0)&gt;0,T08_Spells!AT$2,"")</f>
        <v/>
      </c>
      <c r="AU211" t="str">
        <f>IF(IFERROR(MATCH($B211,temp!Q$4:Q$13,0),0)&gt;0,T08_Spells!AU$2,"")</f>
        <v/>
      </c>
      <c r="AV211" t="str">
        <f>IF(IFERROR(MATCH($B211,temp!R$4:R$13,0),0)&gt;0,T08_Spells!AV$2,"")</f>
        <v/>
      </c>
      <c r="AW211" t="str">
        <f>IF(IFERROR(MATCH($B211,temp!S$4:S$13,0),0)&gt;0,T08_Spells!AW$2,"")</f>
        <v/>
      </c>
      <c r="AX211" t="str">
        <f>IF(IFERROR(MATCH($B211,temp!T$4:T$13,0),0)&gt;0,T08_Spells!AX$2,"")</f>
        <v/>
      </c>
      <c r="AY211" t="str">
        <f>IF(IFERROR(MATCH($B211,temp!U$4:U$13,0),0)&gt;0,T08_Spells!AY$2,"")</f>
        <v/>
      </c>
      <c r="AZ211" t="str">
        <f>IF(IFERROR(MATCH($B211,temp!V$4:V$13,0),0)&gt;0,T08_Spells!AZ$2,"")</f>
        <v/>
      </c>
      <c r="BA211" t="str">
        <f>IF(IFERROR(MATCH($B211,temp!W$4:W$13,0),0)&gt;0,T08_Spells!BA$2,"")</f>
        <v/>
      </c>
      <c r="BC211">
        <f>IF(IFERROR(SEARCH("Ranger",$T211,1),0)&gt;0,1,0)*IF(RangerMaxSpellLevel&gt;=$C211,1,0)*IF(IFERROR(MATCH(B211,Character_Creation!$X$79:$X$382,0),0)&gt;0,0,1)</f>
        <v>0</v>
      </c>
      <c r="BD211">
        <f>IF(BC211=0,0,1+COUNTIF(BD$3:BD210,"&gt;0"))</f>
        <v>0</v>
      </c>
      <c r="BE211" t="str">
        <f t="shared" si="199"/>
        <v/>
      </c>
      <c r="BF211" t="str">
        <f t="shared" si="170"/>
        <v/>
      </c>
      <c r="BH211">
        <f>IF(IFERROR(SEARCH("Sorcerer",$T211,1),0)&gt;0,1,0)*IF(SorcererMaxSpellLevel&gt;=$C211,1,0)*IF(IFERROR(MATCH(B211,Character_Creation!$J$380:$J$394,0),0)&gt;0,0,1)</f>
        <v>0</v>
      </c>
      <c r="BI211">
        <f>IF(BH211=0,0,1+COUNTIF(BI$3:BI210,"&gt;0"))</f>
        <v>0</v>
      </c>
      <c r="BJ211" t="str">
        <f t="shared" si="200"/>
        <v/>
      </c>
      <c r="BK211" t="str">
        <f t="shared" si="171"/>
        <v/>
      </c>
      <c r="BM211">
        <f>IF(OR(IFERROR(SEARCH("Warlock",$T211,1),0)&gt;0,IFERROR(SEARCH(WarlockPatron,$T211,1),0)&gt;0),1,0)*IF(WarlockMaxSpellLevel&gt;=$C211,1,0)*IF(IFERROR(MATCH(B211,Character_Creation!$J$361:$J$375,0),0)&gt;0,0,1)</f>
        <v>0</v>
      </c>
      <c r="BN211">
        <f>IF(BM211=0,0,1+COUNTIF(BN$3:BN210,"&gt;0"))</f>
        <v>0</v>
      </c>
      <c r="BO211" t="str">
        <f t="shared" si="201"/>
        <v/>
      </c>
      <c r="BP211" t="str">
        <f t="shared" si="172"/>
        <v/>
      </c>
      <c r="BR211">
        <f>IF(IFERROR(SEARCH("Eldritch Knight",$T211,1),0)&gt;0,1,0)*IF(EldritchKnightMaxSpellLevel&gt;=$C211,1,0)*IF(IFERROR(MATCH($B211,Character_Creation!$J$350:$J$356,0),0)&gt;0,0,1)*IF(Character_Creation!$M$338&gt;0,1,0)</f>
        <v>0</v>
      </c>
      <c r="BS211">
        <f>IF(BR211=0,0,1+COUNTIF(BS$3:BS210,"&gt;0"))</f>
        <v>0</v>
      </c>
      <c r="BT211" t="str">
        <f t="shared" si="202"/>
        <v/>
      </c>
      <c r="BU211" t="str">
        <f t="shared" si="173"/>
        <v/>
      </c>
      <c r="BW211">
        <f>IF(IFERROR(SEARCH("Arcane Trickster",$T211,1),0)&gt;0,1,0)*IF(ArcaneTricksterMaxSpellLevel&gt;=$C211,1,0)*IF(IFERROR(MATCH($B211,Character_Creation!$J$350:$J$356,0),0)&gt;0,0,1)*IF(Character_Creation!$T$338&gt;0,1,0)</f>
        <v>0</v>
      </c>
      <c r="BX211">
        <f>IF(BW211=0,0,1+COUNTIF(BX$3:BX210,"&gt;0"))</f>
        <v>0</v>
      </c>
      <c r="BY211" t="str">
        <f t="shared" si="203"/>
        <v/>
      </c>
      <c r="BZ211" t="str">
        <f t="shared" si="174"/>
        <v/>
      </c>
      <c r="CB211">
        <f>IF(IFERROR(SEARCH("Wizard",$T211,1),0)&gt;0,1,0)*IF(C211&lt;=ArcaneTricksterMaxSpellLevel,1,0)*IF(IFERROR(MATCH($B211,Character_Creation!$J$350:$J$356,0),0)&gt;0,0,1)*IF(Character_Creation!$T$350&gt;0,1,0)</f>
        <v>0</v>
      </c>
      <c r="CC211">
        <f>IF(CB211=0,0,1+COUNTIF(CC$3:CC210,"&gt;0"))</f>
        <v>0</v>
      </c>
      <c r="CD211" t="str">
        <f t="shared" si="204"/>
        <v/>
      </c>
      <c r="CE211" t="str">
        <f t="shared" si="175"/>
        <v/>
      </c>
      <c r="CG211">
        <f>IF(IFERROR(SEARCH("Wizard",$T211,1),0)&gt;0,1,0)*IF($C211&lt;=EldritchKnightMaxSpellLevel,1,0)*IF(IFERROR(MATCH($B211,Character_Creation!$J$350:$J$356,0),0)&gt;0,0,1)*IF(Character_Creation!$M$350&gt;0,1,0)</f>
        <v>1</v>
      </c>
      <c r="CH211">
        <f>IF(CG211=0,0,1+COUNTIF(CH$3:CH210,"&gt;0"))</f>
        <v>37</v>
      </c>
      <c r="CI211" t="str">
        <f t="shared" si="205"/>
        <v/>
      </c>
      <c r="CJ211" t="str">
        <f t="shared" si="176"/>
        <v/>
      </c>
      <c r="CL211">
        <f>IF(IFERROR(SEARCH("Bard",$T211,1),0)&gt;0,1,0)*IF(BardMaxSpellLevel&gt;=$C211,1,0)*IF(IFERROR(MATCH(B211,Character_Creation!$C$341:$F$362,0),0)&gt;0,0,1)*IF(IFERROR(MATCH($B211,Character_Creation!$C$341:$C$362,0),0)&gt;0,0,1)</f>
        <v>0</v>
      </c>
      <c r="CM211">
        <f>IF(CL211=0,0,1+COUNTIF(CM$3:CM210,"&gt;0"))</f>
        <v>0</v>
      </c>
      <c r="CN211" t="str">
        <f t="shared" si="206"/>
        <v/>
      </c>
      <c r="CO211" t="str">
        <f t="shared" si="177"/>
        <v/>
      </c>
      <c r="CQ211">
        <f>IF(IFERROR(SEARCH("Wizard",$T211,1),0)&gt;0,1,0)*IF(WizardMaxSpellLevel&gt;=$C211,1,0)*IF(IFERROR(MATCH(B211,Character_Creation!$X$341:$X$400,0),0)&gt;0,0,1)*IF(SelectedWizardSpellLevel=$C211,1,0)</f>
        <v>0</v>
      </c>
      <c r="CR211">
        <f>IF(CQ211=0,0,1+COUNTIF(CR$3:CR210,"&gt;0"))</f>
        <v>0</v>
      </c>
      <c r="CS211" t="str">
        <f t="shared" si="207"/>
        <v/>
      </c>
      <c r="CT211" t="str">
        <f t="shared" si="178"/>
        <v/>
      </c>
      <c r="CV211">
        <f>IF(IFERROR(MATCH($B211,Character_Creation!$C$341:$C$362,0),0)&gt;0,0,1)*IF(OR(C211="Cantrip",C211&lt;=BardMaxSpellLevel),1,0)*IF(IFERROR(MATCH($B211,Character_Creation!$C$367:$C$374,0),0)&gt;0,0,1)</f>
        <v>0</v>
      </c>
      <c r="CW211">
        <f>IF(CV211=0,0,1+COUNTIF(CW$3:CW210,"&gt;0"))</f>
        <v>0</v>
      </c>
      <c r="CX211" t="str">
        <f t="shared" si="208"/>
        <v/>
      </c>
      <c r="CY211" t="str">
        <f t="shared" si="179"/>
        <v/>
      </c>
      <c r="DA211">
        <f>IF(IF(OR(IFERROR(SEARCH("Cleric",$T211,1),0)&gt;0,IFERROR(SEARCH(DivineDomain&amp;",",$T211,1),0)&gt;0),1,0)*IF($C211=DA$2,1,0)=1,1+COUNTIF(DA$3:DA210,"&gt;0"),0)</f>
        <v>0</v>
      </c>
      <c r="DB211">
        <f>IF(IF(OR(IFERROR(SEARCH("Cleric",$T211,1),0)&gt;0,IFERROR(SEARCH(DivineDomain&amp;",",$T211,1),0)&gt;0),1,0)*IF($C211=DB$2,1,0)=1,1+COUNTIF(DB$3:DB210,"&gt;0"),0)</f>
        <v>0</v>
      </c>
      <c r="DC211">
        <f>IF(IF(OR(IFERROR(SEARCH("Cleric",$T211,1),0)&gt;0,IFERROR(SEARCH(DivineDomain&amp;",",$T211,1),0)&gt;0),1,0)*IF($C211=DC$2,1,0)=1,1+COUNTIF(DC$3:DC210,"&gt;0"),0)</f>
        <v>0</v>
      </c>
      <c r="DD211">
        <f>IF(IF(OR(IFERROR(SEARCH("Cleric",$T211,1),0)&gt;0,IFERROR(SEARCH(DivineDomain&amp;",",$T211,1),0)&gt;0),1,0)*IF($C211=DD$2,1,0)=1,1+COUNTIF(DD$3:DD210,"&gt;0"),0)</f>
        <v>0</v>
      </c>
      <c r="DE211">
        <f>IF(IF(OR(IFERROR(SEARCH("Cleric",$T211,1),0)&gt;0,IFERROR(SEARCH(DivineDomain&amp;",",$T211,1),0)&gt;0),1,0)*IF($C211=DE$2,1,0)=1,1+COUNTIF(DE$3:DE210,"&gt;0"),0)</f>
        <v>0</v>
      </c>
      <c r="DF211">
        <f>IF(IF(OR(IFERROR(SEARCH("Cleric",$T211,1),0)&gt;0,IFERROR(SEARCH(DivineDomain&amp;",",$T211,1),0)&gt;0),1,0)*IF($C211=DF$2,1,0)=1,1+COUNTIF(DF$3:DF210,"&gt;0"),0)</f>
        <v>0</v>
      </c>
      <c r="DG211">
        <f>IF(IF(OR(IFERROR(SEARCH("Cleric",$T211,1),0)&gt;0,IFERROR(SEARCH(DivineDomain&amp;",",$T211,1),0)&gt;0),1,0)*IF($C211=DG$2,1,0)=1,1+COUNTIF(DG$3:DG210,"&gt;0"),0)</f>
        <v>0</v>
      </c>
      <c r="DH211">
        <f>IF(IF(OR(IFERROR(SEARCH("Cleric",$T211,1),0)&gt;0,IFERROR(SEARCH(DivineDomain&amp;",",$T211,1),0)&gt;0),1,0)*IF($C211=DH$2,1,0)=1,1+COUNTIF(DH$3:DH210,"&gt;0"),0)</f>
        <v>0</v>
      </c>
      <c r="DI211">
        <f>IF(IF(OR(IFERROR(SEARCH("Cleric",$T211,1),0)&gt;0,IFERROR(SEARCH(DivineDomain&amp;",",$T211,1),0)&gt;0),1,0)*IF($C211=DI$2,1,0)=1,1+COUNTIF(DI$3:DI210,"&gt;0"),0)</f>
        <v>0</v>
      </c>
      <c r="DJ211">
        <f>IF(IF(OR(IFERROR(SEARCH("Druid",$T211,1),0)&gt;0,IFERROR(SEARCH(DruidLand1,$T211,1),0)&gt;0,IFERROR(SEARCH(DruidLand2,$T211,1),0)&gt;0,IFERROR(SEARCH(DruidLand3,$T211,1),0)&gt;0,IFERROR(SEARCH(DruidLand4,$T211,1),0)&gt;0),1,0)*IF($C211=1,1,0)*IF($C211=DJ$2,1,0)=0,0,1+COUNTIF(DJ$3:DJ210,"&gt;0"))</f>
        <v>13</v>
      </c>
      <c r="DK211">
        <f>IF(IF(OR(IFERROR(SEARCH("Druid",$T211,1),0)&gt;0,IFERROR(SEARCH(DruidLand1,$T211,1),0)&gt;0,IFERROR(SEARCH(DruidLand2,$T211,1),0)&gt;0,IFERROR(SEARCH(DruidLand3,$T211,1),0)&gt;0,IFERROR(SEARCH(DruidLand4,$T211,1),0)&gt;0),1,0)*IF($C211=DK$2,1,0)=0,0,1+COUNTIF(DK$3:DK210,"&gt;0"))</f>
        <v>0</v>
      </c>
      <c r="DL211">
        <f>IF(IF(OR(IFERROR(SEARCH("Druid",$T211,1),0)&gt;0,IFERROR(SEARCH(DruidLand1,$T211,1),0)&gt;0,IFERROR(SEARCH(DruidLand2,$T211,1),0)&gt;0,IFERROR(SEARCH(DruidLand3,$T211,1),0)&gt;0,IFERROR(SEARCH(DruidLand4,$T211,1),0)&gt;0),1,0)*IF($C211=DL$2,1,0)=0,0,1+COUNTIF(DL$3:DL210,"&gt;0"))</f>
        <v>0</v>
      </c>
      <c r="DM211">
        <f>IF(IF(OR(IFERROR(SEARCH("Druid",$T211,1),0)&gt;0,IFERROR(SEARCH(DruidLand1,$T211,1),0)&gt;0,IFERROR(SEARCH(DruidLand2,$T211,1),0)&gt;0,IFERROR(SEARCH(DruidLand3,$T211,1),0)&gt;0,IFERROR(SEARCH(DruidLand4,$T211,1),0)&gt;0),1,0)*IF($C211=DM$2,1,0)=0,0,1+COUNTIF(DM$3:DM210,"&gt;0"))</f>
        <v>0</v>
      </c>
      <c r="DN211">
        <f>IF(IF(OR(IFERROR(SEARCH("Druid",$T211,1),0)&gt;0,IFERROR(SEARCH(DruidLand1,$T211,1),0)&gt;0,IFERROR(SEARCH(DruidLand2,$T211,1),0)&gt;0,IFERROR(SEARCH(DruidLand3,$T211,1),0)&gt;0,IFERROR(SEARCH(DruidLand4,$T211,1),0)&gt;0),1,0)*IF($C211=DN$2,1,0)=0,0,1+COUNTIF(DN$3:DN210,"&gt;0"))</f>
        <v>0</v>
      </c>
      <c r="DO211">
        <f>IF(IF(OR(IFERROR(SEARCH("Druid",$T211,1),0)&gt;0,IFERROR(SEARCH(DruidLand1,$T211,1),0)&gt;0,IFERROR(SEARCH(DruidLand2,$T211,1),0)&gt;0,IFERROR(SEARCH(DruidLand3,$T211,1),0)&gt;0,IFERROR(SEARCH(DruidLand4,$T211,1),0)&gt;0),1,0)*IF($C211=DO$2,1,0)=0,0,1+COUNTIF(DO$3:DO210,"&gt;0"))</f>
        <v>0</v>
      </c>
      <c r="DP211">
        <f>IF(IF(OR(IFERROR(SEARCH("Druid",$T211,1),0)&gt;0,IFERROR(SEARCH(DruidLand1,$T211,1),0)&gt;0,IFERROR(SEARCH(DruidLand2,$T211,1),0)&gt;0,IFERROR(SEARCH(DruidLand3,$T211,1),0)&gt;0,IFERROR(SEARCH(DruidLand4,$T211,1),0)&gt;0),1,0)*IF($C211=DP$2,1,0)=0,0,1+COUNTIF(DP$3:DP210,"&gt;0"))</f>
        <v>0</v>
      </c>
      <c r="DQ211">
        <f>IF(IF(OR(IFERROR(SEARCH("Druid",$T211,1),0)&gt;0,IFERROR(SEARCH(DruidLand1,$T211,1),0)&gt;0,IFERROR(SEARCH(DruidLand2,$T211,1),0)&gt;0,IFERROR(SEARCH(DruidLand3,$T211,1),0)&gt;0,IFERROR(SEARCH(DruidLand4,$T211,1),0)&gt;0),1,0)*IF($C211=DQ$2,1,0)=0,0,1+COUNTIF(DQ$3:DQ210,"&gt;0"))</f>
        <v>0</v>
      </c>
      <c r="DR211">
        <f>IF(IF(OR(IFERROR(SEARCH("Druid",$T211,1),0)&gt;0,IFERROR(SEARCH(DruidLand1,$T211,1),0)&gt;0,IFERROR(SEARCH(DruidLand2,$T211,1),0)&gt;0,IFERROR(SEARCH(DruidLand3,$T211,1),0)&gt;0,IFERROR(SEARCH(DruidLand4,$T211,1),0)&gt;0),1,0)*IF($C211=DR$2,1,0)=0,0,1+COUNTIF(DR$3:DR210,"&gt;0"))</f>
        <v>0</v>
      </c>
      <c r="DS211">
        <f>IF(IF(OR(IFERROR(SEARCH("Paladin",$T211,1),0)&gt;0,IFERROR(SEARCH(PaladinOath,$T211,1),0)&gt;0),1,0)*IF($C211=DS$2,1,0)=1,1+COUNTIF(DS$3:DS210,"&gt;0"),0)</f>
        <v>0</v>
      </c>
      <c r="DT211">
        <f>IF(IF(OR(IFERROR(SEARCH("Paladin",$T211,1),0)&gt;0,IFERROR(SEARCH(PaladinOath,$T211,1),0)&gt;0),1,0)*IF($C211=DT$2,1,0)=1,1+COUNTIF(DT$3:DT210,"&gt;0"),0)</f>
        <v>0</v>
      </c>
      <c r="DU211">
        <f>IF(IF(OR(IFERROR(SEARCH("Paladin",$T211,1),0)&gt;0,IFERROR(SEARCH(PaladinOath,$T211,1),0)&gt;0),1,0)*IF($C211=DU$2,1,0)=1,1+COUNTIF(DU$3:DU210,"&gt;0"),0)</f>
        <v>0</v>
      </c>
      <c r="DV211">
        <f>IF(IF(OR(IFERROR(SEARCH("Paladin",$T211,1),0)&gt;0,IFERROR(SEARCH(PaladinOath,$T211,1),0)&gt;0),1,0)*IF($C211=DV$2,1,0)=1,1+COUNTIF(DV$3:DV210,"&gt;0"),0)</f>
        <v>0</v>
      </c>
      <c r="DW211">
        <f>IF(IF(OR(IFERROR(SEARCH("Paladin",$T211,1),0)&gt;0,IFERROR(SEARCH(PaladinOath,$T211,1),0)&gt;0),1,0)*IF($C211=DW$2,1,0)=1,1+COUNTIF(DW$3:DW210,"&gt;0"),0)</f>
        <v>0</v>
      </c>
      <c r="DY211">
        <f t="shared" si="166"/>
        <v>1</v>
      </c>
      <c r="DZ211">
        <f>IF(DY211=0,0,1+MAX(DZ$3:$DZ210))</f>
        <v>209</v>
      </c>
      <c r="EB211">
        <f t="shared" si="180"/>
        <v>0</v>
      </c>
      <c r="EC211">
        <f>IF(EB211=0,0,1+COUNTIF(EC$3:EC210,"&gt;0"))</f>
        <v>0</v>
      </c>
      <c r="ED211" t="str">
        <f t="shared" si="209"/>
        <v/>
      </c>
      <c r="EE211" t="str">
        <f t="shared" si="181"/>
        <v/>
      </c>
      <c r="EG211">
        <f t="shared" si="182"/>
        <v>0</v>
      </c>
      <c r="EH211">
        <f>IF(EG211=0,0,1+COUNTIF(EH$3:EH210,"&gt;0"))</f>
        <v>0</v>
      </c>
      <c r="EI211" t="str">
        <f t="shared" si="210"/>
        <v/>
      </c>
      <c r="EJ211" t="str">
        <f t="shared" si="183"/>
        <v/>
      </c>
      <c r="EL211">
        <f t="shared" si="184"/>
        <v>0</v>
      </c>
      <c r="EM211">
        <f>IF(EL211=0,0,1+COUNTIF(EM$3:EM210,"&gt;0"))</f>
        <v>0</v>
      </c>
      <c r="EN211" t="str">
        <f t="shared" si="211"/>
        <v/>
      </c>
      <c r="EO211" t="str">
        <f t="shared" si="185"/>
        <v/>
      </c>
      <c r="EQ211">
        <f t="shared" si="186"/>
        <v>0</v>
      </c>
      <c r="ER211">
        <f>IF(EQ211=0,0,1+COUNTIF(ER$3:ER210,"&gt;0"))</f>
        <v>0</v>
      </c>
      <c r="ES211" t="str">
        <f t="shared" si="212"/>
        <v/>
      </c>
      <c r="ET211" t="str">
        <f t="shared" si="187"/>
        <v/>
      </c>
      <c r="EV211">
        <f t="shared" si="188"/>
        <v>0</v>
      </c>
      <c r="EW211">
        <f>IF(EV211=0,0,1+COUNTIF(EW$3:EW210,"&gt;0"))</f>
        <v>0</v>
      </c>
      <c r="EX211" t="str">
        <f t="shared" si="213"/>
        <v/>
      </c>
      <c r="EY211" t="str">
        <f t="shared" si="189"/>
        <v/>
      </c>
      <c r="FA211">
        <f t="shared" si="190"/>
        <v>0</v>
      </c>
      <c r="FB211">
        <f>IF(FA211=0,0,1+COUNTIF(FB$3:FB210,"&gt;0"))</f>
        <v>0</v>
      </c>
      <c r="FC211" t="str">
        <f t="shared" si="214"/>
        <v/>
      </c>
      <c r="FD211" t="str">
        <f t="shared" si="191"/>
        <v/>
      </c>
      <c r="FF211">
        <f t="shared" si="192"/>
        <v>0</v>
      </c>
      <c r="FG211">
        <f>IF(FF211=0,0,1+COUNTIF(FG$3:FG210,"&gt;0"))</f>
        <v>0</v>
      </c>
      <c r="FH211" t="str">
        <f t="shared" si="215"/>
        <v/>
      </c>
      <c r="FI211" t="str">
        <f t="shared" si="193"/>
        <v/>
      </c>
      <c r="FK211">
        <f t="shared" si="194"/>
        <v>0</v>
      </c>
      <c r="FL211">
        <f>IF(FK211=0,0,1+COUNTIF(FL$3:FL210,"&gt;0"))</f>
        <v>0</v>
      </c>
      <c r="FM211" t="str">
        <f t="shared" si="216"/>
        <v/>
      </c>
      <c r="FN211" t="str">
        <f t="shared" si="195"/>
        <v/>
      </c>
      <c r="FP211">
        <f t="shared" si="196"/>
        <v>0</v>
      </c>
      <c r="FQ211">
        <f>IF(FP211=0,0,1+COUNTIF(FQ$3:FQ210,"&gt;0"))</f>
        <v>0</v>
      </c>
      <c r="FR211" t="str">
        <f t="shared" si="217"/>
        <v/>
      </c>
      <c r="FS211" t="str">
        <f t="shared" si="197"/>
        <v/>
      </c>
    </row>
    <row r="212" spans="1:175" x14ac:dyDescent="0.25">
      <c r="A212" s="347">
        <f t="shared" si="219"/>
        <v>210</v>
      </c>
      <c r="B212" s="348" t="s">
        <v>2591</v>
      </c>
      <c r="C212" s="348">
        <v>1</v>
      </c>
      <c r="D212" s="347">
        <v>1</v>
      </c>
      <c r="E212" s="627" t="s">
        <v>6952</v>
      </c>
      <c r="F212" s="346"/>
      <c r="G212" s="347" t="str">
        <f>""</f>
        <v/>
      </c>
      <c r="H212" s="347" t="s">
        <v>5912</v>
      </c>
      <c r="I212" s="347" t="s">
        <v>5298</v>
      </c>
      <c r="J212" s="347" t="str">
        <f t="shared" si="167"/>
        <v/>
      </c>
      <c r="K212" s="347" t="s">
        <v>5279</v>
      </c>
      <c r="L212" s="611" t="str">
        <f t="shared" si="168"/>
        <v>V, S, M, a piece of cured leather</v>
      </c>
      <c r="M212" s="347" t="s">
        <v>2373</v>
      </c>
      <c r="N212" s="347" t="s">
        <v>2387</v>
      </c>
      <c r="O212" s="347" t="s">
        <v>1244</v>
      </c>
      <c r="P212" s="346" t="s">
        <v>5422</v>
      </c>
      <c r="Q212" s="347" t="s">
        <v>5270</v>
      </c>
      <c r="S212" s="346" t="s">
        <v>2592</v>
      </c>
      <c r="T212" s="346" t="str">
        <f t="shared" si="169"/>
        <v xml:space="preserve">Sorcerer, Eldritch Knight, Wizard, </v>
      </c>
      <c r="X212" s="347" t="str">
        <f>$B212</f>
        <v>Mage Armor</v>
      </c>
      <c r="AB212" s="542" t="str">
        <f>AD212</f>
        <v>Mage Armor</v>
      </c>
      <c r="AD212" s="347" t="str">
        <f t="shared" si="220"/>
        <v>Mage Armor</v>
      </c>
      <c r="AE212" t="str">
        <f>IF(IFERROR(MATCH($B212,temp!A$4:A$13,0),0)&gt;0,T08_Spells!AE$2,"")</f>
        <v/>
      </c>
      <c r="AF212" t="str">
        <f>IF(IFERROR(MATCH($B212,temp!B$4:B$13,0),0)&gt;0,T08_Spells!AF$2,"")</f>
        <v/>
      </c>
      <c r="AG212" t="str">
        <f>IF(IFERROR(MATCH($B212,temp!C$4:C$13,0),0)&gt;0,T08_Spells!AG$2,"")</f>
        <v/>
      </c>
      <c r="AH212" t="str">
        <f>IF(IFERROR(MATCH($B212,temp!D$4:D$13,0),0)&gt;0,T08_Spells!AH$2,"")</f>
        <v/>
      </c>
      <c r="AI212" t="str">
        <f>IF(IFERROR(MATCH($B212,temp!E$4:E$13,0),0)&gt;0,T08_Spells!AI$2,"")</f>
        <v/>
      </c>
      <c r="AJ212" t="str">
        <f>IF(IFERROR(MATCH($B212,temp!F$4:F$13,0),0)&gt;0,T08_Spells!AJ$2,"")</f>
        <v/>
      </c>
      <c r="AK212" t="str">
        <f>IF(IFERROR(MATCH($B212,temp!G$4:G$13,0),0)&gt;0,T08_Spells!AK$2,"")</f>
        <v/>
      </c>
      <c r="AL212" t="str">
        <f>IF(IFERROR(MATCH($B212,temp!H$4:H$13,0),0)&gt;0,T08_Spells!AL$2,"")</f>
        <v/>
      </c>
      <c r="AM212" t="str">
        <f>IF(IFERROR(MATCH($B212,temp!I$4:I$13,0),0)&gt;0,T08_Spells!AM$2,"")</f>
        <v/>
      </c>
      <c r="AN212" t="str">
        <f>IF(IFERROR(MATCH($B212,temp!J$4:J$13,0),0)&gt;0,T08_Spells!AN$2,"")</f>
        <v/>
      </c>
      <c r="AO212" t="str">
        <f>IF(IFERROR(MATCH($B212,temp!K$4:K$13,0),0)&gt;0,T08_Spells!AO$2,"")</f>
        <v/>
      </c>
      <c r="AP212" t="str">
        <f>IF(IFERROR(MATCH($B212,temp!L$4:L$13,0),0)&gt;0,T08_Spells!AP$2,"")</f>
        <v/>
      </c>
      <c r="AQ212" t="str">
        <f>IF(IFERROR(MATCH($B212,temp!M$4:M$13,0),0)&gt;0,T08_Spells!AQ$2,"")</f>
        <v/>
      </c>
      <c r="AR212" t="str">
        <f>IF(IFERROR(MATCH($B212,temp!N$4:N$13,0),0)&gt;0,T08_Spells!AR$2,"")</f>
        <v/>
      </c>
      <c r="AS212" t="str">
        <f>IF(IFERROR(MATCH($B212,temp!O$4:O$13,0),0)&gt;0,T08_Spells!AS$2,"")</f>
        <v/>
      </c>
      <c r="AT212" t="str">
        <f>IF(IFERROR(MATCH($B212,temp!P$4:P$13,0),0)&gt;0,T08_Spells!AT$2,"")</f>
        <v/>
      </c>
      <c r="AU212" t="str">
        <f>IF(IFERROR(MATCH($B212,temp!Q$4:Q$13,0),0)&gt;0,T08_Spells!AU$2,"")</f>
        <v/>
      </c>
      <c r="AV212" t="str">
        <f>IF(IFERROR(MATCH($B212,temp!R$4:R$13,0),0)&gt;0,T08_Spells!AV$2,"")</f>
        <v/>
      </c>
      <c r="AW212" t="str">
        <f>IF(IFERROR(MATCH($B212,temp!S$4:S$13,0),0)&gt;0,T08_Spells!AW$2,"")</f>
        <v/>
      </c>
      <c r="AX212" t="str">
        <f>IF(IFERROR(MATCH($B212,temp!T$4:T$13,0),0)&gt;0,T08_Spells!AX$2,"")</f>
        <v/>
      </c>
      <c r="AY212" t="str">
        <f>IF(IFERROR(MATCH($B212,temp!U$4:U$13,0),0)&gt;0,T08_Spells!AY$2,"")</f>
        <v/>
      </c>
      <c r="AZ212" t="str">
        <f>IF(IFERROR(MATCH($B212,temp!V$4:V$13,0),0)&gt;0,T08_Spells!AZ$2,"")</f>
        <v/>
      </c>
      <c r="BA212" t="str">
        <f>IF(IFERROR(MATCH($B212,temp!W$4:W$13,0),0)&gt;0,T08_Spells!BA$2,"")</f>
        <v/>
      </c>
      <c r="BC212">
        <f>IF(IFERROR(SEARCH("Ranger",$T212,1),0)&gt;0,1,0)*IF(RangerMaxSpellLevel&gt;=$C212,1,0)*IF(IFERROR(MATCH(B212,Character_Creation!$X$79:$X$382,0),0)&gt;0,0,1)</f>
        <v>0</v>
      </c>
      <c r="BD212">
        <f>IF(BC212=0,0,1+COUNTIF(BD$3:BD211,"&gt;0"))</f>
        <v>0</v>
      </c>
      <c r="BE212" t="str">
        <f t="shared" si="199"/>
        <v/>
      </c>
      <c r="BF212" t="str">
        <f t="shared" si="170"/>
        <v/>
      </c>
      <c r="BH212">
        <f>IF(IFERROR(SEARCH("Sorcerer",$T212,1),0)&gt;0,1,0)*IF(SorcererMaxSpellLevel&gt;=$C212,1,0)*IF(IFERROR(MATCH(B212,Character_Creation!$J$380:$J$394,0),0)&gt;0,0,1)</f>
        <v>0</v>
      </c>
      <c r="BI212">
        <f>IF(BH212=0,0,1+COUNTIF(BI$3:BI211,"&gt;0"))</f>
        <v>0</v>
      </c>
      <c r="BJ212" t="str">
        <f t="shared" si="200"/>
        <v/>
      </c>
      <c r="BK212" t="str">
        <f t="shared" si="171"/>
        <v/>
      </c>
      <c r="BM212">
        <f>IF(OR(IFERROR(SEARCH("Warlock",$T212,1),0)&gt;0,IFERROR(SEARCH(WarlockPatron,$T212,1),0)&gt;0),1,0)*IF(WarlockMaxSpellLevel&gt;=$C212,1,0)*IF(IFERROR(MATCH(B212,Character_Creation!$J$361:$J$375,0),0)&gt;0,0,1)</f>
        <v>0</v>
      </c>
      <c r="BN212">
        <f>IF(BM212=0,0,1+COUNTIF(BN$3:BN211,"&gt;0"))</f>
        <v>0</v>
      </c>
      <c r="BO212" t="str">
        <f t="shared" si="201"/>
        <v/>
      </c>
      <c r="BP212" t="str">
        <f t="shared" si="172"/>
        <v/>
      </c>
      <c r="BR212">
        <f>IF(IFERROR(SEARCH("Eldritch Knight",$T212,1),0)&gt;0,1,0)*IF(EldritchKnightMaxSpellLevel&gt;=$C212,1,0)*IF(IFERROR(MATCH($B212,Character_Creation!$J$350:$J$356,0),0)&gt;0,0,1)*IF(Character_Creation!$M$338&gt;0,1,0)</f>
        <v>0</v>
      </c>
      <c r="BS212">
        <f>IF(BR212=0,0,1+COUNTIF(BS$3:BS211,"&gt;0"))</f>
        <v>0</v>
      </c>
      <c r="BT212" t="str">
        <f t="shared" si="202"/>
        <v/>
      </c>
      <c r="BU212" t="str">
        <f t="shared" si="173"/>
        <v/>
      </c>
      <c r="BW212">
        <f>IF(IFERROR(SEARCH("Arcane Trickster",$T212,1),0)&gt;0,1,0)*IF(ArcaneTricksterMaxSpellLevel&gt;=$C212,1,0)*IF(IFERROR(MATCH($B212,Character_Creation!$J$350:$J$356,0),0)&gt;0,0,1)*IF(Character_Creation!$T$338&gt;0,1,0)</f>
        <v>0</v>
      </c>
      <c r="BX212">
        <f>IF(BW212=0,0,1+COUNTIF(BX$3:BX211,"&gt;0"))</f>
        <v>0</v>
      </c>
      <c r="BY212" t="str">
        <f t="shared" si="203"/>
        <v/>
      </c>
      <c r="BZ212" t="str">
        <f t="shared" si="174"/>
        <v/>
      </c>
      <c r="CB212">
        <f>IF(IFERROR(SEARCH("Wizard",$T212,1),0)&gt;0,1,0)*IF(C212&lt;=ArcaneTricksterMaxSpellLevel,1,0)*IF(IFERROR(MATCH($B212,Character_Creation!$J$350:$J$356,0),0)&gt;0,0,1)*IF(Character_Creation!$T$350&gt;0,1,0)</f>
        <v>0</v>
      </c>
      <c r="CC212">
        <f>IF(CB212=0,0,1+COUNTIF(CC$3:CC211,"&gt;0"))</f>
        <v>0</v>
      </c>
      <c r="CD212" t="str">
        <f t="shared" si="204"/>
        <v/>
      </c>
      <c r="CE212" t="str">
        <f t="shared" si="175"/>
        <v/>
      </c>
      <c r="CG212">
        <f>IF(IFERROR(SEARCH("Wizard",$T212,1),0)&gt;0,1,0)*IF($C212&lt;=EldritchKnightMaxSpellLevel,1,0)*IF(IFERROR(MATCH($B212,Character_Creation!$J$350:$J$356,0),0)&gt;0,0,1)*IF(Character_Creation!$M$350&gt;0,1,0)</f>
        <v>1</v>
      </c>
      <c r="CH212">
        <f>IF(CG212=0,0,1+COUNTIF(CH$3:CH211,"&gt;0"))</f>
        <v>38</v>
      </c>
      <c r="CI212" t="str">
        <f t="shared" si="205"/>
        <v/>
      </c>
      <c r="CJ212" t="str">
        <f t="shared" si="176"/>
        <v/>
      </c>
      <c r="CL212">
        <f>IF(IFERROR(SEARCH("Bard",$T212,1),0)&gt;0,1,0)*IF(BardMaxSpellLevel&gt;=$C212,1,0)*IF(IFERROR(MATCH(B212,Character_Creation!$C$341:$F$362,0),0)&gt;0,0,1)*IF(IFERROR(MATCH($B212,Character_Creation!$C$341:$C$362,0),0)&gt;0,0,1)</f>
        <v>0</v>
      </c>
      <c r="CM212">
        <f>IF(CL212=0,0,1+COUNTIF(CM$3:CM211,"&gt;0"))</f>
        <v>0</v>
      </c>
      <c r="CN212" t="str">
        <f t="shared" si="206"/>
        <v/>
      </c>
      <c r="CO212" t="str">
        <f t="shared" si="177"/>
        <v/>
      </c>
      <c r="CQ212">
        <f>IF(IFERROR(SEARCH("Wizard",$T212,1),0)&gt;0,1,0)*IF(WizardMaxSpellLevel&gt;=$C212,1,0)*IF(IFERROR(MATCH(B212,Character_Creation!$X$341:$X$400,0),0)&gt;0,0,1)*IF(SelectedWizardSpellLevel=$C212,1,0)</f>
        <v>0</v>
      </c>
      <c r="CR212">
        <f>IF(CQ212=0,0,1+COUNTIF(CR$3:CR211,"&gt;0"))</f>
        <v>0</v>
      </c>
      <c r="CS212" t="str">
        <f t="shared" si="207"/>
        <v/>
      </c>
      <c r="CT212" t="str">
        <f t="shared" si="178"/>
        <v/>
      </c>
      <c r="CV212">
        <f>IF(IFERROR(MATCH($B212,Character_Creation!$C$341:$C$362,0),0)&gt;0,0,1)*IF(OR(C212="Cantrip",C212&lt;=BardMaxSpellLevel),1,0)*IF(IFERROR(MATCH($B212,Character_Creation!$C$367:$C$374,0),0)&gt;0,0,1)</f>
        <v>0</v>
      </c>
      <c r="CW212">
        <f>IF(CV212=0,0,1+COUNTIF(CW$3:CW211,"&gt;0"))</f>
        <v>0</v>
      </c>
      <c r="CX212" t="str">
        <f t="shared" si="208"/>
        <v/>
      </c>
      <c r="CY212" t="str">
        <f t="shared" si="179"/>
        <v/>
      </c>
      <c r="DA212">
        <f>IF(IF(OR(IFERROR(SEARCH("Cleric",$T212,1),0)&gt;0,IFERROR(SEARCH(DivineDomain&amp;",",$T212,1),0)&gt;0),1,0)*IF($C212=DA$2,1,0)=1,1+COUNTIF(DA$3:DA211,"&gt;0"),0)</f>
        <v>0</v>
      </c>
      <c r="DB212">
        <f>IF(IF(OR(IFERROR(SEARCH("Cleric",$T212,1),0)&gt;0,IFERROR(SEARCH(DivineDomain&amp;",",$T212,1),0)&gt;0),1,0)*IF($C212=DB$2,1,0)=1,1+COUNTIF(DB$3:DB211,"&gt;0"),0)</f>
        <v>0</v>
      </c>
      <c r="DC212">
        <f>IF(IF(OR(IFERROR(SEARCH("Cleric",$T212,1),0)&gt;0,IFERROR(SEARCH(DivineDomain&amp;",",$T212,1),0)&gt;0),1,0)*IF($C212=DC$2,1,0)=1,1+COUNTIF(DC$3:DC211,"&gt;0"),0)</f>
        <v>0</v>
      </c>
      <c r="DD212">
        <f>IF(IF(OR(IFERROR(SEARCH("Cleric",$T212,1),0)&gt;0,IFERROR(SEARCH(DivineDomain&amp;",",$T212,1),0)&gt;0),1,0)*IF($C212=DD$2,1,0)=1,1+COUNTIF(DD$3:DD211,"&gt;0"),0)</f>
        <v>0</v>
      </c>
      <c r="DE212">
        <f>IF(IF(OR(IFERROR(SEARCH("Cleric",$T212,1),0)&gt;0,IFERROR(SEARCH(DivineDomain&amp;",",$T212,1),0)&gt;0),1,0)*IF($C212=DE$2,1,0)=1,1+COUNTIF(DE$3:DE211,"&gt;0"),0)</f>
        <v>0</v>
      </c>
      <c r="DF212">
        <f>IF(IF(OR(IFERROR(SEARCH("Cleric",$T212,1),0)&gt;0,IFERROR(SEARCH(DivineDomain&amp;",",$T212,1),0)&gt;0),1,0)*IF($C212=DF$2,1,0)=1,1+COUNTIF(DF$3:DF211,"&gt;0"),0)</f>
        <v>0</v>
      </c>
      <c r="DG212">
        <f>IF(IF(OR(IFERROR(SEARCH("Cleric",$T212,1),0)&gt;0,IFERROR(SEARCH(DivineDomain&amp;",",$T212,1),0)&gt;0),1,0)*IF($C212=DG$2,1,0)=1,1+COUNTIF(DG$3:DG211,"&gt;0"),0)</f>
        <v>0</v>
      </c>
      <c r="DH212">
        <f>IF(IF(OR(IFERROR(SEARCH("Cleric",$T212,1),0)&gt;0,IFERROR(SEARCH(DivineDomain&amp;",",$T212,1),0)&gt;0),1,0)*IF($C212=DH$2,1,0)=1,1+COUNTIF(DH$3:DH211,"&gt;0"),0)</f>
        <v>0</v>
      </c>
      <c r="DI212">
        <f>IF(IF(OR(IFERROR(SEARCH("Cleric",$T212,1),0)&gt;0,IFERROR(SEARCH(DivineDomain&amp;",",$T212,1),0)&gt;0),1,0)*IF($C212=DI$2,1,0)=1,1+COUNTIF(DI$3:DI211,"&gt;0"),0)</f>
        <v>0</v>
      </c>
      <c r="DJ212">
        <f>IF(IF(OR(IFERROR(SEARCH("Druid",$T212,1),0)&gt;0,IFERROR(SEARCH(DruidLand1,$T212,1),0)&gt;0,IFERROR(SEARCH(DruidLand2,$T212,1),0)&gt;0,IFERROR(SEARCH(DruidLand3,$T212,1),0)&gt;0,IFERROR(SEARCH(DruidLand4,$T212,1),0)&gt;0),1,0)*IF($C212=1,1,0)*IF($C212=DJ$2,1,0)=0,0,1+COUNTIF(DJ$3:DJ211,"&gt;0"))</f>
        <v>0</v>
      </c>
      <c r="DK212">
        <f>IF(IF(OR(IFERROR(SEARCH("Druid",$T212,1),0)&gt;0,IFERROR(SEARCH(DruidLand1,$T212,1),0)&gt;0,IFERROR(SEARCH(DruidLand2,$T212,1),0)&gt;0,IFERROR(SEARCH(DruidLand3,$T212,1),0)&gt;0,IFERROR(SEARCH(DruidLand4,$T212,1),0)&gt;0),1,0)*IF($C212=1,1,0)*IF($C212=DK$2,1,0)=0,0,1+COUNTIF(DK$3:DK211,"&gt;0"))</f>
        <v>0</v>
      </c>
      <c r="DL212">
        <f>IF(IF(OR(IFERROR(SEARCH("Druid",$T212,1),0)&gt;0,IFERROR(SEARCH(DruidLand1,$T212,1),0)&gt;0,IFERROR(SEARCH(DruidLand2,$T212,1),0)&gt;0,IFERROR(SEARCH(DruidLand3,$T212,1),0)&gt;0,IFERROR(SEARCH(DruidLand4,$T212,1),0)&gt;0),1,0)*IF($C212=1,1,0)*IF($C212=DL$2,1,0)=0,0,1+COUNTIF(DL$3:DL211,"&gt;0"))</f>
        <v>0</v>
      </c>
      <c r="DM212">
        <f>IF(IF(OR(IFERROR(SEARCH("Druid",$T212,1),0)&gt;0,IFERROR(SEARCH(DruidLand1,$T212,1),0)&gt;0,IFERROR(SEARCH(DruidLand2,$T212,1),0)&gt;0,IFERROR(SEARCH(DruidLand3,$T212,1),0)&gt;0,IFERROR(SEARCH(DruidLand4,$T212,1),0)&gt;0),1,0)*IF($C212=1,1,0)*IF($C212=DM$2,1,0)=0,0,1+COUNTIF(DM$3:DM211,"&gt;0"))</f>
        <v>0</v>
      </c>
      <c r="DN212">
        <f>IF(IF(OR(IFERROR(SEARCH("Druid",$T212,1),0)&gt;0,IFERROR(SEARCH(DruidLand1,$T212,1),0)&gt;0,IFERROR(SEARCH(DruidLand2,$T212,1),0)&gt;0,IFERROR(SEARCH(DruidLand3,$T212,1),0)&gt;0,IFERROR(SEARCH(DruidLand4,$T212,1),0)&gt;0),1,0)*IF($C212=1,1,0)*IF($C212=DN$2,1,0)=0,0,1+COUNTIF(DN$3:DN211,"&gt;0"))</f>
        <v>0</v>
      </c>
      <c r="DO212">
        <f>IF(IF(OR(IFERROR(SEARCH("Druid",$T212,1),0)&gt;0,IFERROR(SEARCH(DruidLand1,$T212,1),0)&gt;0,IFERROR(SEARCH(DruidLand2,$T212,1),0)&gt;0,IFERROR(SEARCH(DruidLand3,$T212,1),0)&gt;0,IFERROR(SEARCH(DruidLand4,$T212,1),0)&gt;0),1,0)*IF($C212=1,1,0)*IF($C212=DO$2,1,0)=0,0,1+COUNTIF(DO$3:DO211,"&gt;0"))</f>
        <v>0</v>
      </c>
      <c r="DP212">
        <f>IF(IF(OR(IFERROR(SEARCH("Druid",$T212,1),0)&gt;0,IFERROR(SEARCH(DruidLand1,$T212,1),0)&gt;0,IFERROR(SEARCH(DruidLand2,$T212,1),0)&gt;0,IFERROR(SEARCH(DruidLand3,$T212,1),0)&gt;0,IFERROR(SEARCH(DruidLand4,$T212,1),0)&gt;0),1,0)*IF($C212=1,1,0)*IF($C212=DP$2,1,0)=0,0,1+COUNTIF(DP$3:DP211,"&gt;0"))</f>
        <v>0</v>
      </c>
      <c r="DQ212">
        <f>IF(IF(OR(IFERROR(SEARCH("Druid",$T212,1),0)&gt;0,IFERROR(SEARCH(DruidLand1,$T212,1),0)&gt;0,IFERROR(SEARCH(DruidLand2,$T212,1),0)&gt;0,IFERROR(SEARCH(DruidLand3,$T212,1),0)&gt;0,IFERROR(SEARCH(DruidLand4,$T212,1),0)&gt;0),1,0)*IF($C212=1,1,0)*IF($C212=DQ$2,1,0)=0,0,1+COUNTIF(DQ$3:DQ211,"&gt;0"))</f>
        <v>0</v>
      </c>
      <c r="DR212">
        <f>IF(IF(OR(IFERROR(SEARCH("Druid",$T212,1),0)&gt;0,IFERROR(SEARCH(DruidLand1,$T212,1),0)&gt;0,IFERROR(SEARCH(DruidLand2,$T212,1),0)&gt;0,IFERROR(SEARCH(DruidLand3,$T212,1),0)&gt;0,IFERROR(SEARCH(DruidLand4,$T212,1),0)&gt;0),1,0)*IF($C212=1,1,0)*IF($C212=DR$2,1,0)=0,0,1+COUNTIF(DR$3:DR211,"&gt;0"))</f>
        <v>0</v>
      </c>
      <c r="DS212">
        <f>IF(IF(OR(IFERROR(SEARCH("Paladin",$T212,1),0)&gt;0,IFERROR(SEARCH(PaladinOath,$T212,1),0)&gt;0),1,0)*IF($C212=DS$2,1,0)=1,1+COUNTIF(DS$3:DS211,"&gt;0"),0)</f>
        <v>0</v>
      </c>
      <c r="DT212">
        <f>IF(IF(OR(IFERROR(SEARCH("Paladin",$T212,1),0)&gt;0,IFERROR(SEARCH(PaladinOath,$T212,1),0)&gt;0),1,0)*IF($C212=DT$2,1,0)=1,1+COUNTIF(DT$3:DT211,"&gt;0"),0)</f>
        <v>0</v>
      </c>
      <c r="DU212">
        <f>IF(IF(OR(IFERROR(SEARCH("Paladin",$T212,1),0)&gt;0,IFERROR(SEARCH(PaladinOath,$T212,1),0)&gt;0),1,0)*IF($C212=DU$2,1,0)=1,1+COUNTIF(DU$3:DU211,"&gt;0"),0)</f>
        <v>0</v>
      </c>
      <c r="DV212">
        <f>IF(IF(OR(IFERROR(SEARCH("Paladin",$T212,1),0)&gt;0,IFERROR(SEARCH(PaladinOath,$T212,1),0)&gt;0),1,0)*IF($C212=DV$2,1,0)=1,1+COUNTIF(DV$3:DV211,"&gt;0"),0)</f>
        <v>0</v>
      </c>
      <c r="DW212">
        <f>IF(IF(OR(IFERROR(SEARCH("Paladin",$T212,1),0)&gt;0,IFERROR(SEARCH(PaladinOath,$T212,1),0)&gt;0),1,0)*IF($C212=DW$2,1,0)=1,1+COUNTIF(DW$3:DW211,"&gt;0"),0)</f>
        <v>0</v>
      </c>
      <c r="DY212">
        <f t="shared" si="166"/>
        <v>1</v>
      </c>
      <c r="DZ212">
        <f>IF(DY212=0,0,1+MAX(DZ$3:$DZ211))</f>
        <v>210</v>
      </c>
      <c r="EB212">
        <f t="shared" si="180"/>
        <v>0</v>
      </c>
      <c r="EC212">
        <f>IF(EB212=0,0,1+COUNTIF(EC$3:EC211,"&gt;0"))</f>
        <v>0</v>
      </c>
      <c r="ED212" t="str">
        <f t="shared" si="209"/>
        <v/>
      </c>
      <c r="EE212" t="str">
        <f t="shared" si="181"/>
        <v/>
      </c>
      <c r="EG212">
        <f t="shared" si="182"/>
        <v>0</v>
      </c>
      <c r="EH212">
        <f>IF(EG212=0,0,1+COUNTIF(EH$3:EH211,"&gt;0"))</f>
        <v>0</v>
      </c>
      <c r="EI212" t="str">
        <f t="shared" si="210"/>
        <v/>
      </c>
      <c r="EJ212" t="str">
        <f t="shared" si="183"/>
        <v/>
      </c>
      <c r="EL212">
        <f t="shared" si="184"/>
        <v>0</v>
      </c>
      <c r="EM212">
        <f>IF(EL212=0,0,1+COUNTIF(EM$3:EM211,"&gt;0"))</f>
        <v>0</v>
      </c>
      <c r="EN212" t="str">
        <f t="shared" si="211"/>
        <v/>
      </c>
      <c r="EO212" t="str">
        <f t="shared" si="185"/>
        <v/>
      </c>
      <c r="EQ212">
        <f t="shared" si="186"/>
        <v>0</v>
      </c>
      <c r="ER212">
        <f>IF(EQ212=0,0,1+COUNTIF(ER$3:ER211,"&gt;0"))</f>
        <v>0</v>
      </c>
      <c r="ES212" t="str">
        <f t="shared" si="212"/>
        <v/>
      </c>
      <c r="ET212" t="str">
        <f t="shared" si="187"/>
        <v/>
      </c>
      <c r="EV212">
        <f t="shared" si="188"/>
        <v>0</v>
      </c>
      <c r="EW212">
        <f>IF(EV212=0,0,1+COUNTIF(EW$3:EW211,"&gt;0"))</f>
        <v>0</v>
      </c>
      <c r="EX212" t="str">
        <f t="shared" si="213"/>
        <v/>
      </c>
      <c r="EY212" t="str">
        <f t="shared" si="189"/>
        <v/>
      </c>
      <c r="FA212">
        <f t="shared" si="190"/>
        <v>0</v>
      </c>
      <c r="FB212">
        <f>IF(FA212=0,0,1+COUNTIF(FB$3:FB211,"&gt;0"))</f>
        <v>0</v>
      </c>
      <c r="FC212" t="str">
        <f t="shared" si="214"/>
        <v/>
      </c>
      <c r="FD212" t="str">
        <f t="shared" si="191"/>
        <v/>
      </c>
      <c r="FF212">
        <f t="shared" si="192"/>
        <v>0</v>
      </c>
      <c r="FG212">
        <f>IF(FF212=0,0,1+COUNTIF(FG$3:FG211,"&gt;0"))</f>
        <v>0</v>
      </c>
      <c r="FH212" t="str">
        <f t="shared" si="215"/>
        <v/>
      </c>
      <c r="FI212" t="str">
        <f t="shared" si="193"/>
        <v/>
      </c>
      <c r="FK212">
        <f t="shared" si="194"/>
        <v>0</v>
      </c>
      <c r="FL212">
        <f>IF(FK212=0,0,1+COUNTIF(FL$3:FL211,"&gt;0"))</f>
        <v>0</v>
      </c>
      <c r="FM212" t="str">
        <f t="shared" si="216"/>
        <v/>
      </c>
      <c r="FN212" t="str">
        <f t="shared" si="195"/>
        <v/>
      </c>
      <c r="FP212">
        <f t="shared" si="196"/>
        <v>0</v>
      </c>
      <c r="FQ212">
        <f>IF(FP212=0,0,1+COUNTIF(FQ$3:FQ211,"&gt;0"))</f>
        <v>0</v>
      </c>
      <c r="FR212" t="str">
        <f t="shared" si="217"/>
        <v/>
      </c>
      <c r="FS212" t="str">
        <f t="shared" si="197"/>
        <v/>
      </c>
    </row>
    <row r="213" spans="1:175" x14ac:dyDescent="0.25">
      <c r="A213" s="347">
        <f t="shared" si="219"/>
        <v>211</v>
      </c>
      <c r="B213" s="348" t="s">
        <v>2593</v>
      </c>
      <c r="C213" s="348" t="s">
        <v>5277</v>
      </c>
      <c r="D213" s="347">
        <v>0.5</v>
      </c>
      <c r="E213" s="627" t="s">
        <v>6952</v>
      </c>
      <c r="F213" s="346"/>
      <c r="G213" s="347" t="str">
        <f>""</f>
        <v/>
      </c>
      <c r="H213" s="347" t="s">
        <v>5912</v>
      </c>
      <c r="I213" s="347" t="s">
        <v>5060</v>
      </c>
      <c r="J213" s="347" t="str">
        <f t="shared" si="167"/>
        <v/>
      </c>
      <c r="K213" s="347" t="s">
        <v>5288</v>
      </c>
      <c r="L213" s="611" t="str">
        <f t="shared" si="168"/>
        <v>V, S</v>
      </c>
      <c r="M213" s="347" t="s">
        <v>2373</v>
      </c>
      <c r="N213" s="347" t="s">
        <v>2387</v>
      </c>
      <c r="O213" s="347" t="s">
        <v>3034</v>
      </c>
      <c r="P213" s="346" t="str">
        <f>""</f>
        <v/>
      </c>
      <c r="Q213" s="347" t="s">
        <v>5271</v>
      </c>
      <c r="S213" s="346" t="s">
        <v>5756</v>
      </c>
      <c r="T213" s="346" t="str">
        <f t="shared" si="169"/>
        <v xml:space="preserve">Bard, Sorcerer, Warlock, Wizard, </v>
      </c>
      <c r="U213" s="347" t="str">
        <f>$B213</f>
        <v>Mage Hand</v>
      </c>
      <c r="X213" s="347" t="str">
        <f t="shared" ref="X213:Z214" si="221">$B213</f>
        <v>Mage Hand</v>
      </c>
      <c r="Y213" s="347" t="str">
        <f t="shared" si="221"/>
        <v>Mage Hand</v>
      </c>
      <c r="AD213" s="347" t="str">
        <f t="shared" si="220"/>
        <v>Mage Hand</v>
      </c>
      <c r="AE213" t="str">
        <f>IF(IFERROR(MATCH($B213,temp!A$4:A$13,0),0)&gt;0,T08_Spells!AE$2,"")</f>
        <v/>
      </c>
      <c r="AF213" t="str">
        <f>IF(IFERROR(MATCH($B213,temp!B$4:B$13,0),0)&gt;0,T08_Spells!AF$2,"")</f>
        <v/>
      </c>
      <c r="AG213" t="str">
        <f>IF(IFERROR(MATCH($B213,temp!C$4:C$13,0),0)&gt;0,T08_Spells!AG$2,"")</f>
        <v/>
      </c>
      <c r="AH213" t="str">
        <f>IF(IFERROR(MATCH($B213,temp!D$4:D$13,0),0)&gt;0,T08_Spells!AH$2,"")</f>
        <v/>
      </c>
      <c r="AI213" t="str">
        <f>IF(IFERROR(MATCH($B213,temp!E$4:E$13,0),0)&gt;0,T08_Spells!AI$2,"")</f>
        <v/>
      </c>
      <c r="AJ213" t="str">
        <f>IF(IFERROR(MATCH($B213,temp!F$4:F$13,0),0)&gt;0,T08_Spells!AJ$2,"")</f>
        <v/>
      </c>
      <c r="AK213" t="str">
        <f>IF(IFERROR(MATCH($B213,temp!G$4:G$13,0),0)&gt;0,T08_Spells!AK$2,"")</f>
        <v/>
      </c>
      <c r="AL213" t="str">
        <f>IF(IFERROR(MATCH($B213,temp!H$4:H$13,0),0)&gt;0,T08_Spells!AL$2,"")</f>
        <v/>
      </c>
      <c r="AM213" t="str">
        <f>IF(IFERROR(MATCH($B213,temp!I$4:I$13,0),0)&gt;0,T08_Spells!AM$2,"")</f>
        <v/>
      </c>
      <c r="AN213" t="str">
        <f>IF(IFERROR(MATCH($B213,temp!J$4:J$13,0),0)&gt;0,T08_Spells!AN$2,"")</f>
        <v/>
      </c>
      <c r="AO213" t="str">
        <f>IF(IFERROR(MATCH($B213,temp!K$4:K$13,0),0)&gt;0,T08_Spells!AO$2,"")</f>
        <v/>
      </c>
      <c r="AP213" t="str">
        <f>IF(IFERROR(MATCH($B213,temp!L$4:L$13,0),0)&gt;0,T08_Spells!AP$2,"")</f>
        <v/>
      </c>
      <c r="AQ213" t="str">
        <f>IF(IFERROR(MATCH($B213,temp!M$4:M$13,0),0)&gt;0,T08_Spells!AQ$2,"")</f>
        <v/>
      </c>
      <c r="AR213" t="str">
        <f>IF(IFERROR(MATCH($B213,temp!N$4:N$13,0),0)&gt;0,T08_Spells!AR$2,"")</f>
        <v/>
      </c>
      <c r="AS213" t="str">
        <f>IF(IFERROR(MATCH($B213,temp!O$4:O$13,0),0)&gt;0,T08_Spells!AS$2,"")</f>
        <v/>
      </c>
      <c r="AT213" t="str">
        <f>IF(IFERROR(MATCH($B213,temp!P$4:P$13,0),0)&gt;0,T08_Spells!AT$2,"")</f>
        <v/>
      </c>
      <c r="AU213" t="str">
        <f>IF(IFERROR(MATCH($B213,temp!Q$4:Q$13,0),0)&gt;0,T08_Spells!AU$2,"")</f>
        <v/>
      </c>
      <c r="AV213" t="str">
        <f>IF(IFERROR(MATCH($B213,temp!R$4:R$13,0),0)&gt;0,T08_Spells!AV$2,"")</f>
        <v/>
      </c>
      <c r="AW213" t="str">
        <f>IF(IFERROR(MATCH($B213,temp!S$4:S$13,0),0)&gt;0,T08_Spells!AW$2,"")</f>
        <v/>
      </c>
      <c r="AX213" t="str">
        <f>IF(IFERROR(MATCH($B213,temp!T$4:T$13,0),0)&gt;0,T08_Spells!AX$2,"")</f>
        <v/>
      </c>
      <c r="AY213" t="str">
        <f>IF(IFERROR(MATCH($B213,temp!U$4:U$13,0),0)&gt;0,T08_Spells!AY$2,"")</f>
        <v/>
      </c>
      <c r="AZ213" t="str">
        <f>IF(IFERROR(MATCH($B213,temp!V$4:V$13,0),0)&gt;0,T08_Spells!AZ$2,"")</f>
        <v/>
      </c>
      <c r="BA213" t="str">
        <f>IF(IFERROR(MATCH($B213,temp!W$4:W$13,0),0)&gt;0,T08_Spells!BA$2,"")</f>
        <v/>
      </c>
      <c r="BC213">
        <f>IF(IFERROR(SEARCH("Ranger",$T213,1),0)&gt;0,1,0)*IF(RangerMaxSpellLevel&gt;=$C213,1,0)*IF(IFERROR(MATCH(B213,Character_Creation!$X$79:$X$382,0),0)&gt;0,0,1)</f>
        <v>0</v>
      </c>
      <c r="BD213">
        <f>IF(BC213=0,0,1+COUNTIF(BD$3:BD212,"&gt;0"))</f>
        <v>0</v>
      </c>
      <c r="BE213" t="str">
        <f t="shared" si="199"/>
        <v/>
      </c>
      <c r="BF213" t="str">
        <f t="shared" si="170"/>
        <v/>
      </c>
      <c r="BH213">
        <f>IF(IFERROR(SEARCH("Sorcerer",$T213,1),0)&gt;0,1,0)*IF(SorcererMaxSpellLevel&gt;=$C213,1,0)*IF(IFERROR(MATCH(B213,Character_Creation!$J$380:$J$394,0),0)&gt;0,0,1)</f>
        <v>0</v>
      </c>
      <c r="BI213">
        <f>IF(BH213=0,0,1+COUNTIF(BI$3:BI212,"&gt;0"))</f>
        <v>0</v>
      </c>
      <c r="BJ213" t="str">
        <f t="shared" si="200"/>
        <v/>
      </c>
      <c r="BK213" t="str">
        <f t="shared" si="171"/>
        <v/>
      </c>
      <c r="BM213">
        <f>IF(OR(IFERROR(SEARCH("Warlock",$T213,1),0)&gt;0,IFERROR(SEARCH(WarlockPatron,$T213,1),0)&gt;0),1,0)*IF(WarlockMaxSpellLevel&gt;=$C213,1,0)*IF(IFERROR(MATCH(B213,Character_Creation!$J$361:$J$375,0),0)&gt;0,0,1)</f>
        <v>0</v>
      </c>
      <c r="BN213">
        <f>IF(BM213=0,0,1+COUNTIF(BN$3:BN212,"&gt;0"))</f>
        <v>0</v>
      </c>
      <c r="BO213" t="str">
        <f t="shared" si="201"/>
        <v/>
      </c>
      <c r="BP213" t="str">
        <f t="shared" si="172"/>
        <v/>
      </c>
      <c r="BR213">
        <f>IF(IFERROR(SEARCH("Eldritch Knight",$T213,1),0)&gt;0,1,0)*IF(EldritchKnightMaxSpellLevel&gt;=$C213,1,0)*IF(IFERROR(MATCH($B213,Character_Creation!$J$350:$J$356,0),0)&gt;0,0,1)*IF(Character_Creation!$M$338&gt;0,1,0)</f>
        <v>0</v>
      </c>
      <c r="BS213">
        <f>IF(BR213=0,0,1+COUNTIF(BS$3:BS212,"&gt;0"))</f>
        <v>0</v>
      </c>
      <c r="BT213" t="str">
        <f t="shared" si="202"/>
        <v/>
      </c>
      <c r="BU213" t="str">
        <f t="shared" si="173"/>
        <v/>
      </c>
      <c r="BW213">
        <f>IF(IFERROR(SEARCH("Arcane Trickster",$T213,1),0)&gt;0,1,0)*IF(ArcaneTricksterMaxSpellLevel&gt;=$C213,1,0)*IF(IFERROR(MATCH($B213,Character_Creation!$J$350:$J$356,0),0)&gt;0,0,1)*IF(Character_Creation!$T$338&gt;0,1,0)</f>
        <v>0</v>
      </c>
      <c r="BX213">
        <f>IF(BW213=0,0,1+COUNTIF(BX$3:BX212,"&gt;0"))</f>
        <v>0</v>
      </c>
      <c r="BY213" t="str">
        <f t="shared" si="203"/>
        <v/>
      </c>
      <c r="BZ213" t="str">
        <f t="shared" si="174"/>
        <v/>
      </c>
      <c r="CB213">
        <f>IF(IFERROR(SEARCH("Wizard",$T213,1),0)&gt;0,1,0)*IF(C213&lt;=ArcaneTricksterMaxSpellLevel,1,0)*IF(IFERROR(MATCH($B213,Character_Creation!$J$350:$J$356,0),0)&gt;0,0,1)*IF(Character_Creation!$T$350&gt;0,1,0)</f>
        <v>0</v>
      </c>
      <c r="CC213">
        <f>IF(CB213=0,0,1+COUNTIF(CC$3:CC212,"&gt;0"))</f>
        <v>0</v>
      </c>
      <c r="CD213" t="str">
        <f t="shared" si="204"/>
        <v/>
      </c>
      <c r="CE213" t="str">
        <f t="shared" si="175"/>
        <v/>
      </c>
      <c r="CG213">
        <f>IF(IFERROR(SEARCH("Wizard",$T213,1),0)&gt;0,1,0)*IF($C213&lt;=EldritchKnightMaxSpellLevel,1,0)*IF(IFERROR(MATCH($B213,Character_Creation!$J$350:$J$356,0),0)&gt;0,0,1)*IF(Character_Creation!$M$350&gt;0,1,0)</f>
        <v>0</v>
      </c>
      <c r="CH213">
        <f>IF(CG213=0,0,1+COUNTIF(CH$3:CH212,"&gt;0"))</f>
        <v>0</v>
      </c>
      <c r="CI213" t="str">
        <f t="shared" si="205"/>
        <v/>
      </c>
      <c r="CJ213" t="str">
        <f t="shared" si="176"/>
        <v/>
      </c>
      <c r="CL213">
        <f>IF(IFERROR(SEARCH("Bard",$T213,1),0)&gt;0,1,0)*IF(BardMaxSpellLevel&gt;=$C213,1,0)*IF(IFERROR(MATCH(B213,Character_Creation!$C$341:$F$362,0),0)&gt;0,0,1)*IF(IFERROR(MATCH($B213,Character_Creation!$C$341:$C$362,0),0)&gt;0,0,1)</f>
        <v>0</v>
      </c>
      <c r="CM213">
        <f>IF(CL213=0,0,1+COUNTIF(CM$3:CM212,"&gt;0"))</f>
        <v>0</v>
      </c>
      <c r="CN213" t="str">
        <f t="shared" si="206"/>
        <v/>
      </c>
      <c r="CO213" t="str">
        <f t="shared" si="177"/>
        <v/>
      </c>
      <c r="CQ213">
        <f>IF(IFERROR(SEARCH("Wizard",$T213,1),0)&gt;0,1,0)*IF(WizardMaxSpellLevel&gt;=$C213,1,0)*IF(IFERROR(MATCH(B213,Character_Creation!$X$341:$X$400,0),0)&gt;0,0,1)*IF(SelectedWizardSpellLevel=$C213,1,0)</f>
        <v>0</v>
      </c>
      <c r="CR213">
        <f>IF(CQ213=0,0,1+COUNTIF(CR$3:CR212,"&gt;0"))</f>
        <v>0</v>
      </c>
      <c r="CS213" t="str">
        <f t="shared" si="207"/>
        <v/>
      </c>
      <c r="CT213" t="str">
        <f t="shared" si="178"/>
        <v/>
      </c>
      <c r="CV213">
        <f>IF(IFERROR(MATCH($B213,Character_Creation!$C$341:$C$362,0),0)&gt;0,0,1)*IF(OR(C213="Cantrip",C213&lt;=BardMaxSpellLevel),1,0)*IF(IFERROR(MATCH($B213,Character_Creation!$C$367:$C$374,0),0)&gt;0,0,1)</f>
        <v>1</v>
      </c>
      <c r="CW213">
        <f>IF(CV213=0,0,1+COUNTIF(CW$3:CW212,"&gt;0"))</f>
        <v>11</v>
      </c>
      <c r="CX213" t="str">
        <f t="shared" si="208"/>
        <v/>
      </c>
      <c r="CY213" t="str">
        <f t="shared" si="179"/>
        <v/>
      </c>
      <c r="DA213">
        <f>IF(IF(OR(IFERROR(SEARCH("Cleric",$T213,1),0)&gt;0,IFERROR(SEARCH(DivineDomain&amp;",",$T213,1),0)&gt;0),1,0)*IF($C213=DA$2,1,0)=1,1+COUNTIF(DA$3:DA212,"&gt;0"),0)</f>
        <v>0</v>
      </c>
      <c r="DB213">
        <f>IF(IF(OR(IFERROR(SEARCH("Cleric",$T213,1),0)&gt;0,IFERROR(SEARCH(DivineDomain&amp;",",$T213,1),0)&gt;0),1,0)*IF($C213=DB$2,1,0)=1,1+COUNTIF(DB$3:DB212,"&gt;0"),0)</f>
        <v>0</v>
      </c>
      <c r="DC213">
        <f>IF(IF(OR(IFERROR(SEARCH("Cleric",$T213,1),0)&gt;0,IFERROR(SEARCH(DivineDomain&amp;",",$T213,1),0)&gt;0),1,0)*IF($C213=DC$2,1,0)=1,1+COUNTIF(DC$3:DC212,"&gt;0"),0)</f>
        <v>0</v>
      </c>
      <c r="DD213">
        <f>IF(IF(OR(IFERROR(SEARCH("Cleric",$T213,1),0)&gt;0,IFERROR(SEARCH(DivineDomain&amp;",",$T213,1),0)&gt;0),1,0)*IF($C213=DD$2,1,0)=1,1+COUNTIF(DD$3:DD212,"&gt;0"),0)</f>
        <v>0</v>
      </c>
      <c r="DE213">
        <f>IF(IF(OR(IFERROR(SEARCH("Cleric",$T213,1),0)&gt;0,IFERROR(SEARCH(DivineDomain&amp;",",$T213,1),0)&gt;0),1,0)*IF($C213=DE$2,1,0)=1,1+COUNTIF(DE$3:DE212,"&gt;0"),0)</f>
        <v>0</v>
      </c>
      <c r="DF213">
        <f>IF(IF(OR(IFERROR(SEARCH("Cleric",$T213,1),0)&gt;0,IFERROR(SEARCH(DivineDomain&amp;",",$T213,1),0)&gt;0),1,0)*IF($C213=DF$2,1,0)=1,1+COUNTIF(DF$3:DF212,"&gt;0"),0)</f>
        <v>0</v>
      </c>
      <c r="DG213">
        <f>IF(IF(OR(IFERROR(SEARCH("Cleric",$T213,1),0)&gt;0,IFERROR(SEARCH(DivineDomain&amp;",",$T213,1),0)&gt;0),1,0)*IF($C213=DG$2,1,0)=1,1+COUNTIF(DG$3:DG212,"&gt;0"),0)</f>
        <v>0</v>
      </c>
      <c r="DH213">
        <f>IF(IF(OR(IFERROR(SEARCH("Cleric",$T213,1),0)&gt;0,IFERROR(SEARCH(DivineDomain&amp;",",$T213,1),0)&gt;0),1,0)*IF($C213=DH$2,1,0)=1,1+COUNTIF(DH$3:DH212,"&gt;0"),0)</f>
        <v>0</v>
      </c>
      <c r="DI213">
        <f>IF(IF(OR(IFERROR(SEARCH("Cleric",$T213,1),0)&gt;0,IFERROR(SEARCH(DivineDomain&amp;",",$T213,1),0)&gt;0),1,0)*IF($C213=DI$2,1,0)=1,1+COUNTIF(DI$3:DI212,"&gt;0"),0)</f>
        <v>0</v>
      </c>
      <c r="DJ213">
        <f>IF(IF(OR(IFERROR(SEARCH("Druid",$T213,1),0)&gt;0,IFERROR(SEARCH(DruidLand1,$T213,1),0)&gt;0,IFERROR(SEARCH(DruidLand2,$T213,1),0)&gt;0,IFERROR(SEARCH(DruidLand3,$T213,1),0)&gt;0,IFERROR(SEARCH(DruidLand4,$T213,1),0)&gt;0),1,0)*IF($C213=1,1,0)*IF($C213=DJ$2,1,0)=0,0,1+COUNTIF(DJ$3:DJ212,"&gt;0"))</f>
        <v>0</v>
      </c>
      <c r="DK213">
        <f>IF(IF(OR(IFERROR(SEARCH("Druid",$T213,1),0)&gt;0,IFERROR(SEARCH(DruidLand1,$T213,1),0)&gt;0,IFERROR(SEARCH(DruidLand2,$T213,1),0)&gt;0,IFERROR(SEARCH(DruidLand3,$T213,1),0)&gt;0,IFERROR(SEARCH(DruidLand4,$T213,1),0)&gt;0),1,0)*IF($C213=1,1,0)*IF($C213=DK$2,1,0)=0,0,1+COUNTIF(DK$3:DK212,"&gt;0"))</f>
        <v>0</v>
      </c>
      <c r="DL213">
        <f>IF(IF(OR(IFERROR(SEARCH("Druid",$T213,1),0)&gt;0,IFERROR(SEARCH(DruidLand1,$T213,1),0)&gt;0,IFERROR(SEARCH(DruidLand2,$T213,1),0)&gt;0,IFERROR(SEARCH(DruidLand3,$T213,1),0)&gt;0,IFERROR(SEARCH(DruidLand4,$T213,1),0)&gt;0),1,0)*IF($C213=1,1,0)*IF($C213=DL$2,1,0)=0,0,1+COUNTIF(DL$3:DL212,"&gt;0"))</f>
        <v>0</v>
      </c>
      <c r="DM213">
        <f>IF(IF(OR(IFERROR(SEARCH("Druid",$T213,1),0)&gt;0,IFERROR(SEARCH(DruidLand1,$T213,1),0)&gt;0,IFERROR(SEARCH(DruidLand2,$T213,1),0)&gt;0,IFERROR(SEARCH(DruidLand3,$T213,1),0)&gt;0,IFERROR(SEARCH(DruidLand4,$T213,1),0)&gt;0),1,0)*IF($C213=1,1,0)*IF($C213=DM$2,1,0)=0,0,1+COUNTIF(DM$3:DM212,"&gt;0"))</f>
        <v>0</v>
      </c>
      <c r="DN213">
        <f>IF(IF(OR(IFERROR(SEARCH("Druid",$T213,1),0)&gt;0,IFERROR(SEARCH(DruidLand1,$T213,1),0)&gt;0,IFERROR(SEARCH(DruidLand2,$T213,1),0)&gt;0,IFERROR(SEARCH(DruidLand3,$T213,1),0)&gt;0,IFERROR(SEARCH(DruidLand4,$T213,1),0)&gt;0),1,0)*IF($C213=1,1,0)*IF($C213=DN$2,1,0)=0,0,1+COUNTIF(DN$3:DN212,"&gt;0"))</f>
        <v>0</v>
      </c>
      <c r="DO213">
        <f>IF(IF(OR(IFERROR(SEARCH("Druid",$T213,1),0)&gt;0,IFERROR(SEARCH(DruidLand1,$T213,1),0)&gt;0,IFERROR(SEARCH(DruidLand2,$T213,1),0)&gt;0,IFERROR(SEARCH(DruidLand3,$T213,1),0)&gt;0,IFERROR(SEARCH(DruidLand4,$T213,1),0)&gt;0),1,0)*IF($C213=1,1,0)*IF($C213=DO$2,1,0)=0,0,1+COUNTIF(DO$3:DO212,"&gt;0"))</f>
        <v>0</v>
      </c>
      <c r="DP213">
        <f>IF(IF(OR(IFERROR(SEARCH("Druid",$T213,1),0)&gt;0,IFERROR(SEARCH(DruidLand1,$T213,1),0)&gt;0,IFERROR(SEARCH(DruidLand2,$T213,1),0)&gt;0,IFERROR(SEARCH(DruidLand3,$T213,1),0)&gt;0,IFERROR(SEARCH(DruidLand4,$T213,1),0)&gt;0),1,0)*IF($C213=1,1,0)*IF($C213=DP$2,1,0)=0,0,1+COUNTIF(DP$3:DP212,"&gt;0"))</f>
        <v>0</v>
      </c>
      <c r="DQ213">
        <f>IF(IF(OR(IFERROR(SEARCH("Druid",$T213,1),0)&gt;0,IFERROR(SEARCH(DruidLand1,$T213,1),0)&gt;0,IFERROR(SEARCH(DruidLand2,$T213,1),0)&gt;0,IFERROR(SEARCH(DruidLand3,$T213,1),0)&gt;0,IFERROR(SEARCH(DruidLand4,$T213,1),0)&gt;0),1,0)*IF($C213=1,1,0)*IF($C213=DQ$2,1,0)=0,0,1+COUNTIF(DQ$3:DQ212,"&gt;0"))</f>
        <v>0</v>
      </c>
      <c r="DR213">
        <f>IF(IF(OR(IFERROR(SEARCH("Druid",$T213,1),0)&gt;0,IFERROR(SEARCH(DruidLand1,$T213,1),0)&gt;0,IFERROR(SEARCH(DruidLand2,$T213,1),0)&gt;0,IFERROR(SEARCH(DruidLand3,$T213,1),0)&gt;0,IFERROR(SEARCH(DruidLand4,$T213,1),0)&gt;0),1,0)*IF($C213=1,1,0)*IF($C213=DR$2,1,0)=0,0,1+COUNTIF(DR$3:DR212,"&gt;0"))</f>
        <v>0</v>
      </c>
      <c r="DS213">
        <f>IF(IF(OR(IFERROR(SEARCH("Paladin",$T213,1),0)&gt;0,IFERROR(SEARCH(PaladinOath,$T213,1),0)&gt;0),1,0)*IF($C213=DS$2,1,0)=1,1+COUNTIF(DS$3:DS212,"&gt;0"),0)</f>
        <v>0</v>
      </c>
      <c r="DT213">
        <f>IF(IF(OR(IFERROR(SEARCH("Paladin",$T213,1),0)&gt;0,IFERROR(SEARCH(PaladinOath,$T213,1),0)&gt;0),1,0)*IF($C213=DT$2,1,0)=1,1+COUNTIF(DT$3:DT212,"&gt;0"),0)</f>
        <v>0</v>
      </c>
      <c r="DU213">
        <f>IF(IF(OR(IFERROR(SEARCH("Paladin",$T213,1),0)&gt;0,IFERROR(SEARCH(PaladinOath,$T213,1),0)&gt;0),1,0)*IF($C213=DU$2,1,0)=1,1+COUNTIF(DU$3:DU212,"&gt;0"),0)</f>
        <v>0</v>
      </c>
      <c r="DV213">
        <f>IF(IF(OR(IFERROR(SEARCH("Paladin",$T213,1),0)&gt;0,IFERROR(SEARCH(PaladinOath,$T213,1),0)&gt;0),1,0)*IF($C213=DV$2,1,0)=1,1+COUNTIF(DV$3:DV212,"&gt;0"),0)</f>
        <v>0</v>
      </c>
      <c r="DW213">
        <f>IF(IF(OR(IFERROR(SEARCH("Paladin",$T213,1),0)&gt;0,IFERROR(SEARCH(PaladinOath,$T213,1),0)&gt;0),1,0)*IF($C213=DW$2,1,0)=1,1+COUNTIF(DW$3:DW212,"&gt;0"),0)</f>
        <v>0</v>
      </c>
      <c r="DY213">
        <f t="shared" si="166"/>
        <v>1</v>
      </c>
      <c r="DZ213">
        <f>IF(DY213=0,0,1+MAX(DZ$3:$DZ212))</f>
        <v>211</v>
      </c>
      <c r="EB213">
        <f t="shared" si="180"/>
        <v>1</v>
      </c>
      <c r="EC213">
        <f>IF(EB213=0,0,1+COUNTIF(EC$3:EC212,"&gt;0"))</f>
        <v>5</v>
      </c>
      <c r="ED213" t="str">
        <f t="shared" si="209"/>
        <v/>
      </c>
      <c r="EE213" t="str">
        <f t="shared" si="181"/>
        <v/>
      </c>
      <c r="EG213">
        <f t="shared" si="182"/>
        <v>0</v>
      </c>
      <c r="EH213">
        <f>IF(EG213=0,0,1+COUNTIF(EH$3:EH212,"&gt;0"))</f>
        <v>0</v>
      </c>
      <c r="EI213" t="str">
        <f t="shared" si="210"/>
        <v/>
      </c>
      <c r="EJ213" t="str">
        <f t="shared" si="183"/>
        <v/>
      </c>
      <c r="EL213">
        <f t="shared" si="184"/>
        <v>0</v>
      </c>
      <c r="EM213">
        <f>IF(EL213=0,0,1+COUNTIF(EM$3:EM212,"&gt;0"))</f>
        <v>0</v>
      </c>
      <c r="EN213" t="str">
        <f t="shared" si="211"/>
        <v/>
      </c>
      <c r="EO213" t="str">
        <f t="shared" si="185"/>
        <v/>
      </c>
      <c r="EQ213">
        <f t="shared" si="186"/>
        <v>0</v>
      </c>
      <c r="ER213">
        <f>IF(EQ213=0,0,1+COUNTIF(ER$3:ER212,"&gt;0"))</f>
        <v>0</v>
      </c>
      <c r="ES213" t="str">
        <f t="shared" si="212"/>
        <v/>
      </c>
      <c r="ET213" t="str">
        <f t="shared" si="187"/>
        <v/>
      </c>
      <c r="EV213">
        <f t="shared" si="188"/>
        <v>0</v>
      </c>
      <c r="EW213">
        <f>IF(EV213=0,0,1+COUNTIF(EW$3:EW212,"&gt;0"))</f>
        <v>0</v>
      </c>
      <c r="EX213" t="str">
        <f t="shared" si="213"/>
        <v/>
      </c>
      <c r="EY213" t="str">
        <f t="shared" si="189"/>
        <v/>
      </c>
      <c r="FA213">
        <f t="shared" si="190"/>
        <v>1</v>
      </c>
      <c r="FB213">
        <f>IF(FA213=0,0,1+COUNTIF(FB$3:FB212,"&gt;0"))</f>
        <v>8</v>
      </c>
      <c r="FC213" t="str">
        <f t="shared" si="214"/>
        <v/>
      </c>
      <c r="FD213" t="str">
        <f t="shared" si="191"/>
        <v/>
      </c>
      <c r="FF213">
        <f t="shared" si="192"/>
        <v>1</v>
      </c>
      <c r="FG213">
        <f>IF(FF213=0,0,1+COUNTIF(FG$3:FG212,"&gt;0"))</f>
        <v>5</v>
      </c>
      <c r="FH213" t="str">
        <f t="shared" si="215"/>
        <v/>
      </c>
      <c r="FI213" t="str">
        <f t="shared" si="193"/>
        <v/>
      </c>
      <c r="FK213">
        <f t="shared" si="194"/>
        <v>1</v>
      </c>
      <c r="FL213">
        <f>IF(FK213=0,0,1+COUNTIF(FL$3:FL212,"&gt;0"))</f>
        <v>8</v>
      </c>
      <c r="FM213" t="str">
        <f t="shared" si="216"/>
        <v/>
      </c>
      <c r="FN213" t="str">
        <f t="shared" si="195"/>
        <v/>
      </c>
      <c r="FP213">
        <f t="shared" si="196"/>
        <v>1</v>
      </c>
      <c r="FQ213">
        <f>IF(FP213=0,0,1+COUNTIF(FQ$3:FQ212,"&gt;0"))</f>
        <v>5</v>
      </c>
      <c r="FR213" t="str">
        <f t="shared" si="217"/>
        <v/>
      </c>
      <c r="FS213" t="str">
        <f t="shared" si="197"/>
        <v/>
      </c>
    </row>
    <row r="214" spans="1:175" x14ac:dyDescent="0.25">
      <c r="A214" s="347">
        <f t="shared" si="219"/>
        <v>212</v>
      </c>
      <c r="B214" s="348" t="s">
        <v>2594</v>
      </c>
      <c r="C214" s="348">
        <v>3</v>
      </c>
      <c r="D214" s="347">
        <v>3</v>
      </c>
      <c r="E214" s="627" t="s">
        <v>6952</v>
      </c>
      <c r="F214" s="346"/>
      <c r="G214" s="347" t="str">
        <f>""</f>
        <v/>
      </c>
      <c r="H214" s="347" t="s">
        <v>5288</v>
      </c>
      <c r="I214" s="347" t="s">
        <v>5052</v>
      </c>
      <c r="J214" s="347" t="str">
        <f t="shared" si="167"/>
        <v/>
      </c>
      <c r="K214" s="347" t="s">
        <v>5293</v>
      </c>
      <c r="L214" s="611" t="str">
        <f t="shared" si="168"/>
        <v>V, S, M, holy water or powdered silver and iron worth at least 100 gp, which the spell consumes</v>
      </c>
      <c r="M214" s="347" t="s">
        <v>2373</v>
      </c>
      <c r="N214" s="347" t="s">
        <v>2387</v>
      </c>
      <c r="O214" s="347" t="s">
        <v>1244</v>
      </c>
      <c r="P214" s="346" t="s">
        <v>5423</v>
      </c>
      <c r="Q214" s="347" t="s">
        <v>5270</v>
      </c>
      <c r="S214" s="346" t="s">
        <v>5757</v>
      </c>
      <c r="T214" s="346" t="str">
        <f t="shared" si="169"/>
        <v xml:space="preserve">Paladin, Warlock, Cleric, Eldritch Knight, Wizard, </v>
      </c>
      <c r="V214" s="347" t="str">
        <f>$B214</f>
        <v>Magic Circle</v>
      </c>
      <c r="Y214" s="347" t="str">
        <f t="shared" si="221"/>
        <v>Magic Circle</v>
      </c>
      <c r="Z214" s="347" t="str">
        <f t="shared" si="221"/>
        <v>Magic Circle</v>
      </c>
      <c r="AB214" s="542" t="str">
        <f>AD214</f>
        <v>Magic Circle</v>
      </c>
      <c r="AD214" s="347" t="str">
        <f t="shared" si="220"/>
        <v>Magic Circle</v>
      </c>
      <c r="AE214" t="str">
        <f>IF(IFERROR(MATCH($B214,temp!A$4:A$13,0),0)&gt;0,T08_Spells!AE$2,"")</f>
        <v/>
      </c>
      <c r="AF214" t="str">
        <f>IF(IFERROR(MATCH($B214,temp!B$4:B$13,0),0)&gt;0,T08_Spells!AF$2,"")</f>
        <v/>
      </c>
      <c r="AG214" t="str">
        <f>IF(IFERROR(MATCH($B214,temp!C$4:C$13,0),0)&gt;0,T08_Spells!AG$2,"")</f>
        <v/>
      </c>
      <c r="AH214" t="str">
        <f>IF(IFERROR(MATCH($B214,temp!D$4:D$13,0),0)&gt;0,T08_Spells!AH$2,"")</f>
        <v/>
      </c>
      <c r="AI214" t="str">
        <f>IF(IFERROR(MATCH($B214,temp!E$4:E$13,0),0)&gt;0,T08_Spells!AI$2,"")</f>
        <v/>
      </c>
      <c r="AJ214" t="str">
        <f>IF(IFERROR(MATCH($B214,temp!F$4:F$13,0),0)&gt;0,T08_Spells!AJ$2,"")</f>
        <v/>
      </c>
      <c r="AK214" t="str">
        <f>IF(IFERROR(MATCH($B214,temp!G$4:G$13,0),0)&gt;0,T08_Spells!AK$2,"")</f>
        <v/>
      </c>
      <c r="AL214" t="str">
        <f>IF(IFERROR(MATCH($B214,temp!H$4:H$13,0),0)&gt;0,T08_Spells!AL$2,"")</f>
        <v/>
      </c>
      <c r="AM214" t="str">
        <f>IF(IFERROR(MATCH($B214,temp!I$4:I$13,0),0)&gt;0,T08_Spells!AM$2,"")</f>
        <v/>
      </c>
      <c r="AN214" t="str">
        <f>IF(IFERROR(MATCH($B214,temp!J$4:J$13,0),0)&gt;0,T08_Spells!AN$2,"")</f>
        <v/>
      </c>
      <c r="AO214" t="str">
        <f>IF(IFERROR(MATCH($B214,temp!K$4:K$13,0),0)&gt;0,T08_Spells!AO$2,"")</f>
        <v/>
      </c>
      <c r="AP214" t="str">
        <f>IF(IFERROR(MATCH($B214,temp!L$4:L$13,0),0)&gt;0,T08_Spells!AP$2,"")</f>
        <v/>
      </c>
      <c r="AQ214" t="str">
        <f>IF(IFERROR(MATCH($B214,temp!M$4:M$13,0),0)&gt;0,T08_Spells!AQ$2,"")</f>
        <v/>
      </c>
      <c r="AR214" t="str">
        <f>IF(IFERROR(MATCH($B214,temp!N$4:N$13,0),0)&gt;0,T08_Spells!AR$2,"")</f>
        <v/>
      </c>
      <c r="AS214" t="str">
        <f>IF(IFERROR(MATCH($B214,temp!O$4:O$13,0),0)&gt;0,T08_Spells!AS$2,"")</f>
        <v/>
      </c>
      <c r="AT214" t="str">
        <f>IF(IFERROR(MATCH($B214,temp!P$4:P$13,0),0)&gt;0,T08_Spells!AT$2,"")</f>
        <v/>
      </c>
      <c r="AU214" t="str">
        <f>IF(IFERROR(MATCH($B214,temp!Q$4:Q$13,0),0)&gt;0,T08_Spells!AU$2,"")</f>
        <v/>
      </c>
      <c r="AV214" t="str">
        <f>IF(IFERROR(MATCH($B214,temp!R$4:R$13,0),0)&gt;0,T08_Spells!AV$2,"")</f>
        <v/>
      </c>
      <c r="AW214" t="str">
        <f>IF(IFERROR(MATCH($B214,temp!S$4:S$13,0),0)&gt;0,T08_Spells!AW$2,"")</f>
        <v/>
      </c>
      <c r="AX214" t="str">
        <f>IF(IFERROR(MATCH($B214,temp!T$4:T$13,0),0)&gt;0,T08_Spells!AX$2,"")</f>
        <v/>
      </c>
      <c r="AY214" t="str">
        <f>IF(IFERROR(MATCH($B214,temp!U$4:U$13,0),0)&gt;0,T08_Spells!AY$2,"")</f>
        <v/>
      </c>
      <c r="AZ214" t="str">
        <f>IF(IFERROR(MATCH($B214,temp!V$4:V$13,0),0)&gt;0,T08_Spells!AZ$2,"")</f>
        <v/>
      </c>
      <c r="BA214" t="str">
        <f>IF(IFERROR(MATCH($B214,temp!W$4:W$13,0),0)&gt;0,T08_Spells!BA$2,"")</f>
        <v/>
      </c>
      <c r="BC214">
        <f>IF(IFERROR(SEARCH("Ranger",$T214,1),0)&gt;0,1,0)*IF(RangerMaxSpellLevel&gt;=$C214,1,0)*IF(IFERROR(MATCH(B214,Character_Creation!$X$79:$X$382,0),0)&gt;0,0,1)</f>
        <v>0</v>
      </c>
      <c r="BD214">
        <f>IF(BC214=0,0,1+COUNTIF(BD$3:BD213,"&gt;0"))</f>
        <v>0</v>
      </c>
      <c r="BE214" t="str">
        <f t="shared" si="199"/>
        <v/>
      </c>
      <c r="BF214" t="str">
        <f t="shared" si="170"/>
        <v/>
      </c>
      <c r="BH214">
        <f>IF(IFERROR(SEARCH("Sorcerer",$T214,1),0)&gt;0,1,0)*IF(SorcererMaxSpellLevel&gt;=$C214,1,0)*IF(IFERROR(MATCH(B214,Character_Creation!$J$380:$J$394,0),0)&gt;0,0,1)</f>
        <v>0</v>
      </c>
      <c r="BI214">
        <f>IF(BH214=0,0,1+COUNTIF(BI$3:BI213,"&gt;0"))</f>
        <v>0</v>
      </c>
      <c r="BJ214" t="str">
        <f t="shared" si="200"/>
        <v/>
      </c>
      <c r="BK214" t="str">
        <f t="shared" si="171"/>
        <v/>
      </c>
      <c r="BM214">
        <f>IF(OR(IFERROR(SEARCH("Warlock",$T214,1),0)&gt;0,IFERROR(SEARCH(WarlockPatron,$T214,1),0)&gt;0),1,0)*IF(WarlockMaxSpellLevel&gt;=$C214,1,0)*IF(IFERROR(MATCH(B214,Character_Creation!$J$361:$J$375,0),0)&gt;0,0,1)</f>
        <v>0</v>
      </c>
      <c r="BN214">
        <f>IF(BM214=0,0,1+COUNTIF(BN$3:BN213,"&gt;0"))</f>
        <v>0</v>
      </c>
      <c r="BO214" t="str">
        <f t="shared" si="201"/>
        <v/>
      </c>
      <c r="BP214" t="str">
        <f t="shared" si="172"/>
        <v/>
      </c>
      <c r="BR214">
        <f>IF(IFERROR(SEARCH("Eldritch Knight",$T214,1),0)&gt;0,1,0)*IF(EldritchKnightMaxSpellLevel&gt;=$C214,1,0)*IF(IFERROR(MATCH($B214,Character_Creation!$J$350:$J$356,0),0)&gt;0,0,1)*IF(Character_Creation!$M$338&gt;0,1,0)</f>
        <v>0</v>
      </c>
      <c r="BS214">
        <f>IF(BR214=0,0,1+COUNTIF(BS$3:BS213,"&gt;0"))</f>
        <v>0</v>
      </c>
      <c r="BT214" t="str">
        <f t="shared" si="202"/>
        <v/>
      </c>
      <c r="BU214" t="str">
        <f t="shared" si="173"/>
        <v/>
      </c>
      <c r="BW214">
        <f>IF(IFERROR(SEARCH("Arcane Trickster",$T214,1),0)&gt;0,1,0)*IF(ArcaneTricksterMaxSpellLevel&gt;=$C214,1,0)*IF(IFERROR(MATCH($B214,Character_Creation!$J$350:$J$356,0),0)&gt;0,0,1)*IF(Character_Creation!$T$338&gt;0,1,0)</f>
        <v>0</v>
      </c>
      <c r="BX214">
        <f>IF(BW214=0,0,1+COUNTIF(BX$3:BX213,"&gt;0"))</f>
        <v>0</v>
      </c>
      <c r="BY214" t="str">
        <f t="shared" si="203"/>
        <v/>
      </c>
      <c r="BZ214" t="str">
        <f t="shared" si="174"/>
        <v/>
      </c>
      <c r="CB214">
        <f>IF(IFERROR(SEARCH("Wizard",$T214,1),0)&gt;0,1,0)*IF(C214&lt;=ArcaneTricksterMaxSpellLevel,1,0)*IF(IFERROR(MATCH($B214,Character_Creation!$J$350:$J$356,0),0)&gt;0,0,1)*IF(Character_Creation!$T$350&gt;0,1,0)</f>
        <v>0</v>
      </c>
      <c r="CC214">
        <f>IF(CB214=0,0,1+COUNTIF(CC$3:CC213,"&gt;0"))</f>
        <v>0</v>
      </c>
      <c r="CD214" t="str">
        <f t="shared" si="204"/>
        <v/>
      </c>
      <c r="CE214" t="str">
        <f t="shared" si="175"/>
        <v/>
      </c>
      <c r="CG214">
        <f>IF(IFERROR(SEARCH("Wizard",$T214,1),0)&gt;0,1,0)*IF($C214&lt;=EldritchKnightMaxSpellLevel,1,0)*IF(IFERROR(MATCH($B214,Character_Creation!$J$350:$J$356,0),0)&gt;0,0,1)*IF(Character_Creation!$M$350&gt;0,1,0)</f>
        <v>0</v>
      </c>
      <c r="CH214">
        <f>IF(CG214=0,0,1+COUNTIF(CH$3:CH213,"&gt;0"))</f>
        <v>0</v>
      </c>
      <c r="CI214" t="str">
        <f t="shared" si="205"/>
        <v/>
      </c>
      <c r="CJ214" t="str">
        <f t="shared" si="176"/>
        <v/>
      </c>
      <c r="CL214">
        <f>IF(IFERROR(SEARCH("Bard",$T214,1),0)&gt;0,1,0)*IF(BardMaxSpellLevel&gt;=$C214,1,0)*IF(IFERROR(MATCH(B214,Character_Creation!$C$341:$F$362,0),0)&gt;0,0,1)*IF(IFERROR(MATCH($B214,Character_Creation!$C$341:$C$362,0),0)&gt;0,0,1)</f>
        <v>0</v>
      </c>
      <c r="CM214">
        <f>IF(CL214=0,0,1+COUNTIF(CM$3:CM213,"&gt;0"))</f>
        <v>0</v>
      </c>
      <c r="CN214" t="str">
        <f t="shared" si="206"/>
        <v/>
      </c>
      <c r="CO214" t="str">
        <f t="shared" si="177"/>
        <v/>
      </c>
      <c r="CQ214">
        <f>IF(IFERROR(SEARCH("Wizard",$T214,1),0)&gt;0,1,0)*IF(WizardMaxSpellLevel&gt;=$C214,1,0)*IF(IFERROR(MATCH(B214,Character_Creation!$X$341:$X$400,0),0)&gt;0,0,1)*IF(SelectedWizardSpellLevel=$C214,1,0)</f>
        <v>1</v>
      </c>
      <c r="CR214">
        <f>IF(CQ214=0,0,1+COUNTIF(CR$3:CR213,"&gt;0"))</f>
        <v>15</v>
      </c>
      <c r="CS214" t="str">
        <f t="shared" si="207"/>
        <v/>
      </c>
      <c r="CT214" t="str">
        <f t="shared" si="178"/>
        <v/>
      </c>
      <c r="CV214">
        <f>IF(IFERROR(MATCH($B214,Character_Creation!$C$341:$C$362,0),0)&gt;0,0,1)*IF(OR(C214="Cantrip",C214&lt;=BardMaxSpellLevel),1,0)*IF(IFERROR(MATCH($B214,Character_Creation!$C$367:$C$374,0),0)&gt;0,0,1)</f>
        <v>0</v>
      </c>
      <c r="CW214">
        <f>IF(CV214=0,0,1+COUNTIF(CW$3:CW213,"&gt;0"))</f>
        <v>0</v>
      </c>
      <c r="CX214" t="str">
        <f t="shared" si="208"/>
        <v/>
      </c>
      <c r="CY214" t="str">
        <f t="shared" si="179"/>
        <v/>
      </c>
      <c r="DA214">
        <f>IF(IF(OR(IFERROR(SEARCH("Cleric",$T214,1),0)&gt;0,IFERROR(SEARCH(DivineDomain&amp;",",$T214,1),0)&gt;0),1,0)*IF($C214=DA$2,1,0)=1,1+COUNTIF(DA$3:DA213,"&gt;0"),0)</f>
        <v>0</v>
      </c>
      <c r="DB214">
        <f>IF(IF(OR(IFERROR(SEARCH("Cleric",$T214,1),0)&gt;0,IFERROR(SEARCH(DivineDomain&amp;",",$T214,1),0)&gt;0),1,0)*IF($C214=DB$2,1,0)=1,1+COUNTIF(DB$3:DB213,"&gt;0"),0)</f>
        <v>0</v>
      </c>
      <c r="DC214">
        <f>IF(IF(OR(IFERROR(SEARCH("Cleric",$T214,1),0)&gt;0,IFERROR(SEARCH(DivineDomain&amp;",",$T214,1),0)&gt;0),1,0)*IF($C214=DC$2,1,0)=1,1+COUNTIF(DC$3:DC213,"&gt;0"),0)</f>
        <v>10</v>
      </c>
      <c r="DD214">
        <f>IF(IF(OR(IFERROR(SEARCH("Cleric",$T214,1),0)&gt;0,IFERROR(SEARCH(DivineDomain&amp;",",$T214,1),0)&gt;0),1,0)*IF($C214=DD$2,1,0)=1,1+COUNTIF(DD$3:DD213,"&gt;0"),0)</f>
        <v>0</v>
      </c>
      <c r="DE214">
        <f>IF(IF(OR(IFERROR(SEARCH("Cleric",$T214,1),0)&gt;0,IFERROR(SEARCH(DivineDomain&amp;",",$T214,1),0)&gt;0),1,0)*IF($C214=DE$2,1,0)=1,1+COUNTIF(DE$3:DE213,"&gt;0"),0)</f>
        <v>0</v>
      </c>
      <c r="DF214">
        <f>IF(IF(OR(IFERROR(SEARCH("Cleric",$T214,1),0)&gt;0,IFERROR(SEARCH(DivineDomain&amp;",",$T214,1),0)&gt;0),1,0)*IF($C214=DF$2,1,0)=1,1+COUNTIF(DF$3:DF213,"&gt;0"),0)</f>
        <v>0</v>
      </c>
      <c r="DG214">
        <f>IF(IF(OR(IFERROR(SEARCH("Cleric",$T214,1),0)&gt;0,IFERROR(SEARCH(DivineDomain&amp;",",$T214,1),0)&gt;0),1,0)*IF($C214=DG$2,1,0)=1,1+COUNTIF(DG$3:DG213,"&gt;0"),0)</f>
        <v>0</v>
      </c>
      <c r="DH214">
        <f>IF(IF(OR(IFERROR(SEARCH("Cleric",$T214,1),0)&gt;0,IFERROR(SEARCH(DivineDomain&amp;",",$T214,1),0)&gt;0),1,0)*IF($C214=DH$2,1,0)=1,1+COUNTIF(DH$3:DH213,"&gt;0"),0)</f>
        <v>0</v>
      </c>
      <c r="DI214">
        <f>IF(IF(OR(IFERROR(SEARCH("Cleric",$T214,1),0)&gt;0,IFERROR(SEARCH(DivineDomain&amp;",",$T214,1),0)&gt;0),1,0)*IF($C214=DI$2,1,0)=1,1+COUNTIF(DI$3:DI213,"&gt;0"),0)</f>
        <v>0</v>
      </c>
      <c r="DJ214">
        <f>IF(IF(OR(IFERROR(SEARCH("Druid",$T214,1),0)&gt;0,IFERROR(SEARCH(DruidLand1,$T214,1),0)&gt;0,IFERROR(SEARCH(DruidLand2,$T214,1),0)&gt;0,IFERROR(SEARCH(DruidLand3,$T214,1),0)&gt;0,IFERROR(SEARCH(DruidLand4,$T214,1),0)&gt;0),1,0)*IF($C214=1,1,0)*IF($C214=DJ$2,1,0)=0,0,1+COUNTIF(DJ$3:DJ213,"&gt;0"))</f>
        <v>0</v>
      </c>
      <c r="DK214">
        <f>IF(IF(OR(IFERROR(SEARCH("Druid",$T214,1),0)&gt;0,IFERROR(SEARCH(DruidLand1,$T214,1),0)&gt;0,IFERROR(SEARCH(DruidLand2,$T214,1),0)&gt;0,IFERROR(SEARCH(DruidLand3,$T214,1),0)&gt;0,IFERROR(SEARCH(DruidLand4,$T214,1),0)&gt;0),1,0)*IF($C214=1,1,0)*IF($C214=DK$2,1,0)=0,0,1+COUNTIF(DK$3:DK213,"&gt;0"))</f>
        <v>0</v>
      </c>
      <c r="DL214">
        <f>IF(IF(OR(IFERROR(SEARCH("Druid",$T214,1),0)&gt;0,IFERROR(SEARCH(DruidLand1,$T214,1),0)&gt;0,IFERROR(SEARCH(DruidLand2,$T214,1),0)&gt;0,IFERROR(SEARCH(DruidLand3,$T214,1),0)&gt;0,IFERROR(SEARCH(DruidLand4,$T214,1),0)&gt;0),1,0)*IF($C214=1,1,0)*IF($C214=DL$2,1,0)=0,0,1+COUNTIF(DL$3:DL213,"&gt;0"))</f>
        <v>0</v>
      </c>
      <c r="DM214">
        <f>IF(IF(OR(IFERROR(SEARCH("Druid",$T214,1),0)&gt;0,IFERROR(SEARCH(DruidLand1,$T214,1),0)&gt;0,IFERROR(SEARCH(DruidLand2,$T214,1),0)&gt;0,IFERROR(SEARCH(DruidLand3,$T214,1),0)&gt;0,IFERROR(SEARCH(DruidLand4,$T214,1),0)&gt;0),1,0)*IF($C214=1,1,0)*IF($C214=DM$2,1,0)=0,0,1+COUNTIF(DM$3:DM213,"&gt;0"))</f>
        <v>0</v>
      </c>
      <c r="DN214">
        <f>IF(IF(OR(IFERROR(SEARCH("Druid",$T214,1),0)&gt;0,IFERROR(SEARCH(DruidLand1,$T214,1),0)&gt;0,IFERROR(SEARCH(DruidLand2,$T214,1),0)&gt;0,IFERROR(SEARCH(DruidLand3,$T214,1),0)&gt;0,IFERROR(SEARCH(DruidLand4,$T214,1),0)&gt;0),1,0)*IF($C214=1,1,0)*IF($C214=DN$2,1,0)=0,0,1+COUNTIF(DN$3:DN213,"&gt;0"))</f>
        <v>0</v>
      </c>
      <c r="DO214">
        <f>IF(IF(OR(IFERROR(SEARCH("Druid",$T214,1),0)&gt;0,IFERROR(SEARCH(DruidLand1,$T214,1),0)&gt;0,IFERROR(SEARCH(DruidLand2,$T214,1),0)&gt;0,IFERROR(SEARCH(DruidLand3,$T214,1),0)&gt;0,IFERROR(SEARCH(DruidLand4,$T214,1),0)&gt;0),1,0)*IF($C214=1,1,0)*IF($C214=DO$2,1,0)=0,0,1+COUNTIF(DO$3:DO213,"&gt;0"))</f>
        <v>0</v>
      </c>
      <c r="DP214">
        <f>IF(IF(OR(IFERROR(SEARCH("Druid",$T214,1),0)&gt;0,IFERROR(SEARCH(DruidLand1,$T214,1),0)&gt;0,IFERROR(SEARCH(DruidLand2,$T214,1),0)&gt;0,IFERROR(SEARCH(DruidLand3,$T214,1),0)&gt;0,IFERROR(SEARCH(DruidLand4,$T214,1),0)&gt;0),1,0)*IF($C214=1,1,0)*IF($C214=DP$2,1,0)=0,0,1+COUNTIF(DP$3:DP213,"&gt;0"))</f>
        <v>0</v>
      </c>
      <c r="DQ214">
        <f>IF(IF(OR(IFERROR(SEARCH("Druid",$T214,1),0)&gt;0,IFERROR(SEARCH(DruidLand1,$T214,1),0)&gt;0,IFERROR(SEARCH(DruidLand2,$T214,1),0)&gt;0,IFERROR(SEARCH(DruidLand3,$T214,1),0)&gt;0,IFERROR(SEARCH(DruidLand4,$T214,1),0)&gt;0),1,0)*IF($C214=1,1,0)*IF($C214=DQ$2,1,0)=0,0,1+COUNTIF(DQ$3:DQ213,"&gt;0"))</f>
        <v>0</v>
      </c>
      <c r="DR214">
        <f>IF(IF(OR(IFERROR(SEARCH("Druid",$T214,1),0)&gt;0,IFERROR(SEARCH(DruidLand1,$T214,1),0)&gt;0,IFERROR(SEARCH(DruidLand2,$T214,1),0)&gt;0,IFERROR(SEARCH(DruidLand3,$T214,1),0)&gt;0,IFERROR(SEARCH(DruidLand4,$T214,1),0)&gt;0),1,0)*IF($C214=1,1,0)*IF($C214=DR$2,1,0)=0,0,1+COUNTIF(DR$3:DR213,"&gt;0"))</f>
        <v>0</v>
      </c>
      <c r="DS214">
        <f>IF(IF(OR(IFERROR(SEARCH("Paladin",$T214,1),0)&gt;0,IFERROR(SEARCH(PaladinOath,$T214,1),0)&gt;0),1,0)*IF($C214=DS$2,1,0)=1,1+COUNTIF(DS$3:DS213,"&gt;0"),0)</f>
        <v>0</v>
      </c>
      <c r="DT214">
        <f>IF(IF(OR(IFERROR(SEARCH("Paladin",$T214,1),0)&gt;0,IFERROR(SEARCH(PaladinOath,$T214,1),0)&gt;0),1,0)*IF($C214=DT$2,1,0)=1,1+COUNTIF(DT$3:DT213,"&gt;0"),0)</f>
        <v>0</v>
      </c>
      <c r="DU214">
        <f>IF(IF(OR(IFERROR(SEARCH("Paladin",$T214,1),0)&gt;0,IFERROR(SEARCH(PaladinOath,$T214,1),0)&gt;0),1,0)*IF($C214=DU$2,1,0)=1,1+COUNTIF(DU$3:DU213,"&gt;0"),0)</f>
        <v>8</v>
      </c>
      <c r="DV214">
        <f>IF(IF(OR(IFERROR(SEARCH("Paladin",$T214,1),0)&gt;0,IFERROR(SEARCH(PaladinOath,$T214,1),0)&gt;0),1,0)*IF($C214=DV$2,1,0)=1,1+COUNTIF(DV$3:DV213,"&gt;0"),0)</f>
        <v>0</v>
      </c>
      <c r="DW214">
        <f>IF(IF(OR(IFERROR(SEARCH("Paladin",$T214,1),0)&gt;0,IFERROR(SEARCH(PaladinOath,$T214,1),0)&gt;0),1,0)*IF($C214=DW$2,1,0)=1,1+COUNTIF(DW$3:DW213,"&gt;0"),0)</f>
        <v>0</v>
      </c>
      <c r="DY214">
        <f t="shared" si="166"/>
        <v>1</v>
      </c>
      <c r="DZ214">
        <f>IF(DY214=0,0,1+MAX(DZ$3:$DZ213))</f>
        <v>212</v>
      </c>
      <c r="EB214">
        <f t="shared" si="180"/>
        <v>0</v>
      </c>
      <c r="EC214">
        <f>IF(EB214=0,0,1+COUNTIF(EC$3:EC213,"&gt;0"))</f>
        <v>0</v>
      </c>
      <c r="ED214" t="str">
        <f t="shared" si="209"/>
        <v/>
      </c>
      <c r="EE214" t="str">
        <f t="shared" si="181"/>
        <v/>
      </c>
      <c r="EG214">
        <f t="shared" si="182"/>
        <v>0</v>
      </c>
      <c r="EH214">
        <f>IF(EG214=0,0,1+COUNTIF(EH$3:EH213,"&gt;0"))</f>
        <v>0</v>
      </c>
      <c r="EI214" t="str">
        <f t="shared" si="210"/>
        <v/>
      </c>
      <c r="EJ214" t="str">
        <f t="shared" si="183"/>
        <v/>
      </c>
      <c r="EL214">
        <f t="shared" si="184"/>
        <v>0</v>
      </c>
      <c r="EM214">
        <f>IF(EL214=0,0,1+COUNTIF(EM$3:EM213,"&gt;0"))</f>
        <v>0</v>
      </c>
      <c r="EN214" t="str">
        <f t="shared" si="211"/>
        <v/>
      </c>
      <c r="EO214" t="str">
        <f t="shared" si="185"/>
        <v/>
      </c>
      <c r="EQ214">
        <f t="shared" si="186"/>
        <v>0</v>
      </c>
      <c r="ER214">
        <f>IF(EQ214=0,0,1+COUNTIF(ER$3:ER213,"&gt;0"))</f>
        <v>0</v>
      </c>
      <c r="ES214" t="str">
        <f t="shared" si="212"/>
        <v/>
      </c>
      <c r="ET214" t="str">
        <f t="shared" si="187"/>
        <v/>
      </c>
      <c r="EV214">
        <f t="shared" si="188"/>
        <v>0</v>
      </c>
      <c r="EW214">
        <f>IF(EV214=0,0,1+COUNTIF(EW$3:EW213,"&gt;0"))</f>
        <v>0</v>
      </c>
      <c r="EX214" t="str">
        <f t="shared" si="213"/>
        <v/>
      </c>
      <c r="EY214" t="str">
        <f t="shared" si="189"/>
        <v/>
      </c>
      <c r="FA214">
        <f t="shared" si="190"/>
        <v>0</v>
      </c>
      <c r="FB214">
        <f>IF(FA214=0,0,1+COUNTIF(FB$3:FB213,"&gt;0"))</f>
        <v>0</v>
      </c>
      <c r="FC214" t="str">
        <f t="shared" si="214"/>
        <v/>
      </c>
      <c r="FD214" t="str">
        <f t="shared" si="191"/>
        <v/>
      </c>
      <c r="FF214">
        <f t="shared" si="192"/>
        <v>0</v>
      </c>
      <c r="FG214">
        <f>IF(FF214=0,0,1+COUNTIF(FG$3:FG213,"&gt;0"))</f>
        <v>0</v>
      </c>
      <c r="FH214" t="str">
        <f t="shared" si="215"/>
        <v/>
      </c>
      <c r="FI214" t="str">
        <f t="shared" si="193"/>
        <v/>
      </c>
      <c r="FK214">
        <f t="shared" si="194"/>
        <v>0</v>
      </c>
      <c r="FL214">
        <f>IF(FK214=0,0,1+COUNTIF(FL$3:FL213,"&gt;0"))</f>
        <v>0</v>
      </c>
      <c r="FM214" t="str">
        <f t="shared" si="216"/>
        <v/>
      </c>
      <c r="FN214" t="str">
        <f t="shared" si="195"/>
        <v/>
      </c>
      <c r="FP214">
        <f t="shared" si="196"/>
        <v>0</v>
      </c>
      <c r="FQ214">
        <f>IF(FP214=0,0,1+COUNTIF(FQ$3:FQ213,"&gt;0"))</f>
        <v>0</v>
      </c>
      <c r="FR214" t="str">
        <f t="shared" si="217"/>
        <v/>
      </c>
      <c r="FS214" t="str">
        <f t="shared" si="197"/>
        <v/>
      </c>
    </row>
    <row r="215" spans="1:175" x14ac:dyDescent="0.25">
      <c r="A215" s="347">
        <f t="shared" si="219"/>
        <v>213</v>
      </c>
      <c r="B215" s="348" t="s">
        <v>2595</v>
      </c>
      <c r="C215" s="348">
        <v>6</v>
      </c>
      <c r="D215" s="347">
        <v>6</v>
      </c>
      <c r="E215" s="627" t="s">
        <v>6952</v>
      </c>
      <c r="F215" s="346"/>
      <c r="G215" s="347" t="str">
        <f>""</f>
        <v/>
      </c>
      <c r="H215" s="347" t="s">
        <v>5288</v>
      </c>
      <c r="I215" s="347" t="s">
        <v>5283</v>
      </c>
      <c r="J215" s="347" t="str">
        <f t="shared" si="167"/>
        <v/>
      </c>
      <c r="K215" s="347" t="s">
        <v>5299</v>
      </c>
      <c r="L215" s="611" t="str">
        <f t="shared" si="168"/>
        <v>V, S, M, a gem, crystal, reliquary, or some other ornamental container worth at least 500 gp</v>
      </c>
      <c r="M215" s="347" t="s">
        <v>2373</v>
      </c>
      <c r="N215" s="347" t="s">
        <v>2387</v>
      </c>
      <c r="O215" s="347" t="s">
        <v>1244</v>
      </c>
      <c r="P215" s="346" t="s">
        <v>5424</v>
      </c>
      <c r="Q215" s="347" t="s">
        <v>5275</v>
      </c>
      <c r="S215" s="346" t="s">
        <v>5758</v>
      </c>
      <c r="T215" s="346" t="str">
        <f t="shared" si="169"/>
        <v xml:space="preserve">Wizard, </v>
      </c>
      <c r="AD215" s="347" t="str">
        <f t="shared" si="220"/>
        <v>Magic Jar</v>
      </c>
      <c r="AE215" t="str">
        <f>IF(IFERROR(MATCH($B215,temp!A$4:A$13,0),0)&gt;0,T08_Spells!AE$2,"")</f>
        <v/>
      </c>
      <c r="AF215" t="str">
        <f>IF(IFERROR(MATCH($B215,temp!B$4:B$13,0),0)&gt;0,T08_Spells!AF$2,"")</f>
        <v/>
      </c>
      <c r="AG215" t="str">
        <f>IF(IFERROR(MATCH($B215,temp!C$4:C$13,0),0)&gt;0,T08_Spells!AG$2,"")</f>
        <v/>
      </c>
      <c r="AH215" t="str">
        <f>IF(IFERROR(MATCH($B215,temp!D$4:D$13,0),0)&gt;0,T08_Spells!AH$2,"")</f>
        <v/>
      </c>
      <c r="AI215" t="str">
        <f>IF(IFERROR(MATCH($B215,temp!E$4:E$13,0),0)&gt;0,T08_Spells!AI$2,"")</f>
        <v/>
      </c>
      <c r="AJ215" t="str">
        <f>IF(IFERROR(MATCH($B215,temp!F$4:F$13,0),0)&gt;0,T08_Spells!AJ$2,"")</f>
        <v/>
      </c>
      <c r="AK215" t="str">
        <f>IF(IFERROR(MATCH($B215,temp!G$4:G$13,0),0)&gt;0,T08_Spells!AK$2,"")</f>
        <v/>
      </c>
      <c r="AL215" t="str">
        <f>IF(IFERROR(MATCH($B215,temp!H$4:H$13,0),0)&gt;0,T08_Spells!AL$2,"")</f>
        <v/>
      </c>
      <c r="AM215" t="str">
        <f>IF(IFERROR(MATCH($B215,temp!I$4:I$13,0),0)&gt;0,T08_Spells!AM$2,"")</f>
        <v/>
      </c>
      <c r="AN215" t="str">
        <f>IF(IFERROR(MATCH($B215,temp!J$4:J$13,0),0)&gt;0,T08_Spells!AN$2,"")</f>
        <v/>
      </c>
      <c r="AO215" t="str">
        <f>IF(IFERROR(MATCH($B215,temp!K$4:K$13,0),0)&gt;0,T08_Spells!AO$2,"")</f>
        <v/>
      </c>
      <c r="AP215" t="str">
        <f>IF(IFERROR(MATCH($B215,temp!L$4:L$13,0),0)&gt;0,T08_Spells!AP$2,"")</f>
        <v/>
      </c>
      <c r="AQ215" t="str">
        <f>IF(IFERROR(MATCH($B215,temp!M$4:M$13,0),0)&gt;0,T08_Spells!AQ$2,"")</f>
        <v/>
      </c>
      <c r="AR215" t="str">
        <f>IF(IFERROR(MATCH($B215,temp!N$4:N$13,0),0)&gt;0,T08_Spells!AR$2,"")</f>
        <v/>
      </c>
      <c r="AS215" t="str">
        <f>IF(IFERROR(MATCH($B215,temp!O$4:O$13,0),0)&gt;0,T08_Spells!AS$2,"")</f>
        <v/>
      </c>
      <c r="AT215" t="str">
        <f>IF(IFERROR(MATCH($B215,temp!P$4:P$13,0),0)&gt;0,T08_Spells!AT$2,"")</f>
        <v/>
      </c>
      <c r="AU215" t="str">
        <f>IF(IFERROR(MATCH($B215,temp!Q$4:Q$13,0),0)&gt;0,T08_Spells!AU$2,"")</f>
        <v/>
      </c>
      <c r="AV215" t="str">
        <f>IF(IFERROR(MATCH($B215,temp!R$4:R$13,0),0)&gt;0,T08_Spells!AV$2,"")</f>
        <v/>
      </c>
      <c r="AW215" t="str">
        <f>IF(IFERROR(MATCH($B215,temp!S$4:S$13,0),0)&gt;0,T08_Spells!AW$2,"")</f>
        <v/>
      </c>
      <c r="AX215" t="str">
        <f>IF(IFERROR(MATCH($B215,temp!T$4:T$13,0),0)&gt;0,T08_Spells!AX$2,"")</f>
        <v/>
      </c>
      <c r="AY215" t="str">
        <f>IF(IFERROR(MATCH($B215,temp!U$4:U$13,0),0)&gt;0,T08_Spells!AY$2,"")</f>
        <v/>
      </c>
      <c r="AZ215" t="str">
        <f>IF(IFERROR(MATCH($B215,temp!V$4:V$13,0),0)&gt;0,T08_Spells!AZ$2,"")</f>
        <v/>
      </c>
      <c r="BA215" t="str">
        <f>IF(IFERROR(MATCH($B215,temp!W$4:W$13,0),0)&gt;0,T08_Spells!BA$2,"")</f>
        <v/>
      </c>
      <c r="BC215">
        <f>IF(IFERROR(SEARCH("Ranger",$T215,1),0)&gt;0,1,0)*IF(RangerMaxSpellLevel&gt;=$C215,1,0)*IF(IFERROR(MATCH(B215,Character_Creation!$X$79:$X$382,0),0)&gt;0,0,1)</f>
        <v>0</v>
      </c>
      <c r="BD215">
        <f>IF(BC215=0,0,1+COUNTIF(BD$3:BD214,"&gt;0"))</f>
        <v>0</v>
      </c>
      <c r="BE215" t="str">
        <f t="shared" si="199"/>
        <v/>
      </c>
      <c r="BF215" t="str">
        <f t="shared" si="170"/>
        <v/>
      </c>
      <c r="BH215">
        <f>IF(IFERROR(SEARCH("Sorcerer",$T215,1),0)&gt;0,1,0)*IF(SorcererMaxSpellLevel&gt;=$C215,1,0)*IF(IFERROR(MATCH(B215,Character_Creation!$J$380:$J$394,0),0)&gt;0,0,1)</f>
        <v>0</v>
      </c>
      <c r="BI215">
        <f>IF(BH215=0,0,1+COUNTIF(BI$3:BI214,"&gt;0"))</f>
        <v>0</v>
      </c>
      <c r="BJ215" t="str">
        <f t="shared" si="200"/>
        <v/>
      </c>
      <c r="BK215" t="str">
        <f t="shared" si="171"/>
        <v/>
      </c>
      <c r="BM215">
        <f>IF(OR(IFERROR(SEARCH("Warlock",$T215,1),0)&gt;0,IFERROR(SEARCH(WarlockPatron,$T215,1),0)&gt;0),1,0)*IF(WarlockMaxSpellLevel&gt;=$C215,1,0)*IF(IFERROR(MATCH(B215,Character_Creation!$J$361:$J$375,0),0)&gt;0,0,1)</f>
        <v>0</v>
      </c>
      <c r="BN215">
        <f>IF(BM215=0,0,1+COUNTIF(BN$3:BN214,"&gt;0"))</f>
        <v>0</v>
      </c>
      <c r="BO215" t="str">
        <f t="shared" si="201"/>
        <v/>
      </c>
      <c r="BP215" t="str">
        <f t="shared" si="172"/>
        <v/>
      </c>
      <c r="BR215">
        <f>IF(IFERROR(SEARCH("Eldritch Knight",$T215,1),0)&gt;0,1,0)*IF(EldritchKnightMaxSpellLevel&gt;=$C215,1,0)*IF(IFERROR(MATCH($B215,Character_Creation!$J$350:$J$356,0),0)&gt;0,0,1)*IF(Character_Creation!$M$338&gt;0,1,0)</f>
        <v>0</v>
      </c>
      <c r="BS215">
        <f>IF(BR215=0,0,1+COUNTIF(BS$3:BS214,"&gt;0"))</f>
        <v>0</v>
      </c>
      <c r="BT215" t="str">
        <f t="shared" si="202"/>
        <v/>
      </c>
      <c r="BU215" t="str">
        <f t="shared" si="173"/>
        <v/>
      </c>
      <c r="BW215">
        <f>IF(IFERROR(SEARCH("Arcane Trickster",$T215,1),0)&gt;0,1,0)*IF(ArcaneTricksterMaxSpellLevel&gt;=$C215,1,0)*IF(IFERROR(MATCH($B215,Character_Creation!$J$350:$J$356,0),0)&gt;0,0,1)*IF(Character_Creation!$T$338&gt;0,1,0)</f>
        <v>0</v>
      </c>
      <c r="BX215">
        <f>IF(BW215=0,0,1+COUNTIF(BX$3:BX214,"&gt;0"))</f>
        <v>0</v>
      </c>
      <c r="BY215" t="str">
        <f t="shared" si="203"/>
        <v/>
      </c>
      <c r="BZ215" t="str">
        <f t="shared" si="174"/>
        <v/>
      </c>
      <c r="CB215">
        <f>IF(IFERROR(SEARCH("Wizard",$T215,1),0)&gt;0,1,0)*IF(C215&lt;=ArcaneTricksterMaxSpellLevel,1,0)*IF(IFERROR(MATCH($B215,Character_Creation!$J$350:$J$356,0),0)&gt;0,0,1)*IF(Character_Creation!$T$350&gt;0,1,0)</f>
        <v>0</v>
      </c>
      <c r="CC215">
        <f>IF(CB215=0,0,1+COUNTIF(CC$3:CC214,"&gt;0"))</f>
        <v>0</v>
      </c>
      <c r="CD215" t="str">
        <f t="shared" si="204"/>
        <v/>
      </c>
      <c r="CE215" t="str">
        <f t="shared" si="175"/>
        <v/>
      </c>
      <c r="CG215">
        <f>IF(IFERROR(SEARCH("Wizard",$T215,1),0)&gt;0,1,0)*IF($C215&lt;=EldritchKnightMaxSpellLevel,1,0)*IF(IFERROR(MATCH($B215,Character_Creation!$J$350:$J$356,0),0)&gt;0,0,1)*IF(Character_Creation!$M$350&gt;0,1,0)</f>
        <v>0</v>
      </c>
      <c r="CH215">
        <f>IF(CG215=0,0,1+COUNTIF(CH$3:CH214,"&gt;0"))</f>
        <v>0</v>
      </c>
      <c r="CI215" t="str">
        <f t="shared" si="205"/>
        <v/>
      </c>
      <c r="CJ215" t="str">
        <f t="shared" si="176"/>
        <v/>
      </c>
      <c r="CL215">
        <f>IF(IFERROR(SEARCH("Bard",$T215,1),0)&gt;0,1,0)*IF(BardMaxSpellLevel&gt;=$C215,1,0)*IF(IFERROR(MATCH(B215,Character_Creation!$C$341:$F$362,0),0)&gt;0,0,1)*IF(IFERROR(MATCH($B215,Character_Creation!$C$341:$C$362,0),0)&gt;0,0,1)</f>
        <v>0</v>
      </c>
      <c r="CM215">
        <f>IF(CL215=0,0,1+COUNTIF(CM$3:CM214,"&gt;0"))</f>
        <v>0</v>
      </c>
      <c r="CN215" t="str">
        <f t="shared" si="206"/>
        <v/>
      </c>
      <c r="CO215" t="str">
        <f t="shared" si="177"/>
        <v/>
      </c>
      <c r="CQ215">
        <f>IF(IFERROR(SEARCH("Wizard",$T215,1),0)&gt;0,1,0)*IF(WizardMaxSpellLevel&gt;=$C215,1,0)*IF(IFERROR(MATCH(B215,Character_Creation!$X$341:$X$400,0),0)&gt;0,0,1)*IF(SelectedWizardSpellLevel=$C215,1,0)</f>
        <v>0</v>
      </c>
      <c r="CR215">
        <f>IF(CQ215=0,0,1+COUNTIF(CR$3:CR214,"&gt;0"))</f>
        <v>0</v>
      </c>
      <c r="CS215" t="str">
        <f t="shared" si="207"/>
        <v/>
      </c>
      <c r="CT215" t="str">
        <f t="shared" si="178"/>
        <v/>
      </c>
      <c r="CV215">
        <f>IF(IFERROR(MATCH($B215,Character_Creation!$C$341:$C$362,0),0)&gt;0,0,1)*IF(OR(C215="Cantrip",C215&lt;=BardMaxSpellLevel),1,0)*IF(IFERROR(MATCH($B215,Character_Creation!$C$367:$C$374,0),0)&gt;0,0,1)</f>
        <v>0</v>
      </c>
      <c r="CW215">
        <f>IF(CV215=0,0,1+COUNTIF(CW$3:CW214,"&gt;0"))</f>
        <v>0</v>
      </c>
      <c r="CX215" t="str">
        <f t="shared" si="208"/>
        <v/>
      </c>
      <c r="CY215" t="str">
        <f t="shared" si="179"/>
        <v/>
      </c>
      <c r="DA215">
        <f>IF(IF(OR(IFERROR(SEARCH("Cleric",$T215,1),0)&gt;0,IFERROR(SEARCH(DivineDomain&amp;",",$T215,1),0)&gt;0),1,0)*IF($C215=DA$2,1,0)=1,1+COUNTIF(DA$3:DA214,"&gt;0"),0)</f>
        <v>0</v>
      </c>
      <c r="DB215">
        <f>IF(IF(OR(IFERROR(SEARCH("Cleric",$T215,1),0)&gt;0,IFERROR(SEARCH(DivineDomain&amp;",",$T215,1),0)&gt;0),1,0)*IF($C215=DB$2,1,0)=1,1+COUNTIF(DB$3:DB214,"&gt;0"),0)</f>
        <v>0</v>
      </c>
      <c r="DC215">
        <f>IF(IF(OR(IFERROR(SEARCH("Cleric",$T215,1),0)&gt;0,IFERROR(SEARCH(DivineDomain&amp;",",$T215,1),0)&gt;0),1,0)*IF($C215=DC$2,1,0)=1,1+COUNTIF(DC$3:DC214,"&gt;0"),0)</f>
        <v>0</v>
      </c>
      <c r="DD215">
        <f>IF(IF(OR(IFERROR(SEARCH("Cleric",$T215,1),0)&gt;0,IFERROR(SEARCH(DivineDomain&amp;",",$T215,1),0)&gt;0),1,0)*IF($C215=DD$2,1,0)=1,1+COUNTIF(DD$3:DD214,"&gt;0"),0)</f>
        <v>0</v>
      </c>
      <c r="DE215">
        <f>IF(IF(OR(IFERROR(SEARCH("Cleric",$T215,1),0)&gt;0,IFERROR(SEARCH(DivineDomain&amp;",",$T215,1),0)&gt;0),1,0)*IF($C215=DE$2,1,0)=1,1+COUNTIF(DE$3:DE214,"&gt;0"),0)</f>
        <v>0</v>
      </c>
      <c r="DF215">
        <f>IF(IF(OR(IFERROR(SEARCH("Cleric",$T215,1),0)&gt;0,IFERROR(SEARCH(DivineDomain&amp;",",$T215,1),0)&gt;0),1,0)*IF($C215=DF$2,1,0)=1,1+COUNTIF(DF$3:DF214,"&gt;0"),0)</f>
        <v>0</v>
      </c>
      <c r="DG215">
        <f>IF(IF(OR(IFERROR(SEARCH("Cleric",$T215,1),0)&gt;0,IFERROR(SEARCH(DivineDomain&amp;",",$T215,1),0)&gt;0),1,0)*IF($C215=DG$2,1,0)=1,1+COUNTIF(DG$3:DG214,"&gt;0"),0)</f>
        <v>0</v>
      </c>
      <c r="DH215">
        <f>IF(IF(OR(IFERROR(SEARCH("Cleric",$T215,1),0)&gt;0,IFERROR(SEARCH(DivineDomain&amp;",",$T215,1),0)&gt;0),1,0)*IF($C215=DH$2,1,0)=1,1+COUNTIF(DH$3:DH214,"&gt;0"),0)</f>
        <v>0</v>
      </c>
      <c r="DI215">
        <f>IF(IF(OR(IFERROR(SEARCH("Cleric",$T215,1),0)&gt;0,IFERROR(SEARCH(DivineDomain&amp;",",$T215,1),0)&gt;0),1,0)*IF($C215=DI$2,1,0)=1,1+COUNTIF(DI$3:DI214,"&gt;0"),0)</f>
        <v>0</v>
      </c>
      <c r="DJ215">
        <f>IF(IF(OR(IFERROR(SEARCH("Druid",$T215,1),0)&gt;0,IFERROR(SEARCH(DruidLand1,$T215,1),0)&gt;0,IFERROR(SEARCH(DruidLand2,$T215,1),0)&gt;0,IFERROR(SEARCH(DruidLand3,$T215,1),0)&gt;0,IFERROR(SEARCH(DruidLand4,$T215,1),0)&gt;0),1,0)*IF($C215=1,1,0)*IF($C215=DJ$2,1,0)=0,0,1+COUNTIF(DJ$3:DJ214,"&gt;0"))</f>
        <v>0</v>
      </c>
      <c r="DK215">
        <f>IF(IF(OR(IFERROR(SEARCH("Druid",$T215,1),0)&gt;0,IFERROR(SEARCH(DruidLand1,$T215,1),0)&gt;0,IFERROR(SEARCH(DruidLand2,$T215,1),0)&gt;0,IFERROR(SEARCH(DruidLand3,$T215,1),0)&gt;0,IFERROR(SEARCH(DruidLand4,$T215,1),0)&gt;0),1,0)*IF($C215=1,1,0)*IF($C215=DK$2,1,0)=0,0,1+COUNTIF(DK$3:DK214,"&gt;0"))</f>
        <v>0</v>
      </c>
      <c r="DL215">
        <f>IF(IF(OR(IFERROR(SEARCH("Druid",$T215,1),0)&gt;0,IFERROR(SEARCH(DruidLand1,$T215,1),0)&gt;0,IFERROR(SEARCH(DruidLand2,$T215,1),0)&gt;0,IFERROR(SEARCH(DruidLand3,$T215,1),0)&gt;0,IFERROR(SEARCH(DruidLand4,$T215,1),0)&gt;0),1,0)*IF($C215=1,1,0)*IF($C215=DL$2,1,0)=0,0,1+COUNTIF(DL$3:DL214,"&gt;0"))</f>
        <v>0</v>
      </c>
      <c r="DM215">
        <f>IF(IF(OR(IFERROR(SEARCH("Druid",$T215,1),0)&gt;0,IFERROR(SEARCH(DruidLand1,$T215,1),0)&gt;0,IFERROR(SEARCH(DruidLand2,$T215,1),0)&gt;0,IFERROR(SEARCH(DruidLand3,$T215,1),0)&gt;0,IFERROR(SEARCH(DruidLand4,$T215,1),0)&gt;0),1,0)*IF($C215=1,1,0)*IF($C215=DM$2,1,0)=0,0,1+COUNTIF(DM$3:DM214,"&gt;0"))</f>
        <v>0</v>
      </c>
      <c r="DN215">
        <f>IF(IF(OR(IFERROR(SEARCH("Druid",$T215,1),0)&gt;0,IFERROR(SEARCH(DruidLand1,$T215,1),0)&gt;0,IFERROR(SEARCH(DruidLand2,$T215,1),0)&gt;0,IFERROR(SEARCH(DruidLand3,$T215,1),0)&gt;0,IFERROR(SEARCH(DruidLand4,$T215,1),0)&gt;0),1,0)*IF($C215=1,1,0)*IF($C215=DN$2,1,0)=0,0,1+COUNTIF(DN$3:DN214,"&gt;0"))</f>
        <v>0</v>
      </c>
      <c r="DO215">
        <f>IF(IF(OR(IFERROR(SEARCH("Druid",$T215,1),0)&gt;0,IFERROR(SEARCH(DruidLand1,$T215,1),0)&gt;0,IFERROR(SEARCH(DruidLand2,$T215,1),0)&gt;0,IFERROR(SEARCH(DruidLand3,$T215,1),0)&gt;0,IFERROR(SEARCH(DruidLand4,$T215,1),0)&gt;0),1,0)*IF($C215=1,1,0)*IF($C215=DO$2,1,0)=0,0,1+COUNTIF(DO$3:DO214,"&gt;0"))</f>
        <v>0</v>
      </c>
      <c r="DP215">
        <f>IF(IF(OR(IFERROR(SEARCH("Druid",$T215,1),0)&gt;0,IFERROR(SEARCH(DruidLand1,$T215,1),0)&gt;0,IFERROR(SEARCH(DruidLand2,$T215,1),0)&gt;0,IFERROR(SEARCH(DruidLand3,$T215,1),0)&gt;0,IFERROR(SEARCH(DruidLand4,$T215,1),0)&gt;0),1,0)*IF($C215=1,1,0)*IF($C215=DP$2,1,0)=0,0,1+COUNTIF(DP$3:DP214,"&gt;0"))</f>
        <v>0</v>
      </c>
      <c r="DQ215">
        <f>IF(IF(OR(IFERROR(SEARCH("Druid",$T215,1),0)&gt;0,IFERROR(SEARCH(DruidLand1,$T215,1),0)&gt;0,IFERROR(SEARCH(DruidLand2,$T215,1),0)&gt;0,IFERROR(SEARCH(DruidLand3,$T215,1),0)&gt;0,IFERROR(SEARCH(DruidLand4,$T215,1),0)&gt;0),1,0)*IF($C215=1,1,0)*IF($C215=DQ$2,1,0)=0,0,1+COUNTIF(DQ$3:DQ214,"&gt;0"))</f>
        <v>0</v>
      </c>
      <c r="DR215">
        <f>IF(IF(OR(IFERROR(SEARCH("Druid",$T215,1),0)&gt;0,IFERROR(SEARCH(DruidLand1,$T215,1),0)&gt;0,IFERROR(SEARCH(DruidLand2,$T215,1),0)&gt;0,IFERROR(SEARCH(DruidLand3,$T215,1),0)&gt;0,IFERROR(SEARCH(DruidLand4,$T215,1),0)&gt;0),1,0)*IF($C215=1,1,0)*IF($C215=DR$2,1,0)=0,0,1+COUNTIF(DR$3:DR214,"&gt;0"))</f>
        <v>0</v>
      </c>
      <c r="DS215">
        <f>IF(IF(OR(IFERROR(SEARCH("Paladin",$T215,1),0)&gt;0,IFERROR(SEARCH(PaladinOath,$T215,1),0)&gt;0),1,0)*IF($C215=DS$2,1,0)=1,1+COUNTIF(DS$3:DS214,"&gt;0"),0)</f>
        <v>0</v>
      </c>
      <c r="DT215">
        <f>IF(IF(OR(IFERROR(SEARCH("Paladin",$T215,1),0)&gt;0,IFERROR(SEARCH(PaladinOath,$T215,1),0)&gt;0),1,0)*IF($C215=DT$2,1,0)=1,1+COUNTIF(DT$3:DT214,"&gt;0"),0)</f>
        <v>0</v>
      </c>
      <c r="DU215">
        <f>IF(IF(OR(IFERROR(SEARCH("Paladin",$T215,1),0)&gt;0,IFERROR(SEARCH(PaladinOath,$T215,1),0)&gt;0),1,0)*IF($C215=DU$2,1,0)=1,1+COUNTIF(DU$3:DU214,"&gt;0"),0)</f>
        <v>0</v>
      </c>
      <c r="DV215">
        <f>IF(IF(OR(IFERROR(SEARCH("Paladin",$T215,1),0)&gt;0,IFERROR(SEARCH(PaladinOath,$T215,1),0)&gt;0),1,0)*IF($C215=DV$2,1,0)=1,1+COUNTIF(DV$3:DV214,"&gt;0"),0)</f>
        <v>0</v>
      </c>
      <c r="DW215">
        <f>IF(IF(OR(IFERROR(SEARCH("Paladin",$T215,1),0)&gt;0,IFERROR(SEARCH(PaladinOath,$T215,1),0)&gt;0),1,0)*IF($C215=DW$2,1,0)=1,1+COUNTIF(DW$3:DW214,"&gt;0"),0)</f>
        <v>0</v>
      </c>
      <c r="DY215">
        <f t="shared" si="166"/>
        <v>1</v>
      </c>
      <c r="DZ215">
        <f>IF(DY215=0,0,1+MAX(DZ$3:$DZ214))</f>
        <v>213</v>
      </c>
      <c r="EB215">
        <f t="shared" si="180"/>
        <v>0</v>
      </c>
      <c r="EC215">
        <f>IF(EB215=0,0,1+COUNTIF(EC$3:EC214,"&gt;0"))</f>
        <v>0</v>
      </c>
      <c r="ED215" t="str">
        <f t="shared" si="209"/>
        <v/>
      </c>
      <c r="EE215" t="str">
        <f t="shared" si="181"/>
        <v/>
      </c>
      <c r="EG215">
        <f t="shared" si="182"/>
        <v>0</v>
      </c>
      <c r="EH215">
        <f>IF(EG215=0,0,1+COUNTIF(EH$3:EH214,"&gt;0"))</f>
        <v>0</v>
      </c>
      <c r="EI215" t="str">
        <f t="shared" si="210"/>
        <v/>
      </c>
      <c r="EJ215" t="str">
        <f t="shared" si="183"/>
        <v/>
      </c>
      <c r="EL215">
        <f t="shared" si="184"/>
        <v>0</v>
      </c>
      <c r="EM215">
        <f>IF(EL215=0,0,1+COUNTIF(EM$3:EM214,"&gt;0"))</f>
        <v>0</v>
      </c>
      <c r="EN215" t="str">
        <f t="shared" si="211"/>
        <v/>
      </c>
      <c r="EO215" t="str">
        <f t="shared" si="185"/>
        <v/>
      </c>
      <c r="EQ215">
        <f t="shared" si="186"/>
        <v>0</v>
      </c>
      <c r="ER215">
        <f>IF(EQ215=0,0,1+COUNTIF(ER$3:ER214,"&gt;0"))</f>
        <v>0</v>
      </c>
      <c r="ES215" t="str">
        <f t="shared" si="212"/>
        <v/>
      </c>
      <c r="ET215" t="str">
        <f t="shared" si="187"/>
        <v/>
      </c>
      <c r="EV215">
        <f t="shared" si="188"/>
        <v>0</v>
      </c>
      <c r="EW215">
        <f>IF(EV215=0,0,1+COUNTIF(EW$3:EW214,"&gt;0"))</f>
        <v>0</v>
      </c>
      <c r="EX215" t="str">
        <f t="shared" si="213"/>
        <v/>
      </c>
      <c r="EY215" t="str">
        <f t="shared" si="189"/>
        <v/>
      </c>
      <c r="FA215">
        <f t="shared" si="190"/>
        <v>0</v>
      </c>
      <c r="FB215">
        <f>IF(FA215=0,0,1+COUNTIF(FB$3:FB214,"&gt;0"))</f>
        <v>0</v>
      </c>
      <c r="FC215" t="str">
        <f t="shared" si="214"/>
        <v/>
      </c>
      <c r="FD215" t="str">
        <f t="shared" si="191"/>
        <v/>
      </c>
      <c r="FF215">
        <f t="shared" si="192"/>
        <v>0</v>
      </c>
      <c r="FG215">
        <f>IF(FF215=0,0,1+COUNTIF(FG$3:FG214,"&gt;0"))</f>
        <v>0</v>
      </c>
      <c r="FH215" t="str">
        <f t="shared" si="215"/>
        <v/>
      </c>
      <c r="FI215" t="str">
        <f t="shared" si="193"/>
        <v/>
      </c>
      <c r="FK215">
        <f t="shared" si="194"/>
        <v>0</v>
      </c>
      <c r="FL215">
        <f>IF(FK215=0,0,1+COUNTIF(FL$3:FL214,"&gt;0"))</f>
        <v>0</v>
      </c>
      <c r="FM215" t="str">
        <f t="shared" si="216"/>
        <v/>
      </c>
      <c r="FN215" t="str">
        <f t="shared" si="195"/>
        <v/>
      </c>
      <c r="FP215">
        <f t="shared" si="196"/>
        <v>0</v>
      </c>
      <c r="FQ215">
        <f>IF(FP215=0,0,1+COUNTIF(FQ$3:FQ214,"&gt;0"))</f>
        <v>0</v>
      </c>
      <c r="FR215" t="str">
        <f t="shared" si="217"/>
        <v/>
      </c>
      <c r="FS215" t="str">
        <f t="shared" si="197"/>
        <v/>
      </c>
    </row>
    <row r="216" spans="1:175" x14ac:dyDescent="0.25">
      <c r="A216" s="347">
        <f t="shared" si="219"/>
        <v>214</v>
      </c>
      <c r="B216" s="348" t="s">
        <v>2596</v>
      </c>
      <c r="C216" s="348">
        <v>1</v>
      </c>
      <c r="D216" s="347">
        <v>1</v>
      </c>
      <c r="E216" s="627" t="s">
        <v>6952</v>
      </c>
      <c r="F216" s="346"/>
      <c r="G216" s="347" t="str">
        <f>""</f>
        <v/>
      </c>
      <c r="H216" s="347" t="s">
        <v>5912</v>
      </c>
      <c r="I216" s="347" t="s">
        <v>5290</v>
      </c>
      <c r="J216" s="347" t="str">
        <f t="shared" si="167"/>
        <v/>
      </c>
      <c r="K216" s="347" t="s">
        <v>5278</v>
      </c>
      <c r="L216" s="611" t="str">
        <f t="shared" si="168"/>
        <v>V, S</v>
      </c>
      <c r="M216" s="347" t="s">
        <v>2373</v>
      </c>
      <c r="N216" s="347" t="s">
        <v>2387</v>
      </c>
      <c r="O216" s="347" t="s">
        <v>3034</v>
      </c>
      <c r="P216" s="346" t="str">
        <f>""</f>
        <v/>
      </c>
      <c r="Q216" s="347" t="s">
        <v>5273</v>
      </c>
      <c r="S216" s="346" t="s">
        <v>5759</v>
      </c>
      <c r="T216" s="346" t="str">
        <f t="shared" si="169"/>
        <v xml:space="preserve">Sorcerer, Eldritch Knight, Wizard, </v>
      </c>
      <c r="X216" s="347" t="str">
        <f>$B216</f>
        <v>Magic Missile</v>
      </c>
      <c r="AB216" s="542" t="str">
        <f>AD216</f>
        <v>Magic Missile</v>
      </c>
      <c r="AD216" s="347" t="str">
        <f t="shared" si="220"/>
        <v>Magic Missile</v>
      </c>
      <c r="AE216" t="str">
        <f>IF(IFERROR(MATCH($B216,temp!A$4:A$13,0),0)&gt;0,T08_Spells!AE$2,"")</f>
        <v/>
      </c>
      <c r="AF216" t="str">
        <f>IF(IFERROR(MATCH($B216,temp!B$4:B$13,0),0)&gt;0,T08_Spells!AF$2,"")</f>
        <v/>
      </c>
      <c r="AG216" t="str">
        <f>IF(IFERROR(MATCH($B216,temp!C$4:C$13,0),0)&gt;0,T08_Spells!AG$2,"")</f>
        <v/>
      </c>
      <c r="AH216" t="str">
        <f>IF(IFERROR(MATCH($B216,temp!D$4:D$13,0),0)&gt;0,T08_Spells!AH$2,"")</f>
        <v/>
      </c>
      <c r="AI216" t="str">
        <f>IF(IFERROR(MATCH($B216,temp!E$4:E$13,0),0)&gt;0,T08_Spells!AI$2,"")</f>
        <v/>
      </c>
      <c r="AJ216" t="str">
        <f>IF(IFERROR(MATCH($B216,temp!F$4:F$13,0),0)&gt;0,T08_Spells!AJ$2,"")</f>
        <v/>
      </c>
      <c r="AK216" t="str">
        <f>IF(IFERROR(MATCH($B216,temp!G$4:G$13,0),0)&gt;0,T08_Spells!AK$2,"")</f>
        <v/>
      </c>
      <c r="AL216" t="str">
        <f>IF(IFERROR(MATCH($B216,temp!H$4:H$13,0),0)&gt;0,T08_Spells!AL$2,"")</f>
        <v/>
      </c>
      <c r="AM216" t="str">
        <f>IF(IFERROR(MATCH($B216,temp!I$4:I$13,0),0)&gt;0,T08_Spells!AM$2,"")</f>
        <v/>
      </c>
      <c r="AN216" t="str">
        <f>IF(IFERROR(MATCH($B216,temp!J$4:J$13,0),0)&gt;0,T08_Spells!AN$2,"")</f>
        <v/>
      </c>
      <c r="AO216" t="str">
        <f>IF(IFERROR(MATCH($B216,temp!K$4:K$13,0),0)&gt;0,T08_Spells!AO$2,"")</f>
        <v/>
      </c>
      <c r="AP216" t="str">
        <f>IF(IFERROR(MATCH($B216,temp!L$4:L$13,0),0)&gt;0,T08_Spells!AP$2,"")</f>
        <v/>
      </c>
      <c r="AQ216" t="str">
        <f>IF(IFERROR(MATCH($B216,temp!M$4:M$13,0),0)&gt;0,T08_Spells!AQ$2,"")</f>
        <v/>
      </c>
      <c r="AR216" t="str">
        <f>IF(IFERROR(MATCH($B216,temp!N$4:N$13,0),0)&gt;0,T08_Spells!AR$2,"")</f>
        <v/>
      </c>
      <c r="AS216" t="str">
        <f>IF(IFERROR(MATCH($B216,temp!O$4:O$13,0),0)&gt;0,T08_Spells!AS$2,"")</f>
        <v/>
      </c>
      <c r="AT216" t="str">
        <f>IF(IFERROR(MATCH($B216,temp!P$4:P$13,0),0)&gt;0,T08_Spells!AT$2,"")</f>
        <v/>
      </c>
      <c r="AU216" t="str">
        <f>IF(IFERROR(MATCH($B216,temp!Q$4:Q$13,0),0)&gt;0,T08_Spells!AU$2,"")</f>
        <v/>
      </c>
      <c r="AV216" t="str">
        <f>IF(IFERROR(MATCH($B216,temp!R$4:R$13,0),0)&gt;0,T08_Spells!AV$2,"")</f>
        <v/>
      </c>
      <c r="AW216" t="str">
        <f>IF(IFERROR(MATCH($B216,temp!S$4:S$13,0),0)&gt;0,T08_Spells!AW$2,"")</f>
        <v/>
      </c>
      <c r="AX216" t="str">
        <f>IF(IFERROR(MATCH($B216,temp!T$4:T$13,0),0)&gt;0,T08_Spells!AX$2,"")</f>
        <v/>
      </c>
      <c r="AY216" t="str">
        <f>IF(IFERROR(MATCH($B216,temp!U$4:U$13,0),0)&gt;0,T08_Spells!AY$2,"")</f>
        <v/>
      </c>
      <c r="AZ216" t="str">
        <f>IF(IFERROR(MATCH($B216,temp!V$4:V$13,0),0)&gt;0,T08_Spells!AZ$2,"")</f>
        <v/>
      </c>
      <c r="BA216" t="str">
        <f>IF(IFERROR(MATCH($B216,temp!W$4:W$13,0),0)&gt;0,T08_Spells!BA$2,"")</f>
        <v/>
      </c>
      <c r="BC216">
        <f>IF(IFERROR(SEARCH("Ranger",$T216,1),0)&gt;0,1,0)*IF(RangerMaxSpellLevel&gt;=$C216,1,0)*IF(IFERROR(MATCH(B216,Character_Creation!$X$79:$X$382,0),0)&gt;0,0,1)</f>
        <v>0</v>
      </c>
      <c r="BD216">
        <f>IF(BC216=0,0,1+COUNTIF(BD$3:BD215,"&gt;0"))</f>
        <v>0</v>
      </c>
      <c r="BE216" t="str">
        <f t="shared" si="199"/>
        <v/>
      </c>
      <c r="BF216" t="str">
        <f t="shared" si="170"/>
        <v/>
      </c>
      <c r="BH216">
        <f>IF(IFERROR(SEARCH("Sorcerer",$T216,1),0)&gt;0,1,0)*IF(SorcererMaxSpellLevel&gt;=$C216,1,0)*IF(IFERROR(MATCH(B216,Character_Creation!$J$380:$J$394,0),0)&gt;0,0,1)</f>
        <v>0</v>
      </c>
      <c r="BI216">
        <f>IF(BH216=0,0,1+COUNTIF(BI$3:BI215,"&gt;0"))</f>
        <v>0</v>
      </c>
      <c r="BJ216" t="str">
        <f t="shared" si="200"/>
        <v/>
      </c>
      <c r="BK216" t="str">
        <f t="shared" si="171"/>
        <v/>
      </c>
      <c r="BM216">
        <f>IF(OR(IFERROR(SEARCH("Warlock",$T216,1),0)&gt;0,IFERROR(SEARCH(WarlockPatron,$T216,1),0)&gt;0),1,0)*IF(WarlockMaxSpellLevel&gt;=$C216,1,0)*IF(IFERROR(MATCH(B216,Character_Creation!$J$361:$J$375,0),0)&gt;0,0,1)</f>
        <v>0</v>
      </c>
      <c r="BN216">
        <f>IF(BM216=0,0,1+COUNTIF(BN$3:BN215,"&gt;0"))</f>
        <v>0</v>
      </c>
      <c r="BO216" t="str">
        <f t="shared" si="201"/>
        <v/>
      </c>
      <c r="BP216" t="str">
        <f t="shared" si="172"/>
        <v/>
      </c>
      <c r="BR216">
        <f>IF(IFERROR(SEARCH("Eldritch Knight",$T216,1),0)&gt;0,1,0)*IF(EldritchKnightMaxSpellLevel&gt;=$C216,1,0)*IF(IFERROR(MATCH($B216,Character_Creation!$J$350:$J$356,0),0)&gt;0,0,1)*IF(Character_Creation!$M$338&gt;0,1,0)</f>
        <v>0</v>
      </c>
      <c r="BS216">
        <f>IF(BR216=0,0,1+COUNTIF(BS$3:BS215,"&gt;0"))</f>
        <v>0</v>
      </c>
      <c r="BT216" t="str">
        <f t="shared" si="202"/>
        <v/>
      </c>
      <c r="BU216" t="str">
        <f t="shared" si="173"/>
        <v/>
      </c>
      <c r="BW216">
        <f>IF(IFERROR(SEARCH("Arcane Trickster",$T216,1),0)&gt;0,1,0)*IF(ArcaneTricksterMaxSpellLevel&gt;=$C216,1,0)*IF(IFERROR(MATCH($B216,Character_Creation!$J$350:$J$356,0),0)&gt;0,0,1)*IF(Character_Creation!$T$338&gt;0,1,0)</f>
        <v>0</v>
      </c>
      <c r="BX216">
        <f>IF(BW216=0,0,1+COUNTIF(BX$3:BX215,"&gt;0"))</f>
        <v>0</v>
      </c>
      <c r="BY216" t="str">
        <f t="shared" si="203"/>
        <v/>
      </c>
      <c r="BZ216" t="str">
        <f t="shared" si="174"/>
        <v/>
      </c>
      <c r="CB216">
        <f>IF(IFERROR(SEARCH("Wizard",$T216,1),0)&gt;0,1,0)*IF(C216&lt;=ArcaneTricksterMaxSpellLevel,1,0)*IF(IFERROR(MATCH($B216,Character_Creation!$J$350:$J$356,0),0)&gt;0,0,1)*IF(Character_Creation!$T$350&gt;0,1,0)</f>
        <v>0</v>
      </c>
      <c r="CC216">
        <f>IF(CB216=0,0,1+COUNTIF(CC$3:CC215,"&gt;0"))</f>
        <v>0</v>
      </c>
      <c r="CD216" t="str">
        <f t="shared" si="204"/>
        <v/>
      </c>
      <c r="CE216" t="str">
        <f t="shared" si="175"/>
        <v/>
      </c>
      <c r="CG216">
        <f>IF(IFERROR(SEARCH("Wizard",$T216,1),0)&gt;0,1,0)*IF($C216&lt;=EldritchKnightMaxSpellLevel,1,0)*IF(IFERROR(MATCH($B216,Character_Creation!$J$350:$J$356,0),0)&gt;0,0,1)*IF(Character_Creation!$M$350&gt;0,1,0)</f>
        <v>1</v>
      </c>
      <c r="CH216">
        <f>IF(CG216=0,0,1+COUNTIF(CH$3:CH215,"&gt;0"))</f>
        <v>39</v>
      </c>
      <c r="CI216" t="str">
        <f t="shared" si="205"/>
        <v/>
      </c>
      <c r="CJ216" t="str">
        <f t="shared" si="176"/>
        <v/>
      </c>
      <c r="CL216">
        <f>IF(IFERROR(SEARCH("Bard",$T216,1),0)&gt;0,1,0)*IF(BardMaxSpellLevel&gt;=$C216,1,0)*IF(IFERROR(MATCH(B216,Character_Creation!$C$341:$F$362,0),0)&gt;0,0,1)*IF(IFERROR(MATCH($B216,Character_Creation!$C$341:$C$362,0),0)&gt;0,0,1)</f>
        <v>0</v>
      </c>
      <c r="CM216">
        <f>IF(CL216=0,0,1+COUNTIF(CM$3:CM215,"&gt;0"))</f>
        <v>0</v>
      </c>
      <c r="CN216" t="str">
        <f t="shared" si="206"/>
        <v/>
      </c>
      <c r="CO216" t="str">
        <f t="shared" si="177"/>
        <v/>
      </c>
      <c r="CQ216">
        <f>IF(IFERROR(SEARCH("Wizard",$T216,1),0)&gt;0,1,0)*IF(WizardMaxSpellLevel&gt;=$C216,1,0)*IF(IFERROR(MATCH(B216,Character_Creation!$X$341:$X$400,0),0)&gt;0,0,1)*IF(SelectedWizardSpellLevel=$C216,1,0)</f>
        <v>0</v>
      </c>
      <c r="CR216">
        <f>IF(CQ216=0,0,1+COUNTIF(CR$3:CR215,"&gt;0"))</f>
        <v>0</v>
      </c>
      <c r="CS216" t="str">
        <f t="shared" si="207"/>
        <v/>
      </c>
      <c r="CT216" t="str">
        <f t="shared" si="178"/>
        <v/>
      </c>
      <c r="CV216">
        <f>IF(IFERROR(MATCH($B216,Character_Creation!$C$341:$C$362,0),0)&gt;0,0,1)*IF(OR(C216="Cantrip",C216&lt;=BardMaxSpellLevel),1,0)*IF(IFERROR(MATCH($B216,Character_Creation!$C$367:$C$374,0),0)&gt;0,0,1)</f>
        <v>0</v>
      </c>
      <c r="CW216">
        <f>IF(CV216=0,0,1+COUNTIF(CW$3:CW215,"&gt;0"))</f>
        <v>0</v>
      </c>
      <c r="CX216" t="str">
        <f t="shared" si="208"/>
        <v/>
      </c>
      <c r="CY216" t="str">
        <f t="shared" si="179"/>
        <v/>
      </c>
      <c r="DA216">
        <f>IF(IF(OR(IFERROR(SEARCH("Cleric",$T216,1),0)&gt;0,IFERROR(SEARCH(DivineDomain&amp;",",$T216,1),0)&gt;0),1,0)*IF($C216=DA$2,1,0)=1,1+COUNTIF(DA$3:DA215,"&gt;0"),0)</f>
        <v>0</v>
      </c>
      <c r="DB216">
        <f>IF(IF(OR(IFERROR(SEARCH("Cleric",$T216,1),0)&gt;0,IFERROR(SEARCH(DivineDomain&amp;",",$T216,1),0)&gt;0),1,0)*IF($C216=DB$2,1,0)=1,1+COUNTIF(DB$3:DB215,"&gt;0"),0)</f>
        <v>0</v>
      </c>
      <c r="DC216">
        <f>IF(IF(OR(IFERROR(SEARCH("Cleric",$T216,1),0)&gt;0,IFERROR(SEARCH(DivineDomain&amp;",",$T216,1),0)&gt;0),1,0)*IF($C216=DC$2,1,0)=1,1+COUNTIF(DC$3:DC215,"&gt;0"),0)</f>
        <v>0</v>
      </c>
      <c r="DD216">
        <f>IF(IF(OR(IFERROR(SEARCH("Cleric",$T216,1),0)&gt;0,IFERROR(SEARCH(DivineDomain&amp;",",$T216,1),0)&gt;0),1,0)*IF($C216=DD$2,1,0)=1,1+COUNTIF(DD$3:DD215,"&gt;0"),0)</f>
        <v>0</v>
      </c>
      <c r="DE216">
        <f>IF(IF(OR(IFERROR(SEARCH("Cleric",$T216,1),0)&gt;0,IFERROR(SEARCH(DivineDomain&amp;",",$T216,1),0)&gt;0),1,0)*IF($C216=DE$2,1,0)=1,1+COUNTIF(DE$3:DE215,"&gt;0"),0)</f>
        <v>0</v>
      </c>
      <c r="DF216">
        <f>IF(IF(OR(IFERROR(SEARCH("Cleric",$T216,1),0)&gt;0,IFERROR(SEARCH(DivineDomain&amp;",",$T216,1),0)&gt;0),1,0)*IF($C216=DF$2,1,0)=1,1+COUNTIF(DF$3:DF215,"&gt;0"),0)</f>
        <v>0</v>
      </c>
      <c r="DG216">
        <f>IF(IF(OR(IFERROR(SEARCH("Cleric",$T216,1),0)&gt;0,IFERROR(SEARCH(DivineDomain&amp;",",$T216,1),0)&gt;0),1,0)*IF($C216=DG$2,1,0)=1,1+COUNTIF(DG$3:DG215,"&gt;0"),0)</f>
        <v>0</v>
      </c>
      <c r="DH216">
        <f>IF(IF(OR(IFERROR(SEARCH("Cleric",$T216,1),0)&gt;0,IFERROR(SEARCH(DivineDomain&amp;",",$T216,1),0)&gt;0),1,0)*IF($C216=DH$2,1,0)=1,1+COUNTIF(DH$3:DH215,"&gt;0"),0)</f>
        <v>0</v>
      </c>
      <c r="DI216">
        <f>IF(IF(OR(IFERROR(SEARCH("Cleric",$T216,1),0)&gt;0,IFERROR(SEARCH(DivineDomain&amp;",",$T216,1),0)&gt;0),1,0)*IF($C216=DI$2,1,0)=1,1+COUNTIF(DI$3:DI215,"&gt;0"),0)</f>
        <v>0</v>
      </c>
      <c r="DJ216">
        <f>IF(IF(OR(IFERROR(SEARCH("Druid",$T216,1),0)&gt;0,IFERROR(SEARCH(DruidLand1,$T216,1),0)&gt;0,IFERROR(SEARCH(DruidLand2,$T216,1),0)&gt;0,IFERROR(SEARCH(DruidLand3,$T216,1),0)&gt;0,IFERROR(SEARCH(DruidLand4,$T216,1),0)&gt;0),1,0)*IF($C216=1,1,0)*IF($C216=DJ$2,1,0)=0,0,1+COUNTIF(DJ$3:DJ215,"&gt;0"))</f>
        <v>0</v>
      </c>
      <c r="DK216">
        <f>IF(IF(OR(IFERROR(SEARCH("Druid",$T216,1),0)&gt;0,IFERROR(SEARCH(DruidLand1,$T216,1),0)&gt;0,IFERROR(SEARCH(DruidLand2,$T216,1),0)&gt;0,IFERROR(SEARCH(DruidLand3,$T216,1),0)&gt;0,IFERROR(SEARCH(DruidLand4,$T216,1),0)&gt;0),1,0)*IF($C216=1,1,0)*IF($C216=DK$2,1,0)=0,0,1+COUNTIF(DK$3:DK215,"&gt;0"))</f>
        <v>0</v>
      </c>
      <c r="DL216">
        <f>IF(IF(OR(IFERROR(SEARCH("Druid",$T216,1),0)&gt;0,IFERROR(SEARCH(DruidLand1,$T216,1),0)&gt;0,IFERROR(SEARCH(DruidLand2,$T216,1),0)&gt;0,IFERROR(SEARCH(DruidLand3,$T216,1),0)&gt;0,IFERROR(SEARCH(DruidLand4,$T216,1),0)&gt;0),1,0)*IF($C216=1,1,0)*IF($C216=DL$2,1,0)=0,0,1+COUNTIF(DL$3:DL215,"&gt;0"))</f>
        <v>0</v>
      </c>
      <c r="DM216">
        <f>IF(IF(OR(IFERROR(SEARCH("Druid",$T216,1),0)&gt;0,IFERROR(SEARCH(DruidLand1,$T216,1),0)&gt;0,IFERROR(SEARCH(DruidLand2,$T216,1),0)&gt;0,IFERROR(SEARCH(DruidLand3,$T216,1),0)&gt;0,IFERROR(SEARCH(DruidLand4,$T216,1),0)&gt;0),1,0)*IF($C216=1,1,0)*IF($C216=DM$2,1,0)=0,0,1+COUNTIF(DM$3:DM215,"&gt;0"))</f>
        <v>0</v>
      </c>
      <c r="DN216">
        <f>IF(IF(OR(IFERROR(SEARCH("Druid",$T216,1),0)&gt;0,IFERROR(SEARCH(DruidLand1,$T216,1),0)&gt;0,IFERROR(SEARCH(DruidLand2,$T216,1),0)&gt;0,IFERROR(SEARCH(DruidLand3,$T216,1),0)&gt;0,IFERROR(SEARCH(DruidLand4,$T216,1),0)&gt;0),1,0)*IF($C216=1,1,0)*IF($C216=DN$2,1,0)=0,0,1+COUNTIF(DN$3:DN215,"&gt;0"))</f>
        <v>0</v>
      </c>
      <c r="DO216">
        <f>IF(IF(OR(IFERROR(SEARCH("Druid",$T216,1),0)&gt;0,IFERROR(SEARCH(DruidLand1,$T216,1),0)&gt;0,IFERROR(SEARCH(DruidLand2,$T216,1),0)&gt;0,IFERROR(SEARCH(DruidLand3,$T216,1),0)&gt;0,IFERROR(SEARCH(DruidLand4,$T216,1),0)&gt;0),1,0)*IF($C216=1,1,0)*IF($C216=DO$2,1,0)=0,0,1+COUNTIF(DO$3:DO215,"&gt;0"))</f>
        <v>0</v>
      </c>
      <c r="DP216">
        <f>IF(IF(OR(IFERROR(SEARCH("Druid",$T216,1),0)&gt;0,IFERROR(SEARCH(DruidLand1,$T216,1),0)&gt;0,IFERROR(SEARCH(DruidLand2,$T216,1),0)&gt;0,IFERROR(SEARCH(DruidLand3,$T216,1),0)&gt;0,IFERROR(SEARCH(DruidLand4,$T216,1),0)&gt;0),1,0)*IF($C216=1,1,0)*IF($C216=DP$2,1,0)=0,0,1+COUNTIF(DP$3:DP215,"&gt;0"))</f>
        <v>0</v>
      </c>
      <c r="DQ216">
        <f>IF(IF(OR(IFERROR(SEARCH("Druid",$T216,1),0)&gt;0,IFERROR(SEARCH(DruidLand1,$T216,1),0)&gt;0,IFERROR(SEARCH(DruidLand2,$T216,1),0)&gt;0,IFERROR(SEARCH(DruidLand3,$T216,1),0)&gt;0,IFERROR(SEARCH(DruidLand4,$T216,1),0)&gt;0),1,0)*IF($C216=1,1,0)*IF($C216=DQ$2,1,0)=0,0,1+COUNTIF(DQ$3:DQ215,"&gt;0"))</f>
        <v>0</v>
      </c>
      <c r="DR216">
        <f>IF(IF(OR(IFERROR(SEARCH("Druid",$T216,1),0)&gt;0,IFERROR(SEARCH(DruidLand1,$T216,1),0)&gt;0,IFERROR(SEARCH(DruidLand2,$T216,1),0)&gt;0,IFERROR(SEARCH(DruidLand3,$T216,1),0)&gt;0,IFERROR(SEARCH(DruidLand4,$T216,1),0)&gt;0),1,0)*IF($C216=1,1,0)*IF($C216=DR$2,1,0)=0,0,1+COUNTIF(DR$3:DR215,"&gt;0"))</f>
        <v>0</v>
      </c>
      <c r="DS216">
        <f>IF(IF(OR(IFERROR(SEARCH("Paladin",$T216,1),0)&gt;0,IFERROR(SEARCH(PaladinOath,$T216,1),0)&gt;0),1,0)*IF($C216=DS$2,1,0)=1,1+COUNTIF(DS$3:DS215,"&gt;0"),0)</f>
        <v>0</v>
      </c>
      <c r="DT216">
        <f>IF(IF(OR(IFERROR(SEARCH("Paladin",$T216,1),0)&gt;0,IFERROR(SEARCH(PaladinOath,$T216,1),0)&gt;0),1,0)*IF($C216=DT$2,1,0)=1,1+COUNTIF(DT$3:DT215,"&gt;0"),0)</f>
        <v>0</v>
      </c>
      <c r="DU216">
        <f>IF(IF(OR(IFERROR(SEARCH("Paladin",$T216,1),0)&gt;0,IFERROR(SEARCH(PaladinOath,$T216,1),0)&gt;0),1,0)*IF($C216=DU$2,1,0)=1,1+COUNTIF(DU$3:DU215,"&gt;0"),0)</f>
        <v>0</v>
      </c>
      <c r="DV216">
        <f>IF(IF(OR(IFERROR(SEARCH("Paladin",$T216,1),0)&gt;0,IFERROR(SEARCH(PaladinOath,$T216,1),0)&gt;0),1,0)*IF($C216=DV$2,1,0)=1,1+COUNTIF(DV$3:DV215,"&gt;0"),0)</f>
        <v>0</v>
      </c>
      <c r="DW216">
        <f>IF(IF(OR(IFERROR(SEARCH("Paladin",$T216,1),0)&gt;0,IFERROR(SEARCH(PaladinOath,$T216,1),0)&gt;0),1,0)*IF($C216=DW$2,1,0)=1,1+COUNTIF(DW$3:DW215,"&gt;0"),0)</f>
        <v>0</v>
      </c>
      <c r="DY216">
        <f t="shared" si="166"/>
        <v>1</v>
      </c>
      <c r="DZ216">
        <f>IF(DY216=0,0,1+MAX(DZ$3:$DZ215))</f>
        <v>214</v>
      </c>
      <c r="EB216">
        <f t="shared" si="180"/>
        <v>0</v>
      </c>
      <c r="EC216">
        <f>IF(EB216=0,0,1+COUNTIF(EC$3:EC215,"&gt;0"))</f>
        <v>0</v>
      </c>
      <c r="ED216" t="str">
        <f t="shared" si="209"/>
        <v/>
      </c>
      <c r="EE216" t="str">
        <f t="shared" si="181"/>
        <v/>
      </c>
      <c r="EG216">
        <f t="shared" si="182"/>
        <v>0</v>
      </c>
      <c r="EH216">
        <f>IF(EG216=0,0,1+COUNTIF(EH$3:EH215,"&gt;0"))</f>
        <v>0</v>
      </c>
      <c r="EI216" t="str">
        <f t="shared" si="210"/>
        <v/>
      </c>
      <c r="EJ216" t="str">
        <f t="shared" si="183"/>
        <v/>
      </c>
      <c r="EL216">
        <f t="shared" si="184"/>
        <v>0</v>
      </c>
      <c r="EM216">
        <f>IF(EL216=0,0,1+COUNTIF(EM$3:EM215,"&gt;0"))</f>
        <v>0</v>
      </c>
      <c r="EN216" t="str">
        <f t="shared" si="211"/>
        <v/>
      </c>
      <c r="EO216" t="str">
        <f t="shared" si="185"/>
        <v/>
      </c>
      <c r="EQ216">
        <f t="shared" si="186"/>
        <v>0</v>
      </c>
      <c r="ER216">
        <f>IF(EQ216=0,0,1+COUNTIF(ER$3:ER215,"&gt;0"))</f>
        <v>0</v>
      </c>
      <c r="ES216" t="str">
        <f t="shared" si="212"/>
        <v/>
      </c>
      <c r="ET216" t="str">
        <f t="shared" si="187"/>
        <v/>
      </c>
      <c r="EV216">
        <f t="shared" si="188"/>
        <v>0</v>
      </c>
      <c r="EW216">
        <f>IF(EV216=0,0,1+COUNTIF(EW$3:EW215,"&gt;0"))</f>
        <v>0</v>
      </c>
      <c r="EX216" t="str">
        <f t="shared" si="213"/>
        <v/>
      </c>
      <c r="EY216" t="str">
        <f t="shared" si="189"/>
        <v/>
      </c>
      <c r="FA216">
        <f t="shared" si="190"/>
        <v>0</v>
      </c>
      <c r="FB216">
        <f>IF(FA216=0,0,1+COUNTIF(FB$3:FB215,"&gt;0"))</f>
        <v>0</v>
      </c>
      <c r="FC216" t="str">
        <f t="shared" si="214"/>
        <v/>
      </c>
      <c r="FD216" t="str">
        <f t="shared" si="191"/>
        <v/>
      </c>
      <c r="FF216">
        <f t="shared" si="192"/>
        <v>0</v>
      </c>
      <c r="FG216">
        <f>IF(FF216=0,0,1+COUNTIF(FG$3:FG215,"&gt;0"))</f>
        <v>0</v>
      </c>
      <c r="FH216" t="str">
        <f t="shared" si="215"/>
        <v/>
      </c>
      <c r="FI216" t="str">
        <f t="shared" si="193"/>
        <v/>
      </c>
      <c r="FK216">
        <f t="shared" si="194"/>
        <v>0</v>
      </c>
      <c r="FL216">
        <f>IF(FK216=0,0,1+COUNTIF(FL$3:FL215,"&gt;0"))</f>
        <v>0</v>
      </c>
      <c r="FM216" t="str">
        <f t="shared" si="216"/>
        <v/>
      </c>
      <c r="FN216" t="str">
        <f t="shared" si="195"/>
        <v/>
      </c>
      <c r="FP216">
        <f t="shared" si="196"/>
        <v>0</v>
      </c>
      <c r="FQ216">
        <f>IF(FP216=0,0,1+COUNTIF(FQ$3:FQ215,"&gt;0"))</f>
        <v>0</v>
      </c>
      <c r="FR216" t="str">
        <f t="shared" si="217"/>
        <v/>
      </c>
      <c r="FS216" t="str">
        <f t="shared" si="197"/>
        <v/>
      </c>
    </row>
    <row r="217" spans="1:175" x14ac:dyDescent="0.25">
      <c r="A217" s="347">
        <f t="shared" si="219"/>
        <v>215</v>
      </c>
      <c r="B217" s="348" t="s">
        <v>2597</v>
      </c>
      <c r="C217" s="348">
        <v>2</v>
      </c>
      <c r="D217" s="347">
        <v>2</v>
      </c>
      <c r="E217" s="627" t="s">
        <v>6952</v>
      </c>
      <c r="F217" s="346"/>
      <c r="G217" s="347" t="s">
        <v>5269</v>
      </c>
      <c r="H217" s="347" t="s">
        <v>5281</v>
      </c>
      <c r="I217" s="347" t="s">
        <v>5060</v>
      </c>
      <c r="J217" s="347" t="str">
        <f t="shared" si="167"/>
        <v/>
      </c>
      <c r="K217" s="347" t="s">
        <v>5299</v>
      </c>
      <c r="L217" s="611" t="str">
        <f t="shared" si="168"/>
        <v>V, S, M, a small bit of honeycomb and jade dust worth at least 10 gp, which the spell consumes</v>
      </c>
      <c r="M217" s="347" t="s">
        <v>2373</v>
      </c>
      <c r="N217" s="347" t="s">
        <v>2387</v>
      </c>
      <c r="O217" s="347" t="s">
        <v>1244</v>
      </c>
      <c r="P217" s="346" t="s">
        <v>5425</v>
      </c>
      <c r="Q217" s="347" t="s">
        <v>5274</v>
      </c>
      <c r="S217" s="346" t="s">
        <v>5760</v>
      </c>
      <c r="T217" s="346" t="str">
        <f t="shared" si="169"/>
        <v xml:space="preserve">Bard, Arcane Trickster, Wizard, </v>
      </c>
      <c r="U217" s="347" t="str">
        <f>$B217</f>
        <v>Magic Mouth</v>
      </c>
      <c r="AC217" s="539" t="str">
        <f>B217</f>
        <v>Magic Mouth</v>
      </c>
      <c r="AD217" s="347" t="str">
        <f t="shared" si="220"/>
        <v>Magic Mouth</v>
      </c>
      <c r="AE217" t="str">
        <f>IF(IFERROR(MATCH($B217,temp!A$4:A$13,0),0)&gt;0,T08_Spells!AE$2,"")</f>
        <v/>
      </c>
      <c r="AF217" t="str">
        <f>IF(IFERROR(MATCH($B217,temp!B$4:B$13,0),0)&gt;0,T08_Spells!AF$2,"")</f>
        <v/>
      </c>
      <c r="AG217" t="str">
        <f>IF(IFERROR(MATCH($B217,temp!C$4:C$13,0),0)&gt;0,T08_Spells!AG$2,"")</f>
        <v/>
      </c>
      <c r="AH217" t="str">
        <f>IF(IFERROR(MATCH($B217,temp!D$4:D$13,0),0)&gt;0,T08_Spells!AH$2,"")</f>
        <v/>
      </c>
      <c r="AI217" t="str">
        <f>IF(IFERROR(MATCH($B217,temp!E$4:E$13,0),0)&gt;0,T08_Spells!AI$2,"")</f>
        <v/>
      </c>
      <c r="AJ217" t="str">
        <f>IF(IFERROR(MATCH($B217,temp!F$4:F$13,0),0)&gt;0,T08_Spells!AJ$2,"")</f>
        <v/>
      </c>
      <c r="AK217" t="str">
        <f>IF(IFERROR(MATCH($B217,temp!G$4:G$13,0),0)&gt;0,T08_Spells!AK$2,"")</f>
        <v/>
      </c>
      <c r="AL217" t="str">
        <f>IF(IFERROR(MATCH($B217,temp!H$4:H$13,0),0)&gt;0,T08_Spells!AL$2,"")</f>
        <v/>
      </c>
      <c r="AM217" t="str">
        <f>IF(IFERROR(MATCH($B217,temp!I$4:I$13,0),0)&gt;0,T08_Spells!AM$2,"")</f>
        <v/>
      </c>
      <c r="AN217" t="str">
        <f>IF(IFERROR(MATCH($B217,temp!J$4:J$13,0),0)&gt;0,T08_Spells!AN$2,"")</f>
        <v/>
      </c>
      <c r="AO217" t="str">
        <f>IF(IFERROR(MATCH($B217,temp!K$4:K$13,0),0)&gt;0,T08_Spells!AO$2,"")</f>
        <v/>
      </c>
      <c r="AP217" t="str">
        <f>IF(IFERROR(MATCH($B217,temp!L$4:L$13,0),0)&gt;0,T08_Spells!AP$2,"")</f>
        <v/>
      </c>
      <c r="AQ217" t="str">
        <f>IF(IFERROR(MATCH($B217,temp!M$4:M$13,0),0)&gt;0,T08_Spells!AQ$2,"")</f>
        <v/>
      </c>
      <c r="AR217" t="str">
        <f>IF(IFERROR(MATCH($B217,temp!N$4:N$13,0),0)&gt;0,T08_Spells!AR$2,"")</f>
        <v/>
      </c>
      <c r="AS217" t="str">
        <f>IF(IFERROR(MATCH($B217,temp!O$4:O$13,0),0)&gt;0,T08_Spells!AS$2,"")</f>
        <v/>
      </c>
      <c r="AT217" t="str">
        <f>IF(IFERROR(MATCH($B217,temp!P$4:P$13,0),0)&gt;0,T08_Spells!AT$2,"")</f>
        <v/>
      </c>
      <c r="AU217" t="str">
        <f>IF(IFERROR(MATCH($B217,temp!Q$4:Q$13,0),0)&gt;0,T08_Spells!AU$2,"")</f>
        <v/>
      </c>
      <c r="AV217" t="str">
        <f>IF(IFERROR(MATCH($B217,temp!R$4:R$13,0),0)&gt;0,T08_Spells!AV$2,"")</f>
        <v/>
      </c>
      <c r="AW217" t="str">
        <f>IF(IFERROR(MATCH($B217,temp!S$4:S$13,0),0)&gt;0,T08_Spells!AW$2,"")</f>
        <v/>
      </c>
      <c r="AX217" t="str">
        <f>IF(IFERROR(MATCH($B217,temp!T$4:T$13,0),0)&gt;0,T08_Spells!AX$2,"")</f>
        <v/>
      </c>
      <c r="AY217" t="str">
        <f>IF(IFERROR(MATCH($B217,temp!U$4:U$13,0),0)&gt;0,T08_Spells!AY$2,"")</f>
        <v/>
      </c>
      <c r="AZ217" t="str">
        <f>IF(IFERROR(MATCH($B217,temp!V$4:V$13,0),0)&gt;0,T08_Spells!AZ$2,"")</f>
        <v/>
      </c>
      <c r="BA217" t="str">
        <f>IF(IFERROR(MATCH($B217,temp!W$4:W$13,0),0)&gt;0,T08_Spells!BA$2,"")</f>
        <v/>
      </c>
      <c r="BC217">
        <f>IF(IFERROR(SEARCH("Ranger",$T217,1),0)&gt;0,1,0)*IF(RangerMaxSpellLevel&gt;=$C217,1,0)*IF(IFERROR(MATCH(B217,Character_Creation!$X$79:$X$382,0),0)&gt;0,0,1)</f>
        <v>0</v>
      </c>
      <c r="BD217">
        <f>IF(BC217=0,0,1+COUNTIF(BD$3:BD216,"&gt;0"))</f>
        <v>0</v>
      </c>
      <c r="BE217" t="str">
        <f t="shared" si="199"/>
        <v/>
      </c>
      <c r="BF217" t="str">
        <f t="shared" si="170"/>
        <v/>
      </c>
      <c r="BH217">
        <f>IF(IFERROR(SEARCH("Sorcerer",$T217,1),0)&gt;0,1,0)*IF(SorcererMaxSpellLevel&gt;=$C217,1,0)*IF(IFERROR(MATCH(B217,Character_Creation!$J$380:$J$394,0),0)&gt;0,0,1)</f>
        <v>0</v>
      </c>
      <c r="BI217">
        <f>IF(BH217=0,0,1+COUNTIF(BI$3:BI216,"&gt;0"))</f>
        <v>0</v>
      </c>
      <c r="BJ217" t="str">
        <f t="shared" si="200"/>
        <v/>
      </c>
      <c r="BK217" t="str">
        <f t="shared" si="171"/>
        <v/>
      </c>
      <c r="BM217">
        <f>IF(OR(IFERROR(SEARCH("Warlock",$T217,1),0)&gt;0,IFERROR(SEARCH(WarlockPatron,$T217,1),0)&gt;0),1,0)*IF(WarlockMaxSpellLevel&gt;=$C217,1,0)*IF(IFERROR(MATCH(B217,Character_Creation!$J$361:$J$375,0),0)&gt;0,0,1)</f>
        <v>0</v>
      </c>
      <c r="BN217">
        <f>IF(BM217=0,0,1+COUNTIF(BN$3:BN216,"&gt;0"))</f>
        <v>0</v>
      </c>
      <c r="BO217" t="str">
        <f t="shared" si="201"/>
        <v/>
      </c>
      <c r="BP217" t="str">
        <f t="shared" si="172"/>
        <v/>
      </c>
      <c r="BR217">
        <f>IF(IFERROR(SEARCH("Eldritch Knight",$T217,1),0)&gt;0,1,0)*IF(EldritchKnightMaxSpellLevel&gt;=$C217,1,0)*IF(IFERROR(MATCH($B217,Character_Creation!$J$350:$J$356,0),0)&gt;0,0,1)*IF(Character_Creation!$M$338&gt;0,1,0)</f>
        <v>0</v>
      </c>
      <c r="BS217">
        <f>IF(BR217=0,0,1+COUNTIF(BS$3:BS216,"&gt;0"))</f>
        <v>0</v>
      </c>
      <c r="BT217" t="str">
        <f t="shared" si="202"/>
        <v/>
      </c>
      <c r="BU217" t="str">
        <f t="shared" si="173"/>
        <v/>
      </c>
      <c r="BW217">
        <f>IF(IFERROR(SEARCH("Arcane Trickster",$T217,1),0)&gt;0,1,0)*IF(ArcaneTricksterMaxSpellLevel&gt;=$C217,1,0)*IF(IFERROR(MATCH($B217,Character_Creation!$J$350:$J$356,0),0)&gt;0,0,1)*IF(Character_Creation!$T$338&gt;0,1,0)</f>
        <v>0</v>
      </c>
      <c r="BX217">
        <f>IF(BW217=0,0,1+COUNTIF(BX$3:BX216,"&gt;0"))</f>
        <v>0</v>
      </c>
      <c r="BY217" t="str">
        <f t="shared" si="203"/>
        <v/>
      </c>
      <c r="BZ217" t="str">
        <f t="shared" si="174"/>
        <v/>
      </c>
      <c r="CB217">
        <f>IF(IFERROR(SEARCH("Wizard",$T217,1),0)&gt;0,1,0)*IF(C217&lt;=ArcaneTricksterMaxSpellLevel,1,0)*IF(IFERROR(MATCH($B217,Character_Creation!$J$350:$J$356,0),0)&gt;0,0,1)*IF(Character_Creation!$T$350&gt;0,1,0)</f>
        <v>0</v>
      </c>
      <c r="CC217">
        <f>IF(CB217=0,0,1+COUNTIF(CC$3:CC216,"&gt;0"))</f>
        <v>0</v>
      </c>
      <c r="CD217" t="str">
        <f t="shared" si="204"/>
        <v/>
      </c>
      <c r="CE217" t="str">
        <f t="shared" si="175"/>
        <v/>
      </c>
      <c r="CG217">
        <f>IF(IFERROR(SEARCH("Wizard",$T217,1),0)&gt;0,1,0)*IF($C217&lt;=EldritchKnightMaxSpellLevel,1,0)*IF(IFERROR(MATCH($B217,Character_Creation!$J$350:$J$356,0),0)&gt;0,0,1)*IF(Character_Creation!$M$350&gt;0,1,0)</f>
        <v>1</v>
      </c>
      <c r="CH217">
        <f>IF(CG217=0,0,1+COUNTIF(CH$3:CH216,"&gt;0"))</f>
        <v>40</v>
      </c>
      <c r="CI217" t="str">
        <f t="shared" si="205"/>
        <v/>
      </c>
      <c r="CJ217" t="str">
        <f t="shared" si="176"/>
        <v/>
      </c>
      <c r="CL217">
        <f>IF(IFERROR(SEARCH("Bard",$T217,1),0)&gt;0,1,0)*IF(BardMaxSpellLevel&gt;=$C217,1,0)*IF(IFERROR(MATCH(B217,Character_Creation!$C$341:$F$362,0),0)&gt;0,0,1)*IF(IFERROR(MATCH($B217,Character_Creation!$C$341:$C$362,0),0)&gt;0,0,1)</f>
        <v>0</v>
      </c>
      <c r="CM217">
        <f>IF(CL217=0,0,1+COUNTIF(CM$3:CM216,"&gt;0"))</f>
        <v>0</v>
      </c>
      <c r="CN217" t="str">
        <f t="shared" si="206"/>
        <v/>
      </c>
      <c r="CO217" t="str">
        <f t="shared" si="177"/>
        <v/>
      </c>
      <c r="CQ217">
        <f>IF(IFERROR(SEARCH("Wizard",$T217,1),0)&gt;0,1,0)*IF(WizardMaxSpellLevel&gt;=$C217,1,0)*IF(IFERROR(MATCH(B217,Character_Creation!$X$341:$X$400,0),0)&gt;0,0,1)*IF(SelectedWizardSpellLevel=$C217,1,0)</f>
        <v>0</v>
      </c>
      <c r="CR217">
        <f>IF(CQ217=0,0,1+COUNTIF(CR$3:CR216,"&gt;0"))</f>
        <v>0</v>
      </c>
      <c r="CS217" t="str">
        <f t="shared" si="207"/>
        <v/>
      </c>
      <c r="CT217" t="str">
        <f t="shared" si="178"/>
        <v/>
      </c>
      <c r="CV217">
        <f>IF(IFERROR(MATCH($B217,Character_Creation!$C$341:$C$362,0),0)&gt;0,0,1)*IF(OR(C217="Cantrip",C217&lt;=BardMaxSpellLevel),1,0)*IF(IFERROR(MATCH($B217,Character_Creation!$C$367:$C$374,0),0)&gt;0,0,1)</f>
        <v>0</v>
      </c>
      <c r="CW217">
        <f>IF(CV217=0,0,1+COUNTIF(CW$3:CW216,"&gt;0"))</f>
        <v>0</v>
      </c>
      <c r="CX217" t="str">
        <f t="shared" si="208"/>
        <v/>
      </c>
      <c r="CY217" t="str">
        <f t="shared" si="179"/>
        <v/>
      </c>
      <c r="DA217">
        <f>IF(IF(OR(IFERROR(SEARCH("Cleric",$T217,1),0)&gt;0,IFERROR(SEARCH(DivineDomain&amp;",",$T217,1),0)&gt;0),1,0)*IF($C217=DA$2,1,0)=1,1+COUNTIF(DA$3:DA216,"&gt;0"),0)</f>
        <v>0</v>
      </c>
      <c r="DB217">
        <f>IF(IF(OR(IFERROR(SEARCH("Cleric",$T217,1),0)&gt;0,IFERROR(SEARCH(DivineDomain&amp;",",$T217,1),0)&gt;0),1,0)*IF($C217=DB$2,1,0)=1,1+COUNTIF(DB$3:DB216,"&gt;0"),0)</f>
        <v>0</v>
      </c>
      <c r="DC217">
        <f>IF(IF(OR(IFERROR(SEARCH("Cleric",$T217,1),0)&gt;0,IFERROR(SEARCH(DivineDomain&amp;",",$T217,1),0)&gt;0),1,0)*IF($C217=DC$2,1,0)=1,1+COUNTIF(DC$3:DC216,"&gt;0"),0)</f>
        <v>0</v>
      </c>
      <c r="DD217">
        <f>IF(IF(OR(IFERROR(SEARCH("Cleric",$T217,1),0)&gt;0,IFERROR(SEARCH(DivineDomain&amp;",",$T217,1),0)&gt;0),1,0)*IF($C217=DD$2,1,0)=1,1+COUNTIF(DD$3:DD216,"&gt;0"),0)</f>
        <v>0</v>
      </c>
      <c r="DE217">
        <f>IF(IF(OR(IFERROR(SEARCH("Cleric",$T217,1),0)&gt;0,IFERROR(SEARCH(DivineDomain&amp;",",$T217,1),0)&gt;0),1,0)*IF($C217=DE$2,1,0)=1,1+COUNTIF(DE$3:DE216,"&gt;0"),0)</f>
        <v>0</v>
      </c>
      <c r="DF217">
        <f>IF(IF(OR(IFERROR(SEARCH("Cleric",$T217,1),0)&gt;0,IFERROR(SEARCH(DivineDomain&amp;",",$T217,1),0)&gt;0),1,0)*IF($C217=DF$2,1,0)=1,1+COUNTIF(DF$3:DF216,"&gt;0"),0)</f>
        <v>0</v>
      </c>
      <c r="DG217">
        <f>IF(IF(OR(IFERROR(SEARCH("Cleric",$T217,1),0)&gt;0,IFERROR(SEARCH(DivineDomain&amp;",",$T217,1),0)&gt;0),1,0)*IF($C217=DG$2,1,0)=1,1+COUNTIF(DG$3:DG216,"&gt;0"),0)</f>
        <v>0</v>
      </c>
      <c r="DH217">
        <f>IF(IF(OR(IFERROR(SEARCH("Cleric",$T217,1),0)&gt;0,IFERROR(SEARCH(DivineDomain&amp;",",$T217,1),0)&gt;0),1,0)*IF($C217=DH$2,1,0)=1,1+COUNTIF(DH$3:DH216,"&gt;0"),0)</f>
        <v>0</v>
      </c>
      <c r="DI217">
        <f>IF(IF(OR(IFERROR(SEARCH("Cleric",$T217,1),0)&gt;0,IFERROR(SEARCH(DivineDomain&amp;",",$T217,1),0)&gt;0),1,0)*IF($C217=DI$2,1,0)=1,1+COUNTIF(DI$3:DI216,"&gt;0"),0)</f>
        <v>0</v>
      </c>
      <c r="DJ217">
        <f>IF(IF(OR(IFERROR(SEARCH("Druid",$T217,1),0)&gt;0,IFERROR(SEARCH(DruidLand1,$T217,1),0)&gt;0,IFERROR(SEARCH(DruidLand2,$T217,1),0)&gt;0,IFERROR(SEARCH(DruidLand3,$T217,1),0)&gt;0,IFERROR(SEARCH(DruidLand4,$T217,1),0)&gt;0),1,0)*IF($C217=1,1,0)*IF($C217=DJ$2,1,0)=0,0,1+COUNTIF(DJ$3:DJ216,"&gt;0"))</f>
        <v>0</v>
      </c>
      <c r="DK217">
        <f>IF(IF(OR(IFERROR(SEARCH("Druid",$T217,1),0)&gt;0,IFERROR(SEARCH(DruidLand1,$T217,1),0)&gt;0,IFERROR(SEARCH(DruidLand2,$T217,1),0)&gt;0,IFERROR(SEARCH(DruidLand3,$T217,1),0)&gt;0,IFERROR(SEARCH(DruidLand4,$T217,1),0)&gt;0),1,0)*IF($C217=1,1,0)*IF($C217=DK$2,1,0)=0,0,1+COUNTIF(DK$3:DK216,"&gt;0"))</f>
        <v>0</v>
      </c>
      <c r="DL217">
        <f>IF(IF(OR(IFERROR(SEARCH("Druid",$T217,1),0)&gt;0,IFERROR(SEARCH(DruidLand1,$T217,1),0)&gt;0,IFERROR(SEARCH(DruidLand2,$T217,1),0)&gt;0,IFERROR(SEARCH(DruidLand3,$T217,1),0)&gt;0,IFERROR(SEARCH(DruidLand4,$T217,1),0)&gt;0),1,0)*IF($C217=1,1,0)*IF($C217=DL$2,1,0)=0,0,1+COUNTIF(DL$3:DL216,"&gt;0"))</f>
        <v>0</v>
      </c>
      <c r="DM217">
        <f>IF(IF(OR(IFERROR(SEARCH("Druid",$T217,1),0)&gt;0,IFERROR(SEARCH(DruidLand1,$T217,1),0)&gt;0,IFERROR(SEARCH(DruidLand2,$T217,1),0)&gt;0,IFERROR(SEARCH(DruidLand3,$T217,1),0)&gt;0,IFERROR(SEARCH(DruidLand4,$T217,1),0)&gt;0),1,0)*IF($C217=1,1,0)*IF($C217=DM$2,1,0)=0,0,1+COUNTIF(DM$3:DM216,"&gt;0"))</f>
        <v>0</v>
      </c>
      <c r="DN217">
        <f>IF(IF(OR(IFERROR(SEARCH("Druid",$T217,1),0)&gt;0,IFERROR(SEARCH(DruidLand1,$T217,1),0)&gt;0,IFERROR(SEARCH(DruidLand2,$T217,1),0)&gt;0,IFERROR(SEARCH(DruidLand3,$T217,1),0)&gt;0,IFERROR(SEARCH(DruidLand4,$T217,1),0)&gt;0),1,0)*IF($C217=1,1,0)*IF($C217=DN$2,1,0)=0,0,1+COUNTIF(DN$3:DN216,"&gt;0"))</f>
        <v>0</v>
      </c>
      <c r="DO217">
        <f>IF(IF(OR(IFERROR(SEARCH("Druid",$T217,1),0)&gt;0,IFERROR(SEARCH(DruidLand1,$T217,1),0)&gt;0,IFERROR(SEARCH(DruidLand2,$T217,1),0)&gt;0,IFERROR(SEARCH(DruidLand3,$T217,1),0)&gt;0,IFERROR(SEARCH(DruidLand4,$T217,1),0)&gt;0),1,0)*IF($C217=1,1,0)*IF($C217=DO$2,1,0)=0,0,1+COUNTIF(DO$3:DO216,"&gt;0"))</f>
        <v>0</v>
      </c>
      <c r="DP217">
        <f>IF(IF(OR(IFERROR(SEARCH("Druid",$T217,1),0)&gt;0,IFERROR(SEARCH(DruidLand1,$T217,1),0)&gt;0,IFERROR(SEARCH(DruidLand2,$T217,1),0)&gt;0,IFERROR(SEARCH(DruidLand3,$T217,1),0)&gt;0,IFERROR(SEARCH(DruidLand4,$T217,1),0)&gt;0),1,0)*IF($C217=1,1,0)*IF($C217=DP$2,1,0)=0,0,1+COUNTIF(DP$3:DP216,"&gt;0"))</f>
        <v>0</v>
      </c>
      <c r="DQ217">
        <f>IF(IF(OR(IFERROR(SEARCH("Druid",$T217,1),0)&gt;0,IFERROR(SEARCH(DruidLand1,$T217,1),0)&gt;0,IFERROR(SEARCH(DruidLand2,$T217,1),0)&gt;0,IFERROR(SEARCH(DruidLand3,$T217,1),0)&gt;0,IFERROR(SEARCH(DruidLand4,$T217,1),0)&gt;0),1,0)*IF($C217=1,1,0)*IF($C217=DQ$2,1,0)=0,0,1+COUNTIF(DQ$3:DQ216,"&gt;0"))</f>
        <v>0</v>
      </c>
      <c r="DR217">
        <f>IF(IF(OR(IFERROR(SEARCH("Druid",$T217,1),0)&gt;0,IFERROR(SEARCH(DruidLand1,$T217,1),0)&gt;0,IFERROR(SEARCH(DruidLand2,$T217,1),0)&gt;0,IFERROR(SEARCH(DruidLand3,$T217,1),0)&gt;0,IFERROR(SEARCH(DruidLand4,$T217,1),0)&gt;0),1,0)*IF($C217=1,1,0)*IF($C217=DR$2,1,0)=0,0,1+COUNTIF(DR$3:DR216,"&gt;0"))</f>
        <v>0</v>
      </c>
      <c r="DS217">
        <f>IF(IF(OR(IFERROR(SEARCH("Paladin",$T217,1),0)&gt;0,IFERROR(SEARCH(PaladinOath,$T217,1),0)&gt;0),1,0)*IF($C217=DS$2,1,0)=1,1+COUNTIF(DS$3:DS216,"&gt;0"),0)</f>
        <v>0</v>
      </c>
      <c r="DT217">
        <f>IF(IF(OR(IFERROR(SEARCH("Paladin",$T217,1),0)&gt;0,IFERROR(SEARCH(PaladinOath,$T217,1),0)&gt;0),1,0)*IF($C217=DT$2,1,0)=1,1+COUNTIF(DT$3:DT216,"&gt;0"),0)</f>
        <v>0</v>
      </c>
      <c r="DU217">
        <f>IF(IF(OR(IFERROR(SEARCH("Paladin",$T217,1),0)&gt;0,IFERROR(SEARCH(PaladinOath,$T217,1),0)&gt;0),1,0)*IF($C217=DU$2,1,0)=1,1+COUNTIF(DU$3:DU216,"&gt;0"),0)</f>
        <v>0</v>
      </c>
      <c r="DV217">
        <f>IF(IF(OR(IFERROR(SEARCH("Paladin",$T217,1),0)&gt;0,IFERROR(SEARCH(PaladinOath,$T217,1),0)&gt;0),1,0)*IF($C217=DV$2,1,0)=1,1+COUNTIF(DV$3:DV216,"&gt;0"),0)</f>
        <v>0</v>
      </c>
      <c r="DW217">
        <f>IF(IF(OR(IFERROR(SEARCH("Paladin",$T217,1),0)&gt;0,IFERROR(SEARCH(PaladinOath,$T217,1),0)&gt;0),1,0)*IF($C217=DW$2,1,0)=1,1+COUNTIF(DW$3:DW216,"&gt;0"),0)</f>
        <v>0</v>
      </c>
      <c r="DY217">
        <f t="shared" si="166"/>
        <v>1</v>
      </c>
      <c r="DZ217">
        <f>IF(DY217=0,0,1+MAX(DZ$3:$DZ216))</f>
        <v>215</v>
      </c>
      <c r="EB217">
        <f t="shared" si="180"/>
        <v>0</v>
      </c>
      <c r="EC217">
        <f>IF(EB217=0,0,1+COUNTIF(EC$3:EC216,"&gt;0"))</f>
        <v>0</v>
      </c>
      <c r="ED217" t="str">
        <f t="shared" si="209"/>
        <v/>
      </c>
      <c r="EE217" t="str">
        <f t="shared" si="181"/>
        <v/>
      </c>
      <c r="EG217">
        <f t="shared" si="182"/>
        <v>0</v>
      </c>
      <c r="EH217">
        <f>IF(EG217=0,0,1+COUNTIF(EH$3:EH216,"&gt;0"))</f>
        <v>0</v>
      </c>
      <c r="EI217" t="str">
        <f t="shared" si="210"/>
        <v/>
      </c>
      <c r="EJ217" t="str">
        <f t="shared" si="183"/>
        <v/>
      </c>
      <c r="EL217">
        <f t="shared" si="184"/>
        <v>0</v>
      </c>
      <c r="EM217">
        <f>IF(EL217=0,0,1+COUNTIF(EM$3:EM216,"&gt;0"))</f>
        <v>0</v>
      </c>
      <c r="EN217" t="str">
        <f t="shared" si="211"/>
        <v/>
      </c>
      <c r="EO217" t="str">
        <f t="shared" si="185"/>
        <v/>
      </c>
      <c r="EQ217">
        <f t="shared" si="186"/>
        <v>0</v>
      </c>
      <c r="ER217">
        <f>IF(EQ217=0,0,1+COUNTIF(ER$3:ER216,"&gt;0"))</f>
        <v>0</v>
      </c>
      <c r="ES217" t="str">
        <f t="shared" si="212"/>
        <v/>
      </c>
      <c r="ET217" t="str">
        <f t="shared" si="187"/>
        <v/>
      </c>
      <c r="EV217">
        <f t="shared" si="188"/>
        <v>0</v>
      </c>
      <c r="EW217">
        <f>IF(EV217=0,0,1+COUNTIF(EW$3:EW216,"&gt;0"))</f>
        <v>0</v>
      </c>
      <c r="EX217" t="str">
        <f t="shared" si="213"/>
        <v/>
      </c>
      <c r="EY217" t="str">
        <f t="shared" si="189"/>
        <v/>
      </c>
      <c r="FA217">
        <f t="shared" si="190"/>
        <v>0</v>
      </c>
      <c r="FB217">
        <f>IF(FA217=0,0,1+COUNTIF(FB$3:FB216,"&gt;0"))</f>
        <v>0</v>
      </c>
      <c r="FC217" t="str">
        <f t="shared" si="214"/>
        <v/>
      </c>
      <c r="FD217" t="str">
        <f t="shared" si="191"/>
        <v/>
      </c>
      <c r="FF217">
        <f t="shared" si="192"/>
        <v>0</v>
      </c>
      <c r="FG217">
        <f>IF(FF217=0,0,1+COUNTIF(FG$3:FG216,"&gt;0"))</f>
        <v>0</v>
      </c>
      <c r="FH217" t="str">
        <f t="shared" si="215"/>
        <v/>
      </c>
      <c r="FI217" t="str">
        <f t="shared" si="193"/>
        <v/>
      </c>
      <c r="FK217">
        <f t="shared" si="194"/>
        <v>0</v>
      </c>
      <c r="FL217">
        <f>IF(FK217=0,0,1+COUNTIF(FL$3:FL216,"&gt;0"))</f>
        <v>0</v>
      </c>
      <c r="FM217" t="str">
        <f t="shared" si="216"/>
        <v/>
      </c>
      <c r="FN217" t="str">
        <f t="shared" si="195"/>
        <v/>
      </c>
      <c r="FP217">
        <f t="shared" si="196"/>
        <v>0</v>
      </c>
      <c r="FQ217">
        <f>IF(FP217=0,0,1+COUNTIF(FQ$3:FQ216,"&gt;0"))</f>
        <v>0</v>
      </c>
      <c r="FR217" t="str">
        <f t="shared" si="217"/>
        <v/>
      </c>
      <c r="FS217" t="str">
        <f t="shared" si="197"/>
        <v/>
      </c>
    </row>
    <row r="218" spans="1:175" x14ac:dyDescent="0.25">
      <c r="A218" s="347">
        <f t="shared" si="219"/>
        <v>216</v>
      </c>
      <c r="B218" s="348" t="s">
        <v>2598</v>
      </c>
      <c r="C218" s="348">
        <v>2</v>
      </c>
      <c r="D218" s="347">
        <v>2</v>
      </c>
      <c r="E218" s="627" t="s">
        <v>6952</v>
      </c>
      <c r="F218" s="346"/>
      <c r="G218" s="347" t="str">
        <f>""</f>
        <v/>
      </c>
      <c r="H218" s="347" t="s">
        <v>5918</v>
      </c>
      <c r="I218" s="347" t="s">
        <v>5298</v>
      </c>
      <c r="J218" s="347" t="str">
        <f t="shared" si="167"/>
        <v/>
      </c>
      <c r="K218" s="347" t="s">
        <v>5284</v>
      </c>
      <c r="L218" s="611" t="str">
        <f t="shared" si="168"/>
        <v>V, S</v>
      </c>
      <c r="M218" s="347" t="s">
        <v>2373</v>
      </c>
      <c r="N218" s="347" t="s">
        <v>2387</v>
      </c>
      <c r="O218" s="347" t="s">
        <v>3034</v>
      </c>
      <c r="P218" s="346" t="str">
        <f>""</f>
        <v/>
      </c>
      <c r="Q218" s="347" t="s">
        <v>5276</v>
      </c>
      <c r="S218" s="346" t="s">
        <v>5921</v>
      </c>
      <c r="T218" s="346" t="str">
        <f t="shared" si="169"/>
        <v xml:space="preserve">Paladin, Wizard, War, </v>
      </c>
      <c r="V218" s="347" t="str">
        <f>$B218</f>
        <v>Magic Weapon</v>
      </c>
      <c r="AD218" s="347" t="str">
        <f t="shared" si="220"/>
        <v>Magic Weapon</v>
      </c>
      <c r="AE218" t="str">
        <f>IF(IFERROR(MATCH($B218,temp!A$4:A$13,0),0)&gt;0,T08_Spells!AE$2,"")</f>
        <v/>
      </c>
      <c r="AF218" t="str">
        <f>IF(IFERROR(MATCH($B218,temp!B$4:B$13,0),0)&gt;0,T08_Spells!AF$2,"")</f>
        <v/>
      </c>
      <c r="AG218" t="str">
        <f>IF(IFERROR(MATCH($B218,temp!C$4:C$13,0),0)&gt;0,T08_Spells!AG$2,"")</f>
        <v/>
      </c>
      <c r="AH218" t="str">
        <f>IF(IFERROR(MATCH($B218,temp!D$4:D$13,0),0)&gt;0,T08_Spells!AH$2,"")</f>
        <v/>
      </c>
      <c r="AI218" t="str">
        <f>IF(IFERROR(MATCH($B218,temp!E$4:E$13,0),0)&gt;0,T08_Spells!AI$2,"")</f>
        <v/>
      </c>
      <c r="AJ218" t="str">
        <f>IF(IFERROR(MATCH($B218,temp!F$4:F$13,0),0)&gt;0,T08_Spells!AJ$2,"")</f>
        <v/>
      </c>
      <c r="AK218" t="str">
        <f>IF(IFERROR(MATCH($B218,temp!G$4:G$13,0),0)&gt;0,T08_Spells!AK$2,"")</f>
        <v/>
      </c>
      <c r="AL218" t="str">
        <f>IF(IFERROR(MATCH($B218,temp!H$4:H$13,0),0)&gt;0,T08_Spells!AL$2,"")</f>
        <v/>
      </c>
      <c r="AM218" t="str">
        <f>IF(IFERROR(MATCH($B218,temp!I$4:I$13,0),0)&gt;0,T08_Spells!AM$2,"")</f>
        <v/>
      </c>
      <c r="AN218" t="str">
        <f>IF(IFERROR(MATCH($B218,temp!J$4:J$13,0),0)&gt;0,T08_Spells!AN$2,"")</f>
        <v/>
      </c>
      <c r="AO218" t="str">
        <f>IF(IFERROR(MATCH($B218,temp!K$4:K$13,0),0)&gt;0,T08_Spells!AO$2,"")</f>
        <v/>
      </c>
      <c r="AP218" t="str">
        <f>IF(IFERROR(MATCH($B218,temp!L$4:L$13,0),0)&gt;0,T08_Spells!AP$2,"")</f>
        <v/>
      </c>
      <c r="AQ218" t="str">
        <f>IF(IFERROR(MATCH($B218,temp!M$4:M$13,0),0)&gt;0,T08_Spells!AQ$2,"")</f>
        <v/>
      </c>
      <c r="AR218" t="str">
        <f>IF(IFERROR(MATCH($B218,temp!N$4:N$13,0),0)&gt;0,T08_Spells!AR$2,"")</f>
        <v/>
      </c>
      <c r="AS218" t="str">
        <f>IF(IFERROR(MATCH($B218,temp!O$4:O$13,0),0)&gt;0,T08_Spells!AS$2,"")</f>
        <v/>
      </c>
      <c r="AT218" t="str">
        <f>IF(IFERROR(MATCH($B218,temp!P$4:P$13,0),0)&gt;0,T08_Spells!AT$2,"")</f>
        <v/>
      </c>
      <c r="AU218" t="str">
        <f>IF(IFERROR(MATCH($B218,temp!Q$4:Q$13,0),0)&gt;0,T08_Spells!AU$2,"")</f>
        <v/>
      </c>
      <c r="AV218" t="str">
        <f>IF(IFERROR(MATCH($B218,temp!R$4:R$13,0),0)&gt;0,T08_Spells!AV$2,"")</f>
        <v/>
      </c>
      <c r="AW218" t="str">
        <f>IF(IFERROR(MATCH($B218,temp!S$4:S$13,0),0)&gt;0,T08_Spells!AW$2,"")</f>
        <v/>
      </c>
      <c r="AX218" t="str">
        <f>IF(IFERROR(MATCH($B218,temp!T$4:T$13,0),0)&gt;0,T08_Spells!AX$2,"")</f>
        <v/>
      </c>
      <c r="AY218" t="str">
        <f>IF(IFERROR(MATCH($B218,temp!U$4:U$13,0),0)&gt;0,T08_Spells!AY$2,"")</f>
        <v/>
      </c>
      <c r="AZ218" t="str">
        <f>IF(IFERROR(MATCH($B218,temp!V$4:V$13,0),0)&gt;0,T08_Spells!AZ$2,"")</f>
        <v>War</v>
      </c>
      <c r="BA218" t="str">
        <f>IF(IFERROR(MATCH($B218,temp!W$4:W$13,0),0)&gt;0,T08_Spells!BA$2,"")</f>
        <v/>
      </c>
      <c r="BC218">
        <f>IF(IFERROR(SEARCH("Ranger",$T218,1),0)&gt;0,1,0)*IF(RangerMaxSpellLevel&gt;=$C218,1,0)*IF(IFERROR(MATCH(B218,Character_Creation!$X$79:$X$382,0),0)&gt;0,0,1)</f>
        <v>0</v>
      </c>
      <c r="BD218">
        <f>IF(BC218=0,0,1+COUNTIF(BD$3:BD217,"&gt;0"))</f>
        <v>0</v>
      </c>
      <c r="BE218" t="str">
        <f t="shared" si="199"/>
        <v/>
      </c>
      <c r="BF218" t="str">
        <f t="shared" si="170"/>
        <v/>
      </c>
      <c r="BH218">
        <f>IF(IFERROR(SEARCH("Sorcerer",$T218,1),0)&gt;0,1,0)*IF(SorcererMaxSpellLevel&gt;=$C218,1,0)*IF(IFERROR(MATCH(B218,Character_Creation!$J$380:$J$394,0),0)&gt;0,0,1)</f>
        <v>0</v>
      </c>
      <c r="BI218">
        <f>IF(BH218=0,0,1+COUNTIF(BI$3:BI217,"&gt;0"))</f>
        <v>0</v>
      </c>
      <c r="BJ218" t="str">
        <f t="shared" si="200"/>
        <v/>
      </c>
      <c r="BK218" t="str">
        <f t="shared" si="171"/>
        <v/>
      </c>
      <c r="BM218">
        <f>IF(OR(IFERROR(SEARCH("Warlock",$T218,1),0)&gt;0,IFERROR(SEARCH(WarlockPatron,$T218,1),0)&gt;0),1,0)*IF(WarlockMaxSpellLevel&gt;=$C218,1,0)*IF(IFERROR(MATCH(B218,Character_Creation!$J$361:$J$375,0),0)&gt;0,0,1)</f>
        <v>0</v>
      </c>
      <c r="BN218">
        <f>IF(BM218=0,0,1+COUNTIF(BN$3:BN217,"&gt;0"))</f>
        <v>0</v>
      </c>
      <c r="BO218" t="str">
        <f t="shared" si="201"/>
        <v/>
      </c>
      <c r="BP218" t="str">
        <f t="shared" si="172"/>
        <v/>
      </c>
      <c r="BR218">
        <f>IF(IFERROR(SEARCH("Eldritch Knight",$T218,1),0)&gt;0,1,0)*IF(EldritchKnightMaxSpellLevel&gt;=$C218,1,0)*IF(IFERROR(MATCH($B218,Character_Creation!$J$350:$J$356,0),0)&gt;0,0,1)*IF(Character_Creation!$M$338&gt;0,1,0)</f>
        <v>0</v>
      </c>
      <c r="BS218">
        <f>IF(BR218=0,0,1+COUNTIF(BS$3:BS217,"&gt;0"))</f>
        <v>0</v>
      </c>
      <c r="BT218" t="str">
        <f t="shared" si="202"/>
        <v/>
      </c>
      <c r="BU218" t="str">
        <f t="shared" si="173"/>
        <v/>
      </c>
      <c r="BW218">
        <f>IF(IFERROR(SEARCH("Arcane Trickster",$T218,1),0)&gt;0,1,0)*IF(ArcaneTricksterMaxSpellLevel&gt;=$C218,1,0)*IF(IFERROR(MATCH($B218,Character_Creation!$J$350:$J$356,0),0)&gt;0,0,1)*IF(Character_Creation!$T$338&gt;0,1,0)</f>
        <v>0</v>
      </c>
      <c r="BX218">
        <f>IF(BW218=0,0,1+COUNTIF(BX$3:BX217,"&gt;0"))</f>
        <v>0</v>
      </c>
      <c r="BY218" t="str">
        <f t="shared" si="203"/>
        <v/>
      </c>
      <c r="BZ218" t="str">
        <f t="shared" si="174"/>
        <v/>
      </c>
      <c r="CB218">
        <f>IF(IFERROR(SEARCH("Wizard",$T218,1),0)&gt;0,1,0)*IF(C218&lt;=ArcaneTricksterMaxSpellLevel,1,0)*IF(IFERROR(MATCH($B218,Character_Creation!$J$350:$J$356,0),0)&gt;0,0,1)*IF(Character_Creation!$T$350&gt;0,1,0)</f>
        <v>0</v>
      </c>
      <c r="CC218">
        <f>IF(CB218=0,0,1+COUNTIF(CC$3:CC217,"&gt;0"))</f>
        <v>0</v>
      </c>
      <c r="CD218" t="str">
        <f t="shared" si="204"/>
        <v/>
      </c>
      <c r="CE218" t="str">
        <f t="shared" si="175"/>
        <v/>
      </c>
      <c r="CG218">
        <f>IF(IFERROR(SEARCH("Wizard",$T218,1),0)&gt;0,1,0)*IF($C218&lt;=EldritchKnightMaxSpellLevel,1,0)*IF(IFERROR(MATCH($B218,Character_Creation!$J$350:$J$356,0),0)&gt;0,0,1)*IF(Character_Creation!$M$350&gt;0,1,0)</f>
        <v>1</v>
      </c>
      <c r="CH218">
        <f>IF(CG218=0,0,1+COUNTIF(CH$3:CH217,"&gt;0"))</f>
        <v>41</v>
      </c>
      <c r="CI218" t="str">
        <f t="shared" si="205"/>
        <v/>
      </c>
      <c r="CJ218" t="str">
        <f t="shared" si="176"/>
        <v/>
      </c>
      <c r="CL218">
        <f>IF(IFERROR(SEARCH("Bard",$T218,1),0)&gt;0,1,0)*IF(BardMaxSpellLevel&gt;=$C218,1,0)*IF(IFERROR(MATCH(B218,Character_Creation!$C$341:$F$362,0),0)&gt;0,0,1)*IF(IFERROR(MATCH($B218,Character_Creation!$C$341:$C$362,0),0)&gt;0,0,1)</f>
        <v>0</v>
      </c>
      <c r="CM218">
        <f>IF(CL218=0,0,1+COUNTIF(CM$3:CM217,"&gt;0"))</f>
        <v>0</v>
      </c>
      <c r="CN218" t="str">
        <f t="shared" si="206"/>
        <v/>
      </c>
      <c r="CO218" t="str">
        <f t="shared" si="177"/>
        <v/>
      </c>
      <c r="CQ218">
        <f>IF(IFERROR(SEARCH("Wizard",$T218,1),0)&gt;0,1,0)*IF(WizardMaxSpellLevel&gt;=$C218,1,0)*IF(IFERROR(MATCH(B218,Character_Creation!$X$341:$X$400,0),0)&gt;0,0,1)*IF(SelectedWizardSpellLevel=$C218,1,0)</f>
        <v>0</v>
      </c>
      <c r="CR218">
        <f>IF(CQ218=0,0,1+COUNTIF(CR$3:CR217,"&gt;0"))</f>
        <v>0</v>
      </c>
      <c r="CS218" t="str">
        <f t="shared" si="207"/>
        <v/>
      </c>
      <c r="CT218" t="str">
        <f t="shared" si="178"/>
        <v/>
      </c>
      <c r="CV218">
        <f>IF(IFERROR(MATCH($B218,Character_Creation!$C$341:$C$362,0),0)&gt;0,0,1)*IF(OR(C218="Cantrip",C218&lt;=BardMaxSpellLevel),1,0)*IF(IFERROR(MATCH($B218,Character_Creation!$C$367:$C$374,0),0)&gt;0,0,1)</f>
        <v>0</v>
      </c>
      <c r="CW218">
        <f>IF(CV218=0,0,1+COUNTIF(CW$3:CW217,"&gt;0"))</f>
        <v>0</v>
      </c>
      <c r="CX218" t="str">
        <f t="shared" si="208"/>
        <v/>
      </c>
      <c r="CY218" t="str">
        <f t="shared" si="179"/>
        <v/>
      </c>
      <c r="DA218">
        <f>IF(IF(OR(IFERROR(SEARCH("Cleric",$T218,1),0)&gt;0,IFERROR(SEARCH(DivineDomain&amp;",",$T218,1),0)&gt;0),1,0)*IF($C218=DA$2,1,0)=1,1+COUNTIF(DA$3:DA217,"&gt;0"),0)</f>
        <v>0</v>
      </c>
      <c r="DB218">
        <f>IF(IF(OR(IFERROR(SEARCH("Cleric",$T218,1),0)&gt;0,IFERROR(SEARCH(DivineDomain&amp;",",$T218,1),0)&gt;0),1,0)*IF($C218=DB$2,1,0)=1,1+COUNTIF(DB$3:DB217,"&gt;0"),0)</f>
        <v>0</v>
      </c>
      <c r="DC218">
        <f>IF(IF(OR(IFERROR(SEARCH("Cleric",$T218,1),0)&gt;0,IFERROR(SEARCH(DivineDomain&amp;",",$T218,1),0)&gt;0),1,0)*IF($C218=DC$2,1,0)=1,1+COUNTIF(DC$3:DC217,"&gt;0"),0)</f>
        <v>0</v>
      </c>
      <c r="DD218">
        <f>IF(IF(OR(IFERROR(SEARCH("Cleric",$T218,1),0)&gt;0,IFERROR(SEARCH(DivineDomain&amp;",",$T218,1),0)&gt;0),1,0)*IF($C218=DD$2,1,0)=1,1+COUNTIF(DD$3:DD217,"&gt;0"),0)</f>
        <v>0</v>
      </c>
      <c r="DE218">
        <f>IF(IF(OR(IFERROR(SEARCH("Cleric",$T218,1),0)&gt;0,IFERROR(SEARCH(DivineDomain&amp;",",$T218,1),0)&gt;0),1,0)*IF($C218=DE$2,1,0)=1,1+COUNTIF(DE$3:DE217,"&gt;0"),0)</f>
        <v>0</v>
      </c>
      <c r="DF218">
        <f>IF(IF(OR(IFERROR(SEARCH("Cleric",$T218,1),0)&gt;0,IFERROR(SEARCH(DivineDomain&amp;",",$T218,1),0)&gt;0),1,0)*IF($C218=DF$2,1,0)=1,1+COUNTIF(DF$3:DF217,"&gt;0"),0)</f>
        <v>0</v>
      </c>
      <c r="DG218">
        <f>IF(IF(OR(IFERROR(SEARCH("Cleric",$T218,1),0)&gt;0,IFERROR(SEARCH(DivineDomain&amp;",",$T218,1),0)&gt;0),1,0)*IF($C218=DG$2,1,0)=1,1+COUNTIF(DG$3:DG217,"&gt;0"),0)</f>
        <v>0</v>
      </c>
      <c r="DH218">
        <f>IF(IF(OR(IFERROR(SEARCH("Cleric",$T218,1),0)&gt;0,IFERROR(SEARCH(DivineDomain&amp;",",$T218,1),0)&gt;0),1,0)*IF($C218=DH$2,1,0)=1,1+COUNTIF(DH$3:DH217,"&gt;0"),0)</f>
        <v>0</v>
      </c>
      <c r="DI218">
        <f>IF(IF(OR(IFERROR(SEARCH("Cleric",$T218,1),0)&gt;0,IFERROR(SEARCH(DivineDomain&amp;",",$T218,1),0)&gt;0),1,0)*IF($C218=DI$2,1,0)=1,1+COUNTIF(DI$3:DI217,"&gt;0"),0)</f>
        <v>0</v>
      </c>
      <c r="DJ218">
        <f>IF(IF(OR(IFERROR(SEARCH("Druid",$T218,1),0)&gt;0,IFERROR(SEARCH(DruidLand1,$T218,1),0)&gt;0,IFERROR(SEARCH(DruidLand2,$T218,1),0)&gt;0,IFERROR(SEARCH(DruidLand3,$T218,1),0)&gt;0,IFERROR(SEARCH(DruidLand4,$T218,1),0)&gt;0),1,0)*IF($C218=1,1,0)*IF($C218=DJ$2,1,0)=0,0,1+COUNTIF(DJ$3:DJ217,"&gt;0"))</f>
        <v>0</v>
      </c>
      <c r="DK218">
        <f>IF(IF(OR(IFERROR(SEARCH("Druid",$T218,1),0)&gt;0,IFERROR(SEARCH(DruidLand1,$T218,1),0)&gt;0,IFERROR(SEARCH(DruidLand2,$T218,1),0)&gt;0,IFERROR(SEARCH(DruidLand3,$T218,1),0)&gt;0,IFERROR(SEARCH(DruidLand4,$T218,1),0)&gt;0),1,0)*IF($C218=1,1,0)*IF($C218=DK$2,1,0)=0,0,1+COUNTIF(DK$3:DK217,"&gt;0"))</f>
        <v>0</v>
      </c>
      <c r="DL218">
        <f>IF(IF(OR(IFERROR(SEARCH("Druid",$T218,1),0)&gt;0,IFERROR(SEARCH(DruidLand1,$T218,1),0)&gt;0,IFERROR(SEARCH(DruidLand2,$T218,1),0)&gt;0,IFERROR(SEARCH(DruidLand3,$T218,1),0)&gt;0,IFERROR(SEARCH(DruidLand4,$T218,1),0)&gt;0),1,0)*IF($C218=1,1,0)*IF($C218=DL$2,1,0)=0,0,1+COUNTIF(DL$3:DL217,"&gt;0"))</f>
        <v>0</v>
      </c>
      <c r="DM218">
        <f>IF(IF(OR(IFERROR(SEARCH("Druid",$T218,1),0)&gt;0,IFERROR(SEARCH(DruidLand1,$T218,1),0)&gt;0,IFERROR(SEARCH(DruidLand2,$T218,1),0)&gt;0,IFERROR(SEARCH(DruidLand3,$T218,1),0)&gt;0,IFERROR(SEARCH(DruidLand4,$T218,1),0)&gt;0),1,0)*IF($C218=1,1,0)*IF($C218=DM$2,1,0)=0,0,1+COUNTIF(DM$3:DM217,"&gt;0"))</f>
        <v>0</v>
      </c>
      <c r="DN218">
        <f>IF(IF(OR(IFERROR(SEARCH("Druid",$T218,1),0)&gt;0,IFERROR(SEARCH(DruidLand1,$T218,1),0)&gt;0,IFERROR(SEARCH(DruidLand2,$T218,1),0)&gt;0,IFERROR(SEARCH(DruidLand3,$T218,1),0)&gt;0,IFERROR(SEARCH(DruidLand4,$T218,1),0)&gt;0),1,0)*IF($C218=1,1,0)*IF($C218=DN$2,1,0)=0,0,1+COUNTIF(DN$3:DN217,"&gt;0"))</f>
        <v>0</v>
      </c>
      <c r="DO218">
        <f>IF(IF(OR(IFERROR(SEARCH("Druid",$T218,1),0)&gt;0,IFERROR(SEARCH(DruidLand1,$T218,1),0)&gt;0,IFERROR(SEARCH(DruidLand2,$T218,1),0)&gt;0,IFERROR(SEARCH(DruidLand3,$T218,1),0)&gt;0,IFERROR(SEARCH(DruidLand4,$T218,1),0)&gt;0),1,0)*IF($C218=1,1,0)*IF($C218=DO$2,1,0)=0,0,1+COUNTIF(DO$3:DO217,"&gt;0"))</f>
        <v>0</v>
      </c>
      <c r="DP218">
        <f>IF(IF(OR(IFERROR(SEARCH("Druid",$T218,1),0)&gt;0,IFERROR(SEARCH(DruidLand1,$T218,1),0)&gt;0,IFERROR(SEARCH(DruidLand2,$T218,1),0)&gt;0,IFERROR(SEARCH(DruidLand3,$T218,1),0)&gt;0,IFERROR(SEARCH(DruidLand4,$T218,1),0)&gt;0),1,0)*IF($C218=1,1,0)*IF($C218=DP$2,1,0)=0,0,1+COUNTIF(DP$3:DP217,"&gt;0"))</f>
        <v>0</v>
      </c>
      <c r="DQ218">
        <f>IF(IF(OR(IFERROR(SEARCH("Druid",$T218,1),0)&gt;0,IFERROR(SEARCH(DruidLand1,$T218,1),0)&gt;0,IFERROR(SEARCH(DruidLand2,$T218,1),0)&gt;0,IFERROR(SEARCH(DruidLand3,$T218,1),0)&gt;0,IFERROR(SEARCH(DruidLand4,$T218,1),0)&gt;0),1,0)*IF($C218=1,1,0)*IF($C218=DQ$2,1,0)=0,0,1+COUNTIF(DQ$3:DQ217,"&gt;0"))</f>
        <v>0</v>
      </c>
      <c r="DR218">
        <f>IF(IF(OR(IFERROR(SEARCH("Druid",$T218,1),0)&gt;0,IFERROR(SEARCH(DruidLand1,$T218,1),0)&gt;0,IFERROR(SEARCH(DruidLand2,$T218,1),0)&gt;0,IFERROR(SEARCH(DruidLand3,$T218,1),0)&gt;0,IFERROR(SEARCH(DruidLand4,$T218,1),0)&gt;0),1,0)*IF($C218=1,1,0)*IF($C218=DR$2,1,0)=0,0,1+COUNTIF(DR$3:DR217,"&gt;0"))</f>
        <v>0</v>
      </c>
      <c r="DS218">
        <f>IF(IF(OR(IFERROR(SEARCH("Paladin",$T218,1),0)&gt;0,IFERROR(SEARCH(PaladinOath,$T218,1),0)&gt;0),1,0)*IF($C218=DS$2,1,0)=1,1+COUNTIF(DS$3:DS217,"&gt;0"),0)</f>
        <v>0</v>
      </c>
      <c r="DT218">
        <f>IF(IF(OR(IFERROR(SEARCH("Paladin",$T218,1),0)&gt;0,IFERROR(SEARCH(PaladinOath,$T218,1),0)&gt;0),1,0)*IF($C218=DT$2,1,0)=1,1+COUNTIF(DT$3:DT217,"&gt;0"),0)</f>
        <v>6</v>
      </c>
      <c r="DU218">
        <f>IF(IF(OR(IFERROR(SEARCH("Paladin",$T218,1),0)&gt;0,IFERROR(SEARCH(PaladinOath,$T218,1),0)&gt;0),1,0)*IF($C218=DU$2,1,0)=1,1+COUNTIF(DU$3:DU217,"&gt;0"),0)</f>
        <v>0</v>
      </c>
      <c r="DV218">
        <f>IF(IF(OR(IFERROR(SEARCH("Paladin",$T218,1),0)&gt;0,IFERROR(SEARCH(PaladinOath,$T218,1),0)&gt;0),1,0)*IF($C218=DV$2,1,0)=1,1+COUNTIF(DV$3:DV217,"&gt;0"),0)</f>
        <v>0</v>
      </c>
      <c r="DW218">
        <f>IF(IF(OR(IFERROR(SEARCH("Paladin",$T218,1),0)&gt;0,IFERROR(SEARCH(PaladinOath,$T218,1),0)&gt;0),1,0)*IF($C218=DW$2,1,0)=1,1+COUNTIF(DW$3:DW217,"&gt;0"),0)</f>
        <v>0</v>
      </c>
      <c r="DY218">
        <f t="shared" si="166"/>
        <v>1</v>
      </c>
      <c r="DZ218">
        <f>IF(DY218=0,0,1+MAX(DZ$3:$DZ217))</f>
        <v>216</v>
      </c>
      <c r="EB218">
        <f t="shared" si="180"/>
        <v>0</v>
      </c>
      <c r="EC218">
        <f>IF(EB218=0,0,1+COUNTIF(EC$3:EC217,"&gt;0"))</f>
        <v>0</v>
      </c>
      <c r="ED218" t="str">
        <f t="shared" si="209"/>
        <v/>
      </c>
      <c r="EE218" t="str">
        <f t="shared" si="181"/>
        <v/>
      </c>
      <c r="EG218">
        <f t="shared" si="182"/>
        <v>0</v>
      </c>
      <c r="EH218">
        <f>IF(EG218=0,0,1+COUNTIF(EH$3:EH217,"&gt;0"))</f>
        <v>0</v>
      </c>
      <c r="EI218" t="str">
        <f t="shared" si="210"/>
        <v/>
      </c>
      <c r="EJ218" t="str">
        <f t="shared" si="183"/>
        <v/>
      </c>
      <c r="EL218">
        <f t="shared" si="184"/>
        <v>0</v>
      </c>
      <c r="EM218">
        <f>IF(EL218=0,0,1+COUNTIF(EM$3:EM217,"&gt;0"))</f>
        <v>0</v>
      </c>
      <c r="EN218" t="str">
        <f t="shared" si="211"/>
        <v/>
      </c>
      <c r="EO218" t="str">
        <f t="shared" si="185"/>
        <v/>
      </c>
      <c r="EQ218">
        <f t="shared" si="186"/>
        <v>0</v>
      </c>
      <c r="ER218">
        <f>IF(EQ218=0,0,1+COUNTIF(ER$3:ER217,"&gt;0"))</f>
        <v>0</v>
      </c>
      <c r="ES218" t="str">
        <f t="shared" si="212"/>
        <v/>
      </c>
      <c r="ET218" t="str">
        <f t="shared" si="187"/>
        <v/>
      </c>
      <c r="EV218">
        <f t="shared" si="188"/>
        <v>0</v>
      </c>
      <c r="EW218">
        <f>IF(EV218=0,0,1+COUNTIF(EW$3:EW217,"&gt;0"))</f>
        <v>0</v>
      </c>
      <c r="EX218" t="str">
        <f t="shared" si="213"/>
        <v/>
      </c>
      <c r="EY218" t="str">
        <f t="shared" si="189"/>
        <v/>
      </c>
      <c r="FA218">
        <f t="shared" si="190"/>
        <v>0</v>
      </c>
      <c r="FB218">
        <f>IF(FA218=0,0,1+COUNTIF(FB$3:FB217,"&gt;0"))</f>
        <v>0</v>
      </c>
      <c r="FC218" t="str">
        <f t="shared" si="214"/>
        <v/>
      </c>
      <c r="FD218" t="str">
        <f t="shared" si="191"/>
        <v/>
      </c>
      <c r="FF218">
        <f t="shared" si="192"/>
        <v>0</v>
      </c>
      <c r="FG218">
        <f>IF(FF218=0,0,1+COUNTIF(FG$3:FG217,"&gt;0"))</f>
        <v>0</v>
      </c>
      <c r="FH218" t="str">
        <f t="shared" si="215"/>
        <v/>
      </c>
      <c r="FI218" t="str">
        <f t="shared" si="193"/>
        <v/>
      </c>
      <c r="FK218">
        <f t="shared" si="194"/>
        <v>0</v>
      </c>
      <c r="FL218">
        <f>IF(FK218=0,0,1+COUNTIF(FL$3:FL217,"&gt;0"))</f>
        <v>0</v>
      </c>
      <c r="FM218" t="str">
        <f t="shared" si="216"/>
        <v/>
      </c>
      <c r="FN218" t="str">
        <f t="shared" si="195"/>
        <v/>
      </c>
      <c r="FP218">
        <f t="shared" si="196"/>
        <v>0</v>
      </c>
      <c r="FQ218">
        <f>IF(FP218=0,0,1+COUNTIF(FQ$3:FQ217,"&gt;0"))</f>
        <v>0</v>
      </c>
      <c r="FR218" t="str">
        <f t="shared" si="217"/>
        <v/>
      </c>
      <c r="FS218" t="str">
        <f t="shared" si="197"/>
        <v/>
      </c>
    </row>
    <row r="219" spans="1:175" x14ac:dyDescent="0.25">
      <c r="A219" s="347">
        <f t="shared" si="219"/>
        <v>217</v>
      </c>
      <c r="B219" s="348" t="s">
        <v>2599</v>
      </c>
      <c r="C219" s="348">
        <v>3</v>
      </c>
      <c r="D219" s="347">
        <v>3</v>
      </c>
      <c r="E219" s="627" t="s">
        <v>6952</v>
      </c>
      <c r="F219" s="346"/>
      <c r="G219" s="347" t="str">
        <f>""</f>
        <v/>
      </c>
      <c r="H219" s="347" t="s">
        <v>5912</v>
      </c>
      <c r="I219" s="347" t="s">
        <v>5378</v>
      </c>
      <c r="J219" s="347" t="str">
        <f t="shared" si="167"/>
        <v/>
      </c>
      <c r="K219" s="347" t="s">
        <v>5297</v>
      </c>
      <c r="L219" s="611" t="str">
        <f t="shared" si="168"/>
        <v>V, S, M, a bit of fleece</v>
      </c>
      <c r="M219" s="347" t="s">
        <v>2373</v>
      </c>
      <c r="N219" s="347" t="s">
        <v>2387</v>
      </c>
      <c r="O219" s="347" t="s">
        <v>1244</v>
      </c>
      <c r="P219" s="346" t="s">
        <v>5426</v>
      </c>
      <c r="Q219" s="347" t="s">
        <v>5274</v>
      </c>
      <c r="S219" s="346" t="s">
        <v>5761</v>
      </c>
      <c r="T219" s="346" t="str">
        <f t="shared" si="169"/>
        <v xml:space="preserve">Bard, Sorcerer, Warlock, Arcane Trickster, Wizard, </v>
      </c>
      <c r="U219" s="347" t="str">
        <f>$B219</f>
        <v>Major Image</v>
      </c>
      <c r="X219" s="347" t="str">
        <f>$B219</f>
        <v>Major Image</v>
      </c>
      <c r="Y219" s="347" t="str">
        <f>$B219</f>
        <v>Major Image</v>
      </c>
      <c r="AC219" s="539" t="str">
        <f>B219</f>
        <v>Major Image</v>
      </c>
      <c r="AD219" s="347" t="str">
        <f t="shared" si="220"/>
        <v>Major Image</v>
      </c>
      <c r="AE219" t="str">
        <f>IF(IFERROR(MATCH($B219,temp!A$4:A$13,0),0)&gt;0,T08_Spells!AE$2,"")</f>
        <v/>
      </c>
      <c r="AF219" t="str">
        <f>IF(IFERROR(MATCH($B219,temp!B$4:B$13,0),0)&gt;0,T08_Spells!AF$2,"")</f>
        <v/>
      </c>
      <c r="AG219" t="str">
        <f>IF(IFERROR(MATCH($B219,temp!C$4:C$13,0),0)&gt;0,T08_Spells!AG$2,"")</f>
        <v/>
      </c>
      <c r="AH219" t="str">
        <f>IF(IFERROR(MATCH($B219,temp!D$4:D$13,0),0)&gt;0,T08_Spells!AH$2,"")</f>
        <v/>
      </c>
      <c r="AI219" t="str">
        <f>IF(IFERROR(MATCH($B219,temp!E$4:E$13,0),0)&gt;0,T08_Spells!AI$2,"")</f>
        <v/>
      </c>
      <c r="AJ219" t="str">
        <f>IF(IFERROR(MATCH($B219,temp!F$4:F$13,0),0)&gt;0,T08_Spells!AJ$2,"")</f>
        <v/>
      </c>
      <c r="AK219" t="str">
        <f>IF(IFERROR(MATCH($B219,temp!G$4:G$13,0),0)&gt;0,T08_Spells!AK$2,"")</f>
        <v/>
      </c>
      <c r="AL219" t="str">
        <f>IF(IFERROR(MATCH($B219,temp!H$4:H$13,0),0)&gt;0,T08_Spells!AL$2,"")</f>
        <v/>
      </c>
      <c r="AM219" t="str">
        <f>IF(IFERROR(MATCH($B219,temp!I$4:I$13,0),0)&gt;0,T08_Spells!AM$2,"")</f>
        <v/>
      </c>
      <c r="AN219" t="str">
        <f>IF(IFERROR(MATCH($B219,temp!J$4:J$13,0),0)&gt;0,T08_Spells!AN$2,"")</f>
        <v/>
      </c>
      <c r="AO219" t="str">
        <f>IF(IFERROR(MATCH($B219,temp!K$4:K$13,0),0)&gt;0,T08_Spells!AO$2,"")</f>
        <v/>
      </c>
      <c r="AP219" t="str">
        <f>IF(IFERROR(MATCH($B219,temp!L$4:L$13,0),0)&gt;0,T08_Spells!AP$2,"")</f>
        <v/>
      </c>
      <c r="AQ219" t="str">
        <f>IF(IFERROR(MATCH($B219,temp!M$4:M$13,0),0)&gt;0,T08_Spells!AQ$2,"")</f>
        <v/>
      </c>
      <c r="AR219" t="str">
        <f>IF(IFERROR(MATCH($B219,temp!N$4:N$13,0),0)&gt;0,T08_Spells!AR$2,"")</f>
        <v/>
      </c>
      <c r="AS219" t="str">
        <f>IF(IFERROR(MATCH($B219,temp!O$4:O$13,0),0)&gt;0,T08_Spells!AS$2,"")</f>
        <v/>
      </c>
      <c r="AT219" t="str">
        <f>IF(IFERROR(MATCH($B219,temp!P$4:P$13,0),0)&gt;0,T08_Spells!AT$2,"")</f>
        <v/>
      </c>
      <c r="AU219" t="str">
        <f>IF(IFERROR(MATCH($B219,temp!Q$4:Q$13,0),0)&gt;0,T08_Spells!AU$2,"")</f>
        <v/>
      </c>
      <c r="AV219" t="str">
        <f>IF(IFERROR(MATCH($B219,temp!R$4:R$13,0),0)&gt;0,T08_Spells!AV$2,"")</f>
        <v/>
      </c>
      <c r="AW219" t="str">
        <f>IF(IFERROR(MATCH($B219,temp!S$4:S$13,0),0)&gt;0,T08_Spells!AW$2,"")</f>
        <v/>
      </c>
      <c r="AX219" t="str">
        <f>IF(IFERROR(MATCH($B219,temp!T$4:T$13,0),0)&gt;0,T08_Spells!AX$2,"")</f>
        <v/>
      </c>
      <c r="AY219" t="str">
        <f>IF(IFERROR(MATCH($B219,temp!U$4:U$13,0),0)&gt;0,T08_Spells!AY$2,"")</f>
        <v/>
      </c>
      <c r="AZ219" t="str">
        <f>IF(IFERROR(MATCH($B219,temp!V$4:V$13,0),0)&gt;0,T08_Spells!AZ$2,"")</f>
        <v/>
      </c>
      <c r="BA219" t="str">
        <f>IF(IFERROR(MATCH($B219,temp!W$4:W$13,0),0)&gt;0,T08_Spells!BA$2,"")</f>
        <v/>
      </c>
      <c r="BC219">
        <f>IF(IFERROR(SEARCH("Ranger",$T219,1),0)&gt;0,1,0)*IF(RangerMaxSpellLevel&gt;=$C219,1,0)*IF(IFERROR(MATCH(B219,Character_Creation!$X$79:$X$382,0),0)&gt;0,0,1)</f>
        <v>0</v>
      </c>
      <c r="BD219">
        <f>IF(BC219=0,0,1+COUNTIF(BD$3:BD218,"&gt;0"))</f>
        <v>0</v>
      </c>
      <c r="BE219" t="str">
        <f t="shared" si="199"/>
        <v/>
      </c>
      <c r="BF219" t="str">
        <f t="shared" si="170"/>
        <v/>
      </c>
      <c r="BH219">
        <f>IF(IFERROR(SEARCH("Sorcerer",$T219,1),0)&gt;0,1,0)*IF(SorcererMaxSpellLevel&gt;=$C219,1,0)*IF(IFERROR(MATCH(B219,Character_Creation!$J$380:$J$394,0),0)&gt;0,0,1)</f>
        <v>0</v>
      </c>
      <c r="BI219">
        <f>IF(BH219=0,0,1+COUNTIF(BI$3:BI218,"&gt;0"))</f>
        <v>0</v>
      </c>
      <c r="BJ219" t="str">
        <f t="shared" si="200"/>
        <v/>
      </c>
      <c r="BK219" t="str">
        <f t="shared" si="171"/>
        <v/>
      </c>
      <c r="BM219">
        <f>IF(OR(IFERROR(SEARCH("Warlock",$T219,1),0)&gt;0,IFERROR(SEARCH(WarlockPatron,$T219,1),0)&gt;0),1,0)*IF(WarlockMaxSpellLevel&gt;=$C219,1,0)*IF(IFERROR(MATCH(B219,Character_Creation!$J$361:$J$375,0),0)&gt;0,0,1)</f>
        <v>0</v>
      </c>
      <c r="BN219">
        <f>IF(BM219=0,0,1+COUNTIF(BN$3:BN218,"&gt;0"))</f>
        <v>0</v>
      </c>
      <c r="BO219" t="str">
        <f t="shared" si="201"/>
        <v/>
      </c>
      <c r="BP219" t="str">
        <f t="shared" si="172"/>
        <v/>
      </c>
      <c r="BR219">
        <f>IF(IFERROR(SEARCH("Eldritch Knight",$T219,1),0)&gt;0,1,0)*IF(EldritchKnightMaxSpellLevel&gt;=$C219,1,0)*IF(IFERROR(MATCH($B219,Character_Creation!$J$350:$J$356,0),0)&gt;0,0,1)*IF(Character_Creation!$M$338&gt;0,1,0)</f>
        <v>0</v>
      </c>
      <c r="BS219">
        <f>IF(BR219=0,0,1+COUNTIF(BS$3:BS218,"&gt;0"))</f>
        <v>0</v>
      </c>
      <c r="BT219" t="str">
        <f t="shared" si="202"/>
        <v/>
      </c>
      <c r="BU219" t="str">
        <f t="shared" si="173"/>
        <v/>
      </c>
      <c r="BW219">
        <f>IF(IFERROR(SEARCH("Arcane Trickster",$T219,1),0)&gt;0,1,0)*IF(ArcaneTricksterMaxSpellLevel&gt;=$C219,1,0)*IF(IFERROR(MATCH($B219,Character_Creation!$J$350:$J$356,0),0)&gt;0,0,1)*IF(Character_Creation!$T$338&gt;0,1,0)</f>
        <v>0</v>
      </c>
      <c r="BX219">
        <f>IF(BW219=0,0,1+COUNTIF(BX$3:BX218,"&gt;0"))</f>
        <v>0</v>
      </c>
      <c r="BY219" t="str">
        <f t="shared" si="203"/>
        <v/>
      </c>
      <c r="BZ219" t="str">
        <f t="shared" si="174"/>
        <v/>
      </c>
      <c r="CB219">
        <f>IF(IFERROR(SEARCH("Wizard",$T219,1),0)&gt;0,1,0)*IF(C219&lt;=ArcaneTricksterMaxSpellLevel,1,0)*IF(IFERROR(MATCH($B219,Character_Creation!$J$350:$J$356,0),0)&gt;0,0,1)*IF(Character_Creation!$T$350&gt;0,1,0)</f>
        <v>0</v>
      </c>
      <c r="CC219">
        <f>IF(CB219=0,0,1+COUNTIF(CC$3:CC218,"&gt;0"))</f>
        <v>0</v>
      </c>
      <c r="CD219" t="str">
        <f t="shared" si="204"/>
        <v/>
      </c>
      <c r="CE219" t="str">
        <f t="shared" si="175"/>
        <v/>
      </c>
      <c r="CG219">
        <f>IF(IFERROR(SEARCH("Wizard",$T219,1),0)&gt;0,1,0)*IF($C219&lt;=EldritchKnightMaxSpellLevel,1,0)*IF(IFERROR(MATCH($B219,Character_Creation!$J$350:$J$356,0),0)&gt;0,0,1)*IF(Character_Creation!$M$350&gt;0,1,0)</f>
        <v>0</v>
      </c>
      <c r="CH219">
        <f>IF(CG219=0,0,1+COUNTIF(CH$3:CH218,"&gt;0"))</f>
        <v>0</v>
      </c>
      <c r="CI219" t="str">
        <f t="shared" si="205"/>
        <v/>
      </c>
      <c r="CJ219" t="str">
        <f t="shared" si="176"/>
        <v/>
      </c>
      <c r="CL219">
        <f>IF(IFERROR(SEARCH("Bard",$T219,1),0)&gt;0,1,0)*IF(BardMaxSpellLevel&gt;=$C219,1,0)*IF(IFERROR(MATCH(B219,Character_Creation!$C$341:$F$362,0),0)&gt;0,0,1)*IF(IFERROR(MATCH($B219,Character_Creation!$C$341:$C$362,0),0)&gt;0,0,1)</f>
        <v>0</v>
      </c>
      <c r="CM219">
        <f>IF(CL219=0,0,1+COUNTIF(CM$3:CM218,"&gt;0"))</f>
        <v>0</v>
      </c>
      <c r="CN219" t="str">
        <f t="shared" si="206"/>
        <v/>
      </c>
      <c r="CO219" t="str">
        <f t="shared" si="177"/>
        <v/>
      </c>
      <c r="CQ219">
        <f>IF(IFERROR(SEARCH("Wizard",$T219,1),0)&gt;0,1,0)*IF(WizardMaxSpellLevel&gt;=$C219,1,0)*IF(IFERROR(MATCH(B219,Character_Creation!$X$341:$X$400,0),0)&gt;0,0,1)*IF(SelectedWizardSpellLevel=$C219,1,0)</f>
        <v>1</v>
      </c>
      <c r="CR219">
        <f>IF(CQ219=0,0,1+COUNTIF(CR$3:CR218,"&gt;0"))</f>
        <v>16</v>
      </c>
      <c r="CS219" t="str">
        <f t="shared" si="207"/>
        <v/>
      </c>
      <c r="CT219" t="str">
        <f t="shared" si="178"/>
        <v/>
      </c>
      <c r="CV219">
        <f>IF(IFERROR(MATCH($B219,Character_Creation!$C$341:$C$362,0),0)&gt;0,0,1)*IF(OR(C219="Cantrip",C219&lt;=BardMaxSpellLevel),1,0)*IF(IFERROR(MATCH($B219,Character_Creation!$C$367:$C$374,0),0)&gt;0,0,1)</f>
        <v>0</v>
      </c>
      <c r="CW219">
        <f>IF(CV219=0,0,1+COUNTIF(CW$3:CW218,"&gt;0"))</f>
        <v>0</v>
      </c>
      <c r="CX219" t="str">
        <f t="shared" si="208"/>
        <v/>
      </c>
      <c r="CY219" t="str">
        <f t="shared" si="179"/>
        <v/>
      </c>
      <c r="DA219">
        <f>IF(IF(OR(IFERROR(SEARCH("Cleric",$T219,1),0)&gt;0,IFERROR(SEARCH(DivineDomain&amp;",",$T219,1),0)&gt;0),1,0)*IF($C219=DA$2,1,0)=1,1+COUNTIF(DA$3:DA218,"&gt;0"),0)</f>
        <v>0</v>
      </c>
      <c r="DB219">
        <f>IF(IF(OR(IFERROR(SEARCH("Cleric",$T219,1),0)&gt;0,IFERROR(SEARCH(DivineDomain&amp;",",$T219,1),0)&gt;0),1,0)*IF($C219=DB$2,1,0)=1,1+COUNTIF(DB$3:DB218,"&gt;0"),0)</f>
        <v>0</v>
      </c>
      <c r="DC219">
        <f>IF(IF(OR(IFERROR(SEARCH("Cleric",$T219,1),0)&gt;0,IFERROR(SEARCH(DivineDomain&amp;",",$T219,1),0)&gt;0),1,0)*IF($C219=DC$2,1,0)=1,1+COUNTIF(DC$3:DC218,"&gt;0"),0)</f>
        <v>0</v>
      </c>
      <c r="DD219">
        <f>IF(IF(OR(IFERROR(SEARCH("Cleric",$T219,1),0)&gt;0,IFERROR(SEARCH(DivineDomain&amp;",",$T219,1),0)&gt;0),1,0)*IF($C219=DD$2,1,0)=1,1+COUNTIF(DD$3:DD218,"&gt;0"),0)</f>
        <v>0</v>
      </c>
      <c r="DE219">
        <f>IF(IF(OR(IFERROR(SEARCH("Cleric",$T219,1),0)&gt;0,IFERROR(SEARCH(DivineDomain&amp;",",$T219,1),0)&gt;0),1,0)*IF($C219=DE$2,1,0)=1,1+COUNTIF(DE$3:DE218,"&gt;0"),0)</f>
        <v>0</v>
      </c>
      <c r="DF219">
        <f>IF(IF(OR(IFERROR(SEARCH("Cleric",$T219,1),0)&gt;0,IFERROR(SEARCH(DivineDomain&amp;",",$T219,1),0)&gt;0),1,0)*IF($C219=DF$2,1,0)=1,1+COUNTIF(DF$3:DF218,"&gt;0"),0)</f>
        <v>0</v>
      </c>
      <c r="DG219">
        <f>IF(IF(OR(IFERROR(SEARCH("Cleric",$T219,1),0)&gt;0,IFERROR(SEARCH(DivineDomain&amp;",",$T219,1),0)&gt;0),1,0)*IF($C219=DG$2,1,0)=1,1+COUNTIF(DG$3:DG218,"&gt;0"),0)</f>
        <v>0</v>
      </c>
      <c r="DH219">
        <f>IF(IF(OR(IFERROR(SEARCH("Cleric",$T219,1),0)&gt;0,IFERROR(SEARCH(DivineDomain&amp;",",$T219,1),0)&gt;0),1,0)*IF($C219=DH$2,1,0)=1,1+COUNTIF(DH$3:DH218,"&gt;0"),0)</f>
        <v>0</v>
      </c>
      <c r="DI219">
        <f>IF(IF(OR(IFERROR(SEARCH("Cleric",$T219,1),0)&gt;0,IFERROR(SEARCH(DivineDomain&amp;",",$T219,1),0)&gt;0),1,0)*IF($C219=DI$2,1,0)=1,1+COUNTIF(DI$3:DI218,"&gt;0"),0)</f>
        <v>0</v>
      </c>
      <c r="DJ219">
        <f>IF(IF(OR(IFERROR(SEARCH("Druid",$T219,1),0)&gt;0,IFERROR(SEARCH(DruidLand1,$T219,1),0)&gt;0,IFERROR(SEARCH(DruidLand2,$T219,1),0)&gt;0,IFERROR(SEARCH(DruidLand3,$T219,1),0)&gt;0,IFERROR(SEARCH(DruidLand4,$T219,1),0)&gt;0),1,0)*IF($C219=1,1,0)*IF($C219=DJ$2,1,0)=0,0,1+COUNTIF(DJ$3:DJ218,"&gt;0"))</f>
        <v>0</v>
      </c>
      <c r="DK219">
        <f>IF(IF(OR(IFERROR(SEARCH("Druid",$T219,1),0)&gt;0,IFERROR(SEARCH(DruidLand1,$T219,1),0)&gt;0,IFERROR(SEARCH(DruidLand2,$T219,1),0)&gt;0,IFERROR(SEARCH(DruidLand3,$T219,1),0)&gt;0,IFERROR(SEARCH(DruidLand4,$T219,1),0)&gt;0),1,0)*IF($C219=1,1,0)*IF($C219=DK$2,1,0)=0,0,1+COUNTIF(DK$3:DK218,"&gt;0"))</f>
        <v>0</v>
      </c>
      <c r="DL219">
        <f>IF(IF(OR(IFERROR(SEARCH("Druid",$T219,1),0)&gt;0,IFERROR(SEARCH(DruidLand1,$T219,1),0)&gt;0,IFERROR(SEARCH(DruidLand2,$T219,1),0)&gt;0,IFERROR(SEARCH(DruidLand3,$T219,1),0)&gt;0,IFERROR(SEARCH(DruidLand4,$T219,1),0)&gt;0),1,0)*IF($C219=1,1,0)*IF($C219=DL$2,1,0)=0,0,1+COUNTIF(DL$3:DL218,"&gt;0"))</f>
        <v>0</v>
      </c>
      <c r="DM219">
        <f>IF(IF(OR(IFERROR(SEARCH("Druid",$T219,1),0)&gt;0,IFERROR(SEARCH(DruidLand1,$T219,1),0)&gt;0,IFERROR(SEARCH(DruidLand2,$T219,1),0)&gt;0,IFERROR(SEARCH(DruidLand3,$T219,1),0)&gt;0,IFERROR(SEARCH(DruidLand4,$T219,1),0)&gt;0),1,0)*IF($C219=1,1,0)*IF($C219=DM$2,1,0)=0,0,1+COUNTIF(DM$3:DM218,"&gt;0"))</f>
        <v>0</v>
      </c>
      <c r="DN219">
        <f>IF(IF(OR(IFERROR(SEARCH("Druid",$T219,1),0)&gt;0,IFERROR(SEARCH(DruidLand1,$T219,1),0)&gt;0,IFERROR(SEARCH(DruidLand2,$T219,1),0)&gt;0,IFERROR(SEARCH(DruidLand3,$T219,1),0)&gt;0,IFERROR(SEARCH(DruidLand4,$T219,1),0)&gt;0),1,0)*IF($C219=1,1,0)*IF($C219=DN$2,1,0)=0,0,1+COUNTIF(DN$3:DN218,"&gt;0"))</f>
        <v>0</v>
      </c>
      <c r="DO219">
        <f>IF(IF(OR(IFERROR(SEARCH("Druid",$T219,1),0)&gt;0,IFERROR(SEARCH(DruidLand1,$T219,1),0)&gt;0,IFERROR(SEARCH(DruidLand2,$T219,1),0)&gt;0,IFERROR(SEARCH(DruidLand3,$T219,1),0)&gt;0,IFERROR(SEARCH(DruidLand4,$T219,1),0)&gt;0),1,0)*IF($C219=1,1,0)*IF($C219=DO$2,1,0)=0,0,1+COUNTIF(DO$3:DO218,"&gt;0"))</f>
        <v>0</v>
      </c>
      <c r="DP219">
        <f>IF(IF(OR(IFERROR(SEARCH("Druid",$T219,1),0)&gt;0,IFERROR(SEARCH(DruidLand1,$T219,1),0)&gt;0,IFERROR(SEARCH(DruidLand2,$T219,1),0)&gt;0,IFERROR(SEARCH(DruidLand3,$T219,1),0)&gt;0,IFERROR(SEARCH(DruidLand4,$T219,1),0)&gt;0),1,0)*IF($C219=1,1,0)*IF($C219=DP$2,1,0)=0,0,1+COUNTIF(DP$3:DP218,"&gt;0"))</f>
        <v>0</v>
      </c>
      <c r="DQ219">
        <f>IF(IF(OR(IFERROR(SEARCH("Druid",$T219,1),0)&gt;0,IFERROR(SEARCH(DruidLand1,$T219,1),0)&gt;0,IFERROR(SEARCH(DruidLand2,$T219,1),0)&gt;0,IFERROR(SEARCH(DruidLand3,$T219,1),0)&gt;0,IFERROR(SEARCH(DruidLand4,$T219,1),0)&gt;0),1,0)*IF($C219=1,1,0)*IF($C219=DQ$2,1,0)=0,0,1+COUNTIF(DQ$3:DQ218,"&gt;0"))</f>
        <v>0</v>
      </c>
      <c r="DR219">
        <f>IF(IF(OR(IFERROR(SEARCH("Druid",$T219,1),0)&gt;0,IFERROR(SEARCH(DruidLand1,$T219,1),0)&gt;0,IFERROR(SEARCH(DruidLand2,$T219,1),0)&gt;0,IFERROR(SEARCH(DruidLand3,$T219,1),0)&gt;0,IFERROR(SEARCH(DruidLand4,$T219,1),0)&gt;0),1,0)*IF($C219=1,1,0)*IF($C219=DR$2,1,0)=0,0,1+COUNTIF(DR$3:DR218,"&gt;0"))</f>
        <v>0</v>
      </c>
      <c r="DS219">
        <f>IF(IF(OR(IFERROR(SEARCH("Paladin",$T219,1),0)&gt;0,IFERROR(SEARCH(PaladinOath,$T219,1),0)&gt;0),1,0)*IF($C219=DS$2,1,0)=1,1+COUNTIF(DS$3:DS218,"&gt;0"),0)</f>
        <v>0</v>
      </c>
      <c r="DT219">
        <f>IF(IF(OR(IFERROR(SEARCH("Paladin",$T219,1),0)&gt;0,IFERROR(SEARCH(PaladinOath,$T219,1),0)&gt;0),1,0)*IF($C219=DT$2,1,0)=1,1+COUNTIF(DT$3:DT218,"&gt;0"),0)</f>
        <v>0</v>
      </c>
      <c r="DU219">
        <f>IF(IF(OR(IFERROR(SEARCH("Paladin",$T219,1),0)&gt;0,IFERROR(SEARCH(PaladinOath,$T219,1),0)&gt;0),1,0)*IF($C219=DU$2,1,0)=1,1+COUNTIF(DU$3:DU218,"&gt;0"),0)</f>
        <v>0</v>
      </c>
      <c r="DV219">
        <f>IF(IF(OR(IFERROR(SEARCH("Paladin",$T219,1),0)&gt;0,IFERROR(SEARCH(PaladinOath,$T219,1),0)&gt;0),1,0)*IF($C219=DV$2,1,0)=1,1+COUNTIF(DV$3:DV218,"&gt;0"),0)</f>
        <v>0</v>
      </c>
      <c r="DW219">
        <f>IF(IF(OR(IFERROR(SEARCH("Paladin",$T219,1),0)&gt;0,IFERROR(SEARCH(PaladinOath,$T219,1),0)&gt;0),1,0)*IF($C219=DW$2,1,0)=1,1+COUNTIF(DW$3:DW218,"&gt;0"),0)</f>
        <v>0</v>
      </c>
      <c r="DY219">
        <f t="shared" si="166"/>
        <v>1</v>
      </c>
      <c r="DZ219">
        <f>IF(DY219=0,0,1+MAX(DZ$3:$DZ218))</f>
        <v>217</v>
      </c>
      <c r="EB219">
        <f t="shared" si="180"/>
        <v>0</v>
      </c>
      <c r="EC219">
        <f>IF(EB219=0,0,1+COUNTIF(EC$3:EC218,"&gt;0"))</f>
        <v>0</v>
      </c>
      <c r="ED219" t="str">
        <f t="shared" si="209"/>
        <v/>
      </c>
      <c r="EE219" t="str">
        <f t="shared" si="181"/>
        <v/>
      </c>
      <c r="EG219">
        <f t="shared" si="182"/>
        <v>0</v>
      </c>
      <c r="EH219">
        <f>IF(EG219=0,0,1+COUNTIF(EH$3:EH218,"&gt;0"))</f>
        <v>0</v>
      </c>
      <c r="EI219" t="str">
        <f t="shared" si="210"/>
        <v/>
      </c>
      <c r="EJ219" t="str">
        <f t="shared" si="183"/>
        <v/>
      </c>
      <c r="EL219">
        <f t="shared" si="184"/>
        <v>0</v>
      </c>
      <c r="EM219">
        <f>IF(EL219=0,0,1+COUNTIF(EM$3:EM218,"&gt;0"))</f>
        <v>0</v>
      </c>
      <c r="EN219" t="str">
        <f t="shared" si="211"/>
        <v/>
      </c>
      <c r="EO219" t="str">
        <f t="shared" si="185"/>
        <v/>
      </c>
      <c r="EQ219">
        <f t="shared" si="186"/>
        <v>0</v>
      </c>
      <c r="ER219">
        <f>IF(EQ219=0,0,1+COUNTIF(ER$3:ER218,"&gt;0"))</f>
        <v>0</v>
      </c>
      <c r="ES219" t="str">
        <f t="shared" si="212"/>
        <v/>
      </c>
      <c r="ET219" t="str">
        <f t="shared" si="187"/>
        <v/>
      </c>
      <c r="EV219">
        <f t="shared" si="188"/>
        <v>0</v>
      </c>
      <c r="EW219">
        <f>IF(EV219=0,0,1+COUNTIF(EW$3:EW218,"&gt;0"))</f>
        <v>0</v>
      </c>
      <c r="EX219" t="str">
        <f t="shared" si="213"/>
        <v/>
      </c>
      <c r="EY219" t="str">
        <f t="shared" si="189"/>
        <v/>
      </c>
      <c r="FA219">
        <f t="shared" si="190"/>
        <v>0</v>
      </c>
      <c r="FB219">
        <f>IF(FA219=0,0,1+COUNTIF(FB$3:FB218,"&gt;0"))</f>
        <v>0</v>
      </c>
      <c r="FC219" t="str">
        <f t="shared" si="214"/>
        <v/>
      </c>
      <c r="FD219" t="str">
        <f t="shared" si="191"/>
        <v/>
      </c>
      <c r="FF219">
        <f t="shared" si="192"/>
        <v>0</v>
      </c>
      <c r="FG219">
        <f>IF(FF219=0,0,1+COUNTIF(FG$3:FG218,"&gt;0"))</f>
        <v>0</v>
      </c>
      <c r="FH219" t="str">
        <f t="shared" si="215"/>
        <v/>
      </c>
      <c r="FI219" t="str">
        <f t="shared" si="193"/>
        <v/>
      </c>
      <c r="FK219">
        <f t="shared" si="194"/>
        <v>0</v>
      </c>
      <c r="FL219">
        <f>IF(FK219=0,0,1+COUNTIF(FL$3:FL218,"&gt;0"))</f>
        <v>0</v>
      </c>
      <c r="FM219" t="str">
        <f t="shared" si="216"/>
        <v/>
      </c>
      <c r="FN219" t="str">
        <f t="shared" si="195"/>
        <v/>
      </c>
      <c r="FP219">
        <f t="shared" si="196"/>
        <v>0</v>
      </c>
      <c r="FQ219">
        <f>IF(FP219=0,0,1+COUNTIF(FQ$3:FQ218,"&gt;0"))</f>
        <v>0</v>
      </c>
      <c r="FR219" t="str">
        <f t="shared" si="217"/>
        <v/>
      </c>
      <c r="FS219" t="str">
        <f t="shared" si="197"/>
        <v/>
      </c>
    </row>
    <row r="220" spans="1:175" x14ac:dyDescent="0.25">
      <c r="A220" s="347">
        <f t="shared" si="219"/>
        <v>218</v>
      </c>
      <c r="B220" s="348" t="s">
        <v>2600</v>
      </c>
      <c r="C220" s="348">
        <v>5</v>
      </c>
      <c r="D220" s="347">
        <v>5</v>
      </c>
      <c r="E220" s="627" t="s">
        <v>6952</v>
      </c>
      <c r="F220" s="346"/>
      <c r="G220" s="347" t="str">
        <f>""</f>
        <v/>
      </c>
      <c r="H220" s="347" t="s">
        <v>5912</v>
      </c>
      <c r="I220" s="347" t="s">
        <v>424</v>
      </c>
      <c r="J220" s="347" t="str">
        <f t="shared" si="167"/>
        <v/>
      </c>
      <c r="K220" s="347" t="s">
        <v>5278</v>
      </c>
      <c r="L220" s="611" t="str">
        <f t="shared" si="168"/>
        <v>V, S</v>
      </c>
      <c r="M220" s="347" t="s">
        <v>2373</v>
      </c>
      <c r="N220" s="347" t="s">
        <v>2387</v>
      </c>
      <c r="O220" s="347" t="s">
        <v>3034</v>
      </c>
      <c r="P220" s="346" t="str">
        <f>""</f>
        <v/>
      </c>
      <c r="Q220" s="347" t="s">
        <v>5271</v>
      </c>
      <c r="S220" s="346" t="s">
        <v>5762</v>
      </c>
      <c r="T220" s="346" t="str">
        <f t="shared" si="169"/>
        <v xml:space="preserve">Bard, Cleric, Druid, Life, </v>
      </c>
      <c r="U220" s="347" t="str">
        <f>$B220</f>
        <v>Mass Cure Wounds</v>
      </c>
      <c r="Z220" s="347" t="str">
        <f>$B220</f>
        <v>Mass Cure Wounds</v>
      </c>
      <c r="AA220" s="347" t="str">
        <f>$B220</f>
        <v>Mass Cure Wounds</v>
      </c>
      <c r="AE220" t="str">
        <f>IF(IFERROR(MATCH($B220,temp!A$4:A$13,0),0)&gt;0,T08_Spells!AE$2,"")</f>
        <v/>
      </c>
      <c r="AF220" t="str">
        <f>IF(IFERROR(MATCH($B220,temp!B$4:B$13,0),0)&gt;0,T08_Spells!AF$2,"")</f>
        <v/>
      </c>
      <c r="AG220" t="str">
        <f>IF(IFERROR(MATCH($B220,temp!C$4:C$13,0),0)&gt;0,T08_Spells!AG$2,"")</f>
        <v/>
      </c>
      <c r="AH220" t="str">
        <f>IF(IFERROR(MATCH($B220,temp!D$4:D$13,0),0)&gt;0,T08_Spells!AH$2,"")</f>
        <v/>
      </c>
      <c r="AI220" t="str">
        <f>IF(IFERROR(MATCH($B220,temp!E$4:E$13,0),0)&gt;0,T08_Spells!AI$2,"")</f>
        <v/>
      </c>
      <c r="AJ220" t="str">
        <f>IF(IFERROR(MATCH($B220,temp!F$4:F$13,0),0)&gt;0,T08_Spells!AJ$2,"")</f>
        <v/>
      </c>
      <c r="AK220" t="str">
        <f>IF(IFERROR(MATCH($B220,temp!G$4:G$13,0),0)&gt;0,T08_Spells!AK$2,"")</f>
        <v/>
      </c>
      <c r="AL220" t="str">
        <f>IF(IFERROR(MATCH($B220,temp!H$4:H$13,0),0)&gt;0,T08_Spells!AL$2,"")</f>
        <v/>
      </c>
      <c r="AM220" t="str">
        <f>IF(IFERROR(MATCH($B220,temp!I$4:I$13,0),0)&gt;0,T08_Spells!AM$2,"")</f>
        <v/>
      </c>
      <c r="AN220" t="str">
        <f>IF(IFERROR(MATCH($B220,temp!J$4:J$13,0),0)&gt;0,T08_Spells!AN$2,"")</f>
        <v/>
      </c>
      <c r="AO220" t="str">
        <f>IF(IFERROR(MATCH($B220,temp!K$4:K$13,0),0)&gt;0,T08_Spells!AO$2,"")</f>
        <v/>
      </c>
      <c r="AP220" t="str">
        <f>IF(IFERROR(MATCH($B220,temp!L$4:L$13,0),0)&gt;0,T08_Spells!AP$2,"")</f>
        <v/>
      </c>
      <c r="AQ220" t="str">
        <f>IF(IFERROR(MATCH($B220,temp!M$4:M$13,0),0)&gt;0,T08_Spells!AQ$2,"")</f>
        <v/>
      </c>
      <c r="AR220" t="str">
        <f>IF(IFERROR(MATCH($B220,temp!N$4:N$13,0),0)&gt;0,T08_Spells!AR$2,"")</f>
        <v/>
      </c>
      <c r="AS220" t="str">
        <f>IF(IFERROR(MATCH($B220,temp!O$4:O$13,0),0)&gt;0,T08_Spells!AS$2,"")</f>
        <v/>
      </c>
      <c r="AT220" t="str">
        <f>IF(IFERROR(MATCH($B220,temp!P$4:P$13,0),0)&gt;0,T08_Spells!AT$2,"")</f>
        <v/>
      </c>
      <c r="AU220" t="str">
        <f>IF(IFERROR(MATCH($B220,temp!Q$4:Q$13,0),0)&gt;0,T08_Spells!AU$2,"")</f>
        <v>Life</v>
      </c>
      <c r="AV220" t="str">
        <f>IF(IFERROR(MATCH($B220,temp!R$4:R$13,0),0)&gt;0,T08_Spells!AV$2,"")</f>
        <v/>
      </c>
      <c r="AW220" t="str">
        <f>IF(IFERROR(MATCH($B220,temp!S$4:S$13,0),0)&gt;0,T08_Spells!AW$2,"")</f>
        <v/>
      </c>
      <c r="AX220" t="str">
        <f>IF(IFERROR(MATCH($B220,temp!T$4:T$13,0),0)&gt;0,T08_Spells!AX$2,"")</f>
        <v/>
      </c>
      <c r="AY220" t="str">
        <f>IF(IFERROR(MATCH($B220,temp!U$4:U$13,0),0)&gt;0,T08_Spells!AY$2,"")</f>
        <v/>
      </c>
      <c r="AZ220" t="str">
        <f>IF(IFERROR(MATCH($B220,temp!V$4:V$13,0),0)&gt;0,T08_Spells!AZ$2,"")</f>
        <v/>
      </c>
      <c r="BA220" t="str">
        <f>IF(IFERROR(MATCH($B220,temp!W$4:W$13,0),0)&gt;0,T08_Spells!BA$2,"")</f>
        <v/>
      </c>
      <c r="BC220">
        <f>IF(IFERROR(SEARCH("Ranger",$T220,1),0)&gt;0,1,0)*IF(RangerMaxSpellLevel&gt;=$C220,1,0)*IF(IFERROR(MATCH(B220,Character_Creation!$X$79:$X$382,0),0)&gt;0,0,1)</f>
        <v>0</v>
      </c>
      <c r="BD220">
        <f>IF(BC220=0,0,1+COUNTIF(BD$3:BD219,"&gt;0"))</f>
        <v>0</v>
      </c>
      <c r="BE220" t="str">
        <f t="shared" si="199"/>
        <v/>
      </c>
      <c r="BF220" t="str">
        <f t="shared" si="170"/>
        <v/>
      </c>
      <c r="BH220">
        <f>IF(IFERROR(SEARCH("Sorcerer",$T220,1),0)&gt;0,1,0)*IF(SorcererMaxSpellLevel&gt;=$C220,1,0)*IF(IFERROR(MATCH(B220,Character_Creation!$J$380:$J$394,0),0)&gt;0,0,1)</f>
        <v>0</v>
      </c>
      <c r="BI220">
        <f>IF(BH220=0,0,1+COUNTIF(BI$3:BI219,"&gt;0"))</f>
        <v>0</v>
      </c>
      <c r="BJ220" t="str">
        <f t="shared" si="200"/>
        <v/>
      </c>
      <c r="BK220" t="str">
        <f t="shared" si="171"/>
        <v/>
      </c>
      <c r="BM220">
        <f>IF(OR(IFERROR(SEARCH("Warlock",$T220,1),0)&gt;0,IFERROR(SEARCH(WarlockPatron,$T220,1),0)&gt;0),1,0)*IF(WarlockMaxSpellLevel&gt;=$C220,1,0)*IF(IFERROR(MATCH(B220,Character_Creation!$J$361:$J$375,0),0)&gt;0,0,1)</f>
        <v>0</v>
      </c>
      <c r="BN220">
        <f>IF(BM220=0,0,1+COUNTIF(BN$3:BN219,"&gt;0"))</f>
        <v>0</v>
      </c>
      <c r="BO220" t="str">
        <f t="shared" si="201"/>
        <v/>
      </c>
      <c r="BP220" t="str">
        <f t="shared" si="172"/>
        <v/>
      </c>
      <c r="BR220">
        <f>IF(IFERROR(SEARCH("Eldritch Knight",$T220,1),0)&gt;0,1,0)*IF(EldritchKnightMaxSpellLevel&gt;=$C220,1,0)*IF(IFERROR(MATCH($B220,Character_Creation!$J$350:$J$356,0),0)&gt;0,0,1)*IF(Character_Creation!$M$338&gt;0,1,0)</f>
        <v>0</v>
      </c>
      <c r="BS220">
        <f>IF(BR220=0,0,1+COUNTIF(BS$3:BS219,"&gt;0"))</f>
        <v>0</v>
      </c>
      <c r="BT220" t="str">
        <f t="shared" si="202"/>
        <v/>
      </c>
      <c r="BU220" t="str">
        <f t="shared" si="173"/>
        <v/>
      </c>
      <c r="BW220">
        <f>IF(IFERROR(SEARCH("Arcane Trickster",$T220,1),0)&gt;0,1,0)*IF(ArcaneTricksterMaxSpellLevel&gt;=$C220,1,0)*IF(IFERROR(MATCH($B220,Character_Creation!$J$350:$J$356,0),0)&gt;0,0,1)*IF(Character_Creation!$T$338&gt;0,1,0)</f>
        <v>0</v>
      </c>
      <c r="BX220">
        <f>IF(BW220=0,0,1+COUNTIF(BX$3:BX219,"&gt;0"))</f>
        <v>0</v>
      </c>
      <c r="BY220" t="str">
        <f t="shared" si="203"/>
        <v/>
      </c>
      <c r="BZ220" t="str">
        <f t="shared" si="174"/>
        <v/>
      </c>
      <c r="CB220">
        <f>IF(IFERROR(SEARCH("Wizard",$T220,1),0)&gt;0,1,0)*IF(C220&lt;=ArcaneTricksterMaxSpellLevel,1,0)*IF(IFERROR(MATCH($B220,Character_Creation!$J$350:$J$356,0),0)&gt;0,0,1)*IF(Character_Creation!$T$350&gt;0,1,0)</f>
        <v>0</v>
      </c>
      <c r="CC220">
        <f>IF(CB220=0,0,1+COUNTIF(CC$3:CC219,"&gt;0"))</f>
        <v>0</v>
      </c>
      <c r="CD220" t="str">
        <f t="shared" si="204"/>
        <v/>
      </c>
      <c r="CE220" t="str">
        <f t="shared" si="175"/>
        <v/>
      </c>
      <c r="CG220">
        <f>IF(IFERROR(SEARCH("Wizard",$T220,1),0)&gt;0,1,0)*IF($C220&lt;=EldritchKnightMaxSpellLevel,1,0)*IF(IFERROR(MATCH($B220,Character_Creation!$J$350:$J$356,0),0)&gt;0,0,1)*IF(Character_Creation!$M$350&gt;0,1,0)</f>
        <v>0</v>
      </c>
      <c r="CH220">
        <f>IF(CG220=0,0,1+COUNTIF(CH$3:CH219,"&gt;0"))</f>
        <v>0</v>
      </c>
      <c r="CI220" t="str">
        <f t="shared" si="205"/>
        <v/>
      </c>
      <c r="CJ220" t="str">
        <f t="shared" si="176"/>
        <v/>
      </c>
      <c r="CL220">
        <f>IF(IFERROR(SEARCH("Bard",$T220,1),0)&gt;0,1,0)*IF(BardMaxSpellLevel&gt;=$C220,1,0)*IF(IFERROR(MATCH(B220,Character_Creation!$C$341:$F$362,0),0)&gt;0,0,1)*IF(IFERROR(MATCH($B220,Character_Creation!$C$341:$C$362,0),0)&gt;0,0,1)</f>
        <v>0</v>
      </c>
      <c r="CM220">
        <f>IF(CL220=0,0,1+COUNTIF(CM$3:CM219,"&gt;0"))</f>
        <v>0</v>
      </c>
      <c r="CN220" t="str">
        <f t="shared" si="206"/>
        <v/>
      </c>
      <c r="CO220" t="str">
        <f t="shared" si="177"/>
        <v/>
      </c>
      <c r="CQ220">
        <f>IF(IFERROR(SEARCH("Wizard",$T220,1),0)&gt;0,1,0)*IF(WizardMaxSpellLevel&gt;=$C220,1,0)*IF(IFERROR(MATCH(B220,Character_Creation!$X$341:$X$400,0),0)&gt;0,0,1)*IF(SelectedWizardSpellLevel=$C220,1,0)</f>
        <v>0</v>
      </c>
      <c r="CR220">
        <f>IF(CQ220=0,0,1+COUNTIF(CR$3:CR219,"&gt;0"))</f>
        <v>0</v>
      </c>
      <c r="CS220" t="str">
        <f t="shared" si="207"/>
        <v/>
      </c>
      <c r="CT220" t="str">
        <f t="shared" si="178"/>
        <v/>
      </c>
      <c r="CV220">
        <f>IF(IFERROR(MATCH($B220,Character_Creation!$C$341:$C$362,0),0)&gt;0,0,1)*IF(OR(C220="Cantrip",C220&lt;=BardMaxSpellLevel),1,0)*IF(IFERROR(MATCH($B220,Character_Creation!$C$367:$C$374,0),0)&gt;0,0,1)</f>
        <v>0</v>
      </c>
      <c r="CW220">
        <f>IF(CV220=0,0,1+COUNTIF(CW$3:CW219,"&gt;0"))</f>
        <v>0</v>
      </c>
      <c r="CX220" t="str">
        <f t="shared" si="208"/>
        <v/>
      </c>
      <c r="CY220" t="str">
        <f t="shared" si="179"/>
        <v/>
      </c>
      <c r="DA220">
        <f>IF(IF(OR(IFERROR(SEARCH("Cleric",$T220,1),0)&gt;0,IFERROR(SEARCH(DivineDomain&amp;",",$T220,1),0)&gt;0),1,0)*IF($C220=DA$2,1,0)=1,1+COUNTIF(DA$3:DA219,"&gt;0"),0)</f>
        <v>0</v>
      </c>
      <c r="DB220">
        <f>IF(IF(OR(IFERROR(SEARCH("Cleric",$T220,1),0)&gt;0,IFERROR(SEARCH(DivineDomain&amp;",",$T220,1),0)&gt;0),1,0)*IF($C220=DB$2,1,0)=1,1+COUNTIF(DB$3:DB219,"&gt;0"),0)</f>
        <v>0</v>
      </c>
      <c r="DC220">
        <f>IF(IF(OR(IFERROR(SEARCH("Cleric",$T220,1),0)&gt;0,IFERROR(SEARCH(DivineDomain&amp;",",$T220,1),0)&gt;0),1,0)*IF($C220=DC$2,1,0)=1,1+COUNTIF(DC$3:DC219,"&gt;0"),0)</f>
        <v>0</v>
      </c>
      <c r="DD220">
        <f>IF(IF(OR(IFERROR(SEARCH("Cleric",$T220,1),0)&gt;0,IFERROR(SEARCH(DivineDomain&amp;",",$T220,1),0)&gt;0),1,0)*IF($C220=DD$2,1,0)=1,1+COUNTIF(DD$3:DD219,"&gt;0"),0)</f>
        <v>0</v>
      </c>
      <c r="DE220">
        <f>IF(IF(OR(IFERROR(SEARCH("Cleric",$T220,1),0)&gt;0,IFERROR(SEARCH(DivineDomain&amp;",",$T220,1),0)&gt;0),1,0)*IF($C220=DE$2,1,0)=1,1+COUNTIF(DE$3:DE219,"&gt;0"),0)</f>
        <v>10</v>
      </c>
      <c r="DF220">
        <f>IF(IF(OR(IFERROR(SEARCH("Cleric",$T220,1),0)&gt;0,IFERROR(SEARCH(DivineDomain&amp;",",$T220,1),0)&gt;0),1,0)*IF($C220=DF$2,1,0)=1,1+COUNTIF(DF$3:DF219,"&gt;0"),0)</f>
        <v>0</v>
      </c>
      <c r="DG220">
        <f>IF(IF(OR(IFERROR(SEARCH("Cleric",$T220,1),0)&gt;0,IFERROR(SEARCH(DivineDomain&amp;",",$T220,1),0)&gt;0),1,0)*IF($C220=DG$2,1,0)=1,1+COUNTIF(DG$3:DG219,"&gt;0"),0)</f>
        <v>0</v>
      </c>
      <c r="DH220">
        <f>IF(IF(OR(IFERROR(SEARCH("Cleric",$T220,1),0)&gt;0,IFERROR(SEARCH(DivineDomain&amp;",",$T220,1),0)&gt;0),1,0)*IF($C220=DH$2,1,0)=1,1+COUNTIF(DH$3:DH219,"&gt;0"),0)</f>
        <v>0</v>
      </c>
      <c r="DI220">
        <f>IF(IF(OR(IFERROR(SEARCH("Cleric",$T220,1),0)&gt;0,IFERROR(SEARCH(DivineDomain&amp;",",$T220,1),0)&gt;0),1,0)*IF($C220=DI$2,1,0)=1,1+COUNTIF(DI$3:DI219,"&gt;0"),0)</f>
        <v>0</v>
      </c>
      <c r="DJ220">
        <f>IF(IF(OR(IFERROR(SEARCH("Druid",$T220,1),0)&gt;0,IFERROR(SEARCH(DruidLand1,$T220,1),0)&gt;0,IFERROR(SEARCH(DruidLand2,$T220,1),0)&gt;0,IFERROR(SEARCH(DruidLand3,$T220,1),0)&gt;0,IFERROR(SEARCH(DruidLand4,$T220,1),0)&gt;0),1,0)*IF($C220=1,1,0)*IF($C220=DJ$2,1,0)=0,0,1+COUNTIF(DJ$3:DJ219,"&gt;0"))</f>
        <v>0</v>
      </c>
      <c r="DK220">
        <f>IF(IF(OR(IFERROR(SEARCH("Druid",$T220,1),0)&gt;0,IFERROR(SEARCH(DruidLand1,$T220,1),0)&gt;0,IFERROR(SEARCH(DruidLand2,$T220,1),0)&gt;0,IFERROR(SEARCH(DruidLand3,$T220,1),0)&gt;0,IFERROR(SEARCH(DruidLand4,$T220,1),0)&gt;0),1,0)*IF($C220=DK$2,1,0)=0,0,1+COUNTIF(DK$3:DK219,"&gt;0"))</f>
        <v>0</v>
      </c>
      <c r="DL220">
        <f>IF(IF(OR(IFERROR(SEARCH("Druid",$T220,1),0)&gt;0,IFERROR(SEARCH(DruidLand1,$T220,1),0)&gt;0,IFERROR(SEARCH(DruidLand2,$T220,1),0)&gt;0,IFERROR(SEARCH(DruidLand3,$T220,1),0)&gt;0,IFERROR(SEARCH(DruidLand4,$T220,1),0)&gt;0),1,0)*IF($C220=DL$2,1,0)=0,0,1+COUNTIF(DL$3:DL219,"&gt;0"))</f>
        <v>0</v>
      </c>
      <c r="DM220">
        <f>IF(IF(OR(IFERROR(SEARCH("Druid",$T220,1),0)&gt;0,IFERROR(SEARCH(DruidLand1,$T220,1),0)&gt;0,IFERROR(SEARCH(DruidLand2,$T220,1),0)&gt;0,IFERROR(SEARCH(DruidLand3,$T220,1),0)&gt;0,IFERROR(SEARCH(DruidLand4,$T220,1),0)&gt;0),1,0)*IF($C220=DM$2,1,0)=0,0,1+COUNTIF(DM$3:DM219,"&gt;0"))</f>
        <v>0</v>
      </c>
      <c r="DN220">
        <f>IF(IF(OR(IFERROR(SEARCH("Druid",$T220,1),0)&gt;0,IFERROR(SEARCH(DruidLand1,$T220,1),0)&gt;0,IFERROR(SEARCH(DruidLand2,$T220,1),0)&gt;0,IFERROR(SEARCH(DruidLand3,$T220,1),0)&gt;0,IFERROR(SEARCH(DruidLand4,$T220,1),0)&gt;0),1,0)*IF($C220=DN$2,1,0)=0,0,1+COUNTIF(DN$3:DN219,"&gt;0"))</f>
        <v>9</v>
      </c>
      <c r="DO220">
        <f>IF(IF(OR(IFERROR(SEARCH("Druid",$T220,1),0)&gt;0,IFERROR(SEARCH(DruidLand1,$T220,1),0)&gt;0,IFERROR(SEARCH(DruidLand2,$T220,1),0)&gt;0,IFERROR(SEARCH(DruidLand3,$T220,1),0)&gt;0,IFERROR(SEARCH(DruidLand4,$T220,1),0)&gt;0),1,0)*IF($C220=DO$2,1,0)=0,0,1+COUNTIF(DO$3:DO219,"&gt;0"))</f>
        <v>0</v>
      </c>
      <c r="DP220">
        <f>IF(IF(OR(IFERROR(SEARCH("Druid",$T220,1),0)&gt;0,IFERROR(SEARCH(DruidLand1,$T220,1),0)&gt;0,IFERROR(SEARCH(DruidLand2,$T220,1),0)&gt;0,IFERROR(SEARCH(DruidLand3,$T220,1),0)&gt;0,IFERROR(SEARCH(DruidLand4,$T220,1),0)&gt;0),1,0)*IF($C220=DP$2,1,0)=0,0,1+COUNTIF(DP$3:DP219,"&gt;0"))</f>
        <v>0</v>
      </c>
      <c r="DQ220">
        <f>IF(IF(OR(IFERROR(SEARCH("Druid",$T220,1),0)&gt;0,IFERROR(SEARCH(DruidLand1,$T220,1),0)&gt;0,IFERROR(SEARCH(DruidLand2,$T220,1),0)&gt;0,IFERROR(SEARCH(DruidLand3,$T220,1),0)&gt;0,IFERROR(SEARCH(DruidLand4,$T220,1),0)&gt;0),1,0)*IF($C220=DQ$2,1,0)=0,0,1+COUNTIF(DQ$3:DQ219,"&gt;0"))</f>
        <v>0</v>
      </c>
      <c r="DR220">
        <f>IF(IF(OR(IFERROR(SEARCH("Druid",$T220,1),0)&gt;0,IFERROR(SEARCH(DruidLand1,$T220,1),0)&gt;0,IFERROR(SEARCH(DruidLand2,$T220,1),0)&gt;0,IFERROR(SEARCH(DruidLand3,$T220,1),0)&gt;0,IFERROR(SEARCH(DruidLand4,$T220,1),0)&gt;0),1,0)*IF($C220=DR$2,1,0)=0,0,1+COUNTIF(DR$3:DR219,"&gt;0"))</f>
        <v>0</v>
      </c>
      <c r="DS220">
        <f>IF(IF(OR(IFERROR(SEARCH("Paladin",$T220,1),0)&gt;0,IFERROR(SEARCH(PaladinOath,$T220,1),0)&gt;0),1,0)*IF($C220=DS$2,1,0)=1,1+COUNTIF(DS$3:DS219,"&gt;0"),0)</f>
        <v>0</v>
      </c>
      <c r="DT220">
        <f>IF(IF(OR(IFERROR(SEARCH("Paladin",$T220,1),0)&gt;0,IFERROR(SEARCH(PaladinOath,$T220,1),0)&gt;0),1,0)*IF($C220=DT$2,1,0)=1,1+COUNTIF(DT$3:DT219,"&gt;0"),0)</f>
        <v>0</v>
      </c>
      <c r="DU220">
        <f>IF(IF(OR(IFERROR(SEARCH("Paladin",$T220,1),0)&gt;0,IFERROR(SEARCH(PaladinOath,$T220,1),0)&gt;0),1,0)*IF($C220=DU$2,1,0)=1,1+COUNTIF(DU$3:DU219,"&gt;0"),0)</f>
        <v>0</v>
      </c>
      <c r="DV220">
        <f>IF(IF(OR(IFERROR(SEARCH("Paladin",$T220,1),0)&gt;0,IFERROR(SEARCH(PaladinOath,$T220,1),0)&gt;0),1,0)*IF($C220=DV$2,1,0)=1,1+COUNTIF(DV$3:DV219,"&gt;0"),0)</f>
        <v>0</v>
      </c>
      <c r="DW220">
        <f>IF(IF(OR(IFERROR(SEARCH("Paladin",$T220,1),0)&gt;0,IFERROR(SEARCH(PaladinOath,$T220,1),0)&gt;0),1,0)*IF($C220=DW$2,1,0)=1,1+COUNTIF(DW$3:DW219,"&gt;0"),0)</f>
        <v>0</v>
      </c>
      <c r="DY220">
        <f t="shared" si="166"/>
        <v>1</v>
      </c>
      <c r="DZ220">
        <f>IF(DY220=0,0,1+MAX(DZ$3:$DZ219))</f>
        <v>218</v>
      </c>
      <c r="EB220">
        <f t="shared" si="180"/>
        <v>0</v>
      </c>
      <c r="EC220">
        <f>IF(EB220=0,0,1+COUNTIF(EC$3:EC219,"&gt;0"))</f>
        <v>0</v>
      </c>
      <c r="ED220" t="str">
        <f t="shared" si="209"/>
        <v/>
      </c>
      <c r="EE220" t="str">
        <f t="shared" si="181"/>
        <v/>
      </c>
      <c r="EG220">
        <f t="shared" si="182"/>
        <v>0</v>
      </c>
      <c r="EH220">
        <f>IF(EG220=0,0,1+COUNTIF(EH$3:EH219,"&gt;0"))</f>
        <v>0</v>
      </c>
      <c r="EI220" t="str">
        <f t="shared" si="210"/>
        <v/>
      </c>
      <c r="EJ220" t="str">
        <f t="shared" si="183"/>
        <v/>
      </c>
      <c r="EL220">
        <f t="shared" si="184"/>
        <v>0</v>
      </c>
      <c r="EM220">
        <f>IF(EL220=0,0,1+COUNTIF(EM$3:EM219,"&gt;0"))</f>
        <v>0</v>
      </c>
      <c r="EN220" t="str">
        <f t="shared" si="211"/>
        <v/>
      </c>
      <c r="EO220" t="str">
        <f t="shared" si="185"/>
        <v/>
      </c>
      <c r="EQ220">
        <f t="shared" si="186"/>
        <v>0</v>
      </c>
      <c r="ER220">
        <f>IF(EQ220=0,0,1+COUNTIF(ER$3:ER219,"&gt;0"))</f>
        <v>0</v>
      </c>
      <c r="ES220" t="str">
        <f t="shared" si="212"/>
        <v/>
      </c>
      <c r="ET220" t="str">
        <f t="shared" si="187"/>
        <v/>
      </c>
      <c r="EV220">
        <f t="shared" si="188"/>
        <v>0</v>
      </c>
      <c r="EW220">
        <f>IF(EV220=0,0,1+COUNTIF(EW$3:EW219,"&gt;0"))</f>
        <v>0</v>
      </c>
      <c r="EX220" t="str">
        <f t="shared" si="213"/>
        <v/>
      </c>
      <c r="EY220" t="str">
        <f t="shared" si="189"/>
        <v/>
      </c>
      <c r="FA220">
        <f t="shared" si="190"/>
        <v>0</v>
      </c>
      <c r="FB220">
        <f>IF(FA220=0,0,1+COUNTIF(FB$3:FB219,"&gt;0"))</f>
        <v>0</v>
      </c>
      <c r="FC220" t="str">
        <f t="shared" si="214"/>
        <v/>
      </c>
      <c r="FD220" t="str">
        <f t="shared" si="191"/>
        <v/>
      </c>
      <c r="FF220">
        <f t="shared" si="192"/>
        <v>0</v>
      </c>
      <c r="FG220">
        <f>IF(FF220=0,0,1+COUNTIF(FG$3:FG219,"&gt;0"))</f>
        <v>0</v>
      </c>
      <c r="FH220" t="str">
        <f t="shared" si="215"/>
        <v/>
      </c>
      <c r="FI220" t="str">
        <f t="shared" si="193"/>
        <v/>
      </c>
      <c r="FK220">
        <f t="shared" si="194"/>
        <v>0</v>
      </c>
      <c r="FL220">
        <f>IF(FK220=0,0,1+COUNTIF(FL$3:FL219,"&gt;0"))</f>
        <v>0</v>
      </c>
      <c r="FM220" t="str">
        <f t="shared" si="216"/>
        <v/>
      </c>
      <c r="FN220" t="str">
        <f t="shared" si="195"/>
        <v/>
      </c>
      <c r="FP220">
        <f t="shared" si="196"/>
        <v>0</v>
      </c>
      <c r="FQ220">
        <f>IF(FP220=0,0,1+COUNTIF(FQ$3:FQ219,"&gt;0"))</f>
        <v>0</v>
      </c>
      <c r="FR220" t="str">
        <f t="shared" si="217"/>
        <v/>
      </c>
      <c r="FS220" t="str">
        <f t="shared" si="197"/>
        <v/>
      </c>
    </row>
    <row r="221" spans="1:175" x14ac:dyDescent="0.25">
      <c r="A221" s="347">
        <f t="shared" si="219"/>
        <v>219</v>
      </c>
      <c r="B221" s="348" t="s">
        <v>2601</v>
      </c>
      <c r="C221" s="348">
        <v>9</v>
      </c>
      <c r="D221" s="347">
        <v>9</v>
      </c>
      <c r="E221" s="627" t="s">
        <v>6952</v>
      </c>
      <c r="F221" s="346"/>
      <c r="G221" s="347" t="str">
        <f>""</f>
        <v/>
      </c>
      <c r="H221" s="347" t="s">
        <v>5912</v>
      </c>
      <c r="I221" s="347" t="s">
        <v>424</v>
      </c>
      <c r="J221" s="347" t="str">
        <f t="shared" si="167"/>
        <v/>
      </c>
      <c r="K221" s="347" t="s">
        <v>5278</v>
      </c>
      <c r="L221" s="611" t="str">
        <f t="shared" si="168"/>
        <v>V, S</v>
      </c>
      <c r="M221" s="347" t="s">
        <v>2373</v>
      </c>
      <c r="N221" s="347" t="s">
        <v>2387</v>
      </c>
      <c r="O221" s="347" t="s">
        <v>3034</v>
      </c>
      <c r="P221" s="346" t="str">
        <f>""</f>
        <v/>
      </c>
      <c r="Q221" s="347" t="s">
        <v>5271</v>
      </c>
      <c r="S221" s="346" t="s">
        <v>2602</v>
      </c>
      <c r="T221" s="346" t="str">
        <f t="shared" si="169"/>
        <v xml:space="preserve">Cleric, </v>
      </c>
      <c r="Z221" s="347" t="str">
        <f>$B221</f>
        <v>Mass Heal</v>
      </c>
      <c r="AE221" t="str">
        <f>IF(IFERROR(MATCH($B221,temp!A$4:A$13,0),0)&gt;0,T08_Spells!AE$2,"")</f>
        <v/>
      </c>
      <c r="AF221" t="str">
        <f>IF(IFERROR(MATCH($B221,temp!B$4:B$13,0),0)&gt;0,T08_Spells!AF$2,"")</f>
        <v/>
      </c>
      <c r="AG221" t="str">
        <f>IF(IFERROR(MATCH($B221,temp!C$4:C$13,0),0)&gt;0,T08_Spells!AG$2,"")</f>
        <v/>
      </c>
      <c r="AH221" t="str">
        <f>IF(IFERROR(MATCH($B221,temp!D$4:D$13,0),0)&gt;0,T08_Spells!AH$2,"")</f>
        <v/>
      </c>
      <c r="AI221" t="str">
        <f>IF(IFERROR(MATCH($B221,temp!E$4:E$13,0),0)&gt;0,T08_Spells!AI$2,"")</f>
        <v/>
      </c>
      <c r="AJ221" t="str">
        <f>IF(IFERROR(MATCH($B221,temp!F$4:F$13,0),0)&gt;0,T08_Spells!AJ$2,"")</f>
        <v/>
      </c>
      <c r="AK221" t="str">
        <f>IF(IFERROR(MATCH($B221,temp!G$4:G$13,0),0)&gt;0,T08_Spells!AK$2,"")</f>
        <v/>
      </c>
      <c r="AL221" t="str">
        <f>IF(IFERROR(MATCH($B221,temp!H$4:H$13,0),0)&gt;0,T08_Spells!AL$2,"")</f>
        <v/>
      </c>
      <c r="AM221" t="str">
        <f>IF(IFERROR(MATCH($B221,temp!I$4:I$13,0),0)&gt;0,T08_Spells!AM$2,"")</f>
        <v/>
      </c>
      <c r="AN221" t="str">
        <f>IF(IFERROR(MATCH($B221,temp!J$4:J$13,0),0)&gt;0,T08_Spells!AN$2,"")</f>
        <v/>
      </c>
      <c r="AO221" t="str">
        <f>IF(IFERROR(MATCH($B221,temp!K$4:K$13,0),0)&gt;0,T08_Spells!AO$2,"")</f>
        <v/>
      </c>
      <c r="AP221" t="str">
        <f>IF(IFERROR(MATCH($B221,temp!L$4:L$13,0),0)&gt;0,T08_Spells!AP$2,"")</f>
        <v/>
      </c>
      <c r="AQ221" t="str">
        <f>IF(IFERROR(MATCH($B221,temp!M$4:M$13,0),0)&gt;0,T08_Spells!AQ$2,"")</f>
        <v/>
      </c>
      <c r="AR221" t="str">
        <f>IF(IFERROR(MATCH($B221,temp!N$4:N$13,0),0)&gt;0,T08_Spells!AR$2,"")</f>
        <v/>
      </c>
      <c r="AS221" t="str">
        <f>IF(IFERROR(MATCH($B221,temp!O$4:O$13,0),0)&gt;0,T08_Spells!AS$2,"")</f>
        <v/>
      </c>
      <c r="AT221" t="str">
        <f>IF(IFERROR(MATCH($B221,temp!P$4:P$13,0),0)&gt;0,T08_Spells!AT$2,"")</f>
        <v/>
      </c>
      <c r="AU221" t="str">
        <f>IF(IFERROR(MATCH($B221,temp!Q$4:Q$13,0),0)&gt;0,T08_Spells!AU$2,"")</f>
        <v/>
      </c>
      <c r="AV221" t="str">
        <f>IF(IFERROR(MATCH($B221,temp!R$4:R$13,0),0)&gt;0,T08_Spells!AV$2,"")</f>
        <v/>
      </c>
      <c r="AW221" t="str">
        <f>IF(IFERROR(MATCH($B221,temp!S$4:S$13,0),0)&gt;0,T08_Spells!AW$2,"")</f>
        <v/>
      </c>
      <c r="AX221" t="str">
        <f>IF(IFERROR(MATCH($B221,temp!T$4:T$13,0),0)&gt;0,T08_Spells!AX$2,"")</f>
        <v/>
      </c>
      <c r="AY221" t="str">
        <f>IF(IFERROR(MATCH($B221,temp!U$4:U$13,0),0)&gt;0,T08_Spells!AY$2,"")</f>
        <v/>
      </c>
      <c r="AZ221" t="str">
        <f>IF(IFERROR(MATCH($B221,temp!V$4:V$13,0),0)&gt;0,T08_Spells!AZ$2,"")</f>
        <v/>
      </c>
      <c r="BA221" t="str">
        <f>IF(IFERROR(MATCH($B221,temp!W$4:W$13,0),0)&gt;0,T08_Spells!BA$2,"")</f>
        <v/>
      </c>
      <c r="BC221">
        <f>IF(IFERROR(SEARCH("Ranger",$T221,1),0)&gt;0,1,0)*IF(RangerMaxSpellLevel&gt;=$C221,1,0)*IF(IFERROR(MATCH(B221,Character_Creation!$X$79:$X$382,0),0)&gt;0,0,1)</f>
        <v>0</v>
      </c>
      <c r="BD221">
        <f>IF(BC221=0,0,1+COUNTIF(BD$3:BD220,"&gt;0"))</f>
        <v>0</v>
      </c>
      <c r="BE221" t="str">
        <f t="shared" si="199"/>
        <v/>
      </c>
      <c r="BF221" t="str">
        <f t="shared" si="170"/>
        <v/>
      </c>
      <c r="BH221">
        <f>IF(IFERROR(SEARCH("Sorcerer",$T221,1),0)&gt;0,1,0)*IF(SorcererMaxSpellLevel&gt;=$C221,1,0)*IF(IFERROR(MATCH(B221,Character_Creation!$J$380:$J$394,0),0)&gt;0,0,1)</f>
        <v>0</v>
      </c>
      <c r="BI221">
        <f>IF(BH221=0,0,1+COUNTIF(BI$3:BI220,"&gt;0"))</f>
        <v>0</v>
      </c>
      <c r="BJ221" t="str">
        <f t="shared" si="200"/>
        <v/>
      </c>
      <c r="BK221" t="str">
        <f t="shared" si="171"/>
        <v/>
      </c>
      <c r="BM221">
        <f>IF(OR(IFERROR(SEARCH("Warlock",$T221,1),0)&gt;0,IFERROR(SEARCH(WarlockPatron,$T221,1),0)&gt;0),1,0)*IF(WarlockMaxSpellLevel&gt;=$C221,1,0)*IF(IFERROR(MATCH(B221,Character_Creation!$J$361:$J$375,0),0)&gt;0,0,1)</f>
        <v>0</v>
      </c>
      <c r="BN221">
        <f>IF(BM221=0,0,1+COUNTIF(BN$3:BN220,"&gt;0"))</f>
        <v>0</v>
      </c>
      <c r="BO221" t="str">
        <f t="shared" si="201"/>
        <v/>
      </c>
      <c r="BP221" t="str">
        <f t="shared" si="172"/>
        <v/>
      </c>
      <c r="BR221">
        <f>IF(IFERROR(SEARCH("Eldritch Knight",$T221,1),0)&gt;0,1,0)*IF(EldritchKnightMaxSpellLevel&gt;=$C221,1,0)*IF(IFERROR(MATCH($B221,Character_Creation!$J$350:$J$356,0),0)&gt;0,0,1)*IF(Character_Creation!$M$338&gt;0,1,0)</f>
        <v>0</v>
      </c>
      <c r="BS221">
        <f>IF(BR221=0,0,1+COUNTIF(BS$3:BS220,"&gt;0"))</f>
        <v>0</v>
      </c>
      <c r="BT221" t="str">
        <f t="shared" si="202"/>
        <v/>
      </c>
      <c r="BU221" t="str">
        <f t="shared" si="173"/>
        <v/>
      </c>
      <c r="BW221">
        <f>IF(IFERROR(SEARCH("Arcane Trickster",$T221,1),0)&gt;0,1,0)*IF(ArcaneTricksterMaxSpellLevel&gt;=$C221,1,0)*IF(IFERROR(MATCH($B221,Character_Creation!$J$350:$J$356,0),0)&gt;0,0,1)*IF(Character_Creation!$T$338&gt;0,1,0)</f>
        <v>0</v>
      </c>
      <c r="BX221">
        <f>IF(BW221=0,0,1+COUNTIF(BX$3:BX220,"&gt;0"))</f>
        <v>0</v>
      </c>
      <c r="BY221" t="str">
        <f t="shared" si="203"/>
        <v/>
      </c>
      <c r="BZ221" t="str">
        <f t="shared" si="174"/>
        <v/>
      </c>
      <c r="CB221">
        <f>IF(IFERROR(SEARCH("Wizard",$T221,1),0)&gt;0,1,0)*IF(C221&lt;=ArcaneTricksterMaxSpellLevel,1,0)*IF(IFERROR(MATCH($B221,Character_Creation!$J$350:$J$356,0),0)&gt;0,0,1)*IF(Character_Creation!$T$350&gt;0,1,0)</f>
        <v>0</v>
      </c>
      <c r="CC221">
        <f>IF(CB221=0,0,1+COUNTIF(CC$3:CC220,"&gt;0"))</f>
        <v>0</v>
      </c>
      <c r="CD221" t="str">
        <f t="shared" si="204"/>
        <v/>
      </c>
      <c r="CE221" t="str">
        <f t="shared" si="175"/>
        <v/>
      </c>
      <c r="CG221">
        <f>IF(IFERROR(SEARCH("Wizard",$T221,1),0)&gt;0,1,0)*IF($C221&lt;=EldritchKnightMaxSpellLevel,1,0)*IF(IFERROR(MATCH($B221,Character_Creation!$J$350:$J$356,0),0)&gt;0,0,1)*IF(Character_Creation!$M$350&gt;0,1,0)</f>
        <v>0</v>
      </c>
      <c r="CH221">
        <f>IF(CG221=0,0,1+COUNTIF(CH$3:CH220,"&gt;0"))</f>
        <v>0</v>
      </c>
      <c r="CI221" t="str">
        <f t="shared" si="205"/>
        <v/>
      </c>
      <c r="CJ221" t="str">
        <f t="shared" si="176"/>
        <v/>
      </c>
      <c r="CL221">
        <f>IF(IFERROR(SEARCH("Bard",$T221,1),0)&gt;0,1,0)*IF(BardMaxSpellLevel&gt;=$C221,1,0)*IF(IFERROR(MATCH(B221,Character_Creation!$C$341:$F$362,0),0)&gt;0,0,1)*IF(IFERROR(MATCH($B221,Character_Creation!$C$341:$C$362,0),0)&gt;0,0,1)</f>
        <v>0</v>
      </c>
      <c r="CM221">
        <f>IF(CL221=0,0,1+COUNTIF(CM$3:CM220,"&gt;0"))</f>
        <v>0</v>
      </c>
      <c r="CN221" t="str">
        <f t="shared" si="206"/>
        <v/>
      </c>
      <c r="CO221" t="str">
        <f t="shared" si="177"/>
        <v/>
      </c>
      <c r="CQ221">
        <f>IF(IFERROR(SEARCH("Wizard",$T221,1),0)&gt;0,1,0)*IF(WizardMaxSpellLevel&gt;=$C221,1,0)*IF(IFERROR(MATCH(B221,Character_Creation!$X$341:$X$400,0),0)&gt;0,0,1)*IF(SelectedWizardSpellLevel=$C221,1,0)</f>
        <v>0</v>
      </c>
      <c r="CR221">
        <f>IF(CQ221=0,0,1+COUNTIF(CR$3:CR220,"&gt;0"))</f>
        <v>0</v>
      </c>
      <c r="CS221" t="str">
        <f t="shared" si="207"/>
        <v/>
      </c>
      <c r="CT221" t="str">
        <f t="shared" si="178"/>
        <v/>
      </c>
      <c r="CV221">
        <f>IF(IFERROR(MATCH($B221,Character_Creation!$C$341:$C$362,0),0)&gt;0,0,1)*IF(OR(C221="Cantrip",C221&lt;=BardMaxSpellLevel),1,0)*IF(IFERROR(MATCH($B221,Character_Creation!$C$367:$C$374,0),0)&gt;0,0,1)</f>
        <v>0</v>
      </c>
      <c r="CW221">
        <f>IF(CV221=0,0,1+COUNTIF(CW$3:CW220,"&gt;0"))</f>
        <v>0</v>
      </c>
      <c r="CX221" t="str">
        <f t="shared" si="208"/>
        <v/>
      </c>
      <c r="CY221" t="str">
        <f t="shared" si="179"/>
        <v/>
      </c>
      <c r="DA221">
        <f>IF(IF(OR(IFERROR(SEARCH("Cleric",$T221,1),0)&gt;0,IFERROR(SEARCH(DivineDomain&amp;",",$T221,1),0)&gt;0),1,0)*IF($C221=DA$2,1,0)=1,1+COUNTIF(DA$3:DA220,"&gt;0"),0)</f>
        <v>0</v>
      </c>
      <c r="DB221">
        <f>IF(IF(OR(IFERROR(SEARCH("Cleric",$T221,1),0)&gt;0,IFERROR(SEARCH(DivineDomain&amp;",",$T221,1),0)&gt;0),1,0)*IF($C221=DB$2,1,0)=1,1+COUNTIF(DB$3:DB220,"&gt;0"),0)</f>
        <v>0</v>
      </c>
      <c r="DC221">
        <f>IF(IF(OR(IFERROR(SEARCH("Cleric",$T221,1),0)&gt;0,IFERROR(SEARCH(DivineDomain&amp;",",$T221,1),0)&gt;0),1,0)*IF($C221=DC$2,1,0)=1,1+COUNTIF(DC$3:DC220,"&gt;0"),0)</f>
        <v>0</v>
      </c>
      <c r="DD221">
        <f>IF(IF(OR(IFERROR(SEARCH("Cleric",$T221,1),0)&gt;0,IFERROR(SEARCH(DivineDomain&amp;",",$T221,1),0)&gt;0),1,0)*IF($C221=DD$2,1,0)=1,1+COUNTIF(DD$3:DD220,"&gt;0"),0)</f>
        <v>0</v>
      </c>
      <c r="DE221">
        <f>IF(IF(OR(IFERROR(SEARCH("Cleric",$T221,1),0)&gt;0,IFERROR(SEARCH(DivineDomain&amp;",",$T221,1),0)&gt;0),1,0)*IF($C221=DE$2,1,0)=1,1+COUNTIF(DE$3:DE220,"&gt;0"),0)</f>
        <v>0</v>
      </c>
      <c r="DF221">
        <f>IF(IF(OR(IFERROR(SEARCH("Cleric",$T221,1),0)&gt;0,IFERROR(SEARCH(DivineDomain&amp;",",$T221,1),0)&gt;0),1,0)*IF($C221=DF$2,1,0)=1,1+COUNTIF(DF$3:DF220,"&gt;0"),0)</f>
        <v>0</v>
      </c>
      <c r="DG221">
        <f>IF(IF(OR(IFERROR(SEARCH("Cleric",$T221,1),0)&gt;0,IFERROR(SEARCH(DivineDomain&amp;",",$T221,1),0)&gt;0),1,0)*IF($C221=DG$2,1,0)=1,1+COUNTIF(DG$3:DG220,"&gt;0"),0)</f>
        <v>0</v>
      </c>
      <c r="DH221">
        <f>IF(IF(OR(IFERROR(SEARCH("Cleric",$T221,1),0)&gt;0,IFERROR(SEARCH(DivineDomain&amp;",",$T221,1),0)&gt;0),1,0)*IF($C221=DH$2,1,0)=1,1+COUNTIF(DH$3:DH220,"&gt;0"),0)</f>
        <v>0</v>
      </c>
      <c r="DI221">
        <f>IF(IF(OR(IFERROR(SEARCH("Cleric",$T221,1),0)&gt;0,IFERROR(SEARCH(DivineDomain&amp;",",$T221,1),0)&gt;0),1,0)*IF($C221=DI$2,1,0)=1,1+COUNTIF(DI$3:DI220,"&gt;0"),0)</f>
        <v>3</v>
      </c>
      <c r="DJ221">
        <f>IF(IF(OR(IFERROR(SEARCH("Druid",$T221,1),0)&gt;0,IFERROR(SEARCH(DruidLand1,$T221,1),0)&gt;0,IFERROR(SEARCH(DruidLand2,$T221,1),0)&gt;0,IFERROR(SEARCH(DruidLand3,$T221,1),0)&gt;0,IFERROR(SEARCH(DruidLand4,$T221,1),0)&gt;0),1,0)*IF($C221=1,1,0)*IF($C221=DJ$2,1,0)=0,0,1+COUNTIF(DJ$3:DJ220,"&gt;0"))</f>
        <v>0</v>
      </c>
      <c r="DK221">
        <f>IF(IF(OR(IFERROR(SEARCH("Druid",$T221,1),0)&gt;0,IFERROR(SEARCH(DruidLand1,$T221,1),0)&gt;0,IFERROR(SEARCH(DruidLand2,$T221,1),0)&gt;0,IFERROR(SEARCH(DruidLand3,$T221,1),0)&gt;0,IFERROR(SEARCH(DruidLand4,$T221,1),0)&gt;0),1,0)*IF($C221=1,1,0)*IF($C221=DK$2,1,0)=0,0,1+COUNTIF(DK$3:DK220,"&gt;0"))</f>
        <v>0</v>
      </c>
      <c r="DL221">
        <f>IF(IF(OR(IFERROR(SEARCH("Druid",$T221,1),0)&gt;0,IFERROR(SEARCH(DruidLand1,$T221,1),0)&gt;0,IFERROR(SEARCH(DruidLand2,$T221,1),0)&gt;0,IFERROR(SEARCH(DruidLand3,$T221,1),0)&gt;0,IFERROR(SEARCH(DruidLand4,$T221,1),0)&gt;0),1,0)*IF($C221=1,1,0)*IF($C221=DL$2,1,0)=0,0,1+COUNTIF(DL$3:DL220,"&gt;0"))</f>
        <v>0</v>
      </c>
      <c r="DM221">
        <f>IF(IF(OR(IFERROR(SEARCH("Druid",$T221,1),0)&gt;0,IFERROR(SEARCH(DruidLand1,$T221,1),0)&gt;0,IFERROR(SEARCH(DruidLand2,$T221,1),0)&gt;0,IFERROR(SEARCH(DruidLand3,$T221,1),0)&gt;0,IFERROR(SEARCH(DruidLand4,$T221,1),0)&gt;0),1,0)*IF($C221=1,1,0)*IF($C221=DM$2,1,0)=0,0,1+COUNTIF(DM$3:DM220,"&gt;0"))</f>
        <v>0</v>
      </c>
      <c r="DN221">
        <f>IF(IF(OR(IFERROR(SEARCH("Druid",$T221,1),0)&gt;0,IFERROR(SEARCH(DruidLand1,$T221,1),0)&gt;0,IFERROR(SEARCH(DruidLand2,$T221,1),0)&gt;0,IFERROR(SEARCH(DruidLand3,$T221,1),0)&gt;0,IFERROR(SEARCH(DruidLand4,$T221,1),0)&gt;0),1,0)*IF($C221=1,1,0)*IF($C221=DN$2,1,0)=0,0,1+COUNTIF(DN$3:DN220,"&gt;0"))</f>
        <v>0</v>
      </c>
      <c r="DO221">
        <f>IF(IF(OR(IFERROR(SEARCH("Druid",$T221,1),0)&gt;0,IFERROR(SEARCH(DruidLand1,$T221,1),0)&gt;0,IFERROR(SEARCH(DruidLand2,$T221,1),0)&gt;0,IFERROR(SEARCH(DruidLand3,$T221,1),0)&gt;0,IFERROR(SEARCH(DruidLand4,$T221,1),0)&gt;0),1,0)*IF($C221=1,1,0)*IF($C221=DO$2,1,0)=0,0,1+COUNTIF(DO$3:DO220,"&gt;0"))</f>
        <v>0</v>
      </c>
      <c r="DP221">
        <f>IF(IF(OR(IFERROR(SEARCH("Druid",$T221,1),0)&gt;0,IFERROR(SEARCH(DruidLand1,$T221,1),0)&gt;0,IFERROR(SEARCH(DruidLand2,$T221,1),0)&gt;0,IFERROR(SEARCH(DruidLand3,$T221,1),0)&gt;0,IFERROR(SEARCH(DruidLand4,$T221,1),0)&gt;0),1,0)*IF($C221=1,1,0)*IF($C221=DP$2,1,0)=0,0,1+COUNTIF(DP$3:DP220,"&gt;0"))</f>
        <v>0</v>
      </c>
      <c r="DQ221">
        <f>IF(IF(OR(IFERROR(SEARCH("Druid",$T221,1),0)&gt;0,IFERROR(SEARCH(DruidLand1,$T221,1),0)&gt;0,IFERROR(SEARCH(DruidLand2,$T221,1),0)&gt;0,IFERROR(SEARCH(DruidLand3,$T221,1),0)&gt;0,IFERROR(SEARCH(DruidLand4,$T221,1),0)&gt;0),1,0)*IF($C221=1,1,0)*IF($C221=DQ$2,1,0)=0,0,1+COUNTIF(DQ$3:DQ220,"&gt;0"))</f>
        <v>0</v>
      </c>
      <c r="DR221">
        <f>IF(IF(OR(IFERROR(SEARCH("Druid",$T221,1),0)&gt;0,IFERROR(SEARCH(DruidLand1,$T221,1),0)&gt;0,IFERROR(SEARCH(DruidLand2,$T221,1),0)&gt;0,IFERROR(SEARCH(DruidLand3,$T221,1),0)&gt;0,IFERROR(SEARCH(DruidLand4,$T221,1),0)&gt;0),1,0)*IF($C221=1,1,0)*IF($C221=DR$2,1,0)=0,0,1+COUNTIF(DR$3:DR220,"&gt;0"))</f>
        <v>0</v>
      </c>
      <c r="DS221">
        <f>IF(IF(OR(IFERROR(SEARCH("Paladin",$T221,1),0)&gt;0,IFERROR(SEARCH(PaladinOath,$T221,1),0)&gt;0),1,0)*IF($C221=DS$2,1,0)=1,1+COUNTIF(DS$3:DS220,"&gt;0"),0)</f>
        <v>0</v>
      </c>
      <c r="DT221">
        <f>IF(IF(OR(IFERROR(SEARCH("Paladin",$T221,1),0)&gt;0,IFERROR(SEARCH(PaladinOath,$T221,1),0)&gt;0),1,0)*IF($C221=DT$2,1,0)=1,1+COUNTIF(DT$3:DT220,"&gt;0"),0)</f>
        <v>0</v>
      </c>
      <c r="DU221">
        <f>IF(IF(OR(IFERROR(SEARCH("Paladin",$T221,1),0)&gt;0,IFERROR(SEARCH(PaladinOath,$T221,1),0)&gt;0),1,0)*IF($C221=DU$2,1,0)=1,1+COUNTIF(DU$3:DU220,"&gt;0"),0)</f>
        <v>0</v>
      </c>
      <c r="DV221">
        <f>IF(IF(OR(IFERROR(SEARCH("Paladin",$T221,1),0)&gt;0,IFERROR(SEARCH(PaladinOath,$T221,1),0)&gt;0),1,0)*IF($C221=DV$2,1,0)=1,1+COUNTIF(DV$3:DV220,"&gt;0"),0)</f>
        <v>0</v>
      </c>
      <c r="DW221">
        <f>IF(IF(OR(IFERROR(SEARCH("Paladin",$T221,1),0)&gt;0,IFERROR(SEARCH(PaladinOath,$T221,1),0)&gt;0),1,0)*IF($C221=DW$2,1,0)=1,1+COUNTIF(DW$3:DW220,"&gt;0"),0)</f>
        <v>0</v>
      </c>
      <c r="DY221">
        <f t="shared" si="166"/>
        <v>1</v>
      </c>
      <c r="DZ221">
        <f>IF(DY221=0,0,1+MAX(DZ$3:$DZ220))</f>
        <v>219</v>
      </c>
      <c r="EB221">
        <f t="shared" si="180"/>
        <v>0</v>
      </c>
      <c r="EC221">
        <f>IF(EB221=0,0,1+COUNTIF(EC$3:EC220,"&gt;0"))</f>
        <v>0</v>
      </c>
      <c r="ED221" t="str">
        <f t="shared" si="209"/>
        <v/>
      </c>
      <c r="EE221" t="str">
        <f t="shared" si="181"/>
        <v/>
      </c>
      <c r="EG221">
        <f t="shared" si="182"/>
        <v>0</v>
      </c>
      <c r="EH221">
        <f>IF(EG221=0,0,1+COUNTIF(EH$3:EH220,"&gt;0"))</f>
        <v>0</v>
      </c>
      <c r="EI221" t="str">
        <f t="shared" si="210"/>
        <v/>
      </c>
      <c r="EJ221" t="str">
        <f t="shared" si="183"/>
        <v/>
      </c>
      <c r="EL221">
        <f t="shared" si="184"/>
        <v>0</v>
      </c>
      <c r="EM221">
        <f>IF(EL221=0,0,1+COUNTIF(EM$3:EM220,"&gt;0"))</f>
        <v>0</v>
      </c>
      <c r="EN221" t="str">
        <f t="shared" si="211"/>
        <v/>
      </c>
      <c r="EO221" t="str">
        <f t="shared" si="185"/>
        <v/>
      </c>
      <c r="EQ221">
        <f t="shared" si="186"/>
        <v>0</v>
      </c>
      <c r="ER221">
        <f>IF(EQ221=0,0,1+COUNTIF(ER$3:ER220,"&gt;0"))</f>
        <v>0</v>
      </c>
      <c r="ES221" t="str">
        <f t="shared" si="212"/>
        <v/>
      </c>
      <c r="ET221" t="str">
        <f t="shared" si="187"/>
        <v/>
      </c>
      <c r="EV221">
        <f t="shared" si="188"/>
        <v>0</v>
      </c>
      <c r="EW221">
        <f>IF(EV221=0,0,1+COUNTIF(EW$3:EW220,"&gt;0"))</f>
        <v>0</v>
      </c>
      <c r="EX221" t="str">
        <f t="shared" si="213"/>
        <v/>
      </c>
      <c r="EY221" t="str">
        <f t="shared" si="189"/>
        <v/>
      </c>
      <c r="FA221">
        <f t="shared" si="190"/>
        <v>0</v>
      </c>
      <c r="FB221">
        <f>IF(FA221=0,0,1+COUNTIF(FB$3:FB220,"&gt;0"))</f>
        <v>0</v>
      </c>
      <c r="FC221" t="str">
        <f t="shared" si="214"/>
        <v/>
      </c>
      <c r="FD221" t="str">
        <f t="shared" si="191"/>
        <v/>
      </c>
      <c r="FF221">
        <f t="shared" si="192"/>
        <v>0</v>
      </c>
      <c r="FG221">
        <f>IF(FF221=0,0,1+COUNTIF(FG$3:FG220,"&gt;0"))</f>
        <v>0</v>
      </c>
      <c r="FH221" t="str">
        <f t="shared" si="215"/>
        <v/>
      </c>
      <c r="FI221" t="str">
        <f t="shared" si="193"/>
        <v/>
      </c>
      <c r="FK221">
        <f t="shared" si="194"/>
        <v>0</v>
      </c>
      <c r="FL221">
        <f>IF(FK221=0,0,1+COUNTIF(FL$3:FL220,"&gt;0"))</f>
        <v>0</v>
      </c>
      <c r="FM221" t="str">
        <f t="shared" si="216"/>
        <v/>
      </c>
      <c r="FN221" t="str">
        <f t="shared" si="195"/>
        <v/>
      </c>
      <c r="FP221">
        <f t="shared" si="196"/>
        <v>0</v>
      </c>
      <c r="FQ221">
        <f>IF(FP221=0,0,1+COUNTIF(FQ$3:FQ220,"&gt;0"))</f>
        <v>0</v>
      </c>
      <c r="FR221" t="str">
        <f t="shared" si="217"/>
        <v/>
      </c>
      <c r="FS221" t="str">
        <f t="shared" si="197"/>
        <v/>
      </c>
    </row>
    <row r="222" spans="1:175" x14ac:dyDescent="0.25">
      <c r="A222" s="347">
        <f t="shared" si="219"/>
        <v>220</v>
      </c>
      <c r="B222" s="348" t="s">
        <v>2603</v>
      </c>
      <c r="C222" s="348">
        <v>3</v>
      </c>
      <c r="D222" s="347">
        <v>3</v>
      </c>
      <c r="E222" s="627" t="s">
        <v>6952</v>
      </c>
      <c r="F222" s="346"/>
      <c r="G222" s="347" t="str">
        <f>""</f>
        <v/>
      </c>
      <c r="H222" s="347" t="s">
        <v>5918</v>
      </c>
      <c r="I222" s="347" t="s">
        <v>424</v>
      </c>
      <c r="J222" s="347" t="str">
        <f t="shared" si="167"/>
        <v/>
      </c>
      <c r="K222" s="347" t="s">
        <v>5278</v>
      </c>
      <c r="L222" s="611" t="str">
        <f t="shared" si="168"/>
        <v>V</v>
      </c>
      <c r="M222" s="347" t="s">
        <v>2373</v>
      </c>
      <c r="N222" s="347" t="s">
        <v>3034</v>
      </c>
      <c r="O222" s="347" t="s">
        <v>3034</v>
      </c>
      <c r="P222" s="346" t="str">
        <f>""</f>
        <v/>
      </c>
      <c r="Q222" s="347" t="s">
        <v>5273</v>
      </c>
      <c r="S222" s="346" t="s">
        <v>5763</v>
      </c>
      <c r="T222" s="346" t="str">
        <f t="shared" si="169"/>
        <v xml:space="preserve">Cleric, </v>
      </c>
      <c r="Z222" s="347" t="str">
        <f>$B222</f>
        <v>Mass Healing Word</v>
      </c>
      <c r="AE222" t="str">
        <f>IF(IFERROR(MATCH($B222,temp!A$4:A$13,0),0)&gt;0,T08_Spells!AE$2,"")</f>
        <v/>
      </c>
      <c r="AF222" t="str">
        <f>IF(IFERROR(MATCH($B222,temp!B$4:B$13,0),0)&gt;0,T08_Spells!AF$2,"")</f>
        <v/>
      </c>
      <c r="AG222" t="str">
        <f>IF(IFERROR(MATCH($B222,temp!C$4:C$13,0),0)&gt;0,T08_Spells!AG$2,"")</f>
        <v/>
      </c>
      <c r="AH222" t="str">
        <f>IF(IFERROR(MATCH($B222,temp!D$4:D$13,0),0)&gt;0,T08_Spells!AH$2,"")</f>
        <v/>
      </c>
      <c r="AI222" t="str">
        <f>IF(IFERROR(MATCH($B222,temp!E$4:E$13,0),0)&gt;0,T08_Spells!AI$2,"")</f>
        <v/>
      </c>
      <c r="AJ222" t="str">
        <f>IF(IFERROR(MATCH($B222,temp!F$4:F$13,0),0)&gt;0,T08_Spells!AJ$2,"")</f>
        <v/>
      </c>
      <c r="AK222" t="str">
        <f>IF(IFERROR(MATCH($B222,temp!G$4:G$13,0),0)&gt;0,T08_Spells!AK$2,"")</f>
        <v/>
      </c>
      <c r="AL222" t="str">
        <f>IF(IFERROR(MATCH($B222,temp!H$4:H$13,0),0)&gt;0,T08_Spells!AL$2,"")</f>
        <v/>
      </c>
      <c r="AM222" t="str">
        <f>IF(IFERROR(MATCH($B222,temp!I$4:I$13,0),0)&gt;0,T08_Spells!AM$2,"")</f>
        <v/>
      </c>
      <c r="AN222" t="str">
        <f>IF(IFERROR(MATCH($B222,temp!J$4:J$13,0),0)&gt;0,T08_Spells!AN$2,"")</f>
        <v/>
      </c>
      <c r="AO222" t="str">
        <f>IF(IFERROR(MATCH($B222,temp!K$4:K$13,0),0)&gt;0,T08_Spells!AO$2,"")</f>
        <v/>
      </c>
      <c r="AP222" t="str">
        <f>IF(IFERROR(MATCH($B222,temp!L$4:L$13,0),0)&gt;0,T08_Spells!AP$2,"")</f>
        <v/>
      </c>
      <c r="AQ222" t="str">
        <f>IF(IFERROR(MATCH($B222,temp!M$4:M$13,0),0)&gt;0,T08_Spells!AQ$2,"")</f>
        <v/>
      </c>
      <c r="AR222" t="str">
        <f>IF(IFERROR(MATCH($B222,temp!N$4:N$13,0),0)&gt;0,T08_Spells!AR$2,"")</f>
        <v/>
      </c>
      <c r="AS222" t="str">
        <f>IF(IFERROR(MATCH($B222,temp!O$4:O$13,0),0)&gt;0,T08_Spells!AS$2,"")</f>
        <v/>
      </c>
      <c r="AT222" t="str">
        <f>IF(IFERROR(MATCH($B222,temp!P$4:P$13,0),0)&gt;0,T08_Spells!AT$2,"")</f>
        <v/>
      </c>
      <c r="AU222" t="str">
        <f>IF(IFERROR(MATCH($B222,temp!Q$4:Q$13,0),0)&gt;0,T08_Spells!AU$2,"")</f>
        <v/>
      </c>
      <c r="AV222" t="str">
        <f>IF(IFERROR(MATCH($B222,temp!R$4:R$13,0),0)&gt;0,T08_Spells!AV$2,"")</f>
        <v/>
      </c>
      <c r="AW222" t="str">
        <f>IF(IFERROR(MATCH($B222,temp!S$4:S$13,0),0)&gt;0,T08_Spells!AW$2,"")</f>
        <v/>
      </c>
      <c r="AX222" t="str">
        <f>IF(IFERROR(MATCH($B222,temp!T$4:T$13,0),0)&gt;0,T08_Spells!AX$2,"")</f>
        <v/>
      </c>
      <c r="AY222" t="str">
        <f>IF(IFERROR(MATCH($B222,temp!U$4:U$13,0),0)&gt;0,T08_Spells!AY$2,"")</f>
        <v/>
      </c>
      <c r="AZ222" t="str">
        <f>IF(IFERROR(MATCH($B222,temp!V$4:V$13,0),0)&gt;0,T08_Spells!AZ$2,"")</f>
        <v/>
      </c>
      <c r="BA222" t="str">
        <f>IF(IFERROR(MATCH($B222,temp!W$4:W$13,0),0)&gt;0,T08_Spells!BA$2,"")</f>
        <v/>
      </c>
      <c r="BC222">
        <f>IF(IFERROR(SEARCH("Ranger",$T222,1),0)&gt;0,1,0)*IF(RangerMaxSpellLevel&gt;=$C222,1,0)*IF(IFERROR(MATCH(B222,Character_Creation!$X$79:$X$382,0),0)&gt;0,0,1)</f>
        <v>0</v>
      </c>
      <c r="BD222">
        <f>IF(BC222=0,0,1+COUNTIF(BD$3:BD221,"&gt;0"))</f>
        <v>0</v>
      </c>
      <c r="BE222" t="str">
        <f t="shared" si="199"/>
        <v/>
      </c>
      <c r="BF222" t="str">
        <f t="shared" si="170"/>
        <v/>
      </c>
      <c r="BH222">
        <f>IF(IFERROR(SEARCH("Sorcerer",$T222,1),0)&gt;0,1,0)*IF(SorcererMaxSpellLevel&gt;=$C222,1,0)*IF(IFERROR(MATCH(B222,Character_Creation!$J$380:$J$394,0),0)&gt;0,0,1)</f>
        <v>0</v>
      </c>
      <c r="BI222">
        <f>IF(BH222=0,0,1+COUNTIF(BI$3:BI221,"&gt;0"))</f>
        <v>0</v>
      </c>
      <c r="BJ222" t="str">
        <f t="shared" si="200"/>
        <v/>
      </c>
      <c r="BK222" t="str">
        <f t="shared" si="171"/>
        <v/>
      </c>
      <c r="BM222">
        <f>IF(OR(IFERROR(SEARCH("Warlock",$T222,1),0)&gt;0,IFERROR(SEARCH(WarlockPatron,$T222,1),0)&gt;0),1,0)*IF(WarlockMaxSpellLevel&gt;=$C222,1,0)*IF(IFERROR(MATCH(B222,Character_Creation!$J$361:$J$375,0),0)&gt;0,0,1)</f>
        <v>0</v>
      </c>
      <c r="BN222">
        <f>IF(BM222=0,0,1+COUNTIF(BN$3:BN221,"&gt;0"))</f>
        <v>0</v>
      </c>
      <c r="BO222" t="str">
        <f t="shared" si="201"/>
        <v/>
      </c>
      <c r="BP222" t="str">
        <f t="shared" si="172"/>
        <v/>
      </c>
      <c r="BR222">
        <f>IF(IFERROR(SEARCH("Eldritch Knight",$T222,1),0)&gt;0,1,0)*IF(EldritchKnightMaxSpellLevel&gt;=$C222,1,0)*IF(IFERROR(MATCH($B222,Character_Creation!$J$350:$J$356,0),0)&gt;0,0,1)*IF(Character_Creation!$M$338&gt;0,1,0)</f>
        <v>0</v>
      </c>
      <c r="BS222">
        <f>IF(BR222=0,0,1+COUNTIF(BS$3:BS221,"&gt;0"))</f>
        <v>0</v>
      </c>
      <c r="BT222" t="str">
        <f t="shared" si="202"/>
        <v/>
      </c>
      <c r="BU222" t="str">
        <f t="shared" si="173"/>
        <v/>
      </c>
      <c r="BW222">
        <f>IF(IFERROR(SEARCH("Arcane Trickster",$T222,1),0)&gt;0,1,0)*IF(ArcaneTricksterMaxSpellLevel&gt;=$C222,1,0)*IF(IFERROR(MATCH($B222,Character_Creation!$J$350:$J$356,0),0)&gt;0,0,1)*IF(Character_Creation!$T$338&gt;0,1,0)</f>
        <v>0</v>
      </c>
      <c r="BX222">
        <f>IF(BW222=0,0,1+COUNTIF(BX$3:BX221,"&gt;0"))</f>
        <v>0</v>
      </c>
      <c r="BY222" t="str">
        <f t="shared" si="203"/>
        <v/>
      </c>
      <c r="BZ222" t="str">
        <f t="shared" si="174"/>
        <v/>
      </c>
      <c r="CB222">
        <f>IF(IFERROR(SEARCH("Wizard",$T222,1),0)&gt;0,1,0)*IF(C222&lt;=ArcaneTricksterMaxSpellLevel,1,0)*IF(IFERROR(MATCH($B222,Character_Creation!$J$350:$J$356,0),0)&gt;0,0,1)*IF(Character_Creation!$T$350&gt;0,1,0)</f>
        <v>0</v>
      </c>
      <c r="CC222">
        <f>IF(CB222=0,0,1+COUNTIF(CC$3:CC221,"&gt;0"))</f>
        <v>0</v>
      </c>
      <c r="CD222" t="str">
        <f t="shared" si="204"/>
        <v/>
      </c>
      <c r="CE222" t="str">
        <f t="shared" si="175"/>
        <v/>
      </c>
      <c r="CG222">
        <f>IF(IFERROR(SEARCH("Wizard",$T222,1),0)&gt;0,1,0)*IF($C222&lt;=EldritchKnightMaxSpellLevel,1,0)*IF(IFERROR(MATCH($B222,Character_Creation!$J$350:$J$356,0),0)&gt;0,0,1)*IF(Character_Creation!$M$350&gt;0,1,0)</f>
        <v>0</v>
      </c>
      <c r="CH222">
        <f>IF(CG222=0,0,1+COUNTIF(CH$3:CH221,"&gt;0"))</f>
        <v>0</v>
      </c>
      <c r="CI222" t="str">
        <f t="shared" si="205"/>
        <v/>
      </c>
      <c r="CJ222" t="str">
        <f t="shared" si="176"/>
        <v/>
      </c>
      <c r="CL222">
        <f>IF(IFERROR(SEARCH("Bard",$T222,1),0)&gt;0,1,0)*IF(BardMaxSpellLevel&gt;=$C222,1,0)*IF(IFERROR(MATCH(B222,Character_Creation!$C$341:$F$362,0),0)&gt;0,0,1)*IF(IFERROR(MATCH($B222,Character_Creation!$C$341:$C$362,0),0)&gt;0,0,1)</f>
        <v>0</v>
      </c>
      <c r="CM222">
        <f>IF(CL222=0,0,1+COUNTIF(CM$3:CM221,"&gt;0"))</f>
        <v>0</v>
      </c>
      <c r="CN222" t="str">
        <f t="shared" si="206"/>
        <v/>
      </c>
      <c r="CO222" t="str">
        <f t="shared" si="177"/>
        <v/>
      </c>
      <c r="CQ222">
        <f>IF(IFERROR(SEARCH("Wizard",$T222,1),0)&gt;0,1,0)*IF(WizardMaxSpellLevel&gt;=$C222,1,0)*IF(IFERROR(MATCH(B222,Character_Creation!$X$341:$X$400,0),0)&gt;0,0,1)*IF(SelectedWizardSpellLevel=$C222,1,0)</f>
        <v>0</v>
      </c>
      <c r="CR222">
        <f>IF(CQ222=0,0,1+COUNTIF(CR$3:CR221,"&gt;0"))</f>
        <v>0</v>
      </c>
      <c r="CS222" t="str">
        <f t="shared" si="207"/>
        <v/>
      </c>
      <c r="CT222" t="str">
        <f t="shared" si="178"/>
        <v/>
      </c>
      <c r="CV222">
        <f>IF(IFERROR(MATCH($B222,Character_Creation!$C$341:$C$362,0),0)&gt;0,0,1)*IF(OR(C222="Cantrip",C222&lt;=BardMaxSpellLevel),1,0)*IF(IFERROR(MATCH($B222,Character_Creation!$C$367:$C$374,0),0)&gt;0,0,1)</f>
        <v>0</v>
      </c>
      <c r="CW222">
        <f>IF(CV222=0,0,1+COUNTIF(CW$3:CW221,"&gt;0"))</f>
        <v>0</v>
      </c>
      <c r="CX222" t="str">
        <f t="shared" si="208"/>
        <v/>
      </c>
      <c r="CY222" t="str">
        <f t="shared" si="179"/>
        <v/>
      </c>
      <c r="DA222">
        <f>IF(IF(OR(IFERROR(SEARCH("Cleric",$T222,1),0)&gt;0,IFERROR(SEARCH(DivineDomain&amp;",",$T222,1),0)&gt;0),1,0)*IF($C222=DA$2,1,0)=1,1+COUNTIF(DA$3:DA221,"&gt;0"),0)</f>
        <v>0</v>
      </c>
      <c r="DB222">
        <f>IF(IF(OR(IFERROR(SEARCH("Cleric",$T222,1),0)&gt;0,IFERROR(SEARCH(DivineDomain&amp;",",$T222,1),0)&gt;0),1,0)*IF($C222=DB$2,1,0)=1,1+COUNTIF(DB$3:DB221,"&gt;0"),0)</f>
        <v>0</v>
      </c>
      <c r="DC222">
        <f>IF(IF(OR(IFERROR(SEARCH("Cleric",$T222,1),0)&gt;0,IFERROR(SEARCH(DivineDomain&amp;",",$T222,1),0)&gt;0),1,0)*IF($C222=DC$2,1,0)=1,1+COUNTIF(DC$3:DC221,"&gt;0"),0)</f>
        <v>11</v>
      </c>
      <c r="DD222">
        <f>IF(IF(OR(IFERROR(SEARCH("Cleric",$T222,1),0)&gt;0,IFERROR(SEARCH(DivineDomain&amp;",",$T222,1),0)&gt;0),1,0)*IF($C222=DD$2,1,0)=1,1+COUNTIF(DD$3:DD221,"&gt;0"),0)</f>
        <v>0</v>
      </c>
      <c r="DE222">
        <f>IF(IF(OR(IFERROR(SEARCH("Cleric",$T222,1),0)&gt;0,IFERROR(SEARCH(DivineDomain&amp;",",$T222,1),0)&gt;0),1,0)*IF($C222=DE$2,1,0)=1,1+COUNTIF(DE$3:DE221,"&gt;0"),0)</f>
        <v>0</v>
      </c>
      <c r="DF222">
        <f>IF(IF(OR(IFERROR(SEARCH("Cleric",$T222,1),0)&gt;0,IFERROR(SEARCH(DivineDomain&amp;",",$T222,1),0)&gt;0),1,0)*IF($C222=DF$2,1,0)=1,1+COUNTIF(DF$3:DF221,"&gt;0"),0)</f>
        <v>0</v>
      </c>
      <c r="DG222">
        <f>IF(IF(OR(IFERROR(SEARCH("Cleric",$T222,1),0)&gt;0,IFERROR(SEARCH(DivineDomain&amp;",",$T222,1),0)&gt;0),1,0)*IF($C222=DG$2,1,0)=1,1+COUNTIF(DG$3:DG221,"&gt;0"),0)</f>
        <v>0</v>
      </c>
      <c r="DH222">
        <f>IF(IF(OR(IFERROR(SEARCH("Cleric",$T222,1),0)&gt;0,IFERROR(SEARCH(DivineDomain&amp;",",$T222,1),0)&gt;0),1,0)*IF($C222=DH$2,1,0)=1,1+COUNTIF(DH$3:DH221,"&gt;0"),0)</f>
        <v>0</v>
      </c>
      <c r="DI222">
        <f>IF(IF(OR(IFERROR(SEARCH("Cleric",$T222,1),0)&gt;0,IFERROR(SEARCH(DivineDomain&amp;",",$T222,1),0)&gt;0),1,0)*IF($C222=DI$2,1,0)=1,1+COUNTIF(DI$3:DI221,"&gt;0"),0)</f>
        <v>0</v>
      </c>
      <c r="DJ222">
        <f>IF(IF(OR(IFERROR(SEARCH("Druid",$T222,1),0)&gt;0,IFERROR(SEARCH(DruidLand1,$T222,1),0)&gt;0,IFERROR(SEARCH(DruidLand2,$T222,1),0)&gt;0,IFERROR(SEARCH(DruidLand3,$T222,1),0)&gt;0,IFERROR(SEARCH(DruidLand4,$T222,1),0)&gt;0),1,0)*IF($C222=1,1,0)*IF($C222=DJ$2,1,0)=0,0,1+COUNTIF(DJ$3:DJ221,"&gt;0"))</f>
        <v>0</v>
      </c>
      <c r="DK222">
        <f>IF(IF(OR(IFERROR(SEARCH("Druid",$T222,1),0)&gt;0,IFERROR(SEARCH(DruidLand1,$T222,1),0)&gt;0,IFERROR(SEARCH(DruidLand2,$T222,1),0)&gt;0,IFERROR(SEARCH(DruidLand3,$T222,1),0)&gt;0,IFERROR(SEARCH(DruidLand4,$T222,1),0)&gt;0),1,0)*IF($C222=1,1,0)*IF($C222=DK$2,1,0)=0,0,1+COUNTIF(DK$3:DK221,"&gt;0"))</f>
        <v>0</v>
      </c>
      <c r="DL222">
        <f>IF(IF(OR(IFERROR(SEARCH("Druid",$T222,1),0)&gt;0,IFERROR(SEARCH(DruidLand1,$T222,1),0)&gt;0,IFERROR(SEARCH(DruidLand2,$T222,1),0)&gt;0,IFERROR(SEARCH(DruidLand3,$T222,1),0)&gt;0,IFERROR(SEARCH(DruidLand4,$T222,1),0)&gt;0),1,0)*IF($C222=1,1,0)*IF($C222=DL$2,1,0)=0,0,1+COUNTIF(DL$3:DL221,"&gt;0"))</f>
        <v>0</v>
      </c>
      <c r="DM222">
        <f>IF(IF(OR(IFERROR(SEARCH("Druid",$T222,1),0)&gt;0,IFERROR(SEARCH(DruidLand1,$T222,1),0)&gt;0,IFERROR(SEARCH(DruidLand2,$T222,1),0)&gt;0,IFERROR(SEARCH(DruidLand3,$T222,1),0)&gt;0,IFERROR(SEARCH(DruidLand4,$T222,1),0)&gt;0),1,0)*IF($C222=1,1,0)*IF($C222=DM$2,1,0)=0,0,1+COUNTIF(DM$3:DM221,"&gt;0"))</f>
        <v>0</v>
      </c>
      <c r="DN222">
        <f>IF(IF(OR(IFERROR(SEARCH("Druid",$T222,1),0)&gt;0,IFERROR(SEARCH(DruidLand1,$T222,1),0)&gt;0,IFERROR(SEARCH(DruidLand2,$T222,1),0)&gt;0,IFERROR(SEARCH(DruidLand3,$T222,1),0)&gt;0,IFERROR(SEARCH(DruidLand4,$T222,1),0)&gt;0),1,0)*IF($C222=1,1,0)*IF($C222=DN$2,1,0)=0,0,1+COUNTIF(DN$3:DN221,"&gt;0"))</f>
        <v>0</v>
      </c>
      <c r="DO222">
        <f>IF(IF(OR(IFERROR(SEARCH("Druid",$T222,1),0)&gt;0,IFERROR(SEARCH(DruidLand1,$T222,1),0)&gt;0,IFERROR(SEARCH(DruidLand2,$T222,1),0)&gt;0,IFERROR(SEARCH(DruidLand3,$T222,1),0)&gt;0,IFERROR(SEARCH(DruidLand4,$T222,1),0)&gt;0),1,0)*IF($C222=1,1,0)*IF($C222=DO$2,1,0)=0,0,1+COUNTIF(DO$3:DO221,"&gt;0"))</f>
        <v>0</v>
      </c>
      <c r="DP222">
        <f>IF(IF(OR(IFERROR(SEARCH("Druid",$T222,1),0)&gt;0,IFERROR(SEARCH(DruidLand1,$T222,1),0)&gt;0,IFERROR(SEARCH(DruidLand2,$T222,1),0)&gt;0,IFERROR(SEARCH(DruidLand3,$T222,1),0)&gt;0,IFERROR(SEARCH(DruidLand4,$T222,1),0)&gt;0),1,0)*IF($C222=1,1,0)*IF($C222=DP$2,1,0)=0,0,1+COUNTIF(DP$3:DP221,"&gt;0"))</f>
        <v>0</v>
      </c>
      <c r="DQ222">
        <f>IF(IF(OR(IFERROR(SEARCH("Druid",$T222,1),0)&gt;0,IFERROR(SEARCH(DruidLand1,$T222,1),0)&gt;0,IFERROR(SEARCH(DruidLand2,$T222,1),0)&gt;0,IFERROR(SEARCH(DruidLand3,$T222,1),0)&gt;0,IFERROR(SEARCH(DruidLand4,$T222,1),0)&gt;0),1,0)*IF($C222=1,1,0)*IF($C222=DQ$2,1,0)=0,0,1+COUNTIF(DQ$3:DQ221,"&gt;0"))</f>
        <v>0</v>
      </c>
      <c r="DR222">
        <f>IF(IF(OR(IFERROR(SEARCH("Druid",$T222,1),0)&gt;0,IFERROR(SEARCH(DruidLand1,$T222,1),0)&gt;0,IFERROR(SEARCH(DruidLand2,$T222,1),0)&gt;0,IFERROR(SEARCH(DruidLand3,$T222,1),0)&gt;0,IFERROR(SEARCH(DruidLand4,$T222,1),0)&gt;0),1,0)*IF($C222=1,1,0)*IF($C222=DR$2,1,0)=0,0,1+COUNTIF(DR$3:DR221,"&gt;0"))</f>
        <v>0</v>
      </c>
      <c r="DS222">
        <f>IF(IF(OR(IFERROR(SEARCH("Paladin",$T222,1),0)&gt;0,IFERROR(SEARCH(PaladinOath,$T222,1),0)&gt;0),1,0)*IF($C222=DS$2,1,0)=1,1+COUNTIF(DS$3:DS221,"&gt;0"),0)</f>
        <v>0</v>
      </c>
      <c r="DT222">
        <f>IF(IF(OR(IFERROR(SEARCH("Paladin",$T222,1),0)&gt;0,IFERROR(SEARCH(PaladinOath,$T222,1),0)&gt;0),1,0)*IF($C222=DT$2,1,0)=1,1+COUNTIF(DT$3:DT221,"&gt;0"),0)</f>
        <v>0</v>
      </c>
      <c r="DU222">
        <f>IF(IF(OR(IFERROR(SEARCH("Paladin",$T222,1),0)&gt;0,IFERROR(SEARCH(PaladinOath,$T222,1),0)&gt;0),1,0)*IF($C222=DU$2,1,0)=1,1+COUNTIF(DU$3:DU221,"&gt;0"),0)</f>
        <v>0</v>
      </c>
      <c r="DV222">
        <f>IF(IF(OR(IFERROR(SEARCH("Paladin",$T222,1),0)&gt;0,IFERROR(SEARCH(PaladinOath,$T222,1),0)&gt;0),1,0)*IF($C222=DV$2,1,0)=1,1+COUNTIF(DV$3:DV221,"&gt;0"),0)</f>
        <v>0</v>
      </c>
      <c r="DW222">
        <f>IF(IF(OR(IFERROR(SEARCH("Paladin",$T222,1),0)&gt;0,IFERROR(SEARCH(PaladinOath,$T222,1),0)&gt;0),1,0)*IF($C222=DW$2,1,0)=1,1+COUNTIF(DW$3:DW221,"&gt;0"),0)</f>
        <v>0</v>
      </c>
      <c r="DY222">
        <f t="shared" si="166"/>
        <v>1</v>
      </c>
      <c r="DZ222">
        <f>IF(DY222=0,0,1+MAX(DZ$3:$DZ221))</f>
        <v>220</v>
      </c>
      <c r="EB222">
        <f t="shared" si="180"/>
        <v>0</v>
      </c>
      <c r="EC222">
        <f>IF(EB222=0,0,1+COUNTIF(EC$3:EC221,"&gt;0"))</f>
        <v>0</v>
      </c>
      <c r="ED222" t="str">
        <f t="shared" si="209"/>
        <v/>
      </c>
      <c r="EE222" t="str">
        <f t="shared" si="181"/>
        <v/>
      </c>
      <c r="EG222">
        <f t="shared" si="182"/>
        <v>0</v>
      </c>
      <c r="EH222">
        <f>IF(EG222=0,0,1+COUNTIF(EH$3:EH221,"&gt;0"))</f>
        <v>0</v>
      </c>
      <c r="EI222" t="str">
        <f t="shared" si="210"/>
        <v/>
      </c>
      <c r="EJ222" t="str">
        <f t="shared" si="183"/>
        <v/>
      </c>
      <c r="EL222">
        <f t="shared" si="184"/>
        <v>0</v>
      </c>
      <c r="EM222">
        <f>IF(EL222=0,0,1+COUNTIF(EM$3:EM221,"&gt;0"))</f>
        <v>0</v>
      </c>
      <c r="EN222" t="str">
        <f t="shared" si="211"/>
        <v/>
      </c>
      <c r="EO222" t="str">
        <f t="shared" si="185"/>
        <v/>
      </c>
      <c r="EQ222">
        <f t="shared" si="186"/>
        <v>0</v>
      </c>
      <c r="ER222">
        <f>IF(EQ222=0,0,1+COUNTIF(ER$3:ER221,"&gt;0"))</f>
        <v>0</v>
      </c>
      <c r="ES222" t="str">
        <f t="shared" si="212"/>
        <v/>
      </c>
      <c r="ET222" t="str">
        <f t="shared" si="187"/>
        <v/>
      </c>
      <c r="EV222">
        <f t="shared" si="188"/>
        <v>0</v>
      </c>
      <c r="EW222">
        <f>IF(EV222=0,0,1+COUNTIF(EW$3:EW221,"&gt;0"))</f>
        <v>0</v>
      </c>
      <c r="EX222" t="str">
        <f t="shared" si="213"/>
        <v/>
      </c>
      <c r="EY222" t="str">
        <f t="shared" si="189"/>
        <v/>
      </c>
      <c r="FA222">
        <f t="shared" si="190"/>
        <v>0</v>
      </c>
      <c r="FB222">
        <f>IF(FA222=0,0,1+COUNTIF(FB$3:FB221,"&gt;0"))</f>
        <v>0</v>
      </c>
      <c r="FC222" t="str">
        <f t="shared" si="214"/>
        <v/>
      </c>
      <c r="FD222" t="str">
        <f t="shared" si="191"/>
        <v/>
      </c>
      <c r="FF222">
        <f t="shared" si="192"/>
        <v>0</v>
      </c>
      <c r="FG222">
        <f>IF(FF222=0,0,1+COUNTIF(FG$3:FG221,"&gt;0"))</f>
        <v>0</v>
      </c>
      <c r="FH222" t="str">
        <f t="shared" si="215"/>
        <v/>
      </c>
      <c r="FI222" t="str">
        <f t="shared" si="193"/>
        <v/>
      </c>
      <c r="FK222">
        <f t="shared" si="194"/>
        <v>0</v>
      </c>
      <c r="FL222">
        <f>IF(FK222=0,0,1+COUNTIF(FL$3:FL221,"&gt;0"))</f>
        <v>0</v>
      </c>
      <c r="FM222" t="str">
        <f t="shared" si="216"/>
        <v/>
      </c>
      <c r="FN222" t="str">
        <f t="shared" si="195"/>
        <v/>
      </c>
      <c r="FP222">
        <f t="shared" si="196"/>
        <v>0</v>
      </c>
      <c r="FQ222">
        <f>IF(FP222=0,0,1+COUNTIF(FQ$3:FQ221,"&gt;0"))</f>
        <v>0</v>
      </c>
      <c r="FR222" t="str">
        <f t="shared" si="217"/>
        <v/>
      </c>
      <c r="FS222" t="str">
        <f t="shared" si="197"/>
        <v/>
      </c>
    </row>
    <row r="223" spans="1:175" x14ac:dyDescent="0.25">
      <c r="A223" s="347">
        <f t="shared" si="219"/>
        <v>221</v>
      </c>
      <c r="B223" s="348" t="s">
        <v>2604</v>
      </c>
      <c r="C223" s="348">
        <v>6</v>
      </c>
      <c r="D223" s="347">
        <v>6</v>
      </c>
      <c r="E223" s="627" t="s">
        <v>6952</v>
      </c>
      <c r="F223" s="346"/>
      <c r="G223" s="347" t="str">
        <f>""</f>
        <v/>
      </c>
      <c r="H223" s="347" t="s">
        <v>5912</v>
      </c>
      <c r="I223" s="347" t="s">
        <v>424</v>
      </c>
      <c r="J223" s="347" t="str">
        <f t="shared" si="167"/>
        <v/>
      </c>
      <c r="K223" s="347" t="s">
        <v>2519</v>
      </c>
      <c r="L223" s="611" t="str">
        <f t="shared" si="168"/>
        <v>V, M, a snake’s tongue and either a bit of honeycomb or a drop of sweet oil</v>
      </c>
      <c r="M223" s="347" t="s">
        <v>2373</v>
      </c>
      <c r="N223" s="347" t="s">
        <v>3034</v>
      </c>
      <c r="O223" s="347" t="s">
        <v>1244</v>
      </c>
      <c r="P223" s="346" t="s">
        <v>5427</v>
      </c>
      <c r="Q223" s="347" t="s">
        <v>5272</v>
      </c>
      <c r="S223" s="346" t="s">
        <v>5764</v>
      </c>
      <c r="T223" s="346" t="str">
        <f t="shared" si="169"/>
        <v xml:space="preserve">Bard, Sorcerer, Warlock, Arcane Trickster, Wizard, </v>
      </c>
      <c r="U223" s="347" t="str">
        <f>$B223</f>
        <v>Mass Suggestion</v>
      </c>
      <c r="X223" s="347" t="str">
        <f>$B223</f>
        <v>Mass Suggestion</v>
      </c>
      <c r="Y223" s="347" t="str">
        <f>$B223</f>
        <v>Mass Suggestion</v>
      </c>
      <c r="AC223" s="539" t="str">
        <f>B223</f>
        <v>Mass Suggestion</v>
      </c>
      <c r="AD223" s="347" t="str">
        <f>$B223</f>
        <v>Mass Suggestion</v>
      </c>
      <c r="AE223" t="str">
        <f>IF(IFERROR(MATCH($B223,temp!A$4:A$13,0),0)&gt;0,T08_Spells!AE$2,"")</f>
        <v/>
      </c>
      <c r="AF223" t="str">
        <f>IF(IFERROR(MATCH($B223,temp!B$4:B$13,0),0)&gt;0,T08_Spells!AF$2,"")</f>
        <v/>
      </c>
      <c r="AG223" t="str">
        <f>IF(IFERROR(MATCH($B223,temp!C$4:C$13,0),0)&gt;0,T08_Spells!AG$2,"")</f>
        <v/>
      </c>
      <c r="AH223" t="str">
        <f>IF(IFERROR(MATCH($B223,temp!D$4:D$13,0),0)&gt;0,T08_Spells!AH$2,"")</f>
        <v/>
      </c>
      <c r="AI223" t="str">
        <f>IF(IFERROR(MATCH($B223,temp!E$4:E$13,0),0)&gt;0,T08_Spells!AI$2,"")</f>
        <v/>
      </c>
      <c r="AJ223" t="str">
        <f>IF(IFERROR(MATCH($B223,temp!F$4:F$13,0),0)&gt;0,T08_Spells!AJ$2,"")</f>
        <v/>
      </c>
      <c r="AK223" t="str">
        <f>IF(IFERROR(MATCH($B223,temp!G$4:G$13,0),0)&gt;0,T08_Spells!AK$2,"")</f>
        <v/>
      </c>
      <c r="AL223" t="str">
        <f>IF(IFERROR(MATCH($B223,temp!H$4:H$13,0),0)&gt;0,T08_Spells!AL$2,"")</f>
        <v/>
      </c>
      <c r="AM223" t="str">
        <f>IF(IFERROR(MATCH($B223,temp!I$4:I$13,0),0)&gt;0,T08_Spells!AM$2,"")</f>
        <v/>
      </c>
      <c r="AN223" t="str">
        <f>IF(IFERROR(MATCH($B223,temp!J$4:J$13,0),0)&gt;0,T08_Spells!AN$2,"")</f>
        <v/>
      </c>
      <c r="AO223" t="str">
        <f>IF(IFERROR(MATCH($B223,temp!K$4:K$13,0),0)&gt;0,T08_Spells!AO$2,"")</f>
        <v/>
      </c>
      <c r="AP223" t="str">
        <f>IF(IFERROR(MATCH($B223,temp!L$4:L$13,0),0)&gt;0,T08_Spells!AP$2,"")</f>
        <v/>
      </c>
      <c r="AQ223" t="str">
        <f>IF(IFERROR(MATCH($B223,temp!M$4:M$13,0),0)&gt;0,T08_Spells!AQ$2,"")</f>
        <v/>
      </c>
      <c r="AR223" t="str">
        <f>IF(IFERROR(MATCH($B223,temp!N$4:N$13,0),0)&gt;0,T08_Spells!AR$2,"")</f>
        <v/>
      </c>
      <c r="AS223" t="str">
        <f>IF(IFERROR(MATCH($B223,temp!O$4:O$13,0),0)&gt;0,T08_Spells!AS$2,"")</f>
        <v/>
      </c>
      <c r="AT223" t="str">
        <f>IF(IFERROR(MATCH($B223,temp!P$4:P$13,0),0)&gt;0,T08_Spells!AT$2,"")</f>
        <v/>
      </c>
      <c r="AU223" t="str">
        <f>IF(IFERROR(MATCH($B223,temp!Q$4:Q$13,0),0)&gt;0,T08_Spells!AU$2,"")</f>
        <v/>
      </c>
      <c r="AV223" t="str">
        <f>IF(IFERROR(MATCH($B223,temp!R$4:R$13,0),0)&gt;0,T08_Spells!AV$2,"")</f>
        <v/>
      </c>
      <c r="AW223" t="str">
        <f>IF(IFERROR(MATCH($B223,temp!S$4:S$13,0),0)&gt;0,T08_Spells!AW$2,"")</f>
        <v/>
      </c>
      <c r="AX223" t="str">
        <f>IF(IFERROR(MATCH($B223,temp!T$4:T$13,0),0)&gt;0,T08_Spells!AX$2,"")</f>
        <v/>
      </c>
      <c r="AY223" t="str">
        <f>IF(IFERROR(MATCH($B223,temp!U$4:U$13,0),0)&gt;0,T08_Spells!AY$2,"")</f>
        <v/>
      </c>
      <c r="AZ223" t="str">
        <f>IF(IFERROR(MATCH($B223,temp!V$4:V$13,0),0)&gt;0,T08_Spells!AZ$2,"")</f>
        <v/>
      </c>
      <c r="BA223" t="str">
        <f>IF(IFERROR(MATCH($B223,temp!W$4:W$13,0),0)&gt;0,T08_Spells!BA$2,"")</f>
        <v/>
      </c>
      <c r="BC223">
        <f>IF(IFERROR(SEARCH("Ranger",$T223,1),0)&gt;0,1,0)*IF(RangerMaxSpellLevel&gt;=$C223,1,0)*IF(IFERROR(MATCH(B223,Character_Creation!$X$79:$X$382,0),0)&gt;0,0,1)</f>
        <v>0</v>
      </c>
      <c r="BD223">
        <f>IF(BC223=0,0,1+COUNTIF(BD$3:BD222,"&gt;0"))</f>
        <v>0</v>
      </c>
      <c r="BE223" t="str">
        <f t="shared" si="199"/>
        <v/>
      </c>
      <c r="BF223" t="str">
        <f t="shared" si="170"/>
        <v/>
      </c>
      <c r="BH223">
        <f>IF(IFERROR(SEARCH("Sorcerer",$T223,1),0)&gt;0,1,0)*IF(SorcererMaxSpellLevel&gt;=$C223,1,0)*IF(IFERROR(MATCH(B223,Character_Creation!$J$380:$J$394,0),0)&gt;0,0,1)</f>
        <v>0</v>
      </c>
      <c r="BI223">
        <f>IF(BH223=0,0,1+COUNTIF(BI$3:BI222,"&gt;0"))</f>
        <v>0</v>
      </c>
      <c r="BJ223" t="str">
        <f t="shared" si="200"/>
        <v/>
      </c>
      <c r="BK223" t="str">
        <f t="shared" si="171"/>
        <v/>
      </c>
      <c r="BM223">
        <f>IF(OR(IFERROR(SEARCH("Warlock",$T223,1),0)&gt;0,IFERROR(SEARCH(WarlockPatron,$T223,1),0)&gt;0),1,0)*IF(WarlockMaxSpellLevel&gt;=$C223,1,0)*IF(IFERROR(MATCH(B223,Character_Creation!$J$361:$J$375,0),0)&gt;0,0,1)</f>
        <v>0</v>
      </c>
      <c r="BN223">
        <f>IF(BM223=0,0,1+COUNTIF(BN$3:BN222,"&gt;0"))</f>
        <v>0</v>
      </c>
      <c r="BO223" t="str">
        <f t="shared" si="201"/>
        <v/>
      </c>
      <c r="BP223" t="str">
        <f t="shared" si="172"/>
        <v/>
      </c>
      <c r="BR223">
        <f>IF(IFERROR(SEARCH("Eldritch Knight",$T223,1),0)&gt;0,1,0)*IF(EldritchKnightMaxSpellLevel&gt;=$C223,1,0)*IF(IFERROR(MATCH($B223,Character_Creation!$J$350:$J$356,0),0)&gt;0,0,1)*IF(Character_Creation!$M$338&gt;0,1,0)</f>
        <v>0</v>
      </c>
      <c r="BS223">
        <f>IF(BR223=0,0,1+COUNTIF(BS$3:BS222,"&gt;0"))</f>
        <v>0</v>
      </c>
      <c r="BT223" t="str">
        <f t="shared" si="202"/>
        <v/>
      </c>
      <c r="BU223" t="str">
        <f t="shared" si="173"/>
        <v/>
      </c>
      <c r="BW223">
        <f>IF(IFERROR(SEARCH("Arcane Trickster",$T223,1),0)&gt;0,1,0)*IF(ArcaneTricksterMaxSpellLevel&gt;=$C223,1,0)*IF(IFERROR(MATCH($B223,Character_Creation!$J$350:$J$356,0),0)&gt;0,0,1)*IF(Character_Creation!$T$338&gt;0,1,0)</f>
        <v>0</v>
      </c>
      <c r="BX223">
        <f>IF(BW223=0,0,1+COUNTIF(BX$3:BX222,"&gt;0"))</f>
        <v>0</v>
      </c>
      <c r="BY223" t="str">
        <f t="shared" si="203"/>
        <v/>
      </c>
      <c r="BZ223" t="str">
        <f t="shared" si="174"/>
        <v/>
      </c>
      <c r="CB223">
        <f>IF(IFERROR(SEARCH("Wizard",$T223,1),0)&gt;0,1,0)*IF(C223&lt;=ArcaneTricksterMaxSpellLevel,1,0)*IF(IFERROR(MATCH($B223,Character_Creation!$J$350:$J$356,0),0)&gt;0,0,1)*IF(Character_Creation!$T$350&gt;0,1,0)</f>
        <v>0</v>
      </c>
      <c r="CC223">
        <f>IF(CB223=0,0,1+COUNTIF(CC$3:CC222,"&gt;0"))</f>
        <v>0</v>
      </c>
      <c r="CD223" t="str">
        <f t="shared" si="204"/>
        <v/>
      </c>
      <c r="CE223" t="str">
        <f t="shared" si="175"/>
        <v/>
      </c>
      <c r="CG223">
        <f>IF(IFERROR(SEARCH("Wizard",$T223,1),0)&gt;0,1,0)*IF($C223&lt;=EldritchKnightMaxSpellLevel,1,0)*IF(IFERROR(MATCH($B223,Character_Creation!$J$350:$J$356,0),0)&gt;0,0,1)*IF(Character_Creation!$M$350&gt;0,1,0)</f>
        <v>0</v>
      </c>
      <c r="CH223">
        <f>IF(CG223=0,0,1+COUNTIF(CH$3:CH222,"&gt;0"))</f>
        <v>0</v>
      </c>
      <c r="CI223" t="str">
        <f t="shared" si="205"/>
        <v/>
      </c>
      <c r="CJ223" t="str">
        <f t="shared" si="176"/>
        <v/>
      </c>
      <c r="CL223">
        <f>IF(IFERROR(SEARCH("Bard",$T223,1),0)&gt;0,1,0)*IF(BardMaxSpellLevel&gt;=$C223,1,0)*IF(IFERROR(MATCH(B223,Character_Creation!$C$341:$F$362,0),0)&gt;0,0,1)*IF(IFERROR(MATCH($B223,Character_Creation!$C$341:$C$362,0),0)&gt;0,0,1)</f>
        <v>0</v>
      </c>
      <c r="CM223">
        <f>IF(CL223=0,0,1+COUNTIF(CM$3:CM222,"&gt;0"))</f>
        <v>0</v>
      </c>
      <c r="CN223" t="str">
        <f t="shared" si="206"/>
        <v/>
      </c>
      <c r="CO223" t="str">
        <f t="shared" si="177"/>
        <v/>
      </c>
      <c r="CQ223">
        <f>IF(IFERROR(SEARCH("Wizard",$T223,1),0)&gt;0,1,0)*IF(WizardMaxSpellLevel&gt;=$C223,1,0)*IF(IFERROR(MATCH(B223,Character_Creation!$X$341:$X$400,0),0)&gt;0,0,1)*IF(SelectedWizardSpellLevel=$C223,1,0)</f>
        <v>0</v>
      </c>
      <c r="CR223">
        <f>IF(CQ223=0,0,1+COUNTIF(CR$3:CR222,"&gt;0"))</f>
        <v>0</v>
      </c>
      <c r="CS223" t="str">
        <f t="shared" si="207"/>
        <v/>
      </c>
      <c r="CT223" t="str">
        <f t="shared" si="178"/>
        <v/>
      </c>
      <c r="CV223">
        <f>IF(IFERROR(MATCH($B223,Character_Creation!$C$341:$C$362,0),0)&gt;0,0,1)*IF(OR(C223="Cantrip",C223&lt;=BardMaxSpellLevel),1,0)*IF(IFERROR(MATCH($B223,Character_Creation!$C$367:$C$374,0),0)&gt;0,0,1)</f>
        <v>0</v>
      </c>
      <c r="CW223">
        <f>IF(CV223=0,0,1+COUNTIF(CW$3:CW222,"&gt;0"))</f>
        <v>0</v>
      </c>
      <c r="CX223" t="str">
        <f t="shared" si="208"/>
        <v/>
      </c>
      <c r="CY223" t="str">
        <f t="shared" si="179"/>
        <v/>
      </c>
      <c r="DA223">
        <f>IF(IF(OR(IFERROR(SEARCH("Cleric",$T223,1),0)&gt;0,IFERROR(SEARCH(DivineDomain&amp;",",$T223,1),0)&gt;0),1,0)*IF($C223=DA$2,1,0)=1,1+COUNTIF(DA$3:DA222,"&gt;0"),0)</f>
        <v>0</v>
      </c>
      <c r="DB223">
        <f>IF(IF(OR(IFERROR(SEARCH("Cleric",$T223,1),0)&gt;0,IFERROR(SEARCH(DivineDomain&amp;",",$T223,1),0)&gt;0),1,0)*IF($C223=DB$2,1,0)=1,1+COUNTIF(DB$3:DB222,"&gt;0"),0)</f>
        <v>0</v>
      </c>
      <c r="DC223">
        <f>IF(IF(OR(IFERROR(SEARCH("Cleric",$T223,1),0)&gt;0,IFERROR(SEARCH(DivineDomain&amp;",",$T223,1),0)&gt;0),1,0)*IF($C223=DC$2,1,0)=1,1+COUNTIF(DC$3:DC222,"&gt;0"),0)</f>
        <v>0</v>
      </c>
      <c r="DD223">
        <f>IF(IF(OR(IFERROR(SEARCH("Cleric",$T223,1),0)&gt;0,IFERROR(SEARCH(DivineDomain&amp;",",$T223,1),0)&gt;0),1,0)*IF($C223=DD$2,1,0)=1,1+COUNTIF(DD$3:DD222,"&gt;0"),0)</f>
        <v>0</v>
      </c>
      <c r="DE223">
        <f>IF(IF(OR(IFERROR(SEARCH("Cleric",$T223,1),0)&gt;0,IFERROR(SEARCH(DivineDomain&amp;",",$T223,1),0)&gt;0),1,0)*IF($C223=DE$2,1,0)=1,1+COUNTIF(DE$3:DE222,"&gt;0"),0)</f>
        <v>0</v>
      </c>
      <c r="DF223">
        <f>IF(IF(OR(IFERROR(SEARCH("Cleric",$T223,1),0)&gt;0,IFERROR(SEARCH(DivineDomain&amp;",",$T223,1),0)&gt;0),1,0)*IF($C223=DF$2,1,0)=1,1+COUNTIF(DF$3:DF222,"&gt;0"),0)</f>
        <v>0</v>
      </c>
      <c r="DG223">
        <f>IF(IF(OR(IFERROR(SEARCH("Cleric",$T223,1),0)&gt;0,IFERROR(SEARCH(DivineDomain&amp;",",$T223,1),0)&gt;0),1,0)*IF($C223=DG$2,1,0)=1,1+COUNTIF(DG$3:DG222,"&gt;0"),0)</f>
        <v>0</v>
      </c>
      <c r="DH223">
        <f>IF(IF(OR(IFERROR(SEARCH("Cleric",$T223,1),0)&gt;0,IFERROR(SEARCH(DivineDomain&amp;",",$T223,1),0)&gt;0),1,0)*IF($C223=DH$2,1,0)=1,1+COUNTIF(DH$3:DH222,"&gt;0"),0)</f>
        <v>0</v>
      </c>
      <c r="DI223">
        <f>IF(IF(OR(IFERROR(SEARCH("Cleric",$T223,1),0)&gt;0,IFERROR(SEARCH(DivineDomain&amp;",",$T223,1),0)&gt;0),1,0)*IF($C223=DI$2,1,0)=1,1+COUNTIF(DI$3:DI222,"&gt;0"),0)</f>
        <v>0</v>
      </c>
      <c r="DJ223">
        <f>IF(IF(OR(IFERROR(SEARCH("Druid",$T223,1),0)&gt;0,IFERROR(SEARCH(DruidLand1,$T223,1),0)&gt;0,IFERROR(SEARCH(DruidLand2,$T223,1),0)&gt;0,IFERROR(SEARCH(DruidLand3,$T223,1),0)&gt;0,IFERROR(SEARCH(DruidLand4,$T223,1),0)&gt;0),1,0)*IF($C223=1,1,0)*IF($C223=DJ$2,1,0)=0,0,1+COUNTIF(DJ$3:DJ222,"&gt;0"))</f>
        <v>0</v>
      </c>
      <c r="DK223">
        <f>IF(IF(OR(IFERROR(SEARCH("Druid",$T223,1),0)&gt;0,IFERROR(SEARCH(DruidLand1,$T223,1),0)&gt;0,IFERROR(SEARCH(DruidLand2,$T223,1),0)&gt;0,IFERROR(SEARCH(DruidLand3,$T223,1),0)&gt;0,IFERROR(SEARCH(DruidLand4,$T223,1),0)&gt;0),1,0)*IF($C223=1,1,0)*IF($C223=DK$2,1,0)=0,0,1+COUNTIF(DK$3:DK222,"&gt;0"))</f>
        <v>0</v>
      </c>
      <c r="DL223">
        <f>IF(IF(OR(IFERROR(SEARCH("Druid",$T223,1),0)&gt;0,IFERROR(SEARCH(DruidLand1,$T223,1),0)&gt;0,IFERROR(SEARCH(DruidLand2,$T223,1),0)&gt;0,IFERROR(SEARCH(DruidLand3,$T223,1),0)&gt;0,IFERROR(SEARCH(DruidLand4,$T223,1),0)&gt;0),1,0)*IF($C223=1,1,0)*IF($C223=DL$2,1,0)=0,0,1+COUNTIF(DL$3:DL222,"&gt;0"))</f>
        <v>0</v>
      </c>
      <c r="DM223">
        <f>IF(IF(OR(IFERROR(SEARCH("Druid",$T223,1),0)&gt;0,IFERROR(SEARCH(DruidLand1,$T223,1),0)&gt;0,IFERROR(SEARCH(DruidLand2,$T223,1),0)&gt;0,IFERROR(SEARCH(DruidLand3,$T223,1),0)&gt;0,IFERROR(SEARCH(DruidLand4,$T223,1),0)&gt;0),1,0)*IF($C223=1,1,0)*IF($C223=DM$2,1,0)=0,0,1+COUNTIF(DM$3:DM222,"&gt;0"))</f>
        <v>0</v>
      </c>
      <c r="DN223">
        <f>IF(IF(OR(IFERROR(SEARCH("Druid",$T223,1),0)&gt;0,IFERROR(SEARCH(DruidLand1,$T223,1),0)&gt;0,IFERROR(SEARCH(DruidLand2,$T223,1),0)&gt;0,IFERROR(SEARCH(DruidLand3,$T223,1),0)&gt;0,IFERROR(SEARCH(DruidLand4,$T223,1),0)&gt;0),1,0)*IF($C223=1,1,0)*IF($C223=DN$2,1,0)=0,0,1+COUNTIF(DN$3:DN222,"&gt;0"))</f>
        <v>0</v>
      </c>
      <c r="DO223">
        <f>IF(IF(OR(IFERROR(SEARCH("Druid",$T223,1),0)&gt;0,IFERROR(SEARCH(DruidLand1,$T223,1),0)&gt;0,IFERROR(SEARCH(DruidLand2,$T223,1),0)&gt;0,IFERROR(SEARCH(DruidLand3,$T223,1),0)&gt;0,IFERROR(SEARCH(DruidLand4,$T223,1),0)&gt;0),1,0)*IF($C223=1,1,0)*IF($C223=DO$2,1,0)=0,0,1+COUNTIF(DO$3:DO222,"&gt;0"))</f>
        <v>0</v>
      </c>
      <c r="DP223">
        <f>IF(IF(OR(IFERROR(SEARCH("Druid",$T223,1),0)&gt;0,IFERROR(SEARCH(DruidLand1,$T223,1),0)&gt;0,IFERROR(SEARCH(DruidLand2,$T223,1),0)&gt;0,IFERROR(SEARCH(DruidLand3,$T223,1),0)&gt;0,IFERROR(SEARCH(DruidLand4,$T223,1),0)&gt;0),1,0)*IF($C223=1,1,0)*IF($C223=DP$2,1,0)=0,0,1+COUNTIF(DP$3:DP222,"&gt;0"))</f>
        <v>0</v>
      </c>
      <c r="DQ223">
        <f>IF(IF(OR(IFERROR(SEARCH("Druid",$T223,1),0)&gt;0,IFERROR(SEARCH(DruidLand1,$T223,1),0)&gt;0,IFERROR(SEARCH(DruidLand2,$T223,1),0)&gt;0,IFERROR(SEARCH(DruidLand3,$T223,1),0)&gt;0,IFERROR(SEARCH(DruidLand4,$T223,1),0)&gt;0),1,0)*IF($C223=1,1,0)*IF($C223=DQ$2,1,0)=0,0,1+COUNTIF(DQ$3:DQ222,"&gt;0"))</f>
        <v>0</v>
      </c>
      <c r="DR223">
        <f>IF(IF(OR(IFERROR(SEARCH("Druid",$T223,1),0)&gt;0,IFERROR(SEARCH(DruidLand1,$T223,1),0)&gt;0,IFERROR(SEARCH(DruidLand2,$T223,1),0)&gt;0,IFERROR(SEARCH(DruidLand3,$T223,1),0)&gt;0,IFERROR(SEARCH(DruidLand4,$T223,1),0)&gt;0),1,0)*IF($C223=1,1,0)*IF($C223=DR$2,1,0)=0,0,1+COUNTIF(DR$3:DR222,"&gt;0"))</f>
        <v>0</v>
      </c>
      <c r="DS223">
        <f>IF(IF(OR(IFERROR(SEARCH("Paladin",$T223,1),0)&gt;0,IFERROR(SEARCH(PaladinOath,$T223,1),0)&gt;0),1,0)*IF($C223=DS$2,1,0)=1,1+COUNTIF(DS$3:DS222,"&gt;0"),0)</f>
        <v>0</v>
      </c>
      <c r="DT223">
        <f>IF(IF(OR(IFERROR(SEARCH("Paladin",$T223,1),0)&gt;0,IFERROR(SEARCH(PaladinOath,$T223,1),0)&gt;0),1,0)*IF($C223=DT$2,1,0)=1,1+COUNTIF(DT$3:DT222,"&gt;0"),0)</f>
        <v>0</v>
      </c>
      <c r="DU223">
        <f>IF(IF(OR(IFERROR(SEARCH("Paladin",$T223,1),0)&gt;0,IFERROR(SEARCH(PaladinOath,$T223,1),0)&gt;0),1,0)*IF($C223=DU$2,1,0)=1,1+COUNTIF(DU$3:DU222,"&gt;0"),0)</f>
        <v>0</v>
      </c>
      <c r="DV223">
        <f>IF(IF(OR(IFERROR(SEARCH("Paladin",$T223,1),0)&gt;0,IFERROR(SEARCH(PaladinOath,$T223,1),0)&gt;0),1,0)*IF($C223=DV$2,1,0)=1,1+COUNTIF(DV$3:DV222,"&gt;0"),0)</f>
        <v>0</v>
      </c>
      <c r="DW223">
        <f>IF(IF(OR(IFERROR(SEARCH("Paladin",$T223,1),0)&gt;0,IFERROR(SEARCH(PaladinOath,$T223,1),0)&gt;0),1,0)*IF($C223=DW$2,1,0)=1,1+COUNTIF(DW$3:DW222,"&gt;0"),0)</f>
        <v>0</v>
      </c>
      <c r="DY223">
        <f t="shared" si="166"/>
        <v>1</v>
      </c>
      <c r="DZ223">
        <f>IF(DY223=0,0,1+MAX(DZ$3:$DZ222))</f>
        <v>221</v>
      </c>
      <c r="EB223">
        <f t="shared" si="180"/>
        <v>0</v>
      </c>
      <c r="EC223">
        <f>IF(EB223=0,0,1+COUNTIF(EC$3:EC222,"&gt;0"))</f>
        <v>0</v>
      </c>
      <c r="ED223" t="str">
        <f t="shared" si="209"/>
        <v/>
      </c>
      <c r="EE223" t="str">
        <f t="shared" si="181"/>
        <v/>
      </c>
      <c r="EG223">
        <f t="shared" si="182"/>
        <v>0</v>
      </c>
      <c r="EH223">
        <f>IF(EG223=0,0,1+COUNTIF(EH$3:EH222,"&gt;0"))</f>
        <v>0</v>
      </c>
      <c r="EI223" t="str">
        <f t="shared" si="210"/>
        <v/>
      </c>
      <c r="EJ223" t="str">
        <f t="shared" si="183"/>
        <v/>
      </c>
      <c r="EL223">
        <f t="shared" si="184"/>
        <v>0</v>
      </c>
      <c r="EM223">
        <f>IF(EL223=0,0,1+COUNTIF(EM$3:EM222,"&gt;0"))</f>
        <v>0</v>
      </c>
      <c r="EN223" t="str">
        <f t="shared" si="211"/>
        <v/>
      </c>
      <c r="EO223" t="str">
        <f t="shared" si="185"/>
        <v/>
      </c>
      <c r="EQ223">
        <f t="shared" si="186"/>
        <v>0</v>
      </c>
      <c r="ER223">
        <f>IF(EQ223=0,0,1+COUNTIF(ER$3:ER222,"&gt;0"))</f>
        <v>0</v>
      </c>
      <c r="ES223" t="str">
        <f t="shared" si="212"/>
        <v/>
      </c>
      <c r="ET223" t="str">
        <f t="shared" si="187"/>
        <v/>
      </c>
      <c r="EV223">
        <f t="shared" si="188"/>
        <v>0</v>
      </c>
      <c r="EW223">
        <f>IF(EV223=0,0,1+COUNTIF(EW$3:EW222,"&gt;0"))</f>
        <v>0</v>
      </c>
      <c r="EX223" t="str">
        <f t="shared" si="213"/>
        <v/>
      </c>
      <c r="EY223" t="str">
        <f t="shared" si="189"/>
        <v/>
      </c>
      <c r="FA223">
        <f t="shared" si="190"/>
        <v>0</v>
      </c>
      <c r="FB223">
        <f>IF(FA223=0,0,1+COUNTIF(FB$3:FB222,"&gt;0"))</f>
        <v>0</v>
      </c>
      <c r="FC223" t="str">
        <f t="shared" si="214"/>
        <v/>
      </c>
      <c r="FD223" t="str">
        <f t="shared" si="191"/>
        <v/>
      </c>
      <c r="FF223">
        <f t="shared" si="192"/>
        <v>0</v>
      </c>
      <c r="FG223">
        <f>IF(FF223=0,0,1+COUNTIF(FG$3:FG222,"&gt;0"))</f>
        <v>0</v>
      </c>
      <c r="FH223" t="str">
        <f t="shared" si="215"/>
        <v/>
      </c>
      <c r="FI223" t="str">
        <f t="shared" si="193"/>
        <v/>
      </c>
      <c r="FK223">
        <f t="shared" si="194"/>
        <v>0</v>
      </c>
      <c r="FL223">
        <f>IF(FK223=0,0,1+COUNTIF(FL$3:FL222,"&gt;0"))</f>
        <v>0</v>
      </c>
      <c r="FM223" t="str">
        <f t="shared" si="216"/>
        <v/>
      </c>
      <c r="FN223" t="str">
        <f t="shared" si="195"/>
        <v/>
      </c>
      <c r="FP223">
        <f t="shared" si="196"/>
        <v>0</v>
      </c>
      <c r="FQ223">
        <f>IF(FP223=0,0,1+COUNTIF(FQ$3:FQ222,"&gt;0"))</f>
        <v>0</v>
      </c>
      <c r="FR223" t="str">
        <f t="shared" si="217"/>
        <v/>
      </c>
      <c r="FS223" t="str">
        <f t="shared" si="197"/>
        <v/>
      </c>
    </row>
    <row r="224" spans="1:175" x14ac:dyDescent="0.25">
      <c r="A224" s="347">
        <f t="shared" si="219"/>
        <v>222</v>
      </c>
      <c r="B224" s="348" t="s">
        <v>2605</v>
      </c>
      <c r="C224" s="348">
        <v>8</v>
      </c>
      <c r="D224" s="347">
        <v>8</v>
      </c>
      <c r="E224" s="627" t="s">
        <v>6952</v>
      </c>
      <c r="F224" s="346"/>
      <c r="G224" s="347" t="str">
        <f>""</f>
        <v/>
      </c>
      <c r="H224" s="347" t="s">
        <v>5912</v>
      </c>
      <c r="I224" s="347" t="s">
        <v>424</v>
      </c>
      <c r="J224" s="347" t="str">
        <f t="shared" si="167"/>
        <v/>
      </c>
      <c r="K224" s="347" t="s">
        <v>5297</v>
      </c>
      <c r="L224" s="611" t="str">
        <f t="shared" si="168"/>
        <v>V, S</v>
      </c>
      <c r="M224" s="347" t="s">
        <v>2373</v>
      </c>
      <c r="N224" s="347" t="s">
        <v>2387</v>
      </c>
      <c r="O224" s="347" t="s">
        <v>3034</v>
      </c>
      <c r="P224" s="346" t="str">
        <f>""</f>
        <v/>
      </c>
      <c r="Q224" s="347" t="s">
        <v>5271</v>
      </c>
      <c r="S224" s="346" t="s">
        <v>5765</v>
      </c>
      <c r="T224" s="346" t="str">
        <f t="shared" si="169"/>
        <v xml:space="preserve">Wizard, </v>
      </c>
      <c r="AD224" s="347" t="str">
        <f>$B224</f>
        <v>Maze</v>
      </c>
      <c r="AE224" t="str">
        <f>IF(IFERROR(MATCH($B224,temp!A$4:A$13,0),0)&gt;0,T08_Spells!AE$2,"")</f>
        <v/>
      </c>
      <c r="AF224" t="str">
        <f>IF(IFERROR(MATCH($B224,temp!B$4:B$13,0),0)&gt;0,T08_Spells!AF$2,"")</f>
        <v/>
      </c>
      <c r="AG224" t="str">
        <f>IF(IFERROR(MATCH($B224,temp!C$4:C$13,0),0)&gt;0,T08_Spells!AG$2,"")</f>
        <v/>
      </c>
      <c r="AH224" t="str">
        <f>IF(IFERROR(MATCH($B224,temp!D$4:D$13,0),0)&gt;0,T08_Spells!AH$2,"")</f>
        <v/>
      </c>
      <c r="AI224" t="str">
        <f>IF(IFERROR(MATCH($B224,temp!E$4:E$13,0),0)&gt;0,T08_Spells!AI$2,"")</f>
        <v/>
      </c>
      <c r="AJ224" t="str">
        <f>IF(IFERROR(MATCH($B224,temp!F$4:F$13,0),0)&gt;0,T08_Spells!AJ$2,"")</f>
        <v/>
      </c>
      <c r="AK224" t="str">
        <f>IF(IFERROR(MATCH($B224,temp!G$4:G$13,0),0)&gt;0,T08_Spells!AK$2,"")</f>
        <v/>
      </c>
      <c r="AL224" t="str">
        <f>IF(IFERROR(MATCH($B224,temp!H$4:H$13,0),0)&gt;0,T08_Spells!AL$2,"")</f>
        <v/>
      </c>
      <c r="AM224" t="str">
        <f>IF(IFERROR(MATCH($B224,temp!I$4:I$13,0),0)&gt;0,T08_Spells!AM$2,"")</f>
        <v/>
      </c>
      <c r="AN224" t="str">
        <f>IF(IFERROR(MATCH($B224,temp!J$4:J$13,0),0)&gt;0,T08_Spells!AN$2,"")</f>
        <v/>
      </c>
      <c r="AO224" t="str">
        <f>IF(IFERROR(MATCH($B224,temp!K$4:K$13,0),0)&gt;0,T08_Spells!AO$2,"")</f>
        <v/>
      </c>
      <c r="AP224" t="str">
        <f>IF(IFERROR(MATCH($B224,temp!L$4:L$13,0),0)&gt;0,T08_Spells!AP$2,"")</f>
        <v/>
      </c>
      <c r="AQ224" t="str">
        <f>IF(IFERROR(MATCH($B224,temp!M$4:M$13,0),0)&gt;0,T08_Spells!AQ$2,"")</f>
        <v/>
      </c>
      <c r="AR224" t="str">
        <f>IF(IFERROR(MATCH($B224,temp!N$4:N$13,0),0)&gt;0,T08_Spells!AR$2,"")</f>
        <v/>
      </c>
      <c r="AS224" t="str">
        <f>IF(IFERROR(MATCH($B224,temp!O$4:O$13,0),0)&gt;0,T08_Spells!AS$2,"")</f>
        <v/>
      </c>
      <c r="AT224" t="str">
        <f>IF(IFERROR(MATCH($B224,temp!P$4:P$13,0),0)&gt;0,T08_Spells!AT$2,"")</f>
        <v/>
      </c>
      <c r="AU224" t="str">
        <f>IF(IFERROR(MATCH($B224,temp!Q$4:Q$13,0),0)&gt;0,T08_Spells!AU$2,"")</f>
        <v/>
      </c>
      <c r="AV224" t="str">
        <f>IF(IFERROR(MATCH($B224,temp!R$4:R$13,0),0)&gt;0,T08_Spells!AV$2,"")</f>
        <v/>
      </c>
      <c r="AW224" t="str">
        <f>IF(IFERROR(MATCH($B224,temp!S$4:S$13,0),0)&gt;0,T08_Spells!AW$2,"")</f>
        <v/>
      </c>
      <c r="AX224" t="str">
        <f>IF(IFERROR(MATCH($B224,temp!T$4:T$13,0),0)&gt;0,T08_Spells!AX$2,"")</f>
        <v/>
      </c>
      <c r="AY224" t="str">
        <f>IF(IFERROR(MATCH($B224,temp!U$4:U$13,0),0)&gt;0,T08_Spells!AY$2,"")</f>
        <v/>
      </c>
      <c r="AZ224" t="str">
        <f>IF(IFERROR(MATCH($B224,temp!V$4:V$13,0),0)&gt;0,T08_Spells!AZ$2,"")</f>
        <v/>
      </c>
      <c r="BA224" t="str">
        <f>IF(IFERROR(MATCH($B224,temp!W$4:W$13,0),0)&gt;0,T08_Spells!BA$2,"")</f>
        <v/>
      </c>
      <c r="BC224">
        <f>IF(IFERROR(SEARCH("Ranger",$T224,1),0)&gt;0,1,0)*IF(RangerMaxSpellLevel&gt;=$C224,1,0)*IF(IFERROR(MATCH(B224,Character_Creation!$X$79:$X$382,0),0)&gt;0,0,1)</f>
        <v>0</v>
      </c>
      <c r="BD224">
        <f>IF(BC224=0,0,1+COUNTIF(BD$3:BD223,"&gt;0"))</f>
        <v>0</v>
      </c>
      <c r="BE224" t="str">
        <f t="shared" si="199"/>
        <v/>
      </c>
      <c r="BF224" t="str">
        <f t="shared" si="170"/>
        <v/>
      </c>
      <c r="BH224">
        <f>IF(IFERROR(SEARCH("Sorcerer",$T224,1),0)&gt;0,1,0)*IF(SorcererMaxSpellLevel&gt;=$C224,1,0)*IF(IFERROR(MATCH(B224,Character_Creation!$J$380:$J$394,0),0)&gt;0,0,1)</f>
        <v>0</v>
      </c>
      <c r="BI224">
        <f>IF(BH224=0,0,1+COUNTIF(BI$3:BI223,"&gt;0"))</f>
        <v>0</v>
      </c>
      <c r="BJ224" t="str">
        <f t="shared" si="200"/>
        <v/>
      </c>
      <c r="BK224" t="str">
        <f t="shared" si="171"/>
        <v/>
      </c>
      <c r="BM224">
        <f>IF(OR(IFERROR(SEARCH("Warlock",$T224,1),0)&gt;0,IFERROR(SEARCH(WarlockPatron,$T224,1),0)&gt;0),1,0)*IF(WarlockMaxSpellLevel&gt;=$C224,1,0)*IF(IFERROR(MATCH(B224,Character_Creation!$J$361:$J$375,0),0)&gt;0,0,1)</f>
        <v>0</v>
      </c>
      <c r="BN224">
        <f>IF(BM224=0,0,1+COUNTIF(BN$3:BN223,"&gt;0"))</f>
        <v>0</v>
      </c>
      <c r="BO224" t="str">
        <f t="shared" si="201"/>
        <v/>
      </c>
      <c r="BP224" t="str">
        <f t="shared" si="172"/>
        <v/>
      </c>
      <c r="BR224">
        <f>IF(IFERROR(SEARCH("Eldritch Knight",$T224,1),0)&gt;0,1,0)*IF(EldritchKnightMaxSpellLevel&gt;=$C224,1,0)*IF(IFERROR(MATCH($B224,Character_Creation!$J$350:$J$356,0),0)&gt;0,0,1)*IF(Character_Creation!$M$338&gt;0,1,0)</f>
        <v>0</v>
      </c>
      <c r="BS224">
        <f>IF(BR224=0,0,1+COUNTIF(BS$3:BS223,"&gt;0"))</f>
        <v>0</v>
      </c>
      <c r="BT224" t="str">
        <f t="shared" si="202"/>
        <v/>
      </c>
      <c r="BU224" t="str">
        <f t="shared" si="173"/>
        <v/>
      </c>
      <c r="BW224">
        <f>IF(IFERROR(SEARCH("Arcane Trickster",$T224,1),0)&gt;0,1,0)*IF(ArcaneTricksterMaxSpellLevel&gt;=$C224,1,0)*IF(IFERROR(MATCH($B224,Character_Creation!$J$350:$J$356,0),0)&gt;0,0,1)*IF(Character_Creation!$T$338&gt;0,1,0)</f>
        <v>0</v>
      </c>
      <c r="BX224">
        <f>IF(BW224=0,0,1+COUNTIF(BX$3:BX223,"&gt;0"))</f>
        <v>0</v>
      </c>
      <c r="BY224" t="str">
        <f t="shared" si="203"/>
        <v/>
      </c>
      <c r="BZ224" t="str">
        <f t="shared" si="174"/>
        <v/>
      </c>
      <c r="CB224">
        <f>IF(IFERROR(SEARCH("Wizard",$T224,1),0)&gt;0,1,0)*IF(C224&lt;=ArcaneTricksterMaxSpellLevel,1,0)*IF(IFERROR(MATCH($B224,Character_Creation!$J$350:$J$356,0),0)&gt;0,0,1)*IF(Character_Creation!$T$350&gt;0,1,0)</f>
        <v>0</v>
      </c>
      <c r="CC224">
        <f>IF(CB224=0,0,1+COUNTIF(CC$3:CC223,"&gt;0"))</f>
        <v>0</v>
      </c>
      <c r="CD224" t="str">
        <f t="shared" si="204"/>
        <v/>
      </c>
      <c r="CE224" t="str">
        <f t="shared" si="175"/>
        <v/>
      </c>
      <c r="CG224">
        <f>IF(IFERROR(SEARCH("Wizard",$T224,1),0)&gt;0,1,0)*IF($C224&lt;=EldritchKnightMaxSpellLevel,1,0)*IF(IFERROR(MATCH($B224,Character_Creation!$J$350:$J$356,0),0)&gt;0,0,1)*IF(Character_Creation!$M$350&gt;0,1,0)</f>
        <v>0</v>
      </c>
      <c r="CH224">
        <f>IF(CG224=0,0,1+COUNTIF(CH$3:CH223,"&gt;0"))</f>
        <v>0</v>
      </c>
      <c r="CI224" t="str">
        <f t="shared" si="205"/>
        <v/>
      </c>
      <c r="CJ224" t="str">
        <f t="shared" si="176"/>
        <v/>
      </c>
      <c r="CL224">
        <f>IF(IFERROR(SEARCH("Bard",$T224,1),0)&gt;0,1,0)*IF(BardMaxSpellLevel&gt;=$C224,1,0)*IF(IFERROR(MATCH(B224,Character_Creation!$C$341:$F$362,0),0)&gt;0,0,1)*IF(IFERROR(MATCH($B224,Character_Creation!$C$341:$C$362,0),0)&gt;0,0,1)</f>
        <v>0</v>
      </c>
      <c r="CM224">
        <f>IF(CL224=0,0,1+COUNTIF(CM$3:CM223,"&gt;0"))</f>
        <v>0</v>
      </c>
      <c r="CN224" t="str">
        <f t="shared" si="206"/>
        <v/>
      </c>
      <c r="CO224" t="str">
        <f t="shared" si="177"/>
        <v/>
      </c>
      <c r="CQ224">
        <f>IF(IFERROR(SEARCH("Wizard",$T224,1),0)&gt;0,1,0)*IF(WizardMaxSpellLevel&gt;=$C224,1,0)*IF(IFERROR(MATCH(B224,Character_Creation!$X$341:$X$400,0),0)&gt;0,0,1)*IF(SelectedWizardSpellLevel=$C224,1,0)</f>
        <v>0</v>
      </c>
      <c r="CR224">
        <f>IF(CQ224=0,0,1+COUNTIF(CR$3:CR223,"&gt;0"))</f>
        <v>0</v>
      </c>
      <c r="CS224" t="str">
        <f t="shared" si="207"/>
        <v/>
      </c>
      <c r="CT224" t="str">
        <f t="shared" si="178"/>
        <v/>
      </c>
      <c r="CV224">
        <f>IF(IFERROR(MATCH($B224,Character_Creation!$C$341:$C$362,0),0)&gt;0,0,1)*IF(OR(C224="Cantrip",C224&lt;=BardMaxSpellLevel),1,0)*IF(IFERROR(MATCH($B224,Character_Creation!$C$367:$C$374,0),0)&gt;0,0,1)</f>
        <v>0</v>
      </c>
      <c r="CW224">
        <f>IF(CV224=0,0,1+COUNTIF(CW$3:CW223,"&gt;0"))</f>
        <v>0</v>
      </c>
      <c r="CX224" t="str">
        <f t="shared" si="208"/>
        <v/>
      </c>
      <c r="CY224" t="str">
        <f t="shared" si="179"/>
        <v/>
      </c>
      <c r="DA224">
        <f>IF(IF(OR(IFERROR(SEARCH("Cleric",$T224,1),0)&gt;0,IFERROR(SEARCH(DivineDomain&amp;",",$T224,1),0)&gt;0),1,0)*IF($C224=DA$2,1,0)=1,1+COUNTIF(DA$3:DA223,"&gt;0"),0)</f>
        <v>0</v>
      </c>
      <c r="DB224">
        <f>IF(IF(OR(IFERROR(SEARCH("Cleric",$T224,1),0)&gt;0,IFERROR(SEARCH(DivineDomain&amp;",",$T224,1),0)&gt;0),1,0)*IF($C224=DB$2,1,0)=1,1+COUNTIF(DB$3:DB223,"&gt;0"),0)</f>
        <v>0</v>
      </c>
      <c r="DC224">
        <f>IF(IF(OR(IFERROR(SEARCH("Cleric",$T224,1),0)&gt;0,IFERROR(SEARCH(DivineDomain&amp;",",$T224,1),0)&gt;0),1,0)*IF($C224=DC$2,1,0)=1,1+COUNTIF(DC$3:DC223,"&gt;0"),0)</f>
        <v>0</v>
      </c>
      <c r="DD224">
        <f>IF(IF(OR(IFERROR(SEARCH("Cleric",$T224,1),0)&gt;0,IFERROR(SEARCH(DivineDomain&amp;",",$T224,1),0)&gt;0),1,0)*IF($C224=DD$2,1,0)=1,1+COUNTIF(DD$3:DD223,"&gt;0"),0)</f>
        <v>0</v>
      </c>
      <c r="DE224">
        <f>IF(IF(OR(IFERROR(SEARCH("Cleric",$T224,1),0)&gt;0,IFERROR(SEARCH(DivineDomain&amp;",",$T224,1),0)&gt;0),1,0)*IF($C224=DE$2,1,0)=1,1+COUNTIF(DE$3:DE223,"&gt;0"),0)</f>
        <v>0</v>
      </c>
      <c r="DF224">
        <f>IF(IF(OR(IFERROR(SEARCH("Cleric",$T224,1),0)&gt;0,IFERROR(SEARCH(DivineDomain&amp;",",$T224,1),0)&gt;0),1,0)*IF($C224=DF$2,1,0)=1,1+COUNTIF(DF$3:DF223,"&gt;0"),0)</f>
        <v>0</v>
      </c>
      <c r="DG224">
        <f>IF(IF(OR(IFERROR(SEARCH("Cleric",$T224,1),0)&gt;0,IFERROR(SEARCH(DivineDomain&amp;",",$T224,1),0)&gt;0),1,0)*IF($C224=DG$2,1,0)=1,1+COUNTIF(DG$3:DG223,"&gt;0"),0)</f>
        <v>0</v>
      </c>
      <c r="DH224">
        <f>IF(IF(OR(IFERROR(SEARCH("Cleric",$T224,1),0)&gt;0,IFERROR(SEARCH(DivineDomain&amp;",",$T224,1),0)&gt;0),1,0)*IF($C224=DH$2,1,0)=1,1+COUNTIF(DH$3:DH223,"&gt;0"),0)</f>
        <v>0</v>
      </c>
      <c r="DI224">
        <f>IF(IF(OR(IFERROR(SEARCH("Cleric",$T224,1),0)&gt;0,IFERROR(SEARCH(DivineDomain&amp;",",$T224,1),0)&gt;0),1,0)*IF($C224=DI$2,1,0)=1,1+COUNTIF(DI$3:DI223,"&gt;0"),0)</f>
        <v>0</v>
      </c>
      <c r="DJ224">
        <f>IF(IF(OR(IFERROR(SEARCH("Druid",$T224,1),0)&gt;0,IFERROR(SEARCH(DruidLand1,$T224,1),0)&gt;0,IFERROR(SEARCH(DruidLand2,$T224,1),0)&gt;0,IFERROR(SEARCH(DruidLand3,$T224,1),0)&gt;0,IFERROR(SEARCH(DruidLand4,$T224,1),0)&gt;0),1,0)*IF($C224=1,1,0)*IF($C224=DJ$2,1,0)=0,0,1+COUNTIF(DJ$3:DJ223,"&gt;0"))</f>
        <v>0</v>
      </c>
      <c r="DK224">
        <f>IF(IF(OR(IFERROR(SEARCH("Druid",$T224,1),0)&gt;0,IFERROR(SEARCH(DruidLand1,$T224,1),0)&gt;0,IFERROR(SEARCH(DruidLand2,$T224,1),0)&gt;0,IFERROR(SEARCH(DruidLand3,$T224,1),0)&gt;0,IFERROR(SEARCH(DruidLand4,$T224,1),0)&gt;0),1,0)*IF($C224=1,1,0)*IF($C224=DK$2,1,0)=0,0,1+COUNTIF(DK$3:DK223,"&gt;0"))</f>
        <v>0</v>
      </c>
      <c r="DL224">
        <f>IF(IF(OR(IFERROR(SEARCH("Druid",$T224,1),0)&gt;0,IFERROR(SEARCH(DruidLand1,$T224,1),0)&gt;0,IFERROR(SEARCH(DruidLand2,$T224,1),0)&gt;0,IFERROR(SEARCH(DruidLand3,$T224,1),0)&gt;0,IFERROR(SEARCH(DruidLand4,$T224,1),0)&gt;0),1,0)*IF($C224=1,1,0)*IF($C224=DL$2,1,0)=0,0,1+COUNTIF(DL$3:DL223,"&gt;0"))</f>
        <v>0</v>
      </c>
      <c r="DM224">
        <f>IF(IF(OR(IFERROR(SEARCH("Druid",$T224,1),0)&gt;0,IFERROR(SEARCH(DruidLand1,$T224,1),0)&gt;0,IFERROR(SEARCH(DruidLand2,$T224,1),0)&gt;0,IFERROR(SEARCH(DruidLand3,$T224,1),0)&gt;0,IFERROR(SEARCH(DruidLand4,$T224,1),0)&gt;0),1,0)*IF($C224=1,1,0)*IF($C224=DM$2,1,0)=0,0,1+COUNTIF(DM$3:DM223,"&gt;0"))</f>
        <v>0</v>
      </c>
      <c r="DN224">
        <f>IF(IF(OR(IFERROR(SEARCH("Druid",$T224,1),0)&gt;0,IFERROR(SEARCH(DruidLand1,$T224,1),0)&gt;0,IFERROR(SEARCH(DruidLand2,$T224,1),0)&gt;0,IFERROR(SEARCH(DruidLand3,$T224,1),0)&gt;0,IFERROR(SEARCH(DruidLand4,$T224,1),0)&gt;0),1,0)*IF($C224=1,1,0)*IF($C224=DN$2,1,0)=0,0,1+COUNTIF(DN$3:DN223,"&gt;0"))</f>
        <v>0</v>
      </c>
      <c r="DO224">
        <f>IF(IF(OR(IFERROR(SEARCH("Druid",$T224,1),0)&gt;0,IFERROR(SEARCH(DruidLand1,$T224,1),0)&gt;0,IFERROR(SEARCH(DruidLand2,$T224,1),0)&gt;0,IFERROR(SEARCH(DruidLand3,$T224,1),0)&gt;0,IFERROR(SEARCH(DruidLand4,$T224,1),0)&gt;0),1,0)*IF($C224=1,1,0)*IF($C224=DO$2,1,0)=0,0,1+COUNTIF(DO$3:DO223,"&gt;0"))</f>
        <v>0</v>
      </c>
      <c r="DP224">
        <f>IF(IF(OR(IFERROR(SEARCH("Druid",$T224,1),0)&gt;0,IFERROR(SEARCH(DruidLand1,$T224,1),0)&gt;0,IFERROR(SEARCH(DruidLand2,$T224,1),0)&gt;0,IFERROR(SEARCH(DruidLand3,$T224,1),0)&gt;0,IFERROR(SEARCH(DruidLand4,$T224,1),0)&gt;0),1,0)*IF($C224=1,1,0)*IF($C224=DP$2,1,0)=0,0,1+COUNTIF(DP$3:DP223,"&gt;0"))</f>
        <v>0</v>
      </c>
      <c r="DQ224">
        <f>IF(IF(OR(IFERROR(SEARCH("Druid",$T224,1),0)&gt;0,IFERROR(SEARCH(DruidLand1,$T224,1),0)&gt;0,IFERROR(SEARCH(DruidLand2,$T224,1),0)&gt;0,IFERROR(SEARCH(DruidLand3,$T224,1),0)&gt;0,IFERROR(SEARCH(DruidLand4,$T224,1),0)&gt;0),1,0)*IF($C224=1,1,0)*IF($C224=DQ$2,1,0)=0,0,1+COUNTIF(DQ$3:DQ223,"&gt;0"))</f>
        <v>0</v>
      </c>
      <c r="DR224">
        <f>IF(IF(OR(IFERROR(SEARCH("Druid",$T224,1),0)&gt;0,IFERROR(SEARCH(DruidLand1,$T224,1),0)&gt;0,IFERROR(SEARCH(DruidLand2,$T224,1),0)&gt;0,IFERROR(SEARCH(DruidLand3,$T224,1),0)&gt;0,IFERROR(SEARCH(DruidLand4,$T224,1),0)&gt;0),1,0)*IF($C224=1,1,0)*IF($C224=DR$2,1,0)=0,0,1+COUNTIF(DR$3:DR223,"&gt;0"))</f>
        <v>0</v>
      </c>
      <c r="DS224">
        <f>IF(IF(OR(IFERROR(SEARCH("Paladin",$T224,1),0)&gt;0,IFERROR(SEARCH(PaladinOath,$T224,1),0)&gt;0),1,0)*IF($C224=DS$2,1,0)=1,1+COUNTIF(DS$3:DS223,"&gt;0"),0)</f>
        <v>0</v>
      </c>
      <c r="DT224">
        <f>IF(IF(OR(IFERROR(SEARCH("Paladin",$T224,1),0)&gt;0,IFERROR(SEARCH(PaladinOath,$T224,1),0)&gt;0),1,0)*IF($C224=DT$2,1,0)=1,1+COUNTIF(DT$3:DT223,"&gt;0"),0)</f>
        <v>0</v>
      </c>
      <c r="DU224">
        <f>IF(IF(OR(IFERROR(SEARCH("Paladin",$T224,1),0)&gt;0,IFERROR(SEARCH(PaladinOath,$T224,1),0)&gt;0),1,0)*IF($C224=DU$2,1,0)=1,1+COUNTIF(DU$3:DU223,"&gt;0"),0)</f>
        <v>0</v>
      </c>
      <c r="DV224">
        <f>IF(IF(OR(IFERROR(SEARCH("Paladin",$T224,1),0)&gt;0,IFERROR(SEARCH(PaladinOath,$T224,1),0)&gt;0),1,0)*IF($C224=DV$2,1,0)=1,1+COUNTIF(DV$3:DV223,"&gt;0"),0)</f>
        <v>0</v>
      </c>
      <c r="DW224">
        <f>IF(IF(OR(IFERROR(SEARCH("Paladin",$T224,1),0)&gt;0,IFERROR(SEARCH(PaladinOath,$T224,1),0)&gt;0),1,0)*IF($C224=DW$2,1,0)=1,1+COUNTIF(DW$3:DW223,"&gt;0"),0)</f>
        <v>0</v>
      </c>
      <c r="DY224">
        <f t="shared" si="166"/>
        <v>1</v>
      </c>
      <c r="DZ224">
        <f>IF(DY224=0,0,1+MAX(DZ$3:$DZ223))</f>
        <v>222</v>
      </c>
      <c r="EB224">
        <f t="shared" si="180"/>
        <v>0</v>
      </c>
      <c r="EC224">
        <f>IF(EB224=0,0,1+COUNTIF(EC$3:EC223,"&gt;0"))</f>
        <v>0</v>
      </c>
      <c r="ED224" t="str">
        <f t="shared" si="209"/>
        <v/>
      </c>
      <c r="EE224" t="str">
        <f t="shared" si="181"/>
        <v/>
      </c>
      <c r="EG224">
        <f t="shared" si="182"/>
        <v>0</v>
      </c>
      <c r="EH224">
        <f>IF(EG224=0,0,1+COUNTIF(EH$3:EH223,"&gt;0"))</f>
        <v>0</v>
      </c>
      <c r="EI224" t="str">
        <f t="shared" si="210"/>
        <v/>
      </c>
      <c r="EJ224" t="str">
        <f t="shared" si="183"/>
        <v/>
      </c>
      <c r="EL224">
        <f t="shared" si="184"/>
        <v>0</v>
      </c>
      <c r="EM224">
        <f>IF(EL224=0,0,1+COUNTIF(EM$3:EM223,"&gt;0"))</f>
        <v>0</v>
      </c>
      <c r="EN224" t="str">
        <f t="shared" si="211"/>
        <v/>
      </c>
      <c r="EO224" t="str">
        <f t="shared" si="185"/>
        <v/>
      </c>
      <c r="EQ224">
        <f t="shared" si="186"/>
        <v>0</v>
      </c>
      <c r="ER224">
        <f>IF(EQ224=0,0,1+COUNTIF(ER$3:ER223,"&gt;0"))</f>
        <v>0</v>
      </c>
      <c r="ES224" t="str">
        <f t="shared" si="212"/>
        <v/>
      </c>
      <c r="ET224" t="str">
        <f t="shared" si="187"/>
        <v/>
      </c>
      <c r="EV224">
        <f t="shared" si="188"/>
        <v>0</v>
      </c>
      <c r="EW224">
        <f>IF(EV224=0,0,1+COUNTIF(EW$3:EW223,"&gt;0"))</f>
        <v>0</v>
      </c>
      <c r="EX224" t="str">
        <f t="shared" si="213"/>
        <v/>
      </c>
      <c r="EY224" t="str">
        <f t="shared" si="189"/>
        <v/>
      </c>
      <c r="FA224">
        <f t="shared" si="190"/>
        <v>0</v>
      </c>
      <c r="FB224">
        <f>IF(FA224=0,0,1+COUNTIF(FB$3:FB223,"&gt;0"))</f>
        <v>0</v>
      </c>
      <c r="FC224" t="str">
        <f t="shared" si="214"/>
        <v/>
      </c>
      <c r="FD224" t="str">
        <f t="shared" si="191"/>
        <v/>
      </c>
      <c r="FF224">
        <f t="shared" si="192"/>
        <v>0</v>
      </c>
      <c r="FG224">
        <f>IF(FF224=0,0,1+COUNTIF(FG$3:FG223,"&gt;0"))</f>
        <v>0</v>
      </c>
      <c r="FH224" t="str">
        <f t="shared" si="215"/>
        <v/>
      </c>
      <c r="FI224" t="str">
        <f t="shared" si="193"/>
        <v/>
      </c>
      <c r="FK224">
        <f t="shared" si="194"/>
        <v>0</v>
      </c>
      <c r="FL224">
        <f>IF(FK224=0,0,1+COUNTIF(FL$3:FL223,"&gt;0"))</f>
        <v>0</v>
      </c>
      <c r="FM224" t="str">
        <f t="shared" si="216"/>
        <v/>
      </c>
      <c r="FN224" t="str">
        <f t="shared" si="195"/>
        <v/>
      </c>
      <c r="FP224">
        <f t="shared" si="196"/>
        <v>0</v>
      </c>
      <c r="FQ224">
        <f>IF(FP224=0,0,1+COUNTIF(FQ$3:FQ223,"&gt;0"))</f>
        <v>0</v>
      </c>
      <c r="FR224" t="str">
        <f t="shared" si="217"/>
        <v/>
      </c>
      <c r="FS224" t="str">
        <f t="shared" si="197"/>
        <v/>
      </c>
    </row>
    <row r="225" spans="1:175" x14ac:dyDescent="0.25">
      <c r="A225" s="347">
        <f t="shared" si="219"/>
        <v>223</v>
      </c>
      <c r="B225" s="348" t="s">
        <v>2606</v>
      </c>
      <c r="C225" s="348">
        <v>3</v>
      </c>
      <c r="D225" s="347">
        <v>3</v>
      </c>
      <c r="E225" s="627" t="s">
        <v>6952</v>
      </c>
      <c r="F225" s="346"/>
      <c r="G225" s="347" t="s">
        <v>5269</v>
      </c>
      <c r="H225" s="347" t="s">
        <v>5913</v>
      </c>
      <c r="I225" s="347" t="s">
        <v>5298</v>
      </c>
      <c r="J225" s="347" t="str">
        <f t="shared" si="167"/>
        <v/>
      </c>
      <c r="K225" s="347" t="s">
        <v>5279</v>
      </c>
      <c r="L225" s="611" t="str">
        <f t="shared" si="168"/>
        <v>V, S</v>
      </c>
      <c r="M225" s="347" t="s">
        <v>2373</v>
      </c>
      <c r="N225" s="347" t="s">
        <v>2387</v>
      </c>
      <c r="O225" s="347" t="s">
        <v>3034</v>
      </c>
      <c r="P225" s="346" t="str">
        <f>""</f>
        <v/>
      </c>
      <c r="Q225" s="347" t="s">
        <v>5276</v>
      </c>
      <c r="S225" s="346" t="s">
        <v>5766</v>
      </c>
      <c r="T225" s="346" t="str">
        <f t="shared" si="169"/>
        <v xml:space="preserve">Cleric, Druid, Mountain, </v>
      </c>
      <c r="Z225" s="347" t="str">
        <f>$B225</f>
        <v>Meld into Stone</v>
      </c>
      <c r="AA225" s="347" t="str">
        <f>$B225</f>
        <v>Meld into Stone</v>
      </c>
      <c r="AE225" t="str">
        <f>IF(IFERROR(MATCH($B225,temp!A$4:A$13,0),0)&gt;0,T08_Spells!AE$2,"")</f>
        <v/>
      </c>
      <c r="AF225" t="str">
        <f>IF(IFERROR(MATCH($B225,temp!B$4:B$13,0),0)&gt;0,T08_Spells!AF$2,"")</f>
        <v/>
      </c>
      <c r="AG225" t="str">
        <f>IF(IFERROR(MATCH($B225,temp!C$4:C$13,0),0)&gt;0,T08_Spells!AG$2,"")</f>
        <v/>
      </c>
      <c r="AH225" t="str">
        <f>IF(IFERROR(MATCH($B225,temp!D$4:D$13,0),0)&gt;0,T08_Spells!AH$2,"")</f>
        <v/>
      </c>
      <c r="AI225" t="str">
        <f>IF(IFERROR(MATCH($B225,temp!E$4:E$13,0),0)&gt;0,T08_Spells!AI$2,"")</f>
        <v/>
      </c>
      <c r="AJ225" t="str">
        <f>IF(IFERROR(MATCH($B225,temp!F$4:F$13,0),0)&gt;0,T08_Spells!AJ$2,"")</f>
        <v/>
      </c>
      <c r="AK225" t="str">
        <f>IF(IFERROR(MATCH($B225,temp!G$4:G$13,0),0)&gt;0,T08_Spells!AK$2,"")</f>
        <v/>
      </c>
      <c r="AL225" t="str">
        <f>IF(IFERROR(MATCH($B225,temp!H$4:H$13,0),0)&gt;0,T08_Spells!AL$2,"")</f>
        <v/>
      </c>
      <c r="AM225" t="str">
        <f>IF(IFERROR(MATCH($B225,temp!I$4:I$13,0),0)&gt;0,T08_Spells!AM$2,"")</f>
        <v/>
      </c>
      <c r="AN225" t="str">
        <f>IF(IFERROR(MATCH($B225,temp!J$4:J$13,0),0)&gt;0,T08_Spells!AN$2,"")</f>
        <v/>
      </c>
      <c r="AO225" t="str">
        <f>IF(IFERROR(MATCH($B225,temp!K$4:K$13,0),0)&gt;0,T08_Spells!AO$2,"")</f>
        <v/>
      </c>
      <c r="AP225" t="str">
        <f>IF(IFERROR(MATCH($B225,temp!L$4:L$13,0),0)&gt;0,T08_Spells!AP$2,"")</f>
        <v/>
      </c>
      <c r="AQ225" t="str">
        <f>IF(IFERROR(MATCH($B225,temp!M$4:M$13,0),0)&gt;0,T08_Spells!AQ$2,"")</f>
        <v>Mountain</v>
      </c>
      <c r="AR225" t="str">
        <f>IF(IFERROR(MATCH($B225,temp!N$4:N$13,0),0)&gt;0,T08_Spells!AR$2,"")</f>
        <v/>
      </c>
      <c r="AS225" t="str">
        <f>IF(IFERROR(MATCH($B225,temp!O$4:O$13,0),0)&gt;0,T08_Spells!AS$2,"")</f>
        <v/>
      </c>
      <c r="AT225" t="str">
        <f>IF(IFERROR(MATCH($B225,temp!P$4:P$13,0),0)&gt;0,T08_Spells!AT$2,"")</f>
        <v/>
      </c>
      <c r="AU225" t="str">
        <f>IF(IFERROR(MATCH($B225,temp!Q$4:Q$13,0),0)&gt;0,T08_Spells!AU$2,"")</f>
        <v/>
      </c>
      <c r="AV225" t="str">
        <f>IF(IFERROR(MATCH($B225,temp!R$4:R$13,0),0)&gt;0,T08_Spells!AV$2,"")</f>
        <v/>
      </c>
      <c r="AW225" t="str">
        <f>IF(IFERROR(MATCH($B225,temp!S$4:S$13,0),0)&gt;0,T08_Spells!AW$2,"")</f>
        <v/>
      </c>
      <c r="AX225" t="str">
        <f>IF(IFERROR(MATCH($B225,temp!T$4:T$13,0),0)&gt;0,T08_Spells!AX$2,"")</f>
        <v/>
      </c>
      <c r="AY225" t="str">
        <f>IF(IFERROR(MATCH($B225,temp!U$4:U$13,0),0)&gt;0,T08_Spells!AY$2,"")</f>
        <v/>
      </c>
      <c r="AZ225" t="str">
        <f>IF(IFERROR(MATCH($B225,temp!V$4:V$13,0),0)&gt;0,T08_Spells!AZ$2,"")</f>
        <v/>
      </c>
      <c r="BA225" t="str">
        <f>IF(IFERROR(MATCH($B225,temp!W$4:W$13,0),0)&gt;0,T08_Spells!BA$2,"")</f>
        <v/>
      </c>
      <c r="BC225">
        <f>IF(IFERROR(SEARCH("Ranger",$T225,1),0)&gt;0,1,0)*IF(RangerMaxSpellLevel&gt;=$C225,1,0)*IF(IFERROR(MATCH(B225,Character_Creation!$X$79:$X$382,0),0)&gt;0,0,1)</f>
        <v>0</v>
      </c>
      <c r="BD225">
        <f>IF(BC225=0,0,1+COUNTIF(BD$3:BD224,"&gt;0"))</f>
        <v>0</v>
      </c>
      <c r="BE225" t="str">
        <f t="shared" si="199"/>
        <v/>
      </c>
      <c r="BF225" t="str">
        <f t="shared" si="170"/>
        <v/>
      </c>
      <c r="BH225">
        <f>IF(IFERROR(SEARCH("Sorcerer",$T225,1),0)&gt;0,1,0)*IF(SorcererMaxSpellLevel&gt;=$C225,1,0)*IF(IFERROR(MATCH(B225,Character_Creation!$J$380:$J$394,0),0)&gt;0,0,1)</f>
        <v>0</v>
      </c>
      <c r="BI225">
        <f>IF(BH225=0,0,1+COUNTIF(BI$3:BI224,"&gt;0"))</f>
        <v>0</v>
      </c>
      <c r="BJ225" t="str">
        <f t="shared" si="200"/>
        <v/>
      </c>
      <c r="BK225" t="str">
        <f t="shared" si="171"/>
        <v/>
      </c>
      <c r="BM225">
        <f>IF(OR(IFERROR(SEARCH("Warlock",$T225,1),0)&gt;0,IFERROR(SEARCH(WarlockPatron,$T225,1),0)&gt;0),1,0)*IF(WarlockMaxSpellLevel&gt;=$C225,1,0)*IF(IFERROR(MATCH(B225,Character_Creation!$J$361:$J$375,0),0)&gt;0,0,1)</f>
        <v>0</v>
      </c>
      <c r="BN225">
        <f>IF(BM225=0,0,1+COUNTIF(BN$3:BN224,"&gt;0"))</f>
        <v>0</v>
      </c>
      <c r="BO225" t="str">
        <f t="shared" si="201"/>
        <v/>
      </c>
      <c r="BP225" t="str">
        <f t="shared" si="172"/>
        <v/>
      </c>
      <c r="BR225">
        <f>IF(IFERROR(SEARCH("Eldritch Knight",$T225,1),0)&gt;0,1,0)*IF(EldritchKnightMaxSpellLevel&gt;=$C225,1,0)*IF(IFERROR(MATCH($B225,Character_Creation!$J$350:$J$356,0),0)&gt;0,0,1)*IF(Character_Creation!$M$338&gt;0,1,0)</f>
        <v>0</v>
      </c>
      <c r="BS225">
        <f>IF(BR225=0,0,1+COUNTIF(BS$3:BS224,"&gt;0"))</f>
        <v>0</v>
      </c>
      <c r="BT225" t="str">
        <f t="shared" si="202"/>
        <v/>
      </c>
      <c r="BU225" t="str">
        <f t="shared" si="173"/>
        <v/>
      </c>
      <c r="BW225">
        <f>IF(IFERROR(SEARCH("Arcane Trickster",$T225,1),0)&gt;0,1,0)*IF(ArcaneTricksterMaxSpellLevel&gt;=$C225,1,0)*IF(IFERROR(MATCH($B225,Character_Creation!$J$350:$J$356,0),0)&gt;0,0,1)*IF(Character_Creation!$T$338&gt;0,1,0)</f>
        <v>0</v>
      </c>
      <c r="BX225">
        <f>IF(BW225=0,0,1+COUNTIF(BX$3:BX224,"&gt;0"))</f>
        <v>0</v>
      </c>
      <c r="BY225" t="str">
        <f t="shared" si="203"/>
        <v/>
      </c>
      <c r="BZ225" t="str">
        <f t="shared" si="174"/>
        <v/>
      </c>
      <c r="CB225">
        <f>IF(IFERROR(SEARCH("Wizard",$T225,1),0)&gt;0,1,0)*IF(C225&lt;=ArcaneTricksterMaxSpellLevel,1,0)*IF(IFERROR(MATCH($B225,Character_Creation!$J$350:$J$356,0),0)&gt;0,0,1)*IF(Character_Creation!$T$350&gt;0,1,0)</f>
        <v>0</v>
      </c>
      <c r="CC225">
        <f>IF(CB225=0,0,1+COUNTIF(CC$3:CC224,"&gt;0"))</f>
        <v>0</v>
      </c>
      <c r="CD225" t="str">
        <f t="shared" si="204"/>
        <v/>
      </c>
      <c r="CE225" t="str">
        <f t="shared" si="175"/>
        <v/>
      </c>
      <c r="CG225">
        <f>IF(IFERROR(SEARCH("Wizard",$T225,1),0)&gt;0,1,0)*IF($C225&lt;=EldritchKnightMaxSpellLevel,1,0)*IF(IFERROR(MATCH($B225,Character_Creation!$J$350:$J$356,0),0)&gt;0,0,1)*IF(Character_Creation!$M$350&gt;0,1,0)</f>
        <v>0</v>
      </c>
      <c r="CH225">
        <f>IF(CG225=0,0,1+COUNTIF(CH$3:CH224,"&gt;0"))</f>
        <v>0</v>
      </c>
      <c r="CI225" t="str">
        <f t="shared" si="205"/>
        <v/>
      </c>
      <c r="CJ225" t="str">
        <f t="shared" si="176"/>
        <v/>
      </c>
      <c r="CL225">
        <f>IF(IFERROR(SEARCH("Bard",$T225,1),0)&gt;0,1,0)*IF(BardMaxSpellLevel&gt;=$C225,1,0)*IF(IFERROR(MATCH(B225,Character_Creation!$C$341:$F$362,0),0)&gt;0,0,1)*IF(IFERROR(MATCH($B225,Character_Creation!$C$341:$C$362,0),0)&gt;0,0,1)</f>
        <v>0</v>
      </c>
      <c r="CM225">
        <f>IF(CL225=0,0,1+COUNTIF(CM$3:CM224,"&gt;0"))</f>
        <v>0</v>
      </c>
      <c r="CN225" t="str">
        <f t="shared" si="206"/>
        <v/>
      </c>
      <c r="CO225" t="str">
        <f t="shared" si="177"/>
        <v/>
      </c>
      <c r="CQ225">
        <f>IF(IFERROR(SEARCH("Wizard",$T225,1),0)&gt;0,1,0)*IF(WizardMaxSpellLevel&gt;=$C225,1,0)*IF(IFERROR(MATCH(B225,Character_Creation!$X$341:$X$400,0),0)&gt;0,0,1)*IF(SelectedWizardSpellLevel=$C225,1,0)</f>
        <v>0</v>
      </c>
      <c r="CR225">
        <f>IF(CQ225=0,0,1+COUNTIF(CR$3:CR224,"&gt;0"))</f>
        <v>0</v>
      </c>
      <c r="CS225" t="str">
        <f t="shared" si="207"/>
        <v/>
      </c>
      <c r="CT225" t="str">
        <f t="shared" si="178"/>
        <v/>
      </c>
      <c r="CV225">
        <f>IF(IFERROR(MATCH($B225,Character_Creation!$C$341:$C$362,0),0)&gt;0,0,1)*IF(OR(C225="Cantrip",C225&lt;=BardMaxSpellLevel),1,0)*IF(IFERROR(MATCH($B225,Character_Creation!$C$367:$C$374,0),0)&gt;0,0,1)</f>
        <v>0</v>
      </c>
      <c r="CW225">
        <f>IF(CV225=0,0,1+COUNTIF(CW$3:CW224,"&gt;0"))</f>
        <v>0</v>
      </c>
      <c r="CX225" t="str">
        <f t="shared" si="208"/>
        <v/>
      </c>
      <c r="CY225" t="str">
        <f t="shared" si="179"/>
        <v/>
      </c>
      <c r="DA225">
        <f>IF(IF(OR(IFERROR(SEARCH("Cleric",$T225,1),0)&gt;0,IFERROR(SEARCH(DivineDomain&amp;",",$T225,1),0)&gt;0),1,0)*IF($C225=DA$2,1,0)=1,1+COUNTIF(DA$3:DA224,"&gt;0"),0)</f>
        <v>0</v>
      </c>
      <c r="DB225">
        <f>IF(IF(OR(IFERROR(SEARCH("Cleric",$T225,1),0)&gt;0,IFERROR(SEARCH(DivineDomain&amp;",",$T225,1),0)&gt;0),1,0)*IF($C225=DB$2,1,0)=1,1+COUNTIF(DB$3:DB224,"&gt;0"),0)</f>
        <v>0</v>
      </c>
      <c r="DC225">
        <f>IF(IF(OR(IFERROR(SEARCH("Cleric",$T225,1),0)&gt;0,IFERROR(SEARCH(DivineDomain&amp;",",$T225,1),0)&gt;0),1,0)*IF($C225=DC$2,1,0)=1,1+COUNTIF(DC$3:DC224,"&gt;0"),0)</f>
        <v>12</v>
      </c>
      <c r="DD225">
        <f>IF(IF(OR(IFERROR(SEARCH("Cleric",$T225,1),0)&gt;0,IFERROR(SEARCH(DivineDomain&amp;",",$T225,1),0)&gt;0),1,0)*IF($C225=DD$2,1,0)=1,1+COUNTIF(DD$3:DD224,"&gt;0"),0)</f>
        <v>0</v>
      </c>
      <c r="DE225">
        <f>IF(IF(OR(IFERROR(SEARCH("Cleric",$T225,1),0)&gt;0,IFERROR(SEARCH(DivineDomain&amp;",",$T225,1),0)&gt;0),1,0)*IF($C225=DE$2,1,0)=1,1+COUNTIF(DE$3:DE224,"&gt;0"),0)</f>
        <v>0</v>
      </c>
      <c r="DF225">
        <f>IF(IF(OR(IFERROR(SEARCH("Cleric",$T225,1),0)&gt;0,IFERROR(SEARCH(DivineDomain&amp;",",$T225,1),0)&gt;0),1,0)*IF($C225=DF$2,1,0)=1,1+COUNTIF(DF$3:DF224,"&gt;0"),0)</f>
        <v>0</v>
      </c>
      <c r="DG225">
        <f>IF(IF(OR(IFERROR(SEARCH("Cleric",$T225,1),0)&gt;0,IFERROR(SEARCH(DivineDomain&amp;",",$T225,1),0)&gt;0),1,0)*IF($C225=DG$2,1,0)=1,1+COUNTIF(DG$3:DG224,"&gt;0"),0)</f>
        <v>0</v>
      </c>
      <c r="DH225">
        <f>IF(IF(OR(IFERROR(SEARCH("Cleric",$T225,1),0)&gt;0,IFERROR(SEARCH(DivineDomain&amp;",",$T225,1),0)&gt;0),1,0)*IF($C225=DH$2,1,0)=1,1+COUNTIF(DH$3:DH224,"&gt;0"),0)</f>
        <v>0</v>
      </c>
      <c r="DI225">
        <f>IF(IF(OR(IFERROR(SEARCH("Cleric",$T225,1),0)&gt;0,IFERROR(SEARCH(DivineDomain&amp;",",$T225,1),0)&gt;0),1,0)*IF($C225=DI$2,1,0)=1,1+COUNTIF(DI$3:DI224,"&gt;0"),0)</f>
        <v>0</v>
      </c>
      <c r="DJ225">
        <f>IF(IF(OR(IFERROR(SEARCH("Druid",$T225,1),0)&gt;0,IFERROR(SEARCH(DruidLand1,$T225,1),0)&gt;0,IFERROR(SEARCH(DruidLand2,$T225,1),0)&gt;0,IFERROR(SEARCH(DruidLand3,$T225,1),0)&gt;0,IFERROR(SEARCH(DruidLand4,$T225,1),0)&gt;0),1,0)*IF($C225=1,1,0)*IF($C225=DJ$2,1,0)=0,0,1+COUNTIF(DJ$3:DJ224,"&gt;0"))</f>
        <v>0</v>
      </c>
      <c r="DK225">
        <f>IF(IF(OR(IFERROR(SEARCH("Druid",$T225,1),0)&gt;0,IFERROR(SEARCH(DruidLand1,$T225,1),0)&gt;0,IFERROR(SEARCH(DruidLand2,$T225,1),0)&gt;0,IFERROR(SEARCH(DruidLand3,$T225,1),0)&gt;0,IFERROR(SEARCH(DruidLand4,$T225,1),0)&gt;0),1,0)*IF($C225=DK$2,1,0)=0,0,1+COUNTIF(DK$3:DK224,"&gt;0"))</f>
        <v>0</v>
      </c>
      <c r="DL225">
        <f>IF(IF(OR(IFERROR(SEARCH("Druid",$T225,1),0)&gt;0,IFERROR(SEARCH(DruidLand1,$T225,1),0)&gt;0,IFERROR(SEARCH(DruidLand2,$T225,1),0)&gt;0,IFERROR(SEARCH(DruidLand3,$T225,1),0)&gt;0,IFERROR(SEARCH(DruidLand4,$T225,1),0)&gt;0),1,0)*IF($C225=DL$2,1,0)=0,0,1+COUNTIF(DL$3:DL224,"&gt;0"))</f>
        <v>6</v>
      </c>
      <c r="DM225">
        <f>IF(IF(OR(IFERROR(SEARCH("Druid",$T225,1),0)&gt;0,IFERROR(SEARCH(DruidLand1,$T225,1),0)&gt;0,IFERROR(SEARCH(DruidLand2,$T225,1),0)&gt;0,IFERROR(SEARCH(DruidLand3,$T225,1),0)&gt;0,IFERROR(SEARCH(DruidLand4,$T225,1),0)&gt;0),1,0)*IF($C225=DM$2,1,0)=0,0,1+COUNTIF(DM$3:DM224,"&gt;0"))</f>
        <v>0</v>
      </c>
      <c r="DN225">
        <f>IF(IF(OR(IFERROR(SEARCH("Druid",$T225,1),0)&gt;0,IFERROR(SEARCH(DruidLand1,$T225,1),0)&gt;0,IFERROR(SEARCH(DruidLand2,$T225,1),0)&gt;0,IFERROR(SEARCH(DruidLand3,$T225,1),0)&gt;0,IFERROR(SEARCH(DruidLand4,$T225,1),0)&gt;0),1,0)*IF($C225=DN$2,1,0)=0,0,1+COUNTIF(DN$3:DN224,"&gt;0"))</f>
        <v>0</v>
      </c>
      <c r="DO225">
        <f>IF(IF(OR(IFERROR(SEARCH("Druid",$T225,1),0)&gt;0,IFERROR(SEARCH(DruidLand1,$T225,1),0)&gt;0,IFERROR(SEARCH(DruidLand2,$T225,1),0)&gt;0,IFERROR(SEARCH(DruidLand3,$T225,1),0)&gt;0,IFERROR(SEARCH(DruidLand4,$T225,1),0)&gt;0),1,0)*IF($C225=DO$2,1,0)=0,0,1+COUNTIF(DO$3:DO224,"&gt;0"))</f>
        <v>0</v>
      </c>
      <c r="DP225">
        <f>IF(IF(OR(IFERROR(SEARCH("Druid",$T225,1),0)&gt;0,IFERROR(SEARCH(DruidLand1,$T225,1),0)&gt;0,IFERROR(SEARCH(DruidLand2,$T225,1),0)&gt;0,IFERROR(SEARCH(DruidLand3,$T225,1),0)&gt;0,IFERROR(SEARCH(DruidLand4,$T225,1),0)&gt;0),1,0)*IF($C225=DP$2,1,0)=0,0,1+COUNTIF(DP$3:DP224,"&gt;0"))</f>
        <v>0</v>
      </c>
      <c r="DQ225">
        <f>IF(IF(OR(IFERROR(SEARCH("Druid",$T225,1),0)&gt;0,IFERROR(SEARCH(DruidLand1,$T225,1),0)&gt;0,IFERROR(SEARCH(DruidLand2,$T225,1),0)&gt;0,IFERROR(SEARCH(DruidLand3,$T225,1),0)&gt;0,IFERROR(SEARCH(DruidLand4,$T225,1),0)&gt;0),1,0)*IF($C225=DQ$2,1,0)=0,0,1+COUNTIF(DQ$3:DQ224,"&gt;0"))</f>
        <v>0</v>
      </c>
      <c r="DR225">
        <f>IF(IF(OR(IFERROR(SEARCH("Druid",$T225,1),0)&gt;0,IFERROR(SEARCH(DruidLand1,$T225,1),0)&gt;0,IFERROR(SEARCH(DruidLand2,$T225,1),0)&gt;0,IFERROR(SEARCH(DruidLand3,$T225,1),0)&gt;0,IFERROR(SEARCH(DruidLand4,$T225,1),0)&gt;0),1,0)*IF($C225=DR$2,1,0)=0,0,1+COUNTIF(DR$3:DR224,"&gt;0"))</f>
        <v>0</v>
      </c>
      <c r="DS225">
        <f>IF(IF(OR(IFERROR(SEARCH("Paladin",$T225,1),0)&gt;0,IFERROR(SEARCH(PaladinOath,$T225,1),0)&gt;0),1,0)*IF($C225=DS$2,1,0)=1,1+COUNTIF(DS$3:DS224,"&gt;0"),0)</f>
        <v>0</v>
      </c>
      <c r="DT225">
        <f>IF(IF(OR(IFERROR(SEARCH("Paladin",$T225,1),0)&gt;0,IFERROR(SEARCH(PaladinOath,$T225,1),0)&gt;0),1,0)*IF($C225=DT$2,1,0)=1,1+COUNTIF(DT$3:DT224,"&gt;0"),0)</f>
        <v>0</v>
      </c>
      <c r="DU225">
        <f>IF(IF(OR(IFERROR(SEARCH("Paladin",$T225,1),0)&gt;0,IFERROR(SEARCH(PaladinOath,$T225,1),0)&gt;0),1,0)*IF($C225=DU$2,1,0)=1,1+COUNTIF(DU$3:DU224,"&gt;0"),0)</f>
        <v>0</v>
      </c>
      <c r="DV225">
        <f>IF(IF(OR(IFERROR(SEARCH("Paladin",$T225,1),0)&gt;0,IFERROR(SEARCH(PaladinOath,$T225,1),0)&gt;0),1,0)*IF($C225=DV$2,1,0)=1,1+COUNTIF(DV$3:DV224,"&gt;0"),0)</f>
        <v>0</v>
      </c>
      <c r="DW225">
        <f>IF(IF(OR(IFERROR(SEARCH("Paladin",$T225,1),0)&gt;0,IFERROR(SEARCH(PaladinOath,$T225,1),0)&gt;0),1,0)*IF($C225=DW$2,1,0)=1,1+COUNTIF(DW$3:DW224,"&gt;0"),0)</f>
        <v>0</v>
      </c>
      <c r="DY225">
        <f t="shared" si="166"/>
        <v>1</v>
      </c>
      <c r="DZ225">
        <f>IF(DY225=0,0,1+MAX(DZ$3:$DZ224))</f>
        <v>223</v>
      </c>
      <c r="EB225">
        <f t="shared" si="180"/>
        <v>0</v>
      </c>
      <c r="EC225">
        <f>IF(EB225=0,0,1+COUNTIF(EC$3:EC224,"&gt;0"))</f>
        <v>0</v>
      </c>
      <c r="ED225" t="str">
        <f t="shared" si="209"/>
        <v/>
      </c>
      <c r="EE225" t="str">
        <f t="shared" si="181"/>
        <v/>
      </c>
      <c r="EG225">
        <f t="shared" si="182"/>
        <v>0</v>
      </c>
      <c r="EH225">
        <f>IF(EG225=0,0,1+COUNTIF(EH$3:EH224,"&gt;0"))</f>
        <v>0</v>
      </c>
      <c r="EI225" t="str">
        <f t="shared" si="210"/>
        <v/>
      </c>
      <c r="EJ225" t="str">
        <f t="shared" si="183"/>
        <v/>
      </c>
      <c r="EL225">
        <f t="shared" si="184"/>
        <v>0</v>
      </c>
      <c r="EM225">
        <f>IF(EL225=0,0,1+COUNTIF(EM$3:EM224,"&gt;0"))</f>
        <v>0</v>
      </c>
      <c r="EN225" t="str">
        <f t="shared" si="211"/>
        <v/>
      </c>
      <c r="EO225" t="str">
        <f t="shared" si="185"/>
        <v/>
      </c>
      <c r="EQ225">
        <f t="shared" si="186"/>
        <v>0</v>
      </c>
      <c r="ER225">
        <f>IF(EQ225=0,0,1+COUNTIF(ER$3:ER224,"&gt;0"))</f>
        <v>0</v>
      </c>
      <c r="ES225" t="str">
        <f t="shared" si="212"/>
        <v/>
      </c>
      <c r="ET225" t="str">
        <f t="shared" si="187"/>
        <v/>
      </c>
      <c r="EV225">
        <f t="shared" si="188"/>
        <v>0</v>
      </c>
      <c r="EW225">
        <f>IF(EV225=0,0,1+COUNTIF(EW$3:EW224,"&gt;0"))</f>
        <v>0</v>
      </c>
      <c r="EX225" t="str">
        <f t="shared" si="213"/>
        <v/>
      </c>
      <c r="EY225" t="str">
        <f t="shared" si="189"/>
        <v/>
      </c>
      <c r="FA225">
        <f t="shared" si="190"/>
        <v>0</v>
      </c>
      <c r="FB225">
        <f>IF(FA225=0,0,1+COUNTIF(FB$3:FB224,"&gt;0"))</f>
        <v>0</v>
      </c>
      <c r="FC225" t="str">
        <f t="shared" si="214"/>
        <v/>
      </c>
      <c r="FD225" t="str">
        <f t="shared" si="191"/>
        <v/>
      </c>
      <c r="FF225">
        <f t="shared" si="192"/>
        <v>0</v>
      </c>
      <c r="FG225">
        <f>IF(FF225=0,0,1+COUNTIF(FG$3:FG224,"&gt;0"))</f>
        <v>0</v>
      </c>
      <c r="FH225" t="str">
        <f t="shared" si="215"/>
        <v/>
      </c>
      <c r="FI225" t="str">
        <f t="shared" si="193"/>
        <v/>
      </c>
      <c r="FK225">
        <f t="shared" si="194"/>
        <v>0</v>
      </c>
      <c r="FL225">
        <f>IF(FK225=0,0,1+COUNTIF(FL$3:FL224,"&gt;0"))</f>
        <v>0</v>
      </c>
      <c r="FM225" t="str">
        <f t="shared" si="216"/>
        <v/>
      </c>
      <c r="FN225" t="str">
        <f t="shared" si="195"/>
        <v/>
      </c>
      <c r="FP225">
        <f t="shared" si="196"/>
        <v>0</v>
      </c>
      <c r="FQ225">
        <f>IF(FP225=0,0,1+COUNTIF(FQ$3:FQ224,"&gt;0"))</f>
        <v>0</v>
      </c>
      <c r="FR225" t="str">
        <f t="shared" si="217"/>
        <v/>
      </c>
      <c r="FS225" t="str">
        <f t="shared" si="197"/>
        <v/>
      </c>
    </row>
    <row r="226" spans="1:175" x14ac:dyDescent="0.25">
      <c r="A226" s="347">
        <f t="shared" si="219"/>
        <v>224</v>
      </c>
      <c r="B226" s="348" t="s">
        <v>2607</v>
      </c>
      <c r="C226" s="348">
        <v>2</v>
      </c>
      <c r="D226" s="347">
        <v>2</v>
      </c>
      <c r="E226" s="627" t="s">
        <v>6952</v>
      </c>
      <c r="F226" s="346"/>
      <c r="G226" s="347" t="str">
        <f>""</f>
        <v/>
      </c>
      <c r="H226" s="347" t="s">
        <v>5912</v>
      </c>
      <c r="I226" s="347" t="s">
        <v>5312</v>
      </c>
      <c r="J226" s="347" t="str">
        <f t="shared" si="167"/>
        <v/>
      </c>
      <c r="K226" s="347" t="s">
        <v>5278</v>
      </c>
      <c r="L226" s="611" t="str">
        <f t="shared" si="168"/>
        <v>V, S, M, powdered rhubarb leaf and an adder’s stomach</v>
      </c>
      <c r="M226" s="347" t="s">
        <v>2373</v>
      </c>
      <c r="N226" s="347" t="s">
        <v>2387</v>
      </c>
      <c r="O226" s="347" t="s">
        <v>1244</v>
      </c>
      <c r="P226" s="346" t="s">
        <v>5428</v>
      </c>
      <c r="Q226" s="347" t="s">
        <v>5273</v>
      </c>
      <c r="S226" s="346" t="s">
        <v>5767</v>
      </c>
      <c r="T226" s="346" t="str">
        <f t="shared" si="169"/>
        <v xml:space="preserve">Eldritch Knight, Wizard, Swamp, </v>
      </c>
      <c r="AB226" s="542" t="str">
        <f>AD226</f>
        <v>Melf's Acid Arrow</v>
      </c>
      <c r="AD226" s="347" t="str">
        <f t="shared" ref="AD226:AD236" si="222">$B226</f>
        <v>Melf's Acid Arrow</v>
      </c>
      <c r="AE226" t="str">
        <f>IF(IFERROR(MATCH($B226,temp!A$4:A$13,0),0)&gt;0,T08_Spells!AE$2,"")</f>
        <v/>
      </c>
      <c r="AF226" t="str">
        <f>IF(IFERROR(MATCH($B226,temp!B$4:B$13,0),0)&gt;0,T08_Spells!AF$2,"")</f>
        <v/>
      </c>
      <c r="AG226" t="str">
        <f>IF(IFERROR(MATCH($B226,temp!C$4:C$13,0),0)&gt;0,T08_Spells!AG$2,"")</f>
        <v/>
      </c>
      <c r="AH226" t="str">
        <f>IF(IFERROR(MATCH($B226,temp!D$4:D$13,0),0)&gt;0,T08_Spells!AH$2,"")</f>
        <v/>
      </c>
      <c r="AI226" t="str">
        <f>IF(IFERROR(MATCH($B226,temp!E$4:E$13,0),0)&gt;0,T08_Spells!AI$2,"")</f>
        <v/>
      </c>
      <c r="AJ226" t="str">
        <f>IF(IFERROR(MATCH($B226,temp!F$4:F$13,0),0)&gt;0,T08_Spells!AJ$2,"")</f>
        <v/>
      </c>
      <c r="AK226" t="str">
        <f>IF(IFERROR(MATCH($B226,temp!G$4:G$13,0),0)&gt;0,T08_Spells!AK$2,"")</f>
        <v/>
      </c>
      <c r="AL226" t="str">
        <f>IF(IFERROR(MATCH($B226,temp!H$4:H$13,0),0)&gt;0,T08_Spells!AL$2,"")</f>
        <v/>
      </c>
      <c r="AM226" t="str">
        <f>IF(IFERROR(MATCH($B226,temp!I$4:I$13,0),0)&gt;0,T08_Spells!AM$2,"")</f>
        <v/>
      </c>
      <c r="AN226" t="str">
        <f>IF(IFERROR(MATCH($B226,temp!J$4:J$13,0),0)&gt;0,T08_Spells!AN$2,"")</f>
        <v/>
      </c>
      <c r="AO226" t="str">
        <f>IF(IFERROR(MATCH($B226,temp!K$4:K$13,0),0)&gt;0,T08_Spells!AO$2,"")</f>
        <v/>
      </c>
      <c r="AP226" t="str">
        <f>IF(IFERROR(MATCH($B226,temp!L$4:L$13,0),0)&gt;0,T08_Spells!AP$2,"")</f>
        <v/>
      </c>
      <c r="AQ226" t="str">
        <f>IF(IFERROR(MATCH($B226,temp!M$4:M$13,0),0)&gt;0,T08_Spells!AQ$2,"")</f>
        <v/>
      </c>
      <c r="AR226" t="str">
        <f>IF(IFERROR(MATCH($B226,temp!N$4:N$13,0),0)&gt;0,T08_Spells!AR$2,"")</f>
        <v>Swamp</v>
      </c>
      <c r="AS226" t="str">
        <f>IF(IFERROR(MATCH($B226,temp!O$4:O$13,0),0)&gt;0,T08_Spells!AS$2,"")</f>
        <v/>
      </c>
      <c r="AT226" t="str">
        <f>IF(IFERROR(MATCH($B226,temp!P$4:P$13,0),0)&gt;0,T08_Spells!AT$2,"")</f>
        <v/>
      </c>
      <c r="AU226" t="str">
        <f>IF(IFERROR(MATCH($B226,temp!Q$4:Q$13,0),0)&gt;0,T08_Spells!AU$2,"")</f>
        <v/>
      </c>
      <c r="AV226" t="str">
        <f>IF(IFERROR(MATCH($B226,temp!R$4:R$13,0),0)&gt;0,T08_Spells!AV$2,"")</f>
        <v/>
      </c>
      <c r="AW226" t="str">
        <f>IF(IFERROR(MATCH($B226,temp!S$4:S$13,0),0)&gt;0,T08_Spells!AW$2,"")</f>
        <v/>
      </c>
      <c r="AX226" t="str">
        <f>IF(IFERROR(MATCH($B226,temp!T$4:T$13,0),0)&gt;0,T08_Spells!AX$2,"")</f>
        <v/>
      </c>
      <c r="AY226" t="str">
        <f>IF(IFERROR(MATCH($B226,temp!U$4:U$13,0),0)&gt;0,T08_Spells!AY$2,"")</f>
        <v/>
      </c>
      <c r="AZ226" t="str">
        <f>IF(IFERROR(MATCH($B226,temp!V$4:V$13,0),0)&gt;0,T08_Spells!AZ$2,"")</f>
        <v/>
      </c>
      <c r="BA226" t="str">
        <f>IF(IFERROR(MATCH($B226,temp!W$4:W$13,0),0)&gt;0,T08_Spells!BA$2,"")</f>
        <v/>
      </c>
      <c r="BC226">
        <f>IF(IFERROR(SEARCH("Ranger",$T226,1),0)&gt;0,1,0)*IF(RangerMaxSpellLevel&gt;=$C226,1,0)*IF(IFERROR(MATCH(B226,Character_Creation!$X$79:$X$382,0),0)&gt;0,0,1)</f>
        <v>0</v>
      </c>
      <c r="BD226">
        <f>IF(BC226=0,0,1+COUNTIF(BD$3:BD225,"&gt;0"))</f>
        <v>0</v>
      </c>
      <c r="BE226" t="str">
        <f t="shared" si="199"/>
        <v/>
      </c>
      <c r="BF226" t="str">
        <f t="shared" si="170"/>
        <v/>
      </c>
      <c r="BH226">
        <f>IF(IFERROR(SEARCH("Sorcerer",$T226,1),0)&gt;0,1,0)*IF(SorcererMaxSpellLevel&gt;=$C226,1,0)*IF(IFERROR(MATCH(B226,Character_Creation!$J$380:$J$394,0),0)&gt;0,0,1)</f>
        <v>0</v>
      </c>
      <c r="BI226">
        <f>IF(BH226=0,0,1+COUNTIF(BI$3:BI225,"&gt;0"))</f>
        <v>0</v>
      </c>
      <c r="BJ226" t="str">
        <f t="shared" si="200"/>
        <v/>
      </c>
      <c r="BK226" t="str">
        <f t="shared" si="171"/>
        <v/>
      </c>
      <c r="BM226">
        <f>IF(OR(IFERROR(SEARCH("Warlock",$T226,1),0)&gt;0,IFERROR(SEARCH(WarlockPatron,$T226,1),0)&gt;0),1,0)*IF(WarlockMaxSpellLevel&gt;=$C226,1,0)*IF(IFERROR(MATCH(B226,Character_Creation!$J$361:$J$375,0),0)&gt;0,0,1)</f>
        <v>0</v>
      </c>
      <c r="BN226">
        <f>IF(BM226=0,0,1+COUNTIF(BN$3:BN225,"&gt;0"))</f>
        <v>0</v>
      </c>
      <c r="BO226" t="str">
        <f t="shared" si="201"/>
        <v/>
      </c>
      <c r="BP226" t="str">
        <f t="shared" si="172"/>
        <v/>
      </c>
      <c r="BR226">
        <f>IF(IFERROR(SEARCH("Eldritch Knight",$T226,1),0)&gt;0,1,0)*IF(EldritchKnightMaxSpellLevel&gt;=$C226,1,0)*IF(IFERROR(MATCH($B226,Character_Creation!$J$350:$J$356,0),0)&gt;0,0,1)*IF(Character_Creation!$M$338&gt;0,1,0)</f>
        <v>0</v>
      </c>
      <c r="BS226">
        <f>IF(BR226=0,0,1+COUNTIF(BS$3:BS225,"&gt;0"))</f>
        <v>0</v>
      </c>
      <c r="BT226" t="str">
        <f t="shared" si="202"/>
        <v/>
      </c>
      <c r="BU226" t="str">
        <f t="shared" si="173"/>
        <v/>
      </c>
      <c r="BW226">
        <f>IF(IFERROR(SEARCH("Arcane Trickster",$T226,1),0)&gt;0,1,0)*IF(ArcaneTricksterMaxSpellLevel&gt;=$C226,1,0)*IF(IFERROR(MATCH($B226,Character_Creation!$J$350:$J$356,0),0)&gt;0,0,1)*IF(Character_Creation!$T$338&gt;0,1,0)</f>
        <v>0</v>
      </c>
      <c r="BX226">
        <f>IF(BW226=0,0,1+COUNTIF(BX$3:BX225,"&gt;0"))</f>
        <v>0</v>
      </c>
      <c r="BY226" t="str">
        <f t="shared" si="203"/>
        <v/>
      </c>
      <c r="BZ226" t="str">
        <f t="shared" si="174"/>
        <v/>
      </c>
      <c r="CB226">
        <f>IF(IFERROR(SEARCH("Wizard",$T226,1),0)&gt;0,1,0)*IF(C226&lt;=ArcaneTricksterMaxSpellLevel,1,0)*IF(IFERROR(MATCH($B226,Character_Creation!$J$350:$J$356,0),0)&gt;0,0,1)*IF(Character_Creation!$T$350&gt;0,1,0)</f>
        <v>0</v>
      </c>
      <c r="CC226">
        <f>IF(CB226=0,0,1+COUNTIF(CC$3:CC225,"&gt;0"))</f>
        <v>0</v>
      </c>
      <c r="CD226" t="str">
        <f t="shared" si="204"/>
        <v/>
      </c>
      <c r="CE226" t="str">
        <f t="shared" si="175"/>
        <v/>
      </c>
      <c r="CG226">
        <f>IF(IFERROR(SEARCH("Wizard",$T226,1),0)&gt;0,1,0)*IF($C226&lt;=EldritchKnightMaxSpellLevel,1,0)*IF(IFERROR(MATCH($B226,Character_Creation!$J$350:$J$356,0),0)&gt;0,0,1)*IF(Character_Creation!$M$350&gt;0,1,0)</f>
        <v>1</v>
      </c>
      <c r="CH226">
        <f>IF(CG226=0,0,1+COUNTIF(CH$3:CH225,"&gt;0"))</f>
        <v>42</v>
      </c>
      <c r="CI226" t="str">
        <f t="shared" si="205"/>
        <v/>
      </c>
      <c r="CJ226" t="str">
        <f t="shared" si="176"/>
        <v/>
      </c>
      <c r="CL226">
        <f>IF(IFERROR(SEARCH("Bard",$T226,1),0)&gt;0,1,0)*IF(BardMaxSpellLevel&gt;=$C226,1,0)*IF(IFERROR(MATCH(B226,Character_Creation!$C$341:$F$362,0),0)&gt;0,0,1)*IF(IFERROR(MATCH($B226,Character_Creation!$C$341:$C$362,0),0)&gt;0,0,1)</f>
        <v>0</v>
      </c>
      <c r="CM226">
        <f>IF(CL226=0,0,1+COUNTIF(CM$3:CM225,"&gt;0"))</f>
        <v>0</v>
      </c>
      <c r="CN226" t="str">
        <f t="shared" si="206"/>
        <v/>
      </c>
      <c r="CO226" t="str">
        <f t="shared" si="177"/>
        <v/>
      </c>
      <c r="CQ226">
        <f>IF(IFERROR(SEARCH("Wizard",$T226,1),0)&gt;0,1,0)*IF(WizardMaxSpellLevel&gt;=$C226,1,0)*IF(IFERROR(MATCH(B226,Character_Creation!$X$341:$X$400,0),0)&gt;0,0,1)*IF(SelectedWizardSpellLevel=$C226,1,0)</f>
        <v>0</v>
      </c>
      <c r="CR226">
        <f>IF(CQ226=0,0,1+COUNTIF(CR$3:CR225,"&gt;0"))</f>
        <v>0</v>
      </c>
      <c r="CS226" t="str">
        <f t="shared" si="207"/>
        <v/>
      </c>
      <c r="CT226" t="str">
        <f t="shared" si="178"/>
        <v/>
      </c>
      <c r="CV226">
        <f>IF(IFERROR(MATCH($B226,Character_Creation!$C$341:$C$362,0),0)&gt;0,0,1)*IF(OR(C226="Cantrip",C226&lt;=BardMaxSpellLevel),1,0)*IF(IFERROR(MATCH($B226,Character_Creation!$C$367:$C$374,0),0)&gt;0,0,1)</f>
        <v>0</v>
      </c>
      <c r="CW226">
        <f>IF(CV226=0,0,1+COUNTIF(CW$3:CW225,"&gt;0"))</f>
        <v>0</v>
      </c>
      <c r="CX226" t="str">
        <f t="shared" si="208"/>
        <v/>
      </c>
      <c r="CY226" t="str">
        <f t="shared" si="179"/>
        <v/>
      </c>
      <c r="DA226">
        <f>IF(IF(OR(IFERROR(SEARCH("Cleric",$T226,1),0)&gt;0,IFERROR(SEARCH(DivineDomain&amp;",",$T226,1),0)&gt;0),1,0)*IF($C226=DA$2,1,0)=1,1+COUNTIF(DA$3:DA225,"&gt;0"),0)</f>
        <v>0</v>
      </c>
      <c r="DB226">
        <f>IF(IF(OR(IFERROR(SEARCH("Cleric",$T226,1),0)&gt;0,IFERROR(SEARCH(DivineDomain&amp;",",$T226,1),0)&gt;0),1,0)*IF($C226=DB$2,1,0)=1,1+COUNTIF(DB$3:DB225,"&gt;0"),0)</f>
        <v>0</v>
      </c>
      <c r="DC226">
        <f>IF(IF(OR(IFERROR(SEARCH("Cleric",$T226,1),0)&gt;0,IFERROR(SEARCH(DivineDomain&amp;",",$T226,1),0)&gt;0),1,0)*IF($C226=DC$2,1,0)=1,1+COUNTIF(DC$3:DC225,"&gt;0"),0)</f>
        <v>0</v>
      </c>
      <c r="DD226">
        <f>IF(IF(OR(IFERROR(SEARCH("Cleric",$T226,1),0)&gt;0,IFERROR(SEARCH(DivineDomain&amp;",",$T226,1),0)&gt;0),1,0)*IF($C226=DD$2,1,0)=1,1+COUNTIF(DD$3:DD225,"&gt;0"),0)</f>
        <v>0</v>
      </c>
      <c r="DE226">
        <f>IF(IF(OR(IFERROR(SEARCH("Cleric",$T226,1),0)&gt;0,IFERROR(SEARCH(DivineDomain&amp;",",$T226,1),0)&gt;0),1,0)*IF($C226=DE$2,1,0)=1,1+COUNTIF(DE$3:DE225,"&gt;0"),0)</f>
        <v>0</v>
      </c>
      <c r="DF226">
        <f>IF(IF(OR(IFERROR(SEARCH("Cleric",$T226,1),0)&gt;0,IFERROR(SEARCH(DivineDomain&amp;",",$T226,1),0)&gt;0),1,0)*IF($C226=DF$2,1,0)=1,1+COUNTIF(DF$3:DF225,"&gt;0"),0)</f>
        <v>0</v>
      </c>
      <c r="DG226">
        <f>IF(IF(OR(IFERROR(SEARCH("Cleric",$T226,1),0)&gt;0,IFERROR(SEARCH(DivineDomain&amp;",",$T226,1),0)&gt;0),1,0)*IF($C226=DG$2,1,0)=1,1+COUNTIF(DG$3:DG225,"&gt;0"),0)</f>
        <v>0</v>
      </c>
      <c r="DH226">
        <f>IF(IF(OR(IFERROR(SEARCH("Cleric",$T226,1),0)&gt;0,IFERROR(SEARCH(DivineDomain&amp;",",$T226,1),0)&gt;0),1,0)*IF($C226=DH$2,1,0)=1,1+COUNTIF(DH$3:DH225,"&gt;0"),0)</f>
        <v>0</v>
      </c>
      <c r="DI226">
        <f>IF(IF(OR(IFERROR(SEARCH("Cleric",$T226,1),0)&gt;0,IFERROR(SEARCH(DivineDomain&amp;",",$T226,1),0)&gt;0),1,0)*IF($C226=DI$2,1,0)=1,1+COUNTIF(DI$3:DI225,"&gt;0"),0)</f>
        <v>0</v>
      </c>
      <c r="DJ226">
        <f>IF(IF(OR(IFERROR(SEARCH("Druid",$T226,1),0)&gt;0,IFERROR(SEARCH(DruidLand1,$T226,1),0)&gt;0,IFERROR(SEARCH(DruidLand2,$T226,1),0)&gt;0,IFERROR(SEARCH(DruidLand3,$T226,1),0)&gt;0,IFERROR(SEARCH(DruidLand4,$T226,1),0)&gt;0),1,0)*IF($C226=1,1,0)*IF($C226=DJ$2,1,0)=0,0,1+COUNTIF(DJ$3:DJ225,"&gt;0"))</f>
        <v>0</v>
      </c>
      <c r="DK226">
        <f>IF(IF(OR(IFERROR(SEARCH("Druid",$T226,1),0)&gt;0,IFERROR(SEARCH(DruidLand1,$T226,1),0)&gt;0,IFERROR(SEARCH(DruidLand2,$T226,1),0)&gt;0,IFERROR(SEARCH(DruidLand3,$T226,1),0)&gt;0,IFERROR(SEARCH(DruidLand4,$T226,1),0)&gt;0),1,0)*IF($C226=1,1,0)*IF($C226=DK$2,1,0)=0,0,1+COUNTIF(DK$3:DK225,"&gt;0"))</f>
        <v>0</v>
      </c>
      <c r="DL226">
        <f>IF(IF(OR(IFERROR(SEARCH("Druid",$T226,1),0)&gt;0,IFERROR(SEARCH(DruidLand1,$T226,1),0)&gt;0,IFERROR(SEARCH(DruidLand2,$T226,1),0)&gt;0,IFERROR(SEARCH(DruidLand3,$T226,1),0)&gt;0,IFERROR(SEARCH(DruidLand4,$T226,1),0)&gt;0),1,0)*IF($C226=1,1,0)*IF($C226=DL$2,1,0)=0,0,1+COUNTIF(DL$3:DL225,"&gt;0"))</f>
        <v>0</v>
      </c>
      <c r="DM226">
        <f>IF(IF(OR(IFERROR(SEARCH("Druid",$T226,1),0)&gt;0,IFERROR(SEARCH(DruidLand1,$T226,1),0)&gt;0,IFERROR(SEARCH(DruidLand2,$T226,1),0)&gt;0,IFERROR(SEARCH(DruidLand3,$T226,1),0)&gt;0,IFERROR(SEARCH(DruidLand4,$T226,1),0)&gt;0),1,0)*IF($C226=1,1,0)*IF($C226=DM$2,1,0)=0,0,1+COUNTIF(DM$3:DM225,"&gt;0"))</f>
        <v>0</v>
      </c>
      <c r="DN226">
        <f>IF(IF(OR(IFERROR(SEARCH("Druid",$T226,1),0)&gt;0,IFERROR(SEARCH(DruidLand1,$T226,1),0)&gt;0,IFERROR(SEARCH(DruidLand2,$T226,1),0)&gt;0,IFERROR(SEARCH(DruidLand3,$T226,1),0)&gt;0,IFERROR(SEARCH(DruidLand4,$T226,1),0)&gt;0),1,0)*IF($C226=1,1,0)*IF($C226=DN$2,1,0)=0,0,1+COUNTIF(DN$3:DN225,"&gt;0"))</f>
        <v>0</v>
      </c>
      <c r="DO226">
        <f>IF(IF(OR(IFERROR(SEARCH("Druid",$T226,1),0)&gt;0,IFERROR(SEARCH(DruidLand1,$T226,1),0)&gt;0,IFERROR(SEARCH(DruidLand2,$T226,1),0)&gt;0,IFERROR(SEARCH(DruidLand3,$T226,1),0)&gt;0,IFERROR(SEARCH(DruidLand4,$T226,1),0)&gt;0),1,0)*IF($C226=1,1,0)*IF($C226=DO$2,1,0)=0,0,1+COUNTIF(DO$3:DO225,"&gt;0"))</f>
        <v>0</v>
      </c>
      <c r="DP226">
        <f>IF(IF(OR(IFERROR(SEARCH("Druid",$T226,1),0)&gt;0,IFERROR(SEARCH(DruidLand1,$T226,1),0)&gt;0,IFERROR(SEARCH(DruidLand2,$T226,1),0)&gt;0,IFERROR(SEARCH(DruidLand3,$T226,1),0)&gt;0,IFERROR(SEARCH(DruidLand4,$T226,1),0)&gt;0),1,0)*IF($C226=1,1,0)*IF($C226=DP$2,1,0)=0,0,1+COUNTIF(DP$3:DP225,"&gt;0"))</f>
        <v>0</v>
      </c>
      <c r="DQ226">
        <f>IF(IF(OR(IFERROR(SEARCH("Druid",$T226,1),0)&gt;0,IFERROR(SEARCH(DruidLand1,$T226,1),0)&gt;0,IFERROR(SEARCH(DruidLand2,$T226,1),0)&gt;0,IFERROR(SEARCH(DruidLand3,$T226,1),0)&gt;0,IFERROR(SEARCH(DruidLand4,$T226,1),0)&gt;0),1,0)*IF($C226=1,1,0)*IF($C226=DQ$2,1,0)=0,0,1+COUNTIF(DQ$3:DQ225,"&gt;0"))</f>
        <v>0</v>
      </c>
      <c r="DR226">
        <f>IF(IF(OR(IFERROR(SEARCH("Druid",$T226,1),0)&gt;0,IFERROR(SEARCH(DruidLand1,$T226,1),0)&gt;0,IFERROR(SEARCH(DruidLand2,$T226,1),0)&gt;0,IFERROR(SEARCH(DruidLand3,$T226,1),0)&gt;0,IFERROR(SEARCH(DruidLand4,$T226,1),0)&gt;0),1,0)*IF($C226=1,1,0)*IF($C226=DR$2,1,0)=0,0,1+COUNTIF(DR$3:DR225,"&gt;0"))</f>
        <v>0</v>
      </c>
      <c r="DS226">
        <f>IF(IF(OR(IFERROR(SEARCH("Paladin",$T226,1),0)&gt;0,IFERROR(SEARCH(PaladinOath,$T226,1),0)&gt;0),1,0)*IF($C226=DS$2,1,0)=1,1+COUNTIF(DS$3:DS225,"&gt;0"),0)</f>
        <v>0</v>
      </c>
      <c r="DT226">
        <f>IF(IF(OR(IFERROR(SEARCH("Paladin",$T226,1),0)&gt;0,IFERROR(SEARCH(PaladinOath,$T226,1),0)&gt;0),1,0)*IF($C226=DT$2,1,0)=1,1+COUNTIF(DT$3:DT225,"&gt;0"),0)</f>
        <v>0</v>
      </c>
      <c r="DU226">
        <f>IF(IF(OR(IFERROR(SEARCH("Paladin",$T226,1),0)&gt;0,IFERROR(SEARCH(PaladinOath,$T226,1),0)&gt;0),1,0)*IF($C226=DU$2,1,0)=1,1+COUNTIF(DU$3:DU225,"&gt;0"),0)</f>
        <v>0</v>
      </c>
      <c r="DV226">
        <f>IF(IF(OR(IFERROR(SEARCH("Paladin",$T226,1),0)&gt;0,IFERROR(SEARCH(PaladinOath,$T226,1),0)&gt;0),1,0)*IF($C226=DV$2,1,0)=1,1+COUNTIF(DV$3:DV225,"&gt;0"),0)</f>
        <v>0</v>
      </c>
      <c r="DW226">
        <f>IF(IF(OR(IFERROR(SEARCH("Paladin",$T226,1),0)&gt;0,IFERROR(SEARCH(PaladinOath,$T226,1),0)&gt;0),1,0)*IF($C226=DW$2,1,0)=1,1+COUNTIF(DW$3:DW225,"&gt;0"),0)</f>
        <v>0</v>
      </c>
      <c r="DY226">
        <f t="shared" si="166"/>
        <v>1</v>
      </c>
      <c r="DZ226">
        <f>IF(DY226=0,0,1+MAX(DZ$3:$DZ225))</f>
        <v>224</v>
      </c>
      <c r="EB226">
        <f t="shared" si="180"/>
        <v>0</v>
      </c>
      <c r="EC226">
        <f>IF(EB226=0,0,1+COUNTIF(EC$3:EC225,"&gt;0"))</f>
        <v>0</v>
      </c>
      <c r="ED226" t="str">
        <f t="shared" si="209"/>
        <v/>
      </c>
      <c r="EE226" t="str">
        <f t="shared" si="181"/>
        <v/>
      </c>
      <c r="EG226">
        <f t="shared" si="182"/>
        <v>0</v>
      </c>
      <c r="EH226">
        <f>IF(EG226=0,0,1+COUNTIF(EH$3:EH225,"&gt;0"))</f>
        <v>0</v>
      </c>
      <c r="EI226" t="str">
        <f t="shared" si="210"/>
        <v/>
      </c>
      <c r="EJ226" t="str">
        <f t="shared" si="183"/>
        <v/>
      </c>
      <c r="EL226">
        <f t="shared" si="184"/>
        <v>0</v>
      </c>
      <c r="EM226">
        <f>IF(EL226=0,0,1+COUNTIF(EM$3:EM225,"&gt;0"))</f>
        <v>0</v>
      </c>
      <c r="EN226" t="str">
        <f t="shared" si="211"/>
        <v/>
      </c>
      <c r="EO226" t="str">
        <f t="shared" si="185"/>
        <v/>
      </c>
      <c r="EQ226">
        <f t="shared" si="186"/>
        <v>0</v>
      </c>
      <c r="ER226">
        <f>IF(EQ226=0,0,1+COUNTIF(ER$3:ER225,"&gt;0"))</f>
        <v>0</v>
      </c>
      <c r="ES226" t="str">
        <f t="shared" si="212"/>
        <v/>
      </c>
      <c r="ET226" t="str">
        <f t="shared" si="187"/>
        <v/>
      </c>
      <c r="EV226">
        <f t="shared" si="188"/>
        <v>0</v>
      </c>
      <c r="EW226">
        <f>IF(EV226=0,0,1+COUNTIF(EW$3:EW225,"&gt;0"))</f>
        <v>0</v>
      </c>
      <c r="EX226" t="str">
        <f t="shared" si="213"/>
        <v/>
      </c>
      <c r="EY226" t="str">
        <f t="shared" si="189"/>
        <v/>
      </c>
      <c r="FA226">
        <f t="shared" si="190"/>
        <v>0</v>
      </c>
      <c r="FB226">
        <f>IF(FA226=0,0,1+COUNTIF(FB$3:FB225,"&gt;0"))</f>
        <v>0</v>
      </c>
      <c r="FC226" t="str">
        <f t="shared" si="214"/>
        <v/>
      </c>
      <c r="FD226" t="str">
        <f t="shared" si="191"/>
        <v/>
      </c>
      <c r="FF226">
        <f t="shared" si="192"/>
        <v>0</v>
      </c>
      <c r="FG226">
        <f>IF(FF226=0,0,1+COUNTIF(FG$3:FG225,"&gt;0"))</f>
        <v>0</v>
      </c>
      <c r="FH226" t="str">
        <f t="shared" si="215"/>
        <v/>
      </c>
      <c r="FI226" t="str">
        <f t="shared" si="193"/>
        <v/>
      </c>
      <c r="FK226">
        <f t="shared" si="194"/>
        <v>0</v>
      </c>
      <c r="FL226">
        <f>IF(FK226=0,0,1+COUNTIF(FL$3:FL225,"&gt;0"))</f>
        <v>0</v>
      </c>
      <c r="FM226" t="str">
        <f t="shared" si="216"/>
        <v/>
      </c>
      <c r="FN226" t="str">
        <f t="shared" si="195"/>
        <v/>
      </c>
      <c r="FP226">
        <f t="shared" si="196"/>
        <v>0</v>
      </c>
      <c r="FQ226">
        <f>IF(FP226=0,0,1+COUNTIF(FQ$3:FQ225,"&gt;0"))</f>
        <v>0</v>
      </c>
      <c r="FR226" t="str">
        <f t="shared" si="217"/>
        <v/>
      </c>
      <c r="FS226" t="str">
        <f t="shared" si="197"/>
        <v/>
      </c>
    </row>
    <row r="227" spans="1:175" x14ac:dyDescent="0.25">
      <c r="A227" s="347">
        <f t="shared" si="219"/>
        <v>225</v>
      </c>
      <c r="B227" s="348" t="s">
        <v>2608</v>
      </c>
      <c r="C227" s="348" t="s">
        <v>5277</v>
      </c>
      <c r="D227" s="347">
        <v>0.5</v>
      </c>
      <c r="E227" s="627" t="s">
        <v>6952</v>
      </c>
      <c r="F227" s="346"/>
      <c r="G227" s="347" t="str">
        <f>""</f>
        <v/>
      </c>
      <c r="H227" s="347" t="s">
        <v>5288</v>
      </c>
      <c r="I227" s="347" t="s">
        <v>5298</v>
      </c>
      <c r="J227" s="347" t="str">
        <f t="shared" si="167"/>
        <v/>
      </c>
      <c r="K227" s="347" t="s">
        <v>5278</v>
      </c>
      <c r="L227" s="611" t="str">
        <f t="shared" si="168"/>
        <v>V, S</v>
      </c>
      <c r="M227" s="347" t="s">
        <v>2373</v>
      </c>
      <c r="N227" s="347" t="s">
        <v>2387</v>
      </c>
      <c r="O227" s="347" t="s">
        <v>3034</v>
      </c>
      <c r="P227" s="346" t="str">
        <f>""</f>
        <v/>
      </c>
      <c r="Q227" s="347" t="s">
        <v>5276</v>
      </c>
      <c r="S227" s="346" t="s">
        <v>5429</v>
      </c>
      <c r="T227" s="346" t="str">
        <f t="shared" si="169"/>
        <v xml:space="preserve">Bard, Sorcerer, Druid, Wizard, </v>
      </c>
      <c r="U227" s="347" t="str">
        <f>$B227</f>
        <v>Mending</v>
      </c>
      <c r="X227" s="347" t="str">
        <f>$B227</f>
        <v>Mending</v>
      </c>
      <c r="AA227" s="347" t="str">
        <f>$B227</f>
        <v>Mending</v>
      </c>
      <c r="AD227" s="347" t="str">
        <f t="shared" si="222"/>
        <v>Mending</v>
      </c>
      <c r="AE227" t="str">
        <f>IF(IFERROR(MATCH($B227,temp!A$4:A$13,0),0)&gt;0,T08_Spells!AE$2,"")</f>
        <v/>
      </c>
      <c r="AF227" t="str">
        <f>IF(IFERROR(MATCH($B227,temp!B$4:B$13,0),0)&gt;0,T08_Spells!AF$2,"")</f>
        <v/>
      </c>
      <c r="AG227" t="str">
        <f>IF(IFERROR(MATCH($B227,temp!C$4:C$13,0),0)&gt;0,T08_Spells!AG$2,"")</f>
        <v/>
      </c>
      <c r="AH227" t="str">
        <f>IF(IFERROR(MATCH($B227,temp!D$4:D$13,0),0)&gt;0,T08_Spells!AH$2,"")</f>
        <v/>
      </c>
      <c r="AI227" t="str">
        <f>IF(IFERROR(MATCH($B227,temp!E$4:E$13,0),0)&gt;0,T08_Spells!AI$2,"")</f>
        <v/>
      </c>
      <c r="AJ227" t="str">
        <f>IF(IFERROR(MATCH($B227,temp!F$4:F$13,0),0)&gt;0,T08_Spells!AJ$2,"")</f>
        <v/>
      </c>
      <c r="AK227" t="str">
        <f>IF(IFERROR(MATCH($B227,temp!G$4:G$13,0),0)&gt;0,T08_Spells!AK$2,"")</f>
        <v/>
      </c>
      <c r="AL227" t="str">
        <f>IF(IFERROR(MATCH($B227,temp!H$4:H$13,0),0)&gt;0,T08_Spells!AL$2,"")</f>
        <v/>
      </c>
      <c r="AM227" t="str">
        <f>IF(IFERROR(MATCH($B227,temp!I$4:I$13,0),0)&gt;0,T08_Spells!AM$2,"")</f>
        <v/>
      </c>
      <c r="AN227" t="str">
        <f>IF(IFERROR(MATCH($B227,temp!J$4:J$13,0),0)&gt;0,T08_Spells!AN$2,"")</f>
        <v/>
      </c>
      <c r="AO227" t="str">
        <f>IF(IFERROR(MATCH($B227,temp!K$4:K$13,0),0)&gt;0,T08_Spells!AO$2,"")</f>
        <v/>
      </c>
      <c r="AP227" t="str">
        <f>IF(IFERROR(MATCH($B227,temp!L$4:L$13,0),0)&gt;0,T08_Spells!AP$2,"")</f>
        <v/>
      </c>
      <c r="AQ227" t="str">
        <f>IF(IFERROR(MATCH($B227,temp!M$4:M$13,0),0)&gt;0,T08_Spells!AQ$2,"")</f>
        <v/>
      </c>
      <c r="AR227" t="str">
        <f>IF(IFERROR(MATCH($B227,temp!N$4:N$13,0),0)&gt;0,T08_Spells!AR$2,"")</f>
        <v/>
      </c>
      <c r="AS227" t="str">
        <f>IF(IFERROR(MATCH($B227,temp!O$4:O$13,0),0)&gt;0,T08_Spells!AS$2,"")</f>
        <v/>
      </c>
      <c r="AT227" t="str">
        <f>IF(IFERROR(MATCH($B227,temp!P$4:P$13,0),0)&gt;0,T08_Spells!AT$2,"")</f>
        <v/>
      </c>
      <c r="AU227" t="str">
        <f>IF(IFERROR(MATCH($B227,temp!Q$4:Q$13,0),0)&gt;0,T08_Spells!AU$2,"")</f>
        <v/>
      </c>
      <c r="AV227" t="str">
        <f>IF(IFERROR(MATCH($B227,temp!R$4:R$13,0),0)&gt;0,T08_Spells!AV$2,"")</f>
        <v/>
      </c>
      <c r="AW227" t="str">
        <f>IF(IFERROR(MATCH($B227,temp!S$4:S$13,0),0)&gt;0,T08_Spells!AW$2,"")</f>
        <v/>
      </c>
      <c r="AX227" t="str">
        <f>IF(IFERROR(MATCH($B227,temp!T$4:T$13,0),0)&gt;0,T08_Spells!AX$2,"")</f>
        <v/>
      </c>
      <c r="AY227" t="str">
        <f>IF(IFERROR(MATCH($B227,temp!U$4:U$13,0),0)&gt;0,T08_Spells!AY$2,"")</f>
        <v/>
      </c>
      <c r="AZ227" t="str">
        <f>IF(IFERROR(MATCH($B227,temp!V$4:V$13,0),0)&gt;0,T08_Spells!AZ$2,"")</f>
        <v/>
      </c>
      <c r="BA227" t="str">
        <f>IF(IFERROR(MATCH($B227,temp!W$4:W$13,0),0)&gt;0,T08_Spells!BA$2,"")</f>
        <v/>
      </c>
      <c r="BC227">
        <f>IF(IFERROR(SEARCH("Ranger",$T227,1),0)&gt;0,1,0)*IF(RangerMaxSpellLevel&gt;=$C227,1,0)*IF(IFERROR(MATCH(B227,Character_Creation!$X$79:$X$382,0),0)&gt;0,0,1)</f>
        <v>0</v>
      </c>
      <c r="BD227">
        <f>IF(BC227=0,0,1+COUNTIF(BD$3:BD226,"&gt;0"))</f>
        <v>0</v>
      </c>
      <c r="BE227" t="str">
        <f t="shared" si="199"/>
        <v/>
      </c>
      <c r="BF227" t="str">
        <f t="shared" si="170"/>
        <v/>
      </c>
      <c r="BH227">
        <f>IF(IFERROR(SEARCH("Sorcerer",$T227,1),0)&gt;0,1,0)*IF(SorcererMaxSpellLevel&gt;=$C227,1,0)*IF(IFERROR(MATCH(B227,Character_Creation!$J$380:$J$394,0),0)&gt;0,0,1)</f>
        <v>0</v>
      </c>
      <c r="BI227">
        <f>IF(BH227=0,0,1+COUNTIF(BI$3:BI226,"&gt;0"))</f>
        <v>0</v>
      </c>
      <c r="BJ227" t="str">
        <f t="shared" si="200"/>
        <v/>
      </c>
      <c r="BK227" t="str">
        <f t="shared" si="171"/>
        <v/>
      </c>
      <c r="BM227">
        <f>IF(OR(IFERROR(SEARCH("Warlock",$T227,1),0)&gt;0,IFERROR(SEARCH(WarlockPatron,$T227,1),0)&gt;0),1,0)*IF(WarlockMaxSpellLevel&gt;=$C227,1,0)*IF(IFERROR(MATCH(B227,Character_Creation!$J$361:$J$375,0),0)&gt;0,0,1)</f>
        <v>0</v>
      </c>
      <c r="BN227">
        <f>IF(BM227=0,0,1+COUNTIF(BN$3:BN226,"&gt;0"))</f>
        <v>0</v>
      </c>
      <c r="BO227" t="str">
        <f t="shared" si="201"/>
        <v/>
      </c>
      <c r="BP227" t="str">
        <f t="shared" si="172"/>
        <v/>
      </c>
      <c r="BR227">
        <f>IF(IFERROR(SEARCH("Eldritch Knight",$T227,1),0)&gt;0,1,0)*IF(EldritchKnightMaxSpellLevel&gt;=$C227,1,0)*IF(IFERROR(MATCH($B227,Character_Creation!$J$350:$J$356,0),0)&gt;0,0,1)*IF(Character_Creation!$M$338&gt;0,1,0)</f>
        <v>0</v>
      </c>
      <c r="BS227">
        <f>IF(BR227=0,0,1+COUNTIF(BS$3:BS226,"&gt;0"))</f>
        <v>0</v>
      </c>
      <c r="BT227" t="str">
        <f t="shared" si="202"/>
        <v/>
      </c>
      <c r="BU227" t="str">
        <f t="shared" si="173"/>
        <v/>
      </c>
      <c r="BW227">
        <f>IF(IFERROR(SEARCH("Arcane Trickster",$T227,1),0)&gt;0,1,0)*IF(ArcaneTricksterMaxSpellLevel&gt;=$C227,1,0)*IF(IFERROR(MATCH($B227,Character_Creation!$J$350:$J$356,0),0)&gt;0,0,1)*IF(Character_Creation!$T$338&gt;0,1,0)</f>
        <v>0</v>
      </c>
      <c r="BX227">
        <f>IF(BW227=0,0,1+COUNTIF(BX$3:BX226,"&gt;0"))</f>
        <v>0</v>
      </c>
      <c r="BY227" t="str">
        <f t="shared" si="203"/>
        <v/>
      </c>
      <c r="BZ227" t="str">
        <f t="shared" si="174"/>
        <v/>
      </c>
      <c r="CB227">
        <f>IF(IFERROR(SEARCH("Wizard",$T227,1),0)&gt;0,1,0)*IF(C227&lt;=ArcaneTricksterMaxSpellLevel,1,0)*IF(IFERROR(MATCH($B227,Character_Creation!$J$350:$J$356,0),0)&gt;0,0,1)*IF(Character_Creation!$T$350&gt;0,1,0)</f>
        <v>0</v>
      </c>
      <c r="CC227">
        <f>IF(CB227=0,0,1+COUNTIF(CC$3:CC226,"&gt;0"))</f>
        <v>0</v>
      </c>
      <c r="CD227" t="str">
        <f t="shared" si="204"/>
        <v/>
      </c>
      <c r="CE227" t="str">
        <f t="shared" si="175"/>
        <v/>
      </c>
      <c r="CG227">
        <f>IF(IFERROR(SEARCH("Wizard",$T227,1),0)&gt;0,1,0)*IF($C227&lt;=EldritchKnightMaxSpellLevel,1,0)*IF(IFERROR(MATCH($B227,Character_Creation!$J$350:$J$356,0),0)&gt;0,0,1)*IF(Character_Creation!$M$350&gt;0,1,0)</f>
        <v>0</v>
      </c>
      <c r="CH227">
        <f>IF(CG227=0,0,1+COUNTIF(CH$3:CH226,"&gt;0"))</f>
        <v>0</v>
      </c>
      <c r="CI227" t="str">
        <f t="shared" si="205"/>
        <v/>
      </c>
      <c r="CJ227" t="str">
        <f t="shared" si="176"/>
        <v/>
      </c>
      <c r="CL227">
        <f>IF(IFERROR(SEARCH("Bard",$T227,1),0)&gt;0,1,0)*IF(BardMaxSpellLevel&gt;=$C227,1,0)*IF(IFERROR(MATCH(B227,Character_Creation!$C$341:$F$362,0),0)&gt;0,0,1)*IF(IFERROR(MATCH($B227,Character_Creation!$C$341:$C$362,0),0)&gt;0,0,1)</f>
        <v>0</v>
      </c>
      <c r="CM227">
        <f>IF(CL227=0,0,1+COUNTIF(CM$3:CM226,"&gt;0"))</f>
        <v>0</v>
      </c>
      <c r="CN227" t="str">
        <f t="shared" si="206"/>
        <v/>
      </c>
      <c r="CO227" t="str">
        <f t="shared" si="177"/>
        <v/>
      </c>
      <c r="CQ227">
        <f>IF(IFERROR(SEARCH("Wizard",$T227,1),0)&gt;0,1,0)*IF(WizardMaxSpellLevel&gt;=$C227,1,0)*IF(IFERROR(MATCH(B227,Character_Creation!$X$341:$X$400,0),0)&gt;0,0,1)*IF(SelectedWizardSpellLevel=$C227,1,0)</f>
        <v>0</v>
      </c>
      <c r="CR227">
        <f>IF(CQ227=0,0,1+COUNTIF(CR$3:CR226,"&gt;0"))</f>
        <v>0</v>
      </c>
      <c r="CS227" t="str">
        <f t="shared" si="207"/>
        <v/>
      </c>
      <c r="CT227" t="str">
        <f t="shared" si="178"/>
        <v/>
      </c>
      <c r="CV227">
        <f>IF(IFERROR(MATCH($B227,Character_Creation!$C$341:$C$362,0),0)&gt;0,0,1)*IF(OR(C227="Cantrip",C227&lt;=BardMaxSpellLevel),1,0)*IF(IFERROR(MATCH($B227,Character_Creation!$C$367:$C$374,0),0)&gt;0,0,1)</f>
        <v>1</v>
      </c>
      <c r="CW227">
        <f>IF(CV227=0,0,1+COUNTIF(CW$3:CW226,"&gt;0"))</f>
        <v>12</v>
      </c>
      <c r="CX227" t="str">
        <f t="shared" si="208"/>
        <v/>
      </c>
      <c r="CY227" t="str">
        <f t="shared" si="179"/>
        <v/>
      </c>
      <c r="DA227">
        <f>IF(IF(OR(IFERROR(SEARCH("Cleric",$T227,1),0)&gt;0,IFERROR(SEARCH(DivineDomain&amp;",",$T227,1),0)&gt;0),1,0)*IF($C227=DA$2,1,0)=1,1+COUNTIF(DA$3:DA226,"&gt;0"),0)</f>
        <v>0</v>
      </c>
      <c r="DB227">
        <f>IF(IF(OR(IFERROR(SEARCH("Cleric",$T227,1),0)&gt;0,IFERROR(SEARCH(DivineDomain&amp;",",$T227,1),0)&gt;0),1,0)*IF($C227=DB$2,1,0)=1,1+COUNTIF(DB$3:DB226,"&gt;0"),0)</f>
        <v>0</v>
      </c>
      <c r="DC227">
        <f>IF(IF(OR(IFERROR(SEARCH("Cleric",$T227,1),0)&gt;0,IFERROR(SEARCH(DivineDomain&amp;",",$T227,1),0)&gt;0),1,0)*IF($C227=DC$2,1,0)=1,1+COUNTIF(DC$3:DC226,"&gt;0"),0)</f>
        <v>0</v>
      </c>
      <c r="DD227">
        <f>IF(IF(OR(IFERROR(SEARCH("Cleric",$T227,1),0)&gt;0,IFERROR(SEARCH(DivineDomain&amp;",",$T227,1),0)&gt;0),1,0)*IF($C227=DD$2,1,0)=1,1+COUNTIF(DD$3:DD226,"&gt;0"),0)</f>
        <v>0</v>
      </c>
      <c r="DE227">
        <f>IF(IF(OR(IFERROR(SEARCH("Cleric",$T227,1),0)&gt;0,IFERROR(SEARCH(DivineDomain&amp;",",$T227,1),0)&gt;0),1,0)*IF($C227=DE$2,1,0)=1,1+COUNTIF(DE$3:DE226,"&gt;0"),0)</f>
        <v>0</v>
      </c>
      <c r="DF227">
        <f>IF(IF(OR(IFERROR(SEARCH("Cleric",$T227,1),0)&gt;0,IFERROR(SEARCH(DivineDomain&amp;",",$T227,1),0)&gt;0),1,0)*IF($C227=DF$2,1,0)=1,1+COUNTIF(DF$3:DF226,"&gt;0"),0)</f>
        <v>0</v>
      </c>
      <c r="DG227">
        <f>IF(IF(OR(IFERROR(SEARCH("Cleric",$T227,1),0)&gt;0,IFERROR(SEARCH(DivineDomain&amp;",",$T227,1),0)&gt;0),1,0)*IF($C227=DG$2,1,0)=1,1+COUNTIF(DG$3:DG226,"&gt;0"),0)</f>
        <v>0</v>
      </c>
      <c r="DH227">
        <f>IF(IF(OR(IFERROR(SEARCH("Cleric",$T227,1),0)&gt;0,IFERROR(SEARCH(DivineDomain&amp;",",$T227,1),0)&gt;0),1,0)*IF($C227=DH$2,1,0)=1,1+COUNTIF(DH$3:DH226,"&gt;0"),0)</f>
        <v>0</v>
      </c>
      <c r="DI227">
        <f>IF(IF(OR(IFERROR(SEARCH("Cleric",$T227,1),0)&gt;0,IFERROR(SEARCH(DivineDomain&amp;",",$T227,1),0)&gt;0),1,0)*IF($C227=DI$2,1,0)=1,1+COUNTIF(DI$3:DI226,"&gt;0"),0)</f>
        <v>0</v>
      </c>
      <c r="DJ227">
        <f>IF(IF(OR(IFERROR(SEARCH("Druid",$T227,1),0)&gt;0,IFERROR(SEARCH(DruidLand1,$T227,1),0)&gt;0,IFERROR(SEARCH(DruidLand2,$T227,1),0)&gt;0,IFERROR(SEARCH(DruidLand3,$T227,1),0)&gt;0,IFERROR(SEARCH(DruidLand4,$T227,1),0)&gt;0),1,0)*IF($C227=1,1,0)*IF($C227=DJ$2,1,0)=0,0,1+COUNTIF(DJ$3:DJ226,"&gt;0"))</f>
        <v>0</v>
      </c>
      <c r="DK227">
        <f>IF(IF(OR(IFERROR(SEARCH("Druid",$T227,1),0)&gt;0,IFERROR(SEARCH(DruidLand1,$T227,1),0)&gt;0,IFERROR(SEARCH(DruidLand2,$T227,1),0)&gt;0,IFERROR(SEARCH(DruidLand3,$T227,1),0)&gt;0,IFERROR(SEARCH(DruidLand4,$T227,1),0)&gt;0),1,0)*IF($C227=DK$2,1,0)=0,0,1+COUNTIF(DK$3:DK226,"&gt;0"))</f>
        <v>0</v>
      </c>
      <c r="DL227">
        <f>IF(IF(OR(IFERROR(SEARCH("Druid",$T227,1),0)&gt;0,IFERROR(SEARCH(DruidLand1,$T227,1),0)&gt;0,IFERROR(SEARCH(DruidLand2,$T227,1),0)&gt;0,IFERROR(SEARCH(DruidLand3,$T227,1),0)&gt;0,IFERROR(SEARCH(DruidLand4,$T227,1),0)&gt;0),1,0)*IF($C227=DL$2,1,0)=0,0,1+COUNTIF(DL$3:DL226,"&gt;0"))</f>
        <v>0</v>
      </c>
      <c r="DM227">
        <f>IF(IF(OR(IFERROR(SEARCH("Druid",$T227,1),0)&gt;0,IFERROR(SEARCH(DruidLand1,$T227,1),0)&gt;0,IFERROR(SEARCH(DruidLand2,$T227,1),0)&gt;0,IFERROR(SEARCH(DruidLand3,$T227,1),0)&gt;0,IFERROR(SEARCH(DruidLand4,$T227,1),0)&gt;0),1,0)*IF($C227=DM$2,1,0)=0,0,1+COUNTIF(DM$3:DM226,"&gt;0"))</f>
        <v>0</v>
      </c>
      <c r="DN227">
        <f>IF(IF(OR(IFERROR(SEARCH("Druid",$T227,1),0)&gt;0,IFERROR(SEARCH(DruidLand1,$T227,1),0)&gt;0,IFERROR(SEARCH(DruidLand2,$T227,1),0)&gt;0,IFERROR(SEARCH(DruidLand3,$T227,1),0)&gt;0,IFERROR(SEARCH(DruidLand4,$T227,1),0)&gt;0),1,0)*IF($C227=DN$2,1,0)=0,0,1+COUNTIF(DN$3:DN226,"&gt;0"))</f>
        <v>0</v>
      </c>
      <c r="DO227">
        <f>IF(IF(OR(IFERROR(SEARCH("Druid",$T227,1),0)&gt;0,IFERROR(SEARCH(DruidLand1,$T227,1),0)&gt;0,IFERROR(SEARCH(DruidLand2,$T227,1),0)&gt;0,IFERROR(SEARCH(DruidLand3,$T227,1),0)&gt;0,IFERROR(SEARCH(DruidLand4,$T227,1),0)&gt;0),1,0)*IF($C227=DO$2,1,0)=0,0,1+COUNTIF(DO$3:DO226,"&gt;0"))</f>
        <v>0</v>
      </c>
      <c r="DP227">
        <f>IF(IF(OR(IFERROR(SEARCH("Druid",$T227,1),0)&gt;0,IFERROR(SEARCH(DruidLand1,$T227,1),0)&gt;0,IFERROR(SEARCH(DruidLand2,$T227,1),0)&gt;0,IFERROR(SEARCH(DruidLand3,$T227,1),0)&gt;0,IFERROR(SEARCH(DruidLand4,$T227,1),0)&gt;0),1,0)*IF($C227=DP$2,1,0)=0,0,1+COUNTIF(DP$3:DP226,"&gt;0"))</f>
        <v>0</v>
      </c>
      <c r="DQ227">
        <f>IF(IF(OR(IFERROR(SEARCH("Druid",$T227,1),0)&gt;0,IFERROR(SEARCH(DruidLand1,$T227,1),0)&gt;0,IFERROR(SEARCH(DruidLand2,$T227,1),0)&gt;0,IFERROR(SEARCH(DruidLand3,$T227,1),0)&gt;0,IFERROR(SEARCH(DruidLand4,$T227,1),0)&gt;0),1,0)*IF($C227=DQ$2,1,0)=0,0,1+COUNTIF(DQ$3:DQ226,"&gt;0"))</f>
        <v>0</v>
      </c>
      <c r="DR227">
        <f>IF(IF(OR(IFERROR(SEARCH("Druid",$T227,1),0)&gt;0,IFERROR(SEARCH(DruidLand1,$T227,1),0)&gt;0,IFERROR(SEARCH(DruidLand2,$T227,1),0)&gt;0,IFERROR(SEARCH(DruidLand3,$T227,1),0)&gt;0,IFERROR(SEARCH(DruidLand4,$T227,1),0)&gt;0),1,0)*IF($C227=DR$2,1,0)=0,0,1+COUNTIF(DR$3:DR226,"&gt;0"))</f>
        <v>0</v>
      </c>
      <c r="DS227">
        <f>IF(IF(OR(IFERROR(SEARCH("Paladin",$T227,1),0)&gt;0,IFERROR(SEARCH(PaladinOath,$T227,1),0)&gt;0),1,0)*IF($C227=DS$2,1,0)=1,1+COUNTIF(DS$3:DS226,"&gt;0"),0)</f>
        <v>0</v>
      </c>
      <c r="DT227">
        <f>IF(IF(OR(IFERROR(SEARCH("Paladin",$T227,1),0)&gt;0,IFERROR(SEARCH(PaladinOath,$T227,1),0)&gt;0),1,0)*IF($C227=DT$2,1,0)=1,1+COUNTIF(DT$3:DT226,"&gt;0"),0)</f>
        <v>0</v>
      </c>
      <c r="DU227">
        <f>IF(IF(OR(IFERROR(SEARCH("Paladin",$T227,1),0)&gt;0,IFERROR(SEARCH(PaladinOath,$T227,1),0)&gt;0),1,0)*IF($C227=DU$2,1,0)=1,1+COUNTIF(DU$3:DU226,"&gt;0"),0)</f>
        <v>0</v>
      </c>
      <c r="DV227">
        <f>IF(IF(OR(IFERROR(SEARCH("Paladin",$T227,1),0)&gt;0,IFERROR(SEARCH(PaladinOath,$T227,1),0)&gt;0),1,0)*IF($C227=DV$2,1,0)=1,1+COUNTIF(DV$3:DV226,"&gt;0"),0)</f>
        <v>0</v>
      </c>
      <c r="DW227">
        <f>IF(IF(OR(IFERROR(SEARCH("Paladin",$T227,1),0)&gt;0,IFERROR(SEARCH(PaladinOath,$T227,1),0)&gt;0),1,0)*IF($C227=DW$2,1,0)=1,1+COUNTIF(DW$3:DW226,"&gt;0"),0)</f>
        <v>0</v>
      </c>
      <c r="DY227">
        <f t="shared" si="166"/>
        <v>1</v>
      </c>
      <c r="DZ227">
        <f>IF(DY227=0,0,1+MAX(DZ$3:$DZ226))</f>
        <v>225</v>
      </c>
      <c r="EB227">
        <f t="shared" si="180"/>
        <v>1</v>
      </c>
      <c r="EC227">
        <f>IF(EB227=0,0,1+COUNTIF(EC$3:EC226,"&gt;0"))</f>
        <v>6</v>
      </c>
      <c r="ED227" t="str">
        <f t="shared" si="209"/>
        <v/>
      </c>
      <c r="EE227" t="str">
        <f t="shared" si="181"/>
        <v/>
      </c>
      <c r="EG227">
        <f t="shared" si="182"/>
        <v>0</v>
      </c>
      <c r="EH227">
        <f>IF(EG227=0,0,1+COUNTIF(EH$3:EH226,"&gt;0"))</f>
        <v>0</v>
      </c>
      <c r="EI227" t="str">
        <f t="shared" si="210"/>
        <v/>
      </c>
      <c r="EJ227" t="str">
        <f t="shared" si="183"/>
        <v/>
      </c>
      <c r="EL227">
        <f t="shared" si="184"/>
        <v>1</v>
      </c>
      <c r="EM227">
        <f>IF(EL227=0,0,1+COUNTIF(EM$3:EM226,"&gt;0"))</f>
        <v>3</v>
      </c>
      <c r="EN227" t="str">
        <f t="shared" si="211"/>
        <v/>
      </c>
      <c r="EO227" t="str">
        <f t="shared" si="185"/>
        <v/>
      </c>
      <c r="EQ227">
        <f t="shared" si="186"/>
        <v>0</v>
      </c>
      <c r="ER227">
        <f>IF(EQ227=0,0,1+COUNTIF(ER$3:ER226,"&gt;0"))</f>
        <v>0</v>
      </c>
      <c r="ES227" t="str">
        <f t="shared" si="212"/>
        <v/>
      </c>
      <c r="ET227" t="str">
        <f t="shared" si="187"/>
        <v/>
      </c>
      <c r="EV227">
        <f t="shared" si="188"/>
        <v>0</v>
      </c>
      <c r="EW227">
        <f>IF(EV227=0,0,1+COUNTIF(EW$3:EW226,"&gt;0"))</f>
        <v>0</v>
      </c>
      <c r="EX227" t="str">
        <f t="shared" si="213"/>
        <v/>
      </c>
      <c r="EY227" t="str">
        <f t="shared" si="189"/>
        <v/>
      </c>
      <c r="FA227">
        <f t="shared" si="190"/>
        <v>1</v>
      </c>
      <c r="FB227">
        <f>IF(FA227=0,0,1+COUNTIF(FB$3:FB226,"&gt;0"))</f>
        <v>9</v>
      </c>
      <c r="FC227" t="str">
        <f t="shared" si="214"/>
        <v/>
      </c>
      <c r="FD227" t="str">
        <f t="shared" si="191"/>
        <v/>
      </c>
      <c r="FF227">
        <f t="shared" si="192"/>
        <v>0</v>
      </c>
      <c r="FG227">
        <f>IF(FF227=0,0,1+COUNTIF(FG$3:FG226,"&gt;0"))</f>
        <v>0</v>
      </c>
      <c r="FH227" t="str">
        <f t="shared" si="215"/>
        <v/>
      </c>
      <c r="FI227" t="str">
        <f t="shared" si="193"/>
        <v/>
      </c>
      <c r="FK227">
        <f t="shared" si="194"/>
        <v>1</v>
      </c>
      <c r="FL227">
        <f>IF(FK227=0,0,1+COUNTIF(FL$3:FL226,"&gt;0"))</f>
        <v>9</v>
      </c>
      <c r="FM227" t="str">
        <f t="shared" si="216"/>
        <v/>
      </c>
      <c r="FN227" t="str">
        <f t="shared" si="195"/>
        <v/>
      </c>
      <c r="FP227">
        <f t="shared" si="196"/>
        <v>1</v>
      </c>
      <c r="FQ227">
        <f>IF(FP227=0,0,1+COUNTIF(FQ$3:FQ226,"&gt;0"))</f>
        <v>6</v>
      </c>
      <c r="FR227" t="str">
        <f t="shared" si="217"/>
        <v/>
      </c>
      <c r="FS227" t="str">
        <f t="shared" si="197"/>
        <v/>
      </c>
    </row>
    <row r="228" spans="1:175" x14ac:dyDescent="0.25">
      <c r="A228" s="347">
        <f t="shared" si="219"/>
        <v>226</v>
      </c>
      <c r="B228" s="348" t="s">
        <v>2609</v>
      </c>
      <c r="C228" s="348" t="s">
        <v>5277</v>
      </c>
      <c r="D228" s="347">
        <v>0.5</v>
      </c>
      <c r="E228" s="627" t="s">
        <v>6952</v>
      </c>
      <c r="F228" s="346"/>
      <c r="G228" s="347" t="str">
        <f>""</f>
        <v/>
      </c>
      <c r="H228" s="347" t="s">
        <v>5912</v>
      </c>
      <c r="I228" s="347" t="s">
        <v>5290</v>
      </c>
      <c r="J228" s="347" t="str">
        <f t="shared" si="167"/>
        <v/>
      </c>
      <c r="K228" s="347" t="s">
        <v>5313</v>
      </c>
      <c r="L228" s="611" t="str">
        <f t="shared" si="168"/>
        <v>V, S, M, a short piece of copper wire</v>
      </c>
      <c r="M228" s="347" t="s">
        <v>2373</v>
      </c>
      <c r="N228" s="347" t="s">
        <v>2387</v>
      </c>
      <c r="O228" s="347" t="s">
        <v>1244</v>
      </c>
      <c r="P228" s="346" t="s">
        <v>5430</v>
      </c>
      <c r="Q228" s="347" t="s">
        <v>5276</v>
      </c>
      <c r="S228" s="346" t="s">
        <v>5768</v>
      </c>
      <c r="T228" s="346" t="str">
        <f t="shared" si="169"/>
        <v xml:space="preserve">Bard, Sorcerer, Wizard, </v>
      </c>
      <c r="U228" s="347" t="str">
        <f>$B228</f>
        <v>Message</v>
      </c>
      <c r="X228" s="347" t="str">
        <f>$B228</f>
        <v>Message</v>
      </c>
      <c r="AD228" s="347" t="str">
        <f t="shared" si="222"/>
        <v>Message</v>
      </c>
      <c r="AE228" t="str">
        <f>IF(IFERROR(MATCH($B228,temp!A$4:A$13,0),0)&gt;0,T08_Spells!AE$2,"")</f>
        <v/>
      </c>
      <c r="AF228" t="str">
        <f>IF(IFERROR(MATCH($B228,temp!B$4:B$13,0),0)&gt;0,T08_Spells!AF$2,"")</f>
        <v/>
      </c>
      <c r="AG228" t="str">
        <f>IF(IFERROR(MATCH($B228,temp!C$4:C$13,0),0)&gt;0,T08_Spells!AG$2,"")</f>
        <v/>
      </c>
      <c r="AH228" t="str">
        <f>IF(IFERROR(MATCH($B228,temp!D$4:D$13,0),0)&gt;0,T08_Spells!AH$2,"")</f>
        <v/>
      </c>
      <c r="AI228" t="str">
        <f>IF(IFERROR(MATCH($B228,temp!E$4:E$13,0),0)&gt;0,T08_Spells!AI$2,"")</f>
        <v/>
      </c>
      <c r="AJ228" t="str">
        <f>IF(IFERROR(MATCH($B228,temp!F$4:F$13,0),0)&gt;0,T08_Spells!AJ$2,"")</f>
        <v/>
      </c>
      <c r="AK228" t="str">
        <f>IF(IFERROR(MATCH($B228,temp!G$4:G$13,0),0)&gt;0,T08_Spells!AK$2,"")</f>
        <v/>
      </c>
      <c r="AL228" t="str">
        <f>IF(IFERROR(MATCH($B228,temp!H$4:H$13,0),0)&gt;0,T08_Spells!AL$2,"")</f>
        <v/>
      </c>
      <c r="AM228" t="str">
        <f>IF(IFERROR(MATCH($B228,temp!I$4:I$13,0),0)&gt;0,T08_Spells!AM$2,"")</f>
        <v/>
      </c>
      <c r="AN228" t="str">
        <f>IF(IFERROR(MATCH($B228,temp!J$4:J$13,0),0)&gt;0,T08_Spells!AN$2,"")</f>
        <v/>
      </c>
      <c r="AO228" t="str">
        <f>IF(IFERROR(MATCH($B228,temp!K$4:K$13,0),0)&gt;0,T08_Spells!AO$2,"")</f>
        <v/>
      </c>
      <c r="AP228" t="str">
        <f>IF(IFERROR(MATCH($B228,temp!L$4:L$13,0),0)&gt;0,T08_Spells!AP$2,"")</f>
        <v/>
      </c>
      <c r="AQ228" t="str">
        <f>IF(IFERROR(MATCH($B228,temp!M$4:M$13,0),0)&gt;0,T08_Spells!AQ$2,"")</f>
        <v/>
      </c>
      <c r="AR228" t="str">
        <f>IF(IFERROR(MATCH($B228,temp!N$4:N$13,0),0)&gt;0,T08_Spells!AR$2,"")</f>
        <v/>
      </c>
      <c r="AS228" t="str">
        <f>IF(IFERROR(MATCH($B228,temp!O$4:O$13,0),0)&gt;0,T08_Spells!AS$2,"")</f>
        <v/>
      </c>
      <c r="AT228" t="str">
        <f>IF(IFERROR(MATCH($B228,temp!P$4:P$13,0),0)&gt;0,T08_Spells!AT$2,"")</f>
        <v/>
      </c>
      <c r="AU228" t="str">
        <f>IF(IFERROR(MATCH($B228,temp!Q$4:Q$13,0),0)&gt;0,T08_Spells!AU$2,"")</f>
        <v/>
      </c>
      <c r="AV228" t="str">
        <f>IF(IFERROR(MATCH($B228,temp!R$4:R$13,0),0)&gt;0,T08_Spells!AV$2,"")</f>
        <v/>
      </c>
      <c r="AW228" t="str">
        <f>IF(IFERROR(MATCH($B228,temp!S$4:S$13,0),0)&gt;0,T08_Spells!AW$2,"")</f>
        <v/>
      </c>
      <c r="AX228" t="str">
        <f>IF(IFERROR(MATCH($B228,temp!T$4:T$13,0),0)&gt;0,T08_Spells!AX$2,"")</f>
        <v/>
      </c>
      <c r="AY228" t="str">
        <f>IF(IFERROR(MATCH($B228,temp!U$4:U$13,0),0)&gt;0,T08_Spells!AY$2,"")</f>
        <v/>
      </c>
      <c r="AZ228" t="str">
        <f>IF(IFERROR(MATCH($B228,temp!V$4:V$13,0),0)&gt;0,T08_Spells!AZ$2,"")</f>
        <v/>
      </c>
      <c r="BA228" t="str">
        <f>IF(IFERROR(MATCH($B228,temp!W$4:W$13,0),0)&gt;0,T08_Spells!BA$2,"")</f>
        <v/>
      </c>
      <c r="BC228">
        <f>IF(IFERROR(SEARCH("Ranger",$T228,1),0)&gt;0,1,0)*IF(RangerMaxSpellLevel&gt;=$C228,1,0)*IF(IFERROR(MATCH(B228,Character_Creation!$X$79:$X$382,0),0)&gt;0,0,1)</f>
        <v>0</v>
      </c>
      <c r="BD228">
        <f>IF(BC228=0,0,1+COUNTIF(BD$3:BD227,"&gt;0"))</f>
        <v>0</v>
      </c>
      <c r="BE228" t="str">
        <f t="shared" si="199"/>
        <v/>
      </c>
      <c r="BF228" t="str">
        <f t="shared" si="170"/>
        <v/>
      </c>
      <c r="BH228">
        <f>IF(IFERROR(SEARCH("Sorcerer",$T228,1),0)&gt;0,1,0)*IF(SorcererMaxSpellLevel&gt;=$C228,1,0)*IF(IFERROR(MATCH(B228,Character_Creation!$J$380:$J$394,0),0)&gt;0,0,1)</f>
        <v>0</v>
      </c>
      <c r="BI228">
        <f>IF(BH228=0,0,1+COUNTIF(BI$3:BI227,"&gt;0"))</f>
        <v>0</v>
      </c>
      <c r="BJ228" t="str">
        <f t="shared" si="200"/>
        <v/>
      </c>
      <c r="BK228" t="str">
        <f t="shared" si="171"/>
        <v/>
      </c>
      <c r="BM228">
        <f>IF(OR(IFERROR(SEARCH("Warlock",$T228,1),0)&gt;0,IFERROR(SEARCH(WarlockPatron,$T228,1),0)&gt;0),1,0)*IF(WarlockMaxSpellLevel&gt;=$C228,1,0)*IF(IFERROR(MATCH(B228,Character_Creation!$J$361:$J$375,0),0)&gt;0,0,1)</f>
        <v>0</v>
      </c>
      <c r="BN228">
        <f>IF(BM228=0,0,1+COUNTIF(BN$3:BN227,"&gt;0"))</f>
        <v>0</v>
      </c>
      <c r="BO228" t="str">
        <f t="shared" si="201"/>
        <v/>
      </c>
      <c r="BP228" t="str">
        <f t="shared" si="172"/>
        <v/>
      </c>
      <c r="BR228">
        <f>IF(IFERROR(SEARCH("Eldritch Knight",$T228,1),0)&gt;0,1,0)*IF(EldritchKnightMaxSpellLevel&gt;=$C228,1,0)*IF(IFERROR(MATCH($B228,Character_Creation!$J$350:$J$356,0),0)&gt;0,0,1)*IF(Character_Creation!$M$338&gt;0,1,0)</f>
        <v>0</v>
      </c>
      <c r="BS228">
        <f>IF(BR228=0,0,1+COUNTIF(BS$3:BS227,"&gt;0"))</f>
        <v>0</v>
      </c>
      <c r="BT228" t="str">
        <f t="shared" si="202"/>
        <v/>
      </c>
      <c r="BU228" t="str">
        <f t="shared" si="173"/>
        <v/>
      </c>
      <c r="BW228">
        <f>IF(IFERROR(SEARCH("Arcane Trickster",$T228,1),0)&gt;0,1,0)*IF(ArcaneTricksterMaxSpellLevel&gt;=$C228,1,0)*IF(IFERROR(MATCH($B228,Character_Creation!$J$350:$J$356,0),0)&gt;0,0,1)*IF(Character_Creation!$T$338&gt;0,1,0)</f>
        <v>0</v>
      </c>
      <c r="BX228">
        <f>IF(BW228=0,0,1+COUNTIF(BX$3:BX227,"&gt;0"))</f>
        <v>0</v>
      </c>
      <c r="BY228" t="str">
        <f t="shared" si="203"/>
        <v/>
      </c>
      <c r="BZ228" t="str">
        <f t="shared" si="174"/>
        <v/>
      </c>
      <c r="CB228">
        <f>IF(IFERROR(SEARCH("Wizard",$T228,1),0)&gt;0,1,0)*IF(C228&lt;=ArcaneTricksterMaxSpellLevel,1,0)*IF(IFERROR(MATCH($B228,Character_Creation!$J$350:$J$356,0),0)&gt;0,0,1)*IF(Character_Creation!$T$350&gt;0,1,0)</f>
        <v>0</v>
      </c>
      <c r="CC228">
        <f>IF(CB228=0,0,1+COUNTIF(CC$3:CC227,"&gt;0"))</f>
        <v>0</v>
      </c>
      <c r="CD228" t="str">
        <f t="shared" si="204"/>
        <v/>
      </c>
      <c r="CE228" t="str">
        <f t="shared" si="175"/>
        <v/>
      </c>
      <c r="CG228">
        <f>IF(IFERROR(SEARCH("Wizard",$T228,1),0)&gt;0,1,0)*IF($C228&lt;=EldritchKnightMaxSpellLevel,1,0)*IF(IFERROR(MATCH($B228,Character_Creation!$J$350:$J$356,0),0)&gt;0,0,1)*IF(Character_Creation!$M$350&gt;0,1,0)</f>
        <v>0</v>
      </c>
      <c r="CH228">
        <f>IF(CG228=0,0,1+COUNTIF(CH$3:CH227,"&gt;0"))</f>
        <v>0</v>
      </c>
      <c r="CI228" t="str">
        <f t="shared" si="205"/>
        <v/>
      </c>
      <c r="CJ228" t="str">
        <f t="shared" si="176"/>
        <v/>
      </c>
      <c r="CL228">
        <f>IF(IFERROR(SEARCH("Bard",$T228,1),0)&gt;0,1,0)*IF(BardMaxSpellLevel&gt;=$C228,1,0)*IF(IFERROR(MATCH(B228,Character_Creation!$C$341:$F$362,0),0)&gt;0,0,1)*IF(IFERROR(MATCH($B228,Character_Creation!$C$341:$C$362,0),0)&gt;0,0,1)</f>
        <v>0</v>
      </c>
      <c r="CM228">
        <f>IF(CL228=0,0,1+COUNTIF(CM$3:CM227,"&gt;0"))</f>
        <v>0</v>
      </c>
      <c r="CN228" t="str">
        <f t="shared" si="206"/>
        <v/>
      </c>
      <c r="CO228" t="str">
        <f t="shared" si="177"/>
        <v/>
      </c>
      <c r="CQ228">
        <f>IF(IFERROR(SEARCH("Wizard",$T228,1),0)&gt;0,1,0)*IF(WizardMaxSpellLevel&gt;=$C228,1,0)*IF(IFERROR(MATCH(B228,Character_Creation!$X$341:$X$400,0),0)&gt;0,0,1)*IF(SelectedWizardSpellLevel=$C228,1,0)</f>
        <v>0</v>
      </c>
      <c r="CR228">
        <f>IF(CQ228=0,0,1+COUNTIF(CR$3:CR227,"&gt;0"))</f>
        <v>0</v>
      </c>
      <c r="CS228" t="str">
        <f t="shared" si="207"/>
        <v/>
      </c>
      <c r="CT228" t="str">
        <f t="shared" si="178"/>
        <v/>
      </c>
      <c r="CV228">
        <f>IF(IFERROR(MATCH($B228,Character_Creation!$C$341:$C$362,0),0)&gt;0,0,1)*IF(OR(C228="Cantrip",C228&lt;=BardMaxSpellLevel),1,0)*IF(IFERROR(MATCH($B228,Character_Creation!$C$367:$C$374,0),0)&gt;0,0,1)</f>
        <v>1</v>
      </c>
      <c r="CW228">
        <f>IF(CV228=0,0,1+COUNTIF(CW$3:CW227,"&gt;0"))</f>
        <v>13</v>
      </c>
      <c r="CX228" t="str">
        <f t="shared" si="208"/>
        <v/>
      </c>
      <c r="CY228" t="str">
        <f t="shared" si="179"/>
        <v/>
      </c>
      <c r="DA228">
        <f>IF(IF(OR(IFERROR(SEARCH("Cleric",$T228,1),0)&gt;0,IFERROR(SEARCH(DivineDomain&amp;",",$T228,1),0)&gt;0),1,0)*IF($C228=DA$2,1,0)=1,1+COUNTIF(DA$3:DA227,"&gt;0"),0)</f>
        <v>0</v>
      </c>
      <c r="DB228">
        <f>IF(IF(OR(IFERROR(SEARCH("Cleric",$T228,1),0)&gt;0,IFERROR(SEARCH(DivineDomain&amp;",",$T228,1),0)&gt;0),1,0)*IF($C228=DB$2,1,0)=1,1+COUNTIF(DB$3:DB227,"&gt;0"),0)</f>
        <v>0</v>
      </c>
      <c r="DC228">
        <f>IF(IF(OR(IFERROR(SEARCH("Cleric",$T228,1),0)&gt;0,IFERROR(SEARCH(DivineDomain&amp;",",$T228,1),0)&gt;0),1,0)*IF($C228=DC$2,1,0)=1,1+COUNTIF(DC$3:DC227,"&gt;0"),0)</f>
        <v>0</v>
      </c>
      <c r="DD228">
        <f>IF(IF(OR(IFERROR(SEARCH("Cleric",$T228,1),0)&gt;0,IFERROR(SEARCH(DivineDomain&amp;",",$T228,1),0)&gt;0),1,0)*IF($C228=DD$2,1,0)=1,1+COUNTIF(DD$3:DD227,"&gt;0"),0)</f>
        <v>0</v>
      </c>
      <c r="DE228">
        <f>IF(IF(OR(IFERROR(SEARCH("Cleric",$T228,1),0)&gt;0,IFERROR(SEARCH(DivineDomain&amp;",",$T228,1),0)&gt;0),1,0)*IF($C228=DE$2,1,0)=1,1+COUNTIF(DE$3:DE227,"&gt;0"),0)</f>
        <v>0</v>
      </c>
      <c r="DF228">
        <f>IF(IF(OR(IFERROR(SEARCH("Cleric",$T228,1),0)&gt;0,IFERROR(SEARCH(DivineDomain&amp;",",$T228,1),0)&gt;0),1,0)*IF($C228=DF$2,1,0)=1,1+COUNTIF(DF$3:DF227,"&gt;0"),0)</f>
        <v>0</v>
      </c>
      <c r="DG228">
        <f>IF(IF(OR(IFERROR(SEARCH("Cleric",$T228,1),0)&gt;0,IFERROR(SEARCH(DivineDomain&amp;",",$T228,1),0)&gt;0),1,0)*IF($C228=DG$2,1,0)=1,1+COUNTIF(DG$3:DG227,"&gt;0"),0)</f>
        <v>0</v>
      </c>
      <c r="DH228">
        <f>IF(IF(OR(IFERROR(SEARCH("Cleric",$T228,1),0)&gt;0,IFERROR(SEARCH(DivineDomain&amp;",",$T228,1),0)&gt;0),1,0)*IF($C228=DH$2,1,0)=1,1+COUNTIF(DH$3:DH227,"&gt;0"),0)</f>
        <v>0</v>
      </c>
      <c r="DI228">
        <f>IF(IF(OR(IFERROR(SEARCH("Cleric",$T228,1),0)&gt;0,IFERROR(SEARCH(DivineDomain&amp;",",$T228,1),0)&gt;0),1,0)*IF($C228=DI$2,1,0)=1,1+COUNTIF(DI$3:DI227,"&gt;0"),0)</f>
        <v>0</v>
      </c>
      <c r="DJ228">
        <f>IF(IF(OR(IFERROR(SEARCH("Druid",$T228,1),0)&gt;0,IFERROR(SEARCH(DruidLand1,$T228,1),0)&gt;0,IFERROR(SEARCH(DruidLand2,$T228,1),0)&gt;0,IFERROR(SEARCH(DruidLand3,$T228,1),0)&gt;0,IFERROR(SEARCH(DruidLand4,$T228,1),0)&gt;0),1,0)*IF($C228=1,1,0)*IF($C228=DJ$2,1,0)=0,0,1+COUNTIF(DJ$3:DJ227,"&gt;0"))</f>
        <v>0</v>
      </c>
      <c r="DK228">
        <f>IF(IF(OR(IFERROR(SEARCH("Druid",$T228,1),0)&gt;0,IFERROR(SEARCH(DruidLand1,$T228,1),0)&gt;0,IFERROR(SEARCH(DruidLand2,$T228,1),0)&gt;0,IFERROR(SEARCH(DruidLand3,$T228,1),0)&gt;0,IFERROR(SEARCH(DruidLand4,$T228,1),0)&gt;0),1,0)*IF($C228=1,1,0)*IF($C228=DK$2,1,0)=0,0,1+COUNTIF(DK$3:DK227,"&gt;0"))</f>
        <v>0</v>
      </c>
      <c r="DL228">
        <f>IF(IF(OR(IFERROR(SEARCH("Druid",$T228,1),0)&gt;0,IFERROR(SEARCH(DruidLand1,$T228,1),0)&gt;0,IFERROR(SEARCH(DruidLand2,$T228,1),0)&gt;0,IFERROR(SEARCH(DruidLand3,$T228,1),0)&gt;0,IFERROR(SEARCH(DruidLand4,$T228,1),0)&gt;0),1,0)*IF($C228=1,1,0)*IF($C228=DL$2,1,0)=0,0,1+COUNTIF(DL$3:DL227,"&gt;0"))</f>
        <v>0</v>
      </c>
      <c r="DM228">
        <f>IF(IF(OR(IFERROR(SEARCH("Druid",$T228,1),0)&gt;0,IFERROR(SEARCH(DruidLand1,$T228,1),0)&gt;0,IFERROR(SEARCH(DruidLand2,$T228,1),0)&gt;0,IFERROR(SEARCH(DruidLand3,$T228,1),0)&gt;0,IFERROR(SEARCH(DruidLand4,$T228,1),0)&gt;0),1,0)*IF($C228=1,1,0)*IF($C228=DM$2,1,0)=0,0,1+COUNTIF(DM$3:DM227,"&gt;0"))</f>
        <v>0</v>
      </c>
      <c r="DN228">
        <f>IF(IF(OR(IFERROR(SEARCH("Druid",$T228,1),0)&gt;0,IFERROR(SEARCH(DruidLand1,$T228,1),0)&gt;0,IFERROR(SEARCH(DruidLand2,$T228,1),0)&gt;0,IFERROR(SEARCH(DruidLand3,$T228,1),0)&gt;0,IFERROR(SEARCH(DruidLand4,$T228,1),0)&gt;0),1,0)*IF($C228=1,1,0)*IF($C228=DN$2,1,0)=0,0,1+COUNTIF(DN$3:DN227,"&gt;0"))</f>
        <v>0</v>
      </c>
      <c r="DO228">
        <f>IF(IF(OR(IFERROR(SEARCH("Druid",$T228,1),0)&gt;0,IFERROR(SEARCH(DruidLand1,$T228,1),0)&gt;0,IFERROR(SEARCH(DruidLand2,$T228,1),0)&gt;0,IFERROR(SEARCH(DruidLand3,$T228,1),0)&gt;0,IFERROR(SEARCH(DruidLand4,$T228,1),0)&gt;0),1,0)*IF($C228=1,1,0)*IF($C228=DO$2,1,0)=0,0,1+COUNTIF(DO$3:DO227,"&gt;0"))</f>
        <v>0</v>
      </c>
      <c r="DP228">
        <f>IF(IF(OR(IFERROR(SEARCH("Druid",$T228,1),0)&gt;0,IFERROR(SEARCH(DruidLand1,$T228,1),0)&gt;0,IFERROR(SEARCH(DruidLand2,$T228,1),0)&gt;0,IFERROR(SEARCH(DruidLand3,$T228,1),0)&gt;0,IFERROR(SEARCH(DruidLand4,$T228,1),0)&gt;0),1,0)*IF($C228=1,1,0)*IF($C228=DP$2,1,0)=0,0,1+COUNTIF(DP$3:DP227,"&gt;0"))</f>
        <v>0</v>
      </c>
      <c r="DQ228">
        <f>IF(IF(OR(IFERROR(SEARCH("Druid",$T228,1),0)&gt;0,IFERROR(SEARCH(DruidLand1,$T228,1),0)&gt;0,IFERROR(SEARCH(DruidLand2,$T228,1),0)&gt;0,IFERROR(SEARCH(DruidLand3,$T228,1),0)&gt;0,IFERROR(SEARCH(DruidLand4,$T228,1),0)&gt;0),1,0)*IF($C228=1,1,0)*IF($C228=DQ$2,1,0)=0,0,1+COUNTIF(DQ$3:DQ227,"&gt;0"))</f>
        <v>0</v>
      </c>
      <c r="DR228">
        <f>IF(IF(OR(IFERROR(SEARCH("Druid",$T228,1),0)&gt;0,IFERROR(SEARCH(DruidLand1,$T228,1),0)&gt;0,IFERROR(SEARCH(DruidLand2,$T228,1),0)&gt;0,IFERROR(SEARCH(DruidLand3,$T228,1),0)&gt;0,IFERROR(SEARCH(DruidLand4,$T228,1),0)&gt;0),1,0)*IF($C228=1,1,0)*IF($C228=DR$2,1,0)=0,0,1+COUNTIF(DR$3:DR227,"&gt;0"))</f>
        <v>0</v>
      </c>
      <c r="DS228">
        <f>IF(IF(OR(IFERROR(SEARCH("Paladin",$T228,1),0)&gt;0,IFERROR(SEARCH(PaladinOath,$T228,1),0)&gt;0),1,0)*IF($C228=DS$2,1,0)=1,1+COUNTIF(DS$3:DS227,"&gt;0"),0)</f>
        <v>0</v>
      </c>
      <c r="DT228">
        <f>IF(IF(OR(IFERROR(SEARCH("Paladin",$T228,1),0)&gt;0,IFERROR(SEARCH(PaladinOath,$T228,1),0)&gt;0),1,0)*IF($C228=DT$2,1,0)=1,1+COUNTIF(DT$3:DT227,"&gt;0"),0)</f>
        <v>0</v>
      </c>
      <c r="DU228">
        <f>IF(IF(OR(IFERROR(SEARCH("Paladin",$T228,1),0)&gt;0,IFERROR(SEARCH(PaladinOath,$T228,1),0)&gt;0),1,0)*IF($C228=DU$2,1,0)=1,1+COUNTIF(DU$3:DU227,"&gt;0"),0)</f>
        <v>0</v>
      </c>
      <c r="DV228">
        <f>IF(IF(OR(IFERROR(SEARCH("Paladin",$T228,1),0)&gt;0,IFERROR(SEARCH(PaladinOath,$T228,1),0)&gt;0),1,0)*IF($C228=DV$2,1,0)=1,1+COUNTIF(DV$3:DV227,"&gt;0"),0)</f>
        <v>0</v>
      </c>
      <c r="DW228">
        <f>IF(IF(OR(IFERROR(SEARCH("Paladin",$T228,1),0)&gt;0,IFERROR(SEARCH(PaladinOath,$T228,1),0)&gt;0),1,0)*IF($C228=DW$2,1,0)=1,1+COUNTIF(DW$3:DW227,"&gt;0"),0)</f>
        <v>0</v>
      </c>
      <c r="DY228">
        <f t="shared" si="166"/>
        <v>1</v>
      </c>
      <c r="DZ228">
        <f>IF(DY228=0,0,1+MAX(DZ$3:$DZ227))</f>
        <v>226</v>
      </c>
      <c r="EB228">
        <f t="shared" si="180"/>
        <v>1</v>
      </c>
      <c r="EC228">
        <f>IF(EB228=0,0,1+COUNTIF(EC$3:EC227,"&gt;0"))</f>
        <v>7</v>
      </c>
      <c r="ED228" t="str">
        <f t="shared" si="209"/>
        <v/>
      </c>
      <c r="EE228" t="str">
        <f t="shared" si="181"/>
        <v/>
      </c>
      <c r="EG228">
        <f t="shared" si="182"/>
        <v>0</v>
      </c>
      <c r="EH228">
        <f>IF(EG228=0,0,1+COUNTIF(EH$3:EH227,"&gt;0"))</f>
        <v>0</v>
      </c>
      <c r="EI228" t="str">
        <f t="shared" si="210"/>
        <v/>
      </c>
      <c r="EJ228" t="str">
        <f t="shared" si="183"/>
        <v/>
      </c>
      <c r="EL228">
        <f t="shared" si="184"/>
        <v>0</v>
      </c>
      <c r="EM228">
        <f>IF(EL228=0,0,1+COUNTIF(EM$3:EM227,"&gt;0"))</f>
        <v>0</v>
      </c>
      <c r="EN228" t="str">
        <f t="shared" si="211"/>
        <v/>
      </c>
      <c r="EO228" t="str">
        <f t="shared" si="185"/>
        <v/>
      </c>
      <c r="EQ228">
        <f t="shared" si="186"/>
        <v>0</v>
      </c>
      <c r="ER228">
        <f>IF(EQ228=0,0,1+COUNTIF(ER$3:ER227,"&gt;0"))</f>
        <v>0</v>
      </c>
      <c r="ES228" t="str">
        <f t="shared" si="212"/>
        <v/>
      </c>
      <c r="ET228" t="str">
        <f t="shared" si="187"/>
        <v/>
      </c>
      <c r="EV228">
        <f t="shared" si="188"/>
        <v>0</v>
      </c>
      <c r="EW228">
        <f>IF(EV228=0,0,1+COUNTIF(EW$3:EW227,"&gt;0"))</f>
        <v>0</v>
      </c>
      <c r="EX228" t="str">
        <f t="shared" si="213"/>
        <v/>
      </c>
      <c r="EY228" t="str">
        <f t="shared" si="189"/>
        <v/>
      </c>
      <c r="FA228">
        <f t="shared" si="190"/>
        <v>1</v>
      </c>
      <c r="FB228">
        <f>IF(FA228=0,0,1+COUNTIF(FB$3:FB227,"&gt;0"))</f>
        <v>10</v>
      </c>
      <c r="FC228" t="str">
        <f t="shared" si="214"/>
        <v/>
      </c>
      <c r="FD228" t="str">
        <f t="shared" si="191"/>
        <v/>
      </c>
      <c r="FF228">
        <f t="shared" si="192"/>
        <v>0</v>
      </c>
      <c r="FG228">
        <f>IF(FF228=0,0,1+COUNTIF(FG$3:FG227,"&gt;0"))</f>
        <v>0</v>
      </c>
      <c r="FH228" t="str">
        <f t="shared" si="215"/>
        <v/>
      </c>
      <c r="FI228" t="str">
        <f t="shared" si="193"/>
        <v/>
      </c>
      <c r="FK228">
        <f t="shared" si="194"/>
        <v>1</v>
      </c>
      <c r="FL228">
        <f>IF(FK228=0,0,1+COUNTIF(FL$3:FL227,"&gt;0"))</f>
        <v>10</v>
      </c>
      <c r="FM228" t="str">
        <f t="shared" si="216"/>
        <v/>
      </c>
      <c r="FN228" t="str">
        <f t="shared" si="195"/>
        <v/>
      </c>
      <c r="FP228">
        <f t="shared" si="196"/>
        <v>1</v>
      </c>
      <c r="FQ228">
        <f>IF(FP228=0,0,1+COUNTIF(FQ$3:FQ227,"&gt;0"))</f>
        <v>7</v>
      </c>
      <c r="FR228" t="str">
        <f t="shared" si="217"/>
        <v/>
      </c>
      <c r="FS228" t="str">
        <f t="shared" si="197"/>
        <v/>
      </c>
    </row>
    <row r="229" spans="1:175" x14ac:dyDescent="0.25">
      <c r="A229" s="347">
        <f t="shared" si="219"/>
        <v>227</v>
      </c>
      <c r="B229" s="348" t="s">
        <v>2610</v>
      </c>
      <c r="C229" s="348">
        <v>9</v>
      </c>
      <c r="D229" s="347">
        <v>9</v>
      </c>
      <c r="E229" s="627" t="s">
        <v>6952</v>
      </c>
      <c r="F229" s="346"/>
      <c r="G229" s="347" t="str">
        <f>""</f>
        <v/>
      </c>
      <c r="H229" s="347" t="s">
        <v>5912</v>
      </c>
      <c r="I229" s="347" t="s">
        <v>2413</v>
      </c>
      <c r="J229" s="347" t="str">
        <f t="shared" si="167"/>
        <v/>
      </c>
      <c r="K229" s="347" t="s">
        <v>5278</v>
      </c>
      <c r="L229" s="611" t="str">
        <f t="shared" si="168"/>
        <v>V, S</v>
      </c>
      <c r="M229" s="347" t="s">
        <v>2373</v>
      </c>
      <c r="N229" s="347" t="s">
        <v>2387</v>
      </c>
      <c r="O229" s="347" t="s">
        <v>3034</v>
      </c>
      <c r="P229" s="346" t="str">
        <f>""</f>
        <v/>
      </c>
      <c r="Q229" s="347" t="s">
        <v>5273</v>
      </c>
      <c r="S229" s="346" t="s">
        <v>5431</v>
      </c>
      <c r="T229" s="346" t="str">
        <f t="shared" si="169"/>
        <v xml:space="preserve">Sorcerer, Eldritch Knight, Wizard, </v>
      </c>
      <c r="X229" s="347" t="str">
        <f>$B229</f>
        <v>Meteor Swarm</v>
      </c>
      <c r="AB229" s="542" t="str">
        <f>AD229</f>
        <v>Meteor Swarm</v>
      </c>
      <c r="AD229" s="347" t="str">
        <f t="shared" si="222"/>
        <v>Meteor Swarm</v>
      </c>
      <c r="AE229" t="str">
        <f>IF(IFERROR(MATCH($B229,temp!A$4:A$13,0),0)&gt;0,T08_Spells!AE$2,"")</f>
        <v/>
      </c>
      <c r="AF229" t="str">
        <f>IF(IFERROR(MATCH($B229,temp!B$4:B$13,0),0)&gt;0,T08_Spells!AF$2,"")</f>
        <v/>
      </c>
      <c r="AG229" t="str">
        <f>IF(IFERROR(MATCH($B229,temp!C$4:C$13,0),0)&gt;0,T08_Spells!AG$2,"")</f>
        <v/>
      </c>
      <c r="AH229" t="str">
        <f>IF(IFERROR(MATCH($B229,temp!D$4:D$13,0),0)&gt;0,T08_Spells!AH$2,"")</f>
        <v/>
      </c>
      <c r="AI229" t="str">
        <f>IF(IFERROR(MATCH($B229,temp!E$4:E$13,0),0)&gt;0,T08_Spells!AI$2,"")</f>
        <v/>
      </c>
      <c r="AJ229" t="str">
        <f>IF(IFERROR(MATCH($B229,temp!F$4:F$13,0),0)&gt;0,T08_Spells!AJ$2,"")</f>
        <v/>
      </c>
      <c r="AK229" t="str">
        <f>IF(IFERROR(MATCH($B229,temp!G$4:G$13,0),0)&gt;0,T08_Spells!AK$2,"")</f>
        <v/>
      </c>
      <c r="AL229" t="str">
        <f>IF(IFERROR(MATCH($B229,temp!H$4:H$13,0),0)&gt;0,T08_Spells!AL$2,"")</f>
        <v/>
      </c>
      <c r="AM229" t="str">
        <f>IF(IFERROR(MATCH($B229,temp!I$4:I$13,0),0)&gt;0,T08_Spells!AM$2,"")</f>
        <v/>
      </c>
      <c r="AN229" t="str">
        <f>IF(IFERROR(MATCH($B229,temp!J$4:J$13,0),0)&gt;0,T08_Spells!AN$2,"")</f>
        <v/>
      </c>
      <c r="AO229" t="str">
        <f>IF(IFERROR(MATCH($B229,temp!K$4:K$13,0),0)&gt;0,T08_Spells!AO$2,"")</f>
        <v/>
      </c>
      <c r="AP229" t="str">
        <f>IF(IFERROR(MATCH($B229,temp!L$4:L$13,0),0)&gt;0,T08_Spells!AP$2,"")</f>
        <v/>
      </c>
      <c r="AQ229" t="str">
        <f>IF(IFERROR(MATCH($B229,temp!M$4:M$13,0),0)&gt;0,T08_Spells!AQ$2,"")</f>
        <v/>
      </c>
      <c r="AR229" t="str">
        <f>IF(IFERROR(MATCH($B229,temp!N$4:N$13,0),0)&gt;0,T08_Spells!AR$2,"")</f>
        <v/>
      </c>
      <c r="AS229" t="str">
        <f>IF(IFERROR(MATCH($B229,temp!O$4:O$13,0),0)&gt;0,T08_Spells!AS$2,"")</f>
        <v/>
      </c>
      <c r="AT229" t="str">
        <f>IF(IFERROR(MATCH($B229,temp!P$4:P$13,0),0)&gt;0,T08_Spells!AT$2,"")</f>
        <v/>
      </c>
      <c r="AU229" t="str">
        <f>IF(IFERROR(MATCH($B229,temp!Q$4:Q$13,0),0)&gt;0,T08_Spells!AU$2,"")</f>
        <v/>
      </c>
      <c r="AV229" t="str">
        <f>IF(IFERROR(MATCH($B229,temp!R$4:R$13,0),0)&gt;0,T08_Spells!AV$2,"")</f>
        <v/>
      </c>
      <c r="AW229" t="str">
        <f>IF(IFERROR(MATCH($B229,temp!S$4:S$13,0),0)&gt;0,T08_Spells!AW$2,"")</f>
        <v/>
      </c>
      <c r="AX229" t="str">
        <f>IF(IFERROR(MATCH($B229,temp!T$4:T$13,0),0)&gt;0,T08_Spells!AX$2,"")</f>
        <v/>
      </c>
      <c r="AY229" t="str">
        <f>IF(IFERROR(MATCH($B229,temp!U$4:U$13,0),0)&gt;0,T08_Spells!AY$2,"")</f>
        <v/>
      </c>
      <c r="AZ229" t="str">
        <f>IF(IFERROR(MATCH($B229,temp!V$4:V$13,0),0)&gt;0,T08_Spells!AZ$2,"")</f>
        <v/>
      </c>
      <c r="BA229" t="str">
        <f>IF(IFERROR(MATCH($B229,temp!W$4:W$13,0),0)&gt;0,T08_Spells!BA$2,"")</f>
        <v/>
      </c>
      <c r="BC229">
        <f>IF(IFERROR(SEARCH("Ranger",$T229,1),0)&gt;0,1,0)*IF(RangerMaxSpellLevel&gt;=$C229,1,0)*IF(IFERROR(MATCH(B229,Character_Creation!$X$79:$X$382,0),0)&gt;0,0,1)</f>
        <v>0</v>
      </c>
      <c r="BD229">
        <f>IF(BC229=0,0,1+COUNTIF(BD$3:BD228,"&gt;0"))</f>
        <v>0</v>
      </c>
      <c r="BE229" t="str">
        <f t="shared" si="199"/>
        <v/>
      </c>
      <c r="BF229" t="str">
        <f t="shared" si="170"/>
        <v/>
      </c>
      <c r="BH229">
        <f>IF(IFERROR(SEARCH("Sorcerer",$T229,1),0)&gt;0,1,0)*IF(SorcererMaxSpellLevel&gt;=$C229,1,0)*IF(IFERROR(MATCH(B229,Character_Creation!$J$380:$J$394,0),0)&gt;0,0,1)</f>
        <v>0</v>
      </c>
      <c r="BI229">
        <f>IF(BH229=0,0,1+COUNTIF(BI$3:BI228,"&gt;0"))</f>
        <v>0</v>
      </c>
      <c r="BJ229" t="str">
        <f t="shared" si="200"/>
        <v/>
      </c>
      <c r="BK229" t="str">
        <f t="shared" si="171"/>
        <v/>
      </c>
      <c r="BM229">
        <f>IF(OR(IFERROR(SEARCH("Warlock",$T229,1),0)&gt;0,IFERROR(SEARCH(WarlockPatron,$T229,1),0)&gt;0),1,0)*IF(WarlockMaxSpellLevel&gt;=$C229,1,0)*IF(IFERROR(MATCH(B229,Character_Creation!$J$361:$J$375,0),0)&gt;0,0,1)</f>
        <v>0</v>
      </c>
      <c r="BN229">
        <f>IF(BM229=0,0,1+COUNTIF(BN$3:BN228,"&gt;0"))</f>
        <v>0</v>
      </c>
      <c r="BO229" t="str">
        <f t="shared" si="201"/>
        <v/>
      </c>
      <c r="BP229" t="str">
        <f t="shared" si="172"/>
        <v/>
      </c>
      <c r="BR229">
        <f>IF(IFERROR(SEARCH("Eldritch Knight",$T229,1),0)&gt;0,1,0)*IF(EldritchKnightMaxSpellLevel&gt;=$C229,1,0)*IF(IFERROR(MATCH($B229,Character_Creation!$J$350:$J$356,0),0)&gt;0,0,1)*IF(Character_Creation!$M$338&gt;0,1,0)</f>
        <v>0</v>
      </c>
      <c r="BS229">
        <f>IF(BR229=0,0,1+COUNTIF(BS$3:BS228,"&gt;0"))</f>
        <v>0</v>
      </c>
      <c r="BT229" t="str">
        <f t="shared" si="202"/>
        <v/>
      </c>
      <c r="BU229" t="str">
        <f t="shared" si="173"/>
        <v/>
      </c>
      <c r="BW229">
        <f>IF(IFERROR(SEARCH("Arcane Trickster",$T229,1),0)&gt;0,1,0)*IF(ArcaneTricksterMaxSpellLevel&gt;=$C229,1,0)*IF(IFERROR(MATCH($B229,Character_Creation!$J$350:$J$356,0),0)&gt;0,0,1)*IF(Character_Creation!$T$338&gt;0,1,0)</f>
        <v>0</v>
      </c>
      <c r="BX229">
        <f>IF(BW229=0,0,1+COUNTIF(BX$3:BX228,"&gt;0"))</f>
        <v>0</v>
      </c>
      <c r="BY229" t="str">
        <f t="shared" si="203"/>
        <v/>
      </c>
      <c r="BZ229" t="str">
        <f t="shared" si="174"/>
        <v/>
      </c>
      <c r="CB229">
        <f>IF(IFERROR(SEARCH("Wizard",$T229,1),0)&gt;0,1,0)*IF(C229&lt;=ArcaneTricksterMaxSpellLevel,1,0)*IF(IFERROR(MATCH($B229,Character_Creation!$J$350:$J$356,0),0)&gt;0,0,1)*IF(Character_Creation!$T$350&gt;0,1,0)</f>
        <v>0</v>
      </c>
      <c r="CC229">
        <f>IF(CB229=0,0,1+COUNTIF(CC$3:CC228,"&gt;0"))</f>
        <v>0</v>
      </c>
      <c r="CD229" t="str">
        <f t="shared" si="204"/>
        <v/>
      </c>
      <c r="CE229" t="str">
        <f t="shared" si="175"/>
        <v/>
      </c>
      <c r="CG229">
        <f>IF(IFERROR(SEARCH("Wizard",$T229,1),0)&gt;0,1,0)*IF($C229&lt;=EldritchKnightMaxSpellLevel,1,0)*IF(IFERROR(MATCH($B229,Character_Creation!$J$350:$J$356,0),0)&gt;0,0,1)*IF(Character_Creation!$M$350&gt;0,1,0)</f>
        <v>0</v>
      </c>
      <c r="CH229">
        <f>IF(CG229=0,0,1+COUNTIF(CH$3:CH228,"&gt;0"))</f>
        <v>0</v>
      </c>
      <c r="CI229" t="str">
        <f t="shared" si="205"/>
        <v/>
      </c>
      <c r="CJ229" t="str">
        <f t="shared" si="176"/>
        <v/>
      </c>
      <c r="CL229">
        <f>IF(IFERROR(SEARCH("Bard",$T229,1),0)&gt;0,1,0)*IF(BardMaxSpellLevel&gt;=$C229,1,0)*IF(IFERROR(MATCH(B229,Character_Creation!$C$341:$F$362,0),0)&gt;0,0,1)*IF(IFERROR(MATCH($B229,Character_Creation!$C$341:$C$362,0),0)&gt;0,0,1)</f>
        <v>0</v>
      </c>
      <c r="CM229">
        <f>IF(CL229=0,0,1+COUNTIF(CM$3:CM228,"&gt;0"))</f>
        <v>0</v>
      </c>
      <c r="CN229" t="str">
        <f t="shared" si="206"/>
        <v/>
      </c>
      <c r="CO229" t="str">
        <f t="shared" si="177"/>
        <v/>
      </c>
      <c r="CQ229">
        <f>IF(IFERROR(SEARCH("Wizard",$T229,1),0)&gt;0,1,0)*IF(WizardMaxSpellLevel&gt;=$C229,1,0)*IF(IFERROR(MATCH(B229,Character_Creation!$X$341:$X$400,0),0)&gt;0,0,1)*IF(SelectedWizardSpellLevel=$C229,1,0)</f>
        <v>0</v>
      </c>
      <c r="CR229">
        <f>IF(CQ229=0,0,1+COUNTIF(CR$3:CR228,"&gt;0"))</f>
        <v>0</v>
      </c>
      <c r="CS229" t="str">
        <f t="shared" si="207"/>
        <v/>
      </c>
      <c r="CT229" t="str">
        <f t="shared" si="178"/>
        <v/>
      </c>
      <c r="CV229">
        <f>IF(IFERROR(MATCH($B229,Character_Creation!$C$341:$C$362,0),0)&gt;0,0,1)*IF(OR(C229="Cantrip",C229&lt;=BardMaxSpellLevel),1,0)*IF(IFERROR(MATCH($B229,Character_Creation!$C$367:$C$374,0),0)&gt;0,0,1)</f>
        <v>0</v>
      </c>
      <c r="CW229">
        <f>IF(CV229=0,0,1+COUNTIF(CW$3:CW228,"&gt;0"))</f>
        <v>0</v>
      </c>
      <c r="CX229" t="str">
        <f t="shared" si="208"/>
        <v/>
      </c>
      <c r="CY229" t="str">
        <f t="shared" si="179"/>
        <v/>
      </c>
      <c r="DA229">
        <f>IF(IF(OR(IFERROR(SEARCH("Cleric",$T229,1),0)&gt;0,IFERROR(SEARCH(DivineDomain&amp;",",$T229,1),0)&gt;0),1,0)*IF($C229=DA$2,1,0)=1,1+COUNTIF(DA$3:DA228,"&gt;0"),0)</f>
        <v>0</v>
      </c>
      <c r="DB229">
        <f>IF(IF(OR(IFERROR(SEARCH("Cleric",$T229,1),0)&gt;0,IFERROR(SEARCH(DivineDomain&amp;",",$T229,1),0)&gt;0),1,0)*IF($C229=DB$2,1,0)=1,1+COUNTIF(DB$3:DB228,"&gt;0"),0)</f>
        <v>0</v>
      </c>
      <c r="DC229">
        <f>IF(IF(OR(IFERROR(SEARCH("Cleric",$T229,1),0)&gt;0,IFERROR(SEARCH(DivineDomain&amp;",",$T229,1),0)&gt;0),1,0)*IF($C229=DC$2,1,0)=1,1+COUNTIF(DC$3:DC228,"&gt;0"),0)</f>
        <v>0</v>
      </c>
      <c r="DD229">
        <f>IF(IF(OR(IFERROR(SEARCH("Cleric",$T229,1),0)&gt;0,IFERROR(SEARCH(DivineDomain&amp;",",$T229,1),0)&gt;0),1,0)*IF($C229=DD$2,1,0)=1,1+COUNTIF(DD$3:DD228,"&gt;0"),0)</f>
        <v>0</v>
      </c>
      <c r="DE229">
        <f>IF(IF(OR(IFERROR(SEARCH("Cleric",$T229,1),0)&gt;0,IFERROR(SEARCH(DivineDomain&amp;",",$T229,1),0)&gt;0),1,0)*IF($C229=DE$2,1,0)=1,1+COUNTIF(DE$3:DE228,"&gt;0"),0)</f>
        <v>0</v>
      </c>
      <c r="DF229">
        <f>IF(IF(OR(IFERROR(SEARCH("Cleric",$T229,1),0)&gt;0,IFERROR(SEARCH(DivineDomain&amp;",",$T229,1),0)&gt;0),1,0)*IF($C229=DF$2,1,0)=1,1+COUNTIF(DF$3:DF228,"&gt;0"),0)</f>
        <v>0</v>
      </c>
      <c r="DG229">
        <f>IF(IF(OR(IFERROR(SEARCH("Cleric",$T229,1),0)&gt;0,IFERROR(SEARCH(DivineDomain&amp;",",$T229,1),0)&gt;0),1,0)*IF($C229=DG$2,1,0)=1,1+COUNTIF(DG$3:DG228,"&gt;0"),0)</f>
        <v>0</v>
      </c>
      <c r="DH229">
        <f>IF(IF(OR(IFERROR(SEARCH("Cleric",$T229,1),0)&gt;0,IFERROR(SEARCH(DivineDomain&amp;",",$T229,1),0)&gt;0),1,0)*IF($C229=DH$2,1,0)=1,1+COUNTIF(DH$3:DH228,"&gt;0"),0)</f>
        <v>0</v>
      </c>
      <c r="DI229">
        <f>IF(IF(OR(IFERROR(SEARCH("Cleric",$T229,1),0)&gt;0,IFERROR(SEARCH(DivineDomain&amp;",",$T229,1),0)&gt;0),1,0)*IF($C229=DI$2,1,0)=1,1+COUNTIF(DI$3:DI228,"&gt;0"),0)</f>
        <v>0</v>
      </c>
      <c r="DJ229">
        <f>IF(IF(OR(IFERROR(SEARCH("Druid",$T229,1),0)&gt;0,IFERROR(SEARCH(DruidLand1,$T229,1),0)&gt;0,IFERROR(SEARCH(DruidLand2,$T229,1),0)&gt;0,IFERROR(SEARCH(DruidLand3,$T229,1),0)&gt;0,IFERROR(SEARCH(DruidLand4,$T229,1),0)&gt;0),1,0)*IF($C229=1,1,0)*IF($C229=DJ$2,1,0)=0,0,1+COUNTIF(DJ$3:DJ228,"&gt;0"))</f>
        <v>0</v>
      </c>
      <c r="DK229">
        <f>IF(IF(OR(IFERROR(SEARCH("Druid",$T229,1),0)&gt;0,IFERROR(SEARCH(DruidLand1,$T229,1),0)&gt;0,IFERROR(SEARCH(DruidLand2,$T229,1),0)&gt;0,IFERROR(SEARCH(DruidLand3,$T229,1),0)&gt;0,IFERROR(SEARCH(DruidLand4,$T229,1),0)&gt;0),1,0)*IF($C229=1,1,0)*IF($C229=DK$2,1,0)=0,0,1+COUNTIF(DK$3:DK228,"&gt;0"))</f>
        <v>0</v>
      </c>
      <c r="DL229">
        <f>IF(IF(OR(IFERROR(SEARCH("Druid",$T229,1),0)&gt;0,IFERROR(SEARCH(DruidLand1,$T229,1),0)&gt;0,IFERROR(SEARCH(DruidLand2,$T229,1),0)&gt;0,IFERROR(SEARCH(DruidLand3,$T229,1),0)&gt;0,IFERROR(SEARCH(DruidLand4,$T229,1),0)&gt;0),1,0)*IF($C229=1,1,0)*IF($C229=DL$2,1,0)=0,0,1+COUNTIF(DL$3:DL228,"&gt;0"))</f>
        <v>0</v>
      </c>
      <c r="DM229">
        <f>IF(IF(OR(IFERROR(SEARCH("Druid",$T229,1),0)&gt;0,IFERROR(SEARCH(DruidLand1,$T229,1),0)&gt;0,IFERROR(SEARCH(DruidLand2,$T229,1),0)&gt;0,IFERROR(SEARCH(DruidLand3,$T229,1),0)&gt;0,IFERROR(SEARCH(DruidLand4,$T229,1),0)&gt;0),1,0)*IF($C229=1,1,0)*IF($C229=DM$2,1,0)=0,0,1+COUNTIF(DM$3:DM228,"&gt;0"))</f>
        <v>0</v>
      </c>
      <c r="DN229">
        <f>IF(IF(OR(IFERROR(SEARCH("Druid",$T229,1),0)&gt;0,IFERROR(SEARCH(DruidLand1,$T229,1),0)&gt;0,IFERROR(SEARCH(DruidLand2,$T229,1),0)&gt;0,IFERROR(SEARCH(DruidLand3,$T229,1),0)&gt;0,IFERROR(SEARCH(DruidLand4,$T229,1),0)&gt;0),1,0)*IF($C229=1,1,0)*IF($C229=DN$2,1,0)=0,0,1+COUNTIF(DN$3:DN228,"&gt;0"))</f>
        <v>0</v>
      </c>
      <c r="DO229">
        <f>IF(IF(OR(IFERROR(SEARCH("Druid",$T229,1),0)&gt;0,IFERROR(SEARCH(DruidLand1,$T229,1),0)&gt;0,IFERROR(SEARCH(DruidLand2,$T229,1),0)&gt;0,IFERROR(SEARCH(DruidLand3,$T229,1),0)&gt;0,IFERROR(SEARCH(DruidLand4,$T229,1),0)&gt;0),1,0)*IF($C229=1,1,0)*IF($C229=DO$2,1,0)=0,0,1+COUNTIF(DO$3:DO228,"&gt;0"))</f>
        <v>0</v>
      </c>
      <c r="DP229">
        <f>IF(IF(OR(IFERROR(SEARCH("Druid",$T229,1),0)&gt;0,IFERROR(SEARCH(DruidLand1,$T229,1),0)&gt;0,IFERROR(SEARCH(DruidLand2,$T229,1),0)&gt;0,IFERROR(SEARCH(DruidLand3,$T229,1),0)&gt;0,IFERROR(SEARCH(DruidLand4,$T229,1),0)&gt;0),1,0)*IF($C229=1,1,0)*IF($C229=DP$2,1,0)=0,0,1+COUNTIF(DP$3:DP228,"&gt;0"))</f>
        <v>0</v>
      </c>
      <c r="DQ229">
        <f>IF(IF(OR(IFERROR(SEARCH("Druid",$T229,1),0)&gt;0,IFERROR(SEARCH(DruidLand1,$T229,1),0)&gt;0,IFERROR(SEARCH(DruidLand2,$T229,1),0)&gt;0,IFERROR(SEARCH(DruidLand3,$T229,1),0)&gt;0,IFERROR(SEARCH(DruidLand4,$T229,1),0)&gt;0),1,0)*IF($C229=1,1,0)*IF($C229=DQ$2,1,0)=0,0,1+COUNTIF(DQ$3:DQ228,"&gt;0"))</f>
        <v>0</v>
      </c>
      <c r="DR229">
        <f>IF(IF(OR(IFERROR(SEARCH("Druid",$T229,1),0)&gt;0,IFERROR(SEARCH(DruidLand1,$T229,1),0)&gt;0,IFERROR(SEARCH(DruidLand2,$T229,1),0)&gt;0,IFERROR(SEARCH(DruidLand3,$T229,1),0)&gt;0,IFERROR(SEARCH(DruidLand4,$T229,1),0)&gt;0),1,0)*IF($C229=1,1,0)*IF($C229=DR$2,1,0)=0,0,1+COUNTIF(DR$3:DR228,"&gt;0"))</f>
        <v>0</v>
      </c>
      <c r="DS229">
        <f>IF(IF(OR(IFERROR(SEARCH("Paladin",$T229,1),0)&gt;0,IFERROR(SEARCH(PaladinOath,$T229,1),0)&gt;0),1,0)*IF($C229=DS$2,1,0)=1,1+COUNTIF(DS$3:DS228,"&gt;0"),0)</f>
        <v>0</v>
      </c>
      <c r="DT229">
        <f>IF(IF(OR(IFERROR(SEARCH("Paladin",$T229,1),0)&gt;0,IFERROR(SEARCH(PaladinOath,$T229,1),0)&gt;0),1,0)*IF($C229=DT$2,1,0)=1,1+COUNTIF(DT$3:DT228,"&gt;0"),0)</f>
        <v>0</v>
      </c>
      <c r="DU229">
        <f>IF(IF(OR(IFERROR(SEARCH("Paladin",$T229,1),0)&gt;0,IFERROR(SEARCH(PaladinOath,$T229,1),0)&gt;0),1,0)*IF($C229=DU$2,1,0)=1,1+COUNTIF(DU$3:DU228,"&gt;0"),0)</f>
        <v>0</v>
      </c>
      <c r="DV229">
        <f>IF(IF(OR(IFERROR(SEARCH("Paladin",$T229,1),0)&gt;0,IFERROR(SEARCH(PaladinOath,$T229,1),0)&gt;0),1,0)*IF($C229=DV$2,1,0)=1,1+COUNTIF(DV$3:DV228,"&gt;0"),0)</f>
        <v>0</v>
      </c>
      <c r="DW229">
        <f>IF(IF(OR(IFERROR(SEARCH("Paladin",$T229,1),0)&gt;0,IFERROR(SEARCH(PaladinOath,$T229,1),0)&gt;0),1,0)*IF($C229=DW$2,1,0)=1,1+COUNTIF(DW$3:DW228,"&gt;0"),0)</f>
        <v>0</v>
      </c>
      <c r="DY229">
        <f t="shared" si="166"/>
        <v>1</v>
      </c>
      <c r="DZ229">
        <f>IF(DY229=0,0,1+MAX(DZ$3:$DZ228))</f>
        <v>227</v>
      </c>
      <c r="EB229">
        <f t="shared" si="180"/>
        <v>0</v>
      </c>
      <c r="EC229">
        <f>IF(EB229=0,0,1+COUNTIF(EC$3:EC228,"&gt;0"))</f>
        <v>0</v>
      </c>
      <c r="ED229" t="str">
        <f t="shared" si="209"/>
        <v/>
      </c>
      <c r="EE229" t="str">
        <f t="shared" si="181"/>
        <v/>
      </c>
      <c r="EG229">
        <f t="shared" si="182"/>
        <v>0</v>
      </c>
      <c r="EH229">
        <f>IF(EG229=0,0,1+COUNTIF(EH$3:EH228,"&gt;0"))</f>
        <v>0</v>
      </c>
      <c r="EI229" t="str">
        <f t="shared" si="210"/>
        <v/>
      </c>
      <c r="EJ229" t="str">
        <f t="shared" si="183"/>
        <v/>
      </c>
      <c r="EL229">
        <f t="shared" si="184"/>
        <v>0</v>
      </c>
      <c r="EM229">
        <f>IF(EL229=0,0,1+COUNTIF(EM$3:EM228,"&gt;0"))</f>
        <v>0</v>
      </c>
      <c r="EN229" t="str">
        <f t="shared" si="211"/>
        <v/>
      </c>
      <c r="EO229" t="str">
        <f t="shared" si="185"/>
        <v/>
      </c>
      <c r="EQ229">
        <f t="shared" si="186"/>
        <v>0</v>
      </c>
      <c r="ER229">
        <f>IF(EQ229=0,0,1+COUNTIF(ER$3:ER228,"&gt;0"))</f>
        <v>0</v>
      </c>
      <c r="ES229" t="str">
        <f t="shared" si="212"/>
        <v/>
      </c>
      <c r="ET229" t="str">
        <f t="shared" si="187"/>
        <v/>
      </c>
      <c r="EV229">
        <f t="shared" si="188"/>
        <v>0</v>
      </c>
      <c r="EW229">
        <f>IF(EV229=0,0,1+COUNTIF(EW$3:EW228,"&gt;0"))</f>
        <v>0</v>
      </c>
      <c r="EX229" t="str">
        <f t="shared" si="213"/>
        <v/>
      </c>
      <c r="EY229" t="str">
        <f t="shared" si="189"/>
        <v/>
      </c>
      <c r="FA229">
        <f t="shared" si="190"/>
        <v>0</v>
      </c>
      <c r="FB229">
        <f>IF(FA229=0,0,1+COUNTIF(FB$3:FB228,"&gt;0"))</f>
        <v>0</v>
      </c>
      <c r="FC229" t="str">
        <f t="shared" si="214"/>
        <v/>
      </c>
      <c r="FD229" t="str">
        <f t="shared" si="191"/>
        <v/>
      </c>
      <c r="FF229">
        <f t="shared" si="192"/>
        <v>0</v>
      </c>
      <c r="FG229">
        <f>IF(FF229=0,0,1+COUNTIF(FG$3:FG228,"&gt;0"))</f>
        <v>0</v>
      </c>
      <c r="FH229" t="str">
        <f t="shared" si="215"/>
        <v/>
      </c>
      <c r="FI229" t="str">
        <f t="shared" si="193"/>
        <v/>
      </c>
      <c r="FK229">
        <f t="shared" si="194"/>
        <v>0</v>
      </c>
      <c r="FL229">
        <f>IF(FK229=0,0,1+COUNTIF(FL$3:FL228,"&gt;0"))</f>
        <v>0</v>
      </c>
      <c r="FM229" t="str">
        <f t="shared" si="216"/>
        <v/>
      </c>
      <c r="FN229" t="str">
        <f t="shared" si="195"/>
        <v/>
      </c>
      <c r="FP229">
        <f t="shared" si="196"/>
        <v>0</v>
      </c>
      <c r="FQ229">
        <f>IF(FP229=0,0,1+COUNTIF(FQ$3:FQ228,"&gt;0"))</f>
        <v>0</v>
      </c>
      <c r="FR229" t="str">
        <f t="shared" si="217"/>
        <v/>
      </c>
      <c r="FS229" t="str">
        <f t="shared" si="197"/>
        <v/>
      </c>
    </row>
    <row r="230" spans="1:175" x14ac:dyDescent="0.25">
      <c r="A230" s="347">
        <f t="shared" si="219"/>
        <v>228</v>
      </c>
      <c r="B230" s="348" t="s">
        <v>2611</v>
      </c>
      <c r="C230" s="348">
        <v>8</v>
      </c>
      <c r="D230" s="347">
        <v>8</v>
      </c>
      <c r="E230" s="627" t="s">
        <v>6952</v>
      </c>
      <c r="F230" s="346"/>
      <c r="G230" s="347" t="str">
        <f>""</f>
        <v/>
      </c>
      <c r="H230" s="347" t="s">
        <v>5912</v>
      </c>
      <c r="I230" s="347" t="s">
        <v>5298</v>
      </c>
      <c r="J230" s="347" t="str">
        <f t="shared" si="167"/>
        <v/>
      </c>
      <c r="K230" s="347" t="s">
        <v>5285</v>
      </c>
      <c r="L230" s="611" t="str">
        <f t="shared" si="168"/>
        <v>V, S</v>
      </c>
      <c r="M230" s="347" t="s">
        <v>2373</v>
      </c>
      <c r="N230" s="347" t="s">
        <v>2387</v>
      </c>
      <c r="O230" s="347" t="s">
        <v>3034</v>
      </c>
      <c r="P230" s="346" t="str">
        <f>""</f>
        <v/>
      </c>
      <c r="Q230" s="347" t="s">
        <v>5270</v>
      </c>
      <c r="S230" s="346" t="s">
        <v>2612</v>
      </c>
      <c r="T230" s="346" t="str">
        <f t="shared" si="169"/>
        <v xml:space="preserve">Bard, Eldritch Knight, Wizard, </v>
      </c>
      <c r="U230" s="347" t="str">
        <f>$B230</f>
        <v>Mind Blank</v>
      </c>
      <c r="AB230" s="542" t="str">
        <f>AD230</f>
        <v>Mind Blank</v>
      </c>
      <c r="AD230" s="347" t="str">
        <f t="shared" si="222"/>
        <v>Mind Blank</v>
      </c>
      <c r="AE230" t="str">
        <f>IF(IFERROR(MATCH($B230,temp!A$4:A$13,0),0)&gt;0,T08_Spells!AE$2,"")</f>
        <v/>
      </c>
      <c r="AF230" t="str">
        <f>IF(IFERROR(MATCH($B230,temp!B$4:B$13,0),0)&gt;0,T08_Spells!AF$2,"")</f>
        <v/>
      </c>
      <c r="AG230" t="str">
        <f>IF(IFERROR(MATCH($B230,temp!C$4:C$13,0),0)&gt;0,T08_Spells!AG$2,"")</f>
        <v/>
      </c>
      <c r="AH230" t="str">
        <f>IF(IFERROR(MATCH($B230,temp!D$4:D$13,0),0)&gt;0,T08_Spells!AH$2,"")</f>
        <v/>
      </c>
      <c r="AI230" t="str">
        <f>IF(IFERROR(MATCH($B230,temp!E$4:E$13,0),0)&gt;0,T08_Spells!AI$2,"")</f>
        <v/>
      </c>
      <c r="AJ230" t="str">
        <f>IF(IFERROR(MATCH($B230,temp!F$4:F$13,0),0)&gt;0,T08_Spells!AJ$2,"")</f>
        <v/>
      </c>
      <c r="AK230" t="str">
        <f>IF(IFERROR(MATCH($B230,temp!G$4:G$13,0),0)&gt;0,T08_Spells!AK$2,"")</f>
        <v/>
      </c>
      <c r="AL230" t="str">
        <f>IF(IFERROR(MATCH($B230,temp!H$4:H$13,0),0)&gt;0,T08_Spells!AL$2,"")</f>
        <v/>
      </c>
      <c r="AM230" t="str">
        <f>IF(IFERROR(MATCH($B230,temp!I$4:I$13,0),0)&gt;0,T08_Spells!AM$2,"")</f>
        <v/>
      </c>
      <c r="AN230" t="str">
        <f>IF(IFERROR(MATCH($B230,temp!J$4:J$13,0),0)&gt;0,T08_Spells!AN$2,"")</f>
        <v/>
      </c>
      <c r="AO230" t="str">
        <f>IF(IFERROR(MATCH($B230,temp!K$4:K$13,0),0)&gt;0,T08_Spells!AO$2,"")</f>
        <v/>
      </c>
      <c r="AP230" t="str">
        <f>IF(IFERROR(MATCH($B230,temp!L$4:L$13,0),0)&gt;0,T08_Spells!AP$2,"")</f>
        <v/>
      </c>
      <c r="AQ230" t="str">
        <f>IF(IFERROR(MATCH($B230,temp!M$4:M$13,0),0)&gt;0,T08_Spells!AQ$2,"")</f>
        <v/>
      </c>
      <c r="AR230" t="str">
        <f>IF(IFERROR(MATCH($B230,temp!N$4:N$13,0),0)&gt;0,T08_Spells!AR$2,"")</f>
        <v/>
      </c>
      <c r="AS230" t="str">
        <f>IF(IFERROR(MATCH($B230,temp!O$4:O$13,0),0)&gt;0,T08_Spells!AS$2,"")</f>
        <v/>
      </c>
      <c r="AT230" t="str">
        <f>IF(IFERROR(MATCH($B230,temp!P$4:P$13,0),0)&gt;0,T08_Spells!AT$2,"")</f>
        <v/>
      </c>
      <c r="AU230" t="str">
        <f>IF(IFERROR(MATCH($B230,temp!Q$4:Q$13,0),0)&gt;0,T08_Spells!AU$2,"")</f>
        <v/>
      </c>
      <c r="AV230" t="str">
        <f>IF(IFERROR(MATCH($B230,temp!R$4:R$13,0),0)&gt;0,T08_Spells!AV$2,"")</f>
        <v/>
      </c>
      <c r="AW230" t="str">
        <f>IF(IFERROR(MATCH($B230,temp!S$4:S$13,0),0)&gt;0,T08_Spells!AW$2,"")</f>
        <v/>
      </c>
      <c r="AX230" t="str">
        <f>IF(IFERROR(MATCH($B230,temp!T$4:T$13,0),0)&gt;0,T08_Spells!AX$2,"")</f>
        <v/>
      </c>
      <c r="AY230" t="str">
        <f>IF(IFERROR(MATCH($B230,temp!U$4:U$13,0),0)&gt;0,T08_Spells!AY$2,"")</f>
        <v/>
      </c>
      <c r="AZ230" t="str">
        <f>IF(IFERROR(MATCH($B230,temp!V$4:V$13,0),0)&gt;0,T08_Spells!AZ$2,"")</f>
        <v/>
      </c>
      <c r="BA230" t="str">
        <f>IF(IFERROR(MATCH($B230,temp!W$4:W$13,0),0)&gt;0,T08_Spells!BA$2,"")</f>
        <v/>
      </c>
      <c r="BC230">
        <f>IF(IFERROR(SEARCH("Ranger",$T230,1),0)&gt;0,1,0)*IF(RangerMaxSpellLevel&gt;=$C230,1,0)*IF(IFERROR(MATCH(B230,Character_Creation!$X$79:$X$382,0),0)&gt;0,0,1)</f>
        <v>0</v>
      </c>
      <c r="BD230">
        <f>IF(BC230=0,0,1+COUNTIF(BD$3:BD229,"&gt;0"))</f>
        <v>0</v>
      </c>
      <c r="BE230" t="str">
        <f t="shared" si="199"/>
        <v/>
      </c>
      <c r="BF230" t="str">
        <f t="shared" si="170"/>
        <v/>
      </c>
      <c r="BH230">
        <f>IF(IFERROR(SEARCH("Sorcerer",$T230,1),0)&gt;0,1,0)*IF(SorcererMaxSpellLevel&gt;=$C230,1,0)*IF(IFERROR(MATCH(B230,Character_Creation!$J$380:$J$394,0),0)&gt;0,0,1)</f>
        <v>0</v>
      </c>
      <c r="BI230">
        <f>IF(BH230=0,0,1+COUNTIF(BI$3:BI229,"&gt;0"))</f>
        <v>0</v>
      </c>
      <c r="BJ230" t="str">
        <f t="shared" si="200"/>
        <v/>
      </c>
      <c r="BK230" t="str">
        <f t="shared" si="171"/>
        <v/>
      </c>
      <c r="BM230">
        <f>IF(OR(IFERROR(SEARCH("Warlock",$T230,1),0)&gt;0,IFERROR(SEARCH(WarlockPatron,$T230,1),0)&gt;0),1,0)*IF(WarlockMaxSpellLevel&gt;=$C230,1,0)*IF(IFERROR(MATCH(B230,Character_Creation!$J$361:$J$375,0),0)&gt;0,0,1)</f>
        <v>0</v>
      </c>
      <c r="BN230">
        <f>IF(BM230=0,0,1+COUNTIF(BN$3:BN229,"&gt;0"))</f>
        <v>0</v>
      </c>
      <c r="BO230" t="str">
        <f t="shared" si="201"/>
        <v/>
      </c>
      <c r="BP230" t="str">
        <f t="shared" si="172"/>
        <v/>
      </c>
      <c r="BR230">
        <f>IF(IFERROR(SEARCH("Eldritch Knight",$T230,1),0)&gt;0,1,0)*IF(EldritchKnightMaxSpellLevel&gt;=$C230,1,0)*IF(IFERROR(MATCH($B230,Character_Creation!$J$350:$J$356,0),0)&gt;0,0,1)*IF(Character_Creation!$M$338&gt;0,1,0)</f>
        <v>0</v>
      </c>
      <c r="BS230">
        <f>IF(BR230=0,0,1+COUNTIF(BS$3:BS229,"&gt;0"))</f>
        <v>0</v>
      </c>
      <c r="BT230" t="str">
        <f t="shared" si="202"/>
        <v/>
      </c>
      <c r="BU230" t="str">
        <f t="shared" si="173"/>
        <v/>
      </c>
      <c r="BW230">
        <f>IF(IFERROR(SEARCH("Arcane Trickster",$T230,1),0)&gt;0,1,0)*IF(ArcaneTricksterMaxSpellLevel&gt;=$C230,1,0)*IF(IFERROR(MATCH($B230,Character_Creation!$J$350:$J$356,0),0)&gt;0,0,1)*IF(Character_Creation!$T$338&gt;0,1,0)</f>
        <v>0</v>
      </c>
      <c r="BX230">
        <f>IF(BW230=0,0,1+COUNTIF(BX$3:BX229,"&gt;0"))</f>
        <v>0</v>
      </c>
      <c r="BY230" t="str">
        <f t="shared" si="203"/>
        <v/>
      </c>
      <c r="BZ230" t="str">
        <f t="shared" si="174"/>
        <v/>
      </c>
      <c r="CB230">
        <f>IF(IFERROR(SEARCH("Wizard",$T230,1),0)&gt;0,1,0)*IF(C230&lt;=ArcaneTricksterMaxSpellLevel,1,0)*IF(IFERROR(MATCH($B230,Character_Creation!$J$350:$J$356,0),0)&gt;0,0,1)*IF(Character_Creation!$T$350&gt;0,1,0)</f>
        <v>0</v>
      </c>
      <c r="CC230">
        <f>IF(CB230=0,0,1+COUNTIF(CC$3:CC229,"&gt;0"))</f>
        <v>0</v>
      </c>
      <c r="CD230" t="str">
        <f t="shared" si="204"/>
        <v/>
      </c>
      <c r="CE230" t="str">
        <f t="shared" si="175"/>
        <v/>
      </c>
      <c r="CG230">
        <f>IF(IFERROR(SEARCH("Wizard",$T230,1),0)&gt;0,1,0)*IF($C230&lt;=EldritchKnightMaxSpellLevel,1,0)*IF(IFERROR(MATCH($B230,Character_Creation!$J$350:$J$356,0),0)&gt;0,0,1)*IF(Character_Creation!$M$350&gt;0,1,0)</f>
        <v>0</v>
      </c>
      <c r="CH230">
        <f>IF(CG230=0,0,1+COUNTIF(CH$3:CH229,"&gt;0"))</f>
        <v>0</v>
      </c>
      <c r="CI230" t="str">
        <f t="shared" si="205"/>
        <v/>
      </c>
      <c r="CJ230" t="str">
        <f t="shared" si="176"/>
        <v/>
      </c>
      <c r="CL230">
        <f>IF(IFERROR(SEARCH("Bard",$T230,1),0)&gt;0,1,0)*IF(BardMaxSpellLevel&gt;=$C230,1,0)*IF(IFERROR(MATCH(B230,Character_Creation!$C$341:$F$362,0),0)&gt;0,0,1)*IF(IFERROR(MATCH($B230,Character_Creation!$C$341:$C$362,0),0)&gt;0,0,1)</f>
        <v>0</v>
      </c>
      <c r="CM230">
        <f>IF(CL230=0,0,1+COUNTIF(CM$3:CM229,"&gt;0"))</f>
        <v>0</v>
      </c>
      <c r="CN230" t="str">
        <f t="shared" si="206"/>
        <v/>
      </c>
      <c r="CO230" t="str">
        <f t="shared" si="177"/>
        <v/>
      </c>
      <c r="CQ230">
        <f>IF(IFERROR(SEARCH("Wizard",$T230,1),0)&gt;0,1,0)*IF(WizardMaxSpellLevel&gt;=$C230,1,0)*IF(IFERROR(MATCH(B230,Character_Creation!$X$341:$X$400,0),0)&gt;0,0,1)*IF(SelectedWizardSpellLevel=$C230,1,0)</f>
        <v>0</v>
      </c>
      <c r="CR230">
        <f>IF(CQ230=0,0,1+COUNTIF(CR$3:CR229,"&gt;0"))</f>
        <v>0</v>
      </c>
      <c r="CS230" t="str">
        <f t="shared" si="207"/>
        <v/>
      </c>
      <c r="CT230" t="str">
        <f t="shared" si="178"/>
        <v/>
      </c>
      <c r="CV230">
        <f>IF(IFERROR(MATCH($B230,Character_Creation!$C$341:$C$362,0),0)&gt;0,0,1)*IF(OR(C230="Cantrip",C230&lt;=BardMaxSpellLevel),1,0)*IF(IFERROR(MATCH($B230,Character_Creation!$C$367:$C$374,0),0)&gt;0,0,1)</f>
        <v>0</v>
      </c>
      <c r="CW230">
        <f>IF(CV230=0,0,1+COUNTIF(CW$3:CW229,"&gt;0"))</f>
        <v>0</v>
      </c>
      <c r="CX230" t="str">
        <f t="shared" si="208"/>
        <v/>
      </c>
      <c r="CY230" t="str">
        <f t="shared" si="179"/>
        <v/>
      </c>
      <c r="DA230">
        <f>IF(IF(OR(IFERROR(SEARCH("Cleric",$T230,1),0)&gt;0,IFERROR(SEARCH(DivineDomain&amp;",",$T230,1),0)&gt;0),1,0)*IF($C230=DA$2,1,0)=1,1+COUNTIF(DA$3:DA229,"&gt;0"),0)</f>
        <v>0</v>
      </c>
      <c r="DB230">
        <f>IF(IF(OR(IFERROR(SEARCH("Cleric",$T230,1),0)&gt;0,IFERROR(SEARCH(DivineDomain&amp;",",$T230,1),0)&gt;0),1,0)*IF($C230=DB$2,1,0)=1,1+COUNTIF(DB$3:DB229,"&gt;0"),0)</f>
        <v>0</v>
      </c>
      <c r="DC230">
        <f>IF(IF(OR(IFERROR(SEARCH("Cleric",$T230,1),0)&gt;0,IFERROR(SEARCH(DivineDomain&amp;",",$T230,1),0)&gt;0),1,0)*IF($C230=DC$2,1,0)=1,1+COUNTIF(DC$3:DC229,"&gt;0"),0)</f>
        <v>0</v>
      </c>
      <c r="DD230">
        <f>IF(IF(OR(IFERROR(SEARCH("Cleric",$T230,1),0)&gt;0,IFERROR(SEARCH(DivineDomain&amp;",",$T230,1),0)&gt;0),1,0)*IF($C230=DD$2,1,0)=1,1+COUNTIF(DD$3:DD229,"&gt;0"),0)</f>
        <v>0</v>
      </c>
      <c r="DE230">
        <f>IF(IF(OR(IFERROR(SEARCH("Cleric",$T230,1),0)&gt;0,IFERROR(SEARCH(DivineDomain&amp;",",$T230,1),0)&gt;0),1,0)*IF($C230=DE$2,1,0)=1,1+COUNTIF(DE$3:DE229,"&gt;0"),0)</f>
        <v>0</v>
      </c>
      <c r="DF230">
        <f>IF(IF(OR(IFERROR(SEARCH("Cleric",$T230,1),0)&gt;0,IFERROR(SEARCH(DivineDomain&amp;",",$T230,1),0)&gt;0),1,0)*IF($C230=DF$2,1,0)=1,1+COUNTIF(DF$3:DF229,"&gt;0"),0)</f>
        <v>0</v>
      </c>
      <c r="DG230">
        <f>IF(IF(OR(IFERROR(SEARCH("Cleric",$T230,1),0)&gt;0,IFERROR(SEARCH(DivineDomain&amp;",",$T230,1),0)&gt;0),1,0)*IF($C230=DG$2,1,0)=1,1+COUNTIF(DG$3:DG229,"&gt;0"),0)</f>
        <v>0</v>
      </c>
      <c r="DH230">
        <f>IF(IF(OR(IFERROR(SEARCH("Cleric",$T230,1),0)&gt;0,IFERROR(SEARCH(DivineDomain&amp;",",$T230,1),0)&gt;0),1,0)*IF($C230=DH$2,1,0)=1,1+COUNTIF(DH$3:DH229,"&gt;0"),0)</f>
        <v>0</v>
      </c>
      <c r="DI230">
        <f>IF(IF(OR(IFERROR(SEARCH("Cleric",$T230,1),0)&gt;0,IFERROR(SEARCH(DivineDomain&amp;",",$T230,1),0)&gt;0),1,0)*IF($C230=DI$2,1,0)=1,1+COUNTIF(DI$3:DI229,"&gt;0"),0)</f>
        <v>0</v>
      </c>
      <c r="DJ230">
        <f>IF(IF(OR(IFERROR(SEARCH("Druid",$T230,1),0)&gt;0,IFERROR(SEARCH(DruidLand1,$T230,1),0)&gt;0,IFERROR(SEARCH(DruidLand2,$T230,1),0)&gt;0,IFERROR(SEARCH(DruidLand3,$T230,1),0)&gt;0,IFERROR(SEARCH(DruidLand4,$T230,1),0)&gt;0),1,0)*IF($C230=1,1,0)*IF($C230=DJ$2,1,0)=0,0,1+COUNTIF(DJ$3:DJ229,"&gt;0"))</f>
        <v>0</v>
      </c>
      <c r="DK230">
        <f>IF(IF(OR(IFERROR(SEARCH("Druid",$T230,1),0)&gt;0,IFERROR(SEARCH(DruidLand1,$T230,1),0)&gt;0,IFERROR(SEARCH(DruidLand2,$T230,1),0)&gt;0,IFERROR(SEARCH(DruidLand3,$T230,1),0)&gt;0,IFERROR(SEARCH(DruidLand4,$T230,1),0)&gt;0),1,0)*IF($C230=1,1,0)*IF($C230=DK$2,1,0)=0,0,1+COUNTIF(DK$3:DK229,"&gt;0"))</f>
        <v>0</v>
      </c>
      <c r="DL230">
        <f>IF(IF(OR(IFERROR(SEARCH("Druid",$T230,1),0)&gt;0,IFERROR(SEARCH(DruidLand1,$T230,1),0)&gt;0,IFERROR(SEARCH(DruidLand2,$T230,1),0)&gt;0,IFERROR(SEARCH(DruidLand3,$T230,1),0)&gt;0,IFERROR(SEARCH(DruidLand4,$T230,1),0)&gt;0),1,0)*IF($C230=1,1,0)*IF($C230=DL$2,1,0)=0,0,1+COUNTIF(DL$3:DL229,"&gt;0"))</f>
        <v>0</v>
      </c>
      <c r="DM230">
        <f>IF(IF(OR(IFERROR(SEARCH("Druid",$T230,1),0)&gt;0,IFERROR(SEARCH(DruidLand1,$T230,1),0)&gt;0,IFERROR(SEARCH(DruidLand2,$T230,1),0)&gt;0,IFERROR(SEARCH(DruidLand3,$T230,1),0)&gt;0,IFERROR(SEARCH(DruidLand4,$T230,1),0)&gt;0),1,0)*IF($C230=1,1,0)*IF($C230=DM$2,1,0)=0,0,1+COUNTIF(DM$3:DM229,"&gt;0"))</f>
        <v>0</v>
      </c>
      <c r="DN230">
        <f>IF(IF(OR(IFERROR(SEARCH("Druid",$T230,1),0)&gt;0,IFERROR(SEARCH(DruidLand1,$T230,1),0)&gt;0,IFERROR(SEARCH(DruidLand2,$T230,1),0)&gt;0,IFERROR(SEARCH(DruidLand3,$T230,1),0)&gt;0,IFERROR(SEARCH(DruidLand4,$T230,1),0)&gt;0),1,0)*IF($C230=1,1,0)*IF($C230=DN$2,1,0)=0,0,1+COUNTIF(DN$3:DN229,"&gt;0"))</f>
        <v>0</v>
      </c>
      <c r="DO230">
        <f>IF(IF(OR(IFERROR(SEARCH("Druid",$T230,1),0)&gt;0,IFERROR(SEARCH(DruidLand1,$T230,1),0)&gt;0,IFERROR(SEARCH(DruidLand2,$T230,1),0)&gt;0,IFERROR(SEARCH(DruidLand3,$T230,1),0)&gt;0,IFERROR(SEARCH(DruidLand4,$T230,1),0)&gt;0),1,0)*IF($C230=1,1,0)*IF($C230=DO$2,1,0)=0,0,1+COUNTIF(DO$3:DO229,"&gt;0"))</f>
        <v>0</v>
      </c>
      <c r="DP230">
        <f>IF(IF(OR(IFERROR(SEARCH("Druid",$T230,1),0)&gt;0,IFERROR(SEARCH(DruidLand1,$T230,1),0)&gt;0,IFERROR(SEARCH(DruidLand2,$T230,1),0)&gt;0,IFERROR(SEARCH(DruidLand3,$T230,1),0)&gt;0,IFERROR(SEARCH(DruidLand4,$T230,1),0)&gt;0),1,0)*IF($C230=1,1,0)*IF($C230=DP$2,1,0)=0,0,1+COUNTIF(DP$3:DP229,"&gt;0"))</f>
        <v>0</v>
      </c>
      <c r="DQ230">
        <f>IF(IF(OR(IFERROR(SEARCH("Druid",$T230,1),0)&gt;0,IFERROR(SEARCH(DruidLand1,$T230,1),0)&gt;0,IFERROR(SEARCH(DruidLand2,$T230,1),0)&gt;0,IFERROR(SEARCH(DruidLand3,$T230,1),0)&gt;0,IFERROR(SEARCH(DruidLand4,$T230,1),0)&gt;0),1,0)*IF($C230=1,1,0)*IF($C230=DQ$2,1,0)=0,0,1+COUNTIF(DQ$3:DQ229,"&gt;0"))</f>
        <v>0</v>
      </c>
      <c r="DR230">
        <f>IF(IF(OR(IFERROR(SEARCH("Druid",$T230,1),0)&gt;0,IFERROR(SEARCH(DruidLand1,$T230,1),0)&gt;0,IFERROR(SEARCH(DruidLand2,$T230,1),0)&gt;0,IFERROR(SEARCH(DruidLand3,$T230,1),0)&gt;0,IFERROR(SEARCH(DruidLand4,$T230,1),0)&gt;0),1,0)*IF($C230=1,1,0)*IF($C230=DR$2,1,0)=0,0,1+COUNTIF(DR$3:DR229,"&gt;0"))</f>
        <v>0</v>
      </c>
      <c r="DS230">
        <f>IF(IF(OR(IFERROR(SEARCH("Paladin",$T230,1),0)&gt;0,IFERROR(SEARCH(PaladinOath,$T230,1),0)&gt;0),1,0)*IF($C230=DS$2,1,0)=1,1+COUNTIF(DS$3:DS229,"&gt;0"),0)</f>
        <v>0</v>
      </c>
      <c r="DT230">
        <f>IF(IF(OR(IFERROR(SEARCH("Paladin",$T230,1),0)&gt;0,IFERROR(SEARCH(PaladinOath,$T230,1),0)&gt;0),1,0)*IF($C230=DT$2,1,0)=1,1+COUNTIF(DT$3:DT229,"&gt;0"),0)</f>
        <v>0</v>
      </c>
      <c r="DU230">
        <f>IF(IF(OR(IFERROR(SEARCH("Paladin",$T230,1),0)&gt;0,IFERROR(SEARCH(PaladinOath,$T230,1),0)&gt;0),1,0)*IF($C230=DU$2,1,0)=1,1+COUNTIF(DU$3:DU229,"&gt;0"),0)</f>
        <v>0</v>
      </c>
      <c r="DV230">
        <f>IF(IF(OR(IFERROR(SEARCH("Paladin",$T230,1),0)&gt;0,IFERROR(SEARCH(PaladinOath,$T230,1),0)&gt;0),1,0)*IF($C230=DV$2,1,0)=1,1+COUNTIF(DV$3:DV229,"&gt;0"),0)</f>
        <v>0</v>
      </c>
      <c r="DW230">
        <f>IF(IF(OR(IFERROR(SEARCH("Paladin",$T230,1),0)&gt;0,IFERROR(SEARCH(PaladinOath,$T230,1),0)&gt;0),1,0)*IF($C230=DW$2,1,0)=1,1+COUNTIF(DW$3:DW229,"&gt;0"),0)</f>
        <v>0</v>
      </c>
      <c r="DY230">
        <f t="shared" si="166"/>
        <v>1</v>
      </c>
      <c r="DZ230">
        <f>IF(DY230=0,0,1+MAX(DZ$3:$DZ229))</f>
        <v>228</v>
      </c>
      <c r="EB230">
        <f t="shared" si="180"/>
        <v>0</v>
      </c>
      <c r="EC230">
        <f>IF(EB230=0,0,1+COUNTIF(EC$3:EC229,"&gt;0"))</f>
        <v>0</v>
      </c>
      <c r="ED230" t="str">
        <f t="shared" si="209"/>
        <v/>
      </c>
      <c r="EE230" t="str">
        <f t="shared" si="181"/>
        <v/>
      </c>
      <c r="EG230">
        <f t="shared" si="182"/>
        <v>0</v>
      </c>
      <c r="EH230">
        <f>IF(EG230=0,0,1+COUNTIF(EH$3:EH229,"&gt;0"))</f>
        <v>0</v>
      </c>
      <c r="EI230" t="str">
        <f t="shared" si="210"/>
        <v/>
      </c>
      <c r="EJ230" t="str">
        <f t="shared" si="183"/>
        <v/>
      </c>
      <c r="EL230">
        <f t="shared" si="184"/>
        <v>0</v>
      </c>
      <c r="EM230">
        <f>IF(EL230=0,0,1+COUNTIF(EM$3:EM229,"&gt;0"))</f>
        <v>0</v>
      </c>
      <c r="EN230" t="str">
        <f t="shared" si="211"/>
        <v/>
      </c>
      <c r="EO230" t="str">
        <f t="shared" si="185"/>
        <v/>
      </c>
      <c r="EQ230">
        <f t="shared" si="186"/>
        <v>0</v>
      </c>
      <c r="ER230">
        <f>IF(EQ230=0,0,1+COUNTIF(ER$3:ER229,"&gt;0"))</f>
        <v>0</v>
      </c>
      <c r="ES230" t="str">
        <f t="shared" si="212"/>
        <v/>
      </c>
      <c r="ET230" t="str">
        <f t="shared" si="187"/>
        <v/>
      </c>
      <c r="EV230">
        <f t="shared" si="188"/>
        <v>0</v>
      </c>
      <c r="EW230">
        <f>IF(EV230=0,0,1+COUNTIF(EW$3:EW229,"&gt;0"))</f>
        <v>0</v>
      </c>
      <c r="EX230" t="str">
        <f t="shared" si="213"/>
        <v/>
      </c>
      <c r="EY230" t="str">
        <f t="shared" si="189"/>
        <v/>
      </c>
      <c r="FA230">
        <f t="shared" si="190"/>
        <v>0</v>
      </c>
      <c r="FB230">
        <f>IF(FA230=0,0,1+COUNTIF(FB$3:FB229,"&gt;0"))</f>
        <v>0</v>
      </c>
      <c r="FC230" t="str">
        <f t="shared" si="214"/>
        <v/>
      </c>
      <c r="FD230" t="str">
        <f t="shared" si="191"/>
        <v/>
      </c>
      <c r="FF230">
        <f t="shared" si="192"/>
        <v>0</v>
      </c>
      <c r="FG230">
        <f>IF(FF230=0,0,1+COUNTIF(FG$3:FG229,"&gt;0"))</f>
        <v>0</v>
      </c>
      <c r="FH230" t="str">
        <f t="shared" si="215"/>
        <v/>
      </c>
      <c r="FI230" t="str">
        <f t="shared" si="193"/>
        <v/>
      </c>
      <c r="FK230">
        <f t="shared" si="194"/>
        <v>0</v>
      </c>
      <c r="FL230">
        <f>IF(FK230=0,0,1+COUNTIF(FL$3:FL229,"&gt;0"))</f>
        <v>0</v>
      </c>
      <c r="FM230" t="str">
        <f t="shared" si="216"/>
        <v/>
      </c>
      <c r="FN230" t="str">
        <f t="shared" si="195"/>
        <v/>
      </c>
      <c r="FP230">
        <f t="shared" si="196"/>
        <v>0</v>
      </c>
      <c r="FQ230">
        <f>IF(FP230=0,0,1+COUNTIF(FQ$3:FQ229,"&gt;0"))</f>
        <v>0</v>
      </c>
      <c r="FR230" t="str">
        <f t="shared" si="217"/>
        <v/>
      </c>
      <c r="FS230" t="str">
        <f t="shared" si="197"/>
        <v/>
      </c>
    </row>
    <row r="231" spans="1:175" x14ac:dyDescent="0.25">
      <c r="A231" s="347">
        <f t="shared" si="219"/>
        <v>229</v>
      </c>
      <c r="B231" s="348" t="s">
        <v>2613</v>
      </c>
      <c r="C231" s="348" t="s">
        <v>5277</v>
      </c>
      <c r="D231" s="347">
        <v>0.5</v>
      </c>
      <c r="E231" s="627" t="s">
        <v>6952</v>
      </c>
      <c r="F231" s="346"/>
      <c r="G231" s="347" t="str">
        <f>""</f>
        <v/>
      </c>
      <c r="H231" s="347" t="s">
        <v>5912</v>
      </c>
      <c r="I231" s="347" t="s">
        <v>5060</v>
      </c>
      <c r="J231" s="347" t="str">
        <f t="shared" si="167"/>
        <v/>
      </c>
      <c r="K231" s="347" t="s">
        <v>5288</v>
      </c>
      <c r="L231" s="611" t="str">
        <f t="shared" si="168"/>
        <v>S, M, a bit of fleece</v>
      </c>
      <c r="M231" s="347" t="s">
        <v>3034</v>
      </c>
      <c r="N231" s="347" t="s">
        <v>2387</v>
      </c>
      <c r="O231" s="347" t="s">
        <v>1244</v>
      </c>
      <c r="P231" s="346" t="s">
        <v>5426</v>
      </c>
      <c r="Q231" s="347" t="s">
        <v>5274</v>
      </c>
      <c r="S231" s="346" t="s">
        <v>5769</v>
      </c>
      <c r="T231" s="346" t="str">
        <f t="shared" si="169"/>
        <v xml:space="preserve">Bard, Sorcerer, Arcane Trickster, Wizard, </v>
      </c>
      <c r="U231" s="347" t="str">
        <f>$B231</f>
        <v>Minor Illusion</v>
      </c>
      <c r="X231" s="347" t="str">
        <f>$B231</f>
        <v>Minor Illusion</v>
      </c>
      <c r="AC231" s="539" t="str">
        <f>B231</f>
        <v>Minor Illusion</v>
      </c>
      <c r="AD231" s="347" t="str">
        <f t="shared" si="222"/>
        <v>Minor Illusion</v>
      </c>
      <c r="AE231" t="str">
        <f>IF(IFERROR(MATCH($B231,temp!A$4:A$13,0),0)&gt;0,T08_Spells!AE$2,"")</f>
        <v/>
      </c>
      <c r="AF231" t="str">
        <f>IF(IFERROR(MATCH($B231,temp!B$4:B$13,0),0)&gt;0,T08_Spells!AF$2,"")</f>
        <v/>
      </c>
      <c r="AG231" t="str">
        <f>IF(IFERROR(MATCH($B231,temp!C$4:C$13,0),0)&gt;0,T08_Spells!AG$2,"")</f>
        <v/>
      </c>
      <c r="AH231" t="str">
        <f>IF(IFERROR(MATCH($B231,temp!D$4:D$13,0),0)&gt;0,T08_Spells!AH$2,"")</f>
        <v/>
      </c>
      <c r="AI231" t="str">
        <f>IF(IFERROR(MATCH($B231,temp!E$4:E$13,0),0)&gt;0,T08_Spells!AI$2,"")</f>
        <v/>
      </c>
      <c r="AJ231" t="str">
        <f>IF(IFERROR(MATCH($B231,temp!F$4:F$13,0),0)&gt;0,T08_Spells!AJ$2,"")</f>
        <v/>
      </c>
      <c r="AK231" t="str">
        <f>IF(IFERROR(MATCH($B231,temp!G$4:G$13,0),0)&gt;0,T08_Spells!AK$2,"")</f>
        <v/>
      </c>
      <c r="AL231" t="str">
        <f>IF(IFERROR(MATCH($B231,temp!H$4:H$13,0),0)&gt;0,T08_Spells!AL$2,"")</f>
        <v/>
      </c>
      <c r="AM231" t="str">
        <f>IF(IFERROR(MATCH($B231,temp!I$4:I$13,0),0)&gt;0,T08_Spells!AM$2,"")</f>
        <v/>
      </c>
      <c r="AN231" t="str">
        <f>IF(IFERROR(MATCH($B231,temp!J$4:J$13,0),0)&gt;0,T08_Spells!AN$2,"")</f>
        <v/>
      </c>
      <c r="AO231" t="str">
        <f>IF(IFERROR(MATCH($B231,temp!K$4:K$13,0),0)&gt;0,T08_Spells!AO$2,"")</f>
        <v/>
      </c>
      <c r="AP231" t="str">
        <f>IF(IFERROR(MATCH($B231,temp!L$4:L$13,0),0)&gt;0,T08_Spells!AP$2,"")</f>
        <v/>
      </c>
      <c r="AQ231" t="str">
        <f>IF(IFERROR(MATCH($B231,temp!M$4:M$13,0),0)&gt;0,T08_Spells!AQ$2,"")</f>
        <v/>
      </c>
      <c r="AR231" t="str">
        <f>IF(IFERROR(MATCH($B231,temp!N$4:N$13,0),0)&gt;0,T08_Spells!AR$2,"")</f>
        <v/>
      </c>
      <c r="AS231" t="str">
        <f>IF(IFERROR(MATCH($B231,temp!O$4:O$13,0),0)&gt;0,T08_Spells!AS$2,"")</f>
        <v/>
      </c>
      <c r="AT231" t="str">
        <f>IF(IFERROR(MATCH($B231,temp!P$4:P$13,0),0)&gt;0,T08_Spells!AT$2,"")</f>
        <v/>
      </c>
      <c r="AU231" t="str">
        <f>IF(IFERROR(MATCH($B231,temp!Q$4:Q$13,0),0)&gt;0,T08_Spells!AU$2,"")</f>
        <v/>
      </c>
      <c r="AV231" t="str">
        <f>IF(IFERROR(MATCH($B231,temp!R$4:R$13,0),0)&gt;0,T08_Spells!AV$2,"")</f>
        <v/>
      </c>
      <c r="AW231" t="str">
        <f>IF(IFERROR(MATCH($B231,temp!S$4:S$13,0),0)&gt;0,T08_Spells!AW$2,"")</f>
        <v/>
      </c>
      <c r="AX231" t="str">
        <f>IF(IFERROR(MATCH($B231,temp!T$4:T$13,0),0)&gt;0,T08_Spells!AX$2,"")</f>
        <v/>
      </c>
      <c r="AY231" t="str">
        <f>IF(IFERROR(MATCH($B231,temp!U$4:U$13,0),0)&gt;0,T08_Spells!AY$2,"")</f>
        <v/>
      </c>
      <c r="AZ231" t="str">
        <f>IF(IFERROR(MATCH($B231,temp!V$4:V$13,0),0)&gt;0,T08_Spells!AZ$2,"")</f>
        <v/>
      </c>
      <c r="BA231" t="str">
        <f>IF(IFERROR(MATCH($B231,temp!W$4:W$13,0),0)&gt;0,T08_Spells!BA$2,"")</f>
        <v/>
      </c>
      <c r="BC231">
        <f>IF(IFERROR(SEARCH("Ranger",$T231,1),0)&gt;0,1,0)*IF(RangerMaxSpellLevel&gt;=$C231,1,0)*IF(IFERROR(MATCH(B231,Character_Creation!$X$79:$X$382,0),0)&gt;0,0,1)</f>
        <v>0</v>
      </c>
      <c r="BD231">
        <f>IF(BC231=0,0,1+COUNTIF(BD$3:BD230,"&gt;0"))</f>
        <v>0</v>
      </c>
      <c r="BE231" t="str">
        <f t="shared" si="199"/>
        <v/>
      </c>
      <c r="BF231" t="str">
        <f t="shared" si="170"/>
        <v/>
      </c>
      <c r="BH231">
        <f>IF(IFERROR(SEARCH("Sorcerer",$T231,1),0)&gt;0,1,0)*IF(SorcererMaxSpellLevel&gt;=$C231,1,0)*IF(IFERROR(MATCH(B231,Character_Creation!$J$380:$J$394,0),0)&gt;0,0,1)</f>
        <v>0</v>
      </c>
      <c r="BI231">
        <f>IF(BH231=0,0,1+COUNTIF(BI$3:BI230,"&gt;0"))</f>
        <v>0</v>
      </c>
      <c r="BJ231" t="str">
        <f t="shared" si="200"/>
        <v/>
      </c>
      <c r="BK231" t="str">
        <f t="shared" si="171"/>
        <v/>
      </c>
      <c r="BM231">
        <f>IF(OR(IFERROR(SEARCH("Warlock",$T231,1),0)&gt;0,IFERROR(SEARCH(WarlockPatron,$T231,1),0)&gt;0),1,0)*IF(WarlockMaxSpellLevel&gt;=$C231,1,0)*IF(IFERROR(MATCH(B231,Character_Creation!$J$361:$J$375,0),0)&gt;0,0,1)</f>
        <v>0</v>
      </c>
      <c r="BN231">
        <f>IF(BM231=0,0,1+COUNTIF(BN$3:BN230,"&gt;0"))</f>
        <v>0</v>
      </c>
      <c r="BO231" t="str">
        <f t="shared" si="201"/>
        <v/>
      </c>
      <c r="BP231" t="str">
        <f t="shared" si="172"/>
        <v/>
      </c>
      <c r="BR231">
        <f>IF(IFERROR(SEARCH("Eldritch Knight",$T231,1),0)&gt;0,1,0)*IF(EldritchKnightMaxSpellLevel&gt;=$C231,1,0)*IF(IFERROR(MATCH($B231,Character_Creation!$J$350:$J$356,0),0)&gt;0,0,1)*IF(Character_Creation!$M$338&gt;0,1,0)</f>
        <v>0</v>
      </c>
      <c r="BS231">
        <f>IF(BR231=0,0,1+COUNTIF(BS$3:BS230,"&gt;0"))</f>
        <v>0</v>
      </c>
      <c r="BT231" t="str">
        <f t="shared" si="202"/>
        <v/>
      </c>
      <c r="BU231" t="str">
        <f t="shared" si="173"/>
        <v/>
      </c>
      <c r="BW231">
        <f>IF(IFERROR(SEARCH("Arcane Trickster",$T231,1),0)&gt;0,1,0)*IF(ArcaneTricksterMaxSpellLevel&gt;=$C231,1,0)*IF(IFERROR(MATCH($B231,Character_Creation!$J$350:$J$356,0),0)&gt;0,0,1)*IF(Character_Creation!$T$338&gt;0,1,0)</f>
        <v>0</v>
      </c>
      <c r="BX231">
        <f>IF(BW231=0,0,1+COUNTIF(BX$3:BX230,"&gt;0"))</f>
        <v>0</v>
      </c>
      <c r="BY231" t="str">
        <f t="shared" si="203"/>
        <v/>
      </c>
      <c r="BZ231" t="str">
        <f t="shared" si="174"/>
        <v/>
      </c>
      <c r="CB231">
        <f>IF(IFERROR(SEARCH("Wizard",$T231,1),0)&gt;0,1,0)*IF(C231&lt;=ArcaneTricksterMaxSpellLevel,1,0)*IF(IFERROR(MATCH($B231,Character_Creation!$J$350:$J$356,0),0)&gt;0,0,1)*IF(Character_Creation!$T$350&gt;0,1,0)</f>
        <v>0</v>
      </c>
      <c r="CC231">
        <f>IF(CB231=0,0,1+COUNTIF(CC$3:CC230,"&gt;0"))</f>
        <v>0</v>
      </c>
      <c r="CD231" t="str">
        <f t="shared" si="204"/>
        <v/>
      </c>
      <c r="CE231" t="str">
        <f t="shared" si="175"/>
        <v/>
      </c>
      <c r="CG231">
        <f>IF(IFERROR(SEARCH("Wizard",$T231,1),0)&gt;0,1,0)*IF($C231&lt;=EldritchKnightMaxSpellLevel,1,0)*IF(IFERROR(MATCH($B231,Character_Creation!$J$350:$J$356,0),0)&gt;0,0,1)*IF(Character_Creation!$M$350&gt;0,1,0)</f>
        <v>0</v>
      </c>
      <c r="CH231">
        <f>IF(CG231=0,0,1+COUNTIF(CH$3:CH230,"&gt;0"))</f>
        <v>0</v>
      </c>
      <c r="CI231" t="str">
        <f t="shared" si="205"/>
        <v/>
      </c>
      <c r="CJ231" t="str">
        <f t="shared" si="176"/>
        <v/>
      </c>
      <c r="CL231">
        <f>IF(IFERROR(SEARCH("Bard",$T231,1),0)&gt;0,1,0)*IF(BardMaxSpellLevel&gt;=$C231,1,0)*IF(IFERROR(MATCH(B231,Character_Creation!$C$341:$F$362,0),0)&gt;0,0,1)*IF(IFERROR(MATCH($B231,Character_Creation!$C$341:$C$362,0),0)&gt;0,0,1)</f>
        <v>0</v>
      </c>
      <c r="CM231">
        <f>IF(CL231=0,0,1+COUNTIF(CM$3:CM230,"&gt;0"))</f>
        <v>0</v>
      </c>
      <c r="CN231" t="str">
        <f t="shared" si="206"/>
        <v/>
      </c>
      <c r="CO231" t="str">
        <f t="shared" si="177"/>
        <v/>
      </c>
      <c r="CQ231">
        <f>IF(IFERROR(SEARCH("Wizard",$T231,1),0)&gt;0,1,0)*IF(WizardMaxSpellLevel&gt;=$C231,1,0)*IF(IFERROR(MATCH(B231,Character_Creation!$X$341:$X$400,0),0)&gt;0,0,1)*IF(SelectedWizardSpellLevel=$C231,1,0)</f>
        <v>0</v>
      </c>
      <c r="CR231">
        <f>IF(CQ231=0,0,1+COUNTIF(CR$3:CR230,"&gt;0"))</f>
        <v>0</v>
      </c>
      <c r="CS231" t="str">
        <f t="shared" si="207"/>
        <v/>
      </c>
      <c r="CT231" t="str">
        <f t="shared" si="178"/>
        <v/>
      </c>
      <c r="CV231">
        <f>IF(IFERROR(MATCH($B231,Character_Creation!$C$341:$C$362,0),0)&gt;0,0,1)*IF(OR(C231="Cantrip",C231&lt;=BardMaxSpellLevel),1,0)*IF(IFERROR(MATCH($B231,Character_Creation!$C$367:$C$374,0),0)&gt;0,0,1)</f>
        <v>1</v>
      </c>
      <c r="CW231">
        <f>IF(CV231=0,0,1+COUNTIF(CW$3:CW230,"&gt;0"))</f>
        <v>14</v>
      </c>
      <c r="CX231" t="str">
        <f t="shared" si="208"/>
        <v/>
      </c>
      <c r="CY231" t="str">
        <f t="shared" si="179"/>
        <v/>
      </c>
      <c r="DA231">
        <f>IF(IF(OR(IFERROR(SEARCH("Cleric",$T231,1),0)&gt;0,IFERROR(SEARCH(DivineDomain&amp;",",$T231,1),0)&gt;0),1,0)*IF($C231=DA$2,1,0)=1,1+COUNTIF(DA$3:DA230,"&gt;0"),0)</f>
        <v>0</v>
      </c>
      <c r="DB231">
        <f>IF(IF(OR(IFERROR(SEARCH("Cleric",$T231,1),0)&gt;0,IFERROR(SEARCH(DivineDomain&amp;",",$T231,1),0)&gt;0),1,0)*IF($C231=DB$2,1,0)=1,1+COUNTIF(DB$3:DB230,"&gt;0"),0)</f>
        <v>0</v>
      </c>
      <c r="DC231">
        <f>IF(IF(OR(IFERROR(SEARCH("Cleric",$T231,1),0)&gt;0,IFERROR(SEARCH(DivineDomain&amp;",",$T231,1),0)&gt;0),1,0)*IF($C231=DC$2,1,0)=1,1+COUNTIF(DC$3:DC230,"&gt;0"),0)</f>
        <v>0</v>
      </c>
      <c r="DD231">
        <f>IF(IF(OR(IFERROR(SEARCH("Cleric",$T231,1),0)&gt;0,IFERROR(SEARCH(DivineDomain&amp;",",$T231,1),0)&gt;0),1,0)*IF($C231=DD$2,1,0)=1,1+COUNTIF(DD$3:DD230,"&gt;0"),0)</f>
        <v>0</v>
      </c>
      <c r="DE231">
        <f>IF(IF(OR(IFERROR(SEARCH("Cleric",$T231,1),0)&gt;0,IFERROR(SEARCH(DivineDomain&amp;",",$T231,1),0)&gt;0),1,0)*IF($C231=DE$2,1,0)=1,1+COUNTIF(DE$3:DE230,"&gt;0"),0)</f>
        <v>0</v>
      </c>
      <c r="DF231">
        <f>IF(IF(OR(IFERROR(SEARCH("Cleric",$T231,1),0)&gt;0,IFERROR(SEARCH(DivineDomain&amp;",",$T231,1),0)&gt;0),1,0)*IF($C231=DF$2,1,0)=1,1+COUNTIF(DF$3:DF230,"&gt;0"),0)</f>
        <v>0</v>
      </c>
      <c r="DG231">
        <f>IF(IF(OR(IFERROR(SEARCH("Cleric",$T231,1),0)&gt;0,IFERROR(SEARCH(DivineDomain&amp;",",$T231,1),0)&gt;0),1,0)*IF($C231=DG$2,1,0)=1,1+COUNTIF(DG$3:DG230,"&gt;0"),0)</f>
        <v>0</v>
      </c>
      <c r="DH231">
        <f>IF(IF(OR(IFERROR(SEARCH("Cleric",$T231,1),0)&gt;0,IFERROR(SEARCH(DivineDomain&amp;",",$T231,1),0)&gt;0),1,0)*IF($C231=DH$2,1,0)=1,1+COUNTIF(DH$3:DH230,"&gt;0"),0)</f>
        <v>0</v>
      </c>
      <c r="DI231">
        <f>IF(IF(OR(IFERROR(SEARCH("Cleric",$T231,1),0)&gt;0,IFERROR(SEARCH(DivineDomain&amp;",",$T231,1),0)&gt;0),1,0)*IF($C231=DI$2,1,0)=1,1+COUNTIF(DI$3:DI230,"&gt;0"),0)</f>
        <v>0</v>
      </c>
      <c r="DJ231">
        <f>IF(IF(OR(IFERROR(SEARCH("Druid",$T231,1),0)&gt;0,IFERROR(SEARCH(DruidLand1,$T231,1),0)&gt;0,IFERROR(SEARCH(DruidLand2,$T231,1),0)&gt;0,IFERROR(SEARCH(DruidLand3,$T231,1),0)&gt;0,IFERROR(SEARCH(DruidLand4,$T231,1),0)&gt;0),1,0)*IF($C231=1,1,0)*IF($C231=DJ$2,1,0)=0,0,1+COUNTIF(DJ$3:DJ230,"&gt;0"))</f>
        <v>0</v>
      </c>
      <c r="DK231">
        <f>IF(IF(OR(IFERROR(SEARCH("Druid",$T231,1),0)&gt;0,IFERROR(SEARCH(DruidLand1,$T231,1),0)&gt;0,IFERROR(SEARCH(DruidLand2,$T231,1),0)&gt;0,IFERROR(SEARCH(DruidLand3,$T231,1),0)&gt;0,IFERROR(SEARCH(DruidLand4,$T231,1),0)&gt;0),1,0)*IF($C231=1,1,0)*IF($C231=DK$2,1,0)=0,0,1+COUNTIF(DK$3:DK230,"&gt;0"))</f>
        <v>0</v>
      </c>
      <c r="DL231">
        <f>IF(IF(OR(IFERROR(SEARCH("Druid",$T231,1),0)&gt;0,IFERROR(SEARCH(DruidLand1,$T231,1),0)&gt;0,IFERROR(SEARCH(DruidLand2,$T231,1),0)&gt;0,IFERROR(SEARCH(DruidLand3,$T231,1),0)&gt;0,IFERROR(SEARCH(DruidLand4,$T231,1),0)&gt;0),1,0)*IF($C231=1,1,0)*IF($C231=DL$2,1,0)=0,0,1+COUNTIF(DL$3:DL230,"&gt;0"))</f>
        <v>0</v>
      </c>
      <c r="DM231">
        <f>IF(IF(OR(IFERROR(SEARCH("Druid",$T231,1),0)&gt;0,IFERROR(SEARCH(DruidLand1,$T231,1),0)&gt;0,IFERROR(SEARCH(DruidLand2,$T231,1),0)&gt;0,IFERROR(SEARCH(DruidLand3,$T231,1),0)&gt;0,IFERROR(SEARCH(DruidLand4,$T231,1),0)&gt;0),1,0)*IF($C231=1,1,0)*IF($C231=DM$2,1,0)=0,0,1+COUNTIF(DM$3:DM230,"&gt;0"))</f>
        <v>0</v>
      </c>
      <c r="DN231">
        <f>IF(IF(OR(IFERROR(SEARCH("Druid",$T231,1),0)&gt;0,IFERROR(SEARCH(DruidLand1,$T231,1),0)&gt;0,IFERROR(SEARCH(DruidLand2,$T231,1),0)&gt;0,IFERROR(SEARCH(DruidLand3,$T231,1),0)&gt;0,IFERROR(SEARCH(DruidLand4,$T231,1),0)&gt;0),1,0)*IF($C231=1,1,0)*IF($C231=DN$2,1,0)=0,0,1+COUNTIF(DN$3:DN230,"&gt;0"))</f>
        <v>0</v>
      </c>
      <c r="DO231">
        <f>IF(IF(OR(IFERROR(SEARCH("Druid",$T231,1),0)&gt;0,IFERROR(SEARCH(DruidLand1,$T231,1),0)&gt;0,IFERROR(SEARCH(DruidLand2,$T231,1),0)&gt;0,IFERROR(SEARCH(DruidLand3,$T231,1),0)&gt;0,IFERROR(SEARCH(DruidLand4,$T231,1),0)&gt;0),1,0)*IF($C231=1,1,0)*IF($C231=DO$2,1,0)=0,0,1+COUNTIF(DO$3:DO230,"&gt;0"))</f>
        <v>0</v>
      </c>
      <c r="DP231">
        <f>IF(IF(OR(IFERROR(SEARCH("Druid",$T231,1),0)&gt;0,IFERROR(SEARCH(DruidLand1,$T231,1),0)&gt;0,IFERROR(SEARCH(DruidLand2,$T231,1),0)&gt;0,IFERROR(SEARCH(DruidLand3,$T231,1),0)&gt;0,IFERROR(SEARCH(DruidLand4,$T231,1),0)&gt;0),1,0)*IF($C231=1,1,0)*IF($C231=DP$2,1,0)=0,0,1+COUNTIF(DP$3:DP230,"&gt;0"))</f>
        <v>0</v>
      </c>
      <c r="DQ231">
        <f>IF(IF(OR(IFERROR(SEARCH("Druid",$T231,1),0)&gt;0,IFERROR(SEARCH(DruidLand1,$T231,1),0)&gt;0,IFERROR(SEARCH(DruidLand2,$T231,1),0)&gt;0,IFERROR(SEARCH(DruidLand3,$T231,1),0)&gt;0,IFERROR(SEARCH(DruidLand4,$T231,1),0)&gt;0),1,0)*IF($C231=1,1,0)*IF($C231=DQ$2,1,0)=0,0,1+COUNTIF(DQ$3:DQ230,"&gt;0"))</f>
        <v>0</v>
      </c>
      <c r="DR231">
        <f>IF(IF(OR(IFERROR(SEARCH("Druid",$T231,1),0)&gt;0,IFERROR(SEARCH(DruidLand1,$T231,1),0)&gt;0,IFERROR(SEARCH(DruidLand2,$T231,1),0)&gt;0,IFERROR(SEARCH(DruidLand3,$T231,1),0)&gt;0,IFERROR(SEARCH(DruidLand4,$T231,1),0)&gt;0),1,0)*IF($C231=1,1,0)*IF($C231=DR$2,1,0)=0,0,1+COUNTIF(DR$3:DR230,"&gt;0"))</f>
        <v>0</v>
      </c>
      <c r="DS231">
        <f>IF(IF(OR(IFERROR(SEARCH("Paladin",$T231,1),0)&gt;0,IFERROR(SEARCH(PaladinOath,$T231,1),0)&gt;0),1,0)*IF($C231=DS$2,1,0)=1,1+COUNTIF(DS$3:DS230,"&gt;0"),0)</f>
        <v>0</v>
      </c>
      <c r="DT231">
        <f>IF(IF(OR(IFERROR(SEARCH("Paladin",$T231,1),0)&gt;0,IFERROR(SEARCH(PaladinOath,$T231,1),0)&gt;0),1,0)*IF($C231=DT$2,1,0)=1,1+COUNTIF(DT$3:DT230,"&gt;0"),0)</f>
        <v>0</v>
      </c>
      <c r="DU231">
        <f>IF(IF(OR(IFERROR(SEARCH("Paladin",$T231,1),0)&gt;0,IFERROR(SEARCH(PaladinOath,$T231,1),0)&gt;0),1,0)*IF($C231=DU$2,1,0)=1,1+COUNTIF(DU$3:DU230,"&gt;0"),0)</f>
        <v>0</v>
      </c>
      <c r="DV231">
        <f>IF(IF(OR(IFERROR(SEARCH("Paladin",$T231,1),0)&gt;0,IFERROR(SEARCH(PaladinOath,$T231,1),0)&gt;0),1,0)*IF($C231=DV$2,1,0)=1,1+COUNTIF(DV$3:DV230,"&gt;0"),0)</f>
        <v>0</v>
      </c>
      <c r="DW231">
        <f>IF(IF(OR(IFERROR(SEARCH("Paladin",$T231,1),0)&gt;0,IFERROR(SEARCH(PaladinOath,$T231,1),0)&gt;0),1,0)*IF($C231=DW$2,1,0)=1,1+COUNTIF(DW$3:DW230,"&gt;0"),0)</f>
        <v>0</v>
      </c>
      <c r="DY231">
        <f t="shared" si="166"/>
        <v>1</v>
      </c>
      <c r="DZ231">
        <f>IF(DY231=0,0,1+MAX(DZ$3:$DZ230))</f>
        <v>229</v>
      </c>
      <c r="EB231">
        <f t="shared" si="180"/>
        <v>1</v>
      </c>
      <c r="EC231">
        <f>IF(EB231=0,0,1+COUNTIF(EC$3:EC230,"&gt;0"))</f>
        <v>8</v>
      </c>
      <c r="ED231" t="str">
        <f t="shared" si="209"/>
        <v/>
      </c>
      <c r="EE231" t="str">
        <f t="shared" si="181"/>
        <v/>
      </c>
      <c r="EG231">
        <f t="shared" si="182"/>
        <v>0</v>
      </c>
      <c r="EH231">
        <f>IF(EG231=0,0,1+COUNTIF(EH$3:EH230,"&gt;0"))</f>
        <v>0</v>
      </c>
      <c r="EI231" t="str">
        <f t="shared" si="210"/>
        <v/>
      </c>
      <c r="EJ231" t="str">
        <f t="shared" si="183"/>
        <v/>
      </c>
      <c r="EL231">
        <f t="shared" si="184"/>
        <v>0</v>
      </c>
      <c r="EM231">
        <f>IF(EL231=0,0,1+COUNTIF(EM$3:EM230,"&gt;0"))</f>
        <v>0</v>
      </c>
      <c r="EN231" t="str">
        <f t="shared" si="211"/>
        <v/>
      </c>
      <c r="EO231" t="str">
        <f t="shared" si="185"/>
        <v/>
      </c>
      <c r="EQ231">
        <f t="shared" si="186"/>
        <v>0</v>
      </c>
      <c r="ER231">
        <f>IF(EQ231=0,0,1+COUNTIF(ER$3:ER230,"&gt;0"))</f>
        <v>0</v>
      </c>
      <c r="ES231" t="str">
        <f t="shared" si="212"/>
        <v/>
      </c>
      <c r="ET231" t="str">
        <f t="shared" si="187"/>
        <v/>
      </c>
      <c r="EV231">
        <f t="shared" si="188"/>
        <v>1</v>
      </c>
      <c r="EW231">
        <f>IF(EV231=0,0,1+COUNTIF(EW$3:EW230,"&gt;0"))</f>
        <v>2</v>
      </c>
      <c r="EX231" t="str">
        <f t="shared" si="213"/>
        <v/>
      </c>
      <c r="EY231" t="str">
        <f t="shared" si="189"/>
        <v/>
      </c>
      <c r="FA231">
        <f t="shared" si="190"/>
        <v>1</v>
      </c>
      <c r="FB231">
        <f>IF(FA231=0,0,1+COUNTIF(FB$3:FB230,"&gt;0"))</f>
        <v>11</v>
      </c>
      <c r="FC231" t="str">
        <f t="shared" si="214"/>
        <v/>
      </c>
      <c r="FD231" t="str">
        <f t="shared" si="191"/>
        <v/>
      </c>
      <c r="FF231">
        <f t="shared" si="192"/>
        <v>0</v>
      </c>
      <c r="FG231">
        <f>IF(FF231=0,0,1+COUNTIF(FG$3:FG230,"&gt;0"))</f>
        <v>0</v>
      </c>
      <c r="FH231" t="str">
        <f t="shared" si="215"/>
        <v/>
      </c>
      <c r="FI231" t="str">
        <f t="shared" si="193"/>
        <v/>
      </c>
      <c r="FK231">
        <f t="shared" si="194"/>
        <v>1</v>
      </c>
      <c r="FL231">
        <f>IF(FK231=0,0,1+COUNTIF(FL$3:FL230,"&gt;0"))</f>
        <v>11</v>
      </c>
      <c r="FM231" t="str">
        <f t="shared" si="216"/>
        <v/>
      </c>
      <c r="FN231" t="str">
        <f t="shared" si="195"/>
        <v/>
      </c>
      <c r="FP231">
        <f t="shared" si="196"/>
        <v>1</v>
      </c>
      <c r="FQ231">
        <f>IF(FP231=0,0,1+COUNTIF(FQ$3:FQ230,"&gt;0"))</f>
        <v>8</v>
      </c>
      <c r="FR231" t="str">
        <f t="shared" si="217"/>
        <v/>
      </c>
      <c r="FS231" t="str">
        <f t="shared" si="197"/>
        <v/>
      </c>
    </row>
    <row r="232" spans="1:175" x14ac:dyDescent="0.25">
      <c r="A232" s="347">
        <f t="shared" si="219"/>
        <v>230</v>
      </c>
      <c r="B232" s="348" t="s">
        <v>2614</v>
      </c>
      <c r="C232" s="348">
        <v>7</v>
      </c>
      <c r="D232" s="347">
        <v>7</v>
      </c>
      <c r="E232" s="627" t="s">
        <v>6952</v>
      </c>
      <c r="F232" s="346"/>
      <c r="G232" s="347" t="str">
        <f>""</f>
        <v/>
      </c>
      <c r="H232" s="347" t="s">
        <v>5319</v>
      </c>
      <c r="I232" s="347" t="s">
        <v>5432</v>
      </c>
      <c r="J232" s="347" t="str">
        <f t="shared" si="167"/>
        <v/>
      </c>
      <c r="K232" s="347" t="s">
        <v>2364</v>
      </c>
      <c r="L232" s="611" t="str">
        <f t="shared" si="168"/>
        <v>V, S</v>
      </c>
      <c r="M232" s="347" t="s">
        <v>2373</v>
      </c>
      <c r="N232" s="347" t="s">
        <v>2387</v>
      </c>
      <c r="O232" s="347" t="s">
        <v>3034</v>
      </c>
      <c r="P232" s="346" t="str">
        <f>""</f>
        <v/>
      </c>
      <c r="Q232" s="347" t="s">
        <v>5274</v>
      </c>
      <c r="S232" s="346" t="s">
        <v>5770</v>
      </c>
      <c r="T232" s="346" t="str">
        <f t="shared" si="169"/>
        <v xml:space="preserve">Bard, Druid, Arcane Trickster, Wizard, </v>
      </c>
      <c r="U232" s="347" t="str">
        <f>$B232</f>
        <v>Mirage Arcane</v>
      </c>
      <c r="AA232" s="347" t="str">
        <f>$B232</f>
        <v>Mirage Arcane</v>
      </c>
      <c r="AC232" s="539" t="str">
        <f>B232</f>
        <v>Mirage Arcane</v>
      </c>
      <c r="AD232" s="347" t="str">
        <f t="shared" si="222"/>
        <v>Mirage Arcane</v>
      </c>
      <c r="AE232" t="str">
        <f>IF(IFERROR(MATCH($B232,temp!A$4:A$13,0),0)&gt;0,T08_Spells!AE$2,"")</f>
        <v/>
      </c>
      <c r="AF232" t="str">
        <f>IF(IFERROR(MATCH($B232,temp!B$4:B$13,0),0)&gt;0,T08_Spells!AF$2,"")</f>
        <v/>
      </c>
      <c r="AG232" t="str">
        <f>IF(IFERROR(MATCH($B232,temp!C$4:C$13,0),0)&gt;0,T08_Spells!AG$2,"")</f>
        <v/>
      </c>
      <c r="AH232" t="str">
        <f>IF(IFERROR(MATCH($B232,temp!D$4:D$13,0),0)&gt;0,T08_Spells!AH$2,"")</f>
        <v/>
      </c>
      <c r="AI232" t="str">
        <f>IF(IFERROR(MATCH($B232,temp!E$4:E$13,0),0)&gt;0,T08_Spells!AI$2,"")</f>
        <v/>
      </c>
      <c r="AJ232" t="str">
        <f>IF(IFERROR(MATCH($B232,temp!F$4:F$13,0),0)&gt;0,T08_Spells!AJ$2,"")</f>
        <v/>
      </c>
      <c r="AK232" t="str">
        <f>IF(IFERROR(MATCH($B232,temp!G$4:G$13,0),0)&gt;0,T08_Spells!AK$2,"")</f>
        <v/>
      </c>
      <c r="AL232" t="str">
        <f>IF(IFERROR(MATCH($B232,temp!H$4:H$13,0),0)&gt;0,T08_Spells!AL$2,"")</f>
        <v/>
      </c>
      <c r="AM232" t="str">
        <f>IF(IFERROR(MATCH($B232,temp!I$4:I$13,0),0)&gt;0,T08_Spells!AM$2,"")</f>
        <v/>
      </c>
      <c r="AN232" t="str">
        <f>IF(IFERROR(MATCH($B232,temp!J$4:J$13,0),0)&gt;0,T08_Spells!AN$2,"")</f>
        <v/>
      </c>
      <c r="AO232" t="str">
        <f>IF(IFERROR(MATCH($B232,temp!K$4:K$13,0),0)&gt;0,T08_Spells!AO$2,"")</f>
        <v/>
      </c>
      <c r="AP232" t="str">
        <f>IF(IFERROR(MATCH($B232,temp!L$4:L$13,0),0)&gt;0,T08_Spells!AP$2,"")</f>
        <v/>
      </c>
      <c r="AQ232" t="str">
        <f>IF(IFERROR(MATCH($B232,temp!M$4:M$13,0),0)&gt;0,T08_Spells!AQ$2,"")</f>
        <v/>
      </c>
      <c r="AR232" t="str">
        <f>IF(IFERROR(MATCH($B232,temp!N$4:N$13,0),0)&gt;0,T08_Spells!AR$2,"")</f>
        <v/>
      </c>
      <c r="AS232" t="str">
        <f>IF(IFERROR(MATCH($B232,temp!O$4:O$13,0),0)&gt;0,T08_Spells!AS$2,"")</f>
        <v/>
      </c>
      <c r="AT232" t="str">
        <f>IF(IFERROR(MATCH($B232,temp!P$4:P$13,0),0)&gt;0,T08_Spells!AT$2,"")</f>
        <v/>
      </c>
      <c r="AU232" t="str">
        <f>IF(IFERROR(MATCH($B232,temp!Q$4:Q$13,0),0)&gt;0,T08_Spells!AU$2,"")</f>
        <v/>
      </c>
      <c r="AV232" t="str">
        <f>IF(IFERROR(MATCH($B232,temp!R$4:R$13,0),0)&gt;0,T08_Spells!AV$2,"")</f>
        <v/>
      </c>
      <c r="AW232" t="str">
        <f>IF(IFERROR(MATCH($B232,temp!S$4:S$13,0),0)&gt;0,T08_Spells!AW$2,"")</f>
        <v/>
      </c>
      <c r="AX232" t="str">
        <f>IF(IFERROR(MATCH($B232,temp!T$4:T$13,0),0)&gt;0,T08_Spells!AX$2,"")</f>
        <v/>
      </c>
      <c r="AY232" t="str">
        <f>IF(IFERROR(MATCH($B232,temp!U$4:U$13,0),0)&gt;0,T08_Spells!AY$2,"")</f>
        <v/>
      </c>
      <c r="AZ232" t="str">
        <f>IF(IFERROR(MATCH($B232,temp!V$4:V$13,0),0)&gt;0,T08_Spells!AZ$2,"")</f>
        <v/>
      </c>
      <c r="BA232" t="str">
        <f>IF(IFERROR(MATCH($B232,temp!W$4:W$13,0),0)&gt;0,T08_Spells!BA$2,"")</f>
        <v/>
      </c>
      <c r="BC232">
        <f>IF(IFERROR(SEARCH("Ranger",$T232,1),0)&gt;0,1,0)*IF(RangerMaxSpellLevel&gt;=$C232,1,0)*IF(IFERROR(MATCH(B232,Character_Creation!$X$79:$X$382,0),0)&gt;0,0,1)</f>
        <v>0</v>
      </c>
      <c r="BD232">
        <f>IF(BC232=0,0,1+COUNTIF(BD$3:BD231,"&gt;0"))</f>
        <v>0</v>
      </c>
      <c r="BE232" t="str">
        <f t="shared" si="199"/>
        <v/>
      </c>
      <c r="BF232" t="str">
        <f t="shared" si="170"/>
        <v/>
      </c>
      <c r="BH232">
        <f>IF(IFERROR(SEARCH("Sorcerer",$T232,1),0)&gt;0,1,0)*IF(SorcererMaxSpellLevel&gt;=$C232,1,0)*IF(IFERROR(MATCH(B232,Character_Creation!$J$380:$J$394,0),0)&gt;0,0,1)</f>
        <v>0</v>
      </c>
      <c r="BI232">
        <f>IF(BH232=0,0,1+COUNTIF(BI$3:BI231,"&gt;0"))</f>
        <v>0</v>
      </c>
      <c r="BJ232" t="str">
        <f t="shared" si="200"/>
        <v/>
      </c>
      <c r="BK232" t="str">
        <f t="shared" si="171"/>
        <v/>
      </c>
      <c r="BM232">
        <f>IF(OR(IFERROR(SEARCH("Warlock",$T232,1),0)&gt;0,IFERROR(SEARCH(WarlockPatron,$T232,1),0)&gt;0),1,0)*IF(WarlockMaxSpellLevel&gt;=$C232,1,0)*IF(IFERROR(MATCH(B232,Character_Creation!$J$361:$J$375,0),0)&gt;0,0,1)</f>
        <v>0</v>
      </c>
      <c r="BN232">
        <f>IF(BM232=0,0,1+COUNTIF(BN$3:BN231,"&gt;0"))</f>
        <v>0</v>
      </c>
      <c r="BO232" t="str">
        <f t="shared" si="201"/>
        <v/>
      </c>
      <c r="BP232" t="str">
        <f t="shared" si="172"/>
        <v/>
      </c>
      <c r="BR232">
        <f>IF(IFERROR(SEARCH("Eldritch Knight",$T232,1),0)&gt;0,1,0)*IF(EldritchKnightMaxSpellLevel&gt;=$C232,1,0)*IF(IFERROR(MATCH($B232,Character_Creation!$J$350:$J$356,0),0)&gt;0,0,1)*IF(Character_Creation!$M$338&gt;0,1,0)</f>
        <v>0</v>
      </c>
      <c r="BS232">
        <f>IF(BR232=0,0,1+COUNTIF(BS$3:BS231,"&gt;0"))</f>
        <v>0</v>
      </c>
      <c r="BT232" t="str">
        <f t="shared" si="202"/>
        <v/>
      </c>
      <c r="BU232" t="str">
        <f t="shared" si="173"/>
        <v/>
      </c>
      <c r="BW232">
        <f>IF(IFERROR(SEARCH("Arcane Trickster",$T232,1),0)&gt;0,1,0)*IF(ArcaneTricksterMaxSpellLevel&gt;=$C232,1,0)*IF(IFERROR(MATCH($B232,Character_Creation!$J$350:$J$356,0),0)&gt;0,0,1)*IF(Character_Creation!$T$338&gt;0,1,0)</f>
        <v>0</v>
      </c>
      <c r="BX232">
        <f>IF(BW232=0,0,1+COUNTIF(BX$3:BX231,"&gt;0"))</f>
        <v>0</v>
      </c>
      <c r="BY232" t="str">
        <f t="shared" si="203"/>
        <v/>
      </c>
      <c r="BZ232" t="str">
        <f t="shared" si="174"/>
        <v/>
      </c>
      <c r="CB232">
        <f>IF(IFERROR(SEARCH("Wizard",$T232,1),0)&gt;0,1,0)*IF(C232&lt;=ArcaneTricksterMaxSpellLevel,1,0)*IF(IFERROR(MATCH($B232,Character_Creation!$J$350:$J$356,0),0)&gt;0,0,1)*IF(Character_Creation!$T$350&gt;0,1,0)</f>
        <v>0</v>
      </c>
      <c r="CC232">
        <f>IF(CB232=0,0,1+COUNTIF(CC$3:CC231,"&gt;0"))</f>
        <v>0</v>
      </c>
      <c r="CD232" t="str">
        <f t="shared" si="204"/>
        <v/>
      </c>
      <c r="CE232" t="str">
        <f t="shared" si="175"/>
        <v/>
      </c>
      <c r="CG232">
        <f>IF(IFERROR(SEARCH("Wizard",$T232,1),0)&gt;0,1,0)*IF($C232&lt;=EldritchKnightMaxSpellLevel,1,0)*IF(IFERROR(MATCH($B232,Character_Creation!$J$350:$J$356,0),0)&gt;0,0,1)*IF(Character_Creation!$M$350&gt;0,1,0)</f>
        <v>0</v>
      </c>
      <c r="CH232">
        <f>IF(CG232=0,0,1+COUNTIF(CH$3:CH231,"&gt;0"))</f>
        <v>0</v>
      </c>
      <c r="CI232" t="str">
        <f t="shared" si="205"/>
        <v/>
      </c>
      <c r="CJ232" t="str">
        <f t="shared" si="176"/>
        <v/>
      </c>
      <c r="CL232">
        <f>IF(IFERROR(SEARCH("Bard",$T232,1),0)&gt;0,1,0)*IF(BardMaxSpellLevel&gt;=$C232,1,0)*IF(IFERROR(MATCH(B232,Character_Creation!$C$341:$F$362,0),0)&gt;0,0,1)*IF(IFERROR(MATCH($B232,Character_Creation!$C$341:$C$362,0),0)&gt;0,0,1)</f>
        <v>0</v>
      </c>
      <c r="CM232">
        <f>IF(CL232=0,0,1+COUNTIF(CM$3:CM231,"&gt;0"))</f>
        <v>0</v>
      </c>
      <c r="CN232" t="str">
        <f t="shared" si="206"/>
        <v/>
      </c>
      <c r="CO232" t="str">
        <f t="shared" si="177"/>
        <v/>
      </c>
      <c r="CQ232">
        <f>IF(IFERROR(SEARCH("Wizard",$T232,1),0)&gt;0,1,0)*IF(WizardMaxSpellLevel&gt;=$C232,1,0)*IF(IFERROR(MATCH(B232,Character_Creation!$X$341:$X$400,0),0)&gt;0,0,1)*IF(SelectedWizardSpellLevel=$C232,1,0)</f>
        <v>0</v>
      </c>
      <c r="CR232">
        <f>IF(CQ232=0,0,1+COUNTIF(CR$3:CR231,"&gt;0"))</f>
        <v>0</v>
      </c>
      <c r="CS232" t="str">
        <f t="shared" si="207"/>
        <v/>
      </c>
      <c r="CT232" t="str">
        <f t="shared" si="178"/>
        <v/>
      </c>
      <c r="CV232">
        <f>IF(IFERROR(MATCH($B232,Character_Creation!$C$341:$C$362,0),0)&gt;0,0,1)*IF(OR(C232="Cantrip",C232&lt;=BardMaxSpellLevel),1,0)*IF(IFERROR(MATCH($B232,Character_Creation!$C$367:$C$374,0),0)&gt;0,0,1)</f>
        <v>0</v>
      </c>
      <c r="CW232">
        <f>IF(CV232=0,0,1+COUNTIF(CW$3:CW231,"&gt;0"))</f>
        <v>0</v>
      </c>
      <c r="CX232" t="str">
        <f t="shared" si="208"/>
        <v/>
      </c>
      <c r="CY232" t="str">
        <f t="shared" si="179"/>
        <v/>
      </c>
      <c r="DA232">
        <f>IF(IF(OR(IFERROR(SEARCH("Cleric",$T232,1),0)&gt;0,IFERROR(SEARCH(DivineDomain&amp;",",$T232,1),0)&gt;0),1,0)*IF($C232=DA$2,1,0)=1,1+COUNTIF(DA$3:DA231,"&gt;0"),0)</f>
        <v>0</v>
      </c>
      <c r="DB232">
        <f>IF(IF(OR(IFERROR(SEARCH("Cleric",$T232,1),0)&gt;0,IFERROR(SEARCH(DivineDomain&amp;",",$T232,1),0)&gt;0),1,0)*IF($C232=DB$2,1,0)=1,1+COUNTIF(DB$3:DB231,"&gt;0"),0)</f>
        <v>0</v>
      </c>
      <c r="DC232">
        <f>IF(IF(OR(IFERROR(SEARCH("Cleric",$T232,1),0)&gt;0,IFERROR(SEARCH(DivineDomain&amp;",",$T232,1),0)&gt;0),1,0)*IF($C232=DC$2,1,0)=1,1+COUNTIF(DC$3:DC231,"&gt;0"),0)</f>
        <v>0</v>
      </c>
      <c r="DD232">
        <f>IF(IF(OR(IFERROR(SEARCH("Cleric",$T232,1),0)&gt;0,IFERROR(SEARCH(DivineDomain&amp;",",$T232,1),0)&gt;0),1,0)*IF($C232=DD$2,1,0)=1,1+COUNTIF(DD$3:DD231,"&gt;0"),0)</f>
        <v>0</v>
      </c>
      <c r="DE232">
        <f>IF(IF(OR(IFERROR(SEARCH("Cleric",$T232,1),0)&gt;0,IFERROR(SEARCH(DivineDomain&amp;",",$T232,1),0)&gt;0),1,0)*IF($C232=DE$2,1,0)=1,1+COUNTIF(DE$3:DE231,"&gt;0"),0)</f>
        <v>0</v>
      </c>
      <c r="DF232">
        <f>IF(IF(OR(IFERROR(SEARCH("Cleric",$T232,1),0)&gt;0,IFERROR(SEARCH(DivineDomain&amp;",",$T232,1),0)&gt;0),1,0)*IF($C232=DF$2,1,0)=1,1+COUNTIF(DF$3:DF231,"&gt;0"),0)</f>
        <v>0</v>
      </c>
      <c r="DG232">
        <f>IF(IF(OR(IFERROR(SEARCH("Cleric",$T232,1),0)&gt;0,IFERROR(SEARCH(DivineDomain&amp;",",$T232,1),0)&gt;0),1,0)*IF($C232=DG$2,1,0)=1,1+COUNTIF(DG$3:DG231,"&gt;0"),0)</f>
        <v>0</v>
      </c>
      <c r="DH232">
        <f>IF(IF(OR(IFERROR(SEARCH("Cleric",$T232,1),0)&gt;0,IFERROR(SEARCH(DivineDomain&amp;",",$T232,1),0)&gt;0),1,0)*IF($C232=DH$2,1,0)=1,1+COUNTIF(DH$3:DH231,"&gt;0"),0)</f>
        <v>0</v>
      </c>
      <c r="DI232">
        <f>IF(IF(OR(IFERROR(SEARCH("Cleric",$T232,1),0)&gt;0,IFERROR(SEARCH(DivineDomain&amp;",",$T232,1),0)&gt;0),1,0)*IF($C232=DI$2,1,0)=1,1+COUNTIF(DI$3:DI231,"&gt;0"),0)</f>
        <v>0</v>
      </c>
      <c r="DJ232">
        <f>IF(IF(OR(IFERROR(SEARCH("Druid",$T232,1),0)&gt;0,IFERROR(SEARCH(DruidLand1,$T232,1),0)&gt;0,IFERROR(SEARCH(DruidLand2,$T232,1),0)&gt;0,IFERROR(SEARCH(DruidLand3,$T232,1),0)&gt;0,IFERROR(SEARCH(DruidLand4,$T232,1),0)&gt;0),1,0)*IF($C232=1,1,0)*IF($C232=DJ$2,1,0)=0,0,1+COUNTIF(DJ$3:DJ231,"&gt;0"))</f>
        <v>0</v>
      </c>
      <c r="DK232">
        <f>IF(IF(OR(IFERROR(SEARCH("Druid",$T232,1),0)&gt;0,IFERROR(SEARCH(DruidLand1,$T232,1),0)&gt;0,IFERROR(SEARCH(DruidLand2,$T232,1),0)&gt;0,IFERROR(SEARCH(DruidLand3,$T232,1),0)&gt;0,IFERROR(SEARCH(DruidLand4,$T232,1),0)&gt;0),1,0)*IF($C232=DK$2,1,0)=0,0,1+COUNTIF(DK$3:DK231,"&gt;0"))</f>
        <v>0</v>
      </c>
      <c r="DL232">
        <f>IF(IF(OR(IFERROR(SEARCH("Druid",$T232,1),0)&gt;0,IFERROR(SEARCH(DruidLand1,$T232,1),0)&gt;0,IFERROR(SEARCH(DruidLand2,$T232,1),0)&gt;0,IFERROR(SEARCH(DruidLand3,$T232,1),0)&gt;0,IFERROR(SEARCH(DruidLand4,$T232,1),0)&gt;0),1,0)*IF($C232=DL$2,1,0)=0,0,1+COUNTIF(DL$3:DL231,"&gt;0"))</f>
        <v>0</v>
      </c>
      <c r="DM232">
        <f>IF(IF(OR(IFERROR(SEARCH("Druid",$T232,1),0)&gt;0,IFERROR(SEARCH(DruidLand1,$T232,1),0)&gt;0,IFERROR(SEARCH(DruidLand2,$T232,1),0)&gt;0,IFERROR(SEARCH(DruidLand3,$T232,1),0)&gt;0,IFERROR(SEARCH(DruidLand4,$T232,1),0)&gt;0),1,0)*IF($C232=DM$2,1,0)=0,0,1+COUNTIF(DM$3:DM231,"&gt;0"))</f>
        <v>0</v>
      </c>
      <c r="DN232">
        <f>IF(IF(OR(IFERROR(SEARCH("Druid",$T232,1),0)&gt;0,IFERROR(SEARCH(DruidLand1,$T232,1),0)&gt;0,IFERROR(SEARCH(DruidLand2,$T232,1),0)&gt;0,IFERROR(SEARCH(DruidLand3,$T232,1),0)&gt;0,IFERROR(SEARCH(DruidLand4,$T232,1),0)&gt;0),1,0)*IF($C232=DN$2,1,0)=0,0,1+COUNTIF(DN$3:DN231,"&gt;0"))</f>
        <v>0</v>
      </c>
      <c r="DO232">
        <f>IF(IF(OR(IFERROR(SEARCH("Druid",$T232,1),0)&gt;0,IFERROR(SEARCH(DruidLand1,$T232,1),0)&gt;0,IFERROR(SEARCH(DruidLand2,$T232,1),0)&gt;0,IFERROR(SEARCH(DruidLand3,$T232,1),0)&gt;0,IFERROR(SEARCH(DruidLand4,$T232,1),0)&gt;0),1,0)*IF($C232=DO$2,1,0)=0,0,1+COUNTIF(DO$3:DO231,"&gt;0"))</f>
        <v>0</v>
      </c>
      <c r="DP232">
        <f>IF(IF(OR(IFERROR(SEARCH("Druid",$T232,1),0)&gt;0,IFERROR(SEARCH(DruidLand1,$T232,1),0)&gt;0,IFERROR(SEARCH(DruidLand2,$T232,1),0)&gt;0,IFERROR(SEARCH(DruidLand3,$T232,1),0)&gt;0,IFERROR(SEARCH(DruidLand4,$T232,1),0)&gt;0),1,0)*IF($C232=DP$2,1,0)=0,0,1+COUNTIF(DP$3:DP231,"&gt;0"))</f>
        <v>2</v>
      </c>
      <c r="DQ232">
        <f>IF(IF(OR(IFERROR(SEARCH("Druid",$T232,1),0)&gt;0,IFERROR(SEARCH(DruidLand1,$T232,1),0)&gt;0,IFERROR(SEARCH(DruidLand2,$T232,1),0)&gt;0,IFERROR(SEARCH(DruidLand3,$T232,1),0)&gt;0,IFERROR(SEARCH(DruidLand4,$T232,1),0)&gt;0),1,0)*IF($C232=DQ$2,1,0)=0,0,1+COUNTIF(DQ$3:DQ231,"&gt;0"))</f>
        <v>0</v>
      </c>
      <c r="DR232">
        <f>IF(IF(OR(IFERROR(SEARCH("Druid",$T232,1),0)&gt;0,IFERROR(SEARCH(DruidLand1,$T232,1),0)&gt;0,IFERROR(SEARCH(DruidLand2,$T232,1),0)&gt;0,IFERROR(SEARCH(DruidLand3,$T232,1),0)&gt;0,IFERROR(SEARCH(DruidLand4,$T232,1),0)&gt;0),1,0)*IF($C232=DR$2,1,0)=0,0,1+COUNTIF(DR$3:DR231,"&gt;0"))</f>
        <v>0</v>
      </c>
      <c r="DS232">
        <f>IF(IF(OR(IFERROR(SEARCH("Paladin",$T232,1),0)&gt;0,IFERROR(SEARCH(PaladinOath,$T232,1),0)&gt;0),1,0)*IF($C232=DS$2,1,0)=1,1+COUNTIF(DS$3:DS231,"&gt;0"),0)</f>
        <v>0</v>
      </c>
      <c r="DT232">
        <f>IF(IF(OR(IFERROR(SEARCH("Paladin",$T232,1),0)&gt;0,IFERROR(SEARCH(PaladinOath,$T232,1),0)&gt;0),1,0)*IF($C232=DT$2,1,0)=1,1+COUNTIF(DT$3:DT231,"&gt;0"),0)</f>
        <v>0</v>
      </c>
      <c r="DU232">
        <f>IF(IF(OR(IFERROR(SEARCH("Paladin",$T232,1),0)&gt;0,IFERROR(SEARCH(PaladinOath,$T232,1),0)&gt;0),1,0)*IF($C232=DU$2,1,0)=1,1+COUNTIF(DU$3:DU231,"&gt;0"),0)</f>
        <v>0</v>
      </c>
      <c r="DV232">
        <f>IF(IF(OR(IFERROR(SEARCH("Paladin",$T232,1),0)&gt;0,IFERROR(SEARCH(PaladinOath,$T232,1),0)&gt;0),1,0)*IF($C232=DV$2,1,0)=1,1+COUNTIF(DV$3:DV231,"&gt;0"),0)</f>
        <v>0</v>
      </c>
      <c r="DW232">
        <f>IF(IF(OR(IFERROR(SEARCH("Paladin",$T232,1),0)&gt;0,IFERROR(SEARCH(PaladinOath,$T232,1),0)&gt;0),1,0)*IF($C232=DW$2,1,0)=1,1+COUNTIF(DW$3:DW231,"&gt;0"),0)</f>
        <v>0</v>
      </c>
      <c r="DY232">
        <f t="shared" si="166"/>
        <v>1</v>
      </c>
      <c r="DZ232">
        <f>IF(DY232=0,0,1+MAX(DZ$3:$DZ231))</f>
        <v>230</v>
      </c>
      <c r="EB232">
        <f t="shared" si="180"/>
        <v>0</v>
      </c>
      <c r="EC232">
        <f>IF(EB232=0,0,1+COUNTIF(EC$3:EC231,"&gt;0"))</f>
        <v>0</v>
      </c>
      <c r="ED232" t="str">
        <f t="shared" si="209"/>
        <v/>
      </c>
      <c r="EE232" t="str">
        <f t="shared" si="181"/>
        <v/>
      </c>
      <c r="EG232">
        <f t="shared" si="182"/>
        <v>0</v>
      </c>
      <c r="EH232">
        <f>IF(EG232=0,0,1+COUNTIF(EH$3:EH231,"&gt;0"))</f>
        <v>0</v>
      </c>
      <c r="EI232" t="str">
        <f t="shared" si="210"/>
        <v/>
      </c>
      <c r="EJ232" t="str">
        <f t="shared" si="183"/>
        <v/>
      </c>
      <c r="EL232">
        <f t="shared" si="184"/>
        <v>0</v>
      </c>
      <c r="EM232">
        <f>IF(EL232=0,0,1+COUNTIF(EM$3:EM231,"&gt;0"))</f>
        <v>0</v>
      </c>
      <c r="EN232" t="str">
        <f t="shared" si="211"/>
        <v/>
      </c>
      <c r="EO232" t="str">
        <f t="shared" si="185"/>
        <v/>
      </c>
      <c r="EQ232">
        <f t="shared" si="186"/>
        <v>0</v>
      </c>
      <c r="ER232">
        <f>IF(EQ232=0,0,1+COUNTIF(ER$3:ER231,"&gt;0"))</f>
        <v>0</v>
      </c>
      <c r="ES232" t="str">
        <f t="shared" si="212"/>
        <v/>
      </c>
      <c r="ET232" t="str">
        <f t="shared" si="187"/>
        <v/>
      </c>
      <c r="EV232">
        <f t="shared" si="188"/>
        <v>0</v>
      </c>
      <c r="EW232">
        <f>IF(EV232=0,0,1+COUNTIF(EW$3:EW231,"&gt;0"))</f>
        <v>0</v>
      </c>
      <c r="EX232" t="str">
        <f t="shared" si="213"/>
        <v/>
      </c>
      <c r="EY232" t="str">
        <f t="shared" si="189"/>
        <v/>
      </c>
      <c r="FA232">
        <f t="shared" si="190"/>
        <v>0</v>
      </c>
      <c r="FB232">
        <f>IF(FA232=0,0,1+COUNTIF(FB$3:FB231,"&gt;0"))</f>
        <v>0</v>
      </c>
      <c r="FC232" t="str">
        <f t="shared" si="214"/>
        <v/>
      </c>
      <c r="FD232" t="str">
        <f t="shared" si="191"/>
        <v/>
      </c>
      <c r="FF232">
        <f t="shared" si="192"/>
        <v>0</v>
      </c>
      <c r="FG232">
        <f>IF(FF232=0,0,1+COUNTIF(FG$3:FG231,"&gt;0"))</f>
        <v>0</v>
      </c>
      <c r="FH232" t="str">
        <f t="shared" si="215"/>
        <v/>
      </c>
      <c r="FI232" t="str">
        <f t="shared" si="193"/>
        <v/>
      </c>
      <c r="FK232">
        <f t="shared" si="194"/>
        <v>0</v>
      </c>
      <c r="FL232">
        <f>IF(FK232=0,0,1+COUNTIF(FL$3:FL231,"&gt;0"))</f>
        <v>0</v>
      </c>
      <c r="FM232" t="str">
        <f t="shared" si="216"/>
        <v/>
      </c>
      <c r="FN232" t="str">
        <f t="shared" si="195"/>
        <v/>
      </c>
      <c r="FP232">
        <f t="shared" si="196"/>
        <v>0</v>
      </c>
      <c r="FQ232">
        <f>IF(FP232=0,0,1+COUNTIF(FQ$3:FQ231,"&gt;0"))</f>
        <v>0</v>
      </c>
      <c r="FR232" t="str">
        <f t="shared" si="217"/>
        <v/>
      </c>
      <c r="FS232" t="str">
        <f t="shared" si="197"/>
        <v/>
      </c>
    </row>
    <row r="233" spans="1:175" x14ac:dyDescent="0.25">
      <c r="A233" s="347">
        <f t="shared" si="219"/>
        <v>231</v>
      </c>
      <c r="B233" s="348" t="s">
        <v>2615</v>
      </c>
      <c r="C233" s="348">
        <v>2</v>
      </c>
      <c r="D233" s="347">
        <v>2</v>
      </c>
      <c r="E233" s="627" t="s">
        <v>6952</v>
      </c>
      <c r="F233" s="346"/>
      <c r="G233" s="347" t="str">
        <f>""</f>
        <v/>
      </c>
      <c r="H233" s="347" t="s">
        <v>5912</v>
      </c>
      <c r="I233" s="347" t="s">
        <v>5283</v>
      </c>
      <c r="J233" s="347" t="str">
        <f t="shared" si="167"/>
        <v/>
      </c>
      <c r="K233" s="347" t="s">
        <v>5288</v>
      </c>
      <c r="L233" s="611" t="str">
        <f t="shared" si="168"/>
        <v>V, S</v>
      </c>
      <c r="M233" s="347" t="s">
        <v>2373</v>
      </c>
      <c r="N233" s="347" t="s">
        <v>2387</v>
      </c>
      <c r="O233" s="347" t="s">
        <v>3034</v>
      </c>
      <c r="P233" s="346" t="str">
        <f>""</f>
        <v/>
      </c>
      <c r="Q233" s="347" t="s">
        <v>5274</v>
      </c>
      <c r="S233" s="346" t="s">
        <v>5771</v>
      </c>
      <c r="T233" s="346" t="str">
        <f t="shared" si="169"/>
        <v xml:space="preserve">Sorcerer, Warlock, Arcane Trickster, Wizard, Coast, Trickery, </v>
      </c>
      <c r="X233" s="347" t="str">
        <f>$B233</f>
        <v>Mirror Image</v>
      </c>
      <c r="Y233" s="347" t="str">
        <f>$B233</f>
        <v>Mirror Image</v>
      </c>
      <c r="AC233" s="539" t="str">
        <f>B233</f>
        <v>Mirror Image</v>
      </c>
      <c r="AD233" s="347" t="str">
        <f t="shared" si="222"/>
        <v>Mirror Image</v>
      </c>
      <c r="AE233" t="str">
        <f>IF(IFERROR(MATCH($B233,temp!A$4:A$13,0),0)&gt;0,T08_Spells!AE$2,"")</f>
        <v/>
      </c>
      <c r="AF233" t="str">
        <f>IF(IFERROR(MATCH($B233,temp!B$4:B$13,0),0)&gt;0,T08_Spells!AF$2,"")</f>
        <v/>
      </c>
      <c r="AG233" t="str">
        <f>IF(IFERROR(MATCH($B233,temp!C$4:C$13,0),0)&gt;0,T08_Spells!AG$2,"")</f>
        <v/>
      </c>
      <c r="AH233" t="str">
        <f>IF(IFERROR(MATCH($B233,temp!D$4:D$13,0),0)&gt;0,T08_Spells!AH$2,"")</f>
        <v/>
      </c>
      <c r="AI233" t="str">
        <f>IF(IFERROR(MATCH($B233,temp!E$4:E$13,0),0)&gt;0,T08_Spells!AI$2,"")</f>
        <v/>
      </c>
      <c r="AJ233" t="str">
        <f>IF(IFERROR(MATCH($B233,temp!F$4:F$13,0),0)&gt;0,T08_Spells!AJ$2,"")</f>
        <v/>
      </c>
      <c r="AK233" t="str">
        <f>IF(IFERROR(MATCH($B233,temp!G$4:G$13,0),0)&gt;0,T08_Spells!AK$2,"")</f>
        <v/>
      </c>
      <c r="AL233" t="str">
        <f>IF(IFERROR(MATCH($B233,temp!H$4:H$13,0),0)&gt;0,T08_Spells!AL$2,"")</f>
        <v/>
      </c>
      <c r="AM233" t="str">
        <f>IF(IFERROR(MATCH($B233,temp!I$4:I$13,0),0)&gt;0,T08_Spells!AM$2,"")</f>
        <v>Coast</v>
      </c>
      <c r="AN233" t="str">
        <f>IF(IFERROR(MATCH($B233,temp!J$4:J$13,0),0)&gt;0,T08_Spells!AN$2,"")</f>
        <v/>
      </c>
      <c r="AO233" t="str">
        <f>IF(IFERROR(MATCH($B233,temp!K$4:K$13,0),0)&gt;0,T08_Spells!AO$2,"")</f>
        <v/>
      </c>
      <c r="AP233" t="str">
        <f>IF(IFERROR(MATCH($B233,temp!L$4:L$13,0),0)&gt;0,T08_Spells!AP$2,"")</f>
        <v/>
      </c>
      <c r="AQ233" t="str">
        <f>IF(IFERROR(MATCH($B233,temp!M$4:M$13,0),0)&gt;0,T08_Spells!AQ$2,"")</f>
        <v/>
      </c>
      <c r="AR233" t="str">
        <f>IF(IFERROR(MATCH($B233,temp!N$4:N$13,0),0)&gt;0,T08_Spells!AR$2,"")</f>
        <v/>
      </c>
      <c r="AS233" t="str">
        <f>IF(IFERROR(MATCH($B233,temp!O$4:O$13,0),0)&gt;0,T08_Spells!AS$2,"")</f>
        <v/>
      </c>
      <c r="AT233" t="str">
        <f>IF(IFERROR(MATCH($B233,temp!P$4:P$13,0),0)&gt;0,T08_Spells!AT$2,"")</f>
        <v/>
      </c>
      <c r="AU233" t="str">
        <f>IF(IFERROR(MATCH($B233,temp!Q$4:Q$13,0),0)&gt;0,T08_Spells!AU$2,"")</f>
        <v/>
      </c>
      <c r="AV233" t="str">
        <f>IF(IFERROR(MATCH($B233,temp!R$4:R$13,0),0)&gt;0,T08_Spells!AV$2,"")</f>
        <v/>
      </c>
      <c r="AW233" t="str">
        <f>IF(IFERROR(MATCH($B233,temp!S$4:S$13,0),0)&gt;0,T08_Spells!AW$2,"")</f>
        <v/>
      </c>
      <c r="AX233" t="str">
        <f>IF(IFERROR(MATCH($B233,temp!T$4:T$13,0),0)&gt;0,T08_Spells!AX$2,"")</f>
        <v/>
      </c>
      <c r="AY233" t="str">
        <f>IF(IFERROR(MATCH($B233,temp!U$4:U$13,0),0)&gt;0,T08_Spells!AY$2,"")</f>
        <v>Trickery</v>
      </c>
      <c r="AZ233" t="str">
        <f>IF(IFERROR(MATCH($B233,temp!V$4:V$13,0),0)&gt;0,T08_Spells!AZ$2,"")</f>
        <v/>
      </c>
      <c r="BA233" t="str">
        <f>IF(IFERROR(MATCH($B233,temp!W$4:W$13,0),0)&gt;0,T08_Spells!BA$2,"")</f>
        <v/>
      </c>
      <c r="BC233">
        <f>IF(IFERROR(SEARCH("Ranger",$T233,1),0)&gt;0,1,0)*IF(RangerMaxSpellLevel&gt;=$C233,1,0)*IF(IFERROR(MATCH(B233,Character_Creation!$X$79:$X$382,0),0)&gt;0,0,1)</f>
        <v>0</v>
      </c>
      <c r="BD233">
        <f>IF(BC233=0,0,1+COUNTIF(BD$3:BD232,"&gt;0"))</f>
        <v>0</v>
      </c>
      <c r="BE233" t="str">
        <f t="shared" si="199"/>
        <v/>
      </c>
      <c r="BF233" t="str">
        <f t="shared" si="170"/>
        <v/>
      </c>
      <c r="BH233">
        <f>IF(IFERROR(SEARCH("Sorcerer",$T233,1),0)&gt;0,1,0)*IF(SorcererMaxSpellLevel&gt;=$C233,1,0)*IF(IFERROR(MATCH(B233,Character_Creation!$J$380:$J$394,0),0)&gt;0,0,1)</f>
        <v>0</v>
      </c>
      <c r="BI233">
        <f>IF(BH233=0,0,1+COUNTIF(BI$3:BI232,"&gt;0"))</f>
        <v>0</v>
      </c>
      <c r="BJ233" t="str">
        <f t="shared" si="200"/>
        <v/>
      </c>
      <c r="BK233" t="str">
        <f t="shared" si="171"/>
        <v/>
      </c>
      <c r="BM233">
        <f>IF(OR(IFERROR(SEARCH("Warlock",$T233,1),0)&gt;0,IFERROR(SEARCH(WarlockPatron,$T233,1),0)&gt;0),1,0)*IF(WarlockMaxSpellLevel&gt;=$C233,1,0)*IF(IFERROR(MATCH(B233,Character_Creation!$J$361:$J$375,0),0)&gt;0,0,1)</f>
        <v>0</v>
      </c>
      <c r="BN233">
        <f>IF(BM233=0,0,1+COUNTIF(BN$3:BN232,"&gt;0"))</f>
        <v>0</v>
      </c>
      <c r="BO233" t="str">
        <f t="shared" si="201"/>
        <v/>
      </c>
      <c r="BP233" t="str">
        <f t="shared" si="172"/>
        <v/>
      </c>
      <c r="BR233">
        <f>IF(IFERROR(SEARCH("Eldritch Knight",$T233,1),0)&gt;0,1,0)*IF(EldritchKnightMaxSpellLevel&gt;=$C233,1,0)*IF(IFERROR(MATCH($B233,Character_Creation!$J$350:$J$356,0),0)&gt;0,0,1)*IF(Character_Creation!$M$338&gt;0,1,0)</f>
        <v>0</v>
      </c>
      <c r="BS233">
        <f>IF(BR233=0,0,1+COUNTIF(BS$3:BS232,"&gt;0"))</f>
        <v>0</v>
      </c>
      <c r="BT233" t="str">
        <f t="shared" si="202"/>
        <v/>
      </c>
      <c r="BU233" t="str">
        <f t="shared" si="173"/>
        <v/>
      </c>
      <c r="BW233">
        <f>IF(IFERROR(SEARCH("Arcane Trickster",$T233,1),0)&gt;0,1,0)*IF(ArcaneTricksterMaxSpellLevel&gt;=$C233,1,0)*IF(IFERROR(MATCH($B233,Character_Creation!$J$350:$J$356,0),0)&gt;0,0,1)*IF(Character_Creation!$T$338&gt;0,1,0)</f>
        <v>0</v>
      </c>
      <c r="BX233">
        <f>IF(BW233=0,0,1+COUNTIF(BX$3:BX232,"&gt;0"))</f>
        <v>0</v>
      </c>
      <c r="BY233" t="str">
        <f t="shared" si="203"/>
        <v/>
      </c>
      <c r="BZ233" t="str">
        <f t="shared" si="174"/>
        <v/>
      </c>
      <c r="CB233">
        <f>IF(IFERROR(SEARCH("Wizard",$T233,1),0)&gt;0,1,0)*IF(C233&lt;=ArcaneTricksterMaxSpellLevel,1,0)*IF(IFERROR(MATCH($B233,Character_Creation!$J$350:$J$356,0),0)&gt;0,0,1)*IF(Character_Creation!$T$350&gt;0,1,0)</f>
        <v>0</v>
      </c>
      <c r="CC233">
        <f>IF(CB233=0,0,1+COUNTIF(CC$3:CC232,"&gt;0"))</f>
        <v>0</v>
      </c>
      <c r="CD233" t="str">
        <f t="shared" si="204"/>
        <v/>
      </c>
      <c r="CE233" t="str">
        <f t="shared" si="175"/>
        <v/>
      </c>
      <c r="CG233">
        <f>IF(IFERROR(SEARCH("Wizard",$T233,1),0)&gt;0,1,0)*IF($C233&lt;=EldritchKnightMaxSpellLevel,1,0)*IF(IFERROR(MATCH($B233,Character_Creation!$J$350:$J$356,0),0)&gt;0,0,1)*IF(Character_Creation!$M$350&gt;0,1,0)</f>
        <v>1</v>
      </c>
      <c r="CH233">
        <f>IF(CG233=0,0,1+COUNTIF(CH$3:CH232,"&gt;0"))</f>
        <v>43</v>
      </c>
      <c r="CI233" t="str">
        <f t="shared" si="205"/>
        <v/>
      </c>
      <c r="CJ233" t="str">
        <f t="shared" si="176"/>
        <v/>
      </c>
      <c r="CL233">
        <f>IF(IFERROR(SEARCH("Bard",$T233,1),0)&gt;0,1,0)*IF(BardMaxSpellLevel&gt;=$C233,1,0)*IF(IFERROR(MATCH(B233,Character_Creation!$C$341:$F$362,0),0)&gt;0,0,1)*IF(IFERROR(MATCH($B233,Character_Creation!$C$341:$C$362,0),0)&gt;0,0,1)</f>
        <v>0</v>
      </c>
      <c r="CM233">
        <f>IF(CL233=0,0,1+COUNTIF(CM$3:CM232,"&gt;0"))</f>
        <v>0</v>
      </c>
      <c r="CN233" t="str">
        <f t="shared" si="206"/>
        <v/>
      </c>
      <c r="CO233" t="str">
        <f t="shared" si="177"/>
        <v/>
      </c>
      <c r="CQ233">
        <f>IF(IFERROR(SEARCH("Wizard",$T233,1),0)&gt;0,1,0)*IF(WizardMaxSpellLevel&gt;=$C233,1,0)*IF(IFERROR(MATCH(B233,Character_Creation!$X$341:$X$400,0),0)&gt;0,0,1)*IF(SelectedWizardSpellLevel=$C233,1,0)</f>
        <v>0</v>
      </c>
      <c r="CR233">
        <f>IF(CQ233=0,0,1+COUNTIF(CR$3:CR232,"&gt;0"))</f>
        <v>0</v>
      </c>
      <c r="CS233" t="str">
        <f t="shared" si="207"/>
        <v/>
      </c>
      <c r="CT233" t="str">
        <f t="shared" si="178"/>
        <v/>
      </c>
      <c r="CV233">
        <f>IF(IFERROR(MATCH($B233,Character_Creation!$C$341:$C$362,0),0)&gt;0,0,1)*IF(OR(C233="Cantrip",C233&lt;=BardMaxSpellLevel),1,0)*IF(IFERROR(MATCH($B233,Character_Creation!$C$367:$C$374,0),0)&gt;0,0,1)</f>
        <v>0</v>
      </c>
      <c r="CW233">
        <f>IF(CV233=0,0,1+COUNTIF(CW$3:CW232,"&gt;0"))</f>
        <v>0</v>
      </c>
      <c r="CX233" t="str">
        <f t="shared" si="208"/>
        <v/>
      </c>
      <c r="CY233" t="str">
        <f t="shared" si="179"/>
        <v/>
      </c>
      <c r="DA233">
        <f>IF(IF(OR(IFERROR(SEARCH("Cleric",$T233,1),0)&gt;0,IFERROR(SEARCH(DivineDomain&amp;",",$T233,1),0)&gt;0),1,0)*IF($C233=DA$2,1,0)=1,1+COUNTIF(DA$3:DA232,"&gt;0"),0)</f>
        <v>0</v>
      </c>
      <c r="DB233">
        <f>IF(IF(OR(IFERROR(SEARCH("Cleric",$T233,1),0)&gt;0,IFERROR(SEARCH(DivineDomain&amp;",",$T233,1),0)&gt;0),1,0)*IF($C233=DB$2,1,0)=1,1+COUNTIF(DB$3:DB232,"&gt;0"),0)</f>
        <v>0</v>
      </c>
      <c r="DC233">
        <f>IF(IF(OR(IFERROR(SEARCH("Cleric",$T233,1),0)&gt;0,IFERROR(SEARCH(DivineDomain&amp;",",$T233,1),0)&gt;0),1,0)*IF($C233=DC$2,1,0)=1,1+COUNTIF(DC$3:DC232,"&gt;0"),0)</f>
        <v>0</v>
      </c>
      <c r="DD233">
        <f>IF(IF(OR(IFERROR(SEARCH("Cleric",$T233,1),0)&gt;0,IFERROR(SEARCH(DivineDomain&amp;",",$T233,1),0)&gt;0),1,0)*IF($C233=DD$2,1,0)=1,1+COUNTIF(DD$3:DD232,"&gt;0"),0)</f>
        <v>0</v>
      </c>
      <c r="DE233">
        <f>IF(IF(OR(IFERROR(SEARCH("Cleric",$T233,1),0)&gt;0,IFERROR(SEARCH(DivineDomain&amp;",",$T233,1),0)&gt;0),1,0)*IF($C233=DE$2,1,0)=1,1+COUNTIF(DE$3:DE232,"&gt;0"),0)</f>
        <v>0</v>
      </c>
      <c r="DF233">
        <f>IF(IF(OR(IFERROR(SEARCH("Cleric",$T233,1),0)&gt;0,IFERROR(SEARCH(DivineDomain&amp;",",$T233,1),0)&gt;0),1,0)*IF($C233=DF$2,1,0)=1,1+COUNTIF(DF$3:DF232,"&gt;0"),0)</f>
        <v>0</v>
      </c>
      <c r="DG233">
        <f>IF(IF(OR(IFERROR(SEARCH("Cleric",$T233,1),0)&gt;0,IFERROR(SEARCH(DivineDomain&amp;",",$T233,1),0)&gt;0),1,0)*IF($C233=DG$2,1,0)=1,1+COUNTIF(DG$3:DG232,"&gt;0"),0)</f>
        <v>0</v>
      </c>
      <c r="DH233">
        <f>IF(IF(OR(IFERROR(SEARCH("Cleric",$T233,1),0)&gt;0,IFERROR(SEARCH(DivineDomain&amp;",",$T233,1),0)&gt;0),1,0)*IF($C233=DH$2,1,0)=1,1+COUNTIF(DH$3:DH232,"&gt;0"),0)</f>
        <v>0</v>
      </c>
      <c r="DI233">
        <f>IF(IF(OR(IFERROR(SEARCH("Cleric",$T233,1),0)&gt;0,IFERROR(SEARCH(DivineDomain&amp;",",$T233,1),0)&gt;0),1,0)*IF($C233=DI$2,1,0)=1,1+COUNTIF(DI$3:DI232,"&gt;0"),0)</f>
        <v>0</v>
      </c>
      <c r="DJ233">
        <f>IF(IF(OR(IFERROR(SEARCH("Druid",$T233,1),0)&gt;0,IFERROR(SEARCH(DruidLand1,$T233,1),0)&gt;0,IFERROR(SEARCH(DruidLand2,$T233,1),0)&gt;0,IFERROR(SEARCH(DruidLand3,$T233,1),0)&gt;0,IFERROR(SEARCH(DruidLand4,$T233,1),0)&gt;0),1,0)*IF($C233=1,1,0)*IF($C233=DJ$2,1,0)=0,0,1+COUNTIF(DJ$3:DJ232,"&gt;0"))</f>
        <v>0</v>
      </c>
      <c r="DK233">
        <f>IF(IF(OR(IFERROR(SEARCH("Druid",$T233,1),0)&gt;0,IFERROR(SEARCH(DruidLand1,$T233,1),0)&gt;0,IFERROR(SEARCH(DruidLand2,$T233,1),0)&gt;0,IFERROR(SEARCH(DruidLand3,$T233,1),0)&gt;0,IFERROR(SEARCH(DruidLand4,$T233,1),0)&gt;0),1,0)*IF($C233=1,1,0)*IF($C233=DK$2,1,0)=0,0,1+COUNTIF(DK$3:DK232,"&gt;0"))</f>
        <v>0</v>
      </c>
      <c r="DL233">
        <f>IF(IF(OR(IFERROR(SEARCH("Druid",$T233,1),0)&gt;0,IFERROR(SEARCH(DruidLand1,$T233,1),0)&gt;0,IFERROR(SEARCH(DruidLand2,$T233,1),0)&gt;0,IFERROR(SEARCH(DruidLand3,$T233,1),0)&gt;0,IFERROR(SEARCH(DruidLand4,$T233,1),0)&gt;0),1,0)*IF($C233=1,1,0)*IF($C233=DL$2,1,0)=0,0,1+COUNTIF(DL$3:DL232,"&gt;0"))</f>
        <v>0</v>
      </c>
      <c r="DM233">
        <f>IF(IF(OR(IFERROR(SEARCH("Druid",$T233,1),0)&gt;0,IFERROR(SEARCH(DruidLand1,$T233,1),0)&gt;0,IFERROR(SEARCH(DruidLand2,$T233,1),0)&gt;0,IFERROR(SEARCH(DruidLand3,$T233,1),0)&gt;0,IFERROR(SEARCH(DruidLand4,$T233,1),0)&gt;0),1,0)*IF($C233=1,1,0)*IF($C233=DM$2,1,0)=0,0,1+COUNTIF(DM$3:DM232,"&gt;0"))</f>
        <v>0</v>
      </c>
      <c r="DN233">
        <f>IF(IF(OR(IFERROR(SEARCH("Druid",$T233,1),0)&gt;0,IFERROR(SEARCH(DruidLand1,$T233,1),0)&gt;0,IFERROR(SEARCH(DruidLand2,$T233,1),0)&gt;0,IFERROR(SEARCH(DruidLand3,$T233,1),0)&gt;0,IFERROR(SEARCH(DruidLand4,$T233,1),0)&gt;0),1,0)*IF($C233=1,1,0)*IF($C233=DN$2,1,0)=0,0,1+COUNTIF(DN$3:DN232,"&gt;0"))</f>
        <v>0</v>
      </c>
      <c r="DO233">
        <f>IF(IF(OR(IFERROR(SEARCH("Druid",$T233,1),0)&gt;0,IFERROR(SEARCH(DruidLand1,$T233,1),0)&gt;0,IFERROR(SEARCH(DruidLand2,$T233,1),0)&gt;0,IFERROR(SEARCH(DruidLand3,$T233,1),0)&gt;0,IFERROR(SEARCH(DruidLand4,$T233,1),0)&gt;0),1,0)*IF($C233=1,1,0)*IF($C233=DO$2,1,0)=0,0,1+COUNTIF(DO$3:DO232,"&gt;0"))</f>
        <v>0</v>
      </c>
      <c r="DP233">
        <f>IF(IF(OR(IFERROR(SEARCH("Druid",$T233,1),0)&gt;0,IFERROR(SEARCH(DruidLand1,$T233,1),0)&gt;0,IFERROR(SEARCH(DruidLand2,$T233,1),0)&gt;0,IFERROR(SEARCH(DruidLand3,$T233,1),0)&gt;0,IFERROR(SEARCH(DruidLand4,$T233,1),0)&gt;0),1,0)*IF($C233=1,1,0)*IF($C233=DP$2,1,0)=0,0,1+COUNTIF(DP$3:DP232,"&gt;0"))</f>
        <v>0</v>
      </c>
      <c r="DQ233">
        <f>IF(IF(OR(IFERROR(SEARCH("Druid",$T233,1),0)&gt;0,IFERROR(SEARCH(DruidLand1,$T233,1),0)&gt;0,IFERROR(SEARCH(DruidLand2,$T233,1),0)&gt;0,IFERROR(SEARCH(DruidLand3,$T233,1),0)&gt;0,IFERROR(SEARCH(DruidLand4,$T233,1),0)&gt;0),1,0)*IF($C233=1,1,0)*IF($C233=DQ$2,1,0)=0,0,1+COUNTIF(DQ$3:DQ232,"&gt;0"))</f>
        <v>0</v>
      </c>
      <c r="DR233">
        <f>IF(IF(OR(IFERROR(SEARCH("Druid",$T233,1),0)&gt;0,IFERROR(SEARCH(DruidLand1,$T233,1),0)&gt;0,IFERROR(SEARCH(DruidLand2,$T233,1),0)&gt;0,IFERROR(SEARCH(DruidLand3,$T233,1),0)&gt;0,IFERROR(SEARCH(DruidLand4,$T233,1),0)&gt;0),1,0)*IF($C233=1,1,0)*IF($C233=DR$2,1,0)=0,0,1+COUNTIF(DR$3:DR232,"&gt;0"))</f>
        <v>0</v>
      </c>
      <c r="DS233">
        <f>IF(IF(OR(IFERROR(SEARCH("Paladin",$T233,1),0)&gt;0,IFERROR(SEARCH(PaladinOath,$T233,1),0)&gt;0),1,0)*IF($C233=DS$2,1,0)=1,1+COUNTIF(DS$3:DS232,"&gt;0"),0)</f>
        <v>0</v>
      </c>
      <c r="DT233">
        <f>IF(IF(OR(IFERROR(SEARCH("Paladin",$T233,1),0)&gt;0,IFERROR(SEARCH(PaladinOath,$T233,1),0)&gt;0),1,0)*IF($C233=DT$2,1,0)=1,1+COUNTIF(DT$3:DT232,"&gt;0"),0)</f>
        <v>0</v>
      </c>
      <c r="DU233">
        <f>IF(IF(OR(IFERROR(SEARCH("Paladin",$T233,1),0)&gt;0,IFERROR(SEARCH(PaladinOath,$T233,1),0)&gt;0),1,0)*IF($C233=DU$2,1,0)=1,1+COUNTIF(DU$3:DU232,"&gt;0"),0)</f>
        <v>0</v>
      </c>
      <c r="DV233">
        <f>IF(IF(OR(IFERROR(SEARCH("Paladin",$T233,1),0)&gt;0,IFERROR(SEARCH(PaladinOath,$T233,1),0)&gt;0),1,0)*IF($C233=DV$2,1,0)=1,1+COUNTIF(DV$3:DV232,"&gt;0"),0)</f>
        <v>0</v>
      </c>
      <c r="DW233">
        <f>IF(IF(OR(IFERROR(SEARCH("Paladin",$T233,1),0)&gt;0,IFERROR(SEARCH(PaladinOath,$T233,1),0)&gt;0),1,0)*IF($C233=DW$2,1,0)=1,1+COUNTIF(DW$3:DW232,"&gt;0"),0)</f>
        <v>0</v>
      </c>
      <c r="DY233">
        <f t="shared" si="166"/>
        <v>1</v>
      </c>
      <c r="DZ233">
        <f>IF(DY233=0,0,1+MAX(DZ$3:$DZ232))</f>
        <v>231</v>
      </c>
      <c r="EB233">
        <f t="shared" si="180"/>
        <v>0</v>
      </c>
      <c r="EC233">
        <f>IF(EB233=0,0,1+COUNTIF(EC$3:EC232,"&gt;0"))</f>
        <v>0</v>
      </c>
      <c r="ED233" t="str">
        <f t="shared" si="209"/>
        <v/>
      </c>
      <c r="EE233" t="str">
        <f t="shared" si="181"/>
        <v/>
      </c>
      <c r="EG233">
        <f t="shared" si="182"/>
        <v>0</v>
      </c>
      <c r="EH233">
        <f>IF(EG233=0,0,1+COUNTIF(EH$3:EH232,"&gt;0"))</f>
        <v>0</v>
      </c>
      <c r="EI233" t="str">
        <f t="shared" si="210"/>
        <v/>
      </c>
      <c r="EJ233" t="str">
        <f t="shared" si="183"/>
        <v/>
      </c>
      <c r="EL233">
        <f t="shared" si="184"/>
        <v>0</v>
      </c>
      <c r="EM233">
        <f>IF(EL233=0,0,1+COUNTIF(EM$3:EM232,"&gt;0"))</f>
        <v>0</v>
      </c>
      <c r="EN233" t="str">
        <f t="shared" si="211"/>
        <v/>
      </c>
      <c r="EO233" t="str">
        <f t="shared" si="185"/>
        <v/>
      </c>
      <c r="EQ233">
        <f t="shared" si="186"/>
        <v>0</v>
      </c>
      <c r="ER233">
        <f>IF(EQ233=0,0,1+COUNTIF(ER$3:ER232,"&gt;0"))</f>
        <v>0</v>
      </c>
      <c r="ES233" t="str">
        <f t="shared" si="212"/>
        <v/>
      </c>
      <c r="ET233" t="str">
        <f t="shared" si="187"/>
        <v/>
      </c>
      <c r="EV233">
        <f t="shared" si="188"/>
        <v>0</v>
      </c>
      <c r="EW233">
        <f>IF(EV233=0,0,1+COUNTIF(EW$3:EW232,"&gt;0"))</f>
        <v>0</v>
      </c>
      <c r="EX233" t="str">
        <f t="shared" si="213"/>
        <v/>
      </c>
      <c r="EY233" t="str">
        <f t="shared" si="189"/>
        <v/>
      </c>
      <c r="FA233">
        <f t="shared" si="190"/>
        <v>0</v>
      </c>
      <c r="FB233">
        <f>IF(FA233=0,0,1+COUNTIF(FB$3:FB232,"&gt;0"))</f>
        <v>0</v>
      </c>
      <c r="FC233" t="str">
        <f t="shared" si="214"/>
        <v/>
      </c>
      <c r="FD233" t="str">
        <f t="shared" si="191"/>
        <v/>
      </c>
      <c r="FF233">
        <f t="shared" si="192"/>
        <v>0</v>
      </c>
      <c r="FG233">
        <f>IF(FF233=0,0,1+COUNTIF(FG$3:FG232,"&gt;0"))</f>
        <v>0</v>
      </c>
      <c r="FH233" t="str">
        <f t="shared" si="215"/>
        <v/>
      </c>
      <c r="FI233" t="str">
        <f t="shared" si="193"/>
        <v/>
      </c>
      <c r="FK233">
        <f t="shared" si="194"/>
        <v>0</v>
      </c>
      <c r="FL233">
        <f>IF(FK233=0,0,1+COUNTIF(FL$3:FL232,"&gt;0"))</f>
        <v>0</v>
      </c>
      <c r="FM233" t="str">
        <f t="shared" si="216"/>
        <v/>
      </c>
      <c r="FN233" t="str">
        <f t="shared" si="195"/>
        <v/>
      </c>
      <c r="FP233">
        <f t="shared" si="196"/>
        <v>0</v>
      </c>
      <c r="FQ233">
        <f>IF(FP233=0,0,1+COUNTIF(FQ$3:FQ232,"&gt;0"))</f>
        <v>0</v>
      </c>
      <c r="FR233" t="str">
        <f t="shared" si="217"/>
        <v/>
      </c>
      <c r="FS233" t="str">
        <f t="shared" si="197"/>
        <v/>
      </c>
    </row>
    <row r="234" spans="1:175" x14ac:dyDescent="0.25">
      <c r="A234" s="347">
        <f t="shared" si="219"/>
        <v>232</v>
      </c>
      <c r="B234" s="348" t="s">
        <v>2616</v>
      </c>
      <c r="C234" s="348">
        <v>5</v>
      </c>
      <c r="D234" s="347">
        <v>5</v>
      </c>
      <c r="E234" s="627" t="s">
        <v>6952</v>
      </c>
      <c r="F234" s="346"/>
      <c r="G234" s="347" t="str">
        <f>""</f>
        <v/>
      </c>
      <c r="H234" s="347" t="s">
        <v>5912</v>
      </c>
      <c r="I234" s="347" t="s">
        <v>5283</v>
      </c>
      <c r="J234" s="347" t="str">
        <f t="shared" si="167"/>
        <v/>
      </c>
      <c r="K234" s="347" t="s">
        <v>5284</v>
      </c>
      <c r="L234" s="611" t="str">
        <f t="shared" si="168"/>
        <v>S</v>
      </c>
      <c r="M234" s="347" t="s">
        <v>3034</v>
      </c>
      <c r="N234" s="347" t="s">
        <v>2387</v>
      </c>
      <c r="O234" s="347" t="s">
        <v>3034</v>
      </c>
      <c r="P234" s="346" t="str">
        <f>""</f>
        <v/>
      </c>
      <c r="Q234" s="347" t="s">
        <v>5274</v>
      </c>
      <c r="S234" s="346" t="s">
        <v>5772</v>
      </c>
      <c r="T234" s="346" t="str">
        <f t="shared" si="169"/>
        <v xml:space="preserve">Bard, Arcane Trickster, Wizard, </v>
      </c>
      <c r="U234" s="347" t="str">
        <f>$B234</f>
        <v>Mislead</v>
      </c>
      <c r="AC234" s="539" t="str">
        <f>B234</f>
        <v>Mislead</v>
      </c>
      <c r="AD234" s="347" t="str">
        <f t="shared" si="222"/>
        <v>Mislead</v>
      </c>
      <c r="AE234" t="str">
        <f>IF(IFERROR(MATCH($B234,temp!A$4:A$13,0),0)&gt;0,T08_Spells!AE$2,"")</f>
        <v/>
      </c>
      <c r="AF234" t="str">
        <f>IF(IFERROR(MATCH($B234,temp!B$4:B$13,0),0)&gt;0,T08_Spells!AF$2,"")</f>
        <v/>
      </c>
      <c r="AG234" t="str">
        <f>IF(IFERROR(MATCH($B234,temp!C$4:C$13,0),0)&gt;0,T08_Spells!AG$2,"")</f>
        <v/>
      </c>
      <c r="AH234" t="str">
        <f>IF(IFERROR(MATCH($B234,temp!D$4:D$13,0),0)&gt;0,T08_Spells!AH$2,"")</f>
        <v/>
      </c>
      <c r="AI234" t="str">
        <f>IF(IFERROR(MATCH($B234,temp!E$4:E$13,0),0)&gt;0,T08_Spells!AI$2,"")</f>
        <v/>
      </c>
      <c r="AJ234" t="str">
        <f>IF(IFERROR(MATCH($B234,temp!F$4:F$13,0),0)&gt;0,T08_Spells!AJ$2,"")</f>
        <v/>
      </c>
      <c r="AK234" t="str">
        <f>IF(IFERROR(MATCH($B234,temp!G$4:G$13,0),0)&gt;0,T08_Spells!AK$2,"")</f>
        <v/>
      </c>
      <c r="AL234" t="str">
        <f>IF(IFERROR(MATCH($B234,temp!H$4:H$13,0),0)&gt;0,T08_Spells!AL$2,"")</f>
        <v/>
      </c>
      <c r="AM234" t="str">
        <f>IF(IFERROR(MATCH($B234,temp!I$4:I$13,0),0)&gt;0,T08_Spells!AM$2,"")</f>
        <v/>
      </c>
      <c r="AN234" t="str">
        <f>IF(IFERROR(MATCH($B234,temp!J$4:J$13,0),0)&gt;0,T08_Spells!AN$2,"")</f>
        <v/>
      </c>
      <c r="AO234" t="str">
        <f>IF(IFERROR(MATCH($B234,temp!K$4:K$13,0),0)&gt;0,T08_Spells!AO$2,"")</f>
        <v/>
      </c>
      <c r="AP234" t="str">
        <f>IF(IFERROR(MATCH($B234,temp!L$4:L$13,0),0)&gt;0,T08_Spells!AP$2,"")</f>
        <v/>
      </c>
      <c r="AQ234" t="str">
        <f>IF(IFERROR(MATCH($B234,temp!M$4:M$13,0),0)&gt;0,T08_Spells!AQ$2,"")</f>
        <v/>
      </c>
      <c r="AR234" t="str">
        <f>IF(IFERROR(MATCH($B234,temp!N$4:N$13,0),0)&gt;0,T08_Spells!AR$2,"")</f>
        <v/>
      </c>
      <c r="AS234" t="str">
        <f>IF(IFERROR(MATCH($B234,temp!O$4:O$13,0),0)&gt;0,T08_Spells!AS$2,"")</f>
        <v/>
      </c>
      <c r="AT234" t="str">
        <f>IF(IFERROR(MATCH($B234,temp!P$4:P$13,0),0)&gt;0,T08_Spells!AT$2,"")</f>
        <v/>
      </c>
      <c r="AU234" t="str">
        <f>IF(IFERROR(MATCH($B234,temp!Q$4:Q$13,0),0)&gt;0,T08_Spells!AU$2,"")</f>
        <v/>
      </c>
      <c r="AV234" t="str">
        <f>IF(IFERROR(MATCH($B234,temp!R$4:R$13,0),0)&gt;0,T08_Spells!AV$2,"")</f>
        <v/>
      </c>
      <c r="AW234" t="str">
        <f>IF(IFERROR(MATCH($B234,temp!S$4:S$13,0),0)&gt;0,T08_Spells!AW$2,"")</f>
        <v/>
      </c>
      <c r="AX234" t="str">
        <f>IF(IFERROR(MATCH($B234,temp!T$4:T$13,0),0)&gt;0,T08_Spells!AX$2,"")</f>
        <v/>
      </c>
      <c r="AY234" t="str">
        <f>IF(IFERROR(MATCH($B234,temp!U$4:U$13,0),0)&gt;0,T08_Spells!AY$2,"")</f>
        <v/>
      </c>
      <c r="AZ234" t="str">
        <f>IF(IFERROR(MATCH($B234,temp!V$4:V$13,0),0)&gt;0,T08_Spells!AZ$2,"")</f>
        <v/>
      </c>
      <c r="BA234" t="str">
        <f>IF(IFERROR(MATCH($B234,temp!W$4:W$13,0),0)&gt;0,T08_Spells!BA$2,"")</f>
        <v/>
      </c>
      <c r="BC234">
        <f>IF(IFERROR(SEARCH("Ranger",$T234,1),0)&gt;0,1,0)*IF(RangerMaxSpellLevel&gt;=$C234,1,0)*IF(IFERROR(MATCH(B234,Character_Creation!$X$79:$X$382,0),0)&gt;0,0,1)</f>
        <v>0</v>
      </c>
      <c r="BD234">
        <f>IF(BC234=0,0,1+COUNTIF(BD$3:BD233,"&gt;0"))</f>
        <v>0</v>
      </c>
      <c r="BE234" t="str">
        <f t="shared" si="199"/>
        <v/>
      </c>
      <c r="BF234" t="str">
        <f t="shared" si="170"/>
        <v/>
      </c>
      <c r="BH234">
        <f>IF(IFERROR(SEARCH("Sorcerer",$T234,1),0)&gt;0,1,0)*IF(SorcererMaxSpellLevel&gt;=$C234,1,0)*IF(IFERROR(MATCH(B234,Character_Creation!$J$380:$J$394,0),0)&gt;0,0,1)</f>
        <v>0</v>
      </c>
      <c r="BI234">
        <f>IF(BH234=0,0,1+COUNTIF(BI$3:BI233,"&gt;0"))</f>
        <v>0</v>
      </c>
      <c r="BJ234" t="str">
        <f t="shared" si="200"/>
        <v/>
      </c>
      <c r="BK234" t="str">
        <f t="shared" si="171"/>
        <v/>
      </c>
      <c r="BM234">
        <f>IF(OR(IFERROR(SEARCH("Warlock",$T234,1),0)&gt;0,IFERROR(SEARCH(WarlockPatron,$T234,1),0)&gt;0),1,0)*IF(WarlockMaxSpellLevel&gt;=$C234,1,0)*IF(IFERROR(MATCH(B234,Character_Creation!$J$361:$J$375,0),0)&gt;0,0,1)</f>
        <v>0</v>
      </c>
      <c r="BN234">
        <f>IF(BM234=0,0,1+COUNTIF(BN$3:BN233,"&gt;0"))</f>
        <v>0</v>
      </c>
      <c r="BO234" t="str">
        <f t="shared" si="201"/>
        <v/>
      </c>
      <c r="BP234" t="str">
        <f t="shared" si="172"/>
        <v/>
      </c>
      <c r="BR234">
        <f>IF(IFERROR(SEARCH("Eldritch Knight",$T234,1),0)&gt;0,1,0)*IF(EldritchKnightMaxSpellLevel&gt;=$C234,1,0)*IF(IFERROR(MATCH($B234,Character_Creation!$J$350:$J$356,0),0)&gt;0,0,1)*IF(Character_Creation!$M$338&gt;0,1,0)</f>
        <v>0</v>
      </c>
      <c r="BS234">
        <f>IF(BR234=0,0,1+COUNTIF(BS$3:BS233,"&gt;0"))</f>
        <v>0</v>
      </c>
      <c r="BT234" t="str">
        <f t="shared" si="202"/>
        <v/>
      </c>
      <c r="BU234" t="str">
        <f t="shared" si="173"/>
        <v/>
      </c>
      <c r="BW234">
        <f>IF(IFERROR(SEARCH("Arcane Trickster",$T234,1),0)&gt;0,1,0)*IF(ArcaneTricksterMaxSpellLevel&gt;=$C234,1,0)*IF(IFERROR(MATCH($B234,Character_Creation!$J$350:$J$356,0),0)&gt;0,0,1)*IF(Character_Creation!$T$338&gt;0,1,0)</f>
        <v>0</v>
      </c>
      <c r="BX234">
        <f>IF(BW234=0,0,1+COUNTIF(BX$3:BX233,"&gt;0"))</f>
        <v>0</v>
      </c>
      <c r="BY234" t="str">
        <f t="shared" si="203"/>
        <v/>
      </c>
      <c r="BZ234" t="str">
        <f t="shared" si="174"/>
        <v/>
      </c>
      <c r="CB234">
        <f>IF(IFERROR(SEARCH("Wizard",$T234,1),0)&gt;0,1,0)*IF(C234&lt;=ArcaneTricksterMaxSpellLevel,1,0)*IF(IFERROR(MATCH($B234,Character_Creation!$J$350:$J$356,0),0)&gt;0,0,1)*IF(Character_Creation!$T$350&gt;0,1,0)</f>
        <v>0</v>
      </c>
      <c r="CC234">
        <f>IF(CB234=0,0,1+COUNTIF(CC$3:CC233,"&gt;0"))</f>
        <v>0</v>
      </c>
      <c r="CD234" t="str">
        <f t="shared" si="204"/>
        <v/>
      </c>
      <c r="CE234" t="str">
        <f t="shared" si="175"/>
        <v/>
      </c>
      <c r="CG234">
        <f>IF(IFERROR(SEARCH("Wizard",$T234,1),0)&gt;0,1,0)*IF($C234&lt;=EldritchKnightMaxSpellLevel,1,0)*IF(IFERROR(MATCH($B234,Character_Creation!$J$350:$J$356,0),0)&gt;0,0,1)*IF(Character_Creation!$M$350&gt;0,1,0)</f>
        <v>0</v>
      </c>
      <c r="CH234">
        <f>IF(CG234=0,0,1+COUNTIF(CH$3:CH233,"&gt;0"))</f>
        <v>0</v>
      </c>
      <c r="CI234" t="str">
        <f t="shared" si="205"/>
        <v/>
      </c>
      <c r="CJ234" t="str">
        <f t="shared" si="176"/>
        <v/>
      </c>
      <c r="CL234">
        <f>IF(IFERROR(SEARCH("Bard",$T234,1),0)&gt;0,1,0)*IF(BardMaxSpellLevel&gt;=$C234,1,0)*IF(IFERROR(MATCH(B234,Character_Creation!$C$341:$F$362,0),0)&gt;0,0,1)*IF(IFERROR(MATCH($B234,Character_Creation!$C$341:$C$362,0),0)&gt;0,0,1)</f>
        <v>0</v>
      </c>
      <c r="CM234">
        <f>IF(CL234=0,0,1+COUNTIF(CM$3:CM233,"&gt;0"))</f>
        <v>0</v>
      </c>
      <c r="CN234" t="str">
        <f t="shared" si="206"/>
        <v/>
      </c>
      <c r="CO234" t="str">
        <f t="shared" si="177"/>
        <v/>
      </c>
      <c r="CQ234">
        <f>IF(IFERROR(SEARCH("Wizard",$T234,1),0)&gt;0,1,0)*IF(WizardMaxSpellLevel&gt;=$C234,1,0)*IF(IFERROR(MATCH(B234,Character_Creation!$X$341:$X$400,0),0)&gt;0,0,1)*IF(SelectedWizardSpellLevel=$C234,1,0)</f>
        <v>0</v>
      </c>
      <c r="CR234">
        <f>IF(CQ234=0,0,1+COUNTIF(CR$3:CR233,"&gt;0"))</f>
        <v>0</v>
      </c>
      <c r="CS234" t="str">
        <f t="shared" si="207"/>
        <v/>
      </c>
      <c r="CT234" t="str">
        <f t="shared" si="178"/>
        <v/>
      </c>
      <c r="CV234">
        <f>IF(IFERROR(MATCH($B234,Character_Creation!$C$341:$C$362,0),0)&gt;0,0,1)*IF(OR(C234="Cantrip",C234&lt;=BardMaxSpellLevel),1,0)*IF(IFERROR(MATCH($B234,Character_Creation!$C$367:$C$374,0),0)&gt;0,0,1)</f>
        <v>0</v>
      </c>
      <c r="CW234">
        <f>IF(CV234=0,0,1+COUNTIF(CW$3:CW233,"&gt;0"))</f>
        <v>0</v>
      </c>
      <c r="CX234" t="str">
        <f t="shared" si="208"/>
        <v/>
      </c>
      <c r="CY234" t="str">
        <f t="shared" si="179"/>
        <v/>
      </c>
      <c r="DA234">
        <f>IF(IF(OR(IFERROR(SEARCH("Cleric",$T234,1),0)&gt;0,IFERROR(SEARCH(DivineDomain&amp;",",$T234,1),0)&gt;0),1,0)*IF($C234=DA$2,1,0)=1,1+COUNTIF(DA$3:DA233,"&gt;0"),0)</f>
        <v>0</v>
      </c>
      <c r="DB234">
        <f>IF(IF(OR(IFERROR(SEARCH("Cleric",$T234,1),0)&gt;0,IFERROR(SEARCH(DivineDomain&amp;",",$T234,1),0)&gt;0),1,0)*IF($C234=DB$2,1,0)=1,1+COUNTIF(DB$3:DB233,"&gt;0"),0)</f>
        <v>0</v>
      </c>
      <c r="DC234">
        <f>IF(IF(OR(IFERROR(SEARCH("Cleric",$T234,1),0)&gt;0,IFERROR(SEARCH(DivineDomain&amp;",",$T234,1),0)&gt;0),1,0)*IF($C234=DC$2,1,0)=1,1+COUNTIF(DC$3:DC233,"&gt;0"),0)</f>
        <v>0</v>
      </c>
      <c r="DD234">
        <f>IF(IF(OR(IFERROR(SEARCH("Cleric",$T234,1),0)&gt;0,IFERROR(SEARCH(DivineDomain&amp;",",$T234,1),0)&gt;0),1,0)*IF($C234=DD$2,1,0)=1,1+COUNTIF(DD$3:DD233,"&gt;0"),0)</f>
        <v>0</v>
      </c>
      <c r="DE234">
        <f>IF(IF(OR(IFERROR(SEARCH("Cleric",$T234,1),0)&gt;0,IFERROR(SEARCH(DivineDomain&amp;",",$T234,1),0)&gt;0),1,0)*IF($C234=DE$2,1,0)=1,1+COUNTIF(DE$3:DE233,"&gt;0"),0)</f>
        <v>0</v>
      </c>
      <c r="DF234">
        <f>IF(IF(OR(IFERROR(SEARCH("Cleric",$T234,1),0)&gt;0,IFERROR(SEARCH(DivineDomain&amp;",",$T234,1),0)&gt;0),1,0)*IF($C234=DF$2,1,0)=1,1+COUNTIF(DF$3:DF233,"&gt;0"),0)</f>
        <v>0</v>
      </c>
      <c r="DG234">
        <f>IF(IF(OR(IFERROR(SEARCH("Cleric",$T234,1),0)&gt;0,IFERROR(SEARCH(DivineDomain&amp;",",$T234,1),0)&gt;0),1,0)*IF($C234=DG$2,1,0)=1,1+COUNTIF(DG$3:DG233,"&gt;0"),0)</f>
        <v>0</v>
      </c>
      <c r="DH234">
        <f>IF(IF(OR(IFERROR(SEARCH("Cleric",$T234,1),0)&gt;0,IFERROR(SEARCH(DivineDomain&amp;",",$T234,1),0)&gt;0),1,0)*IF($C234=DH$2,1,0)=1,1+COUNTIF(DH$3:DH233,"&gt;0"),0)</f>
        <v>0</v>
      </c>
      <c r="DI234">
        <f>IF(IF(OR(IFERROR(SEARCH("Cleric",$T234,1),0)&gt;0,IFERROR(SEARCH(DivineDomain&amp;",",$T234,1),0)&gt;0),1,0)*IF($C234=DI$2,1,0)=1,1+COUNTIF(DI$3:DI233,"&gt;0"),0)</f>
        <v>0</v>
      </c>
      <c r="DJ234">
        <f>IF(IF(OR(IFERROR(SEARCH("Druid",$T234,1),0)&gt;0,IFERROR(SEARCH(DruidLand1,$T234,1),0)&gt;0,IFERROR(SEARCH(DruidLand2,$T234,1),0)&gt;0,IFERROR(SEARCH(DruidLand3,$T234,1),0)&gt;0,IFERROR(SEARCH(DruidLand4,$T234,1),0)&gt;0),1,0)*IF($C234=1,1,0)*IF($C234=DJ$2,1,0)=0,0,1+COUNTIF(DJ$3:DJ233,"&gt;0"))</f>
        <v>0</v>
      </c>
      <c r="DK234">
        <f>IF(IF(OR(IFERROR(SEARCH("Druid",$T234,1),0)&gt;0,IFERROR(SEARCH(DruidLand1,$T234,1),0)&gt;0,IFERROR(SEARCH(DruidLand2,$T234,1),0)&gt;0,IFERROR(SEARCH(DruidLand3,$T234,1),0)&gt;0,IFERROR(SEARCH(DruidLand4,$T234,1),0)&gt;0),1,0)*IF($C234=1,1,0)*IF($C234=DK$2,1,0)=0,0,1+COUNTIF(DK$3:DK233,"&gt;0"))</f>
        <v>0</v>
      </c>
      <c r="DL234">
        <f>IF(IF(OR(IFERROR(SEARCH("Druid",$T234,1),0)&gt;0,IFERROR(SEARCH(DruidLand1,$T234,1),0)&gt;0,IFERROR(SEARCH(DruidLand2,$T234,1),0)&gt;0,IFERROR(SEARCH(DruidLand3,$T234,1),0)&gt;0,IFERROR(SEARCH(DruidLand4,$T234,1),0)&gt;0),1,0)*IF($C234=1,1,0)*IF($C234=DL$2,1,0)=0,0,1+COUNTIF(DL$3:DL233,"&gt;0"))</f>
        <v>0</v>
      </c>
      <c r="DM234">
        <f>IF(IF(OR(IFERROR(SEARCH("Druid",$T234,1),0)&gt;0,IFERROR(SEARCH(DruidLand1,$T234,1),0)&gt;0,IFERROR(SEARCH(DruidLand2,$T234,1),0)&gt;0,IFERROR(SEARCH(DruidLand3,$T234,1),0)&gt;0,IFERROR(SEARCH(DruidLand4,$T234,1),0)&gt;0),1,0)*IF($C234=1,1,0)*IF($C234=DM$2,1,0)=0,0,1+COUNTIF(DM$3:DM233,"&gt;0"))</f>
        <v>0</v>
      </c>
      <c r="DN234">
        <f>IF(IF(OR(IFERROR(SEARCH("Druid",$T234,1),0)&gt;0,IFERROR(SEARCH(DruidLand1,$T234,1),0)&gt;0,IFERROR(SEARCH(DruidLand2,$T234,1),0)&gt;0,IFERROR(SEARCH(DruidLand3,$T234,1),0)&gt;0,IFERROR(SEARCH(DruidLand4,$T234,1),0)&gt;0),1,0)*IF($C234=1,1,0)*IF($C234=DN$2,1,0)=0,0,1+COUNTIF(DN$3:DN233,"&gt;0"))</f>
        <v>0</v>
      </c>
      <c r="DO234">
        <f>IF(IF(OR(IFERROR(SEARCH("Druid",$T234,1),0)&gt;0,IFERROR(SEARCH(DruidLand1,$T234,1),0)&gt;0,IFERROR(SEARCH(DruidLand2,$T234,1),0)&gt;0,IFERROR(SEARCH(DruidLand3,$T234,1),0)&gt;0,IFERROR(SEARCH(DruidLand4,$T234,1),0)&gt;0),1,0)*IF($C234=1,1,0)*IF($C234=DO$2,1,0)=0,0,1+COUNTIF(DO$3:DO233,"&gt;0"))</f>
        <v>0</v>
      </c>
      <c r="DP234">
        <f>IF(IF(OR(IFERROR(SEARCH("Druid",$T234,1),0)&gt;0,IFERROR(SEARCH(DruidLand1,$T234,1),0)&gt;0,IFERROR(SEARCH(DruidLand2,$T234,1),0)&gt;0,IFERROR(SEARCH(DruidLand3,$T234,1),0)&gt;0,IFERROR(SEARCH(DruidLand4,$T234,1),0)&gt;0),1,0)*IF($C234=1,1,0)*IF($C234=DP$2,1,0)=0,0,1+COUNTIF(DP$3:DP233,"&gt;0"))</f>
        <v>0</v>
      </c>
      <c r="DQ234">
        <f>IF(IF(OR(IFERROR(SEARCH("Druid",$T234,1),0)&gt;0,IFERROR(SEARCH(DruidLand1,$T234,1),0)&gt;0,IFERROR(SEARCH(DruidLand2,$T234,1),0)&gt;0,IFERROR(SEARCH(DruidLand3,$T234,1),0)&gt;0,IFERROR(SEARCH(DruidLand4,$T234,1),0)&gt;0),1,0)*IF($C234=1,1,0)*IF($C234=DQ$2,1,0)=0,0,1+COUNTIF(DQ$3:DQ233,"&gt;0"))</f>
        <v>0</v>
      </c>
      <c r="DR234">
        <f>IF(IF(OR(IFERROR(SEARCH("Druid",$T234,1),0)&gt;0,IFERROR(SEARCH(DruidLand1,$T234,1),0)&gt;0,IFERROR(SEARCH(DruidLand2,$T234,1),0)&gt;0,IFERROR(SEARCH(DruidLand3,$T234,1),0)&gt;0,IFERROR(SEARCH(DruidLand4,$T234,1),0)&gt;0),1,0)*IF($C234=1,1,0)*IF($C234=DR$2,1,0)=0,0,1+COUNTIF(DR$3:DR233,"&gt;0"))</f>
        <v>0</v>
      </c>
      <c r="DS234">
        <f>IF(IF(OR(IFERROR(SEARCH("Paladin",$T234,1),0)&gt;0,IFERROR(SEARCH(PaladinOath,$T234,1),0)&gt;0),1,0)*IF($C234=DS$2,1,0)=1,1+COUNTIF(DS$3:DS233,"&gt;0"),0)</f>
        <v>0</v>
      </c>
      <c r="DT234">
        <f>IF(IF(OR(IFERROR(SEARCH("Paladin",$T234,1),0)&gt;0,IFERROR(SEARCH(PaladinOath,$T234,1),0)&gt;0),1,0)*IF($C234=DT$2,1,0)=1,1+COUNTIF(DT$3:DT233,"&gt;0"),0)</f>
        <v>0</v>
      </c>
      <c r="DU234">
        <f>IF(IF(OR(IFERROR(SEARCH("Paladin",$T234,1),0)&gt;0,IFERROR(SEARCH(PaladinOath,$T234,1),0)&gt;0),1,0)*IF($C234=DU$2,1,0)=1,1+COUNTIF(DU$3:DU233,"&gt;0"),0)</f>
        <v>0</v>
      </c>
      <c r="DV234">
        <f>IF(IF(OR(IFERROR(SEARCH("Paladin",$T234,1),0)&gt;0,IFERROR(SEARCH(PaladinOath,$T234,1),0)&gt;0),1,0)*IF($C234=DV$2,1,0)=1,1+COUNTIF(DV$3:DV233,"&gt;0"),0)</f>
        <v>0</v>
      </c>
      <c r="DW234">
        <f>IF(IF(OR(IFERROR(SEARCH("Paladin",$T234,1),0)&gt;0,IFERROR(SEARCH(PaladinOath,$T234,1),0)&gt;0),1,0)*IF($C234=DW$2,1,0)=1,1+COUNTIF(DW$3:DW233,"&gt;0"),0)</f>
        <v>0</v>
      </c>
      <c r="DY234">
        <f t="shared" si="166"/>
        <v>1</v>
      </c>
      <c r="DZ234">
        <f>IF(DY234=0,0,1+MAX(DZ$3:$DZ233))</f>
        <v>232</v>
      </c>
      <c r="EB234">
        <f t="shared" si="180"/>
        <v>0</v>
      </c>
      <c r="EC234">
        <f>IF(EB234=0,0,1+COUNTIF(EC$3:EC233,"&gt;0"))</f>
        <v>0</v>
      </c>
      <c r="ED234" t="str">
        <f t="shared" si="209"/>
        <v/>
      </c>
      <c r="EE234" t="str">
        <f t="shared" si="181"/>
        <v/>
      </c>
      <c r="EG234">
        <f t="shared" si="182"/>
        <v>0</v>
      </c>
      <c r="EH234">
        <f>IF(EG234=0,0,1+COUNTIF(EH$3:EH233,"&gt;0"))</f>
        <v>0</v>
      </c>
      <c r="EI234" t="str">
        <f t="shared" si="210"/>
        <v/>
      </c>
      <c r="EJ234" t="str">
        <f t="shared" si="183"/>
        <v/>
      </c>
      <c r="EL234">
        <f t="shared" si="184"/>
        <v>0</v>
      </c>
      <c r="EM234">
        <f>IF(EL234=0,0,1+COUNTIF(EM$3:EM233,"&gt;0"))</f>
        <v>0</v>
      </c>
      <c r="EN234" t="str">
        <f t="shared" si="211"/>
        <v/>
      </c>
      <c r="EO234" t="str">
        <f t="shared" si="185"/>
        <v/>
      </c>
      <c r="EQ234">
        <f t="shared" si="186"/>
        <v>0</v>
      </c>
      <c r="ER234">
        <f>IF(EQ234=0,0,1+COUNTIF(ER$3:ER233,"&gt;0"))</f>
        <v>0</v>
      </c>
      <c r="ES234" t="str">
        <f t="shared" si="212"/>
        <v/>
      </c>
      <c r="ET234" t="str">
        <f t="shared" si="187"/>
        <v/>
      </c>
      <c r="EV234">
        <f t="shared" si="188"/>
        <v>0</v>
      </c>
      <c r="EW234">
        <f>IF(EV234=0,0,1+COUNTIF(EW$3:EW233,"&gt;0"))</f>
        <v>0</v>
      </c>
      <c r="EX234" t="str">
        <f t="shared" si="213"/>
        <v/>
      </c>
      <c r="EY234" t="str">
        <f t="shared" si="189"/>
        <v/>
      </c>
      <c r="FA234">
        <f t="shared" si="190"/>
        <v>0</v>
      </c>
      <c r="FB234">
        <f>IF(FA234=0,0,1+COUNTIF(FB$3:FB233,"&gt;0"))</f>
        <v>0</v>
      </c>
      <c r="FC234" t="str">
        <f t="shared" si="214"/>
        <v/>
      </c>
      <c r="FD234" t="str">
        <f t="shared" si="191"/>
        <v/>
      </c>
      <c r="FF234">
        <f t="shared" si="192"/>
        <v>0</v>
      </c>
      <c r="FG234">
        <f>IF(FF234=0,0,1+COUNTIF(FG$3:FG233,"&gt;0"))</f>
        <v>0</v>
      </c>
      <c r="FH234" t="str">
        <f t="shared" si="215"/>
        <v/>
      </c>
      <c r="FI234" t="str">
        <f t="shared" si="193"/>
        <v/>
      </c>
      <c r="FK234">
        <f t="shared" si="194"/>
        <v>0</v>
      </c>
      <c r="FL234">
        <f>IF(FK234=0,0,1+COUNTIF(FL$3:FL233,"&gt;0"))</f>
        <v>0</v>
      </c>
      <c r="FM234" t="str">
        <f t="shared" si="216"/>
        <v/>
      </c>
      <c r="FN234" t="str">
        <f t="shared" si="195"/>
        <v/>
      </c>
      <c r="FP234">
        <f t="shared" si="196"/>
        <v>0</v>
      </c>
      <c r="FQ234">
        <f>IF(FP234=0,0,1+COUNTIF(FQ$3:FQ233,"&gt;0"))</f>
        <v>0</v>
      </c>
      <c r="FR234" t="str">
        <f t="shared" si="217"/>
        <v/>
      </c>
      <c r="FS234" t="str">
        <f t="shared" si="197"/>
        <v/>
      </c>
    </row>
    <row r="235" spans="1:175" x14ac:dyDescent="0.25">
      <c r="A235" s="347">
        <f t="shared" si="219"/>
        <v>233</v>
      </c>
      <c r="B235" s="348" t="s">
        <v>2617</v>
      </c>
      <c r="C235" s="348">
        <v>2</v>
      </c>
      <c r="D235" s="347">
        <v>2</v>
      </c>
      <c r="E235" s="627" t="s">
        <v>6952</v>
      </c>
      <c r="F235" s="346"/>
      <c r="G235" s="347" t="str">
        <f>""</f>
        <v/>
      </c>
      <c r="H235" s="347" t="s">
        <v>5918</v>
      </c>
      <c r="I235" s="347" t="s">
        <v>5283</v>
      </c>
      <c r="J235" s="347" t="str">
        <f t="shared" si="167"/>
        <v/>
      </c>
      <c r="K235" s="347" t="s">
        <v>5278</v>
      </c>
      <c r="L235" s="611" t="str">
        <f t="shared" si="168"/>
        <v>V</v>
      </c>
      <c r="M235" s="347" t="s">
        <v>2373</v>
      </c>
      <c r="N235" s="347" t="s">
        <v>3034</v>
      </c>
      <c r="O235" s="347" t="s">
        <v>3034</v>
      </c>
      <c r="P235" s="346" t="str">
        <f>""</f>
        <v/>
      </c>
      <c r="Q235" s="347" t="s">
        <v>5271</v>
      </c>
      <c r="S235" s="346" t="s">
        <v>2618</v>
      </c>
      <c r="T235" s="346" t="str">
        <f t="shared" si="169"/>
        <v xml:space="preserve">Sorcerer, Warlock, Wizard, Vengeance, Ancients, Coast, </v>
      </c>
      <c r="X235" s="347" t="str">
        <f>$B235</f>
        <v>Misty Step</v>
      </c>
      <c r="Y235" s="347" t="str">
        <f>$B235</f>
        <v>Misty Step</v>
      </c>
      <c r="AD235" s="347" t="str">
        <f t="shared" si="222"/>
        <v>Misty Step</v>
      </c>
      <c r="AE235" t="str">
        <f>IF(IFERROR(MATCH($B235,temp!A$4:A$13,0),0)&gt;0,T08_Spells!AE$2,"")</f>
        <v/>
      </c>
      <c r="AF235" t="str">
        <f>IF(IFERROR(MATCH($B235,temp!B$4:B$13,0),0)&gt;0,T08_Spells!AF$2,"")</f>
        <v>Vengeance</v>
      </c>
      <c r="AG235" t="str">
        <f>IF(IFERROR(MATCH($B235,temp!C$4:C$13,0),0)&gt;0,T08_Spells!AG$2,"")</f>
        <v>Ancients</v>
      </c>
      <c r="AH235" t="str">
        <f>IF(IFERROR(MATCH($B235,temp!D$4:D$13,0),0)&gt;0,T08_Spells!AH$2,"")</f>
        <v/>
      </c>
      <c r="AI235" t="str">
        <f>IF(IFERROR(MATCH($B235,temp!E$4:E$13,0),0)&gt;0,T08_Spells!AI$2,"")</f>
        <v/>
      </c>
      <c r="AJ235" t="str">
        <f>IF(IFERROR(MATCH($B235,temp!F$4:F$13,0),0)&gt;0,T08_Spells!AJ$2,"")</f>
        <v/>
      </c>
      <c r="AK235" t="str">
        <f>IF(IFERROR(MATCH($B235,temp!G$4:G$13,0),0)&gt;0,T08_Spells!AK$2,"")</f>
        <v/>
      </c>
      <c r="AL235" t="str">
        <f>IF(IFERROR(MATCH($B235,temp!H$4:H$13,0),0)&gt;0,T08_Spells!AL$2,"")</f>
        <v/>
      </c>
      <c r="AM235" t="str">
        <f>IF(IFERROR(MATCH($B235,temp!I$4:I$13,0),0)&gt;0,T08_Spells!AM$2,"")</f>
        <v>Coast</v>
      </c>
      <c r="AN235" t="str">
        <f>IF(IFERROR(MATCH($B235,temp!J$4:J$13,0),0)&gt;0,T08_Spells!AN$2,"")</f>
        <v/>
      </c>
      <c r="AO235" t="str">
        <f>IF(IFERROR(MATCH($B235,temp!K$4:K$13,0),0)&gt;0,T08_Spells!AO$2,"")</f>
        <v/>
      </c>
      <c r="AP235" t="str">
        <f>IF(IFERROR(MATCH($B235,temp!L$4:L$13,0),0)&gt;0,T08_Spells!AP$2,"")</f>
        <v/>
      </c>
      <c r="AQ235" t="str">
        <f>IF(IFERROR(MATCH($B235,temp!M$4:M$13,0),0)&gt;0,T08_Spells!AQ$2,"")</f>
        <v/>
      </c>
      <c r="AR235" t="str">
        <f>IF(IFERROR(MATCH($B235,temp!N$4:N$13,0),0)&gt;0,T08_Spells!AR$2,"")</f>
        <v/>
      </c>
      <c r="AS235" t="str">
        <f>IF(IFERROR(MATCH($B235,temp!O$4:O$13,0),0)&gt;0,T08_Spells!AS$2,"")</f>
        <v/>
      </c>
      <c r="AT235" t="str">
        <f>IF(IFERROR(MATCH($B235,temp!P$4:P$13,0),0)&gt;0,T08_Spells!AT$2,"")</f>
        <v/>
      </c>
      <c r="AU235" t="str">
        <f>IF(IFERROR(MATCH($B235,temp!Q$4:Q$13,0),0)&gt;0,T08_Spells!AU$2,"")</f>
        <v/>
      </c>
      <c r="AV235" t="str">
        <f>IF(IFERROR(MATCH($B235,temp!R$4:R$13,0),0)&gt;0,T08_Spells!AV$2,"")</f>
        <v/>
      </c>
      <c r="AW235" t="str">
        <f>IF(IFERROR(MATCH($B235,temp!S$4:S$13,0),0)&gt;0,T08_Spells!AW$2,"")</f>
        <v/>
      </c>
      <c r="AX235" t="str">
        <f>IF(IFERROR(MATCH($B235,temp!T$4:T$13,0),0)&gt;0,T08_Spells!AX$2,"")</f>
        <v/>
      </c>
      <c r="AY235" t="str">
        <f>IF(IFERROR(MATCH($B235,temp!U$4:U$13,0),0)&gt;0,T08_Spells!AY$2,"")</f>
        <v/>
      </c>
      <c r="AZ235" t="str">
        <f>IF(IFERROR(MATCH($B235,temp!V$4:V$13,0),0)&gt;0,T08_Spells!AZ$2,"")</f>
        <v/>
      </c>
      <c r="BA235" t="str">
        <f>IF(IFERROR(MATCH($B235,temp!W$4:W$13,0),0)&gt;0,T08_Spells!BA$2,"")</f>
        <v/>
      </c>
      <c r="BC235">
        <f>IF(IFERROR(SEARCH("Ranger",$T235,1),0)&gt;0,1,0)*IF(RangerMaxSpellLevel&gt;=$C235,1,0)*IF(IFERROR(MATCH(B235,Character_Creation!$X$79:$X$382,0),0)&gt;0,0,1)</f>
        <v>0</v>
      </c>
      <c r="BD235">
        <f>IF(BC235=0,0,1+COUNTIF(BD$3:BD234,"&gt;0"))</f>
        <v>0</v>
      </c>
      <c r="BE235" t="str">
        <f t="shared" si="199"/>
        <v/>
      </c>
      <c r="BF235" t="str">
        <f t="shared" si="170"/>
        <v/>
      </c>
      <c r="BH235">
        <f>IF(IFERROR(SEARCH("Sorcerer",$T235,1),0)&gt;0,1,0)*IF(SorcererMaxSpellLevel&gt;=$C235,1,0)*IF(IFERROR(MATCH(B235,Character_Creation!$J$380:$J$394,0),0)&gt;0,0,1)</f>
        <v>0</v>
      </c>
      <c r="BI235">
        <f>IF(BH235=0,0,1+COUNTIF(BI$3:BI234,"&gt;0"))</f>
        <v>0</v>
      </c>
      <c r="BJ235" t="str">
        <f t="shared" si="200"/>
        <v/>
      </c>
      <c r="BK235" t="str">
        <f t="shared" si="171"/>
        <v/>
      </c>
      <c r="BM235">
        <f>IF(OR(IFERROR(SEARCH("Warlock",$T235,1),0)&gt;0,IFERROR(SEARCH(WarlockPatron,$T235,1),0)&gt;0),1,0)*IF(WarlockMaxSpellLevel&gt;=$C235,1,0)*IF(IFERROR(MATCH(B235,Character_Creation!$J$361:$J$375,0),0)&gt;0,0,1)</f>
        <v>0</v>
      </c>
      <c r="BN235">
        <f>IF(BM235=0,0,1+COUNTIF(BN$3:BN234,"&gt;0"))</f>
        <v>0</v>
      </c>
      <c r="BO235" t="str">
        <f t="shared" si="201"/>
        <v/>
      </c>
      <c r="BP235" t="str">
        <f t="shared" si="172"/>
        <v/>
      </c>
      <c r="BR235">
        <f>IF(IFERROR(SEARCH("Eldritch Knight",$T235,1),0)&gt;0,1,0)*IF(EldritchKnightMaxSpellLevel&gt;=$C235,1,0)*IF(IFERROR(MATCH($B235,Character_Creation!$J$350:$J$356,0),0)&gt;0,0,1)*IF(Character_Creation!$M$338&gt;0,1,0)</f>
        <v>0</v>
      </c>
      <c r="BS235">
        <f>IF(BR235=0,0,1+COUNTIF(BS$3:BS234,"&gt;0"))</f>
        <v>0</v>
      </c>
      <c r="BT235" t="str">
        <f t="shared" si="202"/>
        <v/>
      </c>
      <c r="BU235" t="str">
        <f t="shared" si="173"/>
        <v/>
      </c>
      <c r="BW235">
        <f>IF(IFERROR(SEARCH("Arcane Trickster",$T235,1),0)&gt;0,1,0)*IF(ArcaneTricksterMaxSpellLevel&gt;=$C235,1,0)*IF(IFERROR(MATCH($B235,Character_Creation!$J$350:$J$356,0),0)&gt;0,0,1)*IF(Character_Creation!$T$338&gt;0,1,0)</f>
        <v>0</v>
      </c>
      <c r="BX235">
        <f>IF(BW235=0,0,1+COUNTIF(BX$3:BX234,"&gt;0"))</f>
        <v>0</v>
      </c>
      <c r="BY235" t="str">
        <f t="shared" si="203"/>
        <v/>
      </c>
      <c r="BZ235" t="str">
        <f t="shared" si="174"/>
        <v/>
      </c>
      <c r="CB235">
        <f>IF(IFERROR(SEARCH("Wizard",$T235,1),0)&gt;0,1,0)*IF(C235&lt;=ArcaneTricksterMaxSpellLevel,1,0)*IF(IFERROR(MATCH($B235,Character_Creation!$J$350:$J$356,0),0)&gt;0,0,1)*IF(Character_Creation!$T$350&gt;0,1,0)</f>
        <v>0</v>
      </c>
      <c r="CC235">
        <f>IF(CB235=0,0,1+COUNTIF(CC$3:CC234,"&gt;0"))</f>
        <v>0</v>
      </c>
      <c r="CD235" t="str">
        <f t="shared" si="204"/>
        <v/>
      </c>
      <c r="CE235" t="str">
        <f t="shared" si="175"/>
        <v/>
      </c>
      <c r="CG235">
        <f>IF(IFERROR(SEARCH("Wizard",$T235,1),0)&gt;0,1,0)*IF($C235&lt;=EldritchKnightMaxSpellLevel,1,0)*IF(IFERROR(MATCH($B235,Character_Creation!$J$350:$J$356,0),0)&gt;0,0,1)*IF(Character_Creation!$M$350&gt;0,1,0)</f>
        <v>0</v>
      </c>
      <c r="CH235">
        <f>IF(CG235=0,0,1+COUNTIF(CH$3:CH234,"&gt;0"))</f>
        <v>0</v>
      </c>
      <c r="CI235" t="str">
        <f t="shared" si="205"/>
        <v/>
      </c>
      <c r="CJ235" t="str">
        <f t="shared" si="176"/>
        <v/>
      </c>
      <c r="CL235">
        <f>IF(IFERROR(SEARCH("Bard",$T235,1),0)&gt;0,1,0)*IF(BardMaxSpellLevel&gt;=$C235,1,0)*IF(IFERROR(MATCH(B235,Character_Creation!$C$341:$F$362,0),0)&gt;0,0,1)*IF(IFERROR(MATCH($B235,Character_Creation!$C$341:$C$362,0),0)&gt;0,0,1)</f>
        <v>0</v>
      </c>
      <c r="CM235">
        <f>IF(CL235=0,0,1+COUNTIF(CM$3:CM234,"&gt;0"))</f>
        <v>0</v>
      </c>
      <c r="CN235" t="str">
        <f t="shared" si="206"/>
        <v/>
      </c>
      <c r="CO235" t="str">
        <f t="shared" si="177"/>
        <v/>
      </c>
      <c r="CQ235">
        <f>IF(IFERROR(SEARCH("Wizard",$T235,1),0)&gt;0,1,0)*IF(WizardMaxSpellLevel&gt;=$C235,1,0)*IF(IFERROR(MATCH(B235,Character_Creation!$X$341:$X$400,0),0)&gt;0,0,1)*IF(SelectedWizardSpellLevel=$C235,1,0)</f>
        <v>0</v>
      </c>
      <c r="CR235">
        <f>IF(CQ235=0,0,1+COUNTIF(CR$3:CR234,"&gt;0"))</f>
        <v>0</v>
      </c>
      <c r="CS235" t="str">
        <f t="shared" si="207"/>
        <v/>
      </c>
      <c r="CT235" t="str">
        <f t="shared" si="178"/>
        <v/>
      </c>
      <c r="CV235">
        <f>IF(IFERROR(MATCH($B235,Character_Creation!$C$341:$C$362,0),0)&gt;0,0,1)*IF(OR(C235="Cantrip",C235&lt;=BardMaxSpellLevel),1,0)*IF(IFERROR(MATCH($B235,Character_Creation!$C$367:$C$374,0),0)&gt;0,0,1)</f>
        <v>0</v>
      </c>
      <c r="CW235">
        <f>IF(CV235=0,0,1+COUNTIF(CW$3:CW234,"&gt;0"))</f>
        <v>0</v>
      </c>
      <c r="CX235" t="str">
        <f t="shared" si="208"/>
        <v/>
      </c>
      <c r="CY235" t="str">
        <f t="shared" si="179"/>
        <v/>
      </c>
      <c r="DA235">
        <f>IF(IF(OR(IFERROR(SEARCH("Cleric",$T235,1),0)&gt;0,IFERROR(SEARCH(DivineDomain&amp;",",$T235,1),0)&gt;0),1,0)*IF($C235=DA$2,1,0)=1,1+COUNTIF(DA$3:DA234,"&gt;0"),0)</f>
        <v>0</v>
      </c>
      <c r="DB235">
        <f>IF(IF(OR(IFERROR(SEARCH("Cleric",$T235,1),0)&gt;0,IFERROR(SEARCH(DivineDomain&amp;",",$T235,1),0)&gt;0),1,0)*IF($C235=DB$2,1,0)=1,1+COUNTIF(DB$3:DB234,"&gt;0"),0)</f>
        <v>0</v>
      </c>
      <c r="DC235">
        <f>IF(IF(OR(IFERROR(SEARCH("Cleric",$T235,1),0)&gt;0,IFERROR(SEARCH(DivineDomain&amp;",",$T235,1),0)&gt;0),1,0)*IF($C235=DC$2,1,0)=1,1+COUNTIF(DC$3:DC234,"&gt;0"),0)</f>
        <v>0</v>
      </c>
      <c r="DD235">
        <f>IF(IF(OR(IFERROR(SEARCH("Cleric",$T235,1),0)&gt;0,IFERROR(SEARCH(DivineDomain&amp;",",$T235,1),0)&gt;0),1,0)*IF($C235=DD$2,1,0)=1,1+COUNTIF(DD$3:DD234,"&gt;0"),0)</f>
        <v>0</v>
      </c>
      <c r="DE235">
        <f>IF(IF(OR(IFERROR(SEARCH("Cleric",$T235,1),0)&gt;0,IFERROR(SEARCH(DivineDomain&amp;",",$T235,1),0)&gt;0),1,0)*IF($C235=DE$2,1,0)=1,1+COUNTIF(DE$3:DE234,"&gt;0"),0)</f>
        <v>0</v>
      </c>
      <c r="DF235">
        <f>IF(IF(OR(IFERROR(SEARCH("Cleric",$T235,1),0)&gt;0,IFERROR(SEARCH(DivineDomain&amp;",",$T235,1),0)&gt;0),1,0)*IF($C235=DF$2,1,0)=1,1+COUNTIF(DF$3:DF234,"&gt;0"),0)</f>
        <v>0</v>
      </c>
      <c r="DG235">
        <f>IF(IF(OR(IFERROR(SEARCH("Cleric",$T235,1),0)&gt;0,IFERROR(SEARCH(DivineDomain&amp;",",$T235,1),0)&gt;0),1,0)*IF($C235=DG$2,1,0)=1,1+COUNTIF(DG$3:DG234,"&gt;0"),0)</f>
        <v>0</v>
      </c>
      <c r="DH235">
        <f>IF(IF(OR(IFERROR(SEARCH("Cleric",$T235,1),0)&gt;0,IFERROR(SEARCH(DivineDomain&amp;",",$T235,1),0)&gt;0),1,0)*IF($C235=DH$2,1,0)=1,1+COUNTIF(DH$3:DH234,"&gt;0"),0)</f>
        <v>0</v>
      </c>
      <c r="DI235">
        <f>IF(IF(OR(IFERROR(SEARCH("Cleric",$T235,1),0)&gt;0,IFERROR(SEARCH(DivineDomain&amp;",",$T235,1),0)&gt;0),1,0)*IF($C235=DI$2,1,0)=1,1+COUNTIF(DI$3:DI234,"&gt;0"),0)</f>
        <v>0</v>
      </c>
      <c r="DJ235">
        <f>IF(IF(OR(IFERROR(SEARCH("Druid",$T235,1),0)&gt;0,IFERROR(SEARCH(DruidLand1,$T235,1),0)&gt;0,IFERROR(SEARCH(DruidLand2,$T235,1),0)&gt;0,IFERROR(SEARCH(DruidLand3,$T235,1),0)&gt;0,IFERROR(SEARCH(DruidLand4,$T235,1),0)&gt;0),1,0)*IF($C235=1,1,0)*IF($C235=DJ$2,1,0)=0,0,1+COUNTIF(DJ$3:DJ234,"&gt;0"))</f>
        <v>0</v>
      </c>
      <c r="DK235">
        <f>IF(IF(OR(IFERROR(SEARCH("Druid",$T235,1),0)&gt;0,IFERROR(SEARCH(DruidLand1,$T235,1),0)&gt;0,IFERROR(SEARCH(DruidLand2,$T235,1),0)&gt;0,IFERROR(SEARCH(DruidLand3,$T235,1),0)&gt;0,IFERROR(SEARCH(DruidLand4,$T235,1),0)&gt;0),1,0)*IF($C235=1,1,0)*IF($C235=DK$2,1,0)=0,0,1+COUNTIF(DK$3:DK234,"&gt;0"))</f>
        <v>0</v>
      </c>
      <c r="DL235">
        <f>IF(IF(OR(IFERROR(SEARCH("Druid",$T235,1),0)&gt;0,IFERROR(SEARCH(DruidLand1,$T235,1),0)&gt;0,IFERROR(SEARCH(DruidLand2,$T235,1),0)&gt;0,IFERROR(SEARCH(DruidLand3,$T235,1),0)&gt;0,IFERROR(SEARCH(DruidLand4,$T235,1),0)&gt;0),1,0)*IF($C235=1,1,0)*IF($C235=DL$2,1,0)=0,0,1+COUNTIF(DL$3:DL234,"&gt;0"))</f>
        <v>0</v>
      </c>
      <c r="DM235">
        <f>IF(IF(OR(IFERROR(SEARCH("Druid",$T235,1),0)&gt;0,IFERROR(SEARCH(DruidLand1,$T235,1),0)&gt;0,IFERROR(SEARCH(DruidLand2,$T235,1),0)&gt;0,IFERROR(SEARCH(DruidLand3,$T235,1),0)&gt;0,IFERROR(SEARCH(DruidLand4,$T235,1),0)&gt;0),1,0)*IF($C235=1,1,0)*IF($C235=DM$2,1,0)=0,0,1+COUNTIF(DM$3:DM234,"&gt;0"))</f>
        <v>0</v>
      </c>
      <c r="DN235">
        <f>IF(IF(OR(IFERROR(SEARCH("Druid",$T235,1),0)&gt;0,IFERROR(SEARCH(DruidLand1,$T235,1),0)&gt;0,IFERROR(SEARCH(DruidLand2,$T235,1),0)&gt;0,IFERROR(SEARCH(DruidLand3,$T235,1),0)&gt;0,IFERROR(SEARCH(DruidLand4,$T235,1),0)&gt;0),1,0)*IF($C235=1,1,0)*IF($C235=DN$2,1,0)=0,0,1+COUNTIF(DN$3:DN234,"&gt;0"))</f>
        <v>0</v>
      </c>
      <c r="DO235">
        <f>IF(IF(OR(IFERROR(SEARCH("Druid",$T235,1),0)&gt;0,IFERROR(SEARCH(DruidLand1,$T235,1),0)&gt;0,IFERROR(SEARCH(DruidLand2,$T235,1),0)&gt;0,IFERROR(SEARCH(DruidLand3,$T235,1),0)&gt;0,IFERROR(SEARCH(DruidLand4,$T235,1),0)&gt;0),1,0)*IF($C235=1,1,0)*IF($C235=DO$2,1,0)=0,0,1+COUNTIF(DO$3:DO234,"&gt;0"))</f>
        <v>0</v>
      </c>
      <c r="DP235">
        <f>IF(IF(OR(IFERROR(SEARCH("Druid",$T235,1),0)&gt;0,IFERROR(SEARCH(DruidLand1,$T235,1),0)&gt;0,IFERROR(SEARCH(DruidLand2,$T235,1),0)&gt;0,IFERROR(SEARCH(DruidLand3,$T235,1),0)&gt;0,IFERROR(SEARCH(DruidLand4,$T235,1),0)&gt;0),1,0)*IF($C235=1,1,0)*IF($C235=DP$2,1,0)=0,0,1+COUNTIF(DP$3:DP234,"&gt;0"))</f>
        <v>0</v>
      </c>
      <c r="DQ235">
        <f>IF(IF(OR(IFERROR(SEARCH("Druid",$T235,1),0)&gt;0,IFERROR(SEARCH(DruidLand1,$T235,1),0)&gt;0,IFERROR(SEARCH(DruidLand2,$T235,1),0)&gt;0,IFERROR(SEARCH(DruidLand3,$T235,1),0)&gt;0,IFERROR(SEARCH(DruidLand4,$T235,1),0)&gt;0),1,0)*IF($C235=1,1,0)*IF($C235=DQ$2,1,0)=0,0,1+COUNTIF(DQ$3:DQ234,"&gt;0"))</f>
        <v>0</v>
      </c>
      <c r="DR235">
        <f>IF(IF(OR(IFERROR(SEARCH("Druid",$T235,1),0)&gt;0,IFERROR(SEARCH(DruidLand1,$T235,1),0)&gt;0,IFERROR(SEARCH(DruidLand2,$T235,1),0)&gt;0,IFERROR(SEARCH(DruidLand3,$T235,1),0)&gt;0,IFERROR(SEARCH(DruidLand4,$T235,1),0)&gt;0),1,0)*IF($C235=1,1,0)*IF($C235=DR$2,1,0)=0,0,1+COUNTIF(DR$3:DR234,"&gt;0"))</f>
        <v>0</v>
      </c>
      <c r="DS235">
        <f>IF(IF(OR(IFERROR(SEARCH("Paladin",$T235,1),0)&gt;0,IFERROR(SEARCH(PaladinOath,$T235,1),0)&gt;0),1,0)*IF($C235=DS$2,1,0)=1,1+COUNTIF(DS$3:DS234,"&gt;0"),0)</f>
        <v>0</v>
      </c>
      <c r="DT235">
        <f>IF(IF(OR(IFERROR(SEARCH("Paladin",$T235,1),0)&gt;0,IFERROR(SEARCH(PaladinOath,$T235,1),0)&gt;0),1,0)*IF($C235=DT$2,1,0)=1,1+COUNTIF(DT$3:DT234,"&gt;0"),0)</f>
        <v>0</v>
      </c>
      <c r="DU235">
        <f>IF(IF(OR(IFERROR(SEARCH("Paladin",$T235,1),0)&gt;0,IFERROR(SEARCH(PaladinOath,$T235,1),0)&gt;0),1,0)*IF($C235=DU$2,1,0)=1,1+COUNTIF(DU$3:DU234,"&gt;0"),0)</f>
        <v>0</v>
      </c>
      <c r="DV235">
        <f>IF(IF(OR(IFERROR(SEARCH("Paladin",$T235,1),0)&gt;0,IFERROR(SEARCH(PaladinOath,$T235,1),0)&gt;0),1,0)*IF($C235=DV$2,1,0)=1,1+COUNTIF(DV$3:DV234,"&gt;0"),0)</f>
        <v>0</v>
      </c>
      <c r="DW235">
        <f>IF(IF(OR(IFERROR(SEARCH("Paladin",$T235,1),0)&gt;0,IFERROR(SEARCH(PaladinOath,$T235,1),0)&gt;0),1,0)*IF($C235=DW$2,1,0)=1,1+COUNTIF(DW$3:DW234,"&gt;0"),0)</f>
        <v>0</v>
      </c>
      <c r="DY235">
        <f t="shared" si="166"/>
        <v>1</v>
      </c>
      <c r="DZ235">
        <f>IF(DY235=0,0,1+MAX(DZ$3:$DZ234))</f>
        <v>233</v>
      </c>
      <c r="EB235">
        <f t="shared" si="180"/>
        <v>0</v>
      </c>
      <c r="EC235">
        <f>IF(EB235=0,0,1+COUNTIF(EC$3:EC234,"&gt;0"))</f>
        <v>0</v>
      </c>
      <c r="ED235" t="str">
        <f t="shared" si="209"/>
        <v/>
      </c>
      <c r="EE235" t="str">
        <f t="shared" si="181"/>
        <v/>
      </c>
      <c r="EG235">
        <f t="shared" si="182"/>
        <v>0</v>
      </c>
      <c r="EH235">
        <f>IF(EG235=0,0,1+COUNTIF(EH$3:EH234,"&gt;0"))</f>
        <v>0</v>
      </c>
      <c r="EI235" t="str">
        <f t="shared" si="210"/>
        <v/>
      </c>
      <c r="EJ235" t="str">
        <f t="shared" si="183"/>
        <v/>
      </c>
      <c r="EL235">
        <f t="shared" si="184"/>
        <v>0</v>
      </c>
      <c r="EM235">
        <f>IF(EL235=0,0,1+COUNTIF(EM$3:EM234,"&gt;0"))</f>
        <v>0</v>
      </c>
      <c r="EN235" t="str">
        <f t="shared" si="211"/>
        <v/>
      </c>
      <c r="EO235" t="str">
        <f t="shared" si="185"/>
        <v/>
      </c>
      <c r="EQ235">
        <f t="shared" si="186"/>
        <v>0</v>
      </c>
      <c r="ER235">
        <f>IF(EQ235=0,0,1+COUNTIF(ER$3:ER234,"&gt;0"))</f>
        <v>0</v>
      </c>
      <c r="ES235" t="str">
        <f t="shared" si="212"/>
        <v/>
      </c>
      <c r="ET235" t="str">
        <f t="shared" si="187"/>
        <v/>
      </c>
      <c r="EV235">
        <f t="shared" si="188"/>
        <v>0</v>
      </c>
      <c r="EW235">
        <f>IF(EV235=0,0,1+COUNTIF(EW$3:EW234,"&gt;0"))</f>
        <v>0</v>
      </c>
      <c r="EX235" t="str">
        <f t="shared" si="213"/>
        <v/>
      </c>
      <c r="EY235" t="str">
        <f t="shared" si="189"/>
        <v/>
      </c>
      <c r="FA235">
        <f t="shared" si="190"/>
        <v>0</v>
      </c>
      <c r="FB235">
        <f>IF(FA235=0,0,1+COUNTIF(FB$3:FB234,"&gt;0"))</f>
        <v>0</v>
      </c>
      <c r="FC235" t="str">
        <f t="shared" si="214"/>
        <v/>
      </c>
      <c r="FD235" t="str">
        <f t="shared" si="191"/>
        <v/>
      </c>
      <c r="FF235">
        <f t="shared" si="192"/>
        <v>0</v>
      </c>
      <c r="FG235">
        <f>IF(FF235=0,0,1+COUNTIF(FG$3:FG234,"&gt;0"))</f>
        <v>0</v>
      </c>
      <c r="FH235" t="str">
        <f t="shared" si="215"/>
        <v/>
      </c>
      <c r="FI235" t="str">
        <f t="shared" si="193"/>
        <v/>
      </c>
      <c r="FK235">
        <f t="shared" si="194"/>
        <v>0</v>
      </c>
      <c r="FL235">
        <f>IF(FK235=0,0,1+COUNTIF(FL$3:FL234,"&gt;0"))</f>
        <v>0</v>
      </c>
      <c r="FM235" t="str">
        <f t="shared" si="216"/>
        <v/>
      </c>
      <c r="FN235" t="str">
        <f t="shared" si="195"/>
        <v/>
      </c>
      <c r="FP235">
        <f t="shared" si="196"/>
        <v>0</v>
      </c>
      <c r="FQ235">
        <f>IF(FP235=0,0,1+COUNTIF(FQ$3:FQ234,"&gt;0"))</f>
        <v>0</v>
      </c>
      <c r="FR235" t="str">
        <f t="shared" si="217"/>
        <v/>
      </c>
      <c r="FS235" t="str">
        <f t="shared" si="197"/>
        <v/>
      </c>
    </row>
    <row r="236" spans="1:175" x14ac:dyDescent="0.25">
      <c r="A236" s="347">
        <f t="shared" si="219"/>
        <v>234</v>
      </c>
      <c r="B236" s="348" t="s">
        <v>2619</v>
      </c>
      <c r="C236" s="348">
        <v>5</v>
      </c>
      <c r="D236" s="347">
        <v>5</v>
      </c>
      <c r="E236" s="627" t="s">
        <v>6952</v>
      </c>
      <c r="F236" s="346"/>
      <c r="G236" s="347" t="str">
        <f>""</f>
        <v/>
      </c>
      <c r="H236" s="347" t="s">
        <v>5912</v>
      </c>
      <c r="I236" s="347" t="s">
        <v>5060</v>
      </c>
      <c r="J236" s="347" t="str">
        <f t="shared" si="167"/>
        <v/>
      </c>
      <c r="K236" s="347" t="s">
        <v>5291</v>
      </c>
      <c r="L236" s="611" t="str">
        <f t="shared" si="168"/>
        <v>V, S</v>
      </c>
      <c r="M236" s="347" t="s">
        <v>2373</v>
      </c>
      <c r="N236" s="347" t="s">
        <v>2387</v>
      </c>
      <c r="O236" s="347" t="s">
        <v>3034</v>
      </c>
      <c r="P236" s="346" t="str">
        <f>""</f>
        <v/>
      </c>
      <c r="Q236" s="347" t="s">
        <v>5272</v>
      </c>
      <c r="S236" s="346" t="s">
        <v>5773</v>
      </c>
      <c r="T236" s="346" t="str">
        <f t="shared" si="169"/>
        <v xml:space="preserve">Bard, Arcane Trickster, Wizard, Trickery, </v>
      </c>
      <c r="U236" s="347" t="str">
        <f>$B236</f>
        <v>Modify Memory</v>
      </c>
      <c r="AC236" s="539" t="str">
        <f>B236</f>
        <v>Modify Memory</v>
      </c>
      <c r="AD236" s="347" t="str">
        <f t="shared" si="222"/>
        <v>Modify Memory</v>
      </c>
      <c r="AE236" t="str">
        <f>IF(IFERROR(MATCH($B236,temp!A$4:A$13,0),0)&gt;0,T08_Spells!AE$2,"")</f>
        <v/>
      </c>
      <c r="AF236" t="str">
        <f>IF(IFERROR(MATCH($B236,temp!B$4:B$13,0),0)&gt;0,T08_Spells!AF$2,"")</f>
        <v/>
      </c>
      <c r="AG236" t="str">
        <f>IF(IFERROR(MATCH($B236,temp!C$4:C$13,0),0)&gt;0,T08_Spells!AG$2,"")</f>
        <v/>
      </c>
      <c r="AH236" t="str">
        <f>IF(IFERROR(MATCH($B236,temp!D$4:D$13,0),0)&gt;0,T08_Spells!AH$2,"")</f>
        <v/>
      </c>
      <c r="AI236" t="str">
        <f>IF(IFERROR(MATCH($B236,temp!E$4:E$13,0),0)&gt;0,T08_Spells!AI$2,"")</f>
        <v/>
      </c>
      <c r="AJ236" t="str">
        <f>IF(IFERROR(MATCH($B236,temp!F$4:F$13,0),0)&gt;0,T08_Spells!AJ$2,"")</f>
        <v/>
      </c>
      <c r="AK236" t="str">
        <f>IF(IFERROR(MATCH($B236,temp!G$4:G$13,0),0)&gt;0,T08_Spells!AK$2,"")</f>
        <v/>
      </c>
      <c r="AL236" t="str">
        <f>IF(IFERROR(MATCH($B236,temp!H$4:H$13,0),0)&gt;0,T08_Spells!AL$2,"")</f>
        <v/>
      </c>
      <c r="AM236" t="str">
        <f>IF(IFERROR(MATCH($B236,temp!I$4:I$13,0),0)&gt;0,T08_Spells!AM$2,"")</f>
        <v/>
      </c>
      <c r="AN236" t="str">
        <f>IF(IFERROR(MATCH($B236,temp!J$4:J$13,0),0)&gt;0,T08_Spells!AN$2,"")</f>
        <v/>
      </c>
      <c r="AO236" t="str">
        <f>IF(IFERROR(MATCH($B236,temp!K$4:K$13,0),0)&gt;0,T08_Spells!AO$2,"")</f>
        <v/>
      </c>
      <c r="AP236" t="str">
        <f>IF(IFERROR(MATCH($B236,temp!L$4:L$13,0),0)&gt;0,T08_Spells!AP$2,"")</f>
        <v/>
      </c>
      <c r="AQ236" t="str">
        <f>IF(IFERROR(MATCH($B236,temp!M$4:M$13,0),0)&gt;0,T08_Spells!AQ$2,"")</f>
        <v/>
      </c>
      <c r="AR236" t="str">
        <f>IF(IFERROR(MATCH($B236,temp!N$4:N$13,0),0)&gt;0,T08_Spells!AR$2,"")</f>
        <v/>
      </c>
      <c r="AS236" t="str">
        <f>IF(IFERROR(MATCH($B236,temp!O$4:O$13,0),0)&gt;0,T08_Spells!AS$2,"")</f>
        <v/>
      </c>
      <c r="AT236" t="str">
        <f>IF(IFERROR(MATCH($B236,temp!P$4:P$13,0),0)&gt;0,T08_Spells!AT$2,"")</f>
        <v/>
      </c>
      <c r="AU236" t="str">
        <f>IF(IFERROR(MATCH($B236,temp!Q$4:Q$13,0),0)&gt;0,T08_Spells!AU$2,"")</f>
        <v/>
      </c>
      <c r="AV236" t="str">
        <f>IF(IFERROR(MATCH($B236,temp!R$4:R$13,0),0)&gt;0,T08_Spells!AV$2,"")</f>
        <v/>
      </c>
      <c r="AW236" t="str">
        <f>IF(IFERROR(MATCH($B236,temp!S$4:S$13,0),0)&gt;0,T08_Spells!AW$2,"")</f>
        <v/>
      </c>
      <c r="AX236" t="str">
        <f>IF(IFERROR(MATCH($B236,temp!T$4:T$13,0),0)&gt;0,T08_Spells!AX$2,"")</f>
        <v/>
      </c>
      <c r="AY236" t="str">
        <f>IF(IFERROR(MATCH($B236,temp!U$4:U$13,0),0)&gt;0,T08_Spells!AY$2,"")</f>
        <v>Trickery</v>
      </c>
      <c r="AZ236" t="str">
        <f>IF(IFERROR(MATCH($B236,temp!V$4:V$13,0),0)&gt;0,T08_Spells!AZ$2,"")</f>
        <v/>
      </c>
      <c r="BA236" t="str">
        <f>IF(IFERROR(MATCH($B236,temp!W$4:W$13,0),0)&gt;0,T08_Spells!BA$2,"")</f>
        <v/>
      </c>
      <c r="BC236">
        <f>IF(IFERROR(SEARCH("Ranger",$T236,1),0)&gt;0,1,0)*IF(RangerMaxSpellLevel&gt;=$C236,1,0)*IF(IFERROR(MATCH(B236,Character_Creation!$X$79:$X$382,0),0)&gt;0,0,1)</f>
        <v>0</v>
      </c>
      <c r="BD236">
        <f>IF(BC236=0,0,1+COUNTIF(BD$3:BD235,"&gt;0"))</f>
        <v>0</v>
      </c>
      <c r="BE236" t="str">
        <f t="shared" si="199"/>
        <v/>
      </c>
      <c r="BF236" t="str">
        <f t="shared" si="170"/>
        <v/>
      </c>
      <c r="BH236">
        <f>IF(IFERROR(SEARCH("Sorcerer",$T236,1),0)&gt;0,1,0)*IF(SorcererMaxSpellLevel&gt;=$C236,1,0)*IF(IFERROR(MATCH(B236,Character_Creation!$J$380:$J$394,0),0)&gt;0,0,1)</f>
        <v>0</v>
      </c>
      <c r="BI236">
        <f>IF(BH236=0,0,1+COUNTIF(BI$3:BI235,"&gt;0"))</f>
        <v>0</v>
      </c>
      <c r="BJ236" t="str">
        <f t="shared" si="200"/>
        <v/>
      </c>
      <c r="BK236" t="str">
        <f t="shared" si="171"/>
        <v/>
      </c>
      <c r="BM236">
        <f>IF(OR(IFERROR(SEARCH("Warlock",$T236,1),0)&gt;0,IFERROR(SEARCH(WarlockPatron,$T236,1),0)&gt;0),1,0)*IF(WarlockMaxSpellLevel&gt;=$C236,1,0)*IF(IFERROR(MATCH(B236,Character_Creation!$J$361:$J$375,0),0)&gt;0,0,1)</f>
        <v>0</v>
      </c>
      <c r="BN236">
        <f>IF(BM236=0,0,1+COUNTIF(BN$3:BN235,"&gt;0"))</f>
        <v>0</v>
      </c>
      <c r="BO236" t="str">
        <f t="shared" si="201"/>
        <v/>
      </c>
      <c r="BP236" t="str">
        <f t="shared" si="172"/>
        <v/>
      </c>
      <c r="BR236">
        <f>IF(IFERROR(SEARCH("Eldritch Knight",$T236,1),0)&gt;0,1,0)*IF(EldritchKnightMaxSpellLevel&gt;=$C236,1,0)*IF(IFERROR(MATCH($B236,Character_Creation!$J$350:$J$356,0),0)&gt;0,0,1)*IF(Character_Creation!$M$338&gt;0,1,0)</f>
        <v>0</v>
      </c>
      <c r="BS236">
        <f>IF(BR236=0,0,1+COUNTIF(BS$3:BS235,"&gt;0"))</f>
        <v>0</v>
      </c>
      <c r="BT236" t="str">
        <f t="shared" si="202"/>
        <v/>
      </c>
      <c r="BU236" t="str">
        <f t="shared" si="173"/>
        <v/>
      </c>
      <c r="BW236">
        <f>IF(IFERROR(SEARCH("Arcane Trickster",$T236,1),0)&gt;0,1,0)*IF(ArcaneTricksterMaxSpellLevel&gt;=$C236,1,0)*IF(IFERROR(MATCH($B236,Character_Creation!$J$350:$J$356,0),0)&gt;0,0,1)*IF(Character_Creation!$T$338&gt;0,1,0)</f>
        <v>0</v>
      </c>
      <c r="BX236">
        <f>IF(BW236=0,0,1+COUNTIF(BX$3:BX235,"&gt;0"))</f>
        <v>0</v>
      </c>
      <c r="BY236" t="str">
        <f t="shared" si="203"/>
        <v/>
      </c>
      <c r="BZ236" t="str">
        <f t="shared" si="174"/>
        <v/>
      </c>
      <c r="CB236">
        <f>IF(IFERROR(SEARCH("Wizard",$T236,1),0)&gt;0,1,0)*IF(C236&lt;=ArcaneTricksterMaxSpellLevel,1,0)*IF(IFERROR(MATCH($B236,Character_Creation!$J$350:$J$356,0),0)&gt;0,0,1)*IF(Character_Creation!$T$350&gt;0,1,0)</f>
        <v>0</v>
      </c>
      <c r="CC236">
        <f>IF(CB236=0,0,1+COUNTIF(CC$3:CC235,"&gt;0"))</f>
        <v>0</v>
      </c>
      <c r="CD236" t="str">
        <f t="shared" si="204"/>
        <v/>
      </c>
      <c r="CE236" t="str">
        <f t="shared" si="175"/>
        <v/>
      </c>
      <c r="CG236">
        <f>IF(IFERROR(SEARCH("Wizard",$T236,1),0)&gt;0,1,0)*IF($C236&lt;=EldritchKnightMaxSpellLevel,1,0)*IF(IFERROR(MATCH($B236,Character_Creation!$J$350:$J$356,0),0)&gt;0,0,1)*IF(Character_Creation!$M$350&gt;0,1,0)</f>
        <v>0</v>
      </c>
      <c r="CH236">
        <f>IF(CG236=0,0,1+COUNTIF(CH$3:CH235,"&gt;0"))</f>
        <v>0</v>
      </c>
      <c r="CI236" t="str">
        <f t="shared" si="205"/>
        <v/>
      </c>
      <c r="CJ236" t="str">
        <f t="shared" si="176"/>
        <v/>
      </c>
      <c r="CL236">
        <f>IF(IFERROR(SEARCH("Bard",$T236,1),0)&gt;0,1,0)*IF(BardMaxSpellLevel&gt;=$C236,1,0)*IF(IFERROR(MATCH(B236,Character_Creation!$C$341:$F$362,0),0)&gt;0,0,1)*IF(IFERROR(MATCH($B236,Character_Creation!$C$341:$C$362,0),0)&gt;0,0,1)</f>
        <v>0</v>
      </c>
      <c r="CM236">
        <f>IF(CL236=0,0,1+COUNTIF(CM$3:CM235,"&gt;0"))</f>
        <v>0</v>
      </c>
      <c r="CN236" t="str">
        <f t="shared" si="206"/>
        <v/>
      </c>
      <c r="CO236" t="str">
        <f t="shared" si="177"/>
        <v/>
      </c>
      <c r="CQ236">
        <f>IF(IFERROR(SEARCH("Wizard",$T236,1),0)&gt;0,1,0)*IF(WizardMaxSpellLevel&gt;=$C236,1,0)*IF(IFERROR(MATCH(B236,Character_Creation!$X$341:$X$400,0),0)&gt;0,0,1)*IF(SelectedWizardSpellLevel=$C236,1,0)</f>
        <v>0</v>
      </c>
      <c r="CR236">
        <f>IF(CQ236=0,0,1+COUNTIF(CR$3:CR235,"&gt;0"))</f>
        <v>0</v>
      </c>
      <c r="CS236" t="str">
        <f t="shared" si="207"/>
        <v/>
      </c>
      <c r="CT236" t="str">
        <f t="shared" si="178"/>
        <v/>
      </c>
      <c r="CV236">
        <f>IF(IFERROR(MATCH($B236,Character_Creation!$C$341:$C$362,0),0)&gt;0,0,1)*IF(OR(C236="Cantrip",C236&lt;=BardMaxSpellLevel),1,0)*IF(IFERROR(MATCH($B236,Character_Creation!$C$367:$C$374,0),0)&gt;0,0,1)</f>
        <v>0</v>
      </c>
      <c r="CW236">
        <f>IF(CV236=0,0,1+COUNTIF(CW$3:CW235,"&gt;0"))</f>
        <v>0</v>
      </c>
      <c r="CX236" t="str">
        <f t="shared" si="208"/>
        <v/>
      </c>
      <c r="CY236" t="str">
        <f t="shared" si="179"/>
        <v/>
      </c>
      <c r="DA236">
        <f>IF(IF(OR(IFERROR(SEARCH("Cleric",$T236,1),0)&gt;0,IFERROR(SEARCH(DivineDomain&amp;",",$T236,1),0)&gt;0),1,0)*IF($C236=DA$2,1,0)=1,1+COUNTIF(DA$3:DA235,"&gt;0"),0)</f>
        <v>0</v>
      </c>
      <c r="DB236">
        <f>IF(IF(OR(IFERROR(SEARCH("Cleric",$T236,1),0)&gt;0,IFERROR(SEARCH(DivineDomain&amp;",",$T236,1),0)&gt;0),1,0)*IF($C236=DB$2,1,0)=1,1+COUNTIF(DB$3:DB235,"&gt;0"),0)</f>
        <v>0</v>
      </c>
      <c r="DC236">
        <f>IF(IF(OR(IFERROR(SEARCH("Cleric",$T236,1),0)&gt;0,IFERROR(SEARCH(DivineDomain&amp;",",$T236,1),0)&gt;0),1,0)*IF($C236=DC$2,1,0)=1,1+COUNTIF(DC$3:DC235,"&gt;0"),0)</f>
        <v>0</v>
      </c>
      <c r="DD236">
        <f>IF(IF(OR(IFERROR(SEARCH("Cleric",$T236,1),0)&gt;0,IFERROR(SEARCH(DivineDomain&amp;",",$T236,1),0)&gt;0),1,0)*IF($C236=DD$2,1,0)=1,1+COUNTIF(DD$3:DD235,"&gt;0"),0)</f>
        <v>0</v>
      </c>
      <c r="DE236">
        <f>IF(IF(OR(IFERROR(SEARCH("Cleric",$T236,1),0)&gt;0,IFERROR(SEARCH(DivineDomain&amp;",",$T236,1),0)&gt;0),1,0)*IF($C236=DE$2,1,0)=1,1+COUNTIF(DE$3:DE235,"&gt;0"),0)</f>
        <v>0</v>
      </c>
      <c r="DF236">
        <f>IF(IF(OR(IFERROR(SEARCH("Cleric",$T236,1),0)&gt;0,IFERROR(SEARCH(DivineDomain&amp;",",$T236,1),0)&gt;0),1,0)*IF($C236=DF$2,1,0)=1,1+COUNTIF(DF$3:DF235,"&gt;0"),0)</f>
        <v>0</v>
      </c>
      <c r="DG236">
        <f>IF(IF(OR(IFERROR(SEARCH("Cleric",$T236,1),0)&gt;0,IFERROR(SEARCH(DivineDomain&amp;",",$T236,1),0)&gt;0),1,0)*IF($C236=DG$2,1,0)=1,1+COUNTIF(DG$3:DG235,"&gt;0"),0)</f>
        <v>0</v>
      </c>
      <c r="DH236">
        <f>IF(IF(OR(IFERROR(SEARCH("Cleric",$T236,1),0)&gt;0,IFERROR(SEARCH(DivineDomain&amp;",",$T236,1),0)&gt;0),1,0)*IF($C236=DH$2,1,0)=1,1+COUNTIF(DH$3:DH235,"&gt;0"),0)</f>
        <v>0</v>
      </c>
      <c r="DI236">
        <f>IF(IF(OR(IFERROR(SEARCH("Cleric",$T236,1),0)&gt;0,IFERROR(SEARCH(DivineDomain&amp;",",$T236,1),0)&gt;0),1,0)*IF($C236=DI$2,1,0)=1,1+COUNTIF(DI$3:DI235,"&gt;0"),0)</f>
        <v>0</v>
      </c>
      <c r="DJ236">
        <f>IF(IF(OR(IFERROR(SEARCH("Druid",$T236,1),0)&gt;0,IFERROR(SEARCH(DruidLand1,$T236,1),0)&gt;0,IFERROR(SEARCH(DruidLand2,$T236,1),0)&gt;0,IFERROR(SEARCH(DruidLand3,$T236,1),0)&gt;0,IFERROR(SEARCH(DruidLand4,$T236,1),0)&gt;0),1,0)*IF($C236=1,1,0)*IF($C236=DJ$2,1,0)=0,0,1+COUNTIF(DJ$3:DJ235,"&gt;0"))</f>
        <v>0</v>
      </c>
      <c r="DK236">
        <f>IF(IF(OR(IFERROR(SEARCH("Druid",$T236,1),0)&gt;0,IFERROR(SEARCH(DruidLand1,$T236,1),0)&gt;0,IFERROR(SEARCH(DruidLand2,$T236,1),0)&gt;0,IFERROR(SEARCH(DruidLand3,$T236,1),0)&gt;0,IFERROR(SEARCH(DruidLand4,$T236,1),0)&gt;0),1,0)*IF($C236=1,1,0)*IF($C236=DK$2,1,0)=0,0,1+COUNTIF(DK$3:DK235,"&gt;0"))</f>
        <v>0</v>
      </c>
      <c r="DL236">
        <f>IF(IF(OR(IFERROR(SEARCH("Druid",$T236,1),0)&gt;0,IFERROR(SEARCH(DruidLand1,$T236,1),0)&gt;0,IFERROR(SEARCH(DruidLand2,$T236,1),0)&gt;0,IFERROR(SEARCH(DruidLand3,$T236,1),0)&gt;0,IFERROR(SEARCH(DruidLand4,$T236,1),0)&gt;0),1,0)*IF($C236=1,1,0)*IF($C236=DL$2,1,0)=0,0,1+COUNTIF(DL$3:DL235,"&gt;0"))</f>
        <v>0</v>
      </c>
      <c r="DM236">
        <f>IF(IF(OR(IFERROR(SEARCH("Druid",$T236,1),0)&gt;0,IFERROR(SEARCH(DruidLand1,$T236,1),0)&gt;0,IFERROR(SEARCH(DruidLand2,$T236,1),0)&gt;0,IFERROR(SEARCH(DruidLand3,$T236,1),0)&gt;0,IFERROR(SEARCH(DruidLand4,$T236,1),0)&gt;0),1,0)*IF($C236=1,1,0)*IF($C236=DM$2,1,0)=0,0,1+COUNTIF(DM$3:DM235,"&gt;0"))</f>
        <v>0</v>
      </c>
      <c r="DN236">
        <f>IF(IF(OR(IFERROR(SEARCH("Druid",$T236,1),0)&gt;0,IFERROR(SEARCH(DruidLand1,$T236,1),0)&gt;0,IFERROR(SEARCH(DruidLand2,$T236,1),0)&gt;0,IFERROR(SEARCH(DruidLand3,$T236,1),0)&gt;0,IFERROR(SEARCH(DruidLand4,$T236,1),0)&gt;0),1,0)*IF($C236=1,1,0)*IF($C236=DN$2,1,0)=0,0,1+COUNTIF(DN$3:DN235,"&gt;0"))</f>
        <v>0</v>
      </c>
      <c r="DO236">
        <f>IF(IF(OR(IFERROR(SEARCH("Druid",$T236,1),0)&gt;0,IFERROR(SEARCH(DruidLand1,$T236,1),0)&gt;0,IFERROR(SEARCH(DruidLand2,$T236,1),0)&gt;0,IFERROR(SEARCH(DruidLand3,$T236,1),0)&gt;0,IFERROR(SEARCH(DruidLand4,$T236,1),0)&gt;0),1,0)*IF($C236=1,1,0)*IF($C236=DO$2,1,0)=0,0,1+COUNTIF(DO$3:DO235,"&gt;0"))</f>
        <v>0</v>
      </c>
      <c r="DP236">
        <f>IF(IF(OR(IFERROR(SEARCH("Druid",$T236,1),0)&gt;0,IFERROR(SEARCH(DruidLand1,$T236,1),0)&gt;0,IFERROR(SEARCH(DruidLand2,$T236,1),0)&gt;0,IFERROR(SEARCH(DruidLand3,$T236,1),0)&gt;0,IFERROR(SEARCH(DruidLand4,$T236,1),0)&gt;0),1,0)*IF($C236=1,1,0)*IF($C236=DP$2,1,0)=0,0,1+COUNTIF(DP$3:DP235,"&gt;0"))</f>
        <v>0</v>
      </c>
      <c r="DQ236">
        <f>IF(IF(OR(IFERROR(SEARCH("Druid",$T236,1),0)&gt;0,IFERROR(SEARCH(DruidLand1,$T236,1),0)&gt;0,IFERROR(SEARCH(DruidLand2,$T236,1),0)&gt;0,IFERROR(SEARCH(DruidLand3,$T236,1),0)&gt;0,IFERROR(SEARCH(DruidLand4,$T236,1),0)&gt;0),1,0)*IF($C236=1,1,0)*IF($C236=DQ$2,1,0)=0,0,1+COUNTIF(DQ$3:DQ235,"&gt;0"))</f>
        <v>0</v>
      </c>
      <c r="DR236">
        <f>IF(IF(OR(IFERROR(SEARCH("Druid",$T236,1),0)&gt;0,IFERROR(SEARCH(DruidLand1,$T236,1),0)&gt;0,IFERROR(SEARCH(DruidLand2,$T236,1),0)&gt;0,IFERROR(SEARCH(DruidLand3,$T236,1),0)&gt;0,IFERROR(SEARCH(DruidLand4,$T236,1),0)&gt;0),1,0)*IF($C236=1,1,0)*IF($C236=DR$2,1,0)=0,0,1+COUNTIF(DR$3:DR235,"&gt;0"))</f>
        <v>0</v>
      </c>
      <c r="DS236">
        <f>IF(IF(OR(IFERROR(SEARCH("Paladin",$T236,1),0)&gt;0,IFERROR(SEARCH(PaladinOath,$T236,1),0)&gt;0),1,0)*IF($C236=DS$2,1,0)=1,1+COUNTIF(DS$3:DS235,"&gt;0"),0)</f>
        <v>0</v>
      </c>
      <c r="DT236">
        <f>IF(IF(OR(IFERROR(SEARCH("Paladin",$T236,1),0)&gt;0,IFERROR(SEARCH(PaladinOath,$T236,1),0)&gt;0),1,0)*IF($C236=DT$2,1,0)=1,1+COUNTIF(DT$3:DT235,"&gt;0"),0)</f>
        <v>0</v>
      </c>
      <c r="DU236">
        <f>IF(IF(OR(IFERROR(SEARCH("Paladin",$T236,1),0)&gt;0,IFERROR(SEARCH(PaladinOath,$T236,1),0)&gt;0),1,0)*IF($C236=DU$2,1,0)=1,1+COUNTIF(DU$3:DU235,"&gt;0"),0)</f>
        <v>0</v>
      </c>
      <c r="DV236">
        <f>IF(IF(OR(IFERROR(SEARCH("Paladin",$T236,1),0)&gt;0,IFERROR(SEARCH(PaladinOath,$T236,1),0)&gt;0),1,0)*IF($C236=DV$2,1,0)=1,1+COUNTIF(DV$3:DV235,"&gt;0"),0)</f>
        <v>0</v>
      </c>
      <c r="DW236">
        <f>IF(IF(OR(IFERROR(SEARCH("Paladin",$T236,1),0)&gt;0,IFERROR(SEARCH(PaladinOath,$T236,1),0)&gt;0),1,0)*IF($C236=DW$2,1,0)=1,1+COUNTIF(DW$3:DW235,"&gt;0"),0)</f>
        <v>0</v>
      </c>
      <c r="DY236">
        <f t="shared" si="166"/>
        <v>1</v>
      </c>
      <c r="DZ236">
        <f>IF(DY236=0,0,1+MAX(DZ$3:$DZ235))</f>
        <v>234</v>
      </c>
      <c r="EB236">
        <f t="shared" si="180"/>
        <v>0</v>
      </c>
      <c r="EC236">
        <f>IF(EB236=0,0,1+COUNTIF(EC$3:EC235,"&gt;0"))</f>
        <v>0</v>
      </c>
      <c r="ED236" t="str">
        <f t="shared" si="209"/>
        <v/>
      </c>
      <c r="EE236" t="str">
        <f t="shared" si="181"/>
        <v/>
      </c>
      <c r="EG236">
        <f t="shared" si="182"/>
        <v>0</v>
      </c>
      <c r="EH236">
        <f>IF(EG236=0,0,1+COUNTIF(EH$3:EH235,"&gt;0"))</f>
        <v>0</v>
      </c>
      <c r="EI236" t="str">
        <f t="shared" si="210"/>
        <v/>
      </c>
      <c r="EJ236" t="str">
        <f t="shared" si="183"/>
        <v/>
      </c>
      <c r="EL236">
        <f t="shared" si="184"/>
        <v>0</v>
      </c>
      <c r="EM236">
        <f>IF(EL236=0,0,1+COUNTIF(EM$3:EM235,"&gt;0"))</f>
        <v>0</v>
      </c>
      <c r="EN236" t="str">
        <f t="shared" si="211"/>
        <v/>
      </c>
      <c r="EO236" t="str">
        <f t="shared" si="185"/>
        <v/>
      </c>
      <c r="EQ236">
        <f t="shared" si="186"/>
        <v>0</v>
      </c>
      <c r="ER236">
        <f>IF(EQ236=0,0,1+COUNTIF(ER$3:ER235,"&gt;0"))</f>
        <v>0</v>
      </c>
      <c r="ES236" t="str">
        <f t="shared" si="212"/>
        <v/>
      </c>
      <c r="ET236" t="str">
        <f t="shared" si="187"/>
        <v/>
      </c>
      <c r="EV236">
        <f t="shared" si="188"/>
        <v>0</v>
      </c>
      <c r="EW236">
        <f>IF(EV236=0,0,1+COUNTIF(EW$3:EW235,"&gt;0"))</f>
        <v>0</v>
      </c>
      <c r="EX236" t="str">
        <f t="shared" si="213"/>
        <v/>
      </c>
      <c r="EY236" t="str">
        <f t="shared" si="189"/>
        <v/>
      </c>
      <c r="FA236">
        <f t="shared" si="190"/>
        <v>0</v>
      </c>
      <c r="FB236">
        <f>IF(FA236=0,0,1+COUNTIF(FB$3:FB235,"&gt;0"))</f>
        <v>0</v>
      </c>
      <c r="FC236" t="str">
        <f t="shared" si="214"/>
        <v/>
      </c>
      <c r="FD236" t="str">
        <f t="shared" si="191"/>
        <v/>
      </c>
      <c r="FF236">
        <f t="shared" si="192"/>
        <v>0</v>
      </c>
      <c r="FG236">
        <f>IF(FF236=0,0,1+COUNTIF(FG$3:FG235,"&gt;0"))</f>
        <v>0</v>
      </c>
      <c r="FH236" t="str">
        <f t="shared" si="215"/>
        <v/>
      </c>
      <c r="FI236" t="str">
        <f t="shared" si="193"/>
        <v/>
      </c>
      <c r="FK236">
        <f t="shared" si="194"/>
        <v>0</v>
      </c>
      <c r="FL236">
        <f>IF(FK236=0,0,1+COUNTIF(FL$3:FL235,"&gt;0"))</f>
        <v>0</v>
      </c>
      <c r="FM236" t="str">
        <f t="shared" si="216"/>
        <v/>
      </c>
      <c r="FN236" t="str">
        <f t="shared" si="195"/>
        <v/>
      </c>
      <c r="FP236">
        <f t="shared" si="196"/>
        <v>0</v>
      </c>
      <c r="FQ236">
        <f>IF(FP236=0,0,1+COUNTIF(FQ$3:FQ235,"&gt;0"))</f>
        <v>0</v>
      </c>
      <c r="FR236" t="str">
        <f t="shared" si="217"/>
        <v/>
      </c>
      <c r="FS236" t="str">
        <f t="shared" si="197"/>
        <v/>
      </c>
    </row>
    <row r="237" spans="1:175" x14ac:dyDescent="0.25">
      <c r="A237" s="347">
        <f t="shared" si="219"/>
        <v>235</v>
      </c>
      <c r="B237" s="348" t="s">
        <v>2620</v>
      </c>
      <c r="C237" s="348">
        <v>2</v>
      </c>
      <c r="D237" s="347">
        <v>2</v>
      </c>
      <c r="E237" s="627" t="s">
        <v>6952</v>
      </c>
      <c r="F237" s="346"/>
      <c r="G237" s="347" t="str">
        <f>""</f>
        <v/>
      </c>
      <c r="H237" s="347" t="s">
        <v>5912</v>
      </c>
      <c r="I237" s="347" t="s">
        <v>5290</v>
      </c>
      <c r="J237" s="347" t="str">
        <f t="shared" si="167"/>
        <v/>
      </c>
      <c r="K237" s="347" t="s">
        <v>5291</v>
      </c>
      <c r="L237" s="611" t="str">
        <f t="shared" si="168"/>
        <v>V, S, M, several seeds of any moonseed plant and a piece of opalescent feldspar</v>
      </c>
      <c r="M237" s="347" t="s">
        <v>2373</v>
      </c>
      <c r="N237" s="347" t="s">
        <v>2387</v>
      </c>
      <c r="O237" s="347" t="s">
        <v>1244</v>
      </c>
      <c r="P237" s="346" t="s">
        <v>5433</v>
      </c>
      <c r="Q237" s="347" t="s">
        <v>5273</v>
      </c>
      <c r="S237" s="346" t="s">
        <v>5774</v>
      </c>
      <c r="T237" s="346" t="str">
        <f t="shared" si="169"/>
        <v xml:space="preserve">Druid, Ancients, </v>
      </c>
      <c r="AA237" s="347" t="str">
        <f>$B237</f>
        <v>Moonbeam</v>
      </c>
      <c r="AE237" t="str">
        <f>IF(IFERROR(MATCH($B237,temp!A$4:A$13,0),0)&gt;0,T08_Spells!AE$2,"")</f>
        <v/>
      </c>
      <c r="AF237" t="str">
        <f>IF(IFERROR(MATCH($B237,temp!B$4:B$13,0),0)&gt;0,T08_Spells!AF$2,"")</f>
        <v/>
      </c>
      <c r="AG237" t="str">
        <f>IF(IFERROR(MATCH($B237,temp!C$4:C$13,0),0)&gt;0,T08_Spells!AG$2,"")</f>
        <v>Ancients</v>
      </c>
      <c r="AH237" t="str">
        <f>IF(IFERROR(MATCH($B237,temp!D$4:D$13,0),0)&gt;0,T08_Spells!AH$2,"")</f>
        <v/>
      </c>
      <c r="AI237" t="str">
        <f>IF(IFERROR(MATCH($B237,temp!E$4:E$13,0),0)&gt;0,T08_Spells!AI$2,"")</f>
        <v/>
      </c>
      <c r="AJ237" t="str">
        <f>IF(IFERROR(MATCH($B237,temp!F$4:F$13,0),0)&gt;0,T08_Spells!AJ$2,"")</f>
        <v/>
      </c>
      <c r="AK237" t="str">
        <f>IF(IFERROR(MATCH($B237,temp!G$4:G$13,0),0)&gt;0,T08_Spells!AK$2,"")</f>
        <v/>
      </c>
      <c r="AL237" t="str">
        <f>IF(IFERROR(MATCH($B237,temp!H$4:H$13,0),0)&gt;0,T08_Spells!AL$2,"")</f>
        <v/>
      </c>
      <c r="AM237" t="str">
        <f>IF(IFERROR(MATCH($B237,temp!I$4:I$13,0),0)&gt;0,T08_Spells!AM$2,"")</f>
        <v/>
      </c>
      <c r="AN237" t="str">
        <f>IF(IFERROR(MATCH($B237,temp!J$4:J$13,0),0)&gt;0,T08_Spells!AN$2,"")</f>
        <v/>
      </c>
      <c r="AO237" t="str">
        <f>IF(IFERROR(MATCH($B237,temp!K$4:K$13,0),0)&gt;0,T08_Spells!AO$2,"")</f>
        <v/>
      </c>
      <c r="AP237" t="str">
        <f>IF(IFERROR(MATCH($B237,temp!L$4:L$13,0),0)&gt;0,T08_Spells!AP$2,"")</f>
        <v/>
      </c>
      <c r="AQ237" t="str">
        <f>IF(IFERROR(MATCH($B237,temp!M$4:M$13,0),0)&gt;0,T08_Spells!AQ$2,"")</f>
        <v/>
      </c>
      <c r="AR237" t="str">
        <f>IF(IFERROR(MATCH($B237,temp!N$4:N$13,0),0)&gt;0,T08_Spells!AR$2,"")</f>
        <v/>
      </c>
      <c r="AS237" t="str">
        <f>IF(IFERROR(MATCH($B237,temp!O$4:O$13,0),0)&gt;0,T08_Spells!AS$2,"")</f>
        <v/>
      </c>
      <c r="AT237" t="str">
        <f>IF(IFERROR(MATCH($B237,temp!P$4:P$13,0),0)&gt;0,T08_Spells!AT$2,"")</f>
        <v/>
      </c>
      <c r="AU237" t="str">
        <f>IF(IFERROR(MATCH($B237,temp!Q$4:Q$13,0),0)&gt;0,T08_Spells!AU$2,"")</f>
        <v/>
      </c>
      <c r="AV237" t="str">
        <f>IF(IFERROR(MATCH($B237,temp!R$4:R$13,0),0)&gt;0,T08_Spells!AV$2,"")</f>
        <v/>
      </c>
      <c r="AW237" t="str">
        <f>IF(IFERROR(MATCH($B237,temp!S$4:S$13,0),0)&gt;0,T08_Spells!AW$2,"")</f>
        <v/>
      </c>
      <c r="AX237" t="str">
        <f>IF(IFERROR(MATCH($B237,temp!T$4:T$13,0),0)&gt;0,T08_Spells!AX$2,"")</f>
        <v/>
      </c>
      <c r="AY237" t="str">
        <f>IF(IFERROR(MATCH($B237,temp!U$4:U$13,0),0)&gt;0,T08_Spells!AY$2,"")</f>
        <v/>
      </c>
      <c r="AZ237" t="str">
        <f>IF(IFERROR(MATCH($B237,temp!V$4:V$13,0),0)&gt;0,T08_Spells!AZ$2,"")</f>
        <v/>
      </c>
      <c r="BA237" t="str">
        <f>IF(IFERROR(MATCH($B237,temp!W$4:W$13,0),0)&gt;0,T08_Spells!BA$2,"")</f>
        <v/>
      </c>
      <c r="BC237">
        <f>IF(IFERROR(SEARCH("Ranger",$T237,1),0)&gt;0,1,0)*IF(RangerMaxSpellLevel&gt;=$C237,1,0)*IF(IFERROR(MATCH(B237,Character_Creation!$X$79:$X$382,0),0)&gt;0,0,1)</f>
        <v>0</v>
      </c>
      <c r="BD237">
        <f>IF(BC237=0,0,1+COUNTIF(BD$3:BD236,"&gt;0"))</f>
        <v>0</v>
      </c>
      <c r="BE237" t="str">
        <f t="shared" si="199"/>
        <v/>
      </c>
      <c r="BF237" t="str">
        <f t="shared" si="170"/>
        <v/>
      </c>
      <c r="BH237">
        <f>IF(IFERROR(SEARCH("Sorcerer",$T237,1),0)&gt;0,1,0)*IF(SorcererMaxSpellLevel&gt;=$C237,1,0)*IF(IFERROR(MATCH(B237,Character_Creation!$J$380:$J$394,0),0)&gt;0,0,1)</f>
        <v>0</v>
      </c>
      <c r="BI237">
        <f>IF(BH237=0,0,1+COUNTIF(BI$3:BI236,"&gt;0"))</f>
        <v>0</v>
      </c>
      <c r="BJ237" t="str">
        <f t="shared" si="200"/>
        <v/>
      </c>
      <c r="BK237" t="str">
        <f t="shared" si="171"/>
        <v/>
      </c>
      <c r="BM237">
        <f>IF(OR(IFERROR(SEARCH("Warlock",$T237,1),0)&gt;0,IFERROR(SEARCH(WarlockPatron,$T237,1),0)&gt;0),1,0)*IF(WarlockMaxSpellLevel&gt;=$C237,1,0)*IF(IFERROR(MATCH(B237,Character_Creation!$J$361:$J$375,0),0)&gt;0,0,1)</f>
        <v>0</v>
      </c>
      <c r="BN237">
        <f>IF(BM237=0,0,1+COUNTIF(BN$3:BN236,"&gt;0"))</f>
        <v>0</v>
      </c>
      <c r="BO237" t="str">
        <f t="shared" si="201"/>
        <v/>
      </c>
      <c r="BP237" t="str">
        <f t="shared" si="172"/>
        <v/>
      </c>
      <c r="BR237">
        <f>IF(IFERROR(SEARCH("Eldritch Knight",$T237,1),0)&gt;0,1,0)*IF(EldritchKnightMaxSpellLevel&gt;=$C237,1,0)*IF(IFERROR(MATCH($B237,Character_Creation!$J$350:$J$356,0),0)&gt;0,0,1)*IF(Character_Creation!$M$338&gt;0,1,0)</f>
        <v>0</v>
      </c>
      <c r="BS237">
        <f>IF(BR237=0,0,1+COUNTIF(BS$3:BS236,"&gt;0"))</f>
        <v>0</v>
      </c>
      <c r="BT237" t="str">
        <f t="shared" si="202"/>
        <v/>
      </c>
      <c r="BU237" t="str">
        <f t="shared" si="173"/>
        <v/>
      </c>
      <c r="BW237">
        <f>IF(IFERROR(SEARCH("Arcane Trickster",$T237,1),0)&gt;0,1,0)*IF(ArcaneTricksterMaxSpellLevel&gt;=$C237,1,0)*IF(IFERROR(MATCH($B237,Character_Creation!$J$350:$J$356,0),0)&gt;0,0,1)*IF(Character_Creation!$T$338&gt;0,1,0)</f>
        <v>0</v>
      </c>
      <c r="BX237">
        <f>IF(BW237=0,0,1+COUNTIF(BX$3:BX236,"&gt;0"))</f>
        <v>0</v>
      </c>
      <c r="BY237" t="str">
        <f t="shared" si="203"/>
        <v/>
      </c>
      <c r="BZ237" t="str">
        <f t="shared" si="174"/>
        <v/>
      </c>
      <c r="CB237">
        <f>IF(IFERROR(SEARCH("Wizard",$T237,1),0)&gt;0,1,0)*IF(C237&lt;=ArcaneTricksterMaxSpellLevel,1,0)*IF(IFERROR(MATCH($B237,Character_Creation!$J$350:$J$356,0),0)&gt;0,0,1)*IF(Character_Creation!$T$350&gt;0,1,0)</f>
        <v>0</v>
      </c>
      <c r="CC237">
        <f>IF(CB237=0,0,1+COUNTIF(CC$3:CC236,"&gt;0"))</f>
        <v>0</v>
      </c>
      <c r="CD237" t="str">
        <f t="shared" si="204"/>
        <v/>
      </c>
      <c r="CE237" t="str">
        <f t="shared" si="175"/>
        <v/>
      </c>
      <c r="CG237">
        <f>IF(IFERROR(SEARCH("Wizard",$T237,1),0)&gt;0,1,0)*IF($C237&lt;=EldritchKnightMaxSpellLevel,1,0)*IF(IFERROR(MATCH($B237,Character_Creation!$J$350:$J$356,0),0)&gt;0,0,1)*IF(Character_Creation!$M$350&gt;0,1,0)</f>
        <v>0</v>
      </c>
      <c r="CH237">
        <f>IF(CG237=0,0,1+COUNTIF(CH$3:CH236,"&gt;0"))</f>
        <v>0</v>
      </c>
      <c r="CI237" t="str">
        <f t="shared" si="205"/>
        <v/>
      </c>
      <c r="CJ237" t="str">
        <f t="shared" si="176"/>
        <v/>
      </c>
      <c r="CL237">
        <f>IF(IFERROR(SEARCH("Bard",$T237,1),0)&gt;0,1,0)*IF(BardMaxSpellLevel&gt;=$C237,1,0)*IF(IFERROR(MATCH(B237,Character_Creation!$C$341:$F$362,0),0)&gt;0,0,1)*IF(IFERROR(MATCH($B237,Character_Creation!$C$341:$C$362,0),0)&gt;0,0,1)</f>
        <v>0</v>
      </c>
      <c r="CM237">
        <f>IF(CL237=0,0,1+COUNTIF(CM$3:CM236,"&gt;0"))</f>
        <v>0</v>
      </c>
      <c r="CN237" t="str">
        <f t="shared" si="206"/>
        <v/>
      </c>
      <c r="CO237" t="str">
        <f t="shared" si="177"/>
        <v/>
      </c>
      <c r="CQ237">
        <f>IF(IFERROR(SEARCH("Wizard",$T237,1),0)&gt;0,1,0)*IF(WizardMaxSpellLevel&gt;=$C237,1,0)*IF(IFERROR(MATCH(B237,Character_Creation!$X$341:$X$400,0),0)&gt;0,0,1)*IF(SelectedWizardSpellLevel=$C237,1,0)</f>
        <v>0</v>
      </c>
      <c r="CR237">
        <f>IF(CQ237=0,0,1+COUNTIF(CR$3:CR236,"&gt;0"))</f>
        <v>0</v>
      </c>
      <c r="CS237" t="str">
        <f t="shared" si="207"/>
        <v/>
      </c>
      <c r="CT237" t="str">
        <f t="shared" si="178"/>
        <v/>
      </c>
      <c r="CV237">
        <f>IF(IFERROR(MATCH($B237,Character_Creation!$C$341:$C$362,0),0)&gt;0,0,1)*IF(OR(C237="Cantrip",C237&lt;=BardMaxSpellLevel),1,0)*IF(IFERROR(MATCH($B237,Character_Creation!$C$367:$C$374,0),0)&gt;0,0,1)</f>
        <v>0</v>
      </c>
      <c r="CW237">
        <f>IF(CV237=0,0,1+COUNTIF(CW$3:CW236,"&gt;0"))</f>
        <v>0</v>
      </c>
      <c r="CX237" t="str">
        <f t="shared" si="208"/>
        <v/>
      </c>
      <c r="CY237" t="str">
        <f t="shared" si="179"/>
        <v/>
      </c>
      <c r="DA237">
        <f>IF(IF(OR(IFERROR(SEARCH("Cleric",$T237,1),0)&gt;0,IFERROR(SEARCH(DivineDomain&amp;",",$T237,1),0)&gt;0),1,0)*IF($C237=DA$2,1,0)=1,1+COUNTIF(DA$3:DA236,"&gt;0"),0)</f>
        <v>0</v>
      </c>
      <c r="DB237">
        <f>IF(IF(OR(IFERROR(SEARCH("Cleric",$T237,1),0)&gt;0,IFERROR(SEARCH(DivineDomain&amp;",",$T237,1),0)&gt;0),1,0)*IF($C237=DB$2,1,0)=1,1+COUNTIF(DB$3:DB236,"&gt;0"),0)</f>
        <v>0</v>
      </c>
      <c r="DC237">
        <f>IF(IF(OR(IFERROR(SEARCH("Cleric",$T237,1),0)&gt;0,IFERROR(SEARCH(DivineDomain&amp;",",$T237,1),0)&gt;0),1,0)*IF($C237=DC$2,1,0)=1,1+COUNTIF(DC$3:DC236,"&gt;0"),0)</f>
        <v>0</v>
      </c>
      <c r="DD237">
        <f>IF(IF(OR(IFERROR(SEARCH("Cleric",$T237,1),0)&gt;0,IFERROR(SEARCH(DivineDomain&amp;",",$T237,1),0)&gt;0),1,0)*IF($C237=DD$2,1,0)=1,1+COUNTIF(DD$3:DD236,"&gt;0"),0)</f>
        <v>0</v>
      </c>
      <c r="DE237">
        <f>IF(IF(OR(IFERROR(SEARCH("Cleric",$T237,1),0)&gt;0,IFERROR(SEARCH(DivineDomain&amp;",",$T237,1),0)&gt;0),1,0)*IF($C237=DE$2,1,0)=1,1+COUNTIF(DE$3:DE236,"&gt;0"),0)</f>
        <v>0</v>
      </c>
      <c r="DF237">
        <f>IF(IF(OR(IFERROR(SEARCH("Cleric",$T237,1),0)&gt;0,IFERROR(SEARCH(DivineDomain&amp;",",$T237,1),0)&gt;0),1,0)*IF($C237=DF$2,1,0)=1,1+COUNTIF(DF$3:DF236,"&gt;0"),0)</f>
        <v>0</v>
      </c>
      <c r="DG237">
        <f>IF(IF(OR(IFERROR(SEARCH("Cleric",$T237,1),0)&gt;0,IFERROR(SEARCH(DivineDomain&amp;",",$T237,1),0)&gt;0),1,0)*IF($C237=DG$2,1,0)=1,1+COUNTIF(DG$3:DG236,"&gt;0"),0)</f>
        <v>0</v>
      </c>
      <c r="DH237">
        <f>IF(IF(OR(IFERROR(SEARCH("Cleric",$T237,1),0)&gt;0,IFERROR(SEARCH(DivineDomain&amp;",",$T237,1),0)&gt;0),1,0)*IF($C237=DH$2,1,0)=1,1+COUNTIF(DH$3:DH236,"&gt;0"),0)</f>
        <v>0</v>
      </c>
      <c r="DI237">
        <f>IF(IF(OR(IFERROR(SEARCH("Cleric",$T237,1),0)&gt;0,IFERROR(SEARCH(DivineDomain&amp;",",$T237,1),0)&gt;0),1,0)*IF($C237=DI$2,1,0)=1,1+COUNTIF(DI$3:DI236,"&gt;0"),0)</f>
        <v>0</v>
      </c>
      <c r="DJ237">
        <f>IF(IF(OR(IFERROR(SEARCH("Druid",$T237,1),0)&gt;0,IFERROR(SEARCH(DruidLand1,$T237,1),0)&gt;0,IFERROR(SEARCH(DruidLand2,$T237,1),0)&gt;0,IFERROR(SEARCH(DruidLand3,$T237,1),0)&gt;0,IFERROR(SEARCH(DruidLand4,$T237,1),0)&gt;0),1,0)*IF($C237=1,1,0)*IF($C237=DJ$2,1,0)=0,0,1+COUNTIF(DJ$3:DJ236,"&gt;0"))</f>
        <v>0</v>
      </c>
      <c r="DK237">
        <f>IF(IF(OR(IFERROR(SEARCH("Druid",$T237,1),0)&gt;0,IFERROR(SEARCH(DruidLand1,$T237,1),0)&gt;0,IFERROR(SEARCH(DruidLand2,$T237,1),0)&gt;0,IFERROR(SEARCH(DruidLand3,$T237,1),0)&gt;0,IFERROR(SEARCH(DruidLand4,$T237,1),0)&gt;0),1,0)*IF($C237=DK$2,1,0)=0,0,1+COUNTIF(DK$3:DK236,"&gt;0"))</f>
        <v>14</v>
      </c>
      <c r="DL237">
        <f>IF(IF(OR(IFERROR(SEARCH("Druid",$T237,1),0)&gt;0,IFERROR(SEARCH(DruidLand1,$T237,1),0)&gt;0,IFERROR(SEARCH(DruidLand2,$T237,1),0)&gt;0,IFERROR(SEARCH(DruidLand3,$T237,1),0)&gt;0,IFERROR(SEARCH(DruidLand4,$T237,1),0)&gt;0),1,0)*IF($C237=DL$2,1,0)=0,0,1+COUNTIF(DL$3:DL236,"&gt;0"))</f>
        <v>0</v>
      </c>
      <c r="DM237">
        <f>IF(IF(OR(IFERROR(SEARCH("Druid",$T237,1),0)&gt;0,IFERROR(SEARCH(DruidLand1,$T237,1),0)&gt;0,IFERROR(SEARCH(DruidLand2,$T237,1),0)&gt;0,IFERROR(SEARCH(DruidLand3,$T237,1),0)&gt;0,IFERROR(SEARCH(DruidLand4,$T237,1),0)&gt;0),1,0)*IF($C237=DM$2,1,0)=0,0,1+COUNTIF(DM$3:DM236,"&gt;0"))</f>
        <v>0</v>
      </c>
      <c r="DN237">
        <f>IF(IF(OR(IFERROR(SEARCH("Druid",$T237,1),0)&gt;0,IFERROR(SEARCH(DruidLand1,$T237,1),0)&gt;0,IFERROR(SEARCH(DruidLand2,$T237,1),0)&gt;0,IFERROR(SEARCH(DruidLand3,$T237,1),0)&gt;0,IFERROR(SEARCH(DruidLand4,$T237,1),0)&gt;0),1,0)*IF($C237=DN$2,1,0)=0,0,1+COUNTIF(DN$3:DN236,"&gt;0"))</f>
        <v>0</v>
      </c>
      <c r="DO237">
        <f>IF(IF(OR(IFERROR(SEARCH("Druid",$T237,1),0)&gt;0,IFERROR(SEARCH(DruidLand1,$T237,1),0)&gt;0,IFERROR(SEARCH(DruidLand2,$T237,1),0)&gt;0,IFERROR(SEARCH(DruidLand3,$T237,1),0)&gt;0,IFERROR(SEARCH(DruidLand4,$T237,1),0)&gt;0),1,0)*IF($C237=DO$2,1,0)=0,0,1+COUNTIF(DO$3:DO236,"&gt;0"))</f>
        <v>0</v>
      </c>
      <c r="DP237">
        <f>IF(IF(OR(IFERROR(SEARCH("Druid",$T237,1),0)&gt;0,IFERROR(SEARCH(DruidLand1,$T237,1),0)&gt;0,IFERROR(SEARCH(DruidLand2,$T237,1),0)&gt;0,IFERROR(SEARCH(DruidLand3,$T237,1),0)&gt;0,IFERROR(SEARCH(DruidLand4,$T237,1),0)&gt;0),1,0)*IF($C237=DP$2,1,0)=0,0,1+COUNTIF(DP$3:DP236,"&gt;0"))</f>
        <v>0</v>
      </c>
      <c r="DQ237">
        <f>IF(IF(OR(IFERROR(SEARCH("Druid",$T237,1),0)&gt;0,IFERROR(SEARCH(DruidLand1,$T237,1),0)&gt;0,IFERROR(SEARCH(DruidLand2,$T237,1),0)&gt;0,IFERROR(SEARCH(DruidLand3,$T237,1),0)&gt;0,IFERROR(SEARCH(DruidLand4,$T237,1),0)&gt;0),1,0)*IF($C237=DQ$2,1,0)=0,0,1+COUNTIF(DQ$3:DQ236,"&gt;0"))</f>
        <v>0</v>
      </c>
      <c r="DR237">
        <f>IF(IF(OR(IFERROR(SEARCH("Druid",$T237,1),0)&gt;0,IFERROR(SEARCH(DruidLand1,$T237,1),0)&gt;0,IFERROR(SEARCH(DruidLand2,$T237,1),0)&gt;0,IFERROR(SEARCH(DruidLand3,$T237,1),0)&gt;0,IFERROR(SEARCH(DruidLand4,$T237,1),0)&gt;0),1,0)*IF($C237=DR$2,1,0)=0,0,1+COUNTIF(DR$3:DR236,"&gt;0"))</f>
        <v>0</v>
      </c>
      <c r="DS237">
        <f>IF(IF(OR(IFERROR(SEARCH("Paladin",$T237,1),0)&gt;0,IFERROR(SEARCH(PaladinOath,$T237,1),0)&gt;0),1,0)*IF($C237=DS$2,1,0)=1,1+COUNTIF(DS$3:DS236,"&gt;0"),0)</f>
        <v>0</v>
      </c>
      <c r="DT237">
        <f>IF(IF(OR(IFERROR(SEARCH("Paladin",$T237,1),0)&gt;0,IFERROR(SEARCH(PaladinOath,$T237,1),0)&gt;0),1,0)*IF($C237=DT$2,1,0)=1,1+COUNTIF(DT$3:DT236,"&gt;0"),0)</f>
        <v>0</v>
      </c>
      <c r="DU237">
        <f>IF(IF(OR(IFERROR(SEARCH("Paladin",$T237,1),0)&gt;0,IFERROR(SEARCH(PaladinOath,$T237,1),0)&gt;0),1,0)*IF($C237=DU$2,1,0)=1,1+COUNTIF(DU$3:DU236,"&gt;0"),0)</f>
        <v>0</v>
      </c>
      <c r="DV237">
        <f>IF(IF(OR(IFERROR(SEARCH("Paladin",$T237,1),0)&gt;0,IFERROR(SEARCH(PaladinOath,$T237,1),0)&gt;0),1,0)*IF($C237=DV$2,1,0)=1,1+COUNTIF(DV$3:DV236,"&gt;0"),0)</f>
        <v>0</v>
      </c>
      <c r="DW237">
        <f>IF(IF(OR(IFERROR(SEARCH("Paladin",$T237,1),0)&gt;0,IFERROR(SEARCH(PaladinOath,$T237,1),0)&gt;0),1,0)*IF($C237=DW$2,1,0)=1,1+COUNTIF(DW$3:DW236,"&gt;0"),0)</f>
        <v>0</v>
      </c>
      <c r="DY237">
        <f t="shared" si="166"/>
        <v>1</v>
      </c>
      <c r="DZ237">
        <f>IF(DY237=0,0,1+MAX(DZ$3:$DZ236))</f>
        <v>235</v>
      </c>
      <c r="EB237">
        <f t="shared" si="180"/>
        <v>0</v>
      </c>
      <c r="EC237">
        <f>IF(EB237=0,0,1+COUNTIF(EC$3:EC236,"&gt;0"))</f>
        <v>0</v>
      </c>
      <c r="ED237" t="str">
        <f t="shared" si="209"/>
        <v/>
      </c>
      <c r="EE237" t="str">
        <f t="shared" si="181"/>
        <v/>
      </c>
      <c r="EG237">
        <f t="shared" si="182"/>
        <v>0</v>
      </c>
      <c r="EH237">
        <f>IF(EG237=0,0,1+COUNTIF(EH$3:EH236,"&gt;0"))</f>
        <v>0</v>
      </c>
      <c r="EI237" t="str">
        <f t="shared" si="210"/>
        <v/>
      </c>
      <c r="EJ237" t="str">
        <f t="shared" si="183"/>
        <v/>
      </c>
      <c r="EL237">
        <f t="shared" si="184"/>
        <v>0</v>
      </c>
      <c r="EM237">
        <f>IF(EL237=0,0,1+COUNTIF(EM$3:EM236,"&gt;0"))</f>
        <v>0</v>
      </c>
      <c r="EN237" t="str">
        <f t="shared" si="211"/>
        <v/>
      </c>
      <c r="EO237" t="str">
        <f t="shared" si="185"/>
        <v/>
      </c>
      <c r="EQ237">
        <f t="shared" si="186"/>
        <v>0</v>
      </c>
      <c r="ER237">
        <f>IF(EQ237=0,0,1+COUNTIF(ER$3:ER236,"&gt;0"))</f>
        <v>0</v>
      </c>
      <c r="ES237" t="str">
        <f t="shared" si="212"/>
        <v/>
      </c>
      <c r="ET237" t="str">
        <f t="shared" si="187"/>
        <v/>
      </c>
      <c r="EV237">
        <f t="shared" si="188"/>
        <v>0</v>
      </c>
      <c r="EW237">
        <f>IF(EV237=0,0,1+COUNTIF(EW$3:EW236,"&gt;0"))</f>
        <v>0</v>
      </c>
      <c r="EX237" t="str">
        <f t="shared" si="213"/>
        <v/>
      </c>
      <c r="EY237" t="str">
        <f t="shared" si="189"/>
        <v/>
      </c>
      <c r="FA237">
        <f t="shared" si="190"/>
        <v>0</v>
      </c>
      <c r="FB237">
        <f>IF(FA237=0,0,1+COUNTIF(FB$3:FB236,"&gt;0"))</f>
        <v>0</v>
      </c>
      <c r="FC237" t="str">
        <f t="shared" si="214"/>
        <v/>
      </c>
      <c r="FD237" t="str">
        <f t="shared" si="191"/>
        <v/>
      </c>
      <c r="FF237">
        <f t="shared" si="192"/>
        <v>0</v>
      </c>
      <c r="FG237">
        <f>IF(FF237=0,0,1+COUNTIF(FG$3:FG236,"&gt;0"))</f>
        <v>0</v>
      </c>
      <c r="FH237" t="str">
        <f t="shared" si="215"/>
        <v/>
      </c>
      <c r="FI237" t="str">
        <f t="shared" si="193"/>
        <v/>
      </c>
      <c r="FK237">
        <f t="shared" si="194"/>
        <v>0</v>
      </c>
      <c r="FL237">
        <f>IF(FK237=0,0,1+COUNTIF(FL$3:FL236,"&gt;0"))</f>
        <v>0</v>
      </c>
      <c r="FM237" t="str">
        <f t="shared" si="216"/>
        <v/>
      </c>
      <c r="FN237" t="str">
        <f t="shared" si="195"/>
        <v/>
      </c>
      <c r="FP237">
        <f t="shared" si="196"/>
        <v>0</v>
      </c>
      <c r="FQ237">
        <f>IF(FP237=0,0,1+COUNTIF(FQ$3:FQ236,"&gt;0"))</f>
        <v>0</v>
      </c>
      <c r="FR237" t="str">
        <f t="shared" si="217"/>
        <v/>
      </c>
      <c r="FS237" t="str">
        <f t="shared" si="197"/>
        <v/>
      </c>
    </row>
    <row r="238" spans="1:175" x14ac:dyDescent="0.25">
      <c r="A238" s="347">
        <f t="shared" si="219"/>
        <v>236</v>
      </c>
      <c r="B238" s="348" t="s">
        <v>5434</v>
      </c>
      <c r="C238" s="348">
        <v>4</v>
      </c>
      <c r="D238" s="347">
        <v>4</v>
      </c>
      <c r="E238" s="627" t="s">
        <v>6952</v>
      </c>
      <c r="F238" s="346"/>
      <c r="G238" s="347" t="str">
        <f>""</f>
        <v/>
      </c>
      <c r="H238" s="347" t="s">
        <v>5912</v>
      </c>
      <c r="I238" s="347" t="s">
        <v>5060</v>
      </c>
      <c r="J238" s="347" t="str">
        <f t="shared" si="167"/>
        <v/>
      </c>
      <c r="K238" s="347" t="s">
        <v>5279</v>
      </c>
      <c r="L238" s="611" t="str">
        <f t="shared" si="168"/>
        <v>V, S, M, a tiny silver whistle, a piece of bone, and a thread</v>
      </c>
      <c r="M238" s="347" t="s">
        <v>2373</v>
      </c>
      <c r="N238" s="347" t="s">
        <v>2387</v>
      </c>
      <c r="O238" s="347" t="s">
        <v>1244</v>
      </c>
      <c r="P238" s="346" t="s">
        <v>5435</v>
      </c>
      <c r="Q238" s="347" t="s">
        <v>5271</v>
      </c>
      <c r="S238" s="346" t="s">
        <v>5775</v>
      </c>
      <c r="T238" s="346" t="str">
        <f t="shared" si="169"/>
        <v xml:space="preserve">Wizard, </v>
      </c>
      <c r="AD238" s="347" t="str">
        <f t="shared" ref="AD238:AD247" si="223">$B238</f>
        <v>Mordenkainen's Faithful Hound</v>
      </c>
      <c r="AE238" t="str">
        <f>IF(IFERROR(MATCH($B238,temp!A$4:A$13,0),0)&gt;0,T08_Spells!AE$2,"")</f>
        <v/>
      </c>
      <c r="AF238" t="str">
        <f>IF(IFERROR(MATCH($B238,temp!B$4:B$13,0),0)&gt;0,T08_Spells!AF$2,"")</f>
        <v/>
      </c>
      <c r="AG238" t="str">
        <f>IF(IFERROR(MATCH($B238,temp!C$4:C$13,0),0)&gt;0,T08_Spells!AG$2,"")</f>
        <v/>
      </c>
      <c r="AH238" t="str">
        <f>IF(IFERROR(MATCH($B238,temp!D$4:D$13,0),0)&gt;0,T08_Spells!AH$2,"")</f>
        <v/>
      </c>
      <c r="AI238" t="str">
        <f>IF(IFERROR(MATCH($B238,temp!E$4:E$13,0),0)&gt;0,T08_Spells!AI$2,"")</f>
        <v/>
      </c>
      <c r="AJ238" t="str">
        <f>IF(IFERROR(MATCH($B238,temp!F$4:F$13,0),0)&gt;0,T08_Spells!AJ$2,"")</f>
        <v/>
      </c>
      <c r="AK238" t="str">
        <f>IF(IFERROR(MATCH($B238,temp!G$4:G$13,0),0)&gt;0,T08_Spells!AK$2,"")</f>
        <v/>
      </c>
      <c r="AL238" t="str">
        <f>IF(IFERROR(MATCH($B238,temp!H$4:H$13,0),0)&gt;0,T08_Spells!AL$2,"")</f>
        <v/>
      </c>
      <c r="AM238" t="str">
        <f>IF(IFERROR(MATCH($B238,temp!I$4:I$13,0),0)&gt;0,T08_Spells!AM$2,"")</f>
        <v/>
      </c>
      <c r="AN238" t="str">
        <f>IF(IFERROR(MATCH($B238,temp!J$4:J$13,0),0)&gt;0,T08_Spells!AN$2,"")</f>
        <v/>
      </c>
      <c r="AO238" t="str">
        <f>IF(IFERROR(MATCH($B238,temp!K$4:K$13,0),0)&gt;0,T08_Spells!AO$2,"")</f>
        <v/>
      </c>
      <c r="AP238" t="str">
        <f>IF(IFERROR(MATCH($B238,temp!L$4:L$13,0),0)&gt;0,T08_Spells!AP$2,"")</f>
        <v/>
      </c>
      <c r="AQ238" t="str">
        <f>IF(IFERROR(MATCH($B238,temp!M$4:M$13,0),0)&gt;0,T08_Spells!AQ$2,"")</f>
        <v/>
      </c>
      <c r="AR238" t="str">
        <f>IF(IFERROR(MATCH($B238,temp!N$4:N$13,0),0)&gt;0,T08_Spells!AR$2,"")</f>
        <v/>
      </c>
      <c r="AS238" t="str">
        <f>IF(IFERROR(MATCH($B238,temp!O$4:O$13,0),0)&gt;0,T08_Spells!AS$2,"")</f>
        <v/>
      </c>
      <c r="AT238" t="str">
        <f>IF(IFERROR(MATCH($B238,temp!P$4:P$13,0),0)&gt;0,T08_Spells!AT$2,"")</f>
        <v/>
      </c>
      <c r="AU238" t="str">
        <f>IF(IFERROR(MATCH($B238,temp!Q$4:Q$13,0),0)&gt;0,T08_Spells!AU$2,"")</f>
        <v/>
      </c>
      <c r="AV238" t="str">
        <f>IF(IFERROR(MATCH($B238,temp!R$4:R$13,0),0)&gt;0,T08_Spells!AV$2,"")</f>
        <v/>
      </c>
      <c r="AW238" t="str">
        <f>IF(IFERROR(MATCH($B238,temp!S$4:S$13,0),0)&gt;0,T08_Spells!AW$2,"")</f>
        <v/>
      </c>
      <c r="AX238" t="str">
        <f>IF(IFERROR(MATCH($B238,temp!T$4:T$13,0),0)&gt;0,T08_Spells!AX$2,"")</f>
        <v/>
      </c>
      <c r="AY238" t="str">
        <f>IF(IFERROR(MATCH($B238,temp!U$4:U$13,0),0)&gt;0,T08_Spells!AY$2,"")</f>
        <v/>
      </c>
      <c r="AZ238" t="str">
        <f>IF(IFERROR(MATCH($B238,temp!V$4:V$13,0),0)&gt;0,T08_Spells!AZ$2,"")</f>
        <v/>
      </c>
      <c r="BA238" t="str">
        <f>IF(IFERROR(MATCH($B238,temp!W$4:W$13,0),0)&gt;0,T08_Spells!BA$2,"")</f>
        <v/>
      </c>
      <c r="BC238">
        <f>IF(IFERROR(SEARCH("Ranger",$T238,1),0)&gt;0,1,0)*IF(RangerMaxSpellLevel&gt;=$C238,1,0)*IF(IFERROR(MATCH(B238,Character_Creation!$X$79:$X$382,0),0)&gt;0,0,1)</f>
        <v>0</v>
      </c>
      <c r="BD238">
        <f>IF(BC238=0,0,1+COUNTIF(BD$3:BD237,"&gt;0"))</f>
        <v>0</v>
      </c>
      <c r="BE238" t="str">
        <f t="shared" si="199"/>
        <v/>
      </c>
      <c r="BF238" t="str">
        <f t="shared" si="170"/>
        <v/>
      </c>
      <c r="BH238">
        <f>IF(IFERROR(SEARCH("Sorcerer",$T238,1),0)&gt;0,1,0)*IF(SorcererMaxSpellLevel&gt;=$C238,1,0)*IF(IFERROR(MATCH(B238,Character_Creation!$J$380:$J$394,0),0)&gt;0,0,1)</f>
        <v>0</v>
      </c>
      <c r="BI238">
        <f>IF(BH238=0,0,1+COUNTIF(BI$3:BI237,"&gt;0"))</f>
        <v>0</v>
      </c>
      <c r="BJ238" t="str">
        <f t="shared" si="200"/>
        <v/>
      </c>
      <c r="BK238" t="str">
        <f t="shared" si="171"/>
        <v/>
      </c>
      <c r="BM238">
        <f>IF(OR(IFERROR(SEARCH("Warlock",$T238,1),0)&gt;0,IFERROR(SEARCH(WarlockPatron,$T238,1),0)&gt;0),1,0)*IF(WarlockMaxSpellLevel&gt;=$C238,1,0)*IF(IFERROR(MATCH(B238,Character_Creation!$J$361:$J$375,0),0)&gt;0,0,1)</f>
        <v>0</v>
      </c>
      <c r="BN238">
        <f>IF(BM238=0,0,1+COUNTIF(BN$3:BN237,"&gt;0"))</f>
        <v>0</v>
      </c>
      <c r="BO238" t="str">
        <f t="shared" si="201"/>
        <v/>
      </c>
      <c r="BP238" t="str">
        <f t="shared" si="172"/>
        <v/>
      </c>
      <c r="BR238">
        <f>IF(IFERROR(SEARCH("Eldritch Knight",$T238,1),0)&gt;0,1,0)*IF(EldritchKnightMaxSpellLevel&gt;=$C238,1,0)*IF(IFERROR(MATCH($B238,Character_Creation!$J$350:$J$356,0),0)&gt;0,0,1)*IF(Character_Creation!$M$338&gt;0,1,0)</f>
        <v>0</v>
      </c>
      <c r="BS238">
        <f>IF(BR238=0,0,1+COUNTIF(BS$3:BS237,"&gt;0"))</f>
        <v>0</v>
      </c>
      <c r="BT238" t="str">
        <f t="shared" si="202"/>
        <v/>
      </c>
      <c r="BU238" t="str">
        <f t="shared" si="173"/>
        <v/>
      </c>
      <c r="BW238">
        <f>IF(IFERROR(SEARCH("Arcane Trickster",$T238,1),0)&gt;0,1,0)*IF(ArcaneTricksterMaxSpellLevel&gt;=$C238,1,0)*IF(IFERROR(MATCH($B238,Character_Creation!$J$350:$J$356,0),0)&gt;0,0,1)*IF(Character_Creation!$T$338&gt;0,1,0)</f>
        <v>0</v>
      </c>
      <c r="BX238">
        <f>IF(BW238=0,0,1+COUNTIF(BX$3:BX237,"&gt;0"))</f>
        <v>0</v>
      </c>
      <c r="BY238" t="str">
        <f t="shared" si="203"/>
        <v/>
      </c>
      <c r="BZ238" t="str">
        <f t="shared" si="174"/>
        <v/>
      </c>
      <c r="CB238">
        <f>IF(IFERROR(SEARCH("Wizard",$T238,1),0)&gt;0,1,0)*IF(C238&lt;=ArcaneTricksterMaxSpellLevel,1,0)*IF(IFERROR(MATCH($B238,Character_Creation!$J$350:$J$356,0),0)&gt;0,0,1)*IF(Character_Creation!$T$350&gt;0,1,0)</f>
        <v>0</v>
      </c>
      <c r="CC238">
        <f>IF(CB238=0,0,1+COUNTIF(CC$3:CC237,"&gt;0"))</f>
        <v>0</v>
      </c>
      <c r="CD238" t="str">
        <f t="shared" si="204"/>
        <v/>
      </c>
      <c r="CE238" t="str">
        <f t="shared" si="175"/>
        <v/>
      </c>
      <c r="CG238">
        <f>IF(IFERROR(SEARCH("Wizard",$T238,1),0)&gt;0,1,0)*IF($C238&lt;=EldritchKnightMaxSpellLevel,1,0)*IF(IFERROR(MATCH($B238,Character_Creation!$J$350:$J$356,0),0)&gt;0,0,1)*IF(Character_Creation!$M$350&gt;0,1,0)</f>
        <v>0</v>
      </c>
      <c r="CH238">
        <f>IF(CG238=0,0,1+COUNTIF(CH$3:CH237,"&gt;0"))</f>
        <v>0</v>
      </c>
      <c r="CI238" t="str">
        <f t="shared" si="205"/>
        <v/>
      </c>
      <c r="CJ238" t="str">
        <f t="shared" si="176"/>
        <v/>
      </c>
      <c r="CL238">
        <f>IF(IFERROR(SEARCH("Bard",$T238,1),0)&gt;0,1,0)*IF(BardMaxSpellLevel&gt;=$C238,1,0)*IF(IFERROR(MATCH(B238,Character_Creation!$C$341:$F$362,0),0)&gt;0,0,1)*IF(IFERROR(MATCH($B238,Character_Creation!$C$341:$C$362,0),0)&gt;0,0,1)</f>
        <v>0</v>
      </c>
      <c r="CM238">
        <f>IF(CL238=0,0,1+COUNTIF(CM$3:CM237,"&gt;0"))</f>
        <v>0</v>
      </c>
      <c r="CN238" t="str">
        <f t="shared" si="206"/>
        <v/>
      </c>
      <c r="CO238" t="str">
        <f t="shared" si="177"/>
        <v/>
      </c>
      <c r="CQ238">
        <f>IF(IFERROR(SEARCH("Wizard",$T238,1),0)&gt;0,1,0)*IF(WizardMaxSpellLevel&gt;=$C238,1,0)*IF(IFERROR(MATCH(B238,Character_Creation!$X$341:$X$400,0),0)&gt;0,0,1)*IF(SelectedWizardSpellLevel=$C238,1,0)</f>
        <v>0</v>
      </c>
      <c r="CR238">
        <f>IF(CQ238=0,0,1+COUNTIF(CR$3:CR237,"&gt;0"))</f>
        <v>0</v>
      </c>
      <c r="CS238" t="str">
        <f t="shared" si="207"/>
        <v/>
      </c>
      <c r="CT238" t="str">
        <f t="shared" si="178"/>
        <v/>
      </c>
      <c r="CV238">
        <f>IF(IFERROR(MATCH($B238,Character_Creation!$C$341:$C$362,0),0)&gt;0,0,1)*IF(OR(C238="Cantrip",C238&lt;=BardMaxSpellLevel),1,0)*IF(IFERROR(MATCH($B238,Character_Creation!$C$367:$C$374,0),0)&gt;0,0,1)</f>
        <v>0</v>
      </c>
      <c r="CW238">
        <f>IF(CV238=0,0,1+COUNTIF(CW$3:CW237,"&gt;0"))</f>
        <v>0</v>
      </c>
      <c r="CX238" t="str">
        <f t="shared" si="208"/>
        <v/>
      </c>
      <c r="CY238" t="str">
        <f t="shared" si="179"/>
        <v/>
      </c>
      <c r="DA238">
        <f>IF(IF(OR(IFERROR(SEARCH("Cleric",$T238,1),0)&gt;0,IFERROR(SEARCH(DivineDomain&amp;",",$T238,1),0)&gt;0),1,0)*IF($C238=DA$2,1,0)=1,1+COUNTIF(DA$3:DA237,"&gt;0"),0)</f>
        <v>0</v>
      </c>
      <c r="DB238">
        <f>IF(IF(OR(IFERROR(SEARCH("Cleric",$T238,1),0)&gt;0,IFERROR(SEARCH(DivineDomain&amp;",",$T238,1),0)&gt;0),1,0)*IF($C238=DB$2,1,0)=1,1+COUNTIF(DB$3:DB237,"&gt;0"),0)</f>
        <v>0</v>
      </c>
      <c r="DC238">
        <f>IF(IF(OR(IFERROR(SEARCH("Cleric",$T238,1),0)&gt;0,IFERROR(SEARCH(DivineDomain&amp;",",$T238,1),0)&gt;0),1,0)*IF($C238=DC$2,1,0)=1,1+COUNTIF(DC$3:DC237,"&gt;0"),0)</f>
        <v>0</v>
      </c>
      <c r="DD238">
        <f>IF(IF(OR(IFERROR(SEARCH("Cleric",$T238,1),0)&gt;0,IFERROR(SEARCH(DivineDomain&amp;",",$T238,1),0)&gt;0),1,0)*IF($C238=DD$2,1,0)=1,1+COUNTIF(DD$3:DD237,"&gt;0"),0)</f>
        <v>0</v>
      </c>
      <c r="DE238">
        <f>IF(IF(OR(IFERROR(SEARCH("Cleric",$T238,1),0)&gt;0,IFERROR(SEARCH(DivineDomain&amp;",",$T238,1),0)&gt;0),1,0)*IF($C238=DE$2,1,0)=1,1+COUNTIF(DE$3:DE237,"&gt;0"),0)</f>
        <v>0</v>
      </c>
      <c r="DF238">
        <f>IF(IF(OR(IFERROR(SEARCH("Cleric",$T238,1),0)&gt;0,IFERROR(SEARCH(DivineDomain&amp;",",$T238,1),0)&gt;0),1,0)*IF($C238=DF$2,1,0)=1,1+COUNTIF(DF$3:DF237,"&gt;0"),0)</f>
        <v>0</v>
      </c>
      <c r="DG238">
        <f>IF(IF(OR(IFERROR(SEARCH("Cleric",$T238,1),0)&gt;0,IFERROR(SEARCH(DivineDomain&amp;",",$T238,1),0)&gt;0),1,0)*IF($C238=DG$2,1,0)=1,1+COUNTIF(DG$3:DG237,"&gt;0"),0)</f>
        <v>0</v>
      </c>
      <c r="DH238">
        <f>IF(IF(OR(IFERROR(SEARCH("Cleric",$T238,1),0)&gt;0,IFERROR(SEARCH(DivineDomain&amp;",",$T238,1),0)&gt;0),1,0)*IF($C238=DH$2,1,0)=1,1+COUNTIF(DH$3:DH237,"&gt;0"),0)</f>
        <v>0</v>
      </c>
      <c r="DI238">
        <f>IF(IF(OR(IFERROR(SEARCH("Cleric",$T238,1),0)&gt;0,IFERROR(SEARCH(DivineDomain&amp;",",$T238,1),0)&gt;0),1,0)*IF($C238=DI$2,1,0)=1,1+COUNTIF(DI$3:DI237,"&gt;0"),0)</f>
        <v>0</v>
      </c>
      <c r="DJ238">
        <f>IF(IF(OR(IFERROR(SEARCH("Druid",$T238,1),0)&gt;0,IFERROR(SEARCH(DruidLand1,$T238,1),0)&gt;0,IFERROR(SEARCH(DruidLand2,$T238,1),0)&gt;0,IFERROR(SEARCH(DruidLand3,$T238,1),0)&gt;0,IFERROR(SEARCH(DruidLand4,$T238,1),0)&gt;0),1,0)*IF($C238=1,1,0)*IF($C238=DJ$2,1,0)=0,0,1+COUNTIF(DJ$3:DJ237,"&gt;0"))</f>
        <v>0</v>
      </c>
      <c r="DK238">
        <f>IF(IF(OR(IFERROR(SEARCH("Druid",$T238,1),0)&gt;0,IFERROR(SEARCH(DruidLand1,$T238,1),0)&gt;0,IFERROR(SEARCH(DruidLand2,$T238,1),0)&gt;0,IFERROR(SEARCH(DruidLand3,$T238,1),0)&gt;0,IFERROR(SEARCH(DruidLand4,$T238,1),0)&gt;0),1,0)*IF($C238=1,1,0)*IF($C238=DK$2,1,0)=0,0,1+COUNTIF(DK$3:DK237,"&gt;0"))</f>
        <v>0</v>
      </c>
      <c r="DL238">
        <f>IF(IF(OR(IFERROR(SEARCH("Druid",$T238,1),0)&gt;0,IFERROR(SEARCH(DruidLand1,$T238,1),0)&gt;0,IFERROR(SEARCH(DruidLand2,$T238,1),0)&gt;0,IFERROR(SEARCH(DruidLand3,$T238,1),0)&gt;0,IFERROR(SEARCH(DruidLand4,$T238,1),0)&gt;0),1,0)*IF($C238=1,1,0)*IF($C238=DL$2,1,0)=0,0,1+COUNTIF(DL$3:DL237,"&gt;0"))</f>
        <v>0</v>
      </c>
      <c r="DM238">
        <f>IF(IF(OR(IFERROR(SEARCH("Druid",$T238,1),0)&gt;0,IFERROR(SEARCH(DruidLand1,$T238,1),0)&gt;0,IFERROR(SEARCH(DruidLand2,$T238,1),0)&gt;0,IFERROR(SEARCH(DruidLand3,$T238,1),0)&gt;0,IFERROR(SEARCH(DruidLand4,$T238,1),0)&gt;0),1,0)*IF($C238=1,1,0)*IF($C238=DM$2,1,0)=0,0,1+COUNTIF(DM$3:DM237,"&gt;0"))</f>
        <v>0</v>
      </c>
      <c r="DN238">
        <f>IF(IF(OR(IFERROR(SEARCH("Druid",$T238,1),0)&gt;0,IFERROR(SEARCH(DruidLand1,$T238,1),0)&gt;0,IFERROR(SEARCH(DruidLand2,$T238,1),0)&gt;0,IFERROR(SEARCH(DruidLand3,$T238,1),0)&gt;0,IFERROR(SEARCH(DruidLand4,$T238,1),0)&gt;0),1,0)*IF($C238=1,1,0)*IF($C238=DN$2,1,0)=0,0,1+COUNTIF(DN$3:DN237,"&gt;0"))</f>
        <v>0</v>
      </c>
      <c r="DO238">
        <f>IF(IF(OR(IFERROR(SEARCH("Druid",$T238,1),0)&gt;0,IFERROR(SEARCH(DruidLand1,$T238,1),0)&gt;0,IFERROR(SEARCH(DruidLand2,$T238,1),0)&gt;0,IFERROR(SEARCH(DruidLand3,$T238,1),0)&gt;0,IFERROR(SEARCH(DruidLand4,$T238,1),0)&gt;0),1,0)*IF($C238=1,1,0)*IF($C238=DO$2,1,0)=0,0,1+COUNTIF(DO$3:DO237,"&gt;0"))</f>
        <v>0</v>
      </c>
      <c r="DP238">
        <f>IF(IF(OR(IFERROR(SEARCH("Druid",$T238,1),0)&gt;0,IFERROR(SEARCH(DruidLand1,$T238,1),0)&gt;0,IFERROR(SEARCH(DruidLand2,$T238,1),0)&gt;0,IFERROR(SEARCH(DruidLand3,$T238,1),0)&gt;0,IFERROR(SEARCH(DruidLand4,$T238,1),0)&gt;0),1,0)*IF($C238=1,1,0)*IF($C238=DP$2,1,0)=0,0,1+COUNTIF(DP$3:DP237,"&gt;0"))</f>
        <v>0</v>
      </c>
      <c r="DQ238">
        <f>IF(IF(OR(IFERROR(SEARCH("Druid",$T238,1),0)&gt;0,IFERROR(SEARCH(DruidLand1,$T238,1),0)&gt;0,IFERROR(SEARCH(DruidLand2,$T238,1),0)&gt;0,IFERROR(SEARCH(DruidLand3,$T238,1),0)&gt;0,IFERROR(SEARCH(DruidLand4,$T238,1),0)&gt;0),1,0)*IF($C238=1,1,0)*IF($C238=DQ$2,1,0)=0,0,1+COUNTIF(DQ$3:DQ237,"&gt;0"))</f>
        <v>0</v>
      </c>
      <c r="DR238">
        <f>IF(IF(OR(IFERROR(SEARCH("Druid",$T238,1),0)&gt;0,IFERROR(SEARCH(DruidLand1,$T238,1),0)&gt;0,IFERROR(SEARCH(DruidLand2,$T238,1),0)&gt;0,IFERROR(SEARCH(DruidLand3,$T238,1),0)&gt;0,IFERROR(SEARCH(DruidLand4,$T238,1),0)&gt;0),1,0)*IF($C238=1,1,0)*IF($C238=DR$2,1,0)=0,0,1+COUNTIF(DR$3:DR237,"&gt;0"))</f>
        <v>0</v>
      </c>
      <c r="DS238">
        <f>IF(IF(OR(IFERROR(SEARCH("Paladin",$T238,1),0)&gt;0,IFERROR(SEARCH(PaladinOath,$T238,1),0)&gt;0),1,0)*IF($C238=DS$2,1,0)=1,1+COUNTIF(DS$3:DS237,"&gt;0"),0)</f>
        <v>0</v>
      </c>
      <c r="DT238">
        <f>IF(IF(OR(IFERROR(SEARCH("Paladin",$T238,1),0)&gt;0,IFERROR(SEARCH(PaladinOath,$T238,1),0)&gt;0),1,0)*IF($C238=DT$2,1,0)=1,1+COUNTIF(DT$3:DT237,"&gt;0"),0)</f>
        <v>0</v>
      </c>
      <c r="DU238">
        <f>IF(IF(OR(IFERROR(SEARCH("Paladin",$T238,1),0)&gt;0,IFERROR(SEARCH(PaladinOath,$T238,1),0)&gt;0),1,0)*IF($C238=DU$2,1,0)=1,1+COUNTIF(DU$3:DU237,"&gt;0"),0)</f>
        <v>0</v>
      </c>
      <c r="DV238">
        <f>IF(IF(OR(IFERROR(SEARCH("Paladin",$T238,1),0)&gt;0,IFERROR(SEARCH(PaladinOath,$T238,1),0)&gt;0),1,0)*IF($C238=DV$2,1,0)=1,1+COUNTIF(DV$3:DV237,"&gt;0"),0)</f>
        <v>0</v>
      </c>
      <c r="DW238">
        <f>IF(IF(OR(IFERROR(SEARCH("Paladin",$T238,1),0)&gt;0,IFERROR(SEARCH(PaladinOath,$T238,1),0)&gt;0),1,0)*IF($C238=DW$2,1,0)=1,1+COUNTIF(DW$3:DW237,"&gt;0"),0)</f>
        <v>0</v>
      </c>
      <c r="DY238">
        <f t="shared" si="166"/>
        <v>1</v>
      </c>
      <c r="DZ238">
        <f>IF(DY238=0,0,1+MAX(DZ$3:$DZ237))</f>
        <v>236</v>
      </c>
      <c r="EB238">
        <f t="shared" si="180"/>
        <v>0</v>
      </c>
      <c r="EC238">
        <f>IF(EB238=0,0,1+COUNTIF(EC$3:EC237,"&gt;0"))</f>
        <v>0</v>
      </c>
      <c r="ED238" t="str">
        <f t="shared" si="209"/>
        <v/>
      </c>
      <c r="EE238" t="str">
        <f t="shared" si="181"/>
        <v/>
      </c>
      <c r="EG238">
        <f t="shared" si="182"/>
        <v>0</v>
      </c>
      <c r="EH238">
        <f>IF(EG238=0,0,1+COUNTIF(EH$3:EH237,"&gt;0"))</f>
        <v>0</v>
      </c>
      <c r="EI238" t="str">
        <f t="shared" si="210"/>
        <v/>
      </c>
      <c r="EJ238" t="str">
        <f t="shared" si="183"/>
        <v/>
      </c>
      <c r="EL238">
        <f t="shared" si="184"/>
        <v>0</v>
      </c>
      <c r="EM238">
        <f>IF(EL238=0,0,1+COUNTIF(EM$3:EM237,"&gt;0"))</f>
        <v>0</v>
      </c>
      <c r="EN238" t="str">
        <f t="shared" si="211"/>
        <v/>
      </c>
      <c r="EO238" t="str">
        <f t="shared" si="185"/>
        <v/>
      </c>
      <c r="EQ238">
        <f t="shared" si="186"/>
        <v>0</v>
      </c>
      <c r="ER238">
        <f>IF(EQ238=0,0,1+COUNTIF(ER$3:ER237,"&gt;0"))</f>
        <v>0</v>
      </c>
      <c r="ES238" t="str">
        <f t="shared" si="212"/>
        <v/>
      </c>
      <c r="ET238" t="str">
        <f t="shared" si="187"/>
        <v/>
      </c>
      <c r="EV238">
        <f t="shared" si="188"/>
        <v>0</v>
      </c>
      <c r="EW238">
        <f>IF(EV238=0,0,1+COUNTIF(EW$3:EW237,"&gt;0"))</f>
        <v>0</v>
      </c>
      <c r="EX238" t="str">
        <f t="shared" si="213"/>
        <v/>
      </c>
      <c r="EY238" t="str">
        <f t="shared" si="189"/>
        <v/>
      </c>
      <c r="FA238">
        <f t="shared" si="190"/>
        <v>0</v>
      </c>
      <c r="FB238">
        <f>IF(FA238=0,0,1+COUNTIF(FB$3:FB237,"&gt;0"))</f>
        <v>0</v>
      </c>
      <c r="FC238" t="str">
        <f t="shared" si="214"/>
        <v/>
      </c>
      <c r="FD238" t="str">
        <f t="shared" si="191"/>
        <v/>
      </c>
      <c r="FF238">
        <f t="shared" si="192"/>
        <v>0</v>
      </c>
      <c r="FG238">
        <f>IF(FF238=0,0,1+COUNTIF(FG$3:FG237,"&gt;0"))</f>
        <v>0</v>
      </c>
      <c r="FH238" t="str">
        <f t="shared" si="215"/>
        <v/>
      </c>
      <c r="FI238" t="str">
        <f t="shared" si="193"/>
        <v/>
      </c>
      <c r="FK238">
        <f t="shared" si="194"/>
        <v>0</v>
      </c>
      <c r="FL238">
        <f>IF(FK238=0,0,1+COUNTIF(FL$3:FL237,"&gt;0"))</f>
        <v>0</v>
      </c>
      <c r="FM238" t="str">
        <f t="shared" si="216"/>
        <v/>
      </c>
      <c r="FN238" t="str">
        <f t="shared" si="195"/>
        <v/>
      </c>
      <c r="FP238">
        <f t="shared" si="196"/>
        <v>0</v>
      </c>
      <c r="FQ238">
        <f>IF(FP238=0,0,1+COUNTIF(FQ$3:FQ237,"&gt;0"))</f>
        <v>0</v>
      </c>
      <c r="FR238" t="str">
        <f t="shared" si="217"/>
        <v/>
      </c>
      <c r="FS238" t="str">
        <f t="shared" si="197"/>
        <v/>
      </c>
    </row>
    <row r="239" spans="1:175" x14ac:dyDescent="0.25">
      <c r="A239" s="347">
        <f t="shared" si="219"/>
        <v>237</v>
      </c>
      <c r="B239" s="348" t="s">
        <v>5436</v>
      </c>
      <c r="C239" s="348">
        <v>7</v>
      </c>
      <c r="D239" s="347">
        <v>7</v>
      </c>
      <c r="E239" s="627" t="s">
        <v>6952</v>
      </c>
      <c r="F239" s="346"/>
      <c r="G239" s="347" t="str">
        <f>""</f>
        <v/>
      </c>
      <c r="H239" s="347" t="s">
        <v>5288</v>
      </c>
      <c r="I239" s="347" t="s">
        <v>5334</v>
      </c>
      <c r="J239" s="347" t="str">
        <f t="shared" si="167"/>
        <v/>
      </c>
      <c r="K239" s="347" t="s">
        <v>5285</v>
      </c>
      <c r="L239" s="611" t="str">
        <f t="shared" si="168"/>
        <v>V, S, M, a miniature portal carved from ivory, a small piece of polished marble, and a tiny silver spoon, each item worth at least 5 gp</v>
      </c>
      <c r="M239" s="347" t="s">
        <v>2373</v>
      </c>
      <c r="N239" s="347" t="s">
        <v>2387</v>
      </c>
      <c r="O239" s="347" t="s">
        <v>1244</v>
      </c>
      <c r="P239" s="346" t="s">
        <v>5437</v>
      </c>
      <c r="Q239" s="347" t="s">
        <v>5271</v>
      </c>
      <c r="S239" s="346" t="s">
        <v>5776</v>
      </c>
      <c r="T239" s="346" t="str">
        <f t="shared" si="169"/>
        <v xml:space="preserve">Bard, Wizard, </v>
      </c>
      <c r="U239" s="347" t="str">
        <f>$B239</f>
        <v>Mordenkainen's Magnificent Mansion</v>
      </c>
      <c r="AD239" s="347" t="str">
        <f t="shared" si="223"/>
        <v>Mordenkainen's Magnificent Mansion</v>
      </c>
      <c r="AE239" t="str">
        <f>IF(IFERROR(MATCH($B239,temp!A$4:A$13,0),0)&gt;0,T08_Spells!AE$2,"")</f>
        <v/>
      </c>
      <c r="AF239" t="str">
        <f>IF(IFERROR(MATCH($B239,temp!B$4:B$13,0),0)&gt;0,T08_Spells!AF$2,"")</f>
        <v/>
      </c>
      <c r="AG239" t="str">
        <f>IF(IFERROR(MATCH($B239,temp!C$4:C$13,0),0)&gt;0,T08_Spells!AG$2,"")</f>
        <v/>
      </c>
      <c r="AH239" t="str">
        <f>IF(IFERROR(MATCH($B239,temp!D$4:D$13,0),0)&gt;0,T08_Spells!AH$2,"")</f>
        <v/>
      </c>
      <c r="AI239" t="str">
        <f>IF(IFERROR(MATCH($B239,temp!E$4:E$13,0),0)&gt;0,T08_Spells!AI$2,"")</f>
        <v/>
      </c>
      <c r="AJ239" t="str">
        <f>IF(IFERROR(MATCH($B239,temp!F$4:F$13,0),0)&gt;0,T08_Spells!AJ$2,"")</f>
        <v/>
      </c>
      <c r="AK239" t="str">
        <f>IF(IFERROR(MATCH($B239,temp!G$4:G$13,0),0)&gt;0,T08_Spells!AK$2,"")</f>
        <v/>
      </c>
      <c r="AL239" t="str">
        <f>IF(IFERROR(MATCH($B239,temp!H$4:H$13,0),0)&gt;0,T08_Spells!AL$2,"")</f>
        <v/>
      </c>
      <c r="AM239" t="str">
        <f>IF(IFERROR(MATCH($B239,temp!I$4:I$13,0),0)&gt;0,T08_Spells!AM$2,"")</f>
        <v/>
      </c>
      <c r="AN239" t="str">
        <f>IF(IFERROR(MATCH($B239,temp!J$4:J$13,0),0)&gt;0,T08_Spells!AN$2,"")</f>
        <v/>
      </c>
      <c r="AO239" t="str">
        <f>IF(IFERROR(MATCH($B239,temp!K$4:K$13,0),0)&gt;0,T08_Spells!AO$2,"")</f>
        <v/>
      </c>
      <c r="AP239" t="str">
        <f>IF(IFERROR(MATCH($B239,temp!L$4:L$13,0),0)&gt;0,T08_Spells!AP$2,"")</f>
        <v/>
      </c>
      <c r="AQ239" t="str">
        <f>IF(IFERROR(MATCH($B239,temp!M$4:M$13,0),0)&gt;0,T08_Spells!AQ$2,"")</f>
        <v/>
      </c>
      <c r="AR239" t="str">
        <f>IF(IFERROR(MATCH($B239,temp!N$4:N$13,0),0)&gt;0,T08_Spells!AR$2,"")</f>
        <v/>
      </c>
      <c r="AS239" t="str">
        <f>IF(IFERROR(MATCH($B239,temp!O$4:O$13,0),0)&gt;0,T08_Spells!AS$2,"")</f>
        <v/>
      </c>
      <c r="AT239" t="str">
        <f>IF(IFERROR(MATCH($B239,temp!P$4:P$13,0),0)&gt;0,T08_Spells!AT$2,"")</f>
        <v/>
      </c>
      <c r="AU239" t="str">
        <f>IF(IFERROR(MATCH($B239,temp!Q$4:Q$13,0),0)&gt;0,T08_Spells!AU$2,"")</f>
        <v/>
      </c>
      <c r="AV239" t="str">
        <f>IF(IFERROR(MATCH($B239,temp!R$4:R$13,0),0)&gt;0,T08_Spells!AV$2,"")</f>
        <v/>
      </c>
      <c r="AW239" t="str">
        <f>IF(IFERROR(MATCH($B239,temp!S$4:S$13,0),0)&gt;0,T08_Spells!AW$2,"")</f>
        <v/>
      </c>
      <c r="AX239" t="str">
        <f>IF(IFERROR(MATCH($B239,temp!T$4:T$13,0),0)&gt;0,T08_Spells!AX$2,"")</f>
        <v/>
      </c>
      <c r="AY239" t="str">
        <f>IF(IFERROR(MATCH($B239,temp!U$4:U$13,0),0)&gt;0,T08_Spells!AY$2,"")</f>
        <v/>
      </c>
      <c r="AZ239" t="str">
        <f>IF(IFERROR(MATCH($B239,temp!V$4:V$13,0),0)&gt;0,T08_Spells!AZ$2,"")</f>
        <v/>
      </c>
      <c r="BA239" t="str">
        <f>IF(IFERROR(MATCH($B239,temp!W$4:W$13,0),0)&gt;0,T08_Spells!BA$2,"")</f>
        <v/>
      </c>
      <c r="BC239">
        <f>IF(IFERROR(SEARCH("Ranger",$T239,1),0)&gt;0,1,0)*IF(RangerMaxSpellLevel&gt;=$C239,1,0)*IF(IFERROR(MATCH(B239,Character_Creation!$X$79:$X$382,0),0)&gt;0,0,1)</f>
        <v>0</v>
      </c>
      <c r="BD239">
        <f>IF(BC239=0,0,1+COUNTIF(BD$3:BD238,"&gt;0"))</f>
        <v>0</v>
      </c>
      <c r="BE239" t="str">
        <f t="shared" si="199"/>
        <v/>
      </c>
      <c r="BF239" t="str">
        <f t="shared" si="170"/>
        <v/>
      </c>
      <c r="BH239">
        <f>IF(IFERROR(SEARCH("Sorcerer",$T239,1),0)&gt;0,1,0)*IF(SorcererMaxSpellLevel&gt;=$C239,1,0)*IF(IFERROR(MATCH(B239,Character_Creation!$J$380:$J$394,0),0)&gt;0,0,1)</f>
        <v>0</v>
      </c>
      <c r="BI239">
        <f>IF(BH239=0,0,1+COUNTIF(BI$3:BI238,"&gt;0"))</f>
        <v>0</v>
      </c>
      <c r="BJ239" t="str">
        <f t="shared" si="200"/>
        <v/>
      </c>
      <c r="BK239" t="str">
        <f t="shared" si="171"/>
        <v/>
      </c>
      <c r="BM239">
        <f>IF(OR(IFERROR(SEARCH("Warlock",$T239,1),0)&gt;0,IFERROR(SEARCH(WarlockPatron,$T239,1),0)&gt;0),1,0)*IF(WarlockMaxSpellLevel&gt;=$C239,1,0)*IF(IFERROR(MATCH(B239,Character_Creation!$J$361:$J$375,0),0)&gt;0,0,1)</f>
        <v>0</v>
      </c>
      <c r="BN239">
        <f>IF(BM239=0,0,1+COUNTIF(BN$3:BN238,"&gt;0"))</f>
        <v>0</v>
      </c>
      <c r="BO239" t="str">
        <f t="shared" si="201"/>
        <v/>
      </c>
      <c r="BP239" t="str">
        <f t="shared" si="172"/>
        <v/>
      </c>
      <c r="BR239">
        <f>IF(IFERROR(SEARCH("Eldritch Knight",$T239,1),0)&gt;0,1,0)*IF(EldritchKnightMaxSpellLevel&gt;=$C239,1,0)*IF(IFERROR(MATCH($B239,Character_Creation!$J$350:$J$356,0),0)&gt;0,0,1)*IF(Character_Creation!$M$338&gt;0,1,0)</f>
        <v>0</v>
      </c>
      <c r="BS239">
        <f>IF(BR239=0,0,1+COUNTIF(BS$3:BS238,"&gt;0"))</f>
        <v>0</v>
      </c>
      <c r="BT239" t="str">
        <f t="shared" si="202"/>
        <v/>
      </c>
      <c r="BU239" t="str">
        <f t="shared" si="173"/>
        <v/>
      </c>
      <c r="BW239">
        <f>IF(IFERROR(SEARCH("Arcane Trickster",$T239,1),0)&gt;0,1,0)*IF(ArcaneTricksterMaxSpellLevel&gt;=$C239,1,0)*IF(IFERROR(MATCH($B239,Character_Creation!$J$350:$J$356,0),0)&gt;0,0,1)*IF(Character_Creation!$T$338&gt;0,1,0)</f>
        <v>0</v>
      </c>
      <c r="BX239">
        <f>IF(BW239=0,0,1+COUNTIF(BX$3:BX238,"&gt;0"))</f>
        <v>0</v>
      </c>
      <c r="BY239" t="str">
        <f t="shared" si="203"/>
        <v/>
      </c>
      <c r="BZ239" t="str">
        <f t="shared" si="174"/>
        <v/>
      </c>
      <c r="CB239">
        <f>IF(IFERROR(SEARCH("Wizard",$T239,1),0)&gt;0,1,0)*IF(C239&lt;=ArcaneTricksterMaxSpellLevel,1,0)*IF(IFERROR(MATCH($B239,Character_Creation!$J$350:$J$356,0),0)&gt;0,0,1)*IF(Character_Creation!$T$350&gt;0,1,0)</f>
        <v>0</v>
      </c>
      <c r="CC239">
        <f>IF(CB239=0,0,1+COUNTIF(CC$3:CC238,"&gt;0"))</f>
        <v>0</v>
      </c>
      <c r="CD239" t="str">
        <f t="shared" si="204"/>
        <v/>
      </c>
      <c r="CE239" t="str">
        <f t="shared" si="175"/>
        <v/>
      </c>
      <c r="CG239">
        <f>IF(IFERROR(SEARCH("Wizard",$T239,1),0)&gt;0,1,0)*IF($C239&lt;=EldritchKnightMaxSpellLevel,1,0)*IF(IFERROR(MATCH($B239,Character_Creation!$J$350:$J$356,0),0)&gt;0,0,1)*IF(Character_Creation!$M$350&gt;0,1,0)</f>
        <v>0</v>
      </c>
      <c r="CH239">
        <f>IF(CG239=0,0,1+COUNTIF(CH$3:CH238,"&gt;0"))</f>
        <v>0</v>
      </c>
      <c r="CI239" t="str">
        <f t="shared" si="205"/>
        <v/>
      </c>
      <c r="CJ239" t="str">
        <f t="shared" si="176"/>
        <v/>
      </c>
      <c r="CL239">
        <f>IF(IFERROR(SEARCH("Bard",$T239,1),0)&gt;0,1,0)*IF(BardMaxSpellLevel&gt;=$C239,1,0)*IF(IFERROR(MATCH(B239,Character_Creation!$C$341:$F$362,0),0)&gt;0,0,1)*IF(IFERROR(MATCH($B239,Character_Creation!$C$341:$C$362,0),0)&gt;0,0,1)</f>
        <v>0</v>
      </c>
      <c r="CM239">
        <f>IF(CL239=0,0,1+COUNTIF(CM$3:CM238,"&gt;0"))</f>
        <v>0</v>
      </c>
      <c r="CN239" t="str">
        <f t="shared" si="206"/>
        <v/>
      </c>
      <c r="CO239" t="str">
        <f t="shared" si="177"/>
        <v/>
      </c>
      <c r="CQ239">
        <f>IF(IFERROR(SEARCH("Wizard",$T239,1),0)&gt;0,1,0)*IF(WizardMaxSpellLevel&gt;=$C239,1,0)*IF(IFERROR(MATCH(B239,Character_Creation!$X$341:$X$400,0),0)&gt;0,0,1)*IF(SelectedWizardSpellLevel=$C239,1,0)</f>
        <v>0</v>
      </c>
      <c r="CR239">
        <f>IF(CQ239=0,0,1+COUNTIF(CR$3:CR238,"&gt;0"))</f>
        <v>0</v>
      </c>
      <c r="CS239" t="str">
        <f t="shared" si="207"/>
        <v/>
      </c>
      <c r="CT239" t="str">
        <f t="shared" si="178"/>
        <v/>
      </c>
      <c r="CV239">
        <f>IF(IFERROR(MATCH($B239,Character_Creation!$C$341:$C$362,0),0)&gt;0,0,1)*IF(OR(C239="Cantrip",C239&lt;=BardMaxSpellLevel),1,0)*IF(IFERROR(MATCH($B239,Character_Creation!$C$367:$C$374,0),0)&gt;0,0,1)</f>
        <v>0</v>
      </c>
      <c r="CW239">
        <f>IF(CV239=0,0,1+COUNTIF(CW$3:CW238,"&gt;0"))</f>
        <v>0</v>
      </c>
      <c r="CX239" t="str">
        <f t="shared" si="208"/>
        <v/>
      </c>
      <c r="CY239" t="str">
        <f t="shared" si="179"/>
        <v/>
      </c>
      <c r="DA239">
        <f>IF(IF(OR(IFERROR(SEARCH("Cleric",$T239,1),0)&gt;0,IFERROR(SEARCH(DivineDomain&amp;",",$T239,1),0)&gt;0),1,0)*IF($C239=DA$2,1,0)=1,1+COUNTIF(DA$3:DA238,"&gt;0"),0)</f>
        <v>0</v>
      </c>
      <c r="DB239">
        <f>IF(IF(OR(IFERROR(SEARCH("Cleric",$T239,1),0)&gt;0,IFERROR(SEARCH(DivineDomain&amp;",",$T239,1),0)&gt;0),1,0)*IF($C239=DB$2,1,0)=1,1+COUNTIF(DB$3:DB238,"&gt;0"),0)</f>
        <v>0</v>
      </c>
      <c r="DC239">
        <f>IF(IF(OR(IFERROR(SEARCH("Cleric",$T239,1),0)&gt;0,IFERROR(SEARCH(DivineDomain&amp;",",$T239,1),0)&gt;0),1,0)*IF($C239=DC$2,1,0)=1,1+COUNTIF(DC$3:DC238,"&gt;0"),0)</f>
        <v>0</v>
      </c>
      <c r="DD239">
        <f>IF(IF(OR(IFERROR(SEARCH("Cleric",$T239,1),0)&gt;0,IFERROR(SEARCH(DivineDomain&amp;",",$T239,1),0)&gt;0),1,0)*IF($C239=DD$2,1,0)=1,1+COUNTIF(DD$3:DD238,"&gt;0"),0)</f>
        <v>0</v>
      </c>
      <c r="DE239">
        <f>IF(IF(OR(IFERROR(SEARCH("Cleric",$T239,1),0)&gt;0,IFERROR(SEARCH(DivineDomain&amp;",",$T239,1),0)&gt;0),1,0)*IF($C239=DE$2,1,0)=1,1+COUNTIF(DE$3:DE238,"&gt;0"),0)</f>
        <v>0</v>
      </c>
      <c r="DF239">
        <f>IF(IF(OR(IFERROR(SEARCH("Cleric",$T239,1),0)&gt;0,IFERROR(SEARCH(DivineDomain&amp;",",$T239,1),0)&gt;0),1,0)*IF($C239=DF$2,1,0)=1,1+COUNTIF(DF$3:DF238,"&gt;0"),0)</f>
        <v>0</v>
      </c>
      <c r="DG239">
        <f>IF(IF(OR(IFERROR(SEARCH("Cleric",$T239,1),0)&gt;0,IFERROR(SEARCH(DivineDomain&amp;",",$T239,1),0)&gt;0),1,0)*IF($C239=DG$2,1,0)=1,1+COUNTIF(DG$3:DG238,"&gt;0"),0)</f>
        <v>0</v>
      </c>
      <c r="DH239">
        <f>IF(IF(OR(IFERROR(SEARCH("Cleric",$T239,1),0)&gt;0,IFERROR(SEARCH(DivineDomain&amp;",",$T239,1),0)&gt;0),1,0)*IF($C239=DH$2,1,0)=1,1+COUNTIF(DH$3:DH238,"&gt;0"),0)</f>
        <v>0</v>
      </c>
      <c r="DI239">
        <f>IF(IF(OR(IFERROR(SEARCH("Cleric",$T239,1),0)&gt;0,IFERROR(SEARCH(DivineDomain&amp;",",$T239,1),0)&gt;0),1,0)*IF($C239=DI$2,1,0)=1,1+COUNTIF(DI$3:DI238,"&gt;0"),0)</f>
        <v>0</v>
      </c>
      <c r="DJ239">
        <f>IF(IF(OR(IFERROR(SEARCH("Druid",$T239,1),0)&gt;0,IFERROR(SEARCH(DruidLand1,$T239,1),0)&gt;0,IFERROR(SEARCH(DruidLand2,$T239,1),0)&gt;0,IFERROR(SEARCH(DruidLand3,$T239,1),0)&gt;0,IFERROR(SEARCH(DruidLand4,$T239,1),0)&gt;0),1,0)*IF($C239=1,1,0)*IF($C239=DJ$2,1,0)=0,0,1+COUNTIF(DJ$3:DJ238,"&gt;0"))</f>
        <v>0</v>
      </c>
      <c r="DK239">
        <f>IF(IF(OR(IFERROR(SEARCH("Druid",$T239,1),0)&gt;0,IFERROR(SEARCH(DruidLand1,$T239,1),0)&gt;0,IFERROR(SEARCH(DruidLand2,$T239,1),0)&gt;0,IFERROR(SEARCH(DruidLand3,$T239,1),0)&gt;0,IFERROR(SEARCH(DruidLand4,$T239,1),0)&gt;0),1,0)*IF($C239=1,1,0)*IF($C239=DK$2,1,0)=0,0,1+COUNTIF(DK$3:DK238,"&gt;0"))</f>
        <v>0</v>
      </c>
      <c r="DL239">
        <f>IF(IF(OR(IFERROR(SEARCH("Druid",$T239,1),0)&gt;0,IFERROR(SEARCH(DruidLand1,$T239,1),0)&gt;0,IFERROR(SEARCH(DruidLand2,$T239,1),0)&gt;0,IFERROR(SEARCH(DruidLand3,$T239,1),0)&gt;0,IFERROR(SEARCH(DruidLand4,$T239,1),0)&gt;0),1,0)*IF($C239=1,1,0)*IF($C239=DL$2,1,0)=0,0,1+COUNTIF(DL$3:DL238,"&gt;0"))</f>
        <v>0</v>
      </c>
      <c r="DM239">
        <f>IF(IF(OR(IFERROR(SEARCH("Druid",$T239,1),0)&gt;0,IFERROR(SEARCH(DruidLand1,$T239,1),0)&gt;0,IFERROR(SEARCH(DruidLand2,$T239,1),0)&gt;0,IFERROR(SEARCH(DruidLand3,$T239,1),0)&gt;0,IFERROR(SEARCH(DruidLand4,$T239,1),0)&gt;0),1,0)*IF($C239=1,1,0)*IF($C239=DM$2,1,0)=0,0,1+COUNTIF(DM$3:DM238,"&gt;0"))</f>
        <v>0</v>
      </c>
      <c r="DN239">
        <f>IF(IF(OR(IFERROR(SEARCH("Druid",$T239,1),0)&gt;0,IFERROR(SEARCH(DruidLand1,$T239,1),0)&gt;0,IFERROR(SEARCH(DruidLand2,$T239,1),0)&gt;0,IFERROR(SEARCH(DruidLand3,$T239,1),0)&gt;0,IFERROR(SEARCH(DruidLand4,$T239,1),0)&gt;0),1,0)*IF($C239=1,1,0)*IF($C239=DN$2,1,0)=0,0,1+COUNTIF(DN$3:DN238,"&gt;0"))</f>
        <v>0</v>
      </c>
      <c r="DO239">
        <f>IF(IF(OR(IFERROR(SEARCH("Druid",$T239,1),0)&gt;0,IFERROR(SEARCH(DruidLand1,$T239,1),0)&gt;0,IFERROR(SEARCH(DruidLand2,$T239,1),0)&gt;0,IFERROR(SEARCH(DruidLand3,$T239,1),0)&gt;0,IFERROR(SEARCH(DruidLand4,$T239,1),0)&gt;0),1,0)*IF($C239=1,1,0)*IF($C239=DO$2,1,0)=0,0,1+COUNTIF(DO$3:DO238,"&gt;0"))</f>
        <v>0</v>
      </c>
      <c r="DP239">
        <f>IF(IF(OR(IFERROR(SEARCH("Druid",$T239,1),0)&gt;0,IFERROR(SEARCH(DruidLand1,$T239,1),0)&gt;0,IFERROR(SEARCH(DruidLand2,$T239,1),0)&gt;0,IFERROR(SEARCH(DruidLand3,$T239,1),0)&gt;0,IFERROR(SEARCH(DruidLand4,$T239,1),0)&gt;0),1,0)*IF($C239=1,1,0)*IF($C239=DP$2,1,0)=0,0,1+COUNTIF(DP$3:DP238,"&gt;0"))</f>
        <v>0</v>
      </c>
      <c r="DQ239">
        <f>IF(IF(OR(IFERROR(SEARCH("Druid",$T239,1),0)&gt;0,IFERROR(SEARCH(DruidLand1,$T239,1),0)&gt;0,IFERROR(SEARCH(DruidLand2,$T239,1),0)&gt;0,IFERROR(SEARCH(DruidLand3,$T239,1),0)&gt;0,IFERROR(SEARCH(DruidLand4,$T239,1),0)&gt;0),1,0)*IF($C239=1,1,0)*IF($C239=DQ$2,1,0)=0,0,1+COUNTIF(DQ$3:DQ238,"&gt;0"))</f>
        <v>0</v>
      </c>
      <c r="DR239">
        <f>IF(IF(OR(IFERROR(SEARCH("Druid",$T239,1),0)&gt;0,IFERROR(SEARCH(DruidLand1,$T239,1),0)&gt;0,IFERROR(SEARCH(DruidLand2,$T239,1),0)&gt;0,IFERROR(SEARCH(DruidLand3,$T239,1),0)&gt;0,IFERROR(SEARCH(DruidLand4,$T239,1),0)&gt;0),1,0)*IF($C239=1,1,0)*IF($C239=DR$2,1,0)=0,0,1+COUNTIF(DR$3:DR238,"&gt;0"))</f>
        <v>0</v>
      </c>
      <c r="DS239">
        <f>IF(IF(OR(IFERROR(SEARCH("Paladin",$T239,1),0)&gt;0,IFERROR(SEARCH(PaladinOath,$T239,1),0)&gt;0),1,0)*IF($C239=DS$2,1,0)=1,1+COUNTIF(DS$3:DS238,"&gt;0"),0)</f>
        <v>0</v>
      </c>
      <c r="DT239">
        <f>IF(IF(OR(IFERROR(SEARCH("Paladin",$T239,1),0)&gt;0,IFERROR(SEARCH(PaladinOath,$T239,1),0)&gt;0),1,0)*IF($C239=DT$2,1,0)=1,1+COUNTIF(DT$3:DT238,"&gt;0"),0)</f>
        <v>0</v>
      </c>
      <c r="DU239">
        <f>IF(IF(OR(IFERROR(SEARCH("Paladin",$T239,1),0)&gt;0,IFERROR(SEARCH(PaladinOath,$T239,1),0)&gt;0),1,0)*IF($C239=DU$2,1,0)=1,1+COUNTIF(DU$3:DU238,"&gt;0"),0)</f>
        <v>0</v>
      </c>
      <c r="DV239">
        <f>IF(IF(OR(IFERROR(SEARCH("Paladin",$T239,1),0)&gt;0,IFERROR(SEARCH(PaladinOath,$T239,1),0)&gt;0),1,0)*IF($C239=DV$2,1,0)=1,1+COUNTIF(DV$3:DV238,"&gt;0"),0)</f>
        <v>0</v>
      </c>
      <c r="DW239">
        <f>IF(IF(OR(IFERROR(SEARCH("Paladin",$T239,1),0)&gt;0,IFERROR(SEARCH(PaladinOath,$T239,1),0)&gt;0),1,0)*IF($C239=DW$2,1,0)=1,1+COUNTIF(DW$3:DW238,"&gt;0"),0)</f>
        <v>0</v>
      </c>
      <c r="DY239">
        <f t="shared" si="166"/>
        <v>1</v>
      </c>
      <c r="DZ239">
        <f>IF(DY239=0,0,1+MAX(DZ$3:$DZ238))</f>
        <v>237</v>
      </c>
      <c r="EB239">
        <f t="shared" si="180"/>
        <v>0</v>
      </c>
      <c r="EC239">
        <f>IF(EB239=0,0,1+COUNTIF(EC$3:EC238,"&gt;0"))</f>
        <v>0</v>
      </c>
      <c r="ED239" t="str">
        <f t="shared" si="209"/>
        <v/>
      </c>
      <c r="EE239" t="str">
        <f t="shared" si="181"/>
        <v/>
      </c>
      <c r="EG239">
        <f t="shared" si="182"/>
        <v>0</v>
      </c>
      <c r="EH239">
        <f>IF(EG239=0,0,1+COUNTIF(EH$3:EH238,"&gt;0"))</f>
        <v>0</v>
      </c>
      <c r="EI239" t="str">
        <f t="shared" si="210"/>
        <v/>
      </c>
      <c r="EJ239" t="str">
        <f t="shared" si="183"/>
        <v/>
      </c>
      <c r="EL239">
        <f t="shared" si="184"/>
        <v>0</v>
      </c>
      <c r="EM239">
        <f>IF(EL239=0,0,1+COUNTIF(EM$3:EM238,"&gt;0"))</f>
        <v>0</v>
      </c>
      <c r="EN239" t="str">
        <f t="shared" si="211"/>
        <v/>
      </c>
      <c r="EO239" t="str">
        <f t="shared" si="185"/>
        <v/>
      </c>
      <c r="EQ239">
        <f t="shared" si="186"/>
        <v>0</v>
      </c>
      <c r="ER239">
        <f>IF(EQ239=0,0,1+COUNTIF(ER$3:ER238,"&gt;0"))</f>
        <v>0</v>
      </c>
      <c r="ES239" t="str">
        <f t="shared" si="212"/>
        <v/>
      </c>
      <c r="ET239" t="str">
        <f t="shared" si="187"/>
        <v/>
      </c>
      <c r="EV239">
        <f t="shared" si="188"/>
        <v>0</v>
      </c>
      <c r="EW239">
        <f>IF(EV239=0,0,1+COUNTIF(EW$3:EW238,"&gt;0"))</f>
        <v>0</v>
      </c>
      <c r="EX239" t="str">
        <f t="shared" si="213"/>
        <v/>
      </c>
      <c r="EY239" t="str">
        <f t="shared" si="189"/>
        <v/>
      </c>
      <c r="FA239">
        <f t="shared" si="190"/>
        <v>0</v>
      </c>
      <c r="FB239">
        <f>IF(FA239=0,0,1+COUNTIF(FB$3:FB238,"&gt;0"))</f>
        <v>0</v>
      </c>
      <c r="FC239" t="str">
        <f t="shared" si="214"/>
        <v/>
      </c>
      <c r="FD239" t="str">
        <f t="shared" si="191"/>
        <v/>
      </c>
      <c r="FF239">
        <f t="shared" si="192"/>
        <v>0</v>
      </c>
      <c r="FG239">
        <f>IF(FF239=0,0,1+COUNTIF(FG$3:FG238,"&gt;0"))</f>
        <v>0</v>
      </c>
      <c r="FH239" t="str">
        <f t="shared" si="215"/>
        <v/>
      </c>
      <c r="FI239" t="str">
        <f t="shared" si="193"/>
        <v/>
      </c>
      <c r="FK239">
        <f t="shared" si="194"/>
        <v>0</v>
      </c>
      <c r="FL239">
        <f>IF(FK239=0,0,1+COUNTIF(FL$3:FL238,"&gt;0"))</f>
        <v>0</v>
      </c>
      <c r="FM239" t="str">
        <f t="shared" si="216"/>
        <v/>
      </c>
      <c r="FN239" t="str">
        <f t="shared" si="195"/>
        <v/>
      </c>
      <c r="FP239">
        <f t="shared" si="196"/>
        <v>0</v>
      </c>
      <c r="FQ239">
        <f>IF(FP239=0,0,1+COUNTIF(FQ$3:FQ238,"&gt;0"))</f>
        <v>0</v>
      </c>
      <c r="FR239" t="str">
        <f t="shared" si="217"/>
        <v/>
      </c>
      <c r="FS239" t="str">
        <f t="shared" si="197"/>
        <v/>
      </c>
    </row>
    <row r="240" spans="1:175" x14ac:dyDescent="0.25">
      <c r="A240" s="347">
        <f t="shared" si="219"/>
        <v>238</v>
      </c>
      <c r="B240" s="348" t="s">
        <v>5438</v>
      </c>
      <c r="C240" s="348">
        <v>4</v>
      </c>
      <c r="D240" s="347">
        <v>4</v>
      </c>
      <c r="E240" s="627" t="s">
        <v>6952</v>
      </c>
      <c r="F240" s="346"/>
      <c r="G240" s="347" t="str">
        <f>""</f>
        <v/>
      </c>
      <c r="H240" s="347" t="s">
        <v>5319</v>
      </c>
      <c r="I240" s="347" t="s">
        <v>5290</v>
      </c>
      <c r="J240" s="347" t="str">
        <f t="shared" si="167"/>
        <v/>
      </c>
      <c r="K240" s="347" t="s">
        <v>5285</v>
      </c>
      <c r="L240" s="611" t="str">
        <f t="shared" si="168"/>
        <v>V, S, M, a thin sheet of lead, a piece of opaque glass, a wad of cotton or cloth, and powered chrysolite</v>
      </c>
      <c r="M240" s="347" t="s">
        <v>2373</v>
      </c>
      <c r="N240" s="347" t="s">
        <v>2387</v>
      </c>
      <c r="O240" s="347" t="s">
        <v>1244</v>
      </c>
      <c r="P240" s="346" t="s">
        <v>5439</v>
      </c>
      <c r="Q240" s="347" t="s">
        <v>5270</v>
      </c>
      <c r="S240" s="346" t="s">
        <v>5777</v>
      </c>
      <c r="T240" s="346" t="str">
        <f t="shared" si="169"/>
        <v xml:space="preserve">Eldritch Knight, Wizard, </v>
      </c>
      <c r="AB240" s="542" t="str">
        <f>AD240</f>
        <v>Mordenkainen's Private Sanctum</v>
      </c>
      <c r="AD240" s="347" t="str">
        <f t="shared" si="223"/>
        <v>Mordenkainen's Private Sanctum</v>
      </c>
      <c r="AE240" t="str">
        <f>IF(IFERROR(MATCH($B240,temp!A$4:A$13,0),0)&gt;0,T08_Spells!AE$2,"")</f>
        <v/>
      </c>
      <c r="AF240" t="str">
        <f>IF(IFERROR(MATCH($B240,temp!B$4:B$13,0),0)&gt;0,T08_Spells!AF$2,"")</f>
        <v/>
      </c>
      <c r="AG240" t="str">
        <f>IF(IFERROR(MATCH($B240,temp!C$4:C$13,0),0)&gt;0,T08_Spells!AG$2,"")</f>
        <v/>
      </c>
      <c r="AH240" t="str">
        <f>IF(IFERROR(MATCH($B240,temp!D$4:D$13,0),0)&gt;0,T08_Spells!AH$2,"")</f>
        <v/>
      </c>
      <c r="AI240" t="str">
        <f>IF(IFERROR(MATCH($B240,temp!E$4:E$13,0),0)&gt;0,T08_Spells!AI$2,"")</f>
        <v/>
      </c>
      <c r="AJ240" t="str">
        <f>IF(IFERROR(MATCH($B240,temp!F$4:F$13,0),0)&gt;0,T08_Spells!AJ$2,"")</f>
        <v/>
      </c>
      <c r="AK240" t="str">
        <f>IF(IFERROR(MATCH($B240,temp!G$4:G$13,0),0)&gt;0,T08_Spells!AK$2,"")</f>
        <v/>
      </c>
      <c r="AL240" t="str">
        <f>IF(IFERROR(MATCH($B240,temp!H$4:H$13,0),0)&gt;0,T08_Spells!AL$2,"")</f>
        <v/>
      </c>
      <c r="AM240" t="str">
        <f>IF(IFERROR(MATCH($B240,temp!I$4:I$13,0),0)&gt;0,T08_Spells!AM$2,"")</f>
        <v/>
      </c>
      <c r="AN240" t="str">
        <f>IF(IFERROR(MATCH($B240,temp!J$4:J$13,0),0)&gt;0,T08_Spells!AN$2,"")</f>
        <v/>
      </c>
      <c r="AO240" t="str">
        <f>IF(IFERROR(MATCH($B240,temp!K$4:K$13,0),0)&gt;0,T08_Spells!AO$2,"")</f>
        <v/>
      </c>
      <c r="AP240" t="str">
        <f>IF(IFERROR(MATCH($B240,temp!L$4:L$13,0),0)&gt;0,T08_Spells!AP$2,"")</f>
        <v/>
      </c>
      <c r="AQ240" t="str">
        <f>IF(IFERROR(MATCH($B240,temp!M$4:M$13,0),0)&gt;0,T08_Spells!AQ$2,"")</f>
        <v/>
      </c>
      <c r="AR240" t="str">
        <f>IF(IFERROR(MATCH($B240,temp!N$4:N$13,0),0)&gt;0,T08_Spells!AR$2,"")</f>
        <v/>
      </c>
      <c r="AS240" t="str">
        <f>IF(IFERROR(MATCH($B240,temp!O$4:O$13,0),0)&gt;0,T08_Spells!AS$2,"")</f>
        <v/>
      </c>
      <c r="AT240" t="str">
        <f>IF(IFERROR(MATCH($B240,temp!P$4:P$13,0),0)&gt;0,T08_Spells!AT$2,"")</f>
        <v/>
      </c>
      <c r="AU240" t="str">
        <f>IF(IFERROR(MATCH($B240,temp!Q$4:Q$13,0),0)&gt;0,T08_Spells!AU$2,"")</f>
        <v/>
      </c>
      <c r="AV240" t="str">
        <f>IF(IFERROR(MATCH($B240,temp!R$4:R$13,0),0)&gt;0,T08_Spells!AV$2,"")</f>
        <v/>
      </c>
      <c r="AW240" t="str">
        <f>IF(IFERROR(MATCH($B240,temp!S$4:S$13,0),0)&gt;0,T08_Spells!AW$2,"")</f>
        <v/>
      </c>
      <c r="AX240" t="str">
        <f>IF(IFERROR(MATCH($B240,temp!T$4:T$13,0),0)&gt;0,T08_Spells!AX$2,"")</f>
        <v/>
      </c>
      <c r="AY240" t="str">
        <f>IF(IFERROR(MATCH($B240,temp!U$4:U$13,0),0)&gt;0,T08_Spells!AY$2,"")</f>
        <v/>
      </c>
      <c r="AZ240" t="str">
        <f>IF(IFERROR(MATCH($B240,temp!V$4:V$13,0),0)&gt;0,T08_Spells!AZ$2,"")</f>
        <v/>
      </c>
      <c r="BA240" t="str">
        <f>IF(IFERROR(MATCH($B240,temp!W$4:W$13,0),0)&gt;0,T08_Spells!BA$2,"")</f>
        <v/>
      </c>
      <c r="BC240">
        <f>IF(IFERROR(SEARCH("Ranger",$T240,1),0)&gt;0,1,0)*IF(RangerMaxSpellLevel&gt;=$C240,1,0)*IF(IFERROR(MATCH(B240,Character_Creation!$X$79:$X$382,0),0)&gt;0,0,1)</f>
        <v>0</v>
      </c>
      <c r="BD240">
        <f>IF(BC240=0,0,1+COUNTIF(BD$3:BD239,"&gt;0"))</f>
        <v>0</v>
      </c>
      <c r="BE240" t="str">
        <f t="shared" si="199"/>
        <v/>
      </c>
      <c r="BF240" t="str">
        <f t="shared" si="170"/>
        <v/>
      </c>
      <c r="BH240">
        <f>IF(IFERROR(SEARCH("Sorcerer",$T240,1),0)&gt;0,1,0)*IF(SorcererMaxSpellLevel&gt;=$C240,1,0)*IF(IFERROR(MATCH(B240,Character_Creation!$J$380:$J$394,0),0)&gt;0,0,1)</f>
        <v>0</v>
      </c>
      <c r="BI240">
        <f>IF(BH240=0,0,1+COUNTIF(BI$3:BI239,"&gt;0"))</f>
        <v>0</v>
      </c>
      <c r="BJ240" t="str">
        <f t="shared" si="200"/>
        <v/>
      </c>
      <c r="BK240" t="str">
        <f t="shared" si="171"/>
        <v/>
      </c>
      <c r="BM240">
        <f>IF(OR(IFERROR(SEARCH("Warlock",$T240,1),0)&gt;0,IFERROR(SEARCH(WarlockPatron,$T240,1),0)&gt;0),1,0)*IF(WarlockMaxSpellLevel&gt;=$C240,1,0)*IF(IFERROR(MATCH(B240,Character_Creation!$J$361:$J$375,0),0)&gt;0,0,1)</f>
        <v>0</v>
      </c>
      <c r="BN240">
        <f>IF(BM240=0,0,1+COUNTIF(BN$3:BN239,"&gt;0"))</f>
        <v>0</v>
      </c>
      <c r="BO240" t="str">
        <f t="shared" si="201"/>
        <v/>
      </c>
      <c r="BP240" t="str">
        <f t="shared" si="172"/>
        <v/>
      </c>
      <c r="BR240">
        <f>IF(IFERROR(SEARCH("Eldritch Knight",$T240,1),0)&gt;0,1,0)*IF(EldritchKnightMaxSpellLevel&gt;=$C240,1,0)*IF(IFERROR(MATCH($B240,Character_Creation!$J$350:$J$356,0),0)&gt;0,0,1)*IF(Character_Creation!$M$338&gt;0,1,0)</f>
        <v>0</v>
      </c>
      <c r="BS240">
        <f>IF(BR240=0,0,1+COUNTIF(BS$3:BS239,"&gt;0"))</f>
        <v>0</v>
      </c>
      <c r="BT240" t="str">
        <f t="shared" si="202"/>
        <v/>
      </c>
      <c r="BU240" t="str">
        <f t="shared" si="173"/>
        <v/>
      </c>
      <c r="BW240">
        <f>IF(IFERROR(SEARCH("Arcane Trickster",$T240,1),0)&gt;0,1,0)*IF(ArcaneTricksterMaxSpellLevel&gt;=$C240,1,0)*IF(IFERROR(MATCH($B240,Character_Creation!$J$350:$J$356,0),0)&gt;0,0,1)*IF(Character_Creation!$T$338&gt;0,1,0)</f>
        <v>0</v>
      </c>
      <c r="BX240">
        <f>IF(BW240=0,0,1+COUNTIF(BX$3:BX239,"&gt;0"))</f>
        <v>0</v>
      </c>
      <c r="BY240" t="str">
        <f t="shared" si="203"/>
        <v/>
      </c>
      <c r="BZ240" t="str">
        <f t="shared" si="174"/>
        <v/>
      </c>
      <c r="CB240">
        <f>IF(IFERROR(SEARCH("Wizard",$T240,1),0)&gt;0,1,0)*IF(C240&lt;=ArcaneTricksterMaxSpellLevel,1,0)*IF(IFERROR(MATCH($B240,Character_Creation!$J$350:$J$356,0),0)&gt;0,0,1)*IF(Character_Creation!$T$350&gt;0,1,0)</f>
        <v>0</v>
      </c>
      <c r="CC240">
        <f>IF(CB240=0,0,1+COUNTIF(CC$3:CC239,"&gt;0"))</f>
        <v>0</v>
      </c>
      <c r="CD240" t="str">
        <f t="shared" si="204"/>
        <v/>
      </c>
      <c r="CE240" t="str">
        <f t="shared" si="175"/>
        <v/>
      </c>
      <c r="CG240">
        <f>IF(IFERROR(SEARCH("Wizard",$T240,1),0)&gt;0,1,0)*IF($C240&lt;=EldritchKnightMaxSpellLevel,1,0)*IF(IFERROR(MATCH($B240,Character_Creation!$J$350:$J$356,0),0)&gt;0,0,1)*IF(Character_Creation!$M$350&gt;0,1,0)</f>
        <v>0</v>
      </c>
      <c r="CH240">
        <f>IF(CG240=0,0,1+COUNTIF(CH$3:CH239,"&gt;0"))</f>
        <v>0</v>
      </c>
      <c r="CI240" t="str">
        <f t="shared" si="205"/>
        <v/>
      </c>
      <c r="CJ240" t="str">
        <f t="shared" si="176"/>
        <v/>
      </c>
      <c r="CL240">
        <f>IF(IFERROR(SEARCH("Bard",$T240,1),0)&gt;0,1,0)*IF(BardMaxSpellLevel&gt;=$C240,1,0)*IF(IFERROR(MATCH(B240,Character_Creation!$C$341:$F$362,0),0)&gt;0,0,1)*IF(IFERROR(MATCH($B240,Character_Creation!$C$341:$C$362,0),0)&gt;0,0,1)</f>
        <v>0</v>
      </c>
      <c r="CM240">
        <f>IF(CL240=0,0,1+COUNTIF(CM$3:CM239,"&gt;0"))</f>
        <v>0</v>
      </c>
      <c r="CN240" t="str">
        <f t="shared" si="206"/>
        <v/>
      </c>
      <c r="CO240" t="str">
        <f t="shared" si="177"/>
        <v/>
      </c>
      <c r="CQ240">
        <f>IF(IFERROR(SEARCH("Wizard",$T240,1),0)&gt;0,1,0)*IF(WizardMaxSpellLevel&gt;=$C240,1,0)*IF(IFERROR(MATCH(B240,Character_Creation!$X$341:$X$400,0),0)&gt;0,0,1)*IF(SelectedWizardSpellLevel=$C240,1,0)</f>
        <v>0</v>
      </c>
      <c r="CR240">
        <f>IF(CQ240=0,0,1+COUNTIF(CR$3:CR239,"&gt;0"))</f>
        <v>0</v>
      </c>
      <c r="CS240" t="str">
        <f t="shared" si="207"/>
        <v/>
      </c>
      <c r="CT240" t="str">
        <f t="shared" si="178"/>
        <v/>
      </c>
      <c r="CV240">
        <f>IF(IFERROR(MATCH($B240,Character_Creation!$C$341:$C$362,0),0)&gt;0,0,1)*IF(OR(C240="Cantrip",C240&lt;=BardMaxSpellLevel),1,0)*IF(IFERROR(MATCH($B240,Character_Creation!$C$367:$C$374,0),0)&gt;0,0,1)</f>
        <v>0</v>
      </c>
      <c r="CW240">
        <f>IF(CV240=0,0,1+COUNTIF(CW$3:CW239,"&gt;0"))</f>
        <v>0</v>
      </c>
      <c r="CX240" t="str">
        <f t="shared" si="208"/>
        <v/>
      </c>
      <c r="CY240" t="str">
        <f t="shared" si="179"/>
        <v/>
      </c>
      <c r="DA240">
        <f>IF(IF(OR(IFERROR(SEARCH("Cleric",$T240,1),0)&gt;0,IFERROR(SEARCH(DivineDomain&amp;",",$T240,1),0)&gt;0),1,0)*IF($C240=DA$2,1,0)=1,1+COUNTIF(DA$3:DA239,"&gt;0"),0)</f>
        <v>0</v>
      </c>
      <c r="DB240">
        <f>IF(IF(OR(IFERROR(SEARCH("Cleric",$T240,1),0)&gt;0,IFERROR(SEARCH(DivineDomain&amp;",",$T240,1),0)&gt;0),1,0)*IF($C240=DB$2,1,0)=1,1+COUNTIF(DB$3:DB239,"&gt;0"),0)</f>
        <v>0</v>
      </c>
      <c r="DC240">
        <f>IF(IF(OR(IFERROR(SEARCH("Cleric",$T240,1),0)&gt;0,IFERROR(SEARCH(DivineDomain&amp;",",$T240,1),0)&gt;0),1,0)*IF($C240=DC$2,1,0)=1,1+COUNTIF(DC$3:DC239,"&gt;0"),0)</f>
        <v>0</v>
      </c>
      <c r="DD240">
        <f>IF(IF(OR(IFERROR(SEARCH("Cleric",$T240,1),0)&gt;0,IFERROR(SEARCH(DivineDomain&amp;",",$T240,1),0)&gt;0),1,0)*IF($C240=DD$2,1,0)=1,1+COUNTIF(DD$3:DD239,"&gt;0"),0)</f>
        <v>0</v>
      </c>
      <c r="DE240">
        <f>IF(IF(OR(IFERROR(SEARCH("Cleric",$T240,1),0)&gt;0,IFERROR(SEARCH(DivineDomain&amp;",",$T240,1),0)&gt;0),1,0)*IF($C240=DE$2,1,0)=1,1+COUNTIF(DE$3:DE239,"&gt;0"),0)</f>
        <v>0</v>
      </c>
      <c r="DF240">
        <f>IF(IF(OR(IFERROR(SEARCH("Cleric",$T240,1),0)&gt;0,IFERROR(SEARCH(DivineDomain&amp;",",$T240,1),0)&gt;0),1,0)*IF($C240=DF$2,1,0)=1,1+COUNTIF(DF$3:DF239,"&gt;0"),0)</f>
        <v>0</v>
      </c>
      <c r="DG240">
        <f>IF(IF(OR(IFERROR(SEARCH("Cleric",$T240,1),0)&gt;0,IFERROR(SEARCH(DivineDomain&amp;",",$T240,1),0)&gt;0),1,0)*IF($C240=DG$2,1,0)=1,1+COUNTIF(DG$3:DG239,"&gt;0"),0)</f>
        <v>0</v>
      </c>
      <c r="DH240">
        <f>IF(IF(OR(IFERROR(SEARCH("Cleric",$T240,1),0)&gt;0,IFERROR(SEARCH(DivineDomain&amp;",",$T240,1),0)&gt;0),1,0)*IF($C240=DH$2,1,0)=1,1+COUNTIF(DH$3:DH239,"&gt;0"),0)</f>
        <v>0</v>
      </c>
      <c r="DI240">
        <f>IF(IF(OR(IFERROR(SEARCH("Cleric",$T240,1),0)&gt;0,IFERROR(SEARCH(DivineDomain&amp;",",$T240,1),0)&gt;0),1,0)*IF($C240=DI$2,1,0)=1,1+COUNTIF(DI$3:DI239,"&gt;0"),0)</f>
        <v>0</v>
      </c>
      <c r="DJ240">
        <f>IF(IF(OR(IFERROR(SEARCH("Druid",$T240,1),0)&gt;0,IFERROR(SEARCH(DruidLand1,$T240,1),0)&gt;0,IFERROR(SEARCH(DruidLand2,$T240,1),0)&gt;0,IFERROR(SEARCH(DruidLand3,$T240,1),0)&gt;0,IFERROR(SEARCH(DruidLand4,$T240,1),0)&gt;0),1,0)*IF($C240=1,1,0)*IF($C240=DJ$2,1,0)=0,0,1+COUNTIF(DJ$3:DJ239,"&gt;0"))</f>
        <v>0</v>
      </c>
      <c r="DK240">
        <f>IF(IF(OR(IFERROR(SEARCH("Druid",$T240,1),0)&gt;0,IFERROR(SEARCH(DruidLand1,$T240,1),0)&gt;0,IFERROR(SEARCH(DruidLand2,$T240,1),0)&gt;0,IFERROR(SEARCH(DruidLand3,$T240,1),0)&gt;0,IFERROR(SEARCH(DruidLand4,$T240,1),0)&gt;0),1,0)*IF($C240=1,1,0)*IF($C240=DK$2,1,0)=0,0,1+COUNTIF(DK$3:DK239,"&gt;0"))</f>
        <v>0</v>
      </c>
      <c r="DL240">
        <f>IF(IF(OR(IFERROR(SEARCH("Druid",$T240,1),0)&gt;0,IFERROR(SEARCH(DruidLand1,$T240,1),0)&gt;0,IFERROR(SEARCH(DruidLand2,$T240,1),0)&gt;0,IFERROR(SEARCH(DruidLand3,$T240,1),0)&gt;0,IFERROR(SEARCH(DruidLand4,$T240,1),0)&gt;0),1,0)*IF($C240=1,1,0)*IF($C240=DL$2,1,0)=0,0,1+COUNTIF(DL$3:DL239,"&gt;0"))</f>
        <v>0</v>
      </c>
      <c r="DM240">
        <f>IF(IF(OR(IFERROR(SEARCH("Druid",$T240,1),0)&gt;0,IFERROR(SEARCH(DruidLand1,$T240,1),0)&gt;0,IFERROR(SEARCH(DruidLand2,$T240,1),0)&gt;0,IFERROR(SEARCH(DruidLand3,$T240,1),0)&gt;0,IFERROR(SEARCH(DruidLand4,$T240,1),0)&gt;0),1,0)*IF($C240=1,1,0)*IF($C240=DM$2,1,0)=0,0,1+COUNTIF(DM$3:DM239,"&gt;0"))</f>
        <v>0</v>
      </c>
      <c r="DN240">
        <f>IF(IF(OR(IFERROR(SEARCH("Druid",$T240,1),0)&gt;0,IFERROR(SEARCH(DruidLand1,$T240,1),0)&gt;0,IFERROR(SEARCH(DruidLand2,$T240,1),0)&gt;0,IFERROR(SEARCH(DruidLand3,$T240,1),0)&gt;0,IFERROR(SEARCH(DruidLand4,$T240,1),0)&gt;0),1,0)*IF($C240=1,1,0)*IF($C240=DN$2,1,0)=0,0,1+COUNTIF(DN$3:DN239,"&gt;0"))</f>
        <v>0</v>
      </c>
      <c r="DO240">
        <f>IF(IF(OR(IFERROR(SEARCH("Druid",$T240,1),0)&gt;0,IFERROR(SEARCH(DruidLand1,$T240,1),0)&gt;0,IFERROR(SEARCH(DruidLand2,$T240,1),0)&gt;0,IFERROR(SEARCH(DruidLand3,$T240,1),0)&gt;0,IFERROR(SEARCH(DruidLand4,$T240,1),0)&gt;0),1,0)*IF($C240=1,1,0)*IF($C240=DO$2,1,0)=0,0,1+COUNTIF(DO$3:DO239,"&gt;0"))</f>
        <v>0</v>
      </c>
      <c r="DP240">
        <f>IF(IF(OR(IFERROR(SEARCH("Druid",$T240,1),0)&gt;0,IFERROR(SEARCH(DruidLand1,$T240,1),0)&gt;0,IFERROR(SEARCH(DruidLand2,$T240,1),0)&gt;0,IFERROR(SEARCH(DruidLand3,$T240,1),0)&gt;0,IFERROR(SEARCH(DruidLand4,$T240,1),0)&gt;0),1,0)*IF($C240=1,1,0)*IF($C240=DP$2,1,0)=0,0,1+COUNTIF(DP$3:DP239,"&gt;0"))</f>
        <v>0</v>
      </c>
      <c r="DQ240">
        <f>IF(IF(OR(IFERROR(SEARCH("Druid",$T240,1),0)&gt;0,IFERROR(SEARCH(DruidLand1,$T240,1),0)&gt;0,IFERROR(SEARCH(DruidLand2,$T240,1),0)&gt;0,IFERROR(SEARCH(DruidLand3,$T240,1),0)&gt;0,IFERROR(SEARCH(DruidLand4,$T240,1),0)&gt;0),1,0)*IF($C240=1,1,0)*IF($C240=DQ$2,1,0)=0,0,1+COUNTIF(DQ$3:DQ239,"&gt;0"))</f>
        <v>0</v>
      </c>
      <c r="DR240">
        <f>IF(IF(OR(IFERROR(SEARCH("Druid",$T240,1),0)&gt;0,IFERROR(SEARCH(DruidLand1,$T240,1),0)&gt;0,IFERROR(SEARCH(DruidLand2,$T240,1),0)&gt;0,IFERROR(SEARCH(DruidLand3,$T240,1),0)&gt;0,IFERROR(SEARCH(DruidLand4,$T240,1),0)&gt;0),1,0)*IF($C240=1,1,0)*IF($C240=DR$2,1,0)=0,0,1+COUNTIF(DR$3:DR239,"&gt;0"))</f>
        <v>0</v>
      </c>
      <c r="DS240">
        <f>IF(IF(OR(IFERROR(SEARCH("Paladin",$T240,1),0)&gt;0,IFERROR(SEARCH(PaladinOath,$T240,1),0)&gt;0),1,0)*IF($C240=DS$2,1,0)=1,1+COUNTIF(DS$3:DS239,"&gt;0"),0)</f>
        <v>0</v>
      </c>
      <c r="DT240">
        <f>IF(IF(OR(IFERROR(SEARCH("Paladin",$T240,1),0)&gt;0,IFERROR(SEARCH(PaladinOath,$T240,1),0)&gt;0),1,0)*IF($C240=DT$2,1,0)=1,1+COUNTIF(DT$3:DT239,"&gt;0"),0)</f>
        <v>0</v>
      </c>
      <c r="DU240">
        <f>IF(IF(OR(IFERROR(SEARCH("Paladin",$T240,1),0)&gt;0,IFERROR(SEARCH(PaladinOath,$T240,1),0)&gt;0),1,0)*IF($C240=DU$2,1,0)=1,1+COUNTIF(DU$3:DU239,"&gt;0"),0)</f>
        <v>0</v>
      </c>
      <c r="DV240">
        <f>IF(IF(OR(IFERROR(SEARCH("Paladin",$T240,1),0)&gt;0,IFERROR(SEARCH(PaladinOath,$T240,1),0)&gt;0),1,0)*IF($C240=DV$2,1,0)=1,1+COUNTIF(DV$3:DV239,"&gt;0"),0)</f>
        <v>0</v>
      </c>
      <c r="DW240">
        <f>IF(IF(OR(IFERROR(SEARCH("Paladin",$T240,1),0)&gt;0,IFERROR(SEARCH(PaladinOath,$T240,1),0)&gt;0),1,0)*IF($C240=DW$2,1,0)=1,1+COUNTIF(DW$3:DW239,"&gt;0"),0)</f>
        <v>0</v>
      </c>
      <c r="DY240">
        <f t="shared" si="166"/>
        <v>1</v>
      </c>
      <c r="DZ240">
        <f>IF(DY240=0,0,1+MAX(DZ$3:$DZ239))</f>
        <v>238</v>
      </c>
      <c r="EB240">
        <f t="shared" si="180"/>
        <v>0</v>
      </c>
      <c r="EC240">
        <f>IF(EB240=0,0,1+COUNTIF(EC$3:EC239,"&gt;0"))</f>
        <v>0</v>
      </c>
      <c r="ED240" t="str">
        <f t="shared" si="209"/>
        <v/>
      </c>
      <c r="EE240" t="str">
        <f t="shared" si="181"/>
        <v/>
      </c>
      <c r="EG240">
        <f t="shared" si="182"/>
        <v>0</v>
      </c>
      <c r="EH240">
        <f>IF(EG240=0,0,1+COUNTIF(EH$3:EH239,"&gt;0"))</f>
        <v>0</v>
      </c>
      <c r="EI240" t="str">
        <f t="shared" si="210"/>
        <v/>
      </c>
      <c r="EJ240" t="str">
        <f t="shared" si="183"/>
        <v/>
      </c>
      <c r="EL240">
        <f t="shared" si="184"/>
        <v>0</v>
      </c>
      <c r="EM240">
        <f>IF(EL240=0,0,1+COUNTIF(EM$3:EM239,"&gt;0"))</f>
        <v>0</v>
      </c>
      <c r="EN240" t="str">
        <f t="shared" si="211"/>
        <v/>
      </c>
      <c r="EO240" t="str">
        <f t="shared" si="185"/>
        <v/>
      </c>
      <c r="EQ240">
        <f t="shared" si="186"/>
        <v>0</v>
      </c>
      <c r="ER240">
        <f>IF(EQ240=0,0,1+COUNTIF(ER$3:ER239,"&gt;0"))</f>
        <v>0</v>
      </c>
      <c r="ES240" t="str">
        <f t="shared" si="212"/>
        <v/>
      </c>
      <c r="ET240" t="str">
        <f t="shared" si="187"/>
        <v/>
      </c>
      <c r="EV240">
        <f t="shared" si="188"/>
        <v>0</v>
      </c>
      <c r="EW240">
        <f>IF(EV240=0,0,1+COUNTIF(EW$3:EW239,"&gt;0"))</f>
        <v>0</v>
      </c>
      <c r="EX240" t="str">
        <f t="shared" si="213"/>
        <v/>
      </c>
      <c r="EY240" t="str">
        <f t="shared" si="189"/>
        <v/>
      </c>
      <c r="FA240">
        <f t="shared" si="190"/>
        <v>0</v>
      </c>
      <c r="FB240">
        <f>IF(FA240=0,0,1+COUNTIF(FB$3:FB239,"&gt;0"))</f>
        <v>0</v>
      </c>
      <c r="FC240" t="str">
        <f t="shared" si="214"/>
        <v/>
      </c>
      <c r="FD240" t="str">
        <f t="shared" si="191"/>
        <v/>
      </c>
      <c r="FF240">
        <f t="shared" si="192"/>
        <v>0</v>
      </c>
      <c r="FG240">
        <f>IF(FF240=0,0,1+COUNTIF(FG$3:FG239,"&gt;0"))</f>
        <v>0</v>
      </c>
      <c r="FH240" t="str">
        <f t="shared" si="215"/>
        <v/>
      </c>
      <c r="FI240" t="str">
        <f t="shared" si="193"/>
        <v/>
      </c>
      <c r="FK240">
        <f t="shared" si="194"/>
        <v>0</v>
      </c>
      <c r="FL240">
        <f>IF(FK240=0,0,1+COUNTIF(FL$3:FL239,"&gt;0"))</f>
        <v>0</v>
      </c>
      <c r="FM240" t="str">
        <f t="shared" si="216"/>
        <v/>
      </c>
      <c r="FN240" t="str">
        <f t="shared" si="195"/>
        <v/>
      </c>
      <c r="FP240">
        <f t="shared" si="196"/>
        <v>0</v>
      </c>
      <c r="FQ240">
        <f>IF(FP240=0,0,1+COUNTIF(FQ$3:FQ239,"&gt;0"))</f>
        <v>0</v>
      </c>
      <c r="FR240" t="str">
        <f t="shared" si="217"/>
        <v/>
      </c>
      <c r="FS240" t="str">
        <f t="shared" si="197"/>
        <v/>
      </c>
    </row>
    <row r="241" spans="1:175" x14ac:dyDescent="0.25">
      <c r="A241" s="347">
        <f t="shared" si="219"/>
        <v>239</v>
      </c>
      <c r="B241" s="348" t="s">
        <v>5440</v>
      </c>
      <c r="C241" s="348">
        <v>7</v>
      </c>
      <c r="D241" s="347">
        <v>7</v>
      </c>
      <c r="E241" s="627" t="s">
        <v>6952</v>
      </c>
      <c r="F241" s="346"/>
      <c r="G241" s="347" t="str">
        <f>""</f>
        <v/>
      </c>
      <c r="H241" s="347" t="s">
        <v>5912</v>
      </c>
      <c r="I241" s="347" t="s">
        <v>424</v>
      </c>
      <c r="J241" s="347" t="str">
        <f t="shared" si="167"/>
        <v/>
      </c>
      <c r="K241" s="347" t="s">
        <v>5291</v>
      </c>
      <c r="L241" s="611" t="str">
        <f t="shared" si="168"/>
        <v>V, S, M, a miniature platinum sword with a grip and pommel of copper and zinc, worth 250 gp</v>
      </c>
      <c r="M241" s="347" t="s">
        <v>2373</v>
      </c>
      <c r="N241" s="347" t="s">
        <v>2387</v>
      </c>
      <c r="O241" s="347" t="s">
        <v>1244</v>
      </c>
      <c r="P241" s="346" t="s">
        <v>5441</v>
      </c>
      <c r="Q241" s="347" t="s">
        <v>5273</v>
      </c>
      <c r="S241" s="346" t="s">
        <v>5778</v>
      </c>
      <c r="T241" s="346" t="str">
        <f t="shared" si="169"/>
        <v xml:space="preserve">Bard, Eldritch Knight, Wizard, </v>
      </c>
      <c r="U241" s="347" t="str">
        <f>$B241</f>
        <v>Mordenkainen's Sword</v>
      </c>
      <c r="AB241" s="542" t="str">
        <f>AD241</f>
        <v>Mordenkainen's Sword</v>
      </c>
      <c r="AD241" s="347" t="str">
        <f t="shared" si="223"/>
        <v>Mordenkainen's Sword</v>
      </c>
      <c r="AE241" t="str">
        <f>IF(IFERROR(MATCH($B241,temp!A$4:A$13,0),0)&gt;0,T08_Spells!AE$2,"")</f>
        <v/>
      </c>
      <c r="AF241" t="str">
        <f>IF(IFERROR(MATCH($B241,temp!B$4:B$13,0),0)&gt;0,T08_Spells!AF$2,"")</f>
        <v/>
      </c>
      <c r="AG241" t="str">
        <f>IF(IFERROR(MATCH($B241,temp!C$4:C$13,0),0)&gt;0,T08_Spells!AG$2,"")</f>
        <v/>
      </c>
      <c r="AH241" t="str">
        <f>IF(IFERROR(MATCH($B241,temp!D$4:D$13,0),0)&gt;0,T08_Spells!AH$2,"")</f>
        <v/>
      </c>
      <c r="AI241" t="str">
        <f>IF(IFERROR(MATCH($B241,temp!E$4:E$13,0),0)&gt;0,T08_Spells!AI$2,"")</f>
        <v/>
      </c>
      <c r="AJ241" t="str">
        <f>IF(IFERROR(MATCH($B241,temp!F$4:F$13,0),0)&gt;0,T08_Spells!AJ$2,"")</f>
        <v/>
      </c>
      <c r="AK241" t="str">
        <f>IF(IFERROR(MATCH($B241,temp!G$4:G$13,0),0)&gt;0,T08_Spells!AK$2,"")</f>
        <v/>
      </c>
      <c r="AL241" t="str">
        <f>IF(IFERROR(MATCH($B241,temp!H$4:H$13,0),0)&gt;0,T08_Spells!AL$2,"")</f>
        <v/>
      </c>
      <c r="AM241" t="str">
        <f>IF(IFERROR(MATCH($B241,temp!I$4:I$13,0),0)&gt;0,T08_Spells!AM$2,"")</f>
        <v/>
      </c>
      <c r="AN241" t="str">
        <f>IF(IFERROR(MATCH($B241,temp!J$4:J$13,0),0)&gt;0,T08_Spells!AN$2,"")</f>
        <v/>
      </c>
      <c r="AO241" t="str">
        <f>IF(IFERROR(MATCH($B241,temp!K$4:K$13,0),0)&gt;0,T08_Spells!AO$2,"")</f>
        <v/>
      </c>
      <c r="AP241" t="str">
        <f>IF(IFERROR(MATCH($B241,temp!L$4:L$13,0),0)&gt;0,T08_Spells!AP$2,"")</f>
        <v/>
      </c>
      <c r="AQ241" t="str">
        <f>IF(IFERROR(MATCH($B241,temp!M$4:M$13,0),0)&gt;0,T08_Spells!AQ$2,"")</f>
        <v/>
      </c>
      <c r="AR241" t="str">
        <f>IF(IFERROR(MATCH($B241,temp!N$4:N$13,0),0)&gt;0,T08_Spells!AR$2,"")</f>
        <v/>
      </c>
      <c r="AS241" t="str">
        <f>IF(IFERROR(MATCH($B241,temp!O$4:O$13,0),0)&gt;0,T08_Spells!AS$2,"")</f>
        <v/>
      </c>
      <c r="AT241" t="str">
        <f>IF(IFERROR(MATCH($B241,temp!P$4:P$13,0),0)&gt;0,T08_Spells!AT$2,"")</f>
        <v/>
      </c>
      <c r="AU241" t="str">
        <f>IF(IFERROR(MATCH($B241,temp!Q$4:Q$13,0),0)&gt;0,T08_Spells!AU$2,"")</f>
        <v/>
      </c>
      <c r="AV241" t="str">
        <f>IF(IFERROR(MATCH($B241,temp!R$4:R$13,0),0)&gt;0,T08_Spells!AV$2,"")</f>
        <v/>
      </c>
      <c r="AW241" t="str">
        <f>IF(IFERROR(MATCH($B241,temp!S$4:S$13,0),0)&gt;0,T08_Spells!AW$2,"")</f>
        <v/>
      </c>
      <c r="AX241" t="str">
        <f>IF(IFERROR(MATCH($B241,temp!T$4:T$13,0),0)&gt;0,T08_Spells!AX$2,"")</f>
        <v/>
      </c>
      <c r="AY241" t="str">
        <f>IF(IFERROR(MATCH($B241,temp!U$4:U$13,0),0)&gt;0,T08_Spells!AY$2,"")</f>
        <v/>
      </c>
      <c r="AZ241" t="str">
        <f>IF(IFERROR(MATCH($B241,temp!V$4:V$13,0),0)&gt;0,T08_Spells!AZ$2,"")</f>
        <v/>
      </c>
      <c r="BA241" t="str">
        <f>IF(IFERROR(MATCH($B241,temp!W$4:W$13,0),0)&gt;0,T08_Spells!BA$2,"")</f>
        <v/>
      </c>
      <c r="BC241">
        <f>IF(IFERROR(SEARCH("Ranger",$T241,1),0)&gt;0,1,0)*IF(RangerMaxSpellLevel&gt;=$C241,1,0)*IF(IFERROR(MATCH(B241,Character_Creation!$X$79:$X$382,0),0)&gt;0,0,1)</f>
        <v>0</v>
      </c>
      <c r="BD241">
        <f>IF(BC241=0,0,1+COUNTIF(BD$3:BD240,"&gt;0"))</f>
        <v>0</v>
      </c>
      <c r="BE241" t="str">
        <f t="shared" si="199"/>
        <v/>
      </c>
      <c r="BF241" t="str">
        <f t="shared" si="170"/>
        <v/>
      </c>
      <c r="BH241">
        <f>IF(IFERROR(SEARCH("Sorcerer",$T241,1),0)&gt;0,1,0)*IF(SorcererMaxSpellLevel&gt;=$C241,1,0)*IF(IFERROR(MATCH(B241,Character_Creation!$J$380:$J$394,0),0)&gt;0,0,1)</f>
        <v>0</v>
      </c>
      <c r="BI241">
        <f>IF(BH241=0,0,1+COUNTIF(BI$3:BI240,"&gt;0"))</f>
        <v>0</v>
      </c>
      <c r="BJ241" t="str">
        <f t="shared" si="200"/>
        <v/>
      </c>
      <c r="BK241" t="str">
        <f t="shared" si="171"/>
        <v/>
      </c>
      <c r="BM241">
        <f>IF(OR(IFERROR(SEARCH("Warlock",$T241,1),0)&gt;0,IFERROR(SEARCH(WarlockPatron,$T241,1),0)&gt;0),1,0)*IF(WarlockMaxSpellLevel&gt;=$C241,1,0)*IF(IFERROR(MATCH(B241,Character_Creation!$J$361:$J$375,0),0)&gt;0,0,1)</f>
        <v>0</v>
      </c>
      <c r="BN241">
        <f>IF(BM241=0,0,1+COUNTIF(BN$3:BN240,"&gt;0"))</f>
        <v>0</v>
      </c>
      <c r="BO241" t="str">
        <f t="shared" si="201"/>
        <v/>
      </c>
      <c r="BP241" t="str">
        <f t="shared" si="172"/>
        <v/>
      </c>
      <c r="BR241">
        <f>IF(IFERROR(SEARCH("Eldritch Knight",$T241,1),0)&gt;0,1,0)*IF(EldritchKnightMaxSpellLevel&gt;=$C241,1,0)*IF(IFERROR(MATCH($B241,Character_Creation!$J$350:$J$356,0),0)&gt;0,0,1)*IF(Character_Creation!$M$338&gt;0,1,0)</f>
        <v>0</v>
      </c>
      <c r="BS241">
        <f>IF(BR241=0,0,1+COUNTIF(BS$3:BS240,"&gt;0"))</f>
        <v>0</v>
      </c>
      <c r="BT241" t="str">
        <f t="shared" si="202"/>
        <v/>
      </c>
      <c r="BU241" t="str">
        <f t="shared" si="173"/>
        <v/>
      </c>
      <c r="BW241">
        <f>IF(IFERROR(SEARCH("Arcane Trickster",$T241,1),0)&gt;0,1,0)*IF(ArcaneTricksterMaxSpellLevel&gt;=$C241,1,0)*IF(IFERROR(MATCH($B241,Character_Creation!$J$350:$J$356,0),0)&gt;0,0,1)*IF(Character_Creation!$T$338&gt;0,1,0)</f>
        <v>0</v>
      </c>
      <c r="BX241">
        <f>IF(BW241=0,0,1+COUNTIF(BX$3:BX240,"&gt;0"))</f>
        <v>0</v>
      </c>
      <c r="BY241" t="str">
        <f t="shared" si="203"/>
        <v/>
      </c>
      <c r="BZ241" t="str">
        <f t="shared" si="174"/>
        <v/>
      </c>
      <c r="CB241">
        <f>IF(IFERROR(SEARCH("Wizard",$T241,1),0)&gt;0,1,0)*IF(C241&lt;=ArcaneTricksterMaxSpellLevel,1,0)*IF(IFERROR(MATCH($B241,Character_Creation!$J$350:$J$356,0),0)&gt;0,0,1)*IF(Character_Creation!$T$350&gt;0,1,0)</f>
        <v>0</v>
      </c>
      <c r="CC241">
        <f>IF(CB241=0,0,1+COUNTIF(CC$3:CC240,"&gt;0"))</f>
        <v>0</v>
      </c>
      <c r="CD241" t="str">
        <f t="shared" si="204"/>
        <v/>
      </c>
      <c r="CE241" t="str">
        <f t="shared" si="175"/>
        <v/>
      </c>
      <c r="CG241">
        <f>IF(IFERROR(SEARCH("Wizard",$T241,1),0)&gt;0,1,0)*IF($C241&lt;=EldritchKnightMaxSpellLevel,1,0)*IF(IFERROR(MATCH($B241,Character_Creation!$J$350:$J$356,0),0)&gt;0,0,1)*IF(Character_Creation!$M$350&gt;0,1,0)</f>
        <v>0</v>
      </c>
      <c r="CH241">
        <f>IF(CG241=0,0,1+COUNTIF(CH$3:CH240,"&gt;0"))</f>
        <v>0</v>
      </c>
      <c r="CI241" t="str">
        <f t="shared" si="205"/>
        <v/>
      </c>
      <c r="CJ241" t="str">
        <f t="shared" si="176"/>
        <v/>
      </c>
      <c r="CL241">
        <f>IF(IFERROR(SEARCH("Bard",$T241,1),0)&gt;0,1,0)*IF(BardMaxSpellLevel&gt;=$C241,1,0)*IF(IFERROR(MATCH(B241,Character_Creation!$C$341:$F$362,0),0)&gt;0,0,1)*IF(IFERROR(MATCH($B241,Character_Creation!$C$341:$C$362,0),0)&gt;0,0,1)</f>
        <v>0</v>
      </c>
      <c r="CM241">
        <f>IF(CL241=0,0,1+COUNTIF(CM$3:CM240,"&gt;0"))</f>
        <v>0</v>
      </c>
      <c r="CN241" t="str">
        <f t="shared" si="206"/>
        <v/>
      </c>
      <c r="CO241" t="str">
        <f t="shared" si="177"/>
        <v/>
      </c>
      <c r="CQ241">
        <f>IF(IFERROR(SEARCH("Wizard",$T241,1),0)&gt;0,1,0)*IF(WizardMaxSpellLevel&gt;=$C241,1,0)*IF(IFERROR(MATCH(B241,Character_Creation!$X$341:$X$400,0),0)&gt;0,0,1)*IF(SelectedWizardSpellLevel=$C241,1,0)</f>
        <v>0</v>
      </c>
      <c r="CR241">
        <f>IF(CQ241=0,0,1+COUNTIF(CR$3:CR240,"&gt;0"))</f>
        <v>0</v>
      </c>
      <c r="CS241" t="str">
        <f t="shared" si="207"/>
        <v/>
      </c>
      <c r="CT241" t="str">
        <f t="shared" si="178"/>
        <v/>
      </c>
      <c r="CV241">
        <f>IF(IFERROR(MATCH($B241,Character_Creation!$C$341:$C$362,0),0)&gt;0,0,1)*IF(OR(C241="Cantrip",C241&lt;=BardMaxSpellLevel),1,0)*IF(IFERROR(MATCH($B241,Character_Creation!$C$367:$C$374,0),0)&gt;0,0,1)</f>
        <v>0</v>
      </c>
      <c r="CW241">
        <f>IF(CV241=0,0,1+COUNTIF(CW$3:CW240,"&gt;0"))</f>
        <v>0</v>
      </c>
      <c r="CX241" t="str">
        <f t="shared" si="208"/>
        <v/>
      </c>
      <c r="CY241" t="str">
        <f t="shared" si="179"/>
        <v/>
      </c>
      <c r="DA241">
        <f>IF(IF(OR(IFERROR(SEARCH("Cleric",$T241,1),0)&gt;0,IFERROR(SEARCH(DivineDomain&amp;",",$T241,1),0)&gt;0),1,0)*IF($C241=DA$2,1,0)=1,1+COUNTIF(DA$3:DA240,"&gt;0"),0)</f>
        <v>0</v>
      </c>
      <c r="DB241">
        <f>IF(IF(OR(IFERROR(SEARCH("Cleric",$T241,1),0)&gt;0,IFERROR(SEARCH(DivineDomain&amp;",",$T241,1),0)&gt;0),1,0)*IF($C241=DB$2,1,0)=1,1+COUNTIF(DB$3:DB240,"&gt;0"),0)</f>
        <v>0</v>
      </c>
      <c r="DC241">
        <f>IF(IF(OR(IFERROR(SEARCH("Cleric",$T241,1),0)&gt;0,IFERROR(SEARCH(DivineDomain&amp;",",$T241,1),0)&gt;0),1,0)*IF($C241=DC$2,1,0)=1,1+COUNTIF(DC$3:DC240,"&gt;0"),0)</f>
        <v>0</v>
      </c>
      <c r="DD241">
        <f>IF(IF(OR(IFERROR(SEARCH("Cleric",$T241,1),0)&gt;0,IFERROR(SEARCH(DivineDomain&amp;",",$T241,1),0)&gt;0),1,0)*IF($C241=DD$2,1,0)=1,1+COUNTIF(DD$3:DD240,"&gt;0"),0)</f>
        <v>0</v>
      </c>
      <c r="DE241">
        <f>IF(IF(OR(IFERROR(SEARCH("Cleric",$T241,1),0)&gt;0,IFERROR(SEARCH(DivineDomain&amp;",",$T241,1),0)&gt;0),1,0)*IF($C241=DE$2,1,0)=1,1+COUNTIF(DE$3:DE240,"&gt;0"),0)</f>
        <v>0</v>
      </c>
      <c r="DF241">
        <f>IF(IF(OR(IFERROR(SEARCH("Cleric",$T241,1),0)&gt;0,IFERROR(SEARCH(DivineDomain&amp;",",$T241,1),0)&gt;0),1,0)*IF($C241=DF$2,1,0)=1,1+COUNTIF(DF$3:DF240,"&gt;0"),0)</f>
        <v>0</v>
      </c>
      <c r="DG241">
        <f>IF(IF(OR(IFERROR(SEARCH("Cleric",$T241,1),0)&gt;0,IFERROR(SEARCH(DivineDomain&amp;",",$T241,1),0)&gt;0),1,0)*IF($C241=DG$2,1,0)=1,1+COUNTIF(DG$3:DG240,"&gt;0"),0)</f>
        <v>0</v>
      </c>
      <c r="DH241">
        <f>IF(IF(OR(IFERROR(SEARCH("Cleric",$T241,1),0)&gt;0,IFERROR(SEARCH(DivineDomain&amp;",",$T241,1),0)&gt;0),1,0)*IF($C241=DH$2,1,0)=1,1+COUNTIF(DH$3:DH240,"&gt;0"),0)</f>
        <v>0</v>
      </c>
      <c r="DI241">
        <f>IF(IF(OR(IFERROR(SEARCH("Cleric",$T241,1),0)&gt;0,IFERROR(SEARCH(DivineDomain&amp;",",$T241,1),0)&gt;0),1,0)*IF($C241=DI$2,1,0)=1,1+COUNTIF(DI$3:DI240,"&gt;0"),0)</f>
        <v>0</v>
      </c>
      <c r="DJ241">
        <f>IF(IF(OR(IFERROR(SEARCH("Druid",$T241,1),0)&gt;0,IFERROR(SEARCH(DruidLand1,$T241,1),0)&gt;0,IFERROR(SEARCH(DruidLand2,$T241,1),0)&gt;0,IFERROR(SEARCH(DruidLand3,$T241,1),0)&gt;0,IFERROR(SEARCH(DruidLand4,$T241,1),0)&gt;0),1,0)*IF($C241=1,1,0)*IF($C241=DJ$2,1,0)=0,0,1+COUNTIF(DJ$3:DJ240,"&gt;0"))</f>
        <v>0</v>
      </c>
      <c r="DK241">
        <f>IF(IF(OR(IFERROR(SEARCH("Druid",$T241,1),0)&gt;0,IFERROR(SEARCH(DruidLand1,$T241,1),0)&gt;0,IFERROR(SEARCH(DruidLand2,$T241,1),0)&gt;0,IFERROR(SEARCH(DruidLand3,$T241,1),0)&gt;0,IFERROR(SEARCH(DruidLand4,$T241,1),0)&gt;0),1,0)*IF($C241=1,1,0)*IF($C241=DK$2,1,0)=0,0,1+COUNTIF(DK$3:DK240,"&gt;0"))</f>
        <v>0</v>
      </c>
      <c r="DL241">
        <f>IF(IF(OR(IFERROR(SEARCH("Druid",$T241,1),0)&gt;0,IFERROR(SEARCH(DruidLand1,$T241,1),0)&gt;0,IFERROR(SEARCH(DruidLand2,$T241,1),0)&gt;0,IFERROR(SEARCH(DruidLand3,$T241,1),0)&gt;0,IFERROR(SEARCH(DruidLand4,$T241,1),0)&gt;0),1,0)*IF($C241=1,1,0)*IF($C241=DL$2,1,0)=0,0,1+COUNTIF(DL$3:DL240,"&gt;0"))</f>
        <v>0</v>
      </c>
      <c r="DM241">
        <f>IF(IF(OR(IFERROR(SEARCH("Druid",$T241,1),0)&gt;0,IFERROR(SEARCH(DruidLand1,$T241,1),0)&gt;0,IFERROR(SEARCH(DruidLand2,$T241,1),0)&gt;0,IFERROR(SEARCH(DruidLand3,$T241,1),0)&gt;0,IFERROR(SEARCH(DruidLand4,$T241,1),0)&gt;0),1,0)*IF($C241=1,1,0)*IF($C241=DM$2,1,0)=0,0,1+COUNTIF(DM$3:DM240,"&gt;0"))</f>
        <v>0</v>
      </c>
      <c r="DN241">
        <f>IF(IF(OR(IFERROR(SEARCH("Druid",$T241,1),0)&gt;0,IFERROR(SEARCH(DruidLand1,$T241,1),0)&gt;0,IFERROR(SEARCH(DruidLand2,$T241,1),0)&gt;0,IFERROR(SEARCH(DruidLand3,$T241,1),0)&gt;0,IFERROR(SEARCH(DruidLand4,$T241,1),0)&gt;0),1,0)*IF($C241=1,1,0)*IF($C241=DN$2,1,0)=0,0,1+COUNTIF(DN$3:DN240,"&gt;0"))</f>
        <v>0</v>
      </c>
      <c r="DO241">
        <f>IF(IF(OR(IFERROR(SEARCH("Druid",$T241,1),0)&gt;0,IFERROR(SEARCH(DruidLand1,$T241,1),0)&gt;0,IFERROR(SEARCH(DruidLand2,$T241,1),0)&gt;0,IFERROR(SEARCH(DruidLand3,$T241,1),0)&gt;0,IFERROR(SEARCH(DruidLand4,$T241,1),0)&gt;0),1,0)*IF($C241=1,1,0)*IF($C241=DO$2,1,0)=0,0,1+COUNTIF(DO$3:DO240,"&gt;0"))</f>
        <v>0</v>
      </c>
      <c r="DP241">
        <f>IF(IF(OR(IFERROR(SEARCH("Druid",$T241,1),0)&gt;0,IFERROR(SEARCH(DruidLand1,$T241,1),0)&gt;0,IFERROR(SEARCH(DruidLand2,$T241,1),0)&gt;0,IFERROR(SEARCH(DruidLand3,$T241,1),0)&gt;0,IFERROR(SEARCH(DruidLand4,$T241,1),0)&gt;0),1,0)*IF($C241=1,1,0)*IF($C241=DP$2,1,0)=0,0,1+COUNTIF(DP$3:DP240,"&gt;0"))</f>
        <v>0</v>
      </c>
      <c r="DQ241">
        <f>IF(IF(OR(IFERROR(SEARCH("Druid",$T241,1),0)&gt;0,IFERROR(SEARCH(DruidLand1,$T241,1),0)&gt;0,IFERROR(SEARCH(DruidLand2,$T241,1),0)&gt;0,IFERROR(SEARCH(DruidLand3,$T241,1),0)&gt;0,IFERROR(SEARCH(DruidLand4,$T241,1),0)&gt;0),1,0)*IF($C241=1,1,0)*IF($C241=DQ$2,1,0)=0,0,1+COUNTIF(DQ$3:DQ240,"&gt;0"))</f>
        <v>0</v>
      </c>
      <c r="DR241">
        <f>IF(IF(OR(IFERROR(SEARCH("Druid",$T241,1),0)&gt;0,IFERROR(SEARCH(DruidLand1,$T241,1),0)&gt;0,IFERROR(SEARCH(DruidLand2,$T241,1),0)&gt;0,IFERROR(SEARCH(DruidLand3,$T241,1),0)&gt;0,IFERROR(SEARCH(DruidLand4,$T241,1),0)&gt;0),1,0)*IF($C241=1,1,0)*IF($C241=DR$2,1,0)=0,0,1+COUNTIF(DR$3:DR240,"&gt;0"))</f>
        <v>0</v>
      </c>
      <c r="DS241">
        <f>IF(IF(OR(IFERROR(SEARCH("Paladin",$T241,1),0)&gt;0,IFERROR(SEARCH(PaladinOath,$T241,1),0)&gt;0),1,0)*IF($C241=DS$2,1,0)=1,1+COUNTIF(DS$3:DS240,"&gt;0"),0)</f>
        <v>0</v>
      </c>
      <c r="DT241">
        <f>IF(IF(OR(IFERROR(SEARCH("Paladin",$T241,1),0)&gt;0,IFERROR(SEARCH(PaladinOath,$T241,1),0)&gt;0),1,0)*IF($C241=DT$2,1,0)=1,1+COUNTIF(DT$3:DT240,"&gt;0"),0)</f>
        <v>0</v>
      </c>
      <c r="DU241">
        <f>IF(IF(OR(IFERROR(SEARCH("Paladin",$T241,1),0)&gt;0,IFERROR(SEARCH(PaladinOath,$T241,1),0)&gt;0),1,0)*IF($C241=DU$2,1,0)=1,1+COUNTIF(DU$3:DU240,"&gt;0"),0)</f>
        <v>0</v>
      </c>
      <c r="DV241">
        <f>IF(IF(OR(IFERROR(SEARCH("Paladin",$T241,1),0)&gt;0,IFERROR(SEARCH(PaladinOath,$T241,1),0)&gt;0),1,0)*IF($C241=DV$2,1,0)=1,1+COUNTIF(DV$3:DV240,"&gt;0"),0)</f>
        <v>0</v>
      </c>
      <c r="DW241">
        <f>IF(IF(OR(IFERROR(SEARCH("Paladin",$T241,1),0)&gt;0,IFERROR(SEARCH(PaladinOath,$T241,1),0)&gt;0),1,0)*IF($C241=DW$2,1,0)=1,1+COUNTIF(DW$3:DW240,"&gt;0"),0)</f>
        <v>0</v>
      </c>
      <c r="DY241">
        <f t="shared" si="166"/>
        <v>1</v>
      </c>
      <c r="DZ241">
        <f>IF(DY241=0,0,1+MAX(DZ$3:$DZ240))</f>
        <v>239</v>
      </c>
      <c r="EB241">
        <f t="shared" si="180"/>
        <v>0</v>
      </c>
      <c r="EC241">
        <f>IF(EB241=0,0,1+COUNTIF(EC$3:EC240,"&gt;0"))</f>
        <v>0</v>
      </c>
      <c r="ED241" t="str">
        <f t="shared" si="209"/>
        <v/>
      </c>
      <c r="EE241" t="str">
        <f t="shared" si="181"/>
        <v/>
      </c>
      <c r="EG241">
        <f t="shared" si="182"/>
        <v>0</v>
      </c>
      <c r="EH241">
        <f>IF(EG241=0,0,1+COUNTIF(EH$3:EH240,"&gt;0"))</f>
        <v>0</v>
      </c>
      <c r="EI241" t="str">
        <f t="shared" si="210"/>
        <v/>
      </c>
      <c r="EJ241" t="str">
        <f t="shared" si="183"/>
        <v/>
      </c>
      <c r="EL241">
        <f t="shared" si="184"/>
        <v>0</v>
      </c>
      <c r="EM241">
        <f>IF(EL241=0,0,1+COUNTIF(EM$3:EM240,"&gt;0"))</f>
        <v>0</v>
      </c>
      <c r="EN241" t="str">
        <f t="shared" si="211"/>
        <v/>
      </c>
      <c r="EO241" t="str">
        <f t="shared" si="185"/>
        <v/>
      </c>
      <c r="EQ241">
        <f t="shared" si="186"/>
        <v>0</v>
      </c>
      <c r="ER241">
        <f>IF(EQ241=0,0,1+COUNTIF(ER$3:ER240,"&gt;0"))</f>
        <v>0</v>
      </c>
      <c r="ES241" t="str">
        <f t="shared" si="212"/>
        <v/>
      </c>
      <c r="ET241" t="str">
        <f t="shared" si="187"/>
        <v/>
      </c>
      <c r="EV241">
        <f t="shared" si="188"/>
        <v>0</v>
      </c>
      <c r="EW241">
        <f>IF(EV241=0,0,1+COUNTIF(EW$3:EW240,"&gt;0"))</f>
        <v>0</v>
      </c>
      <c r="EX241" t="str">
        <f t="shared" si="213"/>
        <v/>
      </c>
      <c r="EY241" t="str">
        <f t="shared" si="189"/>
        <v/>
      </c>
      <c r="FA241">
        <f t="shared" si="190"/>
        <v>0</v>
      </c>
      <c r="FB241">
        <f>IF(FA241=0,0,1+COUNTIF(FB$3:FB240,"&gt;0"))</f>
        <v>0</v>
      </c>
      <c r="FC241" t="str">
        <f t="shared" si="214"/>
        <v/>
      </c>
      <c r="FD241" t="str">
        <f t="shared" si="191"/>
        <v/>
      </c>
      <c r="FF241">
        <f t="shared" si="192"/>
        <v>0</v>
      </c>
      <c r="FG241">
        <f>IF(FF241=0,0,1+COUNTIF(FG$3:FG240,"&gt;0"))</f>
        <v>0</v>
      </c>
      <c r="FH241" t="str">
        <f t="shared" si="215"/>
        <v/>
      </c>
      <c r="FI241" t="str">
        <f t="shared" si="193"/>
        <v/>
      </c>
      <c r="FK241">
        <f t="shared" si="194"/>
        <v>0</v>
      </c>
      <c r="FL241">
        <f>IF(FK241=0,0,1+COUNTIF(FL$3:FL240,"&gt;0"))</f>
        <v>0</v>
      </c>
      <c r="FM241" t="str">
        <f t="shared" si="216"/>
        <v/>
      </c>
      <c r="FN241" t="str">
        <f t="shared" si="195"/>
        <v/>
      </c>
      <c r="FP241">
        <f t="shared" si="196"/>
        <v>0</v>
      </c>
      <c r="FQ241">
        <f>IF(FP241=0,0,1+COUNTIF(FQ$3:FQ240,"&gt;0"))</f>
        <v>0</v>
      </c>
      <c r="FR241" t="str">
        <f t="shared" si="217"/>
        <v/>
      </c>
      <c r="FS241" t="str">
        <f t="shared" si="197"/>
        <v/>
      </c>
    </row>
    <row r="242" spans="1:175" x14ac:dyDescent="0.25">
      <c r="A242" s="347">
        <f t="shared" si="219"/>
        <v>240</v>
      </c>
      <c r="B242" s="348" t="s">
        <v>2621</v>
      </c>
      <c r="C242" s="348">
        <v>6</v>
      </c>
      <c r="D242" s="347">
        <v>6</v>
      </c>
      <c r="E242" s="627" t="s">
        <v>6952</v>
      </c>
      <c r="F242" s="346"/>
      <c r="G242" s="347" t="str">
        <f>""</f>
        <v/>
      </c>
      <c r="H242" s="347" t="s">
        <v>5912</v>
      </c>
      <c r="I242" s="347" t="s">
        <v>5290</v>
      </c>
      <c r="J242" s="347" t="str">
        <f t="shared" si="167"/>
        <v/>
      </c>
      <c r="K242" s="347" t="s">
        <v>5442</v>
      </c>
      <c r="L242" s="611" t="str">
        <f t="shared" si="168"/>
        <v>V, S, M, an iron blade and a small bag containing a mixture of soils—clay, loam, and sand</v>
      </c>
      <c r="M242" s="347" t="s">
        <v>2373</v>
      </c>
      <c r="N242" s="347" t="s">
        <v>2387</v>
      </c>
      <c r="O242" s="347" t="s">
        <v>1244</v>
      </c>
      <c r="P242" s="346" t="s">
        <v>5443</v>
      </c>
      <c r="Q242" s="347" t="s">
        <v>5276</v>
      </c>
      <c r="S242" s="346" t="s">
        <v>5779</v>
      </c>
      <c r="T242" s="346" t="str">
        <f t="shared" si="169"/>
        <v xml:space="preserve">Sorcerer, Druid, Wizard, </v>
      </c>
      <c r="X242" s="347" t="str">
        <f>$B242</f>
        <v>Move Earth</v>
      </c>
      <c r="AA242" s="347" t="str">
        <f>$B242</f>
        <v>Move Earth</v>
      </c>
      <c r="AD242" s="347" t="str">
        <f t="shared" si="223"/>
        <v>Move Earth</v>
      </c>
      <c r="AE242" t="str">
        <f>IF(IFERROR(MATCH($B242,temp!A$4:A$13,0),0)&gt;0,T08_Spells!AE$2,"")</f>
        <v/>
      </c>
      <c r="AF242" t="str">
        <f>IF(IFERROR(MATCH($B242,temp!B$4:B$13,0),0)&gt;0,T08_Spells!AF$2,"")</f>
        <v/>
      </c>
      <c r="AG242" t="str">
        <f>IF(IFERROR(MATCH($B242,temp!C$4:C$13,0),0)&gt;0,T08_Spells!AG$2,"")</f>
        <v/>
      </c>
      <c r="AH242" t="str">
        <f>IF(IFERROR(MATCH($B242,temp!D$4:D$13,0),0)&gt;0,T08_Spells!AH$2,"")</f>
        <v/>
      </c>
      <c r="AI242" t="str">
        <f>IF(IFERROR(MATCH($B242,temp!E$4:E$13,0),0)&gt;0,T08_Spells!AI$2,"")</f>
        <v/>
      </c>
      <c r="AJ242" t="str">
        <f>IF(IFERROR(MATCH($B242,temp!F$4:F$13,0),0)&gt;0,T08_Spells!AJ$2,"")</f>
        <v/>
      </c>
      <c r="AK242" t="str">
        <f>IF(IFERROR(MATCH($B242,temp!G$4:G$13,0),0)&gt;0,T08_Spells!AK$2,"")</f>
        <v/>
      </c>
      <c r="AL242" t="str">
        <f>IF(IFERROR(MATCH($B242,temp!H$4:H$13,0),0)&gt;0,T08_Spells!AL$2,"")</f>
        <v/>
      </c>
      <c r="AM242" t="str">
        <f>IF(IFERROR(MATCH($B242,temp!I$4:I$13,0),0)&gt;0,T08_Spells!AM$2,"")</f>
        <v/>
      </c>
      <c r="AN242" t="str">
        <f>IF(IFERROR(MATCH($B242,temp!J$4:J$13,0),0)&gt;0,T08_Spells!AN$2,"")</f>
        <v/>
      </c>
      <c r="AO242" t="str">
        <f>IF(IFERROR(MATCH($B242,temp!K$4:K$13,0),0)&gt;0,T08_Spells!AO$2,"")</f>
        <v/>
      </c>
      <c r="AP242" t="str">
        <f>IF(IFERROR(MATCH($B242,temp!L$4:L$13,0),0)&gt;0,T08_Spells!AP$2,"")</f>
        <v/>
      </c>
      <c r="AQ242" t="str">
        <f>IF(IFERROR(MATCH($B242,temp!M$4:M$13,0),0)&gt;0,T08_Spells!AQ$2,"")</f>
        <v/>
      </c>
      <c r="AR242" t="str">
        <f>IF(IFERROR(MATCH($B242,temp!N$4:N$13,0),0)&gt;0,T08_Spells!AR$2,"")</f>
        <v/>
      </c>
      <c r="AS242" t="str">
        <f>IF(IFERROR(MATCH($B242,temp!O$4:O$13,0),0)&gt;0,T08_Spells!AS$2,"")</f>
        <v/>
      </c>
      <c r="AT242" t="str">
        <f>IF(IFERROR(MATCH($B242,temp!P$4:P$13,0),0)&gt;0,T08_Spells!AT$2,"")</f>
        <v/>
      </c>
      <c r="AU242" t="str">
        <f>IF(IFERROR(MATCH($B242,temp!Q$4:Q$13,0),0)&gt;0,T08_Spells!AU$2,"")</f>
        <v/>
      </c>
      <c r="AV242" t="str">
        <f>IF(IFERROR(MATCH($B242,temp!R$4:R$13,0),0)&gt;0,T08_Spells!AV$2,"")</f>
        <v/>
      </c>
      <c r="AW242" t="str">
        <f>IF(IFERROR(MATCH($B242,temp!S$4:S$13,0),0)&gt;0,T08_Spells!AW$2,"")</f>
        <v/>
      </c>
      <c r="AX242" t="str">
        <f>IF(IFERROR(MATCH($B242,temp!T$4:T$13,0),0)&gt;0,T08_Spells!AX$2,"")</f>
        <v/>
      </c>
      <c r="AY242" t="str">
        <f>IF(IFERROR(MATCH($B242,temp!U$4:U$13,0),0)&gt;0,T08_Spells!AY$2,"")</f>
        <v/>
      </c>
      <c r="AZ242" t="str">
        <f>IF(IFERROR(MATCH($B242,temp!V$4:V$13,0),0)&gt;0,T08_Spells!AZ$2,"")</f>
        <v/>
      </c>
      <c r="BA242" t="str">
        <f>IF(IFERROR(MATCH($B242,temp!W$4:W$13,0),0)&gt;0,T08_Spells!BA$2,"")</f>
        <v/>
      </c>
      <c r="BC242">
        <f>IF(IFERROR(SEARCH("Ranger",$T242,1),0)&gt;0,1,0)*IF(RangerMaxSpellLevel&gt;=$C242,1,0)*IF(IFERROR(MATCH(B242,Character_Creation!$X$79:$X$382,0),0)&gt;0,0,1)</f>
        <v>0</v>
      </c>
      <c r="BD242">
        <f>IF(BC242=0,0,1+COUNTIF(BD$3:BD241,"&gt;0"))</f>
        <v>0</v>
      </c>
      <c r="BE242" t="str">
        <f t="shared" si="199"/>
        <v/>
      </c>
      <c r="BF242" t="str">
        <f t="shared" si="170"/>
        <v/>
      </c>
      <c r="BH242">
        <f>IF(IFERROR(SEARCH("Sorcerer",$T242,1),0)&gt;0,1,0)*IF(SorcererMaxSpellLevel&gt;=$C242,1,0)*IF(IFERROR(MATCH(B242,Character_Creation!$J$380:$J$394,0),0)&gt;0,0,1)</f>
        <v>0</v>
      </c>
      <c r="BI242">
        <f>IF(BH242=0,0,1+COUNTIF(BI$3:BI241,"&gt;0"))</f>
        <v>0</v>
      </c>
      <c r="BJ242" t="str">
        <f t="shared" si="200"/>
        <v/>
      </c>
      <c r="BK242" t="str">
        <f t="shared" si="171"/>
        <v/>
      </c>
      <c r="BM242">
        <f>IF(OR(IFERROR(SEARCH("Warlock",$T242,1),0)&gt;0,IFERROR(SEARCH(WarlockPatron,$T242,1),0)&gt;0),1,0)*IF(WarlockMaxSpellLevel&gt;=$C242,1,0)*IF(IFERROR(MATCH(B242,Character_Creation!$J$361:$J$375,0),0)&gt;0,0,1)</f>
        <v>0</v>
      </c>
      <c r="BN242">
        <f>IF(BM242=0,0,1+COUNTIF(BN$3:BN241,"&gt;0"))</f>
        <v>0</v>
      </c>
      <c r="BO242" t="str">
        <f t="shared" si="201"/>
        <v/>
      </c>
      <c r="BP242" t="str">
        <f t="shared" si="172"/>
        <v/>
      </c>
      <c r="BR242">
        <f>IF(IFERROR(SEARCH("Eldritch Knight",$T242,1),0)&gt;0,1,0)*IF(EldritchKnightMaxSpellLevel&gt;=$C242,1,0)*IF(IFERROR(MATCH($B242,Character_Creation!$J$350:$J$356,0),0)&gt;0,0,1)*IF(Character_Creation!$M$338&gt;0,1,0)</f>
        <v>0</v>
      </c>
      <c r="BS242">
        <f>IF(BR242=0,0,1+COUNTIF(BS$3:BS241,"&gt;0"))</f>
        <v>0</v>
      </c>
      <c r="BT242" t="str">
        <f t="shared" si="202"/>
        <v/>
      </c>
      <c r="BU242" t="str">
        <f t="shared" si="173"/>
        <v/>
      </c>
      <c r="BW242">
        <f>IF(IFERROR(SEARCH("Arcane Trickster",$T242,1),0)&gt;0,1,0)*IF(ArcaneTricksterMaxSpellLevel&gt;=$C242,1,0)*IF(IFERROR(MATCH($B242,Character_Creation!$J$350:$J$356,0),0)&gt;0,0,1)*IF(Character_Creation!$T$338&gt;0,1,0)</f>
        <v>0</v>
      </c>
      <c r="BX242">
        <f>IF(BW242=0,0,1+COUNTIF(BX$3:BX241,"&gt;0"))</f>
        <v>0</v>
      </c>
      <c r="BY242" t="str">
        <f t="shared" si="203"/>
        <v/>
      </c>
      <c r="BZ242" t="str">
        <f t="shared" si="174"/>
        <v/>
      </c>
      <c r="CB242">
        <f>IF(IFERROR(SEARCH("Wizard",$T242,1),0)&gt;0,1,0)*IF(C242&lt;=ArcaneTricksterMaxSpellLevel,1,0)*IF(IFERROR(MATCH($B242,Character_Creation!$J$350:$J$356,0),0)&gt;0,0,1)*IF(Character_Creation!$T$350&gt;0,1,0)</f>
        <v>0</v>
      </c>
      <c r="CC242">
        <f>IF(CB242=0,0,1+COUNTIF(CC$3:CC241,"&gt;0"))</f>
        <v>0</v>
      </c>
      <c r="CD242" t="str">
        <f t="shared" si="204"/>
        <v/>
      </c>
      <c r="CE242" t="str">
        <f t="shared" si="175"/>
        <v/>
      </c>
      <c r="CG242">
        <f>IF(IFERROR(SEARCH("Wizard",$T242,1),0)&gt;0,1,0)*IF($C242&lt;=EldritchKnightMaxSpellLevel,1,0)*IF(IFERROR(MATCH($B242,Character_Creation!$J$350:$J$356,0),0)&gt;0,0,1)*IF(Character_Creation!$M$350&gt;0,1,0)</f>
        <v>0</v>
      </c>
      <c r="CH242">
        <f>IF(CG242=0,0,1+COUNTIF(CH$3:CH241,"&gt;0"))</f>
        <v>0</v>
      </c>
      <c r="CI242" t="str">
        <f t="shared" si="205"/>
        <v/>
      </c>
      <c r="CJ242" t="str">
        <f t="shared" si="176"/>
        <v/>
      </c>
      <c r="CL242">
        <f>IF(IFERROR(SEARCH("Bard",$T242,1),0)&gt;0,1,0)*IF(BardMaxSpellLevel&gt;=$C242,1,0)*IF(IFERROR(MATCH(B242,Character_Creation!$C$341:$F$362,0),0)&gt;0,0,1)*IF(IFERROR(MATCH($B242,Character_Creation!$C$341:$C$362,0),0)&gt;0,0,1)</f>
        <v>0</v>
      </c>
      <c r="CM242">
        <f>IF(CL242=0,0,1+COUNTIF(CM$3:CM241,"&gt;0"))</f>
        <v>0</v>
      </c>
      <c r="CN242" t="str">
        <f t="shared" si="206"/>
        <v/>
      </c>
      <c r="CO242" t="str">
        <f t="shared" si="177"/>
        <v/>
      </c>
      <c r="CQ242">
        <f>IF(IFERROR(SEARCH("Wizard",$T242,1),0)&gt;0,1,0)*IF(WizardMaxSpellLevel&gt;=$C242,1,0)*IF(IFERROR(MATCH(B242,Character_Creation!$X$341:$X$400,0),0)&gt;0,0,1)*IF(SelectedWizardSpellLevel=$C242,1,0)</f>
        <v>0</v>
      </c>
      <c r="CR242">
        <f>IF(CQ242=0,0,1+COUNTIF(CR$3:CR241,"&gt;0"))</f>
        <v>0</v>
      </c>
      <c r="CS242" t="str">
        <f t="shared" si="207"/>
        <v/>
      </c>
      <c r="CT242" t="str">
        <f t="shared" si="178"/>
        <v/>
      </c>
      <c r="CV242">
        <f>IF(IFERROR(MATCH($B242,Character_Creation!$C$341:$C$362,0),0)&gt;0,0,1)*IF(OR(C242="Cantrip",C242&lt;=BardMaxSpellLevel),1,0)*IF(IFERROR(MATCH($B242,Character_Creation!$C$367:$C$374,0),0)&gt;0,0,1)</f>
        <v>0</v>
      </c>
      <c r="CW242">
        <f>IF(CV242=0,0,1+COUNTIF(CW$3:CW241,"&gt;0"))</f>
        <v>0</v>
      </c>
      <c r="CX242" t="str">
        <f t="shared" si="208"/>
        <v/>
      </c>
      <c r="CY242" t="str">
        <f t="shared" si="179"/>
        <v/>
      </c>
      <c r="DA242">
        <f>IF(IF(OR(IFERROR(SEARCH("Cleric",$T242,1),0)&gt;0,IFERROR(SEARCH(DivineDomain&amp;",",$T242,1),0)&gt;0),1,0)*IF($C242=DA$2,1,0)=1,1+COUNTIF(DA$3:DA241,"&gt;0"),0)</f>
        <v>0</v>
      </c>
      <c r="DB242">
        <f>IF(IF(OR(IFERROR(SEARCH("Cleric",$T242,1),0)&gt;0,IFERROR(SEARCH(DivineDomain&amp;",",$T242,1),0)&gt;0),1,0)*IF($C242=DB$2,1,0)=1,1+COUNTIF(DB$3:DB241,"&gt;0"),0)</f>
        <v>0</v>
      </c>
      <c r="DC242">
        <f>IF(IF(OR(IFERROR(SEARCH("Cleric",$T242,1),0)&gt;0,IFERROR(SEARCH(DivineDomain&amp;",",$T242,1),0)&gt;0),1,0)*IF($C242=DC$2,1,0)=1,1+COUNTIF(DC$3:DC241,"&gt;0"),0)</f>
        <v>0</v>
      </c>
      <c r="DD242">
        <f>IF(IF(OR(IFERROR(SEARCH("Cleric",$T242,1),0)&gt;0,IFERROR(SEARCH(DivineDomain&amp;",",$T242,1),0)&gt;0),1,0)*IF($C242=DD$2,1,0)=1,1+COUNTIF(DD$3:DD241,"&gt;0"),0)</f>
        <v>0</v>
      </c>
      <c r="DE242">
        <f>IF(IF(OR(IFERROR(SEARCH("Cleric",$T242,1),0)&gt;0,IFERROR(SEARCH(DivineDomain&amp;",",$T242,1),0)&gt;0),1,0)*IF($C242=DE$2,1,0)=1,1+COUNTIF(DE$3:DE241,"&gt;0"),0)</f>
        <v>0</v>
      </c>
      <c r="DF242">
        <f>IF(IF(OR(IFERROR(SEARCH("Cleric",$T242,1),0)&gt;0,IFERROR(SEARCH(DivineDomain&amp;",",$T242,1),0)&gt;0),1,0)*IF($C242=DF$2,1,0)=1,1+COUNTIF(DF$3:DF241,"&gt;0"),0)</f>
        <v>0</v>
      </c>
      <c r="DG242">
        <f>IF(IF(OR(IFERROR(SEARCH("Cleric",$T242,1),0)&gt;0,IFERROR(SEARCH(DivineDomain&amp;",",$T242,1),0)&gt;0),1,0)*IF($C242=DG$2,1,0)=1,1+COUNTIF(DG$3:DG241,"&gt;0"),0)</f>
        <v>0</v>
      </c>
      <c r="DH242">
        <f>IF(IF(OR(IFERROR(SEARCH("Cleric",$T242,1),0)&gt;0,IFERROR(SEARCH(DivineDomain&amp;",",$T242,1),0)&gt;0),1,0)*IF($C242=DH$2,1,0)=1,1+COUNTIF(DH$3:DH241,"&gt;0"),0)</f>
        <v>0</v>
      </c>
      <c r="DI242">
        <f>IF(IF(OR(IFERROR(SEARCH("Cleric",$T242,1),0)&gt;0,IFERROR(SEARCH(DivineDomain&amp;",",$T242,1),0)&gt;0),1,0)*IF($C242=DI$2,1,0)=1,1+COUNTIF(DI$3:DI241,"&gt;0"),0)</f>
        <v>0</v>
      </c>
      <c r="DJ242">
        <f>IF(IF(OR(IFERROR(SEARCH("Druid",$T242,1),0)&gt;0,IFERROR(SEARCH(DruidLand1,$T242,1),0)&gt;0,IFERROR(SEARCH(DruidLand2,$T242,1),0)&gt;0,IFERROR(SEARCH(DruidLand3,$T242,1),0)&gt;0,IFERROR(SEARCH(DruidLand4,$T242,1),0)&gt;0),1,0)*IF($C242=1,1,0)*IF($C242=DJ$2,1,0)=0,0,1+COUNTIF(DJ$3:DJ241,"&gt;0"))</f>
        <v>0</v>
      </c>
      <c r="DK242">
        <f>IF(IF(OR(IFERROR(SEARCH("Druid",$T242,1),0)&gt;0,IFERROR(SEARCH(DruidLand1,$T242,1),0)&gt;0,IFERROR(SEARCH(DruidLand2,$T242,1),0)&gt;0,IFERROR(SEARCH(DruidLand3,$T242,1),0)&gt;0,IFERROR(SEARCH(DruidLand4,$T242,1),0)&gt;0),1,0)*IF($C242=DK$2,1,0)=0,0,1+COUNTIF(DK$3:DK241,"&gt;0"))</f>
        <v>0</v>
      </c>
      <c r="DL242">
        <f>IF(IF(OR(IFERROR(SEARCH("Druid",$T242,1),0)&gt;0,IFERROR(SEARCH(DruidLand1,$T242,1),0)&gt;0,IFERROR(SEARCH(DruidLand2,$T242,1),0)&gt;0,IFERROR(SEARCH(DruidLand3,$T242,1),0)&gt;0,IFERROR(SEARCH(DruidLand4,$T242,1),0)&gt;0),1,0)*IF($C242=DL$2,1,0)=0,0,1+COUNTIF(DL$3:DL241,"&gt;0"))</f>
        <v>0</v>
      </c>
      <c r="DM242">
        <f>IF(IF(OR(IFERROR(SEARCH("Druid",$T242,1),0)&gt;0,IFERROR(SEARCH(DruidLand1,$T242,1),0)&gt;0,IFERROR(SEARCH(DruidLand2,$T242,1),0)&gt;0,IFERROR(SEARCH(DruidLand3,$T242,1),0)&gt;0,IFERROR(SEARCH(DruidLand4,$T242,1),0)&gt;0),1,0)*IF($C242=DM$2,1,0)=0,0,1+COUNTIF(DM$3:DM241,"&gt;0"))</f>
        <v>0</v>
      </c>
      <c r="DN242">
        <f>IF(IF(OR(IFERROR(SEARCH("Druid",$T242,1),0)&gt;0,IFERROR(SEARCH(DruidLand1,$T242,1),0)&gt;0,IFERROR(SEARCH(DruidLand2,$T242,1),0)&gt;0,IFERROR(SEARCH(DruidLand3,$T242,1),0)&gt;0,IFERROR(SEARCH(DruidLand4,$T242,1),0)&gt;0),1,0)*IF($C242=DN$2,1,0)=0,0,1+COUNTIF(DN$3:DN241,"&gt;0"))</f>
        <v>0</v>
      </c>
      <c r="DO242">
        <f>IF(IF(OR(IFERROR(SEARCH("Druid",$T242,1),0)&gt;0,IFERROR(SEARCH(DruidLand1,$T242,1),0)&gt;0,IFERROR(SEARCH(DruidLand2,$T242,1),0)&gt;0,IFERROR(SEARCH(DruidLand3,$T242,1),0)&gt;0,IFERROR(SEARCH(DruidLand4,$T242,1),0)&gt;0),1,0)*IF($C242=DO$2,1,0)=0,0,1+COUNTIF(DO$3:DO241,"&gt;0"))</f>
        <v>5</v>
      </c>
      <c r="DP242">
        <f>IF(IF(OR(IFERROR(SEARCH("Druid",$T242,1),0)&gt;0,IFERROR(SEARCH(DruidLand1,$T242,1),0)&gt;0,IFERROR(SEARCH(DruidLand2,$T242,1),0)&gt;0,IFERROR(SEARCH(DruidLand3,$T242,1),0)&gt;0,IFERROR(SEARCH(DruidLand4,$T242,1),0)&gt;0),1,0)*IF($C242=DP$2,1,0)=0,0,1+COUNTIF(DP$3:DP241,"&gt;0"))</f>
        <v>0</v>
      </c>
      <c r="DQ242">
        <f>IF(IF(OR(IFERROR(SEARCH("Druid",$T242,1),0)&gt;0,IFERROR(SEARCH(DruidLand1,$T242,1),0)&gt;0,IFERROR(SEARCH(DruidLand2,$T242,1),0)&gt;0,IFERROR(SEARCH(DruidLand3,$T242,1),0)&gt;0,IFERROR(SEARCH(DruidLand4,$T242,1),0)&gt;0),1,0)*IF($C242=DQ$2,1,0)=0,0,1+COUNTIF(DQ$3:DQ241,"&gt;0"))</f>
        <v>0</v>
      </c>
      <c r="DR242">
        <f>IF(IF(OR(IFERROR(SEARCH("Druid",$T242,1),0)&gt;0,IFERROR(SEARCH(DruidLand1,$T242,1),0)&gt;0,IFERROR(SEARCH(DruidLand2,$T242,1),0)&gt;0,IFERROR(SEARCH(DruidLand3,$T242,1),0)&gt;0,IFERROR(SEARCH(DruidLand4,$T242,1),0)&gt;0),1,0)*IF($C242=DR$2,1,0)=0,0,1+COUNTIF(DR$3:DR241,"&gt;0"))</f>
        <v>0</v>
      </c>
      <c r="DS242">
        <f>IF(IF(OR(IFERROR(SEARCH("Paladin",$T242,1),0)&gt;0,IFERROR(SEARCH(PaladinOath,$T242,1),0)&gt;0),1,0)*IF($C242=DS$2,1,0)=1,1+COUNTIF(DS$3:DS241,"&gt;0"),0)</f>
        <v>0</v>
      </c>
      <c r="DT242">
        <f>IF(IF(OR(IFERROR(SEARCH("Paladin",$T242,1),0)&gt;0,IFERROR(SEARCH(PaladinOath,$T242,1),0)&gt;0),1,0)*IF($C242=DT$2,1,0)=1,1+COUNTIF(DT$3:DT241,"&gt;0"),0)</f>
        <v>0</v>
      </c>
      <c r="DU242">
        <f>IF(IF(OR(IFERROR(SEARCH("Paladin",$T242,1),0)&gt;0,IFERROR(SEARCH(PaladinOath,$T242,1),0)&gt;0),1,0)*IF($C242=DU$2,1,0)=1,1+COUNTIF(DU$3:DU241,"&gt;0"),0)</f>
        <v>0</v>
      </c>
      <c r="DV242">
        <f>IF(IF(OR(IFERROR(SEARCH("Paladin",$T242,1),0)&gt;0,IFERROR(SEARCH(PaladinOath,$T242,1),0)&gt;0),1,0)*IF($C242=DV$2,1,0)=1,1+COUNTIF(DV$3:DV241,"&gt;0"),0)</f>
        <v>0</v>
      </c>
      <c r="DW242">
        <f>IF(IF(OR(IFERROR(SEARCH("Paladin",$T242,1),0)&gt;0,IFERROR(SEARCH(PaladinOath,$T242,1),0)&gt;0),1,0)*IF($C242=DW$2,1,0)=1,1+COUNTIF(DW$3:DW241,"&gt;0"),0)</f>
        <v>0</v>
      </c>
      <c r="DY242">
        <f t="shared" si="166"/>
        <v>1</v>
      </c>
      <c r="DZ242">
        <f>IF(DY242=0,0,1+MAX(DZ$3:$DZ241))</f>
        <v>240</v>
      </c>
      <c r="EB242">
        <f t="shared" si="180"/>
        <v>0</v>
      </c>
      <c r="EC242">
        <f>IF(EB242=0,0,1+COUNTIF(EC$3:EC241,"&gt;0"))</f>
        <v>0</v>
      </c>
      <c r="ED242" t="str">
        <f t="shared" si="209"/>
        <v/>
      </c>
      <c r="EE242" t="str">
        <f t="shared" si="181"/>
        <v/>
      </c>
      <c r="EG242">
        <f t="shared" si="182"/>
        <v>0</v>
      </c>
      <c r="EH242">
        <f>IF(EG242=0,0,1+COUNTIF(EH$3:EH241,"&gt;0"))</f>
        <v>0</v>
      </c>
      <c r="EI242" t="str">
        <f t="shared" si="210"/>
        <v/>
      </c>
      <c r="EJ242" t="str">
        <f t="shared" si="183"/>
        <v/>
      </c>
      <c r="EL242">
        <f t="shared" si="184"/>
        <v>0</v>
      </c>
      <c r="EM242">
        <f>IF(EL242=0,0,1+COUNTIF(EM$3:EM241,"&gt;0"))</f>
        <v>0</v>
      </c>
      <c r="EN242" t="str">
        <f t="shared" si="211"/>
        <v/>
      </c>
      <c r="EO242" t="str">
        <f t="shared" si="185"/>
        <v/>
      </c>
      <c r="EQ242">
        <f t="shared" si="186"/>
        <v>0</v>
      </c>
      <c r="ER242">
        <f>IF(EQ242=0,0,1+COUNTIF(ER$3:ER241,"&gt;0"))</f>
        <v>0</v>
      </c>
      <c r="ES242" t="str">
        <f t="shared" si="212"/>
        <v/>
      </c>
      <c r="ET242" t="str">
        <f t="shared" si="187"/>
        <v/>
      </c>
      <c r="EV242">
        <f t="shared" si="188"/>
        <v>0</v>
      </c>
      <c r="EW242">
        <f>IF(EV242=0,0,1+COUNTIF(EW$3:EW241,"&gt;0"))</f>
        <v>0</v>
      </c>
      <c r="EX242" t="str">
        <f t="shared" si="213"/>
        <v/>
      </c>
      <c r="EY242" t="str">
        <f t="shared" si="189"/>
        <v/>
      </c>
      <c r="FA242">
        <f t="shared" si="190"/>
        <v>0</v>
      </c>
      <c r="FB242">
        <f>IF(FA242=0,0,1+COUNTIF(FB$3:FB241,"&gt;0"))</f>
        <v>0</v>
      </c>
      <c r="FC242" t="str">
        <f t="shared" si="214"/>
        <v/>
      </c>
      <c r="FD242" t="str">
        <f t="shared" si="191"/>
        <v/>
      </c>
      <c r="FF242">
        <f t="shared" si="192"/>
        <v>0</v>
      </c>
      <c r="FG242">
        <f>IF(FF242=0,0,1+COUNTIF(FG$3:FG241,"&gt;0"))</f>
        <v>0</v>
      </c>
      <c r="FH242" t="str">
        <f t="shared" si="215"/>
        <v/>
      </c>
      <c r="FI242" t="str">
        <f t="shared" si="193"/>
        <v/>
      </c>
      <c r="FK242">
        <f t="shared" si="194"/>
        <v>0</v>
      </c>
      <c r="FL242">
        <f>IF(FK242=0,0,1+COUNTIF(FL$3:FL241,"&gt;0"))</f>
        <v>0</v>
      </c>
      <c r="FM242" t="str">
        <f t="shared" si="216"/>
        <v/>
      </c>
      <c r="FN242" t="str">
        <f t="shared" si="195"/>
        <v/>
      </c>
      <c r="FP242">
        <f t="shared" si="196"/>
        <v>0</v>
      </c>
      <c r="FQ242">
        <f>IF(FP242=0,0,1+COUNTIF(FQ$3:FQ241,"&gt;0"))</f>
        <v>0</v>
      </c>
      <c r="FR242" t="str">
        <f t="shared" si="217"/>
        <v/>
      </c>
      <c r="FS242" t="str">
        <f t="shared" si="197"/>
        <v/>
      </c>
    </row>
    <row r="243" spans="1:175" x14ac:dyDescent="0.25">
      <c r="A243" s="347">
        <f t="shared" si="219"/>
        <v>241</v>
      </c>
      <c r="B243" s="348" t="s">
        <v>2622</v>
      </c>
      <c r="C243" s="348">
        <v>3</v>
      </c>
      <c r="D243" s="347">
        <v>3</v>
      </c>
      <c r="E243" s="627" t="s">
        <v>6952</v>
      </c>
      <c r="F243" s="346"/>
      <c r="G243" s="347" t="str">
        <f>""</f>
        <v/>
      </c>
      <c r="H243" s="347" t="s">
        <v>5912</v>
      </c>
      <c r="I243" s="347" t="s">
        <v>5298</v>
      </c>
      <c r="J243" s="347" t="str">
        <f t="shared" si="167"/>
        <v/>
      </c>
      <c r="K243" s="347" t="s">
        <v>5279</v>
      </c>
      <c r="L243" s="611" t="str">
        <f t="shared" si="168"/>
        <v>V, S, M, a pinch of diamond dust worth 25 gp sprinkled over the target, which the spell consumes</v>
      </c>
      <c r="M243" s="347" t="s">
        <v>2373</v>
      </c>
      <c r="N243" s="347" t="s">
        <v>2387</v>
      </c>
      <c r="O243" s="347" t="s">
        <v>1244</v>
      </c>
      <c r="P243" s="346" t="s">
        <v>5444</v>
      </c>
      <c r="Q243" s="347" t="s">
        <v>5270</v>
      </c>
      <c r="S243" s="346" t="s">
        <v>2623</v>
      </c>
      <c r="T243" s="346" t="str">
        <f t="shared" si="169"/>
        <v xml:space="preserve">Bard, Eldritch Knight, Wizard, Knowledge, </v>
      </c>
      <c r="U243" s="347" t="str">
        <f>$B243</f>
        <v>Nondetection</v>
      </c>
      <c r="AB243" s="542" t="str">
        <f>AD243</f>
        <v>Nondetection</v>
      </c>
      <c r="AD243" s="347" t="str">
        <f t="shared" si="223"/>
        <v>Nondetection</v>
      </c>
      <c r="AE243" t="str">
        <f>IF(IFERROR(MATCH($B243,temp!A$4:A$13,0),0)&gt;0,T08_Spells!AE$2,"")</f>
        <v/>
      </c>
      <c r="AF243" t="str">
        <f>IF(IFERROR(MATCH($B243,temp!B$4:B$13,0),0)&gt;0,T08_Spells!AF$2,"")</f>
        <v/>
      </c>
      <c r="AG243" t="str">
        <f>IF(IFERROR(MATCH($B243,temp!C$4:C$13,0),0)&gt;0,T08_Spells!AG$2,"")</f>
        <v/>
      </c>
      <c r="AH243" t="str">
        <f>IF(IFERROR(MATCH($B243,temp!D$4:D$13,0),0)&gt;0,T08_Spells!AH$2,"")</f>
        <v/>
      </c>
      <c r="AI243" t="str">
        <f>IF(IFERROR(MATCH($B243,temp!E$4:E$13,0),0)&gt;0,T08_Spells!AI$2,"")</f>
        <v/>
      </c>
      <c r="AJ243" t="str">
        <f>IF(IFERROR(MATCH($B243,temp!F$4:F$13,0),0)&gt;0,T08_Spells!AJ$2,"")</f>
        <v/>
      </c>
      <c r="AK243" t="str">
        <f>IF(IFERROR(MATCH($B243,temp!G$4:G$13,0),0)&gt;0,T08_Spells!AK$2,"")</f>
        <v/>
      </c>
      <c r="AL243" t="str">
        <f>IF(IFERROR(MATCH($B243,temp!H$4:H$13,0),0)&gt;0,T08_Spells!AL$2,"")</f>
        <v/>
      </c>
      <c r="AM243" t="str">
        <f>IF(IFERROR(MATCH($B243,temp!I$4:I$13,0),0)&gt;0,T08_Spells!AM$2,"")</f>
        <v/>
      </c>
      <c r="AN243" t="str">
        <f>IF(IFERROR(MATCH($B243,temp!J$4:J$13,0),0)&gt;0,T08_Spells!AN$2,"")</f>
        <v/>
      </c>
      <c r="AO243" t="str">
        <f>IF(IFERROR(MATCH($B243,temp!K$4:K$13,0),0)&gt;0,T08_Spells!AO$2,"")</f>
        <v/>
      </c>
      <c r="AP243" t="str">
        <f>IF(IFERROR(MATCH($B243,temp!L$4:L$13,0),0)&gt;0,T08_Spells!AP$2,"")</f>
        <v/>
      </c>
      <c r="AQ243" t="str">
        <f>IF(IFERROR(MATCH($B243,temp!M$4:M$13,0),0)&gt;0,T08_Spells!AQ$2,"")</f>
        <v/>
      </c>
      <c r="AR243" t="str">
        <f>IF(IFERROR(MATCH($B243,temp!N$4:N$13,0),0)&gt;0,T08_Spells!AR$2,"")</f>
        <v/>
      </c>
      <c r="AS243" t="str">
        <f>IF(IFERROR(MATCH($B243,temp!O$4:O$13,0),0)&gt;0,T08_Spells!AS$2,"")</f>
        <v/>
      </c>
      <c r="AT243" t="str">
        <f>IF(IFERROR(MATCH($B243,temp!P$4:P$13,0),0)&gt;0,T08_Spells!AT$2,"")</f>
        <v>Knowledge</v>
      </c>
      <c r="AU243" t="str">
        <f>IF(IFERROR(MATCH($B243,temp!Q$4:Q$13,0),0)&gt;0,T08_Spells!AU$2,"")</f>
        <v/>
      </c>
      <c r="AV243" t="str">
        <f>IF(IFERROR(MATCH($B243,temp!R$4:R$13,0),0)&gt;0,T08_Spells!AV$2,"")</f>
        <v/>
      </c>
      <c r="AW243" t="str">
        <f>IF(IFERROR(MATCH($B243,temp!S$4:S$13,0),0)&gt;0,T08_Spells!AW$2,"")</f>
        <v/>
      </c>
      <c r="AX243" t="str">
        <f>IF(IFERROR(MATCH($B243,temp!T$4:T$13,0),0)&gt;0,T08_Spells!AX$2,"")</f>
        <v/>
      </c>
      <c r="AY243" t="str">
        <f>IF(IFERROR(MATCH($B243,temp!U$4:U$13,0),0)&gt;0,T08_Spells!AY$2,"")</f>
        <v/>
      </c>
      <c r="AZ243" t="str">
        <f>IF(IFERROR(MATCH($B243,temp!V$4:V$13,0),0)&gt;0,T08_Spells!AZ$2,"")</f>
        <v/>
      </c>
      <c r="BA243" t="str">
        <f>IF(IFERROR(MATCH($B243,temp!W$4:W$13,0),0)&gt;0,T08_Spells!BA$2,"")</f>
        <v/>
      </c>
      <c r="BC243">
        <f>IF(IFERROR(SEARCH("Ranger",$T243,1),0)&gt;0,1,0)*IF(RangerMaxSpellLevel&gt;=$C243,1,0)*IF(IFERROR(MATCH(B243,Character_Creation!$X$79:$X$382,0),0)&gt;0,0,1)</f>
        <v>0</v>
      </c>
      <c r="BD243">
        <f>IF(BC243=0,0,1+COUNTIF(BD$3:BD242,"&gt;0"))</f>
        <v>0</v>
      </c>
      <c r="BE243" t="str">
        <f t="shared" si="199"/>
        <v/>
      </c>
      <c r="BF243" t="str">
        <f t="shared" si="170"/>
        <v/>
      </c>
      <c r="BH243">
        <f>IF(IFERROR(SEARCH("Sorcerer",$T243,1),0)&gt;0,1,0)*IF(SorcererMaxSpellLevel&gt;=$C243,1,0)*IF(IFERROR(MATCH(B243,Character_Creation!$J$380:$J$394,0),0)&gt;0,0,1)</f>
        <v>0</v>
      </c>
      <c r="BI243">
        <f>IF(BH243=0,0,1+COUNTIF(BI$3:BI242,"&gt;0"))</f>
        <v>0</v>
      </c>
      <c r="BJ243" t="str">
        <f t="shared" si="200"/>
        <v/>
      </c>
      <c r="BK243" t="str">
        <f t="shared" si="171"/>
        <v/>
      </c>
      <c r="BM243">
        <f>IF(OR(IFERROR(SEARCH("Warlock",$T243,1),0)&gt;0,IFERROR(SEARCH(WarlockPatron,$T243,1),0)&gt;0),1,0)*IF(WarlockMaxSpellLevel&gt;=$C243,1,0)*IF(IFERROR(MATCH(B243,Character_Creation!$J$361:$J$375,0),0)&gt;0,0,1)</f>
        <v>0</v>
      </c>
      <c r="BN243">
        <f>IF(BM243=0,0,1+COUNTIF(BN$3:BN242,"&gt;0"))</f>
        <v>0</v>
      </c>
      <c r="BO243" t="str">
        <f t="shared" si="201"/>
        <v/>
      </c>
      <c r="BP243" t="str">
        <f t="shared" si="172"/>
        <v/>
      </c>
      <c r="BR243">
        <f>IF(IFERROR(SEARCH("Eldritch Knight",$T243,1),0)&gt;0,1,0)*IF(EldritchKnightMaxSpellLevel&gt;=$C243,1,0)*IF(IFERROR(MATCH($B243,Character_Creation!$J$350:$J$356,0),0)&gt;0,0,1)*IF(Character_Creation!$M$338&gt;0,1,0)</f>
        <v>0</v>
      </c>
      <c r="BS243">
        <f>IF(BR243=0,0,1+COUNTIF(BS$3:BS242,"&gt;0"))</f>
        <v>0</v>
      </c>
      <c r="BT243" t="str">
        <f t="shared" si="202"/>
        <v/>
      </c>
      <c r="BU243" t="str">
        <f t="shared" si="173"/>
        <v/>
      </c>
      <c r="BW243">
        <f>IF(IFERROR(SEARCH("Arcane Trickster",$T243,1),0)&gt;0,1,0)*IF(ArcaneTricksterMaxSpellLevel&gt;=$C243,1,0)*IF(IFERROR(MATCH($B243,Character_Creation!$J$350:$J$356,0),0)&gt;0,0,1)*IF(Character_Creation!$T$338&gt;0,1,0)</f>
        <v>0</v>
      </c>
      <c r="BX243">
        <f>IF(BW243=0,0,1+COUNTIF(BX$3:BX242,"&gt;0"))</f>
        <v>0</v>
      </c>
      <c r="BY243" t="str">
        <f t="shared" si="203"/>
        <v/>
      </c>
      <c r="BZ243" t="str">
        <f t="shared" si="174"/>
        <v/>
      </c>
      <c r="CB243">
        <f>IF(IFERROR(SEARCH("Wizard",$T243,1),0)&gt;0,1,0)*IF(C243&lt;=ArcaneTricksterMaxSpellLevel,1,0)*IF(IFERROR(MATCH($B243,Character_Creation!$J$350:$J$356,0),0)&gt;0,0,1)*IF(Character_Creation!$T$350&gt;0,1,0)</f>
        <v>0</v>
      </c>
      <c r="CC243">
        <f>IF(CB243=0,0,1+COUNTIF(CC$3:CC242,"&gt;0"))</f>
        <v>0</v>
      </c>
      <c r="CD243" t="str">
        <f t="shared" si="204"/>
        <v/>
      </c>
      <c r="CE243" t="str">
        <f t="shared" si="175"/>
        <v/>
      </c>
      <c r="CG243">
        <f>IF(IFERROR(SEARCH("Wizard",$T243,1),0)&gt;0,1,0)*IF($C243&lt;=EldritchKnightMaxSpellLevel,1,0)*IF(IFERROR(MATCH($B243,Character_Creation!$J$350:$J$356,0),0)&gt;0,0,1)*IF(Character_Creation!$M$350&gt;0,1,0)</f>
        <v>0</v>
      </c>
      <c r="CH243">
        <f>IF(CG243=0,0,1+COUNTIF(CH$3:CH242,"&gt;0"))</f>
        <v>0</v>
      </c>
      <c r="CI243" t="str">
        <f t="shared" si="205"/>
        <v/>
      </c>
      <c r="CJ243" t="str">
        <f t="shared" si="176"/>
        <v/>
      </c>
      <c r="CL243">
        <f>IF(IFERROR(SEARCH("Bard",$T243,1),0)&gt;0,1,0)*IF(BardMaxSpellLevel&gt;=$C243,1,0)*IF(IFERROR(MATCH(B243,Character_Creation!$C$341:$F$362,0),0)&gt;0,0,1)*IF(IFERROR(MATCH($B243,Character_Creation!$C$341:$C$362,0),0)&gt;0,0,1)</f>
        <v>0</v>
      </c>
      <c r="CM243">
        <f>IF(CL243=0,0,1+COUNTIF(CM$3:CM242,"&gt;0"))</f>
        <v>0</v>
      </c>
      <c r="CN243" t="str">
        <f t="shared" si="206"/>
        <v/>
      </c>
      <c r="CO243" t="str">
        <f t="shared" si="177"/>
        <v/>
      </c>
      <c r="CQ243">
        <f>IF(IFERROR(SEARCH("Wizard",$T243,1),0)&gt;0,1,0)*IF(WizardMaxSpellLevel&gt;=$C243,1,0)*IF(IFERROR(MATCH(B243,Character_Creation!$X$341:$X$400,0),0)&gt;0,0,1)*IF(SelectedWizardSpellLevel=$C243,1,0)</f>
        <v>1</v>
      </c>
      <c r="CR243">
        <f>IF(CQ243=0,0,1+COUNTIF(CR$3:CR242,"&gt;0"))</f>
        <v>17</v>
      </c>
      <c r="CS243" t="str">
        <f t="shared" si="207"/>
        <v/>
      </c>
      <c r="CT243" t="str">
        <f t="shared" si="178"/>
        <v/>
      </c>
      <c r="CV243">
        <f>IF(IFERROR(MATCH($B243,Character_Creation!$C$341:$C$362,0),0)&gt;0,0,1)*IF(OR(C243="Cantrip",C243&lt;=BardMaxSpellLevel),1,0)*IF(IFERROR(MATCH($B243,Character_Creation!$C$367:$C$374,0),0)&gt;0,0,1)</f>
        <v>0</v>
      </c>
      <c r="CW243">
        <f>IF(CV243=0,0,1+COUNTIF(CW$3:CW242,"&gt;0"))</f>
        <v>0</v>
      </c>
      <c r="CX243" t="str">
        <f t="shared" si="208"/>
        <v/>
      </c>
      <c r="CY243" t="str">
        <f t="shared" si="179"/>
        <v/>
      </c>
      <c r="DA243">
        <f>IF(IF(OR(IFERROR(SEARCH("Cleric",$T243,1),0)&gt;0,IFERROR(SEARCH(DivineDomain&amp;",",$T243,1),0)&gt;0),1,0)*IF($C243=DA$2,1,0)=1,1+COUNTIF(DA$3:DA242,"&gt;0"),0)</f>
        <v>0</v>
      </c>
      <c r="DB243">
        <f>IF(IF(OR(IFERROR(SEARCH("Cleric",$T243,1),0)&gt;0,IFERROR(SEARCH(DivineDomain&amp;",",$T243,1),0)&gt;0),1,0)*IF($C243=DB$2,1,0)=1,1+COUNTIF(DB$3:DB242,"&gt;0"),0)</f>
        <v>0</v>
      </c>
      <c r="DC243">
        <f>IF(IF(OR(IFERROR(SEARCH("Cleric",$T243,1),0)&gt;0,IFERROR(SEARCH(DivineDomain&amp;",",$T243,1),0)&gt;0),1,0)*IF($C243=DC$2,1,0)=1,1+COUNTIF(DC$3:DC242,"&gt;0"),0)</f>
        <v>0</v>
      </c>
      <c r="DD243">
        <f>IF(IF(OR(IFERROR(SEARCH("Cleric",$T243,1),0)&gt;0,IFERROR(SEARCH(DivineDomain&amp;",",$T243,1),0)&gt;0),1,0)*IF($C243=DD$2,1,0)=1,1+COUNTIF(DD$3:DD242,"&gt;0"),0)</f>
        <v>0</v>
      </c>
      <c r="DE243">
        <f>IF(IF(OR(IFERROR(SEARCH("Cleric",$T243,1),0)&gt;0,IFERROR(SEARCH(DivineDomain&amp;",",$T243,1),0)&gt;0),1,0)*IF($C243=DE$2,1,0)=1,1+COUNTIF(DE$3:DE242,"&gt;0"),0)</f>
        <v>0</v>
      </c>
      <c r="DF243">
        <f>IF(IF(OR(IFERROR(SEARCH("Cleric",$T243,1),0)&gt;0,IFERROR(SEARCH(DivineDomain&amp;",",$T243,1),0)&gt;0),1,0)*IF($C243=DF$2,1,0)=1,1+COUNTIF(DF$3:DF242,"&gt;0"),0)</f>
        <v>0</v>
      </c>
      <c r="DG243">
        <f>IF(IF(OR(IFERROR(SEARCH("Cleric",$T243,1),0)&gt;0,IFERROR(SEARCH(DivineDomain&amp;",",$T243,1),0)&gt;0),1,0)*IF($C243=DG$2,1,0)=1,1+COUNTIF(DG$3:DG242,"&gt;0"),0)</f>
        <v>0</v>
      </c>
      <c r="DH243">
        <f>IF(IF(OR(IFERROR(SEARCH("Cleric",$T243,1),0)&gt;0,IFERROR(SEARCH(DivineDomain&amp;",",$T243,1),0)&gt;0),1,0)*IF($C243=DH$2,1,0)=1,1+COUNTIF(DH$3:DH242,"&gt;0"),0)</f>
        <v>0</v>
      </c>
      <c r="DI243">
        <f>IF(IF(OR(IFERROR(SEARCH("Cleric",$T243,1),0)&gt;0,IFERROR(SEARCH(DivineDomain&amp;",",$T243,1),0)&gt;0),1,0)*IF($C243=DI$2,1,0)=1,1+COUNTIF(DI$3:DI242,"&gt;0"),0)</f>
        <v>0</v>
      </c>
      <c r="DJ243">
        <f>IF(IF(OR(IFERROR(SEARCH("Druid",$T243,1),0)&gt;0,IFERROR(SEARCH(DruidLand1,$T243,1),0)&gt;0,IFERROR(SEARCH(DruidLand2,$T243,1),0)&gt;0,IFERROR(SEARCH(DruidLand3,$T243,1),0)&gt;0,IFERROR(SEARCH(DruidLand4,$T243,1),0)&gt;0),1,0)*IF($C243=1,1,0)*IF($C243=DJ$2,1,0)=0,0,1+COUNTIF(DJ$3:DJ242,"&gt;0"))</f>
        <v>0</v>
      </c>
      <c r="DK243">
        <f>IF(IF(OR(IFERROR(SEARCH("Druid",$T243,1),0)&gt;0,IFERROR(SEARCH(DruidLand1,$T243,1),0)&gt;0,IFERROR(SEARCH(DruidLand2,$T243,1),0)&gt;0,IFERROR(SEARCH(DruidLand3,$T243,1),0)&gt;0,IFERROR(SEARCH(DruidLand4,$T243,1),0)&gt;0),1,0)*IF($C243=1,1,0)*IF($C243=DK$2,1,0)=0,0,1+COUNTIF(DK$3:DK242,"&gt;0"))</f>
        <v>0</v>
      </c>
      <c r="DL243">
        <f>IF(IF(OR(IFERROR(SEARCH("Druid",$T243,1),0)&gt;0,IFERROR(SEARCH(DruidLand1,$T243,1),0)&gt;0,IFERROR(SEARCH(DruidLand2,$T243,1),0)&gt;0,IFERROR(SEARCH(DruidLand3,$T243,1),0)&gt;0,IFERROR(SEARCH(DruidLand4,$T243,1),0)&gt;0),1,0)*IF($C243=1,1,0)*IF($C243=DL$2,1,0)=0,0,1+COUNTIF(DL$3:DL242,"&gt;0"))</f>
        <v>0</v>
      </c>
      <c r="DM243">
        <f>IF(IF(OR(IFERROR(SEARCH("Druid",$T243,1),0)&gt;0,IFERROR(SEARCH(DruidLand1,$T243,1),0)&gt;0,IFERROR(SEARCH(DruidLand2,$T243,1),0)&gt;0,IFERROR(SEARCH(DruidLand3,$T243,1),0)&gt;0,IFERROR(SEARCH(DruidLand4,$T243,1),0)&gt;0),1,0)*IF($C243=1,1,0)*IF($C243=DM$2,1,0)=0,0,1+COUNTIF(DM$3:DM242,"&gt;0"))</f>
        <v>0</v>
      </c>
      <c r="DN243">
        <f>IF(IF(OR(IFERROR(SEARCH("Druid",$T243,1),0)&gt;0,IFERROR(SEARCH(DruidLand1,$T243,1),0)&gt;0,IFERROR(SEARCH(DruidLand2,$T243,1),0)&gt;0,IFERROR(SEARCH(DruidLand3,$T243,1),0)&gt;0,IFERROR(SEARCH(DruidLand4,$T243,1),0)&gt;0),1,0)*IF($C243=1,1,0)*IF($C243=DN$2,1,0)=0,0,1+COUNTIF(DN$3:DN242,"&gt;0"))</f>
        <v>0</v>
      </c>
      <c r="DO243">
        <f>IF(IF(OR(IFERROR(SEARCH("Druid",$T243,1),0)&gt;0,IFERROR(SEARCH(DruidLand1,$T243,1),0)&gt;0,IFERROR(SEARCH(DruidLand2,$T243,1),0)&gt;0,IFERROR(SEARCH(DruidLand3,$T243,1),0)&gt;0,IFERROR(SEARCH(DruidLand4,$T243,1),0)&gt;0),1,0)*IF($C243=1,1,0)*IF($C243=DO$2,1,0)=0,0,1+COUNTIF(DO$3:DO242,"&gt;0"))</f>
        <v>0</v>
      </c>
      <c r="DP243">
        <f>IF(IF(OR(IFERROR(SEARCH("Druid",$T243,1),0)&gt;0,IFERROR(SEARCH(DruidLand1,$T243,1),0)&gt;0,IFERROR(SEARCH(DruidLand2,$T243,1),0)&gt;0,IFERROR(SEARCH(DruidLand3,$T243,1),0)&gt;0,IFERROR(SEARCH(DruidLand4,$T243,1),0)&gt;0),1,0)*IF($C243=1,1,0)*IF($C243=DP$2,1,0)=0,0,1+COUNTIF(DP$3:DP242,"&gt;0"))</f>
        <v>0</v>
      </c>
      <c r="DQ243">
        <f>IF(IF(OR(IFERROR(SEARCH("Druid",$T243,1),0)&gt;0,IFERROR(SEARCH(DruidLand1,$T243,1),0)&gt;0,IFERROR(SEARCH(DruidLand2,$T243,1),0)&gt;0,IFERROR(SEARCH(DruidLand3,$T243,1),0)&gt;0,IFERROR(SEARCH(DruidLand4,$T243,1),0)&gt;0),1,0)*IF($C243=1,1,0)*IF($C243=DQ$2,1,0)=0,0,1+COUNTIF(DQ$3:DQ242,"&gt;0"))</f>
        <v>0</v>
      </c>
      <c r="DR243">
        <f>IF(IF(OR(IFERROR(SEARCH("Druid",$T243,1),0)&gt;0,IFERROR(SEARCH(DruidLand1,$T243,1),0)&gt;0,IFERROR(SEARCH(DruidLand2,$T243,1),0)&gt;0,IFERROR(SEARCH(DruidLand3,$T243,1),0)&gt;0,IFERROR(SEARCH(DruidLand4,$T243,1),0)&gt;0),1,0)*IF($C243=1,1,0)*IF($C243=DR$2,1,0)=0,0,1+COUNTIF(DR$3:DR242,"&gt;0"))</f>
        <v>0</v>
      </c>
      <c r="DS243">
        <f>IF(IF(OR(IFERROR(SEARCH("Paladin",$T243,1),0)&gt;0,IFERROR(SEARCH(PaladinOath,$T243,1),0)&gt;0),1,0)*IF($C243=DS$2,1,0)=1,1+COUNTIF(DS$3:DS242,"&gt;0"),0)</f>
        <v>0</v>
      </c>
      <c r="DT243">
        <f>IF(IF(OR(IFERROR(SEARCH("Paladin",$T243,1),0)&gt;0,IFERROR(SEARCH(PaladinOath,$T243,1),0)&gt;0),1,0)*IF($C243=DT$2,1,0)=1,1+COUNTIF(DT$3:DT242,"&gt;0"),0)</f>
        <v>0</v>
      </c>
      <c r="DU243">
        <f>IF(IF(OR(IFERROR(SEARCH("Paladin",$T243,1),0)&gt;0,IFERROR(SEARCH(PaladinOath,$T243,1),0)&gt;0),1,0)*IF($C243=DU$2,1,0)=1,1+COUNTIF(DU$3:DU242,"&gt;0"),0)</f>
        <v>0</v>
      </c>
      <c r="DV243">
        <f>IF(IF(OR(IFERROR(SEARCH("Paladin",$T243,1),0)&gt;0,IFERROR(SEARCH(PaladinOath,$T243,1),0)&gt;0),1,0)*IF($C243=DV$2,1,0)=1,1+COUNTIF(DV$3:DV242,"&gt;0"),0)</f>
        <v>0</v>
      </c>
      <c r="DW243">
        <f>IF(IF(OR(IFERROR(SEARCH("Paladin",$T243,1),0)&gt;0,IFERROR(SEARCH(PaladinOath,$T243,1),0)&gt;0),1,0)*IF($C243=DW$2,1,0)=1,1+COUNTIF(DW$3:DW242,"&gt;0"),0)</f>
        <v>0</v>
      </c>
      <c r="DY243">
        <f t="shared" si="166"/>
        <v>1</v>
      </c>
      <c r="DZ243">
        <f>IF(DY243=0,0,1+MAX(DZ$3:$DZ242))</f>
        <v>241</v>
      </c>
      <c r="EB243">
        <f t="shared" si="180"/>
        <v>0</v>
      </c>
      <c r="EC243">
        <f>IF(EB243=0,0,1+COUNTIF(EC$3:EC242,"&gt;0"))</f>
        <v>0</v>
      </c>
      <c r="ED243" t="str">
        <f t="shared" si="209"/>
        <v/>
      </c>
      <c r="EE243" t="str">
        <f t="shared" si="181"/>
        <v/>
      </c>
      <c r="EG243">
        <f t="shared" si="182"/>
        <v>0</v>
      </c>
      <c r="EH243">
        <f>IF(EG243=0,0,1+COUNTIF(EH$3:EH242,"&gt;0"))</f>
        <v>0</v>
      </c>
      <c r="EI243" t="str">
        <f t="shared" si="210"/>
        <v/>
      </c>
      <c r="EJ243" t="str">
        <f t="shared" si="183"/>
        <v/>
      </c>
      <c r="EL243">
        <f t="shared" si="184"/>
        <v>0</v>
      </c>
      <c r="EM243">
        <f>IF(EL243=0,0,1+COUNTIF(EM$3:EM242,"&gt;0"))</f>
        <v>0</v>
      </c>
      <c r="EN243" t="str">
        <f t="shared" si="211"/>
        <v/>
      </c>
      <c r="EO243" t="str">
        <f t="shared" si="185"/>
        <v/>
      </c>
      <c r="EQ243">
        <f t="shared" si="186"/>
        <v>0</v>
      </c>
      <c r="ER243">
        <f>IF(EQ243=0,0,1+COUNTIF(ER$3:ER242,"&gt;0"))</f>
        <v>0</v>
      </c>
      <c r="ES243" t="str">
        <f t="shared" si="212"/>
        <v/>
      </c>
      <c r="ET243" t="str">
        <f t="shared" si="187"/>
        <v/>
      </c>
      <c r="EV243">
        <f t="shared" si="188"/>
        <v>0</v>
      </c>
      <c r="EW243">
        <f>IF(EV243=0,0,1+COUNTIF(EW$3:EW242,"&gt;0"))</f>
        <v>0</v>
      </c>
      <c r="EX243" t="str">
        <f t="shared" si="213"/>
        <v/>
      </c>
      <c r="EY243" t="str">
        <f t="shared" si="189"/>
        <v/>
      </c>
      <c r="FA243">
        <f t="shared" si="190"/>
        <v>0</v>
      </c>
      <c r="FB243">
        <f>IF(FA243=0,0,1+COUNTIF(FB$3:FB242,"&gt;0"))</f>
        <v>0</v>
      </c>
      <c r="FC243" t="str">
        <f t="shared" si="214"/>
        <v/>
      </c>
      <c r="FD243" t="str">
        <f t="shared" si="191"/>
        <v/>
      </c>
      <c r="FF243">
        <f t="shared" si="192"/>
        <v>0</v>
      </c>
      <c r="FG243">
        <f>IF(FF243=0,0,1+COUNTIF(FG$3:FG242,"&gt;0"))</f>
        <v>0</v>
      </c>
      <c r="FH243" t="str">
        <f t="shared" si="215"/>
        <v/>
      </c>
      <c r="FI243" t="str">
        <f t="shared" si="193"/>
        <v/>
      </c>
      <c r="FK243">
        <f t="shared" si="194"/>
        <v>0</v>
      </c>
      <c r="FL243">
        <f>IF(FK243=0,0,1+COUNTIF(FL$3:FL242,"&gt;0"))</f>
        <v>0</v>
      </c>
      <c r="FM243" t="str">
        <f t="shared" si="216"/>
        <v/>
      </c>
      <c r="FN243" t="str">
        <f t="shared" si="195"/>
        <v/>
      </c>
      <c r="FP243">
        <f t="shared" si="196"/>
        <v>0</v>
      </c>
      <c r="FQ243">
        <f>IF(FP243=0,0,1+COUNTIF(FQ$3:FQ242,"&gt;0"))</f>
        <v>0</v>
      </c>
      <c r="FR243" t="str">
        <f t="shared" si="217"/>
        <v/>
      </c>
      <c r="FS243" t="str">
        <f t="shared" si="197"/>
        <v/>
      </c>
    </row>
    <row r="244" spans="1:175" x14ac:dyDescent="0.25">
      <c r="A244" s="347">
        <f t="shared" si="219"/>
        <v>242</v>
      </c>
      <c r="B244" s="348" t="s">
        <v>2624</v>
      </c>
      <c r="C244" s="348">
        <v>2</v>
      </c>
      <c r="D244" s="347">
        <v>2</v>
      </c>
      <c r="E244" s="627" t="s">
        <v>6952</v>
      </c>
      <c r="F244" s="346"/>
      <c r="G244" s="347" t="str">
        <f>""</f>
        <v/>
      </c>
      <c r="H244" s="347" t="s">
        <v>5912</v>
      </c>
      <c r="I244" s="347" t="s">
        <v>5298</v>
      </c>
      <c r="J244" s="347" t="str">
        <f t="shared" si="167"/>
        <v/>
      </c>
      <c r="K244" s="347" t="s">
        <v>5285</v>
      </c>
      <c r="L244" s="611" t="str">
        <f t="shared" si="168"/>
        <v>V, S, M, a small square of silk</v>
      </c>
      <c r="M244" s="347" t="s">
        <v>2373</v>
      </c>
      <c r="N244" s="347" t="s">
        <v>2387</v>
      </c>
      <c r="O244" s="347" t="s">
        <v>1244</v>
      </c>
      <c r="P244" s="346" t="s">
        <v>5445</v>
      </c>
      <c r="Q244" s="347" t="s">
        <v>5274</v>
      </c>
      <c r="S244" s="346" t="s">
        <v>5780</v>
      </c>
      <c r="T244" s="346" t="str">
        <f t="shared" si="169"/>
        <v xml:space="preserve">Arcane Trickster, Wizard, </v>
      </c>
      <c r="AC244" s="539" t="str">
        <f>B244</f>
        <v>Nystul's Magic Aura</v>
      </c>
      <c r="AD244" s="347" t="str">
        <f t="shared" si="223"/>
        <v>Nystul's Magic Aura</v>
      </c>
      <c r="AE244" t="str">
        <f>IF(IFERROR(MATCH($B244,temp!A$4:A$13,0),0)&gt;0,T08_Spells!AE$2,"")</f>
        <v/>
      </c>
      <c r="AF244" t="str">
        <f>IF(IFERROR(MATCH($B244,temp!B$4:B$13,0),0)&gt;0,T08_Spells!AF$2,"")</f>
        <v/>
      </c>
      <c r="AG244" t="str">
        <f>IF(IFERROR(MATCH($B244,temp!C$4:C$13,0),0)&gt;0,T08_Spells!AG$2,"")</f>
        <v/>
      </c>
      <c r="AH244" t="str">
        <f>IF(IFERROR(MATCH($B244,temp!D$4:D$13,0),0)&gt;0,T08_Spells!AH$2,"")</f>
        <v/>
      </c>
      <c r="AI244" t="str">
        <f>IF(IFERROR(MATCH($B244,temp!E$4:E$13,0),0)&gt;0,T08_Spells!AI$2,"")</f>
        <v/>
      </c>
      <c r="AJ244" t="str">
        <f>IF(IFERROR(MATCH($B244,temp!F$4:F$13,0),0)&gt;0,T08_Spells!AJ$2,"")</f>
        <v/>
      </c>
      <c r="AK244" t="str">
        <f>IF(IFERROR(MATCH($B244,temp!G$4:G$13,0),0)&gt;0,T08_Spells!AK$2,"")</f>
        <v/>
      </c>
      <c r="AL244" t="str">
        <f>IF(IFERROR(MATCH($B244,temp!H$4:H$13,0),0)&gt;0,T08_Spells!AL$2,"")</f>
        <v/>
      </c>
      <c r="AM244" t="str">
        <f>IF(IFERROR(MATCH($B244,temp!I$4:I$13,0),0)&gt;0,T08_Spells!AM$2,"")</f>
        <v/>
      </c>
      <c r="AN244" t="str">
        <f>IF(IFERROR(MATCH($B244,temp!J$4:J$13,0),0)&gt;0,T08_Spells!AN$2,"")</f>
        <v/>
      </c>
      <c r="AO244" t="str">
        <f>IF(IFERROR(MATCH($B244,temp!K$4:K$13,0),0)&gt;0,T08_Spells!AO$2,"")</f>
        <v/>
      </c>
      <c r="AP244" t="str">
        <f>IF(IFERROR(MATCH($B244,temp!L$4:L$13,0),0)&gt;0,T08_Spells!AP$2,"")</f>
        <v/>
      </c>
      <c r="AQ244" t="str">
        <f>IF(IFERROR(MATCH($B244,temp!M$4:M$13,0),0)&gt;0,T08_Spells!AQ$2,"")</f>
        <v/>
      </c>
      <c r="AR244" t="str">
        <f>IF(IFERROR(MATCH($B244,temp!N$4:N$13,0),0)&gt;0,T08_Spells!AR$2,"")</f>
        <v/>
      </c>
      <c r="AS244" t="str">
        <f>IF(IFERROR(MATCH($B244,temp!O$4:O$13,0),0)&gt;0,T08_Spells!AS$2,"")</f>
        <v/>
      </c>
      <c r="AT244" t="str">
        <f>IF(IFERROR(MATCH($B244,temp!P$4:P$13,0),0)&gt;0,T08_Spells!AT$2,"")</f>
        <v/>
      </c>
      <c r="AU244" t="str">
        <f>IF(IFERROR(MATCH($B244,temp!Q$4:Q$13,0),0)&gt;0,T08_Spells!AU$2,"")</f>
        <v/>
      </c>
      <c r="AV244" t="str">
        <f>IF(IFERROR(MATCH($B244,temp!R$4:R$13,0),0)&gt;0,T08_Spells!AV$2,"")</f>
        <v/>
      </c>
      <c r="AW244" t="str">
        <f>IF(IFERROR(MATCH($B244,temp!S$4:S$13,0),0)&gt;0,T08_Spells!AW$2,"")</f>
        <v/>
      </c>
      <c r="AX244" t="str">
        <f>IF(IFERROR(MATCH($B244,temp!T$4:T$13,0),0)&gt;0,T08_Spells!AX$2,"")</f>
        <v/>
      </c>
      <c r="AY244" t="str">
        <f>IF(IFERROR(MATCH($B244,temp!U$4:U$13,0),0)&gt;0,T08_Spells!AY$2,"")</f>
        <v/>
      </c>
      <c r="AZ244" t="str">
        <f>IF(IFERROR(MATCH($B244,temp!V$4:V$13,0),0)&gt;0,T08_Spells!AZ$2,"")</f>
        <v/>
      </c>
      <c r="BA244" t="str">
        <f>IF(IFERROR(MATCH($B244,temp!W$4:W$13,0),0)&gt;0,T08_Spells!BA$2,"")</f>
        <v/>
      </c>
      <c r="BC244">
        <f>IF(IFERROR(SEARCH("Ranger",$T244,1),0)&gt;0,1,0)*IF(RangerMaxSpellLevel&gt;=$C244,1,0)*IF(IFERROR(MATCH(B244,Character_Creation!$X$79:$X$382,0),0)&gt;0,0,1)</f>
        <v>0</v>
      </c>
      <c r="BD244">
        <f>IF(BC244=0,0,1+COUNTIF(BD$3:BD243,"&gt;0"))</f>
        <v>0</v>
      </c>
      <c r="BE244" t="str">
        <f t="shared" si="199"/>
        <v/>
      </c>
      <c r="BF244" t="str">
        <f t="shared" si="170"/>
        <v/>
      </c>
      <c r="BH244">
        <f>IF(IFERROR(SEARCH("Sorcerer",$T244,1),0)&gt;0,1,0)*IF(SorcererMaxSpellLevel&gt;=$C244,1,0)*IF(IFERROR(MATCH(B244,Character_Creation!$J$380:$J$394,0),0)&gt;0,0,1)</f>
        <v>0</v>
      </c>
      <c r="BI244">
        <f>IF(BH244=0,0,1+COUNTIF(BI$3:BI243,"&gt;0"))</f>
        <v>0</v>
      </c>
      <c r="BJ244" t="str">
        <f t="shared" si="200"/>
        <v/>
      </c>
      <c r="BK244" t="str">
        <f t="shared" si="171"/>
        <v/>
      </c>
      <c r="BM244">
        <f>IF(OR(IFERROR(SEARCH("Warlock",$T244,1),0)&gt;0,IFERROR(SEARCH(WarlockPatron,$T244,1),0)&gt;0),1,0)*IF(WarlockMaxSpellLevel&gt;=$C244,1,0)*IF(IFERROR(MATCH(B244,Character_Creation!$J$361:$J$375,0),0)&gt;0,0,1)</f>
        <v>0</v>
      </c>
      <c r="BN244">
        <f>IF(BM244=0,0,1+COUNTIF(BN$3:BN243,"&gt;0"))</f>
        <v>0</v>
      </c>
      <c r="BO244" t="str">
        <f t="shared" si="201"/>
        <v/>
      </c>
      <c r="BP244" t="str">
        <f t="shared" si="172"/>
        <v/>
      </c>
      <c r="BR244">
        <f>IF(IFERROR(SEARCH("Eldritch Knight",$T244,1),0)&gt;0,1,0)*IF(EldritchKnightMaxSpellLevel&gt;=$C244,1,0)*IF(IFERROR(MATCH($B244,Character_Creation!$J$350:$J$356,0),0)&gt;0,0,1)*IF(Character_Creation!$M$338&gt;0,1,0)</f>
        <v>0</v>
      </c>
      <c r="BS244">
        <f>IF(BR244=0,0,1+COUNTIF(BS$3:BS243,"&gt;0"))</f>
        <v>0</v>
      </c>
      <c r="BT244" t="str">
        <f t="shared" si="202"/>
        <v/>
      </c>
      <c r="BU244" t="str">
        <f t="shared" si="173"/>
        <v/>
      </c>
      <c r="BW244">
        <f>IF(IFERROR(SEARCH("Arcane Trickster",$T244,1),0)&gt;0,1,0)*IF(ArcaneTricksterMaxSpellLevel&gt;=$C244,1,0)*IF(IFERROR(MATCH($B244,Character_Creation!$J$350:$J$356,0),0)&gt;0,0,1)*IF(Character_Creation!$T$338&gt;0,1,0)</f>
        <v>0</v>
      </c>
      <c r="BX244">
        <f>IF(BW244=0,0,1+COUNTIF(BX$3:BX243,"&gt;0"))</f>
        <v>0</v>
      </c>
      <c r="BY244" t="str">
        <f t="shared" si="203"/>
        <v/>
      </c>
      <c r="BZ244" t="str">
        <f t="shared" si="174"/>
        <v/>
      </c>
      <c r="CB244">
        <f>IF(IFERROR(SEARCH("Wizard",$T244,1),0)&gt;0,1,0)*IF(C244&lt;=ArcaneTricksterMaxSpellLevel,1,0)*IF(IFERROR(MATCH($B244,Character_Creation!$J$350:$J$356,0),0)&gt;0,0,1)*IF(Character_Creation!$T$350&gt;0,1,0)</f>
        <v>0</v>
      </c>
      <c r="CC244">
        <f>IF(CB244=0,0,1+COUNTIF(CC$3:CC243,"&gt;0"))</f>
        <v>0</v>
      </c>
      <c r="CD244" t="str">
        <f t="shared" si="204"/>
        <v/>
      </c>
      <c r="CE244" t="str">
        <f t="shared" si="175"/>
        <v/>
      </c>
      <c r="CG244">
        <f>IF(IFERROR(SEARCH("Wizard",$T244,1),0)&gt;0,1,0)*IF($C244&lt;=EldritchKnightMaxSpellLevel,1,0)*IF(IFERROR(MATCH($B244,Character_Creation!$J$350:$J$356,0),0)&gt;0,0,1)*IF(Character_Creation!$M$350&gt;0,1,0)</f>
        <v>1</v>
      </c>
      <c r="CH244">
        <f>IF(CG244=0,0,1+COUNTIF(CH$3:CH243,"&gt;0"))</f>
        <v>44</v>
      </c>
      <c r="CI244" t="str">
        <f t="shared" si="205"/>
        <v/>
      </c>
      <c r="CJ244" t="str">
        <f t="shared" si="176"/>
        <v/>
      </c>
      <c r="CL244">
        <f>IF(IFERROR(SEARCH("Bard",$T244,1),0)&gt;0,1,0)*IF(BardMaxSpellLevel&gt;=$C244,1,0)*IF(IFERROR(MATCH(B244,Character_Creation!$C$341:$F$362,0),0)&gt;0,0,1)*IF(IFERROR(MATCH($B244,Character_Creation!$C$341:$C$362,0),0)&gt;0,0,1)</f>
        <v>0</v>
      </c>
      <c r="CM244">
        <f>IF(CL244=0,0,1+COUNTIF(CM$3:CM243,"&gt;0"))</f>
        <v>0</v>
      </c>
      <c r="CN244" t="str">
        <f t="shared" si="206"/>
        <v/>
      </c>
      <c r="CO244" t="str">
        <f t="shared" si="177"/>
        <v/>
      </c>
      <c r="CQ244">
        <f>IF(IFERROR(SEARCH("Wizard",$T244,1),0)&gt;0,1,0)*IF(WizardMaxSpellLevel&gt;=$C244,1,0)*IF(IFERROR(MATCH(B244,Character_Creation!$X$341:$X$400,0),0)&gt;0,0,1)*IF(SelectedWizardSpellLevel=$C244,1,0)</f>
        <v>0</v>
      </c>
      <c r="CR244">
        <f>IF(CQ244=0,0,1+COUNTIF(CR$3:CR243,"&gt;0"))</f>
        <v>0</v>
      </c>
      <c r="CS244" t="str">
        <f t="shared" si="207"/>
        <v/>
      </c>
      <c r="CT244" t="str">
        <f t="shared" si="178"/>
        <v/>
      </c>
      <c r="CV244">
        <f>IF(IFERROR(MATCH($B244,Character_Creation!$C$341:$C$362,0),0)&gt;0,0,1)*IF(OR(C244="Cantrip",C244&lt;=BardMaxSpellLevel),1,0)*IF(IFERROR(MATCH($B244,Character_Creation!$C$367:$C$374,0),0)&gt;0,0,1)</f>
        <v>0</v>
      </c>
      <c r="CW244">
        <f>IF(CV244=0,0,1+COUNTIF(CW$3:CW243,"&gt;0"))</f>
        <v>0</v>
      </c>
      <c r="CX244" t="str">
        <f t="shared" si="208"/>
        <v/>
      </c>
      <c r="CY244" t="str">
        <f t="shared" si="179"/>
        <v/>
      </c>
      <c r="DA244">
        <f>IF(IF(OR(IFERROR(SEARCH("Cleric",$T244,1),0)&gt;0,IFERROR(SEARCH(DivineDomain&amp;",",$T244,1),0)&gt;0),1,0)*IF($C244=DA$2,1,0)=1,1+COUNTIF(DA$3:DA243,"&gt;0"),0)</f>
        <v>0</v>
      </c>
      <c r="DB244">
        <f>IF(IF(OR(IFERROR(SEARCH("Cleric",$T244,1),0)&gt;0,IFERROR(SEARCH(DivineDomain&amp;",",$T244,1),0)&gt;0),1,0)*IF($C244=DB$2,1,0)=1,1+COUNTIF(DB$3:DB243,"&gt;0"),0)</f>
        <v>0</v>
      </c>
      <c r="DC244">
        <f>IF(IF(OR(IFERROR(SEARCH("Cleric",$T244,1),0)&gt;0,IFERROR(SEARCH(DivineDomain&amp;",",$T244,1),0)&gt;0),1,0)*IF($C244=DC$2,1,0)=1,1+COUNTIF(DC$3:DC243,"&gt;0"),0)</f>
        <v>0</v>
      </c>
      <c r="DD244">
        <f>IF(IF(OR(IFERROR(SEARCH("Cleric",$T244,1),0)&gt;0,IFERROR(SEARCH(DivineDomain&amp;",",$T244,1),0)&gt;0),1,0)*IF($C244=DD$2,1,0)=1,1+COUNTIF(DD$3:DD243,"&gt;0"),0)</f>
        <v>0</v>
      </c>
      <c r="DE244">
        <f>IF(IF(OR(IFERROR(SEARCH("Cleric",$T244,1),0)&gt;0,IFERROR(SEARCH(DivineDomain&amp;",",$T244,1),0)&gt;0),1,0)*IF($C244=DE$2,1,0)=1,1+COUNTIF(DE$3:DE243,"&gt;0"),0)</f>
        <v>0</v>
      </c>
      <c r="DF244">
        <f>IF(IF(OR(IFERROR(SEARCH("Cleric",$T244,1),0)&gt;0,IFERROR(SEARCH(DivineDomain&amp;",",$T244,1),0)&gt;0),1,0)*IF($C244=DF$2,1,0)=1,1+COUNTIF(DF$3:DF243,"&gt;0"),0)</f>
        <v>0</v>
      </c>
      <c r="DG244">
        <f>IF(IF(OR(IFERROR(SEARCH("Cleric",$T244,1),0)&gt;0,IFERROR(SEARCH(DivineDomain&amp;",",$T244,1),0)&gt;0),1,0)*IF($C244=DG$2,1,0)=1,1+COUNTIF(DG$3:DG243,"&gt;0"),0)</f>
        <v>0</v>
      </c>
      <c r="DH244">
        <f>IF(IF(OR(IFERROR(SEARCH("Cleric",$T244,1),0)&gt;0,IFERROR(SEARCH(DivineDomain&amp;",",$T244,1),0)&gt;0),1,0)*IF($C244=DH$2,1,0)=1,1+COUNTIF(DH$3:DH243,"&gt;0"),0)</f>
        <v>0</v>
      </c>
      <c r="DI244">
        <f>IF(IF(OR(IFERROR(SEARCH("Cleric",$T244,1),0)&gt;0,IFERROR(SEARCH(DivineDomain&amp;",",$T244,1),0)&gt;0),1,0)*IF($C244=DI$2,1,0)=1,1+COUNTIF(DI$3:DI243,"&gt;0"),0)</f>
        <v>0</v>
      </c>
      <c r="DJ244">
        <f>IF(IF(OR(IFERROR(SEARCH("Druid",$T244,1),0)&gt;0,IFERROR(SEARCH(DruidLand1,$T244,1),0)&gt;0,IFERROR(SEARCH(DruidLand2,$T244,1),0)&gt;0,IFERROR(SEARCH(DruidLand3,$T244,1),0)&gt;0,IFERROR(SEARCH(DruidLand4,$T244,1),0)&gt;0),1,0)*IF($C244=1,1,0)*IF($C244=DJ$2,1,0)=0,0,1+COUNTIF(DJ$3:DJ243,"&gt;0"))</f>
        <v>0</v>
      </c>
      <c r="DK244">
        <f>IF(IF(OR(IFERROR(SEARCH("Druid",$T244,1),0)&gt;0,IFERROR(SEARCH(DruidLand1,$T244,1),0)&gt;0,IFERROR(SEARCH(DruidLand2,$T244,1),0)&gt;0,IFERROR(SEARCH(DruidLand3,$T244,1),0)&gt;0,IFERROR(SEARCH(DruidLand4,$T244,1),0)&gt;0),1,0)*IF($C244=1,1,0)*IF($C244=DK$2,1,0)=0,0,1+COUNTIF(DK$3:DK243,"&gt;0"))</f>
        <v>0</v>
      </c>
      <c r="DL244">
        <f>IF(IF(OR(IFERROR(SEARCH("Druid",$T244,1),0)&gt;0,IFERROR(SEARCH(DruidLand1,$T244,1),0)&gt;0,IFERROR(SEARCH(DruidLand2,$T244,1),0)&gt;0,IFERROR(SEARCH(DruidLand3,$T244,1),0)&gt;0,IFERROR(SEARCH(DruidLand4,$T244,1),0)&gt;0),1,0)*IF($C244=1,1,0)*IF($C244=DL$2,1,0)=0,0,1+COUNTIF(DL$3:DL243,"&gt;0"))</f>
        <v>0</v>
      </c>
      <c r="DM244">
        <f>IF(IF(OR(IFERROR(SEARCH("Druid",$T244,1),0)&gt;0,IFERROR(SEARCH(DruidLand1,$T244,1),0)&gt;0,IFERROR(SEARCH(DruidLand2,$T244,1),0)&gt;0,IFERROR(SEARCH(DruidLand3,$T244,1),0)&gt;0,IFERROR(SEARCH(DruidLand4,$T244,1),0)&gt;0),1,0)*IF($C244=1,1,0)*IF($C244=DM$2,1,0)=0,0,1+COUNTIF(DM$3:DM243,"&gt;0"))</f>
        <v>0</v>
      </c>
      <c r="DN244">
        <f>IF(IF(OR(IFERROR(SEARCH("Druid",$T244,1),0)&gt;0,IFERROR(SEARCH(DruidLand1,$T244,1),0)&gt;0,IFERROR(SEARCH(DruidLand2,$T244,1),0)&gt;0,IFERROR(SEARCH(DruidLand3,$T244,1),0)&gt;0,IFERROR(SEARCH(DruidLand4,$T244,1),0)&gt;0),1,0)*IF($C244=1,1,0)*IF($C244=DN$2,1,0)=0,0,1+COUNTIF(DN$3:DN243,"&gt;0"))</f>
        <v>0</v>
      </c>
      <c r="DO244">
        <f>IF(IF(OR(IFERROR(SEARCH("Druid",$T244,1),0)&gt;0,IFERROR(SEARCH(DruidLand1,$T244,1),0)&gt;0,IFERROR(SEARCH(DruidLand2,$T244,1),0)&gt;0,IFERROR(SEARCH(DruidLand3,$T244,1),0)&gt;0,IFERROR(SEARCH(DruidLand4,$T244,1),0)&gt;0),1,0)*IF($C244=1,1,0)*IF($C244=DO$2,1,0)=0,0,1+COUNTIF(DO$3:DO243,"&gt;0"))</f>
        <v>0</v>
      </c>
      <c r="DP244">
        <f>IF(IF(OR(IFERROR(SEARCH("Druid",$T244,1),0)&gt;0,IFERROR(SEARCH(DruidLand1,$T244,1),0)&gt;0,IFERROR(SEARCH(DruidLand2,$T244,1),0)&gt;0,IFERROR(SEARCH(DruidLand3,$T244,1),0)&gt;0,IFERROR(SEARCH(DruidLand4,$T244,1),0)&gt;0),1,0)*IF($C244=1,1,0)*IF($C244=DP$2,1,0)=0,0,1+COUNTIF(DP$3:DP243,"&gt;0"))</f>
        <v>0</v>
      </c>
      <c r="DQ244">
        <f>IF(IF(OR(IFERROR(SEARCH("Druid",$T244,1),0)&gt;0,IFERROR(SEARCH(DruidLand1,$T244,1),0)&gt;0,IFERROR(SEARCH(DruidLand2,$T244,1),0)&gt;0,IFERROR(SEARCH(DruidLand3,$T244,1),0)&gt;0,IFERROR(SEARCH(DruidLand4,$T244,1),0)&gt;0),1,0)*IF($C244=1,1,0)*IF($C244=DQ$2,1,0)=0,0,1+COUNTIF(DQ$3:DQ243,"&gt;0"))</f>
        <v>0</v>
      </c>
      <c r="DR244">
        <f>IF(IF(OR(IFERROR(SEARCH("Druid",$T244,1),0)&gt;0,IFERROR(SEARCH(DruidLand1,$T244,1),0)&gt;0,IFERROR(SEARCH(DruidLand2,$T244,1),0)&gt;0,IFERROR(SEARCH(DruidLand3,$T244,1),0)&gt;0,IFERROR(SEARCH(DruidLand4,$T244,1),0)&gt;0),1,0)*IF($C244=1,1,0)*IF($C244=DR$2,1,0)=0,0,1+COUNTIF(DR$3:DR243,"&gt;0"))</f>
        <v>0</v>
      </c>
      <c r="DS244">
        <f>IF(IF(OR(IFERROR(SEARCH("Paladin",$T244,1),0)&gt;0,IFERROR(SEARCH(PaladinOath,$T244,1),0)&gt;0),1,0)*IF($C244=DS$2,1,0)=1,1+COUNTIF(DS$3:DS243,"&gt;0"),0)</f>
        <v>0</v>
      </c>
      <c r="DT244">
        <f>IF(IF(OR(IFERROR(SEARCH("Paladin",$T244,1),0)&gt;0,IFERROR(SEARCH(PaladinOath,$T244,1),0)&gt;0),1,0)*IF($C244=DT$2,1,0)=1,1+COUNTIF(DT$3:DT243,"&gt;0"),0)</f>
        <v>0</v>
      </c>
      <c r="DU244">
        <f>IF(IF(OR(IFERROR(SEARCH("Paladin",$T244,1),0)&gt;0,IFERROR(SEARCH(PaladinOath,$T244,1),0)&gt;0),1,0)*IF($C244=DU$2,1,0)=1,1+COUNTIF(DU$3:DU243,"&gt;0"),0)</f>
        <v>0</v>
      </c>
      <c r="DV244">
        <f>IF(IF(OR(IFERROR(SEARCH("Paladin",$T244,1),0)&gt;0,IFERROR(SEARCH(PaladinOath,$T244,1),0)&gt;0),1,0)*IF($C244=DV$2,1,0)=1,1+COUNTIF(DV$3:DV243,"&gt;0"),0)</f>
        <v>0</v>
      </c>
      <c r="DW244">
        <f>IF(IF(OR(IFERROR(SEARCH("Paladin",$T244,1),0)&gt;0,IFERROR(SEARCH(PaladinOath,$T244,1),0)&gt;0),1,0)*IF($C244=DW$2,1,0)=1,1+COUNTIF(DW$3:DW243,"&gt;0"),0)</f>
        <v>0</v>
      </c>
      <c r="DY244">
        <f t="shared" si="166"/>
        <v>1</v>
      </c>
      <c r="DZ244">
        <f>IF(DY244=0,0,1+MAX(DZ$3:$DZ243))</f>
        <v>242</v>
      </c>
      <c r="EB244">
        <f t="shared" si="180"/>
        <v>0</v>
      </c>
      <c r="EC244">
        <f>IF(EB244=0,0,1+COUNTIF(EC$3:EC243,"&gt;0"))</f>
        <v>0</v>
      </c>
      <c r="ED244" t="str">
        <f t="shared" si="209"/>
        <v/>
      </c>
      <c r="EE244" t="str">
        <f t="shared" si="181"/>
        <v/>
      </c>
      <c r="EG244">
        <f t="shared" si="182"/>
        <v>0</v>
      </c>
      <c r="EH244">
        <f>IF(EG244=0,0,1+COUNTIF(EH$3:EH243,"&gt;0"))</f>
        <v>0</v>
      </c>
      <c r="EI244" t="str">
        <f t="shared" si="210"/>
        <v/>
      </c>
      <c r="EJ244" t="str">
        <f t="shared" si="183"/>
        <v/>
      </c>
      <c r="EL244">
        <f t="shared" si="184"/>
        <v>0</v>
      </c>
      <c r="EM244">
        <f>IF(EL244=0,0,1+COUNTIF(EM$3:EM243,"&gt;0"))</f>
        <v>0</v>
      </c>
      <c r="EN244" t="str">
        <f t="shared" si="211"/>
        <v/>
      </c>
      <c r="EO244" t="str">
        <f t="shared" si="185"/>
        <v/>
      </c>
      <c r="EQ244">
        <f t="shared" si="186"/>
        <v>0</v>
      </c>
      <c r="ER244">
        <f>IF(EQ244=0,0,1+COUNTIF(ER$3:ER243,"&gt;0"))</f>
        <v>0</v>
      </c>
      <c r="ES244" t="str">
        <f t="shared" si="212"/>
        <v/>
      </c>
      <c r="ET244" t="str">
        <f t="shared" si="187"/>
        <v/>
      </c>
      <c r="EV244">
        <f t="shared" si="188"/>
        <v>0</v>
      </c>
      <c r="EW244">
        <f>IF(EV244=0,0,1+COUNTIF(EW$3:EW243,"&gt;0"))</f>
        <v>0</v>
      </c>
      <c r="EX244" t="str">
        <f t="shared" si="213"/>
        <v/>
      </c>
      <c r="EY244" t="str">
        <f t="shared" si="189"/>
        <v/>
      </c>
      <c r="FA244">
        <f t="shared" si="190"/>
        <v>0</v>
      </c>
      <c r="FB244">
        <f>IF(FA244=0,0,1+COUNTIF(FB$3:FB243,"&gt;0"))</f>
        <v>0</v>
      </c>
      <c r="FC244" t="str">
        <f t="shared" si="214"/>
        <v/>
      </c>
      <c r="FD244" t="str">
        <f t="shared" si="191"/>
        <v/>
      </c>
      <c r="FF244">
        <f t="shared" si="192"/>
        <v>0</v>
      </c>
      <c r="FG244">
        <f>IF(FF244=0,0,1+COUNTIF(FG$3:FG243,"&gt;0"))</f>
        <v>0</v>
      </c>
      <c r="FH244" t="str">
        <f t="shared" si="215"/>
        <v/>
      </c>
      <c r="FI244" t="str">
        <f t="shared" si="193"/>
        <v/>
      </c>
      <c r="FK244">
        <f t="shared" si="194"/>
        <v>0</v>
      </c>
      <c r="FL244">
        <f>IF(FK244=0,0,1+COUNTIF(FL$3:FL243,"&gt;0"))</f>
        <v>0</v>
      </c>
      <c r="FM244" t="str">
        <f t="shared" si="216"/>
        <v/>
      </c>
      <c r="FN244" t="str">
        <f t="shared" si="195"/>
        <v/>
      </c>
      <c r="FP244">
        <f t="shared" si="196"/>
        <v>0</v>
      </c>
      <c r="FQ244">
        <f>IF(FP244=0,0,1+COUNTIF(FQ$3:FQ243,"&gt;0"))</f>
        <v>0</v>
      </c>
      <c r="FR244" t="str">
        <f t="shared" si="217"/>
        <v/>
      </c>
      <c r="FS244" t="str">
        <f t="shared" si="197"/>
        <v/>
      </c>
    </row>
    <row r="245" spans="1:175" x14ac:dyDescent="0.25">
      <c r="A245" s="347">
        <f t="shared" si="219"/>
        <v>243</v>
      </c>
      <c r="B245" s="348" t="s">
        <v>2625</v>
      </c>
      <c r="C245" s="348">
        <v>6</v>
      </c>
      <c r="D245" s="347">
        <v>6</v>
      </c>
      <c r="E245" s="627" t="s">
        <v>6952</v>
      </c>
      <c r="F245" s="346"/>
      <c r="G245" s="347" t="str">
        <f>""</f>
        <v/>
      </c>
      <c r="H245" s="347" t="s">
        <v>5912</v>
      </c>
      <c r="I245" s="347" t="s">
        <v>5334</v>
      </c>
      <c r="J245" s="347" t="str">
        <f t="shared" si="167"/>
        <v/>
      </c>
      <c r="K245" s="347" t="s">
        <v>5278</v>
      </c>
      <c r="L245" s="611" t="str">
        <f t="shared" si="168"/>
        <v>V, S, M, a small crystal sphere</v>
      </c>
      <c r="M245" s="347" t="s">
        <v>2373</v>
      </c>
      <c r="N245" s="347" t="s">
        <v>2387</v>
      </c>
      <c r="O245" s="347" t="s">
        <v>1244</v>
      </c>
      <c r="P245" s="346" t="s">
        <v>5446</v>
      </c>
      <c r="Q245" s="347" t="s">
        <v>5273</v>
      </c>
      <c r="S245" s="346" t="s">
        <v>5781</v>
      </c>
      <c r="T245" s="346" t="str">
        <f t="shared" si="169"/>
        <v xml:space="preserve">Eldritch Knight, Wizard, </v>
      </c>
      <c r="AB245" s="542" t="str">
        <f>AD245</f>
        <v>Otiluke's Freezing Sphere</v>
      </c>
      <c r="AD245" s="347" t="str">
        <f t="shared" si="223"/>
        <v>Otiluke's Freezing Sphere</v>
      </c>
      <c r="AE245" t="str">
        <f>IF(IFERROR(MATCH($B245,temp!A$4:A$13,0),0)&gt;0,T08_Spells!AE$2,"")</f>
        <v/>
      </c>
      <c r="AF245" t="str">
        <f>IF(IFERROR(MATCH($B245,temp!B$4:B$13,0),0)&gt;0,T08_Spells!AF$2,"")</f>
        <v/>
      </c>
      <c r="AG245" t="str">
        <f>IF(IFERROR(MATCH($B245,temp!C$4:C$13,0),0)&gt;0,T08_Spells!AG$2,"")</f>
        <v/>
      </c>
      <c r="AH245" t="str">
        <f>IF(IFERROR(MATCH($B245,temp!D$4:D$13,0),0)&gt;0,T08_Spells!AH$2,"")</f>
        <v/>
      </c>
      <c r="AI245" t="str">
        <f>IF(IFERROR(MATCH($B245,temp!E$4:E$13,0),0)&gt;0,T08_Spells!AI$2,"")</f>
        <v/>
      </c>
      <c r="AJ245" t="str">
        <f>IF(IFERROR(MATCH($B245,temp!F$4:F$13,0),0)&gt;0,T08_Spells!AJ$2,"")</f>
        <v/>
      </c>
      <c r="AK245" t="str">
        <f>IF(IFERROR(MATCH($B245,temp!G$4:G$13,0),0)&gt;0,T08_Spells!AK$2,"")</f>
        <v/>
      </c>
      <c r="AL245" t="str">
        <f>IF(IFERROR(MATCH($B245,temp!H$4:H$13,0),0)&gt;0,T08_Spells!AL$2,"")</f>
        <v/>
      </c>
      <c r="AM245" t="str">
        <f>IF(IFERROR(MATCH($B245,temp!I$4:I$13,0),0)&gt;0,T08_Spells!AM$2,"")</f>
        <v/>
      </c>
      <c r="AN245" t="str">
        <f>IF(IFERROR(MATCH($B245,temp!J$4:J$13,0),0)&gt;0,T08_Spells!AN$2,"")</f>
        <v/>
      </c>
      <c r="AO245" t="str">
        <f>IF(IFERROR(MATCH($B245,temp!K$4:K$13,0),0)&gt;0,T08_Spells!AO$2,"")</f>
        <v/>
      </c>
      <c r="AP245" t="str">
        <f>IF(IFERROR(MATCH($B245,temp!L$4:L$13,0),0)&gt;0,T08_Spells!AP$2,"")</f>
        <v/>
      </c>
      <c r="AQ245" t="str">
        <f>IF(IFERROR(MATCH($B245,temp!M$4:M$13,0),0)&gt;0,T08_Spells!AQ$2,"")</f>
        <v/>
      </c>
      <c r="AR245" t="str">
        <f>IF(IFERROR(MATCH($B245,temp!N$4:N$13,0),0)&gt;0,T08_Spells!AR$2,"")</f>
        <v/>
      </c>
      <c r="AS245" t="str">
        <f>IF(IFERROR(MATCH($B245,temp!O$4:O$13,0),0)&gt;0,T08_Spells!AS$2,"")</f>
        <v/>
      </c>
      <c r="AT245" t="str">
        <f>IF(IFERROR(MATCH($B245,temp!P$4:P$13,0),0)&gt;0,T08_Spells!AT$2,"")</f>
        <v/>
      </c>
      <c r="AU245" t="str">
        <f>IF(IFERROR(MATCH($B245,temp!Q$4:Q$13,0),0)&gt;0,T08_Spells!AU$2,"")</f>
        <v/>
      </c>
      <c r="AV245" t="str">
        <f>IF(IFERROR(MATCH($B245,temp!R$4:R$13,0),0)&gt;0,T08_Spells!AV$2,"")</f>
        <v/>
      </c>
      <c r="AW245" t="str">
        <f>IF(IFERROR(MATCH($B245,temp!S$4:S$13,0),0)&gt;0,T08_Spells!AW$2,"")</f>
        <v/>
      </c>
      <c r="AX245" t="str">
        <f>IF(IFERROR(MATCH($B245,temp!T$4:T$13,0),0)&gt;0,T08_Spells!AX$2,"")</f>
        <v/>
      </c>
      <c r="AY245" t="str">
        <f>IF(IFERROR(MATCH($B245,temp!U$4:U$13,0),0)&gt;0,T08_Spells!AY$2,"")</f>
        <v/>
      </c>
      <c r="AZ245" t="str">
        <f>IF(IFERROR(MATCH($B245,temp!V$4:V$13,0),0)&gt;0,T08_Spells!AZ$2,"")</f>
        <v/>
      </c>
      <c r="BA245" t="str">
        <f>IF(IFERROR(MATCH($B245,temp!W$4:W$13,0),0)&gt;0,T08_Spells!BA$2,"")</f>
        <v/>
      </c>
      <c r="BC245">
        <f>IF(IFERROR(SEARCH("Ranger",$T245,1),0)&gt;0,1,0)*IF(RangerMaxSpellLevel&gt;=$C245,1,0)*IF(IFERROR(MATCH(B245,Character_Creation!$X$79:$X$382,0),0)&gt;0,0,1)</f>
        <v>0</v>
      </c>
      <c r="BD245">
        <f>IF(BC245=0,0,1+COUNTIF(BD$3:BD244,"&gt;0"))</f>
        <v>0</v>
      </c>
      <c r="BE245" t="str">
        <f t="shared" si="199"/>
        <v/>
      </c>
      <c r="BF245" t="str">
        <f t="shared" si="170"/>
        <v/>
      </c>
      <c r="BH245">
        <f>IF(IFERROR(SEARCH("Sorcerer",$T245,1),0)&gt;0,1,0)*IF(SorcererMaxSpellLevel&gt;=$C245,1,0)*IF(IFERROR(MATCH(B245,Character_Creation!$J$380:$J$394,0),0)&gt;0,0,1)</f>
        <v>0</v>
      </c>
      <c r="BI245">
        <f>IF(BH245=0,0,1+COUNTIF(BI$3:BI244,"&gt;0"))</f>
        <v>0</v>
      </c>
      <c r="BJ245" t="str">
        <f t="shared" si="200"/>
        <v/>
      </c>
      <c r="BK245" t="str">
        <f t="shared" si="171"/>
        <v/>
      </c>
      <c r="BM245">
        <f>IF(OR(IFERROR(SEARCH("Warlock",$T245,1),0)&gt;0,IFERROR(SEARCH(WarlockPatron,$T245,1),0)&gt;0),1,0)*IF(WarlockMaxSpellLevel&gt;=$C245,1,0)*IF(IFERROR(MATCH(B245,Character_Creation!$J$361:$J$375,0),0)&gt;0,0,1)</f>
        <v>0</v>
      </c>
      <c r="BN245">
        <f>IF(BM245=0,0,1+COUNTIF(BN$3:BN244,"&gt;0"))</f>
        <v>0</v>
      </c>
      <c r="BO245" t="str">
        <f t="shared" si="201"/>
        <v/>
      </c>
      <c r="BP245" t="str">
        <f t="shared" si="172"/>
        <v/>
      </c>
      <c r="BR245">
        <f>IF(IFERROR(SEARCH("Eldritch Knight",$T245,1),0)&gt;0,1,0)*IF(EldritchKnightMaxSpellLevel&gt;=$C245,1,0)*IF(IFERROR(MATCH($B245,Character_Creation!$J$350:$J$356,0),0)&gt;0,0,1)*IF(Character_Creation!$M$338&gt;0,1,0)</f>
        <v>0</v>
      </c>
      <c r="BS245">
        <f>IF(BR245=0,0,1+COUNTIF(BS$3:BS244,"&gt;0"))</f>
        <v>0</v>
      </c>
      <c r="BT245" t="str">
        <f t="shared" si="202"/>
        <v/>
      </c>
      <c r="BU245" t="str">
        <f t="shared" si="173"/>
        <v/>
      </c>
      <c r="BW245">
        <f>IF(IFERROR(SEARCH("Arcane Trickster",$T245,1),0)&gt;0,1,0)*IF(ArcaneTricksterMaxSpellLevel&gt;=$C245,1,0)*IF(IFERROR(MATCH($B245,Character_Creation!$J$350:$J$356,0),0)&gt;0,0,1)*IF(Character_Creation!$T$338&gt;0,1,0)</f>
        <v>0</v>
      </c>
      <c r="BX245">
        <f>IF(BW245=0,0,1+COUNTIF(BX$3:BX244,"&gt;0"))</f>
        <v>0</v>
      </c>
      <c r="BY245" t="str">
        <f t="shared" si="203"/>
        <v/>
      </c>
      <c r="BZ245" t="str">
        <f t="shared" si="174"/>
        <v/>
      </c>
      <c r="CB245">
        <f>IF(IFERROR(SEARCH("Wizard",$T245,1),0)&gt;0,1,0)*IF(C245&lt;=ArcaneTricksterMaxSpellLevel,1,0)*IF(IFERROR(MATCH($B245,Character_Creation!$J$350:$J$356,0),0)&gt;0,0,1)*IF(Character_Creation!$T$350&gt;0,1,0)</f>
        <v>0</v>
      </c>
      <c r="CC245">
        <f>IF(CB245=0,0,1+COUNTIF(CC$3:CC244,"&gt;0"))</f>
        <v>0</v>
      </c>
      <c r="CD245" t="str">
        <f t="shared" si="204"/>
        <v/>
      </c>
      <c r="CE245" t="str">
        <f t="shared" si="175"/>
        <v/>
      </c>
      <c r="CG245">
        <f>IF(IFERROR(SEARCH("Wizard",$T245,1),0)&gt;0,1,0)*IF($C245&lt;=EldritchKnightMaxSpellLevel,1,0)*IF(IFERROR(MATCH($B245,Character_Creation!$J$350:$J$356,0),0)&gt;0,0,1)*IF(Character_Creation!$M$350&gt;0,1,0)</f>
        <v>0</v>
      </c>
      <c r="CH245">
        <f>IF(CG245=0,0,1+COUNTIF(CH$3:CH244,"&gt;0"))</f>
        <v>0</v>
      </c>
      <c r="CI245" t="str">
        <f t="shared" si="205"/>
        <v/>
      </c>
      <c r="CJ245" t="str">
        <f t="shared" si="176"/>
        <v/>
      </c>
      <c r="CL245">
        <f>IF(IFERROR(SEARCH("Bard",$T245,1),0)&gt;0,1,0)*IF(BardMaxSpellLevel&gt;=$C245,1,0)*IF(IFERROR(MATCH(B245,Character_Creation!$C$341:$F$362,0),0)&gt;0,0,1)*IF(IFERROR(MATCH($B245,Character_Creation!$C$341:$C$362,0),0)&gt;0,0,1)</f>
        <v>0</v>
      </c>
      <c r="CM245">
        <f>IF(CL245=0,0,1+COUNTIF(CM$3:CM244,"&gt;0"))</f>
        <v>0</v>
      </c>
      <c r="CN245" t="str">
        <f t="shared" si="206"/>
        <v/>
      </c>
      <c r="CO245" t="str">
        <f t="shared" si="177"/>
        <v/>
      </c>
      <c r="CQ245">
        <f>IF(IFERROR(SEARCH("Wizard",$T245,1),0)&gt;0,1,0)*IF(WizardMaxSpellLevel&gt;=$C245,1,0)*IF(IFERROR(MATCH(B245,Character_Creation!$X$341:$X$400,0),0)&gt;0,0,1)*IF(SelectedWizardSpellLevel=$C245,1,0)</f>
        <v>0</v>
      </c>
      <c r="CR245">
        <f>IF(CQ245=0,0,1+COUNTIF(CR$3:CR244,"&gt;0"))</f>
        <v>0</v>
      </c>
      <c r="CS245" t="str">
        <f t="shared" si="207"/>
        <v/>
      </c>
      <c r="CT245" t="str">
        <f t="shared" si="178"/>
        <v/>
      </c>
      <c r="CV245">
        <f>IF(IFERROR(MATCH($B245,Character_Creation!$C$341:$C$362,0),0)&gt;0,0,1)*IF(OR(C245="Cantrip",C245&lt;=BardMaxSpellLevel),1,0)*IF(IFERROR(MATCH($B245,Character_Creation!$C$367:$C$374,0),0)&gt;0,0,1)</f>
        <v>0</v>
      </c>
      <c r="CW245">
        <f>IF(CV245=0,0,1+COUNTIF(CW$3:CW244,"&gt;0"))</f>
        <v>0</v>
      </c>
      <c r="CX245" t="str">
        <f t="shared" si="208"/>
        <v/>
      </c>
      <c r="CY245" t="str">
        <f t="shared" si="179"/>
        <v/>
      </c>
      <c r="DA245">
        <f>IF(IF(OR(IFERROR(SEARCH("Cleric",$T245,1),0)&gt;0,IFERROR(SEARCH(DivineDomain&amp;",",$T245,1),0)&gt;0),1,0)*IF($C245=DA$2,1,0)=1,1+COUNTIF(DA$3:DA244,"&gt;0"),0)</f>
        <v>0</v>
      </c>
      <c r="DB245">
        <f>IF(IF(OR(IFERROR(SEARCH("Cleric",$T245,1),0)&gt;0,IFERROR(SEARCH(DivineDomain&amp;",",$T245,1),0)&gt;0),1,0)*IF($C245=DB$2,1,0)=1,1+COUNTIF(DB$3:DB244,"&gt;0"),0)</f>
        <v>0</v>
      </c>
      <c r="DC245">
        <f>IF(IF(OR(IFERROR(SEARCH("Cleric",$T245,1),0)&gt;0,IFERROR(SEARCH(DivineDomain&amp;",",$T245,1),0)&gt;0),1,0)*IF($C245=DC$2,1,0)=1,1+COUNTIF(DC$3:DC244,"&gt;0"),0)</f>
        <v>0</v>
      </c>
      <c r="DD245">
        <f>IF(IF(OR(IFERROR(SEARCH("Cleric",$T245,1),0)&gt;0,IFERROR(SEARCH(DivineDomain&amp;",",$T245,1),0)&gt;0),1,0)*IF($C245=DD$2,1,0)=1,1+COUNTIF(DD$3:DD244,"&gt;0"),0)</f>
        <v>0</v>
      </c>
      <c r="DE245">
        <f>IF(IF(OR(IFERROR(SEARCH("Cleric",$T245,1),0)&gt;0,IFERROR(SEARCH(DivineDomain&amp;",",$T245,1),0)&gt;0),1,0)*IF($C245=DE$2,1,0)=1,1+COUNTIF(DE$3:DE244,"&gt;0"),0)</f>
        <v>0</v>
      </c>
      <c r="DF245">
        <f>IF(IF(OR(IFERROR(SEARCH("Cleric",$T245,1),0)&gt;0,IFERROR(SEARCH(DivineDomain&amp;",",$T245,1),0)&gt;0),1,0)*IF($C245=DF$2,1,0)=1,1+COUNTIF(DF$3:DF244,"&gt;0"),0)</f>
        <v>0</v>
      </c>
      <c r="DG245">
        <f>IF(IF(OR(IFERROR(SEARCH("Cleric",$T245,1),0)&gt;0,IFERROR(SEARCH(DivineDomain&amp;",",$T245,1),0)&gt;0),1,0)*IF($C245=DG$2,1,0)=1,1+COUNTIF(DG$3:DG244,"&gt;0"),0)</f>
        <v>0</v>
      </c>
      <c r="DH245">
        <f>IF(IF(OR(IFERROR(SEARCH("Cleric",$T245,1),0)&gt;0,IFERROR(SEARCH(DivineDomain&amp;",",$T245,1),0)&gt;0),1,0)*IF($C245=DH$2,1,0)=1,1+COUNTIF(DH$3:DH244,"&gt;0"),0)</f>
        <v>0</v>
      </c>
      <c r="DI245">
        <f>IF(IF(OR(IFERROR(SEARCH("Cleric",$T245,1),0)&gt;0,IFERROR(SEARCH(DivineDomain&amp;",",$T245,1),0)&gt;0),1,0)*IF($C245=DI$2,1,0)=1,1+COUNTIF(DI$3:DI244,"&gt;0"),0)</f>
        <v>0</v>
      </c>
      <c r="DJ245">
        <f>IF(IF(OR(IFERROR(SEARCH("Druid",$T245,1),0)&gt;0,IFERROR(SEARCH(DruidLand1,$T245,1),0)&gt;0,IFERROR(SEARCH(DruidLand2,$T245,1),0)&gt;0,IFERROR(SEARCH(DruidLand3,$T245,1),0)&gt;0,IFERROR(SEARCH(DruidLand4,$T245,1),0)&gt;0),1,0)*IF($C245=1,1,0)*IF($C245=DJ$2,1,0)=0,0,1+COUNTIF(DJ$3:DJ244,"&gt;0"))</f>
        <v>0</v>
      </c>
      <c r="DK245">
        <f>IF(IF(OR(IFERROR(SEARCH("Druid",$T245,1),0)&gt;0,IFERROR(SEARCH(DruidLand1,$T245,1),0)&gt;0,IFERROR(SEARCH(DruidLand2,$T245,1),0)&gt;0,IFERROR(SEARCH(DruidLand3,$T245,1),0)&gt;0,IFERROR(SEARCH(DruidLand4,$T245,1),0)&gt;0),1,0)*IF($C245=1,1,0)*IF($C245=DK$2,1,0)=0,0,1+COUNTIF(DK$3:DK244,"&gt;0"))</f>
        <v>0</v>
      </c>
      <c r="DL245">
        <f>IF(IF(OR(IFERROR(SEARCH("Druid",$T245,1),0)&gt;0,IFERROR(SEARCH(DruidLand1,$T245,1),0)&gt;0,IFERROR(SEARCH(DruidLand2,$T245,1),0)&gt;0,IFERROR(SEARCH(DruidLand3,$T245,1),0)&gt;0,IFERROR(SEARCH(DruidLand4,$T245,1),0)&gt;0),1,0)*IF($C245=1,1,0)*IF($C245=DL$2,1,0)=0,0,1+COUNTIF(DL$3:DL244,"&gt;0"))</f>
        <v>0</v>
      </c>
      <c r="DM245">
        <f>IF(IF(OR(IFERROR(SEARCH("Druid",$T245,1),0)&gt;0,IFERROR(SEARCH(DruidLand1,$T245,1),0)&gt;0,IFERROR(SEARCH(DruidLand2,$T245,1),0)&gt;0,IFERROR(SEARCH(DruidLand3,$T245,1),0)&gt;0,IFERROR(SEARCH(DruidLand4,$T245,1),0)&gt;0),1,0)*IF($C245=1,1,0)*IF($C245=DM$2,1,0)=0,0,1+COUNTIF(DM$3:DM244,"&gt;0"))</f>
        <v>0</v>
      </c>
      <c r="DN245">
        <f>IF(IF(OR(IFERROR(SEARCH("Druid",$T245,1),0)&gt;0,IFERROR(SEARCH(DruidLand1,$T245,1),0)&gt;0,IFERROR(SEARCH(DruidLand2,$T245,1),0)&gt;0,IFERROR(SEARCH(DruidLand3,$T245,1),0)&gt;0,IFERROR(SEARCH(DruidLand4,$T245,1),0)&gt;0),1,0)*IF($C245=1,1,0)*IF($C245=DN$2,1,0)=0,0,1+COUNTIF(DN$3:DN244,"&gt;0"))</f>
        <v>0</v>
      </c>
      <c r="DO245">
        <f>IF(IF(OR(IFERROR(SEARCH("Druid",$T245,1),0)&gt;0,IFERROR(SEARCH(DruidLand1,$T245,1),0)&gt;0,IFERROR(SEARCH(DruidLand2,$T245,1),0)&gt;0,IFERROR(SEARCH(DruidLand3,$T245,1),0)&gt;0,IFERROR(SEARCH(DruidLand4,$T245,1),0)&gt;0),1,0)*IF($C245=1,1,0)*IF($C245=DO$2,1,0)=0,0,1+COUNTIF(DO$3:DO244,"&gt;0"))</f>
        <v>0</v>
      </c>
      <c r="DP245">
        <f>IF(IF(OR(IFERROR(SEARCH("Druid",$T245,1),0)&gt;0,IFERROR(SEARCH(DruidLand1,$T245,1),0)&gt;0,IFERROR(SEARCH(DruidLand2,$T245,1),0)&gt;0,IFERROR(SEARCH(DruidLand3,$T245,1),0)&gt;0,IFERROR(SEARCH(DruidLand4,$T245,1),0)&gt;0),1,0)*IF($C245=1,1,0)*IF($C245=DP$2,1,0)=0,0,1+COUNTIF(DP$3:DP244,"&gt;0"))</f>
        <v>0</v>
      </c>
      <c r="DQ245">
        <f>IF(IF(OR(IFERROR(SEARCH("Druid",$T245,1),0)&gt;0,IFERROR(SEARCH(DruidLand1,$T245,1),0)&gt;0,IFERROR(SEARCH(DruidLand2,$T245,1),0)&gt;0,IFERROR(SEARCH(DruidLand3,$T245,1),0)&gt;0,IFERROR(SEARCH(DruidLand4,$T245,1),0)&gt;0),1,0)*IF($C245=1,1,0)*IF($C245=DQ$2,1,0)=0,0,1+COUNTIF(DQ$3:DQ244,"&gt;0"))</f>
        <v>0</v>
      </c>
      <c r="DR245">
        <f>IF(IF(OR(IFERROR(SEARCH("Druid",$T245,1),0)&gt;0,IFERROR(SEARCH(DruidLand1,$T245,1),0)&gt;0,IFERROR(SEARCH(DruidLand2,$T245,1),0)&gt;0,IFERROR(SEARCH(DruidLand3,$T245,1),0)&gt;0,IFERROR(SEARCH(DruidLand4,$T245,1),0)&gt;0),1,0)*IF($C245=1,1,0)*IF($C245=DR$2,1,0)=0,0,1+COUNTIF(DR$3:DR244,"&gt;0"))</f>
        <v>0</v>
      </c>
      <c r="DS245">
        <f>IF(IF(OR(IFERROR(SEARCH("Paladin",$T245,1),0)&gt;0,IFERROR(SEARCH(PaladinOath,$T245,1),0)&gt;0),1,0)*IF($C245=DS$2,1,0)=1,1+COUNTIF(DS$3:DS244,"&gt;0"),0)</f>
        <v>0</v>
      </c>
      <c r="DT245">
        <f>IF(IF(OR(IFERROR(SEARCH("Paladin",$T245,1),0)&gt;0,IFERROR(SEARCH(PaladinOath,$T245,1),0)&gt;0),1,0)*IF($C245=DT$2,1,0)=1,1+COUNTIF(DT$3:DT244,"&gt;0"),0)</f>
        <v>0</v>
      </c>
      <c r="DU245">
        <f>IF(IF(OR(IFERROR(SEARCH("Paladin",$T245,1),0)&gt;0,IFERROR(SEARCH(PaladinOath,$T245,1),0)&gt;0),1,0)*IF($C245=DU$2,1,0)=1,1+COUNTIF(DU$3:DU244,"&gt;0"),0)</f>
        <v>0</v>
      </c>
      <c r="DV245">
        <f>IF(IF(OR(IFERROR(SEARCH("Paladin",$T245,1),0)&gt;0,IFERROR(SEARCH(PaladinOath,$T245,1),0)&gt;0),1,0)*IF($C245=DV$2,1,0)=1,1+COUNTIF(DV$3:DV244,"&gt;0"),0)</f>
        <v>0</v>
      </c>
      <c r="DW245">
        <f>IF(IF(OR(IFERROR(SEARCH("Paladin",$T245,1),0)&gt;0,IFERROR(SEARCH(PaladinOath,$T245,1),0)&gt;0),1,0)*IF($C245=DW$2,1,0)=1,1+COUNTIF(DW$3:DW244,"&gt;0"),0)</f>
        <v>0</v>
      </c>
      <c r="DY245">
        <f t="shared" si="166"/>
        <v>1</v>
      </c>
      <c r="DZ245">
        <f>IF(DY245=0,0,1+MAX(DZ$3:$DZ244))</f>
        <v>243</v>
      </c>
      <c r="EB245">
        <f t="shared" si="180"/>
        <v>0</v>
      </c>
      <c r="EC245">
        <f>IF(EB245=0,0,1+COUNTIF(EC$3:EC244,"&gt;0"))</f>
        <v>0</v>
      </c>
      <c r="ED245" t="str">
        <f t="shared" si="209"/>
        <v/>
      </c>
      <c r="EE245" t="str">
        <f t="shared" si="181"/>
        <v/>
      </c>
      <c r="EG245">
        <f t="shared" si="182"/>
        <v>0</v>
      </c>
      <c r="EH245">
        <f>IF(EG245=0,0,1+COUNTIF(EH$3:EH244,"&gt;0"))</f>
        <v>0</v>
      </c>
      <c r="EI245" t="str">
        <f t="shared" si="210"/>
        <v/>
      </c>
      <c r="EJ245" t="str">
        <f t="shared" si="183"/>
        <v/>
      </c>
      <c r="EL245">
        <f t="shared" si="184"/>
        <v>0</v>
      </c>
      <c r="EM245">
        <f>IF(EL245=0,0,1+COUNTIF(EM$3:EM244,"&gt;0"))</f>
        <v>0</v>
      </c>
      <c r="EN245" t="str">
        <f t="shared" si="211"/>
        <v/>
      </c>
      <c r="EO245" t="str">
        <f t="shared" si="185"/>
        <v/>
      </c>
      <c r="EQ245">
        <f t="shared" si="186"/>
        <v>0</v>
      </c>
      <c r="ER245">
        <f>IF(EQ245=0,0,1+COUNTIF(ER$3:ER244,"&gt;0"))</f>
        <v>0</v>
      </c>
      <c r="ES245" t="str">
        <f t="shared" si="212"/>
        <v/>
      </c>
      <c r="ET245" t="str">
        <f t="shared" si="187"/>
        <v/>
      </c>
      <c r="EV245">
        <f t="shared" si="188"/>
        <v>0</v>
      </c>
      <c r="EW245">
        <f>IF(EV245=0,0,1+COUNTIF(EW$3:EW244,"&gt;0"))</f>
        <v>0</v>
      </c>
      <c r="EX245" t="str">
        <f t="shared" si="213"/>
        <v/>
      </c>
      <c r="EY245" t="str">
        <f t="shared" si="189"/>
        <v/>
      </c>
      <c r="FA245">
        <f t="shared" si="190"/>
        <v>0</v>
      </c>
      <c r="FB245">
        <f>IF(FA245=0,0,1+COUNTIF(FB$3:FB244,"&gt;0"))</f>
        <v>0</v>
      </c>
      <c r="FC245" t="str">
        <f t="shared" si="214"/>
        <v/>
      </c>
      <c r="FD245" t="str">
        <f t="shared" si="191"/>
        <v/>
      </c>
      <c r="FF245">
        <f t="shared" si="192"/>
        <v>0</v>
      </c>
      <c r="FG245">
        <f>IF(FF245=0,0,1+COUNTIF(FG$3:FG244,"&gt;0"))</f>
        <v>0</v>
      </c>
      <c r="FH245" t="str">
        <f t="shared" si="215"/>
        <v/>
      </c>
      <c r="FI245" t="str">
        <f t="shared" si="193"/>
        <v/>
      </c>
      <c r="FK245">
        <f t="shared" si="194"/>
        <v>0</v>
      </c>
      <c r="FL245">
        <f>IF(FK245=0,0,1+COUNTIF(FL$3:FL244,"&gt;0"))</f>
        <v>0</v>
      </c>
      <c r="FM245" t="str">
        <f t="shared" si="216"/>
        <v/>
      </c>
      <c r="FN245" t="str">
        <f t="shared" si="195"/>
        <v/>
      </c>
      <c r="FP245">
        <f t="shared" si="196"/>
        <v>0</v>
      </c>
      <c r="FQ245">
        <f>IF(FP245=0,0,1+COUNTIF(FQ$3:FQ244,"&gt;0"))</f>
        <v>0</v>
      </c>
      <c r="FR245" t="str">
        <f t="shared" si="217"/>
        <v/>
      </c>
      <c r="FS245" t="str">
        <f t="shared" si="197"/>
        <v/>
      </c>
    </row>
    <row r="246" spans="1:175" x14ac:dyDescent="0.25">
      <c r="A246" s="347">
        <f t="shared" si="219"/>
        <v>244</v>
      </c>
      <c r="B246" s="348" t="s">
        <v>2626</v>
      </c>
      <c r="C246" s="348">
        <v>4</v>
      </c>
      <c r="D246" s="347">
        <v>4</v>
      </c>
      <c r="E246" s="627" t="s">
        <v>6952</v>
      </c>
      <c r="F246" s="346"/>
      <c r="G246" s="347" t="str">
        <f>""</f>
        <v/>
      </c>
      <c r="H246" s="347" t="s">
        <v>5912</v>
      </c>
      <c r="I246" s="347" t="s">
        <v>5060</v>
      </c>
      <c r="J246" s="347" t="str">
        <f t="shared" si="167"/>
        <v/>
      </c>
      <c r="K246" s="347" t="s">
        <v>5291</v>
      </c>
      <c r="L246" s="611" t="str">
        <f t="shared" si="168"/>
        <v>V, S, M, a hemispherical piece of clear crystal and a matching hemispherical piece of gum arabic</v>
      </c>
      <c r="M246" s="347" t="s">
        <v>2373</v>
      </c>
      <c r="N246" s="347" t="s">
        <v>2387</v>
      </c>
      <c r="O246" s="347" t="s">
        <v>1244</v>
      </c>
      <c r="P246" s="346" t="s">
        <v>5447</v>
      </c>
      <c r="Q246" s="347" t="s">
        <v>5273</v>
      </c>
      <c r="S246" s="346" t="s">
        <v>5782</v>
      </c>
      <c r="T246" s="346" t="str">
        <f t="shared" si="169"/>
        <v xml:space="preserve">Eldritch Knight, Wizard, </v>
      </c>
      <c r="AB246" s="542" t="str">
        <f>AD246</f>
        <v>Otiluke's Resilient Sphere</v>
      </c>
      <c r="AD246" s="347" t="str">
        <f t="shared" si="223"/>
        <v>Otiluke's Resilient Sphere</v>
      </c>
      <c r="AE246" t="str">
        <f>IF(IFERROR(MATCH($B246,temp!A$4:A$13,0),0)&gt;0,T08_Spells!AE$2,"")</f>
        <v/>
      </c>
      <c r="AF246" t="str">
        <f>IF(IFERROR(MATCH($B246,temp!B$4:B$13,0),0)&gt;0,T08_Spells!AF$2,"")</f>
        <v/>
      </c>
      <c r="AG246" t="str">
        <f>IF(IFERROR(MATCH($B246,temp!C$4:C$13,0),0)&gt;0,T08_Spells!AG$2,"")</f>
        <v/>
      </c>
      <c r="AH246" t="str">
        <f>IF(IFERROR(MATCH($B246,temp!D$4:D$13,0),0)&gt;0,T08_Spells!AH$2,"")</f>
        <v/>
      </c>
      <c r="AI246" t="str">
        <f>IF(IFERROR(MATCH($B246,temp!E$4:E$13,0),0)&gt;0,T08_Spells!AI$2,"")</f>
        <v/>
      </c>
      <c r="AJ246" t="str">
        <f>IF(IFERROR(MATCH($B246,temp!F$4:F$13,0),0)&gt;0,T08_Spells!AJ$2,"")</f>
        <v/>
      </c>
      <c r="AK246" t="str">
        <f>IF(IFERROR(MATCH($B246,temp!G$4:G$13,0),0)&gt;0,T08_Spells!AK$2,"")</f>
        <v/>
      </c>
      <c r="AL246" t="str">
        <f>IF(IFERROR(MATCH($B246,temp!H$4:H$13,0),0)&gt;0,T08_Spells!AL$2,"")</f>
        <v/>
      </c>
      <c r="AM246" t="str">
        <f>IF(IFERROR(MATCH($B246,temp!I$4:I$13,0),0)&gt;0,T08_Spells!AM$2,"")</f>
        <v/>
      </c>
      <c r="AN246" t="str">
        <f>IF(IFERROR(MATCH($B246,temp!J$4:J$13,0),0)&gt;0,T08_Spells!AN$2,"")</f>
        <v/>
      </c>
      <c r="AO246" t="str">
        <f>IF(IFERROR(MATCH($B246,temp!K$4:K$13,0),0)&gt;0,T08_Spells!AO$2,"")</f>
        <v/>
      </c>
      <c r="AP246" t="str">
        <f>IF(IFERROR(MATCH($B246,temp!L$4:L$13,0),0)&gt;0,T08_Spells!AP$2,"")</f>
        <v/>
      </c>
      <c r="AQ246" t="str">
        <f>IF(IFERROR(MATCH($B246,temp!M$4:M$13,0),0)&gt;0,T08_Spells!AQ$2,"")</f>
        <v/>
      </c>
      <c r="AR246" t="str">
        <f>IF(IFERROR(MATCH($B246,temp!N$4:N$13,0),0)&gt;0,T08_Spells!AR$2,"")</f>
        <v/>
      </c>
      <c r="AS246" t="str">
        <f>IF(IFERROR(MATCH($B246,temp!O$4:O$13,0),0)&gt;0,T08_Spells!AS$2,"")</f>
        <v/>
      </c>
      <c r="AT246" t="str">
        <f>IF(IFERROR(MATCH($B246,temp!P$4:P$13,0),0)&gt;0,T08_Spells!AT$2,"")</f>
        <v/>
      </c>
      <c r="AU246" t="str">
        <f>IF(IFERROR(MATCH($B246,temp!Q$4:Q$13,0),0)&gt;0,T08_Spells!AU$2,"")</f>
        <v/>
      </c>
      <c r="AV246" t="str">
        <f>IF(IFERROR(MATCH($B246,temp!R$4:R$13,0),0)&gt;0,T08_Spells!AV$2,"")</f>
        <v/>
      </c>
      <c r="AW246" t="str">
        <f>IF(IFERROR(MATCH($B246,temp!S$4:S$13,0),0)&gt;0,T08_Spells!AW$2,"")</f>
        <v/>
      </c>
      <c r="AX246" t="str">
        <f>IF(IFERROR(MATCH($B246,temp!T$4:T$13,0),0)&gt;0,T08_Spells!AX$2,"")</f>
        <v/>
      </c>
      <c r="AY246" t="str">
        <f>IF(IFERROR(MATCH($B246,temp!U$4:U$13,0),0)&gt;0,T08_Spells!AY$2,"")</f>
        <v/>
      </c>
      <c r="AZ246" t="str">
        <f>IF(IFERROR(MATCH($B246,temp!V$4:V$13,0),0)&gt;0,T08_Spells!AZ$2,"")</f>
        <v/>
      </c>
      <c r="BA246" t="str">
        <f>IF(IFERROR(MATCH($B246,temp!W$4:W$13,0),0)&gt;0,T08_Spells!BA$2,"")</f>
        <v/>
      </c>
      <c r="BC246">
        <f>IF(IFERROR(SEARCH("Ranger",$T246,1),0)&gt;0,1,0)*IF(RangerMaxSpellLevel&gt;=$C246,1,0)*IF(IFERROR(MATCH(B246,Character_Creation!$X$79:$X$382,0),0)&gt;0,0,1)</f>
        <v>0</v>
      </c>
      <c r="BD246">
        <f>IF(BC246=0,0,1+COUNTIF(BD$3:BD245,"&gt;0"))</f>
        <v>0</v>
      </c>
      <c r="BE246" t="str">
        <f t="shared" si="199"/>
        <v/>
      </c>
      <c r="BF246" t="str">
        <f t="shared" si="170"/>
        <v/>
      </c>
      <c r="BH246">
        <f>IF(IFERROR(SEARCH("Sorcerer",$T246,1),0)&gt;0,1,0)*IF(SorcererMaxSpellLevel&gt;=$C246,1,0)*IF(IFERROR(MATCH(B246,Character_Creation!$J$380:$J$394,0),0)&gt;0,0,1)</f>
        <v>0</v>
      </c>
      <c r="BI246">
        <f>IF(BH246=0,0,1+COUNTIF(BI$3:BI245,"&gt;0"))</f>
        <v>0</v>
      </c>
      <c r="BJ246" t="str">
        <f t="shared" si="200"/>
        <v/>
      </c>
      <c r="BK246" t="str">
        <f t="shared" si="171"/>
        <v/>
      </c>
      <c r="BM246">
        <f>IF(OR(IFERROR(SEARCH("Warlock",$T246,1),0)&gt;0,IFERROR(SEARCH(WarlockPatron,$T246,1),0)&gt;0),1,0)*IF(WarlockMaxSpellLevel&gt;=$C246,1,0)*IF(IFERROR(MATCH(B246,Character_Creation!$J$361:$J$375,0),0)&gt;0,0,1)</f>
        <v>0</v>
      </c>
      <c r="BN246">
        <f>IF(BM246=0,0,1+COUNTIF(BN$3:BN245,"&gt;0"))</f>
        <v>0</v>
      </c>
      <c r="BO246" t="str">
        <f t="shared" si="201"/>
        <v/>
      </c>
      <c r="BP246" t="str">
        <f t="shared" si="172"/>
        <v/>
      </c>
      <c r="BR246">
        <f>IF(IFERROR(SEARCH("Eldritch Knight",$T246,1),0)&gt;0,1,0)*IF(EldritchKnightMaxSpellLevel&gt;=$C246,1,0)*IF(IFERROR(MATCH($B246,Character_Creation!$J$350:$J$356,0),0)&gt;0,0,1)*IF(Character_Creation!$M$338&gt;0,1,0)</f>
        <v>0</v>
      </c>
      <c r="BS246">
        <f>IF(BR246=0,0,1+COUNTIF(BS$3:BS245,"&gt;0"))</f>
        <v>0</v>
      </c>
      <c r="BT246" t="str">
        <f t="shared" si="202"/>
        <v/>
      </c>
      <c r="BU246" t="str">
        <f t="shared" si="173"/>
        <v/>
      </c>
      <c r="BW246">
        <f>IF(IFERROR(SEARCH("Arcane Trickster",$T246,1),0)&gt;0,1,0)*IF(ArcaneTricksterMaxSpellLevel&gt;=$C246,1,0)*IF(IFERROR(MATCH($B246,Character_Creation!$J$350:$J$356,0),0)&gt;0,0,1)*IF(Character_Creation!$T$338&gt;0,1,0)</f>
        <v>0</v>
      </c>
      <c r="BX246">
        <f>IF(BW246=0,0,1+COUNTIF(BX$3:BX245,"&gt;0"))</f>
        <v>0</v>
      </c>
      <c r="BY246" t="str">
        <f t="shared" si="203"/>
        <v/>
      </c>
      <c r="BZ246" t="str">
        <f t="shared" si="174"/>
        <v/>
      </c>
      <c r="CB246">
        <f>IF(IFERROR(SEARCH("Wizard",$T246,1),0)&gt;0,1,0)*IF(C246&lt;=ArcaneTricksterMaxSpellLevel,1,0)*IF(IFERROR(MATCH($B246,Character_Creation!$J$350:$J$356,0),0)&gt;0,0,1)*IF(Character_Creation!$T$350&gt;0,1,0)</f>
        <v>0</v>
      </c>
      <c r="CC246">
        <f>IF(CB246=0,0,1+COUNTIF(CC$3:CC245,"&gt;0"))</f>
        <v>0</v>
      </c>
      <c r="CD246" t="str">
        <f t="shared" si="204"/>
        <v/>
      </c>
      <c r="CE246" t="str">
        <f t="shared" si="175"/>
        <v/>
      </c>
      <c r="CG246">
        <f>IF(IFERROR(SEARCH("Wizard",$T246,1),0)&gt;0,1,0)*IF($C246&lt;=EldritchKnightMaxSpellLevel,1,0)*IF(IFERROR(MATCH($B246,Character_Creation!$J$350:$J$356,0),0)&gt;0,0,1)*IF(Character_Creation!$M$350&gt;0,1,0)</f>
        <v>0</v>
      </c>
      <c r="CH246">
        <f>IF(CG246=0,0,1+COUNTIF(CH$3:CH245,"&gt;0"))</f>
        <v>0</v>
      </c>
      <c r="CI246" t="str">
        <f t="shared" si="205"/>
        <v/>
      </c>
      <c r="CJ246" t="str">
        <f t="shared" si="176"/>
        <v/>
      </c>
      <c r="CL246">
        <f>IF(IFERROR(SEARCH("Bard",$T246,1),0)&gt;0,1,0)*IF(BardMaxSpellLevel&gt;=$C246,1,0)*IF(IFERROR(MATCH(B246,Character_Creation!$C$341:$F$362,0),0)&gt;0,0,1)*IF(IFERROR(MATCH($B246,Character_Creation!$C$341:$C$362,0),0)&gt;0,0,1)</f>
        <v>0</v>
      </c>
      <c r="CM246">
        <f>IF(CL246=0,0,1+COUNTIF(CM$3:CM245,"&gt;0"))</f>
        <v>0</v>
      </c>
      <c r="CN246" t="str">
        <f t="shared" si="206"/>
        <v/>
      </c>
      <c r="CO246" t="str">
        <f t="shared" si="177"/>
        <v/>
      </c>
      <c r="CQ246">
        <f>IF(IFERROR(SEARCH("Wizard",$T246,1),0)&gt;0,1,0)*IF(WizardMaxSpellLevel&gt;=$C246,1,0)*IF(IFERROR(MATCH(B246,Character_Creation!$X$341:$X$400,0),0)&gt;0,0,1)*IF(SelectedWizardSpellLevel=$C246,1,0)</f>
        <v>0</v>
      </c>
      <c r="CR246">
        <f>IF(CQ246=0,0,1+COUNTIF(CR$3:CR245,"&gt;0"))</f>
        <v>0</v>
      </c>
      <c r="CS246" t="str">
        <f t="shared" si="207"/>
        <v/>
      </c>
      <c r="CT246" t="str">
        <f t="shared" si="178"/>
        <v/>
      </c>
      <c r="CV246">
        <f>IF(IFERROR(MATCH($B246,Character_Creation!$C$341:$C$362,0),0)&gt;0,0,1)*IF(OR(C246="Cantrip",C246&lt;=BardMaxSpellLevel),1,0)*IF(IFERROR(MATCH($B246,Character_Creation!$C$367:$C$374,0),0)&gt;0,0,1)</f>
        <v>0</v>
      </c>
      <c r="CW246">
        <f>IF(CV246=0,0,1+COUNTIF(CW$3:CW245,"&gt;0"))</f>
        <v>0</v>
      </c>
      <c r="CX246" t="str">
        <f t="shared" si="208"/>
        <v/>
      </c>
      <c r="CY246" t="str">
        <f t="shared" si="179"/>
        <v/>
      </c>
      <c r="DA246">
        <f>IF(IF(OR(IFERROR(SEARCH("Cleric",$T246,1),0)&gt;0,IFERROR(SEARCH(DivineDomain&amp;",",$T246,1),0)&gt;0),1,0)*IF($C246=DA$2,1,0)=1,1+COUNTIF(DA$3:DA245,"&gt;0"),0)</f>
        <v>0</v>
      </c>
      <c r="DB246">
        <f>IF(IF(OR(IFERROR(SEARCH("Cleric",$T246,1),0)&gt;0,IFERROR(SEARCH(DivineDomain&amp;",",$T246,1),0)&gt;0),1,0)*IF($C246=DB$2,1,0)=1,1+COUNTIF(DB$3:DB245,"&gt;0"),0)</f>
        <v>0</v>
      </c>
      <c r="DC246">
        <f>IF(IF(OR(IFERROR(SEARCH("Cleric",$T246,1),0)&gt;0,IFERROR(SEARCH(DivineDomain&amp;",",$T246,1),0)&gt;0),1,0)*IF($C246=DC$2,1,0)=1,1+COUNTIF(DC$3:DC245,"&gt;0"),0)</f>
        <v>0</v>
      </c>
      <c r="DD246">
        <f>IF(IF(OR(IFERROR(SEARCH("Cleric",$T246,1),0)&gt;0,IFERROR(SEARCH(DivineDomain&amp;",",$T246,1),0)&gt;0),1,0)*IF($C246=DD$2,1,0)=1,1+COUNTIF(DD$3:DD245,"&gt;0"),0)</f>
        <v>0</v>
      </c>
      <c r="DE246">
        <f>IF(IF(OR(IFERROR(SEARCH("Cleric",$T246,1),0)&gt;0,IFERROR(SEARCH(DivineDomain&amp;",",$T246,1),0)&gt;0),1,0)*IF($C246=DE$2,1,0)=1,1+COUNTIF(DE$3:DE245,"&gt;0"),0)</f>
        <v>0</v>
      </c>
      <c r="DF246">
        <f>IF(IF(OR(IFERROR(SEARCH("Cleric",$T246,1),0)&gt;0,IFERROR(SEARCH(DivineDomain&amp;",",$T246,1),0)&gt;0),1,0)*IF($C246=DF$2,1,0)=1,1+COUNTIF(DF$3:DF245,"&gt;0"),0)</f>
        <v>0</v>
      </c>
      <c r="DG246">
        <f>IF(IF(OR(IFERROR(SEARCH("Cleric",$T246,1),0)&gt;0,IFERROR(SEARCH(DivineDomain&amp;",",$T246,1),0)&gt;0),1,0)*IF($C246=DG$2,1,0)=1,1+COUNTIF(DG$3:DG245,"&gt;0"),0)</f>
        <v>0</v>
      </c>
      <c r="DH246">
        <f>IF(IF(OR(IFERROR(SEARCH("Cleric",$T246,1),0)&gt;0,IFERROR(SEARCH(DivineDomain&amp;",",$T246,1),0)&gt;0),1,0)*IF($C246=DH$2,1,0)=1,1+COUNTIF(DH$3:DH245,"&gt;0"),0)</f>
        <v>0</v>
      </c>
      <c r="DI246">
        <f>IF(IF(OR(IFERROR(SEARCH("Cleric",$T246,1),0)&gt;0,IFERROR(SEARCH(DivineDomain&amp;",",$T246,1),0)&gt;0),1,0)*IF($C246=DI$2,1,0)=1,1+COUNTIF(DI$3:DI245,"&gt;0"),0)</f>
        <v>0</v>
      </c>
      <c r="DJ246">
        <f>IF(IF(OR(IFERROR(SEARCH("Druid",$T246,1),0)&gt;0,IFERROR(SEARCH(DruidLand1,$T246,1),0)&gt;0,IFERROR(SEARCH(DruidLand2,$T246,1),0)&gt;0,IFERROR(SEARCH(DruidLand3,$T246,1),0)&gt;0,IFERROR(SEARCH(DruidLand4,$T246,1),0)&gt;0),1,0)*IF($C246=1,1,0)*IF($C246=DJ$2,1,0)=0,0,1+COUNTIF(DJ$3:DJ245,"&gt;0"))</f>
        <v>0</v>
      </c>
      <c r="DK246">
        <f>IF(IF(OR(IFERROR(SEARCH("Druid",$T246,1),0)&gt;0,IFERROR(SEARCH(DruidLand1,$T246,1),0)&gt;0,IFERROR(SEARCH(DruidLand2,$T246,1),0)&gt;0,IFERROR(SEARCH(DruidLand3,$T246,1),0)&gt;0,IFERROR(SEARCH(DruidLand4,$T246,1),0)&gt;0),1,0)*IF($C246=1,1,0)*IF($C246=DK$2,1,0)=0,0,1+COUNTIF(DK$3:DK245,"&gt;0"))</f>
        <v>0</v>
      </c>
      <c r="DL246">
        <f>IF(IF(OR(IFERROR(SEARCH("Druid",$T246,1),0)&gt;0,IFERROR(SEARCH(DruidLand1,$T246,1),0)&gt;0,IFERROR(SEARCH(DruidLand2,$T246,1),0)&gt;0,IFERROR(SEARCH(DruidLand3,$T246,1),0)&gt;0,IFERROR(SEARCH(DruidLand4,$T246,1),0)&gt;0),1,0)*IF($C246=1,1,0)*IF($C246=DL$2,1,0)=0,0,1+COUNTIF(DL$3:DL245,"&gt;0"))</f>
        <v>0</v>
      </c>
      <c r="DM246">
        <f>IF(IF(OR(IFERROR(SEARCH("Druid",$T246,1),0)&gt;0,IFERROR(SEARCH(DruidLand1,$T246,1),0)&gt;0,IFERROR(SEARCH(DruidLand2,$T246,1),0)&gt;0,IFERROR(SEARCH(DruidLand3,$T246,1),0)&gt;0,IFERROR(SEARCH(DruidLand4,$T246,1),0)&gt;0),1,0)*IF($C246=1,1,0)*IF($C246=DM$2,1,0)=0,0,1+COUNTIF(DM$3:DM245,"&gt;0"))</f>
        <v>0</v>
      </c>
      <c r="DN246">
        <f>IF(IF(OR(IFERROR(SEARCH("Druid",$T246,1),0)&gt;0,IFERROR(SEARCH(DruidLand1,$T246,1),0)&gt;0,IFERROR(SEARCH(DruidLand2,$T246,1),0)&gt;0,IFERROR(SEARCH(DruidLand3,$T246,1),0)&gt;0,IFERROR(SEARCH(DruidLand4,$T246,1),0)&gt;0),1,0)*IF($C246=1,1,0)*IF($C246=DN$2,1,0)=0,0,1+COUNTIF(DN$3:DN245,"&gt;0"))</f>
        <v>0</v>
      </c>
      <c r="DO246">
        <f>IF(IF(OR(IFERROR(SEARCH("Druid",$T246,1),0)&gt;0,IFERROR(SEARCH(DruidLand1,$T246,1),0)&gt;0,IFERROR(SEARCH(DruidLand2,$T246,1),0)&gt;0,IFERROR(SEARCH(DruidLand3,$T246,1),0)&gt;0,IFERROR(SEARCH(DruidLand4,$T246,1),0)&gt;0),1,0)*IF($C246=1,1,0)*IF($C246=DO$2,1,0)=0,0,1+COUNTIF(DO$3:DO245,"&gt;0"))</f>
        <v>0</v>
      </c>
      <c r="DP246">
        <f>IF(IF(OR(IFERROR(SEARCH("Druid",$T246,1),0)&gt;0,IFERROR(SEARCH(DruidLand1,$T246,1),0)&gt;0,IFERROR(SEARCH(DruidLand2,$T246,1),0)&gt;0,IFERROR(SEARCH(DruidLand3,$T246,1),0)&gt;0,IFERROR(SEARCH(DruidLand4,$T246,1),0)&gt;0),1,0)*IF($C246=1,1,0)*IF($C246=DP$2,1,0)=0,0,1+COUNTIF(DP$3:DP245,"&gt;0"))</f>
        <v>0</v>
      </c>
      <c r="DQ246">
        <f>IF(IF(OR(IFERROR(SEARCH("Druid",$T246,1),0)&gt;0,IFERROR(SEARCH(DruidLand1,$T246,1),0)&gt;0,IFERROR(SEARCH(DruidLand2,$T246,1),0)&gt;0,IFERROR(SEARCH(DruidLand3,$T246,1),0)&gt;0,IFERROR(SEARCH(DruidLand4,$T246,1),0)&gt;0),1,0)*IF($C246=1,1,0)*IF($C246=DQ$2,1,0)=0,0,1+COUNTIF(DQ$3:DQ245,"&gt;0"))</f>
        <v>0</v>
      </c>
      <c r="DR246">
        <f>IF(IF(OR(IFERROR(SEARCH("Druid",$T246,1),0)&gt;0,IFERROR(SEARCH(DruidLand1,$T246,1),0)&gt;0,IFERROR(SEARCH(DruidLand2,$T246,1),0)&gt;0,IFERROR(SEARCH(DruidLand3,$T246,1),0)&gt;0,IFERROR(SEARCH(DruidLand4,$T246,1),0)&gt;0),1,0)*IF($C246=1,1,0)*IF($C246=DR$2,1,0)=0,0,1+COUNTIF(DR$3:DR245,"&gt;0"))</f>
        <v>0</v>
      </c>
      <c r="DS246">
        <f>IF(IF(OR(IFERROR(SEARCH("Paladin",$T246,1),0)&gt;0,IFERROR(SEARCH(PaladinOath,$T246,1),0)&gt;0),1,0)*IF($C246=DS$2,1,0)=1,1+COUNTIF(DS$3:DS245,"&gt;0"),0)</f>
        <v>0</v>
      </c>
      <c r="DT246">
        <f>IF(IF(OR(IFERROR(SEARCH("Paladin",$T246,1),0)&gt;0,IFERROR(SEARCH(PaladinOath,$T246,1),0)&gt;0),1,0)*IF($C246=DT$2,1,0)=1,1+COUNTIF(DT$3:DT245,"&gt;0"),0)</f>
        <v>0</v>
      </c>
      <c r="DU246">
        <f>IF(IF(OR(IFERROR(SEARCH("Paladin",$T246,1),0)&gt;0,IFERROR(SEARCH(PaladinOath,$T246,1),0)&gt;0),1,0)*IF($C246=DU$2,1,0)=1,1+COUNTIF(DU$3:DU245,"&gt;0"),0)</f>
        <v>0</v>
      </c>
      <c r="DV246">
        <f>IF(IF(OR(IFERROR(SEARCH("Paladin",$T246,1),0)&gt;0,IFERROR(SEARCH(PaladinOath,$T246,1),0)&gt;0),1,0)*IF($C246=DV$2,1,0)=1,1+COUNTIF(DV$3:DV245,"&gt;0"),0)</f>
        <v>0</v>
      </c>
      <c r="DW246">
        <f>IF(IF(OR(IFERROR(SEARCH("Paladin",$T246,1),0)&gt;0,IFERROR(SEARCH(PaladinOath,$T246,1),0)&gt;0),1,0)*IF($C246=DW$2,1,0)=1,1+COUNTIF(DW$3:DW245,"&gt;0"),0)</f>
        <v>0</v>
      </c>
      <c r="DY246">
        <f t="shared" si="166"/>
        <v>1</v>
      </c>
      <c r="DZ246">
        <f>IF(DY246=0,0,1+MAX(DZ$3:$DZ245))</f>
        <v>244</v>
      </c>
      <c r="EB246">
        <f t="shared" si="180"/>
        <v>0</v>
      </c>
      <c r="EC246">
        <f>IF(EB246=0,0,1+COUNTIF(EC$3:EC245,"&gt;0"))</f>
        <v>0</v>
      </c>
      <c r="ED246" t="str">
        <f t="shared" si="209"/>
        <v/>
      </c>
      <c r="EE246" t="str">
        <f t="shared" si="181"/>
        <v/>
      </c>
      <c r="EG246">
        <f t="shared" si="182"/>
        <v>0</v>
      </c>
      <c r="EH246">
        <f>IF(EG246=0,0,1+COUNTIF(EH$3:EH245,"&gt;0"))</f>
        <v>0</v>
      </c>
      <c r="EI246" t="str">
        <f t="shared" si="210"/>
        <v/>
      </c>
      <c r="EJ246" t="str">
        <f t="shared" si="183"/>
        <v/>
      </c>
      <c r="EL246">
        <f t="shared" si="184"/>
        <v>0</v>
      </c>
      <c r="EM246">
        <f>IF(EL246=0,0,1+COUNTIF(EM$3:EM245,"&gt;0"))</f>
        <v>0</v>
      </c>
      <c r="EN246" t="str">
        <f t="shared" si="211"/>
        <v/>
      </c>
      <c r="EO246" t="str">
        <f t="shared" si="185"/>
        <v/>
      </c>
      <c r="EQ246">
        <f t="shared" si="186"/>
        <v>0</v>
      </c>
      <c r="ER246">
        <f>IF(EQ246=0,0,1+COUNTIF(ER$3:ER245,"&gt;0"))</f>
        <v>0</v>
      </c>
      <c r="ES246" t="str">
        <f t="shared" si="212"/>
        <v/>
      </c>
      <c r="ET246" t="str">
        <f t="shared" si="187"/>
        <v/>
      </c>
      <c r="EV246">
        <f t="shared" si="188"/>
        <v>0</v>
      </c>
      <c r="EW246">
        <f>IF(EV246=0,0,1+COUNTIF(EW$3:EW245,"&gt;0"))</f>
        <v>0</v>
      </c>
      <c r="EX246" t="str">
        <f t="shared" si="213"/>
        <v/>
      </c>
      <c r="EY246" t="str">
        <f t="shared" si="189"/>
        <v/>
      </c>
      <c r="FA246">
        <f t="shared" si="190"/>
        <v>0</v>
      </c>
      <c r="FB246">
        <f>IF(FA246=0,0,1+COUNTIF(FB$3:FB245,"&gt;0"))</f>
        <v>0</v>
      </c>
      <c r="FC246" t="str">
        <f t="shared" si="214"/>
        <v/>
      </c>
      <c r="FD246" t="str">
        <f t="shared" si="191"/>
        <v/>
      </c>
      <c r="FF246">
        <f t="shared" si="192"/>
        <v>0</v>
      </c>
      <c r="FG246">
        <f>IF(FF246=0,0,1+COUNTIF(FG$3:FG245,"&gt;0"))</f>
        <v>0</v>
      </c>
      <c r="FH246" t="str">
        <f t="shared" si="215"/>
        <v/>
      </c>
      <c r="FI246" t="str">
        <f t="shared" si="193"/>
        <v/>
      </c>
      <c r="FK246">
        <f t="shared" si="194"/>
        <v>0</v>
      </c>
      <c r="FL246">
        <f>IF(FK246=0,0,1+COUNTIF(FL$3:FL245,"&gt;0"))</f>
        <v>0</v>
      </c>
      <c r="FM246" t="str">
        <f t="shared" si="216"/>
        <v/>
      </c>
      <c r="FN246" t="str">
        <f t="shared" si="195"/>
        <v/>
      </c>
      <c r="FP246">
        <f t="shared" si="196"/>
        <v>0</v>
      </c>
      <c r="FQ246">
        <f>IF(FP246=0,0,1+COUNTIF(FQ$3:FQ245,"&gt;0"))</f>
        <v>0</v>
      </c>
      <c r="FR246" t="str">
        <f t="shared" si="217"/>
        <v/>
      </c>
      <c r="FS246" t="str">
        <f t="shared" si="197"/>
        <v/>
      </c>
    </row>
    <row r="247" spans="1:175" x14ac:dyDescent="0.25">
      <c r="A247" s="347">
        <f t="shared" si="219"/>
        <v>245</v>
      </c>
      <c r="B247" s="348" t="s">
        <v>2627</v>
      </c>
      <c r="C247" s="348">
        <v>6</v>
      </c>
      <c r="D247" s="347">
        <v>6</v>
      </c>
      <c r="E247" s="627" t="s">
        <v>6952</v>
      </c>
      <c r="F247" s="346"/>
      <c r="G247" s="347" t="str">
        <f>""</f>
        <v/>
      </c>
      <c r="H247" s="347" t="s">
        <v>5912</v>
      </c>
      <c r="I247" s="347" t="s">
        <v>5060</v>
      </c>
      <c r="J247" s="347" t="str">
        <f t="shared" si="167"/>
        <v/>
      </c>
      <c r="K247" s="347" t="s">
        <v>5291</v>
      </c>
      <c r="L247" s="611" t="str">
        <f t="shared" si="168"/>
        <v>V</v>
      </c>
      <c r="M247" s="347" t="s">
        <v>2373</v>
      </c>
      <c r="N247" s="347" t="s">
        <v>3034</v>
      </c>
      <c r="O247" s="347" t="s">
        <v>3034</v>
      </c>
      <c r="P247" s="346" t="str">
        <f>""</f>
        <v/>
      </c>
      <c r="Q247" s="347" t="s">
        <v>5272</v>
      </c>
      <c r="S247" s="346" t="s">
        <v>5783</v>
      </c>
      <c r="T247" s="346" t="str">
        <f t="shared" si="169"/>
        <v xml:space="preserve">Bard, Arcane Trickster, Wizard, </v>
      </c>
      <c r="U247" s="347" t="str">
        <f>$B247</f>
        <v>Otto's Irresistible Dance</v>
      </c>
      <c r="AC247" s="539" t="str">
        <f>B247</f>
        <v>Otto's Irresistible Dance</v>
      </c>
      <c r="AD247" s="347" t="str">
        <f t="shared" si="223"/>
        <v>Otto's Irresistible Dance</v>
      </c>
      <c r="AE247" t="str">
        <f>IF(IFERROR(MATCH($B247,temp!A$4:A$13,0),0)&gt;0,T08_Spells!AE$2,"")</f>
        <v/>
      </c>
      <c r="AF247" t="str">
        <f>IF(IFERROR(MATCH($B247,temp!B$4:B$13,0),0)&gt;0,T08_Spells!AF$2,"")</f>
        <v/>
      </c>
      <c r="AG247" t="str">
        <f>IF(IFERROR(MATCH($B247,temp!C$4:C$13,0),0)&gt;0,T08_Spells!AG$2,"")</f>
        <v/>
      </c>
      <c r="AH247" t="str">
        <f>IF(IFERROR(MATCH($B247,temp!D$4:D$13,0),0)&gt;0,T08_Spells!AH$2,"")</f>
        <v/>
      </c>
      <c r="AI247" t="str">
        <f>IF(IFERROR(MATCH($B247,temp!E$4:E$13,0),0)&gt;0,T08_Spells!AI$2,"")</f>
        <v/>
      </c>
      <c r="AJ247" t="str">
        <f>IF(IFERROR(MATCH($B247,temp!F$4:F$13,0),0)&gt;0,T08_Spells!AJ$2,"")</f>
        <v/>
      </c>
      <c r="AK247" t="str">
        <f>IF(IFERROR(MATCH($B247,temp!G$4:G$13,0),0)&gt;0,T08_Spells!AK$2,"")</f>
        <v/>
      </c>
      <c r="AL247" t="str">
        <f>IF(IFERROR(MATCH($B247,temp!H$4:H$13,0),0)&gt;0,T08_Spells!AL$2,"")</f>
        <v/>
      </c>
      <c r="AM247" t="str">
        <f>IF(IFERROR(MATCH($B247,temp!I$4:I$13,0),0)&gt;0,T08_Spells!AM$2,"")</f>
        <v/>
      </c>
      <c r="AN247" t="str">
        <f>IF(IFERROR(MATCH($B247,temp!J$4:J$13,0),0)&gt;0,T08_Spells!AN$2,"")</f>
        <v/>
      </c>
      <c r="AO247" t="str">
        <f>IF(IFERROR(MATCH($B247,temp!K$4:K$13,0),0)&gt;0,T08_Spells!AO$2,"")</f>
        <v/>
      </c>
      <c r="AP247" t="str">
        <f>IF(IFERROR(MATCH($B247,temp!L$4:L$13,0),0)&gt;0,T08_Spells!AP$2,"")</f>
        <v/>
      </c>
      <c r="AQ247" t="str">
        <f>IF(IFERROR(MATCH($B247,temp!M$4:M$13,0),0)&gt;0,T08_Spells!AQ$2,"")</f>
        <v/>
      </c>
      <c r="AR247" t="str">
        <f>IF(IFERROR(MATCH($B247,temp!N$4:N$13,0),0)&gt;0,T08_Spells!AR$2,"")</f>
        <v/>
      </c>
      <c r="AS247" t="str">
        <f>IF(IFERROR(MATCH($B247,temp!O$4:O$13,0),0)&gt;0,T08_Spells!AS$2,"")</f>
        <v/>
      </c>
      <c r="AT247" t="str">
        <f>IF(IFERROR(MATCH($B247,temp!P$4:P$13,0),0)&gt;0,T08_Spells!AT$2,"")</f>
        <v/>
      </c>
      <c r="AU247" t="str">
        <f>IF(IFERROR(MATCH($B247,temp!Q$4:Q$13,0),0)&gt;0,T08_Spells!AU$2,"")</f>
        <v/>
      </c>
      <c r="AV247" t="str">
        <f>IF(IFERROR(MATCH($B247,temp!R$4:R$13,0),0)&gt;0,T08_Spells!AV$2,"")</f>
        <v/>
      </c>
      <c r="AW247" t="str">
        <f>IF(IFERROR(MATCH($B247,temp!S$4:S$13,0),0)&gt;0,T08_Spells!AW$2,"")</f>
        <v/>
      </c>
      <c r="AX247" t="str">
        <f>IF(IFERROR(MATCH($B247,temp!T$4:T$13,0),0)&gt;0,T08_Spells!AX$2,"")</f>
        <v/>
      </c>
      <c r="AY247" t="str">
        <f>IF(IFERROR(MATCH($B247,temp!U$4:U$13,0),0)&gt;0,T08_Spells!AY$2,"")</f>
        <v/>
      </c>
      <c r="AZ247" t="str">
        <f>IF(IFERROR(MATCH($B247,temp!V$4:V$13,0),0)&gt;0,T08_Spells!AZ$2,"")</f>
        <v/>
      </c>
      <c r="BA247" t="str">
        <f>IF(IFERROR(MATCH($B247,temp!W$4:W$13,0),0)&gt;0,T08_Spells!BA$2,"")</f>
        <v/>
      </c>
      <c r="BC247">
        <f>IF(IFERROR(SEARCH("Ranger",$T247,1),0)&gt;0,1,0)*IF(RangerMaxSpellLevel&gt;=$C247,1,0)*IF(IFERROR(MATCH(B247,Character_Creation!$X$79:$X$382,0),0)&gt;0,0,1)</f>
        <v>0</v>
      </c>
      <c r="BD247">
        <f>IF(BC247=0,0,1+COUNTIF(BD$3:BD246,"&gt;0"))</f>
        <v>0</v>
      </c>
      <c r="BE247" t="str">
        <f t="shared" si="199"/>
        <v/>
      </c>
      <c r="BF247" t="str">
        <f t="shared" si="170"/>
        <v/>
      </c>
      <c r="BH247">
        <f>IF(IFERROR(SEARCH("Sorcerer",$T247,1),0)&gt;0,1,0)*IF(SorcererMaxSpellLevel&gt;=$C247,1,0)*IF(IFERROR(MATCH(B247,Character_Creation!$J$380:$J$394,0),0)&gt;0,0,1)</f>
        <v>0</v>
      </c>
      <c r="BI247">
        <f>IF(BH247=0,0,1+COUNTIF(BI$3:BI246,"&gt;0"))</f>
        <v>0</v>
      </c>
      <c r="BJ247" t="str">
        <f t="shared" si="200"/>
        <v/>
      </c>
      <c r="BK247" t="str">
        <f t="shared" si="171"/>
        <v/>
      </c>
      <c r="BM247">
        <f>IF(OR(IFERROR(SEARCH("Warlock",$T247,1),0)&gt;0,IFERROR(SEARCH(WarlockPatron,$T247,1),0)&gt;0),1,0)*IF(WarlockMaxSpellLevel&gt;=$C247,1,0)*IF(IFERROR(MATCH(B247,Character_Creation!$J$361:$J$375,0),0)&gt;0,0,1)</f>
        <v>0</v>
      </c>
      <c r="BN247">
        <f>IF(BM247=0,0,1+COUNTIF(BN$3:BN246,"&gt;0"))</f>
        <v>0</v>
      </c>
      <c r="BO247" t="str">
        <f t="shared" si="201"/>
        <v/>
      </c>
      <c r="BP247" t="str">
        <f t="shared" si="172"/>
        <v/>
      </c>
      <c r="BR247">
        <f>IF(IFERROR(SEARCH("Eldritch Knight",$T247,1),0)&gt;0,1,0)*IF(EldritchKnightMaxSpellLevel&gt;=$C247,1,0)*IF(IFERROR(MATCH($B247,Character_Creation!$J$350:$J$356,0),0)&gt;0,0,1)*IF(Character_Creation!$M$338&gt;0,1,0)</f>
        <v>0</v>
      </c>
      <c r="BS247">
        <f>IF(BR247=0,0,1+COUNTIF(BS$3:BS246,"&gt;0"))</f>
        <v>0</v>
      </c>
      <c r="BT247" t="str">
        <f t="shared" si="202"/>
        <v/>
      </c>
      <c r="BU247" t="str">
        <f t="shared" si="173"/>
        <v/>
      </c>
      <c r="BW247">
        <f>IF(IFERROR(SEARCH("Arcane Trickster",$T247,1),0)&gt;0,1,0)*IF(ArcaneTricksterMaxSpellLevel&gt;=$C247,1,0)*IF(IFERROR(MATCH($B247,Character_Creation!$J$350:$J$356,0),0)&gt;0,0,1)*IF(Character_Creation!$T$338&gt;0,1,0)</f>
        <v>0</v>
      </c>
      <c r="BX247">
        <f>IF(BW247=0,0,1+COUNTIF(BX$3:BX246,"&gt;0"))</f>
        <v>0</v>
      </c>
      <c r="BY247" t="str">
        <f t="shared" si="203"/>
        <v/>
      </c>
      <c r="BZ247" t="str">
        <f t="shared" si="174"/>
        <v/>
      </c>
      <c r="CB247">
        <f>IF(IFERROR(SEARCH("Wizard",$T247,1),0)&gt;0,1,0)*IF(C247&lt;=ArcaneTricksterMaxSpellLevel,1,0)*IF(IFERROR(MATCH($B247,Character_Creation!$J$350:$J$356,0),0)&gt;0,0,1)*IF(Character_Creation!$T$350&gt;0,1,0)</f>
        <v>0</v>
      </c>
      <c r="CC247">
        <f>IF(CB247=0,0,1+COUNTIF(CC$3:CC246,"&gt;0"))</f>
        <v>0</v>
      </c>
      <c r="CD247" t="str">
        <f t="shared" si="204"/>
        <v/>
      </c>
      <c r="CE247" t="str">
        <f t="shared" si="175"/>
        <v/>
      </c>
      <c r="CG247">
        <f>IF(IFERROR(SEARCH("Wizard",$T247,1),0)&gt;0,1,0)*IF($C247&lt;=EldritchKnightMaxSpellLevel,1,0)*IF(IFERROR(MATCH($B247,Character_Creation!$J$350:$J$356,0),0)&gt;0,0,1)*IF(Character_Creation!$M$350&gt;0,1,0)</f>
        <v>0</v>
      </c>
      <c r="CH247">
        <f>IF(CG247=0,0,1+COUNTIF(CH$3:CH246,"&gt;0"))</f>
        <v>0</v>
      </c>
      <c r="CI247" t="str">
        <f t="shared" si="205"/>
        <v/>
      </c>
      <c r="CJ247" t="str">
        <f t="shared" si="176"/>
        <v/>
      </c>
      <c r="CL247">
        <f>IF(IFERROR(SEARCH("Bard",$T247,1),0)&gt;0,1,0)*IF(BardMaxSpellLevel&gt;=$C247,1,0)*IF(IFERROR(MATCH(B247,Character_Creation!$C$341:$F$362,0),0)&gt;0,0,1)*IF(IFERROR(MATCH($B247,Character_Creation!$C$341:$C$362,0),0)&gt;0,0,1)</f>
        <v>0</v>
      </c>
      <c r="CM247">
        <f>IF(CL247=0,0,1+COUNTIF(CM$3:CM246,"&gt;0"))</f>
        <v>0</v>
      </c>
      <c r="CN247" t="str">
        <f t="shared" si="206"/>
        <v/>
      </c>
      <c r="CO247" t="str">
        <f t="shared" si="177"/>
        <v/>
      </c>
      <c r="CQ247">
        <f>IF(IFERROR(SEARCH("Wizard",$T247,1),0)&gt;0,1,0)*IF(WizardMaxSpellLevel&gt;=$C247,1,0)*IF(IFERROR(MATCH(B247,Character_Creation!$X$341:$X$400,0),0)&gt;0,0,1)*IF(SelectedWizardSpellLevel=$C247,1,0)</f>
        <v>0</v>
      </c>
      <c r="CR247">
        <f>IF(CQ247=0,0,1+COUNTIF(CR$3:CR246,"&gt;0"))</f>
        <v>0</v>
      </c>
      <c r="CS247" t="str">
        <f t="shared" si="207"/>
        <v/>
      </c>
      <c r="CT247" t="str">
        <f t="shared" si="178"/>
        <v/>
      </c>
      <c r="CV247">
        <f>IF(IFERROR(MATCH($B247,Character_Creation!$C$341:$C$362,0),0)&gt;0,0,1)*IF(OR(C247="Cantrip",C247&lt;=BardMaxSpellLevel),1,0)*IF(IFERROR(MATCH($B247,Character_Creation!$C$367:$C$374,0),0)&gt;0,0,1)</f>
        <v>0</v>
      </c>
      <c r="CW247">
        <f>IF(CV247=0,0,1+COUNTIF(CW$3:CW246,"&gt;0"))</f>
        <v>0</v>
      </c>
      <c r="CX247" t="str">
        <f t="shared" si="208"/>
        <v/>
      </c>
      <c r="CY247" t="str">
        <f t="shared" si="179"/>
        <v/>
      </c>
      <c r="DA247">
        <f>IF(IF(OR(IFERROR(SEARCH("Cleric",$T247,1),0)&gt;0,IFERROR(SEARCH(DivineDomain&amp;",",$T247,1),0)&gt;0),1,0)*IF($C247=DA$2,1,0)=1,1+COUNTIF(DA$3:DA246,"&gt;0"),0)</f>
        <v>0</v>
      </c>
      <c r="DB247">
        <f>IF(IF(OR(IFERROR(SEARCH("Cleric",$T247,1),0)&gt;0,IFERROR(SEARCH(DivineDomain&amp;",",$T247,1),0)&gt;0),1,0)*IF($C247=DB$2,1,0)=1,1+COUNTIF(DB$3:DB246,"&gt;0"),0)</f>
        <v>0</v>
      </c>
      <c r="DC247">
        <f>IF(IF(OR(IFERROR(SEARCH("Cleric",$T247,1),0)&gt;0,IFERROR(SEARCH(DivineDomain&amp;",",$T247,1),0)&gt;0),1,0)*IF($C247=DC$2,1,0)=1,1+COUNTIF(DC$3:DC246,"&gt;0"),0)</f>
        <v>0</v>
      </c>
      <c r="DD247">
        <f>IF(IF(OR(IFERROR(SEARCH("Cleric",$T247,1),0)&gt;0,IFERROR(SEARCH(DivineDomain&amp;",",$T247,1),0)&gt;0),1,0)*IF($C247=DD$2,1,0)=1,1+COUNTIF(DD$3:DD246,"&gt;0"),0)</f>
        <v>0</v>
      </c>
      <c r="DE247">
        <f>IF(IF(OR(IFERROR(SEARCH("Cleric",$T247,1),0)&gt;0,IFERROR(SEARCH(DivineDomain&amp;",",$T247,1),0)&gt;0),1,0)*IF($C247=DE$2,1,0)=1,1+COUNTIF(DE$3:DE246,"&gt;0"),0)</f>
        <v>0</v>
      </c>
      <c r="DF247">
        <f>IF(IF(OR(IFERROR(SEARCH("Cleric",$T247,1),0)&gt;0,IFERROR(SEARCH(DivineDomain&amp;",",$T247,1),0)&gt;0),1,0)*IF($C247=DF$2,1,0)=1,1+COUNTIF(DF$3:DF246,"&gt;0"),0)</f>
        <v>0</v>
      </c>
      <c r="DG247">
        <f>IF(IF(OR(IFERROR(SEARCH("Cleric",$T247,1),0)&gt;0,IFERROR(SEARCH(DivineDomain&amp;",",$T247,1),0)&gt;0),1,0)*IF($C247=DG$2,1,0)=1,1+COUNTIF(DG$3:DG246,"&gt;0"),0)</f>
        <v>0</v>
      </c>
      <c r="DH247">
        <f>IF(IF(OR(IFERROR(SEARCH("Cleric",$T247,1),0)&gt;0,IFERROR(SEARCH(DivineDomain&amp;",",$T247,1),0)&gt;0),1,0)*IF($C247=DH$2,1,0)=1,1+COUNTIF(DH$3:DH246,"&gt;0"),0)</f>
        <v>0</v>
      </c>
      <c r="DI247">
        <f>IF(IF(OR(IFERROR(SEARCH("Cleric",$T247,1),0)&gt;0,IFERROR(SEARCH(DivineDomain&amp;",",$T247,1),0)&gt;0),1,0)*IF($C247=DI$2,1,0)=1,1+COUNTIF(DI$3:DI246,"&gt;0"),0)</f>
        <v>0</v>
      </c>
      <c r="DJ247">
        <f>IF(IF(OR(IFERROR(SEARCH("Druid",$T247,1),0)&gt;0,IFERROR(SEARCH(DruidLand1,$T247,1),0)&gt;0,IFERROR(SEARCH(DruidLand2,$T247,1),0)&gt;0,IFERROR(SEARCH(DruidLand3,$T247,1),0)&gt;0,IFERROR(SEARCH(DruidLand4,$T247,1),0)&gt;0),1,0)*IF($C247=1,1,0)*IF($C247=DJ$2,1,0)=0,0,1+COUNTIF(DJ$3:DJ246,"&gt;0"))</f>
        <v>0</v>
      </c>
      <c r="DK247">
        <f>IF(IF(OR(IFERROR(SEARCH("Druid",$T247,1),0)&gt;0,IFERROR(SEARCH(DruidLand1,$T247,1),0)&gt;0,IFERROR(SEARCH(DruidLand2,$T247,1),0)&gt;0,IFERROR(SEARCH(DruidLand3,$T247,1),0)&gt;0,IFERROR(SEARCH(DruidLand4,$T247,1),0)&gt;0),1,0)*IF($C247=1,1,0)*IF($C247=DK$2,1,0)=0,0,1+COUNTIF(DK$3:DK246,"&gt;0"))</f>
        <v>0</v>
      </c>
      <c r="DL247">
        <f>IF(IF(OR(IFERROR(SEARCH("Druid",$T247,1),0)&gt;0,IFERROR(SEARCH(DruidLand1,$T247,1),0)&gt;0,IFERROR(SEARCH(DruidLand2,$T247,1),0)&gt;0,IFERROR(SEARCH(DruidLand3,$T247,1),0)&gt;0,IFERROR(SEARCH(DruidLand4,$T247,1),0)&gt;0),1,0)*IF($C247=1,1,0)*IF($C247=DL$2,1,0)=0,0,1+COUNTIF(DL$3:DL246,"&gt;0"))</f>
        <v>0</v>
      </c>
      <c r="DM247">
        <f>IF(IF(OR(IFERROR(SEARCH("Druid",$T247,1),0)&gt;0,IFERROR(SEARCH(DruidLand1,$T247,1),0)&gt;0,IFERROR(SEARCH(DruidLand2,$T247,1),0)&gt;0,IFERROR(SEARCH(DruidLand3,$T247,1),0)&gt;0,IFERROR(SEARCH(DruidLand4,$T247,1),0)&gt;0),1,0)*IF($C247=1,1,0)*IF($C247=DM$2,1,0)=0,0,1+COUNTIF(DM$3:DM246,"&gt;0"))</f>
        <v>0</v>
      </c>
      <c r="DN247">
        <f>IF(IF(OR(IFERROR(SEARCH("Druid",$T247,1),0)&gt;0,IFERROR(SEARCH(DruidLand1,$T247,1),0)&gt;0,IFERROR(SEARCH(DruidLand2,$T247,1),0)&gt;0,IFERROR(SEARCH(DruidLand3,$T247,1),0)&gt;0,IFERROR(SEARCH(DruidLand4,$T247,1),0)&gt;0),1,0)*IF($C247=1,1,0)*IF($C247=DN$2,1,0)=0,0,1+COUNTIF(DN$3:DN246,"&gt;0"))</f>
        <v>0</v>
      </c>
      <c r="DO247">
        <f>IF(IF(OR(IFERROR(SEARCH("Druid",$T247,1),0)&gt;0,IFERROR(SEARCH(DruidLand1,$T247,1),0)&gt;0,IFERROR(SEARCH(DruidLand2,$T247,1),0)&gt;0,IFERROR(SEARCH(DruidLand3,$T247,1),0)&gt;0,IFERROR(SEARCH(DruidLand4,$T247,1),0)&gt;0),1,0)*IF($C247=1,1,0)*IF($C247=DO$2,1,0)=0,0,1+COUNTIF(DO$3:DO246,"&gt;0"))</f>
        <v>0</v>
      </c>
      <c r="DP247">
        <f>IF(IF(OR(IFERROR(SEARCH("Druid",$T247,1),0)&gt;0,IFERROR(SEARCH(DruidLand1,$T247,1),0)&gt;0,IFERROR(SEARCH(DruidLand2,$T247,1),0)&gt;0,IFERROR(SEARCH(DruidLand3,$T247,1),0)&gt;0,IFERROR(SEARCH(DruidLand4,$T247,1),0)&gt;0),1,0)*IF($C247=1,1,0)*IF($C247=DP$2,1,0)=0,0,1+COUNTIF(DP$3:DP246,"&gt;0"))</f>
        <v>0</v>
      </c>
      <c r="DQ247">
        <f>IF(IF(OR(IFERROR(SEARCH("Druid",$T247,1),0)&gt;0,IFERROR(SEARCH(DruidLand1,$T247,1),0)&gt;0,IFERROR(SEARCH(DruidLand2,$T247,1),0)&gt;0,IFERROR(SEARCH(DruidLand3,$T247,1),0)&gt;0,IFERROR(SEARCH(DruidLand4,$T247,1),0)&gt;0),1,0)*IF($C247=1,1,0)*IF($C247=DQ$2,1,0)=0,0,1+COUNTIF(DQ$3:DQ246,"&gt;0"))</f>
        <v>0</v>
      </c>
      <c r="DR247">
        <f>IF(IF(OR(IFERROR(SEARCH("Druid",$T247,1),0)&gt;0,IFERROR(SEARCH(DruidLand1,$T247,1),0)&gt;0,IFERROR(SEARCH(DruidLand2,$T247,1),0)&gt;0,IFERROR(SEARCH(DruidLand3,$T247,1),0)&gt;0,IFERROR(SEARCH(DruidLand4,$T247,1),0)&gt;0),1,0)*IF($C247=1,1,0)*IF($C247=DR$2,1,0)=0,0,1+COUNTIF(DR$3:DR246,"&gt;0"))</f>
        <v>0</v>
      </c>
      <c r="DS247">
        <f>IF(IF(OR(IFERROR(SEARCH("Paladin",$T247,1),0)&gt;0,IFERROR(SEARCH(PaladinOath,$T247,1),0)&gt;0),1,0)*IF($C247=DS$2,1,0)=1,1+COUNTIF(DS$3:DS246,"&gt;0"),0)</f>
        <v>0</v>
      </c>
      <c r="DT247">
        <f>IF(IF(OR(IFERROR(SEARCH("Paladin",$T247,1),0)&gt;0,IFERROR(SEARCH(PaladinOath,$T247,1),0)&gt;0),1,0)*IF($C247=DT$2,1,0)=1,1+COUNTIF(DT$3:DT246,"&gt;0"),0)</f>
        <v>0</v>
      </c>
      <c r="DU247">
        <f>IF(IF(OR(IFERROR(SEARCH("Paladin",$T247,1),0)&gt;0,IFERROR(SEARCH(PaladinOath,$T247,1),0)&gt;0),1,0)*IF($C247=DU$2,1,0)=1,1+COUNTIF(DU$3:DU246,"&gt;0"),0)</f>
        <v>0</v>
      </c>
      <c r="DV247">
        <f>IF(IF(OR(IFERROR(SEARCH("Paladin",$T247,1),0)&gt;0,IFERROR(SEARCH(PaladinOath,$T247,1),0)&gt;0),1,0)*IF($C247=DV$2,1,0)=1,1+COUNTIF(DV$3:DV246,"&gt;0"),0)</f>
        <v>0</v>
      </c>
      <c r="DW247">
        <f>IF(IF(OR(IFERROR(SEARCH("Paladin",$T247,1),0)&gt;0,IFERROR(SEARCH(PaladinOath,$T247,1),0)&gt;0),1,0)*IF($C247=DW$2,1,0)=1,1+COUNTIF(DW$3:DW246,"&gt;0"),0)</f>
        <v>0</v>
      </c>
      <c r="DY247">
        <f t="shared" si="166"/>
        <v>1</v>
      </c>
      <c r="DZ247">
        <f>IF(DY247=0,0,1+MAX(DZ$3:$DZ246))</f>
        <v>245</v>
      </c>
      <c r="EB247">
        <f t="shared" si="180"/>
        <v>0</v>
      </c>
      <c r="EC247">
        <f>IF(EB247=0,0,1+COUNTIF(EC$3:EC246,"&gt;0"))</f>
        <v>0</v>
      </c>
      <c r="ED247" t="str">
        <f t="shared" si="209"/>
        <v/>
      </c>
      <c r="EE247" t="str">
        <f t="shared" si="181"/>
        <v/>
      </c>
      <c r="EG247">
        <f t="shared" si="182"/>
        <v>0</v>
      </c>
      <c r="EH247">
        <f>IF(EG247=0,0,1+COUNTIF(EH$3:EH246,"&gt;0"))</f>
        <v>0</v>
      </c>
      <c r="EI247" t="str">
        <f t="shared" si="210"/>
        <v/>
      </c>
      <c r="EJ247" t="str">
        <f t="shared" si="183"/>
        <v/>
      </c>
      <c r="EL247">
        <f t="shared" si="184"/>
        <v>0</v>
      </c>
      <c r="EM247">
        <f>IF(EL247=0,0,1+COUNTIF(EM$3:EM246,"&gt;0"))</f>
        <v>0</v>
      </c>
      <c r="EN247" t="str">
        <f t="shared" si="211"/>
        <v/>
      </c>
      <c r="EO247" t="str">
        <f t="shared" si="185"/>
        <v/>
      </c>
      <c r="EQ247">
        <f t="shared" si="186"/>
        <v>0</v>
      </c>
      <c r="ER247">
        <f>IF(EQ247=0,0,1+COUNTIF(ER$3:ER246,"&gt;0"))</f>
        <v>0</v>
      </c>
      <c r="ES247" t="str">
        <f t="shared" si="212"/>
        <v/>
      </c>
      <c r="ET247" t="str">
        <f t="shared" si="187"/>
        <v/>
      </c>
      <c r="EV247">
        <f t="shared" si="188"/>
        <v>0</v>
      </c>
      <c r="EW247">
        <f>IF(EV247=0,0,1+COUNTIF(EW$3:EW246,"&gt;0"))</f>
        <v>0</v>
      </c>
      <c r="EX247" t="str">
        <f t="shared" si="213"/>
        <v/>
      </c>
      <c r="EY247" t="str">
        <f t="shared" si="189"/>
        <v/>
      </c>
      <c r="FA247">
        <f t="shared" si="190"/>
        <v>0</v>
      </c>
      <c r="FB247">
        <f>IF(FA247=0,0,1+COUNTIF(FB$3:FB246,"&gt;0"))</f>
        <v>0</v>
      </c>
      <c r="FC247" t="str">
        <f t="shared" si="214"/>
        <v/>
      </c>
      <c r="FD247" t="str">
        <f t="shared" si="191"/>
        <v/>
      </c>
      <c r="FF247">
        <f t="shared" si="192"/>
        <v>0</v>
      </c>
      <c r="FG247">
        <f>IF(FF247=0,0,1+COUNTIF(FG$3:FG246,"&gt;0"))</f>
        <v>0</v>
      </c>
      <c r="FH247" t="str">
        <f t="shared" si="215"/>
        <v/>
      </c>
      <c r="FI247" t="str">
        <f t="shared" si="193"/>
        <v/>
      </c>
      <c r="FK247">
        <f t="shared" si="194"/>
        <v>0</v>
      </c>
      <c r="FL247">
        <f>IF(FK247=0,0,1+COUNTIF(FL$3:FL246,"&gt;0"))</f>
        <v>0</v>
      </c>
      <c r="FM247" t="str">
        <f t="shared" si="216"/>
        <v/>
      </c>
      <c r="FN247" t="str">
        <f t="shared" si="195"/>
        <v/>
      </c>
      <c r="FP247">
        <f t="shared" si="196"/>
        <v>0</v>
      </c>
      <c r="FQ247">
        <f>IF(FP247=0,0,1+COUNTIF(FQ$3:FQ246,"&gt;0"))</f>
        <v>0</v>
      </c>
      <c r="FR247" t="str">
        <f t="shared" si="217"/>
        <v/>
      </c>
      <c r="FS247" t="str">
        <f t="shared" si="197"/>
        <v/>
      </c>
    </row>
    <row r="248" spans="1:175" x14ac:dyDescent="0.25">
      <c r="A248" s="347">
        <f t="shared" si="219"/>
        <v>246</v>
      </c>
      <c r="B248" s="348" t="s">
        <v>2628</v>
      </c>
      <c r="C248" s="348">
        <v>2</v>
      </c>
      <c r="D248" s="347">
        <v>2</v>
      </c>
      <c r="E248" s="627" t="s">
        <v>6952</v>
      </c>
      <c r="F248" s="346"/>
      <c r="G248" s="347" t="str">
        <f>""</f>
        <v/>
      </c>
      <c r="H248" s="347" t="s">
        <v>5912</v>
      </c>
      <c r="I248" s="347" t="s">
        <v>5283</v>
      </c>
      <c r="J248" s="347" t="str">
        <f t="shared" si="167"/>
        <v/>
      </c>
      <c r="K248" s="347" t="s">
        <v>5284</v>
      </c>
      <c r="L248" s="611" t="str">
        <f t="shared" si="168"/>
        <v>V, S, M, ashes from a burned leaf of mistletoe and a sprig of spruce</v>
      </c>
      <c r="M248" s="347" t="s">
        <v>2373</v>
      </c>
      <c r="N248" s="347" t="s">
        <v>2387</v>
      </c>
      <c r="O248" s="347" t="s">
        <v>1244</v>
      </c>
      <c r="P248" s="346" t="s">
        <v>5448</v>
      </c>
      <c r="Q248" s="347" t="s">
        <v>5270</v>
      </c>
      <c r="S248" s="346" t="s">
        <v>5449</v>
      </c>
      <c r="T248" s="346" t="str">
        <f t="shared" si="169"/>
        <v xml:space="preserve">Ranger, Druid, GrassLand, Trickery, </v>
      </c>
      <c r="W248" s="347" t="str">
        <f>$B248</f>
        <v>Pass without Trace</v>
      </c>
      <c r="AA248" s="347" t="str">
        <f>$B248</f>
        <v>Pass without Trace</v>
      </c>
      <c r="AE248" t="str">
        <f>IF(IFERROR(MATCH($B248,temp!A$4:A$13,0),0)&gt;0,T08_Spells!AE$2,"")</f>
        <v/>
      </c>
      <c r="AF248" t="str">
        <f>IF(IFERROR(MATCH($B248,temp!B$4:B$13,0),0)&gt;0,T08_Spells!AF$2,"")</f>
        <v/>
      </c>
      <c r="AG248" t="str">
        <f>IF(IFERROR(MATCH($B248,temp!C$4:C$13,0),0)&gt;0,T08_Spells!AG$2,"")</f>
        <v/>
      </c>
      <c r="AH248" t="str">
        <f>IF(IFERROR(MATCH($B248,temp!D$4:D$13,0),0)&gt;0,T08_Spells!AH$2,"")</f>
        <v/>
      </c>
      <c r="AI248" t="str">
        <f>IF(IFERROR(MATCH($B248,temp!E$4:E$13,0),0)&gt;0,T08_Spells!AI$2,"")</f>
        <v/>
      </c>
      <c r="AJ248" t="str">
        <f>IF(IFERROR(MATCH($B248,temp!F$4:F$13,0),0)&gt;0,T08_Spells!AJ$2,"")</f>
        <v/>
      </c>
      <c r="AK248" t="str">
        <f>IF(IFERROR(MATCH($B248,temp!G$4:G$13,0),0)&gt;0,T08_Spells!AK$2,"")</f>
        <v/>
      </c>
      <c r="AL248" t="str">
        <f>IF(IFERROR(MATCH($B248,temp!H$4:H$13,0),0)&gt;0,T08_Spells!AL$2,"")</f>
        <v/>
      </c>
      <c r="AM248" t="str">
        <f>IF(IFERROR(MATCH($B248,temp!I$4:I$13,0),0)&gt;0,T08_Spells!AM$2,"")</f>
        <v/>
      </c>
      <c r="AN248" t="str">
        <f>IF(IFERROR(MATCH($B248,temp!J$4:J$13,0),0)&gt;0,T08_Spells!AN$2,"")</f>
        <v/>
      </c>
      <c r="AO248" t="str">
        <f>IF(IFERROR(MATCH($B248,temp!K$4:K$13,0),0)&gt;0,T08_Spells!AO$2,"")</f>
        <v/>
      </c>
      <c r="AP248" t="str">
        <f>IF(IFERROR(MATCH($B248,temp!L$4:L$13,0),0)&gt;0,T08_Spells!AP$2,"")</f>
        <v>Grassland</v>
      </c>
      <c r="AQ248" t="str">
        <f>IF(IFERROR(MATCH($B248,temp!M$4:M$13,0),0)&gt;0,T08_Spells!AQ$2,"")</f>
        <v/>
      </c>
      <c r="AR248" t="str">
        <f>IF(IFERROR(MATCH($B248,temp!N$4:N$13,0),0)&gt;0,T08_Spells!AR$2,"")</f>
        <v/>
      </c>
      <c r="AS248" t="str">
        <f>IF(IFERROR(MATCH($B248,temp!O$4:O$13,0),0)&gt;0,T08_Spells!AS$2,"")</f>
        <v/>
      </c>
      <c r="AT248" t="str">
        <f>IF(IFERROR(MATCH($B248,temp!P$4:P$13,0),0)&gt;0,T08_Spells!AT$2,"")</f>
        <v/>
      </c>
      <c r="AU248" t="str">
        <f>IF(IFERROR(MATCH($B248,temp!Q$4:Q$13,0),0)&gt;0,T08_Spells!AU$2,"")</f>
        <v/>
      </c>
      <c r="AV248" t="str">
        <f>IF(IFERROR(MATCH($B248,temp!R$4:R$13,0),0)&gt;0,T08_Spells!AV$2,"")</f>
        <v/>
      </c>
      <c r="AW248" t="str">
        <f>IF(IFERROR(MATCH($B248,temp!S$4:S$13,0),0)&gt;0,T08_Spells!AW$2,"")</f>
        <v/>
      </c>
      <c r="AX248" t="str">
        <f>IF(IFERROR(MATCH($B248,temp!T$4:T$13,0),0)&gt;0,T08_Spells!AX$2,"")</f>
        <v/>
      </c>
      <c r="AY248" t="str">
        <f>IF(IFERROR(MATCH($B248,temp!U$4:U$13,0),0)&gt;0,T08_Spells!AY$2,"")</f>
        <v>Trickery</v>
      </c>
      <c r="AZ248" t="str">
        <f>IF(IFERROR(MATCH($B248,temp!V$4:V$13,0),0)&gt;0,T08_Spells!AZ$2,"")</f>
        <v/>
      </c>
      <c r="BA248" t="str">
        <f>IF(IFERROR(MATCH($B248,temp!W$4:W$13,0),0)&gt;0,T08_Spells!BA$2,"")</f>
        <v/>
      </c>
      <c r="BC248">
        <f>IF(IFERROR(SEARCH("Ranger",$T248,1),0)&gt;0,1,0)*IF(RangerMaxSpellLevel&gt;=$C248,1,0)*IF(IFERROR(MATCH(B248,Character_Creation!$X$79:$X$382,0),0)&gt;0,0,1)</f>
        <v>0</v>
      </c>
      <c r="BD248">
        <f>IF(BC248=0,0,1+COUNTIF(BD$3:BD247,"&gt;0"))</f>
        <v>0</v>
      </c>
      <c r="BE248" t="str">
        <f t="shared" si="199"/>
        <v/>
      </c>
      <c r="BF248" t="str">
        <f t="shared" si="170"/>
        <v/>
      </c>
      <c r="BH248">
        <f>IF(IFERROR(SEARCH("Sorcerer",$T248,1),0)&gt;0,1,0)*IF(SorcererMaxSpellLevel&gt;=$C248,1,0)*IF(IFERROR(MATCH(B248,Character_Creation!$J$380:$J$394,0),0)&gt;0,0,1)</f>
        <v>0</v>
      </c>
      <c r="BI248">
        <f>IF(BH248=0,0,1+COUNTIF(BI$3:BI247,"&gt;0"))</f>
        <v>0</v>
      </c>
      <c r="BJ248" t="str">
        <f t="shared" si="200"/>
        <v/>
      </c>
      <c r="BK248" t="str">
        <f t="shared" si="171"/>
        <v/>
      </c>
      <c r="BM248">
        <f>IF(OR(IFERROR(SEARCH("Warlock",$T248,1),0)&gt;0,IFERROR(SEARCH(WarlockPatron,$T248,1),0)&gt;0),1,0)*IF(WarlockMaxSpellLevel&gt;=$C248,1,0)*IF(IFERROR(MATCH(B248,Character_Creation!$J$361:$J$375,0),0)&gt;0,0,1)</f>
        <v>0</v>
      </c>
      <c r="BN248">
        <f>IF(BM248=0,0,1+COUNTIF(BN$3:BN247,"&gt;0"))</f>
        <v>0</v>
      </c>
      <c r="BO248" t="str">
        <f t="shared" si="201"/>
        <v/>
      </c>
      <c r="BP248" t="str">
        <f t="shared" si="172"/>
        <v/>
      </c>
      <c r="BR248">
        <f>IF(IFERROR(SEARCH("Eldritch Knight",$T248,1),0)&gt;0,1,0)*IF(EldritchKnightMaxSpellLevel&gt;=$C248,1,0)*IF(IFERROR(MATCH($B248,Character_Creation!$J$350:$J$356,0),0)&gt;0,0,1)*IF(Character_Creation!$M$338&gt;0,1,0)</f>
        <v>0</v>
      </c>
      <c r="BS248">
        <f>IF(BR248=0,0,1+COUNTIF(BS$3:BS247,"&gt;0"))</f>
        <v>0</v>
      </c>
      <c r="BT248" t="str">
        <f t="shared" si="202"/>
        <v/>
      </c>
      <c r="BU248" t="str">
        <f t="shared" si="173"/>
        <v/>
      </c>
      <c r="BW248">
        <f>IF(IFERROR(SEARCH("Arcane Trickster",$T248,1),0)&gt;0,1,0)*IF(ArcaneTricksterMaxSpellLevel&gt;=$C248,1,0)*IF(IFERROR(MATCH($B248,Character_Creation!$J$350:$J$356,0),0)&gt;0,0,1)*IF(Character_Creation!$T$338&gt;0,1,0)</f>
        <v>0</v>
      </c>
      <c r="BX248">
        <f>IF(BW248=0,0,1+COUNTIF(BX$3:BX247,"&gt;0"))</f>
        <v>0</v>
      </c>
      <c r="BY248" t="str">
        <f t="shared" si="203"/>
        <v/>
      </c>
      <c r="BZ248" t="str">
        <f t="shared" si="174"/>
        <v/>
      </c>
      <c r="CB248">
        <f>IF(IFERROR(SEARCH("Wizard",$T248,1),0)&gt;0,1,0)*IF(C248&lt;=ArcaneTricksterMaxSpellLevel,1,0)*IF(IFERROR(MATCH($B248,Character_Creation!$J$350:$J$356,0),0)&gt;0,0,1)*IF(Character_Creation!$T$350&gt;0,1,0)</f>
        <v>0</v>
      </c>
      <c r="CC248">
        <f>IF(CB248=0,0,1+COUNTIF(CC$3:CC247,"&gt;0"))</f>
        <v>0</v>
      </c>
      <c r="CD248" t="str">
        <f t="shared" si="204"/>
        <v/>
      </c>
      <c r="CE248" t="str">
        <f t="shared" si="175"/>
        <v/>
      </c>
      <c r="CG248">
        <f>IF(IFERROR(SEARCH("Wizard",$T248,1),0)&gt;0,1,0)*IF($C248&lt;=EldritchKnightMaxSpellLevel,1,0)*IF(IFERROR(MATCH($B248,Character_Creation!$J$350:$J$356,0),0)&gt;0,0,1)*IF(Character_Creation!$M$350&gt;0,1,0)</f>
        <v>0</v>
      </c>
      <c r="CH248">
        <f>IF(CG248=0,0,1+COUNTIF(CH$3:CH247,"&gt;0"))</f>
        <v>0</v>
      </c>
      <c r="CI248" t="str">
        <f t="shared" si="205"/>
        <v/>
      </c>
      <c r="CJ248" t="str">
        <f t="shared" si="176"/>
        <v/>
      </c>
      <c r="CL248">
        <f>IF(IFERROR(SEARCH("Bard",$T248,1),0)&gt;0,1,0)*IF(BardMaxSpellLevel&gt;=$C248,1,0)*IF(IFERROR(MATCH(B248,Character_Creation!$C$341:$F$362,0),0)&gt;0,0,1)*IF(IFERROR(MATCH($B248,Character_Creation!$C$341:$C$362,0),0)&gt;0,0,1)</f>
        <v>0</v>
      </c>
      <c r="CM248">
        <f>IF(CL248=0,0,1+COUNTIF(CM$3:CM247,"&gt;0"))</f>
        <v>0</v>
      </c>
      <c r="CN248" t="str">
        <f t="shared" si="206"/>
        <v/>
      </c>
      <c r="CO248" t="str">
        <f t="shared" si="177"/>
        <v/>
      </c>
      <c r="CQ248">
        <f>IF(IFERROR(SEARCH("Wizard",$T248,1),0)&gt;0,1,0)*IF(WizardMaxSpellLevel&gt;=$C248,1,0)*IF(IFERROR(MATCH(B248,Character_Creation!$X$341:$X$400,0),0)&gt;0,0,1)*IF(SelectedWizardSpellLevel=$C248,1,0)</f>
        <v>0</v>
      </c>
      <c r="CR248">
        <f>IF(CQ248=0,0,1+COUNTIF(CR$3:CR247,"&gt;0"))</f>
        <v>0</v>
      </c>
      <c r="CS248" t="str">
        <f t="shared" si="207"/>
        <v/>
      </c>
      <c r="CT248" t="str">
        <f t="shared" si="178"/>
        <v/>
      </c>
      <c r="CV248">
        <f>IF(IFERROR(MATCH($B248,Character_Creation!$C$341:$C$362,0),0)&gt;0,0,1)*IF(OR(C248="Cantrip",C248&lt;=BardMaxSpellLevel),1,0)*IF(IFERROR(MATCH($B248,Character_Creation!$C$367:$C$374,0),0)&gt;0,0,1)</f>
        <v>0</v>
      </c>
      <c r="CW248">
        <f>IF(CV248=0,0,1+COUNTIF(CW$3:CW247,"&gt;0"))</f>
        <v>0</v>
      </c>
      <c r="CX248" t="str">
        <f t="shared" si="208"/>
        <v/>
      </c>
      <c r="CY248" t="str">
        <f t="shared" si="179"/>
        <v/>
      </c>
      <c r="DA248">
        <f>IF(IF(OR(IFERROR(SEARCH("Cleric",$T248,1),0)&gt;0,IFERROR(SEARCH(DivineDomain&amp;",",$T248,1),0)&gt;0),1,0)*IF($C248=DA$2,1,0)=1,1+COUNTIF(DA$3:DA247,"&gt;0"),0)</f>
        <v>0</v>
      </c>
      <c r="DB248">
        <f>IF(IF(OR(IFERROR(SEARCH("Cleric",$T248,1),0)&gt;0,IFERROR(SEARCH(DivineDomain&amp;",",$T248,1),0)&gt;0),1,0)*IF($C248=DB$2,1,0)=1,1+COUNTIF(DB$3:DB247,"&gt;0"),0)</f>
        <v>0</v>
      </c>
      <c r="DC248">
        <f>IF(IF(OR(IFERROR(SEARCH("Cleric",$T248,1),0)&gt;0,IFERROR(SEARCH(DivineDomain&amp;",",$T248,1),0)&gt;0),1,0)*IF($C248=DC$2,1,0)=1,1+COUNTIF(DC$3:DC247,"&gt;0"),0)</f>
        <v>0</v>
      </c>
      <c r="DD248">
        <f>IF(IF(OR(IFERROR(SEARCH("Cleric",$T248,1),0)&gt;0,IFERROR(SEARCH(DivineDomain&amp;",",$T248,1),0)&gt;0),1,0)*IF($C248=DD$2,1,0)=1,1+COUNTIF(DD$3:DD247,"&gt;0"),0)</f>
        <v>0</v>
      </c>
      <c r="DE248">
        <f>IF(IF(OR(IFERROR(SEARCH("Cleric",$T248,1),0)&gt;0,IFERROR(SEARCH(DivineDomain&amp;",",$T248,1),0)&gt;0),1,0)*IF($C248=DE$2,1,0)=1,1+COUNTIF(DE$3:DE247,"&gt;0"),0)</f>
        <v>0</v>
      </c>
      <c r="DF248">
        <f>IF(IF(OR(IFERROR(SEARCH("Cleric",$T248,1),0)&gt;0,IFERROR(SEARCH(DivineDomain&amp;",",$T248,1),0)&gt;0),1,0)*IF($C248=DF$2,1,0)=1,1+COUNTIF(DF$3:DF247,"&gt;0"),0)</f>
        <v>0</v>
      </c>
      <c r="DG248">
        <f>IF(IF(OR(IFERROR(SEARCH("Cleric",$T248,1),0)&gt;0,IFERROR(SEARCH(DivineDomain&amp;",",$T248,1),0)&gt;0),1,0)*IF($C248=DG$2,1,0)=1,1+COUNTIF(DG$3:DG247,"&gt;0"),0)</f>
        <v>0</v>
      </c>
      <c r="DH248">
        <f>IF(IF(OR(IFERROR(SEARCH("Cleric",$T248,1),0)&gt;0,IFERROR(SEARCH(DivineDomain&amp;",",$T248,1),0)&gt;0),1,0)*IF($C248=DH$2,1,0)=1,1+COUNTIF(DH$3:DH247,"&gt;0"),0)</f>
        <v>0</v>
      </c>
      <c r="DI248">
        <f>IF(IF(OR(IFERROR(SEARCH("Cleric",$T248,1),0)&gt;0,IFERROR(SEARCH(DivineDomain&amp;",",$T248,1),0)&gt;0),1,0)*IF($C248=DI$2,1,0)=1,1+COUNTIF(DI$3:DI247,"&gt;0"),0)</f>
        <v>0</v>
      </c>
      <c r="DJ248">
        <f>IF(IF(OR(IFERROR(SEARCH("Druid",$T248,1),0)&gt;0,IFERROR(SEARCH(DruidLand1,$T248,1),0)&gt;0,IFERROR(SEARCH(DruidLand2,$T248,1),0)&gt;0,IFERROR(SEARCH(DruidLand3,$T248,1),0)&gt;0,IFERROR(SEARCH(DruidLand4,$T248,1),0)&gt;0),1,0)*IF($C248=1,1,0)*IF($C248=DJ$2,1,0)=0,0,1+COUNTIF(DJ$3:DJ247,"&gt;0"))</f>
        <v>0</v>
      </c>
      <c r="DK248">
        <f>IF(IF(OR(IFERROR(SEARCH("Druid",$T248,1),0)&gt;0,IFERROR(SEARCH(DruidLand1,$T248,1),0)&gt;0,IFERROR(SEARCH(DruidLand2,$T248,1),0)&gt;0,IFERROR(SEARCH(DruidLand3,$T248,1),0)&gt;0,IFERROR(SEARCH(DruidLand4,$T248,1),0)&gt;0),1,0)*IF($C248=DK$2,1,0)=0,0,1+COUNTIF(DK$3:DK247,"&gt;0"))</f>
        <v>15</v>
      </c>
      <c r="DL248">
        <f>IF(IF(OR(IFERROR(SEARCH("Druid",$T248,1),0)&gt;0,IFERROR(SEARCH(DruidLand1,$T248,1),0)&gt;0,IFERROR(SEARCH(DruidLand2,$T248,1),0)&gt;0,IFERROR(SEARCH(DruidLand3,$T248,1),0)&gt;0,IFERROR(SEARCH(DruidLand4,$T248,1),0)&gt;0),1,0)*IF($C248=DL$2,1,0)=0,0,1+COUNTIF(DL$3:DL247,"&gt;0"))</f>
        <v>0</v>
      </c>
      <c r="DM248">
        <f>IF(IF(OR(IFERROR(SEARCH("Druid",$T248,1),0)&gt;0,IFERROR(SEARCH(DruidLand1,$T248,1),0)&gt;0,IFERROR(SEARCH(DruidLand2,$T248,1),0)&gt;0,IFERROR(SEARCH(DruidLand3,$T248,1),0)&gt;0,IFERROR(SEARCH(DruidLand4,$T248,1),0)&gt;0),1,0)*IF($C248=DM$2,1,0)=0,0,1+COUNTIF(DM$3:DM247,"&gt;0"))</f>
        <v>0</v>
      </c>
      <c r="DN248">
        <f>IF(IF(OR(IFERROR(SEARCH("Druid",$T248,1),0)&gt;0,IFERROR(SEARCH(DruidLand1,$T248,1),0)&gt;0,IFERROR(SEARCH(DruidLand2,$T248,1),0)&gt;0,IFERROR(SEARCH(DruidLand3,$T248,1),0)&gt;0,IFERROR(SEARCH(DruidLand4,$T248,1),0)&gt;0),1,0)*IF($C248=DN$2,1,0)=0,0,1+COUNTIF(DN$3:DN247,"&gt;0"))</f>
        <v>0</v>
      </c>
      <c r="DO248">
        <f>IF(IF(OR(IFERROR(SEARCH("Druid",$T248,1),0)&gt;0,IFERROR(SEARCH(DruidLand1,$T248,1),0)&gt;0,IFERROR(SEARCH(DruidLand2,$T248,1),0)&gt;0,IFERROR(SEARCH(DruidLand3,$T248,1),0)&gt;0,IFERROR(SEARCH(DruidLand4,$T248,1),0)&gt;0),1,0)*IF($C248=DO$2,1,0)=0,0,1+COUNTIF(DO$3:DO247,"&gt;0"))</f>
        <v>0</v>
      </c>
      <c r="DP248">
        <f>IF(IF(OR(IFERROR(SEARCH("Druid",$T248,1),0)&gt;0,IFERROR(SEARCH(DruidLand1,$T248,1),0)&gt;0,IFERROR(SEARCH(DruidLand2,$T248,1),0)&gt;0,IFERROR(SEARCH(DruidLand3,$T248,1),0)&gt;0,IFERROR(SEARCH(DruidLand4,$T248,1),0)&gt;0),1,0)*IF($C248=DP$2,1,0)=0,0,1+COUNTIF(DP$3:DP247,"&gt;0"))</f>
        <v>0</v>
      </c>
      <c r="DQ248">
        <f>IF(IF(OR(IFERROR(SEARCH("Druid",$T248,1),0)&gt;0,IFERROR(SEARCH(DruidLand1,$T248,1),0)&gt;0,IFERROR(SEARCH(DruidLand2,$T248,1),0)&gt;0,IFERROR(SEARCH(DruidLand3,$T248,1),0)&gt;0,IFERROR(SEARCH(DruidLand4,$T248,1),0)&gt;0),1,0)*IF($C248=DQ$2,1,0)=0,0,1+COUNTIF(DQ$3:DQ247,"&gt;0"))</f>
        <v>0</v>
      </c>
      <c r="DR248">
        <f>IF(IF(OR(IFERROR(SEARCH("Druid",$T248,1),0)&gt;0,IFERROR(SEARCH(DruidLand1,$T248,1),0)&gt;0,IFERROR(SEARCH(DruidLand2,$T248,1),0)&gt;0,IFERROR(SEARCH(DruidLand3,$T248,1),0)&gt;0,IFERROR(SEARCH(DruidLand4,$T248,1),0)&gt;0),1,0)*IF($C248=DR$2,1,0)=0,0,1+COUNTIF(DR$3:DR247,"&gt;0"))</f>
        <v>0</v>
      </c>
      <c r="DS248">
        <f>IF(IF(OR(IFERROR(SEARCH("Paladin",$T248,1),0)&gt;0,IFERROR(SEARCH(PaladinOath,$T248,1),0)&gt;0),1,0)*IF($C248=DS$2,1,0)=1,1+COUNTIF(DS$3:DS247,"&gt;0"),0)</f>
        <v>0</v>
      </c>
      <c r="DT248">
        <f>IF(IF(OR(IFERROR(SEARCH("Paladin",$T248,1),0)&gt;0,IFERROR(SEARCH(PaladinOath,$T248,1),0)&gt;0),1,0)*IF($C248=DT$2,1,0)=1,1+COUNTIF(DT$3:DT247,"&gt;0"),0)</f>
        <v>0</v>
      </c>
      <c r="DU248">
        <f>IF(IF(OR(IFERROR(SEARCH("Paladin",$T248,1),0)&gt;0,IFERROR(SEARCH(PaladinOath,$T248,1),0)&gt;0),1,0)*IF($C248=DU$2,1,0)=1,1+COUNTIF(DU$3:DU247,"&gt;0"),0)</f>
        <v>0</v>
      </c>
      <c r="DV248">
        <f>IF(IF(OR(IFERROR(SEARCH("Paladin",$T248,1),0)&gt;0,IFERROR(SEARCH(PaladinOath,$T248,1),0)&gt;0),1,0)*IF($C248=DV$2,1,0)=1,1+COUNTIF(DV$3:DV247,"&gt;0"),0)</f>
        <v>0</v>
      </c>
      <c r="DW248">
        <f>IF(IF(OR(IFERROR(SEARCH("Paladin",$T248,1),0)&gt;0,IFERROR(SEARCH(PaladinOath,$T248,1),0)&gt;0),1,0)*IF($C248=DW$2,1,0)=1,1+COUNTIF(DW$3:DW247,"&gt;0"),0)</f>
        <v>0</v>
      </c>
      <c r="DY248">
        <f t="shared" si="166"/>
        <v>1</v>
      </c>
      <c r="DZ248">
        <f>IF(DY248=0,0,1+MAX(DZ$3:$DZ247))</f>
        <v>246</v>
      </c>
      <c r="EB248">
        <f t="shared" si="180"/>
        <v>0</v>
      </c>
      <c r="EC248">
        <f>IF(EB248=0,0,1+COUNTIF(EC$3:EC247,"&gt;0"))</f>
        <v>0</v>
      </c>
      <c r="ED248" t="str">
        <f t="shared" si="209"/>
        <v/>
      </c>
      <c r="EE248" t="str">
        <f t="shared" si="181"/>
        <v/>
      </c>
      <c r="EG248">
        <f t="shared" si="182"/>
        <v>0</v>
      </c>
      <c r="EH248">
        <f>IF(EG248=0,0,1+COUNTIF(EH$3:EH247,"&gt;0"))</f>
        <v>0</v>
      </c>
      <c r="EI248" t="str">
        <f t="shared" si="210"/>
        <v/>
      </c>
      <c r="EJ248" t="str">
        <f t="shared" si="183"/>
        <v/>
      </c>
      <c r="EL248">
        <f t="shared" si="184"/>
        <v>0</v>
      </c>
      <c r="EM248">
        <f>IF(EL248=0,0,1+COUNTIF(EM$3:EM247,"&gt;0"))</f>
        <v>0</v>
      </c>
      <c r="EN248" t="str">
        <f t="shared" si="211"/>
        <v/>
      </c>
      <c r="EO248" t="str">
        <f t="shared" si="185"/>
        <v/>
      </c>
      <c r="EQ248">
        <f t="shared" si="186"/>
        <v>0</v>
      </c>
      <c r="ER248">
        <f>IF(EQ248=0,0,1+COUNTIF(ER$3:ER247,"&gt;0"))</f>
        <v>0</v>
      </c>
      <c r="ES248" t="str">
        <f t="shared" si="212"/>
        <v/>
      </c>
      <c r="ET248" t="str">
        <f t="shared" si="187"/>
        <v/>
      </c>
      <c r="EV248">
        <f t="shared" si="188"/>
        <v>0</v>
      </c>
      <c r="EW248">
        <f>IF(EV248=0,0,1+COUNTIF(EW$3:EW247,"&gt;0"))</f>
        <v>0</v>
      </c>
      <c r="EX248" t="str">
        <f t="shared" si="213"/>
        <v/>
      </c>
      <c r="EY248" t="str">
        <f t="shared" si="189"/>
        <v/>
      </c>
      <c r="FA248">
        <f t="shared" si="190"/>
        <v>0</v>
      </c>
      <c r="FB248">
        <f>IF(FA248=0,0,1+COUNTIF(FB$3:FB247,"&gt;0"))</f>
        <v>0</v>
      </c>
      <c r="FC248" t="str">
        <f t="shared" si="214"/>
        <v/>
      </c>
      <c r="FD248" t="str">
        <f t="shared" si="191"/>
        <v/>
      </c>
      <c r="FF248">
        <f t="shared" si="192"/>
        <v>0</v>
      </c>
      <c r="FG248">
        <f>IF(FF248=0,0,1+COUNTIF(FG$3:FG247,"&gt;0"))</f>
        <v>0</v>
      </c>
      <c r="FH248" t="str">
        <f t="shared" si="215"/>
        <v/>
      </c>
      <c r="FI248" t="str">
        <f t="shared" si="193"/>
        <v/>
      </c>
      <c r="FK248">
        <f t="shared" si="194"/>
        <v>0</v>
      </c>
      <c r="FL248">
        <f>IF(FK248=0,0,1+COUNTIF(FL$3:FL247,"&gt;0"))</f>
        <v>0</v>
      </c>
      <c r="FM248" t="str">
        <f t="shared" si="216"/>
        <v/>
      </c>
      <c r="FN248" t="str">
        <f t="shared" si="195"/>
        <v/>
      </c>
      <c r="FP248">
        <f t="shared" si="196"/>
        <v>0</v>
      </c>
      <c r="FQ248">
        <f>IF(FP248=0,0,1+COUNTIF(FQ$3:FQ247,"&gt;0"))</f>
        <v>0</v>
      </c>
      <c r="FR248" t="str">
        <f t="shared" si="217"/>
        <v/>
      </c>
      <c r="FS248" t="str">
        <f t="shared" si="197"/>
        <v/>
      </c>
    </row>
    <row r="249" spans="1:175" x14ac:dyDescent="0.25">
      <c r="A249" s="347">
        <f t="shared" si="219"/>
        <v>247</v>
      </c>
      <c r="B249" s="348" t="s">
        <v>2629</v>
      </c>
      <c r="C249" s="348">
        <v>5</v>
      </c>
      <c r="D249" s="347">
        <v>5</v>
      </c>
      <c r="E249" s="627" t="s">
        <v>6952</v>
      </c>
      <c r="F249" s="346"/>
      <c r="G249" s="347" t="str">
        <f>""</f>
        <v/>
      </c>
      <c r="H249" s="347" t="s">
        <v>5912</v>
      </c>
      <c r="I249" s="347" t="s">
        <v>5060</v>
      </c>
      <c r="J249" s="347" t="str">
        <f t="shared" si="167"/>
        <v/>
      </c>
      <c r="K249" s="347" t="s">
        <v>5293</v>
      </c>
      <c r="L249" s="611" t="str">
        <f t="shared" si="168"/>
        <v>V, S, M, a pinch of sesame seeds</v>
      </c>
      <c r="M249" s="347" t="s">
        <v>2373</v>
      </c>
      <c r="N249" s="347" t="s">
        <v>2387</v>
      </c>
      <c r="O249" s="347" t="s">
        <v>1244</v>
      </c>
      <c r="P249" s="346" t="s">
        <v>5450</v>
      </c>
      <c r="Q249" s="347" t="s">
        <v>5276</v>
      </c>
      <c r="S249" s="346" t="s">
        <v>5784</v>
      </c>
      <c r="T249" s="346" t="str">
        <f t="shared" si="169"/>
        <v xml:space="preserve">Wizard, Mountain, </v>
      </c>
      <c r="AD249" s="347" t="str">
        <f>$B249</f>
        <v>Passwall</v>
      </c>
      <c r="AE249" t="str">
        <f>IF(IFERROR(MATCH($B249,temp!A$4:A$13,0),0)&gt;0,T08_Spells!AE$2,"")</f>
        <v/>
      </c>
      <c r="AF249" t="str">
        <f>IF(IFERROR(MATCH($B249,temp!B$4:B$13,0),0)&gt;0,T08_Spells!AF$2,"")</f>
        <v/>
      </c>
      <c r="AG249" t="str">
        <f>IF(IFERROR(MATCH($B249,temp!C$4:C$13,0),0)&gt;0,T08_Spells!AG$2,"")</f>
        <v/>
      </c>
      <c r="AH249" t="str">
        <f>IF(IFERROR(MATCH($B249,temp!D$4:D$13,0),0)&gt;0,T08_Spells!AH$2,"")</f>
        <v/>
      </c>
      <c r="AI249" t="str">
        <f>IF(IFERROR(MATCH($B249,temp!E$4:E$13,0),0)&gt;0,T08_Spells!AI$2,"")</f>
        <v/>
      </c>
      <c r="AJ249" t="str">
        <f>IF(IFERROR(MATCH($B249,temp!F$4:F$13,0),0)&gt;0,T08_Spells!AJ$2,"")</f>
        <v/>
      </c>
      <c r="AK249" t="str">
        <f>IF(IFERROR(MATCH($B249,temp!G$4:G$13,0),0)&gt;0,T08_Spells!AK$2,"")</f>
        <v/>
      </c>
      <c r="AL249" t="str">
        <f>IF(IFERROR(MATCH($B249,temp!H$4:H$13,0),0)&gt;0,T08_Spells!AL$2,"")</f>
        <v/>
      </c>
      <c r="AM249" t="str">
        <f>IF(IFERROR(MATCH($B249,temp!I$4:I$13,0),0)&gt;0,T08_Spells!AM$2,"")</f>
        <v/>
      </c>
      <c r="AN249" t="str">
        <f>IF(IFERROR(MATCH($B249,temp!J$4:J$13,0),0)&gt;0,T08_Spells!AN$2,"")</f>
        <v/>
      </c>
      <c r="AO249" t="str">
        <f>IF(IFERROR(MATCH($B249,temp!K$4:K$13,0),0)&gt;0,T08_Spells!AO$2,"")</f>
        <v/>
      </c>
      <c r="AP249" t="str">
        <f>IF(IFERROR(MATCH($B249,temp!L$4:L$13,0),0)&gt;0,T08_Spells!AP$2,"")</f>
        <v/>
      </c>
      <c r="AQ249" t="str">
        <f>IF(IFERROR(MATCH($B249,temp!M$4:M$13,0),0)&gt;0,T08_Spells!AQ$2,"")</f>
        <v>Mountain</v>
      </c>
      <c r="AR249" t="str">
        <f>IF(IFERROR(MATCH($B249,temp!N$4:N$13,0),0)&gt;0,T08_Spells!AR$2,"")</f>
        <v/>
      </c>
      <c r="AS249" t="str">
        <f>IF(IFERROR(MATCH($B249,temp!O$4:O$13,0),0)&gt;0,T08_Spells!AS$2,"")</f>
        <v/>
      </c>
      <c r="AT249" t="str">
        <f>IF(IFERROR(MATCH($B249,temp!P$4:P$13,0),0)&gt;0,T08_Spells!AT$2,"")</f>
        <v/>
      </c>
      <c r="AU249" t="str">
        <f>IF(IFERROR(MATCH($B249,temp!Q$4:Q$13,0),0)&gt;0,T08_Spells!AU$2,"")</f>
        <v/>
      </c>
      <c r="AV249" t="str">
        <f>IF(IFERROR(MATCH($B249,temp!R$4:R$13,0),0)&gt;0,T08_Spells!AV$2,"")</f>
        <v/>
      </c>
      <c r="AW249" t="str">
        <f>IF(IFERROR(MATCH($B249,temp!S$4:S$13,0),0)&gt;0,T08_Spells!AW$2,"")</f>
        <v/>
      </c>
      <c r="AX249" t="str">
        <f>IF(IFERROR(MATCH($B249,temp!T$4:T$13,0),0)&gt;0,T08_Spells!AX$2,"")</f>
        <v/>
      </c>
      <c r="AY249" t="str">
        <f>IF(IFERROR(MATCH($B249,temp!U$4:U$13,0),0)&gt;0,T08_Spells!AY$2,"")</f>
        <v/>
      </c>
      <c r="AZ249" t="str">
        <f>IF(IFERROR(MATCH($B249,temp!V$4:V$13,0),0)&gt;0,T08_Spells!AZ$2,"")</f>
        <v/>
      </c>
      <c r="BA249" t="str">
        <f>IF(IFERROR(MATCH($B249,temp!W$4:W$13,0),0)&gt;0,T08_Spells!BA$2,"")</f>
        <v/>
      </c>
      <c r="BC249">
        <f>IF(IFERROR(SEARCH("Ranger",$T249,1),0)&gt;0,1,0)*IF(RangerMaxSpellLevel&gt;=$C249,1,0)*IF(IFERROR(MATCH(B249,Character_Creation!$X$79:$X$382,0),0)&gt;0,0,1)</f>
        <v>0</v>
      </c>
      <c r="BD249">
        <f>IF(BC249=0,0,1+COUNTIF(BD$3:BD248,"&gt;0"))</f>
        <v>0</v>
      </c>
      <c r="BE249" t="str">
        <f t="shared" si="199"/>
        <v/>
      </c>
      <c r="BF249" t="str">
        <f t="shared" si="170"/>
        <v/>
      </c>
      <c r="BH249">
        <f>IF(IFERROR(SEARCH("Sorcerer",$T249,1),0)&gt;0,1,0)*IF(SorcererMaxSpellLevel&gt;=$C249,1,0)*IF(IFERROR(MATCH(B249,Character_Creation!$J$380:$J$394,0),0)&gt;0,0,1)</f>
        <v>0</v>
      </c>
      <c r="BI249">
        <f>IF(BH249=0,0,1+COUNTIF(BI$3:BI248,"&gt;0"))</f>
        <v>0</v>
      </c>
      <c r="BJ249" t="str">
        <f t="shared" si="200"/>
        <v/>
      </c>
      <c r="BK249" t="str">
        <f t="shared" si="171"/>
        <v/>
      </c>
      <c r="BM249">
        <f>IF(OR(IFERROR(SEARCH("Warlock",$T249,1),0)&gt;0,IFERROR(SEARCH(WarlockPatron,$T249,1),0)&gt;0),1,0)*IF(WarlockMaxSpellLevel&gt;=$C249,1,0)*IF(IFERROR(MATCH(B249,Character_Creation!$J$361:$J$375,0),0)&gt;0,0,1)</f>
        <v>0</v>
      </c>
      <c r="BN249">
        <f>IF(BM249=0,0,1+COUNTIF(BN$3:BN248,"&gt;0"))</f>
        <v>0</v>
      </c>
      <c r="BO249" t="str">
        <f t="shared" si="201"/>
        <v/>
      </c>
      <c r="BP249" t="str">
        <f t="shared" si="172"/>
        <v/>
      </c>
      <c r="BR249">
        <f>IF(IFERROR(SEARCH("Eldritch Knight",$T249,1),0)&gt;0,1,0)*IF(EldritchKnightMaxSpellLevel&gt;=$C249,1,0)*IF(IFERROR(MATCH($B249,Character_Creation!$J$350:$J$356,0),0)&gt;0,0,1)*IF(Character_Creation!$M$338&gt;0,1,0)</f>
        <v>0</v>
      </c>
      <c r="BS249">
        <f>IF(BR249=0,0,1+COUNTIF(BS$3:BS248,"&gt;0"))</f>
        <v>0</v>
      </c>
      <c r="BT249" t="str">
        <f t="shared" si="202"/>
        <v/>
      </c>
      <c r="BU249" t="str">
        <f t="shared" si="173"/>
        <v/>
      </c>
      <c r="BW249">
        <f>IF(IFERROR(SEARCH("Arcane Trickster",$T249,1),0)&gt;0,1,0)*IF(ArcaneTricksterMaxSpellLevel&gt;=$C249,1,0)*IF(IFERROR(MATCH($B249,Character_Creation!$J$350:$J$356,0),0)&gt;0,0,1)*IF(Character_Creation!$T$338&gt;0,1,0)</f>
        <v>0</v>
      </c>
      <c r="BX249">
        <f>IF(BW249=0,0,1+COUNTIF(BX$3:BX248,"&gt;0"))</f>
        <v>0</v>
      </c>
      <c r="BY249" t="str">
        <f t="shared" si="203"/>
        <v/>
      </c>
      <c r="BZ249" t="str">
        <f t="shared" si="174"/>
        <v/>
      </c>
      <c r="CB249">
        <f>IF(IFERROR(SEARCH("Wizard",$T249,1),0)&gt;0,1,0)*IF(C249&lt;=ArcaneTricksterMaxSpellLevel,1,0)*IF(IFERROR(MATCH($B249,Character_Creation!$J$350:$J$356,0),0)&gt;0,0,1)*IF(Character_Creation!$T$350&gt;0,1,0)</f>
        <v>0</v>
      </c>
      <c r="CC249">
        <f>IF(CB249=0,0,1+COUNTIF(CC$3:CC248,"&gt;0"))</f>
        <v>0</v>
      </c>
      <c r="CD249" t="str">
        <f t="shared" si="204"/>
        <v/>
      </c>
      <c r="CE249" t="str">
        <f t="shared" si="175"/>
        <v/>
      </c>
      <c r="CG249">
        <f>IF(IFERROR(SEARCH("Wizard",$T249,1),0)&gt;0,1,0)*IF($C249&lt;=EldritchKnightMaxSpellLevel,1,0)*IF(IFERROR(MATCH($B249,Character_Creation!$J$350:$J$356,0),0)&gt;0,0,1)*IF(Character_Creation!$M$350&gt;0,1,0)</f>
        <v>0</v>
      </c>
      <c r="CH249">
        <f>IF(CG249=0,0,1+COUNTIF(CH$3:CH248,"&gt;0"))</f>
        <v>0</v>
      </c>
      <c r="CI249" t="str">
        <f t="shared" si="205"/>
        <v/>
      </c>
      <c r="CJ249" t="str">
        <f t="shared" si="176"/>
        <v/>
      </c>
      <c r="CL249">
        <f>IF(IFERROR(SEARCH("Bard",$T249,1),0)&gt;0,1,0)*IF(BardMaxSpellLevel&gt;=$C249,1,0)*IF(IFERROR(MATCH(B249,Character_Creation!$C$341:$F$362,0),0)&gt;0,0,1)*IF(IFERROR(MATCH($B249,Character_Creation!$C$341:$C$362,0),0)&gt;0,0,1)</f>
        <v>0</v>
      </c>
      <c r="CM249">
        <f>IF(CL249=0,0,1+COUNTIF(CM$3:CM248,"&gt;0"))</f>
        <v>0</v>
      </c>
      <c r="CN249" t="str">
        <f t="shared" si="206"/>
        <v/>
      </c>
      <c r="CO249" t="str">
        <f t="shared" si="177"/>
        <v/>
      </c>
      <c r="CQ249">
        <f>IF(IFERROR(SEARCH("Wizard",$T249,1),0)&gt;0,1,0)*IF(WizardMaxSpellLevel&gt;=$C249,1,0)*IF(IFERROR(MATCH(B249,Character_Creation!$X$341:$X$400,0),0)&gt;0,0,1)*IF(SelectedWizardSpellLevel=$C249,1,0)</f>
        <v>0</v>
      </c>
      <c r="CR249">
        <f>IF(CQ249=0,0,1+COUNTIF(CR$3:CR248,"&gt;0"))</f>
        <v>0</v>
      </c>
      <c r="CS249" t="str">
        <f t="shared" si="207"/>
        <v/>
      </c>
      <c r="CT249" t="str">
        <f t="shared" si="178"/>
        <v/>
      </c>
      <c r="CV249">
        <f>IF(IFERROR(MATCH($B249,Character_Creation!$C$341:$C$362,0),0)&gt;0,0,1)*IF(OR(C249="Cantrip",C249&lt;=BardMaxSpellLevel),1,0)*IF(IFERROR(MATCH($B249,Character_Creation!$C$367:$C$374,0),0)&gt;0,0,1)</f>
        <v>0</v>
      </c>
      <c r="CW249">
        <f>IF(CV249=0,0,1+COUNTIF(CW$3:CW248,"&gt;0"))</f>
        <v>0</v>
      </c>
      <c r="CX249" t="str">
        <f t="shared" si="208"/>
        <v/>
      </c>
      <c r="CY249" t="str">
        <f t="shared" si="179"/>
        <v/>
      </c>
      <c r="DA249">
        <f>IF(IF(OR(IFERROR(SEARCH("Cleric",$T249,1),0)&gt;0,IFERROR(SEARCH(DivineDomain&amp;",",$T249,1),0)&gt;0),1,0)*IF($C249=DA$2,1,0)=1,1+COUNTIF(DA$3:DA248,"&gt;0"),0)</f>
        <v>0</v>
      </c>
      <c r="DB249">
        <f>IF(IF(OR(IFERROR(SEARCH("Cleric",$T249,1),0)&gt;0,IFERROR(SEARCH(DivineDomain&amp;",",$T249,1),0)&gt;0),1,0)*IF($C249=DB$2,1,0)=1,1+COUNTIF(DB$3:DB248,"&gt;0"),0)</f>
        <v>0</v>
      </c>
      <c r="DC249">
        <f>IF(IF(OR(IFERROR(SEARCH("Cleric",$T249,1),0)&gt;0,IFERROR(SEARCH(DivineDomain&amp;",",$T249,1),0)&gt;0),1,0)*IF($C249=DC$2,1,0)=1,1+COUNTIF(DC$3:DC248,"&gt;0"),0)</f>
        <v>0</v>
      </c>
      <c r="DD249">
        <f>IF(IF(OR(IFERROR(SEARCH("Cleric",$T249,1),0)&gt;0,IFERROR(SEARCH(DivineDomain&amp;",",$T249,1),0)&gt;0),1,0)*IF($C249=DD$2,1,0)=1,1+COUNTIF(DD$3:DD248,"&gt;0"),0)</f>
        <v>0</v>
      </c>
      <c r="DE249">
        <f>IF(IF(OR(IFERROR(SEARCH("Cleric",$T249,1),0)&gt;0,IFERROR(SEARCH(DivineDomain&amp;",",$T249,1),0)&gt;0),1,0)*IF($C249=DE$2,1,0)=1,1+COUNTIF(DE$3:DE248,"&gt;0"),0)</f>
        <v>0</v>
      </c>
      <c r="DF249">
        <f>IF(IF(OR(IFERROR(SEARCH("Cleric",$T249,1),0)&gt;0,IFERROR(SEARCH(DivineDomain&amp;",",$T249,1),0)&gt;0),1,0)*IF($C249=DF$2,1,0)=1,1+COUNTIF(DF$3:DF248,"&gt;0"),0)</f>
        <v>0</v>
      </c>
      <c r="DG249">
        <f>IF(IF(OR(IFERROR(SEARCH("Cleric",$T249,1),0)&gt;0,IFERROR(SEARCH(DivineDomain&amp;",",$T249,1),0)&gt;0),1,0)*IF($C249=DG$2,1,0)=1,1+COUNTIF(DG$3:DG248,"&gt;0"),0)</f>
        <v>0</v>
      </c>
      <c r="DH249">
        <f>IF(IF(OR(IFERROR(SEARCH("Cleric",$T249,1),0)&gt;0,IFERROR(SEARCH(DivineDomain&amp;",",$T249,1),0)&gt;0),1,0)*IF($C249=DH$2,1,0)=1,1+COUNTIF(DH$3:DH248,"&gt;0"),0)</f>
        <v>0</v>
      </c>
      <c r="DI249">
        <f>IF(IF(OR(IFERROR(SEARCH("Cleric",$T249,1),0)&gt;0,IFERROR(SEARCH(DivineDomain&amp;",",$T249,1),0)&gt;0),1,0)*IF($C249=DI$2,1,0)=1,1+COUNTIF(DI$3:DI248,"&gt;0"),0)</f>
        <v>0</v>
      </c>
      <c r="DJ249">
        <f>IF(IF(OR(IFERROR(SEARCH("Druid",$T249,1),0)&gt;0,IFERROR(SEARCH(DruidLand1,$T249,1),0)&gt;0,IFERROR(SEARCH(DruidLand2,$T249,1),0)&gt;0,IFERROR(SEARCH(DruidLand3,$T249,1),0)&gt;0,IFERROR(SEARCH(DruidLand4,$T249,1),0)&gt;0),1,0)*IF($C249=1,1,0)*IF($C249=DJ$2,1,0)=0,0,1+COUNTIF(DJ$3:DJ248,"&gt;0"))</f>
        <v>0</v>
      </c>
      <c r="DK249">
        <f>IF(IF(OR(IFERROR(SEARCH("Druid",$T249,1),0)&gt;0,IFERROR(SEARCH(DruidLand1,$T249,1),0)&gt;0,IFERROR(SEARCH(DruidLand2,$T249,1),0)&gt;0,IFERROR(SEARCH(DruidLand3,$T249,1),0)&gt;0,IFERROR(SEARCH(DruidLand4,$T249,1),0)&gt;0),1,0)*IF($C249=1,1,0)*IF($C249=DK$2,1,0)=0,0,1+COUNTIF(DK$3:DK248,"&gt;0"))</f>
        <v>0</v>
      </c>
      <c r="DL249">
        <f>IF(IF(OR(IFERROR(SEARCH("Druid",$T249,1),0)&gt;0,IFERROR(SEARCH(DruidLand1,$T249,1),0)&gt;0,IFERROR(SEARCH(DruidLand2,$T249,1),0)&gt;0,IFERROR(SEARCH(DruidLand3,$T249,1),0)&gt;0,IFERROR(SEARCH(DruidLand4,$T249,1),0)&gt;0),1,0)*IF($C249=1,1,0)*IF($C249=DL$2,1,0)=0,0,1+COUNTIF(DL$3:DL248,"&gt;0"))</f>
        <v>0</v>
      </c>
      <c r="DM249">
        <f>IF(IF(OR(IFERROR(SEARCH("Druid",$T249,1),0)&gt;0,IFERROR(SEARCH(DruidLand1,$T249,1),0)&gt;0,IFERROR(SEARCH(DruidLand2,$T249,1),0)&gt;0,IFERROR(SEARCH(DruidLand3,$T249,1),0)&gt;0,IFERROR(SEARCH(DruidLand4,$T249,1),0)&gt;0),1,0)*IF($C249=1,1,0)*IF($C249=DM$2,1,0)=0,0,1+COUNTIF(DM$3:DM248,"&gt;0"))</f>
        <v>0</v>
      </c>
      <c r="DN249">
        <f>IF(IF(OR(IFERROR(SEARCH("Druid",$T249,1),0)&gt;0,IFERROR(SEARCH(DruidLand1,$T249,1),0)&gt;0,IFERROR(SEARCH(DruidLand2,$T249,1),0)&gt;0,IFERROR(SEARCH(DruidLand3,$T249,1),0)&gt;0,IFERROR(SEARCH(DruidLand4,$T249,1),0)&gt;0),1,0)*IF($C249=1,1,0)*IF($C249=DN$2,1,0)=0,0,1+COUNTIF(DN$3:DN248,"&gt;0"))</f>
        <v>0</v>
      </c>
      <c r="DO249">
        <f>IF(IF(OR(IFERROR(SEARCH("Druid",$T249,1),0)&gt;0,IFERROR(SEARCH(DruidLand1,$T249,1),0)&gt;0,IFERROR(SEARCH(DruidLand2,$T249,1),0)&gt;0,IFERROR(SEARCH(DruidLand3,$T249,1),0)&gt;0,IFERROR(SEARCH(DruidLand4,$T249,1),0)&gt;0),1,0)*IF($C249=1,1,0)*IF($C249=DO$2,1,0)=0,0,1+COUNTIF(DO$3:DO248,"&gt;0"))</f>
        <v>0</v>
      </c>
      <c r="DP249">
        <f>IF(IF(OR(IFERROR(SEARCH("Druid",$T249,1),0)&gt;0,IFERROR(SEARCH(DruidLand1,$T249,1),0)&gt;0,IFERROR(SEARCH(DruidLand2,$T249,1),0)&gt;0,IFERROR(SEARCH(DruidLand3,$T249,1),0)&gt;0,IFERROR(SEARCH(DruidLand4,$T249,1),0)&gt;0),1,0)*IF($C249=1,1,0)*IF($C249=DP$2,1,0)=0,0,1+COUNTIF(DP$3:DP248,"&gt;0"))</f>
        <v>0</v>
      </c>
      <c r="DQ249">
        <f>IF(IF(OR(IFERROR(SEARCH("Druid",$T249,1),0)&gt;0,IFERROR(SEARCH(DruidLand1,$T249,1),0)&gt;0,IFERROR(SEARCH(DruidLand2,$T249,1),0)&gt;0,IFERROR(SEARCH(DruidLand3,$T249,1),0)&gt;0,IFERROR(SEARCH(DruidLand4,$T249,1),0)&gt;0),1,0)*IF($C249=1,1,0)*IF($C249=DQ$2,1,0)=0,0,1+COUNTIF(DQ$3:DQ248,"&gt;0"))</f>
        <v>0</v>
      </c>
      <c r="DR249">
        <f>IF(IF(OR(IFERROR(SEARCH("Druid",$T249,1),0)&gt;0,IFERROR(SEARCH(DruidLand1,$T249,1),0)&gt;0,IFERROR(SEARCH(DruidLand2,$T249,1),0)&gt;0,IFERROR(SEARCH(DruidLand3,$T249,1),0)&gt;0,IFERROR(SEARCH(DruidLand4,$T249,1),0)&gt;0),1,0)*IF($C249=1,1,0)*IF($C249=DR$2,1,0)=0,0,1+COUNTIF(DR$3:DR248,"&gt;0"))</f>
        <v>0</v>
      </c>
      <c r="DS249">
        <f>IF(IF(OR(IFERROR(SEARCH("Paladin",$T249,1),0)&gt;0,IFERROR(SEARCH(PaladinOath,$T249,1),0)&gt;0),1,0)*IF($C249=DS$2,1,0)=1,1+COUNTIF(DS$3:DS248,"&gt;0"),0)</f>
        <v>0</v>
      </c>
      <c r="DT249">
        <f>IF(IF(OR(IFERROR(SEARCH("Paladin",$T249,1),0)&gt;0,IFERROR(SEARCH(PaladinOath,$T249,1),0)&gt;0),1,0)*IF($C249=DT$2,1,0)=1,1+COUNTIF(DT$3:DT248,"&gt;0"),0)</f>
        <v>0</v>
      </c>
      <c r="DU249">
        <f>IF(IF(OR(IFERROR(SEARCH("Paladin",$T249,1),0)&gt;0,IFERROR(SEARCH(PaladinOath,$T249,1),0)&gt;0),1,0)*IF($C249=DU$2,1,0)=1,1+COUNTIF(DU$3:DU248,"&gt;0"),0)</f>
        <v>0</v>
      </c>
      <c r="DV249">
        <f>IF(IF(OR(IFERROR(SEARCH("Paladin",$T249,1),0)&gt;0,IFERROR(SEARCH(PaladinOath,$T249,1),0)&gt;0),1,0)*IF($C249=DV$2,1,0)=1,1+COUNTIF(DV$3:DV248,"&gt;0"),0)</f>
        <v>0</v>
      </c>
      <c r="DW249">
        <f>IF(IF(OR(IFERROR(SEARCH("Paladin",$T249,1),0)&gt;0,IFERROR(SEARCH(PaladinOath,$T249,1),0)&gt;0),1,0)*IF($C249=DW$2,1,0)=1,1+COUNTIF(DW$3:DW248,"&gt;0"),0)</f>
        <v>0</v>
      </c>
      <c r="DY249">
        <f t="shared" si="166"/>
        <v>1</v>
      </c>
      <c r="DZ249">
        <f>IF(DY249=0,0,1+MAX(DZ$3:$DZ248))</f>
        <v>247</v>
      </c>
      <c r="EB249">
        <f t="shared" si="180"/>
        <v>0</v>
      </c>
      <c r="EC249">
        <f>IF(EB249=0,0,1+COUNTIF(EC$3:EC248,"&gt;0"))</f>
        <v>0</v>
      </c>
      <c r="ED249" t="str">
        <f t="shared" si="209"/>
        <v/>
      </c>
      <c r="EE249" t="str">
        <f t="shared" si="181"/>
        <v/>
      </c>
      <c r="EG249">
        <f t="shared" si="182"/>
        <v>0</v>
      </c>
      <c r="EH249">
        <f>IF(EG249=0,0,1+COUNTIF(EH$3:EH248,"&gt;0"))</f>
        <v>0</v>
      </c>
      <c r="EI249" t="str">
        <f t="shared" si="210"/>
        <v/>
      </c>
      <c r="EJ249" t="str">
        <f t="shared" si="183"/>
        <v/>
      </c>
      <c r="EL249">
        <f t="shared" si="184"/>
        <v>0</v>
      </c>
      <c r="EM249">
        <f>IF(EL249=0,0,1+COUNTIF(EM$3:EM248,"&gt;0"))</f>
        <v>0</v>
      </c>
      <c r="EN249" t="str">
        <f t="shared" si="211"/>
        <v/>
      </c>
      <c r="EO249" t="str">
        <f t="shared" si="185"/>
        <v/>
      </c>
      <c r="EQ249">
        <f t="shared" si="186"/>
        <v>0</v>
      </c>
      <c r="ER249">
        <f>IF(EQ249=0,0,1+COUNTIF(ER$3:ER248,"&gt;0"))</f>
        <v>0</v>
      </c>
      <c r="ES249" t="str">
        <f t="shared" si="212"/>
        <v/>
      </c>
      <c r="ET249" t="str">
        <f t="shared" si="187"/>
        <v/>
      </c>
      <c r="EV249">
        <f t="shared" si="188"/>
        <v>0</v>
      </c>
      <c r="EW249">
        <f>IF(EV249=0,0,1+COUNTIF(EW$3:EW248,"&gt;0"))</f>
        <v>0</v>
      </c>
      <c r="EX249" t="str">
        <f t="shared" si="213"/>
        <v/>
      </c>
      <c r="EY249" t="str">
        <f t="shared" si="189"/>
        <v/>
      </c>
      <c r="FA249">
        <f t="shared" si="190"/>
        <v>0</v>
      </c>
      <c r="FB249">
        <f>IF(FA249=0,0,1+COUNTIF(FB$3:FB248,"&gt;0"))</f>
        <v>0</v>
      </c>
      <c r="FC249" t="str">
        <f t="shared" si="214"/>
        <v/>
      </c>
      <c r="FD249" t="str">
        <f t="shared" si="191"/>
        <v/>
      </c>
      <c r="FF249">
        <f t="shared" si="192"/>
        <v>0</v>
      </c>
      <c r="FG249">
        <f>IF(FF249=0,0,1+COUNTIF(FG$3:FG248,"&gt;0"))</f>
        <v>0</v>
      </c>
      <c r="FH249" t="str">
        <f t="shared" si="215"/>
        <v/>
      </c>
      <c r="FI249" t="str">
        <f t="shared" si="193"/>
        <v/>
      </c>
      <c r="FK249">
        <f t="shared" si="194"/>
        <v>0</v>
      </c>
      <c r="FL249">
        <f>IF(FK249=0,0,1+COUNTIF(FL$3:FL248,"&gt;0"))</f>
        <v>0</v>
      </c>
      <c r="FM249" t="str">
        <f t="shared" si="216"/>
        <v/>
      </c>
      <c r="FN249" t="str">
        <f t="shared" si="195"/>
        <v/>
      </c>
      <c r="FP249">
        <f t="shared" si="196"/>
        <v>0</v>
      </c>
      <c r="FQ249">
        <f>IF(FP249=0,0,1+COUNTIF(FQ$3:FQ248,"&gt;0"))</f>
        <v>0</v>
      </c>
      <c r="FR249" t="str">
        <f t="shared" si="217"/>
        <v/>
      </c>
      <c r="FS249" t="str">
        <f t="shared" si="197"/>
        <v/>
      </c>
    </row>
    <row r="250" spans="1:175" x14ac:dyDescent="0.25">
      <c r="A250" s="347">
        <f t="shared" si="219"/>
        <v>248</v>
      </c>
      <c r="B250" s="348" t="s">
        <v>2630</v>
      </c>
      <c r="C250" s="348">
        <v>2</v>
      </c>
      <c r="D250" s="347">
        <v>2</v>
      </c>
      <c r="E250" s="627" t="s">
        <v>6952</v>
      </c>
      <c r="F250" s="346"/>
      <c r="G250" s="347" t="str">
        <f>""</f>
        <v/>
      </c>
      <c r="H250" s="347" t="s">
        <v>5912</v>
      </c>
      <c r="I250" s="347" t="s">
        <v>424</v>
      </c>
      <c r="J250" s="347" t="str">
        <f t="shared" si="167"/>
        <v/>
      </c>
      <c r="K250" s="347" t="s">
        <v>5291</v>
      </c>
      <c r="L250" s="611" t="str">
        <f t="shared" si="168"/>
        <v>V, S, M, a bit of fleece</v>
      </c>
      <c r="M250" s="347" t="s">
        <v>2373</v>
      </c>
      <c r="N250" s="347" t="s">
        <v>2387</v>
      </c>
      <c r="O250" s="347" t="s">
        <v>1244</v>
      </c>
      <c r="P250" s="346" t="s">
        <v>5426</v>
      </c>
      <c r="Q250" s="347" t="s">
        <v>5274</v>
      </c>
      <c r="S250" s="346" t="s">
        <v>5785</v>
      </c>
      <c r="T250" s="346" t="str">
        <f t="shared" si="169"/>
        <v xml:space="preserve">Bard, Sorcerer, Arcane Trickster, Wizard, Archfey, Old One, </v>
      </c>
      <c r="U250" s="347" t="str">
        <f>$B250</f>
        <v>Phantasmal Force</v>
      </c>
      <c r="X250" s="347" t="str">
        <f>$B250</f>
        <v>Phantasmal Force</v>
      </c>
      <c r="AC250" s="539" t="str">
        <f>B250</f>
        <v>Phantasmal Force</v>
      </c>
      <c r="AD250" s="347" t="str">
        <f>$B250</f>
        <v>Phantasmal Force</v>
      </c>
      <c r="AE250" t="str">
        <f>IF(IFERROR(MATCH($B250,temp!A$4:A$13,0),0)&gt;0,T08_Spells!AE$2,"")</f>
        <v/>
      </c>
      <c r="AF250" t="str">
        <f>IF(IFERROR(MATCH($B250,temp!B$4:B$13,0),0)&gt;0,T08_Spells!AF$2,"")</f>
        <v/>
      </c>
      <c r="AG250" t="str">
        <f>IF(IFERROR(MATCH($B250,temp!C$4:C$13,0),0)&gt;0,T08_Spells!AG$2,"")</f>
        <v/>
      </c>
      <c r="AH250" t="str">
        <f>IF(IFERROR(MATCH($B250,temp!D$4:D$13,0),0)&gt;0,T08_Spells!AH$2,"")</f>
        <v/>
      </c>
      <c r="AI250" t="str">
        <f>IF(IFERROR(MATCH($B250,temp!E$4:E$13,0),0)&gt;0,T08_Spells!AI$2,"")</f>
        <v>Archfey</v>
      </c>
      <c r="AJ250" t="str">
        <f>IF(IFERROR(MATCH($B250,temp!F$4:F$13,0),0)&gt;0,T08_Spells!AJ$2,"")</f>
        <v/>
      </c>
      <c r="AK250" t="str">
        <f>IF(IFERROR(MATCH($B250,temp!G$4:G$13,0),0)&gt;0,T08_Spells!AK$2,"")</f>
        <v>Old One</v>
      </c>
      <c r="AL250" t="str">
        <f>IF(IFERROR(MATCH($B250,temp!H$4:H$13,0),0)&gt;0,T08_Spells!AL$2,"")</f>
        <v/>
      </c>
      <c r="AM250" t="str">
        <f>IF(IFERROR(MATCH($B250,temp!I$4:I$13,0),0)&gt;0,T08_Spells!AM$2,"")</f>
        <v/>
      </c>
      <c r="AN250" t="str">
        <f>IF(IFERROR(MATCH($B250,temp!J$4:J$13,0),0)&gt;0,T08_Spells!AN$2,"")</f>
        <v/>
      </c>
      <c r="AO250" t="str">
        <f>IF(IFERROR(MATCH($B250,temp!K$4:K$13,0),0)&gt;0,T08_Spells!AO$2,"")</f>
        <v/>
      </c>
      <c r="AP250" t="str">
        <f>IF(IFERROR(MATCH($B250,temp!L$4:L$13,0),0)&gt;0,T08_Spells!AP$2,"")</f>
        <v/>
      </c>
      <c r="AQ250" t="str">
        <f>IF(IFERROR(MATCH($B250,temp!M$4:M$13,0),0)&gt;0,T08_Spells!AQ$2,"")</f>
        <v/>
      </c>
      <c r="AR250" t="str">
        <f>IF(IFERROR(MATCH($B250,temp!N$4:N$13,0),0)&gt;0,T08_Spells!AR$2,"")</f>
        <v/>
      </c>
      <c r="AS250" t="str">
        <f>IF(IFERROR(MATCH($B250,temp!O$4:O$13,0),0)&gt;0,T08_Spells!AS$2,"")</f>
        <v/>
      </c>
      <c r="AT250" t="str">
        <f>IF(IFERROR(MATCH($B250,temp!P$4:P$13,0),0)&gt;0,T08_Spells!AT$2,"")</f>
        <v/>
      </c>
      <c r="AU250" t="str">
        <f>IF(IFERROR(MATCH($B250,temp!Q$4:Q$13,0),0)&gt;0,T08_Spells!AU$2,"")</f>
        <v/>
      </c>
      <c r="AV250" t="str">
        <f>IF(IFERROR(MATCH($B250,temp!R$4:R$13,0),0)&gt;0,T08_Spells!AV$2,"")</f>
        <v/>
      </c>
      <c r="AW250" t="str">
        <f>IF(IFERROR(MATCH($B250,temp!S$4:S$13,0),0)&gt;0,T08_Spells!AW$2,"")</f>
        <v/>
      </c>
      <c r="AX250" t="str">
        <f>IF(IFERROR(MATCH($B250,temp!T$4:T$13,0),0)&gt;0,T08_Spells!AX$2,"")</f>
        <v/>
      </c>
      <c r="AY250" t="str">
        <f>IF(IFERROR(MATCH($B250,temp!U$4:U$13,0),0)&gt;0,T08_Spells!AY$2,"")</f>
        <v/>
      </c>
      <c r="AZ250" t="str">
        <f>IF(IFERROR(MATCH($B250,temp!V$4:V$13,0),0)&gt;0,T08_Spells!AZ$2,"")</f>
        <v/>
      </c>
      <c r="BA250" t="str">
        <f>IF(IFERROR(MATCH($B250,temp!W$4:W$13,0),0)&gt;0,T08_Spells!BA$2,"")</f>
        <v/>
      </c>
      <c r="BC250">
        <f>IF(IFERROR(SEARCH("Ranger",$T250,1),0)&gt;0,1,0)*IF(RangerMaxSpellLevel&gt;=$C250,1,0)*IF(IFERROR(MATCH(B250,Character_Creation!$X$79:$X$382,0),0)&gt;0,0,1)</f>
        <v>0</v>
      </c>
      <c r="BD250">
        <f>IF(BC250=0,0,1+COUNTIF(BD$3:BD249,"&gt;0"))</f>
        <v>0</v>
      </c>
      <c r="BE250" t="str">
        <f t="shared" si="199"/>
        <v/>
      </c>
      <c r="BF250" t="str">
        <f t="shared" si="170"/>
        <v/>
      </c>
      <c r="BH250">
        <f>IF(IFERROR(SEARCH("Sorcerer",$T250,1),0)&gt;0,1,0)*IF(SorcererMaxSpellLevel&gt;=$C250,1,0)*IF(IFERROR(MATCH(B250,Character_Creation!$J$380:$J$394,0),0)&gt;0,0,1)</f>
        <v>0</v>
      </c>
      <c r="BI250">
        <f>IF(BH250=0,0,1+COUNTIF(BI$3:BI249,"&gt;0"))</f>
        <v>0</v>
      </c>
      <c r="BJ250" t="str">
        <f t="shared" si="200"/>
        <v/>
      </c>
      <c r="BK250" t="str">
        <f t="shared" si="171"/>
        <v/>
      </c>
      <c r="BM250">
        <f>IF(OR(IFERROR(SEARCH("Warlock",$T250,1),0)&gt;0,IFERROR(SEARCH(WarlockPatron,$T250,1),0)&gt;0),1,0)*IF(WarlockMaxSpellLevel&gt;=$C250,1,0)*IF(IFERROR(MATCH(B250,Character_Creation!$J$361:$J$375,0),0)&gt;0,0,1)</f>
        <v>0</v>
      </c>
      <c r="BN250">
        <f>IF(BM250=0,0,1+COUNTIF(BN$3:BN249,"&gt;0"))</f>
        <v>0</v>
      </c>
      <c r="BO250" t="str">
        <f t="shared" si="201"/>
        <v/>
      </c>
      <c r="BP250" t="str">
        <f t="shared" si="172"/>
        <v/>
      </c>
      <c r="BR250">
        <f>IF(IFERROR(SEARCH("Eldritch Knight",$T250,1),0)&gt;0,1,0)*IF(EldritchKnightMaxSpellLevel&gt;=$C250,1,0)*IF(IFERROR(MATCH($B250,Character_Creation!$J$350:$J$356,0),0)&gt;0,0,1)*IF(Character_Creation!$M$338&gt;0,1,0)</f>
        <v>0</v>
      </c>
      <c r="BS250">
        <f>IF(BR250=0,0,1+COUNTIF(BS$3:BS249,"&gt;0"))</f>
        <v>0</v>
      </c>
      <c r="BT250" t="str">
        <f t="shared" si="202"/>
        <v/>
      </c>
      <c r="BU250" t="str">
        <f t="shared" si="173"/>
        <v/>
      </c>
      <c r="BW250">
        <f>IF(IFERROR(SEARCH("Arcane Trickster",$T250,1),0)&gt;0,1,0)*IF(ArcaneTricksterMaxSpellLevel&gt;=$C250,1,0)*IF(IFERROR(MATCH($B250,Character_Creation!$J$350:$J$356,0),0)&gt;0,0,1)*IF(Character_Creation!$T$338&gt;0,1,0)</f>
        <v>0</v>
      </c>
      <c r="BX250">
        <f>IF(BW250=0,0,1+COUNTIF(BX$3:BX249,"&gt;0"))</f>
        <v>0</v>
      </c>
      <c r="BY250" t="str">
        <f t="shared" si="203"/>
        <v/>
      </c>
      <c r="BZ250" t="str">
        <f t="shared" si="174"/>
        <v/>
      </c>
      <c r="CB250">
        <f>IF(IFERROR(SEARCH("Wizard",$T250,1),0)&gt;0,1,0)*IF(C250&lt;=ArcaneTricksterMaxSpellLevel,1,0)*IF(IFERROR(MATCH($B250,Character_Creation!$J$350:$J$356,0),0)&gt;0,0,1)*IF(Character_Creation!$T$350&gt;0,1,0)</f>
        <v>0</v>
      </c>
      <c r="CC250">
        <f>IF(CB250=0,0,1+COUNTIF(CC$3:CC249,"&gt;0"))</f>
        <v>0</v>
      </c>
      <c r="CD250" t="str">
        <f t="shared" si="204"/>
        <v/>
      </c>
      <c r="CE250" t="str">
        <f t="shared" si="175"/>
        <v/>
      </c>
      <c r="CG250">
        <f>IF(IFERROR(SEARCH("Wizard",$T250,1),0)&gt;0,1,0)*IF($C250&lt;=EldritchKnightMaxSpellLevel,1,0)*IF(IFERROR(MATCH($B250,Character_Creation!$J$350:$J$356,0),0)&gt;0,0,1)*IF(Character_Creation!$M$350&gt;0,1,0)</f>
        <v>1</v>
      </c>
      <c r="CH250">
        <f>IF(CG250=0,0,1+COUNTIF(CH$3:CH249,"&gt;0"))</f>
        <v>45</v>
      </c>
      <c r="CI250" t="str">
        <f t="shared" si="205"/>
        <v/>
      </c>
      <c r="CJ250" t="str">
        <f t="shared" si="176"/>
        <v/>
      </c>
      <c r="CL250">
        <f>IF(IFERROR(SEARCH("Bard",$T250,1),0)&gt;0,1,0)*IF(BardMaxSpellLevel&gt;=$C250,1,0)*IF(IFERROR(MATCH(B250,Character_Creation!$C$341:$F$362,0),0)&gt;0,0,1)*IF(IFERROR(MATCH($B250,Character_Creation!$C$341:$C$362,0),0)&gt;0,0,1)</f>
        <v>0</v>
      </c>
      <c r="CM250">
        <f>IF(CL250=0,0,1+COUNTIF(CM$3:CM249,"&gt;0"))</f>
        <v>0</v>
      </c>
      <c r="CN250" t="str">
        <f t="shared" si="206"/>
        <v/>
      </c>
      <c r="CO250" t="str">
        <f t="shared" si="177"/>
        <v/>
      </c>
      <c r="CQ250">
        <f>IF(IFERROR(SEARCH("Wizard",$T250,1),0)&gt;0,1,0)*IF(WizardMaxSpellLevel&gt;=$C250,1,0)*IF(IFERROR(MATCH(B250,Character_Creation!$X$341:$X$400,0),0)&gt;0,0,1)*IF(SelectedWizardSpellLevel=$C250,1,0)</f>
        <v>0</v>
      </c>
      <c r="CR250">
        <f>IF(CQ250=0,0,1+COUNTIF(CR$3:CR249,"&gt;0"))</f>
        <v>0</v>
      </c>
      <c r="CS250" t="str">
        <f t="shared" si="207"/>
        <v/>
      </c>
      <c r="CT250" t="str">
        <f t="shared" si="178"/>
        <v/>
      </c>
      <c r="CV250">
        <f>IF(IFERROR(MATCH($B250,Character_Creation!$C$341:$C$362,0),0)&gt;0,0,1)*IF(OR(C250="Cantrip",C250&lt;=BardMaxSpellLevel),1,0)*IF(IFERROR(MATCH($B250,Character_Creation!$C$367:$C$374,0),0)&gt;0,0,1)</f>
        <v>0</v>
      </c>
      <c r="CW250">
        <f>IF(CV250=0,0,1+COUNTIF(CW$3:CW249,"&gt;0"))</f>
        <v>0</v>
      </c>
      <c r="CX250" t="str">
        <f t="shared" si="208"/>
        <v/>
      </c>
      <c r="CY250" t="str">
        <f t="shared" si="179"/>
        <v/>
      </c>
      <c r="DA250">
        <f>IF(IF(OR(IFERROR(SEARCH("Cleric",$T250,1),0)&gt;0,IFERROR(SEARCH(DivineDomain&amp;",",$T250,1),0)&gt;0),1,0)*IF($C250=DA$2,1,0)=1,1+COUNTIF(DA$3:DA249,"&gt;0"),0)</f>
        <v>0</v>
      </c>
      <c r="DB250">
        <f>IF(IF(OR(IFERROR(SEARCH("Cleric",$T250,1),0)&gt;0,IFERROR(SEARCH(DivineDomain&amp;",",$T250,1),0)&gt;0),1,0)*IF($C250=DB$2,1,0)=1,1+COUNTIF(DB$3:DB249,"&gt;0"),0)</f>
        <v>0</v>
      </c>
      <c r="DC250">
        <f>IF(IF(OR(IFERROR(SEARCH("Cleric",$T250,1),0)&gt;0,IFERROR(SEARCH(DivineDomain&amp;",",$T250,1),0)&gt;0),1,0)*IF($C250=DC$2,1,0)=1,1+COUNTIF(DC$3:DC249,"&gt;0"),0)</f>
        <v>0</v>
      </c>
      <c r="DD250">
        <f>IF(IF(OR(IFERROR(SEARCH("Cleric",$T250,1),0)&gt;0,IFERROR(SEARCH(DivineDomain&amp;",",$T250,1),0)&gt;0),1,0)*IF($C250=DD$2,1,0)=1,1+COUNTIF(DD$3:DD249,"&gt;0"),0)</f>
        <v>0</v>
      </c>
      <c r="DE250">
        <f>IF(IF(OR(IFERROR(SEARCH("Cleric",$T250,1),0)&gt;0,IFERROR(SEARCH(DivineDomain&amp;",",$T250,1),0)&gt;0),1,0)*IF($C250=DE$2,1,0)=1,1+COUNTIF(DE$3:DE249,"&gt;0"),0)</f>
        <v>0</v>
      </c>
      <c r="DF250">
        <f>IF(IF(OR(IFERROR(SEARCH("Cleric",$T250,1),0)&gt;0,IFERROR(SEARCH(DivineDomain&amp;",",$T250,1),0)&gt;0),1,0)*IF($C250=DF$2,1,0)=1,1+COUNTIF(DF$3:DF249,"&gt;0"),0)</f>
        <v>0</v>
      </c>
      <c r="DG250">
        <f>IF(IF(OR(IFERROR(SEARCH("Cleric",$T250,1),0)&gt;0,IFERROR(SEARCH(DivineDomain&amp;",",$T250,1),0)&gt;0),1,0)*IF($C250=DG$2,1,0)=1,1+COUNTIF(DG$3:DG249,"&gt;0"),0)</f>
        <v>0</v>
      </c>
      <c r="DH250">
        <f>IF(IF(OR(IFERROR(SEARCH("Cleric",$T250,1),0)&gt;0,IFERROR(SEARCH(DivineDomain&amp;",",$T250,1),0)&gt;0),1,0)*IF($C250=DH$2,1,0)=1,1+COUNTIF(DH$3:DH249,"&gt;0"),0)</f>
        <v>0</v>
      </c>
      <c r="DI250">
        <f>IF(IF(OR(IFERROR(SEARCH("Cleric",$T250,1),0)&gt;0,IFERROR(SEARCH(DivineDomain&amp;",",$T250,1),0)&gt;0),1,0)*IF($C250=DI$2,1,0)=1,1+COUNTIF(DI$3:DI249,"&gt;0"),0)</f>
        <v>0</v>
      </c>
      <c r="DJ250">
        <f>IF(IF(OR(IFERROR(SEARCH("Druid",$T250,1),0)&gt;0,IFERROR(SEARCH(DruidLand1,$T250,1),0)&gt;0,IFERROR(SEARCH(DruidLand2,$T250,1),0)&gt;0,IFERROR(SEARCH(DruidLand3,$T250,1),0)&gt;0,IFERROR(SEARCH(DruidLand4,$T250,1),0)&gt;0),1,0)*IF($C250=1,1,0)*IF($C250=DJ$2,1,0)=0,0,1+COUNTIF(DJ$3:DJ249,"&gt;0"))</f>
        <v>0</v>
      </c>
      <c r="DK250">
        <f>IF(IF(OR(IFERROR(SEARCH("Druid",$T250,1),0)&gt;0,IFERROR(SEARCH(DruidLand1,$T250,1),0)&gt;0,IFERROR(SEARCH(DruidLand2,$T250,1),0)&gt;0,IFERROR(SEARCH(DruidLand3,$T250,1),0)&gt;0,IFERROR(SEARCH(DruidLand4,$T250,1),0)&gt;0),1,0)*IF($C250=1,1,0)*IF($C250=DK$2,1,0)=0,0,1+COUNTIF(DK$3:DK249,"&gt;0"))</f>
        <v>0</v>
      </c>
      <c r="DL250">
        <f>IF(IF(OR(IFERROR(SEARCH("Druid",$T250,1),0)&gt;0,IFERROR(SEARCH(DruidLand1,$T250,1),0)&gt;0,IFERROR(SEARCH(DruidLand2,$T250,1),0)&gt;0,IFERROR(SEARCH(DruidLand3,$T250,1),0)&gt;0,IFERROR(SEARCH(DruidLand4,$T250,1),0)&gt;0),1,0)*IF($C250=1,1,0)*IF($C250=DL$2,1,0)=0,0,1+COUNTIF(DL$3:DL249,"&gt;0"))</f>
        <v>0</v>
      </c>
      <c r="DM250">
        <f>IF(IF(OR(IFERROR(SEARCH("Druid",$T250,1),0)&gt;0,IFERROR(SEARCH(DruidLand1,$T250,1),0)&gt;0,IFERROR(SEARCH(DruidLand2,$T250,1),0)&gt;0,IFERROR(SEARCH(DruidLand3,$T250,1),0)&gt;0,IFERROR(SEARCH(DruidLand4,$T250,1),0)&gt;0),1,0)*IF($C250=1,1,0)*IF($C250=DM$2,1,0)=0,0,1+COUNTIF(DM$3:DM249,"&gt;0"))</f>
        <v>0</v>
      </c>
      <c r="DN250">
        <f>IF(IF(OR(IFERROR(SEARCH("Druid",$T250,1),0)&gt;0,IFERROR(SEARCH(DruidLand1,$T250,1),0)&gt;0,IFERROR(SEARCH(DruidLand2,$T250,1),0)&gt;0,IFERROR(SEARCH(DruidLand3,$T250,1),0)&gt;0,IFERROR(SEARCH(DruidLand4,$T250,1),0)&gt;0),1,0)*IF($C250=1,1,0)*IF($C250=DN$2,1,0)=0,0,1+COUNTIF(DN$3:DN249,"&gt;0"))</f>
        <v>0</v>
      </c>
      <c r="DO250">
        <f>IF(IF(OR(IFERROR(SEARCH("Druid",$T250,1),0)&gt;0,IFERROR(SEARCH(DruidLand1,$T250,1),0)&gt;0,IFERROR(SEARCH(DruidLand2,$T250,1),0)&gt;0,IFERROR(SEARCH(DruidLand3,$T250,1),0)&gt;0,IFERROR(SEARCH(DruidLand4,$T250,1),0)&gt;0),1,0)*IF($C250=1,1,0)*IF($C250=DO$2,1,0)=0,0,1+COUNTIF(DO$3:DO249,"&gt;0"))</f>
        <v>0</v>
      </c>
      <c r="DP250">
        <f>IF(IF(OR(IFERROR(SEARCH("Druid",$T250,1),0)&gt;0,IFERROR(SEARCH(DruidLand1,$T250,1),0)&gt;0,IFERROR(SEARCH(DruidLand2,$T250,1),0)&gt;0,IFERROR(SEARCH(DruidLand3,$T250,1),0)&gt;0,IFERROR(SEARCH(DruidLand4,$T250,1),0)&gt;0),1,0)*IF($C250=1,1,0)*IF($C250=DP$2,1,0)=0,0,1+COUNTIF(DP$3:DP249,"&gt;0"))</f>
        <v>0</v>
      </c>
      <c r="DQ250">
        <f>IF(IF(OR(IFERROR(SEARCH("Druid",$T250,1),0)&gt;0,IFERROR(SEARCH(DruidLand1,$T250,1),0)&gt;0,IFERROR(SEARCH(DruidLand2,$T250,1),0)&gt;0,IFERROR(SEARCH(DruidLand3,$T250,1),0)&gt;0,IFERROR(SEARCH(DruidLand4,$T250,1),0)&gt;0),1,0)*IF($C250=1,1,0)*IF($C250=DQ$2,1,0)=0,0,1+COUNTIF(DQ$3:DQ249,"&gt;0"))</f>
        <v>0</v>
      </c>
      <c r="DR250">
        <f>IF(IF(OR(IFERROR(SEARCH("Druid",$T250,1),0)&gt;0,IFERROR(SEARCH(DruidLand1,$T250,1),0)&gt;0,IFERROR(SEARCH(DruidLand2,$T250,1),0)&gt;0,IFERROR(SEARCH(DruidLand3,$T250,1),0)&gt;0,IFERROR(SEARCH(DruidLand4,$T250,1),0)&gt;0),1,0)*IF($C250=1,1,0)*IF($C250=DR$2,1,0)=0,0,1+COUNTIF(DR$3:DR249,"&gt;0"))</f>
        <v>0</v>
      </c>
      <c r="DS250">
        <f>IF(IF(OR(IFERROR(SEARCH("Paladin",$T250,1),0)&gt;0,IFERROR(SEARCH(PaladinOath,$T250,1),0)&gt;0),1,0)*IF($C250=DS$2,1,0)=1,1+COUNTIF(DS$3:DS249,"&gt;0"),0)</f>
        <v>0</v>
      </c>
      <c r="DT250">
        <f>IF(IF(OR(IFERROR(SEARCH("Paladin",$T250,1),0)&gt;0,IFERROR(SEARCH(PaladinOath,$T250,1),0)&gt;0),1,0)*IF($C250=DT$2,1,0)=1,1+COUNTIF(DT$3:DT249,"&gt;0"),0)</f>
        <v>0</v>
      </c>
      <c r="DU250">
        <f>IF(IF(OR(IFERROR(SEARCH("Paladin",$T250,1),0)&gt;0,IFERROR(SEARCH(PaladinOath,$T250,1),0)&gt;0),1,0)*IF($C250=DU$2,1,0)=1,1+COUNTIF(DU$3:DU249,"&gt;0"),0)</f>
        <v>0</v>
      </c>
      <c r="DV250">
        <f>IF(IF(OR(IFERROR(SEARCH("Paladin",$T250,1),0)&gt;0,IFERROR(SEARCH(PaladinOath,$T250,1),0)&gt;0),1,0)*IF($C250=DV$2,1,0)=1,1+COUNTIF(DV$3:DV249,"&gt;0"),0)</f>
        <v>0</v>
      </c>
      <c r="DW250">
        <f>IF(IF(OR(IFERROR(SEARCH("Paladin",$T250,1),0)&gt;0,IFERROR(SEARCH(PaladinOath,$T250,1),0)&gt;0),1,0)*IF($C250=DW$2,1,0)=1,1+COUNTIF(DW$3:DW249,"&gt;0"),0)</f>
        <v>0</v>
      </c>
      <c r="DY250">
        <f t="shared" si="166"/>
        <v>1</v>
      </c>
      <c r="DZ250">
        <f>IF(DY250=0,0,1+MAX(DZ$3:$DZ249))</f>
        <v>248</v>
      </c>
      <c r="EB250">
        <f t="shared" si="180"/>
        <v>0</v>
      </c>
      <c r="EC250">
        <f>IF(EB250=0,0,1+COUNTIF(EC$3:EC249,"&gt;0"))</f>
        <v>0</v>
      </c>
      <c r="ED250" t="str">
        <f t="shared" si="209"/>
        <v/>
      </c>
      <c r="EE250" t="str">
        <f t="shared" si="181"/>
        <v/>
      </c>
      <c r="EG250">
        <f t="shared" si="182"/>
        <v>0</v>
      </c>
      <c r="EH250">
        <f>IF(EG250=0,0,1+COUNTIF(EH$3:EH249,"&gt;0"))</f>
        <v>0</v>
      </c>
      <c r="EI250" t="str">
        <f t="shared" si="210"/>
        <v/>
      </c>
      <c r="EJ250" t="str">
        <f t="shared" si="183"/>
        <v/>
      </c>
      <c r="EL250">
        <f t="shared" si="184"/>
        <v>0</v>
      </c>
      <c r="EM250">
        <f>IF(EL250=0,0,1+COUNTIF(EM$3:EM249,"&gt;0"))</f>
        <v>0</v>
      </c>
      <c r="EN250" t="str">
        <f t="shared" si="211"/>
        <v/>
      </c>
      <c r="EO250" t="str">
        <f t="shared" si="185"/>
        <v/>
      </c>
      <c r="EQ250">
        <f t="shared" si="186"/>
        <v>0</v>
      </c>
      <c r="ER250">
        <f>IF(EQ250=0,0,1+COUNTIF(ER$3:ER249,"&gt;0"))</f>
        <v>0</v>
      </c>
      <c r="ES250" t="str">
        <f t="shared" si="212"/>
        <v/>
      </c>
      <c r="ET250" t="str">
        <f t="shared" si="187"/>
        <v/>
      </c>
      <c r="EV250">
        <f t="shared" si="188"/>
        <v>0</v>
      </c>
      <c r="EW250">
        <f>IF(EV250=0,0,1+COUNTIF(EW$3:EW249,"&gt;0"))</f>
        <v>0</v>
      </c>
      <c r="EX250" t="str">
        <f t="shared" si="213"/>
        <v/>
      </c>
      <c r="EY250" t="str">
        <f t="shared" si="189"/>
        <v/>
      </c>
      <c r="FA250">
        <f t="shared" si="190"/>
        <v>0</v>
      </c>
      <c r="FB250">
        <f>IF(FA250=0,0,1+COUNTIF(FB$3:FB249,"&gt;0"))</f>
        <v>0</v>
      </c>
      <c r="FC250" t="str">
        <f t="shared" si="214"/>
        <v/>
      </c>
      <c r="FD250" t="str">
        <f t="shared" si="191"/>
        <v/>
      </c>
      <c r="FF250">
        <f t="shared" si="192"/>
        <v>0</v>
      </c>
      <c r="FG250">
        <f>IF(FF250=0,0,1+COUNTIF(FG$3:FG249,"&gt;0"))</f>
        <v>0</v>
      </c>
      <c r="FH250" t="str">
        <f t="shared" si="215"/>
        <v/>
      </c>
      <c r="FI250" t="str">
        <f t="shared" si="193"/>
        <v/>
      </c>
      <c r="FK250">
        <f t="shared" si="194"/>
        <v>0</v>
      </c>
      <c r="FL250">
        <f>IF(FK250=0,0,1+COUNTIF(FL$3:FL249,"&gt;0"))</f>
        <v>0</v>
      </c>
      <c r="FM250" t="str">
        <f t="shared" si="216"/>
        <v/>
      </c>
      <c r="FN250" t="str">
        <f t="shared" si="195"/>
        <v/>
      </c>
      <c r="FP250">
        <f t="shared" si="196"/>
        <v>0</v>
      </c>
      <c r="FQ250">
        <f>IF(FP250=0,0,1+COUNTIF(FQ$3:FQ249,"&gt;0"))</f>
        <v>0</v>
      </c>
      <c r="FR250" t="str">
        <f t="shared" si="217"/>
        <v/>
      </c>
      <c r="FS250" t="str">
        <f t="shared" si="197"/>
        <v/>
      </c>
    </row>
    <row r="251" spans="1:175" x14ac:dyDescent="0.25">
      <c r="A251" s="347">
        <f t="shared" si="219"/>
        <v>249</v>
      </c>
      <c r="B251" s="348" t="s">
        <v>2631</v>
      </c>
      <c r="C251" s="348">
        <v>4</v>
      </c>
      <c r="D251" s="347">
        <v>4</v>
      </c>
      <c r="E251" s="627" t="s">
        <v>6952</v>
      </c>
      <c r="F251" s="346"/>
      <c r="G251" s="347" t="str">
        <f>""</f>
        <v/>
      </c>
      <c r="H251" s="347" t="s">
        <v>5912</v>
      </c>
      <c r="I251" s="347" t="s">
        <v>5290</v>
      </c>
      <c r="J251" s="347" t="str">
        <f t="shared" si="167"/>
        <v/>
      </c>
      <c r="K251" s="347" t="s">
        <v>5291</v>
      </c>
      <c r="L251" s="611" t="str">
        <f t="shared" si="168"/>
        <v>V, S</v>
      </c>
      <c r="M251" s="347" t="s">
        <v>2373</v>
      </c>
      <c r="N251" s="347" t="s">
        <v>2387</v>
      </c>
      <c r="O251" s="347" t="s">
        <v>3034</v>
      </c>
      <c r="P251" s="346" t="str">
        <f>""</f>
        <v/>
      </c>
      <c r="Q251" s="347" t="s">
        <v>5274</v>
      </c>
      <c r="S251" s="346" t="s">
        <v>5786</v>
      </c>
      <c r="T251" s="346" t="str">
        <f t="shared" si="169"/>
        <v xml:space="preserve">Arcane Trickster, Wizard, </v>
      </c>
      <c r="AC251" s="539" t="str">
        <f>B251</f>
        <v>Phantasmal Killer</v>
      </c>
      <c r="AD251" s="347" t="str">
        <f>$B251</f>
        <v>Phantasmal Killer</v>
      </c>
      <c r="AE251" t="str">
        <f>IF(IFERROR(MATCH($B251,temp!A$4:A$13,0),0)&gt;0,T08_Spells!AE$2,"")</f>
        <v/>
      </c>
      <c r="AF251" t="str">
        <f>IF(IFERROR(MATCH($B251,temp!B$4:B$13,0),0)&gt;0,T08_Spells!AF$2,"")</f>
        <v/>
      </c>
      <c r="AG251" t="str">
        <f>IF(IFERROR(MATCH($B251,temp!C$4:C$13,0),0)&gt;0,T08_Spells!AG$2,"")</f>
        <v/>
      </c>
      <c r="AH251" t="str">
        <f>IF(IFERROR(MATCH($B251,temp!D$4:D$13,0),0)&gt;0,T08_Spells!AH$2,"")</f>
        <v/>
      </c>
      <c r="AI251" t="str">
        <f>IF(IFERROR(MATCH($B251,temp!E$4:E$13,0),0)&gt;0,T08_Spells!AI$2,"")</f>
        <v/>
      </c>
      <c r="AJ251" t="str">
        <f>IF(IFERROR(MATCH($B251,temp!F$4:F$13,0),0)&gt;0,T08_Spells!AJ$2,"")</f>
        <v/>
      </c>
      <c r="AK251" t="str">
        <f>IF(IFERROR(MATCH($B251,temp!G$4:G$13,0),0)&gt;0,T08_Spells!AK$2,"")</f>
        <v/>
      </c>
      <c r="AL251" t="str">
        <f>IF(IFERROR(MATCH($B251,temp!H$4:H$13,0),0)&gt;0,T08_Spells!AL$2,"")</f>
        <v/>
      </c>
      <c r="AM251" t="str">
        <f>IF(IFERROR(MATCH($B251,temp!I$4:I$13,0),0)&gt;0,T08_Spells!AM$2,"")</f>
        <v/>
      </c>
      <c r="AN251" t="str">
        <f>IF(IFERROR(MATCH($B251,temp!J$4:J$13,0),0)&gt;0,T08_Spells!AN$2,"")</f>
        <v/>
      </c>
      <c r="AO251" t="str">
        <f>IF(IFERROR(MATCH($B251,temp!K$4:K$13,0),0)&gt;0,T08_Spells!AO$2,"")</f>
        <v/>
      </c>
      <c r="AP251" t="str">
        <f>IF(IFERROR(MATCH($B251,temp!L$4:L$13,0),0)&gt;0,T08_Spells!AP$2,"")</f>
        <v/>
      </c>
      <c r="AQ251" t="str">
        <f>IF(IFERROR(MATCH($B251,temp!M$4:M$13,0),0)&gt;0,T08_Spells!AQ$2,"")</f>
        <v/>
      </c>
      <c r="AR251" t="str">
        <f>IF(IFERROR(MATCH($B251,temp!N$4:N$13,0),0)&gt;0,T08_Spells!AR$2,"")</f>
        <v/>
      </c>
      <c r="AS251" t="str">
        <f>IF(IFERROR(MATCH($B251,temp!O$4:O$13,0),0)&gt;0,T08_Spells!AS$2,"")</f>
        <v/>
      </c>
      <c r="AT251" t="str">
        <f>IF(IFERROR(MATCH($B251,temp!P$4:P$13,0),0)&gt;0,T08_Spells!AT$2,"")</f>
        <v/>
      </c>
      <c r="AU251" t="str">
        <f>IF(IFERROR(MATCH($B251,temp!Q$4:Q$13,0),0)&gt;0,T08_Spells!AU$2,"")</f>
        <v/>
      </c>
      <c r="AV251" t="str">
        <f>IF(IFERROR(MATCH($B251,temp!R$4:R$13,0),0)&gt;0,T08_Spells!AV$2,"")</f>
        <v/>
      </c>
      <c r="AW251" t="str">
        <f>IF(IFERROR(MATCH($B251,temp!S$4:S$13,0),0)&gt;0,T08_Spells!AW$2,"")</f>
        <v/>
      </c>
      <c r="AX251" t="str">
        <f>IF(IFERROR(MATCH($B251,temp!T$4:T$13,0),0)&gt;0,T08_Spells!AX$2,"")</f>
        <v/>
      </c>
      <c r="AY251" t="str">
        <f>IF(IFERROR(MATCH($B251,temp!U$4:U$13,0),0)&gt;0,T08_Spells!AY$2,"")</f>
        <v/>
      </c>
      <c r="AZ251" t="str">
        <f>IF(IFERROR(MATCH($B251,temp!V$4:V$13,0),0)&gt;0,T08_Spells!AZ$2,"")</f>
        <v/>
      </c>
      <c r="BA251" t="str">
        <f>IF(IFERROR(MATCH($B251,temp!W$4:W$13,0),0)&gt;0,T08_Spells!BA$2,"")</f>
        <v/>
      </c>
      <c r="BC251">
        <f>IF(IFERROR(SEARCH("Ranger",$T251,1),0)&gt;0,1,0)*IF(RangerMaxSpellLevel&gt;=$C251,1,0)*IF(IFERROR(MATCH(B251,Character_Creation!$X$79:$X$382,0),0)&gt;0,0,1)</f>
        <v>0</v>
      </c>
      <c r="BD251">
        <f>IF(BC251=0,0,1+COUNTIF(BD$3:BD250,"&gt;0"))</f>
        <v>0</v>
      </c>
      <c r="BE251" t="str">
        <f t="shared" si="199"/>
        <v/>
      </c>
      <c r="BF251" t="str">
        <f t="shared" si="170"/>
        <v/>
      </c>
      <c r="BH251">
        <f>IF(IFERROR(SEARCH("Sorcerer",$T251,1),0)&gt;0,1,0)*IF(SorcererMaxSpellLevel&gt;=$C251,1,0)*IF(IFERROR(MATCH(B251,Character_Creation!$J$380:$J$394,0),0)&gt;0,0,1)</f>
        <v>0</v>
      </c>
      <c r="BI251">
        <f>IF(BH251=0,0,1+COUNTIF(BI$3:BI250,"&gt;0"))</f>
        <v>0</v>
      </c>
      <c r="BJ251" t="str">
        <f t="shared" si="200"/>
        <v/>
      </c>
      <c r="BK251" t="str">
        <f t="shared" si="171"/>
        <v/>
      </c>
      <c r="BM251">
        <f>IF(OR(IFERROR(SEARCH("Warlock",$T251,1),0)&gt;0,IFERROR(SEARCH(WarlockPatron,$T251,1),0)&gt;0),1,0)*IF(WarlockMaxSpellLevel&gt;=$C251,1,0)*IF(IFERROR(MATCH(B251,Character_Creation!$J$361:$J$375,0),0)&gt;0,0,1)</f>
        <v>0</v>
      </c>
      <c r="BN251">
        <f>IF(BM251=0,0,1+COUNTIF(BN$3:BN250,"&gt;0"))</f>
        <v>0</v>
      </c>
      <c r="BO251" t="str">
        <f t="shared" si="201"/>
        <v/>
      </c>
      <c r="BP251" t="str">
        <f t="shared" si="172"/>
        <v/>
      </c>
      <c r="BR251">
        <f>IF(IFERROR(SEARCH("Eldritch Knight",$T251,1),0)&gt;0,1,0)*IF(EldritchKnightMaxSpellLevel&gt;=$C251,1,0)*IF(IFERROR(MATCH($B251,Character_Creation!$J$350:$J$356,0),0)&gt;0,0,1)*IF(Character_Creation!$M$338&gt;0,1,0)</f>
        <v>0</v>
      </c>
      <c r="BS251">
        <f>IF(BR251=0,0,1+COUNTIF(BS$3:BS250,"&gt;0"))</f>
        <v>0</v>
      </c>
      <c r="BT251" t="str">
        <f t="shared" si="202"/>
        <v/>
      </c>
      <c r="BU251" t="str">
        <f t="shared" si="173"/>
        <v/>
      </c>
      <c r="BW251">
        <f>IF(IFERROR(SEARCH("Arcane Trickster",$T251,1),0)&gt;0,1,0)*IF(ArcaneTricksterMaxSpellLevel&gt;=$C251,1,0)*IF(IFERROR(MATCH($B251,Character_Creation!$J$350:$J$356,0),0)&gt;0,0,1)*IF(Character_Creation!$T$338&gt;0,1,0)</f>
        <v>0</v>
      </c>
      <c r="BX251">
        <f>IF(BW251=0,0,1+COUNTIF(BX$3:BX250,"&gt;0"))</f>
        <v>0</v>
      </c>
      <c r="BY251" t="str">
        <f t="shared" si="203"/>
        <v/>
      </c>
      <c r="BZ251" t="str">
        <f t="shared" si="174"/>
        <v/>
      </c>
      <c r="CB251">
        <f>IF(IFERROR(SEARCH("Wizard",$T251,1),0)&gt;0,1,0)*IF(C251&lt;=ArcaneTricksterMaxSpellLevel,1,0)*IF(IFERROR(MATCH($B251,Character_Creation!$J$350:$J$356,0),0)&gt;0,0,1)*IF(Character_Creation!$T$350&gt;0,1,0)</f>
        <v>0</v>
      </c>
      <c r="CC251">
        <f>IF(CB251=0,0,1+COUNTIF(CC$3:CC250,"&gt;0"))</f>
        <v>0</v>
      </c>
      <c r="CD251" t="str">
        <f t="shared" si="204"/>
        <v/>
      </c>
      <c r="CE251" t="str">
        <f t="shared" si="175"/>
        <v/>
      </c>
      <c r="CG251">
        <f>IF(IFERROR(SEARCH("Wizard",$T251,1),0)&gt;0,1,0)*IF($C251&lt;=EldritchKnightMaxSpellLevel,1,0)*IF(IFERROR(MATCH($B251,Character_Creation!$J$350:$J$356,0),0)&gt;0,0,1)*IF(Character_Creation!$M$350&gt;0,1,0)</f>
        <v>0</v>
      </c>
      <c r="CH251">
        <f>IF(CG251=0,0,1+COUNTIF(CH$3:CH250,"&gt;0"))</f>
        <v>0</v>
      </c>
      <c r="CI251" t="str">
        <f t="shared" si="205"/>
        <v/>
      </c>
      <c r="CJ251" t="str">
        <f t="shared" si="176"/>
        <v/>
      </c>
      <c r="CL251">
        <f>IF(IFERROR(SEARCH("Bard",$T251,1),0)&gt;0,1,0)*IF(BardMaxSpellLevel&gt;=$C251,1,0)*IF(IFERROR(MATCH(B251,Character_Creation!$C$341:$F$362,0),0)&gt;0,0,1)*IF(IFERROR(MATCH($B251,Character_Creation!$C$341:$C$362,0),0)&gt;0,0,1)</f>
        <v>0</v>
      </c>
      <c r="CM251">
        <f>IF(CL251=0,0,1+COUNTIF(CM$3:CM250,"&gt;0"))</f>
        <v>0</v>
      </c>
      <c r="CN251" t="str">
        <f t="shared" si="206"/>
        <v/>
      </c>
      <c r="CO251" t="str">
        <f t="shared" si="177"/>
        <v/>
      </c>
      <c r="CQ251">
        <f>IF(IFERROR(SEARCH("Wizard",$T251,1),0)&gt;0,1,0)*IF(WizardMaxSpellLevel&gt;=$C251,1,0)*IF(IFERROR(MATCH(B251,Character_Creation!$X$341:$X$400,0),0)&gt;0,0,1)*IF(SelectedWizardSpellLevel=$C251,1,0)</f>
        <v>0</v>
      </c>
      <c r="CR251">
        <f>IF(CQ251=0,0,1+COUNTIF(CR$3:CR250,"&gt;0"))</f>
        <v>0</v>
      </c>
      <c r="CS251" t="str">
        <f t="shared" si="207"/>
        <v/>
      </c>
      <c r="CT251" t="str">
        <f t="shared" si="178"/>
        <v/>
      </c>
      <c r="CV251">
        <f>IF(IFERROR(MATCH($B251,Character_Creation!$C$341:$C$362,0),0)&gt;0,0,1)*IF(OR(C251="Cantrip",C251&lt;=BardMaxSpellLevel),1,0)*IF(IFERROR(MATCH($B251,Character_Creation!$C$367:$C$374,0),0)&gt;0,0,1)</f>
        <v>0</v>
      </c>
      <c r="CW251">
        <f>IF(CV251=0,0,1+COUNTIF(CW$3:CW250,"&gt;0"))</f>
        <v>0</v>
      </c>
      <c r="CX251" t="str">
        <f t="shared" si="208"/>
        <v/>
      </c>
      <c r="CY251" t="str">
        <f t="shared" si="179"/>
        <v/>
      </c>
      <c r="DA251">
        <f>IF(IF(OR(IFERROR(SEARCH("Cleric",$T251,1),0)&gt;0,IFERROR(SEARCH(DivineDomain&amp;",",$T251,1),0)&gt;0),1,0)*IF($C251=DA$2,1,0)=1,1+COUNTIF(DA$3:DA250,"&gt;0"),0)</f>
        <v>0</v>
      </c>
      <c r="DB251">
        <f>IF(IF(OR(IFERROR(SEARCH("Cleric",$T251,1),0)&gt;0,IFERROR(SEARCH(DivineDomain&amp;",",$T251,1),0)&gt;0),1,0)*IF($C251=DB$2,1,0)=1,1+COUNTIF(DB$3:DB250,"&gt;0"),0)</f>
        <v>0</v>
      </c>
      <c r="DC251">
        <f>IF(IF(OR(IFERROR(SEARCH("Cleric",$T251,1),0)&gt;0,IFERROR(SEARCH(DivineDomain&amp;",",$T251,1),0)&gt;0),1,0)*IF($C251=DC$2,1,0)=1,1+COUNTIF(DC$3:DC250,"&gt;0"),0)</f>
        <v>0</v>
      </c>
      <c r="DD251">
        <f>IF(IF(OR(IFERROR(SEARCH("Cleric",$T251,1),0)&gt;0,IFERROR(SEARCH(DivineDomain&amp;",",$T251,1),0)&gt;0),1,0)*IF($C251=DD$2,1,0)=1,1+COUNTIF(DD$3:DD250,"&gt;0"),0)</f>
        <v>0</v>
      </c>
      <c r="DE251">
        <f>IF(IF(OR(IFERROR(SEARCH("Cleric",$T251,1),0)&gt;0,IFERROR(SEARCH(DivineDomain&amp;",",$T251,1),0)&gt;0),1,0)*IF($C251=DE$2,1,0)=1,1+COUNTIF(DE$3:DE250,"&gt;0"),0)</f>
        <v>0</v>
      </c>
      <c r="DF251">
        <f>IF(IF(OR(IFERROR(SEARCH("Cleric",$T251,1),0)&gt;0,IFERROR(SEARCH(DivineDomain&amp;",",$T251,1),0)&gt;0),1,0)*IF($C251=DF$2,1,0)=1,1+COUNTIF(DF$3:DF250,"&gt;0"),0)</f>
        <v>0</v>
      </c>
      <c r="DG251">
        <f>IF(IF(OR(IFERROR(SEARCH("Cleric",$T251,1),0)&gt;0,IFERROR(SEARCH(DivineDomain&amp;",",$T251,1),0)&gt;0),1,0)*IF($C251=DG$2,1,0)=1,1+COUNTIF(DG$3:DG250,"&gt;0"),0)</f>
        <v>0</v>
      </c>
      <c r="DH251">
        <f>IF(IF(OR(IFERROR(SEARCH("Cleric",$T251,1),0)&gt;0,IFERROR(SEARCH(DivineDomain&amp;",",$T251,1),0)&gt;0),1,0)*IF($C251=DH$2,1,0)=1,1+COUNTIF(DH$3:DH250,"&gt;0"),0)</f>
        <v>0</v>
      </c>
      <c r="DI251">
        <f>IF(IF(OR(IFERROR(SEARCH("Cleric",$T251,1),0)&gt;0,IFERROR(SEARCH(DivineDomain&amp;",",$T251,1),0)&gt;0),1,0)*IF($C251=DI$2,1,0)=1,1+COUNTIF(DI$3:DI250,"&gt;0"),0)</f>
        <v>0</v>
      </c>
      <c r="DJ251">
        <f>IF(IF(OR(IFERROR(SEARCH("Druid",$T251,1),0)&gt;0,IFERROR(SEARCH(DruidLand1,$T251,1),0)&gt;0,IFERROR(SEARCH(DruidLand2,$T251,1),0)&gt;0,IFERROR(SEARCH(DruidLand3,$T251,1),0)&gt;0,IFERROR(SEARCH(DruidLand4,$T251,1),0)&gt;0),1,0)*IF($C251=1,1,0)*IF($C251=DJ$2,1,0)=0,0,1+COUNTIF(DJ$3:DJ250,"&gt;0"))</f>
        <v>0</v>
      </c>
      <c r="DK251">
        <f>IF(IF(OR(IFERROR(SEARCH("Druid",$T251,1),0)&gt;0,IFERROR(SEARCH(DruidLand1,$T251,1),0)&gt;0,IFERROR(SEARCH(DruidLand2,$T251,1),0)&gt;0,IFERROR(SEARCH(DruidLand3,$T251,1),0)&gt;0,IFERROR(SEARCH(DruidLand4,$T251,1),0)&gt;0),1,0)*IF($C251=1,1,0)*IF($C251=DK$2,1,0)=0,0,1+COUNTIF(DK$3:DK250,"&gt;0"))</f>
        <v>0</v>
      </c>
      <c r="DL251">
        <f>IF(IF(OR(IFERROR(SEARCH("Druid",$T251,1),0)&gt;0,IFERROR(SEARCH(DruidLand1,$T251,1),0)&gt;0,IFERROR(SEARCH(DruidLand2,$T251,1),0)&gt;0,IFERROR(SEARCH(DruidLand3,$T251,1),0)&gt;0,IFERROR(SEARCH(DruidLand4,$T251,1),0)&gt;0),1,0)*IF($C251=1,1,0)*IF($C251=DL$2,1,0)=0,0,1+COUNTIF(DL$3:DL250,"&gt;0"))</f>
        <v>0</v>
      </c>
      <c r="DM251">
        <f>IF(IF(OR(IFERROR(SEARCH("Druid",$T251,1),0)&gt;0,IFERROR(SEARCH(DruidLand1,$T251,1),0)&gt;0,IFERROR(SEARCH(DruidLand2,$T251,1),0)&gt;0,IFERROR(SEARCH(DruidLand3,$T251,1),0)&gt;0,IFERROR(SEARCH(DruidLand4,$T251,1),0)&gt;0),1,0)*IF($C251=1,1,0)*IF($C251=DM$2,1,0)=0,0,1+COUNTIF(DM$3:DM250,"&gt;0"))</f>
        <v>0</v>
      </c>
      <c r="DN251">
        <f>IF(IF(OR(IFERROR(SEARCH("Druid",$T251,1),0)&gt;0,IFERROR(SEARCH(DruidLand1,$T251,1),0)&gt;0,IFERROR(SEARCH(DruidLand2,$T251,1),0)&gt;0,IFERROR(SEARCH(DruidLand3,$T251,1),0)&gt;0,IFERROR(SEARCH(DruidLand4,$T251,1),0)&gt;0),1,0)*IF($C251=1,1,0)*IF($C251=DN$2,1,0)=0,0,1+COUNTIF(DN$3:DN250,"&gt;0"))</f>
        <v>0</v>
      </c>
      <c r="DO251">
        <f>IF(IF(OR(IFERROR(SEARCH("Druid",$T251,1),0)&gt;0,IFERROR(SEARCH(DruidLand1,$T251,1),0)&gt;0,IFERROR(SEARCH(DruidLand2,$T251,1),0)&gt;0,IFERROR(SEARCH(DruidLand3,$T251,1),0)&gt;0,IFERROR(SEARCH(DruidLand4,$T251,1),0)&gt;0),1,0)*IF($C251=1,1,0)*IF($C251=DO$2,1,0)=0,0,1+COUNTIF(DO$3:DO250,"&gt;0"))</f>
        <v>0</v>
      </c>
      <c r="DP251">
        <f>IF(IF(OR(IFERROR(SEARCH("Druid",$T251,1),0)&gt;0,IFERROR(SEARCH(DruidLand1,$T251,1),0)&gt;0,IFERROR(SEARCH(DruidLand2,$T251,1),0)&gt;0,IFERROR(SEARCH(DruidLand3,$T251,1),0)&gt;0,IFERROR(SEARCH(DruidLand4,$T251,1),0)&gt;0),1,0)*IF($C251=1,1,0)*IF($C251=DP$2,1,0)=0,0,1+COUNTIF(DP$3:DP250,"&gt;0"))</f>
        <v>0</v>
      </c>
      <c r="DQ251">
        <f>IF(IF(OR(IFERROR(SEARCH("Druid",$T251,1),0)&gt;0,IFERROR(SEARCH(DruidLand1,$T251,1),0)&gt;0,IFERROR(SEARCH(DruidLand2,$T251,1),0)&gt;0,IFERROR(SEARCH(DruidLand3,$T251,1),0)&gt;0,IFERROR(SEARCH(DruidLand4,$T251,1),0)&gt;0),1,0)*IF($C251=1,1,0)*IF($C251=DQ$2,1,0)=0,0,1+COUNTIF(DQ$3:DQ250,"&gt;0"))</f>
        <v>0</v>
      </c>
      <c r="DR251">
        <f>IF(IF(OR(IFERROR(SEARCH("Druid",$T251,1),0)&gt;0,IFERROR(SEARCH(DruidLand1,$T251,1),0)&gt;0,IFERROR(SEARCH(DruidLand2,$T251,1),0)&gt;0,IFERROR(SEARCH(DruidLand3,$T251,1),0)&gt;0,IFERROR(SEARCH(DruidLand4,$T251,1),0)&gt;0),1,0)*IF($C251=1,1,0)*IF($C251=DR$2,1,0)=0,0,1+COUNTIF(DR$3:DR250,"&gt;0"))</f>
        <v>0</v>
      </c>
      <c r="DS251">
        <f>IF(IF(OR(IFERROR(SEARCH("Paladin",$T251,1),0)&gt;0,IFERROR(SEARCH(PaladinOath,$T251,1),0)&gt;0),1,0)*IF($C251=DS$2,1,0)=1,1+COUNTIF(DS$3:DS250,"&gt;0"),0)</f>
        <v>0</v>
      </c>
      <c r="DT251">
        <f>IF(IF(OR(IFERROR(SEARCH("Paladin",$T251,1),0)&gt;0,IFERROR(SEARCH(PaladinOath,$T251,1),0)&gt;0),1,0)*IF($C251=DT$2,1,0)=1,1+COUNTIF(DT$3:DT250,"&gt;0"),0)</f>
        <v>0</v>
      </c>
      <c r="DU251">
        <f>IF(IF(OR(IFERROR(SEARCH("Paladin",$T251,1),0)&gt;0,IFERROR(SEARCH(PaladinOath,$T251,1),0)&gt;0),1,0)*IF($C251=DU$2,1,0)=1,1+COUNTIF(DU$3:DU250,"&gt;0"),0)</f>
        <v>0</v>
      </c>
      <c r="DV251">
        <f>IF(IF(OR(IFERROR(SEARCH("Paladin",$T251,1),0)&gt;0,IFERROR(SEARCH(PaladinOath,$T251,1),0)&gt;0),1,0)*IF($C251=DV$2,1,0)=1,1+COUNTIF(DV$3:DV250,"&gt;0"),0)</f>
        <v>0</v>
      </c>
      <c r="DW251">
        <f>IF(IF(OR(IFERROR(SEARCH("Paladin",$T251,1),0)&gt;0,IFERROR(SEARCH(PaladinOath,$T251,1),0)&gt;0),1,0)*IF($C251=DW$2,1,0)=1,1+COUNTIF(DW$3:DW250,"&gt;0"),0)</f>
        <v>0</v>
      </c>
      <c r="DY251">
        <f t="shared" si="166"/>
        <v>1</v>
      </c>
      <c r="DZ251">
        <f>IF(DY251=0,0,1+MAX(DZ$3:$DZ250))</f>
        <v>249</v>
      </c>
      <c r="EB251">
        <f t="shared" si="180"/>
        <v>0</v>
      </c>
      <c r="EC251">
        <f>IF(EB251=0,0,1+COUNTIF(EC$3:EC250,"&gt;0"))</f>
        <v>0</v>
      </c>
      <c r="ED251" t="str">
        <f t="shared" si="209"/>
        <v/>
      </c>
      <c r="EE251" t="str">
        <f t="shared" si="181"/>
        <v/>
      </c>
      <c r="EG251">
        <f t="shared" si="182"/>
        <v>0</v>
      </c>
      <c r="EH251">
        <f>IF(EG251=0,0,1+COUNTIF(EH$3:EH250,"&gt;0"))</f>
        <v>0</v>
      </c>
      <c r="EI251" t="str">
        <f t="shared" si="210"/>
        <v/>
      </c>
      <c r="EJ251" t="str">
        <f t="shared" si="183"/>
        <v/>
      </c>
      <c r="EL251">
        <f t="shared" si="184"/>
        <v>0</v>
      </c>
      <c r="EM251">
        <f>IF(EL251=0,0,1+COUNTIF(EM$3:EM250,"&gt;0"))</f>
        <v>0</v>
      </c>
      <c r="EN251" t="str">
        <f t="shared" si="211"/>
        <v/>
      </c>
      <c r="EO251" t="str">
        <f t="shared" si="185"/>
        <v/>
      </c>
      <c r="EQ251">
        <f t="shared" si="186"/>
        <v>0</v>
      </c>
      <c r="ER251">
        <f>IF(EQ251=0,0,1+COUNTIF(ER$3:ER250,"&gt;0"))</f>
        <v>0</v>
      </c>
      <c r="ES251" t="str">
        <f t="shared" si="212"/>
        <v/>
      </c>
      <c r="ET251" t="str">
        <f t="shared" si="187"/>
        <v/>
      </c>
      <c r="EV251">
        <f t="shared" si="188"/>
        <v>0</v>
      </c>
      <c r="EW251">
        <f>IF(EV251=0,0,1+COUNTIF(EW$3:EW250,"&gt;0"))</f>
        <v>0</v>
      </c>
      <c r="EX251" t="str">
        <f t="shared" si="213"/>
        <v/>
      </c>
      <c r="EY251" t="str">
        <f t="shared" si="189"/>
        <v/>
      </c>
      <c r="FA251">
        <f t="shared" si="190"/>
        <v>0</v>
      </c>
      <c r="FB251">
        <f>IF(FA251=0,0,1+COUNTIF(FB$3:FB250,"&gt;0"))</f>
        <v>0</v>
      </c>
      <c r="FC251" t="str">
        <f t="shared" si="214"/>
        <v/>
      </c>
      <c r="FD251" t="str">
        <f t="shared" si="191"/>
        <v/>
      </c>
      <c r="FF251">
        <f t="shared" si="192"/>
        <v>0</v>
      </c>
      <c r="FG251">
        <f>IF(FF251=0,0,1+COUNTIF(FG$3:FG250,"&gt;0"))</f>
        <v>0</v>
      </c>
      <c r="FH251" t="str">
        <f t="shared" si="215"/>
        <v/>
      </c>
      <c r="FI251" t="str">
        <f t="shared" si="193"/>
        <v/>
      </c>
      <c r="FK251">
        <f t="shared" si="194"/>
        <v>0</v>
      </c>
      <c r="FL251">
        <f>IF(FK251=0,0,1+COUNTIF(FL$3:FL250,"&gt;0"))</f>
        <v>0</v>
      </c>
      <c r="FM251" t="str">
        <f t="shared" si="216"/>
        <v/>
      </c>
      <c r="FN251" t="str">
        <f t="shared" si="195"/>
        <v/>
      </c>
      <c r="FP251">
        <f t="shared" si="196"/>
        <v>0</v>
      </c>
      <c r="FQ251">
        <f>IF(FP251=0,0,1+COUNTIF(FQ$3:FQ250,"&gt;0"))</f>
        <v>0</v>
      </c>
      <c r="FR251" t="str">
        <f t="shared" si="217"/>
        <v/>
      </c>
      <c r="FS251" t="str">
        <f t="shared" si="197"/>
        <v/>
      </c>
    </row>
    <row r="252" spans="1:175" x14ac:dyDescent="0.25">
      <c r="A252" s="347">
        <f t="shared" si="219"/>
        <v>250</v>
      </c>
      <c r="B252" s="348" t="s">
        <v>2632</v>
      </c>
      <c r="C252" s="348">
        <v>3</v>
      </c>
      <c r="D252" s="347">
        <v>3</v>
      </c>
      <c r="E252" s="627" t="s">
        <v>6952</v>
      </c>
      <c r="F252" s="346"/>
      <c r="G252" s="347" t="s">
        <v>5269</v>
      </c>
      <c r="H252" s="347" t="s">
        <v>5281</v>
      </c>
      <c r="I252" s="347" t="s">
        <v>5060</v>
      </c>
      <c r="J252" s="347" t="str">
        <f t="shared" si="167"/>
        <v/>
      </c>
      <c r="K252" s="347" t="s">
        <v>5293</v>
      </c>
      <c r="L252" s="611" t="str">
        <f t="shared" si="168"/>
        <v>V, S</v>
      </c>
      <c r="M252" s="347" t="s">
        <v>2373</v>
      </c>
      <c r="N252" s="347" t="s">
        <v>2387</v>
      </c>
      <c r="O252" s="347" t="s">
        <v>3034</v>
      </c>
      <c r="P252" s="346" t="str">
        <f>""</f>
        <v/>
      </c>
      <c r="Q252" s="347" t="s">
        <v>5274</v>
      </c>
      <c r="S252" s="346" t="s">
        <v>5787</v>
      </c>
      <c r="T252" s="346" t="str">
        <f t="shared" si="169"/>
        <v xml:space="preserve">Arcane Trickster, Wizard, </v>
      </c>
      <c r="AC252" s="539" t="str">
        <f>B252</f>
        <v>Phantom Steed</v>
      </c>
      <c r="AD252" s="347" t="str">
        <f>$B252</f>
        <v>Phantom Steed</v>
      </c>
      <c r="AE252" t="str">
        <f>IF(IFERROR(MATCH($B252,temp!A$4:A$13,0),0)&gt;0,T08_Spells!AE$2,"")</f>
        <v/>
      </c>
      <c r="AF252" t="str">
        <f>IF(IFERROR(MATCH($B252,temp!B$4:B$13,0),0)&gt;0,T08_Spells!AF$2,"")</f>
        <v/>
      </c>
      <c r="AG252" t="str">
        <f>IF(IFERROR(MATCH($B252,temp!C$4:C$13,0),0)&gt;0,T08_Spells!AG$2,"")</f>
        <v/>
      </c>
      <c r="AH252" t="str">
        <f>IF(IFERROR(MATCH($B252,temp!D$4:D$13,0),0)&gt;0,T08_Spells!AH$2,"")</f>
        <v/>
      </c>
      <c r="AI252" t="str">
        <f>IF(IFERROR(MATCH($B252,temp!E$4:E$13,0),0)&gt;0,T08_Spells!AI$2,"")</f>
        <v/>
      </c>
      <c r="AJ252" t="str">
        <f>IF(IFERROR(MATCH($B252,temp!F$4:F$13,0),0)&gt;0,T08_Spells!AJ$2,"")</f>
        <v/>
      </c>
      <c r="AK252" t="str">
        <f>IF(IFERROR(MATCH($B252,temp!G$4:G$13,0),0)&gt;0,T08_Spells!AK$2,"")</f>
        <v/>
      </c>
      <c r="AL252" t="str">
        <f>IF(IFERROR(MATCH($B252,temp!H$4:H$13,0),0)&gt;0,T08_Spells!AL$2,"")</f>
        <v/>
      </c>
      <c r="AM252" t="str">
        <f>IF(IFERROR(MATCH($B252,temp!I$4:I$13,0),0)&gt;0,T08_Spells!AM$2,"")</f>
        <v/>
      </c>
      <c r="AN252" t="str">
        <f>IF(IFERROR(MATCH($B252,temp!J$4:J$13,0),0)&gt;0,T08_Spells!AN$2,"")</f>
        <v/>
      </c>
      <c r="AO252" t="str">
        <f>IF(IFERROR(MATCH($B252,temp!K$4:K$13,0),0)&gt;0,T08_Spells!AO$2,"")</f>
        <v/>
      </c>
      <c r="AP252" t="str">
        <f>IF(IFERROR(MATCH($B252,temp!L$4:L$13,0),0)&gt;0,T08_Spells!AP$2,"")</f>
        <v/>
      </c>
      <c r="AQ252" t="str">
        <f>IF(IFERROR(MATCH($B252,temp!M$4:M$13,0),0)&gt;0,T08_Spells!AQ$2,"")</f>
        <v/>
      </c>
      <c r="AR252" t="str">
        <f>IF(IFERROR(MATCH($B252,temp!N$4:N$13,0),0)&gt;0,T08_Spells!AR$2,"")</f>
        <v/>
      </c>
      <c r="AS252" t="str">
        <f>IF(IFERROR(MATCH($B252,temp!O$4:O$13,0),0)&gt;0,T08_Spells!AS$2,"")</f>
        <v/>
      </c>
      <c r="AT252" t="str">
        <f>IF(IFERROR(MATCH($B252,temp!P$4:P$13,0),0)&gt;0,T08_Spells!AT$2,"")</f>
        <v/>
      </c>
      <c r="AU252" t="str">
        <f>IF(IFERROR(MATCH($B252,temp!Q$4:Q$13,0),0)&gt;0,T08_Spells!AU$2,"")</f>
        <v/>
      </c>
      <c r="AV252" t="str">
        <f>IF(IFERROR(MATCH($B252,temp!R$4:R$13,0),0)&gt;0,T08_Spells!AV$2,"")</f>
        <v/>
      </c>
      <c r="AW252" t="str">
        <f>IF(IFERROR(MATCH($B252,temp!S$4:S$13,0),0)&gt;0,T08_Spells!AW$2,"")</f>
        <v/>
      </c>
      <c r="AX252" t="str">
        <f>IF(IFERROR(MATCH($B252,temp!T$4:T$13,0),0)&gt;0,T08_Spells!AX$2,"")</f>
        <v/>
      </c>
      <c r="AY252" t="str">
        <f>IF(IFERROR(MATCH($B252,temp!U$4:U$13,0),0)&gt;0,T08_Spells!AY$2,"")</f>
        <v/>
      </c>
      <c r="AZ252" t="str">
        <f>IF(IFERROR(MATCH($B252,temp!V$4:V$13,0),0)&gt;0,T08_Spells!AZ$2,"")</f>
        <v/>
      </c>
      <c r="BA252" t="str">
        <f>IF(IFERROR(MATCH($B252,temp!W$4:W$13,0),0)&gt;0,T08_Spells!BA$2,"")</f>
        <v/>
      </c>
      <c r="BC252">
        <f>IF(IFERROR(SEARCH("Ranger",$T252,1),0)&gt;0,1,0)*IF(RangerMaxSpellLevel&gt;=$C252,1,0)*IF(IFERROR(MATCH(B252,Character_Creation!$X$79:$X$382,0),0)&gt;0,0,1)</f>
        <v>0</v>
      </c>
      <c r="BD252">
        <f>IF(BC252=0,0,1+COUNTIF(BD$3:BD251,"&gt;0"))</f>
        <v>0</v>
      </c>
      <c r="BE252" t="str">
        <f t="shared" si="199"/>
        <v/>
      </c>
      <c r="BF252" t="str">
        <f t="shared" si="170"/>
        <v/>
      </c>
      <c r="BH252">
        <f>IF(IFERROR(SEARCH("Sorcerer",$T252,1),0)&gt;0,1,0)*IF(SorcererMaxSpellLevel&gt;=$C252,1,0)*IF(IFERROR(MATCH(B252,Character_Creation!$J$380:$J$394,0),0)&gt;0,0,1)</f>
        <v>0</v>
      </c>
      <c r="BI252">
        <f>IF(BH252=0,0,1+COUNTIF(BI$3:BI251,"&gt;0"))</f>
        <v>0</v>
      </c>
      <c r="BJ252" t="str">
        <f t="shared" si="200"/>
        <v/>
      </c>
      <c r="BK252" t="str">
        <f t="shared" si="171"/>
        <v/>
      </c>
      <c r="BM252">
        <f>IF(OR(IFERROR(SEARCH("Warlock",$T252,1),0)&gt;0,IFERROR(SEARCH(WarlockPatron,$T252,1),0)&gt;0),1,0)*IF(WarlockMaxSpellLevel&gt;=$C252,1,0)*IF(IFERROR(MATCH(B252,Character_Creation!$J$361:$J$375,0),0)&gt;0,0,1)</f>
        <v>0</v>
      </c>
      <c r="BN252">
        <f>IF(BM252=0,0,1+COUNTIF(BN$3:BN251,"&gt;0"))</f>
        <v>0</v>
      </c>
      <c r="BO252" t="str">
        <f t="shared" si="201"/>
        <v/>
      </c>
      <c r="BP252" t="str">
        <f t="shared" si="172"/>
        <v/>
      </c>
      <c r="BR252">
        <f>IF(IFERROR(SEARCH("Eldritch Knight",$T252,1),0)&gt;0,1,0)*IF(EldritchKnightMaxSpellLevel&gt;=$C252,1,0)*IF(IFERROR(MATCH($B252,Character_Creation!$J$350:$J$356,0),0)&gt;0,0,1)*IF(Character_Creation!$M$338&gt;0,1,0)</f>
        <v>0</v>
      </c>
      <c r="BS252">
        <f>IF(BR252=0,0,1+COUNTIF(BS$3:BS251,"&gt;0"))</f>
        <v>0</v>
      </c>
      <c r="BT252" t="str">
        <f t="shared" si="202"/>
        <v/>
      </c>
      <c r="BU252" t="str">
        <f t="shared" si="173"/>
        <v/>
      </c>
      <c r="BW252">
        <f>IF(IFERROR(SEARCH("Arcane Trickster",$T252,1),0)&gt;0,1,0)*IF(ArcaneTricksterMaxSpellLevel&gt;=$C252,1,0)*IF(IFERROR(MATCH($B252,Character_Creation!$J$350:$J$356,0),0)&gt;0,0,1)*IF(Character_Creation!$T$338&gt;0,1,0)</f>
        <v>0</v>
      </c>
      <c r="BX252">
        <f>IF(BW252=0,0,1+COUNTIF(BX$3:BX251,"&gt;0"))</f>
        <v>0</v>
      </c>
      <c r="BY252" t="str">
        <f t="shared" si="203"/>
        <v/>
      </c>
      <c r="BZ252" t="str">
        <f t="shared" si="174"/>
        <v/>
      </c>
      <c r="CB252">
        <f>IF(IFERROR(SEARCH("Wizard",$T252,1),0)&gt;0,1,0)*IF(C252&lt;=ArcaneTricksterMaxSpellLevel,1,0)*IF(IFERROR(MATCH($B252,Character_Creation!$J$350:$J$356,0),0)&gt;0,0,1)*IF(Character_Creation!$T$350&gt;0,1,0)</f>
        <v>0</v>
      </c>
      <c r="CC252">
        <f>IF(CB252=0,0,1+COUNTIF(CC$3:CC251,"&gt;0"))</f>
        <v>0</v>
      </c>
      <c r="CD252" t="str">
        <f t="shared" si="204"/>
        <v/>
      </c>
      <c r="CE252" t="str">
        <f t="shared" si="175"/>
        <v/>
      </c>
      <c r="CG252">
        <f>IF(IFERROR(SEARCH("Wizard",$T252,1),0)&gt;0,1,0)*IF($C252&lt;=EldritchKnightMaxSpellLevel,1,0)*IF(IFERROR(MATCH($B252,Character_Creation!$J$350:$J$356,0),0)&gt;0,0,1)*IF(Character_Creation!$M$350&gt;0,1,0)</f>
        <v>0</v>
      </c>
      <c r="CH252">
        <f>IF(CG252=0,0,1+COUNTIF(CH$3:CH251,"&gt;0"))</f>
        <v>0</v>
      </c>
      <c r="CI252" t="str">
        <f t="shared" si="205"/>
        <v/>
      </c>
      <c r="CJ252" t="str">
        <f t="shared" si="176"/>
        <v/>
      </c>
      <c r="CL252">
        <f>IF(IFERROR(SEARCH("Bard",$T252,1),0)&gt;0,1,0)*IF(BardMaxSpellLevel&gt;=$C252,1,0)*IF(IFERROR(MATCH(B252,Character_Creation!$C$341:$F$362,0),0)&gt;0,0,1)*IF(IFERROR(MATCH($B252,Character_Creation!$C$341:$C$362,0),0)&gt;0,0,1)</f>
        <v>0</v>
      </c>
      <c r="CM252">
        <f>IF(CL252=0,0,1+COUNTIF(CM$3:CM251,"&gt;0"))</f>
        <v>0</v>
      </c>
      <c r="CN252" t="str">
        <f t="shared" si="206"/>
        <v/>
      </c>
      <c r="CO252" t="str">
        <f t="shared" si="177"/>
        <v/>
      </c>
      <c r="CQ252">
        <f>IF(IFERROR(SEARCH("Wizard",$T252,1),0)&gt;0,1,0)*IF(WizardMaxSpellLevel&gt;=$C252,1,0)*IF(IFERROR(MATCH(B252,Character_Creation!$X$341:$X$400,0),0)&gt;0,0,1)*IF(SelectedWizardSpellLevel=$C252,1,0)</f>
        <v>1</v>
      </c>
      <c r="CR252">
        <f>IF(CQ252=0,0,1+COUNTIF(CR$3:CR251,"&gt;0"))</f>
        <v>18</v>
      </c>
      <c r="CS252" t="str">
        <f t="shared" si="207"/>
        <v/>
      </c>
      <c r="CT252" t="str">
        <f t="shared" si="178"/>
        <v/>
      </c>
      <c r="CV252">
        <f>IF(IFERROR(MATCH($B252,Character_Creation!$C$341:$C$362,0),0)&gt;0,0,1)*IF(OR(C252="Cantrip",C252&lt;=BardMaxSpellLevel),1,0)*IF(IFERROR(MATCH($B252,Character_Creation!$C$367:$C$374,0),0)&gt;0,0,1)</f>
        <v>0</v>
      </c>
      <c r="CW252">
        <f>IF(CV252=0,0,1+COUNTIF(CW$3:CW251,"&gt;0"))</f>
        <v>0</v>
      </c>
      <c r="CX252" t="str">
        <f t="shared" si="208"/>
        <v/>
      </c>
      <c r="CY252" t="str">
        <f t="shared" si="179"/>
        <v/>
      </c>
      <c r="DA252">
        <f>IF(IF(OR(IFERROR(SEARCH("Cleric",$T252,1),0)&gt;0,IFERROR(SEARCH(DivineDomain&amp;",",$T252,1),0)&gt;0),1,0)*IF($C252=DA$2,1,0)=1,1+COUNTIF(DA$3:DA251,"&gt;0"),0)</f>
        <v>0</v>
      </c>
      <c r="DB252">
        <f>IF(IF(OR(IFERROR(SEARCH("Cleric",$T252,1),0)&gt;0,IFERROR(SEARCH(DivineDomain&amp;",",$T252,1),0)&gt;0),1,0)*IF($C252=DB$2,1,0)=1,1+COUNTIF(DB$3:DB251,"&gt;0"),0)</f>
        <v>0</v>
      </c>
      <c r="DC252">
        <f>IF(IF(OR(IFERROR(SEARCH("Cleric",$T252,1),0)&gt;0,IFERROR(SEARCH(DivineDomain&amp;",",$T252,1),0)&gt;0),1,0)*IF($C252=DC$2,1,0)=1,1+COUNTIF(DC$3:DC251,"&gt;0"),0)</f>
        <v>0</v>
      </c>
      <c r="DD252">
        <f>IF(IF(OR(IFERROR(SEARCH("Cleric",$T252,1),0)&gt;0,IFERROR(SEARCH(DivineDomain&amp;",",$T252,1),0)&gt;0),1,0)*IF($C252=DD$2,1,0)=1,1+COUNTIF(DD$3:DD251,"&gt;0"),0)</f>
        <v>0</v>
      </c>
      <c r="DE252">
        <f>IF(IF(OR(IFERROR(SEARCH("Cleric",$T252,1),0)&gt;0,IFERROR(SEARCH(DivineDomain&amp;",",$T252,1),0)&gt;0),1,0)*IF($C252=DE$2,1,0)=1,1+COUNTIF(DE$3:DE251,"&gt;0"),0)</f>
        <v>0</v>
      </c>
      <c r="DF252">
        <f>IF(IF(OR(IFERROR(SEARCH("Cleric",$T252,1),0)&gt;0,IFERROR(SEARCH(DivineDomain&amp;",",$T252,1),0)&gt;0),1,0)*IF($C252=DF$2,1,0)=1,1+COUNTIF(DF$3:DF251,"&gt;0"),0)</f>
        <v>0</v>
      </c>
      <c r="DG252">
        <f>IF(IF(OR(IFERROR(SEARCH("Cleric",$T252,1),0)&gt;0,IFERROR(SEARCH(DivineDomain&amp;",",$T252,1),0)&gt;0),1,0)*IF($C252=DG$2,1,0)=1,1+COUNTIF(DG$3:DG251,"&gt;0"),0)</f>
        <v>0</v>
      </c>
      <c r="DH252">
        <f>IF(IF(OR(IFERROR(SEARCH("Cleric",$T252,1),0)&gt;0,IFERROR(SEARCH(DivineDomain&amp;",",$T252,1),0)&gt;0),1,0)*IF($C252=DH$2,1,0)=1,1+COUNTIF(DH$3:DH251,"&gt;0"),0)</f>
        <v>0</v>
      </c>
      <c r="DI252">
        <f>IF(IF(OR(IFERROR(SEARCH("Cleric",$T252,1),0)&gt;0,IFERROR(SEARCH(DivineDomain&amp;",",$T252,1),0)&gt;0),1,0)*IF($C252=DI$2,1,0)=1,1+COUNTIF(DI$3:DI251,"&gt;0"),0)</f>
        <v>0</v>
      </c>
      <c r="DJ252">
        <f>IF(IF(OR(IFERROR(SEARCH("Druid",$T252,1),0)&gt;0,IFERROR(SEARCH(DruidLand1,$T252,1),0)&gt;0,IFERROR(SEARCH(DruidLand2,$T252,1),0)&gt;0,IFERROR(SEARCH(DruidLand3,$T252,1),0)&gt;0,IFERROR(SEARCH(DruidLand4,$T252,1),0)&gt;0),1,0)*IF($C252=1,1,0)*IF($C252=DJ$2,1,0)=0,0,1+COUNTIF(DJ$3:DJ251,"&gt;0"))</f>
        <v>0</v>
      </c>
      <c r="DK252">
        <f>IF(IF(OR(IFERROR(SEARCH("Druid",$T252,1),0)&gt;0,IFERROR(SEARCH(DruidLand1,$T252,1),0)&gt;0,IFERROR(SEARCH(DruidLand2,$T252,1),0)&gt;0,IFERROR(SEARCH(DruidLand3,$T252,1),0)&gt;0,IFERROR(SEARCH(DruidLand4,$T252,1),0)&gt;0),1,0)*IF($C252=1,1,0)*IF($C252=DK$2,1,0)=0,0,1+COUNTIF(DK$3:DK251,"&gt;0"))</f>
        <v>0</v>
      </c>
      <c r="DL252">
        <f>IF(IF(OR(IFERROR(SEARCH("Druid",$T252,1),0)&gt;0,IFERROR(SEARCH(DruidLand1,$T252,1),0)&gt;0,IFERROR(SEARCH(DruidLand2,$T252,1),0)&gt;0,IFERROR(SEARCH(DruidLand3,$T252,1),0)&gt;0,IFERROR(SEARCH(DruidLand4,$T252,1),0)&gt;0),1,0)*IF($C252=1,1,0)*IF($C252=DL$2,1,0)=0,0,1+COUNTIF(DL$3:DL251,"&gt;0"))</f>
        <v>0</v>
      </c>
      <c r="DM252">
        <f>IF(IF(OR(IFERROR(SEARCH("Druid",$T252,1),0)&gt;0,IFERROR(SEARCH(DruidLand1,$T252,1),0)&gt;0,IFERROR(SEARCH(DruidLand2,$T252,1),0)&gt;0,IFERROR(SEARCH(DruidLand3,$T252,1),0)&gt;0,IFERROR(SEARCH(DruidLand4,$T252,1),0)&gt;0),1,0)*IF($C252=1,1,0)*IF($C252=DM$2,1,0)=0,0,1+COUNTIF(DM$3:DM251,"&gt;0"))</f>
        <v>0</v>
      </c>
      <c r="DN252">
        <f>IF(IF(OR(IFERROR(SEARCH("Druid",$T252,1),0)&gt;0,IFERROR(SEARCH(DruidLand1,$T252,1),0)&gt;0,IFERROR(SEARCH(DruidLand2,$T252,1),0)&gt;0,IFERROR(SEARCH(DruidLand3,$T252,1),0)&gt;0,IFERROR(SEARCH(DruidLand4,$T252,1),0)&gt;0),1,0)*IF($C252=1,1,0)*IF($C252=DN$2,1,0)=0,0,1+COUNTIF(DN$3:DN251,"&gt;0"))</f>
        <v>0</v>
      </c>
      <c r="DO252">
        <f>IF(IF(OR(IFERROR(SEARCH("Druid",$T252,1),0)&gt;0,IFERROR(SEARCH(DruidLand1,$T252,1),0)&gt;0,IFERROR(SEARCH(DruidLand2,$T252,1),0)&gt;0,IFERROR(SEARCH(DruidLand3,$T252,1),0)&gt;0,IFERROR(SEARCH(DruidLand4,$T252,1),0)&gt;0),1,0)*IF($C252=1,1,0)*IF($C252=DO$2,1,0)=0,0,1+COUNTIF(DO$3:DO251,"&gt;0"))</f>
        <v>0</v>
      </c>
      <c r="DP252">
        <f>IF(IF(OR(IFERROR(SEARCH("Druid",$T252,1),0)&gt;0,IFERROR(SEARCH(DruidLand1,$T252,1),0)&gt;0,IFERROR(SEARCH(DruidLand2,$T252,1),0)&gt;0,IFERROR(SEARCH(DruidLand3,$T252,1),0)&gt;0,IFERROR(SEARCH(DruidLand4,$T252,1),0)&gt;0),1,0)*IF($C252=1,1,0)*IF($C252=DP$2,1,0)=0,0,1+COUNTIF(DP$3:DP251,"&gt;0"))</f>
        <v>0</v>
      </c>
      <c r="DQ252">
        <f>IF(IF(OR(IFERROR(SEARCH("Druid",$T252,1),0)&gt;0,IFERROR(SEARCH(DruidLand1,$T252,1),0)&gt;0,IFERROR(SEARCH(DruidLand2,$T252,1),0)&gt;0,IFERROR(SEARCH(DruidLand3,$T252,1),0)&gt;0,IFERROR(SEARCH(DruidLand4,$T252,1),0)&gt;0),1,0)*IF($C252=1,1,0)*IF($C252=DQ$2,1,0)=0,0,1+COUNTIF(DQ$3:DQ251,"&gt;0"))</f>
        <v>0</v>
      </c>
      <c r="DR252">
        <f>IF(IF(OR(IFERROR(SEARCH("Druid",$T252,1),0)&gt;0,IFERROR(SEARCH(DruidLand1,$T252,1),0)&gt;0,IFERROR(SEARCH(DruidLand2,$T252,1),0)&gt;0,IFERROR(SEARCH(DruidLand3,$T252,1),0)&gt;0,IFERROR(SEARCH(DruidLand4,$T252,1),0)&gt;0),1,0)*IF($C252=1,1,0)*IF($C252=DR$2,1,0)=0,0,1+COUNTIF(DR$3:DR251,"&gt;0"))</f>
        <v>0</v>
      </c>
      <c r="DS252">
        <f>IF(IF(OR(IFERROR(SEARCH("Paladin",$T252,1),0)&gt;0,IFERROR(SEARCH(PaladinOath,$T252,1),0)&gt;0),1,0)*IF($C252=DS$2,1,0)=1,1+COUNTIF(DS$3:DS251,"&gt;0"),0)</f>
        <v>0</v>
      </c>
      <c r="DT252">
        <f>IF(IF(OR(IFERROR(SEARCH("Paladin",$T252,1),0)&gt;0,IFERROR(SEARCH(PaladinOath,$T252,1),0)&gt;0),1,0)*IF($C252=DT$2,1,0)=1,1+COUNTIF(DT$3:DT251,"&gt;0"),0)</f>
        <v>0</v>
      </c>
      <c r="DU252">
        <f>IF(IF(OR(IFERROR(SEARCH("Paladin",$T252,1),0)&gt;0,IFERROR(SEARCH(PaladinOath,$T252,1),0)&gt;0),1,0)*IF($C252=DU$2,1,0)=1,1+COUNTIF(DU$3:DU251,"&gt;0"),0)</f>
        <v>0</v>
      </c>
      <c r="DV252">
        <f>IF(IF(OR(IFERROR(SEARCH("Paladin",$T252,1),0)&gt;0,IFERROR(SEARCH(PaladinOath,$T252,1),0)&gt;0),1,0)*IF($C252=DV$2,1,0)=1,1+COUNTIF(DV$3:DV251,"&gt;0"),0)</f>
        <v>0</v>
      </c>
      <c r="DW252">
        <f>IF(IF(OR(IFERROR(SEARCH("Paladin",$T252,1),0)&gt;0,IFERROR(SEARCH(PaladinOath,$T252,1),0)&gt;0),1,0)*IF($C252=DW$2,1,0)=1,1+COUNTIF(DW$3:DW251,"&gt;0"),0)</f>
        <v>0</v>
      </c>
      <c r="DY252">
        <f t="shared" si="166"/>
        <v>1</v>
      </c>
      <c r="DZ252">
        <f>IF(DY252=0,0,1+MAX(DZ$3:$DZ251))</f>
        <v>250</v>
      </c>
      <c r="EB252">
        <f t="shared" si="180"/>
        <v>0</v>
      </c>
      <c r="EC252">
        <f>IF(EB252=0,0,1+COUNTIF(EC$3:EC251,"&gt;0"))</f>
        <v>0</v>
      </c>
      <c r="ED252" t="str">
        <f t="shared" si="209"/>
        <v/>
      </c>
      <c r="EE252" t="str">
        <f t="shared" si="181"/>
        <v/>
      </c>
      <c r="EG252">
        <f t="shared" si="182"/>
        <v>0</v>
      </c>
      <c r="EH252">
        <f>IF(EG252=0,0,1+COUNTIF(EH$3:EH251,"&gt;0"))</f>
        <v>0</v>
      </c>
      <c r="EI252" t="str">
        <f t="shared" si="210"/>
        <v/>
      </c>
      <c r="EJ252" t="str">
        <f t="shared" si="183"/>
        <v/>
      </c>
      <c r="EL252">
        <f t="shared" si="184"/>
        <v>0</v>
      </c>
      <c r="EM252">
        <f>IF(EL252=0,0,1+COUNTIF(EM$3:EM251,"&gt;0"))</f>
        <v>0</v>
      </c>
      <c r="EN252" t="str">
        <f t="shared" si="211"/>
        <v/>
      </c>
      <c r="EO252" t="str">
        <f t="shared" si="185"/>
        <v/>
      </c>
      <c r="EQ252">
        <f t="shared" si="186"/>
        <v>0</v>
      </c>
      <c r="ER252">
        <f>IF(EQ252=0,0,1+COUNTIF(ER$3:ER251,"&gt;0"))</f>
        <v>0</v>
      </c>
      <c r="ES252" t="str">
        <f t="shared" si="212"/>
        <v/>
      </c>
      <c r="ET252" t="str">
        <f t="shared" si="187"/>
        <v/>
      </c>
      <c r="EV252">
        <f t="shared" si="188"/>
        <v>0</v>
      </c>
      <c r="EW252">
        <f>IF(EV252=0,0,1+COUNTIF(EW$3:EW251,"&gt;0"))</f>
        <v>0</v>
      </c>
      <c r="EX252" t="str">
        <f t="shared" si="213"/>
        <v/>
      </c>
      <c r="EY252" t="str">
        <f t="shared" si="189"/>
        <v/>
      </c>
      <c r="FA252">
        <f t="shared" si="190"/>
        <v>0</v>
      </c>
      <c r="FB252">
        <f>IF(FA252=0,0,1+COUNTIF(FB$3:FB251,"&gt;0"))</f>
        <v>0</v>
      </c>
      <c r="FC252" t="str">
        <f t="shared" si="214"/>
        <v/>
      </c>
      <c r="FD252" t="str">
        <f t="shared" si="191"/>
        <v/>
      </c>
      <c r="FF252">
        <f t="shared" si="192"/>
        <v>0</v>
      </c>
      <c r="FG252">
        <f>IF(FF252=0,0,1+COUNTIF(FG$3:FG251,"&gt;0"))</f>
        <v>0</v>
      </c>
      <c r="FH252" t="str">
        <f t="shared" si="215"/>
        <v/>
      </c>
      <c r="FI252" t="str">
        <f t="shared" si="193"/>
        <v/>
      </c>
      <c r="FK252">
        <f t="shared" si="194"/>
        <v>0</v>
      </c>
      <c r="FL252">
        <f>IF(FK252=0,0,1+COUNTIF(FL$3:FL251,"&gt;0"))</f>
        <v>0</v>
      </c>
      <c r="FM252" t="str">
        <f t="shared" si="216"/>
        <v/>
      </c>
      <c r="FN252" t="str">
        <f t="shared" si="195"/>
        <v/>
      </c>
      <c r="FP252">
        <f t="shared" si="196"/>
        <v>0</v>
      </c>
      <c r="FQ252">
        <f>IF(FP252=0,0,1+COUNTIF(FQ$3:FQ251,"&gt;0"))</f>
        <v>0</v>
      </c>
      <c r="FR252" t="str">
        <f t="shared" si="217"/>
        <v/>
      </c>
      <c r="FS252" t="str">
        <f t="shared" si="197"/>
        <v/>
      </c>
    </row>
    <row r="253" spans="1:175" x14ac:dyDescent="0.25">
      <c r="A253" s="347">
        <f t="shared" si="219"/>
        <v>251</v>
      </c>
      <c r="B253" s="348" t="s">
        <v>2633</v>
      </c>
      <c r="C253" s="348">
        <v>6</v>
      </c>
      <c r="D253" s="347">
        <v>6</v>
      </c>
      <c r="E253" s="627" t="s">
        <v>6952</v>
      </c>
      <c r="F253" s="346"/>
      <c r="G253" s="347" t="str">
        <f>""</f>
        <v/>
      </c>
      <c r="H253" s="347" t="s">
        <v>5319</v>
      </c>
      <c r="I253" s="347" t="s">
        <v>424</v>
      </c>
      <c r="J253" s="347" t="str">
        <f t="shared" si="167"/>
        <v/>
      </c>
      <c r="K253" s="347" t="s">
        <v>5278</v>
      </c>
      <c r="L253" s="611" t="str">
        <f t="shared" si="168"/>
        <v>V, S</v>
      </c>
      <c r="M253" s="347" t="s">
        <v>2373</v>
      </c>
      <c r="N253" s="347" t="s">
        <v>2387</v>
      </c>
      <c r="O253" s="347" t="s">
        <v>3034</v>
      </c>
      <c r="P253" s="346" t="str">
        <f>""</f>
        <v/>
      </c>
      <c r="Q253" s="347" t="s">
        <v>5271</v>
      </c>
      <c r="S253" s="346" t="s">
        <v>5788</v>
      </c>
      <c r="T253" s="346" t="str">
        <f t="shared" si="169"/>
        <v xml:space="preserve">Cleric, </v>
      </c>
      <c r="Z253" s="347" t="str">
        <f t="shared" ref="Z253:AA258" si="224">$B253</f>
        <v>Planar Ally</v>
      </c>
      <c r="AE253" t="str">
        <f>IF(IFERROR(MATCH($B253,temp!A$4:A$13,0),0)&gt;0,T08_Spells!AE$2,"")</f>
        <v/>
      </c>
      <c r="AF253" t="str">
        <f>IF(IFERROR(MATCH($B253,temp!B$4:B$13,0),0)&gt;0,T08_Spells!AF$2,"")</f>
        <v/>
      </c>
      <c r="AG253" t="str">
        <f>IF(IFERROR(MATCH($B253,temp!C$4:C$13,0),0)&gt;0,T08_Spells!AG$2,"")</f>
        <v/>
      </c>
      <c r="AH253" t="str">
        <f>IF(IFERROR(MATCH($B253,temp!D$4:D$13,0),0)&gt;0,T08_Spells!AH$2,"")</f>
        <v/>
      </c>
      <c r="AI253" t="str">
        <f>IF(IFERROR(MATCH($B253,temp!E$4:E$13,0),0)&gt;0,T08_Spells!AI$2,"")</f>
        <v/>
      </c>
      <c r="AJ253" t="str">
        <f>IF(IFERROR(MATCH($B253,temp!F$4:F$13,0),0)&gt;0,T08_Spells!AJ$2,"")</f>
        <v/>
      </c>
      <c r="AK253" t="str">
        <f>IF(IFERROR(MATCH($B253,temp!G$4:G$13,0),0)&gt;0,T08_Spells!AK$2,"")</f>
        <v/>
      </c>
      <c r="AL253" t="str">
        <f>IF(IFERROR(MATCH($B253,temp!H$4:H$13,0),0)&gt;0,T08_Spells!AL$2,"")</f>
        <v/>
      </c>
      <c r="AM253" t="str">
        <f>IF(IFERROR(MATCH($B253,temp!I$4:I$13,0),0)&gt;0,T08_Spells!AM$2,"")</f>
        <v/>
      </c>
      <c r="AN253" t="str">
        <f>IF(IFERROR(MATCH($B253,temp!J$4:J$13,0),0)&gt;0,T08_Spells!AN$2,"")</f>
        <v/>
      </c>
      <c r="AO253" t="str">
        <f>IF(IFERROR(MATCH($B253,temp!K$4:K$13,0),0)&gt;0,T08_Spells!AO$2,"")</f>
        <v/>
      </c>
      <c r="AP253" t="str">
        <f>IF(IFERROR(MATCH($B253,temp!L$4:L$13,0),0)&gt;0,T08_Spells!AP$2,"")</f>
        <v/>
      </c>
      <c r="AQ253" t="str">
        <f>IF(IFERROR(MATCH($B253,temp!M$4:M$13,0),0)&gt;0,T08_Spells!AQ$2,"")</f>
        <v/>
      </c>
      <c r="AR253" t="str">
        <f>IF(IFERROR(MATCH($B253,temp!N$4:N$13,0),0)&gt;0,T08_Spells!AR$2,"")</f>
        <v/>
      </c>
      <c r="AS253" t="str">
        <f>IF(IFERROR(MATCH($B253,temp!O$4:O$13,0),0)&gt;0,T08_Spells!AS$2,"")</f>
        <v/>
      </c>
      <c r="AT253" t="str">
        <f>IF(IFERROR(MATCH($B253,temp!P$4:P$13,0),0)&gt;0,T08_Spells!AT$2,"")</f>
        <v/>
      </c>
      <c r="AU253" t="str">
        <f>IF(IFERROR(MATCH($B253,temp!Q$4:Q$13,0),0)&gt;0,T08_Spells!AU$2,"")</f>
        <v/>
      </c>
      <c r="AV253" t="str">
        <f>IF(IFERROR(MATCH($B253,temp!R$4:R$13,0),0)&gt;0,T08_Spells!AV$2,"")</f>
        <v/>
      </c>
      <c r="AW253" t="str">
        <f>IF(IFERROR(MATCH($B253,temp!S$4:S$13,0),0)&gt;0,T08_Spells!AW$2,"")</f>
        <v/>
      </c>
      <c r="AX253" t="str">
        <f>IF(IFERROR(MATCH($B253,temp!T$4:T$13,0),0)&gt;0,T08_Spells!AX$2,"")</f>
        <v/>
      </c>
      <c r="AY253" t="str">
        <f>IF(IFERROR(MATCH($B253,temp!U$4:U$13,0),0)&gt;0,T08_Spells!AY$2,"")</f>
        <v/>
      </c>
      <c r="AZ253" t="str">
        <f>IF(IFERROR(MATCH($B253,temp!V$4:V$13,0),0)&gt;0,T08_Spells!AZ$2,"")</f>
        <v/>
      </c>
      <c r="BA253" t="str">
        <f>IF(IFERROR(MATCH($B253,temp!W$4:W$13,0),0)&gt;0,T08_Spells!BA$2,"")</f>
        <v/>
      </c>
      <c r="BC253">
        <f>IF(IFERROR(SEARCH("Ranger",$T253,1),0)&gt;0,1,0)*IF(RangerMaxSpellLevel&gt;=$C253,1,0)*IF(IFERROR(MATCH(B253,Character_Creation!$X$79:$X$382,0),0)&gt;0,0,1)</f>
        <v>0</v>
      </c>
      <c r="BD253">
        <f>IF(BC253=0,0,1+COUNTIF(BD$3:BD252,"&gt;0"))</f>
        <v>0</v>
      </c>
      <c r="BE253" t="str">
        <f t="shared" si="199"/>
        <v/>
      </c>
      <c r="BF253" t="str">
        <f t="shared" si="170"/>
        <v/>
      </c>
      <c r="BH253">
        <f>IF(IFERROR(SEARCH("Sorcerer",$T253,1),0)&gt;0,1,0)*IF(SorcererMaxSpellLevel&gt;=$C253,1,0)*IF(IFERROR(MATCH(B253,Character_Creation!$J$380:$J$394,0),0)&gt;0,0,1)</f>
        <v>0</v>
      </c>
      <c r="BI253">
        <f>IF(BH253=0,0,1+COUNTIF(BI$3:BI252,"&gt;0"))</f>
        <v>0</v>
      </c>
      <c r="BJ253" t="str">
        <f t="shared" si="200"/>
        <v/>
      </c>
      <c r="BK253" t="str">
        <f t="shared" si="171"/>
        <v/>
      </c>
      <c r="BM253">
        <f>IF(OR(IFERROR(SEARCH("Warlock",$T253,1),0)&gt;0,IFERROR(SEARCH(WarlockPatron,$T253,1),0)&gt;0),1,0)*IF(WarlockMaxSpellLevel&gt;=$C253,1,0)*IF(IFERROR(MATCH(B253,Character_Creation!$J$361:$J$375,0),0)&gt;0,0,1)</f>
        <v>0</v>
      </c>
      <c r="BN253">
        <f>IF(BM253=0,0,1+COUNTIF(BN$3:BN252,"&gt;0"))</f>
        <v>0</v>
      </c>
      <c r="BO253" t="str">
        <f t="shared" si="201"/>
        <v/>
      </c>
      <c r="BP253" t="str">
        <f t="shared" si="172"/>
        <v/>
      </c>
      <c r="BR253">
        <f>IF(IFERROR(SEARCH("Eldritch Knight",$T253,1),0)&gt;0,1,0)*IF(EldritchKnightMaxSpellLevel&gt;=$C253,1,0)*IF(IFERROR(MATCH($B253,Character_Creation!$J$350:$J$356,0),0)&gt;0,0,1)*IF(Character_Creation!$M$338&gt;0,1,0)</f>
        <v>0</v>
      </c>
      <c r="BS253">
        <f>IF(BR253=0,0,1+COUNTIF(BS$3:BS252,"&gt;0"))</f>
        <v>0</v>
      </c>
      <c r="BT253" t="str">
        <f t="shared" si="202"/>
        <v/>
      </c>
      <c r="BU253" t="str">
        <f t="shared" si="173"/>
        <v/>
      </c>
      <c r="BW253">
        <f>IF(IFERROR(SEARCH("Arcane Trickster",$T253,1),0)&gt;0,1,0)*IF(ArcaneTricksterMaxSpellLevel&gt;=$C253,1,0)*IF(IFERROR(MATCH($B253,Character_Creation!$J$350:$J$356,0),0)&gt;0,0,1)*IF(Character_Creation!$T$338&gt;0,1,0)</f>
        <v>0</v>
      </c>
      <c r="BX253">
        <f>IF(BW253=0,0,1+COUNTIF(BX$3:BX252,"&gt;0"))</f>
        <v>0</v>
      </c>
      <c r="BY253" t="str">
        <f t="shared" si="203"/>
        <v/>
      </c>
      <c r="BZ253" t="str">
        <f t="shared" si="174"/>
        <v/>
      </c>
      <c r="CB253">
        <f>IF(IFERROR(SEARCH("Wizard",$T253,1),0)&gt;0,1,0)*IF(C253&lt;=ArcaneTricksterMaxSpellLevel,1,0)*IF(IFERROR(MATCH($B253,Character_Creation!$J$350:$J$356,0),0)&gt;0,0,1)*IF(Character_Creation!$T$350&gt;0,1,0)</f>
        <v>0</v>
      </c>
      <c r="CC253">
        <f>IF(CB253=0,0,1+COUNTIF(CC$3:CC252,"&gt;0"))</f>
        <v>0</v>
      </c>
      <c r="CD253" t="str">
        <f t="shared" si="204"/>
        <v/>
      </c>
      <c r="CE253" t="str">
        <f t="shared" si="175"/>
        <v/>
      </c>
      <c r="CG253">
        <f>IF(IFERROR(SEARCH("Wizard",$T253,1),0)&gt;0,1,0)*IF($C253&lt;=EldritchKnightMaxSpellLevel,1,0)*IF(IFERROR(MATCH($B253,Character_Creation!$J$350:$J$356,0),0)&gt;0,0,1)*IF(Character_Creation!$M$350&gt;0,1,0)</f>
        <v>0</v>
      </c>
      <c r="CH253">
        <f>IF(CG253=0,0,1+COUNTIF(CH$3:CH252,"&gt;0"))</f>
        <v>0</v>
      </c>
      <c r="CI253" t="str">
        <f t="shared" si="205"/>
        <v/>
      </c>
      <c r="CJ253" t="str">
        <f t="shared" si="176"/>
        <v/>
      </c>
      <c r="CL253">
        <f>IF(IFERROR(SEARCH("Bard",$T253,1),0)&gt;0,1,0)*IF(BardMaxSpellLevel&gt;=$C253,1,0)*IF(IFERROR(MATCH(B253,Character_Creation!$C$341:$F$362,0),0)&gt;0,0,1)*IF(IFERROR(MATCH($B253,Character_Creation!$C$341:$C$362,0),0)&gt;0,0,1)</f>
        <v>0</v>
      </c>
      <c r="CM253">
        <f>IF(CL253=0,0,1+COUNTIF(CM$3:CM252,"&gt;0"))</f>
        <v>0</v>
      </c>
      <c r="CN253" t="str">
        <f t="shared" si="206"/>
        <v/>
      </c>
      <c r="CO253" t="str">
        <f t="shared" si="177"/>
        <v/>
      </c>
      <c r="CQ253">
        <f>IF(IFERROR(SEARCH("Wizard",$T253,1),0)&gt;0,1,0)*IF(WizardMaxSpellLevel&gt;=$C253,1,0)*IF(IFERROR(MATCH(B253,Character_Creation!$X$341:$X$400,0),0)&gt;0,0,1)*IF(SelectedWizardSpellLevel=$C253,1,0)</f>
        <v>0</v>
      </c>
      <c r="CR253">
        <f>IF(CQ253=0,0,1+COUNTIF(CR$3:CR252,"&gt;0"))</f>
        <v>0</v>
      </c>
      <c r="CS253" t="str">
        <f t="shared" si="207"/>
        <v/>
      </c>
      <c r="CT253" t="str">
        <f t="shared" si="178"/>
        <v/>
      </c>
      <c r="CV253">
        <f>IF(IFERROR(MATCH($B253,Character_Creation!$C$341:$C$362,0),0)&gt;0,0,1)*IF(OR(C253="Cantrip",C253&lt;=BardMaxSpellLevel),1,0)*IF(IFERROR(MATCH($B253,Character_Creation!$C$367:$C$374,0),0)&gt;0,0,1)</f>
        <v>0</v>
      </c>
      <c r="CW253">
        <f>IF(CV253=0,0,1+COUNTIF(CW$3:CW252,"&gt;0"))</f>
        <v>0</v>
      </c>
      <c r="CX253" t="str">
        <f t="shared" si="208"/>
        <v/>
      </c>
      <c r="CY253" t="str">
        <f t="shared" si="179"/>
        <v/>
      </c>
      <c r="DA253">
        <f>IF(IF(OR(IFERROR(SEARCH("Cleric",$T253,1),0)&gt;0,IFERROR(SEARCH(DivineDomain&amp;",",$T253,1),0)&gt;0),1,0)*IF($C253=DA$2,1,0)=1,1+COUNTIF(DA$3:DA252,"&gt;0"),0)</f>
        <v>0</v>
      </c>
      <c r="DB253">
        <f>IF(IF(OR(IFERROR(SEARCH("Cleric",$T253,1),0)&gt;0,IFERROR(SEARCH(DivineDomain&amp;",",$T253,1),0)&gt;0),1,0)*IF($C253=DB$2,1,0)=1,1+COUNTIF(DB$3:DB252,"&gt;0"),0)</f>
        <v>0</v>
      </c>
      <c r="DC253">
        <f>IF(IF(OR(IFERROR(SEARCH("Cleric",$T253,1),0)&gt;0,IFERROR(SEARCH(DivineDomain&amp;",",$T253,1),0)&gt;0),1,0)*IF($C253=DC$2,1,0)=1,1+COUNTIF(DC$3:DC252,"&gt;0"),0)</f>
        <v>0</v>
      </c>
      <c r="DD253">
        <f>IF(IF(OR(IFERROR(SEARCH("Cleric",$T253,1),0)&gt;0,IFERROR(SEARCH(DivineDomain&amp;",",$T253,1),0)&gt;0),1,0)*IF($C253=DD$2,1,0)=1,1+COUNTIF(DD$3:DD252,"&gt;0"),0)</f>
        <v>0</v>
      </c>
      <c r="DE253">
        <f>IF(IF(OR(IFERROR(SEARCH("Cleric",$T253,1),0)&gt;0,IFERROR(SEARCH(DivineDomain&amp;",",$T253,1),0)&gt;0),1,0)*IF($C253=DE$2,1,0)=1,1+COUNTIF(DE$3:DE252,"&gt;0"),0)</f>
        <v>0</v>
      </c>
      <c r="DF253">
        <f>IF(IF(OR(IFERROR(SEARCH("Cleric",$T253,1),0)&gt;0,IFERROR(SEARCH(DivineDomain&amp;",",$T253,1),0)&gt;0),1,0)*IF($C253=DF$2,1,0)=1,1+COUNTIF(DF$3:DF252,"&gt;0"),0)</f>
        <v>8</v>
      </c>
      <c r="DG253">
        <f>IF(IF(OR(IFERROR(SEARCH("Cleric",$T253,1),0)&gt;0,IFERROR(SEARCH(DivineDomain&amp;",",$T253,1),0)&gt;0),1,0)*IF($C253=DG$2,1,0)=1,1+COUNTIF(DG$3:DG252,"&gt;0"),0)</f>
        <v>0</v>
      </c>
      <c r="DH253">
        <f>IF(IF(OR(IFERROR(SEARCH("Cleric",$T253,1),0)&gt;0,IFERROR(SEARCH(DivineDomain&amp;",",$T253,1),0)&gt;0),1,0)*IF($C253=DH$2,1,0)=1,1+COUNTIF(DH$3:DH252,"&gt;0"),0)</f>
        <v>0</v>
      </c>
      <c r="DI253">
        <f>IF(IF(OR(IFERROR(SEARCH("Cleric",$T253,1),0)&gt;0,IFERROR(SEARCH(DivineDomain&amp;",",$T253,1),0)&gt;0),1,0)*IF($C253=DI$2,1,0)=1,1+COUNTIF(DI$3:DI252,"&gt;0"),0)</f>
        <v>0</v>
      </c>
      <c r="DJ253">
        <f>IF(IF(OR(IFERROR(SEARCH("Druid",$T253,1),0)&gt;0,IFERROR(SEARCH(DruidLand1,$T253,1),0)&gt;0,IFERROR(SEARCH(DruidLand2,$T253,1),0)&gt;0,IFERROR(SEARCH(DruidLand3,$T253,1),0)&gt;0,IFERROR(SEARCH(DruidLand4,$T253,1),0)&gt;0),1,0)*IF($C253=1,1,0)*IF($C253=DJ$2,1,0)=0,0,1+COUNTIF(DJ$3:DJ252,"&gt;0"))</f>
        <v>0</v>
      </c>
      <c r="DK253">
        <f>IF(IF(OR(IFERROR(SEARCH("Druid",$T253,1),0)&gt;0,IFERROR(SEARCH(DruidLand1,$T253,1),0)&gt;0,IFERROR(SEARCH(DruidLand2,$T253,1),0)&gt;0,IFERROR(SEARCH(DruidLand3,$T253,1),0)&gt;0,IFERROR(SEARCH(DruidLand4,$T253,1),0)&gt;0),1,0)*IF($C253=1,1,0)*IF($C253=DK$2,1,0)=0,0,1+COUNTIF(DK$3:DK252,"&gt;0"))</f>
        <v>0</v>
      </c>
      <c r="DL253">
        <f>IF(IF(OR(IFERROR(SEARCH("Druid",$T253,1),0)&gt;0,IFERROR(SEARCH(DruidLand1,$T253,1),0)&gt;0,IFERROR(SEARCH(DruidLand2,$T253,1),0)&gt;0,IFERROR(SEARCH(DruidLand3,$T253,1),0)&gt;0,IFERROR(SEARCH(DruidLand4,$T253,1),0)&gt;0),1,0)*IF($C253=1,1,0)*IF($C253=DL$2,1,0)=0,0,1+COUNTIF(DL$3:DL252,"&gt;0"))</f>
        <v>0</v>
      </c>
      <c r="DM253">
        <f>IF(IF(OR(IFERROR(SEARCH("Druid",$T253,1),0)&gt;0,IFERROR(SEARCH(DruidLand1,$T253,1),0)&gt;0,IFERROR(SEARCH(DruidLand2,$T253,1),0)&gt;0,IFERROR(SEARCH(DruidLand3,$T253,1),0)&gt;0,IFERROR(SEARCH(DruidLand4,$T253,1),0)&gt;0),1,0)*IF($C253=1,1,0)*IF($C253=DM$2,1,0)=0,0,1+COUNTIF(DM$3:DM252,"&gt;0"))</f>
        <v>0</v>
      </c>
      <c r="DN253">
        <f>IF(IF(OR(IFERROR(SEARCH("Druid",$T253,1),0)&gt;0,IFERROR(SEARCH(DruidLand1,$T253,1),0)&gt;0,IFERROR(SEARCH(DruidLand2,$T253,1),0)&gt;0,IFERROR(SEARCH(DruidLand3,$T253,1),0)&gt;0,IFERROR(SEARCH(DruidLand4,$T253,1),0)&gt;0),1,0)*IF($C253=1,1,0)*IF($C253=DN$2,1,0)=0,0,1+COUNTIF(DN$3:DN252,"&gt;0"))</f>
        <v>0</v>
      </c>
      <c r="DO253">
        <f>IF(IF(OR(IFERROR(SEARCH("Druid",$T253,1),0)&gt;0,IFERROR(SEARCH(DruidLand1,$T253,1),0)&gt;0,IFERROR(SEARCH(DruidLand2,$T253,1),0)&gt;0,IFERROR(SEARCH(DruidLand3,$T253,1),0)&gt;0,IFERROR(SEARCH(DruidLand4,$T253,1),0)&gt;0),1,0)*IF($C253=1,1,0)*IF($C253=DO$2,1,0)=0,0,1+COUNTIF(DO$3:DO252,"&gt;0"))</f>
        <v>0</v>
      </c>
      <c r="DP253">
        <f>IF(IF(OR(IFERROR(SEARCH("Druid",$T253,1),0)&gt;0,IFERROR(SEARCH(DruidLand1,$T253,1),0)&gt;0,IFERROR(SEARCH(DruidLand2,$T253,1),0)&gt;0,IFERROR(SEARCH(DruidLand3,$T253,1),0)&gt;0,IFERROR(SEARCH(DruidLand4,$T253,1),0)&gt;0),1,0)*IF($C253=1,1,0)*IF($C253=DP$2,1,0)=0,0,1+COUNTIF(DP$3:DP252,"&gt;0"))</f>
        <v>0</v>
      </c>
      <c r="DQ253">
        <f>IF(IF(OR(IFERROR(SEARCH("Druid",$T253,1),0)&gt;0,IFERROR(SEARCH(DruidLand1,$T253,1),0)&gt;0,IFERROR(SEARCH(DruidLand2,$T253,1),0)&gt;0,IFERROR(SEARCH(DruidLand3,$T253,1),0)&gt;0,IFERROR(SEARCH(DruidLand4,$T253,1),0)&gt;0),1,0)*IF($C253=1,1,0)*IF($C253=DQ$2,1,0)=0,0,1+COUNTIF(DQ$3:DQ252,"&gt;0"))</f>
        <v>0</v>
      </c>
      <c r="DR253">
        <f>IF(IF(OR(IFERROR(SEARCH("Druid",$T253,1),0)&gt;0,IFERROR(SEARCH(DruidLand1,$T253,1),0)&gt;0,IFERROR(SEARCH(DruidLand2,$T253,1),0)&gt;0,IFERROR(SEARCH(DruidLand3,$T253,1),0)&gt;0,IFERROR(SEARCH(DruidLand4,$T253,1),0)&gt;0),1,0)*IF($C253=1,1,0)*IF($C253=DR$2,1,0)=0,0,1+COUNTIF(DR$3:DR252,"&gt;0"))</f>
        <v>0</v>
      </c>
      <c r="DS253">
        <f>IF(IF(OR(IFERROR(SEARCH("Paladin",$T253,1),0)&gt;0,IFERROR(SEARCH(PaladinOath,$T253,1),0)&gt;0),1,0)*IF($C253=DS$2,1,0)=1,1+COUNTIF(DS$3:DS252,"&gt;0"),0)</f>
        <v>0</v>
      </c>
      <c r="DT253">
        <f>IF(IF(OR(IFERROR(SEARCH("Paladin",$T253,1),0)&gt;0,IFERROR(SEARCH(PaladinOath,$T253,1),0)&gt;0),1,0)*IF($C253=DT$2,1,0)=1,1+COUNTIF(DT$3:DT252,"&gt;0"),0)</f>
        <v>0</v>
      </c>
      <c r="DU253">
        <f>IF(IF(OR(IFERROR(SEARCH("Paladin",$T253,1),0)&gt;0,IFERROR(SEARCH(PaladinOath,$T253,1),0)&gt;0),1,0)*IF($C253=DU$2,1,0)=1,1+COUNTIF(DU$3:DU252,"&gt;0"),0)</f>
        <v>0</v>
      </c>
      <c r="DV253">
        <f>IF(IF(OR(IFERROR(SEARCH("Paladin",$T253,1),0)&gt;0,IFERROR(SEARCH(PaladinOath,$T253,1),0)&gt;0),1,0)*IF($C253=DV$2,1,0)=1,1+COUNTIF(DV$3:DV252,"&gt;0"),0)</f>
        <v>0</v>
      </c>
      <c r="DW253">
        <f>IF(IF(OR(IFERROR(SEARCH("Paladin",$T253,1),0)&gt;0,IFERROR(SEARCH(PaladinOath,$T253,1),0)&gt;0),1,0)*IF($C253=DW$2,1,0)=1,1+COUNTIF(DW$3:DW252,"&gt;0"),0)</f>
        <v>0</v>
      </c>
      <c r="DY253">
        <f t="shared" si="166"/>
        <v>1</v>
      </c>
      <c r="DZ253">
        <f>IF(DY253=0,0,1+MAX(DZ$3:$DZ252))</f>
        <v>251</v>
      </c>
      <c r="EB253">
        <f t="shared" si="180"/>
        <v>0</v>
      </c>
      <c r="EC253">
        <f>IF(EB253=0,0,1+COUNTIF(EC$3:EC252,"&gt;0"))</f>
        <v>0</v>
      </c>
      <c r="ED253" t="str">
        <f t="shared" si="209"/>
        <v/>
      </c>
      <c r="EE253" t="str">
        <f t="shared" si="181"/>
        <v/>
      </c>
      <c r="EG253">
        <f t="shared" si="182"/>
        <v>0</v>
      </c>
      <c r="EH253">
        <f>IF(EG253=0,0,1+COUNTIF(EH$3:EH252,"&gt;0"))</f>
        <v>0</v>
      </c>
      <c r="EI253" t="str">
        <f t="shared" si="210"/>
        <v/>
      </c>
      <c r="EJ253" t="str">
        <f t="shared" si="183"/>
        <v/>
      </c>
      <c r="EL253">
        <f t="shared" si="184"/>
        <v>0</v>
      </c>
      <c r="EM253">
        <f>IF(EL253=0,0,1+COUNTIF(EM$3:EM252,"&gt;0"))</f>
        <v>0</v>
      </c>
      <c r="EN253" t="str">
        <f t="shared" si="211"/>
        <v/>
      </c>
      <c r="EO253" t="str">
        <f t="shared" si="185"/>
        <v/>
      </c>
      <c r="EQ253">
        <f t="shared" si="186"/>
        <v>0</v>
      </c>
      <c r="ER253">
        <f>IF(EQ253=0,0,1+COUNTIF(ER$3:ER252,"&gt;0"))</f>
        <v>0</v>
      </c>
      <c r="ES253" t="str">
        <f t="shared" si="212"/>
        <v/>
      </c>
      <c r="ET253" t="str">
        <f t="shared" si="187"/>
        <v/>
      </c>
      <c r="EV253">
        <f t="shared" si="188"/>
        <v>0</v>
      </c>
      <c r="EW253">
        <f>IF(EV253=0,0,1+COUNTIF(EW$3:EW252,"&gt;0"))</f>
        <v>0</v>
      </c>
      <c r="EX253" t="str">
        <f t="shared" si="213"/>
        <v/>
      </c>
      <c r="EY253" t="str">
        <f t="shared" si="189"/>
        <v/>
      </c>
      <c r="FA253">
        <f t="shared" si="190"/>
        <v>0</v>
      </c>
      <c r="FB253">
        <f>IF(FA253=0,0,1+COUNTIF(FB$3:FB252,"&gt;0"))</f>
        <v>0</v>
      </c>
      <c r="FC253" t="str">
        <f t="shared" si="214"/>
        <v/>
      </c>
      <c r="FD253" t="str">
        <f t="shared" si="191"/>
        <v/>
      </c>
      <c r="FF253">
        <f t="shared" si="192"/>
        <v>0</v>
      </c>
      <c r="FG253">
        <f>IF(FF253=0,0,1+COUNTIF(FG$3:FG252,"&gt;0"))</f>
        <v>0</v>
      </c>
      <c r="FH253" t="str">
        <f t="shared" si="215"/>
        <v/>
      </c>
      <c r="FI253" t="str">
        <f t="shared" si="193"/>
        <v/>
      </c>
      <c r="FK253">
        <f t="shared" si="194"/>
        <v>0</v>
      </c>
      <c r="FL253">
        <f>IF(FK253=0,0,1+COUNTIF(FL$3:FL252,"&gt;0"))</f>
        <v>0</v>
      </c>
      <c r="FM253" t="str">
        <f t="shared" si="216"/>
        <v/>
      </c>
      <c r="FN253" t="str">
        <f t="shared" si="195"/>
        <v/>
      </c>
      <c r="FP253">
        <f t="shared" si="196"/>
        <v>0</v>
      </c>
      <c r="FQ253">
        <f>IF(FP253=0,0,1+COUNTIF(FQ$3:FQ252,"&gt;0"))</f>
        <v>0</v>
      </c>
      <c r="FR253" t="str">
        <f t="shared" si="217"/>
        <v/>
      </c>
      <c r="FS253" t="str">
        <f t="shared" si="197"/>
        <v/>
      </c>
    </row>
    <row r="254" spans="1:175" x14ac:dyDescent="0.25">
      <c r="A254" s="347">
        <f t="shared" si="219"/>
        <v>252</v>
      </c>
      <c r="B254" s="348" t="s">
        <v>2634</v>
      </c>
      <c r="C254" s="348">
        <v>5</v>
      </c>
      <c r="D254" s="347">
        <v>5</v>
      </c>
      <c r="E254" s="627" t="s">
        <v>6952</v>
      </c>
      <c r="F254" s="346"/>
      <c r="G254" s="347" t="str">
        <f>""</f>
        <v/>
      </c>
      <c r="H254" s="347" t="s">
        <v>5293</v>
      </c>
      <c r="I254" s="347" t="s">
        <v>424</v>
      </c>
      <c r="J254" s="347" t="str">
        <f t="shared" si="167"/>
        <v/>
      </c>
      <c r="K254" s="347" t="s">
        <v>5285</v>
      </c>
      <c r="L254" s="611" t="str">
        <f t="shared" si="168"/>
        <v>V, S, M, a jewel worth a least 1,000 gp, which the spell consumes</v>
      </c>
      <c r="M254" s="347" t="s">
        <v>2373</v>
      </c>
      <c r="N254" s="347" t="s">
        <v>2387</v>
      </c>
      <c r="O254" s="347" t="s">
        <v>1244</v>
      </c>
      <c r="P254" s="346" t="s">
        <v>5451</v>
      </c>
      <c r="Q254" s="347" t="s">
        <v>5270</v>
      </c>
      <c r="S254" s="346" t="s">
        <v>5789</v>
      </c>
      <c r="T254" s="346" t="str">
        <f t="shared" si="169"/>
        <v xml:space="preserve">Bard, Cleric, Druid, Eldritch Knight, Wizard, </v>
      </c>
      <c r="U254" s="347" t="str">
        <f>$B254</f>
        <v>Planar Binding</v>
      </c>
      <c r="Z254" s="347" t="str">
        <f t="shared" si="224"/>
        <v>Planar Binding</v>
      </c>
      <c r="AA254" s="347" t="str">
        <f t="shared" si="224"/>
        <v>Planar Binding</v>
      </c>
      <c r="AB254" s="542" t="str">
        <f>AD254</f>
        <v>Planar Binding</v>
      </c>
      <c r="AD254" s="347" t="str">
        <f>$B254</f>
        <v>Planar Binding</v>
      </c>
      <c r="AE254" t="str">
        <f>IF(IFERROR(MATCH($B254,temp!A$4:A$13,0),0)&gt;0,T08_Spells!AE$2,"")</f>
        <v/>
      </c>
      <c r="AF254" t="str">
        <f>IF(IFERROR(MATCH($B254,temp!B$4:B$13,0),0)&gt;0,T08_Spells!AF$2,"")</f>
        <v/>
      </c>
      <c r="AG254" t="str">
        <f>IF(IFERROR(MATCH($B254,temp!C$4:C$13,0),0)&gt;0,T08_Spells!AG$2,"")</f>
        <v/>
      </c>
      <c r="AH254" t="str">
        <f>IF(IFERROR(MATCH($B254,temp!D$4:D$13,0),0)&gt;0,T08_Spells!AH$2,"")</f>
        <v/>
      </c>
      <c r="AI254" t="str">
        <f>IF(IFERROR(MATCH($B254,temp!E$4:E$13,0),0)&gt;0,T08_Spells!AI$2,"")</f>
        <v/>
      </c>
      <c r="AJ254" t="str">
        <f>IF(IFERROR(MATCH($B254,temp!F$4:F$13,0),0)&gt;0,T08_Spells!AJ$2,"")</f>
        <v/>
      </c>
      <c r="AK254" t="str">
        <f>IF(IFERROR(MATCH($B254,temp!G$4:G$13,0),0)&gt;0,T08_Spells!AK$2,"")</f>
        <v/>
      </c>
      <c r="AL254" t="str">
        <f>IF(IFERROR(MATCH($B254,temp!H$4:H$13,0),0)&gt;0,T08_Spells!AL$2,"")</f>
        <v/>
      </c>
      <c r="AM254" t="str">
        <f>IF(IFERROR(MATCH($B254,temp!I$4:I$13,0),0)&gt;0,T08_Spells!AM$2,"")</f>
        <v/>
      </c>
      <c r="AN254" t="str">
        <f>IF(IFERROR(MATCH($B254,temp!J$4:J$13,0),0)&gt;0,T08_Spells!AN$2,"")</f>
        <v/>
      </c>
      <c r="AO254" t="str">
        <f>IF(IFERROR(MATCH($B254,temp!K$4:K$13,0),0)&gt;0,T08_Spells!AO$2,"")</f>
        <v/>
      </c>
      <c r="AP254" t="str">
        <f>IF(IFERROR(MATCH($B254,temp!L$4:L$13,0),0)&gt;0,T08_Spells!AP$2,"")</f>
        <v/>
      </c>
      <c r="AQ254" t="str">
        <f>IF(IFERROR(MATCH($B254,temp!M$4:M$13,0),0)&gt;0,T08_Spells!AQ$2,"")</f>
        <v/>
      </c>
      <c r="AR254" t="str">
        <f>IF(IFERROR(MATCH($B254,temp!N$4:N$13,0),0)&gt;0,T08_Spells!AR$2,"")</f>
        <v/>
      </c>
      <c r="AS254" t="str">
        <f>IF(IFERROR(MATCH($B254,temp!O$4:O$13,0),0)&gt;0,T08_Spells!AS$2,"")</f>
        <v/>
      </c>
      <c r="AT254" t="str">
        <f>IF(IFERROR(MATCH($B254,temp!P$4:P$13,0),0)&gt;0,T08_Spells!AT$2,"")</f>
        <v/>
      </c>
      <c r="AU254" t="str">
        <f>IF(IFERROR(MATCH($B254,temp!Q$4:Q$13,0),0)&gt;0,T08_Spells!AU$2,"")</f>
        <v/>
      </c>
      <c r="AV254" t="str">
        <f>IF(IFERROR(MATCH($B254,temp!R$4:R$13,0),0)&gt;0,T08_Spells!AV$2,"")</f>
        <v/>
      </c>
      <c r="AW254" t="str">
        <f>IF(IFERROR(MATCH($B254,temp!S$4:S$13,0),0)&gt;0,T08_Spells!AW$2,"")</f>
        <v/>
      </c>
      <c r="AX254" t="str">
        <f>IF(IFERROR(MATCH($B254,temp!T$4:T$13,0),0)&gt;0,T08_Spells!AX$2,"")</f>
        <v/>
      </c>
      <c r="AY254" t="str">
        <f>IF(IFERROR(MATCH($B254,temp!U$4:U$13,0),0)&gt;0,T08_Spells!AY$2,"")</f>
        <v/>
      </c>
      <c r="AZ254" t="str">
        <f>IF(IFERROR(MATCH($B254,temp!V$4:V$13,0),0)&gt;0,T08_Spells!AZ$2,"")</f>
        <v/>
      </c>
      <c r="BA254" t="str">
        <f>IF(IFERROR(MATCH($B254,temp!W$4:W$13,0),0)&gt;0,T08_Spells!BA$2,"")</f>
        <v/>
      </c>
      <c r="BC254">
        <f>IF(IFERROR(SEARCH("Ranger",$T254,1),0)&gt;0,1,0)*IF(RangerMaxSpellLevel&gt;=$C254,1,0)*IF(IFERROR(MATCH(B254,Character_Creation!$X$79:$X$382,0),0)&gt;0,0,1)</f>
        <v>0</v>
      </c>
      <c r="BD254">
        <f>IF(BC254=0,0,1+COUNTIF(BD$3:BD253,"&gt;0"))</f>
        <v>0</v>
      </c>
      <c r="BE254" t="str">
        <f t="shared" si="199"/>
        <v/>
      </c>
      <c r="BF254" t="str">
        <f t="shared" si="170"/>
        <v/>
      </c>
      <c r="BH254">
        <f>IF(IFERROR(SEARCH("Sorcerer",$T254,1),0)&gt;0,1,0)*IF(SorcererMaxSpellLevel&gt;=$C254,1,0)*IF(IFERROR(MATCH(B254,Character_Creation!$J$380:$J$394,0),0)&gt;0,0,1)</f>
        <v>0</v>
      </c>
      <c r="BI254">
        <f>IF(BH254=0,0,1+COUNTIF(BI$3:BI253,"&gt;0"))</f>
        <v>0</v>
      </c>
      <c r="BJ254" t="str">
        <f t="shared" si="200"/>
        <v/>
      </c>
      <c r="BK254" t="str">
        <f t="shared" si="171"/>
        <v/>
      </c>
      <c r="BM254">
        <f>IF(OR(IFERROR(SEARCH("Warlock",$T254,1),0)&gt;0,IFERROR(SEARCH(WarlockPatron,$T254,1),0)&gt;0),1,0)*IF(WarlockMaxSpellLevel&gt;=$C254,1,0)*IF(IFERROR(MATCH(B254,Character_Creation!$J$361:$J$375,0),0)&gt;0,0,1)</f>
        <v>0</v>
      </c>
      <c r="BN254">
        <f>IF(BM254=0,0,1+COUNTIF(BN$3:BN253,"&gt;0"))</f>
        <v>0</v>
      </c>
      <c r="BO254" t="str">
        <f t="shared" si="201"/>
        <v/>
      </c>
      <c r="BP254" t="str">
        <f t="shared" si="172"/>
        <v/>
      </c>
      <c r="BR254">
        <f>IF(IFERROR(SEARCH("Eldritch Knight",$T254,1),0)&gt;0,1,0)*IF(EldritchKnightMaxSpellLevel&gt;=$C254,1,0)*IF(IFERROR(MATCH($B254,Character_Creation!$J$350:$J$356,0),0)&gt;0,0,1)*IF(Character_Creation!$M$338&gt;0,1,0)</f>
        <v>0</v>
      </c>
      <c r="BS254">
        <f>IF(BR254=0,0,1+COUNTIF(BS$3:BS253,"&gt;0"))</f>
        <v>0</v>
      </c>
      <c r="BT254" t="str">
        <f t="shared" si="202"/>
        <v/>
      </c>
      <c r="BU254" t="str">
        <f t="shared" si="173"/>
        <v/>
      </c>
      <c r="BW254">
        <f>IF(IFERROR(SEARCH("Arcane Trickster",$T254,1),0)&gt;0,1,0)*IF(ArcaneTricksterMaxSpellLevel&gt;=$C254,1,0)*IF(IFERROR(MATCH($B254,Character_Creation!$J$350:$J$356,0),0)&gt;0,0,1)*IF(Character_Creation!$T$338&gt;0,1,0)</f>
        <v>0</v>
      </c>
      <c r="BX254">
        <f>IF(BW254=0,0,1+COUNTIF(BX$3:BX253,"&gt;0"))</f>
        <v>0</v>
      </c>
      <c r="BY254" t="str">
        <f t="shared" si="203"/>
        <v/>
      </c>
      <c r="BZ254" t="str">
        <f t="shared" si="174"/>
        <v/>
      </c>
      <c r="CB254">
        <f>IF(IFERROR(SEARCH("Wizard",$T254,1),0)&gt;0,1,0)*IF(C254&lt;=ArcaneTricksterMaxSpellLevel,1,0)*IF(IFERROR(MATCH($B254,Character_Creation!$J$350:$J$356,0),0)&gt;0,0,1)*IF(Character_Creation!$T$350&gt;0,1,0)</f>
        <v>0</v>
      </c>
      <c r="CC254">
        <f>IF(CB254=0,0,1+COUNTIF(CC$3:CC253,"&gt;0"))</f>
        <v>0</v>
      </c>
      <c r="CD254" t="str">
        <f t="shared" si="204"/>
        <v/>
      </c>
      <c r="CE254" t="str">
        <f t="shared" si="175"/>
        <v/>
      </c>
      <c r="CG254">
        <f>IF(IFERROR(SEARCH("Wizard",$T254,1),0)&gt;0,1,0)*IF($C254&lt;=EldritchKnightMaxSpellLevel,1,0)*IF(IFERROR(MATCH($B254,Character_Creation!$J$350:$J$356,0),0)&gt;0,0,1)*IF(Character_Creation!$M$350&gt;0,1,0)</f>
        <v>0</v>
      </c>
      <c r="CH254">
        <f>IF(CG254=0,0,1+COUNTIF(CH$3:CH253,"&gt;0"))</f>
        <v>0</v>
      </c>
      <c r="CI254" t="str">
        <f t="shared" si="205"/>
        <v/>
      </c>
      <c r="CJ254" t="str">
        <f t="shared" si="176"/>
        <v/>
      </c>
      <c r="CL254">
        <f>IF(IFERROR(SEARCH("Bard",$T254,1),0)&gt;0,1,0)*IF(BardMaxSpellLevel&gt;=$C254,1,0)*IF(IFERROR(MATCH(B254,Character_Creation!$C$341:$F$362,0),0)&gt;0,0,1)*IF(IFERROR(MATCH($B254,Character_Creation!$C$341:$C$362,0),0)&gt;0,0,1)</f>
        <v>0</v>
      </c>
      <c r="CM254">
        <f>IF(CL254=0,0,1+COUNTIF(CM$3:CM253,"&gt;0"))</f>
        <v>0</v>
      </c>
      <c r="CN254" t="str">
        <f t="shared" si="206"/>
        <v/>
      </c>
      <c r="CO254" t="str">
        <f t="shared" si="177"/>
        <v/>
      </c>
      <c r="CQ254">
        <f>IF(IFERROR(SEARCH("Wizard",$T254,1),0)&gt;0,1,0)*IF(WizardMaxSpellLevel&gt;=$C254,1,0)*IF(IFERROR(MATCH(B254,Character_Creation!$X$341:$X$400,0),0)&gt;0,0,1)*IF(SelectedWizardSpellLevel=$C254,1,0)</f>
        <v>0</v>
      </c>
      <c r="CR254">
        <f>IF(CQ254=0,0,1+COUNTIF(CR$3:CR253,"&gt;0"))</f>
        <v>0</v>
      </c>
      <c r="CS254" t="str">
        <f t="shared" si="207"/>
        <v/>
      </c>
      <c r="CT254" t="str">
        <f t="shared" si="178"/>
        <v/>
      </c>
      <c r="CV254">
        <f>IF(IFERROR(MATCH($B254,Character_Creation!$C$341:$C$362,0),0)&gt;0,0,1)*IF(OR(C254="Cantrip",C254&lt;=BardMaxSpellLevel),1,0)*IF(IFERROR(MATCH($B254,Character_Creation!$C$367:$C$374,0),0)&gt;0,0,1)</f>
        <v>0</v>
      </c>
      <c r="CW254">
        <f>IF(CV254=0,0,1+COUNTIF(CW$3:CW253,"&gt;0"))</f>
        <v>0</v>
      </c>
      <c r="CX254" t="str">
        <f t="shared" si="208"/>
        <v/>
      </c>
      <c r="CY254" t="str">
        <f t="shared" si="179"/>
        <v/>
      </c>
      <c r="DA254">
        <f>IF(IF(OR(IFERROR(SEARCH("Cleric",$T254,1),0)&gt;0,IFERROR(SEARCH(DivineDomain&amp;",",$T254,1),0)&gt;0),1,0)*IF($C254=DA$2,1,0)=1,1+COUNTIF(DA$3:DA253,"&gt;0"),0)</f>
        <v>0</v>
      </c>
      <c r="DB254">
        <f>IF(IF(OR(IFERROR(SEARCH("Cleric",$T254,1),0)&gt;0,IFERROR(SEARCH(DivineDomain&amp;",",$T254,1),0)&gt;0),1,0)*IF($C254=DB$2,1,0)=1,1+COUNTIF(DB$3:DB253,"&gt;0"),0)</f>
        <v>0</v>
      </c>
      <c r="DC254">
        <f>IF(IF(OR(IFERROR(SEARCH("Cleric",$T254,1),0)&gt;0,IFERROR(SEARCH(DivineDomain&amp;",",$T254,1),0)&gt;0),1,0)*IF($C254=DC$2,1,0)=1,1+COUNTIF(DC$3:DC253,"&gt;0"),0)</f>
        <v>0</v>
      </c>
      <c r="DD254">
        <f>IF(IF(OR(IFERROR(SEARCH("Cleric",$T254,1),0)&gt;0,IFERROR(SEARCH(DivineDomain&amp;",",$T254,1),0)&gt;0),1,0)*IF($C254=DD$2,1,0)=1,1+COUNTIF(DD$3:DD253,"&gt;0"),0)</f>
        <v>0</v>
      </c>
      <c r="DE254">
        <f>IF(IF(OR(IFERROR(SEARCH("Cleric",$T254,1),0)&gt;0,IFERROR(SEARCH(DivineDomain&amp;",",$T254,1),0)&gt;0),1,0)*IF($C254=DE$2,1,0)=1,1+COUNTIF(DE$3:DE253,"&gt;0"),0)</f>
        <v>11</v>
      </c>
      <c r="DF254">
        <f>IF(IF(OR(IFERROR(SEARCH("Cleric",$T254,1),0)&gt;0,IFERROR(SEARCH(DivineDomain&amp;",",$T254,1),0)&gt;0),1,0)*IF($C254=DF$2,1,0)=1,1+COUNTIF(DF$3:DF253,"&gt;0"),0)</f>
        <v>0</v>
      </c>
      <c r="DG254">
        <f>IF(IF(OR(IFERROR(SEARCH("Cleric",$T254,1),0)&gt;0,IFERROR(SEARCH(DivineDomain&amp;",",$T254,1),0)&gt;0),1,0)*IF($C254=DG$2,1,0)=1,1+COUNTIF(DG$3:DG253,"&gt;0"),0)</f>
        <v>0</v>
      </c>
      <c r="DH254">
        <f>IF(IF(OR(IFERROR(SEARCH("Cleric",$T254,1),0)&gt;0,IFERROR(SEARCH(DivineDomain&amp;",",$T254,1),0)&gt;0),1,0)*IF($C254=DH$2,1,0)=1,1+COUNTIF(DH$3:DH253,"&gt;0"),0)</f>
        <v>0</v>
      </c>
      <c r="DI254">
        <f>IF(IF(OR(IFERROR(SEARCH("Cleric",$T254,1),0)&gt;0,IFERROR(SEARCH(DivineDomain&amp;",",$T254,1),0)&gt;0),1,0)*IF($C254=DI$2,1,0)=1,1+COUNTIF(DI$3:DI253,"&gt;0"),0)</f>
        <v>0</v>
      </c>
      <c r="DJ254">
        <f>IF(IF(OR(IFERROR(SEARCH("Druid",$T254,1),0)&gt;0,IFERROR(SEARCH(DruidLand1,$T254,1),0)&gt;0,IFERROR(SEARCH(DruidLand2,$T254,1),0)&gt;0,IFERROR(SEARCH(DruidLand3,$T254,1),0)&gt;0,IFERROR(SEARCH(DruidLand4,$T254,1),0)&gt;0),1,0)*IF($C254=1,1,0)*IF($C254=DJ$2,1,0)=0,0,1+COUNTIF(DJ$3:DJ253,"&gt;0"))</f>
        <v>0</v>
      </c>
      <c r="DK254">
        <f>IF(IF(OR(IFERROR(SEARCH("Druid",$T254,1),0)&gt;0,IFERROR(SEARCH(DruidLand1,$T254,1),0)&gt;0,IFERROR(SEARCH(DruidLand2,$T254,1),0)&gt;0,IFERROR(SEARCH(DruidLand3,$T254,1),0)&gt;0,IFERROR(SEARCH(DruidLand4,$T254,1),0)&gt;0),1,0)*IF($C254=DK$2,1,0)=0,0,1+COUNTIF(DK$3:DK253,"&gt;0"))</f>
        <v>0</v>
      </c>
      <c r="DL254">
        <f>IF(IF(OR(IFERROR(SEARCH("Druid",$T254,1),0)&gt;0,IFERROR(SEARCH(DruidLand1,$T254,1),0)&gt;0,IFERROR(SEARCH(DruidLand2,$T254,1),0)&gt;0,IFERROR(SEARCH(DruidLand3,$T254,1),0)&gt;0,IFERROR(SEARCH(DruidLand4,$T254,1),0)&gt;0),1,0)*IF($C254=DL$2,1,0)=0,0,1+COUNTIF(DL$3:DL253,"&gt;0"))</f>
        <v>0</v>
      </c>
      <c r="DM254">
        <f>IF(IF(OR(IFERROR(SEARCH("Druid",$T254,1),0)&gt;0,IFERROR(SEARCH(DruidLand1,$T254,1),0)&gt;0,IFERROR(SEARCH(DruidLand2,$T254,1),0)&gt;0,IFERROR(SEARCH(DruidLand3,$T254,1),0)&gt;0,IFERROR(SEARCH(DruidLand4,$T254,1),0)&gt;0),1,0)*IF($C254=DM$2,1,0)=0,0,1+COUNTIF(DM$3:DM253,"&gt;0"))</f>
        <v>0</v>
      </c>
      <c r="DN254">
        <f>IF(IF(OR(IFERROR(SEARCH("Druid",$T254,1),0)&gt;0,IFERROR(SEARCH(DruidLand1,$T254,1),0)&gt;0,IFERROR(SEARCH(DruidLand2,$T254,1),0)&gt;0,IFERROR(SEARCH(DruidLand3,$T254,1),0)&gt;0,IFERROR(SEARCH(DruidLand4,$T254,1),0)&gt;0),1,0)*IF($C254=DN$2,1,0)=0,0,1+COUNTIF(DN$3:DN253,"&gt;0"))</f>
        <v>10</v>
      </c>
      <c r="DO254">
        <f>IF(IF(OR(IFERROR(SEARCH("Druid",$T254,1),0)&gt;0,IFERROR(SEARCH(DruidLand1,$T254,1),0)&gt;0,IFERROR(SEARCH(DruidLand2,$T254,1),0)&gt;0,IFERROR(SEARCH(DruidLand3,$T254,1),0)&gt;0,IFERROR(SEARCH(DruidLand4,$T254,1),0)&gt;0),1,0)*IF($C254=DO$2,1,0)=0,0,1+COUNTIF(DO$3:DO253,"&gt;0"))</f>
        <v>0</v>
      </c>
      <c r="DP254">
        <f>IF(IF(OR(IFERROR(SEARCH("Druid",$T254,1),0)&gt;0,IFERROR(SEARCH(DruidLand1,$T254,1),0)&gt;0,IFERROR(SEARCH(DruidLand2,$T254,1),0)&gt;0,IFERROR(SEARCH(DruidLand3,$T254,1),0)&gt;0,IFERROR(SEARCH(DruidLand4,$T254,1),0)&gt;0),1,0)*IF($C254=DP$2,1,0)=0,0,1+COUNTIF(DP$3:DP253,"&gt;0"))</f>
        <v>0</v>
      </c>
      <c r="DQ254">
        <f>IF(IF(OR(IFERROR(SEARCH("Druid",$T254,1),0)&gt;0,IFERROR(SEARCH(DruidLand1,$T254,1),0)&gt;0,IFERROR(SEARCH(DruidLand2,$T254,1),0)&gt;0,IFERROR(SEARCH(DruidLand3,$T254,1),0)&gt;0,IFERROR(SEARCH(DruidLand4,$T254,1),0)&gt;0),1,0)*IF($C254=DQ$2,1,0)=0,0,1+COUNTIF(DQ$3:DQ253,"&gt;0"))</f>
        <v>0</v>
      </c>
      <c r="DR254">
        <f>IF(IF(OR(IFERROR(SEARCH("Druid",$T254,1),0)&gt;0,IFERROR(SEARCH(DruidLand1,$T254,1),0)&gt;0,IFERROR(SEARCH(DruidLand2,$T254,1),0)&gt;0,IFERROR(SEARCH(DruidLand3,$T254,1),0)&gt;0,IFERROR(SEARCH(DruidLand4,$T254,1),0)&gt;0),1,0)*IF($C254=DR$2,1,0)=0,0,1+COUNTIF(DR$3:DR253,"&gt;0"))</f>
        <v>0</v>
      </c>
      <c r="DS254">
        <f>IF(IF(OR(IFERROR(SEARCH("Paladin",$T254,1),0)&gt;0,IFERROR(SEARCH(PaladinOath,$T254,1),0)&gt;0),1,0)*IF($C254=DS$2,1,0)=1,1+COUNTIF(DS$3:DS253,"&gt;0"),0)</f>
        <v>0</v>
      </c>
      <c r="DT254">
        <f>IF(IF(OR(IFERROR(SEARCH("Paladin",$T254,1),0)&gt;0,IFERROR(SEARCH(PaladinOath,$T254,1),0)&gt;0),1,0)*IF($C254=DT$2,1,0)=1,1+COUNTIF(DT$3:DT253,"&gt;0"),0)</f>
        <v>0</v>
      </c>
      <c r="DU254">
        <f>IF(IF(OR(IFERROR(SEARCH("Paladin",$T254,1),0)&gt;0,IFERROR(SEARCH(PaladinOath,$T254,1),0)&gt;0),1,0)*IF($C254=DU$2,1,0)=1,1+COUNTIF(DU$3:DU253,"&gt;0"),0)</f>
        <v>0</v>
      </c>
      <c r="DV254">
        <f>IF(IF(OR(IFERROR(SEARCH("Paladin",$T254,1),0)&gt;0,IFERROR(SEARCH(PaladinOath,$T254,1),0)&gt;0),1,0)*IF($C254=DV$2,1,0)=1,1+COUNTIF(DV$3:DV253,"&gt;0"),0)</f>
        <v>0</v>
      </c>
      <c r="DW254">
        <f>IF(IF(OR(IFERROR(SEARCH("Paladin",$T254,1),0)&gt;0,IFERROR(SEARCH(PaladinOath,$T254,1),0)&gt;0),1,0)*IF($C254=DW$2,1,0)=1,1+COUNTIF(DW$3:DW253,"&gt;0"),0)</f>
        <v>0</v>
      </c>
      <c r="DY254">
        <f t="shared" si="166"/>
        <v>1</v>
      </c>
      <c r="DZ254">
        <f>IF(DY254=0,0,1+MAX(DZ$3:$DZ253))</f>
        <v>252</v>
      </c>
      <c r="EB254">
        <f t="shared" si="180"/>
        <v>0</v>
      </c>
      <c r="EC254">
        <f>IF(EB254=0,0,1+COUNTIF(EC$3:EC253,"&gt;0"))</f>
        <v>0</v>
      </c>
      <c r="ED254" t="str">
        <f t="shared" si="209"/>
        <v/>
      </c>
      <c r="EE254" t="str">
        <f t="shared" si="181"/>
        <v/>
      </c>
      <c r="EG254">
        <f t="shared" si="182"/>
        <v>0</v>
      </c>
      <c r="EH254">
        <f>IF(EG254=0,0,1+COUNTIF(EH$3:EH253,"&gt;0"))</f>
        <v>0</v>
      </c>
      <c r="EI254" t="str">
        <f t="shared" si="210"/>
        <v/>
      </c>
      <c r="EJ254" t="str">
        <f t="shared" si="183"/>
        <v/>
      </c>
      <c r="EL254">
        <f t="shared" si="184"/>
        <v>0</v>
      </c>
      <c r="EM254">
        <f>IF(EL254=0,0,1+COUNTIF(EM$3:EM253,"&gt;0"))</f>
        <v>0</v>
      </c>
      <c r="EN254" t="str">
        <f t="shared" si="211"/>
        <v/>
      </c>
      <c r="EO254" t="str">
        <f t="shared" si="185"/>
        <v/>
      </c>
      <c r="EQ254">
        <f t="shared" si="186"/>
        <v>0</v>
      </c>
      <c r="ER254">
        <f>IF(EQ254=0,0,1+COUNTIF(ER$3:ER253,"&gt;0"))</f>
        <v>0</v>
      </c>
      <c r="ES254" t="str">
        <f t="shared" si="212"/>
        <v/>
      </c>
      <c r="ET254" t="str">
        <f t="shared" si="187"/>
        <v/>
      </c>
      <c r="EV254">
        <f t="shared" si="188"/>
        <v>0</v>
      </c>
      <c r="EW254">
        <f>IF(EV254=0,0,1+COUNTIF(EW$3:EW253,"&gt;0"))</f>
        <v>0</v>
      </c>
      <c r="EX254" t="str">
        <f t="shared" si="213"/>
        <v/>
      </c>
      <c r="EY254" t="str">
        <f t="shared" si="189"/>
        <v/>
      </c>
      <c r="FA254">
        <f t="shared" si="190"/>
        <v>0</v>
      </c>
      <c r="FB254">
        <f>IF(FA254=0,0,1+COUNTIF(FB$3:FB253,"&gt;0"))</f>
        <v>0</v>
      </c>
      <c r="FC254" t="str">
        <f t="shared" si="214"/>
        <v/>
      </c>
      <c r="FD254" t="str">
        <f t="shared" si="191"/>
        <v/>
      </c>
      <c r="FF254">
        <f t="shared" si="192"/>
        <v>0</v>
      </c>
      <c r="FG254">
        <f>IF(FF254=0,0,1+COUNTIF(FG$3:FG253,"&gt;0"))</f>
        <v>0</v>
      </c>
      <c r="FH254" t="str">
        <f t="shared" si="215"/>
        <v/>
      </c>
      <c r="FI254" t="str">
        <f t="shared" si="193"/>
        <v/>
      </c>
      <c r="FK254">
        <f t="shared" si="194"/>
        <v>0</v>
      </c>
      <c r="FL254">
        <f>IF(FK254=0,0,1+COUNTIF(FL$3:FL253,"&gt;0"))</f>
        <v>0</v>
      </c>
      <c r="FM254" t="str">
        <f t="shared" si="216"/>
        <v/>
      </c>
      <c r="FN254" t="str">
        <f t="shared" si="195"/>
        <v/>
      </c>
      <c r="FP254">
        <f t="shared" si="196"/>
        <v>0</v>
      </c>
      <c r="FQ254">
        <f>IF(FP254=0,0,1+COUNTIF(FQ$3:FQ253,"&gt;0"))</f>
        <v>0</v>
      </c>
      <c r="FR254" t="str">
        <f t="shared" si="217"/>
        <v/>
      </c>
      <c r="FS254" t="str">
        <f t="shared" si="197"/>
        <v/>
      </c>
    </row>
    <row r="255" spans="1:175" x14ac:dyDescent="0.25">
      <c r="A255" s="347">
        <f t="shared" si="219"/>
        <v>253</v>
      </c>
      <c r="B255" s="348" t="s">
        <v>2635</v>
      </c>
      <c r="C255" s="348">
        <v>7</v>
      </c>
      <c r="D255" s="347">
        <v>7</v>
      </c>
      <c r="E255" s="627" t="s">
        <v>6952</v>
      </c>
      <c r="F255" s="346"/>
      <c r="G255" s="347" t="str">
        <f>""</f>
        <v/>
      </c>
      <c r="H255" s="347" t="s">
        <v>5912</v>
      </c>
      <c r="I255" s="347" t="s">
        <v>5298</v>
      </c>
      <c r="J255" s="347" t="str">
        <f t="shared" si="167"/>
        <v/>
      </c>
      <c r="K255" s="347" t="s">
        <v>5278</v>
      </c>
      <c r="L255" s="611" t="str">
        <f t="shared" si="168"/>
        <v>V, S, M, a forked, metal rod worth at least 250 gp, attuned to a particular plane of existence</v>
      </c>
      <c r="M255" s="347" t="s">
        <v>2373</v>
      </c>
      <c r="N255" s="347" t="s">
        <v>2387</v>
      </c>
      <c r="O255" s="347" t="s">
        <v>1244</v>
      </c>
      <c r="P255" s="346" t="s">
        <v>5452</v>
      </c>
      <c r="Q255" s="347" t="s">
        <v>5271</v>
      </c>
      <c r="S255" s="346" t="s">
        <v>5790</v>
      </c>
      <c r="T255" s="346" t="str">
        <f t="shared" si="169"/>
        <v xml:space="preserve">Sorcerer, Warlock, Cleric, Druid, Wizard, </v>
      </c>
      <c r="X255" s="347" t="str">
        <f>$B255</f>
        <v>Plane Shift</v>
      </c>
      <c r="Y255" s="347" t="str">
        <f>$B255</f>
        <v>Plane Shift</v>
      </c>
      <c r="Z255" s="347" t="str">
        <f t="shared" si="224"/>
        <v>Plane Shift</v>
      </c>
      <c r="AA255" s="347" t="str">
        <f t="shared" si="224"/>
        <v>Plane Shift</v>
      </c>
      <c r="AD255" s="347" t="str">
        <f>$B255</f>
        <v>Plane Shift</v>
      </c>
      <c r="AE255" t="str">
        <f>IF(IFERROR(MATCH($B255,temp!A$4:A$13,0),0)&gt;0,T08_Spells!AE$2,"")</f>
        <v/>
      </c>
      <c r="AF255" t="str">
        <f>IF(IFERROR(MATCH($B255,temp!B$4:B$13,0),0)&gt;0,T08_Spells!AF$2,"")</f>
        <v/>
      </c>
      <c r="AG255" t="str">
        <f>IF(IFERROR(MATCH($B255,temp!C$4:C$13,0),0)&gt;0,T08_Spells!AG$2,"")</f>
        <v/>
      </c>
      <c r="AH255" t="str">
        <f>IF(IFERROR(MATCH($B255,temp!D$4:D$13,0),0)&gt;0,T08_Spells!AH$2,"")</f>
        <v/>
      </c>
      <c r="AI255" t="str">
        <f>IF(IFERROR(MATCH($B255,temp!E$4:E$13,0),0)&gt;0,T08_Spells!AI$2,"")</f>
        <v/>
      </c>
      <c r="AJ255" t="str">
        <f>IF(IFERROR(MATCH($B255,temp!F$4:F$13,0),0)&gt;0,T08_Spells!AJ$2,"")</f>
        <v/>
      </c>
      <c r="AK255" t="str">
        <f>IF(IFERROR(MATCH($B255,temp!G$4:G$13,0),0)&gt;0,T08_Spells!AK$2,"")</f>
        <v/>
      </c>
      <c r="AL255" t="str">
        <f>IF(IFERROR(MATCH($B255,temp!H$4:H$13,0),0)&gt;0,T08_Spells!AL$2,"")</f>
        <v/>
      </c>
      <c r="AM255" t="str">
        <f>IF(IFERROR(MATCH($B255,temp!I$4:I$13,0),0)&gt;0,T08_Spells!AM$2,"")</f>
        <v/>
      </c>
      <c r="AN255" t="str">
        <f>IF(IFERROR(MATCH($B255,temp!J$4:J$13,0),0)&gt;0,T08_Spells!AN$2,"")</f>
        <v/>
      </c>
      <c r="AO255" t="str">
        <f>IF(IFERROR(MATCH($B255,temp!K$4:K$13,0),0)&gt;0,T08_Spells!AO$2,"")</f>
        <v/>
      </c>
      <c r="AP255" t="str">
        <f>IF(IFERROR(MATCH($B255,temp!L$4:L$13,0),0)&gt;0,T08_Spells!AP$2,"")</f>
        <v/>
      </c>
      <c r="AQ255" t="str">
        <f>IF(IFERROR(MATCH($B255,temp!M$4:M$13,0),0)&gt;0,T08_Spells!AQ$2,"")</f>
        <v/>
      </c>
      <c r="AR255" t="str">
        <f>IF(IFERROR(MATCH($B255,temp!N$4:N$13,0),0)&gt;0,T08_Spells!AR$2,"")</f>
        <v/>
      </c>
      <c r="AS255" t="str">
        <f>IF(IFERROR(MATCH($B255,temp!O$4:O$13,0),0)&gt;0,T08_Spells!AS$2,"")</f>
        <v/>
      </c>
      <c r="AT255" t="str">
        <f>IF(IFERROR(MATCH($B255,temp!P$4:P$13,0),0)&gt;0,T08_Spells!AT$2,"")</f>
        <v/>
      </c>
      <c r="AU255" t="str">
        <f>IF(IFERROR(MATCH($B255,temp!Q$4:Q$13,0),0)&gt;0,T08_Spells!AU$2,"")</f>
        <v/>
      </c>
      <c r="AV255" t="str">
        <f>IF(IFERROR(MATCH($B255,temp!R$4:R$13,0),0)&gt;0,T08_Spells!AV$2,"")</f>
        <v/>
      </c>
      <c r="AW255" t="str">
        <f>IF(IFERROR(MATCH($B255,temp!S$4:S$13,0),0)&gt;0,T08_Spells!AW$2,"")</f>
        <v/>
      </c>
      <c r="AX255" t="str">
        <f>IF(IFERROR(MATCH($B255,temp!T$4:T$13,0),0)&gt;0,T08_Spells!AX$2,"")</f>
        <v/>
      </c>
      <c r="AY255" t="str">
        <f>IF(IFERROR(MATCH($B255,temp!U$4:U$13,0),0)&gt;0,T08_Spells!AY$2,"")</f>
        <v/>
      </c>
      <c r="AZ255" t="str">
        <f>IF(IFERROR(MATCH($B255,temp!V$4:V$13,0),0)&gt;0,T08_Spells!AZ$2,"")</f>
        <v/>
      </c>
      <c r="BA255" t="str">
        <f>IF(IFERROR(MATCH($B255,temp!W$4:W$13,0),0)&gt;0,T08_Spells!BA$2,"")</f>
        <v/>
      </c>
      <c r="BC255">
        <f>IF(IFERROR(SEARCH("Ranger",$T255,1),0)&gt;0,1,0)*IF(RangerMaxSpellLevel&gt;=$C255,1,0)*IF(IFERROR(MATCH(B255,Character_Creation!$X$79:$X$382,0),0)&gt;0,0,1)</f>
        <v>0</v>
      </c>
      <c r="BD255">
        <f>IF(BC255=0,0,1+COUNTIF(BD$3:BD254,"&gt;0"))</f>
        <v>0</v>
      </c>
      <c r="BE255" t="str">
        <f t="shared" si="199"/>
        <v/>
      </c>
      <c r="BF255" t="str">
        <f t="shared" si="170"/>
        <v/>
      </c>
      <c r="BH255">
        <f>IF(IFERROR(SEARCH("Sorcerer",$T255,1),0)&gt;0,1,0)*IF(SorcererMaxSpellLevel&gt;=$C255,1,0)*IF(IFERROR(MATCH(B255,Character_Creation!$J$380:$J$394,0),0)&gt;0,0,1)</f>
        <v>0</v>
      </c>
      <c r="BI255">
        <f>IF(BH255=0,0,1+COUNTIF(BI$3:BI254,"&gt;0"))</f>
        <v>0</v>
      </c>
      <c r="BJ255" t="str">
        <f t="shared" si="200"/>
        <v/>
      </c>
      <c r="BK255" t="str">
        <f t="shared" si="171"/>
        <v/>
      </c>
      <c r="BM255">
        <f>IF(OR(IFERROR(SEARCH("Warlock",$T255,1),0)&gt;0,IFERROR(SEARCH(WarlockPatron,$T255,1),0)&gt;0),1,0)*IF(WarlockMaxSpellLevel&gt;=$C255,1,0)*IF(IFERROR(MATCH(B255,Character_Creation!$J$361:$J$375,0),0)&gt;0,0,1)</f>
        <v>0</v>
      </c>
      <c r="BN255">
        <f>IF(BM255=0,0,1+COUNTIF(BN$3:BN254,"&gt;0"))</f>
        <v>0</v>
      </c>
      <c r="BO255" t="str">
        <f t="shared" si="201"/>
        <v/>
      </c>
      <c r="BP255" t="str">
        <f t="shared" si="172"/>
        <v/>
      </c>
      <c r="BR255">
        <f>IF(IFERROR(SEARCH("Eldritch Knight",$T255,1),0)&gt;0,1,0)*IF(EldritchKnightMaxSpellLevel&gt;=$C255,1,0)*IF(IFERROR(MATCH($B255,Character_Creation!$J$350:$J$356,0),0)&gt;0,0,1)*IF(Character_Creation!$M$338&gt;0,1,0)</f>
        <v>0</v>
      </c>
      <c r="BS255">
        <f>IF(BR255=0,0,1+COUNTIF(BS$3:BS254,"&gt;0"))</f>
        <v>0</v>
      </c>
      <c r="BT255" t="str">
        <f t="shared" si="202"/>
        <v/>
      </c>
      <c r="BU255" t="str">
        <f t="shared" si="173"/>
        <v/>
      </c>
      <c r="BW255">
        <f>IF(IFERROR(SEARCH("Arcane Trickster",$T255,1),0)&gt;0,1,0)*IF(ArcaneTricksterMaxSpellLevel&gt;=$C255,1,0)*IF(IFERROR(MATCH($B255,Character_Creation!$J$350:$J$356,0),0)&gt;0,0,1)*IF(Character_Creation!$T$338&gt;0,1,0)</f>
        <v>0</v>
      </c>
      <c r="BX255">
        <f>IF(BW255=0,0,1+COUNTIF(BX$3:BX254,"&gt;0"))</f>
        <v>0</v>
      </c>
      <c r="BY255" t="str">
        <f t="shared" si="203"/>
        <v/>
      </c>
      <c r="BZ255" t="str">
        <f t="shared" si="174"/>
        <v/>
      </c>
      <c r="CB255">
        <f>IF(IFERROR(SEARCH("Wizard",$T255,1),0)&gt;0,1,0)*IF(C255&lt;=ArcaneTricksterMaxSpellLevel,1,0)*IF(IFERROR(MATCH($B255,Character_Creation!$J$350:$J$356,0),0)&gt;0,0,1)*IF(Character_Creation!$T$350&gt;0,1,0)</f>
        <v>0</v>
      </c>
      <c r="CC255">
        <f>IF(CB255=0,0,1+COUNTIF(CC$3:CC254,"&gt;0"))</f>
        <v>0</v>
      </c>
      <c r="CD255" t="str">
        <f t="shared" si="204"/>
        <v/>
      </c>
      <c r="CE255" t="str">
        <f t="shared" si="175"/>
        <v/>
      </c>
      <c r="CG255">
        <f>IF(IFERROR(SEARCH("Wizard",$T255,1),0)&gt;0,1,0)*IF($C255&lt;=EldritchKnightMaxSpellLevel,1,0)*IF(IFERROR(MATCH($B255,Character_Creation!$J$350:$J$356,0),0)&gt;0,0,1)*IF(Character_Creation!$M$350&gt;0,1,0)</f>
        <v>0</v>
      </c>
      <c r="CH255">
        <f>IF(CG255=0,0,1+COUNTIF(CH$3:CH254,"&gt;0"))</f>
        <v>0</v>
      </c>
      <c r="CI255" t="str">
        <f t="shared" si="205"/>
        <v/>
      </c>
      <c r="CJ255" t="str">
        <f t="shared" si="176"/>
        <v/>
      </c>
      <c r="CL255">
        <f>IF(IFERROR(SEARCH("Bard",$T255,1),0)&gt;0,1,0)*IF(BardMaxSpellLevel&gt;=$C255,1,0)*IF(IFERROR(MATCH(B255,Character_Creation!$C$341:$F$362,0),0)&gt;0,0,1)*IF(IFERROR(MATCH($B255,Character_Creation!$C$341:$C$362,0),0)&gt;0,0,1)</f>
        <v>0</v>
      </c>
      <c r="CM255">
        <f>IF(CL255=0,0,1+COUNTIF(CM$3:CM254,"&gt;0"))</f>
        <v>0</v>
      </c>
      <c r="CN255" t="str">
        <f t="shared" si="206"/>
        <v/>
      </c>
      <c r="CO255" t="str">
        <f t="shared" si="177"/>
        <v/>
      </c>
      <c r="CQ255">
        <f>IF(IFERROR(SEARCH("Wizard",$T255,1),0)&gt;0,1,0)*IF(WizardMaxSpellLevel&gt;=$C255,1,0)*IF(IFERROR(MATCH(B255,Character_Creation!$X$341:$X$400,0),0)&gt;0,0,1)*IF(SelectedWizardSpellLevel=$C255,1,0)</f>
        <v>0</v>
      </c>
      <c r="CR255">
        <f>IF(CQ255=0,0,1+COUNTIF(CR$3:CR254,"&gt;0"))</f>
        <v>0</v>
      </c>
      <c r="CS255" t="str">
        <f t="shared" si="207"/>
        <v/>
      </c>
      <c r="CT255" t="str">
        <f t="shared" si="178"/>
        <v/>
      </c>
      <c r="CV255">
        <f>IF(IFERROR(MATCH($B255,Character_Creation!$C$341:$C$362,0),0)&gt;0,0,1)*IF(OR(C255="Cantrip",C255&lt;=BardMaxSpellLevel),1,0)*IF(IFERROR(MATCH($B255,Character_Creation!$C$367:$C$374,0),0)&gt;0,0,1)</f>
        <v>0</v>
      </c>
      <c r="CW255">
        <f>IF(CV255=0,0,1+COUNTIF(CW$3:CW254,"&gt;0"))</f>
        <v>0</v>
      </c>
      <c r="CX255" t="str">
        <f t="shared" si="208"/>
        <v/>
      </c>
      <c r="CY255" t="str">
        <f t="shared" si="179"/>
        <v/>
      </c>
      <c r="DA255">
        <f>IF(IF(OR(IFERROR(SEARCH("Cleric",$T255,1),0)&gt;0,IFERROR(SEARCH(DivineDomain&amp;",",$T255,1),0)&gt;0),1,0)*IF($C255=DA$2,1,0)=1,1+COUNTIF(DA$3:DA254,"&gt;0"),0)</f>
        <v>0</v>
      </c>
      <c r="DB255">
        <f>IF(IF(OR(IFERROR(SEARCH("Cleric",$T255,1),0)&gt;0,IFERROR(SEARCH(DivineDomain&amp;",",$T255,1),0)&gt;0),1,0)*IF($C255=DB$2,1,0)=1,1+COUNTIF(DB$3:DB254,"&gt;0"),0)</f>
        <v>0</v>
      </c>
      <c r="DC255">
        <f>IF(IF(OR(IFERROR(SEARCH("Cleric",$T255,1),0)&gt;0,IFERROR(SEARCH(DivineDomain&amp;",",$T255,1),0)&gt;0),1,0)*IF($C255=DC$2,1,0)=1,1+COUNTIF(DC$3:DC254,"&gt;0"),0)</f>
        <v>0</v>
      </c>
      <c r="DD255">
        <f>IF(IF(OR(IFERROR(SEARCH("Cleric",$T255,1),0)&gt;0,IFERROR(SEARCH(DivineDomain&amp;",",$T255,1),0)&gt;0),1,0)*IF($C255=DD$2,1,0)=1,1+COUNTIF(DD$3:DD254,"&gt;0"),0)</f>
        <v>0</v>
      </c>
      <c r="DE255">
        <f>IF(IF(OR(IFERROR(SEARCH("Cleric",$T255,1),0)&gt;0,IFERROR(SEARCH(DivineDomain&amp;",",$T255,1),0)&gt;0),1,0)*IF($C255=DE$2,1,0)=1,1+COUNTIF(DE$3:DE254,"&gt;0"),0)</f>
        <v>0</v>
      </c>
      <c r="DF255">
        <f>IF(IF(OR(IFERROR(SEARCH("Cleric",$T255,1),0)&gt;0,IFERROR(SEARCH(DivineDomain&amp;",",$T255,1),0)&gt;0),1,0)*IF($C255=DF$2,1,0)=1,1+COUNTIF(DF$3:DF254,"&gt;0"),0)</f>
        <v>0</v>
      </c>
      <c r="DG255">
        <f>IF(IF(OR(IFERROR(SEARCH("Cleric",$T255,1),0)&gt;0,IFERROR(SEARCH(DivineDomain&amp;",",$T255,1),0)&gt;0),1,0)*IF($C255=DG$2,1,0)=1,1+COUNTIF(DG$3:DG254,"&gt;0"),0)</f>
        <v>5</v>
      </c>
      <c r="DH255">
        <f>IF(IF(OR(IFERROR(SEARCH("Cleric",$T255,1),0)&gt;0,IFERROR(SEARCH(DivineDomain&amp;",",$T255,1),0)&gt;0),1,0)*IF($C255=DH$2,1,0)=1,1+COUNTIF(DH$3:DH254,"&gt;0"),0)</f>
        <v>0</v>
      </c>
      <c r="DI255">
        <f>IF(IF(OR(IFERROR(SEARCH("Cleric",$T255,1),0)&gt;0,IFERROR(SEARCH(DivineDomain&amp;",",$T255,1),0)&gt;0),1,0)*IF($C255=DI$2,1,0)=1,1+COUNTIF(DI$3:DI254,"&gt;0"),0)</f>
        <v>0</v>
      </c>
      <c r="DJ255">
        <f>IF(IF(OR(IFERROR(SEARCH("Druid",$T255,1),0)&gt;0,IFERROR(SEARCH(DruidLand1,$T255,1),0)&gt;0,IFERROR(SEARCH(DruidLand2,$T255,1),0)&gt;0,IFERROR(SEARCH(DruidLand3,$T255,1),0)&gt;0,IFERROR(SEARCH(DruidLand4,$T255,1),0)&gt;0),1,0)*IF($C255=1,1,0)*IF($C255=DJ$2,1,0)=0,0,1+COUNTIF(DJ$3:DJ254,"&gt;0"))</f>
        <v>0</v>
      </c>
      <c r="DK255">
        <f>IF(IF(OR(IFERROR(SEARCH("Druid",$T255,1),0)&gt;0,IFERROR(SEARCH(DruidLand1,$T255,1),0)&gt;0,IFERROR(SEARCH(DruidLand2,$T255,1),0)&gt;0,IFERROR(SEARCH(DruidLand3,$T255,1),0)&gt;0,IFERROR(SEARCH(DruidLand4,$T255,1),0)&gt;0),1,0)*IF($C255=DK$2,1,0)=0,0,1+COUNTIF(DK$3:DK254,"&gt;0"))</f>
        <v>0</v>
      </c>
      <c r="DL255">
        <f>IF(IF(OR(IFERROR(SEARCH("Druid",$T255,1),0)&gt;0,IFERROR(SEARCH(DruidLand1,$T255,1),0)&gt;0,IFERROR(SEARCH(DruidLand2,$T255,1),0)&gt;0,IFERROR(SEARCH(DruidLand3,$T255,1),0)&gt;0,IFERROR(SEARCH(DruidLand4,$T255,1),0)&gt;0),1,0)*IF($C255=DL$2,1,0)=0,0,1+COUNTIF(DL$3:DL254,"&gt;0"))</f>
        <v>0</v>
      </c>
      <c r="DM255">
        <f>IF(IF(OR(IFERROR(SEARCH("Druid",$T255,1),0)&gt;0,IFERROR(SEARCH(DruidLand1,$T255,1),0)&gt;0,IFERROR(SEARCH(DruidLand2,$T255,1),0)&gt;0,IFERROR(SEARCH(DruidLand3,$T255,1),0)&gt;0,IFERROR(SEARCH(DruidLand4,$T255,1),0)&gt;0),1,0)*IF($C255=DM$2,1,0)=0,0,1+COUNTIF(DM$3:DM254,"&gt;0"))</f>
        <v>0</v>
      </c>
      <c r="DN255">
        <f>IF(IF(OR(IFERROR(SEARCH("Druid",$T255,1),0)&gt;0,IFERROR(SEARCH(DruidLand1,$T255,1),0)&gt;0,IFERROR(SEARCH(DruidLand2,$T255,1),0)&gt;0,IFERROR(SEARCH(DruidLand3,$T255,1),0)&gt;0,IFERROR(SEARCH(DruidLand4,$T255,1),0)&gt;0),1,0)*IF($C255=DN$2,1,0)=0,0,1+COUNTIF(DN$3:DN254,"&gt;0"))</f>
        <v>0</v>
      </c>
      <c r="DO255">
        <f>IF(IF(OR(IFERROR(SEARCH("Druid",$T255,1),0)&gt;0,IFERROR(SEARCH(DruidLand1,$T255,1),0)&gt;0,IFERROR(SEARCH(DruidLand2,$T255,1),0)&gt;0,IFERROR(SEARCH(DruidLand3,$T255,1),0)&gt;0,IFERROR(SEARCH(DruidLand4,$T255,1),0)&gt;0),1,0)*IF($C255=DO$2,1,0)=0,0,1+COUNTIF(DO$3:DO254,"&gt;0"))</f>
        <v>0</v>
      </c>
      <c r="DP255">
        <f>IF(IF(OR(IFERROR(SEARCH("Druid",$T255,1),0)&gt;0,IFERROR(SEARCH(DruidLand1,$T255,1),0)&gt;0,IFERROR(SEARCH(DruidLand2,$T255,1),0)&gt;0,IFERROR(SEARCH(DruidLand3,$T255,1),0)&gt;0,IFERROR(SEARCH(DruidLand4,$T255,1),0)&gt;0),1,0)*IF($C255=DP$2,1,0)=0,0,1+COUNTIF(DP$3:DP254,"&gt;0"))</f>
        <v>3</v>
      </c>
      <c r="DQ255">
        <f>IF(IF(OR(IFERROR(SEARCH("Druid",$T255,1),0)&gt;0,IFERROR(SEARCH(DruidLand1,$T255,1),0)&gt;0,IFERROR(SEARCH(DruidLand2,$T255,1),0)&gt;0,IFERROR(SEARCH(DruidLand3,$T255,1),0)&gt;0,IFERROR(SEARCH(DruidLand4,$T255,1),0)&gt;0),1,0)*IF($C255=DQ$2,1,0)=0,0,1+COUNTIF(DQ$3:DQ254,"&gt;0"))</f>
        <v>0</v>
      </c>
      <c r="DR255">
        <f>IF(IF(OR(IFERROR(SEARCH("Druid",$T255,1),0)&gt;0,IFERROR(SEARCH(DruidLand1,$T255,1),0)&gt;0,IFERROR(SEARCH(DruidLand2,$T255,1),0)&gt;0,IFERROR(SEARCH(DruidLand3,$T255,1),0)&gt;0,IFERROR(SEARCH(DruidLand4,$T255,1),0)&gt;0),1,0)*IF($C255=DR$2,1,0)=0,0,1+COUNTIF(DR$3:DR254,"&gt;0"))</f>
        <v>0</v>
      </c>
      <c r="DS255">
        <f>IF(IF(OR(IFERROR(SEARCH("Paladin",$T255,1),0)&gt;0,IFERROR(SEARCH(PaladinOath,$T255,1),0)&gt;0),1,0)*IF($C255=DS$2,1,0)=1,1+COUNTIF(DS$3:DS254,"&gt;0"),0)</f>
        <v>0</v>
      </c>
      <c r="DT255">
        <f>IF(IF(OR(IFERROR(SEARCH("Paladin",$T255,1),0)&gt;0,IFERROR(SEARCH(PaladinOath,$T255,1),0)&gt;0),1,0)*IF($C255=DT$2,1,0)=1,1+COUNTIF(DT$3:DT254,"&gt;0"),0)</f>
        <v>0</v>
      </c>
      <c r="DU255">
        <f>IF(IF(OR(IFERROR(SEARCH("Paladin",$T255,1),0)&gt;0,IFERROR(SEARCH(PaladinOath,$T255,1),0)&gt;0),1,0)*IF($C255=DU$2,1,0)=1,1+COUNTIF(DU$3:DU254,"&gt;0"),0)</f>
        <v>0</v>
      </c>
      <c r="DV255">
        <f>IF(IF(OR(IFERROR(SEARCH("Paladin",$T255,1),0)&gt;0,IFERROR(SEARCH(PaladinOath,$T255,1),0)&gt;0),1,0)*IF($C255=DV$2,1,0)=1,1+COUNTIF(DV$3:DV254,"&gt;0"),0)</f>
        <v>0</v>
      </c>
      <c r="DW255">
        <f>IF(IF(OR(IFERROR(SEARCH("Paladin",$T255,1),0)&gt;0,IFERROR(SEARCH(PaladinOath,$T255,1),0)&gt;0),1,0)*IF($C255=DW$2,1,0)=1,1+COUNTIF(DW$3:DW254,"&gt;0"),0)</f>
        <v>0</v>
      </c>
      <c r="DY255">
        <f t="shared" si="166"/>
        <v>1</v>
      </c>
      <c r="DZ255">
        <f>IF(DY255=0,0,1+MAX(DZ$3:$DZ254))</f>
        <v>253</v>
      </c>
      <c r="EB255">
        <f t="shared" si="180"/>
        <v>0</v>
      </c>
      <c r="EC255">
        <f>IF(EB255=0,0,1+COUNTIF(EC$3:EC254,"&gt;0"))</f>
        <v>0</v>
      </c>
      <c r="ED255" t="str">
        <f t="shared" si="209"/>
        <v/>
      </c>
      <c r="EE255" t="str">
        <f t="shared" si="181"/>
        <v/>
      </c>
      <c r="EG255">
        <f t="shared" si="182"/>
        <v>0</v>
      </c>
      <c r="EH255">
        <f>IF(EG255=0,0,1+COUNTIF(EH$3:EH254,"&gt;0"))</f>
        <v>0</v>
      </c>
      <c r="EI255" t="str">
        <f t="shared" si="210"/>
        <v/>
      </c>
      <c r="EJ255" t="str">
        <f t="shared" si="183"/>
        <v/>
      </c>
      <c r="EL255">
        <f t="shared" si="184"/>
        <v>0</v>
      </c>
      <c r="EM255">
        <f>IF(EL255=0,0,1+COUNTIF(EM$3:EM254,"&gt;0"))</f>
        <v>0</v>
      </c>
      <c r="EN255" t="str">
        <f t="shared" si="211"/>
        <v/>
      </c>
      <c r="EO255" t="str">
        <f t="shared" si="185"/>
        <v/>
      </c>
      <c r="EQ255">
        <f t="shared" si="186"/>
        <v>0</v>
      </c>
      <c r="ER255">
        <f>IF(EQ255=0,0,1+COUNTIF(ER$3:ER254,"&gt;0"))</f>
        <v>0</v>
      </c>
      <c r="ES255" t="str">
        <f t="shared" si="212"/>
        <v/>
      </c>
      <c r="ET255" t="str">
        <f t="shared" si="187"/>
        <v/>
      </c>
      <c r="EV255">
        <f t="shared" si="188"/>
        <v>0</v>
      </c>
      <c r="EW255">
        <f>IF(EV255=0,0,1+COUNTIF(EW$3:EW254,"&gt;0"))</f>
        <v>0</v>
      </c>
      <c r="EX255" t="str">
        <f t="shared" si="213"/>
        <v/>
      </c>
      <c r="EY255" t="str">
        <f t="shared" si="189"/>
        <v/>
      </c>
      <c r="FA255">
        <f t="shared" si="190"/>
        <v>0</v>
      </c>
      <c r="FB255">
        <f>IF(FA255=0,0,1+COUNTIF(FB$3:FB254,"&gt;0"))</f>
        <v>0</v>
      </c>
      <c r="FC255" t="str">
        <f t="shared" si="214"/>
        <v/>
      </c>
      <c r="FD255" t="str">
        <f t="shared" si="191"/>
        <v/>
      </c>
      <c r="FF255">
        <f t="shared" si="192"/>
        <v>0</v>
      </c>
      <c r="FG255">
        <f>IF(FF255=0,0,1+COUNTIF(FG$3:FG254,"&gt;0"))</f>
        <v>0</v>
      </c>
      <c r="FH255" t="str">
        <f t="shared" si="215"/>
        <v/>
      </c>
      <c r="FI255" t="str">
        <f t="shared" si="193"/>
        <v/>
      </c>
      <c r="FK255">
        <f t="shared" si="194"/>
        <v>0</v>
      </c>
      <c r="FL255">
        <f>IF(FK255=0,0,1+COUNTIF(FL$3:FL254,"&gt;0"))</f>
        <v>0</v>
      </c>
      <c r="FM255" t="str">
        <f t="shared" si="216"/>
        <v/>
      </c>
      <c r="FN255" t="str">
        <f t="shared" si="195"/>
        <v/>
      </c>
      <c r="FP255">
        <f t="shared" si="196"/>
        <v>0</v>
      </c>
      <c r="FQ255">
        <f>IF(FP255=0,0,1+COUNTIF(FQ$3:FQ254,"&gt;0"))</f>
        <v>0</v>
      </c>
      <c r="FR255" t="str">
        <f t="shared" si="217"/>
        <v/>
      </c>
      <c r="FS255" t="str">
        <f t="shared" si="197"/>
        <v/>
      </c>
    </row>
    <row r="256" spans="1:175" x14ac:dyDescent="0.25">
      <c r="A256" s="347">
        <f t="shared" si="219"/>
        <v>254</v>
      </c>
      <c r="B256" s="348" t="s">
        <v>2636</v>
      </c>
      <c r="C256" s="348">
        <v>3</v>
      </c>
      <c r="D256" s="347">
        <v>3</v>
      </c>
      <c r="E256" s="627" t="s">
        <v>6952</v>
      </c>
      <c r="F256" s="346"/>
      <c r="G256" s="347" t="s">
        <v>5269</v>
      </c>
      <c r="H256" s="347" t="s">
        <v>5914</v>
      </c>
      <c r="I256" s="347" t="s">
        <v>5315</v>
      </c>
      <c r="J256" s="347" t="str">
        <f t="shared" si="167"/>
        <v/>
      </c>
      <c r="K256" s="347" t="s">
        <v>5278</v>
      </c>
      <c r="L256" s="611" t="str">
        <f t="shared" si="168"/>
        <v>V, S</v>
      </c>
      <c r="M256" s="347" t="s">
        <v>2373</v>
      </c>
      <c r="N256" s="347" t="s">
        <v>2387</v>
      </c>
      <c r="O256" s="347" t="s">
        <v>3034</v>
      </c>
      <c r="P256" s="346" t="str">
        <f>""</f>
        <v/>
      </c>
      <c r="Q256" s="347" t="s">
        <v>5276</v>
      </c>
      <c r="S256" s="346" t="s">
        <v>5916</v>
      </c>
      <c r="T256" s="346" t="str">
        <f t="shared" si="169"/>
        <v xml:space="preserve">Bard, Ranger, Druid, Ancients, Archfey, Fores, Nature, </v>
      </c>
      <c r="U256" s="347" t="str">
        <f>$B256</f>
        <v>Plant Growth</v>
      </c>
      <c r="W256" s="347" t="str">
        <f>$B256</f>
        <v>Plant Growth</v>
      </c>
      <c r="AA256" s="347" t="str">
        <f t="shared" si="224"/>
        <v>Plant Growth</v>
      </c>
      <c r="AE256" t="str">
        <f>IF(IFERROR(MATCH($B256,temp!A$4:A$13,0),0)&gt;0,T08_Spells!AE$2,"")</f>
        <v/>
      </c>
      <c r="AF256" t="str">
        <f>IF(IFERROR(MATCH($B256,temp!B$4:B$13,0),0)&gt;0,T08_Spells!AF$2,"")</f>
        <v/>
      </c>
      <c r="AG256" t="str">
        <f>IF(IFERROR(MATCH($B256,temp!C$4:C$13,0),0)&gt;0,T08_Spells!AG$2,"")</f>
        <v>Ancients</v>
      </c>
      <c r="AH256" t="str">
        <f>IF(IFERROR(MATCH($B256,temp!D$4:D$13,0),0)&gt;0,T08_Spells!AH$2,"")</f>
        <v/>
      </c>
      <c r="AI256" t="str">
        <f>IF(IFERROR(MATCH($B256,temp!E$4:E$13,0),0)&gt;0,T08_Spells!AI$2,"")</f>
        <v>Archfey</v>
      </c>
      <c r="AJ256" t="str">
        <f>IF(IFERROR(MATCH($B256,temp!F$4:F$13,0),0)&gt;0,T08_Spells!AJ$2,"")</f>
        <v/>
      </c>
      <c r="AK256" t="str">
        <f>IF(IFERROR(MATCH($B256,temp!G$4:G$13,0),0)&gt;0,T08_Spells!AK$2,"")</f>
        <v/>
      </c>
      <c r="AL256" t="str">
        <f>IF(IFERROR(MATCH($B256,temp!H$4:H$13,0),0)&gt;0,T08_Spells!AL$2,"")</f>
        <v/>
      </c>
      <c r="AM256" t="str">
        <f>IF(IFERROR(MATCH($B256,temp!I$4:I$13,0),0)&gt;0,T08_Spells!AM$2,"")</f>
        <v/>
      </c>
      <c r="AN256" t="str">
        <f>IF(IFERROR(MATCH($B256,temp!J$4:J$13,0),0)&gt;0,T08_Spells!AN$2,"")</f>
        <v/>
      </c>
      <c r="AO256" t="str">
        <f>IF(IFERROR(MATCH($B256,temp!K$4:K$13,0),0)&gt;0,T08_Spells!AO$2,"")</f>
        <v>Forest</v>
      </c>
      <c r="AP256" t="str">
        <f>IF(IFERROR(MATCH($B256,temp!L$4:L$13,0),0)&gt;0,T08_Spells!AP$2,"")</f>
        <v/>
      </c>
      <c r="AQ256" t="str">
        <f>IF(IFERROR(MATCH($B256,temp!M$4:M$13,0),0)&gt;0,T08_Spells!AQ$2,"")</f>
        <v/>
      </c>
      <c r="AR256" t="str">
        <f>IF(IFERROR(MATCH($B256,temp!N$4:N$13,0),0)&gt;0,T08_Spells!AR$2,"")</f>
        <v/>
      </c>
      <c r="AS256" t="str">
        <f>IF(IFERROR(MATCH($B256,temp!O$4:O$13,0),0)&gt;0,T08_Spells!AS$2,"")</f>
        <v/>
      </c>
      <c r="AT256" t="str">
        <f>IF(IFERROR(MATCH($B256,temp!P$4:P$13,0),0)&gt;0,T08_Spells!AT$2,"")</f>
        <v/>
      </c>
      <c r="AU256" t="str">
        <f>IF(IFERROR(MATCH($B256,temp!Q$4:Q$13,0),0)&gt;0,T08_Spells!AU$2,"")</f>
        <v/>
      </c>
      <c r="AV256" t="str">
        <f>IF(IFERROR(MATCH($B256,temp!R$4:R$13,0),0)&gt;0,T08_Spells!AV$2,"")</f>
        <v/>
      </c>
      <c r="AW256" t="str">
        <f>IF(IFERROR(MATCH($B256,temp!S$4:S$13,0),0)&gt;0,T08_Spells!AW$2,"")</f>
        <v>Nature</v>
      </c>
      <c r="AX256" t="str">
        <f>IF(IFERROR(MATCH($B256,temp!T$4:T$13,0),0)&gt;0,T08_Spells!AX$2,"")</f>
        <v/>
      </c>
      <c r="AY256" t="str">
        <f>IF(IFERROR(MATCH($B256,temp!U$4:U$13,0),0)&gt;0,T08_Spells!AY$2,"")</f>
        <v/>
      </c>
      <c r="AZ256" t="str">
        <f>IF(IFERROR(MATCH($B256,temp!V$4:V$13,0),0)&gt;0,T08_Spells!AZ$2,"")</f>
        <v/>
      </c>
      <c r="BA256" t="str">
        <f>IF(IFERROR(MATCH($B256,temp!W$4:W$13,0),0)&gt;0,T08_Spells!BA$2,"")</f>
        <v/>
      </c>
      <c r="BC256">
        <f>IF(IFERROR(SEARCH("Ranger",$T256,1),0)&gt;0,1,0)*IF(RangerMaxSpellLevel&gt;=$C256,1,0)*IF(IFERROR(MATCH(B256,Character_Creation!$X$79:$X$382,0),0)&gt;0,0,1)</f>
        <v>0</v>
      </c>
      <c r="BD256">
        <f>IF(BC256=0,0,1+COUNTIF(BD$3:BD255,"&gt;0"))</f>
        <v>0</v>
      </c>
      <c r="BE256" t="str">
        <f t="shared" si="199"/>
        <v/>
      </c>
      <c r="BF256" t="str">
        <f t="shared" si="170"/>
        <v/>
      </c>
      <c r="BH256">
        <f>IF(IFERROR(SEARCH("Sorcerer",$T256,1),0)&gt;0,1,0)*IF(SorcererMaxSpellLevel&gt;=$C256,1,0)*IF(IFERROR(MATCH(B256,Character_Creation!$J$380:$J$394,0),0)&gt;0,0,1)</f>
        <v>0</v>
      </c>
      <c r="BI256">
        <f>IF(BH256=0,0,1+COUNTIF(BI$3:BI255,"&gt;0"))</f>
        <v>0</v>
      </c>
      <c r="BJ256" t="str">
        <f t="shared" si="200"/>
        <v/>
      </c>
      <c r="BK256" t="str">
        <f t="shared" si="171"/>
        <v/>
      </c>
      <c r="BM256">
        <f>IF(OR(IFERROR(SEARCH("Warlock",$T256,1),0)&gt;0,IFERROR(SEARCH(WarlockPatron,$T256,1),0)&gt;0),1,0)*IF(WarlockMaxSpellLevel&gt;=$C256,1,0)*IF(IFERROR(MATCH(B256,Character_Creation!$J$361:$J$375,0),0)&gt;0,0,1)</f>
        <v>0</v>
      </c>
      <c r="BN256">
        <f>IF(BM256=0,0,1+COUNTIF(BN$3:BN255,"&gt;0"))</f>
        <v>0</v>
      </c>
      <c r="BO256" t="str">
        <f t="shared" si="201"/>
        <v/>
      </c>
      <c r="BP256" t="str">
        <f t="shared" si="172"/>
        <v/>
      </c>
      <c r="BR256">
        <f>IF(IFERROR(SEARCH("Eldritch Knight",$T256,1),0)&gt;0,1,0)*IF(EldritchKnightMaxSpellLevel&gt;=$C256,1,0)*IF(IFERROR(MATCH($B256,Character_Creation!$J$350:$J$356,0),0)&gt;0,0,1)*IF(Character_Creation!$M$338&gt;0,1,0)</f>
        <v>0</v>
      </c>
      <c r="BS256">
        <f>IF(BR256=0,0,1+COUNTIF(BS$3:BS255,"&gt;0"))</f>
        <v>0</v>
      </c>
      <c r="BT256" t="str">
        <f t="shared" si="202"/>
        <v/>
      </c>
      <c r="BU256" t="str">
        <f t="shared" si="173"/>
        <v/>
      </c>
      <c r="BW256">
        <f>IF(IFERROR(SEARCH("Arcane Trickster",$T256,1),0)&gt;0,1,0)*IF(ArcaneTricksterMaxSpellLevel&gt;=$C256,1,0)*IF(IFERROR(MATCH($B256,Character_Creation!$J$350:$J$356,0),0)&gt;0,0,1)*IF(Character_Creation!$T$338&gt;0,1,0)</f>
        <v>0</v>
      </c>
      <c r="BX256">
        <f>IF(BW256=0,0,1+COUNTIF(BX$3:BX255,"&gt;0"))</f>
        <v>0</v>
      </c>
      <c r="BY256" t="str">
        <f t="shared" si="203"/>
        <v/>
      </c>
      <c r="BZ256" t="str">
        <f t="shared" si="174"/>
        <v/>
      </c>
      <c r="CB256">
        <f>IF(IFERROR(SEARCH("Wizard",$T256,1),0)&gt;0,1,0)*IF(C256&lt;=ArcaneTricksterMaxSpellLevel,1,0)*IF(IFERROR(MATCH($B256,Character_Creation!$J$350:$J$356,0),0)&gt;0,0,1)*IF(Character_Creation!$T$350&gt;0,1,0)</f>
        <v>0</v>
      </c>
      <c r="CC256">
        <f>IF(CB256=0,0,1+COUNTIF(CC$3:CC255,"&gt;0"))</f>
        <v>0</v>
      </c>
      <c r="CD256" t="str">
        <f t="shared" si="204"/>
        <v/>
      </c>
      <c r="CE256" t="str">
        <f t="shared" si="175"/>
        <v/>
      </c>
      <c r="CG256">
        <f>IF(IFERROR(SEARCH("Wizard",$T256,1),0)&gt;0,1,0)*IF($C256&lt;=EldritchKnightMaxSpellLevel,1,0)*IF(IFERROR(MATCH($B256,Character_Creation!$J$350:$J$356,0),0)&gt;0,0,1)*IF(Character_Creation!$M$350&gt;0,1,0)</f>
        <v>0</v>
      </c>
      <c r="CH256">
        <f>IF(CG256=0,0,1+COUNTIF(CH$3:CH255,"&gt;0"))</f>
        <v>0</v>
      </c>
      <c r="CI256" t="str">
        <f t="shared" si="205"/>
        <v/>
      </c>
      <c r="CJ256" t="str">
        <f t="shared" si="176"/>
        <v/>
      </c>
      <c r="CL256">
        <f>IF(IFERROR(SEARCH("Bard",$T256,1),0)&gt;0,1,0)*IF(BardMaxSpellLevel&gt;=$C256,1,0)*IF(IFERROR(MATCH(B256,Character_Creation!$C$341:$F$362,0),0)&gt;0,0,1)*IF(IFERROR(MATCH($B256,Character_Creation!$C$341:$C$362,0),0)&gt;0,0,1)</f>
        <v>0</v>
      </c>
      <c r="CM256">
        <f>IF(CL256=0,0,1+COUNTIF(CM$3:CM255,"&gt;0"))</f>
        <v>0</v>
      </c>
      <c r="CN256" t="str">
        <f t="shared" si="206"/>
        <v/>
      </c>
      <c r="CO256" t="str">
        <f t="shared" si="177"/>
        <v/>
      </c>
      <c r="CQ256">
        <f>IF(IFERROR(SEARCH("Wizard",$T256,1),0)&gt;0,1,0)*IF(WizardMaxSpellLevel&gt;=$C256,1,0)*IF(IFERROR(MATCH(B256,Character_Creation!$X$341:$X$400,0),0)&gt;0,0,1)*IF(SelectedWizardSpellLevel=$C256,1,0)</f>
        <v>0</v>
      </c>
      <c r="CR256">
        <f>IF(CQ256=0,0,1+COUNTIF(CR$3:CR255,"&gt;0"))</f>
        <v>0</v>
      </c>
      <c r="CS256" t="str">
        <f t="shared" si="207"/>
        <v/>
      </c>
      <c r="CT256" t="str">
        <f t="shared" si="178"/>
        <v/>
      </c>
      <c r="CV256">
        <f>IF(IFERROR(MATCH($B256,Character_Creation!$C$341:$C$362,0),0)&gt;0,0,1)*IF(OR(C256="Cantrip",C256&lt;=BardMaxSpellLevel),1,0)*IF(IFERROR(MATCH($B256,Character_Creation!$C$367:$C$374,0),0)&gt;0,0,1)</f>
        <v>0</v>
      </c>
      <c r="CW256">
        <f>IF(CV256=0,0,1+COUNTIF(CW$3:CW255,"&gt;0"))</f>
        <v>0</v>
      </c>
      <c r="CX256" t="str">
        <f t="shared" si="208"/>
        <v/>
      </c>
      <c r="CY256" t="str">
        <f t="shared" si="179"/>
        <v/>
      </c>
      <c r="DA256">
        <f>IF(IF(OR(IFERROR(SEARCH("Cleric",$T256,1),0)&gt;0,IFERROR(SEARCH(DivineDomain&amp;",",$T256,1),0)&gt;0),1,0)*IF($C256=DA$2,1,0)=1,1+COUNTIF(DA$3:DA255,"&gt;0"),0)</f>
        <v>0</v>
      </c>
      <c r="DB256">
        <f>IF(IF(OR(IFERROR(SEARCH("Cleric",$T256,1),0)&gt;0,IFERROR(SEARCH(DivineDomain&amp;",",$T256,1),0)&gt;0),1,0)*IF($C256=DB$2,1,0)=1,1+COUNTIF(DB$3:DB255,"&gt;0"),0)</f>
        <v>0</v>
      </c>
      <c r="DC256">
        <f>IF(IF(OR(IFERROR(SEARCH("Cleric",$T256,1),0)&gt;0,IFERROR(SEARCH(DivineDomain&amp;",",$T256,1),0)&gt;0),1,0)*IF($C256=DC$2,1,0)=1,1+COUNTIF(DC$3:DC255,"&gt;0"),0)</f>
        <v>0</v>
      </c>
      <c r="DD256">
        <f>IF(IF(OR(IFERROR(SEARCH("Cleric",$T256,1),0)&gt;0,IFERROR(SEARCH(DivineDomain&amp;",",$T256,1),0)&gt;0),1,0)*IF($C256=DD$2,1,0)=1,1+COUNTIF(DD$3:DD255,"&gt;0"),0)</f>
        <v>0</v>
      </c>
      <c r="DE256">
        <f>IF(IF(OR(IFERROR(SEARCH("Cleric",$T256,1),0)&gt;0,IFERROR(SEARCH(DivineDomain&amp;",",$T256,1),0)&gt;0),1,0)*IF($C256=DE$2,1,0)=1,1+COUNTIF(DE$3:DE255,"&gt;0"),0)</f>
        <v>0</v>
      </c>
      <c r="DF256">
        <f>IF(IF(OR(IFERROR(SEARCH("Cleric",$T256,1),0)&gt;0,IFERROR(SEARCH(DivineDomain&amp;",",$T256,1),0)&gt;0),1,0)*IF($C256=DF$2,1,0)=1,1+COUNTIF(DF$3:DF255,"&gt;0"),0)</f>
        <v>0</v>
      </c>
      <c r="DG256">
        <f>IF(IF(OR(IFERROR(SEARCH("Cleric",$T256,1),0)&gt;0,IFERROR(SEARCH(DivineDomain&amp;",",$T256,1),0)&gt;0),1,0)*IF($C256=DG$2,1,0)=1,1+COUNTIF(DG$3:DG255,"&gt;0"),0)</f>
        <v>0</v>
      </c>
      <c r="DH256">
        <f>IF(IF(OR(IFERROR(SEARCH("Cleric",$T256,1),0)&gt;0,IFERROR(SEARCH(DivineDomain&amp;",",$T256,1),0)&gt;0),1,0)*IF($C256=DH$2,1,0)=1,1+COUNTIF(DH$3:DH255,"&gt;0"),0)</f>
        <v>0</v>
      </c>
      <c r="DI256">
        <f>IF(IF(OR(IFERROR(SEARCH("Cleric",$T256,1),0)&gt;0,IFERROR(SEARCH(DivineDomain&amp;",",$T256,1),0)&gt;0),1,0)*IF($C256=DI$2,1,0)=1,1+COUNTIF(DI$3:DI255,"&gt;0"),0)</f>
        <v>0</v>
      </c>
      <c r="DJ256">
        <f>IF(IF(OR(IFERROR(SEARCH("Druid",$T256,1),0)&gt;0,IFERROR(SEARCH(DruidLand1,$T256,1),0)&gt;0,IFERROR(SEARCH(DruidLand2,$T256,1),0)&gt;0,IFERROR(SEARCH(DruidLand3,$T256,1),0)&gt;0,IFERROR(SEARCH(DruidLand4,$T256,1),0)&gt;0),1,0)*IF($C256=1,1,0)*IF($C256=DJ$2,1,0)=0,0,1+COUNTIF(DJ$3:DJ255,"&gt;0"))</f>
        <v>0</v>
      </c>
      <c r="DK256">
        <f>IF(IF(OR(IFERROR(SEARCH("Druid",$T256,1),0)&gt;0,IFERROR(SEARCH(DruidLand1,$T256,1),0)&gt;0,IFERROR(SEARCH(DruidLand2,$T256,1),0)&gt;0,IFERROR(SEARCH(DruidLand3,$T256,1),0)&gt;0,IFERROR(SEARCH(DruidLand4,$T256,1),0)&gt;0),1,0)*IF($C256=DK$2,1,0)=0,0,1+COUNTIF(DK$3:DK255,"&gt;0"))</f>
        <v>0</v>
      </c>
      <c r="DL256">
        <f>IF(IF(OR(IFERROR(SEARCH("Druid",$T256,1),0)&gt;0,IFERROR(SEARCH(DruidLand1,$T256,1),0)&gt;0,IFERROR(SEARCH(DruidLand2,$T256,1),0)&gt;0,IFERROR(SEARCH(DruidLand3,$T256,1),0)&gt;0,IFERROR(SEARCH(DruidLand4,$T256,1),0)&gt;0),1,0)*IF($C256=DL$2,1,0)=0,0,1+COUNTIF(DL$3:DL255,"&gt;0"))</f>
        <v>7</v>
      </c>
      <c r="DM256">
        <f>IF(IF(OR(IFERROR(SEARCH("Druid",$T256,1),0)&gt;0,IFERROR(SEARCH(DruidLand1,$T256,1),0)&gt;0,IFERROR(SEARCH(DruidLand2,$T256,1),0)&gt;0,IFERROR(SEARCH(DruidLand3,$T256,1),0)&gt;0,IFERROR(SEARCH(DruidLand4,$T256,1),0)&gt;0),1,0)*IF($C256=DM$2,1,0)=0,0,1+COUNTIF(DM$3:DM255,"&gt;0"))</f>
        <v>0</v>
      </c>
      <c r="DN256">
        <f>IF(IF(OR(IFERROR(SEARCH("Druid",$T256,1),0)&gt;0,IFERROR(SEARCH(DruidLand1,$T256,1),0)&gt;0,IFERROR(SEARCH(DruidLand2,$T256,1),0)&gt;0,IFERROR(SEARCH(DruidLand3,$T256,1),0)&gt;0,IFERROR(SEARCH(DruidLand4,$T256,1),0)&gt;0),1,0)*IF($C256=DN$2,1,0)=0,0,1+COUNTIF(DN$3:DN255,"&gt;0"))</f>
        <v>0</v>
      </c>
      <c r="DO256">
        <f>IF(IF(OR(IFERROR(SEARCH("Druid",$T256,1),0)&gt;0,IFERROR(SEARCH(DruidLand1,$T256,1),0)&gt;0,IFERROR(SEARCH(DruidLand2,$T256,1),0)&gt;0,IFERROR(SEARCH(DruidLand3,$T256,1),0)&gt;0,IFERROR(SEARCH(DruidLand4,$T256,1),0)&gt;0),1,0)*IF($C256=DO$2,1,0)=0,0,1+COUNTIF(DO$3:DO255,"&gt;0"))</f>
        <v>0</v>
      </c>
      <c r="DP256">
        <f>IF(IF(OR(IFERROR(SEARCH("Druid",$T256,1),0)&gt;0,IFERROR(SEARCH(DruidLand1,$T256,1),0)&gt;0,IFERROR(SEARCH(DruidLand2,$T256,1),0)&gt;0,IFERROR(SEARCH(DruidLand3,$T256,1),0)&gt;0,IFERROR(SEARCH(DruidLand4,$T256,1),0)&gt;0),1,0)*IF($C256=DP$2,1,0)=0,0,1+COUNTIF(DP$3:DP255,"&gt;0"))</f>
        <v>0</v>
      </c>
      <c r="DQ256">
        <f>IF(IF(OR(IFERROR(SEARCH("Druid",$T256,1),0)&gt;0,IFERROR(SEARCH(DruidLand1,$T256,1),0)&gt;0,IFERROR(SEARCH(DruidLand2,$T256,1),0)&gt;0,IFERROR(SEARCH(DruidLand3,$T256,1),0)&gt;0,IFERROR(SEARCH(DruidLand4,$T256,1),0)&gt;0),1,0)*IF($C256=DQ$2,1,0)=0,0,1+COUNTIF(DQ$3:DQ255,"&gt;0"))</f>
        <v>0</v>
      </c>
      <c r="DR256">
        <f>IF(IF(OR(IFERROR(SEARCH("Druid",$T256,1),0)&gt;0,IFERROR(SEARCH(DruidLand1,$T256,1),0)&gt;0,IFERROR(SEARCH(DruidLand2,$T256,1),0)&gt;0,IFERROR(SEARCH(DruidLand3,$T256,1),0)&gt;0,IFERROR(SEARCH(DruidLand4,$T256,1),0)&gt;0),1,0)*IF($C256=DR$2,1,0)=0,0,1+COUNTIF(DR$3:DR255,"&gt;0"))</f>
        <v>0</v>
      </c>
      <c r="DS256">
        <f>IF(IF(OR(IFERROR(SEARCH("Paladin",$T256,1),0)&gt;0,IFERROR(SEARCH(PaladinOath,$T256,1),0)&gt;0),1,0)*IF($C256=DS$2,1,0)=1,1+COUNTIF(DS$3:DS255,"&gt;0"),0)</f>
        <v>0</v>
      </c>
      <c r="DT256">
        <f>IF(IF(OR(IFERROR(SEARCH("Paladin",$T256,1),0)&gt;0,IFERROR(SEARCH(PaladinOath,$T256,1),0)&gt;0),1,0)*IF($C256=DT$2,1,0)=1,1+COUNTIF(DT$3:DT255,"&gt;0"),0)</f>
        <v>0</v>
      </c>
      <c r="DU256">
        <f>IF(IF(OR(IFERROR(SEARCH("Paladin",$T256,1),0)&gt;0,IFERROR(SEARCH(PaladinOath,$T256,1),0)&gt;0),1,0)*IF($C256=DU$2,1,0)=1,1+COUNTIF(DU$3:DU255,"&gt;0"),0)</f>
        <v>0</v>
      </c>
      <c r="DV256">
        <f>IF(IF(OR(IFERROR(SEARCH("Paladin",$T256,1),0)&gt;0,IFERROR(SEARCH(PaladinOath,$T256,1),0)&gt;0),1,0)*IF($C256=DV$2,1,0)=1,1+COUNTIF(DV$3:DV255,"&gt;0"),0)</f>
        <v>0</v>
      </c>
      <c r="DW256">
        <f>IF(IF(OR(IFERROR(SEARCH("Paladin",$T256,1),0)&gt;0,IFERROR(SEARCH(PaladinOath,$T256,1),0)&gt;0),1,0)*IF($C256=DW$2,1,0)=1,1+COUNTIF(DW$3:DW255,"&gt;0"),0)</f>
        <v>0</v>
      </c>
      <c r="DY256">
        <f t="shared" si="166"/>
        <v>1</v>
      </c>
      <c r="DZ256">
        <f>IF(DY256=0,0,1+MAX(DZ$3:$DZ255))</f>
        <v>254</v>
      </c>
      <c r="EB256">
        <f t="shared" si="180"/>
        <v>0</v>
      </c>
      <c r="EC256">
        <f>IF(EB256=0,0,1+COUNTIF(EC$3:EC255,"&gt;0"))</f>
        <v>0</v>
      </c>
      <c r="ED256" t="str">
        <f t="shared" si="209"/>
        <v/>
      </c>
      <c r="EE256" t="str">
        <f t="shared" si="181"/>
        <v/>
      </c>
      <c r="EG256">
        <f t="shared" si="182"/>
        <v>0</v>
      </c>
      <c r="EH256">
        <f>IF(EG256=0,0,1+COUNTIF(EH$3:EH255,"&gt;0"))</f>
        <v>0</v>
      </c>
      <c r="EI256" t="str">
        <f t="shared" si="210"/>
        <v/>
      </c>
      <c r="EJ256" t="str">
        <f t="shared" si="183"/>
        <v/>
      </c>
      <c r="EL256">
        <f t="shared" si="184"/>
        <v>0</v>
      </c>
      <c r="EM256">
        <f>IF(EL256=0,0,1+COUNTIF(EM$3:EM255,"&gt;0"))</f>
        <v>0</v>
      </c>
      <c r="EN256" t="str">
        <f t="shared" si="211"/>
        <v/>
      </c>
      <c r="EO256" t="str">
        <f t="shared" si="185"/>
        <v/>
      </c>
      <c r="EQ256">
        <f t="shared" si="186"/>
        <v>0</v>
      </c>
      <c r="ER256">
        <f>IF(EQ256=0,0,1+COUNTIF(ER$3:ER255,"&gt;0"))</f>
        <v>0</v>
      </c>
      <c r="ES256" t="str">
        <f t="shared" si="212"/>
        <v/>
      </c>
      <c r="ET256" t="str">
        <f t="shared" si="187"/>
        <v/>
      </c>
      <c r="EV256">
        <f t="shared" si="188"/>
        <v>0</v>
      </c>
      <c r="EW256">
        <f>IF(EV256=0,0,1+COUNTIF(EW$3:EW255,"&gt;0"))</f>
        <v>0</v>
      </c>
      <c r="EX256" t="str">
        <f t="shared" si="213"/>
        <v/>
      </c>
      <c r="EY256" t="str">
        <f t="shared" si="189"/>
        <v/>
      </c>
      <c r="FA256">
        <f t="shared" si="190"/>
        <v>0</v>
      </c>
      <c r="FB256">
        <f>IF(FA256=0,0,1+COUNTIF(FB$3:FB255,"&gt;0"))</f>
        <v>0</v>
      </c>
      <c r="FC256" t="str">
        <f t="shared" si="214"/>
        <v/>
      </c>
      <c r="FD256" t="str">
        <f t="shared" si="191"/>
        <v/>
      </c>
      <c r="FF256">
        <f t="shared" si="192"/>
        <v>0</v>
      </c>
      <c r="FG256">
        <f>IF(FF256=0,0,1+COUNTIF(FG$3:FG255,"&gt;0"))</f>
        <v>0</v>
      </c>
      <c r="FH256" t="str">
        <f t="shared" si="215"/>
        <v/>
      </c>
      <c r="FI256" t="str">
        <f t="shared" si="193"/>
        <v/>
      </c>
      <c r="FK256">
        <f t="shared" si="194"/>
        <v>0</v>
      </c>
      <c r="FL256">
        <f>IF(FK256=0,0,1+COUNTIF(FL$3:FL255,"&gt;0"))</f>
        <v>0</v>
      </c>
      <c r="FM256" t="str">
        <f t="shared" si="216"/>
        <v/>
      </c>
      <c r="FN256" t="str">
        <f t="shared" si="195"/>
        <v/>
      </c>
      <c r="FP256">
        <f t="shared" si="196"/>
        <v>0</v>
      </c>
      <c r="FQ256">
        <f>IF(FP256=0,0,1+COUNTIF(FQ$3:FQ255,"&gt;0"))</f>
        <v>0</v>
      </c>
      <c r="FR256" t="str">
        <f t="shared" si="217"/>
        <v/>
      </c>
      <c r="FS256" t="str">
        <f t="shared" si="197"/>
        <v/>
      </c>
    </row>
    <row r="257" spans="1:175" x14ac:dyDescent="0.25">
      <c r="A257" s="347">
        <f t="shared" si="219"/>
        <v>255</v>
      </c>
      <c r="B257" s="348" t="s">
        <v>2637</v>
      </c>
      <c r="C257" s="348" t="s">
        <v>5277</v>
      </c>
      <c r="D257" s="347">
        <v>0.5</v>
      </c>
      <c r="E257" s="627" t="s">
        <v>6952</v>
      </c>
      <c r="F257" s="346"/>
      <c r="G257" s="347" t="str">
        <f>""</f>
        <v/>
      </c>
      <c r="H257" s="347" t="s">
        <v>5912</v>
      </c>
      <c r="I257" s="347" t="s">
        <v>5052</v>
      </c>
      <c r="J257" s="347" t="str">
        <f t="shared" si="167"/>
        <v/>
      </c>
      <c r="K257" s="347" t="s">
        <v>5278</v>
      </c>
      <c r="L257" s="611" t="str">
        <f t="shared" si="168"/>
        <v>V, S</v>
      </c>
      <c r="M257" s="347" t="s">
        <v>2373</v>
      </c>
      <c r="N257" s="347" t="s">
        <v>2387</v>
      </c>
      <c r="O257" s="347" t="s">
        <v>3034</v>
      </c>
      <c r="P257" s="346" t="str">
        <f>""</f>
        <v/>
      </c>
      <c r="Q257" s="347" t="s">
        <v>5271</v>
      </c>
      <c r="S257" s="397" t="s">
        <v>5453</v>
      </c>
      <c r="T257" s="346" t="str">
        <f t="shared" si="169"/>
        <v xml:space="preserve">Sorcerer, Warlock, Druid, Wizard, </v>
      </c>
      <c r="X257" s="347" t="str">
        <f>$B257</f>
        <v>Poison Spray</v>
      </c>
      <c r="Y257" s="347" t="str">
        <f>$B257</f>
        <v>Poison Spray</v>
      </c>
      <c r="AA257" s="347" t="str">
        <f t="shared" si="224"/>
        <v>Poison Spray</v>
      </c>
      <c r="AD257" s="347" t="str">
        <f>$B257</f>
        <v>Poison Spray</v>
      </c>
      <c r="AE257" t="str">
        <f>IF(IFERROR(MATCH($B257,temp!A$4:A$13,0),0)&gt;0,T08_Spells!AE$2,"")</f>
        <v/>
      </c>
      <c r="AF257" t="str">
        <f>IF(IFERROR(MATCH($B257,temp!B$4:B$13,0),0)&gt;0,T08_Spells!AF$2,"")</f>
        <v/>
      </c>
      <c r="AG257" t="str">
        <f>IF(IFERROR(MATCH($B257,temp!C$4:C$13,0),0)&gt;0,T08_Spells!AG$2,"")</f>
        <v/>
      </c>
      <c r="AH257" t="str">
        <f>IF(IFERROR(MATCH($B257,temp!D$4:D$13,0),0)&gt;0,T08_Spells!AH$2,"")</f>
        <v/>
      </c>
      <c r="AI257" t="str">
        <f>IF(IFERROR(MATCH($B257,temp!E$4:E$13,0),0)&gt;0,T08_Spells!AI$2,"")</f>
        <v/>
      </c>
      <c r="AJ257" t="str">
        <f>IF(IFERROR(MATCH($B257,temp!F$4:F$13,0),0)&gt;0,T08_Spells!AJ$2,"")</f>
        <v/>
      </c>
      <c r="AK257" t="str">
        <f>IF(IFERROR(MATCH($B257,temp!G$4:G$13,0),0)&gt;0,T08_Spells!AK$2,"")</f>
        <v/>
      </c>
      <c r="AL257" t="str">
        <f>IF(IFERROR(MATCH($B257,temp!H$4:H$13,0),0)&gt;0,T08_Spells!AL$2,"")</f>
        <v/>
      </c>
      <c r="AM257" t="str">
        <f>IF(IFERROR(MATCH($B257,temp!I$4:I$13,0),0)&gt;0,T08_Spells!AM$2,"")</f>
        <v/>
      </c>
      <c r="AN257" t="str">
        <f>IF(IFERROR(MATCH($B257,temp!J$4:J$13,0),0)&gt;0,T08_Spells!AN$2,"")</f>
        <v/>
      </c>
      <c r="AO257" t="str">
        <f>IF(IFERROR(MATCH($B257,temp!K$4:K$13,0),0)&gt;0,T08_Spells!AO$2,"")</f>
        <v/>
      </c>
      <c r="AP257" t="str">
        <f>IF(IFERROR(MATCH($B257,temp!L$4:L$13,0),0)&gt;0,T08_Spells!AP$2,"")</f>
        <v/>
      </c>
      <c r="AQ257" t="str">
        <f>IF(IFERROR(MATCH($B257,temp!M$4:M$13,0),0)&gt;0,T08_Spells!AQ$2,"")</f>
        <v/>
      </c>
      <c r="AR257" t="str">
        <f>IF(IFERROR(MATCH($B257,temp!N$4:N$13,0),0)&gt;0,T08_Spells!AR$2,"")</f>
        <v/>
      </c>
      <c r="AS257" t="str">
        <f>IF(IFERROR(MATCH($B257,temp!O$4:O$13,0),0)&gt;0,T08_Spells!AS$2,"")</f>
        <v/>
      </c>
      <c r="AT257" t="str">
        <f>IF(IFERROR(MATCH($B257,temp!P$4:P$13,0),0)&gt;0,T08_Spells!AT$2,"")</f>
        <v/>
      </c>
      <c r="AU257" t="str">
        <f>IF(IFERROR(MATCH($B257,temp!Q$4:Q$13,0),0)&gt;0,T08_Spells!AU$2,"")</f>
        <v/>
      </c>
      <c r="AV257" t="str">
        <f>IF(IFERROR(MATCH($B257,temp!R$4:R$13,0),0)&gt;0,T08_Spells!AV$2,"")</f>
        <v/>
      </c>
      <c r="AW257" t="str">
        <f>IF(IFERROR(MATCH($B257,temp!S$4:S$13,0),0)&gt;0,T08_Spells!AW$2,"")</f>
        <v/>
      </c>
      <c r="AX257" t="str">
        <f>IF(IFERROR(MATCH($B257,temp!T$4:T$13,0),0)&gt;0,T08_Spells!AX$2,"")</f>
        <v/>
      </c>
      <c r="AY257" t="str">
        <f>IF(IFERROR(MATCH($B257,temp!U$4:U$13,0),0)&gt;0,T08_Spells!AY$2,"")</f>
        <v/>
      </c>
      <c r="AZ257" t="str">
        <f>IF(IFERROR(MATCH($B257,temp!V$4:V$13,0),0)&gt;0,T08_Spells!AZ$2,"")</f>
        <v/>
      </c>
      <c r="BA257" t="str">
        <f>IF(IFERROR(MATCH($B257,temp!W$4:W$13,0),0)&gt;0,T08_Spells!BA$2,"")</f>
        <v/>
      </c>
      <c r="BC257">
        <f>IF(IFERROR(SEARCH("Ranger",$T257,1),0)&gt;0,1,0)*IF(RangerMaxSpellLevel&gt;=$C257,1,0)*IF(IFERROR(MATCH(B257,Character_Creation!$X$79:$X$382,0),0)&gt;0,0,1)</f>
        <v>0</v>
      </c>
      <c r="BD257">
        <f>IF(BC257=0,0,1+COUNTIF(BD$3:BD256,"&gt;0"))</f>
        <v>0</v>
      </c>
      <c r="BE257" t="str">
        <f t="shared" si="199"/>
        <v/>
      </c>
      <c r="BF257" t="str">
        <f t="shared" si="170"/>
        <v/>
      </c>
      <c r="BH257">
        <f>IF(IFERROR(SEARCH("Sorcerer",$T257,1),0)&gt;0,1,0)*IF(SorcererMaxSpellLevel&gt;=$C257,1,0)*IF(IFERROR(MATCH(B257,Character_Creation!$J$380:$J$394,0),0)&gt;0,0,1)</f>
        <v>0</v>
      </c>
      <c r="BI257">
        <f>IF(BH257=0,0,1+COUNTIF(BI$3:BI256,"&gt;0"))</f>
        <v>0</v>
      </c>
      <c r="BJ257" t="str">
        <f t="shared" si="200"/>
        <v/>
      </c>
      <c r="BK257" t="str">
        <f t="shared" si="171"/>
        <v/>
      </c>
      <c r="BM257">
        <f>IF(OR(IFERROR(SEARCH("Warlock",$T257,1),0)&gt;0,IFERROR(SEARCH(WarlockPatron,$T257,1),0)&gt;0),1,0)*IF(WarlockMaxSpellLevel&gt;=$C257,1,0)*IF(IFERROR(MATCH(B257,Character_Creation!$J$361:$J$375,0),0)&gt;0,0,1)</f>
        <v>0</v>
      </c>
      <c r="BN257">
        <f>IF(BM257=0,0,1+COUNTIF(BN$3:BN256,"&gt;0"))</f>
        <v>0</v>
      </c>
      <c r="BO257" t="str">
        <f t="shared" si="201"/>
        <v/>
      </c>
      <c r="BP257" t="str">
        <f t="shared" si="172"/>
        <v/>
      </c>
      <c r="BR257">
        <f>IF(IFERROR(SEARCH("Eldritch Knight",$T257,1),0)&gt;0,1,0)*IF(EldritchKnightMaxSpellLevel&gt;=$C257,1,0)*IF(IFERROR(MATCH($B257,Character_Creation!$J$350:$J$356,0),0)&gt;0,0,1)*IF(Character_Creation!$M$338&gt;0,1,0)</f>
        <v>0</v>
      </c>
      <c r="BS257">
        <f>IF(BR257=0,0,1+COUNTIF(BS$3:BS256,"&gt;0"))</f>
        <v>0</v>
      </c>
      <c r="BT257" t="str">
        <f t="shared" si="202"/>
        <v/>
      </c>
      <c r="BU257" t="str">
        <f t="shared" si="173"/>
        <v/>
      </c>
      <c r="BW257">
        <f>IF(IFERROR(SEARCH("Arcane Trickster",$T257,1),0)&gt;0,1,0)*IF(ArcaneTricksterMaxSpellLevel&gt;=$C257,1,0)*IF(IFERROR(MATCH($B257,Character_Creation!$J$350:$J$356,0),0)&gt;0,0,1)*IF(Character_Creation!$T$338&gt;0,1,0)</f>
        <v>0</v>
      </c>
      <c r="BX257">
        <f>IF(BW257=0,0,1+COUNTIF(BX$3:BX256,"&gt;0"))</f>
        <v>0</v>
      </c>
      <c r="BY257" t="str">
        <f t="shared" si="203"/>
        <v/>
      </c>
      <c r="BZ257" t="str">
        <f t="shared" si="174"/>
        <v/>
      </c>
      <c r="CB257">
        <f>IF(IFERROR(SEARCH("Wizard",$T257,1),0)&gt;0,1,0)*IF(C257&lt;=ArcaneTricksterMaxSpellLevel,1,0)*IF(IFERROR(MATCH($B257,Character_Creation!$J$350:$J$356,0),0)&gt;0,0,1)*IF(Character_Creation!$T$350&gt;0,1,0)</f>
        <v>0</v>
      </c>
      <c r="CC257">
        <f>IF(CB257=0,0,1+COUNTIF(CC$3:CC256,"&gt;0"))</f>
        <v>0</v>
      </c>
      <c r="CD257" t="str">
        <f t="shared" si="204"/>
        <v/>
      </c>
      <c r="CE257" t="str">
        <f t="shared" si="175"/>
        <v/>
      </c>
      <c r="CG257">
        <f>IF(IFERROR(SEARCH("Wizard",$T257,1),0)&gt;0,1,0)*IF($C257&lt;=EldritchKnightMaxSpellLevel,1,0)*IF(IFERROR(MATCH($B257,Character_Creation!$J$350:$J$356,0),0)&gt;0,0,1)*IF(Character_Creation!$M$350&gt;0,1,0)</f>
        <v>0</v>
      </c>
      <c r="CH257">
        <f>IF(CG257=0,0,1+COUNTIF(CH$3:CH256,"&gt;0"))</f>
        <v>0</v>
      </c>
      <c r="CI257" t="str">
        <f t="shared" si="205"/>
        <v/>
      </c>
      <c r="CJ257" t="str">
        <f t="shared" si="176"/>
        <v/>
      </c>
      <c r="CL257">
        <f>IF(IFERROR(SEARCH("Bard",$T257,1),0)&gt;0,1,0)*IF(BardMaxSpellLevel&gt;=$C257,1,0)*IF(IFERROR(MATCH(B257,Character_Creation!$C$341:$F$362,0),0)&gt;0,0,1)*IF(IFERROR(MATCH($B257,Character_Creation!$C$341:$C$362,0),0)&gt;0,0,1)</f>
        <v>0</v>
      </c>
      <c r="CM257">
        <f>IF(CL257=0,0,1+COUNTIF(CM$3:CM256,"&gt;0"))</f>
        <v>0</v>
      </c>
      <c r="CN257" t="str">
        <f t="shared" si="206"/>
        <v/>
      </c>
      <c r="CO257" t="str">
        <f t="shared" si="177"/>
        <v/>
      </c>
      <c r="CQ257">
        <f>IF(IFERROR(SEARCH("Wizard",$T257,1),0)&gt;0,1,0)*IF(WizardMaxSpellLevel&gt;=$C257,1,0)*IF(IFERROR(MATCH(B257,Character_Creation!$X$341:$X$400,0),0)&gt;0,0,1)*IF(SelectedWizardSpellLevel=$C257,1,0)</f>
        <v>0</v>
      </c>
      <c r="CR257">
        <f>IF(CQ257=0,0,1+COUNTIF(CR$3:CR256,"&gt;0"))</f>
        <v>0</v>
      </c>
      <c r="CS257" t="str">
        <f t="shared" si="207"/>
        <v/>
      </c>
      <c r="CT257" t="str">
        <f t="shared" si="178"/>
        <v/>
      </c>
      <c r="CV257">
        <f>IF(IFERROR(MATCH($B257,Character_Creation!$C$341:$C$362,0),0)&gt;0,0,1)*IF(OR(C257="Cantrip",C257&lt;=BardMaxSpellLevel),1,0)*IF(IFERROR(MATCH($B257,Character_Creation!$C$367:$C$374,0),0)&gt;0,0,1)</f>
        <v>1</v>
      </c>
      <c r="CW257">
        <f>IF(CV257=0,0,1+COUNTIF(CW$3:CW256,"&gt;0"))</f>
        <v>15</v>
      </c>
      <c r="CX257" t="str">
        <f t="shared" si="208"/>
        <v/>
      </c>
      <c r="CY257" t="str">
        <f t="shared" si="179"/>
        <v/>
      </c>
      <c r="DA257">
        <f>IF(IF(OR(IFERROR(SEARCH("Cleric",$T257,1),0)&gt;0,IFERROR(SEARCH(DivineDomain&amp;",",$T257,1),0)&gt;0),1,0)*IF($C257=DA$2,1,0)=1,1+COUNTIF(DA$3:DA256,"&gt;0"),0)</f>
        <v>0</v>
      </c>
      <c r="DB257">
        <f>IF(IF(OR(IFERROR(SEARCH("Cleric",$T257,1),0)&gt;0,IFERROR(SEARCH(DivineDomain&amp;",",$T257,1),0)&gt;0),1,0)*IF($C257=DB$2,1,0)=1,1+COUNTIF(DB$3:DB256,"&gt;0"),0)</f>
        <v>0</v>
      </c>
      <c r="DC257">
        <f>IF(IF(OR(IFERROR(SEARCH("Cleric",$T257,1),0)&gt;0,IFERROR(SEARCH(DivineDomain&amp;",",$T257,1),0)&gt;0),1,0)*IF($C257=DC$2,1,0)=1,1+COUNTIF(DC$3:DC256,"&gt;0"),0)</f>
        <v>0</v>
      </c>
      <c r="DD257">
        <f>IF(IF(OR(IFERROR(SEARCH("Cleric",$T257,1),0)&gt;0,IFERROR(SEARCH(DivineDomain&amp;",",$T257,1),0)&gt;0),1,0)*IF($C257=DD$2,1,0)=1,1+COUNTIF(DD$3:DD256,"&gt;0"),0)</f>
        <v>0</v>
      </c>
      <c r="DE257">
        <f>IF(IF(OR(IFERROR(SEARCH("Cleric",$T257,1),0)&gt;0,IFERROR(SEARCH(DivineDomain&amp;",",$T257,1),0)&gt;0),1,0)*IF($C257=DE$2,1,0)=1,1+COUNTIF(DE$3:DE256,"&gt;0"),0)</f>
        <v>0</v>
      </c>
      <c r="DF257">
        <f>IF(IF(OR(IFERROR(SEARCH("Cleric",$T257,1),0)&gt;0,IFERROR(SEARCH(DivineDomain&amp;",",$T257,1),0)&gt;0),1,0)*IF($C257=DF$2,1,0)=1,1+COUNTIF(DF$3:DF256,"&gt;0"),0)</f>
        <v>0</v>
      </c>
      <c r="DG257">
        <f>IF(IF(OR(IFERROR(SEARCH("Cleric",$T257,1),0)&gt;0,IFERROR(SEARCH(DivineDomain&amp;",",$T257,1),0)&gt;0),1,0)*IF($C257=DG$2,1,0)=1,1+COUNTIF(DG$3:DG256,"&gt;0"),0)</f>
        <v>0</v>
      </c>
      <c r="DH257">
        <f>IF(IF(OR(IFERROR(SEARCH("Cleric",$T257,1),0)&gt;0,IFERROR(SEARCH(DivineDomain&amp;",",$T257,1),0)&gt;0),1,0)*IF($C257=DH$2,1,0)=1,1+COUNTIF(DH$3:DH256,"&gt;0"),0)</f>
        <v>0</v>
      </c>
      <c r="DI257">
        <f>IF(IF(OR(IFERROR(SEARCH("Cleric",$T257,1),0)&gt;0,IFERROR(SEARCH(DivineDomain&amp;",",$T257,1),0)&gt;0),1,0)*IF($C257=DI$2,1,0)=1,1+COUNTIF(DI$3:DI256,"&gt;0"),0)</f>
        <v>0</v>
      </c>
      <c r="DJ257">
        <f>IF(IF(OR(IFERROR(SEARCH("Druid",$T257,1),0)&gt;0,IFERROR(SEARCH(DruidLand1,$T257,1),0)&gt;0,IFERROR(SEARCH(DruidLand2,$T257,1),0)&gt;0,IFERROR(SEARCH(DruidLand3,$T257,1),0)&gt;0,IFERROR(SEARCH(DruidLand4,$T257,1),0)&gt;0),1,0)*IF($C257=1,1,0)*IF($C257=DJ$2,1,0)=0,0,1+COUNTIF(DJ$3:DJ256,"&gt;0"))</f>
        <v>0</v>
      </c>
      <c r="DK257">
        <f>IF(IF(OR(IFERROR(SEARCH("Druid",$T257,1),0)&gt;0,IFERROR(SEARCH(DruidLand1,$T257,1),0)&gt;0,IFERROR(SEARCH(DruidLand2,$T257,1),0)&gt;0,IFERROR(SEARCH(DruidLand3,$T257,1),0)&gt;0,IFERROR(SEARCH(DruidLand4,$T257,1),0)&gt;0),1,0)*IF($C257=DK$2,1,0)=0,0,1+COUNTIF(DK$3:DK256,"&gt;0"))</f>
        <v>0</v>
      </c>
      <c r="DL257">
        <f>IF(IF(OR(IFERROR(SEARCH("Druid",$T257,1),0)&gt;0,IFERROR(SEARCH(DruidLand1,$T257,1),0)&gt;0,IFERROR(SEARCH(DruidLand2,$T257,1),0)&gt;0,IFERROR(SEARCH(DruidLand3,$T257,1),0)&gt;0,IFERROR(SEARCH(DruidLand4,$T257,1),0)&gt;0),1,0)*IF($C257=DL$2,1,0)=0,0,1+COUNTIF(DL$3:DL256,"&gt;0"))</f>
        <v>0</v>
      </c>
      <c r="DM257">
        <f>IF(IF(OR(IFERROR(SEARCH("Druid",$T257,1),0)&gt;0,IFERROR(SEARCH(DruidLand1,$T257,1),0)&gt;0,IFERROR(SEARCH(DruidLand2,$T257,1),0)&gt;0,IFERROR(SEARCH(DruidLand3,$T257,1),0)&gt;0,IFERROR(SEARCH(DruidLand4,$T257,1),0)&gt;0),1,0)*IF($C257=DM$2,1,0)=0,0,1+COUNTIF(DM$3:DM256,"&gt;0"))</f>
        <v>0</v>
      </c>
      <c r="DN257">
        <f>IF(IF(OR(IFERROR(SEARCH("Druid",$T257,1),0)&gt;0,IFERROR(SEARCH(DruidLand1,$T257,1),0)&gt;0,IFERROR(SEARCH(DruidLand2,$T257,1),0)&gt;0,IFERROR(SEARCH(DruidLand3,$T257,1),0)&gt;0,IFERROR(SEARCH(DruidLand4,$T257,1),0)&gt;0),1,0)*IF($C257=DN$2,1,0)=0,0,1+COUNTIF(DN$3:DN256,"&gt;0"))</f>
        <v>0</v>
      </c>
      <c r="DO257">
        <f>IF(IF(OR(IFERROR(SEARCH("Druid",$T257,1),0)&gt;0,IFERROR(SEARCH(DruidLand1,$T257,1),0)&gt;0,IFERROR(SEARCH(DruidLand2,$T257,1),0)&gt;0,IFERROR(SEARCH(DruidLand3,$T257,1),0)&gt;0,IFERROR(SEARCH(DruidLand4,$T257,1),0)&gt;0),1,0)*IF($C257=DO$2,1,0)=0,0,1+COUNTIF(DO$3:DO256,"&gt;0"))</f>
        <v>0</v>
      </c>
      <c r="DP257">
        <f>IF(IF(OR(IFERROR(SEARCH("Druid",$T257,1),0)&gt;0,IFERROR(SEARCH(DruidLand1,$T257,1),0)&gt;0,IFERROR(SEARCH(DruidLand2,$T257,1),0)&gt;0,IFERROR(SEARCH(DruidLand3,$T257,1),0)&gt;0,IFERROR(SEARCH(DruidLand4,$T257,1),0)&gt;0),1,0)*IF($C257=DP$2,1,0)=0,0,1+COUNTIF(DP$3:DP256,"&gt;0"))</f>
        <v>0</v>
      </c>
      <c r="DQ257">
        <f>IF(IF(OR(IFERROR(SEARCH("Druid",$T257,1),0)&gt;0,IFERROR(SEARCH(DruidLand1,$T257,1),0)&gt;0,IFERROR(SEARCH(DruidLand2,$T257,1),0)&gt;0,IFERROR(SEARCH(DruidLand3,$T257,1),0)&gt;0,IFERROR(SEARCH(DruidLand4,$T257,1),0)&gt;0),1,0)*IF($C257=DQ$2,1,0)=0,0,1+COUNTIF(DQ$3:DQ256,"&gt;0"))</f>
        <v>0</v>
      </c>
      <c r="DR257">
        <f>IF(IF(OR(IFERROR(SEARCH("Druid",$T257,1),0)&gt;0,IFERROR(SEARCH(DruidLand1,$T257,1),0)&gt;0,IFERROR(SEARCH(DruidLand2,$T257,1),0)&gt;0,IFERROR(SEARCH(DruidLand3,$T257,1),0)&gt;0,IFERROR(SEARCH(DruidLand4,$T257,1),0)&gt;0),1,0)*IF($C257=DR$2,1,0)=0,0,1+COUNTIF(DR$3:DR256,"&gt;0"))</f>
        <v>0</v>
      </c>
      <c r="DS257">
        <f>IF(IF(OR(IFERROR(SEARCH("Paladin",$T257,1),0)&gt;0,IFERROR(SEARCH(PaladinOath,$T257,1),0)&gt;0),1,0)*IF($C257=DS$2,1,0)=1,1+COUNTIF(DS$3:DS256,"&gt;0"),0)</f>
        <v>0</v>
      </c>
      <c r="DT257">
        <f>IF(IF(OR(IFERROR(SEARCH("Paladin",$T257,1),0)&gt;0,IFERROR(SEARCH(PaladinOath,$T257,1),0)&gt;0),1,0)*IF($C257=DT$2,1,0)=1,1+COUNTIF(DT$3:DT256,"&gt;0"),0)</f>
        <v>0</v>
      </c>
      <c r="DU257">
        <f>IF(IF(OR(IFERROR(SEARCH("Paladin",$T257,1),0)&gt;0,IFERROR(SEARCH(PaladinOath,$T257,1),0)&gt;0),1,0)*IF($C257=DU$2,1,0)=1,1+COUNTIF(DU$3:DU256,"&gt;0"),0)</f>
        <v>0</v>
      </c>
      <c r="DV257">
        <f>IF(IF(OR(IFERROR(SEARCH("Paladin",$T257,1),0)&gt;0,IFERROR(SEARCH(PaladinOath,$T257,1),0)&gt;0),1,0)*IF($C257=DV$2,1,0)=1,1+COUNTIF(DV$3:DV256,"&gt;0"),0)</f>
        <v>0</v>
      </c>
      <c r="DW257">
        <f>IF(IF(OR(IFERROR(SEARCH("Paladin",$T257,1),0)&gt;0,IFERROR(SEARCH(PaladinOath,$T257,1),0)&gt;0),1,0)*IF($C257=DW$2,1,0)=1,1+COUNTIF(DW$3:DW256,"&gt;0"),0)</f>
        <v>0</v>
      </c>
      <c r="DY257">
        <f t="shared" si="166"/>
        <v>1</v>
      </c>
      <c r="DZ257">
        <f>IF(DY257=0,0,1+MAX(DZ$3:$DZ256))</f>
        <v>255</v>
      </c>
      <c r="EB257">
        <f t="shared" si="180"/>
        <v>0</v>
      </c>
      <c r="EC257">
        <f>IF(EB257=0,0,1+COUNTIF(EC$3:EC256,"&gt;0"))</f>
        <v>0</v>
      </c>
      <c r="ED257" t="str">
        <f t="shared" si="209"/>
        <v/>
      </c>
      <c r="EE257" t="str">
        <f t="shared" si="181"/>
        <v/>
      </c>
      <c r="EG257">
        <f t="shared" si="182"/>
        <v>0</v>
      </c>
      <c r="EH257">
        <f>IF(EG257=0,0,1+COUNTIF(EH$3:EH256,"&gt;0"))</f>
        <v>0</v>
      </c>
      <c r="EI257" t="str">
        <f t="shared" si="210"/>
        <v/>
      </c>
      <c r="EJ257" t="str">
        <f t="shared" si="183"/>
        <v/>
      </c>
      <c r="EL257">
        <f t="shared" si="184"/>
        <v>1</v>
      </c>
      <c r="EM257">
        <f>IF(EL257=0,0,1+COUNTIF(EM$3:EM256,"&gt;0"))</f>
        <v>4</v>
      </c>
      <c r="EN257" t="str">
        <f t="shared" si="211"/>
        <v/>
      </c>
      <c r="EO257" t="str">
        <f t="shared" si="185"/>
        <v/>
      </c>
      <c r="EQ257">
        <f t="shared" si="186"/>
        <v>0</v>
      </c>
      <c r="ER257">
        <f>IF(EQ257=0,0,1+COUNTIF(ER$3:ER256,"&gt;0"))</f>
        <v>0</v>
      </c>
      <c r="ES257" t="str">
        <f t="shared" si="212"/>
        <v/>
      </c>
      <c r="ET257" t="str">
        <f t="shared" si="187"/>
        <v/>
      </c>
      <c r="EV257">
        <f t="shared" si="188"/>
        <v>0</v>
      </c>
      <c r="EW257">
        <f>IF(EV257=0,0,1+COUNTIF(EW$3:EW256,"&gt;0"))</f>
        <v>0</v>
      </c>
      <c r="EX257" t="str">
        <f t="shared" si="213"/>
        <v/>
      </c>
      <c r="EY257" t="str">
        <f t="shared" si="189"/>
        <v/>
      </c>
      <c r="FA257">
        <f t="shared" si="190"/>
        <v>1</v>
      </c>
      <c r="FB257">
        <f>IF(FA257=0,0,1+COUNTIF(FB$3:FB256,"&gt;0"))</f>
        <v>12</v>
      </c>
      <c r="FC257" t="str">
        <f t="shared" si="214"/>
        <v/>
      </c>
      <c r="FD257" t="str">
        <f t="shared" si="191"/>
        <v/>
      </c>
      <c r="FF257">
        <f t="shared" si="192"/>
        <v>1</v>
      </c>
      <c r="FG257">
        <f>IF(FF257=0,0,1+COUNTIF(FG$3:FG256,"&gt;0"))</f>
        <v>6</v>
      </c>
      <c r="FH257" t="str">
        <f t="shared" si="215"/>
        <v/>
      </c>
      <c r="FI257" t="str">
        <f t="shared" si="193"/>
        <v/>
      </c>
      <c r="FK257">
        <f t="shared" si="194"/>
        <v>1</v>
      </c>
      <c r="FL257">
        <f>IF(FK257=0,0,1+COUNTIF(FL$3:FL256,"&gt;0"))</f>
        <v>12</v>
      </c>
      <c r="FM257" t="str">
        <f t="shared" si="216"/>
        <v/>
      </c>
      <c r="FN257" t="str">
        <f t="shared" si="195"/>
        <v/>
      </c>
      <c r="FP257">
        <f t="shared" si="196"/>
        <v>0</v>
      </c>
      <c r="FQ257">
        <f>IF(FP257=0,0,1+COUNTIF(FQ$3:FQ256,"&gt;0"))</f>
        <v>0</v>
      </c>
      <c r="FR257" t="str">
        <f t="shared" si="217"/>
        <v/>
      </c>
      <c r="FS257" t="str">
        <f t="shared" si="197"/>
        <v/>
      </c>
    </row>
    <row r="258" spans="1:175" x14ac:dyDescent="0.25">
      <c r="A258" s="347">
        <f t="shared" si="219"/>
        <v>256</v>
      </c>
      <c r="B258" s="348" t="s">
        <v>2638</v>
      </c>
      <c r="C258" s="348">
        <v>4</v>
      </c>
      <c r="D258" s="347">
        <v>4</v>
      </c>
      <c r="E258" s="627" t="s">
        <v>6952</v>
      </c>
      <c r="F258" s="346"/>
      <c r="G258" s="347" t="str">
        <f>""</f>
        <v/>
      </c>
      <c r="H258" s="347" t="s">
        <v>5912</v>
      </c>
      <c r="I258" s="347" t="s">
        <v>424</v>
      </c>
      <c r="J258" s="347" t="str">
        <f t="shared" si="167"/>
        <v/>
      </c>
      <c r="K258" s="347" t="s">
        <v>5284</v>
      </c>
      <c r="L258" s="611" t="str">
        <f t="shared" si="168"/>
        <v>V, S, M, a caterpillar cocoon</v>
      </c>
      <c r="M258" s="347" t="s">
        <v>2373</v>
      </c>
      <c r="N258" s="347" t="s">
        <v>2387</v>
      </c>
      <c r="O258" s="347" t="s">
        <v>1244</v>
      </c>
      <c r="P258" s="346" t="s">
        <v>5454</v>
      </c>
      <c r="Q258" s="347" t="s">
        <v>5276</v>
      </c>
      <c r="S258" s="346" t="s">
        <v>5791</v>
      </c>
      <c r="T258" s="346" t="str">
        <f t="shared" si="169"/>
        <v xml:space="preserve">Bard, Sorcerer, Druid, Wizard, Trickery, </v>
      </c>
      <c r="U258" s="347" t="str">
        <f>$B258</f>
        <v>Polymorph</v>
      </c>
      <c r="X258" s="347" t="str">
        <f>$B258</f>
        <v>Polymorph</v>
      </c>
      <c r="AA258" s="347" t="str">
        <f t="shared" si="224"/>
        <v>Polymorph</v>
      </c>
      <c r="AD258" s="347" t="str">
        <f>$B258</f>
        <v>Polymorph</v>
      </c>
      <c r="AE258" t="str">
        <f>IF(IFERROR(MATCH($B258,temp!A$4:A$13,0),0)&gt;0,T08_Spells!AE$2,"")</f>
        <v/>
      </c>
      <c r="AF258" t="str">
        <f>IF(IFERROR(MATCH($B258,temp!B$4:B$13,0),0)&gt;0,T08_Spells!AF$2,"")</f>
        <v/>
      </c>
      <c r="AG258" t="str">
        <f>IF(IFERROR(MATCH($B258,temp!C$4:C$13,0),0)&gt;0,T08_Spells!AG$2,"")</f>
        <v/>
      </c>
      <c r="AH258" t="str">
        <f>IF(IFERROR(MATCH($B258,temp!D$4:D$13,0),0)&gt;0,T08_Spells!AH$2,"")</f>
        <v/>
      </c>
      <c r="AI258" t="str">
        <f>IF(IFERROR(MATCH($B258,temp!E$4:E$13,0),0)&gt;0,T08_Spells!AI$2,"")</f>
        <v/>
      </c>
      <c r="AJ258" t="str">
        <f>IF(IFERROR(MATCH($B258,temp!F$4:F$13,0),0)&gt;0,T08_Spells!AJ$2,"")</f>
        <v/>
      </c>
      <c r="AK258" t="str">
        <f>IF(IFERROR(MATCH($B258,temp!G$4:G$13,0),0)&gt;0,T08_Spells!AK$2,"")</f>
        <v/>
      </c>
      <c r="AL258" t="str">
        <f>IF(IFERROR(MATCH($B258,temp!H$4:H$13,0),0)&gt;0,T08_Spells!AL$2,"")</f>
        <v/>
      </c>
      <c r="AM258" t="str">
        <f>IF(IFERROR(MATCH($B258,temp!I$4:I$13,0),0)&gt;0,T08_Spells!AM$2,"")</f>
        <v/>
      </c>
      <c r="AN258" t="str">
        <f>IF(IFERROR(MATCH($B258,temp!J$4:J$13,0),0)&gt;0,T08_Spells!AN$2,"")</f>
        <v/>
      </c>
      <c r="AO258" t="str">
        <f>IF(IFERROR(MATCH($B258,temp!K$4:K$13,0),0)&gt;0,T08_Spells!AO$2,"")</f>
        <v/>
      </c>
      <c r="AP258" t="str">
        <f>IF(IFERROR(MATCH($B258,temp!L$4:L$13,0),0)&gt;0,T08_Spells!AP$2,"")</f>
        <v/>
      </c>
      <c r="AQ258" t="str">
        <f>IF(IFERROR(MATCH($B258,temp!M$4:M$13,0),0)&gt;0,T08_Spells!AQ$2,"")</f>
        <v/>
      </c>
      <c r="AR258" t="str">
        <f>IF(IFERROR(MATCH($B258,temp!N$4:N$13,0),0)&gt;0,T08_Spells!AR$2,"")</f>
        <v/>
      </c>
      <c r="AS258" t="str">
        <f>IF(IFERROR(MATCH($B258,temp!O$4:O$13,0),0)&gt;0,T08_Spells!AS$2,"")</f>
        <v/>
      </c>
      <c r="AT258" t="str">
        <f>IF(IFERROR(MATCH($B258,temp!P$4:P$13,0),0)&gt;0,T08_Spells!AT$2,"")</f>
        <v/>
      </c>
      <c r="AU258" t="str">
        <f>IF(IFERROR(MATCH($B258,temp!Q$4:Q$13,0),0)&gt;0,T08_Spells!AU$2,"")</f>
        <v/>
      </c>
      <c r="AV258" t="str">
        <f>IF(IFERROR(MATCH($B258,temp!R$4:R$13,0),0)&gt;0,T08_Spells!AV$2,"")</f>
        <v/>
      </c>
      <c r="AW258" t="str">
        <f>IF(IFERROR(MATCH($B258,temp!S$4:S$13,0),0)&gt;0,T08_Spells!AW$2,"")</f>
        <v/>
      </c>
      <c r="AX258" t="str">
        <f>IF(IFERROR(MATCH($B258,temp!T$4:T$13,0),0)&gt;0,T08_Spells!AX$2,"")</f>
        <v/>
      </c>
      <c r="AY258" t="str">
        <f>IF(IFERROR(MATCH($B258,temp!U$4:U$13,0),0)&gt;0,T08_Spells!AY$2,"")</f>
        <v>Trickery</v>
      </c>
      <c r="AZ258" t="str">
        <f>IF(IFERROR(MATCH($B258,temp!V$4:V$13,0),0)&gt;0,T08_Spells!AZ$2,"")</f>
        <v/>
      </c>
      <c r="BA258" t="str">
        <f>IF(IFERROR(MATCH($B258,temp!W$4:W$13,0),0)&gt;0,T08_Spells!BA$2,"")</f>
        <v/>
      </c>
      <c r="BC258">
        <f>IF(IFERROR(SEARCH("Ranger",$T258,1),0)&gt;0,1,0)*IF(RangerMaxSpellLevel&gt;=$C258,1,0)*IF(IFERROR(MATCH(B258,Character_Creation!$X$79:$X$382,0),0)&gt;0,0,1)</f>
        <v>0</v>
      </c>
      <c r="BD258">
        <f>IF(BC258=0,0,1+COUNTIF(BD$3:BD257,"&gt;0"))</f>
        <v>0</v>
      </c>
      <c r="BE258" t="str">
        <f t="shared" si="199"/>
        <v/>
      </c>
      <c r="BF258" t="str">
        <f t="shared" si="170"/>
        <v/>
      </c>
      <c r="BH258">
        <f>IF(IFERROR(SEARCH("Sorcerer",$T258,1),0)&gt;0,1,0)*IF(SorcererMaxSpellLevel&gt;=$C258,1,0)*IF(IFERROR(MATCH(B258,Character_Creation!$J$380:$J$394,0),0)&gt;0,0,1)</f>
        <v>0</v>
      </c>
      <c r="BI258">
        <f>IF(BH258=0,0,1+COUNTIF(BI$3:BI257,"&gt;0"))</f>
        <v>0</v>
      </c>
      <c r="BJ258" t="str">
        <f t="shared" si="200"/>
        <v/>
      </c>
      <c r="BK258" t="str">
        <f t="shared" si="171"/>
        <v/>
      </c>
      <c r="BM258">
        <f>IF(OR(IFERROR(SEARCH("Warlock",$T258,1),0)&gt;0,IFERROR(SEARCH(WarlockPatron,$T258,1),0)&gt;0),1,0)*IF(WarlockMaxSpellLevel&gt;=$C258,1,0)*IF(IFERROR(MATCH(B258,Character_Creation!$J$361:$J$375,0),0)&gt;0,0,1)</f>
        <v>0</v>
      </c>
      <c r="BN258">
        <f>IF(BM258=0,0,1+COUNTIF(BN$3:BN257,"&gt;0"))</f>
        <v>0</v>
      </c>
      <c r="BO258" t="str">
        <f t="shared" si="201"/>
        <v/>
      </c>
      <c r="BP258" t="str">
        <f t="shared" si="172"/>
        <v/>
      </c>
      <c r="BR258">
        <f>IF(IFERROR(SEARCH("Eldritch Knight",$T258,1),0)&gt;0,1,0)*IF(EldritchKnightMaxSpellLevel&gt;=$C258,1,0)*IF(IFERROR(MATCH($B258,Character_Creation!$J$350:$J$356,0),0)&gt;0,0,1)*IF(Character_Creation!$M$338&gt;0,1,0)</f>
        <v>0</v>
      </c>
      <c r="BS258">
        <f>IF(BR258=0,0,1+COUNTIF(BS$3:BS257,"&gt;0"))</f>
        <v>0</v>
      </c>
      <c r="BT258" t="str">
        <f t="shared" si="202"/>
        <v/>
      </c>
      <c r="BU258" t="str">
        <f t="shared" si="173"/>
        <v/>
      </c>
      <c r="BW258">
        <f>IF(IFERROR(SEARCH("Arcane Trickster",$T258,1),0)&gt;0,1,0)*IF(ArcaneTricksterMaxSpellLevel&gt;=$C258,1,0)*IF(IFERROR(MATCH($B258,Character_Creation!$J$350:$J$356,0),0)&gt;0,0,1)*IF(Character_Creation!$T$338&gt;0,1,0)</f>
        <v>0</v>
      </c>
      <c r="BX258">
        <f>IF(BW258=0,0,1+COUNTIF(BX$3:BX257,"&gt;0"))</f>
        <v>0</v>
      </c>
      <c r="BY258" t="str">
        <f t="shared" si="203"/>
        <v/>
      </c>
      <c r="BZ258" t="str">
        <f t="shared" si="174"/>
        <v/>
      </c>
      <c r="CB258">
        <f>IF(IFERROR(SEARCH("Wizard",$T258,1),0)&gt;0,1,0)*IF(C258&lt;=ArcaneTricksterMaxSpellLevel,1,0)*IF(IFERROR(MATCH($B258,Character_Creation!$J$350:$J$356,0),0)&gt;0,0,1)*IF(Character_Creation!$T$350&gt;0,1,0)</f>
        <v>0</v>
      </c>
      <c r="CC258">
        <f>IF(CB258=0,0,1+COUNTIF(CC$3:CC257,"&gt;0"))</f>
        <v>0</v>
      </c>
      <c r="CD258" t="str">
        <f t="shared" si="204"/>
        <v/>
      </c>
      <c r="CE258" t="str">
        <f t="shared" si="175"/>
        <v/>
      </c>
      <c r="CG258">
        <f>IF(IFERROR(SEARCH("Wizard",$T258,1),0)&gt;0,1,0)*IF($C258&lt;=EldritchKnightMaxSpellLevel,1,0)*IF(IFERROR(MATCH($B258,Character_Creation!$J$350:$J$356,0),0)&gt;0,0,1)*IF(Character_Creation!$M$350&gt;0,1,0)</f>
        <v>0</v>
      </c>
      <c r="CH258">
        <f>IF(CG258=0,0,1+COUNTIF(CH$3:CH257,"&gt;0"))</f>
        <v>0</v>
      </c>
      <c r="CI258" t="str">
        <f t="shared" si="205"/>
        <v/>
      </c>
      <c r="CJ258" t="str">
        <f t="shared" si="176"/>
        <v/>
      </c>
      <c r="CL258">
        <f>IF(IFERROR(SEARCH("Bard",$T258,1),0)&gt;0,1,0)*IF(BardMaxSpellLevel&gt;=$C258,1,0)*IF(IFERROR(MATCH(B258,Character_Creation!$C$341:$F$362,0),0)&gt;0,0,1)*IF(IFERROR(MATCH($B258,Character_Creation!$C$341:$C$362,0),0)&gt;0,0,1)</f>
        <v>0</v>
      </c>
      <c r="CM258">
        <f>IF(CL258=0,0,1+COUNTIF(CM$3:CM257,"&gt;0"))</f>
        <v>0</v>
      </c>
      <c r="CN258" t="str">
        <f t="shared" si="206"/>
        <v/>
      </c>
      <c r="CO258" t="str">
        <f t="shared" si="177"/>
        <v/>
      </c>
      <c r="CQ258">
        <f>IF(IFERROR(SEARCH("Wizard",$T258,1),0)&gt;0,1,0)*IF(WizardMaxSpellLevel&gt;=$C258,1,0)*IF(IFERROR(MATCH(B258,Character_Creation!$X$341:$X$400,0),0)&gt;0,0,1)*IF(SelectedWizardSpellLevel=$C258,1,0)</f>
        <v>0</v>
      </c>
      <c r="CR258">
        <f>IF(CQ258=0,0,1+COUNTIF(CR$3:CR257,"&gt;0"))</f>
        <v>0</v>
      </c>
      <c r="CS258" t="str">
        <f t="shared" si="207"/>
        <v/>
      </c>
      <c r="CT258" t="str">
        <f t="shared" si="178"/>
        <v/>
      </c>
      <c r="CV258">
        <f>IF(IFERROR(MATCH($B258,Character_Creation!$C$341:$C$362,0),0)&gt;0,0,1)*IF(OR(C258="Cantrip",C258&lt;=BardMaxSpellLevel),1,0)*IF(IFERROR(MATCH($B258,Character_Creation!$C$367:$C$374,0),0)&gt;0,0,1)</f>
        <v>0</v>
      </c>
      <c r="CW258">
        <f>IF(CV258=0,0,1+COUNTIF(CW$3:CW257,"&gt;0"))</f>
        <v>0</v>
      </c>
      <c r="CX258" t="str">
        <f t="shared" si="208"/>
        <v/>
      </c>
      <c r="CY258" t="str">
        <f t="shared" si="179"/>
        <v/>
      </c>
      <c r="DA258">
        <f>IF(IF(OR(IFERROR(SEARCH("Cleric",$T258,1),0)&gt;0,IFERROR(SEARCH(DivineDomain&amp;",",$T258,1),0)&gt;0),1,0)*IF($C258=DA$2,1,0)=1,1+COUNTIF(DA$3:DA257,"&gt;0"),0)</f>
        <v>0</v>
      </c>
      <c r="DB258">
        <f>IF(IF(OR(IFERROR(SEARCH("Cleric",$T258,1),0)&gt;0,IFERROR(SEARCH(DivineDomain&amp;",",$T258,1),0)&gt;0),1,0)*IF($C258=DB$2,1,0)=1,1+COUNTIF(DB$3:DB257,"&gt;0"),0)</f>
        <v>0</v>
      </c>
      <c r="DC258">
        <f>IF(IF(OR(IFERROR(SEARCH("Cleric",$T258,1),0)&gt;0,IFERROR(SEARCH(DivineDomain&amp;",",$T258,1),0)&gt;0),1,0)*IF($C258=DC$2,1,0)=1,1+COUNTIF(DC$3:DC257,"&gt;0"),0)</f>
        <v>0</v>
      </c>
      <c r="DD258">
        <f>IF(IF(OR(IFERROR(SEARCH("Cleric",$T258,1),0)&gt;0,IFERROR(SEARCH(DivineDomain&amp;",",$T258,1),0)&gt;0),1,0)*IF($C258=DD$2,1,0)=1,1+COUNTIF(DD$3:DD257,"&gt;0"),0)</f>
        <v>0</v>
      </c>
      <c r="DE258">
        <f>IF(IF(OR(IFERROR(SEARCH("Cleric",$T258,1),0)&gt;0,IFERROR(SEARCH(DivineDomain&amp;",",$T258,1),0)&gt;0),1,0)*IF($C258=DE$2,1,0)=1,1+COUNTIF(DE$3:DE257,"&gt;0"),0)</f>
        <v>0</v>
      </c>
      <c r="DF258">
        <f>IF(IF(OR(IFERROR(SEARCH("Cleric",$T258,1),0)&gt;0,IFERROR(SEARCH(DivineDomain&amp;",",$T258,1),0)&gt;0),1,0)*IF($C258=DF$2,1,0)=1,1+COUNTIF(DF$3:DF257,"&gt;0"),0)</f>
        <v>0</v>
      </c>
      <c r="DG258">
        <f>IF(IF(OR(IFERROR(SEARCH("Cleric",$T258,1),0)&gt;0,IFERROR(SEARCH(DivineDomain&amp;",",$T258,1),0)&gt;0),1,0)*IF($C258=DG$2,1,0)=1,1+COUNTIF(DG$3:DG257,"&gt;0"),0)</f>
        <v>0</v>
      </c>
      <c r="DH258">
        <f>IF(IF(OR(IFERROR(SEARCH("Cleric",$T258,1),0)&gt;0,IFERROR(SEARCH(DivineDomain&amp;",",$T258,1),0)&gt;0),1,0)*IF($C258=DH$2,1,0)=1,1+COUNTIF(DH$3:DH257,"&gt;0"),0)</f>
        <v>0</v>
      </c>
      <c r="DI258">
        <f>IF(IF(OR(IFERROR(SEARCH("Cleric",$T258,1),0)&gt;0,IFERROR(SEARCH(DivineDomain&amp;",",$T258,1),0)&gt;0),1,0)*IF($C258=DI$2,1,0)=1,1+COUNTIF(DI$3:DI257,"&gt;0"),0)</f>
        <v>0</v>
      </c>
      <c r="DJ258">
        <f>IF(IF(OR(IFERROR(SEARCH("Druid",$T258,1),0)&gt;0,IFERROR(SEARCH(DruidLand1,$T258,1),0)&gt;0,IFERROR(SEARCH(DruidLand2,$T258,1),0)&gt;0,IFERROR(SEARCH(DruidLand3,$T258,1),0)&gt;0,IFERROR(SEARCH(DruidLand4,$T258,1),0)&gt;0),1,0)*IF($C258=1,1,0)*IF($C258=DJ$2,1,0)=0,0,1+COUNTIF(DJ$3:DJ257,"&gt;0"))</f>
        <v>0</v>
      </c>
      <c r="DK258">
        <f>IF(IF(OR(IFERROR(SEARCH("Druid",$T258,1),0)&gt;0,IFERROR(SEARCH(DruidLand1,$T258,1),0)&gt;0,IFERROR(SEARCH(DruidLand2,$T258,1),0)&gt;0,IFERROR(SEARCH(DruidLand3,$T258,1),0)&gt;0,IFERROR(SEARCH(DruidLand4,$T258,1),0)&gt;0),1,0)*IF($C258=DK$2,1,0)=0,0,1+COUNTIF(DK$3:DK257,"&gt;0"))</f>
        <v>0</v>
      </c>
      <c r="DL258">
        <f>IF(IF(OR(IFERROR(SEARCH("Druid",$T258,1),0)&gt;0,IFERROR(SEARCH(DruidLand1,$T258,1),0)&gt;0,IFERROR(SEARCH(DruidLand2,$T258,1),0)&gt;0,IFERROR(SEARCH(DruidLand3,$T258,1),0)&gt;0,IFERROR(SEARCH(DruidLand4,$T258,1),0)&gt;0),1,0)*IF($C258=DL$2,1,0)=0,0,1+COUNTIF(DL$3:DL257,"&gt;0"))</f>
        <v>0</v>
      </c>
      <c r="DM258">
        <f>IF(IF(OR(IFERROR(SEARCH("Druid",$T258,1),0)&gt;0,IFERROR(SEARCH(DruidLand1,$T258,1),0)&gt;0,IFERROR(SEARCH(DruidLand2,$T258,1),0)&gt;0,IFERROR(SEARCH(DruidLand3,$T258,1),0)&gt;0,IFERROR(SEARCH(DruidLand4,$T258,1),0)&gt;0),1,0)*IF($C258=DM$2,1,0)=0,0,1+COUNTIF(DM$3:DM257,"&gt;0"))</f>
        <v>12</v>
      </c>
      <c r="DN258">
        <f>IF(IF(OR(IFERROR(SEARCH("Druid",$T258,1),0)&gt;0,IFERROR(SEARCH(DruidLand1,$T258,1),0)&gt;0,IFERROR(SEARCH(DruidLand2,$T258,1),0)&gt;0,IFERROR(SEARCH(DruidLand3,$T258,1),0)&gt;0,IFERROR(SEARCH(DruidLand4,$T258,1),0)&gt;0),1,0)*IF($C258=DN$2,1,0)=0,0,1+COUNTIF(DN$3:DN257,"&gt;0"))</f>
        <v>0</v>
      </c>
      <c r="DO258">
        <f>IF(IF(OR(IFERROR(SEARCH("Druid",$T258,1),0)&gt;0,IFERROR(SEARCH(DruidLand1,$T258,1),0)&gt;0,IFERROR(SEARCH(DruidLand2,$T258,1),0)&gt;0,IFERROR(SEARCH(DruidLand3,$T258,1),0)&gt;0,IFERROR(SEARCH(DruidLand4,$T258,1),0)&gt;0),1,0)*IF($C258=DO$2,1,0)=0,0,1+COUNTIF(DO$3:DO257,"&gt;0"))</f>
        <v>0</v>
      </c>
      <c r="DP258">
        <f>IF(IF(OR(IFERROR(SEARCH("Druid",$T258,1),0)&gt;0,IFERROR(SEARCH(DruidLand1,$T258,1),0)&gt;0,IFERROR(SEARCH(DruidLand2,$T258,1),0)&gt;0,IFERROR(SEARCH(DruidLand3,$T258,1),0)&gt;0,IFERROR(SEARCH(DruidLand4,$T258,1),0)&gt;0),1,0)*IF($C258=DP$2,1,0)=0,0,1+COUNTIF(DP$3:DP257,"&gt;0"))</f>
        <v>0</v>
      </c>
      <c r="DQ258">
        <f>IF(IF(OR(IFERROR(SEARCH("Druid",$T258,1),0)&gt;0,IFERROR(SEARCH(DruidLand1,$T258,1),0)&gt;0,IFERROR(SEARCH(DruidLand2,$T258,1),0)&gt;0,IFERROR(SEARCH(DruidLand3,$T258,1),0)&gt;0,IFERROR(SEARCH(DruidLand4,$T258,1),0)&gt;0),1,0)*IF($C258=DQ$2,1,0)=0,0,1+COUNTIF(DQ$3:DQ257,"&gt;0"))</f>
        <v>0</v>
      </c>
      <c r="DR258">
        <f>IF(IF(OR(IFERROR(SEARCH("Druid",$T258,1),0)&gt;0,IFERROR(SEARCH(DruidLand1,$T258,1),0)&gt;0,IFERROR(SEARCH(DruidLand2,$T258,1),0)&gt;0,IFERROR(SEARCH(DruidLand3,$T258,1),0)&gt;0,IFERROR(SEARCH(DruidLand4,$T258,1),0)&gt;0),1,0)*IF($C258=DR$2,1,0)=0,0,1+COUNTIF(DR$3:DR257,"&gt;0"))</f>
        <v>0</v>
      </c>
      <c r="DS258">
        <f>IF(IF(OR(IFERROR(SEARCH("Paladin",$T258,1),0)&gt;0,IFERROR(SEARCH(PaladinOath,$T258,1),0)&gt;0),1,0)*IF($C258=DS$2,1,0)=1,1+COUNTIF(DS$3:DS257,"&gt;0"),0)</f>
        <v>0</v>
      </c>
      <c r="DT258">
        <f>IF(IF(OR(IFERROR(SEARCH("Paladin",$T258,1),0)&gt;0,IFERROR(SEARCH(PaladinOath,$T258,1),0)&gt;0),1,0)*IF($C258=DT$2,1,0)=1,1+COUNTIF(DT$3:DT257,"&gt;0"),0)</f>
        <v>0</v>
      </c>
      <c r="DU258">
        <f>IF(IF(OR(IFERROR(SEARCH("Paladin",$T258,1),0)&gt;0,IFERROR(SEARCH(PaladinOath,$T258,1),0)&gt;0),1,0)*IF($C258=DU$2,1,0)=1,1+COUNTIF(DU$3:DU257,"&gt;0"),0)</f>
        <v>0</v>
      </c>
      <c r="DV258">
        <f>IF(IF(OR(IFERROR(SEARCH("Paladin",$T258,1),0)&gt;0,IFERROR(SEARCH(PaladinOath,$T258,1),0)&gt;0),1,0)*IF($C258=DV$2,1,0)=1,1+COUNTIF(DV$3:DV257,"&gt;0"),0)</f>
        <v>0</v>
      </c>
      <c r="DW258">
        <f>IF(IF(OR(IFERROR(SEARCH("Paladin",$T258,1),0)&gt;0,IFERROR(SEARCH(PaladinOath,$T258,1),0)&gt;0),1,0)*IF($C258=DW$2,1,0)=1,1+COUNTIF(DW$3:DW257,"&gt;0"),0)</f>
        <v>0</v>
      </c>
      <c r="DY258">
        <f t="shared" si="166"/>
        <v>1</v>
      </c>
      <c r="DZ258">
        <f>IF(DY258=0,0,1+MAX(DZ$3:$DZ257))</f>
        <v>256</v>
      </c>
      <c r="EB258">
        <f t="shared" si="180"/>
        <v>0</v>
      </c>
      <c r="EC258">
        <f>IF(EB258=0,0,1+COUNTIF(EC$3:EC257,"&gt;0"))</f>
        <v>0</v>
      </c>
      <c r="ED258" t="str">
        <f t="shared" si="209"/>
        <v/>
      </c>
      <c r="EE258" t="str">
        <f t="shared" si="181"/>
        <v/>
      </c>
      <c r="EG258">
        <f t="shared" si="182"/>
        <v>0</v>
      </c>
      <c r="EH258">
        <f>IF(EG258=0,0,1+COUNTIF(EH$3:EH257,"&gt;0"))</f>
        <v>0</v>
      </c>
      <c r="EI258" t="str">
        <f t="shared" si="210"/>
        <v/>
      </c>
      <c r="EJ258" t="str">
        <f t="shared" si="183"/>
        <v/>
      </c>
      <c r="EL258">
        <f t="shared" si="184"/>
        <v>0</v>
      </c>
      <c r="EM258">
        <f>IF(EL258=0,0,1+COUNTIF(EM$3:EM257,"&gt;0"))</f>
        <v>0</v>
      </c>
      <c r="EN258" t="str">
        <f t="shared" si="211"/>
        <v/>
      </c>
      <c r="EO258" t="str">
        <f t="shared" si="185"/>
        <v/>
      </c>
      <c r="EQ258">
        <f t="shared" si="186"/>
        <v>0</v>
      </c>
      <c r="ER258">
        <f>IF(EQ258=0,0,1+COUNTIF(ER$3:ER257,"&gt;0"))</f>
        <v>0</v>
      </c>
      <c r="ES258" t="str">
        <f t="shared" si="212"/>
        <v/>
      </c>
      <c r="ET258" t="str">
        <f t="shared" si="187"/>
        <v/>
      </c>
      <c r="EV258">
        <f t="shared" si="188"/>
        <v>0</v>
      </c>
      <c r="EW258">
        <f>IF(EV258=0,0,1+COUNTIF(EW$3:EW257,"&gt;0"))</f>
        <v>0</v>
      </c>
      <c r="EX258" t="str">
        <f t="shared" si="213"/>
        <v/>
      </c>
      <c r="EY258" t="str">
        <f t="shared" si="189"/>
        <v/>
      </c>
      <c r="FA258">
        <f t="shared" si="190"/>
        <v>0</v>
      </c>
      <c r="FB258">
        <f>IF(FA258=0,0,1+COUNTIF(FB$3:FB257,"&gt;0"))</f>
        <v>0</v>
      </c>
      <c r="FC258" t="str">
        <f t="shared" si="214"/>
        <v/>
      </c>
      <c r="FD258" t="str">
        <f t="shared" si="191"/>
        <v/>
      </c>
      <c r="FF258">
        <f t="shared" si="192"/>
        <v>0</v>
      </c>
      <c r="FG258">
        <f>IF(FF258=0,0,1+COUNTIF(FG$3:FG257,"&gt;0"))</f>
        <v>0</v>
      </c>
      <c r="FH258" t="str">
        <f t="shared" si="215"/>
        <v/>
      </c>
      <c r="FI258" t="str">
        <f t="shared" si="193"/>
        <v/>
      </c>
      <c r="FK258">
        <f t="shared" si="194"/>
        <v>0</v>
      </c>
      <c r="FL258">
        <f>IF(FK258=0,0,1+COUNTIF(FL$3:FL257,"&gt;0"))</f>
        <v>0</v>
      </c>
      <c r="FM258" t="str">
        <f t="shared" si="216"/>
        <v/>
      </c>
      <c r="FN258" t="str">
        <f t="shared" si="195"/>
        <v/>
      </c>
      <c r="FP258">
        <f t="shared" si="196"/>
        <v>0</v>
      </c>
      <c r="FQ258">
        <f>IF(FP258=0,0,1+COUNTIF(FQ$3:FQ257,"&gt;0"))</f>
        <v>0</v>
      </c>
      <c r="FR258" t="str">
        <f t="shared" si="217"/>
        <v/>
      </c>
      <c r="FS258" t="str">
        <f t="shared" si="197"/>
        <v/>
      </c>
    </row>
    <row r="259" spans="1:175" x14ac:dyDescent="0.25">
      <c r="A259" s="347">
        <f t="shared" si="219"/>
        <v>257</v>
      </c>
      <c r="B259" s="348" t="s">
        <v>2639</v>
      </c>
      <c r="C259" s="348">
        <v>9</v>
      </c>
      <c r="D259" s="347">
        <v>9</v>
      </c>
      <c r="E259" s="627" t="s">
        <v>6952</v>
      </c>
      <c r="F259" s="346"/>
      <c r="G259" s="347" t="str">
        <f>""</f>
        <v/>
      </c>
      <c r="H259" s="347" t="s">
        <v>5912</v>
      </c>
      <c r="I259" s="347" t="s">
        <v>5298</v>
      </c>
      <c r="J259" s="347" t="str">
        <f t="shared" si="167"/>
        <v/>
      </c>
      <c r="K259" s="347" t="s">
        <v>5278</v>
      </c>
      <c r="L259" s="611" t="str">
        <f t="shared" si="168"/>
        <v>V, S</v>
      </c>
      <c r="M259" s="347" t="s">
        <v>2373</v>
      </c>
      <c r="N259" s="347" t="s">
        <v>2387</v>
      </c>
      <c r="O259" s="347" t="s">
        <v>3034</v>
      </c>
      <c r="Q259" s="347" t="s">
        <v>5273</v>
      </c>
      <c r="S259" s="346" t="s">
        <v>2640</v>
      </c>
      <c r="T259" s="346" t="str">
        <f t="shared" si="169"/>
        <v xml:space="preserve">Cleric, </v>
      </c>
      <c r="Z259" s="347" t="str">
        <f>$B259</f>
        <v>Power Word Heal</v>
      </c>
      <c r="AE259" t="str">
        <f>IF(IFERROR(MATCH($B259,temp!A$4:A$13,0),0)&gt;0,T08_Spells!AE$2,"")</f>
        <v/>
      </c>
      <c r="AF259" t="str">
        <f>IF(IFERROR(MATCH($B259,temp!B$4:B$13,0),0)&gt;0,T08_Spells!AF$2,"")</f>
        <v/>
      </c>
      <c r="AG259" t="str">
        <f>IF(IFERROR(MATCH($B259,temp!C$4:C$13,0),0)&gt;0,T08_Spells!AG$2,"")</f>
        <v/>
      </c>
      <c r="AH259" t="str">
        <f>IF(IFERROR(MATCH($B259,temp!D$4:D$13,0),0)&gt;0,T08_Spells!AH$2,"")</f>
        <v/>
      </c>
      <c r="AI259" t="str">
        <f>IF(IFERROR(MATCH($B259,temp!E$4:E$13,0),0)&gt;0,T08_Spells!AI$2,"")</f>
        <v/>
      </c>
      <c r="AJ259" t="str">
        <f>IF(IFERROR(MATCH($B259,temp!F$4:F$13,0),0)&gt;0,T08_Spells!AJ$2,"")</f>
        <v/>
      </c>
      <c r="AK259" t="str">
        <f>IF(IFERROR(MATCH($B259,temp!G$4:G$13,0),0)&gt;0,T08_Spells!AK$2,"")</f>
        <v/>
      </c>
      <c r="AL259" t="str">
        <f>IF(IFERROR(MATCH($B259,temp!H$4:H$13,0),0)&gt;0,T08_Spells!AL$2,"")</f>
        <v/>
      </c>
      <c r="AM259" t="str">
        <f>IF(IFERROR(MATCH($B259,temp!I$4:I$13,0),0)&gt;0,T08_Spells!AM$2,"")</f>
        <v/>
      </c>
      <c r="AN259" t="str">
        <f>IF(IFERROR(MATCH($B259,temp!J$4:J$13,0),0)&gt;0,T08_Spells!AN$2,"")</f>
        <v/>
      </c>
      <c r="AO259" t="str">
        <f>IF(IFERROR(MATCH($B259,temp!K$4:K$13,0),0)&gt;0,T08_Spells!AO$2,"")</f>
        <v/>
      </c>
      <c r="AP259" t="str">
        <f>IF(IFERROR(MATCH($B259,temp!L$4:L$13,0),0)&gt;0,T08_Spells!AP$2,"")</f>
        <v/>
      </c>
      <c r="AQ259" t="str">
        <f>IF(IFERROR(MATCH($B259,temp!M$4:M$13,0),0)&gt;0,T08_Spells!AQ$2,"")</f>
        <v/>
      </c>
      <c r="AR259" t="str">
        <f>IF(IFERROR(MATCH($B259,temp!N$4:N$13,0),0)&gt;0,T08_Spells!AR$2,"")</f>
        <v/>
      </c>
      <c r="AS259" t="str">
        <f>IF(IFERROR(MATCH($B259,temp!O$4:O$13,0),0)&gt;0,T08_Spells!AS$2,"")</f>
        <v/>
      </c>
      <c r="AT259" t="str">
        <f>IF(IFERROR(MATCH($B259,temp!P$4:P$13,0),0)&gt;0,T08_Spells!AT$2,"")</f>
        <v/>
      </c>
      <c r="AU259" t="str">
        <f>IF(IFERROR(MATCH($B259,temp!Q$4:Q$13,0),0)&gt;0,T08_Spells!AU$2,"")</f>
        <v/>
      </c>
      <c r="AV259" t="str">
        <f>IF(IFERROR(MATCH($B259,temp!R$4:R$13,0),0)&gt;0,T08_Spells!AV$2,"")</f>
        <v/>
      </c>
      <c r="AW259" t="str">
        <f>IF(IFERROR(MATCH($B259,temp!S$4:S$13,0),0)&gt;0,T08_Spells!AW$2,"")</f>
        <v/>
      </c>
      <c r="AX259" t="str">
        <f>IF(IFERROR(MATCH($B259,temp!T$4:T$13,0),0)&gt;0,T08_Spells!AX$2,"")</f>
        <v/>
      </c>
      <c r="AY259" t="str">
        <f>IF(IFERROR(MATCH($B259,temp!U$4:U$13,0),0)&gt;0,T08_Spells!AY$2,"")</f>
        <v/>
      </c>
      <c r="AZ259" t="str">
        <f>IF(IFERROR(MATCH($B259,temp!V$4:V$13,0),0)&gt;0,T08_Spells!AZ$2,"")</f>
        <v/>
      </c>
      <c r="BA259" t="str">
        <f>IF(IFERROR(MATCH($B259,temp!W$4:W$13,0),0)&gt;0,T08_Spells!BA$2,"")</f>
        <v/>
      </c>
      <c r="BC259">
        <f>IF(IFERROR(SEARCH("Ranger",$T259,1),0)&gt;0,1,0)*IF(RangerMaxSpellLevel&gt;=$C259,1,0)*IF(IFERROR(MATCH(B259,Character_Creation!$X$79:$X$382,0),0)&gt;0,0,1)</f>
        <v>0</v>
      </c>
      <c r="BD259">
        <f>IF(BC259=0,0,1+COUNTIF(BD$3:BD258,"&gt;0"))</f>
        <v>0</v>
      </c>
      <c r="BE259" t="str">
        <f t="shared" si="199"/>
        <v/>
      </c>
      <c r="BF259" t="str">
        <f t="shared" si="170"/>
        <v/>
      </c>
      <c r="BH259">
        <f>IF(IFERROR(SEARCH("Sorcerer",$T259,1),0)&gt;0,1,0)*IF(SorcererMaxSpellLevel&gt;=$C259,1,0)*IF(IFERROR(MATCH(B259,Character_Creation!$J$380:$J$394,0),0)&gt;0,0,1)</f>
        <v>0</v>
      </c>
      <c r="BI259">
        <f>IF(BH259=0,0,1+COUNTIF(BI$3:BI258,"&gt;0"))</f>
        <v>0</v>
      </c>
      <c r="BJ259" t="str">
        <f t="shared" si="200"/>
        <v/>
      </c>
      <c r="BK259" t="str">
        <f t="shared" si="171"/>
        <v/>
      </c>
      <c r="BM259">
        <f>IF(OR(IFERROR(SEARCH("Warlock",$T259,1),0)&gt;0,IFERROR(SEARCH(WarlockPatron,$T259,1),0)&gt;0),1,0)*IF(WarlockMaxSpellLevel&gt;=$C259,1,0)*IF(IFERROR(MATCH(B259,Character_Creation!$J$361:$J$375,0),0)&gt;0,0,1)</f>
        <v>0</v>
      </c>
      <c r="BN259">
        <f>IF(BM259=0,0,1+COUNTIF(BN$3:BN258,"&gt;0"))</f>
        <v>0</v>
      </c>
      <c r="BO259" t="str">
        <f t="shared" si="201"/>
        <v/>
      </c>
      <c r="BP259" t="str">
        <f t="shared" si="172"/>
        <v/>
      </c>
      <c r="BR259">
        <f>IF(IFERROR(SEARCH("Eldritch Knight",$T259,1),0)&gt;0,1,0)*IF(EldritchKnightMaxSpellLevel&gt;=$C259,1,0)*IF(IFERROR(MATCH($B259,Character_Creation!$J$350:$J$356,0),0)&gt;0,0,1)*IF(Character_Creation!$M$338&gt;0,1,0)</f>
        <v>0</v>
      </c>
      <c r="BS259">
        <f>IF(BR259=0,0,1+COUNTIF(BS$3:BS258,"&gt;0"))</f>
        <v>0</v>
      </c>
      <c r="BT259" t="str">
        <f t="shared" si="202"/>
        <v/>
      </c>
      <c r="BU259" t="str">
        <f t="shared" si="173"/>
        <v/>
      </c>
      <c r="BW259">
        <f>IF(IFERROR(SEARCH("Arcane Trickster",$T259,1),0)&gt;0,1,0)*IF(ArcaneTricksterMaxSpellLevel&gt;=$C259,1,0)*IF(IFERROR(MATCH($B259,Character_Creation!$J$350:$J$356,0),0)&gt;0,0,1)*IF(Character_Creation!$T$338&gt;0,1,0)</f>
        <v>0</v>
      </c>
      <c r="BX259">
        <f>IF(BW259=0,0,1+COUNTIF(BX$3:BX258,"&gt;0"))</f>
        <v>0</v>
      </c>
      <c r="BY259" t="str">
        <f t="shared" si="203"/>
        <v/>
      </c>
      <c r="BZ259" t="str">
        <f t="shared" si="174"/>
        <v/>
      </c>
      <c r="CB259">
        <f>IF(IFERROR(SEARCH("Wizard",$T259,1),0)&gt;0,1,0)*IF(C259&lt;=ArcaneTricksterMaxSpellLevel,1,0)*IF(IFERROR(MATCH($B259,Character_Creation!$J$350:$J$356,0),0)&gt;0,0,1)*IF(Character_Creation!$T$350&gt;0,1,0)</f>
        <v>0</v>
      </c>
      <c r="CC259">
        <f>IF(CB259=0,0,1+COUNTIF(CC$3:CC258,"&gt;0"))</f>
        <v>0</v>
      </c>
      <c r="CD259" t="str">
        <f t="shared" si="204"/>
        <v/>
      </c>
      <c r="CE259" t="str">
        <f t="shared" si="175"/>
        <v/>
      </c>
      <c r="CG259">
        <f>IF(IFERROR(SEARCH("Wizard",$T259,1),0)&gt;0,1,0)*IF($C259&lt;=EldritchKnightMaxSpellLevel,1,0)*IF(IFERROR(MATCH($B259,Character_Creation!$J$350:$J$356,0),0)&gt;0,0,1)*IF(Character_Creation!$M$350&gt;0,1,0)</f>
        <v>0</v>
      </c>
      <c r="CH259">
        <f>IF(CG259=0,0,1+COUNTIF(CH$3:CH258,"&gt;0"))</f>
        <v>0</v>
      </c>
      <c r="CI259" t="str">
        <f t="shared" si="205"/>
        <v/>
      </c>
      <c r="CJ259" t="str">
        <f t="shared" si="176"/>
        <v/>
      </c>
      <c r="CL259">
        <f>IF(IFERROR(SEARCH("Bard",$T259,1),0)&gt;0,1,0)*IF(BardMaxSpellLevel&gt;=$C259,1,0)*IF(IFERROR(MATCH(B259,Character_Creation!$C$341:$F$362,0),0)&gt;0,0,1)*IF(IFERROR(MATCH($B259,Character_Creation!$C$341:$C$362,0),0)&gt;0,0,1)</f>
        <v>0</v>
      </c>
      <c r="CM259">
        <f>IF(CL259=0,0,1+COUNTIF(CM$3:CM258,"&gt;0"))</f>
        <v>0</v>
      </c>
      <c r="CN259" t="str">
        <f t="shared" si="206"/>
        <v/>
      </c>
      <c r="CO259" t="str">
        <f t="shared" si="177"/>
        <v/>
      </c>
      <c r="CQ259">
        <f>IF(IFERROR(SEARCH("Wizard",$T259,1),0)&gt;0,1,0)*IF(WizardMaxSpellLevel&gt;=$C259,1,0)*IF(IFERROR(MATCH(B259,Character_Creation!$X$341:$X$400,0),0)&gt;0,0,1)*IF(SelectedWizardSpellLevel=$C259,1,0)</f>
        <v>0</v>
      </c>
      <c r="CR259">
        <f>IF(CQ259=0,0,1+COUNTIF(CR$3:CR258,"&gt;0"))</f>
        <v>0</v>
      </c>
      <c r="CS259" t="str">
        <f t="shared" si="207"/>
        <v/>
      </c>
      <c r="CT259" t="str">
        <f t="shared" si="178"/>
        <v/>
      </c>
      <c r="CV259">
        <f>IF(IFERROR(MATCH($B259,Character_Creation!$C$341:$C$362,0),0)&gt;0,0,1)*IF(OR(C259="Cantrip",C259&lt;=BardMaxSpellLevel),1,0)*IF(IFERROR(MATCH($B259,Character_Creation!$C$367:$C$374,0),0)&gt;0,0,1)</f>
        <v>0</v>
      </c>
      <c r="CW259">
        <f>IF(CV259=0,0,1+COUNTIF(CW$3:CW258,"&gt;0"))</f>
        <v>0</v>
      </c>
      <c r="CX259" t="str">
        <f t="shared" si="208"/>
        <v/>
      </c>
      <c r="CY259" t="str">
        <f t="shared" si="179"/>
        <v/>
      </c>
      <c r="DA259">
        <f>IF(IF(OR(IFERROR(SEARCH("Cleric",$T259,1),0)&gt;0,IFERROR(SEARCH(DivineDomain&amp;",",$T259,1),0)&gt;0),1,0)*IF($C259=DA$2,1,0)=1,1+COUNTIF(DA$3:DA258,"&gt;0"),0)</f>
        <v>0</v>
      </c>
      <c r="DB259">
        <f>IF(IF(OR(IFERROR(SEARCH("Cleric",$T259,1),0)&gt;0,IFERROR(SEARCH(DivineDomain&amp;",",$T259,1),0)&gt;0),1,0)*IF($C259=DB$2,1,0)=1,1+COUNTIF(DB$3:DB258,"&gt;0"),0)</f>
        <v>0</v>
      </c>
      <c r="DC259">
        <f>IF(IF(OR(IFERROR(SEARCH("Cleric",$T259,1),0)&gt;0,IFERROR(SEARCH(DivineDomain&amp;",",$T259,1),0)&gt;0),1,0)*IF($C259=DC$2,1,0)=1,1+COUNTIF(DC$3:DC258,"&gt;0"),0)</f>
        <v>0</v>
      </c>
      <c r="DD259">
        <f>IF(IF(OR(IFERROR(SEARCH("Cleric",$T259,1),0)&gt;0,IFERROR(SEARCH(DivineDomain&amp;",",$T259,1),0)&gt;0),1,0)*IF($C259=DD$2,1,0)=1,1+COUNTIF(DD$3:DD258,"&gt;0"),0)</f>
        <v>0</v>
      </c>
      <c r="DE259">
        <f>IF(IF(OR(IFERROR(SEARCH("Cleric",$T259,1),0)&gt;0,IFERROR(SEARCH(DivineDomain&amp;",",$T259,1),0)&gt;0),1,0)*IF($C259=DE$2,1,0)=1,1+COUNTIF(DE$3:DE258,"&gt;0"),0)</f>
        <v>0</v>
      </c>
      <c r="DF259">
        <f>IF(IF(OR(IFERROR(SEARCH("Cleric",$T259,1),0)&gt;0,IFERROR(SEARCH(DivineDomain&amp;",",$T259,1),0)&gt;0),1,0)*IF($C259=DF$2,1,0)=1,1+COUNTIF(DF$3:DF258,"&gt;0"),0)</f>
        <v>0</v>
      </c>
      <c r="DG259">
        <f>IF(IF(OR(IFERROR(SEARCH("Cleric",$T259,1),0)&gt;0,IFERROR(SEARCH(DivineDomain&amp;",",$T259,1),0)&gt;0),1,0)*IF($C259=DG$2,1,0)=1,1+COUNTIF(DG$3:DG258,"&gt;0"),0)</f>
        <v>0</v>
      </c>
      <c r="DH259">
        <f>IF(IF(OR(IFERROR(SEARCH("Cleric",$T259,1),0)&gt;0,IFERROR(SEARCH(DivineDomain&amp;",",$T259,1),0)&gt;0),1,0)*IF($C259=DH$2,1,0)=1,1+COUNTIF(DH$3:DH258,"&gt;0"),0)</f>
        <v>0</v>
      </c>
      <c r="DI259">
        <f>IF(IF(OR(IFERROR(SEARCH("Cleric",$T259,1),0)&gt;0,IFERROR(SEARCH(DivineDomain&amp;",",$T259,1),0)&gt;0),1,0)*IF($C259=DI$2,1,0)=1,1+COUNTIF(DI$3:DI258,"&gt;0"),0)</f>
        <v>4</v>
      </c>
      <c r="DJ259">
        <f>IF(IF(OR(IFERROR(SEARCH("Druid",$T259,1),0)&gt;0,IFERROR(SEARCH(DruidLand1,$T259,1),0)&gt;0,IFERROR(SEARCH(DruidLand2,$T259,1),0)&gt;0,IFERROR(SEARCH(DruidLand3,$T259,1),0)&gt;0,IFERROR(SEARCH(DruidLand4,$T259,1),0)&gt;0),1,0)*IF($C259=1,1,0)*IF($C259=DJ$2,1,0)=0,0,1+COUNTIF(DJ$3:DJ258,"&gt;0"))</f>
        <v>0</v>
      </c>
      <c r="DK259">
        <f>IF(IF(OR(IFERROR(SEARCH("Druid",$T259,1),0)&gt;0,IFERROR(SEARCH(DruidLand1,$T259,1),0)&gt;0,IFERROR(SEARCH(DruidLand2,$T259,1),0)&gt;0,IFERROR(SEARCH(DruidLand3,$T259,1),0)&gt;0,IFERROR(SEARCH(DruidLand4,$T259,1),0)&gt;0),1,0)*IF($C259=1,1,0)*IF($C259=DK$2,1,0)=0,0,1+COUNTIF(DK$3:DK258,"&gt;0"))</f>
        <v>0</v>
      </c>
      <c r="DL259">
        <f>IF(IF(OR(IFERROR(SEARCH("Druid",$T259,1),0)&gt;0,IFERROR(SEARCH(DruidLand1,$T259,1),0)&gt;0,IFERROR(SEARCH(DruidLand2,$T259,1),0)&gt;0,IFERROR(SEARCH(DruidLand3,$T259,1),0)&gt;0,IFERROR(SEARCH(DruidLand4,$T259,1),0)&gt;0),1,0)*IF($C259=1,1,0)*IF($C259=DL$2,1,0)=0,0,1+COUNTIF(DL$3:DL258,"&gt;0"))</f>
        <v>0</v>
      </c>
      <c r="DM259">
        <f>IF(IF(OR(IFERROR(SEARCH("Druid",$T259,1),0)&gt;0,IFERROR(SEARCH(DruidLand1,$T259,1),0)&gt;0,IFERROR(SEARCH(DruidLand2,$T259,1),0)&gt;0,IFERROR(SEARCH(DruidLand3,$T259,1),0)&gt;0,IFERROR(SEARCH(DruidLand4,$T259,1),0)&gt;0),1,0)*IF($C259=1,1,0)*IF($C259=DM$2,1,0)=0,0,1+COUNTIF(DM$3:DM258,"&gt;0"))</f>
        <v>0</v>
      </c>
      <c r="DN259">
        <f>IF(IF(OR(IFERROR(SEARCH("Druid",$T259,1),0)&gt;0,IFERROR(SEARCH(DruidLand1,$T259,1),0)&gt;0,IFERROR(SEARCH(DruidLand2,$T259,1),0)&gt;0,IFERROR(SEARCH(DruidLand3,$T259,1),0)&gt;0,IFERROR(SEARCH(DruidLand4,$T259,1),0)&gt;0),1,0)*IF($C259=1,1,0)*IF($C259=DN$2,1,0)=0,0,1+COUNTIF(DN$3:DN258,"&gt;0"))</f>
        <v>0</v>
      </c>
      <c r="DO259">
        <f>IF(IF(OR(IFERROR(SEARCH("Druid",$T259,1),0)&gt;0,IFERROR(SEARCH(DruidLand1,$T259,1),0)&gt;0,IFERROR(SEARCH(DruidLand2,$T259,1),0)&gt;0,IFERROR(SEARCH(DruidLand3,$T259,1),0)&gt;0,IFERROR(SEARCH(DruidLand4,$T259,1),0)&gt;0),1,0)*IF($C259=1,1,0)*IF($C259=DO$2,1,0)=0,0,1+COUNTIF(DO$3:DO258,"&gt;0"))</f>
        <v>0</v>
      </c>
      <c r="DP259">
        <f>IF(IF(OR(IFERROR(SEARCH("Druid",$T259,1),0)&gt;0,IFERROR(SEARCH(DruidLand1,$T259,1),0)&gt;0,IFERROR(SEARCH(DruidLand2,$T259,1),0)&gt;0,IFERROR(SEARCH(DruidLand3,$T259,1),0)&gt;0,IFERROR(SEARCH(DruidLand4,$T259,1),0)&gt;0),1,0)*IF($C259=1,1,0)*IF($C259=DP$2,1,0)=0,0,1+COUNTIF(DP$3:DP258,"&gt;0"))</f>
        <v>0</v>
      </c>
      <c r="DQ259">
        <f>IF(IF(OR(IFERROR(SEARCH("Druid",$T259,1),0)&gt;0,IFERROR(SEARCH(DruidLand1,$T259,1),0)&gt;0,IFERROR(SEARCH(DruidLand2,$T259,1),0)&gt;0,IFERROR(SEARCH(DruidLand3,$T259,1),0)&gt;0,IFERROR(SEARCH(DruidLand4,$T259,1),0)&gt;0),1,0)*IF($C259=1,1,0)*IF($C259=DQ$2,1,0)=0,0,1+COUNTIF(DQ$3:DQ258,"&gt;0"))</f>
        <v>0</v>
      </c>
      <c r="DR259">
        <f>IF(IF(OR(IFERROR(SEARCH("Druid",$T259,1),0)&gt;0,IFERROR(SEARCH(DruidLand1,$T259,1),0)&gt;0,IFERROR(SEARCH(DruidLand2,$T259,1),0)&gt;0,IFERROR(SEARCH(DruidLand3,$T259,1),0)&gt;0,IFERROR(SEARCH(DruidLand4,$T259,1),0)&gt;0),1,0)*IF($C259=1,1,0)*IF($C259=DR$2,1,0)=0,0,1+COUNTIF(DR$3:DR258,"&gt;0"))</f>
        <v>0</v>
      </c>
      <c r="DS259">
        <f>IF(IF(OR(IFERROR(SEARCH("Paladin",$T259,1),0)&gt;0,IFERROR(SEARCH(PaladinOath,$T259,1),0)&gt;0),1,0)*IF($C259=DS$2,1,0)=1,1+COUNTIF(DS$3:DS258,"&gt;0"),0)</f>
        <v>0</v>
      </c>
      <c r="DT259">
        <f>IF(IF(OR(IFERROR(SEARCH("Paladin",$T259,1),0)&gt;0,IFERROR(SEARCH(PaladinOath,$T259,1),0)&gt;0),1,0)*IF($C259=DT$2,1,0)=1,1+COUNTIF(DT$3:DT258,"&gt;0"),0)</f>
        <v>0</v>
      </c>
      <c r="DU259">
        <f>IF(IF(OR(IFERROR(SEARCH("Paladin",$T259,1),0)&gt;0,IFERROR(SEARCH(PaladinOath,$T259,1),0)&gt;0),1,0)*IF($C259=DU$2,1,0)=1,1+COUNTIF(DU$3:DU258,"&gt;0"),0)</f>
        <v>0</v>
      </c>
      <c r="DV259">
        <f>IF(IF(OR(IFERROR(SEARCH("Paladin",$T259,1),0)&gt;0,IFERROR(SEARCH(PaladinOath,$T259,1),0)&gt;0),1,0)*IF($C259=DV$2,1,0)=1,1+COUNTIF(DV$3:DV258,"&gt;0"),0)</f>
        <v>0</v>
      </c>
      <c r="DW259">
        <f>IF(IF(OR(IFERROR(SEARCH("Paladin",$T259,1),0)&gt;0,IFERROR(SEARCH(PaladinOath,$T259,1),0)&gt;0),1,0)*IF($C259=DW$2,1,0)=1,1+COUNTIF(DW$3:DW258,"&gt;0"),0)</f>
        <v>0</v>
      </c>
      <c r="DY259">
        <f t="shared" ref="DY259:DY322" si="225">IF(IFERROR(SEARCH(FavoredSoul_Domain&amp;",",$T259,1),0)&gt;0,1,0)</f>
        <v>1</v>
      </c>
      <c r="DZ259">
        <f>IF(DY259=0,0,1+MAX(DZ$3:$DZ258))</f>
        <v>257</v>
      </c>
      <c r="EB259">
        <f t="shared" si="180"/>
        <v>0</v>
      </c>
      <c r="EC259">
        <f>IF(EB259=0,0,1+COUNTIF(EC$3:EC258,"&gt;0"))</f>
        <v>0</v>
      </c>
      <c r="ED259" t="str">
        <f t="shared" si="209"/>
        <v/>
      </c>
      <c r="EE259" t="str">
        <f t="shared" si="181"/>
        <v/>
      </c>
      <c r="EG259">
        <f t="shared" si="182"/>
        <v>0</v>
      </c>
      <c r="EH259">
        <f>IF(EG259=0,0,1+COUNTIF(EH$3:EH258,"&gt;0"))</f>
        <v>0</v>
      </c>
      <c r="EI259" t="str">
        <f t="shared" si="210"/>
        <v/>
      </c>
      <c r="EJ259" t="str">
        <f t="shared" si="183"/>
        <v/>
      </c>
      <c r="EL259">
        <f t="shared" si="184"/>
        <v>0</v>
      </c>
      <c r="EM259">
        <f>IF(EL259=0,0,1+COUNTIF(EM$3:EM258,"&gt;0"))</f>
        <v>0</v>
      </c>
      <c r="EN259" t="str">
        <f t="shared" si="211"/>
        <v/>
      </c>
      <c r="EO259" t="str">
        <f t="shared" si="185"/>
        <v/>
      </c>
      <c r="EQ259">
        <f t="shared" si="186"/>
        <v>0</v>
      </c>
      <c r="ER259">
        <f>IF(EQ259=0,0,1+COUNTIF(ER$3:ER258,"&gt;0"))</f>
        <v>0</v>
      </c>
      <c r="ES259" t="str">
        <f t="shared" si="212"/>
        <v/>
      </c>
      <c r="ET259" t="str">
        <f t="shared" si="187"/>
        <v/>
      </c>
      <c r="EV259">
        <f t="shared" si="188"/>
        <v>0</v>
      </c>
      <c r="EW259">
        <f>IF(EV259=0,0,1+COUNTIF(EW$3:EW258,"&gt;0"))</f>
        <v>0</v>
      </c>
      <c r="EX259" t="str">
        <f t="shared" si="213"/>
        <v/>
      </c>
      <c r="EY259" t="str">
        <f t="shared" si="189"/>
        <v/>
      </c>
      <c r="FA259">
        <f t="shared" si="190"/>
        <v>0</v>
      </c>
      <c r="FB259">
        <f>IF(FA259=0,0,1+COUNTIF(FB$3:FB258,"&gt;0"))</f>
        <v>0</v>
      </c>
      <c r="FC259" t="str">
        <f t="shared" si="214"/>
        <v/>
      </c>
      <c r="FD259" t="str">
        <f t="shared" si="191"/>
        <v/>
      </c>
      <c r="FF259">
        <f t="shared" si="192"/>
        <v>0</v>
      </c>
      <c r="FG259">
        <f>IF(FF259=0,0,1+COUNTIF(FG$3:FG258,"&gt;0"))</f>
        <v>0</v>
      </c>
      <c r="FH259" t="str">
        <f t="shared" si="215"/>
        <v/>
      </c>
      <c r="FI259" t="str">
        <f t="shared" si="193"/>
        <v/>
      </c>
      <c r="FK259">
        <f t="shared" si="194"/>
        <v>0</v>
      </c>
      <c r="FL259">
        <f>IF(FK259=0,0,1+COUNTIF(FL$3:FL258,"&gt;0"))</f>
        <v>0</v>
      </c>
      <c r="FM259" t="str">
        <f t="shared" si="216"/>
        <v/>
      </c>
      <c r="FN259" t="str">
        <f t="shared" si="195"/>
        <v/>
      </c>
      <c r="FP259">
        <f t="shared" si="196"/>
        <v>0</v>
      </c>
      <c r="FQ259">
        <f>IF(FP259=0,0,1+COUNTIF(FQ$3:FQ258,"&gt;0"))</f>
        <v>0</v>
      </c>
      <c r="FR259" t="str">
        <f t="shared" si="217"/>
        <v/>
      </c>
      <c r="FS259" t="str">
        <f t="shared" si="197"/>
        <v/>
      </c>
    </row>
    <row r="260" spans="1:175" x14ac:dyDescent="0.25">
      <c r="A260" s="347">
        <f t="shared" si="219"/>
        <v>258</v>
      </c>
      <c r="B260" s="348" t="s">
        <v>2641</v>
      </c>
      <c r="C260" s="348">
        <v>9</v>
      </c>
      <c r="D260" s="347">
        <v>9</v>
      </c>
      <c r="E260" s="627" t="s">
        <v>6952</v>
      </c>
      <c r="F260" s="346"/>
      <c r="G260" s="347" t="str">
        <f>""</f>
        <v/>
      </c>
      <c r="H260" s="347" t="s">
        <v>5912</v>
      </c>
      <c r="I260" s="347" t="s">
        <v>424</v>
      </c>
      <c r="J260" s="347" t="str">
        <f t="shared" ref="J260:J323" si="226">IF(IFERROR(SEARCH("con",K260,1),0)&gt;0,"Concentration","")</f>
        <v/>
      </c>
      <c r="K260" s="347" t="s">
        <v>5278</v>
      </c>
      <c r="L260" s="611" t="str">
        <f t="shared" ref="L260:L323" si="227">LEFT(TRIM(IF(M260&lt;&gt;"",M260&amp;", ","")&amp;IF(N260&lt;&gt;"",N260&amp;", ","")&amp;IF(O260&lt;&gt;"",O260&amp;", ","")&amp;IF(P260&lt;&gt;"",P260&amp;", ","")),LEN(TRIM(IF(M260&lt;&gt;"",M260&amp;", ","")&amp;IF(N260&lt;&gt;"",N260&amp;", ","")&amp;IF(O260&lt;&gt;"",O260&amp;", ","")&amp;IF(P260&lt;&gt;"",P260&amp;", ","")))-1)</f>
        <v>V</v>
      </c>
      <c r="M260" s="347" t="s">
        <v>2373</v>
      </c>
      <c r="N260" s="347" t="s">
        <v>3034</v>
      </c>
      <c r="O260" s="347" t="s">
        <v>3034</v>
      </c>
      <c r="P260" s="346" t="str">
        <f>""</f>
        <v/>
      </c>
      <c r="Q260" s="347" t="s">
        <v>5272</v>
      </c>
      <c r="S260" s="346" t="s">
        <v>2642</v>
      </c>
      <c r="T260" s="346" t="str">
        <f t="shared" ref="T260:T323" si="228">IF(U260&lt;&gt;"","Bard, ","")&amp;IF(V260&lt;&gt;"","Paladin, ","")&amp;IF(W260&lt;&gt;"","Ranger, ","")&amp;IF(X260&lt;&gt;"","Sorcerer, ","")&amp;IF(Y260&lt;&gt;"","Warlock, ","")&amp;IF(Z260&lt;&gt;"","Cleric, ","")&amp;IF(AA260&lt;&gt;"","Druid, ","")&amp;IF(AB260&lt;&gt;"","Eldritch Knight, ","")&amp;IF(AC260&lt;&gt;"","Arcane Trickster, ","")&amp;IF(AD260&lt;&gt;"","Wizard, ","")&amp;IF(AE260&lt;&gt;"","Devotion, ","")&amp;IF(AF260&lt;&gt;"","Vengeance, ","")&amp;IF(AG260&lt;&gt;"","Ancients, ","")&amp;IF(AH260&lt;&gt;"","Oathbreaker, ","")&amp;IF(AI260&lt;&gt;"","Archfey, ","")&amp;IF(AJ260&lt;&gt;"","Archfiend, ","")&amp;IF(AK260&lt;&gt;"","Old One, ","")&amp;IF(AL260&lt;&gt;"","Arctic, ","")&amp;IF(AO260&lt;&gt;"","Fores, ","")&amp;IF(AM260&lt;&gt;"","Coast, ","")&amp;IF(AN260&lt;&gt;"","Desert, ","")&amp;IF(AP260&lt;&gt;"","GrassLand, ","")&amp;IF(AQ260&lt;&gt;"","Mountain, ","")&amp;IF(AR260&lt;&gt;"","Swamp, ","")&amp;IF(AS260&lt;&gt;"","Underdark, ","")&amp;IF(AT260&lt;&gt;"","Knowledge, ","")&amp;IF(AU260&lt;&gt;"","Life, ","")&amp;IF(AV260&lt;&gt;"","Light, ","")&amp;IF(AW260&lt;&gt;"","Nature, ","")&amp;IF(AX260&lt;&gt;"","Tempest, ","")&amp;IF(AY260&lt;&gt;"","Trickery, ","")&amp;IF(AZ260&lt;&gt;"","War, ","")&amp;IF(BA260&lt;&gt;"","Death, ","")</f>
        <v xml:space="preserve">Bard, Sorcerer, Warlock, Arcane Trickster, Wizard, </v>
      </c>
      <c r="U260" s="347" t="str">
        <f>$B260</f>
        <v>Power Word Kill</v>
      </c>
      <c r="X260" s="347" t="str">
        <f>$B260</f>
        <v>Power Word Kill</v>
      </c>
      <c r="Y260" s="347" t="str">
        <f>$B260</f>
        <v>Power Word Kill</v>
      </c>
      <c r="AC260" s="539" t="str">
        <f>B260</f>
        <v>Power Word Kill</v>
      </c>
      <c r="AD260" s="347" t="str">
        <f>$B260</f>
        <v>Power Word Kill</v>
      </c>
      <c r="AE260" t="str">
        <f>IF(IFERROR(MATCH($B260,temp!A$4:A$13,0),0)&gt;0,T08_Spells!AE$2,"")</f>
        <v/>
      </c>
      <c r="AF260" t="str">
        <f>IF(IFERROR(MATCH($B260,temp!B$4:B$13,0),0)&gt;0,T08_Spells!AF$2,"")</f>
        <v/>
      </c>
      <c r="AG260" t="str">
        <f>IF(IFERROR(MATCH($B260,temp!C$4:C$13,0),0)&gt;0,T08_Spells!AG$2,"")</f>
        <v/>
      </c>
      <c r="AH260" t="str">
        <f>IF(IFERROR(MATCH($B260,temp!D$4:D$13,0),0)&gt;0,T08_Spells!AH$2,"")</f>
        <v/>
      </c>
      <c r="AI260" t="str">
        <f>IF(IFERROR(MATCH($B260,temp!E$4:E$13,0),0)&gt;0,T08_Spells!AI$2,"")</f>
        <v/>
      </c>
      <c r="AJ260" t="str">
        <f>IF(IFERROR(MATCH($B260,temp!F$4:F$13,0),0)&gt;0,T08_Spells!AJ$2,"")</f>
        <v/>
      </c>
      <c r="AK260" t="str">
        <f>IF(IFERROR(MATCH($B260,temp!G$4:G$13,0),0)&gt;0,T08_Spells!AK$2,"")</f>
        <v/>
      </c>
      <c r="AL260" t="str">
        <f>IF(IFERROR(MATCH($B260,temp!H$4:H$13,0),0)&gt;0,T08_Spells!AL$2,"")</f>
        <v/>
      </c>
      <c r="AM260" t="str">
        <f>IF(IFERROR(MATCH($B260,temp!I$4:I$13,0),0)&gt;0,T08_Spells!AM$2,"")</f>
        <v/>
      </c>
      <c r="AN260" t="str">
        <f>IF(IFERROR(MATCH($B260,temp!J$4:J$13,0),0)&gt;0,T08_Spells!AN$2,"")</f>
        <v/>
      </c>
      <c r="AO260" t="str">
        <f>IF(IFERROR(MATCH($B260,temp!K$4:K$13,0),0)&gt;0,T08_Spells!AO$2,"")</f>
        <v/>
      </c>
      <c r="AP260" t="str">
        <f>IF(IFERROR(MATCH($B260,temp!L$4:L$13,0),0)&gt;0,T08_Spells!AP$2,"")</f>
        <v/>
      </c>
      <c r="AQ260" t="str">
        <f>IF(IFERROR(MATCH($B260,temp!M$4:M$13,0),0)&gt;0,T08_Spells!AQ$2,"")</f>
        <v/>
      </c>
      <c r="AR260" t="str">
        <f>IF(IFERROR(MATCH($B260,temp!N$4:N$13,0),0)&gt;0,T08_Spells!AR$2,"")</f>
        <v/>
      </c>
      <c r="AS260" t="str">
        <f>IF(IFERROR(MATCH($B260,temp!O$4:O$13,0),0)&gt;0,T08_Spells!AS$2,"")</f>
        <v/>
      </c>
      <c r="AT260" t="str">
        <f>IF(IFERROR(MATCH($B260,temp!P$4:P$13,0),0)&gt;0,T08_Spells!AT$2,"")</f>
        <v/>
      </c>
      <c r="AU260" t="str">
        <f>IF(IFERROR(MATCH($B260,temp!Q$4:Q$13,0),0)&gt;0,T08_Spells!AU$2,"")</f>
        <v/>
      </c>
      <c r="AV260" t="str">
        <f>IF(IFERROR(MATCH($B260,temp!R$4:R$13,0),0)&gt;0,T08_Spells!AV$2,"")</f>
        <v/>
      </c>
      <c r="AW260" t="str">
        <f>IF(IFERROR(MATCH($B260,temp!S$4:S$13,0),0)&gt;0,T08_Spells!AW$2,"")</f>
        <v/>
      </c>
      <c r="AX260" t="str">
        <f>IF(IFERROR(MATCH($B260,temp!T$4:T$13,0),0)&gt;0,T08_Spells!AX$2,"")</f>
        <v/>
      </c>
      <c r="AY260" t="str">
        <f>IF(IFERROR(MATCH($B260,temp!U$4:U$13,0),0)&gt;0,T08_Spells!AY$2,"")</f>
        <v/>
      </c>
      <c r="AZ260" t="str">
        <f>IF(IFERROR(MATCH($B260,temp!V$4:V$13,0),0)&gt;0,T08_Spells!AZ$2,"")</f>
        <v/>
      </c>
      <c r="BA260" t="str">
        <f>IF(IFERROR(MATCH($B260,temp!W$4:W$13,0),0)&gt;0,T08_Spells!BA$2,"")</f>
        <v/>
      </c>
      <c r="BC260">
        <f>IF(IFERROR(SEARCH("Ranger",$T260,1),0)&gt;0,1,0)*IF(RangerMaxSpellLevel&gt;=$C260,1,0)*IF(IFERROR(MATCH(B260,Character_Creation!$X$79:$X$382,0),0)&gt;0,0,1)</f>
        <v>0</v>
      </c>
      <c r="BD260">
        <f>IF(BC260=0,0,1+COUNTIF(BD$3:BD259,"&gt;0"))</f>
        <v>0</v>
      </c>
      <c r="BE260" t="str">
        <f t="shared" si="199"/>
        <v/>
      </c>
      <c r="BF260" t="str">
        <f t="shared" ref="BF260:BF323" si="229">IFERROR(INDEX($B$3:$B$407,MATCH(BE260,BD$3:BD$407,0),1),"")</f>
        <v/>
      </c>
      <c r="BH260">
        <f>IF(IFERROR(SEARCH("Sorcerer",$T260,1),0)&gt;0,1,0)*IF(SorcererMaxSpellLevel&gt;=$C260,1,0)*IF(IFERROR(MATCH(B260,Character_Creation!$J$380:$J$394,0),0)&gt;0,0,1)</f>
        <v>0</v>
      </c>
      <c r="BI260">
        <f>IF(BH260=0,0,1+COUNTIF(BI$3:BI259,"&gt;0"))</f>
        <v>0</v>
      </c>
      <c r="BJ260" t="str">
        <f t="shared" si="200"/>
        <v/>
      </c>
      <c r="BK260" t="str">
        <f t="shared" ref="BK260:BK323" si="230">IFERROR(INDEX($B$3:$B$407,MATCH(BJ260,BI$3:BI$407,0),1),"")</f>
        <v/>
      </c>
      <c r="BM260">
        <f>IF(OR(IFERROR(SEARCH("Warlock",$T260,1),0)&gt;0,IFERROR(SEARCH(WarlockPatron,$T260,1),0)&gt;0),1,0)*IF(WarlockMaxSpellLevel&gt;=$C260,1,0)*IF(IFERROR(MATCH(B260,Character_Creation!$J$361:$J$375,0),0)&gt;0,0,1)</f>
        <v>0</v>
      </c>
      <c r="BN260">
        <f>IF(BM260=0,0,1+COUNTIF(BN$3:BN259,"&gt;0"))</f>
        <v>0</v>
      </c>
      <c r="BO260" t="str">
        <f t="shared" si="201"/>
        <v/>
      </c>
      <c r="BP260" t="str">
        <f t="shared" ref="BP260:BP323" si="231">IFERROR(INDEX($B$3:$B$407,MATCH(BO260,BN$3:BN$407,0),1),"")</f>
        <v/>
      </c>
      <c r="BR260">
        <f>IF(IFERROR(SEARCH("Eldritch Knight",$T260,1),0)&gt;0,1,0)*IF(EldritchKnightMaxSpellLevel&gt;=$C260,1,0)*IF(IFERROR(MATCH($B260,Character_Creation!$J$350:$J$356,0),0)&gt;0,0,1)*IF(Character_Creation!$M$338&gt;0,1,0)</f>
        <v>0</v>
      </c>
      <c r="BS260">
        <f>IF(BR260=0,0,1+COUNTIF(BS$3:BS259,"&gt;0"))</f>
        <v>0</v>
      </c>
      <c r="BT260" t="str">
        <f t="shared" si="202"/>
        <v/>
      </c>
      <c r="BU260" t="str">
        <f t="shared" ref="BU260:BU323" si="232">IFERROR(INDEX($B$3:$B$407,MATCH(BT260,BS$3:BS$407,0),1),"")</f>
        <v/>
      </c>
      <c r="BW260">
        <f>IF(IFERROR(SEARCH("Arcane Trickster",$T260,1),0)&gt;0,1,0)*IF(ArcaneTricksterMaxSpellLevel&gt;=$C260,1,0)*IF(IFERROR(MATCH($B260,Character_Creation!$J$350:$J$356,0),0)&gt;0,0,1)*IF(Character_Creation!$T$338&gt;0,1,0)</f>
        <v>0</v>
      </c>
      <c r="BX260">
        <f>IF(BW260=0,0,1+COUNTIF(BX$3:BX259,"&gt;0"))</f>
        <v>0</v>
      </c>
      <c r="BY260" t="str">
        <f t="shared" si="203"/>
        <v/>
      </c>
      <c r="BZ260" t="str">
        <f t="shared" ref="BZ260:BZ323" si="233">IFERROR(INDEX($B$3:$B$407,MATCH(BY260,BX$3:BX$407,0),1),"")</f>
        <v/>
      </c>
      <c r="CB260">
        <f>IF(IFERROR(SEARCH("Wizard",$T260,1),0)&gt;0,1,0)*IF(C260&lt;=ArcaneTricksterMaxSpellLevel,1,0)*IF(IFERROR(MATCH($B260,Character_Creation!$J$350:$J$356,0),0)&gt;0,0,1)*IF(Character_Creation!$T$350&gt;0,1,0)</f>
        <v>0</v>
      </c>
      <c r="CC260">
        <f>IF(CB260=0,0,1+COUNTIF(CC$3:CC259,"&gt;0"))</f>
        <v>0</v>
      </c>
      <c r="CD260" t="str">
        <f t="shared" si="204"/>
        <v/>
      </c>
      <c r="CE260" t="str">
        <f t="shared" ref="CE260:CE323" si="234">IFERROR(INDEX($B$3:$B$407,MATCH(CD260,CC$3:CC$407,0),1),"")</f>
        <v/>
      </c>
      <c r="CG260">
        <f>IF(IFERROR(SEARCH("Wizard",$T260,1),0)&gt;0,1,0)*IF($C260&lt;=EldritchKnightMaxSpellLevel,1,0)*IF(IFERROR(MATCH($B260,Character_Creation!$J$350:$J$356,0),0)&gt;0,0,1)*IF(Character_Creation!$M$350&gt;0,1,0)</f>
        <v>0</v>
      </c>
      <c r="CH260">
        <f>IF(CG260=0,0,1+COUNTIF(CH$3:CH259,"&gt;0"))</f>
        <v>0</v>
      </c>
      <c r="CI260" t="str">
        <f t="shared" si="205"/>
        <v/>
      </c>
      <c r="CJ260" t="str">
        <f t="shared" ref="CJ260:CJ323" si="235">IFERROR(INDEX($B$3:$B$407,MATCH(CI260,CH$3:CH$407,0),1),"")</f>
        <v/>
      </c>
      <c r="CL260">
        <f>IF(IFERROR(SEARCH("Bard",$T260,1),0)&gt;0,1,0)*IF(BardMaxSpellLevel&gt;=$C260,1,0)*IF(IFERROR(MATCH(B260,Character_Creation!$C$341:$F$362,0),0)&gt;0,0,1)*IF(IFERROR(MATCH($B260,Character_Creation!$C$341:$C$362,0),0)&gt;0,0,1)</f>
        <v>0</v>
      </c>
      <c r="CM260">
        <f>IF(CL260=0,0,1+COUNTIF(CM$3:CM259,"&gt;0"))</f>
        <v>0</v>
      </c>
      <c r="CN260" t="str">
        <f t="shared" si="206"/>
        <v/>
      </c>
      <c r="CO260" t="str">
        <f t="shared" ref="CO260:CO323" si="236">IFERROR(INDEX($B$3:$B$407,MATCH(CN260,CM$3:CM$407,0),1),"")</f>
        <v/>
      </c>
      <c r="CQ260">
        <f>IF(IFERROR(SEARCH("Wizard",$T260,1),0)&gt;0,1,0)*IF(WizardMaxSpellLevel&gt;=$C260,1,0)*IF(IFERROR(MATCH(B260,Character_Creation!$X$341:$X$400,0),0)&gt;0,0,1)*IF(SelectedWizardSpellLevel=$C260,1,0)</f>
        <v>0</v>
      </c>
      <c r="CR260">
        <f>IF(CQ260=0,0,1+COUNTIF(CR$3:CR259,"&gt;0"))</f>
        <v>0</v>
      </c>
      <c r="CS260" t="str">
        <f t="shared" si="207"/>
        <v/>
      </c>
      <c r="CT260" t="str">
        <f t="shared" ref="CT260:CT323" si="237">IFERROR(INDEX($B$3:$B$407,MATCH(CS260,CR$3:CR$407,0),1),"")</f>
        <v/>
      </c>
      <c r="CV260">
        <f>IF(IFERROR(MATCH($B260,Character_Creation!$C$341:$C$362,0),0)&gt;0,0,1)*IF(OR(C260="Cantrip",C260&lt;=BardMaxSpellLevel),1,0)*IF(IFERROR(MATCH($B260,Character_Creation!$C$367:$C$374,0),0)&gt;0,0,1)</f>
        <v>0</v>
      </c>
      <c r="CW260">
        <f>IF(CV260=0,0,1+COUNTIF(CW$3:CW259,"&gt;0"))</f>
        <v>0</v>
      </c>
      <c r="CX260" t="str">
        <f t="shared" si="208"/>
        <v/>
      </c>
      <c r="CY260" t="str">
        <f t="shared" ref="CY260:CY323" si="238">IFERROR(INDEX($B$3:$B$407,MATCH(CX260,CW$3:CW$407,0),1),"")</f>
        <v/>
      </c>
      <c r="DA260">
        <f>IF(IF(OR(IFERROR(SEARCH("Cleric",$T260,1),0)&gt;0,IFERROR(SEARCH(DivineDomain&amp;",",$T260,1),0)&gt;0),1,0)*IF($C260=DA$2,1,0)=1,1+COUNTIF(DA$3:DA259,"&gt;0"),0)</f>
        <v>0</v>
      </c>
      <c r="DB260">
        <f>IF(IF(OR(IFERROR(SEARCH("Cleric",$T260,1),0)&gt;0,IFERROR(SEARCH(DivineDomain&amp;",",$T260,1),0)&gt;0),1,0)*IF($C260=DB$2,1,0)=1,1+COUNTIF(DB$3:DB259,"&gt;0"),0)</f>
        <v>0</v>
      </c>
      <c r="DC260">
        <f>IF(IF(OR(IFERROR(SEARCH("Cleric",$T260,1),0)&gt;0,IFERROR(SEARCH(DivineDomain&amp;",",$T260,1),0)&gt;0),1,0)*IF($C260=DC$2,1,0)=1,1+COUNTIF(DC$3:DC259,"&gt;0"),0)</f>
        <v>0</v>
      </c>
      <c r="DD260">
        <f>IF(IF(OR(IFERROR(SEARCH("Cleric",$T260,1),0)&gt;0,IFERROR(SEARCH(DivineDomain&amp;",",$T260,1),0)&gt;0),1,0)*IF($C260=DD$2,1,0)=1,1+COUNTIF(DD$3:DD259,"&gt;0"),0)</f>
        <v>0</v>
      </c>
      <c r="DE260">
        <f>IF(IF(OR(IFERROR(SEARCH("Cleric",$T260,1),0)&gt;0,IFERROR(SEARCH(DivineDomain&amp;",",$T260,1),0)&gt;0),1,0)*IF($C260=DE$2,1,0)=1,1+COUNTIF(DE$3:DE259,"&gt;0"),0)</f>
        <v>0</v>
      </c>
      <c r="DF260">
        <f>IF(IF(OR(IFERROR(SEARCH("Cleric",$T260,1),0)&gt;0,IFERROR(SEARCH(DivineDomain&amp;",",$T260,1),0)&gt;0),1,0)*IF($C260=DF$2,1,0)=1,1+COUNTIF(DF$3:DF259,"&gt;0"),0)</f>
        <v>0</v>
      </c>
      <c r="DG260">
        <f>IF(IF(OR(IFERROR(SEARCH("Cleric",$T260,1),0)&gt;0,IFERROR(SEARCH(DivineDomain&amp;",",$T260,1),0)&gt;0),1,0)*IF($C260=DG$2,1,0)=1,1+COUNTIF(DG$3:DG259,"&gt;0"),0)</f>
        <v>0</v>
      </c>
      <c r="DH260">
        <f>IF(IF(OR(IFERROR(SEARCH("Cleric",$T260,1),0)&gt;0,IFERROR(SEARCH(DivineDomain&amp;",",$T260,1),0)&gt;0),1,0)*IF($C260=DH$2,1,0)=1,1+COUNTIF(DH$3:DH259,"&gt;0"),0)</f>
        <v>0</v>
      </c>
      <c r="DI260">
        <f>IF(IF(OR(IFERROR(SEARCH("Cleric",$T260,1),0)&gt;0,IFERROR(SEARCH(DivineDomain&amp;",",$T260,1),0)&gt;0),1,0)*IF($C260=DI$2,1,0)=1,1+COUNTIF(DI$3:DI259,"&gt;0"),0)</f>
        <v>0</v>
      </c>
      <c r="DJ260">
        <f>IF(IF(OR(IFERROR(SEARCH("Druid",$T260,1),0)&gt;0,IFERROR(SEARCH(DruidLand1,$T260,1),0)&gt;0,IFERROR(SEARCH(DruidLand2,$T260,1),0)&gt;0,IFERROR(SEARCH(DruidLand3,$T260,1),0)&gt;0,IFERROR(SEARCH(DruidLand4,$T260,1),0)&gt;0),1,0)*IF($C260=1,1,0)*IF($C260=DJ$2,1,0)=0,0,1+COUNTIF(DJ$3:DJ259,"&gt;0"))</f>
        <v>0</v>
      </c>
      <c r="DK260">
        <f>IF(IF(OR(IFERROR(SEARCH("Druid",$T260,1),0)&gt;0,IFERROR(SEARCH(DruidLand1,$T260,1),0)&gt;0,IFERROR(SEARCH(DruidLand2,$T260,1),0)&gt;0,IFERROR(SEARCH(DruidLand3,$T260,1),0)&gt;0,IFERROR(SEARCH(DruidLand4,$T260,1),0)&gt;0),1,0)*IF($C260=1,1,0)*IF($C260=DK$2,1,0)=0,0,1+COUNTIF(DK$3:DK259,"&gt;0"))</f>
        <v>0</v>
      </c>
      <c r="DL260">
        <f>IF(IF(OR(IFERROR(SEARCH("Druid",$T260,1),0)&gt;0,IFERROR(SEARCH(DruidLand1,$T260,1),0)&gt;0,IFERROR(SEARCH(DruidLand2,$T260,1),0)&gt;0,IFERROR(SEARCH(DruidLand3,$T260,1),0)&gt;0,IFERROR(SEARCH(DruidLand4,$T260,1),0)&gt;0),1,0)*IF($C260=1,1,0)*IF($C260=DL$2,1,0)=0,0,1+COUNTIF(DL$3:DL259,"&gt;0"))</f>
        <v>0</v>
      </c>
      <c r="DM260">
        <f>IF(IF(OR(IFERROR(SEARCH("Druid",$T260,1),0)&gt;0,IFERROR(SEARCH(DruidLand1,$T260,1),0)&gt;0,IFERROR(SEARCH(DruidLand2,$T260,1),0)&gt;0,IFERROR(SEARCH(DruidLand3,$T260,1),0)&gt;0,IFERROR(SEARCH(DruidLand4,$T260,1),0)&gt;0),1,0)*IF($C260=1,1,0)*IF($C260=DM$2,1,0)=0,0,1+COUNTIF(DM$3:DM259,"&gt;0"))</f>
        <v>0</v>
      </c>
      <c r="DN260">
        <f>IF(IF(OR(IFERROR(SEARCH("Druid",$T260,1),0)&gt;0,IFERROR(SEARCH(DruidLand1,$T260,1),0)&gt;0,IFERROR(SEARCH(DruidLand2,$T260,1),0)&gt;0,IFERROR(SEARCH(DruidLand3,$T260,1),0)&gt;0,IFERROR(SEARCH(DruidLand4,$T260,1),0)&gt;0),1,0)*IF($C260=1,1,0)*IF($C260=DN$2,1,0)=0,0,1+COUNTIF(DN$3:DN259,"&gt;0"))</f>
        <v>0</v>
      </c>
      <c r="DO260">
        <f>IF(IF(OR(IFERROR(SEARCH("Druid",$T260,1),0)&gt;0,IFERROR(SEARCH(DruidLand1,$T260,1),0)&gt;0,IFERROR(SEARCH(DruidLand2,$T260,1),0)&gt;0,IFERROR(SEARCH(DruidLand3,$T260,1),0)&gt;0,IFERROR(SEARCH(DruidLand4,$T260,1),0)&gt;0),1,0)*IF($C260=1,1,0)*IF($C260=DO$2,1,0)=0,0,1+COUNTIF(DO$3:DO259,"&gt;0"))</f>
        <v>0</v>
      </c>
      <c r="DP260">
        <f>IF(IF(OR(IFERROR(SEARCH("Druid",$T260,1),0)&gt;0,IFERROR(SEARCH(DruidLand1,$T260,1),0)&gt;0,IFERROR(SEARCH(DruidLand2,$T260,1),0)&gt;0,IFERROR(SEARCH(DruidLand3,$T260,1),0)&gt;0,IFERROR(SEARCH(DruidLand4,$T260,1),0)&gt;0),1,0)*IF($C260=1,1,0)*IF($C260=DP$2,1,0)=0,0,1+COUNTIF(DP$3:DP259,"&gt;0"))</f>
        <v>0</v>
      </c>
      <c r="DQ260">
        <f>IF(IF(OR(IFERROR(SEARCH("Druid",$T260,1),0)&gt;0,IFERROR(SEARCH(DruidLand1,$T260,1),0)&gt;0,IFERROR(SEARCH(DruidLand2,$T260,1),0)&gt;0,IFERROR(SEARCH(DruidLand3,$T260,1),0)&gt;0,IFERROR(SEARCH(DruidLand4,$T260,1),0)&gt;0),1,0)*IF($C260=1,1,0)*IF($C260=DQ$2,1,0)=0,0,1+COUNTIF(DQ$3:DQ259,"&gt;0"))</f>
        <v>0</v>
      </c>
      <c r="DR260">
        <f>IF(IF(OR(IFERROR(SEARCH("Druid",$T260,1),0)&gt;0,IFERROR(SEARCH(DruidLand1,$T260,1),0)&gt;0,IFERROR(SEARCH(DruidLand2,$T260,1),0)&gt;0,IFERROR(SEARCH(DruidLand3,$T260,1),0)&gt;0,IFERROR(SEARCH(DruidLand4,$T260,1),0)&gt;0),1,0)*IF($C260=1,1,0)*IF($C260=DR$2,1,0)=0,0,1+COUNTIF(DR$3:DR259,"&gt;0"))</f>
        <v>0</v>
      </c>
      <c r="DS260">
        <f>IF(IF(OR(IFERROR(SEARCH("Paladin",$T260,1),0)&gt;0,IFERROR(SEARCH(PaladinOath,$T260,1),0)&gt;0),1,0)*IF($C260=DS$2,1,0)=1,1+COUNTIF(DS$3:DS259,"&gt;0"),0)</f>
        <v>0</v>
      </c>
      <c r="DT260">
        <f>IF(IF(OR(IFERROR(SEARCH("Paladin",$T260,1),0)&gt;0,IFERROR(SEARCH(PaladinOath,$T260,1),0)&gt;0),1,0)*IF($C260=DT$2,1,0)=1,1+COUNTIF(DT$3:DT259,"&gt;0"),0)</f>
        <v>0</v>
      </c>
      <c r="DU260">
        <f>IF(IF(OR(IFERROR(SEARCH("Paladin",$T260,1),0)&gt;0,IFERROR(SEARCH(PaladinOath,$T260,1),0)&gt;0),1,0)*IF($C260=DU$2,1,0)=1,1+COUNTIF(DU$3:DU259,"&gt;0"),0)</f>
        <v>0</v>
      </c>
      <c r="DV260">
        <f>IF(IF(OR(IFERROR(SEARCH("Paladin",$T260,1),0)&gt;0,IFERROR(SEARCH(PaladinOath,$T260,1),0)&gt;0),1,0)*IF($C260=DV$2,1,0)=1,1+COUNTIF(DV$3:DV259,"&gt;0"),0)</f>
        <v>0</v>
      </c>
      <c r="DW260">
        <f>IF(IF(OR(IFERROR(SEARCH("Paladin",$T260,1),0)&gt;0,IFERROR(SEARCH(PaladinOath,$T260,1),0)&gt;0),1,0)*IF($C260=DW$2,1,0)=1,1+COUNTIF(DW$3:DW259,"&gt;0"),0)</f>
        <v>0</v>
      </c>
      <c r="DY260">
        <f t="shared" si="225"/>
        <v>1</v>
      </c>
      <c r="DZ260">
        <f>IF(DY260=0,0,1+MAX(DZ$3:$DZ259))</f>
        <v>258</v>
      </c>
      <c r="EB260">
        <f t="shared" ref="EB260:EB323" si="239">IF(IFERROR(SEARCH("Bard",$T260,1),0)&gt;0,1,0)*IF($C260="cantrip",1,0)</f>
        <v>0</v>
      </c>
      <c r="EC260">
        <f>IF(EB260=0,0,1+COUNTIF(EC$3:EC259,"&gt;0"))</f>
        <v>0</v>
      </c>
      <c r="ED260" t="str">
        <f t="shared" si="209"/>
        <v/>
      </c>
      <c r="EE260" t="str">
        <f t="shared" ref="EE260:EE323" si="240">IFERROR(INDEX($B$3:$B$407,MATCH(ED260,EC$3:EC$407,0),1),"")</f>
        <v/>
      </c>
      <c r="EG260">
        <f t="shared" ref="EG260:EG323" si="241">IF(IFERROR(SEARCH("Cleric",$T260,1),0)&gt;0,1,0)*IF($C260="cantrip",1,0)</f>
        <v>0</v>
      </c>
      <c r="EH260">
        <f>IF(EG260=0,0,1+COUNTIF(EH$3:EH259,"&gt;0"))</f>
        <v>0</v>
      </c>
      <c r="EI260" t="str">
        <f t="shared" si="210"/>
        <v/>
      </c>
      <c r="EJ260" t="str">
        <f t="shared" ref="EJ260:EJ323" si="242">IFERROR(INDEX($B$3:$B$407,MATCH(EI260,EH$3:EH$407,0),1),"")</f>
        <v/>
      </c>
      <c r="EL260">
        <f t="shared" ref="EL260:EL323" si="243">IF(IFERROR(SEARCH("Druid",$T260,1),0)&gt;0,1,0)*IF($C260="cantrip",1,0)</f>
        <v>0</v>
      </c>
      <c r="EM260">
        <f>IF(EL260=0,0,1+COUNTIF(EM$3:EM259,"&gt;0"))</f>
        <v>0</v>
      </c>
      <c r="EN260" t="str">
        <f t="shared" si="211"/>
        <v/>
      </c>
      <c r="EO260" t="str">
        <f t="shared" ref="EO260:EO323" si="244">IFERROR(INDEX($B$3:$B$407,MATCH(EN260,EM$3:EM$407,0),1),"")</f>
        <v/>
      </c>
      <c r="EQ260">
        <f t="shared" ref="EQ260:EQ323" si="245">IF(IFERROR(SEARCH("Eldritch Knight",$T260,1),0)&gt;0,1,0)*IF($C260="cantrip",1,0)</f>
        <v>0</v>
      </c>
      <c r="ER260">
        <f>IF(EQ260=0,0,1+COUNTIF(ER$3:ER259,"&gt;0"))</f>
        <v>0</v>
      </c>
      <c r="ES260" t="str">
        <f t="shared" si="212"/>
        <v/>
      </c>
      <c r="ET260" t="str">
        <f t="shared" ref="ET260:ET323" si="246">IFERROR(INDEX($B$3:$B$407,MATCH(ES260,ER$3:ER$407,0),1),"")</f>
        <v/>
      </c>
      <c r="EV260">
        <f t="shared" ref="EV260:EV323" si="247">IF(IFERROR(SEARCH("Arcane Trickster",$T260,1),0)&gt;0,1,0)*IF($C260="cantrip",1,0)</f>
        <v>0</v>
      </c>
      <c r="EW260">
        <f>IF(EV260=0,0,1+COUNTIF(EW$3:EW259,"&gt;0"))</f>
        <v>0</v>
      </c>
      <c r="EX260" t="str">
        <f t="shared" si="213"/>
        <v/>
      </c>
      <c r="EY260" t="str">
        <f t="shared" ref="EY260:EY323" si="248">IFERROR(INDEX($B$3:$B$407,MATCH(EX260,EW$3:EW$407,0),1),"")</f>
        <v/>
      </c>
      <c r="FA260">
        <f t="shared" ref="FA260:FA323" si="249">IF(IFERROR(SEARCH("Sorcerer",$T260,1),0)&gt;0,1,0)*IF($C260="cantrip",1,0)</f>
        <v>0</v>
      </c>
      <c r="FB260">
        <f>IF(FA260=0,0,1+COUNTIF(FB$3:FB259,"&gt;0"))</f>
        <v>0</v>
      </c>
      <c r="FC260" t="str">
        <f t="shared" si="214"/>
        <v/>
      </c>
      <c r="FD260" t="str">
        <f t="shared" ref="FD260:FD323" si="250">IFERROR(INDEX($B$3:$B$407,MATCH(FC260,FB$3:FB$407,0),1),"")</f>
        <v/>
      </c>
      <c r="FF260">
        <f t="shared" ref="FF260:FF323" si="251">IF(IFERROR(SEARCH("Warlock",$T260,1),0)&gt;0,1,0)*IF($C260="cantrip",1,0)</f>
        <v>0</v>
      </c>
      <c r="FG260">
        <f>IF(FF260=0,0,1+COUNTIF(FG$3:FG259,"&gt;0"))</f>
        <v>0</v>
      </c>
      <c r="FH260" t="str">
        <f t="shared" si="215"/>
        <v/>
      </c>
      <c r="FI260" t="str">
        <f t="shared" ref="FI260:FI323" si="252">IFERROR(INDEX($B$3:$B$407,MATCH(FH260,FG$3:FG$407,0),1),"")</f>
        <v/>
      </c>
      <c r="FK260">
        <f t="shared" ref="FK260:FK323" si="253">IF(IFERROR(SEARCH("Wizard",$T260,1),0)&gt;0,1,0)*IF($C260="cantrip",1,0)</f>
        <v>0</v>
      </c>
      <c r="FL260">
        <f>IF(FK260=0,0,1+COUNTIF(FL$3:FL259,"&gt;0"))</f>
        <v>0</v>
      </c>
      <c r="FM260" t="str">
        <f t="shared" si="216"/>
        <v/>
      </c>
      <c r="FN260" t="str">
        <f t="shared" ref="FN260:FN323" si="254">IFERROR(INDEX($B$3:$B$407,MATCH(FM260,FL$3:FL$407,0),1),"")</f>
        <v/>
      </c>
      <c r="FP260">
        <f t="shared" ref="FP260:FP323" si="255">IF(IFERROR(SEARCH("Bard",$T260,1),0)&gt;0,1,0)*IF($C260="cantrip",1,0)</f>
        <v>0</v>
      </c>
      <c r="FQ260">
        <f>IF(FP260=0,0,1+COUNTIF(FQ$3:FQ259,"&gt;0"))</f>
        <v>0</v>
      </c>
      <c r="FR260" t="str">
        <f t="shared" si="217"/>
        <v/>
      </c>
      <c r="FS260" t="str">
        <f t="shared" ref="FS260:FS323" si="256">IFERROR(INDEX($B$3:$B$407,MATCH(FR260,FQ$3:FQ$407,0),1),"")</f>
        <v/>
      </c>
    </row>
    <row r="261" spans="1:175" x14ac:dyDescent="0.25">
      <c r="A261" s="347">
        <f t="shared" si="219"/>
        <v>259</v>
      </c>
      <c r="B261" s="348" t="s">
        <v>2643</v>
      </c>
      <c r="C261" s="348">
        <v>8</v>
      </c>
      <c r="D261" s="347">
        <v>8</v>
      </c>
      <c r="E261" s="627" t="s">
        <v>6952</v>
      </c>
      <c r="F261" s="346"/>
      <c r="G261" s="347" t="str">
        <f>""</f>
        <v/>
      </c>
      <c r="H261" s="347" t="s">
        <v>5912</v>
      </c>
      <c r="I261" s="347" t="s">
        <v>424</v>
      </c>
      <c r="J261" s="347" t="str">
        <f t="shared" si="226"/>
        <v/>
      </c>
      <c r="K261" s="347" t="s">
        <v>5278</v>
      </c>
      <c r="L261" s="611" t="str">
        <f t="shared" si="227"/>
        <v>V</v>
      </c>
      <c r="M261" s="347" t="s">
        <v>2373</v>
      </c>
      <c r="N261" s="347" t="s">
        <v>3034</v>
      </c>
      <c r="O261" s="347" t="s">
        <v>3034</v>
      </c>
      <c r="P261" s="346" t="str">
        <f>""</f>
        <v/>
      </c>
      <c r="Q261" s="347" t="s">
        <v>5272</v>
      </c>
      <c r="S261" s="346" t="s">
        <v>5792</v>
      </c>
      <c r="T261" s="346" t="str">
        <f t="shared" si="228"/>
        <v xml:space="preserve">Bard, Sorcerer, Warlock, Arcane Trickster, Wizard, </v>
      </c>
      <c r="U261" s="347" t="str">
        <f>$B261</f>
        <v>Power Word Stun</v>
      </c>
      <c r="X261" s="347" t="str">
        <f>$B261</f>
        <v>Power Word Stun</v>
      </c>
      <c r="Y261" s="347" t="str">
        <f>$B261</f>
        <v>Power Word Stun</v>
      </c>
      <c r="AC261" s="539" t="str">
        <f>B261</f>
        <v>Power Word Stun</v>
      </c>
      <c r="AD261" s="347" t="str">
        <f>$B261</f>
        <v>Power Word Stun</v>
      </c>
      <c r="AE261" t="str">
        <f>IF(IFERROR(MATCH($B261,temp!A$4:A$13,0),0)&gt;0,T08_Spells!AE$2,"")</f>
        <v/>
      </c>
      <c r="AF261" t="str">
        <f>IF(IFERROR(MATCH($B261,temp!B$4:B$13,0),0)&gt;0,T08_Spells!AF$2,"")</f>
        <v/>
      </c>
      <c r="AG261" t="str">
        <f>IF(IFERROR(MATCH($B261,temp!C$4:C$13,0),0)&gt;0,T08_Spells!AG$2,"")</f>
        <v/>
      </c>
      <c r="AH261" t="str">
        <f>IF(IFERROR(MATCH($B261,temp!D$4:D$13,0),0)&gt;0,T08_Spells!AH$2,"")</f>
        <v/>
      </c>
      <c r="AI261" t="str">
        <f>IF(IFERROR(MATCH($B261,temp!E$4:E$13,0),0)&gt;0,T08_Spells!AI$2,"")</f>
        <v/>
      </c>
      <c r="AJ261" t="str">
        <f>IF(IFERROR(MATCH($B261,temp!F$4:F$13,0),0)&gt;0,T08_Spells!AJ$2,"")</f>
        <v/>
      </c>
      <c r="AK261" t="str">
        <f>IF(IFERROR(MATCH($B261,temp!G$4:G$13,0),0)&gt;0,T08_Spells!AK$2,"")</f>
        <v/>
      </c>
      <c r="AL261" t="str">
        <f>IF(IFERROR(MATCH($B261,temp!H$4:H$13,0),0)&gt;0,T08_Spells!AL$2,"")</f>
        <v/>
      </c>
      <c r="AM261" t="str">
        <f>IF(IFERROR(MATCH($B261,temp!I$4:I$13,0),0)&gt;0,T08_Spells!AM$2,"")</f>
        <v/>
      </c>
      <c r="AN261" t="str">
        <f>IF(IFERROR(MATCH($B261,temp!J$4:J$13,0),0)&gt;0,T08_Spells!AN$2,"")</f>
        <v/>
      </c>
      <c r="AO261" t="str">
        <f>IF(IFERROR(MATCH($B261,temp!K$4:K$13,0),0)&gt;0,T08_Spells!AO$2,"")</f>
        <v/>
      </c>
      <c r="AP261" t="str">
        <f>IF(IFERROR(MATCH($B261,temp!L$4:L$13,0),0)&gt;0,T08_Spells!AP$2,"")</f>
        <v/>
      </c>
      <c r="AQ261" t="str">
        <f>IF(IFERROR(MATCH($B261,temp!M$4:M$13,0),0)&gt;0,T08_Spells!AQ$2,"")</f>
        <v/>
      </c>
      <c r="AR261" t="str">
        <f>IF(IFERROR(MATCH($B261,temp!N$4:N$13,0),0)&gt;0,T08_Spells!AR$2,"")</f>
        <v/>
      </c>
      <c r="AS261" t="str">
        <f>IF(IFERROR(MATCH($B261,temp!O$4:O$13,0),0)&gt;0,T08_Spells!AS$2,"")</f>
        <v/>
      </c>
      <c r="AT261" t="str">
        <f>IF(IFERROR(MATCH($B261,temp!P$4:P$13,0),0)&gt;0,T08_Spells!AT$2,"")</f>
        <v/>
      </c>
      <c r="AU261" t="str">
        <f>IF(IFERROR(MATCH($B261,temp!Q$4:Q$13,0),0)&gt;0,T08_Spells!AU$2,"")</f>
        <v/>
      </c>
      <c r="AV261" t="str">
        <f>IF(IFERROR(MATCH($B261,temp!R$4:R$13,0),0)&gt;0,T08_Spells!AV$2,"")</f>
        <v/>
      </c>
      <c r="AW261" t="str">
        <f>IF(IFERROR(MATCH($B261,temp!S$4:S$13,0),0)&gt;0,T08_Spells!AW$2,"")</f>
        <v/>
      </c>
      <c r="AX261" t="str">
        <f>IF(IFERROR(MATCH($B261,temp!T$4:T$13,0),0)&gt;0,T08_Spells!AX$2,"")</f>
        <v/>
      </c>
      <c r="AY261" t="str">
        <f>IF(IFERROR(MATCH($B261,temp!U$4:U$13,0),0)&gt;0,T08_Spells!AY$2,"")</f>
        <v/>
      </c>
      <c r="AZ261" t="str">
        <f>IF(IFERROR(MATCH($B261,temp!V$4:V$13,0),0)&gt;0,T08_Spells!AZ$2,"")</f>
        <v/>
      </c>
      <c r="BA261" t="str">
        <f>IF(IFERROR(MATCH($B261,temp!W$4:W$13,0),0)&gt;0,T08_Spells!BA$2,"")</f>
        <v/>
      </c>
      <c r="BC261">
        <f>IF(IFERROR(SEARCH("Ranger",$T261,1),0)&gt;0,1,0)*IF(RangerMaxSpellLevel&gt;=$C261,1,0)*IF(IFERROR(MATCH(B261,Character_Creation!$X$79:$X$382,0),0)&gt;0,0,1)</f>
        <v>0</v>
      </c>
      <c r="BD261">
        <f>IF(BC261=0,0,1+COUNTIF(BD$3:BD260,"&gt;0"))</f>
        <v>0</v>
      </c>
      <c r="BE261" t="str">
        <f t="shared" ref="BE261:BE324" si="257">IFERROR(IF(BE260&lt;MAX(BD260:BD664),BE260+1,""),"")</f>
        <v/>
      </c>
      <c r="BF261" t="str">
        <f t="shared" si="229"/>
        <v/>
      </c>
      <c r="BH261">
        <f>IF(IFERROR(SEARCH("Sorcerer",$T261,1),0)&gt;0,1,0)*IF(SorcererMaxSpellLevel&gt;=$C261,1,0)*IF(IFERROR(MATCH(B261,Character_Creation!$J$380:$J$394,0),0)&gt;0,0,1)</f>
        <v>0</v>
      </c>
      <c r="BI261">
        <f>IF(BH261=0,0,1+COUNTIF(BI$3:BI260,"&gt;0"))</f>
        <v>0</v>
      </c>
      <c r="BJ261" t="str">
        <f t="shared" ref="BJ261:BJ324" si="258">IFERROR(IF(BJ260&lt;MAX(BI260:BI664),BJ260+1,""),"")</f>
        <v/>
      </c>
      <c r="BK261" t="str">
        <f t="shared" si="230"/>
        <v/>
      </c>
      <c r="BM261">
        <f>IF(OR(IFERROR(SEARCH("Warlock",$T261,1),0)&gt;0,IFERROR(SEARCH(WarlockPatron,$T261,1),0)&gt;0),1,0)*IF(WarlockMaxSpellLevel&gt;=$C261,1,0)*IF(IFERROR(MATCH(B261,Character_Creation!$J$361:$J$375,0),0)&gt;0,0,1)</f>
        <v>0</v>
      </c>
      <c r="BN261">
        <f>IF(BM261=0,0,1+COUNTIF(BN$3:BN260,"&gt;0"))</f>
        <v>0</v>
      </c>
      <c r="BO261" t="str">
        <f t="shared" ref="BO261:BO324" si="259">IFERROR(IF(BO260&lt;MAX(BN260:BN664),BO260+1,""),"")</f>
        <v/>
      </c>
      <c r="BP261" t="str">
        <f t="shared" si="231"/>
        <v/>
      </c>
      <c r="BR261">
        <f>IF(IFERROR(SEARCH("Eldritch Knight",$T261,1),0)&gt;0,1,0)*IF(EldritchKnightMaxSpellLevel&gt;=$C261,1,0)*IF(IFERROR(MATCH($B261,Character_Creation!$J$350:$J$356,0),0)&gt;0,0,1)*IF(Character_Creation!$M$338&gt;0,1,0)</f>
        <v>0</v>
      </c>
      <c r="BS261">
        <f>IF(BR261=0,0,1+COUNTIF(BS$3:BS260,"&gt;0"))</f>
        <v>0</v>
      </c>
      <c r="BT261" t="str">
        <f t="shared" ref="BT261:BT324" si="260">IFERROR(IF(BT260&lt;MAX(BS260:BS664),BT260+1,""),"")</f>
        <v/>
      </c>
      <c r="BU261" t="str">
        <f t="shared" si="232"/>
        <v/>
      </c>
      <c r="BW261">
        <f>IF(IFERROR(SEARCH("Arcane Trickster",$T261,1),0)&gt;0,1,0)*IF(ArcaneTricksterMaxSpellLevel&gt;=$C261,1,0)*IF(IFERROR(MATCH($B261,Character_Creation!$J$350:$J$356,0),0)&gt;0,0,1)*IF(Character_Creation!$T$338&gt;0,1,0)</f>
        <v>0</v>
      </c>
      <c r="BX261">
        <f>IF(BW261=0,0,1+COUNTIF(BX$3:BX260,"&gt;0"))</f>
        <v>0</v>
      </c>
      <c r="BY261" t="str">
        <f t="shared" ref="BY261:BY324" si="261">IFERROR(IF(BY260&lt;MAX(BX260:BX664),BY260+1,""),"")</f>
        <v/>
      </c>
      <c r="BZ261" t="str">
        <f t="shared" si="233"/>
        <v/>
      </c>
      <c r="CB261">
        <f>IF(IFERROR(SEARCH("Wizard",$T261,1),0)&gt;0,1,0)*IF(C261&lt;=ArcaneTricksterMaxSpellLevel,1,0)*IF(IFERROR(MATCH($B261,Character_Creation!$J$350:$J$356,0),0)&gt;0,0,1)*IF(Character_Creation!$T$350&gt;0,1,0)</f>
        <v>0</v>
      </c>
      <c r="CC261">
        <f>IF(CB261=0,0,1+COUNTIF(CC$3:CC260,"&gt;0"))</f>
        <v>0</v>
      </c>
      <c r="CD261" t="str">
        <f t="shared" ref="CD261:CD324" si="262">IFERROR(IF(CD260&lt;MAX(CC260:CC664),CD260+1,""),"")</f>
        <v/>
      </c>
      <c r="CE261" t="str">
        <f t="shared" si="234"/>
        <v/>
      </c>
      <c r="CG261">
        <f>IF(IFERROR(SEARCH("Wizard",$T261,1),0)&gt;0,1,0)*IF($C261&lt;=EldritchKnightMaxSpellLevel,1,0)*IF(IFERROR(MATCH($B261,Character_Creation!$J$350:$J$356,0),0)&gt;0,0,1)*IF(Character_Creation!$M$350&gt;0,1,0)</f>
        <v>0</v>
      </c>
      <c r="CH261">
        <f>IF(CG261=0,0,1+COUNTIF(CH$3:CH260,"&gt;0"))</f>
        <v>0</v>
      </c>
      <c r="CI261" t="str">
        <f t="shared" ref="CI261:CI324" si="263">IFERROR(IF(CI260&lt;MAX(CH260:CH664),CI260+1,""),"")</f>
        <v/>
      </c>
      <c r="CJ261" t="str">
        <f t="shared" si="235"/>
        <v/>
      </c>
      <c r="CL261">
        <f>IF(IFERROR(SEARCH("Bard",$T261,1),0)&gt;0,1,0)*IF(BardMaxSpellLevel&gt;=$C261,1,0)*IF(IFERROR(MATCH(B261,Character_Creation!$C$341:$F$362,0),0)&gt;0,0,1)*IF(IFERROR(MATCH($B261,Character_Creation!$C$341:$C$362,0),0)&gt;0,0,1)</f>
        <v>0</v>
      </c>
      <c r="CM261">
        <f>IF(CL261=0,0,1+COUNTIF(CM$3:CM260,"&gt;0"))</f>
        <v>0</v>
      </c>
      <c r="CN261" t="str">
        <f t="shared" ref="CN261:CN324" si="264">IFERROR(IF(CN260&lt;MAX(CM260:CM664),CN260+1,""),"")</f>
        <v/>
      </c>
      <c r="CO261" t="str">
        <f t="shared" si="236"/>
        <v/>
      </c>
      <c r="CQ261">
        <f>IF(IFERROR(SEARCH("Wizard",$T261,1),0)&gt;0,1,0)*IF(WizardMaxSpellLevel&gt;=$C261,1,0)*IF(IFERROR(MATCH(B261,Character_Creation!$X$341:$X$400,0),0)&gt;0,0,1)*IF(SelectedWizardSpellLevel=$C261,1,0)</f>
        <v>0</v>
      </c>
      <c r="CR261">
        <f>IF(CQ261=0,0,1+COUNTIF(CR$3:CR260,"&gt;0"))</f>
        <v>0</v>
      </c>
      <c r="CS261" t="str">
        <f t="shared" ref="CS261:CS324" si="265">IFERROR(IF(CS260&lt;MAX(CR260:CR664),CS260+1,""),"")</f>
        <v/>
      </c>
      <c r="CT261" t="str">
        <f t="shared" si="237"/>
        <v/>
      </c>
      <c r="CV261">
        <f>IF(IFERROR(MATCH($B261,Character_Creation!$C$341:$C$362,0),0)&gt;0,0,1)*IF(OR(C261="Cantrip",C261&lt;=BardMaxSpellLevel),1,0)*IF(IFERROR(MATCH($B261,Character_Creation!$C$367:$C$374,0),0)&gt;0,0,1)</f>
        <v>0</v>
      </c>
      <c r="CW261">
        <f>IF(CV261=0,0,1+COUNTIF(CW$3:CW260,"&gt;0"))</f>
        <v>0</v>
      </c>
      <c r="CX261" t="str">
        <f t="shared" ref="CX261:CX324" si="266">IFERROR(IF(CX260&lt;MAX(CW260:CW664),CX260+1,""),"")</f>
        <v/>
      </c>
      <c r="CY261" t="str">
        <f t="shared" si="238"/>
        <v/>
      </c>
      <c r="DA261">
        <f>IF(IF(OR(IFERROR(SEARCH("Cleric",$T261,1),0)&gt;0,IFERROR(SEARCH(DivineDomain&amp;",",$T261,1),0)&gt;0),1,0)*IF($C261=DA$2,1,0)=1,1+COUNTIF(DA$3:DA260,"&gt;0"),0)</f>
        <v>0</v>
      </c>
      <c r="DB261">
        <f>IF(IF(OR(IFERROR(SEARCH("Cleric",$T261,1),0)&gt;0,IFERROR(SEARCH(DivineDomain&amp;",",$T261,1),0)&gt;0),1,0)*IF($C261=DB$2,1,0)=1,1+COUNTIF(DB$3:DB260,"&gt;0"),0)</f>
        <v>0</v>
      </c>
      <c r="DC261">
        <f>IF(IF(OR(IFERROR(SEARCH("Cleric",$T261,1),0)&gt;0,IFERROR(SEARCH(DivineDomain&amp;",",$T261,1),0)&gt;0),1,0)*IF($C261=DC$2,1,0)=1,1+COUNTIF(DC$3:DC260,"&gt;0"),0)</f>
        <v>0</v>
      </c>
      <c r="DD261">
        <f>IF(IF(OR(IFERROR(SEARCH("Cleric",$T261,1),0)&gt;0,IFERROR(SEARCH(DivineDomain&amp;",",$T261,1),0)&gt;0),1,0)*IF($C261=DD$2,1,0)=1,1+COUNTIF(DD$3:DD260,"&gt;0"),0)</f>
        <v>0</v>
      </c>
      <c r="DE261">
        <f>IF(IF(OR(IFERROR(SEARCH("Cleric",$T261,1),0)&gt;0,IFERROR(SEARCH(DivineDomain&amp;",",$T261,1),0)&gt;0),1,0)*IF($C261=DE$2,1,0)=1,1+COUNTIF(DE$3:DE260,"&gt;0"),0)</f>
        <v>0</v>
      </c>
      <c r="DF261">
        <f>IF(IF(OR(IFERROR(SEARCH("Cleric",$T261,1),0)&gt;0,IFERROR(SEARCH(DivineDomain&amp;",",$T261,1),0)&gt;0),1,0)*IF($C261=DF$2,1,0)=1,1+COUNTIF(DF$3:DF260,"&gt;0"),0)</f>
        <v>0</v>
      </c>
      <c r="DG261">
        <f>IF(IF(OR(IFERROR(SEARCH("Cleric",$T261,1),0)&gt;0,IFERROR(SEARCH(DivineDomain&amp;",",$T261,1),0)&gt;0),1,0)*IF($C261=DG$2,1,0)=1,1+COUNTIF(DG$3:DG260,"&gt;0"),0)</f>
        <v>0</v>
      </c>
      <c r="DH261">
        <f>IF(IF(OR(IFERROR(SEARCH("Cleric",$T261,1),0)&gt;0,IFERROR(SEARCH(DivineDomain&amp;",",$T261,1),0)&gt;0),1,0)*IF($C261=DH$2,1,0)=1,1+COUNTIF(DH$3:DH260,"&gt;0"),0)</f>
        <v>0</v>
      </c>
      <c r="DI261">
        <f>IF(IF(OR(IFERROR(SEARCH("Cleric",$T261,1),0)&gt;0,IFERROR(SEARCH(DivineDomain&amp;",",$T261,1),0)&gt;0),1,0)*IF($C261=DI$2,1,0)=1,1+COUNTIF(DI$3:DI260,"&gt;0"),0)</f>
        <v>0</v>
      </c>
      <c r="DJ261">
        <f>IF(IF(OR(IFERROR(SEARCH("Druid",$T261,1),0)&gt;0,IFERROR(SEARCH(DruidLand1,$T261,1),0)&gt;0,IFERROR(SEARCH(DruidLand2,$T261,1),0)&gt;0,IFERROR(SEARCH(DruidLand3,$T261,1),0)&gt;0,IFERROR(SEARCH(DruidLand4,$T261,1),0)&gt;0),1,0)*IF($C261=1,1,0)*IF($C261=DJ$2,1,0)=0,0,1+COUNTIF(DJ$3:DJ260,"&gt;0"))</f>
        <v>0</v>
      </c>
      <c r="DK261">
        <f>IF(IF(OR(IFERROR(SEARCH("Druid",$T261,1),0)&gt;0,IFERROR(SEARCH(DruidLand1,$T261,1),0)&gt;0,IFERROR(SEARCH(DruidLand2,$T261,1),0)&gt;0,IFERROR(SEARCH(DruidLand3,$T261,1),0)&gt;0,IFERROR(SEARCH(DruidLand4,$T261,1),0)&gt;0),1,0)*IF($C261=1,1,0)*IF($C261=DK$2,1,0)=0,0,1+COUNTIF(DK$3:DK260,"&gt;0"))</f>
        <v>0</v>
      </c>
      <c r="DL261">
        <f>IF(IF(OR(IFERROR(SEARCH("Druid",$T261,1),0)&gt;0,IFERROR(SEARCH(DruidLand1,$T261,1),0)&gt;0,IFERROR(SEARCH(DruidLand2,$T261,1),0)&gt;0,IFERROR(SEARCH(DruidLand3,$T261,1),0)&gt;0,IFERROR(SEARCH(DruidLand4,$T261,1),0)&gt;0),1,0)*IF($C261=1,1,0)*IF($C261=DL$2,1,0)=0,0,1+COUNTIF(DL$3:DL260,"&gt;0"))</f>
        <v>0</v>
      </c>
      <c r="DM261">
        <f>IF(IF(OR(IFERROR(SEARCH("Druid",$T261,1),0)&gt;0,IFERROR(SEARCH(DruidLand1,$T261,1),0)&gt;0,IFERROR(SEARCH(DruidLand2,$T261,1),0)&gt;0,IFERROR(SEARCH(DruidLand3,$T261,1),0)&gt;0,IFERROR(SEARCH(DruidLand4,$T261,1),0)&gt;0),1,0)*IF($C261=1,1,0)*IF($C261=DM$2,1,0)=0,0,1+COUNTIF(DM$3:DM260,"&gt;0"))</f>
        <v>0</v>
      </c>
      <c r="DN261">
        <f>IF(IF(OR(IFERROR(SEARCH("Druid",$T261,1),0)&gt;0,IFERROR(SEARCH(DruidLand1,$T261,1),0)&gt;0,IFERROR(SEARCH(DruidLand2,$T261,1),0)&gt;0,IFERROR(SEARCH(DruidLand3,$T261,1),0)&gt;0,IFERROR(SEARCH(DruidLand4,$T261,1),0)&gt;0),1,0)*IF($C261=1,1,0)*IF($C261=DN$2,1,0)=0,0,1+COUNTIF(DN$3:DN260,"&gt;0"))</f>
        <v>0</v>
      </c>
      <c r="DO261">
        <f>IF(IF(OR(IFERROR(SEARCH("Druid",$T261,1),0)&gt;0,IFERROR(SEARCH(DruidLand1,$T261,1),0)&gt;0,IFERROR(SEARCH(DruidLand2,$T261,1),0)&gt;0,IFERROR(SEARCH(DruidLand3,$T261,1),0)&gt;0,IFERROR(SEARCH(DruidLand4,$T261,1),0)&gt;0),1,0)*IF($C261=1,1,0)*IF($C261=DO$2,1,0)=0,0,1+COUNTIF(DO$3:DO260,"&gt;0"))</f>
        <v>0</v>
      </c>
      <c r="DP261">
        <f>IF(IF(OR(IFERROR(SEARCH("Druid",$T261,1),0)&gt;0,IFERROR(SEARCH(DruidLand1,$T261,1),0)&gt;0,IFERROR(SEARCH(DruidLand2,$T261,1),0)&gt;0,IFERROR(SEARCH(DruidLand3,$T261,1),0)&gt;0,IFERROR(SEARCH(DruidLand4,$T261,1),0)&gt;0),1,0)*IF($C261=1,1,0)*IF($C261=DP$2,1,0)=0,0,1+COUNTIF(DP$3:DP260,"&gt;0"))</f>
        <v>0</v>
      </c>
      <c r="DQ261">
        <f>IF(IF(OR(IFERROR(SEARCH("Druid",$T261,1),0)&gt;0,IFERROR(SEARCH(DruidLand1,$T261,1),0)&gt;0,IFERROR(SEARCH(DruidLand2,$T261,1),0)&gt;0,IFERROR(SEARCH(DruidLand3,$T261,1),0)&gt;0,IFERROR(SEARCH(DruidLand4,$T261,1),0)&gt;0),1,0)*IF($C261=1,1,0)*IF($C261=DQ$2,1,0)=0,0,1+COUNTIF(DQ$3:DQ260,"&gt;0"))</f>
        <v>0</v>
      </c>
      <c r="DR261">
        <f>IF(IF(OR(IFERROR(SEARCH("Druid",$T261,1),0)&gt;0,IFERROR(SEARCH(DruidLand1,$T261,1),0)&gt;0,IFERROR(SEARCH(DruidLand2,$T261,1),0)&gt;0,IFERROR(SEARCH(DruidLand3,$T261,1),0)&gt;0,IFERROR(SEARCH(DruidLand4,$T261,1),0)&gt;0),1,0)*IF($C261=1,1,0)*IF($C261=DR$2,1,0)=0,0,1+COUNTIF(DR$3:DR260,"&gt;0"))</f>
        <v>0</v>
      </c>
      <c r="DS261">
        <f>IF(IF(OR(IFERROR(SEARCH("Paladin",$T261,1),0)&gt;0,IFERROR(SEARCH(PaladinOath,$T261,1),0)&gt;0),1,0)*IF($C261=DS$2,1,0)=1,1+COUNTIF(DS$3:DS260,"&gt;0"),0)</f>
        <v>0</v>
      </c>
      <c r="DT261">
        <f>IF(IF(OR(IFERROR(SEARCH("Paladin",$T261,1),0)&gt;0,IFERROR(SEARCH(PaladinOath,$T261,1),0)&gt;0),1,0)*IF($C261=DT$2,1,0)=1,1+COUNTIF(DT$3:DT260,"&gt;0"),0)</f>
        <v>0</v>
      </c>
      <c r="DU261">
        <f>IF(IF(OR(IFERROR(SEARCH("Paladin",$T261,1),0)&gt;0,IFERROR(SEARCH(PaladinOath,$T261,1),0)&gt;0),1,0)*IF($C261=DU$2,1,0)=1,1+COUNTIF(DU$3:DU260,"&gt;0"),0)</f>
        <v>0</v>
      </c>
      <c r="DV261">
        <f>IF(IF(OR(IFERROR(SEARCH("Paladin",$T261,1),0)&gt;0,IFERROR(SEARCH(PaladinOath,$T261,1),0)&gt;0),1,0)*IF($C261=DV$2,1,0)=1,1+COUNTIF(DV$3:DV260,"&gt;0"),0)</f>
        <v>0</v>
      </c>
      <c r="DW261">
        <f>IF(IF(OR(IFERROR(SEARCH("Paladin",$T261,1),0)&gt;0,IFERROR(SEARCH(PaladinOath,$T261,1),0)&gt;0),1,0)*IF($C261=DW$2,1,0)=1,1+COUNTIF(DW$3:DW260,"&gt;0"),0)</f>
        <v>0</v>
      </c>
      <c r="DY261">
        <f t="shared" si="225"/>
        <v>1</v>
      </c>
      <c r="DZ261">
        <f>IF(DY261=0,0,1+MAX(DZ$3:$DZ260))</f>
        <v>259</v>
      </c>
      <c r="EB261">
        <f t="shared" si="239"/>
        <v>0</v>
      </c>
      <c r="EC261">
        <f>IF(EB261=0,0,1+COUNTIF(EC$3:EC260,"&gt;0"))</f>
        <v>0</v>
      </c>
      <c r="ED261" t="str">
        <f t="shared" ref="ED261:ED324" si="267">IFERROR(IF(ED260&lt;MAX(EC260:EC664),ED260+1,""),"")</f>
        <v/>
      </c>
      <c r="EE261" t="str">
        <f t="shared" si="240"/>
        <v/>
      </c>
      <c r="EG261">
        <f t="shared" si="241"/>
        <v>0</v>
      </c>
      <c r="EH261">
        <f>IF(EG261=0,0,1+COUNTIF(EH$3:EH260,"&gt;0"))</f>
        <v>0</v>
      </c>
      <c r="EI261" t="str">
        <f t="shared" ref="EI261:EI324" si="268">IFERROR(IF(EI260&lt;MAX(EH260:EH664),EI260+1,""),"")</f>
        <v/>
      </c>
      <c r="EJ261" t="str">
        <f t="shared" si="242"/>
        <v/>
      </c>
      <c r="EL261">
        <f t="shared" si="243"/>
        <v>0</v>
      </c>
      <c r="EM261">
        <f>IF(EL261=0,0,1+COUNTIF(EM$3:EM260,"&gt;0"))</f>
        <v>0</v>
      </c>
      <c r="EN261" t="str">
        <f t="shared" ref="EN261:EN324" si="269">IFERROR(IF(EN260&lt;MAX(EM260:EM664),EN260+1,""),"")</f>
        <v/>
      </c>
      <c r="EO261" t="str">
        <f t="shared" si="244"/>
        <v/>
      </c>
      <c r="EQ261">
        <f t="shared" si="245"/>
        <v>0</v>
      </c>
      <c r="ER261">
        <f>IF(EQ261=0,0,1+COUNTIF(ER$3:ER260,"&gt;0"))</f>
        <v>0</v>
      </c>
      <c r="ES261" t="str">
        <f t="shared" ref="ES261:ES324" si="270">IFERROR(IF(ES260&lt;MAX(ER260:ER664),ES260+1,""),"")</f>
        <v/>
      </c>
      <c r="ET261" t="str">
        <f t="shared" si="246"/>
        <v/>
      </c>
      <c r="EV261">
        <f t="shared" si="247"/>
        <v>0</v>
      </c>
      <c r="EW261">
        <f>IF(EV261=0,0,1+COUNTIF(EW$3:EW260,"&gt;0"))</f>
        <v>0</v>
      </c>
      <c r="EX261" t="str">
        <f t="shared" ref="EX261:EX324" si="271">IFERROR(IF(EX260&lt;MAX(EW260:EW664),EX260+1,""),"")</f>
        <v/>
      </c>
      <c r="EY261" t="str">
        <f t="shared" si="248"/>
        <v/>
      </c>
      <c r="FA261">
        <f t="shared" si="249"/>
        <v>0</v>
      </c>
      <c r="FB261">
        <f>IF(FA261=0,0,1+COUNTIF(FB$3:FB260,"&gt;0"))</f>
        <v>0</v>
      </c>
      <c r="FC261" t="str">
        <f t="shared" ref="FC261:FC324" si="272">IFERROR(IF(FC260&lt;MAX(FB260:FB664),FC260+1,""),"")</f>
        <v/>
      </c>
      <c r="FD261" t="str">
        <f t="shared" si="250"/>
        <v/>
      </c>
      <c r="FF261">
        <f t="shared" si="251"/>
        <v>0</v>
      </c>
      <c r="FG261">
        <f>IF(FF261=0,0,1+COUNTIF(FG$3:FG260,"&gt;0"))</f>
        <v>0</v>
      </c>
      <c r="FH261" t="str">
        <f t="shared" ref="FH261:FH324" si="273">IFERROR(IF(FH260&lt;MAX(FG260:FG664),FH260+1,""),"")</f>
        <v/>
      </c>
      <c r="FI261" t="str">
        <f t="shared" si="252"/>
        <v/>
      </c>
      <c r="FK261">
        <f t="shared" si="253"/>
        <v>0</v>
      </c>
      <c r="FL261">
        <f>IF(FK261=0,0,1+COUNTIF(FL$3:FL260,"&gt;0"))</f>
        <v>0</v>
      </c>
      <c r="FM261" t="str">
        <f t="shared" ref="FM261:FM324" si="274">IFERROR(IF(FM260&lt;MAX(FL260:FL664),FM260+1,""),"")</f>
        <v/>
      </c>
      <c r="FN261" t="str">
        <f t="shared" si="254"/>
        <v/>
      </c>
      <c r="FP261">
        <f t="shared" si="255"/>
        <v>0</v>
      </c>
      <c r="FQ261">
        <f>IF(FP261=0,0,1+COUNTIF(FQ$3:FQ260,"&gt;0"))</f>
        <v>0</v>
      </c>
      <c r="FR261" t="str">
        <f t="shared" ref="FR261:FR324" si="275">IFERROR(IF(FR260&lt;MAX(FQ260:FQ664),FR260+1,""),"")</f>
        <v/>
      </c>
      <c r="FS261" t="str">
        <f t="shared" si="256"/>
        <v/>
      </c>
    </row>
    <row r="262" spans="1:175" x14ac:dyDescent="0.25">
      <c r="A262" s="347">
        <f t="shared" si="219"/>
        <v>260</v>
      </c>
      <c r="B262" s="348" t="s">
        <v>2644</v>
      </c>
      <c r="C262" s="348">
        <v>2</v>
      </c>
      <c r="D262" s="347">
        <v>2</v>
      </c>
      <c r="E262" s="627" t="s">
        <v>6952</v>
      </c>
      <c r="F262" s="346"/>
      <c r="G262" s="347" t="str">
        <f>""</f>
        <v/>
      </c>
      <c r="H262" s="347" t="s">
        <v>5319</v>
      </c>
      <c r="I262" s="347" t="s">
        <v>5060</v>
      </c>
      <c r="J262" s="347" t="str">
        <f t="shared" si="226"/>
        <v/>
      </c>
      <c r="K262" s="347" t="s">
        <v>5278</v>
      </c>
      <c r="L262" s="611" t="str">
        <f t="shared" si="227"/>
        <v>V</v>
      </c>
      <c r="M262" s="347" t="s">
        <v>2373</v>
      </c>
      <c r="N262" s="347" t="s">
        <v>3034</v>
      </c>
      <c r="O262" s="347" t="s">
        <v>3034</v>
      </c>
      <c r="P262" s="346" t="str">
        <f>""</f>
        <v/>
      </c>
      <c r="Q262" s="347" t="s">
        <v>5273</v>
      </c>
      <c r="S262" s="346" t="s">
        <v>5793</v>
      </c>
      <c r="T262" s="346" t="str">
        <f t="shared" si="228"/>
        <v xml:space="preserve">Cleric, </v>
      </c>
      <c r="Z262" s="347" t="str">
        <f>$B262</f>
        <v>Prayer of Healing</v>
      </c>
      <c r="AE262" t="str">
        <f>IF(IFERROR(MATCH($B262,temp!A$4:A$13,0),0)&gt;0,T08_Spells!AE$2,"")</f>
        <v/>
      </c>
      <c r="AF262" t="str">
        <f>IF(IFERROR(MATCH($B262,temp!B$4:B$13,0),0)&gt;0,T08_Spells!AF$2,"")</f>
        <v/>
      </c>
      <c r="AG262" t="str">
        <f>IF(IFERROR(MATCH($B262,temp!C$4:C$13,0),0)&gt;0,T08_Spells!AG$2,"")</f>
        <v/>
      </c>
      <c r="AH262" t="str">
        <f>IF(IFERROR(MATCH($B262,temp!D$4:D$13,0),0)&gt;0,T08_Spells!AH$2,"")</f>
        <v/>
      </c>
      <c r="AI262" t="str">
        <f>IF(IFERROR(MATCH($B262,temp!E$4:E$13,0),0)&gt;0,T08_Spells!AI$2,"")</f>
        <v/>
      </c>
      <c r="AJ262" t="str">
        <f>IF(IFERROR(MATCH($B262,temp!F$4:F$13,0),0)&gt;0,T08_Spells!AJ$2,"")</f>
        <v/>
      </c>
      <c r="AK262" t="str">
        <f>IF(IFERROR(MATCH($B262,temp!G$4:G$13,0),0)&gt;0,T08_Spells!AK$2,"")</f>
        <v/>
      </c>
      <c r="AL262" t="str">
        <f>IF(IFERROR(MATCH($B262,temp!H$4:H$13,0),0)&gt;0,T08_Spells!AL$2,"")</f>
        <v/>
      </c>
      <c r="AM262" t="str">
        <f>IF(IFERROR(MATCH($B262,temp!I$4:I$13,0),0)&gt;0,T08_Spells!AM$2,"")</f>
        <v/>
      </c>
      <c r="AN262" t="str">
        <f>IF(IFERROR(MATCH($B262,temp!J$4:J$13,0),0)&gt;0,T08_Spells!AN$2,"")</f>
        <v/>
      </c>
      <c r="AO262" t="str">
        <f>IF(IFERROR(MATCH($B262,temp!K$4:K$13,0),0)&gt;0,T08_Spells!AO$2,"")</f>
        <v/>
      </c>
      <c r="AP262" t="str">
        <f>IF(IFERROR(MATCH($B262,temp!L$4:L$13,0),0)&gt;0,T08_Spells!AP$2,"")</f>
        <v/>
      </c>
      <c r="AQ262" t="str">
        <f>IF(IFERROR(MATCH($B262,temp!M$4:M$13,0),0)&gt;0,T08_Spells!AQ$2,"")</f>
        <v/>
      </c>
      <c r="AR262" t="str">
        <f>IF(IFERROR(MATCH($B262,temp!N$4:N$13,0),0)&gt;0,T08_Spells!AR$2,"")</f>
        <v/>
      </c>
      <c r="AS262" t="str">
        <f>IF(IFERROR(MATCH($B262,temp!O$4:O$13,0),0)&gt;0,T08_Spells!AS$2,"")</f>
        <v/>
      </c>
      <c r="AT262" t="str">
        <f>IF(IFERROR(MATCH($B262,temp!P$4:P$13,0),0)&gt;0,T08_Spells!AT$2,"")</f>
        <v/>
      </c>
      <c r="AU262" t="str">
        <f>IF(IFERROR(MATCH($B262,temp!Q$4:Q$13,0),0)&gt;0,T08_Spells!AU$2,"")</f>
        <v/>
      </c>
      <c r="AV262" t="str">
        <f>IF(IFERROR(MATCH($B262,temp!R$4:R$13,0),0)&gt;0,T08_Spells!AV$2,"")</f>
        <v/>
      </c>
      <c r="AW262" t="str">
        <f>IF(IFERROR(MATCH($B262,temp!S$4:S$13,0),0)&gt;0,T08_Spells!AW$2,"")</f>
        <v/>
      </c>
      <c r="AX262" t="str">
        <f>IF(IFERROR(MATCH($B262,temp!T$4:T$13,0),0)&gt;0,T08_Spells!AX$2,"")</f>
        <v/>
      </c>
      <c r="AY262" t="str">
        <f>IF(IFERROR(MATCH($B262,temp!U$4:U$13,0),0)&gt;0,T08_Spells!AY$2,"")</f>
        <v/>
      </c>
      <c r="AZ262" t="str">
        <f>IF(IFERROR(MATCH($B262,temp!V$4:V$13,0),0)&gt;0,T08_Spells!AZ$2,"")</f>
        <v/>
      </c>
      <c r="BA262" t="str">
        <f>IF(IFERROR(MATCH($B262,temp!W$4:W$13,0),0)&gt;0,T08_Spells!BA$2,"")</f>
        <v/>
      </c>
      <c r="BC262">
        <f>IF(IFERROR(SEARCH("Ranger",$T262,1),0)&gt;0,1,0)*IF(RangerMaxSpellLevel&gt;=$C262,1,0)*IF(IFERROR(MATCH(B262,Character_Creation!$X$79:$X$382,0),0)&gt;0,0,1)</f>
        <v>0</v>
      </c>
      <c r="BD262">
        <f>IF(BC262=0,0,1+COUNTIF(BD$3:BD261,"&gt;0"))</f>
        <v>0</v>
      </c>
      <c r="BE262" t="str">
        <f t="shared" si="257"/>
        <v/>
      </c>
      <c r="BF262" t="str">
        <f t="shared" si="229"/>
        <v/>
      </c>
      <c r="BH262">
        <f>IF(IFERROR(SEARCH("Sorcerer",$T262,1),0)&gt;0,1,0)*IF(SorcererMaxSpellLevel&gt;=$C262,1,0)*IF(IFERROR(MATCH(B262,Character_Creation!$J$380:$J$394,0),0)&gt;0,0,1)</f>
        <v>0</v>
      </c>
      <c r="BI262">
        <f>IF(BH262=0,0,1+COUNTIF(BI$3:BI261,"&gt;0"))</f>
        <v>0</v>
      </c>
      <c r="BJ262" t="str">
        <f t="shared" si="258"/>
        <v/>
      </c>
      <c r="BK262" t="str">
        <f t="shared" si="230"/>
        <v/>
      </c>
      <c r="BM262">
        <f>IF(OR(IFERROR(SEARCH("Warlock",$T262,1),0)&gt;0,IFERROR(SEARCH(WarlockPatron,$T262,1),0)&gt;0),1,0)*IF(WarlockMaxSpellLevel&gt;=$C262,1,0)*IF(IFERROR(MATCH(B262,Character_Creation!$J$361:$J$375,0),0)&gt;0,0,1)</f>
        <v>0</v>
      </c>
      <c r="BN262">
        <f>IF(BM262=0,0,1+COUNTIF(BN$3:BN261,"&gt;0"))</f>
        <v>0</v>
      </c>
      <c r="BO262" t="str">
        <f t="shared" si="259"/>
        <v/>
      </c>
      <c r="BP262" t="str">
        <f t="shared" si="231"/>
        <v/>
      </c>
      <c r="BR262">
        <f>IF(IFERROR(SEARCH("Eldritch Knight",$T262,1),0)&gt;0,1,0)*IF(EldritchKnightMaxSpellLevel&gt;=$C262,1,0)*IF(IFERROR(MATCH($B262,Character_Creation!$J$350:$J$356,0),0)&gt;0,0,1)*IF(Character_Creation!$M$338&gt;0,1,0)</f>
        <v>0</v>
      </c>
      <c r="BS262">
        <f>IF(BR262=0,0,1+COUNTIF(BS$3:BS261,"&gt;0"))</f>
        <v>0</v>
      </c>
      <c r="BT262" t="str">
        <f t="shared" si="260"/>
        <v/>
      </c>
      <c r="BU262" t="str">
        <f t="shared" si="232"/>
        <v/>
      </c>
      <c r="BW262">
        <f>IF(IFERROR(SEARCH("Arcane Trickster",$T262,1),0)&gt;0,1,0)*IF(ArcaneTricksterMaxSpellLevel&gt;=$C262,1,0)*IF(IFERROR(MATCH($B262,Character_Creation!$J$350:$J$356,0),0)&gt;0,0,1)*IF(Character_Creation!$T$338&gt;0,1,0)</f>
        <v>0</v>
      </c>
      <c r="BX262">
        <f>IF(BW262=0,0,1+COUNTIF(BX$3:BX261,"&gt;0"))</f>
        <v>0</v>
      </c>
      <c r="BY262" t="str">
        <f t="shared" si="261"/>
        <v/>
      </c>
      <c r="BZ262" t="str">
        <f t="shared" si="233"/>
        <v/>
      </c>
      <c r="CB262">
        <f>IF(IFERROR(SEARCH("Wizard",$T262,1),0)&gt;0,1,0)*IF(C262&lt;=ArcaneTricksterMaxSpellLevel,1,0)*IF(IFERROR(MATCH($B262,Character_Creation!$J$350:$J$356,0),0)&gt;0,0,1)*IF(Character_Creation!$T$350&gt;0,1,0)</f>
        <v>0</v>
      </c>
      <c r="CC262">
        <f>IF(CB262=0,0,1+COUNTIF(CC$3:CC261,"&gt;0"))</f>
        <v>0</v>
      </c>
      <c r="CD262" t="str">
        <f t="shared" si="262"/>
        <v/>
      </c>
      <c r="CE262" t="str">
        <f t="shared" si="234"/>
        <v/>
      </c>
      <c r="CG262">
        <f>IF(IFERROR(SEARCH("Wizard",$T262,1),0)&gt;0,1,0)*IF($C262&lt;=EldritchKnightMaxSpellLevel,1,0)*IF(IFERROR(MATCH($B262,Character_Creation!$J$350:$J$356,0),0)&gt;0,0,1)*IF(Character_Creation!$M$350&gt;0,1,0)</f>
        <v>0</v>
      </c>
      <c r="CH262">
        <f>IF(CG262=0,0,1+COUNTIF(CH$3:CH261,"&gt;0"))</f>
        <v>0</v>
      </c>
      <c r="CI262" t="str">
        <f t="shared" si="263"/>
        <v/>
      </c>
      <c r="CJ262" t="str">
        <f t="shared" si="235"/>
        <v/>
      </c>
      <c r="CL262">
        <f>IF(IFERROR(SEARCH("Bard",$T262,1),0)&gt;0,1,0)*IF(BardMaxSpellLevel&gt;=$C262,1,0)*IF(IFERROR(MATCH(B262,Character_Creation!$C$341:$F$362,0),0)&gt;0,0,1)*IF(IFERROR(MATCH($B262,Character_Creation!$C$341:$C$362,0),0)&gt;0,0,1)</f>
        <v>0</v>
      </c>
      <c r="CM262">
        <f>IF(CL262=0,0,1+COUNTIF(CM$3:CM261,"&gt;0"))</f>
        <v>0</v>
      </c>
      <c r="CN262" t="str">
        <f t="shared" si="264"/>
        <v/>
      </c>
      <c r="CO262" t="str">
        <f t="shared" si="236"/>
        <v/>
      </c>
      <c r="CQ262">
        <f>IF(IFERROR(SEARCH("Wizard",$T262,1),0)&gt;0,1,0)*IF(WizardMaxSpellLevel&gt;=$C262,1,0)*IF(IFERROR(MATCH(B262,Character_Creation!$X$341:$X$400,0),0)&gt;0,0,1)*IF(SelectedWizardSpellLevel=$C262,1,0)</f>
        <v>0</v>
      </c>
      <c r="CR262">
        <f>IF(CQ262=0,0,1+COUNTIF(CR$3:CR261,"&gt;0"))</f>
        <v>0</v>
      </c>
      <c r="CS262" t="str">
        <f t="shared" si="265"/>
        <v/>
      </c>
      <c r="CT262" t="str">
        <f t="shared" si="237"/>
        <v/>
      </c>
      <c r="CV262">
        <f>IF(IFERROR(MATCH($B262,Character_Creation!$C$341:$C$362,0),0)&gt;0,0,1)*IF(OR(C262="Cantrip",C262&lt;=BardMaxSpellLevel),1,0)*IF(IFERROR(MATCH($B262,Character_Creation!$C$367:$C$374,0),0)&gt;0,0,1)</f>
        <v>0</v>
      </c>
      <c r="CW262">
        <f>IF(CV262=0,0,1+COUNTIF(CW$3:CW261,"&gt;0"))</f>
        <v>0</v>
      </c>
      <c r="CX262" t="str">
        <f t="shared" si="266"/>
        <v/>
      </c>
      <c r="CY262" t="str">
        <f t="shared" si="238"/>
        <v/>
      </c>
      <c r="DA262">
        <f>IF(IF(OR(IFERROR(SEARCH("Cleric",$T262,1),0)&gt;0,IFERROR(SEARCH(DivineDomain&amp;",",$T262,1),0)&gt;0),1,0)*IF($C262=DA$2,1,0)=1,1+COUNTIF(DA$3:DA261,"&gt;0"),0)</f>
        <v>0</v>
      </c>
      <c r="DB262">
        <f>IF(IF(OR(IFERROR(SEARCH("Cleric",$T262,1),0)&gt;0,IFERROR(SEARCH(DivineDomain&amp;",",$T262,1),0)&gt;0),1,0)*IF($C262=DB$2,1,0)=1,1+COUNTIF(DB$3:DB261,"&gt;0"),0)</f>
        <v>11</v>
      </c>
      <c r="DC262">
        <f>IF(IF(OR(IFERROR(SEARCH("Cleric",$T262,1),0)&gt;0,IFERROR(SEARCH(DivineDomain&amp;",",$T262,1),0)&gt;0),1,0)*IF($C262=DC$2,1,0)=1,1+COUNTIF(DC$3:DC261,"&gt;0"),0)</f>
        <v>0</v>
      </c>
      <c r="DD262">
        <f>IF(IF(OR(IFERROR(SEARCH("Cleric",$T262,1),0)&gt;0,IFERROR(SEARCH(DivineDomain&amp;",",$T262,1),0)&gt;0),1,0)*IF($C262=DD$2,1,0)=1,1+COUNTIF(DD$3:DD261,"&gt;0"),0)</f>
        <v>0</v>
      </c>
      <c r="DE262">
        <f>IF(IF(OR(IFERROR(SEARCH("Cleric",$T262,1),0)&gt;0,IFERROR(SEARCH(DivineDomain&amp;",",$T262,1),0)&gt;0),1,0)*IF($C262=DE$2,1,0)=1,1+COUNTIF(DE$3:DE261,"&gt;0"),0)</f>
        <v>0</v>
      </c>
      <c r="DF262">
        <f>IF(IF(OR(IFERROR(SEARCH("Cleric",$T262,1),0)&gt;0,IFERROR(SEARCH(DivineDomain&amp;",",$T262,1),0)&gt;0),1,0)*IF($C262=DF$2,1,0)=1,1+COUNTIF(DF$3:DF261,"&gt;0"),0)</f>
        <v>0</v>
      </c>
      <c r="DG262">
        <f>IF(IF(OR(IFERROR(SEARCH("Cleric",$T262,1),0)&gt;0,IFERROR(SEARCH(DivineDomain&amp;",",$T262,1),0)&gt;0),1,0)*IF($C262=DG$2,1,0)=1,1+COUNTIF(DG$3:DG261,"&gt;0"),0)</f>
        <v>0</v>
      </c>
      <c r="DH262">
        <f>IF(IF(OR(IFERROR(SEARCH("Cleric",$T262,1),0)&gt;0,IFERROR(SEARCH(DivineDomain&amp;",",$T262,1),0)&gt;0),1,0)*IF($C262=DH$2,1,0)=1,1+COUNTIF(DH$3:DH261,"&gt;0"),0)</f>
        <v>0</v>
      </c>
      <c r="DI262">
        <f>IF(IF(OR(IFERROR(SEARCH("Cleric",$T262,1),0)&gt;0,IFERROR(SEARCH(DivineDomain&amp;",",$T262,1),0)&gt;0),1,0)*IF($C262=DI$2,1,0)=1,1+COUNTIF(DI$3:DI261,"&gt;0"),0)</f>
        <v>0</v>
      </c>
      <c r="DJ262">
        <f>IF(IF(OR(IFERROR(SEARCH("Druid",$T262,1),0)&gt;0,IFERROR(SEARCH(DruidLand1,$T262,1),0)&gt;0,IFERROR(SEARCH(DruidLand2,$T262,1),0)&gt;0,IFERROR(SEARCH(DruidLand3,$T262,1),0)&gt;0,IFERROR(SEARCH(DruidLand4,$T262,1),0)&gt;0),1,0)*IF($C262=1,1,0)*IF($C262=DJ$2,1,0)=0,0,1+COUNTIF(DJ$3:DJ261,"&gt;0"))</f>
        <v>0</v>
      </c>
      <c r="DK262">
        <f>IF(IF(OR(IFERROR(SEARCH("Druid",$T262,1),0)&gt;0,IFERROR(SEARCH(DruidLand1,$T262,1),0)&gt;0,IFERROR(SEARCH(DruidLand2,$T262,1),0)&gt;0,IFERROR(SEARCH(DruidLand3,$T262,1),0)&gt;0,IFERROR(SEARCH(DruidLand4,$T262,1),0)&gt;0),1,0)*IF($C262=1,1,0)*IF($C262=DK$2,1,0)=0,0,1+COUNTIF(DK$3:DK261,"&gt;0"))</f>
        <v>0</v>
      </c>
      <c r="DL262">
        <f>IF(IF(OR(IFERROR(SEARCH("Druid",$T262,1),0)&gt;0,IFERROR(SEARCH(DruidLand1,$T262,1),0)&gt;0,IFERROR(SEARCH(DruidLand2,$T262,1),0)&gt;0,IFERROR(SEARCH(DruidLand3,$T262,1),0)&gt;0,IFERROR(SEARCH(DruidLand4,$T262,1),0)&gt;0),1,0)*IF($C262=1,1,0)*IF($C262=DL$2,1,0)=0,0,1+COUNTIF(DL$3:DL261,"&gt;0"))</f>
        <v>0</v>
      </c>
      <c r="DM262">
        <f>IF(IF(OR(IFERROR(SEARCH("Druid",$T262,1),0)&gt;0,IFERROR(SEARCH(DruidLand1,$T262,1),0)&gt;0,IFERROR(SEARCH(DruidLand2,$T262,1),0)&gt;0,IFERROR(SEARCH(DruidLand3,$T262,1),0)&gt;0,IFERROR(SEARCH(DruidLand4,$T262,1),0)&gt;0),1,0)*IF($C262=1,1,0)*IF($C262=DM$2,1,0)=0,0,1+COUNTIF(DM$3:DM261,"&gt;0"))</f>
        <v>0</v>
      </c>
      <c r="DN262">
        <f>IF(IF(OR(IFERROR(SEARCH("Druid",$T262,1),0)&gt;0,IFERROR(SEARCH(DruidLand1,$T262,1),0)&gt;0,IFERROR(SEARCH(DruidLand2,$T262,1),0)&gt;0,IFERROR(SEARCH(DruidLand3,$T262,1),0)&gt;0,IFERROR(SEARCH(DruidLand4,$T262,1),0)&gt;0),1,0)*IF($C262=1,1,0)*IF($C262=DN$2,1,0)=0,0,1+COUNTIF(DN$3:DN261,"&gt;0"))</f>
        <v>0</v>
      </c>
      <c r="DO262">
        <f>IF(IF(OR(IFERROR(SEARCH("Druid",$T262,1),0)&gt;0,IFERROR(SEARCH(DruidLand1,$T262,1),0)&gt;0,IFERROR(SEARCH(DruidLand2,$T262,1),0)&gt;0,IFERROR(SEARCH(DruidLand3,$T262,1),0)&gt;0,IFERROR(SEARCH(DruidLand4,$T262,1),0)&gt;0),1,0)*IF($C262=1,1,0)*IF($C262=DO$2,1,0)=0,0,1+COUNTIF(DO$3:DO261,"&gt;0"))</f>
        <v>0</v>
      </c>
      <c r="DP262">
        <f>IF(IF(OR(IFERROR(SEARCH("Druid",$T262,1),0)&gt;0,IFERROR(SEARCH(DruidLand1,$T262,1),0)&gt;0,IFERROR(SEARCH(DruidLand2,$T262,1),0)&gt;0,IFERROR(SEARCH(DruidLand3,$T262,1),0)&gt;0,IFERROR(SEARCH(DruidLand4,$T262,1),0)&gt;0),1,0)*IF($C262=1,1,0)*IF($C262=DP$2,1,0)=0,0,1+COUNTIF(DP$3:DP261,"&gt;0"))</f>
        <v>0</v>
      </c>
      <c r="DQ262">
        <f>IF(IF(OR(IFERROR(SEARCH("Druid",$T262,1),0)&gt;0,IFERROR(SEARCH(DruidLand1,$T262,1),0)&gt;0,IFERROR(SEARCH(DruidLand2,$T262,1),0)&gt;0,IFERROR(SEARCH(DruidLand3,$T262,1),0)&gt;0,IFERROR(SEARCH(DruidLand4,$T262,1),0)&gt;0),1,0)*IF($C262=1,1,0)*IF($C262=DQ$2,1,0)=0,0,1+COUNTIF(DQ$3:DQ261,"&gt;0"))</f>
        <v>0</v>
      </c>
      <c r="DR262">
        <f>IF(IF(OR(IFERROR(SEARCH("Druid",$T262,1),0)&gt;0,IFERROR(SEARCH(DruidLand1,$T262,1),0)&gt;0,IFERROR(SEARCH(DruidLand2,$T262,1),0)&gt;0,IFERROR(SEARCH(DruidLand3,$T262,1),0)&gt;0,IFERROR(SEARCH(DruidLand4,$T262,1),0)&gt;0),1,0)*IF($C262=1,1,0)*IF($C262=DR$2,1,0)=0,0,1+COUNTIF(DR$3:DR261,"&gt;0"))</f>
        <v>0</v>
      </c>
      <c r="DS262">
        <f>IF(IF(OR(IFERROR(SEARCH("Paladin",$T262,1),0)&gt;0,IFERROR(SEARCH(PaladinOath,$T262,1),0)&gt;0),1,0)*IF($C262=DS$2,1,0)=1,1+COUNTIF(DS$3:DS261,"&gt;0"),0)</f>
        <v>0</v>
      </c>
      <c r="DT262">
        <f>IF(IF(OR(IFERROR(SEARCH("Paladin",$T262,1),0)&gt;0,IFERROR(SEARCH(PaladinOath,$T262,1),0)&gt;0),1,0)*IF($C262=DT$2,1,0)=1,1+COUNTIF(DT$3:DT261,"&gt;0"),0)</f>
        <v>0</v>
      </c>
      <c r="DU262">
        <f>IF(IF(OR(IFERROR(SEARCH("Paladin",$T262,1),0)&gt;0,IFERROR(SEARCH(PaladinOath,$T262,1),0)&gt;0),1,0)*IF($C262=DU$2,1,0)=1,1+COUNTIF(DU$3:DU261,"&gt;0"),0)</f>
        <v>0</v>
      </c>
      <c r="DV262">
        <f>IF(IF(OR(IFERROR(SEARCH("Paladin",$T262,1),0)&gt;0,IFERROR(SEARCH(PaladinOath,$T262,1),0)&gt;0),1,0)*IF($C262=DV$2,1,0)=1,1+COUNTIF(DV$3:DV261,"&gt;0"),0)</f>
        <v>0</v>
      </c>
      <c r="DW262">
        <f>IF(IF(OR(IFERROR(SEARCH("Paladin",$T262,1),0)&gt;0,IFERROR(SEARCH(PaladinOath,$T262,1),0)&gt;0),1,0)*IF($C262=DW$2,1,0)=1,1+COUNTIF(DW$3:DW261,"&gt;0"),0)</f>
        <v>0</v>
      </c>
      <c r="DY262">
        <f t="shared" si="225"/>
        <v>1</v>
      </c>
      <c r="DZ262">
        <f>IF(DY262=0,0,1+MAX(DZ$3:$DZ261))</f>
        <v>260</v>
      </c>
      <c r="EB262">
        <f t="shared" si="239"/>
        <v>0</v>
      </c>
      <c r="EC262">
        <f>IF(EB262=0,0,1+COUNTIF(EC$3:EC261,"&gt;0"))</f>
        <v>0</v>
      </c>
      <c r="ED262" t="str">
        <f t="shared" si="267"/>
        <v/>
      </c>
      <c r="EE262" t="str">
        <f t="shared" si="240"/>
        <v/>
      </c>
      <c r="EG262">
        <f t="shared" si="241"/>
        <v>0</v>
      </c>
      <c r="EH262">
        <f>IF(EG262=0,0,1+COUNTIF(EH$3:EH261,"&gt;0"))</f>
        <v>0</v>
      </c>
      <c r="EI262" t="str">
        <f t="shared" si="268"/>
        <v/>
      </c>
      <c r="EJ262" t="str">
        <f t="shared" si="242"/>
        <v/>
      </c>
      <c r="EL262">
        <f t="shared" si="243"/>
        <v>0</v>
      </c>
      <c r="EM262">
        <f>IF(EL262=0,0,1+COUNTIF(EM$3:EM261,"&gt;0"))</f>
        <v>0</v>
      </c>
      <c r="EN262" t="str">
        <f t="shared" si="269"/>
        <v/>
      </c>
      <c r="EO262" t="str">
        <f t="shared" si="244"/>
        <v/>
      </c>
      <c r="EQ262">
        <f t="shared" si="245"/>
        <v>0</v>
      </c>
      <c r="ER262">
        <f>IF(EQ262=0,0,1+COUNTIF(ER$3:ER261,"&gt;0"))</f>
        <v>0</v>
      </c>
      <c r="ES262" t="str">
        <f t="shared" si="270"/>
        <v/>
      </c>
      <c r="ET262" t="str">
        <f t="shared" si="246"/>
        <v/>
      </c>
      <c r="EV262">
        <f t="shared" si="247"/>
        <v>0</v>
      </c>
      <c r="EW262">
        <f>IF(EV262=0,0,1+COUNTIF(EW$3:EW261,"&gt;0"))</f>
        <v>0</v>
      </c>
      <c r="EX262" t="str">
        <f t="shared" si="271"/>
        <v/>
      </c>
      <c r="EY262" t="str">
        <f t="shared" si="248"/>
        <v/>
      </c>
      <c r="FA262">
        <f t="shared" si="249"/>
        <v>0</v>
      </c>
      <c r="FB262">
        <f>IF(FA262=0,0,1+COUNTIF(FB$3:FB261,"&gt;0"))</f>
        <v>0</v>
      </c>
      <c r="FC262" t="str">
        <f t="shared" si="272"/>
        <v/>
      </c>
      <c r="FD262" t="str">
        <f t="shared" si="250"/>
        <v/>
      </c>
      <c r="FF262">
        <f t="shared" si="251"/>
        <v>0</v>
      </c>
      <c r="FG262">
        <f>IF(FF262=0,0,1+COUNTIF(FG$3:FG261,"&gt;0"))</f>
        <v>0</v>
      </c>
      <c r="FH262" t="str">
        <f t="shared" si="273"/>
        <v/>
      </c>
      <c r="FI262" t="str">
        <f t="shared" si="252"/>
        <v/>
      </c>
      <c r="FK262">
        <f t="shared" si="253"/>
        <v>0</v>
      </c>
      <c r="FL262">
        <f>IF(FK262=0,0,1+COUNTIF(FL$3:FL261,"&gt;0"))</f>
        <v>0</v>
      </c>
      <c r="FM262" t="str">
        <f t="shared" si="274"/>
        <v/>
      </c>
      <c r="FN262" t="str">
        <f t="shared" si="254"/>
        <v/>
      </c>
      <c r="FP262">
        <f t="shared" si="255"/>
        <v>0</v>
      </c>
      <c r="FQ262">
        <f>IF(FP262=0,0,1+COUNTIF(FQ$3:FQ261,"&gt;0"))</f>
        <v>0</v>
      </c>
      <c r="FR262" t="str">
        <f t="shared" si="275"/>
        <v/>
      </c>
      <c r="FS262" t="str">
        <f t="shared" si="256"/>
        <v/>
      </c>
    </row>
    <row r="263" spans="1:175" x14ac:dyDescent="0.25">
      <c r="A263" s="347">
        <f t="shared" si="219"/>
        <v>261</v>
      </c>
      <c r="B263" s="348" t="s">
        <v>2645</v>
      </c>
      <c r="C263" s="348" t="s">
        <v>5277</v>
      </c>
      <c r="D263" s="347">
        <v>0.5</v>
      </c>
      <c r="E263" s="627" t="s">
        <v>6952</v>
      </c>
      <c r="F263" s="346"/>
      <c r="G263" s="347" t="str">
        <f>""</f>
        <v/>
      </c>
      <c r="H263" s="347" t="s">
        <v>5912</v>
      </c>
      <c r="I263" s="347" t="s">
        <v>5052</v>
      </c>
      <c r="J263" s="347" t="str">
        <f t="shared" si="226"/>
        <v/>
      </c>
      <c r="K263" s="347" t="s">
        <v>5455</v>
      </c>
      <c r="L263" s="611" t="str">
        <f t="shared" si="227"/>
        <v>V, S</v>
      </c>
      <c r="M263" s="347" t="s">
        <v>2373</v>
      </c>
      <c r="N263" s="347" t="s">
        <v>2387</v>
      </c>
      <c r="O263" s="347" t="s">
        <v>3034</v>
      </c>
      <c r="P263" s="346" t="str">
        <f>""</f>
        <v/>
      </c>
      <c r="Q263" s="347" t="s">
        <v>5276</v>
      </c>
      <c r="S263" s="346" t="s">
        <v>5794</v>
      </c>
      <c r="T263" s="346" t="str">
        <f t="shared" si="228"/>
        <v xml:space="preserve">Bard, Sorcerer, Warlock, Wizard, </v>
      </c>
      <c r="U263" s="347" t="str">
        <f>$B263</f>
        <v>Prestidigitation</v>
      </c>
      <c r="X263" s="347" t="str">
        <f>$B263</f>
        <v>Prestidigitation</v>
      </c>
      <c r="Y263" s="347" t="str">
        <f>$B263</f>
        <v>Prestidigitation</v>
      </c>
      <c r="AD263" s="347" t="str">
        <f>$B263</f>
        <v>Prestidigitation</v>
      </c>
      <c r="AE263" t="str">
        <f>IF(IFERROR(MATCH($B263,temp!A$4:A$13,0),0)&gt;0,T08_Spells!AE$2,"")</f>
        <v/>
      </c>
      <c r="AF263" t="str">
        <f>IF(IFERROR(MATCH($B263,temp!B$4:B$13,0),0)&gt;0,T08_Spells!AF$2,"")</f>
        <v/>
      </c>
      <c r="AG263" t="str">
        <f>IF(IFERROR(MATCH($B263,temp!C$4:C$13,0),0)&gt;0,T08_Spells!AG$2,"")</f>
        <v/>
      </c>
      <c r="AH263" t="str">
        <f>IF(IFERROR(MATCH($B263,temp!D$4:D$13,0),0)&gt;0,T08_Spells!AH$2,"")</f>
        <v/>
      </c>
      <c r="AI263" t="str">
        <f>IF(IFERROR(MATCH($B263,temp!E$4:E$13,0),0)&gt;0,T08_Spells!AI$2,"")</f>
        <v/>
      </c>
      <c r="AJ263" t="str">
        <f>IF(IFERROR(MATCH($B263,temp!F$4:F$13,0),0)&gt;0,T08_Spells!AJ$2,"")</f>
        <v/>
      </c>
      <c r="AK263" t="str">
        <f>IF(IFERROR(MATCH($B263,temp!G$4:G$13,0),0)&gt;0,T08_Spells!AK$2,"")</f>
        <v/>
      </c>
      <c r="AL263" t="str">
        <f>IF(IFERROR(MATCH($B263,temp!H$4:H$13,0),0)&gt;0,T08_Spells!AL$2,"")</f>
        <v/>
      </c>
      <c r="AM263" t="str">
        <f>IF(IFERROR(MATCH($B263,temp!I$4:I$13,0),0)&gt;0,T08_Spells!AM$2,"")</f>
        <v/>
      </c>
      <c r="AN263" t="str">
        <f>IF(IFERROR(MATCH($B263,temp!J$4:J$13,0),0)&gt;0,T08_Spells!AN$2,"")</f>
        <v/>
      </c>
      <c r="AO263" t="str">
        <f>IF(IFERROR(MATCH($B263,temp!K$4:K$13,0),0)&gt;0,T08_Spells!AO$2,"")</f>
        <v/>
      </c>
      <c r="AP263" t="str">
        <f>IF(IFERROR(MATCH($B263,temp!L$4:L$13,0),0)&gt;0,T08_Spells!AP$2,"")</f>
        <v/>
      </c>
      <c r="AQ263" t="str">
        <f>IF(IFERROR(MATCH($B263,temp!M$4:M$13,0),0)&gt;0,T08_Spells!AQ$2,"")</f>
        <v/>
      </c>
      <c r="AR263" t="str">
        <f>IF(IFERROR(MATCH($B263,temp!N$4:N$13,0),0)&gt;0,T08_Spells!AR$2,"")</f>
        <v/>
      </c>
      <c r="AS263" t="str">
        <f>IF(IFERROR(MATCH($B263,temp!O$4:O$13,0),0)&gt;0,T08_Spells!AS$2,"")</f>
        <v/>
      </c>
      <c r="AT263" t="str">
        <f>IF(IFERROR(MATCH($B263,temp!P$4:P$13,0),0)&gt;0,T08_Spells!AT$2,"")</f>
        <v/>
      </c>
      <c r="AU263" t="str">
        <f>IF(IFERROR(MATCH($B263,temp!Q$4:Q$13,0),0)&gt;0,T08_Spells!AU$2,"")</f>
        <v/>
      </c>
      <c r="AV263" t="str">
        <f>IF(IFERROR(MATCH($B263,temp!R$4:R$13,0),0)&gt;0,T08_Spells!AV$2,"")</f>
        <v/>
      </c>
      <c r="AW263" t="str">
        <f>IF(IFERROR(MATCH($B263,temp!S$4:S$13,0),0)&gt;0,T08_Spells!AW$2,"")</f>
        <v/>
      </c>
      <c r="AX263" t="str">
        <f>IF(IFERROR(MATCH($B263,temp!T$4:T$13,0),0)&gt;0,T08_Spells!AX$2,"")</f>
        <v/>
      </c>
      <c r="AY263" t="str">
        <f>IF(IFERROR(MATCH($B263,temp!U$4:U$13,0),0)&gt;0,T08_Spells!AY$2,"")</f>
        <v/>
      </c>
      <c r="AZ263" t="str">
        <f>IF(IFERROR(MATCH($B263,temp!V$4:V$13,0),0)&gt;0,T08_Spells!AZ$2,"")</f>
        <v/>
      </c>
      <c r="BA263" t="str">
        <f>IF(IFERROR(MATCH($B263,temp!W$4:W$13,0),0)&gt;0,T08_Spells!BA$2,"")</f>
        <v/>
      </c>
      <c r="BC263">
        <f>IF(IFERROR(SEARCH("Ranger",$T263,1),0)&gt;0,1,0)*IF(RangerMaxSpellLevel&gt;=$C263,1,0)*IF(IFERROR(MATCH(B263,Character_Creation!$X$79:$X$382,0),0)&gt;0,0,1)</f>
        <v>0</v>
      </c>
      <c r="BD263">
        <f>IF(BC263=0,0,1+COUNTIF(BD$3:BD262,"&gt;0"))</f>
        <v>0</v>
      </c>
      <c r="BE263" t="str">
        <f t="shared" si="257"/>
        <v/>
      </c>
      <c r="BF263" t="str">
        <f t="shared" si="229"/>
        <v/>
      </c>
      <c r="BH263">
        <f>IF(IFERROR(SEARCH("Sorcerer",$T263,1),0)&gt;0,1,0)*IF(SorcererMaxSpellLevel&gt;=$C263,1,0)*IF(IFERROR(MATCH(B263,Character_Creation!$J$380:$J$394,0),0)&gt;0,0,1)</f>
        <v>0</v>
      </c>
      <c r="BI263">
        <f>IF(BH263=0,0,1+COUNTIF(BI$3:BI262,"&gt;0"))</f>
        <v>0</v>
      </c>
      <c r="BJ263" t="str">
        <f t="shared" si="258"/>
        <v/>
      </c>
      <c r="BK263" t="str">
        <f t="shared" si="230"/>
        <v/>
      </c>
      <c r="BM263">
        <f>IF(OR(IFERROR(SEARCH("Warlock",$T263,1),0)&gt;0,IFERROR(SEARCH(WarlockPatron,$T263,1),0)&gt;0),1,0)*IF(WarlockMaxSpellLevel&gt;=$C263,1,0)*IF(IFERROR(MATCH(B263,Character_Creation!$J$361:$J$375,0),0)&gt;0,0,1)</f>
        <v>0</v>
      </c>
      <c r="BN263">
        <f>IF(BM263=0,0,1+COUNTIF(BN$3:BN262,"&gt;0"))</f>
        <v>0</v>
      </c>
      <c r="BO263" t="str">
        <f t="shared" si="259"/>
        <v/>
      </c>
      <c r="BP263" t="str">
        <f t="shared" si="231"/>
        <v/>
      </c>
      <c r="BR263">
        <f>IF(IFERROR(SEARCH("Eldritch Knight",$T263,1),0)&gt;0,1,0)*IF(EldritchKnightMaxSpellLevel&gt;=$C263,1,0)*IF(IFERROR(MATCH($B263,Character_Creation!$J$350:$J$356,0),0)&gt;0,0,1)*IF(Character_Creation!$M$338&gt;0,1,0)</f>
        <v>0</v>
      </c>
      <c r="BS263">
        <f>IF(BR263=0,0,1+COUNTIF(BS$3:BS262,"&gt;0"))</f>
        <v>0</v>
      </c>
      <c r="BT263" t="str">
        <f t="shared" si="260"/>
        <v/>
      </c>
      <c r="BU263" t="str">
        <f t="shared" si="232"/>
        <v/>
      </c>
      <c r="BW263">
        <f>IF(IFERROR(SEARCH("Arcane Trickster",$T263,1),0)&gt;0,1,0)*IF(ArcaneTricksterMaxSpellLevel&gt;=$C263,1,0)*IF(IFERROR(MATCH($B263,Character_Creation!$J$350:$J$356,0),0)&gt;0,0,1)*IF(Character_Creation!$T$338&gt;0,1,0)</f>
        <v>0</v>
      </c>
      <c r="BX263">
        <f>IF(BW263=0,0,1+COUNTIF(BX$3:BX262,"&gt;0"))</f>
        <v>0</v>
      </c>
      <c r="BY263" t="str">
        <f t="shared" si="261"/>
        <v/>
      </c>
      <c r="BZ263" t="str">
        <f t="shared" si="233"/>
        <v/>
      </c>
      <c r="CB263">
        <f>IF(IFERROR(SEARCH("Wizard",$T263,1),0)&gt;0,1,0)*IF(C263&lt;=ArcaneTricksterMaxSpellLevel,1,0)*IF(IFERROR(MATCH($B263,Character_Creation!$J$350:$J$356,0),0)&gt;0,0,1)*IF(Character_Creation!$T$350&gt;0,1,0)</f>
        <v>0</v>
      </c>
      <c r="CC263">
        <f>IF(CB263=0,0,1+COUNTIF(CC$3:CC262,"&gt;0"))</f>
        <v>0</v>
      </c>
      <c r="CD263" t="str">
        <f t="shared" si="262"/>
        <v/>
      </c>
      <c r="CE263" t="str">
        <f t="shared" si="234"/>
        <v/>
      </c>
      <c r="CG263">
        <f>IF(IFERROR(SEARCH("Wizard",$T263,1),0)&gt;0,1,0)*IF($C263&lt;=EldritchKnightMaxSpellLevel,1,0)*IF(IFERROR(MATCH($B263,Character_Creation!$J$350:$J$356,0),0)&gt;0,0,1)*IF(Character_Creation!$M$350&gt;0,1,0)</f>
        <v>0</v>
      </c>
      <c r="CH263">
        <f>IF(CG263=0,0,1+COUNTIF(CH$3:CH262,"&gt;0"))</f>
        <v>0</v>
      </c>
      <c r="CI263" t="str">
        <f t="shared" si="263"/>
        <v/>
      </c>
      <c r="CJ263" t="str">
        <f t="shared" si="235"/>
        <v/>
      </c>
      <c r="CL263">
        <f>IF(IFERROR(SEARCH("Bard",$T263,1),0)&gt;0,1,0)*IF(BardMaxSpellLevel&gt;=$C263,1,0)*IF(IFERROR(MATCH(B263,Character_Creation!$C$341:$F$362,0),0)&gt;0,0,1)*IF(IFERROR(MATCH($B263,Character_Creation!$C$341:$C$362,0),0)&gt;0,0,1)</f>
        <v>0</v>
      </c>
      <c r="CM263">
        <f>IF(CL263=0,0,1+COUNTIF(CM$3:CM262,"&gt;0"))</f>
        <v>0</v>
      </c>
      <c r="CN263" t="str">
        <f t="shared" si="264"/>
        <v/>
      </c>
      <c r="CO263" t="str">
        <f t="shared" si="236"/>
        <v/>
      </c>
      <c r="CQ263">
        <f>IF(IFERROR(SEARCH("Wizard",$T263,1),0)&gt;0,1,0)*IF(WizardMaxSpellLevel&gt;=$C263,1,0)*IF(IFERROR(MATCH(B263,Character_Creation!$X$341:$X$400,0),0)&gt;0,0,1)*IF(SelectedWizardSpellLevel=$C263,1,0)</f>
        <v>0</v>
      </c>
      <c r="CR263">
        <f>IF(CQ263=0,0,1+COUNTIF(CR$3:CR262,"&gt;0"))</f>
        <v>0</v>
      </c>
      <c r="CS263" t="str">
        <f t="shared" si="265"/>
        <v/>
      </c>
      <c r="CT263" t="str">
        <f t="shared" si="237"/>
        <v/>
      </c>
      <c r="CV263">
        <f>IF(IFERROR(MATCH($B263,Character_Creation!$C$341:$C$362,0),0)&gt;0,0,1)*IF(OR(C263="Cantrip",C263&lt;=BardMaxSpellLevel),1,0)*IF(IFERROR(MATCH($B263,Character_Creation!$C$367:$C$374,0),0)&gt;0,0,1)</f>
        <v>1</v>
      </c>
      <c r="CW263">
        <f>IF(CV263=0,0,1+COUNTIF(CW$3:CW262,"&gt;0"))</f>
        <v>16</v>
      </c>
      <c r="CX263" t="str">
        <f t="shared" si="266"/>
        <v/>
      </c>
      <c r="CY263" t="str">
        <f t="shared" si="238"/>
        <v/>
      </c>
      <c r="DA263">
        <f>IF(IF(OR(IFERROR(SEARCH("Cleric",$T263,1),0)&gt;0,IFERROR(SEARCH(DivineDomain&amp;",",$T263,1),0)&gt;0),1,0)*IF($C263=DA$2,1,0)=1,1+COUNTIF(DA$3:DA262,"&gt;0"),0)</f>
        <v>0</v>
      </c>
      <c r="DB263">
        <f>IF(IF(OR(IFERROR(SEARCH("Cleric",$T263,1),0)&gt;0,IFERROR(SEARCH(DivineDomain&amp;",",$T263,1),0)&gt;0),1,0)*IF($C263=DB$2,1,0)=1,1+COUNTIF(DB$3:DB262,"&gt;0"),0)</f>
        <v>0</v>
      </c>
      <c r="DC263">
        <f>IF(IF(OR(IFERROR(SEARCH("Cleric",$T263,1),0)&gt;0,IFERROR(SEARCH(DivineDomain&amp;",",$T263,1),0)&gt;0),1,0)*IF($C263=DC$2,1,0)=1,1+COUNTIF(DC$3:DC262,"&gt;0"),0)</f>
        <v>0</v>
      </c>
      <c r="DD263">
        <f>IF(IF(OR(IFERROR(SEARCH("Cleric",$T263,1),0)&gt;0,IFERROR(SEARCH(DivineDomain&amp;",",$T263,1),0)&gt;0),1,0)*IF($C263=DD$2,1,0)=1,1+COUNTIF(DD$3:DD262,"&gt;0"),0)</f>
        <v>0</v>
      </c>
      <c r="DE263">
        <f>IF(IF(OR(IFERROR(SEARCH("Cleric",$T263,1),0)&gt;0,IFERROR(SEARCH(DivineDomain&amp;",",$T263,1),0)&gt;0),1,0)*IF($C263=DE$2,1,0)=1,1+COUNTIF(DE$3:DE262,"&gt;0"),0)</f>
        <v>0</v>
      </c>
      <c r="DF263">
        <f>IF(IF(OR(IFERROR(SEARCH("Cleric",$T263,1),0)&gt;0,IFERROR(SEARCH(DivineDomain&amp;",",$T263,1),0)&gt;0),1,0)*IF($C263=DF$2,1,0)=1,1+COUNTIF(DF$3:DF262,"&gt;0"),0)</f>
        <v>0</v>
      </c>
      <c r="DG263">
        <f>IF(IF(OR(IFERROR(SEARCH("Cleric",$T263,1),0)&gt;0,IFERROR(SEARCH(DivineDomain&amp;",",$T263,1),0)&gt;0),1,0)*IF($C263=DG$2,1,0)=1,1+COUNTIF(DG$3:DG262,"&gt;0"),0)</f>
        <v>0</v>
      </c>
      <c r="DH263">
        <f>IF(IF(OR(IFERROR(SEARCH("Cleric",$T263,1),0)&gt;0,IFERROR(SEARCH(DivineDomain&amp;",",$T263,1),0)&gt;0),1,0)*IF($C263=DH$2,1,0)=1,1+COUNTIF(DH$3:DH262,"&gt;0"),0)</f>
        <v>0</v>
      </c>
      <c r="DI263">
        <f>IF(IF(OR(IFERROR(SEARCH("Cleric",$T263,1),0)&gt;0,IFERROR(SEARCH(DivineDomain&amp;",",$T263,1),0)&gt;0),1,0)*IF($C263=DI$2,1,0)=1,1+COUNTIF(DI$3:DI262,"&gt;0"),0)</f>
        <v>0</v>
      </c>
      <c r="DJ263">
        <f>IF(IF(OR(IFERROR(SEARCH("Druid",$T263,1),0)&gt;0,IFERROR(SEARCH(DruidLand1,$T263,1),0)&gt;0,IFERROR(SEARCH(DruidLand2,$T263,1),0)&gt;0,IFERROR(SEARCH(DruidLand3,$T263,1),0)&gt;0,IFERROR(SEARCH(DruidLand4,$T263,1),0)&gt;0),1,0)*IF($C263=1,1,0)*IF($C263=DJ$2,1,0)=0,0,1+COUNTIF(DJ$3:DJ262,"&gt;0"))</f>
        <v>0</v>
      </c>
      <c r="DK263">
        <f>IF(IF(OR(IFERROR(SEARCH("Druid",$T263,1),0)&gt;0,IFERROR(SEARCH(DruidLand1,$T263,1),0)&gt;0,IFERROR(SEARCH(DruidLand2,$T263,1),0)&gt;0,IFERROR(SEARCH(DruidLand3,$T263,1),0)&gt;0,IFERROR(SEARCH(DruidLand4,$T263,1),0)&gt;0),1,0)*IF($C263=1,1,0)*IF($C263=DK$2,1,0)=0,0,1+COUNTIF(DK$3:DK262,"&gt;0"))</f>
        <v>0</v>
      </c>
      <c r="DL263">
        <f>IF(IF(OR(IFERROR(SEARCH("Druid",$T263,1),0)&gt;0,IFERROR(SEARCH(DruidLand1,$T263,1),0)&gt;0,IFERROR(SEARCH(DruidLand2,$T263,1),0)&gt;0,IFERROR(SEARCH(DruidLand3,$T263,1),0)&gt;0,IFERROR(SEARCH(DruidLand4,$T263,1),0)&gt;0),1,0)*IF($C263=1,1,0)*IF($C263=DL$2,1,0)=0,0,1+COUNTIF(DL$3:DL262,"&gt;0"))</f>
        <v>0</v>
      </c>
      <c r="DM263">
        <f>IF(IF(OR(IFERROR(SEARCH("Druid",$T263,1),0)&gt;0,IFERROR(SEARCH(DruidLand1,$T263,1),0)&gt;0,IFERROR(SEARCH(DruidLand2,$T263,1),0)&gt;0,IFERROR(SEARCH(DruidLand3,$T263,1),0)&gt;0,IFERROR(SEARCH(DruidLand4,$T263,1),0)&gt;0),1,0)*IF($C263=1,1,0)*IF($C263=DM$2,1,0)=0,0,1+COUNTIF(DM$3:DM262,"&gt;0"))</f>
        <v>0</v>
      </c>
      <c r="DN263">
        <f>IF(IF(OR(IFERROR(SEARCH("Druid",$T263,1),0)&gt;0,IFERROR(SEARCH(DruidLand1,$T263,1),0)&gt;0,IFERROR(SEARCH(DruidLand2,$T263,1),0)&gt;0,IFERROR(SEARCH(DruidLand3,$T263,1),0)&gt;0,IFERROR(SEARCH(DruidLand4,$T263,1),0)&gt;0),1,0)*IF($C263=1,1,0)*IF($C263=DN$2,1,0)=0,0,1+COUNTIF(DN$3:DN262,"&gt;0"))</f>
        <v>0</v>
      </c>
      <c r="DO263">
        <f>IF(IF(OR(IFERROR(SEARCH("Druid",$T263,1),0)&gt;0,IFERROR(SEARCH(DruidLand1,$T263,1),0)&gt;0,IFERROR(SEARCH(DruidLand2,$T263,1),0)&gt;0,IFERROR(SEARCH(DruidLand3,$T263,1),0)&gt;0,IFERROR(SEARCH(DruidLand4,$T263,1),0)&gt;0),1,0)*IF($C263=1,1,0)*IF($C263=DO$2,1,0)=0,0,1+COUNTIF(DO$3:DO262,"&gt;0"))</f>
        <v>0</v>
      </c>
      <c r="DP263">
        <f>IF(IF(OR(IFERROR(SEARCH("Druid",$T263,1),0)&gt;0,IFERROR(SEARCH(DruidLand1,$T263,1),0)&gt;0,IFERROR(SEARCH(DruidLand2,$T263,1),0)&gt;0,IFERROR(SEARCH(DruidLand3,$T263,1),0)&gt;0,IFERROR(SEARCH(DruidLand4,$T263,1),0)&gt;0),1,0)*IF($C263=1,1,0)*IF($C263=DP$2,1,0)=0,0,1+COUNTIF(DP$3:DP262,"&gt;0"))</f>
        <v>0</v>
      </c>
      <c r="DQ263">
        <f>IF(IF(OR(IFERROR(SEARCH("Druid",$T263,1),0)&gt;0,IFERROR(SEARCH(DruidLand1,$T263,1),0)&gt;0,IFERROR(SEARCH(DruidLand2,$T263,1),0)&gt;0,IFERROR(SEARCH(DruidLand3,$T263,1),0)&gt;0,IFERROR(SEARCH(DruidLand4,$T263,1),0)&gt;0),1,0)*IF($C263=1,1,0)*IF($C263=DQ$2,1,0)=0,0,1+COUNTIF(DQ$3:DQ262,"&gt;0"))</f>
        <v>0</v>
      </c>
      <c r="DR263">
        <f>IF(IF(OR(IFERROR(SEARCH("Druid",$T263,1),0)&gt;0,IFERROR(SEARCH(DruidLand1,$T263,1),0)&gt;0,IFERROR(SEARCH(DruidLand2,$T263,1),0)&gt;0,IFERROR(SEARCH(DruidLand3,$T263,1),0)&gt;0,IFERROR(SEARCH(DruidLand4,$T263,1),0)&gt;0),1,0)*IF($C263=1,1,0)*IF($C263=DR$2,1,0)=0,0,1+COUNTIF(DR$3:DR262,"&gt;0"))</f>
        <v>0</v>
      </c>
      <c r="DS263">
        <f>IF(IF(OR(IFERROR(SEARCH("Paladin",$T263,1),0)&gt;0,IFERROR(SEARCH(PaladinOath,$T263,1),0)&gt;0),1,0)*IF($C263=DS$2,1,0)=1,1+COUNTIF(DS$3:DS262,"&gt;0"),0)</f>
        <v>0</v>
      </c>
      <c r="DT263">
        <f>IF(IF(OR(IFERROR(SEARCH("Paladin",$T263,1),0)&gt;0,IFERROR(SEARCH(PaladinOath,$T263,1),0)&gt;0),1,0)*IF($C263=DT$2,1,0)=1,1+COUNTIF(DT$3:DT262,"&gt;0"),0)</f>
        <v>0</v>
      </c>
      <c r="DU263">
        <f>IF(IF(OR(IFERROR(SEARCH("Paladin",$T263,1),0)&gt;0,IFERROR(SEARCH(PaladinOath,$T263,1),0)&gt;0),1,0)*IF($C263=DU$2,1,0)=1,1+COUNTIF(DU$3:DU262,"&gt;0"),0)</f>
        <v>0</v>
      </c>
      <c r="DV263">
        <f>IF(IF(OR(IFERROR(SEARCH("Paladin",$T263,1),0)&gt;0,IFERROR(SEARCH(PaladinOath,$T263,1),0)&gt;0),1,0)*IF($C263=DV$2,1,0)=1,1+COUNTIF(DV$3:DV262,"&gt;0"),0)</f>
        <v>0</v>
      </c>
      <c r="DW263">
        <f>IF(IF(OR(IFERROR(SEARCH("Paladin",$T263,1),0)&gt;0,IFERROR(SEARCH(PaladinOath,$T263,1),0)&gt;0),1,0)*IF($C263=DW$2,1,0)=1,1+COUNTIF(DW$3:DW262,"&gt;0"),0)</f>
        <v>0</v>
      </c>
      <c r="DY263">
        <f t="shared" si="225"/>
        <v>1</v>
      </c>
      <c r="DZ263">
        <f>IF(DY263=0,0,1+MAX(DZ$3:$DZ262))</f>
        <v>261</v>
      </c>
      <c r="EB263">
        <f t="shared" si="239"/>
        <v>1</v>
      </c>
      <c r="EC263">
        <f>IF(EB263=0,0,1+COUNTIF(EC$3:EC262,"&gt;0"))</f>
        <v>9</v>
      </c>
      <c r="ED263" t="str">
        <f t="shared" si="267"/>
        <v/>
      </c>
      <c r="EE263" t="str">
        <f t="shared" si="240"/>
        <v/>
      </c>
      <c r="EG263">
        <f t="shared" si="241"/>
        <v>0</v>
      </c>
      <c r="EH263">
        <f>IF(EG263=0,0,1+COUNTIF(EH$3:EH262,"&gt;0"))</f>
        <v>0</v>
      </c>
      <c r="EI263" t="str">
        <f t="shared" si="268"/>
        <v/>
      </c>
      <c r="EJ263" t="str">
        <f t="shared" si="242"/>
        <v/>
      </c>
      <c r="EL263">
        <f t="shared" si="243"/>
        <v>0</v>
      </c>
      <c r="EM263">
        <f>IF(EL263=0,0,1+COUNTIF(EM$3:EM262,"&gt;0"))</f>
        <v>0</v>
      </c>
      <c r="EN263" t="str">
        <f t="shared" si="269"/>
        <v/>
      </c>
      <c r="EO263" t="str">
        <f t="shared" si="244"/>
        <v/>
      </c>
      <c r="EQ263">
        <f t="shared" si="245"/>
        <v>0</v>
      </c>
      <c r="ER263">
        <f>IF(EQ263=0,0,1+COUNTIF(ER$3:ER262,"&gt;0"))</f>
        <v>0</v>
      </c>
      <c r="ES263" t="str">
        <f t="shared" si="270"/>
        <v/>
      </c>
      <c r="ET263" t="str">
        <f t="shared" si="246"/>
        <v/>
      </c>
      <c r="EV263">
        <f t="shared" si="247"/>
        <v>0</v>
      </c>
      <c r="EW263">
        <f>IF(EV263=0,0,1+COUNTIF(EW$3:EW262,"&gt;0"))</f>
        <v>0</v>
      </c>
      <c r="EX263" t="str">
        <f t="shared" si="271"/>
        <v/>
      </c>
      <c r="EY263" t="str">
        <f t="shared" si="248"/>
        <v/>
      </c>
      <c r="FA263">
        <f t="shared" si="249"/>
        <v>1</v>
      </c>
      <c r="FB263">
        <f>IF(FA263=0,0,1+COUNTIF(FB$3:FB262,"&gt;0"))</f>
        <v>13</v>
      </c>
      <c r="FC263" t="str">
        <f t="shared" si="272"/>
        <v/>
      </c>
      <c r="FD263" t="str">
        <f t="shared" si="250"/>
        <v/>
      </c>
      <c r="FF263">
        <f t="shared" si="251"/>
        <v>1</v>
      </c>
      <c r="FG263">
        <f>IF(FF263=0,0,1+COUNTIF(FG$3:FG262,"&gt;0"))</f>
        <v>7</v>
      </c>
      <c r="FH263" t="str">
        <f t="shared" si="273"/>
        <v/>
      </c>
      <c r="FI263" t="str">
        <f t="shared" si="252"/>
        <v/>
      </c>
      <c r="FK263">
        <f t="shared" si="253"/>
        <v>1</v>
      </c>
      <c r="FL263">
        <f>IF(FK263=0,0,1+COUNTIF(FL$3:FL262,"&gt;0"))</f>
        <v>13</v>
      </c>
      <c r="FM263" t="str">
        <f t="shared" si="274"/>
        <v/>
      </c>
      <c r="FN263" t="str">
        <f t="shared" si="254"/>
        <v/>
      </c>
      <c r="FP263">
        <f t="shared" si="255"/>
        <v>1</v>
      </c>
      <c r="FQ263">
        <f>IF(FP263=0,0,1+COUNTIF(FQ$3:FQ262,"&gt;0"))</f>
        <v>9</v>
      </c>
      <c r="FR263" t="str">
        <f t="shared" si="275"/>
        <v/>
      </c>
      <c r="FS263" t="str">
        <f t="shared" si="256"/>
        <v/>
      </c>
    </row>
    <row r="264" spans="1:175" x14ac:dyDescent="0.25">
      <c r="A264" s="347">
        <f t="shared" si="219"/>
        <v>262</v>
      </c>
      <c r="B264" s="348" t="s">
        <v>2646</v>
      </c>
      <c r="C264" s="348">
        <v>7</v>
      </c>
      <c r="D264" s="347">
        <v>7</v>
      </c>
      <c r="E264" s="627" t="s">
        <v>6952</v>
      </c>
      <c r="F264" s="346"/>
      <c r="G264" s="347" t="str">
        <f>""</f>
        <v/>
      </c>
      <c r="H264" s="347" t="s">
        <v>5912</v>
      </c>
      <c r="I264" s="347" t="s">
        <v>5283</v>
      </c>
      <c r="J264" s="347" t="str">
        <f t="shared" si="226"/>
        <v/>
      </c>
      <c r="K264" s="347" t="s">
        <v>5278</v>
      </c>
      <c r="L264" s="611" t="str">
        <f t="shared" si="227"/>
        <v>V, S</v>
      </c>
      <c r="M264" s="347" t="s">
        <v>2373</v>
      </c>
      <c r="N264" s="347" t="s">
        <v>2387</v>
      </c>
      <c r="O264" s="347" t="s">
        <v>3034</v>
      </c>
      <c r="P264" s="346" t="str">
        <f>""</f>
        <v/>
      </c>
      <c r="Q264" s="347" t="s">
        <v>5273</v>
      </c>
      <c r="S264" s="346" t="s">
        <v>5795</v>
      </c>
      <c r="T264" s="346" t="str">
        <f t="shared" si="228"/>
        <v xml:space="preserve">Sorcerer, Eldritch Knight, Wizard, </v>
      </c>
      <c r="X264" s="347" t="str">
        <f>$B264</f>
        <v>Prismatic Spray</v>
      </c>
      <c r="AB264" s="542" t="str">
        <f>AD264</f>
        <v>Prismatic Spray</v>
      </c>
      <c r="AD264" s="347" t="str">
        <f>$B264</f>
        <v>Prismatic Spray</v>
      </c>
      <c r="AE264" t="str">
        <f>IF(IFERROR(MATCH($B264,temp!A$4:A$13,0),0)&gt;0,T08_Spells!AE$2,"")</f>
        <v/>
      </c>
      <c r="AF264" t="str">
        <f>IF(IFERROR(MATCH($B264,temp!B$4:B$13,0),0)&gt;0,T08_Spells!AF$2,"")</f>
        <v/>
      </c>
      <c r="AG264" t="str">
        <f>IF(IFERROR(MATCH($B264,temp!C$4:C$13,0),0)&gt;0,T08_Spells!AG$2,"")</f>
        <v/>
      </c>
      <c r="AH264" t="str">
        <f>IF(IFERROR(MATCH($B264,temp!D$4:D$13,0),0)&gt;0,T08_Spells!AH$2,"")</f>
        <v/>
      </c>
      <c r="AI264" t="str">
        <f>IF(IFERROR(MATCH($B264,temp!E$4:E$13,0),0)&gt;0,T08_Spells!AI$2,"")</f>
        <v/>
      </c>
      <c r="AJ264" t="str">
        <f>IF(IFERROR(MATCH($B264,temp!F$4:F$13,0),0)&gt;0,T08_Spells!AJ$2,"")</f>
        <v/>
      </c>
      <c r="AK264" t="str">
        <f>IF(IFERROR(MATCH($B264,temp!G$4:G$13,0),0)&gt;0,T08_Spells!AK$2,"")</f>
        <v/>
      </c>
      <c r="AL264" t="str">
        <f>IF(IFERROR(MATCH($B264,temp!H$4:H$13,0),0)&gt;0,T08_Spells!AL$2,"")</f>
        <v/>
      </c>
      <c r="AM264" t="str">
        <f>IF(IFERROR(MATCH($B264,temp!I$4:I$13,0),0)&gt;0,T08_Spells!AM$2,"")</f>
        <v/>
      </c>
      <c r="AN264" t="str">
        <f>IF(IFERROR(MATCH($B264,temp!J$4:J$13,0),0)&gt;0,T08_Spells!AN$2,"")</f>
        <v/>
      </c>
      <c r="AO264" t="str">
        <f>IF(IFERROR(MATCH($B264,temp!K$4:K$13,0),0)&gt;0,T08_Spells!AO$2,"")</f>
        <v/>
      </c>
      <c r="AP264" t="str">
        <f>IF(IFERROR(MATCH($B264,temp!L$4:L$13,0),0)&gt;0,T08_Spells!AP$2,"")</f>
        <v/>
      </c>
      <c r="AQ264" t="str">
        <f>IF(IFERROR(MATCH($B264,temp!M$4:M$13,0),0)&gt;0,T08_Spells!AQ$2,"")</f>
        <v/>
      </c>
      <c r="AR264" t="str">
        <f>IF(IFERROR(MATCH($B264,temp!N$4:N$13,0),0)&gt;0,T08_Spells!AR$2,"")</f>
        <v/>
      </c>
      <c r="AS264" t="str">
        <f>IF(IFERROR(MATCH($B264,temp!O$4:O$13,0),0)&gt;0,T08_Spells!AS$2,"")</f>
        <v/>
      </c>
      <c r="AT264" t="str">
        <f>IF(IFERROR(MATCH($B264,temp!P$4:P$13,0),0)&gt;0,T08_Spells!AT$2,"")</f>
        <v/>
      </c>
      <c r="AU264" t="str">
        <f>IF(IFERROR(MATCH($B264,temp!Q$4:Q$13,0),0)&gt;0,T08_Spells!AU$2,"")</f>
        <v/>
      </c>
      <c r="AV264" t="str">
        <f>IF(IFERROR(MATCH($B264,temp!R$4:R$13,0),0)&gt;0,T08_Spells!AV$2,"")</f>
        <v/>
      </c>
      <c r="AW264" t="str">
        <f>IF(IFERROR(MATCH($B264,temp!S$4:S$13,0),0)&gt;0,T08_Spells!AW$2,"")</f>
        <v/>
      </c>
      <c r="AX264" t="str">
        <f>IF(IFERROR(MATCH($B264,temp!T$4:T$13,0),0)&gt;0,T08_Spells!AX$2,"")</f>
        <v/>
      </c>
      <c r="AY264" t="str">
        <f>IF(IFERROR(MATCH($B264,temp!U$4:U$13,0),0)&gt;0,T08_Spells!AY$2,"")</f>
        <v/>
      </c>
      <c r="AZ264" t="str">
        <f>IF(IFERROR(MATCH($B264,temp!V$4:V$13,0),0)&gt;0,T08_Spells!AZ$2,"")</f>
        <v/>
      </c>
      <c r="BA264" t="str">
        <f>IF(IFERROR(MATCH($B264,temp!W$4:W$13,0),0)&gt;0,T08_Spells!BA$2,"")</f>
        <v/>
      </c>
      <c r="BC264">
        <f>IF(IFERROR(SEARCH("Ranger",$T264,1),0)&gt;0,1,0)*IF(RangerMaxSpellLevel&gt;=$C264,1,0)*IF(IFERROR(MATCH(B264,Character_Creation!$X$79:$X$382,0),0)&gt;0,0,1)</f>
        <v>0</v>
      </c>
      <c r="BD264">
        <f>IF(BC264=0,0,1+COUNTIF(BD$3:BD263,"&gt;0"))</f>
        <v>0</v>
      </c>
      <c r="BE264" t="str">
        <f t="shared" si="257"/>
        <v/>
      </c>
      <c r="BF264" t="str">
        <f t="shared" si="229"/>
        <v/>
      </c>
      <c r="BH264">
        <f>IF(IFERROR(SEARCH("Sorcerer",$T264,1),0)&gt;0,1,0)*IF(SorcererMaxSpellLevel&gt;=$C264,1,0)*IF(IFERROR(MATCH(B264,Character_Creation!$J$380:$J$394,0),0)&gt;0,0,1)</f>
        <v>0</v>
      </c>
      <c r="BI264">
        <f>IF(BH264=0,0,1+COUNTIF(BI$3:BI263,"&gt;0"))</f>
        <v>0</v>
      </c>
      <c r="BJ264" t="str">
        <f t="shared" si="258"/>
        <v/>
      </c>
      <c r="BK264" t="str">
        <f t="shared" si="230"/>
        <v/>
      </c>
      <c r="BM264">
        <f>IF(OR(IFERROR(SEARCH("Warlock",$T264,1),0)&gt;0,IFERROR(SEARCH(WarlockPatron,$T264,1),0)&gt;0),1,0)*IF(WarlockMaxSpellLevel&gt;=$C264,1,0)*IF(IFERROR(MATCH(B264,Character_Creation!$J$361:$J$375,0),0)&gt;0,0,1)</f>
        <v>0</v>
      </c>
      <c r="BN264">
        <f>IF(BM264=0,0,1+COUNTIF(BN$3:BN263,"&gt;0"))</f>
        <v>0</v>
      </c>
      <c r="BO264" t="str">
        <f t="shared" si="259"/>
        <v/>
      </c>
      <c r="BP264" t="str">
        <f t="shared" si="231"/>
        <v/>
      </c>
      <c r="BR264">
        <f>IF(IFERROR(SEARCH("Eldritch Knight",$T264,1),0)&gt;0,1,0)*IF(EldritchKnightMaxSpellLevel&gt;=$C264,1,0)*IF(IFERROR(MATCH($B264,Character_Creation!$J$350:$J$356,0),0)&gt;0,0,1)*IF(Character_Creation!$M$338&gt;0,1,0)</f>
        <v>0</v>
      </c>
      <c r="BS264">
        <f>IF(BR264=0,0,1+COUNTIF(BS$3:BS263,"&gt;0"))</f>
        <v>0</v>
      </c>
      <c r="BT264" t="str">
        <f t="shared" si="260"/>
        <v/>
      </c>
      <c r="BU264" t="str">
        <f t="shared" si="232"/>
        <v/>
      </c>
      <c r="BW264">
        <f>IF(IFERROR(SEARCH("Arcane Trickster",$T264,1),0)&gt;0,1,0)*IF(ArcaneTricksterMaxSpellLevel&gt;=$C264,1,0)*IF(IFERROR(MATCH($B264,Character_Creation!$J$350:$J$356,0),0)&gt;0,0,1)*IF(Character_Creation!$T$338&gt;0,1,0)</f>
        <v>0</v>
      </c>
      <c r="BX264">
        <f>IF(BW264=0,0,1+COUNTIF(BX$3:BX263,"&gt;0"))</f>
        <v>0</v>
      </c>
      <c r="BY264" t="str">
        <f t="shared" si="261"/>
        <v/>
      </c>
      <c r="BZ264" t="str">
        <f t="shared" si="233"/>
        <v/>
      </c>
      <c r="CB264">
        <f>IF(IFERROR(SEARCH("Wizard",$T264,1),0)&gt;0,1,0)*IF(C264&lt;=ArcaneTricksterMaxSpellLevel,1,0)*IF(IFERROR(MATCH($B264,Character_Creation!$J$350:$J$356,0),0)&gt;0,0,1)*IF(Character_Creation!$T$350&gt;0,1,0)</f>
        <v>0</v>
      </c>
      <c r="CC264">
        <f>IF(CB264=0,0,1+COUNTIF(CC$3:CC263,"&gt;0"))</f>
        <v>0</v>
      </c>
      <c r="CD264" t="str">
        <f t="shared" si="262"/>
        <v/>
      </c>
      <c r="CE264" t="str">
        <f t="shared" si="234"/>
        <v/>
      </c>
      <c r="CG264">
        <f>IF(IFERROR(SEARCH("Wizard",$T264,1),0)&gt;0,1,0)*IF($C264&lt;=EldritchKnightMaxSpellLevel,1,0)*IF(IFERROR(MATCH($B264,Character_Creation!$J$350:$J$356,0),0)&gt;0,0,1)*IF(Character_Creation!$M$350&gt;0,1,0)</f>
        <v>0</v>
      </c>
      <c r="CH264">
        <f>IF(CG264=0,0,1+COUNTIF(CH$3:CH263,"&gt;0"))</f>
        <v>0</v>
      </c>
      <c r="CI264" t="str">
        <f t="shared" si="263"/>
        <v/>
      </c>
      <c r="CJ264" t="str">
        <f t="shared" si="235"/>
        <v/>
      </c>
      <c r="CL264">
        <f>IF(IFERROR(SEARCH("Bard",$T264,1),0)&gt;0,1,0)*IF(BardMaxSpellLevel&gt;=$C264,1,0)*IF(IFERROR(MATCH(B264,Character_Creation!$C$341:$F$362,0),0)&gt;0,0,1)*IF(IFERROR(MATCH($B264,Character_Creation!$C$341:$C$362,0),0)&gt;0,0,1)</f>
        <v>0</v>
      </c>
      <c r="CM264">
        <f>IF(CL264=0,0,1+COUNTIF(CM$3:CM263,"&gt;0"))</f>
        <v>0</v>
      </c>
      <c r="CN264" t="str">
        <f t="shared" si="264"/>
        <v/>
      </c>
      <c r="CO264" t="str">
        <f t="shared" si="236"/>
        <v/>
      </c>
      <c r="CQ264">
        <f>IF(IFERROR(SEARCH("Wizard",$T264,1),0)&gt;0,1,0)*IF(WizardMaxSpellLevel&gt;=$C264,1,0)*IF(IFERROR(MATCH(B264,Character_Creation!$X$341:$X$400,0),0)&gt;0,0,1)*IF(SelectedWizardSpellLevel=$C264,1,0)</f>
        <v>0</v>
      </c>
      <c r="CR264">
        <f>IF(CQ264=0,0,1+COUNTIF(CR$3:CR263,"&gt;0"))</f>
        <v>0</v>
      </c>
      <c r="CS264" t="str">
        <f t="shared" si="265"/>
        <v/>
      </c>
      <c r="CT264" t="str">
        <f t="shared" si="237"/>
        <v/>
      </c>
      <c r="CV264">
        <f>IF(IFERROR(MATCH($B264,Character_Creation!$C$341:$C$362,0),0)&gt;0,0,1)*IF(OR(C264="Cantrip",C264&lt;=BardMaxSpellLevel),1,0)*IF(IFERROR(MATCH($B264,Character_Creation!$C$367:$C$374,0),0)&gt;0,0,1)</f>
        <v>0</v>
      </c>
      <c r="CW264">
        <f>IF(CV264=0,0,1+COUNTIF(CW$3:CW263,"&gt;0"))</f>
        <v>0</v>
      </c>
      <c r="CX264" t="str">
        <f t="shared" si="266"/>
        <v/>
      </c>
      <c r="CY264" t="str">
        <f t="shared" si="238"/>
        <v/>
      </c>
      <c r="DA264">
        <f>IF(IF(OR(IFERROR(SEARCH("Cleric",$T264,1),0)&gt;0,IFERROR(SEARCH(DivineDomain&amp;",",$T264,1),0)&gt;0),1,0)*IF($C264=DA$2,1,0)=1,1+COUNTIF(DA$3:DA263,"&gt;0"),0)</f>
        <v>0</v>
      </c>
      <c r="DB264">
        <f>IF(IF(OR(IFERROR(SEARCH("Cleric",$T264,1),0)&gt;0,IFERROR(SEARCH(DivineDomain&amp;",",$T264,1),0)&gt;0),1,0)*IF($C264=DB$2,1,0)=1,1+COUNTIF(DB$3:DB263,"&gt;0"),0)</f>
        <v>0</v>
      </c>
      <c r="DC264">
        <f>IF(IF(OR(IFERROR(SEARCH("Cleric",$T264,1),0)&gt;0,IFERROR(SEARCH(DivineDomain&amp;",",$T264,1),0)&gt;0),1,0)*IF($C264=DC$2,1,0)=1,1+COUNTIF(DC$3:DC263,"&gt;0"),0)</f>
        <v>0</v>
      </c>
      <c r="DD264">
        <f>IF(IF(OR(IFERROR(SEARCH("Cleric",$T264,1),0)&gt;0,IFERROR(SEARCH(DivineDomain&amp;",",$T264,1),0)&gt;0),1,0)*IF($C264=DD$2,1,0)=1,1+COUNTIF(DD$3:DD263,"&gt;0"),0)</f>
        <v>0</v>
      </c>
      <c r="DE264">
        <f>IF(IF(OR(IFERROR(SEARCH("Cleric",$T264,1),0)&gt;0,IFERROR(SEARCH(DivineDomain&amp;",",$T264,1),0)&gt;0),1,0)*IF($C264=DE$2,1,0)=1,1+COUNTIF(DE$3:DE263,"&gt;0"),0)</f>
        <v>0</v>
      </c>
      <c r="DF264">
        <f>IF(IF(OR(IFERROR(SEARCH("Cleric",$T264,1),0)&gt;0,IFERROR(SEARCH(DivineDomain&amp;",",$T264,1),0)&gt;0),1,0)*IF($C264=DF$2,1,0)=1,1+COUNTIF(DF$3:DF263,"&gt;0"),0)</f>
        <v>0</v>
      </c>
      <c r="DG264">
        <f>IF(IF(OR(IFERROR(SEARCH("Cleric",$T264,1),0)&gt;0,IFERROR(SEARCH(DivineDomain&amp;",",$T264,1),0)&gt;0),1,0)*IF($C264=DG$2,1,0)=1,1+COUNTIF(DG$3:DG263,"&gt;0"),0)</f>
        <v>0</v>
      </c>
      <c r="DH264">
        <f>IF(IF(OR(IFERROR(SEARCH("Cleric",$T264,1),0)&gt;0,IFERROR(SEARCH(DivineDomain&amp;",",$T264,1),0)&gt;0),1,0)*IF($C264=DH$2,1,0)=1,1+COUNTIF(DH$3:DH263,"&gt;0"),0)</f>
        <v>0</v>
      </c>
      <c r="DI264">
        <f>IF(IF(OR(IFERROR(SEARCH("Cleric",$T264,1),0)&gt;0,IFERROR(SEARCH(DivineDomain&amp;",",$T264,1),0)&gt;0),1,0)*IF($C264=DI$2,1,0)=1,1+COUNTIF(DI$3:DI263,"&gt;0"),0)</f>
        <v>0</v>
      </c>
      <c r="DJ264">
        <f>IF(IF(OR(IFERROR(SEARCH("Druid",$T264,1),0)&gt;0,IFERROR(SEARCH(DruidLand1,$T264,1),0)&gt;0,IFERROR(SEARCH(DruidLand2,$T264,1),0)&gt;0,IFERROR(SEARCH(DruidLand3,$T264,1),0)&gt;0,IFERROR(SEARCH(DruidLand4,$T264,1),0)&gt;0),1,0)*IF($C264=1,1,0)*IF($C264=DJ$2,1,0)=0,0,1+COUNTIF(DJ$3:DJ263,"&gt;0"))</f>
        <v>0</v>
      </c>
      <c r="DK264">
        <f>IF(IF(OR(IFERROR(SEARCH("Druid",$T264,1),0)&gt;0,IFERROR(SEARCH(DruidLand1,$T264,1),0)&gt;0,IFERROR(SEARCH(DruidLand2,$T264,1),0)&gt;0,IFERROR(SEARCH(DruidLand3,$T264,1),0)&gt;0,IFERROR(SEARCH(DruidLand4,$T264,1),0)&gt;0),1,0)*IF($C264=1,1,0)*IF($C264=DK$2,1,0)=0,0,1+COUNTIF(DK$3:DK263,"&gt;0"))</f>
        <v>0</v>
      </c>
      <c r="DL264">
        <f>IF(IF(OR(IFERROR(SEARCH("Druid",$T264,1),0)&gt;0,IFERROR(SEARCH(DruidLand1,$T264,1),0)&gt;0,IFERROR(SEARCH(DruidLand2,$T264,1),0)&gt;0,IFERROR(SEARCH(DruidLand3,$T264,1),0)&gt;0,IFERROR(SEARCH(DruidLand4,$T264,1),0)&gt;0),1,0)*IF($C264=1,1,0)*IF($C264=DL$2,1,0)=0,0,1+COUNTIF(DL$3:DL263,"&gt;0"))</f>
        <v>0</v>
      </c>
      <c r="DM264">
        <f>IF(IF(OR(IFERROR(SEARCH("Druid",$T264,1),0)&gt;0,IFERROR(SEARCH(DruidLand1,$T264,1),0)&gt;0,IFERROR(SEARCH(DruidLand2,$T264,1),0)&gt;0,IFERROR(SEARCH(DruidLand3,$T264,1),0)&gt;0,IFERROR(SEARCH(DruidLand4,$T264,1),0)&gt;0),1,0)*IF($C264=1,1,0)*IF($C264=DM$2,1,0)=0,0,1+COUNTIF(DM$3:DM263,"&gt;0"))</f>
        <v>0</v>
      </c>
      <c r="DN264">
        <f>IF(IF(OR(IFERROR(SEARCH("Druid",$T264,1),0)&gt;0,IFERROR(SEARCH(DruidLand1,$T264,1),0)&gt;0,IFERROR(SEARCH(DruidLand2,$T264,1),0)&gt;0,IFERROR(SEARCH(DruidLand3,$T264,1),0)&gt;0,IFERROR(SEARCH(DruidLand4,$T264,1),0)&gt;0),1,0)*IF($C264=1,1,0)*IF($C264=DN$2,1,0)=0,0,1+COUNTIF(DN$3:DN263,"&gt;0"))</f>
        <v>0</v>
      </c>
      <c r="DO264">
        <f>IF(IF(OR(IFERROR(SEARCH("Druid",$T264,1),0)&gt;0,IFERROR(SEARCH(DruidLand1,$T264,1),0)&gt;0,IFERROR(SEARCH(DruidLand2,$T264,1),0)&gt;0,IFERROR(SEARCH(DruidLand3,$T264,1),0)&gt;0,IFERROR(SEARCH(DruidLand4,$T264,1),0)&gt;0),1,0)*IF($C264=1,1,0)*IF($C264=DO$2,1,0)=0,0,1+COUNTIF(DO$3:DO263,"&gt;0"))</f>
        <v>0</v>
      </c>
      <c r="DP264">
        <f>IF(IF(OR(IFERROR(SEARCH("Druid",$T264,1),0)&gt;0,IFERROR(SEARCH(DruidLand1,$T264,1),0)&gt;0,IFERROR(SEARCH(DruidLand2,$T264,1),0)&gt;0,IFERROR(SEARCH(DruidLand3,$T264,1),0)&gt;0,IFERROR(SEARCH(DruidLand4,$T264,1),0)&gt;0),1,0)*IF($C264=1,1,0)*IF($C264=DP$2,1,0)=0,0,1+COUNTIF(DP$3:DP263,"&gt;0"))</f>
        <v>0</v>
      </c>
      <c r="DQ264">
        <f>IF(IF(OR(IFERROR(SEARCH("Druid",$T264,1),0)&gt;0,IFERROR(SEARCH(DruidLand1,$T264,1),0)&gt;0,IFERROR(SEARCH(DruidLand2,$T264,1),0)&gt;0,IFERROR(SEARCH(DruidLand3,$T264,1),0)&gt;0,IFERROR(SEARCH(DruidLand4,$T264,1),0)&gt;0),1,0)*IF($C264=1,1,0)*IF($C264=DQ$2,1,0)=0,0,1+COUNTIF(DQ$3:DQ263,"&gt;0"))</f>
        <v>0</v>
      </c>
      <c r="DR264">
        <f>IF(IF(OR(IFERROR(SEARCH("Druid",$T264,1),0)&gt;0,IFERROR(SEARCH(DruidLand1,$T264,1),0)&gt;0,IFERROR(SEARCH(DruidLand2,$T264,1),0)&gt;0,IFERROR(SEARCH(DruidLand3,$T264,1),0)&gt;0,IFERROR(SEARCH(DruidLand4,$T264,1),0)&gt;0),1,0)*IF($C264=1,1,0)*IF($C264=DR$2,1,0)=0,0,1+COUNTIF(DR$3:DR263,"&gt;0"))</f>
        <v>0</v>
      </c>
      <c r="DS264">
        <f>IF(IF(OR(IFERROR(SEARCH("Paladin",$T264,1),0)&gt;0,IFERROR(SEARCH(PaladinOath,$T264,1),0)&gt;0),1,0)*IF($C264=DS$2,1,0)=1,1+COUNTIF(DS$3:DS263,"&gt;0"),0)</f>
        <v>0</v>
      </c>
      <c r="DT264">
        <f>IF(IF(OR(IFERROR(SEARCH("Paladin",$T264,1),0)&gt;0,IFERROR(SEARCH(PaladinOath,$T264,1),0)&gt;0),1,0)*IF($C264=DT$2,1,0)=1,1+COUNTIF(DT$3:DT263,"&gt;0"),0)</f>
        <v>0</v>
      </c>
      <c r="DU264">
        <f>IF(IF(OR(IFERROR(SEARCH("Paladin",$T264,1),0)&gt;0,IFERROR(SEARCH(PaladinOath,$T264,1),0)&gt;0),1,0)*IF($C264=DU$2,1,0)=1,1+COUNTIF(DU$3:DU263,"&gt;0"),0)</f>
        <v>0</v>
      </c>
      <c r="DV264">
        <f>IF(IF(OR(IFERROR(SEARCH("Paladin",$T264,1),0)&gt;0,IFERROR(SEARCH(PaladinOath,$T264,1),0)&gt;0),1,0)*IF($C264=DV$2,1,0)=1,1+COUNTIF(DV$3:DV263,"&gt;0"),0)</f>
        <v>0</v>
      </c>
      <c r="DW264">
        <f>IF(IF(OR(IFERROR(SEARCH("Paladin",$T264,1),0)&gt;0,IFERROR(SEARCH(PaladinOath,$T264,1),0)&gt;0),1,0)*IF($C264=DW$2,1,0)=1,1+COUNTIF(DW$3:DW263,"&gt;0"),0)</f>
        <v>0</v>
      </c>
      <c r="DY264">
        <f t="shared" si="225"/>
        <v>1</v>
      </c>
      <c r="DZ264">
        <f>IF(DY264=0,0,1+MAX(DZ$3:$DZ263))</f>
        <v>262</v>
      </c>
      <c r="EB264">
        <f t="shared" si="239"/>
        <v>0</v>
      </c>
      <c r="EC264">
        <f>IF(EB264=0,0,1+COUNTIF(EC$3:EC263,"&gt;0"))</f>
        <v>0</v>
      </c>
      <c r="ED264" t="str">
        <f t="shared" si="267"/>
        <v/>
      </c>
      <c r="EE264" t="str">
        <f t="shared" si="240"/>
        <v/>
      </c>
      <c r="EG264">
        <f t="shared" si="241"/>
        <v>0</v>
      </c>
      <c r="EH264">
        <f>IF(EG264=0,0,1+COUNTIF(EH$3:EH263,"&gt;0"))</f>
        <v>0</v>
      </c>
      <c r="EI264" t="str">
        <f t="shared" si="268"/>
        <v/>
      </c>
      <c r="EJ264" t="str">
        <f t="shared" si="242"/>
        <v/>
      </c>
      <c r="EL264">
        <f t="shared" si="243"/>
        <v>0</v>
      </c>
      <c r="EM264">
        <f>IF(EL264=0,0,1+COUNTIF(EM$3:EM263,"&gt;0"))</f>
        <v>0</v>
      </c>
      <c r="EN264" t="str">
        <f t="shared" si="269"/>
        <v/>
      </c>
      <c r="EO264" t="str">
        <f t="shared" si="244"/>
        <v/>
      </c>
      <c r="EQ264">
        <f t="shared" si="245"/>
        <v>0</v>
      </c>
      <c r="ER264">
        <f>IF(EQ264=0,0,1+COUNTIF(ER$3:ER263,"&gt;0"))</f>
        <v>0</v>
      </c>
      <c r="ES264" t="str">
        <f t="shared" si="270"/>
        <v/>
      </c>
      <c r="ET264" t="str">
        <f t="shared" si="246"/>
        <v/>
      </c>
      <c r="EV264">
        <f t="shared" si="247"/>
        <v>0</v>
      </c>
      <c r="EW264">
        <f>IF(EV264=0,0,1+COUNTIF(EW$3:EW263,"&gt;0"))</f>
        <v>0</v>
      </c>
      <c r="EX264" t="str">
        <f t="shared" si="271"/>
        <v/>
      </c>
      <c r="EY264" t="str">
        <f t="shared" si="248"/>
        <v/>
      </c>
      <c r="FA264">
        <f t="shared" si="249"/>
        <v>0</v>
      </c>
      <c r="FB264">
        <f>IF(FA264=0,0,1+COUNTIF(FB$3:FB263,"&gt;0"))</f>
        <v>0</v>
      </c>
      <c r="FC264" t="str">
        <f t="shared" si="272"/>
        <v/>
      </c>
      <c r="FD264" t="str">
        <f t="shared" si="250"/>
        <v/>
      </c>
      <c r="FF264">
        <f t="shared" si="251"/>
        <v>0</v>
      </c>
      <c r="FG264">
        <f>IF(FF264=0,0,1+COUNTIF(FG$3:FG263,"&gt;0"))</f>
        <v>0</v>
      </c>
      <c r="FH264" t="str">
        <f t="shared" si="273"/>
        <v/>
      </c>
      <c r="FI264" t="str">
        <f t="shared" si="252"/>
        <v/>
      </c>
      <c r="FK264">
        <f t="shared" si="253"/>
        <v>0</v>
      </c>
      <c r="FL264">
        <f>IF(FK264=0,0,1+COUNTIF(FL$3:FL263,"&gt;0"))</f>
        <v>0</v>
      </c>
      <c r="FM264" t="str">
        <f t="shared" si="274"/>
        <v/>
      </c>
      <c r="FN264" t="str">
        <f t="shared" si="254"/>
        <v/>
      </c>
      <c r="FP264">
        <f t="shared" si="255"/>
        <v>0</v>
      </c>
      <c r="FQ264">
        <f>IF(FP264=0,0,1+COUNTIF(FQ$3:FQ263,"&gt;0"))</f>
        <v>0</v>
      </c>
      <c r="FR264" t="str">
        <f t="shared" si="275"/>
        <v/>
      </c>
      <c r="FS264" t="str">
        <f t="shared" si="256"/>
        <v/>
      </c>
    </row>
    <row r="265" spans="1:175" x14ac:dyDescent="0.25">
      <c r="A265" s="347">
        <f t="shared" si="219"/>
        <v>263</v>
      </c>
      <c r="B265" s="348" t="s">
        <v>2647</v>
      </c>
      <c r="C265" s="348">
        <v>9</v>
      </c>
      <c r="D265" s="347">
        <v>9</v>
      </c>
      <c r="E265" s="627" t="s">
        <v>6952</v>
      </c>
      <c r="F265" s="346"/>
      <c r="G265" s="347" t="str">
        <f>""</f>
        <v/>
      </c>
      <c r="H265" s="347" t="s">
        <v>5912</v>
      </c>
      <c r="I265" s="347" t="s">
        <v>424</v>
      </c>
      <c r="J265" s="347" t="str">
        <f t="shared" si="226"/>
        <v/>
      </c>
      <c r="K265" s="347" t="s">
        <v>5319</v>
      </c>
      <c r="L265" s="611" t="str">
        <f t="shared" si="227"/>
        <v>V, S</v>
      </c>
      <c r="M265" s="347" t="s">
        <v>2373</v>
      </c>
      <c r="N265" s="347" t="s">
        <v>2387</v>
      </c>
      <c r="O265" s="347" t="s">
        <v>3034</v>
      </c>
      <c r="P265" s="346" t="str">
        <f>""</f>
        <v/>
      </c>
      <c r="Q265" s="347" t="s">
        <v>5270</v>
      </c>
      <c r="S265" s="346" t="s">
        <v>5796</v>
      </c>
      <c r="T265" s="346" t="str">
        <f t="shared" si="228"/>
        <v xml:space="preserve">Eldritch Knight, Wizard, </v>
      </c>
      <c r="AB265" s="542" t="str">
        <f>AD265</f>
        <v>Prismatic Wall</v>
      </c>
      <c r="AD265" s="347" t="str">
        <f>$B265</f>
        <v>Prismatic Wall</v>
      </c>
      <c r="AE265" t="str">
        <f>IF(IFERROR(MATCH($B265,temp!A$4:A$13,0),0)&gt;0,T08_Spells!AE$2,"")</f>
        <v/>
      </c>
      <c r="AF265" t="str">
        <f>IF(IFERROR(MATCH($B265,temp!B$4:B$13,0),0)&gt;0,T08_Spells!AF$2,"")</f>
        <v/>
      </c>
      <c r="AG265" t="str">
        <f>IF(IFERROR(MATCH($B265,temp!C$4:C$13,0),0)&gt;0,T08_Spells!AG$2,"")</f>
        <v/>
      </c>
      <c r="AH265" t="str">
        <f>IF(IFERROR(MATCH($B265,temp!D$4:D$13,0),0)&gt;0,T08_Spells!AH$2,"")</f>
        <v/>
      </c>
      <c r="AI265" t="str">
        <f>IF(IFERROR(MATCH($B265,temp!E$4:E$13,0),0)&gt;0,T08_Spells!AI$2,"")</f>
        <v/>
      </c>
      <c r="AJ265" t="str">
        <f>IF(IFERROR(MATCH($B265,temp!F$4:F$13,0),0)&gt;0,T08_Spells!AJ$2,"")</f>
        <v/>
      </c>
      <c r="AK265" t="str">
        <f>IF(IFERROR(MATCH($B265,temp!G$4:G$13,0),0)&gt;0,T08_Spells!AK$2,"")</f>
        <v/>
      </c>
      <c r="AL265" t="str">
        <f>IF(IFERROR(MATCH($B265,temp!H$4:H$13,0),0)&gt;0,T08_Spells!AL$2,"")</f>
        <v/>
      </c>
      <c r="AM265" t="str">
        <f>IF(IFERROR(MATCH($B265,temp!I$4:I$13,0),0)&gt;0,T08_Spells!AM$2,"")</f>
        <v/>
      </c>
      <c r="AN265" t="str">
        <f>IF(IFERROR(MATCH($B265,temp!J$4:J$13,0),0)&gt;0,T08_Spells!AN$2,"")</f>
        <v/>
      </c>
      <c r="AO265" t="str">
        <f>IF(IFERROR(MATCH($B265,temp!K$4:K$13,0),0)&gt;0,T08_Spells!AO$2,"")</f>
        <v/>
      </c>
      <c r="AP265" t="str">
        <f>IF(IFERROR(MATCH($B265,temp!L$4:L$13,0),0)&gt;0,T08_Spells!AP$2,"")</f>
        <v/>
      </c>
      <c r="AQ265" t="str">
        <f>IF(IFERROR(MATCH($B265,temp!M$4:M$13,0),0)&gt;0,T08_Spells!AQ$2,"")</f>
        <v/>
      </c>
      <c r="AR265" t="str">
        <f>IF(IFERROR(MATCH($B265,temp!N$4:N$13,0),0)&gt;0,T08_Spells!AR$2,"")</f>
        <v/>
      </c>
      <c r="AS265" t="str">
        <f>IF(IFERROR(MATCH($B265,temp!O$4:O$13,0),0)&gt;0,T08_Spells!AS$2,"")</f>
        <v/>
      </c>
      <c r="AT265" t="str">
        <f>IF(IFERROR(MATCH($B265,temp!P$4:P$13,0),0)&gt;0,T08_Spells!AT$2,"")</f>
        <v/>
      </c>
      <c r="AU265" t="str">
        <f>IF(IFERROR(MATCH($B265,temp!Q$4:Q$13,0),0)&gt;0,T08_Spells!AU$2,"")</f>
        <v/>
      </c>
      <c r="AV265" t="str">
        <f>IF(IFERROR(MATCH($B265,temp!R$4:R$13,0),0)&gt;0,T08_Spells!AV$2,"")</f>
        <v/>
      </c>
      <c r="AW265" t="str">
        <f>IF(IFERROR(MATCH($B265,temp!S$4:S$13,0),0)&gt;0,T08_Spells!AW$2,"")</f>
        <v/>
      </c>
      <c r="AX265" t="str">
        <f>IF(IFERROR(MATCH($B265,temp!T$4:T$13,0),0)&gt;0,T08_Spells!AX$2,"")</f>
        <v/>
      </c>
      <c r="AY265" t="str">
        <f>IF(IFERROR(MATCH($B265,temp!U$4:U$13,0),0)&gt;0,T08_Spells!AY$2,"")</f>
        <v/>
      </c>
      <c r="AZ265" t="str">
        <f>IF(IFERROR(MATCH($B265,temp!V$4:V$13,0),0)&gt;0,T08_Spells!AZ$2,"")</f>
        <v/>
      </c>
      <c r="BA265" t="str">
        <f>IF(IFERROR(MATCH($B265,temp!W$4:W$13,0),0)&gt;0,T08_Spells!BA$2,"")</f>
        <v/>
      </c>
      <c r="BC265">
        <f>IF(IFERROR(SEARCH("Ranger",$T265,1),0)&gt;0,1,0)*IF(RangerMaxSpellLevel&gt;=$C265,1,0)*IF(IFERROR(MATCH(B265,Character_Creation!$X$79:$X$382,0),0)&gt;0,0,1)</f>
        <v>0</v>
      </c>
      <c r="BD265">
        <f>IF(BC265=0,0,1+COUNTIF(BD$3:BD264,"&gt;0"))</f>
        <v>0</v>
      </c>
      <c r="BE265" t="str">
        <f t="shared" si="257"/>
        <v/>
      </c>
      <c r="BF265" t="str">
        <f t="shared" si="229"/>
        <v/>
      </c>
      <c r="BH265">
        <f>IF(IFERROR(SEARCH("Sorcerer",$T265,1),0)&gt;0,1,0)*IF(SorcererMaxSpellLevel&gt;=$C265,1,0)*IF(IFERROR(MATCH(B265,Character_Creation!$J$380:$J$394,0),0)&gt;0,0,1)</f>
        <v>0</v>
      </c>
      <c r="BI265">
        <f>IF(BH265=0,0,1+COUNTIF(BI$3:BI264,"&gt;0"))</f>
        <v>0</v>
      </c>
      <c r="BJ265" t="str">
        <f t="shared" si="258"/>
        <v/>
      </c>
      <c r="BK265" t="str">
        <f t="shared" si="230"/>
        <v/>
      </c>
      <c r="BM265">
        <f>IF(OR(IFERROR(SEARCH("Warlock",$T265,1),0)&gt;0,IFERROR(SEARCH(WarlockPatron,$T265,1),0)&gt;0),1,0)*IF(WarlockMaxSpellLevel&gt;=$C265,1,0)*IF(IFERROR(MATCH(B265,Character_Creation!$J$361:$J$375,0),0)&gt;0,0,1)</f>
        <v>0</v>
      </c>
      <c r="BN265">
        <f>IF(BM265=0,0,1+COUNTIF(BN$3:BN264,"&gt;0"))</f>
        <v>0</v>
      </c>
      <c r="BO265" t="str">
        <f t="shared" si="259"/>
        <v/>
      </c>
      <c r="BP265" t="str">
        <f t="shared" si="231"/>
        <v/>
      </c>
      <c r="BR265">
        <f>IF(IFERROR(SEARCH("Eldritch Knight",$T265,1),0)&gt;0,1,0)*IF(EldritchKnightMaxSpellLevel&gt;=$C265,1,0)*IF(IFERROR(MATCH($B265,Character_Creation!$J$350:$J$356,0),0)&gt;0,0,1)*IF(Character_Creation!$M$338&gt;0,1,0)</f>
        <v>0</v>
      </c>
      <c r="BS265">
        <f>IF(BR265=0,0,1+COUNTIF(BS$3:BS264,"&gt;0"))</f>
        <v>0</v>
      </c>
      <c r="BT265" t="str">
        <f t="shared" si="260"/>
        <v/>
      </c>
      <c r="BU265" t="str">
        <f t="shared" si="232"/>
        <v/>
      </c>
      <c r="BW265">
        <f>IF(IFERROR(SEARCH("Arcane Trickster",$T265,1),0)&gt;0,1,0)*IF(ArcaneTricksterMaxSpellLevel&gt;=$C265,1,0)*IF(IFERROR(MATCH($B265,Character_Creation!$J$350:$J$356,0),0)&gt;0,0,1)*IF(Character_Creation!$T$338&gt;0,1,0)</f>
        <v>0</v>
      </c>
      <c r="BX265">
        <f>IF(BW265=0,0,1+COUNTIF(BX$3:BX264,"&gt;0"))</f>
        <v>0</v>
      </c>
      <c r="BY265" t="str">
        <f t="shared" si="261"/>
        <v/>
      </c>
      <c r="BZ265" t="str">
        <f t="shared" si="233"/>
        <v/>
      </c>
      <c r="CB265">
        <f>IF(IFERROR(SEARCH("Wizard",$T265,1),0)&gt;0,1,0)*IF(C265&lt;=ArcaneTricksterMaxSpellLevel,1,0)*IF(IFERROR(MATCH($B265,Character_Creation!$J$350:$J$356,0),0)&gt;0,0,1)*IF(Character_Creation!$T$350&gt;0,1,0)</f>
        <v>0</v>
      </c>
      <c r="CC265">
        <f>IF(CB265=0,0,1+COUNTIF(CC$3:CC264,"&gt;0"))</f>
        <v>0</v>
      </c>
      <c r="CD265" t="str">
        <f t="shared" si="262"/>
        <v/>
      </c>
      <c r="CE265" t="str">
        <f t="shared" si="234"/>
        <v/>
      </c>
      <c r="CG265">
        <f>IF(IFERROR(SEARCH("Wizard",$T265,1),0)&gt;0,1,0)*IF($C265&lt;=EldritchKnightMaxSpellLevel,1,0)*IF(IFERROR(MATCH($B265,Character_Creation!$J$350:$J$356,0),0)&gt;0,0,1)*IF(Character_Creation!$M$350&gt;0,1,0)</f>
        <v>0</v>
      </c>
      <c r="CH265">
        <f>IF(CG265=0,0,1+COUNTIF(CH$3:CH264,"&gt;0"))</f>
        <v>0</v>
      </c>
      <c r="CI265" t="str">
        <f t="shared" si="263"/>
        <v/>
      </c>
      <c r="CJ265" t="str">
        <f t="shared" si="235"/>
        <v/>
      </c>
      <c r="CL265">
        <f>IF(IFERROR(SEARCH("Bard",$T265,1),0)&gt;0,1,0)*IF(BardMaxSpellLevel&gt;=$C265,1,0)*IF(IFERROR(MATCH(B265,Character_Creation!$C$341:$F$362,0),0)&gt;0,0,1)*IF(IFERROR(MATCH($B265,Character_Creation!$C$341:$C$362,0),0)&gt;0,0,1)</f>
        <v>0</v>
      </c>
      <c r="CM265">
        <f>IF(CL265=0,0,1+COUNTIF(CM$3:CM264,"&gt;0"))</f>
        <v>0</v>
      </c>
      <c r="CN265" t="str">
        <f t="shared" si="264"/>
        <v/>
      </c>
      <c r="CO265" t="str">
        <f t="shared" si="236"/>
        <v/>
      </c>
      <c r="CQ265">
        <f>IF(IFERROR(SEARCH("Wizard",$T265,1),0)&gt;0,1,0)*IF(WizardMaxSpellLevel&gt;=$C265,1,0)*IF(IFERROR(MATCH(B265,Character_Creation!$X$341:$X$400,0),0)&gt;0,0,1)*IF(SelectedWizardSpellLevel=$C265,1,0)</f>
        <v>0</v>
      </c>
      <c r="CR265">
        <f>IF(CQ265=0,0,1+COUNTIF(CR$3:CR264,"&gt;0"))</f>
        <v>0</v>
      </c>
      <c r="CS265" t="str">
        <f t="shared" si="265"/>
        <v/>
      </c>
      <c r="CT265" t="str">
        <f t="shared" si="237"/>
        <v/>
      </c>
      <c r="CV265">
        <f>IF(IFERROR(MATCH($B265,Character_Creation!$C$341:$C$362,0),0)&gt;0,0,1)*IF(OR(C265="Cantrip",C265&lt;=BardMaxSpellLevel),1,0)*IF(IFERROR(MATCH($B265,Character_Creation!$C$367:$C$374,0),0)&gt;0,0,1)</f>
        <v>0</v>
      </c>
      <c r="CW265">
        <f>IF(CV265=0,0,1+COUNTIF(CW$3:CW264,"&gt;0"))</f>
        <v>0</v>
      </c>
      <c r="CX265" t="str">
        <f t="shared" si="266"/>
        <v/>
      </c>
      <c r="CY265" t="str">
        <f t="shared" si="238"/>
        <v/>
      </c>
      <c r="DA265">
        <f>IF(IF(OR(IFERROR(SEARCH("Cleric",$T265,1),0)&gt;0,IFERROR(SEARCH(DivineDomain&amp;",",$T265,1),0)&gt;0),1,0)*IF($C265=DA$2,1,0)=1,1+COUNTIF(DA$3:DA264,"&gt;0"),0)</f>
        <v>0</v>
      </c>
      <c r="DB265">
        <f>IF(IF(OR(IFERROR(SEARCH("Cleric",$T265,1),0)&gt;0,IFERROR(SEARCH(DivineDomain&amp;",",$T265,1),0)&gt;0),1,0)*IF($C265=DB$2,1,0)=1,1+COUNTIF(DB$3:DB264,"&gt;0"),0)</f>
        <v>0</v>
      </c>
      <c r="DC265">
        <f>IF(IF(OR(IFERROR(SEARCH("Cleric",$T265,1),0)&gt;0,IFERROR(SEARCH(DivineDomain&amp;",",$T265,1),0)&gt;0),1,0)*IF($C265=DC$2,1,0)=1,1+COUNTIF(DC$3:DC264,"&gt;0"),0)</f>
        <v>0</v>
      </c>
      <c r="DD265">
        <f>IF(IF(OR(IFERROR(SEARCH("Cleric",$T265,1),0)&gt;0,IFERROR(SEARCH(DivineDomain&amp;",",$T265,1),0)&gt;0),1,0)*IF($C265=DD$2,1,0)=1,1+COUNTIF(DD$3:DD264,"&gt;0"),0)</f>
        <v>0</v>
      </c>
      <c r="DE265">
        <f>IF(IF(OR(IFERROR(SEARCH("Cleric",$T265,1),0)&gt;0,IFERROR(SEARCH(DivineDomain&amp;",",$T265,1),0)&gt;0),1,0)*IF($C265=DE$2,1,0)=1,1+COUNTIF(DE$3:DE264,"&gt;0"),0)</f>
        <v>0</v>
      </c>
      <c r="DF265">
        <f>IF(IF(OR(IFERROR(SEARCH("Cleric",$T265,1),0)&gt;0,IFERROR(SEARCH(DivineDomain&amp;",",$T265,1),0)&gt;0),1,0)*IF($C265=DF$2,1,0)=1,1+COUNTIF(DF$3:DF264,"&gt;0"),0)</f>
        <v>0</v>
      </c>
      <c r="DG265">
        <f>IF(IF(OR(IFERROR(SEARCH("Cleric",$T265,1),0)&gt;0,IFERROR(SEARCH(DivineDomain&amp;",",$T265,1),0)&gt;0),1,0)*IF($C265=DG$2,1,0)=1,1+COUNTIF(DG$3:DG264,"&gt;0"),0)</f>
        <v>0</v>
      </c>
      <c r="DH265">
        <f>IF(IF(OR(IFERROR(SEARCH("Cleric",$T265,1),0)&gt;0,IFERROR(SEARCH(DivineDomain&amp;",",$T265,1),0)&gt;0),1,0)*IF($C265=DH$2,1,0)=1,1+COUNTIF(DH$3:DH264,"&gt;0"),0)</f>
        <v>0</v>
      </c>
      <c r="DI265">
        <f>IF(IF(OR(IFERROR(SEARCH("Cleric",$T265,1),0)&gt;0,IFERROR(SEARCH(DivineDomain&amp;",",$T265,1),0)&gt;0),1,0)*IF($C265=DI$2,1,0)=1,1+COUNTIF(DI$3:DI264,"&gt;0"),0)</f>
        <v>0</v>
      </c>
      <c r="DJ265">
        <f>IF(IF(OR(IFERROR(SEARCH("Druid",$T265,1),0)&gt;0,IFERROR(SEARCH(DruidLand1,$T265,1),0)&gt;0,IFERROR(SEARCH(DruidLand2,$T265,1),0)&gt;0,IFERROR(SEARCH(DruidLand3,$T265,1),0)&gt;0,IFERROR(SEARCH(DruidLand4,$T265,1),0)&gt;0),1,0)*IF($C265=1,1,0)*IF($C265=DJ$2,1,0)=0,0,1+COUNTIF(DJ$3:DJ264,"&gt;0"))</f>
        <v>0</v>
      </c>
      <c r="DK265">
        <f>IF(IF(OR(IFERROR(SEARCH("Druid",$T265,1),0)&gt;0,IFERROR(SEARCH(DruidLand1,$T265,1),0)&gt;0,IFERROR(SEARCH(DruidLand2,$T265,1),0)&gt;0,IFERROR(SEARCH(DruidLand3,$T265,1),0)&gt;0,IFERROR(SEARCH(DruidLand4,$T265,1),0)&gt;0),1,0)*IF($C265=1,1,0)*IF($C265=DK$2,1,0)=0,0,1+COUNTIF(DK$3:DK264,"&gt;0"))</f>
        <v>0</v>
      </c>
      <c r="DL265">
        <f>IF(IF(OR(IFERROR(SEARCH("Druid",$T265,1),0)&gt;0,IFERROR(SEARCH(DruidLand1,$T265,1),0)&gt;0,IFERROR(SEARCH(DruidLand2,$T265,1),0)&gt;0,IFERROR(SEARCH(DruidLand3,$T265,1),0)&gt;0,IFERROR(SEARCH(DruidLand4,$T265,1),0)&gt;0),1,0)*IF($C265=1,1,0)*IF($C265=DL$2,1,0)=0,0,1+COUNTIF(DL$3:DL264,"&gt;0"))</f>
        <v>0</v>
      </c>
      <c r="DM265">
        <f>IF(IF(OR(IFERROR(SEARCH("Druid",$T265,1),0)&gt;0,IFERROR(SEARCH(DruidLand1,$T265,1),0)&gt;0,IFERROR(SEARCH(DruidLand2,$T265,1),0)&gt;0,IFERROR(SEARCH(DruidLand3,$T265,1),0)&gt;0,IFERROR(SEARCH(DruidLand4,$T265,1),0)&gt;0),1,0)*IF($C265=1,1,0)*IF($C265=DM$2,1,0)=0,0,1+COUNTIF(DM$3:DM264,"&gt;0"))</f>
        <v>0</v>
      </c>
      <c r="DN265">
        <f>IF(IF(OR(IFERROR(SEARCH("Druid",$T265,1),0)&gt;0,IFERROR(SEARCH(DruidLand1,$T265,1),0)&gt;0,IFERROR(SEARCH(DruidLand2,$T265,1),0)&gt;0,IFERROR(SEARCH(DruidLand3,$T265,1),0)&gt;0,IFERROR(SEARCH(DruidLand4,$T265,1),0)&gt;0),1,0)*IF($C265=1,1,0)*IF($C265=DN$2,1,0)=0,0,1+COUNTIF(DN$3:DN264,"&gt;0"))</f>
        <v>0</v>
      </c>
      <c r="DO265">
        <f>IF(IF(OR(IFERROR(SEARCH("Druid",$T265,1),0)&gt;0,IFERROR(SEARCH(DruidLand1,$T265,1),0)&gt;0,IFERROR(SEARCH(DruidLand2,$T265,1),0)&gt;0,IFERROR(SEARCH(DruidLand3,$T265,1),0)&gt;0,IFERROR(SEARCH(DruidLand4,$T265,1),0)&gt;0),1,0)*IF($C265=1,1,0)*IF($C265=DO$2,1,0)=0,0,1+COUNTIF(DO$3:DO264,"&gt;0"))</f>
        <v>0</v>
      </c>
      <c r="DP265">
        <f>IF(IF(OR(IFERROR(SEARCH("Druid",$T265,1),0)&gt;0,IFERROR(SEARCH(DruidLand1,$T265,1),0)&gt;0,IFERROR(SEARCH(DruidLand2,$T265,1),0)&gt;0,IFERROR(SEARCH(DruidLand3,$T265,1),0)&gt;0,IFERROR(SEARCH(DruidLand4,$T265,1),0)&gt;0),1,0)*IF($C265=1,1,0)*IF($C265=DP$2,1,0)=0,0,1+COUNTIF(DP$3:DP264,"&gt;0"))</f>
        <v>0</v>
      </c>
      <c r="DQ265">
        <f>IF(IF(OR(IFERROR(SEARCH("Druid",$T265,1),0)&gt;0,IFERROR(SEARCH(DruidLand1,$T265,1),0)&gt;0,IFERROR(SEARCH(DruidLand2,$T265,1),0)&gt;0,IFERROR(SEARCH(DruidLand3,$T265,1),0)&gt;0,IFERROR(SEARCH(DruidLand4,$T265,1),0)&gt;0),1,0)*IF($C265=1,1,0)*IF($C265=DQ$2,1,0)=0,0,1+COUNTIF(DQ$3:DQ264,"&gt;0"))</f>
        <v>0</v>
      </c>
      <c r="DR265">
        <f>IF(IF(OR(IFERROR(SEARCH("Druid",$T265,1),0)&gt;0,IFERROR(SEARCH(DruidLand1,$T265,1),0)&gt;0,IFERROR(SEARCH(DruidLand2,$T265,1),0)&gt;0,IFERROR(SEARCH(DruidLand3,$T265,1),0)&gt;0,IFERROR(SEARCH(DruidLand4,$T265,1),0)&gt;0),1,0)*IF($C265=1,1,0)*IF($C265=DR$2,1,0)=0,0,1+COUNTIF(DR$3:DR264,"&gt;0"))</f>
        <v>0</v>
      </c>
      <c r="DS265">
        <f>IF(IF(OR(IFERROR(SEARCH("Paladin",$T265,1),0)&gt;0,IFERROR(SEARCH(PaladinOath,$T265,1),0)&gt;0),1,0)*IF($C265=DS$2,1,0)=1,1+COUNTIF(DS$3:DS264,"&gt;0"),0)</f>
        <v>0</v>
      </c>
      <c r="DT265">
        <f>IF(IF(OR(IFERROR(SEARCH("Paladin",$T265,1),0)&gt;0,IFERROR(SEARCH(PaladinOath,$T265,1),0)&gt;0),1,0)*IF($C265=DT$2,1,0)=1,1+COUNTIF(DT$3:DT264,"&gt;0"),0)</f>
        <v>0</v>
      </c>
      <c r="DU265">
        <f>IF(IF(OR(IFERROR(SEARCH("Paladin",$T265,1),0)&gt;0,IFERROR(SEARCH(PaladinOath,$T265,1),0)&gt;0),1,0)*IF($C265=DU$2,1,0)=1,1+COUNTIF(DU$3:DU264,"&gt;0"),0)</f>
        <v>0</v>
      </c>
      <c r="DV265">
        <f>IF(IF(OR(IFERROR(SEARCH("Paladin",$T265,1),0)&gt;0,IFERROR(SEARCH(PaladinOath,$T265,1),0)&gt;0),1,0)*IF($C265=DV$2,1,0)=1,1+COUNTIF(DV$3:DV264,"&gt;0"),0)</f>
        <v>0</v>
      </c>
      <c r="DW265">
        <f>IF(IF(OR(IFERROR(SEARCH("Paladin",$T265,1),0)&gt;0,IFERROR(SEARCH(PaladinOath,$T265,1),0)&gt;0),1,0)*IF($C265=DW$2,1,0)=1,1+COUNTIF(DW$3:DW264,"&gt;0"),0)</f>
        <v>0</v>
      </c>
      <c r="DY265">
        <f t="shared" si="225"/>
        <v>1</v>
      </c>
      <c r="DZ265">
        <f>IF(DY265=0,0,1+MAX(DZ$3:$DZ264))</f>
        <v>263</v>
      </c>
      <c r="EB265">
        <f t="shared" si="239"/>
        <v>0</v>
      </c>
      <c r="EC265">
        <f>IF(EB265=0,0,1+COUNTIF(EC$3:EC264,"&gt;0"))</f>
        <v>0</v>
      </c>
      <c r="ED265" t="str">
        <f t="shared" si="267"/>
        <v/>
      </c>
      <c r="EE265" t="str">
        <f t="shared" si="240"/>
        <v/>
      </c>
      <c r="EG265">
        <f t="shared" si="241"/>
        <v>0</v>
      </c>
      <c r="EH265">
        <f>IF(EG265=0,0,1+COUNTIF(EH$3:EH264,"&gt;0"))</f>
        <v>0</v>
      </c>
      <c r="EI265" t="str">
        <f t="shared" si="268"/>
        <v/>
      </c>
      <c r="EJ265" t="str">
        <f t="shared" si="242"/>
        <v/>
      </c>
      <c r="EL265">
        <f t="shared" si="243"/>
        <v>0</v>
      </c>
      <c r="EM265">
        <f>IF(EL265=0,0,1+COUNTIF(EM$3:EM264,"&gt;0"))</f>
        <v>0</v>
      </c>
      <c r="EN265" t="str">
        <f t="shared" si="269"/>
        <v/>
      </c>
      <c r="EO265" t="str">
        <f t="shared" si="244"/>
        <v/>
      </c>
      <c r="EQ265">
        <f t="shared" si="245"/>
        <v>0</v>
      </c>
      <c r="ER265">
        <f>IF(EQ265=0,0,1+COUNTIF(ER$3:ER264,"&gt;0"))</f>
        <v>0</v>
      </c>
      <c r="ES265" t="str">
        <f t="shared" si="270"/>
        <v/>
      </c>
      <c r="ET265" t="str">
        <f t="shared" si="246"/>
        <v/>
      </c>
      <c r="EV265">
        <f t="shared" si="247"/>
        <v>0</v>
      </c>
      <c r="EW265">
        <f>IF(EV265=0,0,1+COUNTIF(EW$3:EW264,"&gt;0"))</f>
        <v>0</v>
      </c>
      <c r="EX265" t="str">
        <f t="shared" si="271"/>
        <v/>
      </c>
      <c r="EY265" t="str">
        <f t="shared" si="248"/>
        <v/>
      </c>
      <c r="FA265">
        <f t="shared" si="249"/>
        <v>0</v>
      </c>
      <c r="FB265">
        <f>IF(FA265=0,0,1+COUNTIF(FB$3:FB264,"&gt;0"))</f>
        <v>0</v>
      </c>
      <c r="FC265" t="str">
        <f t="shared" si="272"/>
        <v/>
      </c>
      <c r="FD265" t="str">
        <f t="shared" si="250"/>
        <v/>
      </c>
      <c r="FF265">
        <f t="shared" si="251"/>
        <v>0</v>
      </c>
      <c r="FG265">
        <f>IF(FF265=0,0,1+COUNTIF(FG$3:FG264,"&gt;0"))</f>
        <v>0</v>
      </c>
      <c r="FH265" t="str">
        <f t="shared" si="273"/>
        <v/>
      </c>
      <c r="FI265" t="str">
        <f t="shared" si="252"/>
        <v/>
      </c>
      <c r="FK265">
        <f t="shared" si="253"/>
        <v>0</v>
      </c>
      <c r="FL265">
        <f>IF(FK265=0,0,1+COUNTIF(FL$3:FL264,"&gt;0"))</f>
        <v>0</v>
      </c>
      <c r="FM265" t="str">
        <f t="shared" si="274"/>
        <v/>
      </c>
      <c r="FN265" t="str">
        <f t="shared" si="254"/>
        <v/>
      </c>
      <c r="FP265">
        <f t="shared" si="255"/>
        <v>0</v>
      </c>
      <c r="FQ265">
        <f>IF(FP265=0,0,1+COUNTIF(FQ$3:FQ264,"&gt;0"))</f>
        <v>0</v>
      </c>
      <c r="FR265" t="str">
        <f t="shared" si="275"/>
        <v/>
      </c>
      <c r="FS265" t="str">
        <f t="shared" si="256"/>
        <v/>
      </c>
    </row>
    <row r="266" spans="1:175" x14ac:dyDescent="0.25">
      <c r="A266" s="347">
        <f t="shared" si="219"/>
        <v>264</v>
      </c>
      <c r="B266" s="348" t="s">
        <v>2648</v>
      </c>
      <c r="C266" s="348" t="s">
        <v>5277</v>
      </c>
      <c r="D266" s="347">
        <v>0.5</v>
      </c>
      <c r="E266" s="627" t="s">
        <v>6952</v>
      </c>
      <c r="F266" s="346"/>
      <c r="G266" s="347" t="str">
        <f>""</f>
        <v/>
      </c>
      <c r="H266" s="347" t="s">
        <v>5912</v>
      </c>
      <c r="I266" s="347" t="s">
        <v>5283</v>
      </c>
      <c r="J266" s="347" t="str">
        <f t="shared" si="226"/>
        <v/>
      </c>
      <c r="K266" s="347" t="s">
        <v>5319</v>
      </c>
      <c r="L266" s="611" t="str">
        <f t="shared" si="227"/>
        <v>V, S</v>
      </c>
      <c r="M266" s="347" t="s">
        <v>2373</v>
      </c>
      <c r="N266" s="347" t="s">
        <v>2387</v>
      </c>
      <c r="O266" s="347" t="s">
        <v>3034</v>
      </c>
      <c r="P266" s="346" t="str">
        <f>""</f>
        <v/>
      </c>
      <c r="Q266" s="347" t="s">
        <v>5271</v>
      </c>
      <c r="S266" s="346" t="s">
        <v>5797</v>
      </c>
      <c r="T266" s="346" t="str">
        <f t="shared" si="228"/>
        <v xml:space="preserve">Druid, </v>
      </c>
      <c r="AA266" s="347" t="str">
        <f>$B266</f>
        <v>Produce Flame</v>
      </c>
      <c r="AE266" t="str">
        <f>IF(IFERROR(MATCH($B266,temp!A$4:A$13,0),0)&gt;0,T08_Spells!AE$2,"")</f>
        <v/>
      </c>
      <c r="AF266" t="str">
        <f>IF(IFERROR(MATCH($B266,temp!B$4:B$13,0),0)&gt;0,T08_Spells!AF$2,"")</f>
        <v/>
      </c>
      <c r="AG266" t="str">
        <f>IF(IFERROR(MATCH($B266,temp!C$4:C$13,0),0)&gt;0,T08_Spells!AG$2,"")</f>
        <v/>
      </c>
      <c r="AH266" t="str">
        <f>IF(IFERROR(MATCH($B266,temp!D$4:D$13,0),0)&gt;0,T08_Spells!AH$2,"")</f>
        <v/>
      </c>
      <c r="AI266" t="str">
        <f>IF(IFERROR(MATCH($B266,temp!E$4:E$13,0),0)&gt;0,T08_Spells!AI$2,"")</f>
        <v/>
      </c>
      <c r="AJ266" t="str">
        <f>IF(IFERROR(MATCH($B266,temp!F$4:F$13,0),0)&gt;0,T08_Spells!AJ$2,"")</f>
        <v/>
      </c>
      <c r="AK266" t="str">
        <f>IF(IFERROR(MATCH($B266,temp!G$4:G$13,0),0)&gt;0,T08_Spells!AK$2,"")</f>
        <v/>
      </c>
      <c r="AL266" t="str">
        <f>IF(IFERROR(MATCH($B266,temp!H$4:H$13,0),0)&gt;0,T08_Spells!AL$2,"")</f>
        <v/>
      </c>
      <c r="AM266" t="str">
        <f>IF(IFERROR(MATCH($B266,temp!I$4:I$13,0),0)&gt;0,T08_Spells!AM$2,"")</f>
        <v/>
      </c>
      <c r="AN266" t="str">
        <f>IF(IFERROR(MATCH($B266,temp!J$4:J$13,0),0)&gt;0,T08_Spells!AN$2,"")</f>
        <v/>
      </c>
      <c r="AO266" t="str">
        <f>IF(IFERROR(MATCH($B266,temp!K$4:K$13,0),0)&gt;0,T08_Spells!AO$2,"")</f>
        <v/>
      </c>
      <c r="AP266" t="str">
        <f>IF(IFERROR(MATCH($B266,temp!L$4:L$13,0),0)&gt;0,T08_Spells!AP$2,"")</f>
        <v/>
      </c>
      <c r="AQ266" t="str">
        <f>IF(IFERROR(MATCH($B266,temp!M$4:M$13,0),0)&gt;0,T08_Spells!AQ$2,"")</f>
        <v/>
      </c>
      <c r="AR266" t="str">
        <f>IF(IFERROR(MATCH($B266,temp!N$4:N$13,0),0)&gt;0,T08_Spells!AR$2,"")</f>
        <v/>
      </c>
      <c r="AS266" t="str">
        <f>IF(IFERROR(MATCH($B266,temp!O$4:O$13,0),0)&gt;0,T08_Spells!AS$2,"")</f>
        <v/>
      </c>
      <c r="AT266" t="str">
        <f>IF(IFERROR(MATCH($B266,temp!P$4:P$13,0),0)&gt;0,T08_Spells!AT$2,"")</f>
        <v/>
      </c>
      <c r="AU266" t="str">
        <f>IF(IFERROR(MATCH($B266,temp!Q$4:Q$13,0),0)&gt;0,T08_Spells!AU$2,"")</f>
        <v/>
      </c>
      <c r="AV266" t="str">
        <f>IF(IFERROR(MATCH($B266,temp!R$4:R$13,0),0)&gt;0,T08_Spells!AV$2,"")</f>
        <v/>
      </c>
      <c r="AW266" t="str">
        <f>IF(IFERROR(MATCH($B266,temp!S$4:S$13,0),0)&gt;0,T08_Spells!AW$2,"")</f>
        <v/>
      </c>
      <c r="AX266" t="str">
        <f>IF(IFERROR(MATCH($B266,temp!T$4:T$13,0),0)&gt;0,T08_Spells!AX$2,"")</f>
        <v/>
      </c>
      <c r="AY266" t="str">
        <f>IF(IFERROR(MATCH($B266,temp!U$4:U$13,0),0)&gt;0,T08_Spells!AY$2,"")</f>
        <v/>
      </c>
      <c r="AZ266" t="str">
        <f>IF(IFERROR(MATCH($B266,temp!V$4:V$13,0),0)&gt;0,T08_Spells!AZ$2,"")</f>
        <v/>
      </c>
      <c r="BA266" t="str">
        <f>IF(IFERROR(MATCH($B266,temp!W$4:W$13,0),0)&gt;0,T08_Spells!BA$2,"")</f>
        <v/>
      </c>
      <c r="BC266">
        <f>IF(IFERROR(SEARCH("Ranger",$T266,1),0)&gt;0,1,0)*IF(RangerMaxSpellLevel&gt;=$C266,1,0)*IF(IFERROR(MATCH(B266,Character_Creation!$X$79:$X$382,0),0)&gt;0,0,1)</f>
        <v>0</v>
      </c>
      <c r="BD266">
        <f>IF(BC266=0,0,1+COUNTIF(BD$3:BD265,"&gt;0"))</f>
        <v>0</v>
      </c>
      <c r="BE266" t="str">
        <f t="shared" si="257"/>
        <v/>
      </c>
      <c r="BF266" t="str">
        <f t="shared" si="229"/>
        <v/>
      </c>
      <c r="BH266">
        <f>IF(IFERROR(SEARCH("Sorcerer",$T266,1),0)&gt;0,1,0)*IF(SorcererMaxSpellLevel&gt;=$C266,1,0)*IF(IFERROR(MATCH(B266,Character_Creation!$J$380:$J$394,0),0)&gt;0,0,1)</f>
        <v>0</v>
      </c>
      <c r="BI266">
        <f>IF(BH266=0,0,1+COUNTIF(BI$3:BI265,"&gt;0"))</f>
        <v>0</v>
      </c>
      <c r="BJ266" t="str">
        <f t="shared" si="258"/>
        <v/>
      </c>
      <c r="BK266" t="str">
        <f t="shared" si="230"/>
        <v/>
      </c>
      <c r="BM266">
        <f>IF(OR(IFERROR(SEARCH("Warlock",$T266,1),0)&gt;0,IFERROR(SEARCH(WarlockPatron,$T266,1),0)&gt;0),1,0)*IF(WarlockMaxSpellLevel&gt;=$C266,1,0)*IF(IFERROR(MATCH(B266,Character_Creation!$J$361:$J$375,0),0)&gt;0,0,1)</f>
        <v>0</v>
      </c>
      <c r="BN266">
        <f>IF(BM266=0,0,1+COUNTIF(BN$3:BN265,"&gt;0"))</f>
        <v>0</v>
      </c>
      <c r="BO266" t="str">
        <f t="shared" si="259"/>
        <v/>
      </c>
      <c r="BP266" t="str">
        <f t="shared" si="231"/>
        <v/>
      </c>
      <c r="BR266">
        <f>IF(IFERROR(SEARCH("Eldritch Knight",$T266,1),0)&gt;0,1,0)*IF(EldritchKnightMaxSpellLevel&gt;=$C266,1,0)*IF(IFERROR(MATCH($B266,Character_Creation!$J$350:$J$356,0),0)&gt;0,0,1)*IF(Character_Creation!$M$338&gt;0,1,0)</f>
        <v>0</v>
      </c>
      <c r="BS266">
        <f>IF(BR266=0,0,1+COUNTIF(BS$3:BS265,"&gt;0"))</f>
        <v>0</v>
      </c>
      <c r="BT266" t="str">
        <f t="shared" si="260"/>
        <v/>
      </c>
      <c r="BU266" t="str">
        <f t="shared" si="232"/>
        <v/>
      </c>
      <c r="BW266">
        <f>IF(IFERROR(SEARCH("Arcane Trickster",$T266,1),0)&gt;0,1,0)*IF(ArcaneTricksterMaxSpellLevel&gt;=$C266,1,0)*IF(IFERROR(MATCH($B266,Character_Creation!$J$350:$J$356,0),0)&gt;0,0,1)*IF(Character_Creation!$T$338&gt;0,1,0)</f>
        <v>0</v>
      </c>
      <c r="BX266">
        <f>IF(BW266=0,0,1+COUNTIF(BX$3:BX265,"&gt;0"))</f>
        <v>0</v>
      </c>
      <c r="BY266" t="str">
        <f t="shared" si="261"/>
        <v/>
      </c>
      <c r="BZ266" t="str">
        <f t="shared" si="233"/>
        <v/>
      </c>
      <c r="CB266">
        <f>IF(IFERROR(SEARCH("Wizard",$T266,1),0)&gt;0,1,0)*IF(C266&lt;=ArcaneTricksterMaxSpellLevel,1,0)*IF(IFERROR(MATCH($B266,Character_Creation!$J$350:$J$356,0),0)&gt;0,0,1)*IF(Character_Creation!$T$350&gt;0,1,0)</f>
        <v>0</v>
      </c>
      <c r="CC266">
        <f>IF(CB266=0,0,1+COUNTIF(CC$3:CC265,"&gt;0"))</f>
        <v>0</v>
      </c>
      <c r="CD266" t="str">
        <f t="shared" si="262"/>
        <v/>
      </c>
      <c r="CE266" t="str">
        <f t="shared" si="234"/>
        <v/>
      </c>
      <c r="CG266">
        <f>IF(IFERROR(SEARCH("Wizard",$T266,1),0)&gt;0,1,0)*IF($C266&lt;=EldritchKnightMaxSpellLevel,1,0)*IF(IFERROR(MATCH($B266,Character_Creation!$J$350:$J$356,0),0)&gt;0,0,1)*IF(Character_Creation!$M$350&gt;0,1,0)</f>
        <v>0</v>
      </c>
      <c r="CH266">
        <f>IF(CG266=0,0,1+COUNTIF(CH$3:CH265,"&gt;0"))</f>
        <v>0</v>
      </c>
      <c r="CI266" t="str">
        <f t="shared" si="263"/>
        <v/>
      </c>
      <c r="CJ266" t="str">
        <f t="shared" si="235"/>
        <v/>
      </c>
      <c r="CL266">
        <f>IF(IFERROR(SEARCH("Bard",$T266,1),0)&gt;0,1,0)*IF(BardMaxSpellLevel&gt;=$C266,1,0)*IF(IFERROR(MATCH(B266,Character_Creation!$C$341:$F$362,0),0)&gt;0,0,1)*IF(IFERROR(MATCH($B266,Character_Creation!$C$341:$C$362,0),0)&gt;0,0,1)</f>
        <v>0</v>
      </c>
      <c r="CM266">
        <f>IF(CL266=0,0,1+COUNTIF(CM$3:CM265,"&gt;0"))</f>
        <v>0</v>
      </c>
      <c r="CN266" t="str">
        <f t="shared" si="264"/>
        <v/>
      </c>
      <c r="CO266" t="str">
        <f t="shared" si="236"/>
        <v/>
      </c>
      <c r="CQ266">
        <f>IF(IFERROR(SEARCH("Wizard",$T266,1),0)&gt;0,1,0)*IF(WizardMaxSpellLevel&gt;=$C266,1,0)*IF(IFERROR(MATCH(B266,Character_Creation!$X$341:$X$400,0),0)&gt;0,0,1)*IF(SelectedWizardSpellLevel=$C266,1,0)</f>
        <v>0</v>
      </c>
      <c r="CR266">
        <f>IF(CQ266=0,0,1+COUNTIF(CR$3:CR265,"&gt;0"))</f>
        <v>0</v>
      </c>
      <c r="CS266" t="str">
        <f t="shared" si="265"/>
        <v/>
      </c>
      <c r="CT266" t="str">
        <f t="shared" si="237"/>
        <v/>
      </c>
      <c r="CV266">
        <f>IF(IFERROR(MATCH($B266,Character_Creation!$C$341:$C$362,0),0)&gt;0,0,1)*IF(OR(C266="Cantrip",C266&lt;=BardMaxSpellLevel),1,0)*IF(IFERROR(MATCH($B266,Character_Creation!$C$367:$C$374,0),0)&gt;0,0,1)</f>
        <v>1</v>
      </c>
      <c r="CW266">
        <f>IF(CV266=0,0,1+COUNTIF(CW$3:CW265,"&gt;0"))</f>
        <v>17</v>
      </c>
      <c r="CX266" t="str">
        <f t="shared" si="266"/>
        <v/>
      </c>
      <c r="CY266" t="str">
        <f t="shared" si="238"/>
        <v/>
      </c>
      <c r="DA266">
        <f>IF(IF(OR(IFERROR(SEARCH("Cleric",$T266,1),0)&gt;0,IFERROR(SEARCH(DivineDomain&amp;",",$T266,1),0)&gt;0),1,0)*IF($C266=DA$2,1,0)=1,1+COUNTIF(DA$3:DA265,"&gt;0"),0)</f>
        <v>0</v>
      </c>
      <c r="DB266">
        <f>IF(IF(OR(IFERROR(SEARCH("Cleric",$T266,1),0)&gt;0,IFERROR(SEARCH(DivineDomain&amp;",",$T266,1),0)&gt;0),1,0)*IF($C266=DB$2,1,0)=1,1+COUNTIF(DB$3:DB265,"&gt;0"),0)</f>
        <v>0</v>
      </c>
      <c r="DC266">
        <f>IF(IF(OR(IFERROR(SEARCH("Cleric",$T266,1),0)&gt;0,IFERROR(SEARCH(DivineDomain&amp;",",$T266,1),0)&gt;0),1,0)*IF($C266=DC$2,1,0)=1,1+COUNTIF(DC$3:DC265,"&gt;0"),0)</f>
        <v>0</v>
      </c>
      <c r="DD266">
        <f>IF(IF(OR(IFERROR(SEARCH("Cleric",$T266,1),0)&gt;0,IFERROR(SEARCH(DivineDomain&amp;",",$T266,1),0)&gt;0),1,0)*IF($C266=DD$2,1,0)=1,1+COUNTIF(DD$3:DD265,"&gt;0"),0)</f>
        <v>0</v>
      </c>
      <c r="DE266">
        <f>IF(IF(OR(IFERROR(SEARCH("Cleric",$T266,1),0)&gt;0,IFERROR(SEARCH(DivineDomain&amp;",",$T266,1),0)&gt;0),1,0)*IF($C266=DE$2,1,0)=1,1+COUNTIF(DE$3:DE265,"&gt;0"),0)</f>
        <v>0</v>
      </c>
      <c r="DF266">
        <f>IF(IF(OR(IFERROR(SEARCH("Cleric",$T266,1),0)&gt;0,IFERROR(SEARCH(DivineDomain&amp;",",$T266,1),0)&gt;0),1,0)*IF($C266=DF$2,1,0)=1,1+COUNTIF(DF$3:DF265,"&gt;0"),0)</f>
        <v>0</v>
      </c>
      <c r="DG266">
        <f>IF(IF(OR(IFERROR(SEARCH("Cleric",$T266,1),0)&gt;0,IFERROR(SEARCH(DivineDomain&amp;",",$T266,1),0)&gt;0),1,0)*IF($C266=DG$2,1,0)=1,1+COUNTIF(DG$3:DG265,"&gt;0"),0)</f>
        <v>0</v>
      </c>
      <c r="DH266">
        <f>IF(IF(OR(IFERROR(SEARCH("Cleric",$T266,1),0)&gt;0,IFERROR(SEARCH(DivineDomain&amp;",",$T266,1),0)&gt;0),1,0)*IF($C266=DH$2,1,0)=1,1+COUNTIF(DH$3:DH265,"&gt;0"),0)</f>
        <v>0</v>
      </c>
      <c r="DI266">
        <f>IF(IF(OR(IFERROR(SEARCH("Cleric",$T266,1),0)&gt;0,IFERROR(SEARCH(DivineDomain&amp;",",$T266,1),0)&gt;0),1,0)*IF($C266=DI$2,1,0)=1,1+COUNTIF(DI$3:DI265,"&gt;0"),0)</f>
        <v>0</v>
      </c>
      <c r="DJ266">
        <f>IF(IF(OR(IFERROR(SEARCH("Druid",$T266,1),0)&gt;0,IFERROR(SEARCH(DruidLand1,$T266,1),0)&gt;0,IFERROR(SEARCH(DruidLand2,$T266,1),0)&gt;0,IFERROR(SEARCH(DruidLand3,$T266,1),0)&gt;0,IFERROR(SEARCH(DruidLand4,$T266,1),0)&gt;0),1,0)*IF($C266=1,1,0)*IF($C266=DJ$2,1,0)=0,0,1+COUNTIF(DJ$3:DJ265,"&gt;0"))</f>
        <v>0</v>
      </c>
      <c r="DK266">
        <f>IF(IF(OR(IFERROR(SEARCH("Druid",$T266,1),0)&gt;0,IFERROR(SEARCH(DruidLand1,$T266,1),0)&gt;0,IFERROR(SEARCH(DruidLand2,$T266,1),0)&gt;0,IFERROR(SEARCH(DruidLand3,$T266,1),0)&gt;0,IFERROR(SEARCH(DruidLand4,$T266,1),0)&gt;0),1,0)*IF($C266=DK$2,1,0)=0,0,1+COUNTIF(DK$3:DK265,"&gt;0"))</f>
        <v>0</v>
      </c>
      <c r="DL266">
        <f>IF(IF(OR(IFERROR(SEARCH("Druid",$T266,1),0)&gt;0,IFERROR(SEARCH(DruidLand1,$T266,1),0)&gt;0,IFERROR(SEARCH(DruidLand2,$T266,1),0)&gt;0,IFERROR(SEARCH(DruidLand3,$T266,1),0)&gt;0,IFERROR(SEARCH(DruidLand4,$T266,1),0)&gt;0),1,0)*IF($C266=DL$2,1,0)=0,0,1+COUNTIF(DL$3:DL265,"&gt;0"))</f>
        <v>0</v>
      </c>
      <c r="DM266">
        <f>IF(IF(OR(IFERROR(SEARCH("Druid",$T266,1),0)&gt;0,IFERROR(SEARCH(DruidLand1,$T266,1),0)&gt;0,IFERROR(SEARCH(DruidLand2,$T266,1),0)&gt;0,IFERROR(SEARCH(DruidLand3,$T266,1),0)&gt;0,IFERROR(SEARCH(DruidLand4,$T266,1),0)&gt;0),1,0)*IF($C266=DM$2,1,0)=0,0,1+COUNTIF(DM$3:DM265,"&gt;0"))</f>
        <v>0</v>
      </c>
      <c r="DN266">
        <f>IF(IF(OR(IFERROR(SEARCH("Druid",$T266,1),0)&gt;0,IFERROR(SEARCH(DruidLand1,$T266,1),0)&gt;0,IFERROR(SEARCH(DruidLand2,$T266,1),0)&gt;0,IFERROR(SEARCH(DruidLand3,$T266,1),0)&gt;0,IFERROR(SEARCH(DruidLand4,$T266,1),0)&gt;0),1,0)*IF($C266=DN$2,1,0)=0,0,1+COUNTIF(DN$3:DN265,"&gt;0"))</f>
        <v>0</v>
      </c>
      <c r="DO266">
        <f>IF(IF(OR(IFERROR(SEARCH("Druid",$T266,1),0)&gt;0,IFERROR(SEARCH(DruidLand1,$T266,1),0)&gt;0,IFERROR(SEARCH(DruidLand2,$T266,1),0)&gt;0,IFERROR(SEARCH(DruidLand3,$T266,1),0)&gt;0,IFERROR(SEARCH(DruidLand4,$T266,1),0)&gt;0),1,0)*IF($C266=DO$2,1,0)=0,0,1+COUNTIF(DO$3:DO265,"&gt;0"))</f>
        <v>0</v>
      </c>
      <c r="DP266">
        <f>IF(IF(OR(IFERROR(SEARCH("Druid",$T266,1),0)&gt;0,IFERROR(SEARCH(DruidLand1,$T266,1),0)&gt;0,IFERROR(SEARCH(DruidLand2,$T266,1),0)&gt;0,IFERROR(SEARCH(DruidLand3,$T266,1),0)&gt;0,IFERROR(SEARCH(DruidLand4,$T266,1),0)&gt;0),1,0)*IF($C266=DP$2,1,0)=0,0,1+COUNTIF(DP$3:DP265,"&gt;0"))</f>
        <v>0</v>
      </c>
      <c r="DQ266">
        <f>IF(IF(OR(IFERROR(SEARCH("Druid",$T266,1),0)&gt;0,IFERROR(SEARCH(DruidLand1,$T266,1),0)&gt;0,IFERROR(SEARCH(DruidLand2,$T266,1),0)&gt;0,IFERROR(SEARCH(DruidLand3,$T266,1),0)&gt;0,IFERROR(SEARCH(DruidLand4,$T266,1),0)&gt;0),1,0)*IF($C266=DQ$2,1,0)=0,0,1+COUNTIF(DQ$3:DQ265,"&gt;0"))</f>
        <v>0</v>
      </c>
      <c r="DR266">
        <f>IF(IF(OR(IFERROR(SEARCH("Druid",$T266,1),0)&gt;0,IFERROR(SEARCH(DruidLand1,$T266,1),0)&gt;0,IFERROR(SEARCH(DruidLand2,$T266,1),0)&gt;0,IFERROR(SEARCH(DruidLand3,$T266,1),0)&gt;0,IFERROR(SEARCH(DruidLand4,$T266,1),0)&gt;0),1,0)*IF($C266=DR$2,1,0)=0,0,1+COUNTIF(DR$3:DR265,"&gt;0"))</f>
        <v>0</v>
      </c>
      <c r="DS266">
        <f>IF(IF(OR(IFERROR(SEARCH("Paladin",$T266,1),0)&gt;0,IFERROR(SEARCH(PaladinOath,$T266,1),0)&gt;0),1,0)*IF($C266=DS$2,1,0)=1,1+COUNTIF(DS$3:DS265,"&gt;0"),0)</f>
        <v>0</v>
      </c>
      <c r="DT266">
        <f>IF(IF(OR(IFERROR(SEARCH("Paladin",$T266,1),0)&gt;0,IFERROR(SEARCH(PaladinOath,$T266,1),0)&gt;0),1,0)*IF($C266=DT$2,1,0)=1,1+COUNTIF(DT$3:DT265,"&gt;0"),0)</f>
        <v>0</v>
      </c>
      <c r="DU266">
        <f>IF(IF(OR(IFERROR(SEARCH("Paladin",$T266,1),0)&gt;0,IFERROR(SEARCH(PaladinOath,$T266,1),0)&gt;0),1,0)*IF($C266=DU$2,1,0)=1,1+COUNTIF(DU$3:DU265,"&gt;0"),0)</f>
        <v>0</v>
      </c>
      <c r="DV266">
        <f>IF(IF(OR(IFERROR(SEARCH("Paladin",$T266,1),0)&gt;0,IFERROR(SEARCH(PaladinOath,$T266,1),0)&gt;0),1,0)*IF($C266=DV$2,1,0)=1,1+COUNTIF(DV$3:DV265,"&gt;0"),0)</f>
        <v>0</v>
      </c>
      <c r="DW266">
        <f>IF(IF(OR(IFERROR(SEARCH("Paladin",$T266,1),0)&gt;0,IFERROR(SEARCH(PaladinOath,$T266,1),0)&gt;0),1,0)*IF($C266=DW$2,1,0)=1,1+COUNTIF(DW$3:DW265,"&gt;0"),0)</f>
        <v>0</v>
      </c>
      <c r="DY266">
        <f t="shared" si="225"/>
        <v>1</v>
      </c>
      <c r="DZ266">
        <f>IF(DY266=0,0,1+MAX(DZ$3:$DZ265))</f>
        <v>264</v>
      </c>
      <c r="EB266">
        <f t="shared" si="239"/>
        <v>0</v>
      </c>
      <c r="EC266">
        <f>IF(EB266=0,0,1+COUNTIF(EC$3:EC265,"&gt;0"))</f>
        <v>0</v>
      </c>
      <c r="ED266" t="str">
        <f t="shared" si="267"/>
        <v/>
      </c>
      <c r="EE266" t="str">
        <f t="shared" si="240"/>
        <v/>
      </c>
      <c r="EG266">
        <f t="shared" si="241"/>
        <v>0</v>
      </c>
      <c r="EH266">
        <f>IF(EG266=0,0,1+COUNTIF(EH$3:EH265,"&gt;0"))</f>
        <v>0</v>
      </c>
      <c r="EI266" t="str">
        <f t="shared" si="268"/>
        <v/>
      </c>
      <c r="EJ266" t="str">
        <f t="shared" si="242"/>
        <v/>
      </c>
      <c r="EL266">
        <f t="shared" si="243"/>
        <v>1</v>
      </c>
      <c r="EM266">
        <f>IF(EL266=0,0,1+COUNTIF(EM$3:EM265,"&gt;0"))</f>
        <v>5</v>
      </c>
      <c r="EN266" t="str">
        <f t="shared" si="269"/>
        <v/>
      </c>
      <c r="EO266" t="str">
        <f t="shared" si="244"/>
        <v/>
      </c>
      <c r="EQ266">
        <f t="shared" si="245"/>
        <v>0</v>
      </c>
      <c r="ER266">
        <f>IF(EQ266=0,0,1+COUNTIF(ER$3:ER265,"&gt;0"))</f>
        <v>0</v>
      </c>
      <c r="ES266" t="str">
        <f t="shared" si="270"/>
        <v/>
      </c>
      <c r="ET266" t="str">
        <f t="shared" si="246"/>
        <v/>
      </c>
      <c r="EV266">
        <f t="shared" si="247"/>
        <v>0</v>
      </c>
      <c r="EW266">
        <f>IF(EV266=0,0,1+COUNTIF(EW$3:EW265,"&gt;0"))</f>
        <v>0</v>
      </c>
      <c r="EX266" t="str">
        <f t="shared" si="271"/>
        <v/>
      </c>
      <c r="EY266" t="str">
        <f t="shared" si="248"/>
        <v/>
      </c>
      <c r="FA266">
        <f t="shared" si="249"/>
        <v>0</v>
      </c>
      <c r="FB266">
        <f>IF(FA266=0,0,1+COUNTIF(FB$3:FB265,"&gt;0"))</f>
        <v>0</v>
      </c>
      <c r="FC266" t="str">
        <f t="shared" si="272"/>
        <v/>
      </c>
      <c r="FD266" t="str">
        <f t="shared" si="250"/>
        <v/>
      </c>
      <c r="FF266">
        <f t="shared" si="251"/>
        <v>0</v>
      </c>
      <c r="FG266">
        <f>IF(FF266=0,0,1+COUNTIF(FG$3:FG265,"&gt;0"))</f>
        <v>0</v>
      </c>
      <c r="FH266" t="str">
        <f t="shared" si="273"/>
        <v/>
      </c>
      <c r="FI266" t="str">
        <f t="shared" si="252"/>
        <v/>
      </c>
      <c r="FK266">
        <f t="shared" si="253"/>
        <v>0</v>
      </c>
      <c r="FL266">
        <f>IF(FK266=0,0,1+COUNTIF(FL$3:FL265,"&gt;0"))</f>
        <v>0</v>
      </c>
      <c r="FM266" t="str">
        <f t="shared" si="274"/>
        <v/>
      </c>
      <c r="FN266" t="str">
        <f t="shared" si="254"/>
        <v/>
      </c>
      <c r="FP266">
        <f t="shared" si="255"/>
        <v>0</v>
      </c>
      <c r="FQ266">
        <f>IF(FP266=0,0,1+COUNTIF(FQ$3:FQ265,"&gt;0"))</f>
        <v>0</v>
      </c>
      <c r="FR266" t="str">
        <f t="shared" si="275"/>
        <v/>
      </c>
      <c r="FS266" t="str">
        <f t="shared" si="256"/>
        <v/>
      </c>
    </row>
    <row r="267" spans="1:175" x14ac:dyDescent="0.25">
      <c r="A267" s="347">
        <f t="shared" si="219"/>
        <v>265</v>
      </c>
      <c r="B267" s="348" t="s">
        <v>2649</v>
      </c>
      <c r="C267" s="348">
        <v>6</v>
      </c>
      <c r="D267" s="347">
        <v>6</v>
      </c>
      <c r="E267" s="627" t="s">
        <v>6952</v>
      </c>
      <c r="F267" s="346"/>
      <c r="G267" s="347" t="str">
        <f>""</f>
        <v/>
      </c>
      <c r="H267" s="347" t="s">
        <v>5912</v>
      </c>
      <c r="I267" s="347" t="s">
        <v>5290</v>
      </c>
      <c r="J267" s="347" t="str">
        <f t="shared" si="226"/>
        <v/>
      </c>
      <c r="K267" s="347" t="s">
        <v>5299</v>
      </c>
      <c r="L267" s="611" t="str">
        <f t="shared" si="227"/>
        <v>V, S, M, a bit fleece and jade dust worth at least 25 gp</v>
      </c>
      <c r="M267" s="347" t="s">
        <v>2373</v>
      </c>
      <c r="N267" s="347" t="s">
        <v>2387</v>
      </c>
      <c r="O267" s="347" t="s">
        <v>1244</v>
      </c>
      <c r="P267" s="346" t="s">
        <v>5456</v>
      </c>
      <c r="Q267" s="347" t="s">
        <v>5274</v>
      </c>
      <c r="S267" s="346" t="s">
        <v>5798</v>
      </c>
      <c r="T267" s="346" t="str">
        <f t="shared" si="228"/>
        <v xml:space="preserve">Bard, Arcane Trickster, Wizard, </v>
      </c>
      <c r="U267" s="347" t="str">
        <f>$B267</f>
        <v>Programmed Illusion</v>
      </c>
      <c r="AC267" s="539" t="str">
        <f>B267</f>
        <v>Programmed Illusion</v>
      </c>
      <c r="AD267" s="347" t="str">
        <f>$B267</f>
        <v>Programmed Illusion</v>
      </c>
      <c r="AE267" t="str">
        <f>IF(IFERROR(MATCH($B267,temp!A$4:A$13,0),0)&gt;0,T08_Spells!AE$2,"")</f>
        <v/>
      </c>
      <c r="AF267" t="str">
        <f>IF(IFERROR(MATCH($B267,temp!B$4:B$13,0),0)&gt;0,T08_Spells!AF$2,"")</f>
        <v/>
      </c>
      <c r="AG267" t="str">
        <f>IF(IFERROR(MATCH($B267,temp!C$4:C$13,0),0)&gt;0,T08_Spells!AG$2,"")</f>
        <v/>
      </c>
      <c r="AH267" t="str">
        <f>IF(IFERROR(MATCH($B267,temp!D$4:D$13,0),0)&gt;0,T08_Spells!AH$2,"")</f>
        <v/>
      </c>
      <c r="AI267" t="str">
        <f>IF(IFERROR(MATCH($B267,temp!E$4:E$13,0),0)&gt;0,T08_Spells!AI$2,"")</f>
        <v/>
      </c>
      <c r="AJ267" t="str">
        <f>IF(IFERROR(MATCH($B267,temp!F$4:F$13,0),0)&gt;0,T08_Spells!AJ$2,"")</f>
        <v/>
      </c>
      <c r="AK267" t="str">
        <f>IF(IFERROR(MATCH($B267,temp!G$4:G$13,0),0)&gt;0,T08_Spells!AK$2,"")</f>
        <v/>
      </c>
      <c r="AL267" t="str">
        <f>IF(IFERROR(MATCH($B267,temp!H$4:H$13,0),0)&gt;0,T08_Spells!AL$2,"")</f>
        <v/>
      </c>
      <c r="AM267" t="str">
        <f>IF(IFERROR(MATCH($B267,temp!I$4:I$13,0),0)&gt;0,T08_Spells!AM$2,"")</f>
        <v/>
      </c>
      <c r="AN267" t="str">
        <f>IF(IFERROR(MATCH($B267,temp!J$4:J$13,0),0)&gt;0,T08_Spells!AN$2,"")</f>
        <v/>
      </c>
      <c r="AO267" t="str">
        <f>IF(IFERROR(MATCH($B267,temp!K$4:K$13,0),0)&gt;0,T08_Spells!AO$2,"")</f>
        <v/>
      </c>
      <c r="AP267" t="str">
        <f>IF(IFERROR(MATCH($B267,temp!L$4:L$13,0),0)&gt;0,T08_Spells!AP$2,"")</f>
        <v/>
      </c>
      <c r="AQ267" t="str">
        <f>IF(IFERROR(MATCH($B267,temp!M$4:M$13,0),0)&gt;0,T08_Spells!AQ$2,"")</f>
        <v/>
      </c>
      <c r="AR267" t="str">
        <f>IF(IFERROR(MATCH($B267,temp!N$4:N$13,0),0)&gt;0,T08_Spells!AR$2,"")</f>
        <v/>
      </c>
      <c r="AS267" t="str">
        <f>IF(IFERROR(MATCH($B267,temp!O$4:O$13,0),0)&gt;0,T08_Spells!AS$2,"")</f>
        <v/>
      </c>
      <c r="AT267" t="str">
        <f>IF(IFERROR(MATCH($B267,temp!P$4:P$13,0),0)&gt;0,T08_Spells!AT$2,"")</f>
        <v/>
      </c>
      <c r="AU267" t="str">
        <f>IF(IFERROR(MATCH($B267,temp!Q$4:Q$13,0),0)&gt;0,T08_Spells!AU$2,"")</f>
        <v/>
      </c>
      <c r="AV267" t="str">
        <f>IF(IFERROR(MATCH($B267,temp!R$4:R$13,0),0)&gt;0,T08_Spells!AV$2,"")</f>
        <v/>
      </c>
      <c r="AW267" t="str">
        <f>IF(IFERROR(MATCH($B267,temp!S$4:S$13,0),0)&gt;0,T08_Spells!AW$2,"")</f>
        <v/>
      </c>
      <c r="AX267" t="str">
        <f>IF(IFERROR(MATCH($B267,temp!T$4:T$13,0),0)&gt;0,T08_Spells!AX$2,"")</f>
        <v/>
      </c>
      <c r="AY267" t="str">
        <f>IF(IFERROR(MATCH($B267,temp!U$4:U$13,0),0)&gt;0,T08_Spells!AY$2,"")</f>
        <v/>
      </c>
      <c r="AZ267" t="str">
        <f>IF(IFERROR(MATCH($B267,temp!V$4:V$13,0),0)&gt;0,T08_Spells!AZ$2,"")</f>
        <v/>
      </c>
      <c r="BA267" t="str">
        <f>IF(IFERROR(MATCH($B267,temp!W$4:W$13,0),0)&gt;0,T08_Spells!BA$2,"")</f>
        <v/>
      </c>
      <c r="BC267">
        <f>IF(IFERROR(SEARCH("Ranger",$T267,1),0)&gt;0,1,0)*IF(RangerMaxSpellLevel&gt;=$C267,1,0)*IF(IFERROR(MATCH(B267,Character_Creation!$X$79:$X$382,0),0)&gt;0,0,1)</f>
        <v>0</v>
      </c>
      <c r="BD267">
        <f>IF(BC267=0,0,1+COUNTIF(BD$3:BD266,"&gt;0"))</f>
        <v>0</v>
      </c>
      <c r="BE267" t="str">
        <f t="shared" si="257"/>
        <v/>
      </c>
      <c r="BF267" t="str">
        <f t="shared" si="229"/>
        <v/>
      </c>
      <c r="BH267">
        <f>IF(IFERROR(SEARCH("Sorcerer",$T267,1),0)&gt;0,1,0)*IF(SorcererMaxSpellLevel&gt;=$C267,1,0)*IF(IFERROR(MATCH(B267,Character_Creation!$J$380:$J$394,0),0)&gt;0,0,1)</f>
        <v>0</v>
      </c>
      <c r="BI267">
        <f>IF(BH267=0,0,1+COUNTIF(BI$3:BI266,"&gt;0"))</f>
        <v>0</v>
      </c>
      <c r="BJ267" t="str">
        <f t="shared" si="258"/>
        <v/>
      </c>
      <c r="BK267" t="str">
        <f t="shared" si="230"/>
        <v/>
      </c>
      <c r="BM267">
        <f>IF(OR(IFERROR(SEARCH("Warlock",$T267,1),0)&gt;0,IFERROR(SEARCH(WarlockPatron,$T267,1),0)&gt;0),1,0)*IF(WarlockMaxSpellLevel&gt;=$C267,1,0)*IF(IFERROR(MATCH(B267,Character_Creation!$J$361:$J$375,0),0)&gt;0,0,1)</f>
        <v>0</v>
      </c>
      <c r="BN267">
        <f>IF(BM267=0,0,1+COUNTIF(BN$3:BN266,"&gt;0"))</f>
        <v>0</v>
      </c>
      <c r="BO267" t="str">
        <f t="shared" si="259"/>
        <v/>
      </c>
      <c r="BP267" t="str">
        <f t="shared" si="231"/>
        <v/>
      </c>
      <c r="BR267">
        <f>IF(IFERROR(SEARCH("Eldritch Knight",$T267,1),0)&gt;0,1,0)*IF(EldritchKnightMaxSpellLevel&gt;=$C267,1,0)*IF(IFERROR(MATCH($B267,Character_Creation!$J$350:$J$356,0),0)&gt;0,0,1)*IF(Character_Creation!$M$338&gt;0,1,0)</f>
        <v>0</v>
      </c>
      <c r="BS267">
        <f>IF(BR267=0,0,1+COUNTIF(BS$3:BS266,"&gt;0"))</f>
        <v>0</v>
      </c>
      <c r="BT267" t="str">
        <f t="shared" si="260"/>
        <v/>
      </c>
      <c r="BU267" t="str">
        <f t="shared" si="232"/>
        <v/>
      </c>
      <c r="BW267">
        <f>IF(IFERROR(SEARCH("Arcane Trickster",$T267,1),0)&gt;0,1,0)*IF(ArcaneTricksterMaxSpellLevel&gt;=$C267,1,0)*IF(IFERROR(MATCH($B267,Character_Creation!$J$350:$J$356,0),0)&gt;0,0,1)*IF(Character_Creation!$T$338&gt;0,1,0)</f>
        <v>0</v>
      </c>
      <c r="BX267">
        <f>IF(BW267=0,0,1+COUNTIF(BX$3:BX266,"&gt;0"))</f>
        <v>0</v>
      </c>
      <c r="BY267" t="str">
        <f t="shared" si="261"/>
        <v/>
      </c>
      <c r="BZ267" t="str">
        <f t="shared" si="233"/>
        <v/>
      </c>
      <c r="CB267">
        <f>IF(IFERROR(SEARCH("Wizard",$T267,1),0)&gt;0,1,0)*IF(C267&lt;=ArcaneTricksterMaxSpellLevel,1,0)*IF(IFERROR(MATCH($B267,Character_Creation!$J$350:$J$356,0),0)&gt;0,0,1)*IF(Character_Creation!$T$350&gt;0,1,0)</f>
        <v>0</v>
      </c>
      <c r="CC267">
        <f>IF(CB267=0,0,1+COUNTIF(CC$3:CC266,"&gt;0"))</f>
        <v>0</v>
      </c>
      <c r="CD267" t="str">
        <f t="shared" si="262"/>
        <v/>
      </c>
      <c r="CE267" t="str">
        <f t="shared" si="234"/>
        <v/>
      </c>
      <c r="CG267">
        <f>IF(IFERROR(SEARCH("Wizard",$T267,1),0)&gt;0,1,0)*IF($C267&lt;=EldritchKnightMaxSpellLevel,1,0)*IF(IFERROR(MATCH($B267,Character_Creation!$J$350:$J$356,0),0)&gt;0,0,1)*IF(Character_Creation!$M$350&gt;0,1,0)</f>
        <v>0</v>
      </c>
      <c r="CH267">
        <f>IF(CG267=0,0,1+COUNTIF(CH$3:CH266,"&gt;0"))</f>
        <v>0</v>
      </c>
      <c r="CI267" t="str">
        <f t="shared" si="263"/>
        <v/>
      </c>
      <c r="CJ267" t="str">
        <f t="shared" si="235"/>
        <v/>
      </c>
      <c r="CL267">
        <f>IF(IFERROR(SEARCH("Bard",$T267,1),0)&gt;0,1,0)*IF(BardMaxSpellLevel&gt;=$C267,1,0)*IF(IFERROR(MATCH(B267,Character_Creation!$C$341:$F$362,0),0)&gt;0,0,1)*IF(IFERROR(MATCH($B267,Character_Creation!$C$341:$C$362,0),0)&gt;0,0,1)</f>
        <v>0</v>
      </c>
      <c r="CM267">
        <f>IF(CL267=0,0,1+COUNTIF(CM$3:CM266,"&gt;0"))</f>
        <v>0</v>
      </c>
      <c r="CN267" t="str">
        <f t="shared" si="264"/>
        <v/>
      </c>
      <c r="CO267" t="str">
        <f t="shared" si="236"/>
        <v/>
      </c>
      <c r="CQ267">
        <f>IF(IFERROR(SEARCH("Wizard",$T267,1),0)&gt;0,1,0)*IF(WizardMaxSpellLevel&gt;=$C267,1,0)*IF(IFERROR(MATCH(B267,Character_Creation!$X$341:$X$400,0),0)&gt;0,0,1)*IF(SelectedWizardSpellLevel=$C267,1,0)</f>
        <v>0</v>
      </c>
      <c r="CR267">
        <f>IF(CQ267=0,0,1+COUNTIF(CR$3:CR266,"&gt;0"))</f>
        <v>0</v>
      </c>
      <c r="CS267" t="str">
        <f t="shared" si="265"/>
        <v/>
      </c>
      <c r="CT267" t="str">
        <f t="shared" si="237"/>
        <v/>
      </c>
      <c r="CV267">
        <f>IF(IFERROR(MATCH($B267,Character_Creation!$C$341:$C$362,0),0)&gt;0,0,1)*IF(OR(C267="Cantrip",C267&lt;=BardMaxSpellLevel),1,0)*IF(IFERROR(MATCH($B267,Character_Creation!$C$367:$C$374,0),0)&gt;0,0,1)</f>
        <v>0</v>
      </c>
      <c r="CW267">
        <f>IF(CV267=0,0,1+COUNTIF(CW$3:CW266,"&gt;0"))</f>
        <v>0</v>
      </c>
      <c r="CX267" t="str">
        <f t="shared" si="266"/>
        <v/>
      </c>
      <c r="CY267" t="str">
        <f t="shared" si="238"/>
        <v/>
      </c>
      <c r="DA267">
        <f>IF(IF(OR(IFERROR(SEARCH("Cleric",$T267,1),0)&gt;0,IFERROR(SEARCH(DivineDomain&amp;",",$T267,1),0)&gt;0),1,0)*IF($C267=DA$2,1,0)=1,1+COUNTIF(DA$3:DA266,"&gt;0"),0)</f>
        <v>0</v>
      </c>
      <c r="DB267">
        <f>IF(IF(OR(IFERROR(SEARCH("Cleric",$T267,1),0)&gt;0,IFERROR(SEARCH(DivineDomain&amp;",",$T267,1),0)&gt;0),1,0)*IF($C267=DB$2,1,0)=1,1+COUNTIF(DB$3:DB266,"&gt;0"),0)</f>
        <v>0</v>
      </c>
      <c r="DC267">
        <f>IF(IF(OR(IFERROR(SEARCH("Cleric",$T267,1),0)&gt;0,IFERROR(SEARCH(DivineDomain&amp;",",$T267,1),0)&gt;0),1,0)*IF($C267=DC$2,1,0)=1,1+COUNTIF(DC$3:DC266,"&gt;0"),0)</f>
        <v>0</v>
      </c>
      <c r="DD267">
        <f>IF(IF(OR(IFERROR(SEARCH("Cleric",$T267,1),0)&gt;0,IFERROR(SEARCH(DivineDomain&amp;",",$T267,1),0)&gt;0),1,0)*IF($C267=DD$2,1,0)=1,1+COUNTIF(DD$3:DD266,"&gt;0"),0)</f>
        <v>0</v>
      </c>
      <c r="DE267">
        <f>IF(IF(OR(IFERROR(SEARCH("Cleric",$T267,1),0)&gt;0,IFERROR(SEARCH(DivineDomain&amp;",",$T267,1),0)&gt;0),1,0)*IF($C267=DE$2,1,0)=1,1+COUNTIF(DE$3:DE266,"&gt;0"),0)</f>
        <v>0</v>
      </c>
      <c r="DF267">
        <f>IF(IF(OR(IFERROR(SEARCH("Cleric",$T267,1),0)&gt;0,IFERROR(SEARCH(DivineDomain&amp;",",$T267,1),0)&gt;0),1,0)*IF($C267=DF$2,1,0)=1,1+COUNTIF(DF$3:DF266,"&gt;0"),0)</f>
        <v>0</v>
      </c>
      <c r="DG267">
        <f>IF(IF(OR(IFERROR(SEARCH("Cleric",$T267,1),0)&gt;0,IFERROR(SEARCH(DivineDomain&amp;",",$T267,1),0)&gt;0),1,0)*IF($C267=DG$2,1,0)=1,1+COUNTIF(DG$3:DG266,"&gt;0"),0)</f>
        <v>0</v>
      </c>
      <c r="DH267">
        <f>IF(IF(OR(IFERROR(SEARCH("Cleric",$T267,1),0)&gt;0,IFERROR(SEARCH(DivineDomain&amp;",",$T267,1),0)&gt;0),1,0)*IF($C267=DH$2,1,0)=1,1+COUNTIF(DH$3:DH266,"&gt;0"),0)</f>
        <v>0</v>
      </c>
      <c r="DI267">
        <f>IF(IF(OR(IFERROR(SEARCH("Cleric",$T267,1),0)&gt;0,IFERROR(SEARCH(DivineDomain&amp;",",$T267,1),0)&gt;0),1,0)*IF($C267=DI$2,1,0)=1,1+COUNTIF(DI$3:DI266,"&gt;0"),0)</f>
        <v>0</v>
      </c>
      <c r="DJ267">
        <f>IF(IF(OR(IFERROR(SEARCH("Druid",$T267,1),0)&gt;0,IFERROR(SEARCH(DruidLand1,$T267,1),0)&gt;0,IFERROR(SEARCH(DruidLand2,$T267,1),0)&gt;0,IFERROR(SEARCH(DruidLand3,$T267,1),0)&gt;0,IFERROR(SEARCH(DruidLand4,$T267,1),0)&gt;0),1,0)*IF($C267=1,1,0)*IF($C267=DJ$2,1,0)=0,0,1+COUNTIF(DJ$3:DJ266,"&gt;0"))</f>
        <v>0</v>
      </c>
      <c r="DK267">
        <f>IF(IF(OR(IFERROR(SEARCH("Druid",$T267,1),0)&gt;0,IFERROR(SEARCH(DruidLand1,$T267,1),0)&gt;0,IFERROR(SEARCH(DruidLand2,$T267,1),0)&gt;0,IFERROR(SEARCH(DruidLand3,$T267,1),0)&gt;0,IFERROR(SEARCH(DruidLand4,$T267,1),0)&gt;0),1,0)*IF($C267=1,1,0)*IF($C267=DK$2,1,0)=0,0,1+COUNTIF(DK$3:DK266,"&gt;0"))</f>
        <v>0</v>
      </c>
      <c r="DL267">
        <f>IF(IF(OR(IFERROR(SEARCH("Druid",$T267,1),0)&gt;0,IFERROR(SEARCH(DruidLand1,$T267,1),0)&gt;0,IFERROR(SEARCH(DruidLand2,$T267,1),0)&gt;0,IFERROR(SEARCH(DruidLand3,$T267,1),0)&gt;0,IFERROR(SEARCH(DruidLand4,$T267,1),0)&gt;0),1,0)*IF($C267=1,1,0)*IF($C267=DL$2,1,0)=0,0,1+COUNTIF(DL$3:DL266,"&gt;0"))</f>
        <v>0</v>
      </c>
      <c r="DM267">
        <f>IF(IF(OR(IFERROR(SEARCH("Druid",$T267,1),0)&gt;0,IFERROR(SEARCH(DruidLand1,$T267,1),0)&gt;0,IFERROR(SEARCH(DruidLand2,$T267,1),0)&gt;0,IFERROR(SEARCH(DruidLand3,$T267,1),0)&gt;0,IFERROR(SEARCH(DruidLand4,$T267,1),0)&gt;0),1,0)*IF($C267=1,1,0)*IF($C267=DM$2,1,0)=0,0,1+COUNTIF(DM$3:DM266,"&gt;0"))</f>
        <v>0</v>
      </c>
      <c r="DN267">
        <f>IF(IF(OR(IFERROR(SEARCH("Druid",$T267,1),0)&gt;0,IFERROR(SEARCH(DruidLand1,$T267,1),0)&gt;0,IFERROR(SEARCH(DruidLand2,$T267,1),0)&gt;0,IFERROR(SEARCH(DruidLand3,$T267,1),0)&gt;0,IFERROR(SEARCH(DruidLand4,$T267,1),0)&gt;0),1,0)*IF($C267=1,1,0)*IF($C267=DN$2,1,0)=0,0,1+COUNTIF(DN$3:DN266,"&gt;0"))</f>
        <v>0</v>
      </c>
      <c r="DO267">
        <f>IF(IF(OR(IFERROR(SEARCH("Druid",$T267,1),0)&gt;0,IFERROR(SEARCH(DruidLand1,$T267,1),0)&gt;0,IFERROR(SEARCH(DruidLand2,$T267,1),0)&gt;0,IFERROR(SEARCH(DruidLand3,$T267,1),0)&gt;0,IFERROR(SEARCH(DruidLand4,$T267,1),0)&gt;0),1,0)*IF($C267=1,1,0)*IF($C267=DO$2,1,0)=0,0,1+COUNTIF(DO$3:DO266,"&gt;0"))</f>
        <v>0</v>
      </c>
      <c r="DP267">
        <f>IF(IF(OR(IFERROR(SEARCH("Druid",$T267,1),0)&gt;0,IFERROR(SEARCH(DruidLand1,$T267,1),0)&gt;0,IFERROR(SEARCH(DruidLand2,$T267,1),0)&gt;0,IFERROR(SEARCH(DruidLand3,$T267,1),0)&gt;0,IFERROR(SEARCH(DruidLand4,$T267,1),0)&gt;0),1,0)*IF($C267=1,1,0)*IF($C267=DP$2,1,0)=0,0,1+COUNTIF(DP$3:DP266,"&gt;0"))</f>
        <v>0</v>
      </c>
      <c r="DQ267">
        <f>IF(IF(OR(IFERROR(SEARCH("Druid",$T267,1),0)&gt;0,IFERROR(SEARCH(DruidLand1,$T267,1),0)&gt;0,IFERROR(SEARCH(DruidLand2,$T267,1),0)&gt;0,IFERROR(SEARCH(DruidLand3,$T267,1),0)&gt;0,IFERROR(SEARCH(DruidLand4,$T267,1),0)&gt;0),1,0)*IF($C267=1,1,0)*IF($C267=DQ$2,1,0)=0,0,1+COUNTIF(DQ$3:DQ266,"&gt;0"))</f>
        <v>0</v>
      </c>
      <c r="DR267">
        <f>IF(IF(OR(IFERROR(SEARCH("Druid",$T267,1),0)&gt;0,IFERROR(SEARCH(DruidLand1,$T267,1),0)&gt;0,IFERROR(SEARCH(DruidLand2,$T267,1),0)&gt;0,IFERROR(SEARCH(DruidLand3,$T267,1),0)&gt;0,IFERROR(SEARCH(DruidLand4,$T267,1),0)&gt;0),1,0)*IF($C267=1,1,0)*IF($C267=DR$2,1,0)=0,0,1+COUNTIF(DR$3:DR266,"&gt;0"))</f>
        <v>0</v>
      </c>
      <c r="DS267">
        <f>IF(IF(OR(IFERROR(SEARCH("Paladin",$T267,1),0)&gt;0,IFERROR(SEARCH(PaladinOath,$T267,1),0)&gt;0),1,0)*IF($C267=DS$2,1,0)=1,1+COUNTIF(DS$3:DS266,"&gt;0"),0)</f>
        <v>0</v>
      </c>
      <c r="DT267">
        <f>IF(IF(OR(IFERROR(SEARCH("Paladin",$T267,1),0)&gt;0,IFERROR(SEARCH(PaladinOath,$T267,1),0)&gt;0),1,0)*IF($C267=DT$2,1,0)=1,1+COUNTIF(DT$3:DT266,"&gt;0"),0)</f>
        <v>0</v>
      </c>
      <c r="DU267">
        <f>IF(IF(OR(IFERROR(SEARCH("Paladin",$T267,1),0)&gt;0,IFERROR(SEARCH(PaladinOath,$T267,1),0)&gt;0),1,0)*IF($C267=DU$2,1,0)=1,1+COUNTIF(DU$3:DU266,"&gt;0"),0)</f>
        <v>0</v>
      </c>
      <c r="DV267">
        <f>IF(IF(OR(IFERROR(SEARCH("Paladin",$T267,1),0)&gt;0,IFERROR(SEARCH(PaladinOath,$T267,1),0)&gt;0),1,0)*IF($C267=DV$2,1,0)=1,1+COUNTIF(DV$3:DV266,"&gt;0"),0)</f>
        <v>0</v>
      </c>
      <c r="DW267">
        <f>IF(IF(OR(IFERROR(SEARCH("Paladin",$T267,1),0)&gt;0,IFERROR(SEARCH(PaladinOath,$T267,1),0)&gt;0),1,0)*IF($C267=DW$2,1,0)=1,1+COUNTIF(DW$3:DW266,"&gt;0"),0)</f>
        <v>0</v>
      </c>
      <c r="DY267">
        <f t="shared" si="225"/>
        <v>1</v>
      </c>
      <c r="DZ267">
        <f>IF(DY267=0,0,1+MAX(DZ$3:$DZ266))</f>
        <v>265</v>
      </c>
      <c r="EB267">
        <f t="shared" si="239"/>
        <v>0</v>
      </c>
      <c r="EC267">
        <f>IF(EB267=0,0,1+COUNTIF(EC$3:EC266,"&gt;0"))</f>
        <v>0</v>
      </c>
      <c r="ED267" t="str">
        <f t="shared" si="267"/>
        <v/>
      </c>
      <c r="EE267" t="str">
        <f t="shared" si="240"/>
        <v/>
      </c>
      <c r="EG267">
        <f t="shared" si="241"/>
        <v>0</v>
      </c>
      <c r="EH267">
        <f>IF(EG267=0,0,1+COUNTIF(EH$3:EH266,"&gt;0"))</f>
        <v>0</v>
      </c>
      <c r="EI267" t="str">
        <f t="shared" si="268"/>
        <v/>
      </c>
      <c r="EJ267" t="str">
        <f t="shared" si="242"/>
        <v/>
      </c>
      <c r="EL267">
        <f t="shared" si="243"/>
        <v>0</v>
      </c>
      <c r="EM267">
        <f>IF(EL267=0,0,1+COUNTIF(EM$3:EM266,"&gt;0"))</f>
        <v>0</v>
      </c>
      <c r="EN267" t="str">
        <f t="shared" si="269"/>
        <v/>
      </c>
      <c r="EO267" t="str">
        <f t="shared" si="244"/>
        <v/>
      </c>
      <c r="EQ267">
        <f t="shared" si="245"/>
        <v>0</v>
      </c>
      <c r="ER267">
        <f>IF(EQ267=0,0,1+COUNTIF(ER$3:ER266,"&gt;0"))</f>
        <v>0</v>
      </c>
      <c r="ES267" t="str">
        <f t="shared" si="270"/>
        <v/>
      </c>
      <c r="ET267" t="str">
        <f t="shared" si="246"/>
        <v/>
      </c>
      <c r="EV267">
        <f t="shared" si="247"/>
        <v>0</v>
      </c>
      <c r="EW267">
        <f>IF(EV267=0,0,1+COUNTIF(EW$3:EW266,"&gt;0"))</f>
        <v>0</v>
      </c>
      <c r="EX267" t="str">
        <f t="shared" si="271"/>
        <v/>
      </c>
      <c r="EY267" t="str">
        <f t="shared" si="248"/>
        <v/>
      </c>
      <c r="FA267">
        <f t="shared" si="249"/>
        <v>0</v>
      </c>
      <c r="FB267">
        <f>IF(FA267=0,0,1+COUNTIF(FB$3:FB266,"&gt;0"))</f>
        <v>0</v>
      </c>
      <c r="FC267" t="str">
        <f t="shared" si="272"/>
        <v/>
      </c>
      <c r="FD267" t="str">
        <f t="shared" si="250"/>
        <v/>
      </c>
      <c r="FF267">
        <f t="shared" si="251"/>
        <v>0</v>
      </c>
      <c r="FG267">
        <f>IF(FF267=0,0,1+COUNTIF(FG$3:FG266,"&gt;0"))</f>
        <v>0</v>
      </c>
      <c r="FH267" t="str">
        <f t="shared" si="273"/>
        <v/>
      </c>
      <c r="FI267" t="str">
        <f t="shared" si="252"/>
        <v/>
      </c>
      <c r="FK267">
        <f t="shared" si="253"/>
        <v>0</v>
      </c>
      <c r="FL267">
        <f>IF(FK267=0,0,1+COUNTIF(FL$3:FL266,"&gt;0"))</f>
        <v>0</v>
      </c>
      <c r="FM267" t="str">
        <f t="shared" si="274"/>
        <v/>
      </c>
      <c r="FN267" t="str">
        <f t="shared" si="254"/>
        <v/>
      </c>
      <c r="FP267">
        <f t="shared" si="255"/>
        <v>0</v>
      </c>
      <c r="FQ267">
        <f>IF(FP267=0,0,1+COUNTIF(FQ$3:FQ266,"&gt;0"))</f>
        <v>0</v>
      </c>
      <c r="FR267" t="str">
        <f t="shared" si="275"/>
        <v/>
      </c>
      <c r="FS267" t="str">
        <f t="shared" si="256"/>
        <v/>
      </c>
    </row>
    <row r="268" spans="1:175" x14ac:dyDescent="0.25">
      <c r="A268" s="347">
        <f t="shared" si="219"/>
        <v>266</v>
      </c>
      <c r="B268" s="348" t="s">
        <v>2650</v>
      </c>
      <c r="C268" s="348">
        <v>7</v>
      </c>
      <c r="D268" s="347">
        <v>7</v>
      </c>
      <c r="E268" s="627" t="s">
        <v>6952</v>
      </c>
      <c r="F268" s="346"/>
      <c r="G268" s="347" t="str">
        <f>""</f>
        <v/>
      </c>
      <c r="H268" s="347" t="s">
        <v>5912</v>
      </c>
      <c r="I268" s="347" t="s">
        <v>2651</v>
      </c>
      <c r="J268" s="347" t="str">
        <f t="shared" si="226"/>
        <v/>
      </c>
      <c r="K268" s="347" t="s">
        <v>5368</v>
      </c>
      <c r="L268" s="611" t="str">
        <f t="shared" si="227"/>
        <v>V, S, M, a small replica of you mad from materials worth at least 5 gp</v>
      </c>
      <c r="M268" s="347" t="s">
        <v>2373</v>
      </c>
      <c r="N268" s="347" t="s">
        <v>2387</v>
      </c>
      <c r="O268" s="347" t="s">
        <v>1244</v>
      </c>
      <c r="P268" s="346" t="s">
        <v>5457</v>
      </c>
      <c r="Q268" s="347" t="s">
        <v>5274</v>
      </c>
      <c r="S268" s="346" t="s">
        <v>5799</v>
      </c>
      <c r="T268" s="346" t="str">
        <f t="shared" si="228"/>
        <v xml:space="preserve">Bard, Arcane Trickster, Wizard, </v>
      </c>
      <c r="U268" s="347" t="str">
        <f>$B268</f>
        <v>Project Image</v>
      </c>
      <c r="AC268" s="539" t="str">
        <f>B268</f>
        <v>Project Image</v>
      </c>
      <c r="AD268" s="347" t="str">
        <f>$B268</f>
        <v>Project Image</v>
      </c>
      <c r="AE268" t="str">
        <f>IF(IFERROR(MATCH($B268,temp!A$4:A$13,0),0)&gt;0,T08_Spells!AE$2,"")</f>
        <v/>
      </c>
      <c r="AF268" t="str">
        <f>IF(IFERROR(MATCH($B268,temp!B$4:B$13,0),0)&gt;0,T08_Spells!AF$2,"")</f>
        <v/>
      </c>
      <c r="AG268" t="str">
        <f>IF(IFERROR(MATCH($B268,temp!C$4:C$13,0),0)&gt;0,T08_Spells!AG$2,"")</f>
        <v/>
      </c>
      <c r="AH268" t="str">
        <f>IF(IFERROR(MATCH($B268,temp!D$4:D$13,0),0)&gt;0,T08_Spells!AH$2,"")</f>
        <v/>
      </c>
      <c r="AI268" t="str">
        <f>IF(IFERROR(MATCH($B268,temp!E$4:E$13,0),0)&gt;0,T08_Spells!AI$2,"")</f>
        <v/>
      </c>
      <c r="AJ268" t="str">
        <f>IF(IFERROR(MATCH($B268,temp!F$4:F$13,0),0)&gt;0,T08_Spells!AJ$2,"")</f>
        <v/>
      </c>
      <c r="AK268" t="str">
        <f>IF(IFERROR(MATCH($B268,temp!G$4:G$13,0),0)&gt;0,T08_Spells!AK$2,"")</f>
        <v/>
      </c>
      <c r="AL268" t="str">
        <f>IF(IFERROR(MATCH($B268,temp!H$4:H$13,0),0)&gt;0,T08_Spells!AL$2,"")</f>
        <v/>
      </c>
      <c r="AM268" t="str">
        <f>IF(IFERROR(MATCH($B268,temp!I$4:I$13,0),0)&gt;0,T08_Spells!AM$2,"")</f>
        <v/>
      </c>
      <c r="AN268" t="str">
        <f>IF(IFERROR(MATCH($B268,temp!J$4:J$13,0),0)&gt;0,T08_Spells!AN$2,"")</f>
        <v/>
      </c>
      <c r="AO268" t="str">
        <f>IF(IFERROR(MATCH($B268,temp!K$4:K$13,0),0)&gt;0,T08_Spells!AO$2,"")</f>
        <v/>
      </c>
      <c r="AP268" t="str">
        <f>IF(IFERROR(MATCH($B268,temp!L$4:L$13,0),0)&gt;0,T08_Spells!AP$2,"")</f>
        <v/>
      </c>
      <c r="AQ268" t="str">
        <f>IF(IFERROR(MATCH($B268,temp!M$4:M$13,0),0)&gt;0,T08_Spells!AQ$2,"")</f>
        <v/>
      </c>
      <c r="AR268" t="str">
        <f>IF(IFERROR(MATCH($B268,temp!N$4:N$13,0),0)&gt;0,T08_Spells!AR$2,"")</f>
        <v/>
      </c>
      <c r="AS268" t="str">
        <f>IF(IFERROR(MATCH($B268,temp!O$4:O$13,0),0)&gt;0,T08_Spells!AS$2,"")</f>
        <v/>
      </c>
      <c r="AT268" t="str">
        <f>IF(IFERROR(MATCH($B268,temp!P$4:P$13,0),0)&gt;0,T08_Spells!AT$2,"")</f>
        <v/>
      </c>
      <c r="AU268" t="str">
        <f>IF(IFERROR(MATCH($B268,temp!Q$4:Q$13,0),0)&gt;0,T08_Spells!AU$2,"")</f>
        <v/>
      </c>
      <c r="AV268" t="str">
        <f>IF(IFERROR(MATCH($B268,temp!R$4:R$13,0),0)&gt;0,T08_Spells!AV$2,"")</f>
        <v/>
      </c>
      <c r="AW268" t="str">
        <f>IF(IFERROR(MATCH($B268,temp!S$4:S$13,0),0)&gt;0,T08_Spells!AW$2,"")</f>
        <v/>
      </c>
      <c r="AX268" t="str">
        <f>IF(IFERROR(MATCH($B268,temp!T$4:T$13,0),0)&gt;0,T08_Spells!AX$2,"")</f>
        <v/>
      </c>
      <c r="AY268" t="str">
        <f>IF(IFERROR(MATCH($B268,temp!U$4:U$13,0),0)&gt;0,T08_Spells!AY$2,"")</f>
        <v/>
      </c>
      <c r="AZ268" t="str">
        <f>IF(IFERROR(MATCH($B268,temp!V$4:V$13,0),0)&gt;0,T08_Spells!AZ$2,"")</f>
        <v/>
      </c>
      <c r="BA268" t="str">
        <f>IF(IFERROR(MATCH($B268,temp!W$4:W$13,0),0)&gt;0,T08_Spells!BA$2,"")</f>
        <v/>
      </c>
      <c r="BC268">
        <f>IF(IFERROR(SEARCH("Ranger",$T268,1),0)&gt;0,1,0)*IF(RangerMaxSpellLevel&gt;=$C268,1,0)*IF(IFERROR(MATCH(B268,Character_Creation!$X$79:$X$382,0),0)&gt;0,0,1)</f>
        <v>0</v>
      </c>
      <c r="BD268">
        <f>IF(BC268=0,0,1+COUNTIF(BD$3:BD267,"&gt;0"))</f>
        <v>0</v>
      </c>
      <c r="BE268" t="str">
        <f t="shared" si="257"/>
        <v/>
      </c>
      <c r="BF268" t="str">
        <f t="shared" si="229"/>
        <v/>
      </c>
      <c r="BH268">
        <f>IF(IFERROR(SEARCH("Sorcerer",$T268,1),0)&gt;0,1,0)*IF(SorcererMaxSpellLevel&gt;=$C268,1,0)*IF(IFERROR(MATCH(B268,Character_Creation!$J$380:$J$394,0),0)&gt;0,0,1)</f>
        <v>0</v>
      </c>
      <c r="BI268">
        <f>IF(BH268=0,0,1+COUNTIF(BI$3:BI267,"&gt;0"))</f>
        <v>0</v>
      </c>
      <c r="BJ268" t="str">
        <f t="shared" si="258"/>
        <v/>
      </c>
      <c r="BK268" t="str">
        <f t="shared" si="230"/>
        <v/>
      </c>
      <c r="BM268">
        <f>IF(OR(IFERROR(SEARCH("Warlock",$T268,1),0)&gt;0,IFERROR(SEARCH(WarlockPatron,$T268,1),0)&gt;0),1,0)*IF(WarlockMaxSpellLevel&gt;=$C268,1,0)*IF(IFERROR(MATCH(B268,Character_Creation!$J$361:$J$375,0),0)&gt;0,0,1)</f>
        <v>0</v>
      </c>
      <c r="BN268">
        <f>IF(BM268=0,0,1+COUNTIF(BN$3:BN267,"&gt;0"))</f>
        <v>0</v>
      </c>
      <c r="BO268" t="str">
        <f t="shared" si="259"/>
        <v/>
      </c>
      <c r="BP268" t="str">
        <f t="shared" si="231"/>
        <v/>
      </c>
      <c r="BR268">
        <f>IF(IFERROR(SEARCH("Eldritch Knight",$T268,1),0)&gt;0,1,0)*IF(EldritchKnightMaxSpellLevel&gt;=$C268,1,0)*IF(IFERROR(MATCH($B268,Character_Creation!$J$350:$J$356,0),0)&gt;0,0,1)*IF(Character_Creation!$M$338&gt;0,1,0)</f>
        <v>0</v>
      </c>
      <c r="BS268">
        <f>IF(BR268=0,0,1+COUNTIF(BS$3:BS267,"&gt;0"))</f>
        <v>0</v>
      </c>
      <c r="BT268" t="str">
        <f t="shared" si="260"/>
        <v/>
      </c>
      <c r="BU268" t="str">
        <f t="shared" si="232"/>
        <v/>
      </c>
      <c r="BW268">
        <f>IF(IFERROR(SEARCH("Arcane Trickster",$T268,1),0)&gt;0,1,0)*IF(ArcaneTricksterMaxSpellLevel&gt;=$C268,1,0)*IF(IFERROR(MATCH($B268,Character_Creation!$J$350:$J$356,0),0)&gt;0,0,1)*IF(Character_Creation!$T$338&gt;0,1,0)</f>
        <v>0</v>
      </c>
      <c r="BX268">
        <f>IF(BW268=0,0,1+COUNTIF(BX$3:BX267,"&gt;0"))</f>
        <v>0</v>
      </c>
      <c r="BY268" t="str">
        <f t="shared" si="261"/>
        <v/>
      </c>
      <c r="BZ268" t="str">
        <f t="shared" si="233"/>
        <v/>
      </c>
      <c r="CB268">
        <f>IF(IFERROR(SEARCH("Wizard",$T268,1),0)&gt;0,1,0)*IF(C268&lt;=ArcaneTricksterMaxSpellLevel,1,0)*IF(IFERROR(MATCH($B268,Character_Creation!$J$350:$J$356,0),0)&gt;0,0,1)*IF(Character_Creation!$T$350&gt;0,1,0)</f>
        <v>0</v>
      </c>
      <c r="CC268">
        <f>IF(CB268=0,0,1+COUNTIF(CC$3:CC267,"&gt;0"))</f>
        <v>0</v>
      </c>
      <c r="CD268" t="str">
        <f t="shared" si="262"/>
        <v/>
      </c>
      <c r="CE268" t="str">
        <f t="shared" si="234"/>
        <v/>
      </c>
      <c r="CG268">
        <f>IF(IFERROR(SEARCH("Wizard",$T268,1),0)&gt;0,1,0)*IF($C268&lt;=EldritchKnightMaxSpellLevel,1,0)*IF(IFERROR(MATCH($B268,Character_Creation!$J$350:$J$356,0),0)&gt;0,0,1)*IF(Character_Creation!$M$350&gt;0,1,0)</f>
        <v>0</v>
      </c>
      <c r="CH268">
        <f>IF(CG268=0,0,1+COUNTIF(CH$3:CH267,"&gt;0"))</f>
        <v>0</v>
      </c>
      <c r="CI268" t="str">
        <f t="shared" si="263"/>
        <v/>
      </c>
      <c r="CJ268" t="str">
        <f t="shared" si="235"/>
        <v/>
      </c>
      <c r="CL268">
        <f>IF(IFERROR(SEARCH("Bard",$T268,1),0)&gt;0,1,0)*IF(BardMaxSpellLevel&gt;=$C268,1,0)*IF(IFERROR(MATCH(B268,Character_Creation!$C$341:$F$362,0),0)&gt;0,0,1)*IF(IFERROR(MATCH($B268,Character_Creation!$C$341:$C$362,0),0)&gt;0,0,1)</f>
        <v>0</v>
      </c>
      <c r="CM268">
        <f>IF(CL268=0,0,1+COUNTIF(CM$3:CM267,"&gt;0"))</f>
        <v>0</v>
      </c>
      <c r="CN268" t="str">
        <f t="shared" si="264"/>
        <v/>
      </c>
      <c r="CO268" t="str">
        <f t="shared" si="236"/>
        <v/>
      </c>
      <c r="CQ268">
        <f>IF(IFERROR(SEARCH("Wizard",$T268,1),0)&gt;0,1,0)*IF(WizardMaxSpellLevel&gt;=$C268,1,0)*IF(IFERROR(MATCH(B268,Character_Creation!$X$341:$X$400,0),0)&gt;0,0,1)*IF(SelectedWizardSpellLevel=$C268,1,0)</f>
        <v>0</v>
      </c>
      <c r="CR268">
        <f>IF(CQ268=0,0,1+COUNTIF(CR$3:CR267,"&gt;0"))</f>
        <v>0</v>
      </c>
      <c r="CS268" t="str">
        <f t="shared" si="265"/>
        <v/>
      </c>
      <c r="CT268" t="str">
        <f t="shared" si="237"/>
        <v/>
      </c>
      <c r="CV268">
        <f>IF(IFERROR(MATCH($B268,Character_Creation!$C$341:$C$362,0),0)&gt;0,0,1)*IF(OR(C268="Cantrip",C268&lt;=BardMaxSpellLevel),1,0)*IF(IFERROR(MATCH($B268,Character_Creation!$C$367:$C$374,0),0)&gt;0,0,1)</f>
        <v>0</v>
      </c>
      <c r="CW268">
        <f>IF(CV268=0,0,1+COUNTIF(CW$3:CW267,"&gt;0"))</f>
        <v>0</v>
      </c>
      <c r="CX268" t="str">
        <f t="shared" si="266"/>
        <v/>
      </c>
      <c r="CY268" t="str">
        <f t="shared" si="238"/>
        <v/>
      </c>
      <c r="DA268">
        <f>IF(IF(OR(IFERROR(SEARCH("Cleric",$T268,1),0)&gt;0,IFERROR(SEARCH(DivineDomain&amp;",",$T268,1),0)&gt;0),1,0)*IF($C268=DA$2,1,0)=1,1+COUNTIF(DA$3:DA267,"&gt;0"),0)</f>
        <v>0</v>
      </c>
      <c r="DB268">
        <f>IF(IF(OR(IFERROR(SEARCH("Cleric",$T268,1),0)&gt;0,IFERROR(SEARCH(DivineDomain&amp;",",$T268,1),0)&gt;0),1,0)*IF($C268=DB$2,1,0)=1,1+COUNTIF(DB$3:DB267,"&gt;0"),0)</f>
        <v>0</v>
      </c>
      <c r="DC268">
        <f>IF(IF(OR(IFERROR(SEARCH("Cleric",$T268,1),0)&gt;0,IFERROR(SEARCH(DivineDomain&amp;",",$T268,1),0)&gt;0),1,0)*IF($C268=DC$2,1,0)=1,1+COUNTIF(DC$3:DC267,"&gt;0"),0)</f>
        <v>0</v>
      </c>
      <c r="DD268">
        <f>IF(IF(OR(IFERROR(SEARCH("Cleric",$T268,1),0)&gt;0,IFERROR(SEARCH(DivineDomain&amp;",",$T268,1),0)&gt;0),1,0)*IF($C268=DD$2,1,0)=1,1+COUNTIF(DD$3:DD267,"&gt;0"),0)</f>
        <v>0</v>
      </c>
      <c r="DE268">
        <f>IF(IF(OR(IFERROR(SEARCH("Cleric",$T268,1),0)&gt;0,IFERROR(SEARCH(DivineDomain&amp;",",$T268,1),0)&gt;0),1,0)*IF($C268=DE$2,1,0)=1,1+COUNTIF(DE$3:DE267,"&gt;0"),0)</f>
        <v>0</v>
      </c>
      <c r="DF268">
        <f>IF(IF(OR(IFERROR(SEARCH("Cleric",$T268,1),0)&gt;0,IFERROR(SEARCH(DivineDomain&amp;",",$T268,1),0)&gt;0),1,0)*IF($C268=DF$2,1,0)=1,1+COUNTIF(DF$3:DF267,"&gt;0"),0)</f>
        <v>0</v>
      </c>
      <c r="DG268">
        <f>IF(IF(OR(IFERROR(SEARCH("Cleric",$T268,1),0)&gt;0,IFERROR(SEARCH(DivineDomain&amp;",",$T268,1),0)&gt;0),1,0)*IF($C268=DG$2,1,0)=1,1+COUNTIF(DG$3:DG267,"&gt;0"),0)</f>
        <v>0</v>
      </c>
      <c r="DH268">
        <f>IF(IF(OR(IFERROR(SEARCH("Cleric",$T268,1),0)&gt;0,IFERROR(SEARCH(DivineDomain&amp;",",$T268,1),0)&gt;0),1,0)*IF($C268=DH$2,1,0)=1,1+COUNTIF(DH$3:DH267,"&gt;0"),0)</f>
        <v>0</v>
      </c>
      <c r="DI268">
        <f>IF(IF(OR(IFERROR(SEARCH("Cleric",$T268,1),0)&gt;0,IFERROR(SEARCH(DivineDomain&amp;",",$T268,1),0)&gt;0),1,0)*IF($C268=DI$2,1,0)=1,1+COUNTIF(DI$3:DI267,"&gt;0"),0)</f>
        <v>0</v>
      </c>
      <c r="DJ268">
        <f>IF(IF(OR(IFERROR(SEARCH("Druid",$T268,1),0)&gt;0,IFERROR(SEARCH(DruidLand1,$T268,1),0)&gt;0,IFERROR(SEARCH(DruidLand2,$T268,1),0)&gt;0,IFERROR(SEARCH(DruidLand3,$T268,1),0)&gt;0,IFERROR(SEARCH(DruidLand4,$T268,1),0)&gt;0),1,0)*IF($C268=1,1,0)*IF($C268=DJ$2,1,0)=0,0,1+COUNTIF(DJ$3:DJ267,"&gt;0"))</f>
        <v>0</v>
      </c>
      <c r="DK268">
        <f>IF(IF(OR(IFERROR(SEARCH("Druid",$T268,1),0)&gt;0,IFERROR(SEARCH(DruidLand1,$T268,1),0)&gt;0,IFERROR(SEARCH(DruidLand2,$T268,1),0)&gt;0,IFERROR(SEARCH(DruidLand3,$T268,1),0)&gt;0,IFERROR(SEARCH(DruidLand4,$T268,1),0)&gt;0),1,0)*IF($C268=1,1,0)*IF($C268=DK$2,1,0)=0,0,1+COUNTIF(DK$3:DK267,"&gt;0"))</f>
        <v>0</v>
      </c>
      <c r="DL268">
        <f>IF(IF(OR(IFERROR(SEARCH("Druid",$T268,1),0)&gt;0,IFERROR(SEARCH(DruidLand1,$T268,1),0)&gt;0,IFERROR(SEARCH(DruidLand2,$T268,1),0)&gt;0,IFERROR(SEARCH(DruidLand3,$T268,1),0)&gt;0,IFERROR(SEARCH(DruidLand4,$T268,1),0)&gt;0),1,0)*IF($C268=1,1,0)*IF($C268=DL$2,1,0)=0,0,1+COUNTIF(DL$3:DL267,"&gt;0"))</f>
        <v>0</v>
      </c>
      <c r="DM268">
        <f>IF(IF(OR(IFERROR(SEARCH("Druid",$T268,1),0)&gt;0,IFERROR(SEARCH(DruidLand1,$T268,1),0)&gt;0,IFERROR(SEARCH(DruidLand2,$T268,1),0)&gt;0,IFERROR(SEARCH(DruidLand3,$T268,1),0)&gt;0,IFERROR(SEARCH(DruidLand4,$T268,1),0)&gt;0),1,0)*IF($C268=1,1,0)*IF($C268=DM$2,1,0)=0,0,1+COUNTIF(DM$3:DM267,"&gt;0"))</f>
        <v>0</v>
      </c>
      <c r="DN268">
        <f>IF(IF(OR(IFERROR(SEARCH("Druid",$T268,1),0)&gt;0,IFERROR(SEARCH(DruidLand1,$T268,1),0)&gt;0,IFERROR(SEARCH(DruidLand2,$T268,1),0)&gt;0,IFERROR(SEARCH(DruidLand3,$T268,1),0)&gt;0,IFERROR(SEARCH(DruidLand4,$T268,1),0)&gt;0),1,0)*IF($C268=1,1,0)*IF($C268=DN$2,1,0)=0,0,1+COUNTIF(DN$3:DN267,"&gt;0"))</f>
        <v>0</v>
      </c>
      <c r="DO268">
        <f>IF(IF(OR(IFERROR(SEARCH("Druid",$T268,1),0)&gt;0,IFERROR(SEARCH(DruidLand1,$T268,1),0)&gt;0,IFERROR(SEARCH(DruidLand2,$T268,1),0)&gt;0,IFERROR(SEARCH(DruidLand3,$T268,1),0)&gt;0,IFERROR(SEARCH(DruidLand4,$T268,1),0)&gt;0),1,0)*IF($C268=1,1,0)*IF($C268=DO$2,1,0)=0,0,1+COUNTIF(DO$3:DO267,"&gt;0"))</f>
        <v>0</v>
      </c>
      <c r="DP268">
        <f>IF(IF(OR(IFERROR(SEARCH("Druid",$T268,1),0)&gt;0,IFERROR(SEARCH(DruidLand1,$T268,1),0)&gt;0,IFERROR(SEARCH(DruidLand2,$T268,1),0)&gt;0,IFERROR(SEARCH(DruidLand3,$T268,1),0)&gt;0,IFERROR(SEARCH(DruidLand4,$T268,1),0)&gt;0),1,0)*IF($C268=1,1,0)*IF($C268=DP$2,1,0)=0,0,1+COUNTIF(DP$3:DP267,"&gt;0"))</f>
        <v>0</v>
      </c>
      <c r="DQ268">
        <f>IF(IF(OR(IFERROR(SEARCH("Druid",$T268,1),0)&gt;0,IFERROR(SEARCH(DruidLand1,$T268,1),0)&gt;0,IFERROR(SEARCH(DruidLand2,$T268,1),0)&gt;0,IFERROR(SEARCH(DruidLand3,$T268,1),0)&gt;0,IFERROR(SEARCH(DruidLand4,$T268,1),0)&gt;0),1,0)*IF($C268=1,1,0)*IF($C268=DQ$2,1,0)=0,0,1+COUNTIF(DQ$3:DQ267,"&gt;0"))</f>
        <v>0</v>
      </c>
      <c r="DR268">
        <f>IF(IF(OR(IFERROR(SEARCH("Druid",$T268,1),0)&gt;0,IFERROR(SEARCH(DruidLand1,$T268,1),0)&gt;0,IFERROR(SEARCH(DruidLand2,$T268,1),0)&gt;0,IFERROR(SEARCH(DruidLand3,$T268,1),0)&gt;0,IFERROR(SEARCH(DruidLand4,$T268,1),0)&gt;0),1,0)*IF($C268=1,1,0)*IF($C268=DR$2,1,0)=0,0,1+COUNTIF(DR$3:DR267,"&gt;0"))</f>
        <v>0</v>
      </c>
      <c r="DS268">
        <f>IF(IF(OR(IFERROR(SEARCH("Paladin",$T268,1),0)&gt;0,IFERROR(SEARCH(PaladinOath,$T268,1),0)&gt;0),1,0)*IF($C268=DS$2,1,0)=1,1+COUNTIF(DS$3:DS267,"&gt;0"),0)</f>
        <v>0</v>
      </c>
      <c r="DT268">
        <f>IF(IF(OR(IFERROR(SEARCH("Paladin",$T268,1),0)&gt;0,IFERROR(SEARCH(PaladinOath,$T268,1),0)&gt;0),1,0)*IF($C268=DT$2,1,0)=1,1+COUNTIF(DT$3:DT267,"&gt;0"),0)</f>
        <v>0</v>
      </c>
      <c r="DU268">
        <f>IF(IF(OR(IFERROR(SEARCH("Paladin",$T268,1),0)&gt;0,IFERROR(SEARCH(PaladinOath,$T268,1),0)&gt;0),1,0)*IF($C268=DU$2,1,0)=1,1+COUNTIF(DU$3:DU267,"&gt;0"),0)</f>
        <v>0</v>
      </c>
      <c r="DV268">
        <f>IF(IF(OR(IFERROR(SEARCH("Paladin",$T268,1),0)&gt;0,IFERROR(SEARCH(PaladinOath,$T268,1),0)&gt;0),1,0)*IF($C268=DV$2,1,0)=1,1+COUNTIF(DV$3:DV267,"&gt;0"),0)</f>
        <v>0</v>
      </c>
      <c r="DW268">
        <f>IF(IF(OR(IFERROR(SEARCH("Paladin",$T268,1),0)&gt;0,IFERROR(SEARCH(PaladinOath,$T268,1),0)&gt;0),1,0)*IF($C268=DW$2,1,0)=1,1+COUNTIF(DW$3:DW267,"&gt;0"),0)</f>
        <v>0</v>
      </c>
      <c r="DY268">
        <f t="shared" si="225"/>
        <v>1</v>
      </c>
      <c r="DZ268">
        <f>IF(DY268=0,0,1+MAX(DZ$3:$DZ267))</f>
        <v>266</v>
      </c>
      <c r="EB268">
        <f t="shared" si="239"/>
        <v>0</v>
      </c>
      <c r="EC268">
        <f>IF(EB268=0,0,1+COUNTIF(EC$3:EC267,"&gt;0"))</f>
        <v>0</v>
      </c>
      <c r="ED268" t="str">
        <f t="shared" si="267"/>
        <v/>
      </c>
      <c r="EE268" t="str">
        <f t="shared" si="240"/>
        <v/>
      </c>
      <c r="EG268">
        <f t="shared" si="241"/>
        <v>0</v>
      </c>
      <c r="EH268">
        <f>IF(EG268=0,0,1+COUNTIF(EH$3:EH267,"&gt;0"))</f>
        <v>0</v>
      </c>
      <c r="EI268" t="str">
        <f t="shared" si="268"/>
        <v/>
      </c>
      <c r="EJ268" t="str">
        <f t="shared" si="242"/>
        <v/>
      </c>
      <c r="EL268">
        <f t="shared" si="243"/>
        <v>0</v>
      </c>
      <c r="EM268">
        <f>IF(EL268=0,0,1+COUNTIF(EM$3:EM267,"&gt;0"))</f>
        <v>0</v>
      </c>
      <c r="EN268" t="str">
        <f t="shared" si="269"/>
        <v/>
      </c>
      <c r="EO268" t="str">
        <f t="shared" si="244"/>
        <v/>
      </c>
      <c r="EQ268">
        <f t="shared" si="245"/>
        <v>0</v>
      </c>
      <c r="ER268">
        <f>IF(EQ268=0,0,1+COUNTIF(ER$3:ER267,"&gt;0"))</f>
        <v>0</v>
      </c>
      <c r="ES268" t="str">
        <f t="shared" si="270"/>
        <v/>
      </c>
      <c r="ET268" t="str">
        <f t="shared" si="246"/>
        <v/>
      </c>
      <c r="EV268">
        <f t="shared" si="247"/>
        <v>0</v>
      </c>
      <c r="EW268">
        <f>IF(EV268=0,0,1+COUNTIF(EW$3:EW267,"&gt;0"))</f>
        <v>0</v>
      </c>
      <c r="EX268" t="str">
        <f t="shared" si="271"/>
        <v/>
      </c>
      <c r="EY268" t="str">
        <f t="shared" si="248"/>
        <v/>
      </c>
      <c r="FA268">
        <f t="shared" si="249"/>
        <v>0</v>
      </c>
      <c r="FB268">
        <f>IF(FA268=0,0,1+COUNTIF(FB$3:FB267,"&gt;0"))</f>
        <v>0</v>
      </c>
      <c r="FC268" t="str">
        <f t="shared" si="272"/>
        <v/>
      </c>
      <c r="FD268" t="str">
        <f t="shared" si="250"/>
        <v/>
      </c>
      <c r="FF268">
        <f t="shared" si="251"/>
        <v>0</v>
      </c>
      <c r="FG268">
        <f>IF(FF268=0,0,1+COUNTIF(FG$3:FG267,"&gt;0"))</f>
        <v>0</v>
      </c>
      <c r="FH268" t="str">
        <f t="shared" si="273"/>
        <v/>
      </c>
      <c r="FI268" t="str">
        <f t="shared" si="252"/>
        <v/>
      </c>
      <c r="FK268">
        <f t="shared" si="253"/>
        <v>0</v>
      </c>
      <c r="FL268">
        <f>IF(FK268=0,0,1+COUNTIF(FL$3:FL267,"&gt;0"))</f>
        <v>0</v>
      </c>
      <c r="FM268" t="str">
        <f t="shared" si="274"/>
        <v/>
      </c>
      <c r="FN268" t="str">
        <f t="shared" si="254"/>
        <v/>
      </c>
      <c r="FP268">
        <f t="shared" si="255"/>
        <v>0</v>
      </c>
      <c r="FQ268">
        <f>IF(FP268=0,0,1+COUNTIF(FQ$3:FQ267,"&gt;0"))</f>
        <v>0</v>
      </c>
      <c r="FR268" t="str">
        <f t="shared" si="275"/>
        <v/>
      </c>
      <c r="FS268" t="str">
        <f t="shared" si="256"/>
        <v/>
      </c>
    </row>
    <row r="269" spans="1:175" x14ac:dyDescent="0.25">
      <c r="A269" s="347">
        <f t="shared" si="219"/>
        <v>267</v>
      </c>
      <c r="B269" s="348" t="s">
        <v>2652</v>
      </c>
      <c r="C269" s="348">
        <v>3</v>
      </c>
      <c r="D269" s="347">
        <v>3</v>
      </c>
      <c r="E269" s="627" t="s">
        <v>6952</v>
      </c>
      <c r="F269" s="346"/>
      <c r="G269" s="347" t="str">
        <f>""</f>
        <v/>
      </c>
      <c r="H269" s="347" t="s">
        <v>5912</v>
      </c>
      <c r="I269" s="347" t="s">
        <v>5298</v>
      </c>
      <c r="J269" s="347" t="str">
        <f t="shared" si="226"/>
        <v/>
      </c>
      <c r="K269" s="347" t="s">
        <v>5284</v>
      </c>
      <c r="L269" s="611" t="str">
        <f t="shared" si="227"/>
        <v>V, S</v>
      </c>
      <c r="M269" s="347" t="s">
        <v>2373</v>
      </c>
      <c r="N269" s="347" t="s">
        <v>2387</v>
      </c>
      <c r="O269" s="347" t="s">
        <v>3034</v>
      </c>
      <c r="P269" s="346" t="str">
        <f>""</f>
        <v/>
      </c>
      <c r="Q269" s="347" t="s">
        <v>5270</v>
      </c>
      <c r="S269" s="346" t="s">
        <v>2653</v>
      </c>
      <c r="T269" s="346" t="str">
        <f t="shared" si="228"/>
        <v xml:space="preserve">Ranger, Sorcerer, Cleric, Druid, Eldritch Knight, Wizard, Vengeance, Ancients, Desert, </v>
      </c>
      <c r="W269" s="347" t="str">
        <f>$B269</f>
        <v>Protection from Energy</v>
      </c>
      <c r="X269" s="347" t="str">
        <f>$B269</f>
        <v>Protection from Energy</v>
      </c>
      <c r="Z269" s="347" t="str">
        <f>$B269</f>
        <v>Protection from Energy</v>
      </c>
      <c r="AA269" s="347" t="str">
        <f>$B269</f>
        <v>Protection from Energy</v>
      </c>
      <c r="AB269" s="542" t="str">
        <f>AD269</f>
        <v>Protection from Energy</v>
      </c>
      <c r="AD269" s="347" t="str">
        <f>$B269</f>
        <v>Protection from Energy</v>
      </c>
      <c r="AE269" t="str">
        <f>IF(IFERROR(MATCH($B269,temp!A$4:A$13,0),0)&gt;0,T08_Spells!AE$2,"")</f>
        <v/>
      </c>
      <c r="AF269" t="str">
        <f>IF(IFERROR(MATCH($B269,temp!B$4:B$13,0),0)&gt;0,T08_Spells!AF$2,"")</f>
        <v>Vengeance</v>
      </c>
      <c r="AG269" t="str">
        <f>IF(IFERROR(MATCH($B269,temp!C$4:C$13,0),0)&gt;0,T08_Spells!AG$2,"")</f>
        <v>Ancients</v>
      </c>
      <c r="AH269" t="str">
        <f>IF(IFERROR(MATCH($B269,temp!D$4:D$13,0),0)&gt;0,T08_Spells!AH$2,"")</f>
        <v/>
      </c>
      <c r="AI269" t="str">
        <f>IF(IFERROR(MATCH($B269,temp!E$4:E$13,0),0)&gt;0,T08_Spells!AI$2,"")</f>
        <v/>
      </c>
      <c r="AJ269" t="str">
        <f>IF(IFERROR(MATCH($B269,temp!F$4:F$13,0),0)&gt;0,T08_Spells!AJ$2,"")</f>
        <v/>
      </c>
      <c r="AK269" t="str">
        <f>IF(IFERROR(MATCH($B269,temp!G$4:G$13,0),0)&gt;0,T08_Spells!AK$2,"")</f>
        <v/>
      </c>
      <c r="AL269" t="str">
        <f>IF(IFERROR(MATCH($B269,temp!H$4:H$13,0),0)&gt;0,T08_Spells!AL$2,"")</f>
        <v/>
      </c>
      <c r="AM269" t="str">
        <f>IF(IFERROR(MATCH($B269,temp!I$4:I$13,0),0)&gt;0,T08_Spells!AM$2,"")</f>
        <v/>
      </c>
      <c r="AN269" t="str">
        <f>IF(IFERROR(MATCH($B269,temp!J$4:J$13,0),0)&gt;0,T08_Spells!AN$2,"")</f>
        <v>Desert</v>
      </c>
      <c r="AO269" t="str">
        <f>IF(IFERROR(MATCH($B269,temp!K$4:K$13,0),0)&gt;0,T08_Spells!AO$2,"")</f>
        <v/>
      </c>
      <c r="AP269" t="str">
        <f>IF(IFERROR(MATCH($B269,temp!L$4:L$13,0),0)&gt;0,T08_Spells!AP$2,"")</f>
        <v/>
      </c>
      <c r="AQ269" t="str">
        <f>IF(IFERROR(MATCH($B269,temp!M$4:M$13,0),0)&gt;0,T08_Spells!AQ$2,"")</f>
        <v/>
      </c>
      <c r="AR269" t="str">
        <f>IF(IFERROR(MATCH($B269,temp!N$4:N$13,0),0)&gt;0,T08_Spells!AR$2,"")</f>
        <v/>
      </c>
      <c r="AS269" t="str">
        <f>IF(IFERROR(MATCH($B269,temp!O$4:O$13,0),0)&gt;0,T08_Spells!AS$2,"")</f>
        <v/>
      </c>
      <c r="AT269" t="str">
        <f>IF(IFERROR(MATCH($B269,temp!P$4:P$13,0),0)&gt;0,T08_Spells!AT$2,"")</f>
        <v/>
      </c>
      <c r="AU269" t="str">
        <f>IF(IFERROR(MATCH($B269,temp!Q$4:Q$13,0),0)&gt;0,T08_Spells!AU$2,"")</f>
        <v/>
      </c>
      <c r="AV269" t="str">
        <f>IF(IFERROR(MATCH($B269,temp!R$4:R$13,0),0)&gt;0,T08_Spells!AV$2,"")</f>
        <v/>
      </c>
      <c r="AW269" t="str">
        <f>IF(IFERROR(MATCH($B269,temp!S$4:S$13,0),0)&gt;0,T08_Spells!AW$2,"")</f>
        <v/>
      </c>
      <c r="AX269" t="str">
        <f>IF(IFERROR(MATCH($B269,temp!T$4:T$13,0),0)&gt;0,T08_Spells!AX$2,"")</f>
        <v/>
      </c>
      <c r="AY269" t="str">
        <f>IF(IFERROR(MATCH($B269,temp!U$4:U$13,0),0)&gt;0,T08_Spells!AY$2,"")</f>
        <v/>
      </c>
      <c r="AZ269" t="str">
        <f>IF(IFERROR(MATCH($B269,temp!V$4:V$13,0),0)&gt;0,T08_Spells!AZ$2,"")</f>
        <v/>
      </c>
      <c r="BA269" t="str">
        <f>IF(IFERROR(MATCH($B269,temp!W$4:W$13,0),0)&gt;0,T08_Spells!BA$2,"")</f>
        <v/>
      </c>
      <c r="BC269">
        <f>IF(IFERROR(SEARCH("Ranger",$T269,1),0)&gt;0,1,0)*IF(RangerMaxSpellLevel&gt;=$C269,1,0)*IF(IFERROR(MATCH(B269,Character_Creation!$X$79:$X$382,0),0)&gt;0,0,1)</f>
        <v>0</v>
      </c>
      <c r="BD269">
        <f>IF(BC269=0,0,1+COUNTIF(BD$3:BD268,"&gt;0"))</f>
        <v>0</v>
      </c>
      <c r="BE269" t="str">
        <f t="shared" si="257"/>
        <v/>
      </c>
      <c r="BF269" t="str">
        <f t="shared" si="229"/>
        <v/>
      </c>
      <c r="BH269">
        <f>IF(IFERROR(SEARCH("Sorcerer",$T269,1),0)&gt;0,1,0)*IF(SorcererMaxSpellLevel&gt;=$C269,1,0)*IF(IFERROR(MATCH(B269,Character_Creation!$J$380:$J$394,0),0)&gt;0,0,1)</f>
        <v>0</v>
      </c>
      <c r="BI269">
        <f>IF(BH269=0,0,1+COUNTIF(BI$3:BI268,"&gt;0"))</f>
        <v>0</v>
      </c>
      <c r="BJ269" t="str">
        <f t="shared" si="258"/>
        <v/>
      </c>
      <c r="BK269" t="str">
        <f t="shared" si="230"/>
        <v/>
      </c>
      <c r="BM269">
        <f>IF(OR(IFERROR(SEARCH("Warlock",$T269,1),0)&gt;0,IFERROR(SEARCH(WarlockPatron,$T269,1),0)&gt;0),1,0)*IF(WarlockMaxSpellLevel&gt;=$C269,1,0)*IF(IFERROR(MATCH(B269,Character_Creation!$J$361:$J$375,0),0)&gt;0,0,1)</f>
        <v>0</v>
      </c>
      <c r="BN269">
        <f>IF(BM269=0,0,1+COUNTIF(BN$3:BN268,"&gt;0"))</f>
        <v>0</v>
      </c>
      <c r="BO269" t="str">
        <f t="shared" si="259"/>
        <v/>
      </c>
      <c r="BP269" t="str">
        <f t="shared" si="231"/>
        <v/>
      </c>
      <c r="BR269">
        <f>IF(IFERROR(SEARCH("Eldritch Knight",$T269,1),0)&gt;0,1,0)*IF(EldritchKnightMaxSpellLevel&gt;=$C269,1,0)*IF(IFERROR(MATCH($B269,Character_Creation!$J$350:$J$356,0),0)&gt;0,0,1)*IF(Character_Creation!$M$338&gt;0,1,0)</f>
        <v>0</v>
      </c>
      <c r="BS269">
        <f>IF(BR269=0,0,1+COUNTIF(BS$3:BS268,"&gt;0"))</f>
        <v>0</v>
      </c>
      <c r="BT269" t="str">
        <f t="shared" si="260"/>
        <v/>
      </c>
      <c r="BU269" t="str">
        <f t="shared" si="232"/>
        <v/>
      </c>
      <c r="BW269">
        <f>IF(IFERROR(SEARCH("Arcane Trickster",$T269,1),0)&gt;0,1,0)*IF(ArcaneTricksterMaxSpellLevel&gt;=$C269,1,0)*IF(IFERROR(MATCH($B269,Character_Creation!$J$350:$J$356,0),0)&gt;0,0,1)*IF(Character_Creation!$T$338&gt;0,1,0)</f>
        <v>0</v>
      </c>
      <c r="BX269">
        <f>IF(BW269=0,0,1+COUNTIF(BX$3:BX268,"&gt;0"))</f>
        <v>0</v>
      </c>
      <c r="BY269" t="str">
        <f t="shared" si="261"/>
        <v/>
      </c>
      <c r="BZ269" t="str">
        <f t="shared" si="233"/>
        <v/>
      </c>
      <c r="CB269">
        <f>IF(IFERROR(SEARCH("Wizard",$T269,1),0)&gt;0,1,0)*IF(C269&lt;=ArcaneTricksterMaxSpellLevel,1,0)*IF(IFERROR(MATCH($B269,Character_Creation!$J$350:$J$356,0),0)&gt;0,0,1)*IF(Character_Creation!$T$350&gt;0,1,0)</f>
        <v>0</v>
      </c>
      <c r="CC269">
        <f>IF(CB269=0,0,1+COUNTIF(CC$3:CC268,"&gt;0"))</f>
        <v>0</v>
      </c>
      <c r="CD269" t="str">
        <f t="shared" si="262"/>
        <v/>
      </c>
      <c r="CE269" t="str">
        <f t="shared" si="234"/>
        <v/>
      </c>
      <c r="CG269">
        <f>IF(IFERROR(SEARCH("Wizard",$T269,1),0)&gt;0,1,0)*IF($C269&lt;=EldritchKnightMaxSpellLevel,1,0)*IF(IFERROR(MATCH($B269,Character_Creation!$J$350:$J$356,0),0)&gt;0,0,1)*IF(Character_Creation!$M$350&gt;0,1,0)</f>
        <v>0</v>
      </c>
      <c r="CH269">
        <f>IF(CG269=0,0,1+COUNTIF(CH$3:CH268,"&gt;0"))</f>
        <v>0</v>
      </c>
      <c r="CI269" t="str">
        <f t="shared" si="263"/>
        <v/>
      </c>
      <c r="CJ269" t="str">
        <f t="shared" si="235"/>
        <v/>
      </c>
      <c r="CL269">
        <f>IF(IFERROR(SEARCH("Bard",$T269,1),0)&gt;0,1,0)*IF(BardMaxSpellLevel&gt;=$C269,1,0)*IF(IFERROR(MATCH(B269,Character_Creation!$C$341:$F$362,0),0)&gt;0,0,1)*IF(IFERROR(MATCH($B269,Character_Creation!$C$341:$C$362,0),0)&gt;0,0,1)</f>
        <v>0</v>
      </c>
      <c r="CM269">
        <f>IF(CL269=0,0,1+COUNTIF(CM$3:CM268,"&gt;0"))</f>
        <v>0</v>
      </c>
      <c r="CN269" t="str">
        <f t="shared" si="264"/>
        <v/>
      </c>
      <c r="CO269" t="str">
        <f t="shared" si="236"/>
        <v/>
      </c>
      <c r="CQ269">
        <f>IF(IFERROR(SEARCH("Wizard",$T269,1),0)&gt;0,1,0)*IF(WizardMaxSpellLevel&gt;=$C269,1,0)*IF(IFERROR(MATCH(B269,Character_Creation!$X$341:$X$400,0),0)&gt;0,0,1)*IF(SelectedWizardSpellLevel=$C269,1,0)</f>
        <v>1</v>
      </c>
      <c r="CR269">
        <f>IF(CQ269=0,0,1+COUNTIF(CR$3:CR268,"&gt;0"))</f>
        <v>19</v>
      </c>
      <c r="CS269" t="str">
        <f t="shared" si="265"/>
        <v/>
      </c>
      <c r="CT269" t="str">
        <f t="shared" si="237"/>
        <v/>
      </c>
      <c r="CV269">
        <f>IF(IFERROR(MATCH($B269,Character_Creation!$C$341:$C$362,0),0)&gt;0,0,1)*IF(OR(C269="Cantrip",C269&lt;=BardMaxSpellLevel),1,0)*IF(IFERROR(MATCH($B269,Character_Creation!$C$367:$C$374,0),0)&gt;0,0,1)</f>
        <v>0</v>
      </c>
      <c r="CW269">
        <f>IF(CV269=0,0,1+COUNTIF(CW$3:CW268,"&gt;0"))</f>
        <v>0</v>
      </c>
      <c r="CX269" t="str">
        <f t="shared" si="266"/>
        <v/>
      </c>
      <c r="CY269" t="str">
        <f t="shared" si="238"/>
        <v/>
      </c>
      <c r="DA269">
        <f>IF(IF(OR(IFERROR(SEARCH("Cleric",$T269,1),0)&gt;0,IFERROR(SEARCH(DivineDomain&amp;",",$T269,1),0)&gt;0),1,0)*IF($C269=DA$2,1,0)=1,1+COUNTIF(DA$3:DA268,"&gt;0"),0)</f>
        <v>0</v>
      </c>
      <c r="DB269">
        <f>IF(IF(OR(IFERROR(SEARCH("Cleric",$T269,1),0)&gt;0,IFERROR(SEARCH(DivineDomain&amp;",",$T269,1),0)&gt;0),1,0)*IF($C269=DB$2,1,0)=1,1+COUNTIF(DB$3:DB268,"&gt;0"),0)</f>
        <v>0</v>
      </c>
      <c r="DC269">
        <f>IF(IF(OR(IFERROR(SEARCH("Cleric",$T269,1),0)&gt;0,IFERROR(SEARCH(DivineDomain&amp;",",$T269,1),0)&gt;0),1,0)*IF($C269=DC$2,1,0)=1,1+COUNTIF(DC$3:DC268,"&gt;0"),0)</f>
        <v>13</v>
      </c>
      <c r="DD269">
        <f>IF(IF(OR(IFERROR(SEARCH("Cleric",$T269,1),0)&gt;0,IFERROR(SEARCH(DivineDomain&amp;",",$T269,1),0)&gt;0),1,0)*IF($C269=DD$2,1,0)=1,1+COUNTIF(DD$3:DD268,"&gt;0"),0)</f>
        <v>0</v>
      </c>
      <c r="DE269">
        <f>IF(IF(OR(IFERROR(SEARCH("Cleric",$T269,1),0)&gt;0,IFERROR(SEARCH(DivineDomain&amp;",",$T269,1),0)&gt;0),1,0)*IF($C269=DE$2,1,0)=1,1+COUNTIF(DE$3:DE268,"&gt;0"),0)</f>
        <v>0</v>
      </c>
      <c r="DF269">
        <f>IF(IF(OR(IFERROR(SEARCH("Cleric",$T269,1),0)&gt;0,IFERROR(SEARCH(DivineDomain&amp;",",$T269,1),0)&gt;0),1,0)*IF($C269=DF$2,1,0)=1,1+COUNTIF(DF$3:DF268,"&gt;0"),0)</f>
        <v>0</v>
      </c>
      <c r="DG269">
        <f>IF(IF(OR(IFERROR(SEARCH("Cleric",$T269,1),0)&gt;0,IFERROR(SEARCH(DivineDomain&amp;",",$T269,1),0)&gt;0),1,0)*IF($C269=DG$2,1,0)=1,1+COUNTIF(DG$3:DG268,"&gt;0"),0)</f>
        <v>0</v>
      </c>
      <c r="DH269">
        <f>IF(IF(OR(IFERROR(SEARCH("Cleric",$T269,1),0)&gt;0,IFERROR(SEARCH(DivineDomain&amp;",",$T269,1),0)&gt;0),1,0)*IF($C269=DH$2,1,0)=1,1+COUNTIF(DH$3:DH268,"&gt;0"),0)</f>
        <v>0</v>
      </c>
      <c r="DI269">
        <f>IF(IF(OR(IFERROR(SEARCH("Cleric",$T269,1),0)&gt;0,IFERROR(SEARCH(DivineDomain&amp;",",$T269,1),0)&gt;0),1,0)*IF($C269=DI$2,1,0)=1,1+COUNTIF(DI$3:DI268,"&gt;0"),0)</f>
        <v>0</v>
      </c>
      <c r="DJ269">
        <f>IF(IF(OR(IFERROR(SEARCH("Druid",$T269,1),0)&gt;0,IFERROR(SEARCH(DruidLand1,$T269,1),0)&gt;0,IFERROR(SEARCH(DruidLand2,$T269,1),0)&gt;0,IFERROR(SEARCH(DruidLand3,$T269,1),0)&gt;0,IFERROR(SEARCH(DruidLand4,$T269,1),0)&gt;0),1,0)*IF($C269=1,1,0)*IF($C269=DJ$2,1,0)=0,0,1+COUNTIF(DJ$3:DJ268,"&gt;0"))</f>
        <v>0</v>
      </c>
      <c r="DK269">
        <f>IF(IF(OR(IFERROR(SEARCH("Druid",$T269,1),0)&gt;0,IFERROR(SEARCH(DruidLand1,$T269,1),0)&gt;0,IFERROR(SEARCH(DruidLand2,$T269,1),0)&gt;0,IFERROR(SEARCH(DruidLand3,$T269,1),0)&gt;0,IFERROR(SEARCH(DruidLand4,$T269,1),0)&gt;0),1,0)*IF($C269=DK$2,1,0)=0,0,1+COUNTIF(DK$3:DK268,"&gt;0"))</f>
        <v>0</v>
      </c>
      <c r="DL269">
        <f>IF(IF(OR(IFERROR(SEARCH("Druid",$T269,1),0)&gt;0,IFERROR(SEARCH(DruidLand1,$T269,1),0)&gt;0,IFERROR(SEARCH(DruidLand2,$T269,1),0)&gt;0,IFERROR(SEARCH(DruidLand3,$T269,1),0)&gt;0,IFERROR(SEARCH(DruidLand4,$T269,1),0)&gt;0),1,0)*IF($C269=DL$2,1,0)=0,0,1+COUNTIF(DL$3:DL268,"&gt;0"))</f>
        <v>8</v>
      </c>
      <c r="DM269">
        <f>IF(IF(OR(IFERROR(SEARCH("Druid",$T269,1),0)&gt;0,IFERROR(SEARCH(DruidLand1,$T269,1),0)&gt;0,IFERROR(SEARCH(DruidLand2,$T269,1),0)&gt;0,IFERROR(SEARCH(DruidLand3,$T269,1),0)&gt;0,IFERROR(SEARCH(DruidLand4,$T269,1),0)&gt;0),1,0)*IF($C269=DM$2,1,0)=0,0,1+COUNTIF(DM$3:DM268,"&gt;0"))</f>
        <v>0</v>
      </c>
      <c r="DN269">
        <f>IF(IF(OR(IFERROR(SEARCH("Druid",$T269,1),0)&gt;0,IFERROR(SEARCH(DruidLand1,$T269,1),0)&gt;0,IFERROR(SEARCH(DruidLand2,$T269,1),0)&gt;0,IFERROR(SEARCH(DruidLand3,$T269,1),0)&gt;0,IFERROR(SEARCH(DruidLand4,$T269,1),0)&gt;0),1,0)*IF($C269=DN$2,1,0)=0,0,1+COUNTIF(DN$3:DN268,"&gt;0"))</f>
        <v>0</v>
      </c>
      <c r="DO269">
        <f>IF(IF(OR(IFERROR(SEARCH("Druid",$T269,1),0)&gt;0,IFERROR(SEARCH(DruidLand1,$T269,1),0)&gt;0,IFERROR(SEARCH(DruidLand2,$T269,1),0)&gt;0,IFERROR(SEARCH(DruidLand3,$T269,1),0)&gt;0,IFERROR(SEARCH(DruidLand4,$T269,1),0)&gt;0),1,0)*IF($C269=DO$2,1,0)=0,0,1+COUNTIF(DO$3:DO268,"&gt;0"))</f>
        <v>0</v>
      </c>
      <c r="DP269">
        <f>IF(IF(OR(IFERROR(SEARCH("Druid",$T269,1),0)&gt;0,IFERROR(SEARCH(DruidLand1,$T269,1),0)&gt;0,IFERROR(SEARCH(DruidLand2,$T269,1),0)&gt;0,IFERROR(SEARCH(DruidLand3,$T269,1),0)&gt;0,IFERROR(SEARCH(DruidLand4,$T269,1),0)&gt;0),1,0)*IF($C269=DP$2,1,0)=0,0,1+COUNTIF(DP$3:DP268,"&gt;0"))</f>
        <v>0</v>
      </c>
      <c r="DQ269">
        <f>IF(IF(OR(IFERROR(SEARCH("Druid",$T269,1),0)&gt;0,IFERROR(SEARCH(DruidLand1,$T269,1),0)&gt;0,IFERROR(SEARCH(DruidLand2,$T269,1),0)&gt;0,IFERROR(SEARCH(DruidLand3,$T269,1),0)&gt;0,IFERROR(SEARCH(DruidLand4,$T269,1),0)&gt;0),1,0)*IF($C269=DQ$2,1,0)=0,0,1+COUNTIF(DQ$3:DQ268,"&gt;0"))</f>
        <v>0</v>
      </c>
      <c r="DR269">
        <f>IF(IF(OR(IFERROR(SEARCH("Druid",$T269,1),0)&gt;0,IFERROR(SEARCH(DruidLand1,$T269,1),0)&gt;0,IFERROR(SEARCH(DruidLand2,$T269,1),0)&gt;0,IFERROR(SEARCH(DruidLand3,$T269,1),0)&gt;0,IFERROR(SEARCH(DruidLand4,$T269,1),0)&gt;0),1,0)*IF($C269=DR$2,1,0)=0,0,1+COUNTIF(DR$3:DR268,"&gt;0"))</f>
        <v>0</v>
      </c>
      <c r="DS269">
        <f>IF(IF(OR(IFERROR(SEARCH("Paladin",$T269,1),0)&gt;0,IFERROR(SEARCH(PaladinOath,$T269,1),0)&gt;0),1,0)*IF($C269=DS$2,1,0)=1,1+COUNTIF(DS$3:DS268,"&gt;0"),0)</f>
        <v>0</v>
      </c>
      <c r="DT269">
        <f>IF(IF(OR(IFERROR(SEARCH("Paladin",$T269,1),0)&gt;0,IFERROR(SEARCH(PaladinOath,$T269,1),0)&gt;0),1,0)*IF($C269=DT$2,1,0)=1,1+COUNTIF(DT$3:DT268,"&gt;0"),0)</f>
        <v>0</v>
      </c>
      <c r="DU269">
        <f>IF(IF(OR(IFERROR(SEARCH("Paladin",$T269,1),0)&gt;0,IFERROR(SEARCH(PaladinOath,$T269,1),0)&gt;0),1,0)*IF($C269=DU$2,1,0)=1,1+COUNTIF(DU$3:DU268,"&gt;0"),0)</f>
        <v>0</v>
      </c>
      <c r="DV269">
        <f>IF(IF(OR(IFERROR(SEARCH("Paladin",$T269,1),0)&gt;0,IFERROR(SEARCH(PaladinOath,$T269,1),0)&gt;0),1,0)*IF($C269=DV$2,1,0)=1,1+COUNTIF(DV$3:DV268,"&gt;0"),0)</f>
        <v>0</v>
      </c>
      <c r="DW269">
        <f>IF(IF(OR(IFERROR(SEARCH("Paladin",$T269,1),0)&gt;0,IFERROR(SEARCH(PaladinOath,$T269,1),0)&gt;0),1,0)*IF($C269=DW$2,1,0)=1,1+COUNTIF(DW$3:DW268,"&gt;0"),0)</f>
        <v>0</v>
      </c>
      <c r="DY269">
        <f t="shared" si="225"/>
        <v>1</v>
      </c>
      <c r="DZ269">
        <f>IF(DY269=0,0,1+MAX(DZ$3:$DZ268))</f>
        <v>267</v>
      </c>
      <c r="EB269">
        <f t="shared" si="239"/>
        <v>0</v>
      </c>
      <c r="EC269">
        <f>IF(EB269=0,0,1+COUNTIF(EC$3:EC268,"&gt;0"))</f>
        <v>0</v>
      </c>
      <c r="ED269" t="str">
        <f t="shared" si="267"/>
        <v/>
      </c>
      <c r="EE269" t="str">
        <f t="shared" si="240"/>
        <v/>
      </c>
      <c r="EG269">
        <f t="shared" si="241"/>
        <v>0</v>
      </c>
      <c r="EH269">
        <f>IF(EG269=0,0,1+COUNTIF(EH$3:EH268,"&gt;0"))</f>
        <v>0</v>
      </c>
      <c r="EI269" t="str">
        <f t="shared" si="268"/>
        <v/>
      </c>
      <c r="EJ269" t="str">
        <f t="shared" si="242"/>
        <v/>
      </c>
      <c r="EL269">
        <f t="shared" si="243"/>
        <v>0</v>
      </c>
      <c r="EM269">
        <f>IF(EL269=0,0,1+COUNTIF(EM$3:EM268,"&gt;0"))</f>
        <v>0</v>
      </c>
      <c r="EN269" t="str">
        <f t="shared" si="269"/>
        <v/>
      </c>
      <c r="EO269" t="str">
        <f t="shared" si="244"/>
        <v/>
      </c>
      <c r="EQ269">
        <f t="shared" si="245"/>
        <v>0</v>
      </c>
      <c r="ER269">
        <f>IF(EQ269=0,0,1+COUNTIF(ER$3:ER268,"&gt;0"))</f>
        <v>0</v>
      </c>
      <c r="ES269" t="str">
        <f t="shared" si="270"/>
        <v/>
      </c>
      <c r="ET269" t="str">
        <f t="shared" si="246"/>
        <v/>
      </c>
      <c r="EV269">
        <f t="shared" si="247"/>
        <v>0</v>
      </c>
      <c r="EW269">
        <f>IF(EV269=0,0,1+COUNTIF(EW$3:EW268,"&gt;0"))</f>
        <v>0</v>
      </c>
      <c r="EX269" t="str">
        <f t="shared" si="271"/>
        <v/>
      </c>
      <c r="EY269" t="str">
        <f t="shared" si="248"/>
        <v/>
      </c>
      <c r="FA269">
        <f t="shared" si="249"/>
        <v>0</v>
      </c>
      <c r="FB269">
        <f>IF(FA269=0,0,1+COUNTIF(FB$3:FB268,"&gt;0"))</f>
        <v>0</v>
      </c>
      <c r="FC269" t="str">
        <f t="shared" si="272"/>
        <v/>
      </c>
      <c r="FD269" t="str">
        <f t="shared" si="250"/>
        <v/>
      </c>
      <c r="FF269">
        <f t="shared" si="251"/>
        <v>0</v>
      </c>
      <c r="FG269">
        <f>IF(FF269=0,0,1+COUNTIF(FG$3:FG268,"&gt;0"))</f>
        <v>0</v>
      </c>
      <c r="FH269" t="str">
        <f t="shared" si="273"/>
        <v/>
      </c>
      <c r="FI269" t="str">
        <f t="shared" si="252"/>
        <v/>
      </c>
      <c r="FK269">
        <f t="shared" si="253"/>
        <v>0</v>
      </c>
      <c r="FL269">
        <f>IF(FK269=0,0,1+COUNTIF(FL$3:FL268,"&gt;0"))</f>
        <v>0</v>
      </c>
      <c r="FM269" t="str">
        <f t="shared" si="274"/>
        <v/>
      </c>
      <c r="FN269" t="str">
        <f t="shared" si="254"/>
        <v/>
      </c>
      <c r="FP269">
        <f t="shared" si="255"/>
        <v>0</v>
      </c>
      <c r="FQ269">
        <f>IF(FP269=0,0,1+COUNTIF(FQ$3:FQ268,"&gt;0"))</f>
        <v>0</v>
      </c>
      <c r="FR269" t="str">
        <f t="shared" si="275"/>
        <v/>
      </c>
      <c r="FS269" t="str">
        <f t="shared" si="256"/>
        <v/>
      </c>
    </row>
    <row r="270" spans="1:175" x14ac:dyDescent="0.25">
      <c r="A270" s="347">
        <f t="shared" si="219"/>
        <v>268</v>
      </c>
      <c r="B270" s="348" t="s">
        <v>2654</v>
      </c>
      <c r="C270" s="348">
        <v>1</v>
      </c>
      <c r="D270" s="347">
        <v>1</v>
      </c>
      <c r="E270" s="627" t="s">
        <v>6952</v>
      </c>
      <c r="F270" s="346"/>
      <c r="G270" s="347" t="str">
        <f>""</f>
        <v/>
      </c>
      <c r="H270" s="347" t="s">
        <v>5912</v>
      </c>
      <c r="I270" s="347" t="s">
        <v>5298</v>
      </c>
      <c r="J270" s="347" t="str">
        <f t="shared" si="226"/>
        <v/>
      </c>
      <c r="K270" s="347" t="s">
        <v>5297</v>
      </c>
      <c r="L270" s="611" t="str">
        <f t="shared" si="227"/>
        <v>V, S, M, holy water or powdered silver and iron, which the spell consumes</v>
      </c>
      <c r="M270" s="347" t="s">
        <v>2373</v>
      </c>
      <c r="N270" s="347" t="s">
        <v>2387</v>
      </c>
      <c r="O270" s="347" t="s">
        <v>1244</v>
      </c>
      <c r="P270" s="346" t="s">
        <v>5458</v>
      </c>
      <c r="Q270" s="347" t="s">
        <v>5270</v>
      </c>
      <c r="S270" s="346" t="s">
        <v>5800</v>
      </c>
      <c r="T270" s="346" t="str">
        <f t="shared" si="228"/>
        <v xml:space="preserve">Paladin, Warlock, Cleric, Eldritch Knight, Wizard, Devotion, </v>
      </c>
      <c r="V270" s="347" t="str">
        <f>$B270</f>
        <v>Protection from Evil and Good</v>
      </c>
      <c r="Y270" s="347" t="str">
        <f>$B270</f>
        <v>Protection from Evil and Good</v>
      </c>
      <c r="Z270" s="347" t="str">
        <f>$B270</f>
        <v>Protection from Evil and Good</v>
      </c>
      <c r="AB270" s="542" t="str">
        <f>AD270</f>
        <v>Protection from Evil and Good</v>
      </c>
      <c r="AD270" s="347" t="str">
        <f>$B270</f>
        <v>Protection from Evil and Good</v>
      </c>
      <c r="AE270" t="str">
        <f>IF(IFERROR(MATCH($B270,temp!A$4:A$13,0),0)&gt;0,T08_Spells!AE$2,"")</f>
        <v>Devotion</v>
      </c>
      <c r="AF270" t="str">
        <f>IF(IFERROR(MATCH($B270,temp!B$4:B$13,0),0)&gt;0,T08_Spells!AF$2,"")</f>
        <v/>
      </c>
      <c r="AG270" t="str">
        <f>IF(IFERROR(MATCH($B270,temp!C$4:C$13,0),0)&gt;0,T08_Spells!AG$2,"")</f>
        <v/>
      </c>
      <c r="AH270" t="str">
        <f>IF(IFERROR(MATCH($B270,temp!D$4:D$13,0),0)&gt;0,T08_Spells!AH$2,"")</f>
        <v/>
      </c>
      <c r="AI270" t="str">
        <f>IF(IFERROR(MATCH($B270,temp!E$4:E$13,0),0)&gt;0,T08_Spells!AI$2,"")</f>
        <v/>
      </c>
      <c r="AJ270" t="str">
        <f>IF(IFERROR(MATCH($B270,temp!F$4:F$13,0),0)&gt;0,T08_Spells!AJ$2,"")</f>
        <v/>
      </c>
      <c r="AK270" t="str">
        <f>IF(IFERROR(MATCH($B270,temp!G$4:G$13,0),0)&gt;0,T08_Spells!AK$2,"")</f>
        <v/>
      </c>
      <c r="AL270" t="str">
        <f>IF(IFERROR(MATCH($B270,temp!H$4:H$13,0),0)&gt;0,T08_Spells!AL$2,"")</f>
        <v/>
      </c>
      <c r="AM270" t="str">
        <f>IF(IFERROR(MATCH($B270,temp!I$4:I$13,0),0)&gt;0,T08_Spells!AM$2,"")</f>
        <v/>
      </c>
      <c r="AN270" t="str">
        <f>IF(IFERROR(MATCH($B270,temp!J$4:J$13,0),0)&gt;0,T08_Spells!AN$2,"")</f>
        <v/>
      </c>
      <c r="AO270" t="str">
        <f>IF(IFERROR(MATCH($B270,temp!K$4:K$13,0),0)&gt;0,T08_Spells!AO$2,"")</f>
        <v/>
      </c>
      <c r="AP270" t="str">
        <f>IF(IFERROR(MATCH($B270,temp!L$4:L$13,0),0)&gt;0,T08_Spells!AP$2,"")</f>
        <v/>
      </c>
      <c r="AQ270" t="str">
        <f>IF(IFERROR(MATCH($B270,temp!M$4:M$13,0),0)&gt;0,T08_Spells!AQ$2,"")</f>
        <v/>
      </c>
      <c r="AR270" t="str">
        <f>IF(IFERROR(MATCH($B270,temp!N$4:N$13,0),0)&gt;0,T08_Spells!AR$2,"")</f>
        <v/>
      </c>
      <c r="AS270" t="str">
        <f>IF(IFERROR(MATCH($B270,temp!O$4:O$13,0),0)&gt;0,T08_Spells!AS$2,"")</f>
        <v/>
      </c>
      <c r="AT270" t="str">
        <f>IF(IFERROR(MATCH($B270,temp!P$4:P$13,0),0)&gt;0,T08_Spells!AT$2,"")</f>
        <v/>
      </c>
      <c r="AU270" t="str">
        <f>IF(IFERROR(MATCH($B270,temp!Q$4:Q$13,0),0)&gt;0,T08_Spells!AU$2,"")</f>
        <v/>
      </c>
      <c r="AV270" t="str">
        <f>IF(IFERROR(MATCH($B270,temp!R$4:R$13,0),0)&gt;0,T08_Spells!AV$2,"")</f>
        <v/>
      </c>
      <c r="AW270" t="str">
        <f>IF(IFERROR(MATCH($B270,temp!S$4:S$13,0),0)&gt;0,T08_Spells!AW$2,"")</f>
        <v/>
      </c>
      <c r="AX270" t="str">
        <f>IF(IFERROR(MATCH($B270,temp!T$4:T$13,0),0)&gt;0,T08_Spells!AX$2,"")</f>
        <v/>
      </c>
      <c r="AY270" t="str">
        <f>IF(IFERROR(MATCH($B270,temp!U$4:U$13,0),0)&gt;0,T08_Spells!AY$2,"")</f>
        <v/>
      </c>
      <c r="AZ270" t="str">
        <f>IF(IFERROR(MATCH($B270,temp!V$4:V$13,0),0)&gt;0,T08_Spells!AZ$2,"")</f>
        <v/>
      </c>
      <c r="BA270" t="str">
        <f>IF(IFERROR(MATCH($B270,temp!W$4:W$13,0),0)&gt;0,T08_Spells!BA$2,"")</f>
        <v/>
      </c>
      <c r="BC270">
        <f>IF(IFERROR(SEARCH("Ranger",$T270,1),0)&gt;0,1,0)*IF(RangerMaxSpellLevel&gt;=$C270,1,0)*IF(IFERROR(MATCH(B270,Character_Creation!$X$79:$X$382,0),0)&gt;0,0,1)</f>
        <v>0</v>
      </c>
      <c r="BD270">
        <f>IF(BC270=0,0,1+COUNTIF(BD$3:BD269,"&gt;0"))</f>
        <v>0</v>
      </c>
      <c r="BE270" t="str">
        <f t="shared" si="257"/>
        <v/>
      </c>
      <c r="BF270" t="str">
        <f t="shared" si="229"/>
        <v/>
      </c>
      <c r="BH270">
        <f>IF(IFERROR(SEARCH("Sorcerer",$T270,1),0)&gt;0,1,0)*IF(SorcererMaxSpellLevel&gt;=$C270,1,0)*IF(IFERROR(MATCH(B270,Character_Creation!$J$380:$J$394,0),0)&gt;0,0,1)</f>
        <v>0</v>
      </c>
      <c r="BI270">
        <f>IF(BH270=0,0,1+COUNTIF(BI$3:BI269,"&gt;0"))</f>
        <v>0</v>
      </c>
      <c r="BJ270" t="str">
        <f t="shared" si="258"/>
        <v/>
      </c>
      <c r="BK270" t="str">
        <f t="shared" si="230"/>
        <v/>
      </c>
      <c r="BM270">
        <f>IF(OR(IFERROR(SEARCH("Warlock",$T270,1),0)&gt;0,IFERROR(SEARCH(WarlockPatron,$T270,1),0)&gt;0),1,0)*IF(WarlockMaxSpellLevel&gt;=$C270,1,0)*IF(IFERROR(MATCH(B270,Character_Creation!$J$361:$J$375,0),0)&gt;0,0,1)</f>
        <v>0</v>
      </c>
      <c r="BN270">
        <f>IF(BM270=0,0,1+COUNTIF(BN$3:BN269,"&gt;0"))</f>
        <v>0</v>
      </c>
      <c r="BO270" t="str">
        <f t="shared" si="259"/>
        <v/>
      </c>
      <c r="BP270" t="str">
        <f t="shared" si="231"/>
        <v/>
      </c>
      <c r="BR270">
        <f>IF(IFERROR(SEARCH("Eldritch Knight",$T270,1),0)&gt;0,1,0)*IF(EldritchKnightMaxSpellLevel&gt;=$C270,1,0)*IF(IFERROR(MATCH($B270,Character_Creation!$J$350:$J$356,0),0)&gt;0,0,1)*IF(Character_Creation!$M$338&gt;0,1,0)</f>
        <v>0</v>
      </c>
      <c r="BS270">
        <f>IF(BR270=0,0,1+COUNTIF(BS$3:BS269,"&gt;0"))</f>
        <v>0</v>
      </c>
      <c r="BT270" t="str">
        <f t="shared" si="260"/>
        <v/>
      </c>
      <c r="BU270" t="str">
        <f t="shared" si="232"/>
        <v/>
      </c>
      <c r="BW270">
        <f>IF(IFERROR(SEARCH("Arcane Trickster",$T270,1),0)&gt;0,1,0)*IF(ArcaneTricksterMaxSpellLevel&gt;=$C270,1,0)*IF(IFERROR(MATCH($B270,Character_Creation!$J$350:$J$356,0),0)&gt;0,0,1)*IF(Character_Creation!$T$338&gt;0,1,0)</f>
        <v>0</v>
      </c>
      <c r="BX270">
        <f>IF(BW270=0,0,1+COUNTIF(BX$3:BX269,"&gt;0"))</f>
        <v>0</v>
      </c>
      <c r="BY270" t="str">
        <f t="shared" si="261"/>
        <v/>
      </c>
      <c r="BZ270" t="str">
        <f t="shared" si="233"/>
        <v/>
      </c>
      <c r="CB270">
        <f>IF(IFERROR(SEARCH("Wizard",$T270,1),0)&gt;0,1,0)*IF(C270&lt;=ArcaneTricksterMaxSpellLevel,1,0)*IF(IFERROR(MATCH($B270,Character_Creation!$J$350:$J$356,0),0)&gt;0,0,1)*IF(Character_Creation!$T$350&gt;0,1,0)</f>
        <v>0</v>
      </c>
      <c r="CC270">
        <f>IF(CB270=0,0,1+COUNTIF(CC$3:CC269,"&gt;0"))</f>
        <v>0</v>
      </c>
      <c r="CD270" t="str">
        <f t="shared" si="262"/>
        <v/>
      </c>
      <c r="CE270" t="str">
        <f t="shared" si="234"/>
        <v/>
      </c>
      <c r="CG270">
        <f>IF(IFERROR(SEARCH("Wizard",$T270,1),0)&gt;0,1,0)*IF($C270&lt;=EldritchKnightMaxSpellLevel,1,0)*IF(IFERROR(MATCH($B270,Character_Creation!$J$350:$J$356,0),0)&gt;0,0,1)*IF(Character_Creation!$M$350&gt;0,1,0)</f>
        <v>1</v>
      </c>
      <c r="CH270">
        <f>IF(CG270=0,0,1+COUNTIF(CH$3:CH269,"&gt;0"))</f>
        <v>46</v>
      </c>
      <c r="CI270" t="str">
        <f t="shared" si="263"/>
        <v/>
      </c>
      <c r="CJ270" t="str">
        <f t="shared" si="235"/>
        <v/>
      </c>
      <c r="CL270">
        <f>IF(IFERROR(SEARCH("Bard",$T270,1),0)&gt;0,1,0)*IF(BardMaxSpellLevel&gt;=$C270,1,0)*IF(IFERROR(MATCH(B270,Character_Creation!$C$341:$F$362,0),0)&gt;0,0,1)*IF(IFERROR(MATCH($B270,Character_Creation!$C$341:$C$362,0),0)&gt;0,0,1)</f>
        <v>0</v>
      </c>
      <c r="CM270">
        <f>IF(CL270=0,0,1+COUNTIF(CM$3:CM269,"&gt;0"))</f>
        <v>0</v>
      </c>
      <c r="CN270" t="str">
        <f t="shared" si="264"/>
        <v/>
      </c>
      <c r="CO270" t="str">
        <f t="shared" si="236"/>
        <v/>
      </c>
      <c r="CQ270">
        <f>IF(IFERROR(SEARCH("Wizard",$T270,1),0)&gt;0,1,0)*IF(WizardMaxSpellLevel&gt;=$C270,1,0)*IF(IFERROR(MATCH(B270,Character_Creation!$X$341:$X$400,0),0)&gt;0,0,1)*IF(SelectedWizardSpellLevel=$C270,1,0)</f>
        <v>0</v>
      </c>
      <c r="CR270">
        <f>IF(CQ270=0,0,1+COUNTIF(CR$3:CR269,"&gt;0"))</f>
        <v>0</v>
      </c>
      <c r="CS270" t="str">
        <f t="shared" si="265"/>
        <v/>
      </c>
      <c r="CT270" t="str">
        <f t="shared" si="237"/>
        <v/>
      </c>
      <c r="CV270">
        <f>IF(IFERROR(MATCH($B270,Character_Creation!$C$341:$C$362,0),0)&gt;0,0,1)*IF(OR(C270="Cantrip",C270&lt;=BardMaxSpellLevel),1,0)*IF(IFERROR(MATCH($B270,Character_Creation!$C$367:$C$374,0),0)&gt;0,0,1)</f>
        <v>0</v>
      </c>
      <c r="CW270">
        <f>IF(CV270=0,0,1+COUNTIF(CW$3:CW269,"&gt;0"))</f>
        <v>0</v>
      </c>
      <c r="CX270" t="str">
        <f t="shared" si="266"/>
        <v/>
      </c>
      <c r="CY270" t="str">
        <f t="shared" si="238"/>
        <v/>
      </c>
      <c r="DA270">
        <f>IF(IF(OR(IFERROR(SEARCH("Cleric",$T270,1),0)&gt;0,IFERROR(SEARCH(DivineDomain&amp;",",$T270,1),0)&gt;0),1,0)*IF($C270=DA$2,1,0)=1,1+COUNTIF(DA$3:DA269,"&gt;0"),0)</f>
        <v>12</v>
      </c>
      <c r="DB270">
        <f>IF(IF(OR(IFERROR(SEARCH("Cleric",$T270,1),0)&gt;0,IFERROR(SEARCH(DivineDomain&amp;",",$T270,1),0)&gt;0),1,0)*IF($C270=DB$2,1,0)=1,1+COUNTIF(DB$3:DB269,"&gt;0"),0)</f>
        <v>0</v>
      </c>
      <c r="DC270">
        <f>IF(IF(OR(IFERROR(SEARCH("Cleric",$T270,1),0)&gt;0,IFERROR(SEARCH(DivineDomain&amp;",",$T270,1),0)&gt;0),1,0)*IF($C270=DC$2,1,0)=1,1+COUNTIF(DC$3:DC269,"&gt;0"),0)</f>
        <v>0</v>
      </c>
      <c r="DD270">
        <f>IF(IF(OR(IFERROR(SEARCH("Cleric",$T270,1),0)&gt;0,IFERROR(SEARCH(DivineDomain&amp;",",$T270,1),0)&gt;0),1,0)*IF($C270=DD$2,1,0)=1,1+COUNTIF(DD$3:DD269,"&gt;0"),0)</f>
        <v>0</v>
      </c>
      <c r="DE270">
        <f>IF(IF(OR(IFERROR(SEARCH("Cleric",$T270,1),0)&gt;0,IFERROR(SEARCH(DivineDomain&amp;",",$T270,1),0)&gt;0),1,0)*IF($C270=DE$2,1,0)=1,1+COUNTIF(DE$3:DE269,"&gt;0"),0)</f>
        <v>0</v>
      </c>
      <c r="DF270">
        <f>IF(IF(OR(IFERROR(SEARCH("Cleric",$T270,1),0)&gt;0,IFERROR(SEARCH(DivineDomain&amp;",",$T270,1),0)&gt;0),1,0)*IF($C270=DF$2,1,0)=1,1+COUNTIF(DF$3:DF269,"&gt;0"),0)</f>
        <v>0</v>
      </c>
      <c r="DG270">
        <f>IF(IF(OR(IFERROR(SEARCH("Cleric",$T270,1),0)&gt;0,IFERROR(SEARCH(DivineDomain&amp;",",$T270,1),0)&gt;0),1,0)*IF($C270=DG$2,1,0)=1,1+COUNTIF(DG$3:DG269,"&gt;0"),0)</f>
        <v>0</v>
      </c>
      <c r="DH270">
        <f>IF(IF(OR(IFERROR(SEARCH("Cleric",$T270,1),0)&gt;0,IFERROR(SEARCH(DivineDomain&amp;",",$T270,1),0)&gt;0),1,0)*IF($C270=DH$2,1,0)=1,1+COUNTIF(DH$3:DH269,"&gt;0"),0)</f>
        <v>0</v>
      </c>
      <c r="DI270">
        <f>IF(IF(OR(IFERROR(SEARCH("Cleric",$T270,1),0)&gt;0,IFERROR(SEARCH(DivineDomain&amp;",",$T270,1),0)&gt;0),1,0)*IF($C270=DI$2,1,0)=1,1+COUNTIF(DI$3:DI269,"&gt;0"),0)</f>
        <v>0</v>
      </c>
      <c r="DJ270">
        <f>IF(IF(OR(IFERROR(SEARCH("Druid",$T270,1),0)&gt;0,IFERROR(SEARCH(DruidLand1,$T270,1),0)&gt;0,IFERROR(SEARCH(DruidLand2,$T270,1),0)&gt;0,IFERROR(SEARCH(DruidLand3,$T270,1),0)&gt;0,IFERROR(SEARCH(DruidLand4,$T270,1),0)&gt;0),1,0)*IF($C270=1,1,0)*IF($C270=DJ$2,1,0)=0,0,1+COUNTIF(DJ$3:DJ269,"&gt;0"))</f>
        <v>0</v>
      </c>
      <c r="DK270">
        <f>IF(IF(OR(IFERROR(SEARCH("Druid",$T270,1),0)&gt;0,IFERROR(SEARCH(DruidLand1,$T270,1),0)&gt;0,IFERROR(SEARCH(DruidLand2,$T270,1),0)&gt;0,IFERROR(SEARCH(DruidLand3,$T270,1),0)&gt;0,IFERROR(SEARCH(DruidLand4,$T270,1),0)&gt;0),1,0)*IF($C270=1,1,0)*IF($C270=DK$2,1,0)=0,0,1+COUNTIF(DK$3:DK269,"&gt;0"))</f>
        <v>0</v>
      </c>
      <c r="DL270">
        <f>IF(IF(OR(IFERROR(SEARCH("Druid",$T270,1),0)&gt;0,IFERROR(SEARCH(DruidLand1,$T270,1),0)&gt;0,IFERROR(SEARCH(DruidLand2,$T270,1),0)&gt;0,IFERROR(SEARCH(DruidLand3,$T270,1),0)&gt;0,IFERROR(SEARCH(DruidLand4,$T270,1),0)&gt;0),1,0)*IF($C270=1,1,0)*IF($C270=DL$2,1,0)=0,0,1+COUNTIF(DL$3:DL269,"&gt;0"))</f>
        <v>0</v>
      </c>
      <c r="DM270">
        <f>IF(IF(OR(IFERROR(SEARCH("Druid",$T270,1),0)&gt;0,IFERROR(SEARCH(DruidLand1,$T270,1),0)&gt;0,IFERROR(SEARCH(DruidLand2,$T270,1),0)&gt;0,IFERROR(SEARCH(DruidLand3,$T270,1),0)&gt;0,IFERROR(SEARCH(DruidLand4,$T270,1),0)&gt;0),1,0)*IF($C270=1,1,0)*IF($C270=DM$2,1,0)=0,0,1+COUNTIF(DM$3:DM269,"&gt;0"))</f>
        <v>0</v>
      </c>
      <c r="DN270">
        <f>IF(IF(OR(IFERROR(SEARCH("Druid",$T270,1),0)&gt;0,IFERROR(SEARCH(DruidLand1,$T270,1),0)&gt;0,IFERROR(SEARCH(DruidLand2,$T270,1),0)&gt;0,IFERROR(SEARCH(DruidLand3,$T270,1),0)&gt;0,IFERROR(SEARCH(DruidLand4,$T270,1),0)&gt;0),1,0)*IF($C270=1,1,0)*IF($C270=DN$2,1,0)=0,0,1+COUNTIF(DN$3:DN269,"&gt;0"))</f>
        <v>0</v>
      </c>
      <c r="DO270">
        <f>IF(IF(OR(IFERROR(SEARCH("Druid",$T270,1),0)&gt;0,IFERROR(SEARCH(DruidLand1,$T270,1),0)&gt;0,IFERROR(SEARCH(DruidLand2,$T270,1),0)&gt;0,IFERROR(SEARCH(DruidLand3,$T270,1),0)&gt;0,IFERROR(SEARCH(DruidLand4,$T270,1),0)&gt;0),1,0)*IF($C270=1,1,0)*IF($C270=DO$2,1,0)=0,0,1+COUNTIF(DO$3:DO269,"&gt;0"))</f>
        <v>0</v>
      </c>
      <c r="DP270">
        <f>IF(IF(OR(IFERROR(SEARCH("Druid",$T270,1),0)&gt;0,IFERROR(SEARCH(DruidLand1,$T270,1),0)&gt;0,IFERROR(SEARCH(DruidLand2,$T270,1),0)&gt;0,IFERROR(SEARCH(DruidLand3,$T270,1),0)&gt;0,IFERROR(SEARCH(DruidLand4,$T270,1),0)&gt;0),1,0)*IF($C270=1,1,0)*IF($C270=DP$2,1,0)=0,0,1+COUNTIF(DP$3:DP269,"&gt;0"))</f>
        <v>0</v>
      </c>
      <c r="DQ270">
        <f>IF(IF(OR(IFERROR(SEARCH("Druid",$T270,1),0)&gt;0,IFERROR(SEARCH(DruidLand1,$T270,1),0)&gt;0,IFERROR(SEARCH(DruidLand2,$T270,1),0)&gt;0,IFERROR(SEARCH(DruidLand3,$T270,1),0)&gt;0,IFERROR(SEARCH(DruidLand4,$T270,1),0)&gt;0),1,0)*IF($C270=1,1,0)*IF($C270=DQ$2,1,0)=0,0,1+COUNTIF(DQ$3:DQ269,"&gt;0"))</f>
        <v>0</v>
      </c>
      <c r="DR270">
        <f>IF(IF(OR(IFERROR(SEARCH("Druid",$T270,1),0)&gt;0,IFERROR(SEARCH(DruidLand1,$T270,1),0)&gt;0,IFERROR(SEARCH(DruidLand2,$T270,1),0)&gt;0,IFERROR(SEARCH(DruidLand3,$T270,1),0)&gt;0,IFERROR(SEARCH(DruidLand4,$T270,1),0)&gt;0),1,0)*IF($C270=1,1,0)*IF($C270=DR$2,1,0)=0,0,1+COUNTIF(DR$3:DR269,"&gt;0"))</f>
        <v>0</v>
      </c>
      <c r="DS270">
        <f>IF(IF(OR(IFERROR(SEARCH("Paladin",$T270,1),0)&gt;0,IFERROR(SEARCH(PaladinOath,$T270,1),0)&gt;0),1,0)*IF($C270=DS$2,1,0)=1,1+COUNTIF(DS$3:DS269,"&gt;0"),0)</f>
        <v>10</v>
      </c>
      <c r="DT270">
        <f>IF(IF(OR(IFERROR(SEARCH("Paladin",$T270,1),0)&gt;0,IFERROR(SEARCH(PaladinOath,$T270,1),0)&gt;0),1,0)*IF($C270=DT$2,1,0)=1,1+COUNTIF(DT$3:DT269,"&gt;0"),0)</f>
        <v>0</v>
      </c>
      <c r="DU270">
        <f>IF(IF(OR(IFERROR(SEARCH("Paladin",$T270,1),0)&gt;0,IFERROR(SEARCH(PaladinOath,$T270,1),0)&gt;0),1,0)*IF($C270=DU$2,1,0)=1,1+COUNTIF(DU$3:DU269,"&gt;0"),0)</f>
        <v>0</v>
      </c>
      <c r="DV270">
        <f>IF(IF(OR(IFERROR(SEARCH("Paladin",$T270,1),0)&gt;0,IFERROR(SEARCH(PaladinOath,$T270,1),0)&gt;0),1,0)*IF($C270=DV$2,1,0)=1,1+COUNTIF(DV$3:DV269,"&gt;0"),0)</f>
        <v>0</v>
      </c>
      <c r="DW270">
        <f>IF(IF(OR(IFERROR(SEARCH("Paladin",$T270,1),0)&gt;0,IFERROR(SEARCH(PaladinOath,$T270,1),0)&gt;0),1,0)*IF($C270=DW$2,1,0)=1,1+COUNTIF(DW$3:DW269,"&gt;0"),0)</f>
        <v>0</v>
      </c>
      <c r="DY270">
        <f t="shared" si="225"/>
        <v>1</v>
      </c>
      <c r="DZ270">
        <f>IF(DY270=0,0,1+MAX(DZ$3:$DZ269))</f>
        <v>268</v>
      </c>
      <c r="EB270">
        <f t="shared" si="239"/>
        <v>0</v>
      </c>
      <c r="EC270">
        <f>IF(EB270=0,0,1+COUNTIF(EC$3:EC269,"&gt;0"))</f>
        <v>0</v>
      </c>
      <c r="ED270" t="str">
        <f t="shared" si="267"/>
        <v/>
      </c>
      <c r="EE270" t="str">
        <f t="shared" si="240"/>
        <v/>
      </c>
      <c r="EG270">
        <f t="shared" si="241"/>
        <v>0</v>
      </c>
      <c r="EH270">
        <f>IF(EG270=0,0,1+COUNTIF(EH$3:EH269,"&gt;0"))</f>
        <v>0</v>
      </c>
      <c r="EI270" t="str">
        <f t="shared" si="268"/>
        <v/>
      </c>
      <c r="EJ270" t="str">
        <f t="shared" si="242"/>
        <v/>
      </c>
      <c r="EL270">
        <f t="shared" si="243"/>
        <v>0</v>
      </c>
      <c r="EM270">
        <f>IF(EL270=0,0,1+COUNTIF(EM$3:EM269,"&gt;0"))</f>
        <v>0</v>
      </c>
      <c r="EN270" t="str">
        <f t="shared" si="269"/>
        <v/>
      </c>
      <c r="EO270" t="str">
        <f t="shared" si="244"/>
        <v/>
      </c>
      <c r="EQ270">
        <f t="shared" si="245"/>
        <v>0</v>
      </c>
      <c r="ER270">
        <f>IF(EQ270=0,0,1+COUNTIF(ER$3:ER269,"&gt;0"))</f>
        <v>0</v>
      </c>
      <c r="ES270" t="str">
        <f t="shared" si="270"/>
        <v/>
      </c>
      <c r="ET270" t="str">
        <f t="shared" si="246"/>
        <v/>
      </c>
      <c r="EV270">
        <f t="shared" si="247"/>
        <v>0</v>
      </c>
      <c r="EW270">
        <f>IF(EV270=0,0,1+COUNTIF(EW$3:EW269,"&gt;0"))</f>
        <v>0</v>
      </c>
      <c r="EX270" t="str">
        <f t="shared" si="271"/>
        <v/>
      </c>
      <c r="EY270" t="str">
        <f t="shared" si="248"/>
        <v/>
      </c>
      <c r="FA270">
        <f t="shared" si="249"/>
        <v>0</v>
      </c>
      <c r="FB270">
        <f>IF(FA270=0,0,1+COUNTIF(FB$3:FB269,"&gt;0"))</f>
        <v>0</v>
      </c>
      <c r="FC270" t="str">
        <f t="shared" si="272"/>
        <v/>
      </c>
      <c r="FD270" t="str">
        <f t="shared" si="250"/>
        <v/>
      </c>
      <c r="FF270">
        <f t="shared" si="251"/>
        <v>0</v>
      </c>
      <c r="FG270">
        <f>IF(FF270=0,0,1+COUNTIF(FG$3:FG269,"&gt;0"))</f>
        <v>0</v>
      </c>
      <c r="FH270" t="str">
        <f t="shared" si="273"/>
        <v/>
      </c>
      <c r="FI270" t="str">
        <f t="shared" si="252"/>
        <v/>
      </c>
      <c r="FK270">
        <f t="shared" si="253"/>
        <v>0</v>
      </c>
      <c r="FL270">
        <f>IF(FK270=0,0,1+COUNTIF(FL$3:FL269,"&gt;0"))</f>
        <v>0</v>
      </c>
      <c r="FM270" t="str">
        <f t="shared" si="274"/>
        <v/>
      </c>
      <c r="FN270" t="str">
        <f t="shared" si="254"/>
        <v/>
      </c>
      <c r="FP270">
        <f t="shared" si="255"/>
        <v>0</v>
      </c>
      <c r="FQ270">
        <f>IF(FP270=0,0,1+COUNTIF(FQ$3:FQ269,"&gt;0"))</f>
        <v>0</v>
      </c>
      <c r="FR270" t="str">
        <f t="shared" si="275"/>
        <v/>
      </c>
      <c r="FS270" t="str">
        <f t="shared" si="256"/>
        <v/>
      </c>
    </row>
    <row r="271" spans="1:175" x14ac:dyDescent="0.25">
      <c r="A271" s="347">
        <f t="shared" si="219"/>
        <v>269</v>
      </c>
      <c r="B271" s="348" t="s">
        <v>2655</v>
      </c>
      <c r="C271" s="348">
        <v>2</v>
      </c>
      <c r="D271" s="347">
        <v>2</v>
      </c>
      <c r="E271" s="627" t="s">
        <v>6952</v>
      </c>
      <c r="F271" s="346"/>
      <c r="G271" s="347" t="str">
        <f>""</f>
        <v/>
      </c>
      <c r="H271" s="347" t="s">
        <v>5912</v>
      </c>
      <c r="I271" s="347" t="s">
        <v>5298</v>
      </c>
      <c r="J271" s="347" t="str">
        <f t="shared" si="226"/>
        <v/>
      </c>
      <c r="K271" s="347" t="s">
        <v>5293</v>
      </c>
      <c r="L271" s="611" t="str">
        <f t="shared" si="227"/>
        <v>V, S</v>
      </c>
      <c r="M271" s="347" t="s">
        <v>2373</v>
      </c>
      <c r="N271" s="347" t="s">
        <v>2387</v>
      </c>
      <c r="O271" s="347" t="s">
        <v>3034</v>
      </c>
      <c r="P271" s="346" t="str">
        <f>""</f>
        <v/>
      </c>
      <c r="Q271" s="347" t="s">
        <v>5270</v>
      </c>
      <c r="S271" s="346" t="s">
        <v>5801</v>
      </c>
      <c r="T271" s="346" t="str">
        <f t="shared" si="228"/>
        <v xml:space="preserve">Paladin, Ranger, Cleric, Druid, </v>
      </c>
      <c r="V271" s="347" t="str">
        <f>$B271</f>
        <v>Protection from Poison</v>
      </c>
      <c r="W271" s="347" t="str">
        <f>$B271</f>
        <v>Protection from Poison</v>
      </c>
      <c r="Z271" s="347" t="str">
        <f>$B271</f>
        <v>Protection from Poison</v>
      </c>
      <c r="AA271" s="347" t="str">
        <f>$B271</f>
        <v>Protection from Poison</v>
      </c>
      <c r="AE271" t="str">
        <f>IF(IFERROR(MATCH($B271,temp!A$4:A$13,0),0)&gt;0,T08_Spells!AE$2,"")</f>
        <v/>
      </c>
      <c r="AF271" t="str">
        <f>IF(IFERROR(MATCH($B271,temp!B$4:B$13,0),0)&gt;0,T08_Spells!AF$2,"")</f>
        <v/>
      </c>
      <c r="AG271" t="str">
        <f>IF(IFERROR(MATCH($B271,temp!C$4:C$13,0),0)&gt;0,T08_Spells!AG$2,"")</f>
        <v/>
      </c>
      <c r="AH271" t="str">
        <f>IF(IFERROR(MATCH($B271,temp!D$4:D$13,0),0)&gt;0,T08_Spells!AH$2,"")</f>
        <v/>
      </c>
      <c r="AI271" t="str">
        <f>IF(IFERROR(MATCH($B271,temp!E$4:E$13,0),0)&gt;0,T08_Spells!AI$2,"")</f>
        <v/>
      </c>
      <c r="AJ271" t="str">
        <f>IF(IFERROR(MATCH($B271,temp!F$4:F$13,0),0)&gt;0,T08_Spells!AJ$2,"")</f>
        <v/>
      </c>
      <c r="AK271" t="str">
        <f>IF(IFERROR(MATCH($B271,temp!G$4:G$13,0),0)&gt;0,T08_Spells!AK$2,"")</f>
        <v/>
      </c>
      <c r="AL271" t="str">
        <f>IF(IFERROR(MATCH($B271,temp!H$4:H$13,0),0)&gt;0,T08_Spells!AL$2,"")</f>
        <v/>
      </c>
      <c r="AM271" t="str">
        <f>IF(IFERROR(MATCH($B271,temp!I$4:I$13,0),0)&gt;0,T08_Spells!AM$2,"")</f>
        <v/>
      </c>
      <c r="AN271" t="str">
        <f>IF(IFERROR(MATCH($B271,temp!J$4:J$13,0),0)&gt;0,T08_Spells!AN$2,"")</f>
        <v/>
      </c>
      <c r="AO271" t="str">
        <f>IF(IFERROR(MATCH($B271,temp!K$4:K$13,0),0)&gt;0,T08_Spells!AO$2,"")</f>
        <v/>
      </c>
      <c r="AP271" t="str">
        <f>IF(IFERROR(MATCH($B271,temp!L$4:L$13,0),0)&gt;0,T08_Spells!AP$2,"")</f>
        <v/>
      </c>
      <c r="AQ271" t="str">
        <f>IF(IFERROR(MATCH($B271,temp!M$4:M$13,0),0)&gt;0,T08_Spells!AQ$2,"")</f>
        <v/>
      </c>
      <c r="AR271" t="str">
        <f>IF(IFERROR(MATCH($B271,temp!N$4:N$13,0),0)&gt;0,T08_Spells!AR$2,"")</f>
        <v/>
      </c>
      <c r="AS271" t="str">
        <f>IF(IFERROR(MATCH($B271,temp!O$4:O$13,0),0)&gt;0,T08_Spells!AS$2,"")</f>
        <v/>
      </c>
      <c r="AT271" t="str">
        <f>IF(IFERROR(MATCH($B271,temp!P$4:P$13,0),0)&gt;0,T08_Spells!AT$2,"")</f>
        <v/>
      </c>
      <c r="AU271" t="str">
        <f>IF(IFERROR(MATCH($B271,temp!Q$4:Q$13,0),0)&gt;0,T08_Spells!AU$2,"")</f>
        <v/>
      </c>
      <c r="AV271" t="str">
        <f>IF(IFERROR(MATCH($B271,temp!R$4:R$13,0),0)&gt;0,T08_Spells!AV$2,"")</f>
        <v/>
      </c>
      <c r="AW271" t="str">
        <f>IF(IFERROR(MATCH($B271,temp!S$4:S$13,0),0)&gt;0,T08_Spells!AW$2,"")</f>
        <v/>
      </c>
      <c r="AX271" t="str">
        <f>IF(IFERROR(MATCH($B271,temp!T$4:T$13,0),0)&gt;0,T08_Spells!AX$2,"")</f>
        <v/>
      </c>
      <c r="AY271" t="str">
        <f>IF(IFERROR(MATCH($B271,temp!U$4:U$13,0),0)&gt;0,T08_Spells!AY$2,"")</f>
        <v/>
      </c>
      <c r="AZ271" t="str">
        <f>IF(IFERROR(MATCH($B271,temp!V$4:V$13,0),0)&gt;0,T08_Spells!AZ$2,"")</f>
        <v/>
      </c>
      <c r="BA271" t="str">
        <f>IF(IFERROR(MATCH($B271,temp!W$4:W$13,0),0)&gt;0,T08_Spells!BA$2,"")</f>
        <v/>
      </c>
      <c r="BC271">
        <f>IF(IFERROR(SEARCH("Ranger",$T271,1),0)&gt;0,1,0)*IF(RangerMaxSpellLevel&gt;=$C271,1,0)*IF(IFERROR(MATCH(B271,Character_Creation!$X$79:$X$382,0),0)&gt;0,0,1)</f>
        <v>0</v>
      </c>
      <c r="BD271">
        <f>IF(BC271=0,0,1+COUNTIF(BD$3:BD270,"&gt;0"))</f>
        <v>0</v>
      </c>
      <c r="BE271" t="str">
        <f t="shared" si="257"/>
        <v/>
      </c>
      <c r="BF271" t="str">
        <f t="shared" si="229"/>
        <v/>
      </c>
      <c r="BH271">
        <f>IF(IFERROR(SEARCH("Sorcerer",$T271,1),0)&gt;0,1,0)*IF(SorcererMaxSpellLevel&gt;=$C271,1,0)*IF(IFERROR(MATCH(B271,Character_Creation!$J$380:$J$394,0),0)&gt;0,0,1)</f>
        <v>0</v>
      </c>
      <c r="BI271">
        <f>IF(BH271=0,0,1+COUNTIF(BI$3:BI270,"&gt;0"))</f>
        <v>0</v>
      </c>
      <c r="BJ271" t="str">
        <f t="shared" si="258"/>
        <v/>
      </c>
      <c r="BK271" t="str">
        <f t="shared" si="230"/>
        <v/>
      </c>
      <c r="BM271">
        <f>IF(OR(IFERROR(SEARCH("Warlock",$T271,1),0)&gt;0,IFERROR(SEARCH(WarlockPatron,$T271,1),0)&gt;0),1,0)*IF(WarlockMaxSpellLevel&gt;=$C271,1,0)*IF(IFERROR(MATCH(B271,Character_Creation!$J$361:$J$375,0),0)&gt;0,0,1)</f>
        <v>0</v>
      </c>
      <c r="BN271">
        <f>IF(BM271=0,0,1+COUNTIF(BN$3:BN270,"&gt;0"))</f>
        <v>0</v>
      </c>
      <c r="BO271" t="str">
        <f t="shared" si="259"/>
        <v/>
      </c>
      <c r="BP271" t="str">
        <f t="shared" si="231"/>
        <v/>
      </c>
      <c r="BR271">
        <f>IF(IFERROR(SEARCH("Eldritch Knight",$T271,1),0)&gt;0,1,0)*IF(EldritchKnightMaxSpellLevel&gt;=$C271,1,0)*IF(IFERROR(MATCH($B271,Character_Creation!$J$350:$J$356,0),0)&gt;0,0,1)*IF(Character_Creation!$M$338&gt;0,1,0)</f>
        <v>0</v>
      </c>
      <c r="BS271">
        <f>IF(BR271=0,0,1+COUNTIF(BS$3:BS270,"&gt;0"))</f>
        <v>0</v>
      </c>
      <c r="BT271" t="str">
        <f t="shared" si="260"/>
        <v/>
      </c>
      <c r="BU271" t="str">
        <f t="shared" si="232"/>
        <v/>
      </c>
      <c r="BW271">
        <f>IF(IFERROR(SEARCH("Arcane Trickster",$T271,1),0)&gt;0,1,0)*IF(ArcaneTricksterMaxSpellLevel&gt;=$C271,1,0)*IF(IFERROR(MATCH($B271,Character_Creation!$J$350:$J$356,0),0)&gt;0,0,1)*IF(Character_Creation!$T$338&gt;0,1,0)</f>
        <v>0</v>
      </c>
      <c r="BX271">
        <f>IF(BW271=0,0,1+COUNTIF(BX$3:BX270,"&gt;0"))</f>
        <v>0</v>
      </c>
      <c r="BY271" t="str">
        <f t="shared" si="261"/>
        <v/>
      </c>
      <c r="BZ271" t="str">
        <f t="shared" si="233"/>
        <v/>
      </c>
      <c r="CB271">
        <f>IF(IFERROR(SEARCH("Wizard",$T271,1),0)&gt;0,1,0)*IF(C271&lt;=ArcaneTricksterMaxSpellLevel,1,0)*IF(IFERROR(MATCH($B271,Character_Creation!$J$350:$J$356,0),0)&gt;0,0,1)*IF(Character_Creation!$T$350&gt;0,1,0)</f>
        <v>0</v>
      </c>
      <c r="CC271">
        <f>IF(CB271=0,0,1+COUNTIF(CC$3:CC270,"&gt;0"))</f>
        <v>0</v>
      </c>
      <c r="CD271" t="str">
        <f t="shared" si="262"/>
        <v/>
      </c>
      <c r="CE271" t="str">
        <f t="shared" si="234"/>
        <v/>
      </c>
      <c r="CG271">
        <f>IF(IFERROR(SEARCH("Wizard",$T271,1),0)&gt;0,1,0)*IF($C271&lt;=EldritchKnightMaxSpellLevel,1,0)*IF(IFERROR(MATCH($B271,Character_Creation!$J$350:$J$356,0),0)&gt;0,0,1)*IF(Character_Creation!$M$350&gt;0,1,0)</f>
        <v>0</v>
      </c>
      <c r="CH271">
        <f>IF(CG271=0,0,1+COUNTIF(CH$3:CH270,"&gt;0"))</f>
        <v>0</v>
      </c>
      <c r="CI271" t="str">
        <f t="shared" si="263"/>
        <v/>
      </c>
      <c r="CJ271" t="str">
        <f t="shared" si="235"/>
        <v/>
      </c>
      <c r="CL271">
        <f>IF(IFERROR(SEARCH("Bard",$T271,1),0)&gt;0,1,0)*IF(BardMaxSpellLevel&gt;=$C271,1,0)*IF(IFERROR(MATCH(B271,Character_Creation!$C$341:$F$362,0),0)&gt;0,0,1)*IF(IFERROR(MATCH($B271,Character_Creation!$C$341:$C$362,0),0)&gt;0,0,1)</f>
        <v>0</v>
      </c>
      <c r="CM271">
        <f>IF(CL271=0,0,1+COUNTIF(CM$3:CM270,"&gt;0"))</f>
        <v>0</v>
      </c>
      <c r="CN271" t="str">
        <f t="shared" si="264"/>
        <v/>
      </c>
      <c r="CO271" t="str">
        <f t="shared" si="236"/>
        <v/>
      </c>
      <c r="CQ271">
        <f>IF(IFERROR(SEARCH("Wizard",$T271,1),0)&gt;0,1,0)*IF(WizardMaxSpellLevel&gt;=$C271,1,0)*IF(IFERROR(MATCH(B271,Character_Creation!$X$341:$X$400,0),0)&gt;0,0,1)*IF(SelectedWizardSpellLevel=$C271,1,0)</f>
        <v>0</v>
      </c>
      <c r="CR271">
        <f>IF(CQ271=0,0,1+COUNTIF(CR$3:CR270,"&gt;0"))</f>
        <v>0</v>
      </c>
      <c r="CS271" t="str">
        <f t="shared" si="265"/>
        <v/>
      </c>
      <c r="CT271" t="str">
        <f t="shared" si="237"/>
        <v/>
      </c>
      <c r="CV271">
        <f>IF(IFERROR(MATCH($B271,Character_Creation!$C$341:$C$362,0),0)&gt;0,0,1)*IF(OR(C271="Cantrip",C271&lt;=BardMaxSpellLevel),1,0)*IF(IFERROR(MATCH($B271,Character_Creation!$C$367:$C$374,0),0)&gt;0,0,1)</f>
        <v>0</v>
      </c>
      <c r="CW271">
        <f>IF(CV271=0,0,1+COUNTIF(CW$3:CW270,"&gt;0"))</f>
        <v>0</v>
      </c>
      <c r="CX271" t="str">
        <f t="shared" si="266"/>
        <v/>
      </c>
      <c r="CY271" t="str">
        <f t="shared" si="238"/>
        <v/>
      </c>
      <c r="DA271">
        <f>IF(IF(OR(IFERROR(SEARCH("Cleric",$T271,1),0)&gt;0,IFERROR(SEARCH(DivineDomain&amp;",",$T271,1),0)&gt;0),1,0)*IF($C271=DA$2,1,0)=1,1+COUNTIF(DA$3:DA270,"&gt;0"),0)</f>
        <v>0</v>
      </c>
      <c r="DB271">
        <f>IF(IF(OR(IFERROR(SEARCH("Cleric",$T271,1),0)&gt;0,IFERROR(SEARCH(DivineDomain&amp;",",$T271,1),0)&gt;0),1,0)*IF($C271=DB$2,1,0)=1,1+COUNTIF(DB$3:DB270,"&gt;0"),0)</f>
        <v>12</v>
      </c>
      <c r="DC271">
        <f>IF(IF(OR(IFERROR(SEARCH("Cleric",$T271,1),0)&gt;0,IFERROR(SEARCH(DivineDomain&amp;",",$T271,1),0)&gt;0),1,0)*IF($C271=DC$2,1,0)=1,1+COUNTIF(DC$3:DC270,"&gt;0"),0)</f>
        <v>0</v>
      </c>
      <c r="DD271">
        <f>IF(IF(OR(IFERROR(SEARCH("Cleric",$T271,1),0)&gt;0,IFERROR(SEARCH(DivineDomain&amp;",",$T271,1),0)&gt;0),1,0)*IF($C271=DD$2,1,0)=1,1+COUNTIF(DD$3:DD270,"&gt;0"),0)</f>
        <v>0</v>
      </c>
      <c r="DE271">
        <f>IF(IF(OR(IFERROR(SEARCH("Cleric",$T271,1),0)&gt;0,IFERROR(SEARCH(DivineDomain&amp;",",$T271,1),0)&gt;0),1,0)*IF($C271=DE$2,1,0)=1,1+COUNTIF(DE$3:DE270,"&gt;0"),0)</f>
        <v>0</v>
      </c>
      <c r="DF271">
        <f>IF(IF(OR(IFERROR(SEARCH("Cleric",$T271,1),0)&gt;0,IFERROR(SEARCH(DivineDomain&amp;",",$T271,1),0)&gt;0),1,0)*IF($C271=DF$2,1,0)=1,1+COUNTIF(DF$3:DF270,"&gt;0"),0)</f>
        <v>0</v>
      </c>
      <c r="DG271">
        <f>IF(IF(OR(IFERROR(SEARCH("Cleric",$T271,1),0)&gt;0,IFERROR(SEARCH(DivineDomain&amp;",",$T271,1),0)&gt;0),1,0)*IF($C271=DG$2,1,0)=1,1+COUNTIF(DG$3:DG270,"&gt;0"),0)</f>
        <v>0</v>
      </c>
      <c r="DH271">
        <f>IF(IF(OR(IFERROR(SEARCH("Cleric",$T271,1),0)&gt;0,IFERROR(SEARCH(DivineDomain&amp;",",$T271,1),0)&gt;0),1,0)*IF($C271=DH$2,1,0)=1,1+COUNTIF(DH$3:DH270,"&gt;0"),0)</f>
        <v>0</v>
      </c>
      <c r="DI271">
        <f>IF(IF(OR(IFERROR(SEARCH("Cleric",$T271,1),0)&gt;0,IFERROR(SEARCH(DivineDomain&amp;",",$T271,1),0)&gt;0),1,0)*IF($C271=DI$2,1,0)=1,1+COUNTIF(DI$3:DI270,"&gt;0"),0)</f>
        <v>0</v>
      </c>
      <c r="DJ271">
        <f>IF(IF(OR(IFERROR(SEARCH("Druid",$T271,1),0)&gt;0,IFERROR(SEARCH(DruidLand1,$T271,1),0)&gt;0,IFERROR(SEARCH(DruidLand2,$T271,1),0)&gt;0,IFERROR(SEARCH(DruidLand3,$T271,1),0)&gt;0,IFERROR(SEARCH(DruidLand4,$T271,1),0)&gt;0),1,0)*IF($C271=1,1,0)*IF($C271=DJ$2,1,0)=0,0,1+COUNTIF(DJ$3:DJ270,"&gt;0"))</f>
        <v>0</v>
      </c>
      <c r="DK271">
        <f>IF(IF(OR(IFERROR(SEARCH("Druid",$T271,1),0)&gt;0,IFERROR(SEARCH(DruidLand1,$T271,1),0)&gt;0,IFERROR(SEARCH(DruidLand2,$T271,1),0)&gt;0,IFERROR(SEARCH(DruidLand3,$T271,1),0)&gt;0,IFERROR(SEARCH(DruidLand4,$T271,1),0)&gt;0),1,0)*IF($C271=DK$2,1,0)=0,0,1+COUNTIF(DK$3:DK270,"&gt;0"))</f>
        <v>16</v>
      </c>
      <c r="DL271">
        <f>IF(IF(OR(IFERROR(SEARCH("Druid",$T271,1),0)&gt;0,IFERROR(SEARCH(DruidLand1,$T271,1),0)&gt;0,IFERROR(SEARCH(DruidLand2,$T271,1),0)&gt;0,IFERROR(SEARCH(DruidLand3,$T271,1),0)&gt;0,IFERROR(SEARCH(DruidLand4,$T271,1),0)&gt;0),1,0)*IF($C271=DL$2,1,0)=0,0,1+COUNTIF(DL$3:DL270,"&gt;0"))</f>
        <v>0</v>
      </c>
      <c r="DM271">
        <f>IF(IF(OR(IFERROR(SEARCH("Druid",$T271,1),0)&gt;0,IFERROR(SEARCH(DruidLand1,$T271,1),0)&gt;0,IFERROR(SEARCH(DruidLand2,$T271,1),0)&gt;0,IFERROR(SEARCH(DruidLand3,$T271,1),0)&gt;0,IFERROR(SEARCH(DruidLand4,$T271,1),0)&gt;0),1,0)*IF($C271=DM$2,1,0)=0,0,1+COUNTIF(DM$3:DM270,"&gt;0"))</f>
        <v>0</v>
      </c>
      <c r="DN271">
        <f>IF(IF(OR(IFERROR(SEARCH("Druid",$T271,1),0)&gt;0,IFERROR(SEARCH(DruidLand1,$T271,1),0)&gt;0,IFERROR(SEARCH(DruidLand2,$T271,1),0)&gt;0,IFERROR(SEARCH(DruidLand3,$T271,1),0)&gt;0,IFERROR(SEARCH(DruidLand4,$T271,1),0)&gt;0),1,0)*IF($C271=DN$2,1,0)=0,0,1+COUNTIF(DN$3:DN270,"&gt;0"))</f>
        <v>0</v>
      </c>
      <c r="DO271">
        <f>IF(IF(OR(IFERROR(SEARCH("Druid",$T271,1),0)&gt;0,IFERROR(SEARCH(DruidLand1,$T271,1),0)&gt;0,IFERROR(SEARCH(DruidLand2,$T271,1),0)&gt;0,IFERROR(SEARCH(DruidLand3,$T271,1),0)&gt;0,IFERROR(SEARCH(DruidLand4,$T271,1),0)&gt;0),1,0)*IF($C271=DO$2,1,0)=0,0,1+COUNTIF(DO$3:DO270,"&gt;0"))</f>
        <v>0</v>
      </c>
      <c r="DP271">
        <f>IF(IF(OR(IFERROR(SEARCH("Druid",$T271,1),0)&gt;0,IFERROR(SEARCH(DruidLand1,$T271,1),0)&gt;0,IFERROR(SEARCH(DruidLand2,$T271,1),0)&gt;0,IFERROR(SEARCH(DruidLand3,$T271,1),0)&gt;0,IFERROR(SEARCH(DruidLand4,$T271,1),0)&gt;0),1,0)*IF($C271=DP$2,1,0)=0,0,1+COUNTIF(DP$3:DP270,"&gt;0"))</f>
        <v>0</v>
      </c>
      <c r="DQ271">
        <f>IF(IF(OR(IFERROR(SEARCH("Druid",$T271,1),0)&gt;0,IFERROR(SEARCH(DruidLand1,$T271,1),0)&gt;0,IFERROR(SEARCH(DruidLand2,$T271,1),0)&gt;0,IFERROR(SEARCH(DruidLand3,$T271,1),0)&gt;0,IFERROR(SEARCH(DruidLand4,$T271,1),0)&gt;0),1,0)*IF($C271=DQ$2,1,0)=0,0,1+COUNTIF(DQ$3:DQ270,"&gt;0"))</f>
        <v>0</v>
      </c>
      <c r="DR271">
        <f>IF(IF(OR(IFERROR(SEARCH("Druid",$T271,1),0)&gt;0,IFERROR(SEARCH(DruidLand1,$T271,1),0)&gt;0,IFERROR(SEARCH(DruidLand2,$T271,1),0)&gt;0,IFERROR(SEARCH(DruidLand3,$T271,1),0)&gt;0,IFERROR(SEARCH(DruidLand4,$T271,1),0)&gt;0),1,0)*IF($C271=DR$2,1,0)=0,0,1+COUNTIF(DR$3:DR270,"&gt;0"))</f>
        <v>0</v>
      </c>
      <c r="DS271">
        <f>IF(IF(OR(IFERROR(SEARCH("Paladin",$T271,1),0)&gt;0,IFERROR(SEARCH(PaladinOath,$T271,1),0)&gt;0),1,0)*IF($C271=DS$2,1,0)=1,1+COUNTIF(DS$3:DS270,"&gt;0"),0)</f>
        <v>0</v>
      </c>
      <c r="DT271">
        <f>IF(IF(OR(IFERROR(SEARCH("Paladin",$T271,1),0)&gt;0,IFERROR(SEARCH(PaladinOath,$T271,1),0)&gt;0),1,0)*IF($C271=DT$2,1,0)=1,1+COUNTIF(DT$3:DT270,"&gt;0"),0)</f>
        <v>7</v>
      </c>
      <c r="DU271">
        <f>IF(IF(OR(IFERROR(SEARCH("Paladin",$T271,1),0)&gt;0,IFERROR(SEARCH(PaladinOath,$T271,1),0)&gt;0),1,0)*IF($C271=DU$2,1,0)=1,1+COUNTIF(DU$3:DU270,"&gt;0"),0)</f>
        <v>0</v>
      </c>
      <c r="DV271">
        <f>IF(IF(OR(IFERROR(SEARCH("Paladin",$T271,1),0)&gt;0,IFERROR(SEARCH(PaladinOath,$T271,1),0)&gt;0),1,0)*IF($C271=DV$2,1,0)=1,1+COUNTIF(DV$3:DV270,"&gt;0"),0)</f>
        <v>0</v>
      </c>
      <c r="DW271">
        <f>IF(IF(OR(IFERROR(SEARCH("Paladin",$T271,1),0)&gt;0,IFERROR(SEARCH(PaladinOath,$T271,1),0)&gt;0),1,0)*IF($C271=DW$2,1,0)=1,1+COUNTIF(DW$3:DW270,"&gt;0"),0)</f>
        <v>0</v>
      </c>
      <c r="DY271">
        <f t="shared" si="225"/>
        <v>1</v>
      </c>
      <c r="DZ271">
        <f>IF(DY271=0,0,1+MAX(DZ$3:$DZ270))</f>
        <v>269</v>
      </c>
      <c r="EB271">
        <f t="shared" si="239"/>
        <v>0</v>
      </c>
      <c r="EC271">
        <f>IF(EB271=0,0,1+COUNTIF(EC$3:EC270,"&gt;0"))</f>
        <v>0</v>
      </c>
      <c r="ED271" t="str">
        <f t="shared" si="267"/>
        <v/>
      </c>
      <c r="EE271" t="str">
        <f t="shared" si="240"/>
        <v/>
      </c>
      <c r="EG271">
        <f t="shared" si="241"/>
        <v>0</v>
      </c>
      <c r="EH271">
        <f>IF(EG271=0,0,1+COUNTIF(EH$3:EH270,"&gt;0"))</f>
        <v>0</v>
      </c>
      <c r="EI271" t="str">
        <f t="shared" si="268"/>
        <v/>
      </c>
      <c r="EJ271" t="str">
        <f t="shared" si="242"/>
        <v/>
      </c>
      <c r="EL271">
        <f t="shared" si="243"/>
        <v>0</v>
      </c>
      <c r="EM271">
        <f>IF(EL271=0,0,1+COUNTIF(EM$3:EM270,"&gt;0"))</f>
        <v>0</v>
      </c>
      <c r="EN271" t="str">
        <f t="shared" si="269"/>
        <v/>
      </c>
      <c r="EO271" t="str">
        <f t="shared" si="244"/>
        <v/>
      </c>
      <c r="EQ271">
        <f t="shared" si="245"/>
        <v>0</v>
      </c>
      <c r="ER271">
        <f>IF(EQ271=0,0,1+COUNTIF(ER$3:ER270,"&gt;0"))</f>
        <v>0</v>
      </c>
      <c r="ES271" t="str">
        <f t="shared" si="270"/>
        <v/>
      </c>
      <c r="ET271" t="str">
        <f t="shared" si="246"/>
        <v/>
      </c>
      <c r="EV271">
        <f t="shared" si="247"/>
        <v>0</v>
      </c>
      <c r="EW271">
        <f>IF(EV271=0,0,1+COUNTIF(EW$3:EW270,"&gt;0"))</f>
        <v>0</v>
      </c>
      <c r="EX271" t="str">
        <f t="shared" si="271"/>
        <v/>
      </c>
      <c r="EY271" t="str">
        <f t="shared" si="248"/>
        <v/>
      </c>
      <c r="FA271">
        <f t="shared" si="249"/>
        <v>0</v>
      </c>
      <c r="FB271">
        <f>IF(FA271=0,0,1+COUNTIF(FB$3:FB270,"&gt;0"))</f>
        <v>0</v>
      </c>
      <c r="FC271" t="str">
        <f t="shared" si="272"/>
        <v/>
      </c>
      <c r="FD271" t="str">
        <f t="shared" si="250"/>
        <v/>
      </c>
      <c r="FF271">
        <f t="shared" si="251"/>
        <v>0</v>
      </c>
      <c r="FG271">
        <f>IF(FF271=0,0,1+COUNTIF(FG$3:FG270,"&gt;0"))</f>
        <v>0</v>
      </c>
      <c r="FH271" t="str">
        <f t="shared" si="273"/>
        <v/>
      </c>
      <c r="FI271" t="str">
        <f t="shared" si="252"/>
        <v/>
      </c>
      <c r="FK271">
        <f t="shared" si="253"/>
        <v>0</v>
      </c>
      <c r="FL271">
        <f>IF(FK271=0,0,1+COUNTIF(FL$3:FL270,"&gt;0"))</f>
        <v>0</v>
      </c>
      <c r="FM271" t="str">
        <f t="shared" si="274"/>
        <v/>
      </c>
      <c r="FN271" t="str">
        <f t="shared" si="254"/>
        <v/>
      </c>
      <c r="FP271">
        <f t="shared" si="255"/>
        <v>0</v>
      </c>
      <c r="FQ271">
        <f>IF(FP271=0,0,1+COUNTIF(FQ$3:FQ270,"&gt;0"))</f>
        <v>0</v>
      </c>
      <c r="FR271" t="str">
        <f t="shared" si="275"/>
        <v/>
      </c>
      <c r="FS271" t="str">
        <f t="shared" si="256"/>
        <v/>
      </c>
    </row>
    <row r="272" spans="1:175" x14ac:dyDescent="0.25">
      <c r="A272" s="347">
        <f t="shared" ref="A272:A335" si="276">A271+1</f>
        <v>270</v>
      </c>
      <c r="B272" s="348" t="s">
        <v>2656</v>
      </c>
      <c r="C272" s="348">
        <v>1</v>
      </c>
      <c r="D272" s="347">
        <v>1</v>
      </c>
      <c r="E272" s="627" t="s">
        <v>6952</v>
      </c>
      <c r="F272" s="346"/>
      <c r="G272" s="347" t="s">
        <v>5269</v>
      </c>
      <c r="H272" s="347" t="s">
        <v>5913</v>
      </c>
      <c r="I272" s="347" t="s">
        <v>5052</v>
      </c>
      <c r="J272" s="347" t="str">
        <f t="shared" si="226"/>
        <v/>
      </c>
      <c r="K272" s="347" t="s">
        <v>5278</v>
      </c>
      <c r="L272" s="611" t="str">
        <f t="shared" si="227"/>
        <v>V, S</v>
      </c>
      <c r="M272" s="347" t="s">
        <v>2373</v>
      </c>
      <c r="N272" s="347" t="s">
        <v>2387</v>
      </c>
      <c r="O272" s="347" t="s">
        <v>3034</v>
      </c>
      <c r="P272" s="346" t="str">
        <f>""</f>
        <v/>
      </c>
      <c r="Q272" s="347" t="s">
        <v>5276</v>
      </c>
      <c r="S272" s="346" t="s">
        <v>2657</v>
      </c>
      <c r="T272" s="346" t="str">
        <f t="shared" si="228"/>
        <v xml:space="preserve">Paladin, Cleric, Druid, </v>
      </c>
      <c r="V272" s="347" t="str">
        <f>$B272</f>
        <v>Purify Food and Drink</v>
      </c>
      <c r="Z272" s="347" t="str">
        <f>$B272</f>
        <v>Purify Food and Drink</v>
      </c>
      <c r="AA272" s="347" t="str">
        <f>$B272</f>
        <v>Purify Food and Drink</v>
      </c>
      <c r="AE272" t="str">
        <f>IF(IFERROR(MATCH($B272,temp!A$4:A$13,0),0)&gt;0,T08_Spells!AE$2,"")</f>
        <v/>
      </c>
      <c r="AF272" t="str">
        <f>IF(IFERROR(MATCH($B272,temp!B$4:B$13,0),0)&gt;0,T08_Spells!AF$2,"")</f>
        <v/>
      </c>
      <c r="AG272" t="str">
        <f>IF(IFERROR(MATCH($B272,temp!C$4:C$13,0),0)&gt;0,T08_Spells!AG$2,"")</f>
        <v/>
      </c>
      <c r="AH272" t="str">
        <f>IF(IFERROR(MATCH($B272,temp!D$4:D$13,0),0)&gt;0,T08_Spells!AH$2,"")</f>
        <v/>
      </c>
      <c r="AI272" t="str">
        <f>IF(IFERROR(MATCH($B272,temp!E$4:E$13,0),0)&gt;0,T08_Spells!AI$2,"")</f>
        <v/>
      </c>
      <c r="AJ272" t="str">
        <f>IF(IFERROR(MATCH($B272,temp!F$4:F$13,0),0)&gt;0,T08_Spells!AJ$2,"")</f>
        <v/>
      </c>
      <c r="AK272" t="str">
        <f>IF(IFERROR(MATCH($B272,temp!G$4:G$13,0),0)&gt;0,T08_Spells!AK$2,"")</f>
        <v/>
      </c>
      <c r="AL272" t="str">
        <f>IF(IFERROR(MATCH($B272,temp!H$4:H$13,0),0)&gt;0,T08_Spells!AL$2,"")</f>
        <v/>
      </c>
      <c r="AM272" t="str">
        <f>IF(IFERROR(MATCH($B272,temp!I$4:I$13,0),0)&gt;0,T08_Spells!AM$2,"")</f>
        <v/>
      </c>
      <c r="AN272" t="str">
        <f>IF(IFERROR(MATCH($B272,temp!J$4:J$13,0),0)&gt;0,T08_Spells!AN$2,"")</f>
        <v/>
      </c>
      <c r="AO272" t="str">
        <f>IF(IFERROR(MATCH($B272,temp!K$4:K$13,0),0)&gt;0,T08_Spells!AO$2,"")</f>
        <v/>
      </c>
      <c r="AP272" t="str">
        <f>IF(IFERROR(MATCH($B272,temp!L$4:L$13,0),0)&gt;0,T08_Spells!AP$2,"")</f>
        <v/>
      </c>
      <c r="AQ272" t="str">
        <f>IF(IFERROR(MATCH($B272,temp!M$4:M$13,0),0)&gt;0,T08_Spells!AQ$2,"")</f>
        <v/>
      </c>
      <c r="AR272" t="str">
        <f>IF(IFERROR(MATCH($B272,temp!N$4:N$13,0),0)&gt;0,T08_Spells!AR$2,"")</f>
        <v/>
      </c>
      <c r="AS272" t="str">
        <f>IF(IFERROR(MATCH($B272,temp!O$4:O$13,0),0)&gt;0,T08_Spells!AS$2,"")</f>
        <v/>
      </c>
      <c r="AT272" t="str">
        <f>IF(IFERROR(MATCH($B272,temp!P$4:P$13,0),0)&gt;0,T08_Spells!AT$2,"")</f>
        <v/>
      </c>
      <c r="AU272" t="str">
        <f>IF(IFERROR(MATCH($B272,temp!Q$4:Q$13,0),0)&gt;0,T08_Spells!AU$2,"")</f>
        <v/>
      </c>
      <c r="AV272" t="str">
        <f>IF(IFERROR(MATCH($B272,temp!R$4:R$13,0),0)&gt;0,T08_Spells!AV$2,"")</f>
        <v/>
      </c>
      <c r="AW272" t="str">
        <f>IF(IFERROR(MATCH($B272,temp!S$4:S$13,0),0)&gt;0,T08_Spells!AW$2,"")</f>
        <v/>
      </c>
      <c r="AX272" t="str">
        <f>IF(IFERROR(MATCH($B272,temp!T$4:T$13,0),0)&gt;0,T08_Spells!AX$2,"")</f>
        <v/>
      </c>
      <c r="AY272" t="str">
        <f>IF(IFERROR(MATCH($B272,temp!U$4:U$13,0),0)&gt;0,T08_Spells!AY$2,"")</f>
        <v/>
      </c>
      <c r="AZ272" t="str">
        <f>IF(IFERROR(MATCH($B272,temp!V$4:V$13,0),0)&gt;0,T08_Spells!AZ$2,"")</f>
        <v/>
      </c>
      <c r="BA272" t="str">
        <f>IF(IFERROR(MATCH($B272,temp!W$4:W$13,0),0)&gt;0,T08_Spells!BA$2,"")</f>
        <v/>
      </c>
      <c r="BC272">
        <f>IF(IFERROR(SEARCH("Ranger",$T272,1),0)&gt;0,1,0)*IF(RangerMaxSpellLevel&gt;=$C272,1,0)*IF(IFERROR(MATCH(B272,Character_Creation!$X$79:$X$382,0),0)&gt;0,0,1)</f>
        <v>0</v>
      </c>
      <c r="BD272">
        <f>IF(BC272=0,0,1+COUNTIF(BD$3:BD271,"&gt;0"))</f>
        <v>0</v>
      </c>
      <c r="BE272" t="str">
        <f t="shared" si="257"/>
        <v/>
      </c>
      <c r="BF272" t="str">
        <f t="shared" si="229"/>
        <v/>
      </c>
      <c r="BH272">
        <f>IF(IFERROR(SEARCH("Sorcerer",$T272,1),0)&gt;0,1,0)*IF(SorcererMaxSpellLevel&gt;=$C272,1,0)*IF(IFERROR(MATCH(B272,Character_Creation!$J$380:$J$394,0),0)&gt;0,0,1)</f>
        <v>0</v>
      </c>
      <c r="BI272">
        <f>IF(BH272=0,0,1+COUNTIF(BI$3:BI271,"&gt;0"))</f>
        <v>0</v>
      </c>
      <c r="BJ272" t="str">
        <f t="shared" si="258"/>
        <v/>
      </c>
      <c r="BK272" t="str">
        <f t="shared" si="230"/>
        <v/>
      </c>
      <c r="BM272">
        <f>IF(OR(IFERROR(SEARCH("Warlock",$T272,1),0)&gt;0,IFERROR(SEARCH(WarlockPatron,$T272,1),0)&gt;0),1,0)*IF(WarlockMaxSpellLevel&gt;=$C272,1,0)*IF(IFERROR(MATCH(B272,Character_Creation!$J$361:$J$375,0),0)&gt;0,0,1)</f>
        <v>0</v>
      </c>
      <c r="BN272">
        <f>IF(BM272=0,0,1+COUNTIF(BN$3:BN271,"&gt;0"))</f>
        <v>0</v>
      </c>
      <c r="BO272" t="str">
        <f t="shared" si="259"/>
        <v/>
      </c>
      <c r="BP272" t="str">
        <f t="shared" si="231"/>
        <v/>
      </c>
      <c r="BR272">
        <f>IF(IFERROR(SEARCH("Eldritch Knight",$T272,1),0)&gt;0,1,0)*IF(EldritchKnightMaxSpellLevel&gt;=$C272,1,0)*IF(IFERROR(MATCH($B272,Character_Creation!$J$350:$J$356,0),0)&gt;0,0,1)*IF(Character_Creation!$M$338&gt;0,1,0)</f>
        <v>0</v>
      </c>
      <c r="BS272">
        <f>IF(BR272=0,0,1+COUNTIF(BS$3:BS271,"&gt;0"))</f>
        <v>0</v>
      </c>
      <c r="BT272" t="str">
        <f t="shared" si="260"/>
        <v/>
      </c>
      <c r="BU272" t="str">
        <f t="shared" si="232"/>
        <v/>
      </c>
      <c r="BW272">
        <f>IF(IFERROR(SEARCH("Arcane Trickster",$T272,1),0)&gt;0,1,0)*IF(ArcaneTricksterMaxSpellLevel&gt;=$C272,1,0)*IF(IFERROR(MATCH($B272,Character_Creation!$J$350:$J$356,0),0)&gt;0,0,1)*IF(Character_Creation!$T$338&gt;0,1,0)</f>
        <v>0</v>
      </c>
      <c r="BX272">
        <f>IF(BW272=0,0,1+COUNTIF(BX$3:BX271,"&gt;0"))</f>
        <v>0</v>
      </c>
      <c r="BY272" t="str">
        <f t="shared" si="261"/>
        <v/>
      </c>
      <c r="BZ272" t="str">
        <f t="shared" si="233"/>
        <v/>
      </c>
      <c r="CB272">
        <f>IF(IFERROR(SEARCH("Wizard",$T272,1),0)&gt;0,1,0)*IF(C272&lt;=ArcaneTricksterMaxSpellLevel,1,0)*IF(IFERROR(MATCH($B272,Character_Creation!$J$350:$J$356,0),0)&gt;0,0,1)*IF(Character_Creation!$T$350&gt;0,1,0)</f>
        <v>0</v>
      </c>
      <c r="CC272">
        <f>IF(CB272=0,0,1+COUNTIF(CC$3:CC271,"&gt;0"))</f>
        <v>0</v>
      </c>
      <c r="CD272" t="str">
        <f t="shared" si="262"/>
        <v/>
      </c>
      <c r="CE272" t="str">
        <f t="shared" si="234"/>
        <v/>
      </c>
      <c r="CG272">
        <f>IF(IFERROR(SEARCH("Wizard",$T272,1),0)&gt;0,1,0)*IF($C272&lt;=EldritchKnightMaxSpellLevel,1,0)*IF(IFERROR(MATCH($B272,Character_Creation!$J$350:$J$356,0),0)&gt;0,0,1)*IF(Character_Creation!$M$350&gt;0,1,0)</f>
        <v>0</v>
      </c>
      <c r="CH272">
        <f>IF(CG272=0,0,1+COUNTIF(CH$3:CH271,"&gt;0"))</f>
        <v>0</v>
      </c>
      <c r="CI272" t="str">
        <f t="shared" si="263"/>
        <v/>
      </c>
      <c r="CJ272" t="str">
        <f t="shared" si="235"/>
        <v/>
      </c>
      <c r="CL272">
        <f>IF(IFERROR(SEARCH("Bard",$T272,1),0)&gt;0,1,0)*IF(BardMaxSpellLevel&gt;=$C272,1,0)*IF(IFERROR(MATCH(B272,Character_Creation!$C$341:$F$362,0),0)&gt;0,0,1)*IF(IFERROR(MATCH($B272,Character_Creation!$C$341:$C$362,0),0)&gt;0,0,1)</f>
        <v>0</v>
      </c>
      <c r="CM272">
        <f>IF(CL272=0,0,1+COUNTIF(CM$3:CM271,"&gt;0"))</f>
        <v>0</v>
      </c>
      <c r="CN272" t="str">
        <f t="shared" si="264"/>
        <v/>
      </c>
      <c r="CO272" t="str">
        <f t="shared" si="236"/>
        <v/>
      </c>
      <c r="CQ272">
        <f>IF(IFERROR(SEARCH("Wizard",$T272,1),0)&gt;0,1,0)*IF(WizardMaxSpellLevel&gt;=$C272,1,0)*IF(IFERROR(MATCH(B272,Character_Creation!$X$341:$X$400,0),0)&gt;0,0,1)*IF(SelectedWizardSpellLevel=$C272,1,0)</f>
        <v>0</v>
      </c>
      <c r="CR272">
        <f>IF(CQ272=0,0,1+COUNTIF(CR$3:CR271,"&gt;0"))</f>
        <v>0</v>
      </c>
      <c r="CS272" t="str">
        <f t="shared" si="265"/>
        <v/>
      </c>
      <c r="CT272" t="str">
        <f t="shared" si="237"/>
        <v/>
      </c>
      <c r="CV272">
        <f>IF(IFERROR(MATCH($B272,Character_Creation!$C$341:$C$362,0),0)&gt;0,0,1)*IF(OR(C272="Cantrip",C272&lt;=BardMaxSpellLevel),1,0)*IF(IFERROR(MATCH($B272,Character_Creation!$C$367:$C$374,0),0)&gt;0,0,1)</f>
        <v>0</v>
      </c>
      <c r="CW272">
        <f>IF(CV272=0,0,1+COUNTIF(CW$3:CW271,"&gt;0"))</f>
        <v>0</v>
      </c>
      <c r="CX272" t="str">
        <f t="shared" si="266"/>
        <v/>
      </c>
      <c r="CY272" t="str">
        <f t="shared" si="238"/>
        <v/>
      </c>
      <c r="DA272">
        <f>IF(IF(OR(IFERROR(SEARCH("Cleric",$T272,1),0)&gt;0,IFERROR(SEARCH(DivineDomain&amp;",",$T272,1),0)&gt;0),1,0)*IF($C272=DA$2,1,0)=1,1+COUNTIF(DA$3:DA271,"&gt;0"),0)</f>
        <v>13</v>
      </c>
      <c r="DB272">
        <f>IF(IF(OR(IFERROR(SEARCH("Cleric",$T272,1),0)&gt;0,IFERROR(SEARCH(DivineDomain&amp;",",$T272,1),0)&gt;0),1,0)*IF($C272=DB$2,1,0)=1,1+COUNTIF(DB$3:DB271,"&gt;0"),0)</f>
        <v>0</v>
      </c>
      <c r="DC272">
        <f>IF(IF(OR(IFERROR(SEARCH("Cleric",$T272,1),0)&gt;0,IFERROR(SEARCH(DivineDomain&amp;",",$T272,1),0)&gt;0),1,0)*IF($C272=DC$2,1,0)=1,1+COUNTIF(DC$3:DC271,"&gt;0"),0)</f>
        <v>0</v>
      </c>
      <c r="DD272">
        <f>IF(IF(OR(IFERROR(SEARCH("Cleric",$T272,1),0)&gt;0,IFERROR(SEARCH(DivineDomain&amp;",",$T272,1),0)&gt;0),1,0)*IF($C272=DD$2,1,0)=1,1+COUNTIF(DD$3:DD271,"&gt;0"),0)</f>
        <v>0</v>
      </c>
      <c r="DE272">
        <f>IF(IF(OR(IFERROR(SEARCH("Cleric",$T272,1),0)&gt;0,IFERROR(SEARCH(DivineDomain&amp;",",$T272,1),0)&gt;0),1,0)*IF($C272=DE$2,1,0)=1,1+COUNTIF(DE$3:DE271,"&gt;0"),0)</f>
        <v>0</v>
      </c>
      <c r="DF272">
        <f>IF(IF(OR(IFERROR(SEARCH("Cleric",$T272,1),0)&gt;0,IFERROR(SEARCH(DivineDomain&amp;",",$T272,1),0)&gt;0),1,0)*IF($C272=DF$2,1,0)=1,1+COUNTIF(DF$3:DF271,"&gt;0"),0)</f>
        <v>0</v>
      </c>
      <c r="DG272">
        <f>IF(IF(OR(IFERROR(SEARCH("Cleric",$T272,1),0)&gt;0,IFERROR(SEARCH(DivineDomain&amp;",",$T272,1),0)&gt;0),1,0)*IF($C272=DG$2,1,0)=1,1+COUNTIF(DG$3:DG271,"&gt;0"),0)</f>
        <v>0</v>
      </c>
      <c r="DH272">
        <f>IF(IF(OR(IFERROR(SEARCH("Cleric",$T272,1),0)&gt;0,IFERROR(SEARCH(DivineDomain&amp;",",$T272,1),0)&gt;0),1,0)*IF($C272=DH$2,1,0)=1,1+COUNTIF(DH$3:DH271,"&gt;0"),0)</f>
        <v>0</v>
      </c>
      <c r="DI272">
        <f>IF(IF(OR(IFERROR(SEARCH("Cleric",$T272,1),0)&gt;0,IFERROR(SEARCH(DivineDomain&amp;",",$T272,1),0)&gt;0),1,0)*IF($C272=DI$2,1,0)=1,1+COUNTIF(DI$3:DI271,"&gt;0"),0)</f>
        <v>0</v>
      </c>
      <c r="DJ272">
        <f>IF(IF(OR(IFERROR(SEARCH("Druid",$T272,1),0)&gt;0,IFERROR(SEARCH(DruidLand1,$T272,1),0)&gt;0,IFERROR(SEARCH(DruidLand2,$T272,1),0)&gt;0,IFERROR(SEARCH(DruidLand3,$T272,1),0)&gt;0,IFERROR(SEARCH(DruidLand4,$T272,1),0)&gt;0),1,0)*IF($C272=1,1,0)*IF($C272=DJ$2,1,0)=0,0,1+COUNTIF(DJ$3:DJ271,"&gt;0"))</f>
        <v>14</v>
      </c>
      <c r="DK272">
        <f>IF(IF(OR(IFERROR(SEARCH("Druid",$T272,1),0)&gt;0,IFERROR(SEARCH(DruidLand1,$T272,1),0)&gt;0,IFERROR(SEARCH(DruidLand2,$T272,1),0)&gt;0,IFERROR(SEARCH(DruidLand3,$T272,1),0)&gt;0,IFERROR(SEARCH(DruidLand4,$T272,1),0)&gt;0),1,0)*IF($C272=DK$2,1,0)=0,0,1+COUNTIF(DK$3:DK271,"&gt;0"))</f>
        <v>0</v>
      </c>
      <c r="DL272">
        <f>IF(IF(OR(IFERROR(SEARCH("Druid",$T272,1),0)&gt;0,IFERROR(SEARCH(DruidLand1,$T272,1),0)&gt;0,IFERROR(SEARCH(DruidLand2,$T272,1),0)&gt;0,IFERROR(SEARCH(DruidLand3,$T272,1),0)&gt;0,IFERROR(SEARCH(DruidLand4,$T272,1),0)&gt;0),1,0)*IF($C272=DL$2,1,0)=0,0,1+COUNTIF(DL$3:DL271,"&gt;0"))</f>
        <v>0</v>
      </c>
      <c r="DM272">
        <f>IF(IF(OR(IFERROR(SEARCH("Druid",$T272,1),0)&gt;0,IFERROR(SEARCH(DruidLand1,$T272,1),0)&gt;0,IFERROR(SEARCH(DruidLand2,$T272,1),0)&gt;0,IFERROR(SEARCH(DruidLand3,$T272,1),0)&gt;0,IFERROR(SEARCH(DruidLand4,$T272,1),0)&gt;0),1,0)*IF($C272=DM$2,1,0)=0,0,1+COUNTIF(DM$3:DM271,"&gt;0"))</f>
        <v>0</v>
      </c>
      <c r="DN272">
        <f>IF(IF(OR(IFERROR(SEARCH("Druid",$T272,1),0)&gt;0,IFERROR(SEARCH(DruidLand1,$T272,1),0)&gt;0,IFERROR(SEARCH(DruidLand2,$T272,1),0)&gt;0,IFERROR(SEARCH(DruidLand3,$T272,1),0)&gt;0,IFERROR(SEARCH(DruidLand4,$T272,1),0)&gt;0),1,0)*IF($C272=DN$2,1,0)=0,0,1+COUNTIF(DN$3:DN271,"&gt;0"))</f>
        <v>0</v>
      </c>
      <c r="DO272">
        <f>IF(IF(OR(IFERROR(SEARCH("Druid",$T272,1),0)&gt;0,IFERROR(SEARCH(DruidLand1,$T272,1),0)&gt;0,IFERROR(SEARCH(DruidLand2,$T272,1),0)&gt;0,IFERROR(SEARCH(DruidLand3,$T272,1),0)&gt;0,IFERROR(SEARCH(DruidLand4,$T272,1),0)&gt;0),1,0)*IF($C272=DO$2,1,0)=0,0,1+COUNTIF(DO$3:DO271,"&gt;0"))</f>
        <v>0</v>
      </c>
      <c r="DP272">
        <f>IF(IF(OR(IFERROR(SEARCH("Druid",$T272,1),0)&gt;0,IFERROR(SEARCH(DruidLand1,$T272,1),0)&gt;0,IFERROR(SEARCH(DruidLand2,$T272,1),0)&gt;0,IFERROR(SEARCH(DruidLand3,$T272,1),0)&gt;0,IFERROR(SEARCH(DruidLand4,$T272,1),0)&gt;0),1,0)*IF($C272=DP$2,1,0)=0,0,1+COUNTIF(DP$3:DP271,"&gt;0"))</f>
        <v>0</v>
      </c>
      <c r="DQ272">
        <f>IF(IF(OR(IFERROR(SEARCH("Druid",$T272,1),0)&gt;0,IFERROR(SEARCH(DruidLand1,$T272,1),0)&gt;0,IFERROR(SEARCH(DruidLand2,$T272,1),0)&gt;0,IFERROR(SEARCH(DruidLand3,$T272,1),0)&gt;0,IFERROR(SEARCH(DruidLand4,$T272,1),0)&gt;0),1,0)*IF($C272=DQ$2,1,0)=0,0,1+COUNTIF(DQ$3:DQ271,"&gt;0"))</f>
        <v>0</v>
      </c>
      <c r="DR272">
        <f>IF(IF(OR(IFERROR(SEARCH("Druid",$T272,1),0)&gt;0,IFERROR(SEARCH(DruidLand1,$T272,1),0)&gt;0,IFERROR(SEARCH(DruidLand2,$T272,1),0)&gt;0,IFERROR(SEARCH(DruidLand3,$T272,1),0)&gt;0,IFERROR(SEARCH(DruidLand4,$T272,1),0)&gt;0),1,0)*IF($C272=DR$2,1,0)=0,0,1+COUNTIF(DR$3:DR271,"&gt;0"))</f>
        <v>0</v>
      </c>
      <c r="DS272">
        <f>IF(IF(OR(IFERROR(SEARCH("Paladin",$T272,1),0)&gt;0,IFERROR(SEARCH(PaladinOath,$T272,1),0)&gt;0),1,0)*IF($C272=DS$2,1,0)=1,1+COUNTIF(DS$3:DS271,"&gt;0"),0)</f>
        <v>11</v>
      </c>
      <c r="DT272">
        <f>IF(IF(OR(IFERROR(SEARCH("Paladin",$T272,1),0)&gt;0,IFERROR(SEARCH(PaladinOath,$T272,1),0)&gt;0),1,0)*IF($C272=DT$2,1,0)=1,1+COUNTIF(DT$3:DT271,"&gt;0"),0)</f>
        <v>0</v>
      </c>
      <c r="DU272">
        <f>IF(IF(OR(IFERROR(SEARCH("Paladin",$T272,1),0)&gt;0,IFERROR(SEARCH(PaladinOath,$T272,1),0)&gt;0),1,0)*IF($C272=DU$2,1,0)=1,1+COUNTIF(DU$3:DU271,"&gt;0"),0)</f>
        <v>0</v>
      </c>
      <c r="DV272">
        <f>IF(IF(OR(IFERROR(SEARCH("Paladin",$T272,1),0)&gt;0,IFERROR(SEARCH(PaladinOath,$T272,1),0)&gt;0),1,0)*IF($C272=DV$2,1,0)=1,1+COUNTIF(DV$3:DV271,"&gt;0"),0)</f>
        <v>0</v>
      </c>
      <c r="DW272">
        <f>IF(IF(OR(IFERROR(SEARCH("Paladin",$T272,1),0)&gt;0,IFERROR(SEARCH(PaladinOath,$T272,1),0)&gt;0),1,0)*IF($C272=DW$2,1,0)=1,1+COUNTIF(DW$3:DW271,"&gt;0"),0)</f>
        <v>0</v>
      </c>
      <c r="DY272">
        <f t="shared" si="225"/>
        <v>1</v>
      </c>
      <c r="DZ272">
        <f>IF(DY272=0,0,1+MAX(DZ$3:$DZ271))</f>
        <v>270</v>
      </c>
      <c r="EB272">
        <f t="shared" si="239"/>
        <v>0</v>
      </c>
      <c r="EC272">
        <f>IF(EB272=0,0,1+COUNTIF(EC$3:EC271,"&gt;0"))</f>
        <v>0</v>
      </c>
      <c r="ED272" t="str">
        <f t="shared" si="267"/>
        <v/>
      </c>
      <c r="EE272" t="str">
        <f t="shared" si="240"/>
        <v/>
      </c>
      <c r="EG272">
        <f t="shared" si="241"/>
        <v>0</v>
      </c>
      <c r="EH272">
        <f>IF(EG272=0,0,1+COUNTIF(EH$3:EH271,"&gt;0"))</f>
        <v>0</v>
      </c>
      <c r="EI272" t="str">
        <f t="shared" si="268"/>
        <v/>
      </c>
      <c r="EJ272" t="str">
        <f t="shared" si="242"/>
        <v/>
      </c>
      <c r="EL272">
        <f t="shared" si="243"/>
        <v>0</v>
      </c>
      <c r="EM272">
        <f>IF(EL272=0,0,1+COUNTIF(EM$3:EM271,"&gt;0"))</f>
        <v>0</v>
      </c>
      <c r="EN272" t="str">
        <f t="shared" si="269"/>
        <v/>
      </c>
      <c r="EO272" t="str">
        <f t="shared" si="244"/>
        <v/>
      </c>
      <c r="EQ272">
        <f t="shared" si="245"/>
        <v>0</v>
      </c>
      <c r="ER272">
        <f>IF(EQ272=0,0,1+COUNTIF(ER$3:ER271,"&gt;0"))</f>
        <v>0</v>
      </c>
      <c r="ES272" t="str">
        <f t="shared" si="270"/>
        <v/>
      </c>
      <c r="ET272" t="str">
        <f t="shared" si="246"/>
        <v/>
      </c>
      <c r="EV272">
        <f t="shared" si="247"/>
        <v>0</v>
      </c>
      <c r="EW272">
        <f>IF(EV272=0,0,1+COUNTIF(EW$3:EW271,"&gt;0"))</f>
        <v>0</v>
      </c>
      <c r="EX272" t="str">
        <f t="shared" si="271"/>
        <v/>
      </c>
      <c r="EY272" t="str">
        <f t="shared" si="248"/>
        <v/>
      </c>
      <c r="FA272">
        <f t="shared" si="249"/>
        <v>0</v>
      </c>
      <c r="FB272">
        <f>IF(FA272=0,0,1+COUNTIF(FB$3:FB271,"&gt;0"))</f>
        <v>0</v>
      </c>
      <c r="FC272" t="str">
        <f t="shared" si="272"/>
        <v/>
      </c>
      <c r="FD272" t="str">
        <f t="shared" si="250"/>
        <v/>
      </c>
      <c r="FF272">
        <f t="shared" si="251"/>
        <v>0</v>
      </c>
      <c r="FG272">
        <f>IF(FF272=0,0,1+COUNTIF(FG$3:FG271,"&gt;0"))</f>
        <v>0</v>
      </c>
      <c r="FH272" t="str">
        <f t="shared" si="273"/>
        <v/>
      </c>
      <c r="FI272" t="str">
        <f t="shared" si="252"/>
        <v/>
      </c>
      <c r="FK272">
        <f t="shared" si="253"/>
        <v>0</v>
      </c>
      <c r="FL272">
        <f>IF(FK272=0,0,1+COUNTIF(FL$3:FL271,"&gt;0"))</f>
        <v>0</v>
      </c>
      <c r="FM272" t="str">
        <f t="shared" si="274"/>
        <v/>
      </c>
      <c r="FN272" t="str">
        <f t="shared" si="254"/>
        <v/>
      </c>
      <c r="FP272">
        <f t="shared" si="255"/>
        <v>0</v>
      </c>
      <c r="FQ272">
        <f>IF(FP272=0,0,1+COUNTIF(FQ$3:FQ271,"&gt;0"))</f>
        <v>0</v>
      </c>
      <c r="FR272" t="str">
        <f t="shared" si="275"/>
        <v/>
      </c>
      <c r="FS272" t="str">
        <f t="shared" si="256"/>
        <v/>
      </c>
    </row>
    <row r="273" spans="1:175" x14ac:dyDescent="0.25">
      <c r="A273" s="347">
        <f t="shared" si="276"/>
        <v>271</v>
      </c>
      <c r="B273" s="348" t="s">
        <v>2658</v>
      </c>
      <c r="C273" s="348">
        <v>5</v>
      </c>
      <c r="D273" s="347">
        <v>5</v>
      </c>
      <c r="E273" s="627" t="s">
        <v>6952</v>
      </c>
      <c r="F273" s="346"/>
      <c r="G273" s="347" t="str">
        <f>""</f>
        <v/>
      </c>
      <c r="H273" s="347" t="s">
        <v>5293</v>
      </c>
      <c r="I273" s="347" t="s">
        <v>5298</v>
      </c>
      <c r="J273" s="347" t="str">
        <f t="shared" si="226"/>
        <v/>
      </c>
      <c r="K273" s="347" t="s">
        <v>5278</v>
      </c>
      <c r="L273" s="611" t="str">
        <f t="shared" si="227"/>
        <v>V, S, M, a diamond worth at least 500 gp, which the spell consumes</v>
      </c>
      <c r="M273" s="347" t="s">
        <v>2373</v>
      </c>
      <c r="N273" s="347" t="s">
        <v>2387</v>
      </c>
      <c r="O273" s="347" t="s">
        <v>1244</v>
      </c>
      <c r="P273" s="346" t="s">
        <v>5459</v>
      </c>
      <c r="Q273" s="347" t="s">
        <v>5275</v>
      </c>
      <c r="S273" s="346" t="s">
        <v>5802</v>
      </c>
      <c r="T273" s="346" t="str">
        <f t="shared" si="228"/>
        <v xml:space="preserve">Bard, Paladin, Cleric, Life, </v>
      </c>
      <c r="U273" s="347" t="str">
        <f>$B273</f>
        <v>Raise Dead</v>
      </c>
      <c r="V273" s="347" t="str">
        <f>$B273</f>
        <v>Raise Dead</v>
      </c>
      <c r="Z273" s="347" t="str">
        <f>$B273</f>
        <v>Raise Dead</v>
      </c>
      <c r="AE273" t="str">
        <f>IF(IFERROR(MATCH($B273,temp!A$4:A$13,0),0)&gt;0,T08_Spells!AE$2,"")</f>
        <v/>
      </c>
      <c r="AF273" t="str">
        <f>IF(IFERROR(MATCH($B273,temp!B$4:B$13,0),0)&gt;0,T08_Spells!AF$2,"")</f>
        <v/>
      </c>
      <c r="AG273" t="str">
        <f>IF(IFERROR(MATCH($B273,temp!C$4:C$13,0),0)&gt;0,T08_Spells!AG$2,"")</f>
        <v/>
      </c>
      <c r="AH273" t="str">
        <f>IF(IFERROR(MATCH($B273,temp!D$4:D$13,0),0)&gt;0,T08_Spells!AH$2,"")</f>
        <v/>
      </c>
      <c r="AI273" t="str">
        <f>IF(IFERROR(MATCH($B273,temp!E$4:E$13,0),0)&gt;0,T08_Spells!AI$2,"")</f>
        <v/>
      </c>
      <c r="AJ273" t="str">
        <f>IF(IFERROR(MATCH($B273,temp!F$4:F$13,0),0)&gt;0,T08_Spells!AJ$2,"")</f>
        <v/>
      </c>
      <c r="AK273" t="str">
        <f>IF(IFERROR(MATCH($B273,temp!G$4:G$13,0),0)&gt;0,T08_Spells!AK$2,"")</f>
        <v/>
      </c>
      <c r="AL273" t="str">
        <f>IF(IFERROR(MATCH($B273,temp!H$4:H$13,0),0)&gt;0,T08_Spells!AL$2,"")</f>
        <v/>
      </c>
      <c r="AM273" t="str">
        <f>IF(IFERROR(MATCH($B273,temp!I$4:I$13,0),0)&gt;0,T08_Spells!AM$2,"")</f>
        <v/>
      </c>
      <c r="AN273" t="str">
        <f>IF(IFERROR(MATCH($B273,temp!J$4:J$13,0),0)&gt;0,T08_Spells!AN$2,"")</f>
        <v/>
      </c>
      <c r="AO273" t="str">
        <f>IF(IFERROR(MATCH($B273,temp!K$4:K$13,0),0)&gt;0,T08_Spells!AO$2,"")</f>
        <v/>
      </c>
      <c r="AP273" t="str">
        <f>IF(IFERROR(MATCH($B273,temp!L$4:L$13,0),0)&gt;0,T08_Spells!AP$2,"")</f>
        <v/>
      </c>
      <c r="AQ273" t="str">
        <f>IF(IFERROR(MATCH($B273,temp!M$4:M$13,0),0)&gt;0,T08_Spells!AQ$2,"")</f>
        <v/>
      </c>
      <c r="AR273" t="str">
        <f>IF(IFERROR(MATCH($B273,temp!N$4:N$13,0),0)&gt;0,T08_Spells!AR$2,"")</f>
        <v/>
      </c>
      <c r="AS273" t="str">
        <f>IF(IFERROR(MATCH($B273,temp!O$4:O$13,0),0)&gt;0,T08_Spells!AS$2,"")</f>
        <v/>
      </c>
      <c r="AT273" t="str">
        <f>IF(IFERROR(MATCH($B273,temp!P$4:P$13,0),0)&gt;0,T08_Spells!AT$2,"")</f>
        <v/>
      </c>
      <c r="AU273" t="str">
        <f>IF(IFERROR(MATCH($B273,temp!Q$4:Q$13,0),0)&gt;0,T08_Spells!AU$2,"")</f>
        <v>Life</v>
      </c>
      <c r="AV273" t="str">
        <f>IF(IFERROR(MATCH($B273,temp!R$4:R$13,0),0)&gt;0,T08_Spells!AV$2,"")</f>
        <v/>
      </c>
      <c r="AW273" t="str">
        <f>IF(IFERROR(MATCH($B273,temp!S$4:S$13,0),0)&gt;0,T08_Spells!AW$2,"")</f>
        <v/>
      </c>
      <c r="AX273" t="str">
        <f>IF(IFERROR(MATCH($B273,temp!T$4:T$13,0),0)&gt;0,T08_Spells!AX$2,"")</f>
        <v/>
      </c>
      <c r="AY273" t="str">
        <f>IF(IFERROR(MATCH($B273,temp!U$4:U$13,0),0)&gt;0,T08_Spells!AY$2,"")</f>
        <v/>
      </c>
      <c r="AZ273" t="str">
        <f>IF(IFERROR(MATCH($B273,temp!V$4:V$13,0),0)&gt;0,T08_Spells!AZ$2,"")</f>
        <v/>
      </c>
      <c r="BA273" t="str">
        <f>IF(IFERROR(MATCH($B273,temp!W$4:W$13,0),0)&gt;0,T08_Spells!BA$2,"")</f>
        <v/>
      </c>
      <c r="BC273">
        <f>IF(IFERROR(SEARCH("Ranger",$T273,1),0)&gt;0,1,0)*IF(RangerMaxSpellLevel&gt;=$C273,1,0)*IF(IFERROR(MATCH(B273,Character_Creation!$X$79:$X$382,0),0)&gt;0,0,1)</f>
        <v>0</v>
      </c>
      <c r="BD273">
        <f>IF(BC273=0,0,1+COUNTIF(BD$3:BD272,"&gt;0"))</f>
        <v>0</v>
      </c>
      <c r="BE273" t="str">
        <f t="shared" si="257"/>
        <v/>
      </c>
      <c r="BF273" t="str">
        <f t="shared" si="229"/>
        <v/>
      </c>
      <c r="BH273">
        <f>IF(IFERROR(SEARCH("Sorcerer",$T273,1),0)&gt;0,1,0)*IF(SorcererMaxSpellLevel&gt;=$C273,1,0)*IF(IFERROR(MATCH(B273,Character_Creation!$J$380:$J$394,0),0)&gt;0,0,1)</f>
        <v>0</v>
      </c>
      <c r="BI273">
        <f>IF(BH273=0,0,1+COUNTIF(BI$3:BI272,"&gt;0"))</f>
        <v>0</v>
      </c>
      <c r="BJ273" t="str">
        <f t="shared" si="258"/>
        <v/>
      </c>
      <c r="BK273" t="str">
        <f t="shared" si="230"/>
        <v/>
      </c>
      <c r="BM273">
        <f>IF(OR(IFERROR(SEARCH("Warlock",$T273,1),0)&gt;0,IFERROR(SEARCH(WarlockPatron,$T273,1),0)&gt;0),1,0)*IF(WarlockMaxSpellLevel&gt;=$C273,1,0)*IF(IFERROR(MATCH(B273,Character_Creation!$J$361:$J$375,0),0)&gt;0,0,1)</f>
        <v>0</v>
      </c>
      <c r="BN273">
        <f>IF(BM273=0,0,1+COUNTIF(BN$3:BN272,"&gt;0"))</f>
        <v>0</v>
      </c>
      <c r="BO273" t="str">
        <f t="shared" si="259"/>
        <v/>
      </c>
      <c r="BP273" t="str">
        <f t="shared" si="231"/>
        <v/>
      </c>
      <c r="BR273">
        <f>IF(IFERROR(SEARCH("Eldritch Knight",$T273,1),0)&gt;0,1,0)*IF(EldritchKnightMaxSpellLevel&gt;=$C273,1,0)*IF(IFERROR(MATCH($B273,Character_Creation!$J$350:$J$356,0),0)&gt;0,0,1)*IF(Character_Creation!$M$338&gt;0,1,0)</f>
        <v>0</v>
      </c>
      <c r="BS273">
        <f>IF(BR273=0,0,1+COUNTIF(BS$3:BS272,"&gt;0"))</f>
        <v>0</v>
      </c>
      <c r="BT273" t="str">
        <f t="shared" si="260"/>
        <v/>
      </c>
      <c r="BU273" t="str">
        <f t="shared" si="232"/>
        <v/>
      </c>
      <c r="BW273">
        <f>IF(IFERROR(SEARCH("Arcane Trickster",$T273,1),0)&gt;0,1,0)*IF(ArcaneTricksterMaxSpellLevel&gt;=$C273,1,0)*IF(IFERROR(MATCH($B273,Character_Creation!$J$350:$J$356,0),0)&gt;0,0,1)*IF(Character_Creation!$T$338&gt;0,1,0)</f>
        <v>0</v>
      </c>
      <c r="BX273">
        <f>IF(BW273=0,0,1+COUNTIF(BX$3:BX272,"&gt;0"))</f>
        <v>0</v>
      </c>
      <c r="BY273" t="str">
        <f t="shared" si="261"/>
        <v/>
      </c>
      <c r="BZ273" t="str">
        <f t="shared" si="233"/>
        <v/>
      </c>
      <c r="CB273">
        <f>IF(IFERROR(SEARCH("Wizard",$T273,1),0)&gt;0,1,0)*IF(C273&lt;=ArcaneTricksterMaxSpellLevel,1,0)*IF(IFERROR(MATCH($B273,Character_Creation!$J$350:$J$356,0),0)&gt;0,0,1)*IF(Character_Creation!$T$350&gt;0,1,0)</f>
        <v>0</v>
      </c>
      <c r="CC273">
        <f>IF(CB273=0,0,1+COUNTIF(CC$3:CC272,"&gt;0"))</f>
        <v>0</v>
      </c>
      <c r="CD273" t="str">
        <f t="shared" si="262"/>
        <v/>
      </c>
      <c r="CE273" t="str">
        <f t="shared" si="234"/>
        <v/>
      </c>
      <c r="CG273">
        <f>IF(IFERROR(SEARCH("Wizard",$T273,1),0)&gt;0,1,0)*IF($C273&lt;=EldritchKnightMaxSpellLevel,1,0)*IF(IFERROR(MATCH($B273,Character_Creation!$J$350:$J$356,0),0)&gt;0,0,1)*IF(Character_Creation!$M$350&gt;0,1,0)</f>
        <v>0</v>
      </c>
      <c r="CH273">
        <f>IF(CG273=0,0,1+COUNTIF(CH$3:CH272,"&gt;0"))</f>
        <v>0</v>
      </c>
      <c r="CI273" t="str">
        <f t="shared" si="263"/>
        <v/>
      </c>
      <c r="CJ273" t="str">
        <f t="shared" si="235"/>
        <v/>
      </c>
      <c r="CL273">
        <f>IF(IFERROR(SEARCH("Bard",$T273,1),0)&gt;0,1,0)*IF(BardMaxSpellLevel&gt;=$C273,1,0)*IF(IFERROR(MATCH(B273,Character_Creation!$C$341:$F$362,0),0)&gt;0,0,1)*IF(IFERROR(MATCH($B273,Character_Creation!$C$341:$C$362,0),0)&gt;0,0,1)</f>
        <v>0</v>
      </c>
      <c r="CM273">
        <f>IF(CL273=0,0,1+COUNTIF(CM$3:CM272,"&gt;0"))</f>
        <v>0</v>
      </c>
      <c r="CN273" t="str">
        <f t="shared" si="264"/>
        <v/>
      </c>
      <c r="CO273" t="str">
        <f t="shared" si="236"/>
        <v/>
      </c>
      <c r="CQ273">
        <f>IF(IFERROR(SEARCH("Wizard",$T273,1),0)&gt;0,1,0)*IF(WizardMaxSpellLevel&gt;=$C273,1,0)*IF(IFERROR(MATCH(B273,Character_Creation!$X$341:$X$400,0),0)&gt;0,0,1)*IF(SelectedWizardSpellLevel=$C273,1,0)</f>
        <v>0</v>
      </c>
      <c r="CR273">
        <f>IF(CQ273=0,0,1+COUNTIF(CR$3:CR272,"&gt;0"))</f>
        <v>0</v>
      </c>
      <c r="CS273" t="str">
        <f t="shared" si="265"/>
        <v/>
      </c>
      <c r="CT273" t="str">
        <f t="shared" si="237"/>
        <v/>
      </c>
      <c r="CV273">
        <f>IF(IFERROR(MATCH($B273,Character_Creation!$C$341:$C$362,0),0)&gt;0,0,1)*IF(OR(C273="Cantrip",C273&lt;=BardMaxSpellLevel),1,0)*IF(IFERROR(MATCH($B273,Character_Creation!$C$367:$C$374,0),0)&gt;0,0,1)</f>
        <v>0</v>
      </c>
      <c r="CW273">
        <f>IF(CV273=0,0,1+COUNTIF(CW$3:CW272,"&gt;0"))</f>
        <v>0</v>
      </c>
      <c r="CX273" t="str">
        <f t="shared" si="266"/>
        <v/>
      </c>
      <c r="CY273" t="str">
        <f t="shared" si="238"/>
        <v/>
      </c>
      <c r="DA273">
        <f>IF(IF(OR(IFERROR(SEARCH("Cleric",$T273,1),0)&gt;0,IFERROR(SEARCH(DivineDomain&amp;",",$T273,1),0)&gt;0),1,0)*IF($C273=DA$2,1,0)=1,1+COUNTIF(DA$3:DA272,"&gt;0"),0)</f>
        <v>0</v>
      </c>
      <c r="DB273">
        <f>IF(IF(OR(IFERROR(SEARCH("Cleric",$T273,1),0)&gt;0,IFERROR(SEARCH(DivineDomain&amp;",",$T273,1),0)&gt;0),1,0)*IF($C273=DB$2,1,0)=1,1+COUNTIF(DB$3:DB272,"&gt;0"),0)</f>
        <v>0</v>
      </c>
      <c r="DC273">
        <f>IF(IF(OR(IFERROR(SEARCH("Cleric",$T273,1),0)&gt;0,IFERROR(SEARCH(DivineDomain&amp;",",$T273,1),0)&gt;0),1,0)*IF($C273=DC$2,1,0)=1,1+COUNTIF(DC$3:DC272,"&gt;0"),0)</f>
        <v>0</v>
      </c>
      <c r="DD273">
        <f>IF(IF(OR(IFERROR(SEARCH("Cleric",$T273,1),0)&gt;0,IFERROR(SEARCH(DivineDomain&amp;",",$T273,1),0)&gt;0),1,0)*IF($C273=DD$2,1,0)=1,1+COUNTIF(DD$3:DD272,"&gt;0"),0)</f>
        <v>0</v>
      </c>
      <c r="DE273">
        <f>IF(IF(OR(IFERROR(SEARCH("Cleric",$T273,1),0)&gt;0,IFERROR(SEARCH(DivineDomain&amp;",",$T273,1),0)&gt;0),1,0)*IF($C273=DE$2,1,0)=1,1+COUNTIF(DE$3:DE272,"&gt;0"),0)</f>
        <v>12</v>
      </c>
      <c r="DF273">
        <f>IF(IF(OR(IFERROR(SEARCH("Cleric",$T273,1),0)&gt;0,IFERROR(SEARCH(DivineDomain&amp;",",$T273,1),0)&gt;0),1,0)*IF($C273=DF$2,1,0)=1,1+COUNTIF(DF$3:DF272,"&gt;0"),0)</f>
        <v>0</v>
      </c>
      <c r="DG273">
        <f>IF(IF(OR(IFERROR(SEARCH("Cleric",$T273,1),0)&gt;0,IFERROR(SEARCH(DivineDomain&amp;",",$T273,1),0)&gt;0),1,0)*IF($C273=DG$2,1,0)=1,1+COUNTIF(DG$3:DG272,"&gt;0"),0)</f>
        <v>0</v>
      </c>
      <c r="DH273">
        <f>IF(IF(OR(IFERROR(SEARCH("Cleric",$T273,1),0)&gt;0,IFERROR(SEARCH(DivineDomain&amp;",",$T273,1),0)&gt;0),1,0)*IF($C273=DH$2,1,0)=1,1+COUNTIF(DH$3:DH272,"&gt;0"),0)</f>
        <v>0</v>
      </c>
      <c r="DI273">
        <f>IF(IF(OR(IFERROR(SEARCH("Cleric",$T273,1),0)&gt;0,IFERROR(SEARCH(DivineDomain&amp;",",$T273,1),0)&gt;0),1,0)*IF($C273=DI$2,1,0)=1,1+COUNTIF(DI$3:DI272,"&gt;0"),0)</f>
        <v>0</v>
      </c>
      <c r="DJ273">
        <f>IF(IF(OR(IFERROR(SEARCH("Druid",$T273,1),0)&gt;0,IFERROR(SEARCH(DruidLand1,$T273,1),0)&gt;0,IFERROR(SEARCH(DruidLand2,$T273,1),0)&gt;0,IFERROR(SEARCH(DruidLand3,$T273,1),0)&gt;0,IFERROR(SEARCH(DruidLand4,$T273,1),0)&gt;0),1,0)*IF($C273=1,1,0)*IF($C273=DJ$2,1,0)=0,0,1+COUNTIF(DJ$3:DJ272,"&gt;0"))</f>
        <v>0</v>
      </c>
      <c r="DK273">
        <f>IF(IF(OR(IFERROR(SEARCH("Druid",$T273,1),0)&gt;0,IFERROR(SEARCH(DruidLand1,$T273,1),0)&gt;0,IFERROR(SEARCH(DruidLand2,$T273,1),0)&gt;0,IFERROR(SEARCH(DruidLand3,$T273,1),0)&gt;0,IFERROR(SEARCH(DruidLand4,$T273,1),0)&gt;0),1,0)*IF($C273=1,1,0)*IF($C273=DK$2,1,0)=0,0,1+COUNTIF(DK$3:DK272,"&gt;0"))</f>
        <v>0</v>
      </c>
      <c r="DL273">
        <f>IF(IF(OR(IFERROR(SEARCH("Druid",$T273,1),0)&gt;0,IFERROR(SEARCH(DruidLand1,$T273,1),0)&gt;0,IFERROR(SEARCH(DruidLand2,$T273,1),0)&gt;0,IFERROR(SEARCH(DruidLand3,$T273,1),0)&gt;0,IFERROR(SEARCH(DruidLand4,$T273,1),0)&gt;0),1,0)*IF($C273=1,1,0)*IF($C273=DL$2,1,0)=0,0,1+COUNTIF(DL$3:DL272,"&gt;0"))</f>
        <v>0</v>
      </c>
      <c r="DM273">
        <f>IF(IF(OR(IFERROR(SEARCH("Druid",$T273,1),0)&gt;0,IFERROR(SEARCH(DruidLand1,$T273,1),0)&gt;0,IFERROR(SEARCH(DruidLand2,$T273,1),0)&gt;0,IFERROR(SEARCH(DruidLand3,$T273,1),0)&gt;0,IFERROR(SEARCH(DruidLand4,$T273,1),0)&gt;0),1,0)*IF($C273=1,1,0)*IF($C273=DM$2,1,0)=0,0,1+COUNTIF(DM$3:DM272,"&gt;0"))</f>
        <v>0</v>
      </c>
      <c r="DN273">
        <f>IF(IF(OR(IFERROR(SEARCH("Druid",$T273,1),0)&gt;0,IFERROR(SEARCH(DruidLand1,$T273,1),0)&gt;0,IFERROR(SEARCH(DruidLand2,$T273,1),0)&gt;0,IFERROR(SEARCH(DruidLand3,$T273,1),0)&gt;0,IFERROR(SEARCH(DruidLand4,$T273,1),0)&gt;0),1,0)*IF($C273=1,1,0)*IF($C273=DN$2,1,0)=0,0,1+COUNTIF(DN$3:DN272,"&gt;0"))</f>
        <v>0</v>
      </c>
      <c r="DO273">
        <f>IF(IF(OR(IFERROR(SEARCH("Druid",$T273,1),0)&gt;0,IFERROR(SEARCH(DruidLand1,$T273,1),0)&gt;0,IFERROR(SEARCH(DruidLand2,$T273,1),0)&gt;0,IFERROR(SEARCH(DruidLand3,$T273,1),0)&gt;0,IFERROR(SEARCH(DruidLand4,$T273,1),0)&gt;0),1,0)*IF($C273=1,1,0)*IF($C273=DO$2,1,0)=0,0,1+COUNTIF(DO$3:DO272,"&gt;0"))</f>
        <v>0</v>
      </c>
      <c r="DP273">
        <f>IF(IF(OR(IFERROR(SEARCH("Druid",$T273,1),0)&gt;0,IFERROR(SEARCH(DruidLand1,$T273,1),0)&gt;0,IFERROR(SEARCH(DruidLand2,$T273,1),0)&gt;0,IFERROR(SEARCH(DruidLand3,$T273,1),0)&gt;0,IFERROR(SEARCH(DruidLand4,$T273,1),0)&gt;0),1,0)*IF($C273=1,1,0)*IF($C273=DP$2,1,0)=0,0,1+COUNTIF(DP$3:DP272,"&gt;0"))</f>
        <v>0</v>
      </c>
      <c r="DQ273">
        <f>IF(IF(OR(IFERROR(SEARCH("Druid",$T273,1),0)&gt;0,IFERROR(SEARCH(DruidLand1,$T273,1),0)&gt;0,IFERROR(SEARCH(DruidLand2,$T273,1),0)&gt;0,IFERROR(SEARCH(DruidLand3,$T273,1),0)&gt;0,IFERROR(SEARCH(DruidLand4,$T273,1),0)&gt;0),1,0)*IF($C273=1,1,0)*IF($C273=DQ$2,1,0)=0,0,1+COUNTIF(DQ$3:DQ272,"&gt;0"))</f>
        <v>0</v>
      </c>
      <c r="DR273">
        <f>IF(IF(OR(IFERROR(SEARCH("Druid",$T273,1),0)&gt;0,IFERROR(SEARCH(DruidLand1,$T273,1),0)&gt;0,IFERROR(SEARCH(DruidLand2,$T273,1),0)&gt;0,IFERROR(SEARCH(DruidLand3,$T273,1),0)&gt;0,IFERROR(SEARCH(DruidLand4,$T273,1),0)&gt;0),1,0)*IF($C273=1,1,0)*IF($C273=DR$2,1,0)=0,0,1+COUNTIF(DR$3:DR272,"&gt;0"))</f>
        <v>0</v>
      </c>
      <c r="DS273">
        <f>IF(IF(OR(IFERROR(SEARCH("Paladin",$T273,1),0)&gt;0,IFERROR(SEARCH(PaladinOath,$T273,1),0)&gt;0),1,0)*IF($C273=DS$2,1,0)=1,1+COUNTIF(DS$3:DS272,"&gt;0"),0)</f>
        <v>0</v>
      </c>
      <c r="DT273">
        <f>IF(IF(OR(IFERROR(SEARCH("Paladin",$T273,1),0)&gt;0,IFERROR(SEARCH(PaladinOath,$T273,1),0)&gt;0),1,0)*IF($C273=DT$2,1,0)=1,1+COUNTIF(DT$3:DT272,"&gt;0"),0)</f>
        <v>0</v>
      </c>
      <c r="DU273">
        <f>IF(IF(OR(IFERROR(SEARCH("Paladin",$T273,1),0)&gt;0,IFERROR(SEARCH(PaladinOath,$T273,1),0)&gt;0),1,0)*IF($C273=DU$2,1,0)=1,1+COUNTIF(DU$3:DU272,"&gt;0"),0)</f>
        <v>0</v>
      </c>
      <c r="DV273">
        <f>IF(IF(OR(IFERROR(SEARCH("Paladin",$T273,1),0)&gt;0,IFERROR(SEARCH(PaladinOath,$T273,1),0)&gt;0),1,0)*IF($C273=DV$2,1,0)=1,1+COUNTIF(DV$3:DV272,"&gt;0"),0)</f>
        <v>0</v>
      </c>
      <c r="DW273">
        <f>IF(IF(OR(IFERROR(SEARCH("Paladin",$T273,1),0)&gt;0,IFERROR(SEARCH(PaladinOath,$T273,1),0)&gt;0),1,0)*IF($C273=DW$2,1,0)=1,1+COUNTIF(DW$3:DW272,"&gt;0"),0)</f>
        <v>6</v>
      </c>
      <c r="DY273">
        <f t="shared" si="225"/>
        <v>1</v>
      </c>
      <c r="DZ273">
        <f>IF(DY273=0,0,1+MAX(DZ$3:$DZ272))</f>
        <v>271</v>
      </c>
      <c r="EB273">
        <f t="shared" si="239"/>
        <v>0</v>
      </c>
      <c r="EC273">
        <f>IF(EB273=0,0,1+COUNTIF(EC$3:EC272,"&gt;0"))</f>
        <v>0</v>
      </c>
      <c r="ED273" t="str">
        <f t="shared" si="267"/>
        <v/>
      </c>
      <c r="EE273" t="str">
        <f t="shared" si="240"/>
        <v/>
      </c>
      <c r="EG273">
        <f t="shared" si="241"/>
        <v>0</v>
      </c>
      <c r="EH273">
        <f>IF(EG273=0,0,1+COUNTIF(EH$3:EH272,"&gt;0"))</f>
        <v>0</v>
      </c>
      <c r="EI273" t="str">
        <f t="shared" si="268"/>
        <v/>
      </c>
      <c r="EJ273" t="str">
        <f t="shared" si="242"/>
        <v/>
      </c>
      <c r="EL273">
        <f t="shared" si="243"/>
        <v>0</v>
      </c>
      <c r="EM273">
        <f>IF(EL273=0,0,1+COUNTIF(EM$3:EM272,"&gt;0"))</f>
        <v>0</v>
      </c>
      <c r="EN273" t="str">
        <f t="shared" si="269"/>
        <v/>
      </c>
      <c r="EO273" t="str">
        <f t="shared" si="244"/>
        <v/>
      </c>
      <c r="EQ273">
        <f t="shared" si="245"/>
        <v>0</v>
      </c>
      <c r="ER273">
        <f>IF(EQ273=0,0,1+COUNTIF(ER$3:ER272,"&gt;0"))</f>
        <v>0</v>
      </c>
      <c r="ES273" t="str">
        <f t="shared" si="270"/>
        <v/>
      </c>
      <c r="ET273" t="str">
        <f t="shared" si="246"/>
        <v/>
      </c>
      <c r="EV273">
        <f t="shared" si="247"/>
        <v>0</v>
      </c>
      <c r="EW273">
        <f>IF(EV273=0,0,1+COUNTIF(EW$3:EW272,"&gt;0"))</f>
        <v>0</v>
      </c>
      <c r="EX273" t="str">
        <f t="shared" si="271"/>
        <v/>
      </c>
      <c r="EY273" t="str">
        <f t="shared" si="248"/>
        <v/>
      </c>
      <c r="FA273">
        <f t="shared" si="249"/>
        <v>0</v>
      </c>
      <c r="FB273">
        <f>IF(FA273=0,0,1+COUNTIF(FB$3:FB272,"&gt;0"))</f>
        <v>0</v>
      </c>
      <c r="FC273" t="str">
        <f t="shared" si="272"/>
        <v/>
      </c>
      <c r="FD273" t="str">
        <f t="shared" si="250"/>
        <v/>
      </c>
      <c r="FF273">
        <f t="shared" si="251"/>
        <v>0</v>
      </c>
      <c r="FG273">
        <f>IF(FF273=0,0,1+COUNTIF(FG$3:FG272,"&gt;0"))</f>
        <v>0</v>
      </c>
      <c r="FH273" t="str">
        <f t="shared" si="273"/>
        <v/>
      </c>
      <c r="FI273" t="str">
        <f t="shared" si="252"/>
        <v/>
      </c>
      <c r="FK273">
        <f t="shared" si="253"/>
        <v>0</v>
      </c>
      <c r="FL273">
        <f>IF(FK273=0,0,1+COUNTIF(FL$3:FL272,"&gt;0"))</f>
        <v>0</v>
      </c>
      <c r="FM273" t="str">
        <f t="shared" si="274"/>
        <v/>
      </c>
      <c r="FN273" t="str">
        <f t="shared" si="254"/>
        <v/>
      </c>
      <c r="FP273">
        <f t="shared" si="255"/>
        <v>0</v>
      </c>
      <c r="FQ273">
        <f>IF(FP273=0,0,1+COUNTIF(FQ$3:FQ272,"&gt;0"))</f>
        <v>0</v>
      </c>
      <c r="FR273" t="str">
        <f t="shared" si="275"/>
        <v/>
      </c>
      <c r="FS273" t="str">
        <f t="shared" si="256"/>
        <v/>
      </c>
    </row>
    <row r="274" spans="1:175" x14ac:dyDescent="0.25">
      <c r="A274" s="347">
        <f t="shared" si="276"/>
        <v>272</v>
      </c>
      <c r="B274" s="348" t="s">
        <v>2659</v>
      </c>
      <c r="C274" s="348">
        <v>5</v>
      </c>
      <c r="D274" s="347">
        <v>5</v>
      </c>
      <c r="E274" s="627" t="s">
        <v>6952</v>
      </c>
      <c r="F274" s="346"/>
      <c r="G274" s="347" t="s">
        <v>5269</v>
      </c>
      <c r="H274" s="347" t="s">
        <v>5913</v>
      </c>
      <c r="I274" s="347" t="s">
        <v>5060</v>
      </c>
      <c r="J274" s="347" t="str">
        <f t="shared" si="226"/>
        <v/>
      </c>
      <c r="K274" s="347" t="s">
        <v>5293</v>
      </c>
      <c r="L274" s="611" t="str">
        <f t="shared" si="227"/>
        <v>V, S, M, pieces of eggshell from two different kinds of creatures</v>
      </c>
      <c r="M274" s="347" t="s">
        <v>2373</v>
      </c>
      <c r="N274" s="347" t="s">
        <v>2387</v>
      </c>
      <c r="O274" s="347" t="s">
        <v>1244</v>
      </c>
      <c r="P274" s="346" t="s">
        <v>5460</v>
      </c>
      <c r="Q274" s="347" t="s">
        <v>2473</v>
      </c>
      <c r="S274" s="346" t="s">
        <v>5803</v>
      </c>
      <c r="T274" s="346" t="str">
        <f t="shared" si="228"/>
        <v xml:space="preserve">Wizard, </v>
      </c>
      <c r="AD274" s="347" t="str">
        <f>$B274</f>
        <v>Rary's Telepathic Bond</v>
      </c>
      <c r="AE274" t="str">
        <f>IF(IFERROR(MATCH($B274,temp!A$4:A$13,0),0)&gt;0,T08_Spells!AE$2,"")</f>
        <v/>
      </c>
      <c r="AF274" t="str">
        <f>IF(IFERROR(MATCH($B274,temp!B$4:B$13,0),0)&gt;0,T08_Spells!AF$2,"")</f>
        <v/>
      </c>
      <c r="AG274" t="str">
        <f>IF(IFERROR(MATCH($B274,temp!C$4:C$13,0),0)&gt;0,T08_Spells!AG$2,"")</f>
        <v/>
      </c>
      <c r="AH274" t="str">
        <f>IF(IFERROR(MATCH($B274,temp!D$4:D$13,0),0)&gt;0,T08_Spells!AH$2,"")</f>
        <v/>
      </c>
      <c r="AI274" t="str">
        <f>IF(IFERROR(MATCH($B274,temp!E$4:E$13,0),0)&gt;0,T08_Spells!AI$2,"")</f>
        <v/>
      </c>
      <c r="AJ274" t="str">
        <f>IF(IFERROR(MATCH($B274,temp!F$4:F$13,0),0)&gt;0,T08_Spells!AJ$2,"")</f>
        <v/>
      </c>
      <c r="AK274" t="str">
        <f>IF(IFERROR(MATCH($B274,temp!G$4:G$13,0),0)&gt;0,T08_Spells!AK$2,"")</f>
        <v/>
      </c>
      <c r="AL274" t="str">
        <f>IF(IFERROR(MATCH($B274,temp!H$4:H$13,0),0)&gt;0,T08_Spells!AL$2,"")</f>
        <v/>
      </c>
      <c r="AM274" t="str">
        <f>IF(IFERROR(MATCH($B274,temp!I$4:I$13,0),0)&gt;0,T08_Spells!AM$2,"")</f>
        <v/>
      </c>
      <c r="AN274" t="str">
        <f>IF(IFERROR(MATCH($B274,temp!J$4:J$13,0),0)&gt;0,T08_Spells!AN$2,"")</f>
        <v/>
      </c>
      <c r="AO274" t="str">
        <f>IF(IFERROR(MATCH($B274,temp!K$4:K$13,0),0)&gt;0,T08_Spells!AO$2,"")</f>
        <v/>
      </c>
      <c r="AP274" t="str">
        <f>IF(IFERROR(MATCH($B274,temp!L$4:L$13,0),0)&gt;0,T08_Spells!AP$2,"")</f>
        <v/>
      </c>
      <c r="AQ274" t="str">
        <f>IF(IFERROR(MATCH($B274,temp!M$4:M$13,0),0)&gt;0,T08_Spells!AQ$2,"")</f>
        <v/>
      </c>
      <c r="AR274" t="str">
        <f>IF(IFERROR(MATCH($B274,temp!N$4:N$13,0),0)&gt;0,T08_Spells!AR$2,"")</f>
        <v/>
      </c>
      <c r="AS274" t="str">
        <f>IF(IFERROR(MATCH($B274,temp!O$4:O$13,0),0)&gt;0,T08_Spells!AS$2,"")</f>
        <v/>
      </c>
      <c r="AT274" t="str">
        <f>IF(IFERROR(MATCH($B274,temp!P$4:P$13,0),0)&gt;0,T08_Spells!AT$2,"")</f>
        <v/>
      </c>
      <c r="AU274" t="str">
        <f>IF(IFERROR(MATCH($B274,temp!Q$4:Q$13,0),0)&gt;0,T08_Spells!AU$2,"")</f>
        <v/>
      </c>
      <c r="AV274" t="str">
        <f>IF(IFERROR(MATCH($B274,temp!R$4:R$13,0),0)&gt;0,T08_Spells!AV$2,"")</f>
        <v/>
      </c>
      <c r="AW274" t="str">
        <f>IF(IFERROR(MATCH($B274,temp!S$4:S$13,0),0)&gt;0,T08_Spells!AW$2,"")</f>
        <v/>
      </c>
      <c r="AX274" t="str">
        <f>IF(IFERROR(MATCH($B274,temp!T$4:T$13,0),0)&gt;0,T08_Spells!AX$2,"")</f>
        <v/>
      </c>
      <c r="AY274" t="str">
        <f>IF(IFERROR(MATCH($B274,temp!U$4:U$13,0),0)&gt;0,T08_Spells!AY$2,"")</f>
        <v/>
      </c>
      <c r="AZ274" t="str">
        <f>IF(IFERROR(MATCH($B274,temp!V$4:V$13,0),0)&gt;0,T08_Spells!AZ$2,"")</f>
        <v/>
      </c>
      <c r="BA274" t="str">
        <f>IF(IFERROR(MATCH($B274,temp!W$4:W$13,0),0)&gt;0,T08_Spells!BA$2,"")</f>
        <v/>
      </c>
      <c r="BC274">
        <f>IF(IFERROR(SEARCH("Ranger",$T274,1),0)&gt;0,1,0)*IF(RangerMaxSpellLevel&gt;=$C274,1,0)*IF(IFERROR(MATCH(B274,Character_Creation!$X$79:$X$382,0),0)&gt;0,0,1)</f>
        <v>0</v>
      </c>
      <c r="BD274">
        <f>IF(BC274=0,0,1+COUNTIF(BD$3:BD273,"&gt;0"))</f>
        <v>0</v>
      </c>
      <c r="BE274" t="str">
        <f t="shared" si="257"/>
        <v/>
      </c>
      <c r="BF274" t="str">
        <f t="shared" si="229"/>
        <v/>
      </c>
      <c r="BH274">
        <f>IF(IFERROR(SEARCH("Sorcerer",$T274,1),0)&gt;0,1,0)*IF(SorcererMaxSpellLevel&gt;=$C274,1,0)*IF(IFERROR(MATCH(B274,Character_Creation!$J$380:$J$394,0),0)&gt;0,0,1)</f>
        <v>0</v>
      </c>
      <c r="BI274">
        <f>IF(BH274=0,0,1+COUNTIF(BI$3:BI273,"&gt;0"))</f>
        <v>0</v>
      </c>
      <c r="BJ274" t="str">
        <f t="shared" si="258"/>
        <v/>
      </c>
      <c r="BK274" t="str">
        <f t="shared" si="230"/>
        <v/>
      </c>
      <c r="BM274">
        <f>IF(OR(IFERROR(SEARCH("Warlock",$T274,1),0)&gt;0,IFERROR(SEARCH(WarlockPatron,$T274,1),0)&gt;0),1,0)*IF(WarlockMaxSpellLevel&gt;=$C274,1,0)*IF(IFERROR(MATCH(B274,Character_Creation!$J$361:$J$375,0),0)&gt;0,0,1)</f>
        <v>0</v>
      </c>
      <c r="BN274">
        <f>IF(BM274=0,0,1+COUNTIF(BN$3:BN273,"&gt;0"))</f>
        <v>0</v>
      </c>
      <c r="BO274" t="str">
        <f t="shared" si="259"/>
        <v/>
      </c>
      <c r="BP274" t="str">
        <f t="shared" si="231"/>
        <v/>
      </c>
      <c r="BR274">
        <f>IF(IFERROR(SEARCH("Eldritch Knight",$T274,1),0)&gt;0,1,0)*IF(EldritchKnightMaxSpellLevel&gt;=$C274,1,0)*IF(IFERROR(MATCH($B274,Character_Creation!$J$350:$J$356,0),0)&gt;0,0,1)*IF(Character_Creation!$M$338&gt;0,1,0)</f>
        <v>0</v>
      </c>
      <c r="BS274">
        <f>IF(BR274=0,0,1+COUNTIF(BS$3:BS273,"&gt;0"))</f>
        <v>0</v>
      </c>
      <c r="BT274" t="str">
        <f t="shared" si="260"/>
        <v/>
      </c>
      <c r="BU274" t="str">
        <f t="shared" si="232"/>
        <v/>
      </c>
      <c r="BW274">
        <f>IF(IFERROR(SEARCH("Arcane Trickster",$T274,1),0)&gt;0,1,0)*IF(ArcaneTricksterMaxSpellLevel&gt;=$C274,1,0)*IF(IFERROR(MATCH($B274,Character_Creation!$J$350:$J$356,0),0)&gt;0,0,1)*IF(Character_Creation!$T$338&gt;0,1,0)</f>
        <v>0</v>
      </c>
      <c r="BX274">
        <f>IF(BW274=0,0,1+COUNTIF(BX$3:BX273,"&gt;0"))</f>
        <v>0</v>
      </c>
      <c r="BY274" t="str">
        <f t="shared" si="261"/>
        <v/>
      </c>
      <c r="BZ274" t="str">
        <f t="shared" si="233"/>
        <v/>
      </c>
      <c r="CB274">
        <f>IF(IFERROR(SEARCH("Wizard",$T274,1),0)&gt;0,1,0)*IF(C274&lt;=ArcaneTricksterMaxSpellLevel,1,0)*IF(IFERROR(MATCH($B274,Character_Creation!$J$350:$J$356,0),0)&gt;0,0,1)*IF(Character_Creation!$T$350&gt;0,1,0)</f>
        <v>0</v>
      </c>
      <c r="CC274">
        <f>IF(CB274=0,0,1+COUNTIF(CC$3:CC273,"&gt;0"))</f>
        <v>0</v>
      </c>
      <c r="CD274" t="str">
        <f t="shared" si="262"/>
        <v/>
      </c>
      <c r="CE274" t="str">
        <f t="shared" si="234"/>
        <v/>
      </c>
      <c r="CG274">
        <f>IF(IFERROR(SEARCH("Wizard",$T274,1),0)&gt;0,1,0)*IF($C274&lt;=EldritchKnightMaxSpellLevel,1,0)*IF(IFERROR(MATCH($B274,Character_Creation!$J$350:$J$356,0),0)&gt;0,0,1)*IF(Character_Creation!$M$350&gt;0,1,0)</f>
        <v>0</v>
      </c>
      <c r="CH274">
        <f>IF(CG274=0,0,1+COUNTIF(CH$3:CH273,"&gt;0"))</f>
        <v>0</v>
      </c>
      <c r="CI274" t="str">
        <f t="shared" si="263"/>
        <v/>
      </c>
      <c r="CJ274" t="str">
        <f t="shared" si="235"/>
        <v/>
      </c>
      <c r="CL274">
        <f>IF(IFERROR(SEARCH("Bard",$T274,1),0)&gt;0,1,0)*IF(BardMaxSpellLevel&gt;=$C274,1,0)*IF(IFERROR(MATCH(B274,Character_Creation!$C$341:$F$362,0),0)&gt;0,0,1)*IF(IFERROR(MATCH($B274,Character_Creation!$C$341:$C$362,0),0)&gt;0,0,1)</f>
        <v>0</v>
      </c>
      <c r="CM274">
        <f>IF(CL274=0,0,1+COUNTIF(CM$3:CM273,"&gt;0"))</f>
        <v>0</v>
      </c>
      <c r="CN274" t="str">
        <f t="shared" si="264"/>
        <v/>
      </c>
      <c r="CO274" t="str">
        <f t="shared" si="236"/>
        <v/>
      </c>
      <c r="CQ274">
        <f>IF(IFERROR(SEARCH("Wizard",$T274,1),0)&gt;0,1,0)*IF(WizardMaxSpellLevel&gt;=$C274,1,0)*IF(IFERROR(MATCH(B274,Character_Creation!$X$341:$X$400,0),0)&gt;0,0,1)*IF(SelectedWizardSpellLevel=$C274,1,0)</f>
        <v>0</v>
      </c>
      <c r="CR274">
        <f>IF(CQ274=0,0,1+COUNTIF(CR$3:CR273,"&gt;0"))</f>
        <v>0</v>
      </c>
      <c r="CS274" t="str">
        <f t="shared" si="265"/>
        <v/>
      </c>
      <c r="CT274" t="str">
        <f t="shared" si="237"/>
        <v/>
      </c>
      <c r="CV274">
        <f>IF(IFERROR(MATCH($B274,Character_Creation!$C$341:$C$362,0),0)&gt;0,0,1)*IF(OR(C274="Cantrip",C274&lt;=BardMaxSpellLevel),1,0)*IF(IFERROR(MATCH($B274,Character_Creation!$C$367:$C$374,0),0)&gt;0,0,1)</f>
        <v>0</v>
      </c>
      <c r="CW274">
        <f>IF(CV274=0,0,1+COUNTIF(CW$3:CW273,"&gt;0"))</f>
        <v>0</v>
      </c>
      <c r="CX274" t="str">
        <f t="shared" si="266"/>
        <v/>
      </c>
      <c r="CY274" t="str">
        <f t="shared" si="238"/>
        <v/>
      </c>
      <c r="DA274">
        <f>IF(IF(OR(IFERROR(SEARCH("Cleric",$T274,1),0)&gt;0,IFERROR(SEARCH(DivineDomain&amp;",",$T274,1),0)&gt;0),1,0)*IF($C274=DA$2,1,0)=1,1+COUNTIF(DA$3:DA273,"&gt;0"),0)</f>
        <v>0</v>
      </c>
      <c r="DB274">
        <f>IF(IF(OR(IFERROR(SEARCH("Cleric",$T274,1),0)&gt;0,IFERROR(SEARCH(DivineDomain&amp;",",$T274,1),0)&gt;0),1,0)*IF($C274=DB$2,1,0)=1,1+COUNTIF(DB$3:DB273,"&gt;0"),0)</f>
        <v>0</v>
      </c>
      <c r="DC274">
        <f>IF(IF(OR(IFERROR(SEARCH("Cleric",$T274,1),0)&gt;0,IFERROR(SEARCH(DivineDomain&amp;",",$T274,1),0)&gt;0),1,0)*IF($C274=DC$2,1,0)=1,1+COUNTIF(DC$3:DC273,"&gt;0"),0)</f>
        <v>0</v>
      </c>
      <c r="DD274">
        <f>IF(IF(OR(IFERROR(SEARCH("Cleric",$T274,1),0)&gt;0,IFERROR(SEARCH(DivineDomain&amp;",",$T274,1),0)&gt;0),1,0)*IF($C274=DD$2,1,0)=1,1+COUNTIF(DD$3:DD273,"&gt;0"),0)</f>
        <v>0</v>
      </c>
      <c r="DE274">
        <f>IF(IF(OR(IFERROR(SEARCH("Cleric",$T274,1),0)&gt;0,IFERROR(SEARCH(DivineDomain&amp;",",$T274,1),0)&gt;0),1,0)*IF($C274=DE$2,1,0)=1,1+COUNTIF(DE$3:DE273,"&gt;0"),0)</f>
        <v>0</v>
      </c>
      <c r="DF274">
        <f>IF(IF(OR(IFERROR(SEARCH("Cleric",$T274,1),0)&gt;0,IFERROR(SEARCH(DivineDomain&amp;",",$T274,1),0)&gt;0),1,0)*IF($C274=DF$2,1,0)=1,1+COUNTIF(DF$3:DF273,"&gt;0"),0)</f>
        <v>0</v>
      </c>
      <c r="DG274">
        <f>IF(IF(OR(IFERROR(SEARCH("Cleric",$T274,1),0)&gt;0,IFERROR(SEARCH(DivineDomain&amp;",",$T274,1),0)&gt;0),1,0)*IF($C274=DG$2,1,0)=1,1+COUNTIF(DG$3:DG273,"&gt;0"),0)</f>
        <v>0</v>
      </c>
      <c r="DH274">
        <f>IF(IF(OR(IFERROR(SEARCH("Cleric",$T274,1),0)&gt;0,IFERROR(SEARCH(DivineDomain&amp;",",$T274,1),0)&gt;0),1,0)*IF($C274=DH$2,1,0)=1,1+COUNTIF(DH$3:DH273,"&gt;0"),0)</f>
        <v>0</v>
      </c>
      <c r="DI274">
        <f>IF(IF(OR(IFERROR(SEARCH("Cleric",$T274,1),0)&gt;0,IFERROR(SEARCH(DivineDomain&amp;",",$T274,1),0)&gt;0),1,0)*IF($C274=DI$2,1,0)=1,1+COUNTIF(DI$3:DI273,"&gt;0"),0)</f>
        <v>0</v>
      </c>
      <c r="DJ274">
        <f>IF(IF(OR(IFERROR(SEARCH("Druid",$T274,1),0)&gt;0,IFERROR(SEARCH(DruidLand1,$T274,1),0)&gt;0,IFERROR(SEARCH(DruidLand2,$T274,1),0)&gt;0,IFERROR(SEARCH(DruidLand3,$T274,1),0)&gt;0,IFERROR(SEARCH(DruidLand4,$T274,1),0)&gt;0),1,0)*IF($C274=1,1,0)*IF($C274=DJ$2,1,0)=0,0,1+COUNTIF(DJ$3:DJ273,"&gt;0"))</f>
        <v>0</v>
      </c>
      <c r="DK274">
        <f>IF(IF(OR(IFERROR(SEARCH("Druid",$T274,1),0)&gt;0,IFERROR(SEARCH(DruidLand1,$T274,1),0)&gt;0,IFERROR(SEARCH(DruidLand2,$T274,1),0)&gt;0,IFERROR(SEARCH(DruidLand3,$T274,1),0)&gt;0,IFERROR(SEARCH(DruidLand4,$T274,1),0)&gt;0),1,0)*IF($C274=1,1,0)*IF($C274=DK$2,1,0)=0,0,1+COUNTIF(DK$3:DK273,"&gt;0"))</f>
        <v>0</v>
      </c>
      <c r="DL274">
        <f>IF(IF(OR(IFERROR(SEARCH("Druid",$T274,1),0)&gt;0,IFERROR(SEARCH(DruidLand1,$T274,1),0)&gt;0,IFERROR(SEARCH(DruidLand2,$T274,1),0)&gt;0,IFERROR(SEARCH(DruidLand3,$T274,1),0)&gt;0,IFERROR(SEARCH(DruidLand4,$T274,1),0)&gt;0),1,0)*IF($C274=1,1,0)*IF($C274=DL$2,1,0)=0,0,1+COUNTIF(DL$3:DL273,"&gt;0"))</f>
        <v>0</v>
      </c>
      <c r="DM274">
        <f>IF(IF(OR(IFERROR(SEARCH("Druid",$T274,1),0)&gt;0,IFERROR(SEARCH(DruidLand1,$T274,1),0)&gt;0,IFERROR(SEARCH(DruidLand2,$T274,1),0)&gt;0,IFERROR(SEARCH(DruidLand3,$T274,1),0)&gt;0,IFERROR(SEARCH(DruidLand4,$T274,1),0)&gt;0),1,0)*IF($C274=1,1,0)*IF($C274=DM$2,1,0)=0,0,1+COUNTIF(DM$3:DM273,"&gt;0"))</f>
        <v>0</v>
      </c>
      <c r="DN274">
        <f>IF(IF(OR(IFERROR(SEARCH("Druid",$T274,1),0)&gt;0,IFERROR(SEARCH(DruidLand1,$T274,1),0)&gt;0,IFERROR(SEARCH(DruidLand2,$T274,1),0)&gt;0,IFERROR(SEARCH(DruidLand3,$T274,1),0)&gt;0,IFERROR(SEARCH(DruidLand4,$T274,1),0)&gt;0),1,0)*IF($C274=1,1,0)*IF($C274=DN$2,1,0)=0,0,1+COUNTIF(DN$3:DN273,"&gt;0"))</f>
        <v>0</v>
      </c>
      <c r="DO274">
        <f>IF(IF(OR(IFERROR(SEARCH("Druid",$T274,1),0)&gt;0,IFERROR(SEARCH(DruidLand1,$T274,1),0)&gt;0,IFERROR(SEARCH(DruidLand2,$T274,1),0)&gt;0,IFERROR(SEARCH(DruidLand3,$T274,1),0)&gt;0,IFERROR(SEARCH(DruidLand4,$T274,1),0)&gt;0),1,0)*IF($C274=1,1,0)*IF($C274=DO$2,1,0)=0,0,1+COUNTIF(DO$3:DO273,"&gt;0"))</f>
        <v>0</v>
      </c>
      <c r="DP274">
        <f>IF(IF(OR(IFERROR(SEARCH("Druid",$T274,1),0)&gt;0,IFERROR(SEARCH(DruidLand1,$T274,1),0)&gt;0,IFERROR(SEARCH(DruidLand2,$T274,1),0)&gt;0,IFERROR(SEARCH(DruidLand3,$T274,1),0)&gt;0,IFERROR(SEARCH(DruidLand4,$T274,1),0)&gt;0),1,0)*IF($C274=1,1,0)*IF($C274=DP$2,1,0)=0,0,1+COUNTIF(DP$3:DP273,"&gt;0"))</f>
        <v>0</v>
      </c>
      <c r="DQ274">
        <f>IF(IF(OR(IFERROR(SEARCH("Druid",$T274,1),0)&gt;0,IFERROR(SEARCH(DruidLand1,$T274,1),0)&gt;0,IFERROR(SEARCH(DruidLand2,$T274,1),0)&gt;0,IFERROR(SEARCH(DruidLand3,$T274,1),0)&gt;0,IFERROR(SEARCH(DruidLand4,$T274,1),0)&gt;0),1,0)*IF($C274=1,1,0)*IF($C274=DQ$2,1,0)=0,0,1+COUNTIF(DQ$3:DQ273,"&gt;0"))</f>
        <v>0</v>
      </c>
      <c r="DR274">
        <f>IF(IF(OR(IFERROR(SEARCH("Druid",$T274,1),0)&gt;0,IFERROR(SEARCH(DruidLand1,$T274,1),0)&gt;0,IFERROR(SEARCH(DruidLand2,$T274,1),0)&gt;0,IFERROR(SEARCH(DruidLand3,$T274,1),0)&gt;0,IFERROR(SEARCH(DruidLand4,$T274,1),0)&gt;0),1,0)*IF($C274=1,1,0)*IF($C274=DR$2,1,0)=0,0,1+COUNTIF(DR$3:DR273,"&gt;0"))</f>
        <v>0</v>
      </c>
      <c r="DS274">
        <f>IF(IF(OR(IFERROR(SEARCH("Paladin",$T274,1),0)&gt;0,IFERROR(SEARCH(PaladinOath,$T274,1),0)&gt;0),1,0)*IF($C274=DS$2,1,0)=1,1+COUNTIF(DS$3:DS273,"&gt;0"),0)</f>
        <v>0</v>
      </c>
      <c r="DT274">
        <f>IF(IF(OR(IFERROR(SEARCH("Paladin",$T274,1),0)&gt;0,IFERROR(SEARCH(PaladinOath,$T274,1),0)&gt;0),1,0)*IF($C274=DT$2,1,0)=1,1+COUNTIF(DT$3:DT273,"&gt;0"),0)</f>
        <v>0</v>
      </c>
      <c r="DU274">
        <f>IF(IF(OR(IFERROR(SEARCH("Paladin",$T274,1),0)&gt;0,IFERROR(SEARCH(PaladinOath,$T274,1),0)&gt;0),1,0)*IF($C274=DU$2,1,0)=1,1+COUNTIF(DU$3:DU273,"&gt;0"),0)</f>
        <v>0</v>
      </c>
      <c r="DV274">
        <f>IF(IF(OR(IFERROR(SEARCH("Paladin",$T274,1),0)&gt;0,IFERROR(SEARCH(PaladinOath,$T274,1),0)&gt;0),1,0)*IF($C274=DV$2,1,0)=1,1+COUNTIF(DV$3:DV273,"&gt;0"),0)</f>
        <v>0</v>
      </c>
      <c r="DW274">
        <f>IF(IF(OR(IFERROR(SEARCH("Paladin",$T274,1),0)&gt;0,IFERROR(SEARCH(PaladinOath,$T274,1),0)&gt;0),1,0)*IF($C274=DW$2,1,0)=1,1+COUNTIF(DW$3:DW273,"&gt;0"),0)</f>
        <v>0</v>
      </c>
      <c r="DY274">
        <f t="shared" si="225"/>
        <v>1</v>
      </c>
      <c r="DZ274">
        <f>IF(DY274=0,0,1+MAX(DZ$3:$DZ273))</f>
        <v>272</v>
      </c>
      <c r="EB274">
        <f t="shared" si="239"/>
        <v>0</v>
      </c>
      <c r="EC274">
        <f>IF(EB274=0,0,1+COUNTIF(EC$3:EC273,"&gt;0"))</f>
        <v>0</v>
      </c>
      <c r="ED274" t="str">
        <f t="shared" si="267"/>
        <v/>
      </c>
      <c r="EE274" t="str">
        <f t="shared" si="240"/>
        <v/>
      </c>
      <c r="EG274">
        <f t="shared" si="241"/>
        <v>0</v>
      </c>
      <c r="EH274">
        <f>IF(EG274=0,0,1+COUNTIF(EH$3:EH273,"&gt;0"))</f>
        <v>0</v>
      </c>
      <c r="EI274" t="str">
        <f t="shared" si="268"/>
        <v/>
      </c>
      <c r="EJ274" t="str">
        <f t="shared" si="242"/>
        <v/>
      </c>
      <c r="EL274">
        <f t="shared" si="243"/>
        <v>0</v>
      </c>
      <c r="EM274">
        <f>IF(EL274=0,0,1+COUNTIF(EM$3:EM273,"&gt;0"))</f>
        <v>0</v>
      </c>
      <c r="EN274" t="str">
        <f t="shared" si="269"/>
        <v/>
      </c>
      <c r="EO274" t="str">
        <f t="shared" si="244"/>
        <v/>
      </c>
      <c r="EQ274">
        <f t="shared" si="245"/>
        <v>0</v>
      </c>
      <c r="ER274">
        <f>IF(EQ274=0,0,1+COUNTIF(ER$3:ER273,"&gt;0"))</f>
        <v>0</v>
      </c>
      <c r="ES274" t="str">
        <f t="shared" si="270"/>
        <v/>
      </c>
      <c r="ET274" t="str">
        <f t="shared" si="246"/>
        <v/>
      </c>
      <c r="EV274">
        <f t="shared" si="247"/>
        <v>0</v>
      </c>
      <c r="EW274">
        <f>IF(EV274=0,0,1+COUNTIF(EW$3:EW273,"&gt;0"))</f>
        <v>0</v>
      </c>
      <c r="EX274" t="str">
        <f t="shared" si="271"/>
        <v/>
      </c>
      <c r="EY274" t="str">
        <f t="shared" si="248"/>
        <v/>
      </c>
      <c r="FA274">
        <f t="shared" si="249"/>
        <v>0</v>
      </c>
      <c r="FB274">
        <f>IF(FA274=0,0,1+COUNTIF(FB$3:FB273,"&gt;0"))</f>
        <v>0</v>
      </c>
      <c r="FC274" t="str">
        <f t="shared" si="272"/>
        <v/>
      </c>
      <c r="FD274" t="str">
        <f t="shared" si="250"/>
        <v/>
      </c>
      <c r="FF274">
        <f t="shared" si="251"/>
        <v>0</v>
      </c>
      <c r="FG274">
        <f>IF(FF274=0,0,1+COUNTIF(FG$3:FG273,"&gt;0"))</f>
        <v>0</v>
      </c>
      <c r="FH274" t="str">
        <f t="shared" si="273"/>
        <v/>
      </c>
      <c r="FI274" t="str">
        <f t="shared" si="252"/>
        <v/>
      </c>
      <c r="FK274">
        <f t="shared" si="253"/>
        <v>0</v>
      </c>
      <c r="FL274">
        <f>IF(FK274=0,0,1+COUNTIF(FL$3:FL273,"&gt;0"))</f>
        <v>0</v>
      </c>
      <c r="FM274" t="str">
        <f t="shared" si="274"/>
        <v/>
      </c>
      <c r="FN274" t="str">
        <f t="shared" si="254"/>
        <v/>
      </c>
      <c r="FP274">
        <f t="shared" si="255"/>
        <v>0</v>
      </c>
      <c r="FQ274">
        <f>IF(FP274=0,0,1+COUNTIF(FQ$3:FQ273,"&gt;0"))</f>
        <v>0</v>
      </c>
      <c r="FR274" t="str">
        <f t="shared" si="275"/>
        <v/>
      </c>
      <c r="FS274" t="str">
        <f t="shared" si="256"/>
        <v/>
      </c>
    </row>
    <row r="275" spans="1:175" x14ac:dyDescent="0.25">
      <c r="A275" s="347">
        <f t="shared" si="276"/>
        <v>273</v>
      </c>
      <c r="B275" s="348" t="s">
        <v>2660</v>
      </c>
      <c r="C275" s="348">
        <v>2</v>
      </c>
      <c r="D275" s="347">
        <v>2</v>
      </c>
      <c r="E275" s="627" t="s">
        <v>6952</v>
      </c>
      <c r="F275" s="346"/>
      <c r="G275" s="347" t="str">
        <f>""</f>
        <v/>
      </c>
      <c r="H275" s="347" t="s">
        <v>5912</v>
      </c>
      <c r="I275" s="347" t="s">
        <v>424</v>
      </c>
      <c r="J275" s="347" t="str">
        <f t="shared" si="226"/>
        <v/>
      </c>
      <c r="K275" s="347" t="s">
        <v>5291</v>
      </c>
      <c r="L275" s="611" t="str">
        <f t="shared" si="227"/>
        <v>V, S</v>
      </c>
      <c r="M275" s="347" t="s">
        <v>2373</v>
      </c>
      <c r="N275" s="347" t="s">
        <v>2387</v>
      </c>
      <c r="O275" s="347" t="s">
        <v>3034</v>
      </c>
      <c r="P275" s="346" t="str">
        <f>""</f>
        <v/>
      </c>
      <c r="Q275" s="347" t="s">
        <v>5275</v>
      </c>
      <c r="S275" s="346" t="s">
        <v>5804</v>
      </c>
      <c r="T275" s="346" t="str">
        <f t="shared" si="228"/>
        <v xml:space="preserve">Warlock, Wizard, Death, </v>
      </c>
      <c r="Y275" s="347" t="str">
        <f>$B275</f>
        <v>Ray of Enfeeblement</v>
      </c>
      <c r="AD275" s="347" t="str">
        <f>$B275</f>
        <v>Ray of Enfeeblement</v>
      </c>
      <c r="AE275" t="str">
        <f>IF(IFERROR(MATCH($B275,temp!A$4:A$13,0),0)&gt;0,T08_Spells!AE$2,"")</f>
        <v/>
      </c>
      <c r="AF275" t="str">
        <f>IF(IFERROR(MATCH($B275,temp!B$4:B$13,0),0)&gt;0,T08_Spells!AF$2,"")</f>
        <v/>
      </c>
      <c r="AG275" t="str">
        <f>IF(IFERROR(MATCH($B275,temp!C$4:C$13,0),0)&gt;0,T08_Spells!AG$2,"")</f>
        <v/>
      </c>
      <c r="AH275" t="str">
        <f>IF(IFERROR(MATCH($B275,temp!D$4:D$13,0),0)&gt;0,T08_Spells!AH$2,"")</f>
        <v/>
      </c>
      <c r="AI275" t="str">
        <f>IF(IFERROR(MATCH($B275,temp!E$4:E$13,0),0)&gt;0,T08_Spells!AI$2,"")</f>
        <v/>
      </c>
      <c r="AJ275" t="str">
        <f>IF(IFERROR(MATCH($B275,temp!F$4:F$13,0),0)&gt;0,T08_Spells!AJ$2,"")</f>
        <v/>
      </c>
      <c r="AK275" t="str">
        <f>IF(IFERROR(MATCH($B275,temp!G$4:G$13,0),0)&gt;0,T08_Spells!AK$2,"")</f>
        <v/>
      </c>
      <c r="AL275" t="str">
        <f>IF(IFERROR(MATCH($B275,temp!H$4:H$13,0),0)&gt;0,T08_Spells!AL$2,"")</f>
        <v/>
      </c>
      <c r="AM275" t="str">
        <f>IF(IFERROR(MATCH($B275,temp!I$4:I$13,0),0)&gt;0,T08_Spells!AM$2,"")</f>
        <v/>
      </c>
      <c r="AN275" t="str">
        <f>IF(IFERROR(MATCH($B275,temp!J$4:J$13,0),0)&gt;0,T08_Spells!AN$2,"")</f>
        <v/>
      </c>
      <c r="AO275" t="str">
        <f>IF(IFERROR(MATCH($B275,temp!K$4:K$13,0),0)&gt;0,T08_Spells!AO$2,"")</f>
        <v/>
      </c>
      <c r="AP275" t="str">
        <f>IF(IFERROR(MATCH($B275,temp!L$4:L$13,0),0)&gt;0,T08_Spells!AP$2,"")</f>
        <v/>
      </c>
      <c r="AQ275" t="str">
        <f>IF(IFERROR(MATCH($B275,temp!M$4:M$13,0),0)&gt;0,T08_Spells!AQ$2,"")</f>
        <v/>
      </c>
      <c r="AR275" t="str">
        <f>IF(IFERROR(MATCH($B275,temp!N$4:N$13,0),0)&gt;0,T08_Spells!AR$2,"")</f>
        <v/>
      </c>
      <c r="AS275" t="str">
        <f>IF(IFERROR(MATCH($B275,temp!O$4:O$13,0),0)&gt;0,T08_Spells!AS$2,"")</f>
        <v/>
      </c>
      <c r="AT275" t="str">
        <f>IF(IFERROR(MATCH($B275,temp!P$4:P$13,0),0)&gt;0,T08_Spells!AT$2,"")</f>
        <v/>
      </c>
      <c r="AU275" t="str">
        <f>IF(IFERROR(MATCH($B275,temp!Q$4:Q$13,0),0)&gt;0,T08_Spells!AU$2,"")</f>
        <v/>
      </c>
      <c r="AV275" t="str">
        <f>IF(IFERROR(MATCH($B275,temp!R$4:R$13,0),0)&gt;0,T08_Spells!AV$2,"")</f>
        <v/>
      </c>
      <c r="AW275" t="str">
        <f>IF(IFERROR(MATCH($B275,temp!S$4:S$13,0),0)&gt;0,T08_Spells!AW$2,"")</f>
        <v/>
      </c>
      <c r="AX275" t="str">
        <f>IF(IFERROR(MATCH($B275,temp!T$4:T$13,0),0)&gt;0,T08_Spells!AX$2,"")</f>
        <v/>
      </c>
      <c r="AY275" t="str">
        <f>IF(IFERROR(MATCH($B275,temp!U$4:U$13,0),0)&gt;0,T08_Spells!AY$2,"")</f>
        <v/>
      </c>
      <c r="AZ275" t="str">
        <f>IF(IFERROR(MATCH($B275,temp!V$4:V$13,0),0)&gt;0,T08_Spells!AZ$2,"")</f>
        <v/>
      </c>
      <c r="BA275" t="str">
        <f>IF(IFERROR(MATCH($B275,temp!W$4:W$13,0),0)&gt;0,T08_Spells!BA$2,"")</f>
        <v>Death</v>
      </c>
      <c r="BC275">
        <f>IF(IFERROR(SEARCH("Ranger",$T275,1),0)&gt;0,1,0)*IF(RangerMaxSpellLevel&gt;=$C275,1,0)*IF(IFERROR(MATCH(B275,Character_Creation!$X$79:$X$382,0),0)&gt;0,0,1)</f>
        <v>0</v>
      </c>
      <c r="BD275">
        <f>IF(BC275=0,0,1+COUNTIF(BD$3:BD274,"&gt;0"))</f>
        <v>0</v>
      </c>
      <c r="BE275" t="str">
        <f t="shared" si="257"/>
        <v/>
      </c>
      <c r="BF275" t="str">
        <f t="shared" si="229"/>
        <v/>
      </c>
      <c r="BH275">
        <f>IF(IFERROR(SEARCH("Sorcerer",$T275,1),0)&gt;0,1,0)*IF(SorcererMaxSpellLevel&gt;=$C275,1,0)*IF(IFERROR(MATCH(B275,Character_Creation!$J$380:$J$394,0),0)&gt;0,0,1)</f>
        <v>0</v>
      </c>
      <c r="BI275">
        <f>IF(BH275=0,0,1+COUNTIF(BI$3:BI274,"&gt;0"))</f>
        <v>0</v>
      </c>
      <c r="BJ275" t="str">
        <f t="shared" si="258"/>
        <v/>
      </c>
      <c r="BK275" t="str">
        <f t="shared" si="230"/>
        <v/>
      </c>
      <c r="BM275">
        <f>IF(OR(IFERROR(SEARCH("Warlock",$T275,1),0)&gt;0,IFERROR(SEARCH(WarlockPatron,$T275,1),0)&gt;0),1,0)*IF(WarlockMaxSpellLevel&gt;=$C275,1,0)*IF(IFERROR(MATCH(B275,Character_Creation!$J$361:$J$375,0),0)&gt;0,0,1)</f>
        <v>0</v>
      </c>
      <c r="BN275">
        <f>IF(BM275=0,0,1+COUNTIF(BN$3:BN274,"&gt;0"))</f>
        <v>0</v>
      </c>
      <c r="BO275" t="str">
        <f t="shared" si="259"/>
        <v/>
      </c>
      <c r="BP275" t="str">
        <f t="shared" si="231"/>
        <v/>
      </c>
      <c r="BR275">
        <f>IF(IFERROR(SEARCH("Eldritch Knight",$T275,1),0)&gt;0,1,0)*IF(EldritchKnightMaxSpellLevel&gt;=$C275,1,0)*IF(IFERROR(MATCH($B275,Character_Creation!$J$350:$J$356,0),0)&gt;0,0,1)*IF(Character_Creation!$M$338&gt;0,1,0)</f>
        <v>0</v>
      </c>
      <c r="BS275">
        <f>IF(BR275=0,0,1+COUNTIF(BS$3:BS274,"&gt;0"))</f>
        <v>0</v>
      </c>
      <c r="BT275" t="str">
        <f t="shared" si="260"/>
        <v/>
      </c>
      <c r="BU275" t="str">
        <f t="shared" si="232"/>
        <v/>
      </c>
      <c r="BW275">
        <f>IF(IFERROR(SEARCH("Arcane Trickster",$T275,1),0)&gt;0,1,0)*IF(ArcaneTricksterMaxSpellLevel&gt;=$C275,1,0)*IF(IFERROR(MATCH($B275,Character_Creation!$J$350:$J$356,0),0)&gt;0,0,1)*IF(Character_Creation!$T$338&gt;0,1,0)</f>
        <v>0</v>
      </c>
      <c r="BX275">
        <f>IF(BW275=0,0,1+COUNTIF(BX$3:BX274,"&gt;0"))</f>
        <v>0</v>
      </c>
      <c r="BY275" t="str">
        <f t="shared" si="261"/>
        <v/>
      </c>
      <c r="BZ275" t="str">
        <f t="shared" si="233"/>
        <v/>
      </c>
      <c r="CB275">
        <f>IF(IFERROR(SEARCH("Wizard",$T275,1),0)&gt;0,1,0)*IF(C275&lt;=ArcaneTricksterMaxSpellLevel,1,0)*IF(IFERROR(MATCH($B275,Character_Creation!$J$350:$J$356,0),0)&gt;0,0,1)*IF(Character_Creation!$T$350&gt;0,1,0)</f>
        <v>0</v>
      </c>
      <c r="CC275">
        <f>IF(CB275=0,0,1+COUNTIF(CC$3:CC274,"&gt;0"))</f>
        <v>0</v>
      </c>
      <c r="CD275" t="str">
        <f t="shared" si="262"/>
        <v/>
      </c>
      <c r="CE275" t="str">
        <f t="shared" si="234"/>
        <v/>
      </c>
      <c r="CG275">
        <f>IF(IFERROR(SEARCH("Wizard",$T275,1),0)&gt;0,1,0)*IF($C275&lt;=EldritchKnightMaxSpellLevel,1,0)*IF(IFERROR(MATCH($B275,Character_Creation!$J$350:$J$356,0),0)&gt;0,0,1)*IF(Character_Creation!$M$350&gt;0,1,0)</f>
        <v>1</v>
      </c>
      <c r="CH275">
        <f>IF(CG275=0,0,1+COUNTIF(CH$3:CH274,"&gt;0"))</f>
        <v>47</v>
      </c>
      <c r="CI275" t="str">
        <f t="shared" si="263"/>
        <v/>
      </c>
      <c r="CJ275" t="str">
        <f t="shared" si="235"/>
        <v/>
      </c>
      <c r="CL275">
        <f>IF(IFERROR(SEARCH("Bard",$T275,1),0)&gt;0,1,0)*IF(BardMaxSpellLevel&gt;=$C275,1,0)*IF(IFERROR(MATCH(B275,Character_Creation!$C$341:$F$362,0),0)&gt;0,0,1)*IF(IFERROR(MATCH($B275,Character_Creation!$C$341:$C$362,0),0)&gt;0,0,1)</f>
        <v>0</v>
      </c>
      <c r="CM275">
        <f>IF(CL275=0,0,1+COUNTIF(CM$3:CM274,"&gt;0"))</f>
        <v>0</v>
      </c>
      <c r="CN275" t="str">
        <f t="shared" si="264"/>
        <v/>
      </c>
      <c r="CO275" t="str">
        <f t="shared" si="236"/>
        <v/>
      </c>
      <c r="CQ275">
        <f>IF(IFERROR(SEARCH("Wizard",$T275,1),0)&gt;0,1,0)*IF(WizardMaxSpellLevel&gt;=$C275,1,0)*IF(IFERROR(MATCH(B275,Character_Creation!$X$341:$X$400,0),0)&gt;0,0,1)*IF(SelectedWizardSpellLevel=$C275,1,0)</f>
        <v>0</v>
      </c>
      <c r="CR275">
        <f>IF(CQ275=0,0,1+COUNTIF(CR$3:CR274,"&gt;0"))</f>
        <v>0</v>
      </c>
      <c r="CS275" t="str">
        <f t="shared" si="265"/>
        <v/>
      </c>
      <c r="CT275" t="str">
        <f t="shared" si="237"/>
        <v/>
      </c>
      <c r="CV275">
        <f>IF(IFERROR(MATCH($B275,Character_Creation!$C$341:$C$362,0),0)&gt;0,0,1)*IF(OR(C275="Cantrip",C275&lt;=BardMaxSpellLevel),1,0)*IF(IFERROR(MATCH($B275,Character_Creation!$C$367:$C$374,0),0)&gt;0,0,1)</f>
        <v>0</v>
      </c>
      <c r="CW275">
        <f>IF(CV275=0,0,1+COUNTIF(CW$3:CW274,"&gt;0"))</f>
        <v>0</v>
      </c>
      <c r="CX275" t="str">
        <f t="shared" si="266"/>
        <v/>
      </c>
      <c r="CY275" t="str">
        <f t="shared" si="238"/>
        <v/>
      </c>
      <c r="DA275">
        <f>IF(IF(OR(IFERROR(SEARCH("Cleric",$T275,1),0)&gt;0,IFERROR(SEARCH(DivineDomain&amp;",",$T275,1),0)&gt;0),1,0)*IF($C275=DA$2,1,0)=1,1+COUNTIF(DA$3:DA274,"&gt;0"),0)</f>
        <v>0</v>
      </c>
      <c r="DB275">
        <f>IF(IF(OR(IFERROR(SEARCH("Cleric",$T275,1),0)&gt;0,IFERROR(SEARCH(DivineDomain&amp;",",$T275,1),0)&gt;0),1,0)*IF($C275=DB$2,1,0)=1,1+COUNTIF(DB$3:DB274,"&gt;0"),0)</f>
        <v>0</v>
      </c>
      <c r="DC275">
        <f>IF(IF(OR(IFERROR(SEARCH("Cleric",$T275,1),0)&gt;0,IFERROR(SEARCH(DivineDomain&amp;",",$T275,1),0)&gt;0),1,0)*IF($C275=DC$2,1,0)=1,1+COUNTIF(DC$3:DC274,"&gt;0"),0)</f>
        <v>0</v>
      </c>
      <c r="DD275">
        <f>IF(IF(OR(IFERROR(SEARCH("Cleric",$T275,1),0)&gt;0,IFERROR(SEARCH(DivineDomain&amp;",",$T275,1),0)&gt;0),1,0)*IF($C275=DD$2,1,0)=1,1+COUNTIF(DD$3:DD274,"&gt;0"),0)</f>
        <v>0</v>
      </c>
      <c r="DE275">
        <f>IF(IF(OR(IFERROR(SEARCH("Cleric",$T275,1),0)&gt;0,IFERROR(SEARCH(DivineDomain&amp;",",$T275,1),0)&gt;0),1,0)*IF($C275=DE$2,1,0)=1,1+COUNTIF(DE$3:DE274,"&gt;0"),0)</f>
        <v>0</v>
      </c>
      <c r="DF275">
        <f>IF(IF(OR(IFERROR(SEARCH("Cleric",$T275,1),0)&gt;0,IFERROR(SEARCH(DivineDomain&amp;",",$T275,1),0)&gt;0),1,0)*IF($C275=DF$2,1,0)=1,1+COUNTIF(DF$3:DF274,"&gt;0"),0)</f>
        <v>0</v>
      </c>
      <c r="DG275">
        <f>IF(IF(OR(IFERROR(SEARCH("Cleric",$T275,1),0)&gt;0,IFERROR(SEARCH(DivineDomain&amp;",",$T275,1),0)&gt;0),1,0)*IF($C275=DG$2,1,0)=1,1+COUNTIF(DG$3:DG274,"&gt;0"),0)</f>
        <v>0</v>
      </c>
      <c r="DH275">
        <f>IF(IF(OR(IFERROR(SEARCH("Cleric",$T275,1),0)&gt;0,IFERROR(SEARCH(DivineDomain&amp;",",$T275,1),0)&gt;0),1,0)*IF($C275=DH$2,1,0)=1,1+COUNTIF(DH$3:DH274,"&gt;0"),0)</f>
        <v>0</v>
      </c>
      <c r="DI275">
        <f>IF(IF(OR(IFERROR(SEARCH("Cleric",$T275,1),0)&gt;0,IFERROR(SEARCH(DivineDomain&amp;",",$T275,1),0)&gt;0),1,0)*IF($C275=DI$2,1,0)=1,1+COUNTIF(DI$3:DI274,"&gt;0"),0)</f>
        <v>0</v>
      </c>
      <c r="DJ275">
        <f>IF(IF(OR(IFERROR(SEARCH("Druid",$T275,1),0)&gt;0,IFERROR(SEARCH(DruidLand1,$T275,1),0)&gt;0,IFERROR(SEARCH(DruidLand2,$T275,1),0)&gt;0,IFERROR(SEARCH(DruidLand3,$T275,1),0)&gt;0,IFERROR(SEARCH(DruidLand4,$T275,1),0)&gt;0),1,0)*IF($C275=1,1,0)*IF($C275=DJ$2,1,0)=0,0,1+COUNTIF(DJ$3:DJ274,"&gt;0"))</f>
        <v>0</v>
      </c>
      <c r="DK275">
        <f>IF(IF(OR(IFERROR(SEARCH("Druid",$T275,1),0)&gt;0,IFERROR(SEARCH(DruidLand1,$T275,1),0)&gt;0,IFERROR(SEARCH(DruidLand2,$T275,1),0)&gt;0,IFERROR(SEARCH(DruidLand3,$T275,1),0)&gt;0,IFERROR(SEARCH(DruidLand4,$T275,1),0)&gt;0),1,0)*IF($C275=1,1,0)*IF($C275=DK$2,1,0)=0,0,1+COUNTIF(DK$3:DK274,"&gt;0"))</f>
        <v>0</v>
      </c>
      <c r="DL275">
        <f>IF(IF(OR(IFERROR(SEARCH("Druid",$T275,1),0)&gt;0,IFERROR(SEARCH(DruidLand1,$T275,1),0)&gt;0,IFERROR(SEARCH(DruidLand2,$T275,1),0)&gt;0,IFERROR(SEARCH(DruidLand3,$T275,1),0)&gt;0,IFERROR(SEARCH(DruidLand4,$T275,1),0)&gt;0),1,0)*IF($C275=1,1,0)*IF($C275=DL$2,1,0)=0,0,1+COUNTIF(DL$3:DL274,"&gt;0"))</f>
        <v>0</v>
      </c>
      <c r="DM275">
        <f>IF(IF(OR(IFERROR(SEARCH("Druid",$T275,1),0)&gt;0,IFERROR(SEARCH(DruidLand1,$T275,1),0)&gt;0,IFERROR(SEARCH(DruidLand2,$T275,1),0)&gt;0,IFERROR(SEARCH(DruidLand3,$T275,1),0)&gt;0,IFERROR(SEARCH(DruidLand4,$T275,1),0)&gt;0),1,0)*IF($C275=1,1,0)*IF($C275=DM$2,1,0)=0,0,1+COUNTIF(DM$3:DM274,"&gt;0"))</f>
        <v>0</v>
      </c>
      <c r="DN275">
        <f>IF(IF(OR(IFERROR(SEARCH("Druid",$T275,1),0)&gt;0,IFERROR(SEARCH(DruidLand1,$T275,1),0)&gt;0,IFERROR(SEARCH(DruidLand2,$T275,1),0)&gt;0,IFERROR(SEARCH(DruidLand3,$T275,1),0)&gt;0,IFERROR(SEARCH(DruidLand4,$T275,1),0)&gt;0),1,0)*IF($C275=1,1,0)*IF($C275=DN$2,1,0)=0,0,1+COUNTIF(DN$3:DN274,"&gt;0"))</f>
        <v>0</v>
      </c>
      <c r="DO275">
        <f>IF(IF(OR(IFERROR(SEARCH("Druid",$T275,1),0)&gt;0,IFERROR(SEARCH(DruidLand1,$T275,1),0)&gt;0,IFERROR(SEARCH(DruidLand2,$T275,1),0)&gt;0,IFERROR(SEARCH(DruidLand3,$T275,1),0)&gt;0,IFERROR(SEARCH(DruidLand4,$T275,1),0)&gt;0),1,0)*IF($C275=1,1,0)*IF($C275=DO$2,1,0)=0,0,1+COUNTIF(DO$3:DO274,"&gt;0"))</f>
        <v>0</v>
      </c>
      <c r="DP275">
        <f>IF(IF(OR(IFERROR(SEARCH("Druid",$T275,1),0)&gt;0,IFERROR(SEARCH(DruidLand1,$T275,1),0)&gt;0,IFERROR(SEARCH(DruidLand2,$T275,1),0)&gt;0,IFERROR(SEARCH(DruidLand3,$T275,1),0)&gt;0,IFERROR(SEARCH(DruidLand4,$T275,1),0)&gt;0),1,0)*IF($C275=1,1,0)*IF($C275=DP$2,1,0)=0,0,1+COUNTIF(DP$3:DP274,"&gt;0"))</f>
        <v>0</v>
      </c>
      <c r="DQ275">
        <f>IF(IF(OR(IFERROR(SEARCH("Druid",$T275,1),0)&gt;0,IFERROR(SEARCH(DruidLand1,$T275,1),0)&gt;0,IFERROR(SEARCH(DruidLand2,$T275,1),0)&gt;0,IFERROR(SEARCH(DruidLand3,$T275,1),0)&gt;0,IFERROR(SEARCH(DruidLand4,$T275,1),0)&gt;0),1,0)*IF($C275=1,1,0)*IF($C275=DQ$2,1,0)=0,0,1+COUNTIF(DQ$3:DQ274,"&gt;0"))</f>
        <v>0</v>
      </c>
      <c r="DR275">
        <f>IF(IF(OR(IFERROR(SEARCH("Druid",$T275,1),0)&gt;0,IFERROR(SEARCH(DruidLand1,$T275,1),0)&gt;0,IFERROR(SEARCH(DruidLand2,$T275,1),0)&gt;0,IFERROR(SEARCH(DruidLand3,$T275,1),0)&gt;0,IFERROR(SEARCH(DruidLand4,$T275,1),0)&gt;0),1,0)*IF($C275=1,1,0)*IF($C275=DR$2,1,0)=0,0,1+COUNTIF(DR$3:DR274,"&gt;0"))</f>
        <v>0</v>
      </c>
      <c r="DS275">
        <f>IF(IF(OR(IFERROR(SEARCH("Paladin",$T275,1),0)&gt;0,IFERROR(SEARCH(PaladinOath,$T275,1),0)&gt;0),1,0)*IF($C275=DS$2,1,0)=1,1+COUNTIF(DS$3:DS274,"&gt;0"),0)</f>
        <v>0</v>
      </c>
      <c r="DT275">
        <f>IF(IF(OR(IFERROR(SEARCH("Paladin",$T275,1),0)&gt;0,IFERROR(SEARCH(PaladinOath,$T275,1),0)&gt;0),1,0)*IF($C275=DT$2,1,0)=1,1+COUNTIF(DT$3:DT274,"&gt;0"),0)</f>
        <v>0</v>
      </c>
      <c r="DU275">
        <f>IF(IF(OR(IFERROR(SEARCH("Paladin",$T275,1),0)&gt;0,IFERROR(SEARCH(PaladinOath,$T275,1),0)&gt;0),1,0)*IF($C275=DU$2,1,0)=1,1+COUNTIF(DU$3:DU274,"&gt;0"),0)</f>
        <v>0</v>
      </c>
      <c r="DV275">
        <f>IF(IF(OR(IFERROR(SEARCH("Paladin",$T275,1),0)&gt;0,IFERROR(SEARCH(PaladinOath,$T275,1),0)&gt;0),1,0)*IF($C275=DV$2,1,0)=1,1+COUNTIF(DV$3:DV274,"&gt;0"),0)</f>
        <v>0</v>
      </c>
      <c r="DW275">
        <f>IF(IF(OR(IFERROR(SEARCH("Paladin",$T275,1),0)&gt;0,IFERROR(SEARCH(PaladinOath,$T275,1),0)&gt;0),1,0)*IF($C275=DW$2,1,0)=1,1+COUNTIF(DW$3:DW274,"&gt;0"),0)</f>
        <v>0</v>
      </c>
      <c r="DY275">
        <f t="shared" si="225"/>
        <v>1</v>
      </c>
      <c r="DZ275">
        <f>IF(DY275=0,0,1+MAX(DZ$3:$DZ274))</f>
        <v>273</v>
      </c>
      <c r="EB275">
        <f t="shared" si="239"/>
        <v>0</v>
      </c>
      <c r="EC275">
        <f>IF(EB275=0,0,1+COUNTIF(EC$3:EC274,"&gt;0"))</f>
        <v>0</v>
      </c>
      <c r="ED275" t="str">
        <f t="shared" si="267"/>
        <v/>
      </c>
      <c r="EE275" t="str">
        <f t="shared" si="240"/>
        <v/>
      </c>
      <c r="EG275">
        <f t="shared" si="241"/>
        <v>0</v>
      </c>
      <c r="EH275">
        <f>IF(EG275=0,0,1+COUNTIF(EH$3:EH274,"&gt;0"))</f>
        <v>0</v>
      </c>
      <c r="EI275" t="str">
        <f t="shared" si="268"/>
        <v/>
      </c>
      <c r="EJ275" t="str">
        <f t="shared" si="242"/>
        <v/>
      </c>
      <c r="EL275">
        <f t="shared" si="243"/>
        <v>0</v>
      </c>
      <c r="EM275">
        <f>IF(EL275=0,0,1+COUNTIF(EM$3:EM274,"&gt;0"))</f>
        <v>0</v>
      </c>
      <c r="EN275" t="str">
        <f t="shared" si="269"/>
        <v/>
      </c>
      <c r="EO275" t="str">
        <f t="shared" si="244"/>
        <v/>
      </c>
      <c r="EQ275">
        <f t="shared" si="245"/>
        <v>0</v>
      </c>
      <c r="ER275">
        <f>IF(EQ275=0,0,1+COUNTIF(ER$3:ER274,"&gt;0"))</f>
        <v>0</v>
      </c>
      <c r="ES275" t="str">
        <f t="shared" si="270"/>
        <v/>
      </c>
      <c r="ET275" t="str">
        <f t="shared" si="246"/>
        <v/>
      </c>
      <c r="EV275">
        <f t="shared" si="247"/>
        <v>0</v>
      </c>
      <c r="EW275">
        <f>IF(EV275=0,0,1+COUNTIF(EW$3:EW274,"&gt;0"))</f>
        <v>0</v>
      </c>
      <c r="EX275" t="str">
        <f t="shared" si="271"/>
        <v/>
      </c>
      <c r="EY275" t="str">
        <f t="shared" si="248"/>
        <v/>
      </c>
      <c r="FA275">
        <f t="shared" si="249"/>
        <v>0</v>
      </c>
      <c r="FB275">
        <f>IF(FA275=0,0,1+COUNTIF(FB$3:FB274,"&gt;0"))</f>
        <v>0</v>
      </c>
      <c r="FC275" t="str">
        <f t="shared" si="272"/>
        <v/>
      </c>
      <c r="FD275" t="str">
        <f t="shared" si="250"/>
        <v/>
      </c>
      <c r="FF275">
        <f t="shared" si="251"/>
        <v>0</v>
      </c>
      <c r="FG275">
        <f>IF(FF275=0,0,1+COUNTIF(FG$3:FG274,"&gt;0"))</f>
        <v>0</v>
      </c>
      <c r="FH275" t="str">
        <f t="shared" si="273"/>
        <v/>
      </c>
      <c r="FI275" t="str">
        <f t="shared" si="252"/>
        <v/>
      </c>
      <c r="FK275">
        <f t="shared" si="253"/>
        <v>0</v>
      </c>
      <c r="FL275">
        <f>IF(FK275=0,0,1+COUNTIF(FL$3:FL274,"&gt;0"))</f>
        <v>0</v>
      </c>
      <c r="FM275" t="str">
        <f t="shared" si="274"/>
        <v/>
      </c>
      <c r="FN275" t="str">
        <f t="shared" si="254"/>
        <v/>
      </c>
      <c r="FP275">
        <f t="shared" si="255"/>
        <v>0</v>
      </c>
      <c r="FQ275">
        <f>IF(FP275=0,0,1+COUNTIF(FQ$3:FQ274,"&gt;0"))</f>
        <v>0</v>
      </c>
      <c r="FR275" t="str">
        <f t="shared" si="275"/>
        <v/>
      </c>
      <c r="FS275" t="str">
        <f t="shared" si="256"/>
        <v/>
      </c>
    </row>
    <row r="276" spans="1:175" x14ac:dyDescent="0.25">
      <c r="A276" s="347">
        <f t="shared" si="276"/>
        <v>274</v>
      </c>
      <c r="B276" s="348" t="s">
        <v>2661</v>
      </c>
      <c r="C276" s="348" t="s">
        <v>5277</v>
      </c>
      <c r="D276" s="347">
        <v>0.5</v>
      </c>
      <c r="E276" s="627" t="s">
        <v>6952</v>
      </c>
      <c r="F276" s="346"/>
      <c r="G276" s="347" t="str">
        <f>""</f>
        <v/>
      </c>
      <c r="H276" s="347" t="s">
        <v>5912</v>
      </c>
      <c r="I276" s="347" t="s">
        <v>424</v>
      </c>
      <c r="J276" s="347" t="str">
        <f t="shared" si="226"/>
        <v/>
      </c>
      <c r="K276" s="347" t="s">
        <v>5278</v>
      </c>
      <c r="L276" s="611" t="str">
        <f t="shared" si="227"/>
        <v>V, S</v>
      </c>
      <c r="M276" s="347" t="s">
        <v>2373</v>
      </c>
      <c r="N276" s="347" t="s">
        <v>2387</v>
      </c>
      <c r="O276" s="347" t="s">
        <v>3034</v>
      </c>
      <c r="P276" s="346" t="str">
        <f>""</f>
        <v/>
      </c>
      <c r="Q276" s="347" t="s">
        <v>5273</v>
      </c>
      <c r="S276" s="346" t="s">
        <v>5805</v>
      </c>
      <c r="T276" s="346" t="str">
        <f t="shared" si="228"/>
        <v xml:space="preserve">Sorcerer, Eldritch Knight, Wizard, </v>
      </c>
      <c r="X276" s="347" t="str">
        <f>$B276</f>
        <v>Ray of Frost</v>
      </c>
      <c r="AB276" s="542" t="str">
        <f>AD276</f>
        <v>Ray of Frost</v>
      </c>
      <c r="AD276" s="347" t="str">
        <f>$B276</f>
        <v>Ray of Frost</v>
      </c>
      <c r="AE276" t="str">
        <f>IF(IFERROR(MATCH($B276,temp!A$4:A$13,0),0)&gt;0,T08_Spells!AE$2,"")</f>
        <v/>
      </c>
      <c r="AF276" t="str">
        <f>IF(IFERROR(MATCH($B276,temp!B$4:B$13,0),0)&gt;0,T08_Spells!AF$2,"")</f>
        <v/>
      </c>
      <c r="AG276" t="str">
        <f>IF(IFERROR(MATCH($B276,temp!C$4:C$13,0),0)&gt;0,T08_Spells!AG$2,"")</f>
        <v/>
      </c>
      <c r="AH276" t="str">
        <f>IF(IFERROR(MATCH($B276,temp!D$4:D$13,0),0)&gt;0,T08_Spells!AH$2,"")</f>
        <v/>
      </c>
      <c r="AI276" t="str">
        <f>IF(IFERROR(MATCH($B276,temp!E$4:E$13,0),0)&gt;0,T08_Spells!AI$2,"")</f>
        <v/>
      </c>
      <c r="AJ276" t="str">
        <f>IF(IFERROR(MATCH($B276,temp!F$4:F$13,0),0)&gt;0,T08_Spells!AJ$2,"")</f>
        <v/>
      </c>
      <c r="AK276" t="str">
        <f>IF(IFERROR(MATCH($B276,temp!G$4:G$13,0),0)&gt;0,T08_Spells!AK$2,"")</f>
        <v/>
      </c>
      <c r="AL276" t="str">
        <f>IF(IFERROR(MATCH($B276,temp!H$4:H$13,0),0)&gt;0,T08_Spells!AL$2,"")</f>
        <v/>
      </c>
      <c r="AM276" t="str">
        <f>IF(IFERROR(MATCH($B276,temp!I$4:I$13,0),0)&gt;0,T08_Spells!AM$2,"")</f>
        <v/>
      </c>
      <c r="AN276" t="str">
        <f>IF(IFERROR(MATCH($B276,temp!J$4:J$13,0),0)&gt;0,T08_Spells!AN$2,"")</f>
        <v/>
      </c>
      <c r="AO276" t="str">
        <f>IF(IFERROR(MATCH($B276,temp!K$4:K$13,0),0)&gt;0,T08_Spells!AO$2,"")</f>
        <v/>
      </c>
      <c r="AP276" t="str">
        <f>IF(IFERROR(MATCH($B276,temp!L$4:L$13,0),0)&gt;0,T08_Spells!AP$2,"")</f>
        <v/>
      </c>
      <c r="AQ276" t="str">
        <f>IF(IFERROR(MATCH($B276,temp!M$4:M$13,0),0)&gt;0,T08_Spells!AQ$2,"")</f>
        <v/>
      </c>
      <c r="AR276" t="str">
        <f>IF(IFERROR(MATCH($B276,temp!N$4:N$13,0),0)&gt;0,T08_Spells!AR$2,"")</f>
        <v/>
      </c>
      <c r="AS276" t="str">
        <f>IF(IFERROR(MATCH($B276,temp!O$4:O$13,0),0)&gt;0,T08_Spells!AS$2,"")</f>
        <v/>
      </c>
      <c r="AT276" t="str">
        <f>IF(IFERROR(MATCH($B276,temp!P$4:P$13,0),0)&gt;0,T08_Spells!AT$2,"")</f>
        <v/>
      </c>
      <c r="AU276" t="str">
        <f>IF(IFERROR(MATCH($B276,temp!Q$4:Q$13,0),0)&gt;0,T08_Spells!AU$2,"")</f>
        <v/>
      </c>
      <c r="AV276" t="str">
        <f>IF(IFERROR(MATCH($B276,temp!R$4:R$13,0),0)&gt;0,T08_Spells!AV$2,"")</f>
        <v/>
      </c>
      <c r="AW276" t="str">
        <f>IF(IFERROR(MATCH($B276,temp!S$4:S$13,0),0)&gt;0,T08_Spells!AW$2,"")</f>
        <v/>
      </c>
      <c r="AX276" t="str">
        <f>IF(IFERROR(MATCH($B276,temp!T$4:T$13,0),0)&gt;0,T08_Spells!AX$2,"")</f>
        <v/>
      </c>
      <c r="AY276" t="str">
        <f>IF(IFERROR(MATCH($B276,temp!U$4:U$13,0),0)&gt;0,T08_Spells!AY$2,"")</f>
        <v/>
      </c>
      <c r="AZ276" t="str">
        <f>IF(IFERROR(MATCH($B276,temp!V$4:V$13,0),0)&gt;0,T08_Spells!AZ$2,"")</f>
        <v/>
      </c>
      <c r="BA276" t="str">
        <f>IF(IFERROR(MATCH($B276,temp!W$4:W$13,0),0)&gt;0,T08_Spells!BA$2,"")</f>
        <v/>
      </c>
      <c r="BC276">
        <f>IF(IFERROR(SEARCH("Ranger",$T276,1),0)&gt;0,1,0)*IF(RangerMaxSpellLevel&gt;=$C276,1,0)*IF(IFERROR(MATCH(B276,Character_Creation!$X$79:$X$382,0),0)&gt;0,0,1)</f>
        <v>0</v>
      </c>
      <c r="BD276">
        <f>IF(BC276=0,0,1+COUNTIF(BD$3:BD275,"&gt;0"))</f>
        <v>0</v>
      </c>
      <c r="BE276" t="str">
        <f t="shared" si="257"/>
        <v/>
      </c>
      <c r="BF276" t="str">
        <f t="shared" si="229"/>
        <v/>
      </c>
      <c r="BH276">
        <f>IF(IFERROR(SEARCH("Sorcerer",$T276,1),0)&gt;0,1,0)*IF(SorcererMaxSpellLevel&gt;=$C276,1,0)*IF(IFERROR(MATCH(B276,Character_Creation!$J$380:$J$394,0),0)&gt;0,0,1)</f>
        <v>0</v>
      </c>
      <c r="BI276">
        <f>IF(BH276=0,0,1+COUNTIF(BI$3:BI275,"&gt;0"))</f>
        <v>0</v>
      </c>
      <c r="BJ276" t="str">
        <f t="shared" si="258"/>
        <v/>
      </c>
      <c r="BK276" t="str">
        <f t="shared" si="230"/>
        <v/>
      </c>
      <c r="BM276">
        <f>IF(OR(IFERROR(SEARCH("Warlock",$T276,1),0)&gt;0,IFERROR(SEARCH(WarlockPatron,$T276,1),0)&gt;0),1,0)*IF(WarlockMaxSpellLevel&gt;=$C276,1,0)*IF(IFERROR(MATCH(B276,Character_Creation!$J$361:$J$375,0),0)&gt;0,0,1)</f>
        <v>0</v>
      </c>
      <c r="BN276">
        <f>IF(BM276=0,0,1+COUNTIF(BN$3:BN275,"&gt;0"))</f>
        <v>0</v>
      </c>
      <c r="BO276" t="str">
        <f t="shared" si="259"/>
        <v/>
      </c>
      <c r="BP276" t="str">
        <f t="shared" si="231"/>
        <v/>
      </c>
      <c r="BR276">
        <f>IF(IFERROR(SEARCH("Eldritch Knight",$T276,1),0)&gt;0,1,0)*IF(EldritchKnightMaxSpellLevel&gt;=$C276,1,0)*IF(IFERROR(MATCH($B276,Character_Creation!$J$350:$J$356,0),0)&gt;0,0,1)*IF(Character_Creation!$M$338&gt;0,1,0)</f>
        <v>0</v>
      </c>
      <c r="BS276">
        <f>IF(BR276=0,0,1+COUNTIF(BS$3:BS275,"&gt;0"))</f>
        <v>0</v>
      </c>
      <c r="BT276" t="str">
        <f t="shared" si="260"/>
        <v/>
      </c>
      <c r="BU276" t="str">
        <f t="shared" si="232"/>
        <v/>
      </c>
      <c r="BW276">
        <f>IF(IFERROR(SEARCH("Arcane Trickster",$T276,1),0)&gt;0,1,0)*IF(ArcaneTricksterMaxSpellLevel&gt;=$C276,1,0)*IF(IFERROR(MATCH($B276,Character_Creation!$J$350:$J$356,0),0)&gt;0,0,1)*IF(Character_Creation!$T$338&gt;0,1,0)</f>
        <v>0</v>
      </c>
      <c r="BX276">
        <f>IF(BW276=0,0,1+COUNTIF(BX$3:BX275,"&gt;0"))</f>
        <v>0</v>
      </c>
      <c r="BY276" t="str">
        <f t="shared" si="261"/>
        <v/>
      </c>
      <c r="BZ276" t="str">
        <f t="shared" si="233"/>
        <v/>
      </c>
      <c r="CB276">
        <f>IF(IFERROR(SEARCH("Wizard",$T276,1),0)&gt;0,1,0)*IF(C276&lt;=ArcaneTricksterMaxSpellLevel,1,0)*IF(IFERROR(MATCH($B276,Character_Creation!$J$350:$J$356,0),0)&gt;0,0,1)*IF(Character_Creation!$T$350&gt;0,1,0)</f>
        <v>0</v>
      </c>
      <c r="CC276">
        <f>IF(CB276=0,0,1+COUNTIF(CC$3:CC275,"&gt;0"))</f>
        <v>0</v>
      </c>
      <c r="CD276" t="str">
        <f t="shared" si="262"/>
        <v/>
      </c>
      <c r="CE276" t="str">
        <f t="shared" si="234"/>
        <v/>
      </c>
      <c r="CG276">
        <f>IF(IFERROR(SEARCH("Wizard",$T276,1),0)&gt;0,1,0)*IF($C276&lt;=EldritchKnightMaxSpellLevel,1,0)*IF(IFERROR(MATCH($B276,Character_Creation!$J$350:$J$356,0),0)&gt;0,0,1)*IF(Character_Creation!$M$350&gt;0,1,0)</f>
        <v>0</v>
      </c>
      <c r="CH276">
        <f>IF(CG276=0,0,1+COUNTIF(CH$3:CH275,"&gt;0"))</f>
        <v>0</v>
      </c>
      <c r="CI276" t="str">
        <f t="shared" si="263"/>
        <v/>
      </c>
      <c r="CJ276" t="str">
        <f t="shared" si="235"/>
        <v/>
      </c>
      <c r="CL276">
        <f>IF(IFERROR(SEARCH("Bard",$T276,1),0)&gt;0,1,0)*IF(BardMaxSpellLevel&gt;=$C276,1,0)*IF(IFERROR(MATCH(B276,Character_Creation!$C$341:$F$362,0),0)&gt;0,0,1)*IF(IFERROR(MATCH($B276,Character_Creation!$C$341:$C$362,0),0)&gt;0,0,1)</f>
        <v>0</v>
      </c>
      <c r="CM276">
        <f>IF(CL276=0,0,1+COUNTIF(CM$3:CM275,"&gt;0"))</f>
        <v>0</v>
      </c>
      <c r="CN276" t="str">
        <f t="shared" si="264"/>
        <v/>
      </c>
      <c r="CO276" t="str">
        <f t="shared" si="236"/>
        <v/>
      </c>
      <c r="CQ276">
        <f>IF(IFERROR(SEARCH("Wizard",$T276,1),0)&gt;0,1,0)*IF(WizardMaxSpellLevel&gt;=$C276,1,0)*IF(IFERROR(MATCH(B276,Character_Creation!$X$341:$X$400,0),0)&gt;0,0,1)*IF(SelectedWizardSpellLevel=$C276,1,0)</f>
        <v>0</v>
      </c>
      <c r="CR276">
        <f>IF(CQ276=0,0,1+COUNTIF(CR$3:CR275,"&gt;0"))</f>
        <v>0</v>
      </c>
      <c r="CS276" t="str">
        <f t="shared" si="265"/>
        <v/>
      </c>
      <c r="CT276" t="str">
        <f t="shared" si="237"/>
        <v/>
      </c>
      <c r="CV276">
        <f>IF(IFERROR(MATCH($B276,Character_Creation!$C$341:$C$362,0),0)&gt;0,0,1)*IF(OR(C276="Cantrip",C276&lt;=BardMaxSpellLevel),1,0)*IF(IFERROR(MATCH($B276,Character_Creation!$C$367:$C$374,0),0)&gt;0,0,1)</f>
        <v>1</v>
      </c>
      <c r="CW276">
        <f>IF(CV276=0,0,1+COUNTIF(CW$3:CW275,"&gt;0"))</f>
        <v>18</v>
      </c>
      <c r="CX276" t="str">
        <f t="shared" si="266"/>
        <v/>
      </c>
      <c r="CY276" t="str">
        <f t="shared" si="238"/>
        <v/>
      </c>
      <c r="DA276">
        <f>IF(IF(OR(IFERROR(SEARCH("Cleric",$T276,1),0)&gt;0,IFERROR(SEARCH(DivineDomain&amp;",",$T276,1),0)&gt;0),1,0)*IF($C276=DA$2,1,0)=1,1+COUNTIF(DA$3:DA275,"&gt;0"),0)</f>
        <v>0</v>
      </c>
      <c r="DB276">
        <f>IF(IF(OR(IFERROR(SEARCH("Cleric",$T276,1),0)&gt;0,IFERROR(SEARCH(DivineDomain&amp;",",$T276,1),0)&gt;0),1,0)*IF($C276=DB$2,1,0)=1,1+COUNTIF(DB$3:DB275,"&gt;0"),0)</f>
        <v>0</v>
      </c>
      <c r="DC276">
        <f>IF(IF(OR(IFERROR(SEARCH("Cleric",$T276,1),0)&gt;0,IFERROR(SEARCH(DivineDomain&amp;",",$T276,1),0)&gt;0),1,0)*IF($C276=DC$2,1,0)=1,1+COUNTIF(DC$3:DC275,"&gt;0"),0)</f>
        <v>0</v>
      </c>
      <c r="DD276">
        <f>IF(IF(OR(IFERROR(SEARCH("Cleric",$T276,1),0)&gt;0,IFERROR(SEARCH(DivineDomain&amp;",",$T276,1),0)&gt;0),1,0)*IF($C276=DD$2,1,0)=1,1+COUNTIF(DD$3:DD275,"&gt;0"),0)</f>
        <v>0</v>
      </c>
      <c r="DE276">
        <f>IF(IF(OR(IFERROR(SEARCH("Cleric",$T276,1),0)&gt;0,IFERROR(SEARCH(DivineDomain&amp;",",$T276,1),0)&gt;0),1,0)*IF($C276=DE$2,1,0)=1,1+COUNTIF(DE$3:DE275,"&gt;0"),0)</f>
        <v>0</v>
      </c>
      <c r="DF276">
        <f>IF(IF(OR(IFERROR(SEARCH("Cleric",$T276,1),0)&gt;0,IFERROR(SEARCH(DivineDomain&amp;",",$T276,1),0)&gt;0),1,0)*IF($C276=DF$2,1,0)=1,1+COUNTIF(DF$3:DF275,"&gt;0"),0)</f>
        <v>0</v>
      </c>
      <c r="DG276">
        <f>IF(IF(OR(IFERROR(SEARCH("Cleric",$T276,1),0)&gt;0,IFERROR(SEARCH(DivineDomain&amp;",",$T276,1),0)&gt;0),1,0)*IF($C276=DG$2,1,0)=1,1+COUNTIF(DG$3:DG275,"&gt;0"),0)</f>
        <v>0</v>
      </c>
      <c r="DH276">
        <f>IF(IF(OR(IFERROR(SEARCH("Cleric",$T276,1),0)&gt;0,IFERROR(SEARCH(DivineDomain&amp;",",$T276,1),0)&gt;0),1,0)*IF($C276=DH$2,1,0)=1,1+COUNTIF(DH$3:DH275,"&gt;0"),0)</f>
        <v>0</v>
      </c>
      <c r="DI276">
        <f>IF(IF(OR(IFERROR(SEARCH("Cleric",$T276,1),0)&gt;0,IFERROR(SEARCH(DivineDomain&amp;",",$T276,1),0)&gt;0),1,0)*IF($C276=DI$2,1,0)=1,1+COUNTIF(DI$3:DI275,"&gt;0"),0)</f>
        <v>0</v>
      </c>
      <c r="DJ276">
        <f>IF(IF(OR(IFERROR(SEARCH("Druid",$T276,1),0)&gt;0,IFERROR(SEARCH(DruidLand1,$T276,1),0)&gt;0,IFERROR(SEARCH(DruidLand2,$T276,1),0)&gt;0,IFERROR(SEARCH(DruidLand3,$T276,1),0)&gt;0,IFERROR(SEARCH(DruidLand4,$T276,1),0)&gt;0),1,0)*IF($C276=1,1,0)*IF($C276=DJ$2,1,0)=0,0,1+COUNTIF(DJ$3:DJ275,"&gt;0"))</f>
        <v>0</v>
      </c>
      <c r="DK276">
        <f>IF(IF(OR(IFERROR(SEARCH("Druid",$T276,1),0)&gt;0,IFERROR(SEARCH(DruidLand1,$T276,1),0)&gt;0,IFERROR(SEARCH(DruidLand2,$T276,1),0)&gt;0,IFERROR(SEARCH(DruidLand3,$T276,1),0)&gt;0,IFERROR(SEARCH(DruidLand4,$T276,1),0)&gt;0),1,0)*IF($C276=1,1,0)*IF($C276=DK$2,1,0)=0,0,1+COUNTIF(DK$3:DK275,"&gt;0"))</f>
        <v>0</v>
      </c>
      <c r="DL276">
        <f>IF(IF(OR(IFERROR(SEARCH("Druid",$T276,1),0)&gt;0,IFERROR(SEARCH(DruidLand1,$T276,1),0)&gt;0,IFERROR(SEARCH(DruidLand2,$T276,1),0)&gt;0,IFERROR(SEARCH(DruidLand3,$T276,1),0)&gt;0,IFERROR(SEARCH(DruidLand4,$T276,1),0)&gt;0),1,0)*IF($C276=1,1,0)*IF($C276=DL$2,1,0)=0,0,1+COUNTIF(DL$3:DL275,"&gt;0"))</f>
        <v>0</v>
      </c>
      <c r="DM276">
        <f>IF(IF(OR(IFERROR(SEARCH("Druid",$T276,1),0)&gt;0,IFERROR(SEARCH(DruidLand1,$T276,1),0)&gt;0,IFERROR(SEARCH(DruidLand2,$T276,1),0)&gt;0,IFERROR(SEARCH(DruidLand3,$T276,1),0)&gt;0,IFERROR(SEARCH(DruidLand4,$T276,1),0)&gt;0),1,0)*IF($C276=1,1,0)*IF($C276=DM$2,1,0)=0,0,1+COUNTIF(DM$3:DM275,"&gt;0"))</f>
        <v>0</v>
      </c>
      <c r="DN276">
        <f>IF(IF(OR(IFERROR(SEARCH("Druid",$T276,1),0)&gt;0,IFERROR(SEARCH(DruidLand1,$T276,1),0)&gt;0,IFERROR(SEARCH(DruidLand2,$T276,1),0)&gt;0,IFERROR(SEARCH(DruidLand3,$T276,1),0)&gt;0,IFERROR(SEARCH(DruidLand4,$T276,1),0)&gt;0),1,0)*IF($C276=1,1,0)*IF($C276=DN$2,1,0)=0,0,1+COUNTIF(DN$3:DN275,"&gt;0"))</f>
        <v>0</v>
      </c>
      <c r="DO276">
        <f>IF(IF(OR(IFERROR(SEARCH("Druid",$T276,1),0)&gt;0,IFERROR(SEARCH(DruidLand1,$T276,1),0)&gt;0,IFERROR(SEARCH(DruidLand2,$T276,1),0)&gt;0,IFERROR(SEARCH(DruidLand3,$T276,1),0)&gt;0,IFERROR(SEARCH(DruidLand4,$T276,1),0)&gt;0),1,0)*IF($C276=1,1,0)*IF($C276=DO$2,1,0)=0,0,1+COUNTIF(DO$3:DO275,"&gt;0"))</f>
        <v>0</v>
      </c>
      <c r="DP276">
        <f>IF(IF(OR(IFERROR(SEARCH("Druid",$T276,1),0)&gt;0,IFERROR(SEARCH(DruidLand1,$T276,1),0)&gt;0,IFERROR(SEARCH(DruidLand2,$T276,1),0)&gt;0,IFERROR(SEARCH(DruidLand3,$T276,1),0)&gt;0,IFERROR(SEARCH(DruidLand4,$T276,1),0)&gt;0),1,0)*IF($C276=1,1,0)*IF($C276=DP$2,1,0)=0,0,1+COUNTIF(DP$3:DP275,"&gt;0"))</f>
        <v>0</v>
      </c>
      <c r="DQ276">
        <f>IF(IF(OR(IFERROR(SEARCH("Druid",$T276,1),0)&gt;0,IFERROR(SEARCH(DruidLand1,$T276,1),0)&gt;0,IFERROR(SEARCH(DruidLand2,$T276,1),0)&gt;0,IFERROR(SEARCH(DruidLand3,$T276,1),0)&gt;0,IFERROR(SEARCH(DruidLand4,$T276,1),0)&gt;0),1,0)*IF($C276=1,1,0)*IF($C276=DQ$2,1,0)=0,0,1+COUNTIF(DQ$3:DQ275,"&gt;0"))</f>
        <v>0</v>
      </c>
      <c r="DR276">
        <f>IF(IF(OR(IFERROR(SEARCH("Druid",$T276,1),0)&gt;0,IFERROR(SEARCH(DruidLand1,$T276,1),0)&gt;0,IFERROR(SEARCH(DruidLand2,$T276,1),0)&gt;0,IFERROR(SEARCH(DruidLand3,$T276,1),0)&gt;0,IFERROR(SEARCH(DruidLand4,$T276,1),0)&gt;0),1,0)*IF($C276=1,1,0)*IF($C276=DR$2,1,0)=0,0,1+COUNTIF(DR$3:DR275,"&gt;0"))</f>
        <v>0</v>
      </c>
      <c r="DS276">
        <f>IF(IF(OR(IFERROR(SEARCH("Paladin",$T276,1),0)&gt;0,IFERROR(SEARCH(PaladinOath,$T276,1),0)&gt;0),1,0)*IF($C276=DS$2,1,0)=1,1+COUNTIF(DS$3:DS275,"&gt;0"),0)</f>
        <v>0</v>
      </c>
      <c r="DT276">
        <f>IF(IF(OR(IFERROR(SEARCH("Paladin",$T276,1),0)&gt;0,IFERROR(SEARCH(PaladinOath,$T276,1),0)&gt;0),1,0)*IF($C276=DT$2,1,0)=1,1+COUNTIF(DT$3:DT275,"&gt;0"),0)</f>
        <v>0</v>
      </c>
      <c r="DU276">
        <f>IF(IF(OR(IFERROR(SEARCH("Paladin",$T276,1),0)&gt;0,IFERROR(SEARCH(PaladinOath,$T276,1),0)&gt;0),1,0)*IF($C276=DU$2,1,0)=1,1+COUNTIF(DU$3:DU275,"&gt;0"),0)</f>
        <v>0</v>
      </c>
      <c r="DV276">
        <f>IF(IF(OR(IFERROR(SEARCH("Paladin",$T276,1),0)&gt;0,IFERROR(SEARCH(PaladinOath,$T276,1),0)&gt;0),1,0)*IF($C276=DV$2,1,0)=1,1+COUNTIF(DV$3:DV275,"&gt;0"),0)</f>
        <v>0</v>
      </c>
      <c r="DW276">
        <f>IF(IF(OR(IFERROR(SEARCH("Paladin",$T276,1),0)&gt;0,IFERROR(SEARCH(PaladinOath,$T276,1),0)&gt;0),1,0)*IF($C276=DW$2,1,0)=1,1+COUNTIF(DW$3:DW275,"&gt;0"),0)</f>
        <v>0</v>
      </c>
      <c r="DY276">
        <f t="shared" si="225"/>
        <v>1</v>
      </c>
      <c r="DZ276">
        <f>IF(DY276=0,0,1+MAX(DZ$3:$DZ275))</f>
        <v>274</v>
      </c>
      <c r="EB276">
        <f t="shared" si="239"/>
        <v>0</v>
      </c>
      <c r="EC276">
        <f>IF(EB276=0,0,1+COUNTIF(EC$3:EC275,"&gt;0"))</f>
        <v>0</v>
      </c>
      <c r="ED276" t="str">
        <f t="shared" si="267"/>
        <v/>
      </c>
      <c r="EE276" t="str">
        <f t="shared" si="240"/>
        <v/>
      </c>
      <c r="EG276">
        <f t="shared" si="241"/>
        <v>0</v>
      </c>
      <c r="EH276">
        <f>IF(EG276=0,0,1+COUNTIF(EH$3:EH275,"&gt;0"))</f>
        <v>0</v>
      </c>
      <c r="EI276" t="str">
        <f t="shared" si="268"/>
        <v/>
      </c>
      <c r="EJ276" t="str">
        <f t="shared" si="242"/>
        <v/>
      </c>
      <c r="EL276">
        <f t="shared" si="243"/>
        <v>0</v>
      </c>
      <c r="EM276">
        <f>IF(EL276=0,0,1+COUNTIF(EM$3:EM275,"&gt;0"))</f>
        <v>0</v>
      </c>
      <c r="EN276" t="str">
        <f t="shared" si="269"/>
        <v/>
      </c>
      <c r="EO276" t="str">
        <f t="shared" si="244"/>
        <v/>
      </c>
      <c r="EQ276">
        <f t="shared" si="245"/>
        <v>1</v>
      </c>
      <c r="ER276">
        <f>IF(EQ276=0,0,1+COUNTIF(ER$3:ER275,"&gt;0"))</f>
        <v>7</v>
      </c>
      <c r="ES276" t="str">
        <f t="shared" si="270"/>
        <v/>
      </c>
      <c r="ET276" t="str">
        <f t="shared" si="246"/>
        <v/>
      </c>
      <c r="EV276">
        <f t="shared" si="247"/>
        <v>0</v>
      </c>
      <c r="EW276">
        <f>IF(EV276=0,0,1+COUNTIF(EW$3:EW275,"&gt;0"))</f>
        <v>0</v>
      </c>
      <c r="EX276" t="str">
        <f t="shared" si="271"/>
        <v/>
      </c>
      <c r="EY276" t="str">
        <f t="shared" si="248"/>
        <v/>
      </c>
      <c r="FA276">
        <f t="shared" si="249"/>
        <v>1</v>
      </c>
      <c r="FB276">
        <f>IF(FA276=0,0,1+COUNTIF(FB$3:FB275,"&gt;0"))</f>
        <v>14</v>
      </c>
      <c r="FC276" t="str">
        <f t="shared" si="272"/>
        <v/>
      </c>
      <c r="FD276" t="str">
        <f t="shared" si="250"/>
        <v/>
      </c>
      <c r="FF276">
        <f t="shared" si="251"/>
        <v>0</v>
      </c>
      <c r="FG276">
        <f>IF(FF276=0,0,1+COUNTIF(FG$3:FG275,"&gt;0"))</f>
        <v>0</v>
      </c>
      <c r="FH276" t="str">
        <f t="shared" si="273"/>
        <v/>
      </c>
      <c r="FI276" t="str">
        <f t="shared" si="252"/>
        <v/>
      </c>
      <c r="FK276">
        <f t="shared" si="253"/>
        <v>1</v>
      </c>
      <c r="FL276">
        <f>IF(FK276=0,0,1+COUNTIF(FL$3:FL275,"&gt;0"))</f>
        <v>14</v>
      </c>
      <c r="FM276" t="str">
        <f t="shared" si="274"/>
        <v/>
      </c>
      <c r="FN276" t="str">
        <f t="shared" si="254"/>
        <v/>
      </c>
      <c r="FP276">
        <f t="shared" si="255"/>
        <v>0</v>
      </c>
      <c r="FQ276">
        <f>IF(FP276=0,0,1+COUNTIF(FQ$3:FQ275,"&gt;0"))</f>
        <v>0</v>
      </c>
      <c r="FR276" t="str">
        <f t="shared" si="275"/>
        <v/>
      </c>
      <c r="FS276" t="str">
        <f t="shared" si="256"/>
        <v/>
      </c>
    </row>
    <row r="277" spans="1:175" x14ac:dyDescent="0.25">
      <c r="A277" s="347">
        <f t="shared" si="276"/>
        <v>275</v>
      </c>
      <c r="B277" s="348" t="s">
        <v>2662</v>
      </c>
      <c r="C277" s="348">
        <v>1</v>
      </c>
      <c r="D277" s="347">
        <v>1</v>
      </c>
      <c r="E277" s="627" t="s">
        <v>6952</v>
      </c>
      <c r="F277" s="346"/>
      <c r="G277" s="347" t="str">
        <f>""</f>
        <v/>
      </c>
      <c r="H277" s="347" t="s">
        <v>5912</v>
      </c>
      <c r="I277" s="347" t="s">
        <v>424</v>
      </c>
      <c r="J277" s="347" t="str">
        <f t="shared" si="226"/>
        <v/>
      </c>
      <c r="K277" s="347" t="s">
        <v>5278</v>
      </c>
      <c r="L277" s="611" t="str">
        <f t="shared" si="227"/>
        <v>V, S</v>
      </c>
      <c r="M277" s="347" t="s">
        <v>2373</v>
      </c>
      <c r="N277" s="347" t="s">
        <v>2387</v>
      </c>
      <c r="O277" s="347" t="s">
        <v>3034</v>
      </c>
      <c r="P277" s="346" t="str">
        <f>""</f>
        <v/>
      </c>
      <c r="Q277" s="347" t="s">
        <v>5275</v>
      </c>
      <c r="S277" s="346" t="s">
        <v>5806</v>
      </c>
      <c r="T277" s="346" t="str">
        <f t="shared" si="228"/>
        <v xml:space="preserve">Wizard, Death, </v>
      </c>
      <c r="AD277" s="347" t="str">
        <f>$B277</f>
        <v>Ray of Sickness</v>
      </c>
      <c r="AE277" t="str">
        <f>IF(IFERROR(MATCH($B277,temp!A$4:A$13,0),0)&gt;0,T08_Spells!AE$2,"")</f>
        <v/>
      </c>
      <c r="AF277" t="str">
        <f>IF(IFERROR(MATCH($B277,temp!B$4:B$13,0),0)&gt;0,T08_Spells!AF$2,"")</f>
        <v/>
      </c>
      <c r="AG277" t="str">
        <f>IF(IFERROR(MATCH($B277,temp!C$4:C$13,0),0)&gt;0,T08_Spells!AG$2,"")</f>
        <v/>
      </c>
      <c r="AH277" t="str">
        <f>IF(IFERROR(MATCH($B277,temp!D$4:D$13,0),0)&gt;0,T08_Spells!AH$2,"")</f>
        <v/>
      </c>
      <c r="AI277" t="str">
        <f>IF(IFERROR(MATCH($B277,temp!E$4:E$13,0),0)&gt;0,T08_Spells!AI$2,"")</f>
        <v/>
      </c>
      <c r="AJ277" t="str">
        <f>IF(IFERROR(MATCH($B277,temp!F$4:F$13,0),0)&gt;0,T08_Spells!AJ$2,"")</f>
        <v/>
      </c>
      <c r="AK277" t="str">
        <f>IF(IFERROR(MATCH($B277,temp!G$4:G$13,0),0)&gt;0,T08_Spells!AK$2,"")</f>
        <v/>
      </c>
      <c r="AL277" t="str">
        <f>IF(IFERROR(MATCH($B277,temp!H$4:H$13,0),0)&gt;0,T08_Spells!AL$2,"")</f>
        <v/>
      </c>
      <c r="AM277" t="str">
        <f>IF(IFERROR(MATCH($B277,temp!I$4:I$13,0),0)&gt;0,T08_Spells!AM$2,"")</f>
        <v/>
      </c>
      <c r="AN277" t="str">
        <f>IF(IFERROR(MATCH($B277,temp!J$4:J$13,0),0)&gt;0,T08_Spells!AN$2,"")</f>
        <v/>
      </c>
      <c r="AO277" t="str">
        <f>IF(IFERROR(MATCH($B277,temp!K$4:K$13,0),0)&gt;0,T08_Spells!AO$2,"")</f>
        <v/>
      </c>
      <c r="AP277" t="str">
        <f>IF(IFERROR(MATCH($B277,temp!L$4:L$13,0),0)&gt;0,T08_Spells!AP$2,"")</f>
        <v/>
      </c>
      <c r="AQ277" t="str">
        <f>IF(IFERROR(MATCH($B277,temp!M$4:M$13,0),0)&gt;0,T08_Spells!AQ$2,"")</f>
        <v/>
      </c>
      <c r="AR277" t="str">
        <f>IF(IFERROR(MATCH($B277,temp!N$4:N$13,0),0)&gt;0,T08_Spells!AR$2,"")</f>
        <v/>
      </c>
      <c r="AS277" t="str">
        <f>IF(IFERROR(MATCH($B277,temp!O$4:O$13,0),0)&gt;0,T08_Spells!AS$2,"")</f>
        <v/>
      </c>
      <c r="AT277" t="str">
        <f>IF(IFERROR(MATCH($B277,temp!P$4:P$13,0),0)&gt;0,T08_Spells!AT$2,"")</f>
        <v/>
      </c>
      <c r="AU277" t="str">
        <f>IF(IFERROR(MATCH($B277,temp!Q$4:Q$13,0),0)&gt;0,T08_Spells!AU$2,"")</f>
        <v/>
      </c>
      <c r="AV277" t="str">
        <f>IF(IFERROR(MATCH($B277,temp!R$4:R$13,0),0)&gt;0,T08_Spells!AV$2,"")</f>
        <v/>
      </c>
      <c r="AW277" t="str">
        <f>IF(IFERROR(MATCH($B277,temp!S$4:S$13,0),0)&gt;0,T08_Spells!AW$2,"")</f>
        <v/>
      </c>
      <c r="AX277" t="str">
        <f>IF(IFERROR(MATCH($B277,temp!T$4:T$13,0),0)&gt;0,T08_Spells!AX$2,"")</f>
        <v/>
      </c>
      <c r="AY277" t="str">
        <f>IF(IFERROR(MATCH($B277,temp!U$4:U$13,0),0)&gt;0,T08_Spells!AY$2,"")</f>
        <v/>
      </c>
      <c r="AZ277" t="str">
        <f>IF(IFERROR(MATCH($B277,temp!V$4:V$13,0),0)&gt;0,T08_Spells!AZ$2,"")</f>
        <v/>
      </c>
      <c r="BA277" t="str">
        <f>IF(IFERROR(MATCH($B277,temp!W$4:W$13,0),0)&gt;0,T08_Spells!BA$2,"")</f>
        <v>Death</v>
      </c>
      <c r="BC277">
        <f>IF(IFERROR(SEARCH("Ranger",$T277,1),0)&gt;0,1,0)*IF(RangerMaxSpellLevel&gt;=$C277,1,0)*IF(IFERROR(MATCH(B277,Character_Creation!$X$79:$X$382,0),0)&gt;0,0,1)</f>
        <v>0</v>
      </c>
      <c r="BD277">
        <f>IF(BC277=0,0,1+COUNTIF(BD$3:BD276,"&gt;0"))</f>
        <v>0</v>
      </c>
      <c r="BE277" t="str">
        <f t="shared" si="257"/>
        <v/>
      </c>
      <c r="BF277" t="str">
        <f t="shared" si="229"/>
        <v/>
      </c>
      <c r="BH277">
        <f>IF(IFERROR(SEARCH("Sorcerer",$T277,1),0)&gt;0,1,0)*IF(SorcererMaxSpellLevel&gt;=$C277,1,0)*IF(IFERROR(MATCH(B277,Character_Creation!$J$380:$J$394,0),0)&gt;0,0,1)</f>
        <v>0</v>
      </c>
      <c r="BI277">
        <f>IF(BH277=0,0,1+COUNTIF(BI$3:BI276,"&gt;0"))</f>
        <v>0</v>
      </c>
      <c r="BJ277" t="str">
        <f t="shared" si="258"/>
        <v/>
      </c>
      <c r="BK277" t="str">
        <f t="shared" si="230"/>
        <v/>
      </c>
      <c r="BM277">
        <f>IF(OR(IFERROR(SEARCH("Warlock",$T277,1),0)&gt;0,IFERROR(SEARCH(WarlockPatron,$T277,1),0)&gt;0),1,0)*IF(WarlockMaxSpellLevel&gt;=$C277,1,0)*IF(IFERROR(MATCH(B277,Character_Creation!$J$361:$J$375,0),0)&gt;0,0,1)</f>
        <v>0</v>
      </c>
      <c r="BN277">
        <f>IF(BM277=0,0,1+COUNTIF(BN$3:BN276,"&gt;0"))</f>
        <v>0</v>
      </c>
      <c r="BO277" t="str">
        <f t="shared" si="259"/>
        <v/>
      </c>
      <c r="BP277" t="str">
        <f t="shared" si="231"/>
        <v/>
      </c>
      <c r="BR277">
        <f>IF(IFERROR(SEARCH("Eldritch Knight",$T277,1),0)&gt;0,1,0)*IF(EldritchKnightMaxSpellLevel&gt;=$C277,1,0)*IF(IFERROR(MATCH($B277,Character_Creation!$J$350:$J$356,0),0)&gt;0,0,1)*IF(Character_Creation!$M$338&gt;0,1,0)</f>
        <v>0</v>
      </c>
      <c r="BS277">
        <f>IF(BR277=0,0,1+COUNTIF(BS$3:BS276,"&gt;0"))</f>
        <v>0</v>
      </c>
      <c r="BT277" t="str">
        <f t="shared" si="260"/>
        <v/>
      </c>
      <c r="BU277" t="str">
        <f t="shared" si="232"/>
        <v/>
      </c>
      <c r="BW277">
        <f>IF(IFERROR(SEARCH("Arcane Trickster",$T277,1),0)&gt;0,1,0)*IF(ArcaneTricksterMaxSpellLevel&gt;=$C277,1,0)*IF(IFERROR(MATCH($B277,Character_Creation!$J$350:$J$356,0),0)&gt;0,0,1)*IF(Character_Creation!$T$338&gt;0,1,0)</f>
        <v>0</v>
      </c>
      <c r="BX277">
        <f>IF(BW277=0,0,1+COUNTIF(BX$3:BX276,"&gt;0"))</f>
        <v>0</v>
      </c>
      <c r="BY277" t="str">
        <f t="shared" si="261"/>
        <v/>
      </c>
      <c r="BZ277" t="str">
        <f t="shared" si="233"/>
        <v/>
      </c>
      <c r="CB277">
        <f>IF(IFERROR(SEARCH("Wizard",$T277,1),0)&gt;0,1,0)*IF(C277&lt;=ArcaneTricksterMaxSpellLevel,1,0)*IF(IFERROR(MATCH($B277,Character_Creation!$J$350:$J$356,0),0)&gt;0,0,1)*IF(Character_Creation!$T$350&gt;0,1,0)</f>
        <v>0</v>
      </c>
      <c r="CC277">
        <f>IF(CB277=0,0,1+COUNTIF(CC$3:CC276,"&gt;0"))</f>
        <v>0</v>
      </c>
      <c r="CD277" t="str">
        <f t="shared" si="262"/>
        <v/>
      </c>
      <c r="CE277" t="str">
        <f t="shared" si="234"/>
        <v/>
      </c>
      <c r="CG277">
        <f>IF(IFERROR(SEARCH("Wizard",$T277,1),0)&gt;0,1,0)*IF($C277&lt;=EldritchKnightMaxSpellLevel,1,0)*IF(IFERROR(MATCH($B277,Character_Creation!$J$350:$J$356,0),0)&gt;0,0,1)*IF(Character_Creation!$M$350&gt;0,1,0)</f>
        <v>1</v>
      </c>
      <c r="CH277">
        <f>IF(CG277=0,0,1+COUNTIF(CH$3:CH276,"&gt;0"))</f>
        <v>48</v>
      </c>
      <c r="CI277" t="str">
        <f t="shared" si="263"/>
        <v/>
      </c>
      <c r="CJ277" t="str">
        <f t="shared" si="235"/>
        <v/>
      </c>
      <c r="CL277">
        <f>IF(IFERROR(SEARCH("Bard",$T277,1),0)&gt;0,1,0)*IF(BardMaxSpellLevel&gt;=$C277,1,0)*IF(IFERROR(MATCH(B277,Character_Creation!$C$341:$F$362,0),0)&gt;0,0,1)*IF(IFERROR(MATCH($B277,Character_Creation!$C$341:$C$362,0),0)&gt;0,0,1)</f>
        <v>0</v>
      </c>
      <c r="CM277">
        <f>IF(CL277=0,0,1+COUNTIF(CM$3:CM276,"&gt;0"))</f>
        <v>0</v>
      </c>
      <c r="CN277" t="str">
        <f t="shared" si="264"/>
        <v/>
      </c>
      <c r="CO277" t="str">
        <f t="shared" si="236"/>
        <v/>
      </c>
      <c r="CQ277">
        <f>IF(IFERROR(SEARCH("Wizard",$T277,1),0)&gt;0,1,0)*IF(WizardMaxSpellLevel&gt;=$C277,1,0)*IF(IFERROR(MATCH(B277,Character_Creation!$X$341:$X$400,0),0)&gt;0,0,1)*IF(SelectedWizardSpellLevel=$C277,1,0)</f>
        <v>0</v>
      </c>
      <c r="CR277">
        <f>IF(CQ277=0,0,1+COUNTIF(CR$3:CR276,"&gt;0"))</f>
        <v>0</v>
      </c>
      <c r="CS277" t="str">
        <f t="shared" si="265"/>
        <v/>
      </c>
      <c r="CT277" t="str">
        <f t="shared" si="237"/>
        <v/>
      </c>
      <c r="CV277">
        <f>IF(IFERROR(MATCH($B277,Character_Creation!$C$341:$C$362,0),0)&gt;0,0,1)*IF(OR(C277="Cantrip",C277&lt;=BardMaxSpellLevel),1,0)*IF(IFERROR(MATCH($B277,Character_Creation!$C$367:$C$374,0),0)&gt;0,0,1)</f>
        <v>0</v>
      </c>
      <c r="CW277">
        <f>IF(CV277=0,0,1+COUNTIF(CW$3:CW276,"&gt;0"))</f>
        <v>0</v>
      </c>
      <c r="CX277" t="str">
        <f t="shared" si="266"/>
        <v/>
      </c>
      <c r="CY277" t="str">
        <f t="shared" si="238"/>
        <v/>
      </c>
      <c r="DA277">
        <f>IF(IF(OR(IFERROR(SEARCH("Cleric",$T277,1),0)&gt;0,IFERROR(SEARCH(DivineDomain&amp;",",$T277,1),0)&gt;0),1,0)*IF($C277=DA$2,1,0)=1,1+COUNTIF(DA$3:DA276,"&gt;0"),0)</f>
        <v>0</v>
      </c>
      <c r="DB277">
        <f>IF(IF(OR(IFERROR(SEARCH("Cleric",$T277,1),0)&gt;0,IFERROR(SEARCH(DivineDomain&amp;",",$T277,1),0)&gt;0),1,0)*IF($C277=DB$2,1,0)=1,1+COUNTIF(DB$3:DB276,"&gt;0"),0)</f>
        <v>0</v>
      </c>
      <c r="DC277">
        <f>IF(IF(OR(IFERROR(SEARCH("Cleric",$T277,1),0)&gt;0,IFERROR(SEARCH(DivineDomain&amp;",",$T277,1),0)&gt;0),1,0)*IF($C277=DC$2,1,0)=1,1+COUNTIF(DC$3:DC276,"&gt;0"),0)</f>
        <v>0</v>
      </c>
      <c r="DD277">
        <f>IF(IF(OR(IFERROR(SEARCH("Cleric",$T277,1),0)&gt;0,IFERROR(SEARCH(DivineDomain&amp;",",$T277,1),0)&gt;0),1,0)*IF($C277=DD$2,1,0)=1,1+COUNTIF(DD$3:DD276,"&gt;0"),0)</f>
        <v>0</v>
      </c>
      <c r="DE277">
        <f>IF(IF(OR(IFERROR(SEARCH("Cleric",$T277,1),0)&gt;0,IFERROR(SEARCH(DivineDomain&amp;",",$T277,1),0)&gt;0),1,0)*IF($C277=DE$2,1,0)=1,1+COUNTIF(DE$3:DE276,"&gt;0"),0)</f>
        <v>0</v>
      </c>
      <c r="DF277">
        <f>IF(IF(OR(IFERROR(SEARCH("Cleric",$T277,1),0)&gt;0,IFERROR(SEARCH(DivineDomain&amp;",",$T277,1),0)&gt;0),1,0)*IF($C277=DF$2,1,0)=1,1+COUNTIF(DF$3:DF276,"&gt;0"),0)</f>
        <v>0</v>
      </c>
      <c r="DG277">
        <f>IF(IF(OR(IFERROR(SEARCH("Cleric",$T277,1),0)&gt;0,IFERROR(SEARCH(DivineDomain&amp;",",$T277,1),0)&gt;0),1,0)*IF($C277=DG$2,1,0)=1,1+COUNTIF(DG$3:DG276,"&gt;0"),0)</f>
        <v>0</v>
      </c>
      <c r="DH277">
        <f>IF(IF(OR(IFERROR(SEARCH("Cleric",$T277,1),0)&gt;0,IFERROR(SEARCH(DivineDomain&amp;",",$T277,1),0)&gt;0),1,0)*IF($C277=DH$2,1,0)=1,1+COUNTIF(DH$3:DH276,"&gt;0"),0)</f>
        <v>0</v>
      </c>
      <c r="DI277">
        <f>IF(IF(OR(IFERROR(SEARCH("Cleric",$T277,1),0)&gt;0,IFERROR(SEARCH(DivineDomain&amp;",",$T277,1),0)&gt;0),1,0)*IF($C277=DI$2,1,0)=1,1+COUNTIF(DI$3:DI276,"&gt;0"),0)</f>
        <v>0</v>
      </c>
      <c r="DJ277">
        <f>IF(IF(OR(IFERROR(SEARCH("Druid",$T277,1),0)&gt;0,IFERROR(SEARCH(DruidLand1,$T277,1),0)&gt;0,IFERROR(SEARCH(DruidLand2,$T277,1),0)&gt;0,IFERROR(SEARCH(DruidLand3,$T277,1),0)&gt;0,IFERROR(SEARCH(DruidLand4,$T277,1),0)&gt;0),1,0)*IF($C277=1,1,0)*IF($C277=DJ$2,1,0)=0,0,1+COUNTIF(DJ$3:DJ276,"&gt;0"))</f>
        <v>0</v>
      </c>
      <c r="DK277">
        <f>IF(IF(OR(IFERROR(SEARCH("Druid",$T277,1),0)&gt;0,IFERROR(SEARCH(DruidLand1,$T277,1),0)&gt;0,IFERROR(SEARCH(DruidLand2,$T277,1),0)&gt;0,IFERROR(SEARCH(DruidLand3,$T277,1),0)&gt;0,IFERROR(SEARCH(DruidLand4,$T277,1),0)&gt;0),1,0)*IF($C277=1,1,0)*IF($C277=DK$2,1,0)=0,0,1+COUNTIF(DK$3:DK276,"&gt;0"))</f>
        <v>0</v>
      </c>
      <c r="DL277">
        <f>IF(IF(OR(IFERROR(SEARCH("Druid",$T277,1),0)&gt;0,IFERROR(SEARCH(DruidLand1,$T277,1),0)&gt;0,IFERROR(SEARCH(DruidLand2,$T277,1),0)&gt;0,IFERROR(SEARCH(DruidLand3,$T277,1),0)&gt;0,IFERROR(SEARCH(DruidLand4,$T277,1),0)&gt;0),1,0)*IF($C277=1,1,0)*IF($C277=DL$2,1,0)=0,0,1+COUNTIF(DL$3:DL276,"&gt;0"))</f>
        <v>0</v>
      </c>
      <c r="DM277">
        <f>IF(IF(OR(IFERROR(SEARCH("Druid",$T277,1),0)&gt;0,IFERROR(SEARCH(DruidLand1,$T277,1),0)&gt;0,IFERROR(SEARCH(DruidLand2,$T277,1),0)&gt;0,IFERROR(SEARCH(DruidLand3,$T277,1),0)&gt;0,IFERROR(SEARCH(DruidLand4,$T277,1),0)&gt;0),1,0)*IF($C277=1,1,0)*IF($C277=DM$2,1,0)=0,0,1+COUNTIF(DM$3:DM276,"&gt;0"))</f>
        <v>0</v>
      </c>
      <c r="DN277">
        <f>IF(IF(OR(IFERROR(SEARCH("Druid",$T277,1),0)&gt;0,IFERROR(SEARCH(DruidLand1,$T277,1),0)&gt;0,IFERROR(SEARCH(DruidLand2,$T277,1),0)&gt;0,IFERROR(SEARCH(DruidLand3,$T277,1),0)&gt;0,IFERROR(SEARCH(DruidLand4,$T277,1),0)&gt;0),1,0)*IF($C277=1,1,0)*IF($C277=DN$2,1,0)=0,0,1+COUNTIF(DN$3:DN276,"&gt;0"))</f>
        <v>0</v>
      </c>
      <c r="DO277">
        <f>IF(IF(OR(IFERROR(SEARCH("Druid",$T277,1),0)&gt;0,IFERROR(SEARCH(DruidLand1,$T277,1),0)&gt;0,IFERROR(SEARCH(DruidLand2,$T277,1),0)&gt;0,IFERROR(SEARCH(DruidLand3,$T277,1),0)&gt;0,IFERROR(SEARCH(DruidLand4,$T277,1),0)&gt;0),1,0)*IF($C277=1,1,0)*IF($C277=DO$2,1,0)=0,0,1+COUNTIF(DO$3:DO276,"&gt;0"))</f>
        <v>0</v>
      </c>
      <c r="DP277">
        <f>IF(IF(OR(IFERROR(SEARCH("Druid",$T277,1),0)&gt;0,IFERROR(SEARCH(DruidLand1,$T277,1),0)&gt;0,IFERROR(SEARCH(DruidLand2,$T277,1),0)&gt;0,IFERROR(SEARCH(DruidLand3,$T277,1),0)&gt;0,IFERROR(SEARCH(DruidLand4,$T277,1),0)&gt;0),1,0)*IF($C277=1,1,0)*IF($C277=DP$2,1,0)=0,0,1+COUNTIF(DP$3:DP276,"&gt;0"))</f>
        <v>0</v>
      </c>
      <c r="DQ277">
        <f>IF(IF(OR(IFERROR(SEARCH("Druid",$T277,1),0)&gt;0,IFERROR(SEARCH(DruidLand1,$T277,1),0)&gt;0,IFERROR(SEARCH(DruidLand2,$T277,1),0)&gt;0,IFERROR(SEARCH(DruidLand3,$T277,1),0)&gt;0,IFERROR(SEARCH(DruidLand4,$T277,1),0)&gt;0),1,0)*IF($C277=1,1,0)*IF($C277=DQ$2,1,0)=0,0,1+COUNTIF(DQ$3:DQ276,"&gt;0"))</f>
        <v>0</v>
      </c>
      <c r="DR277">
        <f>IF(IF(OR(IFERROR(SEARCH("Druid",$T277,1),0)&gt;0,IFERROR(SEARCH(DruidLand1,$T277,1),0)&gt;0,IFERROR(SEARCH(DruidLand2,$T277,1),0)&gt;0,IFERROR(SEARCH(DruidLand3,$T277,1),0)&gt;0,IFERROR(SEARCH(DruidLand4,$T277,1),0)&gt;0),1,0)*IF($C277=1,1,0)*IF($C277=DR$2,1,0)=0,0,1+COUNTIF(DR$3:DR276,"&gt;0"))</f>
        <v>0</v>
      </c>
      <c r="DS277">
        <f>IF(IF(OR(IFERROR(SEARCH("Paladin",$T277,1),0)&gt;0,IFERROR(SEARCH(PaladinOath,$T277,1),0)&gt;0),1,0)*IF($C277=DS$2,1,0)=1,1+COUNTIF(DS$3:DS276,"&gt;0"),0)</f>
        <v>0</v>
      </c>
      <c r="DT277">
        <f>IF(IF(OR(IFERROR(SEARCH("Paladin",$T277,1),0)&gt;0,IFERROR(SEARCH(PaladinOath,$T277,1),0)&gt;0),1,0)*IF($C277=DT$2,1,0)=1,1+COUNTIF(DT$3:DT276,"&gt;0"),0)</f>
        <v>0</v>
      </c>
      <c r="DU277">
        <f>IF(IF(OR(IFERROR(SEARCH("Paladin",$T277,1),0)&gt;0,IFERROR(SEARCH(PaladinOath,$T277,1),0)&gt;0),1,0)*IF($C277=DU$2,1,0)=1,1+COUNTIF(DU$3:DU276,"&gt;0"),0)</f>
        <v>0</v>
      </c>
      <c r="DV277">
        <f>IF(IF(OR(IFERROR(SEARCH("Paladin",$T277,1),0)&gt;0,IFERROR(SEARCH(PaladinOath,$T277,1),0)&gt;0),1,0)*IF($C277=DV$2,1,0)=1,1+COUNTIF(DV$3:DV276,"&gt;0"),0)</f>
        <v>0</v>
      </c>
      <c r="DW277">
        <f>IF(IF(OR(IFERROR(SEARCH("Paladin",$T277,1),0)&gt;0,IFERROR(SEARCH(PaladinOath,$T277,1),0)&gt;0),1,0)*IF($C277=DW$2,1,0)=1,1+COUNTIF(DW$3:DW276,"&gt;0"),0)</f>
        <v>0</v>
      </c>
      <c r="DY277">
        <f t="shared" si="225"/>
        <v>1</v>
      </c>
      <c r="DZ277">
        <f>IF(DY277=0,0,1+MAX(DZ$3:$DZ276))</f>
        <v>275</v>
      </c>
      <c r="EB277">
        <f t="shared" si="239"/>
        <v>0</v>
      </c>
      <c r="EC277">
        <f>IF(EB277=0,0,1+COUNTIF(EC$3:EC276,"&gt;0"))</f>
        <v>0</v>
      </c>
      <c r="ED277" t="str">
        <f t="shared" si="267"/>
        <v/>
      </c>
      <c r="EE277" t="str">
        <f t="shared" si="240"/>
        <v/>
      </c>
      <c r="EG277">
        <f t="shared" si="241"/>
        <v>0</v>
      </c>
      <c r="EH277">
        <f>IF(EG277=0,0,1+COUNTIF(EH$3:EH276,"&gt;0"))</f>
        <v>0</v>
      </c>
      <c r="EI277" t="str">
        <f t="shared" si="268"/>
        <v/>
      </c>
      <c r="EJ277" t="str">
        <f t="shared" si="242"/>
        <v/>
      </c>
      <c r="EL277">
        <f t="shared" si="243"/>
        <v>0</v>
      </c>
      <c r="EM277">
        <f>IF(EL277=0,0,1+COUNTIF(EM$3:EM276,"&gt;0"))</f>
        <v>0</v>
      </c>
      <c r="EN277" t="str">
        <f t="shared" si="269"/>
        <v/>
      </c>
      <c r="EO277" t="str">
        <f t="shared" si="244"/>
        <v/>
      </c>
      <c r="EQ277">
        <f t="shared" si="245"/>
        <v>0</v>
      </c>
      <c r="ER277">
        <f>IF(EQ277=0,0,1+COUNTIF(ER$3:ER276,"&gt;0"))</f>
        <v>0</v>
      </c>
      <c r="ES277" t="str">
        <f t="shared" si="270"/>
        <v/>
      </c>
      <c r="ET277" t="str">
        <f t="shared" si="246"/>
        <v/>
      </c>
      <c r="EV277">
        <f t="shared" si="247"/>
        <v>0</v>
      </c>
      <c r="EW277">
        <f>IF(EV277=0,0,1+COUNTIF(EW$3:EW276,"&gt;0"))</f>
        <v>0</v>
      </c>
      <c r="EX277" t="str">
        <f t="shared" si="271"/>
        <v/>
      </c>
      <c r="EY277" t="str">
        <f t="shared" si="248"/>
        <v/>
      </c>
      <c r="FA277">
        <f t="shared" si="249"/>
        <v>0</v>
      </c>
      <c r="FB277">
        <f>IF(FA277=0,0,1+COUNTIF(FB$3:FB276,"&gt;0"))</f>
        <v>0</v>
      </c>
      <c r="FC277" t="str">
        <f t="shared" si="272"/>
        <v/>
      </c>
      <c r="FD277" t="str">
        <f t="shared" si="250"/>
        <v/>
      </c>
      <c r="FF277">
        <f t="shared" si="251"/>
        <v>0</v>
      </c>
      <c r="FG277">
        <f>IF(FF277=0,0,1+COUNTIF(FG$3:FG276,"&gt;0"))</f>
        <v>0</v>
      </c>
      <c r="FH277" t="str">
        <f t="shared" si="273"/>
        <v/>
      </c>
      <c r="FI277" t="str">
        <f t="shared" si="252"/>
        <v/>
      </c>
      <c r="FK277">
        <f t="shared" si="253"/>
        <v>0</v>
      </c>
      <c r="FL277">
        <f>IF(FK277=0,0,1+COUNTIF(FL$3:FL276,"&gt;0"))</f>
        <v>0</v>
      </c>
      <c r="FM277" t="str">
        <f t="shared" si="274"/>
        <v/>
      </c>
      <c r="FN277" t="str">
        <f t="shared" si="254"/>
        <v/>
      </c>
      <c r="FP277">
        <f t="shared" si="255"/>
        <v>0</v>
      </c>
      <c r="FQ277">
        <f>IF(FP277=0,0,1+COUNTIF(FQ$3:FQ276,"&gt;0"))</f>
        <v>0</v>
      </c>
      <c r="FR277" t="str">
        <f t="shared" si="275"/>
        <v/>
      </c>
      <c r="FS277" t="str">
        <f t="shared" si="256"/>
        <v/>
      </c>
    </row>
    <row r="278" spans="1:175" x14ac:dyDescent="0.25">
      <c r="A278" s="347">
        <f t="shared" si="276"/>
        <v>276</v>
      </c>
      <c r="B278" s="348" t="s">
        <v>2663</v>
      </c>
      <c r="C278" s="348">
        <v>7</v>
      </c>
      <c r="D278" s="347">
        <v>7</v>
      </c>
      <c r="E278" s="627" t="s">
        <v>6952</v>
      </c>
      <c r="F278" s="346"/>
      <c r="G278" s="347" t="str">
        <f>""</f>
        <v/>
      </c>
      <c r="H278" s="347" t="s">
        <v>5288</v>
      </c>
      <c r="I278" s="347" t="s">
        <v>5298</v>
      </c>
      <c r="J278" s="347" t="str">
        <f t="shared" si="226"/>
        <v/>
      </c>
      <c r="K278" s="347" t="s">
        <v>5293</v>
      </c>
      <c r="L278" s="611" t="str">
        <f t="shared" si="227"/>
        <v>V, S, M, a prayer wheel and holy water</v>
      </c>
      <c r="M278" s="347" t="s">
        <v>2373</v>
      </c>
      <c r="N278" s="347" t="s">
        <v>2387</v>
      </c>
      <c r="O278" s="347" t="s">
        <v>1244</v>
      </c>
      <c r="P278" s="346" t="s">
        <v>5461</v>
      </c>
      <c r="Q278" s="347" t="s">
        <v>5276</v>
      </c>
      <c r="S278" s="346" t="s">
        <v>5807</v>
      </c>
      <c r="T278" s="346" t="str">
        <f t="shared" si="228"/>
        <v xml:space="preserve">Bard, Cleric, Druid, </v>
      </c>
      <c r="U278" s="347" t="str">
        <f>$B278</f>
        <v>Regenerate</v>
      </c>
      <c r="Z278" s="347" t="str">
        <f>$B278</f>
        <v>Regenerate</v>
      </c>
      <c r="AA278" s="347" t="str">
        <f>$B278</f>
        <v>Regenerate</v>
      </c>
      <c r="AE278" t="str">
        <f>IF(IFERROR(MATCH($B278,temp!A$4:A$13,0),0)&gt;0,T08_Spells!AE$2,"")</f>
        <v/>
      </c>
      <c r="AF278" t="str">
        <f>IF(IFERROR(MATCH($B278,temp!B$4:B$13,0),0)&gt;0,T08_Spells!AF$2,"")</f>
        <v/>
      </c>
      <c r="AG278" t="str">
        <f>IF(IFERROR(MATCH($B278,temp!C$4:C$13,0),0)&gt;0,T08_Spells!AG$2,"")</f>
        <v/>
      </c>
      <c r="AH278" t="str">
        <f>IF(IFERROR(MATCH($B278,temp!D$4:D$13,0),0)&gt;0,T08_Spells!AH$2,"")</f>
        <v/>
      </c>
      <c r="AI278" t="str">
        <f>IF(IFERROR(MATCH($B278,temp!E$4:E$13,0),0)&gt;0,T08_Spells!AI$2,"")</f>
        <v/>
      </c>
      <c r="AJ278" t="str">
        <f>IF(IFERROR(MATCH($B278,temp!F$4:F$13,0),0)&gt;0,T08_Spells!AJ$2,"")</f>
        <v/>
      </c>
      <c r="AK278" t="str">
        <f>IF(IFERROR(MATCH($B278,temp!G$4:G$13,0),0)&gt;0,T08_Spells!AK$2,"")</f>
        <v/>
      </c>
      <c r="AL278" t="str">
        <f>IF(IFERROR(MATCH($B278,temp!H$4:H$13,0),0)&gt;0,T08_Spells!AL$2,"")</f>
        <v/>
      </c>
      <c r="AM278" t="str">
        <f>IF(IFERROR(MATCH($B278,temp!I$4:I$13,0),0)&gt;0,T08_Spells!AM$2,"")</f>
        <v/>
      </c>
      <c r="AN278" t="str">
        <f>IF(IFERROR(MATCH($B278,temp!J$4:J$13,0),0)&gt;0,T08_Spells!AN$2,"")</f>
        <v/>
      </c>
      <c r="AO278" t="str">
        <f>IF(IFERROR(MATCH($B278,temp!K$4:K$13,0),0)&gt;0,T08_Spells!AO$2,"")</f>
        <v/>
      </c>
      <c r="AP278" t="str">
        <f>IF(IFERROR(MATCH($B278,temp!L$4:L$13,0),0)&gt;0,T08_Spells!AP$2,"")</f>
        <v/>
      </c>
      <c r="AQ278" t="str">
        <f>IF(IFERROR(MATCH($B278,temp!M$4:M$13,0),0)&gt;0,T08_Spells!AQ$2,"")</f>
        <v/>
      </c>
      <c r="AR278" t="str">
        <f>IF(IFERROR(MATCH($B278,temp!N$4:N$13,0),0)&gt;0,T08_Spells!AR$2,"")</f>
        <v/>
      </c>
      <c r="AS278" t="str">
        <f>IF(IFERROR(MATCH($B278,temp!O$4:O$13,0),0)&gt;0,T08_Spells!AS$2,"")</f>
        <v/>
      </c>
      <c r="AT278" t="str">
        <f>IF(IFERROR(MATCH($B278,temp!P$4:P$13,0),0)&gt;0,T08_Spells!AT$2,"")</f>
        <v/>
      </c>
      <c r="AU278" t="str">
        <f>IF(IFERROR(MATCH($B278,temp!Q$4:Q$13,0),0)&gt;0,T08_Spells!AU$2,"")</f>
        <v/>
      </c>
      <c r="AV278" t="str">
        <f>IF(IFERROR(MATCH($B278,temp!R$4:R$13,0),0)&gt;0,T08_Spells!AV$2,"")</f>
        <v/>
      </c>
      <c r="AW278" t="str">
        <f>IF(IFERROR(MATCH($B278,temp!S$4:S$13,0),0)&gt;0,T08_Spells!AW$2,"")</f>
        <v/>
      </c>
      <c r="AX278" t="str">
        <f>IF(IFERROR(MATCH($B278,temp!T$4:T$13,0),0)&gt;0,T08_Spells!AX$2,"")</f>
        <v/>
      </c>
      <c r="AY278" t="str">
        <f>IF(IFERROR(MATCH($B278,temp!U$4:U$13,0),0)&gt;0,T08_Spells!AY$2,"")</f>
        <v/>
      </c>
      <c r="AZ278" t="str">
        <f>IF(IFERROR(MATCH($B278,temp!V$4:V$13,0),0)&gt;0,T08_Spells!AZ$2,"")</f>
        <v/>
      </c>
      <c r="BA278" t="str">
        <f>IF(IFERROR(MATCH($B278,temp!W$4:W$13,0),0)&gt;0,T08_Spells!BA$2,"")</f>
        <v/>
      </c>
      <c r="BC278">
        <f>IF(IFERROR(SEARCH("Ranger",$T278,1),0)&gt;0,1,0)*IF(RangerMaxSpellLevel&gt;=$C278,1,0)*IF(IFERROR(MATCH(B278,Character_Creation!$X$79:$X$382,0),0)&gt;0,0,1)</f>
        <v>0</v>
      </c>
      <c r="BD278">
        <f>IF(BC278=0,0,1+COUNTIF(BD$3:BD277,"&gt;0"))</f>
        <v>0</v>
      </c>
      <c r="BE278" t="str">
        <f t="shared" si="257"/>
        <v/>
      </c>
      <c r="BF278" t="str">
        <f t="shared" si="229"/>
        <v/>
      </c>
      <c r="BH278">
        <f>IF(IFERROR(SEARCH("Sorcerer",$T278,1),0)&gt;0,1,0)*IF(SorcererMaxSpellLevel&gt;=$C278,1,0)*IF(IFERROR(MATCH(B278,Character_Creation!$J$380:$J$394,0),0)&gt;0,0,1)</f>
        <v>0</v>
      </c>
      <c r="BI278">
        <f>IF(BH278=0,0,1+COUNTIF(BI$3:BI277,"&gt;0"))</f>
        <v>0</v>
      </c>
      <c r="BJ278" t="str">
        <f t="shared" si="258"/>
        <v/>
      </c>
      <c r="BK278" t="str">
        <f t="shared" si="230"/>
        <v/>
      </c>
      <c r="BM278">
        <f>IF(OR(IFERROR(SEARCH("Warlock",$T278,1),0)&gt;0,IFERROR(SEARCH(WarlockPatron,$T278,1),0)&gt;0),1,0)*IF(WarlockMaxSpellLevel&gt;=$C278,1,0)*IF(IFERROR(MATCH(B278,Character_Creation!$J$361:$J$375,0),0)&gt;0,0,1)</f>
        <v>0</v>
      </c>
      <c r="BN278">
        <f>IF(BM278=0,0,1+COUNTIF(BN$3:BN277,"&gt;0"))</f>
        <v>0</v>
      </c>
      <c r="BO278" t="str">
        <f t="shared" si="259"/>
        <v/>
      </c>
      <c r="BP278" t="str">
        <f t="shared" si="231"/>
        <v/>
      </c>
      <c r="BR278">
        <f>IF(IFERROR(SEARCH("Eldritch Knight",$T278,1),0)&gt;0,1,0)*IF(EldritchKnightMaxSpellLevel&gt;=$C278,1,0)*IF(IFERROR(MATCH($B278,Character_Creation!$J$350:$J$356,0),0)&gt;0,0,1)*IF(Character_Creation!$M$338&gt;0,1,0)</f>
        <v>0</v>
      </c>
      <c r="BS278">
        <f>IF(BR278=0,0,1+COUNTIF(BS$3:BS277,"&gt;0"))</f>
        <v>0</v>
      </c>
      <c r="BT278" t="str">
        <f t="shared" si="260"/>
        <v/>
      </c>
      <c r="BU278" t="str">
        <f t="shared" si="232"/>
        <v/>
      </c>
      <c r="BW278">
        <f>IF(IFERROR(SEARCH("Arcane Trickster",$T278,1),0)&gt;0,1,0)*IF(ArcaneTricksterMaxSpellLevel&gt;=$C278,1,0)*IF(IFERROR(MATCH($B278,Character_Creation!$J$350:$J$356,0),0)&gt;0,0,1)*IF(Character_Creation!$T$338&gt;0,1,0)</f>
        <v>0</v>
      </c>
      <c r="BX278">
        <f>IF(BW278=0,0,1+COUNTIF(BX$3:BX277,"&gt;0"))</f>
        <v>0</v>
      </c>
      <c r="BY278" t="str">
        <f t="shared" si="261"/>
        <v/>
      </c>
      <c r="BZ278" t="str">
        <f t="shared" si="233"/>
        <v/>
      </c>
      <c r="CB278">
        <f>IF(IFERROR(SEARCH("Wizard",$T278,1),0)&gt;0,1,0)*IF(C278&lt;=ArcaneTricksterMaxSpellLevel,1,0)*IF(IFERROR(MATCH($B278,Character_Creation!$J$350:$J$356,0),0)&gt;0,0,1)*IF(Character_Creation!$T$350&gt;0,1,0)</f>
        <v>0</v>
      </c>
      <c r="CC278">
        <f>IF(CB278=0,0,1+COUNTIF(CC$3:CC277,"&gt;0"))</f>
        <v>0</v>
      </c>
      <c r="CD278" t="str">
        <f t="shared" si="262"/>
        <v/>
      </c>
      <c r="CE278" t="str">
        <f t="shared" si="234"/>
        <v/>
      </c>
      <c r="CG278">
        <f>IF(IFERROR(SEARCH("Wizard",$T278,1),0)&gt;0,1,0)*IF($C278&lt;=EldritchKnightMaxSpellLevel,1,0)*IF(IFERROR(MATCH($B278,Character_Creation!$J$350:$J$356,0),0)&gt;0,0,1)*IF(Character_Creation!$M$350&gt;0,1,0)</f>
        <v>0</v>
      </c>
      <c r="CH278">
        <f>IF(CG278=0,0,1+COUNTIF(CH$3:CH277,"&gt;0"))</f>
        <v>0</v>
      </c>
      <c r="CI278" t="str">
        <f t="shared" si="263"/>
        <v/>
      </c>
      <c r="CJ278" t="str">
        <f t="shared" si="235"/>
        <v/>
      </c>
      <c r="CL278">
        <f>IF(IFERROR(SEARCH("Bard",$T278,1),0)&gt;0,1,0)*IF(BardMaxSpellLevel&gt;=$C278,1,0)*IF(IFERROR(MATCH(B278,Character_Creation!$C$341:$F$362,0),0)&gt;0,0,1)*IF(IFERROR(MATCH($B278,Character_Creation!$C$341:$C$362,0),0)&gt;0,0,1)</f>
        <v>0</v>
      </c>
      <c r="CM278">
        <f>IF(CL278=0,0,1+COUNTIF(CM$3:CM277,"&gt;0"))</f>
        <v>0</v>
      </c>
      <c r="CN278" t="str">
        <f t="shared" si="264"/>
        <v/>
      </c>
      <c r="CO278" t="str">
        <f t="shared" si="236"/>
        <v/>
      </c>
      <c r="CQ278">
        <f>IF(IFERROR(SEARCH("Wizard",$T278,1),0)&gt;0,1,0)*IF(WizardMaxSpellLevel&gt;=$C278,1,0)*IF(IFERROR(MATCH(B278,Character_Creation!$X$341:$X$400,0),0)&gt;0,0,1)*IF(SelectedWizardSpellLevel=$C278,1,0)</f>
        <v>0</v>
      </c>
      <c r="CR278">
        <f>IF(CQ278=0,0,1+COUNTIF(CR$3:CR277,"&gt;0"))</f>
        <v>0</v>
      </c>
      <c r="CS278" t="str">
        <f t="shared" si="265"/>
        <v/>
      </c>
      <c r="CT278" t="str">
        <f t="shared" si="237"/>
        <v/>
      </c>
      <c r="CV278">
        <f>IF(IFERROR(MATCH($B278,Character_Creation!$C$341:$C$362,0),0)&gt;0,0,1)*IF(OR(C278="Cantrip",C278&lt;=BardMaxSpellLevel),1,0)*IF(IFERROR(MATCH($B278,Character_Creation!$C$367:$C$374,0),0)&gt;0,0,1)</f>
        <v>0</v>
      </c>
      <c r="CW278">
        <f>IF(CV278=0,0,1+COUNTIF(CW$3:CW277,"&gt;0"))</f>
        <v>0</v>
      </c>
      <c r="CX278" t="str">
        <f t="shared" si="266"/>
        <v/>
      </c>
      <c r="CY278" t="str">
        <f t="shared" si="238"/>
        <v/>
      </c>
      <c r="DA278">
        <f>IF(IF(OR(IFERROR(SEARCH("Cleric",$T278,1),0)&gt;0,IFERROR(SEARCH(DivineDomain&amp;",",$T278,1),0)&gt;0),1,0)*IF($C278=DA$2,1,0)=1,1+COUNTIF(DA$3:DA277,"&gt;0"),0)</f>
        <v>0</v>
      </c>
      <c r="DB278">
        <f>IF(IF(OR(IFERROR(SEARCH("Cleric",$T278,1),0)&gt;0,IFERROR(SEARCH(DivineDomain&amp;",",$T278,1),0)&gt;0),1,0)*IF($C278=DB$2,1,0)=1,1+COUNTIF(DB$3:DB277,"&gt;0"),0)</f>
        <v>0</v>
      </c>
      <c r="DC278">
        <f>IF(IF(OR(IFERROR(SEARCH("Cleric",$T278,1),0)&gt;0,IFERROR(SEARCH(DivineDomain&amp;",",$T278,1),0)&gt;0),1,0)*IF($C278=DC$2,1,0)=1,1+COUNTIF(DC$3:DC277,"&gt;0"),0)</f>
        <v>0</v>
      </c>
      <c r="DD278">
        <f>IF(IF(OR(IFERROR(SEARCH("Cleric",$T278,1),0)&gt;0,IFERROR(SEARCH(DivineDomain&amp;",",$T278,1),0)&gt;0),1,0)*IF($C278=DD$2,1,0)=1,1+COUNTIF(DD$3:DD277,"&gt;0"),0)</f>
        <v>0</v>
      </c>
      <c r="DE278">
        <f>IF(IF(OR(IFERROR(SEARCH("Cleric",$T278,1),0)&gt;0,IFERROR(SEARCH(DivineDomain&amp;",",$T278,1),0)&gt;0),1,0)*IF($C278=DE$2,1,0)=1,1+COUNTIF(DE$3:DE277,"&gt;0"),0)</f>
        <v>0</v>
      </c>
      <c r="DF278">
        <f>IF(IF(OR(IFERROR(SEARCH("Cleric",$T278,1),0)&gt;0,IFERROR(SEARCH(DivineDomain&amp;",",$T278,1),0)&gt;0),1,0)*IF($C278=DF$2,1,0)=1,1+COUNTIF(DF$3:DF277,"&gt;0"),0)</f>
        <v>0</v>
      </c>
      <c r="DG278">
        <f>IF(IF(OR(IFERROR(SEARCH("Cleric",$T278,1),0)&gt;0,IFERROR(SEARCH(DivineDomain&amp;",",$T278,1),0)&gt;0),1,0)*IF($C278=DG$2,1,0)=1,1+COUNTIF(DG$3:DG277,"&gt;0"),0)</f>
        <v>6</v>
      </c>
      <c r="DH278">
        <f>IF(IF(OR(IFERROR(SEARCH("Cleric",$T278,1),0)&gt;0,IFERROR(SEARCH(DivineDomain&amp;",",$T278,1),0)&gt;0),1,0)*IF($C278=DH$2,1,0)=1,1+COUNTIF(DH$3:DH277,"&gt;0"),0)</f>
        <v>0</v>
      </c>
      <c r="DI278">
        <f>IF(IF(OR(IFERROR(SEARCH("Cleric",$T278,1),0)&gt;0,IFERROR(SEARCH(DivineDomain&amp;",",$T278,1),0)&gt;0),1,0)*IF($C278=DI$2,1,0)=1,1+COUNTIF(DI$3:DI277,"&gt;0"),0)</f>
        <v>0</v>
      </c>
      <c r="DJ278">
        <f>IF(IF(OR(IFERROR(SEARCH("Druid",$T278,1),0)&gt;0,IFERROR(SEARCH(DruidLand1,$T278,1),0)&gt;0,IFERROR(SEARCH(DruidLand2,$T278,1),0)&gt;0,IFERROR(SEARCH(DruidLand3,$T278,1),0)&gt;0,IFERROR(SEARCH(DruidLand4,$T278,1),0)&gt;0),1,0)*IF($C278=1,1,0)*IF($C278=DJ$2,1,0)=0,0,1+COUNTIF(DJ$3:DJ277,"&gt;0"))</f>
        <v>0</v>
      </c>
      <c r="DK278">
        <f>IF(IF(OR(IFERROR(SEARCH("Druid",$T278,1),0)&gt;0,IFERROR(SEARCH(DruidLand1,$T278,1),0)&gt;0,IFERROR(SEARCH(DruidLand2,$T278,1),0)&gt;0,IFERROR(SEARCH(DruidLand3,$T278,1),0)&gt;0,IFERROR(SEARCH(DruidLand4,$T278,1),0)&gt;0),1,0)*IF($C278=DK$2,1,0)=0,0,1+COUNTIF(DK$3:DK277,"&gt;0"))</f>
        <v>0</v>
      </c>
      <c r="DL278">
        <f>IF(IF(OR(IFERROR(SEARCH("Druid",$T278,1),0)&gt;0,IFERROR(SEARCH(DruidLand1,$T278,1),0)&gt;0,IFERROR(SEARCH(DruidLand2,$T278,1),0)&gt;0,IFERROR(SEARCH(DruidLand3,$T278,1),0)&gt;0,IFERROR(SEARCH(DruidLand4,$T278,1),0)&gt;0),1,0)*IF($C278=DL$2,1,0)=0,0,1+COUNTIF(DL$3:DL277,"&gt;0"))</f>
        <v>0</v>
      </c>
      <c r="DM278">
        <f>IF(IF(OR(IFERROR(SEARCH("Druid",$T278,1),0)&gt;0,IFERROR(SEARCH(DruidLand1,$T278,1),0)&gt;0,IFERROR(SEARCH(DruidLand2,$T278,1),0)&gt;0,IFERROR(SEARCH(DruidLand3,$T278,1),0)&gt;0,IFERROR(SEARCH(DruidLand4,$T278,1),0)&gt;0),1,0)*IF($C278=DM$2,1,0)=0,0,1+COUNTIF(DM$3:DM277,"&gt;0"))</f>
        <v>0</v>
      </c>
      <c r="DN278">
        <f>IF(IF(OR(IFERROR(SEARCH("Druid",$T278,1),0)&gt;0,IFERROR(SEARCH(DruidLand1,$T278,1),0)&gt;0,IFERROR(SEARCH(DruidLand2,$T278,1),0)&gt;0,IFERROR(SEARCH(DruidLand3,$T278,1),0)&gt;0,IFERROR(SEARCH(DruidLand4,$T278,1),0)&gt;0),1,0)*IF($C278=DN$2,1,0)=0,0,1+COUNTIF(DN$3:DN277,"&gt;0"))</f>
        <v>0</v>
      </c>
      <c r="DO278">
        <f>IF(IF(OR(IFERROR(SEARCH("Druid",$T278,1),0)&gt;0,IFERROR(SEARCH(DruidLand1,$T278,1),0)&gt;0,IFERROR(SEARCH(DruidLand2,$T278,1),0)&gt;0,IFERROR(SEARCH(DruidLand3,$T278,1),0)&gt;0,IFERROR(SEARCH(DruidLand4,$T278,1),0)&gt;0),1,0)*IF($C278=DO$2,1,0)=0,0,1+COUNTIF(DO$3:DO277,"&gt;0"))</f>
        <v>0</v>
      </c>
      <c r="DP278">
        <f>IF(IF(OR(IFERROR(SEARCH("Druid",$T278,1),0)&gt;0,IFERROR(SEARCH(DruidLand1,$T278,1),0)&gt;0,IFERROR(SEARCH(DruidLand2,$T278,1),0)&gt;0,IFERROR(SEARCH(DruidLand3,$T278,1),0)&gt;0,IFERROR(SEARCH(DruidLand4,$T278,1),0)&gt;0),1,0)*IF($C278=DP$2,1,0)=0,0,1+COUNTIF(DP$3:DP277,"&gt;0"))</f>
        <v>4</v>
      </c>
      <c r="DQ278">
        <f>IF(IF(OR(IFERROR(SEARCH("Druid",$T278,1),0)&gt;0,IFERROR(SEARCH(DruidLand1,$T278,1),0)&gt;0,IFERROR(SEARCH(DruidLand2,$T278,1),0)&gt;0,IFERROR(SEARCH(DruidLand3,$T278,1),0)&gt;0,IFERROR(SEARCH(DruidLand4,$T278,1),0)&gt;0),1,0)*IF($C278=DQ$2,1,0)=0,0,1+COUNTIF(DQ$3:DQ277,"&gt;0"))</f>
        <v>0</v>
      </c>
      <c r="DR278">
        <f>IF(IF(OR(IFERROR(SEARCH("Druid",$T278,1),0)&gt;0,IFERROR(SEARCH(DruidLand1,$T278,1),0)&gt;0,IFERROR(SEARCH(DruidLand2,$T278,1),0)&gt;0,IFERROR(SEARCH(DruidLand3,$T278,1),0)&gt;0,IFERROR(SEARCH(DruidLand4,$T278,1),0)&gt;0),1,0)*IF($C278=DR$2,1,0)=0,0,1+COUNTIF(DR$3:DR277,"&gt;0"))</f>
        <v>0</v>
      </c>
      <c r="DS278">
        <f>IF(IF(OR(IFERROR(SEARCH("Paladin",$T278,1),0)&gt;0,IFERROR(SEARCH(PaladinOath,$T278,1),0)&gt;0),1,0)*IF($C278=DS$2,1,0)=1,1+COUNTIF(DS$3:DS277,"&gt;0"),0)</f>
        <v>0</v>
      </c>
      <c r="DT278">
        <f>IF(IF(OR(IFERROR(SEARCH("Paladin",$T278,1),0)&gt;0,IFERROR(SEARCH(PaladinOath,$T278,1),0)&gt;0),1,0)*IF($C278=DT$2,1,0)=1,1+COUNTIF(DT$3:DT277,"&gt;0"),0)</f>
        <v>0</v>
      </c>
      <c r="DU278">
        <f>IF(IF(OR(IFERROR(SEARCH("Paladin",$T278,1),0)&gt;0,IFERROR(SEARCH(PaladinOath,$T278,1),0)&gt;0),1,0)*IF($C278=DU$2,1,0)=1,1+COUNTIF(DU$3:DU277,"&gt;0"),0)</f>
        <v>0</v>
      </c>
      <c r="DV278">
        <f>IF(IF(OR(IFERROR(SEARCH("Paladin",$T278,1),0)&gt;0,IFERROR(SEARCH(PaladinOath,$T278,1),0)&gt;0),1,0)*IF($C278=DV$2,1,0)=1,1+COUNTIF(DV$3:DV277,"&gt;0"),0)</f>
        <v>0</v>
      </c>
      <c r="DW278">
        <f>IF(IF(OR(IFERROR(SEARCH("Paladin",$T278,1),0)&gt;0,IFERROR(SEARCH(PaladinOath,$T278,1),0)&gt;0),1,0)*IF($C278=DW$2,1,0)=1,1+COUNTIF(DW$3:DW277,"&gt;0"),0)</f>
        <v>0</v>
      </c>
      <c r="DY278">
        <f t="shared" si="225"/>
        <v>1</v>
      </c>
      <c r="DZ278">
        <f>IF(DY278=0,0,1+MAX(DZ$3:$DZ277))</f>
        <v>276</v>
      </c>
      <c r="EB278">
        <f t="shared" si="239"/>
        <v>0</v>
      </c>
      <c r="EC278">
        <f>IF(EB278=0,0,1+COUNTIF(EC$3:EC277,"&gt;0"))</f>
        <v>0</v>
      </c>
      <c r="ED278" t="str">
        <f t="shared" si="267"/>
        <v/>
      </c>
      <c r="EE278" t="str">
        <f t="shared" si="240"/>
        <v/>
      </c>
      <c r="EG278">
        <f t="shared" si="241"/>
        <v>0</v>
      </c>
      <c r="EH278">
        <f>IF(EG278=0,0,1+COUNTIF(EH$3:EH277,"&gt;0"))</f>
        <v>0</v>
      </c>
      <c r="EI278" t="str">
        <f t="shared" si="268"/>
        <v/>
      </c>
      <c r="EJ278" t="str">
        <f t="shared" si="242"/>
        <v/>
      </c>
      <c r="EL278">
        <f t="shared" si="243"/>
        <v>0</v>
      </c>
      <c r="EM278">
        <f>IF(EL278=0,0,1+COUNTIF(EM$3:EM277,"&gt;0"))</f>
        <v>0</v>
      </c>
      <c r="EN278" t="str">
        <f t="shared" si="269"/>
        <v/>
      </c>
      <c r="EO278" t="str">
        <f t="shared" si="244"/>
        <v/>
      </c>
      <c r="EQ278">
        <f t="shared" si="245"/>
        <v>0</v>
      </c>
      <c r="ER278">
        <f>IF(EQ278=0,0,1+COUNTIF(ER$3:ER277,"&gt;0"))</f>
        <v>0</v>
      </c>
      <c r="ES278" t="str">
        <f t="shared" si="270"/>
        <v/>
      </c>
      <c r="ET278" t="str">
        <f t="shared" si="246"/>
        <v/>
      </c>
      <c r="EV278">
        <f t="shared" si="247"/>
        <v>0</v>
      </c>
      <c r="EW278">
        <f>IF(EV278=0,0,1+COUNTIF(EW$3:EW277,"&gt;0"))</f>
        <v>0</v>
      </c>
      <c r="EX278" t="str">
        <f t="shared" si="271"/>
        <v/>
      </c>
      <c r="EY278" t="str">
        <f t="shared" si="248"/>
        <v/>
      </c>
      <c r="FA278">
        <f t="shared" si="249"/>
        <v>0</v>
      </c>
      <c r="FB278">
        <f>IF(FA278=0,0,1+COUNTIF(FB$3:FB277,"&gt;0"))</f>
        <v>0</v>
      </c>
      <c r="FC278" t="str">
        <f t="shared" si="272"/>
        <v/>
      </c>
      <c r="FD278" t="str">
        <f t="shared" si="250"/>
        <v/>
      </c>
      <c r="FF278">
        <f t="shared" si="251"/>
        <v>0</v>
      </c>
      <c r="FG278">
        <f>IF(FF278=0,0,1+COUNTIF(FG$3:FG277,"&gt;0"))</f>
        <v>0</v>
      </c>
      <c r="FH278" t="str">
        <f t="shared" si="273"/>
        <v/>
      </c>
      <c r="FI278" t="str">
        <f t="shared" si="252"/>
        <v/>
      </c>
      <c r="FK278">
        <f t="shared" si="253"/>
        <v>0</v>
      </c>
      <c r="FL278">
        <f>IF(FK278=0,0,1+COUNTIF(FL$3:FL277,"&gt;0"))</f>
        <v>0</v>
      </c>
      <c r="FM278" t="str">
        <f t="shared" si="274"/>
        <v/>
      </c>
      <c r="FN278" t="str">
        <f t="shared" si="254"/>
        <v/>
      </c>
      <c r="FP278">
        <f t="shared" si="255"/>
        <v>0</v>
      </c>
      <c r="FQ278">
        <f>IF(FP278=0,0,1+COUNTIF(FQ$3:FQ277,"&gt;0"))</f>
        <v>0</v>
      </c>
      <c r="FR278" t="str">
        <f t="shared" si="275"/>
        <v/>
      </c>
      <c r="FS278" t="str">
        <f t="shared" si="256"/>
        <v/>
      </c>
    </row>
    <row r="279" spans="1:175" x14ac:dyDescent="0.25">
      <c r="A279" s="347">
        <f t="shared" si="276"/>
        <v>277</v>
      </c>
      <c r="B279" s="348" t="s">
        <v>2664</v>
      </c>
      <c r="C279" s="348">
        <v>5</v>
      </c>
      <c r="D279" s="347">
        <v>5</v>
      </c>
      <c r="E279" s="627" t="s">
        <v>6952</v>
      </c>
      <c r="F279" s="346"/>
      <c r="G279" s="347" t="str">
        <f>""</f>
        <v/>
      </c>
      <c r="H279" s="347" t="s">
        <v>5293</v>
      </c>
      <c r="I279" s="347" t="s">
        <v>5298</v>
      </c>
      <c r="J279" s="347" t="str">
        <f t="shared" si="226"/>
        <v/>
      </c>
      <c r="K279" s="347" t="s">
        <v>5278</v>
      </c>
      <c r="L279" s="611" t="str">
        <f t="shared" si="227"/>
        <v>V, S, M, rare oils and unguents worth at least 1,000 gp, which the spell consumes</v>
      </c>
      <c r="M279" s="347" t="s">
        <v>2373</v>
      </c>
      <c r="N279" s="347" t="s">
        <v>2387</v>
      </c>
      <c r="O279" s="347" t="s">
        <v>1244</v>
      </c>
      <c r="P279" s="346" t="s">
        <v>5462</v>
      </c>
      <c r="Q279" s="347" t="s">
        <v>5276</v>
      </c>
      <c r="S279" s="346" t="s">
        <v>5808</v>
      </c>
      <c r="T279" s="346" t="str">
        <f t="shared" si="228"/>
        <v xml:space="preserve">Druid, </v>
      </c>
      <c r="AA279" s="347" t="str">
        <f>$B279</f>
        <v>Reincarnate</v>
      </c>
      <c r="AE279" t="str">
        <f>IF(IFERROR(MATCH($B279,temp!A$4:A$13,0),0)&gt;0,T08_Spells!AE$2,"")</f>
        <v/>
      </c>
      <c r="AF279" t="str">
        <f>IF(IFERROR(MATCH($B279,temp!B$4:B$13,0),0)&gt;0,T08_Spells!AF$2,"")</f>
        <v/>
      </c>
      <c r="AG279" t="str">
        <f>IF(IFERROR(MATCH($B279,temp!C$4:C$13,0),0)&gt;0,T08_Spells!AG$2,"")</f>
        <v/>
      </c>
      <c r="AH279" t="str">
        <f>IF(IFERROR(MATCH($B279,temp!D$4:D$13,0),0)&gt;0,T08_Spells!AH$2,"")</f>
        <v/>
      </c>
      <c r="AI279" t="str">
        <f>IF(IFERROR(MATCH($B279,temp!E$4:E$13,0),0)&gt;0,T08_Spells!AI$2,"")</f>
        <v/>
      </c>
      <c r="AJ279" t="str">
        <f>IF(IFERROR(MATCH($B279,temp!F$4:F$13,0),0)&gt;0,T08_Spells!AJ$2,"")</f>
        <v/>
      </c>
      <c r="AK279" t="str">
        <f>IF(IFERROR(MATCH($B279,temp!G$4:G$13,0),0)&gt;0,T08_Spells!AK$2,"")</f>
        <v/>
      </c>
      <c r="AL279" t="str">
        <f>IF(IFERROR(MATCH($B279,temp!H$4:H$13,0),0)&gt;0,T08_Spells!AL$2,"")</f>
        <v/>
      </c>
      <c r="AM279" t="str">
        <f>IF(IFERROR(MATCH($B279,temp!I$4:I$13,0),0)&gt;0,T08_Spells!AM$2,"")</f>
        <v/>
      </c>
      <c r="AN279" t="str">
        <f>IF(IFERROR(MATCH($B279,temp!J$4:J$13,0),0)&gt;0,T08_Spells!AN$2,"")</f>
        <v/>
      </c>
      <c r="AO279" t="str">
        <f>IF(IFERROR(MATCH($B279,temp!K$4:K$13,0),0)&gt;0,T08_Spells!AO$2,"")</f>
        <v/>
      </c>
      <c r="AP279" t="str">
        <f>IF(IFERROR(MATCH($B279,temp!L$4:L$13,0),0)&gt;0,T08_Spells!AP$2,"")</f>
        <v/>
      </c>
      <c r="AQ279" t="str">
        <f>IF(IFERROR(MATCH($B279,temp!M$4:M$13,0),0)&gt;0,T08_Spells!AQ$2,"")</f>
        <v/>
      </c>
      <c r="AR279" t="str">
        <f>IF(IFERROR(MATCH($B279,temp!N$4:N$13,0),0)&gt;0,T08_Spells!AR$2,"")</f>
        <v/>
      </c>
      <c r="AS279" t="str">
        <f>IF(IFERROR(MATCH($B279,temp!O$4:O$13,0),0)&gt;0,T08_Spells!AS$2,"")</f>
        <v/>
      </c>
      <c r="AT279" t="str">
        <f>IF(IFERROR(MATCH($B279,temp!P$4:P$13,0),0)&gt;0,T08_Spells!AT$2,"")</f>
        <v/>
      </c>
      <c r="AU279" t="str">
        <f>IF(IFERROR(MATCH($B279,temp!Q$4:Q$13,0),0)&gt;0,T08_Spells!AU$2,"")</f>
        <v/>
      </c>
      <c r="AV279" t="str">
        <f>IF(IFERROR(MATCH($B279,temp!R$4:R$13,0),0)&gt;0,T08_Spells!AV$2,"")</f>
        <v/>
      </c>
      <c r="AW279" t="str">
        <f>IF(IFERROR(MATCH($B279,temp!S$4:S$13,0),0)&gt;0,T08_Spells!AW$2,"")</f>
        <v/>
      </c>
      <c r="AX279" t="str">
        <f>IF(IFERROR(MATCH($B279,temp!T$4:T$13,0),0)&gt;0,T08_Spells!AX$2,"")</f>
        <v/>
      </c>
      <c r="AY279" t="str">
        <f>IF(IFERROR(MATCH($B279,temp!U$4:U$13,0),0)&gt;0,T08_Spells!AY$2,"")</f>
        <v/>
      </c>
      <c r="AZ279" t="str">
        <f>IF(IFERROR(MATCH($B279,temp!V$4:V$13,0),0)&gt;0,T08_Spells!AZ$2,"")</f>
        <v/>
      </c>
      <c r="BA279" t="str">
        <f>IF(IFERROR(MATCH($B279,temp!W$4:W$13,0),0)&gt;0,T08_Spells!BA$2,"")</f>
        <v/>
      </c>
      <c r="BC279">
        <f>IF(IFERROR(SEARCH("Ranger",$T279,1),0)&gt;0,1,0)*IF(RangerMaxSpellLevel&gt;=$C279,1,0)*IF(IFERROR(MATCH(B279,Character_Creation!$X$79:$X$382,0),0)&gt;0,0,1)</f>
        <v>0</v>
      </c>
      <c r="BD279">
        <f>IF(BC279=0,0,1+COUNTIF(BD$3:BD278,"&gt;0"))</f>
        <v>0</v>
      </c>
      <c r="BE279" t="str">
        <f t="shared" si="257"/>
        <v/>
      </c>
      <c r="BF279" t="str">
        <f t="shared" si="229"/>
        <v/>
      </c>
      <c r="BH279">
        <f>IF(IFERROR(SEARCH("Sorcerer",$T279,1),0)&gt;0,1,0)*IF(SorcererMaxSpellLevel&gt;=$C279,1,0)*IF(IFERROR(MATCH(B279,Character_Creation!$J$380:$J$394,0),0)&gt;0,0,1)</f>
        <v>0</v>
      </c>
      <c r="BI279">
        <f>IF(BH279=0,0,1+COUNTIF(BI$3:BI278,"&gt;0"))</f>
        <v>0</v>
      </c>
      <c r="BJ279" t="str">
        <f t="shared" si="258"/>
        <v/>
      </c>
      <c r="BK279" t="str">
        <f t="shared" si="230"/>
        <v/>
      </c>
      <c r="BM279">
        <f>IF(OR(IFERROR(SEARCH("Warlock",$T279,1),0)&gt;0,IFERROR(SEARCH(WarlockPatron,$T279,1),0)&gt;0),1,0)*IF(WarlockMaxSpellLevel&gt;=$C279,1,0)*IF(IFERROR(MATCH(B279,Character_Creation!$J$361:$J$375,0),0)&gt;0,0,1)</f>
        <v>0</v>
      </c>
      <c r="BN279">
        <f>IF(BM279=0,0,1+COUNTIF(BN$3:BN278,"&gt;0"))</f>
        <v>0</v>
      </c>
      <c r="BO279" t="str">
        <f t="shared" si="259"/>
        <v/>
      </c>
      <c r="BP279" t="str">
        <f t="shared" si="231"/>
        <v/>
      </c>
      <c r="BR279">
        <f>IF(IFERROR(SEARCH("Eldritch Knight",$T279,1),0)&gt;0,1,0)*IF(EldritchKnightMaxSpellLevel&gt;=$C279,1,0)*IF(IFERROR(MATCH($B279,Character_Creation!$J$350:$J$356,0),0)&gt;0,0,1)*IF(Character_Creation!$M$338&gt;0,1,0)</f>
        <v>0</v>
      </c>
      <c r="BS279">
        <f>IF(BR279=0,0,1+COUNTIF(BS$3:BS278,"&gt;0"))</f>
        <v>0</v>
      </c>
      <c r="BT279" t="str">
        <f t="shared" si="260"/>
        <v/>
      </c>
      <c r="BU279" t="str">
        <f t="shared" si="232"/>
        <v/>
      </c>
      <c r="BW279">
        <f>IF(IFERROR(SEARCH("Arcane Trickster",$T279,1),0)&gt;0,1,0)*IF(ArcaneTricksterMaxSpellLevel&gt;=$C279,1,0)*IF(IFERROR(MATCH($B279,Character_Creation!$J$350:$J$356,0),0)&gt;0,0,1)*IF(Character_Creation!$T$338&gt;0,1,0)</f>
        <v>0</v>
      </c>
      <c r="BX279">
        <f>IF(BW279=0,0,1+COUNTIF(BX$3:BX278,"&gt;0"))</f>
        <v>0</v>
      </c>
      <c r="BY279" t="str">
        <f t="shared" si="261"/>
        <v/>
      </c>
      <c r="BZ279" t="str">
        <f t="shared" si="233"/>
        <v/>
      </c>
      <c r="CB279">
        <f>IF(IFERROR(SEARCH("Wizard",$T279,1),0)&gt;0,1,0)*IF(C279&lt;=ArcaneTricksterMaxSpellLevel,1,0)*IF(IFERROR(MATCH($B279,Character_Creation!$J$350:$J$356,0),0)&gt;0,0,1)*IF(Character_Creation!$T$350&gt;0,1,0)</f>
        <v>0</v>
      </c>
      <c r="CC279">
        <f>IF(CB279=0,0,1+COUNTIF(CC$3:CC278,"&gt;0"))</f>
        <v>0</v>
      </c>
      <c r="CD279" t="str">
        <f t="shared" si="262"/>
        <v/>
      </c>
      <c r="CE279" t="str">
        <f t="shared" si="234"/>
        <v/>
      </c>
      <c r="CG279">
        <f>IF(IFERROR(SEARCH("Wizard",$T279,1),0)&gt;0,1,0)*IF($C279&lt;=EldritchKnightMaxSpellLevel,1,0)*IF(IFERROR(MATCH($B279,Character_Creation!$J$350:$J$356,0),0)&gt;0,0,1)*IF(Character_Creation!$M$350&gt;0,1,0)</f>
        <v>0</v>
      </c>
      <c r="CH279">
        <f>IF(CG279=0,0,1+COUNTIF(CH$3:CH278,"&gt;0"))</f>
        <v>0</v>
      </c>
      <c r="CI279" t="str">
        <f t="shared" si="263"/>
        <v/>
      </c>
      <c r="CJ279" t="str">
        <f t="shared" si="235"/>
        <v/>
      </c>
      <c r="CL279">
        <f>IF(IFERROR(SEARCH("Bard",$T279,1),0)&gt;0,1,0)*IF(BardMaxSpellLevel&gt;=$C279,1,0)*IF(IFERROR(MATCH(B279,Character_Creation!$C$341:$F$362,0),0)&gt;0,0,1)*IF(IFERROR(MATCH($B279,Character_Creation!$C$341:$C$362,0),0)&gt;0,0,1)</f>
        <v>0</v>
      </c>
      <c r="CM279">
        <f>IF(CL279=0,0,1+COUNTIF(CM$3:CM278,"&gt;0"))</f>
        <v>0</v>
      </c>
      <c r="CN279" t="str">
        <f t="shared" si="264"/>
        <v/>
      </c>
      <c r="CO279" t="str">
        <f t="shared" si="236"/>
        <v/>
      </c>
      <c r="CQ279">
        <f>IF(IFERROR(SEARCH("Wizard",$T279,1),0)&gt;0,1,0)*IF(WizardMaxSpellLevel&gt;=$C279,1,0)*IF(IFERROR(MATCH(B279,Character_Creation!$X$341:$X$400,0),0)&gt;0,0,1)*IF(SelectedWizardSpellLevel=$C279,1,0)</f>
        <v>0</v>
      </c>
      <c r="CR279">
        <f>IF(CQ279=0,0,1+COUNTIF(CR$3:CR278,"&gt;0"))</f>
        <v>0</v>
      </c>
      <c r="CS279" t="str">
        <f t="shared" si="265"/>
        <v/>
      </c>
      <c r="CT279" t="str">
        <f t="shared" si="237"/>
        <v/>
      </c>
      <c r="CV279">
        <f>IF(IFERROR(MATCH($B279,Character_Creation!$C$341:$C$362,0),0)&gt;0,0,1)*IF(OR(C279="Cantrip",C279&lt;=BardMaxSpellLevel),1,0)*IF(IFERROR(MATCH($B279,Character_Creation!$C$367:$C$374,0),0)&gt;0,0,1)</f>
        <v>0</v>
      </c>
      <c r="CW279">
        <f>IF(CV279=0,0,1+COUNTIF(CW$3:CW278,"&gt;0"))</f>
        <v>0</v>
      </c>
      <c r="CX279" t="str">
        <f t="shared" si="266"/>
        <v/>
      </c>
      <c r="CY279" t="str">
        <f t="shared" si="238"/>
        <v/>
      </c>
      <c r="DA279">
        <f>IF(IF(OR(IFERROR(SEARCH("Cleric",$T279,1),0)&gt;0,IFERROR(SEARCH(DivineDomain&amp;",",$T279,1),0)&gt;0),1,0)*IF($C279=DA$2,1,0)=1,1+COUNTIF(DA$3:DA278,"&gt;0"),0)</f>
        <v>0</v>
      </c>
      <c r="DB279">
        <f>IF(IF(OR(IFERROR(SEARCH("Cleric",$T279,1),0)&gt;0,IFERROR(SEARCH(DivineDomain&amp;",",$T279,1),0)&gt;0),1,0)*IF($C279=DB$2,1,0)=1,1+COUNTIF(DB$3:DB278,"&gt;0"),0)</f>
        <v>0</v>
      </c>
      <c r="DC279">
        <f>IF(IF(OR(IFERROR(SEARCH("Cleric",$T279,1),0)&gt;0,IFERROR(SEARCH(DivineDomain&amp;",",$T279,1),0)&gt;0),1,0)*IF($C279=DC$2,1,0)=1,1+COUNTIF(DC$3:DC278,"&gt;0"),0)</f>
        <v>0</v>
      </c>
      <c r="DD279">
        <f>IF(IF(OR(IFERROR(SEARCH("Cleric",$T279,1),0)&gt;0,IFERROR(SEARCH(DivineDomain&amp;",",$T279,1),0)&gt;0),1,0)*IF($C279=DD$2,1,0)=1,1+COUNTIF(DD$3:DD278,"&gt;0"),0)</f>
        <v>0</v>
      </c>
      <c r="DE279">
        <f>IF(IF(OR(IFERROR(SEARCH("Cleric",$T279,1),0)&gt;0,IFERROR(SEARCH(DivineDomain&amp;",",$T279,1),0)&gt;0),1,0)*IF($C279=DE$2,1,0)=1,1+COUNTIF(DE$3:DE278,"&gt;0"),0)</f>
        <v>0</v>
      </c>
      <c r="DF279">
        <f>IF(IF(OR(IFERROR(SEARCH("Cleric",$T279,1),0)&gt;0,IFERROR(SEARCH(DivineDomain&amp;",",$T279,1),0)&gt;0),1,0)*IF($C279=DF$2,1,0)=1,1+COUNTIF(DF$3:DF278,"&gt;0"),0)</f>
        <v>0</v>
      </c>
      <c r="DG279">
        <f>IF(IF(OR(IFERROR(SEARCH("Cleric",$T279,1),0)&gt;0,IFERROR(SEARCH(DivineDomain&amp;",",$T279,1),0)&gt;0),1,0)*IF($C279=DG$2,1,0)=1,1+COUNTIF(DG$3:DG278,"&gt;0"),0)</f>
        <v>0</v>
      </c>
      <c r="DH279">
        <f>IF(IF(OR(IFERROR(SEARCH("Cleric",$T279,1),0)&gt;0,IFERROR(SEARCH(DivineDomain&amp;",",$T279,1),0)&gt;0),1,0)*IF($C279=DH$2,1,0)=1,1+COUNTIF(DH$3:DH278,"&gt;0"),0)</f>
        <v>0</v>
      </c>
      <c r="DI279">
        <f>IF(IF(OR(IFERROR(SEARCH("Cleric",$T279,1),0)&gt;0,IFERROR(SEARCH(DivineDomain&amp;",",$T279,1),0)&gt;0),1,0)*IF($C279=DI$2,1,0)=1,1+COUNTIF(DI$3:DI278,"&gt;0"),0)</f>
        <v>0</v>
      </c>
      <c r="DJ279">
        <f>IF(IF(OR(IFERROR(SEARCH("Druid",$T279,1),0)&gt;0,IFERROR(SEARCH(DruidLand1,$T279,1),0)&gt;0,IFERROR(SEARCH(DruidLand2,$T279,1),0)&gt;0,IFERROR(SEARCH(DruidLand3,$T279,1),0)&gt;0,IFERROR(SEARCH(DruidLand4,$T279,1),0)&gt;0),1,0)*IF($C279=1,1,0)*IF($C279=DJ$2,1,0)=0,0,1+COUNTIF(DJ$3:DJ278,"&gt;0"))</f>
        <v>0</v>
      </c>
      <c r="DK279">
        <f>IF(IF(OR(IFERROR(SEARCH("Druid",$T279,1),0)&gt;0,IFERROR(SEARCH(DruidLand1,$T279,1),0)&gt;0,IFERROR(SEARCH(DruidLand2,$T279,1),0)&gt;0,IFERROR(SEARCH(DruidLand3,$T279,1),0)&gt;0,IFERROR(SEARCH(DruidLand4,$T279,1),0)&gt;0),1,0)*IF($C279=DK$2,1,0)=0,0,1+COUNTIF(DK$3:DK278,"&gt;0"))</f>
        <v>0</v>
      </c>
      <c r="DL279">
        <f>IF(IF(OR(IFERROR(SEARCH("Druid",$T279,1),0)&gt;0,IFERROR(SEARCH(DruidLand1,$T279,1),0)&gt;0,IFERROR(SEARCH(DruidLand2,$T279,1),0)&gt;0,IFERROR(SEARCH(DruidLand3,$T279,1),0)&gt;0,IFERROR(SEARCH(DruidLand4,$T279,1),0)&gt;0),1,0)*IF($C279=DL$2,1,0)=0,0,1+COUNTIF(DL$3:DL278,"&gt;0"))</f>
        <v>0</v>
      </c>
      <c r="DM279">
        <f>IF(IF(OR(IFERROR(SEARCH("Druid",$T279,1),0)&gt;0,IFERROR(SEARCH(DruidLand1,$T279,1),0)&gt;0,IFERROR(SEARCH(DruidLand2,$T279,1),0)&gt;0,IFERROR(SEARCH(DruidLand3,$T279,1),0)&gt;0,IFERROR(SEARCH(DruidLand4,$T279,1),0)&gt;0),1,0)*IF($C279=DM$2,1,0)=0,0,1+COUNTIF(DM$3:DM278,"&gt;0"))</f>
        <v>0</v>
      </c>
      <c r="DN279">
        <f>IF(IF(OR(IFERROR(SEARCH("Druid",$T279,1),0)&gt;0,IFERROR(SEARCH(DruidLand1,$T279,1),0)&gt;0,IFERROR(SEARCH(DruidLand2,$T279,1),0)&gt;0,IFERROR(SEARCH(DruidLand3,$T279,1),0)&gt;0,IFERROR(SEARCH(DruidLand4,$T279,1),0)&gt;0),1,0)*IF($C279=DN$2,1,0)=0,0,1+COUNTIF(DN$3:DN278,"&gt;0"))</f>
        <v>11</v>
      </c>
      <c r="DO279">
        <f>IF(IF(OR(IFERROR(SEARCH("Druid",$T279,1),0)&gt;0,IFERROR(SEARCH(DruidLand1,$T279,1),0)&gt;0,IFERROR(SEARCH(DruidLand2,$T279,1),0)&gt;0,IFERROR(SEARCH(DruidLand3,$T279,1),0)&gt;0,IFERROR(SEARCH(DruidLand4,$T279,1),0)&gt;0),1,0)*IF($C279=DO$2,1,0)=0,0,1+COUNTIF(DO$3:DO278,"&gt;0"))</f>
        <v>0</v>
      </c>
      <c r="DP279">
        <f>IF(IF(OR(IFERROR(SEARCH("Druid",$T279,1),0)&gt;0,IFERROR(SEARCH(DruidLand1,$T279,1),0)&gt;0,IFERROR(SEARCH(DruidLand2,$T279,1),0)&gt;0,IFERROR(SEARCH(DruidLand3,$T279,1),0)&gt;0,IFERROR(SEARCH(DruidLand4,$T279,1),0)&gt;0),1,0)*IF($C279=DP$2,1,0)=0,0,1+COUNTIF(DP$3:DP278,"&gt;0"))</f>
        <v>0</v>
      </c>
      <c r="DQ279">
        <f>IF(IF(OR(IFERROR(SEARCH("Druid",$T279,1),0)&gt;0,IFERROR(SEARCH(DruidLand1,$T279,1),0)&gt;0,IFERROR(SEARCH(DruidLand2,$T279,1),0)&gt;0,IFERROR(SEARCH(DruidLand3,$T279,1),0)&gt;0,IFERROR(SEARCH(DruidLand4,$T279,1),0)&gt;0),1,0)*IF($C279=DQ$2,1,0)=0,0,1+COUNTIF(DQ$3:DQ278,"&gt;0"))</f>
        <v>0</v>
      </c>
      <c r="DR279">
        <f>IF(IF(OR(IFERROR(SEARCH("Druid",$T279,1),0)&gt;0,IFERROR(SEARCH(DruidLand1,$T279,1),0)&gt;0,IFERROR(SEARCH(DruidLand2,$T279,1),0)&gt;0,IFERROR(SEARCH(DruidLand3,$T279,1),0)&gt;0,IFERROR(SEARCH(DruidLand4,$T279,1),0)&gt;0),1,0)*IF($C279=DR$2,1,0)=0,0,1+COUNTIF(DR$3:DR278,"&gt;0"))</f>
        <v>0</v>
      </c>
      <c r="DS279">
        <f>IF(IF(OR(IFERROR(SEARCH("Paladin",$T279,1),0)&gt;0,IFERROR(SEARCH(PaladinOath,$T279,1),0)&gt;0),1,0)*IF($C279=DS$2,1,0)=1,1+COUNTIF(DS$3:DS278,"&gt;0"),0)</f>
        <v>0</v>
      </c>
      <c r="DT279">
        <f>IF(IF(OR(IFERROR(SEARCH("Paladin",$T279,1),0)&gt;0,IFERROR(SEARCH(PaladinOath,$T279,1),0)&gt;0),1,0)*IF($C279=DT$2,1,0)=1,1+COUNTIF(DT$3:DT278,"&gt;0"),0)</f>
        <v>0</v>
      </c>
      <c r="DU279">
        <f>IF(IF(OR(IFERROR(SEARCH("Paladin",$T279,1),0)&gt;0,IFERROR(SEARCH(PaladinOath,$T279,1),0)&gt;0),1,0)*IF($C279=DU$2,1,0)=1,1+COUNTIF(DU$3:DU278,"&gt;0"),0)</f>
        <v>0</v>
      </c>
      <c r="DV279">
        <f>IF(IF(OR(IFERROR(SEARCH("Paladin",$T279,1),0)&gt;0,IFERROR(SEARCH(PaladinOath,$T279,1),0)&gt;0),1,0)*IF($C279=DV$2,1,0)=1,1+COUNTIF(DV$3:DV278,"&gt;0"),0)</f>
        <v>0</v>
      </c>
      <c r="DW279">
        <f>IF(IF(OR(IFERROR(SEARCH("Paladin",$T279,1),0)&gt;0,IFERROR(SEARCH(PaladinOath,$T279,1),0)&gt;0),1,0)*IF($C279=DW$2,1,0)=1,1+COUNTIF(DW$3:DW278,"&gt;0"),0)</f>
        <v>0</v>
      </c>
      <c r="DY279">
        <f t="shared" si="225"/>
        <v>1</v>
      </c>
      <c r="DZ279">
        <f>IF(DY279=0,0,1+MAX(DZ$3:$DZ278))</f>
        <v>277</v>
      </c>
      <c r="EB279">
        <f t="shared" si="239"/>
        <v>0</v>
      </c>
      <c r="EC279">
        <f>IF(EB279=0,0,1+COUNTIF(EC$3:EC278,"&gt;0"))</f>
        <v>0</v>
      </c>
      <c r="ED279" t="str">
        <f t="shared" si="267"/>
        <v/>
      </c>
      <c r="EE279" t="str">
        <f t="shared" si="240"/>
        <v/>
      </c>
      <c r="EG279">
        <f t="shared" si="241"/>
        <v>0</v>
      </c>
      <c r="EH279">
        <f>IF(EG279=0,0,1+COUNTIF(EH$3:EH278,"&gt;0"))</f>
        <v>0</v>
      </c>
      <c r="EI279" t="str">
        <f t="shared" si="268"/>
        <v/>
      </c>
      <c r="EJ279" t="str">
        <f t="shared" si="242"/>
        <v/>
      </c>
      <c r="EL279">
        <f t="shared" si="243"/>
        <v>0</v>
      </c>
      <c r="EM279">
        <f>IF(EL279=0,0,1+COUNTIF(EM$3:EM278,"&gt;0"))</f>
        <v>0</v>
      </c>
      <c r="EN279" t="str">
        <f t="shared" si="269"/>
        <v/>
      </c>
      <c r="EO279" t="str">
        <f t="shared" si="244"/>
        <v/>
      </c>
      <c r="EQ279">
        <f t="shared" si="245"/>
        <v>0</v>
      </c>
      <c r="ER279">
        <f>IF(EQ279=0,0,1+COUNTIF(ER$3:ER278,"&gt;0"))</f>
        <v>0</v>
      </c>
      <c r="ES279" t="str">
        <f t="shared" si="270"/>
        <v/>
      </c>
      <c r="ET279" t="str">
        <f t="shared" si="246"/>
        <v/>
      </c>
      <c r="EV279">
        <f t="shared" si="247"/>
        <v>0</v>
      </c>
      <c r="EW279">
        <f>IF(EV279=0,0,1+COUNTIF(EW$3:EW278,"&gt;0"))</f>
        <v>0</v>
      </c>
      <c r="EX279" t="str">
        <f t="shared" si="271"/>
        <v/>
      </c>
      <c r="EY279" t="str">
        <f t="shared" si="248"/>
        <v/>
      </c>
      <c r="FA279">
        <f t="shared" si="249"/>
        <v>0</v>
      </c>
      <c r="FB279">
        <f>IF(FA279=0,0,1+COUNTIF(FB$3:FB278,"&gt;0"))</f>
        <v>0</v>
      </c>
      <c r="FC279" t="str">
        <f t="shared" si="272"/>
        <v/>
      </c>
      <c r="FD279" t="str">
        <f t="shared" si="250"/>
        <v/>
      </c>
      <c r="FF279">
        <f t="shared" si="251"/>
        <v>0</v>
      </c>
      <c r="FG279">
        <f>IF(FF279=0,0,1+COUNTIF(FG$3:FG278,"&gt;0"))</f>
        <v>0</v>
      </c>
      <c r="FH279" t="str">
        <f t="shared" si="273"/>
        <v/>
      </c>
      <c r="FI279" t="str">
        <f t="shared" si="252"/>
        <v/>
      </c>
      <c r="FK279">
        <f t="shared" si="253"/>
        <v>0</v>
      </c>
      <c r="FL279">
        <f>IF(FK279=0,0,1+COUNTIF(FL$3:FL278,"&gt;0"))</f>
        <v>0</v>
      </c>
      <c r="FM279" t="str">
        <f t="shared" si="274"/>
        <v/>
      </c>
      <c r="FN279" t="str">
        <f t="shared" si="254"/>
        <v/>
      </c>
      <c r="FP279">
        <f t="shared" si="255"/>
        <v>0</v>
      </c>
      <c r="FQ279">
        <f>IF(FP279=0,0,1+COUNTIF(FQ$3:FQ278,"&gt;0"))</f>
        <v>0</v>
      </c>
      <c r="FR279" t="str">
        <f t="shared" si="275"/>
        <v/>
      </c>
      <c r="FS279" t="str">
        <f t="shared" si="256"/>
        <v/>
      </c>
    </row>
    <row r="280" spans="1:175" x14ac:dyDescent="0.25">
      <c r="A280" s="347">
        <f t="shared" si="276"/>
        <v>278</v>
      </c>
      <c r="B280" s="348" t="s">
        <v>2665</v>
      </c>
      <c r="C280" s="348">
        <v>3</v>
      </c>
      <c r="D280" s="347">
        <v>3</v>
      </c>
      <c r="E280" s="627" t="s">
        <v>6952</v>
      </c>
      <c r="F280" s="346"/>
      <c r="G280" s="347" t="str">
        <f>""</f>
        <v/>
      </c>
      <c r="H280" s="347" t="s">
        <v>5912</v>
      </c>
      <c r="I280" s="347" t="s">
        <v>5298</v>
      </c>
      <c r="J280" s="347" t="str">
        <f t="shared" si="226"/>
        <v/>
      </c>
      <c r="K280" s="347" t="s">
        <v>5278</v>
      </c>
      <c r="L280" s="611" t="str">
        <f t="shared" si="227"/>
        <v>V, S</v>
      </c>
      <c r="M280" s="347" t="s">
        <v>2373</v>
      </c>
      <c r="N280" s="347" t="s">
        <v>2387</v>
      </c>
      <c r="O280" s="347" t="s">
        <v>3034</v>
      </c>
      <c r="P280" s="346" t="str">
        <f>""</f>
        <v/>
      </c>
      <c r="Q280" s="347" t="s">
        <v>5270</v>
      </c>
      <c r="S280" s="346" t="s">
        <v>2666</v>
      </c>
      <c r="T280" s="346" t="str">
        <f t="shared" si="228"/>
        <v xml:space="preserve">Paladin, Warlock, Cleric, Eldritch Knight, Wizard, </v>
      </c>
      <c r="V280" s="347" t="str">
        <f>$B280</f>
        <v>Remove Curse</v>
      </c>
      <c r="Y280" s="347" t="str">
        <f>$B280</f>
        <v>Remove Curse</v>
      </c>
      <c r="Z280" s="347" t="str">
        <f>$B280</f>
        <v>Remove Curse</v>
      </c>
      <c r="AB280" s="542" t="str">
        <f>AD280</f>
        <v>Remove Curse</v>
      </c>
      <c r="AD280" s="347" t="str">
        <f>$B280</f>
        <v>Remove Curse</v>
      </c>
      <c r="AE280" t="str">
        <f>IF(IFERROR(MATCH($B280,temp!A$4:A$13,0),0)&gt;0,T08_Spells!AE$2,"")</f>
        <v/>
      </c>
      <c r="AF280" t="str">
        <f>IF(IFERROR(MATCH($B280,temp!B$4:B$13,0),0)&gt;0,T08_Spells!AF$2,"")</f>
        <v/>
      </c>
      <c r="AG280" t="str">
        <f>IF(IFERROR(MATCH($B280,temp!C$4:C$13,0),0)&gt;0,T08_Spells!AG$2,"")</f>
        <v/>
      </c>
      <c r="AH280" t="str">
        <f>IF(IFERROR(MATCH($B280,temp!D$4:D$13,0),0)&gt;0,T08_Spells!AH$2,"")</f>
        <v/>
      </c>
      <c r="AI280" t="str">
        <f>IF(IFERROR(MATCH($B280,temp!E$4:E$13,0),0)&gt;0,T08_Spells!AI$2,"")</f>
        <v/>
      </c>
      <c r="AJ280" t="str">
        <f>IF(IFERROR(MATCH($B280,temp!F$4:F$13,0),0)&gt;0,T08_Spells!AJ$2,"")</f>
        <v/>
      </c>
      <c r="AK280" t="str">
        <f>IF(IFERROR(MATCH($B280,temp!G$4:G$13,0),0)&gt;0,T08_Spells!AK$2,"")</f>
        <v/>
      </c>
      <c r="AL280" t="str">
        <f>IF(IFERROR(MATCH($B280,temp!H$4:H$13,0),0)&gt;0,T08_Spells!AL$2,"")</f>
        <v/>
      </c>
      <c r="AM280" t="str">
        <f>IF(IFERROR(MATCH($B280,temp!I$4:I$13,0),0)&gt;0,T08_Spells!AM$2,"")</f>
        <v/>
      </c>
      <c r="AN280" t="str">
        <f>IF(IFERROR(MATCH($B280,temp!J$4:J$13,0),0)&gt;0,T08_Spells!AN$2,"")</f>
        <v/>
      </c>
      <c r="AO280" t="str">
        <f>IF(IFERROR(MATCH($B280,temp!K$4:K$13,0),0)&gt;0,T08_Spells!AO$2,"")</f>
        <v/>
      </c>
      <c r="AP280" t="str">
        <f>IF(IFERROR(MATCH($B280,temp!L$4:L$13,0),0)&gt;0,T08_Spells!AP$2,"")</f>
        <v/>
      </c>
      <c r="AQ280" t="str">
        <f>IF(IFERROR(MATCH($B280,temp!M$4:M$13,0),0)&gt;0,T08_Spells!AQ$2,"")</f>
        <v/>
      </c>
      <c r="AR280" t="str">
        <f>IF(IFERROR(MATCH($B280,temp!N$4:N$13,0),0)&gt;0,T08_Spells!AR$2,"")</f>
        <v/>
      </c>
      <c r="AS280" t="str">
        <f>IF(IFERROR(MATCH($B280,temp!O$4:O$13,0),0)&gt;0,T08_Spells!AS$2,"")</f>
        <v/>
      </c>
      <c r="AT280" t="str">
        <f>IF(IFERROR(MATCH($B280,temp!P$4:P$13,0),0)&gt;0,T08_Spells!AT$2,"")</f>
        <v/>
      </c>
      <c r="AU280" t="str">
        <f>IF(IFERROR(MATCH($B280,temp!Q$4:Q$13,0),0)&gt;0,T08_Spells!AU$2,"")</f>
        <v/>
      </c>
      <c r="AV280" t="str">
        <f>IF(IFERROR(MATCH($B280,temp!R$4:R$13,0),0)&gt;0,T08_Spells!AV$2,"")</f>
        <v/>
      </c>
      <c r="AW280" t="str">
        <f>IF(IFERROR(MATCH($B280,temp!S$4:S$13,0),0)&gt;0,T08_Spells!AW$2,"")</f>
        <v/>
      </c>
      <c r="AX280" t="str">
        <f>IF(IFERROR(MATCH($B280,temp!T$4:T$13,0),0)&gt;0,T08_Spells!AX$2,"")</f>
        <v/>
      </c>
      <c r="AY280" t="str">
        <f>IF(IFERROR(MATCH($B280,temp!U$4:U$13,0),0)&gt;0,T08_Spells!AY$2,"")</f>
        <v/>
      </c>
      <c r="AZ280" t="str">
        <f>IF(IFERROR(MATCH($B280,temp!V$4:V$13,0),0)&gt;0,T08_Spells!AZ$2,"")</f>
        <v/>
      </c>
      <c r="BA280" t="str">
        <f>IF(IFERROR(MATCH($B280,temp!W$4:W$13,0),0)&gt;0,T08_Spells!BA$2,"")</f>
        <v/>
      </c>
      <c r="BC280">
        <f>IF(IFERROR(SEARCH("Ranger",$T280,1),0)&gt;0,1,0)*IF(RangerMaxSpellLevel&gt;=$C280,1,0)*IF(IFERROR(MATCH(B280,Character_Creation!$X$79:$X$382,0),0)&gt;0,0,1)</f>
        <v>0</v>
      </c>
      <c r="BD280">
        <f>IF(BC280=0,0,1+COUNTIF(BD$3:BD279,"&gt;0"))</f>
        <v>0</v>
      </c>
      <c r="BE280" t="str">
        <f t="shared" si="257"/>
        <v/>
      </c>
      <c r="BF280" t="str">
        <f t="shared" si="229"/>
        <v/>
      </c>
      <c r="BH280">
        <f>IF(IFERROR(SEARCH("Sorcerer",$T280,1),0)&gt;0,1,0)*IF(SorcererMaxSpellLevel&gt;=$C280,1,0)*IF(IFERROR(MATCH(B280,Character_Creation!$J$380:$J$394,0),0)&gt;0,0,1)</f>
        <v>0</v>
      </c>
      <c r="BI280">
        <f>IF(BH280=0,0,1+COUNTIF(BI$3:BI279,"&gt;0"))</f>
        <v>0</v>
      </c>
      <c r="BJ280" t="str">
        <f t="shared" si="258"/>
        <v/>
      </c>
      <c r="BK280" t="str">
        <f t="shared" si="230"/>
        <v/>
      </c>
      <c r="BM280">
        <f>IF(OR(IFERROR(SEARCH("Warlock",$T280,1),0)&gt;0,IFERROR(SEARCH(WarlockPatron,$T280,1),0)&gt;0),1,0)*IF(WarlockMaxSpellLevel&gt;=$C280,1,0)*IF(IFERROR(MATCH(B280,Character_Creation!$J$361:$J$375,0),0)&gt;0,0,1)</f>
        <v>0</v>
      </c>
      <c r="BN280">
        <f>IF(BM280=0,0,1+COUNTIF(BN$3:BN279,"&gt;0"))</f>
        <v>0</v>
      </c>
      <c r="BO280" t="str">
        <f t="shared" si="259"/>
        <v/>
      </c>
      <c r="BP280" t="str">
        <f t="shared" si="231"/>
        <v/>
      </c>
      <c r="BR280">
        <f>IF(IFERROR(SEARCH("Eldritch Knight",$T280,1),0)&gt;0,1,0)*IF(EldritchKnightMaxSpellLevel&gt;=$C280,1,0)*IF(IFERROR(MATCH($B280,Character_Creation!$J$350:$J$356,0),0)&gt;0,0,1)*IF(Character_Creation!$M$338&gt;0,1,0)</f>
        <v>0</v>
      </c>
      <c r="BS280">
        <f>IF(BR280=0,0,1+COUNTIF(BS$3:BS279,"&gt;0"))</f>
        <v>0</v>
      </c>
      <c r="BT280" t="str">
        <f t="shared" si="260"/>
        <v/>
      </c>
      <c r="BU280" t="str">
        <f t="shared" si="232"/>
        <v/>
      </c>
      <c r="BW280">
        <f>IF(IFERROR(SEARCH("Arcane Trickster",$T280,1),0)&gt;0,1,0)*IF(ArcaneTricksterMaxSpellLevel&gt;=$C280,1,0)*IF(IFERROR(MATCH($B280,Character_Creation!$J$350:$J$356,0),0)&gt;0,0,1)*IF(Character_Creation!$T$338&gt;0,1,0)</f>
        <v>0</v>
      </c>
      <c r="BX280">
        <f>IF(BW280=0,0,1+COUNTIF(BX$3:BX279,"&gt;0"))</f>
        <v>0</v>
      </c>
      <c r="BY280" t="str">
        <f t="shared" si="261"/>
        <v/>
      </c>
      <c r="BZ280" t="str">
        <f t="shared" si="233"/>
        <v/>
      </c>
      <c r="CB280">
        <f>IF(IFERROR(SEARCH("Wizard",$T280,1),0)&gt;0,1,0)*IF(C280&lt;=ArcaneTricksterMaxSpellLevel,1,0)*IF(IFERROR(MATCH($B280,Character_Creation!$J$350:$J$356,0),0)&gt;0,0,1)*IF(Character_Creation!$T$350&gt;0,1,0)</f>
        <v>0</v>
      </c>
      <c r="CC280">
        <f>IF(CB280=0,0,1+COUNTIF(CC$3:CC279,"&gt;0"))</f>
        <v>0</v>
      </c>
      <c r="CD280" t="str">
        <f t="shared" si="262"/>
        <v/>
      </c>
      <c r="CE280" t="str">
        <f t="shared" si="234"/>
        <v/>
      </c>
      <c r="CG280">
        <f>IF(IFERROR(SEARCH("Wizard",$T280,1),0)&gt;0,1,0)*IF($C280&lt;=EldritchKnightMaxSpellLevel,1,0)*IF(IFERROR(MATCH($B280,Character_Creation!$J$350:$J$356,0),0)&gt;0,0,1)*IF(Character_Creation!$M$350&gt;0,1,0)</f>
        <v>0</v>
      </c>
      <c r="CH280">
        <f>IF(CG280=0,0,1+COUNTIF(CH$3:CH279,"&gt;0"))</f>
        <v>0</v>
      </c>
      <c r="CI280" t="str">
        <f t="shared" si="263"/>
        <v/>
      </c>
      <c r="CJ280" t="str">
        <f t="shared" si="235"/>
        <v/>
      </c>
      <c r="CL280">
        <f>IF(IFERROR(SEARCH("Bard",$T280,1),0)&gt;0,1,0)*IF(BardMaxSpellLevel&gt;=$C280,1,0)*IF(IFERROR(MATCH(B280,Character_Creation!$C$341:$F$362,0),0)&gt;0,0,1)*IF(IFERROR(MATCH($B280,Character_Creation!$C$341:$C$362,0),0)&gt;0,0,1)</f>
        <v>0</v>
      </c>
      <c r="CM280">
        <f>IF(CL280=0,0,1+COUNTIF(CM$3:CM279,"&gt;0"))</f>
        <v>0</v>
      </c>
      <c r="CN280" t="str">
        <f t="shared" si="264"/>
        <v/>
      </c>
      <c r="CO280" t="str">
        <f t="shared" si="236"/>
        <v/>
      </c>
      <c r="CQ280">
        <f>IF(IFERROR(SEARCH("Wizard",$T280,1),0)&gt;0,1,0)*IF(WizardMaxSpellLevel&gt;=$C280,1,0)*IF(IFERROR(MATCH(B280,Character_Creation!$X$341:$X$400,0),0)&gt;0,0,1)*IF(SelectedWizardSpellLevel=$C280,1,0)</f>
        <v>1</v>
      </c>
      <c r="CR280">
        <f>IF(CQ280=0,0,1+COUNTIF(CR$3:CR279,"&gt;0"))</f>
        <v>20</v>
      </c>
      <c r="CS280" t="str">
        <f t="shared" si="265"/>
        <v/>
      </c>
      <c r="CT280" t="str">
        <f t="shared" si="237"/>
        <v/>
      </c>
      <c r="CV280">
        <f>IF(IFERROR(MATCH($B280,Character_Creation!$C$341:$C$362,0),0)&gt;0,0,1)*IF(OR(C280="Cantrip",C280&lt;=BardMaxSpellLevel),1,0)*IF(IFERROR(MATCH($B280,Character_Creation!$C$367:$C$374,0),0)&gt;0,0,1)</f>
        <v>0</v>
      </c>
      <c r="CW280">
        <f>IF(CV280=0,0,1+COUNTIF(CW$3:CW279,"&gt;0"))</f>
        <v>0</v>
      </c>
      <c r="CX280" t="str">
        <f t="shared" si="266"/>
        <v/>
      </c>
      <c r="CY280" t="str">
        <f t="shared" si="238"/>
        <v/>
      </c>
      <c r="DA280">
        <f>IF(IF(OR(IFERROR(SEARCH("Cleric",$T280,1),0)&gt;0,IFERROR(SEARCH(DivineDomain&amp;",",$T280,1),0)&gt;0),1,0)*IF($C280=DA$2,1,0)=1,1+COUNTIF(DA$3:DA279,"&gt;0"),0)</f>
        <v>0</v>
      </c>
      <c r="DB280">
        <f>IF(IF(OR(IFERROR(SEARCH("Cleric",$T280,1),0)&gt;0,IFERROR(SEARCH(DivineDomain&amp;",",$T280,1),0)&gt;0),1,0)*IF($C280=DB$2,1,0)=1,1+COUNTIF(DB$3:DB279,"&gt;0"),0)</f>
        <v>0</v>
      </c>
      <c r="DC280">
        <f>IF(IF(OR(IFERROR(SEARCH("Cleric",$T280,1),0)&gt;0,IFERROR(SEARCH(DivineDomain&amp;",",$T280,1),0)&gt;0),1,0)*IF($C280=DC$2,1,0)=1,1+COUNTIF(DC$3:DC279,"&gt;0"),0)</f>
        <v>14</v>
      </c>
      <c r="DD280">
        <f>IF(IF(OR(IFERROR(SEARCH("Cleric",$T280,1),0)&gt;0,IFERROR(SEARCH(DivineDomain&amp;",",$T280,1),0)&gt;0),1,0)*IF($C280=DD$2,1,0)=1,1+COUNTIF(DD$3:DD279,"&gt;0"),0)</f>
        <v>0</v>
      </c>
      <c r="DE280">
        <f>IF(IF(OR(IFERROR(SEARCH("Cleric",$T280,1),0)&gt;0,IFERROR(SEARCH(DivineDomain&amp;",",$T280,1),0)&gt;0),1,0)*IF($C280=DE$2,1,0)=1,1+COUNTIF(DE$3:DE279,"&gt;0"),0)</f>
        <v>0</v>
      </c>
      <c r="DF280">
        <f>IF(IF(OR(IFERROR(SEARCH("Cleric",$T280,1),0)&gt;0,IFERROR(SEARCH(DivineDomain&amp;",",$T280,1),0)&gt;0),1,0)*IF($C280=DF$2,1,0)=1,1+COUNTIF(DF$3:DF279,"&gt;0"),0)</f>
        <v>0</v>
      </c>
      <c r="DG280">
        <f>IF(IF(OR(IFERROR(SEARCH("Cleric",$T280,1),0)&gt;0,IFERROR(SEARCH(DivineDomain&amp;",",$T280,1),0)&gt;0),1,0)*IF($C280=DG$2,1,0)=1,1+COUNTIF(DG$3:DG279,"&gt;0"),0)</f>
        <v>0</v>
      </c>
      <c r="DH280">
        <f>IF(IF(OR(IFERROR(SEARCH("Cleric",$T280,1),0)&gt;0,IFERROR(SEARCH(DivineDomain&amp;",",$T280,1),0)&gt;0),1,0)*IF($C280=DH$2,1,0)=1,1+COUNTIF(DH$3:DH279,"&gt;0"),0)</f>
        <v>0</v>
      </c>
      <c r="DI280">
        <f>IF(IF(OR(IFERROR(SEARCH("Cleric",$T280,1),0)&gt;0,IFERROR(SEARCH(DivineDomain&amp;",",$T280,1),0)&gt;0),1,0)*IF($C280=DI$2,1,0)=1,1+COUNTIF(DI$3:DI279,"&gt;0"),0)</f>
        <v>0</v>
      </c>
      <c r="DJ280">
        <f>IF(IF(OR(IFERROR(SEARCH("Druid",$T280,1),0)&gt;0,IFERROR(SEARCH(DruidLand1,$T280,1),0)&gt;0,IFERROR(SEARCH(DruidLand2,$T280,1),0)&gt;0,IFERROR(SEARCH(DruidLand3,$T280,1),0)&gt;0,IFERROR(SEARCH(DruidLand4,$T280,1),0)&gt;0),1,0)*IF($C280=1,1,0)*IF($C280=DJ$2,1,0)=0,0,1+COUNTIF(DJ$3:DJ279,"&gt;0"))</f>
        <v>0</v>
      </c>
      <c r="DK280">
        <f>IF(IF(OR(IFERROR(SEARCH("Druid",$T280,1),0)&gt;0,IFERROR(SEARCH(DruidLand1,$T280,1),0)&gt;0,IFERROR(SEARCH(DruidLand2,$T280,1),0)&gt;0,IFERROR(SEARCH(DruidLand3,$T280,1),0)&gt;0,IFERROR(SEARCH(DruidLand4,$T280,1),0)&gt;0),1,0)*IF($C280=1,1,0)*IF($C280=DK$2,1,0)=0,0,1+COUNTIF(DK$3:DK279,"&gt;0"))</f>
        <v>0</v>
      </c>
      <c r="DL280">
        <f>IF(IF(OR(IFERROR(SEARCH("Druid",$T280,1),0)&gt;0,IFERROR(SEARCH(DruidLand1,$T280,1),0)&gt;0,IFERROR(SEARCH(DruidLand2,$T280,1),0)&gt;0,IFERROR(SEARCH(DruidLand3,$T280,1),0)&gt;0,IFERROR(SEARCH(DruidLand4,$T280,1),0)&gt;0),1,0)*IF($C280=1,1,0)*IF($C280=DL$2,1,0)=0,0,1+COUNTIF(DL$3:DL279,"&gt;0"))</f>
        <v>0</v>
      </c>
      <c r="DM280">
        <f>IF(IF(OR(IFERROR(SEARCH("Druid",$T280,1),0)&gt;0,IFERROR(SEARCH(DruidLand1,$T280,1),0)&gt;0,IFERROR(SEARCH(DruidLand2,$T280,1),0)&gt;0,IFERROR(SEARCH(DruidLand3,$T280,1),0)&gt;0,IFERROR(SEARCH(DruidLand4,$T280,1),0)&gt;0),1,0)*IF($C280=1,1,0)*IF($C280=DM$2,1,0)=0,0,1+COUNTIF(DM$3:DM279,"&gt;0"))</f>
        <v>0</v>
      </c>
      <c r="DN280">
        <f>IF(IF(OR(IFERROR(SEARCH("Druid",$T280,1),0)&gt;0,IFERROR(SEARCH(DruidLand1,$T280,1),0)&gt;0,IFERROR(SEARCH(DruidLand2,$T280,1),0)&gt;0,IFERROR(SEARCH(DruidLand3,$T280,1),0)&gt;0,IFERROR(SEARCH(DruidLand4,$T280,1),0)&gt;0),1,0)*IF($C280=1,1,0)*IF($C280=DN$2,1,0)=0,0,1+COUNTIF(DN$3:DN279,"&gt;0"))</f>
        <v>0</v>
      </c>
      <c r="DO280">
        <f>IF(IF(OR(IFERROR(SEARCH("Druid",$T280,1),0)&gt;0,IFERROR(SEARCH(DruidLand1,$T280,1),0)&gt;0,IFERROR(SEARCH(DruidLand2,$T280,1),0)&gt;0,IFERROR(SEARCH(DruidLand3,$T280,1),0)&gt;0,IFERROR(SEARCH(DruidLand4,$T280,1),0)&gt;0),1,0)*IF($C280=1,1,0)*IF($C280=DO$2,1,0)=0,0,1+COUNTIF(DO$3:DO279,"&gt;0"))</f>
        <v>0</v>
      </c>
      <c r="DP280">
        <f>IF(IF(OR(IFERROR(SEARCH("Druid",$T280,1),0)&gt;0,IFERROR(SEARCH(DruidLand1,$T280,1),0)&gt;0,IFERROR(SEARCH(DruidLand2,$T280,1),0)&gt;0,IFERROR(SEARCH(DruidLand3,$T280,1),0)&gt;0,IFERROR(SEARCH(DruidLand4,$T280,1),0)&gt;0),1,0)*IF($C280=1,1,0)*IF($C280=DP$2,1,0)=0,0,1+COUNTIF(DP$3:DP279,"&gt;0"))</f>
        <v>0</v>
      </c>
      <c r="DQ280">
        <f>IF(IF(OR(IFERROR(SEARCH("Druid",$T280,1),0)&gt;0,IFERROR(SEARCH(DruidLand1,$T280,1),0)&gt;0,IFERROR(SEARCH(DruidLand2,$T280,1),0)&gt;0,IFERROR(SEARCH(DruidLand3,$T280,1),0)&gt;0,IFERROR(SEARCH(DruidLand4,$T280,1),0)&gt;0),1,0)*IF($C280=1,1,0)*IF($C280=DQ$2,1,0)=0,0,1+COUNTIF(DQ$3:DQ279,"&gt;0"))</f>
        <v>0</v>
      </c>
      <c r="DR280">
        <f>IF(IF(OR(IFERROR(SEARCH("Druid",$T280,1),0)&gt;0,IFERROR(SEARCH(DruidLand1,$T280,1),0)&gt;0,IFERROR(SEARCH(DruidLand2,$T280,1),0)&gt;0,IFERROR(SEARCH(DruidLand3,$T280,1),0)&gt;0,IFERROR(SEARCH(DruidLand4,$T280,1),0)&gt;0),1,0)*IF($C280=1,1,0)*IF($C280=DR$2,1,0)=0,0,1+COUNTIF(DR$3:DR279,"&gt;0"))</f>
        <v>0</v>
      </c>
      <c r="DS280">
        <f>IF(IF(OR(IFERROR(SEARCH("Paladin",$T280,1),0)&gt;0,IFERROR(SEARCH(PaladinOath,$T280,1),0)&gt;0),1,0)*IF($C280=DS$2,1,0)=1,1+COUNTIF(DS$3:DS279,"&gt;0"),0)</f>
        <v>0</v>
      </c>
      <c r="DT280">
        <f>IF(IF(OR(IFERROR(SEARCH("Paladin",$T280,1),0)&gt;0,IFERROR(SEARCH(PaladinOath,$T280,1),0)&gt;0),1,0)*IF($C280=DT$2,1,0)=1,1+COUNTIF(DT$3:DT279,"&gt;0"),0)</f>
        <v>0</v>
      </c>
      <c r="DU280">
        <f>IF(IF(OR(IFERROR(SEARCH("Paladin",$T280,1),0)&gt;0,IFERROR(SEARCH(PaladinOath,$T280,1),0)&gt;0),1,0)*IF($C280=DU$2,1,0)=1,1+COUNTIF(DU$3:DU279,"&gt;0"),0)</f>
        <v>9</v>
      </c>
      <c r="DV280">
        <f>IF(IF(OR(IFERROR(SEARCH("Paladin",$T280,1),0)&gt;0,IFERROR(SEARCH(PaladinOath,$T280,1),0)&gt;0),1,0)*IF($C280=DV$2,1,0)=1,1+COUNTIF(DV$3:DV279,"&gt;0"),0)</f>
        <v>0</v>
      </c>
      <c r="DW280">
        <f>IF(IF(OR(IFERROR(SEARCH("Paladin",$T280,1),0)&gt;0,IFERROR(SEARCH(PaladinOath,$T280,1),0)&gt;0),1,0)*IF($C280=DW$2,1,0)=1,1+COUNTIF(DW$3:DW279,"&gt;0"),0)</f>
        <v>0</v>
      </c>
      <c r="DY280">
        <f t="shared" si="225"/>
        <v>1</v>
      </c>
      <c r="DZ280">
        <f>IF(DY280=0,0,1+MAX(DZ$3:$DZ279))</f>
        <v>278</v>
      </c>
      <c r="EB280">
        <f t="shared" si="239"/>
        <v>0</v>
      </c>
      <c r="EC280">
        <f>IF(EB280=0,0,1+COUNTIF(EC$3:EC279,"&gt;0"))</f>
        <v>0</v>
      </c>
      <c r="ED280" t="str">
        <f t="shared" si="267"/>
        <v/>
      </c>
      <c r="EE280" t="str">
        <f t="shared" si="240"/>
        <v/>
      </c>
      <c r="EG280">
        <f t="shared" si="241"/>
        <v>0</v>
      </c>
      <c r="EH280">
        <f>IF(EG280=0,0,1+COUNTIF(EH$3:EH279,"&gt;0"))</f>
        <v>0</v>
      </c>
      <c r="EI280" t="str">
        <f t="shared" si="268"/>
        <v/>
      </c>
      <c r="EJ280" t="str">
        <f t="shared" si="242"/>
        <v/>
      </c>
      <c r="EL280">
        <f t="shared" si="243"/>
        <v>0</v>
      </c>
      <c r="EM280">
        <f>IF(EL280=0,0,1+COUNTIF(EM$3:EM279,"&gt;0"))</f>
        <v>0</v>
      </c>
      <c r="EN280" t="str">
        <f t="shared" si="269"/>
        <v/>
      </c>
      <c r="EO280" t="str">
        <f t="shared" si="244"/>
        <v/>
      </c>
      <c r="EQ280">
        <f t="shared" si="245"/>
        <v>0</v>
      </c>
      <c r="ER280">
        <f>IF(EQ280=0,0,1+COUNTIF(ER$3:ER279,"&gt;0"))</f>
        <v>0</v>
      </c>
      <c r="ES280" t="str">
        <f t="shared" si="270"/>
        <v/>
      </c>
      <c r="ET280" t="str">
        <f t="shared" si="246"/>
        <v/>
      </c>
      <c r="EV280">
        <f t="shared" si="247"/>
        <v>0</v>
      </c>
      <c r="EW280">
        <f>IF(EV280=0,0,1+COUNTIF(EW$3:EW279,"&gt;0"))</f>
        <v>0</v>
      </c>
      <c r="EX280" t="str">
        <f t="shared" si="271"/>
        <v/>
      </c>
      <c r="EY280" t="str">
        <f t="shared" si="248"/>
        <v/>
      </c>
      <c r="FA280">
        <f t="shared" si="249"/>
        <v>0</v>
      </c>
      <c r="FB280">
        <f>IF(FA280=0,0,1+COUNTIF(FB$3:FB279,"&gt;0"))</f>
        <v>0</v>
      </c>
      <c r="FC280" t="str">
        <f t="shared" si="272"/>
        <v/>
      </c>
      <c r="FD280" t="str">
        <f t="shared" si="250"/>
        <v/>
      </c>
      <c r="FF280">
        <f t="shared" si="251"/>
        <v>0</v>
      </c>
      <c r="FG280">
        <f>IF(FF280=0,0,1+COUNTIF(FG$3:FG279,"&gt;0"))</f>
        <v>0</v>
      </c>
      <c r="FH280" t="str">
        <f t="shared" si="273"/>
        <v/>
      </c>
      <c r="FI280" t="str">
        <f t="shared" si="252"/>
        <v/>
      </c>
      <c r="FK280">
        <f t="shared" si="253"/>
        <v>0</v>
      </c>
      <c r="FL280">
        <f>IF(FK280=0,0,1+COUNTIF(FL$3:FL279,"&gt;0"))</f>
        <v>0</v>
      </c>
      <c r="FM280" t="str">
        <f t="shared" si="274"/>
        <v/>
      </c>
      <c r="FN280" t="str">
        <f t="shared" si="254"/>
        <v/>
      </c>
      <c r="FP280">
        <f t="shared" si="255"/>
        <v>0</v>
      </c>
      <c r="FQ280">
        <f>IF(FP280=0,0,1+COUNTIF(FQ$3:FQ279,"&gt;0"))</f>
        <v>0</v>
      </c>
      <c r="FR280" t="str">
        <f t="shared" si="275"/>
        <v/>
      </c>
      <c r="FS280" t="str">
        <f t="shared" si="256"/>
        <v/>
      </c>
    </row>
    <row r="281" spans="1:175" x14ac:dyDescent="0.25">
      <c r="A281" s="347">
        <f t="shared" si="276"/>
        <v>279</v>
      </c>
      <c r="B281" s="348" t="s">
        <v>2667</v>
      </c>
      <c r="C281" s="348" t="s">
        <v>5277</v>
      </c>
      <c r="D281" s="347">
        <v>0.5</v>
      </c>
      <c r="E281" s="627" t="s">
        <v>6952</v>
      </c>
      <c r="F281" s="346"/>
      <c r="G281" s="347" t="str">
        <f>""</f>
        <v/>
      </c>
      <c r="H281" s="347" t="s">
        <v>5912</v>
      </c>
      <c r="I281" s="347" t="s">
        <v>5298</v>
      </c>
      <c r="J281" s="347" t="str">
        <f t="shared" si="226"/>
        <v/>
      </c>
      <c r="K281" s="347" t="s">
        <v>5291</v>
      </c>
      <c r="L281" s="611" t="str">
        <f t="shared" si="227"/>
        <v>V, S, M, a miniature cloak</v>
      </c>
      <c r="M281" s="347" t="s">
        <v>2373</v>
      </c>
      <c r="N281" s="347" t="s">
        <v>2387</v>
      </c>
      <c r="O281" s="347" t="s">
        <v>1244</v>
      </c>
      <c r="P281" s="346" t="s">
        <v>5463</v>
      </c>
      <c r="Q281" s="347" t="s">
        <v>5270</v>
      </c>
      <c r="S281" s="346" t="s">
        <v>2668</v>
      </c>
      <c r="T281" s="346" t="str">
        <f t="shared" si="228"/>
        <v xml:space="preserve">Cleric, Druid, </v>
      </c>
      <c r="Z281" s="347" t="str">
        <f>$B281</f>
        <v>Resistance</v>
      </c>
      <c r="AA281" s="347" t="str">
        <f>$B281</f>
        <v>Resistance</v>
      </c>
      <c r="AE281" t="str">
        <f>IF(IFERROR(MATCH($B281,temp!A$4:A$13,0),0)&gt;0,T08_Spells!AE$2,"")</f>
        <v/>
      </c>
      <c r="AF281" t="str">
        <f>IF(IFERROR(MATCH($B281,temp!B$4:B$13,0),0)&gt;0,T08_Spells!AF$2,"")</f>
        <v/>
      </c>
      <c r="AG281" t="str">
        <f>IF(IFERROR(MATCH($B281,temp!C$4:C$13,0),0)&gt;0,T08_Spells!AG$2,"")</f>
        <v/>
      </c>
      <c r="AH281" t="str">
        <f>IF(IFERROR(MATCH($B281,temp!D$4:D$13,0),0)&gt;0,T08_Spells!AH$2,"")</f>
        <v/>
      </c>
      <c r="AI281" t="str">
        <f>IF(IFERROR(MATCH($B281,temp!E$4:E$13,0),0)&gt;0,T08_Spells!AI$2,"")</f>
        <v/>
      </c>
      <c r="AJ281" t="str">
        <f>IF(IFERROR(MATCH($B281,temp!F$4:F$13,0),0)&gt;0,T08_Spells!AJ$2,"")</f>
        <v/>
      </c>
      <c r="AK281" t="str">
        <f>IF(IFERROR(MATCH($B281,temp!G$4:G$13,0),0)&gt;0,T08_Spells!AK$2,"")</f>
        <v/>
      </c>
      <c r="AL281" t="str">
        <f>IF(IFERROR(MATCH($B281,temp!H$4:H$13,0),0)&gt;0,T08_Spells!AL$2,"")</f>
        <v/>
      </c>
      <c r="AM281" t="str">
        <f>IF(IFERROR(MATCH($B281,temp!I$4:I$13,0),0)&gt;0,T08_Spells!AM$2,"")</f>
        <v/>
      </c>
      <c r="AN281" t="str">
        <f>IF(IFERROR(MATCH($B281,temp!J$4:J$13,0),0)&gt;0,T08_Spells!AN$2,"")</f>
        <v/>
      </c>
      <c r="AO281" t="str">
        <f>IF(IFERROR(MATCH($B281,temp!K$4:K$13,0),0)&gt;0,T08_Spells!AO$2,"")</f>
        <v/>
      </c>
      <c r="AP281" t="str">
        <f>IF(IFERROR(MATCH($B281,temp!L$4:L$13,0),0)&gt;0,T08_Spells!AP$2,"")</f>
        <v/>
      </c>
      <c r="AQ281" t="str">
        <f>IF(IFERROR(MATCH($B281,temp!M$4:M$13,0),0)&gt;0,T08_Spells!AQ$2,"")</f>
        <v/>
      </c>
      <c r="AR281" t="str">
        <f>IF(IFERROR(MATCH($B281,temp!N$4:N$13,0),0)&gt;0,T08_Spells!AR$2,"")</f>
        <v/>
      </c>
      <c r="AS281" t="str">
        <f>IF(IFERROR(MATCH($B281,temp!O$4:O$13,0),0)&gt;0,T08_Spells!AS$2,"")</f>
        <v/>
      </c>
      <c r="AT281" t="str">
        <f>IF(IFERROR(MATCH($B281,temp!P$4:P$13,0),0)&gt;0,T08_Spells!AT$2,"")</f>
        <v/>
      </c>
      <c r="AU281" t="str">
        <f>IF(IFERROR(MATCH($B281,temp!Q$4:Q$13,0),0)&gt;0,T08_Spells!AU$2,"")</f>
        <v/>
      </c>
      <c r="AV281" t="str">
        <f>IF(IFERROR(MATCH($B281,temp!R$4:R$13,0),0)&gt;0,T08_Spells!AV$2,"")</f>
        <v/>
      </c>
      <c r="AW281" t="str">
        <f>IF(IFERROR(MATCH($B281,temp!S$4:S$13,0),0)&gt;0,T08_Spells!AW$2,"")</f>
        <v/>
      </c>
      <c r="AX281" t="str">
        <f>IF(IFERROR(MATCH($B281,temp!T$4:T$13,0),0)&gt;0,T08_Spells!AX$2,"")</f>
        <v/>
      </c>
      <c r="AY281" t="str">
        <f>IF(IFERROR(MATCH($B281,temp!U$4:U$13,0),0)&gt;0,T08_Spells!AY$2,"")</f>
        <v/>
      </c>
      <c r="AZ281" t="str">
        <f>IF(IFERROR(MATCH($B281,temp!V$4:V$13,0),0)&gt;0,T08_Spells!AZ$2,"")</f>
        <v/>
      </c>
      <c r="BA281" t="str">
        <f>IF(IFERROR(MATCH($B281,temp!W$4:W$13,0),0)&gt;0,T08_Spells!BA$2,"")</f>
        <v/>
      </c>
      <c r="BC281">
        <f>IF(IFERROR(SEARCH("Ranger",$T281,1),0)&gt;0,1,0)*IF(RangerMaxSpellLevel&gt;=$C281,1,0)*IF(IFERROR(MATCH(B281,Character_Creation!$X$79:$X$382,0),0)&gt;0,0,1)</f>
        <v>0</v>
      </c>
      <c r="BD281">
        <f>IF(BC281=0,0,1+COUNTIF(BD$3:BD280,"&gt;0"))</f>
        <v>0</v>
      </c>
      <c r="BE281" t="str">
        <f t="shared" si="257"/>
        <v/>
      </c>
      <c r="BF281" t="str">
        <f t="shared" si="229"/>
        <v/>
      </c>
      <c r="BH281">
        <f>IF(IFERROR(SEARCH("Sorcerer",$T281,1),0)&gt;0,1,0)*IF(SorcererMaxSpellLevel&gt;=$C281,1,0)*IF(IFERROR(MATCH(B281,Character_Creation!$J$380:$J$394,0),0)&gt;0,0,1)</f>
        <v>0</v>
      </c>
      <c r="BI281">
        <f>IF(BH281=0,0,1+COUNTIF(BI$3:BI280,"&gt;0"))</f>
        <v>0</v>
      </c>
      <c r="BJ281" t="str">
        <f t="shared" si="258"/>
        <v/>
      </c>
      <c r="BK281" t="str">
        <f t="shared" si="230"/>
        <v/>
      </c>
      <c r="BM281">
        <f>IF(OR(IFERROR(SEARCH("Warlock",$T281,1),0)&gt;0,IFERROR(SEARCH(WarlockPatron,$T281,1),0)&gt;0),1,0)*IF(WarlockMaxSpellLevel&gt;=$C281,1,0)*IF(IFERROR(MATCH(B281,Character_Creation!$J$361:$J$375,0),0)&gt;0,0,1)</f>
        <v>0</v>
      </c>
      <c r="BN281">
        <f>IF(BM281=0,0,1+COUNTIF(BN$3:BN280,"&gt;0"))</f>
        <v>0</v>
      </c>
      <c r="BO281" t="str">
        <f t="shared" si="259"/>
        <v/>
      </c>
      <c r="BP281" t="str">
        <f t="shared" si="231"/>
        <v/>
      </c>
      <c r="BR281">
        <f>IF(IFERROR(SEARCH("Eldritch Knight",$T281,1),0)&gt;0,1,0)*IF(EldritchKnightMaxSpellLevel&gt;=$C281,1,0)*IF(IFERROR(MATCH($B281,Character_Creation!$J$350:$J$356,0),0)&gt;0,0,1)*IF(Character_Creation!$M$338&gt;0,1,0)</f>
        <v>0</v>
      </c>
      <c r="BS281">
        <f>IF(BR281=0,0,1+COUNTIF(BS$3:BS280,"&gt;0"))</f>
        <v>0</v>
      </c>
      <c r="BT281" t="str">
        <f t="shared" si="260"/>
        <v/>
      </c>
      <c r="BU281" t="str">
        <f t="shared" si="232"/>
        <v/>
      </c>
      <c r="BW281">
        <f>IF(IFERROR(SEARCH("Arcane Trickster",$T281,1),0)&gt;0,1,0)*IF(ArcaneTricksterMaxSpellLevel&gt;=$C281,1,0)*IF(IFERROR(MATCH($B281,Character_Creation!$J$350:$J$356,0),0)&gt;0,0,1)*IF(Character_Creation!$T$338&gt;0,1,0)</f>
        <v>0</v>
      </c>
      <c r="BX281">
        <f>IF(BW281=0,0,1+COUNTIF(BX$3:BX280,"&gt;0"))</f>
        <v>0</v>
      </c>
      <c r="BY281" t="str">
        <f t="shared" si="261"/>
        <v/>
      </c>
      <c r="BZ281" t="str">
        <f t="shared" si="233"/>
        <v/>
      </c>
      <c r="CB281">
        <f>IF(IFERROR(SEARCH("Wizard",$T281,1),0)&gt;0,1,0)*IF(C281&lt;=ArcaneTricksterMaxSpellLevel,1,0)*IF(IFERROR(MATCH($B281,Character_Creation!$J$350:$J$356,0),0)&gt;0,0,1)*IF(Character_Creation!$T$350&gt;0,1,0)</f>
        <v>0</v>
      </c>
      <c r="CC281">
        <f>IF(CB281=0,0,1+COUNTIF(CC$3:CC280,"&gt;0"))</f>
        <v>0</v>
      </c>
      <c r="CD281" t="str">
        <f t="shared" si="262"/>
        <v/>
      </c>
      <c r="CE281" t="str">
        <f t="shared" si="234"/>
        <v/>
      </c>
      <c r="CG281">
        <f>IF(IFERROR(SEARCH("Wizard",$T281,1),0)&gt;0,1,0)*IF($C281&lt;=EldritchKnightMaxSpellLevel,1,0)*IF(IFERROR(MATCH($B281,Character_Creation!$J$350:$J$356,0),0)&gt;0,0,1)*IF(Character_Creation!$M$350&gt;0,1,0)</f>
        <v>0</v>
      </c>
      <c r="CH281">
        <f>IF(CG281=0,0,1+COUNTIF(CH$3:CH280,"&gt;0"))</f>
        <v>0</v>
      </c>
      <c r="CI281" t="str">
        <f t="shared" si="263"/>
        <v/>
      </c>
      <c r="CJ281" t="str">
        <f t="shared" si="235"/>
        <v/>
      </c>
      <c r="CL281">
        <f>IF(IFERROR(SEARCH("Bard",$T281,1),0)&gt;0,1,0)*IF(BardMaxSpellLevel&gt;=$C281,1,0)*IF(IFERROR(MATCH(B281,Character_Creation!$C$341:$F$362,0),0)&gt;0,0,1)*IF(IFERROR(MATCH($B281,Character_Creation!$C$341:$C$362,0),0)&gt;0,0,1)</f>
        <v>0</v>
      </c>
      <c r="CM281">
        <f>IF(CL281=0,0,1+COUNTIF(CM$3:CM280,"&gt;0"))</f>
        <v>0</v>
      </c>
      <c r="CN281" t="str">
        <f t="shared" si="264"/>
        <v/>
      </c>
      <c r="CO281" t="str">
        <f t="shared" si="236"/>
        <v/>
      </c>
      <c r="CQ281">
        <f>IF(IFERROR(SEARCH("Wizard",$T281,1),0)&gt;0,1,0)*IF(WizardMaxSpellLevel&gt;=$C281,1,0)*IF(IFERROR(MATCH(B281,Character_Creation!$X$341:$X$400,0),0)&gt;0,0,1)*IF(SelectedWizardSpellLevel=$C281,1,0)</f>
        <v>0</v>
      </c>
      <c r="CR281">
        <f>IF(CQ281=0,0,1+COUNTIF(CR$3:CR280,"&gt;0"))</f>
        <v>0</v>
      </c>
      <c r="CS281" t="str">
        <f t="shared" si="265"/>
        <v/>
      </c>
      <c r="CT281" t="str">
        <f t="shared" si="237"/>
        <v/>
      </c>
      <c r="CV281">
        <f>IF(IFERROR(MATCH($B281,Character_Creation!$C$341:$C$362,0),0)&gt;0,0,1)*IF(OR(C281="Cantrip",C281&lt;=BardMaxSpellLevel),1,0)*IF(IFERROR(MATCH($B281,Character_Creation!$C$367:$C$374,0),0)&gt;0,0,1)</f>
        <v>1</v>
      </c>
      <c r="CW281">
        <f>IF(CV281=0,0,1+COUNTIF(CW$3:CW280,"&gt;0"))</f>
        <v>19</v>
      </c>
      <c r="CX281" t="str">
        <f t="shared" si="266"/>
        <v/>
      </c>
      <c r="CY281" t="str">
        <f t="shared" si="238"/>
        <v/>
      </c>
      <c r="DA281">
        <f>IF(IF(OR(IFERROR(SEARCH("Cleric",$T281,1),0)&gt;0,IFERROR(SEARCH(DivineDomain&amp;",",$T281,1),0)&gt;0),1,0)*IF($C281=DA$2,1,0)=1,1+COUNTIF(DA$3:DA280,"&gt;0"),0)</f>
        <v>0</v>
      </c>
      <c r="DB281">
        <f>IF(IF(OR(IFERROR(SEARCH("Cleric",$T281,1),0)&gt;0,IFERROR(SEARCH(DivineDomain&amp;",",$T281,1),0)&gt;0),1,0)*IF($C281=DB$2,1,0)=1,1+COUNTIF(DB$3:DB280,"&gt;0"),0)</f>
        <v>0</v>
      </c>
      <c r="DC281">
        <f>IF(IF(OR(IFERROR(SEARCH("Cleric",$T281,1),0)&gt;0,IFERROR(SEARCH(DivineDomain&amp;",",$T281,1),0)&gt;0),1,0)*IF($C281=DC$2,1,0)=1,1+COUNTIF(DC$3:DC280,"&gt;0"),0)</f>
        <v>0</v>
      </c>
      <c r="DD281">
        <f>IF(IF(OR(IFERROR(SEARCH("Cleric",$T281,1),0)&gt;0,IFERROR(SEARCH(DivineDomain&amp;",",$T281,1),0)&gt;0),1,0)*IF($C281=DD$2,1,0)=1,1+COUNTIF(DD$3:DD280,"&gt;0"),0)</f>
        <v>0</v>
      </c>
      <c r="DE281">
        <f>IF(IF(OR(IFERROR(SEARCH("Cleric",$T281,1),0)&gt;0,IFERROR(SEARCH(DivineDomain&amp;",",$T281,1),0)&gt;0),1,0)*IF($C281=DE$2,1,0)=1,1+COUNTIF(DE$3:DE280,"&gt;0"),0)</f>
        <v>0</v>
      </c>
      <c r="DF281">
        <f>IF(IF(OR(IFERROR(SEARCH("Cleric",$T281,1),0)&gt;0,IFERROR(SEARCH(DivineDomain&amp;",",$T281,1),0)&gt;0),1,0)*IF($C281=DF$2,1,0)=1,1+COUNTIF(DF$3:DF280,"&gt;0"),0)</f>
        <v>0</v>
      </c>
      <c r="DG281">
        <f>IF(IF(OR(IFERROR(SEARCH("Cleric",$T281,1),0)&gt;0,IFERROR(SEARCH(DivineDomain&amp;",",$T281,1),0)&gt;0),1,0)*IF($C281=DG$2,1,0)=1,1+COUNTIF(DG$3:DG280,"&gt;0"),0)</f>
        <v>0</v>
      </c>
      <c r="DH281">
        <f>IF(IF(OR(IFERROR(SEARCH("Cleric",$T281,1),0)&gt;0,IFERROR(SEARCH(DivineDomain&amp;",",$T281,1),0)&gt;0),1,0)*IF($C281=DH$2,1,0)=1,1+COUNTIF(DH$3:DH280,"&gt;0"),0)</f>
        <v>0</v>
      </c>
      <c r="DI281">
        <f>IF(IF(OR(IFERROR(SEARCH("Cleric",$T281,1),0)&gt;0,IFERROR(SEARCH(DivineDomain&amp;",",$T281,1),0)&gt;0),1,0)*IF($C281=DI$2,1,0)=1,1+COUNTIF(DI$3:DI280,"&gt;0"),0)</f>
        <v>0</v>
      </c>
      <c r="DJ281">
        <f>IF(IF(OR(IFERROR(SEARCH("Druid",$T281,1),0)&gt;0,IFERROR(SEARCH(DruidLand1,$T281,1),0)&gt;0,IFERROR(SEARCH(DruidLand2,$T281,1),0)&gt;0,IFERROR(SEARCH(DruidLand3,$T281,1),0)&gt;0,IFERROR(SEARCH(DruidLand4,$T281,1),0)&gt;0),1,0)*IF($C281=1,1,0)*IF($C281=DJ$2,1,0)=0,0,1+COUNTIF(DJ$3:DJ280,"&gt;0"))</f>
        <v>0</v>
      </c>
      <c r="DK281">
        <f>IF(IF(OR(IFERROR(SEARCH("Druid",$T281,1),0)&gt;0,IFERROR(SEARCH(DruidLand1,$T281,1),0)&gt;0,IFERROR(SEARCH(DruidLand2,$T281,1),0)&gt;0,IFERROR(SEARCH(DruidLand3,$T281,1),0)&gt;0,IFERROR(SEARCH(DruidLand4,$T281,1),0)&gt;0),1,0)*IF($C281=DK$2,1,0)=0,0,1+COUNTIF(DK$3:DK280,"&gt;0"))</f>
        <v>0</v>
      </c>
      <c r="DL281">
        <f>IF(IF(OR(IFERROR(SEARCH("Druid",$T281,1),0)&gt;0,IFERROR(SEARCH(DruidLand1,$T281,1),0)&gt;0,IFERROR(SEARCH(DruidLand2,$T281,1),0)&gt;0,IFERROR(SEARCH(DruidLand3,$T281,1),0)&gt;0,IFERROR(SEARCH(DruidLand4,$T281,1),0)&gt;0),1,0)*IF($C281=DL$2,1,0)=0,0,1+COUNTIF(DL$3:DL280,"&gt;0"))</f>
        <v>0</v>
      </c>
      <c r="DM281">
        <f>IF(IF(OR(IFERROR(SEARCH("Druid",$T281,1),0)&gt;0,IFERROR(SEARCH(DruidLand1,$T281,1),0)&gt;0,IFERROR(SEARCH(DruidLand2,$T281,1),0)&gt;0,IFERROR(SEARCH(DruidLand3,$T281,1),0)&gt;0,IFERROR(SEARCH(DruidLand4,$T281,1),0)&gt;0),1,0)*IF($C281=DM$2,1,0)=0,0,1+COUNTIF(DM$3:DM280,"&gt;0"))</f>
        <v>0</v>
      </c>
      <c r="DN281">
        <f>IF(IF(OR(IFERROR(SEARCH("Druid",$T281,1),0)&gt;0,IFERROR(SEARCH(DruidLand1,$T281,1),0)&gt;0,IFERROR(SEARCH(DruidLand2,$T281,1),0)&gt;0,IFERROR(SEARCH(DruidLand3,$T281,1),0)&gt;0,IFERROR(SEARCH(DruidLand4,$T281,1),0)&gt;0),1,0)*IF($C281=DN$2,1,0)=0,0,1+COUNTIF(DN$3:DN280,"&gt;0"))</f>
        <v>0</v>
      </c>
      <c r="DO281">
        <f>IF(IF(OR(IFERROR(SEARCH("Druid",$T281,1),0)&gt;0,IFERROR(SEARCH(DruidLand1,$T281,1),0)&gt;0,IFERROR(SEARCH(DruidLand2,$T281,1),0)&gt;0,IFERROR(SEARCH(DruidLand3,$T281,1),0)&gt;0,IFERROR(SEARCH(DruidLand4,$T281,1),0)&gt;0),1,0)*IF($C281=DO$2,1,0)=0,0,1+COUNTIF(DO$3:DO280,"&gt;0"))</f>
        <v>0</v>
      </c>
      <c r="DP281">
        <f>IF(IF(OR(IFERROR(SEARCH("Druid",$T281,1),0)&gt;0,IFERROR(SEARCH(DruidLand1,$T281,1),0)&gt;0,IFERROR(SEARCH(DruidLand2,$T281,1),0)&gt;0,IFERROR(SEARCH(DruidLand3,$T281,1),0)&gt;0,IFERROR(SEARCH(DruidLand4,$T281,1),0)&gt;0),1,0)*IF($C281=DP$2,1,0)=0,0,1+COUNTIF(DP$3:DP280,"&gt;0"))</f>
        <v>0</v>
      </c>
      <c r="DQ281">
        <f>IF(IF(OR(IFERROR(SEARCH("Druid",$T281,1),0)&gt;0,IFERROR(SEARCH(DruidLand1,$T281,1),0)&gt;0,IFERROR(SEARCH(DruidLand2,$T281,1),0)&gt;0,IFERROR(SEARCH(DruidLand3,$T281,1),0)&gt;0,IFERROR(SEARCH(DruidLand4,$T281,1),0)&gt;0),1,0)*IF($C281=DQ$2,1,0)=0,0,1+COUNTIF(DQ$3:DQ280,"&gt;0"))</f>
        <v>0</v>
      </c>
      <c r="DR281">
        <f>IF(IF(OR(IFERROR(SEARCH("Druid",$T281,1),0)&gt;0,IFERROR(SEARCH(DruidLand1,$T281,1),0)&gt;0,IFERROR(SEARCH(DruidLand2,$T281,1),0)&gt;0,IFERROR(SEARCH(DruidLand3,$T281,1),0)&gt;0,IFERROR(SEARCH(DruidLand4,$T281,1),0)&gt;0),1,0)*IF($C281=DR$2,1,0)=0,0,1+COUNTIF(DR$3:DR280,"&gt;0"))</f>
        <v>0</v>
      </c>
      <c r="DS281">
        <f>IF(IF(OR(IFERROR(SEARCH("Paladin",$T281,1),0)&gt;0,IFERROR(SEARCH(PaladinOath,$T281,1),0)&gt;0),1,0)*IF($C281=DS$2,1,0)=1,1+COUNTIF(DS$3:DS280,"&gt;0"),0)</f>
        <v>0</v>
      </c>
      <c r="DT281">
        <f>IF(IF(OR(IFERROR(SEARCH("Paladin",$T281,1),0)&gt;0,IFERROR(SEARCH(PaladinOath,$T281,1),0)&gt;0),1,0)*IF($C281=DT$2,1,0)=1,1+COUNTIF(DT$3:DT280,"&gt;0"),0)</f>
        <v>0</v>
      </c>
      <c r="DU281">
        <f>IF(IF(OR(IFERROR(SEARCH("Paladin",$T281,1),0)&gt;0,IFERROR(SEARCH(PaladinOath,$T281,1),0)&gt;0),1,0)*IF($C281=DU$2,1,0)=1,1+COUNTIF(DU$3:DU280,"&gt;0"),0)</f>
        <v>0</v>
      </c>
      <c r="DV281">
        <f>IF(IF(OR(IFERROR(SEARCH("Paladin",$T281,1),0)&gt;0,IFERROR(SEARCH(PaladinOath,$T281,1),0)&gt;0),1,0)*IF($C281=DV$2,1,0)=1,1+COUNTIF(DV$3:DV280,"&gt;0"),0)</f>
        <v>0</v>
      </c>
      <c r="DW281">
        <f>IF(IF(OR(IFERROR(SEARCH("Paladin",$T281,1),0)&gt;0,IFERROR(SEARCH(PaladinOath,$T281,1),0)&gt;0),1,0)*IF($C281=DW$2,1,0)=1,1+COUNTIF(DW$3:DW280,"&gt;0"),0)</f>
        <v>0</v>
      </c>
      <c r="DY281">
        <f t="shared" si="225"/>
        <v>1</v>
      </c>
      <c r="DZ281">
        <f>IF(DY281=0,0,1+MAX(DZ$3:$DZ280))</f>
        <v>279</v>
      </c>
      <c r="EB281">
        <f t="shared" si="239"/>
        <v>0</v>
      </c>
      <c r="EC281">
        <f>IF(EB281=0,0,1+COUNTIF(EC$3:EC280,"&gt;0"))</f>
        <v>0</v>
      </c>
      <c r="ED281" t="str">
        <f t="shared" si="267"/>
        <v/>
      </c>
      <c r="EE281" t="str">
        <f t="shared" si="240"/>
        <v/>
      </c>
      <c r="EG281">
        <f t="shared" si="241"/>
        <v>1</v>
      </c>
      <c r="EH281">
        <f>IF(EG281=0,0,1+COUNTIF(EH$3:EH280,"&gt;0"))</f>
        <v>3</v>
      </c>
      <c r="EI281" t="str">
        <f t="shared" si="268"/>
        <v/>
      </c>
      <c r="EJ281" t="str">
        <f t="shared" si="242"/>
        <v/>
      </c>
      <c r="EL281">
        <f t="shared" si="243"/>
        <v>1</v>
      </c>
      <c r="EM281">
        <f>IF(EL281=0,0,1+COUNTIF(EM$3:EM280,"&gt;0"))</f>
        <v>6</v>
      </c>
      <c r="EN281" t="str">
        <f t="shared" si="269"/>
        <v/>
      </c>
      <c r="EO281" t="str">
        <f t="shared" si="244"/>
        <v/>
      </c>
      <c r="EQ281">
        <f t="shared" si="245"/>
        <v>0</v>
      </c>
      <c r="ER281">
        <f>IF(EQ281=0,0,1+COUNTIF(ER$3:ER280,"&gt;0"))</f>
        <v>0</v>
      </c>
      <c r="ES281" t="str">
        <f t="shared" si="270"/>
        <v/>
      </c>
      <c r="ET281" t="str">
        <f t="shared" si="246"/>
        <v/>
      </c>
      <c r="EV281">
        <f t="shared" si="247"/>
        <v>0</v>
      </c>
      <c r="EW281">
        <f>IF(EV281=0,0,1+COUNTIF(EW$3:EW280,"&gt;0"))</f>
        <v>0</v>
      </c>
      <c r="EX281" t="str">
        <f t="shared" si="271"/>
        <v/>
      </c>
      <c r="EY281" t="str">
        <f t="shared" si="248"/>
        <v/>
      </c>
      <c r="FA281">
        <f t="shared" si="249"/>
        <v>0</v>
      </c>
      <c r="FB281">
        <f>IF(FA281=0,0,1+COUNTIF(FB$3:FB280,"&gt;0"))</f>
        <v>0</v>
      </c>
      <c r="FC281" t="str">
        <f t="shared" si="272"/>
        <v/>
      </c>
      <c r="FD281" t="str">
        <f t="shared" si="250"/>
        <v/>
      </c>
      <c r="FF281">
        <f t="shared" si="251"/>
        <v>0</v>
      </c>
      <c r="FG281">
        <f>IF(FF281=0,0,1+COUNTIF(FG$3:FG280,"&gt;0"))</f>
        <v>0</v>
      </c>
      <c r="FH281" t="str">
        <f t="shared" si="273"/>
        <v/>
      </c>
      <c r="FI281" t="str">
        <f t="shared" si="252"/>
        <v/>
      </c>
      <c r="FK281">
        <f t="shared" si="253"/>
        <v>0</v>
      </c>
      <c r="FL281">
        <f>IF(FK281=0,0,1+COUNTIF(FL$3:FL280,"&gt;0"))</f>
        <v>0</v>
      </c>
      <c r="FM281" t="str">
        <f t="shared" si="274"/>
        <v/>
      </c>
      <c r="FN281" t="str">
        <f t="shared" si="254"/>
        <v/>
      </c>
      <c r="FP281">
        <f t="shared" si="255"/>
        <v>0</v>
      </c>
      <c r="FQ281">
        <f>IF(FP281=0,0,1+COUNTIF(FQ$3:FQ280,"&gt;0"))</f>
        <v>0</v>
      </c>
      <c r="FR281" t="str">
        <f t="shared" si="275"/>
        <v/>
      </c>
      <c r="FS281" t="str">
        <f t="shared" si="256"/>
        <v/>
      </c>
    </row>
    <row r="282" spans="1:175" x14ac:dyDescent="0.25">
      <c r="A282" s="347">
        <f t="shared" si="276"/>
        <v>280</v>
      </c>
      <c r="B282" s="348" t="s">
        <v>2669</v>
      </c>
      <c r="C282" s="348">
        <v>7</v>
      </c>
      <c r="D282" s="347">
        <v>7</v>
      </c>
      <c r="E282" s="627" t="s">
        <v>6952</v>
      </c>
      <c r="F282" s="346"/>
      <c r="G282" s="347" t="str">
        <f>""</f>
        <v/>
      </c>
      <c r="H282" s="347" t="s">
        <v>5293</v>
      </c>
      <c r="I282" s="347" t="s">
        <v>5298</v>
      </c>
      <c r="J282" s="347" t="str">
        <f t="shared" si="226"/>
        <v/>
      </c>
      <c r="K282" s="347" t="s">
        <v>5278</v>
      </c>
      <c r="L282" s="611" t="str">
        <f t="shared" si="227"/>
        <v>V, S, M, a diamond worth at least 1,000 gp, which the spell consumes</v>
      </c>
      <c r="M282" s="347" t="s">
        <v>2373</v>
      </c>
      <c r="N282" s="347" t="s">
        <v>2387</v>
      </c>
      <c r="O282" s="347" t="s">
        <v>1244</v>
      </c>
      <c r="P282" s="346" t="s">
        <v>5464</v>
      </c>
      <c r="Q282" s="347" t="s">
        <v>5275</v>
      </c>
      <c r="S282" s="346" t="s">
        <v>5809</v>
      </c>
      <c r="T282" s="346" t="str">
        <f t="shared" si="228"/>
        <v xml:space="preserve">Bard, Cleric, </v>
      </c>
      <c r="U282" s="347" t="str">
        <f>$B282</f>
        <v>Resurrection</v>
      </c>
      <c r="Z282" s="347" t="str">
        <f>$B282</f>
        <v>Resurrection</v>
      </c>
      <c r="AE282" t="str">
        <f>IF(IFERROR(MATCH($B282,temp!A$4:A$13,0),0)&gt;0,T08_Spells!AE$2,"")</f>
        <v/>
      </c>
      <c r="AF282" t="str">
        <f>IF(IFERROR(MATCH($B282,temp!B$4:B$13,0),0)&gt;0,T08_Spells!AF$2,"")</f>
        <v/>
      </c>
      <c r="AG282" t="str">
        <f>IF(IFERROR(MATCH($B282,temp!C$4:C$13,0),0)&gt;0,T08_Spells!AG$2,"")</f>
        <v/>
      </c>
      <c r="AH282" t="str">
        <f>IF(IFERROR(MATCH($B282,temp!D$4:D$13,0),0)&gt;0,T08_Spells!AH$2,"")</f>
        <v/>
      </c>
      <c r="AI282" t="str">
        <f>IF(IFERROR(MATCH($B282,temp!E$4:E$13,0),0)&gt;0,T08_Spells!AI$2,"")</f>
        <v/>
      </c>
      <c r="AJ282" t="str">
        <f>IF(IFERROR(MATCH($B282,temp!F$4:F$13,0),0)&gt;0,T08_Spells!AJ$2,"")</f>
        <v/>
      </c>
      <c r="AK282" t="str">
        <f>IF(IFERROR(MATCH($B282,temp!G$4:G$13,0),0)&gt;0,T08_Spells!AK$2,"")</f>
        <v/>
      </c>
      <c r="AL282" t="str">
        <f>IF(IFERROR(MATCH($B282,temp!H$4:H$13,0),0)&gt;0,T08_Spells!AL$2,"")</f>
        <v/>
      </c>
      <c r="AM282" t="str">
        <f>IF(IFERROR(MATCH($B282,temp!I$4:I$13,0),0)&gt;0,T08_Spells!AM$2,"")</f>
        <v/>
      </c>
      <c r="AN282" t="str">
        <f>IF(IFERROR(MATCH($B282,temp!J$4:J$13,0),0)&gt;0,T08_Spells!AN$2,"")</f>
        <v/>
      </c>
      <c r="AO282" t="str">
        <f>IF(IFERROR(MATCH($B282,temp!K$4:K$13,0),0)&gt;0,T08_Spells!AO$2,"")</f>
        <v/>
      </c>
      <c r="AP282" t="str">
        <f>IF(IFERROR(MATCH($B282,temp!L$4:L$13,0),0)&gt;0,T08_Spells!AP$2,"")</f>
        <v/>
      </c>
      <c r="AQ282" t="str">
        <f>IF(IFERROR(MATCH($B282,temp!M$4:M$13,0),0)&gt;0,T08_Spells!AQ$2,"")</f>
        <v/>
      </c>
      <c r="AR282" t="str">
        <f>IF(IFERROR(MATCH($B282,temp!N$4:N$13,0),0)&gt;0,T08_Spells!AR$2,"")</f>
        <v/>
      </c>
      <c r="AS282" t="str">
        <f>IF(IFERROR(MATCH($B282,temp!O$4:O$13,0),0)&gt;0,T08_Spells!AS$2,"")</f>
        <v/>
      </c>
      <c r="AT282" t="str">
        <f>IF(IFERROR(MATCH($B282,temp!P$4:P$13,0),0)&gt;0,T08_Spells!AT$2,"")</f>
        <v/>
      </c>
      <c r="AU282" t="str">
        <f>IF(IFERROR(MATCH($B282,temp!Q$4:Q$13,0),0)&gt;0,T08_Spells!AU$2,"")</f>
        <v/>
      </c>
      <c r="AV282" t="str">
        <f>IF(IFERROR(MATCH($B282,temp!R$4:R$13,0),0)&gt;0,T08_Spells!AV$2,"")</f>
        <v/>
      </c>
      <c r="AW282" t="str">
        <f>IF(IFERROR(MATCH($B282,temp!S$4:S$13,0),0)&gt;0,T08_Spells!AW$2,"")</f>
        <v/>
      </c>
      <c r="AX282" t="str">
        <f>IF(IFERROR(MATCH($B282,temp!T$4:T$13,0),0)&gt;0,T08_Spells!AX$2,"")</f>
        <v/>
      </c>
      <c r="AY282" t="str">
        <f>IF(IFERROR(MATCH($B282,temp!U$4:U$13,0),0)&gt;0,T08_Spells!AY$2,"")</f>
        <v/>
      </c>
      <c r="AZ282" t="str">
        <f>IF(IFERROR(MATCH($B282,temp!V$4:V$13,0),0)&gt;0,T08_Spells!AZ$2,"")</f>
        <v/>
      </c>
      <c r="BA282" t="str">
        <f>IF(IFERROR(MATCH($B282,temp!W$4:W$13,0),0)&gt;0,T08_Spells!BA$2,"")</f>
        <v/>
      </c>
      <c r="BC282">
        <f>IF(IFERROR(SEARCH("Ranger",$T282,1),0)&gt;0,1,0)*IF(RangerMaxSpellLevel&gt;=$C282,1,0)*IF(IFERROR(MATCH(B282,Character_Creation!$X$79:$X$382,0),0)&gt;0,0,1)</f>
        <v>0</v>
      </c>
      <c r="BD282">
        <f>IF(BC282=0,0,1+COUNTIF(BD$3:BD281,"&gt;0"))</f>
        <v>0</v>
      </c>
      <c r="BE282" t="str">
        <f t="shared" si="257"/>
        <v/>
      </c>
      <c r="BF282" t="str">
        <f t="shared" si="229"/>
        <v/>
      </c>
      <c r="BH282">
        <f>IF(IFERROR(SEARCH("Sorcerer",$T282,1),0)&gt;0,1,0)*IF(SorcererMaxSpellLevel&gt;=$C282,1,0)*IF(IFERROR(MATCH(B282,Character_Creation!$J$380:$J$394,0),0)&gt;0,0,1)</f>
        <v>0</v>
      </c>
      <c r="BI282">
        <f>IF(BH282=0,0,1+COUNTIF(BI$3:BI281,"&gt;0"))</f>
        <v>0</v>
      </c>
      <c r="BJ282" t="str">
        <f t="shared" si="258"/>
        <v/>
      </c>
      <c r="BK282" t="str">
        <f t="shared" si="230"/>
        <v/>
      </c>
      <c r="BM282">
        <f>IF(OR(IFERROR(SEARCH("Warlock",$T282,1),0)&gt;0,IFERROR(SEARCH(WarlockPatron,$T282,1),0)&gt;0),1,0)*IF(WarlockMaxSpellLevel&gt;=$C282,1,0)*IF(IFERROR(MATCH(B282,Character_Creation!$J$361:$J$375,0),0)&gt;0,0,1)</f>
        <v>0</v>
      </c>
      <c r="BN282">
        <f>IF(BM282=0,0,1+COUNTIF(BN$3:BN281,"&gt;0"))</f>
        <v>0</v>
      </c>
      <c r="BO282" t="str">
        <f t="shared" si="259"/>
        <v/>
      </c>
      <c r="BP282" t="str">
        <f t="shared" si="231"/>
        <v/>
      </c>
      <c r="BR282">
        <f>IF(IFERROR(SEARCH("Eldritch Knight",$T282,1),0)&gt;0,1,0)*IF(EldritchKnightMaxSpellLevel&gt;=$C282,1,0)*IF(IFERROR(MATCH($B282,Character_Creation!$J$350:$J$356,0),0)&gt;0,0,1)*IF(Character_Creation!$M$338&gt;0,1,0)</f>
        <v>0</v>
      </c>
      <c r="BS282">
        <f>IF(BR282=0,0,1+COUNTIF(BS$3:BS281,"&gt;0"))</f>
        <v>0</v>
      </c>
      <c r="BT282" t="str">
        <f t="shared" si="260"/>
        <v/>
      </c>
      <c r="BU282" t="str">
        <f t="shared" si="232"/>
        <v/>
      </c>
      <c r="BW282">
        <f>IF(IFERROR(SEARCH("Arcane Trickster",$T282,1),0)&gt;0,1,0)*IF(ArcaneTricksterMaxSpellLevel&gt;=$C282,1,0)*IF(IFERROR(MATCH($B282,Character_Creation!$J$350:$J$356,0),0)&gt;0,0,1)*IF(Character_Creation!$T$338&gt;0,1,0)</f>
        <v>0</v>
      </c>
      <c r="BX282">
        <f>IF(BW282=0,0,1+COUNTIF(BX$3:BX281,"&gt;0"))</f>
        <v>0</v>
      </c>
      <c r="BY282" t="str">
        <f t="shared" si="261"/>
        <v/>
      </c>
      <c r="BZ282" t="str">
        <f t="shared" si="233"/>
        <v/>
      </c>
      <c r="CB282">
        <f>IF(IFERROR(SEARCH("Wizard",$T282,1),0)&gt;0,1,0)*IF(C282&lt;=ArcaneTricksterMaxSpellLevel,1,0)*IF(IFERROR(MATCH($B282,Character_Creation!$J$350:$J$356,0),0)&gt;0,0,1)*IF(Character_Creation!$T$350&gt;0,1,0)</f>
        <v>0</v>
      </c>
      <c r="CC282">
        <f>IF(CB282=0,0,1+COUNTIF(CC$3:CC281,"&gt;0"))</f>
        <v>0</v>
      </c>
      <c r="CD282" t="str">
        <f t="shared" si="262"/>
        <v/>
      </c>
      <c r="CE282" t="str">
        <f t="shared" si="234"/>
        <v/>
      </c>
      <c r="CG282">
        <f>IF(IFERROR(SEARCH("Wizard",$T282,1),0)&gt;0,1,0)*IF($C282&lt;=EldritchKnightMaxSpellLevel,1,0)*IF(IFERROR(MATCH($B282,Character_Creation!$J$350:$J$356,0),0)&gt;0,0,1)*IF(Character_Creation!$M$350&gt;0,1,0)</f>
        <v>0</v>
      </c>
      <c r="CH282">
        <f>IF(CG282=0,0,1+COUNTIF(CH$3:CH281,"&gt;0"))</f>
        <v>0</v>
      </c>
      <c r="CI282" t="str">
        <f t="shared" si="263"/>
        <v/>
      </c>
      <c r="CJ282" t="str">
        <f t="shared" si="235"/>
        <v/>
      </c>
      <c r="CL282">
        <f>IF(IFERROR(SEARCH("Bard",$T282,1),0)&gt;0,1,0)*IF(BardMaxSpellLevel&gt;=$C282,1,0)*IF(IFERROR(MATCH(B282,Character_Creation!$C$341:$F$362,0),0)&gt;0,0,1)*IF(IFERROR(MATCH($B282,Character_Creation!$C$341:$C$362,0),0)&gt;0,0,1)</f>
        <v>0</v>
      </c>
      <c r="CM282">
        <f>IF(CL282=0,0,1+COUNTIF(CM$3:CM281,"&gt;0"))</f>
        <v>0</v>
      </c>
      <c r="CN282" t="str">
        <f t="shared" si="264"/>
        <v/>
      </c>
      <c r="CO282" t="str">
        <f t="shared" si="236"/>
        <v/>
      </c>
      <c r="CQ282">
        <f>IF(IFERROR(SEARCH("Wizard",$T282,1),0)&gt;0,1,0)*IF(WizardMaxSpellLevel&gt;=$C282,1,0)*IF(IFERROR(MATCH(B282,Character_Creation!$X$341:$X$400,0),0)&gt;0,0,1)*IF(SelectedWizardSpellLevel=$C282,1,0)</f>
        <v>0</v>
      </c>
      <c r="CR282">
        <f>IF(CQ282=0,0,1+COUNTIF(CR$3:CR281,"&gt;0"))</f>
        <v>0</v>
      </c>
      <c r="CS282" t="str">
        <f t="shared" si="265"/>
        <v/>
      </c>
      <c r="CT282" t="str">
        <f t="shared" si="237"/>
        <v/>
      </c>
      <c r="CV282">
        <f>IF(IFERROR(MATCH($B282,Character_Creation!$C$341:$C$362,0),0)&gt;0,0,1)*IF(OR(C282="Cantrip",C282&lt;=BardMaxSpellLevel),1,0)*IF(IFERROR(MATCH($B282,Character_Creation!$C$367:$C$374,0),0)&gt;0,0,1)</f>
        <v>0</v>
      </c>
      <c r="CW282">
        <f>IF(CV282=0,0,1+COUNTIF(CW$3:CW281,"&gt;0"))</f>
        <v>0</v>
      </c>
      <c r="CX282" t="str">
        <f t="shared" si="266"/>
        <v/>
      </c>
      <c r="CY282" t="str">
        <f t="shared" si="238"/>
        <v/>
      </c>
      <c r="DA282">
        <f>IF(IF(OR(IFERROR(SEARCH("Cleric",$T282,1),0)&gt;0,IFERROR(SEARCH(DivineDomain&amp;",",$T282,1),0)&gt;0),1,0)*IF($C282=DA$2,1,0)=1,1+COUNTIF(DA$3:DA281,"&gt;0"),0)</f>
        <v>0</v>
      </c>
      <c r="DB282">
        <f>IF(IF(OR(IFERROR(SEARCH("Cleric",$T282,1),0)&gt;0,IFERROR(SEARCH(DivineDomain&amp;",",$T282,1),0)&gt;0),1,0)*IF($C282=DB$2,1,0)=1,1+COUNTIF(DB$3:DB281,"&gt;0"),0)</f>
        <v>0</v>
      </c>
      <c r="DC282">
        <f>IF(IF(OR(IFERROR(SEARCH("Cleric",$T282,1),0)&gt;0,IFERROR(SEARCH(DivineDomain&amp;",",$T282,1),0)&gt;0),1,0)*IF($C282=DC$2,1,0)=1,1+COUNTIF(DC$3:DC281,"&gt;0"),0)</f>
        <v>0</v>
      </c>
      <c r="DD282">
        <f>IF(IF(OR(IFERROR(SEARCH("Cleric",$T282,1),0)&gt;0,IFERROR(SEARCH(DivineDomain&amp;",",$T282,1),0)&gt;0),1,0)*IF($C282=DD$2,1,0)=1,1+COUNTIF(DD$3:DD281,"&gt;0"),0)</f>
        <v>0</v>
      </c>
      <c r="DE282">
        <f>IF(IF(OR(IFERROR(SEARCH("Cleric",$T282,1),0)&gt;0,IFERROR(SEARCH(DivineDomain&amp;",",$T282,1),0)&gt;0),1,0)*IF($C282=DE$2,1,0)=1,1+COUNTIF(DE$3:DE281,"&gt;0"),0)</f>
        <v>0</v>
      </c>
      <c r="DF282">
        <f>IF(IF(OR(IFERROR(SEARCH("Cleric",$T282,1),0)&gt;0,IFERROR(SEARCH(DivineDomain&amp;",",$T282,1),0)&gt;0),1,0)*IF($C282=DF$2,1,0)=1,1+COUNTIF(DF$3:DF281,"&gt;0"),0)</f>
        <v>0</v>
      </c>
      <c r="DG282">
        <f>IF(IF(OR(IFERROR(SEARCH("Cleric",$T282,1),0)&gt;0,IFERROR(SEARCH(DivineDomain&amp;",",$T282,1),0)&gt;0),1,0)*IF($C282=DG$2,1,0)=1,1+COUNTIF(DG$3:DG281,"&gt;0"),0)</f>
        <v>7</v>
      </c>
      <c r="DH282">
        <f>IF(IF(OR(IFERROR(SEARCH("Cleric",$T282,1),0)&gt;0,IFERROR(SEARCH(DivineDomain&amp;",",$T282,1),0)&gt;0),1,0)*IF($C282=DH$2,1,0)=1,1+COUNTIF(DH$3:DH281,"&gt;0"),0)</f>
        <v>0</v>
      </c>
      <c r="DI282">
        <f>IF(IF(OR(IFERROR(SEARCH("Cleric",$T282,1),0)&gt;0,IFERROR(SEARCH(DivineDomain&amp;",",$T282,1),0)&gt;0),1,0)*IF($C282=DI$2,1,0)=1,1+COUNTIF(DI$3:DI281,"&gt;0"),0)</f>
        <v>0</v>
      </c>
      <c r="DJ282">
        <f>IF(IF(OR(IFERROR(SEARCH("Druid",$T282,1),0)&gt;0,IFERROR(SEARCH(DruidLand1,$T282,1),0)&gt;0,IFERROR(SEARCH(DruidLand2,$T282,1),0)&gt;0,IFERROR(SEARCH(DruidLand3,$T282,1),0)&gt;0,IFERROR(SEARCH(DruidLand4,$T282,1),0)&gt;0),1,0)*IF($C282=1,1,0)*IF($C282=DJ$2,1,0)=0,0,1+COUNTIF(DJ$3:DJ281,"&gt;0"))</f>
        <v>0</v>
      </c>
      <c r="DK282">
        <f>IF(IF(OR(IFERROR(SEARCH("Druid",$T282,1),0)&gt;0,IFERROR(SEARCH(DruidLand1,$T282,1),0)&gt;0,IFERROR(SEARCH(DruidLand2,$T282,1),0)&gt;0,IFERROR(SEARCH(DruidLand3,$T282,1),0)&gt;0,IFERROR(SEARCH(DruidLand4,$T282,1),0)&gt;0),1,0)*IF($C282=1,1,0)*IF($C282=DK$2,1,0)=0,0,1+COUNTIF(DK$3:DK281,"&gt;0"))</f>
        <v>0</v>
      </c>
      <c r="DL282">
        <f>IF(IF(OR(IFERROR(SEARCH("Druid",$T282,1),0)&gt;0,IFERROR(SEARCH(DruidLand1,$T282,1),0)&gt;0,IFERROR(SEARCH(DruidLand2,$T282,1),0)&gt;0,IFERROR(SEARCH(DruidLand3,$T282,1),0)&gt;0,IFERROR(SEARCH(DruidLand4,$T282,1),0)&gt;0),1,0)*IF($C282=1,1,0)*IF($C282=DL$2,1,0)=0,0,1+COUNTIF(DL$3:DL281,"&gt;0"))</f>
        <v>0</v>
      </c>
      <c r="DM282">
        <f>IF(IF(OR(IFERROR(SEARCH("Druid",$T282,1),0)&gt;0,IFERROR(SEARCH(DruidLand1,$T282,1),0)&gt;0,IFERROR(SEARCH(DruidLand2,$T282,1),0)&gt;0,IFERROR(SEARCH(DruidLand3,$T282,1),0)&gt;0,IFERROR(SEARCH(DruidLand4,$T282,1),0)&gt;0),1,0)*IF($C282=1,1,0)*IF($C282=DM$2,1,0)=0,0,1+COUNTIF(DM$3:DM281,"&gt;0"))</f>
        <v>0</v>
      </c>
      <c r="DN282">
        <f>IF(IF(OR(IFERROR(SEARCH("Druid",$T282,1),0)&gt;0,IFERROR(SEARCH(DruidLand1,$T282,1),0)&gt;0,IFERROR(SEARCH(DruidLand2,$T282,1),0)&gt;0,IFERROR(SEARCH(DruidLand3,$T282,1),0)&gt;0,IFERROR(SEARCH(DruidLand4,$T282,1),0)&gt;0),1,0)*IF($C282=1,1,0)*IF($C282=DN$2,1,0)=0,0,1+COUNTIF(DN$3:DN281,"&gt;0"))</f>
        <v>0</v>
      </c>
      <c r="DO282">
        <f>IF(IF(OR(IFERROR(SEARCH("Druid",$T282,1),0)&gt;0,IFERROR(SEARCH(DruidLand1,$T282,1),0)&gt;0,IFERROR(SEARCH(DruidLand2,$T282,1),0)&gt;0,IFERROR(SEARCH(DruidLand3,$T282,1),0)&gt;0,IFERROR(SEARCH(DruidLand4,$T282,1),0)&gt;0),1,0)*IF($C282=1,1,0)*IF($C282=DO$2,1,0)=0,0,1+COUNTIF(DO$3:DO281,"&gt;0"))</f>
        <v>0</v>
      </c>
      <c r="DP282">
        <f>IF(IF(OR(IFERROR(SEARCH("Druid",$T282,1),0)&gt;0,IFERROR(SEARCH(DruidLand1,$T282,1),0)&gt;0,IFERROR(SEARCH(DruidLand2,$T282,1),0)&gt;0,IFERROR(SEARCH(DruidLand3,$T282,1),0)&gt;0,IFERROR(SEARCH(DruidLand4,$T282,1),0)&gt;0),1,0)*IF($C282=1,1,0)*IF($C282=DP$2,1,0)=0,0,1+COUNTIF(DP$3:DP281,"&gt;0"))</f>
        <v>0</v>
      </c>
      <c r="DQ282">
        <f>IF(IF(OR(IFERROR(SEARCH("Druid",$T282,1),0)&gt;0,IFERROR(SEARCH(DruidLand1,$T282,1),0)&gt;0,IFERROR(SEARCH(DruidLand2,$T282,1),0)&gt;0,IFERROR(SEARCH(DruidLand3,$T282,1),0)&gt;0,IFERROR(SEARCH(DruidLand4,$T282,1),0)&gt;0),1,0)*IF($C282=1,1,0)*IF($C282=DQ$2,1,0)=0,0,1+COUNTIF(DQ$3:DQ281,"&gt;0"))</f>
        <v>0</v>
      </c>
      <c r="DR282">
        <f>IF(IF(OR(IFERROR(SEARCH("Druid",$T282,1),0)&gt;0,IFERROR(SEARCH(DruidLand1,$T282,1),0)&gt;0,IFERROR(SEARCH(DruidLand2,$T282,1),0)&gt;0,IFERROR(SEARCH(DruidLand3,$T282,1),0)&gt;0,IFERROR(SEARCH(DruidLand4,$T282,1),0)&gt;0),1,0)*IF($C282=1,1,0)*IF($C282=DR$2,1,0)=0,0,1+COUNTIF(DR$3:DR281,"&gt;0"))</f>
        <v>0</v>
      </c>
      <c r="DS282">
        <f>IF(IF(OR(IFERROR(SEARCH("Paladin",$T282,1),0)&gt;0,IFERROR(SEARCH(PaladinOath,$T282,1),0)&gt;0),1,0)*IF($C282=DS$2,1,0)=1,1+COUNTIF(DS$3:DS281,"&gt;0"),0)</f>
        <v>0</v>
      </c>
      <c r="DT282">
        <f>IF(IF(OR(IFERROR(SEARCH("Paladin",$T282,1),0)&gt;0,IFERROR(SEARCH(PaladinOath,$T282,1),0)&gt;0),1,0)*IF($C282=DT$2,1,0)=1,1+COUNTIF(DT$3:DT281,"&gt;0"),0)</f>
        <v>0</v>
      </c>
      <c r="DU282">
        <f>IF(IF(OR(IFERROR(SEARCH("Paladin",$T282,1),0)&gt;0,IFERROR(SEARCH(PaladinOath,$T282,1),0)&gt;0),1,0)*IF($C282=DU$2,1,0)=1,1+COUNTIF(DU$3:DU281,"&gt;0"),0)</f>
        <v>0</v>
      </c>
      <c r="DV282">
        <f>IF(IF(OR(IFERROR(SEARCH("Paladin",$T282,1),0)&gt;0,IFERROR(SEARCH(PaladinOath,$T282,1),0)&gt;0),1,0)*IF($C282=DV$2,1,0)=1,1+COUNTIF(DV$3:DV281,"&gt;0"),0)</f>
        <v>0</v>
      </c>
      <c r="DW282">
        <f>IF(IF(OR(IFERROR(SEARCH("Paladin",$T282,1),0)&gt;0,IFERROR(SEARCH(PaladinOath,$T282,1),0)&gt;0),1,0)*IF($C282=DW$2,1,0)=1,1+COUNTIF(DW$3:DW281,"&gt;0"),0)</f>
        <v>0</v>
      </c>
      <c r="DY282">
        <f t="shared" si="225"/>
        <v>1</v>
      </c>
      <c r="DZ282">
        <f>IF(DY282=0,0,1+MAX(DZ$3:$DZ281))</f>
        <v>280</v>
      </c>
      <c r="EB282">
        <f t="shared" si="239"/>
        <v>0</v>
      </c>
      <c r="EC282">
        <f>IF(EB282=0,0,1+COUNTIF(EC$3:EC281,"&gt;0"))</f>
        <v>0</v>
      </c>
      <c r="ED282" t="str">
        <f t="shared" si="267"/>
        <v/>
      </c>
      <c r="EE282" t="str">
        <f t="shared" si="240"/>
        <v/>
      </c>
      <c r="EG282">
        <f t="shared" si="241"/>
        <v>0</v>
      </c>
      <c r="EH282">
        <f>IF(EG282=0,0,1+COUNTIF(EH$3:EH281,"&gt;0"))</f>
        <v>0</v>
      </c>
      <c r="EI282" t="str">
        <f t="shared" si="268"/>
        <v/>
      </c>
      <c r="EJ282" t="str">
        <f t="shared" si="242"/>
        <v/>
      </c>
      <c r="EL282">
        <f t="shared" si="243"/>
        <v>0</v>
      </c>
      <c r="EM282">
        <f>IF(EL282=0,0,1+COUNTIF(EM$3:EM281,"&gt;0"))</f>
        <v>0</v>
      </c>
      <c r="EN282" t="str">
        <f t="shared" si="269"/>
        <v/>
      </c>
      <c r="EO282" t="str">
        <f t="shared" si="244"/>
        <v/>
      </c>
      <c r="EQ282">
        <f t="shared" si="245"/>
        <v>0</v>
      </c>
      <c r="ER282">
        <f>IF(EQ282=0,0,1+COUNTIF(ER$3:ER281,"&gt;0"))</f>
        <v>0</v>
      </c>
      <c r="ES282" t="str">
        <f t="shared" si="270"/>
        <v/>
      </c>
      <c r="ET282" t="str">
        <f t="shared" si="246"/>
        <v/>
      </c>
      <c r="EV282">
        <f t="shared" si="247"/>
        <v>0</v>
      </c>
      <c r="EW282">
        <f>IF(EV282=0,0,1+COUNTIF(EW$3:EW281,"&gt;0"))</f>
        <v>0</v>
      </c>
      <c r="EX282" t="str">
        <f t="shared" si="271"/>
        <v/>
      </c>
      <c r="EY282" t="str">
        <f t="shared" si="248"/>
        <v/>
      </c>
      <c r="FA282">
        <f t="shared" si="249"/>
        <v>0</v>
      </c>
      <c r="FB282">
        <f>IF(FA282=0,0,1+COUNTIF(FB$3:FB281,"&gt;0"))</f>
        <v>0</v>
      </c>
      <c r="FC282" t="str">
        <f t="shared" si="272"/>
        <v/>
      </c>
      <c r="FD282" t="str">
        <f t="shared" si="250"/>
        <v/>
      </c>
      <c r="FF282">
        <f t="shared" si="251"/>
        <v>0</v>
      </c>
      <c r="FG282">
        <f>IF(FF282=0,0,1+COUNTIF(FG$3:FG281,"&gt;0"))</f>
        <v>0</v>
      </c>
      <c r="FH282" t="str">
        <f t="shared" si="273"/>
        <v/>
      </c>
      <c r="FI282" t="str">
        <f t="shared" si="252"/>
        <v/>
      </c>
      <c r="FK282">
        <f t="shared" si="253"/>
        <v>0</v>
      </c>
      <c r="FL282">
        <f>IF(FK282=0,0,1+COUNTIF(FL$3:FL281,"&gt;0"))</f>
        <v>0</v>
      </c>
      <c r="FM282" t="str">
        <f t="shared" si="274"/>
        <v/>
      </c>
      <c r="FN282" t="str">
        <f t="shared" si="254"/>
        <v/>
      </c>
      <c r="FP282">
        <f t="shared" si="255"/>
        <v>0</v>
      </c>
      <c r="FQ282">
        <f>IF(FP282=0,0,1+COUNTIF(FQ$3:FQ281,"&gt;0"))</f>
        <v>0</v>
      </c>
      <c r="FR282" t="str">
        <f t="shared" si="275"/>
        <v/>
      </c>
      <c r="FS282" t="str">
        <f t="shared" si="256"/>
        <v/>
      </c>
    </row>
    <row r="283" spans="1:175" x14ac:dyDescent="0.25">
      <c r="A283" s="347">
        <f t="shared" si="276"/>
        <v>281</v>
      </c>
      <c r="B283" s="348" t="s">
        <v>2670</v>
      </c>
      <c r="C283" s="348">
        <v>7</v>
      </c>
      <c r="D283" s="347">
        <v>7</v>
      </c>
      <c r="E283" s="627" t="s">
        <v>6952</v>
      </c>
      <c r="F283" s="346"/>
      <c r="G283" s="347" t="str">
        <f>""</f>
        <v/>
      </c>
      <c r="H283" s="347" t="s">
        <v>5912</v>
      </c>
      <c r="I283" s="347" t="s">
        <v>5378</v>
      </c>
      <c r="J283" s="347" t="str">
        <f t="shared" si="226"/>
        <v/>
      </c>
      <c r="K283" s="347" t="s">
        <v>5291</v>
      </c>
      <c r="L283" s="611" t="str">
        <f t="shared" si="227"/>
        <v>V, S, M, a lodestone and iron filings</v>
      </c>
      <c r="M283" s="347" t="s">
        <v>2373</v>
      </c>
      <c r="N283" s="347" t="s">
        <v>2387</v>
      </c>
      <c r="O283" s="347" t="s">
        <v>1244</v>
      </c>
      <c r="P283" s="346" t="s">
        <v>5465</v>
      </c>
      <c r="Q283" s="347" t="s">
        <v>5276</v>
      </c>
      <c r="S283" s="346" t="s">
        <v>5810</v>
      </c>
      <c r="T283" s="346" t="str">
        <f t="shared" si="228"/>
        <v xml:space="preserve">Sorcerer, Druid, Wizard, </v>
      </c>
      <c r="X283" s="347" t="str">
        <f>$B283</f>
        <v>Reverse Gravity</v>
      </c>
      <c r="AA283" s="347" t="str">
        <f>$B283</f>
        <v>Reverse Gravity</v>
      </c>
      <c r="AD283" s="347" t="str">
        <f>$B283</f>
        <v>Reverse Gravity</v>
      </c>
      <c r="AE283" t="str">
        <f>IF(IFERROR(MATCH($B283,temp!A$4:A$13,0),0)&gt;0,T08_Spells!AE$2,"")</f>
        <v/>
      </c>
      <c r="AF283" t="str">
        <f>IF(IFERROR(MATCH($B283,temp!B$4:B$13,0),0)&gt;0,T08_Spells!AF$2,"")</f>
        <v/>
      </c>
      <c r="AG283" t="str">
        <f>IF(IFERROR(MATCH($B283,temp!C$4:C$13,0),0)&gt;0,T08_Spells!AG$2,"")</f>
        <v/>
      </c>
      <c r="AH283" t="str">
        <f>IF(IFERROR(MATCH($B283,temp!D$4:D$13,0),0)&gt;0,T08_Spells!AH$2,"")</f>
        <v/>
      </c>
      <c r="AI283" t="str">
        <f>IF(IFERROR(MATCH($B283,temp!E$4:E$13,0),0)&gt;0,T08_Spells!AI$2,"")</f>
        <v/>
      </c>
      <c r="AJ283" t="str">
        <f>IF(IFERROR(MATCH($B283,temp!F$4:F$13,0),0)&gt;0,T08_Spells!AJ$2,"")</f>
        <v/>
      </c>
      <c r="AK283" t="str">
        <f>IF(IFERROR(MATCH($B283,temp!G$4:G$13,0),0)&gt;0,T08_Spells!AK$2,"")</f>
        <v/>
      </c>
      <c r="AL283" t="str">
        <f>IF(IFERROR(MATCH($B283,temp!H$4:H$13,0),0)&gt;0,T08_Spells!AL$2,"")</f>
        <v/>
      </c>
      <c r="AM283" t="str">
        <f>IF(IFERROR(MATCH($B283,temp!I$4:I$13,0),0)&gt;0,T08_Spells!AM$2,"")</f>
        <v/>
      </c>
      <c r="AN283" t="str">
        <f>IF(IFERROR(MATCH($B283,temp!J$4:J$13,0),0)&gt;0,T08_Spells!AN$2,"")</f>
        <v/>
      </c>
      <c r="AO283" t="str">
        <f>IF(IFERROR(MATCH($B283,temp!K$4:K$13,0),0)&gt;0,T08_Spells!AO$2,"")</f>
        <v/>
      </c>
      <c r="AP283" t="str">
        <f>IF(IFERROR(MATCH($B283,temp!L$4:L$13,0),0)&gt;0,T08_Spells!AP$2,"")</f>
        <v/>
      </c>
      <c r="AQ283" t="str">
        <f>IF(IFERROR(MATCH($B283,temp!M$4:M$13,0),0)&gt;0,T08_Spells!AQ$2,"")</f>
        <v/>
      </c>
      <c r="AR283" t="str">
        <f>IF(IFERROR(MATCH($B283,temp!N$4:N$13,0),0)&gt;0,T08_Spells!AR$2,"")</f>
        <v/>
      </c>
      <c r="AS283" t="str">
        <f>IF(IFERROR(MATCH($B283,temp!O$4:O$13,0),0)&gt;0,T08_Spells!AS$2,"")</f>
        <v/>
      </c>
      <c r="AT283" t="str">
        <f>IF(IFERROR(MATCH($B283,temp!P$4:P$13,0),0)&gt;0,T08_Spells!AT$2,"")</f>
        <v/>
      </c>
      <c r="AU283" t="str">
        <f>IF(IFERROR(MATCH($B283,temp!Q$4:Q$13,0),0)&gt;0,T08_Spells!AU$2,"")</f>
        <v/>
      </c>
      <c r="AV283" t="str">
        <f>IF(IFERROR(MATCH($B283,temp!R$4:R$13,0),0)&gt;0,T08_Spells!AV$2,"")</f>
        <v/>
      </c>
      <c r="AW283" t="str">
        <f>IF(IFERROR(MATCH($B283,temp!S$4:S$13,0),0)&gt;0,T08_Spells!AW$2,"")</f>
        <v/>
      </c>
      <c r="AX283" t="str">
        <f>IF(IFERROR(MATCH($B283,temp!T$4:T$13,0),0)&gt;0,T08_Spells!AX$2,"")</f>
        <v/>
      </c>
      <c r="AY283" t="str">
        <f>IF(IFERROR(MATCH($B283,temp!U$4:U$13,0),0)&gt;0,T08_Spells!AY$2,"")</f>
        <v/>
      </c>
      <c r="AZ283" t="str">
        <f>IF(IFERROR(MATCH($B283,temp!V$4:V$13,0),0)&gt;0,T08_Spells!AZ$2,"")</f>
        <v/>
      </c>
      <c r="BA283" t="str">
        <f>IF(IFERROR(MATCH($B283,temp!W$4:W$13,0),0)&gt;0,T08_Spells!BA$2,"")</f>
        <v/>
      </c>
      <c r="BC283">
        <f>IF(IFERROR(SEARCH("Ranger",$T283,1),0)&gt;0,1,0)*IF(RangerMaxSpellLevel&gt;=$C283,1,0)*IF(IFERROR(MATCH(B283,Character_Creation!$X$79:$X$382,0),0)&gt;0,0,1)</f>
        <v>0</v>
      </c>
      <c r="BD283">
        <f>IF(BC283=0,0,1+COUNTIF(BD$3:BD282,"&gt;0"))</f>
        <v>0</v>
      </c>
      <c r="BE283" t="str">
        <f t="shared" si="257"/>
        <v/>
      </c>
      <c r="BF283" t="str">
        <f t="shared" si="229"/>
        <v/>
      </c>
      <c r="BH283">
        <f>IF(IFERROR(SEARCH("Sorcerer",$T283,1),0)&gt;0,1,0)*IF(SorcererMaxSpellLevel&gt;=$C283,1,0)*IF(IFERROR(MATCH(B283,Character_Creation!$J$380:$J$394,0),0)&gt;0,0,1)</f>
        <v>0</v>
      </c>
      <c r="BI283">
        <f>IF(BH283=0,0,1+COUNTIF(BI$3:BI282,"&gt;0"))</f>
        <v>0</v>
      </c>
      <c r="BJ283" t="str">
        <f t="shared" si="258"/>
        <v/>
      </c>
      <c r="BK283" t="str">
        <f t="shared" si="230"/>
        <v/>
      </c>
      <c r="BM283">
        <f>IF(OR(IFERROR(SEARCH("Warlock",$T283,1),0)&gt;0,IFERROR(SEARCH(WarlockPatron,$T283,1),0)&gt;0),1,0)*IF(WarlockMaxSpellLevel&gt;=$C283,1,0)*IF(IFERROR(MATCH(B283,Character_Creation!$J$361:$J$375,0),0)&gt;0,0,1)</f>
        <v>0</v>
      </c>
      <c r="BN283">
        <f>IF(BM283=0,0,1+COUNTIF(BN$3:BN282,"&gt;0"))</f>
        <v>0</v>
      </c>
      <c r="BO283" t="str">
        <f t="shared" si="259"/>
        <v/>
      </c>
      <c r="BP283" t="str">
        <f t="shared" si="231"/>
        <v/>
      </c>
      <c r="BR283">
        <f>IF(IFERROR(SEARCH("Eldritch Knight",$T283,1),0)&gt;0,1,0)*IF(EldritchKnightMaxSpellLevel&gt;=$C283,1,0)*IF(IFERROR(MATCH($B283,Character_Creation!$J$350:$J$356,0),0)&gt;0,0,1)*IF(Character_Creation!$M$338&gt;0,1,0)</f>
        <v>0</v>
      </c>
      <c r="BS283">
        <f>IF(BR283=0,0,1+COUNTIF(BS$3:BS282,"&gt;0"))</f>
        <v>0</v>
      </c>
      <c r="BT283" t="str">
        <f t="shared" si="260"/>
        <v/>
      </c>
      <c r="BU283" t="str">
        <f t="shared" si="232"/>
        <v/>
      </c>
      <c r="BW283">
        <f>IF(IFERROR(SEARCH("Arcane Trickster",$T283,1),0)&gt;0,1,0)*IF(ArcaneTricksterMaxSpellLevel&gt;=$C283,1,0)*IF(IFERROR(MATCH($B283,Character_Creation!$J$350:$J$356,0),0)&gt;0,0,1)*IF(Character_Creation!$T$338&gt;0,1,0)</f>
        <v>0</v>
      </c>
      <c r="BX283">
        <f>IF(BW283=0,0,1+COUNTIF(BX$3:BX282,"&gt;0"))</f>
        <v>0</v>
      </c>
      <c r="BY283" t="str">
        <f t="shared" si="261"/>
        <v/>
      </c>
      <c r="BZ283" t="str">
        <f t="shared" si="233"/>
        <v/>
      </c>
      <c r="CB283">
        <f>IF(IFERROR(SEARCH("Wizard",$T283,1),0)&gt;0,1,0)*IF(C283&lt;=ArcaneTricksterMaxSpellLevel,1,0)*IF(IFERROR(MATCH($B283,Character_Creation!$J$350:$J$356,0),0)&gt;0,0,1)*IF(Character_Creation!$T$350&gt;0,1,0)</f>
        <v>0</v>
      </c>
      <c r="CC283">
        <f>IF(CB283=0,0,1+COUNTIF(CC$3:CC282,"&gt;0"))</f>
        <v>0</v>
      </c>
      <c r="CD283" t="str">
        <f t="shared" si="262"/>
        <v/>
      </c>
      <c r="CE283" t="str">
        <f t="shared" si="234"/>
        <v/>
      </c>
      <c r="CG283">
        <f>IF(IFERROR(SEARCH("Wizard",$T283,1),0)&gt;0,1,0)*IF($C283&lt;=EldritchKnightMaxSpellLevel,1,0)*IF(IFERROR(MATCH($B283,Character_Creation!$J$350:$J$356,0),0)&gt;0,0,1)*IF(Character_Creation!$M$350&gt;0,1,0)</f>
        <v>0</v>
      </c>
      <c r="CH283">
        <f>IF(CG283=0,0,1+COUNTIF(CH$3:CH282,"&gt;0"))</f>
        <v>0</v>
      </c>
      <c r="CI283" t="str">
        <f t="shared" si="263"/>
        <v/>
      </c>
      <c r="CJ283" t="str">
        <f t="shared" si="235"/>
        <v/>
      </c>
      <c r="CL283">
        <f>IF(IFERROR(SEARCH("Bard",$T283,1),0)&gt;0,1,0)*IF(BardMaxSpellLevel&gt;=$C283,1,0)*IF(IFERROR(MATCH(B283,Character_Creation!$C$341:$F$362,0),0)&gt;0,0,1)*IF(IFERROR(MATCH($B283,Character_Creation!$C$341:$C$362,0),0)&gt;0,0,1)</f>
        <v>0</v>
      </c>
      <c r="CM283">
        <f>IF(CL283=0,0,1+COUNTIF(CM$3:CM282,"&gt;0"))</f>
        <v>0</v>
      </c>
      <c r="CN283" t="str">
        <f t="shared" si="264"/>
        <v/>
      </c>
      <c r="CO283" t="str">
        <f t="shared" si="236"/>
        <v/>
      </c>
      <c r="CQ283">
        <f>IF(IFERROR(SEARCH("Wizard",$T283,1),0)&gt;0,1,0)*IF(WizardMaxSpellLevel&gt;=$C283,1,0)*IF(IFERROR(MATCH(B283,Character_Creation!$X$341:$X$400,0),0)&gt;0,0,1)*IF(SelectedWizardSpellLevel=$C283,1,0)</f>
        <v>0</v>
      </c>
      <c r="CR283">
        <f>IF(CQ283=0,0,1+COUNTIF(CR$3:CR282,"&gt;0"))</f>
        <v>0</v>
      </c>
      <c r="CS283" t="str">
        <f t="shared" si="265"/>
        <v/>
      </c>
      <c r="CT283" t="str">
        <f t="shared" si="237"/>
        <v/>
      </c>
      <c r="CV283">
        <f>IF(IFERROR(MATCH($B283,Character_Creation!$C$341:$C$362,0),0)&gt;0,0,1)*IF(OR(C283="Cantrip",C283&lt;=BardMaxSpellLevel),1,0)*IF(IFERROR(MATCH($B283,Character_Creation!$C$367:$C$374,0),0)&gt;0,0,1)</f>
        <v>0</v>
      </c>
      <c r="CW283">
        <f>IF(CV283=0,0,1+COUNTIF(CW$3:CW282,"&gt;0"))</f>
        <v>0</v>
      </c>
      <c r="CX283" t="str">
        <f t="shared" si="266"/>
        <v/>
      </c>
      <c r="CY283" t="str">
        <f t="shared" si="238"/>
        <v/>
      </c>
      <c r="DA283">
        <f>IF(IF(OR(IFERROR(SEARCH("Cleric",$T283,1),0)&gt;0,IFERROR(SEARCH(DivineDomain&amp;",",$T283,1),0)&gt;0),1,0)*IF($C283=DA$2,1,0)=1,1+COUNTIF(DA$3:DA282,"&gt;0"),0)</f>
        <v>0</v>
      </c>
      <c r="DB283">
        <f>IF(IF(OR(IFERROR(SEARCH("Cleric",$T283,1),0)&gt;0,IFERROR(SEARCH(DivineDomain&amp;",",$T283,1),0)&gt;0),1,0)*IF($C283=DB$2,1,0)=1,1+COUNTIF(DB$3:DB282,"&gt;0"),0)</f>
        <v>0</v>
      </c>
      <c r="DC283">
        <f>IF(IF(OR(IFERROR(SEARCH("Cleric",$T283,1),0)&gt;0,IFERROR(SEARCH(DivineDomain&amp;",",$T283,1),0)&gt;0),1,0)*IF($C283=DC$2,1,0)=1,1+COUNTIF(DC$3:DC282,"&gt;0"),0)</f>
        <v>0</v>
      </c>
      <c r="DD283">
        <f>IF(IF(OR(IFERROR(SEARCH("Cleric",$T283,1),0)&gt;0,IFERROR(SEARCH(DivineDomain&amp;",",$T283,1),0)&gt;0),1,0)*IF($C283=DD$2,1,0)=1,1+COUNTIF(DD$3:DD282,"&gt;0"),0)</f>
        <v>0</v>
      </c>
      <c r="DE283">
        <f>IF(IF(OR(IFERROR(SEARCH("Cleric",$T283,1),0)&gt;0,IFERROR(SEARCH(DivineDomain&amp;",",$T283,1),0)&gt;0),1,0)*IF($C283=DE$2,1,0)=1,1+COUNTIF(DE$3:DE282,"&gt;0"),0)</f>
        <v>0</v>
      </c>
      <c r="DF283">
        <f>IF(IF(OR(IFERROR(SEARCH("Cleric",$T283,1),0)&gt;0,IFERROR(SEARCH(DivineDomain&amp;",",$T283,1),0)&gt;0),1,0)*IF($C283=DF$2,1,0)=1,1+COUNTIF(DF$3:DF282,"&gt;0"),0)</f>
        <v>0</v>
      </c>
      <c r="DG283">
        <f>IF(IF(OR(IFERROR(SEARCH("Cleric",$T283,1),0)&gt;0,IFERROR(SEARCH(DivineDomain&amp;",",$T283,1),0)&gt;0),1,0)*IF($C283=DG$2,1,0)=1,1+COUNTIF(DG$3:DG282,"&gt;0"),0)</f>
        <v>0</v>
      </c>
      <c r="DH283">
        <f>IF(IF(OR(IFERROR(SEARCH("Cleric",$T283,1),0)&gt;0,IFERROR(SEARCH(DivineDomain&amp;",",$T283,1),0)&gt;0),1,0)*IF($C283=DH$2,1,0)=1,1+COUNTIF(DH$3:DH282,"&gt;0"),0)</f>
        <v>0</v>
      </c>
      <c r="DI283">
        <f>IF(IF(OR(IFERROR(SEARCH("Cleric",$T283,1),0)&gt;0,IFERROR(SEARCH(DivineDomain&amp;",",$T283,1),0)&gt;0),1,0)*IF($C283=DI$2,1,0)=1,1+COUNTIF(DI$3:DI282,"&gt;0"),0)</f>
        <v>0</v>
      </c>
      <c r="DJ283">
        <f>IF(IF(OR(IFERROR(SEARCH("Druid",$T283,1),0)&gt;0,IFERROR(SEARCH(DruidLand1,$T283,1),0)&gt;0,IFERROR(SEARCH(DruidLand2,$T283,1),0)&gt;0,IFERROR(SEARCH(DruidLand3,$T283,1),0)&gt;0,IFERROR(SEARCH(DruidLand4,$T283,1),0)&gt;0),1,0)*IF($C283=1,1,0)*IF($C283=DJ$2,1,0)=0,0,1+COUNTIF(DJ$3:DJ282,"&gt;0"))</f>
        <v>0</v>
      </c>
      <c r="DK283">
        <f>IF(IF(OR(IFERROR(SEARCH("Druid",$T283,1),0)&gt;0,IFERROR(SEARCH(DruidLand1,$T283,1),0)&gt;0,IFERROR(SEARCH(DruidLand2,$T283,1),0)&gt;0,IFERROR(SEARCH(DruidLand3,$T283,1),0)&gt;0,IFERROR(SEARCH(DruidLand4,$T283,1),0)&gt;0),1,0)*IF($C283=DK$2,1,0)=0,0,1+COUNTIF(DK$3:DK282,"&gt;0"))</f>
        <v>0</v>
      </c>
      <c r="DL283">
        <f>IF(IF(OR(IFERROR(SEARCH("Druid",$T283,1),0)&gt;0,IFERROR(SEARCH(DruidLand1,$T283,1),0)&gt;0,IFERROR(SEARCH(DruidLand2,$T283,1),0)&gt;0,IFERROR(SEARCH(DruidLand3,$T283,1),0)&gt;0,IFERROR(SEARCH(DruidLand4,$T283,1),0)&gt;0),1,0)*IF($C283=DL$2,1,0)=0,0,1+COUNTIF(DL$3:DL282,"&gt;0"))</f>
        <v>0</v>
      </c>
      <c r="DM283">
        <f>IF(IF(OR(IFERROR(SEARCH("Druid",$T283,1),0)&gt;0,IFERROR(SEARCH(DruidLand1,$T283,1),0)&gt;0,IFERROR(SEARCH(DruidLand2,$T283,1),0)&gt;0,IFERROR(SEARCH(DruidLand3,$T283,1),0)&gt;0,IFERROR(SEARCH(DruidLand4,$T283,1),0)&gt;0),1,0)*IF($C283=DM$2,1,0)=0,0,1+COUNTIF(DM$3:DM282,"&gt;0"))</f>
        <v>0</v>
      </c>
      <c r="DN283">
        <f>IF(IF(OR(IFERROR(SEARCH("Druid",$T283,1),0)&gt;0,IFERROR(SEARCH(DruidLand1,$T283,1),0)&gt;0,IFERROR(SEARCH(DruidLand2,$T283,1),0)&gt;0,IFERROR(SEARCH(DruidLand3,$T283,1),0)&gt;0,IFERROR(SEARCH(DruidLand4,$T283,1),0)&gt;0),1,0)*IF($C283=DN$2,1,0)=0,0,1+COUNTIF(DN$3:DN282,"&gt;0"))</f>
        <v>0</v>
      </c>
      <c r="DO283">
        <f>IF(IF(OR(IFERROR(SEARCH("Druid",$T283,1),0)&gt;0,IFERROR(SEARCH(DruidLand1,$T283,1),0)&gt;0,IFERROR(SEARCH(DruidLand2,$T283,1),0)&gt;0,IFERROR(SEARCH(DruidLand3,$T283,1),0)&gt;0,IFERROR(SEARCH(DruidLand4,$T283,1),0)&gt;0),1,0)*IF($C283=DO$2,1,0)=0,0,1+COUNTIF(DO$3:DO282,"&gt;0"))</f>
        <v>0</v>
      </c>
      <c r="DP283">
        <f>IF(IF(OR(IFERROR(SEARCH("Druid",$T283,1),0)&gt;0,IFERROR(SEARCH(DruidLand1,$T283,1),0)&gt;0,IFERROR(SEARCH(DruidLand2,$T283,1),0)&gt;0,IFERROR(SEARCH(DruidLand3,$T283,1),0)&gt;0,IFERROR(SEARCH(DruidLand4,$T283,1),0)&gt;0),1,0)*IF($C283=DP$2,1,0)=0,0,1+COUNTIF(DP$3:DP282,"&gt;0"))</f>
        <v>5</v>
      </c>
      <c r="DQ283">
        <f>IF(IF(OR(IFERROR(SEARCH("Druid",$T283,1),0)&gt;0,IFERROR(SEARCH(DruidLand1,$T283,1),0)&gt;0,IFERROR(SEARCH(DruidLand2,$T283,1),0)&gt;0,IFERROR(SEARCH(DruidLand3,$T283,1),0)&gt;0,IFERROR(SEARCH(DruidLand4,$T283,1),0)&gt;0),1,0)*IF($C283=DQ$2,1,0)=0,0,1+COUNTIF(DQ$3:DQ282,"&gt;0"))</f>
        <v>0</v>
      </c>
      <c r="DR283">
        <f>IF(IF(OR(IFERROR(SEARCH("Druid",$T283,1),0)&gt;0,IFERROR(SEARCH(DruidLand1,$T283,1),0)&gt;0,IFERROR(SEARCH(DruidLand2,$T283,1),0)&gt;0,IFERROR(SEARCH(DruidLand3,$T283,1),0)&gt;0,IFERROR(SEARCH(DruidLand4,$T283,1),0)&gt;0),1,0)*IF($C283=DR$2,1,0)=0,0,1+COUNTIF(DR$3:DR282,"&gt;0"))</f>
        <v>0</v>
      </c>
      <c r="DS283">
        <f>IF(IF(OR(IFERROR(SEARCH("Paladin",$T283,1),0)&gt;0,IFERROR(SEARCH(PaladinOath,$T283,1),0)&gt;0),1,0)*IF($C283=DS$2,1,0)=1,1+COUNTIF(DS$3:DS282,"&gt;0"),0)</f>
        <v>0</v>
      </c>
      <c r="DT283">
        <f>IF(IF(OR(IFERROR(SEARCH("Paladin",$T283,1),0)&gt;0,IFERROR(SEARCH(PaladinOath,$T283,1),0)&gt;0),1,0)*IF($C283=DT$2,1,0)=1,1+COUNTIF(DT$3:DT282,"&gt;0"),0)</f>
        <v>0</v>
      </c>
      <c r="DU283">
        <f>IF(IF(OR(IFERROR(SEARCH("Paladin",$T283,1),0)&gt;0,IFERROR(SEARCH(PaladinOath,$T283,1),0)&gt;0),1,0)*IF($C283=DU$2,1,0)=1,1+COUNTIF(DU$3:DU282,"&gt;0"),0)</f>
        <v>0</v>
      </c>
      <c r="DV283">
        <f>IF(IF(OR(IFERROR(SEARCH("Paladin",$T283,1),0)&gt;0,IFERROR(SEARCH(PaladinOath,$T283,1),0)&gt;0),1,0)*IF($C283=DV$2,1,0)=1,1+COUNTIF(DV$3:DV282,"&gt;0"),0)</f>
        <v>0</v>
      </c>
      <c r="DW283">
        <f>IF(IF(OR(IFERROR(SEARCH("Paladin",$T283,1),0)&gt;0,IFERROR(SEARCH(PaladinOath,$T283,1),0)&gt;0),1,0)*IF($C283=DW$2,1,0)=1,1+COUNTIF(DW$3:DW282,"&gt;0"),0)</f>
        <v>0</v>
      </c>
      <c r="DY283">
        <f t="shared" si="225"/>
        <v>1</v>
      </c>
      <c r="DZ283">
        <f>IF(DY283=0,0,1+MAX(DZ$3:$DZ282))</f>
        <v>281</v>
      </c>
      <c r="EB283">
        <f t="shared" si="239"/>
        <v>0</v>
      </c>
      <c r="EC283">
        <f>IF(EB283=0,0,1+COUNTIF(EC$3:EC282,"&gt;0"))</f>
        <v>0</v>
      </c>
      <c r="ED283" t="str">
        <f t="shared" si="267"/>
        <v/>
      </c>
      <c r="EE283" t="str">
        <f t="shared" si="240"/>
        <v/>
      </c>
      <c r="EG283">
        <f t="shared" si="241"/>
        <v>0</v>
      </c>
      <c r="EH283">
        <f>IF(EG283=0,0,1+COUNTIF(EH$3:EH282,"&gt;0"))</f>
        <v>0</v>
      </c>
      <c r="EI283" t="str">
        <f t="shared" si="268"/>
        <v/>
      </c>
      <c r="EJ283" t="str">
        <f t="shared" si="242"/>
        <v/>
      </c>
      <c r="EL283">
        <f t="shared" si="243"/>
        <v>0</v>
      </c>
      <c r="EM283">
        <f>IF(EL283=0,0,1+COUNTIF(EM$3:EM282,"&gt;0"))</f>
        <v>0</v>
      </c>
      <c r="EN283" t="str">
        <f t="shared" si="269"/>
        <v/>
      </c>
      <c r="EO283" t="str">
        <f t="shared" si="244"/>
        <v/>
      </c>
      <c r="EQ283">
        <f t="shared" si="245"/>
        <v>0</v>
      </c>
      <c r="ER283">
        <f>IF(EQ283=0,0,1+COUNTIF(ER$3:ER282,"&gt;0"))</f>
        <v>0</v>
      </c>
      <c r="ES283" t="str">
        <f t="shared" si="270"/>
        <v/>
      </c>
      <c r="ET283" t="str">
        <f t="shared" si="246"/>
        <v/>
      </c>
      <c r="EV283">
        <f t="shared" si="247"/>
        <v>0</v>
      </c>
      <c r="EW283">
        <f>IF(EV283=0,0,1+COUNTIF(EW$3:EW282,"&gt;0"))</f>
        <v>0</v>
      </c>
      <c r="EX283" t="str">
        <f t="shared" si="271"/>
        <v/>
      </c>
      <c r="EY283" t="str">
        <f t="shared" si="248"/>
        <v/>
      </c>
      <c r="FA283">
        <f t="shared" si="249"/>
        <v>0</v>
      </c>
      <c r="FB283">
        <f>IF(FA283=0,0,1+COUNTIF(FB$3:FB282,"&gt;0"))</f>
        <v>0</v>
      </c>
      <c r="FC283" t="str">
        <f t="shared" si="272"/>
        <v/>
      </c>
      <c r="FD283" t="str">
        <f t="shared" si="250"/>
        <v/>
      </c>
      <c r="FF283">
        <f t="shared" si="251"/>
        <v>0</v>
      </c>
      <c r="FG283">
        <f>IF(FF283=0,0,1+COUNTIF(FG$3:FG282,"&gt;0"))</f>
        <v>0</v>
      </c>
      <c r="FH283" t="str">
        <f t="shared" si="273"/>
        <v/>
      </c>
      <c r="FI283" t="str">
        <f t="shared" si="252"/>
        <v/>
      </c>
      <c r="FK283">
        <f t="shared" si="253"/>
        <v>0</v>
      </c>
      <c r="FL283">
        <f>IF(FK283=0,0,1+COUNTIF(FL$3:FL282,"&gt;0"))</f>
        <v>0</v>
      </c>
      <c r="FM283" t="str">
        <f t="shared" si="274"/>
        <v/>
      </c>
      <c r="FN283" t="str">
        <f t="shared" si="254"/>
        <v/>
      </c>
      <c r="FP283">
        <f t="shared" si="255"/>
        <v>0</v>
      </c>
      <c r="FQ283">
        <f>IF(FP283=0,0,1+COUNTIF(FQ$3:FQ282,"&gt;0"))</f>
        <v>0</v>
      </c>
      <c r="FR283" t="str">
        <f t="shared" si="275"/>
        <v/>
      </c>
      <c r="FS283" t="str">
        <f t="shared" si="256"/>
        <v/>
      </c>
    </row>
    <row r="284" spans="1:175" x14ac:dyDescent="0.25">
      <c r="A284" s="347">
        <f t="shared" si="276"/>
        <v>282</v>
      </c>
      <c r="B284" s="348" t="s">
        <v>2671</v>
      </c>
      <c r="C284" s="348">
        <v>3</v>
      </c>
      <c r="D284" s="347">
        <v>3</v>
      </c>
      <c r="E284" s="627" t="s">
        <v>6952</v>
      </c>
      <c r="F284" s="346"/>
      <c r="G284" s="347" t="str">
        <f>""</f>
        <v/>
      </c>
      <c r="H284" s="347" t="s">
        <v>5912</v>
      </c>
      <c r="I284" s="347" t="s">
        <v>5298</v>
      </c>
      <c r="J284" s="347" t="str">
        <f t="shared" si="226"/>
        <v/>
      </c>
      <c r="K284" s="347" t="s">
        <v>5278</v>
      </c>
      <c r="L284" s="611" t="str">
        <f t="shared" si="227"/>
        <v>V, S, M, diamonds worth at least 300 gp, which the spell consumes</v>
      </c>
      <c r="M284" s="347" t="s">
        <v>2373</v>
      </c>
      <c r="N284" s="347" t="s">
        <v>2387</v>
      </c>
      <c r="O284" s="347" t="s">
        <v>1244</v>
      </c>
      <c r="P284" s="346" t="s">
        <v>5466</v>
      </c>
      <c r="Q284" s="347" t="s">
        <v>5271</v>
      </c>
      <c r="S284" s="346" t="s">
        <v>5467</v>
      </c>
      <c r="T284" s="346" t="str">
        <f t="shared" si="228"/>
        <v xml:space="preserve">Paladin, Cleric, Life, </v>
      </c>
      <c r="V284" s="347" t="str">
        <f>$B284</f>
        <v>Revivify</v>
      </c>
      <c r="Z284" s="347" t="str">
        <f>$B284</f>
        <v>Revivify</v>
      </c>
      <c r="AE284" t="str">
        <f>IF(IFERROR(MATCH($B284,temp!A$4:A$13,0),0)&gt;0,T08_Spells!AE$2,"")</f>
        <v/>
      </c>
      <c r="AF284" t="str">
        <f>IF(IFERROR(MATCH($B284,temp!B$4:B$13,0),0)&gt;0,T08_Spells!AF$2,"")</f>
        <v/>
      </c>
      <c r="AG284" t="str">
        <f>IF(IFERROR(MATCH($B284,temp!C$4:C$13,0),0)&gt;0,T08_Spells!AG$2,"")</f>
        <v/>
      </c>
      <c r="AH284" t="str">
        <f>IF(IFERROR(MATCH($B284,temp!D$4:D$13,0),0)&gt;0,T08_Spells!AH$2,"")</f>
        <v/>
      </c>
      <c r="AI284" t="str">
        <f>IF(IFERROR(MATCH($B284,temp!E$4:E$13,0),0)&gt;0,T08_Spells!AI$2,"")</f>
        <v/>
      </c>
      <c r="AJ284" t="str">
        <f>IF(IFERROR(MATCH($B284,temp!F$4:F$13,0),0)&gt;0,T08_Spells!AJ$2,"")</f>
        <v/>
      </c>
      <c r="AK284" t="str">
        <f>IF(IFERROR(MATCH($B284,temp!G$4:G$13,0),0)&gt;0,T08_Spells!AK$2,"")</f>
        <v/>
      </c>
      <c r="AL284" t="str">
        <f>IF(IFERROR(MATCH($B284,temp!H$4:H$13,0),0)&gt;0,T08_Spells!AL$2,"")</f>
        <v/>
      </c>
      <c r="AM284" t="str">
        <f>IF(IFERROR(MATCH($B284,temp!I$4:I$13,0),0)&gt;0,T08_Spells!AM$2,"")</f>
        <v/>
      </c>
      <c r="AN284" t="str">
        <f>IF(IFERROR(MATCH($B284,temp!J$4:J$13,0),0)&gt;0,T08_Spells!AN$2,"")</f>
        <v/>
      </c>
      <c r="AO284" t="str">
        <f>IF(IFERROR(MATCH($B284,temp!K$4:K$13,0),0)&gt;0,T08_Spells!AO$2,"")</f>
        <v/>
      </c>
      <c r="AP284" t="str">
        <f>IF(IFERROR(MATCH($B284,temp!L$4:L$13,0),0)&gt;0,T08_Spells!AP$2,"")</f>
        <v/>
      </c>
      <c r="AQ284" t="str">
        <f>IF(IFERROR(MATCH($B284,temp!M$4:M$13,0),0)&gt;0,T08_Spells!AQ$2,"")</f>
        <v/>
      </c>
      <c r="AR284" t="str">
        <f>IF(IFERROR(MATCH($B284,temp!N$4:N$13,0),0)&gt;0,T08_Spells!AR$2,"")</f>
        <v/>
      </c>
      <c r="AS284" t="str">
        <f>IF(IFERROR(MATCH($B284,temp!O$4:O$13,0),0)&gt;0,T08_Spells!AS$2,"")</f>
        <v/>
      </c>
      <c r="AT284" t="str">
        <f>IF(IFERROR(MATCH($B284,temp!P$4:P$13,0),0)&gt;0,T08_Spells!AT$2,"")</f>
        <v/>
      </c>
      <c r="AU284" t="str">
        <f>IF(IFERROR(MATCH($B284,temp!Q$4:Q$13,0),0)&gt;0,T08_Spells!AU$2,"")</f>
        <v>Life</v>
      </c>
      <c r="AV284" t="str">
        <f>IF(IFERROR(MATCH($B284,temp!R$4:R$13,0),0)&gt;0,T08_Spells!AV$2,"")</f>
        <v/>
      </c>
      <c r="AW284" t="str">
        <f>IF(IFERROR(MATCH($B284,temp!S$4:S$13,0),0)&gt;0,T08_Spells!AW$2,"")</f>
        <v/>
      </c>
      <c r="AX284" t="str">
        <f>IF(IFERROR(MATCH($B284,temp!T$4:T$13,0),0)&gt;0,T08_Spells!AX$2,"")</f>
        <v/>
      </c>
      <c r="AY284" t="str">
        <f>IF(IFERROR(MATCH($B284,temp!U$4:U$13,0),0)&gt;0,T08_Spells!AY$2,"")</f>
        <v/>
      </c>
      <c r="AZ284" t="str">
        <f>IF(IFERROR(MATCH($B284,temp!V$4:V$13,0),0)&gt;0,T08_Spells!AZ$2,"")</f>
        <v/>
      </c>
      <c r="BA284" t="str">
        <f>IF(IFERROR(MATCH($B284,temp!W$4:W$13,0),0)&gt;0,T08_Spells!BA$2,"")</f>
        <v/>
      </c>
      <c r="BC284">
        <f>IF(IFERROR(SEARCH("Ranger",$T284,1),0)&gt;0,1,0)*IF(RangerMaxSpellLevel&gt;=$C284,1,0)*IF(IFERROR(MATCH(B284,Character_Creation!$X$79:$X$382,0),0)&gt;0,0,1)</f>
        <v>0</v>
      </c>
      <c r="BD284">
        <f>IF(BC284=0,0,1+COUNTIF(BD$3:BD283,"&gt;0"))</f>
        <v>0</v>
      </c>
      <c r="BE284" t="str">
        <f t="shared" si="257"/>
        <v/>
      </c>
      <c r="BF284" t="str">
        <f t="shared" si="229"/>
        <v/>
      </c>
      <c r="BH284">
        <f>IF(IFERROR(SEARCH("Sorcerer",$T284,1),0)&gt;0,1,0)*IF(SorcererMaxSpellLevel&gt;=$C284,1,0)*IF(IFERROR(MATCH(B284,Character_Creation!$J$380:$J$394,0),0)&gt;0,0,1)</f>
        <v>0</v>
      </c>
      <c r="BI284">
        <f>IF(BH284=0,0,1+COUNTIF(BI$3:BI283,"&gt;0"))</f>
        <v>0</v>
      </c>
      <c r="BJ284" t="str">
        <f t="shared" si="258"/>
        <v/>
      </c>
      <c r="BK284" t="str">
        <f t="shared" si="230"/>
        <v/>
      </c>
      <c r="BM284">
        <f>IF(OR(IFERROR(SEARCH("Warlock",$T284,1),0)&gt;0,IFERROR(SEARCH(WarlockPatron,$T284,1),0)&gt;0),1,0)*IF(WarlockMaxSpellLevel&gt;=$C284,1,0)*IF(IFERROR(MATCH(B284,Character_Creation!$J$361:$J$375,0),0)&gt;0,0,1)</f>
        <v>0</v>
      </c>
      <c r="BN284">
        <f>IF(BM284=0,0,1+COUNTIF(BN$3:BN283,"&gt;0"))</f>
        <v>0</v>
      </c>
      <c r="BO284" t="str">
        <f t="shared" si="259"/>
        <v/>
      </c>
      <c r="BP284" t="str">
        <f t="shared" si="231"/>
        <v/>
      </c>
      <c r="BR284">
        <f>IF(IFERROR(SEARCH("Eldritch Knight",$T284,1),0)&gt;0,1,0)*IF(EldritchKnightMaxSpellLevel&gt;=$C284,1,0)*IF(IFERROR(MATCH($B284,Character_Creation!$J$350:$J$356,0),0)&gt;0,0,1)*IF(Character_Creation!$M$338&gt;0,1,0)</f>
        <v>0</v>
      </c>
      <c r="BS284">
        <f>IF(BR284=0,0,1+COUNTIF(BS$3:BS283,"&gt;0"))</f>
        <v>0</v>
      </c>
      <c r="BT284" t="str">
        <f t="shared" si="260"/>
        <v/>
      </c>
      <c r="BU284" t="str">
        <f t="shared" si="232"/>
        <v/>
      </c>
      <c r="BW284">
        <f>IF(IFERROR(SEARCH("Arcane Trickster",$T284,1),0)&gt;0,1,0)*IF(ArcaneTricksterMaxSpellLevel&gt;=$C284,1,0)*IF(IFERROR(MATCH($B284,Character_Creation!$J$350:$J$356,0),0)&gt;0,0,1)*IF(Character_Creation!$T$338&gt;0,1,0)</f>
        <v>0</v>
      </c>
      <c r="BX284">
        <f>IF(BW284=0,0,1+COUNTIF(BX$3:BX283,"&gt;0"))</f>
        <v>0</v>
      </c>
      <c r="BY284" t="str">
        <f t="shared" si="261"/>
        <v/>
      </c>
      <c r="BZ284" t="str">
        <f t="shared" si="233"/>
        <v/>
      </c>
      <c r="CB284">
        <f>IF(IFERROR(SEARCH("Wizard",$T284,1),0)&gt;0,1,0)*IF(C284&lt;=ArcaneTricksterMaxSpellLevel,1,0)*IF(IFERROR(MATCH($B284,Character_Creation!$J$350:$J$356,0),0)&gt;0,0,1)*IF(Character_Creation!$T$350&gt;0,1,0)</f>
        <v>0</v>
      </c>
      <c r="CC284">
        <f>IF(CB284=0,0,1+COUNTIF(CC$3:CC283,"&gt;0"))</f>
        <v>0</v>
      </c>
      <c r="CD284" t="str">
        <f t="shared" si="262"/>
        <v/>
      </c>
      <c r="CE284" t="str">
        <f t="shared" si="234"/>
        <v/>
      </c>
      <c r="CG284">
        <f>IF(IFERROR(SEARCH("Wizard",$T284,1),0)&gt;0,1,0)*IF($C284&lt;=EldritchKnightMaxSpellLevel,1,0)*IF(IFERROR(MATCH($B284,Character_Creation!$J$350:$J$356,0),0)&gt;0,0,1)*IF(Character_Creation!$M$350&gt;0,1,0)</f>
        <v>0</v>
      </c>
      <c r="CH284">
        <f>IF(CG284=0,0,1+COUNTIF(CH$3:CH283,"&gt;0"))</f>
        <v>0</v>
      </c>
      <c r="CI284" t="str">
        <f t="shared" si="263"/>
        <v/>
      </c>
      <c r="CJ284" t="str">
        <f t="shared" si="235"/>
        <v/>
      </c>
      <c r="CL284">
        <f>IF(IFERROR(SEARCH("Bard",$T284,1),0)&gt;0,1,0)*IF(BardMaxSpellLevel&gt;=$C284,1,0)*IF(IFERROR(MATCH(B284,Character_Creation!$C$341:$F$362,0),0)&gt;0,0,1)*IF(IFERROR(MATCH($B284,Character_Creation!$C$341:$C$362,0),0)&gt;0,0,1)</f>
        <v>0</v>
      </c>
      <c r="CM284">
        <f>IF(CL284=0,0,1+COUNTIF(CM$3:CM283,"&gt;0"))</f>
        <v>0</v>
      </c>
      <c r="CN284" t="str">
        <f t="shared" si="264"/>
        <v/>
      </c>
      <c r="CO284" t="str">
        <f t="shared" si="236"/>
        <v/>
      </c>
      <c r="CQ284">
        <f>IF(IFERROR(SEARCH("Wizard",$T284,1),0)&gt;0,1,0)*IF(WizardMaxSpellLevel&gt;=$C284,1,0)*IF(IFERROR(MATCH(B284,Character_Creation!$X$341:$X$400,0),0)&gt;0,0,1)*IF(SelectedWizardSpellLevel=$C284,1,0)</f>
        <v>0</v>
      </c>
      <c r="CR284">
        <f>IF(CQ284=0,0,1+COUNTIF(CR$3:CR283,"&gt;0"))</f>
        <v>0</v>
      </c>
      <c r="CS284" t="str">
        <f t="shared" si="265"/>
        <v/>
      </c>
      <c r="CT284" t="str">
        <f t="shared" si="237"/>
        <v/>
      </c>
      <c r="CV284">
        <f>IF(IFERROR(MATCH($B284,Character_Creation!$C$341:$C$362,0),0)&gt;0,0,1)*IF(OR(C284="Cantrip",C284&lt;=BardMaxSpellLevel),1,0)*IF(IFERROR(MATCH($B284,Character_Creation!$C$367:$C$374,0),0)&gt;0,0,1)</f>
        <v>0</v>
      </c>
      <c r="CW284">
        <f>IF(CV284=0,0,1+COUNTIF(CW$3:CW283,"&gt;0"))</f>
        <v>0</v>
      </c>
      <c r="CX284" t="str">
        <f t="shared" si="266"/>
        <v/>
      </c>
      <c r="CY284" t="str">
        <f t="shared" si="238"/>
        <v/>
      </c>
      <c r="DA284">
        <f>IF(IF(OR(IFERROR(SEARCH("Cleric",$T284,1),0)&gt;0,IFERROR(SEARCH(DivineDomain&amp;",",$T284,1),0)&gt;0),1,0)*IF($C284=DA$2,1,0)=1,1+COUNTIF(DA$3:DA283,"&gt;0"),0)</f>
        <v>0</v>
      </c>
      <c r="DB284">
        <f>IF(IF(OR(IFERROR(SEARCH("Cleric",$T284,1),0)&gt;0,IFERROR(SEARCH(DivineDomain&amp;",",$T284,1),0)&gt;0),1,0)*IF($C284=DB$2,1,0)=1,1+COUNTIF(DB$3:DB283,"&gt;0"),0)</f>
        <v>0</v>
      </c>
      <c r="DC284">
        <f>IF(IF(OR(IFERROR(SEARCH("Cleric",$T284,1),0)&gt;0,IFERROR(SEARCH(DivineDomain&amp;",",$T284,1),0)&gt;0),1,0)*IF($C284=DC$2,1,0)=1,1+COUNTIF(DC$3:DC283,"&gt;0"),0)</f>
        <v>15</v>
      </c>
      <c r="DD284">
        <f>IF(IF(OR(IFERROR(SEARCH("Cleric",$T284,1),0)&gt;0,IFERROR(SEARCH(DivineDomain&amp;",",$T284,1),0)&gt;0),1,0)*IF($C284=DD$2,1,0)=1,1+COUNTIF(DD$3:DD283,"&gt;0"),0)</f>
        <v>0</v>
      </c>
      <c r="DE284">
        <f>IF(IF(OR(IFERROR(SEARCH("Cleric",$T284,1),0)&gt;0,IFERROR(SEARCH(DivineDomain&amp;",",$T284,1),0)&gt;0),1,0)*IF($C284=DE$2,1,0)=1,1+COUNTIF(DE$3:DE283,"&gt;0"),0)</f>
        <v>0</v>
      </c>
      <c r="DF284">
        <f>IF(IF(OR(IFERROR(SEARCH("Cleric",$T284,1),0)&gt;0,IFERROR(SEARCH(DivineDomain&amp;",",$T284,1),0)&gt;0),1,0)*IF($C284=DF$2,1,0)=1,1+COUNTIF(DF$3:DF283,"&gt;0"),0)</f>
        <v>0</v>
      </c>
      <c r="DG284">
        <f>IF(IF(OR(IFERROR(SEARCH("Cleric",$T284,1),0)&gt;0,IFERROR(SEARCH(DivineDomain&amp;",",$T284,1),0)&gt;0),1,0)*IF($C284=DG$2,1,0)=1,1+COUNTIF(DG$3:DG283,"&gt;0"),0)</f>
        <v>0</v>
      </c>
      <c r="DH284">
        <f>IF(IF(OR(IFERROR(SEARCH("Cleric",$T284,1),0)&gt;0,IFERROR(SEARCH(DivineDomain&amp;",",$T284,1),0)&gt;0),1,0)*IF($C284=DH$2,1,0)=1,1+COUNTIF(DH$3:DH283,"&gt;0"),0)</f>
        <v>0</v>
      </c>
      <c r="DI284">
        <f>IF(IF(OR(IFERROR(SEARCH("Cleric",$T284,1),0)&gt;0,IFERROR(SEARCH(DivineDomain&amp;",",$T284,1),0)&gt;0),1,0)*IF($C284=DI$2,1,0)=1,1+COUNTIF(DI$3:DI283,"&gt;0"),0)</f>
        <v>0</v>
      </c>
      <c r="DJ284">
        <f>IF(IF(OR(IFERROR(SEARCH("Druid",$T284,1),0)&gt;0,IFERROR(SEARCH(DruidLand1,$T284,1),0)&gt;0,IFERROR(SEARCH(DruidLand2,$T284,1),0)&gt;0,IFERROR(SEARCH(DruidLand3,$T284,1),0)&gt;0,IFERROR(SEARCH(DruidLand4,$T284,1),0)&gt;0),1,0)*IF($C284=1,1,0)*IF($C284=DJ$2,1,0)=0,0,1+COUNTIF(DJ$3:DJ283,"&gt;0"))</f>
        <v>0</v>
      </c>
      <c r="DK284">
        <f>IF(IF(OR(IFERROR(SEARCH("Druid",$T284,1),0)&gt;0,IFERROR(SEARCH(DruidLand1,$T284,1),0)&gt;0,IFERROR(SEARCH(DruidLand2,$T284,1),0)&gt;0,IFERROR(SEARCH(DruidLand3,$T284,1),0)&gt;0,IFERROR(SEARCH(DruidLand4,$T284,1),0)&gt;0),1,0)*IF($C284=1,1,0)*IF($C284=DK$2,1,0)=0,0,1+COUNTIF(DK$3:DK283,"&gt;0"))</f>
        <v>0</v>
      </c>
      <c r="DL284">
        <f>IF(IF(OR(IFERROR(SEARCH("Druid",$T284,1),0)&gt;0,IFERROR(SEARCH(DruidLand1,$T284,1),0)&gt;0,IFERROR(SEARCH(DruidLand2,$T284,1),0)&gt;0,IFERROR(SEARCH(DruidLand3,$T284,1),0)&gt;0,IFERROR(SEARCH(DruidLand4,$T284,1),0)&gt;0),1,0)*IF($C284=1,1,0)*IF($C284=DL$2,1,0)=0,0,1+COUNTIF(DL$3:DL283,"&gt;0"))</f>
        <v>0</v>
      </c>
      <c r="DM284">
        <f>IF(IF(OR(IFERROR(SEARCH("Druid",$T284,1),0)&gt;0,IFERROR(SEARCH(DruidLand1,$T284,1),0)&gt;0,IFERROR(SEARCH(DruidLand2,$T284,1),0)&gt;0,IFERROR(SEARCH(DruidLand3,$T284,1),0)&gt;0,IFERROR(SEARCH(DruidLand4,$T284,1),0)&gt;0),1,0)*IF($C284=1,1,0)*IF($C284=DM$2,1,0)=0,0,1+COUNTIF(DM$3:DM283,"&gt;0"))</f>
        <v>0</v>
      </c>
      <c r="DN284">
        <f>IF(IF(OR(IFERROR(SEARCH("Druid",$T284,1),0)&gt;0,IFERROR(SEARCH(DruidLand1,$T284,1),0)&gt;0,IFERROR(SEARCH(DruidLand2,$T284,1),0)&gt;0,IFERROR(SEARCH(DruidLand3,$T284,1),0)&gt;0,IFERROR(SEARCH(DruidLand4,$T284,1),0)&gt;0),1,0)*IF($C284=1,1,0)*IF($C284=DN$2,1,0)=0,0,1+COUNTIF(DN$3:DN283,"&gt;0"))</f>
        <v>0</v>
      </c>
      <c r="DO284">
        <f>IF(IF(OR(IFERROR(SEARCH("Druid",$T284,1),0)&gt;0,IFERROR(SEARCH(DruidLand1,$T284,1),0)&gt;0,IFERROR(SEARCH(DruidLand2,$T284,1),0)&gt;0,IFERROR(SEARCH(DruidLand3,$T284,1),0)&gt;0,IFERROR(SEARCH(DruidLand4,$T284,1),0)&gt;0),1,0)*IF($C284=1,1,0)*IF($C284=DO$2,1,0)=0,0,1+COUNTIF(DO$3:DO283,"&gt;0"))</f>
        <v>0</v>
      </c>
      <c r="DP284">
        <f>IF(IF(OR(IFERROR(SEARCH("Druid",$T284,1),0)&gt;0,IFERROR(SEARCH(DruidLand1,$T284,1),0)&gt;0,IFERROR(SEARCH(DruidLand2,$T284,1),0)&gt;0,IFERROR(SEARCH(DruidLand3,$T284,1),0)&gt;0,IFERROR(SEARCH(DruidLand4,$T284,1),0)&gt;0),1,0)*IF($C284=1,1,0)*IF($C284=DP$2,1,0)=0,0,1+COUNTIF(DP$3:DP283,"&gt;0"))</f>
        <v>0</v>
      </c>
      <c r="DQ284">
        <f>IF(IF(OR(IFERROR(SEARCH("Druid",$T284,1),0)&gt;0,IFERROR(SEARCH(DruidLand1,$T284,1),0)&gt;0,IFERROR(SEARCH(DruidLand2,$T284,1),0)&gt;0,IFERROR(SEARCH(DruidLand3,$T284,1),0)&gt;0,IFERROR(SEARCH(DruidLand4,$T284,1),0)&gt;0),1,0)*IF($C284=1,1,0)*IF($C284=DQ$2,1,0)=0,0,1+COUNTIF(DQ$3:DQ283,"&gt;0"))</f>
        <v>0</v>
      </c>
      <c r="DR284">
        <f>IF(IF(OR(IFERROR(SEARCH("Druid",$T284,1),0)&gt;0,IFERROR(SEARCH(DruidLand1,$T284,1),0)&gt;0,IFERROR(SEARCH(DruidLand2,$T284,1),0)&gt;0,IFERROR(SEARCH(DruidLand3,$T284,1),0)&gt;0,IFERROR(SEARCH(DruidLand4,$T284,1),0)&gt;0),1,0)*IF($C284=1,1,0)*IF($C284=DR$2,1,0)=0,0,1+COUNTIF(DR$3:DR283,"&gt;0"))</f>
        <v>0</v>
      </c>
      <c r="DS284">
        <f>IF(IF(OR(IFERROR(SEARCH("Paladin",$T284,1),0)&gt;0,IFERROR(SEARCH(PaladinOath,$T284,1),0)&gt;0),1,0)*IF($C284=DS$2,1,0)=1,1+COUNTIF(DS$3:DS283,"&gt;0"),0)</f>
        <v>0</v>
      </c>
      <c r="DT284">
        <f>IF(IF(OR(IFERROR(SEARCH("Paladin",$T284,1),0)&gt;0,IFERROR(SEARCH(PaladinOath,$T284,1),0)&gt;0),1,0)*IF($C284=DT$2,1,0)=1,1+COUNTIF(DT$3:DT283,"&gt;0"),0)</f>
        <v>0</v>
      </c>
      <c r="DU284">
        <f>IF(IF(OR(IFERROR(SEARCH("Paladin",$T284,1),0)&gt;0,IFERROR(SEARCH(PaladinOath,$T284,1),0)&gt;0),1,0)*IF($C284=DU$2,1,0)=1,1+COUNTIF(DU$3:DU283,"&gt;0"),0)</f>
        <v>10</v>
      </c>
      <c r="DV284">
        <f>IF(IF(OR(IFERROR(SEARCH("Paladin",$T284,1),0)&gt;0,IFERROR(SEARCH(PaladinOath,$T284,1),0)&gt;0),1,0)*IF($C284=DV$2,1,0)=1,1+COUNTIF(DV$3:DV283,"&gt;0"),0)</f>
        <v>0</v>
      </c>
      <c r="DW284">
        <f>IF(IF(OR(IFERROR(SEARCH("Paladin",$T284,1),0)&gt;0,IFERROR(SEARCH(PaladinOath,$T284,1),0)&gt;0),1,0)*IF($C284=DW$2,1,0)=1,1+COUNTIF(DW$3:DW283,"&gt;0"),0)</f>
        <v>0</v>
      </c>
      <c r="DY284">
        <f t="shared" si="225"/>
        <v>1</v>
      </c>
      <c r="DZ284">
        <f>IF(DY284=0,0,1+MAX(DZ$3:$DZ283))</f>
        <v>282</v>
      </c>
      <c r="EB284">
        <f t="shared" si="239"/>
        <v>0</v>
      </c>
      <c r="EC284">
        <f>IF(EB284=0,0,1+COUNTIF(EC$3:EC283,"&gt;0"))</f>
        <v>0</v>
      </c>
      <c r="ED284" t="str">
        <f t="shared" si="267"/>
        <v/>
      </c>
      <c r="EE284" t="str">
        <f t="shared" si="240"/>
        <v/>
      </c>
      <c r="EG284">
        <f t="shared" si="241"/>
        <v>0</v>
      </c>
      <c r="EH284">
        <f>IF(EG284=0,0,1+COUNTIF(EH$3:EH283,"&gt;0"))</f>
        <v>0</v>
      </c>
      <c r="EI284" t="str">
        <f t="shared" si="268"/>
        <v/>
      </c>
      <c r="EJ284" t="str">
        <f t="shared" si="242"/>
        <v/>
      </c>
      <c r="EL284">
        <f t="shared" si="243"/>
        <v>0</v>
      </c>
      <c r="EM284">
        <f>IF(EL284=0,0,1+COUNTIF(EM$3:EM283,"&gt;0"))</f>
        <v>0</v>
      </c>
      <c r="EN284" t="str">
        <f t="shared" si="269"/>
        <v/>
      </c>
      <c r="EO284" t="str">
        <f t="shared" si="244"/>
        <v/>
      </c>
      <c r="EQ284">
        <f t="shared" si="245"/>
        <v>0</v>
      </c>
      <c r="ER284">
        <f>IF(EQ284=0,0,1+COUNTIF(ER$3:ER283,"&gt;0"))</f>
        <v>0</v>
      </c>
      <c r="ES284" t="str">
        <f t="shared" si="270"/>
        <v/>
      </c>
      <c r="ET284" t="str">
        <f t="shared" si="246"/>
        <v/>
      </c>
      <c r="EV284">
        <f t="shared" si="247"/>
        <v>0</v>
      </c>
      <c r="EW284">
        <f>IF(EV284=0,0,1+COUNTIF(EW$3:EW283,"&gt;0"))</f>
        <v>0</v>
      </c>
      <c r="EX284" t="str">
        <f t="shared" si="271"/>
        <v/>
      </c>
      <c r="EY284" t="str">
        <f t="shared" si="248"/>
        <v/>
      </c>
      <c r="FA284">
        <f t="shared" si="249"/>
        <v>0</v>
      </c>
      <c r="FB284">
        <f>IF(FA284=0,0,1+COUNTIF(FB$3:FB283,"&gt;0"))</f>
        <v>0</v>
      </c>
      <c r="FC284" t="str">
        <f t="shared" si="272"/>
        <v/>
      </c>
      <c r="FD284" t="str">
        <f t="shared" si="250"/>
        <v/>
      </c>
      <c r="FF284">
        <f t="shared" si="251"/>
        <v>0</v>
      </c>
      <c r="FG284">
        <f>IF(FF284=0,0,1+COUNTIF(FG$3:FG283,"&gt;0"))</f>
        <v>0</v>
      </c>
      <c r="FH284" t="str">
        <f t="shared" si="273"/>
        <v/>
      </c>
      <c r="FI284" t="str">
        <f t="shared" si="252"/>
        <v/>
      </c>
      <c r="FK284">
        <f t="shared" si="253"/>
        <v>0</v>
      </c>
      <c r="FL284">
        <f>IF(FK284=0,0,1+COUNTIF(FL$3:FL283,"&gt;0"))</f>
        <v>0</v>
      </c>
      <c r="FM284" t="str">
        <f t="shared" si="274"/>
        <v/>
      </c>
      <c r="FN284" t="str">
        <f t="shared" si="254"/>
        <v/>
      </c>
      <c r="FP284">
        <f t="shared" si="255"/>
        <v>0</v>
      </c>
      <c r="FQ284">
        <f>IF(FP284=0,0,1+COUNTIF(FQ$3:FQ283,"&gt;0"))</f>
        <v>0</v>
      </c>
      <c r="FR284" t="str">
        <f t="shared" si="275"/>
        <v/>
      </c>
      <c r="FS284" t="str">
        <f t="shared" si="256"/>
        <v/>
      </c>
    </row>
    <row r="285" spans="1:175" x14ac:dyDescent="0.25">
      <c r="A285" s="347">
        <f t="shared" si="276"/>
        <v>283</v>
      </c>
      <c r="B285" s="348" t="s">
        <v>2672</v>
      </c>
      <c r="C285" s="348">
        <v>2</v>
      </c>
      <c r="D285" s="347">
        <v>2</v>
      </c>
      <c r="E285" s="627" t="s">
        <v>6952</v>
      </c>
      <c r="F285" s="346"/>
      <c r="G285" s="347" t="str">
        <f>""</f>
        <v/>
      </c>
      <c r="H285" s="347" t="s">
        <v>5912</v>
      </c>
      <c r="I285" s="347" t="s">
        <v>5298</v>
      </c>
      <c r="J285" s="347" t="str">
        <f t="shared" si="226"/>
        <v/>
      </c>
      <c r="K285" s="347" t="s">
        <v>5293</v>
      </c>
      <c r="L285" s="611" t="str">
        <f t="shared" si="227"/>
        <v>V, S, M, powdered corn extract and a twisted loop of parchment</v>
      </c>
      <c r="M285" s="347" t="s">
        <v>2373</v>
      </c>
      <c r="N285" s="347" t="s">
        <v>2387</v>
      </c>
      <c r="O285" s="347" t="s">
        <v>1244</v>
      </c>
      <c r="P285" s="346" t="s">
        <v>5468</v>
      </c>
      <c r="Q285" s="347" t="s">
        <v>5276</v>
      </c>
      <c r="S285" s="346" t="s">
        <v>5811</v>
      </c>
      <c r="T285" s="346" t="str">
        <f t="shared" si="228"/>
        <v xml:space="preserve">Wizard, </v>
      </c>
      <c r="AD285" s="347" t="str">
        <f>$B285</f>
        <v>Rope Trick</v>
      </c>
      <c r="AE285" t="str">
        <f>IF(IFERROR(MATCH($B285,temp!A$4:A$13,0),0)&gt;0,T08_Spells!AE$2,"")</f>
        <v/>
      </c>
      <c r="AF285" t="str">
        <f>IF(IFERROR(MATCH($B285,temp!B$4:B$13,0),0)&gt;0,T08_Spells!AF$2,"")</f>
        <v/>
      </c>
      <c r="AG285" t="str">
        <f>IF(IFERROR(MATCH($B285,temp!C$4:C$13,0),0)&gt;0,T08_Spells!AG$2,"")</f>
        <v/>
      </c>
      <c r="AH285" t="str">
        <f>IF(IFERROR(MATCH($B285,temp!D$4:D$13,0),0)&gt;0,T08_Spells!AH$2,"")</f>
        <v/>
      </c>
      <c r="AI285" t="str">
        <f>IF(IFERROR(MATCH($B285,temp!E$4:E$13,0),0)&gt;0,T08_Spells!AI$2,"")</f>
        <v/>
      </c>
      <c r="AJ285" t="str">
        <f>IF(IFERROR(MATCH($B285,temp!F$4:F$13,0),0)&gt;0,T08_Spells!AJ$2,"")</f>
        <v/>
      </c>
      <c r="AK285" t="str">
        <f>IF(IFERROR(MATCH($B285,temp!G$4:G$13,0),0)&gt;0,T08_Spells!AK$2,"")</f>
        <v/>
      </c>
      <c r="AL285" t="str">
        <f>IF(IFERROR(MATCH($B285,temp!H$4:H$13,0),0)&gt;0,T08_Spells!AL$2,"")</f>
        <v/>
      </c>
      <c r="AM285" t="str">
        <f>IF(IFERROR(MATCH($B285,temp!I$4:I$13,0),0)&gt;0,T08_Spells!AM$2,"")</f>
        <v/>
      </c>
      <c r="AN285" t="str">
        <f>IF(IFERROR(MATCH($B285,temp!J$4:J$13,0),0)&gt;0,T08_Spells!AN$2,"")</f>
        <v/>
      </c>
      <c r="AO285" t="str">
        <f>IF(IFERROR(MATCH($B285,temp!K$4:K$13,0),0)&gt;0,T08_Spells!AO$2,"")</f>
        <v/>
      </c>
      <c r="AP285" t="str">
        <f>IF(IFERROR(MATCH($B285,temp!L$4:L$13,0),0)&gt;0,T08_Spells!AP$2,"")</f>
        <v/>
      </c>
      <c r="AQ285" t="str">
        <f>IF(IFERROR(MATCH($B285,temp!M$4:M$13,0),0)&gt;0,T08_Spells!AQ$2,"")</f>
        <v/>
      </c>
      <c r="AR285" t="str">
        <f>IF(IFERROR(MATCH($B285,temp!N$4:N$13,0),0)&gt;0,T08_Spells!AR$2,"")</f>
        <v/>
      </c>
      <c r="AS285" t="str">
        <f>IF(IFERROR(MATCH($B285,temp!O$4:O$13,0),0)&gt;0,T08_Spells!AS$2,"")</f>
        <v/>
      </c>
      <c r="AT285" t="str">
        <f>IF(IFERROR(MATCH($B285,temp!P$4:P$13,0),0)&gt;0,T08_Spells!AT$2,"")</f>
        <v/>
      </c>
      <c r="AU285" t="str">
        <f>IF(IFERROR(MATCH($B285,temp!Q$4:Q$13,0),0)&gt;0,T08_Spells!AU$2,"")</f>
        <v/>
      </c>
      <c r="AV285" t="str">
        <f>IF(IFERROR(MATCH($B285,temp!R$4:R$13,0),0)&gt;0,T08_Spells!AV$2,"")</f>
        <v/>
      </c>
      <c r="AW285" t="str">
        <f>IF(IFERROR(MATCH($B285,temp!S$4:S$13,0),0)&gt;0,T08_Spells!AW$2,"")</f>
        <v/>
      </c>
      <c r="AX285" t="str">
        <f>IF(IFERROR(MATCH($B285,temp!T$4:T$13,0),0)&gt;0,T08_Spells!AX$2,"")</f>
        <v/>
      </c>
      <c r="AY285" t="str">
        <f>IF(IFERROR(MATCH($B285,temp!U$4:U$13,0),0)&gt;0,T08_Spells!AY$2,"")</f>
        <v/>
      </c>
      <c r="AZ285" t="str">
        <f>IF(IFERROR(MATCH($B285,temp!V$4:V$13,0),0)&gt;0,T08_Spells!AZ$2,"")</f>
        <v/>
      </c>
      <c r="BA285" t="str">
        <f>IF(IFERROR(MATCH($B285,temp!W$4:W$13,0),0)&gt;0,T08_Spells!BA$2,"")</f>
        <v/>
      </c>
      <c r="BC285">
        <f>IF(IFERROR(SEARCH("Ranger",$T285,1),0)&gt;0,1,0)*IF(RangerMaxSpellLevel&gt;=$C285,1,0)*IF(IFERROR(MATCH(B285,Character_Creation!$X$79:$X$382,0),0)&gt;0,0,1)</f>
        <v>0</v>
      </c>
      <c r="BD285">
        <f>IF(BC285=0,0,1+COUNTIF(BD$3:BD284,"&gt;0"))</f>
        <v>0</v>
      </c>
      <c r="BE285" t="str">
        <f t="shared" si="257"/>
        <v/>
      </c>
      <c r="BF285" t="str">
        <f t="shared" si="229"/>
        <v/>
      </c>
      <c r="BH285">
        <f>IF(IFERROR(SEARCH("Sorcerer",$T285,1),0)&gt;0,1,0)*IF(SorcererMaxSpellLevel&gt;=$C285,1,0)*IF(IFERROR(MATCH(B285,Character_Creation!$J$380:$J$394,0),0)&gt;0,0,1)</f>
        <v>0</v>
      </c>
      <c r="BI285">
        <f>IF(BH285=0,0,1+COUNTIF(BI$3:BI284,"&gt;0"))</f>
        <v>0</v>
      </c>
      <c r="BJ285" t="str">
        <f t="shared" si="258"/>
        <v/>
      </c>
      <c r="BK285" t="str">
        <f t="shared" si="230"/>
        <v/>
      </c>
      <c r="BM285">
        <f>IF(OR(IFERROR(SEARCH("Warlock",$T285,1),0)&gt;0,IFERROR(SEARCH(WarlockPatron,$T285,1),0)&gt;0),1,0)*IF(WarlockMaxSpellLevel&gt;=$C285,1,0)*IF(IFERROR(MATCH(B285,Character_Creation!$J$361:$J$375,0),0)&gt;0,0,1)</f>
        <v>0</v>
      </c>
      <c r="BN285">
        <f>IF(BM285=0,0,1+COUNTIF(BN$3:BN284,"&gt;0"))</f>
        <v>0</v>
      </c>
      <c r="BO285" t="str">
        <f t="shared" si="259"/>
        <v/>
      </c>
      <c r="BP285" t="str">
        <f t="shared" si="231"/>
        <v/>
      </c>
      <c r="BR285">
        <f>IF(IFERROR(SEARCH("Eldritch Knight",$T285,1),0)&gt;0,1,0)*IF(EldritchKnightMaxSpellLevel&gt;=$C285,1,0)*IF(IFERROR(MATCH($B285,Character_Creation!$J$350:$J$356,0),0)&gt;0,0,1)*IF(Character_Creation!$M$338&gt;0,1,0)</f>
        <v>0</v>
      </c>
      <c r="BS285">
        <f>IF(BR285=0,0,1+COUNTIF(BS$3:BS284,"&gt;0"))</f>
        <v>0</v>
      </c>
      <c r="BT285" t="str">
        <f t="shared" si="260"/>
        <v/>
      </c>
      <c r="BU285" t="str">
        <f t="shared" si="232"/>
        <v/>
      </c>
      <c r="BW285">
        <f>IF(IFERROR(SEARCH("Arcane Trickster",$T285,1),0)&gt;0,1,0)*IF(ArcaneTricksterMaxSpellLevel&gt;=$C285,1,0)*IF(IFERROR(MATCH($B285,Character_Creation!$J$350:$J$356,0),0)&gt;0,0,1)*IF(Character_Creation!$T$338&gt;0,1,0)</f>
        <v>0</v>
      </c>
      <c r="BX285">
        <f>IF(BW285=0,0,1+COUNTIF(BX$3:BX284,"&gt;0"))</f>
        <v>0</v>
      </c>
      <c r="BY285" t="str">
        <f t="shared" si="261"/>
        <v/>
      </c>
      <c r="BZ285" t="str">
        <f t="shared" si="233"/>
        <v/>
      </c>
      <c r="CB285">
        <f>IF(IFERROR(SEARCH("Wizard",$T285,1),0)&gt;0,1,0)*IF(C285&lt;=ArcaneTricksterMaxSpellLevel,1,0)*IF(IFERROR(MATCH($B285,Character_Creation!$J$350:$J$356,0),0)&gt;0,0,1)*IF(Character_Creation!$T$350&gt;0,1,0)</f>
        <v>0</v>
      </c>
      <c r="CC285">
        <f>IF(CB285=0,0,1+COUNTIF(CC$3:CC284,"&gt;0"))</f>
        <v>0</v>
      </c>
      <c r="CD285" t="str">
        <f t="shared" si="262"/>
        <v/>
      </c>
      <c r="CE285" t="str">
        <f t="shared" si="234"/>
        <v/>
      </c>
      <c r="CG285">
        <f>IF(IFERROR(SEARCH("Wizard",$T285,1),0)&gt;0,1,0)*IF($C285&lt;=EldritchKnightMaxSpellLevel,1,0)*IF(IFERROR(MATCH($B285,Character_Creation!$J$350:$J$356,0),0)&gt;0,0,1)*IF(Character_Creation!$M$350&gt;0,1,0)</f>
        <v>1</v>
      </c>
      <c r="CH285">
        <f>IF(CG285=0,0,1+COUNTIF(CH$3:CH284,"&gt;0"))</f>
        <v>49</v>
      </c>
      <c r="CI285" t="str">
        <f t="shared" si="263"/>
        <v/>
      </c>
      <c r="CJ285" t="str">
        <f t="shared" si="235"/>
        <v/>
      </c>
      <c r="CL285">
        <f>IF(IFERROR(SEARCH("Bard",$T285,1),0)&gt;0,1,0)*IF(BardMaxSpellLevel&gt;=$C285,1,0)*IF(IFERROR(MATCH(B285,Character_Creation!$C$341:$F$362,0),0)&gt;0,0,1)*IF(IFERROR(MATCH($B285,Character_Creation!$C$341:$C$362,0),0)&gt;0,0,1)</f>
        <v>0</v>
      </c>
      <c r="CM285">
        <f>IF(CL285=0,0,1+COUNTIF(CM$3:CM284,"&gt;0"))</f>
        <v>0</v>
      </c>
      <c r="CN285" t="str">
        <f t="shared" si="264"/>
        <v/>
      </c>
      <c r="CO285" t="str">
        <f t="shared" si="236"/>
        <v/>
      </c>
      <c r="CQ285">
        <f>IF(IFERROR(SEARCH("Wizard",$T285,1),0)&gt;0,1,0)*IF(WizardMaxSpellLevel&gt;=$C285,1,0)*IF(IFERROR(MATCH(B285,Character_Creation!$X$341:$X$400,0),0)&gt;0,0,1)*IF(SelectedWizardSpellLevel=$C285,1,0)</f>
        <v>0</v>
      </c>
      <c r="CR285">
        <f>IF(CQ285=0,0,1+COUNTIF(CR$3:CR284,"&gt;0"))</f>
        <v>0</v>
      </c>
      <c r="CS285" t="str">
        <f t="shared" si="265"/>
        <v/>
      </c>
      <c r="CT285" t="str">
        <f t="shared" si="237"/>
        <v/>
      </c>
      <c r="CV285">
        <f>IF(IFERROR(MATCH($B285,Character_Creation!$C$341:$C$362,0),0)&gt;0,0,1)*IF(OR(C285="Cantrip",C285&lt;=BardMaxSpellLevel),1,0)*IF(IFERROR(MATCH($B285,Character_Creation!$C$367:$C$374,0),0)&gt;0,0,1)</f>
        <v>0</v>
      </c>
      <c r="CW285">
        <f>IF(CV285=0,0,1+COUNTIF(CW$3:CW284,"&gt;0"))</f>
        <v>0</v>
      </c>
      <c r="CX285" t="str">
        <f t="shared" si="266"/>
        <v/>
      </c>
      <c r="CY285" t="str">
        <f t="shared" si="238"/>
        <v/>
      </c>
      <c r="DA285">
        <f>IF(IF(OR(IFERROR(SEARCH("Cleric",$T285,1),0)&gt;0,IFERROR(SEARCH(DivineDomain&amp;",",$T285,1),0)&gt;0),1,0)*IF($C285=DA$2,1,0)=1,1+COUNTIF(DA$3:DA284,"&gt;0"),0)</f>
        <v>0</v>
      </c>
      <c r="DB285">
        <f>IF(IF(OR(IFERROR(SEARCH("Cleric",$T285,1),0)&gt;0,IFERROR(SEARCH(DivineDomain&amp;",",$T285,1),0)&gt;0),1,0)*IF($C285=DB$2,1,0)=1,1+COUNTIF(DB$3:DB284,"&gt;0"),0)</f>
        <v>0</v>
      </c>
      <c r="DC285">
        <f>IF(IF(OR(IFERROR(SEARCH("Cleric",$T285,1),0)&gt;0,IFERROR(SEARCH(DivineDomain&amp;",",$T285,1),0)&gt;0),1,0)*IF($C285=DC$2,1,0)=1,1+COUNTIF(DC$3:DC284,"&gt;0"),0)</f>
        <v>0</v>
      </c>
      <c r="DD285">
        <f>IF(IF(OR(IFERROR(SEARCH("Cleric",$T285,1),0)&gt;0,IFERROR(SEARCH(DivineDomain&amp;",",$T285,1),0)&gt;0),1,0)*IF($C285=DD$2,1,0)=1,1+COUNTIF(DD$3:DD284,"&gt;0"),0)</f>
        <v>0</v>
      </c>
      <c r="DE285">
        <f>IF(IF(OR(IFERROR(SEARCH("Cleric",$T285,1),0)&gt;0,IFERROR(SEARCH(DivineDomain&amp;",",$T285,1),0)&gt;0),1,0)*IF($C285=DE$2,1,0)=1,1+COUNTIF(DE$3:DE284,"&gt;0"),0)</f>
        <v>0</v>
      </c>
      <c r="DF285">
        <f>IF(IF(OR(IFERROR(SEARCH("Cleric",$T285,1),0)&gt;0,IFERROR(SEARCH(DivineDomain&amp;",",$T285,1),0)&gt;0),1,0)*IF($C285=DF$2,1,0)=1,1+COUNTIF(DF$3:DF284,"&gt;0"),0)</f>
        <v>0</v>
      </c>
      <c r="DG285">
        <f>IF(IF(OR(IFERROR(SEARCH("Cleric",$T285,1),0)&gt;0,IFERROR(SEARCH(DivineDomain&amp;",",$T285,1),0)&gt;0),1,0)*IF($C285=DG$2,1,0)=1,1+COUNTIF(DG$3:DG284,"&gt;0"),0)</f>
        <v>0</v>
      </c>
      <c r="DH285">
        <f>IF(IF(OR(IFERROR(SEARCH("Cleric",$T285,1),0)&gt;0,IFERROR(SEARCH(DivineDomain&amp;",",$T285,1),0)&gt;0),1,0)*IF($C285=DH$2,1,0)=1,1+COUNTIF(DH$3:DH284,"&gt;0"),0)</f>
        <v>0</v>
      </c>
      <c r="DI285">
        <f>IF(IF(OR(IFERROR(SEARCH("Cleric",$T285,1),0)&gt;0,IFERROR(SEARCH(DivineDomain&amp;",",$T285,1),0)&gt;0),1,0)*IF($C285=DI$2,1,0)=1,1+COUNTIF(DI$3:DI284,"&gt;0"),0)</f>
        <v>0</v>
      </c>
      <c r="DJ285">
        <f>IF(IF(OR(IFERROR(SEARCH("Druid",$T285,1),0)&gt;0,IFERROR(SEARCH(DruidLand1,$T285,1),0)&gt;0,IFERROR(SEARCH(DruidLand2,$T285,1),0)&gt;0,IFERROR(SEARCH(DruidLand3,$T285,1),0)&gt;0,IFERROR(SEARCH(DruidLand4,$T285,1),0)&gt;0),1,0)*IF($C285=1,1,0)*IF($C285=DJ$2,1,0)=0,0,1+COUNTIF(DJ$3:DJ284,"&gt;0"))</f>
        <v>0</v>
      </c>
      <c r="DK285">
        <f>IF(IF(OR(IFERROR(SEARCH("Druid",$T285,1),0)&gt;0,IFERROR(SEARCH(DruidLand1,$T285,1),0)&gt;0,IFERROR(SEARCH(DruidLand2,$T285,1),0)&gt;0,IFERROR(SEARCH(DruidLand3,$T285,1),0)&gt;0,IFERROR(SEARCH(DruidLand4,$T285,1),0)&gt;0),1,0)*IF($C285=1,1,0)*IF($C285=DK$2,1,0)=0,0,1+COUNTIF(DK$3:DK284,"&gt;0"))</f>
        <v>0</v>
      </c>
      <c r="DL285">
        <f>IF(IF(OR(IFERROR(SEARCH("Druid",$T285,1),0)&gt;0,IFERROR(SEARCH(DruidLand1,$T285,1),0)&gt;0,IFERROR(SEARCH(DruidLand2,$T285,1),0)&gt;0,IFERROR(SEARCH(DruidLand3,$T285,1),0)&gt;0,IFERROR(SEARCH(DruidLand4,$T285,1),0)&gt;0),1,0)*IF($C285=1,1,0)*IF($C285=DL$2,1,0)=0,0,1+COUNTIF(DL$3:DL284,"&gt;0"))</f>
        <v>0</v>
      </c>
      <c r="DM285">
        <f>IF(IF(OR(IFERROR(SEARCH("Druid",$T285,1),0)&gt;0,IFERROR(SEARCH(DruidLand1,$T285,1),0)&gt;0,IFERROR(SEARCH(DruidLand2,$T285,1),0)&gt;0,IFERROR(SEARCH(DruidLand3,$T285,1),0)&gt;0,IFERROR(SEARCH(DruidLand4,$T285,1),0)&gt;0),1,0)*IF($C285=1,1,0)*IF($C285=DM$2,1,0)=0,0,1+COUNTIF(DM$3:DM284,"&gt;0"))</f>
        <v>0</v>
      </c>
      <c r="DN285">
        <f>IF(IF(OR(IFERROR(SEARCH("Druid",$T285,1),0)&gt;0,IFERROR(SEARCH(DruidLand1,$T285,1),0)&gt;0,IFERROR(SEARCH(DruidLand2,$T285,1),0)&gt;0,IFERROR(SEARCH(DruidLand3,$T285,1),0)&gt;0,IFERROR(SEARCH(DruidLand4,$T285,1),0)&gt;0),1,0)*IF($C285=1,1,0)*IF($C285=DN$2,1,0)=0,0,1+COUNTIF(DN$3:DN284,"&gt;0"))</f>
        <v>0</v>
      </c>
      <c r="DO285">
        <f>IF(IF(OR(IFERROR(SEARCH("Druid",$T285,1),0)&gt;0,IFERROR(SEARCH(DruidLand1,$T285,1),0)&gt;0,IFERROR(SEARCH(DruidLand2,$T285,1),0)&gt;0,IFERROR(SEARCH(DruidLand3,$T285,1),0)&gt;0,IFERROR(SEARCH(DruidLand4,$T285,1),0)&gt;0),1,0)*IF($C285=1,1,0)*IF($C285=DO$2,1,0)=0,0,1+COUNTIF(DO$3:DO284,"&gt;0"))</f>
        <v>0</v>
      </c>
      <c r="DP285">
        <f>IF(IF(OR(IFERROR(SEARCH("Druid",$T285,1),0)&gt;0,IFERROR(SEARCH(DruidLand1,$T285,1),0)&gt;0,IFERROR(SEARCH(DruidLand2,$T285,1),0)&gt;0,IFERROR(SEARCH(DruidLand3,$T285,1),0)&gt;0,IFERROR(SEARCH(DruidLand4,$T285,1),0)&gt;0),1,0)*IF($C285=1,1,0)*IF($C285=DP$2,1,0)=0,0,1+COUNTIF(DP$3:DP284,"&gt;0"))</f>
        <v>0</v>
      </c>
      <c r="DQ285">
        <f>IF(IF(OR(IFERROR(SEARCH("Druid",$T285,1),0)&gt;0,IFERROR(SEARCH(DruidLand1,$T285,1),0)&gt;0,IFERROR(SEARCH(DruidLand2,$T285,1),0)&gt;0,IFERROR(SEARCH(DruidLand3,$T285,1),0)&gt;0,IFERROR(SEARCH(DruidLand4,$T285,1),0)&gt;0),1,0)*IF($C285=1,1,0)*IF($C285=DQ$2,1,0)=0,0,1+COUNTIF(DQ$3:DQ284,"&gt;0"))</f>
        <v>0</v>
      </c>
      <c r="DR285">
        <f>IF(IF(OR(IFERROR(SEARCH("Druid",$T285,1),0)&gt;0,IFERROR(SEARCH(DruidLand1,$T285,1),0)&gt;0,IFERROR(SEARCH(DruidLand2,$T285,1),0)&gt;0,IFERROR(SEARCH(DruidLand3,$T285,1),0)&gt;0,IFERROR(SEARCH(DruidLand4,$T285,1),0)&gt;0),1,0)*IF($C285=1,1,0)*IF($C285=DR$2,1,0)=0,0,1+COUNTIF(DR$3:DR284,"&gt;0"))</f>
        <v>0</v>
      </c>
      <c r="DS285">
        <f>IF(IF(OR(IFERROR(SEARCH("Paladin",$T285,1),0)&gt;0,IFERROR(SEARCH(PaladinOath,$T285,1),0)&gt;0),1,0)*IF($C285=DS$2,1,0)=1,1+COUNTIF(DS$3:DS284,"&gt;0"),0)</f>
        <v>0</v>
      </c>
      <c r="DT285">
        <f>IF(IF(OR(IFERROR(SEARCH("Paladin",$T285,1),0)&gt;0,IFERROR(SEARCH(PaladinOath,$T285,1),0)&gt;0),1,0)*IF($C285=DT$2,1,0)=1,1+COUNTIF(DT$3:DT284,"&gt;0"),0)</f>
        <v>0</v>
      </c>
      <c r="DU285">
        <f>IF(IF(OR(IFERROR(SEARCH("Paladin",$T285,1),0)&gt;0,IFERROR(SEARCH(PaladinOath,$T285,1),0)&gt;0),1,0)*IF($C285=DU$2,1,0)=1,1+COUNTIF(DU$3:DU284,"&gt;0"),0)</f>
        <v>0</v>
      </c>
      <c r="DV285">
        <f>IF(IF(OR(IFERROR(SEARCH("Paladin",$T285,1),0)&gt;0,IFERROR(SEARCH(PaladinOath,$T285,1),0)&gt;0),1,0)*IF($C285=DV$2,1,0)=1,1+COUNTIF(DV$3:DV284,"&gt;0"),0)</f>
        <v>0</v>
      </c>
      <c r="DW285">
        <f>IF(IF(OR(IFERROR(SEARCH("Paladin",$T285,1),0)&gt;0,IFERROR(SEARCH(PaladinOath,$T285,1),0)&gt;0),1,0)*IF($C285=DW$2,1,0)=1,1+COUNTIF(DW$3:DW284,"&gt;0"),0)</f>
        <v>0</v>
      </c>
      <c r="DY285">
        <f t="shared" si="225"/>
        <v>1</v>
      </c>
      <c r="DZ285">
        <f>IF(DY285=0,0,1+MAX(DZ$3:$DZ284))</f>
        <v>283</v>
      </c>
      <c r="EB285">
        <f t="shared" si="239"/>
        <v>0</v>
      </c>
      <c r="EC285">
        <f>IF(EB285=0,0,1+COUNTIF(EC$3:EC284,"&gt;0"))</f>
        <v>0</v>
      </c>
      <c r="ED285" t="str">
        <f t="shared" si="267"/>
        <v/>
      </c>
      <c r="EE285" t="str">
        <f t="shared" si="240"/>
        <v/>
      </c>
      <c r="EG285">
        <f t="shared" si="241"/>
        <v>0</v>
      </c>
      <c r="EH285">
        <f>IF(EG285=0,0,1+COUNTIF(EH$3:EH284,"&gt;0"))</f>
        <v>0</v>
      </c>
      <c r="EI285" t="str">
        <f t="shared" si="268"/>
        <v/>
      </c>
      <c r="EJ285" t="str">
        <f t="shared" si="242"/>
        <v/>
      </c>
      <c r="EL285">
        <f t="shared" si="243"/>
        <v>0</v>
      </c>
      <c r="EM285">
        <f>IF(EL285=0,0,1+COUNTIF(EM$3:EM284,"&gt;0"))</f>
        <v>0</v>
      </c>
      <c r="EN285" t="str">
        <f t="shared" si="269"/>
        <v/>
      </c>
      <c r="EO285" t="str">
        <f t="shared" si="244"/>
        <v/>
      </c>
      <c r="EQ285">
        <f t="shared" si="245"/>
        <v>0</v>
      </c>
      <c r="ER285">
        <f>IF(EQ285=0,0,1+COUNTIF(ER$3:ER284,"&gt;0"))</f>
        <v>0</v>
      </c>
      <c r="ES285" t="str">
        <f t="shared" si="270"/>
        <v/>
      </c>
      <c r="ET285" t="str">
        <f t="shared" si="246"/>
        <v/>
      </c>
      <c r="EV285">
        <f t="shared" si="247"/>
        <v>0</v>
      </c>
      <c r="EW285">
        <f>IF(EV285=0,0,1+COUNTIF(EW$3:EW284,"&gt;0"))</f>
        <v>0</v>
      </c>
      <c r="EX285" t="str">
        <f t="shared" si="271"/>
        <v/>
      </c>
      <c r="EY285" t="str">
        <f t="shared" si="248"/>
        <v/>
      </c>
      <c r="FA285">
        <f t="shared" si="249"/>
        <v>0</v>
      </c>
      <c r="FB285">
        <f>IF(FA285=0,0,1+COUNTIF(FB$3:FB284,"&gt;0"))</f>
        <v>0</v>
      </c>
      <c r="FC285" t="str">
        <f t="shared" si="272"/>
        <v/>
      </c>
      <c r="FD285" t="str">
        <f t="shared" si="250"/>
        <v/>
      </c>
      <c r="FF285">
        <f t="shared" si="251"/>
        <v>0</v>
      </c>
      <c r="FG285">
        <f>IF(FF285=0,0,1+COUNTIF(FG$3:FG284,"&gt;0"))</f>
        <v>0</v>
      </c>
      <c r="FH285" t="str">
        <f t="shared" si="273"/>
        <v/>
      </c>
      <c r="FI285" t="str">
        <f t="shared" si="252"/>
        <v/>
      </c>
      <c r="FK285">
        <f t="shared" si="253"/>
        <v>0</v>
      </c>
      <c r="FL285">
        <f>IF(FK285=0,0,1+COUNTIF(FL$3:FL284,"&gt;0"))</f>
        <v>0</v>
      </c>
      <c r="FM285" t="str">
        <f t="shared" si="274"/>
        <v/>
      </c>
      <c r="FN285" t="str">
        <f t="shared" si="254"/>
        <v/>
      </c>
      <c r="FP285">
        <f t="shared" si="255"/>
        <v>0</v>
      </c>
      <c r="FQ285">
        <f>IF(FP285=0,0,1+COUNTIF(FQ$3:FQ284,"&gt;0"))</f>
        <v>0</v>
      </c>
      <c r="FR285" t="str">
        <f t="shared" si="275"/>
        <v/>
      </c>
      <c r="FS285" t="str">
        <f t="shared" si="256"/>
        <v/>
      </c>
    </row>
    <row r="286" spans="1:175" x14ac:dyDescent="0.25">
      <c r="A286" s="347">
        <f t="shared" si="276"/>
        <v>284</v>
      </c>
      <c r="B286" s="348" t="s">
        <v>2673</v>
      </c>
      <c r="C286" s="348" t="s">
        <v>5277</v>
      </c>
      <c r="D286" s="347">
        <v>0.5</v>
      </c>
      <c r="E286" s="627" t="s">
        <v>6952</v>
      </c>
      <c r="F286" s="346"/>
      <c r="G286" s="347" t="str">
        <f>""</f>
        <v/>
      </c>
      <c r="H286" s="347" t="s">
        <v>5912</v>
      </c>
      <c r="I286" s="347" t="s">
        <v>424</v>
      </c>
      <c r="J286" s="347" t="str">
        <f t="shared" si="226"/>
        <v/>
      </c>
      <c r="K286" s="347" t="s">
        <v>5278</v>
      </c>
      <c r="L286" s="611" t="str">
        <f t="shared" si="227"/>
        <v>V, S</v>
      </c>
      <c r="M286" s="347" t="s">
        <v>2373</v>
      </c>
      <c r="N286" s="347" t="s">
        <v>2387</v>
      </c>
      <c r="O286" s="347" t="s">
        <v>3034</v>
      </c>
      <c r="P286" s="346" t="str">
        <f>""</f>
        <v/>
      </c>
      <c r="Q286" s="347" t="s">
        <v>5273</v>
      </c>
      <c r="S286" s="346" t="s">
        <v>5812</v>
      </c>
      <c r="T286" s="346" t="str">
        <f t="shared" si="228"/>
        <v xml:space="preserve">Cleric, </v>
      </c>
      <c r="Z286" s="347" t="str">
        <f>$B286</f>
        <v>Sacred Flame</v>
      </c>
      <c r="AE286" t="str">
        <f>IF(IFERROR(MATCH($B286,temp!A$4:A$13,0),0)&gt;0,T08_Spells!AE$2,"")</f>
        <v/>
      </c>
      <c r="AF286" t="str">
        <f>IF(IFERROR(MATCH($B286,temp!B$4:B$13,0),0)&gt;0,T08_Spells!AF$2,"")</f>
        <v/>
      </c>
      <c r="AG286" t="str">
        <f>IF(IFERROR(MATCH($B286,temp!C$4:C$13,0),0)&gt;0,T08_Spells!AG$2,"")</f>
        <v/>
      </c>
      <c r="AH286" t="str">
        <f>IF(IFERROR(MATCH($B286,temp!D$4:D$13,0),0)&gt;0,T08_Spells!AH$2,"")</f>
        <v/>
      </c>
      <c r="AI286" t="str">
        <f>IF(IFERROR(MATCH($B286,temp!E$4:E$13,0),0)&gt;0,T08_Spells!AI$2,"")</f>
        <v/>
      </c>
      <c r="AJ286" t="str">
        <f>IF(IFERROR(MATCH($B286,temp!F$4:F$13,0),0)&gt;0,T08_Spells!AJ$2,"")</f>
        <v/>
      </c>
      <c r="AK286" t="str">
        <f>IF(IFERROR(MATCH($B286,temp!G$4:G$13,0),0)&gt;0,T08_Spells!AK$2,"")</f>
        <v/>
      </c>
      <c r="AL286" t="str">
        <f>IF(IFERROR(MATCH($B286,temp!H$4:H$13,0),0)&gt;0,T08_Spells!AL$2,"")</f>
        <v/>
      </c>
      <c r="AM286" t="str">
        <f>IF(IFERROR(MATCH($B286,temp!I$4:I$13,0),0)&gt;0,T08_Spells!AM$2,"")</f>
        <v/>
      </c>
      <c r="AN286" t="str">
        <f>IF(IFERROR(MATCH($B286,temp!J$4:J$13,0),0)&gt;0,T08_Spells!AN$2,"")</f>
        <v/>
      </c>
      <c r="AO286" t="str">
        <f>IF(IFERROR(MATCH($B286,temp!K$4:K$13,0),0)&gt;0,T08_Spells!AO$2,"")</f>
        <v/>
      </c>
      <c r="AP286" t="str">
        <f>IF(IFERROR(MATCH($B286,temp!L$4:L$13,0),0)&gt;0,T08_Spells!AP$2,"")</f>
        <v/>
      </c>
      <c r="AQ286" t="str">
        <f>IF(IFERROR(MATCH($B286,temp!M$4:M$13,0),0)&gt;0,T08_Spells!AQ$2,"")</f>
        <v/>
      </c>
      <c r="AR286" t="str">
        <f>IF(IFERROR(MATCH($B286,temp!N$4:N$13,0),0)&gt;0,T08_Spells!AR$2,"")</f>
        <v/>
      </c>
      <c r="AS286" t="str">
        <f>IF(IFERROR(MATCH($B286,temp!O$4:O$13,0),0)&gt;0,T08_Spells!AS$2,"")</f>
        <v/>
      </c>
      <c r="AT286" t="str">
        <f>IF(IFERROR(MATCH($B286,temp!P$4:P$13,0),0)&gt;0,T08_Spells!AT$2,"")</f>
        <v/>
      </c>
      <c r="AU286" t="str">
        <f>IF(IFERROR(MATCH($B286,temp!Q$4:Q$13,0),0)&gt;0,T08_Spells!AU$2,"")</f>
        <v/>
      </c>
      <c r="AV286" t="str">
        <f>IF(IFERROR(MATCH($B286,temp!R$4:R$13,0),0)&gt;0,T08_Spells!AV$2,"")</f>
        <v/>
      </c>
      <c r="AW286" t="str">
        <f>IF(IFERROR(MATCH($B286,temp!S$4:S$13,0),0)&gt;0,T08_Spells!AW$2,"")</f>
        <v/>
      </c>
      <c r="AX286" t="str">
        <f>IF(IFERROR(MATCH($B286,temp!T$4:T$13,0),0)&gt;0,T08_Spells!AX$2,"")</f>
        <v/>
      </c>
      <c r="AY286" t="str">
        <f>IF(IFERROR(MATCH($B286,temp!U$4:U$13,0),0)&gt;0,T08_Spells!AY$2,"")</f>
        <v/>
      </c>
      <c r="AZ286" t="str">
        <f>IF(IFERROR(MATCH($B286,temp!V$4:V$13,0),0)&gt;0,T08_Spells!AZ$2,"")</f>
        <v/>
      </c>
      <c r="BA286" t="str">
        <f>IF(IFERROR(MATCH($B286,temp!W$4:W$13,0),0)&gt;0,T08_Spells!BA$2,"")</f>
        <v/>
      </c>
      <c r="BC286">
        <f>IF(IFERROR(SEARCH("Ranger",$T286,1),0)&gt;0,1,0)*IF(RangerMaxSpellLevel&gt;=$C286,1,0)*IF(IFERROR(MATCH(B286,Character_Creation!$X$79:$X$382,0),0)&gt;0,0,1)</f>
        <v>0</v>
      </c>
      <c r="BD286">
        <f>IF(BC286=0,0,1+COUNTIF(BD$3:BD285,"&gt;0"))</f>
        <v>0</v>
      </c>
      <c r="BE286" t="str">
        <f t="shared" si="257"/>
        <v/>
      </c>
      <c r="BF286" t="str">
        <f t="shared" si="229"/>
        <v/>
      </c>
      <c r="BH286">
        <f>IF(IFERROR(SEARCH("Sorcerer",$T286,1),0)&gt;0,1,0)*IF(SorcererMaxSpellLevel&gt;=$C286,1,0)*IF(IFERROR(MATCH(B286,Character_Creation!$J$380:$J$394,0),0)&gt;0,0,1)</f>
        <v>0</v>
      </c>
      <c r="BI286">
        <f>IF(BH286=0,0,1+COUNTIF(BI$3:BI285,"&gt;0"))</f>
        <v>0</v>
      </c>
      <c r="BJ286" t="str">
        <f t="shared" si="258"/>
        <v/>
      </c>
      <c r="BK286" t="str">
        <f t="shared" si="230"/>
        <v/>
      </c>
      <c r="BM286">
        <f>IF(OR(IFERROR(SEARCH("Warlock",$T286,1),0)&gt;0,IFERROR(SEARCH(WarlockPatron,$T286,1),0)&gt;0),1,0)*IF(WarlockMaxSpellLevel&gt;=$C286,1,0)*IF(IFERROR(MATCH(B286,Character_Creation!$J$361:$J$375,0),0)&gt;0,0,1)</f>
        <v>0</v>
      </c>
      <c r="BN286">
        <f>IF(BM286=0,0,1+COUNTIF(BN$3:BN285,"&gt;0"))</f>
        <v>0</v>
      </c>
      <c r="BO286" t="str">
        <f t="shared" si="259"/>
        <v/>
      </c>
      <c r="BP286" t="str">
        <f t="shared" si="231"/>
        <v/>
      </c>
      <c r="BR286">
        <f>IF(IFERROR(SEARCH("Eldritch Knight",$T286,1),0)&gt;0,1,0)*IF(EldritchKnightMaxSpellLevel&gt;=$C286,1,0)*IF(IFERROR(MATCH($B286,Character_Creation!$J$350:$J$356,0),0)&gt;0,0,1)*IF(Character_Creation!$M$338&gt;0,1,0)</f>
        <v>0</v>
      </c>
      <c r="BS286">
        <f>IF(BR286=0,0,1+COUNTIF(BS$3:BS285,"&gt;0"))</f>
        <v>0</v>
      </c>
      <c r="BT286" t="str">
        <f t="shared" si="260"/>
        <v/>
      </c>
      <c r="BU286" t="str">
        <f t="shared" si="232"/>
        <v/>
      </c>
      <c r="BW286">
        <f>IF(IFERROR(SEARCH("Arcane Trickster",$T286,1),0)&gt;0,1,0)*IF(ArcaneTricksterMaxSpellLevel&gt;=$C286,1,0)*IF(IFERROR(MATCH($B286,Character_Creation!$J$350:$J$356,0),0)&gt;0,0,1)*IF(Character_Creation!$T$338&gt;0,1,0)</f>
        <v>0</v>
      </c>
      <c r="BX286">
        <f>IF(BW286=0,0,1+COUNTIF(BX$3:BX285,"&gt;0"))</f>
        <v>0</v>
      </c>
      <c r="BY286" t="str">
        <f t="shared" si="261"/>
        <v/>
      </c>
      <c r="BZ286" t="str">
        <f t="shared" si="233"/>
        <v/>
      </c>
      <c r="CB286">
        <f>IF(IFERROR(SEARCH("Wizard",$T286,1),0)&gt;0,1,0)*IF(C286&lt;=ArcaneTricksterMaxSpellLevel,1,0)*IF(IFERROR(MATCH($B286,Character_Creation!$J$350:$J$356,0),0)&gt;0,0,1)*IF(Character_Creation!$T$350&gt;0,1,0)</f>
        <v>0</v>
      </c>
      <c r="CC286">
        <f>IF(CB286=0,0,1+COUNTIF(CC$3:CC285,"&gt;0"))</f>
        <v>0</v>
      </c>
      <c r="CD286" t="str">
        <f t="shared" si="262"/>
        <v/>
      </c>
      <c r="CE286" t="str">
        <f t="shared" si="234"/>
        <v/>
      </c>
      <c r="CG286">
        <f>IF(IFERROR(SEARCH("Wizard",$T286,1),0)&gt;0,1,0)*IF($C286&lt;=EldritchKnightMaxSpellLevel,1,0)*IF(IFERROR(MATCH($B286,Character_Creation!$J$350:$J$356,0),0)&gt;0,0,1)*IF(Character_Creation!$M$350&gt;0,1,0)</f>
        <v>0</v>
      </c>
      <c r="CH286">
        <f>IF(CG286=0,0,1+COUNTIF(CH$3:CH285,"&gt;0"))</f>
        <v>0</v>
      </c>
      <c r="CI286" t="str">
        <f t="shared" si="263"/>
        <v/>
      </c>
      <c r="CJ286" t="str">
        <f t="shared" si="235"/>
        <v/>
      </c>
      <c r="CL286">
        <f>IF(IFERROR(SEARCH("Bard",$T286,1),0)&gt;0,1,0)*IF(BardMaxSpellLevel&gt;=$C286,1,0)*IF(IFERROR(MATCH(B286,Character_Creation!$C$341:$F$362,0),0)&gt;0,0,1)*IF(IFERROR(MATCH($B286,Character_Creation!$C$341:$C$362,0),0)&gt;0,0,1)</f>
        <v>0</v>
      </c>
      <c r="CM286">
        <f>IF(CL286=0,0,1+COUNTIF(CM$3:CM285,"&gt;0"))</f>
        <v>0</v>
      </c>
      <c r="CN286" t="str">
        <f t="shared" si="264"/>
        <v/>
      </c>
      <c r="CO286" t="str">
        <f t="shared" si="236"/>
        <v/>
      </c>
      <c r="CQ286">
        <f>IF(IFERROR(SEARCH("Wizard",$T286,1),0)&gt;0,1,0)*IF(WizardMaxSpellLevel&gt;=$C286,1,0)*IF(IFERROR(MATCH(B286,Character_Creation!$X$341:$X$400,0),0)&gt;0,0,1)*IF(SelectedWizardSpellLevel=$C286,1,0)</f>
        <v>0</v>
      </c>
      <c r="CR286">
        <f>IF(CQ286=0,0,1+COUNTIF(CR$3:CR285,"&gt;0"))</f>
        <v>0</v>
      </c>
      <c r="CS286" t="str">
        <f t="shared" si="265"/>
        <v/>
      </c>
      <c r="CT286" t="str">
        <f t="shared" si="237"/>
        <v/>
      </c>
      <c r="CV286">
        <f>IF(IFERROR(MATCH($B286,Character_Creation!$C$341:$C$362,0),0)&gt;0,0,1)*IF(OR(C286="Cantrip",C286&lt;=BardMaxSpellLevel),1,0)*IF(IFERROR(MATCH($B286,Character_Creation!$C$367:$C$374,0),0)&gt;0,0,1)</f>
        <v>1</v>
      </c>
      <c r="CW286">
        <f>IF(CV286=0,0,1+COUNTIF(CW$3:CW285,"&gt;0"))</f>
        <v>20</v>
      </c>
      <c r="CX286" t="str">
        <f t="shared" si="266"/>
        <v/>
      </c>
      <c r="CY286" t="str">
        <f t="shared" si="238"/>
        <v/>
      </c>
      <c r="DA286">
        <f>IF(IF(OR(IFERROR(SEARCH("Cleric",$T286,1),0)&gt;0,IFERROR(SEARCH(DivineDomain&amp;",",$T286,1),0)&gt;0),1,0)*IF($C286=DA$2,1,0)=1,1+COUNTIF(DA$3:DA285,"&gt;0"),0)</f>
        <v>0</v>
      </c>
      <c r="DB286">
        <f>IF(IF(OR(IFERROR(SEARCH("Cleric",$T286,1),0)&gt;0,IFERROR(SEARCH(DivineDomain&amp;",",$T286,1),0)&gt;0),1,0)*IF($C286=DB$2,1,0)=1,1+COUNTIF(DB$3:DB285,"&gt;0"),0)</f>
        <v>0</v>
      </c>
      <c r="DC286">
        <f>IF(IF(OR(IFERROR(SEARCH("Cleric",$T286,1),0)&gt;0,IFERROR(SEARCH(DivineDomain&amp;",",$T286,1),0)&gt;0),1,0)*IF($C286=DC$2,1,0)=1,1+COUNTIF(DC$3:DC285,"&gt;0"),0)</f>
        <v>0</v>
      </c>
      <c r="DD286">
        <f>IF(IF(OR(IFERROR(SEARCH("Cleric",$T286,1),0)&gt;0,IFERROR(SEARCH(DivineDomain&amp;",",$T286,1),0)&gt;0),1,0)*IF($C286=DD$2,1,0)=1,1+COUNTIF(DD$3:DD285,"&gt;0"),0)</f>
        <v>0</v>
      </c>
      <c r="DE286">
        <f>IF(IF(OR(IFERROR(SEARCH("Cleric",$T286,1),0)&gt;0,IFERROR(SEARCH(DivineDomain&amp;",",$T286,1),0)&gt;0),1,0)*IF($C286=DE$2,1,0)=1,1+COUNTIF(DE$3:DE285,"&gt;0"),0)</f>
        <v>0</v>
      </c>
      <c r="DF286">
        <f>IF(IF(OR(IFERROR(SEARCH("Cleric",$T286,1),0)&gt;0,IFERROR(SEARCH(DivineDomain&amp;",",$T286,1),0)&gt;0),1,0)*IF($C286=DF$2,1,0)=1,1+COUNTIF(DF$3:DF285,"&gt;0"),0)</f>
        <v>0</v>
      </c>
      <c r="DG286">
        <f>IF(IF(OR(IFERROR(SEARCH("Cleric",$T286,1),0)&gt;0,IFERROR(SEARCH(DivineDomain&amp;",",$T286,1),0)&gt;0),1,0)*IF($C286=DG$2,1,0)=1,1+COUNTIF(DG$3:DG285,"&gt;0"),0)</f>
        <v>0</v>
      </c>
      <c r="DH286">
        <f>IF(IF(OR(IFERROR(SEARCH("Cleric",$T286,1),0)&gt;0,IFERROR(SEARCH(DivineDomain&amp;",",$T286,1),0)&gt;0),1,0)*IF($C286=DH$2,1,0)=1,1+COUNTIF(DH$3:DH285,"&gt;0"),0)</f>
        <v>0</v>
      </c>
      <c r="DI286">
        <f>IF(IF(OR(IFERROR(SEARCH("Cleric",$T286,1),0)&gt;0,IFERROR(SEARCH(DivineDomain&amp;",",$T286,1),0)&gt;0),1,0)*IF($C286=DI$2,1,0)=1,1+COUNTIF(DI$3:DI285,"&gt;0"),0)</f>
        <v>0</v>
      </c>
      <c r="DJ286">
        <f>IF(IF(OR(IFERROR(SEARCH("Druid",$T286,1),0)&gt;0,IFERROR(SEARCH(DruidLand1,$T286,1),0)&gt;0,IFERROR(SEARCH(DruidLand2,$T286,1),0)&gt;0,IFERROR(SEARCH(DruidLand3,$T286,1),0)&gt;0,IFERROR(SEARCH(DruidLand4,$T286,1),0)&gt;0),1,0)*IF($C286=1,1,0)*IF($C286=DJ$2,1,0)=0,0,1+COUNTIF(DJ$3:DJ285,"&gt;0"))</f>
        <v>0</v>
      </c>
      <c r="DK286">
        <f>IF(IF(OR(IFERROR(SEARCH("Druid",$T286,1),0)&gt;0,IFERROR(SEARCH(DruidLand1,$T286,1),0)&gt;0,IFERROR(SEARCH(DruidLand2,$T286,1),0)&gt;0,IFERROR(SEARCH(DruidLand3,$T286,1),0)&gt;0,IFERROR(SEARCH(DruidLand4,$T286,1),0)&gt;0),1,0)*IF($C286=1,1,0)*IF($C286=DK$2,1,0)=0,0,1+COUNTIF(DK$3:DK285,"&gt;0"))</f>
        <v>0</v>
      </c>
      <c r="DL286">
        <f>IF(IF(OR(IFERROR(SEARCH("Druid",$T286,1),0)&gt;0,IFERROR(SEARCH(DruidLand1,$T286,1),0)&gt;0,IFERROR(SEARCH(DruidLand2,$T286,1),0)&gt;0,IFERROR(SEARCH(DruidLand3,$T286,1),0)&gt;0,IFERROR(SEARCH(DruidLand4,$T286,1),0)&gt;0),1,0)*IF($C286=1,1,0)*IF($C286=DL$2,1,0)=0,0,1+COUNTIF(DL$3:DL285,"&gt;0"))</f>
        <v>0</v>
      </c>
      <c r="DM286">
        <f>IF(IF(OR(IFERROR(SEARCH("Druid",$T286,1),0)&gt;0,IFERROR(SEARCH(DruidLand1,$T286,1),0)&gt;0,IFERROR(SEARCH(DruidLand2,$T286,1),0)&gt;0,IFERROR(SEARCH(DruidLand3,$T286,1),0)&gt;0,IFERROR(SEARCH(DruidLand4,$T286,1),0)&gt;0),1,0)*IF($C286=1,1,0)*IF($C286=DM$2,1,0)=0,0,1+COUNTIF(DM$3:DM285,"&gt;0"))</f>
        <v>0</v>
      </c>
      <c r="DN286">
        <f>IF(IF(OR(IFERROR(SEARCH("Druid",$T286,1),0)&gt;0,IFERROR(SEARCH(DruidLand1,$T286,1),0)&gt;0,IFERROR(SEARCH(DruidLand2,$T286,1),0)&gt;0,IFERROR(SEARCH(DruidLand3,$T286,1),0)&gt;0,IFERROR(SEARCH(DruidLand4,$T286,1),0)&gt;0),1,0)*IF($C286=1,1,0)*IF($C286=DN$2,1,0)=0,0,1+COUNTIF(DN$3:DN285,"&gt;0"))</f>
        <v>0</v>
      </c>
      <c r="DO286">
        <f>IF(IF(OR(IFERROR(SEARCH("Druid",$T286,1),0)&gt;0,IFERROR(SEARCH(DruidLand1,$T286,1),0)&gt;0,IFERROR(SEARCH(DruidLand2,$T286,1),0)&gt;0,IFERROR(SEARCH(DruidLand3,$T286,1),0)&gt;0,IFERROR(SEARCH(DruidLand4,$T286,1),0)&gt;0),1,0)*IF($C286=1,1,0)*IF($C286=DO$2,1,0)=0,0,1+COUNTIF(DO$3:DO285,"&gt;0"))</f>
        <v>0</v>
      </c>
      <c r="DP286">
        <f>IF(IF(OR(IFERROR(SEARCH("Druid",$T286,1),0)&gt;0,IFERROR(SEARCH(DruidLand1,$T286,1),0)&gt;0,IFERROR(SEARCH(DruidLand2,$T286,1),0)&gt;0,IFERROR(SEARCH(DruidLand3,$T286,1),0)&gt;0,IFERROR(SEARCH(DruidLand4,$T286,1),0)&gt;0),1,0)*IF($C286=1,1,0)*IF($C286=DP$2,1,0)=0,0,1+COUNTIF(DP$3:DP285,"&gt;0"))</f>
        <v>0</v>
      </c>
      <c r="DQ286">
        <f>IF(IF(OR(IFERROR(SEARCH("Druid",$T286,1),0)&gt;0,IFERROR(SEARCH(DruidLand1,$T286,1),0)&gt;0,IFERROR(SEARCH(DruidLand2,$T286,1),0)&gt;0,IFERROR(SEARCH(DruidLand3,$T286,1),0)&gt;0,IFERROR(SEARCH(DruidLand4,$T286,1),0)&gt;0),1,0)*IF($C286=1,1,0)*IF($C286=DQ$2,1,0)=0,0,1+COUNTIF(DQ$3:DQ285,"&gt;0"))</f>
        <v>0</v>
      </c>
      <c r="DR286">
        <f>IF(IF(OR(IFERROR(SEARCH("Druid",$T286,1),0)&gt;0,IFERROR(SEARCH(DruidLand1,$T286,1),0)&gt;0,IFERROR(SEARCH(DruidLand2,$T286,1),0)&gt;0,IFERROR(SEARCH(DruidLand3,$T286,1),0)&gt;0,IFERROR(SEARCH(DruidLand4,$T286,1),0)&gt;0),1,0)*IF($C286=1,1,0)*IF($C286=DR$2,1,0)=0,0,1+COUNTIF(DR$3:DR285,"&gt;0"))</f>
        <v>0</v>
      </c>
      <c r="DS286">
        <f>IF(IF(OR(IFERROR(SEARCH("Paladin",$T286,1),0)&gt;0,IFERROR(SEARCH(PaladinOath,$T286,1),0)&gt;0),1,0)*IF($C286=DS$2,1,0)=1,1+COUNTIF(DS$3:DS285,"&gt;0"),0)</f>
        <v>0</v>
      </c>
      <c r="DT286">
        <f>IF(IF(OR(IFERROR(SEARCH("Paladin",$T286,1),0)&gt;0,IFERROR(SEARCH(PaladinOath,$T286,1),0)&gt;0),1,0)*IF($C286=DT$2,1,0)=1,1+COUNTIF(DT$3:DT285,"&gt;0"),0)</f>
        <v>0</v>
      </c>
      <c r="DU286">
        <f>IF(IF(OR(IFERROR(SEARCH("Paladin",$T286,1),0)&gt;0,IFERROR(SEARCH(PaladinOath,$T286,1),0)&gt;0),1,0)*IF($C286=DU$2,1,0)=1,1+COUNTIF(DU$3:DU285,"&gt;0"),0)</f>
        <v>0</v>
      </c>
      <c r="DV286">
        <f>IF(IF(OR(IFERROR(SEARCH("Paladin",$T286,1),0)&gt;0,IFERROR(SEARCH(PaladinOath,$T286,1),0)&gt;0),1,0)*IF($C286=DV$2,1,0)=1,1+COUNTIF(DV$3:DV285,"&gt;0"),0)</f>
        <v>0</v>
      </c>
      <c r="DW286">
        <f>IF(IF(OR(IFERROR(SEARCH("Paladin",$T286,1),0)&gt;0,IFERROR(SEARCH(PaladinOath,$T286,1),0)&gt;0),1,0)*IF($C286=DW$2,1,0)=1,1+COUNTIF(DW$3:DW285,"&gt;0"),0)</f>
        <v>0</v>
      </c>
      <c r="DY286">
        <f t="shared" si="225"/>
        <v>1</v>
      </c>
      <c r="DZ286">
        <f>IF(DY286=0,0,1+MAX(DZ$3:$DZ285))</f>
        <v>284</v>
      </c>
      <c r="EB286">
        <f t="shared" si="239"/>
        <v>0</v>
      </c>
      <c r="EC286">
        <f>IF(EB286=0,0,1+COUNTIF(EC$3:EC285,"&gt;0"))</f>
        <v>0</v>
      </c>
      <c r="ED286" t="str">
        <f t="shared" si="267"/>
        <v/>
      </c>
      <c r="EE286" t="str">
        <f t="shared" si="240"/>
        <v/>
      </c>
      <c r="EG286">
        <f t="shared" si="241"/>
        <v>1</v>
      </c>
      <c r="EH286">
        <f>IF(EG286=0,0,1+COUNTIF(EH$3:EH285,"&gt;0"))</f>
        <v>4</v>
      </c>
      <c r="EI286" t="str">
        <f t="shared" si="268"/>
        <v/>
      </c>
      <c r="EJ286" t="str">
        <f t="shared" si="242"/>
        <v/>
      </c>
      <c r="EL286">
        <f t="shared" si="243"/>
        <v>0</v>
      </c>
      <c r="EM286">
        <f>IF(EL286=0,0,1+COUNTIF(EM$3:EM285,"&gt;0"))</f>
        <v>0</v>
      </c>
      <c r="EN286" t="str">
        <f t="shared" si="269"/>
        <v/>
      </c>
      <c r="EO286" t="str">
        <f t="shared" si="244"/>
        <v/>
      </c>
      <c r="EQ286">
        <f t="shared" si="245"/>
        <v>0</v>
      </c>
      <c r="ER286">
        <f>IF(EQ286=0,0,1+COUNTIF(ER$3:ER285,"&gt;0"))</f>
        <v>0</v>
      </c>
      <c r="ES286" t="str">
        <f t="shared" si="270"/>
        <v/>
      </c>
      <c r="ET286" t="str">
        <f t="shared" si="246"/>
        <v/>
      </c>
      <c r="EV286">
        <f t="shared" si="247"/>
        <v>0</v>
      </c>
      <c r="EW286">
        <f>IF(EV286=0,0,1+COUNTIF(EW$3:EW285,"&gt;0"))</f>
        <v>0</v>
      </c>
      <c r="EX286" t="str">
        <f t="shared" si="271"/>
        <v/>
      </c>
      <c r="EY286" t="str">
        <f t="shared" si="248"/>
        <v/>
      </c>
      <c r="FA286">
        <f t="shared" si="249"/>
        <v>0</v>
      </c>
      <c r="FB286">
        <f>IF(FA286=0,0,1+COUNTIF(FB$3:FB285,"&gt;0"))</f>
        <v>0</v>
      </c>
      <c r="FC286" t="str">
        <f t="shared" si="272"/>
        <v/>
      </c>
      <c r="FD286" t="str">
        <f t="shared" si="250"/>
        <v/>
      </c>
      <c r="FF286">
        <f t="shared" si="251"/>
        <v>0</v>
      </c>
      <c r="FG286">
        <f>IF(FF286=0,0,1+COUNTIF(FG$3:FG285,"&gt;0"))</f>
        <v>0</v>
      </c>
      <c r="FH286" t="str">
        <f t="shared" si="273"/>
        <v/>
      </c>
      <c r="FI286" t="str">
        <f t="shared" si="252"/>
        <v/>
      </c>
      <c r="FK286">
        <f t="shared" si="253"/>
        <v>0</v>
      </c>
      <c r="FL286">
        <f>IF(FK286=0,0,1+COUNTIF(FL$3:FL285,"&gt;0"))</f>
        <v>0</v>
      </c>
      <c r="FM286" t="str">
        <f t="shared" si="274"/>
        <v/>
      </c>
      <c r="FN286" t="str">
        <f t="shared" si="254"/>
        <v/>
      </c>
      <c r="FP286">
        <f t="shared" si="255"/>
        <v>0</v>
      </c>
      <c r="FQ286">
        <f>IF(FP286=0,0,1+COUNTIF(FQ$3:FQ285,"&gt;0"))</f>
        <v>0</v>
      </c>
      <c r="FR286" t="str">
        <f t="shared" si="275"/>
        <v/>
      </c>
      <c r="FS286" t="str">
        <f t="shared" si="256"/>
        <v/>
      </c>
    </row>
    <row r="287" spans="1:175" x14ac:dyDescent="0.25">
      <c r="A287" s="347">
        <f t="shared" si="276"/>
        <v>285</v>
      </c>
      <c r="B287" s="348" t="s">
        <v>2674</v>
      </c>
      <c r="C287" s="348">
        <v>1</v>
      </c>
      <c r="D287" s="347">
        <v>1</v>
      </c>
      <c r="E287" s="627" t="s">
        <v>6952</v>
      </c>
      <c r="F287" s="346"/>
      <c r="G287" s="347" t="str">
        <f>""</f>
        <v/>
      </c>
      <c r="H287" s="347" t="s">
        <v>5918</v>
      </c>
      <c r="I287" s="347" t="s">
        <v>5060</v>
      </c>
      <c r="J287" s="347" t="str">
        <f t="shared" si="226"/>
        <v/>
      </c>
      <c r="K287" s="347" t="s">
        <v>5288</v>
      </c>
      <c r="L287" s="611" t="str">
        <f t="shared" si="227"/>
        <v>V, S, M, a small silver mirror</v>
      </c>
      <c r="M287" s="347" t="s">
        <v>2373</v>
      </c>
      <c r="N287" s="347" t="s">
        <v>2387</v>
      </c>
      <c r="O287" s="347" t="s">
        <v>1244</v>
      </c>
      <c r="P287" s="346" t="s">
        <v>5469</v>
      </c>
      <c r="Q287" s="347" t="s">
        <v>5270</v>
      </c>
      <c r="S287" s="346" t="s">
        <v>5470</v>
      </c>
      <c r="T287" s="346" t="str">
        <f t="shared" si="228"/>
        <v xml:space="preserve">Cleric, Devotion, </v>
      </c>
      <c r="Z287" s="347" t="str">
        <f>$B287</f>
        <v>Sanctuary</v>
      </c>
      <c r="AE287" t="str">
        <f>IF(IFERROR(MATCH($B287,temp!A$4:A$13,0),0)&gt;0,T08_Spells!AE$2,"")</f>
        <v>Devotion</v>
      </c>
      <c r="AF287" t="str">
        <f>IF(IFERROR(MATCH($B287,temp!B$4:B$13,0),0)&gt;0,T08_Spells!AF$2,"")</f>
        <v/>
      </c>
      <c r="AG287" t="str">
        <f>IF(IFERROR(MATCH($B287,temp!C$4:C$13,0),0)&gt;0,T08_Spells!AG$2,"")</f>
        <v/>
      </c>
      <c r="AH287" t="str">
        <f>IF(IFERROR(MATCH($B287,temp!D$4:D$13,0),0)&gt;0,T08_Spells!AH$2,"")</f>
        <v/>
      </c>
      <c r="AI287" t="str">
        <f>IF(IFERROR(MATCH($B287,temp!E$4:E$13,0),0)&gt;0,T08_Spells!AI$2,"")</f>
        <v/>
      </c>
      <c r="AJ287" t="str">
        <f>IF(IFERROR(MATCH($B287,temp!F$4:F$13,0),0)&gt;0,T08_Spells!AJ$2,"")</f>
        <v/>
      </c>
      <c r="AK287" t="str">
        <f>IF(IFERROR(MATCH($B287,temp!G$4:G$13,0),0)&gt;0,T08_Spells!AK$2,"")</f>
        <v/>
      </c>
      <c r="AL287" t="str">
        <f>IF(IFERROR(MATCH($B287,temp!H$4:H$13,0),0)&gt;0,T08_Spells!AL$2,"")</f>
        <v/>
      </c>
      <c r="AM287" t="str">
        <f>IF(IFERROR(MATCH($B287,temp!I$4:I$13,0),0)&gt;0,T08_Spells!AM$2,"")</f>
        <v/>
      </c>
      <c r="AN287" t="str">
        <f>IF(IFERROR(MATCH($B287,temp!J$4:J$13,0),0)&gt;0,T08_Spells!AN$2,"")</f>
        <v/>
      </c>
      <c r="AO287" t="str">
        <f>IF(IFERROR(MATCH($B287,temp!K$4:K$13,0),0)&gt;0,T08_Spells!AO$2,"")</f>
        <v/>
      </c>
      <c r="AP287" t="str">
        <f>IF(IFERROR(MATCH($B287,temp!L$4:L$13,0),0)&gt;0,T08_Spells!AP$2,"")</f>
        <v/>
      </c>
      <c r="AQ287" t="str">
        <f>IF(IFERROR(MATCH($B287,temp!M$4:M$13,0),0)&gt;0,T08_Spells!AQ$2,"")</f>
        <v/>
      </c>
      <c r="AR287" t="str">
        <f>IF(IFERROR(MATCH($B287,temp!N$4:N$13,0),0)&gt;0,T08_Spells!AR$2,"")</f>
        <v/>
      </c>
      <c r="AS287" t="str">
        <f>IF(IFERROR(MATCH($B287,temp!O$4:O$13,0),0)&gt;0,T08_Spells!AS$2,"")</f>
        <v/>
      </c>
      <c r="AT287" t="str">
        <f>IF(IFERROR(MATCH($B287,temp!P$4:P$13,0),0)&gt;0,T08_Spells!AT$2,"")</f>
        <v/>
      </c>
      <c r="AU287" t="str">
        <f>IF(IFERROR(MATCH($B287,temp!Q$4:Q$13,0),0)&gt;0,T08_Spells!AU$2,"")</f>
        <v/>
      </c>
      <c r="AV287" t="str">
        <f>IF(IFERROR(MATCH($B287,temp!R$4:R$13,0),0)&gt;0,T08_Spells!AV$2,"")</f>
        <v/>
      </c>
      <c r="AW287" t="str">
        <f>IF(IFERROR(MATCH($B287,temp!S$4:S$13,0),0)&gt;0,T08_Spells!AW$2,"")</f>
        <v/>
      </c>
      <c r="AX287" t="str">
        <f>IF(IFERROR(MATCH($B287,temp!T$4:T$13,0),0)&gt;0,T08_Spells!AX$2,"")</f>
        <v/>
      </c>
      <c r="AY287" t="str">
        <f>IF(IFERROR(MATCH($B287,temp!U$4:U$13,0),0)&gt;0,T08_Spells!AY$2,"")</f>
        <v/>
      </c>
      <c r="AZ287" t="str">
        <f>IF(IFERROR(MATCH($B287,temp!V$4:V$13,0),0)&gt;0,T08_Spells!AZ$2,"")</f>
        <v/>
      </c>
      <c r="BA287" t="str">
        <f>IF(IFERROR(MATCH($B287,temp!W$4:W$13,0),0)&gt;0,T08_Spells!BA$2,"")</f>
        <v/>
      </c>
      <c r="BC287">
        <f>IF(IFERROR(SEARCH("Ranger",$T287,1),0)&gt;0,1,0)*IF(RangerMaxSpellLevel&gt;=$C287,1,0)*IF(IFERROR(MATCH(B287,Character_Creation!$X$79:$X$382,0),0)&gt;0,0,1)</f>
        <v>0</v>
      </c>
      <c r="BD287">
        <f>IF(BC287=0,0,1+COUNTIF(BD$3:BD286,"&gt;0"))</f>
        <v>0</v>
      </c>
      <c r="BE287" t="str">
        <f t="shared" si="257"/>
        <v/>
      </c>
      <c r="BF287" t="str">
        <f t="shared" si="229"/>
        <v/>
      </c>
      <c r="BH287">
        <f>IF(IFERROR(SEARCH("Sorcerer",$T287,1),0)&gt;0,1,0)*IF(SorcererMaxSpellLevel&gt;=$C287,1,0)*IF(IFERROR(MATCH(B287,Character_Creation!$J$380:$J$394,0),0)&gt;0,0,1)</f>
        <v>0</v>
      </c>
      <c r="BI287">
        <f>IF(BH287=0,0,1+COUNTIF(BI$3:BI286,"&gt;0"))</f>
        <v>0</v>
      </c>
      <c r="BJ287" t="str">
        <f t="shared" si="258"/>
        <v/>
      </c>
      <c r="BK287" t="str">
        <f t="shared" si="230"/>
        <v/>
      </c>
      <c r="BM287">
        <f>IF(OR(IFERROR(SEARCH("Warlock",$T287,1),0)&gt;0,IFERROR(SEARCH(WarlockPatron,$T287,1),0)&gt;0),1,0)*IF(WarlockMaxSpellLevel&gt;=$C287,1,0)*IF(IFERROR(MATCH(B287,Character_Creation!$J$361:$J$375,0),0)&gt;0,0,1)</f>
        <v>0</v>
      </c>
      <c r="BN287">
        <f>IF(BM287=0,0,1+COUNTIF(BN$3:BN286,"&gt;0"))</f>
        <v>0</v>
      </c>
      <c r="BO287" t="str">
        <f t="shared" si="259"/>
        <v/>
      </c>
      <c r="BP287" t="str">
        <f t="shared" si="231"/>
        <v/>
      </c>
      <c r="BR287">
        <f>IF(IFERROR(SEARCH("Eldritch Knight",$T287,1),0)&gt;0,1,0)*IF(EldritchKnightMaxSpellLevel&gt;=$C287,1,0)*IF(IFERROR(MATCH($B287,Character_Creation!$J$350:$J$356,0),0)&gt;0,0,1)*IF(Character_Creation!$M$338&gt;0,1,0)</f>
        <v>0</v>
      </c>
      <c r="BS287">
        <f>IF(BR287=0,0,1+COUNTIF(BS$3:BS286,"&gt;0"))</f>
        <v>0</v>
      </c>
      <c r="BT287" t="str">
        <f t="shared" si="260"/>
        <v/>
      </c>
      <c r="BU287" t="str">
        <f t="shared" si="232"/>
        <v/>
      </c>
      <c r="BW287">
        <f>IF(IFERROR(SEARCH("Arcane Trickster",$T287,1),0)&gt;0,1,0)*IF(ArcaneTricksterMaxSpellLevel&gt;=$C287,1,0)*IF(IFERROR(MATCH($B287,Character_Creation!$J$350:$J$356,0),0)&gt;0,0,1)*IF(Character_Creation!$T$338&gt;0,1,0)</f>
        <v>0</v>
      </c>
      <c r="BX287">
        <f>IF(BW287=0,0,1+COUNTIF(BX$3:BX286,"&gt;0"))</f>
        <v>0</v>
      </c>
      <c r="BY287" t="str">
        <f t="shared" si="261"/>
        <v/>
      </c>
      <c r="BZ287" t="str">
        <f t="shared" si="233"/>
        <v/>
      </c>
      <c r="CB287">
        <f>IF(IFERROR(SEARCH("Wizard",$T287,1),0)&gt;0,1,0)*IF(C287&lt;=ArcaneTricksterMaxSpellLevel,1,0)*IF(IFERROR(MATCH($B287,Character_Creation!$J$350:$J$356,0),0)&gt;0,0,1)*IF(Character_Creation!$T$350&gt;0,1,0)</f>
        <v>0</v>
      </c>
      <c r="CC287">
        <f>IF(CB287=0,0,1+COUNTIF(CC$3:CC286,"&gt;0"))</f>
        <v>0</v>
      </c>
      <c r="CD287" t="str">
        <f t="shared" si="262"/>
        <v/>
      </c>
      <c r="CE287" t="str">
        <f t="shared" si="234"/>
        <v/>
      </c>
      <c r="CG287">
        <f>IF(IFERROR(SEARCH("Wizard",$T287,1),0)&gt;0,1,0)*IF($C287&lt;=EldritchKnightMaxSpellLevel,1,0)*IF(IFERROR(MATCH($B287,Character_Creation!$J$350:$J$356,0),0)&gt;0,0,1)*IF(Character_Creation!$M$350&gt;0,1,0)</f>
        <v>0</v>
      </c>
      <c r="CH287">
        <f>IF(CG287=0,0,1+COUNTIF(CH$3:CH286,"&gt;0"))</f>
        <v>0</v>
      </c>
      <c r="CI287" t="str">
        <f t="shared" si="263"/>
        <v/>
      </c>
      <c r="CJ287" t="str">
        <f t="shared" si="235"/>
        <v/>
      </c>
      <c r="CL287">
        <f>IF(IFERROR(SEARCH("Bard",$T287,1),0)&gt;0,1,0)*IF(BardMaxSpellLevel&gt;=$C287,1,0)*IF(IFERROR(MATCH(B287,Character_Creation!$C$341:$F$362,0),0)&gt;0,0,1)*IF(IFERROR(MATCH($B287,Character_Creation!$C$341:$C$362,0),0)&gt;0,0,1)</f>
        <v>0</v>
      </c>
      <c r="CM287">
        <f>IF(CL287=0,0,1+COUNTIF(CM$3:CM286,"&gt;0"))</f>
        <v>0</v>
      </c>
      <c r="CN287" t="str">
        <f t="shared" si="264"/>
        <v/>
      </c>
      <c r="CO287" t="str">
        <f t="shared" si="236"/>
        <v/>
      </c>
      <c r="CQ287">
        <f>IF(IFERROR(SEARCH("Wizard",$T287,1),0)&gt;0,1,0)*IF(WizardMaxSpellLevel&gt;=$C287,1,0)*IF(IFERROR(MATCH(B287,Character_Creation!$X$341:$X$400,0),0)&gt;0,0,1)*IF(SelectedWizardSpellLevel=$C287,1,0)</f>
        <v>0</v>
      </c>
      <c r="CR287">
        <f>IF(CQ287=0,0,1+COUNTIF(CR$3:CR286,"&gt;0"))</f>
        <v>0</v>
      </c>
      <c r="CS287" t="str">
        <f t="shared" si="265"/>
        <v/>
      </c>
      <c r="CT287" t="str">
        <f t="shared" si="237"/>
        <v/>
      </c>
      <c r="CV287">
        <f>IF(IFERROR(MATCH($B287,Character_Creation!$C$341:$C$362,0),0)&gt;0,0,1)*IF(OR(C287="Cantrip",C287&lt;=BardMaxSpellLevel),1,0)*IF(IFERROR(MATCH($B287,Character_Creation!$C$367:$C$374,0),0)&gt;0,0,1)</f>
        <v>0</v>
      </c>
      <c r="CW287">
        <f>IF(CV287=0,0,1+COUNTIF(CW$3:CW286,"&gt;0"))</f>
        <v>0</v>
      </c>
      <c r="CX287" t="str">
        <f t="shared" si="266"/>
        <v/>
      </c>
      <c r="CY287" t="str">
        <f t="shared" si="238"/>
        <v/>
      </c>
      <c r="DA287">
        <f>IF(IF(OR(IFERROR(SEARCH("Cleric",$T287,1),0)&gt;0,IFERROR(SEARCH(DivineDomain&amp;",",$T287,1),0)&gt;0),1,0)*IF($C287=DA$2,1,0)=1,1+COUNTIF(DA$3:DA286,"&gt;0"),0)</f>
        <v>14</v>
      </c>
      <c r="DB287">
        <f>IF(IF(OR(IFERROR(SEARCH("Cleric",$T287,1),0)&gt;0,IFERROR(SEARCH(DivineDomain&amp;",",$T287,1),0)&gt;0),1,0)*IF($C287=DB$2,1,0)=1,1+COUNTIF(DB$3:DB286,"&gt;0"),0)</f>
        <v>0</v>
      </c>
      <c r="DC287">
        <f>IF(IF(OR(IFERROR(SEARCH("Cleric",$T287,1),0)&gt;0,IFERROR(SEARCH(DivineDomain&amp;",",$T287,1),0)&gt;0),1,0)*IF($C287=DC$2,1,0)=1,1+COUNTIF(DC$3:DC286,"&gt;0"),0)</f>
        <v>0</v>
      </c>
      <c r="DD287">
        <f>IF(IF(OR(IFERROR(SEARCH("Cleric",$T287,1),0)&gt;0,IFERROR(SEARCH(DivineDomain&amp;",",$T287,1),0)&gt;0),1,0)*IF($C287=DD$2,1,0)=1,1+COUNTIF(DD$3:DD286,"&gt;0"),0)</f>
        <v>0</v>
      </c>
      <c r="DE287">
        <f>IF(IF(OR(IFERROR(SEARCH("Cleric",$T287,1),0)&gt;0,IFERROR(SEARCH(DivineDomain&amp;",",$T287,1),0)&gt;0),1,0)*IF($C287=DE$2,1,0)=1,1+COUNTIF(DE$3:DE286,"&gt;0"),0)</f>
        <v>0</v>
      </c>
      <c r="DF287">
        <f>IF(IF(OR(IFERROR(SEARCH("Cleric",$T287,1),0)&gt;0,IFERROR(SEARCH(DivineDomain&amp;",",$T287,1),0)&gt;0),1,0)*IF($C287=DF$2,1,0)=1,1+COUNTIF(DF$3:DF286,"&gt;0"),0)</f>
        <v>0</v>
      </c>
      <c r="DG287">
        <f>IF(IF(OR(IFERROR(SEARCH("Cleric",$T287,1),0)&gt;0,IFERROR(SEARCH(DivineDomain&amp;",",$T287,1),0)&gt;0),1,0)*IF($C287=DG$2,1,0)=1,1+COUNTIF(DG$3:DG286,"&gt;0"),0)</f>
        <v>0</v>
      </c>
      <c r="DH287">
        <f>IF(IF(OR(IFERROR(SEARCH("Cleric",$T287,1),0)&gt;0,IFERROR(SEARCH(DivineDomain&amp;",",$T287,1),0)&gt;0),1,0)*IF($C287=DH$2,1,0)=1,1+COUNTIF(DH$3:DH286,"&gt;0"),0)</f>
        <v>0</v>
      </c>
      <c r="DI287">
        <f>IF(IF(OR(IFERROR(SEARCH("Cleric",$T287,1),0)&gt;0,IFERROR(SEARCH(DivineDomain&amp;",",$T287,1),0)&gt;0),1,0)*IF($C287=DI$2,1,0)=1,1+COUNTIF(DI$3:DI286,"&gt;0"),0)</f>
        <v>0</v>
      </c>
      <c r="DJ287">
        <f>IF(IF(OR(IFERROR(SEARCH("Druid",$T287,1),0)&gt;0,IFERROR(SEARCH(DruidLand1,$T287,1),0)&gt;0,IFERROR(SEARCH(DruidLand2,$T287,1),0)&gt;0,IFERROR(SEARCH(DruidLand3,$T287,1),0)&gt;0,IFERROR(SEARCH(DruidLand4,$T287,1),0)&gt;0),1,0)*IF($C287=1,1,0)*IF($C287=DJ$2,1,0)=0,0,1+COUNTIF(DJ$3:DJ286,"&gt;0"))</f>
        <v>0</v>
      </c>
      <c r="DK287">
        <f>IF(IF(OR(IFERROR(SEARCH("Druid",$T287,1),0)&gt;0,IFERROR(SEARCH(DruidLand1,$T287,1),0)&gt;0,IFERROR(SEARCH(DruidLand2,$T287,1),0)&gt;0,IFERROR(SEARCH(DruidLand3,$T287,1),0)&gt;0,IFERROR(SEARCH(DruidLand4,$T287,1),0)&gt;0),1,0)*IF($C287=1,1,0)*IF($C287=DK$2,1,0)=0,0,1+COUNTIF(DK$3:DK286,"&gt;0"))</f>
        <v>0</v>
      </c>
      <c r="DL287">
        <f>IF(IF(OR(IFERROR(SEARCH("Druid",$T287,1),0)&gt;0,IFERROR(SEARCH(DruidLand1,$T287,1),0)&gt;0,IFERROR(SEARCH(DruidLand2,$T287,1),0)&gt;0,IFERROR(SEARCH(DruidLand3,$T287,1),0)&gt;0,IFERROR(SEARCH(DruidLand4,$T287,1),0)&gt;0),1,0)*IF($C287=1,1,0)*IF($C287=DL$2,1,0)=0,0,1+COUNTIF(DL$3:DL286,"&gt;0"))</f>
        <v>0</v>
      </c>
      <c r="DM287">
        <f>IF(IF(OR(IFERROR(SEARCH("Druid",$T287,1),0)&gt;0,IFERROR(SEARCH(DruidLand1,$T287,1),0)&gt;0,IFERROR(SEARCH(DruidLand2,$T287,1),0)&gt;0,IFERROR(SEARCH(DruidLand3,$T287,1),0)&gt;0,IFERROR(SEARCH(DruidLand4,$T287,1),0)&gt;0),1,0)*IF($C287=1,1,0)*IF($C287=DM$2,1,0)=0,0,1+COUNTIF(DM$3:DM286,"&gt;0"))</f>
        <v>0</v>
      </c>
      <c r="DN287">
        <f>IF(IF(OR(IFERROR(SEARCH("Druid",$T287,1),0)&gt;0,IFERROR(SEARCH(DruidLand1,$T287,1),0)&gt;0,IFERROR(SEARCH(DruidLand2,$T287,1),0)&gt;0,IFERROR(SEARCH(DruidLand3,$T287,1),0)&gt;0,IFERROR(SEARCH(DruidLand4,$T287,1),0)&gt;0),1,0)*IF($C287=1,1,0)*IF($C287=DN$2,1,0)=0,0,1+COUNTIF(DN$3:DN286,"&gt;0"))</f>
        <v>0</v>
      </c>
      <c r="DO287">
        <f>IF(IF(OR(IFERROR(SEARCH("Druid",$T287,1),0)&gt;0,IFERROR(SEARCH(DruidLand1,$T287,1),0)&gt;0,IFERROR(SEARCH(DruidLand2,$T287,1),0)&gt;0,IFERROR(SEARCH(DruidLand3,$T287,1),0)&gt;0,IFERROR(SEARCH(DruidLand4,$T287,1),0)&gt;0),1,0)*IF($C287=1,1,0)*IF($C287=DO$2,1,0)=0,0,1+COUNTIF(DO$3:DO286,"&gt;0"))</f>
        <v>0</v>
      </c>
      <c r="DP287">
        <f>IF(IF(OR(IFERROR(SEARCH("Druid",$T287,1),0)&gt;0,IFERROR(SEARCH(DruidLand1,$T287,1),0)&gt;0,IFERROR(SEARCH(DruidLand2,$T287,1),0)&gt;0,IFERROR(SEARCH(DruidLand3,$T287,1),0)&gt;0,IFERROR(SEARCH(DruidLand4,$T287,1),0)&gt;0),1,0)*IF($C287=1,1,0)*IF($C287=DP$2,1,0)=0,0,1+COUNTIF(DP$3:DP286,"&gt;0"))</f>
        <v>0</v>
      </c>
      <c r="DQ287">
        <f>IF(IF(OR(IFERROR(SEARCH("Druid",$T287,1),0)&gt;0,IFERROR(SEARCH(DruidLand1,$T287,1),0)&gt;0,IFERROR(SEARCH(DruidLand2,$T287,1),0)&gt;0,IFERROR(SEARCH(DruidLand3,$T287,1),0)&gt;0,IFERROR(SEARCH(DruidLand4,$T287,1),0)&gt;0),1,0)*IF($C287=1,1,0)*IF($C287=DQ$2,1,0)=0,0,1+COUNTIF(DQ$3:DQ286,"&gt;0"))</f>
        <v>0</v>
      </c>
      <c r="DR287">
        <f>IF(IF(OR(IFERROR(SEARCH("Druid",$T287,1),0)&gt;0,IFERROR(SEARCH(DruidLand1,$T287,1),0)&gt;0,IFERROR(SEARCH(DruidLand2,$T287,1),0)&gt;0,IFERROR(SEARCH(DruidLand3,$T287,1),0)&gt;0,IFERROR(SEARCH(DruidLand4,$T287,1),0)&gt;0),1,0)*IF($C287=1,1,0)*IF($C287=DR$2,1,0)=0,0,1+COUNTIF(DR$3:DR286,"&gt;0"))</f>
        <v>0</v>
      </c>
      <c r="DS287">
        <f>IF(IF(OR(IFERROR(SEARCH("Paladin",$T287,1),0)&gt;0,IFERROR(SEARCH(PaladinOath,$T287,1),0)&gt;0),1,0)*IF($C287=DS$2,1,0)=1,1+COUNTIF(DS$3:DS286,"&gt;0"),0)</f>
        <v>0</v>
      </c>
      <c r="DT287">
        <f>IF(IF(OR(IFERROR(SEARCH("Paladin",$T287,1),0)&gt;0,IFERROR(SEARCH(PaladinOath,$T287,1),0)&gt;0),1,0)*IF($C287=DT$2,1,0)=1,1+COUNTIF(DT$3:DT286,"&gt;0"),0)</f>
        <v>0</v>
      </c>
      <c r="DU287">
        <f>IF(IF(OR(IFERROR(SEARCH("Paladin",$T287,1),0)&gt;0,IFERROR(SEARCH(PaladinOath,$T287,1),0)&gt;0),1,0)*IF($C287=DU$2,1,0)=1,1+COUNTIF(DU$3:DU286,"&gt;0"),0)</f>
        <v>0</v>
      </c>
      <c r="DV287">
        <f>IF(IF(OR(IFERROR(SEARCH("Paladin",$T287,1),0)&gt;0,IFERROR(SEARCH(PaladinOath,$T287,1),0)&gt;0),1,0)*IF($C287=DV$2,1,0)=1,1+COUNTIF(DV$3:DV286,"&gt;0"),0)</f>
        <v>0</v>
      </c>
      <c r="DW287">
        <f>IF(IF(OR(IFERROR(SEARCH("Paladin",$T287,1),0)&gt;0,IFERROR(SEARCH(PaladinOath,$T287,1),0)&gt;0),1,0)*IF($C287=DW$2,1,0)=1,1+COUNTIF(DW$3:DW286,"&gt;0"),0)</f>
        <v>0</v>
      </c>
      <c r="DY287">
        <f t="shared" si="225"/>
        <v>1</v>
      </c>
      <c r="DZ287">
        <f>IF(DY287=0,0,1+MAX(DZ$3:$DZ286))</f>
        <v>285</v>
      </c>
      <c r="EB287">
        <f t="shared" si="239"/>
        <v>0</v>
      </c>
      <c r="EC287">
        <f>IF(EB287=0,0,1+COUNTIF(EC$3:EC286,"&gt;0"))</f>
        <v>0</v>
      </c>
      <c r="ED287" t="str">
        <f t="shared" si="267"/>
        <v/>
      </c>
      <c r="EE287" t="str">
        <f t="shared" si="240"/>
        <v/>
      </c>
      <c r="EG287">
        <f t="shared" si="241"/>
        <v>0</v>
      </c>
      <c r="EH287">
        <f>IF(EG287=0,0,1+COUNTIF(EH$3:EH286,"&gt;0"))</f>
        <v>0</v>
      </c>
      <c r="EI287" t="str">
        <f t="shared" si="268"/>
        <v/>
      </c>
      <c r="EJ287" t="str">
        <f t="shared" si="242"/>
        <v/>
      </c>
      <c r="EL287">
        <f t="shared" si="243"/>
        <v>0</v>
      </c>
      <c r="EM287">
        <f>IF(EL287=0,0,1+COUNTIF(EM$3:EM286,"&gt;0"))</f>
        <v>0</v>
      </c>
      <c r="EN287" t="str">
        <f t="shared" si="269"/>
        <v/>
      </c>
      <c r="EO287" t="str">
        <f t="shared" si="244"/>
        <v/>
      </c>
      <c r="EQ287">
        <f t="shared" si="245"/>
        <v>0</v>
      </c>
      <c r="ER287">
        <f>IF(EQ287=0,0,1+COUNTIF(ER$3:ER286,"&gt;0"))</f>
        <v>0</v>
      </c>
      <c r="ES287" t="str">
        <f t="shared" si="270"/>
        <v/>
      </c>
      <c r="ET287" t="str">
        <f t="shared" si="246"/>
        <v/>
      </c>
      <c r="EV287">
        <f t="shared" si="247"/>
        <v>0</v>
      </c>
      <c r="EW287">
        <f>IF(EV287=0,0,1+COUNTIF(EW$3:EW286,"&gt;0"))</f>
        <v>0</v>
      </c>
      <c r="EX287" t="str">
        <f t="shared" si="271"/>
        <v/>
      </c>
      <c r="EY287" t="str">
        <f t="shared" si="248"/>
        <v/>
      </c>
      <c r="FA287">
        <f t="shared" si="249"/>
        <v>0</v>
      </c>
      <c r="FB287">
        <f>IF(FA287=0,0,1+COUNTIF(FB$3:FB286,"&gt;0"))</f>
        <v>0</v>
      </c>
      <c r="FC287" t="str">
        <f t="shared" si="272"/>
        <v/>
      </c>
      <c r="FD287" t="str">
        <f t="shared" si="250"/>
        <v/>
      </c>
      <c r="FF287">
        <f t="shared" si="251"/>
        <v>0</v>
      </c>
      <c r="FG287">
        <f>IF(FF287=0,0,1+COUNTIF(FG$3:FG286,"&gt;0"))</f>
        <v>0</v>
      </c>
      <c r="FH287" t="str">
        <f t="shared" si="273"/>
        <v/>
      </c>
      <c r="FI287" t="str">
        <f t="shared" si="252"/>
        <v/>
      </c>
      <c r="FK287">
        <f t="shared" si="253"/>
        <v>0</v>
      </c>
      <c r="FL287">
        <f>IF(FK287=0,0,1+COUNTIF(FL$3:FL286,"&gt;0"))</f>
        <v>0</v>
      </c>
      <c r="FM287" t="str">
        <f t="shared" si="274"/>
        <v/>
      </c>
      <c r="FN287" t="str">
        <f t="shared" si="254"/>
        <v/>
      </c>
      <c r="FP287">
        <f t="shared" si="255"/>
        <v>0</v>
      </c>
      <c r="FQ287">
        <f>IF(FP287=0,0,1+COUNTIF(FQ$3:FQ286,"&gt;0"))</f>
        <v>0</v>
      </c>
      <c r="FR287" t="str">
        <f t="shared" si="275"/>
        <v/>
      </c>
      <c r="FS287" t="str">
        <f t="shared" si="256"/>
        <v/>
      </c>
    </row>
    <row r="288" spans="1:175" x14ac:dyDescent="0.25">
      <c r="A288" s="347">
        <f t="shared" si="276"/>
        <v>286</v>
      </c>
      <c r="B288" s="348" t="s">
        <v>2675</v>
      </c>
      <c r="C288" s="348">
        <v>2</v>
      </c>
      <c r="D288" s="347">
        <v>2</v>
      </c>
      <c r="E288" s="627" t="s">
        <v>6952</v>
      </c>
      <c r="F288" s="346"/>
      <c r="G288" s="347" t="str">
        <f>""</f>
        <v/>
      </c>
      <c r="H288" s="347" t="s">
        <v>5912</v>
      </c>
      <c r="I288" s="347" t="s">
        <v>5290</v>
      </c>
      <c r="J288" s="347" t="str">
        <f t="shared" si="226"/>
        <v/>
      </c>
      <c r="K288" s="347" t="s">
        <v>5278</v>
      </c>
      <c r="L288" s="611" t="str">
        <f t="shared" si="227"/>
        <v>V, S</v>
      </c>
      <c r="M288" s="347" t="s">
        <v>2373</v>
      </c>
      <c r="N288" s="347" t="s">
        <v>2387</v>
      </c>
      <c r="O288" s="347" t="s">
        <v>3034</v>
      </c>
      <c r="P288" s="346" t="str">
        <f>""</f>
        <v/>
      </c>
      <c r="Q288" s="347" t="s">
        <v>5273</v>
      </c>
      <c r="S288" s="346" t="s">
        <v>5813</v>
      </c>
      <c r="T288" s="346" t="str">
        <f t="shared" si="228"/>
        <v xml:space="preserve">Sorcerer, Eldritch Knight, Wizard, Archfiend, Light, </v>
      </c>
      <c r="X288" s="347" t="str">
        <f>$B288</f>
        <v>Scorching Ray</v>
      </c>
      <c r="AB288" s="542" t="str">
        <f>AD288</f>
        <v>Scorching Ray</v>
      </c>
      <c r="AD288" s="347" t="str">
        <f>$B288</f>
        <v>Scorching Ray</v>
      </c>
      <c r="AE288" t="str">
        <f>IF(IFERROR(MATCH($B288,temp!A$4:A$13,0),0)&gt;0,T08_Spells!AE$2,"")</f>
        <v/>
      </c>
      <c r="AF288" t="str">
        <f>IF(IFERROR(MATCH($B288,temp!B$4:B$13,0),0)&gt;0,T08_Spells!AF$2,"")</f>
        <v/>
      </c>
      <c r="AG288" t="str">
        <f>IF(IFERROR(MATCH($B288,temp!C$4:C$13,0),0)&gt;0,T08_Spells!AG$2,"")</f>
        <v/>
      </c>
      <c r="AH288" t="str">
        <f>IF(IFERROR(MATCH($B288,temp!D$4:D$13,0),0)&gt;0,T08_Spells!AH$2,"")</f>
        <v/>
      </c>
      <c r="AI288" t="str">
        <f>IF(IFERROR(MATCH($B288,temp!E$4:E$13,0),0)&gt;0,T08_Spells!AI$2,"")</f>
        <v/>
      </c>
      <c r="AJ288" t="str">
        <f>IF(IFERROR(MATCH($B288,temp!F$4:F$13,0),0)&gt;0,T08_Spells!AJ$2,"")</f>
        <v>Archfiend</v>
      </c>
      <c r="AK288" t="str">
        <f>IF(IFERROR(MATCH($B288,temp!G$4:G$13,0),0)&gt;0,T08_Spells!AK$2,"")</f>
        <v/>
      </c>
      <c r="AL288" t="str">
        <f>IF(IFERROR(MATCH($B288,temp!H$4:H$13,0),0)&gt;0,T08_Spells!AL$2,"")</f>
        <v/>
      </c>
      <c r="AM288" t="str">
        <f>IF(IFERROR(MATCH($B288,temp!I$4:I$13,0),0)&gt;0,T08_Spells!AM$2,"")</f>
        <v/>
      </c>
      <c r="AN288" t="str">
        <f>IF(IFERROR(MATCH($B288,temp!J$4:J$13,0),0)&gt;0,T08_Spells!AN$2,"")</f>
        <v/>
      </c>
      <c r="AO288" t="str">
        <f>IF(IFERROR(MATCH($B288,temp!K$4:K$13,0),0)&gt;0,T08_Spells!AO$2,"")</f>
        <v/>
      </c>
      <c r="AP288" t="str">
        <f>IF(IFERROR(MATCH($B288,temp!L$4:L$13,0),0)&gt;0,T08_Spells!AP$2,"")</f>
        <v/>
      </c>
      <c r="AQ288" t="str">
        <f>IF(IFERROR(MATCH($B288,temp!M$4:M$13,0),0)&gt;0,T08_Spells!AQ$2,"")</f>
        <v/>
      </c>
      <c r="AR288" t="str">
        <f>IF(IFERROR(MATCH($B288,temp!N$4:N$13,0),0)&gt;0,T08_Spells!AR$2,"")</f>
        <v/>
      </c>
      <c r="AS288" t="str">
        <f>IF(IFERROR(MATCH($B288,temp!O$4:O$13,0),0)&gt;0,T08_Spells!AS$2,"")</f>
        <v/>
      </c>
      <c r="AT288" t="str">
        <f>IF(IFERROR(MATCH($B288,temp!P$4:P$13,0),0)&gt;0,T08_Spells!AT$2,"")</f>
        <v/>
      </c>
      <c r="AU288" t="str">
        <f>IF(IFERROR(MATCH($B288,temp!Q$4:Q$13,0),0)&gt;0,T08_Spells!AU$2,"")</f>
        <v/>
      </c>
      <c r="AV288" t="str">
        <f>IF(IFERROR(MATCH($B288,temp!R$4:R$13,0),0)&gt;0,T08_Spells!AV$2,"")</f>
        <v>Light</v>
      </c>
      <c r="AW288" t="str">
        <f>IF(IFERROR(MATCH($B288,temp!S$4:S$13,0),0)&gt;0,T08_Spells!AW$2,"")</f>
        <v/>
      </c>
      <c r="AX288" t="str">
        <f>IF(IFERROR(MATCH($B288,temp!T$4:T$13,0),0)&gt;0,T08_Spells!AX$2,"")</f>
        <v/>
      </c>
      <c r="AY288" t="str">
        <f>IF(IFERROR(MATCH($B288,temp!U$4:U$13,0),0)&gt;0,T08_Spells!AY$2,"")</f>
        <v/>
      </c>
      <c r="AZ288" t="str">
        <f>IF(IFERROR(MATCH($B288,temp!V$4:V$13,0),0)&gt;0,T08_Spells!AZ$2,"")</f>
        <v/>
      </c>
      <c r="BA288" t="str">
        <f>IF(IFERROR(MATCH($B288,temp!W$4:W$13,0),0)&gt;0,T08_Spells!BA$2,"")</f>
        <v/>
      </c>
      <c r="BC288">
        <f>IF(IFERROR(SEARCH("Ranger",$T288,1),0)&gt;0,1,0)*IF(RangerMaxSpellLevel&gt;=$C288,1,0)*IF(IFERROR(MATCH(B288,Character_Creation!$X$79:$X$382,0),0)&gt;0,0,1)</f>
        <v>0</v>
      </c>
      <c r="BD288">
        <f>IF(BC288=0,0,1+COUNTIF(BD$3:BD287,"&gt;0"))</f>
        <v>0</v>
      </c>
      <c r="BE288" t="str">
        <f t="shared" si="257"/>
        <v/>
      </c>
      <c r="BF288" t="str">
        <f t="shared" si="229"/>
        <v/>
      </c>
      <c r="BH288">
        <f>IF(IFERROR(SEARCH("Sorcerer",$T288,1),0)&gt;0,1,0)*IF(SorcererMaxSpellLevel&gt;=$C288,1,0)*IF(IFERROR(MATCH(B288,Character_Creation!$J$380:$J$394,0),0)&gt;0,0,1)</f>
        <v>0</v>
      </c>
      <c r="BI288">
        <f>IF(BH288=0,0,1+COUNTIF(BI$3:BI287,"&gt;0"))</f>
        <v>0</v>
      </c>
      <c r="BJ288" t="str">
        <f t="shared" si="258"/>
        <v/>
      </c>
      <c r="BK288" t="str">
        <f t="shared" si="230"/>
        <v/>
      </c>
      <c r="BM288">
        <f>IF(OR(IFERROR(SEARCH("Warlock",$T288,1),0)&gt;0,IFERROR(SEARCH(WarlockPatron,$T288,1),0)&gt;0),1,0)*IF(WarlockMaxSpellLevel&gt;=$C288,1,0)*IF(IFERROR(MATCH(B288,Character_Creation!$J$361:$J$375,0),0)&gt;0,0,1)</f>
        <v>0</v>
      </c>
      <c r="BN288">
        <f>IF(BM288=0,0,1+COUNTIF(BN$3:BN287,"&gt;0"))</f>
        <v>0</v>
      </c>
      <c r="BO288" t="str">
        <f t="shared" si="259"/>
        <v/>
      </c>
      <c r="BP288" t="str">
        <f t="shared" si="231"/>
        <v/>
      </c>
      <c r="BR288">
        <f>IF(IFERROR(SEARCH("Eldritch Knight",$T288,1),0)&gt;0,1,0)*IF(EldritchKnightMaxSpellLevel&gt;=$C288,1,0)*IF(IFERROR(MATCH($B288,Character_Creation!$J$350:$J$356,0),0)&gt;0,0,1)*IF(Character_Creation!$M$338&gt;0,1,0)</f>
        <v>0</v>
      </c>
      <c r="BS288">
        <f>IF(BR288=0,0,1+COUNTIF(BS$3:BS287,"&gt;0"))</f>
        <v>0</v>
      </c>
      <c r="BT288" t="str">
        <f t="shared" si="260"/>
        <v/>
      </c>
      <c r="BU288" t="str">
        <f t="shared" si="232"/>
        <v/>
      </c>
      <c r="BW288">
        <f>IF(IFERROR(SEARCH("Arcane Trickster",$T288,1),0)&gt;0,1,0)*IF(ArcaneTricksterMaxSpellLevel&gt;=$C288,1,0)*IF(IFERROR(MATCH($B288,Character_Creation!$J$350:$J$356,0),0)&gt;0,0,1)*IF(Character_Creation!$T$338&gt;0,1,0)</f>
        <v>0</v>
      </c>
      <c r="BX288">
        <f>IF(BW288=0,0,1+COUNTIF(BX$3:BX287,"&gt;0"))</f>
        <v>0</v>
      </c>
      <c r="BY288" t="str">
        <f t="shared" si="261"/>
        <v/>
      </c>
      <c r="BZ288" t="str">
        <f t="shared" si="233"/>
        <v/>
      </c>
      <c r="CB288">
        <f>IF(IFERROR(SEARCH("Wizard",$T288,1),0)&gt;0,1,0)*IF(C288&lt;=ArcaneTricksterMaxSpellLevel,1,0)*IF(IFERROR(MATCH($B288,Character_Creation!$J$350:$J$356,0),0)&gt;0,0,1)*IF(Character_Creation!$T$350&gt;0,1,0)</f>
        <v>0</v>
      </c>
      <c r="CC288">
        <f>IF(CB288=0,0,1+COUNTIF(CC$3:CC287,"&gt;0"))</f>
        <v>0</v>
      </c>
      <c r="CD288" t="str">
        <f t="shared" si="262"/>
        <v/>
      </c>
      <c r="CE288" t="str">
        <f t="shared" si="234"/>
        <v/>
      </c>
      <c r="CG288">
        <f>IF(IFERROR(SEARCH("Wizard",$T288,1),0)&gt;0,1,0)*IF($C288&lt;=EldritchKnightMaxSpellLevel,1,0)*IF(IFERROR(MATCH($B288,Character_Creation!$J$350:$J$356,0),0)&gt;0,0,1)*IF(Character_Creation!$M$350&gt;0,1,0)</f>
        <v>1</v>
      </c>
      <c r="CH288">
        <f>IF(CG288=0,0,1+COUNTIF(CH$3:CH287,"&gt;0"))</f>
        <v>50</v>
      </c>
      <c r="CI288" t="str">
        <f t="shared" si="263"/>
        <v/>
      </c>
      <c r="CJ288" t="str">
        <f t="shared" si="235"/>
        <v/>
      </c>
      <c r="CL288">
        <f>IF(IFERROR(SEARCH("Bard",$T288,1),0)&gt;0,1,0)*IF(BardMaxSpellLevel&gt;=$C288,1,0)*IF(IFERROR(MATCH(B288,Character_Creation!$C$341:$F$362,0),0)&gt;0,0,1)*IF(IFERROR(MATCH($B288,Character_Creation!$C$341:$C$362,0),0)&gt;0,0,1)</f>
        <v>0</v>
      </c>
      <c r="CM288">
        <f>IF(CL288=0,0,1+COUNTIF(CM$3:CM287,"&gt;0"))</f>
        <v>0</v>
      </c>
      <c r="CN288" t="str">
        <f t="shared" si="264"/>
        <v/>
      </c>
      <c r="CO288" t="str">
        <f t="shared" si="236"/>
        <v/>
      </c>
      <c r="CQ288">
        <f>IF(IFERROR(SEARCH("Wizard",$T288,1),0)&gt;0,1,0)*IF(WizardMaxSpellLevel&gt;=$C288,1,0)*IF(IFERROR(MATCH(B288,Character_Creation!$X$341:$X$400,0),0)&gt;0,0,1)*IF(SelectedWizardSpellLevel=$C288,1,0)</f>
        <v>0</v>
      </c>
      <c r="CR288">
        <f>IF(CQ288=0,0,1+COUNTIF(CR$3:CR287,"&gt;0"))</f>
        <v>0</v>
      </c>
      <c r="CS288" t="str">
        <f t="shared" si="265"/>
        <v/>
      </c>
      <c r="CT288" t="str">
        <f t="shared" si="237"/>
        <v/>
      </c>
      <c r="CV288">
        <f>IF(IFERROR(MATCH($B288,Character_Creation!$C$341:$C$362,0),0)&gt;0,0,1)*IF(OR(C288="Cantrip",C288&lt;=BardMaxSpellLevel),1,0)*IF(IFERROR(MATCH($B288,Character_Creation!$C$367:$C$374,0),0)&gt;0,0,1)</f>
        <v>0</v>
      </c>
      <c r="CW288">
        <f>IF(CV288=0,0,1+COUNTIF(CW$3:CW287,"&gt;0"))</f>
        <v>0</v>
      </c>
      <c r="CX288" t="str">
        <f t="shared" si="266"/>
        <v/>
      </c>
      <c r="CY288" t="str">
        <f t="shared" si="238"/>
        <v/>
      </c>
      <c r="DA288">
        <f>IF(IF(OR(IFERROR(SEARCH("Cleric",$T288,1),0)&gt;0,IFERROR(SEARCH(DivineDomain&amp;",",$T288,1),0)&gt;0),1,0)*IF($C288=DA$2,1,0)=1,1+COUNTIF(DA$3:DA287,"&gt;0"),0)</f>
        <v>0</v>
      </c>
      <c r="DB288">
        <f>IF(IF(OR(IFERROR(SEARCH("Cleric",$T288,1),0)&gt;0,IFERROR(SEARCH(DivineDomain&amp;",",$T288,1),0)&gt;0),1,0)*IF($C288=DB$2,1,0)=1,1+COUNTIF(DB$3:DB287,"&gt;0"),0)</f>
        <v>0</v>
      </c>
      <c r="DC288">
        <f>IF(IF(OR(IFERROR(SEARCH("Cleric",$T288,1),0)&gt;0,IFERROR(SEARCH(DivineDomain&amp;",",$T288,1),0)&gt;0),1,0)*IF($C288=DC$2,1,0)=1,1+COUNTIF(DC$3:DC287,"&gt;0"),0)</f>
        <v>0</v>
      </c>
      <c r="DD288">
        <f>IF(IF(OR(IFERROR(SEARCH("Cleric",$T288,1),0)&gt;0,IFERROR(SEARCH(DivineDomain&amp;",",$T288,1),0)&gt;0),1,0)*IF($C288=DD$2,1,0)=1,1+COUNTIF(DD$3:DD287,"&gt;0"),0)</f>
        <v>0</v>
      </c>
      <c r="DE288">
        <f>IF(IF(OR(IFERROR(SEARCH("Cleric",$T288,1),0)&gt;0,IFERROR(SEARCH(DivineDomain&amp;",",$T288,1),0)&gt;0),1,0)*IF($C288=DE$2,1,0)=1,1+COUNTIF(DE$3:DE287,"&gt;0"),0)</f>
        <v>0</v>
      </c>
      <c r="DF288">
        <f>IF(IF(OR(IFERROR(SEARCH("Cleric",$T288,1),0)&gt;0,IFERROR(SEARCH(DivineDomain&amp;",",$T288,1),0)&gt;0),1,0)*IF($C288=DF$2,1,0)=1,1+COUNTIF(DF$3:DF287,"&gt;0"),0)</f>
        <v>0</v>
      </c>
      <c r="DG288">
        <f>IF(IF(OR(IFERROR(SEARCH("Cleric",$T288,1),0)&gt;0,IFERROR(SEARCH(DivineDomain&amp;",",$T288,1),0)&gt;0),1,0)*IF($C288=DG$2,1,0)=1,1+COUNTIF(DG$3:DG287,"&gt;0"),0)</f>
        <v>0</v>
      </c>
      <c r="DH288">
        <f>IF(IF(OR(IFERROR(SEARCH("Cleric",$T288,1),0)&gt;0,IFERROR(SEARCH(DivineDomain&amp;",",$T288,1),0)&gt;0),1,0)*IF($C288=DH$2,1,0)=1,1+COUNTIF(DH$3:DH287,"&gt;0"),0)</f>
        <v>0</v>
      </c>
      <c r="DI288">
        <f>IF(IF(OR(IFERROR(SEARCH("Cleric",$T288,1),0)&gt;0,IFERROR(SEARCH(DivineDomain&amp;",",$T288,1),0)&gt;0),1,0)*IF($C288=DI$2,1,0)=1,1+COUNTIF(DI$3:DI287,"&gt;0"),0)</f>
        <v>0</v>
      </c>
      <c r="DJ288">
        <f>IF(IF(OR(IFERROR(SEARCH("Druid",$T288,1),0)&gt;0,IFERROR(SEARCH(DruidLand1,$T288,1),0)&gt;0,IFERROR(SEARCH(DruidLand2,$T288,1),0)&gt;0,IFERROR(SEARCH(DruidLand3,$T288,1),0)&gt;0,IFERROR(SEARCH(DruidLand4,$T288,1),0)&gt;0),1,0)*IF($C288=1,1,0)*IF($C288=DJ$2,1,0)=0,0,1+COUNTIF(DJ$3:DJ287,"&gt;0"))</f>
        <v>0</v>
      </c>
      <c r="DK288">
        <f>IF(IF(OR(IFERROR(SEARCH("Druid",$T288,1),0)&gt;0,IFERROR(SEARCH(DruidLand1,$T288,1),0)&gt;0,IFERROR(SEARCH(DruidLand2,$T288,1),0)&gt;0,IFERROR(SEARCH(DruidLand3,$T288,1),0)&gt;0,IFERROR(SEARCH(DruidLand4,$T288,1),0)&gt;0),1,0)*IF($C288=1,1,0)*IF($C288=DK$2,1,0)=0,0,1+COUNTIF(DK$3:DK287,"&gt;0"))</f>
        <v>0</v>
      </c>
      <c r="DL288">
        <f>IF(IF(OR(IFERROR(SEARCH("Druid",$T288,1),0)&gt;0,IFERROR(SEARCH(DruidLand1,$T288,1),0)&gt;0,IFERROR(SEARCH(DruidLand2,$T288,1),0)&gt;0,IFERROR(SEARCH(DruidLand3,$T288,1),0)&gt;0,IFERROR(SEARCH(DruidLand4,$T288,1),0)&gt;0),1,0)*IF($C288=1,1,0)*IF($C288=DL$2,1,0)=0,0,1+COUNTIF(DL$3:DL287,"&gt;0"))</f>
        <v>0</v>
      </c>
      <c r="DM288">
        <f>IF(IF(OR(IFERROR(SEARCH("Druid",$T288,1),0)&gt;0,IFERROR(SEARCH(DruidLand1,$T288,1),0)&gt;0,IFERROR(SEARCH(DruidLand2,$T288,1),0)&gt;0,IFERROR(SEARCH(DruidLand3,$T288,1),0)&gt;0,IFERROR(SEARCH(DruidLand4,$T288,1),0)&gt;0),1,0)*IF($C288=1,1,0)*IF($C288=DM$2,1,0)=0,0,1+COUNTIF(DM$3:DM287,"&gt;0"))</f>
        <v>0</v>
      </c>
      <c r="DN288">
        <f>IF(IF(OR(IFERROR(SEARCH("Druid",$T288,1),0)&gt;0,IFERROR(SEARCH(DruidLand1,$T288,1),0)&gt;0,IFERROR(SEARCH(DruidLand2,$T288,1),0)&gt;0,IFERROR(SEARCH(DruidLand3,$T288,1),0)&gt;0,IFERROR(SEARCH(DruidLand4,$T288,1),0)&gt;0),1,0)*IF($C288=1,1,0)*IF($C288=DN$2,1,0)=0,0,1+COUNTIF(DN$3:DN287,"&gt;0"))</f>
        <v>0</v>
      </c>
      <c r="DO288">
        <f>IF(IF(OR(IFERROR(SEARCH("Druid",$T288,1),0)&gt;0,IFERROR(SEARCH(DruidLand1,$T288,1),0)&gt;0,IFERROR(SEARCH(DruidLand2,$T288,1),0)&gt;0,IFERROR(SEARCH(DruidLand3,$T288,1),0)&gt;0,IFERROR(SEARCH(DruidLand4,$T288,1),0)&gt;0),1,0)*IF($C288=1,1,0)*IF($C288=DO$2,1,0)=0,0,1+COUNTIF(DO$3:DO287,"&gt;0"))</f>
        <v>0</v>
      </c>
      <c r="DP288">
        <f>IF(IF(OR(IFERROR(SEARCH("Druid",$T288,1),0)&gt;0,IFERROR(SEARCH(DruidLand1,$T288,1),0)&gt;0,IFERROR(SEARCH(DruidLand2,$T288,1),0)&gt;0,IFERROR(SEARCH(DruidLand3,$T288,1),0)&gt;0,IFERROR(SEARCH(DruidLand4,$T288,1),0)&gt;0),1,0)*IF($C288=1,1,0)*IF($C288=DP$2,1,0)=0,0,1+COUNTIF(DP$3:DP287,"&gt;0"))</f>
        <v>0</v>
      </c>
      <c r="DQ288">
        <f>IF(IF(OR(IFERROR(SEARCH("Druid",$T288,1),0)&gt;0,IFERROR(SEARCH(DruidLand1,$T288,1),0)&gt;0,IFERROR(SEARCH(DruidLand2,$T288,1),0)&gt;0,IFERROR(SEARCH(DruidLand3,$T288,1),0)&gt;0,IFERROR(SEARCH(DruidLand4,$T288,1),0)&gt;0),1,0)*IF($C288=1,1,0)*IF($C288=DQ$2,1,0)=0,0,1+COUNTIF(DQ$3:DQ287,"&gt;0"))</f>
        <v>0</v>
      </c>
      <c r="DR288">
        <f>IF(IF(OR(IFERROR(SEARCH("Druid",$T288,1),0)&gt;0,IFERROR(SEARCH(DruidLand1,$T288,1),0)&gt;0,IFERROR(SEARCH(DruidLand2,$T288,1),0)&gt;0,IFERROR(SEARCH(DruidLand3,$T288,1),0)&gt;0,IFERROR(SEARCH(DruidLand4,$T288,1),0)&gt;0),1,0)*IF($C288=1,1,0)*IF($C288=DR$2,1,0)=0,0,1+COUNTIF(DR$3:DR287,"&gt;0"))</f>
        <v>0</v>
      </c>
      <c r="DS288">
        <f>IF(IF(OR(IFERROR(SEARCH("Paladin",$T288,1),0)&gt;0,IFERROR(SEARCH(PaladinOath,$T288,1),0)&gt;0),1,0)*IF($C288=DS$2,1,0)=1,1+COUNTIF(DS$3:DS287,"&gt;0"),0)</f>
        <v>0</v>
      </c>
      <c r="DT288">
        <f>IF(IF(OR(IFERROR(SEARCH("Paladin",$T288,1),0)&gt;0,IFERROR(SEARCH(PaladinOath,$T288,1),0)&gt;0),1,0)*IF($C288=DT$2,1,0)=1,1+COUNTIF(DT$3:DT287,"&gt;0"),0)</f>
        <v>0</v>
      </c>
      <c r="DU288">
        <f>IF(IF(OR(IFERROR(SEARCH("Paladin",$T288,1),0)&gt;0,IFERROR(SEARCH(PaladinOath,$T288,1),0)&gt;0),1,0)*IF($C288=DU$2,1,0)=1,1+COUNTIF(DU$3:DU287,"&gt;0"),0)</f>
        <v>0</v>
      </c>
      <c r="DV288">
        <f>IF(IF(OR(IFERROR(SEARCH("Paladin",$T288,1),0)&gt;0,IFERROR(SEARCH(PaladinOath,$T288,1),0)&gt;0),1,0)*IF($C288=DV$2,1,0)=1,1+COUNTIF(DV$3:DV287,"&gt;0"),0)</f>
        <v>0</v>
      </c>
      <c r="DW288">
        <f>IF(IF(OR(IFERROR(SEARCH("Paladin",$T288,1),0)&gt;0,IFERROR(SEARCH(PaladinOath,$T288,1),0)&gt;0),1,0)*IF($C288=DW$2,1,0)=1,1+COUNTIF(DW$3:DW287,"&gt;0"),0)</f>
        <v>0</v>
      </c>
      <c r="DY288">
        <f t="shared" si="225"/>
        <v>1</v>
      </c>
      <c r="DZ288">
        <f>IF(DY288=0,0,1+MAX(DZ$3:$DZ287))</f>
        <v>286</v>
      </c>
      <c r="EB288">
        <f t="shared" si="239"/>
        <v>0</v>
      </c>
      <c r="EC288">
        <f>IF(EB288=0,0,1+COUNTIF(EC$3:EC287,"&gt;0"))</f>
        <v>0</v>
      </c>
      <c r="ED288" t="str">
        <f t="shared" si="267"/>
        <v/>
      </c>
      <c r="EE288" t="str">
        <f t="shared" si="240"/>
        <v/>
      </c>
      <c r="EG288">
        <f t="shared" si="241"/>
        <v>0</v>
      </c>
      <c r="EH288">
        <f>IF(EG288=0,0,1+COUNTIF(EH$3:EH287,"&gt;0"))</f>
        <v>0</v>
      </c>
      <c r="EI288" t="str">
        <f t="shared" si="268"/>
        <v/>
      </c>
      <c r="EJ288" t="str">
        <f t="shared" si="242"/>
        <v/>
      </c>
      <c r="EL288">
        <f t="shared" si="243"/>
        <v>0</v>
      </c>
      <c r="EM288">
        <f>IF(EL288=0,0,1+COUNTIF(EM$3:EM287,"&gt;0"))</f>
        <v>0</v>
      </c>
      <c r="EN288" t="str">
        <f t="shared" si="269"/>
        <v/>
      </c>
      <c r="EO288" t="str">
        <f t="shared" si="244"/>
        <v/>
      </c>
      <c r="EQ288">
        <f t="shared" si="245"/>
        <v>0</v>
      </c>
      <c r="ER288">
        <f>IF(EQ288=0,0,1+COUNTIF(ER$3:ER287,"&gt;0"))</f>
        <v>0</v>
      </c>
      <c r="ES288" t="str">
        <f t="shared" si="270"/>
        <v/>
      </c>
      <c r="ET288" t="str">
        <f t="shared" si="246"/>
        <v/>
      </c>
      <c r="EV288">
        <f t="shared" si="247"/>
        <v>0</v>
      </c>
      <c r="EW288">
        <f>IF(EV288=0,0,1+COUNTIF(EW$3:EW287,"&gt;0"))</f>
        <v>0</v>
      </c>
      <c r="EX288" t="str">
        <f t="shared" si="271"/>
        <v/>
      </c>
      <c r="EY288" t="str">
        <f t="shared" si="248"/>
        <v/>
      </c>
      <c r="FA288">
        <f t="shared" si="249"/>
        <v>0</v>
      </c>
      <c r="FB288">
        <f>IF(FA288=0,0,1+COUNTIF(FB$3:FB287,"&gt;0"))</f>
        <v>0</v>
      </c>
      <c r="FC288" t="str">
        <f t="shared" si="272"/>
        <v/>
      </c>
      <c r="FD288" t="str">
        <f t="shared" si="250"/>
        <v/>
      </c>
      <c r="FF288">
        <f t="shared" si="251"/>
        <v>0</v>
      </c>
      <c r="FG288">
        <f>IF(FF288=0,0,1+COUNTIF(FG$3:FG287,"&gt;0"))</f>
        <v>0</v>
      </c>
      <c r="FH288" t="str">
        <f t="shared" si="273"/>
        <v/>
      </c>
      <c r="FI288" t="str">
        <f t="shared" si="252"/>
        <v/>
      </c>
      <c r="FK288">
        <f t="shared" si="253"/>
        <v>0</v>
      </c>
      <c r="FL288">
        <f>IF(FK288=0,0,1+COUNTIF(FL$3:FL287,"&gt;0"))</f>
        <v>0</v>
      </c>
      <c r="FM288" t="str">
        <f t="shared" si="274"/>
        <v/>
      </c>
      <c r="FN288" t="str">
        <f t="shared" si="254"/>
        <v/>
      </c>
      <c r="FP288">
        <f t="shared" si="255"/>
        <v>0</v>
      </c>
      <c r="FQ288">
        <f>IF(FP288=0,0,1+COUNTIF(FQ$3:FQ287,"&gt;0"))</f>
        <v>0</v>
      </c>
      <c r="FR288" t="str">
        <f t="shared" si="275"/>
        <v/>
      </c>
      <c r="FS288" t="str">
        <f t="shared" si="256"/>
        <v/>
      </c>
    </row>
    <row r="289" spans="1:175" x14ac:dyDescent="0.25">
      <c r="A289" s="347">
        <f t="shared" si="276"/>
        <v>287</v>
      </c>
      <c r="B289" s="348" t="s">
        <v>2676</v>
      </c>
      <c r="C289" s="348">
        <v>5</v>
      </c>
      <c r="D289" s="347">
        <v>5</v>
      </c>
      <c r="E289" s="627" t="s">
        <v>6952</v>
      </c>
      <c r="F289" s="346"/>
      <c r="G289" s="347" t="str">
        <f>""</f>
        <v/>
      </c>
      <c r="H289" s="347" t="s">
        <v>5319</v>
      </c>
      <c r="I289" s="347" t="s">
        <v>5283</v>
      </c>
      <c r="J289" s="347" t="str">
        <f t="shared" si="226"/>
        <v/>
      </c>
      <c r="K289" s="347" t="s">
        <v>5297</v>
      </c>
      <c r="L289" s="611" t="str">
        <f t="shared" si="227"/>
        <v>V, S, M, a focus worth at least 1,000 gp, either a crystal ball, a silver mirror, or a font filled with holy water</v>
      </c>
      <c r="M289" s="347" t="s">
        <v>2373</v>
      </c>
      <c r="N289" s="347" t="s">
        <v>2387</v>
      </c>
      <c r="O289" s="347" t="s">
        <v>1244</v>
      </c>
      <c r="P289" s="346" t="s">
        <v>5471</v>
      </c>
      <c r="Q289" s="347" t="s">
        <v>2473</v>
      </c>
      <c r="S289" s="346" t="s">
        <v>5814</v>
      </c>
      <c r="T289" s="346" t="str">
        <f t="shared" si="228"/>
        <v xml:space="preserve">Bard, Warlock, Cleric, Druid, Wizard, Vengeance, Coast, Swamp, Knowledge, Light, </v>
      </c>
      <c r="U289" s="347" t="str">
        <f>$B289</f>
        <v>Scrying</v>
      </c>
      <c r="Y289" s="347" t="str">
        <f>$B289</f>
        <v>Scrying</v>
      </c>
      <c r="Z289" s="347" t="str">
        <f>$B289</f>
        <v>Scrying</v>
      </c>
      <c r="AA289" s="347" t="str">
        <f>$B289</f>
        <v>Scrying</v>
      </c>
      <c r="AD289" s="347" t="str">
        <f>$B289</f>
        <v>Scrying</v>
      </c>
      <c r="AE289" t="str">
        <f>IF(IFERROR(MATCH($B289,temp!A$4:A$13,0),0)&gt;0,T08_Spells!AE$2,"")</f>
        <v/>
      </c>
      <c r="AF289" t="str">
        <f>IF(IFERROR(MATCH($B289,temp!B$4:B$13,0),0)&gt;0,T08_Spells!AF$2,"")</f>
        <v>Vengeance</v>
      </c>
      <c r="AG289" t="str">
        <f>IF(IFERROR(MATCH($B289,temp!C$4:C$13,0),0)&gt;0,T08_Spells!AG$2,"")</f>
        <v/>
      </c>
      <c r="AH289" t="str">
        <f>IF(IFERROR(MATCH($B289,temp!D$4:D$13,0),0)&gt;0,T08_Spells!AH$2,"")</f>
        <v/>
      </c>
      <c r="AI289" t="str">
        <f>IF(IFERROR(MATCH($B289,temp!E$4:E$13,0),0)&gt;0,T08_Spells!AI$2,"")</f>
        <v/>
      </c>
      <c r="AJ289" t="str">
        <f>IF(IFERROR(MATCH($B289,temp!F$4:F$13,0),0)&gt;0,T08_Spells!AJ$2,"")</f>
        <v/>
      </c>
      <c r="AK289" t="str">
        <f>IF(IFERROR(MATCH($B289,temp!G$4:G$13,0),0)&gt;0,T08_Spells!AK$2,"")</f>
        <v/>
      </c>
      <c r="AL289" t="str">
        <f>IF(IFERROR(MATCH($B289,temp!H$4:H$13,0),0)&gt;0,T08_Spells!AL$2,"")</f>
        <v/>
      </c>
      <c r="AM289" t="str">
        <f>IF(IFERROR(MATCH($B289,temp!I$4:I$13,0),0)&gt;0,T08_Spells!AM$2,"")</f>
        <v>Coast</v>
      </c>
      <c r="AN289" t="str">
        <f>IF(IFERROR(MATCH($B289,temp!J$4:J$13,0),0)&gt;0,T08_Spells!AN$2,"")</f>
        <v/>
      </c>
      <c r="AO289" t="str">
        <f>IF(IFERROR(MATCH($B289,temp!K$4:K$13,0),0)&gt;0,T08_Spells!AO$2,"")</f>
        <v/>
      </c>
      <c r="AP289" t="str">
        <f>IF(IFERROR(MATCH($B289,temp!L$4:L$13,0),0)&gt;0,T08_Spells!AP$2,"")</f>
        <v/>
      </c>
      <c r="AQ289" t="str">
        <f>IF(IFERROR(MATCH($B289,temp!M$4:M$13,0),0)&gt;0,T08_Spells!AQ$2,"")</f>
        <v/>
      </c>
      <c r="AR289" t="str">
        <f>IF(IFERROR(MATCH($B289,temp!N$4:N$13,0),0)&gt;0,T08_Spells!AR$2,"")</f>
        <v>Swamp</v>
      </c>
      <c r="AS289" t="str">
        <f>IF(IFERROR(MATCH($B289,temp!O$4:O$13,0),0)&gt;0,T08_Spells!AS$2,"")</f>
        <v/>
      </c>
      <c r="AT289" t="str">
        <f>IF(IFERROR(MATCH($B289,temp!P$4:P$13,0),0)&gt;0,T08_Spells!AT$2,"")</f>
        <v>Knowledge</v>
      </c>
      <c r="AU289" t="str">
        <f>IF(IFERROR(MATCH($B289,temp!Q$4:Q$13,0),0)&gt;0,T08_Spells!AU$2,"")</f>
        <v/>
      </c>
      <c r="AV289" t="str">
        <f>IF(IFERROR(MATCH($B289,temp!R$4:R$13,0),0)&gt;0,T08_Spells!AV$2,"")</f>
        <v>Light</v>
      </c>
      <c r="AW289" t="str">
        <f>IF(IFERROR(MATCH($B289,temp!S$4:S$13,0),0)&gt;0,T08_Spells!AW$2,"")</f>
        <v/>
      </c>
      <c r="AX289" t="str">
        <f>IF(IFERROR(MATCH($B289,temp!T$4:T$13,0),0)&gt;0,T08_Spells!AX$2,"")</f>
        <v/>
      </c>
      <c r="AY289" t="str">
        <f>IF(IFERROR(MATCH($B289,temp!U$4:U$13,0),0)&gt;0,T08_Spells!AY$2,"")</f>
        <v/>
      </c>
      <c r="AZ289" t="str">
        <f>IF(IFERROR(MATCH($B289,temp!V$4:V$13,0),0)&gt;0,T08_Spells!AZ$2,"")</f>
        <v/>
      </c>
      <c r="BA289" t="str">
        <f>IF(IFERROR(MATCH($B289,temp!W$4:W$13,0),0)&gt;0,T08_Spells!BA$2,"")</f>
        <v/>
      </c>
      <c r="BC289">
        <f>IF(IFERROR(SEARCH("Ranger",$T289,1),0)&gt;0,1,0)*IF(RangerMaxSpellLevel&gt;=$C289,1,0)*IF(IFERROR(MATCH(B289,Character_Creation!$X$79:$X$382,0),0)&gt;0,0,1)</f>
        <v>0</v>
      </c>
      <c r="BD289">
        <f>IF(BC289=0,0,1+COUNTIF(BD$3:BD288,"&gt;0"))</f>
        <v>0</v>
      </c>
      <c r="BE289" t="str">
        <f t="shared" si="257"/>
        <v/>
      </c>
      <c r="BF289" t="str">
        <f t="shared" si="229"/>
        <v/>
      </c>
      <c r="BH289">
        <f>IF(IFERROR(SEARCH("Sorcerer",$T289,1),0)&gt;0,1,0)*IF(SorcererMaxSpellLevel&gt;=$C289,1,0)*IF(IFERROR(MATCH(B289,Character_Creation!$J$380:$J$394,0),0)&gt;0,0,1)</f>
        <v>0</v>
      </c>
      <c r="BI289">
        <f>IF(BH289=0,0,1+COUNTIF(BI$3:BI288,"&gt;0"))</f>
        <v>0</v>
      </c>
      <c r="BJ289" t="str">
        <f t="shared" si="258"/>
        <v/>
      </c>
      <c r="BK289" t="str">
        <f t="shared" si="230"/>
        <v/>
      </c>
      <c r="BM289">
        <f>IF(OR(IFERROR(SEARCH("Warlock",$T289,1),0)&gt;0,IFERROR(SEARCH(WarlockPatron,$T289,1),0)&gt;0),1,0)*IF(WarlockMaxSpellLevel&gt;=$C289,1,0)*IF(IFERROR(MATCH(B289,Character_Creation!$J$361:$J$375,0),0)&gt;0,0,1)</f>
        <v>0</v>
      </c>
      <c r="BN289">
        <f>IF(BM289=0,0,1+COUNTIF(BN$3:BN288,"&gt;0"))</f>
        <v>0</v>
      </c>
      <c r="BO289" t="str">
        <f t="shared" si="259"/>
        <v/>
      </c>
      <c r="BP289" t="str">
        <f t="shared" si="231"/>
        <v/>
      </c>
      <c r="BR289">
        <f>IF(IFERROR(SEARCH("Eldritch Knight",$T289,1),0)&gt;0,1,0)*IF(EldritchKnightMaxSpellLevel&gt;=$C289,1,0)*IF(IFERROR(MATCH($B289,Character_Creation!$J$350:$J$356,0),0)&gt;0,0,1)*IF(Character_Creation!$M$338&gt;0,1,0)</f>
        <v>0</v>
      </c>
      <c r="BS289">
        <f>IF(BR289=0,0,1+COUNTIF(BS$3:BS288,"&gt;0"))</f>
        <v>0</v>
      </c>
      <c r="BT289" t="str">
        <f t="shared" si="260"/>
        <v/>
      </c>
      <c r="BU289" t="str">
        <f t="shared" si="232"/>
        <v/>
      </c>
      <c r="BW289">
        <f>IF(IFERROR(SEARCH("Arcane Trickster",$T289,1),0)&gt;0,1,0)*IF(ArcaneTricksterMaxSpellLevel&gt;=$C289,1,0)*IF(IFERROR(MATCH($B289,Character_Creation!$J$350:$J$356,0),0)&gt;0,0,1)*IF(Character_Creation!$T$338&gt;0,1,0)</f>
        <v>0</v>
      </c>
      <c r="BX289">
        <f>IF(BW289=0,0,1+COUNTIF(BX$3:BX288,"&gt;0"))</f>
        <v>0</v>
      </c>
      <c r="BY289" t="str">
        <f t="shared" si="261"/>
        <v/>
      </c>
      <c r="BZ289" t="str">
        <f t="shared" si="233"/>
        <v/>
      </c>
      <c r="CB289">
        <f>IF(IFERROR(SEARCH("Wizard",$T289,1),0)&gt;0,1,0)*IF(C289&lt;=ArcaneTricksterMaxSpellLevel,1,0)*IF(IFERROR(MATCH($B289,Character_Creation!$J$350:$J$356,0),0)&gt;0,0,1)*IF(Character_Creation!$T$350&gt;0,1,0)</f>
        <v>0</v>
      </c>
      <c r="CC289">
        <f>IF(CB289=0,0,1+COUNTIF(CC$3:CC288,"&gt;0"))</f>
        <v>0</v>
      </c>
      <c r="CD289" t="str">
        <f t="shared" si="262"/>
        <v/>
      </c>
      <c r="CE289" t="str">
        <f t="shared" si="234"/>
        <v/>
      </c>
      <c r="CG289">
        <f>IF(IFERROR(SEARCH("Wizard",$T289,1),0)&gt;0,1,0)*IF($C289&lt;=EldritchKnightMaxSpellLevel,1,0)*IF(IFERROR(MATCH($B289,Character_Creation!$J$350:$J$356,0),0)&gt;0,0,1)*IF(Character_Creation!$M$350&gt;0,1,0)</f>
        <v>0</v>
      </c>
      <c r="CH289">
        <f>IF(CG289=0,0,1+COUNTIF(CH$3:CH288,"&gt;0"))</f>
        <v>0</v>
      </c>
      <c r="CI289" t="str">
        <f t="shared" si="263"/>
        <v/>
      </c>
      <c r="CJ289" t="str">
        <f t="shared" si="235"/>
        <v/>
      </c>
      <c r="CL289">
        <f>IF(IFERROR(SEARCH("Bard",$T289,1),0)&gt;0,1,0)*IF(BardMaxSpellLevel&gt;=$C289,1,0)*IF(IFERROR(MATCH(B289,Character_Creation!$C$341:$F$362,0),0)&gt;0,0,1)*IF(IFERROR(MATCH($B289,Character_Creation!$C$341:$C$362,0),0)&gt;0,0,1)</f>
        <v>0</v>
      </c>
      <c r="CM289">
        <f>IF(CL289=0,0,1+COUNTIF(CM$3:CM288,"&gt;0"))</f>
        <v>0</v>
      </c>
      <c r="CN289" t="str">
        <f t="shared" si="264"/>
        <v/>
      </c>
      <c r="CO289" t="str">
        <f t="shared" si="236"/>
        <v/>
      </c>
      <c r="CQ289">
        <f>IF(IFERROR(SEARCH("Wizard",$T289,1),0)&gt;0,1,0)*IF(WizardMaxSpellLevel&gt;=$C289,1,0)*IF(IFERROR(MATCH(B289,Character_Creation!$X$341:$X$400,0),0)&gt;0,0,1)*IF(SelectedWizardSpellLevel=$C289,1,0)</f>
        <v>0</v>
      </c>
      <c r="CR289">
        <f>IF(CQ289=0,0,1+COUNTIF(CR$3:CR288,"&gt;0"))</f>
        <v>0</v>
      </c>
      <c r="CS289" t="str">
        <f t="shared" si="265"/>
        <v/>
      </c>
      <c r="CT289" t="str">
        <f t="shared" si="237"/>
        <v/>
      </c>
      <c r="CV289">
        <f>IF(IFERROR(MATCH($B289,Character_Creation!$C$341:$C$362,0),0)&gt;0,0,1)*IF(OR(C289="Cantrip",C289&lt;=BardMaxSpellLevel),1,0)*IF(IFERROR(MATCH($B289,Character_Creation!$C$367:$C$374,0),0)&gt;0,0,1)</f>
        <v>0</v>
      </c>
      <c r="CW289">
        <f>IF(CV289=0,0,1+COUNTIF(CW$3:CW288,"&gt;0"))</f>
        <v>0</v>
      </c>
      <c r="CX289" t="str">
        <f t="shared" si="266"/>
        <v/>
      </c>
      <c r="CY289" t="str">
        <f t="shared" si="238"/>
        <v/>
      </c>
      <c r="DA289">
        <f>IF(IF(OR(IFERROR(SEARCH("Cleric",$T289,1),0)&gt;0,IFERROR(SEARCH(DivineDomain&amp;",",$T289,1),0)&gt;0),1,0)*IF($C289=DA$2,1,0)=1,1+COUNTIF(DA$3:DA288,"&gt;0"),0)</f>
        <v>0</v>
      </c>
      <c r="DB289">
        <f>IF(IF(OR(IFERROR(SEARCH("Cleric",$T289,1),0)&gt;0,IFERROR(SEARCH(DivineDomain&amp;",",$T289,1),0)&gt;0),1,0)*IF($C289=DB$2,1,0)=1,1+COUNTIF(DB$3:DB288,"&gt;0"),0)</f>
        <v>0</v>
      </c>
      <c r="DC289">
        <f>IF(IF(OR(IFERROR(SEARCH("Cleric",$T289,1),0)&gt;0,IFERROR(SEARCH(DivineDomain&amp;",",$T289,1),0)&gt;0),1,0)*IF($C289=DC$2,1,0)=1,1+COUNTIF(DC$3:DC288,"&gt;0"),0)</f>
        <v>0</v>
      </c>
      <c r="DD289">
        <f>IF(IF(OR(IFERROR(SEARCH("Cleric",$T289,1),0)&gt;0,IFERROR(SEARCH(DivineDomain&amp;",",$T289,1),0)&gt;0),1,0)*IF($C289=DD$2,1,0)=1,1+COUNTIF(DD$3:DD288,"&gt;0"),0)</f>
        <v>0</v>
      </c>
      <c r="DE289">
        <f>IF(IF(OR(IFERROR(SEARCH("Cleric",$T289,1),0)&gt;0,IFERROR(SEARCH(DivineDomain&amp;",",$T289,1),0)&gt;0),1,0)*IF($C289=DE$2,1,0)=1,1+COUNTIF(DE$3:DE288,"&gt;0"),0)</f>
        <v>13</v>
      </c>
      <c r="DF289">
        <f>IF(IF(OR(IFERROR(SEARCH("Cleric",$T289,1),0)&gt;0,IFERROR(SEARCH(DivineDomain&amp;",",$T289,1),0)&gt;0),1,0)*IF($C289=DF$2,1,0)=1,1+COUNTIF(DF$3:DF288,"&gt;0"),0)</f>
        <v>0</v>
      </c>
      <c r="DG289">
        <f>IF(IF(OR(IFERROR(SEARCH("Cleric",$T289,1),0)&gt;0,IFERROR(SEARCH(DivineDomain&amp;",",$T289,1),0)&gt;0),1,0)*IF($C289=DG$2,1,0)=1,1+COUNTIF(DG$3:DG288,"&gt;0"),0)</f>
        <v>0</v>
      </c>
      <c r="DH289">
        <f>IF(IF(OR(IFERROR(SEARCH("Cleric",$T289,1),0)&gt;0,IFERROR(SEARCH(DivineDomain&amp;",",$T289,1),0)&gt;0),1,0)*IF($C289=DH$2,1,0)=1,1+COUNTIF(DH$3:DH288,"&gt;0"),0)</f>
        <v>0</v>
      </c>
      <c r="DI289">
        <f>IF(IF(OR(IFERROR(SEARCH("Cleric",$T289,1),0)&gt;0,IFERROR(SEARCH(DivineDomain&amp;",",$T289,1),0)&gt;0),1,0)*IF($C289=DI$2,1,0)=1,1+COUNTIF(DI$3:DI288,"&gt;0"),0)</f>
        <v>0</v>
      </c>
      <c r="DJ289">
        <f>IF(IF(OR(IFERROR(SEARCH("Druid",$T289,1),0)&gt;0,IFERROR(SEARCH(DruidLand1,$T289,1),0)&gt;0,IFERROR(SEARCH(DruidLand2,$T289,1),0)&gt;0,IFERROR(SEARCH(DruidLand3,$T289,1),0)&gt;0,IFERROR(SEARCH(DruidLand4,$T289,1),0)&gt;0),1,0)*IF($C289=1,1,0)*IF($C289=DJ$2,1,0)=0,0,1+COUNTIF(DJ$3:DJ288,"&gt;0"))</f>
        <v>0</v>
      </c>
      <c r="DK289">
        <f>IF(IF(OR(IFERROR(SEARCH("Druid",$T289,1),0)&gt;0,IFERROR(SEARCH(DruidLand1,$T289,1),0)&gt;0,IFERROR(SEARCH(DruidLand2,$T289,1),0)&gt;0,IFERROR(SEARCH(DruidLand3,$T289,1),0)&gt;0,IFERROR(SEARCH(DruidLand4,$T289,1),0)&gt;0),1,0)*IF($C289=DK$2,1,0)=0,0,1+COUNTIF(DK$3:DK288,"&gt;0"))</f>
        <v>0</v>
      </c>
      <c r="DL289">
        <f>IF(IF(OR(IFERROR(SEARCH("Druid",$T289,1),0)&gt;0,IFERROR(SEARCH(DruidLand1,$T289,1),0)&gt;0,IFERROR(SEARCH(DruidLand2,$T289,1),0)&gt;0,IFERROR(SEARCH(DruidLand3,$T289,1),0)&gt;0,IFERROR(SEARCH(DruidLand4,$T289,1),0)&gt;0),1,0)*IF($C289=DL$2,1,0)=0,0,1+COUNTIF(DL$3:DL288,"&gt;0"))</f>
        <v>0</v>
      </c>
      <c r="DM289">
        <f>IF(IF(OR(IFERROR(SEARCH("Druid",$T289,1),0)&gt;0,IFERROR(SEARCH(DruidLand1,$T289,1),0)&gt;0,IFERROR(SEARCH(DruidLand2,$T289,1),0)&gt;0,IFERROR(SEARCH(DruidLand3,$T289,1),0)&gt;0,IFERROR(SEARCH(DruidLand4,$T289,1),0)&gt;0),1,0)*IF($C289=DM$2,1,0)=0,0,1+COUNTIF(DM$3:DM288,"&gt;0"))</f>
        <v>0</v>
      </c>
      <c r="DN289">
        <f>IF(IF(OR(IFERROR(SEARCH("Druid",$T289,1),0)&gt;0,IFERROR(SEARCH(DruidLand1,$T289,1),0)&gt;0,IFERROR(SEARCH(DruidLand2,$T289,1),0)&gt;0,IFERROR(SEARCH(DruidLand3,$T289,1),0)&gt;0,IFERROR(SEARCH(DruidLand4,$T289,1),0)&gt;0),1,0)*IF($C289=DN$2,1,0)=0,0,1+COUNTIF(DN$3:DN288,"&gt;0"))</f>
        <v>12</v>
      </c>
      <c r="DO289">
        <f>IF(IF(OR(IFERROR(SEARCH("Druid",$T289,1),0)&gt;0,IFERROR(SEARCH(DruidLand1,$T289,1),0)&gt;0,IFERROR(SEARCH(DruidLand2,$T289,1),0)&gt;0,IFERROR(SEARCH(DruidLand3,$T289,1),0)&gt;0,IFERROR(SEARCH(DruidLand4,$T289,1),0)&gt;0),1,0)*IF($C289=DO$2,1,0)=0,0,1+COUNTIF(DO$3:DO288,"&gt;0"))</f>
        <v>0</v>
      </c>
      <c r="DP289">
        <f>IF(IF(OR(IFERROR(SEARCH("Druid",$T289,1),0)&gt;0,IFERROR(SEARCH(DruidLand1,$T289,1),0)&gt;0,IFERROR(SEARCH(DruidLand2,$T289,1),0)&gt;0,IFERROR(SEARCH(DruidLand3,$T289,1),0)&gt;0,IFERROR(SEARCH(DruidLand4,$T289,1),0)&gt;0),1,0)*IF($C289=DP$2,1,0)=0,0,1+COUNTIF(DP$3:DP288,"&gt;0"))</f>
        <v>0</v>
      </c>
      <c r="DQ289">
        <f>IF(IF(OR(IFERROR(SEARCH("Druid",$T289,1),0)&gt;0,IFERROR(SEARCH(DruidLand1,$T289,1),0)&gt;0,IFERROR(SEARCH(DruidLand2,$T289,1),0)&gt;0,IFERROR(SEARCH(DruidLand3,$T289,1),0)&gt;0,IFERROR(SEARCH(DruidLand4,$T289,1),0)&gt;0),1,0)*IF($C289=DQ$2,1,0)=0,0,1+COUNTIF(DQ$3:DQ288,"&gt;0"))</f>
        <v>0</v>
      </c>
      <c r="DR289">
        <f>IF(IF(OR(IFERROR(SEARCH("Druid",$T289,1),0)&gt;0,IFERROR(SEARCH(DruidLand1,$T289,1),0)&gt;0,IFERROR(SEARCH(DruidLand2,$T289,1),0)&gt;0,IFERROR(SEARCH(DruidLand3,$T289,1),0)&gt;0,IFERROR(SEARCH(DruidLand4,$T289,1),0)&gt;0),1,0)*IF($C289=DR$2,1,0)=0,0,1+COUNTIF(DR$3:DR288,"&gt;0"))</f>
        <v>0</v>
      </c>
      <c r="DS289">
        <f>IF(IF(OR(IFERROR(SEARCH("Paladin",$T289,1),0)&gt;0,IFERROR(SEARCH(PaladinOath,$T289,1),0)&gt;0),1,0)*IF($C289=DS$2,1,0)=1,1+COUNTIF(DS$3:DS288,"&gt;0"),0)</f>
        <v>0</v>
      </c>
      <c r="DT289">
        <f>IF(IF(OR(IFERROR(SEARCH("Paladin",$T289,1),0)&gt;0,IFERROR(SEARCH(PaladinOath,$T289,1),0)&gt;0),1,0)*IF($C289=DT$2,1,0)=1,1+COUNTIF(DT$3:DT288,"&gt;0"),0)</f>
        <v>0</v>
      </c>
      <c r="DU289">
        <f>IF(IF(OR(IFERROR(SEARCH("Paladin",$T289,1),0)&gt;0,IFERROR(SEARCH(PaladinOath,$T289,1),0)&gt;0),1,0)*IF($C289=DU$2,1,0)=1,1+COUNTIF(DU$3:DU288,"&gt;0"),0)</f>
        <v>0</v>
      </c>
      <c r="DV289">
        <f>IF(IF(OR(IFERROR(SEARCH("Paladin",$T289,1),0)&gt;0,IFERROR(SEARCH(PaladinOath,$T289,1),0)&gt;0),1,0)*IF($C289=DV$2,1,0)=1,1+COUNTIF(DV$3:DV288,"&gt;0"),0)</f>
        <v>0</v>
      </c>
      <c r="DW289">
        <f>IF(IF(OR(IFERROR(SEARCH("Paladin",$T289,1),0)&gt;0,IFERROR(SEARCH(PaladinOath,$T289,1),0)&gt;0),1,0)*IF($C289=DW$2,1,0)=1,1+COUNTIF(DW$3:DW288,"&gt;0"),0)</f>
        <v>0</v>
      </c>
      <c r="DY289">
        <f t="shared" si="225"/>
        <v>1</v>
      </c>
      <c r="DZ289">
        <f>IF(DY289=0,0,1+MAX(DZ$3:$DZ288))</f>
        <v>287</v>
      </c>
      <c r="EB289">
        <f t="shared" si="239"/>
        <v>0</v>
      </c>
      <c r="EC289">
        <f>IF(EB289=0,0,1+COUNTIF(EC$3:EC288,"&gt;0"))</f>
        <v>0</v>
      </c>
      <c r="ED289" t="str">
        <f t="shared" si="267"/>
        <v/>
      </c>
      <c r="EE289" t="str">
        <f t="shared" si="240"/>
        <v/>
      </c>
      <c r="EG289">
        <f t="shared" si="241"/>
        <v>0</v>
      </c>
      <c r="EH289">
        <f>IF(EG289=0,0,1+COUNTIF(EH$3:EH288,"&gt;0"))</f>
        <v>0</v>
      </c>
      <c r="EI289" t="str">
        <f t="shared" si="268"/>
        <v/>
      </c>
      <c r="EJ289" t="str">
        <f t="shared" si="242"/>
        <v/>
      </c>
      <c r="EL289">
        <f t="shared" si="243"/>
        <v>0</v>
      </c>
      <c r="EM289">
        <f>IF(EL289=0,0,1+COUNTIF(EM$3:EM288,"&gt;0"))</f>
        <v>0</v>
      </c>
      <c r="EN289" t="str">
        <f t="shared" si="269"/>
        <v/>
      </c>
      <c r="EO289" t="str">
        <f t="shared" si="244"/>
        <v/>
      </c>
      <c r="EQ289">
        <f t="shared" si="245"/>
        <v>0</v>
      </c>
      <c r="ER289">
        <f>IF(EQ289=0,0,1+COUNTIF(ER$3:ER288,"&gt;0"))</f>
        <v>0</v>
      </c>
      <c r="ES289" t="str">
        <f t="shared" si="270"/>
        <v/>
      </c>
      <c r="ET289" t="str">
        <f t="shared" si="246"/>
        <v/>
      </c>
      <c r="EV289">
        <f t="shared" si="247"/>
        <v>0</v>
      </c>
      <c r="EW289">
        <f>IF(EV289=0,0,1+COUNTIF(EW$3:EW288,"&gt;0"))</f>
        <v>0</v>
      </c>
      <c r="EX289" t="str">
        <f t="shared" si="271"/>
        <v/>
      </c>
      <c r="EY289" t="str">
        <f t="shared" si="248"/>
        <v/>
      </c>
      <c r="FA289">
        <f t="shared" si="249"/>
        <v>0</v>
      </c>
      <c r="FB289">
        <f>IF(FA289=0,0,1+COUNTIF(FB$3:FB288,"&gt;0"))</f>
        <v>0</v>
      </c>
      <c r="FC289" t="str">
        <f t="shared" si="272"/>
        <v/>
      </c>
      <c r="FD289" t="str">
        <f t="shared" si="250"/>
        <v/>
      </c>
      <c r="FF289">
        <f t="shared" si="251"/>
        <v>0</v>
      </c>
      <c r="FG289">
        <f>IF(FF289=0,0,1+COUNTIF(FG$3:FG288,"&gt;0"))</f>
        <v>0</v>
      </c>
      <c r="FH289" t="str">
        <f t="shared" si="273"/>
        <v/>
      </c>
      <c r="FI289" t="str">
        <f t="shared" si="252"/>
        <v/>
      </c>
      <c r="FK289">
        <f t="shared" si="253"/>
        <v>0</v>
      </c>
      <c r="FL289">
        <f>IF(FK289=0,0,1+COUNTIF(FL$3:FL288,"&gt;0"))</f>
        <v>0</v>
      </c>
      <c r="FM289" t="str">
        <f t="shared" si="274"/>
        <v/>
      </c>
      <c r="FN289" t="str">
        <f t="shared" si="254"/>
        <v/>
      </c>
      <c r="FP289">
        <f t="shared" si="255"/>
        <v>0</v>
      </c>
      <c r="FQ289">
        <f>IF(FP289=0,0,1+COUNTIF(FQ$3:FQ288,"&gt;0"))</f>
        <v>0</v>
      </c>
      <c r="FR289" t="str">
        <f t="shared" si="275"/>
        <v/>
      </c>
      <c r="FS289" t="str">
        <f t="shared" si="256"/>
        <v/>
      </c>
    </row>
    <row r="290" spans="1:175" x14ac:dyDescent="0.25">
      <c r="A290" s="347">
        <f t="shared" si="276"/>
        <v>288</v>
      </c>
      <c r="B290" s="348" t="s">
        <v>2677</v>
      </c>
      <c r="C290" s="348">
        <v>1</v>
      </c>
      <c r="D290" s="347">
        <v>1</v>
      </c>
      <c r="E290" s="627" t="s">
        <v>6952</v>
      </c>
      <c r="F290" s="346"/>
      <c r="G290" s="347" t="str">
        <f>""</f>
        <v/>
      </c>
      <c r="H290" s="347" t="s">
        <v>5918</v>
      </c>
      <c r="I290" s="347" t="s">
        <v>5283</v>
      </c>
      <c r="J290" s="347" t="str">
        <f t="shared" si="226"/>
        <v/>
      </c>
      <c r="K290" s="347" t="s">
        <v>5291</v>
      </c>
      <c r="L290" s="611" t="str">
        <f t="shared" si="227"/>
        <v>V</v>
      </c>
      <c r="M290" s="347" t="s">
        <v>2373</v>
      </c>
      <c r="N290" s="347" t="s">
        <v>3034</v>
      </c>
      <c r="O290" s="347" t="s">
        <v>3034</v>
      </c>
      <c r="P290" s="346" t="str">
        <f>""</f>
        <v/>
      </c>
      <c r="Q290" s="347" t="s">
        <v>5273</v>
      </c>
      <c r="S290" s="346" t="s">
        <v>5815</v>
      </c>
      <c r="T290" s="346" t="str">
        <f t="shared" si="228"/>
        <v xml:space="preserve">Paladin, </v>
      </c>
      <c r="V290" s="347" t="str">
        <f>$B290</f>
        <v>Searing Smite</v>
      </c>
      <c r="AE290" t="str">
        <f>IF(IFERROR(MATCH($B290,temp!A$4:A$13,0),0)&gt;0,T08_Spells!AE$2,"")</f>
        <v/>
      </c>
      <c r="AF290" t="str">
        <f>IF(IFERROR(MATCH($B290,temp!B$4:B$13,0),0)&gt;0,T08_Spells!AF$2,"")</f>
        <v/>
      </c>
      <c r="AG290" t="str">
        <f>IF(IFERROR(MATCH($B290,temp!C$4:C$13,0),0)&gt;0,T08_Spells!AG$2,"")</f>
        <v/>
      </c>
      <c r="AH290" t="str">
        <f>IF(IFERROR(MATCH($B290,temp!D$4:D$13,0),0)&gt;0,T08_Spells!AH$2,"")</f>
        <v/>
      </c>
      <c r="AI290" t="str">
        <f>IF(IFERROR(MATCH($B290,temp!E$4:E$13,0),0)&gt;0,T08_Spells!AI$2,"")</f>
        <v/>
      </c>
      <c r="AJ290" t="str">
        <f>IF(IFERROR(MATCH($B290,temp!F$4:F$13,0),0)&gt;0,T08_Spells!AJ$2,"")</f>
        <v/>
      </c>
      <c r="AK290" t="str">
        <f>IF(IFERROR(MATCH($B290,temp!G$4:G$13,0),0)&gt;0,T08_Spells!AK$2,"")</f>
        <v/>
      </c>
      <c r="AL290" t="str">
        <f>IF(IFERROR(MATCH($B290,temp!H$4:H$13,0),0)&gt;0,T08_Spells!AL$2,"")</f>
        <v/>
      </c>
      <c r="AM290" t="str">
        <f>IF(IFERROR(MATCH($B290,temp!I$4:I$13,0),0)&gt;0,T08_Spells!AM$2,"")</f>
        <v/>
      </c>
      <c r="AN290" t="str">
        <f>IF(IFERROR(MATCH($B290,temp!J$4:J$13,0),0)&gt;0,T08_Spells!AN$2,"")</f>
        <v/>
      </c>
      <c r="AO290" t="str">
        <f>IF(IFERROR(MATCH($B290,temp!K$4:K$13,0),0)&gt;0,T08_Spells!AO$2,"")</f>
        <v/>
      </c>
      <c r="AP290" t="str">
        <f>IF(IFERROR(MATCH($B290,temp!L$4:L$13,0),0)&gt;0,T08_Spells!AP$2,"")</f>
        <v/>
      </c>
      <c r="AQ290" t="str">
        <f>IF(IFERROR(MATCH($B290,temp!M$4:M$13,0),0)&gt;0,T08_Spells!AQ$2,"")</f>
        <v/>
      </c>
      <c r="AR290" t="str">
        <f>IF(IFERROR(MATCH($B290,temp!N$4:N$13,0),0)&gt;0,T08_Spells!AR$2,"")</f>
        <v/>
      </c>
      <c r="AS290" t="str">
        <f>IF(IFERROR(MATCH($B290,temp!O$4:O$13,0),0)&gt;0,T08_Spells!AS$2,"")</f>
        <v/>
      </c>
      <c r="AT290" t="str">
        <f>IF(IFERROR(MATCH($B290,temp!P$4:P$13,0),0)&gt;0,T08_Spells!AT$2,"")</f>
        <v/>
      </c>
      <c r="AU290" t="str">
        <f>IF(IFERROR(MATCH($B290,temp!Q$4:Q$13,0),0)&gt;0,T08_Spells!AU$2,"")</f>
        <v/>
      </c>
      <c r="AV290" t="str">
        <f>IF(IFERROR(MATCH($B290,temp!R$4:R$13,0),0)&gt;0,T08_Spells!AV$2,"")</f>
        <v/>
      </c>
      <c r="AW290" t="str">
        <f>IF(IFERROR(MATCH($B290,temp!S$4:S$13,0),0)&gt;0,T08_Spells!AW$2,"")</f>
        <v/>
      </c>
      <c r="AX290" t="str">
        <f>IF(IFERROR(MATCH($B290,temp!T$4:T$13,0),0)&gt;0,T08_Spells!AX$2,"")</f>
        <v/>
      </c>
      <c r="AY290" t="str">
        <f>IF(IFERROR(MATCH($B290,temp!U$4:U$13,0),0)&gt;0,T08_Spells!AY$2,"")</f>
        <v/>
      </c>
      <c r="AZ290" t="str">
        <f>IF(IFERROR(MATCH($B290,temp!V$4:V$13,0),0)&gt;0,T08_Spells!AZ$2,"")</f>
        <v/>
      </c>
      <c r="BA290" t="str">
        <f>IF(IFERROR(MATCH($B290,temp!W$4:W$13,0),0)&gt;0,T08_Spells!BA$2,"")</f>
        <v/>
      </c>
      <c r="BC290">
        <f>IF(IFERROR(SEARCH("Ranger",$T290,1),0)&gt;0,1,0)*IF(RangerMaxSpellLevel&gt;=$C290,1,0)*IF(IFERROR(MATCH(B290,Character_Creation!$X$79:$X$382,0),0)&gt;0,0,1)</f>
        <v>0</v>
      </c>
      <c r="BD290">
        <f>IF(BC290=0,0,1+COUNTIF(BD$3:BD289,"&gt;0"))</f>
        <v>0</v>
      </c>
      <c r="BE290" t="str">
        <f t="shared" si="257"/>
        <v/>
      </c>
      <c r="BF290" t="str">
        <f t="shared" si="229"/>
        <v/>
      </c>
      <c r="BH290">
        <f>IF(IFERROR(SEARCH("Sorcerer",$T290,1),0)&gt;0,1,0)*IF(SorcererMaxSpellLevel&gt;=$C290,1,0)*IF(IFERROR(MATCH(B290,Character_Creation!$J$380:$J$394,0),0)&gt;0,0,1)</f>
        <v>0</v>
      </c>
      <c r="BI290">
        <f>IF(BH290=0,0,1+COUNTIF(BI$3:BI289,"&gt;0"))</f>
        <v>0</v>
      </c>
      <c r="BJ290" t="str">
        <f t="shared" si="258"/>
        <v/>
      </c>
      <c r="BK290" t="str">
        <f t="shared" si="230"/>
        <v/>
      </c>
      <c r="BM290">
        <f>IF(OR(IFERROR(SEARCH("Warlock",$T290,1),0)&gt;0,IFERROR(SEARCH(WarlockPatron,$T290,1),0)&gt;0),1,0)*IF(WarlockMaxSpellLevel&gt;=$C290,1,0)*IF(IFERROR(MATCH(B290,Character_Creation!$J$361:$J$375,0),0)&gt;0,0,1)</f>
        <v>0</v>
      </c>
      <c r="BN290">
        <f>IF(BM290=0,0,1+COUNTIF(BN$3:BN289,"&gt;0"))</f>
        <v>0</v>
      </c>
      <c r="BO290" t="str">
        <f t="shared" si="259"/>
        <v/>
      </c>
      <c r="BP290" t="str">
        <f t="shared" si="231"/>
        <v/>
      </c>
      <c r="BR290">
        <f>IF(IFERROR(SEARCH("Eldritch Knight",$T290,1),0)&gt;0,1,0)*IF(EldritchKnightMaxSpellLevel&gt;=$C290,1,0)*IF(IFERROR(MATCH($B290,Character_Creation!$J$350:$J$356,0),0)&gt;0,0,1)*IF(Character_Creation!$M$338&gt;0,1,0)</f>
        <v>0</v>
      </c>
      <c r="BS290">
        <f>IF(BR290=0,0,1+COUNTIF(BS$3:BS289,"&gt;0"))</f>
        <v>0</v>
      </c>
      <c r="BT290" t="str">
        <f t="shared" si="260"/>
        <v/>
      </c>
      <c r="BU290" t="str">
        <f t="shared" si="232"/>
        <v/>
      </c>
      <c r="BW290">
        <f>IF(IFERROR(SEARCH("Arcane Trickster",$T290,1),0)&gt;0,1,0)*IF(ArcaneTricksterMaxSpellLevel&gt;=$C290,1,0)*IF(IFERROR(MATCH($B290,Character_Creation!$J$350:$J$356,0),0)&gt;0,0,1)*IF(Character_Creation!$T$338&gt;0,1,0)</f>
        <v>0</v>
      </c>
      <c r="BX290">
        <f>IF(BW290=0,0,1+COUNTIF(BX$3:BX289,"&gt;0"))</f>
        <v>0</v>
      </c>
      <c r="BY290" t="str">
        <f t="shared" si="261"/>
        <v/>
      </c>
      <c r="BZ290" t="str">
        <f t="shared" si="233"/>
        <v/>
      </c>
      <c r="CB290">
        <f>IF(IFERROR(SEARCH("Wizard",$T290,1),0)&gt;0,1,0)*IF(C290&lt;=ArcaneTricksterMaxSpellLevel,1,0)*IF(IFERROR(MATCH($B290,Character_Creation!$J$350:$J$356,0),0)&gt;0,0,1)*IF(Character_Creation!$T$350&gt;0,1,0)</f>
        <v>0</v>
      </c>
      <c r="CC290">
        <f>IF(CB290=0,0,1+COUNTIF(CC$3:CC289,"&gt;0"))</f>
        <v>0</v>
      </c>
      <c r="CD290" t="str">
        <f t="shared" si="262"/>
        <v/>
      </c>
      <c r="CE290" t="str">
        <f t="shared" si="234"/>
        <v/>
      </c>
      <c r="CG290">
        <f>IF(IFERROR(SEARCH("Wizard",$T290,1),0)&gt;0,1,0)*IF($C290&lt;=EldritchKnightMaxSpellLevel,1,0)*IF(IFERROR(MATCH($B290,Character_Creation!$J$350:$J$356,0),0)&gt;0,0,1)*IF(Character_Creation!$M$350&gt;0,1,0)</f>
        <v>0</v>
      </c>
      <c r="CH290">
        <f>IF(CG290=0,0,1+COUNTIF(CH$3:CH289,"&gt;0"))</f>
        <v>0</v>
      </c>
      <c r="CI290" t="str">
        <f t="shared" si="263"/>
        <v/>
      </c>
      <c r="CJ290" t="str">
        <f t="shared" si="235"/>
        <v/>
      </c>
      <c r="CL290">
        <f>IF(IFERROR(SEARCH("Bard",$T290,1),0)&gt;0,1,0)*IF(BardMaxSpellLevel&gt;=$C290,1,0)*IF(IFERROR(MATCH(B290,Character_Creation!$C$341:$F$362,0),0)&gt;0,0,1)*IF(IFERROR(MATCH($B290,Character_Creation!$C$341:$C$362,0),0)&gt;0,0,1)</f>
        <v>0</v>
      </c>
      <c r="CM290">
        <f>IF(CL290=0,0,1+COUNTIF(CM$3:CM289,"&gt;0"))</f>
        <v>0</v>
      </c>
      <c r="CN290" t="str">
        <f t="shared" si="264"/>
        <v/>
      </c>
      <c r="CO290" t="str">
        <f t="shared" si="236"/>
        <v/>
      </c>
      <c r="CQ290">
        <f>IF(IFERROR(SEARCH("Wizard",$T290,1),0)&gt;0,1,0)*IF(WizardMaxSpellLevel&gt;=$C290,1,0)*IF(IFERROR(MATCH(B290,Character_Creation!$X$341:$X$400,0),0)&gt;0,0,1)*IF(SelectedWizardSpellLevel=$C290,1,0)</f>
        <v>0</v>
      </c>
      <c r="CR290">
        <f>IF(CQ290=0,0,1+COUNTIF(CR$3:CR289,"&gt;0"))</f>
        <v>0</v>
      </c>
      <c r="CS290" t="str">
        <f t="shared" si="265"/>
        <v/>
      </c>
      <c r="CT290" t="str">
        <f t="shared" si="237"/>
        <v/>
      </c>
      <c r="CV290">
        <f>IF(IFERROR(MATCH($B290,Character_Creation!$C$341:$C$362,0),0)&gt;0,0,1)*IF(OR(C290="Cantrip",C290&lt;=BardMaxSpellLevel),1,0)*IF(IFERROR(MATCH($B290,Character_Creation!$C$367:$C$374,0),0)&gt;0,0,1)</f>
        <v>0</v>
      </c>
      <c r="CW290">
        <f>IF(CV290=0,0,1+COUNTIF(CW$3:CW289,"&gt;0"))</f>
        <v>0</v>
      </c>
      <c r="CX290" t="str">
        <f t="shared" si="266"/>
        <v/>
      </c>
      <c r="CY290" t="str">
        <f t="shared" si="238"/>
        <v/>
      </c>
      <c r="DA290">
        <f>IF(IF(OR(IFERROR(SEARCH("Cleric",$T290,1),0)&gt;0,IFERROR(SEARCH(DivineDomain&amp;",",$T290,1),0)&gt;0),1,0)*IF($C290=DA$2,1,0)=1,1+COUNTIF(DA$3:DA289,"&gt;0"),0)</f>
        <v>0</v>
      </c>
      <c r="DB290">
        <f>IF(IF(OR(IFERROR(SEARCH("Cleric",$T290,1),0)&gt;0,IFERROR(SEARCH(DivineDomain&amp;",",$T290,1),0)&gt;0),1,0)*IF($C290=DB$2,1,0)=1,1+COUNTIF(DB$3:DB289,"&gt;0"),0)</f>
        <v>0</v>
      </c>
      <c r="DC290">
        <f>IF(IF(OR(IFERROR(SEARCH("Cleric",$T290,1),0)&gt;0,IFERROR(SEARCH(DivineDomain&amp;",",$T290,1),0)&gt;0),1,0)*IF($C290=DC$2,1,0)=1,1+COUNTIF(DC$3:DC289,"&gt;0"),0)</f>
        <v>0</v>
      </c>
      <c r="DD290">
        <f>IF(IF(OR(IFERROR(SEARCH("Cleric",$T290,1),0)&gt;0,IFERROR(SEARCH(DivineDomain&amp;",",$T290,1),0)&gt;0),1,0)*IF($C290=DD$2,1,0)=1,1+COUNTIF(DD$3:DD289,"&gt;0"),0)</f>
        <v>0</v>
      </c>
      <c r="DE290">
        <f>IF(IF(OR(IFERROR(SEARCH("Cleric",$T290,1),0)&gt;0,IFERROR(SEARCH(DivineDomain&amp;",",$T290,1),0)&gt;0),1,0)*IF($C290=DE$2,1,0)=1,1+COUNTIF(DE$3:DE289,"&gt;0"),0)</f>
        <v>0</v>
      </c>
      <c r="DF290">
        <f>IF(IF(OR(IFERROR(SEARCH("Cleric",$T290,1),0)&gt;0,IFERROR(SEARCH(DivineDomain&amp;",",$T290,1),0)&gt;0),1,0)*IF($C290=DF$2,1,0)=1,1+COUNTIF(DF$3:DF289,"&gt;0"),0)</f>
        <v>0</v>
      </c>
      <c r="DG290">
        <f>IF(IF(OR(IFERROR(SEARCH("Cleric",$T290,1),0)&gt;0,IFERROR(SEARCH(DivineDomain&amp;",",$T290,1),0)&gt;0),1,0)*IF($C290=DG$2,1,0)=1,1+COUNTIF(DG$3:DG289,"&gt;0"),0)</f>
        <v>0</v>
      </c>
      <c r="DH290">
        <f>IF(IF(OR(IFERROR(SEARCH("Cleric",$T290,1),0)&gt;0,IFERROR(SEARCH(DivineDomain&amp;",",$T290,1),0)&gt;0),1,0)*IF($C290=DH$2,1,0)=1,1+COUNTIF(DH$3:DH289,"&gt;0"),0)</f>
        <v>0</v>
      </c>
      <c r="DI290">
        <f>IF(IF(OR(IFERROR(SEARCH("Cleric",$T290,1),0)&gt;0,IFERROR(SEARCH(DivineDomain&amp;",",$T290,1),0)&gt;0),1,0)*IF($C290=DI$2,1,0)=1,1+COUNTIF(DI$3:DI289,"&gt;0"),0)</f>
        <v>0</v>
      </c>
      <c r="DJ290">
        <f>IF(IF(OR(IFERROR(SEARCH("Druid",$T290,1),0)&gt;0,IFERROR(SEARCH(DruidLand1,$T290,1),0)&gt;0,IFERROR(SEARCH(DruidLand2,$T290,1),0)&gt;0,IFERROR(SEARCH(DruidLand3,$T290,1),0)&gt;0,IFERROR(SEARCH(DruidLand4,$T290,1),0)&gt;0),1,0)*IF($C290=1,1,0)*IF($C290=DJ$2,1,0)=0,0,1+COUNTIF(DJ$3:DJ289,"&gt;0"))</f>
        <v>0</v>
      </c>
      <c r="DK290">
        <f>IF(IF(OR(IFERROR(SEARCH("Druid",$T290,1),0)&gt;0,IFERROR(SEARCH(DruidLand1,$T290,1),0)&gt;0,IFERROR(SEARCH(DruidLand2,$T290,1),0)&gt;0,IFERROR(SEARCH(DruidLand3,$T290,1),0)&gt;0,IFERROR(SEARCH(DruidLand4,$T290,1),0)&gt;0),1,0)*IF($C290=1,1,0)*IF($C290=DK$2,1,0)=0,0,1+COUNTIF(DK$3:DK289,"&gt;0"))</f>
        <v>0</v>
      </c>
      <c r="DL290">
        <f>IF(IF(OR(IFERROR(SEARCH("Druid",$T290,1),0)&gt;0,IFERROR(SEARCH(DruidLand1,$T290,1),0)&gt;0,IFERROR(SEARCH(DruidLand2,$T290,1),0)&gt;0,IFERROR(SEARCH(DruidLand3,$T290,1),0)&gt;0,IFERROR(SEARCH(DruidLand4,$T290,1),0)&gt;0),1,0)*IF($C290=1,1,0)*IF($C290=DL$2,1,0)=0,0,1+COUNTIF(DL$3:DL289,"&gt;0"))</f>
        <v>0</v>
      </c>
      <c r="DM290">
        <f>IF(IF(OR(IFERROR(SEARCH("Druid",$T290,1),0)&gt;0,IFERROR(SEARCH(DruidLand1,$T290,1),0)&gt;0,IFERROR(SEARCH(DruidLand2,$T290,1),0)&gt;0,IFERROR(SEARCH(DruidLand3,$T290,1),0)&gt;0,IFERROR(SEARCH(DruidLand4,$T290,1),0)&gt;0),1,0)*IF($C290=1,1,0)*IF($C290=DM$2,1,0)=0,0,1+COUNTIF(DM$3:DM289,"&gt;0"))</f>
        <v>0</v>
      </c>
      <c r="DN290">
        <f>IF(IF(OR(IFERROR(SEARCH("Druid",$T290,1),0)&gt;0,IFERROR(SEARCH(DruidLand1,$T290,1),0)&gt;0,IFERROR(SEARCH(DruidLand2,$T290,1),0)&gt;0,IFERROR(SEARCH(DruidLand3,$T290,1),0)&gt;0,IFERROR(SEARCH(DruidLand4,$T290,1),0)&gt;0),1,0)*IF($C290=1,1,0)*IF($C290=DN$2,1,0)=0,0,1+COUNTIF(DN$3:DN289,"&gt;0"))</f>
        <v>0</v>
      </c>
      <c r="DO290">
        <f>IF(IF(OR(IFERROR(SEARCH("Druid",$T290,1),0)&gt;0,IFERROR(SEARCH(DruidLand1,$T290,1),0)&gt;0,IFERROR(SEARCH(DruidLand2,$T290,1),0)&gt;0,IFERROR(SEARCH(DruidLand3,$T290,1),0)&gt;0,IFERROR(SEARCH(DruidLand4,$T290,1),0)&gt;0),1,0)*IF($C290=1,1,0)*IF($C290=DO$2,1,0)=0,0,1+COUNTIF(DO$3:DO289,"&gt;0"))</f>
        <v>0</v>
      </c>
      <c r="DP290">
        <f>IF(IF(OR(IFERROR(SEARCH("Druid",$T290,1),0)&gt;0,IFERROR(SEARCH(DruidLand1,$T290,1),0)&gt;0,IFERROR(SEARCH(DruidLand2,$T290,1),0)&gt;0,IFERROR(SEARCH(DruidLand3,$T290,1),0)&gt;0,IFERROR(SEARCH(DruidLand4,$T290,1),0)&gt;0),1,0)*IF($C290=1,1,0)*IF($C290=DP$2,1,0)=0,0,1+COUNTIF(DP$3:DP289,"&gt;0"))</f>
        <v>0</v>
      </c>
      <c r="DQ290">
        <f>IF(IF(OR(IFERROR(SEARCH("Druid",$T290,1),0)&gt;0,IFERROR(SEARCH(DruidLand1,$T290,1),0)&gt;0,IFERROR(SEARCH(DruidLand2,$T290,1),0)&gt;0,IFERROR(SEARCH(DruidLand3,$T290,1),0)&gt;0,IFERROR(SEARCH(DruidLand4,$T290,1),0)&gt;0),1,0)*IF($C290=1,1,0)*IF($C290=DQ$2,1,0)=0,0,1+COUNTIF(DQ$3:DQ289,"&gt;0"))</f>
        <v>0</v>
      </c>
      <c r="DR290">
        <f>IF(IF(OR(IFERROR(SEARCH("Druid",$T290,1),0)&gt;0,IFERROR(SEARCH(DruidLand1,$T290,1),0)&gt;0,IFERROR(SEARCH(DruidLand2,$T290,1),0)&gt;0,IFERROR(SEARCH(DruidLand3,$T290,1),0)&gt;0,IFERROR(SEARCH(DruidLand4,$T290,1),0)&gt;0),1,0)*IF($C290=1,1,0)*IF($C290=DR$2,1,0)=0,0,1+COUNTIF(DR$3:DR289,"&gt;0"))</f>
        <v>0</v>
      </c>
      <c r="DS290">
        <f>IF(IF(OR(IFERROR(SEARCH("Paladin",$T290,1),0)&gt;0,IFERROR(SEARCH(PaladinOath,$T290,1),0)&gt;0),1,0)*IF($C290=DS$2,1,0)=1,1+COUNTIF(DS$3:DS289,"&gt;0"),0)</f>
        <v>12</v>
      </c>
      <c r="DT290">
        <f>IF(IF(OR(IFERROR(SEARCH("Paladin",$T290,1),0)&gt;0,IFERROR(SEARCH(PaladinOath,$T290,1),0)&gt;0),1,0)*IF($C290=DT$2,1,0)=1,1+COUNTIF(DT$3:DT289,"&gt;0"),0)</f>
        <v>0</v>
      </c>
      <c r="DU290">
        <f>IF(IF(OR(IFERROR(SEARCH("Paladin",$T290,1),0)&gt;0,IFERROR(SEARCH(PaladinOath,$T290,1),0)&gt;0),1,0)*IF($C290=DU$2,1,0)=1,1+COUNTIF(DU$3:DU289,"&gt;0"),0)</f>
        <v>0</v>
      </c>
      <c r="DV290">
        <f>IF(IF(OR(IFERROR(SEARCH("Paladin",$T290,1),0)&gt;0,IFERROR(SEARCH(PaladinOath,$T290,1),0)&gt;0),1,0)*IF($C290=DV$2,1,0)=1,1+COUNTIF(DV$3:DV289,"&gt;0"),0)</f>
        <v>0</v>
      </c>
      <c r="DW290">
        <f>IF(IF(OR(IFERROR(SEARCH("Paladin",$T290,1),0)&gt;0,IFERROR(SEARCH(PaladinOath,$T290,1),0)&gt;0),1,0)*IF($C290=DW$2,1,0)=1,1+COUNTIF(DW$3:DW289,"&gt;0"),0)</f>
        <v>0</v>
      </c>
      <c r="DY290">
        <f t="shared" si="225"/>
        <v>1</v>
      </c>
      <c r="DZ290">
        <f>IF(DY290=0,0,1+MAX(DZ$3:$DZ289))</f>
        <v>288</v>
      </c>
      <c r="EB290">
        <f t="shared" si="239"/>
        <v>0</v>
      </c>
      <c r="EC290">
        <f>IF(EB290=0,0,1+COUNTIF(EC$3:EC289,"&gt;0"))</f>
        <v>0</v>
      </c>
      <c r="ED290" t="str">
        <f t="shared" si="267"/>
        <v/>
      </c>
      <c r="EE290" t="str">
        <f t="shared" si="240"/>
        <v/>
      </c>
      <c r="EG290">
        <f t="shared" si="241"/>
        <v>0</v>
      </c>
      <c r="EH290">
        <f>IF(EG290=0,0,1+COUNTIF(EH$3:EH289,"&gt;0"))</f>
        <v>0</v>
      </c>
      <c r="EI290" t="str">
        <f t="shared" si="268"/>
        <v/>
      </c>
      <c r="EJ290" t="str">
        <f t="shared" si="242"/>
        <v/>
      </c>
      <c r="EL290">
        <f t="shared" si="243"/>
        <v>0</v>
      </c>
      <c r="EM290">
        <f>IF(EL290=0,0,1+COUNTIF(EM$3:EM289,"&gt;0"))</f>
        <v>0</v>
      </c>
      <c r="EN290" t="str">
        <f t="shared" si="269"/>
        <v/>
      </c>
      <c r="EO290" t="str">
        <f t="shared" si="244"/>
        <v/>
      </c>
      <c r="EQ290">
        <f t="shared" si="245"/>
        <v>0</v>
      </c>
      <c r="ER290">
        <f>IF(EQ290=0,0,1+COUNTIF(ER$3:ER289,"&gt;0"))</f>
        <v>0</v>
      </c>
      <c r="ES290" t="str">
        <f t="shared" si="270"/>
        <v/>
      </c>
      <c r="ET290" t="str">
        <f t="shared" si="246"/>
        <v/>
      </c>
      <c r="EV290">
        <f t="shared" si="247"/>
        <v>0</v>
      </c>
      <c r="EW290">
        <f>IF(EV290=0,0,1+COUNTIF(EW$3:EW289,"&gt;0"))</f>
        <v>0</v>
      </c>
      <c r="EX290" t="str">
        <f t="shared" si="271"/>
        <v/>
      </c>
      <c r="EY290" t="str">
        <f t="shared" si="248"/>
        <v/>
      </c>
      <c r="FA290">
        <f t="shared" si="249"/>
        <v>0</v>
      </c>
      <c r="FB290">
        <f>IF(FA290=0,0,1+COUNTIF(FB$3:FB289,"&gt;0"))</f>
        <v>0</v>
      </c>
      <c r="FC290" t="str">
        <f t="shared" si="272"/>
        <v/>
      </c>
      <c r="FD290" t="str">
        <f t="shared" si="250"/>
        <v/>
      </c>
      <c r="FF290">
        <f t="shared" si="251"/>
        <v>0</v>
      </c>
      <c r="FG290">
        <f>IF(FF290=0,0,1+COUNTIF(FG$3:FG289,"&gt;0"))</f>
        <v>0</v>
      </c>
      <c r="FH290" t="str">
        <f t="shared" si="273"/>
        <v/>
      </c>
      <c r="FI290" t="str">
        <f t="shared" si="252"/>
        <v/>
      </c>
      <c r="FK290">
        <f t="shared" si="253"/>
        <v>0</v>
      </c>
      <c r="FL290">
        <f>IF(FK290=0,0,1+COUNTIF(FL$3:FL289,"&gt;0"))</f>
        <v>0</v>
      </c>
      <c r="FM290" t="str">
        <f t="shared" si="274"/>
        <v/>
      </c>
      <c r="FN290" t="str">
        <f t="shared" si="254"/>
        <v/>
      </c>
      <c r="FP290">
        <f t="shared" si="255"/>
        <v>0</v>
      </c>
      <c r="FQ290">
        <f>IF(FP290=0,0,1+COUNTIF(FQ$3:FQ289,"&gt;0"))</f>
        <v>0</v>
      </c>
      <c r="FR290" t="str">
        <f t="shared" si="275"/>
        <v/>
      </c>
      <c r="FS290" t="str">
        <f t="shared" si="256"/>
        <v/>
      </c>
    </row>
    <row r="291" spans="1:175" x14ac:dyDescent="0.25">
      <c r="A291" s="347">
        <f t="shared" si="276"/>
        <v>289</v>
      </c>
      <c r="B291" s="348" t="s">
        <v>2678</v>
      </c>
      <c r="C291" s="348">
        <v>2</v>
      </c>
      <c r="D291" s="347">
        <v>2</v>
      </c>
      <c r="E291" s="627" t="s">
        <v>6952</v>
      </c>
      <c r="F291" s="346"/>
      <c r="G291" s="347" t="str">
        <f>""</f>
        <v/>
      </c>
      <c r="H291" s="347" t="s">
        <v>5912</v>
      </c>
      <c r="I291" s="347" t="s">
        <v>5283</v>
      </c>
      <c r="J291" s="347" t="str">
        <f t="shared" si="226"/>
        <v/>
      </c>
      <c r="K291" s="347" t="s">
        <v>5293</v>
      </c>
      <c r="L291" s="611" t="str">
        <f t="shared" si="227"/>
        <v>V, S, M, a pinch of talc and a small sprinkling of powdered silver</v>
      </c>
      <c r="M291" s="347" t="s">
        <v>2373</v>
      </c>
      <c r="N291" s="347" t="s">
        <v>2387</v>
      </c>
      <c r="O291" s="347" t="s">
        <v>1244</v>
      </c>
      <c r="P291" s="346" t="s">
        <v>5472</v>
      </c>
      <c r="Q291" s="347" t="s">
        <v>2473</v>
      </c>
      <c r="S291" s="346" t="s">
        <v>2679</v>
      </c>
      <c r="T291" s="346" t="str">
        <f t="shared" si="228"/>
        <v xml:space="preserve">Bard, Sorcerer, Wizard, </v>
      </c>
      <c r="U291" s="347" t="str">
        <f>$B291</f>
        <v>See Invisibility</v>
      </c>
      <c r="X291" s="347" t="str">
        <f>$B291</f>
        <v>See Invisibility</v>
      </c>
      <c r="AD291" s="347" t="str">
        <f t="shared" ref="AD291:AD297" si="277">$B291</f>
        <v>See Invisibility</v>
      </c>
      <c r="AE291" t="str">
        <f>IF(IFERROR(MATCH($B291,temp!A$4:A$13,0),0)&gt;0,T08_Spells!AE$2,"")</f>
        <v/>
      </c>
      <c r="AF291" t="str">
        <f>IF(IFERROR(MATCH($B291,temp!B$4:B$13,0),0)&gt;0,T08_Spells!AF$2,"")</f>
        <v/>
      </c>
      <c r="AG291" t="str">
        <f>IF(IFERROR(MATCH($B291,temp!C$4:C$13,0),0)&gt;0,T08_Spells!AG$2,"")</f>
        <v/>
      </c>
      <c r="AH291" t="str">
        <f>IF(IFERROR(MATCH($B291,temp!D$4:D$13,0),0)&gt;0,T08_Spells!AH$2,"")</f>
        <v/>
      </c>
      <c r="AI291" t="str">
        <f>IF(IFERROR(MATCH($B291,temp!E$4:E$13,0),0)&gt;0,T08_Spells!AI$2,"")</f>
        <v/>
      </c>
      <c r="AJ291" t="str">
        <f>IF(IFERROR(MATCH($B291,temp!F$4:F$13,0),0)&gt;0,T08_Spells!AJ$2,"")</f>
        <v/>
      </c>
      <c r="AK291" t="str">
        <f>IF(IFERROR(MATCH($B291,temp!G$4:G$13,0),0)&gt;0,T08_Spells!AK$2,"")</f>
        <v/>
      </c>
      <c r="AL291" t="str">
        <f>IF(IFERROR(MATCH($B291,temp!H$4:H$13,0),0)&gt;0,T08_Spells!AL$2,"")</f>
        <v/>
      </c>
      <c r="AM291" t="str">
        <f>IF(IFERROR(MATCH($B291,temp!I$4:I$13,0),0)&gt;0,T08_Spells!AM$2,"")</f>
        <v/>
      </c>
      <c r="AN291" t="str">
        <f>IF(IFERROR(MATCH($B291,temp!J$4:J$13,0),0)&gt;0,T08_Spells!AN$2,"")</f>
        <v/>
      </c>
      <c r="AO291" t="str">
        <f>IF(IFERROR(MATCH($B291,temp!K$4:K$13,0),0)&gt;0,T08_Spells!AO$2,"")</f>
        <v/>
      </c>
      <c r="AP291" t="str">
        <f>IF(IFERROR(MATCH($B291,temp!L$4:L$13,0),0)&gt;0,T08_Spells!AP$2,"")</f>
        <v/>
      </c>
      <c r="AQ291" t="str">
        <f>IF(IFERROR(MATCH($B291,temp!M$4:M$13,0),0)&gt;0,T08_Spells!AQ$2,"")</f>
        <v/>
      </c>
      <c r="AR291" t="str">
        <f>IF(IFERROR(MATCH($B291,temp!N$4:N$13,0),0)&gt;0,T08_Spells!AR$2,"")</f>
        <v/>
      </c>
      <c r="AS291" t="str">
        <f>IF(IFERROR(MATCH($B291,temp!O$4:O$13,0),0)&gt;0,T08_Spells!AS$2,"")</f>
        <v/>
      </c>
      <c r="AT291" t="str">
        <f>IF(IFERROR(MATCH($B291,temp!P$4:P$13,0),0)&gt;0,T08_Spells!AT$2,"")</f>
        <v/>
      </c>
      <c r="AU291" t="str">
        <f>IF(IFERROR(MATCH($B291,temp!Q$4:Q$13,0),0)&gt;0,T08_Spells!AU$2,"")</f>
        <v/>
      </c>
      <c r="AV291" t="str">
        <f>IF(IFERROR(MATCH($B291,temp!R$4:R$13,0),0)&gt;0,T08_Spells!AV$2,"")</f>
        <v/>
      </c>
      <c r="AW291" t="str">
        <f>IF(IFERROR(MATCH($B291,temp!S$4:S$13,0),0)&gt;0,T08_Spells!AW$2,"")</f>
        <v/>
      </c>
      <c r="AX291" t="str">
        <f>IF(IFERROR(MATCH($B291,temp!T$4:T$13,0),0)&gt;0,T08_Spells!AX$2,"")</f>
        <v/>
      </c>
      <c r="AY291" t="str">
        <f>IF(IFERROR(MATCH($B291,temp!U$4:U$13,0),0)&gt;0,T08_Spells!AY$2,"")</f>
        <v/>
      </c>
      <c r="AZ291" t="str">
        <f>IF(IFERROR(MATCH($B291,temp!V$4:V$13,0),0)&gt;0,T08_Spells!AZ$2,"")</f>
        <v/>
      </c>
      <c r="BA291" t="str">
        <f>IF(IFERROR(MATCH($B291,temp!W$4:W$13,0),0)&gt;0,T08_Spells!BA$2,"")</f>
        <v/>
      </c>
      <c r="BC291">
        <f>IF(IFERROR(SEARCH("Ranger",$T291,1),0)&gt;0,1,0)*IF(RangerMaxSpellLevel&gt;=$C291,1,0)*IF(IFERROR(MATCH(B291,Character_Creation!$X$79:$X$382,0),0)&gt;0,0,1)</f>
        <v>0</v>
      </c>
      <c r="BD291">
        <f>IF(BC291=0,0,1+COUNTIF(BD$3:BD290,"&gt;0"))</f>
        <v>0</v>
      </c>
      <c r="BE291" t="str">
        <f t="shared" si="257"/>
        <v/>
      </c>
      <c r="BF291" t="str">
        <f t="shared" si="229"/>
        <v/>
      </c>
      <c r="BH291">
        <f>IF(IFERROR(SEARCH("Sorcerer",$T291,1),0)&gt;0,1,0)*IF(SorcererMaxSpellLevel&gt;=$C291,1,0)*IF(IFERROR(MATCH(B291,Character_Creation!$J$380:$J$394,0),0)&gt;0,0,1)</f>
        <v>0</v>
      </c>
      <c r="BI291">
        <f>IF(BH291=0,0,1+COUNTIF(BI$3:BI290,"&gt;0"))</f>
        <v>0</v>
      </c>
      <c r="BJ291" t="str">
        <f t="shared" si="258"/>
        <v/>
      </c>
      <c r="BK291" t="str">
        <f t="shared" si="230"/>
        <v/>
      </c>
      <c r="BM291">
        <f>IF(OR(IFERROR(SEARCH("Warlock",$T291,1),0)&gt;0,IFERROR(SEARCH(WarlockPatron,$T291,1),0)&gt;0),1,0)*IF(WarlockMaxSpellLevel&gt;=$C291,1,0)*IF(IFERROR(MATCH(B291,Character_Creation!$J$361:$J$375,0),0)&gt;0,0,1)</f>
        <v>0</v>
      </c>
      <c r="BN291">
        <f>IF(BM291=0,0,1+COUNTIF(BN$3:BN290,"&gt;0"))</f>
        <v>0</v>
      </c>
      <c r="BO291" t="str">
        <f t="shared" si="259"/>
        <v/>
      </c>
      <c r="BP291" t="str">
        <f t="shared" si="231"/>
        <v/>
      </c>
      <c r="BR291">
        <f>IF(IFERROR(SEARCH("Eldritch Knight",$T291,1),0)&gt;0,1,0)*IF(EldritchKnightMaxSpellLevel&gt;=$C291,1,0)*IF(IFERROR(MATCH($B291,Character_Creation!$J$350:$J$356,0),0)&gt;0,0,1)*IF(Character_Creation!$M$338&gt;0,1,0)</f>
        <v>0</v>
      </c>
      <c r="BS291">
        <f>IF(BR291=0,0,1+COUNTIF(BS$3:BS290,"&gt;0"))</f>
        <v>0</v>
      </c>
      <c r="BT291" t="str">
        <f t="shared" si="260"/>
        <v/>
      </c>
      <c r="BU291" t="str">
        <f t="shared" si="232"/>
        <v/>
      </c>
      <c r="BW291">
        <f>IF(IFERROR(SEARCH("Arcane Trickster",$T291,1),0)&gt;0,1,0)*IF(ArcaneTricksterMaxSpellLevel&gt;=$C291,1,0)*IF(IFERROR(MATCH($B291,Character_Creation!$J$350:$J$356,0),0)&gt;0,0,1)*IF(Character_Creation!$T$338&gt;0,1,0)</f>
        <v>0</v>
      </c>
      <c r="BX291">
        <f>IF(BW291=0,0,1+COUNTIF(BX$3:BX290,"&gt;0"))</f>
        <v>0</v>
      </c>
      <c r="BY291" t="str">
        <f t="shared" si="261"/>
        <v/>
      </c>
      <c r="BZ291" t="str">
        <f t="shared" si="233"/>
        <v/>
      </c>
      <c r="CB291">
        <f>IF(IFERROR(SEARCH("Wizard",$T291,1),0)&gt;0,1,0)*IF(C291&lt;=ArcaneTricksterMaxSpellLevel,1,0)*IF(IFERROR(MATCH($B291,Character_Creation!$J$350:$J$356,0),0)&gt;0,0,1)*IF(Character_Creation!$T$350&gt;0,1,0)</f>
        <v>0</v>
      </c>
      <c r="CC291">
        <f>IF(CB291=0,0,1+COUNTIF(CC$3:CC290,"&gt;0"))</f>
        <v>0</v>
      </c>
      <c r="CD291" t="str">
        <f t="shared" si="262"/>
        <v/>
      </c>
      <c r="CE291" t="str">
        <f t="shared" si="234"/>
        <v/>
      </c>
      <c r="CG291">
        <f>IF(IFERROR(SEARCH("Wizard",$T291,1),0)&gt;0,1,0)*IF($C291&lt;=EldritchKnightMaxSpellLevel,1,0)*IF(IFERROR(MATCH($B291,Character_Creation!$J$350:$J$356,0),0)&gt;0,0,1)*IF(Character_Creation!$M$350&gt;0,1,0)</f>
        <v>1</v>
      </c>
      <c r="CH291">
        <f>IF(CG291=0,0,1+COUNTIF(CH$3:CH290,"&gt;0"))</f>
        <v>51</v>
      </c>
      <c r="CI291" t="str">
        <f t="shared" si="263"/>
        <v/>
      </c>
      <c r="CJ291" t="str">
        <f t="shared" si="235"/>
        <v/>
      </c>
      <c r="CL291">
        <f>IF(IFERROR(SEARCH("Bard",$T291,1),0)&gt;0,1,0)*IF(BardMaxSpellLevel&gt;=$C291,1,0)*IF(IFERROR(MATCH(B291,Character_Creation!$C$341:$F$362,0),0)&gt;0,0,1)*IF(IFERROR(MATCH($B291,Character_Creation!$C$341:$C$362,0),0)&gt;0,0,1)</f>
        <v>0</v>
      </c>
      <c r="CM291">
        <f>IF(CL291=0,0,1+COUNTIF(CM$3:CM290,"&gt;0"))</f>
        <v>0</v>
      </c>
      <c r="CN291" t="str">
        <f t="shared" si="264"/>
        <v/>
      </c>
      <c r="CO291" t="str">
        <f t="shared" si="236"/>
        <v/>
      </c>
      <c r="CQ291">
        <f>IF(IFERROR(SEARCH("Wizard",$T291,1),0)&gt;0,1,0)*IF(WizardMaxSpellLevel&gt;=$C291,1,0)*IF(IFERROR(MATCH(B291,Character_Creation!$X$341:$X$400,0),0)&gt;0,0,1)*IF(SelectedWizardSpellLevel=$C291,1,0)</f>
        <v>0</v>
      </c>
      <c r="CR291">
        <f>IF(CQ291=0,0,1+COUNTIF(CR$3:CR290,"&gt;0"))</f>
        <v>0</v>
      </c>
      <c r="CS291" t="str">
        <f t="shared" si="265"/>
        <v/>
      </c>
      <c r="CT291" t="str">
        <f t="shared" si="237"/>
        <v/>
      </c>
      <c r="CV291">
        <f>IF(IFERROR(MATCH($B291,Character_Creation!$C$341:$C$362,0),0)&gt;0,0,1)*IF(OR(C291="Cantrip",C291&lt;=BardMaxSpellLevel),1,0)*IF(IFERROR(MATCH($B291,Character_Creation!$C$367:$C$374,0),0)&gt;0,0,1)</f>
        <v>0</v>
      </c>
      <c r="CW291">
        <f>IF(CV291=0,0,1+COUNTIF(CW$3:CW290,"&gt;0"))</f>
        <v>0</v>
      </c>
      <c r="CX291" t="str">
        <f t="shared" si="266"/>
        <v/>
      </c>
      <c r="CY291" t="str">
        <f t="shared" si="238"/>
        <v/>
      </c>
      <c r="DA291">
        <f>IF(IF(OR(IFERROR(SEARCH("Cleric",$T291,1),0)&gt;0,IFERROR(SEARCH(DivineDomain&amp;",",$T291,1),0)&gt;0),1,0)*IF($C291=DA$2,1,0)=1,1+COUNTIF(DA$3:DA290,"&gt;0"),0)</f>
        <v>0</v>
      </c>
      <c r="DB291">
        <f>IF(IF(OR(IFERROR(SEARCH("Cleric",$T291,1),0)&gt;0,IFERROR(SEARCH(DivineDomain&amp;",",$T291,1),0)&gt;0),1,0)*IF($C291=DB$2,1,0)=1,1+COUNTIF(DB$3:DB290,"&gt;0"),0)</f>
        <v>0</v>
      </c>
      <c r="DC291">
        <f>IF(IF(OR(IFERROR(SEARCH("Cleric",$T291,1),0)&gt;0,IFERROR(SEARCH(DivineDomain&amp;",",$T291,1),0)&gt;0),1,0)*IF($C291=DC$2,1,0)=1,1+COUNTIF(DC$3:DC290,"&gt;0"),0)</f>
        <v>0</v>
      </c>
      <c r="DD291">
        <f>IF(IF(OR(IFERROR(SEARCH("Cleric",$T291,1),0)&gt;0,IFERROR(SEARCH(DivineDomain&amp;",",$T291,1),0)&gt;0),1,0)*IF($C291=DD$2,1,0)=1,1+COUNTIF(DD$3:DD290,"&gt;0"),0)</f>
        <v>0</v>
      </c>
      <c r="DE291">
        <f>IF(IF(OR(IFERROR(SEARCH("Cleric",$T291,1),0)&gt;0,IFERROR(SEARCH(DivineDomain&amp;",",$T291,1),0)&gt;0),1,0)*IF($C291=DE$2,1,0)=1,1+COUNTIF(DE$3:DE290,"&gt;0"),0)</f>
        <v>0</v>
      </c>
      <c r="DF291">
        <f>IF(IF(OR(IFERROR(SEARCH("Cleric",$T291,1),0)&gt;0,IFERROR(SEARCH(DivineDomain&amp;",",$T291,1),0)&gt;0),1,0)*IF($C291=DF$2,1,0)=1,1+COUNTIF(DF$3:DF290,"&gt;0"),0)</f>
        <v>0</v>
      </c>
      <c r="DG291">
        <f>IF(IF(OR(IFERROR(SEARCH("Cleric",$T291,1),0)&gt;0,IFERROR(SEARCH(DivineDomain&amp;",",$T291,1),0)&gt;0),1,0)*IF($C291=DG$2,1,0)=1,1+COUNTIF(DG$3:DG290,"&gt;0"),0)</f>
        <v>0</v>
      </c>
      <c r="DH291">
        <f>IF(IF(OR(IFERROR(SEARCH("Cleric",$T291,1),0)&gt;0,IFERROR(SEARCH(DivineDomain&amp;",",$T291,1),0)&gt;0),1,0)*IF($C291=DH$2,1,0)=1,1+COUNTIF(DH$3:DH290,"&gt;0"),0)</f>
        <v>0</v>
      </c>
      <c r="DI291">
        <f>IF(IF(OR(IFERROR(SEARCH("Cleric",$T291,1),0)&gt;0,IFERROR(SEARCH(DivineDomain&amp;",",$T291,1),0)&gt;0),1,0)*IF($C291=DI$2,1,0)=1,1+COUNTIF(DI$3:DI290,"&gt;0"),0)</f>
        <v>0</v>
      </c>
      <c r="DJ291">
        <f>IF(IF(OR(IFERROR(SEARCH("Druid",$T291,1),0)&gt;0,IFERROR(SEARCH(DruidLand1,$T291,1),0)&gt;0,IFERROR(SEARCH(DruidLand2,$T291,1),0)&gt;0,IFERROR(SEARCH(DruidLand3,$T291,1),0)&gt;0,IFERROR(SEARCH(DruidLand4,$T291,1),0)&gt;0),1,0)*IF($C291=1,1,0)*IF($C291=DJ$2,1,0)=0,0,1+COUNTIF(DJ$3:DJ290,"&gt;0"))</f>
        <v>0</v>
      </c>
      <c r="DK291">
        <f>IF(IF(OR(IFERROR(SEARCH("Druid",$T291,1),0)&gt;0,IFERROR(SEARCH(DruidLand1,$T291,1),0)&gt;0,IFERROR(SEARCH(DruidLand2,$T291,1),0)&gt;0,IFERROR(SEARCH(DruidLand3,$T291,1),0)&gt;0,IFERROR(SEARCH(DruidLand4,$T291,1),0)&gt;0),1,0)*IF($C291=1,1,0)*IF($C291=DK$2,1,0)=0,0,1+COUNTIF(DK$3:DK290,"&gt;0"))</f>
        <v>0</v>
      </c>
      <c r="DL291">
        <f>IF(IF(OR(IFERROR(SEARCH("Druid",$T291,1),0)&gt;0,IFERROR(SEARCH(DruidLand1,$T291,1),0)&gt;0,IFERROR(SEARCH(DruidLand2,$T291,1),0)&gt;0,IFERROR(SEARCH(DruidLand3,$T291,1),0)&gt;0,IFERROR(SEARCH(DruidLand4,$T291,1),0)&gt;0),1,0)*IF($C291=1,1,0)*IF($C291=DL$2,1,0)=0,0,1+COUNTIF(DL$3:DL290,"&gt;0"))</f>
        <v>0</v>
      </c>
      <c r="DM291">
        <f>IF(IF(OR(IFERROR(SEARCH("Druid",$T291,1),0)&gt;0,IFERROR(SEARCH(DruidLand1,$T291,1),0)&gt;0,IFERROR(SEARCH(DruidLand2,$T291,1),0)&gt;0,IFERROR(SEARCH(DruidLand3,$T291,1),0)&gt;0,IFERROR(SEARCH(DruidLand4,$T291,1),0)&gt;0),1,0)*IF($C291=1,1,0)*IF($C291=DM$2,1,0)=0,0,1+COUNTIF(DM$3:DM290,"&gt;0"))</f>
        <v>0</v>
      </c>
      <c r="DN291">
        <f>IF(IF(OR(IFERROR(SEARCH("Druid",$T291,1),0)&gt;0,IFERROR(SEARCH(DruidLand1,$T291,1),0)&gt;0,IFERROR(SEARCH(DruidLand2,$T291,1),0)&gt;0,IFERROR(SEARCH(DruidLand3,$T291,1),0)&gt;0,IFERROR(SEARCH(DruidLand4,$T291,1),0)&gt;0),1,0)*IF($C291=1,1,0)*IF($C291=DN$2,1,0)=0,0,1+COUNTIF(DN$3:DN290,"&gt;0"))</f>
        <v>0</v>
      </c>
      <c r="DO291">
        <f>IF(IF(OR(IFERROR(SEARCH("Druid",$T291,1),0)&gt;0,IFERROR(SEARCH(DruidLand1,$T291,1),0)&gt;0,IFERROR(SEARCH(DruidLand2,$T291,1),0)&gt;0,IFERROR(SEARCH(DruidLand3,$T291,1),0)&gt;0,IFERROR(SEARCH(DruidLand4,$T291,1),0)&gt;0),1,0)*IF($C291=1,1,0)*IF($C291=DO$2,1,0)=0,0,1+COUNTIF(DO$3:DO290,"&gt;0"))</f>
        <v>0</v>
      </c>
      <c r="DP291">
        <f>IF(IF(OR(IFERROR(SEARCH("Druid",$T291,1),0)&gt;0,IFERROR(SEARCH(DruidLand1,$T291,1),0)&gt;0,IFERROR(SEARCH(DruidLand2,$T291,1),0)&gt;0,IFERROR(SEARCH(DruidLand3,$T291,1),0)&gt;0,IFERROR(SEARCH(DruidLand4,$T291,1),0)&gt;0),1,0)*IF($C291=1,1,0)*IF($C291=DP$2,1,0)=0,0,1+COUNTIF(DP$3:DP290,"&gt;0"))</f>
        <v>0</v>
      </c>
      <c r="DQ291">
        <f>IF(IF(OR(IFERROR(SEARCH("Druid",$T291,1),0)&gt;0,IFERROR(SEARCH(DruidLand1,$T291,1),0)&gt;0,IFERROR(SEARCH(DruidLand2,$T291,1),0)&gt;0,IFERROR(SEARCH(DruidLand3,$T291,1),0)&gt;0,IFERROR(SEARCH(DruidLand4,$T291,1),0)&gt;0),1,0)*IF($C291=1,1,0)*IF($C291=DQ$2,1,0)=0,0,1+COUNTIF(DQ$3:DQ290,"&gt;0"))</f>
        <v>0</v>
      </c>
      <c r="DR291">
        <f>IF(IF(OR(IFERROR(SEARCH("Druid",$T291,1),0)&gt;0,IFERROR(SEARCH(DruidLand1,$T291,1),0)&gt;0,IFERROR(SEARCH(DruidLand2,$T291,1),0)&gt;0,IFERROR(SEARCH(DruidLand3,$T291,1),0)&gt;0,IFERROR(SEARCH(DruidLand4,$T291,1),0)&gt;0),1,0)*IF($C291=1,1,0)*IF($C291=DR$2,1,0)=0,0,1+COUNTIF(DR$3:DR290,"&gt;0"))</f>
        <v>0</v>
      </c>
      <c r="DS291">
        <f>IF(IF(OR(IFERROR(SEARCH("Paladin",$T291,1),0)&gt;0,IFERROR(SEARCH(PaladinOath,$T291,1),0)&gt;0),1,0)*IF($C291=DS$2,1,0)=1,1+COUNTIF(DS$3:DS290,"&gt;0"),0)</f>
        <v>0</v>
      </c>
      <c r="DT291">
        <f>IF(IF(OR(IFERROR(SEARCH("Paladin",$T291,1),0)&gt;0,IFERROR(SEARCH(PaladinOath,$T291,1),0)&gt;0),1,0)*IF($C291=DT$2,1,0)=1,1+COUNTIF(DT$3:DT290,"&gt;0"),0)</f>
        <v>0</v>
      </c>
      <c r="DU291">
        <f>IF(IF(OR(IFERROR(SEARCH("Paladin",$T291,1),0)&gt;0,IFERROR(SEARCH(PaladinOath,$T291,1),0)&gt;0),1,0)*IF($C291=DU$2,1,0)=1,1+COUNTIF(DU$3:DU290,"&gt;0"),0)</f>
        <v>0</v>
      </c>
      <c r="DV291">
        <f>IF(IF(OR(IFERROR(SEARCH("Paladin",$T291,1),0)&gt;0,IFERROR(SEARCH(PaladinOath,$T291,1),0)&gt;0),1,0)*IF($C291=DV$2,1,0)=1,1+COUNTIF(DV$3:DV290,"&gt;0"),0)</f>
        <v>0</v>
      </c>
      <c r="DW291">
        <f>IF(IF(OR(IFERROR(SEARCH("Paladin",$T291,1),0)&gt;0,IFERROR(SEARCH(PaladinOath,$T291,1),0)&gt;0),1,0)*IF($C291=DW$2,1,0)=1,1+COUNTIF(DW$3:DW290,"&gt;0"),0)</f>
        <v>0</v>
      </c>
      <c r="DY291">
        <f t="shared" si="225"/>
        <v>1</v>
      </c>
      <c r="DZ291">
        <f>IF(DY291=0,0,1+MAX(DZ$3:$DZ290))</f>
        <v>289</v>
      </c>
      <c r="EB291">
        <f t="shared" si="239"/>
        <v>0</v>
      </c>
      <c r="EC291">
        <f>IF(EB291=0,0,1+COUNTIF(EC$3:EC290,"&gt;0"))</f>
        <v>0</v>
      </c>
      <c r="ED291" t="str">
        <f t="shared" si="267"/>
        <v/>
      </c>
      <c r="EE291" t="str">
        <f t="shared" si="240"/>
        <v/>
      </c>
      <c r="EG291">
        <f t="shared" si="241"/>
        <v>0</v>
      </c>
      <c r="EH291">
        <f>IF(EG291=0,0,1+COUNTIF(EH$3:EH290,"&gt;0"))</f>
        <v>0</v>
      </c>
      <c r="EI291" t="str">
        <f t="shared" si="268"/>
        <v/>
      </c>
      <c r="EJ291" t="str">
        <f t="shared" si="242"/>
        <v/>
      </c>
      <c r="EL291">
        <f t="shared" si="243"/>
        <v>0</v>
      </c>
      <c r="EM291">
        <f>IF(EL291=0,0,1+COUNTIF(EM$3:EM290,"&gt;0"))</f>
        <v>0</v>
      </c>
      <c r="EN291" t="str">
        <f t="shared" si="269"/>
        <v/>
      </c>
      <c r="EO291" t="str">
        <f t="shared" si="244"/>
        <v/>
      </c>
      <c r="EQ291">
        <f t="shared" si="245"/>
        <v>0</v>
      </c>
      <c r="ER291">
        <f>IF(EQ291=0,0,1+COUNTIF(ER$3:ER290,"&gt;0"))</f>
        <v>0</v>
      </c>
      <c r="ES291" t="str">
        <f t="shared" si="270"/>
        <v/>
      </c>
      <c r="ET291" t="str">
        <f t="shared" si="246"/>
        <v/>
      </c>
      <c r="EV291">
        <f t="shared" si="247"/>
        <v>0</v>
      </c>
      <c r="EW291">
        <f>IF(EV291=0,0,1+COUNTIF(EW$3:EW290,"&gt;0"))</f>
        <v>0</v>
      </c>
      <c r="EX291" t="str">
        <f t="shared" si="271"/>
        <v/>
      </c>
      <c r="EY291" t="str">
        <f t="shared" si="248"/>
        <v/>
      </c>
      <c r="FA291">
        <f t="shared" si="249"/>
        <v>0</v>
      </c>
      <c r="FB291">
        <f>IF(FA291=0,0,1+COUNTIF(FB$3:FB290,"&gt;0"))</f>
        <v>0</v>
      </c>
      <c r="FC291" t="str">
        <f t="shared" si="272"/>
        <v/>
      </c>
      <c r="FD291" t="str">
        <f t="shared" si="250"/>
        <v/>
      </c>
      <c r="FF291">
        <f t="shared" si="251"/>
        <v>0</v>
      </c>
      <c r="FG291">
        <f>IF(FF291=0,0,1+COUNTIF(FG$3:FG290,"&gt;0"))</f>
        <v>0</v>
      </c>
      <c r="FH291" t="str">
        <f t="shared" si="273"/>
        <v/>
      </c>
      <c r="FI291" t="str">
        <f t="shared" si="252"/>
        <v/>
      </c>
      <c r="FK291">
        <f t="shared" si="253"/>
        <v>0</v>
      </c>
      <c r="FL291">
        <f>IF(FK291=0,0,1+COUNTIF(FL$3:FL290,"&gt;0"))</f>
        <v>0</v>
      </c>
      <c r="FM291" t="str">
        <f t="shared" si="274"/>
        <v/>
      </c>
      <c r="FN291" t="str">
        <f t="shared" si="254"/>
        <v/>
      </c>
      <c r="FP291">
        <f t="shared" si="255"/>
        <v>0</v>
      </c>
      <c r="FQ291">
        <f>IF(FP291=0,0,1+COUNTIF(FQ$3:FQ290,"&gt;0"))</f>
        <v>0</v>
      </c>
      <c r="FR291" t="str">
        <f t="shared" si="275"/>
        <v/>
      </c>
      <c r="FS291" t="str">
        <f t="shared" si="256"/>
        <v/>
      </c>
    </row>
    <row r="292" spans="1:175" x14ac:dyDescent="0.25">
      <c r="A292" s="347">
        <f t="shared" si="276"/>
        <v>290</v>
      </c>
      <c r="B292" s="348" t="s">
        <v>2680</v>
      </c>
      <c r="C292" s="348">
        <v>5</v>
      </c>
      <c r="D292" s="347">
        <v>5</v>
      </c>
      <c r="E292" s="627" t="s">
        <v>6952</v>
      </c>
      <c r="F292" s="346"/>
      <c r="G292" s="347" t="str">
        <f>""</f>
        <v/>
      </c>
      <c r="H292" s="347" t="s">
        <v>5912</v>
      </c>
      <c r="I292" s="347" t="s">
        <v>5060</v>
      </c>
      <c r="J292" s="347" t="str">
        <f t="shared" si="226"/>
        <v/>
      </c>
      <c r="K292" s="347" t="s">
        <v>5279</v>
      </c>
      <c r="L292" s="611" t="str">
        <f t="shared" si="227"/>
        <v>V, S</v>
      </c>
      <c r="M292" s="347" t="s">
        <v>2373</v>
      </c>
      <c r="N292" s="347" t="s">
        <v>2387</v>
      </c>
      <c r="O292" s="347" t="s">
        <v>3034</v>
      </c>
      <c r="P292" s="346" t="str">
        <f>""</f>
        <v/>
      </c>
      <c r="Q292" s="347" t="s">
        <v>5274</v>
      </c>
      <c r="S292" s="346" t="s">
        <v>5816</v>
      </c>
      <c r="T292" s="346" t="str">
        <f t="shared" si="228"/>
        <v xml:space="preserve">Bard, Sorcerer, Arcane Trickster, Wizard, Archfey, </v>
      </c>
      <c r="U292" s="347" t="str">
        <f>$B292</f>
        <v>Seeming</v>
      </c>
      <c r="X292" s="347" t="str">
        <f>$B292</f>
        <v>Seeming</v>
      </c>
      <c r="AC292" s="539" t="str">
        <f>B292</f>
        <v>Seeming</v>
      </c>
      <c r="AD292" s="347" t="str">
        <f t="shared" si="277"/>
        <v>Seeming</v>
      </c>
      <c r="AE292" t="str">
        <f>IF(IFERROR(MATCH($B292,temp!A$4:A$13,0),0)&gt;0,T08_Spells!AE$2,"")</f>
        <v/>
      </c>
      <c r="AF292" t="str">
        <f>IF(IFERROR(MATCH($B292,temp!B$4:B$13,0),0)&gt;0,T08_Spells!AF$2,"")</f>
        <v/>
      </c>
      <c r="AG292" t="str">
        <f>IF(IFERROR(MATCH($B292,temp!C$4:C$13,0),0)&gt;0,T08_Spells!AG$2,"")</f>
        <v/>
      </c>
      <c r="AH292" t="str">
        <f>IF(IFERROR(MATCH($B292,temp!D$4:D$13,0),0)&gt;0,T08_Spells!AH$2,"")</f>
        <v/>
      </c>
      <c r="AI292" t="str">
        <f>IF(IFERROR(MATCH($B292,temp!E$4:E$13,0),0)&gt;0,T08_Spells!AI$2,"")</f>
        <v>Archfey</v>
      </c>
      <c r="AJ292" t="str">
        <f>IF(IFERROR(MATCH($B292,temp!F$4:F$13,0),0)&gt;0,T08_Spells!AJ$2,"")</f>
        <v/>
      </c>
      <c r="AK292" t="str">
        <f>IF(IFERROR(MATCH($B292,temp!G$4:G$13,0),0)&gt;0,T08_Spells!AK$2,"")</f>
        <v/>
      </c>
      <c r="AL292" t="str">
        <f>IF(IFERROR(MATCH($B292,temp!H$4:H$13,0),0)&gt;0,T08_Spells!AL$2,"")</f>
        <v/>
      </c>
      <c r="AM292" t="str">
        <f>IF(IFERROR(MATCH($B292,temp!I$4:I$13,0),0)&gt;0,T08_Spells!AM$2,"")</f>
        <v/>
      </c>
      <c r="AN292" t="str">
        <f>IF(IFERROR(MATCH($B292,temp!J$4:J$13,0),0)&gt;0,T08_Spells!AN$2,"")</f>
        <v/>
      </c>
      <c r="AO292" t="str">
        <f>IF(IFERROR(MATCH($B292,temp!K$4:K$13,0),0)&gt;0,T08_Spells!AO$2,"")</f>
        <v/>
      </c>
      <c r="AP292" t="str">
        <f>IF(IFERROR(MATCH($B292,temp!L$4:L$13,0),0)&gt;0,T08_Spells!AP$2,"")</f>
        <v/>
      </c>
      <c r="AQ292" t="str">
        <f>IF(IFERROR(MATCH($B292,temp!M$4:M$13,0),0)&gt;0,T08_Spells!AQ$2,"")</f>
        <v/>
      </c>
      <c r="AR292" t="str">
        <f>IF(IFERROR(MATCH($B292,temp!N$4:N$13,0),0)&gt;0,T08_Spells!AR$2,"")</f>
        <v/>
      </c>
      <c r="AS292" t="str">
        <f>IF(IFERROR(MATCH($B292,temp!O$4:O$13,0),0)&gt;0,T08_Spells!AS$2,"")</f>
        <v/>
      </c>
      <c r="AT292" t="str">
        <f>IF(IFERROR(MATCH($B292,temp!P$4:P$13,0),0)&gt;0,T08_Spells!AT$2,"")</f>
        <v/>
      </c>
      <c r="AU292" t="str">
        <f>IF(IFERROR(MATCH($B292,temp!Q$4:Q$13,0),0)&gt;0,T08_Spells!AU$2,"")</f>
        <v/>
      </c>
      <c r="AV292" t="str">
        <f>IF(IFERROR(MATCH($B292,temp!R$4:R$13,0),0)&gt;0,T08_Spells!AV$2,"")</f>
        <v/>
      </c>
      <c r="AW292" t="str">
        <f>IF(IFERROR(MATCH($B292,temp!S$4:S$13,0),0)&gt;0,T08_Spells!AW$2,"")</f>
        <v/>
      </c>
      <c r="AX292" t="str">
        <f>IF(IFERROR(MATCH($B292,temp!T$4:T$13,0),0)&gt;0,T08_Spells!AX$2,"")</f>
        <v/>
      </c>
      <c r="AY292" t="str">
        <f>IF(IFERROR(MATCH($B292,temp!U$4:U$13,0),0)&gt;0,T08_Spells!AY$2,"")</f>
        <v/>
      </c>
      <c r="AZ292" t="str">
        <f>IF(IFERROR(MATCH($B292,temp!V$4:V$13,0),0)&gt;0,T08_Spells!AZ$2,"")</f>
        <v/>
      </c>
      <c r="BA292" t="str">
        <f>IF(IFERROR(MATCH($B292,temp!W$4:W$13,0),0)&gt;0,T08_Spells!BA$2,"")</f>
        <v/>
      </c>
      <c r="BC292">
        <f>IF(IFERROR(SEARCH("Ranger",$T292,1),0)&gt;0,1,0)*IF(RangerMaxSpellLevel&gt;=$C292,1,0)*IF(IFERROR(MATCH(B292,Character_Creation!$X$79:$X$382,0),0)&gt;0,0,1)</f>
        <v>0</v>
      </c>
      <c r="BD292">
        <f>IF(BC292=0,0,1+COUNTIF(BD$3:BD291,"&gt;0"))</f>
        <v>0</v>
      </c>
      <c r="BE292" t="str">
        <f t="shared" si="257"/>
        <v/>
      </c>
      <c r="BF292" t="str">
        <f t="shared" si="229"/>
        <v/>
      </c>
      <c r="BH292">
        <f>IF(IFERROR(SEARCH("Sorcerer",$T292,1),0)&gt;0,1,0)*IF(SorcererMaxSpellLevel&gt;=$C292,1,0)*IF(IFERROR(MATCH(B292,Character_Creation!$J$380:$J$394,0),0)&gt;0,0,1)</f>
        <v>0</v>
      </c>
      <c r="BI292">
        <f>IF(BH292=0,0,1+COUNTIF(BI$3:BI291,"&gt;0"))</f>
        <v>0</v>
      </c>
      <c r="BJ292" t="str">
        <f t="shared" si="258"/>
        <v/>
      </c>
      <c r="BK292" t="str">
        <f t="shared" si="230"/>
        <v/>
      </c>
      <c r="BM292">
        <f>IF(OR(IFERROR(SEARCH("Warlock",$T292,1),0)&gt;0,IFERROR(SEARCH(WarlockPatron,$T292,1),0)&gt;0),1,0)*IF(WarlockMaxSpellLevel&gt;=$C292,1,0)*IF(IFERROR(MATCH(B292,Character_Creation!$J$361:$J$375,0),0)&gt;0,0,1)</f>
        <v>0</v>
      </c>
      <c r="BN292">
        <f>IF(BM292=0,0,1+COUNTIF(BN$3:BN291,"&gt;0"))</f>
        <v>0</v>
      </c>
      <c r="BO292" t="str">
        <f t="shared" si="259"/>
        <v/>
      </c>
      <c r="BP292" t="str">
        <f t="shared" si="231"/>
        <v/>
      </c>
      <c r="BR292">
        <f>IF(IFERROR(SEARCH("Eldritch Knight",$T292,1),0)&gt;0,1,0)*IF(EldritchKnightMaxSpellLevel&gt;=$C292,1,0)*IF(IFERROR(MATCH($B292,Character_Creation!$J$350:$J$356,0),0)&gt;0,0,1)*IF(Character_Creation!$M$338&gt;0,1,0)</f>
        <v>0</v>
      </c>
      <c r="BS292">
        <f>IF(BR292=0,0,1+COUNTIF(BS$3:BS291,"&gt;0"))</f>
        <v>0</v>
      </c>
      <c r="BT292" t="str">
        <f t="shared" si="260"/>
        <v/>
      </c>
      <c r="BU292" t="str">
        <f t="shared" si="232"/>
        <v/>
      </c>
      <c r="BW292">
        <f>IF(IFERROR(SEARCH("Arcane Trickster",$T292,1),0)&gt;0,1,0)*IF(ArcaneTricksterMaxSpellLevel&gt;=$C292,1,0)*IF(IFERROR(MATCH($B292,Character_Creation!$J$350:$J$356,0),0)&gt;0,0,1)*IF(Character_Creation!$T$338&gt;0,1,0)</f>
        <v>0</v>
      </c>
      <c r="BX292">
        <f>IF(BW292=0,0,1+COUNTIF(BX$3:BX291,"&gt;0"))</f>
        <v>0</v>
      </c>
      <c r="BY292" t="str">
        <f t="shared" si="261"/>
        <v/>
      </c>
      <c r="BZ292" t="str">
        <f t="shared" si="233"/>
        <v/>
      </c>
      <c r="CB292">
        <f>IF(IFERROR(SEARCH("Wizard",$T292,1),0)&gt;0,1,0)*IF(C292&lt;=ArcaneTricksterMaxSpellLevel,1,0)*IF(IFERROR(MATCH($B292,Character_Creation!$J$350:$J$356,0),0)&gt;0,0,1)*IF(Character_Creation!$T$350&gt;0,1,0)</f>
        <v>0</v>
      </c>
      <c r="CC292">
        <f>IF(CB292=0,0,1+COUNTIF(CC$3:CC291,"&gt;0"))</f>
        <v>0</v>
      </c>
      <c r="CD292" t="str">
        <f t="shared" si="262"/>
        <v/>
      </c>
      <c r="CE292" t="str">
        <f t="shared" si="234"/>
        <v/>
      </c>
      <c r="CG292">
        <f>IF(IFERROR(SEARCH("Wizard",$T292,1),0)&gt;0,1,0)*IF($C292&lt;=EldritchKnightMaxSpellLevel,1,0)*IF(IFERROR(MATCH($B292,Character_Creation!$J$350:$J$356,0),0)&gt;0,0,1)*IF(Character_Creation!$M$350&gt;0,1,0)</f>
        <v>0</v>
      </c>
      <c r="CH292">
        <f>IF(CG292=0,0,1+COUNTIF(CH$3:CH291,"&gt;0"))</f>
        <v>0</v>
      </c>
      <c r="CI292" t="str">
        <f t="shared" si="263"/>
        <v/>
      </c>
      <c r="CJ292" t="str">
        <f t="shared" si="235"/>
        <v/>
      </c>
      <c r="CL292">
        <f>IF(IFERROR(SEARCH("Bard",$T292,1),0)&gt;0,1,0)*IF(BardMaxSpellLevel&gt;=$C292,1,0)*IF(IFERROR(MATCH(B292,Character_Creation!$C$341:$F$362,0),0)&gt;0,0,1)*IF(IFERROR(MATCH($B292,Character_Creation!$C$341:$C$362,0),0)&gt;0,0,1)</f>
        <v>0</v>
      </c>
      <c r="CM292">
        <f>IF(CL292=0,0,1+COUNTIF(CM$3:CM291,"&gt;0"))</f>
        <v>0</v>
      </c>
      <c r="CN292" t="str">
        <f t="shared" si="264"/>
        <v/>
      </c>
      <c r="CO292" t="str">
        <f t="shared" si="236"/>
        <v/>
      </c>
      <c r="CQ292">
        <f>IF(IFERROR(SEARCH("Wizard",$T292,1),0)&gt;0,1,0)*IF(WizardMaxSpellLevel&gt;=$C292,1,0)*IF(IFERROR(MATCH(B292,Character_Creation!$X$341:$X$400,0),0)&gt;0,0,1)*IF(SelectedWizardSpellLevel=$C292,1,0)</f>
        <v>0</v>
      </c>
      <c r="CR292">
        <f>IF(CQ292=0,0,1+COUNTIF(CR$3:CR291,"&gt;0"))</f>
        <v>0</v>
      </c>
      <c r="CS292" t="str">
        <f t="shared" si="265"/>
        <v/>
      </c>
      <c r="CT292" t="str">
        <f t="shared" si="237"/>
        <v/>
      </c>
      <c r="CV292">
        <f>IF(IFERROR(MATCH($B292,Character_Creation!$C$341:$C$362,0),0)&gt;0,0,1)*IF(OR(C292="Cantrip",C292&lt;=BardMaxSpellLevel),1,0)*IF(IFERROR(MATCH($B292,Character_Creation!$C$367:$C$374,0),0)&gt;0,0,1)</f>
        <v>0</v>
      </c>
      <c r="CW292">
        <f>IF(CV292=0,0,1+COUNTIF(CW$3:CW291,"&gt;0"))</f>
        <v>0</v>
      </c>
      <c r="CX292" t="str">
        <f t="shared" si="266"/>
        <v/>
      </c>
      <c r="CY292" t="str">
        <f t="shared" si="238"/>
        <v/>
      </c>
      <c r="DA292">
        <f>IF(IF(OR(IFERROR(SEARCH("Cleric",$T292,1),0)&gt;0,IFERROR(SEARCH(DivineDomain&amp;",",$T292,1),0)&gt;0),1,0)*IF($C292=DA$2,1,0)=1,1+COUNTIF(DA$3:DA291,"&gt;0"),0)</f>
        <v>0</v>
      </c>
      <c r="DB292">
        <f>IF(IF(OR(IFERROR(SEARCH("Cleric",$T292,1),0)&gt;0,IFERROR(SEARCH(DivineDomain&amp;",",$T292,1),0)&gt;0),1,0)*IF($C292=DB$2,1,0)=1,1+COUNTIF(DB$3:DB291,"&gt;0"),0)</f>
        <v>0</v>
      </c>
      <c r="DC292">
        <f>IF(IF(OR(IFERROR(SEARCH("Cleric",$T292,1),0)&gt;0,IFERROR(SEARCH(DivineDomain&amp;",",$T292,1),0)&gt;0),1,0)*IF($C292=DC$2,1,0)=1,1+COUNTIF(DC$3:DC291,"&gt;0"),0)</f>
        <v>0</v>
      </c>
      <c r="DD292">
        <f>IF(IF(OR(IFERROR(SEARCH("Cleric",$T292,1),0)&gt;0,IFERROR(SEARCH(DivineDomain&amp;",",$T292,1),0)&gt;0),1,0)*IF($C292=DD$2,1,0)=1,1+COUNTIF(DD$3:DD291,"&gt;0"),0)</f>
        <v>0</v>
      </c>
      <c r="DE292">
        <f>IF(IF(OR(IFERROR(SEARCH("Cleric",$T292,1),0)&gt;0,IFERROR(SEARCH(DivineDomain&amp;",",$T292,1),0)&gt;0),1,0)*IF($C292=DE$2,1,0)=1,1+COUNTIF(DE$3:DE291,"&gt;0"),0)</f>
        <v>0</v>
      </c>
      <c r="DF292">
        <f>IF(IF(OR(IFERROR(SEARCH("Cleric",$T292,1),0)&gt;0,IFERROR(SEARCH(DivineDomain&amp;",",$T292,1),0)&gt;0),1,0)*IF($C292=DF$2,1,0)=1,1+COUNTIF(DF$3:DF291,"&gt;0"),0)</f>
        <v>0</v>
      </c>
      <c r="DG292">
        <f>IF(IF(OR(IFERROR(SEARCH("Cleric",$T292,1),0)&gt;0,IFERROR(SEARCH(DivineDomain&amp;",",$T292,1),0)&gt;0),1,0)*IF($C292=DG$2,1,0)=1,1+COUNTIF(DG$3:DG291,"&gt;0"),0)</f>
        <v>0</v>
      </c>
      <c r="DH292">
        <f>IF(IF(OR(IFERROR(SEARCH("Cleric",$T292,1),0)&gt;0,IFERROR(SEARCH(DivineDomain&amp;",",$T292,1),0)&gt;0),1,0)*IF($C292=DH$2,1,0)=1,1+COUNTIF(DH$3:DH291,"&gt;0"),0)</f>
        <v>0</v>
      </c>
      <c r="DI292">
        <f>IF(IF(OR(IFERROR(SEARCH("Cleric",$T292,1),0)&gt;0,IFERROR(SEARCH(DivineDomain&amp;",",$T292,1),0)&gt;0),1,0)*IF($C292=DI$2,1,0)=1,1+COUNTIF(DI$3:DI291,"&gt;0"),0)</f>
        <v>0</v>
      </c>
      <c r="DJ292">
        <f>IF(IF(OR(IFERROR(SEARCH("Druid",$T292,1),0)&gt;0,IFERROR(SEARCH(DruidLand1,$T292,1),0)&gt;0,IFERROR(SEARCH(DruidLand2,$T292,1),0)&gt;0,IFERROR(SEARCH(DruidLand3,$T292,1),0)&gt;0,IFERROR(SEARCH(DruidLand4,$T292,1),0)&gt;0),1,0)*IF($C292=1,1,0)*IF($C292=DJ$2,1,0)=0,0,1+COUNTIF(DJ$3:DJ291,"&gt;0"))</f>
        <v>0</v>
      </c>
      <c r="DK292">
        <f>IF(IF(OR(IFERROR(SEARCH("Druid",$T292,1),0)&gt;0,IFERROR(SEARCH(DruidLand1,$T292,1),0)&gt;0,IFERROR(SEARCH(DruidLand2,$T292,1),0)&gt;0,IFERROR(SEARCH(DruidLand3,$T292,1),0)&gt;0,IFERROR(SEARCH(DruidLand4,$T292,1),0)&gt;0),1,0)*IF($C292=1,1,0)*IF($C292=DK$2,1,0)=0,0,1+COUNTIF(DK$3:DK291,"&gt;0"))</f>
        <v>0</v>
      </c>
      <c r="DL292">
        <f>IF(IF(OR(IFERROR(SEARCH("Druid",$T292,1),0)&gt;0,IFERROR(SEARCH(DruidLand1,$T292,1),0)&gt;0,IFERROR(SEARCH(DruidLand2,$T292,1),0)&gt;0,IFERROR(SEARCH(DruidLand3,$T292,1),0)&gt;0,IFERROR(SEARCH(DruidLand4,$T292,1),0)&gt;0),1,0)*IF($C292=1,1,0)*IF($C292=DL$2,1,0)=0,0,1+COUNTIF(DL$3:DL291,"&gt;0"))</f>
        <v>0</v>
      </c>
      <c r="DM292">
        <f>IF(IF(OR(IFERROR(SEARCH("Druid",$T292,1),0)&gt;0,IFERROR(SEARCH(DruidLand1,$T292,1),0)&gt;0,IFERROR(SEARCH(DruidLand2,$T292,1),0)&gt;0,IFERROR(SEARCH(DruidLand3,$T292,1),0)&gt;0,IFERROR(SEARCH(DruidLand4,$T292,1),0)&gt;0),1,0)*IF($C292=1,1,0)*IF($C292=DM$2,1,0)=0,0,1+COUNTIF(DM$3:DM291,"&gt;0"))</f>
        <v>0</v>
      </c>
      <c r="DN292">
        <f>IF(IF(OR(IFERROR(SEARCH("Druid",$T292,1),0)&gt;0,IFERROR(SEARCH(DruidLand1,$T292,1),0)&gt;0,IFERROR(SEARCH(DruidLand2,$T292,1),0)&gt;0,IFERROR(SEARCH(DruidLand3,$T292,1),0)&gt;0,IFERROR(SEARCH(DruidLand4,$T292,1),0)&gt;0),1,0)*IF($C292=1,1,0)*IF($C292=DN$2,1,0)=0,0,1+COUNTIF(DN$3:DN291,"&gt;0"))</f>
        <v>0</v>
      </c>
      <c r="DO292">
        <f>IF(IF(OR(IFERROR(SEARCH("Druid",$T292,1),0)&gt;0,IFERROR(SEARCH(DruidLand1,$T292,1),0)&gt;0,IFERROR(SEARCH(DruidLand2,$T292,1),0)&gt;0,IFERROR(SEARCH(DruidLand3,$T292,1),0)&gt;0,IFERROR(SEARCH(DruidLand4,$T292,1),0)&gt;0),1,0)*IF($C292=1,1,0)*IF($C292=DO$2,1,0)=0,0,1+COUNTIF(DO$3:DO291,"&gt;0"))</f>
        <v>0</v>
      </c>
      <c r="DP292">
        <f>IF(IF(OR(IFERROR(SEARCH("Druid",$T292,1),0)&gt;0,IFERROR(SEARCH(DruidLand1,$T292,1),0)&gt;0,IFERROR(SEARCH(DruidLand2,$T292,1),0)&gt;0,IFERROR(SEARCH(DruidLand3,$T292,1),0)&gt;0,IFERROR(SEARCH(DruidLand4,$T292,1),0)&gt;0),1,0)*IF($C292=1,1,0)*IF($C292=DP$2,1,0)=0,0,1+COUNTIF(DP$3:DP291,"&gt;0"))</f>
        <v>0</v>
      </c>
      <c r="DQ292">
        <f>IF(IF(OR(IFERROR(SEARCH("Druid",$T292,1),0)&gt;0,IFERROR(SEARCH(DruidLand1,$T292,1),0)&gt;0,IFERROR(SEARCH(DruidLand2,$T292,1),0)&gt;0,IFERROR(SEARCH(DruidLand3,$T292,1),0)&gt;0,IFERROR(SEARCH(DruidLand4,$T292,1),0)&gt;0),1,0)*IF($C292=1,1,0)*IF($C292=DQ$2,1,0)=0,0,1+COUNTIF(DQ$3:DQ291,"&gt;0"))</f>
        <v>0</v>
      </c>
      <c r="DR292">
        <f>IF(IF(OR(IFERROR(SEARCH("Druid",$T292,1),0)&gt;0,IFERROR(SEARCH(DruidLand1,$T292,1),0)&gt;0,IFERROR(SEARCH(DruidLand2,$T292,1),0)&gt;0,IFERROR(SEARCH(DruidLand3,$T292,1),0)&gt;0,IFERROR(SEARCH(DruidLand4,$T292,1),0)&gt;0),1,0)*IF($C292=1,1,0)*IF($C292=DR$2,1,0)=0,0,1+COUNTIF(DR$3:DR291,"&gt;0"))</f>
        <v>0</v>
      </c>
      <c r="DS292">
        <f>IF(IF(OR(IFERROR(SEARCH("Paladin",$T292,1),0)&gt;0,IFERROR(SEARCH(PaladinOath,$T292,1),0)&gt;0),1,0)*IF($C292=DS$2,1,0)=1,1+COUNTIF(DS$3:DS291,"&gt;0"),0)</f>
        <v>0</v>
      </c>
      <c r="DT292">
        <f>IF(IF(OR(IFERROR(SEARCH("Paladin",$T292,1),0)&gt;0,IFERROR(SEARCH(PaladinOath,$T292,1),0)&gt;0),1,0)*IF($C292=DT$2,1,0)=1,1+COUNTIF(DT$3:DT291,"&gt;0"),0)</f>
        <v>0</v>
      </c>
      <c r="DU292">
        <f>IF(IF(OR(IFERROR(SEARCH("Paladin",$T292,1),0)&gt;0,IFERROR(SEARCH(PaladinOath,$T292,1),0)&gt;0),1,0)*IF($C292=DU$2,1,0)=1,1+COUNTIF(DU$3:DU291,"&gt;0"),0)</f>
        <v>0</v>
      </c>
      <c r="DV292">
        <f>IF(IF(OR(IFERROR(SEARCH("Paladin",$T292,1),0)&gt;0,IFERROR(SEARCH(PaladinOath,$T292,1),0)&gt;0),1,0)*IF($C292=DV$2,1,0)=1,1+COUNTIF(DV$3:DV291,"&gt;0"),0)</f>
        <v>0</v>
      </c>
      <c r="DW292">
        <f>IF(IF(OR(IFERROR(SEARCH("Paladin",$T292,1),0)&gt;0,IFERROR(SEARCH(PaladinOath,$T292,1),0)&gt;0),1,0)*IF($C292=DW$2,1,0)=1,1+COUNTIF(DW$3:DW291,"&gt;0"),0)</f>
        <v>0</v>
      </c>
      <c r="DY292">
        <f t="shared" si="225"/>
        <v>1</v>
      </c>
      <c r="DZ292">
        <f>IF(DY292=0,0,1+MAX(DZ$3:$DZ291))</f>
        <v>290</v>
      </c>
      <c r="EB292">
        <f t="shared" si="239"/>
        <v>0</v>
      </c>
      <c r="EC292">
        <f>IF(EB292=0,0,1+COUNTIF(EC$3:EC291,"&gt;0"))</f>
        <v>0</v>
      </c>
      <c r="ED292" t="str">
        <f t="shared" si="267"/>
        <v/>
      </c>
      <c r="EE292" t="str">
        <f t="shared" si="240"/>
        <v/>
      </c>
      <c r="EG292">
        <f t="shared" si="241"/>
        <v>0</v>
      </c>
      <c r="EH292">
        <f>IF(EG292=0,0,1+COUNTIF(EH$3:EH291,"&gt;0"))</f>
        <v>0</v>
      </c>
      <c r="EI292" t="str">
        <f t="shared" si="268"/>
        <v/>
      </c>
      <c r="EJ292" t="str">
        <f t="shared" si="242"/>
        <v/>
      </c>
      <c r="EL292">
        <f t="shared" si="243"/>
        <v>0</v>
      </c>
      <c r="EM292">
        <f>IF(EL292=0,0,1+COUNTIF(EM$3:EM291,"&gt;0"))</f>
        <v>0</v>
      </c>
      <c r="EN292" t="str">
        <f t="shared" si="269"/>
        <v/>
      </c>
      <c r="EO292" t="str">
        <f t="shared" si="244"/>
        <v/>
      </c>
      <c r="EQ292">
        <f t="shared" si="245"/>
        <v>0</v>
      </c>
      <c r="ER292">
        <f>IF(EQ292=0,0,1+COUNTIF(ER$3:ER291,"&gt;0"))</f>
        <v>0</v>
      </c>
      <c r="ES292" t="str">
        <f t="shared" si="270"/>
        <v/>
      </c>
      <c r="ET292" t="str">
        <f t="shared" si="246"/>
        <v/>
      </c>
      <c r="EV292">
        <f t="shared" si="247"/>
        <v>0</v>
      </c>
      <c r="EW292">
        <f>IF(EV292=0,0,1+COUNTIF(EW$3:EW291,"&gt;0"))</f>
        <v>0</v>
      </c>
      <c r="EX292" t="str">
        <f t="shared" si="271"/>
        <v/>
      </c>
      <c r="EY292" t="str">
        <f t="shared" si="248"/>
        <v/>
      </c>
      <c r="FA292">
        <f t="shared" si="249"/>
        <v>0</v>
      </c>
      <c r="FB292">
        <f>IF(FA292=0,0,1+COUNTIF(FB$3:FB291,"&gt;0"))</f>
        <v>0</v>
      </c>
      <c r="FC292" t="str">
        <f t="shared" si="272"/>
        <v/>
      </c>
      <c r="FD292" t="str">
        <f t="shared" si="250"/>
        <v/>
      </c>
      <c r="FF292">
        <f t="shared" si="251"/>
        <v>0</v>
      </c>
      <c r="FG292">
        <f>IF(FF292=0,0,1+COUNTIF(FG$3:FG291,"&gt;0"))</f>
        <v>0</v>
      </c>
      <c r="FH292" t="str">
        <f t="shared" si="273"/>
        <v/>
      </c>
      <c r="FI292" t="str">
        <f t="shared" si="252"/>
        <v/>
      </c>
      <c r="FK292">
        <f t="shared" si="253"/>
        <v>0</v>
      </c>
      <c r="FL292">
        <f>IF(FK292=0,0,1+COUNTIF(FL$3:FL291,"&gt;0"))</f>
        <v>0</v>
      </c>
      <c r="FM292" t="str">
        <f t="shared" si="274"/>
        <v/>
      </c>
      <c r="FN292" t="str">
        <f t="shared" si="254"/>
        <v/>
      </c>
      <c r="FP292">
        <f t="shared" si="255"/>
        <v>0</v>
      </c>
      <c r="FQ292">
        <f>IF(FP292=0,0,1+COUNTIF(FQ$3:FQ291,"&gt;0"))</f>
        <v>0</v>
      </c>
      <c r="FR292" t="str">
        <f t="shared" si="275"/>
        <v/>
      </c>
      <c r="FS292" t="str">
        <f t="shared" si="256"/>
        <v/>
      </c>
    </row>
    <row r="293" spans="1:175" x14ac:dyDescent="0.25">
      <c r="A293" s="347">
        <f t="shared" si="276"/>
        <v>291</v>
      </c>
      <c r="B293" s="348" t="s">
        <v>2681</v>
      </c>
      <c r="C293" s="348">
        <v>3</v>
      </c>
      <c r="D293" s="347">
        <v>3</v>
      </c>
      <c r="E293" s="627" t="s">
        <v>6952</v>
      </c>
      <c r="F293" s="346"/>
      <c r="G293" s="347" t="str">
        <f>""</f>
        <v/>
      </c>
      <c r="H293" s="347" t="s">
        <v>5912</v>
      </c>
      <c r="I293" s="347" t="s">
        <v>5473</v>
      </c>
      <c r="J293" s="347" t="str">
        <f t="shared" si="226"/>
        <v/>
      </c>
      <c r="K293" s="347" t="s">
        <v>5313</v>
      </c>
      <c r="L293" s="611" t="str">
        <f t="shared" si="227"/>
        <v>V, S, M, a short piece of fine copper wire</v>
      </c>
      <c r="M293" s="347" t="s">
        <v>2373</v>
      </c>
      <c r="N293" s="347" t="s">
        <v>2387</v>
      </c>
      <c r="O293" s="347" t="s">
        <v>1244</v>
      </c>
      <c r="P293" s="346" t="s">
        <v>5474</v>
      </c>
      <c r="Q293" s="347" t="s">
        <v>5273</v>
      </c>
      <c r="S293" s="346" t="s">
        <v>5817</v>
      </c>
      <c r="T293" s="346" t="str">
        <f t="shared" si="228"/>
        <v xml:space="preserve">Bard, Cleric, Eldritch Knight, Wizard, Old One, </v>
      </c>
      <c r="U293" s="347" t="str">
        <f>$B293</f>
        <v>Sending</v>
      </c>
      <c r="Z293" s="347" t="str">
        <f>$B293</f>
        <v>Sending</v>
      </c>
      <c r="AB293" s="542" t="str">
        <f>AD293</f>
        <v>Sending</v>
      </c>
      <c r="AD293" s="347" t="str">
        <f t="shared" si="277"/>
        <v>Sending</v>
      </c>
      <c r="AE293" t="str">
        <f>IF(IFERROR(MATCH($B293,temp!A$4:A$13,0),0)&gt;0,T08_Spells!AE$2,"")</f>
        <v/>
      </c>
      <c r="AF293" t="str">
        <f>IF(IFERROR(MATCH($B293,temp!B$4:B$13,0),0)&gt;0,T08_Spells!AF$2,"")</f>
        <v/>
      </c>
      <c r="AG293" t="str">
        <f>IF(IFERROR(MATCH($B293,temp!C$4:C$13,0),0)&gt;0,T08_Spells!AG$2,"")</f>
        <v/>
      </c>
      <c r="AH293" t="str">
        <f>IF(IFERROR(MATCH($B293,temp!D$4:D$13,0),0)&gt;0,T08_Spells!AH$2,"")</f>
        <v/>
      </c>
      <c r="AI293" t="str">
        <f>IF(IFERROR(MATCH($B293,temp!E$4:E$13,0),0)&gt;0,T08_Spells!AI$2,"")</f>
        <v/>
      </c>
      <c r="AJ293" t="str">
        <f>IF(IFERROR(MATCH($B293,temp!F$4:F$13,0),0)&gt;0,T08_Spells!AJ$2,"")</f>
        <v/>
      </c>
      <c r="AK293" t="str">
        <f>IF(IFERROR(MATCH($B293,temp!G$4:G$13,0),0)&gt;0,T08_Spells!AK$2,"")</f>
        <v>Old One</v>
      </c>
      <c r="AL293" t="str">
        <f>IF(IFERROR(MATCH($B293,temp!H$4:H$13,0),0)&gt;0,T08_Spells!AL$2,"")</f>
        <v/>
      </c>
      <c r="AM293" t="str">
        <f>IF(IFERROR(MATCH($B293,temp!I$4:I$13,0),0)&gt;0,T08_Spells!AM$2,"")</f>
        <v/>
      </c>
      <c r="AN293" t="str">
        <f>IF(IFERROR(MATCH($B293,temp!J$4:J$13,0),0)&gt;0,T08_Spells!AN$2,"")</f>
        <v/>
      </c>
      <c r="AO293" t="str">
        <f>IF(IFERROR(MATCH($B293,temp!K$4:K$13,0),0)&gt;0,T08_Spells!AO$2,"")</f>
        <v/>
      </c>
      <c r="AP293" t="str">
        <f>IF(IFERROR(MATCH($B293,temp!L$4:L$13,0),0)&gt;0,T08_Spells!AP$2,"")</f>
        <v/>
      </c>
      <c r="AQ293" t="str">
        <f>IF(IFERROR(MATCH($B293,temp!M$4:M$13,0),0)&gt;0,T08_Spells!AQ$2,"")</f>
        <v/>
      </c>
      <c r="AR293" t="str">
        <f>IF(IFERROR(MATCH($B293,temp!N$4:N$13,0),0)&gt;0,T08_Spells!AR$2,"")</f>
        <v/>
      </c>
      <c r="AS293" t="str">
        <f>IF(IFERROR(MATCH($B293,temp!O$4:O$13,0),0)&gt;0,T08_Spells!AS$2,"")</f>
        <v/>
      </c>
      <c r="AT293" t="str">
        <f>IF(IFERROR(MATCH($B293,temp!P$4:P$13,0),0)&gt;0,T08_Spells!AT$2,"")</f>
        <v/>
      </c>
      <c r="AU293" t="str">
        <f>IF(IFERROR(MATCH($B293,temp!Q$4:Q$13,0),0)&gt;0,T08_Spells!AU$2,"")</f>
        <v/>
      </c>
      <c r="AV293" t="str">
        <f>IF(IFERROR(MATCH($B293,temp!R$4:R$13,0),0)&gt;0,T08_Spells!AV$2,"")</f>
        <v/>
      </c>
      <c r="AW293" t="str">
        <f>IF(IFERROR(MATCH($B293,temp!S$4:S$13,0),0)&gt;0,T08_Spells!AW$2,"")</f>
        <v/>
      </c>
      <c r="AX293" t="str">
        <f>IF(IFERROR(MATCH($B293,temp!T$4:T$13,0),0)&gt;0,T08_Spells!AX$2,"")</f>
        <v/>
      </c>
      <c r="AY293" t="str">
        <f>IF(IFERROR(MATCH($B293,temp!U$4:U$13,0),0)&gt;0,T08_Spells!AY$2,"")</f>
        <v/>
      </c>
      <c r="AZ293" t="str">
        <f>IF(IFERROR(MATCH($B293,temp!V$4:V$13,0),0)&gt;0,T08_Spells!AZ$2,"")</f>
        <v/>
      </c>
      <c r="BA293" t="str">
        <f>IF(IFERROR(MATCH($B293,temp!W$4:W$13,0),0)&gt;0,T08_Spells!BA$2,"")</f>
        <v/>
      </c>
      <c r="BC293">
        <f>IF(IFERROR(SEARCH("Ranger",$T293,1),0)&gt;0,1,0)*IF(RangerMaxSpellLevel&gt;=$C293,1,0)*IF(IFERROR(MATCH(B293,Character_Creation!$X$79:$X$382,0),0)&gt;0,0,1)</f>
        <v>0</v>
      </c>
      <c r="BD293">
        <f>IF(BC293=0,0,1+COUNTIF(BD$3:BD292,"&gt;0"))</f>
        <v>0</v>
      </c>
      <c r="BE293" t="str">
        <f t="shared" si="257"/>
        <v/>
      </c>
      <c r="BF293" t="str">
        <f t="shared" si="229"/>
        <v/>
      </c>
      <c r="BH293">
        <f>IF(IFERROR(SEARCH("Sorcerer",$T293,1),0)&gt;0,1,0)*IF(SorcererMaxSpellLevel&gt;=$C293,1,0)*IF(IFERROR(MATCH(B293,Character_Creation!$J$380:$J$394,0),0)&gt;0,0,1)</f>
        <v>0</v>
      </c>
      <c r="BI293">
        <f>IF(BH293=0,0,1+COUNTIF(BI$3:BI292,"&gt;0"))</f>
        <v>0</v>
      </c>
      <c r="BJ293" t="str">
        <f t="shared" si="258"/>
        <v/>
      </c>
      <c r="BK293" t="str">
        <f t="shared" si="230"/>
        <v/>
      </c>
      <c r="BM293">
        <f>IF(OR(IFERROR(SEARCH("Warlock",$T293,1),0)&gt;0,IFERROR(SEARCH(WarlockPatron,$T293,1),0)&gt;0),1,0)*IF(WarlockMaxSpellLevel&gt;=$C293,1,0)*IF(IFERROR(MATCH(B293,Character_Creation!$J$361:$J$375,0),0)&gt;0,0,1)</f>
        <v>0</v>
      </c>
      <c r="BN293">
        <f>IF(BM293=0,0,1+COUNTIF(BN$3:BN292,"&gt;0"))</f>
        <v>0</v>
      </c>
      <c r="BO293" t="str">
        <f t="shared" si="259"/>
        <v/>
      </c>
      <c r="BP293" t="str">
        <f t="shared" si="231"/>
        <v/>
      </c>
      <c r="BR293">
        <f>IF(IFERROR(SEARCH("Eldritch Knight",$T293,1),0)&gt;0,1,0)*IF(EldritchKnightMaxSpellLevel&gt;=$C293,1,0)*IF(IFERROR(MATCH($B293,Character_Creation!$J$350:$J$356,0),0)&gt;0,0,1)*IF(Character_Creation!$M$338&gt;0,1,0)</f>
        <v>0</v>
      </c>
      <c r="BS293">
        <f>IF(BR293=0,0,1+COUNTIF(BS$3:BS292,"&gt;0"))</f>
        <v>0</v>
      </c>
      <c r="BT293" t="str">
        <f t="shared" si="260"/>
        <v/>
      </c>
      <c r="BU293" t="str">
        <f t="shared" si="232"/>
        <v/>
      </c>
      <c r="BW293">
        <f>IF(IFERROR(SEARCH("Arcane Trickster",$T293,1),0)&gt;0,1,0)*IF(ArcaneTricksterMaxSpellLevel&gt;=$C293,1,0)*IF(IFERROR(MATCH($B293,Character_Creation!$J$350:$J$356,0),0)&gt;0,0,1)*IF(Character_Creation!$T$338&gt;0,1,0)</f>
        <v>0</v>
      </c>
      <c r="BX293">
        <f>IF(BW293=0,0,1+COUNTIF(BX$3:BX292,"&gt;0"))</f>
        <v>0</v>
      </c>
      <c r="BY293" t="str">
        <f t="shared" si="261"/>
        <v/>
      </c>
      <c r="BZ293" t="str">
        <f t="shared" si="233"/>
        <v/>
      </c>
      <c r="CB293">
        <f>IF(IFERROR(SEARCH("Wizard",$T293,1),0)&gt;0,1,0)*IF(C293&lt;=ArcaneTricksterMaxSpellLevel,1,0)*IF(IFERROR(MATCH($B293,Character_Creation!$J$350:$J$356,0),0)&gt;0,0,1)*IF(Character_Creation!$T$350&gt;0,1,0)</f>
        <v>0</v>
      </c>
      <c r="CC293">
        <f>IF(CB293=0,0,1+COUNTIF(CC$3:CC292,"&gt;0"))</f>
        <v>0</v>
      </c>
      <c r="CD293" t="str">
        <f t="shared" si="262"/>
        <v/>
      </c>
      <c r="CE293" t="str">
        <f t="shared" si="234"/>
        <v/>
      </c>
      <c r="CG293">
        <f>IF(IFERROR(SEARCH("Wizard",$T293,1),0)&gt;0,1,0)*IF($C293&lt;=EldritchKnightMaxSpellLevel,1,0)*IF(IFERROR(MATCH($B293,Character_Creation!$J$350:$J$356,0),0)&gt;0,0,1)*IF(Character_Creation!$M$350&gt;0,1,0)</f>
        <v>0</v>
      </c>
      <c r="CH293">
        <f>IF(CG293=0,0,1+COUNTIF(CH$3:CH292,"&gt;0"))</f>
        <v>0</v>
      </c>
      <c r="CI293" t="str">
        <f t="shared" si="263"/>
        <v/>
      </c>
      <c r="CJ293" t="str">
        <f t="shared" si="235"/>
        <v/>
      </c>
      <c r="CL293">
        <f>IF(IFERROR(SEARCH("Bard",$T293,1),0)&gt;0,1,0)*IF(BardMaxSpellLevel&gt;=$C293,1,0)*IF(IFERROR(MATCH(B293,Character_Creation!$C$341:$F$362,0),0)&gt;0,0,1)*IF(IFERROR(MATCH($B293,Character_Creation!$C$341:$C$362,0),0)&gt;0,0,1)</f>
        <v>0</v>
      </c>
      <c r="CM293">
        <f>IF(CL293=0,0,1+COUNTIF(CM$3:CM292,"&gt;0"))</f>
        <v>0</v>
      </c>
      <c r="CN293" t="str">
        <f t="shared" si="264"/>
        <v/>
      </c>
      <c r="CO293" t="str">
        <f t="shared" si="236"/>
        <v/>
      </c>
      <c r="CQ293">
        <f>IF(IFERROR(SEARCH("Wizard",$T293,1),0)&gt;0,1,0)*IF(WizardMaxSpellLevel&gt;=$C293,1,0)*IF(IFERROR(MATCH(B293,Character_Creation!$X$341:$X$400,0),0)&gt;0,0,1)*IF(SelectedWizardSpellLevel=$C293,1,0)</f>
        <v>1</v>
      </c>
      <c r="CR293">
        <f>IF(CQ293=0,0,1+COUNTIF(CR$3:CR292,"&gt;0"))</f>
        <v>21</v>
      </c>
      <c r="CS293" t="str">
        <f t="shared" si="265"/>
        <v/>
      </c>
      <c r="CT293" t="str">
        <f t="shared" si="237"/>
        <v/>
      </c>
      <c r="CV293">
        <f>IF(IFERROR(MATCH($B293,Character_Creation!$C$341:$C$362,0),0)&gt;0,0,1)*IF(OR(C293="Cantrip",C293&lt;=BardMaxSpellLevel),1,0)*IF(IFERROR(MATCH($B293,Character_Creation!$C$367:$C$374,0),0)&gt;0,0,1)</f>
        <v>0</v>
      </c>
      <c r="CW293">
        <f>IF(CV293=0,0,1+COUNTIF(CW$3:CW292,"&gt;0"))</f>
        <v>0</v>
      </c>
      <c r="CX293" t="str">
        <f t="shared" si="266"/>
        <v/>
      </c>
      <c r="CY293" t="str">
        <f t="shared" si="238"/>
        <v/>
      </c>
      <c r="DA293">
        <f>IF(IF(OR(IFERROR(SEARCH("Cleric",$T293,1),0)&gt;0,IFERROR(SEARCH(DivineDomain&amp;",",$T293,1),0)&gt;0),1,0)*IF($C293=DA$2,1,0)=1,1+COUNTIF(DA$3:DA292,"&gt;0"),0)</f>
        <v>0</v>
      </c>
      <c r="DB293">
        <f>IF(IF(OR(IFERROR(SEARCH("Cleric",$T293,1),0)&gt;0,IFERROR(SEARCH(DivineDomain&amp;",",$T293,1),0)&gt;0),1,0)*IF($C293=DB$2,1,0)=1,1+COUNTIF(DB$3:DB292,"&gt;0"),0)</f>
        <v>0</v>
      </c>
      <c r="DC293">
        <f>IF(IF(OR(IFERROR(SEARCH("Cleric",$T293,1),0)&gt;0,IFERROR(SEARCH(DivineDomain&amp;",",$T293,1),0)&gt;0),1,0)*IF($C293=DC$2,1,0)=1,1+COUNTIF(DC$3:DC292,"&gt;0"),0)</f>
        <v>16</v>
      </c>
      <c r="DD293">
        <f>IF(IF(OR(IFERROR(SEARCH("Cleric",$T293,1),0)&gt;0,IFERROR(SEARCH(DivineDomain&amp;",",$T293,1),0)&gt;0),1,0)*IF($C293=DD$2,1,0)=1,1+COUNTIF(DD$3:DD292,"&gt;0"),0)</f>
        <v>0</v>
      </c>
      <c r="DE293">
        <f>IF(IF(OR(IFERROR(SEARCH("Cleric",$T293,1),0)&gt;0,IFERROR(SEARCH(DivineDomain&amp;",",$T293,1),0)&gt;0),1,0)*IF($C293=DE$2,1,0)=1,1+COUNTIF(DE$3:DE292,"&gt;0"),0)</f>
        <v>0</v>
      </c>
      <c r="DF293">
        <f>IF(IF(OR(IFERROR(SEARCH("Cleric",$T293,1),0)&gt;0,IFERROR(SEARCH(DivineDomain&amp;",",$T293,1),0)&gt;0),1,0)*IF($C293=DF$2,1,0)=1,1+COUNTIF(DF$3:DF292,"&gt;0"),0)</f>
        <v>0</v>
      </c>
      <c r="DG293">
        <f>IF(IF(OR(IFERROR(SEARCH("Cleric",$T293,1),0)&gt;0,IFERROR(SEARCH(DivineDomain&amp;",",$T293,1),0)&gt;0),1,0)*IF($C293=DG$2,1,0)=1,1+COUNTIF(DG$3:DG292,"&gt;0"),0)</f>
        <v>0</v>
      </c>
      <c r="DH293">
        <f>IF(IF(OR(IFERROR(SEARCH("Cleric",$T293,1),0)&gt;0,IFERROR(SEARCH(DivineDomain&amp;",",$T293,1),0)&gt;0),1,0)*IF($C293=DH$2,1,0)=1,1+COUNTIF(DH$3:DH292,"&gt;0"),0)</f>
        <v>0</v>
      </c>
      <c r="DI293">
        <f>IF(IF(OR(IFERROR(SEARCH("Cleric",$T293,1),0)&gt;0,IFERROR(SEARCH(DivineDomain&amp;",",$T293,1),0)&gt;0),1,0)*IF($C293=DI$2,1,0)=1,1+COUNTIF(DI$3:DI292,"&gt;0"),0)</f>
        <v>0</v>
      </c>
      <c r="DJ293">
        <f>IF(IF(OR(IFERROR(SEARCH("Druid",$T293,1),0)&gt;0,IFERROR(SEARCH(DruidLand1,$T293,1),0)&gt;0,IFERROR(SEARCH(DruidLand2,$T293,1),0)&gt;0,IFERROR(SEARCH(DruidLand3,$T293,1),0)&gt;0,IFERROR(SEARCH(DruidLand4,$T293,1),0)&gt;0),1,0)*IF($C293=1,1,0)*IF($C293=DJ$2,1,0)=0,0,1+COUNTIF(DJ$3:DJ292,"&gt;0"))</f>
        <v>0</v>
      </c>
      <c r="DK293">
        <f>IF(IF(OR(IFERROR(SEARCH("Druid",$T293,1),0)&gt;0,IFERROR(SEARCH(DruidLand1,$T293,1),0)&gt;0,IFERROR(SEARCH(DruidLand2,$T293,1),0)&gt;0,IFERROR(SEARCH(DruidLand3,$T293,1),0)&gt;0,IFERROR(SEARCH(DruidLand4,$T293,1),0)&gt;0),1,0)*IF($C293=1,1,0)*IF($C293=DK$2,1,0)=0,0,1+COUNTIF(DK$3:DK292,"&gt;0"))</f>
        <v>0</v>
      </c>
      <c r="DL293">
        <f>IF(IF(OR(IFERROR(SEARCH("Druid",$T293,1),0)&gt;0,IFERROR(SEARCH(DruidLand1,$T293,1),0)&gt;0,IFERROR(SEARCH(DruidLand2,$T293,1),0)&gt;0,IFERROR(SEARCH(DruidLand3,$T293,1),0)&gt;0,IFERROR(SEARCH(DruidLand4,$T293,1),0)&gt;0),1,0)*IF($C293=1,1,0)*IF($C293=DL$2,1,0)=0,0,1+COUNTIF(DL$3:DL292,"&gt;0"))</f>
        <v>0</v>
      </c>
      <c r="DM293">
        <f>IF(IF(OR(IFERROR(SEARCH("Druid",$T293,1),0)&gt;0,IFERROR(SEARCH(DruidLand1,$T293,1),0)&gt;0,IFERROR(SEARCH(DruidLand2,$T293,1),0)&gt;0,IFERROR(SEARCH(DruidLand3,$T293,1),0)&gt;0,IFERROR(SEARCH(DruidLand4,$T293,1),0)&gt;0),1,0)*IF($C293=1,1,0)*IF($C293=DM$2,1,0)=0,0,1+COUNTIF(DM$3:DM292,"&gt;0"))</f>
        <v>0</v>
      </c>
      <c r="DN293">
        <f>IF(IF(OR(IFERROR(SEARCH("Druid",$T293,1),0)&gt;0,IFERROR(SEARCH(DruidLand1,$T293,1),0)&gt;0,IFERROR(SEARCH(DruidLand2,$T293,1),0)&gt;0,IFERROR(SEARCH(DruidLand3,$T293,1),0)&gt;0,IFERROR(SEARCH(DruidLand4,$T293,1),0)&gt;0),1,0)*IF($C293=1,1,0)*IF($C293=DN$2,1,0)=0,0,1+COUNTIF(DN$3:DN292,"&gt;0"))</f>
        <v>0</v>
      </c>
      <c r="DO293">
        <f>IF(IF(OR(IFERROR(SEARCH("Druid",$T293,1),0)&gt;0,IFERROR(SEARCH(DruidLand1,$T293,1),0)&gt;0,IFERROR(SEARCH(DruidLand2,$T293,1),0)&gt;0,IFERROR(SEARCH(DruidLand3,$T293,1),0)&gt;0,IFERROR(SEARCH(DruidLand4,$T293,1),0)&gt;0),1,0)*IF($C293=1,1,0)*IF($C293=DO$2,1,0)=0,0,1+COUNTIF(DO$3:DO292,"&gt;0"))</f>
        <v>0</v>
      </c>
      <c r="DP293">
        <f>IF(IF(OR(IFERROR(SEARCH("Druid",$T293,1),0)&gt;0,IFERROR(SEARCH(DruidLand1,$T293,1),0)&gt;0,IFERROR(SEARCH(DruidLand2,$T293,1),0)&gt;0,IFERROR(SEARCH(DruidLand3,$T293,1),0)&gt;0,IFERROR(SEARCH(DruidLand4,$T293,1),0)&gt;0),1,0)*IF($C293=1,1,0)*IF($C293=DP$2,1,0)=0,0,1+COUNTIF(DP$3:DP292,"&gt;0"))</f>
        <v>0</v>
      </c>
      <c r="DQ293">
        <f>IF(IF(OR(IFERROR(SEARCH("Druid",$T293,1),0)&gt;0,IFERROR(SEARCH(DruidLand1,$T293,1),0)&gt;0,IFERROR(SEARCH(DruidLand2,$T293,1),0)&gt;0,IFERROR(SEARCH(DruidLand3,$T293,1),0)&gt;0,IFERROR(SEARCH(DruidLand4,$T293,1),0)&gt;0),1,0)*IF($C293=1,1,0)*IF($C293=DQ$2,1,0)=0,0,1+COUNTIF(DQ$3:DQ292,"&gt;0"))</f>
        <v>0</v>
      </c>
      <c r="DR293">
        <f>IF(IF(OR(IFERROR(SEARCH("Druid",$T293,1),0)&gt;0,IFERROR(SEARCH(DruidLand1,$T293,1),0)&gt;0,IFERROR(SEARCH(DruidLand2,$T293,1),0)&gt;0,IFERROR(SEARCH(DruidLand3,$T293,1),0)&gt;0,IFERROR(SEARCH(DruidLand4,$T293,1),0)&gt;0),1,0)*IF($C293=1,1,0)*IF($C293=DR$2,1,0)=0,0,1+COUNTIF(DR$3:DR292,"&gt;0"))</f>
        <v>0</v>
      </c>
      <c r="DS293">
        <f>IF(IF(OR(IFERROR(SEARCH("Paladin",$T293,1),0)&gt;0,IFERROR(SEARCH(PaladinOath,$T293,1),0)&gt;0),1,0)*IF($C293=DS$2,1,0)=1,1+COUNTIF(DS$3:DS292,"&gt;0"),0)</f>
        <v>0</v>
      </c>
      <c r="DT293">
        <f>IF(IF(OR(IFERROR(SEARCH("Paladin",$T293,1),0)&gt;0,IFERROR(SEARCH(PaladinOath,$T293,1),0)&gt;0),1,0)*IF($C293=DT$2,1,0)=1,1+COUNTIF(DT$3:DT292,"&gt;0"),0)</f>
        <v>0</v>
      </c>
      <c r="DU293">
        <f>IF(IF(OR(IFERROR(SEARCH("Paladin",$T293,1),0)&gt;0,IFERROR(SEARCH(PaladinOath,$T293,1),0)&gt;0),1,0)*IF($C293=DU$2,1,0)=1,1+COUNTIF(DU$3:DU292,"&gt;0"),0)</f>
        <v>0</v>
      </c>
      <c r="DV293">
        <f>IF(IF(OR(IFERROR(SEARCH("Paladin",$T293,1),0)&gt;0,IFERROR(SEARCH(PaladinOath,$T293,1),0)&gt;0),1,0)*IF($C293=DV$2,1,0)=1,1+COUNTIF(DV$3:DV292,"&gt;0"),0)</f>
        <v>0</v>
      </c>
      <c r="DW293">
        <f>IF(IF(OR(IFERROR(SEARCH("Paladin",$T293,1),0)&gt;0,IFERROR(SEARCH(PaladinOath,$T293,1),0)&gt;0),1,0)*IF($C293=DW$2,1,0)=1,1+COUNTIF(DW$3:DW292,"&gt;0"),0)</f>
        <v>0</v>
      </c>
      <c r="DY293">
        <f t="shared" si="225"/>
        <v>1</v>
      </c>
      <c r="DZ293">
        <f>IF(DY293=0,0,1+MAX(DZ$3:$DZ292))</f>
        <v>291</v>
      </c>
      <c r="EB293">
        <f t="shared" si="239"/>
        <v>0</v>
      </c>
      <c r="EC293">
        <f>IF(EB293=0,0,1+COUNTIF(EC$3:EC292,"&gt;0"))</f>
        <v>0</v>
      </c>
      <c r="ED293" t="str">
        <f t="shared" si="267"/>
        <v/>
      </c>
      <c r="EE293" t="str">
        <f t="shared" si="240"/>
        <v/>
      </c>
      <c r="EG293">
        <f t="shared" si="241"/>
        <v>0</v>
      </c>
      <c r="EH293">
        <f>IF(EG293=0,0,1+COUNTIF(EH$3:EH292,"&gt;0"))</f>
        <v>0</v>
      </c>
      <c r="EI293" t="str">
        <f t="shared" si="268"/>
        <v/>
      </c>
      <c r="EJ293" t="str">
        <f t="shared" si="242"/>
        <v/>
      </c>
      <c r="EL293">
        <f t="shared" si="243"/>
        <v>0</v>
      </c>
      <c r="EM293">
        <f>IF(EL293=0,0,1+COUNTIF(EM$3:EM292,"&gt;0"))</f>
        <v>0</v>
      </c>
      <c r="EN293" t="str">
        <f t="shared" si="269"/>
        <v/>
      </c>
      <c r="EO293" t="str">
        <f t="shared" si="244"/>
        <v/>
      </c>
      <c r="EQ293">
        <f t="shared" si="245"/>
        <v>0</v>
      </c>
      <c r="ER293">
        <f>IF(EQ293=0,0,1+COUNTIF(ER$3:ER292,"&gt;0"))</f>
        <v>0</v>
      </c>
      <c r="ES293" t="str">
        <f t="shared" si="270"/>
        <v/>
      </c>
      <c r="ET293" t="str">
        <f t="shared" si="246"/>
        <v/>
      </c>
      <c r="EV293">
        <f t="shared" si="247"/>
        <v>0</v>
      </c>
      <c r="EW293">
        <f>IF(EV293=0,0,1+COUNTIF(EW$3:EW292,"&gt;0"))</f>
        <v>0</v>
      </c>
      <c r="EX293" t="str">
        <f t="shared" si="271"/>
        <v/>
      </c>
      <c r="EY293" t="str">
        <f t="shared" si="248"/>
        <v/>
      </c>
      <c r="FA293">
        <f t="shared" si="249"/>
        <v>0</v>
      </c>
      <c r="FB293">
        <f>IF(FA293=0,0,1+COUNTIF(FB$3:FB292,"&gt;0"))</f>
        <v>0</v>
      </c>
      <c r="FC293" t="str">
        <f t="shared" si="272"/>
        <v/>
      </c>
      <c r="FD293" t="str">
        <f t="shared" si="250"/>
        <v/>
      </c>
      <c r="FF293">
        <f t="shared" si="251"/>
        <v>0</v>
      </c>
      <c r="FG293">
        <f>IF(FF293=0,0,1+COUNTIF(FG$3:FG292,"&gt;0"))</f>
        <v>0</v>
      </c>
      <c r="FH293" t="str">
        <f t="shared" si="273"/>
        <v/>
      </c>
      <c r="FI293" t="str">
        <f t="shared" si="252"/>
        <v/>
      </c>
      <c r="FK293">
        <f t="shared" si="253"/>
        <v>0</v>
      </c>
      <c r="FL293">
        <f>IF(FK293=0,0,1+COUNTIF(FL$3:FL292,"&gt;0"))</f>
        <v>0</v>
      </c>
      <c r="FM293" t="str">
        <f t="shared" si="274"/>
        <v/>
      </c>
      <c r="FN293" t="str">
        <f t="shared" si="254"/>
        <v/>
      </c>
      <c r="FP293">
        <f t="shared" si="255"/>
        <v>0</v>
      </c>
      <c r="FQ293">
        <f>IF(FP293=0,0,1+COUNTIF(FQ$3:FQ292,"&gt;0"))</f>
        <v>0</v>
      </c>
      <c r="FR293" t="str">
        <f t="shared" si="275"/>
        <v/>
      </c>
      <c r="FS293" t="str">
        <f t="shared" si="256"/>
        <v/>
      </c>
    </row>
    <row r="294" spans="1:175" x14ac:dyDescent="0.25">
      <c r="A294" s="347">
        <f t="shared" si="276"/>
        <v>292</v>
      </c>
      <c r="B294" s="348" t="s">
        <v>2682</v>
      </c>
      <c r="C294" s="348">
        <v>7</v>
      </c>
      <c r="D294" s="347">
        <v>7</v>
      </c>
      <c r="E294" s="627" t="s">
        <v>6952</v>
      </c>
      <c r="F294" s="346"/>
      <c r="G294" s="347" t="str">
        <f>""</f>
        <v/>
      </c>
      <c r="H294" s="347" t="s">
        <v>5912</v>
      </c>
      <c r="I294" s="347" t="s">
        <v>5298</v>
      </c>
      <c r="J294" s="347" t="str">
        <f t="shared" si="226"/>
        <v/>
      </c>
      <c r="K294" s="347" t="s">
        <v>5299</v>
      </c>
      <c r="L294" s="611" t="str">
        <f t="shared" si="227"/>
        <v>V, S, M, a power composed of diamond, emerald, ruby, and sapphire dust worth at least 5,000 gp, which the spell consumes</v>
      </c>
      <c r="M294" s="347" t="s">
        <v>2373</v>
      </c>
      <c r="N294" s="347" t="s">
        <v>2387</v>
      </c>
      <c r="O294" s="347" t="s">
        <v>1244</v>
      </c>
      <c r="P294" s="346" t="s">
        <v>5475</v>
      </c>
      <c r="Q294" s="347" t="s">
        <v>5276</v>
      </c>
      <c r="S294" s="346" t="s">
        <v>5818</v>
      </c>
      <c r="T294" s="346" t="str">
        <f t="shared" si="228"/>
        <v xml:space="preserve">Wizard, </v>
      </c>
      <c r="AD294" s="347" t="str">
        <f t="shared" si="277"/>
        <v>Sequester</v>
      </c>
      <c r="AE294" t="str">
        <f>IF(IFERROR(MATCH($B294,temp!A$4:A$13,0),0)&gt;0,T08_Spells!AE$2,"")</f>
        <v/>
      </c>
      <c r="AF294" t="str">
        <f>IF(IFERROR(MATCH($B294,temp!B$4:B$13,0),0)&gt;0,T08_Spells!AF$2,"")</f>
        <v/>
      </c>
      <c r="AG294" t="str">
        <f>IF(IFERROR(MATCH($B294,temp!C$4:C$13,0),0)&gt;0,T08_Spells!AG$2,"")</f>
        <v/>
      </c>
      <c r="AH294" t="str">
        <f>IF(IFERROR(MATCH($B294,temp!D$4:D$13,0),0)&gt;0,T08_Spells!AH$2,"")</f>
        <v/>
      </c>
      <c r="AI294" t="str">
        <f>IF(IFERROR(MATCH($B294,temp!E$4:E$13,0),0)&gt;0,T08_Spells!AI$2,"")</f>
        <v/>
      </c>
      <c r="AJ294" t="str">
        <f>IF(IFERROR(MATCH($B294,temp!F$4:F$13,0),0)&gt;0,T08_Spells!AJ$2,"")</f>
        <v/>
      </c>
      <c r="AK294" t="str">
        <f>IF(IFERROR(MATCH($B294,temp!G$4:G$13,0),0)&gt;0,T08_Spells!AK$2,"")</f>
        <v/>
      </c>
      <c r="AL294" t="str">
        <f>IF(IFERROR(MATCH($B294,temp!H$4:H$13,0),0)&gt;0,T08_Spells!AL$2,"")</f>
        <v/>
      </c>
      <c r="AM294" t="str">
        <f>IF(IFERROR(MATCH($B294,temp!I$4:I$13,0),0)&gt;0,T08_Spells!AM$2,"")</f>
        <v/>
      </c>
      <c r="AN294" t="str">
        <f>IF(IFERROR(MATCH($B294,temp!J$4:J$13,0),0)&gt;0,T08_Spells!AN$2,"")</f>
        <v/>
      </c>
      <c r="AO294" t="str">
        <f>IF(IFERROR(MATCH($B294,temp!K$4:K$13,0),0)&gt;0,T08_Spells!AO$2,"")</f>
        <v/>
      </c>
      <c r="AP294" t="str">
        <f>IF(IFERROR(MATCH($B294,temp!L$4:L$13,0),0)&gt;0,T08_Spells!AP$2,"")</f>
        <v/>
      </c>
      <c r="AQ294" t="str">
        <f>IF(IFERROR(MATCH($B294,temp!M$4:M$13,0),0)&gt;0,T08_Spells!AQ$2,"")</f>
        <v/>
      </c>
      <c r="AR294" t="str">
        <f>IF(IFERROR(MATCH($B294,temp!N$4:N$13,0),0)&gt;0,T08_Spells!AR$2,"")</f>
        <v/>
      </c>
      <c r="AS294" t="str">
        <f>IF(IFERROR(MATCH($B294,temp!O$4:O$13,0),0)&gt;0,T08_Spells!AS$2,"")</f>
        <v/>
      </c>
      <c r="AT294" t="str">
        <f>IF(IFERROR(MATCH($B294,temp!P$4:P$13,0),0)&gt;0,T08_Spells!AT$2,"")</f>
        <v/>
      </c>
      <c r="AU294" t="str">
        <f>IF(IFERROR(MATCH($B294,temp!Q$4:Q$13,0),0)&gt;0,T08_Spells!AU$2,"")</f>
        <v/>
      </c>
      <c r="AV294" t="str">
        <f>IF(IFERROR(MATCH($B294,temp!R$4:R$13,0),0)&gt;0,T08_Spells!AV$2,"")</f>
        <v/>
      </c>
      <c r="AW294" t="str">
        <f>IF(IFERROR(MATCH($B294,temp!S$4:S$13,0),0)&gt;0,T08_Spells!AW$2,"")</f>
        <v/>
      </c>
      <c r="AX294" t="str">
        <f>IF(IFERROR(MATCH($B294,temp!T$4:T$13,0),0)&gt;0,T08_Spells!AX$2,"")</f>
        <v/>
      </c>
      <c r="AY294" t="str">
        <f>IF(IFERROR(MATCH($B294,temp!U$4:U$13,0),0)&gt;0,T08_Spells!AY$2,"")</f>
        <v/>
      </c>
      <c r="AZ294" t="str">
        <f>IF(IFERROR(MATCH($B294,temp!V$4:V$13,0),0)&gt;0,T08_Spells!AZ$2,"")</f>
        <v/>
      </c>
      <c r="BA294" t="str">
        <f>IF(IFERROR(MATCH($B294,temp!W$4:W$13,0),0)&gt;0,T08_Spells!BA$2,"")</f>
        <v/>
      </c>
      <c r="BC294">
        <f>IF(IFERROR(SEARCH("Ranger",$T294,1),0)&gt;0,1,0)*IF(RangerMaxSpellLevel&gt;=$C294,1,0)*IF(IFERROR(MATCH(B294,Character_Creation!$X$79:$X$382,0),0)&gt;0,0,1)</f>
        <v>0</v>
      </c>
      <c r="BD294">
        <f>IF(BC294=0,0,1+COUNTIF(BD$3:BD293,"&gt;0"))</f>
        <v>0</v>
      </c>
      <c r="BE294" t="str">
        <f t="shared" si="257"/>
        <v/>
      </c>
      <c r="BF294" t="str">
        <f t="shared" si="229"/>
        <v/>
      </c>
      <c r="BH294">
        <f>IF(IFERROR(SEARCH("Sorcerer",$T294,1),0)&gt;0,1,0)*IF(SorcererMaxSpellLevel&gt;=$C294,1,0)*IF(IFERROR(MATCH(B294,Character_Creation!$J$380:$J$394,0),0)&gt;0,0,1)</f>
        <v>0</v>
      </c>
      <c r="BI294">
        <f>IF(BH294=0,0,1+COUNTIF(BI$3:BI293,"&gt;0"))</f>
        <v>0</v>
      </c>
      <c r="BJ294" t="str">
        <f t="shared" si="258"/>
        <v/>
      </c>
      <c r="BK294" t="str">
        <f t="shared" si="230"/>
        <v/>
      </c>
      <c r="BM294">
        <f>IF(OR(IFERROR(SEARCH("Warlock",$T294,1),0)&gt;0,IFERROR(SEARCH(WarlockPatron,$T294,1),0)&gt;0),1,0)*IF(WarlockMaxSpellLevel&gt;=$C294,1,0)*IF(IFERROR(MATCH(B294,Character_Creation!$J$361:$J$375,0),0)&gt;0,0,1)</f>
        <v>0</v>
      </c>
      <c r="BN294">
        <f>IF(BM294=0,0,1+COUNTIF(BN$3:BN293,"&gt;0"))</f>
        <v>0</v>
      </c>
      <c r="BO294" t="str">
        <f t="shared" si="259"/>
        <v/>
      </c>
      <c r="BP294" t="str">
        <f t="shared" si="231"/>
        <v/>
      </c>
      <c r="BR294">
        <f>IF(IFERROR(SEARCH("Eldritch Knight",$T294,1),0)&gt;0,1,0)*IF(EldritchKnightMaxSpellLevel&gt;=$C294,1,0)*IF(IFERROR(MATCH($B294,Character_Creation!$J$350:$J$356,0),0)&gt;0,0,1)*IF(Character_Creation!$M$338&gt;0,1,0)</f>
        <v>0</v>
      </c>
      <c r="BS294">
        <f>IF(BR294=0,0,1+COUNTIF(BS$3:BS293,"&gt;0"))</f>
        <v>0</v>
      </c>
      <c r="BT294" t="str">
        <f t="shared" si="260"/>
        <v/>
      </c>
      <c r="BU294" t="str">
        <f t="shared" si="232"/>
        <v/>
      </c>
      <c r="BW294">
        <f>IF(IFERROR(SEARCH("Arcane Trickster",$T294,1),0)&gt;0,1,0)*IF(ArcaneTricksterMaxSpellLevel&gt;=$C294,1,0)*IF(IFERROR(MATCH($B294,Character_Creation!$J$350:$J$356,0),0)&gt;0,0,1)*IF(Character_Creation!$T$338&gt;0,1,0)</f>
        <v>0</v>
      </c>
      <c r="BX294">
        <f>IF(BW294=0,0,1+COUNTIF(BX$3:BX293,"&gt;0"))</f>
        <v>0</v>
      </c>
      <c r="BY294" t="str">
        <f t="shared" si="261"/>
        <v/>
      </c>
      <c r="BZ294" t="str">
        <f t="shared" si="233"/>
        <v/>
      </c>
      <c r="CB294">
        <f>IF(IFERROR(SEARCH("Wizard",$T294,1),0)&gt;0,1,0)*IF(C294&lt;=ArcaneTricksterMaxSpellLevel,1,0)*IF(IFERROR(MATCH($B294,Character_Creation!$J$350:$J$356,0),0)&gt;0,0,1)*IF(Character_Creation!$T$350&gt;0,1,0)</f>
        <v>0</v>
      </c>
      <c r="CC294">
        <f>IF(CB294=0,0,1+COUNTIF(CC$3:CC293,"&gt;0"))</f>
        <v>0</v>
      </c>
      <c r="CD294" t="str">
        <f t="shared" si="262"/>
        <v/>
      </c>
      <c r="CE294" t="str">
        <f t="shared" si="234"/>
        <v/>
      </c>
      <c r="CG294">
        <f>IF(IFERROR(SEARCH("Wizard",$T294,1),0)&gt;0,1,0)*IF($C294&lt;=EldritchKnightMaxSpellLevel,1,0)*IF(IFERROR(MATCH($B294,Character_Creation!$J$350:$J$356,0),0)&gt;0,0,1)*IF(Character_Creation!$M$350&gt;0,1,0)</f>
        <v>0</v>
      </c>
      <c r="CH294">
        <f>IF(CG294=0,0,1+COUNTIF(CH$3:CH293,"&gt;0"))</f>
        <v>0</v>
      </c>
      <c r="CI294" t="str">
        <f t="shared" si="263"/>
        <v/>
      </c>
      <c r="CJ294" t="str">
        <f t="shared" si="235"/>
        <v/>
      </c>
      <c r="CL294">
        <f>IF(IFERROR(SEARCH("Bard",$T294,1),0)&gt;0,1,0)*IF(BardMaxSpellLevel&gt;=$C294,1,0)*IF(IFERROR(MATCH(B294,Character_Creation!$C$341:$F$362,0),0)&gt;0,0,1)*IF(IFERROR(MATCH($B294,Character_Creation!$C$341:$C$362,0),0)&gt;0,0,1)</f>
        <v>0</v>
      </c>
      <c r="CM294">
        <f>IF(CL294=0,0,1+COUNTIF(CM$3:CM293,"&gt;0"))</f>
        <v>0</v>
      </c>
      <c r="CN294" t="str">
        <f t="shared" si="264"/>
        <v/>
      </c>
      <c r="CO294" t="str">
        <f t="shared" si="236"/>
        <v/>
      </c>
      <c r="CQ294">
        <f>IF(IFERROR(SEARCH("Wizard",$T294,1),0)&gt;0,1,0)*IF(WizardMaxSpellLevel&gt;=$C294,1,0)*IF(IFERROR(MATCH(B294,Character_Creation!$X$341:$X$400,0),0)&gt;0,0,1)*IF(SelectedWizardSpellLevel=$C294,1,0)</f>
        <v>0</v>
      </c>
      <c r="CR294">
        <f>IF(CQ294=0,0,1+COUNTIF(CR$3:CR293,"&gt;0"))</f>
        <v>0</v>
      </c>
      <c r="CS294" t="str">
        <f t="shared" si="265"/>
        <v/>
      </c>
      <c r="CT294" t="str">
        <f t="shared" si="237"/>
        <v/>
      </c>
      <c r="CV294">
        <f>IF(IFERROR(MATCH($B294,Character_Creation!$C$341:$C$362,0),0)&gt;0,0,1)*IF(OR(C294="Cantrip",C294&lt;=BardMaxSpellLevel),1,0)*IF(IFERROR(MATCH($B294,Character_Creation!$C$367:$C$374,0),0)&gt;0,0,1)</f>
        <v>0</v>
      </c>
      <c r="CW294">
        <f>IF(CV294=0,0,1+COUNTIF(CW$3:CW293,"&gt;0"))</f>
        <v>0</v>
      </c>
      <c r="CX294" t="str">
        <f t="shared" si="266"/>
        <v/>
      </c>
      <c r="CY294" t="str">
        <f t="shared" si="238"/>
        <v/>
      </c>
      <c r="DA294">
        <f>IF(IF(OR(IFERROR(SEARCH("Cleric",$T294,1),0)&gt;0,IFERROR(SEARCH(DivineDomain&amp;",",$T294,1),0)&gt;0),1,0)*IF($C294=DA$2,1,0)=1,1+COUNTIF(DA$3:DA293,"&gt;0"),0)</f>
        <v>0</v>
      </c>
      <c r="DB294">
        <f>IF(IF(OR(IFERROR(SEARCH("Cleric",$T294,1),0)&gt;0,IFERROR(SEARCH(DivineDomain&amp;",",$T294,1),0)&gt;0),1,0)*IF($C294=DB$2,1,0)=1,1+COUNTIF(DB$3:DB293,"&gt;0"),0)</f>
        <v>0</v>
      </c>
      <c r="DC294">
        <f>IF(IF(OR(IFERROR(SEARCH("Cleric",$T294,1),0)&gt;0,IFERROR(SEARCH(DivineDomain&amp;",",$T294,1),0)&gt;0),1,0)*IF($C294=DC$2,1,0)=1,1+COUNTIF(DC$3:DC293,"&gt;0"),0)</f>
        <v>0</v>
      </c>
      <c r="DD294">
        <f>IF(IF(OR(IFERROR(SEARCH("Cleric",$T294,1),0)&gt;0,IFERROR(SEARCH(DivineDomain&amp;",",$T294,1),0)&gt;0),1,0)*IF($C294=DD$2,1,0)=1,1+COUNTIF(DD$3:DD293,"&gt;0"),0)</f>
        <v>0</v>
      </c>
      <c r="DE294">
        <f>IF(IF(OR(IFERROR(SEARCH("Cleric",$T294,1),0)&gt;0,IFERROR(SEARCH(DivineDomain&amp;",",$T294,1),0)&gt;0),1,0)*IF($C294=DE$2,1,0)=1,1+COUNTIF(DE$3:DE293,"&gt;0"),0)</f>
        <v>0</v>
      </c>
      <c r="DF294">
        <f>IF(IF(OR(IFERROR(SEARCH("Cleric",$T294,1),0)&gt;0,IFERROR(SEARCH(DivineDomain&amp;",",$T294,1),0)&gt;0),1,0)*IF($C294=DF$2,1,0)=1,1+COUNTIF(DF$3:DF293,"&gt;0"),0)</f>
        <v>0</v>
      </c>
      <c r="DG294">
        <f>IF(IF(OR(IFERROR(SEARCH("Cleric",$T294,1),0)&gt;0,IFERROR(SEARCH(DivineDomain&amp;",",$T294,1),0)&gt;0),1,0)*IF($C294=DG$2,1,0)=1,1+COUNTIF(DG$3:DG293,"&gt;0"),0)</f>
        <v>0</v>
      </c>
      <c r="DH294">
        <f>IF(IF(OR(IFERROR(SEARCH("Cleric",$T294,1),0)&gt;0,IFERROR(SEARCH(DivineDomain&amp;",",$T294,1),0)&gt;0),1,0)*IF($C294=DH$2,1,0)=1,1+COUNTIF(DH$3:DH293,"&gt;0"),0)</f>
        <v>0</v>
      </c>
      <c r="DI294">
        <f>IF(IF(OR(IFERROR(SEARCH("Cleric",$T294,1),0)&gt;0,IFERROR(SEARCH(DivineDomain&amp;",",$T294,1),0)&gt;0),1,0)*IF($C294=DI$2,1,0)=1,1+COUNTIF(DI$3:DI293,"&gt;0"),0)</f>
        <v>0</v>
      </c>
      <c r="DJ294">
        <f>IF(IF(OR(IFERROR(SEARCH("Druid",$T294,1),0)&gt;0,IFERROR(SEARCH(DruidLand1,$T294,1),0)&gt;0,IFERROR(SEARCH(DruidLand2,$T294,1),0)&gt;0,IFERROR(SEARCH(DruidLand3,$T294,1),0)&gt;0,IFERROR(SEARCH(DruidLand4,$T294,1),0)&gt;0),1,0)*IF($C294=1,1,0)*IF($C294=DJ$2,1,0)=0,0,1+COUNTIF(DJ$3:DJ293,"&gt;0"))</f>
        <v>0</v>
      </c>
      <c r="DK294">
        <f>IF(IF(OR(IFERROR(SEARCH("Druid",$T294,1),0)&gt;0,IFERROR(SEARCH(DruidLand1,$T294,1),0)&gt;0,IFERROR(SEARCH(DruidLand2,$T294,1),0)&gt;0,IFERROR(SEARCH(DruidLand3,$T294,1),0)&gt;0,IFERROR(SEARCH(DruidLand4,$T294,1),0)&gt;0),1,0)*IF($C294=1,1,0)*IF($C294=DK$2,1,0)=0,0,1+COUNTIF(DK$3:DK293,"&gt;0"))</f>
        <v>0</v>
      </c>
      <c r="DL294">
        <f>IF(IF(OR(IFERROR(SEARCH("Druid",$T294,1),0)&gt;0,IFERROR(SEARCH(DruidLand1,$T294,1),0)&gt;0,IFERROR(SEARCH(DruidLand2,$T294,1),0)&gt;0,IFERROR(SEARCH(DruidLand3,$T294,1),0)&gt;0,IFERROR(SEARCH(DruidLand4,$T294,1),0)&gt;0),1,0)*IF($C294=1,1,0)*IF($C294=DL$2,1,0)=0,0,1+COUNTIF(DL$3:DL293,"&gt;0"))</f>
        <v>0</v>
      </c>
      <c r="DM294">
        <f>IF(IF(OR(IFERROR(SEARCH("Druid",$T294,1),0)&gt;0,IFERROR(SEARCH(DruidLand1,$T294,1),0)&gt;0,IFERROR(SEARCH(DruidLand2,$T294,1),0)&gt;0,IFERROR(SEARCH(DruidLand3,$T294,1),0)&gt;0,IFERROR(SEARCH(DruidLand4,$T294,1),0)&gt;0),1,0)*IF($C294=1,1,0)*IF($C294=DM$2,1,0)=0,0,1+COUNTIF(DM$3:DM293,"&gt;0"))</f>
        <v>0</v>
      </c>
      <c r="DN294">
        <f>IF(IF(OR(IFERROR(SEARCH("Druid",$T294,1),0)&gt;0,IFERROR(SEARCH(DruidLand1,$T294,1),0)&gt;0,IFERROR(SEARCH(DruidLand2,$T294,1),0)&gt;0,IFERROR(SEARCH(DruidLand3,$T294,1),0)&gt;0,IFERROR(SEARCH(DruidLand4,$T294,1),0)&gt;0),1,0)*IF($C294=1,1,0)*IF($C294=DN$2,1,0)=0,0,1+COUNTIF(DN$3:DN293,"&gt;0"))</f>
        <v>0</v>
      </c>
      <c r="DO294">
        <f>IF(IF(OR(IFERROR(SEARCH("Druid",$T294,1),0)&gt;0,IFERROR(SEARCH(DruidLand1,$T294,1),0)&gt;0,IFERROR(SEARCH(DruidLand2,$T294,1),0)&gt;0,IFERROR(SEARCH(DruidLand3,$T294,1),0)&gt;0,IFERROR(SEARCH(DruidLand4,$T294,1),0)&gt;0),1,0)*IF($C294=1,1,0)*IF($C294=DO$2,1,0)=0,0,1+COUNTIF(DO$3:DO293,"&gt;0"))</f>
        <v>0</v>
      </c>
      <c r="DP294">
        <f>IF(IF(OR(IFERROR(SEARCH("Druid",$T294,1),0)&gt;0,IFERROR(SEARCH(DruidLand1,$T294,1),0)&gt;0,IFERROR(SEARCH(DruidLand2,$T294,1),0)&gt;0,IFERROR(SEARCH(DruidLand3,$T294,1),0)&gt;0,IFERROR(SEARCH(DruidLand4,$T294,1),0)&gt;0),1,0)*IF($C294=1,1,0)*IF($C294=DP$2,1,0)=0,0,1+COUNTIF(DP$3:DP293,"&gt;0"))</f>
        <v>0</v>
      </c>
      <c r="DQ294">
        <f>IF(IF(OR(IFERROR(SEARCH("Druid",$T294,1),0)&gt;0,IFERROR(SEARCH(DruidLand1,$T294,1),0)&gt;0,IFERROR(SEARCH(DruidLand2,$T294,1),0)&gt;0,IFERROR(SEARCH(DruidLand3,$T294,1),0)&gt;0,IFERROR(SEARCH(DruidLand4,$T294,1),0)&gt;0),1,0)*IF($C294=1,1,0)*IF($C294=DQ$2,1,0)=0,0,1+COUNTIF(DQ$3:DQ293,"&gt;0"))</f>
        <v>0</v>
      </c>
      <c r="DR294">
        <f>IF(IF(OR(IFERROR(SEARCH("Druid",$T294,1),0)&gt;0,IFERROR(SEARCH(DruidLand1,$T294,1),0)&gt;0,IFERROR(SEARCH(DruidLand2,$T294,1),0)&gt;0,IFERROR(SEARCH(DruidLand3,$T294,1),0)&gt;0,IFERROR(SEARCH(DruidLand4,$T294,1),0)&gt;0),1,0)*IF($C294=1,1,0)*IF($C294=DR$2,1,0)=0,0,1+COUNTIF(DR$3:DR293,"&gt;0"))</f>
        <v>0</v>
      </c>
      <c r="DS294">
        <f>IF(IF(OR(IFERROR(SEARCH("Paladin",$T294,1),0)&gt;0,IFERROR(SEARCH(PaladinOath,$T294,1),0)&gt;0),1,0)*IF($C294=DS$2,1,0)=1,1+COUNTIF(DS$3:DS293,"&gt;0"),0)</f>
        <v>0</v>
      </c>
      <c r="DT294">
        <f>IF(IF(OR(IFERROR(SEARCH("Paladin",$T294,1),0)&gt;0,IFERROR(SEARCH(PaladinOath,$T294,1),0)&gt;0),1,0)*IF($C294=DT$2,1,0)=1,1+COUNTIF(DT$3:DT293,"&gt;0"),0)</f>
        <v>0</v>
      </c>
      <c r="DU294">
        <f>IF(IF(OR(IFERROR(SEARCH("Paladin",$T294,1),0)&gt;0,IFERROR(SEARCH(PaladinOath,$T294,1),0)&gt;0),1,0)*IF($C294=DU$2,1,0)=1,1+COUNTIF(DU$3:DU293,"&gt;0"),0)</f>
        <v>0</v>
      </c>
      <c r="DV294">
        <f>IF(IF(OR(IFERROR(SEARCH("Paladin",$T294,1),0)&gt;0,IFERROR(SEARCH(PaladinOath,$T294,1),0)&gt;0),1,0)*IF($C294=DV$2,1,0)=1,1+COUNTIF(DV$3:DV293,"&gt;0"),0)</f>
        <v>0</v>
      </c>
      <c r="DW294">
        <f>IF(IF(OR(IFERROR(SEARCH("Paladin",$T294,1),0)&gt;0,IFERROR(SEARCH(PaladinOath,$T294,1),0)&gt;0),1,0)*IF($C294=DW$2,1,0)=1,1+COUNTIF(DW$3:DW293,"&gt;0"),0)</f>
        <v>0</v>
      </c>
      <c r="DY294">
        <f t="shared" si="225"/>
        <v>1</v>
      </c>
      <c r="DZ294">
        <f>IF(DY294=0,0,1+MAX(DZ$3:$DZ293))</f>
        <v>292</v>
      </c>
      <c r="EB294">
        <f t="shared" si="239"/>
        <v>0</v>
      </c>
      <c r="EC294">
        <f>IF(EB294=0,0,1+COUNTIF(EC$3:EC293,"&gt;0"))</f>
        <v>0</v>
      </c>
      <c r="ED294" t="str">
        <f t="shared" si="267"/>
        <v/>
      </c>
      <c r="EE294" t="str">
        <f t="shared" si="240"/>
        <v/>
      </c>
      <c r="EG294">
        <f t="shared" si="241"/>
        <v>0</v>
      </c>
      <c r="EH294">
        <f>IF(EG294=0,0,1+COUNTIF(EH$3:EH293,"&gt;0"))</f>
        <v>0</v>
      </c>
      <c r="EI294" t="str">
        <f t="shared" si="268"/>
        <v/>
      </c>
      <c r="EJ294" t="str">
        <f t="shared" si="242"/>
        <v/>
      </c>
      <c r="EL294">
        <f t="shared" si="243"/>
        <v>0</v>
      </c>
      <c r="EM294">
        <f>IF(EL294=0,0,1+COUNTIF(EM$3:EM293,"&gt;0"))</f>
        <v>0</v>
      </c>
      <c r="EN294" t="str">
        <f t="shared" si="269"/>
        <v/>
      </c>
      <c r="EO294" t="str">
        <f t="shared" si="244"/>
        <v/>
      </c>
      <c r="EQ294">
        <f t="shared" si="245"/>
        <v>0</v>
      </c>
      <c r="ER294">
        <f>IF(EQ294=0,0,1+COUNTIF(ER$3:ER293,"&gt;0"))</f>
        <v>0</v>
      </c>
      <c r="ES294" t="str">
        <f t="shared" si="270"/>
        <v/>
      </c>
      <c r="ET294" t="str">
        <f t="shared" si="246"/>
        <v/>
      </c>
      <c r="EV294">
        <f t="shared" si="247"/>
        <v>0</v>
      </c>
      <c r="EW294">
        <f>IF(EV294=0,0,1+COUNTIF(EW$3:EW293,"&gt;0"))</f>
        <v>0</v>
      </c>
      <c r="EX294" t="str">
        <f t="shared" si="271"/>
        <v/>
      </c>
      <c r="EY294" t="str">
        <f t="shared" si="248"/>
        <v/>
      </c>
      <c r="FA294">
        <f t="shared" si="249"/>
        <v>0</v>
      </c>
      <c r="FB294">
        <f>IF(FA294=0,0,1+COUNTIF(FB$3:FB293,"&gt;0"))</f>
        <v>0</v>
      </c>
      <c r="FC294" t="str">
        <f t="shared" si="272"/>
        <v/>
      </c>
      <c r="FD294" t="str">
        <f t="shared" si="250"/>
        <v/>
      </c>
      <c r="FF294">
        <f t="shared" si="251"/>
        <v>0</v>
      </c>
      <c r="FG294">
        <f>IF(FF294=0,0,1+COUNTIF(FG$3:FG293,"&gt;0"))</f>
        <v>0</v>
      </c>
      <c r="FH294" t="str">
        <f t="shared" si="273"/>
        <v/>
      </c>
      <c r="FI294" t="str">
        <f t="shared" si="252"/>
        <v/>
      </c>
      <c r="FK294">
        <f t="shared" si="253"/>
        <v>0</v>
      </c>
      <c r="FL294">
        <f>IF(FK294=0,0,1+COUNTIF(FL$3:FL293,"&gt;0"))</f>
        <v>0</v>
      </c>
      <c r="FM294" t="str">
        <f t="shared" si="274"/>
        <v/>
      </c>
      <c r="FN294" t="str">
        <f t="shared" si="254"/>
        <v/>
      </c>
      <c r="FP294">
        <f t="shared" si="255"/>
        <v>0</v>
      </c>
      <c r="FQ294">
        <f>IF(FP294=0,0,1+COUNTIF(FQ$3:FQ293,"&gt;0"))</f>
        <v>0</v>
      </c>
      <c r="FR294" t="str">
        <f t="shared" si="275"/>
        <v/>
      </c>
      <c r="FS294" t="str">
        <f t="shared" si="256"/>
        <v/>
      </c>
    </row>
    <row r="295" spans="1:175" x14ac:dyDescent="0.25">
      <c r="A295" s="347">
        <f t="shared" si="276"/>
        <v>293</v>
      </c>
      <c r="B295" s="348" t="s">
        <v>2683</v>
      </c>
      <c r="C295" s="348">
        <v>9</v>
      </c>
      <c r="D295" s="347">
        <v>9</v>
      </c>
      <c r="E295" s="627" t="s">
        <v>6952</v>
      </c>
      <c r="F295" s="346"/>
      <c r="G295" s="347" t="str">
        <f>""</f>
        <v/>
      </c>
      <c r="H295" s="347" t="s">
        <v>5912</v>
      </c>
      <c r="I295" s="347" t="s">
        <v>5283</v>
      </c>
      <c r="J295" s="347" t="str">
        <f t="shared" si="226"/>
        <v/>
      </c>
      <c r="K295" s="347" t="s">
        <v>5284</v>
      </c>
      <c r="L295" s="611" t="str">
        <f t="shared" si="227"/>
        <v>V, S, M, a jade circlet worth a least 1,500 gp, which you must place on your head before you cast the spell</v>
      </c>
      <c r="M295" s="347" t="s">
        <v>2373</v>
      </c>
      <c r="N295" s="347" t="s">
        <v>2387</v>
      </c>
      <c r="O295" s="347" t="s">
        <v>1244</v>
      </c>
      <c r="P295" s="346" t="s">
        <v>5476</v>
      </c>
      <c r="Q295" s="347" t="s">
        <v>5276</v>
      </c>
      <c r="S295" s="346" t="s">
        <v>5819</v>
      </c>
      <c r="T295" s="346" t="str">
        <f t="shared" si="228"/>
        <v xml:space="preserve">Druid, Wizard, </v>
      </c>
      <c r="AA295" s="347" t="str">
        <f>$B295</f>
        <v>Shapechange</v>
      </c>
      <c r="AD295" s="347" t="str">
        <f t="shared" si="277"/>
        <v>Shapechange</v>
      </c>
      <c r="AE295" t="str">
        <f>IF(IFERROR(MATCH($B295,temp!A$4:A$13,0),0)&gt;0,T08_Spells!AE$2,"")</f>
        <v/>
      </c>
      <c r="AF295" t="str">
        <f>IF(IFERROR(MATCH($B295,temp!B$4:B$13,0),0)&gt;0,T08_Spells!AF$2,"")</f>
        <v/>
      </c>
      <c r="AG295" t="str">
        <f>IF(IFERROR(MATCH($B295,temp!C$4:C$13,0),0)&gt;0,T08_Spells!AG$2,"")</f>
        <v/>
      </c>
      <c r="AH295" t="str">
        <f>IF(IFERROR(MATCH($B295,temp!D$4:D$13,0),0)&gt;0,T08_Spells!AH$2,"")</f>
        <v/>
      </c>
      <c r="AI295" t="str">
        <f>IF(IFERROR(MATCH($B295,temp!E$4:E$13,0),0)&gt;0,T08_Spells!AI$2,"")</f>
        <v/>
      </c>
      <c r="AJ295" t="str">
        <f>IF(IFERROR(MATCH($B295,temp!F$4:F$13,0),0)&gt;0,T08_Spells!AJ$2,"")</f>
        <v/>
      </c>
      <c r="AK295" t="str">
        <f>IF(IFERROR(MATCH($B295,temp!G$4:G$13,0),0)&gt;0,T08_Spells!AK$2,"")</f>
        <v/>
      </c>
      <c r="AL295" t="str">
        <f>IF(IFERROR(MATCH($B295,temp!H$4:H$13,0),0)&gt;0,T08_Spells!AL$2,"")</f>
        <v/>
      </c>
      <c r="AM295" t="str">
        <f>IF(IFERROR(MATCH($B295,temp!I$4:I$13,0),0)&gt;0,T08_Spells!AM$2,"")</f>
        <v/>
      </c>
      <c r="AN295" t="str">
        <f>IF(IFERROR(MATCH($B295,temp!J$4:J$13,0),0)&gt;0,T08_Spells!AN$2,"")</f>
        <v/>
      </c>
      <c r="AO295" t="str">
        <f>IF(IFERROR(MATCH($B295,temp!K$4:K$13,0),0)&gt;0,T08_Spells!AO$2,"")</f>
        <v/>
      </c>
      <c r="AP295" t="str">
        <f>IF(IFERROR(MATCH($B295,temp!L$4:L$13,0),0)&gt;0,T08_Spells!AP$2,"")</f>
        <v/>
      </c>
      <c r="AQ295" t="str">
        <f>IF(IFERROR(MATCH($B295,temp!M$4:M$13,0),0)&gt;0,T08_Spells!AQ$2,"")</f>
        <v/>
      </c>
      <c r="AR295" t="str">
        <f>IF(IFERROR(MATCH($B295,temp!N$4:N$13,0),0)&gt;0,T08_Spells!AR$2,"")</f>
        <v/>
      </c>
      <c r="AS295" t="str">
        <f>IF(IFERROR(MATCH($B295,temp!O$4:O$13,0),0)&gt;0,T08_Spells!AS$2,"")</f>
        <v/>
      </c>
      <c r="AT295" t="str">
        <f>IF(IFERROR(MATCH($B295,temp!P$4:P$13,0),0)&gt;0,T08_Spells!AT$2,"")</f>
        <v/>
      </c>
      <c r="AU295" t="str">
        <f>IF(IFERROR(MATCH($B295,temp!Q$4:Q$13,0),0)&gt;0,T08_Spells!AU$2,"")</f>
        <v/>
      </c>
      <c r="AV295" t="str">
        <f>IF(IFERROR(MATCH($B295,temp!R$4:R$13,0),0)&gt;0,T08_Spells!AV$2,"")</f>
        <v/>
      </c>
      <c r="AW295" t="str">
        <f>IF(IFERROR(MATCH($B295,temp!S$4:S$13,0),0)&gt;0,T08_Spells!AW$2,"")</f>
        <v/>
      </c>
      <c r="AX295" t="str">
        <f>IF(IFERROR(MATCH($B295,temp!T$4:T$13,0),0)&gt;0,T08_Spells!AX$2,"")</f>
        <v/>
      </c>
      <c r="AY295" t="str">
        <f>IF(IFERROR(MATCH($B295,temp!U$4:U$13,0),0)&gt;0,T08_Spells!AY$2,"")</f>
        <v/>
      </c>
      <c r="AZ295" t="str">
        <f>IF(IFERROR(MATCH($B295,temp!V$4:V$13,0),0)&gt;0,T08_Spells!AZ$2,"")</f>
        <v/>
      </c>
      <c r="BA295" t="str">
        <f>IF(IFERROR(MATCH($B295,temp!W$4:W$13,0),0)&gt;0,T08_Spells!BA$2,"")</f>
        <v/>
      </c>
      <c r="BC295">
        <f>IF(IFERROR(SEARCH("Ranger",$T295,1),0)&gt;0,1,0)*IF(RangerMaxSpellLevel&gt;=$C295,1,0)*IF(IFERROR(MATCH(B295,Character_Creation!$X$79:$X$382,0),0)&gt;0,0,1)</f>
        <v>0</v>
      </c>
      <c r="BD295">
        <f>IF(BC295=0,0,1+COUNTIF(BD$3:BD294,"&gt;0"))</f>
        <v>0</v>
      </c>
      <c r="BE295" t="str">
        <f t="shared" si="257"/>
        <v/>
      </c>
      <c r="BF295" t="str">
        <f t="shared" si="229"/>
        <v/>
      </c>
      <c r="BH295">
        <f>IF(IFERROR(SEARCH("Sorcerer",$T295,1),0)&gt;0,1,0)*IF(SorcererMaxSpellLevel&gt;=$C295,1,0)*IF(IFERROR(MATCH(B295,Character_Creation!$J$380:$J$394,0),0)&gt;0,0,1)</f>
        <v>0</v>
      </c>
      <c r="BI295">
        <f>IF(BH295=0,0,1+COUNTIF(BI$3:BI294,"&gt;0"))</f>
        <v>0</v>
      </c>
      <c r="BJ295" t="str">
        <f t="shared" si="258"/>
        <v/>
      </c>
      <c r="BK295" t="str">
        <f t="shared" si="230"/>
        <v/>
      </c>
      <c r="BM295">
        <f>IF(OR(IFERROR(SEARCH("Warlock",$T295,1),0)&gt;0,IFERROR(SEARCH(WarlockPatron,$T295,1),0)&gt;0),1,0)*IF(WarlockMaxSpellLevel&gt;=$C295,1,0)*IF(IFERROR(MATCH(B295,Character_Creation!$J$361:$J$375,0),0)&gt;0,0,1)</f>
        <v>0</v>
      </c>
      <c r="BN295">
        <f>IF(BM295=0,0,1+COUNTIF(BN$3:BN294,"&gt;0"))</f>
        <v>0</v>
      </c>
      <c r="BO295" t="str">
        <f t="shared" si="259"/>
        <v/>
      </c>
      <c r="BP295" t="str">
        <f t="shared" si="231"/>
        <v/>
      </c>
      <c r="BR295">
        <f>IF(IFERROR(SEARCH("Eldritch Knight",$T295,1),0)&gt;0,1,0)*IF(EldritchKnightMaxSpellLevel&gt;=$C295,1,0)*IF(IFERROR(MATCH($B295,Character_Creation!$J$350:$J$356,0),0)&gt;0,0,1)*IF(Character_Creation!$M$338&gt;0,1,0)</f>
        <v>0</v>
      </c>
      <c r="BS295">
        <f>IF(BR295=0,0,1+COUNTIF(BS$3:BS294,"&gt;0"))</f>
        <v>0</v>
      </c>
      <c r="BT295" t="str">
        <f t="shared" si="260"/>
        <v/>
      </c>
      <c r="BU295" t="str">
        <f t="shared" si="232"/>
        <v/>
      </c>
      <c r="BW295">
        <f>IF(IFERROR(SEARCH("Arcane Trickster",$T295,1),0)&gt;0,1,0)*IF(ArcaneTricksterMaxSpellLevel&gt;=$C295,1,0)*IF(IFERROR(MATCH($B295,Character_Creation!$J$350:$J$356,0),0)&gt;0,0,1)*IF(Character_Creation!$T$338&gt;0,1,0)</f>
        <v>0</v>
      </c>
      <c r="BX295">
        <f>IF(BW295=0,0,1+COUNTIF(BX$3:BX294,"&gt;0"))</f>
        <v>0</v>
      </c>
      <c r="BY295" t="str">
        <f t="shared" si="261"/>
        <v/>
      </c>
      <c r="BZ295" t="str">
        <f t="shared" si="233"/>
        <v/>
      </c>
      <c r="CB295">
        <f>IF(IFERROR(SEARCH("Wizard",$T295,1),0)&gt;0,1,0)*IF(C295&lt;=ArcaneTricksterMaxSpellLevel,1,0)*IF(IFERROR(MATCH($B295,Character_Creation!$J$350:$J$356,0),0)&gt;0,0,1)*IF(Character_Creation!$T$350&gt;0,1,0)</f>
        <v>0</v>
      </c>
      <c r="CC295">
        <f>IF(CB295=0,0,1+COUNTIF(CC$3:CC294,"&gt;0"))</f>
        <v>0</v>
      </c>
      <c r="CD295" t="str">
        <f t="shared" si="262"/>
        <v/>
      </c>
      <c r="CE295" t="str">
        <f t="shared" si="234"/>
        <v/>
      </c>
      <c r="CG295">
        <f>IF(IFERROR(SEARCH("Wizard",$T295,1),0)&gt;0,1,0)*IF($C295&lt;=EldritchKnightMaxSpellLevel,1,0)*IF(IFERROR(MATCH($B295,Character_Creation!$J$350:$J$356,0),0)&gt;0,0,1)*IF(Character_Creation!$M$350&gt;0,1,0)</f>
        <v>0</v>
      </c>
      <c r="CH295">
        <f>IF(CG295=0,0,1+COUNTIF(CH$3:CH294,"&gt;0"))</f>
        <v>0</v>
      </c>
      <c r="CI295" t="str">
        <f t="shared" si="263"/>
        <v/>
      </c>
      <c r="CJ295" t="str">
        <f t="shared" si="235"/>
        <v/>
      </c>
      <c r="CL295">
        <f>IF(IFERROR(SEARCH("Bard",$T295,1),0)&gt;0,1,0)*IF(BardMaxSpellLevel&gt;=$C295,1,0)*IF(IFERROR(MATCH(B295,Character_Creation!$C$341:$F$362,0),0)&gt;0,0,1)*IF(IFERROR(MATCH($B295,Character_Creation!$C$341:$C$362,0),0)&gt;0,0,1)</f>
        <v>0</v>
      </c>
      <c r="CM295">
        <f>IF(CL295=0,0,1+COUNTIF(CM$3:CM294,"&gt;0"))</f>
        <v>0</v>
      </c>
      <c r="CN295" t="str">
        <f t="shared" si="264"/>
        <v/>
      </c>
      <c r="CO295" t="str">
        <f t="shared" si="236"/>
        <v/>
      </c>
      <c r="CQ295">
        <f>IF(IFERROR(SEARCH("Wizard",$T295,1),0)&gt;0,1,0)*IF(WizardMaxSpellLevel&gt;=$C295,1,0)*IF(IFERROR(MATCH(B295,Character_Creation!$X$341:$X$400,0),0)&gt;0,0,1)*IF(SelectedWizardSpellLevel=$C295,1,0)</f>
        <v>0</v>
      </c>
      <c r="CR295">
        <f>IF(CQ295=0,0,1+COUNTIF(CR$3:CR294,"&gt;0"))</f>
        <v>0</v>
      </c>
      <c r="CS295" t="str">
        <f t="shared" si="265"/>
        <v/>
      </c>
      <c r="CT295" t="str">
        <f t="shared" si="237"/>
        <v/>
      </c>
      <c r="CV295">
        <f>IF(IFERROR(MATCH($B295,Character_Creation!$C$341:$C$362,0),0)&gt;0,0,1)*IF(OR(C295="Cantrip",C295&lt;=BardMaxSpellLevel),1,0)*IF(IFERROR(MATCH($B295,Character_Creation!$C$367:$C$374,0),0)&gt;0,0,1)</f>
        <v>0</v>
      </c>
      <c r="CW295">
        <f>IF(CV295=0,0,1+COUNTIF(CW$3:CW294,"&gt;0"))</f>
        <v>0</v>
      </c>
      <c r="CX295" t="str">
        <f t="shared" si="266"/>
        <v/>
      </c>
      <c r="CY295" t="str">
        <f t="shared" si="238"/>
        <v/>
      </c>
      <c r="DA295">
        <f>IF(IF(OR(IFERROR(SEARCH("Cleric",$T295,1),0)&gt;0,IFERROR(SEARCH(DivineDomain&amp;",",$T295,1),0)&gt;0),1,0)*IF($C295=DA$2,1,0)=1,1+COUNTIF(DA$3:DA294,"&gt;0"),0)</f>
        <v>0</v>
      </c>
      <c r="DB295">
        <f>IF(IF(OR(IFERROR(SEARCH("Cleric",$T295,1),0)&gt;0,IFERROR(SEARCH(DivineDomain&amp;",",$T295,1),0)&gt;0),1,0)*IF($C295=DB$2,1,0)=1,1+COUNTIF(DB$3:DB294,"&gt;0"),0)</f>
        <v>0</v>
      </c>
      <c r="DC295">
        <f>IF(IF(OR(IFERROR(SEARCH("Cleric",$T295,1),0)&gt;0,IFERROR(SEARCH(DivineDomain&amp;",",$T295,1),0)&gt;0),1,0)*IF($C295=DC$2,1,0)=1,1+COUNTIF(DC$3:DC294,"&gt;0"),0)</f>
        <v>0</v>
      </c>
      <c r="DD295">
        <f>IF(IF(OR(IFERROR(SEARCH("Cleric",$T295,1),0)&gt;0,IFERROR(SEARCH(DivineDomain&amp;",",$T295,1),0)&gt;0),1,0)*IF($C295=DD$2,1,0)=1,1+COUNTIF(DD$3:DD294,"&gt;0"),0)</f>
        <v>0</v>
      </c>
      <c r="DE295">
        <f>IF(IF(OR(IFERROR(SEARCH("Cleric",$T295,1),0)&gt;0,IFERROR(SEARCH(DivineDomain&amp;",",$T295,1),0)&gt;0),1,0)*IF($C295=DE$2,1,0)=1,1+COUNTIF(DE$3:DE294,"&gt;0"),0)</f>
        <v>0</v>
      </c>
      <c r="DF295">
        <f>IF(IF(OR(IFERROR(SEARCH("Cleric",$T295,1),0)&gt;0,IFERROR(SEARCH(DivineDomain&amp;",",$T295,1),0)&gt;0),1,0)*IF($C295=DF$2,1,0)=1,1+COUNTIF(DF$3:DF294,"&gt;0"),0)</f>
        <v>0</v>
      </c>
      <c r="DG295">
        <f>IF(IF(OR(IFERROR(SEARCH("Cleric",$T295,1),0)&gt;0,IFERROR(SEARCH(DivineDomain&amp;",",$T295,1),0)&gt;0),1,0)*IF($C295=DG$2,1,0)=1,1+COUNTIF(DG$3:DG294,"&gt;0"),0)</f>
        <v>0</v>
      </c>
      <c r="DH295">
        <f>IF(IF(OR(IFERROR(SEARCH("Cleric",$T295,1),0)&gt;0,IFERROR(SEARCH(DivineDomain&amp;",",$T295,1),0)&gt;0),1,0)*IF($C295=DH$2,1,0)=1,1+COUNTIF(DH$3:DH294,"&gt;0"),0)</f>
        <v>0</v>
      </c>
      <c r="DI295">
        <f>IF(IF(OR(IFERROR(SEARCH("Cleric",$T295,1),0)&gt;0,IFERROR(SEARCH(DivineDomain&amp;",",$T295,1),0)&gt;0),1,0)*IF($C295=DI$2,1,0)=1,1+COUNTIF(DI$3:DI294,"&gt;0"),0)</f>
        <v>0</v>
      </c>
      <c r="DJ295">
        <f>IF(IF(OR(IFERROR(SEARCH("Druid",$T295,1),0)&gt;0,IFERROR(SEARCH(DruidLand1,$T295,1),0)&gt;0,IFERROR(SEARCH(DruidLand2,$T295,1),0)&gt;0,IFERROR(SEARCH(DruidLand3,$T295,1),0)&gt;0,IFERROR(SEARCH(DruidLand4,$T295,1),0)&gt;0),1,0)*IF($C295=1,1,0)*IF($C295=DJ$2,1,0)=0,0,1+COUNTIF(DJ$3:DJ294,"&gt;0"))</f>
        <v>0</v>
      </c>
      <c r="DK295">
        <f>IF(IF(OR(IFERROR(SEARCH("Druid",$T295,1),0)&gt;0,IFERROR(SEARCH(DruidLand1,$T295,1),0)&gt;0,IFERROR(SEARCH(DruidLand2,$T295,1),0)&gt;0,IFERROR(SEARCH(DruidLand3,$T295,1),0)&gt;0,IFERROR(SEARCH(DruidLand4,$T295,1),0)&gt;0),1,0)*IF($C295=DK$2,1,0)=0,0,1+COUNTIF(DK$3:DK294,"&gt;0"))</f>
        <v>0</v>
      </c>
      <c r="DL295">
        <f>IF(IF(OR(IFERROR(SEARCH("Druid",$T295,1),0)&gt;0,IFERROR(SEARCH(DruidLand1,$T295,1),0)&gt;0,IFERROR(SEARCH(DruidLand2,$T295,1),0)&gt;0,IFERROR(SEARCH(DruidLand3,$T295,1),0)&gt;0,IFERROR(SEARCH(DruidLand4,$T295,1),0)&gt;0),1,0)*IF($C295=DL$2,1,0)=0,0,1+COUNTIF(DL$3:DL294,"&gt;0"))</f>
        <v>0</v>
      </c>
      <c r="DM295">
        <f>IF(IF(OR(IFERROR(SEARCH("Druid",$T295,1),0)&gt;0,IFERROR(SEARCH(DruidLand1,$T295,1),0)&gt;0,IFERROR(SEARCH(DruidLand2,$T295,1),0)&gt;0,IFERROR(SEARCH(DruidLand3,$T295,1),0)&gt;0,IFERROR(SEARCH(DruidLand4,$T295,1),0)&gt;0),1,0)*IF($C295=DM$2,1,0)=0,0,1+COUNTIF(DM$3:DM294,"&gt;0"))</f>
        <v>0</v>
      </c>
      <c r="DN295">
        <f>IF(IF(OR(IFERROR(SEARCH("Druid",$T295,1),0)&gt;0,IFERROR(SEARCH(DruidLand1,$T295,1),0)&gt;0,IFERROR(SEARCH(DruidLand2,$T295,1),0)&gt;0,IFERROR(SEARCH(DruidLand3,$T295,1),0)&gt;0,IFERROR(SEARCH(DruidLand4,$T295,1),0)&gt;0),1,0)*IF($C295=DN$2,1,0)=0,0,1+COUNTIF(DN$3:DN294,"&gt;0"))</f>
        <v>0</v>
      </c>
      <c r="DO295">
        <f>IF(IF(OR(IFERROR(SEARCH("Druid",$T295,1),0)&gt;0,IFERROR(SEARCH(DruidLand1,$T295,1),0)&gt;0,IFERROR(SEARCH(DruidLand2,$T295,1),0)&gt;0,IFERROR(SEARCH(DruidLand3,$T295,1),0)&gt;0,IFERROR(SEARCH(DruidLand4,$T295,1),0)&gt;0),1,0)*IF($C295=DO$2,1,0)=0,0,1+COUNTIF(DO$3:DO294,"&gt;0"))</f>
        <v>0</v>
      </c>
      <c r="DP295">
        <f>IF(IF(OR(IFERROR(SEARCH("Druid",$T295,1),0)&gt;0,IFERROR(SEARCH(DruidLand1,$T295,1),0)&gt;0,IFERROR(SEARCH(DruidLand2,$T295,1),0)&gt;0,IFERROR(SEARCH(DruidLand3,$T295,1),0)&gt;0,IFERROR(SEARCH(DruidLand4,$T295,1),0)&gt;0),1,0)*IF($C295=DP$2,1,0)=0,0,1+COUNTIF(DP$3:DP294,"&gt;0"))</f>
        <v>0</v>
      </c>
      <c r="DQ295">
        <f>IF(IF(OR(IFERROR(SEARCH("Druid",$T295,1),0)&gt;0,IFERROR(SEARCH(DruidLand1,$T295,1),0)&gt;0,IFERROR(SEARCH(DruidLand2,$T295,1),0)&gt;0,IFERROR(SEARCH(DruidLand3,$T295,1),0)&gt;0,IFERROR(SEARCH(DruidLand4,$T295,1),0)&gt;0),1,0)*IF($C295=DQ$2,1,0)=0,0,1+COUNTIF(DQ$3:DQ294,"&gt;0"))</f>
        <v>0</v>
      </c>
      <c r="DR295">
        <f>IF(IF(OR(IFERROR(SEARCH("Druid",$T295,1),0)&gt;0,IFERROR(SEARCH(DruidLand1,$T295,1),0)&gt;0,IFERROR(SEARCH(DruidLand2,$T295,1),0)&gt;0,IFERROR(SEARCH(DruidLand3,$T295,1),0)&gt;0,IFERROR(SEARCH(DruidLand4,$T295,1),0)&gt;0),1,0)*IF($C295=DR$2,1,0)=0,0,1+COUNTIF(DR$3:DR294,"&gt;0"))</f>
        <v>2</v>
      </c>
      <c r="DS295">
        <f>IF(IF(OR(IFERROR(SEARCH("Paladin",$T295,1),0)&gt;0,IFERROR(SEARCH(PaladinOath,$T295,1),0)&gt;0),1,0)*IF($C295=DS$2,1,0)=1,1+COUNTIF(DS$3:DS294,"&gt;0"),0)</f>
        <v>0</v>
      </c>
      <c r="DT295">
        <f>IF(IF(OR(IFERROR(SEARCH("Paladin",$T295,1),0)&gt;0,IFERROR(SEARCH(PaladinOath,$T295,1),0)&gt;0),1,0)*IF($C295=DT$2,1,0)=1,1+COUNTIF(DT$3:DT294,"&gt;0"),0)</f>
        <v>0</v>
      </c>
      <c r="DU295">
        <f>IF(IF(OR(IFERROR(SEARCH("Paladin",$T295,1),0)&gt;0,IFERROR(SEARCH(PaladinOath,$T295,1),0)&gt;0),1,0)*IF($C295=DU$2,1,0)=1,1+COUNTIF(DU$3:DU294,"&gt;0"),0)</f>
        <v>0</v>
      </c>
      <c r="DV295">
        <f>IF(IF(OR(IFERROR(SEARCH("Paladin",$T295,1),0)&gt;0,IFERROR(SEARCH(PaladinOath,$T295,1),0)&gt;0),1,0)*IF($C295=DV$2,1,0)=1,1+COUNTIF(DV$3:DV294,"&gt;0"),0)</f>
        <v>0</v>
      </c>
      <c r="DW295">
        <f>IF(IF(OR(IFERROR(SEARCH("Paladin",$T295,1),0)&gt;0,IFERROR(SEARCH(PaladinOath,$T295,1),0)&gt;0),1,0)*IF($C295=DW$2,1,0)=1,1+COUNTIF(DW$3:DW294,"&gt;0"),0)</f>
        <v>0</v>
      </c>
      <c r="DY295">
        <f t="shared" si="225"/>
        <v>1</v>
      </c>
      <c r="DZ295">
        <f>IF(DY295=0,0,1+MAX(DZ$3:$DZ294))</f>
        <v>293</v>
      </c>
      <c r="EB295">
        <f t="shared" si="239"/>
        <v>0</v>
      </c>
      <c r="EC295">
        <f>IF(EB295=0,0,1+COUNTIF(EC$3:EC294,"&gt;0"))</f>
        <v>0</v>
      </c>
      <c r="ED295" t="str">
        <f t="shared" si="267"/>
        <v/>
      </c>
      <c r="EE295" t="str">
        <f t="shared" si="240"/>
        <v/>
      </c>
      <c r="EG295">
        <f t="shared" si="241"/>
        <v>0</v>
      </c>
      <c r="EH295">
        <f>IF(EG295=0,0,1+COUNTIF(EH$3:EH294,"&gt;0"))</f>
        <v>0</v>
      </c>
      <c r="EI295" t="str">
        <f t="shared" si="268"/>
        <v/>
      </c>
      <c r="EJ295" t="str">
        <f t="shared" si="242"/>
        <v/>
      </c>
      <c r="EL295">
        <f t="shared" si="243"/>
        <v>0</v>
      </c>
      <c r="EM295">
        <f>IF(EL295=0,0,1+COUNTIF(EM$3:EM294,"&gt;0"))</f>
        <v>0</v>
      </c>
      <c r="EN295" t="str">
        <f t="shared" si="269"/>
        <v/>
      </c>
      <c r="EO295" t="str">
        <f t="shared" si="244"/>
        <v/>
      </c>
      <c r="EQ295">
        <f t="shared" si="245"/>
        <v>0</v>
      </c>
      <c r="ER295">
        <f>IF(EQ295=0,0,1+COUNTIF(ER$3:ER294,"&gt;0"))</f>
        <v>0</v>
      </c>
      <c r="ES295" t="str">
        <f t="shared" si="270"/>
        <v/>
      </c>
      <c r="ET295" t="str">
        <f t="shared" si="246"/>
        <v/>
      </c>
      <c r="EV295">
        <f t="shared" si="247"/>
        <v>0</v>
      </c>
      <c r="EW295">
        <f>IF(EV295=0,0,1+COUNTIF(EW$3:EW294,"&gt;0"))</f>
        <v>0</v>
      </c>
      <c r="EX295" t="str">
        <f t="shared" si="271"/>
        <v/>
      </c>
      <c r="EY295" t="str">
        <f t="shared" si="248"/>
        <v/>
      </c>
      <c r="FA295">
        <f t="shared" si="249"/>
        <v>0</v>
      </c>
      <c r="FB295">
        <f>IF(FA295=0,0,1+COUNTIF(FB$3:FB294,"&gt;0"))</f>
        <v>0</v>
      </c>
      <c r="FC295" t="str">
        <f t="shared" si="272"/>
        <v/>
      </c>
      <c r="FD295" t="str">
        <f t="shared" si="250"/>
        <v/>
      </c>
      <c r="FF295">
        <f t="shared" si="251"/>
        <v>0</v>
      </c>
      <c r="FG295">
        <f>IF(FF295=0,0,1+COUNTIF(FG$3:FG294,"&gt;0"))</f>
        <v>0</v>
      </c>
      <c r="FH295" t="str">
        <f t="shared" si="273"/>
        <v/>
      </c>
      <c r="FI295" t="str">
        <f t="shared" si="252"/>
        <v/>
      </c>
      <c r="FK295">
        <f t="shared" si="253"/>
        <v>0</v>
      </c>
      <c r="FL295">
        <f>IF(FK295=0,0,1+COUNTIF(FL$3:FL294,"&gt;0"))</f>
        <v>0</v>
      </c>
      <c r="FM295" t="str">
        <f t="shared" si="274"/>
        <v/>
      </c>
      <c r="FN295" t="str">
        <f t="shared" si="254"/>
        <v/>
      </c>
      <c r="FP295">
        <f t="shared" si="255"/>
        <v>0</v>
      </c>
      <c r="FQ295">
        <f>IF(FP295=0,0,1+COUNTIF(FQ$3:FQ294,"&gt;0"))</f>
        <v>0</v>
      </c>
      <c r="FR295" t="str">
        <f t="shared" si="275"/>
        <v/>
      </c>
      <c r="FS295" t="str">
        <f t="shared" si="256"/>
        <v/>
      </c>
    </row>
    <row r="296" spans="1:175" x14ac:dyDescent="0.25">
      <c r="A296" s="347">
        <f t="shared" si="276"/>
        <v>294</v>
      </c>
      <c r="B296" s="348" t="s">
        <v>2684</v>
      </c>
      <c r="C296" s="348">
        <v>2</v>
      </c>
      <c r="D296" s="347">
        <v>2</v>
      </c>
      <c r="E296" s="627" t="s">
        <v>6952</v>
      </c>
      <c r="F296" s="346"/>
      <c r="G296" s="347" t="str">
        <f>""</f>
        <v/>
      </c>
      <c r="H296" s="347" t="s">
        <v>5912</v>
      </c>
      <c r="I296" s="347" t="s">
        <v>424</v>
      </c>
      <c r="J296" s="347" t="str">
        <f t="shared" si="226"/>
        <v/>
      </c>
      <c r="K296" s="347" t="s">
        <v>5278</v>
      </c>
      <c r="L296" s="611" t="str">
        <f t="shared" si="227"/>
        <v>V, S, M, a chip of mica</v>
      </c>
      <c r="M296" s="347" t="s">
        <v>2373</v>
      </c>
      <c r="N296" s="347" t="s">
        <v>2387</v>
      </c>
      <c r="O296" s="347" t="s">
        <v>1244</v>
      </c>
      <c r="P296" s="346" t="s">
        <v>5477</v>
      </c>
      <c r="Q296" s="347" t="s">
        <v>5273</v>
      </c>
      <c r="S296" s="346" t="s">
        <v>5820</v>
      </c>
      <c r="T296" s="346" t="str">
        <f t="shared" si="228"/>
        <v xml:space="preserve">Bard, Sorcerer, Warlock, Eldritch Knight, Wizard, Tempest, </v>
      </c>
      <c r="U296" s="347" t="str">
        <f>$B296</f>
        <v>Shatter</v>
      </c>
      <c r="X296" s="347" t="str">
        <f>$B296</f>
        <v>Shatter</v>
      </c>
      <c r="Y296" s="347" t="str">
        <f>$B296</f>
        <v>Shatter</v>
      </c>
      <c r="AB296" s="542" t="str">
        <f>AD296</f>
        <v>Shatter</v>
      </c>
      <c r="AD296" s="347" t="str">
        <f t="shared" si="277"/>
        <v>Shatter</v>
      </c>
      <c r="AE296" t="str">
        <f>IF(IFERROR(MATCH($B296,temp!A$4:A$13,0),0)&gt;0,T08_Spells!AE$2,"")</f>
        <v/>
      </c>
      <c r="AF296" t="str">
        <f>IF(IFERROR(MATCH($B296,temp!B$4:B$13,0),0)&gt;0,T08_Spells!AF$2,"")</f>
        <v/>
      </c>
      <c r="AG296" t="str">
        <f>IF(IFERROR(MATCH($B296,temp!C$4:C$13,0),0)&gt;0,T08_Spells!AG$2,"")</f>
        <v/>
      </c>
      <c r="AH296" t="str">
        <f>IF(IFERROR(MATCH($B296,temp!D$4:D$13,0),0)&gt;0,T08_Spells!AH$2,"")</f>
        <v/>
      </c>
      <c r="AI296" t="str">
        <f>IF(IFERROR(MATCH($B296,temp!E$4:E$13,0),0)&gt;0,T08_Spells!AI$2,"")</f>
        <v/>
      </c>
      <c r="AJ296" t="str">
        <f>IF(IFERROR(MATCH($B296,temp!F$4:F$13,0),0)&gt;0,T08_Spells!AJ$2,"")</f>
        <v/>
      </c>
      <c r="AK296" t="str">
        <f>IF(IFERROR(MATCH($B296,temp!G$4:G$13,0),0)&gt;0,T08_Spells!AK$2,"")</f>
        <v/>
      </c>
      <c r="AL296" t="str">
        <f>IF(IFERROR(MATCH($B296,temp!H$4:H$13,0),0)&gt;0,T08_Spells!AL$2,"")</f>
        <v/>
      </c>
      <c r="AM296" t="str">
        <f>IF(IFERROR(MATCH($B296,temp!I$4:I$13,0),0)&gt;0,T08_Spells!AM$2,"")</f>
        <v/>
      </c>
      <c r="AN296" t="str">
        <f>IF(IFERROR(MATCH($B296,temp!J$4:J$13,0),0)&gt;0,T08_Spells!AN$2,"")</f>
        <v/>
      </c>
      <c r="AO296" t="str">
        <f>IF(IFERROR(MATCH($B296,temp!K$4:K$13,0),0)&gt;0,T08_Spells!AO$2,"")</f>
        <v/>
      </c>
      <c r="AP296" t="str">
        <f>IF(IFERROR(MATCH($B296,temp!L$4:L$13,0),0)&gt;0,T08_Spells!AP$2,"")</f>
        <v/>
      </c>
      <c r="AQ296" t="str">
        <f>IF(IFERROR(MATCH($B296,temp!M$4:M$13,0),0)&gt;0,T08_Spells!AQ$2,"")</f>
        <v/>
      </c>
      <c r="AR296" t="str">
        <f>IF(IFERROR(MATCH($B296,temp!N$4:N$13,0),0)&gt;0,T08_Spells!AR$2,"")</f>
        <v/>
      </c>
      <c r="AS296" t="str">
        <f>IF(IFERROR(MATCH($B296,temp!O$4:O$13,0),0)&gt;0,T08_Spells!AS$2,"")</f>
        <v/>
      </c>
      <c r="AT296" t="str">
        <f>IF(IFERROR(MATCH($B296,temp!P$4:P$13,0),0)&gt;0,T08_Spells!AT$2,"")</f>
        <v/>
      </c>
      <c r="AU296" t="str">
        <f>IF(IFERROR(MATCH($B296,temp!Q$4:Q$13,0),0)&gt;0,T08_Spells!AU$2,"")</f>
        <v/>
      </c>
      <c r="AV296" t="str">
        <f>IF(IFERROR(MATCH($B296,temp!R$4:R$13,0),0)&gt;0,T08_Spells!AV$2,"")</f>
        <v/>
      </c>
      <c r="AW296" t="str">
        <f>IF(IFERROR(MATCH($B296,temp!S$4:S$13,0),0)&gt;0,T08_Spells!AW$2,"")</f>
        <v/>
      </c>
      <c r="AX296" t="str">
        <f>IF(IFERROR(MATCH($B296,temp!T$4:T$13,0),0)&gt;0,T08_Spells!AX$2,"")</f>
        <v>Tempest</v>
      </c>
      <c r="AY296" t="str">
        <f>IF(IFERROR(MATCH($B296,temp!U$4:U$13,0),0)&gt;0,T08_Spells!AY$2,"")</f>
        <v/>
      </c>
      <c r="AZ296" t="str">
        <f>IF(IFERROR(MATCH($B296,temp!V$4:V$13,0),0)&gt;0,T08_Spells!AZ$2,"")</f>
        <v/>
      </c>
      <c r="BA296" t="str">
        <f>IF(IFERROR(MATCH($B296,temp!W$4:W$13,0),0)&gt;0,T08_Spells!BA$2,"")</f>
        <v/>
      </c>
      <c r="BC296">
        <f>IF(IFERROR(SEARCH("Ranger",$T296,1),0)&gt;0,1,0)*IF(RangerMaxSpellLevel&gt;=$C296,1,0)*IF(IFERROR(MATCH(B296,Character_Creation!$X$79:$X$382,0),0)&gt;0,0,1)</f>
        <v>0</v>
      </c>
      <c r="BD296">
        <f>IF(BC296=0,0,1+COUNTIF(BD$3:BD295,"&gt;0"))</f>
        <v>0</v>
      </c>
      <c r="BE296" t="str">
        <f t="shared" si="257"/>
        <v/>
      </c>
      <c r="BF296" t="str">
        <f t="shared" si="229"/>
        <v/>
      </c>
      <c r="BH296">
        <f>IF(IFERROR(SEARCH("Sorcerer",$T296,1),0)&gt;0,1,0)*IF(SorcererMaxSpellLevel&gt;=$C296,1,0)*IF(IFERROR(MATCH(B296,Character_Creation!$J$380:$J$394,0),0)&gt;0,0,1)</f>
        <v>0</v>
      </c>
      <c r="BI296">
        <f>IF(BH296=0,0,1+COUNTIF(BI$3:BI295,"&gt;0"))</f>
        <v>0</v>
      </c>
      <c r="BJ296" t="str">
        <f t="shared" si="258"/>
        <v/>
      </c>
      <c r="BK296" t="str">
        <f t="shared" si="230"/>
        <v/>
      </c>
      <c r="BM296">
        <f>IF(OR(IFERROR(SEARCH("Warlock",$T296,1),0)&gt;0,IFERROR(SEARCH(WarlockPatron,$T296,1),0)&gt;0),1,0)*IF(WarlockMaxSpellLevel&gt;=$C296,1,0)*IF(IFERROR(MATCH(B296,Character_Creation!$J$361:$J$375,0),0)&gt;0,0,1)</f>
        <v>0</v>
      </c>
      <c r="BN296">
        <f>IF(BM296=0,0,1+COUNTIF(BN$3:BN295,"&gt;0"))</f>
        <v>0</v>
      </c>
      <c r="BO296" t="str">
        <f t="shared" si="259"/>
        <v/>
      </c>
      <c r="BP296" t="str">
        <f t="shared" si="231"/>
        <v/>
      </c>
      <c r="BR296">
        <f>IF(IFERROR(SEARCH("Eldritch Knight",$T296,1),0)&gt;0,1,0)*IF(EldritchKnightMaxSpellLevel&gt;=$C296,1,0)*IF(IFERROR(MATCH($B296,Character_Creation!$J$350:$J$356,0),0)&gt;0,0,1)*IF(Character_Creation!$M$338&gt;0,1,0)</f>
        <v>0</v>
      </c>
      <c r="BS296">
        <f>IF(BR296=0,0,1+COUNTIF(BS$3:BS295,"&gt;0"))</f>
        <v>0</v>
      </c>
      <c r="BT296" t="str">
        <f t="shared" si="260"/>
        <v/>
      </c>
      <c r="BU296" t="str">
        <f t="shared" si="232"/>
        <v/>
      </c>
      <c r="BW296">
        <f>IF(IFERROR(SEARCH("Arcane Trickster",$T296,1),0)&gt;0,1,0)*IF(ArcaneTricksterMaxSpellLevel&gt;=$C296,1,0)*IF(IFERROR(MATCH($B296,Character_Creation!$J$350:$J$356,0),0)&gt;0,0,1)*IF(Character_Creation!$T$338&gt;0,1,0)</f>
        <v>0</v>
      </c>
      <c r="BX296">
        <f>IF(BW296=0,0,1+COUNTIF(BX$3:BX295,"&gt;0"))</f>
        <v>0</v>
      </c>
      <c r="BY296" t="str">
        <f t="shared" si="261"/>
        <v/>
      </c>
      <c r="BZ296" t="str">
        <f t="shared" si="233"/>
        <v/>
      </c>
      <c r="CB296">
        <f>IF(IFERROR(SEARCH("Wizard",$T296,1),0)&gt;0,1,0)*IF(C296&lt;=ArcaneTricksterMaxSpellLevel,1,0)*IF(IFERROR(MATCH($B296,Character_Creation!$J$350:$J$356,0),0)&gt;0,0,1)*IF(Character_Creation!$T$350&gt;0,1,0)</f>
        <v>0</v>
      </c>
      <c r="CC296">
        <f>IF(CB296=0,0,1+COUNTIF(CC$3:CC295,"&gt;0"))</f>
        <v>0</v>
      </c>
      <c r="CD296" t="str">
        <f t="shared" si="262"/>
        <v/>
      </c>
      <c r="CE296" t="str">
        <f t="shared" si="234"/>
        <v/>
      </c>
      <c r="CG296">
        <f>IF(IFERROR(SEARCH("Wizard",$T296,1),0)&gt;0,1,0)*IF($C296&lt;=EldritchKnightMaxSpellLevel,1,0)*IF(IFERROR(MATCH($B296,Character_Creation!$J$350:$J$356,0),0)&gt;0,0,1)*IF(Character_Creation!$M$350&gt;0,1,0)</f>
        <v>1</v>
      </c>
      <c r="CH296">
        <f>IF(CG296=0,0,1+COUNTIF(CH$3:CH295,"&gt;0"))</f>
        <v>52</v>
      </c>
      <c r="CI296" t="str">
        <f t="shared" si="263"/>
        <v/>
      </c>
      <c r="CJ296" t="str">
        <f t="shared" si="235"/>
        <v/>
      </c>
      <c r="CL296">
        <f>IF(IFERROR(SEARCH("Bard",$T296,1),0)&gt;0,1,0)*IF(BardMaxSpellLevel&gt;=$C296,1,0)*IF(IFERROR(MATCH(B296,Character_Creation!$C$341:$F$362,0),0)&gt;0,0,1)*IF(IFERROR(MATCH($B296,Character_Creation!$C$341:$C$362,0),0)&gt;0,0,1)</f>
        <v>0</v>
      </c>
      <c r="CM296">
        <f>IF(CL296=0,0,1+COUNTIF(CM$3:CM295,"&gt;0"))</f>
        <v>0</v>
      </c>
      <c r="CN296" t="str">
        <f t="shared" si="264"/>
        <v/>
      </c>
      <c r="CO296" t="str">
        <f t="shared" si="236"/>
        <v/>
      </c>
      <c r="CQ296">
        <f>IF(IFERROR(SEARCH("Wizard",$T296,1),0)&gt;0,1,0)*IF(WizardMaxSpellLevel&gt;=$C296,1,0)*IF(IFERROR(MATCH(B296,Character_Creation!$X$341:$X$400,0),0)&gt;0,0,1)*IF(SelectedWizardSpellLevel=$C296,1,0)</f>
        <v>0</v>
      </c>
      <c r="CR296">
        <f>IF(CQ296=0,0,1+COUNTIF(CR$3:CR295,"&gt;0"))</f>
        <v>0</v>
      </c>
      <c r="CS296" t="str">
        <f t="shared" si="265"/>
        <v/>
      </c>
      <c r="CT296" t="str">
        <f t="shared" si="237"/>
        <v/>
      </c>
      <c r="CV296">
        <f>IF(IFERROR(MATCH($B296,Character_Creation!$C$341:$C$362,0),0)&gt;0,0,1)*IF(OR(C296="Cantrip",C296&lt;=BardMaxSpellLevel),1,0)*IF(IFERROR(MATCH($B296,Character_Creation!$C$367:$C$374,0),0)&gt;0,0,1)</f>
        <v>0</v>
      </c>
      <c r="CW296">
        <f>IF(CV296=0,0,1+COUNTIF(CW$3:CW295,"&gt;0"))</f>
        <v>0</v>
      </c>
      <c r="CX296" t="str">
        <f t="shared" si="266"/>
        <v/>
      </c>
      <c r="CY296" t="str">
        <f t="shared" si="238"/>
        <v/>
      </c>
      <c r="DA296">
        <f>IF(IF(OR(IFERROR(SEARCH("Cleric",$T296,1),0)&gt;0,IFERROR(SEARCH(DivineDomain&amp;",",$T296,1),0)&gt;0),1,0)*IF($C296=DA$2,1,0)=1,1+COUNTIF(DA$3:DA295,"&gt;0"),0)</f>
        <v>0</v>
      </c>
      <c r="DB296">
        <f>IF(IF(OR(IFERROR(SEARCH("Cleric",$T296,1),0)&gt;0,IFERROR(SEARCH(DivineDomain&amp;",",$T296,1),0)&gt;0),1,0)*IF($C296=DB$2,1,0)=1,1+COUNTIF(DB$3:DB295,"&gt;0"),0)</f>
        <v>0</v>
      </c>
      <c r="DC296">
        <f>IF(IF(OR(IFERROR(SEARCH("Cleric",$T296,1),0)&gt;0,IFERROR(SEARCH(DivineDomain&amp;",",$T296,1),0)&gt;0),1,0)*IF($C296=DC$2,1,0)=1,1+COUNTIF(DC$3:DC295,"&gt;0"),0)</f>
        <v>0</v>
      </c>
      <c r="DD296">
        <f>IF(IF(OR(IFERROR(SEARCH("Cleric",$T296,1),0)&gt;0,IFERROR(SEARCH(DivineDomain&amp;",",$T296,1),0)&gt;0),1,0)*IF($C296=DD$2,1,0)=1,1+COUNTIF(DD$3:DD295,"&gt;0"),0)</f>
        <v>0</v>
      </c>
      <c r="DE296">
        <f>IF(IF(OR(IFERROR(SEARCH("Cleric",$T296,1),0)&gt;0,IFERROR(SEARCH(DivineDomain&amp;",",$T296,1),0)&gt;0),1,0)*IF($C296=DE$2,1,0)=1,1+COUNTIF(DE$3:DE295,"&gt;0"),0)</f>
        <v>0</v>
      </c>
      <c r="DF296">
        <f>IF(IF(OR(IFERROR(SEARCH("Cleric",$T296,1),0)&gt;0,IFERROR(SEARCH(DivineDomain&amp;",",$T296,1),0)&gt;0),1,0)*IF($C296=DF$2,1,0)=1,1+COUNTIF(DF$3:DF295,"&gt;0"),0)</f>
        <v>0</v>
      </c>
      <c r="DG296">
        <f>IF(IF(OR(IFERROR(SEARCH("Cleric",$T296,1),0)&gt;0,IFERROR(SEARCH(DivineDomain&amp;",",$T296,1),0)&gt;0),1,0)*IF($C296=DG$2,1,0)=1,1+COUNTIF(DG$3:DG295,"&gt;0"),0)</f>
        <v>0</v>
      </c>
      <c r="DH296">
        <f>IF(IF(OR(IFERROR(SEARCH("Cleric",$T296,1),0)&gt;0,IFERROR(SEARCH(DivineDomain&amp;",",$T296,1),0)&gt;0),1,0)*IF($C296=DH$2,1,0)=1,1+COUNTIF(DH$3:DH295,"&gt;0"),0)</f>
        <v>0</v>
      </c>
      <c r="DI296">
        <f>IF(IF(OR(IFERROR(SEARCH("Cleric",$T296,1),0)&gt;0,IFERROR(SEARCH(DivineDomain&amp;",",$T296,1),0)&gt;0),1,0)*IF($C296=DI$2,1,0)=1,1+COUNTIF(DI$3:DI295,"&gt;0"),0)</f>
        <v>0</v>
      </c>
      <c r="DJ296">
        <f>IF(IF(OR(IFERROR(SEARCH("Druid",$T296,1),0)&gt;0,IFERROR(SEARCH(DruidLand1,$T296,1),0)&gt;0,IFERROR(SEARCH(DruidLand2,$T296,1),0)&gt;0,IFERROR(SEARCH(DruidLand3,$T296,1),0)&gt;0,IFERROR(SEARCH(DruidLand4,$T296,1),0)&gt;0),1,0)*IF($C296=1,1,0)*IF($C296=DJ$2,1,0)=0,0,1+COUNTIF(DJ$3:DJ295,"&gt;0"))</f>
        <v>0</v>
      </c>
      <c r="DK296">
        <f>IF(IF(OR(IFERROR(SEARCH("Druid",$T296,1),0)&gt;0,IFERROR(SEARCH(DruidLand1,$T296,1),0)&gt;0,IFERROR(SEARCH(DruidLand2,$T296,1),0)&gt;0,IFERROR(SEARCH(DruidLand3,$T296,1),0)&gt;0,IFERROR(SEARCH(DruidLand4,$T296,1),0)&gt;0),1,0)*IF($C296=1,1,0)*IF($C296=DK$2,1,0)=0,0,1+COUNTIF(DK$3:DK295,"&gt;0"))</f>
        <v>0</v>
      </c>
      <c r="DL296">
        <f>IF(IF(OR(IFERROR(SEARCH("Druid",$T296,1),0)&gt;0,IFERROR(SEARCH(DruidLand1,$T296,1),0)&gt;0,IFERROR(SEARCH(DruidLand2,$T296,1),0)&gt;0,IFERROR(SEARCH(DruidLand3,$T296,1),0)&gt;0,IFERROR(SEARCH(DruidLand4,$T296,1),0)&gt;0),1,0)*IF($C296=1,1,0)*IF($C296=DL$2,1,0)=0,0,1+COUNTIF(DL$3:DL295,"&gt;0"))</f>
        <v>0</v>
      </c>
      <c r="DM296">
        <f>IF(IF(OR(IFERROR(SEARCH("Druid",$T296,1),0)&gt;0,IFERROR(SEARCH(DruidLand1,$T296,1),0)&gt;0,IFERROR(SEARCH(DruidLand2,$T296,1),0)&gt;0,IFERROR(SEARCH(DruidLand3,$T296,1),0)&gt;0,IFERROR(SEARCH(DruidLand4,$T296,1),0)&gt;0),1,0)*IF($C296=1,1,0)*IF($C296=DM$2,1,0)=0,0,1+COUNTIF(DM$3:DM295,"&gt;0"))</f>
        <v>0</v>
      </c>
      <c r="DN296">
        <f>IF(IF(OR(IFERROR(SEARCH("Druid",$T296,1),0)&gt;0,IFERROR(SEARCH(DruidLand1,$T296,1),0)&gt;0,IFERROR(SEARCH(DruidLand2,$T296,1),0)&gt;0,IFERROR(SEARCH(DruidLand3,$T296,1),0)&gt;0,IFERROR(SEARCH(DruidLand4,$T296,1),0)&gt;0),1,0)*IF($C296=1,1,0)*IF($C296=DN$2,1,0)=0,0,1+COUNTIF(DN$3:DN295,"&gt;0"))</f>
        <v>0</v>
      </c>
      <c r="DO296">
        <f>IF(IF(OR(IFERROR(SEARCH("Druid",$T296,1),0)&gt;0,IFERROR(SEARCH(DruidLand1,$T296,1),0)&gt;0,IFERROR(SEARCH(DruidLand2,$T296,1),0)&gt;0,IFERROR(SEARCH(DruidLand3,$T296,1),0)&gt;0,IFERROR(SEARCH(DruidLand4,$T296,1),0)&gt;0),1,0)*IF($C296=1,1,0)*IF($C296=DO$2,1,0)=0,0,1+COUNTIF(DO$3:DO295,"&gt;0"))</f>
        <v>0</v>
      </c>
      <c r="DP296">
        <f>IF(IF(OR(IFERROR(SEARCH("Druid",$T296,1),0)&gt;0,IFERROR(SEARCH(DruidLand1,$T296,1),0)&gt;0,IFERROR(SEARCH(DruidLand2,$T296,1),0)&gt;0,IFERROR(SEARCH(DruidLand3,$T296,1),0)&gt;0,IFERROR(SEARCH(DruidLand4,$T296,1),0)&gt;0),1,0)*IF($C296=1,1,0)*IF($C296=DP$2,1,0)=0,0,1+COUNTIF(DP$3:DP295,"&gt;0"))</f>
        <v>0</v>
      </c>
      <c r="DQ296">
        <f>IF(IF(OR(IFERROR(SEARCH("Druid",$T296,1),0)&gt;0,IFERROR(SEARCH(DruidLand1,$T296,1),0)&gt;0,IFERROR(SEARCH(DruidLand2,$T296,1),0)&gt;0,IFERROR(SEARCH(DruidLand3,$T296,1),0)&gt;0,IFERROR(SEARCH(DruidLand4,$T296,1),0)&gt;0),1,0)*IF($C296=1,1,0)*IF($C296=DQ$2,1,0)=0,0,1+COUNTIF(DQ$3:DQ295,"&gt;0"))</f>
        <v>0</v>
      </c>
      <c r="DR296">
        <f>IF(IF(OR(IFERROR(SEARCH("Druid",$T296,1),0)&gt;0,IFERROR(SEARCH(DruidLand1,$T296,1),0)&gt;0,IFERROR(SEARCH(DruidLand2,$T296,1),0)&gt;0,IFERROR(SEARCH(DruidLand3,$T296,1),0)&gt;0,IFERROR(SEARCH(DruidLand4,$T296,1),0)&gt;0),1,0)*IF($C296=1,1,0)*IF($C296=DR$2,1,0)=0,0,1+COUNTIF(DR$3:DR295,"&gt;0"))</f>
        <v>0</v>
      </c>
      <c r="DS296">
        <f>IF(IF(OR(IFERROR(SEARCH("Paladin",$T296,1),0)&gt;0,IFERROR(SEARCH(PaladinOath,$T296,1),0)&gt;0),1,0)*IF($C296=DS$2,1,0)=1,1+COUNTIF(DS$3:DS295,"&gt;0"),0)</f>
        <v>0</v>
      </c>
      <c r="DT296">
        <f>IF(IF(OR(IFERROR(SEARCH("Paladin",$T296,1),0)&gt;0,IFERROR(SEARCH(PaladinOath,$T296,1),0)&gt;0),1,0)*IF($C296=DT$2,1,0)=1,1+COUNTIF(DT$3:DT295,"&gt;0"),0)</f>
        <v>0</v>
      </c>
      <c r="DU296">
        <f>IF(IF(OR(IFERROR(SEARCH("Paladin",$T296,1),0)&gt;0,IFERROR(SEARCH(PaladinOath,$T296,1),0)&gt;0),1,0)*IF($C296=DU$2,1,0)=1,1+COUNTIF(DU$3:DU295,"&gt;0"),0)</f>
        <v>0</v>
      </c>
      <c r="DV296">
        <f>IF(IF(OR(IFERROR(SEARCH("Paladin",$T296,1),0)&gt;0,IFERROR(SEARCH(PaladinOath,$T296,1),0)&gt;0),1,0)*IF($C296=DV$2,1,0)=1,1+COUNTIF(DV$3:DV295,"&gt;0"),0)</f>
        <v>0</v>
      </c>
      <c r="DW296">
        <f>IF(IF(OR(IFERROR(SEARCH("Paladin",$T296,1),0)&gt;0,IFERROR(SEARCH(PaladinOath,$T296,1),0)&gt;0),1,0)*IF($C296=DW$2,1,0)=1,1+COUNTIF(DW$3:DW295,"&gt;0"),0)</f>
        <v>0</v>
      </c>
      <c r="DY296">
        <f t="shared" si="225"/>
        <v>1</v>
      </c>
      <c r="DZ296">
        <f>IF(DY296=0,0,1+MAX(DZ$3:$DZ295))</f>
        <v>294</v>
      </c>
      <c r="EB296">
        <f t="shared" si="239"/>
        <v>0</v>
      </c>
      <c r="EC296">
        <f>IF(EB296=0,0,1+COUNTIF(EC$3:EC295,"&gt;0"))</f>
        <v>0</v>
      </c>
      <c r="ED296" t="str">
        <f t="shared" si="267"/>
        <v/>
      </c>
      <c r="EE296" t="str">
        <f t="shared" si="240"/>
        <v/>
      </c>
      <c r="EG296">
        <f t="shared" si="241"/>
        <v>0</v>
      </c>
      <c r="EH296">
        <f>IF(EG296=0,0,1+COUNTIF(EH$3:EH295,"&gt;0"))</f>
        <v>0</v>
      </c>
      <c r="EI296" t="str">
        <f t="shared" si="268"/>
        <v/>
      </c>
      <c r="EJ296" t="str">
        <f t="shared" si="242"/>
        <v/>
      </c>
      <c r="EL296">
        <f t="shared" si="243"/>
        <v>0</v>
      </c>
      <c r="EM296">
        <f>IF(EL296=0,0,1+COUNTIF(EM$3:EM295,"&gt;0"))</f>
        <v>0</v>
      </c>
      <c r="EN296" t="str">
        <f t="shared" si="269"/>
        <v/>
      </c>
      <c r="EO296" t="str">
        <f t="shared" si="244"/>
        <v/>
      </c>
      <c r="EQ296">
        <f t="shared" si="245"/>
        <v>0</v>
      </c>
      <c r="ER296">
        <f>IF(EQ296=0,0,1+COUNTIF(ER$3:ER295,"&gt;0"))</f>
        <v>0</v>
      </c>
      <c r="ES296" t="str">
        <f t="shared" si="270"/>
        <v/>
      </c>
      <c r="ET296" t="str">
        <f t="shared" si="246"/>
        <v/>
      </c>
      <c r="EV296">
        <f t="shared" si="247"/>
        <v>0</v>
      </c>
      <c r="EW296">
        <f>IF(EV296=0,0,1+COUNTIF(EW$3:EW295,"&gt;0"))</f>
        <v>0</v>
      </c>
      <c r="EX296" t="str">
        <f t="shared" si="271"/>
        <v/>
      </c>
      <c r="EY296" t="str">
        <f t="shared" si="248"/>
        <v/>
      </c>
      <c r="FA296">
        <f t="shared" si="249"/>
        <v>0</v>
      </c>
      <c r="FB296">
        <f>IF(FA296=0,0,1+COUNTIF(FB$3:FB295,"&gt;0"))</f>
        <v>0</v>
      </c>
      <c r="FC296" t="str">
        <f t="shared" si="272"/>
        <v/>
      </c>
      <c r="FD296" t="str">
        <f t="shared" si="250"/>
        <v/>
      </c>
      <c r="FF296">
        <f t="shared" si="251"/>
        <v>0</v>
      </c>
      <c r="FG296">
        <f>IF(FF296=0,0,1+COUNTIF(FG$3:FG295,"&gt;0"))</f>
        <v>0</v>
      </c>
      <c r="FH296" t="str">
        <f t="shared" si="273"/>
        <v/>
      </c>
      <c r="FI296" t="str">
        <f t="shared" si="252"/>
        <v/>
      </c>
      <c r="FK296">
        <f t="shared" si="253"/>
        <v>0</v>
      </c>
      <c r="FL296">
        <f>IF(FK296=0,0,1+COUNTIF(FL$3:FL295,"&gt;0"))</f>
        <v>0</v>
      </c>
      <c r="FM296" t="str">
        <f t="shared" si="274"/>
        <v/>
      </c>
      <c r="FN296" t="str">
        <f t="shared" si="254"/>
        <v/>
      </c>
      <c r="FP296">
        <f t="shared" si="255"/>
        <v>0</v>
      </c>
      <c r="FQ296">
        <f>IF(FP296=0,0,1+COUNTIF(FQ$3:FQ295,"&gt;0"))</f>
        <v>0</v>
      </c>
      <c r="FR296" t="str">
        <f t="shared" si="275"/>
        <v/>
      </c>
      <c r="FS296" t="str">
        <f t="shared" si="256"/>
        <v/>
      </c>
    </row>
    <row r="297" spans="1:175" x14ac:dyDescent="0.25">
      <c r="A297" s="347">
        <f t="shared" si="276"/>
        <v>295</v>
      </c>
      <c r="B297" s="348" t="s">
        <v>110</v>
      </c>
      <c r="C297" s="348">
        <v>1</v>
      </c>
      <c r="D297" s="347">
        <v>1</v>
      </c>
      <c r="E297" s="627" t="s">
        <v>6952</v>
      </c>
      <c r="F297" s="346"/>
      <c r="G297" s="347" t="str">
        <f>""</f>
        <v/>
      </c>
      <c r="H297" s="347" t="s">
        <v>5341</v>
      </c>
      <c r="I297" s="347" t="s">
        <v>5283</v>
      </c>
      <c r="J297" s="347" t="str">
        <f t="shared" si="226"/>
        <v/>
      </c>
      <c r="K297" s="347" t="s">
        <v>5313</v>
      </c>
      <c r="L297" s="611" t="str">
        <f t="shared" si="227"/>
        <v>V, S</v>
      </c>
      <c r="M297" s="347" t="s">
        <v>2373</v>
      </c>
      <c r="N297" s="347" t="s">
        <v>2387</v>
      </c>
      <c r="O297" s="347" t="s">
        <v>3034</v>
      </c>
      <c r="P297" s="346" t="str">
        <f>""</f>
        <v/>
      </c>
      <c r="Q297" s="347" t="s">
        <v>5270</v>
      </c>
      <c r="S297" s="346" t="s">
        <v>2685</v>
      </c>
      <c r="T297" s="346" t="str">
        <f t="shared" si="228"/>
        <v xml:space="preserve">Sorcerer, Eldritch Knight, Wizard, </v>
      </c>
      <c r="X297" s="347" t="str">
        <f>$B297</f>
        <v>Shield</v>
      </c>
      <c r="AB297" s="542" t="str">
        <f>AD297</f>
        <v>Shield</v>
      </c>
      <c r="AD297" s="347" t="str">
        <f t="shared" si="277"/>
        <v>Shield</v>
      </c>
      <c r="AE297" t="str">
        <f>IF(IFERROR(MATCH($B297,temp!A$4:A$13,0),0)&gt;0,T08_Spells!AE$2,"")</f>
        <v/>
      </c>
      <c r="AF297" t="str">
        <f>IF(IFERROR(MATCH($B297,temp!B$4:B$13,0),0)&gt;0,T08_Spells!AF$2,"")</f>
        <v/>
      </c>
      <c r="AG297" t="str">
        <f>IF(IFERROR(MATCH($B297,temp!C$4:C$13,0),0)&gt;0,T08_Spells!AG$2,"")</f>
        <v/>
      </c>
      <c r="AH297" t="str">
        <f>IF(IFERROR(MATCH($B297,temp!D$4:D$13,0),0)&gt;0,T08_Spells!AH$2,"")</f>
        <v/>
      </c>
      <c r="AI297" t="str">
        <f>IF(IFERROR(MATCH($B297,temp!E$4:E$13,0),0)&gt;0,T08_Spells!AI$2,"")</f>
        <v/>
      </c>
      <c r="AJ297" t="str">
        <f>IF(IFERROR(MATCH($B297,temp!F$4:F$13,0),0)&gt;0,T08_Spells!AJ$2,"")</f>
        <v/>
      </c>
      <c r="AK297" t="str">
        <f>IF(IFERROR(MATCH($B297,temp!G$4:G$13,0),0)&gt;0,T08_Spells!AK$2,"")</f>
        <v/>
      </c>
      <c r="AL297" t="str">
        <f>IF(IFERROR(MATCH($B297,temp!H$4:H$13,0),0)&gt;0,T08_Spells!AL$2,"")</f>
        <v/>
      </c>
      <c r="AM297" t="str">
        <f>IF(IFERROR(MATCH($B297,temp!I$4:I$13,0),0)&gt;0,T08_Spells!AM$2,"")</f>
        <v/>
      </c>
      <c r="AN297" t="str">
        <f>IF(IFERROR(MATCH($B297,temp!J$4:J$13,0),0)&gt;0,T08_Spells!AN$2,"")</f>
        <v/>
      </c>
      <c r="AO297" t="str">
        <f>IF(IFERROR(MATCH($B297,temp!K$4:K$13,0),0)&gt;0,T08_Spells!AO$2,"")</f>
        <v/>
      </c>
      <c r="AP297" t="str">
        <f>IF(IFERROR(MATCH($B297,temp!L$4:L$13,0),0)&gt;0,T08_Spells!AP$2,"")</f>
        <v/>
      </c>
      <c r="AQ297" t="str">
        <f>IF(IFERROR(MATCH($B297,temp!M$4:M$13,0),0)&gt;0,T08_Spells!AQ$2,"")</f>
        <v/>
      </c>
      <c r="AR297" t="str">
        <f>IF(IFERROR(MATCH($B297,temp!N$4:N$13,0),0)&gt;0,T08_Spells!AR$2,"")</f>
        <v/>
      </c>
      <c r="AS297" t="str">
        <f>IF(IFERROR(MATCH($B297,temp!O$4:O$13,0),0)&gt;0,T08_Spells!AS$2,"")</f>
        <v/>
      </c>
      <c r="AT297" t="str">
        <f>IF(IFERROR(MATCH($B297,temp!P$4:P$13,0),0)&gt;0,T08_Spells!AT$2,"")</f>
        <v/>
      </c>
      <c r="AU297" t="str">
        <f>IF(IFERROR(MATCH($B297,temp!Q$4:Q$13,0),0)&gt;0,T08_Spells!AU$2,"")</f>
        <v/>
      </c>
      <c r="AV297" t="str">
        <f>IF(IFERROR(MATCH($B297,temp!R$4:R$13,0),0)&gt;0,T08_Spells!AV$2,"")</f>
        <v/>
      </c>
      <c r="AW297" t="str">
        <f>IF(IFERROR(MATCH($B297,temp!S$4:S$13,0),0)&gt;0,T08_Spells!AW$2,"")</f>
        <v/>
      </c>
      <c r="AX297" t="str">
        <f>IF(IFERROR(MATCH($B297,temp!T$4:T$13,0),0)&gt;0,T08_Spells!AX$2,"")</f>
        <v/>
      </c>
      <c r="AY297" t="str">
        <f>IF(IFERROR(MATCH($B297,temp!U$4:U$13,0),0)&gt;0,T08_Spells!AY$2,"")</f>
        <v/>
      </c>
      <c r="AZ297" t="str">
        <f>IF(IFERROR(MATCH($B297,temp!V$4:V$13,0),0)&gt;0,T08_Spells!AZ$2,"")</f>
        <v/>
      </c>
      <c r="BA297" t="str">
        <f>IF(IFERROR(MATCH($B297,temp!W$4:W$13,0),0)&gt;0,T08_Spells!BA$2,"")</f>
        <v/>
      </c>
      <c r="BC297">
        <f>IF(IFERROR(SEARCH("Ranger",$T297,1),0)&gt;0,1,0)*IF(RangerMaxSpellLevel&gt;=$C297,1,0)*IF(IFERROR(MATCH(B297,Character_Creation!$X$79:$X$382,0),0)&gt;0,0,1)</f>
        <v>0</v>
      </c>
      <c r="BD297">
        <f>IF(BC297=0,0,1+COUNTIF(BD$3:BD296,"&gt;0"))</f>
        <v>0</v>
      </c>
      <c r="BE297" t="str">
        <f t="shared" si="257"/>
        <v/>
      </c>
      <c r="BF297" t="str">
        <f t="shared" si="229"/>
        <v/>
      </c>
      <c r="BH297">
        <f>IF(IFERROR(SEARCH("Sorcerer",$T297,1),0)&gt;0,1,0)*IF(SorcererMaxSpellLevel&gt;=$C297,1,0)*IF(IFERROR(MATCH(B297,Character_Creation!$J$380:$J$394,0),0)&gt;0,0,1)</f>
        <v>0</v>
      </c>
      <c r="BI297">
        <f>IF(BH297=0,0,1+COUNTIF(BI$3:BI296,"&gt;0"))</f>
        <v>0</v>
      </c>
      <c r="BJ297" t="str">
        <f t="shared" si="258"/>
        <v/>
      </c>
      <c r="BK297" t="str">
        <f t="shared" si="230"/>
        <v/>
      </c>
      <c r="BM297">
        <f>IF(OR(IFERROR(SEARCH("Warlock",$T297,1),0)&gt;0,IFERROR(SEARCH(WarlockPatron,$T297,1),0)&gt;0),1,0)*IF(WarlockMaxSpellLevel&gt;=$C297,1,0)*IF(IFERROR(MATCH(B297,Character_Creation!$J$361:$J$375,0),0)&gt;0,0,1)</f>
        <v>0</v>
      </c>
      <c r="BN297">
        <f>IF(BM297=0,0,1+COUNTIF(BN$3:BN296,"&gt;0"))</f>
        <v>0</v>
      </c>
      <c r="BO297" t="str">
        <f t="shared" si="259"/>
        <v/>
      </c>
      <c r="BP297" t="str">
        <f t="shared" si="231"/>
        <v/>
      </c>
      <c r="BR297">
        <f>IF(IFERROR(SEARCH("Eldritch Knight",$T297,1),0)&gt;0,1,0)*IF(EldritchKnightMaxSpellLevel&gt;=$C297,1,0)*IF(IFERROR(MATCH($B297,Character_Creation!$J$350:$J$356,0),0)&gt;0,0,1)*IF(Character_Creation!$M$338&gt;0,1,0)</f>
        <v>0</v>
      </c>
      <c r="BS297">
        <f>IF(BR297=0,0,1+COUNTIF(BS$3:BS296,"&gt;0"))</f>
        <v>0</v>
      </c>
      <c r="BT297" t="str">
        <f t="shared" si="260"/>
        <v/>
      </c>
      <c r="BU297" t="str">
        <f t="shared" si="232"/>
        <v/>
      </c>
      <c r="BW297">
        <f>IF(IFERROR(SEARCH("Arcane Trickster",$T297,1),0)&gt;0,1,0)*IF(ArcaneTricksterMaxSpellLevel&gt;=$C297,1,0)*IF(IFERROR(MATCH($B297,Character_Creation!$J$350:$J$356,0),0)&gt;0,0,1)*IF(Character_Creation!$T$338&gt;0,1,0)</f>
        <v>0</v>
      </c>
      <c r="BX297">
        <f>IF(BW297=0,0,1+COUNTIF(BX$3:BX296,"&gt;0"))</f>
        <v>0</v>
      </c>
      <c r="BY297" t="str">
        <f t="shared" si="261"/>
        <v/>
      </c>
      <c r="BZ297" t="str">
        <f t="shared" si="233"/>
        <v/>
      </c>
      <c r="CB297">
        <f>IF(IFERROR(SEARCH("Wizard",$T297,1),0)&gt;0,1,0)*IF(C297&lt;=ArcaneTricksterMaxSpellLevel,1,0)*IF(IFERROR(MATCH($B297,Character_Creation!$J$350:$J$356,0),0)&gt;0,0,1)*IF(Character_Creation!$T$350&gt;0,1,0)</f>
        <v>0</v>
      </c>
      <c r="CC297">
        <f>IF(CB297=0,0,1+COUNTIF(CC$3:CC296,"&gt;0"))</f>
        <v>0</v>
      </c>
      <c r="CD297" t="str">
        <f t="shared" si="262"/>
        <v/>
      </c>
      <c r="CE297" t="str">
        <f t="shared" si="234"/>
        <v/>
      </c>
      <c r="CG297">
        <f>IF(IFERROR(SEARCH("Wizard",$T297,1),0)&gt;0,1,0)*IF($C297&lt;=EldritchKnightMaxSpellLevel,1,0)*IF(IFERROR(MATCH($B297,Character_Creation!$J$350:$J$356,0),0)&gt;0,0,1)*IF(Character_Creation!$M$350&gt;0,1,0)</f>
        <v>1</v>
      </c>
      <c r="CH297">
        <f>IF(CG297=0,0,1+COUNTIF(CH$3:CH296,"&gt;0"))</f>
        <v>53</v>
      </c>
      <c r="CI297" t="str">
        <f t="shared" si="263"/>
        <v/>
      </c>
      <c r="CJ297" t="str">
        <f t="shared" si="235"/>
        <v/>
      </c>
      <c r="CL297">
        <f>IF(IFERROR(SEARCH("Bard",$T297,1),0)&gt;0,1,0)*IF(BardMaxSpellLevel&gt;=$C297,1,0)*IF(IFERROR(MATCH(B297,Character_Creation!$C$341:$F$362,0),0)&gt;0,0,1)*IF(IFERROR(MATCH($B297,Character_Creation!$C$341:$C$362,0),0)&gt;0,0,1)</f>
        <v>0</v>
      </c>
      <c r="CM297">
        <f>IF(CL297=0,0,1+COUNTIF(CM$3:CM296,"&gt;0"))</f>
        <v>0</v>
      </c>
      <c r="CN297" t="str">
        <f t="shared" si="264"/>
        <v/>
      </c>
      <c r="CO297" t="str">
        <f t="shared" si="236"/>
        <v/>
      </c>
      <c r="CQ297">
        <f>IF(IFERROR(SEARCH("Wizard",$T297,1),0)&gt;0,1,0)*IF(WizardMaxSpellLevel&gt;=$C297,1,0)*IF(IFERROR(MATCH(B297,Character_Creation!$X$341:$X$400,0),0)&gt;0,0,1)*IF(SelectedWizardSpellLevel=$C297,1,0)</f>
        <v>0</v>
      </c>
      <c r="CR297">
        <f>IF(CQ297=0,0,1+COUNTIF(CR$3:CR296,"&gt;0"))</f>
        <v>0</v>
      </c>
      <c r="CS297" t="str">
        <f t="shared" si="265"/>
        <v/>
      </c>
      <c r="CT297" t="str">
        <f t="shared" si="237"/>
        <v/>
      </c>
      <c r="CV297">
        <f>IF(IFERROR(MATCH($B297,Character_Creation!$C$341:$C$362,0),0)&gt;0,0,1)*IF(OR(C297="Cantrip",C297&lt;=BardMaxSpellLevel),1,0)*IF(IFERROR(MATCH($B297,Character_Creation!$C$367:$C$374,0),0)&gt;0,0,1)</f>
        <v>0</v>
      </c>
      <c r="CW297">
        <f>IF(CV297=0,0,1+COUNTIF(CW$3:CW296,"&gt;0"))</f>
        <v>0</v>
      </c>
      <c r="CX297" t="str">
        <f t="shared" si="266"/>
        <v/>
      </c>
      <c r="CY297" t="str">
        <f t="shared" si="238"/>
        <v/>
      </c>
      <c r="DA297">
        <f>IF(IF(OR(IFERROR(SEARCH("Cleric",$T297,1),0)&gt;0,IFERROR(SEARCH(DivineDomain&amp;",",$T297,1),0)&gt;0),1,0)*IF($C297=DA$2,1,0)=1,1+COUNTIF(DA$3:DA296,"&gt;0"),0)</f>
        <v>0</v>
      </c>
      <c r="DB297">
        <f>IF(IF(OR(IFERROR(SEARCH("Cleric",$T297,1),0)&gt;0,IFERROR(SEARCH(DivineDomain&amp;",",$T297,1),0)&gt;0),1,0)*IF($C297=DB$2,1,0)=1,1+COUNTIF(DB$3:DB296,"&gt;0"),0)</f>
        <v>0</v>
      </c>
      <c r="DC297">
        <f>IF(IF(OR(IFERROR(SEARCH("Cleric",$T297,1),0)&gt;0,IFERROR(SEARCH(DivineDomain&amp;",",$T297,1),0)&gt;0),1,0)*IF($C297=DC$2,1,0)=1,1+COUNTIF(DC$3:DC296,"&gt;0"),0)</f>
        <v>0</v>
      </c>
      <c r="DD297">
        <f>IF(IF(OR(IFERROR(SEARCH("Cleric",$T297,1),0)&gt;0,IFERROR(SEARCH(DivineDomain&amp;",",$T297,1),0)&gt;0),1,0)*IF($C297=DD$2,1,0)=1,1+COUNTIF(DD$3:DD296,"&gt;0"),0)</f>
        <v>0</v>
      </c>
      <c r="DE297">
        <f>IF(IF(OR(IFERROR(SEARCH("Cleric",$T297,1),0)&gt;0,IFERROR(SEARCH(DivineDomain&amp;",",$T297,1),0)&gt;0),1,0)*IF($C297=DE$2,1,0)=1,1+COUNTIF(DE$3:DE296,"&gt;0"),0)</f>
        <v>0</v>
      </c>
      <c r="DF297">
        <f>IF(IF(OR(IFERROR(SEARCH("Cleric",$T297,1),0)&gt;0,IFERROR(SEARCH(DivineDomain&amp;",",$T297,1),0)&gt;0),1,0)*IF($C297=DF$2,1,0)=1,1+COUNTIF(DF$3:DF296,"&gt;0"),0)</f>
        <v>0</v>
      </c>
      <c r="DG297">
        <f>IF(IF(OR(IFERROR(SEARCH("Cleric",$T297,1),0)&gt;0,IFERROR(SEARCH(DivineDomain&amp;",",$T297,1),0)&gt;0),1,0)*IF($C297=DG$2,1,0)=1,1+COUNTIF(DG$3:DG296,"&gt;0"),0)</f>
        <v>0</v>
      </c>
      <c r="DH297">
        <f>IF(IF(OR(IFERROR(SEARCH("Cleric",$T297,1),0)&gt;0,IFERROR(SEARCH(DivineDomain&amp;",",$T297,1),0)&gt;0),1,0)*IF($C297=DH$2,1,0)=1,1+COUNTIF(DH$3:DH296,"&gt;0"),0)</f>
        <v>0</v>
      </c>
      <c r="DI297">
        <f>IF(IF(OR(IFERROR(SEARCH("Cleric",$T297,1),0)&gt;0,IFERROR(SEARCH(DivineDomain&amp;",",$T297,1),0)&gt;0),1,0)*IF($C297=DI$2,1,0)=1,1+COUNTIF(DI$3:DI296,"&gt;0"),0)</f>
        <v>0</v>
      </c>
      <c r="DJ297">
        <f>IF(IF(OR(IFERROR(SEARCH("Druid",$T297,1),0)&gt;0,IFERROR(SEARCH(DruidLand1,$T297,1),0)&gt;0,IFERROR(SEARCH(DruidLand2,$T297,1),0)&gt;0,IFERROR(SEARCH(DruidLand3,$T297,1),0)&gt;0,IFERROR(SEARCH(DruidLand4,$T297,1),0)&gt;0),1,0)*IF($C297=1,1,0)*IF($C297=DJ$2,1,0)=0,0,1+COUNTIF(DJ$3:DJ296,"&gt;0"))</f>
        <v>0</v>
      </c>
      <c r="DK297">
        <f>IF(IF(OR(IFERROR(SEARCH("Druid",$T297,1),0)&gt;0,IFERROR(SEARCH(DruidLand1,$T297,1),0)&gt;0,IFERROR(SEARCH(DruidLand2,$T297,1),0)&gt;0,IFERROR(SEARCH(DruidLand3,$T297,1),0)&gt;0,IFERROR(SEARCH(DruidLand4,$T297,1),0)&gt;0),1,0)*IF($C297=1,1,0)*IF($C297=DK$2,1,0)=0,0,1+COUNTIF(DK$3:DK296,"&gt;0"))</f>
        <v>0</v>
      </c>
      <c r="DL297">
        <f>IF(IF(OR(IFERROR(SEARCH("Druid",$T297,1),0)&gt;0,IFERROR(SEARCH(DruidLand1,$T297,1),0)&gt;0,IFERROR(SEARCH(DruidLand2,$T297,1),0)&gt;0,IFERROR(SEARCH(DruidLand3,$T297,1),0)&gt;0,IFERROR(SEARCH(DruidLand4,$T297,1),0)&gt;0),1,0)*IF($C297=1,1,0)*IF($C297=DL$2,1,0)=0,0,1+COUNTIF(DL$3:DL296,"&gt;0"))</f>
        <v>0</v>
      </c>
      <c r="DM297">
        <f>IF(IF(OR(IFERROR(SEARCH("Druid",$T297,1),0)&gt;0,IFERROR(SEARCH(DruidLand1,$T297,1),0)&gt;0,IFERROR(SEARCH(DruidLand2,$T297,1),0)&gt;0,IFERROR(SEARCH(DruidLand3,$T297,1),0)&gt;0,IFERROR(SEARCH(DruidLand4,$T297,1),0)&gt;0),1,0)*IF($C297=1,1,0)*IF($C297=DM$2,1,0)=0,0,1+COUNTIF(DM$3:DM296,"&gt;0"))</f>
        <v>0</v>
      </c>
      <c r="DN297">
        <f>IF(IF(OR(IFERROR(SEARCH("Druid",$T297,1),0)&gt;0,IFERROR(SEARCH(DruidLand1,$T297,1),0)&gt;0,IFERROR(SEARCH(DruidLand2,$T297,1),0)&gt;0,IFERROR(SEARCH(DruidLand3,$T297,1),0)&gt;0,IFERROR(SEARCH(DruidLand4,$T297,1),0)&gt;0),1,0)*IF($C297=1,1,0)*IF($C297=DN$2,1,0)=0,0,1+COUNTIF(DN$3:DN296,"&gt;0"))</f>
        <v>0</v>
      </c>
      <c r="DO297">
        <f>IF(IF(OR(IFERROR(SEARCH("Druid",$T297,1),0)&gt;0,IFERROR(SEARCH(DruidLand1,$T297,1),0)&gt;0,IFERROR(SEARCH(DruidLand2,$T297,1),0)&gt;0,IFERROR(SEARCH(DruidLand3,$T297,1),0)&gt;0,IFERROR(SEARCH(DruidLand4,$T297,1),0)&gt;0),1,0)*IF($C297=1,1,0)*IF($C297=DO$2,1,0)=0,0,1+COUNTIF(DO$3:DO296,"&gt;0"))</f>
        <v>0</v>
      </c>
      <c r="DP297">
        <f>IF(IF(OR(IFERROR(SEARCH("Druid",$T297,1),0)&gt;0,IFERROR(SEARCH(DruidLand1,$T297,1),0)&gt;0,IFERROR(SEARCH(DruidLand2,$T297,1),0)&gt;0,IFERROR(SEARCH(DruidLand3,$T297,1),0)&gt;0,IFERROR(SEARCH(DruidLand4,$T297,1),0)&gt;0),1,0)*IF($C297=1,1,0)*IF($C297=DP$2,1,0)=0,0,1+COUNTIF(DP$3:DP296,"&gt;0"))</f>
        <v>0</v>
      </c>
      <c r="DQ297">
        <f>IF(IF(OR(IFERROR(SEARCH("Druid",$T297,1),0)&gt;0,IFERROR(SEARCH(DruidLand1,$T297,1),0)&gt;0,IFERROR(SEARCH(DruidLand2,$T297,1),0)&gt;0,IFERROR(SEARCH(DruidLand3,$T297,1),0)&gt;0,IFERROR(SEARCH(DruidLand4,$T297,1),0)&gt;0),1,0)*IF($C297=1,1,0)*IF($C297=DQ$2,1,0)=0,0,1+COUNTIF(DQ$3:DQ296,"&gt;0"))</f>
        <v>0</v>
      </c>
      <c r="DR297">
        <f>IF(IF(OR(IFERROR(SEARCH("Druid",$T297,1),0)&gt;0,IFERROR(SEARCH(DruidLand1,$T297,1),0)&gt;0,IFERROR(SEARCH(DruidLand2,$T297,1),0)&gt;0,IFERROR(SEARCH(DruidLand3,$T297,1),0)&gt;0,IFERROR(SEARCH(DruidLand4,$T297,1),0)&gt;0),1,0)*IF($C297=1,1,0)*IF($C297=DR$2,1,0)=0,0,1+COUNTIF(DR$3:DR296,"&gt;0"))</f>
        <v>0</v>
      </c>
      <c r="DS297">
        <f>IF(IF(OR(IFERROR(SEARCH("Paladin",$T297,1),0)&gt;0,IFERROR(SEARCH(PaladinOath,$T297,1),0)&gt;0),1,0)*IF($C297=DS$2,1,0)=1,1+COUNTIF(DS$3:DS296,"&gt;0"),0)</f>
        <v>0</v>
      </c>
      <c r="DT297">
        <f>IF(IF(OR(IFERROR(SEARCH("Paladin",$T297,1),0)&gt;0,IFERROR(SEARCH(PaladinOath,$T297,1),0)&gt;0),1,0)*IF($C297=DT$2,1,0)=1,1+COUNTIF(DT$3:DT296,"&gt;0"),0)</f>
        <v>0</v>
      </c>
      <c r="DU297">
        <f>IF(IF(OR(IFERROR(SEARCH("Paladin",$T297,1),0)&gt;0,IFERROR(SEARCH(PaladinOath,$T297,1),0)&gt;0),1,0)*IF($C297=DU$2,1,0)=1,1+COUNTIF(DU$3:DU296,"&gt;0"),0)</f>
        <v>0</v>
      </c>
      <c r="DV297">
        <f>IF(IF(OR(IFERROR(SEARCH("Paladin",$T297,1),0)&gt;0,IFERROR(SEARCH(PaladinOath,$T297,1),0)&gt;0),1,0)*IF($C297=DV$2,1,0)=1,1+COUNTIF(DV$3:DV296,"&gt;0"),0)</f>
        <v>0</v>
      </c>
      <c r="DW297">
        <f>IF(IF(OR(IFERROR(SEARCH("Paladin",$T297,1),0)&gt;0,IFERROR(SEARCH(PaladinOath,$T297,1),0)&gt;0),1,0)*IF($C297=DW$2,1,0)=1,1+COUNTIF(DW$3:DW296,"&gt;0"),0)</f>
        <v>0</v>
      </c>
      <c r="DY297">
        <f t="shared" si="225"/>
        <v>1</v>
      </c>
      <c r="DZ297">
        <f>IF(DY297=0,0,1+MAX(DZ$3:$DZ296))</f>
        <v>295</v>
      </c>
      <c r="EB297">
        <f t="shared" si="239"/>
        <v>0</v>
      </c>
      <c r="EC297">
        <f>IF(EB297=0,0,1+COUNTIF(EC$3:EC296,"&gt;0"))</f>
        <v>0</v>
      </c>
      <c r="ED297" t="str">
        <f t="shared" si="267"/>
        <v/>
      </c>
      <c r="EE297" t="str">
        <f t="shared" si="240"/>
        <v/>
      </c>
      <c r="EG297">
        <f t="shared" si="241"/>
        <v>0</v>
      </c>
      <c r="EH297">
        <f>IF(EG297=0,0,1+COUNTIF(EH$3:EH296,"&gt;0"))</f>
        <v>0</v>
      </c>
      <c r="EI297" t="str">
        <f t="shared" si="268"/>
        <v/>
      </c>
      <c r="EJ297" t="str">
        <f t="shared" si="242"/>
        <v/>
      </c>
      <c r="EL297">
        <f t="shared" si="243"/>
        <v>0</v>
      </c>
      <c r="EM297">
        <f>IF(EL297=0,0,1+COUNTIF(EM$3:EM296,"&gt;0"))</f>
        <v>0</v>
      </c>
      <c r="EN297" t="str">
        <f t="shared" si="269"/>
        <v/>
      </c>
      <c r="EO297" t="str">
        <f t="shared" si="244"/>
        <v/>
      </c>
      <c r="EQ297">
        <f t="shared" si="245"/>
        <v>0</v>
      </c>
      <c r="ER297">
        <f>IF(EQ297=0,0,1+COUNTIF(ER$3:ER296,"&gt;0"))</f>
        <v>0</v>
      </c>
      <c r="ES297" t="str">
        <f t="shared" si="270"/>
        <v/>
      </c>
      <c r="ET297" t="str">
        <f t="shared" si="246"/>
        <v/>
      </c>
      <c r="EV297">
        <f t="shared" si="247"/>
        <v>0</v>
      </c>
      <c r="EW297">
        <f>IF(EV297=0,0,1+COUNTIF(EW$3:EW296,"&gt;0"))</f>
        <v>0</v>
      </c>
      <c r="EX297" t="str">
        <f t="shared" si="271"/>
        <v/>
      </c>
      <c r="EY297" t="str">
        <f t="shared" si="248"/>
        <v/>
      </c>
      <c r="FA297">
        <f t="shared" si="249"/>
        <v>0</v>
      </c>
      <c r="FB297">
        <f>IF(FA297=0,0,1+COUNTIF(FB$3:FB296,"&gt;0"))</f>
        <v>0</v>
      </c>
      <c r="FC297" t="str">
        <f t="shared" si="272"/>
        <v/>
      </c>
      <c r="FD297" t="str">
        <f t="shared" si="250"/>
        <v/>
      </c>
      <c r="FF297">
        <f t="shared" si="251"/>
        <v>0</v>
      </c>
      <c r="FG297">
        <f>IF(FF297=0,0,1+COUNTIF(FG$3:FG296,"&gt;0"))</f>
        <v>0</v>
      </c>
      <c r="FH297" t="str">
        <f t="shared" si="273"/>
        <v/>
      </c>
      <c r="FI297" t="str">
        <f t="shared" si="252"/>
        <v/>
      </c>
      <c r="FK297">
        <f t="shared" si="253"/>
        <v>0</v>
      </c>
      <c r="FL297">
        <f>IF(FK297=0,0,1+COUNTIF(FL$3:FL296,"&gt;0"))</f>
        <v>0</v>
      </c>
      <c r="FM297" t="str">
        <f t="shared" si="274"/>
        <v/>
      </c>
      <c r="FN297" t="str">
        <f t="shared" si="254"/>
        <v/>
      </c>
      <c r="FP297">
        <f t="shared" si="255"/>
        <v>0</v>
      </c>
      <c r="FQ297">
        <f>IF(FP297=0,0,1+COUNTIF(FQ$3:FQ296,"&gt;0"))</f>
        <v>0</v>
      </c>
      <c r="FR297" t="str">
        <f t="shared" si="275"/>
        <v/>
      </c>
      <c r="FS297" t="str">
        <f t="shared" si="256"/>
        <v/>
      </c>
    </row>
    <row r="298" spans="1:175" x14ac:dyDescent="0.25">
      <c r="A298" s="347">
        <f t="shared" si="276"/>
        <v>296</v>
      </c>
      <c r="B298" s="348" t="s">
        <v>2686</v>
      </c>
      <c r="C298" s="348">
        <v>1</v>
      </c>
      <c r="D298" s="347">
        <v>1</v>
      </c>
      <c r="E298" s="627" t="s">
        <v>6952</v>
      </c>
      <c r="F298" s="346"/>
      <c r="G298" s="347" t="str">
        <f>""</f>
        <v/>
      </c>
      <c r="H298" s="347" t="s">
        <v>5918</v>
      </c>
      <c r="I298" s="347" t="s">
        <v>424</v>
      </c>
      <c r="J298" s="347" t="str">
        <f t="shared" si="226"/>
        <v/>
      </c>
      <c r="K298" s="347" t="s">
        <v>5297</v>
      </c>
      <c r="L298" s="611" t="str">
        <f t="shared" si="227"/>
        <v>V, S, M, a small parchment with a bit of holy text written on it</v>
      </c>
      <c r="M298" s="347" t="s">
        <v>2373</v>
      </c>
      <c r="N298" s="347" t="s">
        <v>2387</v>
      </c>
      <c r="O298" s="347" t="s">
        <v>1244</v>
      </c>
      <c r="P298" s="346" t="s">
        <v>5478</v>
      </c>
      <c r="Q298" s="347" t="s">
        <v>5270</v>
      </c>
      <c r="S298" s="346" t="s">
        <v>2687</v>
      </c>
      <c r="T298" s="346" t="str">
        <f t="shared" si="228"/>
        <v xml:space="preserve">Paladin, Cleric, War, </v>
      </c>
      <c r="V298" s="347" t="str">
        <f>$B298</f>
        <v>Shield of Faith</v>
      </c>
      <c r="Z298" s="347" t="str">
        <f>$B298</f>
        <v>Shield of Faith</v>
      </c>
      <c r="AE298" t="str">
        <f>IF(IFERROR(MATCH($B298,temp!A$4:A$13,0),0)&gt;0,T08_Spells!AE$2,"")</f>
        <v/>
      </c>
      <c r="AF298" t="str">
        <f>IF(IFERROR(MATCH($B298,temp!B$4:B$13,0),0)&gt;0,T08_Spells!AF$2,"")</f>
        <v/>
      </c>
      <c r="AG298" t="str">
        <f>IF(IFERROR(MATCH($B298,temp!C$4:C$13,0),0)&gt;0,T08_Spells!AG$2,"")</f>
        <v/>
      </c>
      <c r="AH298" t="str">
        <f>IF(IFERROR(MATCH($B298,temp!D$4:D$13,0),0)&gt;0,T08_Spells!AH$2,"")</f>
        <v/>
      </c>
      <c r="AI298" t="str">
        <f>IF(IFERROR(MATCH($B298,temp!E$4:E$13,0),0)&gt;0,T08_Spells!AI$2,"")</f>
        <v/>
      </c>
      <c r="AJ298" t="str">
        <f>IF(IFERROR(MATCH($B298,temp!F$4:F$13,0),0)&gt;0,T08_Spells!AJ$2,"")</f>
        <v/>
      </c>
      <c r="AK298" t="str">
        <f>IF(IFERROR(MATCH($B298,temp!G$4:G$13,0),0)&gt;0,T08_Spells!AK$2,"")</f>
        <v/>
      </c>
      <c r="AL298" t="str">
        <f>IF(IFERROR(MATCH($B298,temp!H$4:H$13,0),0)&gt;0,T08_Spells!AL$2,"")</f>
        <v/>
      </c>
      <c r="AM298" t="str">
        <f>IF(IFERROR(MATCH($B298,temp!I$4:I$13,0),0)&gt;0,T08_Spells!AM$2,"")</f>
        <v/>
      </c>
      <c r="AN298" t="str">
        <f>IF(IFERROR(MATCH($B298,temp!J$4:J$13,0),0)&gt;0,T08_Spells!AN$2,"")</f>
        <v/>
      </c>
      <c r="AO298" t="str">
        <f>IF(IFERROR(MATCH($B298,temp!K$4:K$13,0),0)&gt;0,T08_Spells!AO$2,"")</f>
        <v/>
      </c>
      <c r="AP298" t="str">
        <f>IF(IFERROR(MATCH($B298,temp!L$4:L$13,0),0)&gt;0,T08_Spells!AP$2,"")</f>
        <v/>
      </c>
      <c r="AQ298" t="str">
        <f>IF(IFERROR(MATCH($B298,temp!M$4:M$13,0),0)&gt;0,T08_Spells!AQ$2,"")</f>
        <v/>
      </c>
      <c r="AR298" t="str">
        <f>IF(IFERROR(MATCH($B298,temp!N$4:N$13,0),0)&gt;0,T08_Spells!AR$2,"")</f>
        <v/>
      </c>
      <c r="AS298" t="str">
        <f>IF(IFERROR(MATCH($B298,temp!O$4:O$13,0),0)&gt;0,T08_Spells!AS$2,"")</f>
        <v/>
      </c>
      <c r="AT298" t="str">
        <f>IF(IFERROR(MATCH($B298,temp!P$4:P$13,0),0)&gt;0,T08_Spells!AT$2,"")</f>
        <v/>
      </c>
      <c r="AU298" t="str">
        <f>IF(IFERROR(MATCH($B298,temp!Q$4:Q$13,0),0)&gt;0,T08_Spells!AU$2,"")</f>
        <v/>
      </c>
      <c r="AV298" t="str">
        <f>IF(IFERROR(MATCH($B298,temp!R$4:R$13,0),0)&gt;0,T08_Spells!AV$2,"")</f>
        <v/>
      </c>
      <c r="AW298" t="str">
        <f>IF(IFERROR(MATCH($B298,temp!S$4:S$13,0),0)&gt;0,T08_Spells!AW$2,"")</f>
        <v/>
      </c>
      <c r="AX298" t="str">
        <f>IF(IFERROR(MATCH($B298,temp!T$4:T$13,0),0)&gt;0,T08_Spells!AX$2,"")</f>
        <v/>
      </c>
      <c r="AY298" t="str">
        <f>IF(IFERROR(MATCH($B298,temp!U$4:U$13,0),0)&gt;0,T08_Spells!AY$2,"")</f>
        <v/>
      </c>
      <c r="AZ298" t="str">
        <f>IF(IFERROR(MATCH($B298,temp!V$4:V$13,0),0)&gt;0,T08_Spells!AZ$2,"")</f>
        <v>War</v>
      </c>
      <c r="BA298" t="str">
        <f>IF(IFERROR(MATCH($B298,temp!W$4:W$13,0),0)&gt;0,T08_Spells!BA$2,"")</f>
        <v/>
      </c>
      <c r="BC298">
        <f>IF(IFERROR(SEARCH("Ranger",$T298,1),0)&gt;0,1,0)*IF(RangerMaxSpellLevel&gt;=$C298,1,0)*IF(IFERROR(MATCH(B298,Character_Creation!$X$79:$X$382,0),0)&gt;0,0,1)</f>
        <v>0</v>
      </c>
      <c r="BD298">
        <f>IF(BC298=0,0,1+COUNTIF(BD$3:BD297,"&gt;0"))</f>
        <v>0</v>
      </c>
      <c r="BE298" t="str">
        <f t="shared" si="257"/>
        <v/>
      </c>
      <c r="BF298" t="str">
        <f t="shared" si="229"/>
        <v/>
      </c>
      <c r="BH298">
        <f>IF(IFERROR(SEARCH("Sorcerer",$T298,1),0)&gt;0,1,0)*IF(SorcererMaxSpellLevel&gt;=$C298,1,0)*IF(IFERROR(MATCH(B298,Character_Creation!$J$380:$J$394,0),0)&gt;0,0,1)</f>
        <v>0</v>
      </c>
      <c r="BI298">
        <f>IF(BH298=0,0,1+COUNTIF(BI$3:BI297,"&gt;0"))</f>
        <v>0</v>
      </c>
      <c r="BJ298" t="str">
        <f t="shared" si="258"/>
        <v/>
      </c>
      <c r="BK298" t="str">
        <f t="shared" si="230"/>
        <v/>
      </c>
      <c r="BM298">
        <f>IF(OR(IFERROR(SEARCH("Warlock",$T298,1),0)&gt;0,IFERROR(SEARCH(WarlockPatron,$T298,1),0)&gt;0),1,0)*IF(WarlockMaxSpellLevel&gt;=$C298,1,0)*IF(IFERROR(MATCH(B298,Character_Creation!$J$361:$J$375,0),0)&gt;0,0,1)</f>
        <v>0</v>
      </c>
      <c r="BN298">
        <f>IF(BM298=0,0,1+COUNTIF(BN$3:BN297,"&gt;0"))</f>
        <v>0</v>
      </c>
      <c r="BO298" t="str">
        <f t="shared" si="259"/>
        <v/>
      </c>
      <c r="BP298" t="str">
        <f t="shared" si="231"/>
        <v/>
      </c>
      <c r="BR298">
        <f>IF(IFERROR(SEARCH("Eldritch Knight",$T298,1),0)&gt;0,1,0)*IF(EldritchKnightMaxSpellLevel&gt;=$C298,1,0)*IF(IFERROR(MATCH($B298,Character_Creation!$J$350:$J$356,0),0)&gt;0,0,1)*IF(Character_Creation!$M$338&gt;0,1,0)</f>
        <v>0</v>
      </c>
      <c r="BS298">
        <f>IF(BR298=0,0,1+COUNTIF(BS$3:BS297,"&gt;0"))</f>
        <v>0</v>
      </c>
      <c r="BT298" t="str">
        <f t="shared" si="260"/>
        <v/>
      </c>
      <c r="BU298" t="str">
        <f t="shared" si="232"/>
        <v/>
      </c>
      <c r="BW298">
        <f>IF(IFERROR(SEARCH("Arcane Trickster",$T298,1),0)&gt;0,1,0)*IF(ArcaneTricksterMaxSpellLevel&gt;=$C298,1,0)*IF(IFERROR(MATCH($B298,Character_Creation!$J$350:$J$356,0),0)&gt;0,0,1)*IF(Character_Creation!$T$338&gt;0,1,0)</f>
        <v>0</v>
      </c>
      <c r="BX298">
        <f>IF(BW298=0,0,1+COUNTIF(BX$3:BX297,"&gt;0"))</f>
        <v>0</v>
      </c>
      <c r="BY298" t="str">
        <f t="shared" si="261"/>
        <v/>
      </c>
      <c r="BZ298" t="str">
        <f t="shared" si="233"/>
        <v/>
      </c>
      <c r="CB298">
        <f>IF(IFERROR(SEARCH("Wizard",$T298,1),0)&gt;0,1,0)*IF(C298&lt;=ArcaneTricksterMaxSpellLevel,1,0)*IF(IFERROR(MATCH($B298,Character_Creation!$J$350:$J$356,0),0)&gt;0,0,1)*IF(Character_Creation!$T$350&gt;0,1,0)</f>
        <v>0</v>
      </c>
      <c r="CC298">
        <f>IF(CB298=0,0,1+COUNTIF(CC$3:CC297,"&gt;0"))</f>
        <v>0</v>
      </c>
      <c r="CD298" t="str">
        <f t="shared" si="262"/>
        <v/>
      </c>
      <c r="CE298" t="str">
        <f t="shared" si="234"/>
        <v/>
      </c>
      <c r="CG298">
        <f>IF(IFERROR(SEARCH("Wizard",$T298,1),0)&gt;0,1,0)*IF($C298&lt;=EldritchKnightMaxSpellLevel,1,0)*IF(IFERROR(MATCH($B298,Character_Creation!$J$350:$J$356,0),0)&gt;0,0,1)*IF(Character_Creation!$M$350&gt;0,1,0)</f>
        <v>0</v>
      </c>
      <c r="CH298">
        <f>IF(CG298=0,0,1+COUNTIF(CH$3:CH297,"&gt;0"))</f>
        <v>0</v>
      </c>
      <c r="CI298" t="str">
        <f t="shared" si="263"/>
        <v/>
      </c>
      <c r="CJ298" t="str">
        <f t="shared" si="235"/>
        <v/>
      </c>
      <c r="CL298">
        <f>IF(IFERROR(SEARCH("Bard",$T298,1),0)&gt;0,1,0)*IF(BardMaxSpellLevel&gt;=$C298,1,0)*IF(IFERROR(MATCH(B298,Character_Creation!$C$341:$F$362,0),0)&gt;0,0,1)*IF(IFERROR(MATCH($B298,Character_Creation!$C$341:$C$362,0),0)&gt;0,0,1)</f>
        <v>0</v>
      </c>
      <c r="CM298">
        <f>IF(CL298=0,0,1+COUNTIF(CM$3:CM297,"&gt;0"))</f>
        <v>0</v>
      </c>
      <c r="CN298" t="str">
        <f t="shared" si="264"/>
        <v/>
      </c>
      <c r="CO298" t="str">
        <f t="shared" si="236"/>
        <v/>
      </c>
      <c r="CQ298">
        <f>IF(IFERROR(SEARCH("Wizard",$T298,1),0)&gt;0,1,0)*IF(WizardMaxSpellLevel&gt;=$C298,1,0)*IF(IFERROR(MATCH(B298,Character_Creation!$X$341:$X$400,0),0)&gt;0,0,1)*IF(SelectedWizardSpellLevel=$C298,1,0)</f>
        <v>0</v>
      </c>
      <c r="CR298">
        <f>IF(CQ298=0,0,1+COUNTIF(CR$3:CR297,"&gt;0"))</f>
        <v>0</v>
      </c>
      <c r="CS298" t="str">
        <f t="shared" si="265"/>
        <v/>
      </c>
      <c r="CT298" t="str">
        <f t="shared" si="237"/>
        <v/>
      </c>
      <c r="CV298">
        <f>IF(IFERROR(MATCH($B298,Character_Creation!$C$341:$C$362,0),0)&gt;0,0,1)*IF(OR(C298="Cantrip",C298&lt;=BardMaxSpellLevel),1,0)*IF(IFERROR(MATCH($B298,Character_Creation!$C$367:$C$374,0),0)&gt;0,0,1)</f>
        <v>0</v>
      </c>
      <c r="CW298">
        <f>IF(CV298=0,0,1+COUNTIF(CW$3:CW297,"&gt;0"))</f>
        <v>0</v>
      </c>
      <c r="CX298" t="str">
        <f t="shared" si="266"/>
        <v/>
      </c>
      <c r="CY298" t="str">
        <f t="shared" si="238"/>
        <v/>
      </c>
      <c r="DA298">
        <f>IF(IF(OR(IFERROR(SEARCH("Cleric",$T298,1),0)&gt;0,IFERROR(SEARCH(DivineDomain&amp;",",$T298,1),0)&gt;0),1,0)*IF($C298=DA$2,1,0)=1,1+COUNTIF(DA$3:DA297,"&gt;0"),0)</f>
        <v>15</v>
      </c>
      <c r="DB298">
        <f>IF(IF(OR(IFERROR(SEARCH("Cleric",$T298,1),0)&gt;0,IFERROR(SEARCH(DivineDomain&amp;",",$T298,1),0)&gt;0),1,0)*IF($C298=DB$2,1,0)=1,1+COUNTIF(DB$3:DB297,"&gt;0"),0)</f>
        <v>0</v>
      </c>
      <c r="DC298">
        <f>IF(IF(OR(IFERROR(SEARCH("Cleric",$T298,1),0)&gt;0,IFERROR(SEARCH(DivineDomain&amp;",",$T298,1),0)&gt;0),1,0)*IF($C298=DC$2,1,0)=1,1+COUNTIF(DC$3:DC297,"&gt;0"),0)</f>
        <v>0</v>
      </c>
      <c r="DD298">
        <f>IF(IF(OR(IFERROR(SEARCH("Cleric",$T298,1),0)&gt;0,IFERROR(SEARCH(DivineDomain&amp;",",$T298,1),0)&gt;0),1,0)*IF($C298=DD$2,1,0)=1,1+COUNTIF(DD$3:DD297,"&gt;0"),0)</f>
        <v>0</v>
      </c>
      <c r="DE298">
        <f>IF(IF(OR(IFERROR(SEARCH("Cleric",$T298,1),0)&gt;0,IFERROR(SEARCH(DivineDomain&amp;",",$T298,1),0)&gt;0),1,0)*IF($C298=DE$2,1,0)=1,1+COUNTIF(DE$3:DE297,"&gt;0"),0)</f>
        <v>0</v>
      </c>
      <c r="DF298">
        <f>IF(IF(OR(IFERROR(SEARCH("Cleric",$T298,1),0)&gt;0,IFERROR(SEARCH(DivineDomain&amp;",",$T298,1),0)&gt;0),1,0)*IF($C298=DF$2,1,0)=1,1+COUNTIF(DF$3:DF297,"&gt;0"),0)</f>
        <v>0</v>
      </c>
      <c r="DG298">
        <f>IF(IF(OR(IFERROR(SEARCH("Cleric",$T298,1),0)&gt;0,IFERROR(SEARCH(DivineDomain&amp;",",$T298,1),0)&gt;0),1,0)*IF($C298=DG$2,1,0)=1,1+COUNTIF(DG$3:DG297,"&gt;0"),0)</f>
        <v>0</v>
      </c>
      <c r="DH298">
        <f>IF(IF(OR(IFERROR(SEARCH("Cleric",$T298,1),0)&gt;0,IFERROR(SEARCH(DivineDomain&amp;",",$T298,1),0)&gt;0),1,0)*IF($C298=DH$2,1,0)=1,1+COUNTIF(DH$3:DH297,"&gt;0"),0)</f>
        <v>0</v>
      </c>
      <c r="DI298">
        <f>IF(IF(OR(IFERROR(SEARCH("Cleric",$T298,1),0)&gt;0,IFERROR(SEARCH(DivineDomain&amp;",",$T298,1),0)&gt;0),1,0)*IF($C298=DI$2,1,0)=1,1+COUNTIF(DI$3:DI297,"&gt;0"),0)</f>
        <v>0</v>
      </c>
      <c r="DJ298">
        <f>IF(IF(OR(IFERROR(SEARCH("Druid",$T298,1),0)&gt;0,IFERROR(SEARCH(DruidLand1,$T298,1),0)&gt;0,IFERROR(SEARCH(DruidLand2,$T298,1),0)&gt;0,IFERROR(SEARCH(DruidLand3,$T298,1),0)&gt;0,IFERROR(SEARCH(DruidLand4,$T298,1),0)&gt;0),1,0)*IF($C298=1,1,0)*IF($C298=DJ$2,1,0)=0,0,1+COUNTIF(DJ$3:DJ297,"&gt;0"))</f>
        <v>0</v>
      </c>
      <c r="DK298">
        <f>IF(IF(OR(IFERROR(SEARCH("Druid",$T298,1),0)&gt;0,IFERROR(SEARCH(DruidLand1,$T298,1),0)&gt;0,IFERROR(SEARCH(DruidLand2,$T298,1),0)&gt;0,IFERROR(SEARCH(DruidLand3,$T298,1),0)&gt;0,IFERROR(SEARCH(DruidLand4,$T298,1),0)&gt;0),1,0)*IF($C298=1,1,0)*IF($C298=DK$2,1,0)=0,0,1+COUNTIF(DK$3:DK297,"&gt;0"))</f>
        <v>0</v>
      </c>
      <c r="DL298">
        <f>IF(IF(OR(IFERROR(SEARCH("Druid",$T298,1),0)&gt;0,IFERROR(SEARCH(DruidLand1,$T298,1),0)&gt;0,IFERROR(SEARCH(DruidLand2,$T298,1),0)&gt;0,IFERROR(SEARCH(DruidLand3,$T298,1),0)&gt;0,IFERROR(SEARCH(DruidLand4,$T298,1),0)&gt;0),1,0)*IF($C298=1,1,0)*IF($C298=DL$2,1,0)=0,0,1+COUNTIF(DL$3:DL297,"&gt;0"))</f>
        <v>0</v>
      </c>
      <c r="DM298">
        <f>IF(IF(OR(IFERROR(SEARCH("Druid",$T298,1),0)&gt;0,IFERROR(SEARCH(DruidLand1,$T298,1),0)&gt;0,IFERROR(SEARCH(DruidLand2,$T298,1),0)&gt;0,IFERROR(SEARCH(DruidLand3,$T298,1),0)&gt;0,IFERROR(SEARCH(DruidLand4,$T298,1),0)&gt;0),1,0)*IF($C298=1,1,0)*IF($C298=DM$2,1,0)=0,0,1+COUNTIF(DM$3:DM297,"&gt;0"))</f>
        <v>0</v>
      </c>
      <c r="DN298">
        <f>IF(IF(OR(IFERROR(SEARCH("Druid",$T298,1),0)&gt;0,IFERROR(SEARCH(DruidLand1,$T298,1),0)&gt;0,IFERROR(SEARCH(DruidLand2,$T298,1),0)&gt;0,IFERROR(SEARCH(DruidLand3,$T298,1),0)&gt;0,IFERROR(SEARCH(DruidLand4,$T298,1),0)&gt;0),1,0)*IF($C298=1,1,0)*IF($C298=DN$2,1,0)=0,0,1+COUNTIF(DN$3:DN297,"&gt;0"))</f>
        <v>0</v>
      </c>
      <c r="DO298">
        <f>IF(IF(OR(IFERROR(SEARCH("Druid",$T298,1),0)&gt;0,IFERROR(SEARCH(DruidLand1,$T298,1),0)&gt;0,IFERROR(SEARCH(DruidLand2,$T298,1),0)&gt;0,IFERROR(SEARCH(DruidLand3,$T298,1),0)&gt;0,IFERROR(SEARCH(DruidLand4,$T298,1),0)&gt;0),1,0)*IF($C298=1,1,0)*IF($C298=DO$2,1,0)=0,0,1+COUNTIF(DO$3:DO297,"&gt;0"))</f>
        <v>0</v>
      </c>
      <c r="DP298">
        <f>IF(IF(OR(IFERROR(SEARCH("Druid",$T298,1),0)&gt;0,IFERROR(SEARCH(DruidLand1,$T298,1),0)&gt;0,IFERROR(SEARCH(DruidLand2,$T298,1),0)&gt;0,IFERROR(SEARCH(DruidLand3,$T298,1),0)&gt;0,IFERROR(SEARCH(DruidLand4,$T298,1),0)&gt;0),1,0)*IF($C298=1,1,0)*IF($C298=DP$2,1,0)=0,0,1+COUNTIF(DP$3:DP297,"&gt;0"))</f>
        <v>0</v>
      </c>
      <c r="DQ298">
        <f>IF(IF(OR(IFERROR(SEARCH("Druid",$T298,1),0)&gt;0,IFERROR(SEARCH(DruidLand1,$T298,1),0)&gt;0,IFERROR(SEARCH(DruidLand2,$T298,1),0)&gt;0,IFERROR(SEARCH(DruidLand3,$T298,1),0)&gt;0,IFERROR(SEARCH(DruidLand4,$T298,1),0)&gt;0),1,0)*IF($C298=1,1,0)*IF($C298=DQ$2,1,0)=0,0,1+COUNTIF(DQ$3:DQ297,"&gt;0"))</f>
        <v>0</v>
      </c>
      <c r="DR298">
        <f>IF(IF(OR(IFERROR(SEARCH("Druid",$T298,1),0)&gt;0,IFERROR(SEARCH(DruidLand1,$T298,1),0)&gt;0,IFERROR(SEARCH(DruidLand2,$T298,1),0)&gt;0,IFERROR(SEARCH(DruidLand3,$T298,1),0)&gt;0,IFERROR(SEARCH(DruidLand4,$T298,1),0)&gt;0),1,0)*IF($C298=1,1,0)*IF($C298=DR$2,1,0)=0,0,1+COUNTIF(DR$3:DR297,"&gt;0"))</f>
        <v>0</v>
      </c>
      <c r="DS298">
        <f>IF(IF(OR(IFERROR(SEARCH("Paladin",$T298,1),0)&gt;0,IFERROR(SEARCH(PaladinOath,$T298,1),0)&gt;0),1,0)*IF($C298=DS$2,1,0)=1,1+COUNTIF(DS$3:DS297,"&gt;0"),0)</f>
        <v>13</v>
      </c>
      <c r="DT298">
        <f>IF(IF(OR(IFERROR(SEARCH("Paladin",$T298,1),0)&gt;0,IFERROR(SEARCH(PaladinOath,$T298,1),0)&gt;0),1,0)*IF($C298=DT$2,1,0)=1,1+COUNTIF(DT$3:DT297,"&gt;0"),0)</f>
        <v>0</v>
      </c>
      <c r="DU298">
        <f>IF(IF(OR(IFERROR(SEARCH("Paladin",$T298,1),0)&gt;0,IFERROR(SEARCH(PaladinOath,$T298,1),0)&gt;0),1,0)*IF($C298=DU$2,1,0)=1,1+COUNTIF(DU$3:DU297,"&gt;0"),0)</f>
        <v>0</v>
      </c>
      <c r="DV298">
        <f>IF(IF(OR(IFERROR(SEARCH("Paladin",$T298,1),0)&gt;0,IFERROR(SEARCH(PaladinOath,$T298,1),0)&gt;0),1,0)*IF($C298=DV$2,1,0)=1,1+COUNTIF(DV$3:DV297,"&gt;0"),0)</f>
        <v>0</v>
      </c>
      <c r="DW298">
        <f>IF(IF(OR(IFERROR(SEARCH("Paladin",$T298,1),0)&gt;0,IFERROR(SEARCH(PaladinOath,$T298,1),0)&gt;0),1,0)*IF($C298=DW$2,1,0)=1,1+COUNTIF(DW$3:DW297,"&gt;0"),0)</f>
        <v>0</v>
      </c>
      <c r="DY298">
        <f t="shared" si="225"/>
        <v>1</v>
      </c>
      <c r="DZ298">
        <f>IF(DY298=0,0,1+MAX(DZ$3:$DZ297))</f>
        <v>296</v>
      </c>
      <c r="EB298">
        <f t="shared" si="239"/>
        <v>0</v>
      </c>
      <c r="EC298">
        <f>IF(EB298=0,0,1+COUNTIF(EC$3:EC297,"&gt;0"))</f>
        <v>0</v>
      </c>
      <c r="ED298" t="str">
        <f t="shared" si="267"/>
        <v/>
      </c>
      <c r="EE298" t="str">
        <f t="shared" si="240"/>
        <v/>
      </c>
      <c r="EG298">
        <f t="shared" si="241"/>
        <v>0</v>
      </c>
      <c r="EH298">
        <f>IF(EG298=0,0,1+COUNTIF(EH$3:EH297,"&gt;0"))</f>
        <v>0</v>
      </c>
      <c r="EI298" t="str">
        <f t="shared" si="268"/>
        <v/>
      </c>
      <c r="EJ298" t="str">
        <f t="shared" si="242"/>
        <v/>
      </c>
      <c r="EL298">
        <f t="shared" si="243"/>
        <v>0</v>
      </c>
      <c r="EM298">
        <f>IF(EL298=0,0,1+COUNTIF(EM$3:EM297,"&gt;0"))</f>
        <v>0</v>
      </c>
      <c r="EN298" t="str">
        <f t="shared" si="269"/>
        <v/>
      </c>
      <c r="EO298" t="str">
        <f t="shared" si="244"/>
        <v/>
      </c>
      <c r="EQ298">
        <f t="shared" si="245"/>
        <v>0</v>
      </c>
      <c r="ER298">
        <f>IF(EQ298=0,0,1+COUNTIF(ER$3:ER297,"&gt;0"))</f>
        <v>0</v>
      </c>
      <c r="ES298" t="str">
        <f t="shared" si="270"/>
        <v/>
      </c>
      <c r="ET298" t="str">
        <f t="shared" si="246"/>
        <v/>
      </c>
      <c r="EV298">
        <f t="shared" si="247"/>
        <v>0</v>
      </c>
      <c r="EW298">
        <f>IF(EV298=0,0,1+COUNTIF(EW$3:EW297,"&gt;0"))</f>
        <v>0</v>
      </c>
      <c r="EX298" t="str">
        <f t="shared" si="271"/>
        <v/>
      </c>
      <c r="EY298" t="str">
        <f t="shared" si="248"/>
        <v/>
      </c>
      <c r="FA298">
        <f t="shared" si="249"/>
        <v>0</v>
      </c>
      <c r="FB298">
        <f>IF(FA298=0,0,1+COUNTIF(FB$3:FB297,"&gt;0"))</f>
        <v>0</v>
      </c>
      <c r="FC298" t="str">
        <f t="shared" si="272"/>
        <v/>
      </c>
      <c r="FD298" t="str">
        <f t="shared" si="250"/>
        <v/>
      </c>
      <c r="FF298">
        <f t="shared" si="251"/>
        <v>0</v>
      </c>
      <c r="FG298">
        <f>IF(FF298=0,0,1+COUNTIF(FG$3:FG297,"&gt;0"))</f>
        <v>0</v>
      </c>
      <c r="FH298" t="str">
        <f t="shared" si="273"/>
        <v/>
      </c>
      <c r="FI298" t="str">
        <f t="shared" si="252"/>
        <v/>
      </c>
      <c r="FK298">
        <f t="shared" si="253"/>
        <v>0</v>
      </c>
      <c r="FL298">
        <f>IF(FK298=0,0,1+COUNTIF(FL$3:FL297,"&gt;0"))</f>
        <v>0</v>
      </c>
      <c r="FM298" t="str">
        <f t="shared" si="274"/>
        <v/>
      </c>
      <c r="FN298" t="str">
        <f t="shared" si="254"/>
        <v/>
      </c>
      <c r="FP298">
        <f t="shared" si="255"/>
        <v>0</v>
      </c>
      <c r="FQ298">
        <f>IF(FP298=0,0,1+COUNTIF(FQ$3:FQ297,"&gt;0"))</f>
        <v>0</v>
      </c>
      <c r="FR298" t="str">
        <f t="shared" si="275"/>
        <v/>
      </c>
      <c r="FS298" t="str">
        <f t="shared" si="256"/>
        <v/>
      </c>
    </row>
    <row r="299" spans="1:175" x14ac:dyDescent="0.25">
      <c r="A299" s="347">
        <f t="shared" si="276"/>
        <v>297</v>
      </c>
      <c r="B299" s="348" t="s">
        <v>2688</v>
      </c>
      <c r="C299" s="348" t="s">
        <v>5277</v>
      </c>
      <c r="D299" s="347">
        <v>0.5</v>
      </c>
      <c r="E299" s="627" t="s">
        <v>6952</v>
      </c>
      <c r="F299" s="346"/>
      <c r="G299" s="347" t="str">
        <f>""</f>
        <v/>
      </c>
      <c r="H299" s="347" t="s">
        <v>5918</v>
      </c>
      <c r="I299" s="347" t="s">
        <v>5298</v>
      </c>
      <c r="J299" s="347" t="str">
        <f t="shared" si="226"/>
        <v/>
      </c>
      <c r="K299" s="347" t="s">
        <v>5288</v>
      </c>
      <c r="L299" s="611" t="str">
        <f t="shared" si="227"/>
        <v>V, S, M, mistletoe, a shamrock leaf, and a club or quarterstaff</v>
      </c>
      <c r="M299" s="347" t="s">
        <v>2373</v>
      </c>
      <c r="N299" s="347" t="s">
        <v>2387</v>
      </c>
      <c r="O299" s="347" t="s">
        <v>1244</v>
      </c>
      <c r="P299" s="346" t="s">
        <v>5479</v>
      </c>
      <c r="Q299" s="347" t="s">
        <v>5276</v>
      </c>
      <c r="S299" s="346" t="s">
        <v>2689</v>
      </c>
      <c r="T299" s="346" t="str">
        <f t="shared" si="228"/>
        <v xml:space="preserve">Druid, </v>
      </c>
      <c r="AA299" s="347" t="str">
        <f>$B299</f>
        <v>Shillelagh</v>
      </c>
      <c r="AE299" t="str">
        <f>IF(IFERROR(MATCH($B299,temp!A$4:A$13,0),0)&gt;0,T08_Spells!AE$2,"")</f>
        <v/>
      </c>
      <c r="AF299" t="str">
        <f>IF(IFERROR(MATCH($B299,temp!B$4:B$13,0),0)&gt;0,T08_Spells!AF$2,"")</f>
        <v/>
      </c>
      <c r="AG299" t="str">
        <f>IF(IFERROR(MATCH($B299,temp!C$4:C$13,0),0)&gt;0,T08_Spells!AG$2,"")</f>
        <v/>
      </c>
      <c r="AH299" t="str">
        <f>IF(IFERROR(MATCH($B299,temp!D$4:D$13,0),0)&gt;0,T08_Spells!AH$2,"")</f>
        <v/>
      </c>
      <c r="AI299" t="str">
        <f>IF(IFERROR(MATCH($B299,temp!E$4:E$13,0),0)&gt;0,T08_Spells!AI$2,"")</f>
        <v/>
      </c>
      <c r="AJ299" t="str">
        <f>IF(IFERROR(MATCH($B299,temp!F$4:F$13,0),0)&gt;0,T08_Spells!AJ$2,"")</f>
        <v/>
      </c>
      <c r="AK299" t="str">
        <f>IF(IFERROR(MATCH($B299,temp!G$4:G$13,0),0)&gt;0,T08_Spells!AK$2,"")</f>
        <v/>
      </c>
      <c r="AL299" t="str">
        <f>IF(IFERROR(MATCH($B299,temp!H$4:H$13,0),0)&gt;0,T08_Spells!AL$2,"")</f>
        <v/>
      </c>
      <c r="AM299" t="str">
        <f>IF(IFERROR(MATCH($B299,temp!I$4:I$13,0),0)&gt;0,T08_Spells!AM$2,"")</f>
        <v/>
      </c>
      <c r="AN299" t="str">
        <f>IF(IFERROR(MATCH($B299,temp!J$4:J$13,0),0)&gt;0,T08_Spells!AN$2,"")</f>
        <v/>
      </c>
      <c r="AO299" t="str">
        <f>IF(IFERROR(MATCH($B299,temp!K$4:K$13,0),0)&gt;0,T08_Spells!AO$2,"")</f>
        <v/>
      </c>
      <c r="AP299" t="str">
        <f>IF(IFERROR(MATCH($B299,temp!L$4:L$13,0),0)&gt;0,T08_Spells!AP$2,"")</f>
        <v/>
      </c>
      <c r="AQ299" t="str">
        <f>IF(IFERROR(MATCH($B299,temp!M$4:M$13,0),0)&gt;0,T08_Spells!AQ$2,"")</f>
        <v/>
      </c>
      <c r="AR299" t="str">
        <f>IF(IFERROR(MATCH($B299,temp!N$4:N$13,0),0)&gt;0,T08_Spells!AR$2,"")</f>
        <v/>
      </c>
      <c r="AS299" t="str">
        <f>IF(IFERROR(MATCH($B299,temp!O$4:O$13,0),0)&gt;0,T08_Spells!AS$2,"")</f>
        <v/>
      </c>
      <c r="AT299" t="str">
        <f>IF(IFERROR(MATCH($B299,temp!P$4:P$13,0),0)&gt;0,T08_Spells!AT$2,"")</f>
        <v/>
      </c>
      <c r="AU299" t="str">
        <f>IF(IFERROR(MATCH($B299,temp!Q$4:Q$13,0),0)&gt;0,T08_Spells!AU$2,"")</f>
        <v/>
      </c>
      <c r="AV299" t="str">
        <f>IF(IFERROR(MATCH($B299,temp!R$4:R$13,0),0)&gt;0,T08_Spells!AV$2,"")</f>
        <v/>
      </c>
      <c r="AW299" t="str">
        <f>IF(IFERROR(MATCH($B299,temp!S$4:S$13,0),0)&gt;0,T08_Spells!AW$2,"")</f>
        <v/>
      </c>
      <c r="AX299" t="str">
        <f>IF(IFERROR(MATCH($B299,temp!T$4:T$13,0),0)&gt;0,T08_Spells!AX$2,"")</f>
        <v/>
      </c>
      <c r="AY299" t="str">
        <f>IF(IFERROR(MATCH($B299,temp!U$4:U$13,0),0)&gt;0,T08_Spells!AY$2,"")</f>
        <v/>
      </c>
      <c r="AZ299" t="str">
        <f>IF(IFERROR(MATCH($B299,temp!V$4:V$13,0),0)&gt;0,T08_Spells!AZ$2,"")</f>
        <v/>
      </c>
      <c r="BA299" t="str">
        <f>IF(IFERROR(MATCH($B299,temp!W$4:W$13,0),0)&gt;0,T08_Spells!BA$2,"")</f>
        <v/>
      </c>
      <c r="BC299">
        <f>IF(IFERROR(SEARCH("Ranger",$T299,1),0)&gt;0,1,0)*IF(RangerMaxSpellLevel&gt;=$C299,1,0)*IF(IFERROR(MATCH(B299,Character_Creation!$X$79:$X$382,0),0)&gt;0,0,1)</f>
        <v>0</v>
      </c>
      <c r="BD299">
        <f>IF(BC299=0,0,1+COUNTIF(BD$3:BD298,"&gt;0"))</f>
        <v>0</v>
      </c>
      <c r="BE299" t="str">
        <f t="shared" si="257"/>
        <v/>
      </c>
      <c r="BF299" t="str">
        <f t="shared" si="229"/>
        <v/>
      </c>
      <c r="BH299">
        <f>IF(IFERROR(SEARCH("Sorcerer",$T299,1),0)&gt;0,1,0)*IF(SorcererMaxSpellLevel&gt;=$C299,1,0)*IF(IFERROR(MATCH(B299,Character_Creation!$J$380:$J$394,0),0)&gt;0,0,1)</f>
        <v>0</v>
      </c>
      <c r="BI299">
        <f>IF(BH299=0,0,1+COUNTIF(BI$3:BI298,"&gt;0"))</f>
        <v>0</v>
      </c>
      <c r="BJ299" t="str">
        <f t="shared" si="258"/>
        <v/>
      </c>
      <c r="BK299" t="str">
        <f t="shared" si="230"/>
        <v/>
      </c>
      <c r="BM299">
        <f>IF(OR(IFERROR(SEARCH("Warlock",$T299,1),0)&gt;0,IFERROR(SEARCH(WarlockPatron,$T299,1),0)&gt;0),1,0)*IF(WarlockMaxSpellLevel&gt;=$C299,1,0)*IF(IFERROR(MATCH(B299,Character_Creation!$J$361:$J$375,0),0)&gt;0,0,1)</f>
        <v>0</v>
      </c>
      <c r="BN299">
        <f>IF(BM299=0,0,1+COUNTIF(BN$3:BN298,"&gt;0"))</f>
        <v>0</v>
      </c>
      <c r="BO299" t="str">
        <f t="shared" si="259"/>
        <v/>
      </c>
      <c r="BP299" t="str">
        <f t="shared" si="231"/>
        <v/>
      </c>
      <c r="BR299">
        <f>IF(IFERROR(SEARCH("Eldritch Knight",$T299,1),0)&gt;0,1,0)*IF(EldritchKnightMaxSpellLevel&gt;=$C299,1,0)*IF(IFERROR(MATCH($B299,Character_Creation!$J$350:$J$356,0),0)&gt;0,0,1)*IF(Character_Creation!$M$338&gt;0,1,0)</f>
        <v>0</v>
      </c>
      <c r="BS299">
        <f>IF(BR299=0,0,1+COUNTIF(BS$3:BS298,"&gt;0"))</f>
        <v>0</v>
      </c>
      <c r="BT299" t="str">
        <f t="shared" si="260"/>
        <v/>
      </c>
      <c r="BU299" t="str">
        <f t="shared" si="232"/>
        <v/>
      </c>
      <c r="BW299">
        <f>IF(IFERROR(SEARCH("Arcane Trickster",$T299,1),0)&gt;0,1,0)*IF(ArcaneTricksterMaxSpellLevel&gt;=$C299,1,0)*IF(IFERROR(MATCH($B299,Character_Creation!$J$350:$J$356,0),0)&gt;0,0,1)*IF(Character_Creation!$T$338&gt;0,1,0)</f>
        <v>0</v>
      </c>
      <c r="BX299">
        <f>IF(BW299=0,0,1+COUNTIF(BX$3:BX298,"&gt;0"))</f>
        <v>0</v>
      </c>
      <c r="BY299" t="str">
        <f t="shared" si="261"/>
        <v/>
      </c>
      <c r="BZ299" t="str">
        <f t="shared" si="233"/>
        <v/>
      </c>
      <c r="CB299">
        <f>IF(IFERROR(SEARCH("Wizard",$T299,1),0)&gt;0,1,0)*IF(C299&lt;=ArcaneTricksterMaxSpellLevel,1,0)*IF(IFERROR(MATCH($B299,Character_Creation!$J$350:$J$356,0),0)&gt;0,0,1)*IF(Character_Creation!$T$350&gt;0,1,0)</f>
        <v>0</v>
      </c>
      <c r="CC299">
        <f>IF(CB299=0,0,1+COUNTIF(CC$3:CC298,"&gt;0"))</f>
        <v>0</v>
      </c>
      <c r="CD299" t="str">
        <f t="shared" si="262"/>
        <v/>
      </c>
      <c r="CE299" t="str">
        <f t="shared" si="234"/>
        <v/>
      </c>
      <c r="CG299">
        <f>IF(IFERROR(SEARCH("Wizard",$T299,1),0)&gt;0,1,0)*IF($C299&lt;=EldritchKnightMaxSpellLevel,1,0)*IF(IFERROR(MATCH($B299,Character_Creation!$J$350:$J$356,0),0)&gt;0,0,1)*IF(Character_Creation!$M$350&gt;0,1,0)</f>
        <v>0</v>
      </c>
      <c r="CH299">
        <f>IF(CG299=0,0,1+COUNTIF(CH$3:CH298,"&gt;0"))</f>
        <v>0</v>
      </c>
      <c r="CI299" t="str">
        <f t="shared" si="263"/>
        <v/>
      </c>
      <c r="CJ299" t="str">
        <f t="shared" si="235"/>
        <v/>
      </c>
      <c r="CL299">
        <f>IF(IFERROR(SEARCH("Bard",$T299,1),0)&gt;0,1,0)*IF(BardMaxSpellLevel&gt;=$C299,1,0)*IF(IFERROR(MATCH(B299,Character_Creation!$C$341:$F$362,0),0)&gt;0,0,1)*IF(IFERROR(MATCH($B299,Character_Creation!$C$341:$C$362,0),0)&gt;0,0,1)</f>
        <v>0</v>
      </c>
      <c r="CM299">
        <f>IF(CL299=0,0,1+COUNTIF(CM$3:CM298,"&gt;0"))</f>
        <v>0</v>
      </c>
      <c r="CN299" t="str">
        <f t="shared" si="264"/>
        <v/>
      </c>
      <c r="CO299" t="str">
        <f t="shared" si="236"/>
        <v/>
      </c>
      <c r="CQ299">
        <f>IF(IFERROR(SEARCH("Wizard",$T299,1),0)&gt;0,1,0)*IF(WizardMaxSpellLevel&gt;=$C299,1,0)*IF(IFERROR(MATCH(B299,Character_Creation!$X$341:$X$400,0),0)&gt;0,0,1)*IF(SelectedWizardSpellLevel=$C299,1,0)</f>
        <v>0</v>
      </c>
      <c r="CR299">
        <f>IF(CQ299=0,0,1+COUNTIF(CR$3:CR298,"&gt;0"))</f>
        <v>0</v>
      </c>
      <c r="CS299" t="str">
        <f t="shared" si="265"/>
        <v/>
      </c>
      <c r="CT299" t="str">
        <f t="shared" si="237"/>
        <v/>
      </c>
      <c r="CV299">
        <f>IF(IFERROR(MATCH($B299,Character_Creation!$C$341:$C$362,0),0)&gt;0,0,1)*IF(OR(C299="Cantrip",C299&lt;=BardMaxSpellLevel),1,0)*IF(IFERROR(MATCH($B299,Character_Creation!$C$367:$C$374,0),0)&gt;0,0,1)</f>
        <v>1</v>
      </c>
      <c r="CW299">
        <f>IF(CV299=0,0,1+COUNTIF(CW$3:CW298,"&gt;0"))</f>
        <v>21</v>
      </c>
      <c r="CX299" t="str">
        <f t="shared" si="266"/>
        <v/>
      </c>
      <c r="CY299" t="str">
        <f t="shared" si="238"/>
        <v/>
      </c>
      <c r="DA299">
        <f>IF(IF(OR(IFERROR(SEARCH("Cleric",$T299,1),0)&gt;0,IFERROR(SEARCH(DivineDomain&amp;",",$T299,1),0)&gt;0),1,0)*IF($C299=DA$2,1,0)=1,1+COUNTIF(DA$3:DA298,"&gt;0"),0)</f>
        <v>0</v>
      </c>
      <c r="DB299">
        <f>IF(IF(OR(IFERROR(SEARCH("Cleric",$T299,1),0)&gt;0,IFERROR(SEARCH(DivineDomain&amp;",",$T299,1),0)&gt;0),1,0)*IF($C299=DB$2,1,0)=1,1+COUNTIF(DB$3:DB298,"&gt;0"),0)</f>
        <v>0</v>
      </c>
      <c r="DC299">
        <f>IF(IF(OR(IFERROR(SEARCH("Cleric",$T299,1),0)&gt;0,IFERROR(SEARCH(DivineDomain&amp;",",$T299,1),0)&gt;0),1,0)*IF($C299=DC$2,1,0)=1,1+COUNTIF(DC$3:DC298,"&gt;0"),0)</f>
        <v>0</v>
      </c>
      <c r="DD299">
        <f>IF(IF(OR(IFERROR(SEARCH("Cleric",$T299,1),0)&gt;0,IFERROR(SEARCH(DivineDomain&amp;",",$T299,1),0)&gt;0),1,0)*IF($C299=DD$2,1,0)=1,1+COUNTIF(DD$3:DD298,"&gt;0"),0)</f>
        <v>0</v>
      </c>
      <c r="DE299">
        <f>IF(IF(OR(IFERROR(SEARCH("Cleric",$T299,1),0)&gt;0,IFERROR(SEARCH(DivineDomain&amp;",",$T299,1),0)&gt;0),1,0)*IF($C299=DE$2,1,0)=1,1+COUNTIF(DE$3:DE298,"&gt;0"),0)</f>
        <v>0</v>
      </c>
      <c r="DF299">
        <f>IF(IF(OR(IFERROR(SEARCH("Cleric",$T299,1),0)&gt;0,IFERROR(SEARCH(DivineDomain&amp;",",$T299,1),0)&gt;0),1,0)*IF($C299=DF$2,1,0)=1,1+COUNTIF(DF$3:DF298,"&gt;0"),0)</f>
        <v>0</v>
      </c>
      <c r="DG299">
        <f>IF(IF(OR(IFERROR(SEARCH("Cleric",$T299,1),0)&gt;0,IFERROR(SEARCH(DivineDomain&amp;",",$T299,1),0)&gt;0),1,0)*IF($C299=DG$2,1,0)=1,1+COUNTIF(DG$3:DG298,"&gt;0"),0)</f>
        <v>0</v>
      </c>
      <c r="DH299">
        <f>IF(IF(OR(IFERROR(SEARCH("Cleric",$T299,1),0)&gt;0,IFERROR(SEARCH(DivineDomain&amp;",",$T299,1),0)&gt;0),1,0)*IF($C299=DH$2,1,0)=1,1+COUNTIF(DH$3:DH298,"&gt;0"),0)</f>
        <v>0</v>
      </c>
      <c r="DI299">
        <f>IF(IF(OR(IFERROR(SEARCH("Cleric",$T299,1),0)&gt;0,IFERROR(SEARCH(DivineDomain&amp;",",$T299,1),0)&gt;0),1,0)*IF($C299=DI$2,1,0)=1,1+COUNTIF(DI$3:DI298,"&gt;0"),0)</f>
        <v>0</v>
      </c>
      <c r="DJ299">
        <f>IF(IF(OR(IFERROR(SEARCH("Druid",$T299,1),0)&gt;0,IFERROR(SEARCH(DruidLand1,$T299,1),0)&gt;0,IFERROR(SEARCH(DruidLand2,$T299,1),0)&gt;0,IFERROR(SEARCH(DruidLand3,$T299,1),0)&gt;0,IFERROR(SEARCH(DruidLand4,$T299,1),0)&gt;0),1,0)*IF($C299=1,1,0)*IF($C299=DJ$2,1,0)=0,0,1+COUNTIF(DJ$3:DJ298,"&gt;0"))</f>
        <v>0</v>
      </c>
      <c r="DK299">
        <f>IF(IF(OR(IFERROR(SEARCH("Druid",$T299,1),0)&gt;0,IFERROR(SEARCH(DruidLand1,$T299,1),0)&gt;0,IFERROR(SEARCH(DruidLand2,$T299,1),0)&gt;0,IFERROR(SEARCH(DruidLand3,$T299,1),0)&gt;0,IFERROR(SEARCH(DruidLand4,$T299,1),0)&gt;0),1,0)*IF($C299=DK$2,1,0)=0,0,1+COUNTIF(DK$3:DK298,"&gt;0"))</f>
        <v>0</v>
      </c>
      <c r="DL299">
        <f>IF(IF(OR(IFERROR(SEARCH("Druid",$T299,1),0)&gt;0,IFERROR(SEARCH(DruidLand1,$T299,1),0)&gt;0,IFERROR(SEARCH(DruidLand2,$T299,1),0)&gt;0,IFERROR(SEARCH(DruidLand3,$T299,1),0)&gt;0,IFERROR(SEARCH(DruidLand4,$T299,1),0)&gt;0),1,0)*IF($C299=DL$2,1,0)=0,0,1+COUNTIF(DL$3:DL298,"&gt;0"))</f>
        <v>0</v>
      </c>
      <c r="DM299">
        <f>IF(IF(OR(IFERROR(SEARCH("Druid",$T299,1),0)&gt;0,IFERROR(SEARCH(DruidLand1,$T299,1),0)&gt;0,IFERROR(SEARCH(DruidLand2,$T299,1),0)&gt;0,IFERROR(SEARCH(DruidLand3,$T299,1),0)&gt;0,IFERROR(SEARCH(DruidLand4,$T299,1),0)&gt;0),1,0)*IF($C299=DM$2,1,0)=0,0,1+COUNTIF(DM$3:DM298,"&gt;0"))</f>
        <v>0</v>
      </c>
      <c r="DN299">
        <f>IF(IF(OR(IFERROR(SEARCH("Druid",$T299,1),0)&gt;0,IFERROR(SEARCH(DruidLand1,$T299,1),0)&gt;0,IFERROR(SEARCH(DruidLand2,$T299,1),0)&gt;0,IFERROR(SEARCH(DruidLand3,$T299,1),0)&gt;0,IFERROR(SEARCH(DruidLand4,$T299,1),0)&gt;0),1,0)*IF($C299=DN$2,1,0)=0,0,1+COUNTIF(DN$3:DN298,"&gt;0"))</f>
        <v>0</v>
      </c>
      <c r="DO299">
        <f>IF(IF(OR(IFERROR(SEARCH("Druid",$T299,1),0)&gt;0,IFERROR(SEARCH(DruidLand1,$T299,1),0)&gt;0,IFERROR(SEARCH(DruidLand2,$T299,1),0)&gt;0,IFERROR(SEARCH(DruidLand3,$T299,1),0)&gt;0,IFERROR(SEARCH(DruidLand4,$T299,1),0)&gt;0),1,0)*IF($C299=DO$2,1,0)=0,0,1+COUNTIF(DO$3:DO298,"&gt;0"))</f>
        <v>0</v>
      </c>
      <c r="DP299">
        <f>IF(IF(OR(IFERROR(SEARCH("Druid",$T299,1),0)&gt;0,IFERROR(SEARCH(DruidLand1,$T299,1),0)&gt;0,IFERROR(SEARCH(DruidLand2,$T299,1),0)&gt;0,IFERROR(SEARCH(DruidLand3,$T299,1),0)&gt;0,IFERROR(SEARCH(DruidLand4,$T299,1),0)&gt;0),1,0)*IF($C299=DP$2,1,0)=0,0,1+COUNTIF(DP$3:DP298,"&gt;0"))</f>
        <v>0</v>
      </c>
      <c r="DQ299">
        <f>IF(IF(OR(IFERROR(SEARCH("Druid",$T299,1),0)&gt;0,IFERROR(SEARCH(DruidLand1,$T299,1),0)&gt;0,IFERROR(SEARCH(DruidLand2,$T299,1),0)&gt;0,IFERROR(SEARCH(DruidLand3,$T299,1),0)&gt;0,IFERROR(SEARCH(DruidLand4,$T299,1),0)&gt;0),1,0)*IF($C299=DQ$2,1,0)=0,0,1+COUNTIF(DQ$3:DQ298,"&gt;0"))</f>
        <v>0</v>
      </c>
      <c r="DR299">
        <f>IF(IF(OR(IFERROR(SEARCH("Druid",$T299,1),0)&gt;0,IFERROR(SEARCH(DruidLand1,$T299,1),0)&gt;0,IFERROR(SEARCH(DruidLand2,$T299,1),0)&gt;0,IFERROR(SEARCH(DruidLand3,$T299,1),0)&gt;0,IFERROR(SEARCH(DruidLand4,$T299,1),0)&gt;0),1,0)*IF($C299=DR$2,1,0)=0,0,1+COUNTIF(DR$3:DR298,"&gt;0"))</f>
        <v>0</v>
      </c>
      <c r="DS299">
        <f>IF(IF(OR(IFERROR(SEARCH("Paladin",$T299,1),0)&gt;0,IFERROR(SEARCH(PaladinOath,$T299,1),0)&gt;0),1,0)*IF($C299=DS$2,1,0)=1,1+COUNTIF(DS$3:DS298,"&gt;0"),0)</f>
        <v>0</v>
      </c>
      <c r="DT299">
        <f>IF(IF(OR(IFERROR(SEARCH("Paladin",$T299,1),0)&gt;0,IFERROR(SEARCH(PaladinOath,$T299,1),0)&gt;0),1,0)*IF($C299=DT$2,1,0)=1,1+COUNTIF(DT$3:DT298,"&gt;0"),0)</f>
        <v>0</v>
      </c>
      <c r="DU299">
        <f>IF(IF(OR(IFERROR(SEARCH("Paladin",$T299,1),0)&gt;0,IFERROR(SEARCH(PaladinOath,$T299,1),0)&gt;0),1,0)*IF($C299=DU$2,1,0)=1,1+COUNTIF(DU$3:DU298,"&gt;0"),0)</f>
        <v>0</v>
      </c>
      <c r="DV299">
        <f>IF(IF(OR(IFERROR(SEARCH("Paladin",$T299,1),0)&gt;0,IFERROR(SEARCH(PaladinOath,$T299,1),0)&gt;0),1,0)*IF($C299=DV$2,1,0)=1,1+COUNTIF(DV$3:DV298,"&gt;0"),0)</f>
        <v>0</v>
      </c>
      <c r="DW299">
        <f>IF(IF(OR(IFERROR(SEARCH("Paladin",$T299,1),0)&gt;0,IFERROR(SEARCH(PaladinOath,$T299,1),0)&gt;0),1,0)*IF($C299=DW$2,1,0)=1,1+COUNTIF(DW$3:DW298,"&gt;0"),0)</f>
        <v>0</v>
      </c>
      <c r="DY299">
        <f t="shared" si="225"/>
        <v>1</v>
      </c>
      <c r="DZ299">
        <f>IF(DY299=0,0,1+MAX(DZ$3:$DZ298))</f>
        <v>297</v>
      </c>
      <c r="EB299">
        <f t="shared" si="239"/>
        <v>0</v>
      </c>
      <c r="EC299">
        <f>IF(EB299=0,0,1+COUNTIF(EC$3:EC298,"&gt;0"))</f>
        <v>0</v>
      </c>
      <c r="ED299" t="str">
        <f t="shared" si="267"/>
        <v/>
      </c>
      <c r="EE299" t="str">
        <f t="shared" si="240"/>
        <v/>
      </c>
      <c r="EG299">
        <f t="shared" si="241"/>
        <v>0</v>
      </c>
      <c r="EH299">
        <f>IF(EG299=0,0,1+COUNTIF(EH$3:EH298,"&gt;0"))</f>
        <v>0</v>
      </c>
      <c r="EI299" t="str">
        <f t="shared" si="268"/>
        <v/>
      </c>
      <c r="EJ299" t="str">
        <f t="shared" si="242"/>
        <v/>
      </c>
      <c r="EL299">
        <f t="shared" si="243"/>
        <v>1</v>
      </c>
      <c r="EM299">
        <f>IF(EL299=0,0,1+COUNTIF(EM$3:EM298,"&gt;0"))</f>
        <v>7</v>
      </c>
      <c r="EN299" t="str">
        <f t="shared" si="269"/>
        <v/>
      </c>
      <c r="EO299" t="str">
        <f t="shared" si="244"/>
        <v/>
      </c>
      <c r="EQ299">
        <f t="shared" si="245"/>
        <v>0</v>
      </c>
      <c r="ER299">
        <f>IF(EQ299=0,0,1+COUNTIF(ER$3:ER298,"&gt;0"))</f>
        <v>0</v>
      </c>
      <c r="ES299" t="str">
        <f t="shared" si="270"/>
        <v/>
      </c>
      <c r="ET299" t="str">
        <f t="shared" si="246"/>
        <v/>
      </c>
      <c r="EV299">
        <f t="shared" si="247"/>
        <v>0</v>
      </c>
      <c r="EW299">
        <f>IF(EV299=0,0,1+COUNTIF(EW$3:EW298,"&gt;0"))</f>
        <v>0</v>
      </c>
      <c r="EX299" t="str">
        <f t="shared" si="271"/>
        <v/>
      </c>
      <c r="EY299" t="str">
        <f t="shared" si="248"/>
        <v/>
      </c>
      <c r="FA299">
        <f t="shared" si="249"/>
        <v>0</v>
      </c>
      <c r="FB299">
        <f>IF(FA299=0,0,1+COUNTIF(FB$3:FB298,"&gt;0"))</f>
        <v>0</v>
      </c>
      <c r="FC299" t="str">
        <f t="shared" si="272"/>
        <v/>
      </c>
      <c r="FD299" t="str">
        <f t="shared" si="250"/>
        <v/>
      </c>
      <c r="FF299">
        <f t="shared" si="251"/>
        <v>0</v>
      </c>
      <c r="FG299">
        <f>IF(FF299=0,0,1+COUNTIF(FG$3:FG298,"&gt;0"))</f>
        <v>0</v>
      </c>
      <c r="FH299" t="str">
        <f t="shared" si="273"/>
        <v/>
      </c>
      <c r="FI299" t="str">
        <f t="shared" si="252"/>
        <v/>
      </c>
      <c r="FK299">
        <f t="shared" si="253"/>
        <v>0</v>
      </c>
      <c r="FL299">
        <f>IF(FK299=0,0,1+COUNTIF(FL$3:FL298,"&gt;0"))</f>
        <v>0</v>
      </c>
      <c r="FM299" t="str">
        <f t="shared" si="274"/>
        <v/>
      </c>
      <c r="FN299" t="str">
        <f t="shared" si="254"/>
        <v/>
      </c>
      <c r="FP299">
        <f t="shared" si="255"/>
        <v>0</v>
      </c>
      <c r="FQ299">
        <f>IF(FP299=0,0,1+COUNTIF(FQ$3:FQ298,"&gt;0"))</f>
        <v>0</v>
      </c>
      <c r="FR299" t="str">
        <f t="shared" si="275"/>
        <v/>
      </c>
      <c r="FS299" t="str">
        <f t="shared" si="256"/>
        <v/>
      </c>
    </row>
    <row r="300" spans="1:175" x14ac:dyDescent="0.25">
      <c r="A300" s="347">
        <f t="shared" si="276"/>
        <v>298</v>
      </c>
      <c r="B300" s="348" t="s">
        <v>2690</v>
      </c>
      <c r="C300" s="348" t="s">
        <v>5277</v>
      </c>
      <c r="D300" s="347">
        <v>0.5</v>
      </c>
      <c r="E300" s="627" t="s">
        <v>6952</v>
      </c>
      <c r="F300" s="346"/>
      <c r="G300" s="347" t="str">
        <f>""</f>
        <v/>
      </c>
      <c r="H300" s="347" t="s">
        <v>5912</v>
      </c>
      <c r="I300" s="347" t="s">
        <v>5298</v>
      </c>
      <c r="J300" s="347" t="str">
        <f t="shared" si="226"/>
        <v/>
      </c>
      <c r="K300" s="347" t="s">
        <v>5278</v>
      </c>
      <c r="L300" s="611" t="str">
        <f t="shared" si="227"/>
        <v>V, S</v>
      </c>
      <c r="M300" s="347" t="s">
        <v>2373</v>
      </c>
      <c r="N300" s="347" t="s">
        <v>2387</v>
      </c>
      <c r="O300" s="347" t="s">
        <v>3034</v>
      </c>
      <c r="P300" s="346" t="str">
        <f>""</f>
        <v/>
      </c>
      <c r="Q300" s="347" t="s">
        <v>5273</v>
      </c>
      <c r="S300" s="346" t="s">
        <v>5821</v>
      </c>
      <c r="T300" s="346" t="str">
        <f t="shared" si="228"/>
        <v xml:space="preserve">Sorcerer, Eldritch Knight, Wizard, </v>
      </c>
      <c r="X300" s="347" t="str">
        <f>$B300</f>
        <v>Shocking Grasp</v>
      </c>
      <c r="AB300" s="542" t="str">
        <f>AD300</f>
        <v>Shocking Grasp</v>
      </c>
      <c r="AD300" s="347" t="str">
        <f>$B300</f>
        <v>Shocking Grasp</v>
      </c>
      <c r="AE300" t="str">
        <f>IF(IFERROR(MATCH($B300,temp!A$4:A$13,0),0)&gt;0,T08_Spells!AE$2,"")</f>
        <v/>
      </c>
      <c r="AF300" t="str">
        <f>IF(IFERROR(MATCH($B300,temp!B$4:B$13,0),0)&gt;0,T08_Spells!AF$2,"")</f>
        <v/>
      </c>
      <c r="AG300" t="str">
        <f>IF(IFERROR(MATCH($B300,temp!C$4:C$13,0),0)&gt;0,T08_Spells!AG$2,"")</f>
        <v/>
      </c>
      <c r="AH300" t="str">
        <f>IF(IFERROR(MATCH($B300,temp!D$4:D$13,0),0)&gt;0,T08_Spells!AH$2,"")</f>
        <v/>
      </c>
      <c r="AI300" t="str">
        <f>IF(IFERROR(MATCH($B300,temp!E$4:E$13,0),0)&gt;0,T08_Spells!AI$2,"")</f>
        <v/>
      </c>
      <c r="AJ300" t="str">
        <f>IF(IFERROR(MATCH($B300,temp!F$4:F$13,0),0)&gt;0,T08_Spells!AJ$2,"")</f>
        <v/>
      </c>
      <c r="AK300" t="str">
        <f>IF(IFERROR(MATCH($B300,temp!G$4:G$13,0),0)&gt;0,T08_Spells!AK$2,"")</f>
        <v/>
      </c>
      <c r="AL300" t="str">
        <f>IF(IFERROR(MATCH($B300,temp!H$4:H$13,0),0)&gt;0,T08_Spells!AL$2,"")</f>
        <v/>
      </c>
      <c r="AM300" t="str">
        <f>IF(IFERROR(MATCH($B300,temp!I$4:I$13,0),0)&gt;0,T08_Spells!AM$2,"")</f>
        <v/>
      </c>
      <c r="AN300" t="str">
        <f>IF(IFERROR(MATCH($B300,temp!J$4:J$13,0),0)&gt;0,T08_Spells!AN$2,"")</f>
        <v/>
      </c>
      <c r="AO300" t="str">
        <f>IF(IFERROR(MATCH($B300,temp!K$4:K$13,0),0)&gt;0,T08_Spells!AO$2,"")</f>
        <v/>
      </c>
      <c r="AP300" t="str">
        <f>IF(IFERROR(MATCH($B300,temp!L$4:L$13,0),0)&gt;0,T08_Spells!AP$2,"")</f>
        <v/>
      </c>
      <c r="AQ300" t="str">
        <f>IF(IFERROR(MATCH($B300,temp!M$4:M$13,0),0)&gt;0,T08_Spells!AQ$2,"")</f>
        <v/>
      </c>
      <c r="AR300" t="str">
        <f>IF(IFERROR(MATCH($B300,temp!N$4:N$13,0),0)&gt;0,T08_Spells!AR$2,"")</f>
        <v/>
      </c>
      <c r="AS300" t="str">
        <f>IF(IFERROR(MATCH($B300,temp!O$4:O$13,0),0)&gt;0,T08_Spells!AS$2,"")</f>
        <v/>
      </c>
      <c r="AT300" t="str">
        <f>IF(IFERROR(MATCH($B300,temp!P$4:P$13,0),0)&gt;0,T08_Spells!AT$2,"")</f>
        <v/>
      </c>
      <c r="AU300" t="str">
        <f>IF(IFERROR(MATCH($B300,temp!Q$4:Q$13,0),0)&gt;0,T08_Spells!AU$2,"")</f>
        <v/>
      </c>
      <c r="AV300" t="str">
        <f>IF(IFERROR(MATCH($B300,temp!R$4:R$13,0),0)&gt;0,T08_Spells!AV$2,"")</f>
        <v/>
      </c>
      <c r="AW300" t="str">
        <f>IF(IFERROR(MATCH($B300,temp!S$4:S$13,0),0)&gt;0,T08_Spells!AW$2,"")</f>
        <v/>
      </c>
      <c r="AX300" t="str">
        <f>IF(IFERROR(MATCH($B300,temp!T$4:T$13,0),0)&gt;0,T08_Spells!AX$2,"")</f>
        <v/>
      </c>
      <c r="AY300" t="str">
        <f>IF(IFERROR(MATCH($B300,temp!U$4:U$13,0),0)&gt;0,T08_Spells!AY$2,"")</f>
        <v/>
      </c>
      <c r="AZ300" t="str">
        <f>IF(IFERROR(MATCH($B300,temp!V$4:V$13,0),0)&gt;0,T08_Spells!AZ$2,"")</f>
        <v/>
      </c>
      <c r="BA300" t="str">
        <f>IF(IFERROR(MATCH($B300,temp!W$4:W$13,0),0)&gt;0,T08_Spells!BA$2,"")</f>
        <v/>
      </c>
      <c r="BC300">
        <f>IF(IFERROR(SEARCH("Ranger",$T300,1),0)&gt;0,1,0)*IF(RangerMaxSpellLevel&gt;=$C300,1,0)*IF(IFERROR(MATCH(B300,Character_Creation!$X$79:$X$382,0),0)&gt;0,0,1)</f>
        <v>0</v>
      </c>
      <c r="BD300">
        <f>IF(BC300=0,0,1+COUNTIF(BD$3:BD299,"&gt;0"))</f>
        <v>0</v>
      </c>
      <c r="BE300" t="str">
        <f t="shared" si="257"/>
        <v/>
      </c>
      <c r="BF300" t="str">
        <f t="shared" si="229"/>
        <v/>
      </c>
      <c r="BH300">
        <f>IF(IFERROR(SEARCH("Sorcerer",$T300,1),0)&gt;0,1,0)*IF(SorcererMaxSpellLevel&gt;=$C300,1,0)*IF(IFERROR(MATCH(B300,Character_Creation!$J$380:$J$394,0),0)&gt;0,0,1)</f>
        <v>0</v>
      </c>
      <c r="BI300">
        <f>IF(BH300=0,0,1+COUNTIF(BI$3:BI299,"&gt;0"))</f>
        <v>0</v>
      </c>
      <c r="BJ300" t="str">
        <f t="shared" si="258"/>
        <v/>
      </c>
      <c r="BK300" t="str">
        <f t="shared" si="230"/>
        <v/>
      </c>
      <c r="BM300">
        <f>IF(OR(IFERROR(SEARCH("Warlock",$T300,1),0)&gt;0,IFERROR(SEARCH(WarlockPatron,$T300,1),0)&gt;0),1,0)*IF(WarlockMaxSpellLevel&gt;=$C300,1,0)*IF(IFERROR(MATCH(B300,Character_Creation!$J$361:$J$375,0),0)&gt;0,0,1)</f>
        <v>0</v>
      </c>
      <c r="BN300">
        <f>IF(BM300=0,0,1+COUNTIF(BN$3:BN299,"&gt;0"))</f>
        <v>0</v>
      </c>
      <c r="BO300" t="str">
        <f t="shared" si="259"/>
        <v/>
      </c>
      <c r="BP300" t="str">
        <f t="shared" si="231"/>
        <v/>
      </c>
      <c r="BR300">
        <f>IF(IFERROR(SEARCH("Eldritch Knight",$T300,1),0)&gt;0,1,0)*IF(EldritchKnightMaxSpellLevel&gt;=$C300,1,0)*IF(IFERROR(MATCH($B300,Character_Creation!$J$350:$J$356,0),0)&gt;0,0,1)*IF(Character_Creation!$M$338&gt;0,1,0)</f>
        <v>0</v>
      </c>
      <c r="BS300">
        <f>IF(BR300=0,0,1+COUNTIF(BS$3:BS299,"&gt;0"))</f>
        <v>0</v>
      </c>
      <c r="BT300" t="str">
        <f t="shared" si="260"/>
        <v/>
      </c>
      <c r="BU300" t="str">
        <f t="shared" si="232"/>
        <v/>
      </c>
      <c r="BW300">
        <f>IF(IFERROR(SEARCH("Arcane Trickster",$T300,1),0)&gt;0,1,0)*IF(ArcaneTricksterMaxSpellLevel&gt;=$C300,1,0)*IF(IFERROR(MATCH($B300,Character_Creation!$J$350:$J$356,0),0)&gt;0,0,1)*IF(Character_Creation!$T$338&gt;0,1,0)</f>
        <v>0</v>
      </c>
      <c r="BX300">
        <f>IF(BW300=0,0,1+COUNTIF(BX$3:BX299,"&gt;0"))</f>
        <v>0</v>
      </c>
      <c r="BY300" t="str">
        <f t="shared" si="261"/>
        <v/>
      </c>
      <c r="BZ300" t="str">
        <f t="shared" si="233"/>
        <v/>
      </c>
      <c r="CB300">
        <f>IF(IFERROR(SEARCH("Wizard",$T300,1),0)&gt;0,1,0)*IF(C300&lt;=ArcaneTricksterMaxSpellLevel,1,0)*IF(IFERROR(MATCH($B300,Character_Creation!$J$350:$J$356,0),0)&gt;0,0,1)*IF(Character_Creation!$T$350&gt;0,1,0)</f>
        <v>0</v>
      </c>
      <c r="CC300">
        <f>IF(CB300=0,0,1+COUNTIF(CC$3:CC299,"&gt;0"))</f>
        <v>0</v>
      </c>
      <c r="CD300" t="str">
        <f t="shared" si="262"/>
        <v/>
      </c>
      <c r="CE300" t="str">
        <f t="shared" si="234"/>
        <v/>
      </c>
      <c r="CG300">
        <f>IF(IFERROR(SEARCH("Wizard",$T300,1),0)&gt;0,1,0)*IF($C300&lt;=EldritchKnightMaxSpellLevel,1,0)*IF(IFERROR(MATCH($B300,Character_Creation!$J$350:$J$356,0),0)&gt;0,0,1)*IF(Character_Creation!$M$350&gt;0,1,0)</f>
        <v>0</v>
      </c>
      <c r="CH300">
        <f>IF(CG300=0,0,1+COUNTIF(CH$3:CH299,"&gt;0"))</f>
        <v>0</v>
      </c>
      <c r="CI300" t="str">
        <f t="shared" si="263"/>
        <v/>
      </c>
      <c r="CJ300" t="str">
        <f t="shared" si="235"/>
        <v/>
      </c>
      <c r="CL300">
        <f>IF(IFERROR(SEARCH("Bard",$T300,1),0)&gt;0,1,0)*IF(BardMaxSpellLevel&gt;=$C300,1,0)*IF(IFERROR(MATCH(B300,Character_Creation!$C$341:$F$362,0),0)&gt;0,0,1)*IF(IFERROR(MATCH($B300,Character_Creation!$C$341:$C$362,0),0)&gt;0,0,1)</f>
        <v>0</v>
      </c>
      <c r="CM300">
        <f>IF(CL300=0,0,1+COUNTIF(CM$3:CM299,"&gt;0"))</f>
        <v>0</v>
      </c>
      <c r="CN300" t="str">
        <f t="shared" si="264"/>
        <v/>
      </c>
      <c r="CO300" t="str">
        <f t="shared" si="236"/>
        <v/>
      </c>
      <c r="CQ300">
        <f>IF(IFERROR(SEARCH("Wizard",$T300,1),0)&gt;0,1,0)*IF(WizardMaxSpellLevel&gt;=$C300,1,0)*IF(IFERROR(MATCH(B300,Character_Creation!$X$341:$X$400,0),0)&gt;0,0,1)*IF(SelectedWizardSpellLevel=$C300,1,0)</f>
        <v>0</v>
      </c>
      <c r="CR300">
        <f>IF(CQ300=0,0,1+COUNTIF(CR$3:CR299,"&gt;0"))</f>
        <v>0</v>
      </c>
      <c r="CS300" t="str">
        <f t="shared" si="265"/>
        <v/>
      </c>
      <c r="CT300" t="str">
        <f t="shared" si="237"/>
        <v/>
      </c>
      <c r="CV300">
        <f>IF(IFERROR(MATCH($B300,Character_Creation!$C$341:$C$362,0),0)&gt;0,0,1)*IF(OR(C300="Cantrip",C300&lt;=BardMaxSpellLevel),1,0)*IF(IFERROR(MATCH($B300,Character_Creation!$C$367:$C$374,0),0)&gt;0,0,1)</f>
        <v>1</v>
      </c>
      <c r="CW300">
        <f>IF(CV300=0,0,1+COUNTIF(CW$3:CW299,"&gt;0"))</f>
        <v>22</v>
      </c>
      <c r="CX300" t="str">
        <f t="shared" si="266"/>
        <v/>
      </c>
      <c r="CY300" t="str">
        <f t="shared" si="238"/>
        <v/>
      </c>
      <c r="DA300">
        <f>IF(IF(OR(IFERROR(SEARCH("Cleric",$T300,1),0)&gt;0,IFERROR(SEARCH(DivineDomain&amp;",",$T300,1),0)&gt;0),1,0)*IF($C300=DA$2,1,0)=1,1+COUNTIF(DA$3:DA299,"&gt;0"),0)</f>
        <v>0</v>
      </c>
      <c r="DB300">
        <f>IF(IF(OR(IFERROR(SEARCH("Cleric",$T300,1),0)&gt;0,IFERROR(SEARCH(DivineDomain&amp;",",$T300,1),0)&gt;0),1,0)*IF($C300=DB$2,1,0)=1,1+COUNTIF(DB$3:DB299,"&gt;0"),0)</f>
        <v>0</v>
      </c>
      <c r="DC300">
        <f>IF(IF(OR(IFERROR(SEARCH("Cleric",$T300,1),0)&gt;0,IFERROR(SEARCH(DivineDomain&amp;",",$T300,1),0)&gt;0),1,0)*IF($C300=DC$2,1,0)=1,1+COUNTIF(DC$3:DC299,"&gt;0"),0)</f>
        <v>0</v>
      </c>
      <c r="DD300">
        <f>IF(IF(OR(IFERROR(SEARCH("Cleric",$T300,1),0)&gt;0,IFERROR(SEARCH(DivineDomain&amp;",",$T300,1),0)&gt;0),1,0)*IF($C300=DD$2,1,0)=1,1+COUNTIF(DD$3:DD299,"&gt;0"),0)</f>
        <v>0</v>
      </c>
      <c r="DE300">
        <f>IF(IF(OR(IFERROR(SEARCH("Cleric",$T300,1),0)&gt;0,IFERROR(SEARCH(DivineDomain&amp;",",$T300,1),0)&gt;0),1,0)*IF($C300=DE$2,1,0)=1,1+COUNTIF(DE$3:DE299,"&gt;0"),0)</f>
        <v>0</v>
      </c>
      <c r="DF300">
        <f>IF(IF(OR(IFERROR(SEARCH("Cleric",$T300,1),0)&gt;0,IFERROR(SEARCH(DivineDomain&amp;",",$T300,1),0)&gt;0),1,0)*IF($C300=DF$2,1,0)=1,1+COUNTIF(DF$3:DF299,"&gt;0"),0)</f>
        <v>0</v>
      </c>
      <c r="DG300">
        <f>IF(IF(OR(IFERROR(SEARCH("Cleric",$T300,1),0)&gt;0,IFERROR(SEARCH(DivineDomain&amp;",",$T300,1),0)&gt;0),1,0)*IF($C300=DG$2,1,0)=1,1+COUNTIF(DG$3:DG299,"&gt;0"),0)</f>
        <v>0</v>
      </c>
      <c r="DH300">
        <f>IF(IF(OR(IFERROR(SEARCH("Cleric",$T300,1),0)&gt;0,IFERROR(SEARCH(DivineDomain&amp;",",$T300,1),0)&gt;0),1,0)*IF($C300=DH$2,1,0)=1,1+COUNTIF(DH$3:DH299,"&gt;0"),0)</f>
        <v>0</v>
      </c>
      <c r="DI300">
        <f>IF(IF(OR(IFERROR(SEARCH("Cleric",$T300,1),0)&gt;0,IFERROR(SEARCH(DivineDomain&amp;",",$T300,1),0)&gt;0),1,0)*IF($C300=DI$2,1,0)=1,1+COUNTIF(DI$3:DI299,"&gt;0"),0)</f>
        <v>0</v>
      </c>
      <c r="DJ300">
        <f>IF(IF(OR(IFERROR(SEARCH("Druid",$T300,1),0)&gt;0,IFERROR(SEARCH(DruidLand1,$T300,1),0)&gt;0,IFERROR(SEARCH(DruidLand2,$T300,1),0)&gt;0,IFERROR(SEARCH(DruidLand3,$T300,1),0)&gt;0,IFERROR(SEARCH(DruidLand4,$T300,1),0)&gt;0),1,0)*IF($C300=1,1,0)*IF($C300=DJ$2,1,0)=0,0,1+COUNTIF(DJ$3:DJ299,"&gt;0"))</f>
        <v>0</v>
      </c>
      <c r="DK300">
        <f>IF(IF(OR(IFERROR(SEARCH("Druid",$T300,1),0)&gt;0,IFERROR(SEARCH(DruidLand1,$T300,1),0)&gt;0,IFERROR(SEARCH(DruidLand2,$T300,1),0)&gt;0,IFERROR(SEARCH(DruidLand3,$T300,1),0)&gt;0,IFERROR(SEARCH(DruidLand4,$T300,1),0)&gt;0),1,0)*IF($C300=1,1,0)*IF($C300=DK$2,1,0)=0,0,1+COUNTIF(DK$3:DK299,"&gt;0"))</f>
        <v>0</v>
      </c>
      <c r="DL300">
        <f>IF(IF(OR(IFERROR(SEARCH("Druid",$T300,1),0)&gt;0,IFERROR(SEARCH(DruidLand1,$T300,1),0)&gt;0,IFERROR(SEARCH(DruidLand2,$T300,1),0)&gt;0,IFERROR(SEARCH(DruidLand3,$T300,1),0)&gt;0,IFERROR(SEARCH(DruidLand4,$T300,1),0)&gt;0),1,0)*IF($C300=1,1,0)*IF($C300=DL$2,1,0)=0,0,1+COUNTIF(DL$3:DL299,"&gt;0"))</f>
        <v>0</v>
      </c>
      <c r="DM300">
        <f>IF(IF(OR(IFERROR(SEARCH("Druid",$T300,1),0)&gt;0,IFERROR(SEARCH(DruidLand1,$T300,1),0)&gt;0,IFERROR(SEARCH(DruidLand2,$T300,1),0)&gt;0,IFERROR(SEARCH(DruidLand3,$T300,1),0)&gt;0,IFERROR(SEARCH(DruidLand4,$T300,1),0)&gt;0),1,0)*IF($C300=1,1,0)*IF($C300=DM$2,1,0)=0,0,1+COUNTIF(DM$3:DM299,"&gt;0"))</f>
        <v>0</v>
      </c>
      <c r="DN300">
        <f>IF(IF(OR(IFERROR(SEARCH("Druid",$T300,1),0)&gt;0,IFERROR(SEARCH(DruidLand1,$T300,1),0)&gt;0,IFERROR(SEARCH(DruidLand2,$T300,1),0)&gt;0,IFERROR(SEARCH(DruidLand3,$T300,1),0)&gt;0,IFERROR(SEARCH(DruidLand4,$T300,1),0)&gt;0),1,0)*IF($C300=1,1,0)*IF($C300=DN$2,1,0)=0,0,1+COUNTIF(DN$3:DN299,"&gt;0"))</f>
        <v>0</v>
      </c>
      <c r="DO300">
        <f>IF(IF(OR(IFERROR(SEARCH("Druid",$T300,1),0)&gt;0,IFERROR(SEARCH(DruidLand1,$T300,1),0)&gt;0,IFERROR(SEARCH(DruidLand2,$T300,1),0)&gt;0,IFERROR(SEARCH(DruidLand3,$T300,1),0)&gt;0,IFERROR(SEARCH(DruidLand4,$T300,1),0)&gt;0),1,0)*IF($C300=1,1,0)*IF($C300=DO$2,1,0)=0,0,1+COUNTIF(DO$3:DO299,"&gt;0"))</f>
        <v>0</v>
      </c>
      <c r="DP300">
        <f>IF(IF(OR(IFERROR(SEARCH("Druid",$T300,1),0)&gt;0,IFERROR(SEARCH(DruidLand1,$T300,1),0)&gt;0,IFERROR(SEARCH(DruidLand2,$T300,1),0)&gt;0,IFERROR(SEARCH(DruidLand3,$T300,1),0)&gt;0,IFERROR(SEARCH(DruidLand4,$T300,1),0)&gt;0),1,0)*IF($C300=1,1,0)*IF($C300=DP$2,1,0)=0,0,1+COUNTIF(DP$3:DP299,"&gt;0"))</f>
        <v>0</v>
      </c>
      <c r="DQ300">
        <f>IF(IF(OR(IFERROR(SEARCH("Druid",$T300,1),0)&gt;0,IFERROR(SEARCH(DruidLand1,$T300,1),0)&gt;0,IFERROR(SEARCH(DruidLand2,$T300,1),0)&gt;0,IFERROR(SEARCH(DruidLand3,$T300,1),0)&gt;0,IFERROR(SEARCH(DruidLand4,$T300,1),0)&gt;0),1,0)*IF($C300=1,1,0)*IF($C300=DQ$2,1,0)=0,0,1+COUNTIF(DQ$3:DQ299,"&gt;0"))</f>
        <v>0</v>
      </c>
      <c r="DR300">
        <f>IF(IF(OR(IFERROR(SEARCH("Druid",$T300,1),0)&gt;0,IFERROR(SEARCH(DruidLand1,$T300,1),0)&gt;0,IFERROR(SEARCH(DruidLand2,$T300,1),0)&gt;0,IFERROR(SEARCH(DruidLand3,$T300,1),0)&gt;0,IFERROR(SEARCH(DruidLand4,$T300,1),0)&gt;0),1,0)*IF($C300=1,1,0)*IF($C300=DR$2,1,0)=0,0,1+COUNTIF(DR$3:DR299,"&gt;0"))</f>
        <v>0</v>
      </c>
      <c r="DS300">
        <f>IF(IF(OR(IFERROR(SEARCH("Paladin",$T300,1),0)&gt;0,IFERROR(SEARCH(PaladinOath,$T300,1),0)&gt;0),1,0)*IF($C300=DS$2,1,0)=1,1+COUNTIF(DS$3:DS299,"&gt;0"),0)</f>
        <v>0</v>
      </c>
      <c r="DT300">
        <f>IF(IF(OR(IFERROR(SEARCH("Paladin",$T300,1),0)&gt;0,IFERROR(SEARCH(PaladinOath,$T300,1),0)&gt;0),1,0)*IF($C300=DT$2,1,0)=1,1+COUNTIF(DT$3:DT299,"&gt;0"),0)</f>
        <v>0</v>
      </c>
      <c r="DU300">
        <f>IF(IF(OR(IFERROR(SEARCH("Paladin",$T300,1),0)&gt;0,IFERROR(SEARCH(PaladinOath,$T300,1),0)&gt;0),1,0)*IF($C300=DU$2,1,0)=1,1+COUNTIF(DU$3:DU299,"&gt;0"),0)</f>
        <v>0</v>
      </c>
      <c r="DV300">
        <f>IF(IF(OR(IFERROR(SEARCH("Paladin",$T300,1),0)&gt;0,IFERROR(SEARCH(PaladinOath,$T300,1),0)&gt;0),1,0)*IF($C300=DV$2,1,0)=1,1+COUNTIF(DV$3:DV299,"&gt;0"),0)</f>
        <v>0</v>
      </c>
      <c r="DW300">
        <f>IF(IF(OR(IFERROR(SEARCH("Paladin",$T300,1),0)&gt;0,IFERROR(SEARCH(PaladinOath,$T300,1),0)&gt;0),1,0)*IF($C300=DW$2,1,0)=1,1+COUNTIF(DW$3:DW299,"&gt;0"),0)</f>
        <v>0</v>
      </c>
      <c r="DY300">
        <f t="shared" si="225"/>
        <v>1</v>
      </c>
      <c r="DZ300">
        <f>IF(DY300=0,0,1+MAX(DZ$3:$DZ299))</f>
        <v>298</v>
      </c>
      <c r="EB300">
        <f t="shared" si="239"/>
        <v>0</v>
      </c>
      <c r="EC300">
        <f>IF(EB300=0,0,1+COUNTIF(EC$3:EC299,"&gt;0"))</f>
        <v>0</v>
      </c>
      <c r="ED300" t="str">
        <f t="shared" si="267"/>
        <v/>
      </c>
      <c r="EE300" t="str">
        <f t="shared" si="240"/>
        <v/>
      </c>
      <c r="EG300">
        <f t="shared" si="241"/>
        <v>0</v>
      </c>
      <c r="EH300">
        <f>IF(EG300=0,0,1+COUNTIF(EH$3:EH299,"&gt;0"))</f>
        <v>0</v>
      </c>
      <c r="EI300" t="str">
        <f t="shared" si="268"/>
        <v/>
      </c>
      <c r="EJ300" t="str">
        <f t="shared" si="242"/>
        <v/>
      </c>
      <c r="EL300">
        <f t="shared" si="243"/>
        <v>0</v>
      </c>
      <c r="EM300">
        <f>IF(EL300=0,0,1+COUNTIF(EM$3:EM299,"&gt;0"))</f>
        <v>0</v>
      </c>
      <c r="EN300" t="str">
        <f t="shared" si="269"/>
        <v/>
      </c>
      <c r="EO300" t="str">
        <f t="shared" si="244"/>
        <v/>
      </c>
      <c r="EQ300">
        <f t="shared" si="245"/>
        <v>1</v>
      </c>
      <c r="ER300">
        <f>IF(EQ300=0,0,1+COUNTIF(ER$3:ER299,"&gt;0"))</f>
        <v>8</v>
      </c>
      <c r="ES300" t="str">
        <f t="shared" si="270"/>
        <v/>
      </c>
      <c r="ET300" t="str">
        <f t="shared" si="246"/>
        <v/>
      </c>
      <c r="EV300">
        <f t="shared" si="247"/>
        <v>0</v>
      </c>
      <c r="EW300">
        <f>IF(EV300=0,0,1+COUNTIF(EW$3:EW299,"&gt;0"))</f>
        <v>0</v>
      </c>
      <c r="EX300" t="str">
        <f t="shared" si="271"/>
        <v/>
      </c>
      <c r="EY300" t="str">
        <f t="shared" si="248"/>
        <v/>
      </c>
      <c r="FA300">
        <f t="shared" si="249"/>
        <v>1</v>
      </c>
      <c r="FB300">
        <f>IF(FA300=0,0,1+COUNTIF(FB$3:FB299,"&gt;0"))</f>
        <v>15</v>
      </c>
      <c r="FC300" t="str">
        <f t="shared" si="272"/>
        <v/>
      </c>
      <c r="FD300" t="str">
        <f t="shared" si="250"/>
        <v/>
      </c>
      <c r="FF300">
        <f t="shared" si="251"/>
        <v>0</v>
      </c>
      <c r="FG300">
        <f>IF(FF300=0,0,1+COUNTIF(FG$3:FG299,"&gt;0"))</f>
        <v>0</v>
      </c>
      <c r="FH300" t="str">
        <f t="shared" si="273"/>
        <v/>
      </c>
      <c r="FI300" t="str">
        <f t="shared" si="252"/>
        <v/>
      </c>
      <c r="FK300">
        <f t="shared" si="253"/>
        <v>1</v>
      </c>
      <c r="FL300">
        <f>IF(FK300=0,0,1+COUNTIF(FL$3:FL299,"&gt;0"))</f>
        <v>15</v>
      </c>
      <c r="FM300" t="str">
        <f t="shared" si="274"/>
        <v/>
      </c>
      <c r="FN300" t="str">
        <f t="shared" si="254"/>
        <v/>
      </c>
      <c r="FP300">
        <f t="shared" si="255"/>
        <v>0</v>
      </c>
      <c r="FQ300">
        <f>IF(FP300=0,0,1+COUNTIF(FQ$3:FQ299,"&gt;0"))</f>
        <v>0</v>
      </c>
      <c r="FR300" t="str">
        <f t="shared" si="275"/>
        <v/>
      </c>
      <c r="FS300" t="str">
        <f t="shared" si="256"/>
        <v/>
      </c>
    </row>
    <row r="301" spans="1:175" x14ac:dyDescent="0.25">
      <c r="A301" s="347">
        <f t="shared" si="276"/>
        <v>299</v>
      </c>
      <c r="B301" s="348" t="s">
        <v>2691</v>
      </c>
      <c r="C301" s="348">
        <v>2</v>
      </c>
      <c r="D301" s="347">
        <v>2</v>
      </c>
      <c r="E301" s="627" t="s">
        <v>6952</v>
      </c>
      <c r="F301" s="346"/>
      <c r="G301" s="347" t="s">
        <v>5269</v>
      </c>
      <c r="H301" s="347" t="s">
        <v>5913</v>
      </c>
      <c r="I301" s="347" t="s">
        <v>5290</v>
      </c>
      <c r="J301" s="347" t="str">
        <f t="shared" si="226"/>
        <v/>
      </c>
      <c r="K301" s="347" t="s">
        <v>5297</v>
      </c>
      <c r="L301" s="611" t="str">
        <f t="shared" si="227"/>
        <v>V, S</v>
      </c>
      <c r="M301" s="347" t="s">
        <v>2373</v>
      </c>
      <c r="N301" s="347" t="s">
        <v>2387</v>
      </c>
      <c r="O301" s="347" t="s">
        <v>3034</v>
      </c>
      <c r="P301" s="346" t="str">
        <f>""</f>
        <v/>
      </c>
      <c r="Q301" s="347" t="s">
        <v>5274</v>
      </c>
      <c r="S301" s="346" t="s">
        <v>2692</v>
      </c>
      <c r="T301" s="346" t="str">
        <f t="shared" si="228"/>
        <v xml:space="preserve">Bard, Ranger, Cleric, Desert, </v>
      </c>
      <c r="U301" s="347" t="str">
        <f>$B301</f>
        <v>Silence</v>
      </c>
      <c r="W301" s="347" t="str">
        <f>$B301</f>
        <v>Silence</v>
      </c>
      <c r="Z301" s="347" t="str">
        <f>$B301</f>
        <v>Silence</v>
      </c>
      <c r="AE301" t="str">
        <f>IF(IFERROR(MATCH($B301,temp!A$4:A$13,0),0)&gt;0,T08_Spells!AE$2,"")</f>
        <v/>
      </c>
      <c r="AF301" t="str">
        <f>IF(IFERROR(MATCH($B301,temp!B$4:B$13,0),0)&gt;0,T08_Spells!AF$2,"")</f>
        <v/>
      </c>
      <c r="AG301" t="str">
        <f>IF(IFERROR(MATCH($B301,temp!C$4:C$13,0),0)&gt;0,T08_Spells!AG$2,"")</f>
        <v/>
      </c>
      <c r="AH301" t="str">
        <f>IF(IFERROR(MATCH($B301,temp!D$4:D$13,0),0)&gt;0,T08_Spells!AH$2,"")</f>
        <v/>
      </c>
      <c r="AI301" t="str">
        <f>IF(IFERROR(MATCH($B301,temp!E$4:E$13,0),0)&gt;0,T08_Spells!AI$2,"")</f>
        <v/>
      </c>
      <c r="AJ301" t="str">
        <f>IF(IFERROR(MATCH($B301,temp!F$4:F$13,0),0)&gt;0,T08_Spells!AJ$2,"")</f>
        <v/>
      </c>
      <c r="AK301" t="str">
        <f>IF(IFERROR(MATCH($B301,temp!G$4:G$13,0),0)&gt;0,T08_Spells!AK$2,"")</f>
        <v/>
      </c>
      <c r="AL301" t="str">
        <f>IF(IFERROR(MATCH($B301,temp!H$4:H$13,0),0)&gt;0,T08_Spells!AL$2,"")</f>
        <v/>
      </c>
      <c r="AM301" t="str">
        <f>IF(IFERROR(MATCH($B301,temp!I$4:I$13,0),0)&gt;0,T08_Spells!AM$2,"")</f>
        <v/>
      </c>
      <c r="AN301" t="str">
        <f>IF(IFERROR(MATCH($B301,temp!J$4:J$13,0),0)&gt;0,T08_Spells!AN$2,"")</f>
        <v>Desert</v>
      </c>
      <c r="AO301" t="str">
        <f>IF(IFERROR(MATCH($B301,temp!K$4:K$13,0),0)&gt;0,T08_Spells!AO$2,"")</f>
        <v/>
      </c>
      <c r="AP301" t="str">
        <f>IF(IFERROR(MATCH($B301,temp!L$4:L$13,0),0)&gt;0,T08_Spells!AP$2,"")</f>
        <v/>
      </c>
      <c r="AQ301" t="str">
        <f>IF(IFERROR(MATCH($B301,temp!M$4:M$13,0),0)&gt;0,T08_Spells!AQ$2,"")</f>
        <v/>
      </c>
      <c r="AR301" t="str">
        <f>IF(IFERROR(MATCH($B301,temp!N$4:N$13,0),0)&gt;0,T08_Spells!AR$2,"")</f>
        <v/>
      </c>
      <c r="AS301" t="str">
        <f>IF(IFERROR(MATCH($B301,temp!O$4:O$13,0),0)&gt;0,T08_Spells!AS$2,"")</f>
        <v/>
      </c>
      <c r="AT301" t="str">
        <f>IF(IFERROR(MATCH($B301,temp!P$4:P$13,0),0)&gt;0,T08_Spells!AT$2,"")</f>
        <v/>
      </c>
      <c r="AU301" t="str">
        <f>IF(IFERROR(MATCH($B301,temp!Q$4:Q$13,0),0)&gt;0,T08_Spells!AU$2,"")</f>
        <v/>
      </c>
      <c r="AV301" t="str">
        <f>IF(IFERROR(MATCH($B301,temp!R$4:R$13,0),0)&gt;0,T08_Spells!AV$2,"")</f>
        <v/>
      </c>
      <c r="AW301" t="str">
        <f>IF(IFERROR(MATCH($B301,temp!S$4:S$13,0),0)&gt;0,T08_Spells!AW$2,"")</f>
        <v/>
      </c>
      <c r="AX301" t="str">
        <f>IF(IFERROR(MATCH($B301,temp!T$4:T$13,0),0)&gt;0,T08_Spells!AX$2,"")</f>
        <v/>
      </c>
      <c r="AY301" t="str">
        <f>IF(IFERROR(MATCH($B301,temp!U$4:U$13,0),0)&gt;0,T08_Spells!AY$2,"")</f>
        <v/>
      </c>
      <c r="AZ301" t="str">
        <f>IF(IFERROR(MATCH($B301,temp!V$4:V$13,0),0)&gt;0,T08_Spells!AZ$2,"")</f>
        <v/>
      </c>
      <c r="BA301" t="str">
        <f>IF(IFERROR(MATCH($B301,temp!W$4:W$13,0),0)&gt;0,T08_Spells!BA$2,"")</f>
        <v/>
      </c>
      <c r="BC301">
        <f>IF(IFERROR(SEARCH("Ranger",$T301,1),0)&gt;0,1,0)*IF(RangerMaxSpellLevel&gt;=$C301,1,0)*IF(IFERROR(MATCH(B301,Character_Creation!$X$79:$X$382,0),0)&gt;0,0,1)</f>
        <v>0</v>
      </c>
      <c r="BD301">
        <f>IF(BC301=0,0,1+COUNTIF(BD$3:BD300,"&gt;0"))</f>
        <v>0</v>
      </c>
      <c r="BE301" t="str">
        <f t="shared" si="257"/>
        <v/>
      </c>
      <c r="BF301" t="str">
        <f t="shared" si="229"/>
        <v/>
      </c>
      <c r="BH301">
        <f>IF(IFERROR(SEARCH("Sorcerer",$T301,1),0)&gt;0,1,0)*IF(SorcererMaxSpellLevel&gt;=$C301,1,0)*IF(IFERROR(MATCH(B301,Character_Creation!$J$380:$J$394,0),0)&gt;0,0,1)</f>
        <v>0</v>
      </c>
      <c r="BI301">
        <f>IF(BH301=0,0,1+COUNTIF(BI$3:BI300,"&gt;0"))</f>
        <v>0</v>
      </c>
      <c r="BJ301" t="str">
        <f t="shared" si="258"/>
        <v/>
      </c>
      <c r="BK301" t="str">
        <f t="shared" si="230"/>
        <v/>
      </c>
      <c r="BM301">
        <f>IF(OR(IFERROR(SEARCH("Warlock",$T301,1),0)&gt;0,IFERROR(SEARCH(WarlockPatron,$T301,1),0)&gt;0),1,0)*IF(WarlockMaxSpellLevel&gt;=$C301,1,0)*IF(IFERROR(MATCH(B301,Character_Creation!$J$361:$J$375,0),0)&gt;0,0,1)</f>
        <v>0</v>
      </c>
      <c r="BN301">
        <f>IF(BM301=0,0,1+COUNTIF(BN$3:BN300,"&gt;0"))</f>
        <v>0</v>
      </c>
      <c r="BO301" t="str">
        <f t="shared" si="259"/>
        <v/>
      </c>
      <c r="BP301" t="str">
        <f t="shared" si="231"/>
        <v/>
      </c>
      <c r="BR301">
        <f>IF(IFERROR(SEARCH("Eldritch Knight",$T301,1),0)&gt;0,1,0)*IF(EldritchKnightMaxSpellLevel&gt;=$C301,1,0)*IF(IFERROR(MATCH($B301,Character_Creation!$J$350:$J$356,0),0)&gt;0,0,1)*IF(Character_Creation!$M$338&gt;0,1,0)</f>
        <v>0</v>
      </c>
      <c r="BS301">
        <f>IF(BR301=0,0,1+COUNTIF(BS$3:BS300,"&gt;0"))</f>
        <v>0</v>
      </c>
      <c r="BT301" t="str">
        <f t="shared" si="260"/>
        <v/>
      </c>
      <c r="BU301" t="str">
        <f t="shared" si="232"/>
        <v/>
      </c>
      <c r="BW301">
        <f>IF(IFERROR(SEARCH("Arcane Trickster",$T301,1),0)&gt;0,1,0)*IF(ArcaneTricksterMaxSpellLevel&gt;=$C301,1,0)*IF(IFERROR(MATCH($B301,Character_Creation!$J$350:$J$356,0),0)&gt;0,0,1)*IF(Character_Creation!$T$338&gt;0,1,0)</f>
        <v>0</v>
      </c>
      <c r="BX301">
        <f>IF(BW301=0,0,1+COUNTIF(BX$3:BX300,"&gt;0"))</f>
        <v>0</v>
      </c>
      <c r="BY301" t="str">
        <f t="shared" si="261"/>
        <v/>
      </c>
      <c r="BZ301" t="str">
        <f t="shared" si="233"/>
        <v/>
      </c>
      <c r="CB301">
        <f>IF(IFERROR(SEARCH("Wizard",$T301,1),0)&gt;0,1,0)*IF(C301&lt;=ArcaneTricksterMaxSpellLevel,1,0)*IF(IFERROR(MATCH($B301,Character_Creation!$J$350:$J$356,0),0)&gt;0,0,1)*IF(Character_Creation!$T$350&gt;0,1,0)</f>
        <v>0</v>
      </c>
      <c r="CC301">
        <f>IF(CB301=0,0,1+COUNTIF(CC$3:CC300,"&gt;0"))</f>
        <v>0</v>
      </c>
      <c r="CD301" t="str">
        <f t="shared" si="262"/>
        <v/>
      </c>
      <c r="CE301" t="str">
        <f t="shared" si="234"/>
        <v/>
      </c>
      <c r="CG301">
        <f>IF(IFERROR(SEARCH("Wizard",$T301,1),0)&gt;0,1,0)*IF($C301&lt;=EldritchKnightMaxSpellLevel,1,0)*IF(IFERROR(MATCH($B301,Character_Creation!$J$350:$J$356,0),0)&gt;0,0,1)*IF(Character_Creation!$M$350&gt;0,1,0)</f>
        <v>0</v>
      </c>
      <c r="CH301">
        <f>IF(CG301=0,0,1+COUNTIF(CH$3:CH300,"&gt;0"))</f>
        <v>0</v>
      </c>
      <c r="CI301" t="str">
        <f t="shared" si="263"/>
        <v/>
      </c>
      <c r="CJ301" t="str">
        <f t="shared" si="235"/>
        <v/>
      </c>
      <c r="CL301">
        <f>IF(IFERROR(SEARCH("Bard",$T301,1),0)&gt;0,1,0)*IF(BardMaxSpellLevel&gt;=$C301,1,0)*IF(IFERROR(MATCH(B301,Character_Creation!$C$341:$F$362,0),0)&gt;0,0,1)*IF(IFERROR(MATCH($B301,Character_Creation!$C$341:$C$362,0),0)&gt;0,0,1)</f>
        <v>0</v>
      </c>
      <c r="CM301">
        <f>IF(CL301=0,0,1+COUNTIF(CM$3:CM300,"&gt;0"))</f>
        <v>0</v>
      </c>
      <c r="CN301" t="str">
        <f t="shared" si="264"/>
        <v/>
      </c>
      <c r="CO301" t="str">
        <f t="shared" si="236"/>
        <v/>
      </c>
      <c r="CQ301">
        <f>IF(IFERROR(SEARCH("Wizard",$T301,1),0)&gt;0,1,0)*IF(WizardMaxSpellLevel&gt;=$C301,1,0)*IF(IFERROR(MATCH(B301,Character_Creation!$X$341:$X$400,0),0)&gt;0,0,1)*IF(SelectedWizardSpellLevel=$C301,1,0)</f>
        <v>0</v>
      </c>
      <c r="CR301">
        <f>IF(CQ301=0,0,1+COUNTIF(CR$3:CR300,"&gt;0"))</f>
        <v>0</v>
      </c>
      <c r="CS301" t="str">
        <f t="shared" si="265"/>
        <v/>
      </c>
      <c r="CT301" t="str">
        <f t="shared" si="237"/>
        <v/>
      </c>
      <c r="CV301">
        <f>IF(IFERROR(MATCH($B301,Character_Creation!$C$341:$C$362,0),0)&gt;0,0,1)*IF(OR(C301="Cantrip",C301&lt;=BardMaxSpellLevel),1,0)*IF(IFERROR(MATCH($B301,Character_Creation!$C$367:$C$374,0),0)&gt;0,0,1)</f>
        <v>0</v>
      </c>
      <c r="CW301">
        <f>IF(CV301=0,0,1+COUNTIF(CW$3:CW300,"&gt;0"))</f>
        <v>0</v>
      </c>
      <c r="CX301" t="str">
        <f t="shared" si="266"/>
        <v/>
      </c>
      <c r="CY301" t="str">
        <f t="shared" si="238"/>
        <v/>
      </c>
      <c r="DA301">
        <f>IF(IF(OR(IFERROR(SEARCH("Cleric",$T301,1),0)&gt;0,IFERROR(SEARCH(DivineDomain&amp;",",$T301,1),0)&gt;0),1,0)*IF($C301=DA$2,1,0)=1,1+COUNTIF(DA$3:DA300,"&gt;0"),0)</f>
        <v>0</v>
      </c>
      <c r="DB301">
        <f>IF(IF(OR(IFERROR(SEARCH("Cleric",$T301,1),0)&gt;0,IFERROR(SEARCH(DivineDomain&amp;",",$T301,1),0)&gt;0),1,0)*IF($C301=DB$2,1,0)=1,1+COUNTIF(DB$3:DB300,"&gt;0"),0)</f>
        <v>13</v>
      </c>
      <c r="DC301">
        <f>IF(IF(OR(IFERROR(SEARCH("Cleric",$T301,1),0)&gt;0,IFERROR(SEARCH(DivineDomain&amp;",",$T301,1),0)&gt;0),1,0)*IF($C301=DC$2,1,0)=1,1+COUNTIF(DC$3:DC300,"&gt;0"),0)</f>
        <v>0</v>
      </c>
      <c r="DD301">
        <f>IF(IF(OR(IFERROR(SEARCH("Cleric",$T301,1),0)&gt;0,IFERROR(SEARCH(DivineDomain&amp;",",$T301,1),0)&gt;0),1,0)*IF($C301=DD$2,1,0)=1,1+COUNTIF(DD$3:DD300,"&gt;0"),0)</f>
        <v>0</v>
      </c>
      <c r="DE301">
        <f>IF(IF(OR(IFERROR(SEARCH("Cleric",$T301,1),0)&gt;0,IFERROR(SEARCH(DivineDomain&amp;",",$T301,1),0)&gt;0),1,0)*IF($C301=DE$2,1,0)=1,1+COUNTIF(DE$3:DE300,"&gt;0"),0)</f>
        <v>0</v>
      </c>
      <c r="DF301">
        <f>IF(IF(OR(IFERROR(SEARCH("Cleric",$T301,1),0)&gt;0,IFERROR(SEARCH(DivineDomain&amp;",",$T301,1),0)&gt;0),1,0)*IF($C301=DF$2,1,0)=1,1+COUNTIF(DF$3:DF300,"&gt;0"),0)</f>
        <v>0</v>
      </c>
      <c r="DG301">
        <f>IF(IF(OR(IFERROR(SEARCH("Cleric",$T301,1),0)&gt;0,IFERROR(SEARCH(DivineDomain&amp;",",$T301,1),0)&gt;0),1,0)*IF($C301=DG$2,1,0)=1,1+COUNTIF(DG$3:DG300,"&gt;0"),0)</f>
        <v>0</v>
      </c>
      <c r="DH301">
        <f>IF(IF(OR(IFERROR(SEARCH("Cleric",$T301,1),0)&gt;0,IFERROR(SEARCH(DivineDomain&amp;",",$T301,1),0)&gt;0),1,0)*IF($C301=DH$2,1,0)=1,1+COUNTIF(DH$3:DH300,"&gt;0"),0)</f>
        <v>0</v>
      </c>
      <c r="DI301">
        <f>IF(IF(OR(IFERROR(SEARCH("Cleric",$T301,1),0)&gt;0,IFERROR(SEARCH(DivineDomain&amp;",",$T301,1),0)&gt;0),1,0)*IF($C301=DI$2,1,0)=1,1+COUNTIF(DI$3:DI300,"&gt;0"),0)</f>
        <v>0</v>
      </c>
      <c r="DJ301">
        <f>IF(IF(OR(IFERROR(SEARCH("Druid",$T301,1),0)&gt;0,IFERROR(SEARCH(DruidLand1,$T301,1),0)&gt;0,IFERROR(SEARCH(DruidLand2,$T301,1),0)&gt;0,IFERROR(SEARCH(DruidLand3,$T301,1),0)&gt;0,IFERROR(SEARCH(DruidLand4,$T301,1),0)&gt;0),1,0)*IF($C301=1,1,0)*IF($C301=DJ$2,1,0)=0,0,1+COUNTIF(DJ$3:DJ300,"&gt;0"))</f>
        <v>0</v>
      </c>
      <c r="DK301">
        <f>IF(IF(OR(IFERROR(SEARCH("Druid",$T301,1),0)&gt;0,IFERROR(SEARCH(DruidLand1,$T301,1),0)&gt;0,IFERROR(SEARCH(DruidLand2,$T301,1),0)&gt;0,IFERROR(SEARCH(DruidLand3,$T301,1),0)&gt;0,IFERROR(SEARCH(DruidLand4,$T301,1),0)&gt;0),1,0)*IF($C301=1,1,0)*IF($C301=DK$2,1,0)=0,0,1+COUNTIF(DK$3:DK300,"&gt;0"))</f>
        <v>0</v>
      </c>
      <c r="DL301">
        <f>IF(IF(OR(IFERROR(SEARCH("Druid",$T301,1),0)&gt;0,IFERROR(SEARCH(DruidLand1,$T301,1),0)&gt;0,IFERROR(SEARCH(DruidLand2,$T301,1),0)&gt;0,IFERROR(SEARCH(DruidLand3,$T301,1),0)&gt;0,IFERROR(SEARCH(DruidLand4,$T301,1),0)&gt;0),1,0)*IF($C301=1,1,0)*IF($C301=DL$2,1,0)=0,0,1+COUNTIF(DL$3:DL300,"&gt;0"))</f>
        <v>0</v>
      </c>
      <c r="DM301">
        <f>IF(IF(OR(IFERROR(SEARCH("Druid",$T301,1),0)&gt;0,IFERROR(SEARCH(DruidLand1,$T301,1),0)&gt;0,IFERROR(SEARCH(DruidLand2,$T301,1),0)&gt;0,IFERROR(SEARCH(DruidLand3,$T301,1),0)&gt;0,IFERROR(SEARCH(DruidLand4,$T301,1),0)&gt;0),1,0)*IF($C301=1,1,0)*IF($C301=DM$2,1,0)=0,0,1+COUNTIF(DM$3:DM300,"&gt;0"))</f>
        <v>0</v>
      </c>
      <c r="DN301">
        <f>IF(IF(OR(IFERROR(SEARCH("Druid",$T301,1),0)&gt;0,IFERROR(SEARCH(DruidLand1,$T301,1),0)&gt;0,IFERROR(SEARCH(DruidLand2,$T301,1),0)&gt;0,IFERROR(SEARCH(DruidLand3,$T301,1),0)&gt;0,IFERROR(SEARCH(DruidLand4,$T301,1),0)&gt;0),1,0)*IF($C301=1,1,0)*IF($C301=DN$2,1,0)=0,0,1+COUNTIF(DN$3:DN300,"&gt;0"))</f>
        <v>0</v>
      </c>
      <c r="DO301">
        <f>IF(IF(OR(IFERROR(SEARCH("Druid",$T301,1),0)&gt;0,IFERROR(SEARCH(DruidLand1,$T301,1),0)&gt;0,IFERROR(SEARCH(DruidLand2,$T301,1),0)&gt;0,IFERROR(SEARCH(DruidLand3,$T301,1),0)&gt;0,IFERROR(SEARCH(DruidLand4,$T301,1),0)&gt;0),1,0)*IF($C301=1,1,0)*IF($C301=DO$2,1,0)=0,0,1+COUNTIF(DO$3:DO300,"&gt;0"))</f>
        <v>0</v>
      </c>
      <c r="DP301">
        <f>IF(IF(OR(IFERROR(SEARCH("Druid",$T301,1),0)&gt;0,IFERROR(SEARCH(DruidLand1,$T301,1),0)&gt;0,IFERROR(SEARCH(DruidLand2,$T301,1),0)&gt;0,IFERROR(SEARCH(DruidLand3,$T301,1),0)&gt;0,IFERROR(SEARCH(DruidLand4,$T301,1),0)&gt;0),1,0)*IF($C301=1,1,0)*IF($C301=DP$2,1,0)=0,0,1+COUNTIF(DP$3:DP300,"&gt;0"))</f>
        <v>0</v>
      </c>
      <c r="DQ301">
        <f>IF(IF(OR(IFERROR(SEARCH("Druid",$T301,1),0)&gt;0,IFERROR(SEARCH(DruidLand1,$T301,1),0)&gt;0,IFERROR(SEARCH(DruidLand2,$T301,1),0)&gt;0,IFERROR(SEARCH(DruidLand3,$T301,1),0)&gt;0,IFERROR(SEARCH(DruidLand4,$T301,1),0)&gt;0),1,0)*IF($C301=1,1,0)*IF($C301=DQ$2,1,0)=0,0,1+COUNTIF(DQ$3:DQ300,"&gt;0"))</f>
        <v>0</v>
      </c>
      <c r="DR301">
        <f>IF(IF(OR(IFERROR(SEARCH("Druid",$T301,1),0)&gt;0,IFERROR(SEARCH(DruidLand1,$T301,1),0)&gt;0,IFERROR(SEARCH(DruidLand2,$T301,1),0)&gt;0,IFERROR(SEARCH(DruidLand3,$T301,1),0)&gt;0,IFERROR(SEARCH(DruidLand4,$T301,1),0)&gt;0),1,0)*IF($C301=1,1,0)*IF($C301=DR$2,1,0)=0,0,1+COUNTIF(DR$3:DR300,"&gt;0"))</f>
        <v>0</v>
      </c>
      <c r="DS301">
        <f>IF(IF(OR(IFERROR(SEARCH("Paladin",$T301,1),0)&gt;0,IFERROR(SEARCH(PaladinOath,$T301,1),0)&gt;0),1,0)*IF($C301=DS$2,1,0)=1,1+COUNTIF(DS$3:DS300,"&gt;0"),0)</f>
        <v>0</v>
      </c>
      <c r="DT301">
        <f>IF(IF(OR(IFERROR(SEARCH("Paladin",$T301,1),0)&gt;0,IFERROR(SEARCH(PaladinOath,$T301,1),0)&gt;0),1,0)*IF($C301=DT$2,1,0)=1,1+COUNTIF(DT$3:DT300,"&gt;0"),0)</f>
        <v>0</v>
      </c>
      <c r="DU301">
        <f>IF(IF(OR(IFERROR(SEARCH("Paladin",$T301,1),0)&gt;0,IFERROR(SEARCH(PaladinOath,$T301,1),0)&gt;0),1,0)*IF($C301=DU$2,1,0)=1,1+COUNTIF(DU$3:DU300,"&gt;0"),0)</f>
        <v>0</v>
      </c>
      <c r="DV301">
        <f>IF(IF(OR(IFERROR(SEARCH("Paladin",$T301,1),0)&gt;0,IFERROR(SEARCH(PaladinOath,$T301,1),0)&gt;0),1,0)*IF($C301=DV$2,1,0)=1,1+COUNTIF(DV$3:DV300,"&gt;0"),0)</f>
        <v>0</v>
      </c>
      <c r="DW301">
        <f>IF(IF(OR(IFERROR(SEARCH("Paladin",$T301,1),0)&gt;0,IFERROR(SEARCH(PaladinOath,$T301,1),0)&gt;0),1,0)*IF($C301=DW$2,1,0)=1,1+COUNTIF(DW$3:DW300,"&gt;0"),0)</f>
        <v>0</v>
      </c>
      <c r="DY301">
        <f t="shared" si="225"/>
        <v>1</v>
      </c>
      <c r="DZ301">
        <f>IF(DY301=0,0,1+MAX(DZ$3:$DZ300))</f>
        <v>299</v>
      </c>
      <c r="EB301">
        <f t="shared" si="239"/>
        <v>0</v>
      </c>
      <c r="EC301">
        <f>IF(EB301=0,0,1+COUNTIF(EC$3:EC300,"&gt;0"))</f>
        <v>0</v>
      </c>
      <c r="ED301" t="str">
        <f t="shared" si="267"/>
        <v/>
      </c>
      <c r="EE301" t="str">
        <f t="shared" si="240"/>
        <v/>
      </c>
      <c r="EG301">
        <f t="shared" si="241"/>
        <v>0</v>
      </c>
      <c r="EH301">
        <f>IF(EG301=0,0,1+COUNTIF(EH$3:EH300,"&gt;0"))</f>
        <v>0</v>
      </c>
      <c r="EI301" t="str">
        <f t="shared" si="268"/>
        <v/>
      </c>
      <c r="EJ301" t="str">
        <f t="shared" si="242"/>
        <v/>
      </c>
      <c r="EL301">
        <f t="shared" si="243"/>
        <v>0</v>
      </c>
      <c r="EM301">
        <f>IF(EL301=0,0,1+COUNTIF(EM$3:EM300,"&gt;0"))</f>
        <v>0</v>
      </c>
      <c r="EN301" t="str">
        <f t="shared" si="269"/>
        <v/>
      </c>
      <c r="EO301" t="str">
        <f t="shared" si="244"/>
        <v/>
      </c>
      <c r="EQ301">
        <f t="shared" si="245"/>
        <v>0</v>
      </c>
      <c r="ER301">
        <f>IF(EQ301=0,0,1+COUNTIF(ER$3:ER300,"&gt;0"))</f>
        <v>0</v>
      </c>
      <c r="ES301" t="str">
        <f t="shared" si="270"/>
        <v/>
      </c>
      <c r="ET301" t="str">
        <f t="shared" si="246"/>
        <v/>
      </c>
      <c r="EV301">
        <f t="shared" si="247"/>
        <v>0</v>
      </c>
      <c r="EW301">
        <f>IF(EV301=0,0,1+COUNTIF(EW$3:EW300,"&gt;0"))</f>
        <v>0</v>
      </c>
      <c r="EX301" t="str">
        <f t="shared" si="271"/>
        <v/>
      </c>
      <c r="EY301" t="str">
        <f t="shared" si="248"/>
        <v/>
      </c>
      <c r="FA301">
        <f t="shared" si="249"/>
        <v>0</v>
      </c>
      <c r="FB301">
        <f>IF(FA301=0,0,1+COUNTIF(FB$3:FB300,"&gt;0"))</f>
        <v>0</v>
      </c>
      <c r="FC301" t="str">
        <f t="shared" si="272"/>
        <v/>
      </c>
      <c r="FD301" t="str">
        <f t="shared" si="250"/>
        <v/>
      </c>
      <c r="FF301">
        <f t="shared" si="251"/>
        <v>0</v>
      </c>
      <c r="FG301">
        <f>IF(FF301=0,0,1+COUNTIF(FG$3:FG300,"&gt;0"))</f>
        <v>0</v>
      </c>
      <c r="FH301" t="str">
        <f t="shared" si="273"/>
        <v/>
      </c>
      <c r="FI301" t="str">
        <f t="shared" si="252"/>
        <v/>
      </c>
      <c r="FK301">
        <f t="shared" si="253"/>
        <v>0</v>
      </c>
      <c r="FL301">
        <f>IF(FK301=0,0,1+COUNTIF(FL$3:FL300,"&gt;0"))</f>
        <v>0</v>
      </c>
      <c r="FM301" t="str">
        <f t="shared" si="274"/>
        <v/>
      </c>
      <c r="FN301" t="str">
        <f t="shared" si="254"/>
        <v/>
      </c>
      <c r="FP301">
        <f t="shared" si="255"/>
        <v>0</v>
      </c>
      <c r="FQ301">
        <f>IF(FP301=0,0,1+COUNTIF(FQ$3:FQ300,"&gt;0"))</f>
        <v>0</v>
      </c>
      <c r="FR301" t="str">
        <f t="shared" si="275"/>
        <v/>
      </c>
      <c r="FS301" t="str">
        <f t="shared" si="256"/>
        <v/>
      </c>
    </row>
    <row r="302" spans="1:175" x14ac:dyDescent="0.25">
      <c r="A302" s="347">
        <f t="shared" si="276"/>
        <v>300</v>
      </c>
      <c r="B302" s="348" t="s">
        <v>2693</v>
      </c>
      <c r="C302" s="348">
        <v>1</v>
      </c>
      <c r="D302" s="347">
        <v>1</v>
      </c>
      <c r="E302" s="627" t="s">
        <v>6952</v>
      </c>
      <c r="F302" s="346"/>
      <c r="G302" s="347" t="str">
        <f>""</f>
        <v/>
      </c>
      <c r="H302" s="347" t="s">
        <v>5912</v>
      </c>
      <c r="I302" s="347" t="s">
        <v>424</v>
      </c>
      <c r="J302" s="347" t="str">
        <f t="shared" si="226"/>
        <v/>
      </c>
      <c r="K302" s="347" t="s">
        <v>5297</v>
      </c>
      <c r="L302" s="611" t="str">
        <f t="shared" si="227"/>
        <v>V, S, M, a bit of fleece</v>
      </c>
      <c r="M302" s="347" t="s">
        <v>2373</v>
      </c>
      <c r="N302" s="347" t="s">
        <v>2387</v>
      </c>
      <c r="O302" s="347" t="s">
        <v>1244</v>
      </c>
      <c r="P302" s="346" t="s">
        <v>5426</v>
      </c>
      <c r="Q302" s="347" t="s">
        <v>5274</v>
      </c>
      <c r="S302" s="346" t="s">
        <v>5822</v>
      </c>
      <c r="T302" s="346" t="str">
        <f t="shared" si="228"/>
        <v xml:space="preserve">Bard, Sorcerer, Arcane Trickster, Wizard, </v>
      </c>
      <c r="U302" s="347" t="str">
        <f>$B302</f>
        <v>Silent Image</v>
      </c>
      <c r="X302" s="347" t="str">
        <f>$B302</f>
        <v>Silent Image</v>
      </c>
      <c r="AC302" s="539" t="str">
        <f>B302</f>
        <v>Silent Image</v>
      </c>
      <c r="AD302" s="347" t="str">
        <f>$B302</f>
        <v>Silent Image</v>
      </c>
      <c r="AE302" t="str">
        <f>IF(IFERROR(MATCH($B302,temp!A$4:A$13,0),0)&gt;0,T08_Spells!AE$2,"")</f>
        <v/>
      </c>
      <c r="AF302" t="str">
        <f>IF(IFERROR(MATCH($B302,temp!B$4:B$13,0),0)&gt;0,T08_Spells!AF$2,"")</f>
        <v/>
      </c>
      <c r="AG302" t="str">
        <f>IF(IFERROR(MATCH($B302,temp!C$4:C$13,0),0)&gt;0,T08_Spells!AG$2,"")</f>
        <v/>
      </c>
      <c r="AH302" t="str">
        <f>IF(IFERROR(MATCH($B302,temp!D$4:D$13,0),0)&gt;0,T08_Spells!AH$2,"")</f>
        <v/>
      </c>
      <c r="AI302" t="str">
        <f>IF(IFERROR(MATCH($B302,temp!E$4:E$13,0),0)&gt;0,T08_Spells!AI$2,"")</f>
        <v/>
      </c>
      <c r="AJ302" t="str">
        <f>IF(IFERROR(MATCH($B302,temp!F$4:F$13,0),0)&gt;0,T08_Spells!AJ$2,"")</f>
        <v/>
      </c>
      <c r="AK302" t="str">
        <f>IF(IFERROR(MATCH($B302,temp!G$4:G$13,0),0)&gt;0,T08_Spells!AK$2,"")</f>
        <v/>
      </c>
      <c r="AL302" t="str">
        <f>IF(IFERROR(MATCH($B302,temp!H$4:H$13,0),0)&gt;0,T08_Spells!AL$2,"")</f>
        <v/>
      </c>
      <c r="AM302" t="str">
        <f>IF(IFERROR(MATCH($B302,temp!I$4:I$13,0),0)&gt;0,T08_Spells!AM$2,"")</f>
        <v/>
      </c>
      <c r="AN302" t="str">
        <f>IF(IFERROR(MATCH($B302,temp!J$4:J$13,0),0)&gt;0,T08_Spells!AN$2,"")</f>
        <v/>
      </c>
      <c r="AO302" t="str">
        <f>IF(IFERROR(MATCH($B302,temp!K$4:K$13,0),0)&gt;0,T08_Spells!AO$2,"")</f>
        <v/>
      </c>
      <c r="AP302" t="str">
        <f>IF(IFERROR(MATCH($B302,temp!L$4:L$13,0),0)&gt;0,T08_Spells!AP$2,"")</f>
        <v/>
      </c>
      <c r="AQ302" t="str">
        <f>IF(IFERROR(MATCH($B302,temp!M$4:M$13,0),0)&gt;0,T08_Spells!AQ$2,"")</f>
        <v/>
      </c>
      <c r="AR302" t="str">
        <f>IF(IFERROR(MATCH($B302,temp!N$4:N$13,0),0)&gt;0,T08_Spells!AR$2,"")</f>
        <v/>
      </c>
      <c r="AS302" t="str">
        <f>IF(IFERROR(MATCH($B302,temp!O$4:O$13,0),0)&gt;0,T08_Spells!AS$2,"")</f>
        <v/>
      </c>
      <c r="AT302" t="str">
        <f>IF(IFERROR(MATCH($B302,temp!P$4:P$13,0),0)&gt;0,T08_Spells!AT$2,"")</f>
        <v/>
      </c>
      <c r="AU302" t="str">
        <f>IF(IFERROR(MATCH($B302,temp!Q$4:Q$13,0),0)&gt;0,T08_Spells!AU$2,"")</f>
        <v/>
      </c>
      <c r="AV302" t="str">
        <f>IF(IFERROR(MATCH($B302,temp!R$4:R$13,0),0)&gt;0,T08_Spells!AV$2,"")</f>
        <v/>
      </c>
      <c r="AW302" t="str">
        <f>IF(IFERROR(MATCH($B302,temp!S$4:S$13,0),0)&gt;0,T08_Spells!AW$2,"")</f>
        <v/>
      </c>
      <c r="AX302" t="str">
        <f>IF(IFERROR(MATCH($B302,temp!T$4:T$13,0),0)&gt;0,T08_Spells!AX$2,"")</f>
        <v/>
      </c>
      <c r="AY302" t="str">
        <f>IF(IFERROR(MATCH($B302,temp!U$4:U$13,0),0)&gt;0,T08_Spells!AY$2,"")</f>
        <v/>
      </c>
      <c r="AZ302" t="str">
        <f>IF(IFERROR(MATCH($B302,temp!V$4:V$13,0),0)&gt;0,T08_Spells!AZ$2,"")</f>
        <v/>
      </c>
      <c r="BA302" t="str">
        <f>IF(IFERROR(MATCH($B302,temp!W$4:W$13,0),0)&gt;0,T08_Spells!BA$2,"")</f>
        <v/>
      </c>
      <c r="BC302">
        <f>IF(IFERROR(SEARCH("Ranger",$T302,1),0)&gt;0,1,0)*IF(RangerMaxSpellLevel&gt;=$C302,1,0)*IF(IFERROR(MATCH(B302,Character_Creation!$X$79:$X$382,0),0)&gt;0,0,1)</f>
        <v>0</v>
      </c>
      <c r="BD302">
        <f>IF(BC302=0,0,1+COUNTIF(BD$3:BD301,"&gt;0"))</f>
        <v>0</v>
      </c>
      <c r="BE302" t="str">
        <f t="shared" si="257"/>
        <v/>
      </c>
      <c r="BF302" t="str">
        <f t="shared" si="229"/>
        <v/>
      </c>
      <c r="BH302">
        <f>IF(IFERROR(SEARCH("Sorcerer",$T302,1),0)&gt;0,1,0)*IF(SorcererMaxSpellLevel&gt;=$C302,1,0)*IF(IFERROR(MATCH(B302,Character_Creation!$J$380:$J$394,0),0)&gt;0,0,1)</f>
        <v>0</v>
      </c>
      <c r="BI302">
        <f>IF(BH302=0,0,1+COUNTIF(BI$3:BI301,"&gt;0"))</f>
        <v>0</v>
      </c>
      <c r="BJ302" t="str">
        <f t="shared" si="258"/>
        <v/>
      </c>
      <c r="BK302" t="str">
        <f t="shared" si="230"/>
        <v/>
      </c>
      <c r="BM302">
        <f>IF(OR(IFERROR(SEARCH("Warlock",$T302,1),0)&gt;0,IFERROR(SEARCH(WarlockPatron,$T302,1),0)&gt;0),1,0)*IF(WarlockMaxSpellLevel&gt;=$C302,1,0)*IF(IFERROR(MATCH(B302,Character_Creation!$J$361:$J$375,0),0)&gt;0,0,1)</f>
        <v>0</v>
      </c>
      <c r="BN302">
        <f>IF(BM302=0,0,1+COUNTIF(BN$3:BN301,"&gt;0"))</f>
        <v>0</v>
      </c>
      <c r="BO302" t="str">
        <f t="shared" si="259"/>
        <v/>
      </c>
      <c r="BP302" t="str">
        <f t="shared" si="231"/>
        <v/>
      </c>
      <c r="BR302">
        <f>IF(IFERROR(SEARCH("Eldritch Knight",$T302,1),0)&gt;0,1,0)*IF(EldritchKnightMaxSpellLevel&gt;=$C302,1,0)*IF(IFERROR(MATCH($B302,Character_Creation!$J$350:$J$356,0),0)&gt;0,0,1)*IF(Character_Creation!$M$338&gt;0,1,0)</f>
        <v>0</v>
      </c>
      <c r="BS302">
        <f>IF(BR302=0,0,1+COUNTIF(BS$3:BS301,"&gt;0"))</f>
        <v>0</v>
      </c>
      <c r="BT302" t="str">
        <f t="shared" si="260"/>
        <v/>
      </c>
      <c r="BU302" t="str">
        <f t="shared" si="232"/>
        <v/>
      </c>
      <c r="BW302">
        <f>IF(IFERROR(SEARCH("Arcane Trickster",$T302,1),0)&gt;0,1,0)*IF(ArcaneTricksterMaxSpellLevel&gt;=$C302,1,0)*IF(IFERROR(MATCH($B302,Character_Creation!$J$350:$J$356,0),0)&gt;0,0,1)*IF(Character_Creation!$T$338&gt;0,1,0)</f>
        <v>0</v>
      </c>
      <c r="BX302">
        <f>IF(BW302=0,0,1+COUNTIF(BX$3:BX301,"&gt;0"))</f>
        <v>0</v>
      </c>
      <c r="BY302" t="str">
        <f t="shared" si="261"/>
        <v/>
      </c>
      <c r="BZ302" t="str">
        <f t="shared" si="233"/>
        <v/>
      </c>
      <c r="CB302">
        <f>IF(IFERROR(SEARCH("Wizard",$T302,1),0)&gt;0,1,0)*IF(C302&lt;=ArcaneTricksterMaxSpellLevel,1,0)*IF(IFERROR(MATCH($B302,Character_Creation!$J$350:$J$356,0),0)&gt;0,0,1)*IF(Character_Creation!$T$350&gt;0,1,0)</f>
        <v>0</v>
      </c>
      <c r="CC302">
        <f>IF(CB302=0,0,1+COUNTIF(CC$3:CC301,"&gt;0"))</f>
        <v>0</v>
      </c>
      <c r="CD302" t="str">
        <f t="shared" si="262"/>
        <v/>
      </c>
      <c r="CE302" t="str">
        <f t="shared" si="234"/>
        <v/>
      </c>
      <c r="CG302">
        <f>IF(IFERROR(SEARCH("Wizard",$T302,1),0)&gt;0,1,0)*IF($C302&lt;=EldritchKnightMaxSpellLevel,1,0)*IF(IFERROR(MATCH($B302,Character_Creation!$J$350:$J$356,0),0)&gt;0,0,1)*IF(Character_Creation!$M$350&gt;0,1,0)</f>
        <v>1</v>
      </c>
      <c r="CH302">
        <f>IF(CG302=0,0,1+COUNTIF(CH$3:CH301,"&gt;0"))</f>
        <v>54</v>
      </c>
      <c r="CI302" t="str">
        <f t="shared" si="263"/>
        <v/>
      </c>
      <c r="CJ302" t="str">
        <f t="shared" si="235"/>
        <v/>
      </c>
      <c r="CL302">
        <f>IF(IFERROR(SEARCH("Bard",$T302,1),0)&gt;0,1,0)*IF(BardMaxSpellLevel&gt;=$C302,1,0)*IF(IFERROR(MATCH(B302,Character_Creation!$C$341:$F$362,0),0)&gt;0,0,1)*IF(IFERROR(MATCH($B302,Character_Creation!$C$341:$C$362,0),0)&gt;0,0,1)</f>
        <v>0</v>
      </c>
      <c r="CM302">
        <f>IF(CL302=0,0,1+COUNTIF(CM$3:CM301,"&gt;0"))</f>
        <v>0</v>
      </c>
      <c r="CN302" t="str">
        <f t="shared" si="264"/>
        <v/>
      </c>
      <c r="CO302" t="str">
        <f t="shared" si="236"/>
        <v/>
      </c>
      <c r="CQ302">
        <f>IF(IFERROR(SEARCH("Wizard",$T302,1),0)&gt;0,1,0)*IF(WizardMaxSpellLevel&gt;=$C302,1,0)*IF(IFERROR(MATCH(B302,Character_Creation!$X$341:$X$400,0),0)&gt;0,0,1)*IF(SelectedWizardSpellLevel=$C302,1,0)</f>
        <v>0</v>
      </c>
      <c r="CR302">
        <f>IF(CQ302=0,0,1+COUNTIF(CR$3:CR301,"&gt;0"))</f>
        <v>0</v>
      </c>
      <c r="CS302" t="str">
        <f t="shared" si="265"/>
        <v/>
      </c>
      <c r="CT302" t="str">
        <f t="shared" si="237"/>
        <v/>
      </c>
      <c r="CV302">
        <f>IF(IFERROR(MATCH($B302,Character_Creation!$C$341:$C$362,0),0)&gt;0,0,1)*IF(OR(C302="Cantrip",C302&lt;=BardMaxSpellLevel),1,0)*IF(IFERROR(MATCH($B302,Character_Creation!$C$367:$C$374,0),0)&gt;0,0,1)</f>
        <v>0</v>
      </c>
      <c r="CW302">
        <f>IF(CV302=0,0,1+COUNTIF(CW$3:CW301,"&gt;0"))</f>
        <v>0</v>
      </c>
      <c r="CX302" t="str">
        <f t="shared" si="266"/>
        <v/>
      </c>
      <c r="CY302" t="str">
        <f t="shared" si="238"/>
        <v/>
      </c>
      <c r="DA302">
        <f>IF(IF(OR(IFERROR(SEARCH("Cleric",$T302,1),0)&gt;0,IFERROR(SEARCH(DivineDomain&amp;",",$T302,1),0)&gt;0),1,0)*IF($C302=DA$2,1,0)=1,1+COUNTIF(DA$3:DA301,"&gt;0"),0)</f>
        <v>0</v>
      </c>
      <c r="DB302">
        <f>IF(IF(OR(IFERROR(SEARCH("Cleric",$T302,1),0)&gt;0,IFERROR(SEARCH(DivineDomain&amp;",",$T302,1),0)&gt;0),1,0)*IF($C302=DB$2,1,0)=1,1+COUNTIF(DB$3:DB301,"&gt;0"),0)</f>
        <v>0</v>
      </c>
      <c r="DC302">
        <f>IF(IF(OR(IFERROR(SEARCH("Cleric",$T302,1),0)&gt;0,IFERROR(SEARCH(DivineDomain&amp;",",$T302,1),0)&gt;0),1,0)*IF($C302=DC$2,1,0)=1,1+COUNTIF(DC$3:DC301,"&gt;0"),0)</f>
        <v>0</v>
      </c>
      <c r="DD302">
        <f>IF(IF(OR(IFERROR(SEARCH("Cleric",$T302,1),0)&gt;0,IFERROR(SEARCH(DivineDomain&amp;",",$T302,1),0)&gt;0),1,0)*IF($C302=DD$2,1,0)=1,1+COUNTIF(DD$3:DD301,"&gt;0"),0)</f>
        <v>0</v>
      </c>
      <c r="DE302">
        <f>IF(IF(OR(IFERROR(SEARCH("Cleric",$T302,1),0)&gt;0,IFERROR(SEARCH(DivineDomain&amp;",",$T302,1),0)&gt;0),1,0)*IF($C302=DE$2,1,0)=1,1+COUNTIF(DE$3:DE301,"&gt;0"),0)</f>
        <v>0</v>
      </c>
      <c r="DF302">
        <f>IF(IF(OR(IFERROR(SEARCH("Cleric",$T302,1),0)&gt;0,IFERROR(SEARCH(DivineDomain&amp;",",$T302,1),0)&gt;0),1,0)*IF($C302=DF$2,1,0)=1,1+COUNTIF(DF$3:DF301,"&gt;0"),0)</f>
        <v>0</v>
      </c>
      <c r="DG302">
        <f>IF(IF(OR(IFERROR(SEARCH("Cleric",$T302,1),0)&gt;0,IFERROR(SEARCH(DivineDomain&amp;",",$T302,1),0)&gt;0),1,0)*IF($C302=DG$2,1,0)=1,1+COUNTIF(DG$3:DG301,"&gt;0"),0)</f>
        <v>0</v>
      </c>
      <c r="DH302">
        <f>IF(IF(OR(IFERROR(SEARCH("Cleric",$T302,1),0)&gt;0,IFERROR(SEARCH(DivineDomain&amp;",",$T302,1),0)&gt;0),1,0)*IF($C302=DH$2,1,0)=1,1+COUNTIF(DH$3:DH301,"&gt;0"),0)</f>
        <v>0</v>
      </c>
      <c r="DI302">
        <f>IF(IF(OR(IFERROR(SEARCH("Cleric",$T302,1),0)&gt;0,IFERROR(SEARCH(DivineDomain&amp;",",$T302,1),0)&gt;0),1,0)*IF($C302=DI$2,1,0)=1,1+COUNTIF(DI$3:DI301,"&gt;0"),0)</f>
        <v>0</v>
      </c>
      <c r="DJ302">
        <f>IF(IF(OR(IFERROR(SEARCH("Druid",$T302,1),0)&gt;0,IFERROR(SEARCH(DruidLand1,$T302,1),0)&gt;0,IFERROR(SEARCH(DruidLand2,$T302,1),0)&gt;0,IFERROR(SEARCH(DruidLand3,$T302,1),0)&gt;0,IFERROR(SEARCH(DruidLand4,$T302,1),0)&gt;0),1,0)*IF($C302=1,1,0)*IF($C302=DJ$2,1,0)=0,0,1+COUNTIF(DJ$3:DJ301,"&gt;0"))</f>
        <v>0</v>
      </c>
      <c r="DK302">
        <f>IF(IF(OR(IFERROR(SEARCH("Druid",$T302,1),0)&gt;0,IFERROR(SEARCH(DruidLand1,$T302,1),0)&gt;0,IFERROR(SEARCH(DruidLand2,$T302,1),0)&gt;0,IFERROR(SEARCH(DruidLand3,$T302,1),0)&gt;0,IFERROR(SEARCH(DruidLand4,$T302,1),0)&gt;0),1,0)*IF($C302=1,1,0)*IF($C302=DK$2,1,0)=0,0,1+COUNTIF(DK$3:DK301,"&gt;0"))</f>
        <v>0</v>
      </c>
      <c r="DL302">
        <f>IF(IF(OR(IFERROR(SEARCH("Druid",$T302,1),0)&gt;0,IFERROR(SEARCH(DruidLand1,$T302,1),0)&gt;0,IFERROR(SEARCH(DruidLand2,$T302,1),0)&gt;0,IFERROR(SEARCH(DruidLand3,$T302,1),0)&gt;0,IFERROR(SEARCH(DruidLand4,$T302,1),0)&gt;0),1,0)*IF($C302=1,1,0)*IF($C302=DL$2,1,0)=0,0,1+COUNTIF(DL$3:DL301,"&gt;0"))</f>
        <v>0</v>
      </c>
      <c r="DM302">
        <f>IF(IF(OR(IFERROR(SEARCH("Druid",$T302,1),0)&gt;0,IFERROR(SEARCH(DruidLand1,$T302,1),0)&gt;0,IFERROR(SEARCH(DruidLand2,$T302,1),0)&gt;0,IFERROR(SEARCH(DruidLand3,$T302,1),0)&gt;0,IFERROR(SEARCH(DruidLand4,$T302,1),0)&gt;0),1,0)*IF($C302=1,1,0)*IF($C302=DM$2,1,0)=0,0,1+COUNTIF(DM$3:DM301,"&gt;0"))</f>
        <v>0</v>
      </c>
      <c r="DN302">
        <f>IF(IF(OR(IFERROR(SEARCH("Druid",$T302,1),0)&gt;0,IFERROR(SEARCH(DruidLand1,$T302,1),0)&gt;0,IFERROR(SEARCH(DruidLand2,$T302,1),0)&gt;0,IFERROR(SEARCH(DruidLand3,$T302,1),0)&gt;0,IFERROR(SEARCH(DruidLand4,$T302,1),0)&gt;0),1,0)*IF($C302=1,1,0)*IF($C302=DN$2,1,0)=0,0,1+COUNTIF(DN$3:DN301,"&gt;0"))</f>
        <v>0</v>
      </c>
      <c r="DO302">
        <f>IF(IF(OR(IFERROR(SEARCH("Druid",$T302,1),0)&gt;0,IFERROR(SEARCH(DruidLand1,$T302,1),0)&gt;0,IFERROR(SEARCH(DruidLand2,$T302,1),0)&gt;0,IFERROR(SEARCH(DruidLand3,$T302,1),0)&gt;0,IFERROR(SEARCH(DruidLand4,$T302,1),0)&gt;0),1,0)*IF($C302=1,1,0)*IF($C302=DO$2,1,0)=0,0,1+COUNTIF(DO$3:DO301,"&gt;0"))</f>
        <v>0</v>
      </c>
      <c r="DP302">
        <f>IF(IF(OR(IFERROR(SEARCH("Druid",$T302,1),0)&gt;0,IFERROR(SEARCH(DruidLand1,$T302,1),0)&gt;0,IFERROR(SEARCH(DruidLand2,$T302,1),0)&gt;0,IFERROR(SEARCH(DruidLand3,$T302,1),0)&gt;0,IFERROR(SEARCH(DruidLand4,$T302,1),0)&gt;0),1,0)*IF($C302=1,1,0)*IF($C302=DP$2,1,0)=0,0,1+COUNTIF(DP$3:DP301,"&gt;0"))</f>
        <v>0</v>
      </c>
      <c r="DQ302">
        <f>IF(IF(OR(IFERROR(SEARCH("Druid",$T302,1),0)&gt;0,IFERROR(SEARCH(DruidLand1,$T302,1),0)&gt;0,IFERROR(SEARCH(DruidLand2,$T302,1),0)&gt;0,IFERROR(SEARCH(DruidLand3,$T302,1),0)&gt;0,IFERROR(SEARCH(DruidLand4,$T302,1),0)&gt;0),1,0)*IF($C302=1,1,0)*IF($C302=DQ$2,1,0)=0,0,1+COUNTIF(DQ$3:DQ301,"&gt;0"))</f>
        <v>0</v>
      </c>
      <c r="DR302">
        <f>IF(IF(OR(IFERROR(SEARCH("Druid",$T302,1),0)&gt;0,IFERROR(SEARCH(DruidLand1,$T302,1),0)&gt;0,IFERROR(SEARCH(DruidLand2,$T302,1),0)&gt;0,IFERROR(SEARCH(DruidLand3,$T302,1),0)&gt;0,IFERROR(SEARCH(DruidLand4,$T302,1),0)&gt;0),1,0)*IF($C302=1,1,0)*IF($C302=DR$2,1,0)=0,0,1+COUNTIF(DR$3:DR301,"&gt;0"))</f>
        <v>0</v>
      </c>
      <c r="DS302">
        <f>IF(IF(OR(IFERROR(SEARCH("Paladin",$T302,1),0)&gt;0,IFERROR(SEARCH(PaladinOath,$T302,1),0)&gt;0),1,0)*IF($C302=DS$2,1,0)=1,1+COUNTIF(DS$3:DS301,"&gt;0"),0)</f>
        <v>0</v>
      </c>
      <c r="DT302">
        <f>IF(IF(OR(IFERROR(SEARCH("Paladin",$T302,1),0)&gt;0,IFERROR(SEARCH(PaladinOath,$T302,1),0)&gt;0),1,0)*IF($C302=DT$2,1,0)=1,1+COUNTIF(DT$3:DT301,"&gt;0"),0)</f>
        <v>0</v>
      </c>
      <c r="DU302">
        <f>IF(IF(OR(IFERROR(SEARCH("Paladin",$T302,1),0)&gt;0,IFERROR(SEARCH(PaladinOath,$T302,1),0)&gt;0),1,0)*IF($C302=DU$2,1,0)=1,1+COUNTIF(DU$3:DU301,"&gt;0"),0)</f>
        <v>0</v>
      </c>
      <c r="DV302">
        <f>IF(IF(OR(IFERROR(SEARCH("Paladin",$T302,1),0)&gt;0,IFERROR(SEARCH(PaladinOath,$T302,1),0)&gt;0),1,0)*IF($C302=DV$2,1,0)=1,1+COUNTIF(DV$3:DV301,"&gt;0"),0)</f>
        <v>0</v>
      </c>
      <c r="DW302">
        <f>IF(IF(OR(IFERROR(SEARCH("Paladin",$T302,1),0)&gt;0,IFERROR(SEARCH(PaladinOath,$T302,1),0)&gt;0),1,0)*IF($C302=DW$2,1,0)=1,1+COUNTIF(DW$3:DW301,"&gt;0"),0)</f>
        <v>0</v>
      </c>
      <c r="DY302">
        <f t="shared" si="225"/>
        <v>1</v>
      </c>
      <c r="DZ302">
        <f>IF(DY302=0,0,1+MAX(DZ$3:$DZ301))</f>
        <v>300</v>
      </c>
      <c r="EB302">
        <f t="shared" si="239"/>
        <v>0</v>
      </c>
      <c r="EC302">
        <f>IF(EB302=0,0,1+COUNTIF(EC$3:EC301,"&gt;0"))</f>
        <v>0</v>
      </c>
      <c r="ED302" t="str">
        <f t="shared" si="267"/>
        <v/>
      </c>
      <c r="EE302" t="str">
        <f t="shared" si="240"/>
        <v/>
      </c>
      <c r="EG302">
        <f t="shared" si="241"/>
        <v>0</v>
      </c>
      <c r="EH302">
        <f>IF(EG302=0,0,1+COUNTIF(EH$3:EH301,"&gt;0"))</f>
        <v>0</v>
      </c>
      <c r="EI302" t="str">
        <f t="shared" si="268"/>
        <v/>
      </c>
      <c r="EJ302" t="str">
        <f t="shared" si="242"/>
        <v/>
      </c>
      <c r="EL302">
        <f t="shared" si="243"/>
        <v>0</v>
      </c>
      <c r="EM302">
        <f>IF(EL302=0,0,1+COUNTIF(EM$3:EM301,"&gt;0"))</f>
        <v>0</v>
      </c>
      <c r="EN302" t="str">
        <f t="shared" si="269"/>
        <v/>
      </c>
      <c r="EO302" t="str">
        <f t="shared" si="244"/>
        <v/>
      </c>
      <c r="EQ302">
        <f t="shared" si="245"/>
        <v>0</v>
      </c>
      <c r="ER302">
        <f>IF(EQ302=0,0,1+COUNTIF(ER$3:ER301,"&gt;0"))</f>
        <v>0</v>
      </c>
      <c r="ES302" t="str">
        <f t="shared" si="270"/>
        <v/>
      </c>
      <c r="ET302" t="str">
        <f t="shared" si="246"/>
        <v/>
      </c>
      <c r="EV302">
        <f t="shared" si="247"/>
        <v>0</v>
      </c>
      <c r="EW302">
        <f>IF(EV302=0,0,1+COUNTIF(EW$3:EW301,"&gt;0"))</f>
        <v>0</v>
      </c>
      <c r="EX302" t="str">
        <f t="shared" si="271"/>
        <v/>
      </c>
      <c r="EY302" t="str">
        <f t="shared" si="248"/>
        <v/>
      </c>
      <c r="FA302">
        <f t="shared" si="249"/>
        <v>0</v>
      </c>
      <c r="FB302">
        <f>IF(FA302=0,0,1+COUNTIF(FB$3:FB301,"&gt;0"))</f>
        <v>0</v>
      </c>
      <c r="FC302" t="str">
        <f t="shared" si="272"/>
        <v/>
      </c>
      <c r="FD302" t="str">
        <f t="shared" si="250"/>
        <v/>
      </c>
      <c r="FF302">
        <f t="shared" si="251"/>
        <v>0</v>
      </c>
      <c r="FG302">
        <f>IF(FF302=0,0,1+COUNTIF(FG$3:FG301,"&gt;0"))</f>
        <v>0</v>
      </c>
      <c r="FH302" t="str">
        <f t="shared" si="273"/>
        <v/>
      </c>
      <c r="FI302" t="str">
        <f t="shared" si="252"/>
        <v/>
      </c>
      <c r="FK302">
        <f t="shared" si="253"/>
        <v>0</v>
      </c>
      <c r="FL302">
        <f>IF(FK302=0,0,1+COUNTIF(FL$3:FL301,"&gt;0"))</f>
        <v>0</v>
      </c>
      <c r="FM302" t="str">
        <f t="shared" si="274"/>
        <v/>
      </c>
      <c r="FN302" t="str">
        <f t="shared" si="254"/>
        <v/>
      </c>
      <c r="FP302">
        <f t="shared" si="255"/>
        <v>0</v>
      </c>
      <c r="FQ302">
        <f>IF(FP302=0,0,1+COUNTIF(FQ$3:FQ301,"&gt;0"))</f>
        <v>0</v>
      </c>
      <c r="FR302" t="str">
        <f t="shared" si="275"/>
        <v/>
      </c>
      <c r="FS302" t="str">
        <f t="shared" si="256"/>
        <v/>
      </c>
    </row>
    <row r="303" spans="1:175" x14ac:dyDescent="0.25">
      <c r="A303" s="347">
        <f t="shared" si="276"/>
        <v>301</v>
      </c>
      <c r="B303" s="348" t="s">
        <v>2694</v>
      </c>
      <c r="C303" s="348">
        <v>7</v>
      </c>
      <c r="D303" s="347">
        <v>7</v>
      </c>
      <c r="E303" s="627" t="s">
        <v>6952</v>
      </c>
      <c r="F303" s="346"/>
      <c r="G303" s="347" t="str">
        <f>""</f>
        <v/>
      </c>
      <c r="H303" s="347" t="s">
        <v>5480</v>
      </c>
      <c r="I303" s="347" t="s">
        <v>5298</v>
      </c>
      <c r="J303" s="347" t="str">
        <f t="shared" si="226"/>
        <v/>
      </c>
      <c r="K303" s="347" t="s">
        <v>5299</v>
      </c>
      <c r="L303" s="611" t="str">
        <f t="shared" si="227"/>
        <v>V, S, M, snow or ice in quantities sufficient to made a life-size copy of the duplicated creature; some hair, fingernail clippings, or other piece of that creature’s body placed inside the snow or ice; and powdered ruby worth 1,500 gp, sprinkled over the duplicate and consumed by the spell</v>
      </c>
      <c r="M303" s="347" t="s">
        <v>2373</v>
      </c>
      <c r="N303" s="347" t="s">
        <v>2387</v>
      </c>
      <c r="O303" s="347" t="s">
        <v>1244</v>
      </c>
      <c r="P303" s="346" t="s">
        <v>5481</v>
      </c>
      <c r="Q303" s="347" t="s">
        <v>5274</v>
      </c>
      <c r="S303" s="346" t="s">
        <v>5823</v>
      </c>
      <c r="T303" s="346" t="str">
        <f t="shared" si="228"/>
        <v xml:space="preserve">Arcane Trickster, Wizard, </v>
      </c>
      <c r="AC303" s="539" t="str">
        <f>B303</f>
        <v>Simulacrum</v>
      </c>
      <c r="AD303" s="347" t="str">
        <f>$B303</f>
        <v>Simulacrum</v>
      </c>
      <c r="AE303" t="str">
        <f>IF(IFERROR(MATCH($B303,temp!A$4:A$13,0),0)&gt;0,T08_Spells!AE$2,"")</f>
        <v/>
      </c>
      <c r="AF303" t="str">
        <f>IF(IFERROR(MATCH($B303,temp!B$4:B$13,0),0)&gt;0,T08_Spells!AF$2,"")</f>
        <v/>
      </c>
      <c r="AG303" t="str">
        <f>IF(IFERROR(MATCH($B303,temp!C$4:C$13,0),0)&gt;0,T08_Spells!AG$2,"")</f>
        <v/>
      </c>
      <c r="AH303" t="str">
        <f>IF(IFERROR(MATCH($B303,temp!D$4:D$13,0),0)&gt;0,T08_Spells!AH$2,"")</f>
        <v/>
      </c>
      <c r="AI303" t="str">
        <f>IF(IFERROR(MATCH($B303,temp!E$4:E$13,0),0)&gt;0,T08_Spells!AI$2,"")</f>
        <v/>
      </c>
      <c r="AJ303" t="str">
        <f>IF(IFERROR(MATCH($B303,temp!F$4:F$13,0),0)&gt;0,T08_Spells!AJ$2,"")</f>
        <v/>
      </c>
      <c r="AK303" t="str">
        <f>IF(IFERROR(MATCH($B303,temp!G$4:G$13,0),0)&gt;0,T08_Spells!AK$2,"")</f>
        <v/>
      </c>
      <c r="AL303" t="str">
        <f>IF(IFERROR(MATCH($B303,temp!H$4:H$13,0),0)&gt;0,T08_Spells!AL$2,"")</f>
        <v/>
      </c>
      <c r="AM303" t="str">
        <f>IF(IFERROR(MATCH($B303,temp!I$4:I$13,0),0)&gt;0,T08_Spells!AM$2,"")</f>
        <v/>
      </c>
      <c r="AN303" t="str">
        <f>IF(IFERROR(MATCH($B303,temp!J$4:J$13,0),0)&gt;0,T08_Spells!AN$2,"")</f>
        <v/>
      </c>
      <c r="AO303" t="str">
        <f>IF(IFERROR(MATCH($B303,temp!K$4:K$13,0),0)&gt;0,T08_Spells!AO$2,"")</f>
        <v/>
      </c>
      <c r="AP303" t="str">
        <f>IF(IFERROR(MATCH($B303,temp!L$4:L$13,0),0)&gt;0,T08_Spells!AP$2,"")</f>
        <v/>
      </c>
      <c r="AQ303" t="str">
        <f>IF(IFERROR(MATCH($B303,temp!M$4:M$13,0),0)&gt;0,T08_Spells!AQ$2,"")</f>
        <v/>
      </c>
      <c r="AR303" t="str">
        <f>IF(IFERROR(MATCH($B303,temp!N$4:N$13,0),0)&gt;0,T08_Spells!AR$2,"")</f>
        <v/>
      </c>
      <c r="AS303" t="str">
        <f>IF(IFERROR(MATCH($B303,temp!O$4:O$13,0),0)&gt;0,T08_Spells!AS$2,"")</f>
        <v/>
      </c>
      <c r="AT303" t="str">
        <f>IF(IFERROR(MATCH($B303,temp!P$4:P$13,0),0)&gt;0,T08_Spells!AT$2,"")</f>
        <v/>
      </c>
      <c r="AU303" t="str">
        <f>IF(IFERROR(MATCH($B303,temp!Q$4:Q$13,0),0)&gt;0,T08_Spells!AU$2,"")</f>
        <v/>
      </c>
      <c r="AV303" t="str">
        <f>IF(IFERROR(MATCH($B303,temp!R$4:R$13,0),0)&gt;0,T08_Spells!AV$2,"")</f>
        <v/>
      </c>
      <c r="AW303" t="str">
        <f>IF(IFERROR(MATCH($B303,temp!S$4:S$13,0),0)&gt;0,T08_Spells!AW$2,"")</f>
        <v/>
      </c>
      <c r="AX303" t="str">
        <f>IF(IFERROR(MATCH($B303,temp!T$4:T$13,0),0)&gt;0,T08_Spells!AX$2,"")</f>
        <v/>
      </c>
      <c r="AY303" t="str">
        <f>IF(IFERROR(MATCH($B303,temp!U$4:U$13,0),0)&gt;0,T08_Spells!AY$2,"")</f>
        <v/>
      </c>
      <c r="AZ303" t="str">
        <f>IF(IFERROR(MATCH($B303,temp!V$4:V$13,0),0)&gt;0,T08_Spells!AZ$2,"")</f>
        <v/>
      </c>
      <c r="BA303" t="str">
        <f>IF(IFERROR(MATCH($B303,temp!W$4:W$13,0),0)&gt;0,T08_Spells!BA$2,"")</f>
        <v/>
      </c>
      <c r="BC303">
        <f>IF(IFERROR(SEARCH("Ranger",$T303,1),0)&gt;0,1,0)*IF(RangerMaxSpellLevel&gt;=$C303,1,0)*IF(IFERROR(MATCH(B303,Character_Creation!$X$79:$X$382,0),0)&gt;0,0,1)</f>
        <v>0</v>
      </c>
      <c r="BD303">
        <f>IF(BC303=0,0,1+COUNTIF(BD$3:BD302,"&gt;0"))</f>
        <v>0</v>
      </c>
      <c r="BE303" t="str">
        <f t="shared" si="257"/>
        <v/>
      </c>
      <c r="BF303" t="str">
        <f t="shared" si="229"/>
        <v/>
      </c>
      <c r="BH303">
        <f>IF(IFERROR(SEARCH("Sorcerer",$T303,1),0)&gt;0,1,0)*IF(SorcererMaxSpellLevel&gt;=$C303,1,0)*IF(IFERROR(MATCH(B303,Character_Creation!$J$380:$J$394,0),0)&gt;0,0,1)</f>
        <v>0</v>
      </c>
      <c r="BI303">
        <f>IF(BH303=0,0,1+COUNTIF(BI$3:BI302,"&gt;0"))</f>
        <v>0</v>
      </c>
      <c r="BJ303" t="str">
        <f t="shared" si="258"/>
        <v/>
      </c>
      <c r="BK303" t="str">
        <f t="shared" si="230"/>
        <v/>
      </c>
      <c r="BM303">
        <f>IF(OR(IFERROR(SEARCH("Warlock",$T303,1),0)&gt;0,IFERROR(SEARCH(WarlockPatron,$T303,1),0)&gt;0),1,0)*IF(WarlockMaxSpellLevel&gt;=$C303,1,0)*IF(IFERROR(MATCH(B303,Character_Creation!$J$361:$J$375,0),0)&gt;0,0,1)</f>
        <v>0</v>
      </c>
      <c r="BN303">
        <f>IF(BM303=0,0,1+COUNTIF(BN$3:BN302,"&gt;0"))</f>
        <v>0</v>
      </c>
      <c r="BO303" t="str">
        <f t="shared" si="259"/>
        <v/>
      </c>
      <c r="BP303" t="str">
        <f t="shared" si="231"/>
        <v/>
      </c>
      <c r="BR303">
        <f>IF(IFERROR(SEARCH("Eldritch Knight",$T303,1),0)&gt;0,1,0)*IF(EldritchKnightMaxSpellLevel&gt;=$C303,1,0)*IF(IFERROR(MATCH($B303,Character_Creation!$J$350:$J$356,0),0)&gt;0,0,1)*IF(Character_Creation!$M$338&gt;0,1,0)</f>
        <v>0</v>
      </c>
      <c r="BS303">
        <f>IF(BR303=0,0,1+COUNTIF(BS$3:BS302,"&gt;0"))</f>
        <v>0</v>
      </c>
      <c r="BT303" t="str">
        <f t="shared" si="260"/>
        <v/>
      </c>
      <c r="BU303" t="str">
        <f t="shared" si="232"/>
        <v/>
      </c>
      <c r="BW303">
        <f>IF(IFERROR(SEARCH("Arcane Trickster",$T303,1),0)&gt;0,1,0)*IF(ArcaneTricksterMaxSpellLevel&gt;=$C303,1,0)*IF(IFERROR(MATCH($B303,Character_Creation!$J$350:$J$356,0),0)&gt;0,0,1)*IF(Character_Creation!$T$338&gt;0,1,0)</f>
        <v>0</v>
      </c>
      <c r="BX303">
        <f>IF(BW303=0,0,1+COUNTIF(BX$3:BX302,"&gt;0"))</f>
        <v>0</v>
      </c>
      <c r="BY303" t="str">
        <f t="shared" si="261"/>
        <v/>
      </c>
      <c r="BZ303" t="str">
        <f t="shared" si="233"/>
        <v/>
      </c>
      <c r="CB303">
        <f>IF(IFERROR(SEARCH("Wizard",$T303,1),0)&gt;0,1,0)*IF(C303&lt;=ArcaneTricksterMaxSpellLevel,1,0)*IF(IFERROR(MATCH($B303,Character_Creation!$J$350:$J$356,0),0)&gt;0,0,1)*IF(Character_Creation!$T$350&gt;0,1,0)</f>
        <v>0</v>
      </c>
      <c r="CC303">
        <f>IF(CB303=0,0,1+COUNTIF(CC$3:CC302,"&gt;0"))</f>
        <v>0</v>
      </c>
      <c r="CD303" t="str">
        <f t="shared" si="262"/>
        <v/>
      </c>
      <c r="CE303" t="str">
        <f t="shared" si="234"/>
        <v/>
      </c>
      <c r="CG303">
        <f>IF(IFERROR(SEARCH("Wizard",$T303,1),0)&gt;0,1,0)*IF($C303&lt;=EldritchKnightMaxSpellLevel,1,0)*IF(IFERROR(MATCH($B303,Character_Creation!$J$350:$J$356,0),0)&gt;0,0,1)*IF(Character_Creation!$M$350&gt;0,1,0)</f>
        <v>0</v>
      </c>
      <c r="CH303">
        <f>IF(CG303=0,0,1+COUNTIF(CH$3:CH302,"&gt;0"))</f>
        <v>0</v>
      </c>
      <c r="CI303" t="str">
        <f t="shared" si="263"/>
        <v/>
      </c>
      <c r="CJ303" t="str">
        <f t="shared" si="235"/>
        <v/>
      </c>
      <c r="CL303">
        <f>IF(IFERROR(SEARCH("Bard",$T303,1),0)&gt;0,1,0)*IF(BardMaxSpellLevel&gt;=$C303,1,0)*IF(IFERROR(MATCH(B303,Character_Creation!$C$341:$F$362,0),0)&gt;0,0,1)*IF(IFERROR(MATCH($B303,Character_Creation!$C$341:$C$362,0),0)&gt;0,0,1)</f>
        <v>0</v>
      </c>
      <c r="CM303">
        <f>IF(CL303=0,0,1+COUNTIF(CM$3:CM302,"&gt;0"))</f>
        <v>0</v>
      </c>
      <c r="CN303" t="str">
        <f t="shared" si="264"/>
        <v/>
      </c>
      <c r="CO303" t="str">
        <f t="shared" si="236"/>
        <v/>
      </c>
      <c r="CQ303">
        <f>IF(IFERROR(SEARCH("Wizard",$T303,1),0)&gt;0,1,0)*IF(WizardMaxSpellLevel&gt;=$C303,1,0)*IF(IFERROR(MATCH(B303,Character_Creation!$X$341:$X$400,0),0)&gt;0,0,1)*IF(SelectedWizardSpellLevel=$C303,1,0)</f>
        <v>0</v>
      </c>
      <c r="CR303">
        <f>IF(CQ303=0,0,1+COUNTIF(CR$3:CR302,"&gt;0"))</f>
        <v>0</v>
      </c>
      <c r="CS303" t="str">
        <f t="shared" si="265"/>
        <v/>
      </c>
      <c r="CT303" t="str">
        <f t="shared" si="237"/>
        <v/>
      </c>
      <c r="CV303">
        <f>IF(IFERROR(MATCH($B303,Character_Creation!$C$341:$C$362,0),0)&gt;0,0,1)*IF(OR(C303="Cantrip",C303&lt;=BardMaxSpellLevel),1,0)*IF(IFERROR(MATCH($B303,Character_Creation!$C$367:$C$374,0),0)&gt;0,0,1)</f>
        <v>0</v>
      </c>
      <c r="CW303">
        <f>IF(CV303=0,0,1+COUNTIF(CW$3:CW302,"&gt;0"))</f>
        <v>0</v>
      </c>
      <c r="CX303" t="str">
        <f t="shared" si="266"/>
        <v/>
      </c>
      <c r="CY303" t="str">
        <f t="shared" si="238"/>
        <v/>
      </c>
      <c r="DA303">
        <f>IF(IF(OR(IFERROR(SEARCH("Cleric",$T303,1),0)&gt;0,IFERROR(SEARCH(DivineDomain&amp;",",$T303,1),0)&gt;0),1,0)*IF($C303=DA$2,1,0)=1,1+COUNTIF(DA$3:DA302,"&gt;0"),0)</f>
        <v>0</v>
      </c>
      <c r="DB303">
        <f>IF(IF(OR(IFERROR(SEARCH("Cleric",$T303,1),0)&gt;0,IFERROR(SEARCH(DivineDomain&amp;",",$T303,1),0)&gt;0),1,0)*IF($C303=DB$2,1,0)=1,1+COUNTIF(DB$3:DB302,"&gt;0"),0)</f>
        <v>0</v>
      </c>
      <c r="DC303">
        <f>IF(IF(OR(IFERROR(SEARCH("Cleric",$T303,1),0)&gt;0,IFERROR(SEARCH(DivineDomain&amp;",",$T303,1),0)&gt;0),1,0)*IF($C303=DC$2,1,0)=1,1+COUNTIF(DC$3:DC302,"&gt;0"),0)</f>
        <v>0</v>
      </c>
      <c r="DD303">
        <f>IF(IF(OR(IFERROR(SEARCH("Cleric",$T303,1),0)&gt;0,IFERROR(SEARCH(DivineDomain&amp;",",$T303,1),0)&gt;0),1,0)*IF($C303=DD$2,1,0)=1,1+COUNTIF(DD$3:DD302,"&gt;0"),0)</f>
        <v>0</v>
      </c>
      <c r="DE303">
        <f>IF(IF(OR(IFERROR(SEARCH("Cleric",$T303,1),0)&gt;0,IFERROR(SEARCH(DivineDomain&amp;",",$T303,1),0)&gt;0),1,0)*IF($C303=DE$2,1,0)=1,1+COUNTIF(DE$3:DE302,"&gt;0"),0)</f>
        <v>0</v>
      </c>
      <c r="DF303">
        <f>IF(IF(OR(IFERROR(SEARCH("Cleric",$T303,1),0)&gt;0,IFERROR(SEARCH(DivineDomain&amp;",",$T303,1),0)&gt;0),1,0)*IF($C303=DF$2,1,0)=1,1+COUNTIF(DF$3:DF302,"&gt;0"),0)</f>
        <v>0</v>
      </c>
      <c r="DG303">
        <f>IF(IF(OR(IFERROR(SEARCH("Cleric",$T303,1),0)&gt;0,IFERROR(SEARCH(DivineDomain&amp;",",$T303,1),0)&gt;0),1,0)*IF($C303=DG$2,1,0)=1,1+COUNTIF(DG$3:DG302,"&gt;0"),0)</f>
        <v>0</v>
      </c>
      <c r="DH303">
        <f>IF(IF(OR(IFERROR(SEARCH("Cleric",$T303,1),0)&gt;0,IFERROR(SEARCH(DivineDomain&amp;",",$T303,1),0)&gt;0),1,0)*IF($C303=DH$2,1,0)=1,1+COUNTIF(DH$3:DH302,"&gt;0"),0)</f>
        <v>0</v>
      </c>
      <c r="DI303">
        <f>IF(IF(OR(IFERROR(SEARCH("Cleric",$T303,1),0)&gt;0,IFERROR(SEARCH(DivineDomain&amp;",",$T303,1),0)&gt;0),1,0)*IF($C303=DI$2,1,0)=1,1+COUNTIF(DI$3:DI302,"&gt;0"),0)</f>
        <v>0</v>
      </c>
      <c r="DJ303">
        <f>IF(IF(OR(IFERROR(SEARCH("Druid",$T303,1),0)&gt;0,IFERROR(SEARCH(DruidLand1,$T303,1),0)&gt;0,IFERROR(SEARCH(DruidLand2,$T303,1),0)&gt;0,IFERROR(SEARCH(DruidLand3,$T303,1),0)&gt;0,IFERROR(SEARCH(DruidLand4,$T303,1),0)&gt;0),1,0)*IF($C303=1,1,0)*IF($C303=DJ$2,1,0)=0,0,1+COUNTIF(DJ$3:DJ302,"&gt;0"))</f>
        <v>0</v>
      </c>
      <c r="DK303">
        <f>IF(IF(OR(IFERROR(SEARCH("Druid",$T303,1),0)&gt;0,IFERROR(SEARCH(DruidLand1,$T303,1),0)&gt;0,IFERROR(SEARCH(DruidLand2,$T303,1),0)&gt;0,IFERROR(SEARCH(DruidLand3,$T303,1),0)&gt;0,IFERROR(SEARCH(DruidLand4,$T303,1),0)&gt;0),1,0)*IF($C303=1,1,0)*IF($C303=DK$2,1,0)=0,0,1+COUNTIF(DK$3:DK302,"&gt;0"))</f>
        <v>0</v>
      </c>
      <c r="DL303">
        <f>IF(IF(OR(IFERROR(SEARCH("Druid",$T303,1),0)&gt;0,IFERROR(SEARCH(DruidLand1,$T303,1),0)&gt;0,IFERROR(SEARCH(DruidLand2,$T303,1),0)&gt;0,IFERROR(SEARCH(DruidLand3,$T303,1),0)&gt;0,IFERROR(SEARCH(DruidLand4,$T303,1),0)&gt;0),1,0)*IF($C303=1,1,0)*IF($C303=DL$2,1,0)=0,0,1+COUNTIF(DL$3:DL302,"&gt;0"))</f>
        <v>0</v>
      </c>
      <c r="DM303">
        <f>IF(IF(OR(IFERROR(SEARCH("Druid",$T303,1),0)&gt;0,IFERROR(SEARCH(DruidLand1,$T303,1),0)&gt;0,IFERROR(SEARCH(DruidLand2,$T303,1),0)&gt;0,IFERROR(SEARCH(DruidLand3,$T303,1),0)&gt;0,IFERROR(SEARCH(DruidLand4,$T303,1),0)&gt;0),1,0)*IF($C303=1,1,0)*IF($C303=DM$2,1,0)=0,0,1+COUNTIF(DM$3:DM302,"&gt;0"))</f>
        <v>0</v>
      </c>
      <c r="DN303">
        <f>IF(IF(OR(IFERROR(SEARCH("Druid",$T303,1),0)&gt;0,IFERROR(SEARCH(DruidLand1,$T303,1),0)&gt;0,IFERROR(SEARCH(DruidLand2,$T303,1),0)&gt;0,IFERROR(SEARCH(DruidLand3,$T303,1),0)&gt;0,IFERROR(SEARCH(DruidLand4,$T303,1),0)&gt;0),1,0)*IF($C303=1,1,0)*IF($C303=DN$2,1,0)=0,0,1+COUNTIF(DN$3:DN302,"&gt;0"))</f>
        <v>0</v>
      </c>
      <c r="DO303">
        <f>IF(IF(OR(IFERROR(SEARCH("Druid",$T303,1),0)&gt;0,IFERROR(SEARCH(DruidLand1,$T303,1),0)&gt;0,IFERROR(SEARCH(DruidLand2,$T303,1),0)&gt;0,IFERROR(SEARCH(DruidLand3,$T303,1),0)&gt;0,IFERROR(SEARCH(DruidLand4,$T303,1),0)&gt;0),1,0)*IF($C303=1,1,0)*IF($C303=DO$2,1,0)=0,0,1+COUNTIF(DO$3:DO302,"&gt;0"))</f>
        <v>0</v>
      </c>
      <c r="DP303">
        <f>IF(IF(OR(IFERROR(SEARCH("Druid",$T303,1),0)&gt;0,IFERROR(SEARCH(DruidLand1,$T303,1),0)&gt;0,IFERROR(SEARCH(DruidLand2,$T303,1),0)&gt;0,IFERROR(SEARCH(DruidLand3,$T303,1),0)&gt;0,IFERROR(SEARCH(DruidLand4,$T303,1),0)&gt;0),1,0)*IF($C303=1,1,0)*IF($C303=DP$2,1,0)=0,0,1+COUNTIF(DP$3:DP302,"&gt;0"))</f>
        <v>0</v>
      </c>
      <c r="DQ303">
        <f>IF(IF(OR(IFERROR(SEARCH("Druid",$T303,1),0)&gt;0,IFERROR(SEARCH(DruidLand1,$T303,1),0)&gt;0,IFERROR(SEARCH(DruidLand2,$T303,1),0)&gt;0,IFERROR(SEARCH(DruidLand3,$T303,1),0)&gt;0,IFERROR(SEARCH(DruidLand4,$T303,1),0)&gt;0),1,0)*IF($C303=1,1,0)*IF($C303=DQ$2,1,0)=0,0,1+COUNTIF(DQ$3:DQ302,"&gt;0"))</f>
        <v>0</v>
      </c>
      <c r="DR303">
        <f>IF(IF(OR(IFERROR(SEARCH("Druid",$T303,1),0)&gt;0,IFERROR(SEARCH(DruidLand1,$T303,1),0)&gt;0,IFERROR(SEARCH(DruidLand2,$T303,1),0)&gt;0,IFERROR(SEARCH(DruidLand3,$T303,1),0)&gt;0,IFERROR(SEARCH(DruidLand4,$T303,1),0)&gt;0),1,0)*IF($C303=1,1,0)*IF($C303=DR$2,1,0)=0,0,1+COUNTIF(DR$3:DR302,"&gt;0"))</f>
        <v>0</v>
      </c>
      <c r="DS303">
        <f>IF(IF(OR(IFERROR(SEARCH("Paladin",$T303,1),0)&gt;0,IFERROR(SEARCH(PaladinOath,$T303,1),0)&gt;0),1,0)*IF($C303=DS$2,1,0)=1,1+COUNTIF(DS$3:DS302,"&gt;0"),0)</f>
        <v>0</v>
      </c>
      <c r="DT303">
        <f>IF(IF(OR(IFERROR(SEARCH("Paladin",$T303,1),0)&gt;0,IFERROR(SEARCH(PaladinOath,$T303,1),0)&gt;0),1,0)*IF($C303=DT$2,1,0)=1,1+COUNTIF(DT$3:DT302,"&gt;0"),0)</f>
        <v>0</v>
      </c>
      <c r="DU303">
        <f>IF(IF(OR(IFERROR(SEARCH("Paladin",$T303,1),0)&gt;0,IFERROR(SEARCH(PaladinOath,$T303,1),0)&gt;0),1,0)*IF($C303=DU$2,1,0)=1,1+COUNTIF(DU$3:DU302,"&gt;0"),0)</f>
        <v>0</v>
      </c>
      <c r="DV303">
        <f>IF(IF(OR(IFERROR(SEARCH("Paladin",$T303,1),0)&gt;0,IFERROR(SEARCH(PaladinOath,$T303,1),0)&gt;0),1,0)*IF($C303=DV$2,1,0)=1,1+COUNTIF(DV$3:DV302,"&gt;0"),0)</f>
        <v>0</v>
      </c>
      <c r="DW303">
        <f>IF(IF(OR(IFERROR(SEARCH("Paladin",$T303,1),0)&gt;0,IFERROR(SEARCH(PaladinOath,$T303,1),0)&gt;0),1,0)*IF($C303=DW$2,1,0)=1,1+COUNTIF(DW$3:DW302,"&gt;0"),0)</f>
        <v>0</v>
      </c>
      <c r="DY303">
        <f t="shared" si="225"/>
        <v>1</v>
      </c>
      <c r="DZ303">
        <f>IF(DY303=0,0,1+MAX(DZ$3:$DZ302))</f>
        <v>301</v>
      </c>
      <c r="EB303">
        <f t="shared" si="239"/>
        <v>0</v>
      </c>
      <c r="EC303">
        <f>IF(EB303=0,0,1+COUNTIF(EC$3:EC302,"&gt;0"))</f>
        <v>0</v>
      </c>
      <c r="ED303" t="str">
        <f t="shared" si="267"/>
        <v/>
      </c>
      <c r="EE303" t="str">
        <f t="shared" si="240"/>
        <v/>
      </c>
      <c r="EG303">
        <f t="shared" si="241"/>
        <v>0</v>
      </c>
      <c r="EH303">
        <f>IF(EG303=0,0,1+COUNTIF(EH$3:EH302,"&gt;0"))</f>
        <v>0</v>
      </c>
      <c r="EI303" t="str">
        <f t="shared" si="268"/>
        <v/>
      </c>
      <c r="EJ303" t="str">
        <f t="shared" si="242"/>
        <v/>
      </c>
      <c r="EL303">
        <f t="shared" si="243"/>
        <v>0</v>
      </c>
      <c r="EM303">
        <f>IF(EL303=0,0,1+COUNTIF(EM$3:EM302,"&gt;0"))</f>
        <v>0</v>
      </c>
      <c r="EN303" t="str">
        <f t="shared" si="269"/>
        <v/>
      </c>
      <c r="EO303" t="str">
        <f t="shared" si="244"/>
        <v/>
      </c>
      <c r="EQ303">
        <f t="shared" si="245"/>
        <v>0</v>
      </c>
      <c r="ER303">
        <f>IF(EQ303=0,0,1+COUNTIF(ER$3:ER302,"&gt;0"))</f>
        <v>0</v>
      </c>
      <c r="ES303" t="str">
        <f t="shared" si="270"/>
        <v/>
      </c>
      <c r="ET303" t="str">
        <f t="shared" si="246"/>
        <v/>
      </c>
      <c r="EV303">
        <f t="shared" si="247"/>
        <v>0</v>
      </c>
      <c r="EW303">
        <f>IF(EV303=0,0,1+COUNTIF(EW$3:EW302,"&gt;0"))</f>
        <v>0</v>
      </c>
      <c r="EX303" t="str">
        <f t="shared" si="271"/>
        <v/>
      </c>
      <c r="EY303" t="str">
        <f t="shared" si="248"/>
        <v/>
      </c>
      <c r="FA303">
        <f t="shared" si="249"/>
        <v>0</v>
      </c>
      <c r="FB303">
        <f>IF(FA303=0,0,1+COUNTIF(FB$3:FB302,"&gt;0"))</f>
        <v>0</v>
      </c>
      <c r="FC303" t="str">
        <f t="shared" si="272"/>
        <v/>
      </c>
      <c r="FD303" t="str">
        <f t="shared" si="250"/>
        <v/>
      </c>
      <c r="FF303">
        <f t="shared" si="251"/>
        <v>0</v>
      </c>
      <c r="FG303">
        <f>IF(FF303=0,0,1+COUNTIF(FG$3:FG302,"&gt;0"))</f>
        <v>0</v>
      </c>
      <c r="FH303" t="str">
        <f t="shared" si="273"/>
        <v/>
      </c>
      <c r="FI303" t="str">
        <f t="shared" si="252"/>
        <v/>
      </c>
      <c r="FK303">
        <f t="shared" si="253"/>
        <v>0</v>
      </c>
      <c r="FL303">
        <f>IF(FK303=0,0,1+COUNTIF(FL$3:FL302,"&gt;0"))</f>
        <v>0</v>
      </c>
      <c r="FM303" t="str">
        <f t="shared" si="274"/>
        <v/>
      </c>
      <c r="FN303" t="str">
        <f t="shared" si="254"/>
        <v/>
      </c>
      <c r="FP303">
        <f t="shared" si="255"/>
        <v>0</v>
      </c>
      <c r="FQ303">
        <f>IF(FP303=0,0,1+COUNTIF(FQ$3:FQ302,"&gt;0"))</f>
        <v>0</v>
      </c>
      <c r="FR303" t="str">
        <f t="shared" si="275"/>
        <v/>
      </c>
      <c r="FS303" t="str">
        <f t="shared" si="256"/>
        <v/>
      </c>
    </row>
    <row r="304" spans="1:175" x14ac:dyDescent="0.25">
      <c r="A304" s="347">
        <f t="shared" si="276"/>
        <v>302</v>
      </c>
      <c r="B304" s="348" t="s">
        <v>2695</v>
      </c>
      <c r="C304" s="348">
        <v>1</v>
      </c>
      <c r="D304" s="347">
        <v>1</v>
      </c>
      <c r="E304" s="627" t="s">
        <v>6952</v>
      </c>
      <c r="F304" s="346"/>
      <c r="G304" s="347" t="str">
        <f>""</f>
        <v/>
      </c>
      <c r="H304" s="347" t="s">
        <v>5912</v>
      </c>
      <c r="I304" s="347" t="s">
        <v>5312</v>
      </c>
      <c r="J304" s="347" t="str">
        <f t="shared" si="226"/>
        <v/>
      </c>
      <c r="K304" s="347" t="s">
        <v>5288</v>
      </c>
      <c r="L304" s="611" t="str">
        <f t="shared" si="227"/>
        <v>V, S, M, a pinch of fine sand, rose petals, or a cricket</v>
      </c>
      <c r="M304" s="347" t="s">
        <v>2373</v>
      </c>
      <c r="N304" s="347" t="s">
        <v>2387</v>
      </c>
      <c r="O304" s="347" t="s">
        <v>1244</v>
      </c>
      <c r="P304" s="346" t="s">
        <v>5482</v>
      </c>
      <c r="Q304" s="347" t="s">
        <v>5272</v>
      </c>
      <c r="S304" s="346" t="s">
        <v>5824</v>
      </c>
      <c r="T304" s="346" t="str">
        <f t="shared" si="228"/>
        <v xml:space="preserve">Bard, Sorcerer, Arcane Trickster, Wizard, Archfey, </v>
      </c>
      <c r="U304" s="347" t="str">
        <f>$B304</f>
        <v>Sleep</v>
      </c>
      <c r="X304" s="347" t="str">
        <f>$B304</f>
        <v>Sleep</v>
      </c>
      <c r="AC304" s="539" t="str">
        <f>B304</f>
        <v>Sleep</v>
      </c>
      <c r="AD304" s="347" t="str">
        <f>$B304</f>
        <v>Sleep</v>
      </c>
      <c r="AE304" t="str">
        <f>IF(IFERROR(MATCH($B304,temp!A$4:A$13,0),0)&gt;0,T08_Spells!AE$2,"")</f>
        <v/>
      </c>
      <c r="AF304" t="str">
        <f>IF(IFERROR(MATCH($B304,temp!B$4:B$13,0),0)&gt;0,T08_Spells!AF$2,"")</f>
        <v/>
      </c>
      <c r="AG304" t="str">
        <f>IF(IFERROR(MATCH($B304,temp!C$4:C$13,0),0)&gt;0,T08_Spells!AG$2,"")</f>
        <v/>
      </c>
      <c r="AH304" t="str">
        <f>IF(IFERROR(MATCH($B304,temp!D$4:D$13,0),0)&gt;0,T08_Spells!AH$2,"")</f>
        <v/>
      </c>
      <c r="AI304" t="str">
        <f>IF(IFERROR(MATCH($B304,temp!E$4:E$13,0),0)&gt;0,T08_Spells!AI$2,"")</f>
        <v>Archfey</v>
      </c>
      <c r="AJ304" t="str">
        <f>IF(IFERROR(MATCH($B304,temp!F$4:F$13,0),0)&gt;0,T08_Spells!AJ$2,"")</f>
        <v/>
      </c>
      <c r="AK304" t="str">
        <f>IF(IFERROR(MATCH($B304,temp!G$4:G$13,0),0)&gt;0,T08_Spells!AK$2,"")</f>
        <v/>
      </c>
      <c r="AL304" t="str">
        <f>IF(IFERROR(MATCH($B304,temp!H$4:H$13,0),0)&gt;0,T08_Spells!AL$2,"")</f>
        <v/>
      </c>
      <c r="AM304" t="str">
        <f>IF(IFERROR(MATCH($B304,temp!I$4:I$13,0),0)&gt;0,T08_Spells!AM$2,"")</f>
        <v/>
      </c>
      <c r="AN304" t="str">
        <f>IF(IFERROR(MATCH($B304,temp!J$4:J$13,0),0)&gt;0,T08_Spells!AN$2,"")</f>
        <v/>
      </c>
      <c r="AO304" t="str">
        <f>IF(IFERROR(MATCH($B304,temp!K$4:K$13,0),0)&gt;0,T08_Spells!AO$2,"")</f>
        <v/>
      </c>
      <c r="AP304" t="str">
        <f>IF(IFERROR(MATCH($B304,temp!L$4:L$13,0),0)&gt;0,T08_Spells!AP$2,"")</f>
        <v/>
      </c>
      <c r="AQ304" t="str">
        <f>IF(IFERROR(MATCH($B304,temp!M$4:M$13,0),0)&gt;0,T08_Spells!AQ$2,"")</f>
        <v/>
      </c>
      <c r="AR304" t="str">
        <f>IF(IFERROR(MATCH($B304,temp!N$4:N$13,0),0)&gt;0,T08_Spells!AR$2,"")</f>
        <v/>
      </c>
      <c r="AS304" t="str">
        <f>IF(IFERROR(MATCH($B304,temp!O$4:O$13,0),0)&gt;0,T08_Spells!AS$2,"")</f>
        <v/>
      </c>
      <c r="AT304" t="str">
        <f>IF(IFERROR(MATCH($B304,temp!P$4:P$13,0),0)&gt;0,T08_Spells!AT$2,"")</f>
        <v/>
      </c>
      <c r="AU304" t="str">
        <f>IF(IFERROR(MATCH($B304,temp!Q$4:Q$13,0),0)&gt;0,T08_Spells!AU$2,"")</f>
        <v/>
      </c>
      <c r="AV304" t="str">
        <f>IF(IFERROR(MATCH($B304,temp!R$4:R$13,0),0)&gt;0,T08_Spells!AV$2,"")</f>
        <v/>
      </c>
      <c r="AW304" t="str">
        <f>IF(IFERROR(MATCH($B304,temp!S$4:S$13,0),0)&gt;0,T08_Spells!AW$2,"")</f>
        <v/>
      </c>
      <c r="AX304" t="str">
        <f>IF(IFERROR(MATCH($B304,temp!T$4:T$13,0),0)&gt;0,T08_Spells!AX$2,"")</f>
        <v/>
      </c>
      <c r="AY304" t="str">
        <f>IF(IFERROR(MATCH($B304,temp!U$4:U$13,0),0)&gt;0,T08_Spells!AY$2,"")</f>
        <v/>
      </c>
      <c r="AZ304" t="str">
        <f>IF(IFERROR(MATCH($B304,temp!V$4:V$13,0),0)&gt;0,T08_Spells!AZ$2,"")</f>
        <v/>
      </c>
      <c r="BA304" t="str">
        <f>IF(IFERROR(MATCH($B304,temp!W$4:W$13,0),0)&gt;0,T08_Spells!BA$2,"")</f>
        <v/>
      </c>
      <c r="BC304">
        <f>IF(IFERROR(SEARCH("Ranger",$T304,1),0)&gt;0,1,0)*IF(RangerMaxSpellLevel&gt;=$C304,1,0)*IF(IFERROR(MATCH(B304,Character_Creation!$X$79:$X$382,0),0)&gt;0,0,1)</f>
        <v>0</v>
      </c>
      <c r="BD304">
        <f>IF(BC304=0,0,1+COUNTIF(BD$3:BD303,"&gt;0"))</f>
        <v>0</v>
      </c>
      <c r="BE304" t="str">
        <f t="shared" si="257"/>
        <v/>
      </c>
      <c r="BF304" t="str">
        <f t="shared" si="229"/>
        <v/>
      </c>
      <c r="BH304">
        <f>IF(IFERROR(SEARCH("Sorcerer",$T304,1),0)&gt;0,1,0)*IF(SorcererMaxSpellLevel&gt;=$C304,1,0)*IF(IFERROR(MATCH(B304,Character_Creation!$J$380:$J$394,0),0)&gt;0,0,1)</f>
        <v>0</v>
      </c>
      <c r="BI304">
        <f>IF(BH304=0,0,1+COUNTIF(BI$3:BI303,"&gt;0"))</f>
        <v>0</v>
      </c>
      <c r="BJ304" t="str">
        <f t="shared" si="258"/>
        <v/>
      </c>
      <c r="BK304" t="str">
        <f t="shared" si="230"/>
        <v/>
      </c>
      <c r="BM304">
        <f>IF(OR(IFERROR(SEARCH("Warlock",$T304,1),0)&gt;0,IFERROR(SEARCH(WarlockPatron,$T304,1),0)&gt;0),1,0)*IF(WarlockMaxSpellLevel&gt;=$C304,1,0)*IF(IFERROR(MATCH(B304,Character_Creation!$J$361:$J$375,0),0)&gt;0,0,1)</f>
        <v>0</v>
      </c>
      <c r="BN304">
        <f>IF(BM304=0,0,1+COUNTIF(BN$3:BN303,"&gt;0"))</f>
        <v>0</v>
      </c>
      <c r="BO304" t="str">
        <f t="shared" si="259"/>
        <v/>
      </c>
      <c r="BP304" t="str">
        <f t="shared" si="231"/>
        <v/>
      </c>
      <c r="BR304">
        <f>IF(IFERROR(SEARCH("Eldritch Knight",$T304,1),0)&gt;0,1,0)*IF(EldritchKnightMaxSpellLevel&gt;=$C304,1,0)*IF(IFERROR(MATCH($B304,Character_Creation!$J$350:$J$356,0),0)&gt;0,0,1)*IF(Character_Creation!$M$338&gt;0,1,0)</f>
        <v>0</v>
      </c>
      <c r="BS304">
        <f>IF(BR304=0,0,1+COUNTIF(BS$3:BS303,"&gt;0"))</f>
        <v>0</v>
      </c>
      <c r="BT304" t="str">
        <f t="shared" si="260"/>
        <v/>
      </c>
      <c r="BU304" t="str">
        <f t="shared" si="232"/>
        <v/>
      </c>
      <c r="BW304">
        <f>IF(IFERROR(SEARCH("Arcane Trickster",$T304,1),0)&gt;0,1,0)*IF(ArcaneTricksterMaxSpellLevel&gt;=$C304,1,0)*IF(IFERROR(MATCH($B304,Character_Creation!$J$350:$J$356,0),0)&gt;0,0,1)*IF(Character_Creation!$T$338&gt;0,1,0)</f>
        <v>0</v>
      </c>
      <c r="BX304">
        <f>IF(BW304=0,0,1+COUNTIF(BX$3:BX303,"&gt;0"))</f>
        <v>0</v>
      </c>
      <c r="BY304" t="str">
        <f t="shared" si="261"/>
        <v/>
      </c>
      <c r="BZ304" t="str">
        <f t="shared" si="233"/>
        <v/>
      </c>
      <c r="CB304">
        <f>IF(IFERROR(SEARCH("Wizard",$T304,1),0)&gt;0,1,0)*IF(C304&lt;=ArcaneTricksterMaxSpellLevel,1,0)*IF(IFERROR(MATCH($B304,Character_Creation!$J$350:$J$356,0),0)&gt;0,0,1)*IF(Character_Creation!$T$350&gt;0,1,0)</f>
        <v>0</v>
      </c>
      <c r="CC304">
        <f>IF(CB304=0,0,1+COUNTIF(CC$3:CC303,"&gt;0"))</f>
        <v>0</v>
      </c>
      <c r="CD304" t="str">
        <f t="shared" si="262"/>
        <v/>
      </c>
      <c r="CE304" t="str">
        <f t="shared" si="234"/>
        <v/>
      </c>
      <c r="CG304">
        <f>IF(IFERROR(SEARCH("Wizard",$T304,1),0)&gt;0,1,0)*IF($C304&lt;=EldritchKnightMaxSpellLevel,1,0)*IF(IFERROR(MATCH($B304,Character_Creation!$J$350:$J$356,0),0)&gt;0,0,1)*IF(Character_Creation!$M$350&gt;0,1,0)</f>
        <v>1</v>
      </c>
      <c r="CH304">
        <f>IF(CG304=0,0,1+COUNTIF(CH$3:CH303,"&gt;0"))</f>
        <v>55</v>
      </c>
      <c r="CI304" t="str">
        <f t="shared" si="263"/>
        <v/>
      </c>
      <c r="CJ304" t="str">
        <f t="shared" si="235"/>
        <v/>
      </c>
      <c r="CL304">
        <f>IF(IFERROR(SEARCH("Bard",$T304,1),0)&gt;0,1,0)*IF(BardMaxSpellLevel&gt;=$C304,1,0)*IF(IFERROR(MATCH(B304,Character_Creation!$C$341:$F$362,0),0)&gt;0,0,1)*IF(IFERROR(MATCH($B304,Character_Creation!$C$341:$C$362,0),0)&gt;0,0,1)</f>
        <v>0</v>
      </c>
      <c r="CM304">
        <f>IF(CL304=0,0,1+COUNTIF(CM$3:CM303,"&gt;0"))</f>
        <v>0</v>
      </c>
      <c r="CN304" t="str">
        <f t="shared" si="264"/>
        <v/>
      </c>
      <c r="CO304" t="str">
        <f t="shared" si="236"/>
        <v/>
      </c>
      <c r="CQ304">
        <f>IF(IFERROR(SEARCH("Wizard",$T304,1),0)&gt;0,1,0)*IF(WizardMaxSpellLevel&gt;=$C304,1,0)*IF(IFERROR(MATCH(B304,Character_Creation!$X$341:$X$400,0),0)&gt;0,0,1)*IF(SelectedWizardSpellLevel=$C304,1,0)</f>
        <v>0</v>
      </c>
      <c r="CR304">
        <f>IF(CQ304=0,0,1+COUNTIF(CR$3:CR303,"&gt;0"))</f>
        <v>0</v>
      </c>
      <c r="CS304" t="str">
        <f t="shared" si="265"/>
        <v/>
      </c>
      <c r="CT304" t="str">
        <f t="shared" si="237"/>
        <v/>
      </c>
      <c r="CV304">
        <f>IF(IFERROR(MATCH($B304,Character_Creation!$C$341:$C$362,0),0)&gt;0,0,1)*IF(OR(C304="Cantrip",C304&lt;=BardMaxSpellLevel),1,0)*IF(IFERROR(MATCH($B304,Character_Creation!$C$367:$C$374,0),0)&gt;0,0,1)</f>
        <v>0</v>
      </c>
      <c r="CW304">
        <f>IF(CV304=0,0,1+COUNTIF(CW$3:CW303,"&gt;0"))</f>
        <v>0</v>
      </c>
      <c r="CX304" t="str">
        <f t="shared" si="266"/>
        <v/>
      </c>
      <c r="CY304" t="str">
        <f t="shared" si="238"/>
        <v/>
      </c>
      <c r="DA304">
        <f>IF(IF(OR(IFERROR(SEARCH("Cleric",$T304,1),0)&gt;0,IFERROR(SEARCH(DivineDomain&amp;",",$T304,1),0)&gt;0),1,0)*IF($C304=DA$2,1,0)=1,1+COUNTIF(DA$3:DA303,"&gt;0"),0)</f>
        <v>0</v>
      </c>
      <c r="DB304">
        <f>IF(IF(OR(IFERROR(SEARCH("Cleric",$T304,1),0)&gt;0,IFERROR(SEARCH(DivineDomain&amp;",",$T304,1),0)&gt;0),1,0)*IF($C304=DB$2,1,0)=1,1+COUNTIF(DB$3:DB303,"&gt;0"),0)</f>
        <v>0</v>
      </c>
      <c r="DC304">
        <f>IF(IF(OR(IFERROR(SEARCH("Cleric",$T304,1),0)&gt;0,IFERROR(SEARCH(DivineDomain&amp;",",$T304,1),0)&gt;0),1,0)*IF($C304=DC$2,1,0)=1,1+COUNTIF(DC$3:DC303,"&gt;0"),0)</f>
        <v>0</v>
      </c>
      <c r="DD304">
        <f>IF(IF(OR(IFERROR(SEARCH("Cleric",$T304,1),0)&gt;0,IFERROR(SEARCH(DivineDomain&amp;",",$T304,1),0)&gt;0),1,0)*IF($C304=DD$2,1,0)=1,1+COUNTIF(DD$3:DD303,"&gt;0"),0)</f>
        <v>0</v>
      </c>
      <c r="DE304">
        <f>IF(IF(OR(IFERROR(SEARCH("Cleric",$T304,1),0)&gt;0,IFERROR(SEARCH(DivineDomain&amp;",",$T304,1),0)&gt;0),1,0)*IF($C304=DE$2,1,0)=1,1+COUNTIF(DE$3:DE303,"&gt;0"),0)</f>
        <v>0</v>
      </c>
      <c r="DF304">
        <f>IF(IF(OR(IFERROR(SEARCH("Cleric",$T304,1),0)&gt;0,IFERROR(SEARCH(DivineDomain&amp;",",$T304,1),0)&gt;0),1,0)*IF($C304=DF$2,1,0)=1,1+COUNTIF(DF$3:DF303,"&gt;0"),0)</f>
        <v>0</v>
      </c>
      <c r="DG304">
        <f>IF(IF(OR(IFERROR(SEARCH("Cleric",$T304,1),0)&gt;0,IFERROR(SEARCH(DivineDomain&amp;",",$T304,1),0)&gt;0),1,0)*IF($C304=DG$2,1,0)=1,1+COUNTIF(DG$3:DG303,"&gt;0"),0)</f>
        <v>0</v>
      </c>
      <c r="DH304">
        <f>IF(IF(OR(IFERROR(SEARCH("Cleric",$T304,1),0)&gt;0,IFERROR(SEARCH(DivineDomain&amp;",",$T304,1),0)&gt;0),1,0)*IF($C304=DH$2,1,0)=1,1+COUNTIF(DH$3:DH303,"&gt;0"),0)</f>
        <v>0</v>
      </c>
      <c r="DI304">
        <f>IF(IF(OR(IFERROR(SEARCH("Cleric",$T304,1),0)&gt;0,IFERROR(SEARCH(DivineDomain&amp;",",$T304,1),0)&gt;0),1,0)*IF($C304=DI$2,1,0)=1,1+COUNTIF(DI$3:DI303,"&gt;0"),0)</f>
        <v>0</v>
      </c>
      <c r="DJ304">
        <f>IF(IF(OR(IFERROR(SEARCH("Druid",$T304,1),0)&gt;0,IFERROR(SEARCH(DruidLand1,$T304,1),0)&gt;0,IFERROR(SEARCH(DruidLand2,$T304,1),0)&gt;0,IFERROR(SEARCH(DruidLand3,$T304,1),0)&gt;0,IFERROR(SEARCH(DruidLand4,$T304,1),0)&gt;0),1,0)*IF($C304=1,1,0)*IF($C304=DJ$2,1,0)=0,0,1+COUNTIF(DJ$3:DJ303,"&gt;0"))</f>
        <v>0</v>
      </c>
      <c r="DK304">
        <f>IF(IF(OR(IFERROR(SEARCH("Druid",$T304,1),0)&gt;0,IFERROR(SEARCH(DruidLand1,$T304,1),0)&gt;0,IFERROR(SEARCH(DruidLand2,$T304,1),0)&gt;0,IFERROR(SEARCH(DruidLand3,$T304,1),0)&gt;0,IFERROR(SEARCH(DruidLand4,$T304,1),0)&gt;0),1,0)*IF($C304=1,1,0)*IF($C304=DK$2,1,0)=0,0,1+COUNTIF(DK$3:DK303,"&gt;0"))</f>
        <v>0</v>
      </c>
      <c r="DL304">
        <f>IF(IF(OR(IFERROR(SEARCH("Druid",$T304,1),0)&gt;0,IFERROR(SEARCH(DruidLand1,$T304,1),0)&gt;0,IFERROR(SEARCH(DruidLand2,$T304,1),0)&gt;0,IFERROR(SEARCH(DruidLand3,$T304,1),0)&gt;0,IFERROR(SEARCH(DruidLand4,$T304,1),0)&gt;0),1,0)*IF($C304=1,1,0)*IF($C304=DL$2,1,0)=0,0,1+COUNTIF(DL$3:DL303,"&gt;0"))</f>
        <v>0</v>
      </c>
      <c r="DM304">
        <f>IF(IF(OR(IFERROR(SEARCH("Druid",$T304,1),0)&gt;0,IFERROR(SEARCH(DruidLand1,$T304,1),0)&gt;0,IFERROR(SEARCH(DruidLand2,$T304,1),0)&gt;0,IFERROR(SEARCH(DruidLand3,$T304,1),0)&gt;0,IFERROR(SEARCH(DruidLand4,$T304,1),0)&gt;0),1,0)*IF($C304=1,1,0)*IF($C304=DM$2,1,0)=0,0,1+COUNTIF(DM$3:DM303,"&gt;0"))</f>
        <v>0</v>
      </c>
      <c r="DN304">
        <f>IF(IF(OR(IFERROR(SEARCH("Druid",$T304,1),0)&gt;0,IFERROR(SEARCH(DruidLand1,$T304,1),0)&gt;0,IFERROR(SEARCH(DruidLand2,$T304,1),0)&gt;0,IFERROR(SEARCH(DruidLand3,$T304,1),0)&gt;0,IFERROR(SEARCH(DruidLand4,$T304,1),0)&gt;0),1,0)*IF($C304=1,1,0)*IF($C304=DN$2,1,0)=0,0,1+COUNTIF(DN$3:DN303,"&gt;0"))</f>
        <v>0</v>
      </c>
      <c r="DO304">
        <f>IF(IF(OR(IFERROR(SEARCH("Druid",$T304,1),0)&gt;0,IFERROR(SEARCH(DruidLand1,$T304,1),0)&gt;0,IFERROR(SEARCH(DruidLand2,$T304,1),0)&gt;0,IFERROR(SEARCH(DruidLand3,$T304,1),0)&gt;0,IFERROR(SEARCH(DruidLand4,$T304,1),0)&gt;0),1,0)*IF($C304=1,1,0)*IF($C304=DO$2,1,0)=0,0,1+COUNTIF(DO$3:DO303,"&gt;0"))</f>
        <v>0</v>
      </c>
      <c r="DP304">
        <f>IF(IF(OR(IFERROR(SEARCH("Druid",$T304,1),0)&gt;0,IFERROR(SEARCH(DruidLand1,$T304,1),0)&gt;0,IFERROR(SEARCH(DruidLand2,$T304,1),0)&gt;0,IFERROR(SEARCH(DruidLand3,$T304,1),0)&gt;0,IFERROR(SEARCH(DruidLand4,$T304,1),0)&gt;0),1,0)*IF($C304=1,1,0)*IF($C304=DP$2,1,0)=0,0,1+COUNTIF(DP$3:DP303,"&gt;0"))</f>
        <v>0</v>
      </c>
      <c r="DQ304">
        <f>IF(IF(OR(IFERROR(SEARCH("Druid",$T304,1),0)&gt;0,IFERROR(SEARCH(DruidLand1,$T304,1),0)&gt;0,IFERROR(SEARCH(DruidLand2,$T304,1),0)&gt;0,IFERROR(SEARCH(DruidLand3,$T304,1),0)&gt;0,IFERROR(SEARCH(DruidLand4,$T304,1),0)&gt;0),1,0)*IF($C304=1,1,0)*IF($C304=DQ$2,1,0)=0,0,1+COUNTIF(DQ$3:DQ303,"&gt;0"))</f>
        <v>0</v>
      </c>
      <c r="DR304">
        <f>IF(IF(OR(IFERROR(SEARCH("Druid",$T304,1),0)&gt;0,IFERROR(SEARCH(DruidLand1,$T304,1),0)&gt;0,IFERROR(SEARCH(DruidLand2,$T304,1),0)&gt;0,IFERROR(SEARCH(DruidLand3,$T304,1),0)&gt;0,IFERROR(SEARCH(DruidLand4,$T304,1),0)&gt;0),1,0)*IF($C304=1,1,0)*IF($C304=DR$2,1,0)=0,0,1+COUNTIF(DR$3:DR303,"&gt;0"))</f>
        <v>0</v>
      </c>
      <c r="DS304">
        <f>IF(IF(OR(IFERROR(SEARCH("Paladin",$T304,1),0)&gt;0,IFERROR(SEARCH(PaladinOath,$T304,1),0)&gt;0),1,0)*IF($C304=DS$2,1,0)=1,1+COUNTIF(DS$3:DS303,"&gt;0"),0)</f>
        <v>0</v>
      </c>
      <c r="DT304">
        <f>IF(IF(OR(IFERROR(SEARCH("Paladin",$T304,1),0)&gt;0,IFERROR(SEARCH(PaladinOath,$T304,1),0)&gt;0),1,0)*IF($C304=DT$2,1,0)=1,1+COUNTIF(DT$3:DT303,"&gt;0"),0)</f>
        <v>0</v>
      </c>
      <c r="DU304">
        <f>IF(IF(OR(IFERROR(SEARCH("Paladin",$T304,1),0)&gt;0,IFERROR(SEARCH(PaladinOath,$T304,1),0)&gt;0),1,0)*IF($C304=DU$2,1,0)=1,1+COUNTIF(DU$3:DU303,"&gt;0"),0)</f>
        <v>0</v>
      </c>
      <c r="DV304">
        <f>IF(IF(OR(IFERROR(SEARCH("Paladin",$T304,1),0)&gt;0,IFERROR(SEARCH(PaladinOath,$T304,1),0)&gt;0),1,0)*IF($C304=DV$2,1,0)=1,1+COUNTIF(DV$3:DV303,"&gt;0"),0)</f>
        <v>0</v>
      </c>
      <c r="DW304">
        <f>IF(IF(OR(IFERROR(SEARCH("Paladin",$T304,1),0)&gt;0,IFERROR(SEARCH(PaladinOath,$T304,1),0)&gt;0),1,0)*IF($C304=DW$2,1,0)=1,1+COUNTIF(DW$3:DW303,"&gt;0"),0)</f>
        <v>0</v>
      </c>
      <c r="DY304">
        <f t="shared" si="225"/>
        <v>1</v>
      </c>
      <c r="DZ304">
        <f>IF(DY304=0,0,1+MAX(DZ$3:$DZ303))</f>
        <v>302</v>
      </c>
      <c r="EB304">
        <f t="shared" si="239"/>
        <v>0</v>
      </c>
      <c r="EC304">
        <f>IF(EB304=0,0,1+COUNTIF(EC$3:EC303,"&gt;0"))</f>
        <v>0</v>
      </c>
      <c r="ED304" t="str">
        <f t="shared" si="267"/>
        <v/>
      </c>
      <c r="EE304" t="str">
        <f t="shared" si="240"/>
        <v/>
      </c>
      <c r="EG304">
        <f t="shared" si="241"/>
        <v>0</v>
      </c>
      <c r="EH304">
        <f>IF(EG304=0,0,1+COUNTIF(EH$3:EH303,"&gt;0"))</f>
        <v>0</v>
      </c>
      <c r="EI304" t="str">
        <f t="shared" si="268"/>
        <v/>
      </c>
      <c r="EJ304" t="str">
        <f t="shared" si="242"/>
        <v/>
      </c>
      <c r="EL304">
        <f t="shared" si="243"/>
        <v>0</v>
      </c>
      <c r="EM304">
        <f>IF(EL304=0,0,1+COUNTIF(EM$3:EM303,"&gt;0"))</f>
        <v>0</v>
      </c>
      <c r="EN304" t="str">
        <f t="shared" si="269"/>
        <v/>
      </c>
      <c r="EO304" t="str">
        <f t="shared" si="244"/>
        <v/>
      </c>
      <c r="EQ304">
        <f t="shared" si="245"/>
        <v>0</v>
      </c>
      <c r="ER304">
        <f>IF(EQ304=0,0,1+COUNTIF(ER$3:ER303,"&gt;0"))</f>
        <v>0</v>
      </c>
      <c r="ES304" t="str">
        <f t="shared" si="270"/>
        <v/>
      </c>
      <c r="ET304" t="str">
        <f t="shared" si="246"/>
        <v/>
      </c>
      <c r="EV304">
        <f t="shared" si="247"/>
        <v>0</v>
      </c>
      <c r="EW304">
        <f>IF(EV304=0,0,1+COUNTIF(EW$3:EW303,"&gt;0"))</f>
        <v>0</v>
      </c>
      <c r="EX304" t="str">
        <f t="shared" si="271"/>
        <v/>
      </c>
      <c r="EY304" t="str">
        <f t="shared" si="248"/>
        <v/>
      </c>
      <c r="FA304">
        <f t="shared" si="249"/>
        <v>0</v>
      </c>
      <c r="FB304">
        <f>IF(FA304=0,0,1+COUNTIF(FB$3:FB303,"&gt;0"))</f>
        <v>0</v>
      </c>
      <c r="FC304" t="str">
        <f t="shared" si="272"/>
        <v/>
      </c>
      <c r="FD304" t="str">
        <f t="shared" si="250"/>
        <v/>
      </c>
      <c r="FF304">
        <f t="shared" si="251"/>
        <v>0</v>
      </c>
      <c r="FG304">
        <f>IF(FF304=0,0,1+COUNTIF(FG$3:FG303,"&gt;0"))</f>
        <v>0</v>
      </c>
      <c r="FH304" t="str">
        <f t="shared" si="273"/>
        <v/>
      </c>
      <c r="FI304" t="str">
        <f t="shared" si="252"/>
        <v/>
      </c>
      <c r="FK304">
        <f t="shared" si="253"/>
        <v>0</v>
      </c>
      <c r="FL304">
        <f>IF(FK304=0,0,1+COUNTIF(FL$3:FL303,"&gt;0"))</f>
        <v>0</v>
      </c>
      <c r="FM304" t="str">
        <f t="shared" si="274"/>
        <v/>
      </c>
      <c r="FN304" t="str">
        <f t="shared" si="254"/>
        <v/>
      </c>
      <c r="FP304">
        <f t="shared" si="255"/>
        <v>0</v>
      </c>
      <c r="FQ304">
        <f>IF(FP304=0,0,1+COUNTIF(FQ$3:FQ303,"&gt;0"))</f>
        <v>0</v>
      </c>
      <c r="FR304" t="str">
        <f t="shared" si="275"/>
        <v/>
      </c>
      <c r="FS304" t="str">
        <f t="shared" si="256"/>
        <v/>
      </c>
    </row>
    <row r="305" spans="1:175" x14ac:dyDescent="0.25">
      <c r="A305" s="347">
        <f t="shared" si="276"/>
        <v>303</v>
      </c>
      <c r="B305" s="348" t="s">
        <v>2696</v>
      </c>
      <c r="C305" s="348">
        <v>3</v>
      </c>
      <c r="D305" s="347">
        <v>3</v>
      </c>
      <c r="E305" s="627" t="s">
        <v>6952</v>
      </c>
      <c r="F305" s="346"/>
      <c r="G305" s="347" t="str">
        <f>""</f>
        <v/>
      </c>
      <c r="H305" s="347" t="s">
        <v>5912</v>
      </c>
      <c r="I305" s="347" t="s">
        <v>5315</v>
      </c>
      <c r="J305" s="347" t="str">
        <f t="shared" si="226"/>
        <v/>
      </c>
      <c r="K305" s="347" t="s">
        <v>5291</v>
      </c>
      <c r="L305" s="611" t="str">
        <f t="shared" si="227"/>
        <v>V, S, M, a pinch of dust and a few drops of water</v>
      </c>
      <c r="M305" s="347" t="s">
        <v>2373</v>
      </c>
      <c r="N305" s="347" t="s">
        <v>2387</v>
      </c>
      <c r="O305" s="347" t="s">
        <v>1244</v>
      </c>
      <c r="P305" s="346" t="s">
        <v>5405</v>
      </c>
      <c r="Q305" s="347" t="s">
        <v>5271</v>
      </c>
      <c r="S305" s="346" t="s">
        <v>5825</v>
      </c>
      <c r="T305" s="346" t="str">
        <f t="shared" si="228"/>
        <v xml:space="preserve">Sorcerer, Druid, Wizard, Arctic, Tempest, </v>
      </c>
      <c r="X305" s="347" t="str">
        <f>$B305</f>
        <v>Sleet Storm</v>
      </c>
      <c r="AA305" s="347" t="str">
        <f>$B305</f>
        <v>Sleet Storm</v>
      </c>
      <c r="AD305" s="347" t="str">
        <f>$B305</f>
        <v>Sleet Storm</v>
      </c>
      <c r="AE305" t="str">
        <f>IF(IFERROR(MATCH($B305,temp!A$4:A$13,0),0)&gt;0,T08_Spells!AE$2,"")</f>
        <v/>
      </c>
      <c r="AF305" t="str">
        <f>IF(IFERROR(MATCH($B305,temp!B$4:B$13,0),0)&gt;0,T08_Spells!AF$2,"")</f>
        <v/>
      </c>
      <c r="AG305" t="str">
        <f>IF(IFERROR(MATCH($B305,temp!C$4:C$13,0),0)&gt;0,T08_Spells!AG$2,"")</f>
        <v/>
      </c>
      <c r="AH305" t="str">
        <f>IF(IFERROR(MATCH($B305,temp!D$4:D$13,0),0)&gt;0,T08_Spells!AH$2,"")</f>
        <v/>
      </c>
      <c r="AI305" t="str">
        <f>IF(IFERROR(MATCH($B305,temp!E$4:E$13,0),0)&gt;0,T08_Spells!AI$2,"")</f>
        <v/>
      </c>
      <c r="AJ305" t="str">
        <f>IF(IFERROR(MATCH($B305,temp!F$4:F$13,0),0)&gt;0,T08_Spells!AJ$2,"")</f>
        <v/>
      </c>
      <c r="AK305" t="str">
        <f>IF(IFERROR(MATCH($B305,temp!G$4:G$13,0),0)&gt;0,T08_Spells!AK$2,"")</f>
        <v/>
      </c>
      <c r="AL305" t="str">
        <f>IF(IFERROR(MATCH($B305,temp!H$4:H$13,0),0)&gt;0,T08_Spells!AL$2,"")</f>
        <v>Arctic</v>
      </c>
      <c r="AM305" t="str">
        <f>IF(IFERROR(MATCH($B305,temp!I$4:I$13,0),0)&gt;0,T08_Spells!AM$2,"")</f>
        <v/>
      </c>
      <c r="AN305" t="str">
        <f>IF(IFERROR(MATCH($B305,temp!J$4:J$13,0),0)&gt;0,T08_Spells!AN$2,"")</f>
        <v/>
      </c>
      <c r="AO305" t="str">
        <f>IF(IFERROR(MATCH($B305,temp!K$4:K$13,0),0)&gt;0,T08_Spells!AO$2,"")</f>
        <v/>
      </c>
      <c r="AP305" t="str">
        <f>IF(IFERROR(MATCH($B305,temp!L$4:L$13,0),0)&gt;0,T08_Spells!AP$2,"")</f>
        <v/>
      </c>
      <c r="AQ305" t="str">
        <f>IF(IFERROR(MATCH($B305,temp!M$4:M$13,0),0)&gt;0,T08_Spells!AQ$2,"")</f>
        <v/>
      </c>
      <c r="AR305" t="str">
        <f>IF(IFERROR(MATCH($B305,temp!N$4:N$13,0),0)&gt;0,T08_Spells!AR$2,"")</f>
        <v/>
      </c>
      <c r="AS305" t="str">
        <f>IF(IFERROR(MATCH($B305,temp!O$4:O$13,0),0)&gt;0,T08_Spells!AS$2,"")</f>
        <v/>
      </c>
      <c r="AT305" t="str">
        <f>IF(IFERROR(MATCH($B305,temp!P$4:P$13,0),0)&gt;0,T08_Spells!AT$2,"")</f>
        <v/>
      </c>
      <c r="AU305" t="str">
        <f>IF(IFERROR(MATCH($B305,temp!Q$4:Q$13,0),0)&gt;0,T08_Spells!AU$2,"")</f>
        <v/>
      </c>
      <c r="AV305" t="str">
        <f>IF(IFERROR(MATCH($B305,temp!R$4:R$13,0),0)&gt;0,T08_Spells!AV$2,"")</f>
        <v/>
      </c>
      <c r="AW305" t="str">
        <f>IF(IFERROR(MATCH($B305,temp!S$4:S$13,0),0)&gt;0,T08_Spells!AW$2,"")</f>
        <v/>
      </c>
      <c r="AX305" t="str">
        <f>IF(IFERROR(MATCH($B305,temp!T$4:T$13,0),0)&gt;0,T08_Spells!AX$2,"")</f>
        <v>Tempest</v>
      </c>
      <c r="AY305" t="str">
        <f>IF(IFERROR(MATCH($B305,temp!U$4:U$13,0),0)&gt;0,T08_Spells!AY$2,"")</f>
        <v/>
      </c>
      <c r="AZ305" t="str">
        <f>IF(IFERROR(MATCH($B305,temp!V$4:V$13,0),0)&gt;0,T08_Spells!AZ$2,"")</f>
        <v/>
      </c>
      <c r="BA305" t="str">
        <f>IF(IFERROR(MATCH($B305,temp!W$4:W$13,0),0)&gt;0,T08_Spells!BA$2,"")</f>
        <v/>
      </c>
      <c r="BC305">
        <f>IF(IFERROR(SEARCH("Ranger",$T305,1),0)&gt;0,1,0)*IF(RangerMaxSpellLevel&gt;=$C305,1,0)*IF(IFERROR(MATCH(B305,Character_Creation!$X$79:$X$382,0),0)&gt;0,0,1)</f>
        <v>0</v>
      </c>
      <c r="BD305">
        <f>IF(BC305=0,0,1+COUNTIF(BD$3:BD304,"&gt;0"))</f>
        <v>0</v>
      </c>
      <c r="BE305" t="str">
        <f t="shared" si="257"/>
        <v/>
      </c>
      <c r="BF305" t="str">
        <f t="shared" si="229"/>
        <v/>
      </c>
      <c r="BH305">
        <f>IF(IFERROR(SEARCH("Sorcerer",$T305,1),0)&gt;0,1,0)*IF(SorcererMaxSpellLevel&gt;=$C305,1,0)*IF(IFERROR(MATCH(B305,Character_Creation!$J$380:$J$394,0),0)&gt;0,0,1)</f>
        <v>0</v>
      </c>
      <c r="BI305">
        <f>IF(BH305=0,0,1+COUNTIF(BI$3:BI304,"&gt;0"))</f>
        <v>0</v>
      </c>
      <c r="BJ305" t="str">
        <f t="shared" si="258"/>
        <v/>
      </c>
      <c r="BK305" t="str">
        <f t="shared" si="230"/>
        <v/>
      </c>
      <c r="BM305">
        <f>IF(OR(IFERROR(SEARCH("Warlock",$T305,1),0)&gt;0,IFERROR(SEARCH(WarlockPatron,$T305,1),0)&gt;0),1,0)*IF(WarlockMaxSpellLevel&gt;=$C305,1,0)*IF(IFERROR(MATCH(B305,Character_Creation!$J$361:$J$375,0),0)&gt;0,0,1)</f>
        <v>0</v>
      </c>
      <c r="BN305">
        <f>IF(BM305=0,0,1+COUNTIF(BN$3:BN304,"&gt;0"))</f>
        <v>0</v>
      </c>
      <c r="BO305" t="str">
        <f t="shared" si="259"/>
        <v/>
      </c>
      <c r="BP305" t="str">
        <f t="shared" si="231"/>
        <v/>
      </c>
      <c r="BR305">
        <f>IF(IFERROR(SEARCH("Eldritch Knight",$T305,1),0)&gt;0,1,0)*IF(EldritchKnightMaxSpellLevel&gt;=$C305,1,0)*IF(IFERROR(MATCH($B305,Character_Creation!$J$350:$J$356,0),0)&gt;0,0,1)*IF(Character_Creation!$M$338&gt;0,1,0)</f>
        <v>0</v>
      </c>
      <c r="BS305">
        <f>IF(BR305=0,0,1+COUNTIF(BS$3:BS304,"&gt;0"))</f>
        <v>0</v>
      </c>
      <c r="BT305" t="str">
        <f t="shared" si="260"/>
        <v/>
      </c>
      <c r="BU305" t="str">
        <f t="shared" si="232"/>
        <v/>
      </c>
      <c r="BW305">
        <f>IF(IFERROR(SEARCH("Arcane Trickster",$T305,1),0)&gt;0,1,0)*IF(ArcaneTricksterMaxSpellLevel&gt;=$C305,1,0)*IF(IFERROR(MATCH($B305,Character_Creation!$J$350:$J$356,0),0)&gt;0,0,1)*IF(Character_Creation!$T$338&gt;0,1,0)</f>
        <v>0</v>
      </c>
      <c r="BX305">
        <f>IF(BW305=0,0,1+COUNTIF(BX$3:BX304,"&gt;0"))</f>
        <v>0</v>
      </c>
      <c r="BY305" t="str">
        <f t="shared" si="261"/>
        <v/>
      </c>
      <c r="BZ305" t="str">
        <f t="shared" si="233"/>
        <v/>
      </c>
      <c r="CB305">
        <f>IF(IFERROR(SEARCH("Wizard",$T305,1),0)&gt;0,1,0)*IF(C305&lt;=ArcaneTricksterMaxSpellLevel,1,0)*IF(IFERROR(MATCH($B305,Character_Creation!$J$350:$J$356,0),0)&gt;0,0,1)*IF(Character_Creation!$T$350&gt;0,1,0)</f>
        <v>0</v>
      </c>
      <c r="CC305">
        <f>IF(CB305=0,0,1+COUNTIF(CC$3:CC304,"&gt;0"))</f>
        <v>0</v>
      </c>
      <c r="CD305" t="str">
        <f t="shared" si="262"/>
        <v/>
      </c>
      <c r="CE305" t="str">
        <f t="shared" si="234"/>
        <v/>
      </c>
      <c r="CG305">
        <f>IF(IFERROR(SEARCH("Wizard",$T305,1),0)&gt;0,1,0)*IF($C305&lt;=EldritchKnightMaxSpellLevel,1,0)*IF(IFERROR(MATCH($B305,Character_Creation!$J$350:$J$356,0),0)&gt;0,0,1)*IF(Character_Creation!$M$350&gt;0,1,0)</f>
        <v>0</v>
      </c>
      <c r="CH305">
        <f>IF(CG305=0,0,1+COUNTIF(CH$3:CH304,"&gt;0"))</f>
        <v>0</v>
      </c>
      <c r="CI305" t="str">
        <f t="shared" si="263"/>
        <v/>
      </c>
      <c r="CJ305" t="str">
        <f t="shared" si="235"/>
        <v/>
      </c>
      <c r="CL305">
        <f>IF(IFERROR(SEARCH("Bard",$T305,1),0)&gt;0,1,0)*IF(BardMaxSpellLevel&gt;=$C305,1,0)*IF(IFERROR(MATCH(B305,Character_Creation!$C$341:$F$362,0),0)&gt;0,0,1)*IF(IFERROR(MATCH($B305,Character_Creation!$C$341:$C$362,0),0)&gt;0,0,1)</f>
        <v>0</v>
      </c>
      <c r="CM305">
        <f>IF(CL305=0,0,1+COUNTIF(CM$3:CM304,"&gt;0"))</f>
        <v>0</v>
      </c>
      <c r="CN305" t="str">
        <f t="shared" si="264"/>
        <v/>
      </c>
      <c r="CO305" t="str">
        <f t="shared" si="236"/>
        <v/>
      </c>
      <c r="CQ305">
        <f>IF(IFERROR(SEARCH("Wizard",$T305,1),0)&gt;0,1,0)*IF(WizardMaxSpellLevel&gt;=$C305,1,0)*IF(IFERROR(MATCH(B305,Character_Creation!$X$341:$X$400,0),0)&gt;0,0,1)*IF(SelectedWizardSpellLevel=$C305,1,0)</f>
        <v>1</v>
      </c>
      <c r="CR305">
        <f>IF(CQ305=0,0,1+COUNTIF(CR$3:CR304,"&gt;0"))</f>
        <v>22</v>
      </c>
      <c r="CS305" t="str">
        <f t="shared" si="265"/>
        <v/>
      </c>
      <c r="CT305" t="str">
        <f t="shared" si="237"/>
        <v/>
      </c>
      <c r="CV305">
        <f>IF(IFERROR(MATCH($B305,Character_Creation!$C$341:$C$362,0),0)&gt;0,0,1)*IF(OR(C305="Cantrip",C305&lt;=BardMaxSpellLevel),1,0)*IF(IFERROR(MATCH($B305,Character_Creation!$C$367:$C$374,0),0)&gt;0,0,1)</f>
        <v>0</v>
      </c>
      <c r="CW305">
        <f>IF(CV305=0,0,1+COUNTIF(CW$3:CW304,"&gt;0"))</f>
        <v>0</v>
      </c>
      <c r="CX305" t="str">
        <f t="shared" si="266"/>
        <v/>
      </c>
      <c r="CY305" t="str">
        <f t="shared" si="238"/>
        <v/>
      </c>
      <c r="DA305">
        <f>IF(IF(OR(IFERROR(SEARCH("Cleric",$T305,1),0)&gt;0,IFERROR(SEARCH(DivineDomain&amp;",",$T305,1),0)&gt;0),1,0)*IF($C305=DA$2,1,0)=1,1+COUNTIF(DA$3:DA304,"&gt;0"),0)</f>
        <v>0</v>
      </c>
      <c r="DB305">
        <f>IF(IF(OR(IFERROR(SEARCH("Cleric",$T305,1),0)&gt;0,IFERROR(SEARCH(DivineDomain&amp;",",$T305,1),0)&gt;0),1,0)*IF($C305=DB$2,1,0)=1,1+COUNTIF(DB$3:DB304,"&gt;0"),0)</f>
        <v>0</v>
      </c>
      <c r="DC305">
        <f>IF(IF(OR(IFERROR(SEARCH("Cleric",$T305,1),0)&gt;0,IFERROR(SEARCH(DivineDomain&amp;",",$T305,1),0)&gt;0),1,0)*IF($C305=DC$2,1,0)=1,1+COUNTIF(DC$3:DC304,"&gt;0"),0)</f>
        <v>0</v>
      </c>
      <c r="DD305">
        <f>IF(IF(OR(IFERROR(SEARCH("Cleric",$T305,1),0)&gt;0,IFERROR(SEARCH(DivineDomain&amp;",",$T305,1),0)&gt;0),1,0)*IF($C305=DD$2,1,0)=1,1+COUNTIF(DD$3:DD304,"&gt;0"),0)</f>
        <v>0</v>
      </c>
      <c r="DE305">
        <f>IF(IF(OR(IFERROR(SEARCH("Cleric",$T305,1),0)&gt;0,IFERROR(SEARCH(DivineDomain&amp;",",$T305,1),0)&gt;0),1,0)*IF($C305=DE$2,1,0)=1,1+COUNTIF(DE$3:DE304,"&gt;0"),0)</f>
        <v>0</v>
      </c>
      <c r="DF305">
        <f>IF(IF(OR(IFERROR(SEARCH("Cleric",$T305,1),0)&gt;0,IFERROR(SEARCH(DivineDomain&amp;",",$T305,1),0)&gt;0),1,0)*IF($C305=DF$2,1,0)=1,1+COUNTIF(DF$3:DF304,"&gt;0"),0)</f>
        <v>0</v>
      </c>
      <c r="DG305">
        <f>IF(IF(OR(IFERROR(SEARCH("Cleric",$T305,1),0)&gt;0,IFERROR(SEARCH(DivineDomain&amp;",",$T305,1),0)&gt;0),1,0)*IF($C305=DG$2,1,0)=1,1+COUNTIF(DG$3:DG304,"&gt;0"),0)</f>
        <v>0</v>
      </c>
      <c r="DH305">
        <f>IF(IF(OR(IFERROR(SEARCH("Cleric",$T305,1),0)&gt;0,IFERROR(SEARCH(DivineDomain&amp;",",$T305,1),0)&gt;0),1,0)*IF($C305=DH$2,1,0)=1,1+COUNTIF(DH$3:DH304,"&gt;0"),0)</f>
        <v>0</v>
      </c>
      <c r="DI305">
        <f>IF(IF(OR(IFERROR(SEARCH("Cleric",$T305,1),0)&gt;0,IFERROR(SEARCH(DivineDomain&amp;",",$T305,1),0)&gt;0),1,0)*IF($C305=DI$2,1,0)=1,1+COUNTIF(DI$3:DI304,"&gt;0"),0)</f>
        <v>0</v>
      </c>
      <c r="DJ305">
        <f>IF(IF(OR(IFERROR(SEARCH("Druid",$T305,1),0)&gt;0,IFERROR(SEARCH(DruidLand1,$T305,1),0)&gt;0,IFERROR(SEARCH(DruidLand2,$T305,1),0)&gt;0,IFERROR(SEARCH(DruidLand3,$T305,1),0)&gt;0,IFERROR(SEARCH(DruidLand4,$T305,1),0)&gt;0),1,0)*IF($C305=1,1,0)*IF($C305=DJ$2,1,0)=0,0,1+COUNTIF(DJ$3:DJ304,"&gt;0"))</f>
        <v>0</v>
      </c>
      <c r="DK305">
        <f>IF(IF(OR(IFERROR(SEARCH("Druid",$T305,1),0)&gt;0,IFERROR(SEARCH(DruidLand1,$T305,1),0)&gt;0,IFERROR(SEARCH(DruidLand2,$T305,1),0)&gt;0,IFERROR(SEARCH(DruidLand3,$T305,1),0)&gt;0,IFERROR(SEARCH(DruidLand4,$T305,1),0)&gt;0),1,0)*IF($C305=DK$2,1,0)=0,0,1+COUNTIF(DK$3:DK304,"&gt;0"))</f>
        <v>0</v>
      </c>
      <c r="DL305">
        <f>IF(IF(OR(IFERROR(SEARCH("Druid",$T305,1),0)&gt;0,IFERROR(SEARCH(DruidLand1,$T305,1),0)&gt;0,IFERROR(SEARCH(DruidLand2,$T305,1),0)&gt;0,IFERROR(SEARCH(DruidLand3,$T305,1),0)&gt;0,IFERROR(SEARCH(DruidLand4,$T305,1),0)&gt;0),1,0)*IF($C305=DL$2,1,0)=0,0,1+COUNTIF(DL$3:DL304,"&gt;0"))</f>
        <v>9</v>
      </c>
      <c r="DM305">
        <f>IF(IF(OR(IFERROR(SEARCH("Druid",$T305,1),0)&gt;0,IFERROR(SEARCH(DruidLand1,$T305,1),0)&gt;0,IFERROR(SEARCH(DruidLand2,$T305,1),0)&gt;0,IFERROR(SEARCH(DruidLand3,$T305,1),0)&gt;0,IFERROR(SEARCH(DruidLand4,$T305,1),0)&gt;0),1,0)*IF($C305=DM$2,1,0)=0,0,1+COUNTIF(DM$3:DM304,"&gt;0"))</f>
        <v>0</v>
      </c>
      <c r="DN305">
        <f>IF(IF(OR(IFERROR(SEARCH("Druid",$T305,1),0)&gt;0,IFERROR(SEARCH(DruidLand1,$T305,1),0)&gt;0,IFERROR(SEARCH(DruidLand2,$T305,1),0)&gt;0,IFERROR(SEARCH(DruidLand3,$T305,1),0)&gt;0,IFERROR(SEARCH(DruidLand4,$T305,1),0)&gt;0),1,0)*IF($C305=DN$2,1,0)=0,0,1+COUNTIF(DN$3:DN304,"&gt;0"))</f>
        <v>0</v>
      </c>
      <c r="DO305">
        <f>IF(IF(OR(IFERROR(SEARCH("Druid",$T305,1),0)&gt;0,IFERROR(SEARCH(DruidLand1,$T305,1),0)&gt;0,IFERROR(SEARCH(DruidLand2,$T305,1),0)&gt;0,IFERROR(SEARCH(DruidLand3,$T305,1),0)&gt;0,IFERROR(SEARCH(DruidLand4,$T305,1),0)&gt;0),1,0)*IF($C305=DO$2,1,0)=0,0,1+COUNTIF(DO$3:DO304,"&gt;0"))</f>
        <v>0</v>
      </c>
      <c r="DP305">
        <f>IF(IF(OR(IFERROR(SEARCH("Druid",$T305,1),0)&gt;0,IFERROR(SEARCH(DruidLand1,$T305,1),0)&gt;0,IFERROR(SEARCH(DruidLand2,$T305,1),0)&gt;0,IFERROR(SEARCH(DruidLand3,$T305,1),0)&gt;0,IFERROR(SEARCH(DruidLand4,$T305,1),0)&gt;0),1,0)*IF($C305=DP$2,1,0)=0,0,1+COUNTIF(DP$3:DP304,"&gt;0"))</f>
        <v>0</v>
      </c>
      <c r="DQ305">
        <f>IF(IF(OR(IFERROR(SEARCH("Druid",$T305,1),0)&gt;0,IFERROR(SEARCH(DruidLand1,$T305,1),0)&gt;0,IFERROR(SEARCH(DruidLand2,$T305,1),0)&gt;0,IFERROR(SEARCH(DruidLand3,$T305,1),0)&gt;0,IFERROR(SEARCH(DruidLand4,$T305,1),0)&gt;0),1,0)*IF($C305=DQ$2,1,0)=0,0,1+COUNTIF(DQ$3:DQ304,"&gt;0"))</f>
        <v>0</v>
      </c>
      <c r="DR305">
        <f>IF(IF(OR(IFERROR(SEARCH("Druid",$T305,1),0)&gt;0,IFERROR(SEARCH(DruidLand1,$T305,1),0)&gt;0,IFERROR(SEARCH(DruidLand2,$T305,1),0)&gt;0,IFERROR(SEARCH(DruidLand3,$T305,1),0)&gt;0,IFERROR(SEARCH(DruidLand4,$T305,1),0)&gt;0),1,0)*IF($C305=DR$2,1,0)=0,0,1+COUNTIF(DR$3:DR304,"&gt;0"))</f>
        <v>0</v>
      </c>
      <c r="DS305">
        <f>IF(IF(OR(IFERROR(SEARCH("Paladin",$T305,1),0)&gt;0,IFERROR(SEARCH(PaladinOath,$T305,1),0)&gt;0),1,0)*IF($C305=DS$2,1,0)=1,1+COUNTIF(DS$3:DS304,"&gt;0"),0)</f>
        <v>0</v>
      </c>
      <c r="DT305">
        <f>IF(IF(OR(IFERROR(SEARCH("Paladin",$T305,1),0)&gt;0,IFERROR(SEARCH(PaladinOath,$T305,1),0)&gt;0),1,0)*IF($C305=DT$2,1,0)=1,1+COUNTIF(DT$3:DT304,"&gt;0"),0)</f>
        <v>0</v>
      </c>
      <c r="DU305">
        <f>IF(IF(OR(IFERROR(SEARCH("Paladin",$T305,1),0)&gt;0,IFERROR(SEARCH(PaladinOath,$T305,1),0)&gt;0),1,0)*IF($C305=DU$2,1,0)=1,1+COUNTIF(DU$3:DU304,"&gt;0"),0)</f>
        <v>0</v>
      </c>
      <c r="DV305">
        <f>IF(IF(OR(IFERROR(SEARCH("Paladin",$T305,1),0)&gt;0,IFERROR(SEARCH(PaladinOath,$T305,1),0)&gt;0),1,0)*IF($C305=DV$2,1,0)=1,1+COUNTIF(DV$3:DV304,"&gt;0"),0)</f>
        <v>0</v>
      </c>
      <c r="DW305">
        <f>IF(IF(OR(IFERROR(SEARCH("Paladin",$T305,1),0)&gt;0,IFERROR(SEARCH(PaladinOath,$T305,1),0)&gt;0),1,0)*IF($C305=DW$2,1,0)=1,1+COUNTIF(DW$3:DW304,"&gt;0"),0)</f>
        <v>0</v>
      </c>
      <c r="DY305">
        <f t="shared" si="225"/>
        <v>1</v>
      </c>
      <c r="DZ305">
        <f>IF(DY305=0,0,1+MAX(DZ$3:$DZ304))</f>
        <v>303</v>
      </c>
      <c r="EB305">
        <f t="shared" si="239"/>
        <v>0</v>
      </c>
      <c r="EC305">
        <f>IF(EB305=0,0,1+COUNTIF(EC$3:EC304,"&gt;0"))</f>
        <v>0</v>
      </c>
      <c r="ED305" t="str">
        <f t="shared" si="267"/>
        <v/>
      </c>
      <c r="EE305" t="str">
        <f t="shared" si="240"/>
        <v/>
      </c>
      <c r="EG305">
        <f t="shared" si="241"/>
        <v>0</v>
      </c>
      <c r="EH305">
        <f>IF(EG305=0,0,1+COUNTIF(EH$3:EH304,"&gt;0"))</f>
        <v>0</v>
      </c>
      <c r="EI305" t="str">
        <f t="shared" si="268"/>
        <v/>
      </c>
      <c r="EJ305" t="str">
        <f t="shared" si="242"/>
        <v/>
      </c>
      <c r="EL305">
        <f t="shared" si="243"/>
        <v>0</v>
      </c>
      <c r="EM305">
        <f>IF(EL305=0,0,1+COUNTIF(EM$3:EM304,"&gt;0"))</f>
        <v>0</v>
      </c>
      <c r="EN305" t="str">
        <f t="shared" si="269"/>
        <v/>
      </c>
      <c r="EO305" t="str">
        <f t="shared" si="244"/>
        <v/>
      </c>
      <c r="EQ305">
        <f t="shared" si="245"/>
        <v>0</v>
      </c>
      <c r="ER305">
        <f>IF(EQ305=0,0,1+COUNTIF(ER$3:ER304,"&gt;0"))</f>
        <v>0</v>
      </c>
      <c r="ES305" t="str">
        <f t="shared" si="270"/>
        <v/>
      </c>
      <c r="ET305" t="str">
        <f t="shared" si="246"/>
        <v/>
      </c>
      <c r="EV305">
        <f t="shared" si="247"/>
        <v>0</v>
      </c>
      <c r="EW305">
        <f>IF(EV305=0,0,1+COUNTIF(EW$3:EW304,"&gt;0"))</f>
        <v>0</v>
      </c>
      <c r="EX305" t="str">
        <f t="shared" si="271"/>
        <v/>
      </c>
      <c r="EY305" t="str">
        <f t="shared" si="248"/>
        <v/>
      </c>
      <c r="FA305">
        <f t="shared" si="249"/>
        <v>0</v>
      </c>
      <c r="FB305">
        <f>IF(FA305=0,0,1+COUNTIF(FB$3:FB304,"&gt;0"))</f>
        <v>0</v>
      </c>
      <c r="FC305" t="str">
        <f t="shared" si="272"/>
        <v/>
      </c>
      <c r="FD305" t="str">
        <f t="shared" si="250"/>
        <v/>
      </c>
      <c r="FF305">
        <f t="shared" si="251"/>
        <v>0</v>
      </c>
      <c r="FG305">
        <f>IF(FF305=0,0,1+COUNTIF(FG$3:FG304,"&gt;0"))</f>
        <v>0</v>
      </c>
      <c r="FH305" t="str">
        <f t="shared" si="273"/>
        <v/>
      </c>
      <c r="FI305" t="str">
        <f t="shared" si="252"/>
        <v/>
      </c>
      <c r="FK305">
        <f t="shared" si="253"/>
        <v>0</v>
      </c>
      <c r="FL305">
        <f>IF(FK305=0,0,1+COUNTIF(FL$3:FL304,"&gt;0"))</f>
        <v>0</v>
      </c>
      <c r="FM305" t="str">
        <f t="shared" si="274"/>
        <v/>
      </c>
      <c r="FN305" t="str">
        <f t="shared" si="254"/>
        <v/>
      </c>
      <c r="FP305">
        <f t="shared" si="255"/>
        <v>0</v>
      </c>
      <c r="FQ305">
        <f>IF(FP305=0,0,1+COUNTIF(FQ$3:FQ304,"&gt;0"))</f>
        <v>0</v>
      </c>
      <c r="FR305" t="str">
        <f t="shared" si="275"/>
        <v/>
      </c>
      <c r="FS305" t="str">
        <f t="shared" si="256"/>
        <v/>
      </c>
    </row>
    <row r="306" spans="1:175" x14ac:dyDescent="0.25">
      <c r="A306" s="347">
        <f t="shared" si="276"/>
        <v>304</v>
      </c>
      <c r="B306" s="348" t="s">
        <v>2697</v>
      </c>
      <c r="C306" s="348">
        <v>3</v>
      </c>
      <c r="D306" s="347">
        <v>3</v>
      </c>
      <c r="E306" s="627" t="s">
        <v>6952</v>
      </c>
      <c r="F306" s="346"/>
      <c r="G306" s="347" t="str">
        <f>""</f>
        <v/>
      </c>
      <c r="H306" s="347" t="s">
        <v>5912</v>
      </c>
      <c r="I306" s="347" t="s">
        <v>5290</v>
      </c>
      <c r="J306" s="347" t="str">
        <f t="shared" si="226"/>
        <v/>
      </c>
      <c r="K306" s="347" t="s">
        <v>5291</v>
      </c>
      <c r="L306" s="611" t="str">
        <f t="shared" si="227"/>
        <v>V, S, M, a drop of molasses</v>
      </c>
      <c r="M306" s="347" t="s">
        <v>2373</v>
      </c>
      <c r="N306" s="347" t="s">
        <v>2387</v>
      </c>
      <c r="O306" s="347" t="s">
        <v>1244</v>
      </c>
      <c r="P306" s="346" t="s">
        <v>5483</v>
      </c>
      <c r="Q306" s="347" t="s">
        <v>5276</v>
      </c>
      <c r="S306" s="346" t="s">
        <v>5917</v>
      </c>
      <c r="T306" s="346" t="str">
        <f t="shared" si="228"/>
        <v xml:space="preserve">Sorcerer, Wizard, Arctic, </v>
      </c>
      <c r="X306" s="347" t="str">
        <f>$B306</f>
        <v>Slow</v>
      </c>
      <c r="AD306" s="347" t="str">
        <f>$B306</f>
        <v>Slow</v>
      </c>
      <c r="AE306" t="str">
        <f>IF(IFERROR(MATCH($B306,temp!A$4:A$13,0),0)&gt;0,T08_Spells!AE$2,"")</f>
        <v/>
      </c>
      <c r="AF306" t="str">
        <f>IF(IFERROR(MATCH($B306,temp!B$4:B$13,0),0)&gt;0,T08_Spells!AF$2,"")</f>
        <v/>
      </c>
      <c r="AG306" t="str">
        <f>IF(IFERROR(MATCH($B306,temp!C$4:C$13,0),0)&gt;0,T08_Spells!AG$2,"")</f>
        <v/>
      </c>
      <c r="AH306" t="str">
        <f>IF(IFERROR(MATCH($B306,temp!D$4:D$13,0),0)&gt;0,T08_Spells!AH$2,"")</f>
        <v/>
      </c>
      <c r="AI306" t="str">
        <f>IF(IFERROR(MATCH($B306,temp!E$4:E$13,0),0)&gt;0,T08_Spells!AI$2,"")</f>
        <v/>
      </c>
      <c r="AJ306" t="str">
        <f>IF(IFERROR(MATCH($B306,temp!F$4:F$13,0),0)&gt;0,T08_Spells!AJ$2,"")</f>
        <v/>
      </c>
      <c r="AK306" t="str">
        <f>IF(IFERROR(MATCH($B306,temp!G$4:G$13,0),0)&gt;0,T08_Spells!AK$2,"")</f>
        <v/>
      </c>
      <c r="AL306" t="str">
        <f>IF(IFERROR(MATCH($B306,temp!H$4:H$13,0),0)&gt;0,T08_Spells!AL$2,"")</f>
        <v>Arctic</v>
      </c>
      <c r="AM306" t="str">
        <f>IF(IFERROR(MATCH($B306,temp!I$4:I$13,0),0)&gt;0,T08_Spells!AM$2,"")</f>
        <v/>
      </c>
      <c r="AN306" t="str">
        <f>IF(IFERROR(MATCH($B306,temp!J$4:J$13,0),0)&gt;0,T08_Spells!AN$2,"")</f>
        <v/>
      </c>
      <c r="AO306" t="str">
        <f>IF(IFERROR(MATCH($B306,temp!K$4:K$13,0),0)&gt;0,T08_Spells!AO$2,"")</f>
        <v/>
      </c>
      <c r="AP306" t="str">
        <f>IF(IFERROR(MATCH($B306,temp!L$4:L$13,0),0)&gt;0,T08_Spells!AP$2,"")</f>
        <v/>
      </c>
      <c r="AQ306" t="str">
        <f>IF(IFERROR(MATCH($B306,temp!M$4:M$13,0),0)&gt;0,T08_Spells!AQ$2,"")</f>
        <v/>
      </c>
      <c r="AR306" t="str">
        <f>IF(IFERROR(MATCH($B306,temp!N$4:N$13,0),0)&gt;0,T08_Spells!AR$2,"")</f>
        <v/>
      </c>
      <c r="AS306" t="str">
        <f>IF(IFERROR(MATCH($B306,temp!O$4:O$13,0),0)&gt;0,T08_Spells!AS$2,"")</f>
        <v/>
      </c>
      <c r="AT306" t="str">
        <f>IF(IFERROR(MATCH($B306,temp!P$4:P$13,0),0)&gt;0,T08_Spells!AT$2,"")</f>
        <v/>
      </c>
      <c r="AU306" t="str">
        <f>IF(IFERROR(MATCH($B306,temp!Q$4:Q$13,0),0)&gt;0,T08_Spells!AU$2,"")</f>
        <v/>
      </c>
      <c r="AV306" t="str">
        <f>IF(IFERROR(MATCH($B306,temp!R$4:R$13,0),0)&gt;0,T08_Spells!AV$2,"")</f>
        <v/>
      </c>
      <c r="AW306" t="str">
        <f>IF(IFERROR(MATCH($B306,temp!S$4:S$13,0),0)&gt;0,T08_Spells!AW$2,"")</f>
        <v/>
      </c>
      <c r="AX306" t="str">
        <f>IF(IFERROR(MATCH($B306,temp!T$4:T$13,0),0)&gt;0,T08_Spells!AX$2,"")</f>
        <v/>
      </c>
      <c r="AY306" t="str">
        <f>IF(IFERROR(MATCH($B306,temp!U$4:U$13,0),0)&gt;0,T08_Spells!AY$2,"")</f>
        <v/>
      </c>
      <c r="AZ306" t="str">
        <f>IF(IFERROR(MATCH($B306,temp!V$4:V$13,0),0)&gt;0,T08_Spells!AZ$2,"")</f>
        <v/>
      </c>
      <c r="BA306" t="str">
        <f>IF(IFERROR(MATCH($B306,temp!W$4:W$13,0),0)&gt;0,T08_Spells!BA$2,"")</f>
        <v/>
      </c>
      <c r="BC306">
        <f>IF(IFERROR(SEARCH("Ranger",$T306,1),0)&gt;0,1,0)*IF(RangerMaxSpellLevel&gt;=$C306,1,0)*IF(IFERROR(MATCH(B306,Character_Creation!$X$79:$X$382,0),0)&gt;0,0,1)</f>
        <v>0</v>
      </c>
      <c r="BD306">
        <f>IF(BC306=0,0,1+COUNTIF(BD$3:BD305,"&gt;0"))</f>
        <v>0</v>
      </c>
      <c r="BE306" t="str">
        <f t="shared" si="257"/>
        <v/>
      </c>
      <c r="BF306" t="str">
        <f t="shared" si="229"/>
        <v/>
      </c>
      <c r="BH306">
        <f>IF(IFERROR(SEARCH("Sorcerer",$T306,1),0)&gt;0,1,0)*IF(SorcererMaxSpellLevel&gt;=$C306,1,0)*IF(IFERROR(MATCH(B306,Character_Creation!$J$380:$J$394,0),0)&gt;0,0,1)</f>
        <v>0</v>
      </c>
      <c r="BI306">
        <f>IF(BH306=0,0,1+COUNTIF(BI$3:BI305,"&gt;0"))</f>
        <v>0</v>
      </c>
      <c r="BJ306" t="str">
        <f t="shared" si="258"/>
        <v/>
      </c>
      <c r="BK306" t="str">
        <f t="shared" si="230"/>
        <v/>
      </c>
      <c r="BM306">
        <f>IF(OR(IFERROR(SEARCH("Warlock",$T306,1),0)&gt;0,IFERROR(SEARCH(WarlockPatron,$T306,1),0)&gt;0),1,0)*IF(WarlockMaxSpellLevel&gt;=$C306,1,0)*IF(IFERROR(MATCH(B306,Character_Creation!$J$361:$J$375,0),0)&gt;0,0,1)</f>
        <v>0</v>
      </c>
      <c r="BN306">
        <f>IF(BM306=0,0,1+COUNTIF(BN$3:BN305,"&gt;0"))</f>
        <v>0</v>
      </c>
      <c r="BO306" t="str">
        <f t="shared" si="259"/>
        <v/>
      </c>
      <c r="BP306" t="str">
        <f t="shared" si="231"/>
        <v/>
      </c>
      <c r="BR306">
        <f>IF(IFERROR(SEARCH("Eldritch Knight",$T306,1),0)&gt;0,1,0)*IF(EldritchKnightMaxSpellLevel&gt;=$C306,1,0)*IF(IFERROR(MATCH($B306,Character_Creation!$J$350:$J$356,0),0)&gt;0,0,1)*IF(Character_Creation!$M$338&gt;0,1,0)</f>
        <v>0</v>
      </c>
      <c r="BS306">
        <f>IF(BR306=0,0,1+COUNTIF(BS$3:BS305,"&gt;0"))</f>
        <v>0</v>
      </c>
      <c r="BT306" t="str">
        <f t="shared" si="260"/>
        <v/>
      </c>
      <c r="BU306" t="str">
        <f t="shared" si="232"/>
        <v/>
      </c>
      <c r="BW306">
        <f>IF(IFERROR(SEARCH("Arcane Trickster",$T306,1),0)&gt;0,1,0)*IF(ArcaneTricksterMaxSpellLevel&gt;=$C306,1,0)*IF(IFERROR(MATCH($B306,Character_Creation!$J$350:$J$356,0),0)&gt;0,0,1)*IF(Character_Creation!$T$338&gt;0,1,0)</f>
        <v>0</v>
      </c>
      <c r="BX306">
        <f>IF(BW306=0,0,1+COUNTIF(BX$3:BX305,"&gt;0"))</f>
        <v>0</v>
      </c>
      <c r="BY306" t="str">
        <f t="shared" si="261"/>
        <v/>
      </c>
      <c r="BZ306" t="str">
        <f t="shared" si="233"/>
        <v/>
      </c>
      <c r="CB306">
        <f>IF(IFERROR(SEARCH("Wizard",$T306,1),0)&gt;0,1,0)*IF(C306&lt;=ArcaneTricksterMaxSpellLevel,1,0)*IF(IFERROR(MATCH($B306,Character_Creation!$J$350:$J$356,0),0)&gt;0,0,1)*IF(Character_Creation!$T$350&gt;0,1,0)</f>
        <v>0</v>
      </c>
      <c r="CC306">
        <f>IF(CB306=0,0,1+COUNTIF(CC$3:CC305,"&gt;0"))</f>
        <v>0</v>
      </c>
      <c r="CD306" t="str">
        <f t="shared" si="262"/>
        <v/>
      </c>
      <c r="CE306" t="str">
        <f t="shared" si="234"/>
        <v/>
      </c>
      <c r="CG306">
        <f>IF(IFERROR(SEARCH("Wizard",$T306,1),0)&gt;0,1,0)*IF($C306&lt;=EldritchKnightMaxSpellLevel,1,0)*IF(IFERROR(MATCH($B306,Character_Creation!$J$350:$J$356,0),0)&gt;0,0,1)*IF(Character_Creation!$M$350&gt;0,1,0)</f>
        <v>0</v>
      </c>
      <c r="CH306">
        <f>IF(CG306=0,0,1+COUNTIF(CH$3:CH305,"&gt;0"))</f>
        <v>0</v>
      </c>
      <c r="CI306" t="str">
        <f t="shared" si="263"/>
        <v/>
      </c>
      <c r="CJ306" t="str">
        <f t="shared" si="235"/>
        <v/>
      </c>
      <c r="CL306">
        <f>IF(IFERROR(SEARCH("Bard",$T306,1),0)&gt;0,1,0)*IF(BardMaxSpellLevel&gt;=$C306,1,0)*IF(IFERROR(MATCH(B306,Character_Creation!$C$341:$F$362,0),0)&gt;0,0,1)*IF(IFERROR(MATCH($B306,Character_Creation!$C$341:$C$362,0),0)&gt;0,0,1)</f>
        <v>0</v>
      </c>
      <c r="CM306">
        <f>IF(CL306=0,0,1+COUNTIF(CM$3:CM305,"&gt;0"))</f>
        <v>0</v>
      </c>
      <c r="CN306" t="str">
        <f t="shared" si="264"/>
        <v/>
      </c>
      <c r="CO306" t="str">
        <f t="shared" si="236"/>
        <v/>
      </c>
      <c r="CQ306">
        <f>IF(IFERROR(SEARCH("Wizard",$T306,1),0)&gt;0,1,0)*IF(WizardMaxSpellLevel&gt;=$C306,1,0)*IF(IFERROR(MATCH(B306,Character_Creation!$X$341:$X$400,0),0)&gt;0,0,1)*IF(SelectedWizardSpellLevel=$C306,1,0)</f>
        <v>1</v>
      </c>
      <c r="CR306">
        <f>IF(CQ306=0,0,1+COUNTIF(CR$3:CR305,"&gt;0"))</f>
        <v>23</v>
      </c>
      <c r="CS306" t="str">
        <f t="shared" si="265"/>
        <v/>
      </c>
      <c r="CT306" t="str">
        <f t="shared" si="237"/>
        <v/>
      </c>
      <c r="CV306">
        <f>IF(IFERROR(MATCH($B306,Character_Creation!$C$341:$C$362,0),0)&gt;0,0,1)*IF(OR(C306="Cantrip",C306&lt;=BardMaxSpellLevel),1,0)*IF(IFERROR(MATCH($B306,Character_Creation!$C$367:$C$374,0),0)&gt;0,0,1)</f>
        <v>0</v>
      </c>
      <c r="CW306">
        <f>IF(CV306=0,0,1+COUNTIF(CW$3:CW305,"&gt;0"))</f>
        <v>0</v>
      </c>
      <c r="CX306" t="str">
        <f t="shared" si="266"/>
        <v/>
      </c>
      <c r="CY306" t="str">
        <f t="shared" si="238"/>
        <v/>
      </c>
      <c r="DA306">
        <f>IF(IF(OR(IFERROR(SEARCH("Cleric",$T306,1),0)&gt;0,IFERROR(SEARCH(DivineDomain&amp;",",$T306,1),0)&gt;0),1,0)*IF($C306=DA$2,1,0)=1,1+COUNTIF(DA$3:DA305,"&gt;0"),0)</f>
        <v>0</v>
      </c>
      <c r="DB306">
        <f>IF(IF(OR(IFERROR(SEARCH("Cleric",$T306,1),0)&gt;0,IFERROR(SEARCH(DivineDomain&amp;",",$T306,1),0)&gt;0),1,0)*IF($C306=DB$2,1,0)=1,1+COUNTIF(DB$3:DB305,"&gt;0"),0)</f>
        <v>0</v>
      </c>
      <c r="DC306">
        <f>IF(IF(OR(IFERROR(SEARCH("Cleric",$T306,1),0)&gt;0,IFERROR(SEARCH(DivineDomain&amp;",",$T306,1),0)&gt;0),1,0)*IF($C306=DC$2,1,0)=1,1+COUNTIF(DC$3:DC305,"&gt;0"),0)</f>
        <v>0</v>
      </c>
      <c r="DD306">
        <f>IF(IF(OR(IFERROR(SEARCH("Cleric",$T306,1),0)&gt;0,IFERROR(SEARCH(DivineDomain&amp;",",$T306,1),0)&gt;0),1,0)*IF($C306=DD$2,1,0)=1,1+COUNTIF(DD$3:DD305,"&gt;0"),0)</f>
        <v>0</v>
      </c>
      <c r="DE306">
        <f>IF(IF(OR(IFERROR(SEARCH("Cleric",$T306,1),0)&gt;0,IFERROR(SEARCH(DivineDomain&amp;",",$T306,1),0)&gt;0),1,0)*IF($C306=DE$2,1,0)=1,1+COUNTIF(DE$3:DE305,"&gt;0"),0)</f>
        <v>0</v>
      </c>
      <c r="DF306">
        <f>IF(IF(OR(IFERROR(SEARCH("Cleric",$T306,1),0)&gt;0,IFERROR(SEARCH(DivineDomain&amp;",",$T306,1),0)&gt;0),1,0)*IF($C306=DF$2,1,0)=1,1+COUNTIF(DF$3:DF305,"&gt;0"),0)</f>
        <v>0</v>
      </c>
      <c r="DG306">
        <f>IF(IF(OR(IFERROR(SEARCH("Cleric",$T306,1),0)&gt;0,IFERROR(SEARCH(DivineDomain&amp;",",$T306,1),0)&gt;0),1,0)*IF($C306=DG$2,1,0)=1,1+COUNTIF(DG$3:DG305,"&gt;0"),0)</f>
        <v>0</v>
      </c>
      <c r="DH306">
        <f>IF(IF(OR(IFERROR(SEARCH("Cleric",$T306,1),0)&gt;0,IFERROR(SEARCH(DivineDomain&amp;",",$T306,1),0)&gt;0),1,0)*IF($C306=DH$2,1,0)=1,1+COUNTIF(DH$3:DH305,"&gt;0"),0)</f>
        <v>0</v>
      </c>
      <c r="DI306">
        <f>IF(IF(OR(IFERROR(SEARCH("Cleric",$T306,1),0)&gt;0,IFERROR(SEARCH(DivineDomain&amp;",",$T306,1),0)&gt;0),1,0)*IF($C306=DI$2,1,0)=1,1+COUNTIF(DI$3:DI305,"&gt;0"),0)</f>
        <v>0</v>
      </c>
      <c r="DJ306">
        <f>IF(IF(OR(IFERROR(SEARCH("Druid",$T306,1),0)&gt;0,IFERROR(SEARCH(DruidLand1,$T306,1),0)&gt;0,IFERROR(SEARCH(DruidLand2,$T306,1),0)&gt;0,IFERROR(SEARCH(DruidLand3,$T306,1),0)&gt;0,IFERROR(SEARCH(DruidLand4,$T306,1),0)&gt;0),1,0)*IF($C306=1,1,0)*IF($C306=DJ$2,1,0)=0,0,1+COUNTIF(DJ$3:DJ305,"&gt;0"))</f>
        <v>0</v>
      </c>
      <c r="DK306">
        <f>IF(IF(OR(IFERROR(SEARCH("Druid",$T306,1),0)&gt;0,IFERROR(SEARCH(DruidLand1,$T306,1),0)&gt;0,IFERROR(SEARCH(DruidLand2,$T306,1),0)&gt;0,IFERROR(SEARCH(DruidLand3,$T306,1),0)&gt;0,IFERROR(SEARCH(DruidLand4,$T306,1),0)&gt;0),1,0)*IF($C306=1,1,0)*IF($C306=DK$2,1,0)=0,0,1+COUNTIF(DK$3:DK305,"&gt;0"))</f>
        <v>0</v>
      </c>
      <c r="DL306">
        <f>IF(IF(OR(IFERROR(SEARCH("Druid",$T306,1),0)&gt;0,IFERROR(SEARCH(DruidLand1,$T306,1),0)&gt;0,IFERROR(SEARCH(DruidLand2,$T306,1),0)&gt;0,IFERROR(SEARCH(DruidLand3,$T306,1),0)&gt;0,IFERROR(SEARCH(DruidLand4,$T306,1),0)&gt;0),1,0)*IF($C306=1,1,0)*IF($C306=DL$2,1,0)=0,0,1+COUNTIF(DL$3:DL305,"&gt;0"))</f>
        <v>0</v>
      </c>
      <c r="DM306">
        <f>IF(IF(OR(IFERROR(SEARCH("Druid",$T306,1),0)&gt;0,IFERROR(SEARCH(DruidLand1,$T306,1),0)&gt;0,IFERROR(SEARCH(DruidLand2,$T306,1),0)&gt;0,IFERROR(SEARCH(DruidLand3,$T306,1),0)&gt;0,IFERROR(SEARCH(DruidLand4,$T306,1),0)&gt;0),1,0)*IF($C306=1,1,0)*IF($C306=DM$2,1,0)=0,0,1+COUNTIF(DM$3:DM305,"&gt;0"))</f>
        <v>0</v>
      </c>
      <c r="DN306">
        <f>IF(IF(OR(IFERROR(SEARCH("Druid",$T306,1),0)&gt;0,IFERROR(SEARCH(DruidLand1,$T306,1),0)&gt;0,IFERROR(SEARCH(DruidLand2,$T306,1),0)&gt;0,IFERROR(SEARCH(DruidLand3,$T306,1),0)&gt;0,IFERROR(SEARCH(DruidLand4,$T306,1),0)&gt;0),1,0)*IF($C306=1,1,0)*IF($C306=DN$2,1,0)=0,0,1+COUNTIF(DN$3:DN305,"&gt;0"))</f>
        <v>0</v>
      </c>
      <c r="DO306">
        <f>IF(IF(OR(IFERROR(SEARCH("Druid",$T306,1),0)&gt;0,IFERROR(SEARCH(DruidLand1,$T306,1),0)&gt;0,IFERROR(SEARCH(DruidLand2,$T306,1),0)&gt;0,IFERROR(SEARCH(DruidLand3,$T306,1),0)&gt;0,IFERROR(SEARCH(DruidLand4,$T306,1),0)&gt;0),1,0)*IF($C306=1,1,0)*IF($C306=DO$2,1,0)=0,0,1+COUNTIF(DO$3:DO305,"&gt;0"))</f>
        <v>0</v>
      </c>
      <c r="DP306">
        <f>IF(IF(OR(IFERROR(SEARCH("Druid",$T306,1),0)&gt;0,IFERROR(SEARCH(DruidLand1,$T306,1),0)&gt;0,IFERROR(SEARCH(DruidLand2,$T306,1),0)&gt;0,IFERROR(SEARCH(DruidLand3,$T306,1),0)&gt;0,IFERROR(SEARCH(DruidLand4,$T306,1),0)&gt;0),1,0)*IF($C306=1,1,0)*IF($C306=DP$2,1,0)=0,0,1+COUNTIF(DP$3:DP305,"&gt;0"))</f>
        <v>0</v>
      </c>
      <c r="DQ306">
        <f>IF(IF(OR(IFERROR(SEARCH("Druid",$T306,1),0)&gt;0,IFERROR(SEARCH(DruidLand1,$T306,1),0)&gt;0,IFERROR(SEARCH(DruidLand2,$T306,1),0)&gt;0,IFERROR(SEARCH(DruidLand3,$T306,1),0)&gt;0,IFERROR(SEARCH(DruidLand4,$T306,1),0)&gt;0),1,0)*IF($C306=1,1,0)*IF($C306=DQ$2,1,0)=0,0,1+COUNTIF(DQ$3:DQ305,"&gt;0"))</f>
        <v>0</v>
      </c>
      <c r="DR306">
        <f>IF(IF(OR(IFERROR(SEARCH("Druid",$T306,1),0)&gt;0,IFERROR(SEARCH(DruidLand1,$T306,1),0)&gt;0,IFERROR(SEARCH(DruidLand2,$T306,1),0)&gt;0,IFERROR(SEARCH(DruidLand3,$T306,1),0)&gt;0,IFERROR(SEARCH(DruidLand4,$T306,1),0)&gt;0),1,0)*IF($C306=1,1,0)*IF($C306=DR$2,1,0)=0,0,1+COUNTIF(DR$3:DR305,"&gt;0"))</f>
        <v>0</v>
      </c>
      <c r="DS306">
        <f>IF(IF(OR(IFERROR(SEARCH("Paladin",$T306,1),0)&gt;0,IFERROR(SEARCH(PaladinOath,$T306,1),0)&gt;0),1,0)*IF($C306=DS$2,1,0)=1,1+COUNTIF(DS$3:DS305,"&gt;0"),0)</f>
        <v>0</v>
      </c>
      <c r="DT306">
        <f>IF(IF(OR(IFERROR(SEARCH("Paladin",$T306,1),0)&gt;0,IFERROR(SEARCH(PaladinOath,$T306,1),0)&gt;0),1,0)*IF($C306=DT$2,1,0)=1,1+COUNTIF(DT$3:DT305,"&gt;0"),0)</f>
        <v>0</v>
      </c>
      <c r="DU306">
        <f>IF(IF(OR(IFERROR(SEARCH("Paladin",$T306,1),0)&gt;0,IFERROR(SEARCH(PaladinOath,$T306,1),0)&gt;0),1,0)*IF($C306=DU$2,1,0)=1,1+COUNTIF(DU$3:DU305,"&gt;0"),0)</f>
        <v>0</v>
      </c>
      <c r="DV306">
        <f>IF(IF(OR(IFERROR(SEARCH("Paladin",$T306,1),0)&gt;0,IFERROR(SEARCH(PaladinOath,$T306,1),0)&gt;0),1,0)*IF($C306=DV$2,1,0)=1,1+COUNTIF(DV$3:DV305,"&gt;0"),0)</f>
        <v>0</v>
      </c>
      <c r="DW306">
        <f>IF(IF(OR(IFERROR(SEARCH("Paladin",$T306,1),0)&gt;0,IFERROR(SEARCH(PaladinOath,$T306,1),0)&gt;0),1,0)*IF($C306=DW$2,1,0)=1,1+COUNTIF(DW$3:DW305,"&gt;0"),0)</f>
        <v>0</v>
      </c>
      <c r="DY306">
        <f t="shared" si="225"/>
        <v>1</v>
      </c>
      <c r="DZ306">
        <f>IF(DY306=0,0,1+MAX(DZ$3:$DZ305))</f>
        <v>304</v>
      </c>
      <c r="EB306">
        <f t="shared" si="239"/>
        <v>0</v>
      </c>
      <c r="EC306">
        <f>IF(EB306=0,0,1+COUNTIF(EC$3:EC305,"&gt;0"))</f>
        <v>0</v>
      </c>
      <c r="ED306" t="str">
        <f t="shared" si="267"/>
        <v/>
      </c>
      <c r="EE306" t="str">
        <f t="shared" si="240"/>
        <v/>
      </c>
      <c r="EG306">
        <f t="shared" si="241"/>
        <v>0</v>
      </c>
      <c r="EH306">
        <f>IF(EG306=0,0,1+COUNTIF(EH$3:EH305,"&gt;0"))</f>
        <v>0</v>
      </c>
      <c r="EI306" t="str">
        <f t="shared" si="268"/>
        <v/>
      </c>
      <c r="EJ306" t="str">
        <f t="shared" si="242"/>
        <v/>
      </c>
      <c r="EL306">
        <f t="shared" si="243"/>
        <v>0</v>
      </c>
      <c r="EM306">
        <f>IF(EL306=0,0,1+COUNTIF(EM$3:EM305,"&gt;0"))</f>
        <v>0</v>
      </c>
      <c r="EN306" t="str">
        <f t="shared" si="269"/>
        <v/>
      </c>
      <c r="EO306" t="str">
        <f t="shared" si="244"/>
        <v/>
      </c>
      <c r="EQ306">
        <f t="shared" si="245"/>
        <v>0</v>
      </c>
      <c r="ER306">
        <f>IF(EQ306=0,0,1+COUNTIF(ER$3:ER305,"&gt;0"))</f>
        <v>0</v>
      </c>
      <c r="ES306" t="str">
        <f t="shared" si="270"/>
        <v/>
      </c>
      <c r="ET306" t="str">
        <f t="shared" si="246"/>
        <v/>
      </c>
      <c r="EV306">
        <f t="shared" si="247"/>
        <v>0</v>
      </c>
      <c r="EW306">
        <f>IF(EV306=0,0,1+COUNTIF(EW$3:EW305,"&gt;0"))</f>
        <v>0</v>
      </c>
      <c r="EX306" t="str">
        <f t="shared" si="271"/>
        <v/>
      </c>
      <c r="EY306" t="str">
        <f t="shared" si="248"/>
        <v/>
      </c>
      <c r="FA306">
        <f t="shared" si="249"/>
        <v>0</v>
      </c>
      <c r="FB306">
        <f>IF(FA306=0,0,1+COUNTIF(FB$3:FB305,"&gt;0"))</f>
        <v>0</v>
      </c>
      <c r="FC306" t="str">
        <f t="shared" si="272"/>
        <v/>
      </c>
      <c r="FD306" t="str">
        <f t="shared" si="250"/>
        <v/>
      </c>
      <c r="FF306">
        <f t="shared" si="251"/>
        <v>0</v>
      </c>
      <c r="FG306">
        <f>IF(FF306=0,0,1+COUNTIF(FG$3:FG305,"&gt;0"))</f>
        <v>0</v>
      </c>
      <c r="FH306" t="str">
        <f t="shared" si="273"/>
        <v/>
      </c>
      <c r="FI306" t="str">
        <f t="shared" si="252"/>
        <v/>
      </c>
      <c r="FK306">
        <f t="shared" si="253"/>
        <v>0</v>
      </c>
      <c r="FL306">
        <f>IF(FK306=0,0,1+COUNTIF(FL$3:FL305,"&gt;0"))</f>
        <v>0</v>
      </c>
      <c r="FM306" t="str">
        <f t="shared" si="274"/>
        <v/>
      </c>
      <c r="FN306" t="str">
        <f t="shared" si="254"/>
        <v/>
      </c>
      <c r="FP306">
        <f t="shared" si="255"/>
        <v>0</v>
      </c>
      <c r="FQ306">
        <f>IF(FP306=0,0,1+COUNTIF(FQ$3:FQ305,"&gt;0"))</f>
        <v>0</v>
      </c>
      <c r="FR306" t="str">
        <f t="shared" si="275"/>
        <v/>
      </c>
      <c r="FS306" t="str">
        <f t="shared" si="256"/>
        <v/>
      </c>
    </row>
    <row r="307" spans="1:175" x14ac:dyDescent="0.25">
      <c r="A307" s="347">
        <f t="shared" si="276"/>
        <v>305</v>
      </c>
      <c r="B307" s="348" t="s">
        <v>2698</v>
      </c>
      <c r="C307" s="348" t="s">
        <v>5277</v>
      </c>
      <c r="D307" s="347">
        <v>0.5</v>
      </c>
      <c r="E307" s="627" t="s">
        <v>6952</v>
      </c>
      <c r="F307" s="346"/>
      <c r="G307" s="347" t="str">
        <f>""</f>
        <v/>
      </c>
      <c r="H307" s="347" t="s">
        <v>5912</v>
      </c>
      <c r="I307" s="347" t="s">
        <v>5298</v>
      </c>
      <c r="J307" s="347" t="str">
        <f t="shared" si="226"/>
        <v/>
      </c>
      <c r="K307" s="347" t="s">
        <v>5278</v>
      </c>
      <c r="L307" s="611" t="str">
        <f t="shared" si="227"/>
        <v>V, S</v>
      </c>
      <c r="M307" s="347" t="s">
        <v>2373</v>
      </c>
      <c r="N307" s="347" t="s">
        <v>2387</v>
      </c>
      <c r="O307" s="347" t="s">
        <v>3034</v>
      </c>
      <c r="P307" s="346" t="str">
        <f>""</f>
        <v/>
      </c>
      <c r="Q307" s="347" t="s">
        <v>5275</v>
      </c>
      <c r="S307" s="346" t="s">
        <v>2699</v>
      </c>
      <c r="T307" s="346" t="str">
        <f t="shared" si="228"/>
        <v xml:space="preserve">Cleric, </v>
      </c>
      <c r="Z307" s="347" t="str">
        <f>$B307</f>
        <v>Spare the Dying</v>
      </c>
      <c r="AE307" t="str">
        <f>IF(IFERROR(MATCH($B307,temp!A$4:A$13,0),0)&gt;0,T08_Spells!AE$2,"")</f>
        <v/>
      </c>
      <c r="AF307" t="str">
        <f>IF(IFERROR(MATCH($B307,temp!B$4:B$13,0),0)&gt;0,T08_Spells!AF$2,"")</f>
        <v/>
      </c>
      <c r="AG307" t="str">
        <f>IF(IFERROR(MATCH($B307,temp!C$4:C$13,0),0)&gt;0,T08_Spells!AG$2,"")</f>
        <v/>
      </c>
      <c r="AH307" t="str">
        <f>IF(IFERROR(MATCH($B307,temp!D$4:D$13,0),0)&gt;0,T08_Spells!AH$2,"")</f>
        <v/>
      </c>
      <c r="AI307" t="str">
        <f>IF(IFERROR(MATCH($B307,temp!E$4:E$13,0),0)&gt;0,T08_Spells!AI$2,"")</f>
        <v/>
      </c>
      <c r="AJ307" t="str">
        <f>IF(IFERROR(MATCH($B307,temp!F$4:F$13,0),0)&gt;0,T08_Spells!AJ$2,"")</f>
        <v/>
      </c>
      <c r="AK307" t="str">
        <f>IF(IFERROR(MATCH($B307,temp!G$4:G$13,0),0)&gt;0,T08_Spells!AK$2,"")</f>
        <v/>
      </c>
      <c r="AL307" t="str">
        <f>IF(IFERROR(MATCH($B307,temp!H$4:H$13,0),0)&gt;0,T08_Spells!AL$2,"")</f>
        <v/>
      </c>
      <c r="AM307" t="str">
        <f>IF(IFERROR(MATCH($B307,temp!I$4:I$13,0),0)&gt;0,T08_Spells!AM$2,"")</f>
        <v/>
      </c>
      <c r="AN307" t="str">
        <f>IF(IFERROR(MATCH($B307,temp!J$4:J$13,0),0)&gt;0,T08_Spells!AN$2,"")</f>
        <v/>
      </c>
      <c r="AO307" t="str">
        <f>IF(IFERROR(MATCH($B307,temp!K$4:K$13,0),0)&gt;0,T08_Spells!AO$2,"")</f>
        <v/>
      </c>
      <c r="AP307" t="str">
        <f>IF(IFERROR(MATCH($B307,temp!L$4:L$13,0),0)&gt;0,T08_Spells!AP$2,"")</f>
        <v/>
      </c>
      <c r="AQ307" t="str">
        <f>IF(IFERROR(MATCH($B307,temp!M$4:M$13,0),0)&gt;0,T08_Spells!AQ$2,"")</f>
        <v/>
      </c>
      <c r="AR307" t="str">
        <f>IF(IFERROR(MATCH($B307,temp!N$4:N$13,0),0)&gt;0,T08_Spells!AR$2,"")</f>
        <v/>
      </c>
      <c r="AS307" t="str">
        <f>IF(IFERROR(MATCH($B307,temp!O$4:O$13,0),0)&gt;0,T08_Spells!AS$2,"")</f>
        <v/>
      </c>
      <c r="AT307" t="str">
        <f>IF(IFERROR(MATCH($B307,temp!P$4:P$13,0),0)&gt;0,T08_Spells!AT$2,"")</f>
        <v/>
      </c>
      <c r="AU307" t="str">
        <f>IF(IFERROR(MATCH($B307,temp!Q$4:Q$13,0),0)&gt;0,T08_Spells!AU$2,"")</f>
        <v/>
      </c>
      <c r="AV307" t="str">
        <f>IF(IFERROR(MATCH($B307,temp!R$4:R$13,0),0)&gt;0,T08_Spells!AV$2,"")</f>
        <v/>
      </c>
      <c r="AW307" t="str">
        <f>IF(IFERROR(MATCH($B307,temp!S$4:S$13,0),0)&gt;0,T08_Spells!AW$2,"")</f>
        <v/>
      </c>
      <c r="AX307" t="str">
        <f>IF(IFERROR(MATCH($B307,temp!T$4:T$13,0),0)&gt;0,T08_Spells!AX$2,"")</f>
        <v/>
      </c>
      <c r="AY307" t="str">
        <f>IF(IFERROR(MATCH($B307,temp!U$4:U$13,0),0)&gt;0,T08_Spells!AY$2,"")</f>
        <v/>
      </c>
      <c r="AZ307" t="str">
        <f>IF(IFERROR(MATCH($B307,temp!V$4:V$13,0),0)&gt;0,T08_Spells!AZ$2,"")</f>
        <v/>
      </c>
      <c r="BA307" t="str">
        <f>IF(IFERROR(MATCH($B307,temp!W$4:W$13,0),0)&gt;0,T08_Spells!BA$2,"")</f>
        <v/>
      </c>
      <c r="BC307">
        <f>IF(IFERROR(SEARCH("Ranger",$T307,1),0)&gt;0,1,0)*IF(RangerMaxSpellLevel&gt;=$C307,1,0)*IF(IFERROR(MATCH(B307,Character_Creation!$X$79:$X$382,0),0)&gt;0,0,1)</f>
        <v>0</v>
      </c>
      <c r="BD307">
        <f>IF(BC307=0,0,1+COUNTIF(BD$3:BD306,"&gt;0"))</f>
        <v>0</v>
      </c>
      <c r="BE307" t="str">
        <f t="shared" si="257"/>
        <v/>
      </c>
      <c r="BF307" t="str">
        <f t="shared" si="229"/>
        <v/>
      </c>
      <c r="BH307">
        <f>IF(IFERROR(SEARCH("Sorcerer",$T307,1),0)&gt;0,1,0)*IF(SorcererMaxSpellLevel&gt;=$C307,1,0)*IF(IFERROR(MATCH(B307,Character_Creation!$J$380:$J$394,0),0)&gt;0,0,1)</f>
        <v>0</v>
      </c>
      <c r="BI307">
        <f>IF(BH307=0,0,1+COUNTIF(BI$3:BI306,"&gt;0"))</f>
        <v>0</v>
      </c>
      <c r="BJ307" t="str">
        <f t="shared" si="258"/>
        <v/>
      </c>
      <c r="BK307" t="str">
        <f t="shared" si="230"/>
        <v/>
      </c>
      <c r="BM307">
        <f>IF(OR(IFERROR(SEARCH("Warlock",$T307,1),0)&gt;0,IFERROR(SEARCH(WarlockPatron,$T307,1),0)&gt;0),1,0)*IF(WarlockMaxSpellLevel&gt;=$C307,1,0)*IF(IFERROR(MATCH(B307,Character_Creation!$J$361:$J$375,0),0)&gt;0,0,1)</f>
        <v>0</v>
      </c>
      <c r="BN307">
        <f>IF(BM307=0,0,1+COUNTIF(BN$3:BN306,"&gt;0"))</f>
        <v>0</v>
      </c>
      <c r="BO307" t="str">
        <f t="shared" si="259"/>
        <v/>
      </c>
      <c r="BP307" t="str">
        <f t="shared" si="231"/>
        <v/>
      </c>
      <c r="BR307">
        <f>IF(IFERROR(SEARCH("Eldritch Knight",$T307,1),0)&gt;0,1,0)*IF(EldritchKnightMaxSpellLevel&gt;=$C307,1,0)*IF(IFERROR(MATCH($B307,Character_Creation!$J$350:$J$356,0),0)&gt;0,0,1)*IF(Character_Creation!$M$338&gt;0,1,0)</f>
        <v>0</v>
      </c>
      <c r="BS307">
        <f>IF(BR307=0,0,1+COUNTIF(BS$3:BS306,"&gt;0"))</f>
        <v>0</v>
      </c>
      <c r="BT307" t="str">
        <f t="shared" si="260"/>
        <v/>
      </c>
      <c r="BU307" t="str">
        <f t="shared" si="232"/>
        <v/>
      </c>
      <c r="BW307">
        <f>IF(IFERROR(SEARCH("Arcane Trickster",$T307,1),0)&gt;0,1,0)*IF(ArcaneTricksterMaxSpellLevel&gt;=$C307,1,0)*IF(IFERROR(MATCH($B307,Character_Creation!$J$350:$J$356,0),0)&gt;0,0,1)*IF(Character_Creation!$T$338&gt;0,1,0)</f>
        <v>0</v>
      </c>
      <c r="BX307">
        <f>IF(BW307=0,0,1+COUNTIF(BX$3:BX306,"&gt;0"))</f>
        <v>0</v>
      </c>
      <c r="BY307" t="str">
        <f t="shared" si="261"/>
        <v/>
      </c>
      <c r="BZ307" t="str">
        <f t="shared" si="233"/>
        <v/>
      </c>
      <c r="CB307">
        <f>IF(IFERROR(SEARCH("Wizard",$T307,1),0)&gt;0,1,0)*IF(C307&lt;=ArcaneTricksterMaxSpellLevel,1,0)*IF(IFERROR(MATCH($B307,Character_Creation!$J$350:$J$356,0),0)&gt;0,0,1)*IF(Character_Creation!$T$350&gt;0,1,0)</f>
        <v>0</v>
      </c>
      <c r="CC307">
        <f>IF(CB307=0,0,1+COUNTIF(CC$3:CC306,"&gt;0"))</f>
        <v>0</v>
      </c>
      <c r="CD307" t="str">
        <f t="shared" si="262"/>
        <v/>
      </c>
      <c r="CE307" t="str">
        <f t="shared" si="234"/>
        <v/>
      </c>
      <c r="CG307">
        <f>IF(IFERROR(SEARCH("Wizard",$T307,1),0)&gt;0,1,0)*IF($C307&lt;=EldritchKnightMaxSpellLevel,1,0)*IF(IFERROR(MATCH($B307,Character_Creation!$J$350:$J$356,0),0)&gt;0,0,1)*IF(Character_Creation!$M$350&gt;0,1,0)</f>
        <v>0</v>
      </c>
      <c r="CH307">
        <f>IF(CG307=0,0,1+COUNTIF(CH$3:CH306,"&gt;0"))</f>
        <v>0</v>
      </c>
      <c r="CI307" t="str">
        <f t="shared" si="263"/>
        <v/>
      </c>
      <c r="CJ307" t="str">
        <f t="shared" si="235"/>
        <v/>
      </c>
      <c r="CL307">
        <f>IF(IFERROR(SEARCH("Bard",$T307,1),0)&gt;0,1,0)*IF(BardMaxSpellLevel&gt;=$C307,1,0)*IF(IFERROR(MATCH(B307,Character_Creation!$C$341:$F$362,0),0)&gt;0,0,1)*IF(IFERROR(MATCH($B307,Character_Creation!$C$341:$C$362,0),0)&gt;0,0,1)</f>
        <v>0</v>
      </c>
      <c r="CM307">
        <f>IF(CL307=0,0,1+COUNTIF(CM$3:CM306,"&gt;0"))</f>
        <v>0</v>
      </c>
      <c r="CN307" t="str">
        <f t="shared" si="264"/>
        <v/>
      </c>
      <c r="CO307" t="str">
        <f t="shared" si="236"/>
        <v/>
      </c>
      <c r="CQ307">
        <f>IF(IFERROR(SEARCH("Wizard",$T307,1),0)&gt;0,1,0)*IF(WizardMaxSpellLevel&gt;=$C307,1,0)*IF(IFERROR(MATCH(B307,Character_Creation!$X$341:$X$400,0),0)&gt;0,0,1)*IF(SelectedWizardSpellLevel=$C307,1,0)</f>
        <v>0</v>
      </c>
      <c r="CR307">
        <f>IF(CQ307=0,0,1+COUNTIF(CR$3:CR306,"&gt;0"))</f>
        <v>0</v>
      </c>
      <c r="CS307" t="str">
        <f t="shared" si="265"/>
        <v/>
      </c>
      <c r="CT307" t="str">
        <f t="shared" si="237"/>
        <v/>
      </c>
      <c r="CV307">
        <f>IF(IFERROR(MATCH($B307,Character_Creation!$C$341:$C$362,0),0)&gt;0,0,1)*IF(OR(C307="Cantrip",C307&lt;=BardMaxSpellLevel),1,0)*IF(IFERROR(MATCH($B307,Character_Creation!$C$367:$C$374,0),0)&gt;0,0,1)</f>
        <v>1</v>
      </c>
      <c r="CW307">
        <f>IF(CV307=0,0,1+COUNTIF(CW$3:CW306,"&gt;0"))</f>
        <v>23</v>
      </c>
      <c r="CX307" t="str">
        <f t="shared" si="266"/>
        <v/>
      </c>
      <c r="CY307" t="str">
        <f t="shared" si="238"/>
        <v/>
      </c>
      <c r="DA307">
        <f>IF(IF(OR(IFERROR(SEARCH("Cleric",$T307,1),0)&gt;0,IFERROR(SEARCH(DivineDomain&amp;",",$T307,1),0)&gt;0),1,0)*IF($C307=DA$2,1,0)=1,1+COUNTIF(DA$3:DA306,"&gt;0"),0)</f>
        <v>0</v>
      </c>
      <c r="DB307">
        <f>IF(IF(OR(IFERROR(SEARCH("Cleric",$T307,1),0)&gt;0,IFERROR(SEARCH(DivineDomain&amp;",",$T307,1),0)&gt;0),1,0)*IF($C307=DB$2,1,0)=1,1+COUNTIF(DB$3:DB306,"&gt;0"),0)</f>
        <v>0</v>
      </c>
      <c r="DC307">
        <f>IF(IF(OR(IFERROR(SEARCH("Cleric",$T307,1),0)&gt;0,IFERROR(SEARCH(DivineDomain&amp;",",$T307,1),0)&gt;0),1,0)*IF($C307=DC$2,1,0)=1,1+COUNTIF(DC$3:DC306,"&gt;0"),0)</f>
        <v>0</v>
      </c>
      <c r="DD307">
        <f>IF(IF(OR(IFERROR(SEARCH("Cleric",$T307,1),0)&gt;0,IFERROR(SEARCH(DivineDomain&amp;",",$T307,1),0)&gt;0),1,0)*IF($C307=DD$2,1,0)=1,1+COUNTIF(DD$3:DD306,"&gt;0"),0)</f>
        <v>0</v>
      </c>
      <c r="DE307">
        <f>IF(IF(OR(IFERROR(SEARCH("Cleric",$T307,1),0)&gt;0,IFERROR(SEARCH(DivineDomain&amp;",",$T307,1),0)&gt;0),1,0)*IF($C307=DE$2,1,0)=1,1+COUNTIF(DE$3:DE306,"&gt;0"),0)</f>
        <v>0</v>
      </c>
      <c r="DF307">
        <f>IF(IF(OR(IFERROR(SEARCH("Cleric",$T307,1),0)&gt;0,IFERROR(SEARCH(DivineDomain&amp;",",$T307,1),0)&gt;0),1,0)*IF($C307=DF$2,1,0)=1,1+COUNTIF(DF$3:DF306,"&gt;0"),0)</f>
        <v>0</v>
      </c>
      <c r="DG307">
        <f>IF(IF(OR(IFERROR(SEARCH("Cleric",$T307,1),0)&gt;0,IFERROR(SEARCH(DivineDomain&amp;",",$T307,1),0)&gt;0),1,0)*IF($C307=DG$2,1,0)=1,1+COUNTIF(DG$3:DG306,"&gt;0"),0)</f>
        <v>0</v>
      </c>
      <c r="DH307">
        <f>IF(IF(OR(IFERROR(SEARCH("Cleric",$T307,1),0)&gt;0,IFERROR(SEARCH(DivineDomain&amp;",",$T307,1),0)&gt;0),1,0)*IF($C307=DH$2,1,0)=1,1+COUNTIF(DH$3:DH306,"&gt;0"),0)</f>
        <v>0</v>
      </c>
      <c r="DI307">
        <f>IF(IF(OR(IFERROR(SEARCH("Cleric",$T307,1),0)&gt;0,IFERROR(SEARCH(DivineDomain&amp;",",$T307,1),0)&gt;0),1,0)*IF($C307=DI$2,1,0)=1,1+COUNTIF(DI$3:DI306,"&gt;0"),0)</f>
        <v>0</v>
      </c>
      <c r="DJ307">
        <f>IF(IF(OR(IFERROR(SEARCH("Druid",$T307,1),0)&gt;0,IFERROR(SEARCH(DruidLand1,$T307,1),0)&gt;0,IFERROR(SEARCH(DruidLand2,$T307,1),0)&gt;0,IFERROR(SEARCH(DruidLand3,$T307,1),0)&gt;0,IFERROR(SEARCH(DruidLand4,$T307,1),0)&gt;0),1,0)*IF($C307=1,1,0)*IF($C307=DJ$2,1,0)=0,0,1+COUNTIF(DJ$3:DJ306,"&gt;0"))</f>
        <v>0</v>
      </c>
      <c r="DK307">
        <f>IF(IF(OR(IFERROR(SEARCH("Druid",$T307,1),0)&gt;0,IFERROR(SEARCH(DruidLand1,$T307,1),0)&gt;0,IFERROR(SEARCH(DruidLand2,$T307,1),0)&gt;0,IFERROR(SEARCH(DruidLand3,$T307,1),0)&gt;0,IFERROR(SEARCH(DruidLand4,$T307,1),0)&gt;0),1,0)*IF($C307=1,1,0)*IF($C307=DK$2,1,0)=0,0,1+COUNTIF(DK$3:DK306,"&gt;0"))</f>
        <v>0</v>
      </c>
      <c r="DL307">
        <f>IF(IF(OR(IFERROR(SEARCH("Druid",$T307,1),0)&gt;0,IFERROR(SEARCH(DruidLand1,$T307,1),0)&gt;0,IFERROR(SEARCH(DruidLand2,$T307,1),0)&gt;0,IFERROR(SEARCH(DruidLand3,$T307,1),0)&gt;0,IFERROR(SEARCH(DruidLand4,$T307,1),0)&gt;0),1,0)*IF($C307=1,1,0)*IF($C307=DL$2,1,0)=0,0,1+COUNTIF(DL$3:DL306,"&gt;0"))</f>
        <v>0</v>
      </c>
      <c r="DM307">
        <f>IF(IF(OR(IFERROR(SEARCH("Druid",$T307,1),0)&gt;0,IFERROR(SEARCH(DruidLand1,$T307,1),0)&gt;0,IFERROR(SEARCH(DruidLand2,$T307,1),0)&gt;0,IFERROR(SEARCH(DruidLand3,$T307,1),0)&gt;0,IFERROR(SEARCH(DruidLand4,$T307,1),0)&gt;0),1,0)*IF($C307=1,1,0)*IF($C307=DM$2,1,0)=0,0,1+COUNTIF(DM$3:DM306,"&gt;0"))</f>
        <v>0</v>
      </c>
      <c r="DN307">
        <f>IF(IF(OR(IFERROR(SEARCH("Druid",$T307,1),0)&gt;0,IFERROR(SEARCH(DruidLand1,$T307,1),0)&gt;0,IFERROR(SEARCH(DruidLand2,$T307,1),0)&gt;0,IFERROR(SEARCH(DruidLand3,$T307,1),0)&gt;0,IFERROR(SEARCH(DruidLand4,$T307,1),0)&gt;0),1,0)*IF($C307=1,1,0)*IF($C307=DN$2,1,0)=0,0,1+COUNTIF(DN$3:DN306,"&gt;0"))</f>
        <v>0</v>
      </c>
      <c r="DO307">
        <f>IF(IF(OR(IFERROR(SEARCH("Druid",$T307,1),0)&gt;0,IFERROR(SEARCH(DruidLand1,$T307,1),0)&gt;0,IFERROR(SEARCH(DruidLand2,$T307,1),0)&gt;0,IFERROR(SEARCH(DruidLand3,$T307,1),0)&gt;0,IFERROR(SEARCH(DruidLand4,$T307,1),0)&gt;0),1,0)*IF($C307=1,1,0)*IF($C307=DO$2,1,0)=0,0,1+COUNTIF(DO$3:DO306,"&gt;0"))</f>
        <v>0</v>
      </c>
      <c r="DP307">
        <f>IF(IF(OR(IFERROR(SEARCH("Druid",$T307,1),0)&gt;0,IFERROR(SEARCH(DruidLand1,$T307,1),0)&gt;0,IFERROR(SEARCH(DruidLand2,$T307,1),0)&gt;0,IFERROR(SEARCH(DruidLand3,$T307,1),0)&gt;0,IFERROR(SEARCH(DruidLand4,$T307,1),0)&gt;0),1,0)*IF($C307=1,1,0)*IF($C307=DP$2,1,0)=0,0,1+COUNTIF(DP$3:DP306,"&gt;0"))</f>
        <v>0</v>
      </c>
      <c r="DQ307">
        <f>IF(IF(OR(IFERROR(SEARCH("Druid",$T307,1),0)&gt;0,IFERROR(SEARCH(DruidLand1,$T307,1),0)&gt;0,IFERROR(SEARCH(DruidLand2,$T307,1),0)&gt;0,IFERROR(SEARCH(DruidLand3,$T307,1),0)&gt;0,IFERROR(SEARCH(DruidLand4,$T307,1),0)&gt;0),1,0)*IF($C307=1,1,0)*IF($C307=DQ$2,1,0)=0,0,1+COUNTIF(DQ$3:DQ306,"&gt;0"))</f>
        <v>0</v>
      </c>
      <c r="DR307">
        <f>IF(IF(OR(IFERROR(SEARCH("Druid",$T307,1),0)&gt;0,IFERROR(SEARCH(DruidLand1,$T307,1),0)&gt;0,IFERROR(SEARCH(DruidLand2,$T307,1),0)&gt;0,IFERROR(SEARCH(DruidLand3,$T307,1),0)&gt;0,IFERROR(SEARCH(DruidLand4,$T307,1),0)&gt;0),1,0)*IF($C307=1,1,0)*IF($C307=DR$2,1,0)=0,0,1+COUNTIF(DR$3:DR306,"&gt;0"))</f>
        <v>0</v>
      </c>
      <c r="DS307">
        <f>IF(IF(OR(IFERROR(SEARCH("Paladin",$T307,1),0)&gt;0,IFERROR(SEARCH(PaladinOath,$T307,1),0)&gt;0),1,0)*IF($C307=DS$2,1,0)=1,1+COUNTIF(DS$3:DS306,"&gt;0"),0)</f>
        <v>0</v>
      </c>
      <c r="DT307">
        <f>IF(IF(OR(IFERROR(SEARCH("Paladin",$T307,1),0)&gt;0,IFERROR(SEARCH(PaladinOath,$T307,1),0)&gt;0),1,0)*IF($C307=DT$2,1,0)=1,1+COUNTIF(DT$3:DT306,"&gt;0"),0)</f>
        <v>0</v>
      </c>
      <c r="DU307">
        <f>IF(IF(OR(IFERROR(SEARCH("Paladin",$T307,1),0)&gt;0,IFERROR(SEARCH(PaladinOath,$T307,1),0)&gt;0),1,0)*IF($C307=DU$2,1,0)=1,1+COUNTIF(DU$3:DU306,"&gt;0"),0)</f>
        <v>0</v>
      </c>
      <c r="DV307">
        <f>IF(IF(OR(IFERROR(SEARCH("Paladin",$T307,1),0)&gt;0,IFERROR(SEARCH(PaladinOath,$T307,1),0)&gt;0),1,0)*IF($C307=DV$2,1,0)=1,1+COUNTIF(DV$3:DV306,"&gt;0"),0)</f>
        <v>0</v>
      </c>
      <c r="DW307">
        <f>IF(IF(OR(IFERROR(SEARCH("Paladin",$T307,1),0)&gt;0,IFERROR(SEARCH(PaladinOath,$T307,1),0)&gt;0),1,0)*IF($C307=DW$2,1,0)=1,1+COUNTIF(DW$3:DW306,"&gt;0"),0)</f>
        <v>0</v>
      </c>
      <c r="DY307">
        <f t="shared" si="225"/>
        <v>1</v>
      </c>
      <c r="DZ307">
        <f>IF(DY307=0,0,1+MAX(DZ$3:$DZ306))</f>
        <v>305</v>
      </c>
      <c r="EB307">
        <f t="shared" si="239"/>
        <v>0</v>
      </c>
      <c r="EC307">
        <f>IF(EB307=0,0,1+COUNTIF(EC$3:EC306,"&gt;0"))</f>
        <v>0</v>
      </c>
      <c r="ED307" t="str">
        <f t="shared" si="267"/>
        <v/>
      </c>
      <c r="EE307" t="str">
        <f t="shared" si="240"/>
        <v/>
      </c>
      <c r="EG307">
        <f t="shared" si="241"/>
        <v>1</v>
      </c>
      <c r="EH307">
        <f>IF(EG307=0,0,1+COUNTIF(EH$3:EH306,"&gt;0"))</f>
        <v>5</v>
      </c>
      <c r="EI307" t="str">
        <f t="shared" si="268"/>
        <v/>
      </c>
      <c r="EJ307" t="str">
        <f t="shared" si="242"/>
        <v/>
      </c>
      <c r="EL307">
        <f t="shared" si="243"/>
        <v>0</v>
      </c>
      <c r="EM307">
        <f>IF(EL307=0,0,1+COUNTIF(EM$3:EM306,"&gt;0"))</f>
        <v>0</v>
      </c>
      <c r="EN307" t="str">
        <f t="shared" si="269"/>
        <v/>
      </c>
      <c r="EO307" t="str">
        <f t="shared" si="244"/>
        <v/>
      </c>
      <c r="EQ307">
        <f t="shared" si="245"/>
        <v>0</v>
      </c>
      <c r="ER307">
        <f>IF(EQ307=0,0,1+COUNTIF(ER$3:ER306,"&gt;0"))</f>
        <v>0</v>
      </c>
      <c r="ES307" t="str">
        <f t="shared" si="270"/>
        <v/>
      </c>
      <c r="ET307" t="str">
        <f t="shared" si="246"/>
        <v/>
      </c>
      <c r="EV307">
        <f t="shared" si="247"/>
        <v>0</v>
      </c>
      <c r="EW307">
        <f>IF(EV307=0,0,1+COUNTIF(EW$3:EW306,"&gt;0"))</f>
        <v>0</v>
      </c>
      <c r="EX307" t="str">
        <f t="shared" si="271"/>
        <v/>
      </c>
      <c r="EY307" t="str">
        <f t="shared" si="248"/>
        <v/>
      </c>
      <c r="FA307">
        <f t="shared" si="249"/>
        <v>0</v>
      </c>
      <c r="FB307">
        <f>IF(FA307=0,0,1+COUNTIF(FB$3:FB306,"&gt;0"))</f>
        <v>0</v>
      </c>
      <c r="FC307" t="str">
        <f t="shared" si="272"/>
        <v/>
      </c>
      <c r="FD307" t="str">
        <f t="shared" si="250"/>
        <v/>
      </c>
      <c r="FF307">
        <f t="shared" si="251"/>
        <v>0</v>
      </c>
      <c r="FG307">
        <f>IF(FF307=0,0,1+COUNTIF(FG$3:FG306,"&gt;0"))</f>
        <v>0</v>
      </c>
      <c r="FH307" t="str">
        <f t="shared" si="273"/>
        <v/>
      </c>
      <c r="FI307" t="str">
        <f t="shared" si="252"/>
        <v/>
      </c>
      <c r="FK307">
        <f t="shared" si="253"/>
        <v>0</v>
      </c>
      <c r="FL307">
        <f>IF(FK307=0,0,1+COUNTIF(FL$3:FL306,"&gt;0"))</f>
        <v>0</v>
      </c>
      <c r="FM307" t="str">
        <f t="shared" si="274"/>
        <v/>
      </c>
      <c r="FN307" t="str">
        <f t="shared" si="254"/>
        <v/>
      </c>
      <c r="FP307">
        <f t="shared" si="255"/>
        <v>0</v>
      </c>
      <c r="FQ307">
        <f>IF(FP307=0,0,1+COUNTIF(FQ$3:FQ306,"&gt;0"))</f>
        <v>0</v>
      </c>
      <c r="FR307" t="str">
        <f t="shared" si="275"/>
        <v/>
      </c>
      <c r="FS307" t="str">
        <f t="shared" si="256"/>
        <v/>
      </c>
    </row>
    <row r="308" spans="1:175" x14ac:dyDescent="0.25">
      <c r="A308" s="347">
        <f t="shared" si="276"/>
        <v>306</v>
      </c>
      <c r="B308" s="348" t="s">
        <v>2700</v>
      </c>
      <c r="C308" s="348">
        <v>1</v>
      </c>
      <c r="D308" s="347">
        <v>1</v>
      </c>
      <c r="E308" s="627" t="s">
        <v>6952</v>
      </c>
      <c r="F308" s="346"/>
      <c r="G308" s="347" t="s">
        <v>5269</v>
      </c>
      <c r="H308" s="347" t="s">
        <v>5913</v>
      </c>
      <c r="I308" s="347" t="s">
        <v>5283</v>
      </c>
      <c r="J308" s="347" t="str">
        <f t="shared" si="226"/>
        <v/>
      </c>
      <c r="K308" s="347" t="s">
        <v>5319</v>
      </c>
      <c r="L308" s="611" t="str">
        <f t="shared" si="227"/>
        <v>V, S</v>
      </c>
      <c r="M308" s="347" t="s">
        <v>2373</v>
      </c>
      <c r="N308" s="347" t="s">
        <v>2387</v>
      </c>
      <c r="O308" s="347" t="s">
        <v>3034</v>
      </c>
      <c r="P308" s="346" t="str">
        <f>""</f>
        <v/>
      </c>
      <c r="Q308" s="347" t="s">
        <v>2473</v>
      </c>
      <c r="S308" s="346" t="s">
        <v>2701</v>
      </c>
      <c r="T308" s="346" t="str">
        <f t="shared" si="228"/>
        <v xml:space="preserve">Bard, Ranger, Druid, Ancients, Nature, </v>
      </c>
      <c r="U308" s="347" t="str">
        <f>$B308</f>
        <v>Speak with Animals</v>
      </c>
      <c r="W308" s="347" t="str">
        <f>$B308</f>
        <v>Speak with Animals</v>
      </c>
      <c r="AA308" s="347" t="str">
        <f>$B308</f>
        <v>Speak with Animals</v>
      </c>
      <c r="AE308" t="str">
        <f>IF(IFERROR(MATCH($B308,temp!A$4:A$13,0),0)&gt;0,T08_Spells!AE$2,"")</f>
        <v/>
      </c>
      <c r="AF308" t="str">
        <f>IF(IFERROR(MATCH($B308,temp!B$4:B$13,0),0)&gt;0,T08_Spells!AF$2,"")</f>
        <v/>
      </c>
      <c r="AG308" t="str">
        <f>IF(IFERROR(MATCH($B308,temp!C$4:C$13,0),0)&gt;0,T08_Spells!AG$2,"")</f>
        <v>Ancients</v>
      </c>
      <c r="AH308" t="str">
        <f>IF(IFERROR(MATCH($B308,temp!D$4:D$13,0),0)&gt;0,T08_Spells!AH$2,"")</f>
        <v/>
      </c>
      <c r="AI308" t="str">
        <f>IF(IFERROR(MATCH($B308,temp!E$4:E$13,0),0)&gt;0,T08_Spells!AI$2,"")</f>
        <v/>
      </c>
      <c r="AJ308" t="str">
        <f>IF(IFERROR(MATCH($B308,temp!F$4:F$13,0),0)&gt;0,T08_Spells!AJ$2,"")</f>
        <v/>
      </c>
      <c r="AK308" t="str">
        <f>IF(IFERROR(MATCH($B308,temp!G$4:G$13,0),0)&gt;0,T08_Spells!AK$2,"")</f>
        <v/>
      </c>
      <c r="AL308" t="str">
        <f>IF(IFERROR(MATCH($B308,temp!H$4:H$13,0),0)&gt;0,T08_Spells!AL$2,"")</f>
        <v/>
      </c>
      <c r="AM308" t="str">
        <f>IF(IFERROR(MATCH($B308,temp!I$4:I$13,0),0)&gt;0,T08_Spells!AM$2,"")</f>
        <v/>
      </c>
      <c r="AN308" t="str">
        <f>IF(IFERROR(MATCH($B308,temp!J$4:J$13,0),0)&gt;0,T08_Spells!AN$2,"")</f>
        <v/>
      </c>
      <c r="AO308" t="str">
        <f>IF(IFERROR(MATCH($B308,temp!K$4:K$13,0),0)&gt;0,T08_Spells!AO$2,"")</f>
        <v/>
      </c>
      <c r="AP308" t="str">
        <f>IF(IFERROR(MATCH($B308,temp!L$4:L$13,0),0)&gt;0,T08_Spells!AP$2,"")</f>
        <v/>
      </c>
      <c r="AQ308" t="str">
        <f>IF(IFERROR(MATCH($B308,temp!M$4:M$13,0),0)&gt;0,T08_Spells!AQ$2,"")</f>
        <v/>
      </c>
      <c r="AR308" t="str">
        <f>IF(IFERROR(MATCH($B308,temp!N$4:N$13,0),0)&gt;0,T08_Spells!AR$2,"")</f>
        <v/>
      </c>
      <c r="AS308" t="str">
        <f>IF(IFERROR(MATCH($B308,temp!O$4:O$13,0),0)&gt;0,T08_Spells!AS$2,"")</f>
        <v/>
      </c>
      <c r="AT308" t="str">
        <f>IF(IFERROR(MATCH($B308,temp!P$4:P$13,0),0)&gt;0,T08_Spells!AT$2,"")</f>
        <v/>
      </c>
      <c r="AU308" t="str">
        <f>IF(IFERROR(MATCH($B308,temp!Q$4:Q$13,0),0)&gt;0,T08_Spells!AU$2,"")</f>
        <v/>
      </c>
      <c r="AV308" t="str">
        <f>IF(IFERROR(MATCH($B308,temp!R$4:R$13,0),0)&gt;0,T08_Spells!AV$2,"")</f>
        <v/>
      </c>
      <c r="AW308" t="str">
        <f>IF(IFERROR(MATCH($B308,temp!S$4:S$13,0),0)&gt;0,T08_Spells!AW$2,"")</f>
        <v>Nature</v>
      </c>
      <c r="AX308" t="str">
        <f>IF(IFERROR(MATCH($B308,temp!T$4:T$13,0),0)&gt;0,T08_Spells!AX$2,"")</f>
        <v/>
      </c>
      <c r="AY308" t="str">
        <f>IF(IFERROR(MATCH($B308,temp!U$4:U$13,0),0)&gt;0,T08_Spells!AY$2,"")</f>
        <v/>
      </c>
      <c r="AZ308" t="str">
        <f>IF(IFERROR(MATCH($B308,temp!V$4:V$13,0),0)&gt;0,T08_Spells!AZ$2,"")</f>
        <v/>
      </c>
      <c r="BA308" t="str">
        <f>IF(IFERROR(MATCH($B308,temp!W$4:W$13,0),0)&gt;0,T08_Spells!BA$2,"")</f>
        <v/>
      </c>
      <c r="BC308">
        <f>IF(IFERROR(SEARCH("Ranger",$T308,1),0)&gt;0,1,0)*IF(RangerMaxSpellLevel&gt;=$C308,1,0)*IF(IFERROR(MATCH(B308,Character_Creation!$X$79:$X$382,0),0)&gt;0,0,1)</f>
        <v>0</v>
      </c>
      <c r="BD308">
        <f>IF(BC308=0,0,1+COUNTIF(BD$3:BD307,"&gt;0"))</f>
        <v>0</v>
      </c>
      <c r="BE308" t="str">
        <f t="shared" si="257"/>
        <v/>
      </c>
      <c r="BF308" t="str">
        <f t="shared" si="229"/>
        <v/>
      </c>
      <c r="BH308">
        <f>IF(IFERROR(SEARCH("Sorcerer",$T308,1),0)&gt;0,1,0)*IF(SorcererMaxSpellLevel&gt;=$C308,1,0)*IF(IFERROR(MATCH(B308,Character_Creation!$J$380:$J$394,0),0)&gt;0,0,1)</f>
        <v>0</v>
      </c>
      <c r="BI308">
        <f>IF(BH308=0,0,1+COUNTIF(BI$3:BI307,"&gt;0"))</f>
        <v>0</v>
      </c>
      <c r="BJ308" t="str">
        <f t="shared" si="258"/>
        <v/>
      </c>
      <c r="BK308" t="str">
        <f t="shared" si="230"/>
        <v/>
      </c>
      <c r="BM308">
        <f>IF(OR(IFERROR(SEARCH("Warlock",$T308,1),0)&gt;0,IFERROR(SEARCH(WarlockPatron,$T308,1),0)&gt;0),1,0)*IF(WarlockMaxSpellLevel&gt;=$C308,1,0)*IF(IFERROR(MATCH(B308,Character_Creation!$J$361:$J$375,0),0)&gt;0,0,1)</f>
        <v>0</v>
      </c>
      <c r="BN308">
        <f>IF(BM308=0,0,1+COUNTIF(BN$3:BN307,"&gt;0"))</f>
        <v>0</v>
      </c>
      <c r="BO308" t="str">
        <f t="shared" si="259"/>
        <v/>
      </c>
      <c r="BP308" t="str">
        <f t="shared" si="231"/>
        <v/>
      </c>
      <c r="BR308">
        <f>IF(IFERROR(SEARCH("Eldritch Knight",$T308,1),0)&gt;0,1,0)*IF(EldritchKnightMaxSpellLevel&gt;=$C308,1,0)*IF(IFERROR(MATCH($B308,Character_Creation!$J$350:$J$356,0),0)&gt;0,0,1)*IF(Character_Creation!$M$338&gt;0,1,0)</f>
        <v>0</v>
      </c>
      <c r="BS308">
        <f>IF(BR308=0,0,1+COUNTIF(BS$3:BS307,"&gt;0"))</f>
        <v>0</v>
      </c>
      <c r="BT308" t="str">
        <f t="shared" si="260"/>
        <v/>
      </c>
      <c r="BU308" t="str">
        <f t="shared" si="232"/>
        <v/>
      </c>
      <c r="BW308">
        <f>IF(IFERROR(SEARCH("Arcane Trickster",$T308,1),0)&gt;0,1,0)*IF(ArcaneTricksterMaxSpellLevel&gt;=$C308,1,0)*IF(IFERROR(MATCH($B308,Character_Creation!$J$350:$J$356,0),0)&gt;0,0,1)*IF(Character_Creation!$T$338&gt;0,1,0)</f>
        <v>0</v>
      </c>
      <c r="BX308">
        <f>IF(BW308=0,0,1+COUNTIF(BX$3:BX307,"&gt;0"))</f>
        <v>0</v>
      </c>
      <c r="BY308" t="str">
        <f t="shared" si="261"/>
        <v/>
      </c>
      <c r="BZ308" t="str">
        <f t="shared" si="233"/>
        <v/>
      </c>
      <c r="CB308">
        <f>IF(IFERROR(SEARCH("Wizard",$T308,1),0)&gt;0,1,0)*IF(C308&lt;=ArcaneTricksterMaxSpellLevel,1,0)*IF(IFERROR(MATCH($B308,Character_Creation!$J$350:$J$356,0),0)&gt;0,0,1)*IF(Character_Creation!$T$350&gt;0,1,0)</f>
        <v>0</v>
      </c>
      <c r="CC308">
        <f>IF(CB308=0,0,1+COUNTIF(CC$3:CC307,"&gt;0"))</f>
        <v>0</v>
      </c>
      <c r="CD308" t="str">
        <f t="shared" si="262"/>
        <v/>
      </c>
      <c r="CE308" t="str">
        <f t="shared" si="234"/>
        <v/>
      </c>
      <c r="CG308">
        <f>IF(IFERROR(SEARCH("Wizard",$T308,1),0)&gt;0,1,0)*IF($C308&lt;=EldritchKnightMaxSpellLevel,1,0)*IF(IFERROR(MATCH($B308,Character_Creation!$J$350:$J$356,0),0)&gt;0,0,1)*IF(Character_Creation!$M$350&gt;0,1,0)</f>
        <v>0</v>
      </c>
      <c r="CH308">
        <f>IF(CG308=0,0,1+COUNTIF(CH$3:CH307,"&gt;0"))</f>
        <v>0</v>
      </c>
      <c r="CI308" t="str">
        <f t="shared" si="263"/>
        <v/>
      </c>
      <c r="CJ308" t="str">
        <f t="shared" si="235"/>
        <v/>
      </c>
      <c r="CL308">
        <f>IF(IFERROR(SEARCH("Bard",$T308,1),0)&gt;0,1,0)*IF(BardMaxSpellLevel&gt;=$C308,1,0)*IF(IFERROR(MATCH(B308,Character_Creation!$C$341:$F$362,0),0)&gt;0,0,1)*IF(IFERROR(MATCH($B308,Character_Creation!$C$341:$C$362,0),0)&gt;0,0,1)</f>
        <v>0</v>
      </c>
      <c r="CM308">
        <f>IF(CL308=0,0,1+COUNTIF(CM$3:CM307,"&gt;0"))</f>
        <v>0</v>
      </c>
      <c r="CN308" t="str">
        <f t="shared" si="264"/>
        <v/>
      </c>
      <c r="CO308" t="str">
        <f t="shared" si="236"/>
        <v/>
      </c>
      <c r="CQ308">
        <f>IF(IFERROR(SEARCH("Wizard",$T308,1),0)&gt;0,1,0)*IF(WizardMaxSpellLevel&gt;=$C308,1,0)*IF(IFERROR(MATCH(B308,Character_Creation!$X$341:$X$400,0),0)&gt;0,0,1)*IF(SelectedWizardSpellLevel=$C308,1,0)</f>
        <v>0</v>
      </c>
      <c r="CR308">
        <f>IF(CQ308=0,0,1+COUNTIF(CR$3:CR307,"&gt;0"))</f>
        <v>0</v>
      </c>
      <c r="CS308" t="str">
        <f t="shared" si="265"/>
        <v/>
      </c>
      <c r="CT308" t="str">
        <f t="shared" si="237"/>
        <v/>
      </c>
      <c r="CV308">
        <f>IF(IFERROR(MATCH($B308,Character_Creation!$C$341:$C$362,0),0)&gt;0,0,1)*IF(OR(C308="Cantrip",C308&lt;=BardMaxSpellLevel),1,0)*IF(IFERROR(MATCH($B308,Character_Creation!$C$367:$C$374,0),0)&gt;0,0,1)</f>
        <v>0</v>
      </c>
      <c r="CW308">
        <f>IF(CV308=0,0,1+COUNTIF(CW$3:CW307,"&gt;0"))</f>
        <v>0</v>
      </c>
      <c r="CX308" t="str">
        <f t="shared" si="266"/>
        <v/>
      </c>
      <c r="CY308" t="str">
        <f t="shared" si="238"/>
        <v/>
      </c>
      <c r="DA308">
        <f>IF(IF(OR(IFERROR(SEARCH("Cleric",$T308,1),0)&gt;0,IFERROR(SEARCH(DivineDomain&amp;",",$T308,1),0)&gt;0),1,0)*IF($C308=DA$2,1,0)=1,1+COUNTIF(DA$3:DA307,"&gt;0"),0)</f>
        <v>0</v>
      </c>
      <c r="DB308">
        <f>IF(IF(OR(IFERROR(SEARCH("Cleric",$T308,1),0)&gt;0,IFERROR(SEARCH(DivineDomain&amp;",",$T308,1),0)&gt;0),1,0)*IF($C308=DB$2,1,0)=1,1+COUNTIF(DB$3:DB307,"&gt;0"),0)</f>
        <v>0</v>
      </c>
      <c r="DC308">
        <f>IF(IF(OR(IFERROR(SEARCH("Cleric",$T308,1),0)&gt;0,IFERROR(SEARCH(DivineDomain&amp;",",$T308,1),0)&gt;0),1,0)*IF($C308=DC$2,1,0)=1,1+COUNTIF(DC$3:DC307,"&gt;0"),0)</f>
        <v>0</v>
      </c>
      <c r="DD308">
        <f>IF(IF(OR(IFERROR(SEARCH("Cleric",$T308,1),0)&gt;0,IFERROR(SEARCH(DivineDomain&amp;",",$T308,1),0)&gt;0),1,0)*IF($C308=DD$2,1,0)=1,1+COUNTIF(DD$3:DD307,"&gt;0"),0)</f>
        <v>0</v>
      </c>
      <c r="DE308">
        <f>IF(IF(OR(IFERROR(SEARCH("Cleric",$T308,1),0)&gt;0,IFERROR(SEARCH(DivineDomain&amp;",",$T308,1),0)&gt;0),1,0)*IF($C308=DE$2,1,0)=1,1+COUNTIF(DE$3:DE307,"&gt;0"),0)</f>
        <v>0</v>
      </c>
      <c r="DF308">
        <f>IF(IF(OR(IFERROR(SEARCH("Cleric",$T308,1),0)&gt;0,IFERROR(SEARCH(DivineDomain&amp;",",$T308,1),0)&gt;0),1,0)*IF($C308=DF$2,1,0)=1,1+COUNTIF(DF$3:DF307,"&gt;0"),0)</f>
        <v>0</v>
      </c>
      <c r="DG308">
        <f>IF(IF(OR(IFERROR(SEARCH("Cleric",$T308,1),0)&gt;0,IFERROR(SEARCH(DivineDomain&amp;",",$T308,1),0)&gt;0),1,0)*IF($C308=DG$2,1,0)=1,1+COUNTIF(DG$3:DG307,"&gt;0"),0)</f>
        <v>0</v>
      </c>
      <c r="DH308">
        <f>IF(IF(OR(IFERROR(SEARCH("Cleric",$T308,1),0)&gt;0,IFERROR(SEARCH(DivineDomain&amp;",",$T308,1),0)&gt;0),1,0)*IF($C308=DH$2,1,0)=1,1+COUNTIF(DH$3:DH307,"&gt;0"),0)</f>
        <v>0</v>
      </c>
      <c r="DI308">
        <f>IF(IF(OR(IFERROR(SEARCH("Cleric",$T308,1),0)&gt;0,IFERROR(SEARCH(DivineDomain&amp;",",$T308,1),0)&gt;0),1,0)*IF($C308=DI$2,1,0)=1,1+COUNTIF(DI$3:DI307,"&gt;0"),0)</f>
        <v>0</v>
      </c>
      <c r="DJ308">
        <f>IF(IF(OR(IFERROR(SEARCH("Druid",$T308,1),0)&gt;0,IFERROR(SEARCH(DruidLand1,$T308,1),0)&gt;0,IFERROR(SEARCH(DruidLand2,$T308,1),0)&gt;0,IFERROR(SEARCH(DruidLand3,$T308,1),0)&gt;0,IFERROR(SEARCH(DruidLand4,$T308,1),0)&gt;0),1,0)*IF($C308=1,1,0)*IF($C308=DJ$2,1,0)=0,0,1+COUNTIF(DJ$3:DJ307,"&gt;0"))</f>
        <v>15</v>
      </c>
      <c r="DK308">
        <f>IF(IF(OR(IFERROR(SEARCH("Druid",$T308,1),0)&gt;0,IFERROR(SEARCH(DruidLand1,$T308,1),0)&gt;0,IFERROR(SEARCH(DruidLand2,$T308,1),0)&gt;0,IFERROR(SEARCH(DruidLand3,$T308,1),0)&gt;0,IFERROR(SEARCH(DruidLand4,$T308,1),0)&gt;0),1,0)*IF($C308=DK$2,1,0)=0,0,1+COUNTIF(DK$3:DK307,"&gt;0"))</f>
        <v>0</v>
      </c>
      <c r="DL308">
        <f>IF(IF(OR(IFERROR(SEARCH("Druid",$T308,1),0)&gt;0,IFERROR(SEARCH(DruidLand1,$T308,1),0)&gt;0,IFERROR(SEARCH(DruidLand2,$T308,1),0)&gt;0,IFERROR(SEARCH(DruidLand3,$T308,1),0)&gt;0,IFERROR(SEARCH(DruidLand4,$T308,1),0)&gt;0),1,0)*IF($C308=DL$2,1,0)=0,0,1+COUNTIF(DL$3:DL307,"&gt;0"))</f>
        <v>0</v>
      </c>
      <c r="DM308">
        <f>IF(IF(OR(IFERROR(SEARCH("Druid",$T308,1),0)&gt;0,IFERROR(SEARCH(DruidLand1,$T308,1),0)&gt;0,IFERROR(SEARCH(DruidLand2,$T308,1),0)&gt;0,IFERROR(SEARCH(DruidLand3,$T308,1),0)&gt;0,IFERROR(SEARCH(DruidLand4,$T308,1),0)&gt;0),1,0)*IF($C308=DM$2,1,0)=0,0,1+COUNTIF(DM$3:DM307,"&gt;0"))</f>
        <v>0</v>
      </c>
      <c r="DN308">
        <f>IF(IF(OR(IFERROR(SEARCH("Druid",$T308,1),0)&gt;0,IFERROR(SEARCH(DruidLand1,$T308,1),0)&gt;0,IFERROR(SEARCH(DruidLand2,$T308,1),0)&gt;0,IFERROR(SEARCH(DruidLand3,$T308,1),0)&gt;0,IFERROR(SEARCH(DruidLand4,$T308,1),0)&gt;0),1,0)*IF($C308=DN$2,1,0)=0,0,1+COUNTIF(DN$3:DN307,"&gt;0"))</f>
        <v>0</v>
      </c>
      <c r="DO308">
        <f>IF(IF(OR(IFERROR(SEARCH("Druid",$T308,1),0)&gt;0,IFERROR(SEARCH(DruidLand1,$T308,1),0)&gt;0,IFERROR(SEARCH(DruidLand2,$T308,1),0)&gt;0,IFERROR(SEARCH(DruidLand3,$T308,1),0)&gt;0,IFERROR(SEARCH(DruidLand4,$T308,1),0)&gt;0),1,0)*IF($C308=DO$2,1,0)=0,0,1+COUNTIF(DO$3:DO307,"&gt;0"))</f>
        <v>0</v>
      </c>
      <c r="DP308">
        <f>IF(IF(OR(IFERROR(SEARCH("Druid",$T308,1),0)&gt;0,IFERROR(SEARCH(DruidLand1,$T308,1),0)&gt;0,IFERROR(SEARCH(DruidLand2,$T308,1),0)&gt;0,IFERROR(SEARCH(DruidLand3,$T308,1),0)&gt;0,IFERROR(SEARCH(DruidLand4,$T308,1),0)&gt;0),1,0)*IF($C308=DP$2,1,0)=0,0,1+COUNTIF(DP$3:DP307,"&gt;0"))</f>
        <v>0</v>
      </c>
      <c r="DQ308">
        <f>IF(IF(OR(IFERROR(SEARCH("Druid",$T308,1),0)&gt;0,IFERROR(SEARCH(DruidLand1,$T308,1),0)&gt;0,IFERROR(SEARCH(DruidLand2,$T308,1),0)&gt;0,IFERROR(SEARCH(DruidLand3,$T308,1),0)&gt;0,IFERROR(SEARCH(DruidLand4,$T308,1),0)&gt;0),1,0)*IF($C308=DQ$2,1,0)=0,0,1+COUNTIF(DQ$3:DQ307,"&gt;0"))</f>
        <v>0</v>
      </c>
      <c r="DR308">
        <f>IF(IF(OR(IFERROR(SEARCH("Druid",$T308,1),0)&gt;0,IFERROR(SEARCH(DruidLand1,$T308,1),0)&gt;0,IFERROR(SEARCH(DruidLand2,$T308,1),0)&gt;0,IFERROR(SEARCH(DruidLand3,$T308,1),0)&gt;0,IFERROR(SEARCH(DruidLand4,$T308,1),0)&gt;0),1,0)*IF($C308=DR$2,1,0)=0,0,1+COUNTIF(DR$3:DR307,"&gt;0"))</f>
        <v>0</v>
      </c>
      <c r="DS308">
        <f>IF(IF(OR(IFERROR(SEARCH("Paladin",$T308,1),0)&gt;0,IFERROR(SEARCH(PaladinOath,$T308,1),0)&gt;0),1,0)*IF($C308=DS$2,1,0)=1,1+COUNTIF(DS$3:DS307,"&gt;0"),0)</f>
        <v>0</v>
      </c>
      <c r="DT308">
        <f>IF(IF(OR(IFERROR(SEARCH("Paladin",$T308,1),0)&gt;0,IFERROR(SEARCH(PaladinOath,$T308,1),0)&gt;0),1,0)*IF($C308=DT$2,1,0)=1,1+COUNTIF(DT$3:DT307,"&gt;0"),0)</f>
        <v>0</v>
      </c>
      <c r="DU308">
        <f>IF(IF(OR(IFERROR(SEARCH("Paladin",$T308,1),0)&gt;0,IFERROR(SEARCH(PaladinOath,$T308,1),0)&gt;0),1,0)*IF($C308=DU$2,1,0)=1,1+COUNTIF(DU$3:DU307,"&gt;0"),0)</f>
        <v>0</v>
      </c>
      <c r="DV308">
        <f>IF(IF(OR(IFERROR(SEARCH("Paladin",$T308,1),0)&gt;0,IFERROR(SEARCH(PaladinOath,$T308,1),0)&gt;0),1,0)*IF($C308=DV$2,1,0)=1,1+COUNTIF(DV$3:DV307,"&gt;0"),0)</f>
        <v>0</v>
      </c>
      <c r="DW308">
        <f>IF(IF(OR(IFERROR(SEARCH("Paladin",$T308,1),0)&gt;0,IFERROR(SEARCH(PaladinOath,$T308,1),0)&gt;0),1,0)*IF($C308=DW$2,1,0)=1,1+COUNTIF(DW$3:DW307,"&gt;0"),0)</f>
        <v>0</v>
      </c>
      <c r="DY308">
        <f t="shared" si="225"/>
        <v>1</v>
      </c>
      <c r="DZ308">
        <f>IF(DY308=0,0,1+MAX(DZ$3:$DZ307))</f>
        <v>306</v>
      </c>
      <c r="EB308">
        <f t="shared" si="239"/>
        <v>0</v>
      </c>
      <c r="EC308">
        <f>IF(EB308=0,0,1+COUNTIF(EC$3:EC307,"&gt;0"))</f>
        <v>0</v>
      </c>
      <c r="ED308" t="str">
        <f t="shared" si="267"/>
        <v/>
      </c>
      <c r="EE308" t="str">
        <f t="shared" si="240"/>
        <v/>
      </c>
      <c r="EG308">
        <f t="shared" si="241"/>
        <v>0</v>
      </c>
      <c r="EH308">
        <f>IF(EG308=0,0,1+COUNTIF(EH$3:EH307,"&gt;0"))</f>
        <v>0</v>
      </c>
      <c r="EI308" t="str">
        <f t="shared" si="268"/>
        <v/>
      </c>
      <c r="EJ308" t="str">
        <f t="shared" si="242"/>
        <v/>
      </c>
      <c r="EL308">
        <f t="shared" si="243"/>
        <v>0</v>
      </c>
      <c r="EM308">
        <f>IF(EL308=0,0,1+COUNTIF(EM$3:EM307,"&gt;0"))</f>
        <v>0</v>
      </c>
      <c r="EN308" t="str">
        <f t="shared" si="269"/>
        <v/>
      </c>
      <c r="EO308" t="str">
        <f t="shared" si="244"/>
        <v/>
      </c>
      <c r="EQ308">
        <f t="shared" si="245"/>
        <v>0</v>
      </c>
      <c r="ER308">
        <f>IF(EQ308=0,0,1+COUNTIF(ER$3:ER307,"&gt;0"))</f>
        <v>0</v>
      </c>
      <c r="ES308" t="str">
        <f t="shared" si="270"/>
        <v/>
      </c>
      <c r="ET308" t="str">
        <f t="shared" si="246"/>
        <v/>
      </c>
      <c r="EV308">
        <f t="shared" si="247"/>
        <v>0</v>
      </c>
      <c r="EW308">
        <f>IF(EV308=0,0,1+COUNTIF(EW$3:EW307,"&gt;0"))</f>
        <v>0</v>
      </c>
      <c r="EX308" t="str">
        <f t="shared" si="271"/>
        <v/>
      </c>
      <c r="EY308" t="str">
        <f t="shared" si="248"/>
        <v/>
      </c>
      <c r="FA308">
        <f t="shared" si="249"/>
        <v>0</v>
      </c>
      <c r="FB308">
        <f>IF(FA308=0,0,1+COUNTIF(FB$3:FB307,"&gt;0"))</f>
        <v>0</v>
      </c>
      <c r="FC308" t="str">
        <f t="shared" si="272"/>
        <v/>
      </c>
      <c r="FD308" t="str">
        <f t="shared" si="250"/>
        <v/>
      </c>
      <c r="FF308">
        <f t="shared" si="251"/>
        <v>0</v>
      </c>
      <c r="FG308">
        <f>IF(FF308=0,0,1+COUNTIF(FG$3:FG307,"&gt;0"))</f>
        <v>0</v>
      </c>
      <c r="FH308" t="str">
        <f t="shared" si="273"/>
        <v/>
      </c>
      <c r="FI308" t="str">
        <f t="shared" si="252"/>
        <v/>
      </c>
      <c r="FK308">
        <f t="shared" si="253"/>
        <v>0</v>
      </c>
      <c r="FL308">
        <f>IF(FK308=0,0,1+COUNTIF(FL$3:FL307,"&gt;0"))</f>
        <v>0</v>
      </c>
      <c r="FM308" t="str">
        <f t="shared" si="274"/>
        <v/>
      </c>
      <c r="FN308" t="str">
        <f t="shared" si="254"/>
        <v/>
      </c>
      <c r="FP308">
        <f t="shared" si="255"/>
        <v>0</v>
      </c>
      <c r="FQ308">
        <f>IF(FP308=0,0,1+COUNTIF(FQ$3:FQ307,"&gt;0"))</f>
        <v>0</v>
      </c>
      <c r="FR308" t="str">
        <f t="shared" si="275"/>
        <v/>
      </c>
      <c r="FS308" t="str">
        <f t="shared" si="256"/>
        <v/>
      </c>
    </row>
    <row r="309" spans="1:175" x14ac:dyDescent="0.25">
      <c r="A309" s="347">
        <f t="shared" si="276"/>
        <v>307</v>
      </c>
      <c r="B309" s="348" t="s">
        <v>2702</v>
      </c>
      <c r="C309" s="348">
        <v>3</v>
      </c>
      <c r="D309" s="347">
        <v>3</v>
      </c>
      <c r="E309" s="627" t="s">
        <v>6952</v>
      </c>
      <c r="F309" s="346"/>
      <c r="G309" s="347" t="str">
        <f>""</f>
        <v/>
      </c>
      <c r="H309" s="347" t="s">
        <v>5912</v>
      </c>
      <c r="I309" s="347" t="s">
        <v>5052</v>
      </c>
      <c r="J309" s="347" t="str">
        <f t="shared" si="226"/>
        <v/>
      </c>
      <c r="K309" s="347" t="s">
        <v>5319</v>
      </c>
      <c r="L309" s="611" t="str">
        <f t="shared" si="227"/>
        <v>V, S, M, burning incense</v>
      </c>
      <c r="M309" s="347" t="s">
        <v>2373</v>
      </c>
      <c r="N309" s="347" t="s">
        <v>2387</v>
      </c>
      <c r="O309" s="347" t="s">
        <v>1244</v>
      </c>
      <c r="P309" s="346" t="s">
        <v>5484</v>
      </c>
      <c r="Q309" s="347" t="s">
        <v>5275</v>
      </c>
      <c r="S309" s="346" t="s">
        <v>5826</v>
      </c>
      <c r="T309" s="346" t="str">
        <f t="shared" si="228"/>
        <v xml:space="preserve">Bard, Cleric, Knowledge, </v>
      </c>
      <c r="U309" s="347" t="str">
        <f>$B309</f>
        <v>Speak with Dead</v>
      </c>
      <c r="Z309" s="347" t="str">
        <f>$B309</f>
        <v>Speak with Dead</v>
      </c>
      <c r="AE309" t="str">
        <f>IF(IFERROR(MATCH($B309,temp!A$4:A$13,0),0)&gt;0,T08_Spells!AE$2,"")</f>
        <v/>
      </c>
      <c r="AF309" t="str">
        <f>IF(IFERROR(MATCH($B309,temp!B$4:B$13,0),0)&gt;0,T08_Spells!AF$2,"")</f>
        <v/>
      </c>
      <c r="AG309" t="str">
        <f>IF(IFERROR(MATCH($B309,temp!C$4:C$13,0),0)&gt;0,T08_Spells!AG$2,"")</f>
        <v/>
      </c>
      <c r="AH309" t="str">
        <f>IF(IFERROR(MATCH($B309,temp!D$4:D$13,0),0)&gt;0,T08_Spells!AH$2,"")</f>
        <v/>
      </c>
      <c r="AI309" t="str">
        <f>IF(IFERROR(MATCH($B309,temp!E$4:E$13,0),0)&gt;0,T08_Spells!AI$2,"")</f>
        <v/>
      </c>
      <c r="AJ309" t="str">
        <f>IF(IFERROR(MATCH($B309,temp!F$4:F$13,0),0)&gt;0,T08_Spells!AJ$2,"")</f>
        <v/>
      </c>
      <c r="AK309" t="str">
        <f>IF(IFERROR(MATCH($B309,temp!G$4:G$13,0),0)&gt;0,T08_Spells!AK$2,"")</f>
        <v/>
      </c>
      <c r="AL309" t="str">
        <f>IF(IFERROR(MATCH($B309,temp!H$4:H$13,0),0)&gt;0,T08_Spells!AL$2,"")</f>
        <v/>
      </c>
      <c r="AM309" t="str">
        <f>IF(IFERROR(MATCH($B309,temp!I$4:I$13,0),0)&gt;0,T08_Spells!AM$2,"")</f>
        <v/>
      </c>
      <c r="AN309" t="str">
        <f>IF(IFERROR(MATCH($B309,temp!J$4:J$13,0),0)&gt;0,T08_Spells!AN$2,"")</f>
        <v/>
      </c>
      <c r="AO309" t="str">
        <f>IF(IFERROR(MATCH($B309,temp!K$4:K$13,0),0)&gt;0,T08_Spells!AO$2,"")</f>
        <v/>
      </c>
      <c r="AP309" t="str">
        <f>IF(IFERROR(MATCH($B309,temp!L$4:L$13,0),0)&gt;0,T08_Spells!AP$2,"")</f>
        <v/>
      </c>
      <c r="AQ309" t="str">
        <f>IF(IFERROR(MATCH($B309,temp!M$4:M$13,0),0)&gt;0,T08_Spells!AQ$2,"")</f>
        <v/>
      </c>
      <c r="AR309" t="str">
        <f>IF(IFERROR(MATCH($B309,temp!N$4:N$13,0),0)&gt;0,T08_Spells!AR$2,"")</f>
        <v/>
      </c>
      <c r="AS309" t="str">
        <f>IF(IFERROR(MATCH($B309,temp!O$4:O$13,0),0)&gt;0,T08_Spells!AS$2,"")</f>
        <v/>
      </c>
      <c r="AT309" t="str">
        <f>IF(IFERROR(MATCH($B309,temp!P$4:P$13,0),0)&gt;0,T08_Spells!AT$2,"")</f>
        <v>Knowledge</v>
      </c>
      <c r="AU309" t="str">
        <f>IF(IFERROR(MATCH($B309,temp!Q$4:Q$13,0),0)&gt;0,T08_Spells!AU$2,"")</f>
        <v/>
      </c>
      <c r="AV309" t="str">
        <f>IF(IFERROR(MATCH($B309,temp!R$4:R$13,0),0)&gt;0,T08_Spells!AV$2,"")</f>
        <v/>
      </c>
      <c r="AW309" t="str">
        <f>IF(IFERROR(MATCH($B309,temp!S$4:S$13,0),0)&gt;0,T08_Spells!AW$2,"")</f>
        <v/>
      </c>
      <c r="AX309" t="str">
        <f>IF(IFERROR(MATCH($B309,temp!T$4:T$13,0),0)&gt;0,T08_Spells!AX$2,"")</f>
        <v/>
      </c>
      <c r="AY309" t="str">
        <f>IF(IFERROR(MATCH($B309,temp!U$4:U$13,0),0)&gt;0,T08_Spells!AY$2,"")</f>
        <v/>
      </c>
      <c r="AZ309" t="str">
        <f>IF(IFERROR(MATCH($B309,temp!V$4:V$13,0),0)&gt;0,T08_Spells!AZ$2,"")</f>
        <v/>
      </c>
      <c r="BA309" t="str">
        <f>IF(IFERROR(MATCH($B309,temp!W$4:W$13,0),0)&gt;0,T08_Spells!BA$2,"")</f>
        <v/>
      </c>
      <c r="BC309">
        <f>IF(IFERROR(SEARCH("Ranger",$T309,1),0)&gt;0,1,0)*IF(RangerMaxSpellLevel&gt;=$C309,1,0)*IF(IFERROR(MATCH(B309,Character_Creation!$X$79:$X$382,0),0)&gt;0,0,1)</f>
        <v>0</v>
      </c>
      <c r="BD309">
        <f>IF(BC309=0,0,1+COUNTIF(BD$3:BD308,"&gt;0"))</f>
        <v>0</v>
      </c>
      <c r="BE309" t="str">
        <f t="shared" si="257"/>
        <v/>
      </c>
      <c r="BF309" t="str">
        <f t="shared" si="229"/>
        <v/>
      </c>
      <c r="BH309">
        <f>IF(IFERROR(SEARCH("Sorcerer",$T309,1),0)&gt;0,1,0)*IF(SorcererMaxSpellLevel&gt;=$C309,1,0)*IF(IFERROR(MATCH(B309,Character_Creation!$J$380:$J$394,0),0)&gt;0,0,1)</f>
        <v>0</v>
      </c>
      <c r="BI309">
        <f>IF(BH309=0,0,1+COUNTIF(BI$3:BI308,"&gt;0"))</f>
        <v>0</v>
      </c>
      <c r="BJ309" t="str">
        <f t="shared" si="258"/>
        <v/>
      </c>
      <c r="BK309" t="str">
        <f t="shared" si="230"/>
        <v/>
      </c>
      <c r="BM309">
        <f>IF(OR(IFERROR(SEARCH("Warlock",$T309,1),0)&gt;0,IFERROR(SEARCH(WarlockPatron,$T309,1),0)&gt;0),1,0)*IF(WarlockMaxSpellLevel&gt;=$C309,1,0)*IF(IFERROR(MATCH(B309,Character_Creation!$J$361:$J$375,0),0)&gt;0,0,1)</f>
        <v>0</v>
      </c>
      <c r="BN309">
        <f>IF(BM309=0,0,1+COUNTIF(BN$3:BN308,"&gt;0"))</f>
        <v>0</v>
      </c>
      <c r="BO309" t="str">
        <f t="shared" si="259"/>
        <v/>
      </c>
      <c r="BP309" t="str">
        <f t="shared" si="231"/>
        <v/>
      </c>
      <c r="BR309">
        <f>IF(IFERROR(SEARCH("Eldritch Knight",$T309,1),0)&gt;0,1,0)*IF(EldritchKnightMaxSpellLevel&gt;=$C309,1,0)*IF(IFERROR(MATCH($B309,Character_Creation!$J$350:$J$356,0),0)&gt;0,0,1)*IF(Character_Creation!$M$338&gt;0,1,0)</f>
        <v>0</v>
      </c>
      <c r="BS309">
        <f>IF(BR309=0,0,1+COUNTIF(BS$3:BS308,"&gt;0"))</f>
        <v>0</v>
      </c>
      <c r="BT309" t="str">
        <f t="shared" si="260"/>
        <v/>
      </c>
      <c r="BU309" t="str">
        <f t="shared" si="232"/>
        <v/>
      </c>
      <c r="BW309">
        <f>IF(IFERROR(SEARCH("Arcane Trickster",$T309,1),0)&gt;0,1,0)*IF(ArcaneTricksterMaxSpellLevel&gt;=$C309,1,0)*IF(IFERROR(MATCH($B309,Character_Creation!$J$350:$J$356,0),0)&gt;0,0,1)*IF(Character_Creation!$T$338&gt;0,1,0)</f>
        <v>0</v>
      </c>
      <c r="BX309">
        <f>IF(BW309=0,0,1+COUNTIF(BX$3:BX308,"&gt;0"))</f>
        <v>0</v>
      </c>
      <c r="BY309" t="str">
        <f t="shared" si="261"/>
        <v/>
      </c>
      <c r="BZ309" t="str">
        <f t="shared" si="233"/>
        <v/>
      </c>
      <c r="CB309">
        <f>IF(IFERROR(SEARCH("Wizard",$T309,1),0)&gt;0,1,0)*IF(C309&lt;=ArcaneTricksterMaxSpellLevel,1,0)*IF(IFERROR(MATCH($B309,Character_Creation!$J$350:$J$356,0),0)&gt;0,0,1)*IF(Character_Creation!$T$350&gt;0,1,0)</f>
        <v>0</v>
      </c>
      <c r="CC309">
        <f>IF(CB309=0,0,1+COUNTIF(CC$3:CC308,"&gt;0"))</f>
        <v>0</v>
      </c>
      <c r="CD309" t="str">
        <f t="shared" si="262"/>
        <v/>
      </c>
      <c r="CE309" t="str">
        <f t="shared" si="234"/>
        <v/>
      </c>
      <c r="CG309">
        <f>IF(IFERROR(SEARCH("Wizard",$T309,1),0)&gt;0,1,0)*IF($C309&lt;=EldritchKnightMaxSpellLevel,1,0)*IF(IFERROR(MATCH($B309,Character_Creation!$J$350:$J$356,0),0)&gt;0,0,1)*IF(Character_Creation!$M$350&gt;0,1,0)</f>
        <v>0</v>
      </c>
      <c r="CH309">
        <f>IF(CG309=0,0,1+COUNTIF(CH$3:CH308,"&gt;0"))</f>
        <v>0</v>
      </c>
      <c r="CI309" t="str">
        <f t="shared" si="263"/>
        <v/>
      </c>
      <c r="CJ309" t="str">
        <f t="shared" si="235"/>
        <v/>
      </c>
      <c r="CL309">
        <f>IF(IFERROR(SEARCH("Bard",$T309,1),0)&gt;0,1,0)*IF(BardMaxSpellLevel&gt;=$C309,1,0)*IF(IFERROR(MATCH(B309,Character_Creation!$C$341:$F$362,0),0)&gt;0,0,1)*IF(IFERROR(MATCH($B309,Character_Creation!$C$341:$C$362,0),0)&gt;0,0,1)</f>
        <v>0</v>
      </c>
      <c r="CM309">
        <f>IF(CL309=0,0,1+COUNTIF(CM$3:CM308,"&gt;0"))</f>
        <v>0</v>
      </c>
      <c r="CN309" t="str">
        <f t="shared" si="264"/>
        <v/>
      </c>
      <c r="CO309" t="str">
        <f t="shared" si="236"/>
        <v/>
      </c>
      <c r="CQ309">
        <f>IF(IFERROR(SEARCH("Wizard",$T309,1),0)&gt;0,1,0)*IF(WizardMaxSpellLevel&gt;=$C309,1,0)*IF(IFERROR(MATCH(B309,Character_Creation!$X$341:$X$400,0),0)&gt;0,0,1)*IF(SelectedWizardSpellLevel=$C309,1,0)</f>
        <v>0</v>
      </c>
      <c r="CR309">
        <f>IF(CQ309=0,0,1+COUNTIF(CR$3:CR308,"&gt;0"))</f>
        <v>0</v>
      </c>
      <c r="CS309" t="str">
        <f t="shared" si="265"/>
        <v/>
      </c>
      <c r="CT309" t="str">
        <f t="shared" si="237"/>
        <v/>
      </c>
      <c r="CV309">
        <f>IF(IFERROR(MATCH($B309,Character_Creation!$C$341:$C$362,0),0)&gt;0,0,1)*IF(OR(C309="Cantrip",C309&lt;=BardMaxSpellLevel),1,0)*IF(IFERROR(MATCH($B309,Character_Creation!$C$367:$C$374,0),0)&gt;0,0,1)</f>
        <v>0</v>
      </c>
      <c r="CW309">
        <f>IF(CV309=0,0,1+COUNTIF(CW$3:CW308,"&gt;0"))</f>
        <v>0</v>
      </c>
      <c r="CX309" t="str">
        <f t="shared" si="266"/>
        <v/>
      </c>
      <c r="CY309" t="str">
        <f t="shared" si="238"/>
        <v/>
      </c>
      <c r="DA309">
        <f>IF(IF(OR(IFERROR(SEARCH("Cleric",$T309,1),0)&gt;0,IFERROR(SEARCH(DivineDomain&amp;",",$T309,1),0)&gt;0),1,0)*IF($C309=DA$2,1,0)=1,1+COUNTIF(DA$3:DA308,"&gt;0"),0)</f>
        <v>0</v>
      </c>
      <c r="DB309">
        <f>IF(IF(OR(IFERROR(SEARCH("Cleric",$T309,1),0)&gt;0,IFERROR(SEARCH(DivineDomain&amp;",",$T309,1),0)&gt;0),1,0)*IF($C309=DB$2,1,0)=1,1+COUNTIF(DB$3:DB308,"&gt;0"),0)</f>
        <v>0</v>
      </c>
      <c r="DC309">
        <f>IF(IF(OR(IFERROR(SEARCH("Cleric",$T309,1),0)&gt;0,IFERROR(SEARCH(DivineDomain&amp;",",$T309,1),0)&gt;0),1,0)*IF($C309=DC$2,1,0)=1,1+COUNTIF(DC$3:DC308,"&gt;0"),0)</f>
        <v>17</v>
      </c>
      <c r="DD309">
        <f>IF(IF(OR(IFERROR(SEARCH("Cleric",$T309,1),0)&gt;0,IFERROR(SEARCH(DivineDomain&amp;",",$T309,1),0)&gt;0),1,0)*IF($C309=DD$2,1,0)=1,1+COUNTIF(DD$3:DD308,"&gt;0"),0)</f>
        <v>0</v>
      </c>
      <c r="DE309">
        <f>IF(IF(OR(IFERROR(SEARCH("Cleric",$T309,1),0)&gt;0,IFERROR(SEARCH(DivineDomain&amp;",",$T309,1),0)&gt;0),1,0)*IF($C309=DE$2,1,0)=1,1+COUNTIF(DE$3:DE308,"&gt;0"),0)</f>
        <v>0</v>
      </c>
      <c r="DF309">
        <f>IF(IF(OR(IFERROR(SEARCH("Cleric",$T309,1),0)&gt;0,IFERROR(SEARCH(DivineDomain&amp;",",$T309,1),0)&gt;0),1,0)*IF($C309=DF$2,1,0)=1,1+COUNTIF(DF$3:DF308,"&gt;0"),0)</f>
        <v>0</v>
      </c>
      <c r="DG309">
        <f>IF(IF(OR(IFERROR(SEARCH("Cleric",$T309,1),0)&gt;0,IFERROR(SEARCH(DivineDomain&amp;",",$T309,1),0)&gt;0),1,0)*IF($C309=DG$2,1,0)=1,1+COUNTIF(DG$3:DG308,"&gt;0"),0)</f>
        <v>0</v>
      </c>
      <c r="DH309">
        <f>IF(IF(OR(IFERROR(SEARCH("Cleric",$T309,1),0)&gt;0,IFERROR(SEARCH(DivineDomain&amp;",",$T309,1),0)&gt;0),1,0)*IF($C309=DH$2,1,0)=1,1+COUNTIF(DH$3:DH308,"&gt;0"),0)</f>
        <v>0</v>
      </c>
      <c r="DI309">
        <f>IF(IF(OR(IFERROR(SEARCH("Cleric",$T309,1),0)&gt;0,IFERROR(SEARCH(DivineDomain&amp;",",$T309,1),0)&gt;0),1,0)*IF($C309=DI$2,1,0)=1,1+COUNTIF(DI$3:DI308,"&gt;0"),0)</f>
        <v>0</v>
      </c>
      <c r="DJ309">
        <f>IF(IF(OR(IFERROR(SEARCH("Druid",$T309,1),0)&gt;0,IFERROR(SEARCH(DruidLand1,$T309,1),0)&gt;0,IFERROR(SEARCH(DruidLand2,$T309,1),0)&gt;0,IFERROR(SEARCH(DruidLand3,$T309,1),0)&gt;0,IFERROR(SEARCH(DruidLand4,$T309,1),0)&gt;0),1,0)*IF($C309=1,1,0)*IF($C309=DJ$2,1,0)=0,0,1+COUNTIF(DJ$3:DJ308,"&gt;0"))</f>
        <v>0</v>
      </c>
      <c r="DK309">
        <f>IF(IF(OR(IFERROR(SEARCH("Druid",$T309,1),0)&gt;0,IFERROR(SEARCH(DruidLand1,$T309,1),0)&gt;0,IFERROR(SEARCH(DruidLand2,$T309,1),0)&gt;0,IFERROR(SEARCH(DruidLand3,$T309,1),0)&gt;0,IFERROR(SEARCH(DruidLand4,$T309,1),0)&gt;0),1,0)*IF($C309=1,1,0)*IF($C309=DK$2,1,0)=0,0,1+COUNTIF(DK$3:DK308,"&gt;0"))</f>
        <v>0</v>
      </c>
      <c r="DL309">
        <f>IF(IF(OR(IFERROR(SEARCH("Druid",$T309,1),0)&gt;0,IFERROR(SEARCH(DruidLand1,$T309,1),0)&gt;0,IFERROR(SEARCH(DruidLand2,$T309,1),0)&gt;0,IFERROR(SEARCH(DruidLand3,$T309,1),0)&gt;0,IFERROR(SEARCH(DruidLand4,$T309,1),0)&gt;0),1,0)*IF($C309=1,1,0)*IF($C309=DL$2,1,0)=0,0,1+COUNTIF(DL$3:DL308,"&gt;0"))</f>
        <v>0</v>
      </c>
      <c r="DM309">
        <f>IF(IF(OR(IFERROR(SEARCH("Druid",$T309,1),0)&gt;0,IFERROR(SEARCH(DruidLand1,$T309,1),0)&gt;0,IFERROR(SEARCH(DruidLand2,$T309,1),0)&gt;0,IFERROR(SEARCH(DruidLand3,$T309,1),0)&gt;0,IFERROR(SEARCH(DruidLand4,$T309,1),0)&gt;0),1,0)*IF($C309=1,1,0)*IF($C309=DM$2,1,0)=0,0,1+COUNTIF(DM$3:DM308,"&gt;0"))</f>
        <v>0</v>
      </c>
      <c r="DN309">
        <f>IF(IF(OR(IFERROR(SEARCH("Druid",$T309,1),0)&gt;0,IFERROR(SEARCH(DruidLand1,$T309,1),0)&gt;0,IFERROR(SEARCH(DruidLand2,$T309,1),0)&gt;0,IFERROR(SEARCH(DruidLand3,$T309,1),0)&gt;0,IFERROR(SEARCH(DruidLand4,$T309,1),0)&gt;0),1,0)*IF($C309=1,1,0)*IF($C309=DN$2,1,0)=0,0,1+COUNTIF(DN$3:DN308,"&gt;0"))</f>
        <v>0</v>
      </c>
      <c r="DO309">
        <f>IF(IF(OR(IFERROR(SEARCH("Druid",$T309,1),0)&gt;0,IFERROR(SEARCH(DruidLand1,$T309,1),0)&gt;0,IFERROR(SEARCH(DruidLand2,$T309,1),0)&gt;0,IFERROR(SEARCH(DruidLand3,$T309,1),0)&gt;0,IFERROR(SEARCH(DruidLand4,$T309,1),0)&gt;0),1,0)*IF($C309=1,1,0)*IF($C309=DO$2,1,0)=0,0,1+COUNTIF(DO$3:DO308,"&gt;0"))</f>
        <v>0</v>
      </c>
      <c r="DP309">
        <f>IF(IF(OR(IFERROR(SEARCH("Druid",$T309,1),0)&gt;0,IFERROR(SEARCH(DruidLand1,$T309,1),0)&gt;0,IFERROR(SEARCH(DruidLand2,$T309,1),0)&gt;0,IFERROR(SEARCH(DruidLand3,$T309,1),0)&gt;0,IFERROR(SEARCH(DruidLand4,$T309,1),0)&gt;0),1,0)*IF($C309=1,1,0)*IF($C309=DP$2,1,0)=0,0,1+COUNTIF(DP$3:DP308,"&gt;0"))</f>
        <v>0</v>
      </c>
      <c r="DQ309">
        <f>IF(IF(OR(IFERROR(SEARCH("Druid",$T309,1),0)&gt;0,IFERROR(SEARCH(DruidLand1,$T309,1),0)&gt;0,IFERROR(SEARCH(DruidLand2,$T309,1),0)&gt;0,IFERROR(SEARCH(DruidLand3,$T309,1),0)&gt;0,IFERROR(SEARCH(DruidLand4,$T309,1),0)&gt;0),1,0)*IF($C309=1,1,0)*IF($C309=DQ$2,1,0)=0,0,1+COUNTIF(DQ$3:DQ308,"&gt;0"))</f>
        <v>0</v>
      </c>
      <c r="DR309">
        <f>IF(IF(OR(IFERROR(SEARCH("Druid",$T309,1),0)&gt;0,IFERROR(SEARCH(DruidLand1,$T309,1),0)&gt;0,IFERROR(SEARCH(DruidLand2,$T309,1),0)&gt;0,IFERROR(SEARCH(DruidLand3,$T309,1),0)&gt;0,IFERROR(SEARCH(DruidLand4,$T309,1),0)&gt;0),1,0)*IF($C309=1,1,0)*IF($C309=DR$2,1,0)=0,0,1+COUNTIF(DR$3:DR308,"&gt;0"))</f>
        <v>0</v>
      </c>
      <c r="DS309">
        <f>IF(IF(OR(IFERROR(SEARCH("Paladin",$T309,1),0)&gt;0,IFERROR(SEARCH(PaladinOath,$T309,1),0)&gt;0),1,0)*IF($C309=DS$2,1,0)=1,1+COUNTIF(DS$3:DS308,"&gt;0"),0)</f>
        <v>0</v>
      </c>
      <c r="DT309">
        <f>IF(IF(OR(IFERROR(SEARCH("Paladin",$T309,1),0)&gt;0,IFERROR(SEARCH(PaladinOath,$T309,1),0)&gt;0),1,0)*IF($C309=DT$2,1,0)=1,1+COUNTIF(DT$3:DT308,"&gt;0"),0)</f>
        <v>0</v>
      </c>
      <c r="DU309">
        <f>IF(IF(OR(IFERROR(SEARCH("Paladin",$T309,1),0)&gt;0,IFERROR(SEARCH(PaladinOath,$T309,1),0)&gt;0),1,0)*IF($C309=DU$2,1,0)=1,1+COUNTIF(DU$3:DU308,"&gt;0"),0)</f>
        <v>0</v>
      </c>
      <c r="DV309">
        <f>IF(IF(OR(IFERROR(SEARCH("Paladin",$T309,1),0)&gt;0,IFERROR(SEARCH(PaladinOath,$T309,1),0)&gt;0),1,0)*IF($C309=DV$2,1,0)=1,1+COUNTIF(DV$3:DV308,"&gt;0"),0)</f>
        <v>0</v>
      </c>
      <c r="DW309">
        <f>IF(IF(OR(IFERROR(SEARCH("Paladin",$T309,1),0)&gt;0,IFERROR(SEARCH(PaladinOath,$T309,1),0)&gt;0),1,0)*IF($C309=DW$2,1,0)=1,1+COUNTIF(DW$3:DW308,"&gt;0"),0)</f>
        <v>0</v>
      </c>
      <c r="DY309">
        <f t="shared" si="225"/>
        <v>1</v>
      </c>
      <c r="DZ309">
        <f>IF(DY309=0,0,1+MAX(DZ$3:$DZ308))</f>
        <v>307</v>
      </c>
      <c r="EB309">
        <f t="shared" si="239"/>
        <v>0</v>
      </c>
      <c r="EC309">
        <f>IF(EB309=0,0,1+COUNTIF(EC$3:EC308,"&gt;0"))</f>
        <v>0</v>
      </c>
      <c r="ED309" t="str">
        <f t="shared" si="267"/>
        <v/>
      </c>
      <c r="EE309" t="str">
        <f t="shared" si="240"/>
        <v/>
      </c>
      <c r="EG309">
        <f t="shared" si="241"/>
        <v>0</v>
      </c>
      <c r="EH309">
        <f>IF(EG309=0,0,1+COUNTIF(EH$3:EH308,"&gt;0"))</f>
        <v>0</v>
      </c>
      <c r="EI309" t="str">
        <f t="shared" si="268"/>
        <v/>
      </c>
      <c r="EJ309" t="str">
        <f t="shared" si="242"/>
        <v/>
      </c>
      <c r="EL309">
        <f t="shared" si="243"/>
        <v>0</v>
      </c>
      <c r="EM309">
        <f>IF(EL309=0,0,1+COUNTIF(EM$3:EM308,"&gt;0"))</f>
        <v>0</v>
      </c>
      <c r="EN309" t="str">
        <f t="shared" si="269"/>
        <v/>
      </c>
      <c r="EO309" t="str">
        <f t="shared" si="244"/>
        <v/>
      </c>
      <c r="EQ309">
        <f t="shared" si="245"/>
        <v>0</v>
      </c>
      <c r="ER309">
        <f>IF(EQ309=0,0,1+COUNTIF(ER$3:ER308,"&gt;0"))</f>
        <v>0</v>
      </c>
      <c r="ES309" t="str">
        <f t="shared" si="270"/>
        <v/>
      </c>
      <c r="ET309" t="str">
        <f t="shared" si="246"/>
        <v/>
      </c>
      <c r="EV309">
        <f t="shared" si="247"/>
        <v>0</v>
      </c>
      <c r="EW309">
        <f>IF(EV309=0,0,1+COUNTIF(EW$3:EW308,"&gt;0"))</f>
        <v>0</v>
      </c>
      <c r="EX309" t="str">
        <f t="shared" si="271"/>
        <v/>
      </c>
      <c r="EY309" t="str">
        <f t="shared" si="248"/>
        <v/>
      </c>
      <c r="FA309">
        <f t="shared" si="249"/>
        <v>0</v>
      </c>
      <c r="FB309">
        <f>IF(FA309=0,0,1+COUNTIF(FB$3:FB308,"&gt;0"))</f>
        <v>0</v>
      </c>
      <c r="FC309" t="str">
        <f t="shared" si="272"/>
        <v/>
      </c>
      <c r="FD309" t="str">
        <f t="shared" si="250"/>
        <v/>
      </c>
      <c r="FF309">
        <f t="shared" si="251"/>
        <v>0</v>
      </c>
      <c r="FG309">
        <f>IF(FF309=0,0,1+COUNTIF(FG$3:FG308,"&gt;0"))</f>
        <v>0</v>
      </c>
      <c r="FH309" t="str">
        <f t="shared" si="273"/>
        <v/>
      </c>
      <c r="FI309" t="str">
        <f t="shared" si="252"/>
        <v/>
      </c>
      <c r="FK309">
        <f t="shared" si="253"/>
        <v>0</v>
      </c>
      <c r="FL309">
        <f>IF(FK309=0,0,1+COUNTIF(FL$3:FL308,"&gt;0"))</f>
        <v>0</v>
      </c>
      <c r="FM309" t="str">
        <f t="shared" si="274"/>
        <v/>
      </c>
      <c r="FN309" t="str">
        <f t="shared" si="254"/>
        <v/>
      </c>
      <c r="FP309">
        <f t="shared" si="255"/>
        <v>0</v>
      </c>
      <c r="FQ309">
        <f>IF(FP309=0,0,1+COUNTIF(FQ$3:FQ308,"&gt;0"))</f>
        <v>0</v>
      </c>
      <c r="FR309" t="str">
        <f t="shared" si="275"/>
        <v/>
      </c>
      <c r="FS309" t="str">
        <f t="shared" si="256"/>
        <v/>
      </c>
    </row>
    <row r="310" spans="1:175" x14ac:dyDescent="0.25">
      <c r="A310" s="347">
        <f t="shared" si="276"/>
        <v>308</v>
      </c>
      <c r="B310" s="348" t="s">
        <v>2703</v>
      </c>
      <c r="C310" s="348">
        <v>3</v>
      </c>
      <c r="D310" s="347">
        <v>3</v>
      </c>
      <c r="E310" s="627" t="s">
        <v>6952</v>
      </c>
      <c r="F310" s="346"/>
      <c r="G310" s="347" t="str">
        <f>""</f>
        <v/>
      </c>
      <c r="H310" s="347" t="s">
        <v>5912</v>
      </c>
      <c r="I310" s="347" t="s">
        <v>5283</v>
      </c>
      <c r="J310" s="347" t="str">
        <f t="shared" si="226"/>
        <v/>
      </c>
      <c r="K310" s="347" t="s">
        <v>5319</v>
      </c>
      <c r="L310" s="611" t="str">
        <f t="shared" si="227"/>
        <v>V, S</v>
      </c>
      <c r="M310" s="347" t="s">
        <v>2373</v>
      </c>
      <c r="N310" s="347" t="s">
        <v>2387</v>
      </c>
      <c r="O310" s="347" t="s">
        <v>3034</v>
      </c>
      <c r="Q310" s="347" t="s">
        <v>5276</v>
      </c>
      <c r="S310" s="346" t="s">
        <v>5827</v>
      </c>
      <c r="T310" s="346" t="str">
        <f t="shared" si="228"/>
        <v xml:space="preserve">Bard, Druid, </v>
      </c>
      <c r="U310" s="347" t="str">
        <f>$B310</f>
        <v>Speak with Plants</v>
      </c>
      <c r="AA310" s="347" t="str">
        <f>$B310</f>
        <v>Speak with Plants</v>
      </c>
      <c r="AE310" t="str">
        <f>IF(IFERROR(MATCH($B310,temp!A$4:A$13,0),0)&gt;0,T08_Spells!AE$2,"")</f>
        <v/>
      </c>
      <c r="AF310" t="str">
        <f>IF(IFERROR(MATCH($B310,temp!B$4:B$13,0),0)&gt;0,T08_Spells!AF$2,"")</f>
        <v/>
      </c>
      <c r="AG310" t="str">
        <f>IF(IFERROR(MATCH($B310,temp!C$4:C$13,0),0)&gt;0,T08_Spells!AG$2,"")</f>
        <v/>
      </c>
      <c r="AH310" t="str">
        <f>IF(IFERROR(MATCH($B310,temp!D$4:D$13,0),0)&gt;0,T08_Spells!AH$2,"")</f>
        <v/>
      </c>
      <c r="AI310" t="str">
        <f>IF(IFERROR(MATCH($B310,temp!E$4:E$13,0),0)&gt;0,T08_Spells!AI$2,"")</f>
        <v/>
      </c>
      <c r="AJ310" t="str">
        <f>IF(IFERROR(MATCH($B310,temp!F$4:F$13,0),0)&gt;0,T08_Spells!AJ$2,"")</f>
        <v/>
      </c>
      <c r="AK310" t="str">
        <f>IF(IFERROR(MATCH($B310,temp!G$4:G$13,0),0)&gt;0,T08_Spells!AK$2,"")</f>
        <v/>
      </c>
      <c r="AL310" t="str">
        <f>IF(IFERROR(MATCH($B310,temp!H$4:H$13,0),0)&gt;0,T08_Spells!AL$2,"")</f>
        <v/>
      </c>
      <c r="AM310" t="str">
        <f>IF(IFERROR(MATCH($B310,temp!I$4:I$13,0),0)&gt;0,T08_Spells!AM$2,"")</f>
        <v/>
      </c>
      <c r="AN310" t="str">
        <f>IF(IFERROR(MATCH($B310,temp!J$4:J$13,0),0)&gt;0,T08_Spells!AN$2,"")</f>
        <v/>
      </c>
      <c r="AO310" t="str">
        <f>IF(IFERROR(MATCH($B310,temp!K$4:K$13,0),0)&gt;0,T08_Spells!AO$2,"")</f>
        <v/>
      </c>
      <c r="AP310" t="str">
        <f>IF(IFERROR(MATCH($B310,temp!L$4:L$13,0),0)&gt;0,T08_Spells!AP$2,"")</f>
        <v/>
      </c>
      <c r="AQ310" t="str">
        <f>IF(IFERROR(MATCH($B310,temp!M$4:M$13,0),0)&gt;0,T08_Spells!AQ$2,"")</f>
        <v/>
      </c>
      <c r="AR310" t="str">
        <f>IF(IFERROR(MATCH($B310,temp!N$4:N$13,0),0)&gt;0,T08_Spells!AR$2,"")</f>
        <v/>
      </c>
      <c r="AS310" t="str">
        <f>IF(IFERROR(MATCH($B310,temp!O$4:O$13,0),0)&gt;0,T08_Spells!AS$2,"")</f>
        <v/>
      </c>
      <c r="AT310" t="str">
        <f>IF(IFERROR(MATCH($B310,temp!P$4:P$13,0),0)&gt;0,T08_Spells!AT$2,"")</f>
        <v/>
      </c>
      <c r="AU310" t="str">
        <f>IF(IFERROR(MATCH($B310,temp!Q$4:Q$13,0),0)&gt;0,T08_Spells!AU$2,"")</f>
        <v/>
      </c>
      <c r="AV310" t="str">
        <f>IF(IFERROR(MATCH($B310,temp!R$4:R$13,0),0)&gt;0,T08_Spells!AV$2,"")</f>
        <v/>
      </c>
      <c r="AW310" t="str">
        <f>IF(IFERROR(MATCH($B310,temp!S$4:S$13,0),0)&gt;0,T08_Spells!AW$2,"")</f>
        <v/>
      </c>
      <c r="AX310" t="str">
        <f>IF(IFERROR(MATCH($B310,temp!T$4:T$13,0),0)&gt;0,T08_Spells!AX$2,"")</f>
        <v/>
      </c>
      <c r="AY310" t="str">
        <f>IF(IFERROR(MATCH($B310,temp!U$4:U$13,0),0)&gt;0,T08_Spells!AY$2,"")</f>
        <v/>
      </c>
      <c r="AZ310" t="str">
        <f>IF(IFERROR(MATCH($B310,temp!V$4:V$13,0),0)&gt;0,T08_Spells!AZ$2,"")</f>
        <v/>
      </c>
      <c r="BA310" t="str">
        <f>IF(IFERROR(MATCH($B310,temp!W$4:W$13,0),0)&gt;0,T08_Spells!BA$2,"")</f>
        <v/>
      </c>
      <c r="BC310">
        <f>IF(IFERROR(SEARCH("Ranger",$T310,1),0)&gt;0,1,0)*IF(RangerMaxSpellLevel&gt;=$C310,1,0)*IF(IFERROR(MATCH(B310,Character_Creation!$X$79:$X$382,0),0)&gt;0,0,1)</f>
        <v>0</v>
      </c>
      <c r="BD310">
        <f>IF(BC310=0,0,1+COUNTIF(BD$3:BD309,"&gt;0"))</f>
        <v>0</v>
      </c>
      <c r="BE310" t="str">
        <f t="shared" si="257"/>
        <v/>
      </c>
      <c r="BF310" t="str">
        <f t="shared" si="229"/>
        <v/>
      </c>
      <c r="BH310">
        <f>IF(IFERROR(SEARCH("Sorcerer",$T310,1),0)&gt;0,1,0)*IF(SorcererMaxSpellLevel&gt;=$C310,1,0)*IF(IFERROR(MATCH(B310,Character_Creation!$J$380:$J$394,0),0)&gt;0,0,1)</f>
        <v>0</v>
      </c>
      <c r="BI310">
        <f>IF(BH310=0,0,1+COUNTIF(BI$3:BI309,"&gt;0"))</f>
        <v>0</v>
      </c>
      <c r="BJ310" t="str">
        <f t="shared" si="258"/>
        <v/>
      </c>
      <c r="BK310" t="str">
        <f t="shared" si="230"/>
        <v/>
      </c>
      <c r="BM310">
        <f>IF(OR(IFERROR(SEARCH("Warlock",$T310,1),0)&gt;0,IFERROR(SEARCH(WarlockPatron,$T310,1),0)&gt;0),1,0)*IF(WarlockMaxSpellLevel&gt;=$C310,1,0)*IF(IFERROR(MATCH(B310,Character_Creation!$J$361:$J$375,0),0)&gt;0,0,1)</f>
        <v>0</v>
      </c>
      <c r="BN310">
        <f>IF(BM310=0,0,1+COUNTIF(BN$3:BN309,"&gt;0"))</f>
        <v>0</v>
      </c>
      <c r="BO310" t="str">
        <f t="shared" si="259"/>
        <v/>
      </c>
      <c r="BP310" t="str">
        <f t="shared" si="231"/>
        <v/>
      </c>
      <c r="BR310">
        <f>IF(IFERROR(SEARCH("Eldritch Knight",$T310,1),0)&gt;0,1,0)*IF(EldritchKnightMaxSpellLevel&gt;=$C310,1,0)*IF(IFERROR(MATCH($B310,Character_Creation!$J$350:$J$356,0),0)&gt;0,0,1)*IF(Character_Creation!$M$338&gt;0,1,0)</f>
        <v>0</v>
      </c>
      <c r="BS310">
        <f>IF(BR310=0,0,1+COUNTIF(BS$3:BS309,"&gt;0"))</f>
        <v>0</v>
      </c>
      <c r="BT310" t="str">
        <f t="shared" si="260"/>
        <v/>
      </c>
      <c r="BU310" t="str">
        <f t="shared" si="232"/>
        <v/>
      </c>
      <c r="BW310">
        <f>IF(IFERROR(SEARCH("Arcane Trickster",$T310,1),0)&gt;0,1,0)*IF(ArcaneTricksterMaxSpellLevel&gt;=$C310,1,0)*IF(IFERROR(MATCH($B310,Character_Creation!$J$350:$J$356,0),0)&gt;0,0,1)*IF(Character_Creation!$T$338&gt;0,1,0)</f>
        <v>0</v>
      </c>
      <c r="BX310">
        <f>IF(BW310=0,0,1+COUNTIF(BX$3:BX309,"&gt;0"))</f>
        <v>0</v>
      </c>
      <c r="BY310" t="str">
        <f t="shared" si="261"/>
        <v/>
      </c>
      <c r="BZ310" t="str">
        <f t="shared" si="233"/>
        <v/>
      </c>
      <c r="CB310">
        <f>IF(IFERROR(SEARCH("Wizard",$T310,1),0)&gt;0,1,0)*IF(C310&lt;=ArcaneTricksterMaxSpellLevel,1,0)*IF(IFERROR(MATCH($B310,Character_Creation!$J$350:$J$356,0),0)&gt;0,0,1)*IF(Character_Creation!$T$350&gt;0,1,0)</f>
        <v>0</v>
      </c>
      <c r="CC310">
        <f>IF(CB310=0,0,1+COUNTIF(CC$3:CC309,"&gt;0"))</f>
        <v>0</v>
      </c>
      <c r="CD310" t="str">
        <f t="shared" si="262"/>
        <v/>
      </c>
      <c r="CE310" t="str">
        <f t="shared" si="234"/>
        <v/>
      </c>
      <c r="CG310">
        <f>IF(IFERROR(SEARCH("Wizard",$T310,1),0)&gt;0,1,0)*IF($C310&lt;=EldritchKnightMaxSpellLevel,1,0)*IF(IFERROR(MATCH($B310,Character_Creation!$J$350:$J$356,0),0)&gt;0,0,1)*IF(Character_Creation!$M$350&gt;0,1,0)</f>
        <v>0</v>
      </c>
      <c r="CH310">
        <f>IF(CG310=0,0,1+COUNTIF(CH$3:CH309,"&gt;0"))</f>
        <v>0</v>
      </c>
      <c r="CI310" t="str">
        <f t="shared" si="263"/>
        <v/>
      </c>
      <c r="CJ310" t="str">
        <f t="shared" si="235"/>
        <v/>
      </c>
      <c r="CL310">
        <f>IF(IFERROR(SEARCH("Bard",$T310,1),0)&gt;0,1,0)*IF(BardMaxSpellLevel&gt;=$C310,1,0)*IF(IFERROR(MATCH(B310,Character_Creation!$C$341:$F$362,0),0)&gt;0,0,1)*IF(IFERROR(MATCH($B310,Character_Creation!$C$341:$C$362,0),0)&gt;0,0,1)</f>
        <v>0</v>
      </c>
      <c r="CM310">
        <f>IF(CL310=0,0,1+COUNTIF(CM$3:CM309,"&gt;0"))</f>
        <v>0</v>
      </c>
      <c r="CN310" t="str">
        <f t="shared" si="264"/>
        <v/>
      </c>
      <c r="CO310" t="str">
        <f t="shared" si="236"/>
        <v/>
      </c>
      <c r="CQ310">
        <f>IF(IFERROR(SEARCH("Wizard",$T310,1),0)&gt;0,1,0)*IF(WizardMaxSpellLevel&gt;=$C310,1,0)*IF(IFERROR(MATCH(B310,Character_Creation!$X$341:$X$400,0),0)&gt;0,0,1)*IF(SelectedWizardSpellLevel=$C310,1,0)</f>
        <v>0</v>
      </c>
      <c r="CR310">
        <f>IF(CQ310=0,0,1+COUNTIF(CR$3:CR309,"&gt;0"))</f>
        <v>0</v>
      </c>
      <c r="CS310" t="str">
        <f t="shared" si="265"/>
        <v/>
      </c>
      <c r="CT310" t="str">
        <f t="shared" si="237"/>
        <v/>
      </c>
      <c r="CV310">
        <f>IF(IFERROR(MATCH($B310,Character_Creation!$C$341:$C$362,0),0)&gt;0,0,1)*IF(OR(C310="Cantrip",C310&lt;=BardMaxSpellLevel),1,0)*IF(IFERROR(MATCH($B310,Character_Creation!$C$367:$C$374,0),0)&gt;0,0,1)</f>
        <v>0</v>
      </c>
      <c r="CW310">
        <f>IF(CV310=0,0,1+COUNTIF(CW$3:CW309,"&gt;0"))</f>
        <v>0</v>
      </c>
      <c r="CX310" t="str">
        <f t="shared" si="266"/>
        <v/>
      </c>
      <c r="CY310" t="str">
        <f t="shared" si="238"/>
        <v/>
      </c>
      <c r="DA310">
        <f>IF(IF(OR(IFERROR(SEARCH("Cleric",$T310,1),0)&gt;0,IFERROR(SEARCH(DivineDomain&amp;",",$T310,1),0)&gt;0),1,0)*IF($C310=DA$2,1,0)=1,1+COUNTIF(DA$3:DA309,"&gt;0"),0)</f>
        <v>0</v>
      </c>
      <c r="DB310">
        <f>IF(IF(OR(IFERROR(SEARCH("Cleric",$T310,1),0)&gt;0,IFERROR(SEARCH(DivineDomain&amp;",",$T310,1),0)&gt;0),1,0)*IF($C310=DB$2,1,0)=1,1+COUNTIF(DB$3:DB309,"&gt;0"),0)</f>
        <v>0</v>
      </c>
      <c r="DC310">
        <f>IF(IF(OR(IFERROR(SEARCH("Cleric",$T310,1),0)&gt;0,IFERROR(SEARCH(DivineDomain&amp;",",$T310,1),0)&gt;0),1,0)*IF($C310=DC$2,1,0)=1,1+COUNTIF(DC$3:DC309,"&gt;0"),0)</f>
        <v>0</v>
      </c>
      <c r="DD310">
        <f>IF(IF(OR(IFERROR(SEARCH("Cleric",$T310,1),0)&gt;0,IFERROR(SEARCH(DivineDomain&amp;",",$T310,1),0)&gt;0),1,0)*IF($C310=DD$2,1,0)=1,1+COUNTIF(DD$3:DD309,"&gt;0"),0)</f>
        <v>0</v>
      </c>
      <c r="DE310">
        <f>IF(IF(OR(IFERROR(SEARCH("Cleric",$T310,1),0)&gt;0,IFERROR(SEARCH(DivineDomain&amp;",",$T310,1),0)&gt;0),1,0)*IF($C310=DE$2,1,0)=1,1+COUNTIF(DE$3:DE309,"&gt;0"),0)</f>
        <v>0</v>
      </c>
      <c r="DF310">
        <f>IF(IF(OR(IFERROR(SEARCH("Cleric",$T310,1),0)&gt;0,IFERROR(SEARCH(DivineDomain&amp;",",$T310,1),0)&gt;0),1,0)*IF($C310=DF$2,1,0)=1,1+COUNTIF(DF$3:DF309,"&gt;0"),0)</f>
        <v>0</v>
      </c>
      <c r="DG310">
        <f>IF(IF(OR(IFERROR(SEARCH("Cleric",$T310,1),0)&gt;0,IFERROR(SEARCH(DivineDomain&amp;",",$T310,1),0)&gt;0),1,0)*IF($C310=DG$2,1,0)=1,1+COUNTIF(DG$3:DG309,"&gt;0"),0)</f>
        <v>0</v>
      </c>
      <c r="DH310">
        <f>IF(IF(OR(IFERROR(SEARCH("Cleric",$T310,1),0)&gt;0,IFERROR(SEARCH(DivineDomain&amp;",",$T310,1),0)&gt;0),1,0)*IF($C310=DH$2,1,0)=1,1+COUNTIF(DH$3:DH309,"&gt;0"),0)</f>
        <v>0</v>
      </c>
      <c r="DI310">
        <f>IF(IF(OR(IFERROR(SEARCH("Cleric",$T310,1),0)&gt;0,IFERROR(SEARCH(DivineDomain&amp;",",$T310,1),0)&gt;0),1,0)*IF($C310=DI$2,1,0)=1,1+COUNTIF(DI$3:DI309,"&gt;0"),0)</f>
        <v>0</v>
      </c>
      <c r="DJ310">
        <f>IF(IF(OR(IFERROR(SEARCH("Druid",$T310,1),0)&gt;0,IFERROR(SEARCH(DruidLand1,$T310,1),0)&gt;0,IFERROR(SEARCH(DruidLand2,$T310,1),0)&gt;0,IFERROR(SEARCH(DruidLand3,$T310,1),0)&gt;0,IFERROR(SEARCH(DruidLand4,$T310,1),0)&gt;0),1,0)*IF($C310=1,1,0)*IF($C310=DJ$2,1,0)=0,0,1+COUNTIF(DJ$3:DJ309,"&gt;0"))</f>
        <v>0</v>
      </c>
      <c r="DK310">
        <f>IF(IF(OR(IFERROR(SEARCH("Druid",$T310,1),0)&gt;0,IFERROR(SEARCH(DruidLand1,$T310,1),0)&gt;0,IFERROR(SEARCH(DruidLand2,$T310,1),0)&gt;0,IFERROR(SEARCH(DruidLand3,$T310,1),0)&gt;0,IFERROR(SEARCH(DruidLand4,$T310,1),0)&gt;0),1,0)*IF($C310=DK$2,1,0)=0,0,1+COUNTIF(DK$3:DK309,"&gt;0"))</f>
        <v>0</v>
      </c>
      <c r="DL310">
        <f>IF(IF(OR(IFERROR(SEARCH("Druid",$T310,1),0)&gt;0,IFERROR(SEARCH(DruidLand1,$T310,1),0)&gt;0,IFERROR(SEARCH(DruidLand2,$T310,1),0)&gt;0,IFERROR(SEARCH(DruidLand3,$T310,1),0)&gt;0,IFERROR(SEARCH(DruidLand4,$T310,1),0)&gt;0),1,0)*IF($C310=DL$2,1,0)=0,0,1+COUNTIF(DL$3:DL309,"&gt;0"))</f>
        <v>10</v>
      </c>
      <c r="DM310">
        <f>IF(IF(OR(IFERROR(SEARCH("Druid",$T310,1),0)&gt;0,IFERROR(SEARCH(DruidLand1,$T310,1),0)&gt;0,IFERROR(SEARCH(DruidLand2,$T310,1),0)&gt;0,IFERROR(SEARCH(DruidLand3,$T310,1),0)&gt;0,IFERROR(SEARCH(DruidLand4,$T310,1),0)&gt;0),1,0)*IF($C310=DM$2,1,0)=0,0,1+COUNTIF(DM$3:DM309,"&gt;0"))</f>
        <v>0</v>
      </c>
      <c r="DN310">
        <f>IF(IF(OR(IFERROR(SEARCH("Druid",$T310,1),0)&gt;0,IFERROR(SEARCH(DruidLand1,$T310,1),0)&gt;0,IFERROR(SEARCH(DruidLand2,$T310,1),0)&gt;0,IFERROR(SEARCH(DruidLand3,$T310,1),0)&gt;0,IFERROR(SEARCH(DruidLand4,$T310,1),0)&gt;0),1,0)*IF($C310=DN$2,1,0)=0,0,1+COUNTIF(DN$3:DN309,"&gt;0"))</f>
        <v>0</v>
      </c>
      <c r="DO310">
        <f>IF(IF(OR(IFERROR(SEARCH("Druid",$T310,1),0)&gt;0,IFERROR(SEARCH(DruidLand1,$T310,1),0)&gt;0,IFERROR(SEARCH(DruidLand2,$T310,1),0)&gt;0,IFERROR(SEARCH(DruidLand3,$T310,1),0)&gt;0,IFERROR(SEARCH(DruidLand4,$T310,1),0)&gt;0),1,0)*IF($C310=DO$2,1,0)=0,0,1+COUNTIF(DO$3:DO309,"&gt;0"))</f>
        <v>0</v>
      </c>
      <c r="DP310">
        <f>IF(IF(OR(IFERROR(SEARCH("Druid",$T310,1),0)&gt;0,IFERROR(SEARCH(DruidLand1,$T310,1),0)&gt;0,IFERROR(SEARCH(DruidLand2,$T310,1),0)&gt;0,IFERROR(SEARCH(DruidLand3,$T310,1),0)&gt;0,IFERROR(SEARCH(DruidLand4,$T310,1),0)&gt;0),1,0)*IF($C310=DP$2,1,0)=0,0,1+COUNTIF(DP$3:DP309,"&gt;0"))</f>
        <v>0</v>
      </c>
      <c r="DQ310">
        <f>IF(IF(OR(IFERROR(SEARCH("Druid",$T310,1),0)&gt;0,IFERROR(SEARCH(DruidLand1,$T310,1),0)&gt;0,IFERROR(SEARCH(DruidLand2,$T310,1),0)&gt;0,IFERROR(SEARCH(DruidLand3,$T310,1),0)&gt;0,IFERROR(SEARCH(DruidLand4,$T310,1),0)&gt;0),1,0)*IF($C310=DQ$2,1,0)=0,0,1+COUNTIF(DQ$3:DQ309,"&gt;0"))</f>
        <v>0</v>
      </c>
      <c r="DR310">
        <f>IF(IF(OR(IFERROR(SEARCH("Druid",$T310,1),0)&gt;0,IFERROR(SEARCH(DruidLand1,$T310,1),0)&gt;0,IFERROR(SEARCH(DruidLand2,$T310,1),0)&gt;0,IFERROR(SEARCH(DruidLand3,$T310,1),0)&gt;0,IFERROR(SEARCH(DruidLand4,$T310,1),0)&gt;0),1,0)*IF($C310=DR$2,1,0)=0,0,1+COUNTIF(DR$3:DR309,"&gt;0"))</f>
        <v>0</v>
      </c>
      <c r="DS310">
        <f>IF(IF(OR(IFERROR(SEARCH("Paladin",$T310,1),0)&gt;0,IFERROR(SEARCH(PaladinOath,$T310,1),0)&gt;0),1,0)*IF($C310=DS$2,1,0)=1,1+COUNTIF(DS$3:DS309,"&gt;0"),0)</f>
        <v>0</v>
      </c>
      <c r="DT310">
        <f>IF(IF(OR(IFERROR(SEARCH("Paladin",$T310,1),0)&gt;0,IFERROR(SEARCH(PaladinOath,$T310,1),0)&gt;0),1,0)*IF($C310=DT$2,1,0)=1,1+COUNTIF(DT$3:DT309,"&gt;0"),0)</f>
        <v>0</v>
      </c>
      <c r="DU310">
        <f>IF(IF(OR(IFERROR(SEARCH("Paladin",$T310,1),0)&gt;0,IFERROR(SEARCH(PaladinOath,$T310,1),0)&gt;0),1,0)*IF($C310=DU$2,1,0)=1,1+COUNTIF(DU$3:DU309,"&gt;0"),0)</f>
        <v>0</v>
      </c>
      <c r="DV310">
        <f>IF(IF(OR(IFERROR(SEARCH("Paladin",$T310,1),0)&gt;0,IFERROR(SEARCH(PaladinOath,$T310,1),0)&gt;0),1,0)*IF($C310=DV$2,1,0)=1,1+COUNTIF(DV$3:DV309,"&gt;0"),0)</f>
        <v>0</v>
      </c>
      <c r="DW310">
        <f>IF(IF(OR(IFERROR(SEARCH("Paladin",$T310,1),0)&gt;0,IFERROR(SEARCH(PaladinOath,$T310,1),0)&gt;0),1,0)*IF($C310=DW$2,1,0)=1,1+COUNTIF(DW$3:DW309,"&gt;0"),0)</f>
        <v>0</v>
      </c>
      <c r="DY310">
        <f t="shared" si="225"/>
        <v>1</v>
      </c>
      <c r="DZ310">
        <f>IF(DY310=0,0,1+MAX(DZ$3:$DZ309))</f>
        <v>308</v>
      </c>
      <c r="EB310">
        <f t="shared" si="239"/>
        <v>0</v>
      </c>
      <c r="EC310">
        <f>IF(EB310=0,0,1+COUNTIF(EC$3:EC309,"&gt;0"))</f>
        <v>0</v>
      </c>
      <c r="ED310" t="str">
        <f t="shared" si="267"/>
        <v/>
      </c>
      <c r="EE310" t="str">
        <f t="shared" si="240"/>
        <v/>
      </c>
      <c r="EG310">
        <f t="shared" si="241"/>
        <v>0</v>
      </c>
      <c r="EH310">
        <f>IF(EG310=0,0,1+COUNTIF(EH$3:EH309,"&gt;0"))</f>
        <v>0</v>
      </c>
      <c r="EI310" t="str">
        <f t="shared" si="268"/>
        <v/>
      </c>
      <c r="EJ310" t="str">
        <f t="shared" si="242"/>
        <v/>
      </c>
      <c r="EL310">
        <f t="shared" si="243"/>
        <v>0</v>
      </c>
      <c r="EM310">
        <f>IF(EL310=0,0,1+COUNTIF(EM$3:EM309,"&gt;0"))</f>
        <v>0</v>
      </c>
      <c r="EN310" t="str">
        <f t="shared" si="269"/>
        <v/>
      </c>
      <c r="EO310" t="str">
        <f t="shared" si="244"/>
        <v/>
      </c>
      <c r="EQ310">
        <f t="shared" si="245"/>
        <v>0</v>
      </c>
      <c r="ER310">
        <f>IF(EQ310=0,0,1+COUNTIF(ER$3:ER309,"&gt;0"))</f>
        <v>0</v>
      </c>
      <c r="ES310" t="str">
        <f t="shared" si="270"/>
        <v/>
      </c>
      <c r="ET310" t="str">
        <f t="shared" si="246"/>
        <v/>
      </c>
      <c r="EV310">
        <f t="shared" si="247"/>
        <v>0</v>
      </c>
      <c r="EW310">
        <f>IF(EV310=0,0,1+COUNTIF(EW$3:EW309,"&gt;0"))</f>
        <v>0</v>
      </c>
      <c r="EX310" t="str">
        <f t="shared" si="271"/>
        <v/>
      </c>
      <c r="EY310" t="str">
        <f t="shared" si="248"/>
        <v/>
      </c>
      <c r="FA310">
        <f t="shared" si="249"/>
        <v>0</v>
      </c>
      <c r="FB310">
        <f>IF(FA310=0,0,1+COUNTIF(FB$3:FB309,"&gt;0"))</f>
        <v>0</v>
      </c>
      <c r="FC310" t="str">
        <f t="shared" si="272"/>
        <v/>
      </c>
      <c r="FD310" t="str">
        <f t="shared" si="250"/>
        <v/>
      </c>
      <c r="FF310">
        <f t="shared" si="251"/>
        <v>0</v>
      </c>
      <c r="FG310">
        <f>IF(FF310=0,0,1+COUNTIF(FG$3:FG309,"&gt;0"))</f>
        <v>0</v>
      </c>
      <c r="FH310" t="str">
        <f t="shared" si="273"/>
        <v/>
      </c>
      <c r="FI310" t="str">
        <f t="shared" si="252"/>
        <v/>
      </c>
      <c r="FK310">
        <f t="shared" si="253"/>
        <v>0</v>
      </c>
      <c r="FL310">
        <f>IF(FK310=0,0,1+COUNTIF(FL$3:FL309,"&gt;0"))</f>
        <v>0</v>
      </c>
      <c r="FM310" t="str">
        <f t="shared" si="274"/>
        <v/>
      </c>
      <c r="FN310" t="str">
        <f t="shared" si="254"/>
        <v/>
      </c>
      <c r="FP310">
        <f t="shared" si="255"/>
        <v>0</v>
      </c>
      <c r="FQ310">
        <f>IF(FP310=0,0,1+COUNTIF(FQ$3:FQ309,"&gt;0"))</f>
        <v>0</v>
      </c>
      <c r="FR310" t="str">
        <f t="shared" si="275"/>
        <v/>
      </c>
      <c r="FS310" t="str">
        <f t="shared" si="256"/>
        <v/>
      </c>
    </row>
    <row r="311" spans="1:175" x14ac:dyDescent="0.25">
      <c r="A311" s="347">
        <f t="shared" si="276"/>
        <v>309</v>
      </c>
      <c r="B311" s="348" t="s">
        <v>2704</v>
      </c>
      <c r="C311" s="348">
        <v>2</v>
      </c>
      <c r="D311" s="347">
        <v>2</v>
      </c>
      <c r="E311" s="627" t="s">
        <v>6952</v>
      </c>
      <c r="F311" s="346"/>
      <c r="G311" s="347" t="str">
        <f>""</f>
        <v/>
      </c>
      <c r="H311" s="347" t="s">
        <v>5912</v>
      </c>
      <c r="I311" s="347" t="s">
        <v>5298</v>
      </c>
      <c r="J311" s="347" t="str">
        <f t="shared" si="226"/>
        <v/>
      </c>
      <c r="K311" s="347" t="s">
        <v>5284</v>
      </c>
      <c r="L311" s="611" t="str">
        <f t="shared" si="227"/>
        <v>V, S, M, a drop of bitumen and a spider</v>
      </c>
      <c r="M311" s="347" t="s">
        <v>2373</v>
      </c>
      <c r="N311" s="347" t="s">
        <v>2387</v>
      </c>
      <c r="O311" s="347" t="s">
        <v>1244</v>
      </c>
      <c r="P311" s="346" t="s">
        <v>5485</v>
      </c>
      <c r="Q311" s="347" t="s">
        <v>5276</v>
      </c>
      <c r="S311" s="346" t="s">
        <v>2705</v>
      </c>
      <c r="T311" s="346" t="str">
        <f t="shared" si="228"/>
        <v xml:space="preserve">Sorcerer, Warlock, Wizard, Fores, Mountain, Underdark, </v>
      </c>
      <c r="X311" s="347" t="str">
        <f>$B311</f>
        <v>Spider Climb</v>
      </c>
      <c r="Y311" s="347" t="str">
        <f>$B311</f>
        <v>Spider Climb</v>
      </c>
      <c r="AD311" s="347" t="str">
        <f>$B311</f>
        <v>Spider Climb</v>
      </c>
      <c r="AE311" t="str">
        <f>IF(IFERROR(MATCH($B311,temp!A$4:A$13,0),0)&gt;0,T08_Spells!AE$2,"")</f>
        <v/>
      </c>
      <c r="AF311" t="str">
        <f>IF(IFERROR(MATCH($B311,temp!B$4:B$13,0),0)&gt;0,T08_Spells!AF$2,"")</f>
        <v/>
      </c>
      <c r="AG311" t="str">
        <f>IF(IFERROR(MATCH($B311,temp!C$4:C$13,0),0)&gt;0,T08_Spells!AG$2,"")</f>
        <v/>
      </c>
      <c r="AH311" t="str">
        <f>IF(IFERROR(MATCH($B311,temp!D$4:D$13,0),0)&gt;0,T08_Spells!AH$2,"")</f>
        <v/>
      </c>
      <c r="AI311" t="str">
        <f>IF(IFERROR(MATCH($B311,temp!E$4:E$13,0),0)&gt;0,T08_Spells!AI$2,"")</f>
        <v/>
      </c>
      <c r="AJ311" t="str">
        <f>IF(IFERROR(MATCH($B311,temp!F$4:F$13,0),0)&gt;0,T08_Spells!AJ$2,"")</f>
        <v/>
      </c>
      <c r="AK311" t="str">
        <f>IF(IFERROR(MATCH($B311,temp!G$4:G$13,0),0)&gt;0,T08_Spells!AK$2,"")</f>
        <v/>
      </c>
      <c r="AL311" t="str">
        <f>IF(IFERROR(MATCH($B311,temp!H$4:H$13,0),0)&gt;0,T08_Spells!AL$2,"")</f>
        <v/>
      </c>
      <c r="AM311" t="str">
        <f>IF(IFERROR(MATCH($B311,temp!I$4:I$13,0),0)&gt;0,T08_Spells!AM$2,"")</f>
        <v/>
      </c>
      <c r="AN311" t="str">
        <f>IF(IFERROR(MATCH($B311,temp!J$4:J$13,0),0)&gt;0,T08_Spells!AN$2,"")</f>
        <v/>
      </c>
      <c r="AO311" t="str">
        <f>IF(IFERROR(MATCH($B311,temp!K$4:K$13,0),0)&gt;0,T08_Spells!AO$2,"")</f>
        <v>Forest</v>
      </c>
      <c r="AP311" t="str">
        <f>IF(IFERROR(MATCH($B311,temp!L$4:L$13,0),0)&gt;0,T08_Spells!AP$2,"")</f>
        <v/>
      </c>
      <c r="AQ311" t="str">
        <f>IF(IFERROR(MATCH($B311,temp!M$4:M$13,0),0)&gt;0,T08_Spells!AQ$2,"")</f>
        <v>Mountain</v>
      </c>
      <c r="AR311" t="str">
        <f>IF(IFERROR(MATCH($B311,temp!N$4:N$13,0),0)&gt;0,T08_Spells!AR$2,"")</f>
        <v/>
      </c>
      <c r="AS311" t="str">
        <f>IF(IFERROR(MATCH($B311,temp!O$4:O$13,0),0)&gt;0,T08_Spells!AS$2,"")</f>
        <v>Underdark</v>
      </c>
      <c r="AT311" t="str">
        <f>IF(IFERROR(MATCH($B311,temp!P$4:P$13,0),0)&gt;0,T08_Spells!AT$2,"")</f>
        <v/>
      </c>
      <c r="AU311" t="str">
        <f>IF(IFERROR(MATCH($B311,temp!Q$4:Q$13,0),0)&gt;0,T08_Spells!AU$2,"")</f>
        <v/>
      </c>
      <c r="AV311" t="str">
        <f>IF(IFERROR(MATCH($B311,temp!R$4:R$13,0),0)&gt;0,T08_Spells!AV$2,"")</f>
        <v/>
      </c>
      <c r="AW311" t="str">
        <f>IF(IFERROR(MATCH($B311,temp!S$4:S$13,0),0)&gt;0,T08_Spells!AW$2,"")</f>
        <v/>
      </c>
      <c r="AX311" t="str">
        <f>IF(IFERROR(MATCH($B311,temp!T$4:T$13,0),0)&gt;0,T08_Spells!AX$2,"")</f>
        <v/>
      </c>
      <c r="AY311" t="str">
        <f>IF(IFERROR(MATCH($B311,temp!U$4:U$13,0),0)&gt;0,T08_Spells!AY$2,"")</f>
        <v/>
      </c>
      <c r="AZ311" t="str">
        <f>IF(IFERROR(MATCH($B311,temp!V$4:V$13,0),0)&gt;0,T08_Spells!AZ$2,"")</f>
        <v/>
      </c>
      <c r="BA311" t="str">
        <f>IF(IFERROR(MATCH($B311,temp!W$4:W$13,0),0)&gt;0,T08_Spells!BA$2,"")</f>
        <v/>
      </c>
      <c r="BC311">
        <f>IF(IFERROR(SEARCH("Ranger",$T311,1),0)&gt;0,1,0)*IF(RangerMaxSpellLevel&gt;=$C311,1,0)*IF(IFERROR(MATCH(B311,Character_Creation!$X$79:$X$382,0),0)&gt;0,0,1)</f>
        <v>0</v>
      </c>
      <c r="BD311">
        <f>IF(BC311=0,0,1+COUNTIF(BD$3:BD310,"&gt;0"))</f>
        <v>0</v>
      </c>
      <c r="BE311" t="str">
        <f t="shared" si="257"/>
        <v/>
      </c>
      <c r="BF311" t="str">
        <f t="shared" si="229"/>
        <v/>
      </c>
      <c r="BH311">
        <f>IF(IFERROR(SEARCH("Sorcerer",$T311,1),0)&gt;0,1,0)*IF(SorcererMaxSpellLevel&gt;=$C311,1,0)*IF(IFERROR(MATCH(B311,Character_Creation!$J$380:$J$394,0),0)&gt;0,0,1)</f>
        <v>0</v>
      </c>
      <c r="BI311">
        <f>IF(BH311=0,0,1+COUNTIF(BI$3:BI310,"&gt;0"))</f>
        <v>0</v>
      </c>
      <c r="BJ311" t="str">
        <f t="shared" si="258"/>
        <v/>
      </c>
      <c r="BK311" t="str">
        <f t="shared" si="230"/>
        <v/>
      </c>
      <c r="BM311">
        <f>IF(OR(IFERROR(SEARCH("Warlock",$T311,1),0)&gt;0,IFERROR(SEARCH(WarlockPatron,$T311,1),0)&gt;0),1,0)*IF(WarlockMaxSpellLevel&gt;=$C311,1,0)*IF(IFERROR(MATCH(B311,Character_Creation!$J$361:$J$375,0),0)&gt;0,0,1)</f>
        <v>0</v>
      </c>
      <c r="BN311">
        <f>IF(BM311=0,0,1+COUNTIF(BN$3:BN310,"&gt;0"))</f>
        <v>0</v>
      </c>
      <c r="BO311" t="str">
        <f t="shared" si="259"/>
        <v/>
      </c>
      <c r="BP311" t="str">
        <f t="shared" si="231"/>
        <v/>
      </c>
      <c r="BR311">
        <f>IF(IFERROR(SEARCH("Eldritch Knight",$T311,1),0)&gt;0,1,0)*IF(EldritchKnightMaxSpellLevel&gt;=$C311,1,0)*IF(IFERROR(MATCH($B311,Character_Creation!$J$350:$J$356,0),0)&gt;0,0,1)*IF(Character_Creation!$M$338&gt;0,1,0)</f>
        <v>0</v>
      </c>
      <c r="BS311">
        <f>IF(BR311=0,0,1+COUNTIF(BS$3:BS310,"&gt;0"))</f>
        <v>0</v>
      </c>
      <c r="BT311" t="str">
        <f t="shared" si="260"/>
        <v/>
      </c>
      <c r="BU311" t="str">
        <f t="shared" si="232"/>
        <v/>
      </c>
      <c r="BW311">
        <f>IF(IFERROR(SEARCH("Arcane Trickster",$T311,1),0)&gt;0,1,0)*IF(ArcaneTricksterMaxSpellLevel&gt;=$C311,1,0)*IF(IFERROR(MATCH($B311,Character_Creation!$J$350:$J$356,0),0)&gt;0,0,1)*IF(Character_Creation!$T$338&gt;0,1,0)</f>
        <v>0</v>
      </c>
      <c r="BX311">
        <f>IF(BW311=0,0,1+COUNTIF(BX$3:BX310,"&gt;0"))</f>
        <v>0</v>
      </c>
      <c r="BY311" t="str">
        <f t="shared" si="261"/>
        <v/>
      </c>
      <c r="BZ311" t="str">
        <f t="shared" si="233"/>
        <v/>
      </c>
      <c r="CB311">
        <f>IF(IFERROR(SEARCH("Wizard",$T311,1),0)&gt;0,1,0)*IF(C311&lt;=ArcaneTricksterMaxSpellLevel,1,0)*IF(IFERROR(MATCH($B311,Character_Creation!$J$350:$J$356,0),0)&gt;0,0,1)*IF(Character_Creation!$T$350&gt;0,1,0)</f>
        <v>0</v>
      </c>
      <c r="CC311">
        <f>IF(CB311=0,0,1+COUNTIF(CC$3:CC310,"&gt;0"))</f>
        <v>0</v>
      </c>
      <c r="CD311" t="str">
        <f t="shared" si="262"/>
        <v/>
      </c>
      <c r="CE311" t="str">
        <f t="shared" si="234"/>
        <v/>
      </c>
      <c r="CG311">
        <f>IF(IFERROR(SEARCH("Wizard",$T311,1),0)&gt;0,1,0)*IF($C311&lt;=EldritchKnightMaxSpellLevel,1,0)*IF(IFERROR(MATCH($B311,Character_Creation!$J$350:$J$356,0),0)&gt;0,0,1)*IF(Character_Creation!$M$350&gt;0,1,0)</f>
        <v>1</v>
      </c>
      <c r="CH311">
        <f>IF(CG311=0,0,1+COUNTIF(CH$3:CH310,"&gt;0"))</f>
        <v>56</v>
      </c>
      <c r="CI311" t="str">
        <f t="shared" si="263"/>
        <v/>
      </c>
      <c r="CJ311" t="str">
        <f t="shared" si="235"/>
        <v/>
      </c>
      <c r="CL311">
        <f>IF(IFERROR(SEARCH("Bard",$T311,1),0)&gt;0,1,0)*IF(BardMaxSpellLevel&gt;=$C311,1,0)*IF(IFERROR(MATCH(B311,Character_Creation!$C$341:$F$362,0),0)&gt;0,0,1)*IF(IFERROR(MATCH($B311,Character_Creation!$C$341:$C$362,0),0)&gt;0,0,1)</f>
        <v>0</v>
      </c>
      <c r="CM311">
        <f>IF(CL311=0,0,1+COUNTIF(CM$3:CM310,"&gt;0"))</f>
        <v>0</v>
      </c>
      <c r="CN311" t="str">
        <f t="shared" si="264"/>
        <v/>
      </c>
      <c r="CO311" t="str">
        <f t="shared" si="236"/>
        <v/>
      </c>
      <c r="CQ311">
        <f>IF(IFERROR(SEARCH("Wizard",$T311,1),0)&gt;0,1,0)*IF(WizardMaxSpellLevel&gt;=$C311,1,0)*IF(IFERROR(MATCH(B311,Character_Creation!$X$341:$X$400,0),0)&gt;0,0,1)*IF(SelectedWizardSpellLevel=$C311,1,0)</f>
        <v>0</v>
      </c>
      <c r="CR311">
        <f>IF(CQ311=0,0,1+COUNTIF(CR$3:CR310,"&gt;0"))</f>
        <v>0</v>
      </c>
      <c r="CS311" t="str">
        <f t="shared" si="265"/>
        <v/>
      </c>
      <c r="CT311" t="str">
        <f t="shared" si="237"/>
        <v/>
      </c>
      <c r="CV311">
        <f>IF(IFERROR(MATCH($B311,Character_Creation!$C$341:$C$362,0),0)&gt;0,0,1)*IF(OR(C311="Cantrip",C311&lt;=BardMaxSpellLevel),1,0)*IF(IFERROR(MATCH($B311,Character_Creation!$C$367:$C$374,0),0)&gt;0,0,1)</f>
        <v>0</v>
      </c>
      <c r="CW311">
        <f>IF(CV311=0,0,1+COUNTIF(CW$3:CW310,"&gt;0"))</f>
        <v>0</v>
      </c>
      <c r="CX311" t="str">
        <f t="shared" si="266"/>
        <v/>
      </c>
      <c r="CY311" t="str">
        <f t="shared" si="238"/>
        <v/>
      </c>
      <c r="DA311">
        <f>IF(IF(OR(IFERROR(SEARCH("Cleric",$T311,1),0)&gt;0,IFERROR(SEARCH(DivineDomain&amp;",",$T311,1),0)&gt;0),1,0)*IF($C311=DA$2,1,0)=1,1+COUNTIF(DA$3:DA310,"&gt;0"),0)</f>
        <v>0</v>
      </c>
      <c r="DB311">
        <f>IF(IF(OR(IFERROR(SEARCH("Cleric",$T311,1),0)&gt;0,IFERROR(SEARCH(DivineDomain&amp;",",$T311,1),0)&gt;0),1,0)*IF($C311=DB$2,1,0)=1,1+COUNTIF(DB$3:DB310,"&gt;0"),0)</f>
        <v>0</v>
      </c>
      <c r="DC311">
        <f>IF(IF(OR(IFERROR(SEARCH("Cleric",$T311,1),0)&gt;0,IFERROR(SEARCH(DivineDomain&amp;",",$T311,1),0)&gt;0),1,0)*IF($C311=DC$2,1,0)=1,1+COUNTIF(DC$3:DC310,"&gt;0"),0)</f>
        <v>0</v>
      </c>
      <c r="DD311">
        <f>IF(IF(OR(IFERROR(SEARCH("Cleric",$T311,1),0)&gt;0,IFERROR(SEARCH(DivineDomain&amp;",",$T311,1),0)&gt;0),1,0)*IF($C311=DD$2,1,0)=1,1+COUNTIF(DD$3:DD310,"&gt;0"),0)</f>
        <v>0</v>
      </c>
      <c r="DE311">
        <f>IF(IF(OR(IFERROR(SEARCH("Cleric",$T311,1),0)&gt;0,IFERROR(SEARCH(DivineDomain&amp;",",$T311,1),0)&gt;0),1,0)*IF($C311=DE$2,1,0)=1,1+COUNTIF(DE$3:DE310,"&gt;0"),0)</f>
        <v>0</v>
      </c>
      <c r="DF311">
        <f>IF(IF(OR(IFERROR(SEARCH("Cleric",$T311,1),0)&gt;0,IFERROR(SEARCH(DivineDomain&amp;",",$T311,1),0)&gt;0),1,0)*IF($C311=DF$2,1,0)=1,1+COUNTIF(DF$3:DF310,"&gt;0"),0)</f>
        <v>0</v>
      </c>
      <c r="DG311">
        <f>IF(IF(OR(IFERROR(SEARCH("Cleric",$T311,1),0)&gt;0,IFERROR(SEARCH(DivineDomain&amp;",",$T311,1),0)&gt;0),1,0)*IF($C311=DG$2,1,0)=1,1+COUNTIF(DG$3:DG310,"&gt;0"),0)</f>
        <v>0</v>
      </c>
      <c r="DH311">
        <f>IF(IF(OR(IFERROR(SEARCH("Cleric",$T311,1),0)&gt;0,IFERROR(SEARCH(DivineDomain&amp;",",$T311,1),0)&gt;0),1,0)*IF($C311=DH$2,1,0)=1,1+COUNTIF(DH$3:DH310,"&gt;0"),0)</f>
        <v>0</v>
      </c>
      <c r="DI311">
        <f>IF(IF(OR(IFERROR(SEARCH("Cleric",$T311,1),0)&gt;0,IFERROR(SEARCH(DivineDomain&amp;",",$T311,1),0)&gt;0),1,0)*IF($C311=DI$2,1,0)=1,1+COUNTIF(DI$3:DI310,"&gt;0"),0)</f>
        <v>0</v>
      </c>
      <c r="DJ311">
        <f>IF(IF(OR(IFERROR(SEARCH("Druid",$T311,1),0)&gt;0,IFERROR(SEARCH(DruidLand1,$T311,1),0)&gt;0,IFERROR(SEARCH(DruidLand2,$T311,1),0)&gt;0,IFERROR(SEARCH(DruidLand3,$T311,1),0)&gt;0,IFERROR(SEARCH(DruidLand4,$T311,1),0)&gt;0),1,0)*IF($C311=1,1,0)*IF($C311=DJ$2,1,0)=0,0,1+COUNTIF(DJ$3:DJ310,"&gt;0"))</f>
        <v>0</v>
      </c>
      <c r="DK311">
        <f>IF(IF(OR(IFERROR(SEARCH("Druid",$T311,1),0)&gt;0,IFERROR(SEARCH(DruidLand1,$T311,1),0)&gt;0,IFERROR(SEARCH(DruidLand2,$T311,1),0)&gt;0,IFERROR(SEARCH(DruidLand3,$T311,1),0)&gt;0,IFERROR(SEARCH(DruidLand4,$T311,1),0)&gt;0),1,0)*IF($C311=1,1,0)*IF($C311=DK$2,1,0)=0,0,1+COUNTIF(DK$3:DK310,"&gt;0"))</f>
        <v>0</v>
      </c>
      <c r="DL311">
        <f>IF(IF(OR(IFERROR(SEARCH("Druid",$T311,1),0)&gt;0,IFERROR(SEARCH(DruidLand1,$T311,1),0)&gt;0,IFERROR(SEARCH(DruidLand2,$T311,1),0)&gt;0,IFERROR(SEARCH(DruidLand3,$T311,1),0)&gt;0,IFERROR(SEARCH(DruidLand4,$T311,1),0)&gt;0),1,0)*IF($C311=1,1,0)*IF($C311=DL$2,1,0)=0,0,1+COUNTIF(DL$3:DL310,"&gt;0"))</f>
        <v>0</v>
      </c>
      <c r="DM311">
        <f>IF(IF(OR(IFERROR(SEARCH("Druid",$T311,1),0)&gt;0,IFERROR(SEARCH(DruidLand1,$T311,1),0)&gt;0,IFERROR(SEARCH(DruidLand2,$T311,1),0)&gt;0,IFERROR(SEARCH(DruidLand3,$T311,1),0)&gt;0,IFERROR(SEARCH(DruidLand4,$T311,1),0)&gt;0),1,0)*IF($C311=1,1,0)*IF($C311=DM$2,1,0)=0,0,1+COUNTIF(DM$3:DM310,"&gt;0"))</f>
        <v>0</v>
      </c>
      <c r="DN311">
        <f>IF(IF(OR(IFERROR(SEARCH("Druid",$T311,1),0)&gt;0,IFERROR(SEARCH(DruidLand1,$T311,1),0)&gt;0,IFERROR(SEARCH(DruidLand2,$T311,1),0)&gt;0,IFERROR(SEARCH(DruidLand3,$T311,1),0)&gt;0,IFERROR(SEARCH(DruidLand4,$T311,1),0)&gt;0),1,0)*IF($C311=1,1,0)*IF($C311=DN$2,1,0)=0,0,1+COUNTIF(DN$3:DN310,"&gt;0"))</f>
        <v>0</v>
      </c>
      <c r="DO311">
        <f>IF(IF(OR(IFERROR(SEARCH("Druid",$T311,1),0)&gt;0,IFERROR(SEARCH(DruidLand1,$T311,1),0)&gt;0,IFERROR(SEARCH(DruidLand2,$T311,1),0)&gt;0,IFERROR(SEARCH(DruidLand3,$T311,1),0)&gt;0,IFERROR(SEARCH(DruidLand4,$T311,1),0)&gt;0),1,0)*IF($C311=1,1,0)*IF($C311=DO$2,1,0)=0,0,1+COUNTIF(DO$3:DO310,"&gt;0"))</f>
        <v>0</v>
      </c>
      <c r="DP311">
        <f>IF(IF(OR(IFERROR(SEARCH("Druid",$T311,1),0)&gt;0,IFERROR(SEARCH(DruidLand1,$T311,1),0)&gt;0,IFERROR(SEARCH(DruidLand2,$T311,1),0)&gt;0,IFERROR(SEARCH(DruidLand3,$T311,1),0)&gt;0,IFERROR(SEARCH(DruidLand4,$T311,1),0)&gt;0),1,0)*IF($C311=1,1,0)*IF($C311=DP$2,1,0)=0,0,1+COUNTIF(DP$3:DP310,"&gt;0"))</f>
        <v>0</v>
      </c>
      <c r="DQ311">
        <f>IF(IF(OR(IFERROR(SEARCH("Druid",$T311,1),0)&gt;0,IFERROR(SEARCH(DruidLand1,$T311,1),0)&gt;0,IFERROR(SEARCH(DruidLand2,$T311,1),0)&gt;0,IFERROR(SEARCH(DruidLand3,$T311,1),0)&gt;0,IFERROR(SEARCH(DruidLand4,$T311,1),0)&gt;0),1,0)*IF($C311=1,1,0)*IF($C311=DQ$2,1,0)=0,0,1+COUNTIF(DQ$3:DQ310,"&gt;0"))</f>
        <v>0</v>
      </c>
      <c r="DR311">
        <f>IF(IF(OR(IFERROR(SEARCH("Druid",$T311,1),0)&gt;0,IFERROR(SEARCH(DruidLand1,$T311,1),0)&gt;0,IFERROR(SEARCH(DruidLand2,$T311,1),0)&gt;0,IFERROR(SEARCH(DruidLand3,$T311,1),0)&gt;0,IFERROR(SEARCH(DruidLand4,$T311,1),0)&gt;0),1,0)*IF($C311=1,1,0)*IF($C311=DR$2,1,0)=0,0,1+COUNTIF(DR$3:DR310,"&gt;0"))</f>
        <v>0</v>
      </c>
      <c r="DS311">
        <f>IF(IF(OR(IFERROR(SEARCH("Paladin",$T311,1),0)&gt;0,IFERROR(SEARCH(PaladinOath,$T311,1),0)&gt;0),1,0)*IF($C311=DS$2,1,0)=1,1+COUNTIF(DS$3:DS310,"&gt;0"),0)</f>
        <v>0</v>
      </c>
      <c r="DT311">
        <f>IF(IF(OR(IFERROR(SEARCH("Paladin",$T311,1),0)&gt;0,IFERROR(SEARCH(PaladinOath,$T311,1),0)&gt;0),1,0)*IF($C311=DT$2,1,0)=1,1+COUNTIF(DT$3:DT310,"&gt;0"),0)</f>
        <v>0</v>
      </c>
      <c r="DU311">
        <f>IF(IF(OR(IFERROR(SEARCH("Paladin",$T311,1),0)&gt;0,IFERROR(SEARCH(PaladinOath,$T311,1),0)&gt;0),1,0)*IF($C311=DU$2,1,0)=1,1+COUNTIF(DU$3:DU310,"&gt;0"),0)</f>
        <v>0</v>
      </c>
      <c r="DV311">
        <f>IF(IF(OR(IFERROR(SEARCH("Paladin",$T311,1),0)&gt;0,IFERROR(SEARCH(PaladinOath,$T311,1),0)&gt;0),1,0)*IF($C311=DV$2,1,0)=1,1+COUNTIF(DV$3:DV310,"&gt;0"),0)</f>
        <v>0</v>
      </c>
      <c r="DW311">
        <f>IF(IF(OR(IFERROR(SEARCH("Paladin",$T311,1),0)&gt;0,IFERROR(SEARCH(PaladinOath,$T311,1),0)&gt;0),1,0)*IF($C311=DW$2,1,0)=1,1+COUNTIF(DW$3:DW310,"&gt;0"),0)</f>
        <v>0</v>
      </c>
      <c r="DY311">
        <f t="shared" si="225"/>
        <v>1</v>
      </c>
      <c r="DZ311">
        <f>IF(DY311=0,0,1+MAX(DZ$3:$DZ310))</f>
        <v>309</v>
      </c>
      <c r="EB311">
        <f t="shared" si="239"/>
        <v>0</v>
      </c>
      <c r="EC311">
        <f>IF(EB311=0,0,1+COUNTIF(EC$3:EC310,"&gt;0"))</f>
        <v>0</v>
      </c>
      <c r="ED311" t="str">
        <f t="shared" si="267"/>
        <v/>
      </c>
      <c r="EE311" t="str">
        <f t="shared" si="240"/>
        <v/>
      </c>
      <c r="EG311">
        <f t="shared" si="241"/>
        <v>0</v>
      </c>
      <c r="EH311">
        <f>IF(EG311=0,0,1+COUNTIF(EH$3:EH310,"&gt;0"))</f>
        <v>0</v>
      </c>
      <c r="EI311" t="str">
        <f t="shared" si="268"/>
        <v/>
      </c>
      <c r="EJ311" t="str">
        <f t="shared" si="242"/>
        <v/>
      </c>
      <c r="EL311">
        <f t="shared" si="243"/>
        <v>0</v>
      </c>
      <c r="EM311">
        <f>IF(EL311=0,0,1+COUNTIF(EM$3:EM310,"&gt;0"))</f>
        <v>0</v>
      </c>
      <c r="EN311" t="str">
        <f t="shared" si="269"/>
        <v/>
      </c>
      <c r="EO311" t="str">
        <f t="shared" si="244"/>
        <v/>
      </c>
      <c r="EQ311">
        <f t="shared" si="245"/>
        <v>0</v>
      </c>
      <c r="ER311">
        <f>IF(EQ311=0,0,1+COUNTIF(ER$3:ER310,"&gt;0"))</f>
        <v>0</v>
      </c>
      <c r="ES311" t="str">
        <f t="shared" si="270"/>
        <v/>
      </c>
      <c r="ET311" t="str">
        <f t="shared" si="246"/>
        <v/>
      </c>
      <c r="EV311">
        <f t="shared" si="247"/>
        <v>0</v>
      </c>
      <c r="EW311">
        <f>IF(EV311=0,0,1+COUNTIF(EW$3:EW310,"&gt;0"))</f>
        <v>0</v>
      </c>
      <c r="EX311" t="str">
        <f t="shared" si="271"/>
        <v/>
      </c>
      <c r="EY311" t="str">
        <f t="shared" si="248"/>
        <v/>
      </c>
      <c r="FA311">
        <f t="shared" si="249"/>
        <v>0</v>
      </c>
      <c r="FB311">
        <f>IF(FA311=0,0,1+COUNTIF(FB$3:FB310,"&gt;0"))</f>
        <v>0</v>
      </c>
      <c r="FC311" t="str">
        <f t="shared" si="272"/>
        <v/>
      </c>
      <c r="FD311" t="str">
        <f t="shared" si="250"/>
        <v/>
      </c>
      <c r="FF311">
        <f t="shared" si="251"/>
        <v>0</v>
      </c>
      <c r="FG311">
        <f>IF(FF311=0,0,1+COUNTIF(FG$3:FG310,"&gt;0"))</f>
        <v>0</v>
      </c>
      <c r="FH311" t="str">
        <f t="shared" si="273"/>
        <v/>
      </c>
      <c r="FI311" t="str">
        <f t="shared" si="252"/>
        <v/>
      </c>
      <c r="FK311">
        <f t="shared" si="253"/>
        <v>0</v>
      </c>
      <c r="FL311">
        <f>IF(FK311=0,0,1+COUNTIF(FL$3:FL310,"&gt;0"))</f>
        <v>0</v>
      </c>
      <c r="FM311" t="str">
        <f t="shared" si="274"/>
        <v/>
      </c>
      <c r="FN311" t="str">
        <f t="shared" si="254"/>
        <v/>
      </c>
      <c r="FP311">
        <f t="shared" si="255"/>
        <v>0</v>
      </c>
      <c r="FQ311">
        <f>IF(FP311=0,0,1+COUNTIF(FQ$3:FQ310,"&gt;0"))</f>
        <v>0</v>
      </c>
      <c r="FR311" t="str">
        <f t="shared" si="275"/>
        <v/>
      </c>
      <c r="FS311" t="str">
        <f t="shared" si="256"/>
        <v/>
      </c>
    </row>
    <row r="312" spans="1:175" x14ac:dyDescent="0.25">
      <c r="A312" s="347">
        <f t="shared" si="276"/>
        <v>310</v>
      </c>
      <c r="B312" s="348" t="s">
        <v>2706</v>
      </c>
      <c r="C312" s="348">
        <v>2</v>
      </c>
      <c r="D312" s="347">
        <v>2</v>
      </c>
      <c r="E312" s="627" t="s">
        <v>6952</v>
      </c>
      <c r="F312" s="346"/>
      <c r="G312" s="347" t="str">
        <f>""</f>
        <v/>
      </c>
      <c r="H312" s="347" t="s">
        <v>5912</v>
      </c>
      <c r="I312" s="347" t="s">
        <v>5315</v>
      </c>
      <c r="J312" s="347" t="str">
        <f t="shared" si="226"/>
        <v/>
      </c>
      <c r="K312" s="347" t="s">
        <v>5297</v>
      </c>
      <c r="L312" s="611" t="str">
        <f t="shared" si="227"/>
        <v>V, S, M, seven sharp thorns or seven small twigs, each sharpened to a point</v>
      </c>
      <c r="M312" s="347" t="s">
        <v>2373</v>
      </c>
      <c r="N312" s="347" t="s">
        <v>2387</v>
      </c>
      <c r="O312" s="347" t="s">
        <v>1244</v>
      </c>
      <c r="P312" s="346" t="s">
        <v>5486</v>
      </c>
      <c r="Q312" s="347" t="s">
        <v>5276</v>
      </c>
      <c r="S312" s="346" t="s">
        <v>5828</v>
      </c>
      <c r="T312" s="346" t="str">
        <f t="shared" si="228"/>
        <v xml:space="preserve">Ranger, Druid, Arctic, Mountain, Nature, </v>
      </c>
      <c r="W312" s="347" t="str">
        <f>$B312</f>
        <v>Spike Growth</v>
      </c>
      <c r="AA312" s="347" t="str">
        <f>$B312</f>
        <v>Spike Growth</v>
      </c>
      <c r="AE312" t="str">
        <f>IF(IFERROR(MATCH($B312,temp!A$4:A$13,0),0)&gt;0,T08_Spells!AE$2,"")</f>
        <v/>
      </c>
      <c r="AF312" t="str">
        <f>IF(IFERROR(MATCH($B312,temp!B$4:B$13,0),0)&gt;0,T08_Spells!AF$2,"")</f>
        <v/>
      </c>
      <c r="AG312" t="str">
        <f>IF(IFERROR(MATCH($B312,temp!C$4:C$13,0),0)&gt;0,T08_Spells!AG$2,"")</f>
        <v/>
      </c>
      <c r="AH312" t="str">
        <f>IF(IFERROR(MATCH($B312,temp!D$4:D$13,0),0)&gt;0,T08_Spells!AH$2,"")</f>
        <v/>
      </c>
      <c r="AI312" t="str">
        <f>IF(IFERROR(MATCH($B312,temp!E$4:E$13,0),0)&gt;0,T08_Spells!AI$2,"")</f>
        <v/>
      </c>
      <c r="AJ312" t="str">
        <f>IF(IFERROR(MATCH($B312,temp!F$4:F$13,0),0)&gt;0,T08_Spells!AJ$2,"")</f>
        <v/>
      </c>
      <c r="AK312" t="str">
        <f>IF(IFERROR(MATCH($B312,temp!G$4:G$13,0),0)&gt;0,T08_Spells!AK$2,"")</f>
        <v/>
      </c>
      <c r="AL312" t="str">
        <f>IF(IFERROR(MATCH($B312,temp!H$4:H$13,0),0)&gt;0,T08_Spells!AL$2,"")</f>
        <v>Arctic</v>
      </c>
      <c r="AM312" t="str">
        <f>IF(IFERROR(MATCH($B312,temp!I$4:I$13,0),0)&gt;0,T08_Spells!AM$2,"")</f>
        <v/>
      </c>
      <c r="AN312" t="str">
        <f>IF(IFERROR(MATCH($B312,temp!J$4:J$13,0),0)&gt;0,T08_Spells!AN$2,"")</f>
        <v/>
      </c>
      <c r="AO312" t="str">
        <f>IF(IFERROR(MATCH($B312,temp!K$4:K$13,0),0)&gt;0,T08_Spells!AO$2,"")</f>
        <v/>
      </c>
      <c r="AP312" t="str">
        <f>IF(IFERROR(MATCH($B312,temp!L$4:L$13,0),0)&gt;0,T08_Spells!AP$2,"")</f>
        <v/>
      </c>
      <c r="AQ312" t="str">
        <f>IF(IFERROR(MATCH($B312,temp!M$4:M$13,0),0)&gt;0,T08_Spells!AQ$2,"")</f>
        <v>Mountain</v>
      </c>
      <c r="AR312" t="str">
        <f>IF(IFERROR(MATCH($B312,temp!N$4:N$13,0),0)&gt;0,T08_Spells!AR$2,"")</f>
        <v/>
      </c>
      <c r="AS312" t="str">
        <f>IF(IFERROR(MATCH($B312,temp!O$4:O$13,0),0)&gt;0,T08_Spells!AS$2,"")</f>
        <v/>
      </c>
      <c r="AT312" t="str">
        <f>IF(IFERROR(MATCH($B312,temp!P$4:P$13,0),0)&gt;0,T08_Spells!AT$2,"")</f>
        <v/>
      </c>
      <c r="AU312" t="str">
        <f>IF(IFERROR(MATCH($B312,temp!Q$4:Q$13,0),0)&gt;0,T08_Spells!AU$2,"")</f>
        <v/>
      </c>
      <c r="AV312" t="str">
        <f>IF(IFERROR(MATCH($B312,temp!R$4:R$13,0),0)&gt;0,T08_Spells!AV$2,"")</f>
        <v/>
      </c>
      <c r="AW312" t="str">
        <f>IF(IFERROR(MATCH($B312,temp!S$4:S$13,0),0)&gt;0,T08_Spells!AW$2,"")</f>
        <v>Nature</v>
      </c>
      <c r="AX312" t="str">
        <f>IF(IFERROR(MATCH($B312,temp!T$4:T$13,0),0)&gt;0,T08_Spells!AX$2,"")</f>
        <v/>
      </c>
      <c r="AY312" t="str">
        <f>IF(IFERROR(MATCH($B312,temp!U$4:U$13,0),0)&gt;0,T08_Spells!AY$2,"")</f>
        <v/>
      </c>
      <c r="AZ312" t="str">
        <f>IF(IFERROR(MATCH($B312,temp!V$4:V$13,0),0)&gt;0,T08_Spells!AZ$2,"")</f>
        <v/>
      </c>
      <c r="BA312" t="str">
        <f>IF(IFERROR(MATCH($B312,temp!W$4:W$13,0),0)&gt;0,T08_Spells!BA$2,"")</f>
        <v/>
      </c>
      <c r="BC312">
        <f>IF(IFERROR(SEARCH("Ranger",$T312,1),0)&gt;0,1,0)*IF(RangerMaxSpellLevel&gt;=$C312,1,0)*IF(IFERROR(MATCH(B312,Character_Creation!$X$79:$X$382,0),0)&gt;0,0,1)</f>
        <v>0</v>
      </c>
      <c r="BD312">
        <f>IF(BC312=0,0,1+COUNTIF(BD$3:BD311,"&gt;0"))</f>
        <v>0</v>
      </c>
      <c r="BE312" t="str">
        <f t="shared" si="257"/>
        <v/>
      </c>
      <c r="BF312" t="str">
        <f t="shared" si="229"/>
        <v/>
      </c>
      <c r="BH312">
        <f>IF(IFERROR(SEARCH("Sorcerer",$T312,1),0)&gt;0,1,0)*IF(SorcererMaxSpellLevel&gt;=$C312,1,0)*IF(IFERROR(MATCH(B312,Character_Creation!$J$380:$J$394,0),0)&gt;0,0,1)</f>
        <v>0</v>
      </c>
      <c r="BI312">
        <f>IF(BH312=0,0,1+COUNTIF(BI$3:BI311,"&gt;0"))</f>
        <v>0</v>
      </c>
      <c r="BJ312" t="str">
        <f t="shared" si="258"/>
        <v/>
      </c>
      <c r="BK312" t="str">
        <f t="shared" si="230"/>
        <v/>
      </c>
      <c r="BM312">
        <f>IF(OR(IFERROR(SEARCH("Warlock",$T312,1),0)&gt;0,IFERROR(SEARCH(WarlockPatron,$T312,1),0)&gt;0),1,0)*IF(WarlockMaxSpellLevel&gt;=$C312,1,0)*IF(IFERROR(MATCH(B312,Character_Creation!$J$361:$J$375,0),0)&gt;0,0,1)</f>
        <v>0</v>
      </c>
      <c r="BN312">
        <f>IF(BM312=0,0,1+COUNTIF(BN$3:BN311,"&gt;0"))</f>
        <v>0</v>
      </c>
      <c r="BO312" t="str">
        <f t="shared" si="259"/>
        <v/>
      </c>
      <c r="BP312" t="str">
        <f t="shared" si="231"/>
        <v/>
      </c>
      <c r="BR312">
        <f>IF(IFERROR(SEARCH("Eldritch Knight",$T312,1),0)&gt;0,1,0)*IF(EldritchKnightMaxSpellLevel&gt;=$C312,1,0)*IF(IFERROR(MATCH($B312,Character_Creation!$J$350:$J$356,0),0)&gt;0,0,1)*IF(Character_Creation!$M$338&gt;0,1,0)</f>
        <v>0</v>
      </c>
      <c r="BS312">
        <f>IF(BR312=0,0,1+COUNTIF(BS$3:BS311,"&gt;0"))</f>
        <v>0</v>
      </c>
      <c r="BT312" t="str">
        <f t="shared" si="260"/>
        <v/>
      </c>
      <c r="BU312" t="str">
        <f t="shared" si="232"/>
        <v/>
      </c>
      <c r="BW312">
        <f>IF(IFERROR(SEARCH("Arcane Trickster",$T312,1),0)&gt;0,1,0)*IF(ArcaneTricksterMaxSpellLevel&gt;=$C312,1,0)*IF(IFERROR(MATCH($B312,Character_Creation!$J$350:$J$356,0),0)&gt;0,0,1)*IF(Character_Creation!$T$338&gt;0,1,0)</f>
        <v>0</v>
      </c>
      <c r="BX312">
        <f>IF(BW312=0,0,1+COUNTIF(BX$3:BX311,"&gt;0"))</f>
        <v>0</v>
      </c>
      <c r="BY312" t="str">
        <f t="shared" si="261"/>
        <v/>
      </c>
      <c r="BZ312" t="str">
        <f t="shared" si="233"/>
        <v/>
      </c>
      <c r="CB312">
        <f>IF(IFERROR(SEARCH("Wizard",$T312,1),0)&gt;0,1,0)*IF(C312&lt;=ArcaneTricksterMaxSpellLevel,1,0)*IF(IFERROR(MATCH($B312,Character_Creation!$J$350:$J$356,0),0)&gt;0,0,1)*IF(Character_Creation!$T$350&gt;0,1,0)</f>
        <v>0</v>
      </c>
      <c r="CC312">
        <f>IF(CB312=0,0,1+COUNTIF(CC$3:CC311,"&gt;0"))</f>
        <v>0</v>
      </c>
      <c r="CD312" t="str">
        <f t="shared" si="262"/>
        <v/>
      </c>
      <c r="CE312" t="str">
        <f t="shared" si="234"/>
        <v/>
      </c>
      <c r="CG312">
        <f>IF(IFERROR(SEARCH("Wizard",$T312,1),0)&gt;0,1,0)*IF($C312&lt;=EldritchKnightMaxSpellLevel,1,0)*IF(IFERROR(MATCH($B312,Character_Creation!$J$350:$J$356,0),0)&gt;0,0,1)*IF(Character_Creation!$M$350&gt;0,1,0)</f>
        <v>0</v>
      </c>
      <c r="CH312">
        <f>IF(CG312=0,0,1+COUNTIF(CH$3:CH311,"&gt;0"))</f>
        <v>0</v>
      </c>
      <c r="CI312" t="str">
        <f t="shared" si="263"/>
        <v/>
      </c>
      <c r="CJ312" t="str">
        <f t="shared" si="235"/>
        <v/>
      </c>
      <c r="CL312">
        <f>IF(IFERROR(SEARCH("Bard",$T312,1),0)&gt;0,1,0)*IF(BardMaxSpellLevel&gt;=$C312,1,0)*IF(IFERROR(MATCH(B312,Character_Creation!$C$341:$F$362,0),0)&gt;0,0,1)*IF(IFERROR(MATCH($B312,Character_Creation!$C$341:$C$362,0),0)&gt;0,0,1)</f>
        <v>0</v>
      </c>
      <c r="CM312">
        <f>IF(CL312=0,0,1+COUNTIF(CM$3:CM311,"&gt;0"))</f>
        <v>0</v>
      </c>
      <c r="CN312" t="str">
        <f t="shared" si="264"/>
        <v/>
      </c>
      <c r="CO312" t="str">
        <f t="shared" si="236"/>
        <v/>
      </c>
      <c r="CQ312">
        <f>IF(IFERROR(SEARCH("Wizard",$T312,1),0)&gt;0,1,0)*IF(WizardMaxSpellLevel&gt;=$C312,1,0)*IF(IFERROR(MATCH(B312,Character_Creation!$X$341:$X$400,0),0)&gt;0,0,1)*IF(SelectedWizardSpellLevel=$C312,1,0)</f>
        <v>0</v>
      </c>
      <c r="CR312">
        <f>IF(CQ312=0,0,1+COUNTIF(CR$3:CR311,"&gt;0"))</f>
        <v>0</v>
      </c>
      <c r="CS312" t="str">
        <f t="shared" si="265"/>
        <v/>
      </c>
      <c r="CT312" t="str">
        <f t="shared" si="237"/>
        <v/>
      </c>
      <c r="CV312">
        <f>IF(IFERROR(MATCH($B312,Character_Creation!$C$341:$C$362,0),0)&gt;0,0,1)*IF(OR(C312="Cantrip",C312&lt;=BardMaxSpellLevel),1,0)*IF(IFERROR(MATCH($B312,Character_Creation!$C$367:$C$374,0),0)&gt;0,0,1)</f>
        <v>0</v>
      </c>
      <c r="CW312">
        <f>IF(CV312=0,0,1+COUNTIF(CW$3:CW311,"&gt;0"))</f>
        <v>0</v>
      </c>
      <c r="CX312" t="str">
        <f t="shared" si="266"/>
        <v/>
      </c>
      <c r="CY312" t="str">
        <f t="shared" si="238"/>
        <v/>
      </c>
      <c r="DA312">
        <f>IF(IF(OR(IFERROR(SEARCH("Cleric",$T312,1),0)&gt;0,IFERROR(SEARCH(DivineDomain&amp;",",$T312,1),0)&gt;0),1,0)*IF($C312=DA$2,1,0)=1,1+COUNTIF(DA$3:DA311,"&gt;0"),0)</f>
        <v>0</v>
      </c>
      <c r="DB312">
        <f>IF(IF(OR(IFERROR(SEARCH("Cleric",$T312,1),0)&gt;0,IFERROR(SEARCH(DivineDomain&amp;",",$T312,1),0)&gt;0),1,0)*IF($C312=DB$2,1,0)=1,1+COUNTIF(DB$3:DB311,"&gt;0"),0)</f>
        <v>0</v>
      </c>
      <c r="DC312">
        <f>IF(IF(OR(IFERROR(SEARCH("Cleric",$T312,1),0)&gt;0,IFERROR(SEARCH(DivineDomain&amp;",",$T312,1),0)&gt;0),1,0)*IF($C312=DC$2,1,0)=1,1+COUNTIF(DC$3:DC311,"&gt;0"),0)</f>
        <v>0</v>
      </c>
      <c r="DD312">
        <f>IF(IF(OR(IFERROR(SEARCH("Cleric",$T312,1),0)&gt;0,IFERROR(SEARCH(DivineDomain&amp;",",$T312,1),0)&gt;0),1,0)*IF($C312=DD$2,1,0)=1,1+COUNTIF(DD$3:DD311,"&gt;0"),0)</f>
        <v>0</v>
      </c>
      <c r="DE312">
        <f>IF(IF(OR(IFERROR(SEARCH("Cleric",$T312,1),0)&gt;0,IFERROR(SEARCH(DivineDomain&amp;",",$T312,1),0)&gt;0),1,0)*IF($C312=DE$2,1,0)=1,1+COUNTIF(DE$3:DE311,"&gt;0"),0)</f>
        <v>0</v>
      </c>
      <c r="DF312">
        <f>IF(IF(OR(IFERROR(SEARCH("Cleric",$T312,1),0)&gt;0,IFERROR(SEARCH(DivineDomain&amp;",",$T312,1),0)&gt;0),1,0)*IF($C312=DF$2,1,0)=1,1+COUNTIF(DF$3:DF311,"&gt;0"),0)</f>
        <v>0</v>
      </c>
      <c r="DG312">
        <f>IF(IF(OR(IFERROR(SEARCH("Cleric",$T312,1),0)&gt;0,IFERROR(SEARCH(DivineDomain&amp;",",$T312,1),0)&gt;0),1,0)*IF($C312=DG$2,1,0)=1,1+COUNTIF(DG$3:DG311,"&gt;0"),0)</f>
        <v>0</v>
      </c>
      <c r="DH312">
        <f>IF(IF(OR(IFERROR(SEARCH("Cleric",$T312,1),0)&gt;0,IFERROR(SEARCH(DivineDomain&amp;",",$T312,1),0)&gt;0),1,0)*IF($C312=DH$2,1,0)=1,1+COUNTIF(DH$3:DH311,"&gt;0"),0)</f>
        <v>0</v>
      </c>
      <c r="DI312">
        <f>IF(IF(OR(IFERROR(SEARCH("Cleric",$T312,1),0)&gt;0,IFERROR(SEARCH(DivineDomain&amp;",",$T312,1),0)&gt;0),1,0)*IF($C312=DI$2,1,0)=1,1+COUNTIF(DI$3:DI311,"&gt;0"),0)</f>
        <v>0</v>
      </c>
      <c r="DJ312">
        <f>IF(IF(OR(IFERROR(SEARCH("Druid",$T312,1),0)&gt;0,IFERROR(SEARCH(DruidLand1,$T312,1),0)&gt;0,IFERROR(SEARCH(DruidLand2,$T312,1),0)&gt;0,IFERROR(SEARCH(DruidLand3,$T312,1),0)&gt;0,IFERROR(SEARCH(DruidLand4,$T312,1),0)&gt;0),1,0)*IF($C312=1,1,0)*IF($C312=DJ$2,1,0)=0,0,1+COUNTIF(DJ$3:DJ311,"&gt;0"))</f>
        <v>0</v>
      </c>
      <c r="DK312">
        <f>IF(IF(OR(IFERROR(SEARCH("Druid",$T312,1),0)&gt;0,IFERROR(SEARCH(DruidLand1,$T312,1),0)&gt;0,IFERROR(SEARCH(DruidLand2,$T312,1),0)&gt;0,IFERROR(SEARCH(DruidLand3,$T312,1),0)&gt;0,IFERROR(SEARCH(DruidLand4,$T312,1),0)&gt;0),1,0)*IF($C312=DK$2,1,0)=0,0,1+COUNTIF(DK$3:DK311,"&gt;0"))</f>
        <v>17</v>
      </c>
      <c r="DL312">
        <f>IF(IF(OR(IFERROR(SEARCH("Druid",$T312,1),0)&gt;0,IFERROR(SEARCH(DruidLand1,$T312,1),0)&gt;0,IFERROR(SEARCH(DruidLand2,$T312,1),0)&gt;0,IFERROR(SEARCH(DruidLand3,$T312,1),0)&gt;0,IFERROR(SEARCH(DruidLand4,$T312,1),0)&gt;0),1,0)*IF($C312=DL$2,1,0)=0,0,1+COUNTIF(DL$3:DL311,"&gt;0"))</f>
        <v>0</v>
      </c>
      <c r="DM312">
        <f>IF(IF(OR(IFERROR(SEARCH("Druid",$T312,1),0)&gt;0,IFERROR(SEARCH(DruidLand1,$T312,1),0)&gt;0,IFERROR(SEARCH(DruidLand2,$T312,1),0)&gt;0,IFERROR(SEARCH(DruidLand3,$T312,1),0)&gt;0,IFERROR(SEARCH(DruidLand4,$T312,1),0)&gt;0),1,0)*IF($C312=DM$2,1,0)=0,0,1+COUNTIF(DM$3:DM311,"&gt;0"))</f>
        <v>0</v>
      </c>
      <c r="DN312">
        <f>IF(IF(OR(IFERROR(SEARCH("Druid",$T312,1),0)&gt;0,IFERROR(SEARCH(DruidLand1,$T312,1),0)&gt;0,IFERROR(SEARCH(DruidLand2,$T312,1),0)&gt;0,IFERROR(SEARCH(DruidLand3,$T312,1),0)&gt;0,IFERROR(SEARCH(DruidLand4,$T312,1),0)&gt;0),1,0)*IF($C312=DN$2,1,0)=0,0,1+COUNTIF(DN$3:DN311,"&gt;0"))</f>
        <v>0</v>
      </c>
      <c r="DO312">
        <f>IF(IF(OR(IFERROR(SEARCH("Druid",$T312,1),0)&gt;0,IFERROR(SEARCH(DruidLand1,$T312,1),0)&gt;0,IFERROR(SEARCH(DruidLand2,$T312,1),0)&gt;0,IFERROR(SEARCH(DruidLand3,$T312,1),0)&gt;0,IFERROR(SEARCH(DruidLand4,$T312,1),0)&gt;0),1,0)*IF($C312=DO$2,1,0)=0,0,1+COUNTIF(DO$3:DO311,"&gt;0"))</f>
        <v>0</v>
      </c>
      <c r="DP312">
        <f>IF(IF(OR(IFERROR(SEARCH("Druid",$T312,1),0)&gt;0,IFERROR(SEARCH(DruidLand1,$T312,1),0)&gt;0,IFERROR(SEARCH(DruidLand2,$T312,1),0)&gt;0,IFERROR(SEARCH(DruidLand3,$T312,1),0)&gt;0,IFERROR(SEARCH(DruidLand4,$T312,1),0)&gt;0),1,0)*IF($C312=DP$2,1,0)=0,0,1+COUNTIF(DP$3:DP311,"&gt;0"))</f>
        <v>0</v>
      </c>
      <c r="DQ312">
        <f>IF(IF(OR(IFERROR(SEARCH("Druid",$T312,1),0)&gt;0,IFERROR(SEARCH(DruidLand1,$T312,1),0)&gt;0,IFERROR(SEARCH(DruidLand2,$T312,1),0)&gt;0,IFERROR(SEARCH(DruidLand3,$T312,1),0)&gt;0,IFERROR(SEARCH(DruidLand4,$T312,1),0)&gt;0),1,0)*IF($C312=DQ$2,1,0)=0,0,1+COUNTIF(DQ$3:DQ311,"&gt;0"))</f>
        <v>0</v>
      </c>
      <c r="DR312">
        <f>IF(IF(OR(IFERROR(SEARCH("Druid",$T312,1),0)&gt;0,IFERROR(SEARCH(DruidLand1,$T312,1),0)&gt;0,IFERROR(SEARCH(DruidLand2,$T312,1),0)&gt;0,IFERROR(SEARCH(DruidLand3,$T312,1),0)&gt;0,IFERROR(SEARCH(DruidLand4,$T312,1),0)&gt;0),1,0)*IF($C312=DR$2,1,0)=0,0,1+COUNTIF(DR$3:DR311,"&gt;0"))</f>
        <v>0</v>
      </c>
      <c r="DS312">
        <f>IF(IF(OR(IFERROR(SEARCH("Paladin",$T312,1),0)&gt;0,IFERROR(SEARCH(PaladinOath,$T312,1),0)&gt;0),1,0)*IF($C312=DS$2,1,0)=1,1+COUNTIF(DS$3:DS311,"&gt;0"),0)</f>
        <v>0</v>
      </c>
      <c r="DT312">
        <f>IF(IF(OR(IFERROR(SEARCH("Paladin",$T312,1),0)&gt;0,IFERROR(SEARCH(PaladinOath,$T312,1),0)&gt;0),1,0)*IF($C312=DT$2,1,0)=1,1+COUNTIF(DT$3:DT311,"&gt;0"),0)</f>
        <v>0</v>
      </c>
      <c r="DU312">
        <f>IF(IF(OR(IFERROR(SEARCH("Paladin",$T312,1),0)&gt;0,IFERROR(SEARCH(PaladinOath,$T312,1),0)&gt;0),1,0)*IF($C312=DU$2,1,0)=1,1+COUNTIF(DU$3:DU311,"&gt;0"),0)</f>
        <v>0</v>
      </c>
      <c r="DV312">
        <f>IF(IF(OR(IFERROR(SEARCH("Paladin",$T312,1),0)&gt;0,IFERROR(SEARCH(PaladinOath,$T312,1),0)&gt;0),1,0)*IF($C312=DV$2,1,0)=1,1+COUNTIF(DV$3:DV311,"&gt;0"),0)</f>
        <v>0</v>
      </c>
      <c r="DW312">
        <f>IF(IF(OR(IFERROR(SEARCH("Paladin",$T312,1),0)&gt;0,IFERROR(SEARCH(PaladinOath,$T312,1),0)&gt;0),1,0)*IF($C312=DW$2,1,0)=1,1+COUNTIF(DW$3:DW311,"&gt;0"),0)</f>
        <v>0</v>
      </c>
      <c r="DY312">
        <f t="shared" si="225"/>
        <v>1</v>
      </c>
      <c r="DZ312">
        <f>IF(DY312=0,0,1+MAX(DZ$3:$DZ311))</f>
        <v>310</v>
      </c>
      <c r="EB312">
        <f t="shared" si="239"/>
        <v>0</v>
      </c>
      <c r="EC312">
        <f>IF(EB312=0,0,1+COUNTIF(EC$3:EC311,"&gt;0"))</f>
        <v>0</v>
      </c>
      <c r="ED312" t="str">
        <f t="shared" si="267"/>
        <v/>
      </c>
      <c r="EE312" t="str">
        <f t="shared" si="240"/>
        <v/>
      </c>
      <c r="EG312">
        <f t="shared" si="241"/>
        <v>0</v>
      </c>
      <c r="EH312">
        <f>IF(EG312=0,0,1+COUNTIF(EH$3:EH311,"&gt;0"))</f>
        <v>0</v>
      </c>
      <c r="EI312" t="str">
        <f t="shared" si="268"/>
        <v/>
      </c>
      <c r="EJ312" t="str">
        <f t="shared" si="242"/>
        <v/>
      </c>
      <c r="EL312">
        <f t="shared" si="243"/>
        <v>0</v>
      </c>
      <c r="EM312">
        <f>IF(EL312=0,0,1+COUNTIF(EM$3:EM311,"&gt;0"))</f>
        <v>0</v>
      </c>
      <c r="EN312" t="str">
        <f t="shared" si="269"/>
        <v/>
      </c>
      <c r="EO312" t="str">
        <f t="shared" si="244"/>
        <v/>
      </c>
      <c r="EQ312">
        <f t="shared" si="245"/>
        <v>0</v>
      </c>
      <c r="ER312">
        <f>IF(EQ312=0,0,1+COUNTIF(ER$3:ER311,"&gt;0"))</f>
        <v>0</v>
      </c>
      <c r="ES312" t="str">
        <f t="shared" si="270"/>
        <v/>
      </c>
      <c r="ET312" t="str">
        <f t="shared" si="246"/>
        <v/>
      </c>
      <c r="EV312">
        <f t="shared" si="247"/>
        <v>0</v>
      </c>
      <c r="EW312">
        <f>IF(EV312=0,0,1+COUNTIF(EW$3:EW311,"&gt;0"))</f>
        <v>0</v>
      </c>
      <c r="EX312" t="str">
        <f t="shared" si="271"/>
        <v/>
      </c>
      <c r="EY312" t="str">
        <f t="shared" si="248"/>
        <v/>
      </c>
      <c r="FA312">
        <f t="shared" si="249"/>
        <v>0</v>
      </c>
      <c r="FB312">
        <f>IF(FA312=0,0,1+COUNTIF(FB$3:FB311,"&gt;0"))</f>
        <v>0</v>
      </c>
      <c r="FC312" t="str">
        <f t="shared" si="272"/>
        <v/>
      </c>
      <c r="FD312" t="str">
        <f t="shared" si="250"/>
        <v/>
      </c>
      <c r="FF312">
        <f t="shared" si="251"/>
        <v>0</v>
      </c>
      <c r="FG312">
        <f>IF(FF312=0,0,1+COUNTIF(FG$3:FG311,"&gt;0"))</f>
        <v>0</v>
      </c>
      <c r="FH312" t="str">
        <f t="shared" si="273"/>
        <v/>
      </c>
      <c r="FI312" t="str">
        <f t="shared" si="252"/>
        <v/>
      </c>
      <c r="FK312">
        <f t="shared" si="253"/>
        <v>0</v>
      </c>
      <c r="FL312">
        <f>IF(FK312=0,0,1+COUNTIF(FL$3:FL311,"&gt;0"))</f>
        <v>0</v>
      </c>
      <c r="FM312" t="str">
        <f t="shared" si="274"/>
        <v/>
      </c>
      <c r="FN312" t="str">
        <f t="shared" si="254"/>
        <v/>
      </c>
      <c r="FP312">
        <f t="shared" si="255"/>
        <v>0</v>
      </c>
      <c r="FQ312">
        <f>IF(FP312=0,0,1+COUNTIF(FQ$3:FQ311,"&gt;0"))</f>
        <v>0</v>
      </c>
      <c r="FR312" t="str">
        <f t="shared" si="275"/>
        <v/>
      </c>
      <c r="FS312" t="str">
        <f t="shared" si="256"/>
        <v/>
      </c>
    </row>
    <row r="313" spans="1:175" x14ac:dyDescent="0.25">
      <c r="A313" s="347">
        <f t="shared" si="276"/>
        <v>311</v>
      </c>
      <c r="B313" s="348" t="s">
        <v>2707</v>
      </c>
      <c r="C313" s="348">
        <v>3</v>
      </c>
      <c r="D313" s="347">
        <v>3</v>
      </c>
      <c r="E313" s="627" t="s">
        <v>6952</v>
      </c>
      <c r="F313" s="346"/>
      <c r="G313" s="347" t="str">
        <f>""</f>
        <v/>
      </c>
      <c r="H313" s="347" t="s">
        <v>5912</v>
      </c>
      <c r="I313" s="347" t="s">
        <v>5283</v>
      </c>
      <c r="J313" s="347" t="str">
        <f t="shared" si="226"/>
        <v/>
      </c>
      <c r="K313" s="347" t="s">
        <v>5297</v>
      </c>
      <c r="L313" s="611" t="str">
        <f t="shared" si="227"/>
        <v>V, S, M, a holy symbol</v>
      </c>
      <c r="M313" s="347" t="s">
        <v>2373</v>
      </c>
      <c r="N313" s="347" t="s">
        <v>2387</v>
      </c>
      <c r="O313" s="347" t="s">
        <v>1244</v>
      </c>
      <c r="P313" s="346" t="s">
        <v>5487</v>
      </c>
      <c r="Q313" s="347" t="s">
        <v>5271</v>
      </c>
      <c r="S313" s="346" t="s">
        <v>5829</v>
      </c>
      <c r="T313" s="346" t="str">
        <f t="shared" si="228"/>
        <v xml:space="preserve">Cleric, War, </v>
      </c>
      <c r="Z313" s="347" t="str">
        <f>$B313</f>
        <v>Spirit Guardians</v>
      </c>
      <c r="AE313" t="str">
        <f>IF(IFERROR(MATCH($B313,temp!A$4:A$13,0),0)&gt;0,T08_Spells!AE$2,"")</f>
        <v/>
      </c>
      <c r="AF313" t="str">
        <f>IF(IFERROR(MATCH($B313,temp!B$4:B$13,0),0)&gt;0,T08_Spells!AF$2,"")</f>
        <v/>
      </c>
      <c r="AG313" t="str">
        <f>IF(IFERROR(MATCH($B313,temp!C$4:C$13,0),0)&gt;0,T08_Spells!AG$2,"")</f>
        <v/>
      </c>
      <c r="AH313" t="str">
        <f>IF(IFERROR(MATCH($B313,temp!D$4:D$13,0),0)&gt;0,T08_Spells!AH$2,"")</f>
        <v/>
      </c>
      <c r="AI313" t="str">
        <f>IF(IFERROR(MATCH($B313,temp!E$4:E$13,0),0)&gt;0,T08_Spells!AI$2,"")</f>
        <v/>
      </c>
      <c r="AJ313" t="str">
        <f>IF(IFERROR(MATCH($B313,temp!F$4:F$13,0),0)&gt;0,T08_Spells!AJ$2,"")</f>
        <v/>
      </c>
      <c r="AK313" t="str">
        <f>IF(IFERROR(MATCH($B313,temp!G$4:G$13,0),0)&gt;0,T08_Spells!AK$2,"")</f>
        <v/>
      </c>
      <c r="AL313" t="str">
        <f>IF(IFERROR(MATCH($B313,temp!H$4:H$13,0),0)&gt;0,T08_Spells!AL$2,"")</f>
        <v/>
      </c>
      <c r="AM313" t="str">
        <f>IF(IFERROR(MATCH($B313,temp!I$4:I$13,0),0)&gt;0,T08_Spells!AM$2,"")</f>
        <v/>
      </c>
      <c r="AN313" t="str">
        <f>IF(IFERROR(MATCH($B313,temp!J$4:J$13,0),0)&gt;0,T08_Spells!AN$2,"")</f>
        <v/>
      </c>
      <c r="AO313" t="str">
        <f>IF(IFERROR(MATCH($B313,temp!K$4:K$13,0),0)&gt;0,T08_Spells!AO$2,"")</f>
        <v/>
      </c>
      <c r="AP313" t="str">
        <f>IF(IFERROR(MATCH($B313,temp!L$4:L$13,0),0)&gt;0,T08_Spells!AP$2,"")</f>
        <v/>
      </c>
      <c r="AQ313" t="str">
        <f>IF(IFERROR(MATCH($B313,temp!M$4:M$13,0),0)&gt;0,T08_Spells!AQ$2,"")</f>
        <v/>
      </c>
      <c r="AR313" t="str">
        <f>IF(IFERROR(MATCH($B313,temp!N$4:N$13,0),0)&gt;0,T08_Spells!AR$2,"")</f>
        <v/>
      </c>
      <c r="AS313" t="str">
        <f>IF(IFERROR(MATCH($B313,temp!O$4:O$13,0),0)&gt;0,T08_Spells!AS$2,"")</f>
        <v/>
      </c>
      <c r="AT313" t="str">
        <f>IF(IFERROR(MATCH($B313,temp!P$4:P$13,0),0)&gt;0,T08_Spells!AT$2,"")</f>
        <v/>
      </c>
      <c r="AU313" t="str">
        <f>IF(IFERROR(MATCH($B313,temp!Q$4:Q$13,0),0)&gt;0,T08_Spells!AU$2,"")</f>
        <v/>
      </c>
      <c r="AV313" t="str">
        <f>IF(IFERROR(MATCH($B313,temp!R$4:R$13,0),0)&gt;0,T08_Spells!AV$2,"")</f>
        <v/>
      </c>
      <c r="AW313" t="str">
        <f>IF(IFERROR(MATCH($B313,temp!S$4:S$13,0),0)&gt;0,T08_Spells!AW$2,"")</f>
        <v/>
      </c>
      <c r="AX313" t="str">
        <f>IF(IFERROR(MATCH($B313,temp!T$4:T$13,0),0)&gt;0,T08_Spells!AX$2,"")</f>
        <v/>
      </c>
      <c r="AY313" t="str">
        <f>IF(IFERROR(MATCH($B313,temp!U$4:U$13,0),0)&gt;0,T08_Spells!AY$2,"")</f>
        <v/>
      </c>
      <c r="AZ313" t="str">
        <f>IF(IFERROR(MATCH($B313,temp!V$4:V$13,0),0)&gt;0,T08_Spells!AZ$2,"")</f>
        <v>War</v>
      </c>
      <c r="BA313" t="str">
        <f>IF(IFERROR(MATCH($B313,temp!W$4:W$13,0),0)&gt;0,T08_Spells!BA$2,"")</f>
        <v/>
      </c>
      <c r="BC313">
        <f>IF(IFERROR(SEARCH("Ranger",$T313,1),0)&gt;0,1,0)*IF(RangerMaxSpellLevel&gt;=$C313,1,0)*IF(IFERROR(MATCH(B313,Character_Creation!$X$79:$X$382,0),0)&gt;0,0,1)</f>
        <v>0</v>
      </c>
      <c r="BD313">
        <f>IF(BC313=0,0,1+COUNTIF(BD$3:BD312,"&gt;0"))</f>
        <v>0</v>
      </c>
      <c r="BE313" t="str">
        <f t="shared" si="257"/>
        <v/>
      </c>
      <c r="BF313" t="str">
        <f t="shared" si="229"/>
        <v/>
      </c>
      <c r="BH313">
        <f>IF(IFERROR(SEARCH("Sorcerer",$T313,1),0)&gt;0,1,0)*IF(SorcererMaxSpellLevel&gt;=$C313,1,0)*IF(IFERROR(MATCH(B313,Character_Creation!$J$380:$J$394,0),0)&gt;0,0,1)</f>
        <v>0</v>
      </c>
      <c r="BI313">
        <f>IF(BH313=0,0,1+COUNTIF(BI$3:BI312,"&gt;0"))</f>
        <v>0</v>
      </c>
      <c r="BJ313" t="str">
        <f t="shared" si="258"/>
        <v/>
      </c>
      <c r="BK313" t="str">
        <f t="shared" si="230"/>
        <v/>
      </c>
      <c r="BM313">
        <f>IF(OR(IFERROR(SEARCH("Warlock",$T313,1),0)&gt;0,IFERROR(SEARCH(WarlockPatron,$T313,1),0)&gt;0),1,0)*IF(WarlockMaxSpellLevel&gt;=$C313,1,0)*IF(IFERROR(MATCH(B313,Character_Creation!$J$361:$J$375,0),0)&gt;0,0,1)</f>
        <v>0</v>
      </c>
      <c r="BN313">
        <f>IF(BM313=0,0,1+COUNTIF(BN$3:BN312,"&gt;0"))</f>
        <v>0</v>
      </c>
      <c r="BO313" t="str">
        <f t="shared" si="259"/>
        <v/>
      </c>
      <c r="BP313" t="str">
        <f t="shared" si="231"/>
        <v/>
      </c>
      <c r="BR313">
        <f>IF(IFERROR(SEARCH("Eldritch Knight",$T313,1),0)&gt;0,1,0)*IF(EldritchKnightMaxSpellLevel&gt;=$C313,1,0)*IF(IFERROR(MATCH($B313,Character_Creation!$J$350:$J$356,0),0)&gt;0,0,1)*IF(Character_Creation!$M$338&gt;0,1,0)</f>
        <v>0</v>
      </c>
      <c r="BS313">
        <f>IF(BR313=0,0,1+COUNTIF(BS$3:BS312,"&gt;0"))</f>
        <v>0</v>
      </c>
      <c r="BT313" t="str">
        <f t="shared" si="260"/>
        <v/>
      </c>
      <c r="BU313" t="str">
        <f t="shared" si="232"/>
        <v/>
      </c>
      <c r="BW313">
        <f>IF(IFERROR(SEARCH("Arcane Trickster",$T313,1),0)&gt;0,1,0)*IF(ArcaneTricksterMaxSpellLevel&gt;=$C313,1,0)*IF(IFERROR(MATCH($B313,Character_Creation!$J$350:$J$356,0),0)&gt;0,0,1)*IF(Character_Creation!$T$338&gt;0,1,0)</f>
        <v>0</v>
      </c>
      <c r="BX313">
        <f>IF(BW313=0,0,1+COUNTIF(BX$3:BX312,"&gt;0"))</f>
        <v>0</v>
      </c>
      <c r="BY313" t="str">
        <f t="shared" si="261"/>
        <v/>
      </c>
      <c r="BZ313" t="str">
        <f t="shared" si="233"/>
        <v/>
      </c>
      <c r="CB313">
        <f>IF(IFERROR(SEARCH("Wizard",$T313,1),0)&gt;0,1,0)*IF(C313&lt;=ArcaneTricksterMaxSpellLevel,1,0)*IF(IFERROR(MATCH($B313,Character_Creation!$J$350:$J$356,0),0)&gt;0,0,1)*IF(Character_Creation!$T$350&gt;0,1,0)</f>
        <v>0</v>
      </c>
      <c r="CC313">
        <f>IF(CB313=0,0,1+COUNTIF(CC$3:CC312,"&gt;0"))</f>
        <v>0</v>
      </c>
      <c r="CD313" t="str">
        <f t="shared" si="262"/>
        <v/>
      </c>
      <c r="CE313" t="str">
        <f t="shared" si="234"/>
        <v/>
      </c>
      <c r="CG313">
        <f>IF(IFERROR(SEARCH("Wizard",$T313,1),0)&gt;0,1,0)*IF($C313&lt;=EldritchKnightMaxSpellLevel,1,0)*IF(IFERROR(MATCH($B313,Character_Creation!$J$350:$J$356,0),0)&gt;0,0,1)*IF(Character_Creation!$M$350&gt;0,1,0)</f>
        <v>0</v>
      </c>
      <c r="CH313">
        <f>IF(CG313=0,0,1+COUNTIF(CH$3:CH312,"&gt;0"))</f>
        <v>0</v>
      </c>
      <c r="CI313" t="str">
        <f t="shared" si="263"/>
        <v/>
      </c>
      <c r="CJ313" t="str">
        <f t="shared" si="235"/>
        <v/>
      </c>
      <c r="CL313">
        <f>IF(IFERROR(SEARCH("Bard",$T313,1),0)&gt;0,1,0)*IF(BardMaxSpellLevel&gt;=$C313,1,0)*IF(IFERROR(MATCH(B313,Character_Creation!$C$341:$F$362,0),0)&gt;0,0,1)*IF(IFERROR(MATCH($B313,Character_Creation!$C$341:$C$362,0),0)&gt;0,0,1)</f>
        <v>0</v>
      </c>
      <c r="CM313">
        <f>IF(CL313=0,0,1+COUNTIF(CM$3:CM312,"&gt;0"))</f>
        <v>0</v>
      </c>
      <c r="CN313" t="str">
        <f t="shared" si="264"/>
        <v/>
      </c>
      <c r="CO313" t="str">
        <f t="shared" si="236"/>
        <v/>
      </c>
      <c r="CQ313">
        <f>IF(IFERROR(SEARCH("Wizard",$T313,1),0)&gt;0,1,0)*IF(WizardMaxSpellLevel&gt;=$C313,1,0)*IF(IFERROR(MATCH(B313,Character_Creation!$X$341:$X$400,0),0)&gt;0,0,1)*IF(SelectedWizardSpellLevel=$C313,1,0)</f>
        <v>0</v>
      </c>
      <c r="CR313">
        <f>IF(CQ313=0,0,1+COUNTIF(CR$3:CR312,"&gt;0"))</f>
        <v>0</v>
      </c>
      <c r="CS313" t="str">
        <f t="shared" si="265"/>
        <v/>
      </c>
      <c r="CT313" t="str">
        <f t="shared" si="237"/>
        <v/>
      </c>
      <c r="CV313">
        <f>IF(IFERROR(MATCH($B313,Character_Creation!$C$341:$C$362,0),0)&gt;0,0,1)*IF(OR(C313="Cantrip",C313&lt;=BardMaxSpellLevel),1,0)*IF(IFERROR(MATCH($B313,Character_Creation!$C$367:$C$374,0),0)&gt;0,0,1)</f>
        <v>0</v>
      </c>
      <c r="CW313">
        <f>IF(CV313=0,0,1+COUNTIF(CW$3:CW312,"&gt;0"))</f>
        <v>0</v>
      </c>
      <c r="CX313" t="str">
        <f t="shared" si="266"/>
        <v/>
      </c>
      <c r="CY313" t="str">
        <f t="shared" si="238"/>
        <v/>
      </c>
      <c r="DA313">
        <f>IF(IF(OR(IFERROR(SEARCH("Cleric",$T313,1),0)&gt;0,IFERROR(SEARCH(DivineDomain&amp;",",$T313,1),0)&gt;0),1,0)*IF($C313=DA$2,1,0)=1,1+COUNTIF(DA$3:DA312,"&gt;0"),0)</f>
        <v>0</v>
      </c>
      <c r="DB313">
        <f>IF(IF(OR(IFERROR(SEARCH("Cleric",$T313,1),0)&gt;0,IFERROR(SEARCH(DivineDomain&amp;",",$T313,1),0)&gt;0),1,0)*IF($C313=DB$2,1,0)=1,1+COUNTIF(DB$3:DB312,"&gt;0"),0)</f>
        <v>0</v>
      </c>
      <c r="DC313">
        <f>IF(IF(OR(IFERROR(SEARCH("Cleric",$T313,1),0)&gt;0,IFERROR(SEARCH(DivineDomain&amp;",",$T313,1),0)&gt;0),1,0)*IF($C313=DC$2,1,0)=1,1+COUNTIF(DC$3:DC312,"&gt;0"),0)</f>
        <v>18</v>
      </c>
      <c r="DD313">
        <f>IF(IF(OR(IFERROR(SEARCH("Cleric",$T313,1),0)&gt;0,IFERROR(SEARCH(DivineDomain&amp;",",$T313,1),0)&gt;0),1,0)*IF($C313=DD$2,1,0)=1,1+COUNTIF(DD$3:DD312,"&gt;0"),0)</f>
        <v>0</v>
      </c>
      <c r="DE313">
        <f>IF(IF(OR(IFERROR(SEARCH("Cleric",$T313,1),0)&gt;0,IFERROR(SEARCH(DivineDomain&amp;",",$T313,1),0)&gt;0),1,0)*IF($C313=DE$2,1,0)=1,1+COUNTIF(DE$3:DE312,"&gt;0"),0)</f>
        <v>0</v>
      </c>
      <c r="DF313">
        <f>IF(IF(OR(IFERROR(SEARCH("Cleric",$T313,1),0)&gt;0,IFERROR(SEARCH(DivineDomain&amp;",",$T313,1),0)&gt;0),1,0)*IF($C313=DF$2,1,0)=1,1+COUNTIF(DF$3:DF312,"&gt;0"),0)</f>
        <v>0</v>
      </c>
      <c r="DG313">
        <f>IF(IF(OR(IFERROR(SEARCH("Cleric",$T313,1),0)&gt;0,IFERROR(SEARCH(DivineDomain&amp;",",$T313,1),0)&gt;0),1,0)*IF($C313=DG$2,1,0)=1,1+COUNTIF(DG$3:DG312,"&gt;0"),0)</f>
        <v>0</v>
      </c>
      <c r="DH313">
        <f>IF(IF(OR(IFERROR(SEARCH("Cleric",$T313,1),0)&gt;0,IFERROR(SEARCH(DivineDomain&amp;",",$T313,1),0)&gt;0),1,0)*IF($C313=DH$2,1,0)=1,1+COUNTIF(DH$3:DH312,"&gt;0"),0)</f>
        <v>0</v>
      </c>
      <c r="DI313">
        <f>IF(IF(OR(IFERROR(SEARCH("Cleric",$T313,1),0)&gt;0,IFERROR(SEARCH(DivineDomain&amp;",",$T313,1),0)&gt;0),1,0)*IF($C313=DI$2,1,0)=1,1+COUNTIF(DI$3:DI312,"&gt;0"),0)</f>
        <v>0</v>
      </c>
      <c r="DJ313">
        <f>IF(IF(OR(IFERROR(SEARCH("Druid",$T313,1),0)&gt;0,IFERROR(SEARCH(DruidLand1,$T313,1),0)&gt;0,IFERROR(SEARCH(DruidLand2,$T313,1),0)&gt;0,IFERROR(SEARCH(DruidLand3,$T313,1),0)&gt;0,IFERROR(SEARCH(DruidLand4,$T313,1),0)&gt;0),1,0)*IF($C313=1,1,0)*IF($C313=DJ$2,1,0)=0,0,1+COUNTIF(DJ$3:DJ312,"&gt;0"))</f>
        <v>0</v>
      </c>
      <c r="DK313">
        <f>IF(IF(OR(IFERROR(SEARCH("Druid",$T313,1),0)&gt;0,IFERROR(SEARCH(DruidLand1,$T313,1),0)&gt;0,IFERROR(SEARCH(DruidLand2,$T313,1),0)&gt;0,IFERROR(SEARCH(DruidLand3,$T313,1),0)&gt;0,IFERROR(SEARCH(DruidLand4,$T313,1),0)&gt;0),1,0)*IF($C313=1,1,0)*IF($C313=DK$2,1,0)=0,0,1+COUNTIF(DK$3:DK312,"&gt;0"))</f>
        <v>0</v>
      </c>
      <c r="DL313">
        <f>IF(IF(OR(IFERROR(SEARCH("Druid",$T313,1),0)&gt;0,IFERROR(SEARCH(DruidLand1,$T313,1),0)&gt;0,IFERROR(SEARCH(DruidLand2,$T313,1),0)&gt;0,IFERROR(SEARCH(DruidLand3,$T313,1),0)&gt;0,IFERROR(SEARCH(DruidLand4,$T313,1),0)&gt;0),1,0)*IF($C313=1,1,0)*IF($C313=DL$2,1,0)=0,0,1+COUNTIF(DL$3:DL312,"&gt;0"))</f>
        <v>0</v>
      </c>
      <c r="DM313">
        <f>IF(IF(OR(IFERROR(SEARCH("Druid",$T313,1),0)&gt;0,IFERROR(SEARCH(DruidLand1,$T313,1),0)&gt;0,IFERROR(SEARCH(DruidLand2,$T313,1),0)&gt;0,IFERROR(SEARCH(DruidLand3,$T313,1),0)&gt;0,IFERROR(SEARCH(DruidLand4,$T313,1),0)&gt;0),1,0)*IF($C313=1,1,0)*IF($C313=DM$2,1,0)=0,0,1+COUNTIF(DM$3:DM312,"&gt;0"))</f>
        <v>0</v>
      </c>
      <c r="DN313">
        <f>IF(IF(OR(IFERROR(SEARCH("Druid",$T313,1),0)&gt;0,IFERROR(SEARCH(DruidLand1,$T313,1),0)&gt;0,IFERROR(SEARCH(DruidLand2,$T313,1),0)&gt;0,IFERROR(SEARCH(DruidLand3,$T313,1),0)&gt;0,IFERROR(SEARCH(DruidLand4,$T313,1),0)&gt;0),1,0)*IF($C313=1,1,0)*IF($C313=DN$2,1,0)=0,0,1+COUNTIF(DN$3:DN312,"&gt;0"))</f>
        <v>0</v>
      </c>
      <c r="DO313">
        <f>IF(IF(OR(IFERROR(SEARCH("Druid",$T313,1),0)&gt;0,IFERROR(SEARCH(DruidLand1,$T313,1),0)&gt;0,IFERROR(SEARCH(DruidLand2,$T313,1),0)&gt;0,IFERROR(SEARCH(DruidLand3,$T313,1),0)&gt;0,IFERROR(SEARCH(DruidLand4,$T313,1),0)&gt;0),1,0)*IF($C313=1,1,0)*IF($C313=DO$2,1,0)=0,0,1+COUNTIF(DO$3:DO312,"&gt;0"))</f>
        <v>0</v>
      </c>
      <c r="DP313">
        <f>IF(IF(OR(IFERROR(SEARCH("Druid",$T313,1),0)&gt;0,IFERROR(SEARCH(DruidLand1,$T313,1),0)&gt;0,IFERROR(SEARCH(DruidLand2,$T313,1),0)&gt;0,IFERROR(SEARCH(DruidLand3,$T313,1),0)&gt;0,IFERROR(SEARCH(DruidLand4,$T313,1),0)&gt;0),1,0)*IF($C313=1,1,0)*IF($C313=DP$2,1,0)=0,0,1+COUNTIF(DP$3:DP312,"&gt;0"))</f>
        <v>0</v>
      </c>
      <c r="DQ313">
        <f>IF(IF(OR(IFERROR(SEARCH("Druid",$T313,1),0)&gt;0,IFERROR(SEARCH(DruidLand1,$T313,1),0)&gt;0,IFERROR(SEARCH(DruidLand2,$T313,1),0)&gt;0,IFERROR(SEARCH(DruidLand3,$T313,1),0)&gt;0,IFERROR(SEARCH(DruidLand4,$T313,1),0)&gt;0),1,0)*IF($C313=1,1,0)*IF($C313=DQ$2,1,0)=0,0,1+COUNTIF(DQ$3:DQ312,"&gt;0"))</f>
        <v>0</v>
      </c>
      <c r="DR313">
        <f>IF(IF(OR(IFERROR(SEARCH("Druid",$T313,1),0)&gt;0,IFERROR(SEARCH(DruidLand1,$T313,1),0)&gt;0,IFERROR(SEARCH(DruidLand2,$T313,1),0)&gt;0,IFERROR(SEARCH(DruidLand3,$T313,1),0)&gt;0,IFERROR(SEARCH(DruidLand4,$T313,1),0)&gt;0),1,0)*IF($C313=1,1,0)*IF($C313=DR$2,1,0)=0,0,1+COUNTIF(DR$3:DR312,"&gt;0"))</f>
        <v>0</v>
      </c>
      <c r="DS313">
        <f>IF(IF(OR(IFERROR(SEARCH("Paladin",$T313,1),0)&gt;0,IFERROR(SEARCH(PaladinOath,$T313,1),0)&gt;0),1,0)*IF($C313=DS$2,1,0)=1,1+COUNTIF(DS$3:DS312,"&gt;0"),0)</f>
        <v>0</v>
      </c>
      <c r="DT313">
        <f>IF(IF(OR(IFERROR(SEARCH("Paladin",$T313,1),0)&gt;0,IFERROR(SEARCH(PaladinOath,$T313,1),0)&gt;0),1,0)*IF($C313=DT$2,1,0)=1,1+COUNTIF(DT$3:DT312,"&gt;0"),0)</f>
        <v>0</v>
      </c>
      <c r="DU313">
        <f>IF(IF(OR(IFERROR(SEARCH("Paladin",$T313,1),0)&gt;0,IFERROR(SEARCH(PaladinOath,$T313,1),0)&gt;0),1,0)*IF($C313=DU$2,1,0)=1,1+COUNTIF(DU$3:DU312,"&gt;0"),0)</f>
        <v>0</v>
      </c>
      <c r="DV313">
        <f>IF(IF(OR(IFERROR(SEARCH("Paladin",$T313,1),0)&gt;0,IFERROR(SEARCH(PaladinOath,$T313,1),0)&gt;0),1,0)*IF($C313=DV$2,1,0)=1,1+COUNTIF(DV$3:DV312,"&gt;0"),0)</f>
        <v>0</v>
      </c>
      <c r="DW313">
        <f>IF(IF(OR(IFERROR(SEARCH("Paladin",$T313,1),0)&gt;0,IFERROR(SEARCH(PaladinOath,$T313,1),0)&gt;0),1,0)*IF($C313=DW$2,1,0)=1,1+COUNTIF(DW$3:DW312,"&gt;0"),0)</f>
        <v>0</v>
      </c>
      <c r="DY313">
        <f t="shared" si="225"/>
        <v>1</v>
      </c>
      <c r="DZ313">
        <f>IF(DY313=0,0,1+MAX(DZ$3:$DZ312))</f>
        <v>311</v>
      </c>
      <c r="EB313">
        <f t="shared" si="239"/>
        <v>0</v>
      </c>
      <c r="EC313">
        <f>IF(EB313=0,0,1+COUNTIF(EC$3:EC312,"&gt;0"))</f>
        <v>0</v>
      </c>
      <c r="ED313" t="str">
        <f t="shared" si="267"/>
        <v/>
      </c>
      <c r="EE313" t="str">
        <f t="shared" si="240"/>
        <v/>
      </c>
      <c r="EG313">
        <f t="shared" si="241"/>
        <v>0</v>
      </c>
      <c r="EH313">
        <f>IF(EG313=0,0,1+COUNTIF(EH$3:EH312,"&gt;0"))</f>
        <v>0</v>
      </c>
      <c r="EI313" t="str">
        <f t="shared" si="268"/>
        <v/>
      </c>
      <c r="EJ313" t="str">
        <f t="shared" si="242"/>
        <v/>
      </c>
      <c r="EL313">
        <f t="shared" si="243"/>
        <v>0</v>
      </c>
      <c r="EM313">
        <f>IF(EL313=0,0,1+COUNTIF(EM$3:EM312,"&gt;0"))</f>
        <v>0</v>
      </c>
      <c r="EN313" t="str">
        <f t="shared" si="269"/>
        <v/>
      </c>
      <c r="EO313" t="str">
        <f t="shared" si="244"/>
        <v/>
      </c>
      <c r="EQ313">
        <f t="shared" si="245"/>
        <v>0</v>
      </c>
      <c r="ER313">
        <f>IF(EQ313=0,0,1+COUNTIF(ER$3:ER312,"&gt;0"))</f>
        <v>0</v>
      </c>
      <c r="ES313" t="str">
        <f t="shared" si="270"/>
        <v/>
      </c>
      <c r="ET313" t="str">
        <f t="shared" si="246"/>
        <v/>
      </c>
      <c r="EV313">
        <f t="shared" si="247"/>
        <v>0</v>
      </c>
      <c r="EW313">
        <f>IF(EV313=0,0,1+COUNTIF(EW$3:EW312,"&gt;0"))</f>
        <v>0</v>
      </c>
      <c r="EX313" t="str">
        <f t="shared" si="271"/>
        <v/>
      </c>
      <c r="EY313" t="str">
        <f t="shared" si="248"/>
        <v/>
      </c>
      <c r="FA313">
        <f t="shared" si="249"/>
        <v>0</v>
      </c>
      <c r="FB313">
        <f>IF(FA313=0,0,1+COUNTIF(FB$3:FB312,"&gt;0"))</f>
        <v>0</v>
      </c>
      <c r="FC313" t="str">
        <f t="shared" si="272"/>
        <v/>
      </c>
      <c r="FD313" t="str">
        <f t="shared" si="250"/>
        <v/>
      </c>
      <c r="FF313">
        <f t="shared" si="251"/>
        <v>0</v>
      </c>
      <c r="FG313">
        <f>IF(FF313=0,0,1+COUNTIF(FG$3:FG312,"&gt;0"))</f>
        <v>0</v>
      </c>
      <c r="FH313" t="str">
        <f t="shared" si="273"/>
        <v/>
      </c>
      <c r="FI313" t="str">
        <f t="shared" si="252"/>
        <v/>
      </c>
      <c r="FK313">
        <f t="shared" si="253"/>
        <v>0</v>
      </c>
      <c r="FL313">
        <f>IF(FK313=0,0,1+COUNTIF(FL$3:FL312,"&gt;0"))</f>
        <v>0</v>
      </c>
      <c r="FM313" t="str">
        <f t="shared" si="274"/>
        <v/>
      </c>
      <c r="FN313" t="str">
        <f t="shared" si="254"/>
        <v/>
      </c>
      <c r="FP313">
        <f t="shared" si="255"/>
        <v>0</v>
      </c>
      <c r="FQ313">
        <f>IF(FP313=0,0,1+COUNTIF(FQ$3:FQ312,"&gt;0"))</f>
        <v>0</v>
      </c>
      <c r="FR313" t="str">
        <f t="shared" si="275"/>
        <v/>
      </c>
      <c r="FS313" t="str">
        <f t="shared" si="256"/>
        <v/>
      </c>
    </row>
    <row r="314" spans="1:175" x14ac:dyDescent="0.25">
      <c r="A314" s="347">
        <f t="shared" si="276"/>
        <v>312</v>
      </c>
      <c r="B314" s="348" t="s">
        <v>2708</v>
      </c>
      <c r="C314" s="348">
        <v>2</v>
      </c>
      <c r="D314" s="347">
        <v>2</v>
      </c>
      <c r="E314" s="627" t="s">
        <v>6952</v>
      </c>
      <c r="F314" s="346"/>
      <c r="G314" s="347" t="str">
        <f>""</f>
        <v/>
      </c>
      <c r="H314" s="347" t="s">
        <v>5918</v>
      </c>
      <c r="I314" s="347" t="s">
        <v>424</v>
      </c>
      <c r="J314" s="347" t="str">
        <f t="shared" si="226"/>
        <v/>
      </c>
      <c r="K314" s="347" t="s">
        <v>5288</v>
      </c>
      <c r="L314" s="611" t="str">
        <f t="shared" si="227"/>
        <v>V, S</v>
      </c>
      <c r="M314" s="347" t="s">
        <v>2373</v>
      </c>
      <c r="N314" s="347" t="s">
        <v>2387</v>
      </c>
      <c r="O314" s="347" t="s">
        <v>3034</v>
      </c>
      <c r="P314" s="346" t="str">
        <f>""</f>
        <v/>
      </c>
      <c r="Q314" s="347" t="s">
        <v>5273</v>
      </c>
      <c r="S314" s="346" t="s">
        <v>5830</v>
      </c>
      <c r="T314" s="346" t="str">
        <f t="shared" si="228"/>
        <v xml:space="preserve">Cleric, Life, War, </v>
      </c>
      <c r="Z314" s="347" t="str">
        <f>$B314</f>
        <v>Spiritual Weapon</v>
      </c>
      <c r="AE314" t="str">
        <f>IF(IFERROR(MATCH($B314,temp!A$4:A$13,0),0)&gt;0,T08_Spells!AE$2,"")</f>
        <v/>
      </c>
      <c r="AF314" t="str">
        <f>IF(IFERROR(MATCH($B314,temp!B$4:B$13,0),0)&gt;0,T08_Spells!AF$2,"")</f>
        <v/>
      </c>
      <c r="AG314" t="str">
        <f>IF(IFERROR(MATCH($B314,temp!C$4:C$13,0),0)&gt;0,T08_Spells!AG$2,"")</f>
        <v/>
      </c>
      <c r="AH314" t="str">
        <f>IF(IFERROR(MATCH($B314,temp!D$4:D$13,0),0)&gt;0,T08_Spells!AH$2,"")</f>
        <v/>
      </c>
      <c r="AI314" t="str">
        <f>IF(IFERROR(MATCH($B314,temp!E$4:E$13,0),0)&gt;0,T08_Spells!AI$2,"")</f>
        <v/>
      </c>
      <c r="AJ314" t="str">
        <f>IF(IFERROR(MATCH($B314,temp!F$4:F$13,0),0)&gt;0,T08_Spells!AJ$2,"")</f>
        <v/>
      </c>
      <c r="AK314" t="str">
        <f>IF(IFERROR(MATCH($B314,temp!G$4:G$13,0),0)&gt;0,T08_Spells!AK$2,"")</f>
        <v/>
      </c>
      <c r="AL314" t="str">
        <f>IF(IFERROR(MATCH($B314,temp!H$4:H$13,0),0)&gt;0,T08_Spells!AL$2,"")</f>
        <v/>
      </c>
      <c r="AM314" t="str">
        <f>IF(IFERROR(MATCH($B314,temp!I$4:I$13,0),0)&gt;0,T08_Spells!AM$2,"")</f>
        <v/>
      </c>
      <c r="AN314" t="str">
        <f>IF(IFERROR(MATCH($B314,temp!J$4:J$13,0),0)&gt;0,T08_Spells!AN$2,"")</f>
        <v/>
      </c>
      <c r="AO314" t="str">
        <f>IF(IFERROR(MATCH($B314,temp!K$4:K$13,0),0)&gt;0,T08_Spells!AO$2,"")</f>
        <v/>
      </c>
      <c r="AP314" t="str">
        <f>IF(IFERROR(MATCH($B314,temp!L$4:L$13,0),0)&gt;0,T08_Spells!AP$2,"")</f>
        <v/>
      </c>
      <c r="AQ314" t="str">
        <f>IF(IFERROR(MATCH($B314,temp!M$4:M$13,0),0)&gt;0,T08_Spells!AQ$2,"")</f>
        <v/>
      </c>
      <c r="AR314" t="str">
        <f>IF(IFERROR(MATCH($B314,temp!N$4:N$13,0),0)&gt;0,T08_Spells!AR$2,"")</f>
        <v/>
      </c>
      <c r="AS314" t="str">
        <f>IF(IFERROR(MATCH($B314,temp!O$4:O$13,0),0)&gt;0,T08_Spells!AS$2,"")</f>
        <v/>
      </c>
      <c r="AT314" t="str">
        <f>IF(IFERROR(MATCH($B314,temp!P$4:P$13,0),0)&gt;0,T08_Spells!AT$2,"")</f>
        <v/>
      </c>
      <c r="AU314" t="str">
        <f>IF(IFERROR(MATCH($B314,temp!Q$4:Q$13,0),0)&gt;0,T08_Spells!AU$2,"")</f>
        <v>Life</v>
      </c>
      <c r="AV314" t="str">
        <f>IF(IFERROR(MATCH($B314,temp!R$4:R$13,0),0)&gt;0,T08_Spells!AV$2,"")</f>
        <v/>
      </c>
      <c r="AW314" t="str">
        <f>IF(IFERROR(MATCH($B314,temp!S$4:S$13,0),0)&gt;0,T08_Spells!AW$2,"")</f>
        <v/>
      </c>
      <c r="AX314" t="str">
        <f>IF(IFERROR(MATCH($B314,temp!T$4:T$13,0),0)&gt;0,T08_Spells!AX$2,"")</f>
        <v/>
      </c>
      <c r="AY314" t="str">
        <f>IF(IFERROR(MATCH($B314,temp!U$4:U$13,0),0)&gt;0,T08_Spells!AY$2,"")</f>
        <v/>
      </c>
      <c r="AZ314" t="str">
        <f>IF(IFERROR(MATCH($B314,temp!V$4:V$13,0),0)&gt;0,T08_Spells!AZ$2,"")</f>
        <v>War</v>
      </c>
      <c r="BA314" t="str">
        <f>IF(IFERROR(MATCH($B314,temp!W$4:W$13,0),0)&gt;0,T08_Spells!BA$2,"")</f>
        <v/>
      </c>
      <c r="BC314">
        <f>IF(IFERROR(SEARCH("Ranger",$T314,1),0)&gt;0,1,0)*IF(RangerMaxSpellLevel&gt;=$C314,1,0)*IF(IFERROR(MATCH(B314,Character_Creation!$X$79:$X$382,0),0)&gt;0,0,1)</f>
        <v>0</v>
      </c>
      <c r="BD314">
        <f>IF(BC314=0,0,1+COUNTIF(BD$3:BD313,"&gt;0"))</f>
        <v>0</v>
      </c>
      <c r="BE314" t="str">
        <f t="shared" si="257"/>
        <v/>
      </c>
      <c r="BF314" t="str">
        <f t="shared" si="229"/>
        <v/>
      </c>
      <c r="BH314">
        <f>IF(IFERROR(SEARCH("Sorcerer",$T314,1),0)&gt;0,1,0)*IF(SorcererMaxSpellLevel&gt;=$C314,1,0)*IF(IFERROR(MATCH(B314,Character_Creation!$J$380:$J$394,0),0)&gt;0,0,1)</f>
        <v>0</v>
      </c>
      <c r="BI314">
        <f>IF(BH314=0,0,1+COUNTIF(BI$3:BI313,"&gt;0"))</f>
        <v>0</v>
      </c>
      <c r="BJ314" t="str">
        <f t="shared" si="258"/>
        <v/>
      </c>
      <c r="BK314" t="str">
        <f t="shared" si="230"/>
        <v/>
      </c>
      <c r="BM314">
        <f>IF(OR(IFERROR(SEARCH("Warlock",$T314,1),0)&gt;0,IFERROR(SEARCH(WarlockPatron,$T314,1),0)&gt;0),1,0)*IF(WarlockMaxSpellLevel&gt;=$C314,1,0)*IF(IFERROR(MATCH(B314,Character_Creation!$J$361:$J$375,0),0)&gt;0,0,1)</f>
        <v>0</v>
      </c>
      <c r="BN314">
        <f>IF(BM314=0,0,1+COUNTIF(BN$3:BN313,"&gt;0"))</f>
        <v>0</v>
      </c>
      <c r="BO314" t="str">
        <f t="shared" si="259"/>
        <v/>
      </c>
      <c r="BP314" t="str">
        <f t="shared" si="231"/>
        <v/>
      </c>
      <c r="BR314">
        <f>IF(IFERROR(SEARCH("Eldritch Knight",$T314,1),0)&gt;0,1,0)*IF(EldritchKnightMaxSpellLevel&gt;=$C314,1,0)*IF(IFERROR(MATCH($B314,Character_Creation!$J$350:$J$356,0),0)&gt;0,0,1)*IF(Character_Creation!$M$338&gt;0,1,0)</f>
        <v>0</v>
      </c>
      <c r="BS314">
        <f>IF(BR314=0,0,1+COUNTIF(BS$3:BS313,"&gt;0"))</f>
        <v>0</v>
      </c>
      <c r="BT314" t="str">
        <f t="shared" si="260"/>
        <v/>
      </c>
      <c r="BU314" t="str">
        <f t="shared" si="232"/>
        <v/>
      </c>
      <c r="BW314">
        <f>IF(IFERROR(SEARCH("Arcane Trickster",$T314,1),0)&gt;0,1,0)*IF(ArcaneTricksterMaxSpellLevel&gt;=$C314,1,0)*IF(IFERROR(MATCH($B314,Character_Creation!$J$350:$J$356,0),0)&gt;0,0,1)*IF(Character_Creation!$T$338&gt;0,1,0)</f>
        <v>0</v>
      </c>
      <c r="BX314">
        <f>IF(BW314=0,0,1+COUNTIF(BX$3:BX313,"&gt;0"))</f>
        <v>0</v>
      </c>
      <c r="BY314" t="str">
        <f t="shared" si="261"/>
        <v/>
      </c>
      <c r="BZ314" t="str">
        <f t="shared" si="233"/>
        <v/>
      </c>
      <c r="CB314">
        <f>IF(IFERROR(SEARCH("Wizard",$T314,1),0)&gt;0,1,0)*IF(C314&lt;=ArcaneTricksterMaxSpellLevel,1,0)*IF(IFERROR(MATCH($B314,Character_Creation!$J$350:$J$356,0),0)&gt;0,0,1)*IF(Character_Creation!$T$350&gt;0,1,0)</f>
        <v>0</v>
      </c>
      <c r="CC314">
        <f>IF(CB314=0,0,1+COUNTIF(CC$3:CC313,"&gt;0"))</f>
        <v>0</v>
      </c>
      <c r="CD314" t="str">
        <f t="shared" si="262"/>
        <v/>
      </c>
      <c r="CE314" t="str">
        <f t="shared" si="234"/>
        <v/>
      </c>
      <c r="CG314">
        <f>IF(IFERROR(SEARCH("Wizard",$T314,1),0)&gt;0,1,0)*IF($C314&lt;=EldritchKnightMaxSpellLevel,1,0)*IF(IFERROR(MATCH($B314,Character_Creation!$J$350:$J$356,0),0)&gt;0,0,1)*IF(Character_Creation!$M$350&gt;0,1,0)</f>
        <v>0</v>
      </c>
      <c r="CH314">
        <f>IF(CG314=0,0,1+COUNTIF(CH$3:CH313,"&gt;0"))</f>
        <v>0</v>
      </c>
      <c r="CI314" t="str">
        <f t="shared" si="263"/>
        <v/>
      </c>
      <c r="CJ314" t="str">
        <f t="shared" si="235"/>
        <v/>
      </c>
      <c r="CL314">
        <f>IF(IFERROR(SEARCH("Bard",$T314,1),0)&gt;0,1,0)*IF(BardMaxSpellLevel&gt;=$C314,1,0)*IF(IFERROR(MATCH(B314,Character_Creation!$C$341:$F$362,0),0)&gt;0,0,1)*IF(IFERROR(MATCH($B314,Character_Creation!$C$341:$C$362,0),0)&gt;0,0,1)</f>
        <v>0</v>
      </c>
      <c r="CM314">
        <f>IF(CL314=0,0,1+COUNTIF(CM$3:CM313,"&gt;0"))</f>
        <v>0</v>
      </c>
      <c r="CN314" t="str">
        <f t="shared" si="264"/>
        <v/>
      </c>
      <c r="CO314" t="str">
        <f t="shared" si="236"/>
        <v/>
      </c>
      <c r="CQ314">
        <f>IF(IFERROR(SEARCH("Wizard",$T314,1),0)&gt;0,1,0)*IF(WizardMaxSpellLevel&gt;=$C314,1,0)*IF(IFERROR(MATCH(B314,Character_Creation!$X$341:$X$400,0),0)&gt;0,0,1)*IF(SelectedWizardSpellLevel=$C314,1,0)</f>
        <v>0</v>
      </c>
      <c r="CR314">
        <f>IF(CQ314=0,0,1+COUNTIF(CR$3:CR313,"&gt;0"))</f>
        <v>0</v>
      </c>
      <c r="CS314" t="str">
        <f t="shared" si="265"/>
        <v/>
      </c>
      <c r="CT314" t="str">
        <f t="shared" si="237"/>
        <v/>
      </c>
      <c r="CV314">
        <f>IF(IFERROR(MATCH($B314,Character_Creation!$C$341:$C$362,0),0)&gt;0,0,1)*IF(OR(C314="Cantrip",C314&lt;=BardMaxSpellLevel),1,0)*IF(IFERROR(MATCH($B314,Character_Creation!$C$367:$C$374,0),0)&gt;0,0,1)</f>
        <v>0</v>
      </c>
      <c r="CW314">
        <f>IF(CV314=0,0,1+COUNTIF(CW$3:CW313,"&gt;0"))</f>
        <v>0</v>
      </c>
      <c r="CX314" t="str">
        <f t="shared" si="266"/>
        <v/>
      </c>
      <c r="CY314" t="str">
        <f t="shared" si="238"/>
        <v/>
      </c>
      <c r="DA314">
        <f>IF(IF(OR(IFERROR(SEARCH("Cleric",$T314,1),0)&gt;0,IFERROR(SEARCH(DivineDomain&amp;",",$T314,1),0)&gt;0),1,0)*IF($C314=DA$2,1,0)=1,1+COUNTIF(DA$3:DA313,"&gt;0"),0)</f>
        <v>0</v>
      </c>
      <c r="DB314">
        <f>IF(IF(OR(IFERROR(SEARCH("Cleric",$T314,1),0)&gt;0,IFERROR(SEARCH(DivineDomain&amp;",",$T314,1),0)&gt;0),1,0)*IF($C314=DB$2,1,0)=1,1+COUNTIF(DB$3:DB313,"&gt;0"),0)</f>
        <v>14</v>
      </c>
      <c r="DC314">
        <f>IF(IF(OR(IFERROR(SEARCH("Cleric",$T314,1),0)&gt;0,IFERROR(SEARCH(DivineDomain&amp;",",$T314,1),0)&gt;0),1,0)*IF($C314=DC$2,1,0)=1,1+COUNTIF(DC$3:DC313,"&gt;0"),0)</f>
        <v>0</v>
      </c>
      <c r="DD314">
        <f>IF(IF(OR(IFERROR(SEARCH("Cleric",$T314,1),0)&gt;0,IFERROR(SEARCH(DivineDomain&amp;",",$T314,1),0)&gt;0),1,0)*IF($C314=DD$2,1,0)=1,1+COUNTIF(DD$3:DD313,"&gt;0"),0)</f>
        <v>0</v>
      </c>
      <c r="DE314">
        <f>IF(IF(OR(IFERROR(SEARCH("Cleric",$T314,1),0)&gt;0,IFERROR(SEARCH(DivineDomain&amp;",",$T314,1),0)&gt;0),1,0)*IF($C314=DE$2,1,0)=1,1+COUNTIF(DE$3:DE313,"&gt;0"),0)</f>
        <v>0</v>
      </c>
      <c r="DF314">
        <f>IF(IF(OR(IFERROR(SEARCH("Cleric",$T314,1),0)&gt;0,IFERROR(SEARCH(DivineDomain&amp;",",$T314,1),0)&gt;0),1,0)*IF($C314=DF$2,1,0)=1,1+COUNTIF(DF$3:DF313,"&gt;0"),0)</f>
        <v>0</v>
      </c>
      <c r="DG314">
        <f>IF(IF(OR(IFERROR(SEARCH("Cleric",$T314,1),0)&gt;0,IFERROR(SEARCH(DivineDomain&amp;",",$T314,1),0)&gt;0),1,0)*IF($C314=DG$2,1,0)=1,1+COUNTIF(DG$3:DG313,"&gt;0"),0)</f>
        <v>0</v>
      </c>
      <c r="DH314">
        <f>IF(IF(OR(IFERROR(SEARCH("Cleric",$T314,1),0)&gt;0,IFERROR(SEARCH(DivineDomain&amp;",",$T314,1),0)&gt;0),1,0)*IF($C314=DH$2,1,0)=1,1+COUNTIF(DH$3:DH313,"&gt;0"),0)</f>
        <v>0</v>
      </c>
      <c r="DI314">
        <f>IF(IF(OR(IFERROR(SEARCH("Cleric",$T314,1),0)&gt;0,IFERROR(SEARCH(DivineDomain&amp;",",$T314,1),0)&gt;0),1,0)*IF($C314=DI$2,1,0)=1,1+COUNTIF(DI$3:DI313,"&gt;0"),0)</f>
        <v>0</v>
      </c>
      <c r="DJ314">
        <f>IF(IF(OR(IFERROR(SEARCH("Druid",$T314,1),0)&gt;0,IFERROR(SEARCH(DruidLand1,$T314,1),0)&gt;0,IFERROR(SEARCH(DruidLand2,$T314,1),0)&gt;0,IFERROR(SEARCH(DruidLand3,$T314,1),0)&gt;0,IFERROR(SEARCH(DruidLand4,$T314,1),0)&gt;0),1,0)*IF($C314=1,1,0)*IF($C314=DJ$2,1,0)=0,0,1+COUNTIF(DJ$3:DJ313,"&gt;0"))</f>
        <v>0</v>
      </c>
      <c r="DK314">
        <f>IF(IF(OR(IFERROR(SEARCH("Druid",$T314,1),0)&gt;0,IFERROR(SEARCH(DruidLand1,$T314,1),0)&gt;0,IFERROR(SEARCH(DruidLand2,$T314,1),0)&gt;0,IFERROR(SEARCH(DruidLand3,$T314,1),0)&gt;0,IFERROR(SEARCH(DruidLand4,$T314,1),0)&gt;0),1,0)*IF($C314=1,1,0)*IF($C314=DK$2,1,0)=0,0,1+COUNTIF(DK$3:DK313,"&gt;0"))</f>
        <v>0</v>
      </c>
      <c r="DL314">
        <f>IF(IF(OR(IFERROR(SEARCH("Druid",$T314,1),0)&gt;0,IFERROR(SEARCH(DruidLand1,$T314,1),0)&gt;0,IFERROR(SEARCH(DruidLand2,$T314,1),0)&gt;0,IFERROR(SEARCH(DruidLand3,$T314,1),0)&gt;0,IFERROR(SEARCH(DruidLand4,$T314,1),0)&gt;0),1,0)*IF($C314=1,1,0)*IF($C314=DL$2,1,0)=0,0,1+COUNTIF(DL$3:DL313,"&gt;0"))</f>
        <v>0</v>
      </c>
      <c r="DM314">
        <f>IF(IF(OR(IFERROR(SEARCH("Druid",$T314,1),0)&gt;0,IFERROR(SEARCH(DruidLand1,$T314,1),0)&gt;0,IFERROR(SEARCH(DruidLand2,$T314,1),0)&gt;0,IFERROR(SEARCH(DruidLand3,$T314,1),0)&gt;0,IFERROR(SEARCH(DruidLand4,$T314,1),0)&gt;0),1,0)*IF($C314=1,1,0)*IF($C314=DM$2,1,0)=0,0,1+COUNTIF(DM$3:DM313,"&gt;0"))</f>
        <v>0</v>
      </c>
      <c r="DN314">
        <f>IF(IF(OR(IFERROR(SEARCH("Druid",$T314,1),0)&gt;0,IFERROR(SEARCH(DruidLand1,$T314,1),0)&gt;0,IFERROR(SEARCH(DruidLand2,$T314,1),0)&gt;0,IFERROR(SEARCH(DruidLand3,$T314,1),0)&gt;0,IFERROR(SEARCH(DruidLand4,$T314,1),0)&gt;0),1,0)*IF($C314=1,1,0)*IF($C314=DN$2,1,0)=0,0,1+COUNTIF(DN$3:DN313,"&gt;0"))</f>
        <v>0</v>
      </c>
      <c r="DO314">
        <f>IF(IF(OR(IFERROR(SEARCH("Druid",$T314,1),0)&gt;0,IFERROR(SEARCH(DruidLand1,$T314,1),0)&gt;0,IFERROR(SEARCH(DruidLand2,$T314,1),0)&gt;0,IFERROR(SEARCH(DruidLand3,$T314,1),0)&gt;0,IFERROR(SEARCH(DruidLand4,$T314,1),0)&gt;0),1,0)*IF($C314=1,1,0)*IF($C314=DO$2,1,0)=0,0,1+COUNTIF(DO$3:DO313,"&gt;0"))</f>
        <v>0</v>
      </c>
      <c r="DP314">
        <f>IF(IF(OR(IFERROR(SEARCH("Druid",$T314,1),0)&gt;0,IFERROR(SEARCH(DruidLand1,$T314,1),0)&gt;0,IFERROR(SEARCH(DruidLand2,$T314,1),0)&gt;0,IFERROR(SEARCH(DruidLand3,$T314,1),0)&gt;0,IFERROR(SEARCH(DruidLand4,$T314,1),0)&gt;0),1,0)*IF($C314=1,1,0)*IF($C314=DP$2,1,0)=0,0,1+COUNTIF(DP$3:DP313,"&gt;0"))</f>
        <v>0</v>
      </c>
      <c r="DQ314">
        <f>IF(IF(OR(IFERROR(SEARCH("Druid",$T314,1),0)&gt;0,IFERROR(SEARCH(DruidLand1,$T314,1),0)&gt;0,IFERROR(SEARCH(DruidLand2,$T314,1),0)&gt;0,IFERROR(SEARCH(DruidLand3,$T314,1),0)&gt;0,IFERROR(SEARCH(DruidLand4,$T314,1),0)&gt;0),1,0)*IF($C314=1,1,0)*IF($C314=DQ$2,1,0)=0,0,1+COUNTIF(DQ$3:DQ313,"&gt;0"))</f>
        <v>0</v>
      </c>
      <c r="DR314">
        <f>IF(IF(OR(IFERROR(SEARCH("Druid",$T314,1),0)&gt;0,IFERROR(SEARCH(DruidLand1,$T314,1),0)&gt;0,IFERROR(SEARCH(DruidLand2,$T314,1),0)&gt;0,IFERROR(SEARCH(DruidLand3,$T314,1),0)&gt;0,IFERROR(SEARCH(DruidLand4,$T314,1),0)&gt;0),1,0)*IF($C314=1,1,0)*IF($C314=DR$2,1,0)=0,0,1+COUNTIF(DR$3:DR313,"&gt;0"))</f>
        <v>0</v>
      </c>
      <c r="DS314">
        <f>IF(IF(OR(IFERROR(SEARCH("Paladin",$T314,1),0)&gt;0,IFERROR(SEARCH(PaladinOath,$T314,1),0)&gt;0),1,0)*IF($C314=DS$2,1,0)=1,1+COUNTIF(DS$3:DS313,"&gt;0"),0)</f>
        <v>0</v>
      </c>
      <c r="DT314">
        <f>IF(IF(OR(IFERROR(SEARCH("Paladin",$T314,1),0)&gt;0,IFERROR(SEARCH(PaladinOath,$T314,1),0)&gt;0),1,0)*IF($C314=DT$2,1,0)=1,1+COUNTIF(DT$3:DT313,"&gt;0"),0)</f>
        <v>0</v>
      </c>
      <c r="DU314">
        <f>IF(IF(OR(IFERROR(SEARCH("Paladin",$T314,1),0)&gt;0,IFERROR(SEARCH(PaladinOath,$T314,1),0)&gt;0),1,0)*IF($C314=DU$2,1,0)=1,1+COUNTIF(DU$3:DU313,"&gt;0"),0)</f>
        <v>0</v>
      </c>
      <c r="DV314">
        <f>IF(IF(OR(IFERROR(SEARCH("Paladin",$T314,1),0)&gt;0,IFERROR(SEARCH(PaladinOath,$T314,1),0)&gt;0),1,0)*IF($C314=DV$2,1,0)=1,1+COUNTIF(DV$3:DV313,"&gt;0"),0)</f>
        <v>0</v>
      </c>
      <c r="DW314">
        <f>IF(IF(OR(IFERROR(SEARCH("Paladin",$T314,1),0)&gt;0,IFERROR(SEARCH(PaladinOath,$T314,1),0)&gt;0),1,0)*IF($C314=DW$2,1,0)=1,1+COUNTIF(DW$3:DW313,"&gt;0"),0)</f>
        <v>0</v>
      </c>
      <c r="DY314">
        <f t="shared" si="225"/>
        <v>1</v>
      </c>
      <c r="DZ314">
        <f>IF(DY314=0,0,1+MAX(DZ$3:$DZ313))</f>
        <v>312</v>
      </c>
      <c r="EB314">
        <f t="shared" si="239"/>
        <v>0</v>
      </c>
      <c r="EC314">
        <f>IF(EB314=0,0,1+COUNTIF(EC$3:EC313,"&gt;0"))</f>
        <v>0</v>
      </c>
      <c r="ED314" t="str">
        <f t="shared" si="267"/>
        <v/>
      </c>
      <c r="EE314" t="str">
        <f t="shared" si="240"/>
        <v/>
      </c>
      <c r="EG314">
        <f t="shared" si="241"/>
        <v>0</v>
      </c>
      <c r="EH314">
        <f>IF(EG314=0,0,1+COUNTIF(EH$3:EH313,"&gt;0"))</f>
        <v>0</v>
      </c>
      <c r="EI314" t="str">
        <f t="shared" si="268"/>
        <v/>
      </c>
      <c r="EJ314" t="str">
        <f t="shared" si="242"/>
        <v/>
      </c>
      <c r="EL314">
        <f t="shared" si="243"/>
        <v>0</v>
      </c>
      <c r="EM314">
        <f>IF(EL314=0,0,1+COUNTIF(EM$3:EM313,"&gt;0"))</f>
        <v>0</v>
      </c>
      <c r="EN314" t="str">
        <f t="shared" si="269"/>
        <v/>
      </c>
      <c r="EO314" t="str">
        <f t="shared" si="244"/>
        <v/>
      </c>
      <c r="EQ314">
        <f t="shared" si="245"/>
        <v>0</v>
      </c>
      <c r="ER314">
        <f>IF(EQ314=0,0,1+COUNTIF(ER$3:ER313,"&gt;0"))</f>
        <v>0</v>
      </c>
      <c r="ES314" t="str">
        <f t="shared" si="270"/>
        <v/>
      </c>
      <c r="ET314" t="str">
        <f t="shared" si="246"/>
        <v/>
      </c>
      <c r="EV314">
        <f t="shared" si="247"/>
        <v>0</v>
      </c>
      <c r="EW314">
        <f>IF(EV314=0,0,1+COUNTIF(EW$3:EW313,"&gt;0"))</f>
        <v>0</v>
      </c>
      <c r="EX314" t="str">
        <f t="shared" si="271"/>
        <v/>
      </c>
      <c r="EY314" t="str">
        <f t="shared" si="248"/>
        <v/>
      </c>
      <c r="FA314">
        <f t="shared" si="249"/>
        <v>0</v>
      </c>
      <c r="FB314">
        <f>IF(FA314=0,0,1+COUNTIF(FB$3:FB313,"&gt;0"))</f>
        <v>0</v>
      </c>
      <c r="FC314" t="str">
        <f t="shared" si="272"/>
        <v/>
      </c>
      <c r="FD314" t="str">
        <f t="shared" si="250"/>
        <v/>
      </c>
      <c r="FF314">
        <f t="shared" si="251"/>
        <v>0</v>
      </c>
      <c r="FG314">
        <f>IF(FF314=0,0,1+COUNTIF(FG$3:FG313,"&gt;0"))</f>
        <v>0</v>
      </c>
      <c r="FH314" t="str">
        <f t="shared" si="273"/>
        <v/>
      </c>
      <c r="FI314" t="str">
        <f t="shared" si="252"/>
        <v/>
      </c>
      <c r="FK314">
        <f t="shared" si="253"/>
        <v>0</v>
      </c>
      <c r="FL314">
        <f>IF(FK314=0,0,1+COUNTIF(FL$3:FL313,"&gt;0"))</f>
        <v>0</v>
      </c>
      <c r="FM314" t="str">
        <f t="shared" si="274"/>
        <v/>
      </c>
      <c r="FN314" t="str">
        <f t="shared" si="254"/>
        <v/>
      </c>
      <c r="FP314">
        <f t="shared" si="255"/>
        <v>0</v>
      </c>
      <c r="FQ314">
        <f>IF(FP314=0,0,1+COUNTIF(FQ$3:FQ313,"&gt;0"))</f>
        <v>0</v>
      </c>
      <c r="FR314" t="str">
        <f t="shared" si="275"/>
        <v/>
      </c>
      <c r="FS314" t="str">
        <f t="shared" si="256"/>
        <v/>
      </c>
    </row>
    <row r="315" spans="1:175" x14ac:dyDescent="0.25">
      <c r="A315" s="347">
        <f t="shared" si="276"/>
        <v>313</v>
      </c>
      <c r="B315" s="348" t="s">
        <v>2709</v>
      </c>
      <c r="C315" s="348">
        <v>4</v>
      </c>
      <c r="D315" s="347">
        <v>4</v>
      </c>
      <c r="E315" s="627" t="s">
        <v>6952</v>
      </c>
      <c r="F315" s="346"/>
      <c r="G315" s="347" t="str">
        <f>""</f>
        <v/>
      </c>
      <c r="H315" s="347" t="s">
        <v>5918</v>
      </c>
      <c r="I315" s="347" t="s">
        <v>5283</v>
      </c>
      <c r="J315" s="347" t="str">
        <f t="shared" si="226"/>
        <v/>
      </c>
      <c r="K315" s="347" t="s">
        <v>5291</v>
      </c>
      <c r="L315" s="611" t="str">
        <f t="shared" si="227"/>
        <v>V</v>
      </c>
      <c r="M315" s="347" t="s">
        <v>2373</v>
      </c>
      <c r="N315" s="347" t="s">
        <v>3034</v>
      </c>
      <c r="O315" s="347" t="s">
        <v>3034</v>
      </c>
      <c r="Q315" s="347" t="s">
        <v>5273</v>
      </c>
      <c r="S315" s="346" t="s">
        <v>2710</v>
      </c>
      <c r="T315" s="346" t="str">
        <f t="shared" si="228"/>
        <v xml:space="preserve">Paladin, </v>
      </c>
      <c r="V315" s="347" t="str">
        <f>$B315</f>
        <v>Staggering Smite</v>
      </c>
      <c r="AE315" t="str">
        <f>IF(IFERROR(MATCH($B315,temp!A$4:A$13,0),0)&gt;0,T08_Spells!AE$2,"")</f>
        <v/>
      </c>
      <c r="AF315" t="str">
        <f>IF(IFERROR(MATCH($B315,temp!B$4:B$13,0),0)&gt;0,T08_Spells!AF$2,"")</f>
        <v/>
      </c>
      <c r="AG315" t="str">
        <f>IF(IFERROR(MATCH($B315,temp!C$4:C$13,0),0)&gt;0,T08_Spells!AG$2,"")</f>
        <v/>
      </c>
      <c r="AH315" t="str">
        <f>IF(IFERROR(MATCH($B315,temp!D$4:D$13,0),0)&gt;0,T08_Spells!AH$2,"")</f>
        <v/>
      </c>
      <c r="AI315" t="str">
        <f>IF(IFERROR(MATCH($B315,temp!E$4:E$13,0),0)&gt;0,T08_Spells!AI$2,"")</f>
        <v/>
      </c>
      <c r="AJ315" t="str">
        <f>IF(IFERROR(MATCH($B315,temp!F$4:F$13,0),0)&gt;0,T08_Spells!AJ$2,"")</f>
        <v/>
      </c>
      <c r="AK315" t="str">
        <f>IF(IFERROR(MATCH($B315,temp!G$4:G$13,0),0)&gt;0,T08_Spells!AK$2,"")</f>
        <v/>
      </c>
      <c r="AL315" t="str">
        <f>IF(IFERROR(MATCH($B315,temp!H$4:H$13,0),0)&gt;0,T08_Spells!AL$2,"")</f>
        <v/>
      </c>
      <c r="AM315" t="str">
        <f>IF(IFERROR(MATCH($B315,temp!I$4:I$13,0),0)&gt;0,T08_Spells!AM$2,"")</f>
        <v/>
      </c>
      <c r="AN315" t="str">
        <f>IF(IFERROR(MATCH($B315,temp!J$4:J$13,0),0)&gt;0,T08_Spells!AN$2,"")</f>
        <v/>
      </c>
      <c r="AO315" t="str">
        <f>IF(IFERROR(MATCH($B315,temp!K$4:K$13,0),0)&gt;0,T08_Spells!AO$2,"")</f>
        <v/>
      </c>
      <c r="AP315" t="str">
        <f>IF(IFERROR(MATCH($B315,temp!L$4:L$13,0),0)&gt;0,T08_Spells!AP$2,"")</f>
        <v/>
      </c>
      <c r="AQ315" t="str">
        <f>IF(IFERROR(MATCH($B315,temp!M$4:M$13,0),0)&gt;0,T08_Spells!AQ$2,"")</f>
        <v/>
      </c>
      <c r="AR315" t="str">
        <f>IF(IFERROR(MATCH($B315,temp!N$4:N$13,0),0)&gt;0,T08_Spells!AR$2,"")</f>
        <v/>
      </c>
      <c r="AS315" t="str">
        <f>IF(IFERROR(MATCH($B315,temp!O$4:O$13,0),0)&gt;0,T08_Spells!AS$2,"")</f>
        <v/>
      </c>
      <c r="AT315" t="str">
        <f>IF(IFERROR(MATCH($B315,temp!P$4:P$13,0),0)&gt;0,T08_Spells!AT$2,"")</f>
        <v/>
      </c>
      <c r="AU315" t="str">
        <f>IF(IFERROR(MATCH($B315,temp!Q$4:Q$13,0),0)&gt;0,T08_Spells!AU$2,"")</f>
        <v/>
      </c>
      <c r="AV315" t="str">
        <f>IF(IFERROR(MATCH($B315,temp!R$4:R$13,0),0)&gt;0,T08_Spells!AV$2,"")</f>
        <v/>
      </c>
      <c r="AW315" t="str">
        <f>IF(IFERROR(MATCH($B315,temp!S$4:S$13,0),0)&gt;0,T08_Spells!AW$2,"")</f>
        <v/>
      </c>
      <c r="AX315" t="str">
        <f>IF(IFERROR(MATCH($B315,temp!T$4:T$13,0),0)&gt;0,T08_Spells!AX$2,"")</f>
        <v/>
      </c>
      <c r="AY315" t="str">
        <f>IF(IFERROR(MATCH($B315,temp!U$4:U$13,0),0)&gt;0,T08_Spells!AY$2,"")</f>
        <v/>
      </c>
      <c r="AZ315" t="str">
        <f>IF(IFERROR(MATCH($B315,temp!V$4:V$13,0),0)&gt;0,T08_Spells!AZ$2,"")</f>
        <v/>
      </c>
      <c r="BA315" t="str">
        <f>IF(IFERROR(MATCH($B315,temp!W$4:W$13,0),0)&gt;0,T08_Spells!BA$2,"")</f>
        <v/>
      </c>
      <c r="BC315">
        <f>IF(IFERROR(SEARCH("Ranger",$T315,1),0)&gt;0,1,0)*IF(RangerMaxSpellLevel&gt;=$C315,1,0)*IF(IFERROR(MATCH(B315,Character_Creation!$X$79:$X$382,0),0)&gt;0,0,1)</f>
        <v>0</v>
      </c>
      <c r="BD315">
        <f>IF(BC315=0,0,1+COUNTIF(BD$3:BD314,"&gt;0"))</f>
        <v>0</v>
      </c>
      <c r="BE315" t="str">
        <f t="shared" si="257"/>
        <v/>
      </c>
      <c r="BF315" t="str">
        <f t="shared" si="229"/>
        <v/>
      </c>
      <c r="BH315">
        <f>IF(IFERROR(SEARCH("Sorcerer",$T315,1),0)&gt;0,1,0)*IF(SorcererMaxSpellLevel&gt;=$C315,1,0)*IF(IFERROR(MATCH(B315,Character_Creation!$J$380:$J$394,0),0)&gt;0,0,1)</f>
        <v>0</v>
      </c>
      <c r="BI315">
        <f>IF(BH315=0,0,1+COUNTIF(BI$3:BI314,"&gt;0"))</f>
        <v>0</v>
      </c>
      <c r="BJ315" t="str">
        <f t="shared" si="258"/>
        <v/>
      </c>
      <c r="BK315" t="str">
        <f t="shared" si="230"/>
        <v/>
      </c>
      <c r="BM315">
        <f>IF(OR(IFERROR(SEARCH("Warlock",$T315,1),0)&gt;0,IFERROR(SEARCH(WarlockPatron,$T315,1),0)&gt;0),1,0)*IF(WarlockMaxSpellLevel&gt;=$C315,1,0)*IF(IFERROR(MATCH(B315,Character_Creation!$J$361:$J$375,0),0)&gt;0,0,1)</f>
        <v>0</v>
      </c>
      <c r="BN315">
        <f>IF(BM315=0,0,1+COUNTIF(BN$3:BN314,"&gt;0"))</f>
        <v>0</v>
      </c>
      <c r="BO315" t="str">
        <f t="shared" si="259"/>
        <v/>
      </c>
      <c r="BP315" t="str">
        <f t="shared" si="231"/>
        <v/>
      </c>
      <c r="BR315">
        <f>IF(IFERROR(SEARCH("Eldritch Knight",$T315,1),0)&gt;0,1,0)*IF(EldritchKnightMaxSpellLevel&gt;=$C315,1,0)*IF(IFERROR(MATCH($B315,Character_Creation!$J$350:$J$356,0),0)&gt;0,0,1)*IF(Character_Creation!$M$338&gt;0,1,0)</f>
        <v>0</v>
      </c>
      <c r="BS315">
        <f>IF(BR315=0,0,1+COUNTIF(BS$3:BS314,"&gt;0"))</f>
        <v>0</v>
      </c>
      <c r="BT315" t="str">
        <f t="shared" si="260"/>
        <v/>
      </c>
      <c r="BU315" t="str">
        <f t="shared" si="232"/>
        <v/>
      </c>
      <c r="BW315">
        <f>IF(IFERROR(SEARCH("Arcane Trickster",$T315,1),0)&gt;0,1,0)*IF(ArcaneTricksterMaxSpellLevel&gt;=$C315,1,0)*IF(IFERROR(MATCH($B315,Character_Creation!$J$350:$J$356,0),0)&gt;0,0,1)*IF(Character_Creation!$T$338&gt;0,1,0)</f>
        <v>0</v>
      </c>
      <c r="BX315">
        <f>IF(BW315=0,0,1+COUNTIF(BX$3:BX314,"&gt;0"))</f>
        <v>0</v>
      </c>
      <c r="BY315" t="str">
        <f t="shared" si="261"/>
        <v/>
      </c>
      <c r="BZ315" t="str">
        <f t="shared" si="233"/>
        <v/>
      </c>
      <c r="CB315">
        <f>IF(IFERROR(SEARCH("Wizard",$T315,1),0)&gt;0,1,0)*IF(C315&lt;=ArcaneTricksterMaxSpellLevel,1,0)*IF(IFERROR(MATCH($B315,Character_Creation!$J$350:$J$356,0),0)&gt;0,0,1)*IF(Character_Creation!$T$350&gt;0,1,0)</f>
        <v>0</v>
      </c>
      <c r="CC315">
        <f>IF(CB315=0,0,1+COUNTIF(CC$3:CC314,"&gt;0"))</f>
        <v>0</v>
      </c>
      <c r="CD315" t="str">
        <f t="shared" si="262"/>
        <v/>
      </c>
      <c r="CE315" t="str">
        <f t="shared" si="234"/>
        <v/>
      </c>
      <c r="CG315">
        <f>IF(IFERROR(SEARCH("Wizard",$T315,1),0)&gt;0,1,0)*IF($C315&lt;=EldritchKnightMaxSpellLevel,1,0)*IF(IFERROR(MATCH($B315,Character_Creation!$J$350:$J$356,0),0)&gt;0,0,1)*IF(Character_Creation!$M$350&gt;0,1,0)</f>
        <v>0</v>
      </c>
      <c r="CH315">
        <f>IF(CG315=0,0,1+COUNTIF(CH$3:CH314,"&gt;0"))</f>
        <v>0</v>
      </c>
      <c r="CI315" t="str">
        <f t="shared" si="263"/>
        <v/>
      </c>
      <c r="CJ315" t="str">
        <f t="shared" si="235"/>
        <v/>
      </c>
      <c r="CL315">
        <f>IF(IFERROR(SEARCH("Bard",$T315,1),0)&gt;0,1,0)*IF(BardMaxSpellLevel&gt;=$C315,1,0)*IF(IFERROR(MATCH(B315,Character_Creation!$C$341:$F$362,0),0)&gt;0,0,1)*IF(IFERROR(MATCH($B315,Character_Creation!$C$341:$C$362,0),0)&gt;0,0,1)</f>
        <v>0</v>
      </c>
      <c r="CM315">
        <f>IF(CL315=0,0,1+COUNTIF(CM$3:CM314,"&gt;0"))</f>
        <v>0</v>
      </c>
      <c r="CN315" t="str">
        <f t="shared" si="264"/>
        <v/>
      </c>
      <c r="CO315" t="str">
        <f t="shared" si="236"/>
        <v/>
      </c>
      <c r="CQ315">
        <f>IF(IFERROR(SEARCH("Wizard",$T315,1),0)&gt;0,1,0)*IF(WizardMaxSpellLevel&gt;=$C315,1,0)*IF(IFERROR(MATCH(B315,Character_Creation!$X$341:$X$400,0),0)&gt;0,0,1)*IF(SelectedWizardSpellLevel=$C315,1,0)</f>
        <v>0</v>
      </c>
      <c r="CR315">
        <f>IF(CQ315=0,0,1+COUNTIF(CR$3:CR314,"&gt;0"))</f>
        <v>0</v>
      </c>
      <c r="CS315" t="str">
        <f t="shared" si="265"/>
        <v/>
      </c>
      <c r="CT315" t="str">
        <f t="shared" si="237"/>
        <v/>
      </c>
      <c r="CV315">
        <f>IF(IFERROR(MATCH($B315,Character_Creation!$C$341:$C$362,0),0)&gt;0,0,1)*IF(OR(C315="Cantrip",C315&lt;=BardMaxSpellLevel),1,0)*IF(IFERROR(MATCH($B315,Character_Creation!$C$367:$C$374,0),0)&gt;0,0,1)</f>
        <v>0</v>
      </c>
      <c r="CW315">
        <f>IF(CV315=0,0,1+COUNTIF(CW$3:CW314,"&gt;0"))</f>
        <v>0</v>
      </c>
      <c r="CX315" t="str">
        <f t="shared" si="266"/>
        <v/>
      </c>
      <c r="CY315" t="str">
        <f t="shared" si="238"/>
        <v/>
      </c>
      <c r="DA315">
        <f>IF(IF(OR(IFERROR(SEARCH("Cleric",$T315,1),0)&gt;0,IFERROR(SEARCH(DivineDomain&amp;",",$T315,1),0)&gt;0),1,0)*IF($C315=DA$2,1,0)=1,1+COUNTIF(DA$3:DA314,"&gt;0"),0)</f>
        <v>0</v>
      </c>
      <c r="DB315">
        <f>IF(IF(OR(IFERROR(SEARCH("Cleric",$T315,1),0)&gt;0,IFERROR(SEARCH(DivineDomain&amp;",",$T315,1),0)&gt;0),1,0)*IF($C315=DB$2,1,0)=1,1+COUNTIF(DB$3:DB314,"&gt;0"),0)</f>
        <v>0</v>
      </c>
      <c r="DC315">
        <f>IF(IF(OR(IFERROR(SEARCH("Cleric",$T315,1),0)&gt;0,IFERROR(SEARCH(DivineDomain&amp;",",$T315,1),0)&gt;0),1,0)*IF($C315=DC$2,1,0)=1,1+COUNTIF(DC$3:DC314,"&gt;0"),0)</f>
        <v>0</v>
      </c>
      <c r="DD315">
        <f>IF(IF(OR(IFERROR(SEARCH("Cleric",$T315,1),0)&gt;0,IFERROR(SEARCH(DivineDomain&amp;",",$T315,1),0)&gt;0),1,0)*IF($C315=DD$2,1,0)=1,1+COUNTIF(DD$3:DD314,"&gt;0"),0)</f>
        <v>0</v>
      </c>
      <c r="DE315">
        <f>IF(IF(OR(IFERROR(SEARCH("Cleric",$T315,1),0)&gt;0,IFERROR(SEARCH(DivineDomain&amp;",",$T315,1),0)&gt;0),1,0)*IF($C315=DE$2,1,0)=1,1+COUNTIF(DE$3:DE314,"&gt;0"),0)</f>
        <v>0</v>
      </c>
      <c r="DF315">
        <f>IF(IF(OR(IFERROR(SEARCH("Cleric",$T315,1),0)&gt;0,IFERROR(SEARCH(DivineDomain&amp;",",$T315,1),0)&gt;0),1,0)*IF($C315=DF$2,1,0)=1,1+COUNTIF(DF$3:DF314,"&gt;0"),0)</f>
        <v>0</v>
      </c>
      <c r="DG315">
        <f>IF(IF(OR(IFERROR(SEARCH("Cleric",$T315,1),0)&gt;0,IFERROR(SEARCH(DivineDomain&amp;",",$T315,1),0)&gt;0),1,0)*IF($C315=DG$2,1,0)=1,1+COUNTIF(DG$3:DG314,"&gt;0"),0)</f>
        <v>0</v>
      </c>
      <c r="DH315">
        <f>IF(IF(OR(IFERROR(SEARCH("Cleric",$T315,1),0)&gt;0,IFERROR(SEARCH(DivineDomain&amp;",",$T315,1),0)&gt;0),1,0)*IF($C315=DH$2,1,0)=1,1+COUNTIF(DH$3:DH314,"&gt;0"),0)</f>
        <v>0</v>
      </c>
      <c r="DI315">
        <f>IF(IF(OR(IFERROR(SEARCH("Cleric",$T315,1),0)&gt;0,IFERROR(SEARCH(DivineDomain&amp;",",$T315,1),0)&gt;0),1,0)*IF($C315=DI$2,1,0)=1,1+COUNTIF(DI$3:DI314,"&gt;0"),0)</f>
        <v>0</v>
      </c>
      <c r="DJ315">
        <f>IF(IF(OR(IFERROR(SEARCH("Druid",$T315,1),0)&gt;0,IFERROR(SEARCH(DruidLand1,$T315,1),0)&gt;0,IFERROR(SEARCH(DruidLand2,$T315,1),0)&gt;0,IFERROR(SEARCH(DruidLand3,$T315,1),0)&gt;0,IFERROR(SEARCH(DruidLand4,$T315,1),0)&gt;0),1,0)*IF($C315=1,1,0)*IF($C315=DJ$2,1,0)=0,0,1+COUNTIF(DJ$3:DJ314,"&gt;0"))</f>
        <v>0</v>
      </c>
      <c r="DK315">
        <f>IF(IF(OR(IFERROR(SEARCH("Druid",$T315,1),0)&gt;0,IFERROR(SEARCH(DruidLand1,$T315,1),0)&gt;0,IFERROR(SEARCH(DruidLand2,$T315,1),0)&gt;0,IFERROR(SEARCH(DruidLand3,$T315,1),0)&gt;0,IFERROR(SEARCH(DruidLand4,$T315,1),0)&gt;0),1,0)*IF($C315=1,1,0)*IF($C315=DK$2,1,0)=0,0,1+COUNTIF(DK$3:DK314,"&gt;0"))</f>
        <v>0</v>
      </c>
      <c r="DL315">
        <f>IF(IF(OR(IFERROR(SEARCH("Druid",$T315,1),0)&gt;0,IFERROR(SEARCH(DruidLand1,$T315,1),0)&gt;0,IFERROR(SEARCH(DruidLand2,$T315,1),0)&gt;0,IFERROR(SEARCH(DruidLand3,$T315,1),0)&gt;0,IFERROR(SEARCH(DruidLand4,$T315,1),0)&gt;0),1,0)*IF($C315=1,1,0)*IF($C315=DL$2,1,0)=0,0,1+COUNTIF(DL$3:DL314,"&gt;0"))</f>
        <v>0</v>
      </c>
      <c r="DM315">
        <f>IF(IF(OR(IFERROR(SEARCH("Druid",$T315,1),0)&gt;0,IFERROR(SEARCH(DruidLand1,$T315,1),0)&gt;0,IFERROR(SEARCH(DruidLand2,$T315,1),0)&gt;0,IFERROR(SEARCH(DruidLand3,$T315,1),0)&gt;0,IFERROR(SEARCH(DruidLand4,$T315,1),0)&gt;0),1,0)*IF($C315=1,1,0)*IF($C315=DM$2,1,0)=0,0,1+COUNTIF(DM$3:DM314,"&gt;0"))</f>
        <v>0</v>
      </c>
      <c r="DN315">
        <f>IF(IF(OR(IFERROR(SEARCH("Druid",$T315,1),0)&gt;0,IFERROR(SEARCH(DruidLand1,$T315,1),0)&gt;0,IFERROR(SEARCH(DruidLand2,$T315,1),0)&gt;0,IFERROR(SEARCH(DruidLand3,$T315,1),0)&gt;0,IFERROR(SEARCH(DruidLand4,$T315,1),0)&gt;0),1,0)*IF($C315=1,1,0)*IF($C315=DN$2,1,0)=0,0,1+COUNTIF(DN$3:DN314,"&gt;0"))</f>
        <v>0</v>
      </c>
      <c r="DO315">
        <f>IF(IF(OR(IFERROR(SEARCH("Druid",$T315,1),0)&gt;0,IFERROR(SEARCH(DruidLand1,$T315,1),0)&gt;0,IFERROR(SEARCH(DruidLand2,$T315,1),0)&gt;0,IFERROR(SEARCH(DruidLand3,$T315,1),0)&gt;0,IFERROR(SEARCH(DruidLand4,$T315,1),0)&gt;0),1,0)*IF($C315=1,1,0)*IF($C315=DO$2,1,0)=0,0,1+COUNTIF(DO$3:DO314,"&gt;0"))</f>
        <v>0</v>
      </c>
      <c r="DP315">
        <f>IF(IF(OR(IFERROR(SEARCH("Druid",$T315,1),0)&gt;0,IFERROR(SEARCH(DruidLand1,$T315,1),0)&gt;0,IFERROR(SEARCH(DruidLand2,$T315,1),0)&gt;0,IFERROR(SEARCH(DruidLand3,$T315,1),0)&gt;0,IFERROR(SEARCH(DruidLand4,$T315,1),0)&gt;0),1,0)*IF($C315=1,1,0)*IF($C315=DP$2,1,0)=0,0,1+COUNTIF(DP$3:DP314,"&gt;0"))</f>
        <v>0</v>
      </c>
      <c r="DQ315">
        <f>IF(IF(OR(IFERROR(SEARCH("Druid",$T315,1),0)&gt;0,IFERROR(SEARCH(DruidLand1,$T315,1),0)&gt;0,IFERROR(SEARCH(DruidLand2,$T315,1),0)&gt;0,IFERROR(SEARCH(DruidLand3,$T315,1),0)&gt;0,IFERROR(SEARCH(DruidLand4,$T315,1),0)&gt;0),1,0)*IF($C315=1,1,0)*IF($C315=DQ$2,1,0)=0,0,1+COUNTIF(DQ$3:DQ314,"&gt;0"))</f>
        <v>0</v>
      </c>
      <c r="DR315">
        <f>IF(IF(OR(IFERROR(SEARCH("Druid",$T315,1),0)&gt;0,IFERROR(SEARCH(DruidLand1,$T315,1),0)&gt;0,IFERROR(SEARCH(DruidLand2,$T315,1),0)&gt;0,IFERROR(SEARCH(DruidLand3,$T315,1),0)&gt;0,IFERROR(SEARCH(DruidLand4,$T315,1),0)&gt;0),1,0)*IF($C315=1,1,0)*IF($C315=DR$2,1,0)=0,0,1+COUNTIF(DR$3:DR314,"&gt;0"))</f>
        <v>0</v>
      </c>
      <c r="DS315">
        <f>IF(IF(OR(IFERROR(SEARCH("Paladin",$T315,1),0)&gt;0,IFERROR(SEARCH(PaladinOath,$T315,1),0)&gt;0),1,0)*IF($C315=DS$2,1,0)=1,1+COUNTIF(DS$3:DS314,"&gt;0"),0)</f>
        <v>0</v>
      </c>
      <c r="DT315">
        <f>IF(IF(OR(IFERROR(SEARCH("Paladin",$T315,1),0)&gt;0,IFERROR(SEARCH(PaladinOath,$T315,1),0)&gt;0),1,0)*IF($C315=DT$2,1,0)=1,1+COUNTIF(DT$3:DT314,"&gt;0"),0)</f>
        <v>0</v>
      </c>
      <c r="DU315">
        <f>IF(IF(OR(IFERROR(SEARCH("Paladin",$T315,1),0)&gt;0,IFERROR(SEARCH(PaladinOath,$T315,1),0)&gt;0),1,0)*IF($C315=DU$2,1,0)=1,1+COUNTIF(DU$3:DU314,"&gt;0"),0)</f>
        <v>0</v>
      </c>
      <c r="DV315">
        <f>IF(IF(OR(IFERROR(SEARCH("Paladin",$T315,1),0)&gt;0,IFERROR(SEARCH(PaladinOath,$T315,1),0)&gt;0),1,0)*IF($C315=DV$2,1,0)=1,1+COUNTIF(DV$3:DV314,"&gt;0"),0)</f>
        <v>6</v>
      </c>
      <c r="DW315">
        <f>IF(IF(OR(IFERROR(SEARCH("Paladin",$T315,1),0)&gt;0,IFERROR(SEARCH(PaladinOath,$T315,1),0)&gt;0),1,0)*IF($C315=DW$2,1,0)=1,1+COUNTIF(DW$3:DW314,"&gt;0"),0)</f>
        <v>0</v>
      </c>
      <c r="DY315">
        <f t="shared" si="225"/>
        <v>1</v>
      </c>
      <c r="DZ315">
        <f>IF(DY315=0,0,1+MAX(DZ$3:$DZ314))</f>
        <v>313</v>
      </c>
      <c r="EB315">
        <f t="shared" si="239"/>
        <v>0</v>
      </c>
      <c r="EC315">
        <f>IF(EB315=0,0,1+COUNTIF(EC$3:EC314,"&gt;0"))</f>
        <v>0</v>
      </c>
      <c r="ED315" t="str">
        <f t="shared" si="267"/>
        <v/>
      </c>
      <c r="EE315" t="str">
        <f t="shared" si="240"/>
        <v/>
      </c>
      <c r="EG315">
        <f t="shared" si="241"/>
        <v>0</v>
      </c>
      <c r="EH315">
        <f>IF(EG315=0,0,1+COUNTIF(EH$3:EH314,"&gt;0"))</f>
        <v>0</v>
      </c>
      <c r="EI315" t="str">
        <f t="shared" si="268"/>
        <v/>
      </c>
      <c r="EJ315" t="str">
        <f t="shared" si="242"/>
        <v/>
      </c>
      <c r="EL315">
        <f t="shared" si="243"/>
        <v>0</v>
      </c>
      <c r="EM315">
        <f>IF(EL315=0,0,1+COUNTIF(EM$3:EM314,"&gt;0"))</f>
        <v>0</v>
      </c>
      <c r="EN315" t="str">
        <f t="shared" si="269"/>
        <v/>
      </c>
      <c r="EO315" t="str">
        <f t="shared" si="244"/>
        <v/>
      </c>
      <c r="EQ315">
        <f t="shared" si="245"/>
        <v>0</v>
      </c>
      <c r="ER315">
        <f>IF(EQ315=0,0,1+COUNTIF(ER$3:ER314,"&gt;0"))</f>
        <v>0</v>
      </c>
      <c r="ES315" t="str">
        <f t="shared" si="270"/>
        <v/>
      </c>
      <c r="ET315" t="str">
        <f t="shared" si="246"/>
        <v/>
      </c>
      <c r="EV315">
        <f t="shared" si="247"/>
        <v>0</v>
      </c>
      <c r="EW315">
        <f>IF(EV315=0,0,1+COUNTIF(EW$3:EW314,"&gt;0"))</f>
        <v>0</v>
      </c>
      <c r="EX315" t="str">
        <f t="shared" si="271"/>
        <v/>
      </c>
      <c r="EY315" t="str">
        <f t="shared" si="248"/>
        <v/>
      </c>
      <c r="FA315">
        <f t="shared" si="249"/>
        <v>0</v>
      </c>
      <c r="FB315">
        <f>IF(FA315=0,0,1+COUNTIF(FB$3:FB314,"&gt;0"))</f>
        <v>0</v>
      </c>
      <c r="FC315" t="str">
        <f t="shared" si="272"/>
        <v/>
      </c>
      <c r="FD315" t="str">
        <f t="shared" si="250"/>
        <v/>
      </c>
      <c r="FF315">
        <f t="shared" si="251"/>
        <v>0</v>
      </c>
      <c r="FG315">
        <f>IF(FF315=0,0,1+COUNTIF(FG$3:FG314,"&gt;0"))</f>
        <v>0</v>
      </c>
      <c r="FH315" t="str">
        <f t="shared" si="273"/>
        <v/>
      </c>
      <c r="FI315" t="str">
        <f t="shared" si="252"/>
        <v/>
      </c>
      <c r="FK315">
        <f t="shared" si="253"/>
        <v>0</v>
      </c>
      <c r="FL315">
        <f>IF(FK315=0,0,1+COUNTIF(FL$3:FL314,"&gt;0"))</f>
        <v>0</v>
      </c>
      <c r="FM315" t="str">
        <f t="shared" si="274"/>
        <v/>
      </c>
      <c r="FN315" t="str">
        <f t="shared" si="254"/>
        <v/>
      </c>
      <c r="FP315">
        <f t="shared" si="255"/>
        <v>0</v>
      </c>
      <c r="FQ315">
        <f>IF(FP315=0,0,1+COUNTIF(FQ$3:FQ314,"&gt;0"))</f>
        <v>0</v>
      </c>
      <c r="FR315" t="str">
        <f t="shared" si="275"/>
        <v/>
      </c>
      <c r="FS315" t="str">
        <f t="shared" si="256"/>
        <v/>
      </c>
    </row>
    <row r="316" spans="1:175" x14ac:dyDescent="0.25">
      <c r="A316" s="347">
        <f t="shared" si="276"/>
        <v>314</v>
      </c>
      <c r="B316" s="348" t="s">
        <v>2711</v>
      </c>
      <c r="C316" s="348">
        <v>3</v>
      </c>
      <c r="D316" s="347">
        <v>3</v>
      </c>
      <c r="E316" s="627" t="s">
        <v>6952</v>
      </c>
      <c r="F316" s="346"/>
      <c r="G316" s="347" t="str">
        <f>""</f>
        <v/>
      </c>
      <c r="H316" s="347" t="s">
        <v>5912</v>
      </c>
      <c r="I316" s="347" t="s">
        <v>5312</v>
      </c>
      <c r="J316" s="347" t="str">
        <f t="shared" si="226"/>
        <v/>
      </c>
      <c r="K316" s="347" t="s">
        <v>5291</v>
      </c>
      <c r="L316" s="611" t="str">
        <f t="shared" si="227"/>
        <v>V, S, M, a rotten egg or several skunk cabbage leaves</v>
      </c>
      <c r="M316" s="347" t="s">
        <v>2373</v>
      </c>
      <c r="N316" s="347" t="s">
        <v>2387</v>
      </c>
      <c r="O316" s="347" t="s">
        <v>1244</v>
      </c>
      <c r="P316" s="346" t="s">
        <v>5488</v>
      </c>
      <c r="Q316" s="347" t="s">
        <v>5271</v>
      </c>
      <c r="S316" s="346" t="s">
        <v>5831</v>
      </c>
      <c r="T316" s="346" t="str">
        <f t="shared" si="228"/>
        <v xml:space="preserve">Bard, Sorcerer, Wizard, Archfiend, Swamp, Underdark, </v>
      </c>
      <c r="U316" s="347" t="str">
        <f>$B316</f>
        <v>Stinking Cloud</v>
      </c>
      <c r="X316" s="347" t="str">
        <f>$B316</f>
        <v>Stinking Cloud</v>
      </c>
      <c r="AD316" s="347" t="str">
        <f>$B316</f>
        <v>Stinking Cloud</v>
      </c>
      <c r="AE316" t="str">
        <f>IF(IFERROR(MATCH($B316,temp!A$4:A$13,0),0)&gt;0,T08_Spells!AE$2,"")</f>
        <v/>
      </c>
      <c r="AF316" t="str">
        <f>IF(IFERROR(MATCH($B316,temp!B$4:B$13,0),0)&gt;0,T08_Spells!AF$2,"")</f>
        <v/>
      </c>
      <c r="AG316" t="str">
        <f>IF(IFERROR(MATCH($B316,temp!C$4:C$13,0),0)&gt;0,T08_Spells!AG$2,"")</f>
        <v/>
      </c>
      <c r="AH316" t="str">
        <f>IF(IFERROR(MATCH($B316,temp!D$4:D$13,0),0)&gt;0,T08_Spells!AH$2,"")</f>
        <v/>
      </c>
      <c r="AI316" t="str">
        <f>IF(IFERROR(MATCH($B316,temp!E$4:E$13,0),0)&gt;0,T08_Spells!AI$2,"")</f>
        <v/>
      </c>
      <c r="AJ316" t="str">
        <f>IF(IFERROR(MATCH($B316,temp!F$4:F$13,0),0)&gt;0,T08_Spells!AJ$2,"")</f>
        <v>Archfiend</v>
      </c>
      <c r="AK316" t="str">
        <f>IF(IFERROR(MATCH($B316,temp!G$4:G$13,0),0)&gt;0,T08_Spells!AK$2,"")</f>
        <v/>
      </c>
      <c r="AL316" t="str">
        <f>IF(IFERROR(MATCH($B316,temp!H$4:H$13,0),0)&gt;0,T08_Spells!AL$2,"")</f>
        <v/>
      </c>
      <c r="AM316" t="str">
        <f>IF(IFERROR(MATCH($B316,temp!I$4:I$13,0),0)&gt;0,T08_Spells!AM$2,"")</f>
        <v/>
      </c>
      <c r="AN316" t="str">
        <f>IF(IFERROR(MATCH($B316,temp!J$4:J$13,0),0)&gt;0,T08_Spells!AN$2,"")</f>
        <v/>
      </c>
      <c r="AO316" t="str">
        <f>IF(IFERROR(MATCH($B316,temp!K$4:K$13,0),0)&gt;0,T08_Spells!AO$2,"")</f>
        <v/>
      </c>
      <c r="AP316" t="str">
        <f>IF(IFERROR(MATCH($B316,temp!L$4:L$13,0),0)&gt;0,T08_Spells!AP$2,"")</f>
        <v/>
      </c>
      <c r="AQ316" t="str">
        <f>IF(IFERROR(MATCH($B316,temp!M$4:M$13,0),0)&gt;0,T08_Spells!AQ$2,"")</f>
        <v/>
      </c>
      <c r="AR316" t="str">
        <f>IF(IFERROR(MATCH($B316,temp!N$4:N$13,0),0)&gt;0,T08_Spells!AR$2,"")</f>
        <v>Swamp</v>
      </c>
      <c r="AS316" t="str">
        <f>IF(IFERROR(MATCH($B316,temp!O$4:O$13,0),0)&gt;0,T08_Spells!AS$2,"")</f>
        <v>Underdark</v>
      </c>
      <c r="AT316" t="str">
        <f>IF(IFERROR(MATCH($B316,temp!P$4:P$13,0),0)&gt;0,T08_Spells!AT$2,"")</f>
        <v/>
      </c>
      <c r="AU316" t="str">
        <f>IF(IFERROR(MATCH($B316,temp!Q$4:Q$13,0),0)&gt;0,T08_Spells!AU$2,"")</f>
        <v/>
      </c>
      <c r="AV316" t="str">
        <f>IF(IFERROR(MATCH($B316,temp!R$4:R$13,0),0)&gt;0,T08_Spells!AV$2,"")</f>
        <v/>
      </c>
      <c r="AW316" t="str">
        <f>IF(IFERROR(MATCH($B316,temp!S$4:S$13,0),0)&gt;0,T08_Spells!AW$2,"")</f>
        <v/>
      </c>
      <c r="AX316" t="str">
        <f>IF(IFERROR(MATCH($B316,temp!T$4:T$13,0),0)&gt;0,T08_Spells!AX$2,"")</f>
        <v/>
      </c>
      <c r="AY316" t="str">
        <f>IF(IFERROR(MATCH($B316,temp!U$4:U$13,0),0)&gt;0,T08_Spells!AY$2,"")</f>
        <v/>
      </c>
      <c r="AZ316" t="str">
        <f>IF(IFERROR(MATCH($B316,temp!V$4:V$13,0),0)&gt;0,T08_Spells!AZ$2,"")</f>
        <v/>
      </c>
      <c r="BA316" t="str">
        <f>IF(IFERROR(MATCH($B316,temp!W$4:W$13,0),0)&gt;0,T08_Spells!BA$2,"")</f>
        <v/>
      </c>
      <c r="BC316">
        <f>IF(IFERROR(SEARCH("Ranger",$T316,1),0)&gt;0,1,0)*IF(RangerMaxSpellLevel&gt;=$C316,1,0)*IF(IFERROR(MATCH(B316,Character_Creation!$X$79:$X$382,0),0)&gt;0,0,1)</f>
        <v>0</v>
      </c>
      <c r="BD316">
        <f>IF(BC316=0,0,1+COUNTIF(BD$3:BD315,"&gt;0"))</f>
        <v>0</v>
      </c>
      <c r="BE316" t="str">
        <f t="shared" si="257"/>
        <v/>
      </c>
      <c r="BF316" t="str">
        <f t="shared" si="229"/>
        <v/>
      </c>
      <c r="BH316">
        <f>IF(IFERROR(SEARCH("Sorcerer",$T316,1),0)&gt;0,1,0)*IF(SorcererMaxSpellLevel&gt;=$C316,1,0)*IF(IFERROR(MATCH(B316,Character_Creation!$J$380:$J$394,0),0)&gt;0,0,1)</f>
        <v>0</v>
      </c>
      <c r="BI316">
        <f>IF(BH316=0,0,1+COUNTIF(BI$3:BI315,"&gt;0"))</f>
        <v>0</v>
      </c>
      <c r="BJ316" t="str">
        <f t="shared" si="258"/>
        <v/>
      </c>
      <c r="BK316" t="str">
        <f t="shared" si="230"/>
        <v/>
      </c>
      <c r="BM316">
        <f>IF(OR(IFERROR(SEARCH("Warlock",$T316,1),0)&gt;0,IFERROR(SEARCH(WarlockPatron,$T316,1),0)&gt;0),1,0)*IF(WarlockMaxSpellLevel&gt;=$C316,1,0)*IF(IFERROR(MATCH(B316,Character_Creation!$J$361:$J$375,0),0)&gt;0,0,1)</f>
        <v>0</v>
      </c>
      <c r="BN316">
        <f>IF(BM316=0,0,1+COUNTIF(BN$3:BN315,"&gt;0"))</f>
        <v>0</v>
      </c>
      <c r="BO316" t="str">
        <f t="shared" si="259"/>
        <v/>
      </c>
      <c r="BP316" t="str">
        <f t="shared" si="231"/>
        <v/>
      </c>
      <c r="BR316">
        <f>IF(IFERROR(SEARCH("Eldritch Knight",$T316,1),0)&gt;0,1,0)*IF(EldritchKnightMaxSpellLevel&gt;=$C316,1,0)*IF(IFERROR(MATCH($B316,Character_Creation!$J$350:$J$356,0),0)&gt;0,0,1)*IF(Character_Creation!$M$338&gt;0,1,0)</f>
        <v>0</v>
      </c>
      <c r="BS316">
        <f>IF(BR316=0,0,1+COUNTIF(BS$3:BS315,"&gt;0"))</f>
        <v>0</v>
      </c>
      <c r="BT316" t="str">
        <f t="shared" si="260"/>
        <v/>
      </c>
      <c r="BU316" t="str">
        <f t="shared" si="232"/>
        <v/>
      </c>
      <c r="BW316">
        <f>IF(IFERROR(SEARCH("Arcane Trickster",$T316,1),0)&gt;0,1,0)*IF(ArcaneTricksterMaxSpellLevel&gt;=$C316,1,0)*IF(IFERROR(MATCH($B316,Character_Creation!$J$350:$J$356,0),0)&gt;0,0,1)*IF(Character_Creation!$T$338&gt;0,1,0)</f>
        <v>0</v>
      </c>
      <c r="BX316">
        <f>IF(BW316=0,0,1+COUNTIF(BX$3:BX315,"&gt;0"))</f>
        <v>0</v>
      </c>
      <c r="BY316" t="str">
        <f t="shared" si="261"/>
        <v/>
      </c>
      <c r="BZ316" t="str">
        <f t="shared" si="233"/>
        <v/>
      </c>
      <c r="CB316">
        <f>IF(IFERROR(SEARCH("Wizard",$T316,1),0)&gt;0,1,0)*IF(C316&lt;=ArcaneTricksterMaxSpellLevel,1,0)*IF(IFERROR(MATCH($B316,Character_Creation!$J$350:$J$356,0),0)&gt;0,0,1)*IF(Character_Creation!$T$350&gt;0,1,0)</f>
        <v>0</v>
      </c>
      <c r="CC316">
        <f>IF(CB316=0,0,1+COUNTIF(CC$3:CC315,"&gt;0"))</f>
        <v>0</v>
      </c>
      <c r="CD316" t="str">
        <f t="shared" si="262"/>
        <v/>
      </c>
      <c r="CE316" t="str">
        <f t="shared" si="234"/>
        <v/>
      </c>
      <c r="CG316">
        <f>IF(IFERROR(SEARCH("Wizard",$T316,1),0)&gt;0,1,0)*IF($C316&lt;=EldritchKnightMaxSpellLevel,1,0)*IF(IFERROR(MATCH($B316,Character_Creation!$J$350:$J$356,0),0)&gt;0,0,1)*IF(Character_Creation!$M$350&gt;0,1,0)</f>
        <v>0</v>
      </c>
      <c r="CH316">
        <f>IF(CG316=0,0,1+COUNTIF(CH$3:CH315,"&gt;0"))</f>
        <v>0</v>
      </c>
      <c r="CI316" t="str">
        <f t="shared" si="263"/>
        <v/>
      </c>
      <c r="CJ316" t="str">
        <f t="shared" si="235"/>
        <v/>
      </c>
      <c r="CL316">
        <f>IF(IFERROR(SEARCH("Bard",$T316,1),0)&gt;0,1,0)*IF(BardMaxSpellLevel&gt;=$C316,1,0)*IF(IFERROR(MATCH(B316,Character_Creation!$C$341:$F$362,0),0)&gt;0,0,1)*IF(IFERROR(MATCH($B316,Character_Creation!$C$341:$C$362,0),0)&gt;0,0,1)</f>
        <v>0</v>
      </c>
      <c r="CM316">
        <f>IF(CL316=0,0,1+COUNTIF(CM$3:CM315,"&gt;0"))</f>
        <v>0</v>
      </c>
      <c r="CN316" t="str">
        <f t="shared" si="264"/>
        <v/>
      </c>
      <c r="CO316" t="str">
        <f t="shared" si="236"/>
        <v/>
      </c>
      <c r="CQ316">
        <f>IF(IFERROR(SEARCH("Wizard",$T316,1),0)&gt;0,1,0)*IF(WizardMaxSpellLevel&gt;=$C316,1,0)*IF(IFERROR(MATCH(B316,Character_Creation!$X$341:$X$400,0),0)&gt;0,0,1)*IF(SelectedWizardSpellLevel=$C316,1,0)</f>
        <v>1</v>
      </c>
      <c r="CR316">
        <f>IF(CQ316=0,0,1+COUNTIF(CR$3:CR315,"&gt;0"))</f>
        <v>24</v>
      </c>
      <c r="CS316" t="str">
        <f t="shared" si="265"/>
        <v/>
      </c>
      <c r="CT316" t="str">
        <f t="shared" si="237"/>
        <v/>
      </c>
      <c r="CV316">
        <f>IF(IFERROR(MATCH($B316,Character_Creation!$C$341:$C$362,0),0)&gt;0,0,1)*IF(OR(C316="Cantrip",C316&lt;=BardMaxSpellLevel),1,0)*IF(IFERROR(MATCH($B316,Character_Creation!$C$367:$C$374,0),0)&gt;0,0,1)</f>
        <v>0</v>
      </c>
      <c r="CW316">
        <f>IF(CV316=0,0,1+COUNTIF(CW$3:CW315,"&gt;0"))</f>
        <v>0</v>
      </c>
      <c r="CX316" t="str">
        <f t="shared" si="266"/>
        <v/>
      </c>
      <c r="CY316" t="str">
        <f t="shared" si="238"/>
        <v/>
      </c>
      <c r="DA316">
        <f>IF(IF(OR(IFERROR(SEARCH("Cleric",$T316,1),0)&gt;0,IFERROR(SEARCH(DivineDomain&amp;",",$T316,1),0)&gt;0),1,0)*IF($C316=DA$2,1,0)=1,1+COUNTIF(DA$3:DA315,"&gt;0"),0)</f>
        <v>0</v>
      </c>
      <c r="DB316">
        <f>IF(IF(OR(IFERROR(SEARCH("Cleric",$T316,1),0)&gt;0,IFERROR(SEARCH(DivineDomain&amp;",",$T316,1),0)&gt;0),1,0)*IF($C316=DB$2,1,0)=1,1+COUNTIF(DB$3:DB315,"&gt;0"),0)</f>
        <v>0</v>
      </c>
      <c r="DC316">
        <f>IF(IF(OR(IFERROR(SEARCH("Cleric",$T316,1),0)&gt;0,IFERROR(SEARCH(DivineDomain&amp;",",$T316,1),0)&gt;0),1,0)*IF($C316=DC$2,1,0)=1,1+COUNTIF(DC$3:DC315,"&gt;0"),0)</f>
        <v>0</v>
      </c>
      <c r="DD316">
        <f>IF(IF(OR(IFERROR(SEARCH("Cleric",$T316,1),0)&gt;0,IFERROR(SEARCH(DivineDomain&amp;",",$T316,1),0)&gt;0),1,0)*IF($C316=DD$2,1,0)=1,1+COUNTIF(DD$3:DD315,"&gt;0"),0)</f>
        <v>0</v>
      </c>
      <c r="DE316">
        <f>IF(IF(OR(IFERROR(SEARCH("Cleric",$T316,1),0)&gt;0,IFERROR(SEARCH(DivineDomain&amp;",",$T316,1),0)&gt;0),1,0)*IF($C316=DE$2,1,0)=1,1+COUNTIF(DE$3:DE315,"&gt;0"),0)</f>
        <v>0</v>
      </c>
      <c r="DF316">
        <f>IF(IF(OR(IFERROR(SEARCH("Cleric",$T316,1),0)&gt;0,IFERROR(SEARCH(DivineDomain&amp;",",$T316,1),0)&gt;0),1,0)*IF($C316=DF$2,1,0)=1,1+COUNTIF(DF$3:DF315,"&gt;0"),0)</f>
        <v>0</v>
      </c>
      <c r="DG316">
        <f>IF(IF(OR(IFERROR(SEARCH("Cleric",$T316,1),0)&gt;0,IFERROR(SEARCH(DivineDomain&amp;",",$T316,1),0)&gt;0),1,0)*IF($C316=DG$2,1,0)=1,1+COUNTIF(DG$3:DG315,"&gt;0"),0)</f>
        <v>0</v>
      </c>
      <c r="DH316">
        <f>IF(IF(OR(IFERROR(SEARCH("Cleric",$T316,1),0)&gt;0,IFERROR(SEARCH(DivineDomain&amp;",",$T316,1),0)&gt;0),1,0)*IF($C316=DH$2,1,0)=1,1+COUNTIF(DH$3:DH315,"&gt;0"),0)</f>
        <v>0</v>
      </c>
      <c r="DI316">
        <f>IF(IF(OR(IFERROR(SEARCH("Cleric",$T316,1),0)&gt;0,IFERROR(SEARCH(DivineDomain&amp;",",$T316,1),0)&gt;0),1,0)*IF($C316=DI$2,1,0)=1,1+COUNTIF(DI$3:DI315,"&gt;0"),0)</f>
        <v>0</v>
      </c>
      <c r="DJ316">
        <f>IF(IF(OR(IFERROR(SEARCH("Druid",$T316,1),0)&gt;0,IFERROR(SEARCH(DruidLand1,$T316,1),0)&gt;0,IFERROR(SEARCH(DruidLand2,$T316,1),0)&gt;0,IFERROR(SEARCH(DruidLand3,$T316,1),0)&gt;0,IFERROR(SEARCH(DruidLand4,$T316,1),0)&gt;0),1,0)*IF($C316=1,1,0)*IF($C316=DJ$2,1,0)=0,0,1+COUNTIF(DJ$3:DJ315,"&gt;0"))</f>
        <v>0</v>
      </c>
      <c r="DK316">
        <f>IF(IF(OR(IFERROR(SEARCH("Druid",$T316,1),0)&gt;0,IFERROR(SEARCH(DruidLand1,$T316,1),0)&gt;0,IFERROR(SEARCH(DruidLand2,$T316,1),0)&gt;0,IFERROR(SEARCH(DruidLand3,$T316,1),0)&gt;0,IFERROR(SEARCH(DruidLand4,$T316,1),0)&gt;0),1,0)*IF($C316=1,1,0)*IF($C316=DK$2,1,0)=0,0,1+COUNTIF(DK$3:DK315,"&gt;0"))</f>
        <v>0</v>
      </c>
      <c r="DL316">
        <f>IF(IF(OR(IFERROR(SEARCH("Druid",$T316,1),0)&gt;0,IFERROR(SEARCH(DruidLand1,$T316,1),0)&gt;0,IFERROR(SEARCH(DruidLand2,$T316,1),0)&gt;0,IFERROR(SEARCH(DruidLand3,$T316,1),0)&gt;0,IFERROR(SEARCH(DruidLand4,$T316,1),0)&gt;0),1,0)*IF($C316=1,1,0)*IF($C316=DL$2,1,0)=0,0,1+COUNTIF(DL$3:DL315,"&gt;0"))</f>
        <v>0</v>
      </c>
      <c r="DM316">
        <f>IF(IF(OR(IFERROR(SEARCH("Druid",$T316,1),0)&gt;0,IFERROR(SEARCH(DruidLand1,$T316,1),0)&gt;0,IFERROR(SEARCH(DruidLand2,$T316,1),0)&gt;0,IFERROR(SEARCH(DruidLand3,$T316,1),0)&gt;0,IFERROR(SEARCH(DruidLand4,$T316,1),0)&gt;0),1,0)*IF($C316=1,1,0)*IF($C316=DM$2,1,0)=0,0,1+COUNTIF(DM$3:DM315,"&gt;0"))</f>
        <v>0</v>
      </c>
      <c r="DN316">
        <f>IF(IF(OR(IFERROR(SEARCH("Druid",$T316,1),0)&gt;0,IFERROR(SEARCH(DruidLand1,$T316,1),0)&gt;0,IFERROR(SEARCH(DruidLand2,$T316,1),0)&gt;0,IFERROR(SEARCH(DruidLand3,$T316,1),0)&gt;0,IFERROR(SEARCH(DruidLand4,$T316,1),0)&gt;0),1,0)*IF($C316=1,1,0)*IF($C316=DN$2,1,0)=0,0,1+COUNTIF(DN$3:DN315,"&gt;0"))</f>
        <v>0</v>
      </c>
      <c r="DO316">
        <f>IF(IF(OR(IFERROR(SEARCH("Druid",$T316,1),0)&gt;0,IFERROR(SEARCH(DruidLand1,$T316,1),0)&gt;0,IFERROR(SEARCH(DruidLand2,$T316,1),0)&gt;0,IFERROR(SEARCH(DruidLand3,$T316,1),0)&gt;0,IFERROR(SEARCH(DruidLand4,$T316,1),0)&gt;0),1,0)*IF($C316=1,1,0)*IF($C316=DO$2,1,0)=0,0,1+COUNTIF(DO$3:DO315,"&gt;0"))</f>
        <v>0</v>
      </c>
      <c r="DP316">
        <f>IF(IF(OR(IFERROR(SEARCH("Druid",$T316,1),0)&gt;0,IFERROR(SEARCH(DruidLand1,$T316,1),0)&gt;0,IFERROR(SEARCH(DruidLand2,$T316,1),0)&gt;0,IFERROR(SEARCH(DruidLand3,$T316,1),0)&gt;0,IFERROR(SEARCH(DruidLand4,$T316,1),0)&gt;0),1,0)*IF($C316=1,1,0)*IF($C316=DP$2,1,0)=0,0,1+COUNTIF(DP$3:DP315,"&gt;0"))</f>
        <v>0</v>
      </c>
      <c r="DQ316">
        <f>IF(IF(OR(IFERROR(SEARCH("Druid",$T316,1),0)&gt;0,IFERROR(SEARCH(DruidLand1,$T316,1),0)&gt;0,IFERROR(SEARCH(DruidLand2,$T316,1),0)&gt;0,IFERROR(SEARCH(DruidLand3,$T316,1),0)&gt;0,IFERROR(SEARCH(DruidLand4,$T316,1),0)&gt;0),1,0)*IF($C316=1,1,0)*IF($C316=DQ$2,1,0)=0,0,1+COUNTIF(DQ$3:DQ315,"&gt;0"))</f>
        <v>0</v>
      </c>
      <c r="DR316">
        <f>IF(IF(OR(IFERROR(SEARCH("Druid",$T316,1),0)&gt;0,IFERROR(SEARCH(DruidLand1,$T316,1),0)&gt;0,IFERROR(SEARCH(DruidLand2,$T316,1),0)&gt;0,IFERROR(SEARCH(DruidLand3,$T316,1),0)&gt;0,IFERROR(SEARCH(DruidLand4,$T316,1),0)&gt;0),1,0)*IF($C316=1,1,0)*IF($C316=DR$2,1,0)=0,0,1+COUNTIF(DR$3:DR315,"&gt;0"))</f>
        <v>0</v>
      </c>
      <c r="DS316">
        <f>IF(IF(OR(IFERROR(SEARCH("Paladin",$T316,1),0)&gt;0,IFERROR(SEARCH(PaladinOath,$T316,1),0)&gt;0),1,0)*IF($C316=DS$2,1,0)=1,1+COUNTIF(DS$3:DS315,"&gt;0"),0)</f>
        <v>0</v>
      </c>
      <c r="DT316">
        <f>IF(IF(OR(IFERROR(SEARCH("Paladin",$T316,1),0)&gt;0,IFERROR(SEARCH(PaladinOath,$T316,1),0)&gt;0),1,0)*IF($C316=DT$2,1,0)=1,1+COUNTIF(DT$3:DT315,"&gt;0"),0)</f>
        <v>0</v>
      </c>
      <c r="DU316">
        <f>IF(IF(OR(IFERROR(SEARCH("Paladin",$T316,1),0)&gt;0,IFERROR(SEARCH(PaladinOath,$T316,1),0)&gt;0),1,0)*IF($C316=DU$2,1,0)=1,1+COUNTIF(DU$3:DU315,"&gt;0"),0)</f>
        <v>0</v>
      </c>
      <c r="DV316">
        <f>IF(IF(OR(IFERROR(SEARCH("Paladin",$T316,1),0)&gt;0,IFERROR(SEARCH(PaladinOath,$T316,1),0)&gt;0),1,0)*IF($C316=DV$2,1,0)=1,1+COUNTIF(DV$3:DV315,"&gt;0"),0)</f>
        <v>0</v>
      </c>
      <c r="DW316">
        <f>IF(IF(OR(IFERROR(SEARCH("Paladin",$T316,1),0)&gt;0,IFERROR(SEARCH(PaladinOath,$T316,1),0)&gt;0),1,0)*IF($C316=DW$2,1,0)=1,1+COUNTIF(DW$3:DW315,"&gt;0"),0)</f>
        <v>0</v>
      </c>
      <c r="DY316">
        <f t="shared" si="225"/>
        <v>1</v>
      </c>
      <c r="DZ316">
        <f>IF(DY316=0,0,1+MAX(DZ$3:$DZ315))</f>
        <v>314</v>
      </c>
      <c r="EB316">
        <f t="shared" si="239"/>
        <v>0</v>
      </c>
      <c r="EC316">
        <f>IF(EB316=0,0,1+COUNTIF(EC$3:EC315,"&gt;0"))</f>
        <v>0</v>
      </c>
      <c r="ED316" t="str">
        <f t="shared" si="267"/>
        <v/>
      </c>
      <c r="EE316" t="str">
        <f t="shared" si="240"/>
        <v/>
      </c>
      <c r="EG316">
        <f t="shared" si="241"/>
        <v>0</v>
      </c>
      <c r="EH316">
        <f>IF(EG316=0,0,1+COUNTIF(EH$3:EH315,"&gt;0"))</f>
        <v>0</v>
      </c>
      <c r="EI316" t="str">
        <f t="shared" si="268"/>
        <v/>
      </c>
      <c r="EJ316" t="str">
        <f t="shared" si="242"/>
        <v/>
      </c>
      <c r="EL316">
        <f t="shared" si="243"/>
        <v>0</v>
      </c>
      <c r="EM316">
        <f>IF(EL316=0,0,1+COUNTIF(EM$3:EM315,"&gt;0"))</f>
        <v>0</v>
      </c>
      <c r="EN316" t="str">
        <f t="shared" si="269"/>
        <v/>
      </c>
      <c r="EO316" t="str">
        <f t="shared" si="244"/>
        <v/>
      </c>
      <c r="EQ316">
        <f t="shared" si="245"/>
        <v>0</v>
      </c>
      <c r="ER316">
        <f>IF(EQ316=0,0,1+COUNTIF(ER$3:ER315,"&gt;0"))</f>
        <v>0</v>
      </c>
      <c r="ES316" t="str">
        <f t="shared" si="270"/>
        <v/>
      </c>
      <c r="ET316" t="str">
        <f t="shared" si="246"/>
        <v/>
      </c>
      <c r="EV316">
        <f t="shared" si="247"/>
        <v>0</v>
      </c>
      <c r="EW316">
        <f>IF(EV316=0,0,1+COUNTIF(EW$3:EW315,"&gt;0"))</f>
        <v>0</v>
      </c>
      <c r="EX316" t="str">
        <f t="shared" si="271"/>
        <v/>
      </c>
      <c r="EY316" t="str">
        <f t="shared" si="248"/>
        <v/>
      </c>
      <c r="FA316">
        <f t="shared" si="249"/>
        <v>0</v>
      </c>
      <c r="FB316">
        <f>IF(FA316=0,0,1+COUNTIF(FB$3:FB315,"&gt;0"))</f>
        <v>0</v>
      </c>
      <c r="FC316" t="str">
        <f t="shared" si="272"/>
        <v/>
      </c>
      <c r="FD316" t="str">
        <f t="shared" si="250"/>
        <v/>
      </c>
      <c r="FF316">
        <f t="shared" si="251"/>
        <v>0</v>
      </c>
      <c r="FG316">
        <f>IF(FF316=0,0,1+COUNTIF(FG$3:FG315,"&gt;0"))</f>
        <v>0</v>
      </c>
      <c r="FH316" t="str">
        <f t="shared" si="273"/>
        <v/>
      </c>
      <c r="FI316" t="str">
        <f t="shared" si="252"/>
        <v/>
      </c>
      <c r="FK316">
        <f t="shared" si="253"/>
        <v>0</v>
      </c>
      <c r="FL316">
        <f>IF(FK316=0,0,1+COUNTIF(FL$3:FL315,"&gt;0"))</f>
        <v>0</v>
      </c>
      <c r="FM316" t="str">
        <f t="shared" si="274"/>
        <v/>
      </c>
      <c r="FN316" t="str">
        <f t="shared" si="254"/>
        <v/>
      </c>
      <c r="FP316">
        <f t="shared" si="255"/>
        <v>0</v>
      </c>
      <c r="FQ316">
        <f>IF(FP316=0,0,1+COUNTIF(FQ$3:FQ315,"&gt;0"))</f>
        <v>0</v>
      </c>
      <c r="FR316" t="str">
        <f t="shared" si="275"/>
        <v/>
      </c>
      <c r="FS316" t="str">
        <f t="shared" si="256"/>
        <v/>
      </c>
    </row>
    <row r="317" spans="1:175" x14ac:dyDescent="0.25">
      <c r="A317" s="347">
        <f t="shared" si="276"/>
        <v>315</v>
      </c>
      <c r="B317" s="348" t="s">
        <v>2712</v>
      </c>
      <c r="C317" s="348">
        <v>4</v>
      </c>
      <c r="D317" s="347">
        <v>4</v>
      </c>
      <c r="E317" s="627" t="s">
        <v>6952</v>
      </c>
      <c r="F317" s="346"/>
      <c r="G317" s="347" t="str">
        <f>""</f>
        <v/>
      </c>
      <c r="H317" s="347" t="s">
        <v>5912</v>
      </c>
      <c r="I317" s="347" t="s">
        <v>5298</v>
      </c>
      <c r="J317" s="347" t="str">
        <f t="shared" si="226"/>
        <v/>
      </c>
      <c r="K317" s="347" t="s">
        <v>5278</v>
      </c>
      <c r="L317" s="611" t="str">
        <f t="shared" si="227"/>
        <v>V, S, M, soft clay, which must be worked into roughly the desired shape of the stone object</v>
      </c>
      <c r="M317" s="347" t="s">
        <v>2373</v>
      </c>
      <c r="N317" s="347" t="s">
        <v>2387</v>
      </c>
      <c r="O317" s="347" t="s">
        <v>1244</v>
      </c>
      <c r="P317" s="346" t="s">
        <v>5489</v>
      </c>
      <c r="Q317" s="347" t="s">
        <v>5276</v>
      </c>
      <c r="S317" s="346" t="s">
        <v>2713</v>
      </c>
      <c r="T317" s="346" t="str">
        <f t="shared" si="228"/>
        <v xml:space="preserve">Cleric, Druid, Wizard, Mountain, Underdark, </v>
      </c>
      <c r="Z317" s="347" t="str">
        <f>$B317</f>
        <v>Stone Shape</v>
      </c>
      <c r="AA317" s="347" t="str">
        <f>$B317</f>
        <v>Stone Shape</v>
      </c>
      <c r="AD317" s="347" t="str">
        <f>$B317</f>
        <v>Stone Shape</v>
      </c>
      <c r="AE317" t="str">
        <f>IF(IFERROR(MATCH($B317,temp!A$4:A$13,0),0)&gt;0,T08_Spells!AE$2,"")</f>
        <v/>
      </c>
      <c r="AF317" t="str">
        <f>IF(IFERROR(MATCH($B317,temp!B$4:B$13,0),0)&gt;0,T08_Spells!AF$2,"")</f>
        <v/>
      </c>
      <c r="AG317" t="str">
        <f>IF(IFERROR(MATCH($B317,temp!C$4:C$13,0),0)&gt;0,T08_Spells!AG$2,"")</f>
        <v/>
      </c>
      <c r="AH317" t="str">
        <f>IF(IFERROR(MATCH($B317,temp!D$4:D$13,0),0)&gt;0,T08_Spells!AH$2,"")</f>
        <v/>
      </c>
      <c r="AI317" t="str">
        <f>IF(IFERROR(MATCH($B317,temp!E$4:E$13,0),0)&gt;0,T08_Spells!AI$2,"")</f>
        <v/>
      </c>
      <c r="AJ317" t="str">
        <f>IF(IFERROR(MATCH($B317,temp!F$4:F$13,0),0)&gt;0,T08_Spells!AJ$2,"")</f>
        <v/>
      </c>
      <c r="AK317" t="str">
        <f>IF(IFERROR(MATCH($B317,temp!G$4:G$13,0),0)&gt;0,T08_Spells!AK$2,"")</f>
        <v/>
      </c>
      <c r="AL317" t="str">
        <f>IF(IFERROR(MATCH($B317,temp!H$4:H$13,0),0)&gt;0,T08_Spells!AL$2,"")</f>
        <v/>
      </c>
      <c r="AM317" t="str">
        <f>IF(IFERROR(MATCH($B317,temp!I$4:I$13,0),0)&gt;0,T08_Spells!AM$2,"")</f>
        <v/>
      </c>
      <c r="AN317" t="str">
        <f>IF(IFERROR(MATCH($B317,temp!J$4:J$13,0),0)&gt;0,T08_Spells!AN$2,"")</f>
        <v/>
      </c>
      <c r="AO317" t="str">
        <f>IF(IFERROR(MATCH($B317,temp!K$4:K$13,0),0)&gt;0,T08_Spells!AO$2,"")</f>
        <v/>
      </c>
      <c r="AP317" t="str">
        <f>IF(IFERROR(MATCH($B317,temp!L$4:L$13,0),0)&gt;0,T08_Spells!AP$2,"")</f>
        <v/>
      </c>
      <c r="AQ317" t="str">
        <f>IF(IFERROR(MATCH($B317,temp!M$4:M$13,0),0)&gt;0,T08_Spells!AQ$2,"")</f>
        <v>Mountain</v>
      </c>
      <c r="AR317" t="str">
        <f>IF(IFERROR(MATCH($B317,temp!N$4:N$13,0),0)&gt;0,T08_Spells!AR$2,"")</f>
        <v/>
      </c>
      <c r="AS317" t="str">
        <f>IF(IFERROR(MATCH($B317,temp!O$4:O$13,0),0)&gt;0,T08_Spells!AS$2,"")</f>
        <v>Underdark</v>
      </c>
      <c r="AT317" t="str">
        <f>IF(IFERROR(MATCH($B317,temp!P$4:P$13,0),0)&gt;0,T08_Spells!AT$2,"")</f>
        <v/>
      </c>
      <c r="AU317" t="str">
        <f>IF(IFERROR(MATCH($B317,temp!Q$4:Q$13,0),0)&gt;0,T08_Spells!AU$2,"")</f>
        <v/>
      </c>
      <c r="AV317" t="str">
        <f>IF(IFERROR(MATCH($B317,temp!R$4:R$13,0),0)&gt;0,T08_Spells!AV$2,"")</f>
        <v/>
      </c>
      <c r="AW317" t="str">
        <f>IF(IFERROR(MATCH($B317,temp!S$4:S$13,0),0)&gt;0,T08_Spells!AW$2,"")</f>
        <v/>
      </c>
      <c r="AX317" t="str">
        <f>IF(IFERROR(MATCH($B317,temp!T$4:T$13,0),0)&gt;0,T08_Spells!AX$2,"")</f>
        <v/>
      </c>
      <c r="AY317" t="str">
        <f>IF(IFERROR(MATCH($B317,temp!U$4:U$13,0),0)&gt;0,T08_Spells!AY$2,"")</f>
        <v/>
      </c>
      <c r="AZ317" t="str">
        <f>IF(IFERROR(MATCH($B317,temp!V$4:V$13,0),0)&gt;0,T08_Spells!AZ$2,"")</f>
        <v/>
      </c>
      <c r="BA317" t="str">
        <f>IF(IFERROR(MATCH($B317,temp!W$4:W$13,0),0)&gt;0,T08_Spells!BA$2,"")</f>
        <v/>
      </c>
      <c r="BC317">
        <f>IF(IFERROR(SEARCH("Ranger",$T317,1),0)&gt;0,1,0)*IF(RangerMaxSpellLevel&gt;=$C317,1,0)*IF(IFERROR(MATCH(B317,Character_Creation!$X$79:$X$382,0),0)&gt;0,0,1)</f>
        <v>0</v>
      </c>
      <c r="BD317">
        <f>IF(BC317=0,0,1+COUNTIF(BD$3:BD316,"&gt;0"))</f>
        <v>0</v>
      </c>
      <c r="BE317" t="str">
        <f t="shared" si="257"/>
        <v/>
      </c>
      <c r="BF317" t="str">
        <f t="shared" si="229"/>
        <v/>
      </c>
      <c r="BH317">
        <f>IF(IFERROR(SEARCH("Sorcerer",$T317,1),0)&gt;0,1,0)*IF(SorcererMaxSpellLevel&gt;=$C317,1,0)*IF(IFERROR(MATCH(B317,Character_Creation!$J$380:$J$394,0),0)&gt;0,0,1)</f>
        <v>0</v>
      </c>
      <c r="BI317">
        <f>IF(BH317=0,0,1+COUNTIF(BI$3:BI316,"&gt;0"))</f>
        <v>0</v>
      </c>
      <c r="BJ317" t="str">
        <f t="shared" si="258"/>
        <v/>
      </c>
      <c r="BK317" t="str">
        <f t="shared" si="230"/>
        <v/>
      </c>
      <c r="BM317">
        <f>IF(OR(IFERROR(SEARCH("Warlock",$T317,1),0)&gt;0,IFERROR(SEARCH(WarlockPatron,$T317,1),0)&gt;0),1,0)*IF(WarlockMaxSpellLevel&gt;=$C317,1,0)*IF(IFERROR(MATCH(B317,Character_Creation!$J$361:$J$375,0),0)&gt;0,0,1)</f>
        <v>0</v>
      </c>
      <c r="BN317">
        <f>IF(BM317=0,0,1+COUNTIF(BN$3:BN316,"&gt;0"))</f>
        <v>0</v>
      </c>
      <c r="BO317" t="str">
        <f t="shared" si="259"/>
        <v/>
      </c>
      <c r="BP317" t="str">
        <f t="shared" si="231"/>
        <v/>
      </c>
      <c r="BR317">
        <f>IF(IFERROR(SEARCH("Eldritch Knight",$T317,1),0)&gt;0,1,0)*IF(EldritchKnightMaxSpellLevel&gt;=$C317,1,0)*IF(IFERROR(MATCH($B317,Character_Creation!$J$350:$J$356,0),0)&gt;0,0,1)*IF(Character_Creation!$M$338&gt;0,1,0)</f>
        <v>0</v>
      </c>
      <c r="BS317">
        <f>IF(BR317=0,0,1+COUNTIF(BS$3:BS316,"&gt;0"))</f>
        <v>0</v>
      </c>
      <c r="BT317" t="str">
        <f t="shared" si="260"/>
        <v/>
      </c>
      <c r="BU317" t="str">
        <f t="shared" si="232"/>
        <v/>
      </c>
      <c r="BW317">
        <f>IF(IFERROR(SEARCH("Arcane Trickster",$T317,1),0)&gt;0,1,0)*IF(ArcaneTricksterMaxSpellLevel&gt;=$C317,1,0)*IF(IFERROR(MATCH($B317,Character_Creation!$J$350:$J$356,0),0)&gt;0,0,1)*IF(Character_Creation!$T$338&gt;0,1,0)</f>
        <v>0</v>
      </c>
      <c r="BX317">
        <f>IF(BW317=0,0,1+COUNTIF(BX$3:BX316,"&gt;0"))</f>
        <v>0</v>
      </c>
      <c r="BY317" t="str">
        <f t="shared" si="261"/>
        <v/>
      </c>
      <c r="BZ317" t="str">
        <f t="shared" si="233"/>
        <v/>
      </c>
      <c r="CB317">
        <f>IF(IFERROR(SEARCH("Wizard",$T317,1),0)&gt;0,1,0)*IF(C317&lt;=ArcaneTricksterMaxSpellLevel,1,0)*IF(IFERROR(MATCH($B317,Character_Creation!$J$350:$J$356,0),0)&gt;0,0,1)*IF(Character_Creation!$T$350&gt;0,1,0)</f>
        <v>0</v>
      </c>
      <c r="CC317">
        <f>IF(CB317=0,0,1+COUNTIF(CC$3:CC316,"&gt;0"))</f>
        <v>0</v>
      </c>
      <c r="CD317" t="str">
        <f t="shared" si="262"/>
        <v/>
      </c>
      <c r="CE317" t="str">
        <f t="shared" si="234"/>
        <v/>
      </c>
      <c r="CG317">
        <f>IF(IFERROR(SEARCH("Wizard",$T317,1),0)&gt;0,1,0)*IF($C317&lt;=EldritchKnightMaxSpellLevel,1,0)*IF(IFERROR(MATCH($B317,Character_Creation!$J$350:$J$356,0),0)&gt;0,0,1)*IF(Character_Creation!$M$350&gt;0,1,0)</f>
        <v>0</v>
      </c>
      <c r="CH317">
        <f>IF(CG317=0,0,1+COUNTIF(CH$3:CH316,"&gt;0"))</f>
        <v>0</v>
      </c>
      <c r="CI317" t="str">
        <f t="shared" si="263"/>
        <v/>
      </c>
      <c r="CJ317" t="str">
        <f t="shared" si="235"/>
        <v/>
      </c>
      <c r="CL317">
        <f>IF(IFERROR(SEARCH("Bard",$T317,1),0)&gt;0,1,0)*IF(BardMaxSpellLevel&gt;=$C317,1,0)*IF(IFERROR(MATCH(B317,Character_Creation!$C$341:$F$362,0),0)&gt;0,0,1)*IF(IFERROR(MATCH($B317,Character_Creation!$C$341:$C$362,0),0)&gt;0,0,1)</f>
        <v>0</v>
      </c>
      <c r="CM317">
        <f>IF(CL317=0,0,1+COUNTIF(CM$3:CM316,"&gt;0"))</f>
        <v>0</v>
      </c>
      <c r="CN317" t="str">
        <f t="shared" si="264"/>
        <v/>
      </c>
      <c r="CO317" t="str">
        <f t="shared" si="236"/>
        <v/>
      </c>
      <c r="CQ317">
        <f>IF(IFERROR(SEARCH("Wizard",$T317,1),0)&gt;0,1,0)*IF(WizardMaxSpellLevel&gt;=$C317,1,0)*IF(IFERROR(MATCH(B317,Character_Creation!$X$341:$X$400,0),0)&gt;0,0,1)*IF(SelectedWizardSpellLevel=$C317,1,0)</f>
        <v>0</v>
      </c>
      <c r="CR317">
        <f>IF(CQ317=0,0,1+COUNTIF(CR$3:CR316,"&gt;0"))</f>
        <v>0</v>
      </c>
      <c r="CS317" t="str">
        <f t="shared" si="265"/>
        <v/>
      </c>
      <c r="CT317" t="str">
        <f t="shared" si="237"/>
        <v/>
      </c>
      <c r="CV317">
        <f>IF(IFERROR(MATCH($B317,Character_Creation!$C$341:$C$362,0),0)&gt;0,0,1)*IF(OR(C317="Cantrip",C317&lt;=BardMaxSpellLevel),1,0)*IF(IFERROR(MATCH($B317,Character_Creation!$C$367:$C$374,0),0)&gt;0,0,1)</f>
        <v>0</v>
      </c>
      <c r="CW317">
        <f>IF(CV317=0,0,1+COUNTIF(CW$3:CW316,"&gt;0"))</f>
        <v>0</v>
      </c>
      <c r="CX317" t="str">
        <f t="shared" si="266"/>
        <v/>
      </c>
      <c r="CY317" t="str">
        <f t="shared" si="238"/>
        <v/>
      </c>
      <c r="DA317">
        <f>IF(IF(OR(IFERROR(SEARCH("Cleric",$T317,1),0)&gt;0,IFERROR(SEARCH(DivineDomain&amp;",",$T317,1),0)&gt;0),1,0)*IF($C317=DA$2,1,0)=1,1+COUNTIF(DA$3:DA316,"&gt;0"),0)</f>
        <v>0</v>
      </c>
      <c r="DB317">
        <f>IF(IF(OR(IFERROR(SEARCH("Cleric",$T317,1),0)&gt;0,IFERROR(SEARCH(DivineDomain&amp;",",$T317,1),0)&gt;0),1,0)*IF($C317=DB$2,1,0)=1,1+COUNTIF(DB$3:DB316,"&gt;0"),0)</f>
        <v>0</v>
      </c>
      <c r="DC317">
        <f>IF(IF(OR(IFERROR(SEARCH("Cleric",$T317,1),0)&gt;0,IFERROR(SEARCH(DivineDomain&amp;",",$T317,1),0)&gt;0),1,0)*IF($C317=DC$2,1,0)=1,1+COUNTIF(DC$3:DC316,"&gt;0"),0)</f>
        <v>0</v>
      </c>
      <c r="DD317">
        <f>IF(IF(OR(IFERROR(SEARCH("Cleric",$T317,1),0)&gt;0,IFERROR(SEARCH(DivineDomain&amp;",",$T317,1),0)&gt;0),1,0)*IF($C317=DD$2,1,0)=1,1+COUNTIF(DD$3:DD316,"&gt;0"),0)</f>
        <v>8</v>
      </c>
      <c r="DE317">
        <f>IF(IF(OR(IFERROR(SEARCH("Cleric",$T317,1),0)&gt;0,IFERROR(SEARCH(DivineDomain&amp;",",$T317,1),0)&gt;0),1,0)*IF($C317=DE$2,1,0)=1,1+COUNTIF(DE$3:DE316,"&gt;0"),0)</f>
        <v>0</v>
      </c>
      <c r="DF317">
        <f>IF(IF(OR(IFERROR(SEARCH("Cleric",$T317,1),0)&gt;0,IFERROR(SEARCH(DivineDomain&amp;",",$T317,1),0)&gt;0),1,0)*IF($C317=DF$2,1,0)=1,1+COUNTIF(DF$3:DF316,"&gt;0"),0)</f>
        <v>0</v>
      </c>
      <c r="DG317">
        <f>IF(IF(OR(IFERROR(SEARCH("Cleric",$T317,1),0)&gt;0,IFERROR(SEARCH(DivineDomain&amp;",",$T317,1),0)&gt;0),1,0)*IF($C317=DG$2,1,0)=1,1+COUNTIF(DG$3:DG316,"&gt;0"),0)</f>
        <v>0</v>
      </c>
      <c r="DH317">
        <f>IF(IF(OR(IFERROR(SEARCH("Cleric",$T317,1),0)&gt;0,IFERROR(SEARCH(DivineDomain&amp;",",$T317,1),0)&gt;0),1,0)*IF($C317=DH$2,1,0)=1,1+COUNTIF(DH$3:DH316,"&gt;0"),0)</f>
        <v>0</v>
      </c>
      <c r="DI317">
        <f>IF(IF(OR(IFERROR(SEARCH("Cleric",$T317,1),0)&gt;0,IFERROR(SEARCH(DivineDomain&amp;",",$T317,1),0)&gt;0),1,0)*IF($C317=DI$2,1,0)=1,1+COUNTIF(DI$3:DI316,"&gt;0"),0)</f>
        <v>0</v>
      </c>
      <c r="DJ317">
        <f>IF(IF(OR(IFERROR(SEARCH("Druid",$T317,1),0)&gt;0,IFERROR(SEARCH(DruidLand1,$T317,1),0)&gt;0,IFERROR(SEARCH(DruidLand2,$T317,1),0)&gt;0,IFERROR(SEARCH(DruidLand3,$T317,1),0)&gt;0,IFERROR(SEARCH(DruidLand4,$T317,1),0)&gt;0),1,0)*IF($C317=1,1,0)*IF($C317=DJ$2,1,0)=0,0,1+COUNTIF(DJ$3:DJ316,"&gt;0"))</f>
        <v>0</v>
      </c>
      <c r="DK317">
        <f>IF(IF(OR(IFERROR(SEARCH("Druid",$T317,1),0)&gt;0,IFERROR(SEARCH(DruidLand1,$T317,1),0)&gt;0,IFERROR(SEARCH(DruidLand2,$T317,1),0)&gt;0,IFERROR(SEARCH(DruidLand3,$T317,1),0)&gt;0,IFERROR(SEARCH(DruidLand4,$T317,1),0)&gt;0),1,0)*IF($C317=DK$2,1,0)=0,0,1+COUNTIF(DK$3:DK316,"&gt;0"))</f>
        <v>0</v>
      </c>
      <c r="DL317">
        <f>IF(IF(OR(IFERROR(SEARCH("Druid",$T317,1),0)&gt;0,IFERROR(SEARCH(DruidLand1,$T317,1),0)&gt;0,IFERROR(SEARCH(DruidLand2,$T317,1),0)&gt;0,IFERROR(SEARCH(DruidLand3,$T317,1),0)&gt;0,IFERROR(SEARCH(DruidLand4,$T317,1),0)&gt;0),1,0)*IF($C317=DL$2,1,0)=0,0,1+COUNTIF(DL$3:DL316,"&gt;0"))</f>
        <v>0</v>
      </c>
      <c r="DM317">
        <f>IF(IF(OR(IFERROR(SEARCH("Druid",$T317,1),0)&gt;0,IFERROR(SEARCH(DruidLand1,$T317,1),0)&gt;0,IFERROR(SEARCH(DruidLand2,$T317,1),0)&gt;0,IFERROR(SEARCH(DruidLand3,$T317,1),0)&gt;0,IFERROR(SEARCH(DruidLand4,$T317,1),0)&gt;0),1,0)*IF($C317=DM$2,1,0)=0,0,1+COUNTIF(DM$3:DM316,"&gt;0"))</f>
        <v>13</v>
      </c>
      <c r="DN317">
        <f>IF(IF(OR(IFERROR(SEARCH("Druid",$T317,1),0)&gt;0,IFERROR(SEARCH(DruidLand1,$T317,1),0)&gt;0,IFERROR(SEARCH(DruidLand2,$T317,1),0)&gt;0,IFERROR(SEARCH(DruidLand3,$T317,1),0)&gt;0,IFERROR(SEARCH(DruidLand4,$T317,1),0)&gt;0),1,0)*IF($C317=DN$2,1,0)=0,0,1+COUNTIF(DN$3:DN316,"&gt;0"))</f>
        <v>0</v>
      </c>
      <c r="DO317">
        <f>IF(IF(OR(IFERROR(SEARCH("Druid",$T317,1),0)&gt;0,IFERROR(SEARCH(DruidLand1,$T317,1),0)&gt;0,IFERROR(SEARCH(DruidLand2,$T317,1),0)&gt;0,IFERROR(SEARCH(DruidLand3,$T317,1),0)&gt;0,IFERROR(SEARCH(DruidLand4,$T317,1),0)&gt;0),1,0)*IF($C317=DO$2,1,0)=0,0,1+COUNTIF(DO$3:DO316,"&gt;0"))</f>
        <v>0</v>
      </c>
      <c r="DP317">
        <f>IF(IF(OR(IFERROR(SEARCH("Druid",$T317,1),0)&gt;0,IFERROR(SEARCH(DruidLand1,$T317,1),0)&gt;0,IFERROR(SEARCH(DruidLand2,$T317,1),0)&gt;0,IFERROR(SEARCH(DruidLand3,$T317,1),0)&gt;0,IFERROR(SEARCH(DruidLand4,$T317,1),0)&gt;0),1,0)*IF($C317=DP$2,1,0)=0,0,1+COUNTIF(DP$3:DP316,"&gt;0"))</f>
        <v>0</v>
      </c>
      <c r="DQ317">
        <f>IF(IF(OR(IFERROR(SEARCH("Druid",$T317,1),0)&gt;0,IFERROR(SEARCH(DruidLand1,$T317,1),0)&gt;0,IFERROR(SEARCH(DruidLand2,$T317,1),0)&gt;0,IFERROR(SEARCH(DruidLand3,$T317,1),0)&gt;0,IFERROR(SEARCH(DruidLand4,$T317,1),0)&gt;0),1,0)*IF($C317=DQ$2,1,0)=0,0,1+COUNTIF(DQ$3:DQ316,"&gt;0"))</f>
        <v>0</v>
      </c>
      <c r="DR317">
        <f>IF(IF(OR(IFERROR(SEARCH("Druid",$T317,1),0)&gt;0,IFERROR(SEARCH(DruidLand1,$T317,1),0)&gt;0,IFERROR(SEARCH(DruidLand2,$T317,1),0)&gt;0,IFERROR(SEARCH(DruidLand3,$T317,1),0)&gt;0,IFERROR(SEARCH(DruidLand4,$T317,1),0)&gt;0),1,0)*IF($C317=DR$2,1,0)=0,0,1+COUNTIF(DR$3:DR316,"&gt;0"))</f>
        <v>0</v>
      </c>
      <c r="DS317">
        <f>IF(IF(OR(IFERROR(SEARCH("Paladin",$T317,1),0)&gt;0,IFERROR(SEARCH(PaladinOath,$T317,1),0)&gt;0),1,0)*IF($C317=DS$2,1,0)=1,1+COUNTIF(DS$3:DS316,"&gt;0"),0)</f>
        <v>0</v>
      </c>
      <c r="DT317">
        <f>IF(IF(OR(IFERROR(SEARCH("Paladin",$T317,1),0)&gt;0,IFERROR(SEARCH(PaladinOath,$T317,1),0)&gt;0),1,0)*IF($C317=DT$2,1,0)=1,1+COUNTIF(DT$3:DT316,"&gt;0"),0)</f>
        <v>0</v>
      </c>
      <c r="DU317">
        <f>IF(IF(OR(IFERROR(SEARCH("Paladin",$T317,1),0)&gt;0,IFERROR(SEARCH(PaladinOath,$T317,1),0)&gt;0),1,0)*IF($C317=DU$2,1,0)=1,1+COUNTIF(DU$3:DU316,"&gt;0"),0)</f>
        <v>0</v>
      </c>
      <c r="DV317">
        <f>IF(IF(OR(IFERROR(SEARCH("Paladin",$T317,1),0)&gt;0,IFERROR(SEARCH(PaladinOath,$T317,1),0)&gt;0),1,0)*IF($C317=DV$2,1,0)=1,1+COUNTIF(DV$3:DV316,"&gt;0"),0)</f>
        <v>0</v>
      </c>
      <c r="DW317">
        <f>IF(IF(OR(IFERROR(SEARCH("Paladin",$T317,1),0)&gt;0,IFERROR(SEARCH(PaladinOath,$T317,1),0)&gt;0),1,0)*IF($C317=DW$2,1,0)=1,1+COUNTIF(DW$3:DW316,"&gt;0"),0)</f>
        <v>0</v>
      </c>
      <c r="DY317">
        <f t="shared" si="225"/>
        <v>1</v>
      </c>
      <c r="DZ317">
        <f>IF(DY317=0,0,1+MAX(DZ$3:$DZ316))</f>
        <v>315</v>
      </c>
      <c r="EB317">
        <f t="shared" si="239"/>
        <v>0</v>
      </c>
      <c r="EC317">
        <f>IF(EB317=0,0,1+COUNTIF(EC$3:EC316,"&gt;0"))</f>
        <v>0</v>
      </c>
      <c r="ED317" t="str">
        <f t="shared" si="267"/>
        <v/>
      </c>
      <c r="EE317" t="str">
        <f t="shared" si="240"/>
        <v/>
      </c>
      <c r="EG317">
        <f t="shared" si="241"/>
        <v>0</v>
      </c>
      <c r="EH317">
        <f>IF(EG317=0,0,1+COUNTIF(EH$3:EH316,"&gt;0"))</f>
        <v>0</v>
      </c>
      <c r="EI317" t="str">
        <f t="shared" si="268"/>
        <v/>
      </c>
      <c r="EJ317" t="str">
        <f t="shared" si="242"/>
        <v/>
      </c>
      <c r="EL317">
        <f t="shared" si="243"/>
        <v>0</v>
      </c>
      <c r="EM317">
        <f>IF(EL317=0,0,1+COUNTIF(EM$3:EM316,"&gt;0"))</f>
        <v>0</v>
      </c>
      <c r="EN317" t="str">
        <f t="shared" si="269"/>
        <v/>
      </c>
      <c r="EO317" t="str">
        <f t="shared" si="244"/>
        <v/>
      </c>
      <c r="EQ317">
        <f t="shared" si="245"/>
        <v>0</v>
      </c>
      <c r="ER317">
        <f>IF(EQ317=0,0,1+COUNTIF(ER$3:ER316,"&gt;0"))</f>
        <v>0</v>
      </c>
      <c r="ES317" t="str">
        <f t="shared" si="270"/>
        <v/>
      </c>
      <c r="ET317" t="str">
        <f t="shared" si="246"/>
        <v/>
      </c>
      <c r="EV317">
        <f t="shared" si="247"/>
        <v>0</v>
      </c>
      <c r="EW317">
        <f>IF(EV317=0,0,1+COUNTIF(EW$3:EW316,"&gt;0"))</f>
        <v>0</v>
      </c>
      <c r="EX317" t="str">
        <f t="shared" si="271"/>
        <v/>
      </c>
      <c r="EY317" t="str">
        <f t="shared" si="248"/>
        <v/>
      </c>
      <c r="FA317">
        <f t="shared" si="249"/>
        <v>0</v>
      </c>
      <c r="FB317">
        <f>IF(FA317=0,0,1+COUNTIF(FB$3:FB316,"&gt;0"))</f>
        <v>0</v>
      </c>
      <c r="FC317" t="str">
        <f t="shared" si="272"/>
        <v/>
      </c>
      <c r="FD317" t="str">
        <f t="shared" si="250"/>
        <v/>
      </c>
      <c r="FF317">
        <f t="shared" si="251"/>
        <v>0</v>
      </c>
      <c r="FG317">
        <f>IF(FF317=0,0,1+COUNTIF(FG$3:FG316,"&gt;0"))</f>
        <v>0</v>
      </c>
      <c r="FH317" t="str">
        <f t="shared" si="273"/>
        <v/>
      </c>
      <c r="FI317" t="str">
        <f t="shared" si="252"/>
        <v/>
      </c>
      <c r="FK317">
        <f t="shared" si="253"/>
        <v>0</v>
      </c>
      <c r="FL317">
        <f>IF(FK317=0,0,1+COUNTIF(FL$3:FL316,"&gt;0"))</f>
        <v>0</v>
      </c>
      <c r="FM317" t="str">
        <f t="shared" si="274"/>
        <v/>
      </c>
      <c r="FN317" t="str">
        <f t="shared" si="254"/>
        <v/>
      </c>
      <c r="FP317">
        <f t="shared" si="255"/>
        <v>0</v>
      </c>
      <c r="FQ317">
        <f>IF(FP317=0,0,1+COUNTIF(FQ$3:FQ316,"&gt;0"))</f>
        <v>0</v>
      </c>
      <c r="FR317" t="str">
        <f t="shared" si="275"/>
        <v/>
      </c>
      <c r="FS317" t="str">
        <f t="shared" si="256"/>
        <v/>
      </c>
    </row>
    <row r="318" spans="1:175" x14ac:dyDescent="0.25">
      <c r="A318" s="347">
        <f t="shared" si="276"/>
        <v>316</v>
      </c>
      <c r="B318" s="348" t="s">
        <v>2714</v>
      </c>
      <c r="C318" s="348">
        <v>4</v>
      </c>
      <c r="D318" s="347">
        <v>4</v>
      </c>
      <c r="E318" s="627" t="s">
        <v>6952</v>
      </c>
      <c r="F318" s="346"/>
      <c r="G318" s="347" t="str">
        <f>""</f>
        <v/>
      </c>
      <c r="H318" s="347" t="s">
        <v>5912</v>
      </c>
      <c r="I318" s="347" t="s">
        <v>5298</v>
      </c>
      <c r="J318" s="347" t="str">
        <f t="shared" si="226"/>
        <v/>
      </c>
      <c r="K318" s="347" t="s">
        <v>5284</v>
      </c>
      <c r="L318" s="611" t="str">
        <f t="shared" si="227"/>
        <v>V, S, M, diamond dust worth 100 gp</v>
      </c>
      <c r="M318" s="347" t="s">
        <v>2373</v>
      </c>
      <c r="N318" s="347" t="s">
        <v>2387</v>
      </c>
      <c r="O318" s="347" t="s">
        <v>1244</v>
      </c>
      <c r="P318" s="346" t="s">
        <v>5490</v>
      </c>
      <c r="Q318" s="347" t="s">
        <v>5270</v>
      </c>
      <c r="S318" s="346" t="s">
        <v>2715</v>
      </c>
      <c r="T318" s="346" t="str">
        <f t="shared" si="228"/>
        <v xml:space="preserve">Sorcerer, Druid, Eldritch Knight, Wizard, Ancients, Mountain, War, </v>
      </c>
      <c r="X318" s="347" t="str">
        <f>$B318</f>
        <v>Stoneskin</v>
      </c>
      <c r="AA318" s="347" t="str">
        <f>$B318</f>
        <v>Stoneskin</v>
      </c>
      <c r="AB318" s="542" t="str">
        <f>AD318</f>
        <v>Stoneskin</v>
      </c>
      <c r="AD318" s="347" t="str">
        <f>$B318</f>
        <v>Stoneskin</v>
      </c>
      <c r="AE318" t="str">
        <f>IF(IFERROR(MATCH($B318,temp!A$4:A$13,0),0)&gt;0,T08_Spells!AE$2,"")</f>
        <v/>
      </c>
      <c r="AF318" t="str">
        <f>IF(IFERROR(MATCH($B318,temp!B$4:B$13,0),0)&gt;0,T08_Spells!AF$2,"")</f>
        <v/>
      </c>
      <c r="AG318" t="str">
        <f>IF(IFERROR(MATCH($B318,temp!C$4:C$13,0),0)&gt;0,T08_Spells!AG$2,"")</f>
        <v>Ancients</v>
      </c>
      <c r="AH318" t="str">
        <f>IF(IFERROR(MATCH($B318,temp!D$4:D$13,0),0)&gt;0,T08_Spells!AH$2,"")</f>
        <v/>
      </c>
      <c r="AI318" t="str">
        <f>IF(IFERROR(MATCH($B318,temp!E$4:E$13,0),0)&gt;0,T08_Spells!AI$2,"")</f>
        <v/>
      </c>
      <c r="AJ318" t="str">
        <f>IF(IFERROR(MATCH($B318,temp!F$4:F$13,0),0)&gt;0,T08_Spells!AJ$2,"")</f>
        <v/>
      </c>
      <c r="AK318" t="str">
        <f>IF(IFERROR(MATCH($B318,temp!G$4:G$13,0),0)&gt;0,T08_Spells!AK$2,"")</f>
        <v/>
      </c>
      <c r="AL318" t="str">
        <f>IF(IFERROR(MATCH($B318,temp!H$4:H$13,0),0)&gt;0,T08_Spells!AL$2,"")</f>
        <v/>
      </c>
      <c r="AM318" t="str">
        <f>IF(IFERROR(MATCH($B318,temp!I$4:I$13,0),0)&gt;0,T08_Spells!AM$2,"")</f>
        <v/>
      </c>
      <c r="AN318" t="str">
        <f>IF(IFERROR(MATCH($B318,temp!J$4:J$13,0),0)&gt;0,T08_Spells!AN$2,"")</f>
        <v/>
      </c>
      <c r="AO318" t="str">
        <f>IF(IFERROR(MATCH($B318,temp!K$4:K$13,0),0)&gt;0,T08_Spells!AO$2,"")</f>
        <v/>
      </c>
      <c r="AP318" t="str">
        <f>IF(IFERROR(MATCH($B318,temp!L$4:L$13,0),0)&gt;0,T08_Spells!AP$2,"")</f>
        <v/>
      </c>
      <c r="AQ318" t="str">
        <f>IF(IFERROR(MATCH($B318,temp!M$4:M$13,0),0)&gt;0,T08_Spells!AQ$2,"")</f>
        <v>Mountain</v>
      </c>
      <c r="AR318" t="str">
        <f>IF(IFERROR(MATCH($B318,temp!N$4:N$13,0),0)&gt;0,T08_Spells!AR$2,"")</f>
        <v/>
      </c>
      <c r="AS318" t="str">
        <f>IF(IFERROR(MATCH($B318,temp!O$4:O$13,0),0)&gt;0,T08_Spells!AS$2,"")</f>
        <v/>
      </c>
      <c r="AT318" t="str">
        <f>IF(IFERROR(MATCH($B318,temp!P$4:P$13,0),0)&gt;0,T08_Spells!AT$2,"")</f>
        <v/>
      </c>
      <c r="AU318" t="str">
        <f>IF(IFERROR(MATCH($B318,temp!Q$4:Q$13,0),0)&gt;0,T08_Spells!AU$2,"")</f>
        <v/>
      </c>
      <c r="AV318" t="str">
        <f>IF(IFERROR(MATCH($B318,temp!R$4:R$13,0),0)&gt;0,T08_Spells!AV$2,"")</f>
        <v/>
      </c>
      <c r="AW318" t="str">
        <f>IF(IFERROR(MATCH($B318,temp!S$4:S$13,0),0)&gt;0,T08_Spells!AW$2,"")</f>
        <v/>
      </c>
      <c r="AX318" t="str">
        <f>IF(IFERROR(MATCH($B318,temp!T$4:T$13,0),0)&gt;0,T08_Spells!AX$2,"")</f>
        <v/>
      </c>
      <c r="AY318" t="str">
        <f>IF(IFERROR(MATCH($B318,temp!U$4:U$13,0),0)&gt;0,T08_Spells!AY$2,"")</f>
        <v/>
      </c>
      <c r="AZ318" t="str">
        <f>IF(IFERROR(MATCH($B318,temp!V$4:V$13,0),0)&gt;0,T08_Spells!AZ$2,"")</f>
        <v>War</v>
      </c>
      <c r="BA318" t="str">
        <f>IF(IFERROR(MATCH($B318,temp!W$4:W$13,0),0)&gt;0,T08_Spells!BA$2,"")</f>
        <v/>
      </c>
      <c r="BC318">
        <f>IF(IFERROR(SEARCH("Ranger",$T318,1),0)&gt;0,1,0)*IF(RangerMaxSpellLevel&gt;=$C318,1,0)*IF(IFERROR(MATCH(B318,Character_Creation!$X$79:$X$382,0),0)&gt;0,0,1)</f>
        <v>0</v>
      </c>
      <c r="BD318">
        <f>IF(BC318=0,0,1+COUNTIF(BD$3:BD317,"&gt;0"))</f>
        <v>0</v>
      </c>
      <c r="BE318" t="str">
        <f t="shared" si="257"/>
        <v/>
      </c>
      <c r="BF318" t="str">
        <f t="shared" si="229"/>
        <v/>
      </c>
      <c r="BH318">
        <f>IF(IFERROR(SEARCH("Sorcerer",$T318,1),0)&gt;0,1,0)*IF(SorcererMaxSpellLevel&gt;=$C318,1,0)*IF(IFERROR(MATCH(B318,Character_Creation!$J$380:$J$394,0),0)&gt;0,0,1)</f>
        <v>0</v>
      </c>
      <c r="BI318">
        <f>IF(BH318=0,0,1+COUNTIF(BI$3:BI317,"&gt;0"))</f>
        <v>0</v>
      </c>
      <c r="BJ318" t="str">
        <f t="shared" si="258"/>
        <v/>
      </c>
      <c r="BK318" t="str">
        <f t="shared" si="230"/>
        <v/>
      </c>
      <c r="BM318">
        <f>IF(OR(IFERROR(SEARCH("Warlock",$T318,1),0)&gt;0,IFERROR(SEARCH(WarlockPatron,$T318,1),0)&gt;0),1,0)*IF(WarlockMaxSpellLevel&gt;=$C318,1,0)*IF(IFERROR(MATCH(B318,Character_Creation!$J$361:$J$375,0),0)&gt;0,0,1)</f>
        <v>0</v>
      </c>
      <c r="BN318">
        <f>IF(BM318=0,0,1+COUNTIF(BN$3:BN317,"&gt;0"))</f>
        <v>0</v>
      </c>
      <c r="BO318" t="str">
        <f t="shared" si="259"/>
        <v/>
      </c>
      <c r="BP318" t="str">
        <f t="shared" si="231"/>
        <v/>
      </c>
      <c r="BR318">
        <f>IF(IFERROR(SEARCH("Eldritch Knight",$T318,1),0)&gt;0,1,0)*IF(EldritchKnightMaxSpellLevel&gt;=$C318,1,0)*IF(IFERROR(MATCH($B318,Character_Creation!$J$350:$J$356,0),0)&gt;0,0,1)*IF(Character_Creation!$M$338&gt;0,1,0)</f>
        <v>0</v>
      </c>
      <c r="BS318">
        <f>IF(BR318=0,0,1+COUNTIF(BS$3:BS317,"&gt;0"))</f>
        <v>0</v>
      </c>
      <c r="BT318" t="str">
        <f t="shared" si="260"/>
        <v/>
      </c>
      <c r="BU318" t="str">
        <f t="shared" si="232"/>
        <v/>
      </c>
      <c r="BW318">
        <f>IF(IFERROR(SEARCH("Arcane Trickster",$T318,1),0)&gt;0,1,0)*IF(ArcaneTricksterMaxSpellLevel&gt;=$C318,1,0)*IF(IFERROR(MATCH($B318,Character_Creation!$J$350:$J$356,0),0)&gt;0,0,1)*IF(Character_Creation!$T$338&gt;0,1,0)</f>
        <v>0</v>
      </c>
      <c r="BX318">
        <f>IF(BW318=0,0,1+COUNTIF(BX$3:BX317,"&gt;0"))</f>
        <v>0</v>
      </c>
      <c r="BY318" t="str">
        <f t="shared" si="261"/>
        <v/>
      </c>
      <c r="BZ318" t="str">
        <f t="shared" si="233"/>
        <v/>
      </c>
      <c r="CB318">
        <f>IF(IFERROR(SEARCH("Wizard",$T318,1),0)&gt;0,1,0)*IF(C318&lt;=ArcaneTricksterMaxSpellLevel,1,0)*IF(IFERROR(MATCH($B318,Character_Creation!$J$350:$J$356,0),0)&gt;0,0,1)*IF(Character_Creation!$T$350&gt;0,1,0)</f>
        <v>0</v>
      </c>
      <c r="CC318">
        <f>IF(CB318=0,0,1+COUNTIF(CC$3:CC317,"&gt;0"))</f>
        <v>0</v>
      </c>
      <c r="CD318" t="str">
        <f t="shared" si="262"/>
        <v/>
      </c>
      <c r="CE318" t="str">
        <f t="shared" si="234"/>
        <v/>
      </c>
      <c r="CG318">
        <f>IF(IFERROR(SEARCH("Wizard",$T318,1),0)&gt;0,1,0)*IF($C318&lt;=EldritchKnightMaxSpellLevel,1,0)*IF(IFERROR(MATCH($B318,Character_Creation!$J$350:$J$356,0),0)&gt;0,0,1)*IF(Character_Creation!$M$350&gt;0,1,0)</f>
        <v>0</v>
      </c>
      <c r="CH318">
        <f>IF(CG318=0,0,1+COUNTIF(CH$3:CH317,"&gt;0"))</f>
        <v>0</v>
      </c>
      <c r="CI318" t="str">
        <f t="shared" si="263"/>
        <v/>
      </c>
      <c r="CJ318" t="str">
        <f t="shared" si="235"/>
        <v/>
      </c>
      <c r="CL318">
        <f>IF(IFERROR(SEARCH("Bard",$T318,1),0)&gt;0,1,0)*IF(BardMaxSpellLevel&gt;=$C318,1,0)*IF(IFERROR(MATCH(B318,Character_Creation!$C$341:$F$362,0),0)&gt;0,0,1)*IF(IFERROR(MATCH($B318,Character_Creation!$C$341:$C$362,0),0)&gt;0,0,1)</f>
        <v>0</v>
      </c>
      <c r="CM318">
        <f>IF(CL318=0,0,1+COUNTIF(CM$3:CM317,"&gt;0"))</f>
        <v>0</v>
      </c>
      <c r="CN318" t="str">
        <f t="shared" si="264"/>
        <v/>
      </c>
      <c r="CO318" t="str">
        <f t="shared" si="236"/>
        <v/>
      </c>
      <c r="CQ318">
        <f>IF(IFERROR(SEARCH("Wizard",$T318,1),0)&gt;0,1,0)*IF(WizardMaxSpellLevel&gt;=$C318,1,0)*IF(IFERROR(MATCH(B318,Character_Creation!$X$341:$X$400,0),0)&gt;0,0,1)*IF(SelectedWizardSpellLevel=$C318,1,0)</f>
        <v>0</v>
      </c>
      <c r="CR318">
        <f>IF(CQ318=0,0,1+COUNTIF(CR$3:CR317,"&gt;0"))</f>
        <v>0</v>
      </c>
      <c r="CS318" t="str">
        <f t="shared" si="265"/>
        <v/>
      </c>
      <c r="CT318" t="str">
        <f t="shared" si="237"/>
        <v/>
      </c>
      <c r="CV318">
        <f>IF(IFERROR(MATCH($B318,Character_Creation!$C$341:$C$362,0),0)&gt;0,0,1)*IF(OR(C318="Cantrip",C318&lt;=BardMaxSpellLevel),1,0)*IF(IFERROR(MATCH($B318,Character_Creation!$C$367:$C$374,0),0)&gt;0,0,1)</f>
        <v>0</v>
      </c>
      <c r="CW318">
        <f>IF(CV318=0,0,1+COUNTIF(CW$3:CW317,"&gt;0"))</f>
        <v>0</v>
      </c>
      <c r="CX318" t="str">
        <f t="shared" si="266"/>
        <v/>
      </c>
      <c r="CY318" t="str">
        <f t="shared" si="238"/>
        <v/>
      </c>
      <c r="DA318">
        <f>IF(IF(OR(IFERROR(SEARCH("Cleric",$T318,1),0)&gt;0,IFERROR(SEARCH(DivineDomain&amp;",",$T318,1),0)&gt;0),1,0)*IF($C318=DA$2,1,0)=1,1+COUNTIF(DA$3:DA317,"&gt;0"),0)</f>
        <v>0</v>
      </c>
      <c r="DB318">
        <f>IF(IF(OR(IFERROR(SEARCH("Cleric",$T318,1),0)&gt;0,IFERROR(SEARCH(DivineDomain&amp;",",$T318,1),0)&gt;0),1,0)*IF($C318=DB$2,1,0)=1,1+COUNTIF(DB$3:DB317,"&gt;0"),0)</f>
        <v>0</v>
      </c>
      <c r="DC318">
        <f>IF(IF(OR(IFERROR(SEARCH("Cleric",$T318,1),0)&gt;0,IFERROR(SEARCH(DivineDomain&amp;",",$T318,1),0)&gt;0),1,0)*IF($C318=DC$2,1,0)=1,1+COUNTIF(DC$3:DC317,"&gt;0"),0)</f>
        <v>0</v>
      </c>
      <c r="DD318">
        <f>IF(IF(OR(IFERROR(SEARCH("Cleric",$T318,1),0)&gt;0,IFERROR(SEARCH(DivineDomain&amp;",",$T318,1),0)&gt;0),1,0)*IF($C318=DD$2,1,0)=1,1+COUNTIF(DD$3:DD317,"&gt;0"),0)</f>
        <v>0</v>
      </c>
      <c r="DE318">
        <f>IF(IF(OR(IFERROR(SEARCH("Cleric",$T318,1),0)&gt;0,IFERROR(SEARCH(DivineDomain&amp;",",$T318,1),0)&gt;0),1,0)*IF($C318=DE$2,1,0)=1,1+COUNTIF(DE$3:DE317,"&gt;0"),0)</f>
        <v>0</v>
      </c>
      <c r="DF318">
        <f>IF(IF(OR(IFERROR(SEARCH("Cleric",$T318,1),0)&gt;0,IFERROR(SEARCH(DivineDomain&amp;",",$T318,1),0)&gt;0),1,0)*IF($C318=DF$2,1,0)=1,1+COUNTIF(DF$3:DF317,"&gt;0"),0)</f>
        <v>0</v>
      </c>
      <c r="DG318">
        <f>IF(IF(OR(IFERROR(SEARCH("Cleric",$T318,1),0)&gt;0,IFERROR(SEARCH(DivineDomain&amp;",",$T318,1),0)&gt;0),1,0)*IF($C318=DG$2,1,0)=1,1+COUNTIF(DG$3:DG317,"&gt;0"),0)</f>
        <v>0</v>
      </c>
      <c r="DH318">
        <f>IF(IF(OR(IFERROR(SEARCH("Cleric",$T318,1),0)&gt;0,IFERROR(SEARCH(DivineDomain&amp;",",$T318,1),0)&gt;0),1,0)*IF($C318=DH$2,1,0)=1,1+COUNTIF(DH$3:DH317,"&gt;0"),0)</f>
        <v>0</v>
      </c>
      <c r="DI318">
        <f>IF(IF(OR(IFERROR(SEARCH("Cleric",$T318,1),0)&gt;0,IFERROR(SEARCH(DivineDomain&amp;",",$T318,1),0)&gt;0),1,0)*IF($C318=DI$2,1,0)=1,1+COUNTIF(DI$3:DI317,"&gt;0"),0)</f>
        <v>0</v>
      </c>
      <c r="DJ318">
        <f>IF(IF(OR(IFERROR(SEARCH("Druid",$T318,1),0)&gt;0,IFERROR(SEARCH(DruidLand1,$T318,1),0)&gt;0,IFERROR(SEARCH(DruidLand2,$T318,1),0)&gt;0,IFERROR(SEARCH(DruidLand3,$T318,1),0)&gt;0,IFERROR(SEARCH(DruidLand4,$T318,1),0)&gt;0),1,0)*IF($C318=1,1,0)*IF($C318=DJ$2,1,0)=0,0,1+COUNTIF(DJ$3:DJ317,"&gt;0"))</f>
        <v>0</v>
      </c>
      <c r="DK318">
        <f>IF(IF(OR(IFERROR(SEARCH("Druid",$T318,1),0)&gt;0,IFERROR(SEARCH(DruidLand1,$T318,1),0)&gt;0,IFERROR(SEARCH(DruidLand2,$T318,1),0)&gt;0,IFERROR(SEARCH(DruidLand3,$T318,1),0)&gt;0,IFERROR(SEARCH(DruidLand4,$T318,1),0)&gt;0),1,0)*IF($C318=DK$2,1,0)=0,0,1+COUNTIF(DK$3:DK317,"&gt;0"))</f>
        <v>0</v>
      </c>
      <c r="DL318">
        <f>IF(IF(OR(IFERROR(SEARCH("Druid",$T318,1),0)&gt;0,IFERROR(SEARCH(DruidLand1,$T318,1),0)&gt;0,IFERROR(SEARCH(DruidLand2,$T318,1),0)&gt;0,IFERROR(SEARCH(DruidLand3,$T318,1),0)&gt;0,IFERROR(SEARCH(DruidLand4,$T318,1),0)&gt;0),1,0)*IF($C318=DL$2,1,0)=0,0,1+COUNTIF(DL$3:DL317,"&gt;0"))</f>
        <v>0</v>
      </c>
      <c r="DM318">
        <f>IF(IF(OR(IFERROR(SEARCH("Druid",$T318,1),0)&gt;0,IFERROR(SEARCH(DruidLand1,$T318,1),0)&gt;0,IFERROR(SEARCH(DruidLand2,$T318,1),0)&gt;0,IFERROR(SEARCH(DruidLand3,$T318,1),0)&gt;0,IFERROR(SEARCH(DruidLand4,$T318,1),0)&gt;0),1,0)*IF($C318=DM$2,1,0)=0,0,1+COUNTIF(DM$3:DM317,"&gt;0"))</f>
        <v>14</v>
      </c>
      <c r="DN318">
        <f>IF(IF(OR(IFERROR(SEARCH("Druid",$T318,1),0)&gt;0,IFERROR(SEARCH(DruidLand1,$T318,1),0)&gt;0,IFERROR(SEARCH(DruidLand2,$T318,1),0)&gt;0,IFERROR(SEARCH(DruidLand3,$T318,1),0)&gt;0,IFERROR(SEARCH(DruidLand4,$T318,1),0)&gt;0),1,0)*IF($C318=DN$2,1,0)=0,0,1+COUNTIF(DN$3:DN317,"&gt;0"))</f>
        <v>0</v>
      </c>
      <c r="DO318">
        <f>IF(IF(OR(IFERROR(SEARCH("Druid",$T318,1),0)&gt;0,IFERROR(SEARCH(DruidLand1,$T318,1),0)&gt;0,IFERROR(SEARCH(DruidLand2,$T318,1),0)&gt;0,IFERROR(SEARCH(DruidLand3,$T318,1),0)&gt;0,IFERROR(SEARCH(DruidLand4,$T318,1),0)&gt;0),1,0)*IF($C318=DO$2,1,0)=0,0,1+COUNTIF(DO$3:DO317,"&gt;0"))</f>
        <v>0</v>
      </c>
      <c r="DP318">
        <f>IF(IF(OR(IFERROR(SEARCH("Druid",$T318,1),0)&gt;0,IFERROR(SEARCH(DruidLand1,$T318,1),0)&gt;0,IFERROR(SEARCH(DruidLand2,$T318,1),0)&gt;0,IFERROR(SEARCH(DruidLand3,$T318,1),0)&gt;0,IFERROR(SEARCH(DruidLand4,$T318,1),0)&gt;0),1,0)*IF($C318=DP$2,1,0)=0,0,1+COUNTIF(DP$3:DP317,"&gt;0"))</f>
        <v>0</v>
      </c>
      <c r="DQ318">
        <f>IF(IF(OR(IFERROR(SEARCH("Druid",$T318,1),0)&gt;0,IFERROR(SEARCH(DruidLand1,$T318,1),0)&gt;0,IFERROR(SEARCH(DruidLand2,$T318,1),0)&gt;0,IFERROR(SEARCH(DruidLand3,$T318,1),0)&gt;0,IFERROR(SEARCH(DruidLand4,$T318,1),0)&gt;0),1,0)*IF($C318=DQ$2,1,0)=0,0,1+COUNTIF(DQ$3:DQ317,"&gt;0"))</f>
        <v>0</v>
      </c>
      <c r="DR318">
        <f>IF(IF(OR(IFERROR(SEARCH("Druid",$T318,1),0)&gt;0,IFERROR(SEARCH(DruidLand1,$T318,1),0)&gt;0,IFERROR(SEARCH(DruidLand2,$T318,1),0)&gt;0,IFERROR(SEARCH(DruidLand3,$T318,1),0)&gt;0,IFERROR(SEARCH(DruidLand4,$T318,1),0)&gt;0),1,0)*IF($C318=DR$2,1,0)=0,0,1+COUNTIF(DR$3:DR317,"&gt;0"))</f>
        <v>0</v>
      </c>
      <c r="DS318">
        <f>IF(IF(OR(IFERROR(SEARCH("Paladin",$T318,1),0)&gt;0,IFERROR(SEARCH(PaladinOath,$T318,1),0)&gt;0),1,0)*IF($C318=DS$2,1,0)=1,1+COUNTIF(DS$3:DS317,"&gt;0"),0)</f>
        <v>0</v>
      </c>
      <c r="DT318">
        <f>IF(IF(OR(IFERROR(SEARCH("Paladin",$T318,1),0)&gt;0,IFERROR(SEARCH(PaladinOath,$T318,1),0)&gt;0),1,0)*IF($C318=DT$2,1,0)=1,1+COUNTIF(DT$3:DT317,"&gt;0"),0)</f>
        <v>0</v>
      </c>
      <c r="DU318">
        <f>IF(IF(OR(IFERROR(SEARCH("Paladin",$T318,1),0)&gt;0,IFERROR(SEARCH(PaladinOath,$T318,1),0)&gt;0),1,0)*IF($C318=DU$2,1,0)=1,1+COUNTIF(DU$3:DU317,"&gt;0"),0)</f>
        <v>0</v>
      </c>
      <c r="DV318">
        <f>IF(IF(OR(IFERROR(SEARCH("Paladin",$T318,1),0)&gt;0,IFERROR(SEARCH(PaladinOath,$T318,1),0)&gt;0),1,0)*IF($C318=DV$2,1,0)=1,1+COUNTIF(DV$3:DV317,"&gt;0"),0)</f>
        <v>0</v>
      </c>
      <c r="DW318">
        <f>IF(IF(OR(IFERROR(SEARCH("Paladin",$T318,1),0)&gt;0,IFERROR(SEARCH(PaladinOath,$T318,1),0)&gt;0),1,0)*IF($C318=DW$2,1,0)=1,1+COUNTIF(DW$3:DW317,"&gt;0"),0)</f>
        <v>0</v>
      </c>
      <c r="DY318">
        <f t="shared" si="225"/>
        <v>1</v>
      </c>
      <c r="DZ318">
        <f>IF(DY318=0,0,1+MAX(DZ$3:$DZ317))</f>
        <v>316</v>
      </c>
      <c r="EB318">
        <f t="shared" si="239"/>
        <v>0</v>
      </c>
      <c r="EC318">
        <f>IF(EB318=0,0,1+COUNTIF(EC$3:EC317,"&gt;0"))</f>
        <v>0</v>
      </c>
      <c r="ED318" t="str">
        <f t="shared" si="267"/>
        <v/>
      </c>
      <c r="EE318" t="str">
        <f t="shared" si="240"/>
        <v/>
      </c>
      <c r="EG318">
        <f t="shared" si="241"/>
        <v>0</v>
      </c>
      <c r="EH318">
        <f>IF(EG318=0,0,1+COUNTIF(EH$3:EH317,"&gt;0"))</f>
        <v>0</v>
      </c>
      <c r="EI318" t="str">
        <f t="shared" si="268"/>
        <v/>
      </c>
      <c r="EJ318" t="str">
        <f t="shared" si="242"/>
        <v/>
      </c>
      <c r="EL318">
        <f t="shared" si="243"/>
        <v>0</v>
      </c>
      <c r="EM318">
        <f>IF(EL318=0,0,1+COUNTIF(EM$3:EM317,"&gt;0"))</f>
        <v>0</v>
      </c>
      <c r="EN318" t="str">
        <f t="shared" si="269"/>
        <v/>
      </c>
      <c r="EO318" t="str">
        <f t="shared" si="244"/>
        <v/>
      </c>
      <c r="EQ318">
        <f t="shared" si="245"/>
        <v>0</v>
      </c>
      <c r="ER318">
        <f>IF(EQ318=0,0,1+COUNTIF(ER$3:ER317,"&gt;0"))</f>
        <v>0</v>
      </c>
      <c r="ES318" t="str">
        <f t="shared" si="270"/>
        <v/>
      </c>
      <c r="ET318" t="str">
        <f t="shared" si="246"/>
        <v/>
      </c>
      <c r="EV318">
        <f t="shared" si="247"/>
        <v>0</v>
      </c>
      <c r="EW318">
        <f>IF(EV318=0,0,1+COUNTIF(EW$3:EW317,"&gt;0"))</f>
        <v>0</v>
      </c>
      <c r="EX318" t="str">
        <f t="shared" si="271"/>
        <v/>
      </c>
      <c r="EY318" t="str">
        <f t="shared" si="248"/>
        <v/>
      </c>
      <c r="FA318">
        <f t="shared" si="249"/>
        <v>0</v>
      </c>
      <c r="FB318">
        <f>IF(FA318=0,0,1+COUNTIF(FB$3:FB317,"&gt;0"))</f>
        <v>0</v>
      </c>
      <c r="FC318" t="str">
        <f t="shared" si="272"/>
        <v/>
      </c>
      <c r="FD318" t="str">
        <f t="shared" si="250"/>
        <v/>
      </c>
      <c r="FF318">
        <f t="shared" si="251"/>
        <v>0</v>
      </c>
      <c r="FG318">
        <f>IF(FF318=0,0,1+COUNTIF(FG$3:FG317,"&gt;0"))</f>
        <v>0</v>
      </c>
      <c r="FH318" t="str">
        <f t="shared" si="273"/>
        <v/>
      </c>
      <c r="FI318" t="str">
        <f t="shared" si="252"/>
        <v/>
      </c>
      <c r="FK318">
        <f t="shared" si="253"/>
        <v>0</v>
      </c>
      <c r="FL318">
        <f>IF(FK318=0,0,1+COUNTIF(FL$3:FL317,"&gt;0"))</f>
        <v>0</v>
      </c>
      <c r="FM318" t="str">
        <f t="shared" si="274"/>
        <v/>
      </c>
      <c r="FN318" t="str">
        <f t="shared" si="254"/>
        <v/>
      </c>
      <c r="FP318">
        <f t="shared" si="255"/>
        <v>0</v>
      </c>
      <c r="FQ318">
        <f>IF(FP318=0,0,1+COUNTIF(FQ$3:FQ317,"&gt;0"))</f>
        <v>0</v>
      </c>
      <c r="FR318" t="str">
        <f t="shared" si="275"/>
        <v/>
      </c>
      <c r="FS318" t="str">
        <f t="shared" si="256"/>
        <v/>
      </c>
    </row>
    <row r="319" spans="1:175" x14ac:dyDescent="0.25">
      <c r="A319" s="347">
        <f t="shared" si="276"/>
        <v>317</v>
      </c>
      <c r="B319" s="348" t="s">
        <v>2716</v>
      </c>
      <c r="C319" s="348">
        <v>9</v>
      </c>
      <c r="D319" s="347">
        <v>9</v>
      </c>
      <c r="E319" s="627" t="s">
        <v>6952</v>
      </c>
      <c r="F319" s="346"/>
      <c r="G319" s="347" t="str">
        <f>""</f>
        <v/>
      </c>
      <c r="H319" s="347" t="s">
        <v>5912</v>
      </c>
      <c r="I319" s="347" t="s">
        <v>5432</v>
      </c>
      <c r="J319" s="347" t="str">
        <f t="shared" si="226"/>
        <v/>
      </c>
      <c r="K319" s="347" t="s">
        <v>5291</v>
      </c>
      <c r="L319" s="611" t="str">
        <f t="shared" si="227"/>
        <v>V, S</v>
      </c>
      <c r="M319" s="347" t="s">
        <v>2373</v>
      </c>
      <c r="N319" s="347" t="s">
        <v>2387</v>
      </c>
      <c r="O319" s="347" t="s">
        <v>3034</v>
      </c>
      <c r="P319" s="346" t="str">
        <f>""</f>
        <v/>
      </c>
      <c r="Q319" s="347" t="s">
        <v>5271</v>
      </c>
      <c r="S319" s="346" t="s">
        <v>5832</v>
      </c>
      <c r="T319" s="346" t="str">
        <f t="shared" si="228"/>
        <v xml:space="preserve">Druid, </v>
      </c>
      <c r="AA319" s="347" t="str">
        <f>$B319</f>
        <v>Storm of Vengeance</v>
      </c>
      <c r="AE319" t="str">
        <f>IF(IFERROR(MATCH($B319,temp!A$4:A$13,0),0)&gt;0,T08_Spells!AE$2,"")</f>
        <v/>
      </c>
      <c r="AF319" t="str">
        <f>IF(IFERROR(MATCH($B319,temp!B$4:B$13,0),0)&gt;0,T08_Spells!AF$2,"")</f>
        <v/>
      </c>
      <c r="AG319" t="str">
        <f>IF(IFERROR(MATCH($B319,temp!C$4:C$13,0),0)&gt;0,T08_Spells!AG$2,"")</f>
        <v/>
      </c>
      <c r="AH319" t="str">
        <f>IF(IFERROR(MATCH($B319,temp!D$4:D$13,0),0)&gt;0,T08_Spells!AH$2,"")</f>
        <v/>
      </c>
      <c r="AI319" t="str">
        <f>IF(IFERROR(MATCH($B319,temp!E$4:E$13,0),0)&gt;0,T08_Spells!AI$2,"")</f>
        <v/>
      </c>
      <c r="AJ319" t="str">
        <f>IF(IFERROR(MATCH($B319,temp!F$4:F$13,0),0)&gt;0,T08_Spells!AJ$2,"")</f>
        <v/>
      </c>
      <c r="AK319" t="str">
        <f>IF(IFERROR(MATCH($B319,temp!G$4:G$13,0),0)&gt;0,T08_Spells!AK$2,"")</f>
        <v/>
      </c>
      <c r="AL319" t="str">
        <f>IF(IFERROR(MATCH($B319,temp!H$4:H$13,0),0)&gt;0,T08_Spells!AL$2,"")</f>
        <v/>
      </c>
      <c r="AM319" t="str">
        <f>IF(IFERROR(MATCH($B319,temp!I$4:I$13,0),0)&gt;0,T08_Spells!AM$2,"")</f>
        <v/>
      </c>
      <c r="AN319" t="str">
        <f>IF(IFERROR(MATCH($B319,temp!J$4:J$13,0),0)&gt;0,T08_Spells!AN$2,"")</f>
        <v/>
      </c>
      <c r="AO319" t="str">
        <f>IF(IFERROR(MATCH($B319,temp!K$4:K$13,0),0)&gt;0,T08_Spells!AO$2,"")</f>
        <v/>
      </c>
      <c r="AP319" t="str">
        <f>IF(IFERROR(MATCH($B319,temp!L$4:L$13,0),0)&gt;0,T08_Spells!AP$2,"")</f>
        <v/>
      </c>
      <c r="AQ319" t="str">
        <f>IF(IFERROR(MATCH($B319,temp!M$4:M$13,0),0)&gt;0,T08_Spells!AQ$2,"")</f>
        <v/>
      </c>
      <c r="AR319" t="str">
        <f>IF(IFERROR(MATCH($B319,temp!N$4:N$13,0),0)&gt;0,T08_Spells!AR$2,"")</f>
        <v/>
      </c>
      <c r="AS319" t="str">
        <f>IF(IFERROR(MATCH($B319,temp!O$4:O$13,0),0)&gt;0,T08_Spells!AS$2,"")</f>
        <v/>
      </c>
      <c r="AT319" t="str">
        <f>IF(IFERROR(MATCH($B319,temp!P$4:P$13,0),0)&gt;0,T08_Spells!AT$2,"")</f>
        <v/>
      </c>
      <c r="AU319" t="str">
        <f>IF(IFERROR(MATCH($B319,temp!Q$4:Q$13,0),0)&gt;0,T08_Spells!AU$2,"")</f>
        <v/>
      </c>
      <c r="AV319" t="str">
        <f>IF(IFERROR(MATCH($B319,temp!R$4:R$13,0),0)&gt;0,T08_Spells!AV$2,"")</f>
        <v/>
      </c>
      <c r="AW319" t="str">
        <f>IF(IFERROR(MATCH($B319,temp!S$4:S$13,0),0)&gt;0,T08_Spells!AW$2,"")</f>
        <v/>
      </c>
      <c r="AX319" t="str">
        <f>IF(IFERROR(MATCH($B319,temp!T$4:T$13,0),0)&gt;0,T08_Spells!AX$2,"")</f>
        <v/>
      </c>
      <c r="AY319" t="str">
        <f>IF(IFERROR(MATCH($B319,temp!U$4:U$13,0),0)&gt;0,T08_Spells!AY$2,"")</f>
        <v/>
      </c>
      <c r="AZ319" t="str">
        <f>IF(IFERROR(MATCH($B319,temp!V$4:V$13,0),0)&gt;0,T08_Spells!AZ$2,"")</f>
        <v/>
      </c>
      <c r="BA319" t="str">
        <f>IF(IFERROR(MATCH($B319,temp!W$4:W$13,0),0)&gt;0,T08_Spells!BA$2,"")</f>
        <v/>
      </c>
      <c r="BC319">
        <f>IF(IFERROR(SEARCH("Ranger",$T319,1),0)&gt;0,1,0)*IF(RangerMaxSpellLevel&gt;=$C319,1,0)*IF(IFERROR(MATCH(B319,Character_Creation!$X$79:$X$382,0),0)&gt;0,0,1)</f>
        <v>0</v>
      </c>
      <c r="BD319">
        <f>IF(BC319=0,0,1+COUNTIF(BD$3:BD318,"&gt;0"))</f>
        <v>0</v>
      </c>
      <c r="BE319" t="str">
        <f t="shared" si="257"/>
        <v/>
      </c>
      <c r="BF319" t="str">
        <f t="shared" si="229"/>
        <v/>
      </c>
      <c r="BH319">
        <f>IF(IFERROR(SEARCH("Sorcerer",$T319,1),0)&gt;0,1,0)*IF(SorcererMaxSpellLevel&gt;=$C319,1,0)*IF(IFERROR(MATCH(B319,Character_Creation!$J$380:$J$394,0),0)&gt;0,0,1)</f>
        <v>0</v>
      </c>
      <c r="BI319">
        <f>IF(BH319=0,0,1+COUNTIF(BI$3:BI318,"&gt;0"))</f>
        <v>0</v>
      </c>
      <c r="BJ319" t="str">
        <f t="shared" si="258"/>
        <v/>
      </c>
      <c r="BK319" t="str">
        <f t="shared" si="230"/>
        <v/>
      </c>
      <c r="BM319">
        <f>IF(OR(IFERROR(SEARCH("Warlock",$T319,1),0)&gt;0,IFERROR(SEARCH(WarlockPatron,$T319,1),0)&gt;0),1,0)*IF(WarlockMaxSpellLevel&gt;=$C319,1,0)*IF(IFERROR(MATCH(B319,Character_Creation!$J$361:$J$375,0),0)&gt;0,0,1)</f>
        <v>0</v>
      </c>
      <c r="BN319">
        <f>IF(BM319=0,0,1+COUNTIF(BN$3:BN318,"&gt;0"))</f>
        <v>0</v>
      </c>
      <c r="BO319" t="str">
        <f t="shared" si="259"/>
        <v/>
      </c>
      <c r="BP319" t="str">
        <f t="shared" si="231"/>
        <v/>
      </c>
      <c r="BR319">
        <f>IF(IFERROR(SEARCH("Eldritch Knight",$T319,1),0)&gt;0,1,0)*IF(EldritchKnightMaxSpellLevel&gt;=$C319,1,0)*IF(IFERROR(MATCH($B319,Character_Creation!$J$350:$J$356,0),0)&gt;0,0,1)*IF(Character_Creation!$M$338&gt;0,1,0)</f>
        <v>0</v>
      </c>
      <c r="BS319">
        <f>IF(BR319=0,0,1+COUNTIF(BS$3:BS318,"&gt;0"))</f>
        <v>0</v>
      </c>
      <c r="BT319" t="str">
        <f t="shared" si="260"/>
        <v/>
      </c>
      <c r="BU319" t="str">
        <f t="shared" si="232"/>
        <v/>
      </c>
      <c r="BW319">
        <f>IF(IFERROR(SEARCH("Arcane Trickster",$T319,1),0)&gt;0,1,0)*IF(ArcaneTricksterMaxSpellLevel&gt;=$C319,1,0)*IF(IFERROR(MATCH($B319,Character_Creation!$J$350:$J$356,0),0)&gt;0,0,1)*IF(Character_Creation!$T$338&gt;0,1,0)</f>
        <v>0</v>
      </c>
      <c r="BX319">
        <f>IF(BW319=0,0,1+COUNTIF(BX$3:BX318,"&gt;0"))</f>
        <v>0</v>
      </c>
      <c r="BY319" t="str">
        <f t="shared" si="261"/>
        <v/>
      </c>
      <c r="BZ319" t="str">
        <f t="shared" si="233"/>
        <v/>
      </c>
      <c r="CB319">
        <f>IF(IFERROR(SEARCH("Wizard",$T319,1),0)&gt;0,1,0)*IF(C319&lt;=ArcaneTricksterMaxSpellLevel,1,0)*IF(IFERROR(MATCH($B319,Character_Creation!$J$350:$J$356,0),0)&gt;0,0,1)*IF(Character_Creation!$T$350&gt;0,1,0)</f>
        <v>0</v>
      </c>
      <c r="CC319">
        <f>IF(CB319=0,0,1+COUNTIF(CC$3:CC318,"&gt;0"))</f>
        <v>0</v>
      </c>
      <c r="CD319" t="str">
        <f t="shared" si="262"/>
        <v/>
      </c>
      <c r="CE319" t="str">
        <f t="shared" si="234"/>
        <v/>
      </c>
      <c r="CG319">
        <f>IF(IFERROR(SEARCH("Wizard",$T319,1),0)&gt;0,1,0)*IF($C319&lt;=EldritchKnightMaxSpellLevel,1,0)*IF(IFERROR(MATCH($B319,Character_Creation!$J$350:$J$356,0),0)&gt;0,0,1)*IF(Character_Creation!$M$350&gt;0,1,0)</f>
        <v>0</v>
      </c>
      <c r="CH319">
        <f>IF(CG319=0,0,1+COUNTIF(CH$3:CH318,"&gt;0"))</f>
        <v>0</v>
      </c>
      <c r="CI319" t="str">
        <f t="shared" si="263"/>
        <v/>
      </c>
      <c r="CJ319" t="str">
        <f t="shared" si="235"/>
        <v/>
      </c>
      <c r="CL319">
        <f>IF(IFERROR(SEARCH("Bard",$T319,1),0)&gt;0,1,0)*IF(BardMaxSpellLevel&gt;=$C319,1,0)*IF(IFERROR(MATCH(B319,Character_Creation!$C$341:$F$362,0),0)&gt;0,0,1)*IF(IFERROR(MATCH($B319,Character_Creation!$C$341:$C$362,0),0)&gt;0,0,1)</f>
        <v>0</v>
      </c>
      <c r="CM319">
        <f>IF(CL319=0,0,1+COUNTIF(CM$3:CM318,"&gt;0"))</f>
        <v>0</v>
      </c>
      <c r="CN319" t="str">
        <f t="shared" si="264"/>
        <v/>
      </c>
      <c r="CO319" t="str">
        <f t="shared" si="236"/>
        <v/>
      </c>
      <c r="CQ319">
        <f>IF(IFERROR(SEARCH("Wizard",$T319,1),0)&gt;0,1,0)*IF(WizardMaxSpellLevel&gt;=$C319,1,0)*IF(IFERROR(MATCH(B319,Character_Creation!$X$341:$X$400,0),0)&gt;0,0,1)*IF(SelectedWizardSpellLevel=$C319,1,0)</f>
        <v>0</v>
      </c>
      <c r="CR319">
        <f>IF(CQ319=0,0,1+COUNTIF(CR$3:CR318,"&gt;0"))</f>
        <v>0</v>
      </c>
      <c r="CS319" t="str">
        <f t="shared" si="265"/>
        <v/>
      </c>
      <c r="CT319" t="str">
        <f t="shared" si="237"/>
        <v/>
      </c>
      <c r="CV319">
        <f>IF(IFERROR(MATCH($B319,Character_Creation!$C$341:$C$362,0),0)&gt;0,0,1)*IF(OR(C319="Cantrip",C319&lt;=BardMaxSpellLevel),1,0)*IF(IFERROR(MATCH($B319,Character_Creation!$C$367:$C$374,0),0)&gt;0,0,1)</f>
        <v>0</v>
      </c>
      <c r="CW319">
        <f>IF(CV319=0,0,1+COUNTIF(CW$3:CW318,"&gt;0"))</f>
        <v>0</v>
      </c>
      <c r="CX319" t="str">
        <f t="shared" si="266"/>
        <v/>
      </c>
      <c r="CY319" t="str">
        <f t="shared" si="238"/>
        <v/>
      </c>
      <c r="DA319">
        <f>IF(IF(OR(IFERROR(SEARCH("Cleric",$T319,1),0)&gt;0,IFERROR(SEARCH(DivineDomain&amp;",",$T319,1),0)&gt;0),1,0)*IF($C319=DA$2,1,0)=1,1+COUNTIF(DA$3:DA318,"&gt;0"),0)</f>
        <v>0</v>
      </c>
      <c r="DB319">
        <f>IF(IF(OR(IFERROR(SEARCH("Cleric",$T319,1),0)&gt;0,IFERROR(SEARCH(DivineDomain&amp;",",$T319,1),0)&gt;0),1,0)*IF($C319=DB$2,1,0)=1,1+COUNTIF(DB$3:DB318,"&gt;0"),0)</f>
        <v>0</v>
      </c>
      <c r="DC319">
        <f>IF(IF(OR(IFERROR(SEARCH("Cleric",$T319,1),0)&gt;0,IFERROR(SEARCH(DivineDomain&amp;",",$T319,1),0)&gt;0),1,0)*IF($C319=DC$2,1,0)=1,1+COUNTIF(DC$3:DC318,"&gt;0"),0)</f>
        <v>0</v>
      </c>
      <c r="DD319">
        <f>IF(IF(OR(IFERROR(SEARCH("Cleric",$T319,1),0)&gt;0,IFERROR(SEARCH(DivineDomain&amp;",",$T319,1),0)&gt;0),1,0)*IF($C319=DD$2,1,0)=1,1+COUNTIF(DD$3:DD318,"&gt;0"),0)</f>
        <v>0</v>
      </c>
      <c r="DE319">
        <f>IF(IF(OR(IFERROR(SEARCH("Cleric",$T319,1),0)&gt;0,IFERROR(SEARCH(DivineDomain&amp;",",$T319,1),0)&gt;0),1,0)*IF($C319=DE$2,1,0)=1,1+COUNTIF(DE$3:DE318,"&gt;0"),0)</f>
        <v>0</v>
      </c>
      <c r="DF319">
        <f>IF(IF(OR(IFERROR(SEARCH("Cleric",$T319,1),0)&gt;0,IFERROR(SEARCH(DivineDomain&amp;",",$T319,1),0)&gt;0),1,0)*IF($C319=DF$2,1,0)=1,1+COUNTIF(DF$3:DF318,"&gt;0"),0)</f>
        <v>0</v>
      </c>
      <c r="DG319">
        <f>IF(IF(OR(IFERROR(SEARCH("Cleric",$T319,1),0)&gt;0,IFERROR(SEARCH(DivineDomain&amp;",",$T319,1),0)&gt;0),1,0)*IF($C319=DG$2,1,0)=1,1+COUNTIF(DG$3:DG318,"&gt;0"),0)</f>
        <v>0</v>
      </c>
      <c r="DH319">
        <f>IF(IF(OR(IFERROR(SEARCH("Cleric",$T319,1),0)&gt;0,IFERROR(SEARCH(DivineDomain&amp;",",$T319,1),0)&gt;0),1,0)*IF($C319=DH$2,1,0)=1,1+COUNTIF(DH$3:DH318,"&gt;0"),0)</f>
        <v>0</v>
      </c>
      <c r="DI319">
        <f>IF(IF(OR(IFERROR(SEARCH("Cleric",$T319,1),0)&gt;0,IFERROR(SEARCH(DivineDomain&amp;",",$T319,1),0)&gt;0),1,0)*IF($C319=DI$2,1,0)=1,1+COUNTIF(DI$3:DI318,"&gt;0"),0)</f>
        <v>0</v>
      </c>
      <c r="DJ319">
        <f>IF(IF(OR(IFERROR(SEARCH("Druid",$T319,1),0)&gt;0,IFERROR(SEARCH(DruidLand1,$T319,1),0)&gt;0,IFERROR(SEARCH(DruidLand2,$T319,1),0)&gt;0,IFERROR(SEARCH(DruidLand3,$T319,1),0)&gt;0,IFERROR(SEARCH(DruidLand4,$T319,1),0)&gt;0),1,0)*IF($C319=1,1,0)*IF($C319=DJ$2,1,0)=0,0,1+COUNTIF(DJ$3:DJ318,"&gt;0"))</f>
        <v>0</v>
      </c>
      <c r="DK319">
        <f>IF(IF(OR(IFERROR(SEARCH("Druid",$T319,1),0)&gt;0,IFERROR(SEARCH(DruidLand1,$T319,1),0)&gt;0,IFERROR(SEARCH(DruidLand2,$T319,1),0)&gt;0,IFERROR(SEARCH(DruidLand3,$T319,1),0)&gt;0,IFERROR(SEARCH(DruidLand4,$T319,1),0)&gt;0),1,0)*IF($C319=DK$2,1,0)=0,0,1+COUNTIF(DK$3:DK318,"&gt;0"))</f>
        <v>0</v>
      </c>
      <c r="DL319">
        <f>IF(IF(OR(IFERROR(SEARCH("Druid",$T319,1),0)&gt;0,IFERROR(SEARCH(DruidLand1,$T319,1),0)&gt;0,IFERROR(SEARCH(DruidLand2,$T319,1),0)&gt;0,IFERROR(SEARCH(DruidLand3,$T319,1),0)&gt;0,IFERROR(SEARCH(DruidLand4,$T319,1),0)&gt;0),1,0)*IF($C319=DL$2,1,0)=0,0,1+COUNTIF(DL$3:DL318,"&gt;0"))</f>
        <v>0</v>
      </c>
      <c r="DM319">
        <f>IF(IF(OR(IFERROR(SEARCH("Druid",$T319,1),0)&gt;0,IFERROR(SEARCH(DruidLand1,$T319,1),0)&gt;0,IFERROR(SEARCH(DruidLand2,$T319,1),0)&gt;0,IFERROR(SEARCH(DruidLand3,$T319,1),0)&gt;0,IFERROR(SEARCH(DruidLand4,$T319,1),0)&gt;0),1,0)*IF($C319=DM$2,1,0)=0,0,1+COUNTIF(DM$3:DM318,"&gt;0"))</f>
        <v>0</v>
      </c>
      <c r="DN319">
        <f>IF(IF(OR(IFERROR(SEARCH("Druid",$T319,1),0)&gt;0,IFERROR(SEARCH(DruidLand1,$T319,1),0)&gt;0,IFERROR(SEARCH(DruidLand2,$T319,1),0)&gt;0,IFERROR(SEARCH(DruidLand3,$T319,1),0)&gt;0,IFERROR(SEARCH(DruidLand4,$T319,1),0)&gt;0),1,0)*IF($C319=DN$2,1,0)=0,0,1+COUNTIF(DN$3:DN318,"&gt;0"))</f>
        <v>0</v>
      </c>
      <c r="DO319">
        <f>IF(IF(OR(IFERROR(SEARCH("Druid",$T319,1),0)&gt;0,IFERROR(SEARCH(DruidLand1,$T319,1),0)&gt;0,IFERROR(SEARCH(DruidLand2,$T319,1),0)&gt;0,IFERROR(SEARCH(DruidLand3,$T319,1),0)&gt;0,IFERROR(SEARCH(DruidLand4,$T319,1),0)&gt;0),1,0)*IF($C319=DO$2,1,0)=0,0,1+COUNTIF(DO$3:DO318,"&gt;0"))</f>
        <v>0</v>
      </c>
      <c r="DP319">
        <f>IF(IF(OR(IFERROR(SEARCH("Druid",$T319,1),0)&gt;0,IFERROR(SEARCH(DruidLand1,$T319,1),0)&gt;0,IFERROR(SEARCH(DruidLand2,$T319,1),0)&gt;0,IFERROR(SEARCH(DruidLand3,$T319,1),0)&gt;0,IFERROR(SEARCH(DruidLand4,$T319,1),0)&gt;0),1,0)*IF($C319=DP$2,1,0)=0,0,1+COUNTIF(DP$3:DP318,"&gt;0"))</f>
        <v>0</v>
      </c>
      <c r="DQ319">
        <f>IF(IF(OR(IFERROR(SEARCH("Druid",$T319,1),0)&gt;0,IFERROR(SEARCH(DruidLand1,$T319,1),0)&gt;0,IFERROR(SEARCH(DruidLand2,$T319,1),0)&gt;0,IFERROR(SEARCH(DruidLand3,$T319,1),0)&gt;0,IFERROR(SEARCH(DruidLand4,$T319,1),0)&gt;0),1,0)*IF($C319=DQ$2,1,0)=0,0,1+COUNTIF(DQ$3:DQ318,"&gt;0"))</f>
        <v>0</v>
      </c>
      <c r="DR319">
        <f>IF(IF(OR(IFERROR(SEARCH("Druid",$T319,1),0)&gt;0,IFERROR(SEARCH(DruidLand1,$T319,1),0)&gt;0,IFERROR(SEARCH(DruidLand2,$T319,1),0)&gt;0,IFERROR(SEARCH(DruidLand3,$T319,1),0)&gt;0,IFERROR(SEARCH(DruidLand4,$T319,1),0)&gt;0),1,0)*IF($C319=DR$2,1,0)=0,0,1+COUNTIF(DR$3:DR318,"&gt;0"))</f>
        <v>3</v>
      </c>
      <c r="DS319">
        <f>IF(IF(OR(IFERROR(SEARCH("Paladin",$T319,1),0)&gt;0,IFERROR(SEARCH(PaladinOath,$T319,1),0)&gt;0),1,0)*IF($C319=DS$2,1,0)=1,1+COUNTIF(DS$3:DS318,"&gt;0"),0)</f>
        <v>0</v>
      </c>
      <c r="DT319">
        <f>IF(IF(OR(IFERROR(SEARCH("Paladin",$T319,1),0)&gt;0,IFERROR(SEARCH(PaladinOath,$T319,1),0)&gt;0),1,0)*IF($C319=DT$2,1,0)=1,1+COUNTIF(DT$3:DT318,"&gt;0"),0)</f>
        <v>0</v>
      </c>
      <c r="DU319">
        <f>IF(IF(OR(IFERROR(SEARCH("Paladin",$T319,1),0)&gt;0,IFERROR(SEARCH(PaladinOath,$T319,1),0)&gt;0),1,0)*IF($C319=DU$2,1,0)=1,1+COUNTIF(DU$3:DU318,"&gt;0"),0)</f>
        <v>0</v>
      </c>
      <c r="DV319">
        <f>IF(IF(OR(IFERROR(SEARCH("Paladin",$T319,1),0)&gt;0,IFERROR(SEARCH(PaladinOath,$T319,1),0)&gt;0),1,0)*IF($C319=DV$2,1,0)=1,1+COUNTIF(DV$3:DV318,"&gt;0"),0)</f>
        <v>0</v>
      </c>
      <c r="DW319">
        <f>IF(IF(OR(IFERROR(SEARCH("Paladin",$T319,1),0)&gt;0,IFERROR(SEARCH(PaladinOath,$T319,1),0)&gt;0),1,0)*IF($C319=DW$2,1,0)=1,1+COUNTIF(DW$3:DW318,"&gt;0"),0)</f>
        <v>0</v>
      </c>
      <c r="DY319">
        <f t="shared" si="225"/>
        <v>1</v>
      </c>
      <c r="DZ319">
        <f>IF(DY319=0,0,1+MAX(DZ$3:$DZ318))</f>
        <v>317</v>
      </c>
      <c r="EB319">
        <f t="shared" si="239"/>
        <v>0</v>
      </c>
      <c r="EC319">
        <f>IF(EB319=0,0,1+COUNTIF(EC$3:EC318,"&gt;0"))</f>
        <v>0</v>
      </c>
      <c r="ED319" t="str">
        <f t="shared" si="267"/>
        <v/>
      </c>
      <c r="EE319" t="str">
        <f t="shared" si="240"/>
        <v/>
      </c>
      <c r="EG319">
        <f t="shared" si="241"/>
        <v>0</v>
      </c>
      <c r="EH319">
        <f>IF(EG319=0,0,1+COUNTIF(EH$3:EH318,"&gt;0"))</f>
        <v>0</v>
      </c>
      <c r="EI319" t="str">
        <f t="shared" si="268"/>
        <v/>
      </c>
      <c r="EJ319" t="str">
        <f t="shared" si="242"/>
        <v/>
      </c>
      <c r="EL319">
        <f t="shared" si="243"/>
        <v>0</v>
      </c>
      <c r="EM319">
        <f>IF(EL319=0,0,1+COUNTIF(EM$3:EM318,"&gt;0"))</f>
        <v>0</v>
      </c>
      <c r="EN319" t="str">
        <f t="shared" si="269"/>
        <v/>
      </c>
      <c r="EO319" t="str">
        <f t="shared" si="244"/>
        <v/>
      </c>
      <c r="EQ319">
        <f t="shared" si="245"/>
        <v>0</v>
      </c>
      <c r="ER319">
        <f>IF(EQ319=0,0,1+COUNTIF(ER$3:ER318,"&gt;0"))</f>
        <v>0</v>
      </c>
      <c r="ES319" t="str">
        <f t="shared" si="270"/>
        <v/>
      </c>
      <c r="ET319" t="str">
        <f t="shared" si="246"/>
        <v/>
      </c>
      <c r="EV319">
        <f t="shared" si="247"/>
        <v>0</v>
      </c>
      <c r="EW319">
        <f>IF(EV319=0,0,1+COUNTIF(EW$3:EW318,"&gt;0"))</f>
        <v>0</v>
      </c>
      <c r="EX319" t="str">
        <f t="shared" si="271"/>
        <v/>
      </c>
      <c r="EY319" t="str">
        <f t="shared" si="248"/>
        <v/>
      </c>
      <c r="FA319">
        <f t="shared" si="249"/>
        <v>0</v>
      </c>
      <c r="FB319">
        <f>IF(FA319=0,0,1+COUNTIF(FB$3:FB318,"&gt;0"))</f>
        <v>0</v>
      </c>
      <c r="FC319" t="str">
        <f t="shared" si="272"/>
        <v/>
      </c>
      <c r="FD319" t="str">
        <f t="shared" si="250"/>
        <v/>
      </c>
      <c r="FF319">
        <f t="shared" si="251"/>
        <v>0</v>
      </c>
      <c r="FG319">
        <f>IF(FF319=0,0,1+COUNTIF(FG$3:FG318,"&gt;0"))</f>
        <v>0</v>
      </c>
      <c r="FH319" t="str">
        <f t="shared" si="273"/>
        <v/>
      </c>
      <c r="FI319" t="str">
        <f t="shared" si="252"/>
        <v/>
      </c>
      <c r="FK319">
        <f t="shared" si="253"/>
        <v>0</v>
      </c>
      <c r="FL319">
        <f>IF(FK319=0,0,1+COUNTIF(FL$3:FL318,"&gt;0"))</f>
        <v>0</v>
      </c>
      <c r="FM319" t="str">
        <f t="shared" si="274"/>
        <v/>
      </c>
      <c r="FN319" t="str">
        <f t="shared" si="254"/>
        <v/>
      </c>
      <c r="FP319">
        <f t="shared" si="255"/>
        <v>0</v>
      </c>
      <c r="FQ319">
        <f>IF(FP319=0,0,1+COUNTIF(FQ$3:FQ318,"&gt;0"))</f>
        <v>0</v>
      </c>
      <c r="FR319" t="str">
        <f t="shared" si="275"/>
        <v/>
      </c>
      <c r="FS319" t="str">
        <f t="shared" si="256"/>
        <v/>
      </c>
    </row>
    <row r="320" spans="1:175" x14ac:dyDescent="0.25">
      <c r="A320" s="347">
        <f t="shared" si="276"/>
        <v>318</v>
      </c>
      <c r="B320" s="348" t="s">
        <v>2717</v>
      </c>
      <c r="C320" s="348">
        <v>2</v>
      </c>
      <c r="D320" s="347">
        <v>2</v>
      </c>
      <c r="E320" s="627" t="s">
        <v>6952</v>
      </c>
      <c r="F320" s="346"/>
      <c r="G320" s="347" t="str">
        <f>""</f>
        <v/>
      </c>
      <c r="H320" s="347" t="s">
        <v>5912</v>
      </c>
      <c r="I320" s="347" t="s">
        <v>5060</v>
      </c>
      <c r="J320" s="347" t="str">
        <f t="shared" si="226"/>
        <v/>
      </c>
      <c r="K320" s="347" t="s">
        <v>5337</v>
      </c>
      <c r="L320" s="611" t="str">
        <f t="shared" si="227"/>
        <v>V, M, a snake’s tongue and either a bit of honeycomb or a drop of sweet oil</v>
      </c>
      <c r="M320" s="347" t="s">
        <v>2373</v>
      </c>
      <c r="N320" s="347" t="s">
        <v>3034</v>
      </c>
      <c r="O320" s="347" t="s">
        <v>1244</v>
      </c>
      <c r="P320" s="346" t="s">
        <v>5427</v>
      </c>
      <c r="Q320" s="347" t="s">
        <v>5272</v>
      </c>
      <c r="S320" s="346" t="s">
        <v>5833</v>
      </c>
      <c r="T320" s="346" t="str">
        <f t="shared" si="228"/>
        <v xml:space="preserve">Bard, Sorcerer, Warlock, Arcane Trickster, Wizard, Knowledge, </v>
      </c>
      <c r="U320" s="347" t="str">
        <f>$B320</f>
        <v>Suggestion</v>
      </c>
      <c r="X320" s="347" t="str">
        <f>$B320</f>
        <v>Suggestion</v>
      </c>
      <c r="Y320" s="347" t="str">
        <f>$B320</f>
        <v>Suggestion</v>
      </c>
      <c r="AC320" s="539" t="str">
        <f>B320</f>
        <v>Suggestion</v>
      </c>
      <c r="AD320" s="347" t="str">
        <f>$B320</f>
        <v>Suggestion</v>
      </c>
      <c r="AE320" t="str">
        <f>IF(IFERROR(MATCH($B320,temp!A$4:A$13,0),0)&gt;0,T08_Spells!AE$2,"")</f>
        <v/>
      </c>
      <c r="AF320" t="str">
        <f>IF(IFERROR(MATCH($B320,temp!B$4:B$13,0),0)&gt;0,T08_Spells!AF$2,"")</f>
        <v/>
      </c>
      <c r="AG320" t="str">
        <f>IF(IFERROR(MATCH($B320,temp!C$4:C$13,0),0)&gt;0,T08_Spells!AG$2,"")</f>
        <v/>
      </c>
      <c r="AH320" t="str">
        <f>IF(IFERROR(MATCH($B320,temp!D$4:D$13,0),0)&gt;0,T08_Spells!AH$2,"")</f>
        <v/>
      </c>
      <c r="AI320" t="str">
        <f>IF(IFERROR(MATCH($B320,temp!E$4:E$13,0),0)&gt;0,T08_Spells!AI$2,"")</f>
        <v/>
      </c>
      <c r="AJ320" t="str">
        <f>IF(IFERROR(MATCH($B320,temp!F$4:F$13,0),0)&gt;0,T08_Spells!AJ$2,"")</f>
        <v/>
      </c>
      <c r="AK320" t="str">
        <f>IF(IFERROR(MATCH($B320,temp!G$4:G$13,0),0)&gt;0,T08_Spells!AK$2,"")</f>
        <v/>
      </c>
      <c r="AL320" t="str">
        <f>IF(IFERROR(MATCH($B320,temp!H$4:H$13,0),0)&gt;0,T08_Spells!AL$2,"")</f>
        <v/>
      </c>
      <c r="AM320" t="str">
        <f>IF(IFERROR(MATCH($B320,temp!I$4:I$13,0),0)&gt;0,T08_Spells!AM$2,"")</f>
        <v/>
      </c>
      <c r="AN320" t="str">
        <f>IF(IFERROR(MATCH($B320,temp!J$4:J$13,0),0)&gt;0,T08_Spells!AN$2,"")</f>
        <v/>
      </c>
      <c r="AO320" t="str">
        <f>IF(IFERROR(MATCH($B320,temp!K$4:K$13,0),0)&gt;0,T08_Spells!AO$2,"")</f>
        <v/>
      </c>
      <c r="AP320" t="str">
        <f>IF(IFERROR(MATCH($B320,temp!L$4:L$13,0),0)&gt;0,T08_Spells!AP$2,"")</f>
        <v/>
      </c>
      <c r="AQ320" t="str">
        <f>IF(IFERROR(MATCH($B320,temp!M$4:M$13,0),0)&gt;0,T08_Spells!AQ$2,"")</f>
        <v/>
      </c>
      <c r="AR320" t="str">
        <f>IF(IFERROR(MATCH($B320,temp!N$4:N$13,0),0)&gt;0,T08_Spells!AR$2,"")</f>
        <v/>
      </c>
      <c r="AS320" t="str">
        <f>IF(IFERROR(MATCH($B320,temp!O$4:O$13,0),0)&gt;0,T08_Spells!AS$2,"")</f>
        <v/>
      </c>
      <c r="AT320" t="str">
        <f>IF(IFERROR(MATCH($B320,temp!P$4:P$13,0),0)&gt;0,T08_Spells!AT$2,"")</f>
        <v>Knowledge</v>
      </c>
      <c r="AU320" t="str">
        <f>IF(IFERROR(MATCH($B320,temp!Q$4:Q$13,0),0)&gt;0,T08_Spells!AU$2,"")</f>
        <v/>
      </c>
      <c r="AV320" t="str">
        <f>IF(IFERROR(MATCH($B320,temp!R$4:R$13,0),0)&gt;0,T08_Spells!AV$2,"")</f>
        <v/>
      </c>
      <c r="AW320" t="str">
        <f>IF(IFERROR(MATCH($B320,temp!S$4:S$13,0),0)&gt;0,T08_Spells!AW$2,"")</f>
        <v/>
      </c>
      <c r="AX320" t="str">
        <f>IF(IFERROR(MATCH($B320,temp!T$4:T$13,0),0)&gt;0,T08_Spells!AX$2,"")</f>
        <v/>
      </c>
      <c r="AY320" t="str">
        <f>IF(IFERROR(MATCH($B320,temp!U$4:U$13,0),0)&gt;0,T08_Spells!AY$2,"")</f>
        <v/>
      </c>
      <c r="AZ320" t="str">
        <f>IF(IFERROR(MATCH($B320,temp!V$4:V$13,0),0)&gt;0,T08_Spells!AZ$2,"")</f>
        <v/>
      </c>
      <c r="BA320" t="str">
        <f>IF(IFERROR(MATCH($B320,temp!W$4:W$13,0),0)&gt;0,T08_Spells!BA$2,"")</f>
        <v/>
      </c>
      <c r="BC320">
        <f>IF(IFERROR(SEARCH("Ranger",$T320,1),0)&gt;0,1,0)*IF(RangerMaxSpellLevel&gt;=$C320,1,0)*IF(IFERROR(MATCH(B320,Character_Creation!$X$79:$X$382,0),0)&gt;0,0,1)</f>
        <v>0</v>
      </c>
      <c r="BD320">
        <f>IF(BC320=0,0,1+COUNTIF(BD$3:BD319,"&gt;0"))</f>
        <v>0</v>
      </c>
      <c r="BE320" t="str">
        <f t="shared" si="257"/>
        <v/>
      </c>
      <c r="BF320" t="str">
        <f t="shared" si="229"/>
        <v/>
      </c>
      <c r="BH320">
        <f>IF(IFERROR(SEARCH("Sorcerer",$T320,1),0)&gt;0,1,0)*IF(SorcererMaxSpellLevel&gt;=$C320,1,0)*IF(IFERROR(MATCH(B320,Character_Creation!$J$380:$J$394,0),0)&gt;0,0,1)</f>
        <v>0</v>
      </c>
      <c r="BI320">
        <f>IF(BH320=0,0,1+COUNTIF(BI$3:BI319,"&gt;0"))</f>
        <v>0</v>
      </c>
      <c r="BJ320" t="str">
        <f t="shared" si="258"/>
        <v/>
      </c>
      <c r="BK320" t="str">
        <f t="shared" si="230"/>
        <v/>
      </c>
      <c r="BM320">
        <f>IF(OR(IFERROR(SEARCH("Warlock",$T320,1),0)&gt;0,IFERROR(SEARCH(WarlockPatron,$T320,1),0)&gt;0),1,0)*IF(WarlockMaxSpellLevel&gt;=$C320,1,0)*IF(IFERROR(MATCH(B320,Character_Creation!$J$361:$J$375,0),0)&gt;0,0,1)</f>
        <v>0</v>
      </c>
      <c r="BN320">
        <f>IF(BM320=0,0,1+COUNTIF(BN$3:BN319,"&gt;0"))</f>
        <v>0</v>
      </c>
      <c r="BO320" t="str">
        <f t="shared" si="259"/>
        <v/>
      </c>
      <c r="BP320" t="str">
        <f t="shared" si="231"/>
        <v/>
      </c>
      <c r="BR320">
        <f>IF(IFERROR(SEARCH("Eldritch Knight",$T320,1),0)&gt;0,1,0)*IF(EldritchKnightMaxSpellLevel&gt;=$C320,1,0)*IF(IFERROR(MATCH($B320,Character_Creation!$J$350:$J$356,0),0)&gt;0,0,1)*IF(Character_Creation!$M$338&gt;0,1,0)</f>
        <v>0</v>
      </c>
      <c r="BS320">
        <f>IF(BR320=0,0,1+COUNTIF(BS$3:BS319,"&gt;0"))</f>
        <v>0</v>
      </c>
      <c r="BT320" t="str">
        <f t="shared" si="260"/>
        <v/>
      </c>
      <c r="BU320" t="str">
        <f t="shared" si="232"/>
        <v/>
      </c>
      <c r="BW320">
        <f>IF(IFERROR(SEARCH("Arcane Trickster",$T320,1),0)&gt;0,1,0)*IF(ArcaneTricksterMaxSpellLevel&gt;=$C320,1,0)*IF(IFERROR(MATCH($B320,Character_Creation!$J$350:$J$356,0),0)&gt;0,0,1)*IF(Character_Creation!$T$338&gt;0,1,0)</f>
        <v>0</v>
      </c>
      <c r="BX320">
        <f>IF(BW320=0,0,1+COUNTIF(BX$3:BX319,"&gt;0"))</f>
        <v>0</v>
      </c>
      <c r="BY320" t="str">
        <f t="shared" si="261"/>
        <v/>
      </c>
      <c r="BZ320" t="str">
        <f t="shared" si="233"/>
        <v/>
      </c>
      <c r="CB320">
        <f>IF(IFERROR(SEARCH("Wizard",$T320,1),0)&gt;0,1,0)*IF(C320&lt;=ArcaneTricksterMaxSpellLevel,1,0)*IF(IFERROR(MATCH($B320,Character_Creation!$J$350:$J$356,0),0)&gt;0,0,1)*IF(Character_Creation!$T$350&gt;0,1,0)</f>
        <v>0</v>
      </c>
      <c r="CC320">
        <f>IF(CB320=0,0,1+COUNTIF(CC$3:CC319,"&gt;0"))</f>
        <v>0</v>
      </c>
      <c r="CD320" t="str">
        <f t="shared" si="262"/>
        <v/>
      </c>
      <c r="CE320" t="str">
        <f t="shared" si="234"/>
        <v/>
      </c>
      <c r="CG320">
        <f>IF(IFERROR(SEARCH("Wizard",$T320,1),0)&gt;0,1,0)*IF($C320&lt;=EldritchKnightMaxSpellLevel,1,0)*IF(IFERROR(MATCH($B320,Character_Creation!$J$350:$J$356,0),0)&gt;0,0,1)*IF(Character_Creation!$M$350&gt;0,1,0)</f>
        <v>1</v>
      </c>
      <c r="CH320">
        <f>IF(CG320=0,0,1+COUNTIF(CH$3:CH319,"&gt;0"))</f>
        <v>57</v>
      </c>
      <c r="CI320" t="str">
        <f t="shared" si="263"/>
        <v/>
      </c>
      <c r="CJ320" t="str">
        <f t="shared" si="235"/>
        <v/>
      </c>
      <c r="CL320">
        <f>IF(IFERROR(SEARCH("Bard",$T320,1),0)&gt;0,1,0)*IF(BardMaxSpellLevel&gt;=$C320,1,0)*IF(IFERROR(MATCH(B320,Character_Creation!$C$341:$F$362,0),0)&gt;0,0,1)*IF(IFERROR(MATCH($B320,Character_Creation!$C$341:$C$362,0),0)&gt;0,0,1)</f>
        <v>0</v>
      </c>
      <c r="CM320">
        <f>IF(CL320=0,0,1+COUNTIF(CM$3:CM319,"&gt;0"))</f>
        <v>0</v>
      </c>
      <c r="CN320" t="str">
        <f t="shared" si="264"/>
        <v/>
      </c>
      <c r="CO320" t="str">
        <f t="shared" si="236"/>
        <v/>
      </c>
      <c r="CQ320">
        <f>IF(IFERROR(SEARCH("Wizard",$T320,1),0)&gt;0,1,0)*IF(WizardMaxSpellLevel&gt;=$C320,1,0)*IF(IFERROR(MATCH(B320,Character_Creation!$X$341:$X$400,0),0)&gt;0,0,1)*IF(SelectedWizardSpellLevel=$C320,1,0)</f>
        <v>0</v>
      </c>
      <c r="CR320">
        <f>IF(CQ320=0,0,1+COUNTIF(CR$3:CR319,"&gt;0"))</f>
        <v>0</v>
      </c>
      <c r="CS320" t="str">
        <f t="shared" si="265"/>
        <v/>
      </c>
      <c r="CT320" t="str">
        <f t="shared" si="237"/>
        <v/>
      </c>
      <c r="CV320">
        <f>IF(IFERROR(MATCH($B320,Character_Creation!$C$341:$C$362,0),0)&gt;0,0,1)*IF(OR(C320="Cantrip",C320&lt;=BardMaxSpellLevel),1,0)*IF(IFERROR(MATCH($B320,Character_Creation!$C$367:$C$374,0),0)&gt;0,0,1)</f>
        <v>0</v>
      </c>
      <c r="CW320">
        <f>IF(CV320=0,0,1+COUNTIF(CW$3:CW319,"&gt;0"))</f>
        <v>0</v>
      </c>
      <c r="CX320" t="str">
        <f t="shared" si="266"/>
        <v/>
      </c>
      <c r="CY320" t="str">
        <f t="shared" si="238"/>
        <v/>
      </c>
      <c r="DA320">
        <f>IF(IF(OR(IFERROR(SEARCH("Cleric",$T320,1),0)&gt;0,IFERROR(SEARCH(DivineDomain&amp;",",$T320,1),0)&gt;0),1,0)*IF($C320=DA$2,1,0)=1,1+COUNTIF(DA$3:DA319,"&gt;0"),0)</f>
        <v>0</v>
      </c>
      <c r="DB320">
        <f>IF(IF(OR(IFERROR(SEARCH("Cleric",$T320,1),0)&gt;0,IFERROR(SEARCH(DivineDomain&amp;",",$T320,1),0)&gt;0),1,0)*IF($C320=DB$2,1,0)=1,1+COUNTIF(DB$3:DB319,"&gt;0"),0)</f>
        <v>0</v>
      </c>
      <c r="DC320">
        <f>IF(IF(OR(IFERROR(SEARCH("Cleric",$T320,1),0)&gt;0,IFERROR(SEARCH(DivineDomain&amp;",",$T320,1),0)&gt;0),1,0)*IF($C320=DC$2,1,0)=1,1+COUNTIF(DC$3:DC319,"&gt;0"),0)</f>
        <v>0</v>
      </c>
      <c r="DD320">
        <f>IF(IF(OR(IFERROR(SEARCH("Cleric",$T320,1),0)&gt;0,IFERROR(SEARCH(DivineDomain&amp;",",$T320,1),0)&gt;0),1,0)*IF($C320=DD$2,1,0)=1,1+COUNTIF(DD$3:DD319,"&gt;0"),0)</f>
        <v>0</v>
      </c>
      <c r="DE320">
        <f>IF(IF(OR(IFERROR(SEARCH("Cleric",$T320,1),0)&gt;0,IFERROR(SEARCH(DivineDomain&amp;",",$T320,1),0)&gt;0),1,0)*IF($C320=DE$2,1,0)=1,1+COUNTIF(DE$3:DE319,"&gt;0"),0)</f>
        <v>0</v>
      </c>
      <c r="DF320">
        <f>IF(IF(OR(IFERROR(SEARCH("Cleric",$T320,1),0)&gt;0,IFERROR(SEARCH(DivineDomain&amp;",",$T320,1),0)&gt;0),1,0)*IF($C320=DF$2,1,0)=1,1+COUNTIF(DF$3:DF319,"&gt;0"),0)</f>
        <v>0</v>
      </c>
      <c r="DG320">
        <f>IF(IF(OR(IFERROR(SEARCH("Cleric",$T320,1),0)&gt;0,IFERROR(SEARCH(DivineDomain&amp;",",$T320,1),0)&gt;0),1,0)*IF($C320=DG$2,1,0)=1,1+COUNTIF(DG$3:DG319,"&gt;0"),0)</f>
        <v>0</v>
      </c>
      <c r="DH320">
        <f>IF(IF(OR(IFERROR(SEARCH("Cleric",$T320,1),0)&gt;0,IFERROR(SEARCH(DivineDomain&amp;",",$T320,1),0)&gt;0),1,0)*IF($C320=DH$2,1,0)=1,1+COUNTIF(DH$3:DH319,"&gt;0"),0)</f>
        <v>0</v>
      </c>
      <c r="DI320">
        <f>IF(IF(OR(IFERROR(SEARCH("Cleric",$T320,1),0)&gt;0,IFERROR(SEARCH(DivineDomain&amp;",",$T320,1),0)&gt;0),1,0)*IF($C320=DI$2,1,0)=1,1+COUNTIF(DI$3:DI319,"&gt;0"),0)</f>
        <v>0</v>
      </c>
      <c r="DJ320">
        <f>IF(IF(OR(IFERROR(SEARCH("Druid",$T320,1),0)&gt;0,IFERROR(SEARCH(DruidLand1,$T320,1),0)&gt;0,IFERROR(SEARCH(DruidLand2,$T320,1),0)&gt;0,IFERROR(SEARCH(DruidLand3,$T320,1),0)&gt;0,IFERROR(SEARCH(DruidLand4,$T320,1),0)&gt;0),1,0)*IF($C320=1,1,0)*IF($C320=DJ$2,1,0)=0,0,1+COUNTIF(DJ$3:DJ319,"&gt;0"))</f>
        <v>0</v>
      </c>
      <c r="DK320">
        <f>IF(IF(OR(IFERROR(SEARCH("Druid",$T320,1),0)&gt;0,IFERROR(SEARCH(DruidLand1,$T320,1),0)&gt;0,IFERROR(SEARCH(DruidLand2,$T320,1),0)&gt;0,IFERROR(SEARCH(DruidLand3,$T320,1),0)&gt;0,IFERROR(SEARCH(DruidLand4,$T320,1),0)&gt;0),1,0)*IF($C320=1,1,0)*IF($C320=DK$2,1,0)=0,0,1+COUNTIF(DK$3:DK319,"&gt;0"))</f>
        <v>0</v>
      </c>
      <c r="DL320">
        <f>IF(IF(OR(IFERROR(SEARCH("Druid",$T320,1),0)&gt;0,IFERROR(SEARCH(DruidLand1,$T320,1),0)&gt;0,IFERROR(SEARCH(DruidLand2,$T320,1),0)&gt;0,IFERROR(SEARCH(DruidLand3,$T320,1),0)&gt;0,IFERROR(SEARCH(DruidLand4,$T320,1),0)&gt;0),1,0)*IF($C320=1,1,0)*IF($C320=DL$2,1,0)=0,0,1+COUNTIF(DL$3:DL319,"&gt;0"))</f>
        <v>0</v>
      </c>
      <c r="DM320">
        <f>IF(IF(OR(IFERROR(SEARCH("Druid",$T320,1),0)&gt;0,IFERROR(SEARCH(DruidLand1,$T320,1),0)&gt;0,IFERROR(SEARCH(DruidLand2,$T320,1),0)&gt;0,IFERROR(SEARCH(DruidLand3,$T320,1),0)&gt;0,IFERROR(SEARCH(DruidLand4,$T320,1),0)&gt;0),1,0)*IF($C320=1,1,0)*IF($C320=DM$2,1,0)=0,0,1+COUNTIF(DM$3:DM319,"&gt;0"))</f>
        <v>0</v>
      </c>
      <c r="DN320">
        <f>IF(IF(OR(IFERROR(SEARCH("Druid",$T320,1),0)&gt;0,IFERROR(SEARCH(DruidLand1,$T320,1),0)&gt;0,IFERROR(SEARCH(DruidLand2,$T320,1),0)&gt;0,IFERROR(SEARCH(DruidLand3,$T320,1),0)&gt;0,IFERROR(SEARCH(DruidLand4,$T320,1),0)&gt;0),1,0)*IF($C320=1,1,0)*IF($C320=DN$2,1,0)=0,0,1+COUNTIF(DN$3:DN319,"&gt;0"))</f>
        <v>0</v>
      </c>
      <c r="DO320">
        <f>IF(IF(OR(IFERROR(SEARCH("Druid",$T320,1),0)&gt;0,IFERROR(SEARCH(DruidLand1,$T320,1),0)&gt;0,IFERROR(SEARCH(DruidLand2,$T320,1),0)&gt;0,IFERROR(SEARCH(DruidLand3,$T320,1),0)&gt;0,IFERROR(SEARCH(DruidLand4,$T320,1),0)&gt;0),1,0)*IF($C320=1,1,0)*IF($C320=DO$2,1,0)=0,0,1+COUNTIF(DO$3:DO319,"&gt;0"))</f>
        <v>0</v>
      </c>
      <c r="DP320">
        <f>IF(IF(OR(IFERROR(SEARCH("Druid",$T320,1),0)&gt;0,IFERROR(SEARCH(DruidLand1,$T320,1),0)&gt;0,IFERROR(SEARCH(DruidLand2,$T320,1),0)&gt;0,IFERROR(SEARCH(DruidLand3,$T320,1),0)&gt;0,IFERROR(SEARCH(DruidLand4,$T320,1),0)&gt;0),1,0)*IF($C320=1,1,0)*IF($C320=DP$2,1,0)=0,0,1+COUNTIF(DP$3:DP319,"&gt;0"))</f>
        <v>0</v>
      </c>
      <c r="DQ320">
        <f>IF(IF(OR(IFERROR(SEARCH("Druid",$T320,1),0)&gt;0,IFERROR(SEARCH(DruidLand1,$T320,1),0)&gt;0,IFERROR(SEARCH(DruidLand2,$T320,1),0)&gt;0,IFERROR(SEARCH(DruidLand3,$T320,1),0)&gt;0,IFERROR(SEARCH(DruidLand4,$T320,1),0)&gt;0),1,0)*IF($C320=1,1,0)*IF($C320=DQ$2,1,0)=0,0,1+COUNTIF(DQ$3:DQ319,"&gt;0"))</f>
        <v>0</v>
      </c>
      <c r="DR320">
        <f>IF(IF(OR(IFERROR(SEARCH("Druid",$T320,1),0)&gt;0,IFERROR(SEARCH(DruidLand1,$T320,1),0)&gt;0,IFERROR(SEARCH(DruidLand2,$T320,1),0)&gt;0,IFERROR(SEARCH(DruidLand3,$T320,1),0)&gt;0,IFERROR(SEARCH(DruidLand4,$T320,1),0)&gt;0),1,0)*IF($C320=1,1,0)*IF($C320=DR$2,1,0)=0,0,1+COUNTIF(DR$3:DR319,"&gt;0"))</f>
        <v>0</v>
      </c>
      <c r="DS320">
        <f>IF(IF(OR(IFERROR(SEARCH("Paladin",$T320,1),0)&gt;0,IFERROR(SEARCH(PaladinOath,$T320,1),0)&gt;0),1,0)*IF($C320=DS$2,1,0)=1,1+COUNTIF(DS$3:DS319,"&gt;0"),0)</f>
        <v>0</v>
      </c>
      <c r="DT320">
        <f>IF(IF(OR(IFERROR(SEARCH("Paladin",$T320,1),0)&gt;0,IFERROR(SEARCH(PaladinOath,$T320,1),0)&gt;0),1,0)*IF($C320=DT$2,1,0)=1,1+COUNTIF(DT$3:DT319,"&gt;0"),0)</f>
        <v>0</v>
      </c>
      <c r="DU320">
        <f>IF(IF(OR(IFERROR(SEARCH("Paladin",$T320,1),0)&gt;0,IFERROR(SEARCH(PaladinOath,$T320,1),0)&gt;0),1,0)*IF($C320=DU$2,1,0)=1,1+COUNTIF(DU$3:DU319,"&gt;0"),0)</f>
        <v>0</v>
      </c>
      <c r="DV320">
        <f>IF(IF(OR(IFERROR(SEARCH("Paladin",$T320,1),0)&gt;0,IFERROR(SEARCH(PaladinOath,$T320,1),0)&gt;0),1,0)*IF($C320=DV$2,1,0)=1,1+COUNTIF(DV$3:DV319,"&gt;0"),0)</f>
        <v>0</v>
      </c>
      <c r="DW320">
        <f>IF(IF(OR(IFERROR(SEARCH("Paladin",$T320,1),0)&gt;0,IFERROR(SEARCH(PaladinOath,$T320,1),0)&gt;0),1,0)*IF($C320=DW$2,1,0)=1,1+COUNTIF(DW$3:DW319,"&gt;0"),0)</f>
        <v>0</v>
      </c>
      <c r="DY320">
        <f t="shared" si="225"/>
        <v>1</v>
      </c>
      <c r="DZ320">
        <f>IF(DY320=0,0,1+MAX(DZ$3:$DZ319))</f>
        <v>318</v>
      </c>
      <c r="EB320">
        <f t="shared" si="239"/>
        <v>0</v>
      </c>
      <c r="EC320">
        <f>IF(EB320=0,0,1+COUNTIF(EC$3:EC319,"&gt;0"))</f>
        <v>0</v>
      </c>
      <c r="ED320" t="str">
        <f t="shared" si="267"/>
        <v/>
      </c>
      <c r="EE320" t="str">
        <f t="shared" si="240"/>
        <v/>
      </c>
      <c r="EG320">
        <f t="shared" si="241"/>
        <v>0</v>
      </c>
      <c r="EH320">
        <f>IF(EG320=0,0,1+COUNTIF(EH$3:EH319,"&gt;0"))</f>
        <v>0</v>
      </c>
      <c r="EI320" t="str">
        <f t="shared" si="268"/>
        <v/>
      </c>
      <c r="EJ320" t="str">
        <f t="shared" si="242"/>
        <v/>
      </c>
      <c r="EL320">
        <f t="shared" si="243"/>
        <v>0</v>
      </c>
      <c r="EM320">
        <f>IF(EL320=0,0,1+COUNTIF(EM$3:EM319,"&gt;0"))</f>
        <v>0</v>
      </c>
      <c r="EN320" t="str">
        <f t="shared" si="269"/>
        <v/>
      </c>
      <c r="EO320" t="str">
        <f t="shared" si="244"/>
        <v/>
      </c>
      <c r="EQ320">
        <f t="shared" si="245"/>
        <v>0</v>
      </c>
      <c r="ER320">
        <f>IF(EQ320=0,0,1+COUNTIF(ER$3:ER319,"&gt;0"))</f>
        <v>0</v>
      </c>
      <c r="ES320" t="str">
        <f t="shared" si="270"/>
        <v/>
      </c>
      <c r="ET320" t="str">
        <f t="shared" si="246"/>
        <v/>
      </c>
      <c r="EV320">
        <f t="shared" si="247"/>
        <v>0</v>
      </c>
      <c r="EW320">
        <f>IF(EV320=0,0,1+COUNTIF(EW$3:EW319,"&gt;0"))</f>
        <v>0</v>
      </c>
      <c r="EX320" t="str">
        <f t="shared" si="271"/>
        <v/>
      </c>
      <c r="EY320" t="str">
        <f t="shared" si="248"/>
        <v/>
      </c>
      <c r="FA320">
        <f t="shared" si="249"/>
        <v>0</v>
      </c>
      <c r="FB320">
        <f>IF(FA320=0,0,1+COUNTIF(FB$3:FB319,"&gt;0"))</f>
        <v>0</v>
      </c>
      <c r="FC320" t="str">
        <f t="shared" si="272"/>
        <v/>
      </c>
      <c r="FD320" t="str">
        <f t="shared" si="250"/>
        <v/>
      </c>
      <c r="FF320">
        <f t="shared" si="251"/>
        <v>0</v>
      </c>
      <c r="FG320">
        <f>IF(FF320=0,0,1+COUNTIF(FG$3:FG319,"&gt;0"))</f>
        <v>0</v>
      </c>
      <c r="FH320" t="str">
        <f t="shared" si="273"/>
        <v/>
      </c>
      <c r="FI320" t="str">
        <f t="shared" si="252"/>
        <v/>
      </c>
      <c r="FK320">
        <f t="shared" si="253"/>
        <v>0</v>
      </c>
      <c r="FL320">
        <f>IF(FK320=0,0,1+COUNTIF(FL$3:FL319,"&gt;0"))</f>
        <v>0</v>
      </c>
      <c r="FM320" t="str">
        <f t="shared" si="274"/>
        <v/>
      </c>
      <c r="FN320" t="str">
        <f t="shared" si="254"/>
        <v/>
      </c>
      <c r="FP320">
        <f t="shared" si="255"/>
        <v>0</v>
      </c>
      <c r="FQ320">
        <f>IF(FP320=0,0,1+COUNTIF(FQ$3:FQ319,"&gt;0"))</f>
        <v>0</v>
      </c>
      <c r="FR320" t="str">
        <f t="shared" si="275"/>
        <v/>
      </c>
      <c r="FS320" t="str">
        <f t="shared" si="256"/>
        <v/>
      </c>
    </row>
    <row r="321" spans="1:175" x14ac:dyDescent="0.25">
      <c r="A321" s="347">
        <f t="shared" si="276"/>
        <v>319</v>
      </c>
      <c r="B321" s="348" t="s">
        <v>2718</v>
      </c>
      <c r="C321" s="348">
        <v>6</v>
      </c>
      <c r="D321" s="347">
        <v>6</v>
      </c>
      <c r="E321" s="627" t="s">
        <v>6952</v>
      </c>
      <c r="F321" s="346"/>
      <c r="G321" s="347" t="str">
        <f>""</f>
        <v/>
      </c>
      <c r="H321" s="347" t="s">
        <v>5912</v>
      </c>
      <c r="I321" s="347" t="s">
        <v>5283</v>
      </c>
      <c r="J321" s="347" t="str">
        <f t="shared" si="226"/>
        <v/>
      </c>
      <c r="K321" s="347" t="s">
        <v>5291</v>
      </c>
      <c r="L321" s="611" t="str">
        <f t="shared" si="227"/>
        <v>V, S, M, a magnifying glass</v>
      </c>
      <c r="M321" s="347" t="s">
        <v>2373</v>
      </c>
      <c r="N321" s="347" t="s">
        <v>2387</v>
      </c>
      <c r="O321" s="347" t="s">
        <v>1244</v>
      </c>
      <c r="P321" s="346" t="s">
        <v>5491</v>
      </c>
      <c r="Q321" s="347" t="s">
        <v>5273</v>
      </c>
      <c r="S321" s="346" t="s">
        <v>5834</v>
      </c>
      <c r="T321" s="346" t="str">
        <f t="shared" si="228"/>
        <v xml:space="preserve">Sorcerer, Druid, Eldritch Knight, Wizard, </v>
      </c>
      <c r="X321" s="347" t="str">
        <f>$B321</f>
        <v>Sunbeam</v>
      </c>
      <c r="AA321" s="347" t="str">
        <f>$B321</f>
        <v>Sunbeam</v>
      </c>
      <c r="AB321" s="542" t="str">
        <f>AD321</f>
        <v>Sunbeam</v>
      </c>
      <c r="AD321" s="347" t="str">
        <f>$B321</f>
        <v>Sunbeam</v>
      </c>
      <c r="AE321" t="str">
        <f>IF(IFERROR(MATCH($B321,temp!A$4:A$13,0),0)&gt;0,T08_Spells!AE$2,"")</f>
        <v/>
      </c>
      <c r="AF321" t="str">
        <f>IF(IFERROR(MATCH($B321,temp!B$4:B$13,0),0)&gt;0,T08_Spells!AF$2,"")</f>
        <v/>
      </c>
      <c r="AG321" t="str">
        <f>IF(IFERROR(MATCH($B321,temp!C$4:C$13,0),0)&gt;0,T08_Spells!AG$2,"")</f>
        <v/>
      </c>
      <c r="AH321" t="str">
        <f>IF(IFERROR(MATCH($B321,temp!D$4:D$13,0),0)&gt;0,T08_Spells!AH$2,"")</f>
        <v/>
      </c>
      <c r="AI321" t="str">
        <f>IF(IFERROR(MATCH($B321,temp!E$4:E$13,0),0)&gt;0,T08_Spells!AI$2,"")</f>
        <v/>
      </c>
      <c r="AJ321" t="str">
        <f>IF(IFERROR(MATCH($B321,temp!F$4:F$13,0),0)&gt;0,T08_Spells!AJ$2,"")</f>
        <v/>
      </c>
      <c r="AK321" t="str">
        <f>IF(IFERROR(MATCH($B321,temp!G$4:G$13,0),0)&gt;0,T08_Spells!AK$2,"")</f>
        <v/>
      </c>
      <c r="AL321" t="str">
        <f>IF(IFERROR(MATCH($B321,temp!H$4:H$13,0),0)&gt;0,T08_Spells!AL$2,"")</f>
        <v/>
      </c>
      <c r="AM321" t="str">
        <f>IF(IFERROR(MATCH($B321,temp!I$4:I$13,0),0)&gt;0,T08_Spells!AM$2,"")</f>
        <v/>
      </c>
      <c r="AN321" t="str">
        <f>IF(IFERROR(MATCH($B321,temp!J$4:J$13,0),0)&gt;0,T08_Spells!AN$2,"")</f>
        <v/>
      </c>
      <c r="AO321" t="str">
        <f>IF(IFERROR(MATCH($B321,temp!K$4:K$13,0),0)&gt;0,T08_Spells!AO$2,"")</f>
        <v/>
      </c>
      <c r="AP321" t="str">
        <f>IF(IFERROR(MATCH($B321,temp!L$4:L$13,0),0)&gt;0,T08_Spells!AP$2,"")</f>
        <v/>
      </c>
      <c r="AQ321" t="str">
        <f>IF(IFERROR(MATCH($B321,temp!M$4:M$13,0),0)&gt;0,T08_Spells!AQ$2,"")</f>
        <v/>
      </c>
      <c r="AR321" t="str">
        <f>IF(IFERROR(MATCH($B321,temp!N$4:N$13,0),0)&gt;0,T08_Spells!AR$2,"")</f>
        <v/>
      </c>
      <c r="AS321" t="str">
        <f>IF(IFERROR(MATCH($B321,temp!O$4:O$13,0),0)&gt;0,T08_Spells!AS$2,"")</f>
        <v/>
      </c>
      <c r="AT321" t="str">
        <f>IF(IFERROR(MATCH($B321,temp!P$4:P$13,0),0)&gt;0,T08_Spells!AT$2,"")</f>
        <v/>
      </c>
      <c r="AU321" t="str">
        <f>IF(IFERROR(MATCH($B321,temp!Q$4:Q$13,0),0)&gt;0,T08_Spells!AU$2,"")</f>
        <v/>
      </c>
      <c r="AV321" t="str">
        <f>IF(IFERROR(MATCH($B321,temp!R$4:R$13,0),0)&gt;0,T08_Spells!AV$2,"")</f>
        <v/>
      </c>
      <c r="AW321" t="str">
        <f>IF(IFERROR(MATCH($B321,temp!S$4:S$13,0),0)&gt;0,T08_Spells!AW$2,"")</f>
        <v/>
      </c>
      <c r="AX321" t="str">
        <f>IF(IFERROR(MATCH($B321,temp!T$4:T$13,0),0)&gt;0,T08_Spells!AX$2,"")</f>
        <v/>
      </c>
      <c r="AY321" t="str">
        <f>IF(IFERROR(MATCH($B321,temp!U$4:U$13,0),0)&gt;0,T08_Spells!AY$2,"")</f>
        <v/>
      </c>
      <c r="AZ321" t="str">
        <f>IF(IFERROR(MATCH($B321,temp!V$4:V$13,0),0)&gt;0,T08_Spells!AZ$2,"")</f>
        <v/>
      </c>
      <c r="BA321" t="str">
        <f>IF(IFERROR(MATCH($B321,temp!W$4:W$13,0),0)&gt;0,T08_Spells!BA$2,"")</f>
        <v/>
      </c>
      <c r="BC321">
        <f>IF(IFERROR(SEARCH("Ranger",$T321,1),0)&gt;0,1,0)*IF(RangerMaxSpellLevel&gt;=$C321,1,0)*IF(IFERROR(MATCH(B321,Character_Creation!$X$79:$X$382,0),0)&gt;0,0,1)</f>
        <v>0</v>
      </c>
      <c r="BD321">
        <f>IF(BC321=0,0,1+COUNTIF(BD$3:BD320,"&gt;0"))</f>
        <v>0</v>
      </c>
      <c r="BE321" t="str">
        <f t="shared" si="257"/>
        <v/>
      </c>
      <c r="BF321" t="str">
        <f t="shared" si="229"/>
        <v/>
      </c>
      <c r="BH321">
        <f>IF(IFERROR(SEARCH("Sorcerer",$T321,1),0)&gt;0,1,0)*IF(SorcererMaxSpellLevel&gt;=$C321,1,0)*IF(IFERROR(MATCH(B321,Character_Creation!$J$380:$J$394,0),0)&gt;0,0,1)</f>
        <v>0</v>
      </c>
      <c r="BI321">
        <f>IF(BH321=0,0,1+COUNTIF(BI$3:BI320,"&gt;0"))</f>
        <v>0</v>
      </c>
      <c r="BJ321" t="str">
        <f t="shared" si="258"/>
        <v/>
      </c>
      <c r="BK321" t="str">
        <f t="shared" si="230"/>
        <v/>
      </c>
      <c r="BM321">
        <f>IF(OR(IFERROR(SEARCH("Warlock",$T321,1),0)&gt;0,IFERROR(SEARCH(WarlockPatron,$T321,1),0)&gt;0),1,0)*IF(WarlockMaxSpellLevel&gt;=$C321,1,0)*IF(IFERROR(MATCH(B321,Character_Creation!$J$361:$J$375,0),0)&gt;0,0,1)</f>
        <v>0</v>
      </c>
      <c r="BN321">
        <f>IF(BM321=0,0,1+COUNTIF(BN$3:BN320,"&gt;0"))</f>
        <v>0</v>
      </c>
      <c r="BO321" t="str">
        <f t="shared" si="259"/>
        <v/>
      </c>
      <c r="BP321" t="str">
        <f t="shared" si="231"/>
        <v/>
      </c>
      <c r="BR321">
        <f>IF(IFERROR(SEARCH("Eldritch Knight",$T321,1),0)&gt;0,1,0)*IF(EldritchKnightMaxSpellLevel&gt;=$C321,1,0)*IF(IFERROR(MATCH($B321,Character_Creation!$J$350:$J$356,0),0)&gt;0,0,1)*IF(Character_Creation!$M$338&gt;0,1,0)</f>
        <v>0</v>
      </c>
      <c r="BS321">
        <f>IF(BR321=0,0,1+COUNTIF(BS$3:BS320,"&gt;0"))</f>
        <v>0</v>
      </c>
      <c r="BT321" t="str">
        <f t="shared" si="260"/>
        <v/>
      </c>
      <c r="BU321" t="str">
        <f t="shared" si="232"/>
        <v/>
      </c>
      <c r="BW321">
        <f>IF(IFERROR(SEARCH("Arcane Trickster",$T321,1),0)&gt;0,1,0)*IF(ArcaneTricksterMaxSpellLevel&gt;=$C321,1,0)*IF(IFERROR(MATCH($B321,Character_Creation!$J$350:$J$356,0),0)&gt;0,0,1)*IF(Character_Creation!$T$338&gt;0,1,0)</f>
        <v>0</v>
      </c>
      <c r="BX321">
        <f>IF(BW321=0,0,1+COUNTIF(BX$3:BX320,"&gt;0"))</f>
        <v>0</v>
      </c>
      <c r="BY321" t="str">
        <f t="shared" si="261"/>
        <v/>
      </c>
      <c r="BZ321" t="str">
        <f t="shared" si="233"/>
        <v/>
      </c>
      <c r="CB321">
        <f>IF(IFERROR(SEARCH("Wizard",$T321,1),0)&gt;0,1,0)*IF(C321&lt;=ArcaneTricksterMaxSpellLevel,1,0)*IF(IFERROR(MATCH($B321,Character_Creation!$J$350:$J$356,0),0)&gt;0,0,1)*IF(Character_Creation!$T$350&gt;0,1,0)</f>
        <v>0</v>
      </c>
      <c r="CC321">
        <f>IF(CB321=0,0,1+COUNTIF(CC$3:CC320,"&gt;0"))</f>
        <v>0</v>
      </c>
      <c r="CD321" t="str">
        <f t="shared" si="262"/>
        <v/>
      </c>
      <c r="CE321" t="str">
        <f t="shared" si="234"/>
        <v/>
      </c>
      <c r="CG321">
        <f>IF(IFERROR(SEARCH("Wizard",$T321,1),0)&gt;0,1,0)*IF($C321&lt;=EldritchKnightMaxSpellLevel,1,0)*IF(IFERROR(MATCH($B321,Character_Creation!$J$350:$J$356,0),0)&gt;0,0,1)*IF(Character_Creation!$M$350&gt;0,1,0)</f>
        <v>0</v>
      </c>
      <c r="CH321">
        <f>IF(CG321=0,0,1+COUNTIF(CH$3:CH320,"&gt;0"))</f>
        <v>0</v>
      </c>
      <c r="CI321" t="str">
        <f t="shared" si="263"/>
        <v/>
      </c>
      <c r="CJ321" t="str">
        <f t="shared" si="235"/>
        <v/>
      </c>
      <c r="CL321">
        <f>IF(IFERROR(SEARCH("Bard",$T321,1),0)&gt;0,1,0)*IF(BardMaxSpellLevel&gt;=$C321,1,0)*IF(IFERROR(MATCH(B321,Character_Creation!$C$341:$F$362,0),0)&gt;0,0,1)*IF(IFERROR(MATCH($B321,Character_Creation!$C$341:$C$362,0),0)&gt;0,0,1)</f>
        <v>0</v>
      </c>
      <c r="CM321">
        <f>IF(CL321=0,0,1+COUNTIF(CM$3:CM320,"&gt;0"))</f>
        <v>0</v>
      </c>
      <c r="CN321" t="str">
        <f t="shared" si="264"/>
        <v/>
      </c>
      <c r="CO321" t="str">
        <f t="shared" si="236"/>
        <v/>
      </c>
      <c r="CQ321">
        <f>IF(IFERROR(SEARCH("Wizard",$T321,1),0)&gt;0,1,0)*IF(WizardMaxSpellLevel&gt;=$C321,1,0)*IF(IFERROR(MATCH(B321,Character_Creation!$X$341:$X$400,0),0)&gt;0,0,1)*IF(SelectedWizardSpellLevel=$C321,1,0)</f>
        <v>0</v>
      </c>
      <c r="CR321">
        <f>IF(CQ321=0,0,1+COUNTIF(CR$3:CR320,"&gt;0"))</f>
        <v>0</v>
      </c>
      <c r="CS321" t="str">
        <f t="shared" si="265"/>
        <v/>
      </c>
      <c r="CT321" t="str">
        <f t="shared" si="237"/>
        <v/>
      </c>
      <c r="CV321">
        <f>IF(IFERROR(MATCH($B321,Character_Creation!$C$341:$C$362,0),0)&gt;0,0,1)*IF(OR(C321="Cantrip",C321&lt;=BardMaxSpellLevel),1,0)*IF(IFERROR(MATCH($B321,Character_Creation!$C$367:$C$374,0),0)&gt;0,0,1)</f>
        <v>0</v>
      </c>
      <c r="CW321">
        <f>IF(CV321=0,0,1+COUNTIF(CW$3:CW320,"&gt;0"))</f>
        <v>0</v>
      </c>
      <c r="CX321" t="str">
        <f t="shared" si="266"/>
        <v/>
      </c>
      <c r="CY321" t="str">
        <f t="shared" si="238"/>
        <v/>
      </c>
      <c r="DA321">
        <f>IF(IF(OR(IFERROR(SEARCH("Cleric",$T321,1),0)&gt;0,IFERROR(SEARCH(DivineDomain&amp;",",$T321,1),0)&gt;0),1,0)*IF($C321=DA$2,1,0)=1,1+COUNTIF(DA$3:DA320,"&gt;0"),0)</f>
        <v>0</v>
      </c>
      <c r="DB321">
        <f>IF(IF(OR(IFERROR(SEARCH("Cleric",$T321,1),0)&gt;0,IFERROR(SEARCH(DivineDomain&amp;",",$T321,1),0)&gt;0),1,0)*IF($C321=DB$2,1,0)=1,1+COUNTIF(DB$3:DB320,"&gt;0"),0)</f>
        <v>0</v>
      </c>
      <c r="DC321">
        <f>IF(IF(OR(IFERROR(SEARCH("Cleric",$T321,1),0)&gt;0,IFERROR(SEARCH(DivineDomain&amp;",",$T321,1),0)&gt;0),1,0)*IF($C321=DC$2,1,0)=1,1+COUNTIF(DC$3:DC320,"&gt;0"),0)</f>
        <v>0</v>
      </c>
      <c r="DD321">
        <f>IF(IF(OR(IFERROR(SEARCH("Cleric",$T321,1),0)&gt;0,IFERROR(SEARCH(DivineDomain&amp;",",$T321,1),0)&gt;0),1,0)*IF($C321=DD$2,1,0)=1,1+COUNTIF(DD$3:DD320,"&gt;0"),0)</f>
        <v>0</v>
      </c>
      <c r="DE321">
        <f>IF(IF(OR(IFERROR(SEARCH("Cleric",$T321,1),0)&gt;0,IFERROR(SEARCH(DivineDomain&amp;",",$T321,1),0)&gt;0),1,0)*IF($C321=DE$2,1,0)=1,1+COUNTIF(DE$3:DE320,"&gt;0"),0)</f>
        <v>0</v>
      </c>
      <c r="DF321">
        <f>IF(IF(OR(IFERROR(SEARCH("Cleric",$T321,1),0)&gt;0,IFERROR(SEARCH(DivineDomain&amp;",",$T321,1),0)&gt;0),1,0)*IF($C321=DF$2,1,0)=1,1+COUNTIF(DF$3:DF320,"&gt;0"),0)</f>
        <v>0</v>
      </c>
      <c r="DG321">
        <f>IF(IF(OR(IFERROR(SEARCH("Cleric",$T321,1),0)&gt;0,IFERROR(SEARCH(DivineDomain&amp;",",$T321,1),0)&gt;0),1,0)*IF($C321=DG$2,1,0)=1,1+COUNTIF(DG$3:DG320,"&gt;0"),0)</f>
        <v>0</v>
      </c>
      <c r="DH321">
        <f>IF(IF(OR(IFERROR(SEARCH("Cleric",$T321,1),0)&gt;0,IFERROR(SEARCH(DivineDomain&amp;",",$T321,1),0)&gt;0),1,0)*IF($C321=DH$2,1,0)=1,1+COUNTIF(DH$3:DH320,"&gt;0"),0)</f>
        <v>0</v>
      </c>
      <c r="DI321">
        <f>IF(IF(OR(IFERROR(SEARCH("Cleric",$T321,1),0)&gt;0,IFERROR(SEARCH(DivineDomain&amp;",",$T321,1),0)&gt;0),1,0)*IF($C321=DI$2,1,0)=1,1+COUNTIF(DI$3:DI320,"&gt;0"),0)</f>
        <v>0</v>
      </c>
      <c r="DJ321">
        <f>IF(IF(OR(IFERROR(SEARCH("Druid",$T321,1),0)&gt;0,IFERROR(SEARCH(DruidLand1,$T321,1),0)&gt;0,IFERROR(SEARCH(DruidLand2,$T321,1),0)&gt;0,IFERROR(SEARCH(DruidLand3,$T321,1),0)&gt;0,IFERROR(SEARCH(DruidLand4,$T321,1),0)&gt;0),1,0)*IF($C321=1,1,0)*IF($C321=DJ$2,1,0)=0,0,1+COUNTIF(DJ$3:DJ320,"&gt;0"))</f>
        <v>0</v>
      </c>
      <c r="DK321">
        <f>IF(IF(OR(IFERROR(SEARCH("Druid",$T321,1),0)&gt;0,IFERROR(SEARCH(DruidLand1,$T321,1),0)&gt;0,IFERROR(SEARCH(DruidLand2,$T321,1),0)&gt;0,IFERROR(SEARCH(DruidLand3,$T321,1),0)&gt;0,IFERROR(SEARCH(DruidLand4,$T321,1),0)&gt;0),1,0)*IF($C321=DK$2,1,0)=0,0,1+COUNTIF(DK$3:DK320,"&gt;0"))</f>
        <v>0</v>
      </c>
      <c r="DL321">
        <f>IF(IF(OR(IFERROR(SEARCH("Druid",$T321,1),0)&gt;0,IFERROR(SEARCH(DruidLand1,$T321,1),0)&gt;0,IFERROR(SEARCH(DruidLand2,$T321,1),0)&gt;0,IFERROR(SEARCH(DruidLand3,$T321,1),0)&gt;0,IFERROR(SEARCH(DruidLand4,$T321,1),0)&gt;0),1,0)*IF($C321=DL$2,1,0)=0,0,1+COUNTIF(DL$3:DL320,"&gt;0"))</f>
        <v>0</v>
      </c>
      <c r="DM321">
        <f>IF(IF(OR(IFERROR(SEARCH("Druid",$T321,1),0)&gt;0,IFERROR(SEARCH(DruidLand1,$T321,1),0)&gt;0,IFERROR(SEARCH(DruidLand2,$T321,1),0)&gt;0,IFERROR(SEARCH(DruidLand3,$T321,1),0)&gt;0,IFERROR(SEARCH(DruidLand4,$T321,1),0)&gt;0),1,0)*IF($C321=DM$2,1,0)=0,0,1+COUNTIF(DM$3:DM320,"&gt;0"))</f>
        <v>0</v>
      </c>
      <c r="DN321">
        <f>IF(IF(OR(IFERROR(SEARCH("Druid",$T321,1),0)&gt;0,IFERROR(SEARCH(DruidLand1,$T321,1),0)&gt;0,IFERROR(SEARCH(DruidLand2,$T321,1),0)&gt;0,IFERROR(SEARCH(DruidLand3,$T321,1),0)&gt;0,IFERROR(SEARCH(DruidLand4,$T321,1),0)&gt;0),1,0)*IF($C321=DN$2,1,0)=0,0,1+COUNTIF(DN$3:DN320,"&gt;0"))</f>
        <v>0</v>
      </c>
      <c r="DO321">
        <f>IF(IF(OR(IFERROR(SEARCH("Druid",$T321,1),0)&gt;0,IFERROR(SEARCH(DruidLand1,$T321,1),0)&gt;0,IFERROR(SEARCH(DruidLand2,$T321,1),0)&gt;0,IFERROR(SEARCH(DruidLand3,$T321,1),0)&gt;0,IFERROR(SEARCH(DruidLand4,$T321,1),0)&gt;0),1,0)*IF($C321=DO$2,1,0)=0,0,1+COUNTIF(DO$3:DO320,"&gt;0"))</f>
        <v>6</v>
      </c>
      <c r="DP321">
        <f>IF(IF(OR(IFERROR(SEARCH("Druid",$T321,1),0)&gt;0,IFERROR(SEARCH(DruidLand1,$T321,1),0)&gt;0,IFERROR(SEARCH(DruidLand2,$T321,1),0)&gt;0,IFERROR(SEARCH(DruidLand3,$T321,1),0)&gt;0,IFERROR(SEARCH(DruidLand4,$T321,1),0)&gt;0),1,0)*IF($C321=DP$2,1,0)=0,0,1+COUNTIF(DP$3:DP320,"&gt;0"))</f>
        <v>0</v>
      </c>
      <c r="DQ321">
        <f>IF(IF(OR(IFERROR(SEARCH("Druid",$T321,1),0)&gt;0,IFERROR(SEARCH(DruidLand1,$T321,1),0)&gt;0,IFERROR(SEARCH(DruidLand2,$T321,1),0)&gt;0,IFERROR(SEARCH(DruidLand3,$T321,1),0)&gt;0,IFERROR(SEARCH(DruidLand4,$T321,1),0)&gt;0),1,0)*IF($C321=DQ$2,1,0)=0,0,1+COUNTIF(DQ$3:DQ320,"&gt;0"))</f>
        <v>0</v>
      </c>
      <c r="DR321">
        <f>IF(IF(OR(IFERROR(SEARCH("Druid",$T321,1),0)&gt;0,IFERROR(SEARCH(DruidLand1,$T321,1),0)&gt;0,IFERROR(SEARCH(DruidLand2,$T321,1),0)&gt;0,IFERROR(SEARCH(DruidLand3,$T321,1),0)&gt;0,IFERROR(SEARCH(DruidLand4,$T321,1),0)&gt;0),1,0)*IF($C321=DR$2,1,0)=0,0,1+COUNTIF(DR$3:DR320,"&gt;0"))</f>
        <v>0</v>
      </c>
      <c r="DS321">
        <f>IF(IF(OR(IFERROR(SEARCH("Paladin",$T321,1),0)&gt;0,IFERROR(SEARCH(PaladinOath,$T321,1),0)&gt;0),1,0)*IF($C321=DS$2,1,0)=1,1+COUNTIF(DS$3:DS320,"&gt;0"),0)</f>
        <v>0</v>
      </c>
      <c r="DT321">
        <f>IF(IF(OR(IFERROR(SEARCH("Paladin",$T321,1),0)&gt;0,IFERROR(SEARCH(PaladinOath,$T321,1),0)&gt;0),1,0)*IF($C321=DT$2,1,0)=1,1+COUNTIF(DT$3:DT320,"&gt;0"),0)</f>
        <v>0</v>
      </c>
      <c r="DU321">
        <f>IF(IF(OR(IFERROR(SEARCH("Paladin",$T321,1),0)&gt;0,IFERROR(SEARCH(PaladinOath,$T321,1),0)&gt;0),1,0)*IF($C321=DU$2,1,0)=1,1+COUNTIF(DU$3:DU320,"&gt;0"),0)</f>
        <v>0</v>
      </c>
      <c r="DV321">
        <f>IF(IF(OR(IFERROR(SEARCH("Paladin",$T321,1),0)&gt;0,IFERROR(SEARCH(PaladinOath,$T321,1),0)&gt;0),1,0)*IF($C321=DV$2,1,0)=1,1+COUNTIF(DV$3:DV320,"&gt;0"),0)</f>
        <v>0</v>
      </c>
      <c r="DW321">
        <f>IF(IF(OR(IFERROR(SEARCH("Paladin",$T321,1),0)&gt;0,IFERROR(SEARCH(PaladinOath,$T321,1),0)&gt;0),1,0)*IF($C321=DW$2,1,0)=1,1+COUNTIF(DW$3:DW320,"&gt;0"),0)</f>
        <v>0</v>
      </c>
      <c r="DY321">
        <f t="shared" si="225"/>
        <v>1</v>
      </c>
      <c r="DZ321">
        <f>IF(DY321=0,0,1+MAX(DZ$3:$DZ320))</f>
        <v>319</v>
      </c>
      <c r="EB321">
        <f t="shared" si="239"/>
        <v>0</v>
      </c>
      <c r="EC321">
        <f>IF(EB321=0,0,1+COUNTIF(EC$3:EC320,"&gt;0"))</f>
        <v>0</v>
      </c>
      <c r="ED321" t="str">
        <f t="shared" si="267"/>
        <v/>
      </c>
      <c r="EE321" t="str">
        <f t="shared" si="240"/>
        <v/>
      </c>
      <c r="EG321">
        <f t="shared" si="241"/>
        <v>0</v>
      </c>
      <c r="EH321">
        <f>IF(EG321=0,0,1+COUNTIF(EH$3:EH320,"&gt;0"))</f>
        <v>0</v>
      </c>
      <c r="EI321" t="str">
        <f t="shared" si="268"/>
        <v/>
      </c>
      <c r="EJ321" t="str">
        <f t="shared" si="242"/>
        <v/>
      </c>
      <c r="EL321">
        <f t="shared" si="243"/>
        <v>0</v>
      </c>
      <c r="EM321">
        <f>IF(EL321=0,0,1+COUNTIF(EM$3:EM320,"&gt;0"))</f>
        <v>0</v>
      </c>
      <c r="EN321" t="str">
        <f t="shared" si="269"/>
        <v/>
      </c>
      <c r="EO321" t="str">
        <f t="shared" si="244"/>
        <v/>
      </c>
      <c r="EQ321">
        <f t="shared" si="245"/>
        <v>0</v>
      </c>
      <c r="ER321">
        <f>IF(EQ321=0,0,1+COUNTIF(ER$3:ER320,"&gt;0"))</f>
        <v>0</v>
      </c>
      <c r="ES321" t="str">
        <f t="shared" si="270"/>
        <v/>
      </c>
      <c r="ET321" t="str">
        <f t="shared" si="246"/>
        <v/>
      </c>
      <c r="EV321">
        <f t="shared" si="247"/>
        <v>0</v>
      </c>
      <c r="EW321">
        <f>IF(EV321=0,0,1+COUNTIF(EW$3:EW320,"&gt;0"))</f>
        <v>0</v>
      </c>
      <c r="EX321" t="str">
        <f t="shared" si="271"/>
        <v/>
      </c>
      <c r="EY321" t="str">
        <f t="shared" si="248"/>
        <v/>
      </c>
      <c r="FA321">
        <f t="shared" si="249"/>
        <v>0</v>
      </c>
      <c r="FB321">
        <f>IF(FA321=0,0,1+COUNTIF(FB$3:FB320,"&gt;0"))</f>
        <v>0</v>
      </c>
      <c r="FC321" t="str">
        <f t="shared" si="272"/>
        <v/>
      </c>
      <c r="FD321" t="str">
        <f t="shared" si="250"/>
        <v/>
      </c>
      <c r="FF321">
        <f t="shared" si="251"/>
        <v>0</v>
      </c>
      <c r="FG321">
        <f>IF(FF321=0,0,1+COUNTIF(FG$3:FG320,"&gt;0"))</f>
        <v>0</v>
      </c>
      <c r="FH321" t="str">
        <f t="shared" si="273"/>
        <v/>
      </c>
      <c r="FI321" t="str">
        <f t="shared" si="252"/>
        <v/>
      </c>
      <c r="FK321">
        <f t="shared" si="253"/>
        <v>0</v>
      </c>
      <c r="FL321">
        <f>IF(FK321=0,0,1+COUNTIF(FL$3:FL320,"&gt;0"))</f>
        <v>0</v>
      </c>
      <c r="FM321" t="str">
        <f t="shared" si="274"/>
        <v/>
      </c>
      <c r="FN321" t="str">
        <f t="shared" si="254"/>
        <v/>
      </c>
      <c r="FP321">
        <f t="shared" si="255"/>
        <v>0</v>
      </c>
      <c r="FQ321">
        <f>IF(FP321=0,0,1+COUNTIF(FQ$3:FQ320,"&gt;0"))</f>
        <v>0</v>
      </c>
      <c r="FR321" t="str">
        <f t="shared" si="275"/>
        <v/>
      </c>
      <c r="FS321" t="str">
        <f t="shared" si="256"/>
        <v/>
      </c>
    </row>
    <row r="322" spans="1:175" x14ac:dyDescent="0.25">
      <c r="A322" s="347">
        <f t="shared" si="276"/>
        <v>320</v>
      </c>
      <c r="B322" s="348" t="s">
        <v>2719</v>
      </c>
      <c r="C322" s="348">
        <v>8</v>
      </c>
      <c r="D322" s="347">
        <v>8</v>
      </c>
      <c r="E322" s="627" t="s">
        <v>6952</v>
      </c>
      <c r="F322" s="346"/>
      <c r="G322" s="347" t="str">
        <f>""</f>
        <v/>
      </c>
      <c r="H322" s="347" t="s">
        <v>5912</v>
      </c>
      <c r="I322" s="347" t="s">
        <v>5315</v>
      </c>
      <c r="J322" s="347" t="str">
        <f t="shared" si="226"/>
        <v/>
      </c>
      <c r="K322" s="347" t="s">
        <v>5278</v>
      </c>
      <c r="L322" s="611" t="str">
        <f t="shared" si="227"/>
        <v>V, S, M, fire and a piece of sunstone</v>
      </c>
      <c r="M322" s="347" t="s">
        <v>2373</v>
      </c>
      <c r="N322" s="347" t="s">
        <v>2387</v>
      </c>
      <c r="O322" s="347" t="s">
        <v>1244</v>
      </c>
      <c r="P322" s="346" t="s">
        <v>5492</v>
      </c>
      <c r="Q322" s="347" t="s">
        <v>5273</v>
      </c>
      <c r="S322" s="346" t="s">
        <v>5835</v>
      </c>
      <c r="T322" s="346" t="str">
        <f t="shared" si="228"/>
        <v xml:space="preserve">Sorcerer, Druid, Eldritch Knight, Wizard, </v>
      </c>
      <c r="X322" s="347" t="str">
        <f>$B322</f>
        <v>Sunburst</v>
      </c>
      <c r="AA322" s="347" t="str">
        <f>$B322</f>
        <v>Sunburst</v>
      </c>
      <c r="AB322" s="542" t="str">
        <f>AD322</f>
        <v>Sunburst</v>
      </c>
      <c r="AD322" s="347" t="str">
        <f>$B322</f>
        <v>Sunburst</v>
      </c>
      <c r="AE322" t="str">
        <f>IF(IFERROR(MATCH($B322,temp!A$4:A$13,0),0)&gt;0,T08_Spells!AE$2,"")</f>
        <v/>
      </c>
      <c r="AF322" t="str">
        <f>IF(IFERROR(MATCH($B322,temp!B$4:B$13,0),0)&gt;0,T08_Spells!AF$2,"")</f>
        <v/>
      </c>
      <c r="AG322" t="str">
        <f>IF(IFERROR(MATCH($B322,temp!C$4:C$13,0),0)&gt;0,T08_Spells!AG$2,"")</f>
        <v/>
      </c>
      <c r="AH322" t="str">
        <f>IF(IFERROR(MATCH($B322,temp!D$4:D$13,0),0)&gt;0,T08_Spells!AH$2,"")</f>
        <v/>
      </c>
      <c r="AI322" t="str">
        <f>IF(IFERROR(MATCH($B322,temp!E$4:E$13,0),0)&gt;0,T08_Spells!AI$2,"")</f>
        <v/>
      </c>
      <c r="AJ322" t="str">
        <f>IF(IFERROR(MATCH($B322,temp!F$4:F$13,0),0)&gt;0,T08_Spells!AJ$2,"")</f>
        <v/>
      </c>
      <c r="AK322" t="str">
        <f>IF(IFERROR(MATCH($B322,temp!G$4:G$13,0),0)&gt;0,T08_Spells!AK$2,"")</f>
        <v/>
      </c>
      <c r="AL322" t="str">
        <f>IF(IFERROR(MATCH($B322,temp!H$4:H$13,0),0)&gt;0,T08_Spells!AL$2,"")</f>
        <v/>
      </c>
      <c r="AM322" t="str">
        <f>IF(IFERROR(MATCH($B322,temp!I$4:I$13,0),0)&gt;0,T08_Spells!AM$2,"")</f>
        <v/>
      </c>
      <c r="AN322" t="str">
        <f>IF(IFERROR(MATCH($B322,temp!J$4:J$13,0),0)&gt;0,T08_Spells!AN$2,"")</f>
        <v/>
      </c>
      <c r="AO322" t="str">
        <f>IF(IFERROR(MATCH($B322,temp!K$4:K$13,0),0)&gt;0,T08_Spells!AO$2,"")</f>
        <v/>
      </c>
      <c r="AP322" t="str">
        <f>IF(IFERROR(MATCH($B322,temp!L$4:L$13,0),0)&gt;0,T08_Spells!AP$2,"")</f>
        <v/>
      </c>
      <c r="AQ322" t="str">
        <f>IF(IFERROR(MATCH($B322,temp!M$4:M$13,0),0)&gt;0,T08_Spells!AQ$2,"")</f>
        <v/>
      </c>
      <c r="AR322" t="str">
        <f>IF(IFERROR(MATCH($B322,temp!N$4:N$13,0),0)&gt;0,T08_Spells!AR$2,"")</f>
        <v/>
      </c>
      <c r="AS322" t="str">
        <f>IF(IFERROR(MATCH($B322,temp!O$4:O$13,0),0)&gt;0,T08_Spells!AS$2,"")</f>
        <v/>
      </c>
      <c r="AT322" t="str">
        <f>IF(IFERROR(MATCH($B322,temp!P$4:P$13,0),0)&gt;0,T08_Spells!AT$2,"")</f>
        <v/>
      </c>
      <c r="AU322" t="str">
        <f>IF(IFERROR(MATCH($B322,temp!Q$4:Q$13,0),0)&gt;0,T08_Spells!AU$2,"")</f>
        <v/>
      </c>
      <c r="AV322" t="str">
        <f>IF(IFERROR(MATCH($B322,temp!R$4:R$13,0),0)&gt;0,T08_Spells!AV$2,"")</f>
        <v/>
      </c>
      <c r="AW322" t="str">
        <f>IF(IFERROR(MATCH($B322,temp!S$4:S$13,0),0)&gt;0,T08_Spells!AW$2,"")</f>
        <v/>
      </c>
      <c r="AX322" t="str">
        <f>IF(IFERROR(MATCH($B322,temp!T$4:T$13,0),0)&gt;0,T08_Spells!AX$2,"")</f>
        <v/>
      </c>
      <c r="AY322" t="str">
        <f>IF(IFERROR(MATCH($B322,temp!U$4:U$13,0),0)&gt;0,T08_Spells!AY$2,"")</f>
        <v/>
      </c>
      <c r="AZ322" t="str">
        <f>IF(IFERROR(MATCH($B322,temp!V$4:V$13,0),0)&gt;0,T08_Spells!AZ$2,"")</f>
        <v/>
      </c>
      <c r="BA322" t="str">
        <f>IF(IFERROR(MATCH($B322,temp!W$4:W$13,0),0)&gt;0,T08_Spells!BA$2,"")</f>
        <v/>
      </c>
      <c r="BC322">
        <f>IF(IFERROR(SEARCH("Ranger",$T322,1),0)&gt;0,1,0)*IF(RangerMaxSpellLevel&gt;=$C322,1,0)*IF(IFERROR(MATCH(B322,Character_Creation!$X$79:$X$382,0),0)&gt;0,0,1)</f>
        <v>0</v>
      </c>
      <c r="BD322">
        <f>IF(BC322=0,0,1+COUNTIF(BD$3:BD321,"&gt;0"))</f>
        <v>0</v>
      </c>
      <c r="BE322" t="str">
        <f t="shared" si="257"/>
        <v/>
      </c>
      <c r="BF322" t="str">
        <f t="shared" si="229"/>
        <v/>
      </c>
      <c r="BH322">
        <f>IF(IFERROR(SEARCH("Sorcerer",$T322,1),0)&gt;0,1,0)*IF(SorcererMaxSpellLevel&gt;=$C322,1,0)*IF(IFERROR(MATCH(B322,Character_Creation!$J$380:$J$394,0),0)&gt;0,0,1)</f>
        <v>0</v>
      </c>
      <c r="BI322">
        <f>IF(BH322=0,0,1+COUNTIF(BI$3:BI321,"&gt;0"))</f>
        <v>0</v>
      </c>
      <c r="BJ322" t="str">
        <f t="shared" si="258"/>
        <v/>
      </c>
      <c r="BK322" t="str">
        <f t="shared" si="230"/>
        <v/>
      </c>
      <c r="BM322">
        <f>IF(OR(IFERROR(SEARCH("Warlock",$T322,1),0)&gt;0,IFERROR(SEARCH(WarlockPatron,$T322,1),0)&gt;0),1,0)*IF(WarlockMaxSpellLevel&gt;=$C322,1,0)*IF(IFERROR(MATCH(B322,Character_Creation!$J$361:$J$375,0),0)&gt;0,0,1)</f>
        <v>0</v>
      </c>
      <c r="BN322">
        <f>IF(BM322=0,0,1+COUNTIF(BN$3:BN321,"&gt;0"))</f>
        <v>0</v>
      </c>
      <c r="BO322" t="str">
        <f t="shared" si="259"/>
        <v/>
      </c>
      <c r="BP322" t="str">
        <f t="shared" si="231"/>
        <v/>
      </c>
      <c r="BR322">
        <f>IF(IFERROR(SEARCH("Eldritch Knight",$T322,1),0)&gt;0,1,0)*IF(EldritchKnightMaxSpellLevel&gt;=$C322,1,0)*IF(IFERROR(MATCH($B322,Character_Creation!$J$350:$J$356,0),0)&gt;0,0,1)*IF(Character_Creation!$M$338&gt;0,1,0)</f>
        <v>0</v>
      </c>
      <c r="BS322">
        <f>IF(BR322=0,0,1+COUNTIF(BS$3:BS321,"&gt;0"))</f>
        <v>0</v>
      </c>
      <c r="BT322" t="str">
        <f t="shared" si="260"/>
        <v/>
      </c>
      <c r="BU322" t="str">
        <f t="shared" si="232"/>
        <v/>
      </c>
      <c r="BW322">
        <f>IF(IFERROR(SEARCH("Arcane Trickster",$T322,1),0)&gt;0,1,0)*IF(ArcaneTricksterMaxSpellLevel&gt;=$C322,1,0)*IF(IFERROR(MATCH($B322,Character_Creation!$J$350:$J$356,0),0)&gt;0,0,1)*IF(Character_Creation!$T$338&gt;0,1,0)</f>
        <v>0</v>
      </c>
      <c r="BX322">
        <f>IF(BW322=0,0,1+COUNTIF(BX$3:BX321,"&gt;0"))</f>
        <v>0</v>
      </c>
      <c r="BY322" t="str">
        <f t="shared" si="261"/>
        <v/>
      </c>
      <c r="BZ322" t="str">
        <f t="shared" si="233"/>
        <v/>
      </c>
      <c r="CB322">
        <f>IF(IFERROR(SEARCH("Wizard",$T322,1),0)&gt;0,1,0)*IF(C322&lt;=ArcaneTricksterMaxSpellLevel,1,0)*IF(IFERROR(MATCH($B322,Character_Creation!$J$350:$J$356,0),0)&gt;0,0,1)*IF(Character_Creation!$T$350&gt;0,1,0)</f>
        <v>0</v>
      </c>
      <c r="CC322">
        <f>IF(CB322=0,0,1+COUNTIF(CC$3:CC321,"&gt;0"))</f>
        <v>0</v>
      </c>
      <c r="CD322" t="str">
        <f t="shared" si="262"/>
        <v/>
      </c>
      <c r="CE322" t="str">
        <f t="shared" si="234"/>
        <v/>
      </c>
      <c r="CG322">
        <f>IF(IFERROR(SEARCH("Wizard",$T322,1),0)&gt;0,1,0)*IF($C322&lt;=EldritchKnightMaxSpellLevel,1,0)*IF(IFERROR(MATCH($B322,Character_Creation!$J$350:$J$356,0),0)&gt;0,0,1)*IF(Character_Creation!$M$350&gt;0,1,0)</f>
        <v>0</v>
      </c>
      <c r="CH322">
        <f>IF(CG322=0,0,1+COUNTIF(CH$3:CH321,"&gt;0"))</f>
        <v>0</v>
      </c>
      <c r="CI322" t="str">
        <f t="shared" si="263"/>
        <v/>
      </c>
      <c r="CJ322" t="str">
        <f t="shared" si="235"/>
        <v/>
      </c>
      <c r="CL322">
        <f>IF(IFERROR(SEARCH("Bard",$T322,1),0)&gt;0,1,0)*IF(BardMaxSpellLevel&gt;=$C322,1,0)*IF(IFERROR(MATCH(B322,Character_Creation!$C$341:$F$362,0),0)&gt;0,0,1)*IF(IFERROR(MATCH($B322,Character_Creation!$C$341:$C$362,0),0)&gt;0,0,1)</f>
        <v>0</v>
      </c>
      <c r="CM322">
        <f>IF(CL322=0,0,1+COUNTIF(CM$3:CM321,"&gt;0"))</f>
        <v>0</v>
      </c>
      <c r="CN322" t="str">
        <f t="shared" si="264"/>
        <v/>
      </c>
      <c r="CO322" t="str">
        <f t="shared" si="236"/>
        <v/>
      </c>
      <c r="CQ322">
        <f>IF(IFERROR(SEARCH("Wizard",$T322,1),0)&gt;0,1,0)*IF(WizardMaxSpellLevel&gt;=$C322,1,0)*IF(IFERROR(MATCH(B322,Character_Creation!$X$341:$X$400,0),0)&gt;0,0,1)*IF(SelectedWizardSpellLevel=$C322,1,0)</f>
        <v>0</v>
      </c>
      <c r="CR322">
        <f>IF(CQ322=0,0,1+COUNTIF(CR$3:CR321,"&gt;0"))</f>
        <v>0</v>
      </c>
      <c r="CS322" t="str">
        <f t="shared" si="265"/>
        <v/>
      </c>
      <c r="CT322" t="str">
        <f t="shared" si="237"/>
        <v/>
      </c>
      <c r="CV322">
        <f>IF(IFERROR(MATCH($B322,Character_Creation!$C$341:$C$362,0),0)&gt;0,0,1)*IF(OR(C322="Cantrip",C322&lt;=BardMaxSpellLevel),1,0)*IF(IFERROR(MATCH($B322,Character_Creation!$C$367:$C$374,0),0)&gt;0,0,1)</f>
        <v>0</v>
      </c>
      <c r="CW322">
        <f>IF(CV322=0,0,1+COUNTIF(CW$3:CW321,"&gt;0"))</f>
        <v>0</v>
      </c>
      <c r="CX322" t="str">
        <f t="shared" si="266"/>
        <v/>
      </c>
      <c r="CY322" t="str">
        <f t="shared" si="238"/>
        <v/>
      </c>
      <c r="DA322">
        <f>IF(IF(OR(IFERROR(SEARCH("Cleric",$T322,1),0)&gt;0,IFERROR(SEARCH(DivineDomain&amp;",",$T322,1),0)&gt;0),1,0)*IF($C322=DA$2,1,0)=1,1+COUNTIF(DA$3:DA321,"&gt;0"),0)</f>
        <v>0</v>
      </c>
      <c r="DB322">
        <f>IF(IF(OR(IFERROR(SEARCH("Cleric",$T322,1),0)&gt;0,IFERROR(SEARCH(DivineDomain&amp;",",$T322,1),0)&gt;0),1,0)*IF($C322=DB$2,1,0)=1,1+COUNTIF(DB$3:DB321,"&gt;0"),0)</f>
        <v>0</v>
      </c>
      <c r="DC322">
        <f>IF(IF(OR(IFERROR(SEARCH("Cleric",$T322,1),0)&gt;0,IFERROR(SEARCH(DivineDomain&amp;",",$T322,1),0)&gt;0),1,0)*IF($C322=DC$2,1,0)=1,1+COUNTIF(DC$3:DC321,"&gt;0"),0)</f>
        <v>0</v>
      </c>
      <c r="DD322">
        <f>IF(IF(OR(IFERROR(SEARCH("Cleric",$T322,1),0)&gt;0,IFERROR(SEARCH(DivineDomain&amp;",",$T322,1),0)&gt;0),1,0)*IF($C322=DD$2,1,0)=1,1+COUNTIF(DD$3:DD321,"&gt;0"),0)</f>
        <v>0</v>
      </c>
      <c r="DE322">
        <f>IF(IF(OR(IFERROR(SEARCH("Cleric",$T322,1),0)&gt;0,IFERROR(SEARCH(DivineDomain&amp;",",$T322,1),0)&gt;0),1,0)*IF($C322=DE$2,1,0)=1,1+COUNTIF(DE$3:DE321,"&gt;0"),0)</f>
        <v>0</v>
      </c>
      <c r="DF322">
        <f>IF(IF(OR(IFERROR(SEARCH("Cleric",$T322,1),0)&gt;0,IFERROR(SEARCH(DivineDomain&amp;",",$T322,1),0)&gt;0),1,0)*IF($C322=DF$2,1,0)=1,1+COUNTIF(DF$3:DF321,"&gt;0"),0)</f>
        <v>0</v>
      </c>
      <c r="DG322">
        <f>IF(IF(OR(IFERROR(SEARCH("Cleric",$T322,1),0)&gt;0,IFERROR(SEARCH(DivineDomain&amp;",",$T322,1),0)&gt;0),1,0)*IF($C322=DG$2,1,0)=1,1+COUNTIF(DG$3:DG321,"&gt;0"),0)</f>
        <v>0</v>
      </c>
      <c r="DH322">
        <f>IF(IF(OR(IFERROR(SEARCH("Cleric",$T322,1),0)&gt;0,IFERROR(SEARCH(DivineDomain&amp;",",$T322,1),0)&gt;0),1,0)*IF($C322=DH$2,1,0)=1,1+COUNTIF(DH$3:DH321,"&gt;0"),0)</f>
        <v>0</v>
      </c>
      <c r="DI322">
        <f>IF(IF(OR(IFERROR(SEARCH("Cleric",$T322,1),0)&gt;0,IFERROR(SEARCH(DivineDomain&amp;",",$T322,1),0)&gt;0),1,0)*IF($C322=DI$2,1,0)=1,1+COUNTIF(DI$3:DI321,"&gt;0"),0)</f>
        <v>0</v>
      </c>
      <c r="DJ322">
        <f>IF(IF(OR(IFERROR(SEARCH("Druid",$T322,1),0)&gt;0,IFERROR(SEARCH(DruidLand1,$T322,1),0)&gt;0,IFERROR(SEARCH(DruidLand2,$T322,1),0)&gt;0,IFERROR(SEARCH(DruidLand3,$T322,1),0)&gt;0,IFERROR(SEARCH(DruidLand4,$T322,1),0)&gt;0),1,0)*IF($C322=1,1,0)*IF($C322=DJ$2,1,0)=0,0,1+COUNTIF(DJ$3:DJ321,"&gt;0"))</f>
        <v>0</v>
      </c>
      <c r="DK322">
        <f>IF(IF(OR(IFERROR(SEARCH("Druid",$T322,1),0)&gt;0,IFERROR(SEARCH(DruidLand1,$T322,1),0)&gt;0,IFERROR(SEARCH(DruidLand2,$T322,1),0)&gt;0,IFERROR(SEARCH(DruidLand3,$T322,1),0)&gt;0,IFERROR(SEARCH(DruidLand4,$T322,1),0)&gt;0),1,0)*IF($C322=DK$2,1,0)=0,0,1+COUNTIF(DK$3:DK321,"&gt;0"))</f>
        <v>0</v>
      </c>
      <c r="DL322">
        <f>IF(IF(OR(IFERROR(SEARCH("Druid",$T322,1),0)&gt;0,IFERROR(SEARCH(DruidLand1,$T322,1),0)&gt;0,IFERROR(SEARCH(DruidLand2,$T322,1),0)&gt;0,IFERROR(SEARCH(DruidLand3,$T322,1),0)&gt;0,IFERROR(SEARCH(DruidLand4,$T322,1),0)&gt;0),1,0)*IF($C322=DL$2,1,0)=0,0,1+COUNTIF(DL$3:DL321,"&gt;0"))</f>
        <v>0</v>
      </c>
      <c r="DM322">
        <f>IF(IF(OR(IFERROR(SEARCH("Druid",$T322,1),0)&gt;0,IFERROR(SEARCH(DruidLand1,$T322,1),0)&gt;0,IFERROR(SEARCH(DruidLand2,$T322,1),0)&gt;0,IFERROR(SEARCH(DruidLand3,$T322,1),0)&gt;0,IFERROR(SEARCH(DruidLand4,$T322,1),0)&gt;0),1,0)*IF($C322=DM$2,1,0)=0,0,1+COUNTIF(DM$3:DM321,"&gt;0"))</f>
        <v>0</v>
      </c>
      <c r="DN322">
        <f>IF(IF(OR(IFERROR(SEARCH("Druid",$T322,1),0)&gt;0,IFERROR(SEARCH(DruidLand1,$T322,1),0)&gt;0,IFERROR(SEARCH(DruidLand2,$T322,1),0)&gt;0,IFERROR(SEARCH(DruidLand3,$T322,1),0)&gt;0,IFERROR(SEARCH(DruidLand4,$T322,1),0)&gt;0),1,0)*IF($C322=DN$2,1,0)=0,0,1+COUNTIF(DN$3:DN321,"&gt;0"))</f>
        <v>0</v>
      </c>
      <c r="DO322">
        <f>IF(IF(OR(IFERROR(SEARCH("Druid",$T322,1),0)&gt;0,IFERROR(SEARCH(DruidLand1,$T322,1),0)&gt;0,IFERROR(SEARCH(DruidLand2,$T322,1),0)&gt;0,IFERROR(SEARCH(DruidLand3,$T322,1),0)&gt;0,IFERROR(SEARCH(DruidLand4,$T322,1),0)&gt;0),1,0)*IF($C322=DO$2,1,0)=0,0,1+COUNTIF(DO$3:DO321,"&gt;0"))</f>
        <v>0</v>
      </c>
      <c r="DP322">
        <f>IF(IF(OR(IFERROR(SEARCH("Druid",$T322,1),0)&gt;0,IFERROR(SEARCH(DruidLand1,$T322,1),0)&gt;0,IFERROR(SEARCH(DruidLand2,$T322,1),0)&gt;0,IFERROR(SEARCH(DruidLand3,$T322,1),0)&gt;0,IFERROR(SEARCH(DruidLand4,$T322,1),0)&gt;0),1,0)*IF($C322=DP$2,1,0)=0,0,1+COUNTIF(DP$3:DP321,"&gt;0"))</f>
        <v>0</v>
      </c>
      <c r="DQ322">
        <f>IF(IF(OR(IFERROR(SEARCH("Druid",$T322,1),0)&gt;0,IFERROR(SEARCH(DruidLand1,$T322,1),0)&gt;0,IFERROR(SEARCH(DruidLand2,$T322,1),0)&gt;0,IFERROR(SEARCH(DruidLand3,$T322,1),0)&gt;0,IFERROR(SEARCH(DruidLand4,$T322,1),0)&gt;0),1,0)*IF($C322=DQ$2,1,0)=0,0,1+COUNTIF(DQ$3:DQ321,"&gt;0"))</f>
        <v>6</v>
      </c>
      <c r="DR322">
        <f>IF(IF(OR(IFERROR(SEARCH("Druid",$T322,1),0)&gt;0,IFERROR(SEARCH(DruidLand1,$T322,1),0)&gt;0,IFERROR(SEARCH(DruidLand2,$T322,1),0)&gt;0,IFERROR(SEARCH(DruidLand3,$T322,1),0)&gt;0,IFERROR(SEARCH(DruidLand4,$T322,1),0)&gt;0),1,0)*IF($C322=DR$2,1,0)=0,0,1+COUNTIF(DR$3:DR321,"&gt;0"))</f>
        <v>0</v>
      </c>
      <c r="DS322">
        <f>IF(IF(OR(IFERROR(SEARCH("Paladin",$T322,1),0)&gt;0,IFERROR(SEARCH(PaladinOath,$T322,1),0)&gt;0),1,0)*IF($C322=DS$2,1,0)=1,1+COUNTIF(DS$3:DS321,"&gt;0"),0)</f>
        <v>0</v>
      </c>
      <c r="DT322">
        <f>IF(IF(OR(IFERROR(SEARCH("Paladin",$T322,1),0)&gt;0,IFERROR(SEARCH(PaladinOath,$T322,1),0)&gt;0),1,0)*IF($C322=DT$2,1,0)=1,1+COUNTIF(DT$3:DT321,"&gt;0"),0)</f>
        <v>0</v>
      </c>
      <c r="DU322">
        <f>IF(IF(OR(IFERROR(SEARCH("Paladin",$T322,1),0)&gt;0,IFERROR(SEARCH(PaladinOath,$T322,1),0)&gt;0),1,0)*IF($C322=DU$2,1,0)=1,1+COUNTIF(DU$3:DU321,"&gt;0"),0)</f>
        <v>0</v>
      </c>
      <c r="DV322">
        <f>IF(IF(OR(IFERROR(SEARCH("Paladin",$T322,1),0)&gt;0,IFERROR(SEARCH(PaladinOath,$T322,1),0)&gt;0),1,0)*IF($C322=DV$2,1,0)=1,1+COUNTIF(DV$3:DV321,"&gt;0"),0)</f>
        <v>0</v>
      </c>
      <c r="DW322">
        <f>IF(IF(OR(IFERROR(SEARCH("Paladin",$T322,1),0)&gt;0,IFERROR(SEARCH(PaladinOath,$T322,1),0)&gt;0),1,0)*IF($C322=DW$2,1,0)=1,1+COUNTIF(DW$3:DW321,"&gt;0"),0)</f>
        <v>0</v>
      </c>
      <c r="DY322">
        <f t="shared" si="225"/>
        <v>1</v>
      </c>
      <c r="DZ322">
        <f>IF(DY322=0,0,1+MAX(DZ$3:$DZ321))</f>
        <v>320</v>
      </c>
      <c r="EB322">
        <f t="shared" si="239"/>
        <v>0</v>
      </c>
      <c r="EC322">
        <f>IF(EB322=0,0,1+COUNTIF(EC$3:EC321,"&gt;0"))</f>
        <v>0</v>
      </c>
      <c r="ED322" t="str">
        <f t="shared" si="267"/>
        <v/>
      </c>
      <c r="EE322" t="str">
        <f t="shared" si="240"/>
        <v/>
      </c>
      <c r="EG322">
        <f t="shared" si="241"/>
        <v>0</v>
      </c>
      <c r="EH322">
        <f>IF(EG322=0,0,1+COUNTIF(EH$3:EH321,"&gt;0"))</f>
        <v>0</v>
      </c>
      <c r="EI322" t="str">
        <f t="shared" si="268"/>
        <v/>
      </c>
      <c r="EJ322" t="str">
        <f t="shared" si="242"/>
        <v/>
      </c>
      <c r="EL322">
        <f t="shared" si="243"/>
        <v>0</v>
      </c>
      <c r="EM322">
        <f>IF(EL322=0,0,1+COUNTIF(EM$3:EM321,"&gt;0"))</f>
        <v>0</v>
      </c>
      <c r="EN322" t="str">
        <f t="shared" si="269"/>
        <v/>
      </c>
      <c r="EO322" t="str">
        <f t="shared" si="244"/>
        <v/>
      </c>
      <c r="EQ322">
        <f t="shared" si="245"/>
        <v>0</v>
      </c>
      <c r="ER322">
        <f>IF(EQ322=0,0,1+COUNTIF(ER$3:ER321,"&gt;0"))</f>
        <v>0</v>
      </c>
      <c r="ES322" t="str">
        <f t="shared" si="270"/>
        <v/>
      </c>
      <c r="ET322" t="str">
        <f t="shared" si="246"/>
        <v/>
      </c>
      <c r="EV322">
        <f t="shared" si="247"/>
        <v>0</v>
      </c>
      <c r="EW322">
        <f>IF(EV322=0,0,1+COUNTIF(EW$3:EW321,"&gt;0"))</f>
        <v>0</v>
      </c>
      <c r="EX322" t="str">
        <f t="shared" si="271"/>
        <v/>
      </c>
      <c r="EY322" t="str">
        <f t="shared" si="248"/>
        <v/>
      </c>
      <c r="FA322">
        <f t="shared" si="249"/>
        <v>0</v>
      </c>
      <c r="FB322">
        <f>IF(FA322=0,0,1+COUNTIF(FB$3:FB321,"&gt;0"))</f>
        <v>0</v>
      </c>
      <c r="FC322" t="str">
        <f t="shared" si="272"/>
        <v/>
      </c>
      <c r="FD322" t="str">
        <f t="shared" si="250"/>
        <v/>
      </c>
      <c r="FF322">
        <f t="shared" si="251"/>
        <v>0</v>
      </c>
      <c r="FG322">
        <f>IF(FF322=0,0,1+COUNTIF(FG$3:FG321,"&gt;0"))</f>
        <v>0</v>
      </c>
      <c r="FH322" t="str">
        <f t="shared" si="273"/>
        <v/>
      </c>
      <c r="FI322" t="str">
        <f t="shared" si="252"/>
        <v/>
      </c>
      <c r="FK322">
        <f t="shared" si="253"/>
        <v>0</v>
      </c>
      <c r="FL322">
        <f>IF(FK322=0,0,1+COUNTIF(FL$3:FL321,"&gt;0"))</f>
        <v>0</v>
      </c>
      <c r="FM322" t="str">
        <f t="shared" si="274"/>
        <v/>
      </c>
      <c r="FN322" t="str">
        <f t="shared" si="254"/>
        <v/>
      </c>
      <c r="FP322">
        <f t="shared" si="255"/>
        <v>0</v>
      </c>
      <c r="FQ322">
        <f>IF(FP322=0,0,1+COUNTIF(FQ$3:FQ321,"&gt;0"))</f>
        <v>0</v>
      </c>
      <c r="FR322" t="str">
        <f t="shared" si="275"/>
        <v/>
      </c>
      <c r="FS322" t="str">
        <f t="shared" si="256"/>
        <v/>
      </c>
    </row>
    <row r="323" spans="1:175" x14ac:dyDescent="0.25">
      <c r="A323" s="347">
        <f t="shared" si="276"/>
        <v>321</v>
      </c>
      <c r="B323" s="348" t="s">
        <v>2720</v>
      </c>
      <c r="C323" s="348">
        <v>5</v>
      </c>
      <c r="D323" s="347">
        <v>5</v>
      </c>
      <c r="E323" s="627" t="s">
        <v>6952</v>
      </c>
      <c r="F323" s="346"/>
      <c r="G323" s="347" t="str">
        <f>""</f>
        <v/>
      </c>
      <c r="H323" s="347" t="s">
        <v>5918</v>
      </c>
      <c r="I323" s="347" t="s">
        <v>5283</v>
      </c>
      <c r="J323" s="347" t="str">
        <f t="shared" si="226"/>
        <v/>
      </c>
      <c r="K323" s="347" t="s">
        <v>5291</v>
      </c>
      <c r="L323" s="611" t="str">
        <f t="shared" si="227"/>
        <v>V, M</v>
      </c>
      <c r="M323" s="347" t="s">
        <v>2373</v>
      </c>
      <c r="N323" s="347" t="s">
        <v>3034</v>
      </c>
      <c r="O323" s="347" t="s">
        <v>1244</v>
      </c>
      <c r="P323" s="346" t="str">
        <f>""</f>
        <v/>
      </c>
      <c r="Q323" s="347" t="s">
        <v>5276</v>
      </c>
      <c r="S323" s="346" t="s">
        <v>5836</v>
      </c>
      <c r="T323" s="346" t="str">
        <f t="shared" si="228"/>
        <v xml:space="preserve">Ranger, </v>
      </c>
      <c r="W323" s="347" t="str">
        <f>$B323</f>
        <v>Swift Quiver</v>
      </c>
      <c r="AE323" t="str">
        <f>IF(IFERROR(MATCH($B323,temp!A$4:A$13,0),0)&gt;0,T08_Spells!AE$2,"")</f>
        <v/>
      </c>
      <c r="AF323" t="str">
        <f>IF(IFERROR(MATCH($B323,temp!B$4:B$13,0),0)&gt;0,T08_Spells!AF$2,"")</f>
        <v/>
      </c>
      <c r="AG323" t="str">
        <f>IF(IFERROR(MATCH($B323,temp!C$4:C$13,0),0)&gt;0,T08_Spells!AG$2,"")</f>
        <v/>
      </c>
      <c r="AH323" t="str">
        <f>IF(IFERROR(MATCH($B323,temp!D$4:D$13,0),0)&gt;0,T08_Spells!AH$2,"")</f>
        <v/>
      </c>
      <c r="AI323" t="str">
        <f>IF(IFERROR(MATCH($B323,temp!E$4:E$13,0),0)&gt;0,T08_Spells!AI$2,"")</f>
        <v/>
      </c>
      <c r="AJ323" t="str">
        <f>IF(IFERROR(MATCH($B323,temp!F$4:F$13,0),0)&gt;0,T08_Spells!AJ$2,"")</f>
        <v/>
      </c>
      <c r="AK323" t="str">
        <f>IF(IFERROR(MATCH($B323,temp!G$4:G$13,0),0)&gt;0,T08_Spells!AK$2,"")</f>
        <v/>
      </c>
      <c r="AL323" t="str">
        <f>IF(IFERROR(MATCH($B323,temp!H$4:H$13,0),0)&gt;0,T08_Spells!AL$2,"")</f>
        <v/>
      </c>
      <c r="AM323" t="str">
        <f>IF(IFERROR(MATCH($B323,temp!I$4:I$13,0),0)&gt;0,T08_Spells!AM$2,"")</f>
        <v/>
      </c>
      <c r="AN323" t="str">
        <f>IF(IFERROR(MATCH($B323,temp!J$4:J$13,0),0)&gt;0,T08_Spells!AN$2,"")</f>
        <v/>
      </c>
      <c r="AO323" t="str">
        <f>IF(IFERROR(MATCH($B323,temp!K$4:K$13,0),0)&gt;0,T08_Spells!AO$2,"")</f>
        <v/>
      </c>
      <c r="AP323" t="str">
        <f>IF(IFERROR(MATCH($B323,temp!L$4:L$13,0),0)&gt;0,T08_Spells!AP$2,"")</f>
        <v/>
      </c>
      <c r="AQ323" t="str">
        <f>IF(IFERROR(MATCH($B323,temp!M$4:M$13,0),0)&gt;0,T08_Spells!AQ$2,"")</f>
        <v/>
      </c>
      <c r="AR323" t="str">
        <f>IF(IFERROR(MATCH($B323,temp!N$4:N$13,0),0)&gt;0,T08_Spells!AR$2,"")</f>
        <v/>
      </c>
      <c r="AS323" t="str">
        <f>IF(IFERROR(MATCH($B323,temp!O$4:O$13,0),0)&gt;0,T08_Spells!AS$2,"")</f>
        <v/>
      </c>
      <c r="AT323" t="str">
        <f>IF(IFERROR(MATCH($B323,temp!P$4:P$13,0),0)&gt;0,T08_Spells!AT$2,"")</f>
        <v/>
      </c>
      <c r="AU323" t="str">
        <f>IF(IFERROR(MATCH($B323,temp!Q$4:Q$13,0),0)&gt;0,T08_Spells!AU$2,"")</f>
        <v/>
      </c>
      <c r="AV323" t="str">
        <f>IF(IFERROR(MATCH($B323,temp!R$4:R$13,0),0)&gt;0,T08_Spells!AV$2,"")</f>
        <v/>
      </c>
      <c r="AW323" t="str">
        <f>IF(IFERROR(MATCH($B323,temp!S$4:S$13,0),0)&gt;0,T08_Spells!AW$2,"")</f>
        <v/>
      </c>
      <c r="AX323" t="str">
        <f>IF(IFERROR(MATCH($B323,temp!T$4:T$13,0),0)&gt;0,T08_Spells!AX$2,"")</f>
        <v/>
      </c>
      <c r="AY323" t="str">
        <f>IF(IFERROR(MATCH($B323,temp!U$4:U$13,0),0)&gt;0,T08_Spells!AY$2,"")</f>
        <v/>
      </c>
      <c r="AZ323" t="str">
        <f>IF(IFERROR(MATCH($B323,temp!V$4:V$13,0),0)&gt;0,T08_Spells!AZ$2,"")</f>
        <v/>
      </c>
      <c r="BA323" t="str">
        <f>IF(IFERROR(MATCH($B323,temp!W$4:W$13,0),0)&gt;0,T08_Spells!BA$2,"")</f>
        <v/>
      </c>
      <c r="BC323">
        <f>IF(IFERROR(SEARCH("Ranger",$T323,1),0)&gt;0,1,0)*IF(RangerMaxSpellLevel&gt;=$C323,1,0)*IF(IFERROR(MATCH(B323,Character_Creation!$X$79:$X$382,0),0)&gt;0,0,1)</f>
        <v>0</v>
      </c>
      <c r="BD323">
        <f>IF(BC323=0,0,1+COUNTIF(BD$3:BD322,"&gt;0"))</f>
        <v>0</v>
      </c>
      <c r="BE323" t="str">
        <f t="shared" si="257"/>
        <v/>
      </c>
      <c r="BF323" t="str">
        <f t="shared" si="229"/>
        <v/>
      </c>
      <c r="BH323">
        <f>IF(IFERROR(SEARCH("Sorcerer",$T323,1),0)&gt;0,1,0)*IF(SorcererMaxSpellLevel&gt;=$C323,1,0)*IF(IFERROR(MATCH(B323,Character_Creation!$J$380:$J$394,0),0)&gt;0,0,1)</f>
        <v>0</v>
      </c>
      <c r="BI323">
        <f>IF(BH323=0,0,1+COUNTIF(BI$3:BI322,"&gt;0"))</f>
        <v>0</v>
      </c>
      <c r="BJ323" t="str">
        <f t="shared" si="258"/>
        <v/>
      </c>
      <c r="BK323" t="str">
        <f t="shared" si="230"/>
        <v/>
      </c>
      <c r="BM323">
        <f>IF(OR(IFERROR(SEARCH("Warlock",$T323,1),0)&gt;0,IFERROR(SEARCH(WarlockPatron,$T323,1),0)&gt;0),1,0)*IF(WarlockMaxSpellLevel&gt;=$C323,1,0)*IF(IFERROR(MATCH(B323,Character_Creation!$J$361:$J$375,0),0)&gt;0,0,1)</f>
        <v>0</v>
      </c>
      <c r="BN323">
        <f>IF(BM323=0,0,1+COUNTIF(BN$3:BN322,"&gt;0"))</f>
        <v>0</v>
      </c>
      <c r="BO323" t="str">
        <f t="shared" si="259"/>
        <v/>
      </c>
      <c r="BP323" t="str">
        <f t="shared" si="231"/>
        <v/>
      </c>
      <c r="BR323">
        <f>IF(IFERROR(SEARCH("Eldritch Knight",$T323,1),0)&gt;0,1,0)*IF(EldritchKnightMaxSpellLevel&gt;=$C323,1,0)*IF(IFERROR(MATCH($B323,Character_Creation!$J$350:$J$356,0),0)&gt;0,0,1)*IF(Character_Creation!$M$338&gt;0,1,0)</f>
        <v>0</v>
      </c>
      <c r="BS323">
        <f>IF(BR323=0,0,1+COUNTIF(BS$3:BS322,"&gt;0"))</f>
        <v>0</v>
      </c>
      <c r="BT323" t="str">
        <f t="shared" si="260"/>
        <v/>
      </c>
      <c r="BU323" t="str">
        <f t="shared" si="232"/>
        <v/>
      </c>
      <c r="BW323">
        <f>IF(IFERROR(SEARCH("Arcane Trickster",$T323,1),0)&gt;0,1,0)*IF(ArcaneTricksterMaxSpellLevel&gt;=$C323,1,0)*IF(IFERROR(MATCH($B323,Character_Creation!$J$350:$J$356,0),0)&gt;0,0,1)*IF(Character_Creation!$T$338&gt;0,1,0)</f>
        <v>0</v>
      </c>
      <c r="BX323">
        <f>IF(BW323=0,0,1+COUNTIF(BX$3:BX322,"&gt;0"))</f>
        <v>0</v>
      </c>
      <c r="BY323" t="str">
        <f t="shared" si="261"/>
        <v/>
      </c>
      <c r="BZ323" t="str">
        <f t="shared" si="233"/>
        <v/>
      </c>
      <c r="CB323">
        <f>IF(IFERROR(SEARCH("Wizard",$T323,1),0)&gt;0,1,0)*IF(C323&lt;=ArcaneTricksterMaxSpellLevel,1,0)*IF(IFERROR(MATCH($B323,Character_Creation!$J$350:$J$356,0),0)&gt;0,0,1)*IF(Character_Creation!$T$350&gt;0,1,0)</f>
        <v>0</v>
      </c>
      <c r="CC323">
        <f>IF(CB323=0,0,1+COUNTIF(CC$3:CC322,"&gt;0"))</f>
        <v>0</v>
      </c>
      <c r="CD323" t="str">
        <f t="shared" si="262"/>
        <v/>
      </c>
      <c r="CE323" t="str">
        <f t="shared" si="234"/>
        <v/>
      </c>
      <c r="CG323">
        <f>IF(IFERROR(SEARCH("Wizard",$T323,1),0)&gt;0,1,0)*IF($C323&lt;=EldritchKnightMaxSpellLevel,1,0)*IF(IFERROR(MATCH($B323,Character_Creation!$J$350:$J$356,0),0)&gt;0,0,1)*IF(Character_Creation!$M$350&gt;0,1,0)</f>
        <v>0</v>
      </c>
      <c r="CH323">
        <f>IF(CG323=0,0,1+COUNTIF(CH$3:CH322,"&gt;0"))</f>
        <v>0</v>
      </c>
      <c r="CI323" t="str">
        <f t="shared" si="263"/>
        <v/>
      </c>
      <c r="CJ323" t="str">
        <f t="shared" si="235"/>
        <v/>
      </c>
      <c r="CL323">
        <f>IF(IFERROR(SEARCH("Bard",$T323,1),0)&gt;0,1,0)*IF(BardMaxSpellLevel&gt;=$C323,1,0)*IF(IFERROR(MATCH(B323,Character_Creation!$C$341:$F$362,0),0)&gt;0,0,1)*IF(IFERROR(MATCH($B323,Character_Creation!$C$341:$C$362,0),0)&gt;0,0,1)</f>
        <v>0</v>
      </c>
      <c r="CM323">
        <f>IF(CL323=0,0,1+COUNTIF(CM$3:CM322,"&gt;0"))</f>
        <v>0</v>
      </c>
      <c r="CN323" t="str">
        <f t="shared" si="264"/>
        <v/>
      </c>
      <c r="CO323" t="str">
        <f t="shared" si="236"/>
        <v/>
      </c>
      <c r="CQ323">
        <f>IF(IFERROR(SEARCH("Wizard",$T323,1),0)&gt;0,1,0)*IF(WizardMaxSpellLevel&gt;=$C323,1,0)*IF(IFERROR(MATCH(B323,Character_Creation!$X$341:$X$400,0),0)&gt;0,0,1)*IF(SelectedWizardSpellLevel=$C323,1,0)</f>
        <v>0</v>
      </c>
      <c r="CR323">
        <f>IF(CQ323=0,0,1+COUNTIF(CR$3:CR322,"&gt;0"))</f>
        <v>0</v>
      </c>
      <c r="CS323" t="str">
        <f t="shared" si="265"/>
        <v/>
      </c>
      <c r="CT323" t="str">
        <f t="shared" si="237"/>
        <v/>
      </c>
      <c r="CV323">
        <f>IF(IFERROR(MATCH($B323,Character_Creation!$C$341:$C$362,0),0)&gt;0,0,1)*IF(OR(C323="Cantrip",C323&lt;=BardMaxSpellLevel),1,0)*IF(IFERROR(MATCH($B323,Character_Creation!$C$367:$C$374,0),0)&gt;0,0,1)</f>
        <v>0</v>
      </c>
      <c r="CW323">
        <f>IF(CV323=0,0,1+COUNTIF(CW$3:CW322,"&gt;0"))</f>
        <v>0</v>
      </c>
      <c r="CX323" t="str">
        <f t="shared" si="266"/>
        <v/>
      </c>
      <c r="CY323" t="str">
        <f t="shared" si="238"/>
        <v/>
      </c>
      <c r="DA323">
        <f>IF(IF(OR(IFERROR(SEARCH("Cleric",$T323,1),0)&gt;0,IFERROR(SEARCH(DivineDomain&amp;",",$T323,1),0)&gt;0),1,0)*IF($C323=DA$2,1,0)=1,1+COUNTIF(DA$3:DA322,"&gt;0"),0)</f>
        <v>0</v>
      </c>
      <c r="DB323">
        <f>IF(IF(OR(IFERROR(SEARCH("Cleric",$T323,1),0)&gt;0,IFERROR(SEARCH(DivineDomain&amp;",",$T323,1),0)&gt;0),1,0)*IF($C323=DB$2,1,0)=1,1+COUNTIF(DB$3:DB322,"&gt;0"),0)</f>
        <v>0</v>
      </c>
      <c r="DC323">
        <f>IF(IF(OR(IFERROR(SEARCH("Cleric",$T323,1),0)&gt;0,IFERROR(SEARCH(DivineDomain&amp;",",$T323,1),0)&gt;0),1,0)*IF($C323=DC$2,1,0)=1,1+COUNTIF(DC$3:DC322,"&gt;0"),0)</f>
        <v>0</v>
      </c>
      <c r="DD323">
        <f>IF(IF(OR(IFERROR(SEARCH("Cleric",$T323,1),0)&gt;0,IFERROR(SEARCH(DivineDomain&amp;",",$T323,1),0)&gt;0),1,0)*IF($C323=DD$2,1,0)=1,1+COUNTIF(DD$3:DD322,"&gt;0"),0)</f>
        <v>0</v>
      </c>
      <c r="DE323">
        <f>IF(IF(OR(IFERROR(SEARCH("Cleric",$T323,1),0)&gt;0,IFERROR(SEARCH(DivineDomain&amp;",",$T323,1),0)&gt;0),1,0)*IF($C323=DE$2,1,0)=1,1+COUNTIF(DE$3:DE322,"&gt;0"),0)</f>
        <v>0</v>
      </c>
      <c r="DF323">
        <f>IF(IF(OR(IFERROR(SEARCH("Cleric",$T323,1),0)&gt;0,IFERROR(SEARCH(DivineDomain&amp;",",$T323,1),0)&gt;0),1,0)*IF($C323=DF$2,1,0)=1,1+COUNTIF(DF$3:DF322,"&gt;0"),0)</f>
        <v>0</v>
      </c>
      <c r="DG323">
        <f>IF(IF(OR(IFERROR(SEARCH("Cleric",$T323,1),0)&gt;0,IFERROR(SEARCH(DivineDomain&amp;",",$T323,1),0)&gt;0),1,0)*IF($C323=DG$2,1,0)=1,1+COUNTIF(DG$3:DG322,"&gt;0"),0)</f>
        <v>0</v>
      </c>
      <c r="DH323">
        <f>IF(IF(OR(IFERROR(SEARCH("Cleric",$T323,1),0)&gt;0,IFERROR(SEARCH(DivineDomain&amp;",",$T323,1),0)&gt;0),1,0)*IF($C323=DH$2,1,0)=1,1+COUNTIF(DH$3:DH322,"&gt;0"),0)</f>
        <v>0</v>
      </c>
      <c r="DI323">
        <f>IF(IF(OR(IFERROR(SEARCH("Cleric",$T323,1),0)&gt;0,IFERROR(SEARCH(DivineDomain&amp;",",$T323,1),0)&gt;0),1,0)*IF($C323=DI$2,1,0)=1,1+COUNTIF(DI$3:DI322,"&gt;0"),0)</f>
        <v>0</v>
      </c>
      <c r="DJ323">
        <f>IF(IF(OR(IFERROR(SEARCH("Druid",$T323,1),0)&gt;0,IFERROR(SEARCH(DruidLand1,$T323,1),0)&gt;0,IFERROR(SEARCH(DruidLand2,$T323,1),0)&gt;0,IFERROR(SEARCH(DruidLand3,$T323,1),0)&gt;0,IFERROR(SEARCH(DruidLand4,$T323,1),0)&gt;0),1,0)*IF($C323=1,1,0)*IF($C323=DJ$2,1,0)=0,0,1+COUNTIF(DJ$3:DJ322,"&gt;0"))</f>
        <v>0</v>
      </c>
      <c r="DK323">
        <f>IF(IF(OR(IFERROR(SEARCH("Druid",$T323,1),0)&gt;0,IFERROR(SEARCH(DruidLand1,$T323,1),0)&gt;0,IFERROR(SEARCH(DruidLand2,$T323,1),0)&gt;0,IFERROR(SEARCH(DruidLand3,$T323,1),0)&gt;0,IFERROR(SEARCH(DruidLand4,$T323,1),0)&gt;0),1,0)*IF($C323=1,1,0)*IF($C323=DK$2,1,0)=0,0,1+COUNTIF(DK$3:DK322,"&gt;0"))</f>
        <v>0</v>
      </c>
      <c r="DL323">
        <f>IF(IF(OR(IFERROR(SEARCH("Druid",$T323,1),0)&gt;0,IFERROR(SEARCH(DruidLand1,$T323,1),0)&gt;0,IFERROR(SEARCH(DruidLand2,$T323,1),0)&gt;0,IFERROR(SEARCH(DruidLand3,$T323,1),0)&gt;0,IFERROR(SEARCH(DruidLand4,$T323,1),0)&gt;0),1,0)*IF($C323=1,1,0)*IF($C323=DL$2,1,0)=0,0,1+COUNTIF(DL$3:DL322,"&gt;0"))</f>
        <v>0</v>
      </c>
      <c r="DM323">
        <f>IF(IF(OR(IFERROR(SEARCH("Druid",$T323,1),0)&gt;0,IFERROR(SEARCH(DruidLand1,$T323,1),0)&gt;0,IFERROR(SEARCH(DruidLand2,$T323,1),0)&gt;0,IFERROR(SEARCH(DruidLand3,$T323,1),0)&gt;0,IFERROR(SEARCH(DruidLand4,$T323,1),0)&gt;0),1,0)*IF($C323=1,1,0)*IF($C323=DM$2,1,0)=0,0,1+COUNTIF(DM$3:DM322,"&gt;0"))</f>
        <v>0</v>
      </c>
      <c r="DN323">
        <f>IF(IF(OR(IFERROR(SEARCH("Druid",$T323,1),0)&gt;0,IFERROR(SEARCH(DruidLand1,$T323,1),0)&gt;0,IFERROR(SEARCH(DruidLand2,$T323,1),0)&gt;0,IFERROR(SEARCH(DruidLand3,$T323,1),0)&gt;0,IFERROR(SEARCH(DruidLand4,$T323,1),0)&gt;0),1,0)*IF($C323=1,1,0)*IF($C323=DN$2,1,0)=0,0,1+COUNTIF(DN$3:DN322,"&gt;0"))</f>
        <v>0</v>
      </c>
      <c r="DO323">
        <f>IF(IF(OR(IFERROR(SEARCH("Druid",$T323,1),0)&gt;0,IFERROR(SEARCH(DruidLand1,$T323,1),0)&gt;0,IFERROR(SEARCH(DruidLand2,$T323,1),0)&gt;0,IFERROR(SEARCH(DruidLand3,$T323,1),0)&gt;0,IFERROR(SEARCH(DruidLand4,$T323,1),0)&gt;0),1,0)*IF($C323=1,1,0)*IF($C323=DO$2,1,0)=0,0,1+COUNTIF(DO$3:DO322,"&gt;0"))</f>
        <v>0</v>
      </c>
      <c r="DP323">
        <f>IF(IF(OR(IFERROR(SEARCH("Druid",$T323,1),0)&gt;0,IFERROR(SEARCH(DruidLand1,$T323,1),0)&gt;0,IFERROR(SEARCH(DruidLand2,$T323,1),0)&gt;0,IFERROR(SEARCH(DruidLand3,$T323,1),0)&gt;0,IFERROR(SEARCH(DruidLand4,$T323,1),0)&gt;0),1,0)*IF($C323=1,1,0)*IF($C323=DP$2,1,0)=0,0,1+COUNTIF(DP$3:DP322,"&gt;0"))</f>
        <v>0</v>
      </c>
      <c r="DQ323">
        <f>IF(IF(OR(IFERROR(SEARCH("Druid",$T323,1),0)&gt;0,IFERROR(SEARCH(DruidLand1,$T323,1),0)&gt;0,IFERROR(SEARCH(DruidLand2,$T323,1),0)&gt;0,IFERROR(SEARCH(DruidLand3,$T323,1),0)&gt;0,IFERROR(SEARCH(DruidLand4,$T323,1),0)&gt;0),1,0)*IF($C323=1,1,0)*IF($C323=DQ$2,1,0)=0,0,1+COUNTIF(DQ$3:DQ322,"&gt;0"))</f>
        <v>0</v>
      </c>
      <c r="DR323">
        <f>IF(IF(OR(IFERROR(SEARCH("Druid",$T323,1),0)&gt;0,IFERROR(SEARCH(DruidLand1,$T323,1),0)&gt;0,IFERROR(SEARCH(DruidLand2,$T323,1),0)&gt;0,IFERROR(SEARCH(DruidLand3,$T323,1),0)&gt;0,IFERROR(SEARCH(DruidLand4,$T323,1),0)&gt;0),1,0)*IF($C323=1,1,0)*IF($C323=DR$2,1,0)=0,0,1+COUNTIF(DR$3:DR322,"&gt;0"))</f>
        <v>0</v>
      </c>
      <c r="DS323">
        <f>IF(IF(OR(IFERROR(SEARCH("Paladin",$T323,1),0)&gt;0,IFERROR(SEARCH(PaladinOath,$T323,1),0)&gt;0),1,0)*IF($C323=DS$2,1,0)=1,1+COUNTIF(DS$3:DS322,"&gt;0"),0)</f>
        <v>0</v>
      </c>
      <c r="DT323">
        <f>IF(IF(OR(IFERROR(SEARCH("Paladin",$T323,1),0)&gt;0,IFERROR(SEARCH(PaladinOath,$T323,1),0)&gt;0),1,0)*IF($C323=DT$2,1,0)=1,1+COUNTIF(DT$3:DT322,"&gt;0"),0)</f>
        <v>0</v>
      </c>
      <c r="DU323">
        <f>IF(IF(OR(IFERROR(SEARCH("Paladin",$T323,1),0)&gt;0,IFERROR(SEARCH(PaladinOath,$T323,1),0)&gt;0),1,0)*IF($C323=DU$2,1,0)=1,1+COUNTIF(DU$3:DU322,"&gt;0"),0)</f>
        <v>0</v>
      </c>
      <c r="DV323">
        <f>IF(IF(OR(IFERROR(SEARCH("Paladin",$T323,1),0)&gt;0,IFERROR(SEARCH(PaladinOath,$T323,1),0)&gt;0),1,0)*IF($C323=DV$2,1,0)=1,1+COUNTIF(DV$3:DV322,"&gt;0"),0)</f>
        <v>0</v>
      </c>
      <c r="DW323">
        <f>IF(IF(OR(IFERROR(SEARCH("Paladin",$T323,1),0)&gt;0,IFERROR(SEARCH(PaladinOath,$T323,1),0)&gt;0),1,0)*IF($C323=DW$2,1,0)=1,1+COUNTIF(DW$3:DW322,"&gt;0"),0)</f>
        <v>0</v>
      </c>
      <c r="DY323">
        <f t="shared" ref="DY323:DY386" si="278">IF(IFERROR(SEARCH(FavoredSoul_Domain&amp;",",$T323,1),0)&gt;0,1,0)</f>
        <v>1</v>
      </c>
      <c r="DZ323">
        <f>IF(DY323=0,0,1+MAX(DZ$3:$DZ322))</f>
        <v>321</v>
      </c>
      <c r="EB323">
        <f t="shared" si="239"/>
        <v>0</v>
      </c>
      <c r="EC323">
        <f>IF(EB323=0,0,1+COUNTIF(EC$3:EC322,"&gt;0"))</f>
        <v>0</v>
      </c>
      <c r="ED323" t="str">
        <f t="shared" si="267"/>
        <v/>
      </c>
      <c r="EE323" t="str">
        <f t="shared" si="240"/>
        <v/>
      </c>
      <c r="EG323">
        <f t="shared" si="241"/>
        <v>0</v>
      </c>
      <c r="EH323">
        <f>IF(EG323=0,0,1+COUNTIF(EH$3:EH322,"&gt;0"))</f>
        <v>0</v>
      </c>
      <c r="EI323" t="str">
        <f t="shared" si="268"/>
        <v/>
      </c>
      <c r="EJ323" t="str">
        <f t="shared" si="242"/>
        <v/>
      </c>
      <c r="EL323">
        <f t="shared" si="243"/>
        <v>0</v>
      </c>
      <c r="EM323">
        <f>IF(EL323=0,0,1+COUNTIF(EM$3:EM322,"&gt;0"))</f>
        <v>0</v>
      </c>
      <c r="EN323" t="str">
        <f t="shared" si="269"/>
        <v/>
      </c>
      <c r="EO323" t="str">
        <f t="shared" si="244"/>
        <v/>
      </c>
      <c r="EQ323">
        <f t="shared" si="245"/>
        <v>0</v>
      </c>
      <c r="ER323">
        <f>IF(EQ323=0,0,1+COUNTIF(ER$3:ER322,"&gt;0"))</f>
        <v>0</v>
      </c>
      <c r="ES323" t="str">
        <f t="shared" si="270"/>
        <v/>
      </c>
      <c r="ET323" t="str">
        <f t="shared" si="246"/>
        <v/>
      </c>
      <c r="EV323">
        <f t="shared" si="247"/>
        <v>0</v>
      </c>
      <c r="EW323">
        <f>IF(EV323=0,0,1+COUNTIF(EW$3:EW322,"&gt;0"))</f>
        <v>0</v>
      </c>
      <c r="EX323" t="str">
        <f t="shared" si="271"/>
        <v/>
      </c>
      <c r="EY323" t="str">
        <f t="shared" si="248"/>
        <v/>
      </c>
      <c r="FA323">
        <f t="shared" si="249"/>
        <v>0</v>
      </c>
      <c r="FB323">
        <f>IF(FA323=0,0,1+COUNTIF(FB$3:FB322,"&gt;0"))</f>
        <v>0</v>
      </c>
      <c r="FC323" t="str">
        <f t="shared" si="272"/>
        <v/>
      </c>
      <c r="FD323" t="str">
        <f t="shared" si="250"/>
        <v/>
      </c>
      <c r="FF323">
        <f t="shared" si="251"/>
        <v>0</v>
      </c>
      <c r="FG323">
        <f>IF(FF323=0,0,1+COUNTIF(FG$3:FG322,"&gt;0"))</f>
        <v>0</v>
      </c>
      <c r="FH323" t="str">
        <f t="shared" si="273"/>
        <v/>
      </c>
      <c r="FI323" t="str">
        <f t="shared" si="252"/>
        <v/>
      </c>
      <c r="FK323">
        <f t="shared" si="253"/>
        <v>0</v>
      </c>
      <c r="FL323">
        <f>IF(FK323=0,0,1+COUNTIF(FL$3:FL322,"&gt;0"))</f>
        <v>0</v>
      </c>
      <c r="FM323" t="str">
        <f t="shared" si="274"/>
        <v/>
      </c>
      <c r="FN323" t="str">
        <f t="shared" si="254"/>
        <v/>
      </c>
      <c r="FP323">
        <f t="shared" si="255"/>
        <v>0</v>
      </c>
      <c r="FQ323">
        <f>IF(FP323=0,0,1+COUNTIF(FQ$3:FQ322,"&gt;0"))</f>
        <v>0</v>
      </c>
      <c r="FR323" t="str">
        <f t="shared" si="275"/>
        <v/>
      </c>
      <c r="FS323" t="str">
        <f t="shared" si="256"/>
        <v/>
      </c>
    </row>
    <row r="324" spans="1:175" x14ac:dyDescent="0.25">
      <c r="A324" s="347">
        <f t="shared" si="276"/>
        <v>322</v>
      </c>
      <c r="B324" s="348" t="s">
        <v>2721</v>
      </c>
      <c r="C324" s="348">
        <v>7</v>
      </c>
      <c r="D324" s="347">
        <v>7</v>
      </c>
      <c r="E324" s="627" t="s">
        <v>6952</v>
      </c>
      <c r="F324" s="346"/>
      <c r="G324" s="347" t="str">
        <f>""</f>
        <v/>
      </c>
      <c r="H324" s="347" t="s">
        <v>5288</v>
      </c>
      <c r="I324" s="347" t="s">
        <v>5298</v>
      </c>
      <c r="J324" s="347" t="str">
        <f t="shared" ref="J324:J387" si="279">IF(IFERROR(SEARCH("con",K324,1),0)&gt;0,"Concentration","")</f>
        <v/>
      </c>
      <c r="K324" s="347" t="s">
        <v>5299</v>
      </c>
      <c r="L324" s="611" t="str">
        <f t="shared" ref="L324:L387" si="280">LEFT(TRIM(IF(M324&lt;&gt;"",M324&amp;", ","")&amp;IF(N324&lt;&gt;"",N324&amp;", ","")&amp;IF(O324&lt;&gt;"",O324&amp;", ","")&amp;IF(P324&lt;&gt;"",P324&amp;", ","")),LEN(TRIM(IF(M324&lt;&gt;"",M324&amp;", ","")&amp;IF(N324&lt;&gt;"",N324&amp;", ","")&amp;IF(O324&lt;&gt;"",O324&amp;", ","")&amp;IF(P324&lt;&gt;"",P324&amp;", ","")))-1)</f>
        <v>V, S, M, mercury, phosphorus, and powered diamond and opal with a total of at least 1,000 gp, which the spell consumes</v>
      </c>
      <c r="M324" s="347" t="s">
        <v>2373</v>
      </c>
      <c r="N324" s="347" t="s">
        <v>2387</v>
      </c>
      <c r="O324" s="347" t="s">
        <v>1244</v>
      </c>
      <c r="P324" s="346" t="s">
        <v>5493</v>
      </c>
      <c r="Q324" s="347" t="s">
        <v>5270</v>
      </c>
      <c r="S324" s="346" t="s">
        <v>5837</v>
      </c>
      <c r="T324" s="346" t="str">
        <f t="shared" ref="T324:T387" si="281">IF(U324&lt;&gt;"","Bard, ","")&amp;IF(V324&lt;&gt;"","Paladin, ","")&amp;IF(W324&lt;&gt;"","Ranger, ","")&amp;IF(X324&lt;&gt;"","Sorcerer, ","")&amp;IF(Y324&lt;&gt;"","Warlock, ","")&amp;IF(Z324&lt;&gt;"","Cleric, ","")&amp;IF(AA324&lt;&gt;"","Druid, ","")&amp;IF(AB324&lt;&gt;"","Eldritch Knight, ","")&amp;IF(AC324&lt;&gt;"","Arcane Trickster, ","")&amp;IF(AD324&lt;&gt;"","Wizard, ","")&amp;IF(AE324&lt;&gt;"","Devotion, ","")&amp;IF(AF324&lt;&gt;"","Vengeance, ","")&amp;IF(AG324&lt;&gt;"","Ancients, ","")&amp;IF(AH324&lt;&gt;"","Oathbreaker, ","")&amp;IF(AI324&lt;&gt;"","Archfey, ","")&amp;IF(AJ324&lt;&gt;"","Archfiend, ","")&amp;IF(AK324&lt;&gt;"","Old One, ","")&amp;IF(AL324&lt;&gt;"","Arctic, ","")&amp;IF(AO324&lt;&gt;"","Fores, ","")&amp;IF(AM324&lt;&gt;"","Coast, ","")&amp;IF(AN324&lt;&gt;"","Desert, ","")&amp;IF(AP324&lt;&gt;"","GrassLand, ","")&amp;IF(AQ324&lt;&gt;"","Mountain, ","")&amp;IF(AR324&lt;&gt;"","Swamp, ","")&amp;IF(AS324&lt;&gt;"","Underdark, ","")&amp;IF(AT324&lt;&gt;"","Knowledge, ","")&amp;IF(AU324&lt;&gt;"","Life, ","")&amp;IF(AV324&lt;&gt;"","Light, ","")&amp;IF(AW324&lt;&gt;"","Nature, ","")&amp;IF(AX324&lt;&gt;"","Tempest, ","")&amp;IF(AY324&lt;&gt;"","Trickery, ","")&amp;IF(AZ324&lt;&gt;"","War, ","")&amp;IF(BA324&lt;&gt;"","Death, ","")</f>
        <v xml:space="preserve">Bard, Cleric, Eldritch Knight, Wizard, </v>
      </c>
      <c r="U324" s="347" t="str">
        <f>$B324</f>
        <v>Symbol</v>
      </c>
      <c r="Z324" s="347" t="str">
        <f>$B324</f>
        <v>Symbol</v>
      </c>
      <c r="AB324" s="542" t="str">
        <f>AD324</f>
        <v>Symbol</v>
      </c>
      <c r="AD324" s="347" t="str">
        <f t="shared" ref="AD324:AD330" si="282">$B324</f>
        <v>Symbol</v>
      </c>
      <c r="AE324" t="str">
        <f>IF(IFERROR(MATCH($B324,temp!A$4:A$13,0),0)&gt;0,T08_Spells!AE$2,"")</f>
        <v/>
      </c>
      <c r="AF324" t="str">
        <f>IF(IFERROR(MATCH($B324,temp!B$4:B$13,0),0)&gt;0,T08_Spells!AF$2,"")</f>
        <v/>
      </c>
      <c r="AG324" t="str">
        <f>IF(IFERROR(MATCH($B324,temp!C$4:C$13,0),0)&gt;0,T08_Spells!AG$2,"")</f>
        <v/>
      </c>
      <c r="AH324" t="str">
        <f>IF(IFERROR(MATCH($B324,temp!D$4:D$13,0),0)&gt;0,T08_Spells!AH$2,"")</f>
        <v/>
      </c>
      <c r="AI324" t="str">
        <f>IF(IFERROR(MATCH($B324,temp!E$4:E$13,0),0)&gt;0,T08_Spells!AI$2,"")</f>
        <v/>
      </c>
      <c r="AJ324" t="str">
        <f>IF(IFERROR(MATCH($B324,temp!F$4:F$13,0),0)&gt;0,T08_Spells!AJ$2,"")</f>
        <v/>
      </c>
      <c r="AK324" t="str">
        <f>IF(IFERROR(MATCH($B324,temp!G$4:G$13,0),0)&gt;0,T08_Spells!AK$2,"")</f>
        <v/>
      </c>
      <c r="AL324" t="str">
        <f>IF(IFERROR(MATCH($B324,temp!H$4:H$13,0),0)&gt;0,T08_Spells!AL$2,"")</f>
        <v/>
      </c>
      <c r="AM324" t="str">
        <f>IF(IFERROR(MATCH($B324,temp!I$4:I$13,0),0)&gt;0,T08_Spells!AM$2,"")</f>
        <v/>
      </c>
      <c r="AN324" t="str">
        <f>IF(IFERROR(MATCH($B324,temp!J$4:J$13,0),0)&gt;0,T08_Spells!AN$2,"")</f>
        <v/>
      </c>
      <c r="AO324" t="str">
        <f>IF(IFERROR(MATCH($B324,temp!K$4:K$13,0),0)&gt;0,T08_Spells!AO$2,"")</f>
        <v/>
      </c>
      <c r="AP324" t="str">
        <f>IF(IFERROR(MATCH($B324,temp!L$4:L$13,0),0)&gt;0,T08_Spells!AP$2,"")</f>
        <v/>
      </c>
      <c r="AQ324" t="str">
        <f>IF(IFERROR(MATCH($B324,temp!M$4:M$13,0),0)&gt;0,T08_Spells!AQ$2,"")</f>
        <v/>
      </c>
      <c r="AR324" t="str">
        <f>IF(IFERROR(MATCH($B324,temp!N$4:N$13,0),0)&gt;0,T08_Spells!AR$2,"")</f>
        <v/>
      </c>
      <c r="AS324" t="str">
        <f>IF(IFERROR(MATCH($B324,temp!O$4:O$13,0),0)&gt;0,T08_Spells!AS$2,"")</f>
        <v/>
      </c>
      <c r="AT324" t="str">
        <f>IF(IFERROR(MATCH($B324,temp!P$4:P$13,0),0)&gt;0,T08_Spells!AT$2,"")</f>
        <v/>
      </c>
      <c r="AU324" t="str">
        <f>IF(IFERROR(MATCH($B324,temp!Q$4:Q$13,0),0)&gt;0,T08_Spells!AU$2,"")</f>
        <v/>
      </c>
      <c r="AV324" t="str">
        <f>IF(IFERROR(MATCH($B324,temp!R$4:R$13,0),0)&gt;0,T08_Spells!AV$2,"")</f>
        <v/>
      </c>
      <c r="AW324" t="str">
        <f>IF(IFERROR(MATCH($B324,temp!S$4:S$13,0),0)&gt;0,T08_Spells!AW$2,"")</f>
        <v/>
      </c>
      <c r="AX324" t="str">
        <f>IF(IFERROR(MATCH($B324,temp!T$4:T$13,0),0)&gt;0,T08_Spells!AX$2,"")</f>
        <v/>
      </c>
      <c r="AY324" t="str">
        <f>IF(IFERROR(MATCH($B324,temp!U$4:U$13,0),0)&gt;0,T08_Spells!AY$2,"")</f>
        <v/>
      </c>
      <c r="AZ324" t="str">
        <f>IF(IFERROR(MATCH($B324,temp!V$4:V$13,0),0)&gt;0,T08_Spells!AZ$2,"")</f>
        <v/>
      </c>
      <c r="BA324" t="str">
        <f>IF(IFERROR(MATCH($B324,temp!W$4:W$13,0),0)&gt;0,T08_Spells!BA$2,"")</f>
        <v/>
      </c>
      <c r="BC324">
        <f>IF(IFERROR(SEARCH("Ranger",$T324,1),0)&gt;0,1,0)*IF(RangerMaxSpellLevel&gt;=$C324,1,0)*IF(IFERROR(MATCH(B324,Character_Creation!$X$79:$X$382,0),0)&gt;0,0,1)</f>
        <v>0</v>
      </c>
      <c r="BD324">
        <f>IF(BC324=0,0,1+COUNTIF(BD$3:BD323,"&gt;0"))</f>
        <v>0</v>
      </c>
      <c r="BE324" t="str">
        <f t="shared" si="257"/>
        <v/>
      </c>
      <c r="BF324" t="str">
        <f t="shared" ref="BF324:BF387" si="283">IFERROR(INDEX($B$3:$B$407,MATCH(BE324,BD$3:BD$407,0),1),"")</f>
        <v/>
      </c>
      <c r="BH324">
        <f>IF(IFERROR(SEARCH("Sorcerer",$T324,1),0)&gt;0,1,0)*IF(SorcererMaxSpellLevel&gt;=$C324,1,0)*IF(IFERROR(MATCH(B324,Character_Creation!$J$380:$J$394,0),0)&gt;0,0,1)</f>
        <v>0</v>
      </c>
      <c r="BI324">
        <f>IF(BH324=0,0,1+COUNTIF(BI$3:BI323,"&gt;0"))</f>
        <v>0</v>
      </c>
      <c r="BJ324" t="str">
        <f t="shared" si="258"/>
        <v/>
      </c>
      <c r="BK324" t="str">
        <f t="shared" ref="BK324:BK387" si="284">IFERROR(INDEX($B$3:$B$407,MATCH(BJ324,BI$3:BI$407,0),1),"")</f>
        <v/>
      </c>
      <c r="BM324">
        <f>IF(OR(IFERROR(SEARCH("Warlock",$T324,1),0)&gt;0,IFERROR(SEARCH(WarlockPatron,$T324,1),0)&gt;0),1,0)*IF(WarlockMaxSpellLevel&gt;=$C324,1,0)*IF(IFERROR(MATCH(B324,Character_Creation!$J$361:$J$375,0),0)&gt;0,0,1)</f>
        <v>0</v>
      </c>
      <c r="BN324">
        <f>IF(BM324=0,0,1+COUNTIF(BN$3:BN323,"&gt;0"))</f>
        <v>0</v>
      </c>
      <c r="BO324" t="str">
        <f t="shared" si="259"/>
        <v/>
      </c>
      <c r="BP324" t="str">
        <f t="shared" ref="BP324:BP387" si="285">IFERROR(INDEX($B$3:$B$407,MATCH(BO324,BN$3:BN$407,0),1),"")</f>
        <v/>
      </c>
      <c r="BR324">
        <f>IF(IFERROR(SEARCH("Eldritch Knight",$T324,1),0)&gt;0,1,0)*IF(EldritchKnightMaxSpellLevel&gt;=$C324,1,0)*IF(IFERROR(MATCH($B324,Character_Creation!$J$350:$J$356,0),0)&gt;0,0,1)*IF(Character_Creation!$M$338&gt;0,1,0)</f>
        <v>0</v>
      </c>
      <c r="BS324">
        <f>IF(BR324=0,0,1+COUNTIF(BS$3:BS323,"&gt;0"))</f>
        <v>0</v>
      </c>
      <c r="BT324" t="str">
        <f t="shared" si="260"/>
        <v/>
      </c>
      <c r="BU324" t="str">
        <f t="shared" ref="BU324:BU387" si="286">IFERROR(INDEX($B$3:$B$407,MATCH(BT324,BS$3:BS$407,0),1),"")</f>
        <v/>
      </c>
      <c r="BW324">
        <f>IF(IFERROR(SEARCH("Arcane Trickster",$T324,1),0)&gt;0,1,0)*IF(ArcaneTricksterMaxSpellLevel&gt;=$C324,1,0)*IF(IFERROR(MATCH($B324,Character_Creation!$J$350:$J$356,0),0)&gt;0,0,1)*IF(Character_Creation!$T$338&gt;0,1,0)</f>
        <v>0</v>
      </c>
      <c r="BX324">
        <f>IF(BW324=0,0,1+COUNTIF(BX$3:BX323,"&gt;0"))</f>
        <v>0</v>
      </c>
      <c r="BY324" t="str">
        <f t="shared" si="261"/>
        <v/>
      </c>
      <c r="BZ324" t="str">
        <f t="shared" ref="BZ324:BZ387" si="287">IFERROR(INDEX($B$3:$B$407,MATCH(BY324,BX$3:BX$407,0),1),"")</f>
        <v/>
      </c>
      <c r="CB324">
        <f>IF(IFERROR(SEARCH("Wizard",$T324,1),0)&gt;0,1,0)*IF(C324&lt;=ArcaneTricksterMaxSpellLevel,1,0)*IF(IFERROR(MATCH($B324,Character_Creation!$J$350:$J$356,0),0)&gt;0,0,1)*IF(Character_Creation!$T$350&gt;0,1,0)</f>
        <v>0</v>
      </c>
      <c r="CC324">
        <f>IF(CB324=0,0,1+COUNTIF(CC$3:CC323,"&gt;0"))</f>
        <v>0</v>
      </c>
      <c r="CD324" t="str">
        <f t="shared" si="262"/>
        <v/>
      </c>
      <c r="CE324" t="str">
        <f t="shared" ref="CE324:CE387" si="288">IFERROR(INDEX($B$3:$B$407,MATCH(CD324,CC$3:CC$407,0),1),"")</f>
        <v/>
      </c>
      <c r="CG324">
        <f>IF(IFERROR(SEARCH("Wizard",$T324,1),0)&gt;0,1,0)*IF($C324&lt;=EldritchKnightMaxSpellLevel,1,0)*IF(IFERROR(MATCH($B324,Character_Creation!$J$350:$J$356,0),0)&gt;0,0,1)*IF(Character_Creation!$M$350&gt;0,1,0)</f>
        <v>0</v>
      </c>
      <c r="CH324">
        <f>IF(CG324=0,0,1+COUNTIF(CH$3:CH323,"&gt;0"))</f>
        <v>0</v>
      </c>
      <c r="CI324" t="str">
        <f t="shared" si="263"/>
        <v/>
      </c>
      <c r="CJ324" t="str">
        <f t="shared" ref="CJ324:CJ387" si="289">IFERROR(INDEX($B$3:$B$407,MATCH(CI324,CH$3:CH$407,0),1),"")</f>
        <v/>
      </c>
      <c r="CL324">
        <f>IF(IFERROR(SEARCH("Bard",$T324,1),0)&gt;0,1,0)*IF(BardMaxSpellLevel&gt;=$C324,1,0)*IF(IFERROR(MATCH(B324,Character_Creation!$C$341:$F$362,0),0)&gt;0,0,1)*IF(IFERROR(MATCH($B324,Character_Creation!$C$341:$C$362,0),0)&gt;0,0,1)</f>
        <v>0</v>
      </c>
      <c r="CM324">
        <f>IF(CL324=0,0,1+COUNTIF(CM$3:CM323,"&gt;0"))</f>
        <v>0</v>
      </c>
      <c r="CN324" t="str">
        <f t="shared" si="264"/>
        <v/>
      </c>
      <c r="CO324" t="str">
        <f t="shared" ref="CO324:CO387" si="290">IFERROR(INDEX($B$3:$B$407,MATCH(CN324,CM$3:CM$407,0),1),"")</f>
        <v/>
      </c>
      <c r="CQ324">
        <f>IF(IFERROR(SEARCH("Wizard",$T324,1),0)&gt;0,1,0)*IF(WizardMaxSpellLevel&gt;=$C324,1,0)*IF(IFERROR(MATCH(B324,Character_Creation!$X$341:$X$400,0),0)&gt;0,0,1)*IF(SelectedWizardSpellLevel=$C324,1,0)</f>
        <v>0</v>
      </c>
      <c r="CR324">
        <f>IF(CQ324=0,0,1+COUNTIF(CR$3:CR323,"&gt;0"))</f>
        <v>0</v>
      </c>
      <c r="CS324" t="str">
        <f t="shared" si="265"/>
        <v/>
      </c>
      <c r="CT324" t="str">
        <f t="shared" ref="CT324:CT387" si="291">IFERROR(INDEX($B$3:$B$407,MATCH(CS324,CR$3:CR$407,0),1),"")</f>
        <v/>
      </c>
      <c r="CV324">
        <f>IF(IFERROR(MATCH($B324,Character_Creation!$C$341:$C$362,0),0)&gt;0,0,1)*IF(OR(C324="Cantrip",C324&lt;=BardMaxSpellLevel),1,0)*IF(IFERROR(MATCH($B324,Character_Creation!$C$367:$C$374,0),0)&gt;0,0,1)</f>
        <v>0</v>
      </c>
      <c r="CW324">
        <f>IF(CV324=0,0,1+COUNTIF(CW$3:CW323,"&gt;0"))</f>
        <v>0</v>
      </c>
      <c r="CX324" t="str">
        <f t="shared" si="266"/>
        <v/>
      </c>
      <c r="CY324" t="str">
        <f t="shared" ref="CY324:CY387" si="292">IFERROR(INDEX($B$3:$B$407,MATCH(CX324,CW$3:CW$407,0),1),"")</f>
        <v/>
      </c>
      <c r="DA324">
        <f>IF(IF(OR(IFERROR(SEARCH("Cleric",$T324,1),0)&gt;0,IFERROR(SEARCH(DivineDomain&amp;",",$T324,1),0)&gt;0),1,0)*IF($C324=DA$2,1,0)=1,1+COUNTIF(DA$3:DA323,"&gt;0"),0)</f>
        <v>0</v>
      </c>
      <c r="DB324">
        <f>IF(IF(OR(IFERROR(SEARCH("Cleric",$T324,1),0)&gt;0,IFERROR(SEARCH(DivineDomain&amp;",",$T324,1),0)&gt;0),1,0)*IF($C324=DB$2,1,0)=1,1+COUNTIF(DB$3:DB323,"&gt;0"),0)</f>
        <v>0</v>
      </c>
      <c r="DC324">
        <f>IF(IF(OR(IFERROR(SEARCH("Cleric",$T324,1),0)&gt;0,IFERROR(SEARCH(DivineDomain&amp;",",$T324,1),0)&gt;0),1,0)*IF($C324=DC$2,1,0)=1,1+COUNTIF(DC$3:DC323,"&gt;0"),0)</f>
        <v>0</v>
      </c>
      <c r="DD324">
        <f>IF(IF(OR(IFERROR(SEARCH("Cleric",$T324,1),0)&gt;0,IFERROR(SEARCH(DivineDomain&amp;",",$T324,1),0)&gt;0),1,0)*IF($C324=DD$2,1,0)=1,1+COUNTIF(DD$3:DD323,"&gt;0"),0)</f>
        <v>0</v>
      </c>
      <c r="DE324">
        <f>IF(IF(OR(IFERROR(SEARCH("Cleric",$T324,1),0)&gt;0,IFERROR(SEARCH(DivineDomain&amp;",",$T324,1),0)&gt;0),1,0)*IF($C324=DE$2,1,0)=1,1+COUNTIF(DE$3:DE323,"&gt;0"),0)</f>
        <v>0</v>
      </c>
      <c r="DF324">
        <f>IF(IF(OR(IFERROR(SEARCH("Cleric",$T324,1),0)&gt;0,IFERROR(SEARCH(DivineDomain&amp;",",$T324,1),0)&gt;0),1,0)*IF($C324=DF$2,1,0)=1,1+COUNTIF(DF$3:DF323,"&gt;0"),0)</f>
        <v>0</v>
      </c>
      <c r="DG324">
        <f>IF(IF(OR(IFERROR(SEARCH("Cleric",$T324,1),0)&gt;0,IFERROR(SEARCH(DivineDomain&amp;",",$T324,1),0)&gt;0),1,0)*IF($C324=DG$2,1,0)=1,1+COUNTIF(DG$3:DG323,"&gt;0"),0)</f>
        <v>8</v>
      </c>
      <c r="DH324">
        <f>IF(IF(OR(IFERROR(SEARCH("Cleric",$T324,1),0)&gt;0,IFERROR(SEARCH(DivineDomain&amp;",",$T324,1),0)&gt;0),1,0)*IF($C324=DH$2,1,0)=1,1+COUNTIF(DH$3:DH323,"&gt;0"),0)</f>
        <v>0</v>
      </c>
      <c r="DI324">
        <f>IF(IF(OR(IFERROR(SEARCH("Cleric",$T324,1),0)&gt;0,IFERROR(SEARCH(DivineDomain&amp;",",$T324,1),0)&gt;0),1,0)*IF($C324=DI$2,1,0)=1,1+COUNTIF(DI$3:DI323,"&gt;0"),0)</f>
        <v>0</v>
      </c>
      <c r="DJ324">
        <f>IF(IF(OR(IFERROR(SEARCH("Druid",$T324,1),0)&gt;0,IFERROR(SEARCH(DruidLand1,$T324,1),0)&gt;0,IFERROR(SEARCH(DruidLand2,$T324,1),0)&gt;0,IFERROR(SEARCH(DruidLand3,$T324,1),0)&gt;0,IFERROR(SEARCH(DruidLand4,$T324,1),0)&gt;0),1,0)*IF($C324=1,1,0)*IF($C324=DJ$2,1,0)=0,0,1+COUNTIF(DJ$3:DJ323,"&gt;0"))</f>
        <v>0</v>
      </c>
      <c r="DK324">
        <f>IF(IF(OR(IFERROR(SEARCH("Druid",$T324,1),0)&gt;0,IFERROR(SEARCH(DruidLand1,$T324,1),0)&gt;0,IFERROR(SEARCH(DruidLand2,$T324,1),0)&gt;0,IFERROR(SEARCH(DruidLand3,$T324,1),0)&gt;0,IFERROR(SEARCH(DruidLand4,$T324,1),0)&gt;0),1,0)*IF($C324=1,1,0)*IF($C324=DK$2,1,0)=0,0,1+COUNTIF(DK$3:DK323,"&gt;0"))</f>
        <v>0</v>
      </c>
      <c r="DL324">
        <f>IF(IF(OR(IFERROR(SEARCH("Druid",$T324,1),0)&gt;0,IFERROR(SEARCH(DruidLand1,$T324,1),0)&gt;0,IFERROR(SEARCH(DruidLand2,$T324,1),0)&gt;0,IFERROR(SEARCH(DruidLand3,$T324,1),0)&gt;0,IFERROR(SEARCH(DruidLand4,$T324,1),0)&gt;0),1,0)*IF($C324=1,1,0)*IF($C324=DL$2,1,0)=0,0,1+COUNTIF(DL$3:DL323,"&gt;0"))</f>
        <v>0</v>
      </c>
      <c r="DM324">
        <f>IF(IF(OR(IFERROR(SEARCH("Druid",$T324,1),0)&gt;0,IFERROR(SEARCH(DruidLand1,$T324,1),0)&gt;0,IFERROR(SEARCH(DruidLand2,$T324,1),0)&gt;0,IFERROR(SEARCH(DruidLand3,$T324,1),0)&gt;0,IFERROR(SEARCH(DruidLand4,$T324,1),0)&gt;0),1,0)*IF($C324=1,1,0)*IF($C324=DM$2,1,0)=0,0,1+COUNTIF(DM$3:DM323,"&gt;0"))</f>
        <v>0</v>
      </c>
      <c r="DN324">
        <f>IF(IF(OR(IFERROR(SEARCH("Druid",$T324,1),0)&gt;0,IFERROR(SEARCH(DruidLand1,$T324,1),0)&gt;0,IFERROR(SEARCH(DruidLand2,$T324,1),0)&gt;0,IFERROR(SEARCH(DruidLand3,$T324,1),0)&gt;0,IFERROR(SEARCH(DruidLand4,$T324,1),0)&gt;0),1,0)*IF($C324=1,1,0)*IF($C324=DN$2,1,0)=0,0,1+COUNTIF(DN$3:DN323,"&gt;0"))</f>
        <v>0</v>
      </c>
      <c r="DO324">
        <f>IF(IF(OR(IFERROR(SEARCH("Druid",$T324,1),0)&gt;0,IFERROR(SEARCH(DruidLand1,$T324,1),0)&gt;0,IFERROR(SEARCH(DruidLand2,$T324,1),0)&gt;0,IFERROR(SEARCH(DruidLand3,$T324,1),0)&gt;0,IFERROR(SEARCH(DruidLand4,$T324,1),0)&gt;0),1,0)*IF($C324=1,1,0)*IF($C324=DO$2,1,0)=0,0,1+COUNTIF(DO$3:DO323,"&gt;0"))</f>
        <v>0</v>
      </c>
      <c r="DP324">
        <f>IF(IF(OR(IFERROR(SEARCH("Druid",$T324,1),0)&gt;0,IFERROR(SEARCH(DruidLand1,$T324,1),0)&gt;0,IFERROR(SEARCH(DruidLand2,$T324,1),0)&gt;0,IFERROR(SEARCH(DruidLand3,$T324,1),0)&gt;0,IFERROR(SEARCH(DruidLand4,$T324,1),0)&gt;0),1,0)*IF($C324=1,1,0)*IF($C324=DP$2,1,0)=0,0,1+COUNTIF(DP$3:DP323,"&gt;0"))</f>
        <v>0</v>
      </c>
      <c r="DQ324">
        <f>IF(IF(OR(IFERROR(SEARCH("Druid",$T324,1),0)&gt;0,IFERROR(SEARCH(DruidLand1,$T324,1),0)&gt;0,IFERROR(SEARCH(DruidLand2,$T324,1),0)&gt;0,IFERROR(SEARCH(DruidLand3,$T324,1),0)&gt;0,IFERROR(SEARCH(DruidLand4,$T324,1),0)&gt;0),1,0)*IF($C324=1,1,0)*IF($C324=DQ$2,1,0)=0,0,1+COUNTIF(DQ$3:DQ323,"&gt;0"))</f>
        <v>0</v>
      </c>
      <c r="DR324">
        <f>IF(IF(OR(IFERROR(SEARCH("Druid",$T324,1),0)&gt;0,IFERROR(SEARCH(DruidLand1,$T324,1),0)&gt;0,IFERROR(SEARCH(DruidLand2,$T324,1),0)&gt;0,IFERROR(SEARCH(DruidLand3,$T324,1),0)&gt;0,IFERROR(SEARCH(DruidLand4,$T324,1),0)&gt;0),1,0)*IF($C324=1,1,0)*IF($C324=DR$2,1,0)=0,0,1+COUNTIF(DR$3:DR323,"&gt;0"))</f>
        <v>0</v>
      </c>
      <c r="DS324">
        <f>IF(IF(OR(IFERROR(SEARCH("Paladin",$T324,1),0)&gt;0,IFERROR(SEARCH(PaladinOath,$T324,1),0)&gt;0),1,0)*IF($C324=DS$2,1,0)=1,1+COUNTIF(DS$3:DS323,"&gt;0"),0)</f>
        <v>0</v>
      </c>
      <c r="DT324">
        <f>IF(IF(OR(IFERROR(SEARCH("Paladin",$T324,1),0)&gt;0,IFERROR(SEARCH(PaladinOath,$T324,1),0)&gt;0),1,0)*IF($C324=DT$2,1,0)=1,1+COUNTIF(DT$3:DT323,"&gt;0"),0)</f>
        <v>0</v>
      </c>
      <c r="DU324">
        <f>IF(IF(OR(IFERROR(SEARCH("Paladin",$T324,1),0)&gt;0,IFERROR(SEARCH(PaladinOath,$T324,1),0)&gt;0),1,0)*IF($C324=DU$2,1,0)=1,1+COUNTIF(DU$3:DU323,"&gt;0"),0)</f>
        <v>0</v>
      </c>
      <c r="DV324">
        <f>IF(IF(OR(IFERROR(SEARCH("Paladin",$T324,1),0)&gt;0,IFERROR(SEARCH(PaladinOath,$T324,1),0)&gt;0),1,0)*IF($C324=DV$2,1,0)=1,1+COUNTIF(DV$3:DV323,"&gt;0"),0)</f>
        <v>0</v>
      </c>
      <c r="DW324">
        <f>IF(IF(OR(IFERROR(SEARCH("Paladin",$T324,1),0)&gt;0,IFERROR(SEARCH(PaladinOath,$T324,1),0)&gt;0),1,0)*IF($C324=DW$2,1,0)=1,1+COUNTIF(DW$3:DW323,"&gt;0"),0)</f>
        <v>0</v>
      </c>
      <c r="DY324">
        <f t="shared" si="278"/>
        <v>1</v>
      </c>
      <c r="DZ324">
        <f>IF(DY324=0,0,1+MAX(DZ$3:$DZ323))</f>
        <v>322</v>
      </c>
      <c r="EB324">
        <f t="shared" ref="EB324:EB387" si="293">IF(IFERROR(SEARCH("Bard",$T324,1),0)&gt;0,1,0)*IF($C324="cantrip",1,0)</f>
        <v>0</v>
      </c>
      <c r="EC324">
        <f>IF(EB324=0,0,1+COUNTIF(EC$3:EC323,"&gt;0"))</f>
        <v>0</v>
      </c>
      <c r="ED324" t="str">
        <f t="shared" si="267"/>
        <v/>
      </c>
      <c r="EE324" t="str">
        <f t="shared" ref="EE324:EE387" si="294">IFERROR(INDEX($B$3:$B$407,MATCH(ED324,EC$3:EC$407,0),1),"")</f>
        <v/>
      </c>
      <c r="EG324">
        <f t="shared" ref="EG324:EG387" si="295">IF(IFERROR(SEARCH("Cleric",$T324,1),0)&gt;0,1,0)*IF($C324="cantrip",1,0)</f>
        <v>0</v>
      </c>
      <c r="EH324">
        <f>IF(EG324=0,0,1+COUNTIF(EH$3:EH323,"&gt;0"))</f>
        <v>0</v>
      </c>
      <c r="EI324" t="str">
        <f t="shared" si="268"/>
        <v/>
      </c>
      <c r="EJ324" t="str">
        <f t="shared" ref="EJ324:EJ387" si="296">IFERROR(INDEX($B$3:$B$407,MATCH(EI324,EH$3:EH$407,0),1),"")</f>
        <v/>
      </c>
      <c r="EL324">
        <f t="shared" ref="EL324:EL387" si="297">IF(IFERROR(SEARCH("Druid",$T324,1),0)&gt;0,1,0)*IF($C324="cantrip",1,0)</f>
        <v>0</v>
      </c>
      <c r="EM324">
        <f>IF(EL324=0,0,1+COUNTIF(EM$3:EM323,"&gt;0"))</f>
        <v>0</v>
      </c>
      <c r="EN324" t="str">
        <f t="shared" si="269"/>
        <v/>
      </c>
      <c r="EO324" t="str">
        <f t="shared" ref="EO324:EO387" si="298">IFERROR(INDEX($B$3:$B$407,MATCH(EN324,EM$3:EM$407,0),1),"")</f>
        <v/>
      </c>
      <c r="EQ324">
        <f t="shared" ref="EQ324:EQ387" si="299">IF(IFERROR(SEARCH("Eldritch Knight",$T324,1),0)&gt;0,1,0)*IF($C324="cantrip",1,0)</f>
        <v>0</v>
      </c>
      <c r="ER324">
        <f>IF(EQ324=0,0,1+COUNTIF(ER$3:ER323,"&gt;0"))</f>
        <v>0</v>
      </c>
      <c r="ES324" t="str">
        <f t="shared" si="270"/>
        <v/>
      </c>
      <c r="ET324" t="str">
        <f t="shared" ref="ET324:ET387" si="300">IFERROR(INDEX($B$3:$B$407,MATCH(ES324,ER$3:ER$407,0),1),"")</f>
        <v/>
      </c>
      <c r="EV324">
        <f t="shared" ref="EV324:EV387" si="301">IF(IFERROR(SEARCH("Arcane Trickster",$T324,1),0)&gt;0,1,0)*IF($C324="cantrip",1,0)</f>
        <v>0</v>
      </c>
      <c r="EW324">
        <f>IF(EV324=0,0,1+COUNTIF(EW$3:EW323,"&gt;0"))</f>
        <v>0</v>
      </c>
      <c r="EX324" t="str">
        <f t="shared" si="271"/>
        <v/>
      </c>
      <c r="EY324" t="str">
        <f t="shared" ref="EY324:EY387" si="302">IFERROR(INDEX($B$3:$B$407,MATCH(EX324,EW$3:EW$407,0),1),"")</f>
        <v/>
      </c>
      <c r="FA324">
        <f t="shared" ref="FA324:FA387" si="303">IF(IFERROR(SEARCH("Sorcerer",$T324,1),0)&gt;0,1,0)*IF($C324="cantrip",1,0)</f>
        <v>0</v>
      </c>
      <c r="FB324">
        <f>IF(FA324=0,0,1+COUNTIF(FB$3:FB323,"&gt;0"))</f>
        <v>0</v>
      </c>
      <c r="FC324" t="str">
        <f t="shared" si="272"/>
        <v/>
      </c>
      <c r="FD324" t="str">
        <f t="shared" ref="FD324:FD387" si="304">IFERROR(INDEX($B$3:$B$407,MATCH(FC324,FB$3:FB$407,0),1),"")</f>
        <v/>
      </c>
      <c r="FF324">
        <f t="shared" ref="FF324:FF387" si="305">IF(IFERROR(SEARCH("Warlock",$T324,1),0)&gt;0,1,0)*IF($C324="cantrip",1,0)</f>
        <v>0</v>
      </c>
      <c r="FG324">
        <f>IF(FF324=0,0,1+COUNTIF(FG$3:FG323,"&gt;0"))</f>
        <v>0</v>
      </c>
      <c r="FH324" t="str">
        <f t="shared" si="273"/>
        <v/>
      </c>
      <c r="FI324" t="str">
        <f t="shared" ref="FI324:FI387" si="306">IFERROR(INDEX($B$3:$B$407,MATCH(FH324,FG$3:FG$407,0),1),"")</f>
        <v/>
      </c>
      <c r="FK324">
        <f t="shared" ref="FK324:FK387" si="307">IF(IFERROR(SEARCH("Wizard",$T324,1),0)&gt;0,1,0)*IF($C324="cantrip",1,0)</f>
        <v>0</v>
      </c>
      <c r="FL324">
        <f>IF(FK324=0,0,1+COUNTIF(FL$3:FL323,"&gt;0"))</f>
        <v>0</v>
      </c>
      <c r="FM324" t="str">
        <f t="shared" si="274"/>
        <v/>
      </c>
      <c r="FN324" t="str">
        <f t="shared" ref="FN324:FN387" si="308">IFERROR(INDEX($B$3:$B$407,MATCH(FM324,FL$3:FL$407,0),1),"")</f>
        <v/>
      </c>
      <c r="FP324">
        <f t="shared" ref="FP324:FP387" si="309">IF(IFERROR(SEARCH("Bard",$T324,1),0)&gt;0,1,0)*IF($C324="cantrip",1,0)</f>
        <v>0</v>
      </c>
      <c r="FQ324">
        <f>IF(FP324=0,0,1+COUNTIF(FQ$3:FQ323,"&gt;0"))</f>
        <v>0</v>
      </c>
      <c r="FR324" t="str">
        <f t="shared" si="275"/>
        <v/>
      </c>
      <c r="FS324" t="str">
        <f t="shared" ref="FS324:FS387" si="310">IFERROR(INDEX($B$3:$B$407,MATCH(FR324,FQ$3:FQ$407,0),1),"")</f>
        <v/>
      </c>
    </row>
    <row r="325" spans="1:175" x14ac:dyDescent="0.25">
      <c r="A325" s="347">
        <f t="shared" si="276"/>
        <v>323</v>
      </c>
      <c r="B325" s="348" t="s">
        <v>2722</v>
      </c>
      <c r="C325" s="348">
        <v>1</v>
      </c>
      <c r="D325" s="347">
        <v>1</v>
      </c>
      <c r="E325" s="627" t="s">
        <v>6952</v>
      </c>
      <c r="F325" s="346"/>
      <c r="G325" s="347" t="str">
        <f>""</f>
        <v/>
      </c>
      <c r="H325" s="347" t="s">
        <v>5912</v>
      </c>
      <c r="I325" s="347" t="s">
        <v>5060</v>
      </c>
      <c r="J325" s="347" t="str">
        <f t="shared" si="279"/>
        <v/>
      </c>
      <c r="K325" s="347" t="s">
        <v>5291</v>
      </c>
      <c r="L325" s="611" t="str">
        <f t="shared" si="280"/>
        <v>V, S, M, tiny tarts and a feather that is waved in the air</v>
      </c>
      <c r="M325" s="347" t="s">
        <v>2373</v>
      </c>
      <c r="N325" s="347" t="s">
        <v>2387</v>
      </c>
      <c r="O325" s="347" t="s">
        <v>1244</v>
      </c>
      <c r="P325" s="346" t="s">
        <v>5494</v>
      </c>
      <c r="Q325" s="347" t="s">
        <v>5272</v>
      </c>
      <c r="S325" s="346" t="s">
        <v>5838</v>
      </c>
      <c r="T325" s="346" t="str">
        <f t="shared" si="281"/>
        <v xml:space="preserve">Bard, Arcane Trickster, Wizard, Old One, </v>
      </c>
      <c r="U325" s="347" t="str">
        <f>$B325</f>
        <v>Tasha's Hideous Laughter</v>
      </c>
      <c r="AC325" s="539" t="str">
        <f>B325</f>
        <v>Tasha's Hideous Laughter</v>
      </c>
      <c r="AD325" s="347" t="str">
        <f t="shared" si="282"/>
        <v>Tasha's Hideous Laughter</v>
      </c>
      <c r="AE325" t="str">
        <f>IF(IFERROR(MATCH($B325,temp!A$4:A$13,0),0)&gt;0,T08_Spells!AE$2,"")</f>
        <v/>
      </c>
      <c r="AF325" t="str">
        <f>IF(IFERROR(MATCH($B325,temp!B$4:B$13,0),0)&gt;0,T08_Spells!AF$2,"")</f>
        <v/>
      </c>
      <c r="AG325" t="str">
        <f>IF(IFERROR(MATCH($B325,temp!C$4:C$13,0),0)&gt;0,T08_Spells!AG$2,"")</f>
        <v/>
      </c>
      <c r="AH325" t="str">
        <f>IF(IFERROR(MATCH($B325,temp!D$4:D$13,0),0)&gt;0,T08_Spells!AH$2,"")</f>
        <v/>
      </c>
      <c r="AI325" t="str">
        <f>IF(IFERROR(MATCH($B325,temp!E$4:E$13,0),0)&gt;0,T08_Spells!AI$2,"")</f>
        <v/>
      </c>
      <c r="AJ325" t="str">
        <f>IF(IFERROR(MATCH($B325,temp!F$4:F$13,0),0)&gt;0,T08_Spells!AJ$2,"")</f>
        <v/>
      </c>
      <c r="AK325" t="str">
        <f>IF(IFERROR(MATCH($B325,temp!G$4:G$13,0),0)&gt;0,T08_Spells!AK$2,"")</f>
        <v>Old One</v>
      </c>
      <c r="AL325" t="str">
        <f>IF(IFERROR(MATCH($B325,temp!H$4:H$13,0),0)&gt;0,T08_Spells!AL$2,"")</f>
        <v/>
      </c>
      <c r="AM325" t="str">
        <f>IF(IFERROR(MATCH($B325,temp!I$4:I$13,0),0)&gt;0,T08_Spells!AM$2,"")</f>
        <v/>
      </c>
      <c r="AN325" t="str">
        <f>IF(IFERROR(MATCH($B325,temp!J$4:J$13,0),0)&gt;0,T08_Spells!AN$2,"")</f>
        <v/>
      </c>
      <c r="AO325" t="str">
        <f>IF(IFERROR(MATCH($B325,temp!K$4:K$13,0),0)&gt;0,T08_Spells!AO$2,"")</f>
        <v/>
      </c>
      <c r="AP325" t="str">
        <f>IF(IFERROR(MATCH($B325,temp!L$4:L$13,0),0)&gt;0,T08_Spells!AP$2,"")</f>
        <v/>
      </c>
      <c r="AQ325" t="str">
        <f>IF(IFERROR(MATCH($B325,temp!M$4:M$13,0),0)&gt;0,T08_Spells!AQ$2,"")</f>
        <v/>
      </c>
      <c r="AR325" t="str">
        <f>IF(IFERROR(MATCH($B325,temp!N$4:N$13,0),0)&gt;0,T08_Spells!AR$2,"")</f>
        <v/>
      </c>
      <c r="AS325" t="str">
        <f>IF(IFERROR(MATCH($B325,temp!O$4:O$13,0),0)&gt;0,T08_Spells!AS$2,"")</f>
        <v/>
      </c>
      <c r="AT325" t="str">
        <f>IF(IFERROR(MATCH($B325,temp!P$4:P$13,0),0)&gt;0,T08_Spells!AT$2,"")</f>
        <v/>
      </c>
      <c r="AU325" t="str">
        <f>IF(IFERROR(MATCH($B325,temp!Q$4:Q$13,0),0)&gt;0,T08_Spells!AU$2,"")</f>
        <v/>
      </c>
      <c r="AV325" t="str">
        <f>IF(IFERROR(MATCH($B325,temp!R$4:R$13,0),0)&gt;0,T08_Spells!AV$2,"")</f>
        <v/>
      </c>
      <c r="AW325" t="str">
        <f>IF(IFERROR(MATCH($B325,temp!S$4:S$13,0),0)&gt;0,T08_Spells!AW$2,"")</f>
        <v/>
      </c>
      <c r="AX325" t="str">
        <f>IF(IFERROR(MATCH($B325,temp!T$4:T$13,0),0)&gt;0,T08_Spells!AX$2,"")</f>
        <v/>
      </c>
      <c r="AY325" t="str">
        <f>IF(IFERROR(MATCH($B325,temp!U$4:U$13,0),0)&gt;0,T08_Spells!AY$2,"")</f>
        <v/>
      </c>
      <c r="AZ325" t="str">
        <f>IF(IFERROR(MATCH($B325,temp!V$4:V$13,0),0)&gt;0,T08_Spells!AZ$2,"")</f>
        <v/>
      </c>
      <c r="BA325" t="str">
        <f>IF(IFERROR(MATCH($B325,temp!W$4:W$13,0),0)&gt;0,T08_Spells!BA$2,"")</f>
        <v/>
      </c>
      <c r="BC325">
        <f>IF(IFERROR(SEARCH("Ranger",$T325,1),0)&gt;0,1,0)*IF(RangerMaxSpellLevel&gt;=$C325,1,0)*IF(IFERROR(MATCH(B325,Character_Creation!$X$79:$X$382,0),0)&gt;0,0,1)</f>
        <v>0</v>
      </c>
      <c r="BD325">
        <f>IF(BC325=0,0,1+COUNTIF(BD$3:BD324,"&gt;0"))</f>
        <v>0</v>
      </c>
      <c r="BE325" t="str">
        <f t="shared" ref="BE325:BE388" si="311">IFERROR(IF(BE324&lt;MAX(BD324:BD728),BE324+1,""),"")</f>
        <v/>
      </c>
      <c r="BF325" t="str">
        <f t="shared" si="283"/>
        <v/>
      </c>
      <c r="BH325">
        <f>IF(IFERROR(SEARCH("Sorcerer",$T325,1),0)&gt;0,1,0)*IF(SorcererMaxSpellLevel&gt;=$C325,1,0)*IF(IFERROR(MATCH(B325,Character_Creation!$J$380:$J$394,0),0)&gt;0,0,1)</f>
        <v>0</v>
      </c>
      <c r="BI325">
        <f>IF(BH325=0,0,1+COUNTIF(BI$3:BI324,"&gt;0"))</f>
        <v>0</v>
      </c>
      <c r="BJ325" t="str">
        <f t="shared" ref="BJ325:BJ388" si="312">IFERROR(IF(BJ324&lt;MAX(BI324:BI728),BJ324+1,""),"")</f>
        <v/>
      </c>
      <c r="BK325" t="str">
        <f t="shared" si="284"/>
        <v/>
      </c>
      <c r="BM325">
        <f>IF(OR(IFERROR(SEARCH("Warlock",$T325,1),0)&gt;0,IFERROR(SEARCH(WarlockPatron,$T325,1),0)&gt;0),1,0)*IF(WarlockMaxSpellLevel&gt;=$C325,1,0)*IF(IFERROR(MATCH(B325,Character_Creation!$J$361:$J$375,0),0)&gt;0,0,1)</f>
        <v>0</v>
      </c>
      <c r="BN325">
        <f>IF(BM325=0,0,1+COUNTIF(BN$3:BN324,"&gt;0"))</f>
        <v>0</v>
      </c>
      <c r="BO325" t="str">
        <f t="shared" ref="BO325:BO388" si="313">IFERROR(IF(BO324&lt;MAX(BN324:BN728),BO324+1,""),"")</f>
        <v/>
      </c>
      <c r="BP325" t="str">
        <f t="shared" si="285"/>
        <v/>
      </c>
      <c r="BR325">
        <f>IF(IFERROR(SEARCH("Eldritch Knight",$T325,1),0)&gt;0,1,0)*IF(EldritchKnightMaxSpellLevel&gt;=$C325,1,0)*IF(IFERROR(MATCH($B325,Character_Creation!$J$350:$J$356,0),0)&gt;0,0,1)*IF(Character_Creation!$M$338&gt;0,1,0)</f>
        <v>0</v>
      </c>
      <c r="BS325">
        <f>IF(BR325=0,0,1+COUNTIF(BS$3:BS324,"&gt;0"))</f>
        <v>0</v>
      </c>
      <c r="BT325" t="str">
        <f t="shared" ref="BT325:BT388" si="314">IFERROR(IF(BT324&lt;MAX(BS324:BS728),BT324+1,""),"")</f>
        <v/>
      </c>
      <c r="BU325" t="str">
        <f t="shared" si="286"/>
        <v/>
      </c>
      <c r="BW325">
        <f>IF(IFERROR(SEARCH("Arcane Trickster",$T325,1),0)&gt;0,1,0)*IF(ArcaneTricksterMaxSpellLevel&gt;=$C325,1,0)*IF(IFERROR(MATCH($B325,Character_Creation!$J$350:$J$356,0),0)&gt;0,0,1)*IF(Character_Creation!$T$338&gt;0,1,0)</f>
        <v>0</v>
      </c>
      <c r="BX325">
        <f>IF(BW325=0,0,1+COUNTIF(BX$3:BX324,"&gt;0"))</f>
        <v>0</v>
      </c>
      <c r="BY325" t="str">
        <f t="shared" ref="BY325:BY388" si="315">IFERROR(IF(BY324&lt;MAX(BX324:BX728),BY324+1,""),"")</f>
        <v/>
      </c>
      <c r="BZ325" t="str">
        <f t="shared" si="287"/>
        <v/>
      </c>
      <c r="CB325">
        <f>IF(IFERROR(SEARCH("Wizard",$T325,1),0)&gt;0,1,0)*IF(C325&lt;=ArcaneTricksterMaxSpellLevel,1,0)*IF(IFERROR(MATCH($B325,Character_Creation!$J$350:$J$356,0),0)&gt;0,0,1)*IF(Character_Creation!$T$350&gt;0,1,0)</f>
        <v>0</v>
      </c>
      <c r="CC325">
        <f>IF(CB325=0,0,1+COUNTIF(CC$3:CC324,"&gt;0"))</f>
        <v>0</v>
      </c>
      <c r="CD325" t="str">
        <f t="shared" ref="CD325:CD388" si="316">IFERROR(IF(CD324&lt;MAX(CC324:CC728),CD324+1,""),"")</f>
        <v/>
      </c>
      <c r="CE325" t="str">
        <f t="shared" si="288"/>
        <v/>
      </c>
      <c r="CG325">
        <f>IF(IFERROR(SEARCH("Wizard",$T325,1),0)&gt;0,1,0)*IF($C325&lt;=EldritchKnightMaxSpellLevel,1,0)*IF(IFERROR(MATCH($B325,Character_Creation!$J$350:$J$356,0),0)&gt;0,0,1)*IF(Character_Creation!$M$350&gt;0,1,0)</f>
        <v>1</v>
      </c>
      <c r="CH325">
        <f>IF(CG325=0,0,1+COUNTIF(CH$3:CH324,"&gt;0"))</f>
        <v>58</v>
      </c>
      <c r="CI325" t="str">
        <f t="shared" ref="CI325:CI388" si="317">IFERROR(IF(CI324&lt;MAX(CH324:CH728),CI324+1,""),"")</f>
        <v/>
      </c>
      <c r="CJ325" t="str">
        <f t="shared" si="289"/>
        <v/>
      </c>
      <c r="CL325">
        <f>IF(IFERROR(SEARCH("Bard",$T325,1),0)&gt;0,1,0)*IF(BardMaxSpellLevel&gt;=$C325,1,0)*IF(IFERROR(MATCH(B325,Character_Creation!$C$341:$F$362,0),0)&gt;0,0,1)*IF(IFERROR(MATCH($B325,Character_Creation!$C$341:$C$362,0),0)&gt;0,0,1)</f>
        <v>0</v>
      </c>
      <c r="CM325">
        <f>IF(CL325=0,0,1+COUNTIF(CM$3:CM324,"&gt;0"))</f>
        <v>0</v>
      </c>
      <c r="CN325" t="str">
        <f t="shared" ref="CN325:CN388" si="318">IFERROR(IF(CN324&lt;MAX(CM324:CM728),CN324+1,""),"")</f>
        <v/>
      </c>
      <c r="CO325" t="str">
        <f t="shared" si="290"/>
        <v/>
      </c>
      <c r="CQ325">
        <f>IF(IFERROR(SEARCH("Wizard",$T325,1),0)&gt;0,1,0)*IF(WizardMaxSpellLevel&gt;=$C325,1,0)*IF(IFERROR(MATCH(B325,Character_Creation!$X$341:$X$400,0),0)&gt;0,0,1)*IF(SelectedWizardSpellLevel=$C325,1,0)</f>
        <v>0</v>
      </c>
      <c r="CR325">
        <f>IF(CQ325=0,0,1+COUNTIF(CR$3:CR324,"&gt;0"))</f>
        <v>0</v>
      </c>
      <c r="CS325" t="str">
        <f t="shared" ref="CS325:CS388" si="319">IFERROR(IF(CS324&lt;MAX(CR324:CR728),CS324+1,""),"")</f>
        <v/>
      </c>
      <c r="CT325" t="str">
        <f t="shared" si="291"/>
        <v/>
      </c>
      <c r="CV325">
        <f>IF(IFERROR(MATCH($B325,Character_Creation!$C$341:$C$362,0),0)&gt;0,0,1)*IF(OR(C325="Cantrip",C325&lt;=BardMaxSpellLevel),1,0)*IF(IFERROR(MATCH($B325,Character_Creation!$C$367:$C$374,0),0)&gt;0,0,1)</f>
        <v>0</v>
      </c>
      <c r="CW325">
        <f>IF(CV325=0,0,1+COUNTIF(CW$3:CW324,"&gt;0"))</f>
        <v>0</v>
      </c>
      <c r="CX325" t="str">
        <f t="shared" ref="CX325:CX388" si="320">IFERROR(IF(CX324&lt;MAX(CW324:CW728),CX324+1,""),"")</f>
        <v/>
      </c>
      <c r="CY325" t="str">
        <f t="shared" si="292"/>
        <v/>
      </c>
      <c r="DA325">
        <f>IF(IF(OR(IFERROR(SEARCH("Cleric",$T325,1),0)&gt;0,IFERROR(SEARCH(DivineDomain&amp;",",$T325,1),0)&gt;0),1,0)*IF($C325=DA$2,1,0)=1,1+COUNTIF(DA$3:DA324,"&gt;0"),0)</f>
        <v>0</v>
      </c>
      <c r="DB325">
        <f>IF(IF(OR(IFERROR(SEARCH("Cleric",$T325,1),0)&gt;0,IFERROR(SEARCH(DivineDomain&amp;",",$T325,1),0)&gt;0),1,0)*IF($C325=DB$2,1,0)=1,1+COUNTIF(DB$3:DB324,"&gt;0"),0)</f>
        <v>0</v>
      </c>
      <c r="DC325">
        <f>IF(IF(OR(IFERROR(SEARCH("Cleric",$T325,1),0)&gt;0,IFERROR(SEARCH(DivineDomain&amp;",",$T325,1),0)&gt;0),1,0)*IF($C325=DC$2,1,0)=1,1+COUNTIF(DC$3:DC324,"&gt;0"),0)</f>
        <v>0</v>
      </c>
      <c r="DD325">
        <f>IF(IF(OR(IFERROR(SEARCH("Cleric",$T325,1),0)&gt;0,IFERROR(SEARCH(DivineDomain&amp;",",$T325,1),0)&gt;0),1,0)*IF($C325=DD$2,1,0)=1,1+COUNTIF(DD$3:DD324,"&gt;0"),0)</f>
        <v>0</v>
      </c>
      <c r="DE325">
        <f>IF(IF(OR(IFERROR(SEARCH("Cleric",$T325,1),0)&gt;0,IFERROR(SEARCH(DivineDomain&amp;",",$T325,1),0)&gt;0),1,0)*IF($C325=DE$2,1,0)=1,1+COUNTIF(DE$3:DE324,"&gt;0"),0)</f>
        <v>0</v>
      </c>
      <c r="DF325">
        <f>IF(IF(OR(IFERROR(SEARCH("Cleric",$T325,1),0)&gt;0,IFERROR(SEARCH(DivineDomain&amp;",",$T325,1),0)&gt;0),1,0)*IF($C325=DF$2,1,0)=1,1+COUNTIF(DF$3:DF324,"&gt;0"),0)</f>
        <v>0</v>
      </c>
      <c r="DG325">
        <f>IF(IF(OR(IFERROR(SEARCH("Cleric",$T325,1),0)&gt;0,IFERROR(SEARCH(DivineDomain&amp;",",$T325,1),0)&gt;0),1,0)*IF($C325=DG$2,1,0)=1,1+COUNTIF(DG$3:DG324,"&gt;0"),0)</f>
        <v>0</v>
      </c>
      <c r="DH325">
        <f>IF(IF(OR(IFERROR(SEARCH("Cleric",$T325,1),0)&gt;0,IFERROR(SEARCH(DivineDomain&amp;",",$T325,1),0)&gt;0),1,0)*IF($C325=DH$2,1,0)=1,1+COUNTIF(DH$3:DH324,"&gt;0"),0)</f>
        <v>0</v>
      </c>
      <c r="DI325">
        <f>IF(IF(OR(IFERROR(SEARCH("Cleric",$T325,1),0)&gt;0,IFERROR(SEARCH(DivineDomain&amp;",",$T325,1),0)&gt;0),1,0)*IF($C325=DI$2,1,0)=1,1+COUNTIF(DI$3:DI324,"&gt;0"),0)</f>
        <v>0</v>
      </c>
      <c r="DJ325">
        <f>IF(IF(OR(IFERROR(SEARCH("Druid",$T325,1),0)&gt;0,IFERROR(SEARCH(DruidLand1,$T325,1),0)&gt;0,IFERROR(SEARCH(DruidLand2,$T325,1),0)&gt;0,IFERROR(SEARCH(DruidLand3,$T325,1),0)&gt;0,IFERROR(SEARCH(DruidLand4,$T325,1),0)&gt;0),1,0)*IF($C325=1,1,0)*IF($C325=DJ$2,1,0)=0,0,1+COUNTIF(DJ$3:DJ324,"&gt;0"))</f>
        <v>0</v>
      </c>
      <c r="DK325">
        <f>IF(IF(OR(IFERROR(SEARCH("Druid",$T325,1),0)&gt;0,IFERROR(SEARCH(DruidLand1,$T325,1),0)&gt;0,IFERROR(SEARCH(DruidLand2,$T325,1),0)&gt;0,IFERROR(SEARCH(DruidLand3,$T325,1),0)&gt;0,IFERROR(SEARCH(DruidLand4,$T325,1),0)&gt;0),1,0)*IF($C325=1,1,0)*IF($C325=DK$2,1,0)=0,0,1+COUNTIF(DK$3:DK324,"&gt;0"))</f>
        <v>0</v>
      </c>
      <c r="DL325">
        <f>IF(IF(OR(IFERROR(SEARCH("Druid",$T325,1),0)&gt;0,IFERROR(SEARCH(DruidLand1,$T325,1),0)&gt;0,IFERROR(SEARCH(DruidLand2,$T325,1),0)&gt;0,IFERROR(SEARCH(DruidLand3,$T325,1),0)&gt;0,IFERROR(SEARCH(DruidLand4,$T325,1),0)&gt;0),1,0)*IF($C325=1,1,0)*IF($C325=DL$2,1,0)=0,0,1+COUNTIF(DL$3:DL324,"&gt;0"))</f>
        <v>0</v>
      </c>
      <c r="DM325">
        <f>IF(IF(OR(IFERROR(SEARCH("Druid",$T325,1),0)&gt;0,IFERROR(SEARCH(DruidLand1,$T325,1),0)&gt;0,IFERROR(SEARCH(DruidLand2,$T325,1),0)&gt;0,IFERROR(SEARCH(DruidLand3,$T325,1),0)&gt;0,IFERROR(SEARCH(DruidLand4,$T325,1),0)&gt;0),1,0)*IF($C325=1,1,0)*IF($C325=DM$2,1,0)=0,0,1+COUNTIF(DM$3:DM324,"&gt;0"))</f>
        <v>0</v>
      </c>
      <c r="DN325">
        <f>IF(IF(OR(IFERROR(SEARCH("Druid",$T325,1),0)&gt;0,IFERROR(SEARCH(DruidLand1,$T325,1),0)&gt;0,IFERROR(SEARCH(DruidLand2,$T325,1),0)&gt;0,IFERROR(SEARCH(DruidLand3,$T325,1),0)&gt;0,IFERROR(SEARCH(DruidLand4,$T325,1),0)&gt;0),1,0)*IF($C325=1,1,0)*IF($C325=DN$2,1,0)=0,0,1+COUNTIF(DN$3:DN324,"&gt;0"))</f>
        <v>0</v>
      </c>
      <c r="DO325">
        <f>IF(IF(OR(IFERROR(SEARCH("Druid",$T325,1),0)&gt;0,IFERROR(SEARCH(DruidLand1,$T325,1),0)&gt;0,IFERROR(SEARCH(DruidLand2,$T325,1),0)&gt;0,IFERROR(SEARCH(DruidLand3,$T325,1),0)&gt;0,IFERROR(SEARCH(DruidLand4,$T325,1),0)&gt;0),1,0)*IF($C325=1,1,0)*IF($C325=DO$2,1,0)=0,0,1+COUNTIF(DO$3:DO324,"&gt;0"))</f>
        <v>0</v>
      </c>
      <c r="DP325">
        <f>IF(IF(OR(IFERROR(SEARCH("Druid",$T325,1),0)&gt;0,IFERROR(SEARCH(DruidLand1,$T325,1),0)&gt;0,IFERROR(SEARCH(DruidLand2,$T325,1),0)&gt;0,IFERROR(SEARCH(DruidLand3,$T325,1),0)&gt;0,IFERROR(SEARCH(DruidLand4,$T325,1),0)&gt;0),1,0)*IF($C325=1,1,0)*IF($C325=DP$2,1,0)=0,0,1+COUNTIF(DP$3:DP324,"&gt;0"))</f>
        <v>0</v>
      </c>
      <c r="DQ325">
        <f>IF(IF(OR(IFERROR(SEARCH("Druid",$T325,1),0)&gt;0,IFERROR(SEARCH(DruidLand1,$T325,1),0)&gt;0,IFERROR(SEARCH(DruidLand2,$T325,1),0)&gt;0,IFERROR(SEARCH(DruidLand3,$T325,1),0)&gt;0,IFERROR(SEARCH(DruidLand4,$T325,1),0)&gt;0),1,0)*IF($C325=1,1,0)*IF($C325=DQ$2,1,0)=0,0,1+COUNTIF(DQ$3:DQ324,"&gt;0"))</f>
        <v>0</v>
      </c>
      <c r="DR325">
        <f>IF(IF(OR(IFERROR(SEARCH("Druid",$T325,1),0)&gt;0,IFERROR(SEARCH(DruidLand1,$T325,1),0)&gt;0,IFERROR(SEARCH(DruidLand2,$T325,1),0)&gt;0,IFERROR(SEARCH(DruidLand3,$T325,1),0)&gt;0,IFERROR(SEARCH(DruidLand4,$T325,1),0)&gt;0),1,0)*IF($C325=1,1,0)*IF($C325=DR$2,1,0)=0,0,1+COUNTIF(DR$3:DR324,"&gt;0"))</f>
        <v>0</v>
      </c>
      <c r="DS325">
        <f>IF(IF(OR(IFERROR(SEARCH("Paladin",$T325,1),0)&gt;0,IFERROR(SEARCH(PaladinOath,$T325,1),0)&gt;0),1,0)*IF($C325=DS$2,1,0)=1,1+COUNTIF(DS$3:DS324,"&gt;0"),0)</f>
        <v>0</v>
      </c>
      <c r="DT325">
        <f>IF(IF(OR(IFERROR(SEARCH("Paladin",$T325,1),0)&gt;0,IFERROR(SEARCH(PaladinOath,$T325,1),0)&gt;0),1,0)*IF($C325=DT$2,1,0)=1,1+COUNTIF(DT$3:DT324,"&gt;0"),0)</f>
        <v>0</v>
      </c>
      <c r="DU325">
        <f>IF(IF(OR(IFERROR(SEARCH("Paladin",$T325,1),0)&gt;0,IFERROR(SEARCH(PaladinOath,$T325,1),0)&gt;0),1,0)*IF($C325=DU$2,1,0)=1,1+COUNTIF(DU$3:DU324,"&gt;0"),0)</f>
        <v>0</v>
      </c>
      <c r="DV325">
        <f>IF(IF(OR(IFERROR(SEARCH("Paladin",$T325,1),0)&gt;0,IFERROR(SEARCH(PaladinOath,$T325,1),0)&gt;0),1,0)*IF($C325=DV$2,1,0)=1,1+COUNTIF(DV$3:DV324,"&gt;0"),0)</f>
        <v>0</v>
      </c>
      <c r="DW325">
        <f>IF(IF(OR(IFERROR(SEARCH("Paladin",$T325,1),0)&gt;0,IFERROR(SEARCH(PaladinOath,$T325,1),0)&gt;0),1,0)*IF($C325=DW$2,1,0)=1,1+COUNTIF(DW$3:DW324,"&gt;0"),0)</f>
        <v>0</v>
      </c>
      <c r="DY325">
        <f t="shared" si="278"/>
        <v>1</v>
      </c>
      <c r="DZ325">
        <f>IF(DY325=0,0,1+MAX(DZ$3:$DZ324))</f>
        <v>323</v>
      </c>
      <c r="EB325">
        <f t="shared" si="293"/>
        <v>0</v>
      </c>
      <c r="EC325">
        <f>IF(EB325=0,0,1+COUNTIF(EC$3:EC324,"&gt;0"))</f>
        <v>0</v>
      </c>
      <c r="ED325" t="str">
        <f t="shared" ref="ED325:ED388" si="321">IFERROR(IF(ED324&lt;MAX(EC324:EC728),ED324+1,""),"")</f>
        <v/>
      </c>
      <c r="EE325" t="str">
        <f t="shared" si="294"/>
        <v/>
      </c>
      <c r="EG325">
        <f t="shared" si="295"/>
        <v>0</v>
      </c>
      <c r="EH325">
        <f>IF(EG325=0,0,1+COUNTIF(EH$3:EH324,"&gt;0"))</f>
        <v>0</v>
      </c>
      <c r="EI325" t="str">
        <f t="shared" ref="EI325:EI388" si="322">IFERROR(IF(EI324&lt;MAX(EH324:EH728),EI324+1,""),"")</f>
        <v/>
      </c>
      <c r="EJ325" t="str">
        <f t="shared" si="296"/>
        <v/>
      </c>
      <c r="EL325">
        <f t="shared" si="297"/>
        <v>0</v>
      </c>
      <c r="EM325">
        <f>IF(EL325=0,0,1+COUNTIF(EM$3:EM324,"&gt;0"))</f>
        <v>0</v>
      </c>
      <c r="EN325" t="str">
        <f t="shared" ref="EN325:EN388" si="323">IFERROR(IF(EN324&lt;MAX(EM324:EM728),EN324+1,""),"")</f>
        <v/>
      </c>
      <c r="EO325" t="str">
        <f t="shared" si="298"/>
        <v/>
      </c>
      <c r="EQ325">
        <f t="shared" si="299"/>
        <v>0</v>
      </c>
      <c r="ER325">
        <f>IF(EQ325=0,0,1+COUNTIF(ER$3:ER324,"&gt;0"))</f>
        <v>0</v>
      </c>
      <c r="ES325" t="str">
        <f t="shared" ref="ES325:ES388" si="324">IFERROR(IF(ES324&lt;MAX(ER324:ER728),ES324+1,""),"")</f>
        <v/>
      </c>
      <c r="ET325" t="str">
        <f t="shared" si="300"/>
        <v/>
      </c>
      <c r="EV325">
        <f t="shared" si="301"/>
        <v>0</v>
      </c>
      <c r="EW325">
        <f>IF(EV325=0,0,1+COUNTIF(EW$3:EW324,"&gt;0"))</f>
        <v>0</v>
      </c>
      <c r="EX325" t="str">
        <f t="shared" ref="EX325:EX388" si="325">IFERROR(IF(EX324&lt;MAX(EW324:EW728),EX324+1,""),"")</f>
        <v/>
      </c>
      <c r="EY325" t="str">
        <f t="shared" si="302"/>
        <v/>
      </c>
      <c r="FA325">
        <f t="shared" si="303"/>
        <v>0</v>
      </c>
      <c r="FB325">
        <f>IF(FA325=0,0,1+COUNTIF(FB$3:FB324,"&gt;0"))</f>
        <v>0</v>
      </c>
      <c r="FC325" t="str">
        <f t="shared" ref="FC325:FC388" si="326">IFERROR(IF(FC324&lt;MAX(FB324:FB728),FC324+1,""),"")</f>
        <v/>
      </c>
      <c r="FD325" t="str">
        <f t="shared" si="304"/>
        <v/>
      </c>
      <c r="FF325">
        <f t="shared" si="305"/>
        <v>0</v>
      </c>
      <c r="FG325">
        <f>IF(FF325=0,0,1+COUNTIF(FG$3:FG324,"&gt;0"))</f>
        <v>0</v>
      </c>
      <c r="FH325" t="str">
        <f t="shared" ref="FH325:FH388" si="327">IFERROR(IF(FH324&lt;MAX(FG324:FG728),FH324+1,""),"")</f>
        <v/>
      </c>
      <c r="FI325" t="str">
        <f t="shared" si="306"/>
        <v/>
      </c>
      <c r="FK325">
        <f t="shared" si="307"/>
        <v>0</v>
      </c>
      <c r="FL325">
        <f>IF(FK325=0,0,1+COUNTIF(FL$3:FL324,"&gt;0"))</f>
        <v>0</v>
      </c>
      <c r="FM325" t="str">
        <f t="shared" ref="FM325:FM388" si="328">IFERROR(IF(FM324&lt;MAX(FL324:FL728),FM324+1,""),"")</f>
        <v/>
      </c>
      <c r="FN325" t="str">
        <f t="shared" si="308"/>
        <v/>
      </c>
      <c r="FP325">
        <f t="shared" si="309"/>
        <v>0</v>
      </c>
      <c r="FQ325">
        <f>IF(FP325=0,0,1+COUNTIF(FQ$3:FQ324,"&gt;0"))</f>
        <v>0</v>
      </c>
      <c r="FR325" t="str">
        <f t="shared" ref="FR325:FR388" si="329">IFERROR(IF(FR324&lt;MAX(FQ324:FQ728),FR324+1,""),"")</f>
        <v/>
      </c>
      <c r="FS325" t="str">
        <f t="shared" si="310"/>
        <v/>
      </c>
    </row>
    <row r="326" spans="1:175" x14ac:dyDescent="0.25">
      <c r="A326" s="347">
        <f t="shared" si="276"/>
        <v>324</v>
      </c>
      <c r="B326" s="348" t="s">
        <v>2723</v>
      </c>
      <c r="C326" s="348">
        <v>5</v>
      </c>
      <c r="D326" s="347">
        <v>5</v>
      </c>
      <c r="E326" s="627" t="s">
        <v>6952</v>
      </c>
      <c r="F326" s="346"/>
      <c r="G326" s="347" t="str">
        <f>""</f>
        <v/>
      </c>
      <c r="H326" s="347" t="s">
        <v>5912</v>
      </c>
      <c r="I326" s="347" t="s">
        <v>424</v>
      </c>
      <c r="J326" s="347" t="str">
        <f t="shared" si="279"/>
        <v/>
      </c>
      <c r="K326" s="347" t="s">
        <v>5297</v>
      </c>
      <c r="L326" s="611" t="str">
        <f t="shared" si="280"/>
        <v>V, S</v>
      </c>
      <c r="M326" s="347" t="s">
        <v>2373</v>
      </c>
      <c r="N326" s="347" t="s">
        <v>2387</v>
      </c>
      <c r="O326" s="347" t="s">
        <v>3034</v>
      </c>
      <c r="P326" s="346" t="str">
        <f>""</f>
        <v/>
      </c>
      <c r="Q326" s="347" t="s">
        <v>5276</v>
      </c>
      <c r="S326" s="346" t="s">
        <v>5839</v>
      </c>
      <c r="T326" s="346" t="str">
        <f t="shared" si="281"/>
        <v xml:space="preserve">Sorcerer, Wizard, Old One, </v>
      </c>
      <c r="X326" s="347" t="str">
        <f>$B326</f>
        <v>Telekinesis</v>
      </c>
      <c r="AD326" s="347" t="str">
        <f t="shared" si="282"/>
        <v>Telekinesis</v>
      </c>
      <c r="AE326" t="str">
        <f>IF(IFERROR(MATCH($B326,temp!A$4:A$13,0),0)&gt;0,T08_Spells!AE$2,"")</f>
        <v/>
      </c>
      <c r="AF326" t="str">
        <f>IF(IFERROR(MATCH($B326,temp!B$4:B$13,0),0)&gt;0,T08_Spells!AF$2,"")</f>
        <v/>
      </c>
      <c r="AG326" t="str">
        <f>IF(IFERROR(MATCH($B326,temp!C$4:C$13,0),0)&gt;0,T08_Spells!AG$2,"")</f>
        <v/>
      </c>
      <c r="AH326" t="str">
        <f>IF(IFERROR(MATCH($B326,temp!D$4:D$13,0),0)&gt;0,T08_Spells!AH$2,"")</f>
        <v/>
      </c>
      <c r="AI326" t="str">
        <f>IF(IFERROR(MATCH($B326,temp!E$4:E$13,0),0)&gt;0,T08_Spells!AI$2,"")</f>
        <v/>
      </c>
      <c r="AJ326" t="str">
        <f>IF(IFERROR(MATCH($B326,temp!F$4:F$13,0),0)&gt;0,T08_Spells!AJ$2,"")</f>
        <v/>
      </c>
      <c r="AK326" t="str">
        <f>IF(IFERROR(MATCH($B326,temp!G$4:G$13,0),0)&gt;0,T08_Spells!AK$2,"")</f>
        <v>Old One</v>
      </c>
      <c r="AL326" t="str">
        <f>IF(IFERROR(MATCH($B326,temp!H$4:H$13,0),0)&gt;0,T08_Spells!AL$2,"")</f>
        <v/>
      </c>
      <c r="AM326" t="str">
        <f>IF(IFERROR(MATCH($B326,temp!I$4:I$13,0),0)&gt;0,T08_Spells!AM$2,"")</f>
        <v/>
      </c>
      <c r="AN326" t="str">
        <f>IF(IFERROR(MATCH($B326,temp!J$4:J$13,0),0)&gt;0,T08_Spells!AN$2,"")</f>
        <v/>
      </c>
      <c r="AO326" t="str">
        <f>IF(IFERROR(MATCH($B326,temp!K$4:K$13,0),0)&gt;0,T08_Spells!AO$2,"")</f>
        <v/>
      </c>
      <c r="AP326" t="str">
        <f>IF(IFERROR(MATCH($B326,temp!L$4:L$13,0),0)&gt;0,T08_Spells!AP$2,"")</f>
        <v/>
      </c>
      <c r="AQ326" t="str">
        <f>IF(IFERROR(MATCH($B326,temp!M$4:M$13,0),0)&gt;0,T08_Spells!AQ$2,"")</f>
        <v/>
      </c>
      <c r="AR326" t="str">
        <f>IF(IFERROR(MATCH($B326,temp!N$4:N$13,0),0)&gt;0,T08_Spells!AR$2,"")</f>
        <v/>
      </c>
      <c r="AS326" t="str">
        <f>IF(IFERROR(MATCH($B326,temp!O$4:O$13,0),0)&gt;0,T08_Spells!AS$2,"")</f>
        <v/>
      </c>
      <c r="AT326" t="str">
        <f>IF(IFERROR(MATCH($B326,temp!P$4:P$13,0),0)&gt;0,T08_Spells!AT$2,"")</f>
        <v/>
      </c>
      <c r="AU326" t="str">
        <f>IF(IFERROR(MATCH($B326,temp!Q$4:Q$13,0),0)&gt;0,T08_Spells!AU$2,"")</f>
        <v/>
      </c>
      <c r="AV326" t="str">
        <f>IF(IFERROR(MATCH($B326,temp!R$4:R$13,0),0)&gt;0,T08_Spells!AV$2,"")</f>
        <v/>
      </c>
      <c r="AW326" t="str">
        <f>IF(IFERROR(MATCH($B326,temp!S$4:S$13,0),0)&gt;0,T08_Spells!AW$2,"")</f>
        <v/>
      </c>
      <c r="AX326" t="str">
        <f>IF(IFERROR(MATCH($B326,temp!T$4:T$13,0),0)&gt;0,T08_Spells!AX$2,"")</f>
        <v/>
      </c>
      <c r="AY326" t="str">
        <f>IF(IFERROR(MATCH($B326,temp!U$4:U$13,0),0)&gt;0,T08_Spells!AY$2,"")</f>
        <v/>
      </c>
      <c r="AZ326" t="str">
        <f>IF(IFERROR(MATCH($B326,temp!V$4:V$13,0),0)&gt;0,T08_Spells!AZ$2,"")</f>
        <v/>
      </c>
      <c r="BA326" t="str">
        <f>IF(IFERROR(MATCH($B326,temp!W$4:W$13,0),0)&gt;0,T08_Spells!BA$2,"")</f>
        <v/>
      </c>
      <c r="BC326">
        <f>IF(IFERROR(SEARCH("Ranger",$T326,1),0)&gt;0,1,0)*IF(RangerMaxSpellLevel&gt;=$C326,1,0)*IF(IFERROR(MATCH(B326,Character_Creation!$X$79:$X$382,0),0)&gt;0,0,1)</f>
        <v>0</v>
      </c>
      <c r="BD326">
        <f>IF(BC326=0,0,1+COUNTIF(BD$3:BD325,"&gt;0"))</f>
        <v>0</v>
      </c>
      <c r="BE326" t="str">
        <f t="shared" si="311"/>
        <v/>
      </c>
      <c r="BF326" t="str">
        <f t="shared" si="283"/>
        <v/>
      </c>
      <c r="BH326">
        <f>IF(IFERROR(SEARCH("Sorcerer",$T326,1),0)&gt;0,1,0)*IF(SorcererMaxSpellLevel&gt;=$C326,1,0)*IF(IFERROR(MATCH(B326,Character_Creation!$J$380:$J$394,0),0)&gt;0,0,1)</f>
        <v>0</v>
      </c>
      <c r="BI326">
        <f>IF(BH326=0,0,1+COUNTIF(BI$3:BI325,"&gt;0"))</f>
        <v>0</v>
      </c>
      <c r="BJ326" t="str">
        <f t="shared" si="312"/>
        <v/>
      </c>
      <c r="BK326" t="str">
        <f t="shared" si="284"/>
        <v/>
      </c>
      <c r="BM326">
        <f>IF(OR(IFERROR(SEARCH("Warlock",$T326,1),0)&gt;0,IFERROR(SEARCH(WarlockPatron,$T326,1),0)&gt;0),1,0)*IF(WarlockMaxSpellLevel&gt;=$C326,1,0)*IF(IFERROR(MATCH(B326,Character_Creation!$J$361:$J$375,0),0)&gt;0,0,1)</f>
        <v>0</v>
      </c>
      <c r="BN326">
        <f>IF(BM326=0,0,1+COUNTIF(BN$3:BN325,"&gt;0"))</f>
        <v>0</v>
      </c>
      <c r="BO326" t="str">
        <f t="shared" si="313"/>
        <v/>
      </c>
      <c r="BP326" t="str">
        <f t="shared" si="285"/>
        <v/>
      </c>
      <c r="BR326">
        <f>IF(IFERROR(SEARCH("Eldritch Knight",$T326,1),0)&gt;0,1,0)*IF(EldritchKnightMaxSpellLevel&gt;=$C326,1,0)*IF(IFERROR(MATCH($B326,Character_Creation!$J$350:$J$356,0),0)&gt;0,0,1)*IF(Character_Creation!$M$338&gt;0,1,0)</f>
        <v>0</v>
      </c>
      <c r="BS326">
        <f>IF(BR326=0,0,1+COUNTIF(BS$3:BS325,"&gt;0"))</f>
        <v>0</v>
      </c>
      <c r="BT326" t="str">
        <f t="shared" si="314"/>
        <v/>
      </c>
      <c r="BU326" t="str">
        <f t="shared" si="286"/>
        <v/>
      </c>
      <c r="BW326">
        <f>IF(IFERROR(SEARCH("Arcane Trickster",$T326,1),0)&gt;0,1,0)*IF(ArcaneTricksterMaxSpellLevel&gt;=$C326,1,0)*IF(IFERROR(MATCH($B326,Character_Creation!$J$350:$J$356,0),0)&gt;0,0,1)*IF(Character_Creation!$T$338&gt;0,1,0)</f>
        <v>0</v>
      </c>
      <c r="BX326">
        <f>IF(BW326=0,0,1+COUNTIF(BX$3:BX325,"&gt;0"))</f>
        <v>0</v>
      </c>
      <c r="BY326" t="str">
        <f t="shared" si="315"/>
        <v/>
      </c>
      <c r="BZ326" t="str">
        <f t="shared" si="287"/>
        <v/>
      </c>
      <c r="CB326">
        <f>IF(IFERROR(SEARCH("Wizard",$T326,1),0)&gt;0,1,0)*IF(C326&lt;=ArcaneTricksterMaxSpellLevel,1,0)*IF(IFERROR(MATCH($B326,Character_Creation!$J$350:$J$356,0),0)&gt;0,0,1)*IF(Character_Creation!$T$350&gt;0,1,0)</f>
        <v>0</v>
      </c>
      <c r="CC326">
        <f>IF(CB326=0,0,1+COUNTIF(CC$3:CC325,"&gt;0"))</f>
        <v>0</v>
      </c>
      <c r="CD326" t="str">
        <f t="shared" si="316"/>
        <v/>
      </c>
      <c r="CE326" t="str">
        <f t="shared" si="288"/>
        <v/>
      </c>
      <c r="CG326">
        <f>IF(IFERROR(SEARCH("Wizard",$T326,1),0)&gt;0,1,0)*IF($C326&lt;=EldritchKnightMaxSpellLevel,1,0)*IF(IFERROR(MATCH($B326,Character_Creation!$J$350:$J$356,0),0)&gt;0,0,1)*IF(Character_Creation!$M$350&gt;0,1,0)</f>
        <v>0</v>
      </c>
      <c r="CH326">
        <f>IF(CG326=0,0,1+COUNTIF(CH$3:CH325,"&gt;0"))</f>
        <v>0</v>
      </c>
      <c r="CI326" t="str">
        <f t="shared" si="317"/>
        <v/>
      </c>
      <c r="CJ326" t="str">
        <f t="shared" si="289"/>
        <v/>
      </c>
      <c r="CL326">
        <f>IF(IFERROR(SEARCH("Bard",$T326,1),0)&gt;0,1,0)*IF(BardMaxSpellLevel&gt;=$C326,1,0)*IF(IFERROR(MATCH(B326,Character_Creation!$C$341:$F$362,0),0)&gt;0,0,1)*IF(IFERROR(MATCH($B326,Character_Creation!$C$341:$C$362,0),0)&gt;0,0,1)</f>
        <v>0</v>
      </c>
      <c r="CM326">
        <f>IF(CL326=0,0,1+COUNTIF(CM$3:CM325,"&gt;0"))</f>
        <v>0</v>
      </c>
      <c r="CN326" t="str">
        <f t="shared" si="318"/>
        <v/>
      </c>
      <c r="CO326" t="str">
        <f t="shared" si="290"/>
        <v/>
      </c>
      <c r="CQ326">
        <f>IF(IFERROR(SEARCH("Wizard",$T326,1),0)&gt;0,1,0)*IF(WizardMaxSpellLevel&gt;=$C326,1,0)*IF(IFERROR(MATCH(B326,Character_Creation!$X$341:$X$400,0),0)&gt;0,0,1)*IF(SelectedWizardSpellLevel=$C326,1,0)</f>
        <v>0</v>
      </c>
      <c r="CR326">
        <f>IF(CQ326=0,0,1+COUNTIF(CR$3:CR325,"&gt;0"))</f>
        <v>0</v>
      </c>
      <c r="CS326" t="str">
        <f t="shared" si="319"/>
        <v/>
      </c>
      <c r="CT326" t="str">
        <f t="shared" si="291"/>
        <v/>
      </c>
      <c r="CV326">
        <f>IF(IFERROR(MATCH($B326,Character_Creation!$C$341:$C$362,0),0)&gt;0,0,1)*IF(OR(C326="Cantrip",C326&lt;=BardMaxSpellLevel),1,0)*IF(IFERROR(MATCH($B326,Character_Creation!$C$367:$C$374,0),0)&gt;0,0,1)</f>
        <v>0</v>
      </c>
      <c r="CW326">
        <f>IF(CV326=0,0,1+COUNTIF(CW$3:CW325,"&gt;0"))</f>
        <v>0</v>
      </c>
      <c r="CX326" t="str">
        <f t="shared" si="320"/>
        <v/>
      </c>
      <c r="CY326" t="str">
        <f t="shared" si="292"/>
        <v/>
      </c>
      <c r="DA326">
        <f>IF(IF(OR(IFERROR(SEARCH("Cleric",$T326,1),0)&gt;0,IFERROR(SEARCH(DivineDomain&amp;",",$T326,1),0)&gt;0),1,0)*IF($C326=DA$2,1,0)=1,1+COUNTIF(DA$3:DA325,"&gt;0"),0)</f>
        <v>0</v>
      </c>
      <c r="DB326">
        <f>IF(IF(OR(IFERROR(SEARCH("Cleric",$T326,1),0)&gt;0,IFERROR(SEARCH(DivineDomain&amp;",",$T326,1),0)&gt;0),1,0)*IF($C326=DB$2,1,0)=1,1+COUNTIF(DB$3:DB325,"&gt;0"),0)</f>
        <v>0</v>
      </c>
      <c r="DC326">
        <f>IF(IF(OR(IFERROR(SEARCH("Cleric",$T326,1),0)&gt;0,IFERROR(SEARCH(DivineDomain&amp;",",$T326,1),0)&gt;0),1,0)*IF($C326=DC$2,1,0)=1,1+COUNTIF(DC$3:DC325,"&gt;0"),0)</f>
        <v>0</v>
      </c>
      <c r="DD326">
        <f>IF(IF(OR(IFERROR(SEARCH("Cleric",$T326,1),0)&gt;0,IFERROR(SEARCH(DivineDomain&amp;",",$T326,1),0)&gt;0),1,0)*IF($C326=DD$2,1,0)=1,1+COUNTIF(DD$3:DD325,"&gt;0"),0)</f>
        <v>0</v>
      </c>
      <c r="DE326">
        <f>IF(IF(OR(IFERROR(SEARCH("Cleric",$T326,1),0)&gt;0,IFERROR(SEARCH(DivineDomain&amp;",",$T326,1),0)&gt;0),1,0)*IF($C326=DE$2,1,0)=1,1+COUNTIF(DE$3:DE325,"&gt;0"),0)</f>
        <v>0</v>
      </c>
      <c r="DF326">
        <f>IF(IF(OR(IFERROR(SEARCH("Cleric",$T326,1),0)&gt;0,IFERROR(SEARCH(DivineDomain&amp;",",$T326,1),0)&gt;0),1,0)*IF($C326=DF$2,1,0)=1,1+COUNTIF(DF$3:DF325,"&gt;0"),0)</f>
        <v>0</v>
      </c>
      <c r="DG326">
        <f>IF(IF(OR(IFERROR(SEARCH("Cleric",$T326,1),0)&gt;0,IFERROR(SEARCH(DivineDomain&amp;",",$T326,1),0)&gt;0),1,0)*IF($C326=DG$2,1,0)=1,1+COUNTIF(DG$3:DG325,"&gt;0"),0)</f>
        <v>0</v>
      </c>
      <c r="DH326">
        <f>IF(IF(OR(IFERROR(SEARCH("Cleric",$T326,1),0)&gt;0,IFERROR(SEARCH(DivineDomain&amp;",",$T326,1),0)&gt;0),1,0)*IF($C326=DH$2,1,0)=1,1+COUNTIF(DH$3:DH325,"&gt;0"),0)</f>
        <v>0</v>
      </c>
      <c r="DI326">
        <f>IF(IF(OR(IFERROR(SEARCH("Cleric",$T326,1),0)&gt;0,IFERROR(SEARCH(DivineDomain&amp;",",$T326,1),0)&gt;0),1,0)*IF($C326=DI$2,1,0)=1,1+COUNTIF(DI$3:DI325,"&gt;0"),0)</f>
        <v>0</v>
      </c>
      <c r="DJ326">
        <f>IF(IF(OR(IFERROR(SEARCH("Druid",$T326,1),0)&gt;0,IFERROR(SEARCH(DruidLand1,$T326,1),0)&gt;0,IFERROR(SEARCH(DruidLand2,$T326,1),0)&gt;0,IFERROR(SEARCH(DruidLand3,$T326,1),0)&gt;0,IFERROR(SEARCH(DruidLand4,$T326,1),0)&gt;0),1,0)*IF($C326=1,1,0)*IF($C326=DJ$2,1,0)=0,0,1+COUNTIF(DJ$3:DJ325,"&gt;0"))</f>
        <v>0</v>
      </c>
      <c r="DK326">
        <f>IF(IF(OR(IFERROR(SEARCH("Druid",$T326,1),0)&gt;0,IFERROR(SEARCH(DruidLand1,$T326,1),0)&gt;0,IFERROR(SEARCH(DruidLand2,$T326,1),0)&gt;0,IFERROR(SEARCH(DruidLand3,$T326,1),0)&gt;0,IFERROR(SEARCH(DruidLand4,$T326,1),0)&gt;0),1,0)*IF($C326=1,1,0)*IF($C326=DK$2,1,0)=0,0,1+COUNTIF(DK$3:DK325,"&gt;0"))</f>
        <v>0</v>
      </c>
      <c r="DL326">
        <f>IF(IF(OR(IFERROR(SEARCH("Druid",$T326,1),0)&gt;0,IFERROR(SEARCH(DruidLand1,$T326,1),0)&gt;0,IFERROR(SEARCH(DruidLand2,$T326,1),0)&gt;0,IFERROR(SEARCH(DruidLand3,$T326,1),0)&gt;0,IFERROR(SEARCH(DruidLand4,$T326,1),0)&gt;0),1,0)*IF($C326=1,1,0)*IF($C326=DL$2,1,0)=0,0,1+COUNTIF(DL$3:DL325,"&gt;0"))</f>
        <v>0</v>
      </c>
      <c r="DM326">
        <f>IF(IF(OR(IFERROR(SEARCH("Druid",$T326,1),0)&gt;0,IFERROR(SEARCH(DruidLand1,$T326,1),0)&gt;0,IFERROR(SEARCH(DruidLand2,$T326,1),0)&gt;0,IFERROR(SEARCH(DruidLand3,$T326,1),0)&gt;0,IFERROR(SEARCH(DruidLand4,$T326,1),0)&gt;0),1,0)*IF($C326=1,1,0)*IF($C326=DM$2,1,0)=0,0,1+COUNTIF(DM$3:DM325,"&gt;0"))</f>
        <v>0</v>
      </c>
      <c r="DN326">
        <f>IF(IF(OR(IFERROR(SEARCH("Druid",$T326,1),0)&gt;0,IFERROR(SEARCH(DruidLand1,$T326,1),0)&gt;0,IFERROR(SEARCH(DruidLand2,$T326,1),0)&gt;0,IFERROR(SEARCH(DruidLand3,$T326,1),0)&gt;0,IFERROR(SEARCH(DruidLand4,$T326,1),0)&gt;0),1,0)*IF($C326=1,1,0)*IF($C326=DN$2,1,0)=0,0,1+COUNTIF(DN$3:DN325,"&gt;0"))</f>
        <v>0</v>
      </c>
      <c r="DO326">
        <f>IF(IF(OR(IFERROR(SEARCH("Druid",$T326,1),0)&gt;0,IFERROR(SEARCH(DruidLand1,$T326,1),0)&gt;0,IFERROR(SEARCH(DruidLand2,$T326,1),0)&gt;0,IFERROR(SEARCH(DruidLand3,$T326,1),0)&gt;0,IFERROR(SEARCH(DruidLand4,$T326,1),0)&gt;0),1,0)*IF($C326=1,1,0)*IF($C326=DO$2,1,0)=0,0,1+COUNTIF(DO$3:DO325,"&gt;0"))</f>
        <v>0</v>
      </c>
      <c r="DP326">
        <f>IF(IF(OR(IFERROR(SEARCH("Druid",$T326,1),0)&gt;0,IFERROR(SEARCH(DruidLand1,$T326,1),0)&gt;0,IFERROR(SEARCH(DruidLand2,$T326,1),0)&gt;0,IFERROR(SEARCH(DruidLand3,$T326,1),0)&gt;0,IFERROR(SEARCH(DruidLand4,$T326,1),0)&gt;0),1,0)*IF($C326=1,1,0)*IF($C326=DP$2,1,0)=0,0,1+COUNTIF(DP$3:DP325,"&gt;0"))</f>
        <v>0</v>
      </c>
      <c r="DQ326">
        <f>IF(IF(OR(IFERROR(SEARCH("Druid",$T326,1),0)&gt;0,IFERROR(SEARCH(DruidLand1,$T326,1),0)&gt;0,IFERROR(SEARCH(DruidLand2,$T326,1),0)&gt;0,IFERROR(SEARCH(DruidLand3,$T326,1),0)&gt;0,IFERROR(SEARCH(DruidLand4,$T326,1),0)&gt;0),1,0)*IF($C326=1,1,0)*IF($C326=DQ$2,1,0)=0,0,1+COUNTIF(DQ$3:DQ325,"&gt;0"))</f>
        <v>0</v>
      </c>
      <c r="DR326">
        <f>IF(IF(OR(IFERROR(SEARCH("Druid",$T326,1),0)&gt;0,IFERROR(SEARCH(DruidLand1,$T326,1),0)&gt;0,IFERROR(SEARCH(DruidLand2,$T326,1),0)&gt;0,IFERROR(SEARCH(DruidLand3,$T326,1),0)&gt;0,IFERROR(SEARCH(DruidLand4,$T326,1),0)&gt;0),1,0)*IF($C326=1,1,0)*IF($C326=DR$2,1,0)=0,0,1+COUNTIF(DR$3:DR325,"&gt;0"))</f>
        <v>0</v>
      </c>
      <c r="DS326">
        <f>IF(IF(OR(IFERROR(SEARCH("Paladin",$T326,1),0)&gt;0,IFERROR(SEARCH(PaladinOath,$T326,1),0)&gt;0),1,0)*IF($C326=DS$2,1,0)=1,1+COUNTIF(DS$3:DS325,"&gt;0"),0)</f>
        <v>0</v>
      </c>
      <c r="DT326">
        <f>IF(IF(OR(IFERROR(SEARCH("Paladin",$T326,1),0)&gt;0,IFERROR(SEARCH(PaladinOath,$T326,1),0)&gt;0),1,0)*IF($C326=DT$2,1,0)=1,1+COUNTIF(DT$3:DT325,"&gt;0"),0)</f>
        <v>0</v>
      </c>
      <c r="DU326">
        <f>IF(IF(OR(IFERROR(SEARCH("Paladin",$T326,1),0)&gt;0,IFERROR(SEARCH(PaladinOath,$T326,1),0)&gt;0),1,0)*IF($C326=DU$2,1,0)=1,1+COUNTIF(DU$3:DU325,"&gt;0"),0)</f>
        <v>0</v>
      </c>
      <c r="DV326">
        <f>IF(IF(OR(IFERROR(SEARCH("Paladin",$T326,1),0)&gt;0,IFERROR(SEARCH(PaladinOath,$T326,1),0)&gt;0),1,0)*IF($C326=DV$2,1,0)=1,1+COUNTIF(DV$3:DV325,"&gt;0"),0)</f>
        <v>0</v>
      </c>
      <c r="DW326">
        <f>IF(IF(OR(IFERROR(SEARCH("Paladin",$T326,1),0)&gt;0,IFERROR(SEARCH(PaladinOath,$T326,1),0)&gt;0),1,0)*IF($C326=DW$2,1,0)=1,1+COUNTIF(DW$3:DW325,"&gt;0"),0)</f>
        <v>0</v>
      </c>
      <c r="DY326">
        <f t="shared" si="278"/>
        <v>1</v>
      </c>
      <c r="DZ326">
        <f>IF(DY326=0,0,1+MAX(DZ$3:$DZ325))</f>
        <v>324</v>
      </c>
      <c r="EB326">
        <f t="shared" si="293"/>
        <v>0</v>
      </c>
      <c r="EC326">
        <f>IF(EB326=0,0,1+COUNTIF(EC$3:EC325,"&gt;0"))</f>
        <v>0</v>
      </c>
      <c r="ED326" t="str">
        <f t="shared" si="321"/>
        <v/>
      </c>
      <c r="EE326" t="str">
        <f t="shared" si="294"/>
        <v/>
      </c>
      <c r="EG326">
        <f t="shared" si="295"/>
        <v>0</v>
      </c>
      <c r="EH326">
        <f>IF(EG326=0,0,1+COUNTIF(EH$3:EH325,"&gt;0"))</f>
        <v>0</v>
      </c>
      <c r="EI326" t="str">
        <f t="shared" si="322"/>
        <v/>
      </c>
      <c r="EJ326" t="str">
        <f t="shared" si="296"/>
        <v/>
      </c>
      <c r="EL326">
        <f t="shared" si="297"/>
        <v>0</v>
      </c>
      <c r="EM326">
        <f>IF(EL326=0,0,1+COUNTIF(EM$3:EM325,"&gt;0"))</f>
        <v>0</v>
      </c>
      <c r="EN326" t="str">
        <f t="shared" si="323"/>
        <v/>
      </c>
      <c r="EO326" t="str">
        <f t="shared" si="298"/>
        <v/>
      </c>
      <c r="EQ326">
        <f t="shared" si="299"/>
        <v>0</v>
      </c>
      <c r="ER326">
        <f>IF(EQ326=0,0,1+COUNTIF(ER$3:ER325,"&gt;0"))</f>
        <v>0</v>
      </c>
      <c r="ES326" t="str">
        <f t="shared" si="324"/>
        <v/>
      </c>
      <c r="ET326" t="str">
        <f t="shared" si="300"/>
        <v/>
      </c>
      <c r="EV326">
        <f t="shared" si="301"/>
        <v>0</v>
      </c>
      <c r="EW326">
        <f>IF(EV326=0,0,1+COUNTIF(EW$3:EW325,"&gt;0"))</f>
        <v>0</v>
      </c>
      <c r="EX326" t="str">
        <f t="shared" si="325"/>
        <v/>
      </c>
      <c r="EY326" t="str">
        <f t="shared" si="302"/>
        <v/>
      </c>
      <c r="FA326">
        <f t="shared" si="303"/>
        <v>0</v>
      </c>
      <c r="FB326">
        <f>IF(FA326=0,0,1+COUNTIF(FB$3:FB325,"&gt;0"))</f>
        <v>0</v>
      </c>
      <c r="FC326" t="str">
        <f t="shared" si="326"/>
        <v/>
      </c>
      <c r="FD326" t="str">
        <f t="shared" si="304"/>
        <v/>
      </c>
      <c r="FF326">
        <f t="shared" si="305"/>
        <v>0</v>
      </c>
      <c r="FG326">
        <f>IF(FF326=0,0,1+COUNTIF(FG$3:FG325,"&gt;0"))</f>
        <v>0</v>
      </c>
      <c r="FH326" t="str">
        <f t="shared" si="327"/>
        <v/>
      </c>
      <c r="FI326" t="str">
        <f t="shared" si="306"/>
        <v/>
      </c>
      <c r="FK326">
        <f t="shared" si="307"/>
        <v>0</v>
      </c>
      <c r="FL326">
        <f>IF(FK326=0,0,1+COUNTIF(FL$3:FL325,"&gt;0"))</f>
        <v>0</v>
      </c>
      <c r="FM326" t="str">
        <f t="shared" si="328"/>
        <v/>
      </c>
      <c r="FN326" t="str">
        <f t="shared" si="308"/>
        <v/>
      </c>
      <c r="FP326">
        <f t="shared" si="309"/>
        <v>0</v>
      </c>
      <c r="FQ326">
        <f>IF(FP326=0,0,1+COUNTIF(FQ$3:FQ325,"&gt;0"))</f>
        <v>0</v>
      </c>
      <c r="FR326" t="str">
        <f t="shared" si="329"/>
        <v/>
      </c>
      <c r="FS326" t="str">
        <f t="shared" si="310"/>
        <v/>
      </c>
    </row>
    <row r="327" spans="1:175" x14ac:dyDescent="0.25">
      <c r="A327" s="347">
        <f t="shared" si="276"/>
        <v>325</v>
      </c>
      <c r="B327" s="348" t="s">
        <v>2724</v>
      </c>
      <c r="C327" s="348">
        <v>8</v>
      </c>
      <c r="D327" s="347">
        <v>8</v>
      </c>
      <c r="E327" s="627" t="s">
        <v>6952</v>
      </c>
      <c r="F327" s="346"/>
      <c r="G327" s="347" t="str">
        <f>""</f>
        <v/>
      </c>
      <c r="H327" s="347" t="s">
        <v>5912</v>
      </c>
      <c r="I327" s="347" t="s">
        <v>5473</v>
      </c>
      <c r="J327" s="347" t="str">
        <f t="shared" si="279"/>
        <v/>
      </c>
      <c r="K327" s="347" t="s">
        <v>5285</v>
      </c>
      <c r="L327" s="611" t="str">
        <f t="shared" si="280"/>
        <v>V, S, M, a pair of linked silver rings</v>
      </c>
      <c r="M327" s="347" t="s">
        <v>2373</v>
      </c>
      <c r="N327" s="347" t="s">
        <v>2387</v>
      </c>
      <c r="O327" s="347" t="s">
        <v>1244</v>
      </c>
      <c r="P327" s="346" t="s">
        <v>5495</v>
      </c>
      <c r="Q327" s="347" t="s">
        <v>5273</v>
      </c>
      <c r="S327" s="346" t="s">
        <v>5840</v>
      </c>
      <c r="T327" s="346" t="str">
        <f t="shared" si="281"/>
        <v xml:space="preserve">Eldritch Knight, Wizard, </v>
      </c>
      <c r="AB327" s="542" t="str">
        <f>AD327</f>
        <v>Telepathy</v>
      </c>
      <c r="AD327" s="347" t="str">
        <f t="shared" si="282"/>
        <v>Telepathy</v>
      </c>
      <c r="AE327" t="str">
        <f>IF(IFERROR(MATCH($B327,temp!A$4:A$13,0),0)&gt;0,T08_Spells!AE$2,"")</f>
        <v/>
      </c>
      <c r="AF327" t="str">
        <f>IF(IFERROR(MATCH($B327,temp!B$4:B$13,0),0)&gt;0,T08_Spells!AF$2,"")</f>
        <v/>
      </c>
      <c r="AG327" t="str">
        <f>IF(IFERROR(MATCH($B327,temp!C$4:C$13,0),0)&gt;0,T08_Spells!AG$2,"")</f>
        <v/>
      </c>
      <c r="AH327" t="str">
        <f>IF(IFERROR(MATCH($B327,temp!D$4:D$13,0),0)&gt;0,T08_Spells!AH$2,"")</f>
        <v/>
      </c>
      <c r="AI327" t="str">
        <f>IF(IFERROR(MATCH($B327,temp!E$4:E$13,0),0)&gt;0,T08_Spells!AI$2,"")</f>
        <v/>
      </c>
      <c r="AJ327" t="str">
        <f>IF(IFERROR(MATCH($B327,temp!F$4:F$13,0),0)&gt;0,T08_Spells!AJ$2,"")</f>
        <v/>
      </c>
      <c r="AK327" t="str">
        <f>IF(IFERROR(MATCH($B327,temp!G$4:G$13,0),0)&gt;0,T08_Spells!AK$2,"")</f>
        <v/>
      </c>
      <c r="AL327" t="str">
        <f>IF(IFERROR(MATCH($B327,temp!H$4:H$13,0),0)&gt;0,T08_Spells!AL$2,"")</f>
        <v/>
      </c>
      <c r="AM327" t="str">
        <f>IF(IFERROR(MATCH($B327,temp!I$4:I$13,0),0)&gt;0,T08_Spells!AM$2,"")</f>
        <v/>
      </c>
      <c r="AN327" t="str">
        <f>IF(IFERROR(MATCH($B327,temp!J$4:J$13,0),0)&gt;0,T08_Spells!AN$2,"")</f>
        <v/>
      </c>
      <c r="AO327" t="str">
        <f>IF(IFERROR(MATCH($B327,temp!K$4:K$13,0),0)&gt;0,T08_Spells!AO$2,"")</f>
        <v/>
      </c>
      <c r="AP327" t="str">
        <f>IF(IFERROR(MATCH($B327,temp!L$4:L$13,0),0)&gt;0,T08_Spells!AP$2,"")</f>
        <v/>
      </c>
      <c r="AQ327" t="str">
        <f>IF(IFERROR(MATCH($B327,temp!M$4:M$13,0),0)&gt;0,T08_Spells!AQ$2,"")</f>
        <v/>
      </c>
      <c r="AR327" t="str">
        <f>IF(IFERROR(MATCH($B327,temp!N$4:N$13,0),0)&gt;0,T08_Spells!AR$2,"")</f>
        <v/>
      </c>
      <c r="AS327" t="str">
        <f>IF(IFERROR(MATCH($B327,temp!O$4:O$13,0),0)&gt;0,T08_Spells!AS$2,"")</f>
        <v/>
      </c>
      <c r="AT327" t="str">
        <f>IF(IFERROR(MATCH($B327,temp!P$4:P$13,0),0)&gt;0,T08_Spells!AT$2,"")</f>
        <v/>
      </c>
      <c r="AU327" t="str">
        <f>IF(IFERROR(MATCH($B327,temp!Q$4:Q$13,0),0)&gt;0,T08_Spells!AU$2,"")</f>
        <v/>
      </c>
      <c r="AV327" t="str">
        <f>IF(IFERROR(MATCH($B327,temp!R$4:R$13,0),0)&gt;0,T08_Spells!AV$2,"")</f>
        <v/>
      </c>
      <c r="AW327" t="str">
        <f>IF(IFERROR(MATCH($B327,temp!S$4:S$13,0),0)&gt;0,T08_Spells!AW$2,"")</f>
        <v/>
      </c>
      <c r="AX327" t="str">
        <f>IF(IFERROR(MATCH($B327,temp!T$4:T$13,0),0)&gt;0,T08_Spells!AX$2,"")</f>
        <v/>
      </c>
      <c r="AY327" t="str">
        <f>IF(IFERROR(MATCH($B327,temp!U$4:U$13,0),0)&gt;0,T08_Spells!AY$2,"")</f>
        <v/>
      </c>
      <c r="AZ327" t="str">
        <f>IF(IFERROR(MATCH($B327,temp!V$4:V$13,0),0)&gt;0,T08_Spells!AZ$2,"")</f>
        <v/>
      </c>
      <c r="BA327" t="str">
        <f>IF(IFERROR(MATCH($B327,temp!W$4:W$13,0),0)&gt;0,T08_Spells!BA$2,"")</f>
        <v/>
      </c>
      <c r="BC327">
        <f>IF(IFERROR(SEARCH("Ranger",$T327,1),0)&gt;0,1,0)*IF(RangerMaxSpellLevel&gt;=$C327,1,0)*IF(IFERROR(MATCH(B327,Character_Creation!$X$79:$X$382,0),0)&gt;0,0,1)</f>
        <v>0</v>
      </c>
      <c r="BD327">
        <f>IF(BC327=0,0,1+COUNTIF(BD$3:BD326,"&gt;0"))</f>
        <v>0</v>
      </c>
      <c r="BE327" t="str">
        <f t="shared" si="311"/>
        <v/>
      </c>
      <c r="BF327" t="str">
        <f t="shared" si="283"/>
        <v/>
      </c>
      <c r="BH327">
        <f>IF(IFERROR(SEARCH("Sorcerer",$T327,1),0)&gt;0,1,0)*IF(SorcererMaxSpellLevel&gt;=$C327,1,0)*IF(IFERROR(MATCH(B327,Character_Creation!$J$380:$J$394,0),0)&gt;0,0,1)</f>
        <v>0</v>
      </c>
      <c r="BI327">
        <f>IF(BH327=0,0,1+COUNTIF(BI$3:BI326,"&gt;0"))</f>
        <v>0</v>
      </c>
      <c r="BJ327" t="str">
        <f t="shared" si="312"/>
        <v/>
      </c>
      <c r="BK327" t="str">
        <f t="shared" si="284"/>
        <v/>
      </c>
      <c r="BM327">
        <f>IF(OR(IFERROR(SEARCH("Warlock",$T327,1),0)&gt;0,IFERROR(SEARCH(WarlockPatron,$T327,1),0)&gt;0),1,0)*IF(WarlockMaxSpellLevel&gt;=$C327,1,0)*IF(IFERROR(MATCH(B327,Character_Creation!$J$361:$J$375,0),0)&gt;0,0,1)</f>
        <v>0</v>
      </c>
      <c r="BN327">
        <f>IF(BM327=0,0,1+COUNTIF(BN$3:BN326,"&gt;0"))</f>
        <v>0</v>
      </c>
      <c r="BO327" t="str">
        <f t="shared" si="313"/>
        <v/>
      </c>
      <c r="BP327" t="str">
        <f t="shared" si="285"/>
        <v/>
      </c>
      <c r="BR327">
        <f>IF(IFERROR(SEARCH("Eldritch Knight",$T327,1),0)&gt;0,1,0)*IF(EldritchKnightMaxSpellLevel&gt;=$C327,1,0)*IF(IFERROR(MATCH($B327,Character_Creation!$J$350:$J$356,0),0)&gt;0,0,1)*IF(Character_Creation!$M$338&gt;0,1,0)</f>
        <v>0</v>
      </c>
      <c r="BS327">
        <f>IF(BR327=0,0,1+COUNTIF(BS$3:BS326,"&gt;0"))</f>
        <v>0</v>
      </c>
      <c r="BT327" t="str">
        <f t="shared" si="314"/>
        <v/>
      </c>
      <c r="BU327" t="str">
        <f t="shared" si="286"/>
        <v/>
      </c>
      <c r="BW327">
        <f>IF(IFERROR(SEARCH("Arcane Trickster",$T327,1),0)&gt;0,1,0)*IF(ArcaneTricksterMaxSpellLevel&gt;=$C327,1,0)*IF(IFERROR(MATCH($B327,Character_Creation!$J$350:$J$356,0),0)&gt;0,0,1)*IF(Character_Creation!$T$338&gt;0,1,0)</f>
        <v>0</v>
      </c>
      <c r="BX327">
        <f>IF(BW327=0,0,1+COUNTIF(BX$3:BX326,"&gt;0"))</f>
        <v>0</v>
      </c>
      <c r="BY327" t="str">
        <f t="shared" si="315"/>
        <v/>
      </c>
      <c r="BZ327" t="str">
        <f t="shared" si="287"/>
        <v/>
      </c>
      <c r="CB327">
        <f>IF(IFERROR(SEARCH("Wizard",$T327,1),0)&gt;0,1,0)*IF(C327&lt;=ArcaneTricksterMaxSpellLevel,1,0)*IF(IFERROR(MATCH($B327,Character_Creation!$J$350:$J$356,0),0)&gt;0,0,1)*IF(Character_Creation!$T$350&gt;0,1,0)</f>
        <v>0</v>
      </c>
      <c r="CC327">
        <f>IF(CB327=0,0,1+COUNTIF(CC$3:CC326,"&gt;0"))</f>
        <v>0</v>
      </c>
      <c r="CD327" t="str">
        <f t="shared" si="316"/>
        <v/>
      </c>
      <c r="CE327" t="str">
        <f t="shared" si="288"/>
        <v/>
      </c>
      <c r="CG327">
        <f>IF(IFERROR(SEARCH("Wizard",$T327,1),0)&gt;0,1,0)*IF($C327&lt;=EldritchKnightMaxSpellLevel,1,0)*IF(IFERROR(MATCH($B327,Character_Creation!$J$350:$J$356,0),0)&gt;0,0,1)*IF(Character_Creation!$M$350&gt;0,1,0)</f>
        <v>0</v>
      </c>
      <c r="CH327">
        <f>IF(CG327=0,0,1+COUNTIF(CH$3:CH326,"&gt;0"))</f>
        <v>0</v>
      </c>
      <c r="CI327" t="str">
        <f t="shared" si="317"/>
        <v/>
      </c>
      <c r="CJ327" t="str">
        <f t="shared" si="289"/>
        <v/>
      </c>
      <c r="CL327">
        <f>IF(IFERROR(SEARCH("Bard",$T327,1),0)&gt;0,1,0)*IF(BardMaxSpellLevel&gt;=$C327,1,0)*IF(IFERROR(MATCH(B327,Character_Creation!$C$341:$F$362,0),0)&gt;0,0,1)*IF(IFERROR(MATCH($B327,Character_Creation!$C$341:$C$362,0),0)&gt;0,0,1)</f>
        <v>0</v>
      </c>
      <c r="CM327">
        <f>IF(CL327=0,0,1+COUNTIF(CM$3:CM326,"&gt;0"))</f>
        <v>0</v>
      </c>
      <c r="CN327" t="str">
        <f t="shared" si="318"/>
        <v/>
      </c>
      <c r="CO327" t="str">
        <f t="shared" si="290"/>
        <v/>
      </c>
      <c r="CQ327">
        <f>IF(IFERROR(SEARCH("Wizard",$T327,1),0)&gt;0,1,0)*IF(WizardMaxSpellLevel&gt;=$C327,1,0)*IF(IFERROR(MATCH(B327,Character_Creation!$X$341:$X$400,0),0)&gt;0,0,1)*IF(SelectedWizardSpellLevel=$C327,1,0)</f>
        <v>0</v>
      </c>
      <c r="CR327">
        <f>IF(CQ327=0,0,1+COUNTIF(CR$3:CR326,"&gt;0"))</f>
        <v>0</v>
      </c>
      <c r="CS327" t="str">
        <f t="shared" si="319"/>
        <v/>
      </c>
      <c r="CT327" t="str">
        <f t="shared" si="291"/>
        <v/>
      </c>
      <c r="CV327">
        <f>IF(IFERROR(MATCH($B327,Character_Creation!$C$341:$C$362,0),0)&gt;0,0,1)*IF(OR(C327="Cantrip",C327&lt;=BardMaxSpellLevel),1,0)*IF(IFERROR(MATCH($B327,Character_Creation!$C$367:$C$374,0),0)&gt;0,0,1)</f>
        <v>0</v>
      </c>
      <c r="CW327">
        <f>IF(CV327=0,0,1+COUNTIF(CW$3:CW326,"&gt;0"))</f>
        <v>0</v>
      </c>
      <c r="CX327" t="str">
        <f t="shared" si="320"/>
        <v/>
      </c>
      <c r="CY327" t="str">
        <f t="shared" si="292"/>
        <v/>
      </c>
      <c r="DA327">
        <f>IF(IF(OR(IFERROR(SEARCH("Cleric",$T327,1),0)&gt;0,IFERROR(SEARCH(DivineDomain&amp;",",$T327,1),0)&gt;0),1,0)*IF($C327=DA$2,1,0)=1,1+COUNTIF(DA$3:DA326,"&gt;0"),0)</f>
        <v>0</v>
      </c>
      <c r="DB327">
        <f>IF(IF(OR(IFERROR(SEARCH("Cleric",$T327,1),0)&gt;0,IFERROR(SEARCH(DivineDomain&amp;",",$T327,1),0)&gt;0),1,0)*IF($C327=DB$2,1,0)=1,1+COUNTIF(DB$3:DB326,"&gt;0"),0)</f>
        <v>0</v>
      </c>
      <c r="DC327">
        <f>IF(IF(OR(IFERROR(SEARCH("Cleric",$T327,1),0)&gt;0,IFERROR(SEARCH(DivineDomain&amp;",",$T327,1),0)&gt;0),1,0)*IF($C327=DC$2,1,0)=1,1+COUNTIF(DC$3:DC326,"&gt;0"),0)</f>
        <v>0</v>
      </c>
      <c r="DD327">
        <f>IF(IF(OR(IFERROR(SEARCH("Cleric",$T327,1),0)&gt;0,IFERROR(SEARCH(DivineDomain&amp;",",$T327,1),0)&gt;0),1,0)*IF($C327=DD$2,1,0)=1,1+COUNTIF(DD$3:DD326,"&gt;0"),0)</f>
        <v>0</v>
      </c>
      <c r="DE327">
        <f>IF(IF(OR(IFERROR(SEARCH("Cleric",$T327,1),0)&gt;0,IFERROR(SEARCH(DivineDomain&amp;",",$T327,1),0)&gt;0),1,0)*IF($C327=DE$2,1,0)=1,1+COUNTIF(DE$3:DE326,"&gt;0"),0)</f>
        <v>0</v>
      </c>
      <c r="DF327">
        <f>IF(IF(OR(IFERROR(SEARCH("Cleric",$T327,1),0)&gt;0,IFERROR(SEARCH(DivineDomain&amp;",",$T327,1),0)&gt;0),1,0)*IF($C327=DF$2,1,0)=1,1+COUNTIF(DF$3:DF326,"&gt;0"),0)</f>
        <v>0</v>
      </c>
      <c r="DG327">
        <f>IF(IF(OR(IFERROR(SEARCH("Cleric",$T327,1),0)&gt;0,IFERROR(SEARCH(DivineDomain&amp;",",$T327,1),0)&gt;0),1,0)*IF($C327=DG$2,1,0)=1,1+COUNTIF(DG$3:DG326,"&gt;0"),0)</f>
        <v>0</v>
      </c>
      <c r="DH327">
        <f>IF(IF(OR(IFERROR(SEARCH("Cleric",$T327,1),0)&gt;0,IFERROR(SEARCH(DivineDomain&amp;",",$T327,1),0)&gt;0),1,0)*IF($C327=DH$2,1,0)=1,1+COUNTIF(DH$3:DH326,"&gt;0"),0)</f>
        <v>0</v>
      </c>
      <c r="DI327">
        <f>IF(IF(OR(IFERROR(SEARCH("Cleric",$T327,1),0)&gt;0,IFERROR(SEARCH(DivineDomain&amp;",",$T327,1),0)&gt;0),1,0)*IF($C327=DI$2,1,0)=1,1+COUNTIF(DI$3:DI326,"&gt;0"),0)</f>
        <v>0</v>
      </c>
      <c r="DJ327">
        <f>IF(IF(OR(IFERROR(SEARCH("Druid",$T327,1),0)&gt;0,IFERROR(SEARCH(DruidLand1,$T327,1),0)&gt;0,IFERROR(SEARCH(DruidLand2,$T327,1),0)&gt;0,IFERROR(SEARCH(DruidLand3,$T327,1),0)&gt;0,IFERROR(SEARCH(DruidLand4,$T327,1),0)&gt;0),1,0)*IF($C327=1,1,0)*IF($C327=DJ$2,1,0)=0,0,1+COUNTIF(DJ$3:DJ326,"&gt;0"))</f>
        <v>0</v>
      </c>
      <c r="DK327">
        <f>IF(IF(OR(IFERROR(SEARCH("Druid",$T327,1),0)&gt;0,IFERROR(SEARCH(DruidLand1,$T327,1),0)&gt;0,IFERROR(SEARCH(DruidLand2,$T327,1),0)&gt;0,IFERROR(SEARCH(DruidLand3,$T327,1),0)&gt;0,IFERROR(SEARCH(DruidLand4,$T327,1),0)&gt;0),1,0)*IF($C327=1,1,0)*IF($C327=DK$2,1,0)=0,0,1+COUNTIF(DK$3:DK326,"&gt;0"))</f>
        <v>0</v>
      </c>
      <c r="DL327">
        <f>IF(IF(OR(IFERROR(SEARCH("Druid",$T327,1),0)&gt;0,IFERROR(SEARCH(DruidLand1,$T327,1),0)&gt;0,IFERROR(SEARCH(DruidLand2,$T327,1),0)&gt;0,IFERROR(SEARCH(DruidLand3,$T327,1),0)&gt;0,IFERROR(SEARCH(DruidLand4,$T327,1),0)&gt;0),1,0)*IF($C327=1,1,0)*IF($C327=DL$2,1,0)=0,0,1+COUNTIF(DL$3:DL326,"&gt;0"))</f>
        <v>0</v>
      </c>
      <c r="DM327">
        <f>IF(IF(OR(IFERROR(SEARCH("Druid",$T327,1),0)&gt;0,IFERROR(SEARCH(DruidLand1,$T327,1),0)&gt;0,IFERROR(SEARCH(DruidLand2,$T327,1),0)&gt;0,IFERROR(SEARCH(DruidLand3,$T327,1),0)&gt;0,IFERROR(SEARCH(DruidLand4,$T327,1),0)&gt;0),1,0)*IF($C327=1,1,0)*IF($C327=DM$2,1,0)=0,0,1+COUNTIF(DM$3:DM326,"&gt;0"))</f>
        <v>0</v>
      </c>
      <c r="DN327">
        <f>IF(IF(OR(IFERROR(SEARCH("Druid",$T327,1),0)&gt;0,IFERROR(SEARCH(DruidLand1,$T327,1),0)&gt;0,IFERROR(SEARCH(DruidLand2,$T327,1),0)&gt;0,IFERROR(SEARCH(DruidLand3,$T327,1),0)&gt;0,IFERROR(SEARCH(DruidLand4,$T327,1),0)&gt;0),1,0)*IF($C327=1,1,0)*IF($C327=DN$2,1,0)=0,0,1+COUNTIF(DN$3:DN326,"&gt;0"))</f>
        <v>0</v>
      </c>
      <c r="DO327">
        <f>IF(IF(OR(IFERROR(SEARCH("Druid",$T327,1),0)&gt;0,IFERROR(SEARCH(DruidLand1,$T327,1),0)&gt;0,IFERROR(SEARCH(DruidLand2,$T327,1),0)&gt;0,IFERROR(SEARCH(DruidLand3,$T327,1),0)&gt;0,IFERROR(SEARCH(DruidLand4,$T327,1),0)&gt;0),1,0)*IF($C327=1,1,0)*IF($C327=DO$2,1,0)=0,0,1+COUNTIF(DO$3:DO326,"&gt;0"))</f>
        <v>0</v>
      </c>
      <c r="DP327">
        <f>IF(IF(OR(IFERROR(SEARCH("Druid",$T327,1),0)&gt;0,IFERROR(SEARCH(DruidLand1,$T327,1),0)&gt;0,IFERROR(SEARCH(DruidLand2,$T327,1),0)&gt;0,IFERROR(SEARCH(DruidLand3,$T327,1),0)&gt;0,IFERROR(SEARCH(DruidLand4,$T327,1),0)&gt;0),1,0)*IF($C327=1,1,0)*IF($C327=DP$2,1,0)=0,0,1+COUNTIF(DP$3:DP326,"&gt;0"))</f>
        <v>0</v>
      </c>
      <c r="DQ327">
        <f>IF(IF(OR(IFERROR(SEARCH("Druid",$T327,1),0)&gt;0,IFERROR(SEARCH(DruidLand1,$T327,1),0)&gt;0,IFERROR(SEARCH(DruidLand2,$T327,1),0)&gt;0,IFERROR(SEARCH(DruidLand3,$T327,1),0)&gt;0,IFERROR(SEARCH(DruidLand4,$T327,1),0)&gt;0),1,0)*IF($C327=1,1,0)*IF($C327=DQ$2,1,0)=0,0,1+COUNTIF(DQ$3:DQ326,"&gt;0"))</f>
        <v>0</v>
      </c>
      <c r="DR327">
        <f>IF(IF(OR(IFERROR(SEARCH("Druid",$T327,1),0)&gt;0,IFERROR(SEARCH(DruidLand1,$T327,1),0)&gt;0,IFERROR(SEARCH(DruidLand2,$T327,1),0)&gt;0,IFERROR(SEARCH(DruidLand3,$T327,1),0)&gt;0,IFERROR(SEARCH(DruidLand4,$T327,1),0)&gt;0),1,0)*IF($C327=1,1,0)*IF($C327=DR$2,1,0)=0,0,1+COUNTIF(DR$3:DR326,"&gt;0"))</f>
        <v>0</v>
      </c>
      <c r="DS327">
        <f>IF(IF(OR(IFERROR(SEARCH("Paladin",$T327,1),0)&gt;0,IFERROR(SEARCH(PaladinOath,$T327,1),0)&gt;0),1,0)*IF($C327=DS$2,1,0)=1,1+COUNTIF(DS$3:DS326,"&gt;0"),0)</f>
        <v>0</v>
      </c>
      <c r="DT327">
        <f>IF(IF(OR(IFERROR(SEARCH("Paladin",$T327,1),0)&gt;0,IFERROR(SEARCH(PaladinOath,$T327,1),0)&gt;0),1,0)*IF($C327=DT$2,1,0)=1,1+COUNTIF(DT$3:DT326,"&gt;0"),0)</f>
        <v>0</v>
      </c>
      <c r="DU327">
        <f>IF(IF(OR(IFERROR(SEARCH("Paladin",$T327,1),0)&gt;0,IFERROR(SEARCH(PaladinOath,$T327,1),0)&gt;0),1,0)*IF($C327=DU$2,1,0)=1,1+COUNTIF(DU$3:DU326,"&gt;0"),0)</f>
        <v>0</v>
      </c>
      <c r="DV327">
        <f>IF(IF(OR(IFERROR(SEARCH("Paladin",$T327,1),0)&gt;0,IFERROR(SEARCH(PaladinOath,$T327,1),0)&gt;0),1,0)*IF($C327=DV$2,1,0)=1,1+COUNTIF(DV$3:DV326,"&gt;0"),0)</f>
        <v>0</v>
      </c>
      <c r="DW327">
        <f>IF(IF(OR(IFERROR(SEARCH("Paladin",$T327,1),0)&gt;0,IFERROR(SEARCH(PaladinOath,$T327,1),0)&gt;0),1,0)*IF($C327=DW$2,1,0)=1,1+COUNTIF(DW$3:DW326,"&gt;0"),0)</f>
        <v>0</v>
      </c>
      <c r="DY327">
        <f t="shared" si="278"/>
        <v>1</v>
      </c>
      <c r="DZ327">
        <f>IF(DY327=0,0,1+MAX(DZ$3:$DZ326))</f>
        <v>325</v>
      </c>
      <c r="EB327">
        <f t="shared" si="293"/>
        <v>0</v>
      </c>
      <c r="EC327">
        <f>IF(EB327=0,0,1+COUNTIF(EC$3:EC326,"&gt;0"))</f>
        <v>0</v>
      </c>
      <c r="ED327" t="str">
        <f t="shared" si="321"/>
        <v/>
      </c>
      <c r="EE327" t="str">
        <f t="shared" si="294"/>
        <v/>
      </c>
      <c r="EG327">
        <f t="shared" si="295"/>
        <v>0</v>
      </c>
      <c r="EH327">
        <f>IF(EG327=0,0,1+COUNTIF(EH$3:EH326,"&gt;0"))</f>
        <v>0</v>
      </c>
      <c r="EI327" t="str">
        <f t="shared" si="322"/>
        <v/>
      </c>
      <c r="EJ327" t="str">
        <f t="shared" si="296"/>
        <v/>
      </c>
      <c r="EL327">
        <f t="shared" si="297"/>
        <v>0</v>
      </c>
      <c r="EM327">
        <f>IF(EL327=0,0,1+COUNTIF(EM$3:EM326,"&gt;0"))</f>
        <v>0</v>
      </c>
      <c r="EN327" t="str">
        <f t="shared" si="323"/>
        <v/>
      </c>
      <c r="EO327" t="str">
        <f t="shared" si="298"/>
        <v/>
      </c>
      <c r="EQ327">
        <f t="shared" si="299"/>
        <v>0</v>
      </c>
      <c r="ER327">
        <f>IF(EQ327=0,0,1+COUNTIF(ER$3:ER326,"&gt;0"))</f>
        <v>0</v>
      </c>
      <c r="ES327" t="str">
        <f t="shared" si="324"/>
        <v/>
      </c>
      <c r="ET327" t="str">
        <f t="shared" si="300"/>
        <v/>
      </c>
      <c r="EV327">
        <f t="shared" si="301"/>
        <v>0</v>
      </c>
      <c r="EW327">
        <f>IF(EV327=0,0,1+COUNTIF(EW$3:EW326,"&gt;0"))</f>
        <v>0</v>
      </c>
      <c r="EX327" t="str">
        <f t="shared" si="325"/>
        <v/>
      </c>
      <c r="EY327" t="str">
        <f t="shared" si="302"/>
        <v/>
      </c>
      <c r="FA327">
        <f t="shared" si="303"/>
        <v>0</v>
      </c>
      <c r="FB327">
        <f>IF(FA327=0,0,1+COUNTIF(FB$3:FB326,"&gt;0"))</f>
        <v>0</v>
      </c>
      <c r="FC327" t="str">
        <f t="shared" si="326"/>
        <v/>
      </c>
      <c r="FD327" t="str">
        <f t="shared" si="304"/>
        <v/>
      </c>
      <c r="FF327">
        <f t="shared" si="305"/>
        <v>0</v>
      </c>
      <c r="FG327">
        <f>IF(FF327=0,0,1+COUNTIF(FG$3:FG326,"&gt;0"))</f>
        <v>0</v>
      </c>
      <c r="FH327" t="str">
        <f t="shared" si="327"/>
        <v/>
      </c>
      <c r="FI327" t="str">
        <f t="shared" si="306"/>
        <v/>
      </c>
      <c r="FK327">
        <f t="shared" si="307"/>
        <v>0</v>
      </c>
      <c r="FL327">
        <f>IF(FK327=0,0,1+COUNTIF(FL$3:FL326,"&gt;0"))</f>
        <v>0</v>
      </c>
      <c r="FM327" t="str">
        <f t="shared" si="328"/>
        <v/>
      </c>
      <c r="FN327" t="str">
        <f t="shared" si="308"/>
        <v/>
      </c>
      <c r="FP327">
        <f t="shared" si="309"/>
        <v>0</v>
      </c>
      <c r="FQ327">
        <f>IF(FP327=0,0,1+COUNTIF(FQ$3:FQ326,"&gt;0"))</f>
        <v>0</v>
      </c>
      <c r="FR327" t="str">
        <f t="shared" si="329"/>
        <v/>
      </c>
      <c r="FS327" t="str">
        <f t="shared" si="310"/>
        <v/>
      </c>
    </row>
    <row r="328" spans="1:175" x14ac:dyDescent="0.25">
      <c r="A328" s="347">
        <f t="shared" si="276"/>
        <v>326</v>
      </c>
      <c r="B328" s="348" t="s">
        <v>2725</v>
      </c>
      <c r="C328" s="348">
        <v>7</v>
      </c>
      <c r="D328" s="347">
        <v>7</v>
      </c>
      <c r="E328" s="627" t="s">
        <v>6952</v>
      </c>
      <c r="F328" s="346"/>
      <c r="G328" s="347" t="str">
        <f>""</f>
        <v/>
      </c>
      <c r="H328" s="347" t="s">
        <v>5912</v>
      </c>
      <c r="I328" s="347" t="s">
        <v>5052</v>
      </c>
      <c r="J328" s="347" t="str">
        <f t="shared" si="279"/>
        <v/>
      </c>
      <c r="K328" s="347" t="s">
        <v>5278</v>
      </c>
      <c r="L328" s="611" t="str">
        <f t="shared" si="280"/>
        <v>V</v>
      </c>
      <c r="M328" s="347" t="s">
        <v>2373</v>
      </c>
      <c r="N328" s="347" t="s">
        <v>3034</v>
      </c>
      <c r="O328" s="347" t="s">
        <v>3034</v>
      </c>
      <c r="P328" s="346" t="str">
        <f>""</f>
        <v/>
      </c>
      <c r="Q328" s="347" t="s">
        <v>5271</v>
      </c>
      <c r="S328" s="346" t="s">
        <v>5841</v>
      </c>
      <c r="T328" s="346" t="str">
        <f t="shared" si="281"/>
        <v xml:space="preserve">Bard, Sorcerer, Wizard, </v>
      </c>
      <c r="U328" s="347" t="str">
        <f>$B328</f>
        <v>Teleport</v>
      </c>
      <c r="X328" s="347" t="str">
        <f>$B328</f>
        <v>Teleport</v>
      </c>
      <c r="AD328" s="347" t="str">
        <f t="shared" si="282"/>
        <v>Teleport</v>
      </c>
      <c r="AE328" t="str">
        <f>IF(IFERROR(MATCH($B328,temp!A$4:A$13,0),0)&gt;0,T08_Spells!AE$2,"")</f>
        <v/>
      </c>
      <c r="AF328" t="str">
        <f>IF(IFERROR(MATCH($B328,temp!B$4:B$13,0),0)&gt;0,T08_Spells!AF$2,"")</f>
        <v/>
      </c>
      <c r="AG328" t="str">
        <f>IF(IFERROR(MATCH($B328,temp!C$4:C$13,0),0)&gt;0,T08_Spells!AG$2,"")</f>
        <v/>
      </c>
      <c r="AH328" t="str">
        <f>IF(IFERROR(MATCH($B328,temp!D$4:D$13,0),0)&gt;0,T08_Spells!AH$2,"")</f>
        <v/>
      </c>
      <c r="AI328" t="str">
        <f>IF(IFERROR(MATCH($B328,temp!E$4:E$13,0),0)&gt;0,T08_Spells!AI$2,"")</f>
        <v/>
      </c>
      <c r="AJ328" t="str">
        <f>IF(IFERROR(MATCH($B328,temp!F$4:F$13,0),0)&gt;0,T08_Spells!AJ$2,"")</f>
        <v/>
      </c>
      <c r="AK328" t="str">
        <f>IF(IFERROR(MATCH($B328,temp!G$4:G$13,0),0)&gt;0,T08_Spells!AK$2,"")</f>
        <v/>
      </c>
      <c r="AL328" t="str">
        <f>IF(IFERROR(MATCH($B328,temp!H$4:H$13,0),0)&gt;0,T08_Spells!AL$2,"")</f>
        <v/>
      </c>
      <c r="AM328" t="str">
        <f>IF(IFERROR(MATCH($B328,temp!I$4:I$13,0),0)&gt;0,T08_Spells!AM$2,"")</f>
        <v/>
      </c>
      <c r="AN328" t="str">
        <f>IF(IFERROR(MATCH($B328,temp!J$4:J$13,0),0)&gt;0,T08_Spells!AN$2,"")</f>
        <v/>
      </c>
      <c r="AO328" t="str">
        <f>IF(IFERROR(MATCH($B328,temp!K$4:K$13,0),0)&gt;0,T08_Spells!AO$2,"")</f>
        <v/>
      </c>
      <c r="AP328" t="str">
        <f>IF(IFERROR(MATCH($B328,temp!L$4:L$13,0),0)&gt;0,T08_Spells!AP$2,"")</f>
        <v/>
      </c>
      <c r="AQ328" t="str">
        <f>IF(IFERROR(MATCH($B328,temp!M$4:M$13,0),0)&gt;0,T08_Spells!AQ$2,"")</f>
        <v/>
      </c>
      <c r="AR328" t="str">
        <f>IF(IFERROR(MATCH($B328,temp!N$4:N$13,0),0)&gt;0,T08_Spells!AR$2,"")</f>
        <v/>
      </c>
      <c r="AS328" t="str">
        <f>IF(IFERROR(MATCH($B328,temp!O$4:O$13,0),0)&gt;0,T08_Spells!AS$2,"")</f>
        <v/>
      </c>
      <c r="AT328" t="str">
        <f>IF(IFERROR(MATCH($B328,temp!P$4:P$13,0),0)&gt;0,T08_Spells!AT$2,"")</f>
        <v/>
      </c>
      <c r="AU328" t="str">
        <f>IF(IFERROR(MATCH($B328,temp!Q$4:Q$13,0),0)&gt;0,T08_Spells!AU$2,"")</f>
        <v/>
      </c>
      <c r="AV328" t="str">
        <f>IF(IFERROR(MATCH($B328,temp!R$4:R$13,0),0)&gt;0,T08_Spells!AV$2,"")</f>
        <v/>
      </c>
      <c r="AW328" t="str">
        <f>IF(IFERROR(MATCH($B328,temp!S$4:S$13,0),0)&gt;0,T08_Spells!AW$2,"")</f>
        <v/>
      </c>
      <c r="AX328" t="str">
        <f>IF(IFERROR(MATCH($B328,temp!T$4:T$13,0),0)&gt;0,T08_Spells!AX$2,"")</f>
        <v/>
      </c>
      <c r="AY328" t="str">
        <f>IF(IFERROR(MATCH($B328,temp!U$4:U$13,0),0)&gt;0,T08_Spells!AY$2,"")</f>
        <v/>
      </c>
      <c r="AZ328" t="str">
        <f>IF(IFERROR(MATCH($B328,temp!V$4:V$13,0),0)&gt;0,T08_Spells!AZ$2,"")</f>
        <v/>
      </c>
      <c r="BA328" t="str">
        <f>IF(IFERROR(MATCH($B328,temp!W$4:W$13,0),0)&gt;0,T08_Spells!BA$2,"")</f>
        <v/>
      </c>
      <c r="BC328">
        <f>IF(IFERROR(SEARCH("Ranger",$T328,1),0)&gt;0,1,0)*IF(RangerMaxSpellLevel&gt;=$C328,1,0)*IF(IFERROR(MATCH(B328,Character_Creation!$X$79:$X$382,0),0)&gt;0,0,1)</f>
        <v>0</v>
      </c>
      <c r="BD328">
        <f>IF(BC328=0,0,1+COUNTIF(BD$3:BD327,"&gt;0"))</f>
        <v>0</v>
      </c>
      <c r="BE328" t="str">
        <f t="shared" si="311"/>
        <v/>
      </c>
      <c r="BF328" t="str">
        <f t="shared" si="283"/>
        <v/>
      </c>
      <c r="BH328">
        <f>IF(IFERROR(SEARCH("Sorcerer",$T328,1),0)&gt;0,1,0)*IF(SorcererMaxSpellLevel&gt;=$C328,1,0)*IF(IFERROR(MATCH(B328,Character_Creation!$J$380:$J$394,0),0)&gt;0,0,1)</f>
        <v>0</v>
      </c>
      <c r="BI328">
        <f>IF(BH328=0,0,1+COUNTIF(BI$3:BI327,"&gt;0"))</f>
        <v>0</v>
      </c>
      <c r="BJ328" t="str">
        <f t="shared" si="312"/>
        <v/>
      </c>
      <c r="BK328" t="str">
        <f t="shared" si="284"/>
        <v/>
      </c>
      <c r="BM328">
        <f>IF(OR(IFERROR(SEARCH("Warlock",$T328,1),0)&gt;0,IFERROR(SEARCH(WarlockPatron,$T328,1),0)&gt;0),1,0)*IF(WarlockMaxSpellLevel&gt;=$C328,1,0)*IF(IFERROR(MATCH(B328,Character_Creation!$J$361:$J$375,0),0)&gt;0,0,1)</f>
        <v>0</v>
      </c>
      <c r="BN328">
        <f>IF(BM328=0,0,1+COUNTIF(BN$3:BN327,"&gt;0"))</f>
        <v>0</v>
      </c>
      <c r="BO328" t="str">
        <f t="shared" si="313"/>
        <v/>
      </c>
      <c r="BP328" t="str">
        <f t="shared" si="285"/>
        <v/>
      </c>
      <c r="BR328">
        <f>IF(IFERROR(SEARCH("Eldritch Knight",$T328,1),0)&gt;0,1,0)*IF(EldritchKnightMaxSpellLevel&gt;=$C328,1,0)*IF(IFERROR(MATCH($B328,Character_Creation!$J$350:$J$356,0),0)&gt;0,0,1)*IF(Character_Creation!$M$338&gt;0,1,0)</f>
        <v>0</v>
      </c>
      <c r="BS328">
        <f>IF(BR328=0,0,1+COUNTIF(BS$3:BS327,"&gt;0"))</f>
        <v>0</v>
      </c>
      <c r="BT328" t="str">
        <f t="shared" si="314"/>
        <v/>
      </c>
      <c r="BU328" t="str">
        <f t="shared" si="286"/>
        <v/>
      </c>
      <c r="BW328">
        <f>IF(IFERROR(SEARCH("Arcane Trickster",$T328,1),0)&gt;0,1,0)*IF(ArcaneTricksterMaxSpellLevel&gt;=$C328,1,0)*IF(IFERROR(MATCH($B328,Character_Creation!$J$350:$J$356,0),0)&gt;0,0,1)*IF(Character_Creation!$T$338&gt;0,1,0)</f>
        <v>0</v>
      </c>
      <c r="BX328">
        <f>IF(BW328=0,0,1+COUNTIF(BX$3:BX327,"&gt;0"))</f>
        <v>0</v>
      </c>
      <c r="BY328" t="str">
        <f t="shared" si="315"/>
        <v/>
      </c>
      <c r="BZ328" t="str">
        <f t="shared" si="287"/>
        <v/>
      </c>
      <c r="CB328">
        <f>IF(IFERROR(SEARCH("Wizard",$T328,1),0)&gt;0,1,0)*IF(C328&lt;=ArcaneTricksterMaxSpellLevel,1,0)*IF(IFERROR(MATCH($B328,Character_Creation!$J$350:$J$356,0),0)&gt;0,0,1)*IF(Character_Creation!$T$350&gt;0,1,0)</f>
        <v>0</v>
      </c>
      <c r="CC328">
        <f>IF(CB328=0,0,1+COUNTIF(CC$3:CC327,"&gt;0"))</f>
        <v>0</v>
      </c>
      <c r="CD328" t="str">
        <f t="shared" si="316"/>
        <v/>
      </c>
      <c r="CE328" t="str">
        <f t="shared" si="288"/>
        <v/>
      </c>
      <c r="CG328">
        <f>IF(IFERROR(SEARCH("Wizard",$T328,1),0)&gt;0,1,0)*IF($C328&lt;=EldritchKnightMaxSpellLevel,1,0)*IF(IFERROR(MATCH($B328,Character_Creation!$J$350:$J$356,0),0)&gt;0,0,1)*IF(Character_Creation!$M$350&gt;0,1,0)</f>
        <v>0</v>
      </c>
      <c r="CH328">
        <f>IF(CG328=0,0,1+COUNTIF(CH$3:CH327,"&gt;0"))</f>
        <v>0</v>
      </c>
      <c r="CI328" t="str">
        <f t="shared" si="317"/>
        <v/>
      </c>
      <c r="CJ328" t="str">
        <f t="shared" si="289"/>
        <v/>
      </c>
      <c r="CL328">
        <f>IF(IFERROR(SEARCH("Bard",$T328,1),0)&gt;0,1,0)*IF(BardMaxSpellLevel&gt;=$C328,1,0)*IF(IFERROR(MATCH(B328,Character_Creation!$C$341:$F$362,0),0)&gt;0,0,1)*IF(IFERROR(MATCH($B328,Character_Creation!$C$341:$C$362,0),0)&gt;0,0,1)</f>
        <v>0</v>
      </c>
      <c r="CM328">
        <f>IF(CL328=0,0,1+COUNTIF(CM$3:CM327,"&gt;0"))</f>
        <v>0</v>
      </c>
      <c r="CN328" t="str">
        <f t="shared" si="318"/>
        <v/>
      </c>
      <c r="CO328" t="str">
        <f t="shared" si="290"/>
        <v/>
      </c>
      <c r="CQ328">
        <f>IF(IFERROR(SEARCH("Wizard",$T328,1),0)&gt;0,1,0)*IF(WizardMaxSpellLevel&gt;=$C328,1,0)*IF(IFERROR(MATCH(B328,Character_Creation!$X$341:$X$400,0),0)&gt;0,0,1)*IF(SelectedWizardSpellLevel=$C328,1,0)</f>
        <v>0</v>
      </c>
      <c r="CR328">
        <f>IF(CQ328=0,0,1+COUNTIF(CR$3:CR327,"&gt;0"))</f>
        <v>0</v>
      </c>
      <c r="CS328" t="str">
        <f t="shared" si="319"/>
        <v/>
      </c>
      <c r="CT328" t="str">
        <f t="shared" si="291"/>
        <v/>
      </c>
      <c r="CV328">
        <f>IF(IFERROR(MATCH($B328,Character_Creation!$C$341:$C$362,0),0)&gt;0,0,1)*IF(OR(C328="Cantrip",C328&lt;=BardMaxSpellLevel),1,0)*IF(IFERROR(MATCH($B328,Character_Creation!$C$367:$C$374,0),0)&gt;0,0,1)</f>
        <v>0</v>
      </c>
      <c r="CW328">
        <f>IF(CV328=0,0,1+COUNTIF(CW$3:CW327,"&gt;0"))</f>
        <v>0</v>
      </c>
      <c r="CX328" t="str">
        <f t="shared" si="320"/>
        <v/>
      </c>
      <c r="CY328" t="str">
        <f t="shared" si="292"/>
        <v/>
      </c>
      <c r="DA328">
        <f>IF(IF(OR(IFERROR(SEARCH("Cleric",$T328,1),0)&gt;0,IFERROR(SEARCH(DivineDomain&amp;",",$T328,1),0)&gt;0),1,0)*IF($C328=DA$2,1,0)=1,1+COUNTIF(DA$3:DA327,"&gt;0"),0)</f>
        <v>0</v>
      </c>
      <c r="DB328">
        <f>IF(IF(OR(IFERROR(SEARCH("Cleric",$T328,1),0)&gt;0,IFERROR(SEARCH(DivineDomain&amp;",",$T328,1),0)&gt;0),1,0)*IF($C328=DB$2,1,0)=1,1+COUNTIF(DB$3:DB327,"&gt;0"),0)</f>
        <v>0</v>
      </c>
      <c r="DC328">
        <f>IF(IF(OR(IFERROR(SEARCH("Cleric",$T328,1),0)&gt;0,IFERROR(SEARCH(DivineDomain&amp;",",$T328,1),0)&gt;0),1,0)*IF($C328=DC$2,1,0)=1,1+COUNTIF(DC$3:DC327,"&gt;0"),0)</f>
        <v>0</v>
      </c>
      <c r="DD328">
        <f>IF(IF(OR(IFERROR(SEARCH("Cleric",$T328,1),0)&gt;0,IFERROR(SEARCH(DivineDomain&amp;",",$T328,1),0)&gt;0),1,0)*IF($C328=DD$2,1,0)=1,1+COUNTIF(DD$3:DD327,"&gt;0"),0)</f>
        <v>0</v>
      </c>
      <c r="DE328">
        <f>IF(IF(OR(IFERROR(SEARCH("Cleric",$T328,1),0)&gt;0,IFERROR(SEARCH(DivineDomain&amp;",",$T328,1),0)&gt;0),1,0)*IF($C328=DE$2,1,0)=1,1+COUNTIF(DE$3:DE327,"&gt;0"),0)</f>
        <v>0</v>
      </c>
      <c r="DF328">
        <f>IF(IF(OR(IFERROR(SEARCH("Cleric",$T328,1),0)&gt;0,IFERROR(SEARCH(DivineDomain&amp;",",$T328,1),0)&gt;0),1,0)*IF($C328=DF$2,1,0)=1,1+COUNTIF(DF$3:DF327,"&gt;0"),0)</f>
        <v>0</v>
      </c>
      <c r="DG328">
        <f>IF(IF(OR(IFERROR(SEARCH("Cleric",$T328,1),0)&gt;0,IFERROR(SEARCH(DivineDomain&amp;",",$T328,1),0)&gt;0),1,0)*IF($C328=DG$2,1,0)=1,1+COUNTIF(DG$3:DG327,"&gt;0"),0)</f>
        <v>0</v>
      </c>
      <c r="DH328">
        <f>IF(IF(OR(IFERROR(SEARCH("Cleric",$T328,1),0)&gt;0,IFERROR(SEARCH(DivineDomain&amp;",",$T328,1),0)&gt;0),1,0)*IF($C328=DH$2,1,0)=1,1+COUNTIF(DH$3:DH327,"&gt;0"),0)</f>
        <v>0</v>
      </c>
      <c r="DI328">
        <f>IF(IF(OR(IFERROR(SEARCH("Cleric",$T328,1),0)&gt;0,IFERROR(SEARCH(DivineDomain&amp;",",$T328,1),0)&gt;0),1,0)*IF($C328=DI$2,1,0)=1,1+COUNTIF(DI$3:DI327,"&gt;0"),0)</f>
        <v>0</v>
      </c>
      <c r="DJ328">
        <f>IF(IF(OR(IFERROR(SEARCH("Druid",$T328,1),0)&gt;0,IFERROR(SEARCH(DruidLand1,$T328,1),0)&gt;0,IFERROR(SEARCH(DruidLand2,$T328,1),0)&gt;0,IFERROR(SEARCH(DruidLand3,$T328,1),0)&gt;0,IFERROR(SEARCH(DruidLand4,$T328,1),0)&gt;0),1,0)*IF($C328=1,1,0)*IF($C328=DJ$2,1,0)=0,0,1+COUNTIF(DJ$3:DJ327,"&gt;0"))</f>
        <v>0</v>
      </c>
      <c r="DK328">
        <f>IF(IF(OR(IFERROR(SEARCH("Druid",$T328,1),0)&gt;0,IFERROR(SEARCH(DruidLand1,$T328,1),0)&gt;0,IFERROR(SEARCH(DruidLand2,$T328,1),0)&gt;0,IFERROR(SEARCH(DruidLand3,$T328,1),0)&gt;0,IFERROR(SEARCH(DruidLand4,$T328,1),0)&gt;0),1,0)*IF($C328=1,1,0)*IF($C328=DK$2,1,0)=0,0,1+COUNTIF(DK$3:DK327,"&gt;0"))</f>
        <v>0</v>
      </c>
      <c r="DL328">
        <f>IF(IF(OR(IFERROR(SEARCH("Druid",$T328,1),0)&gt;0,IFERROR(SEARCH(DruidLand1,$T328,1),0)&gt;0,IFERROR(SEARCH(DruidLand2,$T328,1),0)&gt;0,IFERROR(SEARCH(DruidLand3,$T328,1),0)&gt;0,IFERROR(SEARCH(DruidLand4,$T328,1),0)&gt;0),1,0)*IF($C328=1,1,0)*IF($C328=DL$2,1,0)=0,0,1+COUNTIF(DL$3:DL327,"&gt;0"))</f>
        <v>0</v>
      </c>
      <c r="DM328">
        <f>IF(IF(OR(IFERROR(SEARCH("Druid",$T328,1),0)&gt;0,IFERROR(SEARCH(DruidLand1,$T328,1),0)&gt;0,IFERROR(SEARCH(DruidLand2,$T328,1),0)&gt;0,IFERROR(SEARCH(DruidLand3,$T328,1),0)&gt;0,IFERROR(SEARCH(DruidLand4,$T328,1),0)&gt;0),1,0)*IF($C328=1,1,0)*IF($C328=DM$2,1,0)=0,0,1+COUNTIF(DM$3:DM327,"&gt;0"))</f>
        <v>0</v>
      </c>
      <c r="DN328">
        <f>IF(IF(OR(IFERROR(SEARCH("Druid",$T328,1),0)&gt;0,IFERROR(SEARCH(DruidLand1,$T328,1),0)&gt;0,IFERROR(SEARCH(DruidLand2,$T328,1),0)&gt;0,IFERROR(SEARCH(DruidLand3,$T328,1),0)&gt;0,IFERROR(SEARCH(DruidLand4,$T328,1),0)&gt;0),1,0)*IF($C328=1,1,0)*IF($C328=DN$2,1,0)=0,0,1+COUNTIF(DN$3:DN327,"&gt;0"))</f>
        <v>0</v>
      </c>
      <c r="DO328">
        <f>IF(IF(OR(IFERROR(SEARCH("Druid",$T328,1),0)&gt;0,IFERROR(SEARCH(DruidLand1,$T328,1),0)&gt;0,IFERROR(SEARCH(DruidLand2,$T328,1),0)&gt;0,IFERROR(SEARCH(DruidLand3,$T328,1),0)&gt;0,IFERROR(SEARCH(DruidLand4,$T328,1),0)&gt;0),1,0)*IF($C328=1,1,0)*IF($C328=DO$2,1,0)=0,0,1+COUNTIF(DO$3:DO327,"&gt;0"))</f>
        <v>0</v>
      </c>
      <c r="DP328">
        <f>IF(IF(OR(IFERROR(SEARCH("Druid",$T328,1),0)&gt;0,IFERROR(SEARCH(DruidLand1,$T328,1),0)&gt;0,IFERROR(SEARCH(DruidLand2,$T328,1),0)&gt;0,IFERROR(SEARCH(DruidLand3,$T328,1),0)&gt;0,IFERROR(SEARCH(DruidLand4,$T328,1),0)&gt;0),1,0)*IF($C328=1,1,0)*IF($C328=DP$2,1,0)=0,0,1+COUNTIF(DP$3:DP327,"&gt;0"))</f>
        <v>0</v>
      </c>
      <c r="DQ328">
        <f>IF(IF(OR(IFERROR(SEARCH("Druid",$T328,1),0)&gt;0,IFERROR(SEARCH(DruidLand1,$T328,1),0)&gt;0,IFERROR(SEARCH(DruidLand2,$T328,1),0)&gt;0,IFERROR(SEARCH(DruidLand3,$T328,1),0)&gt;0,IFERROR(SEARCH(DruidLand4,$T328,1),0)&gt;0),1,0)*IF($C328=1,1,0)*IF($C328=DQ$2,1,0)=0,0,1+COUNTIF(DQ$3:DQ327,"&gt;0"))</f>
        <v>0</v>
      </c>
      <c r="DR328">
        <f>IF(IF(OR(IFERROR(SEARCH("Druid",$T328,1),0)&gt;0,IFERROR(SEARCH(DruidLand1,$T328,1),0)&gt;0,IFERROR(SEARCH(DruidLand2,$T328,1),0)&gt;0,IFERROR(SEARCH(DruidLand3,$T328,1),0)&gt;0,IFERROR(SEARCH(DruidLand4,$T328,1),0)&gt;0),1,0)*IF($C328=1,1,0)*IF($C328=DR$2,1,0)=0,0,1+COUNTIF(DR$3:DR327,"&gt;0"))</f>
        <v>0</v>
      </c>
      <c r="DS328">
        <f>IF(IF(OR(IFERROR(SEARCH("Paladin",$T328,1),0)&gt;0,IFERROR(SEARCH(PaladinOath,$T328,1),0)&gt;0),1,0)*IF($C328=DS$2,1,0)=1,1+COUNTIF(DS$3:DS327,"&gt;0"),0)</f>
        <v>0</v>
      </c>
      <c r="DT328">
        <f>IF(IF(OR(IFERROR(SEARCH("Paladin",$T328,1),0)&gt;0,IFERROR(SEARCH(PaladinOath,$T328,1),0)&gt;0),1,0)*IF($C328=DT$2,1,0)=1,1+COUNTIF(DT$3:DT327,"&gt;0"),0)</f>
        <v>0</v>
      </c>
      <c r="DU328">
        <f>IF(IF(OR(IFERROR(SEARCH("Paladin",$T328,1),0)&gt;0,IFERROR(SEARCH(PaladinOath,$T328,1),0)&gt;0),1,0)*IF($C328=DU$2,1,0)=1,1+COUNTIF(DU$3:DU327,"&gt;0"),0)</f>
        <v>0</v>
      </c>
      <c r="DV328">
        <f>IF(IF(OR(IFERROR(SEARCH("Paladin",$T328,1),0)&gt;0,IFERROR(SEARCH(PaladinOath,$T328,1),0)&gt;0),1,0)*IF($C328=DV$2,1,0)=1,1+COUNTIF(DV$3:DV327,"&gt;0"),0)</f>
        <v>0</v>
      </c>
      <c r="DW328">
        <f>IF(IF(OR(IFERROR(SEARCH("Paladin",$T328,1),0)&gt;0,IFERROR(SEARCH(PaladinOath,$T328,1),0)&gt;0),1,0)*IF($C328=DW$2,1,0)=1,1+COUNTIF(DW$3:DW327,"&gt;0"),0)</f>
        <v>0</v>
      </c>
      <c r="DY328">
        <f t="shared" si="278"/>
        <v>1</v>
      </c>
      <c r="DZ328">
        <f>IF(DY328=0,0,1+MAX(DZ$3:$DZ327))</f>
        <v>326</v>
      </c>
      <c r="EB328">
        <f t="shared" si="293"/>
        <v>0</v>
      </c>
      <c r="EC328">
        <f>IF(EB328=0,0,1+COUNTIF(EC$3:EC327,"&gt;0"))</f>
        <v>0</v>
      </c>
      <c r="ED328" t="str">
        <f t="shared" si="321"/>
        <v/>
      </c>
      <c r="EE328" t="str">
        <f t="shared" si="294"/>
        <v/>
      </c>
      <c r="EG328">
        <f t="shared" si="295"/>
        <v>0</v>
      </c>
      <c r="EH328">
        <f>IF(EG328=0,0,1+COUNTIF(EH$3:EH327,"&gt;0"))</f>
        <v>0</v>
      </c>
      <c r="EI328" t="str">
        <f t="shared" si="322"/>
        <v/>
      </c>
      <c r="EJ328" t="str">
        <f t="shared" si="296"/>
        <v/>
      </c>
      <c r="EL328">
        <f t="shared" si="297"/>
        <v>0</v>
      </c>
      <c r="EM328">
        <f>IF(EL328=0,0,1+COUNTIF(EM$3:EM327,"&gt;0"))</f>
        <v>0</v>
      </c>
      <c r="EN328" t="str">
        <f t="shared" si="323"/>
        <v/>
      </c>
      <c r="EO328" t="str">
        <f t="shared" si="298"/>
        <v/>
      </c>
      <c r="EQ328">
        <f t="shared" si="299"/>
        <v>0</v>
      </c>
      <c r="ER328">
        <f>IF(EQ328=0,0,1+COUNTIF(ER$3:ER327,"&gt;0"))</f>
        <v>0</v>
      </c>
      <c r="ES328" t="str">
        <f t="shared" si="324"/>
        <v/>
      </c>
      <c r="ET328" t="str">
        <f t="shared" si="300"/>
        <v/>
      </c>
      <c r="EV328">
        <f t="shared" si="301"/>
        <v>0</v>
      </c>
      <c r="EW328">
        <f>IF(EV328=0,0,1+COUNTIF(EW$3:EW327,"&gt;0"))</f>
        <v>0</v>
      </c>
      <c r="EX328" t="str">
        <f t="shared" si="325"/>
        <v/>
      </c>
      <c r="EY328" t="str">
        <f t="shared" si="302"/>
        <v/>
      </c>
      <c r="FA328">
        <f t="shared" si="303"/>
        <v>0</v>
      </c>
      <c r="FB328">
        <f>IF(FA328=0,0,1+COUNTIF(FB$3:FB327,"&gt;0"))</f>
        <v>0</v>
      </c>
      <c r="FC328" t="str">
        <f t="shared" si="326"/>
        <v/>
      </c>
      <c r="FD328" t="str">
        <f t="shared" si="304"/>
        <v/>
      </c>
      <c r="FF328">
        <f t="shared" si="305"/>
        <v>0</v>
      </c>
      <c r="FG328">
        <f>IF(FF328=0,0,1+COUNTIF(FG$3:FG327,"&gt;0"))</f>
        <v>0</v>
      </c>
      <c r="FH328" t="str">
        <f t="shared" si="327"/>
        <v/>
      </c>
      <c r="FI328" t="str">
        <f t="shared" si="306"/>
        <v/>
      </c>
      <c r="FK328">
        <f t="shared" si="307"/>
        <v>0</v>
      </c>
      <c r="FL328">
        <f>IF(FK328=0,0,1+COUNTIF(FL$3:FL327,"&gt;0"))</f>
        <v>0</v>
      </c>
      <c r="FM328" t="str">
        <f t="shared" si="328"/>
        <v/>
      </c>
      <c r="FN328" t="str">
        <f t="shared" si="308"/>
        <v/>
      </c>
      <c r="FP328">
        <f t="shared" si="309"/>
        <v>0</v>
      </c>
      <c r="FQ328">
        <f>IF(FP328=0,0,1+COUNTIF(FQ$3:FQ327,"&gt;0"))</f>
        <v>0</v>
      </c>
      <c r="FR328" t="str">
        <f t="shared" si="329"/>
        <v/>
      </c>
      <c r="FS328" t="str">
        <f t="shared" si="310"/>
        <v/>
      </c>
    </row>
    <row r="329" spans="1:175" x14ac:dyDescent="0.25">
      <c r="A329" s="347">
        <f t="shared" si="276"/>
        <v>327</v>
      </c>
      <c r="B329" s="348" t="s">
        <v>2726</v>
      </c>
      <c r="C329" s="348">
        <v>5</v>
      </c>
      <c r="D329" s="347">
        <v>5</v>
      </c>
      <c r="E329" s="627" t="s">
        <v>6952</v>
      </c>
      <c r="F329" s="346"/>
      <c r="G329" s="347" t="str">
        <f>""</f>
        <v/>
      </c>
      <c r="H329" s="347" t="s">
        <v>5288</v>
      </c>
      <c r="I329" s="347" t="s">
        <v>5052</v>
      </c>
      <c r="J329" s="347" t="str">
        <f t="shared" si="279"/>
        <v/>
      </c>
      <c r="K329" s="347" t="s">
        <v>5313</v>
      </c>
      <c r="L329" s="611" t="str">
        <f t="shared" si="280"/>
        <v>V, M, rare chalks and inks infused with precious gems worth 50 gp, which the spell consumes</v>
      </c>
      <c r="M329" s="347" t="s">
        <v>2373</v>
      </c>
      <c r="N329" s="347" t="s">
        <v>3034</v>
      </c>
      <c r="O329" s="347" t="s">
        <v>1244</v>
      </c>
      <c r="P329" s="346" t="s">
        <v>5496</v>
      </c>
      <c r="Q329" s="347" t="s">
        <v>5271</v>
      </c>
      <c r="S329" s="346" t="s">
        <v>5842</v>
      </c>
      <c r="T329" s="346" t="str">
        <f t="shared" si="281"/>
        <v xml:space="preserve">Bard, Sorcerer, Wizard, </v>
      </c>
      <c r="U329" s="347" t="str">
        <f>$B329</f>
        <v>Teleportation Circle</v>
      </c>
      <c r="X329" s="347" t="str">
        <f>$B329</f>
        <v>Teleportation Circle</v>
      </c>
      <c r="AD329" s="347" t="str">
        <f t="shared" si="282"/>
        <v>Teleportation Circle</v>
      </c>
      <c r="AE329" t="str">
        <f>IF(IFERROR(MATCH($B329,temp!A$4:A$13,0),0)&gt;0,T08_Spells!AE$2,"")</f>
        <v/>
      </c>
      <c r="AF329" t="str">
        <f>IF(IFERROR(MATCH($B329,temp!B$4:B$13,0),0)&gt;0,T08_Spells!AF$2,"")</f>
        <v/>
      </c>
      <c r="AG329" t="str">
        <f>IF(IFERROR(MATCH($B329,temp!C$4:C$13,0),0)&gt;0,T08_Spells!AG$2,"")</f>
        <v/>
      </c>
      <c r="AH329" t="str">
        <f>IF(IFERROR(MATCH($B329,temp!D$4:D$13,0),0)&gt;0,T08_Spells!AH$2,"")</f>
        <v/>
      </c>
      <c r="AI329" t="str">
        <f>IF(IFERROR(MATCH($B329,temp!E$4:E$13,0),0)&gt;0,T08_Spells!AI$2,"")</f>
        <v/>
      </c>
      <c r="AJ329" t="str">
        <f>IF(IFERROR(MATCH($B329,temp!F$4:F$13,0),0)&gt;0,T08_Spells!AJ$2,"")</f>
        <v/>
      </c>
      <c r="AK329" t="str">
        <f>IF(IFERROR(MATCH($B329,temp!G$4:G$13,0),0)&gt;0,T08_Spells!AK$2,"")</f>
        <v/>
      </c>
      <c r="AL329" t="str">
        <f>IF(IFERROR(MATCH($B329,temp!H$4:H$13,0),0)&gt;0,T08_Spells!AL$2,"")</f>
        <v/>
      </c>
      <c r="AM329" t="str">
        <f>IF(IFERROR(MATCH($B329,temp!I$4:I$13,0),0)&gt;0,T08_Spells!AM$2,"")</f>
        <v/>
      </c>
      <c r="AN329" t="str">
        <f>IF(IFERROR(MATCH($B329,temp!J$4:J$13,0),0)&gt;0,T08_Spells!AN$2,"")</f>
        <v/>
      </c>
      <c r="AO329" t="str">
        <f>IF(IFERROR(MATCH($B329,temp!K$4:K$13,0),0)&gt;0,T08_Spells!AO$2,"")</f>
        <v/>
      </c>
      <c r="AP329" t="str">
        <f>IF(IFERROR(MATCH($B329,temp!L$4:L$13,0),0)&gt;0,T08_Spells!AP$2,"")</f>
        <v/>
      </c>
      <c r="AQ329" t="str">
        <f>IF(IFERROR(MATCH($B329,temp!M$4:M$13,0),0)&gt;0,T08_Spells!AQ$2,"")</f>
        <v/>
      </c>
      <c r="AR329" t="str">
        <f>IF(IFERROR(MATCH($B329,temp!N$4:N$13,0),0)&gt;0,T08_Spells!AR$2,"")</f>
        <v/>
      </c>
      <c r="AS329" t="str">
        <f>IF(IFERROR(MATCH($B329,temp!O$4:O$13,0),0)&gt;0,T08_Spells!AS$2,"")</f>
        <v/>
      </c>
      <c r="AT329" t="str">
        <f>IF(IFERROR(MATCH($B329,temp!P$4:P$13,0),0)&gt;0,T08_Spells!AT$2,"")</f>
        <v/>
      </c>
      <c r="AU329" t="str">
        <f>IF(IFERROR(MATCH($B329,temp!Q$4:Q$13,0),0)&gt;0,T08_Spells!AU$2,"")</f>
        <v/>
      </c>
      <c r="AV329" t="str">
        <f>IF(IFERROR(MATCH($B329,temp!R$4:R$13,0),0)&gt;0,T08_Spells!AV$2,"")</f>
        <v/>
      </c>
      <c r="AW329" t="str">
        <f>IF(IFERROR(MATCH($B329,temp!S$4:S$13,0),0)&gt;0,T08_Spells!AW$2,"")</f>
        <v/>
      </c>
      <c r="AX329" t="str">
        <f>IF(IFERROR(MATCH($B329,temp!T$4:T$13,0),0)&gt;0,T08_Spells!AX$2,"")</f>
        <v/>
      </c>
      <c r="AY329" t="str">
        <f>IF(IFERROR(MATCH($B329,temp!U$4:U$13,0),0)&gt;0,T08_Spells!AY$2,"")</f>
        <v/>
      </c>
      <c r="AZ329" t="str">
        <f>IF(IFERROR(MATCH($B329,temp!V$4:V$13,0),0)&gt;0,T08_Spells!AZ$2,"")</f>
        <v/>
      </c>
      <c r="BA329" t="str">
        <f>IF(IFERROR(MATCH($B329,temp!W$4:W$13,0),0)&gt;0,T08_Spells!BA$2,"")</f>
        <v/>
      </c>
      <c r="BC329">
        <f>IF(IFERROR(SEARCH("Ranger",$T329,1),0)&gt;0,1,0)*IF(RangerMaxSpellLevel&gt;=$C329,1,0)*IF(IFERROR(MATCH(B329,Character_Creation!$X$79:$X$382,0),0)&gt;0,0,1)</f>
        <v>0</v>
      </c>
      <c r="BD329">
        <f>IF(BC329=0,0,1+COUNTIF(BD$3:BD328,"&gt;0"))</f>
        <v>0</v>
      </c>
      <c r="BE329" t="str">
        <f t="shared" si="311"/>
        <v/>
      </c>
      <c r="BF329" t="str">
        <f t="shared" si="283"/>
        <v/>
      </c>
      <c r="BH329">
        <f>IF(IFERROR(SEARCH("Sorcerer",$T329,1),0)&gt;0,1,0)*IF(SorcererMaxSpellLevel&gt;=$C329,1,0)*IF(IFERROR(MATCH(B329,Character_Creation!$J$380:$J$394,0),0)&gt;0,0,1)</f>
        <v>0</v>
      </c>
      <c r="BI329">
        <f>IF(BH329=0,0,1+COUNTIF(BI$3:BI328,"&gt;0"))</f>
        <v>0</v>
      </c>
      <c r="BJ329" t="str">
        <f t="shared" si="312"/>
        <v/>
      </c>
      <c r="BK329" t="str">
        <f t="shared" si="284"/>
        <v/>
      </c>
      <c r="BM329">
        <f>IF(OR(IFERROR(SEARCH("Warlock",$T329,1),0)&gt;0,IFERROR(SEARCH(WarlockPatron,$T329,1),0)&gt;0),1,0)*IF(WarlockMaxSpellLevel&gt;=$C329,1,0)*IF(IFERROR(MATCH(B329,Character_Creation!$J$361:$J$375,0),0)&gt;0,0,1)</f>
        <v>0</v>
      </c>
      <c r="BN329">
        <f>IF(BM329=0,0,1+COUNTIF(BN$3:BN328,"&gt;0"))</f>
        <v>0</v>
      </c>
      <c r="BO329" t="str">
        <f t="shared" si="313"/>
        <v/>
      </c>
      <c r="BP329" t="str">
        <f t="shared" si="285"/>
        <v/>
      </c>
      <c r="BR329">
        <f>IF(IFERROR(SEARCH("Eldritch Knight",$T329,1),0)&gt;0,1,0)*IF(EldritchKnightMaxSpellLevel&gt;=$C329,1,0)*IF(IFERROR(MATCH($B329,Character_Creation!$J$350:$J$356,0),0)&gt;0,0,1)*IF(Character_Creation!$M$338&gt;0,1,0)</f>
        <v>0</v>
      </c>
      <c r="BS329">
        <f>IF(BR329=0,0,1+COUNTIF(BS$3:BS328,"&gt;0"))</f>
        <v>0</v>
      </c>
      <c r="BT329" t="str">
        <f t="shared" si="314"/>
        <v/>
      </c>
      <c r="BU329" t="str">
        <f t="shared" si="286"/>
        <v/>
      </c>
      <c r="BW329">
        <f>IF(IFERROR(SEARCH("Arcane Trickster",$T329,1),0)&gt;0,1,0)*IF(ArcaneTricksterMaxSpellLevel&gt;=$C329,1,0)*IF(IFERROR(MATCH($B329,Character_Creation!$J$350:$J$356,0),0)&gt;0,0,1)*IF(Character_Creation!$T$338&gt;0,1,0)</f>
        <v>0</v>
      </c>
      <c r="BX329">
        <f>IF(BW329=0,0,1+COUNTIF(BX$3:BX328,"&gt;0"))</f>
        <v>0</v>
      </c>
      <c r="BY329" t="str">
        <f t="shared" si="315"/>
        <v/>
      </c>
      <c r="BZ329" t="str">
        <f t="shared" si="287"/>
        <v/>
      </c>
      <c r="CB329">
        <f>IF(IFERROR(SEARCH("Wizard",$T329,1),0)&gt;0,1,0)*IF(C329&lt;=ArcaneTricksterMaxSpellLevel,1,0)*IF(IFERROR(MATCH($B329,Character_Creation!$J$350:$J$356,0),0)&gt;0,0,1)*IF(Character_Creation!$T$350&gt;0,1,0)</f>
        <v>0</v>
      </c>
      <c r="CC329">
        <f>IF(CB329=0,0,1+COUNTIF(CC$3:CC328,"&gt;0"))</f>
        <v>0</v>
      </c>
      <c r="CD329" t="str">
        <f t="shared" si="316"/>
        <v/>
      </c>
      <c r="CE329" t="str">
        <f t="shared" si="288"/>
        <v/>
      </c>
      <c r="CG329">
        <f>IF(IFERROR(SEARCH("Wizard",$T329,1),0)&gt;0,1,0)*IF($C329&lt;=EldritchKnightMaxSpellLevel,1,0)*IF(IFERROR(MATCH($B329,Character_Creation!$J$350:$J$356,0),0)&gt;0,0,1)*IF(Character_Creation!$M$350&gt;0,1,0)</f>
        <v>0</v>
      </c>
      <c r="CH329">
        <f>IF(CG329=0,0,1+COUNTIF(CH$3:CH328,"&gt;0"))</f>
        <v>0</v>
      </c>
      <c r="CI329" t="str">
        <f t="shared" si="317"/>
        <v/>
      </c>
      <c r="CJ329" t="str">
        <f t="shared" si="289"/>
        <v/>
      </c>
      <c r="CL329">
        <f>IF(IFERROR(SEARCH("Bard",$T329,1),0)&gt;0,1,0)*IF(BardMaxSpellLevel&gt;=$C329,1,0)*IF(IFERROR(MATCH(B329,Character_Creation!$C$341:$F$362,0),0)&gt;0,0,1)*IF(IFERROR(MATCH($B329,Character_Creation!$C$341:$C$362,0),0)&gt;0,0,1)</f>
        <v>0</v>
      </c>
      <c r="CM329">
        <f>IF(CL329=0,0,1+COUNTIF(CM$3:CM328,"&gt;0"))</f>
        <v>0</v>
      </c>
      <c r="CN329" t="str">
        <f t="shared" si="318"/>
        <v/>
      </c>
      <c r="CO329" t="str">
        <f t="shared" si="290"/>
        <v/>
      </c>
      <c r="CQ329">
        <f>IF(IFERROR(SEARCH("Wizard",$T329,1),0)&gt;0,1,0)*IF(WizardMaxSpellLevel&gt;=$C329,1,0)*IF(IFERROR(MATCH(B329,Character_Creation!$X$341:$X$400,0),0)&gt;0,0,1)*IF(SelectedWizardSpellLevel=$C329,1,0)</f>
        <v>0</v>
      </c>
      <c r="CR329">
        <f>IF(CQ329=0,0,1+COUNTIF(CR$3:CR328,"&gt;0"))</f>
        <v>0</v>
      </c>
      <c r="CS329" t="str">
        <f t="shared" si="319"/>
        <v/>
      </c>
      <c r="CT329" t="str">
        <f t="shared" si="291"/>
        <v/>
      </c>
      <c r="CV329">
        <f>IF(IFERROR(MATCH($B329,Character_Creation!$C$341:$C$362,0),0)&gt;0,0,1)*IF(OR(C329="Cantrip",C329&lt;=BardMaxSpellLevel),1,0)*IF(IFERROR(MATCH($B329,Character_Creation!$C$367:$C$374,0),0)&gt;0,0,1)</f>
        <v>0</v>
      </c>
      <c r="CW329">
        <f>IF(CV329=0,0,1+COUNTIF(CW$3:CW328,"&gt;0"))</f>
        <v>0</v>
      </c>
      <c r="CX329" t="str">
        <f t="shared" si="320"/>
        <v/>
      </c>
      <c r="CY329" t="str">
        <f t="shared" si="292"/>
        <v/>
      </c>
      <c r="DA329">
        <f>IF(IF(OR(IFERROR(SEARCH("Cleric",$T329,1),0)&gt;0,IFERROR(SEARCH(DivineDomain&amp;",",$T329,1),0)&gt;0),1,0)*IF($C329=DA$2,1,0)=1,1+COUNTIF(DA$3:DA328,"&gt;0"),0)</f>
        <v>0</v>
      </c>
      <c r="DB329">
        <f>IF(IF(OR(IFERROR(SEARCH("Cleric",$T329,1),0)&gt;0,IFERROR(SEARCH(DivineDomain&amp;",",$T329,1),0)&gt;0),1,0)*IF($C329=DB$2,1,0)=1,1+COUNTIF(DB$3:DB328,"&gt;0"),0)</f>
        <v>0</v>
      </c>
      <c r="DC329">
        <f>IF(IF(OR(IFERROR(SEARCH("Cleric",$T329,1),0)&gt;0,IFERROR(SEARCH(DivineDomain&amp;",",$T329,1),0)&gt;0),1,0)*IF($C329=DC$2,1,0)=1,1+COUNTIF(DC$3:DC328,"&gt;0"),0)</f>
        <v>0</v>
      </c>
      <c r="DD329">
        <f>IF(IF(OR(IFERROR(SEARCH("Cleric",$T329,1),0)&gt;0,IFERROR(SEARCH(DivineDomain&amp;",",$T329,1),0)&gt;0),1,0)*IF($C329=DD$2,1,0)=1,1+COUNTIF(DD$3:DD328,"&gt;0"),0)</f>
        <v>0</v>
      </c>
      <c r="DE329">
        <f>IF(IF(OR(IFERROR(SEARCH("Cleric",$T329,1),0)&gt;0,IFERROR(SEARCH(DivineDomain&amp;",",$T329,1),0)&gt;0),1,0)*IF($C329=DE$2,1,0)=1,1+COUNTIF(DE$3:DE328,"&gt;0"),0)</f>
        <v>0</v>
      </c>
      <c r="DF329">
        <f>IF(IF(OR(IFERROR(SEARCH("Cleric",$T329,1),0)&gt;0,IFERROR(SEARCH(DivineDomain&amp;",",$T329,1),0)&gt;0),1,0)*IF($C329=DF$2,1,0)=1,1+COUNTIF(DF$3:DF328,"&gt;0"),0)</f>
        <v>0</v>
      </c>
      <c r="DG329">
        <f>IF(IF(OR(IFERROR(SEARCH("Cleric",$T329,1),0)&gt;0,IFERROR(SEARCH(DivineDomain&amp;",",$T329,1),0)&gt;0),1,0)*IF($C329=DG$2,1,0)=1,1+COUNTIF(DG$3:DG328,"&gt;0"),0)</f>
        <v>0</v>
      </c>
      <c r="DH329">
        <f>IF(IF(OR(IFERROR(SEARCH("Cleric",$T329,1),0)&gt;0,IFERROR(SEARCH(DivineDomain&amp;",",$T329,1),0)&gt;0),1,0)*IF($C329=DH$2,1,0)=1,1+COUNTIF(DH$3:DH328,"&gt;0"),0)</f>
        <v>0</v>
      </c>
      <c r="DI329">
        <f>IF(IF(OR(IFERROR(SEARCH("Cleric",$T329,1),0)&gt;0,IFERROR(SEARCH(DivineDomain&amp;",",$T329,1),0)&gt;0),1,0)*IF($C329=DI$2,1,0)=1,1+COUNTIF(DI$3:DI328,"&gt;0"),0)</f>
        <v>0</v>
      </c>
      <c r="DJ329">
        <f>IF(IF(OR(IFERROR(SEARCH("Druid",$T329,1),0)&gt;0,IFERROR(SEARCH(DruidLand1,$T329,1),0)&gt;0,IFERROR(SEARCH(DruidLand2,$T329,1),0)&gt;0,IFERROR(SEARCH(DruidLand3,$T329,1),0)&gt;0,IFERROR(SEARCH(DruidLand4,$T329,1),0)&gt;0),1,0)*IF($C329=1,1,0)*IF($C329=DJ$2,1,0)=0,0,1+COUNTIF(DJ$3:DJ328,"&gt;0"))</f>
        <v>0</v>
      </c>
      <c r="DK329">
        <f>IF(IF(OR(IFERROR(SEARCH("Druid",$T329,1),0)&gt;0,IFERROR(SEARCH(DruidLand1,$T329,1),0)&gt;0,IFERROR(SEARCH(DruidLand2,$T329,1),0)&gt;0,IFERROR(SEARCH(DruidLand3,$T329,1),0)&gt;0,IFERROR(SEARCH(DruidLand4,$T329,1),0)&gt;0),1,0)*IF($C329=1,1,0)*IF($C329=DK$2,1,0)=0,0,1+COUNTIF(DK$3:DK328,"&gt;0"))</f>
        <v>0</v>
      </c>
      <c r="DL329">
        <f>IF(IF(OR(IFERROR(SEARCH("Druid",$T329,1),0)&gt;0,IFERROR(SEARCH(DruidLand1,$T329,1),0)&gt;0,IFERROR(SEARCH(DruidLand2,$T329,1),0)&gt;0,IFERROR(SEARCH(DruidLand3,$T329,1),0)&gt;0,IFERROR(SEARCH(DruidLand4,$T329,1),0)&gt;0),1,0)*IF($C329=1,1,0)*IF($C329=DL$2,1,0)=0,0,1+COUNTIF(DL$3:DL328,"&gt;0"))</f>
        <v>0</v>
      </c>
      <c r="DM329">
        <f>IF(IF(OR(IFERROR(SEARCH("Druid",$T329,1),0)&gt;0,IFERROR(SEARCH(DruidLand1,$T329,1),0)&gt;0,IFERROR(SEARCH(DruidLand2,$T329,1),0)&gt;0,IFERROR(SEARCH(DruidLand3,$T329,1),0)&gt;0,IFERROR(SEARCH(DruidLand4,$T329,1),0)&gt;0),1,0)*IF($C329=1,1,0)*IF($C329=DM$2,1,0)=0,0,1+COUNTIF(DM$3:DM328,"&gt;0"))</f>
        <v>0</v>
      </c>
      <c r="DN329">
        <f>IF(IF(OR(IFERROR(SEARCH("Druid",$T329,1),0)&gt;0,IFERROR(SEARCH(DruidLand1,$T329,1),0)&gt;0,IFERROR(SEARCH(DruidLand2,$T329,1),0)&gt;0,IFERROR(SEARCH(DruidLand3,$T329,1),0)&gt;0,IFERROR(SEARCH(DruidLand4,$T329,1),0)&gt;0),1,0)*IF($C329=1,1,0)*IF($C329=DN$2,1,0)=0,0,1+COUNTIF(DN$3:DN328,"&gt;0"))</f>
        <v>0</v>
      </c>
      <c r="DO329">
        <f>IF(IF(OR(IFERROR(SEARCH("Druid",$T329,1),0)&gt;0,IFERROR(SEARCH(DruidLand1,$T329,1),0)&gt;0,IFERROR(SEARCH(DruidLand2,$T329,1),0)&gt;0,IFERROR(SEARCH(DruidLand3,$T329,1),0)&gt;0,IFERROR(SEARCH(DruidLand4,$T329,1),0)&gt;0),1,0)*IF($C329=1,1,0)*IF($C329=DO$2,1,0)=0,0,1+COUNTIF(DO$3:DO328,"&gt;0"))</f>
        <v>0</v>
      </c>
      <c r="DP329">
        <f>IF(IF(OR(IFERROR(SEARCH("Druid",$T329,1),0)&gt;0,IFERROR(SEARCH(DruidLand1,$T329,1),0)&gt;0,IFERROR(SEARCH(DruidLand2,$T329,1),0)&gt;0,IFERROR(SEARCH(DruidLand3,$T329,1),0)&gt;0,IFERROR(SEARCH(DruidLand4,$T329,1),0)&gt;0),1,0)*IF($C329=1,1,0)*IF($C329=DP$2,1,0)=0,0,1+COUNTIF(DP$3:DP328,"&gt;0"))</f>
        <v>0</v>
      </c>
      <c r="DQ329">
        <f>IF(IF(OR(IFERROR(SEARCH("Druid",$T329,1),0)&gt;0,IFERROR(SEARCH(DruidLand1,$T329,1),0)&gt;0,IFERROR(SEARCH(DruidLand2,$T329,1),0)&gt;0,IFERROR(SEARCH(DruidLand3,$T329,1),0)&gt;0,IFERROR(SEARCH(DruidLand4,$T329,1),0)&gt;0),1,0)*IF($C329=1,1,0)*IF($C329=DQ$2,1,0)=0,0,1+COUNTIF(DQ$3:DQ328,"&gt;0"))</f>
        <v>0</v>
      </c>
      <c r="DR329">
        <f>IF(IF(OR(IFERROR(SEARCH("Druid",$T329,1),0)&gt;0,IFERROR(SEARCH(DruidLand1,$T329,1),0)&gt;0,IFERROR(SEARCH(DruidLand2,$T329,1),0)&gt;0,IFERROR(SEARCH(DruidLand3,$T329,1),0)&gt;0,IFERROR(SEARCH(DruidLand4,$T329,1),0)&gt;0),1,0)*IF($C329=1,1,0)*IF($C329=DR$2,1,0)=0,0,1+COUNTIF(DR$3:DR328,"&gt;0"))</f>
        <v>0</v>
      </c>
      <c r="DS329">
        <f>IF(IF(OR(IFERROR(SEARCH("Paladin",$T329,1),0)&gt;0,IFERROR(SEARCH(PaladinOath,$T329,1),0)&gt;0),1,0)*IF($C329=DS$2,1,0)=1,1+COUNTIF(DS$3:DS328,"&gt;0"),0)</f>
        <v>0</v>
      </c>
      <c r="DT329">
        <f>IF(IF(OR(IFERROR(SEARCH("Paladin",$T329,1),0)&gt;0,IFERROR(SEARCH(PaladinOath,$T329,1),0)&gt;0),1,0)*IF($C329=DT$2,1,0)=1,1+COUNTIF(DT$3:DT328,"&gt;0"),0)</f>
        <v>0</v>
      </c>
      <c r="DU329">
        <f>IF(IF(OR(IFERROR(SEARCH("Paladin",$T329,1),0)&gt;0,IFERROR(SEARCH(PaladinOath,$T329,1),0)&gt;0),1,0)*IF($C329=DU$2,1,0)=1,1+COUNTIF(DU$3:DU328,"&gt;0"),0)</f>
        <v>0</v>
      </c>
      <c r="DV329">
        <f>IF(IF(OR(IFERROR(SEARCH("Paladin",$T329,1),0)&gt;0,IFERROR(SEARCH(PaladinOath,$T329,1),0)&gt;0),1,0)*IF($C329=DV$2,1,0)=1,1+COUNTIF(DV$3:DV328,"&gt;0"),0)</f>
        <v>0</v>
      </c>
      <c r="DW329">
        <f>IF(IF(OR(IFERROR(SEARCH("Paladin",$T329,1),0)&gt;0,IFERROR(SEARCH(PaladinOath,$T329,1),0)&gt;0),1,0)*IF($C329=DW$2,1,0)=1,1+COUNTIF(DW$3:DW328,"&gt;0"),0)</f>
        <v>0</v>
      </c>
      <c r="DY329">
        <f t="shared" si="278"/>
        <v>1</v>
      </c>
      <c r="DZ329">
        <f>IF(DY329=0,0,1+MAX(DZ$3:$DZ328))</f>
        <v>327</v>
      </c>
      <c r="EB329">
        <f t="shared" si="293"/>
        <v>0</v>
      </c>
      <c r="EC329">
        <f>IF(EB329=0,0,1+COUNTIF(EC$3:EC328,"&gt;0"))</f>
        <v>0</v>
      </c>
      <c r="ED329" t="str">
        <f t="shared" si="321"/>
        <v/>
      </c>
      <c r="EE329" t="str">
        <f t="shared" si="294"/>
        <v/>
      </c>
      <c r="EG329">
        <f t="shared" si="295"/>
        <v>0</v>
      </c>
      <c r="EH329">
        <f>IF(EG329=0,0,1+COUNTIF(EH$3:EH328,"&gt;0"))</f>
        <v>0</v>
      </c>
      <c r="EI329" t="str">
        <f t="shared" si="322"/>
        <v/>
      </c>
      <c r="EJ329" t="str">
        <f t="shared" si="296"/>
        <v/>
      </c>
      <c r="EL329">
        <f t="shared" si="297"/>
        <v>0</v>
      </c>
      <c r="EM329">
        <f>IF(EL329=0,0,1+COUNTIF(EM$3:EM328,"&gt;0"))</f>
        <v>0</v>
      </c>
      <c r="EN329" t="str">
        <f t="shared" si="323"/>
        <v/>
      </c>
      <c r="EO329" t="str">
        <f t="shared" si="298"/>
        <v/>
      </c>
      <c r="EQ329">
        <f t="shared" si="299"/>
        <v>0</v>
      </c>
      <c r="ER329">
        <f>IF(EQ329=0,0,1+COUNTIF(ER$3:ER328,"&gt;0"))</f>
        <v>0</v>
      </c>
      <c r="ES329" t="str">
        <f t="shared" si="324"/>
        <v/>
      </c>
      <c r="ET329" t="str">
        <f t="shared" si="300"/>
        <v/>
      </c>
      <c r="EV329">
        <f t="shared" si="301"/>
        <v>0</v>
      </c>
      <c r="EW329">
        <f>IF(EV329=0,0,1+COUNTIF(EW$3:EW328,"&gt;0"))</f>
        <v>0</v>
      </c>
      <c r="EX329" t="str">
        <f t="shared" si="325"/>
        <v/>
      </c>
      <c r="EY329" t="str">
        <f t="shared" si="302"/>
        <v/>
      </c>
      <c r="FA329">
        <f t="shared" si="303"/>
        <v>0</v>
      </c>
      <c r="FB329">
        <f>IF(FA329=0,0,1+COUNTIF(FB$3:FB328,"&gt;0"))</f>
        <v>0</v>
      </c>
      <c r="FC329" t="str">
        <f t="shared" si="326"/>
        <v/>
      </c>
      <c r="FD329" t="str">
        <f t="shared" si="304"/>
        <v/>
      </c>
      <c r="FF329">
        <f t="shared" si="305"/>
        <v>0</v>
      </c>
      <c r="FG329">
        <f>IF(FF329=0,0,1+COUNTIF(FG$3:FG328,"&gt;0"))</f>
        <v>0</v>
      </c>
      <c r="FH329" t="str">
        <f t="shared" si="327"/>
        <v/>
      </c>
      <c r="FI329" t="str">
        <f t="shared" si="306"/>
        <v/>
      </c>
      <c r="FK329">
        <f t="shared" si="307"/>
        <v>0</v>
      </c>
      <c r="FL329">
        <f>IF(FK329=0,0,1+COUNTIF(FL$3:FL328,"&gt;0"))</f>
        <v>0</v>
      </c>
      <c r="FM329" t="str">
        <f t="shared" si="328"/>
        <v/>
      </c>
      <c r="FN329" t="str">
        <f t="shared" si="308"/>
        <v/>
      </c>
      <c r="FP329">
        <f t="shared" si="309"/>
        <v>0</v>
      </c>
      <c r="FQ329">
        <f>IF(FP329=0,0,1+COUNTIF(FQ$3:FQ328,"&gt;0"))</f>
        <v>0</v>
      </c>
      <c r="FR329" t="str">
        <f t="shared" si="329"/>
        <v/>
      </c>
      <c r="FS329" t="str">
        <f t="shared" si="310"/>
        <v/>
      </c>
    </row>
    <row r="330" spans="1:175" x14ac:dyDescent="0.25">
      <c r="A330" s="347">
        <f t="shared" si="276"/>
        <v>328</v>
      </c>
      <c r="B330" s="348" t="s">
        <v>2727</v>
      </c>
      <c r="C330" s="348">
        <v>1</v>
      </c>
      <c r="D330" s="347">
        <v>1</v>
      </c>
      <c r="E330" s="627" t="s">
        <v>6952</v>
      </c>
      <c r="F330" s="346"/>
      <c r="G330" s="347" t="s">
        <v>5269</v>
      </c>
      <c r="H330" s="347" t="s">
        <v>5913</v>
      </c>
      <c r="I330" s="347" t="s">
        <v>5060</v>
      </c>
      <c r="J330" s="347" t="str">
        <f t="shared" si="279"/>
        <v/>
      </c>
      <c r="K330" s="347" t="s">
        <v>5293</v>
      </c>
      <c r="L330" s="611" t="str">
        <f t="shared" si="280"/>
        <v>V, S, M, a drop of mercury</v>
      </c>
      <c r="M330" s="347" t="s">
        <v>2373</v>
      </c>
      <c r="N330" s="347" t="s">
        <v>2387</v>
      </c>
      <c r="O330" s="347" t="s">
        <v>1244</v>
      </c>
      <c r="P330" s="346" t="s">
        <v>5497</v>
      </c>
      <c r="Q330" s="347" t="s">
        <v>5271</v>
      </c>
      <c r="S330" s="346" t="s">
        <v>5843</v>
      </c>
      <c r="T330" s="346" t="str">
        <f t="shared" si="281"/>
        <v xml:space="preserve">Wizard, </v>
      </c>
      <c r="AD330" s="347" t="str">
        <f t="shared" si="282"/>
        <v>Tenser's Floating Disk</v>
      </c>
      <c r="AE330" t="str">
        <f>IF(IFERROR(MATCH($B330,temp!A$4:A$13,0),0)&gt;0,T08_Spells!AE$2,"")</f>
        <v/>
      </c>
      <c r="AF330" t="str">
        <f>IF(IFERROR(MATCH($B330,temp!B$4:B$13,0),0)&gt;0,T08_Spells!AF$2,"")</f>
        <v/>
      </c>
      <c r="AG330" t="str">
        <f>IF(IFERROR(MATCH($B330,temp!C$4:C$13,0),0)&gt;0,T08_Spells!AG$2,"")</f>
        <v/>
      </c>
      <c r="AH330" t="str">
        <f>IF(IFERROR(MATCH($B330,temp!D$4:D$13,0),0)&gt;0,T08_Spells!AH$2,"")</f>
        <v/>
      </c>
      <c r="AI330" t="str">
        <f>IF(IFERROR(MATCH($B330,temp!E$4:E$13,0),0)&gt;0,T08_Spells!AI$2,"")</f>
        <v/>
      </c>
      <c r="AJ330" t="str">
        <f>IF(IFERROR(MATCH($B330,temp!F$4:F$13,0),0)&gt;0,T08_Spells!AJ$2,"")</f>
        <v/>
      </c>
      <c r="AK330" t="str">
        <f>IF(IFERROR(MATCH($B330,temp!G$4:G$13,0),0)&gt;0,T08_Spells!AK$2,"")</f>
        <v/>
      </c>
      <c r="AL330" t="str">
        <f>IF(IFERROR(MATCH($B330,temp!H$4:H$13,0),0)&gt;0,T08_Spells!AL$2,"")</f>
        <v/>
      </c>
      <c r="AM330" t="str">
        <f>IF(IFERROR(MATCH($B330,temp!I$4:I$13,0),0)&gt;0,T08_Spells!AM$2,"")</f>
        <v/>
      </c>
      <c r="AN330" t="str">
        <f>IF(IFERROR(MATCH($B330,temp!J$4:J$13,0),0)&gt;0,T08_Spells!AN$2,"")</f>
        <v/>
      </c>
      <c r="AO330" t="str">
        <f>IF(IFERROR(MATCH($B330,temp!K$4:K$13,0),0)&gt;0,T08_Spells!AO$2,"")</f>
        <v/>
      </c>
      <c r="AP330" t="str">
        <f>IF(IFERROR(MATCH($B330,temp!L$4:L$13,0),0)&gt;0,T08_Spells!AP$2,"")</f>
        <v/>
      </c>
      <c r="AQ330" t="str">
        <f>IF(IFERROR(MATCH($B330,temp!M$4:M$13,0),0)&gt;0,T08_Spells!AQ$2,"")</f>
        <v/>
      </c>
      <c r="AR330" t="str">
        <f>IF(IFERROR(MATCH($B330,temp!N$4:N$13,0),0)&gt;0,T08_Spells!AR$2,"")</f>
        <v/>
      </c>
      <c r="AS330" t="str">
        <f>IF(IFERROR(MATCH($B330,temp!O$4:O$13,0),0)&gt;0,T08_Spells!AS$2,"")</f>
        <v/>
      </c>
      <c r="AT330" t="str">
        <f>IF(IFERROR(MATCH($B330,temp!P$4:P$13,0),0)&gt;0,T08_Spells!AT$2,"")</f>
        <v/>
      </c>
      <c r="AU330" t="str">
        <f>IF(IFERROR(MATCH($B330,temp!Q$4:Q$13,0),0)&gt;0,T08_Spells!AU$2,"")</f>
        <v/>
      </c>
      <c r="AV330" t="str">
        <f>IF(IFERROR(MATCH($B330,temp!R$4:R$13,0),0)&gt;0,T08_Spells!AV$2,"")</f>
        <v/>
      </c>
      <c r="AW330" t="str">
        <f>IF(IFERROR(MATCH($B330,temp!S$4:S$13,0),0)&gt;0,T08_Spells!AW$2,"")</f>
        <v/>
      </c>
      <c r="AX330" t="str">
        <f>IF(IFERROR(MATCH($B330,temp!T$4:T$13,0),0)&gt;0,T08_Spells!AX$2,"")</f>
        <v/>
      </c>
      <c r="AY330" t="str">
        <f>IF(IFERROR(MATCH($B330,temp!U$4:U$13,0),0)&gt;0,T08_Spells!AY$2,"")</f>
        <v/>
      </c>
      <c r="AZ330" t="str">
        <f>IF(IFERROR(MATCH($B330,temp!V$4:V$13,0),0)&gt;0,T08_Spells!AZ$2,"")</f>
        <v/>
      </c>
      <c r="BA330" t="str">
        <f>IF(IFERROR(MATCH($B330,temp!W$4:W$13,0),0)&gt;0,T08_Spells!BA$2,"")</f>
        <v/>
      </c>
      <c r="BC330">
        <f>IF(IFERROR(SEARCH("Ranger",$T330,1),0)&gt;0,1,0)*IF(RangerMaxSpellLevel&gt;=$C330,1,0)*IF(IFERROR(MATCH(B330,Character_Creation!$X$79:$X$382,0),0)&gt;0,0,1)</f>
        <v>0</v>
      </c>
      <c r="BD330">
        <f>IF(BC330=0,0,1+COUNTIF(BD$3:BD329,"&gt;0"))</f>
        <v>0</v>
      </c>
      <c r="BE330" t="str">
        <f t="shared" si="311"/>
        <v/>
      </c>
      <c r="BF330" t="str">
        <f t="shared" si="283"/>
        <v/>
      </c>
      <c r="BH330">
        <f>IF(IFERROR(SEARCH("Sorcerer",$T330,1),0)&gt;0,1,0)*IF(SorcererMaxSpellLevel&gt;=$C330,1,0)*IF(IFERROR(MATCH(B330,Character_Creation!$J$380:$J$394,0),0)&gt;0,0,1)</f>
        <v>0</v>
      </c>
      <c r="BI330">
        <f>IF(BH330=0,0,1+COUNTIF(BI$3:BI329,"&gt;0"))</f>
        <v>0</v>
      </c>
      <c r="BJ330" t="str">
        <f t="shared" si="312"/>
        <v/>
      </c>
      <c r="BK330" t="str">
        <f t="shared" si="284"/>
        <v/>
      </c>
      <c r="BM330">
        <f>IF(OR(IFERROR(SEARCH("Warlock",$T330,1),0)&gt;0,IFERROR(SEARCH(WarlockPatron,$T330,1),0)&gt;0),1,0)*IF(WarlockMaxSpellLevel&gt;=$C330,1,0)*IF(IFERROR(MATCH(B330,Character_Creation!$J$361:$J$375,0),0)&gt;0,0,1)</f>
        <v>0</v>
      </c>
      <c r="BN330">
        <f>IF(BM330=0,0,1+COUNTIF(BN$3:BN329,"&gt;0"))</f>
        <v>0</v>
      </c>
      <c r="BO330" t="str">
        <f t="shared" si="313"/>
        <v/>
      </c>
      <c r="BP330" t="str">
        <f t="shared" si="285"/>
        <v/>
      </c>
      <c r="BR330">
        <f>IF(IFERROR(SEARCH("Eldritch Knight",$T330,1),0)&gt;0,1,0)*IF(EldritchKnightMaxSpellLevel&gt;=$C330,1,0)*IF(IFERROR(MATCH($B330,Character_Creation!$J$350:$J$356,0),0)&gt;0,0,1)*IF(Character_Creation!$M$338&gt;0,1,0)</f>
        <v>0</v>
      </c>
      <c r="BS330">
        <f>IF(BR330=0,0,1+COUNTIF(BS$3:BS329,"&gt;0"))</f>
        <v>0</v>
      </c>
      <c r="BT330" t="str">
        <f t="shared" si="314"/>
        <v/>
      </c>
      <c r="BU330" t="str">
        <f t="shared" si="286"/>
        <v/>
      </c>
      <c r="BW330">
        <f>IF(IFERROR(SEARCH("Arcane Trickster",$T330,1),0)&gt;0,1,0)*IF(ArcaneTricksterMaxSpellLevel&gt;=$C330,1,0)*IF(IFERROR(MATCH($B330,Character_Creation!$J$350:$J$356,0),0)&gt;0,0,1)*IF(Character_Creation!$T$338&gt;0,1,0)</f>
        <v>0</v>
      </c>
      <c r="BX330">
        <f>IF(BW330=0,0,1+COUNTIF(BX$3:BX329,"&gt;0"))</f>
        <v>0</v>
      </c>
      <c r="BY330" t="str">
        <f t="shared" si="315"/>
        <v/>
      </c>
      <c r="BZ330" t="str">
        <f t="shared" si="287"/>
        <v/>
      </c>
      <c r="CB330">
        <f>IF(IFERROR(SEARCH("Wizard",$T330,1),0)&gt;0,1,0)*IF(C330&lt;=ArcaneTricksterMaxSpellLevel,1,0)*IF(IFERROR(MATCH($B330,Character_Creation!$J$350:$J$356,0),0)&gt;0,0,1)*IF(Character_Creation!$T$350&gt;0,1,0)</f>
        <v>0</v>
      </c>
      <c r="CC330">
        <f>IF(CB330=0,0,1+COUNTIF(CC$3:CC329,"&gt;0"))</f>
        <v>0</v>
      </c>
      <c r="CD330" t="str">
        <f t="shared" si="316"/>
        <v/>
      </c>
      <c r="CE330" t="str">
        <f t="shared" si="288"/>
        <v/>
      </c>
      <c r="CG330">
        <f>IF(IFERROR(SEARCH("Wizard",$T330,1),0)&gt;0,1,0)*IF($C330&lt;=EldritchKnightMaxSpellLevel,1,0)*IF(IFERROR(MATCH($B330,Character_Creation!$J$350:$J$356,0),0)&gt;0,0,1)*IF(Character_Creation!$M$350&gt;0,1,0)</f>
        <v>0</v>
      </c>
      <c r="CH330">
        <f>IF(CG330=0,0,1+COUNTIF(CH$3:CH329,"&gt;0"))</f>
        <v>0</v>
      </c>
      <c r="CI330" t="str">
        <f t="shared" si="317"/>
        <v/>
      </c>
      <c r="CJ330" t="str">
        <f t="shared" si="289"/>
        <v/>
      </c>
      <c r="CL330">
        <f>IF(IFERROR(SEARCH("Bard",$T330,1),0)&gt;0,1,0)*IF(BardMaxSpellLevel&gt;=$C330,1,0)*IF(IFERROR(MATCH(B330,Character_Creation!$C$341:$F$362,0),0)&gt;0,0,1)*IF(IFERROR(MATCH($B330,Character_Creation!$C$341:$C$362,0),0)&gt;0,0,1)</f>
        <v>0</v>
      </c>
      <c r="CM330">
        <f>IF(CL330=0,0,1+COUNTIF(CM$3:CM329,"&gt;0"))</f>
        <v>0</v>
      </c>
      <c r="CN330" t="str">
        <f t="shared" si="318"/>
        <v/>
      </c>
      <c r="CO330" t="str">
        <f t="shared" si="290"/>
        <v/>
      </c>
      <c r="CQ330">
        <f>IF(IFERROR(SEARCH("Wizard",$T330,1),0)&gt;0,1,0)*IF(WizardMaxSpellLevel&gt;=$C330,1,0)*IF(IFERROR(MATCH(B330,Character_Creation!$X$341:$X$400,0),0)&gt;0,0,1)*IF(SelectedWizardSpellLevel=$C330,1,0)</f>
        <v>0</v>
      </c>
      <c r="CR330">
        <f>IF(CQ330=0,0,1+COUNTIF(CR$3:CR329,"&gt;0"))</f>
        <v>0</v>
      </c>
      <c r="CS330" t="str">
        <f t="shared" si="319"/>
        <v/>
      </c>
      <c r="CT330" t="str">
        <f t="shared" si="291"/>
        <v/>
      </c>
      <c r="CV330">
        <f>IF(IFERROR(MATCH($B330,Character_Creation!$C$341:$C$362,0),0)&gt;0,0,1)*IF(OR(C330="Cantrip",C330&lt;=BardMaxSpellLevel),1,0)*IF(IFERROR(MATCH($B330,Character_Creation!$C$367:$C$374,0),0)&gt;0,0,1)</f>
        <v>0</v>
      </c>
      <c r="CW330">
        <f>IF(CV330=0,0,1+COUNTIF(CW$3:CW329,"&gt;0"))</f>
        <v>0</v>
      </c>
      <c r="CX330" t="str">
        <f t="shared" si="320"/>
        <v/>
      </c>
      <c r="CY330" t="str">
        <f t="shared" si="292"/>
        <v/>
      </c>
      <c r="DA330">
        <f>IF(IF(OR(IFERROR(SEARCH("Cleric",$T330,1),0)&gt;0,IFERROR(SEARCH(DivineDomain&amp;",",$T330,1),0)&gt;0),1,0)*IF($C330=DA$2,1,0)=1,1+COUNTIF(DA$3:DA329,"&gt;0"),0)</f>
        <v>0</v>
      </c>
      <c r="DB330">
        <f>IF(IF(OR(IFERROR(SEARCH("Cleric",$T330,1),0)&gt;0,IFERROR(SEARCH(DivineDomain&amp;",",$T330,1),0)&gt;0),1,0)*IF($C330=DB$2,1,0)=1,1+COUNTIF(DB$3:DB329,"&gt;0"),0)</f>
        <v>0</v>
      </c>
      <c r="DC330">
        <f>IF(IF(OR(IFERROR(SEARCH("Cleric",$T330,1),0)&gt;0,IFERROR(SEARCH(DivineDomain&amp;",",$T330,1),0)&gt;0),1,0)*IF($C330=DC$2,1,0)=1,1+COUNTIF(DC$3:DC329,"&gt;0"),0)</f>
        <v>0</v>
      </c>
      <c r="DD330">
        <f>IF(IF(OR(IFERROR(SEARCH("Cleric",$T330,1),0)&gt;0,IFERROR(SEARCH(DivineDomain&amp;",",$T330,1),0)&gt;0),1,0)*IF($C330=DD$2,1,0)=1,1+COUNTIF(DD$3:DD329,"&gt;0"),0)</f>
        <v>0</v>
      </c>
      <c r="DE330">
        <f>IF(IF(OR(IFERROR(SEARCH("Cleric",$T330,1),0)&gt;0,IFERROR(SEARCH(DivineDomain&amp;",",$T330,1),0)&gt;0),1,0)*IF($C330=DE$2,1,0)=1,1+COUNTIF(DE$3:DE329,"&gt;0"),0)</f>
        <v>0</v>
      </c>
      <c r="DF330">
        <f>IF(IF(OR(IFERROR(SEARCH("Cleric",$T330,1),0)&gt;0,IFERROR(SEARCH(DivineDomain&amp;",",$T330,1),0)&gt;0),1,0)*IF($C330=DF$2,1,0)=1,1+COUNTIF(DF$3:DF329,"&gt;0"),0)</f>
        <v>0</v>
      </c>
      <c r="DG330">
        <f>IF(IF(OR(IFERROR(SEARCH("Cleric",$T330,1),0)&gt;0,IFERROR(SEARCH(DivineDomain&amp;",",$T330,1),0)&gt;0),1,0)*IF($C330=DG$2,1,0)=1,1+COUNTIF(DG$3:DG329,"&gt;0"),0)</f>
        <v>0</v>
      </c>
      <c r="DH330">
        <f>IF(IF(OR(IFERROR(SEARCH("Cleric",$T330,1),0)&gt;0,IFERROR(SEARCH(DivineDomain&amp;",",$T330,1),0)&gt;0),1,0)*IF($C330=DH$2,1,0)=1,1+COUNTIF(DH$3:DH329,"&gt;0"),0)</f>
        <v>0</v>
      </c>
      <c r="DI330">
        <f>IF(IF(OR(IFERROR(SEARCH("Cleric",$T330,1),0)&gt;0,IFERROR(SEARCH(DivineDomain&amp;",",$T330,1),0)&gt;0),1,0)*IF($C330=DI$2,1,0)=1,1+COUNTIF(DI$3:DI329,"&gt;0"),0)</f>
        <v>0</v>
      </c>
      <c r="DJ330">
        <f>IF(IF(OR(IFERROR(SEARCH("Druid",$T330,1),0)&gt;0,IFERROR(SEARCH(DruidLand1,$T330,1),0)&gt;0,IFERROR(SEARCH(DruidLand2,$T330,1),0)&gt;0,IFERROR(SEARCH(DruidLand3,$T330,1),0)&gt;0,IFERROR(SEARCH(DruidLand4,$T330,1),0)&gt;0),1,0)*IF($C330=1,1,0)*IF($C330=DJ$2,1,0)=0,0,1+COUNTIF(DJ$3:DJ329,"&gt;0"))</f>
        <v>0</v>
      </c>
      <c r="DK330">
        <f>IF(IF(OR(IFERROR(SEARCH("Druid",$T330,1),0)&gt;0,IFERROR(SEARCH(DruidLand1,$T330,1),0)&gt;0,IFERROR(SEARCH(DruidLand2,$T330,1),0)&gt;0,IFERROR(SEARCH(DruidLand3,$T330,1),0)&gt;0,IFERROR(SEARCH(DruidLand4,$T330,1),0)&gt;0),1,0)*IF($C330=1,1,0)*IF($C330=DK$2,1,0)=0,0,1+COUNTIF(DK$3:DK329,"&gt;0"))</f>
        <v>0</v>
      </c>
      <c r="DL330">
        <f>IF(IF(OR(IFERROR(SEARCH("Druid",$T330,1),0)&gt;0,IFERROR(SEARCH(DruidLand1,$T330,1),0)&gt;0,IFERROR(SEARCH(DruidLand2,$T330,1),0)&gt;0,IFERROR(SEARCH(DruidLand3,$T330,1),0)&gt;0,IFERROR(SEARCH(DruidLand4,$T330,1),0)&gt;0),1,0)*IF($C330=1,1,0)*IF($C330=DL$2,1,0)=0,0,1+COUNTIF(DL$3:DL329,"&gt;0"))</f>
        <v>0</v>
      </c>
      <c r="DM330">
        <f>IF(IF(OR(IFERROR(SEARCH("Druid",$T330,1),0)&gt;0,IFERROR(SEARCH(DruidLand1,$T330,1),0)&gt;0,IFERROR(SEARCH(DruidLand2,$T330,1),0)&gt;0,IFERROR(SEARCH(DruidLand3,$T330,1),0)&gt;0,IFERROR(SEARCH(DruidLand4,$T330,1),0)&gt;0),1,0)*IF($C330=1,1,0)*IF($C330=DM$2,1,0)=0,0,1+COUNTIF(DM$3:DM329,"&gt;0"))</f>
        <v>0</v>
      </c>
      <c r="DN330">
        <f>IF(IF(OR(IFERROR(SEARCH("Druid",$T330,1),0)&gt;0,IFERROR(SEARCH(DruidLand1,$T330,1),0)&gt;0,IFERROR(SEARCH(DruidLand2,$T330,1),0)&gt;0,IFERROR(SEARCH(DruidLand3,$T330,1),0)&gt;0,IFERROR(SEARCH(DruidLand4,$T330,1),0)&gt;0),1,0)*IF($C330=1,1,0)*IF($C330=DN$2,1,0)=0,0,1+COUNTIF(DN$3:DN329,"&gt;0"))</f>
        <v>0</v>
      </c>
      <c r="DO330">
        <f>IF(IF(OR(IFERROR(SEARCH("Druid",$T330,1),0)&gt;0,IFERROR(SEARCH(DruidLand1,$T330,1),0)&gt;0,IFERROR(SEARCH(DruidLand2,$T330,1),0)&gt;0,IFERROR(SEARCH(DruidLand3,$T330,1),0)&gt;0,IFERROR(SEARCH(DruidLand4,$T330,1),0)&gt;0),1,0)*IF($C330=1,1,0)*IF($C330=DO$2,1,0)=0,0,1+COUNTIF(DO$3:DO329,"&gt;0"))</f>
        <v>0</v>
      </c>
      <c r="DP330">
        <f>IF(IF(OR(IFERROR(SEARCH("Druid",$T330,1),0)&gt;0,IFERROR(SEARCH(DruidLand1,$T330,1),0)&gt;0,IFERROR(SEARCH(DruidLand2,$T330,1),0)&gt;0,IFERROR(SEARCH(DruidLand3,$T330,1),0)&gt;0,IFERROR(SEARCH(DruidLand4,$T330,1),0)&gt;0),1,0)*IF($C330=1,1,0)*IF($C330=DP$2,1,0)=0,0,1+COUNTIF(DP$3:DP329,"&gt;0"))</f>
        <v>0</v>
      </c>
      <c r="DQ330">
        <f>IF(IF(OR(IFERROR(SEARCH("Druid",$T330,1),0)&gt;0,IFERROR(SEARCH(DruidLand1,$T330,1),0)&gt;0,IFERROR(SEARCH(DruidLand2,$T330,1),0)&gt;0,IFERROR(SEARCH(DruidLand3,$T330,1),0)&gt;0,IFERROR(SEARCH(DruidLand4,$T330,1),0)&gt;0),1,0)*IF($C330=1,1,0)*IF($C330=DQ$2,1,0)=0,0,1+COUNTIF(DQ$3:DQ329,"&gt;0"))</f>
        <v>0</v>
      </c>
      <c r="DR330">
        <f>IF(IF(OR(IFERROR(SEARCH("Druid",$T330,1),0)&gt;0,IFERROR(SEARCH(DruidLand1,$T330,1),0)&gt;0,IFERROR(SEARCH(DruidLand2,$T330,1),0)&gt;0,IFERROR(SEARCH(DruidLand3,$T330,1),0)&gt;0,IFERROR(SEARCH(DruidLand4,$T330,1),0)&gt;0),1,0)*IF($C330=1,1,0)*IF($C330=DR$2,1,0)=0,0,1+COUNTIF(DR$3:DR329,"&gt;0"))</f>
        <v>0</v>
      </c>
      <c r="DS330">
        <f>IF(IF(OR(IFERROR(SEARCH("Paladin",$T330,1),0)&gt;0,IFERROR(SEARCH(PaladinOath,$T330,1),0)&gt;0),1,0)*IF($C330=DS$2,1,0)=1,1+COUNTIF(DS$3:DS329,"&gt;0"),0)</f>
        <v>0</v>
      </c>
      <c r="DT330">
        <f>IF(IF(OR(IFERROR(SEARCH("Paladin",$T330,1),0)&gt;0,IFERROR(SEARCH(PaladinOath,$T330,1),0)&gt;0),1,0)*IF($C330=DT$2,1,0)=1,1+COUNTIF(DT$3:DT329,"&gt;0"),0)</f>
        <v>0</v>
      </c>
      <c r="DU330">
        <f>IF(IF(OR(IFERROR(SEARCH("Paladin",$T330,1),0)&gt;0,IFERROR(SEARCH(PaladinOath,$T330,1),0)&gt;0),1,0)*IF($C330=DU$2,1,0)=1,1+COUNTIF(DU$3:DU329,"&gt;0"),0)</f>
        <v>0</v>
      </c>
      <c r="DV330">
        <f>IF(IF(OR(IFERROR(SEARCH("Paladin",$T330,1),0)&gt;0,IFERROR(SEARCH(PaladinOath,$T330,1),0)&gt;0),1,0)*IF($C330=DV$2,1,0)=1,1+COUNTIF(DV$3:DV329,"&gt;0"),0)</f>
        <v>0</v>
      </c>
      <c r="DW330">
        <f>IF(IF(OR(IFERROR(SEARCH("Paladin",$T330,1),0)&gt;0,IFERROR(SEARCH(PaladinOath,$T330,1),0)&gt;0),1,0)*IF($C330=DW$2,1,0)=1,1+COUNTIF(DW$3:DW329,"&gt;0"),0)</f>
        <v>0</v>
      </c>
      <c r="DY330">
        <f t="shared" si="278"/>
        <v>1</v>
      </c>
      <c r="DZ330">
        <f>IF(DY330=0,0,1+MAX(DZ$3:$DZ329))</f>
        <v>328</v>
      </c>
      <c r="EB330">
        <f t="shared" si="293"/>
        <v>0</v>
      </c>
      <c r="EC330">
        <f>IF(EB330=0,0,1+COUNTIF(EC$3:EC329,"&gt;0"))</f>
        <v>0</v>
      </c>
      <c r="ED330" t="str">
        <f t="shared" si="321"/>
        <v/>
      </c>
      <c r="EE330" t="str">
        <f t="shared" si="294"/>
        <v/>
      </c>
      <c r="EG330">
        <f t="shared" si="295"/>
        <v>0</v>
      </c>
      <c r="EH330">
        <f>IF(EG330=0,0,1+COUNTIF(EH$3:EH329,"&gt;0"))</f>
        <v>0</v>
      </c>
      <c r="EI330" t="str">
        <f t="shared" si="322"/>
        <v/>
      </c>
      <c r="EJ330" t="str">
        <f t="shared" si="296"/>
        <v/>
      </c>
      <c r="EL330">
        <f t="shared" si="297"/>
        <v>0</v>
      </c>
      <c r="EM330">
        <f>IF(EL330=0,0,1+COUNTIF(EM$3:EM329,"&gt;0"))</f>
        <v>0</v>
      </c>
      <c r="EN330" t="str">
        <f t="shared" si="323"/>
        <v/>
      </c>
      <c r="EO330" t="str">
        <f t="shared" si="298"/>
        <v/>
      </c>
      <c r="EQ330">
        <f t="shared" si="299"/>
        <v>0</v>
      </c>
      <c r="ER330">
        <f>IF(EQ330=0,0,1+COUNTIF(ER$3:ER329,"&gt;0"))</f>
        <v>0</v>
      </c>
      <c r="ES330" t="str">
        <f t="shared" si="324"/>
        <v/>
      </c>
      <c r="ET330" t="str">
        <f t="shared" si="300"/>
        <v/>
      </c>
      <c r="EV330">
        <f t="shared" si="301"/>
        <v>0</v>
      </c>
      <c r="EW330">
        <f>IF(EV330=0,0,1+COUNTIF(EW$3:EW329,"&gt;0"))</f>
        <v>0</v>
      </c>
      <c r="EX330" t="str">
        <f t="shared" si="325"/>
        <v/>
      </c>
      <c r="EY330" t="str">
        <f t="shared" si="302"/>
        <v/>
      </c>
      <c r="FA330">
        <f t="shared" si="303"/>
        <v>0</v>
      </c>
      <c r="FB330">
        <f>IF(FA330=0,0,1+COUNTIF(FB$3:FB329,"&gt;0"))</f>
        <v>0</v>
      </c>
      <c r="FC330" t="str">
        <f t="shared" si="326"/>
        <v/>
      </c>
      <c r="FD330" t="str">
        <f t="shared" si="304"/>
        <v/>
      </c>
      <c r="FF330">
        <f t="shared" si="305"/>
        <v>0</v>
      </c>
      <c r="FG330">
        <f>IF(FF330=0,0,1+COUNTIF(FG$3:FG329,"&gt;0"))</f>
        <v>0</v>
      </c>
      <c r="FH330" t="str">
        <f t="shared" si="327"/>
        <v/>
      </c>
      <c r="FI330" t="str">
        <f t="shared" si="306"/>
        <v/>
      </c>
      <c r="FK330">
        <f t="shared" si="307"/>
        <v>0</v>
      </c>
      <c r="FL330">
        <f>IF(FK330=0,0,1+COUNTIF(FL$3:FL329,"&gt;0"))</f>
        <v>0</v>
      </c>
      <c r="FM330" t="str">
        <f t="shared" si="328"/>
        <v/>
      </c>
      <c r="FN330" t="str">
        <f t="shared" si="308"/>
        <v/>
      </c>
      <c r="FP330">
        <f t="shared" si="309"/>
        <v>0</v>
      </c>
      <c r="FQ330">
        <f>IF(FP330=0,0,1+COUNTIF(FQ$3:FQ329,"&gt;0"))</f>
        <v>0</v>
      </c>
      <c r="FR330" t="str">
        <f t="shared" si="329"/>
        <v/>
      </c>
      <c r="FS330" t="str">
        <f t="shared" si="310"/>
        <v/>
      </c>
    </row>
    <row r="331" spans="1:175" x14ac:dyDescent="0.25">
      <c r="A331" s="347">
        <f t="shared" si="276"/>
        <v>329</v>
      </c>
      <c r="B331" s="348" t="s">
        <v>2728</v>
      </c>
      <c r="C331" s="348" t="s">
        <v>5277</v>
      </c>
      <c r="D331" s="347">
        <v>0.5</v>
      </c>
      <c r="E331" s="627" t="s">
        <v>6952</v>
      </c>
      <c r="F331" s="346"/>
      <c r="G331" s="347" t="str">
        <f>""</f>
        <v/>
      </c>
      <c r="H331" s="347" t="s">
        <v>5912</v>
      </c>
      <c r="I331" s="347" t="s">
        <v>5060</v>
      </c>
      <c r="J331" s="347" t="str">
        <f t="shared" si="279"/>
        <v/>
      </c>
      <c r="K331" s="347" t="s">
        <v>5498</v>
      </c>
      <c r="L331" s="611" t="str">
        <f t="shared" si="280"/>
        <v>V, S</v>
      </c>
      <c r="M331" s="347" t="s">
        <v>2373</v>
      </c>
      <c r="N331" s="347" t="s">
        <v>2387</v>
      </c>
      <c r="O331" s="347" t="s">
        <v>3034</v>
      </c>
      <c r="P331" s="346" t="str">
        <f>""</f>
        <v/>
      </c>
      <c r="Q331" s="347" t="s">
        <v>5276</v>
      </c>
      <c r="S331" s="346" t="s">
        <v>5844</v>
      </c>
      <c r="T331" s="346" t="str">
        <f t="shared" si="281"/>
        <v xml:space="preserve">Cleric, </v>
      </c>
      <c r="Z331" s="347" t="str">
        <f>$B331</f>
        <v>Thaumaturgy</v>
      </c>
      <c r="AE331" t="str">
        <f>IF(IFERROR(MATCH($B331,temp!A$4:A$13,0),0)&gt;0,T08_Spells!AE$2,"")</f>
        <v/>
      </c>
      <c r="AF331" t="str">
        <f>IF(IFERROR(MATCH($B331,temp!B$4:B$13,0),0)&gt;0,T08_Spells!AF$2,"")</f>
        <v/>
      </c>
      <c r="AG331" t="str">
        <f>IF(IFERROR(MATCH($B331,temp!C$4:C$13,0),0)&gt;0,T08_Spells!AG$2,"")</f>
        <v/>
      </c>
      <c r="AH331" t="str">
        <f>IF(IFERROR(MATCH($B331,temp!D$4:D$13,0),0)&gt;0,T08_Spells!AH$2,"")</f>
        <v/>
      </c>
      <c r="AI331" t="str">
        <f>IF(IFERROR(MATCH($B331,temp!E$4:E$13,0),0)&gt;0,T08_Spells!AI$2,"")</f>
        <v/>
      </c>
      <c r="AJ331" t="str">
        <f>IF(IFERROR(MATCH($B331,temp!F$4:F$13,0),0)&gt;0,T08_Spells!AJ$2,"")</f>
        <v/>
      </c>
      <c r="AK331" t="str">
        <f>IF(IFERROR(MATCH($B331,temp!G$4:G$13,0),0)&gt;0,T08_Spells!AK$2,"")</f>
        <v/>
      </c>
      <c r="AL331" t="str">
        <f>IF(IFERROR(MATCH($B331,temp!H$4:H$13,0),0)&gt;0,T08_Spells!AL$2,"")</f>
        <v/>
      </c>
      <c r="AM331" t="str">
        <f>IF(IFERROR(MATCH($B331,temp!I$4:I$13,0),0)&gt;0,T08_Spells!AM$2,"")</f>
        <v/>
      </c>
      <c r="AN331" t="str">
        <f>IF(IFERROR(MATCH($B331,temp!J$4:J$13,0),0)&gt;0,T08_Spells!AN$2,"")</f>
        <v/>
      </c>
      <c r="AO331" t="str">
        <f>IF(IFERROR(MATCH($B331,temp!K$4:K$13,0),0)&gt;0,T08_Spells!AO$2,"")</f>
        <v/>
      </c>
      <c r="AP331" t="str">
        <f>IF(IFERROR(MATCH($B331,temp!L$4:L$13,0),0)&gt;0,T08_Spells!AP$2,"")</f>
        <v/>
      </c>
      <c r="AQ331" t="str">
        <f>IF(IFERROR(MATCH($B331,temp!M$4:M$13,0),0)&gt;0,T08_Spells!AQ$2,"")</f>
        <v/>
      </c>
      <c r="AR331" t="str">
        <f>IF(IFERROR(MATCH($B331,temp!N$4:N$13,0),0)&gt;0,T08_Spells!AR$2,"")</f>
        <v/>
      </c>
      <c r="AS331" t="str">
        <f>IF(IFERROR(MATCH($B331,temp!O$4:O$13,0),0)&gt;0,T08_Spells!AS$2,"")</f>
        <v/>
      </c>
      <c r="AT331" t="str">
        <f>IF(IFERROR(MATCH($B331,temp!P$4:P$13,0),0)&gt;0,T08_Spells!AT$2,"")</f>
        <v/>
      </c>
      <c r="AU331" t="str">
        <f>IF(IFERROR(MATCH($B331,temp!Q$4:Q$13,0),0)&gt;0,T08_Spells!AU$2,"")</f>
        <v/>
      </c>
      <c r="AV331" t="str">
        <f>IF(IFERROR(MATCH($B331,temp!R$4:R$13,0),0)&gt;0,T08_Spells!AV$2,"")</f>
        <v/>
      </c>
      <c r="AW331" t="str">
        <f>IF(IFERROR(MATCH($B331,temp!S$4:S$13,0),0)&gt;0,T08_Spells!AW$2,"")</f>
        <v/>
      </c>
      <c r="AX331" t="str">
        <f>IF(IFERROR(MATCH($B331,temp!T$4:T$13,0),0)&gt;0,T08_Spells!AX$2,"")</f>
        <v/>
      </c>
      <c r="AY331" t="str">
        <f>IF(IFERROR(MATCH($B331,temp!U$4:U$13,0),0)&gt;0,T08_Spells!AY$2,"")</f>
        <v/>
      </c>
      <c r="AZ331" t="str">
        <f>IF(IFERROR(MATCH($B331,temp!V$4:V$13,0),0)&gt;0,T08_Spells!AZ$2,"")</f>
        <v/>
      </c>
      <c r="BA331" t="str">
        <f>IF(IFERROR(MATCH($B331,temp!W$4:W$13,0),0)&gt;0,T08_Spells!BA$2,"")</f>
        <v/>
      </c>
      <c r="BC331">
        <f>IF(IFERROR(SEARCH("Ranger",$T331,1),0)&gt;0,1,0)*IF(RangerMaxSpellLevel&gt;=$C331,1,0)*IF(IFERROR(MATCH(B331,Character_Creation!$X$79:$X$382,0),0)&gt;0,0,1)</f>
        <v>0</v>
      </c>
      <c r="BD331">
        <f>IF(BC331=0,0,1+COUNTIF(BD$3:BD330,"&gt;0"))</f>
        <v>0</v>
      </c>
      <c r="BE331" t="str">
        <f t="shared" si="311"/>
        <v/>
      </c>
      <c r="BF331" t="str">
        <f t="shared" si="283"/>
        <v/>
      </c>
      <c r="BH331">
        <f>IF(IFERROR(SEARCH("Sorcerer",$T331,1),0)&gt;0,1,0)*IF(SorcererMaxSpellLevel&gt;=$C331,1,0)*IF(IFERROR(MATCH(B331,Character_Creation!$J$380:$J$394,0),0)&gt;0,0,1)</f>
        <v>0</v>
      </c>
      <c r="BI331">
        <f>IF(BH331=0,0,1+COUNTIF(BI$3:BI330,"&gt;0"))</f>
        <v>0</v>
      </c>
      <c r="BJ331" t="str">
        <f t="shared" si="312"/>
        <v/>
      </c>
      <c r="BK331" t="str">
        <f t="shared" si="284"/>
        <v/>
      </c>
      <c r="BM331">
        <f>IF(OR(IFERROR(SEARCH("Warlock",$T331,1),0)&gt;0,IFERROR(SEARCH(WarlockPatron,$T331,1),0)&gt;0),1,0)*IF(WarlockMaxSpellLevel&gt;=$C331,1,0)*IF(IFERROR(MATCH(B331,Character_Creation!$J$361:$J$375,0),0)&gt;0,0,1)</f>
        <v>0</v>
      </c>
      <c r="BN331">
        <f>IF(BM331=0,0,1+COUNTIF(BN$3:BN330,"&gt;0"))</f>
        <v>0</v>
      </c>
      <c r="BO331" t="str">
        <f t="shared" si="313"/>
        <v/>
      </c>
      <c r="BP331" t="str">
        <f t="shared" si="285"/>
        <v/>
      </c>
      <c r="BR331">
        <f>IF(IFERROR(SEARCH("Eldritch Knight",$T331,1),0)&gt;0,1,0)*IF(EldritchKnightMaxSpellLevel&gt;=$C331,1,0)*IF(IFERROR(MATCH($B331,Character_Creation!$J$350:$J$356,0),0)&gt;0,0,1)*IF(Character_Creation!$M$338&gt;0,1,0)</f>
        <v>0</v>
      </c>
      <c r="BS331">
        <f>IF(BR331=0,0,1+COUNTIF(BS$3:BS330,"&gt;0"))</f>
        <v>0</v>
      </c>
      <c r="BT331" t="str">
        <f t="shared" si="314"/>
        <v/>
      </c>
      <c r="BU331" t="str">
        <f t="shared" si="286"/>
        <v/>
      </c>
      <c r="BW331">
        <f>IF(IFERROR(SEARCH("Arcane Trickster",$T331,1),0)&gt;0,1,0)*IF(ArcaneTricksterMaxSpellLevel&gt;=$C331,1,0)*IF(IFERROR(MATCH($B331,Character_Creation!$J$350:$J$356,0),0)&gt;0,0,1)*IF(Character_Creation!$T$338&gt;0,1,0)</f>
        <v>0</v>
      </c>
      <c r="BX331">
        <f>IF(BW331=0,0,1+COUNTIF(BX$3:BX330,"&gt;0"))</f>
        <v>0</v>
      </c>
      <c r="BY331" t="str">
        <f t="shared" si="315"/>
        <v/>
      </c>
      <c r="BZ331" t="str">
        <f t="shared" si="287"/>
        <v/>
      </c>
      <c r="CB331">
        <f>IF(IFERROR(SEARCH("Wizard",$T331,1),0)&gt;0,1,0)*IF(C331&lt;=ArcaneTricksterMaxSpellLevel,1,0)*IF(IFERROR(MATCH($B331,Character_Creation!$J$350:$J$356,0),0)&gt;0,0,1)*IF(Character_Creation!$T$350&gt;0,1,0)</f>
        <v>0</v>
      </c>
      <c r="CC331">
        <f>IF(CB331=0,0,1+COUNTIF(CC$3:CC330,"&gt;0"))</f>
        <v>0</v>
      </c>
      <c r="CD331" t="str">
        <f t="shared" si="316"/>
        <v/>
      </c>
      <c r="CE331" t="str">
        <f t="shared" si="288"/>
        <v/>
      </c>
      <c r="CG331">
        <f>IF(IFERROR(SEARCH("Wizard",$T331,1),0)&gt;0,1,0)*IF($C331&lt;=EldritchKnightMaxSpellLevel,1,0)*IF(IFERROR(MATCH($B331,Character_Creation!$J$350:$J$356,0),0)&gt;0,0,1)*IF(Character_Creation!$M$350&gt;0,1,0)</f>
        <v>0</v>
      </c>
      <c r="CH331">
        <f>IF(CG331=0,0,1+COUNTIF(CH$3:CH330,"&gt;0"))</f>
        <v>0</v>
      </c>
      <c r="CI331" t="str">
        <f t="shared" si="317"/>
        <v/>
      </c>
      <c r="CJ331" t="str">
        <f t="shared" si="289"/>
        <v/>
      </c>
      <c r="CL331">
        <f>IF(IFERROR(SEARCH("Bard",$T331,1),0)&gt;0,1,0)*IF(BardMaxSpellLevel&gt;=$C331,1,0)*IF(IFERROR(MATCH(B331,Character_Creation!$C$341:$F$362,0),0)&gt;0,0,1)*IF(IFERROR(MATCH($B331,Character_Creation!$C$341:$C$362,0),0)&gt;0,0,1)</f>
        <v>0</v>
      </c>
      <c r="CM331">
        <f>IF(CL331=0,0,1+COUNTIF(CM$3:CM330,"&gt;0"))</f>
        <v>0</v>
      </c>
      <c r="CN331" t="str">
        <f t="shared" si="318"/>
        <v/>
      </c>
      <c r="CO331" t="str">
        <f t="shared" si="290"/>
        <v/>
      </c>
      <c r="CQ331">
        <f>IF(IFERROR(SEARCH("Wizard",$T331,1),0)&gt;0,1,0)*IF(WizardMaxSpellLevel&gt;=$C331,1,0)*IF(IFERROR(MATCH(B331,Character_Creation!$X$341:$X$400,0),0)&gt;0,0,1)*IF(SelectedWizardSpellLevel=$C331,1,0)</f>
        <v>0</v>
      </c>
      <c r="CR331">
        <f>IF(CQ331=0,0,1+COUNTIF(CR$3:CR330,"&gt;0"))</f>
        <v>0</v>
      </c>
      <c r="CS331" t="str">
        <f t="shared" si="319"/>
        <v/>
      </c>
      <c r="CT331" t="str">
        <f t="shared" si="291"/>
        <v/>
      </c>
      <c r="CV331">
        <f>IF(IFERROR(MATCH($B331,Character_Creation!$C$341:$C$362,0),0)&gt;0,0,1)*IF(OR(C331="Cantrip",C331&lt;=BardMaxSpellLevel),1,0)*IF(IFERROR(MATCH($B331,Character_Creation!$C$367:$C$374,0),0)&gt;0,0,1)</f>
        <v>1</v>
      </c>
      <c r="CW331">
        <f>IF(CV331=0,0,1+COUNTIF(CW$3:CW330,"&gt;0"))</f>
        <v>24</v>
      </c>
      <c r="CX331" t="str">
        <f t="shared" si="320"/>
        <v/>
      </c>
      <c r="CY331" t="str">
        <f t="shared" si="292"/>
        <v/>
      </c>
      <c r="DA331">
        <f>IF(IF(OR(IFERROR(SEARCH("Cleric",$T331,1),0)&gt;0,IFERROR(SEARCH(DivineDomain&amp;",",$T331,1),0)&gt;0),1,0)*IF($C331=DA$2,1,0)=1,1+COUNTIF(DA$3:DA330,"&gt;0"),0)</f>
        <v>0</v>
      </c>
      <c r="DB331">
        <f>IF(IF(OR(IFERROR(SEARCH("Cleric",$T331,1),0)&gt;0,IFERROR(SEARCH(DivineDomain&amp;",",$T331,1),0)&gt;0),1,0)*IF($C331=DB$2,1,0)=1,1+COUNTIF(DB$3:DB330,"&gt;0"),0)</f>
        <v>0</v>
      </c>
      <c r="DC331">
        <f>IF(IF(OR(IFERROR(SEARCH("Cleric",$T331,1),0)&gt;0,IFERROR(SEARCH(DivineDomain&amp;",",$T331,1),0)&gt;0),1,0)*IF($C331=DC$2,1,0)=1,1+COUNTIF(DC$3:DC330,"&gt;0"),0)</f>
        <v>0</v>
      </c>
      <c r="DD331">
        <f>IF(IF(OR(IFERROR(SEARCH("Cleric",$T331,1),0)&gt;0,IFERROR(SEARCH(DivineDomain&amp;",",$T331,1),0)&gt;0),1,0)*IF($C331=DD$2,1,0)=1,1+COUNTIF(DD$3:DD330,"&gt;0"),0)</f>
        <v>0</v>
      </c>
      <c r="DE331">
        <f>IF(IF(OR(IFERROR(SEARCH("Cleric",$T331,1),0)&gt;0,IFERROR(SEARCH(DivineDomain&amp;",",$T331,1),0)&gt;0),1,0)*IF($C331=DE$2,1,0)=1,1+COUNTIF(DE$3:DE330,"&gt;0"),0)</f>
        <v>0</v>
      </c>
      <c r="DF331">
        <f>IF(IF(OR(IFERROR(SEARCH("Cleric",$T331,1),0)&gt;0,IFERROR(SEARCH(DivineDomain&amp;",",$T331,1),0)&gt;0),1,0)*IF($C331=DF$2,1,0)=1,1+COUNTIF(DF$3:DF330,"&gt;0"),0)</f>
        <v>0</v>
      </c>
      <c r="DG331">
        <f>IF(IF(OR(IFERROR(SEARCH("Cleric",$T331,1),0)&gt;0,IFERROR(SEARCH(DivineDomain&amp;",",$T331,1),0)&gt;0),1,0)*IF($C331=DG$2,1,0)=1,1+COUNTIF(DG$3:DG330,"&gt;0"),0)</f>
        <v>0</v>
      </c>
      <c r="DH331">
        <f>IF(IF(OR(IFERROR(SEARCH("Cleric",$T331,1),0)&gt;0,IFERROR(SEARCH(DivineDomain&amp;",",$T331,1),0)&gt;0),1,0)*IF($C331=DH$2,1,0)=1,1+COUNTIF(DH$3:DH330,"&gt;0"),0)</f>
        <v>0</v>
      </c>
      <c r="DI331">
        <f>IF(IF(OR(IFERROR(SEARCH("Cleric",$T331,1),0)&gt;0,IFERROR(SEARCH(DivineDomain&amp;",",$T331,1),0)&gt;0),1,0)*IF($C331=DI$2,1,0)=1,1+COUNTIF(DI$3:DI330,"&gt;0"),0)</f>
        <v>0</v>
      </c>
      <c r="DJ331">
        <f>IF(IF(OR(IFERROR(SEARCH("Druid",$T331,1),0)&gt;0,IFERROR(SEARCH(DruidLand1,$T331,1),0)&gt;0,IFERROR(SEARCH(DruidLand2,$T331,1),0)&gt;0,IFERROR(SEARCH(DruidLand3,$T331,1),0)&gt;0,IFERROR(SEARCH(DruidLand4,$T331,1),0)&gt;0),1,0)*IF($C331=1,1,0)*IF($C331=DJ$2,1,0)=0,0,1+COUNTIF(DJ$3:DJ330,"&gt;0"))</f>
        <v>0</v>
      </c>
      <c r="DK331">
        <f>IF(IF(OR(IFERROR(SEARCH("Druid",$T331,1),0)&gt;0,IFERROR(SEARCH(DruidLand1,$T331,1),0)&gt;0,IFERROR(SEARCH(DruidLand2,$T331,1),0)&gt;0,IFERROR(SEARCH(DruidLand3,$T331,1),0)&gt;0,IFERROR(SEARCH(DruidLand4,$T331,1),0)&gt;0),1,0)*IF($C331=1,1,0)*IF($C331=DK$2,1,0)=0,0,1+COUNTIF(DK$3:DK330,"&gt;0"))</f>
        <v>0</v>
      </c>
      <c r="DL331">
        <f>IF(IF(OR(IFERROR(SEARCH("Druid",$T331,1),0)&gt;0,IFERROR(SEARCH(DruidLand1,$T331,1),0)&gt;0,IFERROR(SEARCH(DruidLand2,$T331,1),0)&gt;0,IFERROR(SEARCH(DruidLand3,$T331,1),0)&gt;0,IFERROR(SEARCH(DruidLand4,$T331,1),0)&gt;0),1,0)*IF($C331=1,1,0)*IF($C331=DL$2,1,0)=0,0,1+COUNTIF(DL$3:DL330,"&gt;0"))</f>
        <v>0</v>
      </c>
      <c r="DM331">
        <f>IF(IF(OR(IFERROR(SEARCH("Druid",$T331,1),0)&gt;0,IFERROR(SEARCH(DruidLand1,$T331,1),0)&gt;0,IFERROR(SEARCH(DruidLand2,$T331,1),0)&gt;0,IFERROR(SEARCH(DruidLand3,$T331,1),0)&gt;0,IFERROR(SEARCH(DruidLand4,$T331,1),0)&gt;0),1,0)*IF($C331=1,1,0)*IF($C331=DM$2,1,0)=0,0,1+COUNTIF(DM$3:DM330,"&gt;0"))</f>
        <v>0</v>
      </c>
      <c r="DN331">
        <f>IF(IF(OR(IFERROR(SEARCH("Druid",$T331,1),0)&gt;0,IFERROR(SEARCH(DruidLand1,$T331,1),0)&gt;0,IFERROR(SEARCH(DruidLand2,$T331,1),0)&gt;0,IFERROR(SEARCH(DruidLand3,$T331,1),0)&gt;0,IFERROR(SEARCH(DruidLand4,$T331,1),0)&gt;0),1,0)*IF($C331=1,1,0)*IF($C331=DN$2,1,0)=0,0,1+COUNTIF(DN$3:DN330,"&gt;0"))</f>
        <v>0</v>
      </c>
      <c r="DO331">
        <f>IF(IF(OR(IFERROR(SEARCH("Druid",$T331,1),0)&gt;0,IFERROR(SEARCH(DruidLand1,$T331,1),0)&gt;0,IFERROR(SEARCH(DruidLand2,$T331,1),0)&gt;0,IFERROR(SEARCH(DruidLand3,$T331,1),0)&gt;0,IFERROR(SEARCH(DruidLand4,$T331,1),0)&gt;0),1,0)*IF($C331=1,1,0)*IF($C331=DO$2,1,0)=0,0,1+COUNTIF(DO$3:DO330,"&gt;0"))</f>
        <v>0</v>
      </c>
      <c r="DP331">
        <f>IF(IF(OR(IFERROR(SEARCH("Druid",$T331,1),0)&gt;0,IFERROR(SEARCH(DruidLand1,$T331,1),0)&gt;0,IFERROR(SEARCH(DruidLand2,$T331,1),0)&gt;0,IFERROR(SEARCH(DruidLand3,$T331,1),0)&gt;0,IFERROR(SEARCH(DruidLand4,$T331,1),0)&gt;0),1,0)*IF($C331=1,1,0)*IF($C331=DP$2,1,0)=0,0,1+COUNTIF(DP$3:DP330,"&gt;0"))</f>
        <v>0</v>
      </c>
      <c r="DQ331">
        <f>IF(IF(OR(IFERROR(SEARCH("Druid",$T331,1),0)&gt;0,IFERROR(SEARCH(DruidLand1,$T331,1),0)&gt;0,IFERROR(SEARCH(DruidLand2,$T331,1),0)&gt;0,IFERROR(SEARCH(DruidLand3,$T331,1),0)&gt;0,IFERROR(SEARCH(DruidLand4,$T331,1),0)&gt;0),1,0)*IF($C331=1,1,0)*IF($C331=DQ$2,1,0)=0,0,1+COUNTIF(DQ$3:DQ330,"&gt;0"))</f>
        <v>0</v>
      </c>
      <c r="DR331">
        <f>IF(IF(OR(IFERROR(SEARCH("Druid",$T331,1),0)&gt;0,IFERROR(SEARCH(DruidLand1,$T331,1),0)&gt;0,IFERROR(SEARCH(DruidLand2,$T331,1),0)&gt;0,IFERROR(SEARCH(DruidLand3,$T331,1),0)&gt;0,IFERROR(SEARCH(DruidLand4,$T331,1),0)&gt;0),1,0)*IF($C331=1,1,0)*IF($C331=DR$2,1,0)=0,0,1+COUNTIF(DR$3:DR330,"&gt;0"))</f>
        <v>0</v>
      </c>
      <c r="DS331">
        <f>IF(IF(OR(IFERROR(SEARCH("Paladin",$T331,1),0)&gt;0,IFERROR(SEARCH(PaladinOath,$T331,1),0)&gt;0),1,0)*IF($C331=DS$2,1,0)=1,1+COUNTIF(DS$3:DS330,"&gt;0"),0)</f>
        <v>0</v>
      </c>
      <c r="DT331">
        <f>IF(IF(OR(IFERROR(SEARCH("Paladin",$T331,1),0)&gt;0,IFERROR(SEARCH(PaladinOath,$T331,1),0)&gt;0),1,0)*IF($C331=DT$2,1,0)=1,1+COUNTIF(DT$3:DT330,"&gt;0"),0)</f>
        <v>0</v>
      </c>
      <c r="DU331">
        <f>IF(IF(OR(IFERROR(SEARCH("Paladin",$T331,1),0)&gt;0,IFERROR(SEARCH(PaladinOath,$T331,1),0)&gt;0),1,0)*IF($C331=DU$2,1,0)=1,1+COUNTIF(DU$3:DU330,"&gt;0"),0)</f>
        <v>0</v>
      </c>
      <c r="DV331">
        <f>IF(IF(OR(IFERROR(SEARCH("Paladin",$T331,1),0)&gt;0,IFERROR(SEARCH(PaladinOath,$T331,1),0)&gt;0),1,0)*IF($C331=DV$2,1,0)=1,1+COUNTIF(DV$3:DV330,"&gt;0"),0)</f>
        <v>0</v>
      </c>
      <c r="DW331">
        <f>IF(IF(OR(IFERROR(SEARCH("Paladin",$T331,1),0)&gt;0,IFERROR(SEARCH(PaladinOath,$T331,1),0)&gt;0),1,0)*IF($C331=DW$2,1,0)=1,1+COUNTIF(DW$3:DW330,"&gt;0"),0)</f>
        <v>0</v>
      </c>
      <c r="DY331">
        <f t="shared" si="278"/>
        <v>1</v>
      </c>
      <c r="DZ331">
        <f>IF(DY331=0,0,1+MAX(DZ$3:$DZ330))</f>
        <v>329</v>
      </c>
      <c r="EB331">
        <f t="shared" si="293"/>
        <v>0</v>
      </c>
      <c r="EC331">
        <f>IF(EB331=0,0,1+COUNTIF(EC$3:EC330,"&gt;0"))</f>
        <v>0</v>
      </c>
      <c r="ED331" t="str">
        <f t="shared" si="321"/>
        <v/>
      </c>
      <c r="EE331" t="str">
        <f t="shared" si="294"/>
        <v/>
      </c>
      <c r="EG331">
        <f t="shared" si="295"/>
        <v>1</v>
      </c>
      <c r="EH331">
        <f>IF(EG331=0,0,1+COUNTIF(EH$3:EH330,"&gt;0"))</f>
        <v>6</v>
      </c>
      <c r="EI331" t="str">
        <f t="shared" si="322"/>
        <v/>
      </c>
      <c r="EJ331" t="str">
        <f t="shared" si="296"/>
        <v/>
      </c>
      <c r="EL331">
        <f t="shared" si="297"/>
        <v>0</v>
      </c>
      <c r="EM331">
        <f>IF(EL331=0,0,1+COUNTIF(EM$3:EM330,"&gt;0"))</f>
        <v>0</v>
      </c>
      <c r="EN331" t="str">
        <f t="shared" si="323"/>
        <v/>
      </c>
      <c r="EO331" t="str">
        <f t="shared" si="298"/>
        <v/>
      </c>
      <c r="EQ331">
        <f t="shared" si="299"/>
        <v>0</v>
      </c>
      <c r="ER331">
        <f>IF(EQ331=0,0,1+COUNTIF(ER$3:ER330,"&gt;0"))</f>
        <v>0</v>
      </c>
      <c r="ES331" t="str">
        <f t="shared" si="324"/>
        <v/>
      </c>
      <c r="ET331" t="str">
        <f t="shared" si="300"/>
        <v/>
      </c>
      <c r="EV331">
        <f t="shared" si="301"/>
        <v>0</v>
      </c>
      <c r="EW331">
        <f>IF(EV331=0,0,1+COUNTIF(EW$3:EW330,"&gt;0"))</f>
        <v>0</v>
      </c>
      <c r="EX331" t="str">
        <f t="shared" si="325"/>
        <v/>
      </c>
      <c r="EY331" t="str">
        <f t="shared" si="302"/>
        <v/>
      </c>
      <c r="FA331">
        <f t="shared" si="303"/>
        <v>0</v>
      </c>
      <c r="FB331">
        <f>IF(FA331=0,0,1+COUNTIF(FB$3:FB330,"&gt;0"))</f>
        <v>0</v>
      </c>
      <c r="FC331" t="str">
        <f t="shared" si="326"/>
        <v/>
      </c>
      <c r="FD331" t="str">
        <f t="shared" si="304"/>
        <v/>
      </c>
      <c r="FF331">
        <f t="shared" si="305"/>
        <v>0</v>
      </c>
      <c r="FG331">
        <f>IF(FF331=0,0,1+COUNTIF(FG$3:FG330,"&gt;0"))</f>
        <v>0</v>
      </c>
      <c r="FH331" t="str">
        <f t="shared" si="327"/>
        <v/>
      </c>
      <c r="FI331" t="str">
        <f t="shared" si="306"/>
        <v/>
      </c>
      <c r="FK331">
        <f t="shared" si="307"/>
        <v>0</v>
      </c>
      <c r="FL331">
        <f>IF(FK331=0,0,1+COUNTIF(FL$3:FL330,"&gt;0"))</f>
        <v>0</v>
      </c>
      <c r="FM331" t="str">
        <f t="shared" si="328"/>
        <v/>
      </c>
      <c r="FN331" t="str">
        <f t="shared" si="308"/>
        <v/>
      </c>
      <c r="FP331">
        <f t="shared" si="309"/>
        <v>0</v>
      </c>
      <c r="FQ331">
        <f>IF(FP331=0,0,1+COUNTIF(FQ$3:FQ330,"&gt;0"))</f>
        <v>0</v>
      </c>
      <c r="FR331" t="str">
        <f t="shared" si="329"/>
        <v/>
      </c>
      <c r="FS331" t="str">
        <f t="shared" si="310"/>
        <v/>
      </c>
    </row>
    <row r="332" spans="1:175" x14ac:dyDescent="0.25">
      <c r="A332" s="347">
        <f t="shared" si="276"/>
        <v>330</v>
      </c>
      <c r="B332" s="348" t="s">
        <v>2729</v>
      </c>
      <c r="C332" s="348" t="s">
        <v>5277</v>
      </c>
      <c r="D332" s="347">
        <v>0.5</v>
      </c>
      <c r="E332" s="627" t="s">
        <v>6952</v>
      </c>
      <c r="F332" s="346"/>
      <c r="G332" s="347" t="str">
        <f>""</f>
        <v/>
      </c>
      <c r="H332" s="347" t="s">
        <v>5912</v>
      </c>
      <c r="I332" s="347" t="s">
        <v>5060</v>
      </c>
      <c r="J332" s="347" t="str">
        <f t="shared" si="279"/>
        <v/>
      </c>
      <c r="K332" s="347" t="s">
        <v>5278</v>
      </c>
      <c r="L332" s="611" t="str">
        <f t="shared" si="280"/>
        <v>V, S, M, the stem of a plant with thorns</v>
      </c>
      <c r="M332" s="347" t="s">
        <v>2373</v>
      </c>
      <c r="N332" s="347" t="s">
        <v>2387</v>
      </c>
      <c r="O332" s="347" t="s">
        <v>1244</v>
      </c>
      <c r="P332" s="346" t="s">
        <v>5499</v>
      </c>
      <c r="Q332" s="347" t="s">
        <v>5276</v>
      </c>
      <c r="S332" s="346" t="s">
        <v>5845</v>
      </c>
      <c r="T332" s="346" t="str">
        <f t="shared" si="281"/>
        <v xml:space="preserve">Druid, </v>
      </c>
      <c r="AA332" s="347" t="str">
        <f>$B332</f>
        <v>Thorn Whip</v>
      </c>
      <c r="AE332" t="str">
        <f>IF(IFERROR(MATCH($B332,temp!A$4:A$13,0),0)&gt;0,T08_Spells!AE$2,"")</f>
        <v/>
      </c>
      <c r="AF332" t="str">
        <f>IF(IFERROR(MATCH($B332,temp!B$4:B$13,0),0)&gt;0,T08_Spells!AF$2,"")</f>
        <v/>
      </c>
      <c r="AG332" t="str">
        <f>IF(IFERROR(MATCH($B332,temp!C$4:C$13,0),0)&gt;0,T08_Spells!AG$2,"")</f>
        <v/>
      </c>
      <c r="AH332" t="str">
        <f>IF(IFERROR(MATCH($B332,temp!D$4:D$13,0),0)&gt;0,T08_Spells!AH$2,"")</f>
        <v/>
      </c>
      <c r="AI332" t="str">
        <f>IF(IFERROR(MATCH($B332,temp!E$4:E$13,0),0)&gt;0,T08_Spells!AI$2,"")</f>
        <v/>
      </c>
      <c r="AJ332" t="str">
        <f>IF(IFERROR(MATCH($B332,temp!F$4:F$13,0),0)&gt;0,T08_Spells!AJ$2,"")</f>
        <v/>
      </c>
      <c r="AK332" t="str">
        <f>IF(IFERROR(MATCH($B332,temp!G$4:G$13,0),0)&gt;0,T08_Spells!AK$2,"")</f>
        <v/>
      </c>
      <c r="AL332" t="str">
        <f>IF(IFERROR(MATCH($B332,temp!H$4:H$13,0),0)&gt;0,T08_Spells!AL$2,"")</f>
        <v/>
      </c>
      <c r="AM332" t="str">
        <f>IF(IFERROR(MATCH($B332,temp!I$4:I$13,0),0)&gt;0,T08_Spells!AM$2,"")</f>
        <v/>
      </c>
      <c r="AN332" t="str">
        <f>IF(IFERROR(MATCH($B332,temp!J$4:J$13,0),0)&gt;0,T08_Spells!AN$2,"")</f>
        <v/>
      </c>
      <c r="AO332" t="str">
        <f>IF(IFERROR(MATCH($B332,temp!K$4:K$13,0),0)&gt;0,T08_Spells!AO$2,"")</f>
        <v/>
      </c>
      <c r="AP332" t="str">
        <f>IF(IFERROR(MATCH($B332,temp!L$4:L$13,0),0)&gt;0,T08_Spells!AP$2,"")</f>
        <v/>
      </c>
      <c r="AQ332" t="str">
        <f>IF(IFERROR(MATCH($B332,temp!M$4:M$13,0),0)&gt;0,T08_Spells!AQ$2,"")</f>
        <v/>
      </c>
      <c r="AR332" t="str">
        <f>IF(IFERROR(MATCH($B332,temp!N$4:N$13,0),0)&gt;0,T08_Spells!AR$2,"")</f>
        <v/>
      </c>
      <c r="AS332" t="str">
        <f>IF(IFERROR(MATCH($B332,temp!O$4:O$13,0),0)&gt;0,T08_Spells!AS$2,"")</f>
        <v/>
      </c>
      <c r="AT332" t="str">
        <f>IF(IFERROR(MATCH($B332,temp!P$4:P$13,0),0)&gt;0,T08_Spells!AT$2,"")</f>
        <v/>
      </c>
      <c r="AU332" t="str">
        <f>IF(IFERROR(MATCH($B332,temp!Q$4:Q$13,0),0)&gt;0,T08_Spells!AU$2,"")</f>
        <v/>
      </c>
      <c r="AV332" t="str">
        <f>IF(IFERROR(MATCH($B332,temp!R$4:R$13,0),0)&gt;0,T08_Spells!AV$2,"")</f>
        <v/>
      </c>
      <c r="AW332" t="str">
        <f>IF(IFERROR(MATCH($B332,temp!S$4:S$13,0),0)&gt;0,T08_Spells!AW$2,"")</f>
        <v/>
      </c>
      <c r="AX332" t="str">
        <f>IF(IFERROR(MATCH($B332,temp!T$4:T$13,0),0)&gt;0,T08_Spells!AX$2,"")</f>
        <v/>
      </c>
      <c r="AY332" t="str">
        <f>IF(IFERROR(MATCH($B332,temp!U$4:U$13,0),0)&gt;0,T08_Spells!AY$2,"")</f>
        <v/>
      </c>
      <c r="AZ332" t="str">
        <f>IF(IFERROR(MATCH($B332,temp!V$4:V$13,0),0)&gt;0,T08_Spells!AZ$2,"")</f>
        <v/>
      </c>
      <c r="BA332" t="str">
        <f>IF(IFERROR(MATCH($B332,temp!W$4:W$13,0),0)&gt;0,T08_Spells!BA$2,"")</f>
        <v/>
      </c>
      <c r="BC332">
        <f>IF(IFERROR(SEARCH("Ranger",$T332,1),0)&gt;0,1,0)*IF(RangerMaxSpellLevel&gt;=$C332,1,0)*IF(IFERROR(MATCH(B332,Character_Creation!$X$79:$X$382,0),0)&gt;0,0,1)</f>
        <v>0</v>
      </c>
      <c r="BD332">
        <f>IF(BC332=0,0,1+COUNTIF(BD$3:BD331,"&gt;0"))</f>
        <v>0</v>
      </c>
      <c r="BE332" t="str">
        <f t="shared" si="311"/>
        <v/>
      </c>
      <c r="BF332" t="str">
        <f t="shared" si="283"/>
        <v/>
      </c>
      <c r="BH332">
        <f>IF(IFERROR(SEARCH("Sorcerer",$T332,1),0)&gt;0,1,0)*IF(SorcererMaxSpellLevel&gt;=$C332,1,0)*IF(IFERROR(MATCH(B332,Character_Creation!$J$380:$J$394,0),0)&gt;0,0,1)</f>
        <v>0</v>
      </c>
      <c r="BI332">
        <f>IF(BH332=0,0,1+COUNTIF(BI$3:BI331,"&gt;0"))</f>
        <v>0</v>
      </c>
      <c r="BJ332" t="str">
        <f t="shared" si="312"/>
        <v/>
      </c>
      <c r="BK332" t="str">
        <f t="shared" si="284"/>
        <v/>
      </c>
      <c r="BM332">
        <f>IF(OR(IFERROR(SEARCH("Warlock",$T332,1),0)&gt;0,IFERROR(SEARCH(WarlockPatron,$T332,1),0)&gt;0),1,0)*IF(WarlockMaxSpellLevel&gt;=$C332,1,0)*IF(IFERROR(MATCH(B332,Character_Creation!$J$361:$J$375,0),0)&gt;0,0,1)</f>
        <v>0</v>
      </c>
      <c r="BN332">
        <f>IF(BM332=0,0,1+COUNTIF(BN$3:BN331,"&gt;0"))</f>
        <v>0</v>
      </c>
      <c r="BO332" t="str">
        <f t="shared" si="313"/>
        <v/>
      </c>
      <c r="BP332" t="str">
        <f t="shared" si="285"/>
        <v/>
      </c>
      <c r="BR332">
        <f>IF(IFERROR(SEARCH("Eldritch Knight",$T332,1),0)&gt;0,1,0)*IF(EldritchKnightMaxSpellLevel&gt;=$C332,1,0)*IF(IFERROR(MATCH($B332,Character_Creation!$J$350:$J$356,0),0)&gt;0,0,1)*IF(Character_Creation!$M$338&gt;0,1,0)</f>
        <v>0</v>
      </c>
      <c r="BS332">
        <f>IF(BR332=0,0,1+COUNTIF(BS$3:BS331,"&gt;0"))</f>
        <v>0</v>
      </c>
      <c r="BT332" t="str">
        <f t="shared" si="314"/>
        <v/>
      </c>
      <c r="BU332" t="str">
        <f t="shared" si="286"/>
        <v/>
      </c>
      <c r="BW332">
        <f>IF(IFERROR(SEARCH("Arcane Trickster",$T332,1),0)&gt;0,1,0)*IF(ArcaneTricksterMaxSpellLevel&gt;=$C332,1,0)*IF(IFERROR(MATCH($B332,Character_Creation!$J$350:$J$356,0),0)&gt;0,0,1)*IF(Character_Creation!$T$338&gt;0,1,0)</f>
        <v>0</v>
      </c>
      <c r="BX332">
        <f>IF(BW332=0,0,1+COUNTIF(BX$3:BX331,"&gt;0"))</f>
        <v>0</v>
      </c>
      <c r="BY332" t="str">
        <f t="shared" si="315"/>
        <v/>
      </c>
      <c r="BZ332" t="str">
        <f t="shared" si="287"/>
        <v/>
      </c>
      <c r="CB332">
        <f>IF(IFERROR(SEARCH("Wizard",$T332,1),0)&gt;0,1,0)*IF(C332&lt;=ArcaneTricksterMaxSpellLevel,1,0)*IF(IFERROR(MATCH($B332,Character_Creation!$J$350:$J$356,0),0)&gt;0,0,1)*IF(Character_Creation!$T$350&gt;0,1,0)</f>
        <v>0</v>
      </c>
      <c r="CC332">
        <f>IF(CB332=0,0,1+COUNTIF(CC$3:CC331,"&gt;0"))</f>
        <v>0</v>
      </c>
      <c r="CD332" t="str">
        <f t="shared" si="316"/>
        <v/>
      </c>
      <c r="CE332" t="str">
        <f t="shared" si="288"/>
        <v/>
      </c>
      <c r="CG332">
        <f>IF(IFERROR(SEARCH("Wizard",$T332,1),0)&gt;0,1,0)*IF($C332&lt;=EldritchKnightMaxSpellLevel,1,0)*IF(IFERROR(MATCH($B332,Character_Creation!$J$350:$J$356,0),0)&gt;0,0,1)*IF(Character_Creation!$M$350&gt;0,1,0)</f>
        <v>0</v>
      </c>
      <c r="CH332">
        <f>IF(CG332=0,0,1+COUNTIF(CH$3:CH331,"&gt;0"))</f>
        <v>0</v>
      </c>
      <c r="CI332" t="str">
        <f t="shared" si="317"/>
        <v/>
      </c>
      <c r="CJ332" t="str">
        <f t="shared" si="289"/>
        <v/>
      </c>
      <c r="CL332">
        <f>IF(IFERROR(SEARCH("Bard",$T332,1),0)&gt;0,1,0)*IF(BardMaxSpellLevel&gt;=$C332,1,0)*IF(IFERROR(MATCH(B332,Character_Creation!$C$341:$F$362,0),0)&gt;0,0,1)*IF(IFERROR(MATCH($B332,Character_Creation!$C$341:$C$362,0),0)&gt;0,0,1)</f>
        <v>0</v>
      </c>
      <c r="CM332">
        <f>IF(CL332=0,0,1+COUNTIF(CM$3:CM331,"&gt;0"))</f>
        <v>0</v>
      </c>
      <c r="CN332" t="str">
        <f t="shared" si="318"/>
        <v/>
      </c>
      <c r="CO332" t="str">
        <f t="shared" si="290"/>
        <v/>
      </c>
      <c r="CQ332">
        <f>IF(IFERROR(SEARCH("Wizard",$T332,1),0)&gt;0,1,0)*IF(WizardMaxSpellLevel&gt;=$C332,1,0)*IF(IFERROR(MATCH(B332,Character_Creation!$X$341:$X$400,0),0)&gt;0,0,1)*IF(SelectedWizardSpellLevel=$C332,1,0)</f>
        <v>0</v>
      </c>
      <c r="CR332">
        <f>IF(CQ332=0,0,1+COUNTIF(CR$3:CR331,"&gt;0"))</f>
        <v>0</v>
      </c>
      <c r="CS332" t="str">
        <f t="shared" si="319"/>
        <v/>
      </c>
      <c r="CT332" t="str">
        <f t="shared" si="291"/>
        <v/>
      </c>
      <c r="CV332">
        <f>IF(IFERROR(MATCH($B332,Character_Creation!$C$341:$C$362,0),0)&gt;0,0,1)*IF(OR(C332="Cantrip",C332&lt;=BardMaxSpellLevel),1,0)*IF(IFERROR(MATCH($B332,Character_Creation!$C$367:$C$374,0),0)&gt;0,0,1)</f>
        <v>1</v>
      </c>
      <c r="CW332">
        <f>IF(CV332=0,0,1+COUNTIF(CW$3:CW331,"&gt;0"))</f>
        <v>25</v>
      </c>
      <c r="CX332" t="str">
        <f t="shared" si="320"/>
        <v/>
      </c>
      <c r="CY332" t="str">
        <f t="shared" si="292"/>
        <v/>
      </c>
      <c r="DA332">
        <f>IF(IF(OR(IFERROR(SEARCH("Cleric",$T332,1),0)&gt;0,IFERROR(SEARCH(DivineDomain&amp;",",$T332,1),0)&gt;0),1,0)*IF($C332=DA$2,1,0)=1,1+COUNTIF(DA$3:DA331,"&gt;0"),0)</f>
        <v>0</v>
      </c>
      <c r="DB332">
        <f>IF(IF(OR(IFERROR(SEARCH("Cleric",$T332,1),0)&gt;0,IFERROR(SEARCH(DivineDomain&amp;",",$T332,1),0)&gt;0),1,0)*IF($C332=DB$2,1,0)=1,1+COUNTIF(DB$3:DB331,"&gt;0"),0)</f>
        <v>0</v>
      </c>
      <c r="DC332">
        <f>IF(IF(OR(IFERROR(SEARCH("Cleric",$T332,1),0)&gt;0,IFERROR(SEARCH(DivineDomain&amp;",",$T332,1),0)&gt;0),1,0)*IF($C332=DC$2,1,0)=1,1+COUNTIF(DC$3:DC331,"&gt;0"),0)</f>
        <v>0</v>
      </c>
      <c r="DD332">
        <f>IF(IF(OR(IFERROR(SEARCH("Cleric",$T332,1),0)&gt;0,IFERROR(SEARCH(DivineDomain&amp;",",$T332,1),0)&gt;0),1,0)*IF($C332=DD$2,1,0)=1,1+COUNTIF(DD$3:DD331,"&gt;0"),0)</f>
        <v>0</v>
      </c>
      <c r="DE332">
        <f>IF(IF(OR(IFERROR(SEARCH("Cleric",$T332,1),0)&gt;0,IFERROR(SEARCH(DivineDomain&amp;",",$T332,1),0)&gt;0),1,0)*IF($C332=DE$2,1,0)=1,1+COUNTIF(DE$3:DE331,"&gt;0"),0)</f>
        <v>0</v>
      </c>
      <c r="DF332">
        <f>IF(IF(OR(IFERROR(SEARCH("Cleric",$T332,1),0)&gt;0,IFERROR(SEARCH(DivineDomain&amp;",",$T332,1),0)&gt;0),1,0)*IF($C332=DF$2,1,0)=1,1+COUNTIF(DF$3:DF331,"&gt;0"),0)</f>
        <v>0</v>
      </c>
      <c r="DG332">
        <f>IF(IF(OR(IFERROR(SEARCH("Cleric",$T332,1),0)&gt;0,IFERROR(SEARCH(DivineDomain&amp;",",$T332,1),0)&gt;0),1,0)*IF($C332=DG$2,1,0)=1,1+COUNTIF(DG$3:DG331,"&gt;0"),0)</f>
        <v>0</v>
      </c>
      <c r="DH332">
        <f>IF(IF(OR(IFERROR(SEARCH("Cleric",$T332,1),0)&gt;0,IFERROR(SEARCH(DivineDomain&amp;",",$T332,1),0)&gt;0),1,0)*IF($C332=DH$2,1,0)=1,1+COUNTIF(DH$3:DH331,"&gt;0"),0)</f>
        <v>0</v>
      </c>
      <c r="DI332">
        <f>IF(IF(OR(IFERROR(SEARCH("Cleric",$T332,1),0)&gt;0,IFERROR(SEARCH(DivineDomain&amp;",",$T332,1),0)&gt;0),1,0)*IF($C332=DI$2,1,0)=1,1+COUNTIF(DI$3:DI331,"&gt;0"),0)</f>
        <v>0</v>
      </c>
      <c r="DJ332">
        <f>IF(IF(OR(IFERROR(SEARCH("Druid",$T332,1),0)&gt;0,IFERROR(SEARCH(DruidLand1,$T332,1),0)&gt;0,IFERROR(SEARCH(DruidLand2,$T332,1),0)&gt;0,IFERROR(SEARCH(DruidLand3,$T332,1),0)&gt;0,IFERROR(SEARCH(DruidLand4,$T332,1),0)&gt;0),1,0)*IF($C332=1,1,0)*IF($C332=DJ$2,1,0)=0,0,1+COUNTIF(DJ$3:DJ331,"&gt;0"))</f>
        <v>0</v>
      </c>
      <c r="DK332">
        <f>IF(IF(OR(IFERROR(SEARCH("Druid",$T332,1),0)&gt;0,IFERROR(SEARCH(DruidLand1,$T332,1),0)&gt;0,IFERROR(SEARCH(DruidLand2,$T332,1),0)&gt;0,IFERROR(SEARCH(DruidLand3,$T332,1),0)&gt;0,IFERROR(SEARCH(DruidLand4,$T332,1),0)&gt;0),1,0)*IF($C332=DK$2,1,0)=0,0,1+COUNTIF(DK$3:DK331,"&gt;0"))</f>
        <v>0</v>
      </c>
      <c r="DL332">
        <f>IF(IF(OR(IFERROR(SEARCH("Druid",$T332,1),0)&gt;0,IFERROR(SEARCH(DruidLand1,$T332,1),0)&gt;0,IFERROR(SEARCH(DruidLand2,$T332,1),0)&gt;0,IFERROR(SEARCH(DruidLand3,$T332,1),0)&gt;0,IFERROR(SEARCH(DruidLand4,$T332,1),0)&gt;0),1,0)*IF($C332=DL$2,1,0)=0,0,1+COUNTIF(DL$3:DL331,"&gt;0"))</f>
        <v>0</v>
      </c>
      <c r="DM332">
        <f>IF(IF(OR(IFERROR(SEARCH("Druid",$T332,1),0)&gt;0,IFERROR(SEARCH(DruidLand1,$T332,1),0)&gt;0,IFERROR(SEARCH(DruidLand2,$T332,1),0)&gt;0,IFERROR(SEARCH(DruidLand3,$T332,1),0)&gt;0,IFERROR(SEARCH(DruidLand4,$T332,1),0)&gt;0),1,0)*IF($C332=DM$2,1,0)=0,0,1+COUNTIF(DM$3:DM331,"&gt;0"))</f>
        <v>0</v>
      </c>
      <c r="DN332">
        <f>IF(IF(OR(IFERROR(SEARCH("Druid",$T332,1),0)&gt;0,IFERROR(SEARCH(DruidLand1,$T332,1),0)&gt;0,IFERROR(SEARCH(DruidLand2,$T332,1),0)&gt;0,IFERROR(SEARCH(DruidLand3,$T332,1),0)&gt;0,IFERROR(SEARCH(DruidLand4,$T332,1),0)&gt;0),1,0)*IF($C332=DN$2,1,0)=0,0,1+COUNTIF(DN$3:DN331,"&gt;0"))</f>
        <v>0</v>
      </c>
      <c r="DO332">
        <f>IF(IF(OR(IFERROR(SEARCH("Druid",$T332,1),0)&gt;0,IFERROR(SEARCH(DruidLand1,$T332,1),0)&gt;0,IFERROR(SEARCH(DruidLand2,$T332,1),0)&gt;0,IFERROR(SEARCH(DruidLand3,$T332,1),0)&gt;0,IFERROR(SEARCH(DruidLand4,$T332,1),0)&gt;0),1,0)*IF($C332=DO$2,1,0)=0,0,1+COUNTIF(DO$3:DO331,"&gt;0"))</f>
        <v>0</v>
      </c>
      <c r="DP332">
        <f>IF(IF(OR(IFERROR(SEARCH("Druid",$T332,1),0)&gt;0,IFERROR(SEARCH(DruidLand1,$T332,1),0)&gt;0,IFERROR(SEARCH(DruidLand2,$T332,1),0)&gt;0,IFERROR(SEARCH(DruidLand3,$T332,1),0)&gt;0,IFERROR(SEARCH(DruidLand4,$T332,1),0)&gt;0),1,0)*IF($C332=DP$2,1,0)=0,0,1+COUNTIF(DP$3:DP331,"&gt;0"))</f>
        <v>0</v>
      </c>
      <c r="DQ332">
        <f>IF(IF(OR(IFERROR(SEARCH("Druid",$T332,1),0)&gt;0,IFERROR(SEARCH(DruidLand1,$T332,1),0)&gt;0,IFERROR(SEARCH(DruidLand2,$T332,1),0)&gt;0,IFERROR(SEARCH(DruidLand3,$T332,1),0)&gt;0,IFERROR(SEARCH(DruidLand4,$T332,1),0)&gt;0),1,0)*IF($C332=DQ$2,1,0)=0,0,1+COUNTIF(DQ$3:DQ331,"&gt;0"))</f>
        <v>0</v>
      </c>
      <c r="DR332">
        <f>IF(IF(OR(IFERROR(SEARCH("Druid",$T332,1),0)&gt;0,IFERROR(SEARCH(DruidLand1,$T332,1),0)&gt;0,IFERROR(SEARCH(DruidLand2,$T332,1),0)&gt;0,IFERROR(SEARCH(DruidLand3,$T332,1),0)&gt;0,IFERROR(SEARCH(DruidLand4,$T332,1),0)&gt;0),1,0)*IF($C332=DR$2,1,0)=0,0,1+COUNTIF(DR$3:DR331,"&gt;0"))</f>
        <v>0</v>
      </c>
      <c r="DS332">
        <f>IF(IF(OR(IFERROR(SEARCH("Paladin",$T332,1),0)&gt;0,IFERROR(SEARCH(PaladinOath,$T332,1),0)&gt;0),1,0)*IF($C332=DS$2,1,0)=1,1+COUNTIF(DS$3:DS331,"&gt;0"),0)</f>
        <v>0</v>
      </c>
      <c r="DT332">
        <f>IF(IF(OR(IFERROR(SEARCH("Paladin",$T332,1),0)&gt;0,IFERROR(SEARCH(PaladinOath,$T332,1),0)&gt;0),1,0)*IF($C332=DT$2,1,0)=1,1+COUNTIF(DT$3:DT331,"&gt;0"),0)</f>
        <v>0</v>
      </c>
      <c r="DU332">
        <f>IF(IF(OR(IFERROR(SEARCH("Paladin",$T332,1),0)&gt;0,IFERROR(SEARCH(PaladinOath,$T332,1),0)&gt;0),1,0)*IF($C332=DU$2,1,0)=1,1+COUNTIF(DU$3:DU331,"&gt;0"),0)</f>
        <v>0</v>
      </c>
      <c r="DV332">
        <f>IF(IF(OR(IFERROR(SEARCH("Paladin",$T332,1),0)&gt;0,IFERROR(SEARCH(PaladinOath,$T332,1),0)&gt;0),1,0)*IF($C332=DV$2,1,0)=1,1+COUNTIF(DV$3:DV331,"&gt;0"),0)</f>
        <v>0</v>
      </c>
      <c r="DW332">
        <f>IF(IF(OR(IFERROR(SEARCH("Paladin",$T332,1),0)&gt;0,IFERROR(SEARCH(PaladinOath,$T332,1),0)&gt;0),1,0)*IF($C332=DW$2,1,0)=1,1+COUNTIF(DW$3:DW331,"&gt;0"),0)</f>
        <v>0</v>
      </c>
      <c r="DY332">
        <f t="shared" si="278"/>
        <v>1</v>
      </c>
      <c r="DZ332">
        <f>IF(DY332=0,0,1+MAX(DZ$3:$DZ331))</f>
        <v>330</v>
      </c>
      <c r="EB332">
        <f t="shared" si="293"/>
        <v>0</v>
      </c>
      <c r="EC332">
        <f>IF(EB332=0,0,1+COUNTIF(EC$3:EC331,"&gt;0"))</f>
        <v>0</v>
      </c>
      <c r="ED332" t="str">
        <f t="shared" si="321"/>
        <v/>
      </c>
      <c r="EE332" t="str">
        <f t="shared" si="294"/>
        <v/>
      </c>
      <c r="EG332">
        <f t="shared" si="295"/>
        <v>0</v>
      </c>
      <c r="EH332">
        <f>IF(EG332=0,0,1+COUNTIF(EH$3:EH331,"&gt;0"))</f>
        <v>0</v>
      </c>
      <c r="EI332" t="str">
        <f t="shared" si="322"/>
        <v/>
      </c>
      <c r="EJ332" t="str">
        <f t="shared" si="296"/>
        <v/>
      </c>
      <c r="EL332">
        <f t="shared" si="297"/>
        <v>1</v>
      </c>
      <c r="EM332">
        <f>IF(EL332=0,0,1+COUNTIF(EM$3:EM331,"&gt;0"))</f>
        <v>8</v>
      </c>
      <c r="EN332" t="str">
        <f t="shared" si="323"/>
        <v/>
      </c>
      <c r="EO332" t="str">
        <f t="shared" si="298"/>
        <v/>
      </c>
      <c r="EQ332">
        <f t="shared" si="299"/>
        <v>0</v>
      </c>
      <c r="ER332">
        <f>IF(EQ332=0,0,1+COUNTIF(ER$3:ER331,"&gt;0"))</f>
        <v>0</v>
      </c>
      <c r="ES332" t="str">
        <f t="shared" si="324"/>
        <v/>
      </c>
      <c r="ET332" t="str">
        <f t="shared" si="300"/>
        <v/>
      </c>
      <c r="EV332">
        <f t="shared" si="301"/>
        <v>0</v>
      </c>
      <c r="EW332">
        <f>IF(EV332=0,0,1+COUNTIF(EW$3:EW331,"&gt;0"))</f>
        <v>0</v>
      </c>
      <c r="EX332" t="str">
        <f t="shared" si="325"/>
        <v/>
      </c>
      <c r="EY332" t="str">
        <f t="shared" si="302"/>
        <v/>
      </c>
      <c r="FA332">
        <f t="shared" si="303"/>
        <v>0</v>
      </c>
      <c r="FB332">
        <f>IF(FA332=0,0,1+COUNTIF(FB$3:FB331,"&gt;0"))</f>
        <v>0</v>
      </c>
      <c r="FC332" t="str">
        <f t="shared" si="326"/>
        <v/>
      </c>
      <c r="FD332" t="str">
        <f t="shared" si="304"/>
        <v/>
      </c>
      <c r="FF332">
        <f t="shared" si="305"/>
        <v>0</v>
      </c>
      <c r="FG332">
        <f>IF(FF332=0,0,1+COUNTIF(FG$3:FG331,"&gt;0"))</f>
        <v>0</v>
      </c>
      <c r="FH332" t="str">
        <f t="shared" si="327"/>
        <v/>
      </c>
      <c r="FI332" t="str">
        <f t="shared" si="306"/>
        <v/>
      </c>
      <c r="FK332">
        <f t="shared" si="307"/>
        <v>0</v>
      </c>
      <c r="FL332">
        <f>IF(FK332=0,0,1+COUNTIF(FL$3:FL331,"&gt;0"))</f>
        <v>0</v>
      </c>
      <c r="FM332" t="str">
        <f t="shared" si="328"/>
        <v/>
      </c>
      <c r="FN332" t="str">
        <f t="shared" si="308"/>
        <v/>
      </c>
      <c r="FP332">
        <f t="shared" si="309"/>
        <v>0</v>
      </c>
      <c r="FQ332">
        <f>IF(FP332=0,0,1+COUNTIF(FQ$3:FQ331,"&gt;0"))</f>
        <v>0</v>
      </c>
      <c r="FR332" t="str">
        <f t="shared" si="329"/>
        <v/>
      </c>
      <c r="FS332" t="str">
        <f t="shared" si="310"/>
        <v/>
      </c>
    </row>
    <row r="333" spans="1:175" x14ac:dyDescent="0.25">
      <c r="A333" s="347">
        <f t="shared" si="276"/>
        <v>331</v>
      </c>
      <c r="B333" s="348" t="s">
        <v>2730</v>
      </c>
      <c r="C333" s="348">
        <v>1</v>
      </c>
      <c r="D333" s="347">
        <v>1</v>
      </c>
      <c r="E333" s="627" t="s">
        <v>6952</v>
      </c>
      <c r="F333" s="346"/>
      <c r="G333" s="347" t="str">
        <f>""</f>
        <v/>
      </c>
      <c r="H333" s="347" t="s">
        <v>5918</v>
      </c>
      <c r="I333" s="347" t="s">
        <v>5283</v>
      </c>
      <c r="J333" s="347" t="str">
        <f t="shared" si="279"/>
        <v/>
      </c>
      <c r="K333" s="347" t="s">
        <v>5291</v>
      </c>
      <c r="L333" s="611" t="str">
        <f t="shared" si="280"/>
        <v>V</v>
      </c>
      <c r="M333" s="347" t="s">
        <v>2373</v>
      </c>
      <c r="N333" s="347" t="s">
        <v>3034</v>
      </c>
      <c r="O333" s="347" t="s">
        <v>3034</v>
      </c>
      <c r="P333" s="346" t="str">
        <f>""</f>
        <v/>
      </c>
      <c r="Q333" s="347" t="s">
        <v>5273</v>
      </c>
      <c r="S333" s="346" t="s">
        <v>2731</v>
      </c>
      <c r="T333" s="346" t="str">
        <f t="shared" si="281"/>
        <v xml:space="preserve">Paladin, </v>
      </c>
      <c r="V333" s="347" t="str">
        <f>$B333</f>
        <v>Thunderous Smite</v>
      </c>
      <c r="AE333" t="str">
        <f>IF(IFERROR(MATCH($B333,temp!A$4:A$13,0),0)&gt;0,T08_Spells!AE$2,"")</f>
        <v/>
      </c>
      <c r="AF333" t="str">
        <f>IF(IFERROR(MATCH($B333,temp!B$4:B$13,0),0)&gt;0,T08_Spells!AF$2,"")</f>
        <v/>
      </c>
      <c r="AG333" t="str">
        <f>IF(IFERROR(MATCH($B333,temp!C$4:C$13,0),0)&gt;0,T08_Spells!AG$2,"")</f>
        <v/>
      </c>
      <c r="AH333" t="str">
        <f>IF(IFERROR(MATCH($B333,temp!D$4:D$13,0),0)&gt;0,T08_Spells!AH$2,"")</f>
        <v/>
      </c>
      <c r="AI333" t="str">
        <f>IF(IFERROR(MATCH($B333,temp!E$4:E$13,0),0)&gt;0,T08_Spells!AI$2,"")</f>
        <v/>
      </c>
      <c r="AJ333" t="str">
        <f>IF(IFERROR(MATCH($B333,temp!F$4:F$13,0),0)&gt;0,T08_Spells!AJ$2,"")</f>
        <v/>
      </c>
      <c r="AK333" t="str">
        <f>IF(IFERROR(MATCH($B333,temp!G$4:G$13,0),0)&gt;0,T08_Spells!AK$2,"")</f>
        <v/>
      </c>
      <c r="AL333" t="str">
        <f>IF(IFERROR(MATCH($B333,temp!H$4:H$13,0),0)&gt;0,T08_Spells!AL$2,"")</f>
        <v/>
      </c>
      <c r="AM333" t="str">
        <f>IF(IFERROR(MATCH($B333,temp!I$4:I$13,0),0)&gt;0,T08_Spells!AM$2,"")</f>
        <v/>
      </c>
      <c r="AN333" t="str">
        <f>IF(IFERROR(MATCH($B333,temp!J$4:J$13,0),0)&gt;0,T08_Spells!AN$2,"")</f>
        <v/>
      </c>
      <c r="AO333" t="str">
        <f>IF(IFERROR(MATCH($B333,temp!K$4:K$13,0),0)&gt;0,T08_Spells!AO$2,"")</f>
        <v/>
      </c>
      <c r="AP333" t="str">
        <f>IF(IFERROR(MATCH($B333,temp!L$4:L$13,0),0)&gt;0,T08_Spells!AP$2,"")</f>
        <v/>
      </c>
      <c r="AQ333" t="str">
        <f>IF(IFERROR(MATCH($B333,temp!M$4:M$13,0),0)&gt;0,T08_Spells!AQ$2,"")</f>
        <v/>
      </c>
      <c r="AR333" t="str">
        <f>IF(IFERROR(MATCH($B333,temp!N$4:N$13,0),0)&gt;0,T08_Spells!AR$2,"")</f>
        <v/>
      </c>
      <c r="AS333" t="str">
        <f>IF(IFERROR(MATCH($B333,temp!O$4:O$13,0),0)&gt;0,T08_Spells!AS$2,"")</f>
        <v/>
      </c>
      <c r="AT333" t="str">
        <f>IF(IFERROR(MATCH($B333,temp!P$4:P$13,0),0)&gt;0,T08_Spells!AT$2,"")</f>
        <v/>
      </c>
      <c r="AU333" t="str">
        <f>IF(IFERROR(MATCH($B333,temp!Q$4:Q$13,0),0)&gt;0,T08_Spells!AU$2,"")</f>
        <v/>
      </c>
      <c r="AV333" t="str">
        <f>IF(IFERROR(MATCH($B333,temp!R$4:R$13,0),0)&gt;0,T08_Spells!AV$2,"")</f>
        <v/>
      </c>
      <c r="AW333" t="str">
        <f>IF(IFERROR(MATCH($B333,temp!S$4:S$13,0),0)&gt;0,T08_Spells!AW$2,"")</f>
        <v/>
      </c>
      <c r="AX333" t="str">
        <f>IF(IFERROR(MATCH($B333,temp!T$4:T$13,0),0)&gt;0,T08_Spells!AX$2,"")</f>
        <v/>
      </c>
      <c r="AY333" t="str">
        <f>IF(IFERROR(MATCH($B333,temp!U$4:U$13,0),0)&gt;0,T08_Spells!AY$2,"")</f>
        <v/>
      </c>
      <c r="AZ333" t="str">
        <f>IF(IFERROR(MATCH($B333,temp!V$4:V$13,0),0)&gt;0,T08_Spells!AZ$2,"")</f>
        <v/>
      </c>
      <c r="BA333" t="str">
        <f>IF(IFERROR(MATCH($B333,temp!W$4:W$13,0),0)&gt;0,T08_Spells!BA$2,"")</f>
        <v/>
      </c>
      <c r="BC333">
        <f>IF(IFERROR(SEARCH("Ranger",$T333,1),0)&gt;0,1,0)*IF(RangerMaxSpellLevel&gt;=$C333,1,0)*IF(IFERROR(MATCH(B333,Character_Creation!$X$79:$X$382,0),0)&gt;0,0,1)</f>
        <v>0</v>
      </c>
      <c r="BD333">
        <f>IF(BC333=0,0,1+COUNTIF(BD$3:BD332,"&gt;0"))</f>
        <v>0</v>
      </c>
      <c r="BE333" t="str">
        <f t="shared" si="311"/>
        <v/>
      </c>
      <c r="BF333" t="str">
        <f t="shared" si="283"/>
        <v/>
      </c>
      <c r="BH333">
        <f>IF(IFERROR(SEARCH("Sorcerer",$T333,1),0)&gt;0,1,0)*IF(SorcererMaxSpellLevel&gt;=$C333,1,0)*IF(IFERROR(MATCH(B333,Character_Creation!$J$380:$J$394,0),0)&gt;0,0,1)</f>
        <v>0</v>
      </c>
      <c r="BI333">
        <f>IF(BH333=0,0,1+COUNTIF(BI$3:BI332,"&gt;0"))</f>
        <v>0</v>
      </c>
      <c r="BJ333" t="str">
        <f t="shared" si="312"/>
        <v/>
      </c>
      <c r="BK333" t="str">
        <f t="shared" si="284"/>
        <v/>
      </c>
      <c r="BM333">
        <f>IF(OR(IFERROR(SEARCH("Warlock",$T333,1),0)&gt;0,IFERROR(SEARCH(WarlockPatron,$T333,1),0)&gt;0),1,0)*IF(WarlockMaxSpellLevel&gt;=$C333,1,0)*IF(IFERROR(MATCH(B333,Character_Creation!$J$361:$J$375,0),0)&gt;0,0,1)</f>
        <v>0</v>
      </c>
      <c r="BN333">
        <f>IF(BM333=0,0,1+COUNTIF(BN$3:BN332,"&gt;0"))</f>
        <v>0</v>
      </c>
      <c r="BO333" t="str">
        <f t="shared" si="313"/>
        <v/>
      </c>
      <c r="BP333" t="str">
        <f t="shared" si="285"/>
        <v/>
      </c>
      <c r="BR333">
        <f>IF(IFERROR(SEARCH("Eldritch Knight",$T333,1),0)&gt;0,1,0)*IF(EldritchKnightMaxSpellLevel&gt;=$C333,1,0)*IF(IFERROR(MATCH($B333,Character_Creation!$J$350:$J$356,0),0)&gt;0,0,1)*IF(Character_Creation!$M$338&gt;0,1,0)</f>
        <v>0</v>
      </c>
      <c r="BS333">
        <f>IF(BR333=0,0,1+COUNTIF(BS$3:BS332,"&gt;0"))</f>
        <v>0</v>
      </c>
      <c r="BT333" t="str">
        <f t="shared" si="314"/>
        <v/>
      </c>
      <c r="BU333" t="str">
        <f t="shared" si="286"/>
        <v/>
      </c>
      <c r="BW333">
        <f>IF(IFERROR(SEARCH("Arcane Trickster",$T333,1),0)&gt;0,1,0)*IF(ArcaneTricksterMaxSpellLevel&gt;=$C333,1,0)*IF(IFERROR(MATCH($B333,Character_Creation!$J$350:$J$356,0),0)&gt;0,0,1)*IF(Character_Creation!$T$338&gt;0,1,0)</f>
        <v>0</v>
      </c>
      <c r="BX333">
        <f>IF(BW333=0,0,1+COUNTIF(BX$3:BX332,"&gt;0"))</f>
        <v>0</v>
      </c>
      <c r="BY333" t="str">
        <f t="shared" si="315"/>
        <v/>
      </c>
      <c r="BZ333" t="str">
        <f t="shared" si="287"/>
        <v/>
      </c>
      <c r="CB333">
        <f>IF(IFERROR(SEARCH("Wizard",$T333,1),0)&gt;0,1,0)*IF(C333&lt;=ArcaneTricksterMaxSpellLevel,1,0)*IF(IFERROR(MATCH($B333,Character_Creation!$J$350:$J$356,0),0)&gt;0,0,1)*IF(Character_Creation!$T$350&gt;0,1,0)</f>
        <v>0</v>
      </c>
      <c r="CC333">
        <f>IF(CB333=0,0,1+COUNTIF(CC$3:CC332,"&gt;0"))</f>
        <v>0</v>
      </c>
      <c r="CD333" t="str">
        <f t="shared" si="316"/>
        <v/>
      </c>
      <c r="CE333" t="str">
        <f t="shared" si="288"/>
        <v/>
      </c>
      <c r="CG333">
        <f>IF(IFERROR(SEARCH("Wizard",$T333,1),0)&gt;0,1,0)*IF($C333&lt;=EldritchKnightMaxSpellLevel,1,0)*IF(IFERROR(MATCH($B333,Character_Creation!$J$350:$J$356,0),0)&gt;0,0,1)*IF(Character_Creation!$M$350&gt;0,1,0)</f>
        <v>0</v>
      </c>
      <c r="CH333">
        <f>IF(CG333=0,0,1+COUNTIF(CH$3:CH332,"&gt;0"))</f>
        <v>0</v>
      </c>
      <c r="CI333" t="str">
        <f t="shared" si="317"/>
        <v/>
      </c>
      <c r="CJ333" t="str">
        <f t="shared" si="289"/>
        <v/>
      </c>
      <c r="CL333">
        <f>IF(IFERROR(SEARCH("Bard",$T333,1),0)&gt;0,1,0)*IF(BardMaxSpellLevel&gt;=$C333,1,0)*IF(IFERROR(MATCH(B333,Character_Creation!$C$341:$F$362,0),0)&gt;0,0,1)*IF(IFERROR(MATCH($B333,Character_Creation!$C$341:$C$362,0),0)&gt;0,0,1)</f>
        <v>0</v>
      </c>
      <c r="CM333">
        <f>IF(CL333=0,0,1+COUNTIF(CM$3:CM332,"&gt;0"))</f>
        <v>0</v>
      </c>
      <c r="CN333" t="str">
        <f t="shared" si="318"/>
        <v/>
      </c>
      <c r="CO333" t="str">
        <f t="shared" si="290"/>
        <v/>
      </c>
      <c r="CQ333">
        <f>IF(IFERROR(SEARCH("Wizard",$T333,1),0)&gt;0,1,0)*IF(WizardMaxSpellLevel&gt;=$C333,1,0)*IF(IFERROR(MATCH(B333,Character_Creation!$X$341:$X$400,0),0)&gt;0,0,1)*IF(SelectedWizardSpellLevel=$C333,1,0)</f>
        <v>0</v>
      </c>
      <c r="CR333">
        <f>IF(CQ333=0,0,1+COUNTIF(CR$3:CR332,"&gt;0"))</f>
        <v>0</v>
      </c>
      <c r="CS333" t="str">
        <f t="shared" si="319"/>
        <v/>
      </c>
      <c r="CT333" t="str">
        <f t="shared" si="291"/>
        <v/>
      </c>
      <c r="CV333">
        <f>IF(IFERROR(MATCH($B333,Character_Creation!$C$341:$C$362,0),0)&gt;0,0,1)*IF(OR(C333="Cantrip",C333&lt;=BardMaxSpellLevel),1,0)*IF(IFERROR(MATCH($B333,Character_Creation!$C$367:$C$374,0),0)&gt;0,0,1)</f>
        <v>0</v>
      </c>
      <c r="CW333">
        <f>IF(CV333=0,0,1+COUNTIF(CW$3:CW332,"&gt;0"))</f>
        <v>0</v>
      </c>
      <c r="CX333" t="str">
        <f t="shared" si="320"/>
        <v/>
      </c>
      <c r="CY333" t="str">
        <f t="shared" si="292"/>
        <v/>
      </c>
      <c r="DA333">
        <f>IF(IF(OR(IFERROR(SEARCH("Cleric",$T333,1),0)&gt;0,IFERROR(SEARCH(DivineDomain&amp;",",$T333,1),0)&gt;0),1,0)*IF($C333=DA$2,1,0)=1,1+COUNTIF(DA$3:DA332,"&gt;0"),0)</f>
        <v>0</v>
      </c>
      <c r="DB333">
        <f>IF(IF(OR(IFERROR(SEARCH("Cleric",$T333,1),0)&gt;0,IFERROR(SEARCH(DivineDomain&amp;",",$T333,1),0)&gt;0),1,0)*IF($C333=DB$2,1,0)=1,1+COUNTIF(DB$3:DB332,"&gt;0"),0)</f>
        <v>0</v>
      </c>
      <c r="DC333">
        <f>IF(IF(OR(IFERROR(SEARCH("Cleric",$T333,1),0)&gt;0,IFERROR(SEARCH(DivineDomain&amp;",",$T333,1),0)&gt;0),1,0)*IF($C333=DC$2,1,0)=1,1+COUNTIF(DC$3:DC332,"&gt;0"),0)</f>
        <v>0</v>
      </c>
      <c r="DD333">
        <f>IF(IF(OR(IFERROR(SEARCH("Cleric",$T333,1),0)&gt;0,IFERROR(SEARCH(DivineDomain&amp;",",$T333,1),0)&gt;0),1,0)*IF($C333=DD$2,1,0)=1,1+COUNTIF(DD$3:DD332,"&gt;0"),0)</f>
        <v>0</v>
      </c>
      <c r="DE333">
        <f>IF(IF(OR(IFERROR(SEARCH("Cleric",$T333,1),0)&gt;0,IFERROR(SEARCH(DivineDomain&amp;",",$T333,1),0)&gt;0),1,0)*IF($C333=DE$2,1,0)=1,1+COUNTIF(DE$3:DE332,"&gt;0"),0)</f>
        <v>0</v>
      </c>
      <c r="DF333">
        <f>IF(IF(OR(IFERROR(SEARCH("Cleric",$T333,1),0)&gt;0,IFERROR(SEARCH(DivineDomain&amp;",",$T333,1),0)&gt;0),1,0)*IF($C333=DF$2,1,0)=1,1+COUNTIF(DF$3:DF332,"&gt;0"),0)</f>
        <v>0</v>
      </c>
      <c r="DG333">
        <f>IF(IF(OR(IFERROR(SEARCH("Cleric",$T333,1),0)&gt;0,IFERROR(SEARCH(DivineDomain&amp;",",$T333,1),0)&gt;0),1,0)*IF($C333=DG$2,1,0)=1,1+COUNTIF(DG$3:DG332,"&gt;0"),0)</f>
        <v>0</v>
      </c>
      <c r="DH333">
        <f>IF(IF(OR(IFERROR(SEARCH("Cleric",$T333,1),0)&gt;0,IFERROR(SEARCH(DivineDomain&amp;",",$T333,1),0)&gt;0),1,0)*IF($C333=DH$2,1,0)=1,1+COUNTIF(DH$3:DH332,"&gt;0"),0)</f>
        <v>0</v>
      </c>
      <c r="DI333">
        <f>IF(IF(OR(IFERROR(SEARCH("Cleric",$T333,1),0)&gt;0,IFERROR(SEARCH(DivineDomain&amp;",",$T333,1),0)&gt;0),1,0)*IF($C333=DI$2,1,0)=1,1+COUNTIF(DI$3:DI332,"&gt;0"),0)</f>
        <v>0</v>
      </c>
      <c r="DJ333">
        <f>IF(IF(OR(IFERROR(SEARCH("Druid",$T333,1),0)&gt;0,IFERROR(SEARCH(DruidLand1,$T333,1),0)&gt;0,IFERROR(SEARCH(DruidLand2,$T333,1),0)&gt;0,IFERROR(SEARCH(DruidLand3,$T333,1),0)&gt;0,IFERROR(SEARCH(DruidLand4,$T333,1),0)&gt;0),1,0)*IF($C333=1,1,0)*IF($C333=DJ$2,1,0)=0,0,1+COUNTIF(DJ$3:DJ332,"&gt;0"))</f>
        <v>0</v>
      </c>
      <c r="DK333">
        <f>IF(IF(OR(IFERROR(SEARCH("Druid",$T333,1),0)&gt;0,IFERROR(SEARCH(DruidLand1,$T333,1),0)&gt;0,IFERROR(SEARCH(DruidLand2,$T333,1),0)&gt;0,IFERROR(SEARCH(DruidLand3,$T333,1),0)&gt;0,IFERROR(SEARCH(DruidLand4,$T333,1),0)&gt;0),1,0)*IF($C333=1,1,0)*IF($C333=DK$2,1,0)=0,0,1+COUNTIF(DK$3:DK332,"&gt;0"))</f>
        <v>0</v>
      </c>
      <c r="DL333">
        <f>IF(IF(OR(IFERROR(SEARCH("Druid",$T333,1),0)&gt;0,IFERROR(SEARCH(DruidLand1,$T333,1),0)&gt;0,IFERROR(SEARCH(DruidLand2,$T333,1),0)&gt;0,IFERROR(SEARCH(DruidLand3,$T333,1),0)&gt;0,IFERROR(SEARCH(DruidLand4,$T333,1),0)&gt;0),1,0)*IF($C333=1,1,0)*IF($C333=DL$2,1,0)=0,0,1+COUNTIF(DL$3:DL332,"&gt;0"))</f>
        <v>0</v>
      </c>
      <c r="DM333">
        <f>IF(IF(OR(IFERROR(SEARCH("Druid",$T333,1),0)&gt;0,IFERROR(SEARCH(DruidLand1,$T333,1),0)&gt;0,IFERROR(SEARCH(DruidLand2,$T333,1),0)&gt;0,IFERROR(SEARCH(DruidLand3,$T333,1),0)&gt;0,IFERROR(SEARCH(DruidLand4,$T333,1),0)&gt;0),1,0)*IF($C333=1,1,0)*IF($C333=DM$2,1,0)=0,0,1+COUNTIF(DM$3:DM332,"&gt;0"))</f>
        <v>0</v>
      </c>
      <c r="DN333">
        <f>IF(IF(OR(IFERROR(SEARCH("Druid",$T333,1),0)&gt;0,IFERROR(SEARCH(DruidLand1,$T333,1),0)&gt;0,IFERROR(SEARCH(DruidLand2,$T333,1),0)&gt;0,IFERROR(SEARCH(DruidLand3,$T333,1),0)&gt;0,IFERROR(SEARCH(DruidLand4,$T333,1),0)&gt;0),1,0)*IF($C333=1,1,0)*IF($C333=DN$2,1,0)=0,0,1+COUNTIF(DN$3:DN332,"&gt;0"))</f>
        <v>0</v>
      </c>
      <c r="DO333">
        <f>IF(IF(OR(IFERROR(SEARCH("Druid",$T333,1),0)&gt;0,IFERROR(SEARCH(DruidLand1,$T333,1),0)&gt;0,IFERROR(SEARCH(DruidLand2,$T333,1),0)&gt;0,IFERROR(SEARCH(DruidLand3,$T333,1),0)&gt;0,IFERROR(SEARCH(DruidLand4,$T333,1),0)&gt;0),1,0)*IF($C333=1,1,0)*IF($C333=DO$2,1,0)=0,0,1+COUNTIF(DO$3:DO332,"&gt;0"))</f>
        <v>0</v>
      </c>
      <c r="DP333">
        <f>IF(IF(OR(IFERROR(SEARCH("Druid",$T333,1),0)&gt;0,IFERROR(SEARCH(DruidLand1,$T333,1),0)&gt;0,IFERROR(SEARCH(DruidLand2,$T333,1),0)&gt;0,IFERROR(SEARCH(DruidLand3,$T333,1),0)&gt;0,IFERROR(SEARCH(DruidLand4,$T333,1),0)&gt;0),1,0)*IF($C333=1,1,0)*IF($C333=DP$2,1,0)=0,0,1+COUNTIF(DP$3:DP332,"&gt;0"))</f>
        <v>0</v>
      </c>
      <c r="DQ333">
        <f>IF(IF(OR(IFERROR(SEARCH("Druid",$T333,1),0)&gt;0,IFERROR(SEARCH(DruidLand1,$T333,1),0)&gt;0,IFERROR(SEARCH(DruidLand2,$T333,1),0)&gt;0,IFERROR(SEARCH(DruidLand3,$T333,1),0)&gt;0,IFERROR(SEARCH(DruidLand4,$T333,1),0)&gt;0),1,0)*IF($C333=1,1,0)*IF($C333=DQ$2,1,0)=0,0,1+COUNTIF(DQ$3:DQ332,"&gt;0"))</f>
        <v>0</v>
      </c>
      <c r="DR333">
        <f>IF(IF(OR(IFERROR(SEARCH("Druid",$T333,1),0)&gt;0,IFERROR(SEARCH(DruidLand1,$T333,1),0)&gt;0,IFERROR(SEARCH(DruidLand2,$T333,1),0)&gt;0,IFERROR(SEARCH(DruidLand3,$T333,1),0)&gt;0,IFERROR(SEARCH(DruidLand4,$T333,1),0)&gt;0),1,0)*IF($C333=1,1,0)*IF($C333=DR$2,1,0)=0,0,1+COUNTIF(DR$3:DR332,"&gt;0"))</f>
        <v>0</v>
      </c>
      <c r="DS333">
        <f>IF(IF(OR(IFERROR(SEARCH("Paladin",$T333,1),0)&gt;0,IFERROR(SEARCH(PaladinOath,$T333,1),0)&gt;0),1,0)*IF($C333=DS$2,1,0)=1,1+COUNTIF(DS$3:DS332,"&gt;0"),0)</f>
        <v>14</v>
      </c>
      <c r="DT333">
        <f>IF(IF(OR(IFERROR(SEARCH("Paladin",$T333,1),0)&gt;0,IFERROR(SEARCH(PaladinOath,$T333,1),0)&gt;0),1,0)*IF($C333=DT$2,1,0)=1,1+COUNTIF(DT$3:DT332,"&gt;0"),0)</f>
        <v>0</v>
      </c>
      <c r="DU333">
        <f>IF(IF(OR(IFERROR(SEARCH("Paladin",$T333,1),0)&gt;0,IFERROR(SEARCH(PaladinOath,$T333,1),0)&gt;0),1,0)*IF($C333=DU$2,1,0)=1,1+COUNTIF(DU$3:DU332,"&gt;0"),0)</f>
        <v>0</v>
      </c>
      <c r="DV333">
        <f>IF(IF(OR(IFERROR(SEARCH("Paladin",$T333,1),0)&gt;0,IFERROR(SEARCH(PaladinOath,$T333,1),0)&gt;0),1,0)*IF($C333=DV$2,1,0)=1,1+COUNTIF(DV$3:DV332,"&gt;0"),0)</f>
        <v>0</v>
      </c>
      <c r="DW333">
        <f>IF(IF(OR(IFERROR(SEARCH("Paladin",$T333,1),0)&gt;0,IFERROR(SEARCH(PaladinOath,$T333,1),0)&gt;0),1,0)*IF($C333=DW$2,1,0)=1,1+COUNTIF(DW$3:DW332,"&gt;0"),0)</f>
        <v>0</v>
      </c>
      <c r="DY333">
        <f t="shared" si="278"/>
        <v>1</v>
      </c>
      <c r="DZ333">
        <f>IF(DY333=0,0,1+MAX(DZ$3:$DZ332))</f>
        <v>331</v>
      </c>
      <c r="EB333">
        <f t="shared" si="293"/>
        <v>0</v>
      </c>
      <c r="EC333">
        <f>IF(EB333=0,0,1+COUNTIF(EC$3:EC332,"&gt;0"))</f>
        <v>0</v>
      </c>
      <c r="ED333" t="str">
        <f t="shared" si="321"/>
        <v/>
      </c>
      <c r="EE333" t="str">
        <f t="shared" si="294"/>
        <v/>
      </c>
      <c r="EG333">
        <f t="shared" si="295"/>
        <v>0</v>
      </c>
      <c r="EH333">
        <f>IF(EG333=0,0,1+COUNTIF(EH$3:EH332,"&gt;0"))</f>
        <v>0</v>
      </c>
      <c r="EI333" t="str">
        <f t="shared" si="322"/>
        <v/>
      </c>
      <c r="EJ333" t="str">
        <f t="shared" si="296"/>
        <v/>
      </c>
      <c r="EL333">
        <f t="shared" si="297"/>
        <v>0</v>
      </c>
      <c r="EM333">
        <f>IF(EL333=0,0,1+COUNTIF(EM$3:EM332,"&gt;0"))</f>
        <v>0</v>
      </c>
      <c r="EN333" t="str">
        <f t="shared" si="323"/>
        <v/>
      </c>
      <c r="EO333" t="str">
        <f t="shared" si="298"/>
        <v/>
      </c>
      <c r="EQ333">
        <f t="shared" si="299"/>
        <v>0</v>
      </c>
      <c r="ER333">
        <f>IF(EQ333=0,0,1+COUNTIF(ER$3:ER332,"&gt;0"))</f>
        <v>0</v>
      </c>
      <c r="ES333" t="str">
        <f t="shared" si="324"/>
        <v/>
      </c>
      <c r="ET333" t="str">
        <f t="shared" si="300"/>
        <v/>
      </c>
      <c r="EV333">
        <f t="shared" si="301"/>
        <v>0</v>
      </c>
      <c r="EW333">
        <f>IF(EV333=0,0,1+COUNTIF(EW$3:EW332,"&gt;0"))</f>
        <v>0</v>
      </c>
      <c r="EX333" t="str">
        <f t="shared" si="325"/>
        <v/>
      </c>
      <c r="EY333" t="str">
        <f t="shared" si="302"/>
        <v/>
      </c>
      <c r="FA333">
        <f t="shared" si="303"/>
        <v>0</v>
      </c>
      <c r="FB333">
        <f>IF(FA333=0,0,1+COUNTIF(FB$3:FB332,"&gt;0"))</f>
        <v>0</v>
      </c>
      <c r="FC333" t="str">
        <f t="shared" si="326"/>
        <v/>
      </c>
      <c r="FD333" t="str">
        <f t="shared" si="304"/>
        <v/>
      </c>
      <c r="FF333">
        <f t="shared" si="305"/>
        <v>0</v>
      </c>
      <c r="FG333">
        <f>IF(FF333=0,0,1+COUNTIF(FG$3:FG332,"&gt;0"))</f>
        <v>0</v>
      </c>
      <c r="FH333" t="str">
        <f t="shared" si="327"/>
        <v/>
      </c>
      <c r="FI333" t="str">
        <f t="shared" si="306"/>
        <v/>
      </c>
      <c r="FK333">
        <f t="shared" si="307"/>
        <v>0</v>
      </c>
      <c r="FL333">
        <f>IF(FK333=0,0,1+COUNTIF(FL$3:FL332,"&gt;0"))</f>
        <v>0</v>
      </c>
      <c r="FM333" t="str">
        <f t="shared" si="328"/>
        <v/>
      </c>
      <c r="FN333" t="str">
        <f t="shared" si="308"/>
        <v/>
      </c>
      <c r="FP333">
        <f t="shared" si="309"/>
        <v>0</v>
      </c>
      <c r="FQ333">
        <f>IF(FP333=0,0,1+COUNTIF(FQ$3:FQ332,"&gt;0"))</f>
        <v>0</v>
      </c>
      <c r="FR333" t="str">
        <f t="shared" si="329"/>
        <v/>
      </c>
      <c r="FS333" t="str">
        <f t="shared" si="310"/>
        <v/>
      </c>
    </row>
    <row r="334" spans="1:175" x14ac:dyDescent="0.25">
      <c r="A334" s="347">
        <f t="shared" si="276"/>
        <v>332</v>
      </c>
      <c r="B334" s="348" t="s">
        <v>2732</v>
      </c>
      <c r="C334" s="348">
        <v>1</v>
      </c>
      <c r="D334" s="347">
        <v>1</v>
      </c>
      <c r="E334" s="627" t="s">
        <v>6952</v>
      </c>
      <c r="F334" s="346"/>
      <c r="G334" s="347" t="str">
        <f>""</f>
        <v/>
      </c>
      <c r="H334" s="347" t="s">
        <v>5912</v>
      </c>
      <c r="I334" s="347" t="s">
        <v>5283</v>
      </c>
      <c r="J334" s="347" t="str">
        <f t="shared" si="279"/>
        <v/>
      </c>
      <c r="K334" s="347" t="s">
        <v>5278</v>
      </c>
      <c r="L334" s="611" t="str">
        <f t="shared" si="280"/>
        <v>V, S</v>
      </c>
      <c r="M334" s="347" t="s">
        <v>2373</v>
      </c>
      <c r="N334" s="347" t="s">
        <v>2387</v>
      </c>
      <c r="O334" s="347" t="s">
        <v>3034</v>
      </c>
      <c r="P334" s="346" t="str">
        <f>""</f>
        <v/>
      </c>
      <c r="Q334" s="347" t="s">
        <v>5273</v>
      </c>
      <c r="S334" s="346" t="s">
        <v>5846</v>
      </c>
      <c r="T334" s="346" t="str">
        <f t="shared" si="281"/>
        <v xml:space="preserve">Bard, Sorcerer, Druid, Eldritch Knight, Wizard, Tempest, </v>
      </c>
      <c r="U334" s="347" t="str">
        <f>$B334</f>
        <v>Thunderwave</v>
      </c>
      <c r="X334" s="347" t="str">
        <f t="shared" ref="X334:Z336" si="330">$B334</f>
        <v>Thunderwave</v>
      </c>
      <c r="AA334" s="347" t="str">
        <f>$B334</f>
        <v>Thunderwave</v>
      </c>
      <c r="AB334" s="542" t="str">
        <f>AD334</f>
        <v>Thunderwave</v>
      </c>
      <c r="AD334" s="347" t="str">
        <f>$B334</f>
        <v>Thunderwave</v>
      </c>
      <c r="AE334" t="str">
        <f>IF(IFERROR(MATCH($B334,temp!A$4:A$13,0),0)&gt;0,T08_Spells!AE$2,"")</f>
        <v/>
      </c>
      <c r="AF334" t="str">
        <f>IF(IFERROR(MATCH($B334,temp!B$4:B$13,0),0)&gt;0,T08_Spells!AF$2,"")</f>
        <v/>
      </c>
      <c r="AG334" t="str">
        <f>IF(IFERROR(MATCH($B334,temp!C$4:C$13,0),0)&gt;0,T08_Spells!AG$2,"")</f>
        <v/>
      </c>
      <c r="AH334" t="str">
        <f>IF(IFERROR(MATCH($B334,temp!D$4:D$13,0),0)&gt;0,T08_Spells!AH$2,"")</f>
        <v/>
      </c>
      <c r="AI334" t="str">
        <f>IF(IFERROR(MATCH($B334,temp!E$4:E$13,0),0)&gt;0,T08_Spells!AI$2,"")</f>
        <v/>
      </c>
      <c r="AJ334" t="str">
        <f>IF(IFERROR(MATCH($B334,temp!F$4:F$13,0),0)&gt;0,T08_Spells!AJ$2,"")</f>
        <v/>
      </c>
      <c r="AK334" t="str">
        <f>IF(IFERROR(MATCH($B334,temp!G$4:G$13,0),0)&gt;0,T08_Spells!AK$2,"")</f>
        <v/>
      </c>
      <c r="AL334" t="str">
        <f>IF(IFERROR(MATCH($B334,temp!H$4:H$13,0),0)&gt;0,T08_Spells!AL$2,"")</f>
        <v/>
      </c>
      <c r="AM334" t="str">
        <f>IF(IFERROR(MATCH($B334,temp!I$4:I$13,0),0)&gt;0,T08_Spells!AM$2,"")</f>
        <v/>
      </c>
      <c r="AN334" t="str">
        <f>IF(IFERROR(MATCH($B334,temp!J$4:J$13,0),0)&gt;0,T08_Spells!AN$2,"")</f>
        <v/>
      </c>
      <c r="AO334" t="str">
        <f>IF(IFERROR(MATCH($B334,temp!K$4:K$13,0),0)&gt;0,T08_Spells!AO$2,"")</f>
        <v/>
      </c>
      <c r="AP334" t="str">
        <f>IF(IFERROR(MATCH($B334,temp!L$4:L$13,0),0)&gt;0,T08_Spells!AP$2,"")</f>
        <v/>
      </c>
      <c r="AQ334" t="str">
        <f>IF(IFERROR(MATCH($B334,temp!M$4:M$13,0),0)&gt;0,T08_Spells!AQ$2,"")</f>
        <v/>
      </c>
      <c r="AR334" t="str">
        <f>IF(IFERROR(MATCH($B334,temp!N$4:N$13,0),0)&gt;0,T08_Spells!AR$2,"")</f>
        <v/>
      </c>
      <c r="AS334" t="str">
        <f>IF(IFERROR(MATCH($B334,temp!O$4:O$13,0),0)&gt;0,T08_Spells!AS$2,"")</f>
        <v/>
      </c>
      <c r="AT334" t="str">
        <f>IF(IFERROR(MATCH($B334,temp!P$4:P$13,0),0)&gt;0,T08_Spells!AT$2,"")</f>
        <v/>
      </c>
      <c r="AU334" t="str">
        <f>IF(IFERROR(MATCH($B334,temp!Q$4:Q$13,0),0)&gt;0,T08_Spells!AU$2,"")</f>
        <v/>
      </c>
      <c r="AV334" t="str">
        <f>IF(IFERROR(MATCH($B334,temp!R$4:R$13,0),0)&gt;0,T08_Spells!AV$2,"")</f>
        <v/>
      </c>
      <c r="AW334" t="str">
        <f>IF(IFERROR(MATCH($B334,temp!S$4:S$13,0),0)&gt;0,T08_Spells!AW$2,"")</f>
        <v/>
      </c>
      <c r="AX334" t="str">
        <f>IF(IFERROR(MATCH($B334,temp!T$4:T$13,0),0)&gt;0,T08_Spells!AX$2,"")</f>
        <v>Tempest</v>
      </c>
      <c r="AY334" t="str">
        <f>IF(IFERROR(MATCH($B334,temp!U$4:U$13,0),0)&gt;0,T08_Spells!AY$2,"")</f>
        <v/>
      </c>
      <c r="AZ334" t="str">
        <f>IF(IFERROR(MATCH($B334,temp!V$4:V$13,0),0)&gt;0,T08_Spells!AZ$2,"")</f>
        <v/>
      </c>
      <c r="BA334" t="str">
        <f>IF(IFERROR(MATCH($B334,temp!W$4:W$13,0),0)&gt;0,T08_Spells!BA$2,"")</f>
        <v/>
      </c>
      <c r="BC334">
        <f>IF(IFERROR(SEARCH("Ranger",$T334,1),0)&gt;0,1,0)*IF(RangerMaxSpellLevel&gt;=$C334,1,0)*IF(IFERROR(MATCH(B334,Character_Creation!$X$79:$X$382,0),0)&gt;0,0,1)</f>
        <v>0</v>
      </c>
      <c r="BD334">
        <f>IF(BC334=0,0,1+COUNTIF(BD$3:BD333,"&gt;0"))</f>
        <v>0</v>
      </c>
      <c r="BE334" t="str">
        <f t="shared" si="311"/>
        <v/>
      </c>
      <c r="BF334" t="str">
        <f t="shared" si="283"/>
        <v/>
      </c>
      <c r="BH334">
        <f>IF(IFERROR(SEARCH("Sorcerer",$T334,1),0)&gt;0,1,0)*IF(SorcererMaxSpellLevel&gt;=$C334,1,0)*IF(IFERROR(MATCH(B334,Character_Creation!$J$380:$J$394,0),0)&gt;0,0,1)</f>
        <v>0</v>
      </c>
      <c r="BI334">
        <f>IF(BH334=0,0,1+COUNTIF(BI$3:BI333,"&gt;0"))</f>
        <v>0</v>
      </c>
      <c r="BJ334" t="str">
        <f t="shared" si="312"/>
        <v/>
      </c>
      <c r="BK334" t="str">
        <f t="shared" si="284"/>
        <v/>
      </c>
      <c r="BM334">
        <f>IF(OR(IFERROR(SEARCH("Warlock",$T334,1),0)&gt;0,IFERROR(SEARCH(WarlockPatron,$T334,1),0)&gt;0),1,0)*IF(WarlockMaxSpellLevel&gt;=$C334,1,0)*IF(IFERROR(MATCH(B334,Character_Creation!$J$361:$J$375,0),0)&gt;0,0,1)</f>
        <v>0</v>
      </c>
      <c r="BN334">
        <f>IF(BM334=0,0,1+COUNTIF(BN$3:BN333,"&gt;0"))</f>
        <v>0</v>
      </c>
      <c r="BO334" t="str">
        <f t="shared" si="313"/>
        <v/>
      </c>
      <c r="BP334" t="str">
        <f t="shared" si="285"/>
        <v/>
      </c>
      <c r="BR334">
        <f>IF(IFERROR(SEARCH("Eldritch Knight",$T334,1),0)&gt;0,1,0)*IF(EldritchKnightMaxSpellLevel&gt;=$C334,1,0)*IF(IFERROR(MATCH($B334,Character_Creation!$J$350:$J$356,0),0)&gt;0,0,1)*IF(Character_Creation!$M$338&gt;0,1,0)</f>
        <v>0</v>
      </c>
      <c r="BS334">
        <f>IF(BR334=0,0,1+COUNTIF(BS$3:BS333,"&gt;0"))</f>
        <v>0</v>
      </c>
      <c r="BT334" t="str">
        <f t="shared" si="314"/>
        <v/>
      </c>
      <c r="BU334" t="str">
        <f t="shared" si="286"/>
        <v/>
      </c>
      <c r="BW334">
        <f>IF(IFERROR(SEARCH("Arcane Trickster",$T334,1),0)&gt;0,1,0)*IF(ArcaneTricksterMaxSpellLevel&gt;=$C334,1,0)*IF(IFERROR(MATCH($B334,Character_Creation!$J$350:$J$356,0),0)&gt;0,0,1)*IF(Character_Creation!$T$338&gt;0,1,0)</f>
        <v>0</v>
      </c>
      <c r="BX334">
        <f>IF(BW334=0,0,1+COUNTIF(BX$3:BX333,"&gt;0"))</f>
        <v>0</v>
      </c>
      <c r="BY334" t="str">
        <f t="shared" si="315"/>
        <v/>
      </c>
      <c r="BZ334" t="str">
        <f t="shared" si="287"/>
        <v/>
      </c>
      <c r="CB334">
        <f>IF(IFERROR(SEARCH("Wizard",$T334,1),0)&gt;0,1,0)*IF(C334&lt;=ArcaneTricksterMaxSpellLevel,1,0)*IF(IFERROR(MATCH($B334,Character_Creation!$J$350:$J$356,0),0)&gt;0,0,1)*IF(Character_Creation!$T$350&gt;0,1,0)</f>
        <v>0</v>
      </c>
      <c r="CC334">
        <f>IF(CB334=0,0,1+COUNTIF(CC$3:CC333,"&gt;0"))</f>
        <v>0</v>
      </c>
      <c r="CD334" t="str">
        <f t="shared" si="316"/>
        <v/>
      </c>
      <c r="CE334" t="str">
        <f t="shared" si="288"/>
        <v/>
      </c>
      <c r="CG334">
        <f>IF(IFERROR(SEARCH("Wizard",$T334,1),0)&gt;0,1,0)*IF($C334&lt;=EldritchKnightMaxSpellLevel,1,0)*IF(IFERROR(MATCH($B334,Character_Creation!$J$350:$J$356,0),0)&gt;0,0,1)*IF(Character_Creation!$M$350&gt;0,1,0)</f>
        <v>1</v>
      </c>
      <c r="CH334">
        <f>IF(CG334=0,0,1+COUNTIF(CH$3:CH333,"&gt;0"))</f>
        <v>59</v>
      </c>
      <c r="CI334" t="str">
        <f t="shared" si="317"/>
        <v/>
      </c>
      <c r="CJ334" t="str">
        <f t="shared" si="289"/>
        <v/>
      </c>
      <c r="CL334">
        <f>IF(IFERROR(SEARCH("Bard",$T334,1),0)&gt;0,1,0)*IF(BardMaxSpellLevel&gt;=$C334,1,0)*IF(IFERROR(MATCH(B334,Character_Creation!$C$341:$F$362,0),0)&gt;0,0,1)*IF(IFERROR(MATCH($B334,Character_Creation!$C$341:$C$362,0),0)&gt;0,0,1)</f>
        <v>0</v>
      </c>
      <c r="CM334">
        <f>IF(CL334=0,0,1+COUNTIF(CM$3:CM333,"&gt;0"))</f>
        <v>0</v>
      </c>
      <c r="CN334" t="str">
        <f t="shared" si="318"/>
        <v/>
      </c>
      <c r="CO334" t="str">
        <f t="shared" si="290"/>
        <v/>
      </c>
      <c r="CQ334">
        <f>IF(IFERROR(SEARCH("Wizard",$T334,1),0)&gt;0,1,0)*IF(WizardMaxSpellLevel&gt;=$C334,1,0)*IF(IFERROR(MATCH(B334,Character_Creation!$X$341:$X$400,0),0)&gt;0,0,1)*IF(SelectedWizardSpellLevel=$C334,1,0)</f>
        <v>0</v>
      </c>
      <c r="CR334">
        <f>IF(CQ334=0,0,1+COUNTIF(CR$3:CR333,"&gt;0"))</f>
        <v>0</v>
      </c>
      <c r="CS334" t="str">
        <f t="shared" si="319"/>
        <v/>
      </c>
      <c r="CT334" t="str">
        <f t="shared" si="291"/>
        <v/>
      </c>
      <c r="CV334">
        <f>IF(IFERROR(MATCH($B334,Character_Creation!$C$341:$C$362,0),0)&gt;0,0,1)*IF(OR(C334="Cantrip",C334&lt;=BardMaxSpellLevel),1,0)*IF(IFERROR(MATCH($B334,Character_Creation!$C$367:$C$374,0),0)&gt;0,0,1)</f>
        <v>0</v>
      </c>
      <c r="CW334">
        <f>IF(CV334=0,0,1+COUNTIF(CW$3:CW333,"&gt;0"))</f>
        <v>0</v>
      </c>
      <c r="CX334" t="str">
        <f t="shared" si="320"/>
        <v/>
      </c>
      <c r="CY334" t="str">
        <f t="shared" si="292"/>
        <v/>
      </c>
      <c r="DA334">
        <f>IF(IF(OR(IFERROR(SEARCH("Cleric",$T334,1),0)&gt;0,IFERROR(SEARCH(DivineDomain&amp;",",$T334,1),0)&gt;0),1,0)*IF($C334=DA$2,1,0)=1,1+COUNTIF(DA$3:DA333,"&gt;0"),0)</f>
        <v>0</v>
      </c>
      <c r="DB334">
        <f>IF(IF(OR(IFERROR(SEARCH("Cleric",$T334,1),0)&gt;0,IFERROR(SEARCH(DivineDomain&amp;",",$T334,1),0)&gt;0),1,0)*IF($C334=DB$2,1,0)=1,1+COUNTIF(DB$3:DB333,"&gt;0"),0)</f>
        <v>0</v>
      </c>
      <c r="DC334">
        <f>IF(IF(OR(IFERROR(SEARCH("Cleric",$T334,1),0)&gt;0,IFERROR(SEARCH(DivineDomain&amp;",",$T334,1),0)&gt;0),1,0)*IF($C334=DC$2,1,0)=1,1+COUNTIF(DC$3:DC333,"&gt;0"),0)</f>
        <v>0</v>
      </c>
      <c r="DD334">
        <f>IF(IF(OR(IFERROR(SEARCH("Cleric",$T334,1),0)&gt;0,IFERROR(SEARCH(DivineDomain&amp;",",$T334,1),0)&gt;0),1,0)*IF($C334=DD$2,1,0)=1,1+COUNTIF(DD$3:DD333,"&gt;0"),0)</f>
        <v>0</v>
      </c>
      <c r="DE334">
        <f>IF(IF(OR(IFERROR(SEARCH("Cleric",$T334,1),0)&gt;0,IFERROR(SEARCH(DivineDomain&amp;",",$T334,1),0)&gt;0),1,0)*IF($C334=DE$2,1,0)=1,1+COUNTIF(DE$3:DE333,"&gt;0"),0)</f>
        <v>0</v>
      </c>
      <c r="DF334">
        <f>IF(IF(OR(IFERROR(SEARCH("Cleric",$T334,1),0)&gt;0,IFERROR(SEARCH(DivineDomain&amp;",",$T334,1),0)&gt;0),1,0)*IF($C334=DF$2,1,0)=1,1+COUNTIF(DF$3:DF333,"&gt;0"),0)</f>
        <v>0</v>
      </c>
      <c r="DG334">
        <f>IF(IF(OR(IFERROR(SEARCH("Cleric",$T334,1),0)&gt;0,IFERROR(SEARCH(DivineDomain&amp;",",$T334,1),0)&gt;0),1,0)*IF($C334=DG$2,1,0)=1,1+COUNTIF(DG$3:DG333,"&gt;0"),0)</f>
        <v>0</v>
      </c>
      <c r="DH334">
        <f>IF(IF(OR(IFERROR(SEARCH("Cleric",$T334,1),0)&gt;0,IFERROR(SEARCH(DivineDomain&amp;",",$T334,1),0)&gt;0),1,0)*IF($C334=DH$2,1,0)=1,1+COUNTIF(DH$3:DH333,"&gt;0"),0)</f>
        <v>0</v>
      </c>
      <c r="DI334">
        <f>IF(IF(OR(IFERROR(SEARCH("Cleric",$T334,1),0)&gt;0,IFERROR(SEARCH(DivineDomain&amp;",",$T334,1),0)&gt;0),1,0)*IF($C334=DI$2,1,0)=1,1+COUNTIF(DI$3:DI333,"&gt;0"),0)</f>
        <v>0</v>
      </c>
      <c r="DJ334">
        <f>IF(IF(OR(IFERROR(SEARCH("Druid",$T334,1),0)&gt;0,IFERROR(SEARCH(DruidLand1,$T334,1),0)&gt;0,IFERROR(SEARCH(DruidLand2,$T334,1),0)&gt;0,IFERROR(SEARCH(DruidLand3,$T334,1),0)&gt;0,IFERROR(SEARCH(DruidLand4,$T334,1),0)&gt;0),1,0)*IF($C334=1,1,0)*IF($C334=DJ$2,1,0)=0,0,1+COUNTIF(DJ$3:DJ333,"&gt;0"))</f>
        <v>16</v>
      </c>
      <c r="DK334">
        <f>IF(IF(OR(IFERROR(SEARCH("Druid",$T334,1),0)&gt;0,IFERROR(SEARCH(DruidLand1,$T334,1),0)&gt;0,IFERROR(SEARCH(DruidLand2,$T334,1),0)&gt;0,IFERROR(SEARCH(DruidLand3,$T334,1),0)&gt;0,IFERROR(SEARCH(DruidLand4,$T334,1),0)&gt;0),1,0)*IF($C334=DK$2,1,0)=0,0,1+COUNTIF(DK$3:DK333,"&gt;0"))</f>
        <v>0</v>
      </c>
      <c r="DL334">
        <f>IF(IF(OR(IFERROR(SEARCH("Druid",$T334,1),0)&gt;0,IFERROR(SEARCH(DruidLand1,$T334,1),0)&gt;0,IFERROR(SEARCH(DruidLand2,$T334,1),0)&gt;0,IFERROR(SEARCH(DruidLand3,$T334,1),0)&gt;0,IFERROR(SEARCH(DruidLand4,$T334,1),0)&gt;0),1,0)*IF($C334=DL$2,1,0)=0,0,1+COUNTIF(DL$3:DL333,"&gt;0"))</f>
        <v>0</v>
      </c>
      <c r="DM334">
        <f>IF(IF(OR(IFERROR(SEARCH("Druid",$T334,1),0)&gt;0,IFERROR(SEARCH(DruidLand1,$T334,1),0)&gt;0,IFERROR(SEARCH(DruidLand2,$T334,1),0)&gt;0,IFERROR(SEARCH(DruidLand3,$T334,1),0)&gt;0,IFERROR(SEARCH(DruidLand4,$T334,1),0)&gt;0),1,0)*IF($C334=DM$2,1,0)=0,0,1+COUNTIF(DM$3:DM333,"&gt;0"))</f>
        <v>0</v>
      </c>
      <c r="DN334">
        <f>IF(IF(OR(IFERROR(SEARCH("Druid",$T334,1),0)&gt;0,IFERROR(SEARCH(DruidLand1,$T334,1),0)&gt;0,IFERROR(SEARCH(DruidLand2,$T334,1),0)&gt;0,IFERROR(SEARCH(DruidLand3,$T334,1),0)&gt;0,IFERROR(SEARCH(DruidLand4,$T334,1),0)&gt;0),1,0)*IF($C334=DN$2,1,0)=0,0,1+COUNTIF(DN$3:DN333,"&gt;0"))</f>
        <v>0</v>
      </c>
      <c r="DO334">
        <f>IF(IF(OR(IFERROR(SEARCH("Druid",$T334,1),0)&gt;0,IFERROR(SEARCH(DruidLand1,$T334,1),0)&gt;0,IFERROR(SEARCH(DruidLand2,$T334,1),0)&gt;0,IFERROR(SEARCH(DruidLand3,$T334,1),0)&gt;0,IFERROR(SEARCH(DruidLand4,$T334,1),0)&gt;0),1,0)*IF($C334=DO$2,1,0)=0,0,1+COUNTIF(DO$3:DO333,"&gt;0"))</f>
        <v>0</v>
      </c>
      <c r="DP334">
        <f>IF(IF(OR(IFERROR(SEARCH("Druid",$T334,1),0)&gt;0,IFERROR(SEARCH(DruidLand1,$T334,1),0)&gt;0,IFERROR(SEARCH(DruidLand2,$T334,1),0)&gt;0,IFERROR(SEARCH(DruidLand3,$T334,1),0)&gt;0,IFERROR(SEARCH(DruidLand4,$T334,1),0)&gt;0),1,0)*IF($C334=DP$2,1,0)=0,0,1+COUNTIF(DP$3:DP333,"&gt;0"))</f>
        <v>0</v>
      </c>
      <c r="DQ334">
        <f>IF(IF(OR(IFERROR(SEARCH("Druid",$T334,1),0)&gt;0,IFERROR(SEARCH(DruidLand1,$T334,1),0)&gt;0,IFERROR(SEARCH(DruidLand2,$T334,1),0)&gt;0,IFERROR(SEARCH(DruidLand3,$T334,1),0)&gt;0,IFERROR(SEARCH(DruidLand4,$T334,1),0)&gt;0),1,0)*IF($C334=DQ$2,1,0)=0,0,1+COUNTIF(DQ$3:DQ333,"&gt;0"))</f>
        <v>0</v>
      </c>
      <c r="DR334">
        <f>IF(IF(OR(IFERROR(SEARCH("Druid",$T334,1),0)&gt;0,IFERROR(SEARCH(DruidLand1,$T334,1),0)&gt;0,IFERROR(SEARCH(DruidLand2,$T334,1),0)&gt;0,IFERROR(SEARCH(DruidLand3,$T334,1),0)&gt;0,IFERROR(SEARCH(DruidLand4,$T334,1),0)&gt;0),1,0)*IF($C334=DR$2,1,0)=0,0,1+COUNTIF(DR$3:DR333,"&gt;0"))</f>
        <v>0</v>
      </c>
      <c r="DS334">
        <f>IF(IF(OR(IFERROR(SEARCH("Paladin",$T334,1),0)&gt;0,IFERROR(SEARCH(PaladinOath,$T334,1),0)&gt;0),1,0)*IF($C334=DS$2,1,0)=1,1+COUNTIF(DS$3:DS333,"&gt;0"),0)</f>
        <v>0</v>
      </c>
      <c r="DT334">
        <f>IF(IF(OR(IFERROR(SEARCH("Paladin",$T334,1),0)&gt;0,IFERROR(SEARCH(PaladinOath,$T334,1),0)&gt;0),1,0)*IF($C334=DT$2,1,0)=1,1+COUNTIF(DT$3:DT333,"&gt;0"),0)</f>
        <v>0</v>
      </c>
      <c r="DU334">
        <f>IF(IF(OR(IFERROR(SEARCH("Paladin",$T334,1),0)&gt;0,IFERROR(SEARCH(PaladinOath,$T334,1),0)&gt;0),1,0)*IF($C334=DU$2,1,0)=1,1+COUNTIF(DU$3:DU333,"&gt;0"),0)</f>
        <v>0</v>
      </c>
      <c r="DV334">
        <f>IF(IF(OR(IFERROR(SEARCH("Paladin",$T334,1),0)&gt;0,IFERROR(SEARCH(PaladinOath,$T334,1),0)&gt;0),1,0)*IF($C334=DV$2,1,0)=1,1+COUNTIF(DV$3:DV333,"&gt;0"),0)</f>
        <v>0</v>
      </c>
      <c r="DW334">
        <f>IF(IF(OR(IFERROR(SEARCH("Paladin",$T334,1),0)&gt;0,IFERROR(SEARCH(PaladinOath,$T334,1),0)&gt;0),1,0)*IF($C334=DW$2,1,0)=1,1+COUNTIF(DW$3:DW333,"&gt;0"),0)</f>
        <v>0</v>
      </c>
      <c r="DY334">
        <f t="shared" si="278"/>
        <v>1</v>
      </c>
      <c r="DZ334">
        <f>IF(DY334=0,0,1+MAX(DZ$3:$DZ333))</f>
        <v>332</v>
      </c>
      <c r="EB334">
        <f t="shared" si="293"/>
        <v>0</v>
      </c>
      <c r="EC334">
        <f>IF(EB334=0,0,1+COUNTIF(EC$3:EC333,"&gt;0"))</f>
        <v>0</v>
      </c>
      <c r="ED334" t="str">
        <f t="shared" si="321"/>
        <v/>
      </c>
      <c r="EE334" t="str">
        <f t="shared" si="294"/>
        <v/>
      </c>
      <c r="EG334">
        <f t="shared" si="295"/>
        <v>0</v>
      </c>
      <c r="EH334">
        <f>IF(EG334=0,0,1+COUNTIF(EH$3:EH333,"&gt;0"))</f>
        <v>0</v>
      </c>
      <c r="EI334" t="str">
        <f t="shared" si="322"/>
        <v/>
      </c>
      <c r="EJ334" t="str">
        <f t="shared" si="296"/>
        <v/>
      </c>
      <c r="EL334">
        <f t="shared" si="297"/>
        <v>0</v>
      </c>
      <c r="EM334">
        <f>IF(EL334=0,0,1+COUNTIF(EM$3:EM333,"&gt;0"))</f>
        <v>0</v>
      </c>
      <c r="EN334" t="str">
        <f t="shared" si="323"/>
        <v/>
      </c>
      <c r="EO334" t="str">
        <f t="shared" si="298"/>
        <v/>
      </c>
      <c r="EQ334">
        <f t="shared" si="299"/>
        <v>0</v>
      </c>
      <c r="ER334">
        <f>IF(EQ334=0,0,1+COUNTIF(ER$3:ER333,"&gt;0"))</f>
        <v>0</v>
      </c>
      <c r="ES334" t="str">
        <f t="shared" si="324"/>
        <v/>
      </c>
      <c r="ET334" t="str">
        <f t="shared" si="300"/>
        <v/>
      </c>
      <c r="EV334">
        <f t="shared" si="301"/>
        <v>0</v>
      </c>
      <c r="EW334">
        <f>IF(EV334=0,0,1+COUNTIF(EW$3:EW333,"&gt;0"))</f>
        <v>0</v>
      </c>
      <c r="EX334" t="str">
        <f t="shared" si="325"/>
        <v/>
      </c>
      <c r="EY334" t="str">
        <f t="shared" si="302"/>
        <v/>
      </c>
      <c r="FA334">
        <f t="shared" si="303"/>
        <v>0</v>
      </c>
      <c r="FB334">
        <f>IF(FA334=0,0,1+COUNTIF(FB$3:FB333,"&gt;0"))</f>
        <v>0</v>
      </c>
      <c r="FC334" t="str">
        <f t="shared" si="326"/>
        <v/>
      </c>
      <c r="FD334" t="str">
        <f t="shared" si="304"/>
        <v/>
      </c>
      <c r="FF334">
        <f t="shared" si="305"/>
        <v>0</v>
      </c>
      <c r="FG334">
        <f>IF(FF334=0,0,1+COUNTIF(FG$3:FG333,"&gt;0"))</f>
        <v>0</v>
      </c>
      <c r="FH334" t="str">
        <f t="shared" si="327"/>
        <v/>
      </c>
      <c r="FI334" t="str">
        <f t="shared" si="306"/>
        <v/>
      </c>
      <c r="FK334">
        <f t="shared" si="307"/>
        <v>0</v>
      </c>
      <c r="FL334">
        <f>IF(FK334=0,0,1+COUNTIF(FL$3:FL333,"&gt;0"))</f>
        <v>0</v>
      </c>
      <c r="FM334" t="str">
        <f t="shared" si="328"/>
        <v/>
      </c>
      <c r="FN334" t="str">
        <f t="shared" si="308"/>
        <v/>
      </c>
      <c r="FP334">
        <f t="shared" si="309"/>
        <v>0</v>
      </c>
      <c r="FQ334">
        <f>IF(FP334=0,0,1+COUNTIF(FQ$3:FQ333,"&gt;0"))</f>
        <v>0</v>
      </c>
      <c r="FR334" t="str">
        <f t="shared" si="329"/>
        <v/>
      </c>
      <c r="FS334" t="str">
        <f t="shared" si="310"/>
        <v/>
      </c>
    </row>
    <row r="335" spans="1:175" x14ac:dyDescent="0.25">
      <c r="A335" s="347">
        <f t="shared" si="276"/>
        <v>333</v>
      </c>
      <c r="B335" s="348" t="s">
        <v>2733</v>
      </c>
      <c r="C335" s="348">
        <v>9</v>
      </c>
      <c r="D335" s="347">
        <v>9</v>
      </c>
      <c r="E335" s="627" t="s">
        <v>6952</v>
      </c>
      <c r="F335" s="346"/>
      <c r="G335" s="347" t="str">
        <f>""</f>
        <v/>
      </c>
      <c r="H335" s="347" t="s">
        <v>5912</v>
      </c>
      <c r="I335" s="347" t="s">
        <v>5283</v>
      </c>
      <c r="J335" s="347" t="str">
        <f t="shared" si="279"/>
        <v/>
      </c>
      <c r="K335" s="347" t="s">
        <v>5278</v>
      </c>
      <c r="L335" s="611" t="str">
        <f t="shared" si="280"/>
        <v>V</v>
      </c>
      <c r="M335" s="347" t="s">
        <v>2373</v>
      </c>
      <c r="N335" s="347" t="s">
        <v>3034</v>
      </c>
      <c r="O335" s="347" t="s">
        <v>3034</v>
      </c>
      <c r="P335" s="346" t="str">
        <f>""</f>
        <v/>
      </c>
      <c r="Q335" s="347" t="s">
        <v>5276</v>
      </c>
      <c r="S335" s="346" t="s">
        <v>5847</v>
      </c>
      <c r="T335" s="346" t="str">
        <f t="shared" si="281"/>
        <v xml:space="preserve">Sorcerer, Wizard, </v>
      </c>
      <c r="X335" s="347" t="str">
        <f t="shared" si="330"/>
        <v>Time Stop</v>
      </c>
      <c r="AD335" s="347" t="str">
        <f>$B335</f>
        <v>Time Stop</v>
      </c>
      <c r="AE335" t="str">
        <f>IF(IFERROR(MATCH($B335,temp!A$4:A$13,0),0)&gt;0,T08_Spells!AE$2,"")</f>
        <v/>
      </c>
      <c r="AF335" t="str">
        <f>IF(IFERROR(MATCH($B335,temp!B$4:B$13,0),0)&gt;0,T08_Spells!AF$2,"")</f>
        <v/>
      </c>
      <c r="AG335" t="str">
        <f>IF(IFERROR(MATCH($B335,temp!C$4:C$13,0),0)&gt;0,T08_Spells!AG$2,"")</f>
        <v/>
      </c>
      <c r="AH335" t="str">
        <f>IF(IFERROR(MATCH($B335,temp!D$4:D$13,0),0)&gt;0,T08_Spells!AH$2,"")</f>
        <v/>
      </c>
      <c r="AI335" t="str">
        <f>IF(IFERROR(MATCH($B335,temp!E$4:E$13,0),0)&gt;0,T08_Spells!AI$2,"")</f>
        <v/>
      </c>
      <c r="AJ335" t="str">
        <f>IF(IFERROR(MATCH($B335,temp!F$4:F$13,0),0)&gt;0,T08_Spells!AJ$2,"")</f>
        <v/>
      </c>
      <c r="AK335" t="str">
        <f>IF(IFERROR(MATCH($B335,temp!G$4:G$13,0),0)&gt;0,T08_Spells!AK$2,"")</f>
        <v/>
      </c>
      <c r="AL335" t="str">
        <f>IF(IFERROR(MATCH($B335,temp!H$4:H$13,0),0)&gt;0,T08_Spells!AL$2,"")</f>
        <v/>
      </c>
      <c r="AM335" t="str">
        <f>IF(IFERROR(MATCH($B335,temp!I$4:I$13,0),0)&gt;0,T08_Spells!AM$2,"")</f>
        <v/>
      </c>
      <c r="AN335" t="str">
        <f>IF(IFERROR(MATCH($B335,temp!J$4:J$13,0),0)&gt;0,T08_Spells!AN$2,"")</f>
        <v/>
      </c>
      <c r="AO335" t="str">
        <f>IF(IFERROR(MATCH($B335,temp!K$4:K$13,0),0)&gt;0,T08_Spells!AO$2,"")</f>
        <v/>
      </c>
      <c r="AP335" t="str">
        <f>IF(IFERROR(MATCH($B335,temp!L$4:L$13,0),0)&gt;0,T08_Spells!AP$2,"")</f>
        <v/>
      </c>
      <c r="AQ335" t="str">
        <f>IF(IFERROR(MATCH($B335,temp!M$4:M$13,0),0)&gt;0,T08_Spells!AQ$2,"")</f>
        <v/>
      </c>
      <c r="AR335" t="str">
        <f>IF(IFERROR(MATCH($B335,temp!N$4:N$13,0),0)&gt;0,T08_Spells!AR$2,"")</f>
        <v/>
      </c>
      <c r="AS335" t="str">
        <f>IF(IFERROR(MATCH($B335,temp!O$4:O$13,0),0)&gt;0,T08_Spells!AS$2,"")</f>
        <v/>
      </c>
      <c r="AT335" t="str">
        <f>IF(IFERROR(MATCH($B335,temp!P$4:P$13,0),0)&gt;0,T08_Spells!AT$2,"")</f>
        <v/>
      </c>
      <c r="AU335" t="str">
        <f>IF(IFERROR(MATCH($B335,temp!Q$4:Q$13,0),0)&gt;0,T08_Spells!AU$2,"")</f>
        <v/>
      </c>
      <c r="AV335" t="str">
        <f>IF(IFERROR(MATCH($B335,temp!R$4:R$13,0),0)&gt;0,T08_Spells!AV$2,"")</f>
        <v/>
      </c>
      <c r="AW335" t="str">
        <f>IF(IFERROR(MATCH($B335,temp!S$4:S$13,0),0)&gt;0,T08_Spells!AW$2,"")</f>
        <v/>
      </c>
      <c r="AX335" t="str">
        <f>IF(IFERROR(MATCH($B335,temp!T$4:T$13,0),0)&gt;0,T08_Spells!AX$2,"")</f>
        <v/>
      </c>
      <c r="AY335" t="str">
        <f>IF(IFERROR(MATCH($B335,temp!U$4:U$13,0),0)&gt;0,T08_Spells!AY$2,"")</f>
        <v/>
      </c>
      <c r="AZ335" t="str">
        <f>IF(IFERROR(MATCH($B335,temp!V$4:V$13,0),0)&gt;0,T08_Spells!AZ$2,"")</f>
        <v/>
      </c>
      <c r="BA335" t="str">
        <f>IF(IFERROR(MATCH($B335,temp!W$4:W$13,0),0)&gt;0,T08_Spells!BA$2,"")</f>
        <v/>
      </c>
      <c r="BC335">
        <f>IF(IFERROR(SEARCH("Ranger",$T335,1),0)&gt;0,1,0)*IF(RangerMaxSpellLevel&gt;=$C335,1,0)*IF(IFERROR(MATCH(B335,Character_Creation!$X$79:$X$382,0),0)&gt;0,0,1)</f>
        <v>0</v>
      </c>
      <c r="BD335">
        <f>IF(BC335=0,0,1+COUNTIF(BD$3:BD334,"&gt;0"))</f>
        <v>0</v>
      </c>
      <c r="BE335" t="str">
        <f t="shared" si="311"/>
        <v/>
      </c>
      <c r="BF335" t="str">
        <f t="shared" si="283"/>
        <v/>
      </c>
      <c r="BH335">
        <f>IF(IFERROR(SEARCH("Sorcerer",$T335,1),0)&gt;0,1,0)*IF(SorcererMaxSpellLevel&gt;=$C335,1,0)*IF(IFERROR(MATCH(B335,Character_Creation!$J$380:$J$394,0),0)&gt;0,0,1)</f>
        <v>0</v>
      </c>
      <c r="BI335">
        <f>IF(BH335=0,0,1+COUNTIF(BI$3:BI334,"&gt;0"))</f>
        <v>0</v>
      </c>
      <c r="BJ335" t="str">
        <f t="shared" si="312"/>
        <v/>
      </c>
      <c r="BK335" t="str">
        <f t="shared" si="284"/>
        <v/>
      </c>
      <c r="BM335">
        <f>IF(OR(IFERROR(SEARCH("Warlock",$T335,1),0)&gt;0,IFERROR(SEARCH(WarlockPatron,$T335,1),0)&gt;0),1,0)*IF(WarlockMaxSpellLevel&gt;=$C335,1,0)*IF(IFERROR(MATCH(B335,Character_Creation!$J$361:$J$375,0),0)&gt;0,0,1)</f>
        <v>0</v>
      </c>
      <c r="BN335">
        <f>IF(BM335=0,0,1+COUNTIF(BN$3:BN334,"&gt;0"))</f>
        <v>0</v>
      </c>
      <c r="BO335" t="str">
        <f t="shared" si="313"/>
        <v/>
      </c>
      <c r="BP335" t="str">
        <f t="shared" si="285"/>
        <v/>
      </c>
      <c r="BR335">
        <f>IF(IFERROR(SEARCH("Eldritch Knight",$T335,1),0)&gt;0,1,0)*IF(EldritchKnightMaxSpellLevel&gt;=$C335,1,0)*IF(IFERROR(MATCH($B335,Character_Creation!$J$350:$J$356,0),0)&gt;0,0,1)*IF(Character_Creation!$M$338&gt;0,1,0)</f>
        <v>0</v>
      </c>
      <c r="BS335">
        <f>IF(BR335=0,0,1+COUNTIF(BS$3:BS334,"&gt;0"))</f>
        <v>0</v>
      </c>
      <c r="BT335" t="str">
        <f t="shared" si="314"/>
        <v/>
      </c>
      <c r="BU335" t="str">
        <f t="shared" si="286"/>
        <v/>
      </c>
      <c r="BW335">
        <f>IF(IFERROR(SEARCH("Arcane Trickster",$T335,1),0)&gt;0,1,0)*IF(ArcaneTricksterMaxSpellLevel&gt;=$C335,1,0)*IF(IFERROR(MATCH($B335,Character_Creation!$J$350:$J$356,0),0)&gt;0,0,1)*IF(Character_Creation!$T$338&gt;0,1,0)</f>
        <v>0</v>
      </c>
      <c r="BX335">
        <f>IF(BW335=0,0,1+COUNTIF(BX$3:BX334,"&gt;0"))</f>
        <v>0</v>
      </c>
      <c r="BY335" t="str">
        <f t="shared" si="315"/>
        <v/>
      </c>
      <c r="BZ335" t="str">
        <f t="shared" si="287"/>
        <v/>
      </c>
      <c r="CB335">
        <f>IF(IFERROR(SEARCH("Wizard",$T335,1),0)&gt;0,1,0)*IF(C335&lt;=ArcaneTricksterMaxSpellLevel,1,0)*IF(IFERROR(MATCH($B335,Character_Creation!$J$350:$J$356,0),0)&gt;0,0,1)*IF(Character_Creation!$T$350&gt;0,1,0)</f>
        <v>0</v>
      </c>
      <c r="CC335">
        <f>IF(CB335=0,0,1+COUNTIF(CC$3:CC334,"&gt;0"))</f>
        <v>0</v>
      </c>
      <c r="CD335" t="str">
        <f t="shared" si="316"/>
        <v/>
      </c>
      <c r="CE335" t="str">
        <f t="shared" si="288"/>
        <v/>
      </c>
      <c r="CG335">
        <f>IF(IFERROR(SEARCH("Wizard",$T335,1),0)&gt;0,1,0)*IF($C335&lt;=EldritchKnightMaxSpellLevel,1,0)*IF(IFERROR(MATCH($B335,Character_Creation!$J$350:$J$356,0),0)&gt;0,0,1)*IF(Character_Creation!$M$350&gt;0,1,0)</f>
        <v>0</v>
      </c>
      <c r="CH335">
        <f>IF(CG335=0,0,1+COUNTIF(CH$3:CH334,"&gt;0"))</f>
        <v>0</v>
      </c>
      <c r="CI335" t="str">
        <f t="shared" si="317"/>
        <v/>
      </c>
      <c r="CJ335" t="str">
        <f t="shared" si="289"/>
        <v/>
      </c>
      <c r="CL335">
        <f>IF(IFERROR(SEARCH("Bard",$T335,1),0)&gt;0,1,0)*IF(BardMaxSpellLevel&gt;=$C335,1,0)*IF(IFERROR(MATCH(B335,Character_Creation!$C$341:$F$362,0),0)&gt;0,0,1)*IF(IFERROR(MATCH($B335,Character_Creation!$C$341:$C$362,0),0)&gt;0,0,1)</f>
        <v>0</v>
      </c>
      <c r="CM335">
        <f>IF(CL335=0,0,1+COUNTIF(CM$3:CM334,"&gt;0"))</f>
        <v>0</v>
      </c>
      <c r="CN335" t="str">
        <f t="shared" si="318"/>
        <v/>
      </c>
      <c r="CO335" t="str">
        <f t="shared" si="290"/>
        <v/>
      </c>
      <c r="CQ335">
        <f>IF(IFERROR(SEARCH("Wizard",$T335,1),0)&gt;0,1,0)*IF(WizardMaxSpellLevel&gt;=$C335,1,0)*IF(IFERROR(MATCH(B335,Character_Creation!$X$341:$X$400,0),0)&gt;0,0,1)*IF(SelectedWizardSpellLevel=$C335,1,0)</f>
        <v>0</v>
      </c>
      <c r="CR335">
        <f>IF(CQ335=0,0,1+COUNTIF(CR$3:CR334,"&gt;0"))</f>
        <v>0</v>
      </c>
      <c r="CS335" t="str">
        <f t="shared" si="319"/>
        <v/>
      </c>
      <c r="CT335" t="str">
        <f t="shared" si="291"/>
        <v/>
      </c>
      <c r="CV335">
        <f>IF(IFERROR(MATCH($B335,Character_Creation!$C$341:$C$362,0),0)&gt;0,0,1)*IF(OR(C335="Cantrip",C335&lt;=BardMaxSpellLevel),1,0)*IF(IFERROR(MATCH($B335,Character_Creation!$C$367:$C$374,0),0)&gt;0,0,1)</f>
        <v>0</v>
      </c>
      <c r="CW335">
        <f>IF(CV335=0,0,1+COUNTIF(CW$3:CW334,"&gt;0"))</f>
        <v>0</v>
      </c>
      <c r="CX335" t="str">
        <f t="shared" si="320"/>
        <v/>
      </c>
      <c r="CY335" t="str">
        <f t="shared" si="292"/>
        <v/>
      </c>
      <c r="DA335">
        <f>IF(IF(OR(IFERROR(SEARCH("Cleric",$T335,1),0)&gt;0,IFERROR(SEARCH(DivineDomain&amp;",",$T335,1),0)&gt;0),1,0)*IF($C335=DA$2,1,0)=1,1+COUNTIF(DA$3:DA334,"&gt;0"),0)</f>
        <v>0</v>
      </c>
      <c r="DB335">
        <f>IF(IF(OR(IFERROR(SEARCH("Cleric",$T335,1),0)&gt;0,IFERROR(SEARCH(DivineDomain&amp;",",$T335,1),0)&gt;0),1,0)*IF($C335=DB$2,1,0)=1,1+COUNTIF(DB$3:DB334,"&gt;0"),0)</f>
        <v>0</v>
      </c>
      <c r="DC335">
        <f>IF(IF(OR(IFERROR(SEARCH("Cleric",$T335,1),0)&gt;0,IFERROR(SEARCH(DivineDomain&amp;",",$T335,1),0)&gt;0),1,0)*IF($C335=DC$2,1,0)=1,1+COUNTIF(DC$3:DC334,"&gt;0"),0)</f>
        <v>0</v>
      </c>
      <c r="DD335">
        <f>IF(IF(OR(IFERROR(SEARCH("Cleric",$T335,1),0)&gt;0,IFERROR(SEARCH(DivineDomain&amp;",",$T335,1),0)&gt;0),1,0)*IF($C335=DD$2,1,0)=1,1+COUNTIF(DD$3:DD334,"&gt;0"),0)</f>
        <v>0</v>
      </c>
      <c r="DE335">
        <f>IF(IF(OR(IFERROR(SEARCH("Cleric",$T335,1),0)&gt;0,IFERROR(SEARCH(DivineDomain&amp;",",$T335,1),0)&gt;0),1,0)*IF($C335=DE$2,1,0)=1,1+COUNTIF(DE$3:DE334,"&gt;0"),0)</f>
        <v>0</v>
      </c>
      <c r="DF335">
        <f>IF(IF(OR(IFERROR(SEARCH("Cleric",$T335,1),0)&gt;0,IFERROR(SEARCH(DivineDomain&amp;",",$T335,1),0)&gt;0),1,0)*IF($C335=DF$2,1,0)=1,1+COUNTIF(DF$3:DF334,"&gt;0"),0)</f>
        <v>0</v>
      </c>
      <c r="DG335">
        <f>IF(IF(OR(IFERROR(SEARCH("Cleric",$T335,1),0)&gt;0,IFERROR(SEARCH(DivineDomain&amp;",",$T335,1),0)&gt;0),1,0)*IF($C335=DG$2,1,0)=1,1+COUNTIF(DG$3:DG334,"&gt;0"),0)</f>
        <v>0</v>
      </c>
      <c r="DH335">
        <f>IF(IF(OR(IFERROR(SEARCH("Cleric",$T335,1),0)&gt;0,IFERROR(SEARCH(DivineDomain&amp;",",$T335,1),0)&gt;0),1,0)*IF($C335=DH$2,1,0)=1,1+COUNTIF(DH$3:DH334,"&gt;0"),0)</f>
        <v>0</v>
      </c>
      <c r="DI335">
        <f>IF(IF(OR(IFERROR(SEARCH("Cleric",$T335,1),0)&gt;0,IFERROR(SEARCH(DivineDomain&amp;",",$T335,1),0)&gt;0),1,0)*IF($C335=DI$2,1,0)=1,1+COUNTIF(DI$3:DI334,"&gt;0"),0)</f>
        <v>0</v>
      </c>
      <c r="DJ335">
        <f>IF(IF(OR(IFERROR(SEARCH("Druid",$T335,1),0)&gt;0,IFERROR(SEARCH(DruidLand1,$T335,1),0)&gt;0,IFERROR(SEARCH(DruidLand2,$T335,1),0)&gt;0,IFERROR(SEARCH(DruidLand3,$T335,1),0)&gt;0,IFERROR(SEARCH(DruidLand4,$T335,1),0)&gt;0),1,0)*IF($C335=1,1,0)*IF($C335=DJ$2,1,0)=0,0,1+COUNTIF(DJ$3:DJ334,"&gt;0"))</f>
        <v>0</v>
      </c>
      <c r="DK335">
        <f>IF(IF(OR(IFERROR(SEARCH("Druid",$T335,1),0)&gt;0,IFERROR(SEARCH(DruidLand1,$T335,1),0)&gt;0,IFERROR(SEARCH(DruidLand2,$T335,1),0)&gt;0,IFERROR(SEARCH(DruidLand3,$T335,1),0)&gt;0,IFERROR(SEARCH(DruidLand4,$T335,1),0)&gt;0),1,0)*IF($C335=1,1,0)*IF($C335=DK$2,1,0)=0,0,1+COUNTIF(DK$3:DK334,"&gt;0"))</f>
        <v>0</v>
      </c>
      <c r="DL335">
        <f>IF(IF(OR(IFERROR(SEARCH("Druid",$T335,1),0)&gt;0,IFERROR(SEARCH(DruidLand1,$T335,1),0)&gt;0,IFERROR(SEARCH(DruidLand2,$T335,1),0)&gt;0,IFERROR(SEARCH(DruidLand3,$T335,1),0)&gt;0,IFERROR(SEARCH(DruidLand4,$T335,1),0)&gt;0),1,0)*IF($C335=1,1,0)*IF($C335=DL$2,1,0)=0,0,1+COUNTIF(DL$3:DL334,"&gt;0"))</f>
        <v>0</v>
      </c>
      <c r="DM335">
        <f>IF(IF(OR(IFERROR(SEARCH("Druid",$T335,1),0)&gt;0,IFERROR(SEARCH(DruidLand1,$T335,1),0)&gt;0,IFERROR(SEARCH(DruidLand2,$T335,1),0)&gt;0,IFERROR(SEARCH(DruidLand3,$T335,1),0)&gt;0,IFERROR(SEARCH(DruidLand4,$T335,1),0)&gt;0),1,0)*IF($C335=1,1,0)*IF($C335=DM$2,1,0)=0,0,1+COUNTIF(DM$3:DM334,"&gt;0"))</f>
        <v>0</v>
      </c>
      <c r="DN335">
        <f>IF(IF(OR(IFERROR(SEARCH("Druid",$T335,1),0)&gt;0,IFERROR(SEARCH(DruidLand1,$T335,1),0)&gt;0,IFERROR(SEARCH(DruidLand2,$T335,1),0)&gt;0,IFERROR(SEARCH(DruidLand3,$T335,1),0)&gt;0,IFERROR(SEARCH(DruidLand4,$T335,1),0)&gt;0),1,0)*IF($C335=1,1,0)*IF($C335=DN$2,1,0)=0,0,1+COUNTIF(DN$3:DN334,"&gt;0"))</f>
        <v>0</v>
      </c>
      <c r="DO335">
        <f>IF(IF(OR(IFERROR(SEARCH("Druid",$T335,1),0)&gt;0,IFERROR(SEARCH(DruidLand1,$T335,1),0)&gt;0,IFERROR(SEARCH(DruidLand2,$T335,1),0)&gt;0,IFERROR(SEARCH(DruidLand3,$T335,1),0)&gt;0,IFERROR(SEARCH(DruidLand4,$T335,1),0)&gt;0),1,0)*IF($C335=1,1,0)*IF($C335=DO$2,1,0)=0,0,1+COUNTIF(DO$3:DO334,"&gt;0"))</f>
        <v>0</v>
      </c>
      <c r="DP335">
        <f>IF(IF(OR(IFERROR(SEARCH("Druid",$T335,1),0)&gt;0,IFERROR(SEARCH(DruidLand1,$T335,1),0)&gt;0,IFERROR(SEARCH(DruidLand2,$T335,1),0)&gt;0,IFERROR(SEARCH(DruidLand3,$T335,1),0)&gt;0,IFERROR(SEARCH(DruidLand4,$T335,1),0)&gt;0),1,0)*IF($C335=1,1,0)*IF($C335=DP$2,1,0)=0,0,1+COUNTIF(DP$3:DP334,"&gt;0"))</f>
        <v>0</v>
      </c>
      <c r="DQ335">
        <f>IF(IF(OR(IFERROR(SEARCH("Druid",$T335,1),0)&gt;0,IFERROR(SEARCH(DruidLand1,$T335,1),0)&gt;0,IFERROR(SEARCH(DruidLand2,$T335,1),0)&gt;0,IFERROR(SEARCH(DruidLand3,$T335,1),0)&gt;0,IFERROR(SEARCH(DruidLand4,$T335,1),0)&gt;0),1,0)*IF($C335=1,1,0)*IF($C335=DQ$2,1,0)=0,0,1+COUNTIF(DQ$3:DQ334,"&gt;0"))</f>
        <v>0</v>
      </c>
      <c r="DR335">
        <f>IF(IF(OR(IFERROR(SEARCH("Druid",$T335,1),0)&gt;0,IFERROR(SEARCH(DruidLand1,$T335,1),0)&gt;0,IFERROR(SEARCH(DruidLand2,$T335,1),0)&gt;0,IFERROR(SEARCH(DruidLand3,$T335,1),0)&gt;0,IFERROR(SEARCH(DruidLand4,$T335,1),0)&gt;0),1,0)*IF($C335=1,1,0)*IF($C335=DR$2,1,0)=0,0,1+COUNTIF(DR$3:DR334,"&gt;0"))</f>
        <v>0</v>
      </c>
      <c r="DS335">
        <f>IF(IF(OR(IFERROR(SEARCH("Paladin",$T335,1),0)&gt;0,IFERROR(SEARCH(PaladinOath,$T335,1),0)&gt;0),1,0)*IF($C335=DS$2,1,0)=1,1+COUNTIF(DS$3:DS334,"&gt;0"),0)</f>
        <v>0</v>
      </c>
      <c r="DT335">
        <f>IF(IF(OR(IFERROR(SEARCH("Paladin",$T335,1),0)&gt;0,IFERROR(SEARCH(PaladinOath,$T335,1),0)&gt;0),1,0)*IF($C335=DT$2,1,0)=1,1+COUNTIF(DT$3:DT334,"&gt;0"),0)</f>
        <v>0</v>
      </c>
      <c r="DU335">
        <f>IF(IF(OR(IFERROR(SEARCH("Paladin",$T335,1),0)&gt;0,IFERROR(SEARCH(PaladinOath,$T335,1),0)&gt;0),1,0)*IF($C335=DU$2,1,0)=1,1+COUNTIF(DU$3:DU334,"&gt;0"),0)</f>
        <v>0</v>
      </c>
      <c r="DV335">
        <f>IF(IF(OR(IFERROR(SEARCH("Paladin",$T335,1),0)&gt;0,IFERROR(SEARCH(PaladinOath,$T335,1),0)&gt;0),1,0)*IF($C335=DV$2,1,0)=1,1+COUNTIF(DV$3:DV334,"&gt;0"),0)</f>
        <v>0</v>
      </c>
      <c r="DW335">
        <f>IF(IF(OR(IFERROR(SEARCH("Paladin",$T335,1),0)&gt;0,IFERROR(SEARCH(PaladinOath,$T335,1),0)&gt;0),1,0)*IF($C335=DW$2,1,0)=1,1+COUNTIF(DW$3:DW334,"&gt;0"),0)</f>
        <v>0</v>
      </c>
      <c r="DY335">
        <f t="shared" si="278"/>
        <v>1</v>
      </c>
      <c r="DZ335">
        <f>IF(DY335=0,0,1+MAX(DZ$3:$DZ334))</f>
        <v>333</v>
      </c>
      <c r="EB335">
        <f t="shared" si="293"/>
        <v>0</v>
      </c>
      <c r="EC335">
        <f>IF(EB335=0,0,1+COUNTIF(EC$3:EC334,"&gt;0"))</f>
        <v>0</v>
      </c>
      <c r="ED335" t="str">
        <f t="shared" si="321"/>
        <v/>
      </c>
      <c r="EE335" t="str">
        <f t="shared" si="294"/>
        <v/>
      </c>
      <c r="EG335">
        <f t="shared" si="295"/>
        <v>0</v>
      </c>
      <c r="EH335">
        <f>IF(EG335=0,0,1+COUNTIF(EH$3:EH334,"&gt;0"))</f>
        <v>0</v>
      </c>
      <c r="EI335" t="str">
        <f t="shared" si="322"/>
        <v/>
      </c>
      <c r="EJ335" t="str">
        <f t="shared" si="296"/>
        <v/>
      </c>
      <c r="EL335">
        <f t="shared" si="297"/>
        <v>0</v>
      </c>
      <c r="EM335">
        <f>IF(EL335=0,0,1+COUNTIF(EM$3:EM334,"&gt;0"))</f>
        <v>0</v>
      </c>
      <c r="EN335" t="str">
        <f t="shared" si="323"/>
        <v/>
      </c>
      <c r="EO335" t="str">
        <f t="shared" si="298"/>
        <v/>
      </c>
      <c r="EQ335">
        <f t="shared" si="299"/>
        <v>0</v>
      </c>
      <c r="ER335">
        <f>IF(EQ335=0,0,1+COUNTIF(ER$3:ER334,"&gt;0"))</f>
        <v>0</v>
      </c>
      <c r="ES335" t="str">
        <f t="shared" si="324"/>
        <v/>
      </c>
      <c r="ET335" t="str">
        <f t="shared" si="300"/>
        <v/>
      </c>
      <c r="EV335">
        <f t="shared" si="301"/>
        <v>0</v>
      </c>
      <c r="EW335">
        <f>IF(EV335=0,0,1+COUNTIF(EW$3:EW334,"&gt;0"))</f>
        <v>0</v>
      </c>
      <c r="EX335" t="str">
        <f t="shared" si="325"/>
        <v/>
      </c>
      <c r="EY335" t="str">
        <f t="shared" si="302"/>
        <v/>
      </c>
      <c r="FA335">
        <f t="shared" si="303"/>
        <v>0</v>
      </c>
      <c r="FB335">
        <f>IF(FA335=0,0,1+COUNTIF(FB$3:FB334,"&gt;0"))</f>
        <v>0</v>
      </c>
      <c r="FC335" t="str">
        <f t="shared" si="326"/>
        <v/>
      </c>
      <c r="FD335" t="str">
        <f t="shared" si="304"/>
        <v/>
      </c>
      <c r="FF335">
        <f t="shared" si="305"/>
        <v>0</v>
      </c>
      <c r="FG335">
        <f>IF(FF335=0,0,1+COUNTIF(FG$3:FG334,"&gt;0"))</f>
        <v>0</v>
      </c>
      <c r="FH335" t="str">
        <f t="shared" si="327"/>
        <v/>
      </c>
      <c r="FI335" t="str">
        <f t="shared" si="306"/>
        <v/>
      </c>
      <c r="FK335">
        <f t="shared" si="307"/>
        <v>0</v>
      </c>
      <c r="FL335">
        <f>IF(FK335=0,0,1+COUNTIF(FL$3:FL334,"&gt;0"))</f>
        <v>0</v>
      </c>
      <c r="FM335" t="str">
        <f t="shared" si="328"/>
        <v/>
      </c>
      <c r="FN335" t="str">
        <f t="shared" si="308"/>
        <v/>
      </c>
      <c r="FP335">
        <f t="shared" si="309"/>
        <v>0</v>
      </c>
      <c r="FQ335">
        <f>IF(FP335=0,0,1+COUNTIF(FQ$3:FQ334,"&gt;0"))</f>
        <v>0</v>
      </c>
      <c r="FR335" t="str">
        <f t="shared" si="329"/>
        <v/>
      </c>
      <c r="FS335" t="str">
        <f t="shared" si="310"/>
        <v/>
      </c>
    </row>
    <row r="336" spans="1:175" x14ac:dyDescent="0.25">
      <c r="A336" s="347">
        <f t="shared" ref="A336:A399" si="331">A335+1</f>
        <v>334</v>
      </c>
      <c r="B336" s="348" t="s">
        <v>2734</v>
      </c>
      <c r="C336" s="348">
        <v>3</v>
      </c>
      <c r="D336" s="347">
        <v>3</v>
      </c>
      <c r="E336" s="627" t="s">
        <v>6952</v>
      </c>
      <c r="F336" s="346"/>
      <c r="G336" s="347" t="str">
        <f>""</f>
        <v/>
      </c>
      <c r="H336" s="347" t="s">
        <v>5912</v>
      </c>
      <c r="I336" s="347" t="s">
        <v>5298</v>
      </c>
      <c r="J336" s="347" t="str">
        <f t="shared" si="279"/>
        <v/>
      </c>
      <c r="K336" s="347" t="s">
        <v>5293</v>
      </c>
      <c r="L336" s="611" t="str">
        <f t="shared" si="280"/>
        <v>V, M, a small clay model of a ziggurat</v>
      </c>
      <c r="M336" s="347" t="s">
        <v>2373</v>
      </c>
      <c r="N336" s="347" t="s">
        <v>3034</v>
      </c>
      <c r="O336" s="347" t="s">
        <v>1244</v>
      </c>
      <c r="P336" s="346" t="s">
        <v>5500</v>
      </c>
      <c r="Q336" s="347" t="s">
        <v>2473</v>
      </c>
      <c r="S336" s="346" t="s">
        <v>2735</v>
      </c>
      <c r="T336" s="346" t="str">
        <f t="shared" si="281"/>
        <v xml:space="preserve">Bard, Sorcerer, Warlock, Cleric, Wizard, </v>
      </c>
      <c r="U336" s="347" t="str">
        <f>$B336</f>
        <v>Tongues</v>
      </c>
      <c r="X336" s="347" t="str">
        <f t="shared" si="330"/>
        <v>Tongues</v>
      </c>
      <c r="Y336" s="347" t="str">
        <f t="shared" si="330"/>
        <v>Tongues</v>
      </c>
      <c r="Z336" s="347" t="str">
        <f t="shared" si="330"/>
        <v>Tongues</v>
      </c>
      <c r="AD336" s="347" t="str">
        <f>$B336</f>
        <v>Tongues</v>
      </c>
      <c r="AE336" t="str">
        <f>IF(IFERROR(MATCH($B336,temp!A$4:A$13,0),0)&gt;0,T08_Spells!AE$2,"")</f>
        <v/>
      </c>
      <c r="AF336" t="str">
        <f>IF(IFERROR(MATCH($B336,temp!B$4:B$13,0),0)&gt;0,T08_Spells!AF$2,"")</f>
        <v/>
      </c>
      <c r="AG336" t="str">
        <f>IF(IFERROR(MATCH($B336,temp!C$4:C$13,0),0)&gt;0,T08_Spells!AG$2,"")</f>
        <v/>
      </c>
      <c r="AH336" t="str">
        <f>IF(IFERROR(MATCH($B336,temp!D$4:D$13,0),0)&gt;0,T08_Spells!AH$2,"")</f>
        <v/>
      </c>
      <c r="AI336" t="str">
        <f>IF(IFERROR(MATCH($B336,temp!E$4:E$13,0),0)&gt;0,T08_Spells!AI$2,"")</f>
        <v/>
      </c>
      <c r="AJ336" t="str">
        <f>IF(IFERROR(MATCH($B336,temp!F$4:F$13,0),0)&gt;0,T08_Spells!AJ$2,"")</f>
        <v/>
      </c>
      <c r="AK336" t="str">
        <f>IF(IFERROR(MATCH($B336,temp!G$4:G$13,0),0)&gt;0,T08_Spells!AK$2,"")</f>
        <v/>
      </c>
      <c r="AL336" t="str">
        <f>IF(IFERROR(MATCH($B336,temp!H$4:H$13,0),0)&gt;0,T08_Spells!AL$2,"")</f>
        <v/>
      </c>
      <c r="AM336" t="str">
        <f>IF(IFERROR(MATCH($B336,temp!I$4:I$13,0),0)&gt;0,T08_Spells!AM$2,"")</f>
        <v/>
      </c>
      <c r="AN336" t="str">
        <f>IF(IFERROR(MATCH($B336,temp!J$4:J$13,0),0)&gt;0,T08_Spells!AN$2,"")</f>
        <v/>
      </c>
      <c r="AO336" t="str">
        <f>IF(IFERROR(MATCH($B336,temp!K$4:K$13,0),0)&gt;0,T08_Spells!AO$2,"")</f>
        <v/>
      </c>
      <c r="AP336" t="str">
        <f>IF(IFERROR(MATCH($B336,temp!L$4:L$13,0),0)&gt;0,T08_Spells!AP$2,"")</f>
        <v/>
      </c>
      <c r="AQ336" t="str">
        <f>IF(IFERROR(MATCH($B336,temp!M$4:M$13,0),0)&gt;0,T08_Spells!AQ$2,"")</f>
        <v/>
      </c>
      <c r="AR336" t="str">
        <f>IF(IFERROR(MATCH($B336,temp!N$4:N$13,0),0)&gt;0,T08_Spells!AR$2,"")</f>
        <v/>
      </c>
      <c r="AS336" t="str">
        <f>IF(IFERROR(MATCH($B336,temp!O$4:O$13,0),0)&gt;0,T08_Spells!AS$2,"")</f>
        <v/>
      </c>
      <c r="AT336" t="str">
        <f>IF(IFERROR(MATCH($B336,temp!P$4:P$13,0),0)&gt;0,T08_Spells!AT$2,"")</f>
        <v/>
      </c>
      <c r="AU336" t="str">
        <f>IF(IFERROR(MATCH($B336,temp!Q$4:Q$13,0),0)&gt;0,T08_Spells!AU$2,"")</f>
        <v/>
      </c>
      <c r="AV336" t="str">
        <f>IF(IFERROR(MATCH($B336,temp!R$4:R$13,0),0)&gt;0,T08_Spells!AV$2,"")</f>
        <v/>
      </c>
      <c r="AW336" t="str">
        <f>IF(IFERROR(MATCH($B336,temp!S$4:S$13,0),0)&gt;0,T08_Spells!AW$2,"")</f>
        <v/>
      </c>
      <c r="AX336" t="str">
        <f>IF(IFERROR(MATCH($B336,temp!T$4:T$13,0),0)&gt;0,T08_Spells!AX$2,"")</f>
        <v/>
      </c>
      <c r="AY336" t="str">
        <f>IF(IFERROR(MATCH($B336,temp!U$4:U$13,0),0)&gt;0,T08_Spells!AY$2,"")</f>
        <v/>
      </c>
      <c r="AZ336" t="str">
        <f>IF(IFERROR(MATCH($B336,temp!V$4:V$13,0),0)&gt;0,T08_Spells!AZ$2,"")</f>
        <v/>
      </c>
      <c r="BA336" t="str">
        <f>IF(IFERROR(MATCH($B336,temp!W$4:W$13,0),0)&gt;0,T08_Spells!BA$2,"")</f>
        <v/>
      </c>
      <c r="BC336">
        <f>IF(IFERROR(SEARCH("Ranger",$T336,1),0)&gt;0,1,0)*IF(RangerMaxSpellLevel&gt;=$C336,1,0)*IF(IFERROR(MATCH(B336,Character_Creation!$X$79:$X$382,0),0)&gt;0,0,1)</f>
        <v>0</v>
      </c>
      <c r="BD336">
        <f>IF(BC336=0,0,1+COUNTIF(BD$3:BD335,"&gt;0"))</f>
        <v>0</v>
      </c>
      <c r="BE336" t="str">
        <f t="shared" si="311"/>
        <v/>
      </c>
      <c r="BF336" t="str">
        <f t="shared" si="283"/>
        <v/>
      </c>
      <c r="BH336">
        <f>IF(IFERROR(SEARCH("Sorcerer",$T336,1),0)&gt;0,1,0)*IF(SorcererMaxSpellLevel&gt;=$C336,1,0)*IF(IFERROR(MATCH(B336,Character_Creation!$J$380:$J$394,0),0)&gt;0,0,1)</f>
        <v>0</v>
      </c>
      <c r="BI336">
        <f>IF(BH336=0,0,1+COUNTIF(BI$3:BI335,"&gt;0"))</f>
        <v>0</v>
      </c>
      <c r="BJ336" t="str">
        <f t="shared" si="312"/>
        <v/>
      </c>
      <c r="BK336" t="str">
        <f t="shared" si="284"/>
        <v/>
      </c>
      <c r="BM336">
        <f>IF(OR(IFERROR(SEARCH("Warlock",$T336,1),0)&gt;0,IFERROR(SEARCH(WarlockPatron,$T336,1),0)&gt;0),1,0)*IF(WarlockMaxSpellLevel&gt;=$C336,1,0)*IF(IFERROR(MATCH(B336,Character_Creation!$J$361:$J$375,0),0)&gt;0,0,1)</f>
        <v>0</v>
      </c>
      <c r="BN336">
        <f>IF(BM336=0,0,1+COUNTIF(BN$3:BN335,"&gt;0"))</f>
        <v>0</v>
      </c>
      <c r="BO336" t="str">
        <f t="shared" si="313"/>
        <v/>
      </c>
      <c r="BP336" t="str">
        <f t="shared" si="285"/>
        <v/>
      </c>
      <c r="BR336">
        <f>IF(IFERROR(SEARCH("Eldritch Knight",$T336,1),0)&gt;0,1,0)*IF(EldritchKnightMaxSpellLevel&gt;=$C336,1,0)*IF(IFERROR(MATCH($B336,Character_Creation!$J$350:$J$356,0),0)&gt;0,0,1)*IF(Character_Creation!$M$338&gt;0,1,0)</f>
        <v>0</v>
      </c>
      <c r="BS336">
        <f>IF(BR336=0,0,1+COUNTIF(BS$3:BS335,"&gt;0"))</f>
        <v>0</v>
      </c>
      <c r="BT336" t="str">
        <f t="shared" si="314"/>
        <v/>
      </c>
      <c r="BU336" t="str">
        <f t="shared" si="286"/>
        <v/>
      </c>
      <c r="BW336">
        <f>IF(IFERROR(SEARCH("Arcane Trickster",$T336,1),0)&gt;0,1,0)*IF(ArcaneTricksterMaxSpellLevel&gt;=$C336,1,0)*IF(IFERROR(MATCH($B336,Character_Creation!$J$350:$J$356,0),0)&gt;0,0,1)*IF(Character_Creation!$T$338&gt;0,1,0)</f>
        <v>0</v>
      </c>
      <c r="BX336">
        <f>IF(BW336=0,0,1+COUNTIF(BX$3:BX335,"&gt;0"))</f>
        <v>0</v>
      </c>
      <c r="BY336" t="str">
        <f t="shared" si="315"/>
        <v/>
      </c>
      <c r="BZ336" t="str">
        <f t="shared" si="287"/>
        <v/>
      </c>
      <c r="CB336">
        <f>IF(IFERROR(SEARCH("Wizard",$T336,1),0)&gt;0,1,0)*IF(C336&lt;=ArcaneTricksterMaxSpellLevel,1,0)*IF(IFERROR(MATCH($B336,Character_Creation!$J$350:$J$356,0),0)&gt;0,0,1)*IF(Character_Creation!$T$350&gt;0,1,0)</f>
        <v>0</v>
      </c>
      <c r="CC336">
        <f>IF(CB336=0,0,1+COUNTIF(CC$3:CC335,"&gt;0"))</f>
        <v>0</v>
      </c>
      <c r="CD336" t="str">
        <f t="shared" si="316"/>
        <v/>
      </c>
      <c r="CE336" t="str">
        <f t="shared" si="288"/>
        <v/>
      </c>
      <c r="CG336">
        <f>IF(IFERROR(SEARCH("Wizard",$T336,1),0)&gt;0,1,0)*IF($C336&lt;=EldritchKnightMaxSpellLevel,1,0)*IF(IFERROR(MATCH($B336,Character_Creation!$J$350:$J$356,0),0)&gt;0,0,1)*IF(Character_Creation!$M$350&gt;0,1,0)</f>
        <v>0</v>
      </c>
      <c r="CH336">
        <f>IF(CG336=0,0,1+COUNTIF(CH$3:CH335,"&gt;0"))</f>
        <v>0</v>
      </c>
      <c r="CI336" t="str">
        <f t="shared" si="317"/>
        <v/>
      </c>
      <c r="CJ336" t="str">
        <f t="shared" si="289"/>
        <v/>
      </c>
      <c r="CL336">
        <f>IF(IFERROR(SEARCH("Bard",$T336,1),0)&gt;0,1,0)*IF(BardMaxSpellLevel&gt;=$C336,1,0)*IF(IFERROR(MATCH(B336,Character_Creation!$C$341:$F$362,0),0)&gt;0,0,1)*IF(IFERROR(MATCH($B336,Character_Creation!$C$341:$C$362,0),0)&gt;0,0,1)</f>
        <v>0</v>
      </c>
      <c r="CM336">
        <f>IF(CL336=0,0,1+COUNTIF(CM$3:CM335,"&gt;0"))</f>
        <v>0</v>
      </c>
      <c r="CN336" t="str">
        <f t="shared" si="318"/>
        <v/>
      </c>
      <c r="CO336" t="str">
        <f t="shared" si="290"/>
        <v/>
      </c>
      <c r="CQ336">
        <f>IF(IFERROR(SEARCH("Wizard",$T336,1),0)&gt;0,1,0)*IF(WizardMaxSpellLevel&gt;=$C336,1,0)*IF(IFERROR(MATCH(B336,Character_Creation!$X$341:$X$400,0),0)&gt;0,0,1)*IF(SelectedWizardSpellLevel=$C336,1,0)</f>
        <v>1</v>
      </c>
      <c r="CR336">
        <f>IF(CQ336=0,0,1+COUNTIF(CR$3:CR335,"&gt;0"))</f>
        <v>25</v>
      </c>
      <c r="CS336" t="str">
        <f t="shared" si="319"/>
        <v/>
      </c>
      <c r="CT336" t="str">
        <f t="shared" si="291"/>
        <v/>
      </c>
      <c r="CV336">
        <f>IF(IFERROR(MATCH($B336,Character_Creation!$C$341:$C$362,0),0)&gt;0,0,1)*IF(OR(C336="Cantrip",C336&lt;=BardMaxSpellLevel),1,0)*IF(IFERROR(MATCH($B336,Character_Creation!$C$367:$C$374,0),0)&gt;0,0,1)</f>
        <v>0</v>
      </c>
      <c r="CW336">
        <f>IF(CV336=0,0,1+COUNTIF(CW$3:CW335,"&gt;0"))</f>
        <v>0</v>
      </c>
      <c r="CX336" t="str">
        <f t="shared" si="320"/>
        <v/>
      </c>
      <c r="CY336" t="str">
        <f t="shared" si="292"/>
        <v/>
      </c>
      <c r="DA336">
        <f>IF(IF(OR(IFERROR(SEARCH("Cleric",$T336,1),0)&gt;0,IFERROR(SEARCH(DivineDomain&amp;",",$T336,1),0)&gt;0),1,0)*IF($C336=DA$2,1,0)=1,1+COUNTIF(DA$3:DA335,"&gt;0"),0)</f>
        <v>0</v>
      </c>
      <c r="DB336">
        <f>IF(IF(OR(IFERROR(SEARCH("Cleric",$T336,1),0)&gt;0,IFERROR(SEARCH(DivineDomain&amp;",",$T336,1),0)&gt;0),1,0)*IF($C336=DB$2,1,0)=1,1+COUNTIF(DB$3:DB335,"&gt;0"),0)</f>
        <v>0</v>
      </c>
      <c r="DC336">
        <f>IF(IF(OR(IFERROR(SEARCH("Cleric",$T336,1),0)&gt;0,IFERROR(SEARCH(DivineDomain&amp;",",$T336,1),0)&gt;0),1,0)*IF($C336=DC$2,1,0)=1,1+COUNTIF(DC$3:DC335,"&gt;0"),0)</f>
        <v>19</v>
      </c>
      <c r="DD336">
        <f>IF(IF(OR(IFERROR(SEARCH("Cleric",$T336,1),0)&gt;0,IFERROR(SEARCH(DivineDomain&amp;",",$T336,1),0)&gt;0),1,0)*IF($C336=DD$2,1,0)=1,1+COUNTIF(DD$3:DD335,"&gt;0"),0)</f>
        <v>0</v>
      </c>
      <c r="DE336">
        <f>IF(IF(OR(IFERROR(SEARCH("Cleric",$T336,1),0)&gt;0,IFERROR(SEARCH(DivineDomain&amp;",",$T336,1),0)&gt;0),1,0)*IF($C336=DE$2,1,0)=1,1+COUNTIF(DE$3:DE335,"&gt;0"),0)</f>
        <v>0</v>
      </c>
      <c r="DF336">
        <f>IF(IF(OR(IFERROR(SEARCH("Cleric",$T336,1),0)&gt;0,IFERROR(SEARCH(DivineDomain&amp;",",$T336,1),0)&gt;0),1,0)*IF($C336=DF$2,1,0)=1,1+COUNTIF(DF$3:DF335,"&gt;0"),0)</f>
        <v>0</v>
      </c>
      <c r="DG336">
        <f>IF(IF(OR(IFERROR(SEARCH("Cleric",$T336,1),0)&gt;0,IFERROR(SEARCH(DivineDomain&amp;",",$T336,1),0)&gt;0),1,0)*IF($C336=DG$2,1,0)=1,1+COUNTIF(DG$3:DG335,"&gt;0"),0)</f>
        <v>0</v>
      </c>
      <c r="DH336">
        <f>IF(IF(OR(IFERROR(SEARCH("Cleric",$T336,1),0)&gt;0,IFERROR(SEARCH(DivineDomain&amp;",",$T336,1),0)&gt;0),1,0)*IF($C336=DH$2,1,0)=1,1+COUNTIF(DH$3:DH335,"&gt;0"),0)</f>
        <v>0</v>
      </c>
      <c r="DI336">
        <f>IF(IF(OR(IFERROR(SEARCH("Cleric",$T336,1),0)&gt;0,IFERROR(SEARCH(DivineDomain&amp;",",$T336,1),0)&gt;0),1,0)*IF($C336=DI$2,1,0)=1,1+COUNTIF(DI$3:DI335,"&gt;0"),0)</f>
        <v>0</v>
      </c>
      <c r="DJ336">
        <f>IF(IF(OR(IFERROR(SEARCH("Druid",$T336,1),0)&gt;0,IFERROR(SEARCH(DruidLand1,$T336,1),0)&gt;0,IFERROR(SEARCH(DruidLand2,$T336,1),0)&gt;0,IFERROR(SEARCH(DruidLand3,$T336,1),0)&gt;0,IFERROR(SEARCH(DruidLand4,$T336,1),0)&gt;0),1,0)*IF($C336=1,1,0)*IF($C336=DJ$2,1,0)=0,0,1+COUNTIF(DJ$3:DJ335,"&gt;0"))</f>
        <v>0</v>
      </c>
      <c r="DK336">
        <f>IF(IF(OR(IFERROR(SEARCH("Druid",$T336,1),0)&gt;0,IFERROR(SEARCH(DruidLand1,$T336,1),0)&gt;0,IFERROR(SEARCH(DruidLand2,$T336,1),0)&gt;0,IFERROR(SEARCH(DruidLand3,$T336,1),0)&gt;0,IFERROR(SEARCH(DruidLand4,$T336,1),0)&gt;0),1,0)*IF($C336=1,1,0)*IF($C336=DK$2,1,0)=0,0,1+COUNTIF(DK$3:DK335,"&gt;0"))</f>
        <v>0</v>
      </c>
      <c r="DL336">
        <f>IF(IF(OR(IFERROR(SEARCH("Druid",$T336,1),0)&gt;0,IFERROR(SEARCH(DruidLand1,$T336,1),0)&gt;0,IFERROR(SEARCH(DruidLand2,$T336,1),0)&gt;0,IFERROR(SEARCH(DruidLand3,$T336,1),0)&gt;0,IFERROR(SEARCH(DruidLand4,$T336,1),0)&gt;0),1,0)*IF($C336=1,1,0)*IF($C336=DL$2,1,0)=0,0,1+COUNTIF(DL$3:DL335,"&gt;0"))</f>
        <v>0</v>
      </c>
      <c r="DM336">
        <f>IF(IF(OR(IFERROR(SEARCH("Druid",$T336,1),0)&gt;0,IFERROR(SEARCH(DruidLand1,$T336,1),0)&gt;0,IFERROR(SEARCH(DruidLand2,$T336,1),0)&gt;0,IFERROR(SEARCH(DruidLand3,$T336,1),0)&gt;0,IFERROR(SEARCH(DruidLand4,$T336,1),0)&gt;0),1,0)*IF($C336=1,1,0)*IF($C336=DM$2,1,0)=0,0,1+COUNTIF(DM$3:DM335,"&gt;0"))</f>
        <v>0</v>
      </c>
      <c r="DN336">
        <f>IF(IF(OR(IFERROR(SEARCH("Druid",$T336,1),0)&gt;0,IFERROR(SEARCH(DruidLand1,$T336,1),0)&gt;0,IFERROR(SEARCH(DruidLand2,$T336,1),0)&gt;0,IFERROR(SEARCH(DruidLand3,$T336,1),0)&gt;0,IFERROR(SEARCH(DruidLand4,$T336,1),0)&gt;0),1,0)*IF($C336=1,1,0)*IF($C336=DN$2,1,0)=0,0,1+COUNTIF(DN$3:DN335,"&gt;0"))</f>
        <v>0</v>
      </c>
      <c r="DO336">
        <f>IF(IF(OR(IFERROR(SEARCH("Druid",$T336,1),0)&gt;0,IFERROR(SEARCH(DruidLand1,$T336,1),0)&gt;0,IFERROR(SEARCH(DruidLand2,$T336,1),0)&gt;0,IFERROR(SEARCH(DruidLand3,$T336,1),0)&gt;0,IFERROR(SEARCH(DruidLand4,$T336,1),0)&gt;0),1,0)*IF($C336=1,1,0)*IF($C336=DO$2,1,0)=0,0,1+COUNTIF(DO$3:DO335,"&gt;0"))</f>
        <v>0</v>
      </c>
      <c r="DP336">
        <f>IF(IF(OR(IFERROR(SEARCH("Druid",$T336,1),0)&gt;0,IFERROR(SEARCH(DruidLand1,$T336,1),0)&gt;0,IFERROR(SEARCH(DruidLand2,$T336,1),0)&gt;0,IFERROR(SEARCH(DruidLand3,$T336,1),0)&gt;0,IFERROR(SEARCH(DruidLand4,$T336,1),0)&gt;0),1,0)*IF($C336=1,1,0)*IF($C336=DP$2,1,0)=0,0,1+COUNTIF(DP$3:DP335,"&gt;0"))</f>
        <v>0</v>
      </c>
      <c r="DQ336">
        <f>IF(IF(OR(IFERROR(SEARCH("Druid",$T336,1),0)&gt;0,IFERROR(SEARCH(DruidLand1,$T336,1),0)&gt;0,IFERROR(SEARCH(DruidLand2,$T336,1),0)&gt;0,IFERROR(SEARCH(DruidLand3,$T336,1),0)&gt;0,IFERROR(SEARCH(DruidLand4,$T336,1),0)&gt;0),1,0)*IF($C336=1,1,0)*IF($C336=DQ$2,1,0)=0,0,1+COUNTIF(DQ$3:DQ335,"&gt;0"))</f>
        <v>0</v>
      </c>
      <c r="DR336">
        <f>IF(IF(OR(IFERROR(SEARCH("Druid",$T336,1),0)&gt;0,IFERROR(SEARCH(DruidLand1,$T336,1),0)&gt;0,IFERROR(SEARCH(DruidLand2,$T336,1),0)&gt;0,IFERROR(SEARCH(DruidLand3,$T336,1),0)&gt;0,IFERROR(SEARCH(DruidLand4,$T336,1),0)&gt;0),1,0)*IF($C336=1,1,0)*IF($C336=DR$2,1,0)=0,0,1+COUNTIF(DR$3:DR335,"&gt;0"))</f>
        <v>0</v>
      </c>
      <c r="DS336">
        <f>IF(IF(OR(IFERROR(SEARCH("Paladin",$T336,1),0)&gt;0,IFERROR(SEARCH(PaladinOath,$T336,1),0)&gt;0),1,0)*IF($C336=DS$2,1,0)=1,1+COUNTIF(DS$3:DS335,"&gt;0"),0)</f>
        <v>0</v>
      </c>
      <c r="DT336">
        <f>IF(IF(OR(IFERROR(SEARCH("Paladin",$T336,1),0)&gt;0,IFERROR(SEARCH(PaladinOath,$T336,1),0)&gt;0),1,0)*IF($C336=DT$2,1,0)=1,1+COUNTIF(DT$3:DT335,"&gt;0"),0)</f>
        <v>0</v>
      </c>
      <c r="DU336">
        <f>IF(IF(OR(IFERROR(SEARCH("Paladin",$T336,1),0)&gt;0,IFERROR(SEARCH(PaladinOath,$T336,1),0)&gt;0),1,0)*IF($C336=DU$2,1,0)=1,1+COUNTIF(DU$3:DU335,"&gt;0"),0)</f>
        <v>0</v>
      </c>
      <c r="DV336">
        <f>IF(IF(OR(IFERROR(SEARCH("Paladin",$T336,1),0)&gt;0,IFERROR(SEARCH(PaladinOath,$T336,1),0)&gt;0),1,0)*IF($C336=DV$2,1,0)=1,1+COUNTIF(DV$3:DV335,"&gt;0"),0)</f>
        <v>0</v>
      </c>
      <c r="DW336">
        <f>IF(IF(OR(IFERROR(SEARCH("Paladin",$T336,1),0)&gt;0,IFERROR(SEARCH(PaladinOath,$T336,1),0)&gt;0),1,0)*IF($C336=DW$2,1,0)=1,1+COUNTIF(DW$3:DW335,"&gt;0"),0)</f>
        <v>0</v>
      </c>
      <c r="DY336">
        <f t="shared" si="278"/>
        <v>1</v>
      </c>
      <c r="DZ336">
        <f>IF(DY336=0,0,1+MAX(DZ$3:$DZ335))</f>
        <v>334</v>
      </c>
      <c r="EB336">
        <f t="shared" si="293"/>
        <v>0</v>
      </c>
      <c r="EC336">
        <f>IF(EB336=0,0,1+COUNTIF(EC$3:EC335,"&gt;0"))</f>
        <v>0</v>
      </c>
      <c r="ED336" t="str">
        <f t="shared" si="321"/>
        <v/>
      </c>
      <c r="EE336" t="str">
        <f t="shared" si="294"/>
        <v/>
      </c>
      <c r="EG336">
        <f t="shared" si="295"/>
        <v>0</v>
      </c>
      <c r="EH336">
        <f>IF(EG336=0,0,1+COUNTIF(EH$3:EH335,"&gt;0"))</f>
        <v>0</v>
      </c>
      <c r="EI336" t="str">
        <f t="shared" si="322"/>
        <v/>
      </c>
      <c r="EJ336" t="str">
        <f t="shared" si="296"/>
        <v/>
      </c>
      <c r="EL336">
        <f t="shared" si="297"/>
        <v>0</v>
      </c>
      <c r="EM336">
        <f>IF(EL336=0,0,1+COUNTIF(EM$3:EM335,"&gt;0"))</f>
        <v>0</v>
      </c>
      <c r="EN336" t="str">
        <f t="shared" si="323"/>
        <v/>
      </c>
      <c r="EO336" t="str">
        <f t="shared" si="298"/>
        <v/>
      </c>
      <c r="EQ336">
        <f t="shared" si="299"/>
        <v>0</v>
      </c>
      <c r="ER336">
        <f>IF(EQ336=0,0,1+COUNTIF(ER$3:ER335,"&gt;0"))</f>
        <v>0</v>
      </c>
      <c r="ES336" t="str">
        <f t="shared" si="324"/>
        <v/>
      </c>
      <c r="ET336" t="str">
        <f t="shared" si="300"/>
        <v/>
      </c>
      <c r="EV336">
        <f t="shared" si="301"/>
        <v>0</v>
      </c>
      <c r="EW336">
        <f>IF(EV336=0,0,1+COUNTIF(EW$3:EW335,"&gt;0"))</f>
        <v>0</v>
      </c>
      <c r="EX336" t="str">
        <f t="shared" si="325"/>
        <v/>
      </c>
      <c r="EY336" t="str">
        <f t="shared" si="302"/>
        <v/>
      </c>
      <c r="FA336">
        <f t="shared" si="303"/>
        <v>0</v>
      </c>
      <c r="FB336">
        <f>IF(FA336=0,0,1+COUNTIF(FB$3:FB335,"&gt;0"))</f>
        <v>0</v>
      </c>
      <c r="FC336" t="str">
        <f t="shared" si="326"/>
        <v/>
      </c>
      <c r="FD336" t="str">
        <f t="shared" si="304"/>
        <v/>
      </c>
      <c r="FF336">
        <f t="shared" si="305"/>
        <v>0</v>
      </c>
      <c r="FG336">
        <f>IF(FF336=0,0,1+COUNTIF(FG$3:FG335,"&gt;0"))</f>
        <v>0</v>
      </c>
      <c r="FH336" t="str">
        <f t="shared" si="327"/>
        <v/>
      </c>
      <c r="FI336" t="str">
        <f t="shared" si="306"/>
        <v/>
      </c>
      <c r="FK336">
        <f t="shared" si="307"/>
        <v>0</v>
      </c>
      <c r="FL336">
        <f>IF(FK336=0,0,1+COUNTIF(FL$3:FL335,"&gt;0"))</f>
        <v>0</v>
      </c>
      <c r="FM336" t="str">
        <f t="shared" si="328"/>
        <v/>
      </c>
      <c r="FN336" t="str">
        <f t="shared" si="308"/>
        <v/>
      </c>
      <c r="FP336">
        <f t="shared" si="309"/>
        <v>0</v>
      </c>
      <c r="FQ336">
        <f>IF(FP336=0,0,1+COUNTIF(FQ$3:FQ335,"&gt;0"))</f>
        <v>0</v>
      </c>
      <c r="FR336" t="str">
        <f t="shared" si="329"/>
        <v/>
      </c>
      <c r="FS336" t="str">
        <f t="shared" si="310"/>
        <v/>
      </c>
    </row>
    <row r="337" spans="1:175" x14ac:dyDescent="0.25">
      <c r="A337" s="347">
        <f t="shared" si="331"/>
        <v>335</v>
      </c>
      <c r="B337" s="348" t="s">
        <v>2736</v>
      </c>
      <c r="C337" s="348">
        <v>6</v>
      </c>
      <c r="D337" s="347">
        <v>6</v>
      </c>
      <c r="E337" s="627" t="s">
        <v>6952</v>
      </c>
      <c r="F337" s="346"/>
      <c r="G337" s="347" t="str">
        <f>""</f>
        <v/>
      </c>
      <c r="H337" s="347" t="s">
        <v>5912</v>
      </c>
      <c r="I337" s="347" t="s">
        <v>5052</v>
      </c>
      <c r="J337" s="347" t="str">
        <f t="shared" si="279"/>
        <v/>
      </c>
      <c r="K337" s="347" t="s">
        <v>5313</v>
      </c>
      <c r="L337" s="611" t="str">
        <f t="shared" si="280"/>
        <v>V, S</v>
      </c>
      <c r="M337" s="347" t="s">
        <v>2373</v>
      </c>
      <c r="N337" s="347" t="s">
        <v>2387</v>
      </c>
      <c r="O337" s="347" t="s">
        <v>3034</v>
      </c>
      <c r="Q337" s="347" t="s">
        <v>5271</v>
      </c>
      <c r="S337" s="346" t="s">
        <v>2737</v>
      </c>
      <c r="T337" s="346" t="str">
        <f t="shared" si="281"/>
        <v xml:space="preserve">Druid, </v>
      </c>
      <c r="AA337" s="347" t="str">
        <f>$B337</f>
        <v>Transport via Plants</v>
      </c>
      <c r="AE337" t="str">
        <f>IF(IFERROR(MATCH($B337,temp!A$4:A$13,0),0)&gt;0,T08_Spells!AE$2,"")</f>
        <v/>
      </c>
      <c r="AF337" t="str">
        <f>IF(IFERROR(MATCH($B337,temp!B$4:B$13,0),0)&gt;0,T08_Spells!AF$2,"")</f>
        <v/>
      </c>
      <c r="AG337" t="str">
        <f>IF(IFERROR(MATCH($B337,temp!C$4:C$13,0),0)&gt;0,T08_Spells!AG$2,"")</f>
        <v/>
      </c>
      <c r="AH337" t="str">
        <f>IF(IFERROR(MATCH($B337,temp!D$4:D$13,0),0)&gt;0,T08_Spells!AH$2,"")</f>
        <v/>
      </c>
      <c r="AI337" t="str">
        <f>IF(IFERROR(MATCH($B337,temp!E$4:E$13,0),0)&gt;0,T08_Spells!AI$2,"")</f>
        <v/>
      </c>
      <c r="AJ337" t="str">
        <f>IF(IFERROR(MATCH($B337,temp!F$4:F$13,0),0)&gt;0,T08_Spells!AJ$2,"")</f>
        <v/>
      </c>
      <c r="AK337" t="str">
        <f>IF(IFERROR(MATCH($B337,temp!G$4:G$13,0),0)&gt;0,T08_Spells!AK$2,"")</f>
        <v/>
      </c>
      <c r="AL337" t="str">
        <f>IF(IFERROR(MATCH($B337,temp!H$4:H$13,0),0)&gt;0,T08_Spells!AL$2,"")</f>
        <v/>
      </c>
      <c r="AM337" t="str">
        <f>IF(IFERROR(MATCH($B337,temp!I$4:I$13,0),0)&gt;0,T08_Spells!AM$2,"")</f>
        <v/>
      </c>
      <c r="AN337" t="str">
        <f>IF(IFERROR(MATCH($B337,temp!J$4:J$13,0),0)&gt;0,T08_Spells!AN$2,"")</f>
        <v/>
      </c>
      <c r="AO337" t="str">
        <f>IF(IFERROR(MATCH($B337,temp!K$4:K$13,0),0)&gt;0,T08_Spells!AO$2,"")</f>
        <v/>
      </c>
      <c r="AP337" t="str">
        <f>IF(IFERROR(MATCH($B337,temp!L$4:L$13,0),0)&gt;0,T08_Spells!AP$2,"")</f>
        <v/>
      </c>
      <c r="AQ337" t="str">
        <f>IF(IFERROR(MATCH($B337,temp!M$4:M$13,0),0)&gt;0,T08_Spells!AQ$2,"")</f>
        <v/>
      </c>
      <c r="AR337" t="str">
        <f>IF(IFERROR(MATCH($B337,temp!N$4:N$13,0),0)&gt;0,T08_Spells!AR$2,"")</f>
        <v/>
      </c>
      <c r="AS337" t="str">
        <f>IF(IFERROR(MATCH($B337,temp!O$4:O$13,0),0)&gt;0,T08_Spells!AS$2,"")</f>
        <v/>
      </c>
      <c r="AT337" t="str">
        <f>IF(IFERROR(MATCH($B337,temp!P$4:P$13,0),0)&gt;0,T08_Spells!AT$2,"")</f>
        <v/>
      </c>
      <c r="AU337" t="str">
        <f>IF(IFERROR(MATCH($B337,temp!Q$4:Q$13,0),0)&gt;0,T08_Spells!AU$2,"")</f>
        <v/>
      </c>
      <c r="AV337" t="str">
        <f>IF(IFERROR(MATCH($B337,temp!R$4:R$13,0),0)&gt;0,T08_Spells!AV$2,"")</f>
        <v/>
      </c>
      <c r="AW337" t="str">
        <f>IF(IFERROR(MATCH($B337,temp!S$4:S$13,0),0)&gt;0,T08_Spells!AW$2,"")</f>
        <v/>
      </c>
      <c r="AX337" t="str">
        <f>IF(IFERROR(MATCH($B337,temp!T$4:T$13,0),0)&gt;0,T08_Spells!AX$2,"")</f>
        <v/>
      </c>
      <c r="AY337" t="str">
        <f>IF(IFERROR(MATCH($B337,temp!U$4:U$13,0),0)&gt;0,T08_Spells!AY$2,"")</f>
        <v/>
      </c>
      <c r="AZ337" t="str">
        <f>IF(IFERROR(MATCH($B337,temp!V$4:V$13,0),0)&gt;0,T08_Spells!AZ$2,"")</f>
        <v/>
      </c>
      <c r="BA337" t="str">
        <f>IF(IFERROR(MATCH($B337,temp!W$4:W$13,0),0)&gt;0,T08_Spells!BA$2,"")</f>
        <v/>
      </c>
      <c r="BC337">
        <f>IF(IFERROR(SEARCH("Ranger",$T337,1),0)&gt;0,1,0)*IF(RangerMaxSpellLevel&gt;=$C337,1,0)*IF(IFERROR(MATCH(B337,Character_Creation!$X$79:$X$382,0),0)&gt;0,0,1)</f>
        <v>0</v>
      </c>
      <c r="BD337">
        <f>IF(BC337=0,0,1+COUNTIF(BD$3:BD336,"&gt;0"))</f>
        <v>0</v>
      </c>
      <c r="BE337" t="str">
        <f t="shared" si="311"/>
        <v/>
      </c>
      <c r="BF337" t="str">
        <f t="shared" si="283"/>
        <v/>
      </c>
      <c r="BH337">
        <f>IF(IFERROR(SEARCH("Sorcerer",$T337,1),0)&gt;0,1,0)*IF(SorcererMaxSpellLevel&gt;=$C337,1,0)*IF(IFERROR(MATCH(B337,Character_Creation!$J$380:$J$394,0),0)&gt;0,0,1)</f>
        <v>0</v>
      </c>
      <c r="BI337">
        <f>IF(BH337=0,0,1+COUNTIF(BI$3:BI336,"&gt;0"))</f>
        <v>0</v>
      </c>
      <c r="BJ337" t="str">
        <f t="shared" si="312"/>
        <v/>
      </c>
      <c r="BK337" t="str">
        <f t="shared" si="284"/>
        <v/>
      </c>
      <c r="BM337">
        <f>IF(OR(IFERROR(SEARCH("Warlock",$T337,1),0)&gt;0,IFERROR(SEARCH(WarlockPatron,$T337,1),0)&gt;0),1,0)*IF(WarlockMaxSpellLevel&gt;=$C337,1,0)*IF(IFERROR(MATCH(B337,Character_Creation!$J$361:$J$375,0),0)&gt;0,0,1)</f>
        <v>0</v>
      </c>
      <c r="BN337">
        <f>IF(BM337=0,0,1+COUNTIF(BN$3:BN336,"&gt;0"))</f>
        <v>0</v>
      </c>
      <c r="BO337" t="str">
        <f t="shared" si="313"/>
        <v/>
      </c>
      <c r="BP337" t="str">
        <f t="shared" si="285"/>
        <v/>
      </c>
      <c r="BR337">
        <f>IF(IFERROR(SEARCH("Eldritch Knight",$T337,1),0)&gt;0,1,0)*IF(EldritchKnightMaxSpellLevel&gt;=$C337,1,0)*IF(IFERROR(MATCH($B337,Character_Creation!$J$350:$J$356,0),0)&gt;0,0,1)*IF(Character_Creation!$M$338&gt;0,1,0)</f>
        <v>0</v>
      </c>
      <c r="BS337">
        <f>IF(BR337=0,0,1+COUNTIF(BS$3:BS336,"&gt;0"))</f>
        <v>0</v>
      </c>
      <c r="BT337" t="str">
        <f t="shared" si="314"/>
        <v/>
      </c>
      <c r="BU337" t="str">
        <f t="shared" si="286"/>
        <v/>
      </c>
      <c r="BW337">
        <f>IF(IFERROR(SEARCH("Arcane Trickster",$T337,1),0)&gt;0,1,0)*IF(ArcaneTricksterMaxSpellLevel&gt;=$C337,1,0)*IF(IFERROR(MATCH($B337,Character_Creation!$J$350:$J$356,0),0)&gt;0,0,1)*IF(Character_Creation!$T$338&gt;0,1,0)</f>
        <v>0</v>
      </c>
      <c r="BX337">
        <f>IF(BW337=0,0,1+COUNTIF(BX$3:BX336,"&gt;0"))</f>
        <v>0</v>
      </c>
      <c r="BY337" t="str">
        <f t="shared" si="315"/>
        <v/>
      </c>
      <c r="BZ337" t="str">
        <f t="shared" si="287"/>
        <v/>
      </c>
      <c r="CB337">
        <f>IF(IFERROR(SEARCH("Wizard",$T337,1),0)&gt;0,1,0)*IF(C337&lt;=ArcaneTricksterMaxSpellLevel,1,0)*IF(IFERROR(MATCH($B337,Character_Creation!$J$350:$J$356,0),0)&gt;0,0,1)*IF(Character_Creation!$T$350&gt;0,1,0)</f>
        <v>0</v>
      </c>
      <c r="CC337">
        <f>IF(CB337=0,0,1+COUNTIF(CC$3:CC336,"&gt;0"))</f>
        <v>0</v>
      </c>
      <c r="CD337" t="str">
        <f t="shared" si="316"/>
        <v/>
      </c>
      <c r="CE337" t="str">
        <f t="shared" si="288"/>
        <v/>
      </c>
      <c r="CG337">
        <f>IF(IFERROR(SEARCH("Wizard",$T337,1),0)&gt;0,1,0)*IF($C337&lt;=EldritchKnightMaxSpellLevel,1,0)*IF(IFERROR(MATCH($B337,Character_Creation!$J$350:$J$356,0),0)&gt;0,0,1)*IF(Character_Creation!$M$350&gt;0,1,0)</f>
        <v>0</v>
      </c>
      <c r="CH337">
        <f>IF(CG337=0,0,1+COUNTIF(CH$3:CH336,"&gt;0"))</f>
        <v>0</v>
      </c>
      <c r="CI337" t="str">
        <f t="shared" si="317"/>
        <v/>
      </c>
      <c r="CJ337" t="str">
        <f t="shared" si="289"/>
        <v/>
      </c>
      <c r="CL337">
        <f>IF(IFERROR(SEARCH("Bard",$T337,1),0)&gt;0,1,0)*IF(BardMaxSpellLevel&gt;=$C337,1,0)*IF(IFERROR(MATCH(B337,Character_Creation!$C$341:$F$362,0),0)&gt;0,0,1)*IF(IFERROR(MATCH($B337,Character_Creation!$C$341:$C$362,0),0)&gt;0,0,1)</f>
        <v>0</v>
      </c>
      <c r="CM337">
        <f>IF(CL337=0,0,1+COUNTIF(CM$3:CM336,"&gt;0"))</f>
        <v>0</v>
      </c>
      <c r="CN337" t="str">
        <f t="shared" si="318"/>
        <v/>
      </c>
      <c r="CO337" t="str">
        <f t="shared" si="290"/>
        <v/>
      </c>
      <c r="CQ337">
        <f>IF(IFERROR(SEARCH("Wizard",$T337,1),0)&gt;0,1,0)*IF(WizardMaxSpellLevel&gt;=$C337,1,0)*IF(IFERROR(MATCH(B337,Character_Creation!$X$341:$X$400,0),0)&gt;0,0,1)*IF(SelectedWizardSpellLevel=$C337,1,0)</f>
        <v>0</v>
      </c>
      <c r="CR337">
        <f>IF(CQ337=0,0,1+COUNTIF(CR$3:CR336,"&gt;0"))</f>
        <v>0</v>
      </c>
      <c r="CS337" t="str">
        <f t="shared" si="319"/>
        <v/>
      </c>
      <c r="CT337" t="str">
        <f t="shared" si="291"/>
        <v/>
      </c>
      <c r="CV337">
        <f>IF(IFERROR(MATCH($B337,Character_Creation!$C$341:$C$362,0),0)&gt;0,0,1)*IF(OR(C337="Cantrip",C337&lt;=BardMaxSpellLevel),1,0)*IF(IFERROR(MATCH($B337,Character_Creation!$C$367:$C$374,0),0)&gt;0,0,1)</f>
        <v>0</v>
      </c>
      <c r="CW337">
        <f>IF(CV337=0,0,1+COUNTIF(CW$3:CW336,"&gt;0"))</f>
        <v>0</v>
      </c>
      <c r="CX337" t="str">
        <f t="shared" si="320"/>
        <v/>
      </c>
      <c r="CY337" t="str">
        <f t="shared" si="292"/>
        <v/>
      </c>
      <c r="DA337">
        <f>IF(IF(OR(IFERROR(SEARCH("Cleric",$T337,1),0)&gt;0,IFERROR(SEARCH(DivineDomain&amp;",",$T337,1),0)&gt;0),1,0)*IF($C337=DA$2,1,0)=1,1+COUNTIF(DA$3:DA336,"&gt;0"),0)</f>
        <v>0</v>
      </c>
      <c r="DB337">
        <f>IF(IF(OR(IFERROR(SEARCH("Cleric",$T337,1),0)&gt;0,IFERROR(SEARCH(DivineDomain&amp;",",$T337,1),0)&gt;0),1,0)*IF($C337=DB$2,1,0)=1,1+COUNTIF(DB$3:DB336,"&gt;0"),0)</f>
        <v>0</v>
      </c>
      <c r="DC337">
        <f>IF(IF(OR(IFERROR(SEARCH("Cleric",$T337,1),0)&gt;0,IFERROR(SEARCH(DivineDomain&amp;",",$T337,1),0)&gt;0),1,0)*IF($C337=DC$2,1,0)=1,1+COUNTIF(DC$3:DC336,"&gt;0"),0)</f>
        <v>0</v>
      </c>
      <c r="DD337">
        <f>IF(IF(OR(IFERROR(SEARCH("Cleric",$T337,1),0)&gt;0,IFERROR(SEARCH(DivineDomain&amp;",",$T337,1),0)&gt;0),1,0)*IF($C337=DD$2,1,0)=1,1+COUNTIF(DD$3:DD336,"&gt;0"),0)</f>
        <v>0</v>
      </c>
      <c r="DE337">
        <f>IF(IF(OR(IFERROR(SEARCH("Cleric",$T337,1),0)&gt;0,IFERROR(SEARCH(DivineDomain&amp;",",$T337,1),0)&gt;0),1,0)*IF($C337=DE$2,1,0)=1,1+COUNTIF(DE$3:DE336,"&gt;0"),0)</f>
        <v>0</v>
      </c>
      <c r="DF337">
        <f>IF(IF(OR(IFERROR(SEARCH("Cleric",$T337,1),0)&gt;0,IFERROR(SEARCH(DivineDomain&amp;",",$T337,1),0)&gt;0),1,0)*IF($C337=DF$2,1,0)=1,1+COUNTIF(DF$3:DF336,"&gt;0"),0)</f>
        <v>0</v>
      </c>
      <c r="DG337">
        <f>IF(IF(OR(IFERROR(SEARCH("Cleric",$T337,1),0)&gt;0,IFERROR(SEARCH(DivineDomain&amp;",",$T337,1),0)&gt;0),1,0)*IF($C337=DG$2,1,0)=1,1+COUNTIF(DG$3:DG336,"&gt;0"),0)</f>
        <v>0</v>
      </c>
      <c r="DH337">
        <f>IF(IF(OR(IFERROR(SEARCH("Cleric",$T337,1),0)&gt;0,IFERROR(SEARCH(DivineDomain&amp;",",$T337,1),0)&gt;0),1,0)*IF($C337=DH$2,1,0)=1,1+COUNTIF(DH$3:DH336,"&gt;0"),0)</f>
        <v>0</v>
      </c>
      <c r="DI337">
        <f>IF(IF(OR(IFERROR(SEARCH("Cleric",$T337,1),0)&gt;0,IFERROR(SEARCH(DivineDomain&amp;",",$T337,1),0)&gt;0),1,0)*IF($C337=DI$2,1,0)=1,1+COUNTIF(DI$3:DI336,"&gt;0"),0)</f>
        <v>0</v>
      </c>
      <c r="DJ337">
        <f>IF(IF(OR(IFERROR(SEARCH("Druid",$T337,1),0)&gt;0,IFERROR(SEARCH(DruidLand1,$T337,1),0)&gt;0,IFERROR(SEARCH(DruidLand2,$T337,1),0)&gt;0,IFERROR(SEARCH(DruidLand3,$T337,1),0)&gt;0,IFERROR(SEARCH(DruidLand4,$T337,1),0)&gt;0),1,0)*IF($C337=1,1,0)*IF($C337=DJ$2,1,0)=0,0,1+COUNTIF(DJ$3:DJ336,"&gt;0"))</f>
        <v>0</v>
      </c>
      <c r="DK337">
        <f>IF(IF(OR(IFERROR(SEARCH("Druid",$T337,1),0)&gt;0,IFERROR(SEARCH(DruidLand1,$T337,1),0)&gt;0,IFERROR(SEARCH(DruidLand2,$T337,1),0)&gt;0,IFERROR(SEARCH(DruidLand3,$T337,1),0)&gt;0,IFERROR(SEARCH(DruidLand4,$T337,1),0)&gt;0),1,0)*IF($C337=DK$2,1,0)=0,0,1+COUNTIF(DK$3:DK336,"&gt;0"))</f>
        <v>0</v>
      </c>
      <c r="DL337">
        <f>IF(IF(OR(IFERROR(SEARCH("Druid",$T337,1),0)&gt;0,IFERROR(SEARCH(DruidLand1,$T337,1),0)&gt;0,IFERROR(SEARCH(DruidLand2,$T337,1),0)&gt;0,IFERROR(SEARCH(DruidLand3,$T337,1),0)&gt;0,IFERROR(SEARCH(DruidLand4,$T337,1),0)&gt;0),1,0)*IF($C337=DL$2,1,0)=0,0,1+COUNTIF(DL$3:DL336,"&gt;0"))</f>
        <v>0</v>
      </c>
      <c r="DM337">
        <f>IF(IF(OR(IFERROR(SEARCH("Druid",$T337,1),0)&gt;0,IFERROR(SEARCH(DruidLand1,$T337,1),0)&gt;0,IFERROR(SEARCH(DruidLand2,$T337,1),0)&gt;0,IFERROR(SEARCH(DruidLand3,$T337,1),0)&gt;0,IFERROR(SEARCH(DruidLand4,$T337,1),0)&gt;0),1,0)*IF($C337=DM$2,1,0)=0,0,1+COUNTIF(DM$3:DM336,"&gt;0"))</f>
        <v>0</v>
      </c>
      <c r="DN337">
        <f>IF(IF(OR(IFERROR(SEARCH("Druid",$T337,1),0)&gt;0,IFERROR(SEARCH(DruidLand1,$T337,1),0)&gt;0,IFERROR(SEARCH(DruidLand2,$T337,1),0)&gt;0,IFERROR(SEARCH(DruidLand3,$T337,1),0)&gt;0,IFERROR(SEARCH(DruidLand4,$T337,1),0)&gt;0),1,0)*IF($C337=DN$2,1,0)=0,0,1+COUNTIF(DN$3:DN336,"&gt;0"))</f>
        <v>0</v>
      </c>
      <c r="DO337">
        <f>IF(IF(OR(IFERROR(SEARCH("Druid",$T337,1),0)&gt;0,IFERROR(SEARCH(DruidLand1,$T337,1),0)&gt;0,IFERROR(SEARCH(DruidLand2,$T337,1),0)&gt;0,IFERROR(SEARCH(DruidLand3,$T337,1),0)&gt;0,IFERROR(SEARCH(DruidLand4,$T337,1),0)&gt;0),1,0)*IF($C337=DO$2,1,0)=0,0,1+COUNTIF(DO$3:DO336,"&gt;0"))</f>
        <v>7</v>
      </c>
      <c r="DP337">
        <f>IF(IF(OR(IFERROR(SEARCH("Druid",$T337,1),0)&gt;0,IFERROR(SEARCH(DruidLand1,$T337,1),0)&gt;0,IFERROR(SEARCH(DruidLand2,$T337,1),0)&gt;0,IFERROR(SEARCH(DruidLand3,$T337,1),0)&gt;0,IFERROR(SEARCH(DruidLand4,$T337,1),0)&gt;0),1,0)*IF($C337=DP$2,1,0)=0,0,1+COUNTIF(DP$3:DP336,"&gt;0"))</f>
        <v>0</v>
      </c>
      <c r="DQ337">
        <f>IF(IF(OR(IFERROR(SEARCH("Druid",$T337,1),0)&gt;0,IFERROR(SEARCH(DruidLand1,$T337,1),0)&gt;0,IFERROR(SEARCH(DruidLand2,$T337,1),0)&gt;0,IFERROR(SEARCH(DruidLand3,$T337,1),0)&gt;0,IFERROR(SEARCH(DruidLand4,$T337,1),0)&gt;0),1,0)*IF($C337=DQ$2,1,0)=0,0,1+COUNTIF(DQ$3:DQ336,"&gt;0"))</f>
        <v>0</v>
      </c>
      <c r="DR337">
        <f>IF(IF(OR(IFERROR(SEARCH("Druid",$T337,1),0)&gt;0,IFERROR(SEARCH(DruidLand1,$T337,1),0)&gt;0,IFERROR(SEARCH(DruidLand2,$T337,1),0)&gt;0,IFERROR(SEARCH(DruidLand3,$T337,1),0)&gt;0,IFERROR(SEARCH(DruidLand4,$T337,1),0)&gt;0),1,0)*IF($C337=DR$2,1,0)=0,0,1+COUNTIF(DR$3:DR336,"&gt;0"))</f>
        <v>0</v>
      </c>
      <c r="DS337">
        <f>IF(IF(OR(IFERROR(SEARCH("Paladin",$T337,1),0)&gt;0,IFERROR(SEARCH(PaladinOath,$T337,1),0)&gt;0),1,0)*IF($C337=DS$2,1,0)=1,1+COUNTIF(DS$3:DS336,"&gt;0"),0)</f>
        <v>0</v>
      </c>
      <c r="DT337">
        <f>IF(IF(OR(IFERROR(SEARCH("Paladin",$T337,1),0)&gt;0,IFERROR(SEARCH(PaladinOath,$T337,1),0)&gt;0),1,0)*IF($C337=DT$2,1,0)=1,1+COUNTIF(DT$3:DT336,"&gt;0"),0)</f>
        <v>0</v>
      </c>
      <c r="DU337">
        <f>IF(IF(OR(IFERROR(SEARCH("Paladin",$T337,1),0)&gt;0,IFERROR(SEARCH(PaladinOath,$T337,1),0)&gt;0),1,0)*IF($C337=DU$2,1,0)=1,1+COUNTIF(DU$3:DU336,"&gt;0"),0)</f>
        <v>0</v>
      </c>
      <c r="DV337">
        <f>IF(IF(OR(IFERROR(SEARCH("Paladin",$T337,1),0)&gt;0,IFERROR(SEARCH(PaladinOath,$T337,1),0)&gt;0),1,0)*IF($C337=DV$2,1,0)=1,1+COUNTIF(DV$3:DV336,"&gt;0"),0)</f>
        <v>0</v>
      </c>
      <c r="DW337">
        <f>IF(IF(OR(IFERROR(SEARCH("Paladin",$T337,1),0)&gt;0,IFERROR(SEARCH(PaladinOath,$T337,1),0)&gt;0),1,0)*IF($C337=DW$2,1,0)=1,1+COUNTIF(DW$3:DW336,"&gt;0"),0)</f>
        <v>0</v>
      </c>
      <c r="DY337">
        <f t="shared" si="278"/>
        <v>1</v>
      </c>
      <c r="DZ337">
        <f>IF(DY337=0,0,1+MAX(DZ$3:$DZ336))</f>
        <v>335</v>
      </c>
      <c r="EB337">
        <f t="shared" si="293"/>
        <v>0</v>
      </c>
      <c r="EC337">
        <f>IF(EB337=0,0,1+COUNTIF(EC$3:EC336,"&gt;0"))</f>
        <v>0</v>
      </c>
      <c r="ED337" t="str">
        <f t="shared" si="321"/>
        <v/>
      </c>
      <c r="EE337" t="str">
        <f t="shared" si="294"/>
        <v/>
      </c>
      <c r="EG337">
        <f t="shared" si="295"/>
        <v>0</v>
      </c>
      <c r="EH337">
        <f>IF(EG337=0,0,1+COUNTIF(EH$3:EH336,"&gt;0"))</f>
        <v>0</v>
      </c>
      <c r="EI337" t="str">
        <f t="shared" si="322"/>
        <v/>
      </c>
      <c r="EJ337" t="str">
        <f t="shared" si="296"/>
        <v/>
      </c>
      <c r="EL337">
        <f t="shared" si="297"/>
        <v>0</v>
      </c>
      <c r="EM337">
        <f>IF(EL337=0,0,1+COUNTIF(EM$3:EM336,"&gt;0"))</f>
        <v>0</v>
      </c>
      <c r="EN337" t="str">
        <f t="shared" si="323"/>
        <v/>
      </c>
      <c r="EO337" t="str">
        <f t="shared" si="298"/>
        <v/>
      </c>
      <c r="EQ337">
        <f t="shared" si="299"/>
        <v>0</v>
      </c>
      <c r="ER337">
        <f>IF(EQ337=0,0,1+COUNTIF(ER$3:ER336,"&gt;0"))</f>
        <v>0</v>
      </c>
      <c r="ES337" t="str">
        <f t="shared" si="324"/>
        <v/>
      </c>
      <c r="ET337" t="str">
        <f t="shared" si="300"/>
        <v/>
      </c>
      <c r="EV337">
        <f t="shared" si="301"/>
        <v>0</v>
      </c>
      <c r="EW337">
        <f>IF(EV337=0,0,1+COUNTIF(EW$3:EW336,"&gt;0"))</f>
        <v>0</v>
      </c>
      <c r="EX337" t="str">
        <f t="shared" si="325"/>
        <v/>
      </c>
      <c r="EY337" t="str">
        <f t="shared" si="302"/>
        <v/>
      </c>
      <c r="FA337">
        <f t="shared" si="303"/>
        <v>0</v>
      </c>
      <c r="FB337">
        <f>IF(FA337=0,0,1+COUNTIF(FB$3:FB336,"&gt;0"))</f>
        <v>0</v>
      </c>
      <c r="FC337" t="str">
        <f t="shared" si="326"/>
        <v/>
      </c>
      <c r="FD337" t="str">
        <f t="shared" si="304"/>
        <v/>
      </c>
      <c r="FF337">
        <f t="shared" si="305"/>
        <v>0</v>
      </c>
      <c r="FG337">
        <f>IF(FF337=0,0,1+COUNTIF(FG$3:FG336,"&gt;0"))</f>
        <v>0</v>
      </c>
      <c r="FH337" t="str">
        <f t="shared" si="327"/>
        <v/>
      </c>
      <c r="FI337" t="str">
        <f t="shared" si="306"/>
        <v/>
      </c>
      <c r="FK337">
        <f t="shared" si="307"/>
        <v>0</v>
      </c>
      <c r="FL337">
        <f>IF(FK337=0,0,1+COUNTIF(FL$3:FL336,"&gt;0"))</f>
        <v>0</v>
      </c>
      <c r="FM337" t="str">
        <f t="shared" si="328"/>
        <v/>
      </c>
      <c r="FN337" t="str">
        <f t="shared" si="308"/>
        <v/>
      </c>
      <c r="FP337">
        <f t="shared" si="309"/>
        <v>0</v>
      </c>
      <c r="FQ337">
        <f>IF(FP337=0,0,1+COUNTIF(FQ$3:FQ336,"&gt;0"))</f>
        <v>0</v>
      </c>
      <c r="FR337" t="str">
        <f t="shared" si="329"/>
        <v/>
      </c>
      <c r="FS337" t="str">
        <f t="shared" si="310"/>
        <v/>
      </c>
    </row>
    <row r="338" spans="1:175" x14ac:dyDescent="0.25">
      <c r="A338" s="347">
        <f t="shared" si="331"/>
        <v>336</v>
      </c>
      <c r="B338" s="348" t="s">
        <v>5501</v>
      </c>
      <c r="C338" s="348">
        <v>8</v>
      </c>
      <c r="D338" s="347">
        <v>8</v>
      </c>
      <c r="E338" s="627" t="s">
        <v>6952</v>
      </c>
      <c r="F338" s="346"/>
      <c r="G338" s="347" t="str">
        <f>""</f>
        <v/>
      </c>
      <c r="H338" s="347" t="s">
        <v>5912</v>
      </c>
      <c r="I338" s="347" t="s">
        <v>240</v>
      </c>
      <c r="J338" s="347" t="str">
        <f t="shared" si="279"/>
        <v/>
      </c>
      <c r="K338" s="347" t="s">
        <v>5502</v>
      </c>
      <c r="L338" s="611" t="str">
        <f t="shared" si="280"/>
        <v>V, S, M, a gemstone worth at least 1,000 gp for each Hit Die of the creature that is trapped</v>
      </c>
      <c r="M338" s="347" t="s">
        <v>2373</v>
      </c>
      <c r="N338" s="347" t="s">
        <v>2387</v>
      </c>
      <c r="O338" s="347" t="s">
        <v>1244</v>
      </c>
      <c r="P338" s="346" t="s">
        <v>5503</v>
      </c>
      <c r="Q338" s="347" t="s">
        <v>5271</v>
      </c>
      <c r="S338" s="346" t="s">
        <v>5848</v>
      </c>
      <c r="T338" s="346" t="str">
        <f t="shared" si="281"/>
        <v xml:space="preserve">Wizard, </v>
      </c>
      <c r="AD338" s="347" t="str">
        <f>$B338</f>
        <v>Trap the Soul</v>
      </c>
      <c r="AE338" t="str">
        <f>IF(IFERROR(MATCH($B338,temp!A$4:A$13,0),0)&gt;0,T08_Spells!AE$2,"")</f>
        <v/>
      </c>
      <c r="AF338" t="str">
        <f>IF(IFERROR(MATCH($B338,temp!B$4:B$13,0),0)&gt;0,T08_Spells!AF$2,"")</f>
        <v/>
      </c>
      <c r="AG338" t="str">
        <f>IF(IFERROR(MATCH($B338,temp!C$4:C$13,0),0)&gt;0,T08_Spells!AG$2,"")</f>
        <v/>
      </c>
      <c r="AH338" t="str">
        <f>IF(IFERROR(MATCH($B338,temp!D$4:D$13,0),0)&gt;0,T08_Spells!AH$2,"")</f>
        <v/>
      </c>
      <c r="AI338" t="str">
        <f>IF(IFERROR(MATCH($B338,temp!E$4:E$13,0),0)&gt;0,T08_Spells!AI$2,"")</f>
        <v/>
      </c>
      <c r="AJ338" t="str">
        <f>IF(IFERROR(MATCH($B338,temp!F$4:F$13,0),0)&gt;0,T08_Spells!AJ$2,"")</f>
        <v/>
      </c>
      <c r="AK338" t="str">
        <f>IF(IFERROR(MATCH($B338,temp!G$4:G$13,0),0)&gt;0,T08_Spells!AK$2,"")</f>
        <v/>
      </c>
      <c r="AL338" t="str">
        <f>IF(IFERROR(MATCH($B338,temp!H$4:H$13,0),0)&gt;0,T08_Spells!AL$2,"")</f>
        <v/>
      </c>
      <c r="AM338" t="str">
        <f>IF(IFERROR(MATCH($B338,temp!I$4:I$13,0),0)&gt;0,T08_Spells!AM$2,"")</f>
        <v/>
      </c>
      <c r="AN338" t="str">
        <f>IF(IFERROR(MATCH($B338,temp!J$4:J$13,0),0)&gt;0,T08_Spells!AN$2,"")</f>
        <v/>
      </c>
      <c r="AO338" t="str">
        <f>IF(IFERROR(MATCH($B338,temp!K$4:K$13,0),0)&gt;0,T08_Spells!AO$2,"")</f>
        <v/>
      </c>
      <c r="AP338" t="str">
        <f>IF(IFERROR(MATCH($B338,temp!L$4:L$13,0),0)&gt;0,T08_Spells!AP$2,"")</f>
        <v/>
      </c>
      <c r="AQ338" t="str">
        <f>IF(IFERROR(MATCH($B338,temp!M$4:M$13,0),0)&gt;0,T08_Spells!AQ$2,"")</f>
        <v/>
      </c>
      <c r="AR338" t="str">
        <f>IF(IFERROR(MATCH($B338,temp!N$4:N$13,0),0)&gt;0,T08_Spells!AR$2,"")</f>
        <v/>
      </c>
      <c r="AS338" t="str">
        <f>IF(IFERROR(MATCH($B338,temp!O$4:O$13,0),0)&gt;0,T08_Spells!AS$2,"")</f>
        <v/>
      </c>
      <c r="AT338" t="str">
        <f>IF(IFERROR(MATCH($B338,temp!P$4:P$13,0),0)&gt;0,T08_Spells!AT$2,"")</f>
        <v/>
      </c>
      <c r="AU338" t="str">
        <f>IF(IFERROR(MATCH($B338,temp!Q$4:Q$13,0),0)&gt;0,T08_Spells!AU$2,"")</f>
        <v/>
      </c>
      <c r="AV338" t="str">
        <f>IF(IFERROR(MATCH($B338,temp!R$4:R$13,0),0)&gt;0,T08_Spells!AV$2,"")</f>
        <v/>
      </c>
      <c r="AW338" t="str">
        <f>IF(IFERROR(MATCH($B338,temp!S$4:S$13,0),0)&gt;0,T08_Spells!AW$2,"")</f>
        <v/>
      </c>
      <c r="AX338" t="str">
        <f>IF(IFERROR(MATCH($B338,temp!T$4:T$13,0),0)&gt;0,T08_Spells!AX$2,"")</f>
        <v/>
      </c>
      <c r="AY338" t="str">
        <f>IF(IFERROR(MATCH($B338,temp!U$4:U$13,0),0)&gt;0,T08_Spells!AY$2,"")</f>
        <v/>
      </c>
      <c r="AZ338" t="str">
        <f>IF(IFERROR(MATCH($B338,temp!V$4:V$13,0),0)&gt;0,T08_Spells!AZ$2,"")</f>
        <v/>
      </c>
      <c r="BA338" t="str">
        <f>IF(IFERROR(MATCH($B338,temp!W$4:W$13,0),0)&gt;0,T08_Spells!BA$2,"")</f>
        <v/>
      </c>
      <c r="BC338">
        <f>IF(IFERROR(SEARCH("Ranger",$T338,1),0)&gt;0,1,0)*IF(RangerMaxSpellLevel&gt;=$C338,1,0)*IF(IFERROR(MATCH(B338,Character_Creation!$X$79:$X$382,0),0)&gt;0,0,1)</f>
        <v>0</v>
      </c>
      <c r="BD338">
        <f>IF(BC338=0,0,1+COUNTIF(BD$3:BD337,"&gt;0"))</f>
        <v>0</v>
      </c>
      <c r="BE338" t="str">
        <f t="shared" si="311"/>
        <v/>
      </c>
      <c r="BF338" t="str">
        <f t="shared" si="283"/>
        <v/>
      </c>
      <c r="BH338">
        <f>IF(IFERROR(SEARCH("Sorcerer",$T338,1),0)&gt;0,1,0)*IF(SorcererMaxSpellLevel&gt;=$C338,1,0)*IF(IFERROR(MATCH(B338,Character_Creation!$J$380:$J$394,0),0)&gt;0,0,1)</f>
        <v>0</v>
      </c>
      <c r="BI338">
        <f>IF(BH338=0,0,1+COUNTIF(BI$3:BI337,"&gt;0"))</f>
        <v>0</v>
      </c>
      <c r="BJ338" t="str">
        <f t="shared" si="312"/>
        <v/>
      </c>
      <c r="BK338" t="str">
        <f t="shared" si="284"/>
        <v/>
      </c>
      <c r="BM338">
        <f>IF(OR(IFERROR(SEARCH("Warlock",$T338,1),0)&gt;0,IFERROR(SEARCH(WarlockPatron,$T338,1),0)&gt;0),1,0)*IF(WarlockMaxSpellLevel&gt;=$C338,1,0)*IF(IFERROR(MATCH(B338,Character_Creation!$J$361:$J$375,0),0)&gt;0,0,1)</f>
        <v>0</v>
      </c>
      <c r="BN338">
        <f>IF(BM338=0,0,1+COUNTIF(BN$3:BN337,"&gt;0"))</f>
        <v>0</v>
      </c>
      <c r="BO338" t="str">
        <f t="shared" si="313"/>
        <v/>
      </c>
      <c r="BP338" t="str">
        <f t="shared" si="285"/>
        <v/>
      </c>
      <c r="BR338">
        <f>IF(IFERROR(SEARCH("Eldritch Knight",$T338,1),0)&gt;0,1,0)*IF(EldritchKnightMaxSpellLevel&gt;=$C338,1,0)*IF(IFERROR(MATCH($B338,Character_Creation!$J$350:$J$356,0),0)&gt;0,0,1)*IF(Character_Creation!$M$338&gt;0,1,0)</f>
        <v>0</v>
      </c>
      <c r="BS338">
        <f>IF(BR338=0,0,1+COUNTIF(BS$3:BS337,"&gt;0"))</f>
        <v>0</v>
      </c>
      <c r="BT338" t="str">
        <f t="shared" si="314"/>
        <v/>
      </c>
      <c r="BU338" t="str">
        <f t="shared" si="286"/>
        <v/>
      </c>
      <c r="BW338">
        <f>IF(IFERROR(SEARCH("Arcane Trickster",$T338,1),0)&gt;0,1,0)*IF(ArcaneTricksterMaxSpellLevel&gt;=$C338,1,0)*IF(IFERROR(MATCH($B338,Character_Creation!$J$350:$J$356,0),0)&gt;0,0,1)*IF(Character_Creation!$T$338&gt;0,1,0)</f>
        <v>0</v>
      </c>
      <c r="BX338">
        <f>IF(BW338=0,0,1+COUNTIF(BX$3:BX337,"&gt;0"))</f>
        <v>0</v>
      </c>
      <c r="BY338" t="str">
        <f t="shared" si="315"/>
        <v/>
      </c>
      <c r="BZ338" t="str">
        <f t="shared" si="287"/>
        <v/>
      </c>
      <c r="CB338">
        <f>IF(IFERROR(SEARCH("Wizard",$T338,1),0)&gt;0,1,0)*IF(C338&lt;=ArcaneTricksterMaxSpellLevel,1,0)*IF(IFERROR(MATCH($B338,Character_Creation!$J$350:$J$356,0),0)&gt;0,0,1)*IF(Character_Creation!$T$350&gt;0,1,0)</f>
        <v>0</v>
      </c>
      <c r="CC338">
        <f>IF(CB338=0,0,1+COUNTIF(CC$3:CC337,"&gt;0"))</f>
        <v>0</v>
      </c>
      <c r="CD338" t="str">
        <f t="shared" si="316"/>
        <v/>
      </c>
      <c r="CE338" t="str">
        <f t="shared" si="288"/>
        <v/>
      </c>
      <c r="CG338">
        <f>IF(IFERROR(SEARCH("Wizard",$T338,1),0)&gt;0,1,0)*IF($C338&lt;=EldritchKnightMaxSpellLevel,1,0)*IF(IFERROR(MATCH($B338,Character_Creation!$J$350:$J$356,0),0)&gt;0,0,1)*IF(Character_Creation!$M$350&gt;0,1,0)</f>
        <v>0</v>
      </c>
      <c r="CH338">
        <f>IF(CG338=0,0,1+COUNTIF(CH$3:CH337,"&gt;0"))</f>
        <v>0</v>
      </c>
      <c r="CI338" t="str">
        <f t="shared" si="317"/>
        <v/>
      </c>
      <c r="CJ338" t="str">
        <f t="shared" si="289"/>
        <v/>
      </c>
      <c r="CL338">
        <f>IF(IFERROR(SEARCH("Bard",$T338,1),0)&gt;0,1,0)*IF(BardMaxSpellLevel&gt;=$C338,1,0)*IF(IFERROR(MATCH(B338,Character_Creation!$C$341:$F$362,0),0)&gt;0,0,1)*IF(IFERROR(MATCH($B338,Character_Creation!$C$341:$C$362,0),0)&gt;0,0,1)</f>
        <v>0</v>
      </c>
      <c r="CM338">
        <f>IF(CL338=0,0,1+COUNTIF(CM$3:CM337,"&gt;0"))</f>
        <v>0</v>
      </c>
      <c r="CN338" t="str">
        <f t="shared" si="318"/>
        <v/>
      </c>
      <c r="CO338" t="str">
        <f t="shared" si="290"/>
        <v/>
      </c>
      <c r="CQ338">
        <f>IF(IFERROR(SEARCH("Wizard",$T338,1),0)&gt;0,1,0)*IF(WizardMaxSpellLevel&gt;=$C338,1,0)*IF(IFERROR(MATCH(B338,Character_Creation!$X$341:$X$400,0),0)&gt;0,0,1)*IF(SelectedWizardSpellLevel=$C338,1,0)</f>
        <v>0</v>
      </c>
      <c r="CR338">
        <f>IF(CQ338=0,0,1+COUNTIF(CR$3:CR337,"&gt;0"))</f>
        <v>0</v>
      </c>
      <c r="CS338" t="str">
        <f t="shared" si="319"/>
        <v/>
      </c>
      <c r="CT338" t="str">
        <f t="shared" si="291"/>
        <v/>
      </c>
      <c r="CV338">
        <f>IF(IFERROR(MATCH($B338,Character_Creation!$C$341:$C$362,0),0)&gt;0,0,1)*IF(OR(C338="Cantrip",C338&lt;=BardMaxSpellLevel),1,0)*IF(IFERROR(MATCH($B338,Character_Creation!$C$367:$C$374,0),0)&gt;0,0,1)</f>
        <v>0</v>
      </c>
      <c r="CW338">
        <f>IF(CV338=0,0,1+COUNTIF(CW$3:CW337,"&gt;0"))</f>
        <v>0</v>
      </c>
      <c r="CX338" t="str">
        <f t="shared" si="320"/>
        <v/>
      </c>
      <c r="CY338" t="str">
        <f t="shared" si="292"/>
        <v/>
      </c>
      <c r="DA338">
        <f>IF(IF(OR(IFERROR(SEARCH("Cleric",$T338,1),0)&gt;0,IFERROR(SEARCH(DivineDomain&amp;",",$T338,1),0)&gt;0),1,0)*IF($C338=DA$2,1,0)=1,1+COUNTIF(DA$3:DA337,"&gt;0"),0)</f>
        <v>0</v>
      </c>
      <c r="DB338">
        <f>IF(IF(OR(IFERROR(SEARCH("Cleric",$T338,1),0)&gt;0,IFERROR(SEARCH(DivineDomain&amp;",",$T338,1),0)&gt;0),1,0)*IF($C338=DB$2,1,0)=1,1+COUNTIF(DB$3:DB337,"&gt;0"),0)</f>
        <v>0</v>
      </c>
      <c r="DC338">
        <f>IF(IF(OR(IFERROR(SEARCH("Cleric",$T338,1),0)&gt;0,IFERROR(SEARCH(DivineDomain&amp;",",$T338,1),0)&gt;0),1,0)*IF($C338=DC$2,1,0)=1,1+COUNTIF(DC$3:DC337,"&gt;0"),0)</f>
        <v>0</v>
      </c>
      <c r="DD338">
        <f>IF(IF(OR(IFERROR(SEARCH("Cleric",$T338,1),0)&gt;0,IFERROR(SEARCH(DivineDomain&amp;",",$T338,1),0)&gt;0),1,0)*IF($C338=DD$2,1,0)=1,1+COUNTIF(DD$3:DD337,"&gt;0"),0)</f>
        <v>0</v>
      </c>
      <c r="DE338">
        <f>IF(IF(OR(IFERROR(SEARCH("Cleric",$T338,1),0)&gt;0,IFERROR(SEARCH(DivineDomain&amp;",",$T338,1),0)&gt;0),1,0)*IF($C338=DE$2,1,0)=1,1+COUNTIF(DE$3:DE337,"&gt;0"),0)</f>
        <v>0</v>
      </c>
      <c r="DF338">
        <f>IF(IF(OR(IFERROR(SEARCH("Cleric",$T338,1),0)&gt;0,IFERROR(SEARCH(DivineDomain&amp;",",$T338,1),0)&gt;0),1,0)*IF($C338=DF$2,1,0)=1,1+COUNTIF(DF$3:DF337,"&gt;0"),0)</f>
        <v>0</v>
      </c>
      <c r="DG338">
        <f>IF(IF(OR(IFERROR(SEARCH("Cleric",$T338,1),0)&gt;0,IFERROR(SEARCH(DivineDomain&amp;",",$T338,1),0)&gt;0),1,0)*IF($C338=DG$2,1,0)=1,1+COUNTIF(DG$3:DG337,"&gt;0"),0)</f>
        <v>0</v>
      </c>
      <c r="DH338">
        <f>IF(IF(OR(IFERROR(SEARCH("Cleric",$T338,1),0)&gt;0,IFERROR(SEARCH(DivineDomain&amp;",",$T338,1),0)&gt;0),1,0)*IF($C338=DH$2,1,0)=1,1+COUNTIF(DH$3:DH337,"&gt;0"),0)</f>
        <v>0</v>
      </c>
      <c r="DI338">
        <f>IF(IF(OR(IFERROR(SEARCH("Cleric",$T338,1),0)&gt;0,IFERROR(SEARCH(DivineDomain&amp;",",$T338,1),0)&gt;0),1,0)*IF($C338=DI$2,1,0)=1,1+COUNTIF(DI$3:DI337,"&gt;0"),0)</f>
        <v>0</v>
      </c>
      <c r="DJ338">
        <f>IF(IF(OR(IFERROR(SEARCH("Druid",$T338,1),0)&gt;0,IFERROR(SEARCH(DruidLand1,$T338,1),0)&gt;0,IFERROR(SEARCH(DruidLand2,$T338,1),0)&gt;0,IFERROR(SEARCH(DruidLand3,$T338,1),0)&gt;0,IFERROR(SEARCH(DruidLand4,$T338,1),0)&gt;0),1,0)*IF($C338=1,1,0)*IF($C338=DJ$2,1,0)=0,0,1+COUNTIF(DJ$3:DJ337,"&gt;0"))</f>
        <v>0</v>
      </c>
      <c r="DK338">
        <f>IF(IF(OR(IFERROR(SEARCH("Druid",$T338,1),0)&gt;0,IFERROR(SEARCH(DruidLand1,$T338,1),0)&gt;0,IFERROR(SEARCH(DruidLand2,$T338,1),0)&gt;0,IFERROR(SEARCH(DruidLand3,$T338,1),0)&gt;0,IFERROR(SEARCH(DruidLand4,$T338,1),0)&gt;0),1,0)*IF($C338=1,1,0)*IF($C338=DK$2,1,0)=0,0,1+COUNTIF(DK$3:DK337,"&gt;0"))</f>
        <v>0</v>
      </c>
      <c r="DL338">
        <f>IF(IF(OR(IFERROR(SEARCH("Druid",$T338,1),0)&gt;0,IFERROR(SEARCH(DruidLand1,$T338,1),0)&gt;0,IFERROR(SEARCH(DruidLand2,$T338,1),0)&gt;0,IFERROR(SEARCH(DruidLand3,$T338,1),0)&gt;0,IFERROR(SEARCH(DruidLand4,$T338,1),0)&gt;0),1,0)*IF($C338=1,1,0)*IF($C338=DL$2,1,0)=0,0,1+COUNTIF(DL$3:DL337,"&gt;0"))</f>
        <v>0</v>
      </c>
      <c r="DM338">
        <f>IF(IF(OR(IFERROR(SEARCH("Druid",$T338,1),0)&gt;0,IFERROR(SEARCH(DruidLand1,$T338,1),0)&gt;0,IFERROR(SEARCH(DruidLand2,$T338,1),0)&gt;0,IFERROR(SEARCH(DruidLand3,$T338,1),0)&gt;0,IFERROR(SEARCH(DruidLand4,$T338,1),0)&gt;0),1,0)*IF($C338=1,1,0)*IF($C338=DM$2,1,0)=0,0,1+COUNTIF(DM$3:DM337,"&gt;0"))</f>
        <v>0</v>
      </c>
      <c r="DN338">
        <f>IF(IF(OR(IFERROR(SEARCH("Druid",$T338,1),0)&gt;0,IFERROR(SEARCH(DruidLand1,$T338,1),0)&gt;0,IFERROR(SEARCH(DruidLand2,$T338,1),0)&gt;0,IFERROR(SEARCH(DruidLand3,$T338,1),0)&gt;0,IFERROR(SEARCH(DruidLand4,$T338,1),0)&gt;0),1,0)*IF($C338=1,1,0)*IF($C338=DN$2,1,0)=0,0,1+COUNTIF(DN$3:DN337,"&gt;0"))</f>
        <v>0</v>
      </c>
      <c r="DO338">
        <f>IF(IF(OR(IFERROR(SEARCH("Druid",$T338,1),0)&gt;0,IFERROR(SEARCH(DruidLand1,$T338,1),0)&gt;0,IFERROR(SEARCH(DruidLand2,$T338,1),0)&gt;0,IFERROR(SEARCH(DruidLand3,$T338,1),0)&gt;0,IFERROR(SEARCH(DruidLand4,$T338,1),0)&gt;0),1,0)*IF($C338=1,1,0)*IF($C338=DO$2,1,0)=0,0,1+COUNTIF(DO$3:DO337,"&gt;0"))</f>
        <v>0</v>
      </c>
      <c r="DP338">
        <f>IF(IF(OR(IFERROR(SEARCH("Druid",$T338,1),0)&gt;0,IFERROR(SEARCH(DruidLand1,$T338,1),0)&gt;0,IFERROR(SEARCH(DruidLand2,$T338,1),0)&gt;0,IFERROR(SEARCH(DruidLand3,$T338,1),0)&gt;0,IFERROR(SEARCH(DruidLand4,$T338,1),0)&gt;0),1,0)*IF($C338=1,1,0)*IF($C338=DP$2,1,0)=0,0,1+COUNTIF(DP$3:DP337,"&gt;0"))</f>
        <v>0</v>
      </c>
      <c r="DQ338">
        <f>IF(IF(OR(IFERROR(SEARCH("Druid",$T338,1),0)&gt;0,IFERROR(SEARCH(DruidLand1,$T338,1),0)&gt;0,IFERROR(SEARCH(DruidLand2,$T338,1),0)&gt;0,IFERROR(SEARCH(DruidLand3,$T338,1),0)&gt;0,IFERROR(SEARCH(DruidLand4,$T338,1),0)&gt;0),1,0)*IF($C338=1,1,0)*IF($C338=DQ$2,1,0)=0,0,1+COUNTIF(DQ$3:DQ337,"&gt;0"))</f>
        <v>0</v>
      </c>
      <c r="DR338">
        <f>IF(IF(OR(IFERROR(SEARCH("Druid",$T338,1),0)&gt;0,IFERROR(SEARCH(DruidLand1,$T338,1),0)&gt;0,IFERROR(SEARCH(DruidLand2,$T338,1),0)&gt;0,IFERROR(SEARCH(DruidLand3,$T338,1),0)&gt;0,IFERROR(SEARCH(DruidLand4,$T338,1),0)&gt;0),1,0)*IF($C338=1,1,0)*IF($C338=DR$2,1,0)=0,0,1+COUNTIF(DR$3:DR337,"&gt;0"))</f>
        <v>0</v>
      </c>
      <c r="DS338">
        <f>IF(IF(OR(IFERROR(SEARCH("Paladin",$T338,1),0)&gt;0,IFERROR(SEARCH(PaladinOath,$T338,1),0)&gt;0),1,0)*IF($C338=DS$2,1,0)=1,1+COUNTIF(DS$3:DS337,"&gt;0"),0)</f>
        <v>0</v>
      </c>
      <c r="DT338">
        <f>IF(IF(OR(IFERROR(SEARCH("Paladin",$T338,1),0)&gt;0,IFERROR(SEARCH(PaladinOath,$T338,1),0)&gt;0),1,0)*IF($C338=DT$2,1,0)=1,1+COUNTIF(DT$3:DT337,"&gt;0"),0)</f>
        <v>0</v>
      </c>
      <c r="DU338">
        <f>IF(IF(OR(IFERROR(SEARCH("Paladin",$T338,1),0)&gt;0,IFERROR(SEARCH(PaladinOath,$T338,1),0)&gt;0),1,0)*IF($C338=DU$2,1,0)=1,1+COUNTIF(DU$3:DU337,"&gt;0"),0)</f>
        <v>0</v>
      </c>
      <c r="DV338">
        <f>IF(IF(OR(IFERROR(SEARCH("Paladin",$T338,1),0)&gt;0,IFERROR(SEARCH(PaladinOath,$T338,1),0)&gt;0),1,0)*IF($C338=DV$2,1,0)=1,1+COUNTIF(DV$3:DV337,"&gt;0"),0)</f>
        <v>0</v>
      </c>
      <c r="DW338">
        <f>IF(IF(OR(IFERROR(SEARCH("Paladin",$T338,1),0)&gt;0,IFERROR(SEARCH(PaladinOath,$T338,1),0)&gt;0),1,0)*IF($C338=DW$2,1,0)=1,1+COUNTIF(DW$3:DW337,"&gt;0"),0)</f>
        <v>0</v>
      </c>
      <c r="DY338">
        <f t="shared" si="278"/>
        <v>1</v>
      </c>
      <c r="DZ338">
        <f>IF(DY338=0,0,1+MAX(DZ$3:$DZ337))</f>
        <v>336</v>
      </c>
      <c r="EB338">
        <f t="shared" si="293"/>
        <v>0</v>
      </c>
      <c r="EC338">
        <f>IF(EB338=0,0,1+COUNTIF(EC$3:EC337,"&gt;0"))</f>
        <v>0</v>
      </c>
      <c r="ED338" t="str">
        <f t="shared" si="321"/>
        <v/>
      </c>
      <c r="EE338" t="str">
        <f t="shared" si="294"/>
        <v/>
      </c>
      <c r="EG338">
        <f t="shared" si="295"/>
        <v>0</v>
      </c>
      <c r="EH338">
        <f>IF(EG338=0,0,1+COUNTIF(EH$3:EH337,"&gt;0"))</f>
        <v>0</v>
      </c>
      <c r="EI338" t="str">
        <f t="shared" si="322"/>
        <v/>
      </c>
      <c r="EJ338" t="str">
        <f t="shared" si="296"/>
        <v/>
      </c>
      <c r="EL338">
        <f t="shared" si="297"/>
        <v>0</v>
      </c>
      <c r="EM338">
        <f>IF(EL338=0,0,1+COUNTIF(EM$3:EM337,"&gt;0"))</f>
        <v>0</v>
      </c>
      <c r="EN338" t="str">
        <f t="shared" si="323"/>
        <v/>
      </c>
      <c r="EO338" t="str">
        <f t="shared" si="298"/>
        <v/>
      </c>
      <c r="EQ338">
        <f t="shared" si="299"/>
        <v>0</v>
      </c>
      <c r="ER338">
        <f>IF(EQ338=0,0,1+COUNTIF(ER$3:ER337,"&gt;0"))</f>
        <v>0</v>
      </c>
      <c r="ES338" t="str">
        <f t="shared" si="324"/>
        <v/>
      </c>
      <c r="ET338" t="str">
        <f t="shared" si="300"/>
        <v/>
      </c>
      <c r="EV338">
        <f t="shared" si="301"/>
        <v>0</v>
      </c>
      <c r="EW338">
        <f>IF(EV338=0,0,1+COUNTIF(EW$3:EW337,"&gt;0"))</f>
        <v>0</v>
      </c>
      <c r="EX338" t="str">
        <f t="shared" si="325"/>
        <v/>
      </c>
      <c r="EY338" t="str">
        <f t="shared" si="302"/>
        <v/>
      </c>
      <c r="FA338">
        <f t="shared" si="303"/>
        <v>0</v>
      </c>
      <c r="FB338">
        <f>IF(FA338=0,0,1+COUNTIF(FB$3:FB337,"&gt;0"))</f>
        <v>0</v>
      </c>
      <c r="FC338" t="str">
        <f t="shared" si="326"/>
        <v/>
      </c>
      <c r="FD338" t="str">
        <f t="shared" si="304"/>
        <v/>
      </c>
      <c r="FF338">
        <f t="shared" si="305"/>
        <v>0</v>
      </c>
      <c r="FG338">
        <f>IF(FF338=0,0,1+COUNTIF(FG$3:FG337,"&gt;0"))</f>
        <v>0</v>
      </c>
      <c r="FH338" t="str">
        <f t="shared" si="327"/>
        <v/>
      </c>
      <c r="FI338" t="str">
        <f t="shared" si="306"/>
        <v/>
      </c>
      <c r="FK338">
        <f t="shared" si="307"/>
        <v>0</v>
      </c>
      <c r="FL338">
        <f>IF(FK338=0,0,1+COUNTIF(FL$3:FL337,"&gt;0"))</f>
        <v>0</v>
      </c>
      <c r="FM338" t="str">
        <f t="shared" si="328"/>
        <v/>
      </c>
      <c r="FN338" t="str">
        <f t="shared" si="308"/>
        <v/>
      </c>
      <c r="FP338">
        <f t="shared" si="309"/>
        <v>0</v>
      </c>
      <c r="FQ338">
        <f>IF(FP338=0,0,1+COUNTIF(FQ$3:FQ337,"&gt;0"))</f>
        <v>0</v>
      </c>
      <c r="FR338" t="str">
        <f t="shared" si="329"/>
        <v/>
      </c>
      <c r="FS338" t="str">
        <f t="shared" si="310"/>
        <v/>
      </c>
    </row>
    <row r="339" spans="1:175" x14ac:dyDescent="0.25">
      <c r="A339" s="347">
        <f t="shared" si="331"/>
        <v>337</v>
      </c>
      <c r="B339" s="348" t="s">
        <v>2738</v>
      </c>
      <c r="C339" s="348">
        <v>5</v>
      </c>
      <c r="D339" s="347">
        <v>5</v>
      </c>
      <c r="E339" s="627" t="s">
        <v>6952</v>
      </c>
      <c r="F339" s="346"/>
      <c r="G339" s="347" t="str">
        <f>""</f>
        <v/>
      </c>
      <c r="H339" s="347" t="s">
        <v>5912</v>
      </c>
      <c r="I339" s="347" t="s">
        <v>5283</v>
      </c>
      <c r="J339" s="347" t="str">
        <f t="shared" si="279"/>
        <v/>
      </c>
      <c r="K339" s="347" t="s">
        <v>5291</v>
      </c>
      <c r="L339" s="611" t="str">
        <f t="shared" si="280"/>
        <v>V, S</v>
      </c>
      <c r="M339" s="347" t="s">
        <v>2373</v>
      </c>
      <c r="N339" s="347" t="s">
        <v>2387</v>
      </c>
      <c r="O339" s="347" t="s">
        <v>3034</v>
      </c>
      <c r="P339" s="346" t="str">
        <f>""</f>
        <v/>
      </c>
      <c r="Q339" s="347" t="s">
        <v>5271</v>
      </c>
      <c r="S339" s="346" t="s">
        <v>5849</v>
      </c>
      <c r="T339" s="346" t="str">
        <f t="shared" si="281"/>
        <v xml:space="preserve">Druid, Ancients, Fores, Nature, </v>
      </c>
      <c r="AA339" s="347" t="str">
        <f>$B339</f>
        <v>Tree Stride</v>
      </c>
      <c r="AE339" t="str">
        <f>IF(IFERROR(MATCH($B339,temp!A$4:A$13,0),0)&gt;0,T08_Spells!AE$2,"")</f>
        <v/>
      </c>
      <c r="AF339" t="str">
        <f>IF(IFERROR(MATCH($B339,temp!B$4:B$13,0),0)&gt;0,T08_Spells!AF$2,"")</f>
        <v/>
      </c>
      <c r="AG339" t="str">
        <f>IF(IFERROR(MATCH($B339,temp!C$4:C$13,0),0)&gt;0,T08_Spells!AG$2,"")</f>
        <v>Ancients</v>
      </c>
      <c r="AH339" t="str">
        <f>IF(IFERROR(MATCH($B339,temp!D$4:D$13,0),0)&gt;0,T08_Spells!AH$2,"")</f>
        <v/>
      </c>
      <c r="AI339" t="str">
        <f>IF(IFERROR(MATCH($B339,temp!E$4:E$13,0),0)&gt;0,T08_Spells!AI$2,"")</f>
        <v/>
      </c>
      <c r="AJ339" t="str">
        <f>IF(IFERROR(MATCH($B339,temp!F$4:F$13,0),0)&gt;0,T08_Spells!AJ$2,"")</f>
        <v/>
      </c>
      <c r="AK339" t="str">
        <f>IF(IFERROR(MATCH($B339,temp!G$4:G$13,0),0)&gt;0,T08_Spells!AK$2,"")</f>
        <v/>
      </c>
      <c r="AL339" t="str">
        <f>IF(IFERROR(MATCH($B339,temp!H$4:H$13,0),0)&gt;0,T08_Spells!AL$2,"")</f>
        <v/>
      </c>
      <c r="AM339" t="str">
        <f>IF(IFERROR(MATCH($B339,temp!I$4:I$13,0),0)&gt;0,T08_Spells!AM$2,"")</f>
        <v/>
      </c>
      <c r="AN339" t="str">
        <f>IF(IFERROR(MATCH($B339,temp!J$4:J$13,0),0)&gt;0,T08_Spells!AN$2,"")</f>
        <v/>
      </c>
      <c r="AO339" t="str">
        <f>IF(IFERROR(MATCH($B339,temp!K$4:K$13,0),0)&gt;0,T08_Spells!AO$2,"")</f>
        <v>Forest</v>
      </c>
      <c r="AP339" t="str">
        <f>IF(IFERROR(MATCH($B339,temp!L$4:L$13,0),0)&gt;0,T08_Spells!AP$2,"")</f>
        <v/>
      </c>
      <c r="AQ339" t="str">
        <f>IF(IFERROR(MATCH($B339,temp!M$4:M$13,0),0)&gt;0,T08_Spells!AQ$2,"")</f>
        <v/>
      </c>
      <c r="AR339" t="str">
        <f>IF(IFERROR(MATCH($B339,temp!N$4:N$13,0),0)&gt;0,T08_Spells!AR$2,"")</f>
        <v/>
      </c>
      <c r="AS339" t="str">
        <f>IF(IFERROR(MATCH($B339,temp!O$4:O$13,0),0)&gt;0,T08_Spells!AS$2,"")</f>
        <v/>
      </c>
      <c r="AT339" t="str">
        <f>IF(IFERROR(MATCH($B339,temp!P$4:P$13,0),0)&gt;0,T08_Spells!AT$2,"")</f>
        <v/>
      </c>
      <c r="AU339" t="str">
        <f>IF(IFERROR(MATCH($B339,temp!Q$4:Q$13,0),0)&gt;0,T08_Spells!AU$2,"")</f>
        <v/>
      </c>
      <c r="AV339" t="str">
        <f>IF(IFERROR(MATCH($B339,temp!R$4:R$13,0),0)&gt;0,T08_Spells!AV$2,"")</f>
        <v/>
      </c>
      <c r="AW339" t="str">
        <f>IF(IFERROR(MATCH($B339,temp!S$4:S$13,0),0)&gt;0,T08_Spells!AW$2,"")</f>
        <v>Nature</v>
      </c>
      <c r="AX339" t="str">
        <f>IF(IFERROR(MATCH($B339,temp!T$4:T$13,0),0)&gt;0,T08_Spells!AX$2,"")</f>
        <v/>
      </c>
      <c r="AY339" t="str">
        <f>IF(IFERROR(MATCH($B339,temp!U$4:U$13,0),0)&gt;0,T08_Spells!AY$2,"")</f>
        <v/>
      </c>
      <c r="AZ339" t="str">
        <f>IF(IFERROR(MATCH($B339,temp!V$4:V$13,0),0)&gt;0,T08_Spells!AZ$2,"")</f>
        <v/>
      </c>
      <c r="BA339" t="str">
        <f>IF(IFERROR(MATCH($B339,temp!W$4:W$13,0),0)&gt;0,T08_Spells!BA$2,"")</f>
        <v/>
      </c>
      <c r="BC339">
        <f>IF(IFERROR(SEARCH("Ranger",$T339,1),0)&gt;0,1,0)*IF(RangerMaxSpellLevel&gt;=$C339,1,0)*IF(IFERROR(MATCH(B339,Character_Creation!$X$79:$X$382,0),0)&gt;0,0,1)</f>
        <v>0</v>
      </c>
      <c r="BD339">
        <f>IF(BC339=0,0,1+COUNTIF(BD$3:BD338,"&gt;0"))</f>
        <v>0</v>
      </c>
      <c r="BE339" t="str">
        <f t="shared" si="311"/>
        <v/>
      </c>
      <c r="BF339" t="str">
        <f t="shared" si="283"/>
        <v/>
      </c>
      <c r="BH339">
        <f>IF(IFERROR(SEARCH("Sorcerer",$T339,1),0)&gt;0,1,0)*IF(SorcererMaxSpellLevel&gt;=$C339,1,0)*IF(IFERROR(MATCH(B339,Character_Creation!$J$380:$J$394,0),0)&gt;0,0,1)</f>
        <v>0</v>
      </c>
      <c r="BI339">
        <f>IF(BH339=0,0,1+COUNTIF(BI$3:BI338,"&gt;0"))</f>
        <v>0</v>
      </c>
      <c r="BJ339" t="str">
        <f t="shared" si="312"/>
        <v/>
      </c>
      <c r="BK339" t="str">
        <f t="shared" si="284"/>
        <v/>
      </c>
      <c r="BM339">
        <f>IF(OR(IFERROR(SEARCH("Warlock",$T339,1),0)&gt;0,IFERROR(SEARCH(WarlockPatron,$T339,1),0)&gt;0),1,0)*IF(WarlockMaxSpellLevel&gt;=$C339,1,0)*IF(IFERROR(MATCH(B339,Character_Creation!$J$361:$J$375,0),0)&gt;0,0,1)</f>
        <v>0</v>
      </c>
      <c r="BN339">
        <f>IF(BM339=0,0,1+COUNTIF(BN$3:BN338,"&gt;0"))</f>
        <v>0</v>
      </c>
      <c r="BO339" t="str">
        <f t="shared" si="313"/>
        <v/>
      </c>
      <c r="BP339" t="str">
        <f t="shared" si="285"/>
        <v/>
      </c>
      <c r="BR339">
        <f>IF(IFERROR(SEARCH("Eldritch Knight",$T339,1),0)&gt;0,1,0)*IF(EldritchKnightMaxSpellLevel&gt;=$C339,1,0)*IF(IFERROR(MATCH($B339,Character_Creation!$J$350:$J$356,0),0)&gt;0,0,1)*IF(Character_Creation!$M$338&gt;0,1,0)</f>
        <v>0</v>
      </c>
      <c r="BS339">
        <f>IF(BR339=0,0,1+COUNTIF(BS$3:BS338,"&gt;0"))</f>
        <v>0</v>
      </c>
      <c r="BT339" t="str">
        <f t="shared" si="314"/>
        <v/>
      </c>
      <c r="BU339" t="str">
        <f t="shared" si="286"/>
        <v/>
      </c>
      <c r="BW339">
        <f>IF(IFERROR(SEARCH("Arcane Trickster",$T339,1),0)&gt;0,1,0)*IF(ArcaneTricksterMaxSpellLevel&gt;=$C339,1,0)*IF(IFERROR(MATCH($B339,Character_Creation!$J$350:$J$356,0),0)&gt;0,0,1)*IF(Character_Creation!$T$338&gt;0,1,0)</f>
        <v>0</v>
      </c>
      <c r="BX339">
        <f>IF(BW339=0,0,1+COUNTIF(BX$3:BX338,"&gt;0"))</f>
        <v>0</v>
      </c>
      <c r="BY339" t="str">
        <f t="shared" si="315"/>
        <v/>
      </c>
      <c r="BZ339" t="str">
        <f t="shared" si="287"/>
        <v/>
      </c>
      <c r="CB339">
        <f>IF(IFERROR(SEARCH("Wizard",$T339,1),0)&gt;0,1,0)*IF(C339&lt;=ArcaneTricksterMaxSpellLevel,1,0)*IF(IFERROR(MATCH($B339,Character_Creation!$J$350:$J$356,0),0)&gt;0,0,1)*IF(Character_Creation!$T$350&gt;0,1,0)</f>
        <v>0</v>
      </c>
      <c r="CC339">
        <f>IF(CB339=0,0,1+COUNTIF(CC$3:CC338,"&gt;0"))</f>
        <v>0</v>
      </c>
      <c r="CD339" t="str">
        <f t="shared" si="316"/>
        <v/>
      </c>
      <c r="CE339" t="str">
        <f t="shared" si="288"/>
        <v/>
      </c>
      <c r="CG339">
        <f>IF(IFERROR(SEARCH("Wizard",$T339,1),0)&gt;0,1,0)*IF($C339&lt;=EldritchKnightMaxSpellLevel,1,0)*IF(IFERROR(MATCH($B339,Character_Creation!$J$350:$J$356,0),0)&gt;0,0,1)*IF(Character_Creation!$M$350&gt;0,1,0)</f>
        <v>0</v>
      </c>
      <c r="CH339">
        <f>IF(CG339=0,0,1+COUNTIF(CH$3:CH338,"&gt;0"))</f>
        <v>0</v>
      </c>
      <c r="CI339" t="str">
        <f t="shared" si="317"/>
        <v/>
      </c>
      <c r="CJ339" t="str">
        <f t="shared" si="289"/>
        <v/>
      </c>
      <c r="CL339">
        <f>IF(IFERROR(SEARCH("Bard",$T339,1),0)&gt;0,1,0)*IF(BardMaxSpellLevel&gt;=$C339,1,0)*IF(IFERROR(MATCH(B339,Character_Creation!$C$341:$F$362,0),0)&gt;0,0,1)*IF(IFERROR(MATCH($B339,Character_Creation!$C$341:$C$362,0),0)&gt;0,0,1)</f>
        <v>0</v>
      </c>
      <c r="CM339">
        <f>IF(CL339=0,0,1+COUNTIF(CM$3:CM338,"&gt;0"))</f>
        <v>0</v>
      </c>
      <c r="CN339" t="str">
        <f t="shared" si="318"/>
        <v/>
      </c>
      <c r="CO339" t="str">
        <f t="shared" si="290"/>
        <v/>
      </c>
      <c r="CQ339">
        <f>IF(IFERROR(SEARCH("Wizard",$T339,1),0)&gt;0,1,0)*IF(WizardMaxSpellLevel&gt;=$C339,1,0)*IF(IFERROR(MATCH(B339,Character_Creation!$X$341:$X$400,0),0)&gt;0,0,1)*IF(SelectedWizardSpellLevel=$C339,1,0)</f>
        <v>0</v>
      </c>
      <c r="CR339">
        <f>IF(CQ339=0,0,1+COUNTIF(CR$3:CR338,"&gt;0"))</f>
        <v>0</v>
      </c>
      <c r="CS339" t="str">
        <f t="shared" si="319"/>
        <v/>
      </c>
      <c r="CT339" t="str">
        <f t="shared" si="291"/>
        <v/>
      </c>
      <c r="CV339">
        <f>IF(IFERROR(MATCH($B339,Character_Creation!$C$341:$C$362,0),0)&gt;0,0,1)*IF(OR(C339="Cantrip",C339&lt;=BardMaxSpellLevel),1,0)*IF(IFERROR(MATCH($B339,Character_Creation!$C$367:$C$374,0),0)&gt;0,0,1)</f>
        <v>0</v>
      </c>
      <c r="CW339">
        <f>IF(CV339=0,0,1+COUNTIF(CW$3:CW338,"&gt;0"))</f>
        <v>0</v>
      </c>
      <c r="CX339" t="str">
        <f t="shared" si="320"/>
        <v/>
      </c>
      <c r="CY339" t="str">
        <f t="shared" si="292"/>
        <v/>
      </c>
      <c r="DA339">
        <f>IF(IF(OR(IFERROR(SEARCH("Cleric",$T339,1),0)&gt;0,IFERROR(SEARCH(DivineDomain&amp;",",$T339,1),0)&gt;0),1,0)*IF($C339=DA$2,1,0)=1,1+COUNTIF(DA$3:DA338,"&gt;0"),0)</f>
        <v>0</v>
      </c>
      <c r="DB339">
        <f>IF(IF(OR(IFERROR(SEARCH("Cleric",$T339,1),0)&gt;0,IFERROR(SEARCH(DivineDomain&amp;",",$T339,1),0)&gt;0),1,0)*IF($C339=DB$2,1,0)=1,1+COUNTIF(DB$3:DB338,"&gt;0"),0)</f>
        <v>0</v>
      </c>
      <c r="DC339">
        <f>IF(IF(OR(IFERROR(SEARCH("Cleric",$T339,1),0)&gt;0,IFERROR(SEARCH(DivineDomain&amp;",",$T339,1),0)&gt;0),1,0)*IF($C339=DC$2,1,0)=1,1+COUNTIF(DC$3:DC338,"&gt;0"),0)</f>
        <v>0</v>
      </c>
      <c r="DD339">
        <f>IF(IF(OR(IFERROR(SEARCH("Cleric",$T339,1),0)&gt;0,IFERROR(SEARCH(DivineDomain&amp;",",$T339,1),0)&gt;0),1,0)*IF($C339=DD$2,1,0)=1,1+COUNTIF(DD$3:DD338,"&gt;0"),0)</f>
        <v>0</v>
      </c>
      <c r="DE339">
        <f>IF(IF(OR(IFERROR(SEARCH("Cleric",$T339,1),0)&gt;0,IFERROR(SEARCH(DivineDomain&amp;",",$T339,1),0)&gt;0),1,0)*IF($C339=DE$2,1,0)=1,1+COUNTIF(DE$3:DE338,"&gt;0"),0)</f>
        <v>0</v>
      </c>
      <c r="DF339">
        <f>IF(IF(OR(IFERROR(SEARCH("Cleric",$T339,1),0)&gt;0,IFERROR(SEARCH(DivineDomain&amp;",",$T339,1),0)&gt;0),1,0)*IF($C339=DF$2,1,0)=1,1+COUNTIF(DF$3:DF338,"&gt;0"),0)</f>
        <v>0</v>
      </c>
      <c r="DG339">
        <f>IF(IF(OR(IFERROR(SEARCH("Cleric",$T339,1),0)&gt;0,IFERROR(SEARCH(DivineDomain&amp;",",$T339,1),0)&gt;0),1,0)*IF($C339=DG$2,1,0)=1,1+COUNTIF(DG$3:DG338,"&gt;0"),0)</f>
        <v>0</v>
      </c>
      <c r="DH339">
        <f>IF(IF(OR(IFERROR(SEARCH("Cleric",$T339,1),0)&gt;0,IFERROR(SEARCH(DivineDomain&amp;",",$T339,1),0)&gt;0),1,0)*IF($C339=DH$2,1,0)=1,1+COUNTIF(DH$3:DH338,"&gt;0"),0)</f>
        <v>0</v>
      </c>
      <c r="DI339">
        <f>IF(IF(OR(IFERROR(SEARCH("Cleric",$T339,1),0)&gt;0,IFERROR(SEARCH(DivineDomain&amp;",",$T339,1),0)&gt;0),1,0)*IF($C339=DI$2,1,0)=1,1+COUNTIF(DI$3:DI338,"&gt;0"),0)</f>
        <v>0</v>
      </c>
      <c r="DJ339">
        <f>IF(IF(OR(IFERROR(SEARCH("Druid",$T339,1),0)&gt;0,IFERROR(SEARCH(DruidLand1,$T339,1),0)&gt;0,IFERROR(SEARCH(DruidLand2,$T339,1),0)&gt;0,IFERROR(SEARCH(DruidLand3,$T339,1),0)&gt;0,IFERROR(SEARCH(DruidLand4,$T339,1),0)&gt;0),1,0)*IF($C339=1,1,0)*IF($C339=DJ$2,1,0)=0,0,1+COUNTIF(DJ$3:DJ338,"&gt;0"))</f>
        <v>0</v>
      </c>
      <c r="DK339">
        <f>IF(IF(OR(IFERROR(SEARCH("Druid",$T339,1),0)&gt;0,IFERROR(SEARCH(DruidLand1,$T339,1),0)&gt;0,IFERROR(SEARCH(DruidLand2,$T339,1),0)&gt;0,IFERROR(SEARCH(DruidLand3,$T339,1),0)&gt;0,IFERROR(SEARCH(DruidLand4,$T339,1),0)&gt;0),1,0)*IF($C339=DK$2,1,0)=0,0,1+COUNTIF(DK$3:DK338,"&gt;0"))</f>
        <v>0</v>
      </c>
      <c r="DL339">
        <f>IF(IF(OR(IFERROR(SEARCH("Druid",$T339,1),0)&gt;0,IFERROR(SEARCH(DruidLand1,$T339,1),0)&gt;0,IFERROR(SEARCH(DruidLand2,$T339,1),0)&gt;0,IFERROR(SEARCH(DruidLand3,$T339,1),0)&gt;0,IFERROR(SEARCH(DruidLand4,$T339,1),0)&gt;0),1,0)*IF($C339=DL$2,1,0)=0,0,1+COUNTIF(DL$3:DL338,"&gt;0"))</f>
        <v>0</v>
      </c>
      <c r="DM339">
        <f>IF(IF(OR(IFERROR(SEARCH("Druid",$T339,1),0)&gt;0,IFERROR(SEARCH(DruidLand1,$T339,1),0)&gt;0,IFERROR(SEARCH(DruidLand2,$T339,1),0)&gt;0,IFERROR(SEARCH(DruidLand3,$T339,1),0)&gt;0,IFERROR(SEARCH(DruidLand4,$T339,1),0)&gt;0),1,0)*IF($C339=DM$2,1,0)=0,0,1+COUNTIF(DM$3:DM338,"&gt;0"))</f>
        <v>0</v>
      </c>
      <c r="DN339">
        <f>IF(IF(OR(IFERROR(SEARCH("Druid",$T339,1),0)&gt;0,IFERROR(SEARCH(DruidLand1,$T339,1),0)&gt;0,IFERROR(SEARCH(DruidLand2,$T339,1),0)&gt;0,IFERROR(SEARCH(DruidLand3,$T339,1),0)&gt;0,IFERROR(SEARCH(DruidLand4,$T339,1),0)&gt;0),1,0)*IF($C339=DN$2,1,0)=0,0,1+COUNTIF(DN$3:DN338,"&gt;0"))</f>
        <v>13</v>
      </c>
      <c r="DO339">
        <f>IF(IF(OR(IFERROR(SEARCH("Druid",$T339,1),0)&gt;0,IFERROR(SEARCH(DruidLand1,$T339,1),0)&gt;0,IFERROR(SEARCH(DruidLand2,$T339,1),0)&gt;0,IFERROR(SEARCH(DruidLand3,$T339,1),0)&gt;0,IFERROR(SEARCH(DruidLand4,$T339,1),0)&gt;0),1,0)*IF($C339=DO$2,1,0)=0,0,1+COUNTIF(DO$3:DO338,"&gt;0"))</f>
        <v>0</v>
      </c>
      <c r="DP339">
        <f>IF(IF(OR(IFERROR(SEARCH("Druid",$T339,1),0)&gt;0,IFERROR(SEARCH(DruidLand1,$T339,1),0)&gt;0,IFERROR(SEARCH(DruidLand2,$T339,1),0)&gt;0,IFERROR(SEARCH(DruidLand3,$T339,1),0)&gt;0,IFERROR(SEARCH(DruidLand4,$T339,1),0)&gt;0),1,0)*IF($C339=DP$2,1,0)=0,0,1+COUNTIF(DP$3:DP338,"&gt;0"))</f>
        <v>0</v>
      </c>
      <c r="DQ339">
        <f>IF(IF(OR(IFERROR(SEARCH("Druid",$T339,1),0)&gt;0,IFERROR(SEARCH(DruidLand1,$T339,1),0)&gt;0,IFERROR(SEARCH(DruidLand2,$T339,1),0)&gt;0,IFERROR(SEARCH(DruidLand3,$T339,1),0)&gt;0,IFERROR(SEARCH(DruidLand4,$T339,1),0)&gt;0),1,0)*IF($C339=DQ$2,1,0)=0,0,1+COUNTIF(DQ$3:DQ338,"&gt;0"))</f>
        <v>0</v>
      </c>
      <c r="DR339">
        <f>IF(IF(OR(IFERROR(SEARCH("Druid",$T339,1),0)&gt;0,IFERROR(SEARCH(DruidLand1,$T339,1),0)&gt;0,IFERROR(SEARCH(DruidLand2,$T339,1),0)&gt;0,IFERROR(SEARCH(DruidLand3,$T339,1),0)&gt;0,IFERROR(SEARCH(DruidLand4,$T339,1),0)&gt;0),1,0)*IF($C339=DR$2,1,0)=0,0,1+COUNTIF(DR$3:DR338,"&gt;0"))</f>
        <v>0</v>
      </c>
      <c r="DS339">
        <f>IF(IF(OR(IFERROR(SEARCH("Paladin",$T339,1),0)&gt;0,IFERROR(SEARCH(PaladinOath,$T339,1),0)&gt;0),1,0)*IF($C339=DS$2,1,0)=1,1+COUNTIF(DS$3:DS338,"&gt;0"),0)</f>
        <v>0</v>
      </c>
      <c r="DT339">
        <f>IF(IF(OR(IFERROR(SEARCH("Paladin",$T339,1),0)&gt;0,IFERROR(SEARCH(PaladinOath,$T339,1),0)&gt;0),1,0)*IF($C339=DT$2,1,0)=1,1+COUNTIF(DT$3:DT338,"&gt;0"),0)</f>
        <v>0</v>
      </c>
      <c r="DU339">
        <f>IF(IF(OR(IFERROR(SEARCH("Paladin",$T339,1),0)&gt;0,IFERROR(SEARCH(PaladinOath,$T339,1),0)&gt;0),1,0)*IF($C339=DU$2,1,0)=1,1+COUNTIF(DU$3:DU338,"&gt;0"),0)</f>
        <v>0</v>
      </c>
      <c r="DV339">
        <f>IF(IF(OR(IFERROR(SEARCH("Paladin",$T339,1),0)&gt;0,IFERROR(SEARCH(PaladinOath,$T339,1),0)&gt;0),1,0)*IF($C339=DV$2,1,0)=1,1+COUNTIF(DV$3:DV338,"&gt;0"),0)</f>
        <v>0</v>
      </c>
      <c r="DW339">
        <f>IF(IF(OR(IFERROR(SEARCH("Paladin",$T339,1),0)&gt;0,IFERROR(SEARCH(PaladinOath,$T339,1),0)&gt;0),1,0)*IF($C339=DW$2,1,0)=1,1+COUNTIF(DW$3:DW338,"&gt;0"),0)</f>
        <v>0</v>
      </c>
      <c r="DY339">
        <f t="shared" si="278"/>
        <v>1</v>
      </c>
      <c r="DZ339">
        <f>IF(DY339=0,0,1+MAX(DZ$3:$DZ338))</f>
        <v>337</v>
      </c>
      <c r="EB339">
        <f t="shared" si="293"/>
        <v>0</v>
      </c>
      <c r="EC339">
        <f>IF(EB339=0,0,1+COUNTIF(EC$3:EC338,"&gt;0"))</f>
        <v>0</v>
      </c>
      <c r="ED339" t="str">
        <f t="shared" si="321"/>
        <v/>
      </c>
      <c r="EE339" t="str">
        <f t="shared" si="294"/>
        <v/>
      </c>
      <c r="EG339">
        <f t="shared" si="295"/>
        <v>0</v>
      </c>
      <c r="EH339">
        <f>IF(EG339=0,0,1+COUNTIF(EH$3:EH338,"&gt;0"))</f>
        <v>0</v>
      </c>
      <c r="EI339" t="str">
        <f t="shared" si="322"/>
        <v/>
      </c>
      <c r="EJ339" t="str">
        <f t="shared" si="296"/>
        <v/>
      </c>
      <c r="EL339">
        <f t="shared" si="297"/>
        <v>0</v>
      </c>
      <c r="EM339">
        <f>IF(EL339=0,0,1+COUNTIF(EM$3:EM338,"&gt;0"))</f>
        <v>0</v>
      </c>
      <c r="EN339" t="str">
        <f t="shared" si="323"/>
        <v/>
      </c>
      <c r="EO339" t="str">
        <f t="shared" si="298"/>
        <v/>
      </c>
      <c r="EQ339">
        <f t="shared" si="299"/>
        <v>0</v>
      </c>
      <c r="ER339">
        <f>IF(EQ339=0,0,1+COUNTIF(ER$3:ER338,"&gt;0"))</f>
        <v>0</v>
      </c>
      <c r="ES339" t="str">
        <f t="shared" si="324"/>
        <v/>
      </c>
      <c r="ET339" t="str">
        <f t="shared" si="300"/>
        <v/>
      </c>
      <c r="EV339">
        <f t="shared" si="301"/>
        <v>0</v>
      </c>
      <c r="EW339">
        <f>IF(EV339=0,0,1+COUNTIF(EW$3:EW338,"&gt;0"))</f>
        <v>0</v>
      </c>
      <c r="EX339" t="str">
        <f t="shared" si="325"/>
        <v/>
      </c>
      <c r="EY339" t="str">
        <f t="shared" si="302"/>
        <v/>
      </c>
      <c r="FA339">
        <f t="shared" si="303"/>
        <v>0</v>
      </c>
      <c r="FB339">
        <f>IF(FA339=0,0,1+COUNTIF(FB$3:FB338,"&gt;0"))</f>
        <v>0</v>
      </c>
      <c r="FC339" t="str">
        <f t="shared" si="326"/>
        <v/>
      </c>
      <c r="FD339" t="str">
        <f t="shared" si="304"/>
        <v/>
      </c>
      <c r="FF339">
        <f t="shared" si="305"/>
        <v>0</v>
      </c>
      <c r="FG339">
        <f>IF(FF339=0,0,1+COUNTIF(FG$3:FG338,"&gt;0"))</f>
        <v>0</v>
      </c>
      <c r="FH339" t="str">
        <f t="shared" si="327"/>
        <v/>
      </c>
      <c r="FI339" t="str">
        <f t="shared" si="306"/>
        <v/>
      </c>
      <c r="FK339">
        <f t="shared" si="307"/>
        <v>0</v>
      </c>
      <c r="FL339">
        <f>IF(FK339=0,0,1+COUNTIF(FL$3:FL338,"&gt;0"))</f>
        <v>0</v>
      </c>
      <c r="FM339" t="str">
        <f t="shared" si="328"/>
        <v/>
      </c>
      <c r="FN339" t="str">
        <f t="shared" si="308"/>
        <v/>
      </c>
      <c r="FP339">
        <f t="shared" si="309"/>
        <v>0</v>
      </c>
      <c r="FQ339">
        <f>IF(FP339=0,0,1+COUNTIF(FQ$3:FQ338,"&gt;0"))</f>
        <v>0</v>
      </c>
      <c r="FR339" t="str">
        <f t="shared" si="329"/>
        <v/>
      </c>
      <c r="FS339" t="str">
        <f t="shared" si="310"/>
        <v/>
      </c>
    </row>
    <row r="340" spans="1:175" x14ac:dyDescent="0.25">
      <c r="A340" s="347">
        <f t="shared" si="331"/>
        <v>338</v>
      </c>
      <c r="B340" s="348" t="s">
        <v>2739</v>
      </c>
      <c r="C340" s="348">
        <v>9</v>
      </c>
      <c r="D340" s="347">
        <v>9</v>
      </c>
      <c r="E340" s="627" t="s">
        <v>6952</v>
      </c>
      <c r="F340" s="346"/>
      <c r="G340" s="347" t="str">
        <f>""</f>
        <v/>
      </c>
      <c r="H340" s="347" t="s">
        <v>5912</v>
      </c>
      <c r="I340" s="347" t="s">
        <v>5060</v>
      </c>
      <c r="J340" s="347" t="str">
        <f t="shared" si="279"/>
        <v/>
      </c>
      <c r="K340" s="347" t="s">
        <v>5284</v>
      </c>
      <c r="L340" s="611" t="str">
        <f t="shared" si="280"/>
        <v>V, S, M, a drop of mercury, a dollop of gum arabic, and a wisp of smoke</v>
      </c>
      <c r="M340" s="347" t="s">
        <v>2373</v>
      </c>
      <c r="N340" s="347" t="s">
        <v>2387</v>
      </c>
      <c r="O340" s="347" t="s">
        <v>1244</v>
      </c>
      <c r="P340" s="346" t="s">
        <v>5504</v>
      </c>
      <c r="Q340" s="347" t="s">
        <v>5276</v>
      </c>
      <c r="S340" s="346" t="s">
        <v>5850</v>
      </c>
      <c r="T340" s="346" t="str">
        <f t="shared" si="281"/>
        <v xml:space="preserve">Bard, Warlock, Wizard, </v>
      </c>
      <c r="U340" s="347" t="str">
        <f>$B340</f>
        <v>True Polymorph</v>
      </c>
      <c r="Y340" s="347" t="str">
        <f>$B340</f>
        <v>True Polymorph</v>
      </c>
      <c r="AD340" s="347" t="str">
        <f>$B340</f>
        <v>True Polymorph</v>
      </c>
      <c r="AE340" t="str">
        <f>IF(IFERROR(MATCH($B340,temp!A$4:A$13,0),0)&gt;0,T08_Spells!AE$2,"")</f>
        <v/>
      </c>
      <c r="AF340" t="str">
        <f>IF(IFERROR(MATCH($B340,temp!B$4:B$13,0),0)&gt;0,T08_Spells!AF$2,"")</f>
        <v/>
      </c>
      <c r="AG340" t="str">
        <f>IF(IFERROR(MATCH($B340,temp!C$4:C$13,0),0)&gt;0,T08_Spells!AG$2,"")</f>
        <v/>
      </c>
      <c r="AH340" t="str">
        <f>IF(IFERROR(MATCH($B340,temp!D$4:D$13,0),0)&gt;0,T08_Spells!AH$2,"")</f>
        <v/>
      </c>
      <c r="AI340" t="str">
        <f>IF(IFERROR(MATCH($B340,temp!E$4:E$13,0),0)&gt;0,T08_Spells!AI$2,"")</f>
        <v/>
      </c>
      <c r="AJ340" t="str">
        <f>IF(IFERROR(MATCH($B340,temp!F$4:F$13,0),0)&gt;0,T08_Spells!AJ$2,"")</f>
        <v/>
      </c>
      <c r="AK340" t="str">
        <f>IF(IFERROR(MATCH($B340,temp!G$4:G$13,0),0)&gt;0,T08_Spells!AK$2,"")</f>
        <v/>
      </c>
      <c r="AL340" t="str">
        <f>IF(IFERROR(MATCH($B340,temp!H$4:H$13,0),0)&gt;0,T08_Spells!AL$2,"")</f>
        <v/>
      </c>
      <c r="AM340" t="str">
        <f>IF(IFERROR(MATCH($B340,temp!I$4:I$13,0),0)&gt;0,T08_Spells!AM$2,"")</f>
        <v/>
      </c>
      <c r="AN340" t="str">
        <f>IF(IFERROR(MATCH($B340,temp!J$4:J$13,0),0)&gt;0,T08_Spells!AN$2,"")</f>
        <v/>
      </c>
      <c r="AO340" t="str">
        <f>IF(IFERROR(MATCH($B340,temp!K$4:K$13,0),0)&gt;0,T08_Spells!AO$2,"")</f>
        <v/>
      </c>
      <c r="AP340" t="str">
        <f>IF(IFERROR(MATCH($B340,temp!L$4:L$13,0),0)&gt;0,T08_Spells!AP$2,"")</f>
        <v/>
      </c>
      <c r="AQ340" t="str">
        <f>IF(IFERROR(MATCH($B340,temp!M$4:M$13,0),0)&gt;0,T08_Spells!AQ$2,"")</f>
        <v/>
      </c>
      <c r="AR340" t="str">
        <f>IF(IFERROR(MATCH($B340,temp!N$4:N$13,0),0)&gt;0,T08_Spells!AR$2,"")</f>
        <v/>
      </c>
      <c r="AS340" t="str">
        <f>IF(IFERROR(MATCH($B340,temp!O$4:O$13,0),0)&gt;0,T08_Spells!AS$2,"")</f>
        <v/>
      </c>
      <c r="AT340" t="str">
        <f>IF(IFERROR(MATCH($B340,temp!P$4:P$13,0),0)&gt;0,T08_Spells!AT$2,"")</f>
        <v/>
      </c>
      <c r="AU340" t="str">
        <f>IF(IFERROR(MATCH($B340,temp!Q$4:Q$13,0),0)&gt;0,T08_Spells!AU$2,"")</f>
        <v/>
      </c>
      <c r="AV340" t="str">
        <f>IF(IFERROR(MATCH($B340,temp!R$4:R$13,0),0)&gt;0,T08_Spells!AV$2,"")</f>
        <v/>
      </c>
      <c r="AW340" t="str">
        <f>IF(IFERROR(MATCH($B340,temp!S$4:S$13,0),0)&gt;0,T08_Spells!AW$2,"")</f>
        <v/>
      </c>
      <c r="AX340" t="str">
        <f>IF(IFERROR(MATCH($B340,temp!T$4:T$13,0),0)&gt;0,T08_Spells!AX$2,"")</f>
        <v/>
      </c>
      <c r="AY340" t="str">
        <f>IF(IFERROR(MATCH($B340,temp!U$4:U$13,0),0)&gt;0,T08_Spells!AY$2,"")</f>
        <v/>
      </c>
      <c r="AZ340" t="str">
        <f>IF(IFERROR(MATCH($B340,temp!V$4:V$13,0),0)&gt;0,T08_Spells!AZ$2,"")</f>
        <v/>
      </c>
      <c r="BA340" t="str">
        <f>IF(IFERROR(MATCH($B340,temp!W$4:W$13,0),0)&gt;0,T08_Spells!BA$2,"")</f>
        <v/>
      </c>
      <c r="BC340">
        <f>IF(IFERROR(SEARCH("Ranger",$T340,1),0)&gt;0,1,0)*IF(RangerMaxSpellLevel&gt;=$C340,1,0)*IF(IFERROR(MATCH(B340,Character_Creation!$X$79:$X$382,0),0)&gt;0,0,1)</f>
        <v>0</v>
      </c>
      <c r="BD340">
        <f>IF(BC340=0,0,1+COUNTIF(BD$3:BD339,"&gt;0"))</f>
        <v>0</v>
      </c>
      <c r="BE340" t="str">
        <f t="shared" si="311"/>
        <v/>
      </c>
      <c r="BF340" t="str">
        <f t="shared" si="283"/>
        <v/>
      </c>
      <c r="BH340">
        <f>IF(IFERROR(SEARCH("Sorcerer",$T340,1),0)&gt;0,1,0)*IF(SorcererMaxSpellLevel&gt;=$C340,1,0)*IF(IFERROR(MATCH(B340,Character_Creation!$J$380:$J$394,0),0)&gt;0,0,1)</f>
        <v>0</v>
      </c>
      <c r="BI340">
        <f>IF(BH340=0,0,1+COUNTIF(BI$3:BI339,"&gt;0"))</f>
        <v>0</v>
      </c>
      <c r="BJ340" t="str">
        <f t="shared" si="312"/>
        <v/>
      </c>
      <c r="BK340" t="str">
        <f t="shared" si="284"/>
        <v/>
      </c>
      <c r="BM340">
        <f>IF(OR(IFERROR(SEARCH("Warlock",$T340,1),0)&gt;0,IFERROR(SEARCH(WarlockPatron,$T340,1),0)&gt;0),1,0)*IF(WarlockMaxSpellLevel&gt;=$C340,1,0)*IF(IFERROR(MATCH(B340,Character_Creation!$J$361:$J$375,0),0)&gt;0,0,1)</f>
        <v>0</v>
      </c>
      <c r="BN340">
        <f>IF(BM340=0,0,1+COUNTIF(BN$3:BN339,"&gt;0"))</f>
        <v>0</v>
      </c>
      <c r="BO340" t="str">
        <f t="shared" si="313"/>
        <v/>
      </c>
      <c r="BP340" t="str">
        <f t="shared" si="285"/>
        <v/>
      </c>
      <c r="BR340">
        <f>IF(IFERROR(SEARCH("Eldritch Knight",$T340,1),0)&gt;0,1,0)*IF(EldritchKnightMaxSpellLevel&gt;=$C340,1,0)*IF(IFERROR(MATCH($B340,Character_Creation!$J$350:$J$356,0),0)&gt;0,0,1)*IF(Character_Creation!$M$338&gt;0,1,0)</f>
        <v>0</v>
      </c>
      <c r="BS340">
        <f>IF(BR340=0,0,1+COUNTIF(BS$3:BS339,"&gt;0"))</f>
        <v>0</v>
      </c>
      <c r="BT340" t="str">
        <f t="shared" si="314"/>
        <v/>
      </c>
      <c r="BU340" t="str">
        <f t="shared" si="286"/>
        <v/>
      </c>
      <c r="BW340">
        <f>IF(IFERROR(SEARCH("Arcane Trickster",$T340,1),0)&gt;0,1,0)*IF(ArcaneTricksterMaxSpellLevel&gt;=$C340,1,0)*IF(IFERROR(MATCH($B340,Character_Creation!$J$350:$J$356,0),0)&gt;0,0,1)*IF(Character_Creation!$T$338&gt;0,1,0)</f>
        <v>0</v>
      </c>
      <c r="BX340">
        <f>IF(BW340=0,0,1+COUNTIF(BX$3:BX339,"&gt;0"))</f>
        <v>0</v>
      </c>
      <c r="BY340" t="str">
        <f t="shared" si="315"/>
        <v/>
      </c>
      <c r="BZ340" t="str">
        <f t="shared" si="287"/>
        <v/>
      </c>
      <c r="CB340">
        <f>IF(IFERROR(SEARCH("Wizard",$T340,1),0)&gt;0,1,0)*IF(C340&lt;=ArcaneTricksterMaxSpellLevel,1,0)*IF(IFERROR(MATCH($B340,Character_Creation!$J$350:$J$356,0),0)&gt;0,0,1)*IF(Character_Creation!$T$350&gt;0,1,0)</f>
        <v>0</v>
      </c>
      <c r="CC340">
        <f>IF(CB340=0,0,1+COUNTIF(CC$3:CC339,"&gt;0"))</f>
        <v>0</v>
      </c>
      <c r="CD340" t="str">
        <f t="shared" si="316"/>
        <v/>
      </c>
      <c r="CE340" t="str">
        <f t="shared" si="288"/>
        <v/>
      </c>
      <c r="CG340">
        <f>IF(IFERROR(SEARCH("Wizard",$T340,1),0)&gt;0,1,0)*IF($C340&lt;=EldritchKnightMaxSpellLevel,1,0)*IF(IFERROR(MATCH($B340,Character_Creation!$J$350:$J$356,0),0)&gt;0,0,1)*IF(Character_Creation!$M$350&gt;0,1,0)</f>
        <v>0</v>
      </c>
      <c r="CH340">
        <f>IF(CG340=0,0,1+COUNTIF(CH$3:CH339,"&gt;0"))</f>
        <v>0</v>
      </c>
      <c r="CI340" t="str">
        <f t="shared" si="317"/>
        <v/>
      </c>
      <c r="CJ340" t="str">
        <f t="shared" si="289"/>
        <v/>
      </c>
      <c r="CL340">
        <f>IF(IFERROR(SEARCH("Bard",$T340,1),0)&gt;0,1,0)*IF(BardMaxSpellLevel&gt;=$C340,1,0)*IF(IFERROR(MATCH(B340,Character_Creation!$C$341:$F$362,0),0)&gt;0,0,1)*IF(IFERROR(MATCH($B340,Character_Creation!$C$341:$C$362,0),0)&gt;0,0,1)</f>
        <v>0</v>
      </c>
      <c r="CM340">
        <f>IF(CL340=0,0,1+COUNTIF(CM$3:CM339,"&gt;0"))</f>
        <v>0</v>
      </c>
      <c r="CN340" t="str">
        <f t="shared" si="318"/>
        <v/>
      </c>
      <c r="CO340" t="str">
        <f t="shared" si="290"/>
        <v/>
      </c>
      <c r="CQ340">
        <f>IF(IFERROR(SEARCH("Wizard",$T340,1),0)&gt;0,1,0)*IF(WizardMaxSpellLevel&gt;=$C340,1,0)*IF(IFERROR(MATCH(B340,Character_Creation!$X$341:$X$400,0),0)&gt;0,0,1)*IF(SelectedWizardSpellLevel=$C340,1,0)</f>
        <v>0</v>
      </c>
      <c r="CR340">
        <f>IF(CQ340=0,0,1+COUNTIF(CR$3:CR339,"&gt;0"))</f>
        <v>0</v>
      </c>
      <c r="CS340" t="str">
        <f t="shared" si="319"/>
        <v/>
      </c>
      <c r="CT340" t="str">
        <f t="shared" si="291"/>
        <v/>
      </c>
      <c r="CV340">
        <f>IF(IFERROR(MATCH($B340,Character_Creation!$C$341:$C$362,0),0)&gt;0,0,1)*IF(OR(C340="Cantrip",C340&lt;=BardMaxSpellLevel),1,0)*IF(IFERROR(MATCH($B340,Character_Creation!$C$367:$C$374,0),0)&gt;0,0,1)</f>
        <v>0</v>
      </c>
      <c r="CW340">
        <f>IF(CV340=0,0,1+COUNTIF(CW$3:CW339,"&gt;0"))</f>
        <v>0</v>
      </c>
      <c r="CX340" t="str">
        <f t="shared" si="320"/>
        <v/>
      </c>
      <c r="CY340" t="str">
        <f t="shared" si="292"/>
        <v/>
      </c>
      <c r="DA340">
        <f>IF(IF(OR(IFERROR(SEARCH("Cleric",$T340,1),0)&gt;0,IFERROR(SEARCH(DivineDomain&amp;",",$T340,1),0)&gt;0),1,0)*IF($C340=DA$2,1,0)=1,1+COUNTIF(DA$3:DA339,"&gt;0"),0)</f>
        <v>0</v>
      </c>
      <c r="DB340">
        <f>IF(IF(OR(IFERROR(SEARCH("Cleric",$T340,1),0)&gt;0,IFERROR(SEARCH(DivineDomain&amp;",",$T340,1),0)&gt;0),1,0)*IF($C340=DB$2,1,0)=1,1+COUNTIF(DB$3:DB339,"&gt;0"),0)</f>
        <v>0</v>
      </c>
      <c r="DC340">
        <f>IF(IF(OR(IFERROR(SEARCH("Cleric",$T340,1),0)&gt;0,IFERROR(SEARCH(DivineDomain&amp;",",$T340,1),0)&gt;0),1,0)*IF($C340=DC$2,1,0)=1,1+COUNTIF(DC$3:DC339,"&gt;0"),0)</f>
        <v>0</v>
      </c>
      <c r="DD340">
        <f>IF(IF(OR(IFERROR(SEARCH("Cleric",$T340,1),0)&gt;0,IFERROR(SEARCH(DivineDomain&amp;",",$T340,1),0)&gt;0),1,0)*IF($C340=DD$2,1,0)=1,1+COUNTIF(DD$3:DD339,"&gt;0"),0)</f>
        <v>0</v>
      </c>
      <c r="DE340">
        <f>IF(IF(OR(IFERROR(SEARCH("Cleric",$T340,1),0)&gt;0,IFERROR(SEARCH(DivineDomain&amp;",",$T340,1),0)&gt;0),1,0)*IF($C340=DE$2,1,0)=1,1+COUNTIF(DE$3:DE339,"&gt;0"),0)</f>
        <v>0</v>
      </c>
      <c r="DF340">
        <f>IF(IF(OR(IFERROR(SEARCH("Cleric",$T340,1),0)&gt;0,IFERROR(SEARCH(DivineDomain&amp;",",$T340,1),0)&gt;0),1,0)*IF($C340=DF$2,1,0)=1,1+COUNTIF(DF$3:DF339,"&gt;0"),0)</f>
        <v>0</v>
      </c>
      <c r="DG340">
        <f>IF(IF(OR(IFERROR(SEARCH("Cleric",$T340,1),0)&gt;0,IFERROR(SEARCH(DivineDomain&amp;",",$T340,1),0)&gt;0),1,0)*IF($C340=DG$2,1,0)=1,1+COUNTIF(DG$3:DG339,"&gt;0"),0)</f>
        <v>0</v>
      </c>
      <c r="DH340">
        <f>IF(IF(OR(IFERROR(SEARCH("Cleric",$T340,1),0)&gt;0,IFERROR(SEARCH(DivineDomain&amp;",",$T340,1),0)&gt;0),1,0)*IF($C340=DH$2,1,0)=1,1+COUNTIF(DH$3:DH339,"&gt;0"),0)</f>
        <v>0</v>
      </c>
      <c r="DI340">
        <f>IF(IF(OR(IFERROR(SEARCH("Cleric",$T340,1),0)&gt;0,IFERROR(SEARCH(DivineDomain&amp;",",$T340,1),0)&gt;0),1,0)*IF($C340=DI$2,1,0)=1,1+COUNTIF(DI$3:DI339,"&gt;0"),0)</f>
        <v>0</v>
      </c>
      <c r="DJ340">
        <f>IF(IF(OR(IFERROR(SEARCH("Druid",$T340,1),0)&gt;0,IFERROR(SEARCH(DruidLand1,$T340,1),0)&gt;0,IFERROR(SEARCH(DruidLand2,$T340,1),0)&gt;0,IFERROR(SEARCH(DruidLand3,$T340,1),0)&gt;0,IFERROR(SEARCH(DruidLand4,$T340,1),0)&gt;0),1,0)*IF($C340=1,1,0)*IF($C340=DJ$2,1,0)=0,0,1+COUNTIF(DJ$3:DJ339,"&gt;0"))</f>
        <v>0</v>
      </c>
      <c r="DK340">
        <f>IF(IF(OR(IFERROR(SEARCH("Druid",$T340,1),0)&gt;0,IFERROR(SEARCH(DruidLand1,$T340,1),0)&gt;0,IFERROR(SEARCH(DruidLand2,$T340,1),0)&gt;0,IFERROR(SEARCH(DruidLand3,$T340,1),0)&gt;0,IFERROR(SEARCH(DruidLand4,$T340,1),0)&gt;0),1,0)*IF($C340=1,1,0)*IF($C340=DK$2,1,0)=0,0,1+COUNTIF(DK$3:DK339,"&gt;0"))</f>
        <v>0</v>
      </c>
      <c r="DL340">
        <f>IF(IF(OR(IFERROR(SEARCH("Druid",$T340,1),0)&gt;0,IFERROR(SEARCH(DruidLand1,$T340,1),0)&gt;0,IFERROR(SEARCH(DruidLand2,$T340,1),0)&gt;0,IFERROR(SEARCH(DruidLand3,$T340,1),0)&gt;0,IFERROR(SEARCH(DruidLand4,$T340,1),0)&gt;0),1,0)*IF($C340=1,1,0)*IF($C340=DL$2,1,0)=0,0,1+COUNTIF(DL$3:DL339,"&gt;0"))</f>
        <v>0</v>
      </c>
      <c r="DM340">
        <f>IF(IF(OR(IFERROR(SEARCH("Druid",$T340,1),0)&gt;0,IFERROR(SEARCH(DruidLand1,$T340,1),0)&gt;0,IFERROR(SEARCH(DruidLand2,$T340,1),0)&gt;0,IFERROR(SEARCH(DruidLand3,$T340,1),0)&gt;0,IFERROR(SEARCH(DruidLand4,$T340,1),0)&gt;0),1,0)*IF($C340=1,1,0)*IF($C340=DM$2,1,0)=0,0,1+COUNTIF(DM$3:DM339,"&gt;0"))</f>
        <v>0</v>
      </c>
      <c r="DN340">
        <f>IF(IF(OR(IFERROR(SEARCH("Druid",$T340,1),0)&gt;0,IFERROR(SEARCH(DruidLand1,$T340,1),0)&gt;0,IFERROR(SEARCH(DruidLand2,$T340,1),0)&gt;0,IFERROR(SEARCH(DruidLand3,$T340,1),0)&gt;0,IFERROR(SEARCH(DruidLand4,$T340,1),0)&gt;0),1,0)*IF($C340=1,1,0)*IF($C340=DN$2,1,0)=0,0,1+COUNTIF(DN$3:DN339,"&gt;0"))</f>
        <v>0</v>
      </c>
      <c r="DO340">
        <f>IF(IF(OR(IFERROR(SEARCH("Druid",$T340,1),0)&gt;0,IFERROR(SEARCH(DruidLand1,$T340,1),0)&gt;0,IFERROR(SEARCH(DruidLand2,$T340,1),0)&gt;0,IFERROR(SEARCH(DruidLand3,$T340,1),0)&gt;0,IFERROR(SEARCH(DruidLand4,$T340,1),0)&gt;0),1,0)*IF($C340=1,1,0)*IF($C340=DO$2,1,0)=0,0,1+COUNTIF(DO$3:DO339,"&gt;0"))</f>
        <v>0</v>
      </c>
      <c r="DP340">
        <f>IF(IF(OR(IFERROR(SEARCH("Druid",$T340,1),0)&gt;0,IFERROR(SEARCH(DruidLand1,$T340,1),0)&gt;0,IFERROR(SEARCH(DruidLand2,$T340,1),0)&gt;0,IFERROR(SEARCH(DruidLand3,$T340,1),0)&gt;0,IFERROR(SEARCH(DruidLand4,$T340,1),0)&gt;0),1,0)*IF($C340=1,1,0)*IF($C340=DP$2,1,0)=0,0,1+COUNTIF(DP$3:DP339,"&gt;0"))</f>
        <v>0</v>
      </c>
      <c r="DQ340">
        <f>IF(IF(OR(IFERROR(SEARCH("Druid",$T340,1),0)&gt;0,IFERROR(SEARCH(DruidLand1,$T340,1),0)&gt;0,IFERROR(SEARCH(DruidLand2,$T340,1),0)&gt;0,IFERROR(SEARCH(DruidLand3,$T340,1),0)&gt;0,IFERROR(SEARCH(DruidLand4,$T340,1),0)&gt;0),1,0)*IF($C340=1,1,0)*IF($C340=DQ$2,1,0)=0,0,1+COUNTIF(DQ$3:DQ339,"&gt;0"))</f>
        <v>0</v>
      </c>
      <c r="DR340">
        <f>IF(IF(OR(IFERROR(SEARCH("Druid",$T340,1),0)&gt;0,IFERROR(SEARCH(DruidLand1,$T340,1),0)&gt;0,IFERROR(SEARCH(DruidLand2,$T340,1),0)&gt;0,IFERROR(SEARCH(DruidLand3,$T340,1),0)&gt;0,IFERROR(SEARCH(DruidLand4,$T340,1),0)&gt;0),1,0)*IF($C340=1,1,0)*IF($C340=DR$2,1,0)=0,0,1+COUNTIF(DR$3:DR339,"&gt;0"))</f>
        <v>0</v>
      </c>
      <c r="DS340">
        <f>IF(IF(OR(IFERROR(SEARCH("Paladin",$T340,1),0)&gt;0,IFERROR(SEARCH(PaladinOath,$T340,1),0)&gt;0),1,0)*IF($C340=DS$2,1,0)=1,1+COUNTIF(DS$3:DS339,"&gt;0"),0)</f>
        <v>0</v>
      </c>
      <c r="DT340">
        <f>IF(IF(OR(IFERROR(SEARCH("Paladin",$T340,1),0)&gt;0,IFERROR(SEARCH(PaladinOath,$T340,1),0)&gt;0),1,0)*IF($C340=DT$2,1,0)=1,1+COUNTIF(DT$3:DT339,"&gt;0"),0)</f>
        <v>0</v>
      </c>
      <c r="DU340">
        <f>IF(IF(OR(IFERROR(SEARCH("Paladin",$T340,1),0)&gt;0,IFERROR(SEARCH(PaladinOath,$T340,1),0)&gt;0),1,0)*IF($C340=DU$2,1,0)=1,1+COUNTIF(DU$3:DU339,"&gt;0"),0)</f>
        <v>0</v>
      </c>
      <c r="DV340">
        <f>IF(IF(OR(IFERROR(SEARCH("Paladin",$T340,1),0)&gt;0,IFERROR(SEARCH(PaladinOath,$T340,1),0)&gt;0),1,0)*IF($C340=DV$2,1,0)=1,1+COUNTIF(DV$3:DV339,"&gt;0"),0)</f>
        <v>0</v>
      </c>
      <c r="DW340">
        <f>IF(IF(OR(IFERROR(SEARCH("Paladin",$T340,1),0)&gt;0,IFERROR(SEARCH(PaladinOath,$T340,1),0)&gt;0),1,0)*IF($C340=DW$2,1,0)=1,1+COUNTIF(DW$3:DW339,"&gt;0"),0)</f>
        <v>0</v>
      </c>
      <c r="DY340">
        <f t="shared" si="278"/>
        <v>1</v>
      </c>
      <c r="DZ340">
        <f>IF(DY340=0,0,1+MAX(DZ$3:$DZ339))</f>
        <v>338</v>
      </c>
      <c r="EB340">
        <f t="shared" si="293"/>
        <v>0</v>
      </c>
      <c r="EC340">
        <f>IF(EB340=0,0,1+COUNTIF(EC$3:EC339,"&gt;0"))</f>
        <v>0</v>
      </c>
      <c r="ED340" t="str">
        <f t="shared" si="321"/>
        <v/>
      </c>
      <c r="EE340" t="str">
        <f t="shared" si="294"/>
        <v/>
      </c>
      <c r="EG340">
        <f t="shared" si="295"/>
        <v>0</v>
      </c>
      <c r="EH340">
        <f>IF(EG340=0,0,1+COUNTIF(EH$3:EH339,"&gt;0"))</f>
        <v>0</v>
      </c>
      <c r="EI340" t="str">
        <f t="shared" si="322"/>
        <v/>
      </c>
      <c r="EJ340" t="str">
        <f t="shared" si="296"/>
        <v/>
      </c>
      <c r="EL340">
        <f t="shared" si="297"/>
        <v>0</v>
      </c>
      <c r="EM340">
        <f>IF(EL340=0,0,1+COUNTIF(EM$3:EM339,"&gt;0"))</f>
        <v>0</v>
      </c>
      <c r="EN340" t="str">
        <f t="shared" si="323"/>
        <v/>
      </c>
      <c r="EO340" t="str">
        <f t="shared" si="298"/>
        <v/>
      </c>
      <c r="EQ340">
        <f t="shared" si="299"/>
        <v>0</v>
      </c>
      <c r="ER340">
        <f>IF(EQ340=0,0,1+COUNTIF(ER$3:ER339,"&gt;0"))</f>
        <v>0</v>
      </c>
      <c r="ES340" t="str">
        <f t="shared" si="324"/>
        <v/>
      </c>
      <c r="ET340" t="str">
        <f t="shared" si="300"/>
        <v/>
      </c>
      <c r="EV340">
        <f t="shared" si="301"/>
        <v>0</v>
      </c>
      <c r="EW340">
        <f>IF(EV340=0,0,1+COUNTIF(EW$3:EW339,"&gt;0"))</f>
        <v>0</v>
      </c>
      <c r="EX340" t="str">
        <f t="shared" si="325"/>
        <v/>
      </c>
      <c r="EY340" t="str">
        <f t="shared" si="302"/>
        <v/>
      </c>
      <c r="FA340">
        <f t="shared" si="303"/>
        <v>0</v>
      </c>
      <c r="FB340">
        <f>IF(FA340=0,0,1+COUNTIF(FB$3:FB339,"&gt;0"))</f>
        <v>0</v>
      </c>
      <c r="FC340" t="str">
        <f t="shared" si="326"/>
        <v/>
      </c>
      <c r="FD340" t="str">
        <f t="shared" si="304"/>
        <v/>
      </c>
      <c r="FF340">
        <f t="shared" si="305"/>
        <v>0</v>
      </c>
      <c r="FG340">
        <f>IF(FF340=0,0,1+COUNTIF(FG$3:FG339,"&gt;0"))</f>
        <v>0</v>
      </c>
      <c r="FH340" t="str">
        <f t="shared" si="327"/>
        <v/>
      </c>
      <c r="FI340" t="str">
        <f t="shared" si="306"/>
        <v/>
      </c>
      <c r="FK340">
        <f t="shared" si="307"/>
        <v>0</v>
      </c>
      <c r="FL340">
        <f>IF(FK340=0,0,1+COUNTIF(FL$3:FL339,"&gt;0"))</f>
        <v>0</v>
      </c>
      <c r="FM340" t="str">
        <f t="shared" si="328"/>
        <v/>
      </c>
      <c r="FN340" t="str">
        <f t="shared" si="308"/>
        <v/>
      </c>
      <c r="FP340">
        <f t="shared" si="309"/>
        <v>0</v>
      </c>
      <c r="FQ340">
        <f>IF(FP340=0,0,1+COUNTIF(FQ$3:FQ339,"&gt;0"))</f>
        <v>0</v>
      </c>
      <c r="FR340" t="str">
        <f t="shared" si="329"/>
        <v/>
      </c>
      <c r="FS340" t="str">
        <f t="shared" si="310"/>
        <v/>
      </c>
    </row>
    <row r="341" spans="1:175" x14ac:dyDescent="0.25">
      <c r="A341" s="347">
        <f t="shared" si="331"/>
        <v>339</v>
      </c>
      <c r="B341" s="348" t="s">
        <v>2740</v>
      </c>
      <c r="C341" s="348">
        <v>9</v>
      </c>
      <c r="D341" s="347">
        <v>9</v>
      </c>
      <c r="E341" s="627" t="s">
        <v>6952</v>
      </c>
      <c r="F341" s="346"/>
      <c r="G341" s="347" t="str">
        <f>""</f>
        <v/>
      </c>
      <c r="H341" s="347" t="s">
        <v>5293</v>
      </c>
      <c r="I341" s="347" t="s">
        <v>5298</v>
      </c>
      <c r="J341" s="347" t="str">
        <f t="shared" si="279"/>
        <v/>
      </c>
      <c r="K341" s="347" t="s">
        <v>5278</v>
      </c>
      <c r="L341" s="611" t="str">
        <f t="shared" si="280"/>
        <v>V, S, M, a sprinkle of holy water and diamonds worth at least 25,000 gp, which the spell consumes</v>
      </c>
      <c r="M341" s="347" t="s">
        <v>2373</v>
      </c>
      <c r="N341" s="347" t="s">
        <v>2387</v>
      </c>
      <c r="O341" s="347" t="s">
        <v>1244</v>
      </c>
      <c r="P341" s="346" t="s">
        <v>5505</v>
      </c>
      <c r="Q341" s="347" t="s">
        <v>5275</v>
      </c>
      <c r="S341" s="346" t="s">
        <v>5851</v>
      </c>
      <c r="T341" s="346" t="str">
        <f t="shared" si="281"/>
        <v xml:space="preserve">Cleric, Druid, </v>
      </c>
      <c r="Z341" s="347" t="str">
        <f>$B341</f>
        <v>True Resurrection</v>
      </c>
      <c r="AA341" s="347" t="str">
        <f>$B341</f>
        <v>True Resurrection</v>
      </c>
      <c r="AE341" t="str">
        <f>IF(IFERROR(MATCH($B341,temp!A$4:A$13,0),0)&gt;0,T08_Spells!AE$2,"")</f>
        <v/>
      </c>
      <c r="AF341" t="str">
        <f>IF(IFERROR(MATCH($B341,temp!B$4:B$13,0),0)&gt;0,T08_Spells!AF$2,"")</f>
        <v/>
      </c>
      <c r="AG341" t="str">
        <f>IF(IFERROR(MATCH($B341,temp!C$4:C$13,0),0)&gt;0,T08_Spells!AG$2,"")</f>
        <v/>
      </c>
      <c r="AH341" t="str">
        <f>IF(IFERROR(MATCH($B341,temp!D$4:D$13,0),0)&gt;0,T08_Spells!AH$2,"")</f>
        <v/>
      </c>
      <c r="AI341" t="str">
        <f>IF(IFERROR(MATCH($B341,temp!E$4:E$13,0),0)&gt;0,T08_Spells!AI$2,"")</f>
        <v/>
      </c>
      <c r="AJ341" t="str">
        <f>IF(IFERROR(MATCH($B341,temp!F$4:F$13,0),0)&gt;0,T08_Spells!AJ$2,"")</f>
        <v/>
      </c>
      <c r="AK341" t="str">
        <f>IF(IFERROR(MATCH($B341,temp!G$4:G$13,0),0)&gt;0,T08_Spells!AK$2,"")</f>
        <v/>
      </c>
      <c r="AL341" t="str">
        <f>IF(IFERROR(MATCH($B341,temp!H$4:H$13,0),0)&gt;0,T08_Spells!AL$2,"")</f>
        <v/>
      </c>
      <c r="AM341" t="str">
        <f>IF(IFERROR(MATCH($B341,temp!I$4:I$13,0),0)&gt;0,T08_Spells!AM$2,"")</f>
        <v/>
      </c>
      <c r="AN341" t="str">
        <f>IF(IFERROR(MATCH($B341,temp!J$4:J$13,0),0)&gt;0,T08_Spells!AN$2,"")</f>
        <v/>
      </c>
      <c r="AO341" t="str">
        <f>IF(IFERROR(MATCH($B341,temp!K$4:K$13,0),0)&gt;0,T08_Spells!AO$2,"")</f>
        <v/>
      </c>
      <c r="AP341" t="str">
        <f>IF(IFERROR(MATCH($B341,temp!L$4:L$13,0),0)&gt;0,T08_Spells!AP$2,"")</f>
        <v/>
      </c>
      <c r="AQ341" t="str">
        <f>IF(IFERROR(MATCH($B341,temp!M$4:M$13,0),0)&gt;0,T08_Spells!AQ$2,"")</f>
        <v/>
      </c>
      <c r="AR341" t="str">
        <f>IF(IFERROR(MATCH($B341,temp!N$4:N$13,0),0)&gt;0,T08_Spells!AR$2,"")</f>
        <v/>
      </c>
      <c r="AS341" t="str">
        <f>IF(IFERROR(MATCH($B341,temp!O$4:O$13,0),0)&gt;0,T08_Spells!AS$2,"")</f>
        <v/>
      </c>
      <c r="AT341" t="str">
        <f>IF(IFERROR(MATCH($B341,temp!P$4:P$13,0),0)&gt;0,T08_Spells!AT$2,"")</f>
        <v/>
      </c>
      <c r="AU341" t="str">
        <f>IF(IFERROR(MATCH($B341,temp!Q$4:Q$13,0),0)&gt;0,T08_Spells!AU$2,"")</f>
        <v/>
      </c>
      <c r="AV341" t="str">
        <f>IF(IFERROR(MATCH($B341,temp!R$4:R$13,0),0)&gt;0,T08_Spells!AV$2,"")</f>
        <v/>
      </c>
      <c r="AW341" t="str">
        <f>IF(IFERROR(MATCH($B341,temp!S$4:S$13,0),0)&gt;0,T08_Spells!AW$2,"")</f>
        <v/>
      </c>
      <c r="AX341" t="str">
        <f>IF(IFERROR(MATCH($B341,temp!T$4:T$13,0),0)&gt;0,T08_Spells!AX$2,"")</f>
        <v/>
      </c>
      <c r="AY341" t="str">
        <f>IF(IFERROR(MATCH($B341,temp!U$4:U$13,0),0)&gt;0,T08_Spells!AY$2,"")</f>
        <v/>
      </c>
      <c r="AZ341" t="str">
        <f>IF(IFERROR(MATCH($B341,temp!V$4:V$13,0),0)&gt;0,T08_Spells!AZ$2,"")</f>
        <v/>
      </c>
      <c r="BA341" t="str">
        <f>IF(IFERROR(MATCH($B341,temp!W$4:W$13,0),0)&gt;0,T08_Spells!BA$2,"")</f>
        <v/>
      </c>
      <c r="BC341">
        <f>IF(IFERROR(SEARCH("Ranger",$T341,1),0)&gt;0,1,0)*IF(RangerMaxSpellLevel&gt;=$C341,1,0)*IF(IFERROR(MATCH(B341,Character_Creation!$X$79:$X$382,0),0)&gt;0,0,1)</f>
        <v>0</v>
      </c>
      <c r="BD341">
        <f>IF(BC341=0,0,1+COUNTIF(BD$3:BD340,"&gt;0"))</f>
        <v>0</v>
      </c>
      <c r="BE341" t="str">
        <f t="shared" si="311"/>
        <v/>
      </c>
      <c r="BF341" t="str">
        <f t="shared" si="283"/>
        <v/>
      </c>
      <c r="BH341">
        <f>IF(IFERROR(SEARCH("Sorcerer",$T341,1),0)&gt;0,1,0)*IF(SorcererMaxSpellLevel&gt;=$C341,1,0)*IF(IFERROR(MATCH(B341,Character_Creation!$J$380:$J$394,0),0)&gt;0,0,1)</f>
        <v>0</v>
      </c>
      <c r="BI341">
        <f>IF(BH341=0,0,1+COUNTIF(BI$3:BI340,"&gt;0"))</f>
        <v>0</v>
      </c>
      <c r="BJ341" t="str">
        <f t="shared" si="312"/>
        <v/>
      </c>
      <c r="BK341" t="str">
        <f t="shared" si="284"/>
        <v/>
      </c>
      <c r="BM341">
        <f>IF(OR(IFERROR(SEARCH("Warlock",$T341,1),0)&gt;0,IFERROR(SEARCH(WarlockPatron,$T341,1),0)&gt;0),1,0)*IF(WarlockMaxSpellLevel&gt;=$C341,1,0)*IF(IFERROR(MATCH(B341,Character_Creation!$J$361:$J$375,0),0)&gt;0,0,1)</f>
        <v>0</v>
      </c>
      <c r="BN341">
        <f>IF(BM341=0,0,1+COUNTIF(BN$3:BN340,"&gt;0"))</f>
        <v>0</v>
      </c>
      <c r="BO341" t="str">
        <f t="shared" si="313"/>
        <v/>
      </c>
      <c r="BP341" t="str">
        <f t="shared" si="285"/>
        <v/>
      </c>
      <c r="BR341">
        <f>IF(IFERROR(SEARCH("Eldritch Knight",$T341,1),0)&gt;0,1,0)*IF(EldritchKnightMaxSpellLevel&gt;=$C341,1,0)*IF(IFERROR(MATCH($B341,Character_Creation!$J$350:$J$356,0),0)&gt;0,0,1)*IF(Character_Creation!$M$338&gt;0,1,0)</f>
        <v>0</v>
      </c>
      <c r="BS341">
        <f>IF(BR341=0,0,1+COUNTIF(BS$3:BS340,"&gt;0"))</f>
        <v>0</v>
      </c>
      <c r="BT341" t="str">
        <f t="shared" si="314"/>
        <v/>
      </c>
      <c r="BU341" t="str">
        <f t="shared" si="286"/>
        <v/>
      </c>
      <c r="BW341">
        <f>IF(IFERROR(SEARCH("Arcane Trickster",$T341,1),0)&gt;0,1,0)*IF(ArcaneTricksterMaxSpellLevel&gt;=$C341,1,0)*IF(IFERROR(MATCH($B341,Character_Creation!$J$350:$J$356,0),0)&gt;0,0,1)*IF(Character_Creation!$T$338&gt;0,1,0)</f>
        <v>0</v>
      </c>
      <c r="BX341">
        <f>IF(BW341=0,0,1+COUNTIF(BX$3:BX340,"&gt;0"))</f>
        <v>0</v>
      </c>
      <c r="BY341" t="str">
        <f t="shared" si="315"/>
        <v/>
      </c>
      <c r="BZ341" t="str">
        <f t="shared" si="287"/>
        <v/>
      </c>
      <c r="CB341">
        <f>IF(IFERROR(SEARCH("Wizard",$T341,1),0)&gt;0,1,0)*IF(C341&lt;=ArcaneTricksterMaxSpellLevel,1,0)*IF(IFERROR(MATCH($B341,Character_Creation!$J$350:$J$356,0),0)&gt;0,0,1)*IF(Character_Creation!$T$350&gt;0,1,0)</f>
        <v>0</v>
      </c>
      <c r="CC341">
        <f>IF(CB341=0,0,1+COUNTIF(CC$3:CC340,"&gt;0"))</f>
        <v>0</v>
      </c>
      <c r="CD341" t="str">
        <f t="shared" si="316"/>
        <v/>
      </c>
      <c r="CE341" t="str">
        <f t="shared" si="288"/>
        <v/>
      </c>
      <c r="CG341">
        <f>IF(IFERROR(SEARCH("Wizard",$T341,1),0)&gt;0,1,0)*IF($C341&lt;=EldritchKnightMaxSpellLevel,1,0)*IF(IFERROR(MATCH($B341,Character_Creation!$J$350:$J$356,0),0)&gt;0,0,1)*IF(Character_Creation!$M$350&gt;0,1,0)</f>
        <v>0</v>
      </c>
      <c r="CH341">
        <f>IF(CG341=0,0,1+COUNTIF(CH$3:CH340,"&gt;0"))</f>
        <v>0</v>
      </c>
      <c r="CI341" t="str">
        <f t="shared" si="317"/>
        <v/>
      </c>
      <c r="CJ341" t="str">
        <f t="shared" si="289"/>
        <v/>
      </c>
      <c r="CL341">
        <f>IF(IFERROR(SEARCH("Bard",$T341,1),0)&gt;0,1,0)*IF(BardMaxSpellLevel&gt;=$C341,1,0)*IF(IFERROR(MATCH(B341,Character_Creation!$C$341:$F$362,0),0)&gt;0,0,1)*IF(IFERROR(MATCH($B341,Character_Creation!$C$341:$C$362,0),0)&gt;0,0,1)</f>
        <v>0</v>
      </c>
      <c r="CM341">
        <f>IF(CL341=0,0,1+COUNTIF(CM$3:CM340,"&gt;0"))</f>
        <v>0</v>
      </c>
      <c r="CN341" t="str">
        <f t="shared" si="318"/>
        <v/>
      </c>
      <c r="CO341" t="str">
        <f t="shared" si="290"/>
        <v/>
      </c>
      <c r="CQ341">
        <f>IF(IFERROR(SEARCH("Wizard",$T341,1),0)&gt;0,1,0)*IF(WizardMaxSpellLevel&gt;=$C341,1,0)*IF(IFERROR(MATCH(B341,Character_Creation!$X$341:$X$400,0),0)&gt;0,0,1)*IF(SelectedWizardSpellLevel=$C341,1,0)</f>
        <v>0</v>
      </c>
      <c r="CR341">
        <f>IF(CQ341=0,0,1+COUNTIF(CR$3:CR340,"&gt;0"))</f>
        <v>0</v>
      </c>
      <c r="CS341" t="str">
        <f t="shared" si="319"/>
        <v/>
      </c>
      <c r="CT341" t="str">
        <f t="shared" si="291"/>
        <v/>
      </c>
      <c r="CV341">
        <f>IF(IFERROR(MATCH($B341,Character_Creation!$C$341:$C$362,0),0)&gt;0,0,1)*IF(OR(C341="Cantrip",C341&lt;=BardMaxSpellLevel),1,0)*IF(IFERROR(MATCH($B341,Character_Creation!$C$367:$C$374,0),0)&gt;0,0,1)</f>
        <v>0</v>
      </c>
      <c r="CW341">
        <f>IF(CV341=0,0,1+COUNTIF(CW$3:CW340,"&gt;0"))</f>
        <v>0</v>
      </c>
      <c r="CX341" t="str">
        <f t="shared" si="320"/>
        <v/>
      </c>
      <c r="CY341" t="str">
        <f t="shared" si="292"/>
        <v/>
      </c>
      <c r="DA341">
        <f>IF(IF(OR(IFERROR(SEARCH("Cleric",$T341,1),0)&gt;0,IFERROR(SEARCH(DivineDomain&amp;",",$T341,1),0)&gt;0),1,0)*IF($C341=DA$2,1,0)=1,1+COUNTIF(DA$3:DA340,"&gt;0"),0)</f>
        <v>0</v>
      </c>
      <c r="DB341">
        <f>IF(IF(OR(IFERROR(SEARCH("Cleric",$T341,1),0)&gt;0,IFERROR(SEARCH(DivineDomain&amp;",",$T341,1),0)&gt;0),1,0)*IF($C341=DB$2,1,0)=1,1+COUNTIF(DB$3:DB340,"&gt;0"),0)</f>
        <v>0</v>
      </c>
      <c r="DC341">
        <f>IF(IF(OR(IFERROR(SEARCH("Cleric",$T341,1),0)&gt;0,IFERROR(SEARCH(DivineDomain&amp;",",$T341,1),0)&gt;0),1,0)*IF($C341=DC$2,1,0)=1,1+COUNTIF(DC$3:DC340,"&gt;0"),0)</f>
        <v>0</v>
      </c>
      <c r="DD341">
        <f>IF(IF(OR(IFERROR(SEARCH("Cleric",$T341,1),0)&gt;0,IFERROR(SEARCH(DivineDomain&amp;",",$T341,1),0)&gt;0),1,0)*IF($C341=DD$2,1,0)=1,1+COUNTIF(DD$3:DD340,"&gt;0"),0)</f>
        <v>0</v>
      </c>
      <c r="DE341">
        <f>IF(IF(OR(IFERROR(SEARCH("Cleric",$T341,1),0)&gt;0,IFERROR(SEARCH(DivineDomain&amp;",",$T341,1),0)&gt;0),1,0)*IF($C341=DE$2,1,0)=1,1+COUNTIF(DE$3:DE340,"&gt;0"),0)</f>
        <v>0</v>
      </c>
      <c r="DF341">
        <f>IF(IF(OR(IFERROR(SEARCH("Cleric",$T341,1),0)&gt;0,IFERROR(SEARCH(DivineDomain&amp;",",$T341,1),0)&gt;0),1,0)*IF($C341=DF$2,1,0)=1,1+COUNTIF(DF$3:DF340,"&gt;0"),0)</f>
        <v>0</v>
      </c>
      <c r="DG341">
        <f>IF(IF(OR(IFERROR(SEARCH("Cleric",$T341,1),0)&gt;0,IFERROR(SEARCH(DivineDomain&amp;",",$T341,1),0)&gt;0),1,0)*IF($C341=DG$2,1,0)=1,1+COUNTIF(DG$3:DG340,"&gt;0"),0)</f>
        <v>0</v>
      </c>
      <c r="DH341">
        <f>IF(IF(OR(IFERROR(SEARCH("Cleric",$T341,1),0)&gt;0,IFERROR(SEARCH(DivineDomain&amp;",",$T341,1),0)&gt;0),1,0)*IF($C341=DH$2,1,0)=1,1+COUNTIF(DH$3:DH340,"&gt;0"),0)</f>
        <v>0</v>
      </c>
      <c r="DI341">
        <f>IF(IF(OR(IFERROR(SEARCH("Cleric",$T341,1),0)&gt;0,IFERROR(SEARCH(DivineDomain&amp;",",$T341,1),0)&gt;0),1,0)*IF($C341=DI$2,1,0)=1,1+COUNTIF(DI$3:DI340,"&gt;0"),0)</f>
        <v>5</v>
      </c>
      <c r="DJ341">
        <f>IF(IF(OR(IFERROR(SEARCH("Druid",$T341,1),0)&gt;0,IFERROR(SEARCH(DruidLand1,$T341,1),0)&gt;0,IFERROR(SEARCH(DruidLand2,$T341,1),0)&gt;0,IFERROR(SEARCH(DruidLand3,$T341,1),0)&gt;0,IFERROR(SEARCH(DruidLand4,$T341,1),0)&gt;0),1,0)*IF($C341=1,1,0)*IF($C341=DJ$2,1,0)=0,0,1+COUNTIF(DJ$3:DJ340,"&gt;0"))</f>
        <v>0</v>
      </c>
      <c r="DK341">
        <f>IF(IF(OR(IFERROR(SEARCH("Druid",$T341,1),0)&gt;0,IFERROR(SEARCH(DruidLand1,$T341,1),0)&gt;0,IFERROR(SEARCH(DruidLand2,$T341,1),0)&gt;0,IFERROR(SEARCH(DruidLand3,$T341,1),0)&gt;0,IFERROR(SEARCH(DruidLand4,$T341,1),0)&gt;0),1,0)*IF($C341=DK$2,1,0)=0,0,1+COUNTIF(DK$3:DK340,"&gt;0"))</f>
        <v>0</v>
      </c>
      <c r="DL341">
        <f>IF(IF(OR(IFERROR(SEARCH("Druid",$T341,1),0)&gt;0,IFERROR(SEARCH(DruidLand1,$T341,1),0)&gt;0,IFERROR(SEARCH(DruidLand2,$T341,1),0)&gt;0,IFERROR(SEARCH(DruidLand3,$T341,1),0)&gt;0,IFERROR(SEARCH(DruidLand4,$T341,1),0)&gt;0),1,0)*IF($C341=DL$2,1,0)=0,0,1+COUNTIF(DL$3:DL340,"&gt;0"))</f>
        <v>0</v>
      </c>
      <c r="DM341">
        <f>IF(IF(OR(IFERROR(SEARCH("Druid",$T341,1),0)&gt;0,IFERROR(SEARCH(DruidLand1,$T341,1),0)&gt;0,IFERROR(SEARCH(DruidLand2,$T341,1),0)&gt;0,IFERROR(SEARCH(DruidLand3,$T341,1),0)&gt;0,IFERROR(SEARCH(DruidLand4,$T341,1),0)&gt;0),1,0)*IF($C341=DM$2,1,0)=0,0,1+COUNTIF(DM$3:DM340,"&gt;0"))</f>
        <v>0</v>
      </c>
      <c r="DN341">
        <f>IF(IF(OR(IFERROR(SEARCH("Druid",$T341,1),0)&gt;0,IFERROR(SEARCH(DruidLand1,$T341,1),0)&gt;0,IFERROR(SEARCH(DruidLand2,$T341,1),0)&gt;0,IFERROR(SEARCH(DruidLand3,$T341,1),0)&gt;0,IFERROR(SEARCH(DruidLand4,$T341,1),0)&gt;0),1,0)*IF($C341=DN$2,1,0)=0,0,1+COUNTIF(DN$3:DN340,"&gt;0"))</f>
        <v>0</v>
      </c>
      <c r="DO341">
        <f>IF(IF(OR(IFERROR(SEARCH("Druid",$T341,1),0)&gt;0,IFERROR(SEARCH(DruidLand1,$T341,1),0)&gt;0,IFERROR(SEARCH(DruidLand2,$T341,1),0)&gt;0,IFERROR(SEARCH(DruidLand3,$T341,1),0)&gt;0,IFERROR(SEARCH(DruidLand4,$T341,1),0)&gt;0),1,0)*IF($C341=DO$2,1,0)=0,0,1+COUNTIF(DO$3:DO340,"&gt;0"))</f>
        <v>0</v>
      </c>
      <c r="DP341">
        <f>IF(IF(OR(IFERROR(SEARCH("Druid",$T341,1),0)&gt;0,IFERROR(SEARCH(DruidLand1,$T341,1),0)&gt;0,IFERROR(SEARCH(DruidLand2,$T341,1),0)&gt;0,IFERROR(SEARCH(DruidLand3,$T341,1),0)&gt;0,IFERROR(SEARCH(DruidLand4,$T341,1),0)&gt;0),1,0)*IF($C341=DP$2,1,0)=0,0,1+COUNTIF(DP$3:DP340,"&gt;0"))</f>
        <v>0</v>
      </c>
      <c r="DQ341">
        <f>IF(IF(OR(IFERROR(SEARCH("Druid",$T341,1),0)&gt;0,IFERROR(SEARCH(DruidLand1,$T341,1),0)&gt;0,IFERROR(SEARCH(DruidLand2,$T341,1),0)&gt;0,IFERROR(SEARCH(DruidLand3,$T341,1),0)&gt;0,IFERROR(SEARCH(DruidLand4,$T341,1),0)&gt;0),1,0)*IF($C341=DQ$2,1,0)=0,0,1+COUNTIF(DQ$3:DQ340,"&gt;0"))</f>
        <v>0</v>
      </c>
      <c r="DR341">
        <f>IF(IF(OR(IFERROR(SEARCH("Druid",$T341,1),0)&gt;0,IFERROR(SEARCH(DruidLand1,$T341,1),0)&gt;0,IFERROR(SEARCH(DruidLand2,$T341,1),0)&gt;0,IFERROR(SEARCH(DruidLand3,$T341,1),0)&gt;0,IFERROR(SEARCH(DruidLand4,$T341,1),0)&gt;0),1,0)*IF($C341=DR$2,1,0)=0,0,1+COUNTIF(DR$3:DR340,"&gt;0"))</f>
        <v>4</v>
      </c>
      <c r="DS341">
        <f>IF(IF(OR(IFERROR(SEARCH("Paladin",$T341,1),0)&gt;0,IFERROR(SEARCH(PaladinOath,$T341,1),0)&gt;0),1,0)*IF($C341=DS$2,1,0)=1,1+COUNTIF(DS$3:DS340,"&gt;0"),0)</f>
        <v>0</v>
      </c>
      <c r="DT341">
        <f>IF(IF(OR(IFERROR(SEARCH("Paladin",$T341,1),0)&gt;0,IFERROR(SEARCH(PaladinOath,$T341,1),0)&gt;0),1,0)*IF($C341=DT$2,1,0)=1,1+COUNTIF(DT$3:DT340,"&gt;0"),0)</f>
        <v>0</v>
      </c>
      <c r="DU341">
        <f>IF(IF(OR(IFERROR(SEARCH("Paladin",$T341,1),0)&gt;0,IFERROR(SEARCH(PaladinOath,$T341,1),0)&gt;0),1,0)*IF($C341=DU$2,1,0)=1,1+COUNTIF(DU$3:DU340,"&gt;0"),0)</f>
        <v>0</v>
      </c>
      <c r="DV341">
        <f>IF(IF(OR(IFERROR(SEARCH("Paladin",$T341,1),0)&gt;0,IFERROR(SEARCH(PaladinOath,$T341,1),0)&gt;0),1,0)*IF($C341=DV$2,1,0)=1,1+COUNTIF(DV$3:DV340,"&gt;0"),0)</f>
        <v>0</v>
      </c>
      <c r="DW341">
        <f>IF(IF(OR(IFERROR(SEARCH("Paladin",$T341,1),0)&gt;0,IFERROR(SEARCH(PaladinOath,$T341,1),0)&gt;0),1,0)*IF($C341=DW$2,1,0)=1,1+COUNTIF(DW$3:DW340,"&gt;0"),0)</f>
        <v>0</v>
      </c>
      <c r="DY341">
        <f t="shared" si="278"/>
        <v>1</v>
      </c>
      <c r="DZ341">
        <f>IF(DY341=0,0,1+MAX(DZ$3:$DZ340))</f>
        <v>339</v>
      </c>
      <c r="EB341">
        <f t="shared" si="293"/>
        <v>0</v>
      </c>
      <c r="EC341">
        <f>IF(EB341=0,0,1+COUNTIF(EC$3:EC340,"&gt;0"))</f>
        <v>0</v>
      </c>
      <c r="ED341" t="str">
        <f t="shared" si="321"/>
        <v/>
      </c>
      <c r="EE341" t="str">
        <f t="shared" si="294"/>
        <v/>
      </c>
      <c r="EG341">
        <f t="shared" si="295"/>
        <v>0</v>
      </c>
      <c r="EH341">
        <f>IF(EG341=0,0,1+COUNTIF(EH$3:EH340,"&gt;0"))</f>
        <v>0</v>
      </c>
      <c r="EI341" t="str">
        <f t="shared" si="322"/>
        <v/>
      </c>
      <c r="EJ341" t="str">
        <f t="shared" si="296"/>
        <v/>
      </c>
      <c r="EL341">
        <f t="shared" si="297"/>
        <v>0</v>
      </c>
      <c r="EM341">
        <f>IF(EL341=0,0,1+COUNTIF(EM$3:EM340,"&gt;0"))</f>
        <v>0</v>
      </c>
      <c r="EN341" t="str">
        <f t="shared" si="323"/>
        <v/>
      </c>
      <c r="EO341" t="str">
        <f t="shared" si="298"/>
        <v/>
      </c>
      <c r="EQ341">
        <f t="shared" si="299"/>
        <v>0</v>
      </c>
      <c r="ER341">
        <f>IF(EQ341=0,0,1+COUNTIF(ER$3:ER340,"&gt;0"))</f>
        <v>0</v>
      </c>
      <c r="ES341" t="str">
        <f t="shared" si="324"/>
        <v/>
      </c>
      <c r="ET341" t="str">
        <f t="shared" si="300"/>
        <v/>
      </c>
      <c r="EV341">
        <f t="shared" si="301"/>
        <v>0</v>
      </c>
      <c r="EW341">
        <f>IF(EV341=0,0,1+COUNTIF(EW$3:EW340,"&gt;0"))</f>
        <v>0</v>
      </c>
      <c r="EX341" t="str">
        <f t="shared" si="325"/>
        <v/>
      </c>
      <c r="EY341" t="str">
        <f t="shared" si="302"/>
        <v/>
      </c>
      <c r="FA341">
        <f t="shared" si="303"/>
        <v>0</v>
      </c>
      <c r="FB341">
        <f>IF(FA341=0,0,1+COUNTIF(FB$3:FB340,"&gt;0"))</f>
        <v>0</v>
      </c>
      <c r="FC341" t="str">
        <f t="shared" si="326"/>
        <v/>
      </c>
      <c r="FD341" t="str">
        <f t="shared" si="304"/>
        <v/>
      </c>
      <c r="FF341">
        <f t="shared" si="305"/>
        <v>0</v>
      </c>
      <c r="FG341">
        <f>IF(FF341=0,0,1+COUNTIF(FG$3:FG340,"&gt;0"))</f>
        <v>0</v>
      </c>
      <c r="FH341" t="str">
        <f t="shared" si="327"/>
        <v/>
      </c>
      <c r="FI341" t="str">
        <f t="shared" si="306"/>
        <v/>
      </c>
      <c r="FK341">
        <f t="shared" si="307"/>
        <v>0</v>
      </c>
      <c r="FL341">
        <f>IF(FK341=0,0,1+COUNTIF(FL$3:FL340,"&gt;0"))</f>
        <v>0</v>
      </c>
      <c r="FM341" t="str">
        <f t="shared" si="328"/>
        <v/>
      </c>
      <c r="FN341" t="str">
        <f t="shared" si="308"/>
        <v/>
      </c>
      <c r="FP341">
        <f t="shared" si="309"/>
        <v>0</v>
      </c>
      <c r="FQ341">
        <f>IF(FP341=0,0,1+COUNTIF(FQ$3:FQ340,"&gt;0"))</f>
        <v>0</v>
      </c>
      <c r="FR341" t="str">
        <f t="shared" si="329"/>
        <v/>
      </c>
      <c r="FS341" t="str">
        <f t="shared" si="310"/>
        <v/>
      </c>
    </row>
    <row r="342" spans="1:175" x14ac:dyDescent="0.25">
      <c r="A342" s="347">
        <f t="shared" si="331"/>
        <v>340</v>
      </c>
      <c r="B342" s="348" t="s">
        <v>2741</v>
      </c>
      <c r="C342" s="348">
        <v>6</v>
      </c>
      <c r="D342" s="347">
        <v>6</v>
      </c>
      <c r="E342" s="627" t="s">
        <v>6952</v>
      </c>
      <c r="F342" s="346"/>
      <c r="G342" s="347" t="str">
        <f>""</f>
        <v/>
      </c>
      <c r="H342" s="347" t="s">
        <v>5912</v>
      </c>
      <c r="I342" s="347" t="s">
        <v>5298</v>
      </c>
      <c r="J342" s="347" t="str">
        <f t="shared" si="279"/>
        <v/>
      </c>
      <c r="K342" s="347" t="s">
        <v>5293</v>
      </c>
      <c r="L342" s="611" t="str">
        <f t="shared" si="280"/>
        <v>V, S, M, an ointment for the eyes that costs 25 gp and is made from mushroom powder, saffron, and fat</v>
      </c>
      <c r="M342" s="347" t="s">
        <v>2373</v>
      </c>
      <c r="N342" s="347" t="s">
        <v>2387</v>
      </c>
      <c r="O342" s="347" t="s">
        <v>1244</v>
      </c>
      <c r="P342" s="346" t="s">
        <v>5506</v>
      </c>
      <c r="Q342" s="347" t="s">
        <v>2473</v>
      </c>
      <c r="S342" s="346" t="s">
        <v>2742</v>
      </c>
      <c r="T342" s="346" t="str">
        <f t="shared" si="281"/>
        <v xml:space="preserve">Bard, Sorcerer, Warlock, Cleric, Wizard, </v>
      </c>
      <c r="U342" s="347" t="str">
        <f>$B342</f>
        <v>True Seeing</v>
      </c>
      <c r="X342" s="347" t="str">
        <f>$B342</f>
        <v>True Seeing</v>
      </c>
      <c r="Y342" s="347" t="str">
        <f>$B342</f>
        <v>True Seeing</v>
      </c>
      <c r="Z342" s="347" t="str">
        <f>$B342</f>
        <v>True Seeing</v>
      </c>
      <c r="AD342" s="347" t="str">
        <f>$B342</f>
        <v>True Seeing</v>
      </c>
      <c r="AE342" t="str">
        <f>IF(IFERROR(MATCH($B342,temp!A$4:A$13,0),0)&gt;0,T08_Spells!AE$2,"")</f>
        <v/>
      </c>
      <c r="AF342" t="str">
        <f>IF(IFERROR(MATCH($B342,temp!B$4:B$13,0),0)&gt;0,T08_Spells!AF$2,"")</f>
        <v/>
      </c>
      <c r="AG342" t="str">
        <f>IF(IFERROR(MATCH($B342,temp!C$4:C$13,0),0)&gt;0,T08_Spells!AG$2,"")</f>
        <v/>
      </c>
      <c r="AH342" t="str">
        <f>IF(IFERROR(MATCH($B342,temp!D$4:D$13,0),0)&gt;0,T08_Spells!AH$2,"")</f>
        <v/>
      </c>
      <c r="AI342" t="str">
        <f>IF(IFERROR(MATCH($B342,temp!E$4:E$13,0),0)&gt;0,T08_Spells!AI$2,"")</f>
        <v/>
      </c>
      <c r="AJ342" t="str">
        <f>IF(IFERROR(MATCH($B342,temp!F$4:F$13,0),0)&gt;0,T08_Spells!AJ$2,"")</f>
        <v/>
      </c>
      <c r="AK342" t="str">
        <f>IF(IFERROR(MATCH($B342,temp!G$4:G$13,0),0)&gt;0,T08_Spells!AK$2,"")</f>
        <v/>
      </c>
      <c r="AL342" t="str">
        <f>IF(IFERROR(MATCH($B342,temp!H$4:H$13,0),0)&gt;0,T08_Spells!AL$2,"")</f>
        <v/>
      </c>
      <c r="AM342" t="str">
        <f>IF(IFERROR(MATCH($B342,temp!I$4:I$13,0),0)&gt;0,T08_Spells!AM$2,"")</f>
        <v/>
      </c>
      <c r="AN342" t="str">
        <f>IF(IFERROR(MATCH($B342,temp!J$4:J$13,0),0)&gt;0,T08_Spells!AN$2,"")</f>
        <v/>
      </c>
      <c r="AO342" t="str">
        <f>IF(IFERROR(MATCH($B342,temp!K$4:K$13,0),0)&gt;0,T08_Spells!AO$2,"")</f>
        <v/>
      </c>
      <c r="AP342" t="str">
        <f>IF(IFERROR(MATCH($B342,temp!L$4:L$13,0),0)&gt;0,T08_Spells!AP$2,"")</f>
        <v/>
      </c>
      <c r="AQ342" t="str">
        <f>IF(IFERROR(MATCH($B342,temp!M$4:M$13,0),0)&gt;0,T08_Spells!AQ$2,"")</f>
        <v/>
      </c>
      <c r="AR342" t="str">
        <f>IF(IFERROR(MATCH($B342,temp!N$4:N$13,0),0)&gt;0,T08_Spells!AR$2,"")</f>
        <v/>
      </c>
      <c r="AS342" t="str">
        <f>IF(IFERROR(MATCH($B342,temp!O$4:O$13,0),0)&gt;0,T08_Spells!AS$2,"")</f>
        <v/>
      </c>
      <c r="AT342" t="str">
        <f>IF(IFERROR(MATCH($B342,temp!P$4:P$13,0),0)&gt;0,T08_Spells!AT$2,"")</f>
        <v/>
      </c>
      <c r="AU342" t="str">
        <f>IF(IFERROR(MATCH($B342,temp!Q$4:Q$13,0),0)&gt;0,T08_Spells!AU$2,"")</f>
        <v/>
      </c>
      <c r="AV342" t="str">
        <f>IF(IFERROR(MATCH($B342,temp!R$4:R$13,0),0)&gt;0,T08_Spells!AV$2,"")</f>
        <v/>
      </c>
      <c r="AW342" t="str">
        <f>IF(IFERROR(MATCH($B342,temp!S$4:S$13,0),0)&gt;0,T08_Spells!AW$2,"")</f>
        <v/>
      </c>
      <c r="AX342" t="str">
        <f>IF(IFERROR(MATCH($B342,temp!T$4:T$13,0),0)&gt;0,T08_Spells!AX$2,"")</f>
        <v/>
      </c>
      <c r="AY342" t="str">
        <f>IF(IFERROR(MATCH($B342,temp!U$4:U$13,0),0)&gt;0,T08_Spells!AY$2,"")</f>
        <v/>
      </c>
      <c r="AZ342" t="str">
        <f>IF(IFERROR(MATCH($B342,temp!V$4:V$13,0),0)&gt;0,T08_Spells!AZ$2,"")</f>
        <v/>
      </c>
      <c r="BA342" t="str">
        <f>IF(IFERROR(MATCH($B342,temp!W$4:W$13,0),0)&gt;0,T08_Spells!BA$2,"")</f>
        <v/>
      </c>
      <c r="BC342">
        <f>IF(IFERROR(SEARCH("Ranger",$T342,1),0)&gt;0,1,0)*IF(RangerMaxSpellLevel&gt;=$C342,1,0)*IF(IFERROR(MATCH(B342,Character_Creation!$X$79:$X$382,0),0)&gt;0,0,1)</f>
        <v>0</v>
      </c>
      <c r="BD342">
        <f>IF(BC342=0,0,1+COUNTIF(BD$3:BD341,"&gt;0"))</f>
        <v>0</v>
      </c>
      <c r="BE342" t="str">
        <f t="shared" si="311"/>
        <v/>
      </c>
      <c r="BF342" t="str">
        <f t="shared" si="283"/>
        <v/>
      </c>
      <c r="BH342">
        <f>IF(IFERROR(SEARCH("Sorcerer",$T342,1),0)&gt;0,1,0)*IF(SorcererMaxSpellLevel&gt;=$C342,1,0)*IF(IFERROR(MATCH(B342,Character_Creation!$J$380:$J$394,0),0)&gt;0,0,1)</f>
        <v>0</v>
      </c>
      <c r="BI342">
        <f>IF(BH342=0,0,1+COUNTIF(BI$3:BI341,"&gt;0"))</f>
        <v>0</v>
      </c>
      <c r="BJ342" t="str">
        <f t="shared" si="312"/>
        <v/>
      </c>
      <c r="BK342" t="str">
        <f t="shared" si="284"/>
        <v/>
      </c>
      <c r="BM342">
        <f>IF(OR(IFERROR(SEARCH("Warlock",$T342,1),0)&gt;0,IFERROR(SEARCH(WarlockPatron,$T342,1),0)&gt;0),1,0)*IF(WarlockMaxSpellLevel&gt;=$C342,1,0)*IF(IFERROR(MATCH(B342,Character_Creation!$J$361:$J$375,0),0)&gt;0,0,1)</f>
        <v>0</v>
      </c>
      <c r="BN342">
        <f>IF(BM342=0,0,1+COUNTIF(BN$3:BN341,"&gt;0"))</f>
        <v>0</v>
      </c>
      <c r="BO342" t="str">
        <f t="shared" si="313"/>
        <v/>
      </c>
      <c r="BP342" t="str">
        <f t="shared" si="285"/>
        <v/>
      </c>
      <c r="BR342">
        <f>IF(IFERROR(SEARCH("Eldritch Knight",$T342,1),0)&gt;0,1,0)*IF(EldritchKnightMaxSpellLevel&gt;=$C342,1,0)*IF(IFERROR(MATCH($B342,Character_Creation!$J$350:$J$356,0),0)&gt;0,0,1)*IF(Character_Creation!$M$338&gt;0,1,0)</f>
        <v>0</v>
      </c>
      <c r="BS342">
        <f>IF(BR342=0,0,1+COUNTIF(BS$3:BS341,"&gt;0"))</f>
        <v>0</v>
      </c>
      <c r="BT342" t="str">
        <f t="shared" si="314"/>
        <v/>
      </c>
      <c r="BU342" t="str">
        <f t="shared" si="286"/>
        <v/>
      </c>
      <c r="BW342">
        <f>IF(IFERROR(SEARCH("Arcane Trickster",$T342,1),0)&gt;0,1,0)*IF(ArcaneTricksterMaxSpellLevel&gt;=$C342,1,0)*IF(IFERROR(MATCH($B342,Character_Creation!$J$350:$J$356,0),0)&gt;0,0,1)*IF(Character_Creation!$T$338&gt;0,1,0)</f>
        <v>0</v>
      </c>
      <c r="BX342">
        <f>IF(BW342=0,0,1+COUNTIF(BX$3:BX341,"&gt;0"))</f>
        <v>0</v>
      </c>
      <c r="BY342" t="str">
        <f t="shared" si="315"/>
        <v/>
      </c>
      <c r="BZ342" t="str">
        <f t="shared" si="287"/>
        <v/>
      </c>
      <c r="CB342">
        <f>IF(IFERROR(SEARCH("Wizard",$T342,1),0)&gt;0,1,0)*IF(C342&lt;=ArcaneTricksterMaxSpellLevel,1,0)*IF(IFERROR(MATCH($B342,Character_Creation!$J$350:$J$356,0),0)&gt;0,0,1)*IF(Character_Creation!$T$350&gt;0,1,0)</f>
        <v>0</v>
      </c>
      <c r="CC342">
        <f>IF(CB342=0,0,1+COUNTIF(CC$3:CC341,"&gt;0"))</f>
        <v>0</v>
      </c>
      <c r="CD342" t="str">
        <f t="shared" si="316"/>
        <v/>
      </c>
      <c r="CE342" t="str">
        <f t="shared" si="288"/>
        <v/>
      </c>
      <c r="CG342">
        <f>IF(IFERROR(SEARCH("Wizard",$T342,1),0)&gt;0,1,0)*IF($C342&lt;=EldritchKnightMaxSpellLevel,1,0)*IF(IFERROR(MATCH($B342,Character_Creation!$J$350:$J$356,0),0)&gt;0,0,1)*IF(Character_Creation!$M$350&gt;0,1,0)</f>
        <v>0</v>
      </c>
      <c r="CH342">
        <f>IF(CG342=0,0,1+COUNTIF(CH$3:CH341,"&gt;0"))</f>
        <v>0</v>
      </c>
      <c r="CI342" t="str">
        <f t="shared" si="317"/>
        <v/>
      </c>
      <c r="CJ342" t="str">
        <f t="shared" si="289"/>
        <v/>
      </c>
      <c r="CL342">
        <f>IF(IFERROR(SEARCH("Bard",$T342,1),0)&gt;0,1,0)*IF(BardMaxSpellLevel&gt;=$C342,1,0)*IF(IFERROR(MATCH(B342,Character_Creation!$C$341:$F$362,0),0)&gt;0,0,1)*IF(IFERROR(MATCH($B342,Character_Creation!$C$341:$C$362,0),0)&gt;0,0,1)</f>
        <v>0</v>
      </c>
      <c r="CM342">
        <f>IF(CL342=0,0,1+COUNTIF(CM$3:CM341,"&gt;0"))</f>
        <v>0</v>
      </c>
      <c r="CN342" t="str">
        <f t="shared" si="318"/>
        <v/>
      </c>
      <c r="CO342" t="str">
        <f t="shared" si="290"/>
        <v/>
      </c>
      <c r="CQ342">
        <f>IF(IFERROR(SEARCH("Wizard",$T342,1),0)&gt;0,1,0)*IF(WizardMaxSpellLevel&gt;=$C342,1,0)*IF(IFERROR(MATCH(B342,Character_Creation!$X$341:$X$400,0),0)&gt;0,0,1)*IF(SelectedWizardSpellLevel=$C342,1,0)</f>
        <v>0</v>
      </c>
      <c r="CR342">
        <f>IF(CQ342=0,0,1+COUNTIF(CR$3:CR341,"&gt;0"))</f>
        <v>0</v>
      </c>
      <c r="CS342" t="str">
        <f t="shared" si="319"/>
        <v/>
      </c>
      <c r="CT342" t="str">
        <f t="shared" si="291"/>
        <v/>
      </c>
      <c r="CV342">
        <f>IF(IFERROR(MATCH($B342,Character_Creation!$C$341:$C$362,0),0)&gt;0,0,1)*IF(OR(C342="Cantrip",C342&lt;=BardMaxSpellLevel),1,0)*IF(IFERROR(MATCH($B342,Character_Creation!$C$367:$C$374,0),0)&gt;0,0,1)</f>
        <v>0</v>
      </c>
      <c r="CW342">
        <f>IF(CV342=0,0,1+COUNTIF(CW$3:CW341,"&gt;0"))</f>
        <v>0</v>
      </c>
      <c r="CX342" t="str">
        <f t="shared" si="320"/>
        <v/>
      </c>
      <c r="CY342" t="str">
        <f t="shared" si="292"/>
        <v/>
      </c>
      <c r="DA342">
        <f>IF(IF(OR(IFERROR(SEARCH("Cleric",$T342,1),0)&gt;0,IFERROR(SEARCH(DivineDomain&amp;",",$T342,1),0)&gt;0),1,0)*IF($C342=DA$2,1,0)=1,1+COUNTIF(DA$3:DA341,"&gt;0"),0)</f>
        <v>0</v>
      </c>
      <c r="DB342">
        <f>IF(IF(OR(IFERROR(SEARCH("Cleric",$T342,1),0)&gt;0,IFERROR(SEARCH(DivineDomain&amp;",",$T342,1),0)&gt;0),1,0)*IF($C342=DB$2,1,0)=1,1+COUNTIF(DB$3:DB341,"&gt;0"),0)</f>
        <v>0</v>
      </c>
      <c r="DC342">
        <f>IF(IF(OR(IFERROR(SEARCH("Cleric",$T342,1),0)&gt;0,IFERROR(SEARCH(DivineDomain&amp;",",$T342,1),0)&gt;0),1,0)*IF($C342=DC$2,1,0)=1,1+COUNTIF(DC$3:DC341,"&gt;0"),0)</f>
        <v>0</v>
      </c>
      <c r="DD342">
        <f>IF(IF(OR(IFERROR(SEARCH("Cleric",$T342,1),0)&gt;0,IFERROR(SEARCH(DivineDomain&amp;",",$T342,1),0)&gt;0),1,0)*IF($C342=DD$2,1,0)=1,1+COUNTIF(DD$3:DD341,"&gt;0"),0)</f>
        <v>0</v>
      </c>
      <c r="DE342">
        <f>IF(IF(OR(IFERROR(SEARCH("Cleric",$T342,1),0)&gt;0,IFERROR(SEARCH(DivineDomain&amp;",",$T342,1),0)&gt;0),1,0)*IF($C342=DE$2,1,0)=1,1+COUNTIF(DE$3:DE341,"&gt;0"),0)</f>
        <v>0</v>
      </c>
      <c r="DF342">
        <f>IF(IF(OR(IFERROR(SEARCH("Cleric",$T342,1),0)&gt;0,IFERROR(SEARCH(DivineDomain&amp;",",$T342,1),0)&gt;0),1,0)*IF($C342=DF$2,1,0)=1,1+COUNTIF(DF$3:DF341,"&gt;0"),0)</f>
        <v>9</v>
      </c>
      <c r="DG342">
        <f>IF(IF(OR(IFERROR(SEARCH("Cleric",$T342,1),0)&gt;0,IFERROR(SEARCH(DivineDomain&amp;",",$T342,1),0)&gt;0),1,0)*IF($C342=DG$2,1,0)=1,1+COUNTIF(DG$3:DG341,"&gt;0"),0)</f>
        <v>0</v>
      </c>
      <c r="DH342">
        <f>IF(IF(OR(IFERROR(SEARCH("Cleric",$T342,1),0)&gt;0,IFERROR(SEARCH(DivineDomain&amp;",",$T342,1),0)&gt;0),1,0)*IF($C342=DH$2,1,0)=1,1+COUNTIF(DH$3:DH341,"&gt;0"),0)</f>
        <v>0</v>
      </c>
      <c r="DI342">
        <f>IF(IF(OR(IFERROR(SEARCH("Cleric",$T342,1),0)&gt;0,IFERROR(SEARCH(DivineDomain&amp;",",$T342,1),0)&gt;0),1,0)*IF($C342=DI$2,1,0)=1,1+COUNTIF(DI$3:DI341,"&gt;0"),0)</f>
        <v>0</v>
      </c>
      <c r="DJ342">
        <f>IF(IF(OR(IFERROR(SEARCH("Druid",$T342,1),0)&gt;0,IFERROR(SEARCH(DruidLand1,$T342,1),0)&gt;0,IFERROR(SEARCH(DruidLand2,$T342,1),0)&gt;0,IFERROR(SEARCH(DruidLand3,$T342,1),0)&gt;0,IFERROR(SEARCH(DruidLand4,$T342,1),0)&gt;0),1,0)*IF($C342=1,1,0)*IF($C342=DJ$2,1,0)=0,0,1+COUNTIF(DJ$3:DJ341,"&gt;0"))</f>
        <v>0</v>
      </c>
      <c r="DK342">
        <f>IF(IF(OR(IFERROR(SEARCH("Druid",$T342,1),0)&gt;0,IFERROR(SEARCH(DruidLand1,$T342,1),0)&gt;0,IFERROR(SEARCH(DruidLand2,$T342,1),0)&gt;0,IFERROR(SEARCH(DruidLand3,$T342,1),0)&gt;0,IFERROR(SEARCH(DruidLand4,$T342,1),0)&gt;0),1,0)*IF($C342=1,1,0)*IF($C342=DK$2,1,0)=0,0,1+COUNTIF(DK$3:DK341,"&gt;0"))</f>
        <v>0</v>
      </c>
      <c r="DL342">
        <f>IF(IF(OR(IFERROR(SEARCH("Druid",$T342,1),0)&gt;0,IFERROR(SEARCH(DruidLand1,$T342,1),0)&gt;0,IFERROR(SEARCH(DruidLand2,$T342,1),0)&gt;0,IFERROR(SEARCH(DruidLand3,$T342,1),0)&gt;0,IFERROR(SEARCH(DruidLand4,$T342,1),0)&gt;0),1,0)*IF($C342=1,1,0)*IF($C342=DL$2,1,0)=0,0,1+COUNTIF(DL$3:DL341,"&gt;0"))</f>
        <v>0</v>
      </c>
      <c r="DM342">
        <f>IF(IF(OR(IFERROR(SEARCH("Druid",$T342,1),0)&gt;0,IFERROR(SEARCH(DruidLand1,$T342,1),0)&gt;0,IFERROR(SEARCH(DruidLand2,$T342,1),0)&gt;0,IFERROR(SEARCH(DruidLand3,$T342,1),0)&gt;0,IFERROR(SEARCH(DruidLand4,$T342,1),0)&gt;0),1,0)*IF($C342=1,1,0)*IF($C342=DM$2,1,0)=0,0,1+COUNTIF(DM$3:DM341,"&gt;0"))</f>
        <v>0</v>
      </c>
      <c r="DN342">
        <f>IF(IF(OR(IFERROR(SEARCH("Druid",$T342,1),0)&gt;0,IFERROR(SEARCH(DruidLand1,$T342,1),0)&gt;0,IFERROR(SEARCH(DruidLand2,$T342,1),0)&gt;0,IFERROR(SEARCH(DruidLand3,$T342,1),0)&gt;0,IFERROR(SEARCH(DruidLand4,$T342,1),0)&gt;0),1,0)*IF($C342=1,1,0)*IF($C342=DN$2,1,0)=0,0,1+COUNTIF(DN$3:DN341,"&gt;0"))</f>
        <v>0</v>
      </c>
      <c r="DO342">
        <f>IF(IF(OR(IFERROR(SEARCH("Druid",$T342,1),0)&gt;0,IFERROR(SEARCH(DruidLand1,$T342,1),0)&gt;0,IFERROR(SEARCH(DruidLand2,$T342,1),0)&gt;0,IFERROR(SEARCH(DruidLand3,$T342,1),0)&gt;0,IFERROR(SEARCH(DruidLand4,$T342,1),0)&gt;0),1,0)*IF($C342=1,1,0)*IF($C342=DO$2,1,0)=0,0,1+COUNTIF(DO$3:DO341,"&gt;0"))</f>
        <v>0</v>
      </c>
      <c r="DP342">
        <f>IF(IF(OR(IFERROR(SEARCH("Druid",$T342,1),0)&gt;0,IFERROR(SEARCH(DruidLand1,$T342,1),0)&gt;0,IFERROR(SEARCH(DruidLand2,$T342,1),0)&gt;0,IFERROR(SEARCH(DruidLand3,$T342,1),0)&gt;0,IFERROR(SEARCH(DruidLand4,$T342,1),0)&gt;0),1,0)*IF($C342=1,1,0)*IF($C342=DP$2,1,0)=0,0,1+COUNTIF(DP$3:DP341,"&gt;0"))</f>
        <v>0</v>
      </c>
      <c r="DQ342">
        <f>IF(IF(OR(IFERROR(SEARCH("Druid",$T342,1),0)&gt;0,IFERROR(SEARCH(DruidLand1,$T342,1),0)&gt;0,IFERROR(SEARCH(DruidLand2,$T342,1),0)&gt;0,IFERROR(SEARCH(DruidLand3,$T342,1),0)&gt;0,IFERROR(SEARCH(DruidLand4,$T342,1),0)&gt;0),1,0)*IF($C342=1,1,0)*IF($C342=DQ$2,1,0)=0,0,1+COUNTIF(DQ$3:DQ341,"&gt;0"))</f>
        <v>0</v>
      </c>
      <c r="DR342">
        <f>IF(IF(OR(IFERROR(SEARCH("Druid",$T342,1),0)&gt;0,IFERROR(SEARCH(DruidLand1,$T342,1),0)&gt;0,IFERROR(SEARCH(DruidLand2,$T342,1),0)&gt;0,IFERROR(SEARCH(DruidLand3,$T342,1),0)&gt;0,IFERROR(SEARCH(DruidLand4,$T342,1),0)&gt;0),1,0)*IF($C342=1,1,0)*IF($C342=DR$2,1,0)=0,0,1+COUNTIF(DR$3:DR341,"&gt;0"))</f>
        <v>0</v>
      </c>
      <c r="DS342">
        <f>IF(IF(OR(IFERROR(SEARCH("Paladin",$T342,1),0)&gt;0,IFERROR(SEARCH(PaladinOath,$T342,1),0)&gt;0),1,0)*IF($C342=DS$2,1,0)=1,1+COUNTIF(DS$3:DS341,"&gt;0"),0)</f>
        <v>0</v>
      </c>
      <c r="DT342">
        <f>IF(IF(OR(IFERROR(SEARCH("Paladin",$T342,1),0)&gt;0,IFERROR(SEARCH(PaladinOath,$T342,1),0)&gt;0),1,0)*IF($C342=DT$2,1,0)=1,1+COUNTIF(DT$3:DT341,"&gt;0"),0)</f>
        <v>0</v>
      </c>
      <c r="DU342">
        <f>IF(IF(OR(IFERROR(SEARCH("Paladin",$T342,1),0)&gt;0,IFERROR(SEARCH(PaladinOath,$T342,1),0)&gt;0),1,0)*IF($C342=DU$2,1,0)=1,1+COUNTIF(DU$3:DU341,"&gt;0"),0)</f>
        <v>0</v>
      </c>
      <c r="DV342">
        <f>IF(IF(OR(IFERROR(SEARCH("Paladin",$T342,1),0)&gt;0,IFERROR(SEARCH(PaladinOath,$T342,1),0)&gt;0),1,0)*IF($C342=DV$2,1,0)=1,1+COUNTIF(DV$3:DV341,"&gt;0"),0)</f>
        <v>0</v>
      </c>
      <c r="DW342">
        <f>IF(IF(OR(IFERROR(SEARCH("Paladin",$T342,1),0)&gt;0,IFERROR(SEARCH(PaladinOath,$T342,1),0)&gt;0),1,0)*IF($C342=DW$2,1,0)=1,1+COUNTIF(DW$3:DW341,"&gt;0"),0)</f>
        <v>0</v>
      </c>
      <c r="DY342">
        <f t="shared" si="278"/>
        <v>1</v>
      </c>
      <c r="DZ342">
        <f>IF(DY342=0,0,1+MAX(DZ$3:$DZ341))</f>
        <v>340</v>
      </c>
      <c r="EB342">
        <f t="shared" si="293"/>
        <v>0</v>
      </c>
      <c r="EC342">
        <f>IF(EB342=0,0,1+COUNTIF(EC$3:EC341,"&gt;0"))</f>
        <v>0</v>
      </c>
      <c r="ED342" t="str">
        <f t="shared" si="321"/>
        <v/>
      </c>
      <c r="EE342" t="str">
        <f t="shared" si="294"/>
        <v/>
      </c>
      <c r="EG342">
        <f t="shared" si="295"/>
        <v>0</v>
      </c>
      <c r="EH342">
        <f>IF(EG342=0,0,1+COUNTIF(EH$3:EH341,"&gt;0"))</f>
        <v>0</v>
      </c>
      <c r="EI342" t="str">
        <f t="shared" si="322"/>
        <v/>
      </c>
      <c r="EJ342" t="str">
        <f t="shared" si="296"/>
        <v/>
      </c>
      <c r="EL342">
        <f t="shared" si="297"/>
        <v>0</v>
      </c>
      <c r="EM342">
        <f>IF(EL342=0,0,1+COUNTIF(EM$3:EM341,"&gt;0"))</f>
        <v>0</v>
      </c>
      <c r="EN342" t="str">
        <f t="shared" si="323"/>
        <v/>
      </c>
      <c r="EO342" t="str">
        <f t="shared" si="298"/>
        <v/>
      </c>
      <c r="EQ342">
        <f t="shared" si="299"/>
        <v>0</v>
      </c>
      <c r="ER342">
        <f>IF(EQ342=0,0,1+COUNTIF(ER$3:ER341,"&gt;0"))</f>
        <v>0</v>
      </c>
      <c r="ES342" t="str">
        <f t="shared" si="324"/>
        <v/>
      </c>
      <c r="ET342" t="str">
        <f t="shared" si="300"/>
        <v/>
      </c>
      <c r="EV342">
        <f t="shared" si="301"/>
        <v>0</v>
      </c>
      <c r="EW342">
        <f>IF(EV342=0,0,1+COUNTIF(EW$3:EW341,"&gt;0"))</f>
        <v>0</v>
      </c>
      <c r="EX342" t="str">
        <f t="shared" si="325"/>
        <v/>
      </c>
      <c r="EY342" t="str">
        <f t="shared" si="302"/>
        <v/>
      </c>
      <c r="FA342">
        <f t="shared" si="303"/>
        <v>0</v>
      </c>
      <c r="FB342">
        <f>IF(FA342=0,0,1+COUNTIF(FB$3:FB341,"&gt;0"))</f>
        <v>0</v>
      </c>
      <c r="FC342" t="str">
        <f t="shared" si="326"/>
        <v/>
      </c>
      <c r="FD342" t="str">
        <f t="shared" si="304"/>
        <v/>
      </c>
      <c r="FF342">
        <f t="shared" si="305"/>
        <v>0</v>
      </c>
      <c r="FG342">
        <f>IF(FF342=0,0,1+COUNTIF(FG$3:FG341,"&gt;0"))</f>
        <v>0</v>
      </c>
      <c r="FH342" t="str">
        <f t="shared" si="327"/>
        <v/>
      </c>
      <c r="FI342" t="str">
        <f t="shared" si="306"/>
        <v/>
      </c>
      <c r="FK342">
        <f t="shared" si="307"/>
        <v>0</v>
      </c>
      <c r="FL342">
        <f>IF(FK342=0,0,1+COUNTIF(FL$3:FL341,"&gt;0"))</f>
        <v>0</v>
      </c>
      <c r="FM342" t="str">
        <f t="shared" si="328"/>
        <v/>
      </c>
      <c r="FN342" t="str">
        <f t="shared" si="308"/>
        <v/>
      </c>
      <c r="FP342">
        <f t="shared" si="309"/>
        <v>0</v>
      </c>
      <c r="FQ342">
        <f>IF(FP342=0,0,1+COUNTIF(FQ$3:FQ341,"&gt;0"))</f>
        <v>0</v>
      </c>
      <c r="FR342" t="str">
        <f t="shared" si="329"/>
        <v/>
      </c>
      <c r="FS342" t="str">
        <f t="shared" si="310"/>
        <v/>
      </c>
    </row>
    <row r="343" spans="1:175" x14ac:dyDescent="0.25">
      <c r="A343" s="347">
        <f t="shared" si="331"/>
        <v>341</v>
      </c>
      <c r="B343" s="348" t="s">
        <v>2743</v>
      </c>
      <c r="C343" s="348" t="s">
        <v>5277</v>
      </c>
      <c r="D343" s="347">
        <v>0.5</v>
      </c>
      <c r="E343" s="627" t="s">
        <v>6952</v>
      </c>
      <c r="F343" s="346"/>
      <c r="G343" s="347" t="str">
        <f>""</f>
        <v/>
      </c>
      <c r="H343" s="347" t="s">
        <v>5912</v>
      </c>
      <c r="I343" s="347" t="s">
        <v>5060</v>
      </c>
      <c r="J343" s="347" t="str">
        <f t="shared" si="279"/>
        <v/>
      </c>
      <c r="K343" s="347" t="s">
        <v>5507</v>
      </c>
      <c r="L343" s="611" t="str">
        <f t="shared" si="280"/>
        <v>S</v>
      </c>
      <c r="M343" s="347" t="s">
        <v>3034</v>
      </c>
      <c r="N343" s="347" t="s">
        <v>2387</v>
      </c>
      <c r="O343" s="347" t="s">
        <v>3034</v>
      </c>
      <c r="P343" s="346" t="str">
        <f>""</f>
        <v/>
      </c>
      <c r="Q343" s="347" t="s">
        <v>2473</v>
      </c>
      <c r="S343" s="346" t="s">
        <v>2744</v>
      </c>
      <c r="T343" s="346" t="str">
        <f t="shared" si="281"/>
        <v xml:space="preserve">Bard, Sorcerer, Warlock, Wizard, </v>
      </c>
      <c r="U343" s="347" t="str">
        <f>$B343</f>
        <v>True Strike</v>
      </c>
      <c r="X343" s="347" t="str">
        <f>$B343</f>
        <v>True Strike</v>
      </c>
      <c r="Y343" s="347" t="str">
        <f>$B343</f>
        <v>True Strike</v>
      </c>
      <c r="AD343" s="347" t="str">
        <f>$B343</f>
        <v>True Strike</v>
      </c>
      <c r="AE343" t="str">
        <f>IF(IFERROR(MATCH($B343,temp!A$4:A$13,0),0)&gt;0,T08_Spells!AE$2,"")</f>
        <v/>
      </c>
      <c r="AF343" t="str">
        <f>IF(IFERROR(MATCH($B343,temp!B$4:B$13,0),0)&gt;0,T08_Spells!AF$2,"")</f>
        <v/>
      </c>
      <c r="AG343" t="str">
        <f>IF(IFERROR(MATCH($B343,temp!C$4:C$13,0),0)&gt;0,T08_Spells!AG$2,"")</f>
        <v/>
      </c>
      <c r="AH343" t="str">
        <f>IF(IFERROR(MATCH($B343,temp!D$4:D$13,0),0)&gt;0,T08_Spells!AH$2,"")</f>
        <v/>
      </c>
      <c r="AI343" t="str">
        <f>IF(IFERROR(MATCH($B343,temp!E$4:E$13,0),0)&gt;0,T08_Spells!AI$2,"")</f>
        <v/>
      </c>
      <c r="AJ343" t="str">
        <f>IF(IFERROR(MATCH($B343,temp!F$4:F$13,0),0)&gt;0,T08_Spells!AJ$2,"")</f>
        <v/>
      </c>
      <c r="AK343" t="str">
        <f>IF(IFERROR(MATCH($B343,temp!G$4:G$13,0),0)&gt;0,T08_Spells!AK$2,"")</f>
        <v/>
      </c>
      <c r="AL343" t="str">
        <f>IF(IFERROR(MATCH($B343,temp!H$4:H$13,0),0)&gt;0,T08_Spells!AL$2,"")</f>
        <v/>
      </c>
      <c r="AM343" t="str">
        <f>IF(IFERROR(MATCH($B343,temp!I$4:I$13,0),0)&gt;0,T08_Spells!AM$2,"")</f>
        <v/>
      </c>
      <c r="AN343" t="str">
        <f>IF(IFERROR(MATCH($B343,temp!J$4:J$13,0),0)&gt;0,T08_Spells!AN$2,"")</f>
        <v/>
      </c>
      <c r="AO343" t="str">
        <f>IF(IFERROR(MATCH($B343,temp!K$4:K$13,0),0)&gt;0,T08_Spells!AO$2,"")</f>
        <v/>
      </c>
      <c r="AP343" t="str">
        <f>IF(IFERROR(MATCH($B343,temp!L$4:L$13,0),0)&gt;0,T08_Spells!AP$2,"")</f>
        <v/>
      </c>
      <c r="AQ343" t="str">
        <f>IF(IFERROR(MATCH($B343,temp!M$4:M$13,0),0)&gt;0,T08_Spells!AQ$2,"")</f>
        <v/>
      </c>
      <c r="AR343" t="str">
        <f>IF(IFERROR(MATCH($B343,temp!N$4:N$13,0),0)&gt;0,T08_Spells!AR$2,"")</f>
        <v/>
      </c>
      <c r="AS343" t="str">
        <f>IF(IFERROR(MATCH($B343,temp!O$4:O$13,0),0)&gt;0,T08_Spells!AS$2,"")</f>
        <v/>
      </c>
      <c r="AT343" t="str">
        <f>IF(IFERROR(MATCH($B343,temp!P$4:P$13,0),0)&gt;0,T08_Spells!AT$2,"")</f>
        <v/>
      </c>
      <c r="AU343" t="str">
        <f>IF(IFERROR(MATCH($B343,temp!Q$4:Q$13,0),0)&gt;0,T08_Spells!AU$2,"")</f>
        <v/>
      </c>
      <c r="AV343" t="str">
        <f>IF(IFERROR(MATCH($B343,temp!R$4:R$13,0),0)&gt;0,T08_Spells!AV$2,"")</f>
        <v/>
      </c>
      <c r="AW343" t="str">
        <f>IF(IFERROR(MATCH($B343,temp!S$4:S$13,0),0)&gt;0,T08_Spells!AW$2,"")</f>
        <v/>
      </c>
      <c r="AX343" t="str">
        <f>IF(IFERROR(MATCH($B343,temp!T$4:T$13,0),0)&gt;0,T08_Spells!AX$2,"")</f>
        <v/>
      </c>
      <c r="AY343" t="str">
        <f>IF(IFERROR(MATCH($B343,temp!U$4:U$13,0),0)&gt;0,T08_Spells!AY$2,"")</f>
        <v/>
      </c>
      <c r="AZ343" t="str">
        <f>IF(IFERROR(MATCH($B343,temp!V$4:V$13,0),0)&gt;0,T08_Spells!AZ$2,"")</f>
        <v/>
      </c>
      <c r="BA343" t="str">
        <f>IF(IFERROR(MATCH($B343,temp!W$4:W$13,0),0)&gt;0,T08_Spells!BA$2,"")</f>
        <v/>
      </c>
      <c r="BC343">
        <f>IF(IFERROR(SEARCH("Ranger",$T343,1),0)&gt;0,1,0)*IF(RangerMaxSpellLevel&gt;=$C343,1,0)*IF(IFERROR(MATCH(B343,Character_Creation!$X$79:$X$382,0),0)&gt;0,0,1)</f>
        <v>0</v>
      </c>
      <c r="BD343">
        <f>IF(BC343=0,0,1+COUNTIF(BD$3:BD342,"&gt;0"))</f>
        <v>0</v>
      </c>
      <c r="BE343" t="str">
        <f t="shared" si="311"/>
        <v/>
      </c>
      <c r="BF343" t="str">
        <f t="shared" si="283"/>
        <v/>
      </c>
      <c r="BH343">
        <f>IF(IFERROR(SEARCH("Sorcerer",$T343,1),0)&gt;0,1,0)*IF(SorcererMaxSpellLevel&gt;=$C343,1,0)*IF(IFERROR(MATCH(B343,Character_Creation!$J$380:$J$394,0),0)&gt;0,0,1)</f>
        <v>0</v>
      </c>
      <c r="BI343">
        <f>IF(BH343=0,0,1+COUNTIF(BI$3:BI342,"&gt;0"))</f>
        <v>0</v>
      </c>
      <c r="BJ343" t="str">
        <f t="shared" si="312"/>
        <v/>
      </c>
      <c r="BK343" t="str">
        <f t="shared" si="284"/>
        <v/>
      </c>
      <c r="BM343">
        <f>IF(OR(IFERROR(SEARCH("Warlock",$T343,1),0)&gt;0,IFERROR(SEARCH(WarlockPatron,$T343,1),0)&gt;0),1,0)*IF(WarlockMaxSpellLevel&gt;=$C343,1,0)*IF(IFERROR(MATCH(B343,Character_Creation!$J$361:$J$375,0),0)&gt;0,0,1)</f>
        <v>0</v>
      </c>
      <c r="BN343">
        <f>IF(BM343=0,0,1+COUNTIF(BN$3:BN342,"&gt;0"))</f>
        <v>0</v>
      </c>
      <c r="BO343" t="str">
        <f t="shared" si="313"/>
        <v/>
      </c>
      <c r="BP343" t="str">
        <f t="shared" si="285"/>
        <v/>
      </c>
      <c r="BR343">
        <f>IF(IFERROR(SEARCH("Eldritch Knight",$T343,1),0)&gt;0,1,0)*IF(EldritchKnightMaxSpellLevel&gt;=$C343,1,0)*IF(IFERROR(MATCH($B343,Character_Creation!$J$350:$J$356,0),0)&gt;0,0,1)*IF(Character_Creation!$M$338&gt;0,1,0)</f>
        <v>0</v>
      </c>
      <c r="BS343">
        <f>IF(BR343=0,0,1+COUNTIF(BS$3:BS342,"&gt;0"))</f>
        <v>0</v>
      </c>
      <c r="BT343" t="str">
        <f t="shared" si="314"/>
        <v/>
      </c>
      <c r="BU343" t="str">
        <f t="shared" si="286"/>
        <v/>
      </c>
      <c r="BW343">
        <f>IF(IFERROR(SEARCH("Arcane Trickster",$T343,1),0)&gt;0,1,0)*IF(ArcaneTricksterMaxSpellLevel&gt;=$C343,1,0)*IF(IFERROR(MATCH($B343,Character_Creation!$J$350:$J$356,0),0)&gt;0,0,1)*IF(Character_Creation!$T$338&gt;0,1,0)</f>
        <v>0</v>
      </c>
      <c r="BX343">
        <f>IF(BW343=0,0,1+COUNTIF(BX$3:BX342,"&gt;0"))</f>
        <v>0</v>
      </c>
      <c r="BY343" t="str">
        <f t="shared" si="315"/>
        <v/>
      </c>
      <c r="BZ343" t="str">
        <f t="shared" si="287"/>
        <v/>
      </c>
      <c r="CB343">
        <f>IF(IFERROR(SEARCH("Wizard",$T343,1),0)&gt;0,1,0)*IF(C343&lt;=ArcaneTricksterMaxSpellLevel,1,0)*IF(IFERROR(MATCH($B343,Character_Creation!$J$350:$J$356,0),0)&gt;0,0,1)*IF(Character_Creation!$T$350&gt;0,1,0)</f>
        <v>0</v>
      </c>
      <c r="CC343">
        <f>IF(CB343=0,0,1+COUNTIF(CC$3:CC342,"&gt;0"))</f>
        <v>0</v>
      </c>
      <c r="CD343" t="str">
        <f t="shared" si="316"/>
        <v/>
      </c>
      <c r="CE343" t="str">
        <f t="shared" si="288"/>
        <v/>
      </c>
      <c r="CG343">
        <f>IF(IFERROR(SEARCH("Wizard",$T343,1),0)&gt;0,1,0)*IF($C343&lt;=EldritchKnightMaxSpellLevel,1,0)*IF(IFERROR(MATCH($B343,Character_Creation!$J$350:$J$356,0),0)&gt;0,0,1)*IF(Character_Creation!$M$350&gt;0,1,0)</f>
        <v>0</v>
      </c>
      <c r="CH343">
        <f>IF(CG343=0,0,1+COUNTIF(CH$3:CH342,"&gt;0"))</f>
        <v>0</v>
      </c>
      <c r="CI343" t="str">
        <f t="shared" si="317"/>
        <v/>
      </c>
      <c r="CJ343" t="str">
        <f t="shared" si="289"/>
        <v/>
      </c>
      <c r="CL343">
        <f>IF(IFERROR(SEARCH("Bard",$T343,1),0)&gt;0,1,0)*IF(BardMaxSpellLevel&gt;=$C343,1,0)*IF(IFERROR(MATCH(B343,Character_Creation!$C$341:$F$362,0),0)&gt;0,0,1)*IF(IFERROR(MATCH($B343,Character_Creation!$C$341:$C$362,0),0)&gt;0,0,1)</f>
        <v>0</v>
      </c>
      <c r="CM343">
        <f>IF(CL343=0,0,1+COUNTIF(CM$3:CM342,"&gt;0"))</f>
        <v>0</v>
      </c>
      <c r="CN343" t="str">
        <f t="shared" si="318"/>
        <v/>
      </c>
      <c r="CO343" t="str">
        <f t="shared" si="290"/>
        <v/>
      </c>
      <c r="CQ343">
        <f>IF(IFERROR(SEARCH("Wizard",$T343,1),0)&gt;0,1,0)*IF(WizardMaxSpellLevel&gt;=$C343,1,0)*IF(IFERROR(MATCH(B343,Character_Creation!$X$341:$X$400,0),0)&gt;0,0,1)*IF(SelectedWizardSpellLevel=$C343,1,0)</f>
        <v>0</v>
      </c>
      <c r="CR343">
        <f>IF(CQ343=0,0,1+COUNTIF(CR$3:CR342,"&gt;0"))</f>
        <v>0</v>
      </c>
      <c r="CS343" t="str">
        <f t="shared" si="319"/>
        <v/>
      </c>
      <c r="CT343" t="str">
        <f t="shared" si="291"/>
        <v/>
      </c>
      <c r="CV343">
        <f>IF(IFERROR(MATCH($B343,Character_Creation!$C$341:$C$362,0),0)&gt;0,0,1)*IF(OR(C343="Cantrip",C343&lt;=BardMaxSpellLevel),1,0)*IF(IFERROR(MATCH($B343,Character_Creation!$C$367:$C$374,0),0)&gt;0,0,1)</f>
        <v>1</v>
      </c>
      <c r="CW343">
        <f>IF(CV343=0,0,1+COUNTIF(CW$3:CW342,"&gt;0"))</f>
        <v>26</v>
      </c>
      <c r="CX343" t="str">
        <f t="shared" si="320"/>
        <v/>
      </c>
      <c r="CY343" t="str">
        <f t="shared" si="292"/>
        <v/>
      </c>
      <c r="DA343">
        <f>IF(IF(OR(IFERROR(SEARCH("Cleric",$T343,1),0)&gt;0,IFERROR(SEARCH(DivineDomain&amp;",",$T343,1),0)&gt;0),1,0)*IF($C343=DA$2,1,0)=1,1+COUNTIF(DA$3:DA342,"&gt;0"),0)</f>
        <v>0</v>
      </c>
      <c r="DB343">
        <f>IF(IF(OR(IFERROR(SEARCH("Cleric",$T343,1),0)&gt;0,IFERROR(SEARCH(DivineDomain&amp;",",$T343,1),0)&gt;0),1,0)*IF($C343=DB$2,1,0)=1,1+COUNTIF(DB$3:DB342,"&gt;0"),0)</f>
        <v>0</v>
      </c>
      <c r="DC343">
        <f>IF(IF(OR(IFERROR(SEARCH("Cleric",$T343,1),0)&gt;0,IFERROR(SEARCH(DivineDomain&amp;",",$T343,1),0)&gt;0),1,0)*IF($C343=DC$2,1,0)=1,1+COUNTIF(DC$3:DC342,"&gt;0"),0)</f>
        <v>0</v>
      </c>
      <c r="DD343">
        <f>IF(IF(OR(IFERROR(SEARCH("Cleric",$T343,1),0)&gt;0,IFERROR(SEARCH(DivineDomain&amp;",",$T343,1),0)&gt;0),1,0)*IF($C343=DD$2,1,0)=1,1+COUNTIF(DD$3:DD342,"&gt;0"),0)</f>
        <v>0</v>
      </c>
      <c r="DE343">
        <f>IF(IF(OR(IFERROR(SEARCH("Cleric",$T343,1),0)&gt;0,IFERROR(SEARCH(DivineDomain&amp;",",$T343,1),0)&gt;0),1,0)*IF($C343=DE$2,1,0)=1,1+COUNTIF(DE$3:DE342,"&gt;0"),0)</f>
        <v>0</v>
      </c>
      <c r="DF343">
        <f>IF(IF(OR(IFERROR(SEARCH("Cleric",$T343,1),0)&gt;0,IFERROR(SEARCH(DivineDomain&amp;",",$T343,1),0)&gt;0),1,0)*IF($C343=DF$2,1,0)=1,1+COUNTIF(DF$3:DF342,"&gt;0"),0)</f>
        <v>0</v>
      </c>
      <c r="DG343">
        <f>IF(IF(OR(IFERROR(SEARCH("Cleric",$T343,1),0)&gt;0,IFERROR(SEARCH(DivineDomain&amp;",",$T343,1),0)&gt;0),1,0)*IF($C343=DG$2,1,0)=1,1+COUNTIF(DG$3:DG342,"&gt;0"),0)</f>
        <v>0</v>
      </c>
      <c r="DH343">
        <f>IF(IF(OR(IFERROR(SEARCH("Cleric",$T343,1),0)&gt;0,IFERROR(SEARCH(DivineDomain&amp;",",$T343,1),0)&gt;0),1,0)*IF($C343=DH$2,1,0)=1,1+COUNTIF(DH$3:DH342,"&gt;0"),0)</f>
        <v>0</v>
      </c>
      <c r="DI343">
        <f>IF(IF(OR(IFERROR(SEARCH("Cleric",$T343,1),0)&gt;0,IFERROR(SEARCH(DivineDomain&amp;",",$T343,1),0)&gt;0),1,0)*IF($C343=DI$2,1,0)=1,1+COUNTIF(DI$3:DI342,"&gt;0"),0)</f>
        <v>0</v>
      </c>
      <c r="DJ343">
        <f>IF(IF(OR(IFERROR(SEARCH("Druid",$T343,1),0)&gt;0,IFERROR(SEARCH(DruidLand1,$T343,1),0)&gt;0,IFERROR(SEARCH(DruidLand2,$T343,1),0)&gt;0,IFERROR(SEARCH(DruidLand3,$T343,1),0)&gt;0,IFERROR(SEARCH(DruidLand4,$T343,1),0)&gt;0),1,0)*IF($C343=1,1,0)*IF($C343=DJ$2,1,0)=0,0,1+COUNTIF(DJ$3:DJ342,"&gt;0"))</f>
        <v>0</v>
      </c>
      <c r="DK343">
        <f>IF(IF(OR(IFERROR(SEARCH("Druid",$T343,1),0)&gt;0,IFERROR(SEARCH(DruidLand1,$T343,1),0)&gt;0,IFERROR(SEARCH(DruidLand2,$T343,1),0)&gt;0,IFERROR(SEARCH(DruidLand3,$T343,1),0)&gt;0,IFERROR(SEARCH(DruidLand4,$T343,1),0)&gt;0),1,0)*IF($C343=1,1,0)*IF($C343=DK$2,1,0)=0,0,1+COUNTIF(DK$3:DK342,"&gt;0"))</f>
        <v>0</v>
      </c>
      <c r="DL343">
        <f>IF(IF(OR(IFERROR(SEARCH("Druid",$T343,1),0)&gt;0,IFERROR(SEARCH(DruidLand1,$T343,1),0)&gt;0,IFERROR(SEARCH(DruidLand2,$T343,1),0)&gt;0,IFERROR(SEARCH(DruidLand3,$T343,1),0)&gt;0,IFERROR(SEARCH(DruidLand4,$T343,1),0)&gt;0),1,0)*IF($C343=1,1,0)*IF($C343=DL$2,1,0)=0,0,1+COUNTIF(DL$3:DL342,"&gt;0"))</f>
        <v>0</v>
      </c>
      <c r="DM343">
        <f>IF(IF(OR(IFERROR(SEARCH("Druid",$T343,1),0)&gt;0,IFERROR(SEARCH(DruidLand1,$T343,1),0)&gt;0,IFERROR(SEARCH(DruidLand2,$T343,1),0)&gt;0,IFERROR(SEARCH(DruidLand3,$T343,1),0)&gt;0,IFERROR(SEARCH(DruidLand4,$T343,1),0)&gt;0),1,0)*IF($C343=1,1,0)*IF($C343=DM$2,1,0)=0,0,1+COUNTIF(DM$3:DM342,"&gt;0"))</f>
        <v>0</v>
      </c>
      <c r="DN343">
        <f>IF(IF(OR(IFERROR(SEARCH("Druid",$T343,1),0)&gt;0,IFERROR(SEARCH(DruidLand1,$T343,1),0)&gt;0,IFERROR(SEARCH(DruidLand2,$T343,1),0)&gt;0,IFERROR(SEARCH(DruidLand3,$T343,1),0)&gt;0,IFERROR(SEARCH(DruidLand4,$T343,1),0)&gt;0),1,0)*IF($C343=1,1,0)*IF($C343=DN$2,1,0)=0,0,1+COUNTIF(DN$3:DN342,"&gt;0"))</f>
        <v>0</v>
      </c>
      <c r="DO343">
        <f>IF(IF(OR(IFERROR(SEARCH("Druid",$T343,1),0)&gt;0,IFERROR(SEARCH(DruidLand1,$T343,1),0)&gt;0,IFERROR(SEARCH(DruidLand2,$T343,1),0)&gt;0,IFERROR(SEARCH(DruidLand3,$T343,1),0)&gt;0,IFERROR(SEARCH(DruidLand4,$T343,1),0)&gt;0),1,0)*IF($C343=1,1,0)*IF($C343=DO$2,1,0)=0,0,1+COUNTIF(DO$3:DO342,"&gt;0"))</f>
        <v>0</v>
      </c>
      <c r="DP343">
        <f>IF(IF(OR(IFERROR(SEARCH("Druid",$T343,1),0)&gt;0,IFERROR(SEARCH(DruidLand1,$T343,1),0)&gt;0,IFERROR(SEARCH(DruidLand2,$T343,1),0)&gt;0,IFERROR(SEARCH(DruidLand3,$T343,1),0)&gt;0,IFERROR(SEARCH(DruidLand4,$T343,1),0)&gt;0),1,0)*IF($C343=1,1,0)*IF($C343=DP$2,1,0)=0,0,1+COUNTIF(DP$3:DP342,"&gt;0"))</f>
        <v>0</v>
      </c>
      <c r="DQ343">
        <f>IF(IF(OR(IFERROR(SEARCH("Druid",$T343,1),0)&gt;0,IFERROR(SEARCH(DruidLand1,$T343,1),0)&gt;0,IFERROR(SEARCH(DruidLand2,$T343,1),0)&gt;0,IFERROR(SEARCH(DruidLand3,$T343,1),0)&gt;0,IFERROR(SEARCH(DruidLand4,$T343,1),0)&gt;0),1,0)*IF($C343=1,1,0)*IF($C343=DQ$2,1,0)=0,0,1+COUNTIF(DQ$3:DQ342,"&gt;0"))</f>
        <v>0</v>
      </c>
      <c r="DR343">
        <f>IF(IF(OR(IFERROR(SEARCH("Druid",$T343,1),0)&gt;0,IFERROR(SEARCH(DruidLand1,$T343,1),0)&gt;0,IFERROR(SEARCH(DruidLand2,$T343,1),0)&gt;0,IFERROR(SEARCH(DruidLand3,$T343,1),0)&gt;0,IFERROR(SEARCH(DruidLand4,$T343,1),0)&gt;0),1,0)*IF($C343=1,1,0)*IF($C343=DR$2,1,0)=0,0,1+COUNTIF(DR$3:DR342,"&gt;0"))</f>
        <v>0</v>
      </c>
      <c r="DS343">
        <f>IF(IF(OR(IFERROR(SEARCH("Paladin",$T343,1),0)&gt;0,IFERROR(SEARCH(PaladinOath,$T343,1),0)&gt;0),1,0)*IF($C343=DS$2,1,0)=1,1+COUNTIF(DS$3:DS342,"&gt;0"),0)</f>
        <v>0</v>
      </c>
      <c r="DT343">
        <f>IF(IF(OR(IFERROR(SEARCH("Paladin",$T343,1),0)&gt;0,IFERROR(SEARCH(PaladinOath,$T343,1),0)&gt;0),1,0)*IF($C343=DT$2,1,0)=1,1+COUNTIF(DT$3:DT342,"&gt;0"),0)</f>
        <v>0</v>
      </c>
      <c r="DU343">
        <f>IF(IF(OR(IFERROR(SEARCH("Paladin",$T343,1),0)&gt;0,IFERROR(SEARCH(PaladinOath,$T343,1),0)&gt;0),1,0)*IF($C343=DU$2,1,0)=1,1+COUNTIF(DU$3:DU342,"&gt;0"),0)</f>
        <v>0</v>
      </c>
      <c r="DV343">
        <f>IF(IF(OR(IFERROR(SEARCH("Paladin",$T343,1),0)&gt;0,IFERROR(SEARCH(PaladinOath,$T343,1),0)&gt;0),1,0)*IF($C343=DV$2,1,0)=1,1+COUNTIF(DV$3:DV342,"&gt;0"),0)</f>
        <v>0</v>
      </c>
      <c r="DW343">
        <f>IF(IF(OR(IFERROR(SEARCH("Paladin",$T343,1),0)&gt;0,IFERROR(SEARCH(PaladinOath,$T343,1),0)&gt;0),1,0)*IF($C343=DW$2,1,0)=1,1+COUNTIF(DW$3:DW342,"&gt;0"),0)</f>
        <v>0</v>
      </c>
      <c r="DY343">
        <f t="shared" si="278"/>
        <v>1</v>
      </c>
      <c r="DZ343">
        <f>IF(DY343=0,0,1+MAX(DZ$3:$DZ342))</f>
        <v>341</v>
      </c>
      <c r="EB343">
        <f t="shared" si="293"/>
        <v>1</v>
      </c>
      <c r="EC343">
        <f>IF(EB343=0,0,1+COUNTIF(EC$3:EC342,"&gt;0"))</f>
        <v>10</v>
      </c>
      <c r="ED343" t="str">
        <f t="shared" si="321"/>
        <v/>
      </c>
      <c r="EE343" t="str">
        <f t="shared" si="294"/>
        <v/>
      </c>
      <c r="EG343">
        <f t="shared" si="295"/>
        <v>0</v>
      </c>
      <c r="EH343">
        <f>IF(EG343=0,0,1+COUNTIF(EH$3:EH342,"&gt;0"))</f>
        <v>0</v>
      </c>
      <c r="EI343" t="str">
        <f t="shared" si="322"/>
        <v/>
      </c>
      <c r="EJ343" t="str">
        <f t="shared" si="296"/>
        <v/>
      </c>
      <c r="EL343">
        <f t="shared" si="297"/>
        <v>0</v>
      </c>
      <c r="EM343">
        <f>IF(EL343=0,0,1+COUNTIF(EM$3:EM342,"&gt;0"))</f>
        <v>0</v>
      </c>
      <c r="EN343" t="str">
        <f t="shared" si="323"/>
        <v/>
      </c>
      <c r="EO343" t="str">
        <f t="shared" si="298"/>
        <v/>
      </c>
      <c r="EQ343">
        <f t="shared" si="299"/>
        <v>0</v>
      </c>
      <c r="ER343">
        <f>IF(EQ343=0,0,1+COUNTIF(ER$3:ER342,"&gt;0"))</f>
        <v>0</v>
      </c>
      <c r="ES343" t="str">
        <f t="shared" si="324"/>
        <v/>
      </c>
      <c r="ET343" t="str">
        <f t="shared" si="300"/>
        <v/>
      </c>
      <c r="EV343">
        <f t="shared" si="301"/>
        <v>0</v>
      </c>
      <c r="EW343">
        <f>IF(EV343=0,0,1+COUNTIF(EW$3:EW342,"&gt;0"))</f>
        <v>0</v>
      </c>
      <c r="EX343" t="str">
        <f t="shared" si="325"/>
        <v/>
      </c>
      <c r="EY343" t="str">
        <f t="shared" si="302"/>
        <v/>
      </c>
      <c r="FA343">
        <f t="shared" si="303"/>
        <v>1</v>
      </c>
      <c r="FB343">
        <f>IF(FA343=0,0,1+COUNTIF(FB$3:FB342,"&gt;0"))</f>
        <v>16</v>
      </c>
      <c r="FC343" t="str">
        <f t="shared" si="326"/>
        <v/>
      </c>
      <c r="FD343" t="str">
        <f t="shared" si="304"/>
        <v/>
      </c>
      <c r="FF343">
        <f t="shared" si="305"/>
        <v>1</v>
      </c>
      <c r="FG343">
        <f>IF(FF343=0,0,1+COUNTIF(FG$3:FG342,"&gt;0"))</f>
        <v>8</v>
      </c>
      <c r="FH343" t="str">
        <f t="shared" si="327"/>
        <v/>
      </c>
      <c r="FI343" t="str">
        <f t="shared" si="306"/>
        <v/>
      </c>
      <c r="FK343">
        <f t="shared" si="307"/>
        <v>1</v>
      </c>
      <c r="FL343">
        <f>IF(FK343=0,0,1+COUNTIF(FL$3:FL342,"&gt;0"))</f>
        <v>16</v>
      </c>
      <c r="FM343" t="str">
        <f t="shared" si="328"/>
        <v/>
      </c>
      <c r="FN343" t="str">
        <f t="shared" si="308"/>
        <v/>
      </c>
      <c r="FP343">
        <f t="shared" si="309"/>
        <v>1</v>
      </c>
      <c r="FQ343">
        <f>IF(FP343=0,0,1+COUNTIF(FQ$3:FQ342,"&gt;0"))</f>
        <v>10</v>
      </c>
      <c r="FR343" t="str">
        <f t="shared" si="329"/>
        <v/>
      </c>
      <c r="FS343" t="str">
        <f t="shared" si="310"/>
        <v/>
      </c>
    </row>
    <row r="344" spans="1:175" x14ac:dyDescent="0.25">
      <c r="A344" s="347">
        <f t="shared" si="331"/>
        <v>342</v>
      </c>
      <c r="B344" s="348" t="s">
        <v>2745</v>
      </c>
      <c r="C344" s="348">
        <v>9</v>
      </c>
      <c r="D344" s="347">
        <v>9</v>
      </c>
      <c r="E344" s="627" t="s">
        <v>6952</v>
      </c>
      <c r="F344" s="346"/>
      <c r="G344" s="347" t="str">
        <f>""</f>
        <v/>
      </c>
      <c r="H344" s="347" t="s">
        <v>5288</v>
      </c>
      <c r="I344" s="347" t="s">
        <v>5432</v>
      </c>
      <c r="J344" s="347" t="str">
        <f t="shared" si="279"/>
        <v/>
      </c>
      <c r="K344" s="347" t="s">
        <v>5508</v>
      </c>
      <c r="L344" s="611" t="str">
        <f t="shared" si="280"/>
        <v>V, S</v>
      </c>
      <c r="M344" s="347" t="s">
        <v>2373</v>
      </c>
      <c r="N344" s="347" t="s">
        <v>2387</v>
      </c>
      <c r="O344" s="347" t="s">
        <v>3034</v>
      </c>
      <c r="Q344" s="347" t="s">
        <v>5271</v>
      </c>
      <c r="S344" s="346" t="s">
        <v>5852</v>
      </c>
      <c r="T344" s="346" t="str">
        <f t="shared" si="281"/>
        <v xml:space="preserve">Cleric, Druid, </v>
      </c>
      <c r="Z344" s="347" t="str">
        <f>$B344</f>
        <v>Tsunami</v>
      </c>
      <c r="AA344" s="347" t="str">
        <f>$B344</f>
        <v>Tsunami</v>
      </c>
      <c r="AE344" t="str">
        <f>IF(IFERROR(MATCH($B344,temp!A$4:A$13,0),0)&gt;0,T08_Spells!AE$2,"")</f>
        <v/>
      </c>
      <c r="AF344" t="str">
        <f>IF(IFERROR(MATCH($B344,temp!B$4:B$13,0),0)&gt;0,T08_Spells!AF$2,"")</f>
        <v/>
      </c>
      <c r="AG344" t="str">
        <f>IF(IFERROR(MATCH($B344,temp!C$4:C$13,0),0)&gt;0,T08_Spells!AG$2,"")</f>
        <v/>
      </c>
      <c r="AH344" t="str">
        <f>IF(IFERROR(MATCH($B344,temp!D$4:D$13,0),0)&gt;0,T08_Spells!AH$2,"")</f>
        <v/>
      </c>
      <c r="AI344" t="str">
        <f>IF(IFERROR(MATCH($B344,temp!E$4:E$13,0),0)&gt;0,T08_Spells!AI$2,"")</f>
        <v/>
      </c>
      <c r="AJ344" t="str">
        <f>IF(IFERROR(MATCH($B344,temp!F$4:F$13,0),0)&gt;0,T08_Spells!AJ$2,"")</f>
        <v/>
      </c>
      <c r="AK344" t="str">
        <f>IF(IFERROR(MATCH($B344,temp!G$4:G$13,0),0)&gt;0,T08_Spells!AK$2,"")</f>
        <v/>
      </c>
      <c r="AL344" t="str">
        <f>IF(IFERROR(MATCH($B344,temp!H$4:H$13,0),0)&gt;0,T08_Spells!AL$2,"")</f>
        <v/>
      </c>
      <c r="AM344" t="str">
        <f>IF(IFERROR(MATCH($B344,temp!I$4:I$13,0),0)&gt;0,T08_Spells!AM$2,"")</f>
        <v/>
      </c>
      <c r="AN344" t="str">
        <f>IF(IFERROR(MATCH($B344,temp!J$4:J$13,0),0)&gt;0,T08_Spells!AN$2,"")</f>
        <v/>
      </c>
      <c r="AO344" t="str">
        <f>IF(IFERROR(MATCH($B344,temp!K$4:K$13,0),0)&gt;0,T08_Spells!AO$2,"")</f>
        <v/>
      </c>
      <c r="AP344" t="str">
        <f>IF(IFERROR(MATCH($B344,temp!L$4:L$13,0),0)&gt;0,T08_Spells!AP$2,"")</f>
        <v/>
      </c>
      <c r="AQ344" t="str">
        <f>IF(IFERROR(MATCH($B344,temp!M$4:M$13,0),0)&gt;0,T08_Spells!AQ$2,"")</f>
        <v/>
      </c>
      <c r="AR344" t="str">
        <f>IF(IFERROR(MATCH($B344,temp!N$4:N$13,0),0)&gt;0,T08_Spells!AR$2,"")</f>
        <v/>
      </c>
      <c r="AS344" t="str">
        <f>IF(IFERROR(MATCH($B344,temp!O$4:O$13,0),0)&gt;0,T08_Spells!AS$2,"")</f>
        <v/>
      </c>
      <c r="AT344" t="str">
        <f>IF(IFERROR(MATCH($B344,temp!P$4:P$13,0),0)&gt;0,T08_Spells!AT$2,"")</f>
        <v/>
      </c>
      <c r="AU344" t="str">
        <f>IF(IFERROR(MATCH($B344,temp!Q$4:Q$13,0),0)&gt;0,T08_Spells!AU$2,"")</f>
        <v/>
      </c>
      <c r="AV344" t="str">
        <f>IF(IFERROR(MATCH($B344,temp!R$4:R$13,0),0)&gt;0,T08_Spells!AV$2,"")</f>
        <v/>
      </c>
      <c r="AW344" t="str">
        <f>IF(IFERROR(MATCH($B344,temp!S$4:S$13,0),0)&gt;0,T08_Spells!AW$2,"")</f>
        <v/>
      </c>
      <c r="AX344" t="str">
        <f>IF(IFERROR(MATCH($B344,temp!T$4:T$13,0),0)&gt;0,T08_Spells!AX$2,"")</f>
        <v/>
      </c>
      <c r="AY344" t="str">
        <f>IF(IFERROR(MATCH($B344,temp!U$4:U$13,0),0)&gt;0,T08_Spells!AY$2,"")</f>
        <v/>
      </c>
      <c r="AZ344" t="str">
        <f>IF(IFERROR(MATCH($B344,temp!V$4:V$13,0),0)&gt;0,T08_Spells!AZ$2,"")</f>
        <v/>
      </c>
      <c r="BA344" t="str">
        <f>IF(IFERROR(MATCH($B344,temp!W$4:W$13,0),0)&gt;0,T08_Spells!BA$2,"")</f>
        <v/>
      </c>
      <c r="BC344">
        <f>IF(IFERROR(SEARCH("Ranger",$T344,1),0)&gt;0,1,0)*IF(RangerMaxSpellLevel&gt;=$C344,1,0)*IF(IFERROR(MATCH(B344,Character_Creation!$X$79:$X$382,0),0)&gt;0,0,1)</f>
        <v>0</v>
      </c>
      <c r="BD344">
        <f>IF(BC344=0,0,1+COUNTIF(BD$3:BD343,"&gt;0"))</f>
        <v>0</v>
      </c>
      <c r="BE344" t="str">
        <f t="shared" si="311"/>
        <v/>
      </c>
      <c r="BF344" t="str">
        <f t="shared" si="283"/>
        <v/>
      </c>
      <c r="BH344">
        <f>IF(IFERROR(SEARCH("Sorcerer",$T344,1),0)&gt;0,1,0)*IF(SorcererMaxSpellLevel&gt;=$C344,1,0)*IF(IFERROR(MATCH(B344,Character_Creation!$J$380:$J$394,0),0)&gt;0,0,1)</f>
        <v>0</v>
      </c>
      <c r="BI344">
        <f>IF(BH344=0,0,1+COUNTIF(BI$3:BI343,"&gt;0"))</f>
        <v>0</v>
      </c>
      <c r="BJ344" t="str">
        <f t="shared" si="312"/>
        <v/>
      </c>
      <c r="BK344" t="str">
        <f t="shared" si="284"/>
        <v/>
      </c>
      <c r="BM344">
        <f>IF(OR(IFERROR(SEARCH("Warlock",$T344,1),0)&gt;0,IFERROR(SEARCH(WarlockPatron,$T344,1),0)&gt;0),1,0)*IF(WarlockMaxSpellLevel&gt;=$C344,1,0)*IF(IFERROR(MATCH(B344,Character_Creation!$J$361:$J$375,0),0)&gt;0,0,1)</f>
        <v>0</v>
      </c>
      <c r="BN344">
        <f>IF(BM344=0,0,1+COUNTIF(BN$3:BN343,"&gt;0"))</f>
        <v>0</v>
      </c>
      <c r="BO344" t="str">
        <f t="shared" si="313"/>
        <v/>
      </c>
      <c r="BP344" t="str">
        <f t="shared" si="285"/>
        <v/>
      </c>
      <c r="BR344">
        <f>IF(IFERROR(SEARCH("Eldritch Knight",$T344,1),0)&gt;0,1,0)*IF(EldritchKnightMaxSpellLevel&gt;=$C344,1,0)*IF(IFERROR(MATCH($B344,Character_Creation!$J$350:$J$356,0),0)&gt;0,0,1)*IF(Character_Creation!$M$338&gt;0,1,0)</f>
        <v>0</v>
      </c>
      <c r="BS344">
        <f>IF(BR344=0,0,1+COUNTIF(BS$3:BS343,"&gt;0"))</f>
        <v>0</v>
      </c>
      <c r="BT344" t="str">
        <f t="shared" si="314"/>
        <v/>
      </c>
      <c r="BU344" t="str">
        <f t="shared" si="286"/>
        <v/>
      </c>
      <c r="BW344">
        <f>IF(IFERROR(SEARCH("Arcane Trickster",$T344,1),0)&gt;0,1,0)*IF(ArcaneTricksterMaxSpellLevel&gt;=$C344,1,0)*IF(IFERROR(MATCH($B344,Character_Creation!$J$350:$J$356,0),0)&gt;0,0,1)*IF(Character_Creation!$T$338&gt;0,1,0)</f>
        <v>0</v>
      </c>
      <c r="BX344">
        <f>IF(BW344=0,0,1+COUNTIF(BX$3:BX343,"&gt;0"))</f>
        <v>0</v>
      </c>
      <c r="BY344" t="str">
        <f t="shared" si="315"/>
        <v/>
      </c>
      <c r="BZ344" t="str">
        <f t="shared" si="287"/>
        <v/>
      </c>
      <c r="CB344">
        <f>IF(IFERROR(SEARCH("Wizard",$T344,1),0)&gt;0,1,0)*IF(C344&lt;=ArcaneTricksterMaxSpellLevel,1,0)*IF(IFERROR(MATCH($B344,Character_Creation!$J$350:$J$356,0),0)&gt;0,0,1)*IF(Character_Creation!$T$350&gt;0,1,0)</f>
        <v>0</v>
      </c>
      <c r="CC344">
        <f>IF(CB344=0,0,1+COUNTIF(CC$3:CC343,"&gt;0"))</f>
        <v>0</v>
      </c>
      <c r="CD344" t="str">
        <f t="shared" si="316"/>
        <v/>
      </c>
      <c r="CE344" t="str">
        <f t="shared" si="288"/>
        <v/>
      </c>
      <c r="CG344">
        <f>IF(IFERROR(SEARCH("Wizard",$T344,1),0)&gt;0,1,0)*IF($C344&lt;=EldritchKnightMaxSpellLevel,1,0)*IF(IFERROR(MATCH($B344,Character_Creation!$J$350:$J$356,0),0)&gt;0,0,1)*IF(Character_Creation!$M$350&gt;0,1,0)</f>
        <v>0</v>
      </c>
      <c r="CH344">
        <f>IF(CG344=0,0,1+COUNTIF(CH$3:CH343,"&gt;0"))</f>
        <v>0</v>
      </c>
      <c r="CI344" t="str">
        <f t="shared" si="317"/>
        <v/>
      </c>
      <c r="CJ344" t="str">
        <f t="shared" si="289"/>
        <v/>
      </c>
      <c r="CL344">
        <f>IF(IFERROR(SEARCH("Bard",$T344,1),0)&gt;0,1,0)*IF(BardMaxSpellLevel&gt;=$C344,1,0)*IF(IFERROR(MATCH(B344,Character_Creation!$C$341:$F$362,0),0)&gt;0,0,1)*IF(IFERROR(MATCH($B344,Character_Creation!$C$341:$C$362,0),0)&gt;0,0,1)</f>
        <v>0</v>
      </c>
      <c r="CM344">
        <f>IF(CL344=0,0,1+COUNTIF(CM$3:CM343,"&gt;0"))</f>
        <v>0</v>
      </c>
      <c r="CN344" t="str">
        <f t="shared" si="318"/>
        <v/>
      </c>
      <c r="CO344" t="str">
        <f t="shared" si="290"/>
        <v/>
      </c>
      <c r="CQ344">
        <f>IF(IFERROR(SEARCH("Wizard",$T344,1),0)&gt;0,1,0)*IF(WizardMaxSpellLevel&gt;=$C344,1,0)*IF(IFERROR(MATCH(B344,Character_Creation!$X$341:$X$400,0),0)&gt;0,0,1)*IF(SelectedWizardSpellLevel=$C344,1,0)</f>
        <v>0</v>
      </c>
      <c r="CR344">
        <f>IF(CQ344=0,0,1+COUNTIF(CR$3:CR343,"&gt;0"))</f>
        <v>0</v>
      </c>
      <c r="CS344" t="str">
        <f t="shared" si="319"/>
        <v/>
      </c>
      <c r="CT344" t="str">
        <f t="shared" si="291"/>
        <v/>
      </c>
      <c r="CV344">
        <f>IF(IFERROR(MATCH($B344,Character_Creation!$C$341:$C$362,0),0)&gt;0,0,1)*IF(OR(C344="Cantrip",C344&lt;=BardMaxSpellLevel),1,0)*IF(IFERROR(MATCH($B344,Character_Creation!$C$367:$C$374,0),0)&gt;0,0,1)</f>
        <v>0</v>
      </c>
      <c r="CW344">
        <f>IF(CV344=0,0,1+COUNTIF(CW$3:CW343,"&gt;0"))</f>
        <v>0</v>
      </c>
      <c r="CX344" t="str">
        <f t="shared" si="320"/>
        <v/>
      </c>
      <c r="CY344" t="str">
        <f t="shared" si="292"/>
        <v/>
      </c>
      <c r="DA344">
        <f>IF(IF(OR(IFERROR(SEARCH("Cleric",$T344,1),0)&gt;0,IFERROR(SEARCH(DivineDomain&amp;",",$T344,1),0)&gt;0),1,0)*IF($C344=DA$2,1,0)=1,1+COUNTIF(DA$3:DA343,"&gt;0"),0)</f>
        <v>0</v>
      </c>
      <c r="DB344">
        <f>IF(IF(OR(IFERROR(SEARCH("Cleric",$T344,1),0)&gt;0,IFERROR(SEARCH(DivineDomain&amp;",",$T344,1),0)&gt;0),1,0)*IF($C344=DB$2,1,0)=1,1+COUNTIF(DB$3:DB343,"&gt;0"),0)</f>
        <v>0</v>
      </c>
      <c r="DC344">
        <f>IF(IF(OR(IFERROR(SEARCH("Cleric",$T344,1),0)&gt;0,IFERROR(SEARCH(DivineDomain&amp;",",$T344,1),0)&gt;0),1,0)*IF($C344=DC$2,1,0)=1,1+COUNTIF(DC$3:DC343,"&gt;0"),0)</f>
        <v>0</v>
      </c>
      <c r="DD344">
        <f>IF(IF(OR(IFERROR(SEARCH("Cleric",$T344,1),0)&gt;0,IFERROR(SEARCH(DivineDomain&amp;",",$T344,1),0)&gt;0),1,0)*IF($C344=DD$2,1,0)=1,1+COUNTIF(DD$3:DD343,"&gt;0"),0)</f>
        <v>0</v>
      </c>
      <c r="DE344">
        <f>IF(IF(OR(IFERROR(SEARCH("Cleric",$T344,1),0)&gt;0,IFERROR(SEARCH(DivineDomain&amp;",",$T344,1),0)&gt;0),1,0)*IF($C344=DE$2,1,0)=1,1+COUNTIF(DE$3:DE343,"&gt;0"),0)</f>
        <v>0</v>
      </c>
      <c r="DF344">
        <f>IF(IF(OR(IFERROR(SEARCH("Cleric",$T344,1),0)&gt;0,IFERROR(SEARCH(DivineDomain&amp;",",$T344,1),0)&gt;0),1,0)*IF($C344=DF$2,1,0)=1,1+COUNTIF(DF$3:DF343,"&gt;0"),0)</f>
        <v>0</v>
      </c>
      <c r="DG344">
        <f>IF(IF(OR(IFERROR(SEARCH("Cleric",$T344,1),0)&gt;0,IFERROR(SEARCH(DivineDomain&amp;",",$T344,1),0)&gt;0),1,0)*IF($C344=DG$2,1,0)=1,1+COUNTIF(DG$3:DG343,"&gt;0"),0)</f>
        <v>0</v>
      </c>
      <c r="DH344">
        <f>IF(IF(OR(IFERROR(SEARCH("Cleric",$T344,1),0)&gt;0,IFERROR(SEARCH(DivineDomain&amp;",",$T344,1),0)&gt;0),1,0)*IF($C344=DH$2,1,0)=1,1+COUNTIF(DH$3:DH343,"&gt;0"),0)</f>
        <v>0</v>
      </c>
      <c r="DI344">
        <f>IF(IF(OR(IFERROR(SEARCH("Cleric",$T344,1),0)&gt;0,IFERROR(SEARCH(DivineDomain&amp;",",$T344,1),0)&gt;0),1,0)*IF($C344=DI$2,1,0)=1,1+COUNTIF(DI$3:DI343,"&gt;0"),0)</f>
        <v>6</v>
      </c>
      <c r="DJ344">
        <f>IF(IF(OR(IFERROR(SEARCH("Druid",$T344,1),0)&gt;0,IFERROR(SEARCH(DruidLand1,$T344,1),0)&gt;0,IFERROR(SEARCH(DruidLand2,$T344,1),0)&gt;0,IFERROR(SEARCH(DruidLand3,$T344,1),0)&gt;0,IFERROR(SEARCH(DruidLand4,$T344,1),0)&gt;0),1,0)*IF($C344=1,1,0)*IF($C344=DJ$2,1,0)=0,0,1+COUNTIF(DJ$3:DJ343,"&gt;0"))</f>
        <v>0</v>
      </c>
      <c r="DK344">
        <f>IF(IF(OR(IFERROR(SEARCH("Druid",$T344,1),0)&gt;0,IFERROR(SEARCH(DruidLand1,$T344,1),0)&gt;0,IFERROR(SEARCH(DruidLand2,$T344,1),0)&gt;0,IFERROR(SEARCH(DruidLand3,$T344,1),0)&gt;0,IFERROR(SEARCH(DruidLand4,$T344,1),0)&gt;0),1,0)*IF($C344=DK$2,1,0)=0,0,1+COUNTIF(DK$3:DK343,"&gt;0"))</f>
        <v>0</v>
      </c>
      <c r="DL344">
        <f>IF(IF(OR(IFERROR(SEARCH("Druid",$T344,1),0)&gt;0,IFERROR(SEARCH(DruidLand1,$T344,1),0)&gt;0,IFERROR(SEARCH(DruidLand2,$T344,1),0)&gt;0,IFERROR(SEARCH(DruidLand3,$T344,1),0)&gt;0,IFERROR(SEARCH(DruidLand4,$T344,1),0)&gt;0),1,0)*IF($C344=DL$2,1,0)=0,0,1+COUNTIF(DL$3:DL343,"&gt;0"))</f>
        <v>0</v>
      </c>
      <c r="DM344">
        <f>IF(IF(OR(IFERROR(SEARCH("Druid",$T344,1),0)&gt;0,IFERROR(SEARCH(DruidLand1,$T344,1),0)&gt;0,IFERROR(SEARCH(DruidLand2,$T344,1),0)&gt;0,IFERROR(SEARCH(DruidLand3,$T344,1),0)&gt;0,IFERROR(SEARCH(DruidLand4,$T344,1),0)&gt;0),1,0)*IF($C344=DM$2,1,0)=0,0,1+COUNTIF(DM$3:DM343,"&gt;0"))</f>
        <v>0</v>
      </c>
      <c r="DN344">
        <f>IF(IF(OR(IFERROR(SEARCH("Druid",$T344,1),0)&gt;0,IFERROR(SEARCH(DruidLand1,$T344,1),0)&gt;0,IFERROR(SEARCH(DruidLand2,$T344,1),0)&gt;0,IFERROR(SEARCH(DruidLand3,$T344,1),0)&gt;0,IFERROR(SEARCH(DruidLand4,$T344,1),0)&gt;0),1,0)*IF($C344=DN$2,1,0)=0,0,1+COUNTIF(DN$3:DN343,"&gt;0"))</f>
        <v>0</v>
      </c>
      <c r="DO344">
        <f>IF(IF(OR(IFERROR(SEARCH("Druid",$T344,1),0)&gt;0,IFERROR(SEARCH(DruidLand1,$T344,1),0)&gt;0,IFERROR(SEARCH(DruidLand2,$T344,1),0)&gt;0,IFERROR(SEARCH(DruidLand3,$T344,1),0)&gt;0,IFERROR(SEARCH(DruidLand4,$T344,1),0)&gt;0),1,0)*IF($C344=DO$2,1,0)=0,0,1+COUNTIF(DO$3:DO343,"&gt;0"))</f>
        <v>0</v>
      </c>
      <c r="DP344">
        <f>IF(IF(OR(IFERROR(SEARCH("Druid",$T344,1),0)&gt;0,IFERROR(SEARCH(DruidLand1,$T344,1),0)&gt;0,IFERROR(SEARCH(DruidLand2,$T344,1),0)&gt;0,IFERROR(SEARCH(DruidLand3,$T344,1),0)&gt;0,IFERROR(SEARCH(DruidLand4,$T344,1),0)&gt;0),1,0)*IF($C344=DP$2,1,0)=0,0,1+COUNTIF(DP$3:DP343,"&gt;0"))</f>
        <v>0</v>
      </c>
      <c r="DQ344">
        <f>IF(IF(OR(IFERROR(SEARCH("Druid",$T344,1),0)&gt;0,IFERROR(SEARCH(DruidLand1,$T344,1),0)&gt;0,IFERROR(SEARCH(DruidLand2,$T344,1),0)&gt;0,IFERROR(SEARCH(DruidLand3,$T344,1),0)&gt;0,IFERROR(SEARCH(DruidLand4,$T344,1),0)&gt;0),1,0)*IF($C344=DQ$2,1,0)=0,0,1+COUNTIF(DQ$3:DQ343,"&gt;0"))</f>
        <v>0</v>
      </c>
      <c r="DR344">
        <f>IF(IF(OR(IFERROR(SEARCH("Druid",$T344,1),0)&gt;0,IFERROR(SEARCH(DruidLand1,$T344,1),0)&gt;0,IFERROR(SEARCH(DruidLand2,$T344,1),0)&gt;0,IFERROR(SEARCH(DruidLand3,$T344,1),0)&gt;0,IFERROR(SEARCH(DruidLand4,$T344,1),0)&gt;0),1,0)*IF($C344=DR$2,1,0)=0,0,1+COUNTIF(DR$3:DR343,"&gt;0"))</f>
        <v>5</v>
      </c>
      <c r="DS344">
        <f>IF(IF(OR(IFERROR(SEARCH("Paladin",$T344,1),0)&gt;0,IFERROR(SEARCH(PaladinOath,$T344,1),0)&gt;0),1,0)*IF($C344=DS$2,1,0)=1,1+COUNTIF(DS$3:DS343,"&gt;0"),0)</f>
        <v>0</v>
      </c>
      <c r="DT344">
        <f>IF(IF(OR(IFERROR(SEARCH("Paladin",$T344,1),0)&gt;0,IFERROR(SEARCH(PaladinOath,$T344,1),0)&gt;0),1,0)*IF($C344=DT$2,1,0)=1,1+COUNTIF(DT$3:DT343,"&gt;0"),0)</f>
        <v>0</v>
      </c>
      <c r="DU344">
        <f>IF(IF(OR(IFERROR(SEARCH("Paladin",$T344,1),0)&gt;0,IFERROR(SEARCH(PaladinOath,$T344,1),0)&gt;0),1,0)*IF($C344=DU$2,1,0)=1,1+COUNTIF(DU$3:DU343,"&gt;0"),0)</f>
        <v>0</v>
      </c>
      <c r="DV344">
        <f>IF(IF(OR(IFERROR(SEARCH("Paladin",$T344,1),0)&gt;0,IFERROR(SEARCH(PaladinOath,$T344,1),0)&gt;0),1,0)*IF($C344=DV$2,1,0)=1,1+COUNTIF(DV$3:DV343,"&gt;0"),0)</f>
        <v>0</v>
      </c>
      <c r="DW344">
        <f>IF(IF(OR(IFERROR(SEARCH("Paladin",$T344,1),0)&gt;0,IFERROR(SEARCH(PaladinOath,$T344,1),0)&gt;0),1,0)*IF($C344=DW$2,1,0)=1,1+COUNTIF(DW$3:DW343,"&gt;0"),0)</f>
        <v>0</v>
      </c>
      <c r="DY344">
        <f t="shared" si="278"/>
        <v>1</v>
      </c>
      <c r="DZ344">
        <f>IF(DY344=0,0,1+MAX(DZ$3:$DZ343))</f>
        <v>342</v>
      </c>
      <c r="EB344">
        <f t="shared" si="293"/>
        <v>0</v>
      </c>
      <c r="EC344">
        <f>IF(EB344=0,0,1+COUNTIF(EC$3:EC343,"&gt;0"))</f>
        <v>0</v>
      </c>
      <c r="ED344" t="str">
        <f t="shared" si="321"/>
        <v/>
      </c>
      <c r="EE344" t="str">
        <f t="shared" si="294"/>
        <v/>
      </c>
      <c r="EG344">
        <f t="shared" si="295"/>
        <v>0</v>
      </c>
      <c r="EH344">
        <f>IF(EG344=0,0,1+COUNTIF(EH$3:EH343,"&gt;0"))</f>
        <v>0</v>
      </c>
      <c r="EI344" t="str">
        <f t="shared" si="322"/>
        <v/>
      </c>
      <c r="EJ344" t="str">
        <f t="shared" si="296"/>
        <v/>
      </c>
      <c r="EL344">
        <f t="shared" si="297"/>
        <v>0</v>
      </c>
      <c r="EM344">
        <f>IF(EL344=0,0,1+COUNTIF(EM$3:EM343,"&gt;0"))</f>
        <v>0</v>
      </c>
      <c r="EN344" t="str">
        <f t="shared" si="323"/>
        <v/>
      </c>
      <c r="EO344" t="str">
        <f t="shared" si="298"/>
        <v/>
      </c>
      <c r="EQ344">
        <f t="shared" si="299"/>
        <v>0</v>
      </c>
      <c r="ER344">
        <f>IF(EQ344=0,0,1+COUNTIF(ER$3:ER343,"&gt;0"))</f>
        <v>0</v>
      </c>
      <c r="ES344" t="str">
        <f t="shared" si="324"/>
        <v/>
      </c>
      <c r="ET344" t="str">
        <f t="shared" si="300"/>
        <v/>
      </c>
      <c r="EV344">
        <f t="shared" si="301"/>
        <v>0</v>
      </c>
      <c r="EW344">
        <f>IF(EV344=0,0,1+COUNTIF(EW$3:EW343,"&gt;0"))</f>
        <v>0</v>
      </c>
      <c r="EX344" t="str">
        <f t="shared" si="325"/>
        <v/>
      </c>
      <c r="EY344" t="str">
        <f t="shared" si="302"/>
        <v/>
      </c>
      <c r="FA344">
        <f t="shared" si="303"/>
        <v>0</v>
      </c>
      <c r="FB344">
        <f>IF(FA344=0,0,1+COUNTIF(FB$3:FB343,"&gt;0"))</f>
        <v>0</v>
      </c>
      <c r="FC344" t="str">
        <f t="shared" si="326"/>
        <v/>
      </c>
      <c r="FD344" t="str">
        <f t="shared" si="304"/>
        <v/>
      </c>
      <c r="FF344">
        <f t="shared" si="305"/>
        <v>0</v>
      </c>
      <c r="FG344">
        <f>IF(FF344=0,0,1+COUNTIF(FG$3:FG343,"&gt;0"))</f>
        <v>0</v>
      </c>
      <c r="FH344" t="str">
        <f t="shared" si="327"/>
        <v/>
      </c>
      <c r="FI344" t="str">
        <f t="shared" si="306"/>
        <v/>
      </c>
      <c r="FK344">
        <f t="shared" si="307"/>
        <v>0</v>
      </c>
      <c r="FL344">
        <f>IF(FK344=0,0,1+COUNTIF(FL$3:FL343,"&gt;0"))</f>
        <v>0</v>
      </c>
      <c r="FM344" t="str">
        <f t="shared" si="328"/>
        <v/>
      </c>
      <c r="FN344" t="str">
        <f t="shared" si="308"/>
        <v/>
      </c>
      <c r="FP344">
        <f t="shared" si="309"/>
        <v>0</v>
      </c>
      <c r="FQ344">
        <f>IF(FP344=0,0,1+COUNTIF(FQ$3:FQ343,"&gt;0"))</f>
        <v>0</v>
      </c>
      <c r="FR344" t="str">
        <f t="shared" si="329"/>
        <v/>
      </c>
      <c r="FS344" t="str">
        <f t="shared" si="310"/>
        <v/>
      </c>
    </row>
    <row r="345" spans="1:175" x14ac:dyDescent="0.25">
      <c r="A345" s="347">
        <f t="shared" si="331"/>
        <v>343</v>
      </c>
      <c r="B345" s="348" t="s">
        <v>2746</v>
      </c>
      <c r="C345" s="348">
        <v>1</v>
      </c>
      <c r="D345" s="347">
        <v>1</v>
      </c>
      <c r="E345" s="627" t="s">
        <v>6952</v>
      </c>
      <c r="F345" s="346"/>
      <c r="G345" s="347" t="s">
        <v>5269</v>
      </c>
      <c r="H345" s="347" t="s">
        <v>5913</v>
      </c>
      <c r="I345" s="347" t="s">
        <v>424</v>
      </c>
      <c r="J345" s="347" t="str">
        <f t="shared" si="279"/>
        <v/>
      </c>
      <c r="K345" s="347" t="s">
        <v>5293</v>
      </c>
      <c r="L345" s="611" t="str">
        <f t="shared" si="280"/>
        <v>V, S, M, a piece of string and a bit of wood</v>
      </c>
      <c r="M345" s="347" t="s">
        <v>2373</v>
      </c>
      <c r="N345" s="347" t="s">
        <v>2387</v>
      </c>
      <c r="O345" s="347" t="s">
        <v>1244</v>
      </c>
      <c r="P345" s="346" t="s">
        <v>5509</v>
      </c>
      <c r="Q345" s="347" t="s">
        <v>5271</v>
      </c>
      <c r="S345" s="346" t="s">
        <v>5853</v>
      </c>
      <c r="T345" s="346" t="str">
        <f t="shared" si="281"/>
        <v xml:space="preserve">Bard, Warlock, Wizard, </v>
      </c>
      <c r="U345" s="347" t="str">
        <f>$B345</f>
        <v>Unseen Servant</v>
      </c>
      <c r="Y345" s="347" t="str">
        <f>$B345</f>
        <v>Unseen Servant</v>
      </c>
      <c r="AD345" s="347" t="str">
        <f>$B345</f>
        <v>Unseen Servant</v>
      </c>
      <c r="AE345" t="str">
        <f>IF(IFERROR(MATCH($B345,temp!A$4:A$13,0),0)&gt;0,T08_Spells!AE$2,"")</f>
        <v/>
      </c>
      <c r="AF345" t="str">
        <f>IF(IFERROR(MATCH($B345,temp!B$4:B$13,0),0)&gt;0,T08_Spells!AF$2,"")</f>
        <v/>
      </c>
      <c r="AG345" t="str">
        <f>IF(IFERROR(MATCH($B345,temp!C$4:C$13,0),0)&gt;0,T08_Spells!AG$2,"")</f>
        <v/>
      </c>
      <c r="AH345" t="str">
        <f>IF(IFERROR(MATCH($B345,temp!D$4:D$13,0),0)&gt;0,T08_Spells!AH$2,"")</f>
        <v/>
      </c>
      <c r="AI345" t="str">
        <f>IF(IFERROR(MATCH($B345,temp!E$4:E$13,0),0)&gt;0,T08_Spells!AI$2,"")</f>
        <v/>
      </c>
      <c r="AJ345" t="str">
        <f>IF(IFERROR(MATCH($B345,temp!F$4:F$13,0),0)&gt;0,T08_Spells!AJ$2,"")</f>
        <v/>
      </c>
      <c r="AK345" t="str">
        <f>IF(IFERROR(MATCH($B345,temp!G$4:G$13,0),0)&gt;0,T08_Spells!AK$2,"")</f>
        <v/>
      </c>
      <c r="AL345" t="str">
        <f>IF(IFERROR(MATCH($B345,temp!H$4:H$13,0),0)&gt;0,T08_Spells!AL$2,"")</f>
        <v/>
      </c>
      <c r="AM345" t="str">
        <f>IF(IFERROR(MATCH($B345,temp!I$4:I$13,0),0)&gt;0,T08_Spells!AM$2,"")</f>
        <v/>
      </c>
      <c r="AN345" t="str">
        <f>IF(IFERROR(MATCH($B345,temp!J$4:J$13,0),0)&gt;0,T08_Spells!AN$2,"")</f>
        <v/>
      </c>
      <c r="AO345" t="str">
        <f>IF(IFERROR(MATCH($B345,temp!K$4:K$13,0),0)&gt;0,T08_Spells!AO$2,"")</f>
        <v/>
      </c>
      <c r="AP345" t="str">
        <f>IF(IFERROR(MATCH($B345,temp!L$4:L$13,0),0)&gt;0,T08_Spells!AP$2,"")</f>
        <v/>
      </c>
      <c r="AQ345" t="str">
        <f>IF(IFERROR(MATCH($B345,temp!M$4:M$13,0),0)&gt;0,T08_Spells!AQ$2,"")</f>
        <v/>
      </c>
      <c r="AR345" t="str">
        <f>IF(IFERROR(MATCH($B345,temp!N$4:N$13,0),0)&gt;0,T08_Spells!AR$2,"")</f>
        <v/>
      </c>
      <c r="AS345" t="str">
        <f>IF(IFERROR(MATCH($B345,temp!O$4:O$13,0),0)&gt;0,T08_Spells!AS$2,"")</f>
        <v/>
      </c>
      <c r="AT345" t="str">
        <f>IF(IFERROR(MATCH($B345,temp!P$4:P$13,0),0)&gt;0,T08_Spells!AT$2,"")</f>
        <v/>
      </c>
      <c r="AU345" t="str">
        <f>IF(IFERROR(MATCH($B345,temp!Q$4:Q$13,0),0)&gt;0,T08_Spells!AU$2,"")</f>
        <v/>
      </c>
      <c r="AV345" t="str">
        <f>IF(IFERROR(MATCH($B345,temp!R$4:R$13,0),0)&gt;0,T08_Spells!AV$2,"")</f>
        <v/>
      </c>
      <c r="AW345" t="str">
        <f>IF(IFERROR(MATCH($B345,temp!S$4:S$13,0),0)&gt;0,T08_Spells!AW$2,"")</f>
        <v/>
      </c>
      <c r="AX345" t="str">
        <f>IF(IFERROR(MATCH($B345,temp!T$4:T$13,0),0)&gt;0,T08_Spells!AX$2,"")</f>
        <v/>
      </c>
      <c r="AY345" t="str">
        <f>IF(IFERROR(MATCH($B345,temp!U$4:U$13,0),0)&gt;0,T08_Spells!AY$2,"")</f>
        <v/>
      </c>
      <c r="AZ345" t="str">
        <f>IF(IFERROR(MATCH($B345,temp!V$4:V$13,0),0)&gt;0,T08_Spells!AZ$2,"")</f>
        <v/>
      </c>
      <c r="BA345" t="str">
        <f>IF(IFERROR(MATCH($B345,temp!W$4:W$13,0),0)&gt;0,T08_Spells!BA$2,"")</f>
        <v/>
      </c>
      <c r="BC345">
        <f>IF(IFERROR(SEARCH("Ranger",$T345,1),0)&gt;0,1,0)*IF(RangerMaxSpellLevel&gt;=$C345,1,0)*IF(IFERROR(MATCH(B345,Character_Creation!$X$79:$X$382,0),0)&gt;0,0,1)</f>
        <v>0</v>
      </c>
      <c r="BD345">
        <f>IF(BC345=0,0,1+COUNTIF(BD$3:BD344,"&gt;0"))</f>
        <v>0</v>
      </c>
      <c r="BE345" t="str">
        <f t="shared" si="311"/>
        <v/>
      </c>
      <c r="BF345" t="str">
        <f t="shared" si="283"/>
        <v/>
      </c>
      <c r="BH345">
        <f>IF(IFERROR(SEARCH("Sorcerer",$T345,1),0)&gt;0,1,0)*IF(SorcererMaxSpellLevel&gt;=$C345,1,0)*IF(IFERROR(MATCH(B345,Character_Creation!$J$380:$J$394,0),0)&gt;0,0,1)</f>
        <v>0</v>
      </c>
      <c r="BI345">
        <f>IF(BH345=0,0,1+COUNTIF(BI$3:BI344,"&gt;0"))</f>
        <v>0</v>
      </c>
      <c r="BJ345" t="str">
        <f t="shared" si="312"/>
        <v/>
      </c>
      <c r="BK345" t="str">
        <f t="shared" si="284"/>
        <v/>
      </c>
      <c r="BM345">
        <f>IF(OR(IFERROR(SEARCH("Warlock",$T345,1),0)&gt;0,IFERROR(SEARCH(WarlockPatron,$T345,1),0)&gt;0),1,0)*IF(WarlockMaxSpellLevel&gt;=$C345,1,0)*IF(IFERROR(MATCH(B345,Character_Creation!$J$361:$J$375,0),0)&gt;0,0,1)</f>
        <v>0</v>
      </c>
      <c r="BN345">
        <f>IF(BM345=0,0,1+COUNTIF(BN$3:BN344,"&gt;0"))</f>
        <v>0</v>
      </c>
      <c r="BO345" t="str">
        <f t="shared" si="313"/>
        <v/>
      </c>
      <c r="BP345" t="str">
        <f t="shared" si="285"/>
        <v/>
      </c>
      <c r="BR345">
        <f>IF(IFERROR(SEARCH("Eldritch Knight",$T345,1),0)&gt;0,1,0)*IF(EldritchKnightMaxSpellLevel&gt;=$C345,1,0)*IF(IFERROR(MATCH($B345,Character_Creation!$J$350:$J$356,0),0)&gt;0,0,1)*IF(Character_Creation!$M$338&gt;0,1,0)</f>
        <v>0</v>
      </c>
      <c r="BS345">
        <f>IF(BR345=0,0,1+COUNTIF(BS$3:BS344,"&gt;0"))</f>
        <v>0</v>
      </c>
      <c r="BT345" t="str">
        <f t="shared" si="314"/>
        <v/>
      </c>
      <c r="BU345" t="str">
        <f t="shared" si="286"/>
        <v/>
      </c>
      <c r="BW345">
        <f>IF(IFERROR(SEARCH("Arcane Trickster",$T345,1),0)&gt;0,1,0)*IF(ArcaneTricksterMaxSpellLevel&gt;=$C345,1,0)*IF(IFERROR(MATCH($B345,Character_Creation!$J$350:$J$356,0),0)&gt;0,0,1)*IF(Character_Creation!$T$338&gt;0,1,0)</f>
        <v>0</v>
      </c>
      <c r="BX345">
        <f>IF(BW345=0,0,1+COUNTIF(BX$3:BX344,"&gt;0"))</f>
        <v>0</v>
      </c>
      <c r="BY345" t="str">
        <f t="shared" si="315"/>
        <v/>
      </c>
      <c r="BZ345" t="str">
        <f t="shared" si="287"/>
        <v/>
      </c>
      <c r="CB345">
        <f>IF(IFERROR(SEARCH("Wizard",$T345,1),0)&gt;0,1,0)*IF(C345&lt;=ArcaneTricksterMaxSpellLevel,1,0)*IF(IFERROR(MATCH($B345,Character_Creation!$J$350:$J$356,0),0)&gt;0,0,1)*IF(Character_Creation!$T$350&gt;0,1,0)</f>
        <v>0</v>
      </c>
      <c r="CC345">
        <f>IF(CB345=0,0,1+COUNTIF(CC$3:CC344,"&gt;0"))</f>
        <v>0</v>
      </c>
      <c r="CD345" t="str">
        <f t="shared" si="316"/>
        <v/>
      </c>
      <c r="CE345" t="str">
        <f t="shared" si="288"/>
        <v/>
      </c>
      <c r="CG345">
        <f>IF(IFERROR(SEARCH("Wizard",$T345,1),0)&gt;0,1,0)*IF($C345&lt;=EldritchKnightMaxSpellLevel,1,0)*IF(IFERROR(MATCH($B345,Character_Creation!$J$350:$J$356,0),0)&gt;0,0,1)*IF(Character_Creation!$M$350&gt;0,1,0)</f>
        <v>1</v>
      </c>
      <c r="CH345">
        <f>IF(CG345=0,0,1+COUNTIF(CH$3:CH344,"&gt;0"))</f>
        <v>60</v>
      </c>
      <c r="CI345" t="str">
        <f t="shared" si="317"/>
        <v/>
      </c>
      <c r="CJ345" t="str">
        <f t="shared" si="289"/>
        <v/>
      </c>
      <c r="CL345">
        <f>IF(IFERROR(SEARCH("Bard",$T345,1),0)&gt;0,1,0)*IF(BardMaxSpellLevel&gt;=$C345,1,0)*IF(IFERROR(MATCH(B345,Character_Creation!$C$341:$F$362,0),0)&gt;0,0,1)*IF(IFERROR(MATCH($B345,Character_Creation!$C$341:$C$362,0),0)&gt;0,0,1)</f>
        <v>0</v>
      </c>
      <c r="CM345">
        <f>IF(CL345=0,0,1+COUNTIF(CM$3:CM344,"&gt;0"))</f>
        <v>0</v>
      </c>
      <c r="CN345" t="str">
        <f t="shared" si="318"/>
        <v/>
      </c>
      <c r="CO345" t="str">
        <f t="shared" si="290"/>
        <v/>
      </c>
      <c r="CQ345">
        <f>IF(IFERROR(SEARCH("Wizard",$T345,1),0)&gt;0,1,0)*IF(WizardMaxSpellLevel&gt;=$C345,1,0)*IF(IFERROR(MATCH(B345,Character_Creation!$X$341:$X$400,0),0)&gt;0,0,1)*IF(SelectedWizardSpellLevel=$C345,1,0)</f>
        <v>0</v>
      </c>
      <c r="CR345">
        <f>IF(CQ345=0,0,1+COUNTIF(CR$3:CR344,"&gt;0"))</f>
        <v>0</v>
      </c>
      <c r="CS345" t="str">
        <f t="shared" si="319"/>
        <v/>
      </c>
      <c r="CT345" t="str">
        <f t="shared" si="291"/>
        <v/>
      </c>
      <c r="CV345">
        <f>IF(IFERROR(MATCH($B345,Character_Creation!$C$341:$C$362,0),0)&gt;0,0,1)*IF(OR(C345="Cantrip",C345&lt;=BardMaxSpellLevel),1,0)*IF(IFERROR(MATCH($B345,Character_Creation!$C$367:$C$374,0),0)&gt;0,0,1)</f>
        <v>0</v>
      </c>
      <c r="CW345">
        <f>IF(CV345=0,0,1+COUNTIF(CW$3:CW344,"&gt;0"))</f>
        <v>0</v>
      </c>
      <c r="CX345" t="str">
        <f t="shared" si="320"/>
        <v/>
      </c>
      <c r="CY345" t="str">
        <f t="shared" si="292"/>
        <v/>
      </c>
      <c r="DA345">
        <f>IF(IF(OR(IFERROR(SEARCH("Cleric",$T345,1),0)&gt;0,IFERROR(SEARCH(DivineDomain&amp;",",$T345,1),0)&gt;0),1,0)*IF($C345=DA$2,1,0)=1,1+COUNTIF(DA$3:DA344,"&gt;0"),0)</f>
        <v>0</v>
      </c>
      <c r="DB345">
        <f>IF(IF(OR(IFERROR(SEARCH("Cleric",$T345,1),0)&gt;0,IFERROR(SEARCH(DivineDomain&amp;",",$T345,1),0)&gt;0),1,0)*IF($C345=DB$2,1,0)=1,1+COUNTIF(DB$3:DB344,"&gt;0"),0)</f>
        <v>0</v>
      </c>
      <c r="DC345">
        <f>IF(IF(OR(IFERROR(SEARCH("Cleric",$T345,1),0)&gt;0,IFERROR(SEARCH(DivineDomain&amp;",",$T345,1),0)&gt;0),1,0)*IF($C345=DC$2,1,0)=1,1+COUNTIF(DC$3:DC344,"&gt;0"),0)</f>
        <v>0</v>
      </c>
      <c r="DD345">
        <f>IF(IF(OR(IFERROR(SEARCH("Cleric",$T345,1),0)&gt;0,IFERROR(SEARCH(DivineDomain&amp;",",$T345,1),0)&gt;0),1,0)*IF($C345=DD$2,1,0)=1,1+COUNTIF(DD$3:DD344,"&gt;0"),0)</f>
        <v>0</v>
      </c>
      <c r="DE345">
        <f>IF(IF(OR(IFERROR(SEARCH("Cleric",$T345,1),0)&gt;0,IFERROR(SEARCH(DivineDomain&amp;",",$T345,1),0)&gt;0),1,0)*IF($C345=DE$2,1,0)=1,1+COUNTIF(DE$3:DE344,"&gt;0"),0)</f>
        <v>0</v>
      </c>
      <c r="DF345">
        <f>IF(IF(OR(IFERROR(SEARCH("Cleric",$T345,1),0)&gt;0,IFERROR(SEARCH(DivineDomain&amp;",",$T345,1),0)&gt;0),1,0)*IF($C345=DF$2,1,0)=1,1+COUNTIF(DF$3:DF344,"&gt;0"),0)</f>
        <v>0</v>
      </c>
      <c r="DG345">
        <f>IF(IF(OR(IFERROR(SEARCH("Cleric",$T345,1),0)&gt;0,IFERROR(SEARCH(DivineDomain&amp;",",$T345,1),0)&gt;0),1,0)*IF($C345=DG$2,1,0)=1,1+COUNTIF(DG$3:DG344,"&gt;0"),0)</f>
        <v>0</v>
      </c>
      <c r="DH345">
        <f>IF(IF(OR(IFERROR(SEARCH("Cleric",$T345,1),0)&gt;0,IFERROR(SEARCH(DivineDomain&amp;",",$T345,1),0)&gt;0),1,0)*IF($C345=DH$2,1,0)=1,1+COUNTIF(DH$3:DH344,"&gt;0"),0)</f>
        <v>0</v>
      </c>
      <c r="DI345">
        <f>IF(IF(OR(IFERROR(SEARCH("Cleric",$T345,1),0)&gt;0,IFERROR(SEARCH(DivineDomain&amp;",",$T345,1),0)&gt;0),1,0)*IF($C345=DI$2,1,0)=1,1+COUNTIF(DI$3:DI344,"&gt;0"),0)</f>
        <v>0</v>
      </c>
      <c r="DJ345">
        <f>IF(IF(OR(IFERROR(SEARCH("Druid",$T345,1),0)&gt;0,IFERROR(SEARCH(DruidLand1,$T345,1),0)&gt;0,IFERROR(SEARCH(DruidLand2,$T345,1),0)&gt;0,IFERROR(SEARCH(DruidLand3,$T345,1),0)&gt;0,IFERROR(SEARCH(DruidLand4,$T345,1),0)&gt;0),1,0)*IF($C345=1,1,0)*IF($C345=DJ$2,1,0)=0,0,1+COUNTIF(DJ$3:DJ344,"&gt;0"))</f>
        <v>0</v>
      </c>
      <c r="DK345">
        <f>IF(IF(OR(IFERROR(SEARCH("Druid",$T345,1),0)&gt;0,IFERROR(SEARCH(DruidLand1,$T345,1),0)&gt;0,IFERROR(SEARCH(DruidLand2,$T345,1),0)&gt;0,IFERROR(SEARCH(DruidLand3,$T345,1),0)&gt;0,IFERROR(SEARCH(DruidLand4,$T345,1),0)&gt;0),1,0)*IF($C345=1,1,0)*IF($C345=DK$2,1,0)=0,0,1+COUNTIF(DK$3:DK344,"&gt;0"))</f>
        <v>0</v>
      </c>
      <c r="DL345">
        <f>IF(IF(OR(IFERROR(SEARCH("Druid",$T345,1),0)&gt;0,IFERROR(SEARCH(DruidLand1,$T345,1),0)&gt;0,IFERROR(SEARCH(DruidLand2,$T345,1),0)&gt;0,IFERROR(SEARCH(DruidLand3,$T345,1),0)&gt;0,IFERROR(SEARCH(DruidLand4,$T345,1),0)&gt;0),1,0)*IF($C345=1,1,0)*IF($C345=DL$2,1,0)=0,0,1+COUNTIF(DL$3:DL344,"&gt;0"))</f>
        <v>0</v>
      </c>
      <c r="DM345">
        <f>IF(IF(OR(IFERROR(SEARCH("Druid",$T345,1),0)&gt;0,IFERROR(SEARCH(DruidLand1,$T345,1),0)&gt;0,IFERROR(SEARCH(DruidLand2,$T345,1),0)&gt;0,IFERROR(SEARCH(DruidLand3,$T345,1),0)&gt;0,IFERROR(SEARCH(DruidLand4,$T345,1),0)&gt;0),1,0)*IF($C345=1,1,0)*IF($C345=DM$2,1,0)=0,0,1+COUNTIF(DM$3:DM344,"&gt;0"))</f>
        <v>0</v>
      </c>
      <c r="DN345">
        <f>IF(IF(OR(IFERROR(SEARCH("Druid",$T345,1),0)&gt;0,IFERROR(SEARCH(DruidLand1,$T345,1),0)&gt;0,IFERROR(SEARCH(DruidLand2,$T345,1),0)&gt;0,IFERROR(SEARCH(DruidLand3,$T345,1),0)&gt;0,IFERROR(SEARCH(DruidLand4,$T345,1),0)&gt;0),1,0)*IF($C345=1,1,0)*IF($C345=DN$2,1,0)=0,0,1+COUNTIF(DN$3:DN344,"&gt;0"))</f>
        <v>0</v>
      </c>
      <c r="DO345">
        <f>IF(IF(OR(IFERROR(SEARCH("Druid",$T345,1),0)&gt;0,IFERROR(SEARCH(DruidLand1,$T345,1),0)&gt;0,IFERROR(SEARCH(DruidLand2,$T345,1),0)&gt;0,IFERROR(SEARCH(DruidLand3,$T345,1),0)&gt;0,IFERROR(SEARCH(DruidLand4,$T345,1),0)&gt;0),1,0)*IF($C345=1,1,0)*IF($C345=DO$2,1,0)=0,0,1+COUNTIF(DO$3:DO344,"&gt;0"))</f>
        <v>0</v>
      </c>
      <c r="DP345">
        <f>IF(IF(OR(IFERROR(SEARCH("Druid",$T345,1),0)&gt;0,IFERROR(SEARCH(DruidLand1,$T345,1),0)&gt;0,IFERROR(SEARCH(DruidLand2,$T345,1),0)&gt;0,IFERROR(SEARCH(DruidLand3,$T345,1),0)&gt;0,IFERROR(SEARCH(DruidLand4,$T345,1),0)&gt;0),1,0)*IF($C345=1,1,0)*IF($C345=DP$2,1,0)=0,0,1+COUNTIF(DP$3:DP344,"&gt;0"))</f>
        <v>0</v>
      </c>
      <c r="DQ345">
        <f>IF(IF(OR(IFERROR(SEARCH("Druid",$T345,1),0)&gt;0,IFERROR(SEARCH(DruidLand1,$T345,1),0)&gt;0,IFERROR(SEARCH(DruidLand2,$T345,1),0)&gt;0,IFERROR(SEARCH(DruidLand3,$T345,1),0)&gt;0,IFERROR(SEARCH(DruidLand4,$T345,1),0)&gt;0),1,0)*IF($C345=1,1,0)*IF($C345=DQ$2,1,0)=0,0,1+COUNTIF(DQ$3:DQ344,"&gt;0"))</f>
        <v>0</v>
      </c>
      <c r="DR345">
        <f>IF(IF(OR(IFERROR(SEARCH("Druid",$T345,1),0)&gt;0,IFERROR(SEARCH(DruidLand1,$T345,1),0)&gt;0,IFERROR(SEARCH(DruidLand2,$T345,1),0)&gt;0,IFERROR(SEARCH(DruidLand3,$T345,1),0)&gt;0,IFERROR(SEARCH(DruidLand4,$T345,1),0)&gt;0),1,0)*IF($C345=1,1,0)*IF($C345=DR$2,1,0)=0,0,1+COUNTIF(DR$3:DR344,"&gt;0"))</f>
        <v>0</v>
      </c>
      <c r="DS345">
        <f>IF(IF(OR(IFERROR(SEARCH("Paladin",$T345,1),0)&gt;0,IFERROR(SEARCH(PaladinOath,$T345,1),0)&gt;0),1,0)*IF($C345=DS$2,1,0)=1,1+COUNTIF(DS$3:DS344,"&gt;0"),0)</f>
        <v>0</v>
      </c>
      <c r="DT345">
        <f>IF(IF(OR(IFERROR(SEARCH("Paladin",$T345,1),0)&gt;0,IFERROR(SEARCH(PaladinOath,$T345,1),0)&gt;0),1,0)*IF($C345=DT$2,1,0)=1,1+COUNTIF(DT$3:DT344,"&gt;0"),0)</f>
        <v>0</v>
      </c>
      <c r="DU345">
        <f>IF(IF(OR(IFERROR(SEARCH("Paladin",$T345,1),0)&gt;0,IFERROR(SEARCH(PaladinOath,$T345,1),0)&gt;0),1,0)*IF($C345=DU$2,1,0)=1,1+COUNTIF(DU$3:DU344,"&gt;0"),0)</f>
        <v>0</v>
      </c>
      <c r="DV345">
        <f>IF(IF(OR(IFERROR(SEARCH("Paladin",$T345,1),0)&gt;0,IFERROR(SEARCH(PaladinOath,$T345,1),0)&gt;0),1,0)*IF($C345=DV$2,1,0)=1,1+COUNTIF(DV$3:DV344,"&gt;0"),0)</f>
        <v>0</v>
      </c>
      <c r="DW345">
        <f>IF(IF(OR(IFERROR(SEARCH("Paladin",$T345,1),0)&gt;0,IFERROR(SEARCH(PaladinOath,$T345,1),0)&gt;0),1,0)*IF($C345=DW$2,1,0)=1,1+COUNTIF(DW$3:DW344,"&gt;0"),0)</f>
        <v>0</v>
      </c>
      <c r="DY345">
        <f t="shared" si="278"/>
        <v>1</v>
      </c>
      <c r="DZ345">
        <f>IF(DY345=0,0,1+MAX(DZ$3:$DZ344))</f>
        <v>343</v>
      </c>
      <c r="EB345">
        <f t="shared" si="293"/>
        <v>0</v>
      </c>
      <c r="EC345">
        <f>IF(EB345=0,0,1+COUNTIF(EC$3:EC344,"&gt;0"))</f>
        <v>0</v>
      </c>
      <c r="ED345" t="str">
        <f t="shared" si="321"/>
        <v/>
      </c>
      <c r="EE345" t="str">
        <f t="shared" si="294"/>
        <v/>
      </c>
      <c r="EG345">
        <f t="shared" si="295"/>
        <v>0</v>
      </c>
      <c r="EH345">
        <f>IF(EG345=0,0,1+COUNTIF(EH$3:EH344,"&gt;0"))</f>
        <v>0</v>
      </c>
      <c r="EI345" t="str">
        <f t="shared" si="322"/>
        <v/>
      </c>
      <c r="EJ345" t="str">
        <f t="shared" si="296"/>
        <v/>
      </c>
      <c r="EL345">
        <f t="shared" si="297"/>
        <v>0</v>
      </c>
      <c r="EM345">
        <f>IF(EL345=0,0,1+COUNTIF(EM$3:EM344,"&gt;0"))</f>
        <v>0</v>
      </c>
      <c r="EN345" t="str">
        <f t="shared" si="323"/>
        <v/>
      </c>
      <c r="EO345" t="str">
        <f t="shared" si="298"/>
        <v/>
      </c>
      <c r="EQ345">
        <f t="shared" si="299"/>
        <v>0</v>
      </c>
      <c r="ER345">
        <f>IF(EQ345=0,0,1+COUNTIF(ER$3:ER344,"&gt;0"))</f>
        <v>0</v>
      </c>
      <c r="ES345" t="str">
        <f t="shared" si="324"/>
        <v/>
      </c>
      <c r="ET345" t="str">
        <f t="shared" si="300"/>
        <v/>
      </c>
      <c r="EV345">
        <f t="shared" si="301"/>
        <v>0</v>
      </c>
      <c r="EW345">
        <f>IF(EV345=0,0,1+COUNTIF(EW$3:EW344,"&gt;0"))</f>
        <v>0</v>
      </c>
      <c r="EX345" t="str">
        <f t="shared" si="325"/>
        <v/>
      </c>
      <c r="EY345" t="str">
        <f t="shared" si="302"/>
        <v/>
      </c>
      <c r="FA345">
        <f t="shared" si="303"/>
        <v>0</v>
      </c>
      <c r="FB345">
        <f>IF(FA345=0,0,1+COUNTIF(FB$3:FB344,"&gt;0"))</f>
        <v>0</v>
      </c>
      <c r="FC345" t="str">
        <f t="shared" si="326"/>
        <v/>
      </c>
      <c r="FD345" t="str">
        <f t="shared" si="304"/>
        <v/>
      </c>
      <c r="FF345">
        <f t="shared" si="305"/>
        <v>0</v>
      </c>
      <c r="FG345">
        <f>IF(FF345=0,0,1+COUNTIF(FG$3:FG344,"&gt;0"))</f>
        <v>0</v>
      </c>
      <c r="FH345" t="str">
        <f t="shared" si="327"/>
        <v/>
      </c>
      <c r="FI345" t="str">
        <f t="shared" si="306"/>
        <v/>
      </c>
      <c r="FK345">
        <f t="shared" si="307"/>
        <v>0</v>
      </c>
      <c r="FL345">
        <f>IF(FK345=0,0,1+COUNTIF(FL$3:FL344,"&gt;0"))</f>
        <v>0</v>
      </c>
      <c r="FM345" t="str">
        <f t="shared" si="328"/>
        <v/>
      </c>
      <c r="FN345" t="str">
        <f t="shared" si="308"/>
        <v/>
      </c>
      <c r="FP345">
        <f t="shared" si="309"/>
        <v>0</v>
      </c>
      <c r="FQ345">
        <f>IF(FP345=0,0,1+COUNTIF(FQ$3:FQ344,"&gt;0"))</f>
        <v>0</v>
      </c>
      <c r="FR345" t="str">
        <f t="shared" si="329"/>
        <v/>
      </c>
      <c r="FS345" t="str">
        <f t="shared" si="310"/>
        <v/>
      </c>
    </row>
    <row r="346" spans="1:175" x14ac:dyDescent="0.25">
      <c r="A346" s="347">
        <f t="shared" si="331"/>
        <v>344</v>
      </c>
      <c r="B346" s="348" t="s">
        <v>2747</v>
      </c>
      <c r="C346" s="348">
        <v>3</v>
      </c>
      <c r="D346" s="347">
        <v>3</v>
      </c>
      <c r="E346" s="627" t="s">
        <v>6952</v>
      </c>
      <c r="F346" s="346"/>
      <c r="G346" s="347" t="str">
        <f>""</f>
        <v/>
      </c>
      <c r="H346" s="347" t="s">
        <v>5912</v>
      </c>
      <c r="I346" s="347" t="s">
        <v>5283</v>
      </c>
      <c r="J346" s="347" t="str">
        <f t="shared" si="279"/>
        <v/>
      </c>
      <c r="K346" s="347" t="s">
        <v>5291</v>
      </c>
      <c r="L346" s="611" t="str">
        <f t="shared" si="280"/>
        <v>V, S</v>
      </c>
      <c r="M346" s="347" t="s">
        <v>2373</v>
      </c>
      <c r="N346" s="347" t="s">
        <v>2387</v>
      </c>
      <c r="O346" s="347" t="s">
        <v>3034</v>
      </c>
      <c r="P346" s="346" t="str">
        <f>""</f>
        <v/>
      </c>
      <c r="Q346" s="347" t="s">
        <v>5275</v>
      </c>
      <c r="S346" s="346" t="s">
        <v>5854</v>
      </c>
      <c r="T346" s="346" t="str">
        <f t="shared" si="281"/>
        <v xml:space="preserve">Warlock, Wizard, Death, </v>
      </c>
      <c r="Y346" s="347" t="str">
        <f>$B346</f>
        <v>Vampiric Touch</v>
      </c>
      <c r="AD346" s="347" t="str">
        <f>$B346</f>
        <v>Vampiric Touch</v>
      </c>
      <c r="AE346" t="str">
        <f>IF(IFERROR(MATCH($B346,temp!A$4:A$13,0),0)&gt;0,T08_Spells!AE$2,"")</f>
        <v/>
      </c>
      <c r="AF346" t="str">
        <f>IF(IFERROR(MATCH($B346,temp!B$4:B$13,0),0)&gt;0,T08_Spells!AF$2,"")</f>
        <v/>
      </c>
      <c r="AG346" t="str">
        <f>IF(IFERROR(MATCH($B346,temp!C$4:C$13,0),0)&gt;0,T08_Spells!AG$2,"")</f>
        <v/>
      </c>
      <c r="AH346" t="str">
        <f>IF(IFERROR(MATCH($B346,temp!D$4:D$13,0),0)&gt;0,T08_Spells!AH$2,"")</f>
        <v/>
      </c>
      <c r="AI346" t="str">
        <f>IF(IFERROR(MATCH($B346,temp!E$4:E$13,0),0)&gt;0,T08_Spells!AI$2,"")</f>
        <v/>
      </c>
      <c r="AJ346" t="str">
        <f>IF(IFERROR(MATCH($B346,temp!F$4:F$13,0),0)&gt;0,T08_Spells!AJ$2,"")</f>
        <v/>
      </c>
      <c r="AK346" t="str">
        <f>IF(IFERROR(MATCH($B346,temp!G$4:G$13,0),0)&gt;0,T08_Spells!AK$2,"")</f>
        <v/>
      </c>
      <c r="AL346" t="str">
        <f>IF(IFERROR(MATCH($B346,temp!H$4:H$13,0),0)&gt;0,T08_Spells!AL$2,"")</f>
        <v/>
      </c>
      <c r="AM346" t="str">
        <f>IF(IFERROR(MATCH($B346,temp!I$4:I$13,0),0)&gt;0,T08_Spells!AM$2,"")</f>
        <v/>
      </c>
      <c r="AN346" t="str">
        <f>IF(IFERROR(MATCH($B346,temp!J$4:J$13,0),0)&gt;0,T08_Spells!AN$2,"")</f>
        <v/>
      </c>
      <c r="AO346" t="str">
        <f>IF(IFERROR(MATCH($B346,temp!K$4:K$13,0),0)&gt;0,T08_Spells!AO$2,"")</f>
        <v/>
      </c>
      <c r="AP346" t="str">
        <f>IF(IFERROR(MATCH($B346,temp!L$4:L$13,0),0)&gt;0,T08_Spells!AP$2,"")</f>
        <v/>
      </c>
      <c r="AQ346" t="str">
        <f>IF(IFERROR(MATCH($B346,temp!M$4:M$13,0),0)&gt;0,T08_Spells!AQ$2,"")</f>
        <v/>
      </c>
      <c r="AR346" t="str">
        <f>IF(IFERROR(MATCH($B346,temp!N$4:N$13,0),0)&gt;0,T08_Spells!AR$2,"")</f>
        <v/>
      </c>
      <c r="AS346" t="str">
        <f>IF(IFERROR(MATCH($B346,temp!O$4:O$13,0),0)&gt;0,T08_Spells!AS$2,"")</f>
        <v/>
      </c>
      <c r="AT346" t="str">
        <f>IF(IFERROR(MATCH($B346,temp!P$4:P$13,0),0)&gt;0,T08_Spells!AT$2,"")</f>
        <v/>
      </c>
      <c r="AU346" t="str">
        <f>IF(IFERROR(MATCH($B346,temp!Q$4:Q$13,0),0)&gt;0,T08_Spells!AU$2,"")</f>
        <v/>
      </c>
      <c r="AV346" t="str">
        <f>IF(IFERROR(MATCH($B346,temp!R$4:R$13,0),0)&gt;0,T08_Spells!AV$2,"")</f>
        <v/>
      </c>
      <c r="AW346" t="str">
        <f>IF(IFERROR(MATCH($B346,temp!S$4:S$13,0),0)&gt;0,T08_Spells!AW$2,"")</f>
        <v/>
      </c>
      <c r="AX346" t="str">
        <f>IF(IFERROR(MATCH($B346,temp!T$4:T$13,0),0)&gt;0,T08_Spells!AX$2,"")</f>
        <v/>
      </c>
      <c r="AY346" t="str">
        <f>IF(IFERROR(MATCH($B346,temp!U$4:U$13,0),0)&gt;0,T08_Spells!AY$2,"")</f>
        <v/>
      </c>
      <c r="AZ346" t="str">
        <f>IF(IFERROR(MATCH($B346,temp!V$4:V$13,0),0)&gt;0,T08_Spells!AZ$2,"")</f>
        <v/>
      </c>
      <c r="BA346" t="str">
        <f>IF(IFERROR(MATCH($B346,temp!W$4:W$13,0),0)&gt;0,T08_Spells!BA$2,"")</f>
        <v>Death</v>
      </c>
      <c r="BC346">
        <f>IF(IFERROR(SEARCH("Ranger",$T346,1),0)&gt;0,1,0)*IF(RangerMaxSpellLevel&gt;=$C346,1,0)*IF(IFERROR(MATCH(B346,Character_Creation!$X$79:$X$382,0),0)&gt;0,0,1)</f>
        <v>0</v>
      </c>
      <c r="BD346">
        <f>IF(BC346=0,0,1+COUNTIF(BD$3:BD345,"&gt;0"))</f>
        <v>0</v>
      </c>
      <c r="BE346" t="str">
        <f t="shared" si="311"/>
        <v/>
      </c>
      <c r="BF346" t="str">
        <f t="shared" si="283"/>
        <v/>
      </c>
      <c r="BH346">
        <f>IF(IFERROR(SEARCH("Sorcerer",$T346,1),0)&gt;0,1,0)*IF(SorcererMaxSpellLevel&gt;=$C346,1,0)*IF(IFERROR(MATCH(B346,Character_Creation!$J$380:$J$394,0),0)&gt;0,0,1)</f>
        <v>0</v>
      </c>
      <c r="BI346">
        <f>IF(BH346=0,0,1+COUNTIF(BI$3:BI345,"&gt;0"))</f>
        <v>0</v>
      </c>
      <c r="BJ346" t="str">
        <f t="shared" si="312"/>
        <v/>
      </c>
      <c r="BK346" t="str">
        <f t="shared" si="284"/>
        <v/>
      </c>
      <c r="BM346">
        <f>IF(OR(IFERROR(SEARCH("Warlock",$T346,1),0)&gt;0,IFERROR(SEARCH(WarlockPatron,$T346,1),0)&gt;0),1,0)*IF(WarlockMaxSpellLevel&gt;=$C346,1,0)*IF(IFERROR(MATCH(B346,Character_Creation!$J$361:$J$375,0),0)&gt;0,0,1)</f>
        <v>0</v>
      </c>
      <c r="BN346">
        <f>IF(BM346=0,0,1+COUNTIF(BN$3:BN345,"&gt;0"))</f>
        <v>0</v>
      </c>
      <c r="BO346" t="str">
        <f t="shared" si="313"/>
        <v/>
      </c>
      <c r="BP346" t="str">
        <f t="shared" si="285"/>
        <v/>
      </c>
      <c r="BR346">
        <f>IF(IFERROR(SEARCH("Eldritch Knight",$T346,1),0)&gt;0,1,0)*IF(EldritchKnightMaxSpellLevel&gt;=$C346,1,0)*IF(IFERROR(MATCH($B346,Character_Creation!$J$350:$J$356,0),0)&gt;0,0,1)*IF(Character_Creation!$M$338&gt;0,1,0)</f>
        <v>0</v>
      </c>
      <c r="BS346">
        <f>IF(BR346=0,0,1+COUNTIF(BS$3:BS345,"&gt;0"))</f>
        <v>0</v>
      </c>
      <c r="BT346" t="str">
        <f t="shared" si="314"/>
        <v/>
      </c>
      <c r="BU346" t="str">
        <f t="shared" si="286"/>
        <v/>
      </c>
      <c r="BW346">
        <f>IF(IFERROR(SEARCH("Arcane Trickster",$T346,1),0)&gt;0,1,0)*IF(ArcaneTricksterMaxSpellLevel&gt;=$C346,1,0)*IF(IFERROR(MATCH($B346,Character_Creation!$J$350:$J$356,0),0)&gt;0,0,1)*IF(Character_Creation!$T$338&gt;0,1,0)</f>
        <v>0</v>
      </c>
      <c r="BX346">
        <f>IF(BW346=0,0,1+COUNTIF(BX$3:BX345,"&gt;0"))</f>
        <v>0</v>
      </c>
      <c r="BY346" t="str">
        <f t="shared" si="315"/>
        <v/>
      </c>
      <c r="BZ346" t="str">
        <f t="shared" si="287"/>
        <v/>
      </c>
      <c r="CB346">
        <f>IF(IFERROR(SEARCH("Wizard",$T346,1),0)&gt;0,1,0)*IF(C346&lt;=ArcaneTricksterMaxSpellLevel,1,0)*IF(IFERROR(MATCH($B346,Character_Creation!$J$350:$J$356,0),0)&gt;0,0,1)*IF(Character_Creation!$T$350&gt;0,1,0)</f>
        <v>0</v>
      </c>
      <c r="CC346">
        <f>IF(CB346=0,0,1+COUNTIF(CC$3:CC345,"&gt;0"))</f>
        <v>0</v>
      </c>
      <c r="CD346" t="str">
        <f t="shared" si="316"/>
        <v/>
      </c>
      <c r="CE346" t="str">
        <f t="shared" si="288"/>
        <v/>
      </c>
      <c r="CG346">
        <f>IF(IFERROR(SEARCH("Wizard",$T346,1),0)&gt;0,1,0)*IF($C346&lt;=EldritchKnightMaxSpellLevel,1,0)*IF(IFERROR(MATCH($B346,Character_Creation!$J$350:$J$356,0),0)&gt;0,0,1)*IF(Character_Creation!$M$350&gt;0,1,0)</f>
        <v>0</v>
      </c>
      <c r="CH346">
        <f>IF(CG346=0,0,1+COUNTIF(CH$3:CH345,"&gt;0"))</f>
        <v>0</v>
      </c>
      <c r="CI346" t="str">
        <f t="shared" si="317"/>
        <v/>
      </c>
      <c r="CJ346" t="str">
        <f t="shared" si="289"/>
        <v/>
      </c>
      <c r="CL346">
        <f>IF(IFERROR(SEARCH("Bard",$T346,1),0)&gt;0,1,0)*IF(BardMaxSpellLevel&gt;=$C346,1,0)*IF(IFERROR(MATCH(B346,Character_Creation!$C$341:$F$362,0),0)&gt;0,0,1)*IF(IFERROR(MATCH($B346,Character_Creation!$C$341:$C$362,0),0)&gt;0,0,1)</f>
        <v>0</v>
      </c>
      <c r="CM346">
        <f>IF(CL346=0,0,1+COUNTIF(CM$3:CM345,"&gt;0"))</f>
        <v>0</v>
      </c>
      <c r="CN346" t="str">
        <f t="shared" si="318"/>
        <v/>
      </c>
      <c r="CO346" t="str">
        <f t="shared" si="290"/>
        <v/>
      </c>
      <c r="CQ346">
        <f>IF(IFERROR(SEARCH("Wizard",$T346,1),0)&gt;0,1,0)*IF(WizardMaxSpellLevel&gt;=$C346,1,0)*IF(IFERROR(MATCH(B346,Character_Creation!$X$341:$X$400,0),0)&gt;0,0,1)*IF(SelectedWizardSpellLevel=$C346,1,0)</f>
        <v>1</v>
      </c>
      <c r="CR346">
        <f>IF(CQ346=0,0,1+COUNTIF(CR$3:CR345,"&gt;0"))</f>
        <v>26</v>
      </c>
      <c r="CS346" t="str">
        <f t="shared" si="319"/>
        <v/>
      </c>
      <c r="CT346" t="str">
        <f t="shared" si="291"/>
        <v/>
      </c>
      <c r="CV346">
        <f>IF(IFERROR(MATCH($B346,Character_Creation!$C$341:$C$362,0),0)&gt;0,0,1)*IF(OR(C346="Cantrip",C346&lt;=BardMaxSpellLevel),1,0)*IF(IFERROR(MATCH($B346,Character_Creation!$C$367:$C$374,0),0)&gt;0,0,1)</f>
        <v>0</v>
      </c>
      <c r="CW346">
        <f>IF(CV346=0,0,1+COUNTIF(CW$3:CW345,"&gt;0"))</f>
        <v>0</v>
      </c>
      <c r="CX346" t="str">
        <f t="shared" si="320"/>
        <v/>
      </c>
      <c r="CY346" t="str">
        <f t="shared" si="292"/>
        <v/>
      </c>
      <c r="DA346">
        <f>IF(IF(OR(IFERROR(SEARCH("Cleric",$T346,1),0)&gt;0,IFERROR(SEARCH(DivineDomain&amp;",",$T346,1),0)&gt;0),1,0)*IF($C346=DA$2,1,0)=1,1+COUNTIF(DA$3:DA345,"&gt;0"),0)</f>
        <v>0</v>
      </c>
      <c r="DB346">
        <f>IF(IF(OR(IFERROR(SEARCH("Cleric",$T346,1),0)&gt;0,IFERROR(SEARCH(DivineDomain&amp;",",$T346,1),0)&gt;0),1,0)*IF($C346=DB$2,1,0)=1,1+COUNTIF(DB$3:DB345,"&gt;0"),0)</f>
        <v>0</v>
      </c>
      <c r="DC346">
        <f>IF(IF(OR(IFERROR(SEARCH("Cleric",$T346,1),0)&gt;0,IFERROR(SEARCH(DivineDomain&amp;",",$T346,1),0)&gt;0),1,0)*IF($C346=DC$2,1,0)=1,1+COUNTIF(DC$3:DC345,"&gt;0"),0)</f>
        <v>0</v>
      </c>
      <c r="DD346">
        <f>IF(IF(OR(IFERROR(SEARCH("Cleric",$T346,1),0)&gt;0,IFERROR(SEARCH(DivineDomain&amp;",",$T346,1),0)&gt;0),1,0)*IF($C346=DD$2,1,0)=1,1+COUNTIF(DD$3:DD345,"&gt;0"),0)</f>
        <v>0</v>
      </c>
      <c r="DE346">
        <f>IF(IF(OR(IFERROR(SEARCH("Cleric",$T346,1),0)&gt;0,IFERROR(SEARCH(DivineDomain&amp;",",$T346,1),0)&gt;0),1,0)*IF($C346=DE$2,1,0)=1,1+COUNTIF(DE$3:DE345,"&gt;0"),0)</f>
        <v>0</v>
      </c>
      <c r="DF346">
        <f>IF(IF(OR(IFERROR(SEARCH("Cleric",$T346,1),0)&gt;0,IFERROR(SEARCH(DivineDomain&amp;",",$T346,1),0)&gt;0),1,0)*IF($C346=DF$2,1,0)=1,1+COUNTIF(DF$3:DF345,"&gt;0"),0)</f>
        <v>0</v>
      </c>
      <c r="DG346">
        <f>IF(IF(OR(IFERROR(SEARCH("Cleric",$T346,1),0)&gt;0,IFERROR(SEARCH(DivineDomain&amp;",",$T346,1),0)&gt;0),1,0)*IF($C346=DG$2,1,0)=1,1+COUNTIF(DG$3:DG345,"&gt;0"),0)</f>
        <v>0</v>
      </c>
      <c r="DH346">
        <f>IF(IF(OR(IFERROR(SEARCH("Cleric",$T346,1),0)&gt;0,IFERROR(SEARCH(DivineDomain&amp;",",$T346,1),0)&gt;0),1,0)*IF($C346=DH$2,1,0)=1,1+COUNTIF(DH$3:DH345,"&gt;0"),0)</f>
        <v>0</v>
      </c>
      <c r="DI346">
        <f>IF(IF(OR(IFERROR(SEARCH("Cleric",$T346,1),0)&gt;0,IFERROR(SEARCH(DivineDomain&amp;",",$T346,1),0)&gt;0),1,0)*IF($C346=DI$2,1,0)=1,1+COUNTIF(DI$3:DI345,"&gt;0"),0)</f>
        <v>0</v>
      </c>
      <c r="DJ346">
        <f>IF(IF(OR(IFERROR(SEARCH("Druid",$T346,1),0)&gt;0,IFERROR(SEARCH(DruidLand1,$T346,1),0)&gt;0,IFERROR(SEARCH(DruidLand2,$T346,1),0)&gt;0,IFERROR(SEARCH(DruidLand3,$T346,1),0)&gt;0,IFERROR(SEARCH(DruidLand4,$T346,1),0)&gt;0),1,0)*IF($C346=1,1,0)*IF($C346=DJ$2,1,0)=0,0,1+COUNTIF(DJ$3:DJ345,"&gt;0"))</f>
        <v>0</v>
      </c>
      <c r="DK346">
        <f>IF(IF(OR(IFERROR(SEARCH("Druid",$T346,1),0)&gt;0,IFERROR(SEARCH(DruidLand1,$T346,1),0)&gt;0,IFERROR(SEARCH(DruidLand2,$T346,1),0)&gt;0,IFERROR(SEARCH(DruidLand3,$T346,1),0)&gt;0,IFERROR(SEARCH(DruidLand4,$T346,1),0)&gt;0),1,0)*IF($C346=1,1,0)*IF($C346=DK$2,1,0)=0,0,1+COUNTIF(DK$3:DK345,"&gt;0"))</f>
        <v>0</v>
      </c>
      <c r="DL346">
        <f>IF(IF(OR(IFERROR(SEARCH("Druid",$T346,1),0)&gt;0,IFERROR(SEARCH(DruidLand1,$T346,1),0)&gt;0,IFERROR(SEARCH(DruidLand2,$T346,1),0)&gt;0,IFERROR(SEARCH(DruidLand3,$T346,1),0)&gt;0,IFERROR(SEARCH(DruidLand4,$T346,1),0)&gt;0),1,0)*IF($C346=1,1,0)*IF($C346=DL$2,1,0)=0,0,1+COUNTIF(DL$3:DL345,"&gt;0"))</f>
        <v>0</v>
      </c>
      <c r="DM346">
        <f>IF(IF(OR(IFERROR(SEARCH("Druid",$T346,1),0)&gt;0,IFERROR(SEARCH(DruidLand1,$T346,1),0)&gt;0,IFERROR(SEARCH(DruidLand2,$T346,1),0)&gt;0,IFERROR(SEARCH(DruidLand3,$T346,1),0)&gt;0,IFERROR(SEARCH(DruidLand4,$T346,1),0)&gt;0),1,0)*IF($C346=1,1,0)*IF($C346=DM$2,1,0)=0,0,1+COUNTIF(DM$3:DM345,"&gt;0"))</f>
        <v>0</v>
      </c>
      <c r="DN346">
        <f>IF(IF(OR(IFERROR(SEARCH("Druid",$T346,1),0)&gt;0,IFERROR(SEARCH(DruidLand1,$T346,1),0)&gt;0,IFERROR(SEARCH(DruidLand2,$T346,1),0)&gt;0,IFERROR(SEARCH(DruidLand3,$T346,1),0)&gt;0,IFERROR(SEARCH(DruidLand4,$T346,1),0)&gt;0),1,0)*IF($C346=1,1,0)*IF($C346=DN$2,1,0)=0,0,1+COUNTIF(DN$3:DN345,"&gt;0"))</f>
        <v>0</v>
      </c>
      <c r="DO346">
        <f>IF(IF(OR(IFERROR(SEARCH("Druid",$T346,1),0)&gt;0,IFERROR(SEARCH(DruidLand1,$T346,1),0)&gt;0,IFERROR(SEARCH(DruidLand2,$T346,1),0)&gt;0,IFERROR(SEARCH(DruidLand3,$T346,1),0)&gt;0,IFERROR(SEARCH(DruidLand4,$T346,1),0)&gt;0),1,0)*IF($C346=1,1,0)*IF($C346=DO$2,1,0)=0,0,1+COUNTIF(DO$3:DO345,"&gt;0"))</f>
        <v>0</v>
      </c>
      <c r="DP346">
        <f>IF(IF(OR(IFERROR(SEARCH("Druid",$T346,1),0)&gt;0,IFERROR(SEARCH(DruidLand1,$T346,1),0)&gt;0,IFERROR(SEARCH(DruidLand2,$T346,1),0)&gt;0,IFERROR(SEARCH(DruidLand3,$T346,1),0)&gt;0,IFERROR(SEARCH(DruidLand4,$T346,1),0)&gt;0),1,0)*IF($C346=1,1,0)*IF($C346=DP$2,1,0)=0,0,1+COUNTIF(DP$3:DP345,"&gt;0"))</f>
        <v>0</v>
      </c>
      <c r="DQ346">
        <f>IF(IF(OR(IFERROR(SEARCH("Druid",$T346,1),0)&gt;0,IFERROR(SEARCH(DruidLand1,$T346,1),0)&gt;0,IFERROR(SEARCH(DruidLand2,$T346,1),0)&gt;0,IFERROR(SEARCH(DruidLand3,$T346,1),0)&gt;0,IFERROR(SEARCH(DruidLand4,$T346,1),0)&gt;0),1,0)*IF($C346=1,1,0)*IF($C346=DQ$2,1,0)=0,0,1+COUNTIF(DQ$3:DQ345,"&gt;0"))</f>
        <v>0</v>
      </c>
      <c r="DR346">
        <f>IF(IF(OR(IFERROR(SEARCH("Druid",$T346,1),0)&gt;0,IFERROR(SEARCH(DruidLand1,$T346,1),0)&gt;0,IFERROR(SEARCH(DruidLand2,$T346,1),0)&gt;0,IFERROR(SEARCH(DruidLand3,$T346,1),0)&gt;0,IFERROR(SEARCH(DruidLand4,$T346,1),0)&gt;0),1,0)*IF($C346=1,1,0)*IF($C346=DR$2,1,0)=0,0,1+COUNTIF(DR$3:DR345,"&gt;0"))</f>
        <v>0</v>
      </c>
      <c r="DS346">
        <f>IF(IF(OR(IFERROR(SEARCH("Paladin",$T346,1),0)&gt;0,IFERROR(SEARCH(PaladinOath,$T346,1),0)&gt;0),1,0)*IF($C346=DS$2,1,0)=1,1+COUNTIF(DS$3:DS345,"&gt;0"),0)</f>
        <v>0</v>
      </c>
      <c r="DT346">
        <f>IF(IF(OR(IFERROR(SEARCH("Paladin",$T346,1),0)&gt;0,IFERROR(SEARCH(PaladinOath,$T346,1),0)&gt;0),1,0)*IF($C346=DT$2,1,0)=1,1+COUNTIF(DT$3:DT345,"&gt;0"),0)</f>
        <v>0</v>
      </c>
      <c r="DU346">
        <f>IF(IF(OR(IFERROR(SEARCH("Paladin",$T346,1),0)&gt;0,IFERROR(SEARCH(PaladinOath,$T346,1),0)&gt;0),1,0)*IF($C346=DU$2,1,0)=1,1+COUNTIF(DU$3:DU345,"&gt;0"),0)</f>
        <v>0</v>
      </c>
      <c r="DV346">
        <f>IF(IF(OR(IFERROR(SEARCH("Paladin",$T346,1),0)&gt;0,IFERROR(SEARCH(PaladinOath,$T346,1),0)&gt;0),1,0)*IF($C346=DV$2,1,0)=1,1+COUNTIF(DV$3:DV345,"&gt;0"),0)</f>
        <v>0</v>
      </c>
      <c r="DW346">
        <f>IF(IF(OR(IFERROR(SEARCH("Paladin",$T346,1),0)&gt;0,IFERROR(SEARCH(PaladinOath,$T346,1),0)&gt;0),1,0)*IF($C346=DW$2,1,0)=1,1+COUNTIF(DW$3:DW345,"&gt;0"),0)</f>
        <v>0</v>
      </c>
      <c r="DY346">
        <f t="shared" si="278"/>
        <v>1</v>
      </c>
      <c r="DZ346">
        <f>IF(DY346=0,0,1+MAX(DZ$3:$DZ345))</f>
        <v>344</v>
      </c>
      <c r="EB346">
        <f t="shared" si="293"/>
        <v>0</v>
      </c>
      <c r="EC346">
        <f>IF(EB346=0,0,1+COUNTIF(EC$3:EC345,"&gt;0"))</f>
        <v>0</v>
      </c>
      <c r="ED346" t="str">
        <f t="shared" si="321"/>
        <v/>
      </c>
      <c r="EE346" t="str">
        <f t="shared" si="294"/>
        <v/>
      </c>
      <c r="EG346">
        <f t="shared" si="295"/>
        <v>0</v>
      </c>
      <c r="EH346">
        <f>IF(EG346=0,0,1+COUNTIF(EH$3:EH345,"&gt;0"))</f>
        <v>0</v>
      </c>
      <c r="EI346" t="str">
        <f t="shared" si="322"/>
        <v/>
      </c>
      <c r="EJ346" t="str">
        <f t="shared" si="296"/>
        <v/>
      </c>
      <c r="EL346">
        <f t="shared" si="297"/>
        <v>0</v>
      </c>
      <c r="EM346">
        <f>IF(EL346=0,0,1+COUNTIF(EM$3:EM345,"&gt;0"))</f>
        <v>0</v>
      </c>
      <c r="EN346" t="str">
        <f t="shared" si="323"/>
        <v/>
      </c>
      <c r="EO346" t="str">
        <f t="shared" si="298"/>
        <v/>
      </c>
      <c r="EQ346">
        <f t="shared" si="299"/>
        <v>0</v>
      </c>
      <c r="ER346">
        <f>IF(EQ346=0,0,1+COUNTIF(ER$3:ER345,"&gt;0"))</f>
        <v>0</v>
      </c>
      <c r="ES346" t="str">
        <f t="shared" si="324"/>
        <v/>
      </c>
      <c r="ET346" t="str">
        <f t="shared" si="300"/>
        <v/>
      </c>
      <c r="EV346">
        <f t="shared" si="301"/>
        <v>0</v>
      </c>
      <c r="EW346">
        <f>IF(EV346=0,0,1+COUNTIF(EW$3:EW345,"&gt;0"))</f>
        <v>0</v>
      </c>
      <c r="EX346" t="str">
        <f t="shared" si="325"/>
        <v/>
      </c>
      <c r="EY346" t="str">
        <f t="shared" si="302"/>
        <v/>
      </c>
      <c r="FA346">
        <f t="shared" si="303"/>
        <v>0</v>
      </c>
      <c r="FB346">
        <f>IF(FA346=0,0,1+COUNTIF(FB$3:FB345,"&gt;0"))</f>
        <v>0</v>
      </c>
      <c r="FC346" t="str">
        <f t="shared" si="326"/>
        <v/>
      </c>
      <c r="FD346" t="str">
        <f t="shared" si="304"/>
        <v/>
      </c>
      <c r="FF346">
        <f t="shared" si="305"/>
        <v>0</v>
      </c>
      <c r="FG346">
        <f>IF(FF346=0,0,1+COUNTIF(FG$3:FG345,"&gt;0"))</f>
        <v>0</v>
      </c>
      <c r="FH346" t="str">
        <f t="shared" si="327"/>
        <v/>
      </c>
      <c r="FI346" t="str">
        <f t="shared" si="306"/>
        <v/>
      </c>
      <c r="FK346">
        <f t="shared" si="307"/>
        <v>0</v>
      </c>
      <c r="FL346">
        <f>IF(FK346=0,0,1+COUNTIF(FL$3:FL345,"&gt;0"))</f>
        <v>0</v>
      </c>
      <c r="FM346" t="str">
        <f t="shared" si="328"/>
        <v/>
      </c>
      <c r="FN346" t="str">
        <f t="shared" si="308"/>
        <v/>
      </c>
      <c r="FP346">
        <f t="shared" si="309"/>
        <v>0</v>
      </c>
      <c r="FQ346">
        <f>IF(FP346=0,0,1+COUNTIF(FQ$3:FQ345,"&gt;0"))</f>
        <v>0</v>
      </c>
      <c r="FR346" t="str">
        <f t="shared" si="329"/>
        <v/>
      </c>
      <c r="FS346" t="str">
        <f t="shared" si="310"/>
        <v/>
      </c>
    </row>
    <row r="347" spans="1:175" x14ac:dyDescent="0.25">
      <c r="A347" s="347">
        <f t="shared" si="331"/>
        <v>345</v>
      </c>
      <c r="B347" s="348" t="s">
        <v>2748</v>
      </c>
      <c r="C347" s="348" t="s">
        <v>5277</v>
      </c>
      <c r="D347" s="347">
        <v>0.5</v>
      </c>
      <c r="E347" s="627" t="s">
        <v>6952</v>
      </c>
      <c r="F347" s="346"/>
      <c r="G347" s="347" t="str">
        <f>""</f>
        <v/>
      </c>
      <c r="H347" s="347" t="s">
        <v>5912</v>
      </c>
      <c r="I347" s="347" t="s">
        <v>424</v>
      </c>
      <c r="J347" s="347" t="str">
        <f t="shared" si="279"/>
        <v/>
      </c>
      <c r="K347" s="347" t="s">
        <v>5278</v>
      </c>
      <c r="L347" s="611" t="str">
        <f t="shared" si="280"/>
        <v>V</v>
      </c>
      <c r="M347" s="347" t="s">
        <v>2373</v>
      </c>
      <c r="N347" s="347" t="s">
        <v>3034</v>
      </c>
      <c r="O347" s="347" t="s">
        <v>3034</v>
      </c>
      <c r="P347" s="346" t="str">
        <f>""</f>
        <v/>
      </c>
      <c r="Q347" s="347" t="s">
        <v>5272</v>
      </c>
      <c r="S347" s="346" t="s">
        <v>5855</v>
      </c>
      <c r="T347" s="346" t="str">
        <f t="shared" si="281"/>
        <v xml:space="preserve">Bard, </v>
      </c>
      <c r="U347" s="347" t="str">
        <f>$B347</f>
        <v>Vicious Mockery</v>
      </c>
      <c r="AE347" t="str">
        <f>IF(IFERROR(MATCH($B347,temp!A$4:A$13,0),0)&gt;0,T08_Spells!AE$2,"")</f>
        <v/>
      </c>
      <c r="AF347" t="str">
        <f>IF(IFERROR(MATCH($B347,temp!B$4:B$13,0),0)&gt;0,T08_Spells!AF$2,"")</f>
        <v/>
      </c>
      <c r="AG347" t="str">
        <f>IF(IFERROR(MATCH($B347,temp!C$4:C$13,0),0)&gt;0,T08_Spells!AG$2,"")</f>
        <v/>
      </c>
      <c r="AH347" t="str">
        <f>IF(IFERROR(MATCH($B347,temp!D$4:D$13,0),0)&gt;0,T08_Spells!AH$2,"")</f>
        <v/>
      </c>
      <c r="AI347" t="str">
        <f>IF(IFERROR(MATCH($B347,temp!E$4:E$13,0),0)&gt;0,T08_Spells!AI$2,"")</f>
        <v/>
      </c>
      <c r="AJ347" t="str">
        <f>IF(IFERROR(MATCH($B347,temp!F$4:F$13,0),0)&gt;0,T08_Spells!AJ$2,"")</f>
        <v/>
      </c>
      <c r="AK347" t="str">
        <f>IF(IFERROR(MATCH($B347,temp!G$4:G$13,0),0)&gt;0,T08_Spells!AK$2,"")</f>
        <v/>
      </c>
      <c r="AL347" t="str">
        <f>IF(IFERROR(MATCH($B347,temp!H$4:H$13,0),0)&gt;0,T08_Spells!AL$2,"")</f>
        <v/>
      </c>
      <c r="AM347" t="str">
        <f>IF(IFERROR(MATCH($B347,temp!I$4:I$13,0),0)&gt;0,T08_Spells!AM$2,"")</f>
        <v/>
      </c>
      <c r="AN347" t="str">
        <f>IF(IFERROR(MATCH($B347,temp!J$4:J$13,0),0)&gt;0,T08_Spells!AN$2,"")</f>
        <v/>
      </c>
      <c r="AO347" t="str">
        <f>IF(IFERROR(MATCH($B347,temp!K$4:K$13,0),0)&gt;0,T08_Spells!AO$2,"")</f>
        <v/>
      </c>
      <c r="AP347" t="str">
        <f>IF(IFERROR(MATCH($B347,temp!L$4:L$13,0),0)&gt;0,T08_Spells!AP$2,"")</f>
        <v/>
      </c>
      <c r="AQ347" t="str">
        <f>IF(IFERROR(MATCH($B347,temp!M$4:M$13,0),0)&gt;0,T08_Spells!AQ$2,"")</f>
        <v/>
      </c>
      <c r="AR347" t="str">
        <f>IF(IFERROR(MATCH($B347,temp!N$4:N$13,0),0)&gt;0,T08_Spells!AR$2,"")</f>
        <v/>
      </c>
      <c r="AS347" t="str">
        <f>IF(IFERROR(MATCH($B347,temp!O$4:O$13,0),0)&gt;0,T08_Spells!AS$2,"")</f>
        <v/>
      </c>
      <c r="AT347" t="str">
        <f>IF(IFERROR(MATCH($B347,temp!P$4:P$13,0),0)&gt;0,T08_Spells!AT$2,"")</f>
        <v/>
      </c>
      <c r="AU347" t="str">
        <f>IF(IFERROR(MATCH($B347,temp!Q$4:Q$13,0),0)&gt;0,T08_Spells!AU$2,"")</f>
        <v/>
      </c>
      <c r="AV347" t="str">
        <f>IF(IFERROR(MATCH($B347,temp!R$4:R$13,0),0)&gt;0,T08_Spells!AV$2,"")</f>
        <v/>
      </c>
      <c r="AW347" t="str">
        <f>IF(IFERROR(MATCH($B347,temp!S$4:S$13,0),0)&gt;0,T08_Spells!AW$2,"")</f>
        <v/>
      </c>
      <c r="AX347" t="str">
        <f>IF(IFERROR(MATCH($B347,temp!T$4:T$13,0),0)&gt;0,T08_Spells!AX$2,"")</f>
        <v/>
      </c>
      <c r="AY347" t="str">
        <f>IF(IFERROR(MATCH($B347,temp!U$4:U$13,0),0)&gt;0,T08_Spells!AY$2,"")</f>
        <v/>
      </c>
      <c r="AZ347" t="str">
        <f>IF(IFERROR(MATCH($B347,temp!V$4:V$13,0),0)&gt;0,T08_Spells!AZ$2,"")</f>
        <v/>
      </c>
      <c r="BA347" t="str">
        <f>IF(IFERROR(MATCH($B347,temp!W$4:W$13,0),0)&gt;0,T08_Spells!BA$2,"")</f>
        <v/>
      </c>
      <c r="BC347">
        <f>IF(IFERROR(SEARCH("Ranger",$T347,1),0)&gt;0,1,0)*IF(RangerMaxSpellLevel&gt;=$C347,1,0)*IF(IFERROR(MATCH(B347,Character_Creation!$X$79:$X$382,0),0)&gt;0,0,1)</f>
        <v>0</v>
      </c>
      <c r="BD347">
        <f>IF(BC347=0,0,1+COUNTIF(BD$3:BD346,"&gt;0"))</f>
        <v>0</v>
      </c>
      <c r="BE347" t="str">
        <f t="shared" si="311"/>
        <v/>
      </c>
      <c r="BF347" t="str">
        <f t="shared" si="283"/>
        <v/>
      </c>
      <c r="BH347">
        <f>IF(IFERROR(SEARCH("Sorcerer",$T347,1),0)&gt;0,1,0)*IF(SorcererMaxSpellLevel&gt;=$C347,1,0)*IF(IFERROR(MATCH(B347,Character_Creation!$J$380:$J$394,0),0)&gt;0,0,1)</f>
        <v>0</v>
      </c>
      <c r="BI347">
        <f>IF(BH347=0,0,1+COUNTIF(BI$3:BI346,"&gt;0"))</f>
        <v>0</v>
      </c>
      <c r="BJ347" t="str">
        <f t="shared" si="312"/>
        <v/>
      </c>
      <c r="BK347" t="str">
        <f t="shared" si="284"/>
        <v/>
      </c>
      <c r="BM347">
        <f>IF(OR(IFERROR(SEARCH("Warlock",$T347,1),0)&gt;0,IFERROR(SEARCH(WarlockPatron,$T347,1),0)&gt;0),1,0)*IF(WarlockMaxSpellLevel&gt;=$C347,1,0)*IF(IFERROR(MATCH(B347,Character_Creation!$J$361:$J$375,0),0)&gt;0,0,1)</f>
        <v>0</v>
      </c>
      <c r="BN347">
        <f>IF(BM347=0,0,1+COUNTIF(BN$3:BN346,"&gt;0"))</f>
        <v>0</v>
      </c>
      <c r="BO347" t="str">
        <f t="shared" si="313"/>
        <v/>
      </c>
      <c r="BP347" t="str">
        <f t="shared" si="285"/>
        <v/>
      </c>
      <c r="BR347">
        <f>IF(IFERROR(SEARCH("Eldritch Knight",$T347,1),0)&gt;0,1,0)*IF(EldritchKnightMaxSpellLevel&gt;=$C347,1,0)*IF(IFERROR(MATCH($B347,Character_Creation!$J$350:$J$356,0),0)&gt;0,0,1)*IF(Character_Creation!$M$338&gt;0,1,0)</f>
        <v>0</v>
      </c>
      <c r="BS347">
        <f>IF(BR347=0,0,1+COUNTIF(BS$3:BS346,"&gt;0"))</f>
        <v>0</v>
      </c>
      <c r="BT347" t="str">
        <f t="shared" si="314"/>
        <v/>
      </c>
      <c r="BU347" t="str">
        <f t="shared" si="286"/>
        <v/>
      </c>
      <c r="BW347">
        <f>IF(IFERROR(SEARCH("Arcane Trickster",$T347,1),0)&gt;0,1,0)*IF(ArcaneTricksterMaxSpellLevel&gt;=$C347,1,0)*IF(IFERROR(MATCH($B347,Character_Creation!$J$350:$J$356,0),0)&gt;0,0,1)*IF(Character_Creation!$T$338&gt;0,1,0)</f>
        <v>0</v>
      </c>
      <c r="BX347">
        <f>IF(BW347=0,0,1+COUNTIF(BX$3:BX346,"&gt;0"))</f>
        <v>0</v>
      </c>
      <c r="BY347" t="str">
        <f t="shared" si="315"/>
        <v/>
      </c>
      <c r="BZ347" t="str">
        <f t="shared" si="287"/>
        <v/>
      </c>
      <c r="CB347">
        <f>IF(IFERROR(SEARCH("Wizard",$T347,1),0)&gt;0,1,0)*IF(C347&lt;=ArcaneTricksterMaxSpellLevel,1,0)*IF(IFERROR(MATCH($B347,Character_Creation!$J$350:$J$356,0),0)&gt;0,0,1)*IF(Character_Creation!$T$350&gt;0,1,0)</f>
        <v>0</v>
      </c>
      <c r="CC347">
        <f>IF(CB347=0,0,1+COUNTIF(CC$3:CC346,"&gt;0"))</f>
        <v>0</v>
      </c>
      <c r="CD347" t="str">
        <f t="shared" si="316"/>
        <v/>
      </c>
      <c r="CE347" t="str">
        <f t="shared" si="288"/>
        <v/>
      </c>
      <c r="CG347">
        <f>IF(IFERROR(SEARCH("Wizard",$T347,1),0)&gt;0,1,0)*IF($C347&lt;=EldritchKnightMaxSpellLevel,1,0)*IF(IFERROR(MATCH($B347,Character_Creation!$J$350:$J$356,0),0)&gt;0,0,1)*IF(Character_Creation!$M$350&gt;0,1,0)</f>
        <v>0</v>
      </c>
      <c r="CH347">
        <f>IF(CG347=0,0,1+COUNTIF(CH$3:CH346,"&gt;0"))</f>
        <v>0</v>
      </c>
      <c r="CI347" t="str">
        <f t="shared" si="317"/>
        <v/>
      </c>
      <c r="CJ347" t="str">
        <f t="shared" si="289"/>
        <v/>
      </c>
      <c r="CL347">
        <f>IF(IFERROR(SEARCH("Bard",$T347,1),0)&gt;0,1,0)*IF(BardMaxSpellLevel&gt;=$C347,1,0)*IF(IFERROR(MATCH(B347,Character_Creation!$C$341:$F$362,0),0)&gt;0,0,1)*IF(IFERROR(MATCH($B347,Character_Creation!$C$341:$C$362,0),0)&gt;0,0,1)</f>
        <v>0</v>
      </c>
      <c r="CM347">
        <f>IF(CL347=0,0,1+COUNTIF(CM$3:CM346,"&gt;0"))</f>
        <v>0</v>
      </c>
      <c r="CN347" t="str">
        <f t="shared" si="318"/>
        <v/>
      </c>
      <c r="CO347" t="str">
        <f t="shared" si="290"/>
        <v/>
      </c>
      <c r="CQ347">
        <f>IF(IFERROR(SEARCH("Wizard",$T347,1),0)&gt;0,1,0)*IF(WizardMaxSpellLevel&gt;=$C347,1,0)*IF(IFERROR(MATCH(B347,Character_Creation!$X$341:$X$400,0),0)&gt;0,0,1)*IF(SelectedWizardSpellLevel=$C347,1,0)</f>
        <v>0</v>
      </c>
      <c r="CR347">
        <f>IF(CQ347=0,0,1+COUNTIF(CR$3:CR346,"&gt;0"))</f>
        <v>0</v>
      </c>
      <c r="CS347" t="str">
        <f t="shared" si="319"/>
        <v/>
      </c>
      <c r="CT347" t="str">
        <f t="shared" si="291"/>
        <v/>
      </c>
      <c r="CV347">
        <f>IF(IFERROR(MATCH($B347,Character_Creation!$C$341:$C$362,0),0)&gt;0,0,1)*IF(OR(C347="Cantrip",C347&lt;=BardMaxSpellLevel),1,0)*IF(IFERROR(MATCH($B347,Character_Creation!$C$367:$C$374,0),0)&gt;0,0,1)</f>
        <v>1</v>
      </c>
      <c r="CW347">
        <f>IF(CV347=0,0,1+COUNTIF(CW$3:CW346,"&gt;0"))</f>
        <v>27</v>
      </c>
      <c r="CX347" t="str">
        <f t="shared" si="320"/>
        <v/>
      </c>
      <c r="CY347" t="str">
        <f t="shared" si="292"/>
        <v/>
      </c>
      <c r="DA347">
        <f>IF(IF(OR(IFERROR(SEARCH("Cleric",$T347,1),0)&gt;0,IFERROR(SEARCH(DivineDomain&amp;",",$T347,1),0)&gt;0),1,0)*IF($C347=DA$2,1,0)=1,1+COUNTIF(DA$3:DA346,"&gt;0"),0)</f>
        <v>0</v>
      </c>
      <c r="DB347">
        <f>IF(IF(OR(IFERROR(SEARCH("Cleric",$T347,1),0)&gt;0,IFERROR(SEARCH(DivineDomain&amp;",",$T347,1),0)&gt;0),1,0)*IF($C347=DB$2,1,0)=1,1+COUNTIF(DB$3:DB346,"&gt;0"),0)</f>
        <v>0</v>
      </c>
      <c r="DC347">
        <f>IF(IF(OR(IFERROR(SEARCH("Cleric",$T347,1),0)&gt;0,IFERROR(SEARCH(DivineDomain&amp;",",$T347,1),0)&gt;0),1,0)*IF($C347=DC$2,1,0)=1,1+COUNTIF(DC$3:DC346,"&gt;0"),0)</f>
        <v>0</v>
      </c>
      <c r="DD347">
        <f>IF(IF(OR(IFERROR(SEARCH("Cleric",$T347,1),0)&gt;0,IFERROR(SEARCH(DivineDomain&amp;",",$T347,1),0)&gt;0),1,0)*IF($C347=DD$2,1,0)=1,1+COUNTIF(DD$3:DD346,"&gt;0"),0)</f>
        <v>0</v>
      </c>
      <c r="DE347">
        <f>IF(IF(OR(IFERROR(SEARCH("Cleric",$T347,1),0)&gt;0,IFERROR(SEARCH(DivineDomain&amp;",",$T347,1),0)&gt;0),1,0)*IF($C347=DE$2,1,0)=1,1+COUNTIF(DE$3:DE346,"&gt;0"),0)</f>
        <v>0</v>
      </c>
      <c r="DF347">
        <f>IF(IF(OR(IFERROR(SEARCH("Cleric",$T347,1),0)&gt;0,IFERROR(SEARCH(DivineDomain&amp;",",$T347,1),0)&gt;0),1,0)*IF($C347=DF$2,1,0)=1,1+COUNTIF(DF$3:DF346,"&gt;0"),0)</f>
        <v>0</v>
      </c>
      <c r="DG347">
        <f>IF(IF(OR(IFERROR(SEARCH("Cleric",$T347,1),0)&gt;0,IFERROR(SEARCH(DivineDomain&amp;",",$T347,1),0)&gt;0),1,0)*IF($C347=DG$2,1,0)=1,1+COUNTIF(DG$3:DG346,"&gt;0"),0)</f>
        <v>0</v>
      </c>
      <c r="DH347">
        <f>IF(IF(OR(IFERROR(SEARCH("Cleric",$T347,1),0)&gt;0,IFERROR(SEARCH(DivineDomain&amp;",",$T347,1),0)&gt;0),1,0)*IF($C347=DH$2,1,0)=1,1+COUNTIF(DH$3:DH346,"&gt;0"),0)</f>
        <v>0</v>
      </c>
      <c r="DI347">
        <f>IF(IF(OR(IFERROR(SEARCH("Cleric",$T347,1),0)&gt;0,IFERROR(SEARCH(DivineDomain&amp;",",$T347,1),0)&gt;0),1,0)*IF($C347=DI$2,1,0)=1,1+COUNTIF(DI$3:DI346,"&gt;0"),0)</f>
        <v>0</v>
      </c>
      <c r="DJ347">
        <f>IF(IF(OR(IFERROR(SEARCH("Druid",$T347,1),0)&gt;0,IFERROR(SEARCH(DruidLand1,$T347,1),0)&gt;0,IFERROR(SEARCH(DruidLand2,$T347,1),0)&gt;0,IFERROR(SEARCH(DruidLand3,$T347,1),0)&gt;0,IFERROR(SEARCH(DruidLand4,$T347,1),0)&gt;0),1,0)*IF($C347=1,1,0)*IF($C347=DJ$2,1,0)=0,0,1+COUNTIF(DJ$3:DJ346,"&gt;0"))</f>
        <v>0</v>
      </c>
      <c r="DK347">
        <f>IF(IF(OR(IFERROR(SEARCH("Druid",$T347,1),0)&gt;0,IFERROR(SEARCH(DruidLand1,$T347,1),0)&gt;0,IFERROR(SEARCH(DruidLand2,$T347,1),0)&gt;0,IFERROR(SEARCH(DruidLand3,$T347,1),0)&gt;0,IFERROR(SEARCH(DruidLand4,$T347,1),0)&gt;0),1,0)*IF($C347=1,1,0)*IF($C347=DK$2,1,0)=0,0,1+COUNTIF(DK$3:DK346,"&gt;0"))</f>
        <v>0</v>
      </c>
      <c r="DL347">
        <f>IF(IF(OR(IFERROR(SEARCH("Druid",$T347,1),0)&gt;0,IFERROR(SEARCH(DruidLand1,$T347,1),0)&gt;0,IFERROR(SEARCH(DruidLand2,$T347,1),0)&gt;0,IFERROR(SEARCH(DruidLand3,$T347,1),0)&gt;0,IFERROR(SEARCH(DruidLand4,$T347,1),0)&gt;0),1,0)*IF($C347=1,1,0)*IF($C347=DL$2,1,0)=0,0,1+COUNTIF(DL$3:DL346,"&gt;0"))</f>
        <v>0</v>
      </c>
      <c r="DM347">
        <f>IF(IF(OR(IFERROR(SEARCH("Druid",$T347,1),0)&gt;0,IFERROR(SEARCH(DruidLand1,$T347,1),0)&gt;0,IFERROR(SEARCH(DruidLand2,$T347,1),0)&gt;0,IFERROR(SEARCH(DruidLand3,$T347,1),0)&gt;0,IFERROR(SEARCH(DruidLand4,$T347,1),0)&gt;0),1,0)*IF($C347=1,1,0)*IF($C347=DM$2,1,0)=0,0,1+COUNTIF(DM$3:DM346,"&gt;0"))</f>
        <v>0</v>
      </c>
      <c r="DN347">
        <f>IF(IF(OR(IFERROR(SEARCH("Druid",$T347,1),0)&gt;0,IFERROR(SEARCH(DruidLand1,$T347,1),0)&gt;0,IFERROR(SEARCH(DruidLand2,$T347,1),0)&gt;0,IFERROR(SEARCH(DruidLand3,$T347,1),0)&gt;0,IFERROR(SEARCH(DruidLand4,$T347,1),0)&gt;0),1,0)*IF($C347=1,1,0)*IF($C347=DN$2,1,0)=0,0,1+COUNTIF(DN$3:DN346,"&gt;0"))</f>
        <v>0</v>
      </c>
      <c r="DO347">
        <f>IF(IF(OR(IFERROR(SEARCH("Druid",$T347,1),0)&gt;0,IFERROR(SEARCH(DruidLand1,$T347,1),0)&gt;0,IFERROR(SEARCH(DruidLand2,$T347,1),0)&gt;0,IFERROR(SEARCH(DruidLand3,$T347,1),0)&gt;0,IFERROR(SEARCH(DruidLand4,$T347,1),0)&gt;0),1,0)*IF($C347=1,1,0)*IF($C347=DO$2,1,0)=0,0,1+COUNTIF(DO$3:DO346,"&gt;0"))</f>
        <v>0</v>
      </c>
      <c r="DP347">
        <f>IF(IF(OR(IFERROR(SEARCH("Druid",$T347,1),0)&gt;0,IFERROR(SEARCH(DruidLand1,$T347,1),0)&gt;0,IFERROR(SEARCH(DruidLand2,$T347,1),0)&gt;0,IFERROR(SEARCH(DruidLand3,$T347,1),0)&gt;0,IFERROR(SEARCH(DruidLand4,$T347,1),0)&gt;0),1,0)*IF($C347=1,1,0)*IF($C347=DP$2,1,0)=0,0,1+COUNTIF(DP$3:DP346,"&gt;0"))</f>
        <v>0</v>
      </c>
      <c r="DQ347">
        <f>IF(IF(OR(IFERROR(SEARCH("Druid",$T347,1),0)&gt;0,IFERROR(SEARCH(DruidLand1,$T347,1),0)&gt;0,IFERROR(SEARCH(DruidLand2,$T347,1),0)&gt;0,IFERROR(SEARCH(DruidLand3,$T347,1),0)&gt;0,IFERROR(SEARCH(DruidLand4,$T347,1),0)&gt;0),1,0)*IF($C347=1,1,0)*IF($C347=DQ$2,1,0)=0,0,1+COUNTIF(DQ$3:DQ346,"&gt;0"))</f>
        <v>0</v>
      </c>
      <c r="DR347">
        <f>IF(IF(OR(IFERROR(SEARCH("Druid",$T347,1),0)&gt;0,IFERROR(SEARCH(DruidLand1,$T347,1),0)&gt;0,IFERROR(SEARCH(DruidLand2,$T347,1),0)&gt;0,IFERROR(SEARCH(DruidLand3,$T347,1),0)&gt;0,IFERROR(SEARCH(DruidLand4,$T347,1),0)&gt;0),1,0)*IF($C347=1,1,0)*IF($C347=DR$2,1,0)=0,0,1+COUNTIF(DR$3:DR346,"&gt;0"))</f>
        <v>0</v>
      </c>
      <c r="DS347">
        <f>IF(IF(OR(IFERROR(SEARCH("Paladin",$T347,1),0)&gt;0,IFERROR(SEARCH(PaladinOath,$T347,1),0)&gt;0),1,0)*IF($C347=DS$2,1,0)=1,1+COUNTIF(DS$3:DS346,"&gt;0"),0)</f>
        <v>0</v>
      </c>
      <c r="DT347">
        <f>IF(IF(OR(IFERROR(SEARCH("Paladin",$T347,1),0)&gt;0,IFERROR(SEARCH(PaladinOath,$T347,1),0)&gt;0),1,0)*IF($C347=DT$2,1,0)=1,1+COUNTIF(DT$3:DT346,"&gt;0"),0)</f>
        <v>0</v>
      </c>
      <c r="DU347">
        <f>IF(IF(OR(IFERROR(SEARCH("Paladin",$T347,1),0)&gt;0,IFERROR(SEARCH(PaladinOath,$T347,1),0)&gt;0),1,0)*IF($C347=DU$2,1,0)=1,1+COUNTIF(DU$3:DU346,"&gt;0"),0)</f>
        <v>0</v>
      </c>
      <c r="DV347">
        <f>IF(IF(OR(IFERROR(SEARCH("Paladin",$T347,1),0)&gt;0,IFERROR(SEARCH(PaladinOath,$T347,1),0)&gt;0),1,0)*IF($C347=DV$2,1,0)=1,1+COUNTIF(DV$3:DV346,"&gt;0"),0)</f>
        <v>0</v>
      </c>
      <c r="DW347">
        <f>IF(IF(OR(IFERROR(SEARCH("Paladin",$T347,1),0)&gt;0,IFERROR(SEARCH(PaladinOath,$T347,1),0)&gt;0),1,0)*IF($C347=DW$2,1,0)=1,1+COUNTIF(DW$3:DW346,"&gt;0"),0)</f>
        <v>0</v>
      </c>
      <c r="DY347">
        <f t="shared" si="278"/>
        <v>1</v>
      </c>
      <c r="DZ347">
        <f>IF(DY347=0,0,1+MAX(DZ$3:$DZ346))</f>
        <v>345</v>
      </c>
      <c r="EB347">
        <f t="shared" si="293"/>
        <v>1</v>
      </c>
      <c r="EC347">
        <f>IF(EB347=0,0,1+COUNTIF(EC$3:EC346,"&gt;0"))</f>
        <v>11</v>
      </c>
      <c r="ED347" t="str">
        <f t="shared" si="321"/>
        <v/>
      </c>
      <c r="EE347" t="str">
        <f t="shared" si="294"/>
        <v/>
      </c>
      <c r="EG347">
        <f t="shared" si="295"/>
        <v>0</v>
      </c>
      <c r="EH347">
        <f>IF(EG347=0,0,1+COUNTIF(EH$3:EH346,"&gt;0"))</f>
        <v>0</v>
      </c>
      <c r="EI347" t="str">
        <f t="shared" si="322"/>
        <v/>
      </c>
      <c r="EJ347" t="str">
        <f t="shared" si="296"/>
        <v/>
      </c>
      <c r="EL347">
        <f t="shared" si="297"/>
        <v>0</v>
      </c>
      <c r="EM347">
        <f>IF(EL347=0,0,1+COUNTIF(EM$3:EM346,"&gt;0"))</f>
        <v>0</v>
      </c>
      <c r="EN347" t="str">
        <f t="shared" si="323"/>
        <v/>
      </c>
      <c r="EO347" t="str">
        <f t="shared" si="298"/>
        <v/>
      </c>
      <c r="EQ347">
        <f t="shared" si="299"/>
        <v>0</v>
      </c>
      <c r="ER347">
        <f>IF(EQ347=0,0,1+COUNTIF(ER$3:ER346,"&gt;0"))</f>
        <v>0</v>
      </c>
      <c r="ES347" t="str">
        <f t="shared" si="324"/>
        <v/>
      </c>
      <c r="ET347" t="str">
        <f t="shared" si="300"/>
        <v/>
      </c>
      <c r="EV347">
        <f t="shared" si="301"/>
        <v>0</v>
      </c>
      <c r="EW347">
        <f>IF(EV347=0,0,1+COUNTIF(EW$3:EW346,"&gt;0"))</f>
        <v>0</v>
      </c>
      <c r="EX347" t="str">
        <f t="shared" si="325"/>
        <v/>
      </c>
      <c r="EY347" t="str">
        <f t="shared" si="302"/>
        <v/>
      </c>
      <c r="FA347">
        <f t="shared" si="303"/>
        <v>0</v>
      </c>
      <c r="FB347">
        <f>IF(FA347=0,0,1+COUNTIF(FB$3:FB346,"&gt;0"))</f>
        <v>0</v>
      </c>
      <c r="FC347" t="str">
        <f t="shared" si="326"/>
        <v/>
      </c>
      <c r="FD347" t="str">
        <f t="shared" si="304"/>
        <v/>
      </c>
      <c r="FF347">
        <f t="shared" si="305"/>
        <v>0</v>
      </c>
      <c r="FG347">
        <f>IF(FF347=0,0,1+COUNTIF(FG$3:FG346,"&gt;0"))</f>
        <v>0</v>
      </c>
      <c r="FH347" t="str">
        <f t="shared" si="327"/>
        <v/>
      </c>
      <c r="FI347" t="str">
        <f t="shared" si="306"/>
        <v/>
      </c>
      <c r="FK347">
        <f t="shared" si="307"/>
        <v>0</v>
      </c>
      <c r="FL347">
        <f>IF(FK347=0,0,1+COUNTIF(FL$3:FL346,"&gt;0"))</f>
        <v>0</v>
      </c>
      <c r="FM347" t="str">
        <f t="shared" si="328"/>
        <v/>
      </c>
      <c r="FN347" t="str">
        <f t="shared" si="308"/>
        <v/>
      </c>
      <c r="FP347">
        <f t="shared" si="309"/>
        <v>1</v>
      </c>
      <c r="FQ347">
        <f>IF(FP347=0,0,1+COUNTIF(FQ$3:FQ346,"&gt;0"))</f>
        <v>11</v>
      </c>
      <c r="FR347" t="str">
        <f t="shared" si="329"/>
        <v/>
      </c>
      <c r="FS347" t="str">
        <f t="shared" si="310"/>
        <v/>
      </c>
    </row>
    <row r="348" spans="1:175" x14ac:dyDescent="0.25">
      <c r="A348" s="347">
        <f t="shared" si="331"/>
        <v>346</v>
      </c>
      <c r="B348" s="348" t="s">
        <v>2749</v>
      </c>
      <c r="C348" s="348">
        <v>4</v>
      </c>
      <c r="D348" s="347">
        <v>4</v>
      </c>
      <c r="E348" s="627" t="s">
        <v>6952</v>
      </c>
      <c r="F348" s="346"/>
      <c r="G348" s="347" t="str">
        <f>""</f>
        <v/>
      </c>
      <c r="H348" s="347" t="s">
        <v>5912</v>
      </c>
      <c r="I348" s="347" t="s">
        <v>5290</v>
      </c>
      <c r="J348" s="347" t="str">
        <f t="shared" si="279"/>
        <v/>
      </c>
      <c r="K348" s="347" t="s">
        <v>5291</v>
      </c>
      <c r="L348" s="611" t="str">
        <f t="shared" si="280"/>
        <v>V, S, M, a small piece of phosphorus</v>
      </c>
      <c r="M348" s="347" t="s">
        <v>2373</v>
      </c>
      <c r="N348" s="347" t="s">
        <v>2387</v>
      </c>
      <c r="O348" s="347" t="s">
        <v>1244</v>
      </c>
      <c r="P348" s="346" t="s">
        <v>5510</v>
      </c>
      <c r="Q348" s="347" t="s">
        <v>5273</v>
      </c>
      <c r="S348" s="346" t="s">
        <v>5856</v>
      </c>
      <c r="T348" s="346" t="str">
        <f t="shared" si="281"/>
        <v xml:space="preserve">Sorcerer, Druid, Eldritch Knight, Wizard, Archfiend, Light, </v>
      </c>
      <c r="X348" s="347" t="str">
        <f>$B348</f>
        <v>Wall of Fire</v>
      </c>
      <c r="AA348" s="347" t="str">
        <f>$B348</f>
        <v>Wall of Fire</v>
      </c>
      <c r="AB348" s="542" t="str">
        <f>AD348</f>
        <v>Wall of Fire</v>
      </c>
      <c r="AD348" s="347" t="str">
        <f>$B348</f>
        <v>Wall of Fire</v>
      </c>
      <c r="AE348" t="str">
        <f>IF(IFERROR(MATCH($B348,temp!A$4:A$13,0),0)&gt;0,T08_Spells!AE$2,"")</f>
        <v/>
      </c>
      <c r="AF348" t="str">
        <f>IF(IFERROR(MATCH($B348,temp!B$4:B$13,0),0)&gt;0,T08_Spells!AF$2,"")</f>
        <v/>
      </c>
      <c r="AG348" t="str">
        <f>IF(IFERROR(MATCH($B348,temp!C$4:C$13,0),0)&gt;0,T08_Spells!AG$2,"")</f>
        <v/>
      </c>
      <c r="AH348" t="str">
        <f>IF(IFERROR(MATCH($B348,temp!D$4:D$13,0),0)&gt;0,T08_Spells!AH$2,"")</f>
        <v/>
      </c>
      <c r="AI348" t="str">
        <f>IF(IFERROR(MATCH($B348,temp!E$4:E$13,0),0)&gt;0,T08_Spells!AI$2,"")</f>
        <v/>
      </c>
      <c r="AJ348" t="str">
        <f>IF(IFERROR(MATCH($B348,temp!F$4:F$13,0),0)&gt;0,T08_Spells!AJ$2,"")</f>
        <v>Archfiend</v>
      </c>
      <c r="AK348" t="str">
        <f>IF(IFERROR(MATCH($B348,temp!G$4:G$13,0),0)&gt;0,T08_Spells!AK$2,"")</f>
        <v/>
      </c>
      <c r="AL348" t="str">
        <f>IF(IFERROR(MATCH($B348,temp!H$4:H$13,0),0)&gt;0,T08_Spells!AL$2,"")</f>
        <v/>
      </c>
      <c r="AM348" t="str">
        <f>IF(IFERROR(MATCH($B348,temp!I$4:I$13,0),0)&gt;0,T08_Spells!AM$2,"")</f>
        <v/>
      </c>
      <c r="AN348" t="str">
        <f>IF(IFERROR(MATCH($B348,temp!J$4:J$13,0),0)&gt;0,T08_Spells!AN$2,"")</f>
        <v/>
      </c>
      <c r="AO348" t="str">
        <f>IF(IFERROR(MATCH($B348,temp!K$4:K$13,0),0)&gt;0,T08_Spells!AO$2,"")</f>
        <v/>
      </c>
      <c r="AP348" t="str">
        <f>IF(IFERROR(MATCH($B348,temp!L$4:L$13,0),0)&gt;0,T08_Spells!AP$2,"")</f>
        <v/>
      </c>
      <c r="AQ348" t="str">
        <f>IF(IFERROR(MATCH($B348,temp!M$4:M$13,0),0)&gt;0,T08_Spells!AQ$2,"")</f>
        <v/>
      </c>
      <c r="AR348" t="str">
        <f>IF(IFERROR(MATCH($B348,temp!N$4:N$13,0),0)&gt;0,T08_Spells!AR$2,"")</f>
        <v/>
      </c>
      <c r="AS348" t="str">
        <f>IF(IFERROR(MATCH($B348,temp!O$4:O$13,0),0)&gt;0,T08_Spells!AS$2,"")</f>
        <v/>
      </c>
      <c r="AT348" t="str">
        <f>IF(IFERROR(MATCH($B348,temp!P$4:P$13,0),0)&gt;0,T08_Spells!AT$2,"")</f>
        <v/>
      </c>
      <c r="AU348" t="str">
        <f>IF(IFERROR(MATCH($B348,temp!Q$4:Q$13,0),0)&gt;0,T08_Spells!AU$2,"")</f>
        <v/>
      </c>
      <c r="AV348" t="str">
        <f>IF(IFERROR(MATCH($B348,temp!R$4:R$13,0),0)&gt;0,T08_Spells!AV$2,"")</f>
        <v>Light</v>
      </c>
      <c r="AW348" t="str">
        <f>IF(IFERROR(MATCH($B348,temp!S$4:S$13,0),0)&gt;0,T08_Spells!AW$2,"")</f>
        <v/>
      </c>
      <c r="AX348" t="str">
        <f>IF(IFERROR(MATCH($B348,temp!T$4:T$13,0),0)&gt;0,T08_Spells!AX$2,"")</f>
        <v/>
      </c>
      <c r="AY348" t="str">
        <f>IF(IFERROR(MATCH($B348,temp!U$4:U$13,0),0)&gt;0,T08_Spells!AY$2,"")</f>
        <v/>
      </c>
      <c r="AZ348" t="str">
        <f>IF(IFERROR(MATCH($B348,temp!V$4:V$13,0),0)&gt;0,T08_Spells!AZ$2,"")</f>
        <v/>
      </c>
      <c r="BA348" t="str">
        <f>IF(IFERROR(MATCH($B348,temp!W$4:W$13,0),0)&gt;0,T08_Spells!BA$2,"")</f>
        <v/>
      </c>
      <c r="BC348">
        <f>IF(IFERROR(SEARCH("Ranger",$T348,1),0)&gt;0,1,0)*IF(RangerMaxSpellLevel&gt;=$C348,1,0)*IF(IFERROR(MATCH(B348,Character_Creation!$X$79:$X$382,0),0)&gt;0,0,1)</f>
        <v>0</v>
      </c>
      <c r="BD348">
        <f>IF(BC348=0,0,1+COUNTIF(BD$3:BD347,"&gt;0"))</f>
        <v>0</v>
      </c>
      <c r="BE348" t="str">
        <f t="shared" si="311"/>
        <v/>
      </c>
      <c r="BF348" t="str">
        <f t="shared" si="283"/>
        <v/>
      </c>
      <c r="BH348">
        <f>IF(IFERROR(SEARCH("Sorcerer",$T348,1),0)&gt;0,1,0)*IF(SorcererMaxSpellLevel&gt;=$C348,1,0)*IF(IFERROR(MATCH(B348,Character_Creation!$J$380:$J$394,0),0)&gt;0,0,1)</f>
        <v>0</v>
      </c>
      <c r="BI348">
        <f>IF(BH348=0,0,1+COUNTIF(BI$3:BI347,"&gt;0"))</f>
        <v>0</v>
      </c>
      <c r="BJ348" t="str">
        <f t="shared" si="312"/>
        <v/>
      </c>
      <c r="BK348" t="str">
        <f t="shared" si="284"/>
        <v/>
      </c>
      <c r="BM348">
        <f>IF(OR(IFERROR(SEARCH("Warlock",$T348,1),0)&gt;0,IFERROR(SEARCH(WarlockPatron,$T348,1),0)&gt;0),1,0)*IF(WarlockMaxSpellLevel&gt;=$C348,1,0)*IF(IFERROR(MATCH(B348,Character_Creation!$J$361:$J$375,0),0)&gt;0,0,1)</f>
        <v>0</v>
      </c>
      <c r="BN348">
        <f>IF(BM348=0,0,1+COUNTIF(BN$3:BN347,"&gt;0"))</f>
        <v>0</v>
      </c>
      <c r="BO348" t="str">
        <f t="shared" si="313"/>
        <v/>
      </c>
      <c r="BP348" t="str">
        <f t="shared" si="285"/>
        <v/>
      </c>
      <c r="BR348">
        <f>IF(IFERROR(SEARCH("Eldritch Knight",$T348,1),0)&gt;0,1,0)*IF(EldritchKnightMaxSpellLevel&gt;=$C348,1,0)*IF(IFERROR(MATCH($B348,Character_Creation!$J$350:$J$356,0),0)&gt;0,0,1)*IF(Character_Creation!$M$338&gt;0,1,0)</f>
        <v>0</v>
      </c>
      <c r="BS348">
        <f>IF(BR348=0,0,1+COUNTIF(BS$3:BS347,"&gt;0"))</f>
        <v>0</v>
      </c>
      <c r="BT348" t="str">
        <f t="shared" si="314"/>
        <v/>
      </c>
      <c r="BU348" t="str">
        <f t="shared" si="286"/>
        <v/>
      </c>
      <c r="BW348">
        <f>IF(IFERROR(SEARCH("Arcane Trickster",$T348,1),0)&gt;0,1,0)*IF(ArcaneTricksterMaxSpellLevel&gt;=$C348,1,0)*IF(IFERROR(MATCH($B348,Character_Creation!$J$350:$J$356,0),0)&gt;0,0,1)*IF(Character_Creation!$T$338&gt;0,1,0)</f>
        <v>0</v>
      </c>
      <c r="BX348">
        <f>IF(BW348=0,0,1+COUNTIF(BX$3:BX347,"&gt;0"))</f>
        <v>0</v>
      </c>
      <c r="BY348" t="str">
        <f t="shared" si="315"/>
        <v/>
      </c>
      <c r="BZ348" t="str">
        <f t="shared" si="287"/>
        <v/>
      </c>
      <c r="CB348">
        <f>IF(IFERROR(SEARCH("Wizard",$T348,1),0)&gt;0,1,0)*IF(C348&lt;=ArcaneTricksterMaxSpellLevel,1,0)*IF(IFERROR(MATCH($B348,Character_Creation!$J$350:$J$356,0),0)&gt;0,0,1)*IF(Character_Creation!$T$350&gt;0,1,0)</f>
        <v>0</v>
      </c>
      <c r="CC348">
        <f>IF(CB348=0,0,1+COUNTIF(CC$3:CC347,"&gt;0"))</f>
        <v>0</v>
      </c>
      <c r="CD348" t="str">
        <f t="shared" si="316"/>
        <v/>
      </c>
      <c r="CE348" t="str">
        <f t="shared" si="288"/>
        <v/>
      </c>
      <c r="CG348">
        <f>IF(IFERROR(SEARCH("Wizard",$T348,1),0)&gt;0,1,0)*IF($C348&lt;=EldritchKnightMaxSpellLevel,1,0)*IF(IFERROR(MATCH($B348,Character_Creation!$J$350:$J$356,0),0)&gt;0,0,1)*IF(Character_Creation!$M$350&gt;0,1,0)</f>
        <v>0</v>
      </c>
      <c r="CH348">
        <f>IF(CG348=0,0,1+COUNTIF(CH$3:CH347,"&gt;0"))</f>
        <v>0</v>
      </c>
      <c r="CI348" t="str">
        <f t="shared" si="317"/>
        <v/>
      </c>
      <c r="CJ348" t="str">
        <f t="shared" si="289"/>
        <v/>
      </c>
      <c r="CL348">
        <f>IF(IFERROR(SEARCH("Bard",$T348,1),0)&gt;0,1,0)*IF(BardMaxSpellLevel&gt;=$C348,1,0)*IF(IFERROR(MATCH(B348,Character_Creation!$C$341:$F$362,0),0)&gt;0,0,1)*IF(IFERROR(MATCH($B348,Character_Creation!$C$341:$C$362,0),0)&gt;0,0,1)</f>
        <v>0</v>
      </c>
      <c r="CM348">
        <f>IF(CL348=0,0,1+COUNTIF(CM$3:CM347,"&gt;0"))</f>
        <v>0</v>
      </c>
      <c r="CN348" t="str">
        <f t="shared" si="318"/>
        <v/>
      </c>
      <c r="CO348" t="str">
        <f t="shared" si="290"/>
        <v/>
      </c>
      <c r="CQ348">
        <f>IF(IFERROR(SEARCH("Wizard",$T348,1),0)&gt;0,1,0)*IF(WizardMaxSpellLevel&gt;=$C348,1,0)*IF(IFERROR(MATCH(B348,Character_Creation!$X$341:$X$400,0),0)&gt;0,0,1)*IF(SelectedWizardSpellLevel=$C348,1,0)</f>
        <v>0</v>
      </c>
      <c r="CR348">
        <f>IF(CQ348=0,0,1+COUNTIF(CR$3:CR347,"&gt;0"))</f>
        <v>0</v>
      </c>
      <c r="CS348" t="str">
        <f t="shared" si="319"/>
        <v/>
      </c>
      <c r="CT348" t="str">
        <f t="shared" si="291"/>
        <v/>
      </c>
      <c r="CV348">
        <f>IF(IFERROR(MATCH($B348,Character_Creation!$C$341:$C$362,0),0)&gt;0,0,1)*IF(OR(C348="Cantrip",C348&lt;=BardMaxSpellLevel),1,0)*IF(IFERROR(MATCH($B348,Character_Creation!$C$367:$C$374,0),0)&gt;0,0,1)</f>
        <v>0</v>
      </c>
      <c r="CW348">
        <f>IF(CV348=0,0,1+COUNTIF(CW$3:CW347,"&gt;0"))</f>
        <v>0</v>
      </c>
      <c r="CX348" t="str">
        <f t="shared" si="320"/>
        <v/>
      </c>
      <c r="CY348" t="str">
        <f t="shared" si="292"/>
        <v/>
      </c>
      <c r="DA348">
        <f>IF(IF(OR(IFERROR(SEARCH("Cleric",$T348,1),0)&gt;0,IFERROR(SEARCH(DivineDomain&amp;",",$T348,1),0)&gt;0),1,0)*IF($C348=DA$2,1,0)=1,1+COUNTIF(DA$3:DA347,"&gt;0"),0)</f>
        <v>0</v>
      </c>
      <c r="DB348">
        <f>IF(IF(OR(IFERROR(SEARCH("Cleric",$T348,1),0)&gt;0,IFERROR(SEARCH(DivineDomain&amp;",",$T348,1),0)&gt;0),1,0)*IF($C348=DB$2,1,0)=1,1+COUNTIF(DB$3:DB347,"&gt;0"),0)</f>
        <v>0</v>
      </c>
      <c r="DC348">
        <f>IF(IF(OR(IFERROR(SEARCH("Cleric",$T348,1),0)&gt;0,IFERROR(SEARCH(DivineDomain&amp;",",$T348,1),0)&gt;0),1,0)*IF($C348=DC$2,1,0)=1,1+COUNTIF(DC$3:DC347,"&gt;0"),0)</f>
        <v>0</v>
      </c>
      <c r="DD348">
        <f>IF(IF(OR(IFERROR(SEARCH("Cleric",$T348,1),0)&gt;0,IFERROR(SEARCH(DivineDomain&amp;",",$T348,1),0)&gt;0),1,0)*IF($C348=DD$2,1,0)=1,1+COUNTIF(DD$3:DD347,"&gt;0"),0)</f>
        <v>0</v>
      </c>
      <c r="DE348">
        <f>IF(IF(OR(IFERROR(SEARCH("Cleric",$T348,1),0)&gt;0,IFERROR(SEARCH(DivineDomain&amp;",",$T348,1),0)&gt;0),1,0)*IF($C348=DE$2,1,0)=1,1+COUNTIF(DE$3:DE347,"&gt;0"),0)</f>
        <v>0</v>
      </c>
      <c r="DF348">
        <f>IF(IF(OR(IFERROR(SEARCH("Cleric",$T348,1),0)&gt;0,IFERROR(SEARCH(DivineDomain&amp;",",$T348,1),0)&gt;0),1,0)*IF($C348=DF$2,1,0)=1,1+COUNTIF(DF$3:DF347,"&gt;0"),0)</f>
        <v>0</v>
      </c>
      <c r="DG348">
        <f>IF(IF(OR(IFERROR(SEARCH("Cleric",$T348,1),0)&gt;0,IFERROR(SEARCH(DivineDomain&amp;",",$T348,1),0)&gt;0),1,0)*IF($C348=DG$2,1,0)=1,1+COUNTIF(DG$3:DG347,"&gt;0"),0)</f>
        <v>0</v>
      </c>
      <c r="DH348">
        <f>IF(IF(OR(IFERROR(SEARCH("Cleric",$T348,1),0)&gt;0,IFERROR(SEARCH(DivineDomain&amp;",",$T348,1),0)&gt;0),1,0)*IF($C348=DH$2,1,0)=1,1+COUNTIF(DH$3:DH347,"&gt;0"),0)</f>
        <v>0</v>
      </c>
      <c r="DI348">
        <f>IF(IF(OR(IFERROR(SEARCH("Cleric",$T348,1),0)&gt;0,IFERROR(SEARCH(DivineDomain&amp;",",$T348,1),0)&gt;0),1,0)*IF($C348=DI$2,1,0)=1,1+COUNTIF(DI$3:DI347,"&gt;0"),0)</f>
        <v>0</v>
      </c>
      <c r="DJ348">
        <f>IF(IF(OR(IFERROR(SEARCH("Druid",$T348,1),0)&gt;0,IFERROR(SEARCH(DruidLand1,$T348,1),0)&gt;0,IFERROR(SEARCH(DruidLand2,$T348,1),0)&gt;0,IFERROR(SEARCH(DruidLand3,$T348,1),0)&gt;0,IFERROR(SEARCH(DruidLand4,$T348,1),0)&gt;0),1,0)*IF($C348=1,1,0)*IF($C348=DJ$2,1,0)=0,0,1+COUNTIF(DJ$3:DJ347,"&gt;0"))</f>
        <v>0</v>
      </c>
      <c r="DK348">
        <f>IF(IF(OR(IFERROR(SEARCH("Druid",$T348,1),0)&gt;0,IFERROR(SEARCH(DruidLand1,$T348,1),0)&gt;0,IFERROR(SEARCH(DruidLand2,$T348,1),0)&gt;0,IFERROR(SEARCH(DruidLand3,$T348,1),0)&gt;0,IFERROR(SEARCH(DruidLand4,$T348,1),0)&gt;0),1,0)*IF($C348=DK$2,1,0)=0,0,1+COUNTIF(DK$3:DK347,"&gt;0"))</f>
        <v>0</v>
      </c>
      <c r="DL348">
        <f>IF(IF(OR(IFERROR(SEARCH("Druid",$T348,1),0)&gt;0,IFERROR(SEARCH(DruidLand1,$T348,1),0)&gt;0,IFERROR(SEARCH(DruidLand2,$T348,1),0)&gt;0,IFERROR(SEARCH(DruidLand3,$T348,1),0)&gt;0,IFERROR(SEARCH(DruidLand4,$T348,1),0)&gt;0),1,0)*IF($C348=DL$2,1,0)=0,0,1+COUNTIF(DL$3:DL347,"&gt;0"))</f>
        <v>0</v>
      </c>
      <c r="DM348">
        <f>IF(IF(OR(IFERROR(SEARCH("Druid",$T348,1),0)&gt;0,IFERROR(SEARCH(DruidLand1,$T348,1),0)&gt;0,IFERROR(SEARCH(DruidLand2,$T348,1),0)&gt;0,IFERROR(SEARCH(DruidLand3,$T348,1),0)&gt;0,IFERROR(SEARCH(DruidLand4,$T348,1),0)&gt;0),1,0)*IF($C348=DM$2,1,0)=0,0,1+COUNTIF(DM$3:DM347,"&gt;0"))</f>
        <v>15</v>
      </c>
      <c r="DN348">
        <f>IF(IF(OR(IFERROR(SEARCH("Druid",$T348,1),0)&gt;0,IFERROR(SEARCH(DruidLand1,$T348,1),0)&gt;0,IFERROR(SEARCH(DruidLand2,$T348,1),0)&gt;0,IFERROR(SEARCH(DruidLand3,$T348,1),0)&gt;0,IFERROR(SEARCH(DruidLand4,$T348,1),0)&gt;0),1,0)*IF($C348=DN$2,1,0)=0,0,1+COUNTIF(DN$3:DN347,"&gt;0"))</f>
        <v>0</v>
      </c>
      <c r="DO348">
        <f>IF(IF(OR(IFERROR(SEARCH("Druid",$T348,1),0)&gt;0,IFERROR(SEARCH(DruidLand1,$T348,1),0)&gt;0,IFERROR(SEARCH(DruidLand2,$T348,1),0)&gt;0,IFERROR(SEARCH(DruidLand3,$T348,1),0)&gt;0,IFERROR(SEARCH(DruidLand4,$T348,1),0)&gt;0),1,0)*IF($C348=DO$2,1,0)=0,0,1+COUNTIF(DO$3:DO347,"&gt;0"))</f>
        <v>0</v>
      </c>
      <c r="DP348">
        <f>IF(IF(OR(IFERROR(SEARCH("Druid",$T348,1),0)&gt;0,IFERROR(SEARCH(DruidLand1,$T348,1),0)&gt;0,IFERROR(SEARCH(DruidLand2,$T348,1),0)&gt;0,IFERROR(SEARCH(DruidLand3,$T348,1),0)&gt;0,IFERROR(SEARCH(DruidLand4,$T348,1),0)&gt;0),1,0)*IF($C348=DP$2,1,0)=0,0,1+COUNTIF(DP$3:DP347,"&gt;0"))</f>
        <v>0</v>
      </c>
      <c r="DQ348">
        <f>IF(IF(OR(IFERROR(SEARCH("Druid",$T348,1),0)&gt;0,IFERROR(SEARCH(DruidLand1,$T348,1),0)&gt;0,IFERROR(SEARCH(DruidLand2,$T348,1),0)&gt;0,IFERROR(SEARCH(DruidLand3,$T348,1),0)&gt;0,IFERROR(SEARCH(DruidLand4,$T348,1),0)&gt;0),1,0)*IF($C348=DQ$2,1,0)=0,0,1+COUNTIF(DQ$3:DQ347,"&gt;0"))</f>
        <v>0</v>
      </c>
      <c r="DR348">
        <f>IF(IF(OR(IFERROR(SEARCH("Druid",$T348,1),0)&gt;0,IFERROR(SEARCH(DruidLand1,$T348,1),0)&gt;0,IFERROR(SEARCH(DruidLand2,$T348,1),0)&gt;0,IFERROR(SEARCH(DruidLand3,$T348,1),0)&gt;0,IFERROR(SEARCH(DruidLand4,$T348,1),0)&gt;0),1,0)*IF($C348=DR$2,1,0)=0,0,1+COUNTIF(DR$3:DR347,"&gt;0"))</f>
        <v>0</v>
      </c>
      <c r="DS348">
        <f>IF(IF(OR(IFERROR(SEARCH("Paladin",$T348,1),0)&gt;0,IFERROR(SEARCH(PaladinOath,$T348,1),0)&gt;0),1,0)*IF($C348=DS$2,1,0)=1,1+COUNTIF(DS$3:DS347,"&gt;0"),0)</f>
        <v>0</v>
      </c>
      <c r="DT348">
        <f>IF(IF(OR(IFERROR(SEARCH("Paladin",$T348,1),0)&gt;0,IFERROR(SEARCH(PaladinOath,$T348,1),0)&gt;0),1,0)*IF($C348=DT$2,1,0)=1,1+COUNTIF(DT$3:DT347,"&gt;0"),0)</f>
        <v>0</v>
      </c>
      <c r="DU348">
        <f>IF(IF(OR(IFERROR(SEARCH("Paladin",$T348,1),0)&gt;0,IFERROR(SEARCH(PaladinOath,$T348,1),0)&gt;0),1,0)*IF($C348=DU$2,1,0)=1,1+COUNTIF(DU$3:DU347,"&gt;0"),0)</f>
        <v>0</v>
      </c>
      <c r="DV348">
        <f>IF(IF(OR(IFERROR(SEARCH("Paladin",$T348,1),0)&gt;0,IFERROR(SEARCH(PaladinOath,$T348,1),0)&gt;0),1,0)*IF($C348=DV$2,1,0)=1,1+COUNTIF(DV$3:DV347,"&gt;0"),0)</f>
        <v>0</v>
      </c>
      <c r="DW348">
        <f>IF(IF(OR(IFERROR(SEARCH("Paladin",$T348,1),0)&gt;0,IFERROR(SEARCH(PaladinOath,$T348,1),0)&gt;0),1,0)*IF($C348=DW$2,1,0)=1,1+COUNTIF(DW$3:DW347,"&gt;0"),0)</f>
        <v>0</v>
      </c>
      <c r="DY348">
        <f t="shared" si="278"/>
        <v>1</v>
      </c>
      <c r="DZ348">
        <f>IF(DY348=0,0,1+MAX(DZ$3:$DZ347))</f>
        <v>346</v>
      </c>
      <c r="EB348">
        <f t="shared" si="293"/>
        <v>0</v>
      </c>
      <c r="EC348">
        <f>IF(EB348=0,0,1+COUNTIF(EC$3:EC347,"&gt;0"))</f>
        <v>0</v>
      </c>
      <c r="ED348" t="str">
        <f t="shared" si="321"/>
        <v/>
      </c>
      <c r="EE348" t="str">
        <f t="shared" si="294"/>
        <v/>
      </c>
      <c r="EG348">
        <f t="shared" si="295"/>
        <v>0</v>
      </c>
      <c r="EH348">
        <f>IF(EG348=0,0,1+COUNTIF(EH$3:EH347,"&gt;0"))</f>
        <v>0</v>
      </c>
      <c r="EI348" t="str">
        <f t="shared" si="322"/>
        <v/>
      </c>
      <c r="EJ348" t="str">
        <f t="shared" si="296"/>
        <v/>
      </c>
      <c r="EL348">
        <f t="shared" si="297"/>
        <v>0</v>
      </c>
      <c r="EM348">
        <f>IF(EL348=0,0,1+COUNTIF(EM$3:EM347,"&gt;0"))</f>
        <v>0</v>
      </c>
      <c r="EN348" t="str">
        <f t="shared" si="323"/>
        <v/>
      </c>
      <c r="EO348" t="str">
        <f t="shared" si="298"/>
        <v/>
      </c>
      <c r="EQ348">
        <f t="shared" si="299"/>
        <v>0</v>
      </c>
      <c r="ER348">
        <f>IF(EQ348=0,0,1+COUNTIF(ER$3:ER347,"&gt;0"))</f>
        <v>0</v>
      </c>
      <c r="ES348" t="str">
        <f t="shared" si="324"/>
        <v/>
      </c>
      <c r="ET348" t="str">
        <f t="shared" si="300"/>
        <v/>
      </c>
      <c r="EV348">
        <f t="shared" si="301"/>
        <v>0</v>
      </c>
      <c r="EW348">
        <f>IF(EV348=0,0,1+COUNTIF(EW$3:EW347,"&gt;0"))</f>
        <v>0</v>
      </c>
      <c r="EX348" t="str">
        <f t="shared" si="325"/>
        <v/>
      </c>
      <c r="EY348" t="str">
        <f t="shared" si="302"/>
        <v/>
      </c>
      <c r="FA348">
        <f t="shared" si="303"/>
        <v>0</v>
      </c>
      <c r="FB348">
        <f>IF(FA348=0,0,1+COUNTIF(FB$3:FB347,"&gt;0"))</f>
        <v>0</v>
      </c>
      <c r="FC348" t="str">
        <f t="shared" si="326"/>
        <v/>
      </c>
      <c r="FD348" t="str">
        <f t="shared" si="304"/>
        <v/>
      </c>
      <c r="FF348">
        <f t="shared" si="305"/>
        <v>0</v>
      </c>
      <c r="FG348">
        <f>IF(FF348=0,0,1+COUNTIF(FG$3:FG347,"&gt;0"))</f>
        <v>0</v>
      </c>
      <c r="FH348" t="str">
        <f t="shared" si="327"/>
        <v/>
      </c>
      <c r="FI348" t="str">
        <f t="shared" si="306"/>
        <v/>
      </c>
      <c r="FK348">
        <f t="shared" si="307"/>
        <v>0</v>
      </c>
      <c r="FL348">
        <f>IF(FK348=0,0,1+COUNTIF(FL$3:FL347,"&gt;0"))</f>
        <v>0</v>
      </c>
      <c r="FM348" t="str">
        <f t="shared" si="328"/>
        <v/>
      </c>
      <c r="FN348" t="str">
        <f t="shared" si="308"/>
        <v/>
      </c>
      <c r="FP348">
        <f t="shared" si="309"/>
        <v>0</v>
      </c>
      <c r="FQ348">
        <f>IF(FP348=0,0,1+COUNTIF(FQ$3:FQ347,"&gt;0"))</f>
        <v>0</v>
      </c>
      <c r="FR348" t="str">
        <f t="shared" si="329"/>
        <v/>
      </c>
      <c r="FS348" t="str">
        <f t="shared" si="310"/>
        <v/>
      </c>
    </row>
    <row r="349" spans="1:175" x14ac:dyDescent="0.25">
      <c r="A349" s="347">
        <f t="shared" si="331"/>
        <v>347</v>
      </c>
      <c r="B349" s="348" t="s">
        <v>2750</v>
      </c>
      <c r="C349" s="348">
        <v>5</v>
      </c>
      <c r="D349" s="347">
        <v>5</v>
      </c>
      <c r="E349" s="627" t="s">
        <v>6952</v>
      </c>
      <c r="F349" s="346"/>
      <c r="G349" s="347" t="str">
        <f>""</f>
        <v/>
      </c>
      <c r="H349" s="347" t="s">
        <v>5912</v>
      </c>
      <c r="I349" s="347" t="s">
        <v>5290</v>
      </c>
      <c r="J349" s="347" t="str">
        <f t="shared" si="279"/>
        <v/>
      </c>
      <c r="K349" s="347" t="s">
        <v>5297</v>
      </c>
      <c r="L349" s="611" t="str">
        <f t="shared" si="280"/>
        <v>V, S, M, a pinch of powder made by crushing a clear gemstone</v>
      </c>
      <c r="M349" s="347" t="s">
        <v>2373</v>
      </c>
      <c r="N349" s="347" t="s">
        <v>2387</v>
      </c>
      <c r="O349" s="347" t="s">
        <v>1244</v>
      </c>
      <c r="P349" s="346" t="s">
        <v>5511</v>
      </c>
      <c r="Q349" s="347" t="s">
        <v>5273</v>
      </c>
      <c r="S349" s="346" t="s">
        <v>5857</v>
      </c>
      <c r="T349" s="346" t="str">
        <f t="shared" si="281"/>
        <v xml:space="preserve">Eldritch Knight, Wizard, </v>
      </c>
      <c r="AB349" s="542" t="str">
        <f>AD349</f>
        <v>Wall of Force</v>
      </c>
      <c r="AD349" s="347" t="str">
        <f>$B349</f>
        <v>Wall of Force</v>
      </c>
      <c r="AE349" t="str">
        <f>IF(IFERROR(MATCH($B349,temp!A$4:A$13,0),0)&gt;0,T08_Spells!AE$2,"")</f>
        <v/>
      </c>
      <c r="AF349" t="str">
        <f>IF(IFERROR(MATCH($B349,temp!B$4:B$13,0),0)&gt;0,T08_Spells!AF$2,"")</f>
        <v/>
      </c>
      <c r="AG349" t="str">
        <f>IF(IFERROR(MATCH($B349,temp!C$4:C$13,0),0)&gt;0,T08_Spells!AG$2,"")</f>
        <v/>
      </c>
      <c r="AH349" t="str">
        <f>IF(IFERROR(MATCH($B349,temp!D$4:D$13,0),0)&gt;0,T08_Spells!AH$2,"")</f>
        <v/>
      </c>
      <c r="AI349" t="str">
        <f>IF(IFERROR(MATCH($B349,temp!E$4:E$13,0),0)&gt;0,T08_Spells!AI$2,"")</f>
        <v/>
      </c>
      <c r="AJ349" t="str">
        <f>IF(IFERROR(MATCH($B349,temp!F$4:F$13,0),0)&gt;0,T08_Spells!AJ$2,"")</f>
        <v/>
      </c>
      <c r="AK349" t="str">
        <f>IF(IFERROR(MATCH($B349,temp!G$4:G$13,0),0)&gt;0,T08_Spells!AK$2,"")</f>
        <v/>
      </c>
      <c r="AL349" t="str">
        <f>IF(IFERROR(MATCH($B349,temp!H$4:H$13,0),0)&gt;0,T08_Spells!AL$2,"")</f>
        <v/>
      </c>
      <c r="AM349" t="str">
        <f>IF(IFERROR(MATCH($B349,temp!I$4:I$13,0),0)&gt;0,T08_Spells!AM$2,"")</f>
        <v/>
      </c>
      <c r="AN349" t="str">
        <f>IF(IFERROR(MATCH($B349,temp!J$4:J$13,0),0)&gt;0,T08_Spells!AN$2,"")</f>
        <v/>
      </c>
      <c r="AO349" t="str">
        <f>IF(IFERROR(MATCH($B349,temp!K$4:K$13,0),0)&gt;0,T08_Spells!AO$2,"")</f>
        <v/>
      </c>
      <c r="AP349" t="str">
        <f>IF(IFERROR(MATCH($B349,temp!L$4:L$13,0),0)&gt;0,T08_Spells!AP$2,"")</f>
        <v/>
      </c>
      <c r="AQ349" t="str">
        <f>IF(IFERROR(MATCH($B349,temp!M$4:M$13,0),0)&gt;0,T08_Spells!AQ$2,"")</f>
        <v/>
      </c>
      <c r="AR349" t="str">
        <f>IF(IFERROR(MATCH($B349,temp!N$4:N$13,0),0)&gt;0,T08_Spells!AR$2,"")</f>
        <v/>
      </c>
      <c r="AS349" t="str">
        <f>IF(IFERROR(MATCH($B349,temp!O$4:O$13,0),0)&gt;0,T08_Spells!AS$2,"")</f>
        <v/>
      </c>
      <c r="AT349" t="str">
        <f>IF(IFERROR(MATCH($B349,temp!P$4:P$13,0),0)&gt;0,T08_Spells!AT$2,"")</f>
        <v/>
      </c>
      <c r="AU349" t="str">
        <f>IF(IFERROR(MATCH($B349,temp!Q$4:Q$13,0),0)&gt;0,T08_Spells!AU$2,"")</f>
        <v/>
      </c>
      <c r="AV349" t="str">
        <f>IF(IFERROR(MATCH($B349,temp!R$4:R$13,0),0)&gt;0,T08_Spells!AV$2,"")</f>
        <v/>
      </c>
      <c r="AW349" t="str">
        <f>IF(IFERROR(MATCH($B349,temp!S$4:S$13,0),0)&gt;0,T08_Spells!AW$2,"")</f>
        <v/>
      </c>
      <c r="AX349" t="str">
        <f>IF(IFERROR(MATCH($B349,temp!T$4:T$13,0),0)&gt;0,T08_Spells!AX$2,"")</f>
        <v/>
      </c>
      <c r="AY349" t="str">
        <f>IF(IFERROR(MATCH($B349,temp!U$4:U$13,0),0)&gt;0,T08_Spells!AY$2,"")</f>
        <v/>
      </c>
      <c r="AZ349" t="str">
        <f>IF(IFERROR(MATCH($B349,temp!V$4:V$13,0),0)&gt;0,T08_Spells!AZ$2,"")</f>
        <v/>
      </c>
      <c r="BA349" t="str">
        <f>IF(IFERROR(MATCH($B349,temp!W$4:W$13,0),0)&gt;0,T08_Spells!BA$2,"")</f>
        <v/>
      </c>
      <c r="BC349">
        <f>IF(IFERROR(SEARCH("Ranger",$T349,1),0)&gt;0,1,0)*IF(RangerMaxSpellLevel&gt;=$C349,1,0)*IF(IFERROR(MATCH(B349,Character_Creation!$X$79:$X$382,0),0)&gt;0,0,1)</f>
        <v>0</v>
      </c>
      <c r="BD349">
        <f>IF(BC349=0,0,1+COUNTIF(BD$3:BD348,"&gt;0"))</f>
        <v>0</v>
      </c>
      <c r="BE349" t="str">
        <f t="shared" si="311"/>
        <v/>
      </c>
      <c r="BF349" t="str">
        <f t="shared" si="283"/>
        <v/>
      </c>
      <c r="BH349">
        <f>IF(IFERROR(SEARCH("Sorcerer",$T349,1),0)&gt;0,1,0)*IF(SorcererMaxSpellLevel&gt;=$C349,1,0)*IF(IFERROR(MATCH(B349,Character_Creation!$J$380:$J$394,0),0)&gt;0,0,1)</f>
        <v>0</v>
      </c>
      <c r="BI349">
        <f>IF(BH349=0,0,1+COUNTIF(BI$3:BI348,"&gt;0"))</f>
        <v>0</v>
      </c>
      <c r="BJ349" t="str">
        <f t="shared" si="312"/>
        <v/>
      </c>
      <c r="BK349" t="str">
        <f t="shared" si="284"/>
        <v/>
      </c>
      <c r="BM349">
        <f>IF(OR(IFERROR(SEARCH("Warlock",$T349,1),0)&gt;0,IFERROR(SEARCH(WarlockPatron,$T349,1),0)&gt;0),1,0)*IF(WarlockMaxSpellLevel&gt;=$C349,1,0)*IF(IFERROR(MATCH(B349,Character_Creation!$J$361:$J$375,0),0)&gt;0,0,1)</f>
        <v>0</v>
      </c>
      <c r="BN349">
        <f>IF(BM349=0,0,1+COUNTIF(BN$3:BN348,"&gt;0"))</f>
        <v>0</v>
      </c>
      <c r="BO349" t="str">
        <f t="shared" si="313"/>
        <v/>
      </c>
      <c r="BP349" t="str">
        <f t="shared" si="285"/>
        <v/>
      </c>
      <c r="BR349">
        <f>IF(IFERROR(SEARCH("Eldritch Knight",$T349,1),0)&gt;0,1,0)*IF(EldritchKnightMaxSpellLevel&gt;=$C349,1,0)*IF(IFERROR(MATCH($B349,Character_Creation!$J$350:$J$356,0),0)&gt;0,0,1)*IF(Character_Creation!$M$338&gt;0,1,0)</f>
        <v>0</v>
      </c>
      <c r="BS349">
        <f>IF(BR349=0,0,1+COUNTIF(BS$3:BS348,"&gt;0"))</f>
        <v>0</v>
      </c>
      <c r="BT349" t="str">
        <f t="shared" si="314"/>
        <v/>
      </c>
      <c r="BU349" t="str">
        <f t="shared" si="286"/>
        <v/>
      </c>
      <c r="BW349">
        <f>IF(IFERROR(SEARCH("Arcane Trickster",$T349,1),0)&gt;0,1,0)*IF(ArcaneTricksterMaxSpellLevel&gt;=$C349,1,0)*IF(IFERROR(MATCH($B349,Character_Creation!$J$350:$J$356,0),0)&gt;0,0,1)*IF(Character_Creation!$T$338&gt;0,1,0)</f>
        <v>0</v>
      </c>
      <c r="BX349">
        <f>IF(BW349=0,0,1+COUNTIF(BX$3:BX348,"&gt;0"))</f>
        <v>0</v>
      </c>
      <c r="BY349" t="str">
        <f t="shared" si="315"/>
        <v/>
      </c>
      <c r="BZ349" t="str">
        <f t="shared" si="287"/>
        <v/>
      </c>
      <c r="CB349">
        <f>IF(IFERROR(SEARCH("Wizard",$T349,1),0)&gt;0,1,0)*IF(C349&lt;=ArcaneTricksterMaxSpellLevel,1,0)*IF(IFERROR(MATCH($B349,Character_Creation!$J$350:$J$356,0),0)&gt;0,0,1)*IF(Character_Creation!$T$350&gt;0,1,0)</f>
        <v>0</v>
      </c>
      <c r="CC349">
        <f>IF(CB349=0,0,1+COUNTIF(CC$3:CC348,"&gt;0"))</f>
        <v>0</v>
      </c>
      <c r="CD349" t="str">
        <f t="shared" si="316"/>
        <v/>
      </c>
      <c r="CE349" t="str">
        <f t="shared" si="288"/>
        <v/>
      </c>
      <c r="CG349">
        <f>IF(IFERROR(SEARCH("Wizard",$T349,1),0)&gt;0,1,0)*IF($C349&lt;=EldritchKnightMaxSpellLevel,1,0)*IF(IFERROR(MATCH($B349,Character_Creation!$J$350:$J$356,0),0)&gt;0,0,1)*IF(Character_Creation!$M$350&gt;0,1,0)</f>
        <v>0</v>
      </c>
      <c r="CH349">
        <f>IF(CG349=0,0,1+COUNTIF(CH$3:CH348,"&gt;0"))</f>
        <v>0</v>
      </c>
      <c r="CI349" t="str">
        <f t="shared" si="317"/>
        <v/>
      </c>
      <c r="CJ349" t="str">
        <f t="shared" si="289"/>
        <v/>
      </c>
      <c r="CL349">
        <f>IF(IFERROR(SEARCH("Bard",$T349,1),0)&gt;0,1,0)*IF(BardMaxSpellLevel&gt;=$C349,1,0)*IF(IFERROR(MATCH(B349,Character_Creation!$C$341:$F$362,0),0)&gt;0,0,1)*IF(IFERROR(MATCH($B349,Character_Creation!$C$341:$C$362,0),0)&gt;0,0,1)</f>
        <v>0</v>
      </c>
      <c r="CM349">
        <f>IF(CL349=0,0,1+COUNTIF(CM$3:CM348,"&gt;0"))</f>
        <v>0</v>
      </c>
      <c r="CN349" t="str">
        <f t="shared" si="318"/>
        <v/>
      </c>
      <c r="CO349" t="str">
        <f t="shared" si="290"/>
        <v/>
      </c>
      <c r="CQ349">
        <f>IF(IFERROR(SEARCH("Wizard",$T349,1),0)&gt;0,1,0)*IF(WizardMaxSpellLevel&gt;=$C349,1,0)*IF(IFERROR(MATCH(B349,Character_Creation!$X$341:$X$400,0),0)&gt;0,0,1)*IF(SelectedWizardSpellLevel=$C349,1,0)</f>
        <v>0</v>
      </c>
      <c r="CR349">
        <f>IF(CQ349=0,0,1+COUNTIF(CR$3:CR348,"&gt;0"))</f>
        <v>0</v>
      </c>
      <c r="CS349" t="str">
        <f t="shared" si="319"/>
        <v/>
      </c>
      <c r="CT349" t="str">
        <f t="shared" si="291"/>
        <v/>
      </c>
      <c r="CV349">
        <f>IF(IFERROR(MATCH($B349,Character_Creation!$C$341:$C$362,0),0)&gt;0,0,1)*IF(OR(C349="Cantrip",C349&lt;=BardMaxSpellLevel),1,0)*IF(IFERROR(MATCH($B349,Character_Creation!$C$367:$C$374,0),0)&gt;0,0,1)</f>
        <v>0</v>
      </c>
      <c r="CW349">
        <f>IF(CV349=0,0,1+COUNTIF(CW$3:CW348,"&gt;0"))</f>
        <v>0</v>
      </c>
      <c r="CX349" t="str">
        <f t="shared" si="320"/>
        <v/>
      </c>
      <c r="CY349" t="str">
        <f t="shared" si="292"/>
        <v/>
      </c>
      <c r="DA349">
        <f>IF(IF(OR(IFERROR(SEARCH("Cleric",$T349,1),0)&gt;0,IFERROR(SEARCH(DivineDomain&amp;",",$T349,1),0)&gt;0),1,0)*IF($C349=DA$2,1,0)=1,1+COUNTIF(DA$3:DA348,"&gt;0"),0)</f>
        <v>0</v>
      </c>
      <c r="DB349">
        <f>IF(IF(OR(IFERROR(SEARCH("Cleric",$T349,1),0)&gt;0,IFERROR(SEARCH(DivineDomain&amp;",",$T349,1),0)&gt;0),1,0)*IF($C349=DB$2,1,0)=1,1+COUNTIF(DB$3:DB348,"&gt;0"),0)</f>
        <v>0</v>
      </c>
      <c r="DC349">
        <f>IF(IF(OR(IFERROR(SEARCH("Cleric",$T349,1),0)&gt;0,IFERROR(SEARCH(DivineDomain&amp;",",$T349,1),0)&gt;0),1,0)*IF($C349=DC$2,1,0)=1,1+COUNTIF(DC$3:DC348,"&gt;0"),0)</f>
        <v>0</v>
      </c>
      <c r="DD349">
        <f>IF(IF(OR(IFERROR(SEARCH("Cleric",$T349,1),0)&gt;0,IFERROR(SEARCH(DivineDomain&amp;",",$T349,1),0)&gt;0),1,0)*IF($C349=DD$2,1,0)=1,1+COUNTIF(DD$3:DD348,"&gt;0"),0)</f>
        <v>0</v>
      </c>
      <c r="DE349">
        <f>IF(IF(OR(IFERROR(SEARCH("Cleric",$T349,1),0)&gt;0,IFERROR(SEARCH(DivineDomain&amp;",",$T349,1),0)&gt;0),1,0)*IF($C349=DE$2,1,0)=1,1+COUNTIF(DE$3:DE348,"&gt;0"),0)</f>
        <v>0</v>
      </c>
      <c r="DF349">
        <f>IF(IF(OR(IFERROR(SEARCH("Cleric",$T349,1),0)&gt;0,IFERROR(SEARCH(DivineDomain&amp;",",$T349,1),0)&gt;0),1,0)*IF($C349=DF$2,1,0)=1,1+COUNTIF(DF$3:DF348,"&gt;0"),0)</f>
        <v>0</v>
      </c>
      <c r="DG349">
        <f>IF(IF(OR(IFERROR(SEARCH("Cleric",$T349,1),0)&gt;0,IFERROR(SEARCH(DivineDomain&amp;",",$T349,1),0)&gt;0),1,0)*IF($C349=DG$2,1,0)=1,1+COUNTIF(DG$3:DG348,"&gt;0"),0)</f>
        <v>0</v>
      </c>
      <c r="DH349">
        <f>IF(IF(OR(IFERROR(SEARCH("Cleric",$T349,1),0)&gt;0,IFERROR(SEARCH(DivineDomain&amp;",",$T349,1),0)&gt;0),1,0)*IF($C349=DH$2,1,0)=1,1+COUNTIF(DH$3:DH348,"&gt;0"),0)</f>
        <v>0</v>
      </c>
      <c r="DI349">
        <f>IF(IF(OR(IFERROR(SEARCH("Cleric",$T349,1),0)&gt;0,IFERROR(SEARCH(DivineDomain&amp;",",$T349,1),0)&gt;0),1,0)*IF($C349=DI$2,1,0)=1,1+COUNTIF(DI$3:DI348,"&gt;0"),0)</f>
        <v>0</v>
      </c>
      <c r="DJ349">
        <f>IF(IF(OR(IFERROR(SEARCH("Druid",$T349,1),0)&gt;0,IFERROR(SEARCH(DruidLand1,$T349,1),0)&gt;0,IFERROR(SEARCH(DruidLand2,$T349,1),0)&gt;0,IFERROR(SEARCH(DruidLand3,$T349,1),0)&gt;0,IFERROR(SEARCH(DruidLand4,$T349,1),0)&gt;0),1,0)*IF($C349=1,1,0)*IF($C349=DJ$2,1,0)=0,0,1+COUNTIF(DJ$3:DJ348,"&gt;0"))</f>
        <v>0</v>
      </c>
      <c r="DK349">
        <f>IF(IF(OR(IFERROR(SEARCH("Druid",$T349,1),0)&gt;0,IFERROR(SEARCH(DruidLand1,$T349,1),0)&gt;0,IFERROR(SEARCH(DruidLand2,$T349,1),0)&gt;0,IFERROR(SEARCH(DruidLand3,$T349,1),0)&gt;0,IFERROR(SEARCH(DruidLand4,$T349,1),0)&gt;0),1,0)*IF($C349=1,1,0)*IF($C349=DK$2,1,0)=0,0,1+COUNTIF(DK$3:DK348,"&gt;0"))</f>
        <v>0</v>
      </c>
      <c r="DL349">
        <f>IF(IF(OR(IFERROR(SEARCH("Druid",$T349,1),0)&gt;0,IFERROR(SEARCH(DruidLand1,$T349,1),0)&gt;0,IFERROR(SEARCH(DruidLand2,$T349,1),0)&gt;0,IFERROR(SEARCH(DruidLand3,$T349,1),0)&gt;0,IFERROR(SEARCH(DruidLand4,$T349,1),0)&gt;0),1,0)*IF($C349=1,1,0)*IF($C349=DL$2,1,0)=0,0,1+COUNTIF(DL$3:DL348,"&gt;0"))</f>
        <v>0</v>
      </c>
      <c r="DM349">
        <f>IF(IF(OR(IFERROR(SEARCH("Druid",$T349,1),0)&gt;0,IFERROR(SEARCH(DruidLand1,$T349,1),0)&gt;0,IFERROR(SEARCH(DruidLand2,$T349,1),0)&gt;0,IFERROR(SEARCH(DruidLand3,$T349,1),0)&gt;0,IFERROR(SEARCH(DruidLand4,$T349,1),0)&gt;0),1,0)*IF($C349=1,1,0)*IF($C349=DM$2,1,0)=0,0,1+COUNTIF(DM$3:DM348,"&gt;0"))</f>
        <v>0</v>
      </c>
      <c r="DN349">
        <f>IF(IF(OR(IFERROR(SEARCH("Druid",$T349,1),0)&gt;0,IFERROR(SEARCH(DruidLand1,$T349,1),0)&gt;0,IFERROR(SEARCH(DruidLand2,$T349,1),0)&gt;0,IFERROR(SEARCH(DruidLand3,$T349,1),0)&gt;0,IFERROR(SEARCH(DruidLand4,$T349,1),0)&gt;0),1,0)*IF($C349=1,1,0)*IF($C349=DN$2,1,0)=0,0,1+COUNTIF(DN$3:DN348,"&gt;0"))</f>
        <v>0</v>
      </c>
      <c r="DO349">
        <f>IF(IF(OR(IFERROR(SEARCH("Druid",$T349,1),0)&gt;0,IFERROR(SEARCH(DruidLand1,$T349,1),0)&gt;0,IFERROR(SEARCH(DruidLand2,$T349,1),0)&gt;0,IFERROR(SEARCH(DruidLand3,$T349,1),0)&gt;0,IFERROR(SEARCH(DruidLand4,$T349,1),0)&gt;0),1,0)*IF($C349=1,1,0)*IF($C349=DO$2,1,0)=0,0,1+COUNTIF(DO$3:DO348,"&gt;0"))</f>
        <v>0</v>
      </c>
      <c r="DP349">
        <f>IF(IF(OR(IFERROR(SEARCH("Druid",$T349,1),0)&gt;0,IFERROR(SEARCH(DruidLand1,$T349,1),0)&gt;0,IFERROR(SEARCH(DruidLand2,$T349,1),0)&gt;0,IFERROR(SEARCH(DruidLand3,$T349,1),0)&gt;0,IFERROR(SEARCH(DruidLand4,$T349,1),0)&gt;0),1,0)*IF($C349=1,1,0)*IF($C349=DP$2,1,0)=0,0,1+COUNTIF(DP$3:DP348,"&gt;0"))</f>
        <v>0</v>
      </c>
      <c r="DQ349">
        <f>IF(IF(OR(IFERROR(SEARCH("Druid",$T349,1),0)&gt;0,IFERROR(SEARCH(DruidLand1,$T349,1),0)&gt;0,IFERROR(SEARCH(DruidLand2,$T349,1),0)&gt;0,IFERROR(SEARCH(DruidLand3,$T349,1),0)&gt;0,IFERROR(SEARCH(DruidLand4,$T349,1),0)&gt;0),1,0)*IF($C349=1,1,0)*IF($C349=DQ$2,1,0)=0,0,1+COUNTIF(DQ$3:DQ348,"&gt;0"))</f>
        <v>0</v>
      </c>
      <c r="DR349">
        <f>IF(IF(OR(IFERROR(SEARCH("Druid",$T349,1),0)&gt;0,IFERROR(SEARCH(DruidLand1,$T349,1),0)&gt;0,IFERROR(SEARCH(DruidLand2,$T349,1),0)&gt;0,IFERROR(SEARCH(DruidLand3,$T349,1),0)&gt;0,IFERROR(SEARCH(DruidLand4,$T349,1),0)&gt;0),1,0)*IF($C349=1,1,0)*IF($C349=DR$2,1,0)=0,0,1+COUNTIF(DR$3:DR348,"&gt;0"))</f>
        <v>0</v>
      </c>
      <c r="DS349">
        <f>IF(IF(OR(IFERROR(SEARCH("Paladin",$T349,1),0)&gt;0,IFERROR(SEARCH(PaladinOath,$T349,1),0)&gt;0),1,0)*IF($C349=DS$2,1,0)=1,1+COUNTIF(DS$3:DS348,"&gt;0"),0)</f>
        <v>0</v>
      </c>
      <c r="DT349">
        <f>IF(IF(OR(IFERROR(SEARCH("Paladin",$T349,1),0)&gt;0,IFERROR(SEARCH(PaladinOath,$T349,1),0)&gt;0),1,0)*IF($C349=DT$2,1,0)=1,1+COUNTIF(DT$3:DT348,"&gt;0"),0)</f>
        <v>0</v>
      </c>
      <c r="DU349">
        <f>IF(IF(OR(IFERROR(SEARCH("Paladin",$T349,1),0)&gt;0,IFERROR(SEARCH(PaladinOath,$T349,1),0)&gt;0),1,0)*IF($C349=DU$2,1,0)=1,1+COUNTIF(DU$3:DU348,"&gt;0"),0)</f>
        <v>0</v>
      </c>
      <c r="DV349">
        <f>IF(IF(OR(IFERROR(SEARCH("Paladin",$T349,1),0)&gt;0,IFERROR(SEARCH(PaladinOath,$T349,1),0)&gt;0),1,0)*IF($C349=DV$2,1,0)=1,1+COUNTIF(DV$3:DV348,"&gt;0"),0)</f>
        <v>0</v>
      </c>
      <c r="DW349">
        <f>IF(IF(OR(IFERROR(SEARCH("Paladin",$T349,1),0)&gt;0,IFERROR(SEARCH(PaladinOath,$T349,1),0)&gt;0),1,0)*IF($C349=DW$2,1,0)=1,1+COUNTIF(DW$3:DW348,"&gt;0"),0)</f>
        <v>0</v>
      </c>
      <c r="DY349">
        <f t="shared" si="278"/>
        <v>1</v>
      </c>
      <c r="DZ349">
        <f>IF(DY349=0,0,1+MAX(DZ$3:$DZ348))</f>
        <v>347</v>
      </c>
      <c r="EB349">
        <f t="shared" si="293"/>
        <v>0</v>
      </c>
      <c r="EC349">
        <f>IF(EB349=0,0,1+COUNTIF(EC$3:EC348,"&gt;0"))</f>
        <v>0</v>
      </c>
      <c r="ED349" t="str">
        <f t="shared" si="321"/>
        <v/>
      </c>
      <c r="EE349" t="str">
        <f t="shared" si="294"/>
        <v/>
      </c>
      <c r="EG349">
        <f t="shared" si="295"/>
        <v>0</v>
      </c>
      <c r="EH349">
        <f>IF(EG349=0,0,1+COUNTIF(EH$3:EH348,"&gt;0"))</f>
        <v>0</v>
      </c>
      <c r="EI349" t="str">
        <f t="shared" si="322"/>
        <v/>
      </c>
      <c r="EJ349" t="str">
        <f t="shared" si="296"/>
        <v/>
      </c>
      <c r="EL349">
        <f t="shared" si="297"/>
        <v>0</v>
      </c>
      <c r="EM349">
        <f>IF(EL349=0,0,1+COUNTIF(EM$3:EM348,"&gt;0"))</f>
        <v>0</v>
      </c>
      <c r="EN349" t="str">
        <f t="shared" si="323"/>
        <v/>
      </c>
      <c r="EO349" t="str">
        <f t="shared" si="298"/>
        <v/>
      </c>
      <c r="EQ349">
        <f t="shared" si="299"/>
        <v>0</v>
      </c>
      <c r="ER349">
        <f>IF(EQ349=0,0,1+COUNTIF(ER$3:ER348,"&gt;0"))</f>
        <v>0</v>
      </c>
      <c r="ES349" t="str">
        <f t="shared" si="324"/>
        <v/>
      </c>
      <c r="ET349" t="str">
        <f t="shared" si="300"/>
        <v/>
      </c>
      <c r="EV349">
        <f t="shared" si="301"/>
        <v>0</v>
      </c>
      <c r="EW349">
        <f>IF(EV349=0,0,1+COUNTIF(EW$3:EW348,"&gt;0"))</f>
        <v>0</v>
      </c>
      <c r="EX349" t="str">
        <f t="shared" si="325"/>
        <v/>
      </c>
      <c r="EY349" t="str">
        <f t="shared" si="302"/>
        <v/>
      </c>
      <c r="FA349">
        <f t="shared" si="303"/>
        <v>0</v>
      </c>
      <c r="FB349">
        <f>IF(FA349=0,0,1+COUNTIF(FB$3:FB348,"&gt;0"))</f>
        <v>0</v>
      </c>
      <c r="FC349" t="str">
        <f t="shared" si="326"/>
        <v/>
      </c>
      <c r="FD349" t="str">
        <f t="shared" si="304"/>
        <v/>
      </c>
      <c r="FF349">
        <f t="shared" si="305"/>
        <v>0</v>
      </c>
      <c r="FG349">
        <f>IF(FF349=0,0,1+COUNTIF(FG$3:FG348,"&gt;0"))</f>
        <v>0</v>
      </c>
      <c r="FH349" t="str">
        <f t="shared" si="327"/>
        <v/>
      </c>
      <c r="FI349" t="str">
        <f t="shared" si="306"/>
        <v/>
      </c>
      <c r="FK349">
        <f t="shared" si="307"/>
        <v>0</v>
      </c>
      <c r="FL349">
        <f>IF(FK349=0,0,1+COUNTIF(FL$3:FL348,"&gt;0"))</f>
        <v>0</v>
      </c>
      <c r="FM349" t="str">
        <f t="shared" si="328"/>
        <v/>
      </c>
      <c r="FN349" t="str">
        <f t="shared" si="308"/>
        <v/>
      </c>
      <c r="FP349">
        <f t="shared" si="309"/>
        <v>0</v>
      </c>
      <c r="FQ349">
        <f>IF(FP349=0,0,1+COUNTIF(FQ$3:FQ348,"&gt;0"))</f>
        <v>0</v>
      </c>
      <c r="FR349" t="str">
        <f t="shared" si="329"/>
        <v/>
      </c>
      <c r="FS349" t="str">
        <f t="shared" si="310"/>
        <v/>
      </c>
    </row>
    <row r="350" spans="1:175" x14ac:dyDescent="0.25">
      <c r="A350" s="347">
        <f t="shared" si="331"/>
        <v>348</v>
      </c>
      <c r="B350" s="348" t="s">
        <v>2751</v>
      </c>
      <c r="C350" s="348">
        <v>6</v>
      </c>
      <c r="D350" s="347">
        <v>6</v>
      </c>
      <c r="E350" s="627" t="s">
        <v>6952</v>
      </c>
      <c r="F350" s="346"/>
      <c r="G350" s="347" t="str">
        <f>""</f>
        <v/>
      </c>
      <c r="H350" s="347" t="s">
        <v>5912</v>
      </c>
      <c r="I350" s="347" t="s">
        <v>5290</v>
      </c>
      <c r="J350" s="347" t="str">
        <f t="shared" si="279"/>
        <v/>
      </c>
      <c r="K350" s="347" t="s">
        <v>5297</v>
      </c>
      <c r="L350" s="611" t="str">
        <f t="shared" si="280"/>
        <v>V, S, M, a small piece of quartz</v>
      </c>
      <c r="M350" s="347" t="s">
        <v>2373</v>
      </c>
      <c r="N350" s="347" t="s">
        <v>2387</v>
      </c>
      <c r="O350" s="347" t="s">
        <v>1244</v>
      </c>
      <c r="P350" s="346" t="s">
        <v>5512</v>
      </c>
      <c r="Q350" s="347" t="s">
        <v>5273</v>
      </c>
      <c r="S350" s="346" t="s">
        <v>5858</v>
      </c>
      <c r="T350" s="346" t="str">
        <f t="shared" si="281"/>
        <v xml:space="preserve">Eldritch Knight, Wizard, </v>
      </c>
      <c r="AB350" s="542" t="str">
        <f>AD350</f>
        <v>Wall of Ice</v>
      </c>
      <c r="AD350" s="347" t="str">
        <f>$B350</f>
        <v>Wall of Ice</v>
      </c>
      <c r="AE350" t="str">
        <f>IF(IFERROR(MATCH($B350,temp!A$4:A$13,0),0)&gt;0,T08_Spells!AE$2,"")</f>
        <v/>
      </c>
      <c r="AF350" t="str">
        <f>IF(IFERROR(MATCH($B350,temp!B$4:B$13,0),0)&gt;0,T08_Spells!AF$2,"")</f>
        <v/>
      </c>
      <c r="AG350" t="str">
        <f>IF(IFERROR(MATCH($B350,temp!C$4:C$13,0),0)&gt;0,T08_Spells!AG$2,"")</f>
        <v/>
      </c>
      <c r="AH350" t="str">
        <f>IF(IFERROR(MATCH($B350,temp!D$4:D$13,0),0)&gt;0,T08_Spells!AH$2,"")</f>
        <v/>
      </c>
      <c r="AI350" t="str">
        <f>IF(IFERROR(MATCH($B350,temp!E$4:E$13,0),0)&gt;0,T08_Spells!AI$2,"")</f>
        <v/>
      </c>
      <c r="AJ350" t="str">
        <f>IF(IFERROR(MATCH($B350,temp!F$4:F$13,0),0)&gt;0,T08_Spells!AJ$2,"")</f>
        <v/>
      </c>
      <c r="AK350" t="str">
        <f>IF(IFERROR(MATCH($B350,temp!G$4:G$13,0),0)&gt;0,T08_Spells!AK$2,"")</f>
        <v/>
      </c>
      <c r="AL350" t="str">
        <f>IF(IFERROR(MATCH($B350,temp!H$4:H$13,0),0)&gt;0,T08_Spells!AL$2,"")</f>
        <v/>
      </c>
      <c r="AM350" t="str">
        <f>IF(IFERROR(MATCH($B350,temp!I$4:I$13,0),0)&gt;0,T08_Spells!AM$2,"")</f>
        <v/>
      </c>
      <c r="AN350" t="str">
        <f>IF(IFERROR(MATCH($B350,temp!J$4:J$13,0),0)&gt;0,T08_Spells!AN$2,"")</f>
        <v/>
      </c>
      <c r="AO350" t="str">
        <f>IF(IFERROR(MATCH($B350,temp!K$4:K$13,0),0)&gt;0,T08_Spells!AO$2,"")</f>
        <v/>
      </c>
      <c r="AP350" t="str">
        <f>IF(IFERROR(MATCH($B350,temp!L$4:L$13,0),0)&gt;0,T08_Spells!AP$2,"")</f>
        <v/>
      </c>
      <c r="AQ350" t="str">
        <f>IF(IFERROR(MATCH($B350,temp!M$4:M$13,0),0)&gt;0,T08_Spells!AQ$2,"")</f>
        <v/>
      </c>
      <c r="AR350" t="str">
        <f>IF(IFERROR(MATCH($B350,temp!N$4:N$13,0),0)&gt;0,T08_Spells!AR$2,"")</f>
        <v/>
      </c>
      <c r="AS350" t="str">
        <f>IF(IFERROR(MATCH($B350,temp!O$4:O$13,0),0)&gt;0,T08_Spells!AS$2,"")</f>
        <v/>
      </c>
      <c r="AT350" t="str">
        <f>IF(IFERROR(MATCH($B350,temp!P$4:P$13,0),0)&gt;0,T08_Spells!AT$2,"")</f>
        <v/>
      </c>
      <c r="AU350" t="str">
        <f>IF(IFERROR(MATCH($B350,temp!Q$4:Q$13,0),0)&gt;0,T08_Spells!AU$2,"")</f>
        <v/>
      </c>
      <c r="AV350" t="str">
        <f>IF(IFERROR(MATCH($B350,temp!R$4:R$13,0),0)&gt;0,T08_Spells!AV$2,"")</f>
        <v/>
      </c>
      <c r="AW350" t="str">
        <f>IF(IFERROR(MATCH($B350,temp!S$4:S$13,0),0)&gt;0,T08_Spells!AW$2,"")</f>
        <v/>
      </c>
      <c r="AX350" t="str">
        <f>IF(IFERROR(MATCH($B350,temp!T$4:T$13,0),0)&gt;0,T08_Spells!AX$2,"")</f>
        <v/>
      </c>
      <c r="AY350" t="str">
        <f>IF(IFERROR(MATCH($B350,temp!U$4:U$13,0),0)&gt;0,T08_Spells!AY$2,"")</f>
        <v/>
      </c>
      <c r="AZ350" t="str">
        <f>IF(IFERROR(MATCH($B350,temp!V$4:V$13,0),0)&gt;0,T08_Spells!AZ$2,"")</f>
        <v/>
      </c>
      <c r="BA350" t="str">
        <f>IF(IFERROR(MATCH($B350,temp!W$4:W$13,0),0)&gt;0,T08_Spells!BA$2,"")</f>
        <v/>
      </c>
      <c r="BC350">
        <f>IF(IFERROR(SEARCH("Ranger",$T350,1),0)&gt;0,1,0)*IF(RangerMaxSpellLevel&gt;=$C350,1,0)*IF(IFERROR(MATCH(B350,Character_Creation!$X$79:$X$382,0),0)&gt;0,0,1)</f>
        <v>0</v>
      </c>
      <c r="BD350">
        <f>IF(BC350=0,0,1+COUNTIF(BD$3:BD349,"&gt;0"))</f>
        <v>0</v>
      </c>
      <c r="BE350" t="str">
        <f t="shared" si="311"/>
        <v/>
      </c>
      <c r="BF350" t="str">
        <f t="shared" si="283"/>
        <v/>
      </c>
      <c r="BH350">
        <f>IF(IFERROR(SEARCH("Sorcerer",$T350,1),0)&gt;0,1,0)*IF(SorcererMaxSpellLevel&gt;=$C350,1,0)*IF(IFERROR(MATCH(B350,Character_Creation!$J$380:$J$394,0),0)&gt;0,0,1)</f>
        <v>0</v>
      </c>
      <c r="BI350">
        <f>IF(BH350=0,0,1+COUNTIF(BI$3:BI349,"&gt;0"))</f>
        <v>0</v>
      </c>
      <c r="BJ350" t="str">
        <f t="shared" si="312"/>
        <v/>
      </c>
      <c r="BK350" t="str">
        <f t="shared" si="284"/>
        <v/>
      </c>
      <c r="BM350">
        <f>IF(OR(IFERROR(SEARCH("Warlock",$T350,1),0)&gt;0,IFERROR(SEARCH(WarlockPatron,$T350,1),0)&gt;0),1,0)*IF(WarlockMaxSpellLevel&gt;=$C350,1,0)*IF(IFERROR(MATCH(B350,Character_Creation!$J$361:$J$375,0),0)&gt;0,0,1)</f>
        <v>0</v>
      </c>
      <c r="BN350">
        <f>IF(BM350=0,0,1+COUNTIF(BN$3:BN349,"&gt;0"))</f>
        <v>0</v>
      </c>
      <c r="BO350" t="str">
        <f t="shared" si="313"/>
        <v/>
      </c>
      <c r="BP350" t="str">
        <f t="shared" si="285"/>
        <v/>
      </c>
      <c r="BR350">
        <f>IF(IFERROR(SEARCH("Eldritch Knight",$T350,1),0)&gt;0,1,0)*IF(EldritchKnightMaxSpellLevel&gt;=$C350,1,0)*IF(IFERROR(MATCH($B350,Character_Creation!$J$350:$J$356,0),0)&gt;0,0,1)*IF(Character_Creation!$M$338&gt;0,1,0)</f>
        <v>0</v>
      </c>
      <c r="BS350">
        <f>IF(BR350=0,0,1+COUNTIF(BS$3:BS349,"&gt;0"))</f>
        <v>0</v>
      </c>
      <c r="BT350" t="str">
        <f t="shared" si="314"/>
        <v/>
      </c>
      <c r="BU350" t="str">
        <f t="shared" si="286"/>
        <v/>
      </c>
      <c r="BW350">
        <f>IF(IFERROR(SEARCH("Arcane Trickster",$T350,1),0)&gt;0,1,0)*IF(ArcaneTricksterMaxSpellLevel&gt;=$C350,1,0)*IF(IFERROR(MATCH($B350,Character_Creation!$J$350:$J$356,0),0)&gt;0,0,1)*IF(Character_Creation!$T$338&gt;0,1,0)</f>
        <v>0</v>
      </c>
      <c r="BX350">
        <f>IF(BW350=0,0,1+COUNTIF(BX$3:BX349,"&gt;0"))</f>
        <v>0</v>
      </c>
      <c r="BY350" t="str">
        <f t="shared" si="315"/>
        <v/>
      </c>
      <c r="BZ350" t="str">
        <f t="shared" si="287"/>
        <v/>
      </c>
      <c r="CB350">
        <f>IF(IFERROR(SEARCH("Wizard",$T350,1),0)&gt;0,1,0)*IF(C350&lt;=ArcaneTricksterMaxSpellLevel,1,0)*IF(IFERROR(MATCH($B350,Character_Creation!$J$350:$J$356,0),0)&gt;0,0,1)*IF(Character_Creation!$T$350&gt;0,1,0)</f>
        <v>0</v>
      </c>
      <c r="CC350">
        <f>IF(CB350=0,0,1+COUNTIF(CC$3:CC349,"&gt;0"))</f>
        <v>0</v>
      </c>
      <c r="CD350" t="str">
        <f t="shared" si="316"/>
        <v/>
      </c>
      <c r="CE350" t="str">
        <f t="shared" si="288"/>
        <v/>
      </c>
      <c r="CG350">
        <f>IF(IFERROR(SEARCH("Wizard",$T350,1),0)&gt;0,1,0)*IF($C350&lt;=EldritchKnightMaxSpellLevel,1,0)*IF(IFERROR(MATCH($B350,Character_Creation!$J$350:$J$356,0),0)&gt;0,0,1)*IF(Character_Creation!$M$350&gt;0,1,0)</f>
        <v>0</v>
      </c>
      <c r="CH350">
        <f>IF(CG350=0,0,1+COUNTIF(CH$3:CH349,"&gt;0"))</f>
        <v>0</v>
      </c>
      <c r="CI350" t="str">
        <f t="shared" si="317"/>
        <v/>
      </c>
      <c r="CJ350" t="str">
        <f t="shared" si="289"/>
        <v/>
      </c>
      <c r="CL350">
        <f>IF(IFERROR(SEARCH("Bard",$T350,1),0)&gt;0,1,0)*IF(BardMaxSpellLevel&gt;=$C350,1,0)*IF(IFERROR(MATCH(B350,Character_Creation!$C$341:$F$362,0),0)&gt;0,0,1)*IF(IFERROR(MATCH($B350,Character_Creation!$C$341:$C$362,0),0)&gt;0,0,1)</f>
        <v>0</v>
      </c>
      <c r="CM350">
        <f>IF(CL350=0,0,1+COUNTIF(CM$3:CM349,"&gt;0"))</f>
        <v>0</v>
      </c>
      <c r="CN350" t="str">
        <f t="shared" si="318"/>
        <v/>
      </c>
      <c r="CO350" t="str">
        <f t="shared" si="290"/>
        <v/>
      </c>
      <c r="CQ350">
        <f>IF(IFERROR(SEARCH("Wizard",$T350,1),0)&gt;0,1,0)*IF(WizardMaxSpellLevel&gt;=$C350,1,0)*IF(IFERROR(MATCH(B350,Character_Creation!$X$341:$X$400,0),0)&gt;0,0,1)*IF(SelectedWizardSpellLevel=$C350,1,0)</f>
        <v>0</v>
      </c>
      <c r="CR350">
        <f>IF(CQ350=0,0,1+COUNTIF(CR$3:CR349,"&gt;0"))</f>
        <v>0</v>
      </c>
      <c r="CS350" t="str">
        <f t="shared" si="319"/>
        <v/>
      </c>
      <c r="CT350" t="str">
        <f t="shared" si="291"/>
        <v/>
      </c>
      <c r="CV350">
        <f>IF(IFERROR(MATCH($B350,Character_Creation!$C$341:$C$362,0),0)&gt;0,0,1)*IF(OR(C350="Cantrip",C350&lt;=BardMaxSpellLevel),1,0)*IF(IFERROR(MATCH($B350,Character_Creation!$C$367:$C$374,0),0)&gt;0,0,1)</f>
        <v>0</v>
      </c>
      <c r="CW350">
        <f>IF(CV350=0,0,1+COUNTIF(CW$3:CW349,"&gt;0"))</f>
        <v>0</v>
      </c>
      <c r="CX350" t="str">
        <f t="shared" si="320"/>
        <v/>
      </c>
      <c r="CY350" t="str">
        <f t="shared" si="292"/>
        <v/>
      </c>
      <c r="DA350">
        <f>IF(IF(OR(IFERROR(SEARCH("Cleric",$T350,1),0)&gt;0,IFERROR(SEARCH(DivineDomain&amp;",",$T350,1),0)&gt;0),1,0)*IF($C350=DA$2,1,0)=1,1+COUNTIF(DA$3:DA349,"&gt;0"),0)</f>
        <v>0</v>
      </c>
      <c r="DB350">
        <f>IF(IF(OR(IFERROR(SEARCH("Cleric",$T350,1),0)&gt;0,IFERROR(SEARCH(DivineDomain&amp;",",$T350,1),0)&gt;0),1,0)*IF($C350=DB$2,1,0)=1,1+COUNTIF(DB$3:DB349,"&gt;0"),0)</f>
        <v>0</v>
      </c>
      <c r="DC350">
        <f>IF(IF(OR(IFERROR(SEARCH("Cleric",$T350,1),0)&gt;0,IFERROR(SEARCH(DivineDomain&amp;",",$T350,1),0)&gt;0),1,0)*IF($C350=DC$2,1,0)=1,1+COUNTIF(DC$3:DC349,"&gt;0"),0)</f>
        <v>0</v>
      </c>
      <c r="DD350">
        <f>IF(IF(OR(IFERROR(SEARCH("Cleric",$T350,1),0)&gt;0,IFERROR(SEARCH(DivineDomain&amp;",",$T350,1),0)&gt;0),1,0)*IF($C350=DD$2,1,0)=1,1+COUNTIF(DD$3:DD349,"&gt;0"),0)</f>
        <v>0</v>
      </c>
      <c r="DE350">
        <f>IF(IF(OR(IFERROR(SEARCH("Cleric",$T350,1),0)&gt;0,IFERROR(SEARCH(DivineDomain&amp;",",$T350,1),0)&gt;0),1,0)*IF($C350=DE$2,1,0)=1,1+COUNTIF(DE$3:DE349,"&gt;0"),0)</f>
        <v>0</v>
      </c>
      <c r="DF350">
        <f>IF(IF(OR(IFERROR(SEARCH("Cleric",$T350,1),0)&gt;0,IFERROR(SEARCH(DivineDomain&amp;",",$T350,1),0)&gt;0),1,0)*IF($C350=DF$2,1,0)=1,1+COUNTIF(DF$3:DF349,"&gt;0"),0)</f>
        <v>0</v>
      </c>
      <c r="DG350">
        <f>IF(IF(OR(IFERROR(SEARCH("Cleric",$T350,1),0)&gt;0,IFERROR(SEARCH(DivineDomain&amp;",",$T350,1),0)&gt;0),1,0)*IF($C350=DG$2,1,0)=1,1+COUNTIF(DG$3:DG349,"&gt;0"),0)</f>
        <v>0</v>
      </c>
      <c r="DH350">
        <f>IF(IF(OR(IFERROR(SEARCH("Cleric",$T350,1),0)&gt;0,IFERROR(SEARCH(DivineDomain&amp;",",$T350,1),0)&gt;0),1,0)*IF($C350=DH$2,1,0)=1,1+COUNTIF(DH$3:DH349,"&gt;0"),0)</f>
        <v>0</v>
      </c>
      <c r="DI350">
        <f>IF(IF(OR(IFERROR(SEARCH("Cleric",$T350,1),0)&gt;0,IFERROR(SEARCH(DivineDomain&amp;",",$T350,1),0)&gt;0),1,0)*IF($C350=DI$2,1,0)=1,1+COUNTIF(DI$3:DI349,"&gt;0"),0)</f>
        <v>0</v>
      </c>
      <c r="DJ350">
        <f>IF(IF(OR(IFERROR(SEARCH("Druid",$T350,1),0)&gt;0,IFERROR(SEARCH(DruidLand1,$T350,1),0)&gt;0,IFERROR(SEARCH(DruidLand2,$T350,1),0)&gt;0,IFERROR(SEARCH(DruidLand3,$T350,1),0)&gt;0,IFERROR(SEARCH(DruidLand4,$T350,1),0)&gt;0),1,0)*IF($C350=1,1,0)*IF($C350=DJ$2,1,0)=0,0,1+COUNTIF(DJ$3:DJ349,"&gt;0"))</f>
        <v>0</v>
      </c>
      <c r="DK350">
        <f>IF(IF(OR(IFERROR(SEARCH("Druid",$T350,1),0)&gt;0,IFERROR(SEARCH(DruidLand1,$T350,1),0)&gt;0,IFERROR(SEARCH(DruidLand2,$T350,1),0)&gt;0,IFERROR(SEARCH(DruidLand3,$T350,1),0)&gt;0,IFERROR(SEARCH(DruidLand4,$T350,1),0)&gt;0),1,0)*IF($C350=1,1,0)*IF($C350=DK$2,1,0)=0,0,1+COUNTIF(DK$3:DK349,"&gt;0"))</f>
        <v>0</v>
      </c>
      <c r="DL350">
        <f>IF(IF(OR(IFERROR(SEARCH("Druid",$T350,1),0)&gt;0,IFERROR(SEARCH(DruidLand1,$T350,1),0)&gt;0,IFERROR(SEARCH(DruidLand2,$T350,1),0)&gt;0,IFERROR(SEARCH(DruidLand3,$T350,1),0)&gt;0,IFERROR(SEARCH(DruidLand4,$T350,1),0)&gt;0),1,0)*IF($C350=1,1,0)*IF($C350=DL$2,1,0)=0,0,1+COUNTIF(DL$3:DL349,"&gt;0"))</f>
        <v>0</v>
      </c>
      <c r="DM350">
        <f>IF(IF(OR(IFERROR(SEARCH("Druid",$T350,1),0)&gt;0,IFERROR(SEARCH(DruidLand1,$T350,1),0)&gt;0,IFERROR(SEARCH(DruidLand2,$T350,1),0)&gt;0,IFERROR(SEARCH(DruidLand3,$T350,1),0)&gt;0,IFERROR(SEARCH(DruidLand4,$T350,1),0)&gt;0),1,0)*IF($C350=1,1,0)*IF($C350=DM$2,1,0)=0,0,1+COUNTIF(DM$3:DM349,"&gt;0"))</f>
        <v>0</v>
      </c>
      <c r="DN350">
        <f>IF(IF(OR(IFERROR(SEARCH("Druid",$T350,1),0)&gt;0,IFERROR(SEARCH(DruidLand1,$T350,1),0)&gt;0,IFERROR(SEARCH(DruidLand2,$T350,1),0)&gt;0,IFERROR(SEARCH(DruidLand3,$T350,1),0)&gt;0,IFERROR(SEARCH(DruidLand4,$T350,1),0)&gt;0),1,0)*IF($C350=1,1,0)*IF($C350=DN$2,1,0)=0,0,1+COUNTIF(DN$3:DN349,"&gt;0"))</f>
        <v>0</v>
      </c>
      <c r="DO350">
        <f>IF(IF(OR(IFERROR(SEARCH("Druid",$T350,1),0)&gt;0,IFERROR(SEARCH(DruidLand1,$T350,1),0)&gt;0,IFERROR(SEARCH(DruidLand2,$T350,1),0)&gt;0,IFERROR(SEARCH(DruidLand3,$T350,1),0)&gt;0,IFERROR(SEARCH(DruidLand4,$T350,1),0)&gt;0),1,0)*IF($C350=1,1,0)*IF($C350=DO$2,1,0)=0,0,1+COUNTIF(DO$3:DO349,"&gt;0"))</f>
        <v>0</v>
      </c>
      <c r="DP350">
        <f>IF(IF(OR(IFERROR(SEARCH("Druid",$T350,1),0)&gt;0,IFERROR(SEARCH(DruidLand1,$T350,1),0)&gt;0,IFERROR(SEARCH(DruidLand2,$T350,1),0)&gt;0,IFERROR(SEARCH(DruidLand3,$T350,1),0)&gt;0,IFERROR(SEARCH(DruidLand4,$T350,1),0)&gt;0),1,0)*IF($C350=1,1,0)*IF($C350=DP$2,1,0)=0,0,1+COUNTIF(DP$3:DP349,"&gt;0"))</f>
        <v>0</v>
      </c>
      <c r="DQ350">
        <f>IF(IF(OR(IFERROR(SEARCH("Druid",$T350,1),0)&gt;0,IFERROR(SEARCH(DruidLand1,$T350,1),0)&gt;0,IFERROR(SEARCH(DruidLand2,$T350,1),0)&gt;0,IFERROR(SEARCH(DruidLand3,$T350,1),0)&gt;0,IFERROR(SEARCH(DruidLand4,$T350,1),0)&gt;0),1,0)*IF($C350=1,1,0)*IF($C350=DQ$2,1,0)=0,0,1+COUNTIF(DQ$3:DQ349,"&gt;0"))</f>
        <v>0</v>
      </c>
      <c r="DR350">
        <f>IF(IF(OR(IFERROR(SEARCH("Druid",$T350,1),0)&gt;0,IFERROR(SEARCH(DruidLand1,$T350,1),0)&gt;0,IFERROR(SEARCH(DruidLand2,$T350,1),0)&gt;0,IFERROR(SEARCH(DruidLand3,$T350,1),0)&gt;0,IFERROR(SEARCH(DruidLand4,$T350,1),0)&gt;0),1,0)*IF($C350=1,1,0)*IF($C350=DR$2,1,0)=0,0,1+COUNTIF(DR$3:DR349,"&gt;0"))</f>
        <v>0</v>
      </c>
      <c r="DS350">
        <f>IF(IF(OR(IFERROR(SEARCH("Paladin",$T350,1),0)&gt;0,IFERROR(SEARCH(PaladinOath,$T350,1),0)&gt;0),1,0)*IF($C350=DS$2,1,0)=1,1+COUNTIF(DS$3:DS349,"&gt;0"),0)</f>
        <v>0</v>
      </c>
      <c r="DT350">
        <f>IF(IF(OR(IFERROR(SEARCH("Paladin",$T350,1),0)&gt;0,IFERROR(SEARCH(PaladinOath,$T350,1),0)&gt;0),1,0)*IF($C350=DT$2,1,0)=1,1+COUNTIF(DT$3:DT349,"&gt;0"),0)</f>
        <v>0</v>
      </c>
      <c r="DU350">
        <f>IF(IF(OR(IFERROR(SEARCH("Paladin",$T350,1),0)&gt;0,IFERROR(SEARCH(PaladinOath,$T350,1),0)&gt;0),1,0)*IF($C350=DU$2,1,0)=1,1+COUNTIF(DU$3:DU349,"&gt;0"),0)</f>
        <v>0</v>
      </c>
      <c r="DV350">
        <f>IF(IF(OR(IFERROR(SEARCH("Paladin",$T350,1),0)&gt;0,IFERROR(SEARCH(PaladinOath,$T350,1),0)&gt;0),1,0)*IF($C350=DV$2,1,0)=1,1+COUNTIF(DV$3:DV349,"&gt;0"),0)</f>
        <v>0</v>
      </c>
      <c r="DW350">
        <f>IF(IF(OR(IFERROR(SEARCH("Paladin",$T350,1),0)&gt;0,IFERROR(SEARCH(PaladinOath,$T350,1),0)&gt;0),1,0)*IF($C350=DW$2,1,0)=1,1+COUNTIF(DW$3:DW349,"&gt;0"),0)</f>
        <v>0</v>
      </c>
      <c r="DY350">
        <f t="shared" si="278"/>
        <v>1</v>
      </c>
      <c r="DZ350">
        <f>IF(DY350=0,0,1+MAX(DZ$3:$DZ349))</f>
        <v>348</v>
      </c>
      <c r="EB350">
        <f t="shared" si="293"/>
        <v>0</v>
      </c>
      <c r="EC350">
        <f>IF(EB350=0,0,1+COUNTIF(EC$3:EC349,"&gt;0"))</f>
        <v>0</v>
      </c>
      <c r="ED350" t="str">
        <f t="shared" si="321"/>
        <v/>
      </c>
      <c r="EE350" t="str">
        <f t="shared" si="294"/>
        <v/>
      </c>
      <c r="EG350">
        <f t="shared" si="295"/>
        <v>0</v>
      </c>
      <c r="EH350">
        <f>IF(EG350=0,0,1+COUNTIF(EH$3:EH349,"&gt;0"))</f>
        <v>0</v>
      </c>
      <c r="EI350" t="str">
        <f t="shared" si="322"/>
        <v/>
      </c>
      <c r="EJ350" t="str">
        <f t="shared" si="296"/>
        <v/>
      </c>
      <c r="EL350">
        <f t="shared" si="297"/>
        <v>0</v>
      </c>
      <c r="EM350">
        <f>IF(EL350=0,0,1+COUNTIF(EM$3:EM349,"&gt;0"))</f>
        <v>0</v>
      </c>
      <c r="EN350" t="str">
        <f t="shared" si="323"/>
        <v/>
      </c>
      <c r="EO350" t="str">
        <f t="shared" si="298"/>
        <v/>
      </c>
      <c r="EQ350">
        <f t="shared" si="299"/>
        <v>0</v>
      </c>
      <c r="ER350">
        <f>IF(EQ350=0,0,1+COUNTIF(ER$3:ER349,"&gt;0"))</f>
        <v>0</v>
      </c>
      <c r="ES350" t="str">
        <f t="shared" si="324"/>
        <v/>
      </c>
      <c r="ET350" t="str">
        <f t="shared" si="300"/>
        <v/>
      </c>
      <c r="EV350">
        <f t="shared" si="301"/>
        <v>0</v>
      </c>
      <c r="EW350">
        <f>IF(EV350=0,0,1+COUNTIF(EW$3:EW349,"&gt;0"))</f>
        <v>0</v>
      </c>
      <c r="EX350" t="str">
        <f t="shared" si="325"/>
        <v/>
      </c>
      <c r="EY350" t="str">
        <f t="shared" si="302"/>
        <v/>
      </c>
      <c r="FA350">
        <f t="shared" si="303"/>
        <v>0</v>
      </c>
      <c r="FB350">
        <f>IF(FA350=0,0,1+COUNTIF(FB$3:FB349,"&gt;0"))</f>
        <v>0</v>
      </c>
      <c r="FC350" t="str">
        <f t="shared" si="326"/>
        <v/>
      </c>
      <c r="FD350" t="str">
        <f t="shared" si="304"/>
        <v/>
      </c>
      <c r="FF350">
        <f t="shared" si="305"/>
        <v>0</v>
      </c>
      <c r="FG350">
        <f>IF(FF350=0,0,1+COUNTIF(FG$3:FG349,"&gt;0"))</f>
        <v>0</v>
      </c>
      <c r="FH350" t="str">
        <f t="shared" si="327"/>
        <v/>
      </c>
      <c r="FI350" t="str">
        <f t="shared" si="306"/>
        <v/>
      </c>
      <c r="FK350">
        <f t="shared" si="307"/>
        <v>0</v>
      </c>
      <c r="FL350">
        <f>IF(FK350=0,0,1+COUNTIF(FL$3:FL349,"&gt;0"))</f>
        <v>0</v>
      </c>
      <c r="FM350" t="str">
        <f t="shared" si="328"/>
        <v/>
      </c>
      <c r="FN350" t="str">
        <f t="shared" si="308"/>
        <v/>
      </c>
      <c r="FP350">
        <f t="shared" si="309"/>
        <v>0</v>
      </c>
      <c r="FQ350">
        <f>IF(FP350=0,0,1+COUNTIF(FQ$3:FQ349,"&gt;0"))</f>
        <v>0</v>
      </c>
      <c r="FR350" t="str">
        <f t="shared" si="329"/>
        <v/>
      </c>
      <c r="FS350" t="str">
        <f t="shared" si="310"/>
        <v/>
      </c>
    </row>
    <row r="351" spans="1:175" x14ac:dyDescent="0.25">
      <c r="A351" s="347">
        <f t="shared" si="331"/>
        <v>349</v>
      </c>
      <c r="B351" s="348" t="s">
        <v>2752</v>
      </c>
      <c r="C351" s="348">
        <v>5</v>
      </c>
      <c r="D351" s="347">
        <v>5</v>
      </c>
      <c r="E351" s="627" t="s">
        <v>6952</v>
      </c>
      <c r="F351" s="346"/>
      <c r="G351" s="347" t="str">
        <f>""</f>
        <v/>
      </c>
      <c r="H351" s="347" t="s">
        <v>5912</v>
      </c>
      <c r="I351" s="347" t="s">
        <v>5290</v>
      </c>
      <c r="J351" s="347" t="str">
        <f t="shared" si="279"/>
        <v/>
      </c>
      <c r="K351" s="347" t="s">
        <v>5297</v>
      </c>
      <c r="L351" s="611" t="str">
        <f t="shared" si="280"/>
        <v>V, S, M, a small block of granite</v>
      </c>
      <c r="M351" s="347" t="s">
        <v>2373</v>
      </c>
      <c r="N351" s="347" t="s">
        <v>2387</v>
      </c>
      <c r="O351" s="347" t="s">
        <v>1244</v>
      </c>
      <c r="P351" s="346" t="s">
        <v>5513</v>
      </c>
      <c r="Q351" s="347" t="s">
        <v>5273</v>
      </c>
      <c r="S351" s="346" t="s">
        <v>5859</v>
      </c>
      <c r="T351" s="346" t="str">
        <f t="shared" si="281"/>
        <v xml:space="preserve">Sorcerer, Druid, Eldritch Knight, Wizard, Desert, Mountain, </v>
      </c>
      <c r="X351" s="347" t="str">
        <f>$B351</f>
        <v>Wall of Stone</v>
      </c>
      <c r="AA351" s="347" t="str">
        <f>$B351</f>
        <v>Wall of Stone</v>
      </c>
      <c r="AB351" s="542" t="str">
        <f>AD351</f>
        <v>Wall of Stone</v>
      </c>
      <c r="AD351" s="347" t="str">
        <f>$B351</f>
        <v>Wall of Stone</v>
      </c>
      <c r="AE351" t="str">
        <f>IF(IFERROR(MATCH($B351,temp!A$4:A$13,0),0)&gt;0,T08_Spells!AE$2,"")</f>
        <v/>
      </c>
      <c r="AF351" t="str">
        <f>IF(IFERROR(MATCH($B351,temp!B$4:B$13,0),0)&gt;0,T08_Spells!AF$2,"")</f>
        <v/>
      </c>
      <c r="AG351" t="str">
        <f>IF(IFERROR(MATCH($B351,temp!C$4:C$13,0),0)&gt;0,T08_Spells!AG$2,"")</f>
        <v/>
      </c>
      <c r="AH351" t="str">
        <f>IF(IFERROR(MATCH($B351,temp!D$4:D$13,0),0)&gt;0,T08_Spells!AH$2,"")</f>
        <v/>
      </c>
      <c r="AI351" t="str">
        <f>IF(IFERROR(MATCH($B351,temp!E$4:E$13,0),0)&gt;0,T08_Spells!AI$2,"")</f>
        <v/>
      </c>
      <c r="AJ351" t="str">
        <f>IF(IFERROR(MATCH($B351,temp!F$4:F$13,0),0)&gt;0,T08_Spells!AJ$2,"")</f>
        <v/>
      </c>
      <c r="AK351" t="str">
        <f>IF(IFERROR(MATCH($B351,temp!G$4:G$13,0),0)&gt;0,T08_Spells!AK$2,"")</f>
        <v/>
      </c>
      <c r="AL351" t="str">
        <f>IF(IFERROR(MATCH($B351,temp!H$4:H$13,0),0)&gt;0,T08_Spells!AL$2,"")</f>
        <v/>
      </c>
      <c r="AM351" t="str">
        <f>IF(IFERROR(MATCH($B351,temp!I$4:I$13,0),0)&gt;0,T08_Spells!AM$2,"")</f>
        <v/>
      </c>
      <c r="AN351" t="str">
        <f>IF(IFERROR(MATCH($B351,temp!J$4:J$13,0),0)&gt;0,T08_Spells!AN$2,"")</f>
        <v>Desert</v>
      </c>
      <c r="AO351" t="str">
        <f>IF(IFERROR(MATCH($B351,temp!K$4:K$13,0),0)&gt;0,T08_Spells!AO$2,"")</f>
        <v/>
      </c>
      <c r="AP351" t="str">
        <f>IF(IFERROR(MATCH($B351,temp!L$4:L$13,0),0)&gt;0,T08_Spells!AP$2,"")</f>
        <v/>
      </c>
      <c r="AQ351" t="str">
        <f>IF(IFERROR(MATCH($B351,temp!M$4:M$13,0),0)&gt;0,T08_Spells!AQ$2,"")</f>
        <v>Mountain</v>
      </c>
      <c r="AR351" t="str">
        <f>IF(IFERROR(MATCH($B351,temp!N$4:N$13,0),0)&gt;0,T08_Spells!AR$2,"")</f>
        <v/>
      </c>
      <c r="AS351" t="str">
        <f>IF(IFERROR(MATCH($B351,temp!O$4:O$13,0),0)&gt;0,T08_Spells!AS$2,"")</f>
        <v/>
      </c>
      <c r="AT351" t="str">
        <f>IF(IFERROR(MATCH($B351,temp!P$4:P$13,0),0)&gt;0,T08_Spells!AT$2,"")</f>
        <v/>
      </c>
      <c r="AU351" t="str">
        <f>IF(IFERROR(MATCH($B351,temp!Q$4:Q$13,0),0)&gt;0,T08_Spells!AU$2,"")</f>
        <v/>
      </c>
      <c r="AV351" t="str">
        <f>IF(IFERROR(MATCH($B351,temp!R$4:R$13,0),0)&gt;0,T08_Spells!AV$2,"")</f>
        <v/>
      </c>
      <c r="AW351" t="str">
        <f>IF(IFERROR(MATCH($B351,temp!S$4:S$13,0),0)&gt;0,T08_Spells!AW$2,"")</f>
        <v/>
      </c>
      <c r="AX351" t="str">
        <f>IF(IFERROR(MATCH($B351,temp!T$4:T$13,0),0)&gt;0,T08_Spells!AX$2,"")</f>
        <v/>
      </c>
      <c r="AY351" t="str">
        <f>IF(IFERROR(MATCH($B351,temp!U$4:U$13,0),0)&gt;0,T08_Spells!AY$2,"")</f>
        <v/>
      </c>
      <c r="AZ351" t="str">
        <f>IF(IFERROR(MATCH($B351,temp!V$4:V$13,0),0)&gt;0,T08_Spells!AZ$2,"")</f>
        <v/>
      </c>
      <c r="BA351" t="str">
        <f>IF(IFERROR(MATCH($B351,temp!W$4:W$13,0),0)&gt;0,T08_Spells!BA$2,"")</f>
        <v/>
      </c>
      <c r="BC351">
        <f>IF(IFERROR(SEARCH("Ranger",$T351,1),0)&gt;0,1,0)*IF(RangerMaxSpellLevel&gt;=$C351,1,0)*IF(IFERROR(MATCH(B351,Character_Creation!$X$79:$X$382,0),0)&gt;0,0,1)</f>
        <v>0</v>
      </c>
      <c r="BD351">
        <f>IF(BC351=0,0,1+COUNTIF(BD$3:BD350,"&gt;0"))</f>
        <v>0</v>
      </c>
      <c r="BE351" t="str">
        <f t="shared" si="311"/>
        <v/>
      </c>
      <c r="BF351" t="str">
        <f t="shared" si="283"/>
        <v/>
      </c>
      <c r="BH351">
        <f>IF(IFERROR(SEARCH("Sorcerer",$T351,1),0)&gt;0,1,0)*IF(SorcererMaxSpellLevel&gt;=$C351,1,0)*IF(IFERROR(MATCH(B351,Character_Creation!$J$380:$J$394,0),0)&gt;0,0,1)</f>
        <v>0</v>
      </c>
      <c r="BI351">
        <f>IF(BH351=0,0,1+COUNTIF(BI$3:BI350,"&gt;0"))</f>
        <v>0</v>
      </c>
      <c r="BJ351" t="str">
        <f t="shared" si="312"/>
        <v/>
      </c>
      <c r="BK351" t="str">
        <f t="shared" si="284"/>
        <v/>
      </c>
      <c r="BM351">
        <f>IF(OR(IFERROR(SEARCH("Warlock",$T351,1),0)&gt;0,IFERROR(SEARCH(WarlockPatron,$T351,1),0)&gt;0),1,0)*IF(WarlockMaxSpellLevel&gt;=$C351,1,0)*IF(IFERROR(MATCH(B351,Character_Creation!$J$361:$J$375,0),0)&gt;0,0,1)</f>
        <v>0</v>
      </c>
      <c r="BN351">
        <f>IF(BM351=0,0,1+COUNTIF(BN$3:BN350,"&gt;0"))</f>
        <v>0</v>
      </c>
      <c r="BO351" t="str">
        <f t="shared" si="313"/>
        <v/>
      </c>
      <c r="BP351" t="str">
        <f t="shared" si="285"/>
        <v/>
      </c>
      <c r="BR351">
        <f>IF(IFERROR(SEARCH("Eldritch Knight",$T351,1),0)&gt;0,1,0)*IF(EldritchKnightMaxSpellLevel&gt;=$C351,1,0)*IF(IFERROR(MATCH($B351,Character_Creation!$J$350:$J$356,0),0)&gt;0,0,1)*IF(Character_Creation!$M$338&gt;0,1,0)</f>
        <v>0</v>
      </c>
      <c r="BS351">
        <f>IF(BR351=0,0,1+COUNTIF(BS$3:BS350,"&gt;0"))</f>
        <v>0</v>
      </c>
      <c r="BT351" t="str">
        <f t="shared" si="314"/>
        <v/>
      </c>
      <c r="BU351" t="str">
        <f t="shared" si="286"/>
        <v/>
      </c>
      <c r="BW351">
        <f>IF(IFERROR(SEARCH("Arcane Trickster",$T351,1),0)&gt;0,1,0)*IF(ArcaneTricksterMaxSpellLevel&gt;=$C351,1,0)*IF(IFERROR(MATCH($B351,Character_Creation!$J$350:$J$356,0),0)&gt;0,0,1)*IF(Character_Creation!$T$338&gt;0,1,0)</f>
        <v>0</v>
      </c>
      <c r="BX351">
        <f>IF(BW351=0,0,1+COUNTIF(BX$3:BX350,"&gt;0"))</f>
        <v>0</v>
      </c>
      <c r="BY351" t="str">
        <f t="shared" si="315"/>
        <v/>
      </c>
      <c r="BZ351" t="str">
        <f t="shared" si="287"/>
        <v/>
      </c>
      <c r="CB351">
        <f>IF(IFERROR(SEARCH("Wizard",$T351,1),0)&gt;0,1,0)*IF(C351&lt;=ArcaneTricksterMaxSpellLevel,1,0)*IF(IFERROR(MATCH($B351,Character_Creation!$J$350:$J$356,0),0)&gt;0,0,1)*IF(Character_Creation!$T$350&gt;0,1,0)</f>
        <v>0</v>
      </c>
      <c r="CC351">
        <f>IF(CB351=0,0,1+COUNTIF(CC$3:CC350,"&gt;0"))</f>
        <v>0</v>
      </c>
      <c r="CD351" t="str">
        <f t="shared" si="316"/>
        <v/>
      </c>
      <c r="CE351" t="str">
        <f t="shared" si="288"/>
        <v/>
      </c>
      <c r="CG351">
        <f>IF(IFERROR(SEARCH("Wizard",$T351,1),0)&gt;0,1,0)*IF($C351&lt;=EldritchKnightMaxSpellLevel,1,0)*IF(IFERROR(MATCH($B351,Character_Creation!$J$350:$J$356,0),0)&gt;0,0,1)*IF(Character_Creation!$M$350&gt;0,1,0)</f>
        <v>0</v>
      </c>
      <c r="CH351">
        <f>IF(CG351=0,0,1+COUNTIF(CH$3:CH350,"&gt;0"))</f>
        <v>0</v>
      </c>
      <c r="CI351" t="str">
        <f t="shared" si="317"/>
        <v/>
      </c>
      <c r="CJ351" t="str">
        <f t="shared" si="289"/>
        <v/>
      </c>
      <c r="CL351">
        <f>IF(IFERROR(SEARCH("Bard",$T351,1),0)&gt;0,1,0)*IF(BardMaxSpellLevel&gt;=$C351,1,0)*IF(IFERROR(MATCH(B351,Character_Creation!$C$341:$F$362,0),0)&gt;0,0,1)*IF(IFERROR(MATCH($B351,Character_Creation!$C$341:$C$362,0),0)&gt;0,0,1)</f>
        <v>0</v>
      </c>
      <c r="CM351">
        <f>IF(CL351=0,0,1+COUNTIF(CM$3:CM350,"&gt;0"))</f>
        <v>0</v>
      </c>
      <c r="CN351" t="str">
        <f t="shared" si="318"/>
        <v/>
      </c>
      <c r="CO351" t="str">
        <f t="shared" si="290"/>
        <v/>
      </c>
      <c r="CQ351">
        <f>IF(IFERROR(SEARCH("Wizard",$T351,1),0)&gt;0,1,0)*IF(WizardMaxSpellLevel&gt;=$C351,1,0)*IF(IFERROR(MATCH(B351,Character_Creation!$X$341:$X$400,0),0)&gt;0,0,1)*IF(SelectedWizardSpellLevel=$C351,1,0)</f>
        <v>0</v>
      </c>
      <c r="CR351">
        <f>IF(CQ351=0,0,1+COUNTIF(CR$3:CR350,"&gt;0"))</f>
        <v>0</v>
      </c>
      <c r="CS351" t="str">
        <f t="shared" si="319"/>
        <v/>
      </c>
      <c r="CT351" t="str">
        <f t="shared" si="291"/>
        <v/>
      </c>
      <c r="CV351">
        <f>IF(IFERROR(MATCH($B351,Character_Creation!$C$341:$C$362,0),0)&gt;0,0,1)*IF(OR(C351="Cantrip",C351&lt;=BardMaxSpellLevel),1,0)*IF(IFERROR(MATCH($B351,Character_Creation!$C$367:$C$374,0),0)&gt;0,0,1)</f>
        <v>0</v>
      </c>
      <c r="CW351">
        <f>IF(CV351=0,0,1+COUNTIF(CW$3:CW350,"&gt;0"))</f>
        <v>0</v>
      </c>
      <c r="CX351" t="str">
        <f t="shared" si="320"/>
        <v/>
      </c>
      <c r="CY351" t="str">
        <f t="shared" si="292"/>
        <v/>
      </c>
      <c r="DA351">
        <f>IF(IF(OR(IFERROR(SEARCH("Cleric",$T351,1),0)&gt;0,IFERROR(SEARCH(DivineDomain&amp;",",$T351,1),0)&gt;0),1,0)*IF($C351=DA$2,1,0)=1,1+COUNTIF(DA$3:DA350,"&gt;0"),0)</f>
        <v>0</v>
      </c>
      <c r="DB351">
        <f>IF(IF(OR(IFERROR(SEARCH("Cleric",$T351,1),0)&gt;0,IFERROR(SEARCH(DivineDomain&amp;",",$T351,1),0)&gt;0),1,0)*IF($C351=DB$2,1,0)=1,1+COUNTIF(DB$3:DB350,"&gt;0"),0)</f>
        <v>0</v>
      </c>
      <c r="DC351">
        <f>IF(IF(OR(IFERROR(SEARCH("Cleric",$T351,1),0)&gt;0,IFERROR(SEARCH(DivineDomain&amp;",",$T351,1),0)&gt;0),1,0)*IF($C351=DC$2,1,0)=1,1+COUNTIF(DC$3:DC350,"&gt;0"),0)</f>
        <v>0</v>
      </c>
      <c r="DD351">
        <f>IF(IF(OR(IFERROR(SEARCH("Cleric",$T351,1),0)&gt;0,IFERROR(SEARCH(DivineDomain&amp;",",$T351,1),0)&gt;0),1,0)*IF($C351=DD$2,1,0)=1,1+COUNTIF(DD$3:DD350,"&gt;0"),0)</f>
        <v>0</v>
      </c>
      <c r="DE351">
        <f>IF(IF(OR(IFERROR(SEARCH("Cleric",$T351,1),0)&gt;0,IFERROR(SEARCH(DivineDomain&amp;",",$T351,1),0)&gt;0),1,0)*IF($C351=DE$2,1,0)=1,1+COUNTIF(DE$3:DE350,"&gt;0"),0)</f>
        <v>0</v>
      </c>
      <c r="DF351">
        <f>IF(IF(OR(IFERROR(SEARCH("Cleric",$T351,1),0)&gt;0,IFERROR(SEARCH(DivineDomain&amp;",",$T351,1),0)&gt;0),1,0)*IF($C351=DF$2,1,0)=1,1+COUNTIF(DF$3:DF350,"&gt;0"),0)</f>
        <v>0</v>
      </c>
      <c r="DG351">
        <f>IF(IF(OR(IFERROR(SEARCH("Cleric",$T351,1),0)&gt;0,IFERROR(SEARCH(DivineDomain&amp;",",$T351,1),0)&gt;0),1,0)*IF($C351=DG$2,1,0)=1,1+COUNTIF(DG$3:DG350,"&gt;0"),0)</f>
        <v>0</v>
      </c>
      <c r="DH351">
        <f>IF(IF(OR(IFERROR(SEARCH("Cleric",$T351,1),0)&gt;0,IFERROR(SEARCH(DivineDomain&amp;",",$T351,1),0)&gt;0),1,0)*IF($C351=DH$2,1,0)=1,1+COUNTIF(DH$3:DH350,"&gt;0"),0)</f>
        <v>0</v>
      </c>
      <c r="DI351">
        <f>IF(IF(OR(IFERROR(SEARCH("Cleric",$T351,1),0)&gt;0,IFERROR(SEARCH(DivineDomain&amp;",",$T351,1),0)&gt;0),1,0)*IF($C351=DI$2,1,0)=1,1+COUNTIF(DI$3:DI350,"&gt;0"),0)</f>
        <v>0</v>
      </c>
      <c r="DJ351">
        <f>IF(IF(OR(IFERROR(SEARCH("Druid",$T351,1),0)&gt;0,IFERROR(SEARCH(DruidLand1,$T351,1),0)&gt;0,IFERROR(SEARCH(DruidLand2,$T351,1),0)&gt;0,IFERROR(SEARCH(DruidLand3,$T351,1),0)&gt;0,IFERROR(SEARCH(DruidLand4,$T351,1),0)&gt;0),1,0)*IF($C351=1,1,0)*IF($C351=DJ$2,1,0)=0,0,1+COUNTIF(DJ$3:DJ350,"&gt;0"))</f>
        <v>0</v>
      </c>
      <c r="DK351">
        <f>IF(IF(OR(IFERROR(SEARCH("Druid",$T351,1),0)&gt;0,IFERROR(SEARCH(DruidLand1,$T351,1),0)&gt;0,IFERROR(SEARCH(DruidLand2,$T351,1),0)&gt;0,IFERROR(SEARCH(DruidLand3,$T351,1),0)&gt;0,IFERROR(SEARCH(DruidLand4,$T351,1),0)&gt;0),1,0)*IF($C351=DK$2,1,0)=0,0,1+COUNTIF(DK$3:DK350,"&gt;0"))</f>
        <v>0</v>
      </c>
      <c r="DL351">
        <f>IF(IF(OR(IFERROR(SEARCH("Druid",$T351,1),0)&gt;0,IFERROR(SEARCH(DruidLand1,$T351,1),0)&gt;0,IFERROR(SEARCH(DruidLand2,$T351,1),0)&gt;0,IFERROR(SEARCH(DruidLand3,$T351,1),0)&gt;0,IFERROR(SEARCH(DruidLand4,$T351,1),0)&gt;0),1,0)*IF($C351=DL$2,1,0)=0,0,1+COUNTIF(DL$3:DL350,"&gt;0"))</f>
        <v>0</v>
      </c>
      <c r="DM351">
        <f>IF(IF(OR(IFERROR(SEARCH("Druid",$T351,1),0)&gt;0,IFERROR(SEARCH(DruidLand1,$T351,1),0)&gt;0,IFERROR(SEARCH(DruidLand2,$T351,1),0)&gt;0,IFERROR(SEARCH(DruidLand3,$T351,1),0)&gt;0,IFERROR(SEARCH(DruidLand4,$T351,1),0)&gt;0),1,0)*IF($C351=DM$2,1,0)=0,0,1+COUNTIF(DM$3:DM350,"&gt;0"))</f>
        <v>0</v>
      </c>
      <c r="DN351">
        <f>IF(IF(OR(IFERROR(SEARCH("Druid",$T351,1),0)&gt;0,IFERROR(SEARCH(DruidLand1,$T351,1),0)&gt;0,IFERROR(SEARCH(DruidLand2,$T351,1),0)&gt;0,IFERROR(SEARCH(DruidLand3,$T351,1),0)&gt;0,IFERROR(SEARCH(DruidLand4,$T351,1),0)&gt;0),1,0)*IF($C351=DN$2,1,0)=0,0,1+COUNTIF(DN$3:DN350,"&gt;0"))</f>
        <v>14</v>
      </c>
      <c r="DO351">
        <f>IF(IF(OR(IFERROR(SEARCH("Druid",$T351,1),0)&gt;0,IFERROR(SEARCH(DruidLand1,$T351,1),0)&gt;0,IFERROR(SEARCH(DruidLand2,$T351,1),0)&gt;0,IFERROR(SEARCH(DruidLand3,$T351,1),0)&gt;0,IFERROR(SEARCH(DruidLand4,$T351,1),0)&gt;0),1,0)*IF($C351=DO$2,1,0)=0,0,1+COUNTIF(DO$3:DO350,"&gt;0"))</f>
        <v>0</v>
      </c>
      <c r="DP351">
        <f>IF(IF(OR(IFERROR(SEARCH("Druid",$T351,1),0)&gt;0,IFERROR(SEARCH(DruidLand1,$T351,1),0)&gt;0,IFERROR(SEARCH(DruidLand2,$T351,1),0)&gt;0,IFERROR(SEARCH(DruidLand3,$T351,1),0)&gt;0,IFERROR(SEARCH(DruidLand4,$T351,1),0)&gt;0),1,0)*IF($C351=DP$2,1,0)=0,0,1+COUNTIF(DP$3:DP350,"&gt;0"))</f>
        <v>0</v>
      </c>
      <c r="DQ351">
        <f>IF(IF(OR(IFERROR(SEARCH("Druid",$T351,1),0)&gt;0,IFERROR(SEARCH(DruidLand1,$T351,1),0)&gt;0,IFERROR(SEARCH(DruidLand2,$T351,1),0)&gt;0,IFERROR(SEARCH(DruidLand3,$T351,1),0)&gt;0,IFERROR(SEARCH(DruidLand4,$T351,1),0)&gt;0),1,0)*IF($C351=DQ$2,1,0)=0,0,1+COUNTIF(DQ$3:DQ350,"&gt;0"))</f>
        <v>0</v>
      </c>
      <c r="DR351">
        <f>IF(IF(OR(IFERROR(SEARCH("Druid",$T351,1),0)&gt;0,IFERROR(SEARCH(DruidLand1,$T351,1),0)&gt;0,IFERROR(SEARCH(DruidLand2,$T351,1),0)&gt;0,IFERROR(SEARCH(DruidLand3,$T351,1),0)&gt;0,IFERROR(SEARCH(DruidLand4,$T351,1),0)&gt;0),1,0)*IF($C351=DR$2,1,0)=0,0,1+COUNTIF(DR$3:DR350,"&gt;0"))</f>
        <v>0</v>
      </c>
      <c r="DS351">
        <f>IF(IF(OR(IFERROR(SEARCH("Paladin",$T351,1),0)&gt;0,IFERROR(SEARCH(PaladinOath,$T351,1),0)&gt;0),1,0)*IF($C351=DS$2,1,0)=1,1+COUNTIF(DS$3:DS350,"&gt;0"),0)</f>
        <v>0</v>
      </c>
      <c r="DT351">
        <f>IF(IF(OR(IFERROR(SEARCH("Paladin",$T351,1),0)&gt;0,IFERROR(SEARCH(PaladinOath,$T351,1),0)&gt;0),1,0)*IF($C351=DT$2,1,0)=1,1+COUNTIF(DT$3:DT350,"&gt;0"),0)</f>
        <v>0</v>
      </c>
      <c r="DU351">
        <f>IF(IF(OR(IFERROR(SEARCH("Paladin",$T351,1),0)&gt;0,IFERROR(SEARCH(PaladinOath,$T351,1),0)&gt;0),1,0)*IF($C351=DU$2,1,0)=1,1+COUNTIF(DU$3:DU350,"&gt;0"),0)</f>
        <v>0</v>
      </c>
      <c r="DV351">
        <f>IF(IF(OR(IFERROR(SEARCH("Paladin",$T351,1),0)&gt;0,IFERROR(SEARCH(PaladinOath,$T351,1),0)&gt;0),1,0)*IF($C351=DV$2,1,0)=1,1+COUNTIF(DV$3:DV350,"&gt;0"),0)</f>
        <v>0</v>
      </c>
      <c r="DW351">
        <f>IF(IF(OR(IFERROR(SEARCH("Paladin",$T351,1),0)&gt;0,IFERROR(SEARCH(PaladinOath,$T351,1),0)&gt;0),1,0)*IF($C351=DW$2,1,0)=1,1+COUNTIF(DW$3:DW350,"&gt;0"),0)</f>
        <v>0</v>
      </c>
      <c r="DY351">
        <f t="shared" si="278"/>
        <v>1</v>
      </c>
      <c r="DZ351">
        <f>IF(DY351=0,0,1+MAX(DZ$3:$DZ350))</f>
        <v>349</v>
      </c>
      <c r="EB351">
        <f t="shared" si="293"/>
        <v>0</v>
      </c>
      <c r="EC351">
        <f>IF(EB351=0,0,1+COUNTIF(EC$3:EC350,"&gt;0"))</f>
        <v>0</v>
      </c>
      <c r="ED351" t="str">
        <f t="shared" si="321"/>
        <v/>
      </c>
      <c r="EE351" t="str">
        <f t="shared" si="294"/>
        <v/>
      </c>
      <c r="EG351">
        <f t="shared" si="295"/>
        <v>0</v>
      </c>
      <c r="EH351">
        <f>IF(EG351=0,0,1+COUNTIF(EH$3:EH350,"&gt;0"))</f>
        <v>0</v>
      </c>
      <c r="EI351" t="str">
        <f t="shared" si="322"/>
        <v/>
      </c>
      <c r="EJ351" t="str">
        <f t="shared" si="296"/>
        <v/>
      </c>
      <c r="EL351">
        <f t="shared" si="297"/>
        <v>0</v>
      </c>
      <c r="EM351">
        <f>IF(EL351=0,0,1+COUNTIF(EM$3:EM350,"&gt;0"))</f>
        <v>0</v>
      </c>
      <c r="EN351" t="str">
        <f t="shared" si="323"/>
        <v/>
      </c>
      <c r="EO351" t="str">
        <f t="shared" si="298"/>
        <v/>
      </c>
      <c r="EQ351">
        <f t="shared" si="299"/>
        <v>0</v>
      </c>
      <c r="ER351">
        <f>IF(EQ351=0,0,1+COUNTIF(ER$3:ER350,"&gt;0"))</f>
        <v>0</v>
      </c>
      <c r="ES351" t="str">
        <f t="shared" si="324"/>
        <v/>
      </c>
      <c r="ET351" t="str">
        <f t="shared" si="300"/>
        <v/>
      </c>
      <c r="EV351">
        <f t="shared" si="301"/>
        <v>0</v>
      </c>
      <c r="EW351">
        <f>IF(EV351=0,0,1+COUNTIF(EW$3:EW350,"&gt;0"))</f>
        <v>0</v>
      </c>
      <c r="EX351" t="str">
        <f t="shared" si="325"/>
        <v/>
      </c>
      <c r="EY351" t="str">
        <f t="shared" si="302"/>
        <v/>
      </c>
      <c r="FA351">
        <f t="shared" si="303"/>
        <v>0</v>
      </c>
      <c r="FB351">
        <f>IF(FA351=0,0,1+COUNTIF(FB$3:FB350,"&gt;0"))</f>
        <v>0</v>
      </c>
      <c r="FC351" t="str">
        <f t="shared" si="326"/>
        <v/>
      </c>
      <c r="FD351" t="str">
        <f t="shared" si="304"/>
        <v/>
      </c>
      <c r="FF351">
        <f t="shared" si="305"/>
        <v>0</v>
      </c>
      <c r="FG351">
        <f>IF(FF351=0,0,1+COUNTIF(FG$3:FG350,"&gt;0"))</f>
        <v>0</v>
      </c>
      <c r="FH351" t="str">
        <f t="shared" si="327"/>
        <v/>
      </c>
      <c r="FI351" t="str">
        <f t="shared" si="306"/>
        <v/>
      </c>
      <c r="FK351">
        <f t="shared" si="307"/>
        <v>0</v>
      </c>
      <c r="FL351">
        <f>IF(FK351=0,0,1+COUNTIF(FL$3:FL350,"&gt;0"))</f>
        <v>0</v>
      </c>
      <c r="FM351" t="str">
        <f t="shared" si="328"/>
        <v/>
      </c>
      <c r="FN351" t="str">
        <f t="shared" si="308"/>
        <v/>
      </c>
      <c r="FP351">
        <f t="shared" si="309"/>
        <v>0</v>
      </c>
      <c r="FQ351">
        <f>IF(FP351=0,0,1+COUNTIF(FQ$3:FQ350,"&gt;0"))</f>
        <v>0</v>
      </c>
      <c r="FR351" t="str">
        <f t="shared" si="329"/>
        <v/>
      </c>
      <c r="FS351" t="str">
        <f t="shared" si="310"/>
        <v/>
      </c>
    </row>
    <row r="352" spans="1:175" x14ac:dyDescent="0.25">
      <c r="A352" s="347">
        <f t="shared" si="331"/>
        <v>350</v>
      </c>
      <c r="B352" s="348" t="s">
        <v>2753</v>
      </c>
      <c r="C352" s="348">
        <v>6</v>
      </c>
      <c r="D352" s="347">
        <v>6</v>
      </c>
      <c r="E352" s="627" t="s">
        <v>6952</v>
      </c>
      <c r="F352" s="346"/>
      <c r="G352" s="347" t="str">
        <f>""</f>
        <v/>
      </c>
      <c r="H352" s="347" t="s">
        <v>5912</v>
      </c>
      <c r="I352" s="347" t="s">
        <v>5378</v>
      </c>
      <c r="J352" s="347" t="str">
        <f t="shared" si="279"/>
        <v/>
      </c>
      <c r="K352" s="347" t="s">
        <v>5297</v>
      </c>
      <c r="L352" s="611" t="str">
        <f t="shared" si="280"/>
        <v>V, S</v>
      </c>
      <c r="M352" s="347" t="s">
        <v>2373</v>
      </c>
      <c r="N352" s="347" t="s">
        <v>2387</v>
      </c>
      <c r="O352" s="347" t="s">
        <v>3034</v>
      </c>
      <c r="P352" s="346" t="str">
        <f>""</f>
        <v/>
      </c>
      <c r="Q352" s="347" t="s">
        <v>5271</v>
      </c>
      <c r="S352" s="346" t="s">
        <v>5860</v>
      </c>
      <c r="T352" s="346" t="str">
        <f t="shared" si="281"/>
        <v xml:space="preserve">Druid, </v>
      </c>
      <c r="AA352" s="347" t="str">
        <f>$B352</f>
        <v>Wall of Thorns</v>
      </c>
      <c r="AE352" t="str">
        <f>IF(IFERROR(MATCH($B352,temp!A$4:A$13,0),0)&gt;0,T08_Spells!AE$2,"")</f>
        <v/>
      </c>
      <c r="AF352" t="str">
        <f>IF(IFERROR(MATCH($B352,temp!B$4:B$13,0),0)&gt;0,T08_Spells!AF$2,"")</f>
        <v/>
      </c>
      <c r="AG352" t="str">
        <f>IF(IFERROR(MATCH($B352,temp!C$4:C$13,0),0)&gt;0,T08_Spells!AG$2,"")</f>
        <v/>
      </c>
      <c r="AH352" t="str">
        <f>IF(IFERROR(MATCH($B352,temp!D$4:D$13,0),0)&gt;0,T08_Spells!AH$2,"")</f>
        <v/>
      </c>
      <c r="AI352" t="str">
        <f>IF(IFERROR(MATCH($B352,temp!E$4:E$13,0),0)&gt;0,T08_Spells!AI$2,"")</f>
        <v/>
      </c>
      <c r="AJ352" t="str">
        <f>IF(IFERROR(MATCH($B352,temp!F$4:F$13,0),0)&gt;0,T08_Spells!AJ$2,"")</f>
        <v/>
      </c>
      <c r="AK352" t="str">
        <f>IF(IFERROR(MATCH($B352,temp!G$4:G$13,0),0)&gt;0,T08_Spells!AK$2,"")</f>
        <v/>
      </c>
      <c r="AL352" t="str">
        <f>IF(IFERROR(MATCH($B352,temp!H$4:H$13,0),0)&gt;0,T08_Spells!AL$2,"")</f>
        <v/>
      </c>
      <c r="AM352" t="str">
        <f>IF(IFERROR(MATCH($B352,temp!I$4:I$13,0),0)&gt;0,T08_Spells!AM$2,"")</f>
        <v/>
      </c>
      <c r="AN352" t="str">
        <f>IF(IFERROR(MATCH($B352,temp!J$4:J$13,0),0)&gt;0,T08_Spells!AN$2,"")</f>
        <v/>
      </c>
      <c r="AO352" t="str">
        <f>IF(IFERROR(MATCH($B352,temp!K$4:K$13,0),0)&gt;0,T08_Spells!AO$2,"")</f>
        <v/>
      </c>
      <c r="AP352" t="str">
        <f>IF(IFERROR(MATCH($B352,temp!L$4:L$13,0),0)&gt;0,T08_Spells!AP$2,"")</f>
        <v/>
      </c>
      <c r="AQ352" t="str">
        <f>IF(IFERROR(MATCH($B352,temp!M$4:M$13,0),0)&gt;0,T08_Spells!AQ$2,"")</f>
        <v/>
      </c>
      <c r="AR352" t="str">
        <f>IF(IFERROR(MATCH($B352,temp!N$4:N$13,0),0)&gt;0,T08_Spells!AR$2,"")</f>
        <v/>
      </c>
      <c r="AS352" t="str">
        <f>IF(IFERROR(MATCH($B352,temp!O$4:O$13,0),0)&gt;0,T08_Spells!AS$2,"")</f>
        <v/>
      </c>
      <c r="AT352" t="str">
        <f>IF(IFERROR(MATCH($B352,temp!P$4:P$13,0),0)&gt;0,T08_Spells!AT$2,"")</f>
        <v/>
      </c>
      <c r="AU352" t="str">
        <f>IF(IFERROR(MATCH($B352,temp!Q$4:Q$13,0),0)&gt;0,T08_Spells!AU$2,"")</f>
        <v/>
      </c>
      <c r="AV352" t="str">
        <f>IF(IFERROR(MATCH($B352,temp!R$4:R$13,0),0)&gt;0,T08_Spells!AV$2,"")</f>
        <v/>
      </c>
      <c r="AW352" t="str">
        <f>IF(IFERROR(MATCH($B352,temp!S$4:S$13,0),0)&gt;0,T08_Spells!AW$2,"")</f>
        <v/>
      </c>
      <c r="AX352" t="str">
        <f>IF(IFERROR(MATCH($B352,temp!T$4:T$13,0),0)&gt;0,T08_Spells!AX$2,"")</f>
        <v/>
      </c>
      <c r="AY352" t="str">
        <f>IF(IFERROR(MATCH($B352,temp!U$4:U$13,0),0)&gt;0,T08_Spells!AY$2,"")</f>
        <v/>
      </c>
      <c r="AZ352" t="str">
        <f>IF(IFERROR(MATCH($B352,temp!V$4:V$13,0),0)&gt;0,T08_Spells!AZ$2,"")</f>
        <v/>
      </c>
      <c r="BA352" t="str">
        <f>IF(IFERROR(MATCH($B352,temp!W$4:W$13,0),0)&gt;0,T08_Spells!BA$2,"")</f>
        <v/>
      </c>
      <c r="BC352">
        <f>IF(IFERROR(SEARCH("Ranger",$T352,1),0)&gt;0,1,0)*IF(RangerMaxSpellLevel&gt;=$C352,1,0)*IF(IFERROR(MATCH(B352,Character_Creation!$X$79:$X$382,0),0)&gt;0,0,1)</f>
        <v>0</v>
      </c>
      <c r="BD352">
        <f>IF(BC352=0,0,1+COUNTIF(BD$3:BD351,"&gt;0"))</f>
        <v>0</v>
      </c>
      <c r="BE352" t="str">
        <f t="shared" si="311"/>
        <v/>
      </c>
      <c r="BF352" t="str">
        <f t="shared" si="283"/>
        <v/>
      </c>
      <c r="BH352">
        <f>IF(IFERROR(SEARCH("Sorcerer",$T352,1),0)&gt;0,1,0)*IF(SorcererMaxSpellLevel&gt;=$C352,1,0)*IF(IFERROR(MATCH(B352,Character_Creation!$J$380:$J$394,0),0)&gt;0,0,1)</f>
        <v>0</v>
      </c>
      <c r="BI352">
        <f>IF(BH352=0,0,1+COUNTIF(BI$3:BI351,"&gt;0"))</f>
        <v>0</v>
      </c>
      <c r="BJ352" t="str">
        <f t="shared" si="312"/>
        <v/>
      </c>
      <c r="BK352" t="str">
        <f t="shared" si="284"/>
        <v/>
      </c>
      <c r="BM352">
        <f>IF(OR(IFERROR(SEARCH("Warlock",$T352,1),0)&gt;0,IFERROR(SEARCH(WarlockPatron,$T352,1),0)&gt;0),1,0)*IF(WarlockMaxSpellLevel&gt;=$C352,1,0)*IF(IFERROR(MATCH(B352,Character_Creation!$J$361:$J$375,0),0)&gt;0,0,1)</f>
        <v>0</v>
      </c>
      <c r="BN352">
        <f>IF(BM352=0,0,1+COUNTIF(BN$3:BN351,"&gt;0"))</f>
        <v>0</v>
      </c>
      <c r="BO352" t="str">
        <f t="shared" si="313"/>
        <v/>
      </c>
      <c r="BP352" t="str">
        <f t="shared" si="285"/>
        <v/>
      </c>
      <c r="BR352">
        <f>IF(IFERROR(SEARCH("Eldritch Knight",$T352,1),0)&gt;0,1,0)*IF(EldritchKnightMaxSpellLevel&gt;=$C352,1,0)*IF(IFERROR(MATCH($B352,Character_Creation!$J$350:$J$356,0),0)&gt;0,0,1)*IF(Character_Creation!$M$338&gt;0,1,0)</f>
        <v>0</v>
      </c>
      <c r="BS352">
        <f>IF(BR352=0,0,1+COUNTIF(BS$3:BS351,"&gt;0"))</f>
        <v>0</v>
      </c>
      <c r="BT352" t="str">
        <f t="shared" si="314"/>
        <v/>
      </c>
      <c r="BU352" t="str">
        <f t="shared" si="286"/>
        <v/>
      </c>
      <c r="BW352">
        <f>IF(IFERROR(SEARCH("Arcane Trickster",$T352,1),0)&gt;0,1,0)*IF(ArcaneTricksterMaxSpellLevel&gt;=$C352,1,0)*IF(IFERROR(MATCH($B352,Character_Creation!$J$350:$J$356,0),0)&gt;0,0,1)*IF(Character_Creation!$T$338&gt;0,1,0)</f>
        <v>0</v>
      </c>
      <c r="BX352">
        <f>IF(BW352=0,0,1+COUNTIF(BX$3:BX351,"&gt;0"))</f>
        <v>0</v>
      </c>
      <c r="BY352" t="str">
        <f t="shared" si="315"/>
        <v/>
      </c>
      <c r="BZ352" t="str">
        <f t="shared" si="287"/>
        <v/>
      </c>
      <c r="CB352">
        <f>IF(IFERROR(SEARCH("Wizard",$T352,1),0)&gt;0,1,0)*IF(C352&lt;=ArcaneTricksterMaxSpellLevel,1,0)*IF(IFERROR(MATCH($B352,Character_Creation!$J$350:$J$356,0),0)&gt;0,0,1)*IF(Character_Creation!$T$350&gt;0,1,0)</f>
        <v>0</v>
      </c>
      <c r="CC352">
        <f>IF(CB352=0,0,1+COUNTIF(CC$3:CC351,"&gt;0"))</f>
        <v>0</v>
      </c>
      <c r="CD352" t="str">
        <f t="shared" si="316"/>
        <v/>
      </c>
      <c r="CE352" t="str">
        <f t="shared" si="288"/>
        <v/>
      </c>
      <c r="CG352">
        <f>IF(IFERROR(SEARCH("Wizard",$T352,1),0)&gt;0,1,0)*IF($C352&lt;=EldritchKnightMaxSpellLevel,1,0)*IF(IFERROR(MATCH($B352,Character_Creation!$J$350:$J$356,0),0)&gt;0,0,1)*IF(Character_Creation!$M$350&gt;0,1,0)</f>
        <v>0</v>
      </c>
      <c r="CH352">
        <f>IF(CG352=0,0,1+COUNTIF(CH$3:CH351,"&gt;0"))</f>
        <v>0</v>
      </c>
      <c r="CI352" t="str">
        <f t="shared" si="317"/>
        <v/>
      </c>
      <c r="CJ352" t="str">
        <f t="shared" si="289"/>
        <v/>
      </c>
      <c r="CL352">
        <f>IF(IFERROR(SEARCH("Bard",$T352,1),0)&gt;0,1,0)*IF(BardMaxSpellLevel&gt;=$C352,1,0)*IF(IFERROR(MATCH(B352,Character_Creation!$C$341:$F$362,0),0)&gt;0,0,1)*IF(IFERROR(MATCH($B352,Character_Creation!$C$341:$C$362,0),0)&gt;0,0,1)</f>
        <v>0</v>
      </c>
      <c r="CM352">
        <f>IF(CL352=0,0,1+COUNTIF(CM$3:CM351,"&gt;0"))</f>
        <v>0</v>
      </c>
      <c r="CN352" t="str">
        <f t="shared" si="318"/>
        <v/>
      </c>
      <c r="CO352" t="str">
        <f t="shared" si="290"/>
        <v/>
      </c>
      <c r="CQ352">
        <f>IF(IFERROR(SEARCH("Wizard",$T352,1),0)&gt;0,1,0)*IF(WizardMaxSpellLevel&gt;=$C352,1,0)*IF(IFERROR(MATCH(B352,Character_Creation!$X$341:$X$400,0),0)&gt;0,0,1)*IF(SelectedWizardSpellLevel=$C352,1,0)</f>
        <v>0</v>
      </c>
      <c r="CR352">
        <f>IF(CQ352=0,0,1+COUNTIF(CR$3:CR351,"&gt;0"))</f>
        <v>0</v>
      </c>
      <c r="CS352" t="str">
        <f t="shared" si="319"/>
        <v/>
      </c>
      <c r="CT352" t="str">
        <f t="shared" si="291"/>
        <v/>
      </c>
      <c r="CV352">
        <f>IF(IFERROR(MATCH($B352,Character_Creation!$C$341:$C$362,0),0)&gt;0,0,1)*IF(OR(C352="Cantrip",C352&lt;=BardMaxSpellLevel),1,0)*IF(IFERROR(MATCH($B352,Character_Creation!$C$367:$C$374,0),0)&gt;0,0,1)</f>
        <v>0</v>
      </c>
      <c r="CW352">
        <f>IF(CV352=0,0,1+COUNTIF(CW$3:CW351,"&gt;0"))</f>
        <v>0</v>
      </c>
      <c r="CX352" t="str">
        <f t="shared" si="320"/>
        <v/>
      </c>
      <c r="CY352" t="str">
        <f t="shared" si="292"/>
        <v/>
      </c>
      <c r="DA352">
        <f>IF(IF(OR(IFERROR(SEARCH("Cleric",$T352,1),0)&gt;0,IFERROR(SEARCH(DivineDomain&amp;",",$T352,1),0)&gt;0),1,0)*IF($C352=DA$2,1,0)=1,1+COUNTIF(DA$3:DA351,"&gt;0"),0)</f>
        <v>0</v>
      </c>
      <c r="DB352">
        <f>IF(IF(OR(IFERROR(SEARCH("Cleric",$T352,1),0)&gt;0,IFERROR(SEARCH(DivineDomain&amp;",",$T352,1),0)&gt;0),1,0)*IF($C352=DB$2,1,0)=1,1+COUNTIF(DB$3:DB351,"&gt;0"),0)</f>
        <v>0</v>
      </c>
      <c r="DC352">
        <f>IF(IF(OR(IFERROR(SEARCH("Cleric",$T352,1),0)&gt;0,IFERROR(SEARCH(DivineDomain&amp;",",$T352,1),0)&gt;0),1,0)*IF($C352=DC$2,1,0)=1,1+COUNTIF(DC$3:DC351,"&gt;0"),0)</f>
        <v>0</v>
      </c>
      <c r="DD352">
        <f>IF(IF(OR(IFERROR(SEARCH("Cleric",$T352,1),0)&gt;0,IFERROR(SEARCH(DivineDomain&amp;",",$T352,1),0)&gt;0),1,0)*IF($C352=DD$2,1,0)=1,1+COUNTIF(DD$3:DD351,"&gt;0"),0)</f>
        <v>0</v>
      </c>
      <c r="DE352">
        <f>IF(IF(OR(IFERROR(SEARCH("Cleric",$T352,1),0)&gt;0,IFERROR(SEARCH(DivineDomain&amp;",",$T352,1),0)&gt;0),1,0)*IF($C352=DE$2,1,0)=1,1+COUNTIF(DE$3:DE351,"&gt;0"),0)</f>
        <v>0</v>
      </c>
      <c r="DF352">
        <f>IF(IF(OR(IFERROR(SEARCH("Cleric",$T352,1),0)&gt;0,IFERROR(SEARCH(DivineDomain&amp;",",$T352,1),0)&gt;0),1,0)*IF($C352=DF$2,1,0)=1,1+COUNTIF(DF$3:DF351,"&gt;0"),0)</f>
        <v>0</v>
      </c>
      <c r="DG352">
        <f>IF(IF(OR(IFERROR(SEARCH("Cleric",$T352,1),0)&gt;0,IFERROR(SEARCH(DivineDomain&amp;",",$T352,1),0)&gt;0),1,0)*IF($C352=DG$2,1,0)=1,1+COUNTIF(DG$3:DG351,"&gt;0"),0)</f>
        <v>0</v>
      </c>
      <c r="DH352">
        <f>IF(IF(OR(IFERROR(SEARCH("Cleric",$T352,1),0)&gt;0,IFERROR(SEARCH(DivineDomain&amp;",",$T352,1),0)&gt;0),1,0)*IF($C352=DH$2,1,0)=1,1+COUNTIF(DH$3:DH351,"&gt;0"),0)</f>
        <v>0</v>
      </c>
      <c r="DI352">
        <f>IF(IF(OR(IFERROR(SEARCH("Cleric",$T352,1),0)&gt;0,IFERROR(SEARCH(DivineDomain&amp;",",$T352,1),0)&gt;0),1,0)*IF($C352=DI$2,1,0)=1,1+COUNTIF(DI$3:DI351,"&gt;0"),0)</f>
        <v>0</v>
      </c>
      <c r="DJ352">
        <f>IF(IF(OR(IFERROR(SEARCH("Druid",$T352,1),0)&gt;0,IFERROR(SEARCH(DruidLand1,$T352,1),0)&gt;0,IFERROR(SEARCH(DruidLand2,$T352,1),0)&gt;0,IFERROR(SEARCH(DruidLand3,$T352,1),0)&gt;0,IFERROR(SEARCH(DruidLand4,$T352,1),0)&gt;0),1,0)*IF($C352=1,1,0)*IF($C352=DJ$2,1,0)=0,0,1+COUNTIF(DJ$3:DJ351,"&gt;0"))</f>
        <v>0</v>
      </c>
      <c r="DK352">
        <f>IF(IF(OR(IFERROR(SEARCH("Druid",$T352,1),0)&gt;0,IFERROR(SEARCH(DruidLand1,$T352,1),0)&gt;0,IFERROR(SEARCH(DruidLand2,$T352,1),0)&gt;0,IFERROR(SEARCH(DruidLand3,$T352,1),0)&gt;0,IFERROR(SEARCH(DruidLand4,$T352,1),0)&gt;0),1,0)*IF($C352=DK$2,1,0)=0,0,1+COUNTIF(DK$3:DK351,"&gt;0"))</f>
        <v>0</v>
      </c>
      <c r="DL352">
        <f>IF(IF(OR(IFERROR(SEARCH("Druid",$T352,1),0)&gt;0,IFERROR(SEARCH(DruidLand1,$T352,1),0)&gt;0,IFERROR(SEARCH(DruidLand2,$T352,1),0)&gt;0,IFERROR(SEARCH(DruidLand3,$T352,1),0)&gt;0,IFERROR(SEARCH(DruidLand4,$T352,1),0)&gt;0),1,0)*IF($C352=DL$2,1,0)=0,0,1+COUNTIF(DL$3:DL351,"&gt;0"))</f>
        <v>0</v>
      </c>
      <c r="DM352">
        <f>IF(IF(OR(IFERROR(SEARCH("Druid",$T352,1),0)&gt;0,IFERROR(SEARCH(DruidLand1,$T352,1),0)&gt;0,IFERROR(SEARCH(DruidLand2,$T352,1),0)&gt;0,IFERROR(SEARCH(DruidLand3,$T352,1),0)&gt;0,IFERROR(SEARCH(DruidLand4,$T352,1),0)&gt;0),1,0)*IF($C352=DM$2,1,0)=0,0,1+COUNTIF(DM$3:DM351,"&gt;0"))</f>
        <v>0</v>
      </c>
      <c r="DN352">
        <f>IF(IF(OR(IFERROR(SEARCH("Druid",$T352,1),0)&gt;0,IFERROR(SEARCH(DruidLand1,$T352,1),0)&gt;0,IFERROR(SEARCH(DruidLand2,$T352,1),0)&gt;0,IFERROR(SEARCH(DruidLand3,$T352,1),0)&gt;0,IFERROR(SEARCH(DruidLand4,$T352,1),0)&gt;0),1,0)*IF($C352=DN$2,1,0)=0,0,1+COUNTIF(DN$3:DN351,"&gt;0"))</f>
        <v>0</v>
      </c>
      <c r="DO352">
        <f>IF(IF(OR(IFERROR(SEARCH("Druid",$T352,1),0)&gt;0,IFERROR(SEARCH(DruidLand1,$T352,1),0)&gt;0,IFERROR(SEARCH(DruidLand2,$T352,1),0)&gt;0,IFERROR(SEARCH(DruidLand3,$T352,1),0)&gt;0,IFERROR(SEARCH(DruidLand4,$T352,1),0)&gt;0),1,0)*IF($C352=DO$2,1,0)=0,0,1+COUNTIF(DO$3:DO351,"&gt;0"))</f>
        <v>8</v>
      </c>
      <c r="DP352">
        <f>IF(IF(OR(IFERROR(SEARCH("Druid",$T352,1),0)&gt;0,IFERROR(SEARCH(DruidLand1,$T352,1),0)&gt;0,IFERROR(SEARCH(DruidLand2,$T352,1),0)&gt;0,IFERROR(SEARCH(DruidLand3,$T352,1),0)&gt;0,IFERROR(SEARCH(DruidLand4,$T352,1),0)&gt;0),1,0)*IF($C352=DP$2,1,0)=0,0,1+COUNTIF(DP$3:DP351,"&gt;0"))</f>
        <v>0</v>
      </c>
      <c r="DQ352">
        <f>IF(IF(OR(IFERROR(SEARCH("Druid",$T352,1),0)&gt;0,IFERROR(SEARCH(DruidLand1,$T352,1),0)&gt;0,IFERROR(SEARCH(DruidLand2,$T352,1),0)&gt;0,IFERROR(SEARCH(DruidLand3,$T352,1),0)&gt;0,IFERROR(SEARCH(DruidLand4,$T352,1),0)&gt;0),1,0)*IF($C352=DQ$2,1,0)=0,0,1+COUNTIF(DQ$3:DQ351,"&gt;0"))</f>
        <v>0</v>
      </c>
      <c r="DR352">
        <f>IF(IF(OR(IFERROR(SEARCH("Druid",$T352,1),0)&gt;0,IFERROR(SEARCH(DruidLand1,$T352,1),0)&gt;0,IFERROR(SEARCH(DruidLand2,$T352,1),0)&gt;0,IFERROR(SEARCH(DruidLand3,$T352,1),0)&gt;0,IFERROR(SEARCH(DruidLand4,$T352,1),0)&gt;0),1,0)*IF($C352=DR$2,1,0)=0,0,1+COUNTIF(DR$3:DR351,"&gt;0"))</f>
        <v>0</v>
      </c>
      <c r="DS352">
        <f>IF(IF(OR(IFERROR(SEARCH("Paladin",$T352,1),0)&gt;0,IFERROR(SEARCH(PaladinOath,$T352,1),0)&gt;0),1,0)*IF($C352=DS$2,1,0)=1,1+COUNTIF(DS$3:DS351,"&gt;0"),0)</f>
        <v>0</v>
      </c>
      <c r="DT352">
        <f>IF(IF(OR(IFERROR(SEARCH("Paladin",$T352,1),0)&gt;0,IFERROR(SEARCH(PaladinOath,$T352,1),0)&gt;0),1,0)*IF($C352=DT$2,1,0)=1,1+COUNTIF(DT$3:DT351,"&gt;0"),0)</f>
        <v>0</v>
      </c>
      <c r="DU352">
        <f>IF(IF(OR(IFERROR(SEARCH("Paladin",$T352,1),0)&gt;0,IFERROR(SEARCH(PaladinOath,$T352,1),0)&gt;0),1,0)*IF($C352=DU$2,1,0)=1,1+COUNTIF(DU$3:DU351,"&gt;0"),0)</f>
        <v>0</v>
      </c>
      <c r="DV352">
        <f>IF(IF(OR(IFERROR(SEARCH("Paladin",$T352,1),0)&gt;0,IFERROR(SEARCH(PaladinOath,$T352,1),0)&gt;0),1,0)*IF($C352=DV$2,1,0)=1,1+COUNTIF(DV$3:DV351,"&gt;0"),0)</f>
        <v>0</v>
      </c>
      <c r="DW352">
        <f>IF(IF(OR(IFERROR(SEARCH("Paladin",$T352,1),0)&gt;0,IFERROR(SEARCH(PaladinOath,$T352,1),0)&gt;0),1,0)*IF($C352=DW$2,1,0)=1,1+COUNTIF(DW$3:DW351,"&gt;0"),0)</f>
        <v>0</v>
      </c>
      <c r="DY352">
        <f t="shared" si="278"/>
        <v>1</v>
      </c>
      <c r="DZ352">
        <f>IF(DY352=0,0,1+MAX(DZ$3:$DZ351))</f>
        <v>350</v>
      </c>
      <c r="EB352">
        <f t="shared" si="293"/>
        <v>0</v>
      </c>
      <c r="EC352">
        <f>IF(EB352=0,0,1+COUNTIF(EC$3:EC351,"&gt;0"))</f>
        <v>0</v>
      </c>
      <c r="ED352" t="str">
        <f t="shared" si="321"/>
        <v/>
      </c>
      <c r="EE352" t="str">
        <f t="shared" si="294"/>
        <v/>
      </c>
      <c r="EG352">
        <f t="shared" si="295"/>
        <v>0</v>
      </c>
      <c r="EH352">
        <f>IF(EG352=0,0,1+COUNTIF(EH$3:EH351,"&gt;0"))</f>
        <v>0</v>
      </c>
      <c r="EI352" t="str">
        <f t="shared" si="322"/>
        <v/>
      </c>
      <c r="EJ352" t="str">
        <f t="shared" si="296"/>
        <v/>
      </c>
      <c r="EL352">
        <f t="shared" si="297"/>
        <v>0</v>
      </c>
      <c r="EM352">
        <f>IF(EL352=0,0,1+COUNTIF(EM$3:EM351,"&gt;0"))</f>
        <v>0</v>
      </c>
      <c r="EN352" t="str">
        <f t="shared" si="323"/>
        <v/>
      </c>
      <c r="EO352" t="str">
        <f t="shared" si="298"/>
        <v/>
      </c>
      <c r="EQ352">
        <f t="shared" si="299"/>
        <v>0</v>
      </c>
      <c r="ER352">
        <f>IF(EQ352=0,0,1+COUNTIF(ER$3:ER351,"&gt;0"))</f>
        <v>0</v>
      </c>
      <c r="ES352" t="str">
        <f t="shared" si="324"/>
        <v/>
      </c>
      <c r="ET352" t="str">
        <f t="shared" si="300"/>
        <v/>
      </c>
      <c r="EV352">
        <f t="shared" si="301"/>
        <v>0</v>
      </c>
      <c r="EW352">
        <f>IF(EV352=0,0,1+COUNTIF(EW$3:EW351,"&gt;0"))</f>
        <v>0</v>
      </c>
      <c r="EX352" t="str">
        <f t="shared" si="325"/>
        <v/>
      </c>
      <c r="EY352" t="str">
        <f t="shared" si="302"/>
        <v/>
      </c>
      <c r="FA352">
        <f t="shared" si="303"/>
        <v>0</v>
      </c>
      <c r="FB352">
        <f>IF(FA352=0,0,1+COUNTIF(FB$3:FB351,"&gt;0"))</f>
        <v>0</v>
      </c>
      <c r="FC352" t="str">
        <f t="shared" si="326"/>
        <v/>
      </c>
      <c r="FD352" t="str">
        <f t="shared" si="304"/>
        <v/>
      </c>
      <c r="FF352">
        <f t="shared" si="305"/>
        <v>0</v>
      </c>
      <c r="FG352">
        <f>IF(FF352=0,0,1+COUNTIF(FG$3:FG351,"&gt;0"))</f>
        <v>0</v>
      </c>
      <c r="FH352" t="str">
        <f t="shared" si="327"/>
        <v/>
      </c>
      <c r="FI352" t="str">
        <f t="shared" si="306"/>
        <v/>
      </c>
      <c r="FK352">
        <f t="shared" si="307"/>
        <v>0</v>
      </c>
      <c r="FL352">
        <f>IF(FK352=0,0,1+COUNTIF(FL$3:FL351,"&gt;0"))</f>
        <v>0</v>
      </c>
      <c r="FM352" t="str">
        <f t="shared" si="328"/>
        <v/>
      </c>
      <c r="FN352" t="str">
        <f t="shared" si="308"/>
        <v/>
      </c>
      <c r="FP352">
        <f t="shared" si="309"/>
        <v>0</v>
      </c>
      <c r="FQ352">
        <f>IF(FP352=0,0,1+COUNTIF(FQ$3:FQ351,"&gt;0"))</f>
        <v>0</v>
      </c>
      <c r="FR352" t="str">
        <f t="shared" si="329"/>
        <v/>
      </c>
      <c r="FS352" t="str">
        <f t="shared" si="310"/>
        <v/>
      </c>
    </row>
    <row r="353" spans="1:175" x14ac:dyDescent="0.25">
      <c r="A353" s="347">
        <f t="shared" si="331"/>
        <v>351</v>
      </c>
      <c r="B353" s="348" t="s">
        <v>2754</v>
      </c>
      <c r="C353" s="348">
        <v>2</v>
      </c>
      <c r="D353" s="347">
        <v>2</v>
      </c>
      <c r="E353" s="627" t="s">
        <v>6952</v>
      </c>
      <c r="F353" s="346"/>
      <c r="G353" s="347" t="str">
        <f>""</f>
        <v/>
      </c>
      <c r="H353" s="347" t="s">
        <v>5912</v>
      </c>
      <c r="I353" s="347" t="s">
        <v>5298</v>
      </c>
      <c r="J353" s="347" t="str">
        <f t="shared" si="279"/>
        <v/>
      </c>
      <c r="K353" s="347" t="s">
        <v>5293</v>
      </c>
      <c r="L353" s="611" t="str">
        <f t="shared" si="280"/>
        <v>V, S, M, a pair of platinum rings worth at least 50 gp each, which you and the target must wear for the duration</v>
      </c>
      <c r="M353" s="347" t="s">
        <v>2373</v>
      </c>
      <c r="N353" s="347" t="s">
        <v>2387</v>
      </c>
      <c r="O353" s="347" t="s">
        <v>1244</v>
      </c>
      <c r="P353" s="346" t="s">
        <v>5514</v>
      </c>
      <c r="Q353" s="347" t="s">
        <v>5270</v>
      </c>
      <c r="S353" s="346" t="s">
        <v>5922</v>
      </c>
      <c r="T353" s="346" t="str">
        <f t="shared" si="281"/>
        <v xml:space="preserve">Cleric, </v>
      </c>
      <c r="Z353" s="347" t="str">
        <f>$B353</f>
        <v>Warding Bond</v>
      </c>
      <c r="AE353" t="str">
        <f>IF(IFERROR(MATCH($B353,temp!A$4:A$13,0),0)&gt;0,T08_Spells!AE$2,"")</f>
        <v/>
      </c>
      <c r="AF353" t="str">
        <f>IF(IFERROR(MATCH($B353,temp!B$4:B$13,0),0)&gt;0,T08_Spells!AF$2,"")</f>
        <v/>
      </c>
      <c r="AG353" t="str">
        <f>IF(IFERROR(MATCH($B353,temp!C$4:C$13,0),0)&gt;0,T08_Spells!AG$2,"")</f>
        <v/>
      </c>
      <c r="AH353" t="str">
        <f>IF(IFERROR(MATCH($B353,temp!D$4:D$13,0),0)&gt;0,T08_Spells!AH$2,"")</f>
        <v/>
      </c>
      <c r="AI353" t="str">
        <f>IF(IFERROR(MATCH($B353,temp!E$4:E$13,0),0)&gt;0,T08_Spells!AI$2,"")</f>
        <v/>
      </c>
      <c r="AJ353" t="str">
        <f>IF(IFERROR(MATCH($B353,temp!F$4:F$13,0),0)&gt;0,T08_Spells!AJ$2,"")</f>
        <v/>
      </c>
      <c r="AK353" t="str">
        <f>IF(IFERROR(MATCH($B353,temp!G$4:G$13,0),0)&gt;0,T08_Spells!AK$2,"")</f>
        <v/>
      </c>
      <c r="AL353" t="str">
        <f>IF(IFERROR(MATCH($B353,temp!H$4:H$13,0),0)&gt;0,T08_Spells!AL$2,"")</f>
        <v/>
      </c>
      <c r="AM353" t="str">
        <f>IF(IFERROR(MATCH($B353,temp!I$4:I$13,0),0)&gt;0,T08_Spells!AM$2,"")</f>
        <v/>
      </c>
      <c r="AN353" t="str">
        <f>IF(IFERROR(MATCH($B353,temp!J$4:J$13,0),0)&gt;0,T08_Spells!AN$2,"")</f>
        <v/>
      </c>
      <c r="AO353" t="str">
        <f>IF(IFERROR(MATCH($B353,temp!K$4:K$13,0),0)&gt;0,T08_Spells!AO$2,"")</f>
        <v/>
      </c>
      <c r="AP353" t="str">
        <f>IF(IFERROR(MATCH($B353,temp!L$4:L$13,0),0)&gt;0,T08_Spells!AP$2,"")</f>
        <v/>
      </c>
      <c r="AQ353" t="str">
        <f>IF(IFERROR(MATCH($B353,temp!M$4:M$13,0),0)&gt;0,T08_Spells!AQ$2,"")</f>
        <v/>
      </c>
      <c r="AR353" t="str">
        <f>IF(IFERROR(MATCH($B353,temp!N$4:N$13,0),0)&gt;0,T08_Spells!AR$2,"")</f>
        <v/>
      </c>
      <c r="AS353" t="str">
        <f>IF(IFERROR(MATCH($B353,temp!O$4:O$13,0),0)&gt;0,T08_Spells!AS$2,"")</f>
        <v/>
      </c>
      <c r="AT353" t="str">
        <f>IF(IFERROR(MATCH($B353,temp!P$4:P$13,0),0)&gt;0,T08_Spells!AT$2,"")</f>
        <v/>
      </c>
      <c r="AU353" t="str">
        <f>IF(IFERROR(MATCH($B353,temp!Q$4:Q$13,0),0)&gt;0,T08_Spells!AU$2,"")</f>
        <v/>
      </c>
      <c r="AV353" t="str">
        <f>IF(IFERROR(MATCH($B353,temp!R$4:R$13,0),0)&gt;0,T08_Spells!AV$2,"")</f>
        <v/>
      </c>
      <c r="AW353" t="str">
        <f>IF(IFERROR(MATCH($B353,temp!S$4:S$13,0),0)&gt;0,T08_Spells!AW$2,"")</f>
        <v/>
      </c>
      <c r="AX353" t="str">
        <f>IF(IFERROR(MATCH($B353,temp!T$4:T$13,0),0)&gt;0,T08_Spells!AX$2,"")</f>
        <v/>
      </c>
      <c r="AY353" t="str">
        <f>IF(IFERROR(MATCH($B353,temp!U$4:U$13,0),0)&gt;0,T08_Spells!AY$2,"")</f>
        <v/>
      </c>
      <c r="AZ353" t="str">
        <f>IF(IFERROR(MATCH($B353,temp!V$4:V$13,0),0)&gt;0,T08_Spells!AZ$2,"")</f>
        <v/>
      </c>
      <c r="BA353" t="str">
        <f>IF(IFERROR(MATCH($B353,temp!W$4:W$13,0),0)&gt;0,T08_Spells!BA$2,"")</f>
        <v/>
      </c>
      <c r="BC353">
        <f>IF(IFERROR(SEARCH("Ranger",$T353,1),0)&gt;0,1,0)*IF(RangerMaxSpellLevel&gt;=$C353,1,0)*IF(IFERROR(MATCH(B353,Character_Creation!$X$79:$X$382,0),0)&gt;0,0,1)</f>
        <v>0</v>
      </c>
      <c r="BD353">
        <f>IF(BC353=0,0,1+COUNTIF(BD$3:BD352,"&gt;0"))</f>
        <v>0</v>
      </c>
      <c r="BE353" t="str">
        <f t="shared" si="311"/>
        <v/>
      </c>
      <c r="BF353" t="str">
        <f t="shared" si="283"/>
        <v/>
      </c>
      <c r="BH353">
        <f>IF(IFERROR(SEARCH("Sorcerer",$T353,1),0)&gt;0,1,0)*IF(SorcererMaxSpellLevel&gt;=$C353,1,0)*IF(IFERROR(MATCH(B353,Character_Creation!$J$380:$J$394,0),0)&gt;0,0,1)</f>
        <v>0</v>
      </c>
      <c r="BI353">
        <f>IF(BH353=0,0,1+COUNTIF(BI$3:BI352,"&gt;0"))</f>
        <v>0</v>
      </c>
      <c r="BJ353" t="str">
        <f t="shared" si="312"/>
        <v/>
      </c>
      <c r="BK353" t="str">
        <f t="shared" si="284"/>
        <v/>
      </c>
      <c r="BM353">
        <f>IF(OR(IFERROR(SEARCH("Warlock",$T353,1),0)&gt;0,IFERROR(SEARCH(WarlockPatron,$T353,1),0)&gt;0),1,0)*IF(WarlockMaxSpellLevel&gt;=$C353,1,0)*IF(IFERROR(MATCH(B353,Character_Creation!$J$361:$J$375,0),0)&gt;0,0,1)</f>
        <v>0</v>
      </c>
      <c r="BN353">
        <f>IF(BM353=0,0,1+COUNTIF(BN$3:BN352,"&gt;0"))</f>
        <v>0</v>
      </c>
      <c r="BO353" t="str">
        <f t="shared" si="313"/>
        <v/>
      </c>
      <c r="BP353" t="str">
        <f t="shared" si="285"/>
        <v/>
      </c>
      <c r="BR353">
        <f>IF(IFERROR(SEARCH("Eldritch Knight",$T353,1),0)&gt;0,1,0)*IF(EldritchKnightMaxSpellLevel&gt;=$C353,1,0)*IF(IFERROR(MATCH($B353,Character_Creation!$J$350:$J$356,0),0)&gt;0,0,1)*IF(Character_Creation!$M$338&gt;0,1,0)</f>
        <v>0</v>
      </c>
      <c r="BS353">
        <f>IF(BR353=0,0,1+COUNTIF(BS$3:BS352,"&gt;0"))</f>
        <v>0</v>
      </c>
      <c r="BT353" t="str">
        <f t="shared" si="314"/>
        <v/>
      </c>
      <c r="BU353" t="str">
        <f t="shared" si="286"/>
        <v/>
      </c>
      <c r="BW353">
        <f>IF(IFERROR(SEARCH("Arcane Trickster",$T353,1),0)&gt;0,1,0)*IF(ArcaneTricksterMaxSpellLevel&gt;=$C353,1,0)*IF(IFERROR(MATCH($B353,Character_Creation!$J$350:$J$356,0),0)&gt;0,0,1)*IF(Character_Creation!$T$338&gt;0,1,0)</f>
        <v>0</v>
      </c>
      <c r="BX353">
        <f>IF(BW353=0,0,1+COUNTIF(BX$3:BX352,"&gt;0"))</f>
        <v>0</v>
      </c>
      <c r="BY353" t="str">
        <f t="shared" si="315"/>
        <v/>
      </c>
      <c r="BZ353" t="str">
        <f t="shared" si="287"/>
        <v/>
      </c>
      <c r="CB353">
        <f>IF(IFERROR(SEARCH("Wizard",$T353,1),0)&gt;0,1,0)*IF(C353&lt;=ArcaneTricksterMaxSpellLevel,1,0)*IF(IFERROR(MATCH($B353,Character_Creation!$J$350:$J$356,0),0)&gt;0,0,1)*IF(Character_Creation!$T$350&gt;0,1,0)</f>
        <v>0</v>
      </c>
      <c r="CC353">
        <f>IF(CB353=0,0,1+COUNTIF(CC$3:CC352,"&gt;0"))</f>
        <v>0</v>
      </c>
      <c r="CD353" t="str">
        <f t="shared" si="316"/>
        <v/>
      </c>
      <c r="CE353" t="str">
        <f t="shared" si="288"/>
        <v/>
      </c>
      <c r="CG353">
        <f>IF(IFERROR(SEARCH("Wizard",$T353,1),0)&gt;0,1,0)*IF($C353&lt;=EldritchKnightMaxSpellLevel,1,0)*IF(IFERROR(MATCH($B353,Character_Creation!$J$350:$J$356,0),0)&gt;0,0,1)*IF(Character_Creation!$M$350&gt;0,1,0)</f>
        <v>0</v>
      </c>
      <c r="CH353">
        <f>IF(CG353=0,0,1+COUNTIF(CH$3:CH352,"&gt;0"))</f>
        <v>0</v>
      </c>
      <c r="CI353" t="str">
        <f t="shared" si="317"/>
        <v/>
      </c>
      <c r="CJ353" t="str">
        <f t="shared" si="289"/>
        <v/>
      </c>
      <c r="CL353">
        <f>IF(IFERROR(SEARCH("Bard",$T353,1),0)&gt;0,1,0)*IF(BardMaxSpellLevel&gt;=$C353,1,0)*IF(IFERROR(MATCH(B353,Character_Creation!$C$341:$F$362,0),0)&gt;0,0,1)*IF(IFERROR(MATCH($B353,Character_Creation!$C$341:$C$362,0),0)&gt;0,0,1)</f>
        <v>0</v>
      </c>
      <c r="CM353">
        <f>IF(CL353=0,0,1+COUNTIF(CM$3:CM352,"&gt;0"))</f>
        <v>0</v>
      </c>
      <c r="CN353" t="str">
        <f t="shared" si="318"/>
        <v/>
      </c>
      <c r="CO353" t="str">
        <f t="shared" si="290"/>
        <v/>
      </c>
      <c r="CQ353">
        <f>IF(IFERROR(SEARCH("Wizard",$T353,1),0)&gt;0,1,0)*IF(WizardMaxSpellLevel&gt;=$C353,1,0)*IF(IFERROR(MATCH(B353,Character_Creation!$X$341:$X$400,0),0)&gt;0,0,1)*IF(SelectedWizardSpellLevel=$C353,1,0)</f>
        <v>0</v>
      </c>
      <c r="CR353">
        <f>IF(CQ353=0,0,1+COUNTIF(CR$3:CR352,"&gt;0"))</f>
        <v>0</v>
      </c>
      <c r="CS353" t="str">
        <f t="shared" si="319"/>
        <v/>
      </c>
      <c r="CT353" t="str">
        <f t="shared" si="291"/>
        <v/>
      </c>
      <c r="CV353">
        <f>IF(IFERROR(MATCH($B353,Character_Creation!$C$341:$C$362,0),0)&gt;0,0,1)*IF(OR(C353="Cantrip",C353&lt;=BardMaxSpellLevel),1,0)*IF(IFERROR(MATCH($B353,Character_Creation!$C$367:$C$374,0),0)&gt;0,0,1)</f>
        <v>0</v>
      </c>
      <c r="CW353">
        <f>IF(CV353=0,0,1+COUNTIF(CW$3:CW352,"&gt;0"))</f>
        <v>0</v>
      </c>
      <c r="CX353" t="str">
        <f t="shared" si="320"/>
        <v/>
      </c>
      <c r="CY353" t="str">
        <f t="shared" si="292"/>
        <v/>
      </c>
      <c r="DA353">
        <f>IF(IF(OR(IFERROR(SEARCH("Cleric",$T353,1),0)&gt;0,IFERROR(SEARCH(DivineDomain&amp;",",$T353,1),0)&gt;0),1,0)*IF($C353=DA$2,1,0)=1,1+COUNTIF(DA$3:DA352,"&gt;0"),0)</f>
        <v>0</v>
      </c>
      <c r="DB353">
        <f>IF(IF(OR(IFERROR(SEARCH("Cleric",$T353,1),0)&gt;0,IFERROR(SEARCH(DivineDomain&amp;",",$T353,1),0)&gt;0),1,0)*IF($C353=DB$2,1,0)=1,1+COUNTIF(DB$3:DB352,"&gt;0"),0)</f>
        <v>15</v>
      </c>
      <c r="DC353">
        <f>IF(IF(OR(IFERROR(SEARCH("Cleric",$T353,1),0)&gt;0,IFERROR(SEARCH(DivineDomain&amp;",",$T353,1),0)&gt;0),1,0)*IF($C353=DC$2,1,0)=1,1+COUNTIF(DC$3:DC352,"&gt;0"),0)</f>
        <v>0</v>
      </c>
      <c r="DD353">
        <f>IF(IF(OR(IFERROR(SEARCH("Cleric",$T353,1),0)&gt;0,IFERROR(SEARCH(DivineDomain&amp;",",$T353,1),0)&gt;0),1,0)*IF($C353=DD$2,1,0)=1,1+COUNTIF(DD$3:DD352,"&gt;0"),0)</f>
        <v>0</v>
      </c>
      <c r="DE353">
        <f>IF(IF(OR(IFERROR(SEARCH("Cleric",$T353,1),0)&gt;0,IFERROR(SEARCH(DivineDomain&amp;",",$T353,1),0)&gt;0),1,0)*IF($C353=DE$2,1,0)=1,1+COUNTIF(DE$3:DE352,"&gt;0"),0)</f>
        <v>0</v>
      </c>
      <c r="DF353">
        <f>IF(IF(OR(IFERROR(SEARCH("Cleric",$T353,1),0)&gt;0,IFERROR(SEARCH(DivineDomain&amp;",",$T353,1),0)&gt;0),1,0)*IF($C353=DF$2,1,0)=1,1+COUNTIF(DF$3:DF352,"&gt;0"),0)</f>
        <v>0</v>
      </c>
      <c r="DG353">
        <f>IF(IF(OR(IFERROR(SEARCH("Cleric",$T353,1),0)&gt;0,IFERROR(SEARCH(DivineDomain&amp;",",$T353,1),0)&gt;0),1,0)*IF($C353=DG$2,1,0)=1,1+COUNTIF(DG$3:DG352,"&gt;0"),0)</f>
        <v>0</v>
      </c>
      <c r="DH353">
        <f>IF(IF(OR(IFERROR(SEARCH("Cleric",$T353,1),0)&gt;0,IFERROR(SEARCH(DivineDomain&amp;",",$T353,1),0)&gt;0),1,0)*IF($C353=DH$2,1,0)=1,1+COUNTIF(DH$3:DH352,"&gt;0"),0)</f>
        <v>0</v>
      </c>
      <c r="DI353">
        <f>IF(IF(OR(IFERROR(SEARCH("Cleric",$T353,1),0)&gt;0,IFERROR(SEARCH(DivineDomain&amp;",",$T353,1),0)&gt;0),1,0)*IF($C353=DI$2,1,0)=1,1+COUNTIF(DI$3:DI352,"&gt;0"),0)</f>
        <v>0</v>
      </c>
      <c r="DJ353">
        <f>IF(IF(OR(IFERROR(SEARCH("Druid",$T353,1),0)&gt;0,IFERROR(SEARCH(DruidLand1,$T353,1),0)&gt;0,IFERROR(SEARCH(DruidLand2,$T353,1),0)&gt;0,IFERROR(SEARCH(DruidLand3,$T353,1),0)&gt;0,IFERROR(SEARCH(DruidLand4,$T353,1),0)&gt;0),1,0)*IF($C353=1,1,0)*IF($C353=DJ$2,1,0)=0,0,1+COUNTIF(DJ$3:DJ352,"&gt;0"))</f>
        <v>0</v>
      </c>
      <c r="DK353">
        <f>IF(IF(OR(IFERROR(SEARCH("Druid",$T353,1),0)&gt;0,IFERROR(SEARCH(DruidLand1,$T353,1),0)&gt;0,IFERROR(SEARCH(DruidLand2,$T353,1),0)&gt;0,IFERROR(SEARCH(DruidLand3,$T353,1),0)&gt;0,IFERROR(SEARCH(DruidLand4,$T353,1),0)&gt;0),1,0)*IF($C353=1,1,0)*IF($C353=DK$2,1,0)=0,0,1+COUNTIF(DK$3:DK352,"&gt;0"))</f>
        <v>0</v>
      </c>
      <c r="DL353">
        <f>IF(IF(OR(IFERROR(SEARCH("Druid",$T353,1),0)&gt;0,IFERROR(SEARCH(DruidLand1,$T353,1),0)&gt;0,IFERROR(SEARCH(DruidLand2,$T353,1),0)&gt;0,IFERROR(SEARCH(DruidLand3,$T353,1),0)&gt;0,IFERROR(SEARCH(DruidLand4,$T353,1),0)&gt;0),1,0)*IF($C353=1,1,0)*IF($C353=DL$2,1,0)=0,0,1+COUNTIF(DL$3:DL352,"&gt;0"))</f>
        <v>0</v>
      </c>
      <c r="DM353">
        <f>IF(IF(OR(IFERROR(SEARCH("Druid",$T353,1),0)&gt;0,IFERROR(SEARCH(DruidLand1,$T353,1),0)&gt;0,IFERROR(SEARCH(DruidLand2,$T353,1),0)&gt;0,IFERROR(SEARCH(DruidLand3,$T353,1),0)&gt;0,IFERROR(SEARCH(DruidLand4,$T353,1),0)&gt;0),1,0)*IF($C353=1,1,0)*IF($C353=DM$2,1,0)=0,0,1+COUNTIF(DM$3:DM352,"&gt;0"))</f>
        <v>0</v>
      </c>
      <c r="DN353">
        <f>IF(IF(OR(IFERROR(SEARCH("Druid",$T353,1),0)&gt;0,IFERROR(SEARCH(DruidLand1,$T353,1),0)&gt;0,IFERROR(SEARCH(DruidLand2,$T353,1),0)&gt;0,IFERROR(SEARCH(DruidLand3,$T353,1),0)&gt;0,IFERROR(SEARCH(DruidLand4,$T353,1),0)&gt;0),1,0)*IF($C353=1,1,0)*IF($C353=DN$2,1,0)=0,0,1+COUNTIF(DN$3:DN352,"&gt;0"))</f>
        <v>0</v>
      </c>
      <c r="DO353">
        <f>IF(IF(OR(IFERROR(SEARCH("Druid",$T353,1),0)&gt;0,IFERROR(SEARCH(DruidLand1,$T353,1),0)&gt;0,IFERROR(SEARCH(DruidLand2,$T353,1),0)&gt;0,IFERROR(SEARCH(DruidLand3,$T353,1),0)&gt;0,IFERROR(SEARCH(DruidLand4,$T353,1),0)&gt;0),1,0)*IF($C353=1,1,0)*IF($C353=DO$2,1,0)=0,0,1+COUNTIF(DO$3:DO352,"&gt;0"))</f>
        <v>0</v>
      </c>
      <c r="DP353">
        <f>IF(IF(OR(IFERROR(SEARCH("Druid",$T353,1),0)&gt;0,IFERROR(SEARCH(DruidLand1,$T353,1),0)&gt;0,IFERROR(SEARCH(DruidLand2,$T353,1),0)&gt;0,IFERROR(SEARCH(DruidLand3,$T353,1),0)&gt;0,IFERROR(SEARCH(DruidLand4,$T353,1),0)&gt;0),1,0)*IF($C353=1,1,0)*IF($C353=DP$2,1,0)=0,0,1+COUNTIF(DP$3:DP352,"&gt;0"))</f>
        <v>0</v>
      </c>
      <c r="DQ353">
        <f>IF(IF(OR(IFERROR(SEARCH("Druid",$T353,1),0)&gt;0,IFERROR(SEARCH(DruidLand1,$T353,1),0)&gt;0,IFERROR(SEARCH(DruidLand2,$T353,1),0)&gt;0,IFERROR(SEARCH(DruidLand3,$T353,1),0)&gt;0,IFERROR(SEARCH(DruidLand4,$T353,1),0)&gt;0),1,0)*IF($C353=1,1,0)*IF($C353=DQ$2,1,0)=0,0,1+COUNTIF(DQ$3:DQ352,"&gt;0"))</f>
        <v>0</v>
      </c>
      <c r="DR353">
        <f>IF(IF(OR(IFERROR(SEARCH("Druid",$T353,1),0)&gt;0,IFERROR(SEARCH(DruidLand1,$T353,1),0)&gt;0,IFERROR(SEARCH(DruidLand2,$T353,1),0)&gt;0,IFERROR(SEARCH(DruidLand3,$T353,1),0)&gt;0,IFERROR(SEARCH(DruidLand4,$T353,1),0)&gt;0),1,0)*IF($C353=1,1,0)*IF($C353=DR$2,1,0)=0,0,1+COUNTIF(DR$3:DR352,"&gt;0"))</f>
        <v>0</v>
      </c>
      <c r="DS353">
        <f>IF(IF(OR(IFERROR(SEARCH("Paladin",$T353,1),0)&gt;0,IFERROR(SEARCH(PaladinOath,$T353,1),0)&gt;0),1,0)*IF($C353=DS$2,1,0)=1,1+COUNTIF(DS$3:DS352,"&gt;0"),0)</f>
        <v>0</v>
      </c>
      <c r="DT353">
        <f>IF(IF(OR(IFERROR(SEARCH("Paladin",$T353,1),0)&gt;0,IFERROR(SEARCH(PaladinOath,$T353,1),0)&gt;0),1,0)*IF($C353=DT$2,1,0)=1,1+COUNTIF(DT$3:DT352,"&gt;0"),0)</f>
        <v>0</v>
      </c>
      <c r="DU353">
        <f>IF(IF(OR(IFERROR(SEARCH("Paladin",$T353,1),0)&gt;0,IFERROR(SEARCH(PaladinOath,$T353,1),0)&gt;0),1,0)*IF($C353=DU$2,1,0)=1,1+COUNTIF(DU$3:DU352,"&gt;0"),0)</f>
        <v>0</v>
      </c>
      <c r="DV353">
        <f>IF(IF(OR(IFERROR(SEARCH("Paladin",$T353,1),0)&gt;0,IFERROR(SEARCH(PaladinOath,$T353,1),0)&gt;0),1,0)*IF($C353=DV$2,1,0)=1,1+COUNTIF(DV$3:DV352,"&gt;0"),0)</f>
        <v>0</v>
      </c>
      <c r="DW353">
        <f>IF(IF(OR(IFERROR(SEARCH("Paladin",$T353,1),0)&gt;0,IFERROR(SEARCH(PaladinOath,$T353,1),0)&gt;0),1,0)*IF($C353=DW$2,1,0)=1,1+COUNTIF(DW$3:DW352,"&gt;0"),0)</f>
        <v>0</v>
      </c>
      <c r="DY353">
        <f t="shared" si="278"/>
        <v>1</v>
      </c>
      <c r="DZ353">
        <f>IF(DY353=0,0,1+MAX(DZ$3:$DZ352))</f>
        <v>351</v>
      </c>
      <c r="EB353">
        <f t="shared" si="293"/>
        <v>0</v>
      </c>
      <c r="EC353">
        <f>IF(EB353=0,0,1+COUNTIF(EC$3:EC352,"&gt;0"))</f>
        <v>0</v>
      </c>
      <c r="ED353" t="str">
        <f t="shared" si="321"/>
        <v/>
      </c>
      <c r="EE353" t="str">
        <f t="shared" si="294"/>
        <v/>
      </c>
      <c r="EG353">
        <f t="shared" si="295"/>
        <v>0</v>
      </c>
      <c r="EH353">
        <f>IF(EG353=0,0,1+COUNTIF(EH$3:EH352,"&gt;0"))</f>
        <v>0</v>
      </c>
      <c r="EI353" t="str">
        <f t="shared" si="322"/>
        <v/>
      </c>
      <c r="EJ353" t="str">
        <f t="shared" si="296"/>
        <v/>
      </c>
      <c r="EL353">
        <f t="shared" si="297"/>
        <v>0</v>
      </c>
      <c r="EM353">
        <f>IF(EL353=0,0,1+COUNTIF(EM$3:EM352,"&gt;0"))</f>
        <v>0</v>
      </c>
      <c r="EN353" t="str">
        <f t="shared" si="323"/>
        <v/>
      </c>
      <c r="EO353" t="str">
        <f t="shared" si="298"/>
        <v/>
      </c>
      <c r="EQ353">
        <f t="shared" si="299"/>
        <v>0</v>
      </c>
      <c r="ER353">
        <f>IF(EQ353=0,0,1+COUNTIF(ER$3:ER352,"&gt;0"))</f>
        <v>0</v>
      </c>
      <c r="ES353" t="str">
        <f t="shared" si="324"/>
        <v/>
      </c>
      <c r="ET353" t="str">
        <f t="shared" si="300"/>
        <v/>
      </c>
      <c r="EV353">
        <f t="shared" si="301"/>
        <v>0</v>
      </c>
      <c r="EW353">
        <f>IF(EV353=0,0,1+COUNTIF(EW$3:EW352,"&gt;0"))</f>
        <v>0</v>
      </c>
      <c r="EX353" t="str">
        <f t="shared" si="325"/>
        <v/>
      </c>
      <c r="EY353" t="str">
        <f t="shared" si="302"/>
        <v/>
      </c>
      <c r="FA353">
        <f t="shared" si="303"/>
        <v>0</v>
      </c>
      <c r="FB353">
        <f>IF(FA353=0,0,1+COUNTIF(FB$3:FB352,"&gt;0"))</f>
        <v>0</v>
      </c>
      <c r="FC353" t="str">
        <f t="shared" si="326"/>
        <v/>
      </c>
      <c r="FD353" t="str">
        <f t="shared" si="304"/>
        <v/>
      </c>
      <c r="FF353">
        <f t="shared" si="305"/>
        <v>0</v>
      </c>
      <c r="FG353">
        <f>IF(FF353=0,0,1+COUNTIF(FG$3:FG352,"&gt;0"))</f>
        <v>0</v>
      </c>
      <c r="FH353" t="str">
        <f t="shared" si="327"/>
        <v/>
      </c>
      <c r="FI353" t="str">
        <f t="shared" si="306"/>
        <v/>
      </c>
      <c r="FK353">
        <f t="shared" si="307"/>
        <v>0</v>
      </c>
      <c r="FL353">
        <f>IF(FK353=0,0,1+COUNTIF(FL$3:FL352,"&gt;0"))</f>
        <v>0</v>
      </c>
      <c r="FM353" t="str">
        <f t="shared" si="328"/>
        <v/>
      </c>
      <c r="FN353" t="str">
        <f t="shared" si="308"/>
        <v/>
      </c>
      <c r="FP353">
        <f t="shared" si="309"/>
        <v>0</v>
      </c>
      <c r="FQ353">
        <f>IF(FP353=0,0,1+COUNTIF(FQ$3:FQ352,"&gt;0"))</f>
        <v>0</v>
      </c>
      <c r="FR353" t="str">
        <f t="shared" si="329"/>
        <v/>
      </c>
      <c r="FS353" t="str">
        <f t="shared" si="310"/>
        <v/>
      </c>
    </row>
    <row r="354" spans="1:175" x14ac:dyDescent="0.25">
      <c r="A354" s="347">
        <f t="shared" si="331"/>
        <v>352</v>
      </c>
      <c r="B354" s="348" t="s">
        <v>2755</v>
      </c>
      <c r="C354" s="348">
        <v>3</v>
      </c>
      <c r="D354" s="347">
        <v>3</v>
      </c>
      <c r="E354" s="627" t="s">
        <v>6952</v>
      </c>
      <c r="F354" s="346"/>
      <c r="G354" s="347" t="s">
        <v>5269</v>
      </c>
      <c r="H354" s="347" t="s">
        <v>5913</v>
      </c>
      <c r="I354" s="347" t="s">
        <v>5060</v>
      </c>
      <c r="J354" s="347" t="str">
        <f t="shared" si="279"/>
        <v/>
      </c>
      <c r="K354" s="347" t="s">
        <v>5285</v>
      </c>
      <c r="L354" s="611" t="str">
        <f t="shared" si="280"/>
        <v>V, S, M, a short reed or piece of straw</v>
      </c>
      <c r="M354" s="347" t="s">
        <v>2373</v>
      </c>
      <c r="N354" s="347" t="s">
        <v>2387</v>
      </c>
      <c r="O354" s="347" t="s">
        <v>1244</v>
      </c>
      <c r="P354" s="346" t="s">
        <v>5515</v>
      </c>
      <c r="Q354" s="347" t="s">
        <v>5276</v>
      </c>
      <c r="S354" s="346" t="s">
        <v>2756</v>
      </c>
      <c r="T354" s="346" t="str">
        <f t="shared" si="281"/>
        <v xml:space="preserve">Ranger, Sorcerer, Druid, Wizard, Coast, </v>
      </c>
      <c r="W354" s="347" t="str">
        <f t="shared" ref="W354:X356" si="332">$B354</f>
        <v>Water Breathing</v>
      </c>
      <c r="X354" s="347" t="str">
        <f t="shared" si="332"/>
        <v>Water Breathing</v>
      </c>
      <c r="AA354" s="347" t="str">
        <f>$B354</f>
        <v>Water Breathing</v>
      </c>
      <c r="AD354" s="347" t="str">
        <f>$B354</f>
        <v>Water Breathing</v>
      </c>
      <c r="AE354" t="str">
        <f>IF(IFERROR(MATCH($B354,temp!A$4:A$13,0),0)&gt;0,T08_Spells!AE$2,"")</f>
        <v/>
      </c>
      <c r="AF354" t="str">
        <f>IF(IFERROR(MATCH($B354,temp!B$4:B$13,0),0)&gt;0,T08_Spells!AF$2,"")</f>
        <v/>
      </c>
      <c r="AG354" t="str">
        <f>IF(IFERROR(MATCH($B354,temp!C$4:C$13,0),0)&gt;0,T08_Spells!AG$2,"")</f>
        <v/>
      </c>
      <c r="AH354" t="str">
        <f>IF(IFERROR(MATCH($B354,temp!D$4:D$13,0),0)&gt;0,T08_Spells!AH$2,"")</f>
        <v/>
      </c>
      <c r="AI354" t="str">
        <f>IF(IFERROR(MATCH($B354,temp!E$4:E$13,0),0)&gt;0,T08_Spells!AI$2,"")</f>
        <v/>
      </c>
      <c r="AJ354" t="str">
        <f>IF(IFERROR(MATCH($B354,temp!F$4:F$13,0),0)&gt;0,T08_Spells!AJ$2,"")</f>
        <v/>
      </c>
      <c r="AK354" t="str">
        <f>IF(IFERROR(MATCH($B354,temp!G$4:G$13,0),0)&gt;0,T08_Spells!AK$2,"")</f>
        <v/>
      </c>
      <c r="AL354" t="str">
        <f>IF(IFERROR(MATCH($B354,temp!H$4:H$13,0),0)&gt;0,T08_Spells!AL$2,"")</f>
        <v/>
      </c>
      <c r="AM354" t="str">
        <f>IF(IFERROR(MATCH($B354,temp!I$4:I$13,0),0)&gt;0,T08_Spells!AM$2,"")</f>
        <v>Coast</v>
      </c>
      <c r="AN354" t="str">
        <f>IF(IFERROR(MATCH($B354,temp!J$4:J$13,0),0)&gt;0,T08_Spells!AN$2,"")</f>
        <v/>
      </c>
      <c r="AO354" t="str">
        <f>IF(IFERROR(MATCH($B354,temp!K$4:K$13,0),0)&gt;0,T08_Spells!AO$2,"")</f>
        <v/>
      </c>
      <c r="AP354" t="str">
        <f>IF(IFERROR(MATCH($B354,temp!L$4:L$13,0),0)&gt;0,T08_Spells!AP$2,"")</f>
        <v/>
      </c>
      <c r="AQ354" t="str">
        <f>IF(IFERROR(MATCH($B354,temp!M$4:M$13,0),0)&gt;0,T08_Spells!AQ$2,"")</f>
        <v/>
      </c>
      <c r="AR354" t="str">
        <f>IF(IFERROR(MATCH($B354,temp!N$4:N$13,0),0)&gt;0,T08_Spells!AR$2,"")</f>
        <v/>
      </c>
      <c r="AS354" t="str">
        <f>IF(IFERROR(MATCH($B354,temp!O$4:O$13,0),0)&gt;0,T08_Spells!AS$2,"")</f>
        <v/>
      </c>
      <c r="AT354" t="str">
        <f>IF(IFERROR(MATCH($B354,temp!P$4:P$13,0),0)&gt;0,T08_Spells!AT$2,"")</f>
        <v/>
      </c>
      <c r="AU354" t="str">
        <f>IF(IFERROR(MATCH($B354,temp!Q$4:Q$13,0),0)&gt;0,T08_Spells!AU$2,"")</f>
        <v/>
      </c>
      <c r="AV354" t="str">
        <f>IF(IFERROR(MATCH($B354,temp!R$4:R$13,0),0)&gt;0,T08_Spells!AV$2,"")</f>
        <v/>
      </c>
      <c r="AW354" t="str">
        <f>IF(IFERROR(MATCH($B354,temp!S$4:S$13,0),0)&gt;0,T08_Spells!AW$2,"")</f>
        <v/>
      </c>
      <c r="AX354" t="str">
        <f>IF(IFERROR(MATCH($B354,temp!T$4:T$13,0),0)&gt;0,T08_Spells!AX$2,"")</f>
        <v/>
      </c>
      <c r="AY354" t="str">
        <f>IF(IFERROR(MATCH($B354,temp!U$4:U$13,0),0)&gt;0,T08_Spells!AY$2,"")</f>
        <v/>
      </c>
      <c r="AZ354" t="str">
        <f>IF(IFERROR(MATCH($B354,temp!V$4:V$13,0),0)&gt;0,T08_Spells!AZ$2,"")</f>
        <v/>
      </c>
      <c r="BA354" t="str">
        <f>IF(IFERROR(MATCH($B354,temp!W$4:W$13,0),0)&gt;0,T08_Spells!BA$2,"")</f>
        <v/>
      </c>
      <c r="BC354">
        <f>IF(IFERROR(SEARCH("Ranger",$T354,1),0)&gt;0,1,0)*IF(RangerMaxSpellLevel&gt;=$C354,1,0)*IF(IFERROR(MATCH(B354,Character_Creation!$X$79:$X$382,0),0)&gt;0,0,1)</f>
        <v>0</v>
      </c>
      <c r="BD354">
        <f>IF(BC354=0,0,1+COUNTIF(BD$3:BD353,"&gt;0"))</f>
        <v>0</v>
      </c>
      <c r="BE354" t="str">
        <f t="shared" si="311"/>
        <v/>
      </c>
      <c r="BF354" t="str">
        <f t="shared" si="283"/>
        <v/>
      </c>
      <c r="BH354">
        <f>IF(IFERROR(SEARCH("Sorcerer",$T354,1),0)&gt;0,1,0)*IF(SorcererMaxSpellLevel&gt;=$C354,1,0)*IF(IFERROR(MATCH(B354,Character_Creation!$J$380:$J$394,0),0)&gt;0,0,1)</f>
        <v>0</v>
      </c>
      <c r="BI354">
        <f>IF(BH354=0,0,1+COUNTIF(BI$3:BI353,"&gt;0"))</f>
        <v>0</v>
      </c>
      <c r="BJ354" t="str">
        <f t="shared" si="312"/>
        <v/>
      </c>
      <c r="BK354" t="str">
        <f t="shared" si="284"/>
        <v/>
      </c>
      <c r="BM354">
        <f>IF(OR(IFERROR(SEARCH("Warlock",$T354,1),0)&gt;0,IFERROR(SEARCH(WarlockPatron,$T354,1),0)&gt;0),1,0)*IF(WarlockMaxSpellLevel&gt;=$C354,1,0)*IF(IFERROR(MATCH(B354,Character_Creation!$J$361:$J$375,0),0)&gt;0,0,1)</f>
        <v>0</v>
      </c>
      <c r="BN354">
        <f>IF(BM354=0,0,1+COUNTIF(BN$3:BN353,"&gt;0"))</f>
        <v>0</v>
      </c>
      <c r="BO354" t="str">
        <f t="shared" si="313"/>
        <v/>
      </c>
      <c r="BP354" t="str">
        <f t="shared" si="285"/>
        <v/>
      </c>
      <c r="BR354">
        <f>IF(IFERROR(SEARCH("Eldritch Knight",$T354,1),0)&gt;0,1,0)*IF(EldritchKnightMaxSpellLevel&gt;=$C354,1,0)*IF(IFERROR(MATCH($B354,Character_Creation!$J$350:$J$356,0),0)&gt;0,0,1)*IF(Character_Creation!$M$338&gt;0,1,0)</f>
        <v>0</v>
      </c>
      <c r="BS354">
        <f>IF(BR354=0,0,1+COUNTIF(BS$3:BS353,"&gt;0"))</f>
        <v>0</v>
      </c>
      <c r="BT354" t="str">
        <f t="shared" si="314"/>
        <v/>
      </c>
      <c r="BU354" t="str">
        <f t="shared" si="286"/>
        <v/>
      </c>
      <c r="BW354">
        <f>IF(IFERROR(SEARCH("Arcane Trickster",$T354,1),0)&gt;0,1,0)*IF(ArcaneTricksterMaxSpellLevel&gt;=$C354,1,0)*IF(IFERROR(MATCH($B354,Character_Creation!$J$350:$J$356,0),0)&gt;0,0,1)*IF(Character_Creation!$T$338&gt;0,1,0)</f>
        <v>0</v>
      </c>
      <c r="BX354">
        <f>IF(BW354=0,0,1+COUNTIF(BX$3:BX353,"&gt;0"))</f>
        <v>0</v>
      </c>
      <c r="BY354" t="str">
        <f t="shared" si="315"/>
        <v/>
      </c>
      <c r="BZ354" t="str">
        <f t="shared" si="287"/>
        <v/>
      </c>
      <c r="CB354">
        <f>IF(IFERROR(SEARCH("Wizard",$T354,1),0)&gt;0,1,0)*IF(C354&lt;=ArcaneTricksterMaxSpellLevel,1,0)*IF(IFERROR(MATCH($B354,Character_Creation!$J$350:$J$356,0),0)&gt;0,0,1)*IF(Character_Creation!$T$350&gt;0,1,0)</f>
        <v>0</v>
      </c>
      <c r="CC354">
        <f>IF(CB354=0,0,1+COUNTIF(CC$3:CC353,"&gt;0"))</f>
        <v>0</v>
      </c>
      <c r="CD354" t="str">
        <f t="shared" si="316"/>
        <v/>
      </c>
      <c r="CE354" t="str">
        <f t="shared" si="288"/>
        <v/>
      </c>
      <c r="CG354">
        <f>IF(IFERROR(SEARCH("Wizard",$T354,1),0)&gt;0,1,0)*IF($C354&lt;=EldritchKnightMaxSpellLevel,1,0)*IF(IFERROR(MATCH($B354,Character_Creation!$J$350:$J$356,0),0)&gt;0,0,1)*IF(Character_Creation!$M$350&gt;0,1,0)</f>
        <v>0</v>
      </c>
      <c r="CH354">
        <f>IF(CG354=0,0,1+COUNTIF(CH$3:CH353,"&gt;0"))</f>
        <v>0</v>
      </c>
      <c r="CI354" t="str">
        <f t="shared" si="317"/>
        <v/>
      </c>
      <c r="CJ354" t="str">
        <f t="shared" si="289"/>
        <v/>
      </c>
      <c r="CL354">
        <f>IF(IFERROR(SEARCH("Bard",$T354,1),0)&gt;0,1,0)*IF(BardMaxSpellLevel&gt;=$C354,1,0)*IF(IFERROR(MATCH(B354,Character_Creation!$C$341:$F$362,0),0)&gt;0,0,1)*IF(IFERROR(MATCH($B354,Character_Creation!$C$341:$C$362,0),0)&gt;0,0,1)</f>
        <v>0</v>
      </c>
      <c r="CM354">
        <f>IF(CL354=0,0,1+COUNTIF(CM$3:CM353,"&gt;0"))</f>
        <v>0</v>
      </c>
      <c r="CN354" t="str">
        <f t="shared" si="318"/>
        <v/>
      </c>
      <c r="CO354" t="str">
        <f t="shared" si="290"/>
        <v/>
      </c>
      <c r="CQ354">
        <f>IF(IFERROR(SEARCH("Wizard",$T354,1),0)&gt;0,1,0)*IF(WizardMaxSpellLevel&gt;=$C354,1,0)*IF(IFERROR(MATCH(B354,Character_Creation!$X$341:$X$400,0),0)&gt;0,0,1)*IF(SelectedWizardSpellLevel=$C354,1,0)</f>
        <v>1</v>
      </c>
      <c r="CR354">
        <f>IF(CQ354=0,0,1+COUNTIF(CR$3:CR353,"&gt;0"))</f>
        <v>27</v>
      </c>
      <c r="CS354" t="str">
        <f t="shared" si="319"/>
        <v/>
      </c>
      <c r="CT354" t="str">
        <f t="shared" si="291"/>
        <v/>
      </c>
      <c r="CV354">
        <f>IF(IFERROR(MATCH($B354,Character_Creation!$C$341:$C$362,0),0)&gt;0,0,1)*IF(OR(C354="Cantrip",C354&lt;=BardMaxSpellLevel),1,0)*IF(IFERROR(MATCH($B354,Character_Creation!$C$367:$C$374,0),0)&gt;0,0,1)</f>
        <v>0</v>
      </c>
      <c r="CW354">
        <f>IF(CV354=0,0,1+COUNTIF(CW$3:CW353,"&gt;0"))</f>
        <v>0</v>
      </c>
      <c r="CX354" t="str">
        <f t="shared" si="320"/>
        <v/>
      </c>
      <c r="CY354" t="str">
        <f t="shared" si="292"/>
        <v/>
      </c>
      <c r="DA354">
        <f>IF(IF(OR(IFERROR(SEARCH("Cleric",$T354,1),0)&gt;0,IFERROR(SEARCH(DivineDomain&amp;",",$T354,1),0)&gt;0),1,0)*IF($C354=DA$2,1,0)=1,1+COUNTIF(DA$3:DA353,"&gt;0"),0)</f>
        <v>0</v>
      </c>
      <c r="DB354">
        <f>IF(IF(OR(IFERROR(SEARCH("Cleric",$T354,1),0)&gt;0,IFERROR(SEARCH(DivineDomain&amp;",",$T354,1),0)&gt;0),1,0)*IF($C354=DB$2,1,0)=1,1+COUNTIF(DB$3:DB353,"&gt;0"),0)</f>
        <v>0</v>
      </c>
      <c r="DC354">
        <f>IF(IF(OR(IFERROR(SEARCH("Cleric",$T354,1),0)&gt;0,IFERROR(SEARCH(DivineDomain&amp;",",$T354,1),0)&gt;0),1,0)*IF($C354=DC$2,1,0)=1,1+COUNTIF(DC$3:DC353,"&gt;0"),0)</f>
        <v>0</v>
      </c>
      <c r="DD354">
        <f>IF(IF(OR(IFERROR(SEARCH("Cleric",$T354,1),0)&gt;0,IFERROR(SEARCH(DivineDomain&amp;",",$T354,1),0)&gt;0),1,0)*IF($C354=DD$2,1,0)=1,1+COUNTIF(DD$3:DD353,"&gt;0"),0)</f>
        <v>0</v>
      </c>
      <c r="DE354">
        <f>IF(IF(OR(IFERROR(SEARCH("Cleric",$T354,1),0)&gt;0,IFERROR(SEARCH(DivineDomain&amp;",",$T354,1),0)&gt;0),1,0)*IF($C354=DE$2,1,0)=1,1+COUNTIF(DE$3:DE353,"&gt;0"),0)</f>
        <v>0</v>
      </c>
      <c r="DF354">
        <f>IF(IF(OR(IFERROR(SEARCH("Cleric",$T354,1),0)&gt;0,IFERROR(SEARCH(DivineDomain&amp;",",$T354,1),0)&gt;0),1,0)*IF($C354=DF$2,1,0)=1,1+COUNTIF(DF$3:DF353,"&gt;0"),0)</f>
        <v>0</v>
      </c>
      <c r="DG354">
        <f>IF(IF(OR(IFERROR(SEARCH("Cleric",$T354,1),0)&gt;0,IFERROR(SEARCH(DivineDomain&amp;",",$T354,1),0)&gt;0),1,0)*IF($C354=DG$2,1,0)=1,1+COUNTIF(DG$3:DG353,"&gt;0"),0)</f>
        <v>0</v>
      </c>
      <c r="DH354">
        <f>IF(IF(OR(IFERROR(SEARCH("Cleric",$T354,1),0)&gt;0,IFERROR(SEARCH(DivineDomain&amp;",",$T354,1),0)&gt;0),1,0)*IF($C354=DH$2,1,0)=1,1+COUNTIF(DH$3:DH353,"&gt;0"),0)</f>
        <v>0</v>
      </c>
      <c r="DI354">
        <f>IF(IF(OR(IFERROR(SEARCH("Cleric",$T354,1),0)&gt;0,IFERROR(SEARCH(DivineDomain&amp;",",$T354,1),0)&gt;0),1,0)*IF($C354=DI$2,1,0)=1,1+COUNTIF(DI$3:DI353,"&gt;0"),0)</f>
        <v>0</v>
      </c>
      <c r="DJ354">
        <f>IF(IF(OR(IFERROR(SEARCH("Druid",$T354,1),0)&gt;0,IFERROR(SEARCH(DruidLand1,$T354,1),0)&gt;0,IFERROR(SEARCH(DruidLand2,$T354,1),0)&gt;0,IFERROR(SEARCH(DruidLand3,$T354,1),0)&gt;0,IFERROR(SEARCH(DruidLand4,$T354,1),0)&gt;0),1,0)*IF($C354=1,1,0)*IF($C354=DJ$2,1,0)=0,0,1+COUNTIF(DJ$3:DJ353,"&gt;0"))</f>
        <v>0</v>
      </c>
      <c r="DK354">
        <f>IF(IF(OR(IFERROR(SEARCH("Druid",$T354,1),0)&gt;0,IFERROR(SEARCH(DruidLand1,$T354,1),0)&gt;0,IFERROR(SEARCH(DruidLand2,$T354,1),0)&gt;0,IFERROR(SEARCH(DruidLand3,$T354,1),0)&gt;0,IFERROR(SEARCH(DruidLand4,$T354,1),0)&gt;0),1,0)*IF($C354=DK$2,1,0)=0,0,1+COUNTIF(DK$3:DK353,"&gt;0"))</f>
        <v>0</v>
      </c>
      <c r="DL354">
        <f>IF(IF(OR(IFERROR(SEARCH("Druid",$T354,1),0)&gt;0,IFERROR(SEARCH(DruidLand1,$T354,1),0)&gt;0,IFERROR(SEARCH(DruidLand2,$T354,1),0)&gt;0,IFERROR(SEARCH(DruidLand3,$T354,1),0)&gt;0,IFERROR(SEARCH(DruidLand4,$T354,1),0)&gt;0),1,0)*IF($C354=DL$2,1,0)=0,0,1+COUNTIF(DL$3:DL353,"&gt;0"))</f>
        <v>11</v>
      </c>
      <c r="DM354">
        <f>IF(IF(OR(IFERROR(SEARCH("Druid",$T354,1),0)&gt;0,IFERROR(SEARCH(DruidLand1,$T354,1),0)&gt;0,IFERROR(SEARCH(DruidLand2,$T354,1),0)&gt;0,IFERROR(SEARCH(DruidLand3,$T354,1),0)&gt;0,IFERROR(SEARCH(DruidLand4,$T354,1),0)&gt;0),1,0)*IF($C354=DM$2,1,0)=0,0,1+COUNTIF(DM$3:DM353,"&gt;0"))</f>
        <v>0</v>
      </c>
      <c r="DN354">
        <f>IF(IF(OR(IFERROR(SEARCH("Druid",$T354,1),0)&gt;0,IFERROR(SEARCH(DruidLand1,$T354,1),0)&gt;0,IFERROR(SEARCH(DruidLand2,$T354,1),0)&gt;0,IFERROR(SEARCH(DruidLand3,$T354,1),0)&gt;0,IFERROR(SEARCH(DruidLand4,$T354,1),0)&gt;0),1,0)*IF($C354=DN$2,1,0)=0,0,1+COUNTIF(DN$3:DN353,"&gt;0"))</f>
        <v>0</v>
      </c>
      <c r="DO354">
        <f>IF(IF(OR(IFERROR(SEARCH("Druid",$T354,1),0)&gt;0,IFERROR(SEARCH(DruidLand1,$T354,1),0)&gt;0,IFERROR(SEARCH(DruidLand2,$T354,1),0)&gt;0,IFERROR(SEARCH(DruidLand3,$T354,1),0)&gt;0,IFERROR(SEARCH(DruidLand4,$T354,1),0)&gt;0),1,0)*IF($C354=DO$2,1,0)=0,0,1+COUNTIF(DO$3:DO353,"&gt;0"))</f>
        <v>0</v>
      </c>
      <c r="DP354">
        <f>IF(IF(OR(IFERROR(SEARCH("Druid",$T354,1),0)&gt;0,IFERROR(SEARCH(DruidLand1,$T354,1),0)&gt;0,IFERROR(SEARCH(DruidLand2,$T354,1),0)&gt;0,IFERROR(SEARCH(DruidLand3,$T354,1),0)&gt;0,IFERROR(SEARCH(DruidLand4,$T354,1),0)&gt;0),1,0)*IF($C354=DP$2,1,0)=0,0,1+COUNTIF(DP$3:DP353,"&gt;0"))</f>
        <v>0</v>
      </c>
      <c r="DQ354">
        <f>IF(IF(OR(IFERROR(SEARCH("Druid",$T354,1),0)&gt;0,IFERROR(SEARCH(DruidLand1,$T354,1),0)&gt;0,IFERROR(SEARCH(DruidLand2,$T354,1),0)&gt;0,IFERROR(SEARCH(DruidLand3,$T354,1),0)&gt;0,IFERROR(SEARCH(DruidLand4,$T354,1),0)&gt;0),1,0)*IF($C354=DQ$2,1,0)=0,0,1+COUNTIF(DQ$3:DQ353,"&gt;0"))</f>
        <v>0</v>
      </c>
      <c r="DR354">
        <f>IF(IF(OR(IFERROR(SEARCH("Druid",$T354,1),0)&gt;0,IFERROR(SEARCH(DruidLand1,$T354,1),0)&gt;0,IFERROR(SEARCH(DruidLand2,$T354,1),0)&gt;0,IFERROR(SEARCH(DruidLand3,$T354,1),0)&gt;0,IFERROR(SEARCH(DruidLand4,$T354,1),0)&gt;0),1,0)*IF($C354=DR$2,1,0)=0,0,1+COUNTIF(DR$3:DR353,"&gt;0"))</f>
        <v>0</v>
      </c>
      <c r="DS354">
        <f>IF(IF(OR(IFERROR(SEARCH("Paladin",$T354,1),0)&gt;0,IFERROR(SEARCH(PaladinOath,$T354,1),0)&gt;0),1,0)*IF($C354=DS$2,1,0)=1,1+COUNTIF(DS$3:DS353,"&gt;0"),0)</f>
        <v>0</v>
      </c>
      <c r="DT354">
        <f>IF(IF(OR(IFERROR(SEARCH("Paladin",$T354,1),0)&gt;0,IFERROR(SEARCH(PaladinOath,$T354,1),0)&gt;0),1,0)*IF($C354=DT$2,1,0)=1,1+COUNTIF(DT$3:DT353,"&gt;0"),0)</f>
        <v>0</v>
      </c>
      <c r="DU354">
        <f>IF(IF(OR(IFERROR(SEARCH("Paladin",$T354,1),0)&gt;0,IFERROR(SEARCH(PaladinOath,$T354,1),0)&gt;0),1,0)*IF($C354=DU$2,1,0)=1,1+COUNTIF(DU$3:DU353,"&gt;0"),0)</f>
        <v>0</v>
      </c>
      <c r="DV354">
        <f>IF(IF(OR(IFERROR(SEARCH("Paladin",$T354,1),0)&gt;0,IFERROR(SEARCH(PaladinOath,$T354,1),0)&gt;0),1,0)*IF($C354=DV$2,1,0)=1,1+COUNTIF(DV$3:DV353,"&gt;0"),0)</f>
        <v>0</v>
      </c>
      <c r="DW354">
        <f>IF(IF(OR(IFERROR(SEARCH("Paladin",$T354,1),0)&gt;0,IFERROR(SEARCH(PaladinOath,$T354,1),0)&gt;0),1,0)*IF($C354=DW$2,1,0)=1,1+COUNTIF(DW$3:DW353,"&gt;0"),0)</f>
        <v>0</v>
      </c>
      <c r="DY354">
        <f t="shared" si="278"/>
        <v>1</v>
      </c>
      <c r="DZ354">
        <f>IF(DY354=0,0,1+MAX(DZ$3:$DZ353))</f>
        <v>352</v>
      </c>
      <c r="EB354">
        <f t="shared" si="293"/>
        <v>0</v>
      </c>
      <c r="EC354">
        <f>IF(EB354=0,0,1+COUNTIF(EC$3:EC353,"&gt;0"))</f>
        <v>0</v>
      </c>
      <c r="ED354" t="str">
        <f t="shared" si="321"/>
        <v/>
      </c>
      <c r="EE354" t="str">
        <f t="shared" si="294"/>
        <v/>
      </c>
      <c r="EG354">
        <f t="shared" si="295"/>
        <v>0</v>
      </c>
      <c r="EH354">
        <f>IF(EG354=0,0,1+COUNTIF(EH$3:EH353,"&gt;0"))</f>
        <v>0</v>
      </c>
      <c r="EI354" t="str">
        <f t="shared" si="322"/>
        <v/>
      </c>
      <c r="EJ354" t="str">
        <f t="shared" si="296"/>
        <v/>
      </c>
      <c r="EL354">
        <f t="shared" si="297"/>
        <v>0</v>
      </c>
      <c r="EM354">
        <f>IF(EL354=0,0,1+COUNTIF(EM$3:EM353,"&gt;0"))</f>
        <v>0</v>
      </c>
      <c r="EN354" t="str">
        <f t="shared" si="323"/>
        <v/>
      </c>
      <c r="EO354" t="str">
        <f t="shared" si="298"/>
        <v/>
      </c>
      <c r="EQ354">
        <f t="shared" si="299"/>
        <v>0</v>
      </c>
      <c r="ER354">
        <f>IF(EQ354=0,0,1+COUNTIF(ER$3:ER353,"&gt;0"))</f>
        <v>0</v>
      </c>
      <c r="ES354" t="str">
        <f t="shared" si="324"/>
        <v/>
      </c>
      <c r="ET354" t="str">
        <f t="shared" si="300"/>
        <v/>
      </c>
      <c r="EV354">
        <f t="shared" si="301"/>
        <v>0</v>
      </c>
      <c r="EW354">
        <f>IF(EV354=0,0,1+COUNTIF(EW$3:EW353,"&gt;0"))</f>
        <v>0</v>
      </c>
      <c r="EX354" t="str">
        <f t="shared" si="325"/>
        <v/>
      </c>
      <c r="EY354" t="str">
        <f t="shared" si="302"/>
        <v/>
      </c>
      <c r="FA354">
        <f t="shared" si="303"/>
        <v>0</v>
      </c>
      <c r="FB354">
        <f>IF(FA354=0,0,1+COUNTIF(FB$3:FB353,"&gt;0"))</f>
        <v>0</v>
      </c>
      <c r="FC354" t="str">
        <f t="shared" si="326"/>
        <v/>
      </c>
      <c r="FD354" t="str">
        <f t="shared" si="304"/>
        <v/>
      </c>
      <c r="FF354">
        <f t="shared" si="305"/>
        <v>0</v>
      </c>
      <c r="FG354">
        <f>IF(FF354=0,0,1+COUNTIF(FG$3:FG353,"&gt;0"))</f>
        <v>0</v>
      </c>
      <c r="FH354" t="str">
        <f t="shared" si="327"/>
        <v/>
      </c>
      <c r="FI354" t="str">
        <f t="shared" si="306"/>
        <v/>
      </c>
      <c r="FK354">
        <f t="shared" si="307"/>
        <v>0</v>
      </c>
      <c r="FL354">
        <f>IF(FK354=0,0,1+COUNTIF(FL$3:FL353,"&gt;0"))</f>
        <v>0</v>
      </c>
      <c r="FM354" t="str">
        <f t="shared" si="328"/>
        <v/>
      </c>
      <c r="FN354" t="str">
        <f t="shared" si="308"/>
        <v/>
      </c>
      <c r="FP354">
        <f t="shared" si="309"/>
        <v>0</v>
      </c>
      <c r="FQ354">
        <f>IF(FP354=0,0,1+COUNTIF(FQ$3:FQ353,"&gt;0"))</f>
        <v>0</v>
      </c>
      <c r="FR354" t="str">
        <f t="shared" si="329"/>
        <v/>
      </c>
      <c r="FS354" t="str">
        <f t="shared" si="310"/>
        <v/>
      </c>
    </row>
    <row r="355" spans="1:175" x14ac:dyDescent="0.25">
      <c r="A355" s="347">
        <f t="shared" si="331"/>
        <v>353</v>
      </c>
      <c r="B355" s="348" t="s">
        <v>2757</v>
      </c>
      <c r="C355" s="348">
        <v>3</v>
      </c>
      <c r="D355" s="347">
        <v>3</v>
      </c>
      <c r="E355" s="627" t="s">
        <v>6952</v>
      </c>
      <c r="F355" s="346"/>
      <c r="G355" s="347" t="s">
        <v>5269</v>
      </c>
      <c r="H355" s="347" t="s">
        <v>5913</v>
      </c>
      <c r="I355" s="347" t="s">
        <v>5060</v>
      </c>
      <c r="J355" s="347" t="str">
        <f t="shared" si="279"/>
        <v/>
      </c>
      <c r="K355" s="347" t="s">
        <v>5293</v>
      </c>
      <c r="L355" s="611" t="str">
        <f t="shared" si="280"/>
        <v>V, S, M, a piece of cork</v>
      </c>
      <c r="M355" s="347" t="s">
        <v>2373</v>
      </c>
      <c r="N355" s="347" t="s">
        <v>2387</v>
      </c>
      <c r="O355" s="347" t="s">
        <v>1244</v>
      </c>
      <c r="P355" s="346" t="s">
        <v>5516</v>
      </c>
      <c r="Q355" s="347" t="s">
        <v>5276</v>
      </c>
      <c r="S355" s="346" t="s">
        <v>5517</v>
      </c>
      <c r="T355" s="346" t="str">
        <f t="shared" si="281"/>
        <v xml:space="preserve">Ranger, Sorcerer, Cleric, Druid, Coast, Swamp, </v>
      </c>
      <c r="W355" s="347" t="str">
        <f t="shared" si="332"/>
        <v>Water Walk</v>
      </c>
      <c r="X355" s="347" t="str">
        <f t="shared" si="332"/>
        <v>Water Walk</v>
      </c>
      <c r="Z355" s="347" t="str">
        <f>$B355</f>
        <v>Water Walk</v>
      </c>
      <c r="AA355" s="347" t="str">
        <f>$B355</f>
        <v>Water Walk</v>
      </c>
      <c r="AE355" t="str">
        <f>IF(IFERROR(MATCH($B355,temp!A$4:A$13,0),0)&gt;0,T08_Spells!AE$2,"")</f>
        <v/>
      </c>
      <c r="AF355" t="str">
        <f>IF(IFERROR(MATCH($B355,temp!B$4:B$13,0),0)&gt;0,T08_Spells!AF$2,"")</f>
        <v/>
      </c>
      <c r="AG355" t="str">
        <f>IF(IFERROR(MATCH($B355,temp!C$4:C$13,0),0)&gt;0,T08_Spells!AG$2,"")</f>
        <v/>
      </c>
      <c r="AH355" t="str">
        <f>IF(IFERROR(MATCH($B355,temp!D$4:D$13,0),0)&gt;0,T08_Spells!AH$2,"")</f>
        <v/>
      </c>
      <c r="AI355" t="str">
        <f>IF(IFERROR(MATCH($B355,temp!E$4:E$13,0),0)&gt;0,T08_Spells!AI$2,"")</f>
        <v/>
      </c>
      <c r="AJ355" t="str">
        <f>IF(IFERROR(MATCH($B355,temp!F$4:F$13,0),0)&gt;0,T08_Spells!AJ$2,"")</f>
        <v/>
      </c>
      <c r="AK355" t="str">
        <f>IF(IFERROR(MATCH($B355,temp!G$4:G$13,0),0)&gt;0,T08_Spells!AK$2,"")</f>
        <v/>
      </c>
      <c r="AL355" t="str">
        <f>IF(IFERROR(MATCH($B355,temp!H$4:H$13,0),0)&gt;0,T08_Spells!AL$2,"")</f>
        <v/>
      </c>
      <c r="AM355" t="str">
        <f>IF(IFERROR(MATCH($B355,temp!I$4:I$13,0),0)&gt;0,T08_Spells!AM$2,"")</f>
        <v>Coast</v>
      </c>
      <c r="AN355" t="str">
        <f>IF(IFERROR(MATCH($B355,temp!J$4:J$13,0),0)&gt;0,T08_Spells!AN$2,"")</f>
        <v/>
      </c>
      <c r="AO355" t="str">
        <f>IF(IFERROR(MATCH($B355,temp!K$4:K$13,0),0)&gt;0,T08_Spells!AO$2,"")</f>
        <v/>
      </c>
      <c r="AP355" t="str">
        <f>IF(IFERROR(MATCH($B355,temp!L$4:L$13,0),0)&gt;0,T08_Spells!AP$2,"")</f>
        <v/>
      </c>
      <c r="AQ355" t="str">
        <f>IF(IFERROR(MATCH($B355,temp!M$4:M$13,0),0)&gt;0,T08_Spells!AQ$2,"")</f>
        <v/>
      </c>
      <c r="AR355" t="str">
        <f>IF(IFERROR(MATCH($B355,temp!N$4:N$13,0),0)&gt;0,T08_Spells!AR$2,"")</f>
        <v>Swamp</v>
      </c>
      <c r="AS355" t="str">
        <f>IF(IFERROR(MATCH($B355,temp!O$4:O$13,0),0)&gt;0,T08_Spells!AS$2,"")</f>
        <v/>
      </c>
      <c r="AT355" t="str">
        <f>IF(IFERROR(MATCH($B355,temp!P$4:P$13,0),0)&gt;0,T08_Spells!AT$2,"")</f>
        <v/>
      </c>
      <c r="AU355" t="str">
        <f>IF(IFERROR(MATCH($B355,temp!Q$4:Q$13,0),0)&gt;0,T08_Spells!AU$2,"")</f>
        <v/>
      </c>
      <c r="AV355" t="str">
        <f>IF(IFERROR(MATCH($B355,temp!R$4:R$13,0),0)&gt;0,T08_Spells!AV$2,"")</f>
        <v/>
      </c>
      <c r="AW355" t="str">
        <f>IF(IFERROR(MATCH($B355,temp!S$4:S$13,0),0)&gt;0,T08_Spells!AW$2,"")</f>
        <v/>
      </c>
      <c r="AX355" t="str">
        <f>IF(IFERROR(MATCH($B355,temp!T$4:T$13,0),0)&gt;0,T08_Spells!AX$2,"")</f>
        <v/>
      </c>
      <c r="AY355" t="str">
        <f>IF(IFERROR(MATCH($B355,temp!U$4:U$13,0),0)&gt;0,T08_Spells!AY$2,"")</f>
        <v/>
      </c>
      <c r="AZ355" t="str">
        <f>IF(IFERROR(MATCH($B355,temp!V$4:V$13,0),0)&gt;0,T08_Spells!AZ$2,"")</f>
        <v/>
      </c>
      <c r="BA355" t="str">
        <f>IF(IFERROR(MATCH($B355,temp!W$4:W$13,0),0)&gt;0,T08_Spells!BA$2,"")</f>
        <v/>
      </c>
      <c r="BC355">
        <f>IF(IFERROR(SEARCH("Ranger",$T355,1),0)&gt;0,1,0)*IF(RangerMaxSpellLevel&gt;=$C355,1,0)*IF(IFERROR(MATCH(B355,Character_Creation!$X$79:$X$382,0),0)&gt;0,0,1)</f>
        <v>0</v>
      </c>
      <c r="BD355">
        <f>IF(BC355=0,0,1+COUNTIF(BD$3:BD354,"&gt;0"))</f>
        <v>0</v>
      </c>
      <c r="BE355" t="str">
        <f t="shared" si="311"/>
        <v/>
      </c>
      <c r="BF355" t="str">
        <f t="shared" si="283"/>
        <v/>
      </c>
      <c r="BH355">
        <f>IF(IFERROR(SEARCH("Sorcerer",$T355,1),0)&gt;0,1,0)*IF(SorcererMaxSpellLevel&gt;=$C355,1,0)*IF(IFERROR(MATCH(B355,Character_Creation!$J$380:$J$394,0),0)&gt;0,0,1)</f>
        <v>0</v>
      </c>
      <c r="BI355">
        <f>IF(BH355=0,0,1+COUNTIF(BI$3:BI354,"&gt;0"))</f>
        <v>0</v>
      </c>
      <c r="BJ355" t="str">
        <f t="shared" si="312"/>
        <v/>
      </c>
      <c r="BK355" t="str">
        <f t="shared" si="284"/>
        <v/>
      </c>
      <c r="BM355">
        <f>IF(OR(IFERROR(SEARCH("Warlock",$T355,1),0)&gt;0,IFERROR(SEARCH(WarlockPatron,$T355,1),0)&gt;0),1,0)*IF(WarlockMaxSpellLevel&gt;=$C355,1,0)*IF(IFERROR(MATCH(B355,Character_Creation!$J$361:$J$375,0),0)&gt;0,0,1)</f>
        <v>0</v>
      </c>
      <c r="BN355">
        <f>IF(BM355=0,0,1+COUNTIF(BN$3:BN354,"&gt;0"))</f>
        <v>0</v>
      </c>
      <c r="BO355" t="str">
        <f t="shared" si="313"/>
        <v/>
      </c>
      <c r="BP355" t="str">
        <f t="shared" si="285"/>
        <v/>
      </c>
      <c r="BR355">
        <f>IF(IFERROR(SEARCH("Eldritch Knight",$T355,1),0)&gt;0,1,0)*IF(EldritchKnightMaxSpellLevel&gt;=$C355,1,0)*IF(IFERROR(MATCH($B355,Character_Creation!$J$350:$J$356,0),0)&gt;0,0,1)*IF(Character_Creation!$M$338&gt;0,1,0)</f>
        <v>0</v>
      </c>
      <c r="BS355">
        <f>IF(BR355=0,0,1+COUNTIF(BS$3:BS354,"&gt;0"))</f>
        <v>0</v>
      </c>
      <c r="BT355" t="str">
        <f t="shared" si="314"/>
        <v/>
      </c>
      <c r="BU355" t="str">
        <f t="shared" si="286"/>
        <v/>
      </c>
      <c r="BW355">
        <f>IF(IFERROR(SEARCH("Arcane Trickster",$T355,1),0)&gt;0,1,0)*IF(ArcaneTricksterMaxSpellLevel&gt;=$C355,1,0)*IF(IFERROR(MATCH($B355,Character_Creation!$J$350:$J$356,0),0)&gt;0,0,1)*IF(Character_Creation!$T$338&gt;0,1,0)</f>
        <v>0</v>
      </c>
      <c r="BX355">
        <f>IF(BW355=0,0,1+COUNTIF(BX$3:BX354,"&gt;0"))</f>
        <v>0</v>
      </c>
      <c r="BY355" t="str">
        <f t="shared" si="315"/>
        <v/>
      </c>
      <c r="BZ355" t="str">
        <f t="shared" si="287"/>
        <v/>
      </c>
      <c r="CB355">
        <f>IF(IFERROR(SEARCH("Wizard",$T355,1),0)&gt;0,1,0)*IF(C355&lt;=ArcaneTricksterMaxSpellLevel,1,0)*IF(IFERROR(MATCH($B355,Character_Creation!$J$350:$J$356,0),0)&gt;0,0,1)*IF(Character_Creation!$T$350&gt;0,1,0)</f>
        <v>0</v>
      </c>
      <c r="CC355">
        <f>IF(CB355=0,0,1+COUNTIF(CC$3:CC354,"&gt;0"))</f>
        <v>0</v>
      </c>
      <c r="CD355" t="str">
        <f t="shared" si="316"/>
        <v/>
      </c>
      <c r="CE355" t="str">
        <f t="shared" si="288"/>
        <v/>
      </c>
      <c r="CG355">
        <f>IF(IFERROR(SEARCH("Wizard",$T355,1),0)&gt;0,1,0)*IF($C355&lt;=EldritchKnightMaxSpellLevel,1,0)*IF(IFERROR(MATCH($B355,Character_Creation!$J$350:$J$356,0),0)&gt;0,0,1)*IF(Character_Creation!$M$350&gt;0,1,0)</f>
        <v>0</v>
      </c>
      <c r="CH355">
        <f>IF(CG355=0,0,1+COUNTIF(CH$3:CH354,"&gt;0"))</f>
        <v>0</v>
      </c>
      <c r="CI355" t="str">
        <f t="shared" si="317"/>
        <v/>
      </c>
      <c r="CJ355" t="str">
        <f t="shared" si="289"/>
        <v/>
      </c>
      <c r="CL355">
        <f>IF(IFERROR(SEARCH("Bard",$T355,1),0)&gt;0,1,0)*IF(BardMaxSpellLevel&gt;=$C355,1,0)*IF(IFERROR(MATCH(B355,Character_Creation!$C$341:$F$362,0),0)&gt;0,0,1)*IF(IFERROR(MATCH($B355,Character_Creation!$C$341:$C$362,0),0)&gt;0,0,1)</f>
        <v>0</v>
      </c>
      <c r="CM355">
        <f>IF(CL355=0,0,1+COUNTIF(CM$3:CM354,"&gt;0"))</f>
        <v>0</v>
      </c>
      <c r="CN355" t="str">
        <f t="shared" si="318"/>
        <v/>
      </c>
      <c r="CO355" t="str">
        <f t="shared" si="290"/>
        <v/>
      </c>
      <c r="CQ355">
        <f>IF(IFERROR(SEARCH("Wizard",$T355,1),0)&gt;0,1,0)*IF(WizardMaxSpellLevel&gt;=$C355,1,0)*IF(IFERROR(MATCH(B355,Character_Creation!$X$341:$X$400,0),0)&gt;0,0,1)*IF(SelectedWizardSpellLevel=$C355,1,0)</f>
        <v>0</v>
      </c>
      <c r="CR355">
        <f>IF(CQ355=0,0,1+COUNTIF(CR$3:CR354,"&gt;0"))</f>
        <v>0</v>
      </c>
      <c r="CS355" t="str">
        <f t="shared" si="319"/>
        <v/>
      </c>
      <c r="CT355" t="str">
        <f t="shared" si="291"/>
        <v/>
      </c>
      <c r="CV355">
        <f>IF(IFERROR(MATCH($B355,Character_Creation!$C$341:$C$362,0),0)&gt;0,0,1)*IF(OR(C355="Cantrip",C355&lt;=BardMaxSpellLevel),1,0)*IF(IFERROR(MATCH($B355,Character_Creation!$C$367:$C$374,0),0)&gt;0,0,1)</f>
        <v>0</v>
      </c>
      <c r="CW355">
        <f>IF(CV355=0,0,1+COUNTIF(CW$3:CW354,"&gt;0"))</f>
        <v>0</v>
      </c>
      <c r="CX355" t="str">
        <f t="shared" si="320"/>
        <v/>
      </c>
      <c r="CY355" t="str">
        <f t="shared" si="292"/>
        <v/>
      </c>
      <c r="DA355">
        <f>IF(IF(OR(IFERROR(SEARCH("Cleric",$T355,1),0)&gt;0,IFERROR(SEARCH(DivineDomain&amp;",",$T355,1),0)&gt;0),1,0)*IF($C355=DA$2,1,0)=1,1+COUNTIF(DA$3:DA354,"&gt;0"),0)</f>
        <v>0</v>
      </c>
      <c r="DB355">
        <f>IF(IF(OR(IFERROR(SEARCH("Cleric",$T355,1),0)&gt;0,IFERROR(SEARCH(DivineDomain&amp;",",$T355,1),0)&gt;0),1,0)*IF($C355=DB$2,1,0)=1,1+COUNTIF(DB$3:DB354,"&gt;0"),0)</f>
        <v>0</v>
      </c>
      <c r="DC355">
        <f>IF(IF(OR(IFERROR(SEARCH("Cleric",$T355,1),0)&gt;0,IFERROR(SEARCH(DivineDomain&amp;",",$T355,1),0)&gt;0),1,0)*IF($C355=DC$2,1,0)=1,1+COUNTIF(DC$3:DC354,"&gt;0"),0)</f>
        <v>20</v>
      </c>
      <c r="DD355">
        <f>IF(IF(OR(IFERROR(SEARCH("Cleric",$T355,1),0)&gt;0,IFERROR(SEARCH(DivineDomain&amp;",",$T355,1),0)&gt;0),1,0)*IF($C355=DD$2,1,0)=1,1+COUNTIF(DD$3:DD354,"&gt;0"),0)</f>
        <v>0</v>
      </c>
      <c r="DE355">
        <f>IF(IF(OR(IFERROR(SEARCH("Cleric",$T355,1),0)&gt;0,IFERROR(SEARCH(DivineDomain&amp;",",$T355,1),0)&gt;0),1,0)*IF($C355=DE$2,1,0)=1,1+COUNTIF(DE$3:DE354,"&gt;0"),0)</f>
        <v>0</v>
      </c>
      <c r="DF355">
        <f>IF(IF(OR(IFERROR(SEARCH("Cleric",$T355,1),0)&gt;0,IFERROR(SEARCH(DivineDomain&amp;",",$T355,1),0)&gt;0),1,0)*IF($C355=DF$2,1,0)=1,1+COUNTIF(DF$3:DF354,"&gt;0"),0)</f>
        <v>0</v>
      </c>
      <c r="DG355">
        <f>IF(IF(OR(IFERROR(SEARCH("Cleric",$T355,1),0)&gt;0,IFERROR(SEARCH(DivineDomain&amp;",",$T355,1),0)&gt;0),1,0)*IF($C355=DG$2,1,0)=1,1+COUNTIF(DG$3:DG354,"&gt;0"),0)</f>
        <v>0</v>
      </c>
      <c r="DH355">
        <f>IF(IF(OR(IFERROR(SEARCH("Cleric",$T355,1),0)&gt;0,IFERROR(SEARCH(DivineDomain&amp;",",$T355,1),0)&gt;0),1,0)*IF($C355=DH$2,1,0)=1,1+COUNTIF(DH$3:DH354,"&gt;0"),0)</f>
        <v>0</v>
      </c>
      <c r="DI355">
        <f>IF(IF(OR(IFERROR(SEARCH("Cleric",$T355,1),0)&gt;0,IFERROR(SEARCH(DivineDomain&amp;",",$T355,1),0)&gt;0),1,0)*IF($C355=DI$2,1,0)=1,1+COUNTIF(DI$3:DI354,"&gt;0"),0)</f>
        <v>0</v>
      </c>
      <c r="DJ355">
        <f>IF(IF(OR(IFERROR(SEARCH("Druid",$T355,1),0)&gt;0,IFERROR(SEARCH(DruidLand1,$T355,1),0)&gt;0,IFERROR(SEARCH(DruidLand2,$T355,1),0)&gt;0,IFERROR(SEARCH(DruidLand3,$T355,1),0)&gt;0,IFERROR(SEARCH(DruidLand4,$T355,1),0)&gt;0),1,0)*IF($C355=1,1,0)*IF($C355=DJ$2,1,0)=0,0,1+COUNTIF(DJ$3:DJ354,"&gt;0"))</f>
        <v>0</v>
      </c>
      <c r="DK355">
        <f>IF(IF(OR(IFERROR(SEARCH("Druid",$T355,1),0)&gt;0,IFERROR(SEARCH(DruidLand1,$T355,1),0)&gt;0,IFERROR(SEARCH(DruidLand2,$T355,1),0)&gt;0,IFERROR(SEARCH(DruidLand3,$T355,1),0)&gt;0,IFERROR(SEARCH(DruidLand4,$T355,1),0)&gt;0),1,0)*IF($C355=DK$2,1,0)=0,0,1+COUNTIF(DK$3:DK354,"&gt;0"))</f>
        <v>0</v>
      </c>
      <c r="DL355">
        <f>IF(IF(OR(IFERROR(SEARCH("Druid",$T355,1),0)&gt;0,IFERROR(SEARCH(DruidLand1,$T355,1),0)&gt;0,IFERROR(SEARCH(DruidLand2,$T355,1),0)&gt;0,IFERROR(SEARCH(DruidLand3,$T355,1),0)&gt;0,IFERROR(SEARCH(DruidLand4,$T355,1),0)&gt;0),1,0)*IF($C355=DL$2,1,0)=0,0,1+COUNTIF(DL$3:DL354,"&gt;0"))</f>
        <v>12</v>
      </c>
      <c r="DM355">
        <f>IF(IF(OR(IFERROR(SEARCH("Druid",$T355,1),0)&gt;0,IFERROR(SEARCH(DruidLand1,$T355,1),0)&gt;0,IFERROR(SEARCH(DruidLand2,$T355,1),0)&gt;0,IFERROR(SEARCH(DruidLand3,$T355,1),0)&gt;0,IFERROR(SEARCH(DruidLand4,$T355,1),0)&gt;0),1,0)*IF($C355=DM$2,1,0)=0,0,1+COUNTIF(DM$3:DM354,"&gt;0"))</f>
        <v>0</v>
      </c>
      <c r="DN355">
        <f>IF(IF(OR(IFERROR(SEARCH("Druid",$T355,1),0)&gt;0,IFERROR(SEARCH(DruidLand1,$T355,1),0)&gt;0,IFERROR(SEARCH(DruidLand2,$T355,1),0)&gt;0,IFERROR(SEARCH(DruidLand3,$T355,1),0)&gt;0,IFERROR(SEARCH(DruidLand4,$T355,1),0)&gt;0),1,0)*IF($C355=DN$2,1,0)=0,0,1+COUNTIF(DN$3:DN354,"&gt;0"))</f>
        <v>0</v>
      </c>
      <c r="DO355">
        <f>IF(IF(OR(IFERROR(SEARCH("Druid",$T355,1),0)&gt;0,IFERROR(SEARCH(DruidLand1,$T355,1),0)&gt;0,IFERROR(SEARCH(DruidLand2,$T355,1),0)&gt;0,IFERROR(SEARCH(DruidLand3,$T355,1),0)&gt;0,IFERROR(SEARCH(DruidLand4,$T355,1),0)&gt;0),1,0)*IF($C355=DO$2,1,0)=0,0,1+COUNTIF(DO$3:DO354,"&gt;0"))</f>
        <v>0</v>
      </c>
      <c r="DP355">
        <f>IF(IF(OR(IFERROR(SEARCH("Druid",$T355,1),0)&gt;0,IFERROR(SEARCH(DruidLand1,$T355,1),0)&gt;0,IFERROR(SEARCH(DruidLand2,$T355,1),0)&gt;0,IFERROR(SEARCH(DruidLand3,$T355,1),0)&gt;0,IFERROR(SEARCH(DruidLand4,$T355,1),0)&gt;0),1,0)*IF($C355=DP$2,1,0)=0,0,1+COUNTIF(DP$3:DP354,"&gt;0"))</f>
        <v>0</v>
      </c>
      <c r="DQ355">
        <f>IF(IF(OR(IFERROR(SEARCH("Druid",$T355,1),0)&gt;0,IFERROR(SEARCH(DruidLand1,$T355,1),0)&gt;0,IFERROR(SEARCH(DruidLand2,$T355,1),0)&gt;0,IFERROR(SEARCH(DruidLand3,$T355,1),0)&gt;0,IFERROR(SEARCH(DruidLand4,$T355,1),0)&gt;0),1,0)*IF($C355=DQ$2,1,0)=0,0,1+COUNTIF(DQ$3:DQ354,"&gt;0"))</f>
        <v>0</v>
      </c>
      <c r="DR355">
        <f>IF(IF(OR(IFERROR(SEARCH("Druid",$T355,1),0)&gt;0,IFERROR(SEARCH(DruidLand1,$T355,1),0)&gt;0,IFERROR(SEARCH(DruidLand2,$T355,1),0)&gt;0,IFERROR(SEARCH(DruidLand3,$T355,1),0)&gt;0,IFERROR(SEARCH(DruidLand4,$T355,1),0)&gt;0),1,0)*IF($C355=DR$2,1,0)=0,0,1+COUNTIF(DR$3:DR354,"&gt;0"))</f>
        <v>0</v>
      </c>
      <c r="DS355">
        <f>IF(IF(OR(IFERROR(SEARCH("Paladin",$T355,1),0)&gt;0,IFERROR(SEARCH(PaladinOath,$T355,1),0)&gt;0),1,0)*IF($C355=DS$2,1,0)=1,1+COUNTIF(DS$3:DS354,"&gt;0"),0)</f>
        <v>0</v>
      </c>
      <c r="DT355">
        <f>IF(IF(OR(IFERROR(SEARCH("Paladin",$T355,1),0)&gt;0,IFERROR(SEARCH(PaladinOath,$T355,1),0)&gt;0),1,0)*IF($C355=DT$2,1,0)=1,1+COUNTIF(DT$3:DT354,"&gt;0"),0)</f>
        <v>0</v>
      </c>
      <c r="DU355">
        <f>IF(IF(OR(IFERROR(SEARCH("Paladin",$T355,1),0)&gt;0,IFERROR(SEARCH(PaladinOath,$T355,1),0)&gt;0),1,0)*IF($C355=DU$2,1,0)=1,1+COUNTIF(DU$3:DU354,"&gt;0"),0)</f>
        <v>0</v>
      </c>
      <c r="DV355">
        <f>IF(IF(OR(IFERROR(SEARCH("Paladin",$T355,1),0)&gt;0,IFERROR(SEARCH(PaladinOath,$T355,1),0)&gt;0),1,0)*IF($C355=DV$2,1,0)=1,1+COUNTIF(DV$3:DV354,"&gt;0"),0)</f>
        <v>0</v>
      </c>
      <c r="DW355">
        <f>IF(IF(OR(IFERROR(SEARCH("Paladin",$T355,1),0)&gt;0,IFERROR(SEARCH(PaladinOath,$T355,1),0)&gt;0),1,0)*IF($C355=DW$2,1,0)=1,1+COUNTIF(DW$3:DW354,"&gt;0"),0)</f>
        <v>0</v>
      </c>
      <c r="DY355">
        <f t="shared" si="278"/>
        <v>1</v>
      </c>
      <c r="DZ355">
        <f>IF(DY355=0,0,1+MAX(DZ$3:$DZ354))</f>
        <v>353</v>
      </c>
      <c r="EB355">
        <f t="shared" si="293"/>
        <v>0</v>
      </c>
      <c r="EC355">
        <f>IF(EB355=0,0,1+COUNTIF(EC$3:EC354,"&gt;0"))</f>
        <v>0</v>
      </c>
      <c r="ED355" t="str">
        <f t="shared" si="321"/>
        <v/>
      </c>
      <c r="EE355" t="str">
        <f t="shared" si="294"/>
        <v/>
      </c>
      <c r="EG355">
        <f t="shared" si="295"/>
        <v>0</v>
      </c>
      <c r="EH355">
        <f>IF(EG355=0,0,1+COUNTIF(EH$3:EH354,"&gt;0"))</f>
        <v>0</v>
      </c>
      <c r="EI355" t="str">
        <f t="shared" si="322"/>
        <v/>
      </c>
      <c r="EJ355" t="str">
        <f t="shared" si="296"/>
        <v/>
      </c>
      <c r="EL355">
        <f t="shared" si="297"/>
        <v>0</v>
      </c>
      <c r="EM355">
        <f>IF(EL355=0,0,1+COUNTIF(EM$3:EM354,"&gt;0"))</f>
        <v>0</v>
      </c>
      <c r="EN355" t="str">
        <f t="shared" si="323"/>
        <v/>
      </c>
      <c r="EO355" t="str">
        <f t="shared" si="298"/>
        <v/>
      </c>
      <c r="EQ355">
        <f t="shared" si="299"/>
        <v>0</v>
      </c>
      <c r="ER355">
        <f>IF(EQ355=0,0,1+COUNTIF(ER$3:ER354,"&gt;0"))</f>
        <v>0</v>
      </c>
      <c r="ES355" t="str">
        <f t="shared" si="324"/>
        <v/>
      </c>
      <c r="ET355" t="str">
        <f t="shared" si="300"/>
        <v/>
      </c>
      <c r="EV355">
        <f t="shared" si="301"/>
        <v>0</v>
      </c>
      <c r="EW355">
        <f>IF(EV355=0,0,1+COUNTIF(EW$3:EW354,"&gt;0"))</f>
        <v>0</v>
      </c>
      <c r="EX355" t="str">
        <f t="shared" si="325"/>
        <v/>
      </c>
      <c r="EY355" t="str">
        <f t="shared" si="302"/>
        <v/>
      </c>
      <c r="FA355">
        <f t="shared" si="303"/>
        <v>0</v>
      </c>
      <c r="FB355">
        <f>IF(FA355=0,0,1+COUNTIF(FB$3:FB354,"&gt;0"))</f>
        <v>0</v>
      </c>
      <c r="FC355" t="str">
        <f t="shared" si="326"/>
        <v/>
      </c>
      <c r="FD355" t="str">
        <f t="shared" si="304"/>
        <v/>
      </c>
      <c r="FF355">
        <f t="shared" si="305"/>
        <v>0</v>
      </c>
      <c r="FG355">
        <f>IF(FF355=0,0,1+COUNTIF(FG$3:FG354,"&gt;0"))</f>
        <v>0</v>
      </c>
      <c r="FH355" t="str">
        <f t="shared" si="327"/>
        <v/>
      </c>
      <c r="FI355" t="str">
        <f t="shared" si="306"/>
        <v/>
      </c>
      <c r="FK355">
        <f t="shared" si="307"/>
        <v>0</v>
      </c>
      <c r="FL355">
        <f>IF(FK355=0,0,1+COUNTIF(FL$3:FL354,"&gt;0"))</f>
        <v>0</v>
      </c>
      <c r="FM355" t="str">
        <f t="shared" si="328"/>
        <v/>
      </c>
      <c r="FN355" t="str">
        <f t="shared" si="308"/>
        <v/>
      </c>
      <c r="FP355">
        <f t="shared" si="309"/>
        <v>0</v>
      </c>
      <c r="FQ355">
        <f>IF(FP355=0,0,1+COUNTIF(FQ$3:FQ354,"&gt;0"))</f>
        <v>0</v>
      </c>
      <c r="FR355" t="str">
        <f t="shared" si="329"/>
        <v/>
      </c>
      <c r="FS355" t="str">
        <f t="shared" si="310"/>
        <v/>
      </c>
    </row>
    <row r="356" spans="1:175" x14ac:dyDescent="0.25">
      <c r="A356" s="347">
        <f t="shared" si="331"/>
        <v>354</v>
      </c>
      <c r="B356" s="348" t="s">
        <v>2758</v>
      </c>
      <c r="C356" s="348">
        <v>2</v>
      </c>
      <c r="D356" s="347">
        <v>2</v>
      </c>
      <c r="E356" s="627" t="s">
        <v>6952</v>
      </c>
      <c r="F356" s="346"/>
      <c r="G356" s="347" t="str">
        <f>""</f>
        <v/>
      </c>
      <c r="H356" s="347" t="s">
        <v>5912</v>
      </c>
      <c r="I356" s="347" t="s">
        <v>424</v>
      </c>
      <c r="J356" s="347" t="str">
        <f t="shared" si="279"/>
        <v/>
      </c>
      <c r="K356" s="347" t="s">
        <v>5284</v>
      </c>
      <c r="L356" s="611" t="str">
        <f t="shared" si="280"/>
        <v>V, S, M, a bit of spiderweb</v>
      </c>
      <c r="M356" s="347" t="s">
        <v>2373</v>
      </c>
      <c r="N356" s="347" t="s">
        <v>2387</v>
      </c>
      <c r="O356" s="347" t="s">
        <v>1244</v>
      </c>
      <c r="P356" s="346" t="s">
        <v>5518</v>
      </c>
      <c r="Q356" s="347" t="s">
        <v>5271</v>
      </c>
      <c r="S356" s="346" t="s">
        <v>5861</v>
      </c>
      <c r="T356" s="346" t="str">
        <f t="shared" si="281"/>
        <v xml:space="preserve">Sorcerer, Wizard, Underdark, </v>
      </c>
      <c r="X356" s="347" t="str">
        <f t="shared" si="332"/>
        <v>Web</v>
      </c>
      <c r="AD356" s="347" t="str">
        <f>$B356</f>
        <v>Web</v>
      </c>
      <c r="AE356" t="str">
        <f>IF(IFERROR(MATCH($B356,temp!A$4:A$13,0),0)&gt;0,T08_Spells!AE$2,"")</f>
        <v/>
      </c>
      <c r="AF356" t="str">
        <f>IF(IFERROR(MATCH($B356,temp!B$4:B$13,0),0)&gt;0,T08_Spells!AF$2,"")</f>
        <v/>
      </c>
      <c r="AG356" t="str">
        <f>IF(IFERROR(MATCH($B356,temp!C$4:C$13,0),0)&gt;0,T08_Spells!AG$2,"")</f>
        <v/>
      </c>
      <c r="AH356" t="str">
        <f>IF(IFERROR(MATCH($B356,temp!D$4:D$13,0),0)&gt;0,T08_Spells!AH$2,"")</f>
        <v/>
      </c>
      <c r="AI356" t="str">
        <f>IF(IFERROR(MATCH($B356,temp!E$4:E$13,0),0)&gt;0,T08_Spells!AI$2,"")</f>
        <v/>
      </c>
      <c r="AJ356" t="str">
        <f>IF(IFERROR(MATCH($B356,temp!F$4:F$13,0),0)&gt;0,T08_Spells!AJ$2,"")</f>
        <v/>
      </c>
      <c r="AK356" t="str">
        <f>IF(IFERROR(MATCH($B356,temp!G$4:G$13,0),0)&gt;0,T08_Spells!AK$2,"")</f>
        <v/>
      </c>
      <c r="AL356" t="str">
        <f>IF(IFERROR(MATCH($B356,temp!H$4:H$13,0),0)&gt;0,T08_Spells!AL$2,"")</f>
        <v/>
      </c>
      <c r="AM356" t="str">
        <f>IF(IFERROR(MATCH($B356,temp!I$4:I$13,0),0)&gt;0,T08_Spells!AM$2,"")</f>
        <v/>
      </c>
      <c r="AN356" t="str">
        <f>IF(IFERROR(MATCH($B356,temp!J$4:J$13,0),0)&gt;0,T08_Spells!AN$2,"")</f>
        <v/>
      </c>
      <c r="AO356" t="str">
        <f>IF(IFERROR(MATCH($B356,temp!K$4:K$13,0),0)&gt;0,T08_Spells!AO$2,"")</f>
        <v/>
      </c>
      <c r="AP356" t="str">
        <f>IF(IFERROR(MATCH($B356,temp!L$4:L$13,0),0)&gt;0,T08_Spells!AP$2,"")</f>
        <v/>
      </c>
      <c r="AQ356" t="str">
        <f>IF(IFERROR(MATCH($B356,temp!M$4:M$13,0),0)&gt;0,T08_Spells!AQ$2,"")</f>
        <v/>
      </c>
      <c r="AR356" t="str">
        <f>IF(IFERROR(MATCH($B356,temp!N$4:N$13,0),0)&gt;0,T08_Spells!AR$2,"")</f>
        <v/>
      </c>
      <c r="AS356" t="str">
        <f>IF(IFERROR(MATCH($B356,temp!O$4:O$13,0),0)&gt;0,T08_Spells!AS$2,"")</f>
        <v>Underdark</v>
      </c>
      <c r="AT356" t="str">
        <f>IF(IFERROR(MATCH($B356,temp!P$4:P$13,0),0)&gt;0,T08_Spells!AT$2,"")</f>
        <v/>
      </c>
      <c r="AU356" t="str">
        <f>IF(IFERROR(MATCH($B356,temp!Q$4:Q$13,0),0)&gt;0,T08_Spells!AU$2,"")</f>
        <v/>
      </c>
      <c r="AV356" t="str">
        <f>IF(IFERROR(MATCH($B356,temp!R$4:R$13,0),0)&gt;0,T08_Spells!AV$2,"")</f>
        <v/>
      </c>
      <c r="AW356" t="str">
        <f>IF(IFERROR(MATCH($B356,temp!S$4:S$13,0),0)&gt;0,T08_Spells!AW$2,"")</f>
        <v/>
      </c>
      <c r="AX356" t="str">
        <f>IF(IFERROR(MATCH($B356,temp!T$4:T$13,0),0)&gt;0,T08_Spells!AX$2,"")</f>
        <v/>
      </c>
      <c r="AY356" t="str">
        <f>IF(IFERROR(MATCH($B356,temp!U$4:U$13,0),0)&gt;0,T08_Spells!AY$2,"")</f>
        <v/>
      </c>
      <c r="AZ356" t="str">
        <f>IF(IFERROR(MATCH($B356,temp!V$4:V$13,0),0)&gt;0,T08_Spells!AZ$2,"")</f>
        <v/>
      </c>
      <c r="BA356" t="str">
        <f>IF(IFERROR(MATCH($B356,temp!W$4:W$13,0),0)&gt;0,T08_Spells!BA$2,"")</f>
        <v/>
      </c>
      <c r="BC356">
        <f>IF(IFERROR(SEARCH("Ranger",$T356,1),0)&gt;0,1,0)*IF(RangerMaxSpellLevel&gt;=$C356,1,0)*IF(IFERROR(MATCH(B356,Character_Creation!$X$79:$X$382,0),0)&gt;0,0,1)</f>
        <v>0</v>
      </c>
      <c r="BD356">
        <f>IF(BC356=0,0,1+COUNTIF(BD$3:BD355,"&gt;0"))</f>
        <v>0</v>
      </c>
      <c r="BE356" t="str">
        <f t="shared" si="311"/>
        <v/>
      </c>
      <c r="BF356" t="str">
        <f t="shared" si="283"/>
        <v/>
      </c>
      <c r="BH356">
        <f>IF(IFERROR(SEARCH("Sorcerer",$T356,1),0)&gt;0,1,0)*IF(SorcererMaxSpellLevel&gt;=$C356,1,0)*IF(IFERROR(MATCH(B356,Character_Creation!$J$380:$J$394,0),0)&gt;0,0,1)</f>
        <v>0</v>
      </c>
      <c r="BI356">
        <f>IF(BH356=0,0,1+COUNTIF(BI$3:BI355,"&gt;0"))</f>
        <v>0</v>
      </c>
      <c r="BJ356" t="str">
        <f t="shared" si="312"/>
        <v/>
      </c>
      <c r="BK356" t="str">
        <f t="shared" si="284"/>
        <v/>
      </c>
      <c r="BM356">
        <f>IF(OR(IFERROR(SEARCH("Warlock",$T356,1),0)&gt;0,IFERROR(SEARCH(WarlockPatron,$T356,1),0)&gt;0),1,0)*IF(WarlockMaxSpellLevel&gt;=$C356,1,0)*IF(IFERROR(MATCH(B356,Character_Creation!$J$361:$J$375,0),0)&gt;0,0,1)</f>
        <v>0</v>
      </c>
      <c r="BN356">
        <f>IF(BM356=0,0,1+COUNTIF(BN$3:BN355,"&gt;0"))</f>
        <v>0</v>
      </c>
      <c r="BO356" t="str">
        <f t="shared" si="313"/>
        <v/>
      </c>
      <c r="BP356" t="str">
        <f t="shared" si="285"/>
        <v/>
      </c>
      <c r="BR356">
        <f>IF(IFERROR(SEARCH("Eldritch Knight",$T356,1),0)&gt;0,1,0)*IF(EldritchKnightMaxSpellLevel&gt;=$C356,1,0)*IF(IFERROR(MATCH($B356,Character_Creation!$J$350:$J$356,0),0)&gt;0,0,1)*IF(Character_Creation!$M$338&gt;0,1,0)</f>
        <v>0</v>
      </c>
      <c r="BS356">
        <f>IF(BR356=0,0,1+COUNTIF(BS$3:BS355,"&gt;0"))</f>
        <v>0</v>
      </c>
      <c r="BT356" t="str">
        <f t="shared" si="314"/>
        <v/>
      </c>
      <c r="BU356" t="str">
        <f t="shared" si="286"/>
        <v/>
      </c>
      <c r="BW356">
        <f>IF(IFERROR(SEARCH("Arcane Trickster",$T356,1),0)&gt;0,1,0)*IF(ArcaneTricksterMaxSpellLevel&gt;=$C356,1,0)*IF(IFERROR(MATCH($B356,Character_Creation!$J$350:$J$356,0),0)&gt;0,0,1)*IF(Character_Creation!$T$338&gt;0,1,0)</f>
        <v>0</v>
      </c>
      <c r="BX356">
        <f>IF(BW356=0,0,1+COUNTIF(BX$3:BX355,"&gt;0"))</f>
        <v>0</v>
      </c>
      <c r="BY356" t="str">
        <f t="shared" si="315"/>
        <v/>
      </c>
      <c r="BZ356" t="str">
        <f t="shared" si="287"/>
        <v/>
      </c>
      <c r="CB356">
        <f>IF(IFERROR(SEARCH("Wizard",$T356,1),0)&gt;0,1,0)*IF(C356&lt;=ArcaneTricksterMaxSpellLevel,1,0)*IF(IFERROR(MATCH($B356,Character_Creation!$J$350:$J$356,0),0)&gt;0,0,1)*IF(Character_Creation!$T$350&gt;0,1,0)</f>
        <v>0</v>
      </c>
      <c r="CC356">
        <f>IF(CB356=0,0,1+COUNTIF(CC$3:CC355,"&gt;0"))</f>
        <v>0</v>
      </c>
      <c r="CD356" t="str">
        <f t="shared" si="316"/>
        <v/>
      </c>
      <c r="CE356" t="str">
        <f t="shared" si="288"/>
        <v/>
      </c>
      <c r="CG356">
        <f>IF(IFERROR(SEARCH("Wizard",$T356,1),0)&gt;0,1,0)*IF($C356&lt;=EldritchKnightMaxSpellLevel,1,0)*IF(IFERROR(MATCH($B356,Character_Creation!$J$350:$J$356,0),0)&gt;0,0,1)*IF(Character_Creation!$M$350&gt;0,1,0)</f>
        <v>1</v>
      </c>
      <c r="CH356">
        <f>IF(CG356=0,0,1+COUNTIF(CH$3:CH355,"&gt;0"))</f>
        <v>61</v>
      </c>
      <c r="CI356" t="str">
        <f t="shared" si="317"/>
        <v/>
      </c>
      <c r="CJ356" t="str">
        <f t="shared" si="289"/>
        <v/>
      </c>
      <c r="CL356">
        <f>IF(IFERROR(SEARCH("Bard",$T356,1),0)&gt;0,1,0)*IF(BardMaxSpellLevel&gt;=$C356,1,0)*IF(IFERROR(MATCH(B356,Character_Creation!$C$341:$F$362,0),0)&gt;0,0,1)*IF(IFERROR(MATCH($B356,Character_Creation!$C$341:$C$362,0),0)&gt;0,0,1)</f>
        <v>0</v>
      </c>
      <c r="CM356">
        <f>IF(CL356=0,0,1+COUNTIF(CM$3:CM355,"&gt;0"))</f>
        <v>0</v>
      </c>
      <c r="CN356" t="str">
        <f t="shared" si="318"/>
        <v/>
      </c>
      <c r="CO356" t="str">
        <f t="shared" si="290"/>
        <v/>
      </c>
      <c r="CQ356">
        <f>IF(IFERROR(SEARCH("Wizard",$T356,1),0)&gt;0,1,0)*IF(WizardMaxSpellLevel&gt;=$C356,1,0)*IF(IFERROR(MATCH(B356,Character_Creation!$X$341:$X$400,0),0)&gt;0,0,1)*IF(SelectedWizardSpellLevel=$C356,1,0)</f>
        <v>0</v>
      </c>
      <c r="CR356">
        <f>IF(CQ356=0,0,1+COUNTIF(CR$3:CR355,"&gt;0"))</f>
        <v>0</v>
      </c>
      <c r="CS356" t="str">
        <f t="shared" si="319"/>
        <v/>
      </c>
      <c r="CT356" t="str">
        <f t="shared" si="291"/>
        <v/>
      </c>
      <c r="CV356">
        <f>IF(IFERROR(MATCH($B356,Character_Creation!$C$341:$C$362,0),0)&gt;0,0,1)*IF(OR(C356="Cantrip",C356&lt;=BardMaxSpellLevel),1,0)*IF(IFERROR(MATCH($B356,Character_Creation!$C$367:$C$374,0),0)&gt;0,0,1)</f>
        <v>0</v>
      </c>
      <c r="CW356">
        <f>IF(CV356=0,0,1+COUNTIF(CW$3:CW355,"&gt;0"))</f>
        <v>0</v>
      </c>
      <c r="CX356" t="str">
        <f t="shared" si="320"/>
        <v/>
      </c>
      <c r="CY356" t="str">
        <f t="shared" si="292"/>
        <v/>
      </c>
      <c r="DA356">
        <f>IF(IF(OR(IFERROR(SEARCH("Cleric",$T356,1),0)&gt;0,IFERROR(SEARCH(DivineDomain&amp;",",$T356,1),0)&gt;0),1,0)*IF($C356=DA$2,1,0)=1,1+COUNTIF(DA$3:DA355,"&gt;0"),0)</f>
        <v>0</v>
      </c>
      <c r="DB356">
        <f>IF(IF(OR(IFERROR(SEARCH("Cleric",$T356,1),0)&gt;0,IFERROR(SEARCH(DivineDomain&amp;",",$T356,1),0)&gt;0),1,0)*IF($C356=DB$2,1,0)=1,1+COUNTIF(DB$3:DB355,"&gt;0"),0)</f>
        <v>0</v>
      </c>
      <c r="DC356">
        <f>IF(IF(OR(IFERROR(SEARCH("Cleric",$T356,1),0)&gt;0,IFERROR(SEARCH(DivineDomain&amp;",",$T356,1),0)&gt;0),1,0)*IF($C356=DC$2,1,0)=1,1+COUNTIF(DC$3:DC355,"&gt;0"),0)</f>
        <v>0</v>
      </c>
      <c r="DD356">
        <f>IF(IF(OR(IFERROR(SEARCH("Cleric",$T356,1),0)&gt;0,IFERROR(SEARCH(DivineDomain&amp;",",$T356,1),0)&gt;0),1,0)*IF($C356=DD$2,1,0)=1,1+COUNTIF(DD$3:DD355,"&gt;0"),0)</f>
        <v>0</v>
      </c>
      <c r="DE356">
        <f>IF(IF(OR(IFERROR(SEARCH("Cleric",$T356,1),0)&gt;0,IFERROR(SEARCH(DivineDomain&amp;",",$T356,1),0)&gt;0),1,0)*IF($C356=DE$2,1,0)=1,1+COUNTIF(DE$3:DE355,"&gt;0"),0)</f>
        <v>0</v>
      </c>
      <c r="DF356">
        <f>IF(IF(OR(IFERROR(SEARCH("Cleric",$T356,1),0)&gt;0,IFERROR(SEARCH(DivineDomain&amp;",",$T356,1),0)&gt;0),1,0)*IF($C356=DF$2,1,0)=1,1+COUNTIF(DF$3:DF355,"&gt;0"),0)</f>
        <v>0</v>
      </c>
      <c r="DG356">
        <f>IF(IF(OR(IFERROR(SEARCH("Cleric",$T356,1),0)&gt;0,IFERROR(SEARCH(DivineDomain&amp;",",$T356,1),0)&gt;0),1,0)*IF($C356=DG$2,1,0)=1,1+COUNTIF(DG$3:DG355,"&gt;0"),0)</f>
        <v>0</v>
      </c>
      <c r="DH356">
        <f>IF(IF(OR(IFERROR(SEARCH("Cleric",$T356,1),0)&gt;0,IFERROR(SEARCH(DivineDomain&amp;",",$T356,1),0)&gt;0),1,0)*IF($C356=DH$2,1,0)=1,1+COUNTIF(DH$3:DH355,"&gt;0"),0)</f>
        <v>0</v>
      </c>
      <c r="DI356">
        <f>IF(IF(OR(IFERROR(SEARCH("Cleric",$T356,1),0)&gt;0,IFERROR(SEARCH(DivineDomain&amp;",",$T356,1),0)&gt;0),1,0)*IF($C356=DI$2,1,0)=1,1+COUNTIF(DI$3:DI355,"&gt;0"),0)</f>
        <v>0</v>
      </c>
      <c r="DJ356">
        <f>IF(IF(OR(IFERROR(SEARCH("Druid",$T356,1),0)&gt;0,IFERROR(SEARCH(DruidLand1,$T356,1),0)&gt;0,IFERROR(SEARCH(DruidLand2,$T356,1),0)&gt;0,IFERROR(SEARCH(DruidLand3,$T356,1),0)&gt;0,IFERROR(SEARCH(DruidLand4,$T356,1),0)&gt;0),1,0)*IF($C356=1,1,0)*IF($C356=DJ$2,1,0)=0,0,1+COUNTIF(DJ$3:DJ355,"&gt;0"))</f>
        <v>0</v>
      </c>
      <c r="DK356">
        <f>IF(IF(OR(IFERROR(SEARCH("Druid",$T356,1),0)&gt;0,IFERROR(SEARCH(DruidLand1,$T356,1),0)&gt;0,IFERROR(SEARCH(DruidLand2,$T356,1),0)&gt;0,IFERROR(SEARCH(DruidLand3,$T356,1),0)&gt;0,IFERROR(SEARCH(DruidLand4,$T356,1),0)&gt;0),1,0)*IF($C356=1,1,0)*IF($C356=DK$2,1,0)=0,0,1+COUNTIF(DK$3:DK355,"&gt;0"))</f>
        <v>0</v>
      </c>
      <c r="DL356">
        <f>IF(IF(OR(IFERROR(SEARCH("Druid",$T356,1),0)&gt;0,IFERROR(SEARCH(DruidLand1,$T356,1),0)&gt;0,IFERROR(SEARCH(DruidLand2,$T356,1),0)&gt;0,IFERROR(SEARCH(DruidLand3,$T356,1),0)&gt;0,IFERROR(SEARCH(DruidLand4,$T356,1),0)&gt;0),1,0)*IF($C356=1,1,0)*IF($C356=DL$2,1,0)=0,0,1+COUNTIF(DL$3:DL355,"&gt;0"))</f>
        <v>0</v>
      </c>
      <c r="DM356">
        <f>IF(IF(OR(IFERROR(SEARCH("Druid",$T356,1),0)&gt;0,IFERROR(SEARCH(DruidLand1,$T356,1),0)&gt;0,IFERROR(SEARCH(DruidLand2,$T356,1),0)&gt;0,IFERROR(SEARCH(DruidLand3,$T356,1),0)&gt;0,IFERROR(SEARCH(DruidLand4,$T356,1),0)&gt;0),1,0)*IF($C356=1,1,0)*IF($C356=DM$2,1,0)=0,0,1+COUNTIF(DM$3:DM355,"&gt;0"))</f>
        <v>0</v>
      </c>
      <c r="DN356">
        <f>IF(IF(OR(IFERROR(SEARCH("Druid",$T356,1),0)&gt;0,IFERROR(SEARCH(DruidLand1,$T356,1),0)&gt;0,IFERROR(SEARCH(DruidLand2,$T356,1),0)&gt;0,IFERROR(SEARCH(DruidLand3,$T356,1),0)&gt;0,IFERROR(SEARCH(DruidLand4,$T356,1),0)&gt;0),1,0)*IF($C356=1,1,0)*IF($C356=DN$2,1,0)=0,0,1+COUNTIF(DN$3:DN355,"&gt;0"))</f>
        <v>0</v>
      </c>
      <c r="DO356">
        <f>IF(IF(OR(IFERROR(SEARCH("Druid",$T356,1),0)&gt;0,IFERROR(SEARCH(DruidLand1,$T356,1),0)&gt;0,IFERROR(SEARCH(DruidLand2,$T356,1),0)&gt;0,IFERROR(SEARCH(DruidLand3,$T356,1),0)&gt;0,IFERROR(SEARCH(DruidLand4,$T356,1),0)&gt;0),1,0)*IF($C356=1,1,0)*IF($C356=DO$2,1,0)=0,0,1+COUNTIF(DO$3:DO355,"&gt;0"))</f>
        <v>0</v>
      </c>
      <c r="DP356">
        <f>IF(IF(OR(IFERROR(SEARCH("Druid",$T356,1),0)&gt;0,IFERROR(SEARCH(DruidLand1,$T356,1),0)&gt;0,IFERROR(SEARCH(DruidLand2,$T356,1),0)&gt;0,IFERROR(SEARCH(DruidLand3,$T356,1),0)&gt;0,IFERROR(SEARCH(DruidLand4,$T356,1),0)&gt;0),1,0)*IF($C356=1,1,0)*IF($C356=DP$2,1,0)=0,0,1+COUNTIF(DP$3:DP355,"&gt;0"))</f>
        <v>0</v>
      </c>
      <c r="DQ356">
        <f>IF(IF(OR(IFERROR(SEARCH("Druid",$T356,1),0)&gt;0,IFERROR(SEARCH(DruidLand1,$T356,1),0)&gt;0,IFERROR(SEARCH(DruidLand2,$T356,1),0)&gt;0,IFERROR(SEARCH(DruidLand3,$T356,1),0)&gt;0,IFERROR(SEARCH(DruidLand4,$T356,1),0)&gt;0),1,0)*IF($C356=1,1,0)*IF($C356=DQ$2,1,0)=0,0,1+COUNTIF(DQ$3:DQ355,"&gt;0"))</f>
        <v>0</v>
      </c>
      <c r="DR356">
        <f>IF(IF(OR(IFERROR(SEARCH("Druid",$T356,1),0)&gt;0,IFERROR(SEARCH(DruidLand1,$T356,1),0)&gt;0,IFERROR(SEARCH(DruidLand2,$T356,1),0)&gt;0,IFERROR(SEARCH(DruidLand3,$T356,1),0)&gt;0,IFERROR(SEARCH(DruidLand4,$T356,1),0)&gt;0),1,0)*IF($C356=1,1,0)*IF($C356=DR$2,1,0)=0,0,1+COUNTIF(DR$3:DR355,"&gt;0"))</f>
        <v>0</v>
      </c>
      <c r="DS356">
        <f>IF(IF(OR(IFERROR(SEARCH("Paladin",$T356,1),0)&gt;0,IFERROR(SEARCH(PaladinOath,$T356,1),0)&gt;0),1,0)*IF($C356=DS$2,1,0)=1,1+COUNTIF(DS$3:DS355,"&gt;0"),0)</f>
        <v>0</v>
      </c>
      <c r="DT356">
        <f>IF(IF(OR(IFERROR(SEARCH("Paladin",$T356,1),0)&gt;0,IFERROR(SEARCH(PaladinOath,$T356,1),0)&gt;0),1,0)*IF($C356=DT$2,1,0)=1,1+COUNTIF(DT$3:DT355,"&gt;0"),0)</f>
        <v>0</v>
      </c>
      <c r="DU356">
        <f>IF(IF(OR(IFERROR(SEARCH("Paladin",$T356,1),0)&gt;0,IFERROR(SEARCH(PaladinOath,$T356,1),0)&gt;0),1,0)*IF($C356=DU$2,1,0)=1,1+COUNTIF(DU$3:DU355,"&gt;0"),0)</f>
        <v>0</v>
      </c>
      <c r="DV356">
        <f>IF(IF(OR(IFERROR(SEARCH("Paladin",$T356,1),0)&gt;0,IFERROR(SEARCH(PaladinOath,$T356,1),0)&gt;0),1,0)*IF($C356=DV$2,1,0)=1,1+COUNTIF(DV$3:DV355,"&gt;0"),0)</f>
        <v>0</v>
      </c>
      <c r="DW356">
        <f>IF(IF(OR(IFERROR(SEARCH("Paladin",$T356,1),0)&gt;0,IFERROR(SEARCH(PaladinOath,$T356,1),0)&gt;0),1,0)*IF($C356=DW$2,1,0)=1,1+COUNTIF(DW$3:DW355,"&gt;0"),0)</f>
        <v>0</v>
      </c>
      <c r="DY356">
        <f t="shared" si="278"/>
        <v>1</v>
      </c>
      <c r="DZ356">
        <f>IF(DY356=0,0,1+MAX(DZ$3:$DZ355))</f>
        <v>354</v>
      </c>
      <c r="EB356">
        <f t="shared" si="293"/>
        <v>0</v>
      </c>
      <c r="EC356">
        <f>IF(EB356=0,0,1+COUNTIF(EC$3:EC355,"&gt;0"))</f>
        <v>0</v>
      </c>
      <c r="ED356" t="str">
        <f t="shared" si="321"/>
        <v/>
      </c>
      <c r="EE356" t="str">
        <f t="shared" si="294"/>
        <v/>
      </c>
      <c r="EG356">
        <f t="shared" si="295"/>
        <v>0</v>
      </c>
      <c r="EH356">
        <f>IF(EG356=0,0,1+COUNTIF(EH$3:EH355,"&gt;0"))</f>
        <v>0</v>
      </c>
      <c r="EI356" t="str">
        <f t="shared" si="322"/>
        <v/>
      </c>
      <c r="EJ356" t="str">
        <f t="shared" si="296"/>
        <v/>
      </c>
      <c r="EL356">
        <f t="shared" si="297"/>
        <v>0</v>
      </c>
      <c r="EM356">
        <f>IF(EL356=0,0,1+COUNTIF(EM$3:EM355,"&gt;0"))</f>
        <v>0</v>
      </c>
      <c r="EN356" t="str">
        <f t="shared" si="323"/>
        <v/>
      </c>
      <c r="EO356" t="str">
        <f t="shared" si="298"/>
        <v/>
      </c>
      <c r="EQ356">
        <f t="shared" si="299"/>
        <v>0</v>
      </c>
      <c r="ER356">
        <f>IF(EQ356=0,0,1+COUNTIF(ER$3:ER355,"&gt;0"))</f>
        <v>0</v>
      </c>
      <c r="ES356" t="str">
        <f t="shared" si="324"/>
        <v/>
      </c>
      <c r="ET356" t="str">
        <f t="shared" si="300"/>
        <v/>
      </c>
      <c r="EV356">
        <f t="shared" si="301"/>
        <v>0</v>
      </c>
      <c r="EW356">
        <f>IF(EV356=0,0,1+COUNTIF(EW$3:EW355,"&gt;0"))</f>
        <v>0</v>
      </c>
      <c r="EX356" t="str">
        <f t="shared" si="325"/>
        <v/>
      </c>
      <c r="EY356" t="str">
        <f t="shared" si="302"/>
        <v/>
      </c>
      <c r="FA356">
        <f t="shared" si="303"/>
        <v>0</v>
      </c>
      <c r="FB356">
        <f>IF(FA356=0,0,1+COUNTIF(FB$3:FB355,"&gt;0"))</f>
        <v>0</v>
      </c>
      <c r="FC356" t="str">
        <f t="shared" si="326"/>
        <v/>
      </c>
      <c r="FD356" t="str">
        <f t="shared" si="304"/>
        <v/>
      </c>
      <c r="FF356">
        <f t="shared" si="305"/>
        <v>0</v>
      </c>
      <c r="FG356">
        <f>IF(FF356=0,0,1+COUNTIF(FG$3:FG355,"&gt;0"))</f>
        <v>0</v>
      </c>
      <c r="FH356" t="str">
        <f t="shared" si="327"/>
        <v/>
      </c>
      <c r="FI356" t="str">
        <f t="shared" si="306"/>
        <v/>
      </c>
      <c r="FK356">
        <f t="shared" si="307"/>
        <v>0</v>
      </c>
      <c r="FL356">
        <f>IF(FK356=0,0,1+COUNTIF(FL$3:FL355,"&gt;0"))</f>
        <v>0</v>
      </c>
      <c r="FM356" t="str">
        <f t="shared" si="328"/>
        <v/>
      </c>
      <c r="FN356" t="str">
        <f t="shared" si="308"/>
        <v/>
      </c>
      <c r="FP356">
        <f t="shared" si="309"/>
        <v>0</v>
      </c>
      <c r="FQ356">
        <f>IF(FP356=0,0,1+COUNTIF(FQ$3:FQ355,"&gt;0"))</f>
        <v>0</v>
      </c>
      <c r="FR356" t="str">
        <f t="shared" si="329"/>
        <v/>
      </c>
      <c r="FS356" t="str">
        <f t="shared" si="310"/>
        <v/>
      </c>
    </row>
    <row r="357" spans="1:175" x14ac:dyDescent="0.25">
      <c r="A357" s="347">
        <f t="shared" si="331"/>
        <v>355</v>
      </c>
      <c r="B357" s="348" t="s">
        <v>2759</v>
      </c>
      <c r="C357" s="348">
        <v>9</v>
      </c>
      <c r="D357" s="347">
        <v>9</v>
      </c>
      <c r="E357" s="627" t="s">
        <v>6952</v>
      </c>
      <c r="F357" s="346"/>
      <c r="G357" s="347" t="str">
        <f>""</f>
        <v/>
      </c>
      <c r="H357" s="347" t="s">
        <v>5912</v>
      </c>
      <c r="I357" s="347" t="s">
        <v>5290</v>
      </c>
      <c r="J357" s="347" t="str">
        <f t="shared" si="279"/>
        <v/>
      </c>
      <c r="K357" s="347" t="s">
        <v>5291</v>
      </c>
      <c r="L357" s="611" t="str">
        <f t="shared" si="280"/>
        <v>V, S</v>
      </c>
      <c r="M357" s="347" t="s">
        <v>2373</v>
      </c>
      <c r="N357" s="347" t="s">
        <v>2387</v>
      </c>
      <c r="O357" s="347" t="s">
        <v>3034</v>
      </c>
      <c r="P357" s="346" t="str">
        <f>""</f>
        <v/>
      </c>
      <c r="Q357" s="347" t="s">
        <v>5274</v>
      </c>
      <c r="S357" s="346" t="s">
        <v>5519</v>
      </c>
      <c r="T357" s="346" t="str">
        <f t="shared" si="281"/>
        <v xml:space="preserve">Arcane Trickster, Wizard, </v>
      </c>
      <c r="AC357" s="539" t="str">
        <f>B357</f>
        <v>Weird</v>
      </c>
      <c r="AD357" s="347" t="str">
        <f>$B357</f>
        <v>Weird</v>
      </c>
      <c r="AE357" t="str">
        <f>IF(IFERROR(MATCH($B357,temp!A$4:A$13,0),0)&gt;0,T08_Spells!AE$2,"")</f>
        <v/>
      </c>
      <c r="AF357" t="str">
        <f>IF(IFERROR(MATCH($B357,temp!B$4:B$13,0),0)&gt;0,T08_Spells!AF$2,"")</f>
        <v/>
      </c>
      <c r="AG357" t="str">
        <f>IF(IFERROR(MATCH($B357,temp!C$4:C$13,0),0)&gt;0,T08_Spells!AG$2,"")</f>
        <v/>
      </c>
      <c r="AH357" t="str">
        <f>IF(IFERROR(MATCH($B357,temp!D$4:D$13,0),0)&gt;0,T08_Spells!AH$2,"")</f>
        <v/>
      </c>
      <c r="AI357" t="str">
        <f>IF(IFERROR(MATCH($B357,temp!E$4:E$13,0),0)&gt;0,T08_Spells!AI$2,"")</f>
        <v/>
      </c>
      <c r="AJ357" t="str">
        <f>IF(IFERROR(MATCH($B357,temp!F$4:F$13,0),0)&gt;0,T08_Spells!AJ$2,"")</f>
        <v/>
      </c>
      <c r="AK357" t="str">
        <f>IF(IFERROR(MATCH($B357,temp!G$4:G$13,0),0)&gt;0,T08_Spells!AK$2,"")</f>
        <v/>
      </c>
      <c r="AL357" t="str">
        <f>IF(IFERROR(MATCH($B357,temp!H$4:H$13,0),0)&gt;0,T08_Spells!AL$2,"")</f>
        <v/>
      </c>
      <c r="AM357" t="str">
        <f>IF(IFERROR(MATCH($B357,temp!I$4:I$13,0),0)&gt;0,T08_Spells!AM$2,"")</f>
        <v/>
      </c>
      <c r="AN357" t="str">
        <f>IF(IFERROR(MATCH($B357,temp!J$4:J$13,0),0)&gt;0,T08_Spells!AN$2,"")</f>
        <v/>
      </c>
      <c r="AO357" t="str">
        <f>IF(IFERROR(MATCH($B357,temp!K$4:K$13,0),0)&gt;0,T08_Spells!AO$2,"")</f>
        <v/>
      </c>
      <c r="AP357" t="str">
        <f>IF(IFERROR(MATCH($B357,temp!L$4:L$13,0),0)&gt;0,T08_Spells!AP$2,"")</f>
        <v/>
      </c>
      <c r="AQ357" t="str">
        <f>IF(IFERROR(MATCH($B357,temp!M$4:M$13,0),0)&gt;0,T08_Spells!AQ$2,"")</f>
        <v/>
      </c>
      <c r="AR357" t="str">
        <f>IF(IFERROR(MATCH($B357,temp!N$4:N$13,0),0)&gt;0,T08_Spells!AR$2,"")</f>
        <v/>
      </c>
      <c r="AS357" t="str">
        <f>IF(IFERROR(MATCH($B357,temp!O$4:O$13,0),0)&gt;0,T08_Spells!AS$2,"")</f>
        <v/>
      </c>
      <c r="AT357" t="str">
        <f>IF(IFERROR(MATCH($B357,temp!P$4:P$13,0),0)&gt;0,T08_Spells!AT$2,"")</f>
        <v/>
      </c>
      <c r="AU357" t="str">
        <f>IF(IFERROR(MATCH($B357,temp!Q$4:Q$13,0),0)&gt;0,T08_Spells!AU$2,"")</f>
        <v/>
      </c>
      <c r="AV357" t="str">
        <f>IF(IFERROR(MATCH($B357,temp!R$4:R$13,0),0)&gt;0,T08_Spells!AV$2,"")</f>
        <v/>
      </c>
      <c r="AW357" t="str">
        <f>IF(IFERROR(MATCH($B357,temp!S$4:S$13,0),0)&gt;0,T08_Spells!AW$2,"")</f>
        <v/>
      </c>
      <c r="AX357" t="str">
        <f>IF(IFERROR(MATCH($B357,temp!T$4:T$13,0),0)&gt;0,T08_Spells!AX$2,"")</f>
        <v/>
      </c>
      <c r="AY357" t="str">
        <f>IF(IFERROR(MATCH($B357,temp!U$4:U$13,0),0)&gt;0,T08_Spells!AY$2,"")</f>
        <v/>
      </c>
      <c r="AZ357" t="str">
        <f>IF(IFERROR(MATCH($B357,temp!V$4:V$13,0),0)&gt;0,T08_Spells!AZ$2,"")</f>
        <v/>
      </c>
      <c r="BA357" t="str">
        <f>IF(IFERROR(MATCH($B357,temp!W$4:W$13,0),0)&gt;0,T08_Spells!BA$2,"")</f>
        <v/>
      </c>
      <c r="BC357">
        <f>IF(IFERROR(SEARCH("Ranger",$T357,1),0)&gt;0,1,0)*IF(RangerMaxSpellLevel&gt;=$C357,1,0)*IF(IFERROR(MATCH(B357,Character_Creation!$X$79:$X$382,0),0)&gt;0,0,1)</f>
        <v>0</v>
      </c>
      <c r="BD357">
        <f>IF(BC357=0,0,1+COUNTIF(BD$3:BD356,"&gt;0"))</f>
        <v>0</v>
      </c>
      <c r="BE357" t="str">
        <f t="shared" si="311"/>
        <v/>
      </c>
      <c r="BF357" t="str">
        <f t="shared" si="283"/>
        <v/>
      </c>
      <c r="BH357">
        <f>IF(IFERROR(SEARCH("Sorcerer",$T357,1),0)&gt;0,1,0)*IF(SorcererMaxSpellLevel&gt;=$C357,1,0)*IF(IFERROR(MATCH(B357,Character_Creation!$J$380:$J$394,0),0)&gt;0,0,1)</f>
        <v>0</v>
      </c>
      <c r="BI357">
        <f>IF(BH357=0,0,1+COUNTIF(BI$3:BI356,"&gt;0"))</f>
        <v>0</v>
      </c>
      <c r="BJ357" t="str">
        <f t="shared" si="312"/>
        <v/>
      </c>
      <c r="BK357" t="str">
        <f t="shared" si="284"/>
        <v/>
      </c>
      <c r="BM357">
        <f>IF(OR(IFERROR(SEARCH("Warlock",$T357,1),0)&gt;0,IFERROR(SEARCH(WarlockPatron,$T357,1),0)&gt;0),1,0)*IF(WarlockMaxSpellLevel&gt;=$C357,1,0)*IF(IFERROR(MATCH(B357,Character_Creation!$J$361:$J$375,0),0)&gt;0,0,1)</f>
        <v>0</v>
      </c>
      <c r="BN357">
        <f>IF(BM357=0,0,1+COUNTIF(BN$3:BN356,"&gt;0"))</f>
        <v>0</v>
      </c>
      <c r="BO357" t="str">
        <f t="shared" si="313"/>
        <v/>
      </c>
      <c r="BP357" t="str">
        <f t="shared" si="285"/>
        <v/>
      </c>
      <c r="BR357">
        <f>IF(IFERROR(SEARCH("Eldritch Knight",$T357,1),0)&gt;0,1,0)*IF(EldritchKnightMaxSpellLevel&gt;=$C357,1,0)*IF(IFERROR(MATCH($B357,Character_Creation!$J$350:$J$356,0),0)&gt;0,0,1)*IF(Character_Creation!$M$338&gt;0,1,0)</f>
        <v>0</v>
      </c>
      <c r="BS357">
        <f>IF(BR357=0,0,1+COUNTIF(BS$3:BS356,"&gt;0"))</f>
        <v>0</v>
      </c>
      <c r="BT357" t="str">
        <f t="shared" si="314"/>
        <v/>
      </c>
      <c r="BU357" t="str">
        <f t="shared" si="286"/>
        <v/>
      </c>
      <c r="BW357">
        <f>IF(IFERROR(SEARCH("Arcane Trickster",$T357,1),0)&gt;0,1,0)*IF(ArcaneTricksterMaxSpellLevel&gt;=$C357,1,0)*IF(IFERROR(MATCH($B357,Character_Creation!$J$350:$J$356,0),0)&gt;0,0,1)*IF(Character_Creation!$T$338&gt;0,1,0)</f>
        <v>0</v>
      </c>
      <c r="BX357">
        <f>IF(BW357=0,0,1+COUNTIF(BX$3:BX356,"&gt;0"))</f>
        <v>0</v>
      </c>
      <c r="BY357" t="str">
        <f t="shared" si="315"/>
        <v/>
      </c>
      <c r="BZ357" t="str">
        <f t="shared" si="287"/>
        <v/>
      </c>
      <c r="CB357">
        <f>IF(IFERROR(SEARCH("Wizard",$T357,1),0)&gt;0,1,0)*IF(C357&lt;=ArcaneTricksterMaxSpellLevel,1,0)*IF(IFERROR(MATCH($B357,Character_Creation!$J$350:$J$356,0),0)&gt;0,0,1)*IF(Character_Creation!$T$350&gt;0,1,0)</f>
        <v>0</v>
      </c>
      <c r="CC357">
        <f>IF(CB357=0,0,1+COUNTIF(CC$3:CC356,"&gt;0"))</f>
        <v>0</v>
      </c>
      <c r="CD357" t="str">
        <f t="shared" si="316"/>
        <v/>
      </c>
      <c r="CE357" t="str">
        <f t="shared" si="288"/>
        <v/>
      </c>
      <c r="CG357">
        <f>IF(IFERROR(SEARCH("Wizard",$T357,1),0)&gt;0,1,0)*IF($C357&lt;=EldritchKnightMaxSpellLevel,1,0)*IF(IFERROR(MATCH($B357,Character_Creation!$J$350:$J$356,0),0)&gt;0,0,1)*IF(Character_Creation!$M$350&gt;0,1,0)</f>
        <v>0</v>
      </c>
      <c r="CH357">
        <f>IF(CG357=0,0,1+COUNTIF(CH$3:CH356,"&gt;0"))</f>
        <v>0</v>
      </c>
      <c r="CI357" t="str">
        <f t="shared" si="317"/>
        <v/>
      </c>
      <c r="CJ357" t="str">
        <f t="shared" si="289"/>
        <v/>
      </c>
      <c r="CL357">
        <f>IF(IFERROR(SEARCH("Bard",$T357,1),0)&gt;0,1,0)*IF(BardMaxSpellLevel&gt;=$C357,1,0)*IF(IFERROR(MATCH(B357,Character_Creation!$C$341:$F$362,0),0)&gt;0,0,1)*IF(IFERROR(MATCH($B357,Character_Creation!$C$341:$C$362,0),0)&gt;0,0,1)</f>
        <v>0</v>
      </c>
      <c r="CM357">
        <f>IF(CL357=0,0,1+COUNTIF(CM$3:CM356,"&gt;0"))</f>
        <v>0</v>
      </c>
      <c r="CN357" t="str">
        <f t="shared" si="318"/>
        <v/>
      </c>
      <c r="CO357" t="str">
        <f t="shared" si="290"/>
        <v/>
      </c>
      <c r="CQ357">
        <f>IF(IFERROR(SEARCH("Wizard",$T357,1),0)&gt;0,1,0)*IF(WizardMaxSpellLevel&gt;=$C357,1,0)*IF(IFERROR(MATCH(B357,Character_Creation!$X$341:$X$400,0),0)&gt;0,0,1)*IF(SelectedWizardSpellLevel=$C357,1,0)</f>
        <v>0</v>
      </c>
      <c r="CR357">
        <f>IF(CQ357=0,0,1+COUNTIF(CR$3:CR356,"&gt;0"))</f>
        <v>0</v>
      </c>
      <c r="CS357" t="str">
        <f t="shared" si="319"/>
        <v/>
      </c>
      <c r="CT357" t="str">
        <f t="shared" si="291"/>
        <v/>
      </c>
      <c r="CV357">
        <f>IF(IFERROR(MATCH($B357,Character_Creation!$C$341:$C$362,0),0)&gt;0,0,1)*IF(OR(C357="Cantrip",C357&lt;=BardMaxSpellLevel),1,0)*IF(IFERROR(MATCH($B357,Character_Creation!$C$367:$C$374,0),0)&gt;0,0,1)</f>
        <v>0</v>
      </c>
      <c r="CW357">
        <f>IF(CV357=0,0,1+COUNTIF(CW$3:CW356,"&gt;0"))</f>
        <v>0</v>
      </c>
      <c r="CX357" t="str">
        <f t="shared" si="320"/>
        <v/>
      </c>
      <c r="CY357" t="str">
        <f t="shared" si="292"/>
        <v/>
      </c>
      <c r="DA357">
        <f>IF(IF(OR(IFERROR(SEARCH("Cleric",$T357,1),0)&gt;0,IFERROR(SEARCH(DivineDomain&amp;",",$T357,1),0)&gt;0),1,0)*IF($C357=DA$2,1,0)=1,1+COUNTIF(DA$3:DA356,"&gt;0"),0)</f>
        <v>0</v>
      </c>
      <c r="DB357">
        <f>IF(IF(OR(IFERROR(SEARCH("Cleric",$T357,1),0)&gt;0,IFERROR(SEARCH(DivineDomain&amp;",",$T357,1),0)&gt;0),1,0)*IF($C357=DB$2,1,0)=1,1+COUNTIF(DB$3:DB356,"&gt;0"),0)</f>
        <v>0</v>
      </c>
      <c r="DC357">
        <f>IF(IF(OR(IFERROR(SEARCH("Cleric",$T357,1),0)&gt;0,IFERROR(SEARCH(DivineDomain&amp;",",$T357,1),0)&gt;0),1,0)*IF($C357=DC$2,1,0)=1,1+COUNTIF(DC$3:DC356,"&gt;0"),0)</f>
        <v>0</v>
      </c>
      <c r="DD357">
        <f>IF(IF(OR(IFERROR(SEARCH("Cleric",$T357,1),0)&gt;0,IFERROR(SEARCH(DivineDomain&amp;",",$T357,1),0)&gt;0),1,0)*IF($C357=DD$2,1,0)=1,1+COUNTIF(DD$3:DD356,"&gt;0"),0)</f>
        <v>0</v>
      </c>
      <c r="DE357">
        <f>IF(IF(OR(IFERROR(SEARCH("Cleric",$T357,1),0)&gt;0,IFERROR(SEARCH(DivineDomain&amp;",",$T357,1),0)&gt;0),1,0)*IF($C357=DE$2,1,0)=1,1+COUNTIF(DE$3:DE356,"&gt;0"),0)</f>
        <v>0</v>
      </c>
      <c r="DF357">
        <f>IF(IF(OR(IFERROR(SEARCH("Cleric",$T357,1),0)&gt;0,IFERROR(SEARCH(DivineDomain&amp;",",$T357,1),0)&gt;0),1,0)*IF($C357=DF$2,1,0)=1,1+COUNTIF(DF$3:DF356,"&gt;0"),0)</f>
        <v>0</v>
      </c>
      <c r="DG357">
        <f>IF(IF(OR(IFERROR(SEARCH("Cleric",$T357,1),0)&gt;0,IFERROR(SEARCH(DivineDomain&amp;",",$T357,1),0)&gt;0),1,0)*IF($C357=DG$2,1,0)=1,1+COUNTIF(DG$3:DG356,"&gt;0"),0)</f>
        <v>0</v>
      </c>
      <c r="DH357">
        <f>IF(IF(OR(IFERROR(SEARCH("Cleric",$T357,1),0)&gt;0,IFERROR(SEARCH(DivineDomain&amp;",",$T357,1),0)&gt;0),1,0)*IF($C357=DH$2,1,0)=1,1+COUNTIF(DH$3:DH356,"&gt;0"),0)</f>
        <v>0</v>
      </c>
      <c r="DI357">
        <f>IF(IF(OR(IFERROR(SEARCH("Cleric",$T357,1),0)&gt;0,IFERROR(SEARCH(DivineDomain&amp;",",$T357,1),0)&gt;0),1,0)*IF($C357=DI$2,1,0)=1,1+COUNTIF(DI$3:DI356,"&gt;0"),0)</f>
        <v>0</v>
      </c>
      <c r="DJ357">
        <f>IF(IF(OR(IFERROR(SEARCH("Druid",$T357,1),0)&gt;0,IFERROR(SEARCH(DruidLand1,$T357,1),0)&gt;0,IFERROR(SEARCH(DruidLand2,$T357,1),0)&gt;0,IFERROR(SEARCH(DruidLand3,$T357,1),0)&gt;0,IFERROR(SEARCH(DruidLand4,$T357,1),0)&gt;0),1,0)*IF($C357=1,1,0)*IF($C357=DJ$2,1,0)=0,0,1+COUNTIF(DJ$3:DJ356,"&gt;0"))</f>
        <v>0</v>
      </c>
      <c r="DK357">
        <f>IF(IF(OR(IFERROR(SEARCH("Druid",$T357,1),0)&gt;0,IFERROR(SEARCH(DruidLand1,$T357,1),0)&gt;0,IFERROR(SEARCH(DruidLand2,$T357,1),0)&gt;0,IFERROR(SEARCH(DruidLand3,$T357,1),0)&gt;0,IFERROR(SEARCH(DruidLand4,$T357,1),0)&gt;0),1,0)*IF($C357=1,1,0)*IF($C357=DK$2,1,0)=0,0,1+COUNTIF(DK$3:DK356,"&gt;0"))</f>
        <v>0</v>
      </c>
      <c r="DL357">
        <f>IF(IF(OR(IFERROR(SEARCH("Druid",$T357,1),0)&gt;0,IFERROR(SEARCH(DruidLand1,$T357,1),0)&gt;0,IFERROR(SEARCH(DruidLand2,$T357,1),0)&gt;0,IFERROR(SEARCH(DruidLand3,$T357,1),0)&gt;0,IFERROR(SEARCH(DruidLand4,$T357,1),0)&gt;0),1,0)*IF($C357=1,1,0)*IF($C357=DL$2,1,0)=0,0,1+COUNTIF(DL$3:DL356,"&gt;0"))</f>
        <v>0</v>
      </c>
      <c r="DM357">
        <f>IF(IF(OR(IFERROR(SEARCH("Druid",$T357,1),0)&gt;0,IFERROR(SEARCH(DruidLand1,$T357,1),0)&gt;0,IFERROR(SEARCH(DruidLand2,$T357,1),0)&gt;0,IFERROR(SEARCH(DruidLand3,$T357,1),0)&gt;0,IFERROR(SEARCH(DruidLand4,$T357,1),0)&gt;0),1,0)*IF($C357=1,1,0)*IF($C357=DM$2,1,0)=0,0,1+COUNTIF(DM$3:DM356,"&gt;0"))</f>
        <v>0</v>
      </c>
      <c r="DN357">
        <f>IF(IF(OR(IFERROR(SEARCH("Druid",$T357,1),0)&gt;0,IFERROR(SEARCH(DruidLand1,$T357,1),0)&gt;0,IFERROR(SEARCH(DruidLand2,$T357,1),0)&gt;0,IFERROR(SEARCH(DruidLand3,$T357,1),0)&gt;0,IFERROR(SEARCH(DruidLand4,$T357,1),0)&gt;0),1,0)*IF($C357=1,1,0)*IF($C357=DN$2,1,0)=0,0,1+COUNTIF(DN$3:DN356,"&gt;0"))</f>
        <v>0</v>
      </c>
      <c r="DO357">
        <f>IF(IF(OR(IFERROR(SEARCH("Druid",$T357,1),0)&gt;0,IFERROR(SEARCH(DruidLand1,$T357,1),0)&gt;0,IFERROR(SEARCH(DruidLand2,$T357,1),0)&gt;0,IFERROR(SEARCH(DruidLand3,$T357,1),0)&gt;0,IFERROR(SEARCH(DruidLand4,$T357,1),0)&gt;0),1,0)*IF($C357=1,1,0)*IF($C357=DO$2,1,0)=0,0,1+COUNTIF(DO$3:DO356,"&gt;0"))</f>
        <v>0</v>
      </c>
      <c r="DP357">
        <f>IF(IF(OR(IFERROR(SEARCH("Druid",$T357,1),0)&gt;0,IFERROR(SEARCH(DruidLand1,$T357,1),0)&gt;0,IFERROR(SEARCH(DruidLand2,$T357,1),0)&gt;0,IFERROR(SEARCH(DruidLand3,$T357,1),0)&gt;0,IFERROR(SEARCH(DruidLand4,$T357,1),0)&gt;0),1,0)*IF($C357=1,1,0)*IF($C357=DP$2,1,0)=0,0,1+COUNTIF(DP$3:DP356,"&gt;0"))</f>
        <v>0</v>
      </c>
      <c r="DQ357">
        <f>IF(IF(OR(IFERROR(SEARCH("Druid",$T357,1),0)&gt;0,IFERROR(SEARCH(DruidLand1,$T357,1),0)&gt;0,IFERROR(SEARCH(DruidLand2,$T357,1),0)&gt;0,IFERROR(SEARCH(DruidLand3,$T357,1),0)&gt;0,IFERROR(SEARCH(DruidLand4,$T357,1),0)&gt;0),1,0)*IF($C357=1,1,0)*IF($C357=DQ$2,1,0)=0,0,1+COUNTIF(DQ$3:DQ356,"&gt;0"))</f>
        <v>0</v>
      </c>
      <c r="DR357">
        <f>IF(IF(OR(IFERROR(SEARCH("Druid",$T357,1),0)&gt;0,IFERROR(SEARCH(DruidLand1,$T357,1),0)&gt;0,IFERROR(SEARCH(DruidLand2,$T357,1),0)&gt;0,IFERROR(SEARCH(DruidLand3,$T357,1),0)&gt;0,IFERROR(SEARCH(DruidLand4,$T357,1),0)&gt;0),1,0)*IF($C357=1,1,0)*IF($C357=DR$2,1,0)=0,0,1+COUNTIF(DR$3:DR356,"&gt;0"))</f>
        <v>0</v>
      </c>
      <c r="DS357">
        <f>IF(IF(OR(IFERROR(SEARCH("Paladin",$T357,1),0)&gt;0,IFERROR(SEARCH(PaladinOath,$T357,1),0)&gt;0),1,0)*IF($C357=DS$2,1,0)=1,1+COUNTIF(DS$3:DS356,"&gt;0"),0)</f>
        <v>0</v>
      </c>
      <c r="DT357">
        <f>IF(IF(OR(IFERROR(SEARCH("Paladin",$T357,1),0)&gt;0,IFERROR(SEARCH(PaladinOath,$T357,1),0)&gt;0),1,0)*IF($C357=DT$2,1,0)=1,1+COUNTIF(DT$3:DT356,"&gt;0"),0)</f>
        <v>0</v>
      </c>
      <c r="DU357">
        <f>IF(IF(OR(IFERROR(SEARCH("Paladin",$T357,1),0)&gt;0,IFERROR(SEARCH(PaladinOath,$T357,1),0)&gt;0),1,0)*IF($C357=DU$2,1,0)=1,1+COUNTIF(DU$3:DU356,"&gt;0"),0)</f>
        <v>0</v>
      </c>
      <c r="DV357">
        <f>IF(IF(OR(IFERROR(SEARCH("Paladin",$T357,1),0)&gt;0,IFERROR(SEARCH(PaladinOath,$T357,1),0)&gt;0),1,0)*IF($C357=DV$2,1,0)=1,1+COUNTIF(DV$3:DV356,"&gt;0"),0)</f>
        <v>0</v>
      </c>
      <c r="DW357">
        <f>IF(IF(OR(IFERROR(SEARCH("Paladin",$T357,1),0)&gt;0,IFERROR(SEARCH(PaladinOath,$T357,1),0)&gt;0),1,0)*IF($C357=DW$2,1,0)=1,1+COUNTIF(DW$3:DW356,"&gt;0"),0)</f>
        <v>0</v>
      </c>
      <c r="DY357">
        <f t="shared" si="278"/>
        <v>1</v>
      </c>
      <c r="DZ357">
        <f>IF(DY357=0,0,1+MAX(DZ$3:$DZ356))</f>
        <v>355</v>
      </c>
      <c r="EB357">
        <f t="shared" si="293"/>
        <v>0</v>
      </c>
      <c r="EC357">
        <f>IF(EB357=0,0,1+COUNTIF(EC$3:EC356,"&gt;0"))</f>
        <v>0</v>
      </c>
      <c r="ED357" t="str">
        <f t="shared" si="321"/>
        <v/>
      </c>
      <c r="EE357" t="str">
        <f t="shared" si="294"/>
        <v/>
      </c>
      <c r="EG357">
        <f t="shared" si="295"/>
        <v>0</v>
      </c>
      <c r="EH357">
        <f>IF(EG357=0,0,1+COUNTIF(EH$3:EH356,"&gt;0"))</f>
        <v>0</v>
      </c>
      <c r="EI357" t="str">
        <f t="shared" si="322"/>
        <v/>
      </c>
      <c r="EJ357" t="str">
        <f t="shared" si="296"/>
        <v/>
      </c>
      <c r="EL357">
        <f t="shared" si="297"/>
        <v>0</v>
      </c>
      <c r="EM357">
        <f>IF(EL357=0,0,1+COUNTIF(EM$3:EM356,"&gt;0"))</f>
        <v>0</v>
      </c>
      <c r="EN357" t="str">
        <f t="shared" si="323"/>
        <v/>
      </c>
      <c r="EO357" t="str">
        <f t="shared" si="298"/>
        <v/>
      </c>
      <c r="EQ357">
        <f t="shared" si="299"/>
        <v>0</v>
      </c>
      <c r="ER357">
        <f>IF(EQ357=0,0,1+COUNTIF(ER$3:ER356,"&gt;0"))</f>
        <v>0</v>
      </c>
      <c r="ES357" t="str">
        <f t="shared" si="324"/>
        <v/>
      </c>
      <c r="ET357" t="str">
        <f t="shared" si="300"/>
        <v/>
      </c>
      <c r="EV357">
        <f t="shared" si="301"/>
        <v>0</v>
      </c>
      <c r="EW357">
        <f>IF(EV357=0,0,1+COUNTIF(EW$3:EW356,"&gt;0"))</f>
        <v>0</v>
      </c>
      <c r="EX357" t="str">
        <f t="shared" si="325"/>
        <v/>
      </c>
      <c r="EY357" t="str">
        <f t="shared" si="302"/>
        <v/>
      </c>
      <c r="FA357">
        <f t="shared" si="303"/>
        <v>0</v>
      </c>
      <c r="FB357">
        <f>IF(FA357=0,0,1+COUNTIF(FB$3:FB356,"&gt;0"))</f>
        <v>0</v>
      </c>
      <c r="FC357" t="str">
        <f t="shared" si="326"/>
        <v/>
      </c>
      <c r="FD357" t="str">
        <f t="shared" si="304"/>
        <v/>
      </c>
      <c r="FF357">
        <f t="shared" si="305"/>
        <v>0</v>
      </c>
      <c r="FG357">
        <f>IF(FF357=0,0,1+COUNTIF(FG$3:FG356,"&gt;0"))</f>
        <v>0</v>
      </c>
      <c r="FH357" t="str">
        <f t="shared" si="327"/>
        <v/>
      </c>
      <c r="FI357" t="str">
        <f t="shared" si="306"/>
        <v/>
      </c>
      <c r="FK357">
        <f t="shared" si="307"/>
        <v>0</v>
      </c>
      <c r="FL357">
        <f>IF(FK357=0,0,1+COUNTIF(FL$3:FL356,"&gt;0"))</f>
        <v>0</v>
      </c>
      <c r="FM357" t="str">
        <f t="shared" si="328"/>
        <v/>
      </c>
      <c r="FN357" t="str">
        <f t="shared" si="308"/>
        <v/>
      </c>
      <c r="FP357">
        <f t="shared" si="309"/>
        <v>0</v>
      </c>
      <c r="FQ357">
        <f>IF(FP357=0,0,1+COUNTIF(FQ$3:FQ356,"&gt;0"))</f>
        <v>0</v>
      </c>
      <c r="FR357" t="str">
        <f t="shared" si="329"/>
        <v/>
      </c>
      <c r="FS357" t="str">
        <f t="shared" si="310"/>
        <v/>
      </c>
    </row>
    <row r="358" spans="1:175" x14ac:dyDescent="0.25">
      <c r="A358" s="347">
        <f t="shared" si="331"/>
        <v>356</v>
      </c>
      <c r="B358" s="348" t="s">
        <v>2760</v>
      </c>
      <c r="C358" s="348">
        <v>6</v>
      </c>
      <c r="D358" s="347">
        <v>6</v>
      </c>
      <c r="E358" s="627" t="s">
        <v>6952</v>
      </c>
      <c r="F358" s="346"/>
      <c r="G358" s="347" t="str">
        <f>""</f>
        <v/>
      </c>
      <c r="H358" s="347" t="s">
        <v>5288</v>
      </c>
      <c r="I358" s="347" t="s">
        <v>5060</v>
      </c>
      <c r="J358" s="347" t="str">
        <f t="shared" si="279"/>
        <v/>
      </c>
      <c r="K358" s="347" t="s">
        <v>5279</v>
      </c>
      <c r="L358" s="611" t="str">
        <f t="shared" si="280"/>
        <v>V, S</v>
      </c>
      <c r="M358" s="347" t="s">
        <v>2373</v>
      </c>
      <c r="N358" s="347" t="s">
        <v>2387</v>
      </c>
      <c r="O358" s="347" t="s">
        <v>3034</v>
      </c>
      <c r="P358" s="346" t="str">
        <f>""</f>
        <v/>
      </c>
      <c r="Q358" s="347" t="s">
        <v>5276</v>
      </c>
      <c r="S358" s="346" t="s">
        <v>5862</v>
      </c>
      <c r="T358" s="346" t="str">
        <f t="shared" si="281"/>
        <v xml:space="preserve">Druid, </v>
      </c>
      <c r="AA358" s="347" t="str">
        <f>$B358</f>
        <v>Wind Walk</v>
      </c>
      <c r="AE358" t="str">
        <f>IF(IFERROR(MATCH($B358,temp!A$4:A$13,0),0)&gt;0,T08_Spells!AE$2,"")</f>
        <v/>
      </c>
      <c r="AF358" t="str">
        <f>IF(IFERROR(MATCH($B358,temp!B$4:B$13,0),0)&gt;0,T08_Spells!AF$2,"")</f>
        <v/>
      </c>
      <c r="AG358" t="str">
        <f>IF(IFERROR(MATCH($B358,temp!C$4:C$13,0),0)&gt;0,T08_Spells!AG$2,"")</f>
        <v/>
      </c>
      <c r="AH358" t="str">
        <f>IF(IFERROR(MATCH($B358,temp!D$4:D$13,0),0)&gt;0,T08_Spells!AH$2,"")</f>
        <v/>
      </c>
      <c r="AI358" t="str">
        <f>IF(IFERROR(MATCH($B358,temp!E$4:E$13,0),0)&gt;0,T08_Spells!AI$2,"")</f>
        <v/>
      </c>
      <c r="AJ358" t="str">
        <f>IF(IFERROR(MATCH($B358,temp!F$4:F$13,0),0)&gt;0,T08_Spells!AJ$2,"")</f>
        <v/>
      </c>
      <c r="AK358" t="str">
        <f>IF(IFERROR(MATCH($B358,temp!G$4:G$13,0),0)&gt;0,T08_Spells!AK$2,"")</f>
        <v/>
      </c>
      <c r="AL358" t="str">
        <f>IF(IFERROR(MATCH($B358,temp!H$4:H$13,0),0)&gt;0,T08_Spells!AL$2,"")</f>
        <v/>
      </c>
      <c r="AM358" t="str">
        <f>IF(IFERROR(MATCH($B358,temp!I$4:I$13,0),0)&gt;0,T08_Spells!AM$2,"")</f>
        <v/>
      </c>
      <c r="AN358" t="str">
        <f>IF(IFERROR(MATCH($B358,temp!J$4:J$13,0),0)&gt;0,T08_Spells!AN$2,"")</f>
        <v/>
      </c>
      <c r="AO358" t="str">
        <f>IF(IFERROR(MATCH($B358,temp!K$4:K$13,0),0)&gt;0,T08_Spells!AO$2,"")</f>
        <v/>
      </c>
      <c r="AP358" t="str">
        <f>IF(IFERROR(MATCH($B358,temp!L$4:L$13,0),0)&gt;0,T08_Spells!AP$2,"")</f>
        <v/>
      </c>
      <c r="AQ358" t="str">
        <f>IF(IFERROR(MATCH($B358,temp!M$4:M$13,0),0)&gt;0,T08_Spells!AQ$2,"")</f>
        <v/>
      </c>
      <c r="AR358" t="str">
        <f>IF(IFERROR(MATCH($B358,temp!N$4:N$13,0),0)&gt;0,T08_Spells!AR$2,"")</f>
        <v/>
      </c>
      <c r="AS358" t="str">
        <f>IF(IFERROR(MATCH($B358,temp!O$4:O$13,0),0)&gt;0,T08_Spells!AS$2,"")</f>
        <v/>
      </c>
      <c r="AT358" t="str">
        <f>IF(IFERROR(MATCH($B358,temp!P$4:P$13,0),0)&gt;0,T08_Spells!AT$2,"")</f>
        <v/>
      </c>
      <c r="AU358" t="str">
        <f>IF(IFERROR(MATCH($B358,temp!Q$4:Q$13,0),0)&gt;0,T08_Spells!AU$2,"")</f>
        <v/>
      </c>
      <c r="AV358" t="str">
        <f>IF(IFERROR(MATCH($B358,temp!R$4:R$13,0),0)&gt;0,T08_Spells!AV$2,"")</f>
        <v/>
      </c>
      <c r="AW358" t="str">
        <f>IF(IFERROR(MATCH($B358,temp!S$4:S$13,0),0)&gt;0,T08_Spells!AW$2,"")</f>
        <v/>
      </c>
      <c r="AX358" t="str">
        <f>IF(IFERROR(MATCH($B358,temp!T$4:T$13,0),0)&gt;0,T08_Spells!AX$2,"")</f>
        <v/>
      </c>
      <c r="AY358" t="str">
        <f>IF(IFERROR(MATCH($B358,temp!U$4:U$13,0),0)&gt;0,T08_Spells!AY$2,"")</f>
        <v/>
      </c>
      <c r="AZ358" t="str">
        <f>IF(IFERROR(MATCH($B358,temp!V$4:V$13,0),0)&gt;0,T08_Spells!AZ$2,"")</f>
        <v/>
      </c>
      <c r="BA358" t="str">
        <f>IF(IFERROR(MATCH($B358,temp!W$4:W$13,0),0)&gt;0,T08_Spells!BA$2,"")</f>
        <v/>
      </c>
      <c r="BC358">
        <f>IF(IFERROR(SEARCH("Ranger",$T358,1),0)&gt;0,1,0)*IF(RangerMaxSpellLevel&gt;=$C358,1,0)*IF(IFERROR(MATCH(B358,Character_Creation!$X$79:$X$382,0),0)&gt;0,0,1)</f>
        <v>0</v>
      </c>
      <c r="BD358">
        <f>IF(BC358=0,0,1+COUNTIF(BD$3:BD357,"&gt;0"))</f>
        <v>0</v>
      </c>
      <c r="BE358" t="str">
        <f t="shared" si="311"/>
        <v/>
      </c>
      <c r="BF358" t="str">
        <f t="shared" si="283"/>
        <v/>
      </c>
      <c r="BH358">
        <f>IF(IFERROR(SEARCH("Sorcerer",$T358,1),0)&gt;0,1,0)*IF(SorcererMaxSpellLevel&gt;=$C358,1,0)*IF(IFERROR(MATCH(B358,Character_Creation!$J$380:$J$394,0),0)&gt;0,0,1)</f>
        <v>0</v>
      </c>
      <c r="BI358">
        <f>IF(BH358=0,0,1+COUNTIF(BI$3:BI357,"&gt;0"))</f>
        <v>0</v>
      </c>
      <c r="BJ358" t="str">
        <f t="shared" si="312"/>
        <v/>
      </c>
      <c r="BK358" t="str">
        <f t="shared" si="284"/>
        <v/>
      </c>
      <c r="BM358">
        <f>IF(OR(IFERROR(SEARCH("Warlock",$T358,1),0)&gt;0,IFERROR(SEARCH(WarlockPatron,$T358,1),0)&gt;0),1,0)*IF(WarlockMaxSpellLevel&gt;=$C358,1,0)*IF(IFERROR(MATCH(B358,Character_Creation!$J$361:$J$375,0),0)&gt;0,0,1)</f>
        <v>0</v>
      </c>
      <c r="BN358">
        <f>IF(BM358=0,0,1+COUNTIF(BN$3:BN357,"&gt;0"))</f>
        <v>0</v>
      </c>
      <c r="BO358" t="str">
        <f t="shared" si="313"/>
        <v/>
      </c>
      <c r="BP358" t="str">
        <f t="shared" si="285"/>
        <v/>
      </c>
      <c r="BR358">
        <f>IF(IFERROR(SEARCH("Eldritch Knight",$T358,1),0)&gt;0,1,0)*IF(EldritchKnightMaxSpellLevel&gt;=$C358,1,0)*IF(IFERROR(MATCH($B358,Character_Creation!$J$350:$J$356,0),0)&gt;0,0,1)*IF(Character_Creation!$M$338&gt;0,1,0)</f>
        <v>0</v>
      </c>
      <c r="BS358">
        <f>IF(BR358=0,0,1+COUNTIF(BS$3:BS357,"&gt;0"))</f>
        <v>0</v>
      </c>
      <c r="BT358" t="str">
        <f t="shared" si="314"/>
        <v/>
      </c>
      <c r="BU358" t="str">
        <f t="shared" si="286"/>
        <v/>
      </c>
      <c r="BW358">
        <f>IF(IFERROR(SEARCH("Arcane Trickster",$T358,1),0)&gt;0,1,0)*IF(ArcaneTricksterMaxSpellLevel&gt;=$C358,1,0)*IF(IFERROR(MATCH($B358,Character_Creation!$J$350:$J$356,0),0)&gt;0,0,1)*IF(Character_Creation!$T$338&gt;0,1,0)</f>
        <v>0</v>
      </c>
      <c r="BX358">
        <f>IF(BW358=0,0,1+COUNTIF(BX$3:BX357,"&gt;0"))</f>
        <v>0</v>
      </c>
      <c r="BY358" t="str">
        <f t="shared" si="315"/>
        <v/>
      </c>
      <c r="BZ358" t="str">
        <f t="shared" si="287"/>
        <v/>
      </c>
      <c r="CB358">
        <f>IF(IFERROR(SEARCH("Wizard",$T358,1),0)&gt;0,1,0)*IF(C358&lt;=ArcaneTricksterMaxSpellLevel,1,0)*IF(IFERROR(MATCH($B358,Character_Creation!$J$350:$J$356,0),0)&gt;0,0,1)*IF(Character_Creation!$T$350&gt;0,1,0)</f>
        <v>0</v>
      </c>
      <c r="CC358">
        <f>IF(CB358=0,0,1+COUNTIF(CC$3:CC357,"&gt;0"))</f>
        <v>0</v>
      </c>
      <c r="CD358" t="str">
        <f t="shared" si="316"/>
        <v/>
      </c>
      <c r="CE358" t="str">
        <f t="shared" si="288"/>
        <v/>
      </c>
      <c r="CG358">
        <f>IF(IFERROR(SEARCH("Wizard",$T358,1),0)&gt;0,1,0)*IF($C358&lt;=EldritchKnightMaxSpellLevel,1,0)*IF(IFERROR(MATCH($B358,Character_Creation!$J$350:$J$356,0),0)&gt;0,0,1)*IF(Character_Creation!$M$350&gt;0,1,0)</f>
        <v>0</v>
      </c>
      <c r="CH358">
        <f>IF(CG358=0,0,1+COUNTIF(CH$3:CH357,"&gt;0"))</f>
        <v>0</v>
      </c>
      <c r="CI358" t="str">
        <f t="shared" si="317"/>
        <v/>
      </c>
      <c r="CJ358" t="str">
        <f t="shared" si="289"/>
        <v/>
      </c>
      <c r="CL358">
        <f>IF(IFERROR(SEARCH("Bard",$T358,1),0)&gt;0,1,0)*IF(BardMaxSpellLevel&gt;=$C358,1,0)*IF(IFERROR(MATCH(B358,Character_Creation!$C$341:$F$362,0),0)&gt;0,0,1)*IF(IFERROR(MATCH($B358,Character_Creation!$C$341:$C$362,0),0)&gt;0,0,1)</f>
        <v>0</v>
      </c>
      <c r="CM358">
        <f>IF(CL358=0,0,1+COUNTIF(CM$3:CM357,"&gt;0"))</f>
        <v>0</v>
      </c>
      <c r="CN358" t="str">
        <f t="shared" si="318"/>
        <v/>
      </c>
      <c r="CO358" t="str">
        <f t="shared" si="290"/>
        <v/>
      </c>
      <c r="CQ358">
        <f>IF(IFERROR(SEARCH("Wizard",$T358,1),0)&gt;0,1,0)*IF(WizardMaxSpellLevel&gt;=$C358,1,0)*IF(IFERROR(MATCH(B358,Character_Creation!$X$341:$X$400,0),0)&gt;0,0,1)*IF(SelectedWizardSpellLevel=$C358,1,0)</f>
        <v>0</v>
      </c>
      <c r="CR358">
        <f>IF(CQ358=0,0,1+COUNTIF(CR$3:CR357,"&gt;0"))</f>
        <v>0</v>
      </c>
      <c r="CS358" t="str">
        <f t="shared" si="319"/>
        <v/>
      </c>
      <c r="CT358" t="str">
        <f t="shared" si="291"/>
        <v/>
      </c>
      <c r="CV358">
        <f>IF(IFERROR(MATCH($B358,Character_Creation!$C$341:$C$362,0),0)&gt;0,0,1)*IF(OR(C358="Cantrip",C358&lt;=BardMaxSpellLevel),1,0)*IF(IFERROR(MATCH($B358,Character_Creation!$C$367:$C$374,0),0)&gt;0,0,1)</f>
        <v>0</v>
      </c>
      <c r="CW358">
        <f>IF(CV358=0,0,1+COUNTIF(CW$3:CW357,"&gt;0"))</f>
        <v>0</v>
      </c>
      <c r="CX358" t="str">
        <f t="shared" si="320"/>
        <v/>
      </c>
      <c r="CY358" t="str">
        <f t="shared" si="292"/>
        <v/>
      </c>
      <c r="DA358">
        <f>IF(IF(OR(IFERROR(SEARCH("Cleric",$T358,1),0)&gt;0,IFERROR(SEARCH(DivineDomain&amp;",",$T358,1),0)&gt;0),1,0)*IF($C358=DA$2,1,0)=1,1+COUNTIF(DA$3:DA357,"&gt;0"),0)</f>
        <v>0</v>
      </c>
      <c r="DB358">
        <f>IF(IF(OR(IFERROR(SEARCH("Cleric",$T358,1),0)&gt;0,IFERROR(SEARCH(DivineDomain&amp;",",$T358,1),0)&gt;0),1,0)*IF($C358=DB$2,1,0)=1,1+COUNTIF(DB$3:DB357,"&gt;0"),0)</f>
        <v>0</v>
      </c>
      <c r="DC358">
        <f>IF(IF(OR(IFERROR(SEARCH("Cleric",$T358,1),0)&gt;0,IFERROR(SEARCH(DivineDomain&amp;",",$T358,1),0)&gt;0),1,0)*IF($C358=DC$2,1,0)=1,1+COUNTIF(DC$3:DC357,"&gt;0"),0)</f>
        <v>0</v>
      </c>
      <c r="DD358">
        <f>IF(IF(OR(IFERROR(SEARCH("Cleric",$T358,1),0)&gt;0,IFERROR(SEARCH(DivineDomain&amp;",",$T358,1),0)&gt;0),1,0)*IF($C358=DD$2,1,0)=1,1+COUNTIF(DD$3:DD357,"&gt;0"),0)</f>
        <v>0</v>
      </c>
      <c r="DE358">
        <f>IF(IF(OR(IFERROR(SEARCH("Cleric",$T358,1),0)&gt;0,IFERROR(SEARCH(DivineDomain&amp;",",$T358,1),0)&gt;0),1,0)*IF($C358=DE$2,1,0)=1,1+COUNTIF(DE$3:DE357,"&gt;0"),0)</f>
        <v>0</v>
      </c>
      <c r="DF358">
        <f>IF(IF(OR(IFERROR(SEARCH("Cleric",$T358,1),0)&gt;0,IFERROR(SEARCH(DivineDomain&amp;",",$T358,1),0)&gt;0),1,0)*IF($C358=DF$2,1,0)=1,1+COUNTIF(DF$3:DF357,"&gt;0"),0)</f>
        <v>0</v>
      </c>
      <c r="DG358">
        <f>IF(IF(OR(IFERROR(SEARCH("Cleric",$T358,1),0)&gt;0,IFERROR(SEARCH(DivineDomain&amp;",",$T358,1),0)&gt;0),1,0)*IF($C358=DG$2,1,0)=1,1+COUNTIF(DG$3:DG357,"&gt;0"),0)</f>
        <v>0</v>
      </c>
      <c r="DH358">
        <f>IF(IF(OR(IFERROR(SEARCH("Cleric",$T358,1),0)&gt;0,IFERROR(SEARCH(DivineDomain&amp;",",$T358,1),0)&gt;0),1,0)*IF($C358=DH$2,1,0)=1,1+COUNTIF(DH$3:DH357,"&gt;0"),0)</f>
        <v>0</v>
      </c>
      <c r="DI358">
        <f>IF(IF(OR(IFERROR(SEARCH("Cleric",$T358,1),0)&gt;0,IFERROR(SEARCH(DivineDomain&amp;",",$T358,1),0)&gt;0),1,0)*IF($C358=DI$2,1,0)=1,1+COUNTIF(DI$3:DI357,"&gt;0"),0)</f>
        <v>0</v>
      </c>
      <c r="DJ358">
        <f>IF(IF(OR(IFERROR(SEARCH("Druid",$T358,1),0)&gt;0,IFERROR(SEARCH(DruidLand1,$T358,1),0)&gt;0,IFERROR(SEARCH(DruidLand2,$T358,1),0)&gt;0,IFERROR(SEARCH(DruidLand3,$T358,1),0)&gt;0,IFERROR(SEARCH(DruidLand4,$T358,1),0)&gt;0),1,0)*IF($C358=1,1,0)*IF($C358=DJ$2,1,0)=0,0,1+COUNTIF(DJ$3:DJ357,"&gt;0"))</f>
        <v>0</v>
      </c>
      <c r="DK358">
        <f>IF(IF(OR(IFERROR(SEARCH("Druid",$T358,1),0)&gt;0,IFERROR(SEARCH(DruidLand1,$T358,1),0)&gt;0,IFERROR(SEARCH(DruidLand2,$T358,1),0)&gt;0,IFERROR(SEARCH(DruidLand3,$T358,1),0)&gt;0,IFERROR(SEARCH(DruidLand4,$T358,1),0)&gt;0),1,0)*IF($C358=DK$2,1,0)=0,0,1+COUNTIF(DK$3:DK357,"&gt;0"))</f>
        <v>0</v>
      </c>
      <c r="DL358">
        <f>IF(IF(OR(IFERROR(SEARCH("Druid",$T358,1),0)&gt;0,IFERROR(SEARCH(DruidLand1,$T358,1),0)&gt;0,IFERROR(SEARCH(DruidLand2,$T358,1),0)&gt;0,IFERROR(SEARCH(DruidLand3,$T358,1),0)&gt;0,IFERROR(SEARCH(DruidLand4,$T358,1),0)&gt;0),1,0)*IF($C358=DL$2,1,0)=0,0,1+COUNTIF(DL$3:DL357,"&gt;0"))</f>
        <v>0</v>
      </c>
      <c r="DM358">
        <f>IF(IF(OR(IFERROR(SEARCH("Druid",$T358,1),0)&gt;0,IFERROR(SEARCH(DruidLand1,$T358,1),0)&gt;0,IFERROR(SEARCH(DruidLand2,$T358,1),0)&gt;0,IFERROR(SEARCH(DruidLand3,$T358,1),0)&gt;0,IFERROR(SEARCH(DruidLand4,$T358,1),0)&gt;0),1,0)*IF($C358=DM$2,1,0)=0,0,1+COUNTIF(DM$3:DM357,"&gt;0"))</f>
        <v>0</v>
      </c>
      <c r="DN358">
        <f>IF(IF(OR(IFERROR(SEARCH("Druid",$T358,1),0)&gt;0,IFERROR(SEARCH(DruidLand1,$T358,1),0)&gt;0,IFERROR(SEARCH(DruidLand2,$T358,1),0)&gt;0,IFERROR(SEARCH(DruidLand3,$T358,1),0)&gt;0,IFERROR(SEARCH(DruidLand4,$T358,1),0)&gt;0),1,0)*IF($C358=DN$2,1,0)=0,0,1+COUNTIF(DN$3:DN357,"&gt;0"))</f>
        <v>0</v>
      </c>
      <c r="DO358">
        <f>IF(IF(OR(IFERROR(SEARCH("Druid",$T358,1),0)&gt;0,IFERROR(SEARCH(DruidLand1,$T358,1),0)&gt;0,IFERROR(SEARCH(DruidLand2,$T358,1),0)&gt;0,IFERROR(SEARCH(DruidLand3,$T358,1),0)&gt;0,IFERROR(SEARCH(DruidLand4,$T358,1),0)&gt;0),1,0)*IF($C358=DO$2,1,0)=0,0,1+COUNTIF(DO$3:DO357,"&gt;0"))</f>
        <v>9</v>
      </c>
      <c r="DP358">
        <f>IF(IF(OR(IFERROR(SEARCH("Druid",$T358,1),0)&gt;0,IFERROR(SEARCH(DruidLand1,$T358,1),0)&gt;0,IFERROR(SEARCH(DruidLand2,$T358,1),0)&gt;0,IFERROR(SEARCH(DruidLand3,$T358,1),0)&gt;0,IFERROR(SEARCH(DruidLand4,$T358,1),0)&gt;0),1,0)*IF($C358=DP$2,1,0)=0,0,1+COUNTIF(DP$3:DP357,"&gt;0"))</f>
        <v>0</v>
      </c>
      <c r="DQ358">
        <f>IF(IF(OR(IFERROR(SEARCH("Druid",$T358,1),0)&gt;0,IFERROR(SEARCH(DruidLand1,$T358,1),0)&gt;0,IFERROR(SEARCH(DruidLand2,$T358,1),0)&gt;0,IFERROR(SEARCH(DruidLand3,$T358,1),0)&gt;0,IFERROR(SEARCH(DruidLand4,$T358,1),0)&gt;0),1,0)*IF($C358=DQ$2,1,0)=0,0,1+COUNTIF(DQ$3:DQ357,"&gt;0"))</f>
        <v>0</v>
      </c>
      <c r="DR358">
        <f>IF(IF(OR(IFERROR(SEARCH("Druid",$T358,1),0)&gt;0,IFERROR(SEARCH(DruidLand1,$T358,1),0)&gt;0,IFERROR(SEARCH(DruidLand2,$T358,1),0)&gt;0,IFERROR(SEARCH(DruidLand3,$T358,1),0)&gt;0,IFERROR(SEARCH(DruidLand4,$T358,1),0)&gt;0),1,0)*IF($C358=DR$2,1,0)=0,0,1+COUNTIF(DR$3:DR357,"&gt;0"))</f>
        <v>0</v>
      </c>
      <c r="DS358">
        <f>IF(IF(OR(IFERROR(SEARCH("Paladin",$T358,1),0)&gt;0,IFERROR(SEARCH(PaladinOath,$T358,1),0)&gt;0),1,0)*IF($C358=DS$2,1,0)=1,1+COUNTIF(DS$3:DS357,"&gt;0"),0)</f>
        <v>0</v>
      </c>
      <c r="DT358">
        <f>IF(IF(OR(IFERROR(SEARCH("Paladin",$T358,1),0)&gt;0,IFERROR(SEARCH(PaladinOath,$T358,1),0)&gt;0),1,0)*IF($C358=DT$2,1,0)=1,1+COUNTIF(DT$3:DT357,"&gt;0"),0)</f>
        <v>0</v>
      </c>
      <c r="DU358">
        <f>IF(IF(OR(IFERROR(SEARCH("Paladin",$T358,1),0)&gt;0,IFERROR(SEARCH(PaladinOath,$T358,1),0)&gt;0),1,0)*IF($C358=DU$2,1,0)=1,1+COUNTIF(DU$3:DU357,"&gt;0"),0)</f>
        <v>0</v>
      </c>
      <c r="DV358">
        <f>IF(IF(OR(IFERROR(SEARCH("Paladin",$T358,1),0)&gt;0,IFERROR(SEARCH(PaladinOath,$T358,1),0)&gt;0),1,0)*IF($C358=DV$2,1,0)=1,1+COUNTIF(DV$3:DV357,"&gt;0"),0)</f>
        <v>0</v>
      </c>
      <c r="DW358">
        <f>IF(IF(OR(IFERROR(SEARCH("Paladin",$T358,1),0)&gt;0,IFERROR(SEARCH(PaladinOath,$T358,1),0)&gt;0),1,0)*IF($C358=DW$2,1,0)=1,1+COUNTIF(DW$3:DW357,"&gt;0"),0)</f>
        <v>0</v>
      </c>
      <c r="DY358">
        <f t="shared" si="278"/>
        <v>1</v>
      </c>
      <c r="DZ358">
        <f>IF(DY358=0,0,1+MAX(DZ$3:$DZ357))</f>
        <v>356</v>
      </c>
      <c r="EB358">
        <f t="shared" si="293"/>
        <v>0</v>
      </c>
      <c r="EC358">
        <f>IF(EB358=0,0,1+COUNTIF(EC$3:EC357,"&gt;0"))</f>
        <v>0</v>
      </c>
      <c r="ED358" t="str">
        <f t="shared" si="321"/>
        <v/>
      </c>
      <c r="EE358" t="str">
        <f t="shared" si="294"/>
        <v/>
      </c>
      <c r="EG358">
        <f t="shared" si="295"/>
        <v>0</v>
      </c>
      <c r="EH358">
        <f>IF(EG358=0,0,1+COUNTIF(EH$3:EH357,"&gt;0"))</f>
        <v>0</v>
      </c>
      <c r="EI358" t="str">
        <f t="shared" si="322"/>
        <v/>
      </c>
      <c r="EJ358" t="str">
        <f t="shared" si="296"/>
        <v/>
      </c>
      <c r="EL358">
        <f t="shared" si="297"/>
        <v>0</v>
      </c>
      <c r="EM358">
        <f>IF(EL358=0,0,1+COUNTIF(EM$3:EM357,"&gt;0"))</f>
        <v>0</v>
      </c>
      <c r="EN358" t="str">
        <f t="shared" si="323"/>
        <v/>
      </c>
      <c r="EO358" t="str">
        <f t="shared" si="298"/>
        <v/>
      </c>
      <c r="EQ358">
        <f t="shared" si="299"/>
        <v>0</v>
      </c>
      <c r="ER358">
        <f>IF(EQ358=0,0,1+COUNTIF(ER$3:ER357,"&gt;0"))</f>
        <v>0</v>
      </c>
      <c r="ES358" t="str">
        <f t="shared" si="324"/>
        <v/>
      </c>
      <c r="ET358" t="str">
        <f t="shared" si="300"/>
        <v/>
      </c>
      <c r="EV358">
        <f t="shared" si="301"/>
        <v>0</v>
      </c>
      <c r="EW358">
        <f>IF(EV358=0,0,1+COUNTIF(EW$3:EW357,"&gt;0"))</f>
        <v>0</v>
      </c>
      <c r="EX358" t="str">
        <f t="shared" si="325"/>
        <v/>
      </c>
      <c r="EY358" t="str">
        <f t="shared" si="302"/>
        <v/>
      </c>
      <c r="FA358">
        <f t="shared" si="303"/>
        <v>0</v>
      </c>
      <c r="FB358">
        <f>IF(FA358=0,0,1+COUNTIF(FB$3:FB357,"&gt;0"))</f>
        <v>0</v>
      </c>
      <c r="FC358" t="str">
        <f t="shared" si="326"/>
        <v/>
      </c>
      <c r="FD358" t="str">
        <f t="shared" si="304"/>
        <v/>
      </c>
      <c r="FF358">
        <f t="shared" si="305"/>
        <v>0</v>
      </c>
      <c r="FG358">
        <f>IF(FF358=0,0,1+COUNTIF(FG$3:FG357,"&gt;0"))</f>
        <v>0</v>
      </c>
      <c r="FH358" t="str">
        <f t="shared" si="327"/>
        <v/>
      </c>
      <c r="FI358" t="str">
        <f t="shared" si="306"/>
        <v/>
      </c>
      <c r="FK358">
        <f t="shared" si="307"/>
        <v>0</v>
      </c>
      <c r="FL358">
        <f>IF(FK358=0,0,1+COUNTIF(FL$3:FL357,"&gt;0"))</f>
        <v>0</v>
      </c>
      <c r="FM358" t="str">
        <f t="shared" si="328"/>
        <v/>
      </c>
      <c r="FN358" t="str">
        <f t="shared" si="308"/>
        <v/>
      </c>
      <c r="FP358">
        <f t="shared" si="309"/>
        <v>0</v>
      </c>
      <c r="FQ358">
        <f>IF(FP358=0,0,1+COUNTIF(FQ$3:FQ357,"&gt;0"))</f>
        <v>0</v>
      </c>
      <c r="FR358" t="str">
        <f t="shared" si="329"/>
        <v/>
      </c>
      <c r="FS358" t="str">
        <f t="shared" si="310"/>
        <v/>
      </c>
    </row>
    <row r="359" spans="1:175" x14ac:dyDescent="0.25">
      <c r="A359" s="347">
        <f t="shared" si="331"/>
        <v>357</v>
      </c>
      <c r="B359" s="348" t="s">
        <v>2761</v>
      </c>
      <c r="C359" s="348">
        <v>3</v>
      </c>
      <c r="D359" s="347">
        <v>3</v>
      </c>
      <c r="E359" s="627" t="s">
        <v>6952</v>
      </c>
      <c r="F359" s="346"/>
      <c r="G359" s="347" t="str">
        <f>""</f>
        <v/>
      </c>
      <c r="H359" s="347" t="s">
        <v>5912</v>
      </c>
      <c r="I359" s="347" t="s">
        <v>5290</v>
      </c>
      <c r="J359" s="347" t="str">
        <f t="shared" si="279"/>
        <v/>
      </c>
      <c r="K359" s="347" t="s">
        <v>5291</v>
      </c>
      <c r="L359" s="611" t="str">
        <f t="shared" si="280"/>
        <v>V, S, M, a tiny fan and a feather of exotic origin</v>
      </c>
      <c r="M359" s="347" t="s">
        <v>2373</v>
      </c>
      <c r="N359" s="347" t="s">
        <v>2387</v>
      </c>
      <c r="O359" s="347" t="s">
        <v>1244</v>
      </c>
      <c r="P359" s="346" t="s">
        <v>5520</v>
      </c>
      <c r="Q359" s="347" t="s">
        <v>5273</v>
      </c>
      <c r="S359" s="346" t="s">
        <v>5863</v>
      </c>
      <c r="T359" s="346" t="str">
        <f t="shared" si="281"/>
        <v xml:space="preserve">Druid, Nature, </v>
      </c>
      <c r="AA359" s="347" t="str">
        <f>$B359</f>
        <v>Wind Wall</v>
      </c>
      <c r="AE359" t="str">
        <f>IF(IFERROR(MATCH($B359,temp!A$4:A$13,0),0)&gt;0,T08_Spells!AE$2,"")</f>
        <v/>
      </c>
      <c r="AF359" t="str">
        <f>IF(IFERROR(MATCH($B359,temp!B$4:B$13,0),0)&gt;0,T08_Spells!AF$2,"")</f>
        <v/>
      </c>
      <c r="AG359" t="str">
        <f>IF(IFERROR(MATCH($B359,temp!C$4:C$13,0),0)&gt;0,T08_Spells!AG$2,"")</f>
        <v/>
      </c>
      <c r="AH359" t="str">
        <f>IF(IFERROR(MATCH($B359,temp!D$4:D$13,0),0)&gt;0,T08_Spells!AH$2,"")</f>
        <v/>
      </c>
      <c r="AI359" t="str">
        <f>IF(IFERROR(MATCH($B359,temp!E$4:E$13,0),0)&gt;0,T08_Spells!AI$2,"")</f>
        <v/>
      </c>
      <c r="AJ359" t="str">
        <f>IF(IFERROR(MATCH($B359,temp!F$4:F$13,0),0)&gt;0,T08_Spells!AJ$2,"")</f>
        <v/>
      </c>
      <c r="AK359" t="str">
        <f>IF(IFERROR(MATCH($B359,temp!G$4:G$13,0),0)&gt;0,T08_Spells!AK$2,"")</f>
        <v/>
      </c>
      <c r="AL359" t="str">
        <f>IF(IFERROR(MATCH($B359,temp!H$4:H$13,0),0)&gt;0,T08_Spells!AL$2,"")</f>
        <v/>
      </c>
      <c r="AM359" t="str">
        <f>IF(IFERROR(MATCH($B359,temp!I$4:I$13,0),0)&gt;0,T08_Spells!AM$2,"")</f>
        <v/>
      </c>
      <c r="AN359" t="str">
        <f>IF(IFERROR(MATCH($B359,temp!J$4:J$13,0),0)&gt;0,T08_Spells!AN$2,"")</f>
        <v/>
      </c>
      <c r="AO359" t="str">
        <f>IF(IFERROR(MATCH($B359,temp!K$4:K$13,0),0)&gt;0,T08_Spells!AO$2,"")</f>
        <v/>
      </c>
      <c r="AP359" t="str">
        <f>IF(IFERROR(MATCH($B359,temp!L$4:L$13,0),0)&gt;0,T08_Spells!AP$2,"")</f>
        <v/>
      </c>
      <c r="AQ359" t="str">
        <f>IF(IFERROR(MATCH($B359,temp!M$4:M$13,0),0)&gt;0,T08_Spells!AQ$2,"")</f>
        <v/>
      </c>
      <c r="AR359" t="str">
        <f>IF(IFERROR(MATCH($B359,temp!N$4:N$13,0),0)&gt;0,T08_Spells!AR$2,"")</f>
        <v/>
      </c>
      <c r="AS359" t="str">
        <f>IF(IFERROR(MATCH($B359,temp!O$4:O$13,0),0)&gt;0,T08_Spells!AS$2,"")</f>
        <v/>
      </c>
      <c r="AT359" t="str">
        <f>IF(IFERROR(MATCH($B359,temp!P$4:P$13,0),0)&gt;0,T08_Spells!AT$2,"")</f>
        <v/>
      </c>
      <c r="AU359" t="str">
        <f>IF(IFERROR(MATCH($B359,temp!Q$4:Q$13,0),0)&gt;0,T08_Spells!AU$2,"")</f>
        <v/>
      </c>
      <c r="AV359" t="str">
        <f>IF(IFERROR(MATCH($B359,temp!R$4:R$13,0),0)&gt;0,T08_Spells!AV$2,"")</f>
        <v/>
      </c>
      <c r="AW359" t="str">
        <f>IF(IFERROR(MATCH($B359,temp!S$4:S$13,0),0)&gt;0,T08_Spells!AW$2,"")</f>
        <v>Nature</v>
      </c>
      <c r="AX359" t="str">
        <f>IF(IFERROR(MATCH($B359,temp!T$4:T$13,0),0)&gt;0,T08_Spells!AX$2,"")</f>
        <v/>
      </c>
      <c r="AY359" t="str">
        <f>IF(IFERROR(MATCH($B359,temp!U$4:U$13,0),0)&gt;0,T08_Spells!AY$2,"")</f>
        <v/>
      </c>
      <c r="AZ359" t="str">
        <f>IF(IFERROR(MATCH($B359,temp!V$4:V$13,0),0)&gt;0,T08_Spells!AZ$2,"")</f>
        <v/>
      </c>
      <c r="BA359" t="str">
        <f>IF(IFERROR(MATCH($B359,temp!W$4:W$13,0),0)&gt;0,T08_Spells!BA$2,"")</f>
        <v/>
      </c>
      <c r="BC359">
        <f>IF(IFERROR(SEARCH("Ranger",$T359,1),0)&gt;0,1,0)*IF(RangerMaxSpellLevel&gt;=$C359,1,0)*IF(IFERROR(MATCH(B359,Character_Creation!$X$79:$X$382,0),0)&gt;0,0,1)</f>
        <v>0</v>
      </c>
      <c r="BD359">
        <f>IF(BC359=0,0,1+COUNTIF(BD$3:BD358,"&gt;0"))</f>
        <v>0</v>
      </c>
      <c r="BE359" t="str">
        <f t="shared" si="311"/>
        <v/>
      </c>
      <c r="BF359" t="str">
        <f t="shared" si="283"/>
        <v/>
      </c>
      <c r="BH359">
        <f>IF(IFERROR(SEARCH("Sorcerer",$T359,1),0)&gt;0,1,0)*IF(SorcererMaxSpellLevel&gt;=$C359,1,0)*IF(IFERROR(MATCH(B359,Character_Creation!$J$380:$J$394,0),0)&gt;0,0,1)</f>
        <v>0</v>
      </c>
      <c r="BI359">
        <f>IF(BH359=0,0,1+COUNTIF(BI$3:BI358,"&gt;0"))</f>
        <v>0</v>
      </c>
      <c r="BJ359" t="str">
        <f t="shared" si="312"/>
        <v/>
      </c>
      <c r="BK359" t="str">
        <f t="shared" si="284"/>
        <v/>
      </c>
      <c r="BM359">
        <f>IF(OR(IFERROR(SEARCH("Warlock",$T359,1),0)&gt;0,IFERROR(SEARCH(WarlockPatron,$T359,1),0)&gt;0),1,0)*IF(WarlockMaxSpellLevel&gt;=$C359,1,0)*IF(IFERROR(MATCH(B359,Character_Creation!$J$361:$J$375,0),0)&gt;0,0,1)</f>
        <v>0</v>
      </c>
      <c r="BN359">
        <f>IF(BM359=0,0,1+COUNTIF(BN$3:BN358,"&gt;0"))</f>
        <v>0</v>
      </c>
      <c r="BO359" t="str">
        <f t="shared" si="313"/>
        <v/>
      </c>
      <c r="BP359" t="str">
        <f t="shared" si="285"/>
        <v/>
      </c>
      <c r="BR359">
        <f>IF(IFERROR(SEARCH("Eldritch Knight",$T359,1),0)&gt;0,1,0)*IF(EldritchKnightMaxSpellLevel&gt;=$C359,1,0)*IF(IFERROR(MATCH($B359,Character_Creation!$J$350:$J$356,0),0)&gt;0,0,1)*IF(Character_Creation!$M$338&gt;0,1,0)</f>
        <v>0</v>
      </c>
      <c r="BS359">
        <f>IF(BR359=0,0,1+COUNTIF(BS$3:BS358,"&gt;0"))</f>
        <v>0</v>
      </c>
      <c r="BT359" t="str">
        <f t="shared" si="314"/>
        <v/>
      </c>
      <c r="BU359" t="str">
        <f t="shared" si="286"/>
        <v/>
      </c>
      <c r="BW359">
        <f>IF(IFERROR(SEARCH("Arcane Trickster",$T359,1),0)&gt;0,1,0)*IF(ArcaneTricksterMaxSpellLevel&gt;=$C359,1,0)*IF(IFERROR(MATCH($B359,Character_Creation!$J$350:$J$356,0),0)&gt;0,0,1)*IF(Character_Creation!$T$338&gt;0,1,0)</f>
        <v>0</v>
      </c>
      <c r="BX359">
        <f>IF(BW359=0,0,1+COUNTIF(BX$3:BX358,"&gt;0"))</f>
        <v>0</v>
      </c>
      <c r="BY359" t="str">
        <f t="shared" si="315"/>
        <v/>
      </c>
      <c r="BZ359" t="str">
        <f t="shared" si="287"/>
        <v/>
      </c>
      <c r="CB359">
        <f>IF(IFERROR(SEARCH("Wizard",$T359,1),0)&gt;0,1,0)*IF(C359&lt;=ArcaneTricksterMaxSpellLevel,1,0)*IF(IFERROR(MATCH($B359,Character_Creation!$J$350:$J$356,0),0)&gt;0,0,1)*IF(Character_Creation!$T$350&gt;0,1,0)</f>
        <v>0</v>
      </c>
      <c r="CC359">
        <f>IF(CB359=0,0,1+COUNTIF(CC$3:CC358,"&gt;0"))</f>
        <v>0</v>
      </c>
      <c r="CD359" t="str">
        <f t="shared" si="316"/>
        <v/>
      </c>
      <c r="CE359" t="str">
        <f t="shared" si="288"/>
        <v/>
      </c>
      <c r="CG359">
        <f>IF(IFERROR(SEARCH("Wizard",$T359,1),0)&gt;0,1,0)*IF($C359&lt;=EldritchKnightMaxSpellLevel,1,0)*IF(IFERROR(MATCH($B359,Character_Creation!$J$350:$J$356,0),0)&gt;0,0,1)*IF(Character_Creation!$M$350&gt;0,1,0)</f>
        <v>0</v>
      </c>
      <c r="CH359">
        <f>IF(CG359=0,0,1+COUNTIF(CH$3:CH358,"&gt;0"))</f>
        <v>0</v>
      </c>
      <c r="CI359" t="str">
        <f t="shared" si="317"/>
        <v/>
      </c>
      <c r="CJ359" t="str">
        <f t="shared" si="289"/>
        <v/>
      </c>
      <c r="CL359">
        <f>IF(IFERROR(SEARCH("Bard",$T359,1),0)&gt;0,1,0)*IF(BardMaxSpellLevel&gt;=$C359,1,0)*IF(IFERROR(MATCH(B359,Character_Creation!$C$341:$F$362,0),0)&gt;0,0,1)*IF(IFERROR(MATCH($B359,Character_Creation!$C$341:$C$362,0),0)&gt;0,0,1)</f>
        <v>0</v>
      </c>
      <c r="CM359">
        <f>IF(CL359=0,0,1+COUNTIF(CM$3:CM358,"&gt;0"))</f>
        <v>0</v>
      </c>
      <c r="CN359" t="str">
        <f t="shared" si="318"/>
        <v/>
      </c>
      <c r="CO359" t="str">
        <f t="shared" si="290"/>
        <v/>
      </c>
      <c r="CQ359">
        <f>IF(IFERROR(SEARCH("Wizard",$T359,1),0)&gt;0,1,0)*IF(WizardMaxSpellLevel&gt;=$C359,1,0)*IF(IFERROR(MATCH(B359,Character_Creation!$X$341:$X$400,0),0)&gt;0,0,1)*IF(SelectedWizardSpellLevel=$C359,1,0)</f>
        <v>0</v>
      </c>
      <c r="CR359">
        <f>IF(CQ359=0,0,1+COUNTIF(CR$3:CR358,"&gt;0"))</f>
        <v>0</v>
      </c>
      <c r="CS359" t="str">
        <f t="shared" si="319"/>
        <v/>
      </c>
      <c r="CT359" t="str">
        <f t="shared" si="291"/>
        <v/>
      </c>
      <c r="CV359">
        <f>IF(IFERROR(MATCH($B359,Character_Creation!$C$341:$C$362,0),0)&gt;0,0,1)*IF(OR(C359="Cantrip",C359&lt;=BardMaxSpellLevel),1,0)*IF(IFERROR(MATCH($B359,Character_Creation!$C$367:$C$374,0),0)&gt;0,0,1)</f>
        <v>0</v>
      </c>
      <c r="CW359">
        <f>IF(CV359=0,0,1+COUNTIF(CW$3:CW358,"&gt;0"))</f>
        <v>0</v>
      </c>
      <c r="CX359" t="str">
        <f t="shared" si="320"/>
        <v/>
      </c>
      <c r="CY359" t="str">
        <f t="shared" si="292"/>
        <v/>
      </c>
      <c r="DA359">
        <f>IF(IF(OR(IFERROR(SEARCH("Cleric",$T359,1),0)&gt;0,IFERROR(SEARCH(DivineDomain&amp;",",$T359,1),0)&gt;0),1,0)*IF($C359=DA$2,1,0)=1,1+COUNTIF(DA$3:DA358,"&gt;0"),0)</f>
        <v>0</v>
      </c>
      <c r="DB359">
        <f>IF(IF(OR(IFERROR(SEARCH("Cleric",$T359,1),0)&gt;0,IFERROR(SEARCH(DivineDomain&amp;",",$T359,1),0)&gt;0),1,0)*IF($C359=DB$2,1,0)=1,1+COUNTIF(DB$3:DB358,"&gt;0"),0)</f>
        <v>0</v>
      </c>
      <c r="DC359">
        <f>IF(IF(OR(IFERROR(SEARCH("Cleric",$T359,1),0)&gt;0,IFERROR(SEARCH(DivineDomain&amp;",",$T359,1),0)&gt;0),1,0)*IF($C359=DC$2,1,0)=1,1+COUNTIF(DC$3:DC358,"&gt;0"),0)</f>
        <v>0</v>
      </c>
      <c r="DD359">
        <f>IF(IF(OR(IFERROR(SEARCH("Cleric",$T359,1),0)&gt;0,IFERROR(SEARCH(DivineDomain&amp;",",$T359,1),0)&gt;0),1,0)*IF($C359=DD$2,1,0)=1,1+COUNTIF(DD$3:DD358,"&gt;0"),0)</f>
        <v>0</v>
      </c>
      <c r="DE359">
        <f>IF(IF(OR(IFERROR(SEARCH("Cleric",$T359,1),0)&gt;0,IFERROR(SEARCH(DivineDomain&amp;",",$T359,1),0)&gt;0),1,0)*IF($C359=DE$2,1,0)=1,1+COUNTIF(DE$3:DE358,"&gt;0"),0)</f>
        <v>0</v>
      </c>
      <c r="DF359">
        <f>IF(IF(OR(IFERROR(SEARCH("Cleric",$T359,1),0)&gt;0,IFERROR(SEARCH(DivineDomain&amp;",",$T359,1),0)&gt;0),1,0)*IF($C359=DF$2,1,0)=1,1+COUNTIF(DF$3:DF358,"&gt;0"),0)</f>
        <v>0</v>
      </c>
      <c r="DG359">
        <f>IF(IF(OR(IFERROR(SEARCH("Cleric",$T359,1),0)&gt;0,IFERROR(SEARCH(DivineDomain&amp;",",$T359,1),0)&gt;0),1,0)*IF($C359=DG$2,1,0)=1,1+COUNTIF(DG$3:DG358,"&gt;0"),0)</f>
        <v>0</v>
      </c>
      <c r="DH359">
        <f>IF(IF(OR(IFERROR(SEARCH("Cleric",$T359,1),0)&gt;0,IFERROR(SEARCH(DivineDomain&amp;",",$T359,1),0)&gt;0),1,0)*IF($C359=DH$2,1,0)=1,1+COUNTIF(DH$3:DH358,"&gt;0"),0)</f>
        <v>0</v>
      </c>
      <c r="DI359">
        <f>IF(IF(OR(IFERROR(SEARCH("Cleric",$T359,1),0)&gt;0,IFERROR(SEARCH(DivineDomain&amp;",",$T359,1),0)&gt;0),1,0)*IF($C359=DI$2,1,0)=1,1+COUNTIF(DI$3:DI358,"&gt;0"),0)</f>
        <v>0</v>
      </c>
      <c r="DJ359">
        <f>IF(IF(OR(IFERROR(SEARCH("Druid",$T359,1),0)&gt;0,IFERROR(SEARCH(DruidLand1,$T359,1),0)&gt;0,IFERROR(SEARCH(DruidLand2,$T359,1),0)&gt;0,IFERROR(SEARCH(DruidLand3,$T359,1),0)&gt;0,IFERROR(SEARCH(DruidLand4,$T359,1),0)&gt;0),1,0)*IF($C359=1,1,0)*IF($C359=DJ$2,1,0)=0,0,1+COUNTIF(DJ$3:DJ358,"&gt;0"))</f>
        <v>0</v>
      </c>
      <c r="DK359">
        <f>IF(IF(OR(IFERROR(SEARCH("Druid",$T359,1),0)&gt;0,IFERROR(SEARCH(DruidLand1,$T359,1),0)&gt;0,IFERROR(SEARCH(DruidLand2,$T359,1),0)&gt;0,IFERROR(SEARCH(DruidLand3,$T359,1),0)&gt;0,IFERROR(SEARCH(DruidLand4,$T359,1),0)&gt;0),1,0)*IF($C359=DK$2,1,0)=0,0,1+COUNTIF(DK$3:DK358,"&gt;0"))</f>
        <v>0</v>
      </c>
      <c r="DL359">
        <f>IF(IF(OR(IFERROR(SEARCH("Druid",$T359,1),0)&gt;0,IFERROR(SEARCH(DruidLand1,$T359,1),0)&gt;0,IFERROR(SEARCH(DruidLand2,$T359,1),0)&gt;0,IFERROR(SEARCH(DruidLand3,$T359,1),0)&gt;0,IFERROR(SEARCH(DruidLand4,$T359,1),0)&gt;0),1,0)*IF($C359=DL$2,1,0)=0,0,1+COUNTIF(DL$3:DL358,"&gt;0"))</f>
        <v>13</v>
      </c>
      <c r="DM359">
        <f>IF(IF(OR(IFERROR(SEARCH("Druid",$T359,1),0)&gt;0,IFERROR(SEARCH(DruidLand1,$T359,1),0)&gt;0,IFERROR(SEARCH(DruidLand2,$T359,1),0)&gt;0,IFERROR(SEARCH(DruidLand3,$T359,1),0)&gt;0,IFERROR(SEARCH(DruidLand4,$T359,1),0)&gt;0),1,0)*IF($C359=DM$2,1,0)=0,0,1+COUNTIF(DM$3:DM358,"&gt;0"))</f>
        <v>0</v>
      </c>
      <c r="DN359">
        <f>IF(IF(OR(IFERROR(SEARCH("Druid",$T359,1),0)&gt;0,IFERROR(SEARCH(DruidLand1,$T359,1),0)&gt;0,IFERROR(SEARCH(DruidLand2,$T359,1),0)&gt;0,IFERROR(SEARCH(DruidLand3,$T359,1),0)&gt;0,IFERROR(SEARCH(DruidLand4,$T359,1),0)&gt;0),1,0)*IF($C359=DN$2,1,0)=0,0,1+COUNTIF(DN$3:DN358,"&gt;0"))</f>
        <v>0</v>
      </c>
      <c r="DO359">
        <f>IF(IF(OR(IFERROR(SEARCH("Druid",$T359,1),0)&gt;0,IFERROR(SEARCH(DruidLand1,$T359,1),0)&gt;0,IFERROR(SEARCH(DruidLand2,$T359,1),0)&gt;0,IFERROR(SEARCH(DruidLand3,$T359,1),0)&gt;0,IFERROR(SEARCH(DruidLand4,$T359,1),0)&gt;0),1,0)*IF($C359=DO$2,1,0)=0,0,1+COUNTIF(DO$3:DO358,"&gt;0"))</f>
        <v>0</v>
      </c>
      <c r="DP359">
        <f>IF(IF(OR(IFERROR(SEARCH("Druid",$T359,1),0)&gt;0,IFERROR(SEARCH(DruidLand1,$T359,1),0)&gt;0,IFERROR(SEARCH(DruidLand2,$T359,1),0)&gt;0,IFERROR(SEARCH(DruidLand3,$T359,1),0)&gt;0,IFERROR(SEARCH(DruidLand4,$T359,1),0)&gt;0),1,0)*IF($C359=DP$2,1,0)=0,0,1+COUNTIF(DP$3:DP358,"&gt;0"))</f>
        <v>0</v>
      </c>
      <c r="DQ359">
        <f>IF(IF(OR(IFERROR(SEARCH("Druid",$T359,1),0)&gt;0,IFERROR(SEARCH(DruidLand1,$T359,1),0)&gt;0,IFERROR(SEARCH(DruidLand2,$T359,1),0)&gt;0,IFERROR(SEARCH(DruidLand3,$T359,1),0)&gt;0,IFERROR(SEARCH(DruidLand4,$T359,1),0)&gt;0),1,0)*IF($C359=DQ$2,1,0)=0,0,1+COUNTIF(DQ$3:DQ358,"&gt;0"))</f>
        <v>0</v>
      </c>
      <c r="DR359">
        <f>IF(IF(OR(IFERROR(SEARCH("Druid",$T359,1),0)&gt;0,IFERROR(SEARCH(DruidLand1,$T359,1),0)&gt;0,IFERROR(SEARCH(DruidLand2,$T359,1),0)&gt;0,IFERROR(SEARCH(DruidLand3,$T359,1),0)&gt;0,IFERROR(SEARCH(DruidLand4,$T359,1),0)&gt;0),1,0)*IF($C359=DR$2,1,0)=0,0,1+COUNTIF(DR$3:DR358,"&gt;0"))</f>
        <v>0</v>
      </c>
      <c r="DS359">
        <f>IF(IF(OR(IFERROR(SEARCH("Paladin",$T359,1),0)&gt;0,IFERROR(SEARCH(PaladinOath,$T359,1),0)&gt;0),1,0)*IF($C359=DS$2,1,0)=1,1+COUNTIF(DS$3:DS358,"&gt;0"),0)</f>
        <v>0</v>
      </c>
      <c r="DT359">
        <f>IF(IF(OR(IFERROR(SEARCH("Paladin",$T359,1),0)&gt;0,IFERROR(SEARCH(PaladinOath,$T359,1),0)&gt;0),1,0)*IF($C359=DT$2,1,0)=1,1+COUNTIF(DT$3:DT358,"&gt;0"),0)</f>
        <v>0</v>
      </c>
      <c r="DU359">
        <f>IF(IF(OR(IFERROR(SEARCH("Paladin",$T359,1),0)&gt;0,IFERROR(SEARCH(PaladinOath,$T359,1),0)&gt;0),1,0)*IF($C359=DU$2,1,0)=1,1+COUNTIF(DU$3:DU358,"&gt;0"),0)</f>
        <v>0</v>
      </c>
      <c r="DV359">
        <f>IF(IF(OR(IFERROR(SEARCH("Paladin",$T359,1),0)&gt;0,IFERROR(SEARCH(PaladinOath,$T359,1),0)&gt;0),1,0)*IF($C359=DV$2,1,0)=1,1+COUNTIF(DV$3:DV358,"&gt;0"),0)</f>
        <v>0</v>
      </c>
      <c r="DW359">
        <f>IF(IF(OR(IFERROR(SEARCH("Paladin",$T359,1),0)&gt;0,IFERROR(SEARCH(PaladinOath,$T359,1),0)&gt;0),1,0)*IF($C359=DW$2,1,0)=1,1+COUNTIF(DW$3:DW358,"&gt;0"),0)</f>
        <v>0</v>
      </c>
      <c r="DY359">
        <f t="shared" si="278"/>
        <v>1</v>
      </c>
      <c r="DZ359">
        <f>IF(DY359=0,0,1+MAX(DZ$3:$DZ358))</f>
        <v>357</v>
      </c>
      <c r="EB359">
        <f t="shared" si="293"/>
        <v>0</v>
      </c>
      <c r="EC359">
        <f>IF(EB359=0,0,1+COUNTIF(EC$3:EC358,"&gt;0"))</f>
        <v>0</v>
      </c>
      <c r="ED359" t="str">
        <f t="shared" si="321"/>
        <v/>
      </c>
      <c r="EE359" t="str">
        <f t="shared" si="294"/>
        <v/>
      </c>
      <c r="EG359">
        <f t="shared" si="295"/>
        <v>0</v>
      </c>
      <c r="EH359">
        <f>IF(EG359=0,0,1+COUNTIF(EH$3:EH358,"&gt;0"))</f>
        <v>0</v>
      </c>
      <c r="EI359" t="str">
        <f t="shared" si="322"/>
        <v/>
      </c>
      <c r="EJ359" t="str">
        <f t="shared" si="296"/>
        <v/>
      </c>
      <c r="EL359">
        <f t="shared" si="297"/>
        <v>0</v>
      </c>
      <c r="EM359">
        <f>IF(EL359=0,0,1+COUNTIF(EM$3:EM358,"&gt;0"))</f>
        <v>0</v>
      </c>
      <c r="EN359" t="str">
        <f t="shared" si="323"/>
        <v/>
      </c>
      <c r="EO359" t="str">
        <f t="shared" si="298"/>
        <v/>
      </c>
      <c r="EQ359">
        <f t="shared" si="299"/>
        <v>0</v>
      </c>
      <c r="ER359">
        <f>IF(EQ359=0,0,1+COUNTIF(ER$3:ER358,"&gt;0"))</f>
        <v>0</v>
      </c>
      <c r="ES359" t="str">
        <f t="shared" si="324"/>
        <v/>
      </c>
      <c r="ET359" t="str">
        <f t="shared" si="300"/>
        <v/>
      </c>
      <c r="EV359">
        <f t="shared" si="301"/>
        <v>0</v>
      </c>
      <c r="EW359">
        <f>IF(EV359=0,0,1+COUNTIF(EW$3:EW358,"&gt;0"))</f>
        <v>0</v>
      </c>
      <c r="EX359" t="str">
        <f t="shared" si="325"/>
        <v/>
      </c>
      <c r="EY359" t="str">
        <f t="shared" si="302"/>
        <v/>
      </c>
      <c r="FA359">
        <f t="shared" si="303"/>
        <v>0</v>
      </c>
      <c r="FB359">
        <f>IF(FA359=0,0,1+COUNTIF(FB$3:FB358,"&gt;0"))</f>
        <v>0</v>
      </c>
      <c r="FC359" t="str">
        <f t="shared" si="326"/>
        <v/>
      </c>
      <c r="FD359" t="str">
        <f t="shared" si="304"/>
        <v/>
      </c>
      <c r="FF359">
        <f t="shared" si="305"/>
        <v>0</v>
      </c>
      <c r="FG359">
        <f>IF(FF359=0,0,1+COUNTIF(FG$3:FG358,"&gt;0"))</f>
        <v>0</v>
      </c>
      <c r="FH359" t="str">
        <f t="shared" si="327"/>
        <v/>
      </c>
      <c r="FI359" t="str">
        <f t="shared" si="306"/>
        <v/>
      </c>
      <c r="FK359">
        <f t="shared" si="307"/>
        <v>0</v>
      </c>
      <c r="FL359">
        <f>IF(FK359=0,0,1+COUNTIF(FL$3:FL358,"&gt;0"))</f>
        <v>0</v>
      </c>
      <c r="FM359" t="str">
        <f t="shared" si="328"/>
        <v/>
      </c>
      <c r="FN359" t="str">
        <f t="shared" si="308"/>
        <v/>
      </c>
      <c r="FP359">
        <f t="shared" si="309"/>
        <v>0</v>
      </c>
      <c r="FQ359">
        <f>IF(FP359=0,0,1+COUNTIF(FQ$3:FQ358,"&gt;0"))</f>
        <v>0</v>
      </c>
      <c r="FR359" t="str">
        <f t="shared" si="329"/>
        <v/>
      </c>
      <c r="FS359" t="str">
        <f t="shared" si="310"/>
        <v/>
      </c>
    </row>
    <row r="360" spans="1:175" x14ac:dyDescent="0.25">
      <c r="A360" s="347">
        <f t="shared" si="331"/>
        <v>358</v>
      </c>
      <c r="B360" s="348" t="s">
        <v>2762</v>
      </c>
      <c r="C360" s="348">
        <v>9</v>
      </c>
      <c r="D360" s="347">
        <v>9</v>
      </c>
      <c r="E360" s="627" t="s">
        <v>6952</v>
      </c>
      <c r="F360" s="346"/>
      <c r="G360" s="347" t="str">
        <f>""</f>
        <v/>
      </c>
      <c r="H360" s="347" t="s">
        <v>5912</v>
      </c>
      <c r="I360" s="347" t="s">
        <v>5283</v>
      </c>
      <c r="J360" s="347" t="str">
        <f t="shared" si="279"/>
        <v/>
      </c>
      <c r="K360" s="347" t="s">
        <v>5278</v>
      </c>
      <c r="L360" s="611" t="str">
        <f t="shared" si="280"/>
        <v>V</v>
      </c>
      <c r="M360" s="347" t="s">
        <v>2373</v>
      </c>
      <c r="N360" s="347" t="s">
        <v>3034</v>
      </c>
      <c r="O360" s="347" t="s">
        <v>3034</v>
      </c>
      <c r="P360" s="346" t="str">
        <f>""</f>
        <v/>
      </c>
      <c r="Q360" s="347" t="s">
        <v>5271</v>
      </c>
      <c r="S360" s="346" t="s">
        <v>5864</v>
      </c>
      <c r="T360" s="346" t="str">
        <f t="shared" si="281"/>
        <v xml:space="preserve">Sorcerer, Wizard, </v>
      </c>
      <c r="X360" s="347" t="str">
        <f>$B360</f>
        <v>Wish</v>
      </c>
      <c r="AD360" s="347" t="str">
        <f>$B360</f>
        <v>Wish</v>
      </c>
      <c r="AE360" t="str">
        <f>IF(IFERROR(MATCH($B360,temp!A$4:A$13,0),0)&gt;0,T08_Spells!AE$2,"")</f>
        <v/>
      </c>
      <c r="AF360" t="str">
        <f>IF(IFERROR(MATCH($B360,temp!B$4:B$13,0),0)&gt;0,T08_Spells!AF$2,"")</f>
        <v/>
      </c>
      <c r="AG360" t="str">
        <f>IF(IFERROR(MATCH($B360,temp!C$4:C$13,0),0)&gt;0,T08_Spells!AG$2,"")</f>
        <v/>
      </c>
      <c r="AH360" t="str">
        <f>IF(IFERROR(MATCH($B360,temp!D$4:D$13,0),0)&gt;0,T08_Spells!AH$2,"")</f>
        <v/>
      </c>
      <c r="AI360" t="str">
        <f>IF(IFERROR(MATCH($B360,temp!E$4:E$13,0),0)&gt;0,T08_Spells!AI$2,"")</f>
        <v/>
      </c>
      <c r="AJ360" t="str">
        <f>IF(IFERROR(MATCH($B360,temp!F$4:F$13,0),0)&gt;0,T08_Spells!AJ$2,"")</f>
        <v/>
      </c>
      <c r="AK360" t="str">
        <f>IF(IFERROR(MATCH($B360,temp!G$4:G$13,0),0)&gt;0,T08_Spells!AK$2,"")</f>
        <v/>
      </c>
      <c r="AL360" t="str">
        <f>IF(IFERROR(MATCH($B360,temp!H$4:H$13,0),0)&gt;0,T08_Spells!AL$2,"")</f>
        <v/>
      </c>
      <c r="AM360" t="str">
        <f>IF(IFERROR(MATCH($B360,temp!I$4:I$13,0),0)&gt;0,T08_Spells!AM$2,"")</f>
        <v/>
      </c>
      <c r="AN360" t="str">
        <f>IF(IFERROR(MATCH($B360,temp!J$4:J$13,0),0)&gt;0,T08_Spells!AN$2,"")</f>
        <v/>
      </c>
      <c r="AO360" t="str">
        <f>IF(IFERROR(MATCH($B360,temp!K$4:K$13,0),0)&gt;0,T08_Spells!AO$2,"")</f>
        <v/>
      </c>
      <c r="AP360" t="str">
        <f>IF(IFERROR(MATCH($B360,temp!L$4:L$13,0),0)&gt;0,T08_Spells!AP$2,"")</f>
        <v/>
      </c>
      <c r="AQ360" t="str">
        <f>IF(IFERROR(MATCH($B360,temp!M$4:M$13,0),0)&gt;0,T08_Spells!AQ$2,"")</f>
        <v/>
      </c>
      <c r="AR360" t="str">
        <f>IF(IFERROR(MATCH($B360,temp!N$4:N$13,0),0)&gt;0,T08_Spells!AR$2,"")</f>
        <v/>
      </c>
      <c r="AS360" t="str">
        <f>IF(IFERROR(MATCH($B360,temp!O$4:O$13,0),0)&gt;0,T08_Spells!AS$2,"")</f>
        <v/>
      </c>
      <c r="AT360" t="str">
        <f>IF(IFERROR(MATCH($B360,temp!P$4:P$13,0),0)&gt;0,T08_Spells!AT$2,"")</f>
        <v/>
      </c>
      <c r="AU360" t="str">
        <f>IF(IFERROR(MATCH($B360,temp!Q$4:Q$13,0),0)&gt;0,T08_Spells!AU$2,"")</f>
        <v/>
      </c>
      <c r="AV360" t="str">
        <f>IF(IFERROR(MATCH($B360,temp!R$4:R$13,0),0)&gt;0,T08_Spells!AV$2,"")</f>
        <v/>
      </c>
      <c r="AW360" t="str">
        <f>IF(IFERROR(MATCH($B360,temp!S$4:S$13,0),0)&gt;0,T08_Spells!AW$2,"")</f>
        <v/>
      </c>
      <c r="AX360" t="str">
        <f>IF(IFERROR(MATCH($B360,temp!T$4:T$13,0),0)&gt;0,T08_Spells!AX$2,"")</f>
        <v/>
      </c>
      <c r="AY360" t="str">
        <f>IF(IFERROR(MATCH($B360,temp!U$4:U$13,0),0)&gt;0,T08_Spells!AY$2,"")</f>
        <v/>
      </c>
      <c r="AZ360" t="str">
        <f>IF(IFERROR(MATCH($B360,temp!V$4:V$13,0),0)&gt;0,T08_Spells!AZ$2,"")</f>
        <v/>
      </c>
      <c r="BA360" t="str">
        <f>IF(IFERROR(MATCH($B360,temp!W$4:W$13,0),0)&gt;0,T08_Spells!BA$2,"")</f>
        <v/>
      </c>
      <c r="BC360">
        <f>IF(IFERROR(SEARCH("Ranger",$T360,1),0)&gt;0,1,0)*IF(RangerMaxSpellLevel&gt;=$C360,1,0)*IF(IFERROR(MATCH(B360,Character_Creation!$X$79:$X$382,0),0)&gt;0,0,1)</f>
        <v>0</v>
      </c>
      <c r="BD360">
        <f>IF(BC360=0,0,1+COUNTIF(BD$3:BD359,"&gt;0"))</f>
        <v>0</v>
      </c>
      <c r="BE360" t="str">
        <f t="shared" si="311"/>
        <v/>
      </c>
      <c r="BF360" t="str">
        <f t="shared" si="283"/>
        <v/>
      </c>
      <c r="BH360">
        <f>IF(IFERROR(SEARCH("Sorcerer",$T360,1),0)&gt;0,1,0)*IF(SorcererMaxSpellLevel&gt;=$C360,1,0)*IF(IFERROR(MATCH(B360,Character_Creation!$J$380:$J$394,0),0)&gt;0,0,1)</f>
        <v>0</v>
      </c>
      <c r="BI360">
        <f>IF(BH360=0,0,1+COUNTIF(BI$3:BI359,"&gt;0"))</f>
        <v>0</v>
      </c>
      <c r="BJ360" t="str">
        <f t="shared" si="312"/>
        <v/>
      </c>
      <c r="BK360" t="str">
        <f t="shared" si="284"/>
        <v/>
      </c>
      <c r="BM360">
        <f>IF(OR(IFERROR(SEARCH("Warlock",$T360,1),0)&gt;0,IFERROR(SEARCH(WarlockPatron,$T360,1),0)&gt;0),1,0)*IF(WarlockMaxSpellLevel&gt;=$C360,1,0)*IF(IFERROR(MATCH(B360,Character_Creation!$J$361:$J$375,0),0)&gt;0,0,1)</f>
        <v>0</v>
      </c>
      <c r="BN360">
        <f>IF(BM360=0,0,1+COUNTIF(BN$3:BN359,"&gt;0"))</f>
        <v>0</v>
      </c>
      <c r="BO360" t="str">
        <f t="shared" si="313"/>
        <v/>
      </c>
      <c r="BP360" t="str">
        <f t="shared" si="285"/>
        <v/>
      </c>
      <c r="BR360">
        <f>IF(IFERROR(SEARCH("Eldritch Knight",$T360,1),0)&gt;0,1,0)*IF(EldritchKnightMaxSpellLevel&gt;=$C360,1,0)*IF(IFERROR(MATCH($B360,Character_Creation!$J$350:$J$356,0),0)&gt;0,0,1)*IF(Character_Creation!$M$338&gt;0,1,0)</f>
        <v>0</v>
      </c>
      <c r="BS360">
        <f>IF(BR360=0,0,1+COUNTIF(BS$3:BS359,"&gt;0"))</f>
        <v>0</v>
      </c>
      <c r="BT360" t="str">
        <f t="shared" si="314"/>
        <v/>
      </c>
      <c r="BU360" t="str">
        <f t="shared" si="286"/>
        <v/>
      </c>
      <c r="BW360">
        <f>IF(IFERROR(SEARCH("Arcane Trickster",$T360,1),0)&gt;0,1,0)*IF(ArcaneTricksterMaxSpellLevel&gt;=$C360,1,0)*IF(IFERROR(MATCH($B360,Character_Creation!$J$350:$J$356,0),0)&gt;0,0,1)*IF(Character_Creation!$T$338&gt;0,1,0)</f>
        <v>0</v>
      </c>
      <c r="BX360">
        <f>IF(BW360=0,0,1+COUNTIF(BX$3:BX359,"&gt;0"))</f>
        <v>0</v>
      </c>
      <c r="BY360" t="str">
        <f t="shared" si="315"/>
        <v/>
      </c>
      <c r="BZ360" t="str">
        <f t="shared" si="287"/>
        <v/>
      </c>
      <c r="CB360">
        <f>IF(IFERROR(SEARCH("Wizard",$T360,1),0)&gt;0,1,0)*IF(C360&lt;=ArcaneTricksterMaxSpellLevel,1,0)*IF(IFERROR(MATCH($B360,Character_Creation!$J$350:$J$356,0),0)&gt;0,0,1)*IF(Character_Creation!$T$350&gt;0,1,0)</f>
        <v>0</v>
      </c>
      <c r="CC360">
        <f>IF(CB360=0,0,1+COUNTIF(CC$3:CC359,"&gt;0"))</f>
        <v>0</v>
      </c>
      <c r="CD360" t="str">
        <f t="shared" si="316"/>
        <v/>
      </c>
      <c r="CE360" t="str">
        <f t="shared" si="288"/>
        <v/>
      </c>
      <c r="CG360">
        <f>IF(IFERROR(SEARCH("Wizard",$T360,1),0)&gt;0,1,0)*IF($C360&lt;=EldritchKnightMaxSpellLevel,1,0)*IF(IFERROR(MATCH($B360,Character_Creation!$J$350:$J$356,0),0)&gt;0,0,1)*IF(Character_Creation!$M$350&gt;0,1,0)</f>
        <v>0</v>
      </c>
      <c r="CH360">
        <f>IF(CG360=0,0,1+COUNTIF(CH$3:CH359,"&gt;0"))</f>
        <v>0</v>
      </c>
      <c r="CI360" t="str">
        <f t="shared" si="317"/>
        <v/>
      </c>
      <c r="CJ360" t="str">
        <f t="shared" si="289"/>
        <v/>
      </c>
      <c r="CL360">
        <f>IF(IFERROR(SEARCH("Bard",$T360,1),0)&gt;0,1,0)*IF(BardMaxSpellLevel&gt;=$C360,1,0)*IF(IFERROR(MATCH(B360,Character_Creation!$C$341:$F$362,0),0)&gt;0,0,1)*IF(IFERROR(MATCH($B360,Character_Creation!$C$341:$C$362,0),0)&gt;0,0,1)</f>
        <v>0</v>
      </c>
      <c r="CM360">
        <f>IF(CL360=0,0,1+COUNTIF(CM$3:CM359,"&gt;0"))</f>
        <v>0</v>
      </c>
      <c r="CN360" t="str">
        <f t="shared" si="318"/>
        <v/>
      </c>
      <c r="CO360" t="str">
        <f t="shared" si="290"/>
        <v/>
      </c>
      <c r="CQ360">
        <f>IF(IFERROR(SEARCH("Wizard",$T360,1),0)&gt;0,1,0)*IF(WizardMaxSpellLevel&gt;=$C360,1,0)*IF(IFERROR(MATCH(B360,Character_Creation!$X$341:$X$400,0),0)&gt;0,0,1)*IF(SelectedWizardSpellLevel=$C360,1,0)</f>
        <v>0</v>
      </c>
      <c r="CR360">
        <f>IF(CQ360=0,0,1+COUNTIF(CR$3:CR359,"&gt;0"))</f>
        <v>0</v>
      </c>
      <c r="CS360" t="str">
        <f t="shared" si="319"/>
        <v/>
      </c>
      <c r="CT360" t="str">
        <f t="shared" si="291"/>
        <v/>
      </c>
      <c r="CV360">
        <f>IF(IFERROR(MATCH($B360,Character_Creation!$C$341:$C$362,0),0)&gt;0,0,1)*IF(OR(C360="Cantrip",C360&lt;=BardMaxSpellLevel),1,0)*IF(IFERROR(MATCH($B360,Character_Creation!$C$367:$C$374,0),0)&gt;0,0,1)</f>
        <v>0</v>
      </c>
      <c r="CW360">
        <f>IF(CV360=0,0,1+COUNTIF(CW$3:CW359,"&gt;0"))</f>
        <v>0</v>
      </c>
      <c r="CX360" t="str">
        <f t="shared" si="320"/>
        <v/>
      </c>
      <c r="CY360" t="str">
        <f t="shared" si="292"/>
        <v/>
      </c>
      <c r="DA360">
        <f>IF(IF(OR(IFERROR(SEARCH("Cleric",$T360,1),0)&gt;0,IFERROR(SEARCH(DivineDomain&amp;",",$T360,1),0)&gt;0),1,0)*IF($C360=DA$2,1,0)=1,1+COUNTIF(DA$3:DA359,"&gt;0"),0)</f>
        <v>0</v>
      </c>
      <c r="DB360">
        <f>IF(IF(OR(IFERROR(SEARCH("Cleric",$T360,1),0)&gt;0,IFERROR(SEARCH(DivineDomain&amp;",",$T360,1),0)&gt;0),1,0)*IF($C360=DB$2,1,0)=1,1+COUNTIF(DB$3:DB359,"&gt;0"),0)</f>
        <v>0</v>
      </c>
      <c r="DC360">
        <f>IF(IF(OR(IFERROR(SEARCH("Cleric",$T360,1),0)&gt;0,IFERROR(SEARCH(DivineDomain&amp;",",$T360,1),0)&gt;0),1,0)*IF($C360=DC$2,1,0)=1,1+COUNTIF(DC$3:DC359,"&gt;0"),0)</f>
        <v>0</v>
      </c>
      <c r="DD360">
        <f>IF(IF(OR(IFERROR(SEARCH("Cleric",$T360,1),0)&gt;0,IFERROR(SEARCH(DivineDomain&amp;",",$T360,1),0)&gt;0),1,0)*IF($C360=DD$2,1,0)=1,1+COUNTIF(DD$3:DD359,"&gt;0"),0)</f>
        <v>0</v>
      </c>
      <c r="DE360">
        <f>IF(IF(OR(IFERROR(SEARCH("Cleric",$T360,1),0)&gt;0,IFERROR(SEARCH(DivineDomain&amp;",",$T360,1),0)&gt;0),1,0)*IF($C360=DE$2,1,0)=1,1+COUNTIF(DE$3:DE359,"&gt;0"),0)</f>
        <v>0</v>
      </c>
      <c r="DF360">
        <f>IF(IF(OR(IFERROR(SEARCH("Cleric",$T360,1),0)&gt;0,IFERROR(SEARCH(DivineDomain&amp;",",$T360,1),0)&gt;0),1,0)*IF($C360=DF$2,1,0)=1,1+COUNTIF(DF$3:DF359,"&gt;0"),0)</f>
        <v>0</v>
      </c>
      <c r="DG360">
        <f>IF(IF(OR(IFERROR(SEARCH("Cleric",$T360,1),0)&gt;0,IFERROR(SEARCH(DivineDomain&amp;",",$T360,1),0)&gt;0),1,0)*IF($C360=DG$2,1,0)=1,1+COUNTIF(DG$3:DG359,"&gt;0"),0)</f>
        <v>0</v>
      </c>
      <c r="DH360">
        <f>IF(IF(OR(IFERROR(SEARCH("Cleric",$T360,1),0)&gt;0,IFERROR(SEARCH(DivineDomain&amp;",",$T360,1),0)&gt;0),1,0)*IF($C360=DH$2,1,0)=1,1+COUNTIF(DH$3:DH359,"&gt;0"),0)</f>
        <v>0</v>
      </c>
      <c r="DI360">
        <f>IF(IF(OR(IFERROR(SEARCH("Cleric",$T360,1),0)&gt;0,IFERROR(SEARCH(DivineDomain&amp;",",$T360,1),0)&gt;0),1,0)*IF($C360=DI$2,1,0)=1,1+COUNTIF(DI$3:DI359,"&gt;0"),0)</f>
        <v>0</v>
      </c>
      <c r="DJ360">
        <f>IF(IF(OR(IFERROR(SEARCH("Druid",$T360,1),0)&gt;0,IFERROR(SEARCH(DruidLand1,$T360,1),0)&gt;0,IFERROR(SEARCH(DruidLand2,$T360,1),0)&gt;0,IFERROR(SEARCH(DruidLand3,$T360,1),0)&gt;0,IFERROR(SEARCH(DruidLand4,$T360,1),0)&gt;0),1,0)*IF($C360=1,1,0)*IF($C360=DJ$2,1,0)=0,0,1+COUNTIF(DJ$3:DJ359,"&gt;0"))</f>
        <v>0</v>
      </c>
      <c r="DK360">
        <f>IF(IF(OR(IFERROR(SEARCH("Druid",$T360,1),0)&gt;0,IFERROR(SEARCH(DruidLand1,$T360,1),0)&gt;0,IFERROR(SEARCH(DruidLand2,$T360,1),0)&gt;0,IFERROR(SEARCH(DruidLand3,$T360,1),0)&gt;0,IFERROR(SEARCH(DruidLand4,$T360,1),0)&gt;0),1,0)*IF($C360=1,1,0)*IF($C360=DK$2,1,0)=0,0,1+COUNTIF(DK$3:DK359,"&gt;0"))</f>
        <v>0</v>
      </c>
      <c r="DL360">
        <f>IF(IF(OR(IFERROR(SEARCH("Druid",$T360,1),0)&gt;0,IFERROR(SEARCH(DruidLand1,$T360,1),0)&gt;0,IFERROR(SEARCH(DruidLand2,$T360,1),0)&gt;0,IFERROR(SEARCH(DruidLand3,$T360,1),0)&gt;0,IFERROR(SEARCH(DruidLand4,$T360,1),0)&gt;0),1,0)*IF($C360=1,1,0)*IF($C360=DL$2,1,0)=0,0,1+COUNTIF(DL$3:DL359,"&gt;0"))</f>
        <v>0</v>
      </c>
      <c r="DM360">
        <f>IF(IF(OR(IFERROR(SEARCH("Druid",$T360,1),0)&gt;0,IFERROR(SEARCH(DruidLand1,$T360,1),0)&gt;0,IFERROR(SEARCH(DruidLand2,$T360,1),0)&gt;0,IFERROR(SEARCH(DruidLand3,$T360,1),0)&gt;0,IFERROR(SEARCH(DruidLand4,$T360,1),0)&gt;0),1,0)*IF($C360=1,1,0)*IF($C360=DM$2,1,0)=0,0,1+COUNTIF(DM$3:DM359,"&gt;0"))</f>
        <v>0</v>
      </c>
      <c r="DN360">
        <f>IF(IF(OR(IFERROR(SEARCH("Druid",$T360,1),0)&gt;0,IFERROR(SEARCH(DruidLand1,$T360,1),0)&gt;0,IFERROR(SEARCH(DruidLand2,$T360,1),0)&gt;0,IFERROR(SEARCH(DruidLand3,$T360,1),0)&gt;0,IFERROR(SEARCH(DruidLand4,$T360,1),0)&gt;0),1,0)*IF($C360=1,1,0)*IF($C360=DN$2,1,0)=0,0,1+COUNTIF(DN$3:DN359,"&gt;0"))</f>
        <v>0</v>
      </c>
      <c r="DO360">
        <f>IF(IF(OR(IFERROR(SEARCH("Druid",$T360,1),0)&gt;0,IFERROR(SEARCH(DruidLand1,$T360,1),0)&gt;0,IFERROR(SEARCH(DruidLand2,$T360,1),0)&gt;0,IFERROR(SEARCH(DruidLand3,$T360,1),0)&gt;0,IFERROR(SEARCH(DruidLand4,$T360,1),0)&gt;0),1,0)*IF($C360=1,1,0)*IF($C360=DO$2,1,0)=0,0,1+COUNTIF(DO$3:DO359,"&gt;0"))</f>
        <v>0</v>
      </c>
      <c r="DP360">
        <f>IF(IF(OR(IFERROR(SEARCH("Druid",$T360,1),0)&gt;0,IFERROR(SEARCH(DruidLand1,$T360,1),0)&gt;0,IFERROR(SEARCH(DruidLand2,$T360,1),0)&gt;0,IFERROR(SEARCH(DruidLand3,$T360,1),0)&gt;0,IFERROR(SEARCH(DruidLand4,$T360,1),0)&gt;0),1,0)*IF($C360=1,1,0)*IF($C360=DP$2,1,0)=0,0,1+COUNTIF(DP$3:DP359,"&gt;0"))</f>
        <v>0</v>
      </c>
      <c r="DQ360">
        <f>IF(IF(OR(IFERROR(SEARCH("Druid",$T360,1),0)&gt;0,IFERROR(SEARCH(DruidLand1,$T360,1),0)&gt;0,IFERROR(SEARCH(DruidLand2,$T360,1),0)&gt;0,IFERROR(SEARCH(DruidLand3,$T360,1),0)&gt;0,IFERROR(SEARCH(DruidLand4,$T360,1),0)&gt;0),1,0)*IF($C360=1,1,0)*IF($C360=DQ$2,1,0)=0,0,1+COUNTIF(DQ$3:DQ359,"&gt;0"))</f>
        <v>0</v>
      </c>
      <c r="DR360">
        <f>IF(IF(OR(IFERROR(SEARCH("Druid",$T360,1),0)&gt;0,IFERROR(SEARCH(DruidLand1,$T360,1),0)&gt;0,IFERROR(SEARCH(DruidLand2,$T360,1),0)&gt;0,IFERROR(SEARCH(DruidLand3,$T360,1),0)&gt;0,IFERROR(SEARCH(DruidLand4,$T360,1),0)&gt;0),1,0)*IF($C360=1,1,0)*IF($C360=DR$2,1,0)=0,0,1+COUNTIF(DR$3:DR359,"&gt;0"))</f>
        <v>0</v>
      </c>
      <c r="DS360">
        <f>IF(IF(OR(IFERROR(SEARCH("Paladin",$T360,1),0)&gt;0,IFERROR(SEARCH(PaladinOath,$T360,1),0)&gt;0),1,0)*IF($C360=DS$2,1,0)=1,1+COUNTIF(DS$3:DS359,"&gt;0"),0)</f>
        <v>0</v>
      </c>
      <c r="DT360">
        <f>IF(IF(OR(IFERROR(SEARCH("Paladin",$T360,1),0)&gt;0,IFERROR(SEARCH(PaladinOath,$T360,1),0)&gt;0),1,0)*IF($C360=DT$2,1,0)=1,1+COUNTIF(DT$3:DT359,"&gt;0"),0)</f>
        <v>0</v>
      </c>
      <c r="DU360">
        <f>IF(IF(OR(IFERROR(SEARCH("Paladin",$T360,1),0)&gt;0,IFERROR(SEARCH(PaladinOath,$T360,1),0)&gt;0),1,0)*IF($C360=DU$2,1,0)=1,1+COUNTIF(DU$3:DU359,"&gt;0"),0)</f>
        <v>0</v>
      </c>
      <c r="DV360">
        <f>IF(IF(OR(IFERROR(SEARCH("Paladin",$T360,1),0)&gt;0,IFERROR(SEARCH(PaladinOath,$T360,1),0)&gt;0),1,0)*IF($C360=DV$2,1,0)=1,1+COUNTIF(DV$3:DV359,"&gt;0"),0)</f>
        <v>0</v>
      </c>
      <c r="DW360">
        <f>IF(IF(OR(IFERROR(SEARCH("Paladin",$T360,1),0)&gt;0,IFERROR(SEARCH(PaladinOath,$T360,1),0)&gt;0),1,0)*IF($C360=DW$2,1,0)=1,1+COUNTIF(DW$3:DW359,"&gt;0"),0)</f>
        <v>0</v>
      </c>
      <c r="DY360">
        <f t="shared" si="278"/>
        <v>1</v>
      </c>
      <c r="DZ360">
        <f>IF(DY360=0,0,1+MAX(DZ$3:$DZ359))</f>
        <v>358</v>
      </c>
      <c r="EB360">
        <f t="shared" si="293"/>
        <v>0</v>
      </c>
      <c r="EC360">
        <f>IF(EB360=0,0,1+COUNTIF(EC$3:EC359,"&gt;0"))</f>
        <v>0</v>
      </c>
      <c r="ED360" t="str">
        <f t="shared" si="321"/>
        <v/>
      </c>
      <c r="EE360" t="str">
        <f t="shared" si="294"/>
        <v/>
      </c>
      <c r="EG360">
        <f t="shared" si="295"/>
        <v>0</v>
      </c>
      <c r="EH360">
        <f>IF(EG360=0,0,1+COUNTIF(EH$3:EH359,"&gt;0"))</f>
        <v>0</v>
      </c>
      <c r="EI360" t="str">
        <f t="shared" si="322"/>
        <v/>
      </c>
      <c r="EJ360" t="str">
        <f t="shared" si="296"/>
        <v/>
      </c>
      <c r="EL360">
        <f t="shared" si="297"/>
        <v>0</v>
      </c>
      <c r="EM360">
        <f>IF(EL360=0,0,1+COUNTIF(EM$3:EM359,"&gt;0"))</f>
        <v>0</v>
      </c>
      <c r="EN360" t="str">
        <f t="shared" si="323"/>
        <v/>
      </c>
      <c r="EO360" t="str">
        <f t="shared" si="298"/>
        <v/>
      </c>
      <c r="EQ360">
        <f t="shared" si="299"/>
        <v>0</v>
      </c>
      <c r="ER360">
        <f>IF(EQ360=0,0,1+COUNTIF(ER$3:ER359,"&gt;0"))</f>
        <v>0</v>
      </c>
      <c r="ES360" t="str">
        <f t="shared" si="324"/>
        <v/>
      </c>
      <c r="ET360" t="str">
        <f t="shared" si="300"/>
        <v/>
      </c>
      <c r="EV360">
        <f t="shared" si="301"/>
        <v>0</v>
      </c>
      <c r="EW360">
        <f>IF(EV360=0,0,1+COUNTIF(EW$3:EW359,"&gt;0"))</f>
        <v>0</v>
      </c>
      <c r="EX360" t="str">
        <f t="shared" si="325"/>
        <v/>
      </c>
      <c r="EY360" t="str">
        <f t="shared" si="302"/>
        <v/>
      </c>
      <c r="FA360">
        <f t="shared" si="303"/>
        <v>0</v>
      </c>
      <c r="FB360">
        <f>IF(FA360=0,0,1+COUNTIF(FB$3:FB359,"&gt;0"))</f>
        <v>0</v>
      </c>
      <c r="FC360" t="str">
        <f t="shared" si="326"/>
        <v/>
      </c>
      <c r="FD360" t="str">
        <f t="shared" si="304"/>
        <v/>
      </c>
      <c r="FF360">
        <f t="shared" si="305"/>
        <v>0</v>
      </c>
      <c r="FG360">
        <f>IF(FF360=0,0,1+COUNTIF(FG$3:FG359,"&gt;0"))</f>
        <v>0</v>
      </c>
      <c r="FH360" t="str">
        <f t="shared" si="327"/>
        <v/>
      </c>
      <c r="FI360" t="str">
        <f t="shared" si="306"/>
        <v/>
      </c>
      <c r="FK360">
        <f t="shared" si="307"/>
        <v>0</v>
      </c>
      <c r="FL360">
        <f>IF(FK360=0,0,1+COUNTIF(FL$3:FL359,"&gt;0"))</f>
        <v>0</v>
      </c>
      <c r="FM360" t="str">
        <f t="shared" si="328"/>
        <v/>
      </c>
      <c r="FN360" t="str">
        <f t="shared" si="308"/>
        <v/>
      </c>
      <c r="FP360">
        <f t="shared" si="309"/>
        <v>0</v>
      </c>
      <c r="FQ360">
        <f>IF(FP360=0,0,1+COUNTIF(FQ$3:FQ359,"&gt;0"))</f>
        <v>0</v>
      </c>
      <c r="FR360" t="str">
        <f t="shared" si="329"/>
        <v/>
      </c>
      <c r="FS360" t="str">
        <f t="shared" si="310"/>
        <v/>
      </c>
    </row>
    <row r="361" spans="1:175" x14ac:dyDescent="0.25">
      <c r="A361" s="347">
        <f t="shared" si="331"/>
        <v>359</v>
      </c>
      <c r="B361" s="348" t="s">
        <v>2763</v>
      </c>
      <c r="C361" s="348">
        <v>1</v>
      </c>
      <c r="D361" s="347">
        <v>1</v>
      </c>
      <c r="E361" s="627" t="s">
        <v>6952</v>
      </c>
      <c r="F361" s="346"/>
      <c r="G361" s="347" t="str">
        <f>""</f>
        <v/>
      </c>
      <c r="H361" s="347" t="s">
        <v>5912</v>
      </c>
      <c r="I361" s="347" t="s">
        <v>5060</v>
      </c>
      <c r="J361" s="347" t="str">
        <f t="shared" si="279"/>
        <v/>
      </c>
      <c r="K361" s="347" t="s">
        <v>5291</v>
      </c>
      <c r="L361" s="611" t="str">
        <f t="shared" si="280"/>
        <v>V, S, M, a twig from a tree that has been struck by lightning</v>
      </c>
      <c r="M361" s="347" t="s">
        <v>2373</v>
      </c>
      <c r="N361" s="347" t="s">
        <v>2387</v>
      </c>
      <c r="O361" s="347" t="s">
        <v>1244</v>
      </c>
      <c r="P361" s="346" t="s">
        <v>5521</v>
      </c>
      <c r="Q361" s="347" t="s">
        <v>5273</v>
      </c>
      <c r="S361" s="346" t="s">
        <v>5865</v>
      </c>
      <c r="T361" s="346" t="str">
        <f t="shared" si="281"/>
        <v xml:space="preserve">Sorcerer, Warlock, Eldritch Knight, Wizard, </v>
      </c>
      <c r="X361" s="347" t="str">
        <f>$B361</f>
        <v>Witch Bolt</v>
      </c>
      <c r="Y361" s="347" t="str">
        <f>$B361</f>
        <v>Witch Bolt</v>
      </c>
      <c r="AB361" s="542" t="str">
        <f>AD361</f>
        <v>Witch Bolt</v>
      </c>
      <c r="AD361" s="347" t="str">
        <f>$B361</f>
        <v>Witch Bolt</v>
      </c>
      <c r="AE361" t="str">
        <f>IF(IFERROR(MATCH($B361,temp!A$4:A$13,0),0)&gt;0,T08_Spells!AE$2,"")</f>
        <v/>
      </c>
      <c r="AF361" t="str">
        <f>IF(IFERROR(MATCH($B361,temp!B$4:B$13,0),0)&gt;0,T08_Spells!AF$2,"")</f>
        <v/>
      </c>
      <c r="AG361" t="str">
        <f>IF(IFERROR(MATCH($B361,temp!C$4:C$13,0),0)&gt;0,T08_Spells!AG$2,"")</f>
        <v/>
      </c>
      <c r="AH361" t="str">
        <f>IF(IFERROR(MATCH($B361,temp!D$4:D$13,0),0)&gt;0,T08_Spells!AH$2,"")</f>
        <v/>
      </c>
      <c r="AI361" t="str">
        <f>IF(IFERROR(MATCH($B361,temp!E$4:E$13,0),0)&gt;0,T08_Spells!AI$2,"")</f>
        <v/>
      </c>
      <c r="AJ361" t="str">
        <f>IF(IFERROR(MATCH($B361,temp!F$4:F$13,0),0)&gt;0,T08_Spells!AJ$2,"")</f>
        <v/>
      </c>
      <c r="AK361" t="str">
        <f>IF(IFERROR(MATCH($B361,temp!G$4:G$13,0),0)&gt;0,T08_Spells!AK$2,"")</f>
        <v/>
      </c>
      <c r="AL361" t="str">
        <f>IF(IFERROR(MATCH($B361,temp!H$4:H$13,0),0)&gt;0,T08_Spells!AL$2,"")</f>
        <v/>
      </c>
      <c r="AM361" t="str">
        <f>IF(IFERROR(MATCH($B361,temp!I$4:I$13,0),0)&gt;0,T08_Spells!AM$2,"")</f>
        <v/>
      </c>
      <c r="AN361" t="str">
        <f>IF(IFERROR(MATCH($B361,temp!J$4:J$13,0),0)&gt;0,T08_Spells!AN$2,"")</f>
        <v/>
      </c>
      <c r="AO361" t="str">
        <f>IF(IFERROR(MATCH($B361,temp!K$4:K$13,0),0)&gt;0,T08_Spells!AO$2,"")</f>
        <v/>
      </c>
      <c r="AP361" t="str">
        <f>IF(IFERROR(MATCH($B361,temp!L$4:L$13,0),0)&gt;0,T08_Spells!AP$2,"")</f>
        <v/>
      </c>
      <c r="AQ361" t="str">
        <f>IF(IFERROR(MATCH($B361,temp!M$4:M$13,0),0)&gt;0,T08_Spells!AQ$2,"")</f>
        <v/>
      </c>
      <c r="AR361" t="str">
        <f>IF(IFERROR(MATCH($B361,temp!N$4:N$13,0),0)&gt;0,T08_Spells!AR$2,"")</f>
        <v/>
      </c>
      <c r="AS361" t="str">
        <f>IF(IFERROR(MATCH($B361,temp!O$4:O$13,0),0)&gt;0,T08_Spells!AS$2,"")</f>
        <v/>
      </c>
      <c r="AT361" t="str">
        <f>IF(IFERROR(MATCH($B361,temp!P$4:P$13,0),0)&gt;0,T08_Spells!AT$2,"")</f>
        <v/>
      </c>
      <c r="AU361" t="str">
        <f>IF(IFERROR(MATCH($B361,temp!Q$4:Q$13,0),0)&gt;0,T08_Spells!AU$2,"")</f>
        <v/>
      </c>
      <c r="AV361" t="str">
        <f>IF(IFERROR(MATCH($B361,temp!R$4:R$13,0),0)&gt;0,T08_Spells!AV$2,"")</f>
        <v/>
      </c>
      <c r="AW361" t="str">
        <f>IF(IFERROR(MATCH($B361,temp!S$4:S$13,0),0)&gt;0,T08_Spells!AW$2,"")</f>
        <v/>
      </c>
      <c r="AX361" t="str">
        <f>IF(IFERROR(MATCH($B361,temp!T$4:T$13,0),0)&gt;0,T08_Spells!AX$2,"")</f>
        <v/>
      </c>
      <c r="AY361" t="str">
        <f>IF(IFERROR(MATCH($B361,temp!U$4:U$13,0),0)&gt;0,T08_Spells!AY$2,"")</f>
        <v/>
      </c>
      <c r="AZ361" t="str">
        <f>IF(IFERROR(MATCH($B361,temp!V$4:V$13,0),0)&gt;0,T08_Spells!AZ$2,"")</f>
        <v/>
      </c>
      <c r="BA361" t="str">
        <f>IF(IFERROR(MATCH($B361,temp!W$4:W$13,0),0)&gt;0,T08_Spells!BA$2,"")</f>
        <v/>
      </c>
      <c r="BC361">
        <f>IF(IFERROR(SEARCH("Ranger",$T361,1),0)&gt;0,1,0)*IF(RangerMaxSpellLevel&gt;=$C361,1,0)*IF(IFERROR(MATCH(B361,Character_Creation!$X$79:$X$382,0),0)&gt;0,0,1)</f>
        <v>0</v>
      </c>
      <c r="BD361">
        <f>IF(BC361=0,0,1+COUNTIF(BD$3:BD360,"&gt;0"))</f>
        <v>0</v>
      </c>
      <c r="BE361" t="str">
        <f t="shared" si="311"/>
        <v/>
      </c>
      <c r="BF361" t="str">
        <f t="shared" si="283"/>
        <v/>
      </c>
      <c r="BH361">
        <f>IF(IFERROR(SEARCH("Sorcerer",$T361,1),0)&gt;0,1,0)*IF(SorcererMaxSpellLevel&gt;=$C361,1,0)*IF(IFERROR(MATCH(B361,Character_Creation!$J$380:$J$394,0),0)&gt;0,0,1)</f>
        <v>0</v>
      </c>
      <c r="BI361">
        <f>IF(BH361=0,0,1+COUNTIF(BI$3:BI360,"&gt;0"))</f>
        <v>0</v>
      </c>
      <c r="BJ361" t="str">
        <f t="shared" si="312"/>
        <v/>
      </c>
      <c r="BK361" t="str">
        <f t="shared" si="284"/>
        <v/>
      </c>
      <c r="BM361">
        <f>IF(OR(IFERROR(SEARCH("Warlock",$T361,1),0)&gt;0,IFERROR(SEARCH(WarlockPatron,$T361,1),0)&gt;0),1,0)*IF(WarlockMaxSpellLevel&gt;=$C361,1,0)*IF(IFERROR(MATCH(B361,Character_Creation!$J$361:$J$375,0),0)&gt;0,0,1)</f>
        <v>0</v>
      </c>
      <c r="BN361">
        <f>IF(BM361=0,0,1+COUNTIF(BN$3:BN360,"&gt;0"))</f>
        <v>0</v>
      </c>
      <c r="BO361" t="str">
        <f t="shared" si="313"/>
        <v/>
      </c>
      <c r="BP361" t="str">
        <f t="shared" si="285"/>
        <v/>
      </c>
      <c r="BR361">
        <f>IF(IFERROR(SEARCH("Eldritch Knight",$T361,1),0)&gt;0,1,0)*IF(EldritchKnightMaxSpellLevel&gt;=$C361,1,0)*IF(IFERROR(MATCH($B361,Character_Creation!$J$350:$J$356,0),0)&gt;0,0,1)*IF(Character_Creation!$M$338&gt;0,1,0)</f>
        <v>0</v>
      </c>
      <c r="BS361">
        <f>IF(BR361=0,0,1+COUNTIF(BS$3:BS360,"&gt;0"))</f>
        <v>0</v>
      </c>
      <c r="BT361" t="str">
        <f t="shared" si="314"/>
        <v/>
      </c>
      <c r="BU361" t="str">
        <f t="shared" si="286"/>
        <v/>
      </c>
      <c r="BW361">
        <f>IF(IFERROR(SEARCH("Arcane Trickster",$T361,1),0)&gt;0,1,0)*IF(ArcaneTricksterMaxSpellLevel&gt;=$C361,1,0)*IF(IFERROR(MATCH($B361,Character_Creation!$J$350:$J$356,0),0)&gt;0,0,1)*IF(Character_Creation!$T$338&gt;0,1,0)</f>
        <v>0</v>
      </c>
      <c r="BX361">
        <f>IF(BW361=0,0,1+COUNTIF(BX$3:BX360,"&gt;0"))</f>
        <v>0</v>
      </c>
      <c r="BY361" t="str">
        <f t="shared" si="315"/>
        <v/>
      </c>
      <c r="BZ361" t="str">
        <f t="shared" si="287"/>
        <v/>
      </c>
      <c r="CB361">
        <f>IF(IFERROR(SEARCH("Wizard",$T361,1),0)&gt;0,1,0)*IF(C361&lt;=ArcaneTricksterMaxSpellLevel,1,0)*IF(IFERROR(MATCH($B361,Character_Creation!$J$350:$J$356,0),0)&gt;0,0,1)*IF(Character_Creation!$T$350&gt;0,1,0)</f>
        <v>0</v>
      </c>
      <c r="CC361">
        <f>IF(CB361=0,0,1+COUNTIF(CC$3:CC360,"&gt;0"))</f>
        <v>0</v>
      </c>
      <c r="CD361" t="str">
        <f t="shared" si="316"/>
        <v/>
      </c>
      <c r="CE361" t="str">
        <f t="shared" si="288"/>
        <v/>
      </c>
      <c r="CG361">
        <f>IF(IFERROR(SEARCH("Wizard",$T361,1),0)&gt;0,1,0)*IF($C361&lt;=EldritchKnightMaxSpellLevel,1,0)*IF(IFERROR(MATCH($B361,Character_Creation!$J$350:$J$356,0),0)&gt;0,0,1)*IF(Character_Creation!$M$350&gt;0,1,0)</f>
        <v>1</v>
      </c>
      <c r="CH361">
        <f>IF(CG361=0,0,1+COUNTIF(CH$3:CH360,"&gt;0"))</f>
        <v>62</v>
      </c>
      <c r="CI361" t="str">
        <f t="shared" si="317"/>
        <v/>
      </c>
      <c r="CJ361" t="str">
        <f t="shared" si="289"/>
        <v/>
      </c>
      <c r="CL361">
        <f>IF(IFERROR(SEARCH("Bard",$T361,1),0)&gt;0,1,0)*IF(BardMaxSpellLevel&gt;=$C361,1,0)*IF(IFERROR(MATCH(B361,Character_Creation!$C$341:$F$362,0),0)&gt;0,0,1)*IF(IFERROR(MATCH($B361,Character_Creation!$C$341:$C$362,0),0)&gt;0,0,1)</f>
        <v>0</v>
      </c>
      <c r="CM361">
        <f>IF(CL361=0,0,1+COUNTIF(CM$3:CM360,"&gt;0"))</f>
        <v>0</v>
      </c>
      <c r="CN361" t="str">
        <f t="shared" si="318"/>
        <v/>
      </c>
      <c r="CO361" t="str">
        <f t="shared" si="290"/>
        <v/>
      </c>
      <c r="CQ361">
        <f>IF(IFERROR(SEARCH("Wizard",$T361,1),0)&gt;0,1,0)*IF(WizardMaxSpellLevel&gt;=$C361,1,0)*IF(IFERROR(MATCH(B361,Character_Creation!$X$341:$X$400,0),0)&gt;0,0,1)*IF(SelectedWizardSpellLevel=$C361,1,0)</f>
        <v>0</v>
      </c>
      <c r="CR361">
        <f>IF(CQ361=0,0,1+COUNTIF(CR$3:CR360,"&gt;0"))</f>
        <v>0</v>
      </c>
      <c r="CS361" t="str">
        <f t="shared" si="319"/>
        <v/>
      </c>
      <c r="CT361" t="str">
        <f t="shared" si="291"/>
        <v/>
      </c>
      <c r="CV361">
        <f>IF(IFERROR(MATCH($B361,Character_Creation!$C$341:$C$362,0),0)&gt;0,0,1)*IF(OR(C361="Cantrip",C361&lt;=BardMaxSpellLevel),1,0)*IF(IFERROR(MATCH($B361,Character_Creation!$C$367:$C$374,0),0)&gt;0,0,1)</f>
        <v>0</v>
      </c>
      <c r="CW361">
        <f>IF(CV361=0,0,1+COUNTIF(CW$3:CW360,"&gt;0"))</f>
        <v>0</v>
      </c>
      <c r="CX361" t="str">
        <f t="shared" si="320"/>
        <v/>
      </c>
      <c r="CY361" t="str">
        <f t="shared" si="292"/>
        <v/>
      </c>
      <c r="DA361">
        <f>IF(IF(OR(IFERROR(SEARCH("Cleric",$T361,1),0)&gt;0,IFERROR(SEARCH(DivineDomain&amp;",",$T361,1),0)&gt;0),1,0)*IF($C361=DA$2,1,0)=1,1+COUNTIF(DA$3:DA360,"&gt;0"),0)</f>
        <v>0</v>
      </c>
      <c r="DB361">
        <f>IF(IF(OR(IFERROR(SEARCH("Cleric",$T361,1),0)&gt;0,IFERROR(SEARCH(DivineDomain&amp;",",$T361,1),0)&gt;0),1,0)*IF($C361=DB$2,1,0)=1,1+COUNTIF(DB$3:DB360,"&gt;0"),0)</f>
        <v>0</v>
      </c>
      <c r="DC361">
        <f>IF(IF(OR(IFERROR(SEARCH("Cleric",$T361,1),0)&gt;0,IFERROR(SEARCH(DivineDomain&amp;",",$T361,1),0)&gt;0),1,0)*IF($C361=DC$2,1,0)=1,1+COUNTIF(DC$3:DC360,"&gt;0"),0)</f>
        <v>0</v>
      </c>
      <c r="DD361">
        <f>IF(IF(OR(IFERROR(SEARCH("Cleric",$T361,1),0)&gt;0,IFERROR(SEARCH(DivineDomain&amp;",",$T361,1),0)&gt;0),1,0)*IF($C361=DD$2,1,0)=1,1+COUNTIF(DD$3:DD360,"&gt;0"),0)</f>
        <v>0</v>
      </c>
      <c r="DE361">
        <f>IF(IF(OR(IFERROR(SEARCH("Cleric",$T361,1),0)&gt;0,IFERROR(SEARCH(DivineDomain&amp;",",$T361,1),0)&gt;0),1,0)*IF($C361=DE$2,1,0)=1,1+COUNTIF(DE$3:DE360,"&gt;0"),0)</f>
        <v>0</v>
      </c>
      <c r="DF361">
        <f>IF(IF(OR(IFERROR(SEARCH("Cleric",$T361,1),0)&gt;0,IFERROR(SEARCH(DivineDomain&amp;",",$T361,1),0)&gt;0),1,0)*IF($C361=DF$2,1,0)=1,1+COUNTIF(DF$3:DF360,"&gt;0"),0)</f>
        <v>0</v>
      </c>
      <c r="DG361">
        <f>IF(IF(OR(IFERROR(SEARCH("Cleric",$T361,1),0)&gt;0,IFERROR(SEARCH(DivineDomain&amp;",",$T361,1),0)&gt;0),1,0)*IF($C361=DG$2,1,0)=1,1+COUNTIF(DG$3:DG360,"&gt;0"),0)</f>
        <v>0</v>
      </c>
      <c r="DH361">
        <f>IF(IF(OR(IFERROR(SEARCH("Cleric",$T361,1),0)&gt;0,IFERROR(SEARCH(DivineDomain&amp;",",$T361,1),0)&gt;0),1,0)*IF($C361=DH$2,1,0)=1,1+COUNTIF(DH$3:DH360,"&gt;0"),0)</f>
        <v>0</v>
      </c>
      <c r="DI361">
        <f>IF(IF(OR(IFERROR(SEARCH("Cleric",$T361,1),0)&gt;0,IFERROR(SEARCH(DivineDomain&amp;",",$T361,1),0)&gt;0),1,0)*IF($C361=DI$2,1,0)=1,1+COUNTIF(DI$3:DI360,"&gt;0"),0)</f>
        <v>0</v>
      </c>
      <c r="DJ361">
        <f>IF(IF(OR(IFERROR(SEARCH("Druid",$T361,1),0)&gt;0,IFERROR(SEARCH(DruidLand1,$T361,1),0)&gt;0,IFERROR(SEARCH(DruidLand2,$T361,1),0)&gt;0,IFERROR(SEARCH(DruidLand3,$T361,1),0)&gt;0,IFERROR(SEARCH(DruidLand4,$T361,1),0)&gt;0),1,0)*IF($C361=1,1,0)*IF($C361=DJ$2,1,0)=0,0,1+COUNTIF(DJ$3:DJ360,"&gt;0"))</f>
        <v>0</v>
      </c>
      <c r="DK361">
        <f>IF(IF(OR(IFERROR(SEARCH("Druid",$T361,1),0)&gt;0,IFERROR(SEARCH(DruidLand1,$T361,1),0)&gt;0,IFERROR(SEARCH(DruidLand2,$T361,1),0)&gt;0,IFERROR(SEARCH(DruidLand3,$T361,1),0)&gt;0,IFERROR(SEARCH(DruidLand4,$T361,1),0)&gt;0),1,0)*IF($C361=1,1,0)*IF($C361=DK$2,1,0)=0,0,1+COUNTIF(DK$3:DK360,"&gt;0"))</f>
        <v>0</v>
      </c>
      <c r="DL361">
        <f>IF(IF(OR(IFERROR(SEARCH("Druid",$T361,1),0)&gt;0,IFERROR(SEARCH(DruidLand1,$T361,1),0)&gt;0,IFERROR(SEARCH(DruidLand2,$T361,1),0)&gt;0,IFERROR(SEARCH(DruidLand3,$T361,1),0)&gt;0,IFERROR(SEARCH(DruidLand4,$T361,1),0)&gt;0),1,0)*IF($C361=1,1,0)*IF($C361=DL$2,1,0)=0,0,1+COUNTIF(DL$3:DL360,"&gt;0"))</f>
        <v>0</v>
      </c>
      <c r="DM361">
        <f>IF(IF(OR(IFERROR(SEARCH("Druid",$T361,1),0)&gt;0,IFERROR(SEARCH(DruidLand1,$T361,1),0)&gt;0,IFERROR(SEARCH(DruidLand2,$T361,1),0)&gt;0,IFERROR(SEARCH(DruidLand3,$T361,1),0)&gt;0,IFERROR(SEARCH(DruidLand4,$T361,1),0)&gt;0),1,0)*IF($C361=1,1,0)*IF($C361=DM$2,1,0)=0,0,1+COUNTIF(DM$3:DM360,"&gt;0"))</f>
        <v>0</v>
      </c>
      <c r="DN361">
        <f>IF(IF(OR(IFERROR(SEARCH("Druid",$T361,1),0)&gt;0,IFERROR(SEARCH(DruidLand1,$T361,1),0)&gt;0,IFERROR(SEARCH(DruidLand2,$T361,1),0)&gt;0,IFERROR(SEARCH(DruidLand3,$T361,1),0)&gt;0,IFERROR(SEARCH(DruidLand4,$T361,1),0)&gt;0),1,0)*IF($C361=1,1,0)*IF($C361=DN$2,1,0)=0,0,1+COUNTIF(DN$3:DN360,"&gt;0"))</f>
        <v>0</v>
      </c>
      <c r="DO361">
        <f>IF(IF(OR(IFERROR(SEARCH("Druid",$T361,1),0)&gt;0,IFERROR(SEARCH(DruidLand1,$T361,1),0)&gt;0,IFERROR(SEARCH(DruidLand2,$T361,1),0)&gt;0,IFERROR(SEARCH(DruidLand3,$T361,1),0)&gt;0,IFERROR(SEARCH(DruidLand4,$T361,1),0)&gt;0),1,0)*IF($C361=1,1,0)*IF($C361=DO$2,1,0)=0,0,1+COUNTIF(DO$3:DO360,"&gt;0"))</f>
        <v>0</v>
      </c>
      <c r="DP361">
        <f>IF(IF(OR(IFERROR(SEARCH("Druid",$T361,1),0)&gt;0,IFERROR(SEARCH(DruidLand1,$T361,1),0)&gt;0,IFERROR(SEARCH(DruidLand2,$T361,1),0)&gt;0,IFERROR(SEARCH(DruidLand3,$T361,1),0)&gt;0,IFERROR(SEARCH(DruidLand4,$T361,1),0)&gt;0),1,0)*IF($C361=1,1,0)*IF($C361=DP$2,1,0)=0,0,1+COUNTIF(DP$3:DP360,"&gt;0"))</f>
        <v>0</v>
      </c>
      <c r="DQ361">
        <f>IF(IF(OR(IFERROR(SEARCH("Druid",$T361,1),0)&gt;0,IFERROR(SEARCH(DruidLand1,$T361,1),0)&gt;0,IFERROR(SEARCH(DruidLand2,$T361,1),0)&gt;0,IFERROR(SEARCH(DruidLand3,$T361,1),0)&gt;0,IFERROR(SEARCH(DruidLand4,$T361,1),0)&gt;0),1,0)*IF($C361=1,1,0)*IF($C361=DQ$2,1,0)=0,0,1+COUNTIF(DQ$3:DQ360,"&gt;0"))</f>
        <v>0</v>
      </c>
      <c r="DR361">
        <f>IF(IF(OR(IFERROR(SEARCH("Druid",$T361,1),0)&gt;0,IFERROR(SEARCH(DruidLand1,$T361,1),0)&gt;0,IFERROR(SEARCH(DruidLand2,$T361,1),0)&gt;0,IFERROR(SEARCH(DruidLand3,$T361,1),0)&gt;0,IFERROR(SEARCH(DruidLand4,$T361,1),0)&gt;0),1,0)*IF($C361=1,1,0)*IF($C361=DR$2,1,0)=0,0,1+COUNTIF(DR$3:DR360,"&gt;0"))</f>
        <v>0</v>
      </c>
      <c r="DS361">
        <f>IF(IF(OR(IFERROR(SEARCH("Paladin",$T361,1),0)&gt;0,IFERROR(SEARCH(PaladinOath,$T361,1),0)&gt;0),1,0)*IF($C361=DS$2,1,0)=1,1+COUNTIF(DS$3:DS360,"&gt;0"),0)</f>
        <v>0</v>
      </c>
      <c r="DT361">
        <f>IF(IF(OR(IFERROR(SEARCH("Paladin",$T361,1),0)&gt;0,IFERROR(SEARCH(PaladinOath,$T361,1),0)&gt;0),1,0)*IF($C361=DT$2,1,0)=1,1+COUNTIF(DT$3:DT360,"&gt;0"),0)</f>
        <v>0</v>
      </c>
      <c r="DU361">
        <f>IF(IF(OR(IFERROR(SEARCH("Paladin",$T361,1),0)&gt;0,IFERROR(SEARCH(PaladinOath,$T361,1),0)&gt;0),1,0)*IF($C361=DU$2,1,0)=1,1+COUNTIF(DU$3:DU360,"&gt;0"),0)</f>
        <v>0</v>
      </c>
      <c r="DV361">
        <f>IF(IF(OR(IFERROR(SEARCH("Paladin",$T361,1),0)&gt;0,IFERROR(SEARCH(PaladinOath,$T361,1),0)&gt;0),1,0)*IF($C361=DV$2,1,0)=1,1+COUNTIF(DV$3:DV360,"&gt;0"),0)</f>
        <v>0</v>
      </c>
      <c r="DW361">
        <f>IF(IF(OR(IFERROR(SEARCH("Paladin",$T361,1),0)&gt;0,IFERROR(SEARCH(PaladinOath,$T361,1),0)&gt;0),1,0)*IF($C361=DW$2,1,0)=1,1+COUNTIF(DW$3:DW360,"&gt;0"),0)</f>
        <v>0</v>
      </c>
      <c r="DY361">
        <f t="shared" si="278"/>
        <v>1</v>
      </c>
      <c r="DZ361">
        <f>IF(DY361=0,0,1+MAX(DZ$3:$DZ360))</f>
        <v>359</v>
      </c>
      <c r="EB361">
        <f t="shared" si="293"/>
        <v>0</v>
      </c>
      <c r="EC361">
        <f>IF(EB361=0,0,1+COUNTIF(EC$3:EC360,"&gt;0"))</f>
        <v>0</v>
      </c>
      <c r="ED361" t="str">
        <f t="shared" si="321"/>
        <v/>
      </c>
      <c r="EE361" t="str">
        <f t="shared" si="294"/>
        <v/>
      </c>
      <c r="EG361">
        <f t="shared" si="295"/>
        <v>0</v>
      </c>
      <c r="EH361">
        <f>IF(EG361=0,0,1+COUNTIF(EH$3:EH360,"&gt;0"))</f>
        <v>0</v>
      </c>
      <c r="EI361" t="str">
        <f t="shared" si="322"/>
        <v/>
      </c>
      <c r="EJ361" t="str">
        <f t="shared" si="296"/>
        <v/>
      </c>
      <c r="EL361">
        <f t="shared" si="297"/>
        <v>0</v>
      </c>
      <c r="EM361">
        <f>IF(EL361=0,0,1+COUNTIF(EM$3:EM360,"&gt;0"))</f>
        <v>0</v>
      </c>
      <c r="EN361" t="str">
        <f t="shared" si="323"/>
        <v/>
      </c>
      <c r="EO361" t="str">
        <f t="shared" si="298"/>
        <v/>
      </c>
      <c r="EQ361">
        <f t="shared" si="299"/>
        <v>0</v>
      </c>
      <c r="ER361">
        <f>IF(EQ361=0,0,1+COUNTIF(ER$3:ER360,"&gt;0"))</f>
        <v>0</v>
      </c>
      <c r="ES361" t="str">
        <f t="shared" si="324"/>
        <v/>
      </c>
      <c r="ET361" t="str">
        <f t="shared" si="300"/>
        <v/>
      </c>
      <c r="EV361">
        <f t="shared" si="301"/>
        <v>0</v>
      </c>
      <c r="EW361">
        <f>IF(EV361=0,0,1+COUNTIF(EW$3:EW360,"&gt;0"))</f>
        <v>0</v>
      </c>
      <c r="EX361" t="str">
        <f t="shared" si="325"/>
        <v/>
      </c>
      <c r="EY361" t="str">
        <f t="shared" si="302"/>
        <v/>
      </c>
      <c r="FA361">
        <f t="shared" si="303"/>
        <v>0</v>
      </c>
      <c r="FB361">
        <f>IF(FA361=0,0,1+COUNTIF(FB$3:FB360,"&gt;0"))</f>
        <v>0</v>
      </c>
      <c r="FC361" t="str">
        <f t="shared" si="326"/>
        <v/>
      </c>
      <c r="FD361" t="str">
        <f t="shared" si="304"/>
        <v/>
      </c>
      <c r="FF361">
        <f t="shared" si="305"/>
        <v>0</v>
      </c>
      <c r="FG361">
        <f>IF(FF361=0,0,1+COUNTIF(FG$3:FG360,"&gt;0"))</f>
        <v>0</v>
      </c>
      <c r="FH361" t="str">
        <f t="shared" si="327"/>
        <v/>
      </c>
      <c r="FI361" t="str">
        <f t="shared" si="306"/>
        <v/>
      </c>
      <c r="FK361">
        <f t="shared" si="307"/>
        <v>0</v>
      </c>
      <c r="FL361">
        <f>IF(FK361=0,0,1+COUNTIF(FL$3:FL360,"&gt;0"))</f>
        <v>0</v>
      </c>
      <c r="FM361" t="str">
        <f t="shared" si="328"/>
        <v/>
      </c>
      <c r="FN361" t="str">
        <f t="shared" si="308"/>
        <v/>
      </c>
      <c r="FP361">
        <f t="shared" si="309"/>
        <v>0</v>
      </c>
      <c r="FQ361">
        <f>IF(FP361=0,0,1+COUNTIF(FQ$3:FQ360,"&gt;0"))</f>
        <v>0</v>
      </c>
      <c r="FR361" t="str">
        <f t="shared" si="329"/>
        <v/>
      </c>
      <c r="FS361" t="str">
        <f t="shared" si="310"/>
        <v/>
      </c>
    </row>
    <row r="362" spans="1:175" x14ac:dyDescent="0.25">
      <c r="A362" s="347">
        <f t="shared" si="331"/>
        <v>360</v>
      </c>
      <c r="B362" s="348" t="s">
        <v>2764</v>
      </c>
      <c r="C362" s="348">
        <v>6</v>
      </c>
      <c r="D362" s="347">
        <v>6</v>
      </c>
      <c r="E362" s="627" t="s">
        <v>6952</v>
      </c>
      <c r="F362" s="346"/>
      <c r="G362" s="347" t="str">
        <f>""</f>
        <v/>
      </c>
      <c r="H362" s="347" t="s">
        <v>5912</v>
      </c>
      <c r="I362" s="347" t="s">
        <v>5339</v>
      </c>
      <c r="J362" s="347" t="str">
        <f t="shared" si="279"/>
        <v/>
      </c>
      <c r="K362" s="347" t="s">
        <v>5278</v>
      </c>
      <c r="L362" s="611" t="str">
        <f t="shared" si="280"/>
        <v>V</v>
      </c>
      <c r="M362" s="347" t="s">
        <v>2373</v>
      </c>
      <c r="N362" s="347" t="s">
        <v>3034</v>
      </c>
      <c r="O362" s="347" t="s">
        <v>3034</v>
      </c>
      <c r="P362" s="346" t="str">
        <f>""</f>
        <v/>
      </c>
      <c r="Q362" s="347" t="s">
        <v>5271</v>
      </c>
      <c r="S362" s="346" t="s">
        <v>5866</v>
      </c>
      <c r="T362" s="346" t="str">
        <f t="shared" si="281"/>
        <v xml:space="preserve">Cleric, </v>
      </c>
      <c r="Z362" s="347" t="str">
        <f>$B362</f>
        <v>Word of Recall</v>
      </c>
      <c r="AE362" t="str">
        <f>IF(IFERROR(MATCH($B362,temp!A$4:A$13,0),0)&gt;0,T08_Spells!AE$2,"")</f>
        <v/>
      </c>
      <c r="AF362" t="str">
        <f>IF(IFERROR(MATCH($B362,temp!B$4:B$13,0),0)&gt;0,T08_Spells!AF$2,"")</f>
        <v/>
      </c>
      <c r="AG362" t="str">
        <f>IF(IFERROR(MATCH($B362,temp!C$4:C$13,0),0)&gt;0,T08_Spells!AG$2,"")</f>
        <v/>
      </c>
      <c r="AH362" t="str">
        <f>IF(IFERROR(MATCH($B362,temp!D$4:D$13,0),0)&gt;0,T08_Spells!AH$2,"")</f>
        <v/>
      </c>
      <c r="AI362" t="str">
        <f>IF(IFERROR(MATCH($B362,temp!E$4:E$13,0),0)&gt;0,T08_Spells!AI$2,"")</f>
        <v/>
      </c>
      <c r="AJ362" t="str">
        <f>IF(IFERROR(MATCH($B362,temp!F$4:F$13,0),0)&gt;0,T08_Spells!AJ$2,"")</f>
        <v/>
      </c>
      <c r="AK362" t="str">
        <f>IF(IFERROR(MATCH($B362,temp!G$4:G$13,0),0)&gt;0,T08_Spells!AK$2,"")</f>
        <v/>
      </c>
      <c r="AL362" t="str">
        <f>IF(IFERROR(MATCH($B362,temp!H$4:H$13,0),0)&gt;0,T08_Spells!AL$2,"")</f>
        <v/>
      </c>
      <c r="AM362" t="str">
        <f>IF(IFERROR(MATCH($B362,temp!I$4:I$13,0),0)&gt;0,T08_Spells!AM$2,"")</f>
        <v/>
      </c>
      <c r="AN362" t="str">
        <f>IF(IFERROR(MATCH($B362,temp!J$4:J$13,0),0)&gt;0,T08_Spells!AN$2,"")</f>
        <v/>
      </c>
      <c r="AO362" t="str">
        <f>IF(IFERROR(MATCH($B362,temp!K$4:K$13,0),0)&gt;0,T08_Spells!AO$2,"")</f>
        <v/>
      </c>
      <c r="AP362" t="str">
        <f>IF(IFERROR(MATCH($B362,temp!L$4:L$13,0),0)&gt;0,T08_Spells!AP$2,"")</f>
        <v/>
      </c>
      <c r="AQ362" t="str">
        <f>IF(IFERROR(MATCH($B362,temp!M$4:M$13,0),0)&gt;0,T08_Spells!AQ$2,"")</f>
        <v/>
      </c>
      <c r="AR362" t="str">
        <f>IF(IFERROR(MATCH($B362,temp!N$4:N$13,0),0)&gt;0,T08_Spells!AR$2,"")</f>
        <v/>
      </c>
      <c r="AS362" t="str">
        <f>IF(IFERROR(MATCH($B362,temp!O$4:O$13,0),0)&gt;0,T08_Spells!AS$2,"")</f>
        <v/>
      </c>
      <c r="AT362" t="str">
        <f>IF(IFERROR(MATCH($B362,temp!P$4:P$13,0),0)&gt;0,T08_Spells!AT$2,"")</f>
        <v/>
      </c>
      <c r="AU362" t="str">
        <f>IF(IFERROR(MATCH($B362,temp!Q$4:Q$13,0),0)&gt;0,T08_Spells!AU$2,"")</f>
        <v/>
      </c>
      <c r="AV362" t="str">
        <f>IF(IFERROR(MATCH($B362,temp!R$4:R$13,0),0)&gt;0,T08_Spells!AV$2,"")</f>
        <v/>
      </c>
      <c r="AW362" t="str">
        <f>IF(IFERROR(MATCH($B362,temp!S$4:S$13,0),0)&gt;0,T08_Spells!AW$2,"")</f>
        <v/>
      </c>
      <c r="AX362" t="str">
        <f>IF(IFERROR(MATCH($B362,temp!T$4:T$13,0),0)&gt;0,T08_Spells!AX$2,"")</f>
        <v/>
      </c>
      <c r="AY362" t="str">
        <f>IF(IFERROR(MATCH($B362,temp!U$4:U$13,0),0)&gt;0,T08_Spells!AY$2,"")</f>
        <v/>
      </c>
      <c r="AZ362" t="str">
        <f>IF(IFERROR(MATCH($B362,temp!V$4:V$13,0),0)&gt;0,T08_Spells!AZ$2,"")</f>
        <v/>
      </c>
      <c r="BA362" t="str">
        <f>IF(IFERROR(MATCH($B362,temp!W$4:W$13,0),0)&gt;0,T08_Spells!BA$2,"")</f>
        <v/>
      </c>
      <c r="BC362">
        <f>IF(IFERROR(SEARCH("Ranger",$T362,1),0)&gt;0,1,0)*IF(RangerMaxSpellLevel&gt;=$C362,1,0)*IF(IFERROR(MATCH(B362,Character_Creation!$X$79:$X$382,0),0)&gt;0,0,1)</f>
        <v>0</v>
      </c>
      <c r="BD362">
        <f>IF(BC362=0,0,1+COUNTIF(BD$3:BD361,"&gt;0"))</f>
        <v>0</v>
      </c>
      <c r="BE362" t="str">
        <f t="shared" si="311"/>
        <v/>
      </c>
      <c r="BF362" t="str">
        <f t="shared" si="283"/>
        <v/>
      </c>
      <c r="BH362">
        <f>IF(IFERROR(SEARCH("Sorcerer",$T362,1),0)&gt;0,1,0)*IF(SorcererMaxSpellLevel&gt;=$C362,1,0)*IF(IFERROR(MATCH(B362,Character_Creation!$J$380:$J$394,0),0)&gt;0,0,1)</f>
        <v>0</v>
      </c>
      <c r="BI362">
        <f>IF(BH362=0,0,1+COUNTIF(BI$3:BI361,"&gt;0"))</f>
        <v>0</v>
      </c>
      <c r="BJ362" t="str">
        <f t="shared" si="312"/>
        <v/>
      </c>
      <c r="BK362" t="str">
        <f t="shared" si="284"/>
        <v/>
      </c>
      <c r="BM362">
        <f>IF(OR(IFERROR(SEARCH("Warlock",$T362,1),0)&gt;0,IFERROR(SEARCH(WarlockPatron,$T362,1),0)&gt;0),1,0)*IF(WarlockMaxSpellLevel&gt;=$C362,1,0)*IF(IFERROR(MATCH(B362,Character_Creation!$J$361:$J$375,0),0)&gt;0,0,1)</f>
        <v>0</v>
      </c>
      <c r="BN362">
        <f>IF(BM362=0,0,1+COUNTIF(BN$3:BN361,"&gt;0"))</f>
        <v>0</v>
      </c>
      <c r="BO362" t="str">
        <f t="shared" si="313"/>
        <v/>
      </c>
      <c r="BP362" t="str">
        <f t="shared" si="285"/>
        <v/>
      </c>
      <c r="BR362">
        <f>IF(IFERROR(SEARCH("Eldritch Knight",$T362,1),0)&gt;0,1,0)*IF(EldritchKnightMaxSpellLevel&gt;=$C362,1,0)*IF(IFERROR(MATCH($B362,Character_Creation!$J$350:$J$356,0),0)&gt;0,0,1)*IF(Character_Creation!$M$338&gt;0,1,0)</f>
        <v>0</v>
      </c>
      <c r="BS362">
        <f>IF(BR362=0,0,1+COUNTIF(BS$3:BS361,"&gt;0"))</f>
        <v>0</v>
      </c>
      <c r="BT362" t="str">
        <f t="shared" si="314"/>
        <v/>
      </c>
      <c r="BU362" t="str">
        <f t="shared" si="286"/>
        <v/>
      </c>
      <c r="BW362">
        <f>IF(IFERROR(SEARCH("Arcane Trickster",$T362,1),0)&gt;0,1,0)*IF(ArcaneTricksterMaxSpellLevel&gt;=$C362,1,0)*IF(IFERROR(MATCH($B362,Character_Creation!$J$350:$J$356,0),0)&gt;0,0,1)*IF(Character_Creation!$T$338&gt;0,1,0)</f>
        <v>0</v>
      </c>
      <c r="BX362">
        <f>IF(BW362=0,0,1+COUNTIF(BX$3:BX361,"&gt;0"))</f>
        <v>0</v>
      </c>
      <c r="BY362" t="str">
        <f t="shared" si="315"/>
        <v/>
      </c>
      <c r="BZ362" t="str">
        <f t="shared" si="287"/>
        <v/>
      </c>
      <c r="CB362">
        <f>IF(IFERROR(SEARCH("Wizard",$T362,1),0)&gt;0,1,0)*IF(C362&lt;=ArcaneTricksterMaxSpellLevel,1,0)*IF(IFERROR(MATCH($B362,Character_Creation!$J$350:$J$356,0),0)&gt;0,0,1)*IF(Character_Creation!$T$350&gt;0,1,0)</f>
        <v>0</v>
      </c>
      <c r="CC362">
        <f>IF(CB362=0,0,1+COUNTIF(CC$3:CC361,"&gt;0"))</f>
        <v>0</v>
      </c>
      <c r="CD362" t="str">
        <f t="shared" si="316"/>
        <v/>
      </c>
      <c r="CE362" t="str">
        <f t="shared" si="288"/>
        <v/>
      </c>
      <c r="CG362">
        <f>IF(IFERROR(SEARCH("Wizard",$T362,1),0)&gt;0,1,0)*IF($C362&lt;=EldritchKnightMaxSpellLevel,1,0)*IF(IFERROR(MATCH($B362,Character_Creation!$J$350:$J$356,0),0)&gt;0,0,1)*IF(Character_Creation!$M$350&gt;0,1,0)</f>
        <v>0</v>
      </c>
      <c r="CH362">
        <f>IF(CG362=0,0,1+COUNTIF(CH$3:CH361,"&gt;0"))</f>
        <v>0</v>
      </c>
      <c r="CI362" t="str">
        <f t="shared" si="317"/>
        <v/>
      </c>
      <c r="CJ362" t="str">
        <f t="shared" si="289"/>
        <v/>
      </c>
      <c r="CL362">
        <f>IF(IFERROR(SEARCH("Bard",$T362,1),0)&gt;0,1,0)*IF(BardMaxSpellLevel&gt;=$C362,1,0)*IF(IFERROR(MATCH(B362,Character_Creation!$C$341:$F$362,0),0)&gt;0,0,1)*IF(IFERROR(MATCH($B362,Character_Creation!$C$341:$C$362,0),0)&gt;0,0,1)</f>
        <v>0</v>
      </c>
      <c r="CM362">
        <f>IF(CL362=0,0,1+COUNTIF(CM$3:CM361,"&gt;0"))</f>
        <v>0</v>
      </c>
      <c r="CN362" t="str">
        <f t="shared" si="318"/>
        <v/>
      </c>
      <c r="CO362" t="str">
        <f t="shared" si="290"/>
        <v/>
      </c>
      <c r="CQ362">
        <f>IF(IFERROR(SEARCH("Wizard",$T362,1),0)&gt;0,1,0)*IF(WizardMaxSpellLevel&gt;=$C362,1,0)*IF(IFERROR(MATCH(B362,Character_Creation!$X$341:$X$400,0),0)&gt;0,0,1)*IF(SelectedWizardSpellLevel=$C362,1,0)</f>
        <v>0</v>
      </c>
      <c r="CR362">
        <f>IF(CQ362=0,0,1+COUNTIF(CR$3:CR361,"&gt;0"))</f>
        <v>0</v>
      </c>
      <c r="CS362" t="str">
        <f t="shared" si="319"/>
        <v/>
      </c>
      <c r="CT362" t="str">
        <f t="shared" si="291"/>
        <v/>
      </c>
      <c r="CV362">
        <f>IF(IFERROR(MATCH($B362,Character_Creation!$C$341:$C$362,0),0)&gt;0,0,1)*IF(OR(C362="Cantrip",C362&lt;=BardMaxSpellLevel),1,0)*IF(IFERROR(MATCH($B362,Character_Creation!$C$367:$C$374,0),0)&gt;0,0,1)</f>
        <v>0</v>
      </c>
      <c r="CW362">
        <f>IF(CV362=0,0,1+COUNTIF(CW$3:CW361,"&gt;0"))</f>
        <v>0</v>
      </c>
      <c r="CX362" t="str">
        <f t="shared" si="320"/>
        <v/>
      </c>
      <c r="CY362" t="str">
        <f t="shared" si="292"/>
        <v/>
      </c>
      <c r="DA362">
        <f>IF(IF(OR(IFERROR(SEARCH("Cleric",$T362,1),0)&gt;0,IFERROR(SEARCH(DivineDomain&amp;",",$T362,1),0)&gt;0),1,0)*IF($C362=DA$2,1,0)=1,1+COUNTIF(DA$3:DA361,"&gt;0"),0)</f>
        <v>0</v>
      </c>
      <c r="DB362">
        <f>IF(IF(OR(IFERROR(SEARCH("Cleric",$T362,1),0)&gt;0,IFERROR(SEARCH(DivineDomain&amp;",",$T362,1),0)&gt;0),1,0)*IF($C362=DB$2,1,0)=1,1+COUNTIF(DB$3:DB361,"&gt;0"),0)</f>
        <v>0</v>
      </c>
      <c r="DC362">
        <f>IF(IF(OR(IFERROR(SEARCH("Cleric",$T362,1),0)&gt;0,IFERROR(SEARCH(DivineDomain&amp;",",$T362,1),0)&gt;0),1,0)*IF($C362=DC$2,1,0)=1,1+COUNTIF(DC$3:DC361,"&gt;0"),0)</f>
        <v>0</v>
      </c>
      <c r="DD362">
        <f>IF(IF(OR(IFERROR(SEARCH("Cleric",$T362,1),0)&gt;0,IFERROR(SEARCH(DivineDomain&amp;",",$T362,1),0)&gt;0),1,0)*IF($C362=DD$2,1,0)=1,1+COUNTIF(DD$3:DD361,"&gt;0"),0)</f>
        <v>0</v>
      </c>
      <c r="DE362">
        <f>IF(IF(OR(IFERROR(SEARCH("Cleric",$T362,1),0)&gt;0,IFERROR(SEARCH(DivineDomain&amp;",",$T362,1),0)&gt;0),1,0)*IF($C362=DE$2,1,0)=1,1+COUNTIF(DE$3:DE361,"&gt;0"),0)</f>
        <v>0</v>
      </c>
      <c r="DF362">
        <f>IF(IF(OR(IFERROR(SEARCH("Cleric",$T362,1),0)&gt;0,IFERROR(SEARCH(DivineDomain&amp;",",$T362,1),0)&gt;0),1,0)*IF($C362=DF$2,1,0)=1,1+COUNTIF(DF$3:DF361,"&gt;0"),0)</f>
        <v>10</v>
      </c>
      <c r="DG362">
        <f>IF(IF(OR(IFERROR(SEARCH("Cleric",$T362,1),0)&gt;0,IFERROR(SEARCH(DivineDomain&amp;",",$T362,1),0)&gt;0),1,0)*IF($C362=DG$2,1,0)=1,1+COUNTIF(DG$3:DG361,"&gt;0"),0)</f>
        <v>0</v>
      </c>
      <c r="DH362">
        <f>IF(IF(OR(IFERROR(SEARCH("Cleric",$T362,1),0)&gt;0,IFERROR(SEARCH(DivineDomain&amp;",",$T362,1),0)&gt;0),1,0)*IF($C362=DH$2,1,0)=1,1+COUNTIF(DH$3:DH361,"&gt;0"),0)</f>
        <v>0</v>
      </c>
      <c r="DI362">
        <f>IF(IF(OR(IFERROR(SEARCH("Cleric",$T362,1),0)&gt;0,IFERROR(SEARCH(DivineDomain&amp;",",$T362,1),0)&gt;0),1,0)*IF($C362=DI$2,1,0)=1,1+COUNTIF(DI$3:DI361,"&gt;0"),0)</f>
        <v>0</v>
      </c>
      <c r="DJ362">
        <f>IF(IF(OR(IFERROR(SEARCH("Druid",$T362,1),0)&gt;0,IFERROR(SEARCH(DruidLand1,$T362,1),0)&gt;0,IFERROR(SEARCH(DruidLand2,$T362,1),0)&gt;0,IFERROR(SEARCH(DruidLand3,$T362,1),0)&gt;0,IFERROR(SEARCH(DruidLand4,$T362,1),0)&gt;0),1,0)*IF($C362=1,1,0)*IF($C362=DJ$2,1,0)=0,0,1+COUNTIF(DJ$3:DJ361,"&gt;0"))</f>
        <v>0</v>
      </c>
      <c r="DK362">
        <f>IF(IF(OR(IFERROR(SEARCH("Druid",$T362,1),0)&gt;0,IFERROR(SEARCH(DruidLand1,$T362,1),0)&gt;0,IFERROR(SEARCH(DruidLand2,$T362,1),0)&gt;0,IFERROR(SEARCH(DruidLand3,$T362,1),0)&gt;0,IFERROR(SEARCH(DruidLand4,$T362,1),0)&gt;0),1,0)*IF($C362=1,1,0)*IF($C362=DK$2,1,0)=0,0,1+COUNTIF(DK$3:DK361,"&gt;0"))</f>
        <v>0</v>
      </c>
      <c r="DL362">
        <f>IF(IF(OR(IFERROR(SEARCH("Druid",$T362,1),0)&gt;0,IFERROR(SEARCH(DruidLand1,$T362,1),0)&gt;0,IFERROR(SEARCH(DruidLand2,$T362,1),0)&gt;0,IFERROR(SEARCH(DruidLand3,$T362,1),0)&gt;0,IFERROR(SEARCH(DruidLand4,$T362,1),0)&gt;0),1,0)*IF($C362=1,1,0)*IF($C362=DL$2,1,0)=0,0,1+COUNTIF(DL$3:DL361,"&gt;0"))</f>
        <v>0</v>
      </c>
      <c r="DM362">
        <f>IF(IF(OR(IFERROR(SEARCH("Druid",$T362,1),0)&gt;0,IFERROR(SEARCH(DruidLand1,$T362,1),0)&gt;0,IFERROR(SEARCH(DruidLand2,$T362,1),0)&gt;0,IFERROR(SEARCH(DruidLand3,$T362,1),0)&gt;0,IFERROR(SEARCH(DruidLand4,$T362,1),0)&gt;0),1,0)*IF($C362=1,1,0)*IF($C362=DM$2,1,0)=0,0,1+COUNTIF(DM$3:DM361,"&gt;0"))</f>
        <v>0</v>
      </c>
      <c r="DN362">
        <f>IF(IF(OR(IFERROR(SEARCH("Druid",$T362,1),0)&gt;0,IFERROR(SEARCH(DruidLand1,$T362,1),0)&gt;0,IFERROR(SEARCH(DruidLand2,$T362,1),0)&gt;0,IFERROR(SEARCH(DruidLand3,$T362,1),0)&gt;0,IFERROR(SEARCH(DruidLand4,$T362,1),0)&gt;0),1,0)*IF($C362=1,1,0)*IF($C362=DN$2,1,0)=0,0,1+COUNTIF(DN$3:DN361,"&gt;0"))</f>
        <v>0</v>
      </c>
      <c r="DO362">
        <f>IF(IF(OR(IFERROR(SEARCH("Druid",$T362,1),0)&gt;0,IFERROR(SEARCH(DruidLand1,$T362,1),0)&gt;0,IFERROR(SEARCH(DruidLand2,$T362,1),0)&gt;0,IFERROR(SEARCH(DruidLand3,$T362,1),0)&gt;0,IFERROR(SEARCH(DruidLand4,$T362,1),0)&gt;0),1,0)*IF($C362=1,1,0)*IF($C362=DO$2,1,0)=0,0,1+COUNTIF(DO$3:DO361,"&gt;0"))</f>
        <v>0</v>
      </c>
      <c r="DP362">
        <f>IF(IF(OR(IFERROR(SEARCH("Druid",$T362,1),0)&gt;0,IFERROR(SEARCH(DruidLand1,$T362,1),0)&gt;0,IFERROR(SEARCH(DruidLand2,$T362,1),0)&gt;0,IFERROR(SEARCH(DruidLand3,$T362,1),0)&gt;0,IFERROR(SEARCH(DruidLand4,$T362,1),0)&gt;0),1,0)*IF($C362=1,1,0)*IF($C362=DP$2,1,0)=0,0,1+COUNTIF(DP$3:DP361,"&gt;0"))</f>
        <v>0</v>
      </c>
      <c r="DQ362">
        <f>IF(IF(OR(IFERROR(SEARCH("Druid",$T362,1),0)&gt;0,IFERROR(SEARCH(DruidLand1,$T362,1),0)&gt;0,IFERROR(SEARCH(DruidLand2,$T362,1),0)&gt;0,IFERROR(SEARCH(DruidLand3,$T362,1),0)&gt;0,IFERROR(SEARCH(DruidLand4,$T362,1),0)&gt;0),1,0)*IF($C362=1,1,0)*IF($C362=DQ$2,1,0)=0,0,1+COUNTIF(DQ$3:DQ361,"&gt;0"))</f>
        <v>0</v>
      </c>
      <c r="DR362">
        <f>IF(IF(OR(IFERROR(SEARCH("Druid",$T362,1),0)&gt;0,IFERROR(SEARCH(DruidLand1,$T362,1),0)&gt;0,IFERROR(SEARCH(DruidLand2,$T362,1),0)&gt;0,IFERROR(SEARCH(DruidLand3,$T362,1),0)&gt;0,IFERROR(SEARCH(DruidLand4,$T362,1),0)&gt;0),1,0)*IF($C362=1,1,0)*IF($C362=DR$2,1,0)=0,0,1+COUNTIF(DR$3:DR361,"&gt;0"))</f>
        <v>0</v>
      </c>
      <c r="DS362">
        <f>IF(IF(OR(IFERROR(SEARCH("Paladin",$T362,1),0)&gt;0,IFERROR(SEARCH(PaladinOath,$T362,1),0)&gt;0),1,0)*IF($C362=DS$2,1,0)=1,1+COUNTIF(DS$3:DS361,"&gt;0"),0)</f>
        <v>0</v>
      </c>
      <c r="DT362">
        <f>IF(IF(OR(IFERROR(SEARCH("Paladin",$T362,1),0)&gt;0,IFERROR(SEARCH(PaladinOath,$T362,1),0)&gt;0),1,0)*IF($C362=DT$2,1,0)=1,1+COUNTIF(DT$3:DT361,"&gt;0"),0)</f>
        <v>0</v>
      </c>
      <c r="DU362">
        <f>IF(IF(OR(IFERROR(SEARCH("Paladin",$T362,1),0)&gt;0,IFERROR(SEARCH(PaladinOath,$T362,1),0)&gt;0),1,0)*IF($C362=DU$2,1,0)=1,1+COUNTIF(DU$3:DU361,"&gt;0"),0)</f>
        <v>0</v>
      </c>
      <c r="DV362">
        <f>IF(IF(OR(IFERROR(SEARCH("Paladin",$T362,1),0)&gt;0,IFERROR(SEARCH(PaladinOath,$T362,1),0)&gt;0),1,0)*IF($C362=DV$2,1,0)=1,1+COUNTIF(DV$3:DV361,"&gt;0"),0)</f>
        <v>0</v>
      </c>
      <c r="DW362">
        <f>IF(IF(OR(IFERROR(SEARCH("Paladin",$T362,1),0)&gt;0,IFERROR(SEARCH(PaladinOath,$T362,1),0)&gt;0),1,0)*IF($C362=DW$2,1,0)=1,1+COUNTIF(DW$3:DW361,"&gt;0"),0)</f>
        <v>0</v>
      </c>
      <c r="DY362">
        <f t="shared" si="278"/>
        <v>1</v>
      </c>
      <c r="DZ362">
        <f>IF(DY362=0,0,1+MAX(DZ$3:$DZ361))</f>
        <v>360</v>
      </c>
      <c r="EB362">
        <f t="shared" si="293"/>
        <v>0</v>
      </c>
      <c r="EC362">
        <f>IF(EB362=0,0,1+COUNTIF(EC$3:EC361,"&gt;0"))</f>
        <v>0</v>
      </c>
      <c r="ED362" t="str">
        <f t="shared" si="321"/>
        <v/>
      </c>
      <c r="EE362" t="str">
        <f t="shared" si="294"/>
        <v/>
      </c>
      <c r="EG362">
        <f t="shared" si="295"/>
        <v>0</v>
      </c>
      <c r="EH362">
        <f>IF(EG362=0,0,1+COUNTIF(EH$3:EH361,"&gt;0"))</f>
        <v>0</v>
      </c>
      <c r="EI362" t="str">
        <f t="shared" si="322"/>
        <v/>
      </c>
      <c r="EJ362" t="str">
        <f t="shared" si="296"/>
        <v/>
      </c>
      <c r="EL362">
        <f t="shared" si="297"/>
        <v>0</v>
      </c>
      <c r="EM362">
        <f>IF(EL362=0,0,1+COUNTIF(EM$3:EM361,"&gt;0"))</f>
        <v>0</v>
      </c>
      <c r="EN362" t="str">
        <f t="shared" si="323"/>
        <v/>
      </c>
      <c r="EO362" t="str">
        <f t="shared" si="298"/>
        <v/>
      </c>
      <c r="EQ362">
        <f t="shared" si="299"/>
        <v>0</v>
      </c>
      <c r="ER362">
        <f>IF(EQ362=0,0,1+COUNTIF(ER$3:ER361,"&gt;0"))</f>
        <v>0</v>
      </c>
      <c r="ES362" t="str">
        <f t="shared" si="324"/>
        <v/>
      </c>
      <c r="ET362" t="str">
        <f t="shared" si="300"/>
        <v/>
      </c>
      <c r="EV362">
        <f t="shared" si="301"/>
        <v>0</v>
      </c>
      <c r="EW362">
        <f>IF(EV362=0,0,1+COUNTIF(EW$3:EW361,"&gt;0"))</f>
        <v>0</v>
      </c>
      <c r="EX362" t="str">
        <f t="shared" si="325"/>
        <v/>
      </c>
      <c r="EY362" t="str">
        <f t="shared" si="302"/>
        <v/>
      </c>
      <c r="FA362">
        <f t="shared" si="303"/>
        <v>0</v>
      </c>
      <c r="FB362">
        <f>IF(FA362=0,0,1+COUNTIF(FB$3:FB361,"&gt;0"))</f>
        <v>0</v>
      </c>
      <c r="FC362" t="str">
        <f t="shared" si="326"/>
        <v/>
      </c>
      <c r="FD362" t="str">
        <f t="shared" si="304"/>
        <v/>
      </c>
      <c r="FF362">
        <f t="shared" si="305"/>
        <v>0</v>
      </c>
      <c r="FG362">
        <f>IF(FF362=0,0,1+COUNTIF(FG$3:FG361,"&gt;0"))</f>
        <v>0</v>
      </c>
      <c r="FH362" t="str">
        <f t="shared" si="327"/>
        <v/>
      </c>
      <c r="FI362" t="str">
        <f t="shared" si="306"/>
        <v/>
      </c>
      <c r="FK362">
        <f t="shared" si="307"/>
        <v>0</v>
      </c>
      <c r="FL362">
        <f>IF(FK362=0,0,1+COUNTIF(FL$3:FL361,"&gt;0"))</f>
        <v>0</v>
      </c>
      <c r="FM362" t="str">
        <f t="shared" si="328"/>
        <v/>
      </c>
      <c r="FN362" t="str">
        <f t="shared" si="308"/>
        <v/>
      </c>
      <c r="FP362">
        <f t="shared" si="309"/>
        <v>0</v>
      </c>
      <c r="FQ362">
        <f>IF(FP362=0,0,1+COUNTIF(FQ$3:FQ361,"&gt;0"))</f>
        <v>0</v>
      </c>
      <c r="FR362" t="str">
        <f t="shared" si="329"/>
        <v/>
      </c>
      <c r="FS362" t="str">
        <f t="shared" si="310"/>
        <v/>
      </c>
    </row>
    <row r="363" spans="1:175" x14ac:dyDescent="0.25">
      <c r="A363" s="347">
        <f t="shared" si="331"/>
        <v>361</v>
      </c>
      <c r="B363" s="348" t="s">
        <v>2765</v>
      </c>
      <c r="C363" s="348">
        <v>1</v>
      </c>
      <c r="D363" s="347">
        <v>1</v>
      </c>
      <c r="E363" s="627" t="s">
        <v>6952</v>
      </c>
      <c r="F363" s="346"/>
      <c r="G363" s="347" t="str">
        <f>""</f>
        <v/>
      </c>
      <c r="H363" s="347" t="s">
        <v>5918</v>
      </c>
      <c r="I363" s="347" t="s">
        <v>5283</v>
      </c>
      <c r="J363" s="347" t="str">
        <f t="shared" si="279"/>
        <v/>
      </c>
      <c r="K363" s="347" t="s">
        <v>5291</v>
      </c>
      <c r="L363" s="611" t="str">
        <f t="shared" si="280"/>
        <v>V</v>
      </c>
      <c r="M363" s="347" t="s">
        <v>2373</v>
      </c>
      <c r="N363" s="347" t="s">
        <v>3034</v>
      </c>
      <c r="O363" s="347" t="s">
        <v>3034</v>
      </c>
      <c r="P363" s="346" t="str">
        <f>""</f>
        <v/>
      </c>
      <c r="Q363" s="347" t="s">
        <v>5273</v>
      </c>
      <c r="S363" s="346" t="s">
        <v>2766</v>
      </c>
      <c r="T363" s="346" t="str">
        <f t="shared" si="281"/>
        <v xml:space="preserve">Paladin, </v>
      </c>
      <c r="V363" s="347" t="str">
        <f>$B363</f>
        <v>Wrathful Smite</v>
      </c>
      <c r="AE363" t="str">
        <f>IF(IFERROR(MATCH($B363,temp!A$4:A$13,0),0)&gt;0,T08_Spells!AE$2,"")</f>
        <v/>
      </c>
      <c r="AF363" t="str">
        <f>IF(IFERROR(MATCH($B363,temp!B$4:B$13,0),0)&gt;0,T08_Spells!AF$2,"")</f>
        <v/>
      </c>
      <c r="AG363" t="str">
        <f>IF(IFERROR(MATCH($B363,temp!C$4:C$13,0),0)&gt;0,T08_Spells!AG$2,"")</f>
        <v/>
      </c>
      <c r="AH363" t="str">
        <f>IF(IFERROR(MATCH($B363,temp!D$4:D$13,0),0)&gt;0,T08_Spells!AH$2,"")</f>
        <v/>
      </c>
      <c r="AI363" t="str">
        <f>IF(IFERROR(MATCH($B363,temp!E$4:E$13,0),0)&gt;0,T08_Spells!AI$2,"")</f>
        <v/>
      </c>
      <c r="AJ363" t="str">
        <f>IF(IFERROR(MATCH($B363,temp!F$4:F$13,0),0)&gt;0,T08_Spells!AJ$2,"")</f>
        <v/>
      </c>
      <c r="AK363" t="str">
        <f>IF(IFERROR(MATCH($B363,temp!G$4:G$13,0),0)&gt;0,T08_Spells!AK$2,"")</f>
        <v/>
      </c>
      <c r="AL363" t="str">
        <f>IF(IFERROR(MATCH($B363,temp!H$4:H$13,0),0)&gt;0,T08_Spells!AL$2,"")</f>
        <v/>
      </c>
      <c r="AM363" t="str">
        <f>IF(IFERROR(MATCH($B363,temp!I$4:I$13,0),0)&gt;0,T08_Spells!AM$2,"")</f>
        <v/>
      </c>
      <c r="AN363" t="str">
        <f>IF(IFERROR(MATCH($B363,temp!J$4:J$13,0),0)&gt;0,T08_Spells!AN$2,"")</f>
        <v/>
      </c>
      <c r="AO363" t="str">
        <f>IF(IFERROR(MATCH($B363,temp!K$4:K$13,0),0)&gt;0,T08_Spells!AO$2,"")</f>
        <v/>
      </c>
      <c r="AP363" t="str">
        <f>IF(IFERROR(MATCH($B363,temp!L$4:L$13,0),0)&gt;0,T08_Spells!AP$2,"")</f>
        <v/>
      </c>
      <c r="AQ363" t="str">
        <f>IF(IFERROR(MATCH($B363,temp!M$4:M$13,0),0)&gt;0,T08_Spells!AQ$2,"")</f>
        <v/>
      </c>
      <c r="AR363" t="str">
        <f>IF(IFERROR(MATCH($B363,temp!N$4:N$13,0),0)&gt;0,T08_Spells!AR$2,"")</f>
        <v/>
      </c>
      <c r="AS363" t="str">
        <f>IF(IFERROR(MATCH($B363,temp!O$4:O$13,0),0)&gt;0,T08_Spells!AS$2,"")</f>
        <v/>
      </c>
      <c r="AT363" t="str">
        <f>IF(IFERROR(MATCH($B363,temp!P$4:P$13,0),0)&gt;0,T08_Spells!AT$2,"")</f>
        <v/>
      </c>
      <c r="AU363" t="str">
        <f>IF(IFERROR(MATCH($B363,temp!Q$4:Q$13,0),0)&gt;0,T08_Spells!AU$2,"")</f>
        <v/>
      </c>
      <c r="AV363" t="str">
        <f>IF(IFERROR(MATCH($B363,temp!R$4:R$13,0),0)&gt;0,T08_Spells!AV$2,"")</f>
        <v/>
      </c>
      <c r="AW363" t="str">
        <f>IF(IFERROR(MATCH($B363,temp!S$4:S$13,0),0)&gt;0,T08_Spells!AW$2,"")</f>
        <v/>
      </c>
      <c r="AX363" t="str">
        <f>IF(IFERROR(MATCH($B363,temp!T$4:T$13,0),0)&gt;0,T08_Spells!AX$2,"")</f>
        <v/>
      </c>
      <c r="AY363" t="str">
        <f>IF(IFERROR(MATCH($B363,temp!U$4:U$13,0),0)&gt;0,T08_Spells!AY$2,"")</f>
        <v/>
      </c>
      <c r="AZ363" t="str">
        <f>IF(IFERROR(MATCH($B363,temp!V$4:V$13,0),0)&gt;0,T08_Spells!AZ$2,"")</f>
        <v/>
      </c>
      <c r="BA363" t="str">
        <f>IF(IFERROR(MATCH($B363,temp!W$4:W$13,0),0)&gt;0,T08_Spells!BA$2,"")</f>
        <v/>
      </c>
      <c r="BC363">
        <f>IF(IFERROR(SEARCH("Ranger",$T363,1),0)&gt;0,1,0)*IF(RangerMaxSpellLevel&gt;=$C363,1,0)*IF(IFERROR(MATCH(B363,Character_Creation!$X$79:$X$382,0),0)&gt;0,0,1)</f>
        <v>0</v>
      </c>
      <c r="BD363">
        <f>IF(BC363=0,0,1+COUNTIF(BD$3:BD362,"&gt;0"))</f>
        <v>0</v>
      </c>
      <c r="BE363" t="str">
        <f t="shared" si="311"/>
        <v/>
      </c>
      <c r="BF363" t="str">
        <f t="shared" si="283"/>
        <v/>
      </c>
      <c r="BH363">
        <f>IF(IFERROR(SEARCH("Sorcerer",$T363,1),0)&gt;0,1,0)*IF(SorcererMaxSpellLevel&gt;=$C363,1,0)*IF(IFERROR(MATCH(B363,Character_Creation!$J$380:$J$394,0),0)&gt;0,0,1)</f>
        <v>0</v>
      </c>
      <c r="BI363">
        <f>IF(BH363=0,0,1+COUNTIF(BI$3:BI362,"&gt;0"))</f>
        <v>0</v>
      </c>
      <c r="BJ363" t="str">
        <f t="shared" si="312"/>
        <v/>
      </c>
      <c r="BK363" t="str">
        <f t="shared" si="284"/>
        <v/>
      </c>
      <c r="BM363">
        <f>IF(OR(IFERROR(SEARCH("Warlock",$T363,1),0)&gt;0,IFERROR(SEARCH(WarlockPatron,$T363,1),0)&gt;0),1,0)*IF(WarlockMaxSpellLevel&gt;=$C363,1,0)*IF(IFERROR(MATCH(B363,Character_Creation!$J$361:$J$375,0),0)&gt;0,0,1)</f>
        <v>0</v>
      </c>
      <c r="BN363">
        <f>IF(BM363=0,0,1+COUNTIF(BN$3:BN362,"&gt;0"))</f>
        <v>0</v>
      </c>
      <c r="BO363" t="str">
        <f t="shared" si="313"/>
        <v/>
      </c>
      <c r="BP363" t="str">
        <f t="shared" si="285"/>
        <v/>
      </c>
      <c r="BR363">
        <f>IF(IFERROR(SEARCH("Eldritch Knight",$T363,1),0)&gt;0,1,0)*IF(EldritchKnightMaxSpellLevel&gt;=$C363,1,0)*IF(IFERROR(MATCH($B363,Character_Creation!$J$350:$J$356,0),0)&gt;0,0,1)*IF(Character_Creation!$M$338&gt;0,1,0)</f>
        <v>0</v>
      </c>
      <c r="BS363">
        <f>IF(BR363=0,0,1+COUNTIF(BS$3:BS362,"&gt;0"))</f>
        <v>0</v>
      </c>
      <c r="BT363" t="str">
        <f t="shared" si="314"/>
        <v/>
      </c>
      <c r="BU363" t="str">
        <f t="shared" si="286"/>
        <v/>
      </c>
      <c r="BW363">
        <f>IF(IFERROR(SEARCH("Arcane Trickster",$T363,1),0)&gt;0,1,0)*IF(ArcaneTricksterMaxSpellLevel&gt;=$C363,1,0)*IF(IFERROR(MATCH($B363,Character_Creation!$J$350:$J$356,0),0)&gt;0,0,1)*IF(Character_Creation!$T$338&gt;0,1,0)</f>
        <v>0</v>
      </c>
      <c r="BX363">
        <f>IF(BW363=0,0,1+COUNTIF(BX$3:BX362,"&gt;0"))</f>
        <v>0</v>
      </c>
      <c r="BY363" t="str">
        <f t="shared" si="315"/>
        <v/>
      </c>
      <c r="BZ363" t="str">
        <f t="shared" si="287"/>
        <v/>
      </c>
      <c r="CB363">
        <f>IF(IFERROR(SEARCH("Wizard",$T363,1),0)&gt;0,1,0)*IF(C363&lt;=ArcaneTricksterMaxSpellLevel,1,0)*IF(IFERROR(MATCH($B363,Character_Creation!$J$350:$J$356,0),0)&gt;0,0,1)*IF(Character_Creation!$T$350&gt;0,1,0)</f>
        <v>0</v>
      </c>
      <c r="CC363">
        <f>IF(CB363=0,0,1+COUNTIF(CC$3:CC362,"&gt;0"))</f>
        <v>0</v>
      </c>
      <c r="CD363" t="str">
        <f t="shared" si="316"/>
        <v/>
      </c>
      <c r="CE363" t="str">
        <f t="shared" si="288"/>
        <v/>
      </c>
      <c r="CG363">
        <f>IF(IFERROR(SEARCH("Wizard",$T363,1),0)&gt;0,1,0)*IF($C363&lt;=EldritchKnightMaxSpellLevel,1,0)*IF(IFERROR(MATCH($B363,Character_Creation!$J$350:$J$356,0),0)&gt;0,0,1)*IF(Character_Creation!$M$350&gt;0,1,0)</f>
        <v>0</v>
      </c>
      <c r="CH363">
        <f>IF(CG363=0,0,1+COUNTIF(CH$3:CH362,"&gt;0"))</f>
        <v>0</v>
      </c>
      <c r="CI363" t="str">
        <f t="shared" si="317"/>
        <v/>
      </c>
      <c r="CJ363" t="str">
        <f t="shared" si="289"/>
        <v/>
      </c>
      <c r="CL363">
        <f>IF(IFERROR(SEARCH("Bard",$T363,1),0)&gt;0,1,0)*IF(BardMaxSpellLevel&gt;=$C363,1,0)*IF(IFERROR(MATCH(B363,Character_Creation!$C$341:$F$362,0),0)&gt;0,0,1)*IF(IFERROR(MATCH($B363,Character_Creation!$C$341:$C$362,0),0)&gt;0,0,1)</f>
        <v>0</v>
      </c>
      <c r="CM363">
        <f>IF(CL363=0,0,1+COUNTIF(CM$3:CM362,"&gt;0"))</f>
        <v>0</v>
      </c>
      <c r="CN363" t="str">
        <f t="shared" si="318"/>
        <v/>
      </c>
      <c r="CO363" t="str">
        <f t="shared" si="290"/>
        <v/>
      </c>
      <c r="CQ363">
        <f>IF(IFERROR(SEARCH("Wizard",$T363,1),0)&gt;0,1,0)*IF(WizardMaxSpellLevel&gt;=$C363,1,0)*IF(IFERROR(MATCH(B363,Character_Creation!$X$341:$X$400,0),0)&gt;0,0,1)*IF(SelectedWizardSpellLevel=$C363,1,0)</f>
        <v>0</v>
      </c>
      <c r="CR363">
        <f>IF(CQ363=0,0,1+COUNTIF(CR$3:CR362,"&gt;0"))</f>
        <v>0</v>
      </c>
      <c r="CS363" t="str">
        <f t="shared" si="319"/>
        <v/>
      </c>
      <c r="CT363" t="str">
        <f t="shared" si="291"/>
        <v/>
      </c>
      <c r="CV363">
        <f>IF(IFERROR(MATCH($B363,Character_Creation!$C$341:$C$362,0),0)&gt;0,0,1)*IF(OR(C363="Cantrip",C363&lt;=BardMaxSpellLevel),1,0)*IF(IFERROR(MATCH($B363,Character_Creation!$C$367:$C$374,0),0)&gt;0,0,1)</f>
        <v>0</v>
      </c>
      <c r="CW363">
        <f>IF(CV363=0,0,1+COUNTIF(CW$3:CW362,"&gt;0"))</f>
        <v>0</v>
      </c>
      <c r="CX363" t="str">
        <f t="shared" si="320"/>
        <v/>
      </c>
      <c r="CY363" t="str">
        <f t="shared" si="292"/>
        <v/>
      </c>
      <c r="DA363">
        <f>IF(IF(OR(IFERROR(SEARCH("Cleric",$T363,1),0)&gt;0,IFERROR(SEARCH(DivineDomain&amp;",",$T363,1),0)&gt;0),1,0)*IF($C363=DA$2,1,0)=1,1+COUNTIF(DA$3:DA362,"&gt;0"),0)</f>
        <v>0</v>
      </c>
      <c r="DB363">
        <f>IF(IF(OR(IFERROR(SEARCH("Cleric",$T363,1),0)&gt;0,IFERROR(SEARCH(DivineDomain&amp;",",$T363,1),0)&gt;0),1,0)*IF($C363=DB$2,1,0)=1,1+COUNTIF(DB$3:DB362,"&gt;0"),0)</f>
        <v>0</v>
      </c>
      <c r="DC363">
        <f>IF(IF(OR(IFERROR(SEARCH("Cleric",$T363,1),0)&gt;0,IFERROR(SEARCH(DivineDomain&amp;",",$T363,1),0)&gt;0),1,0)*IF($C363=DC$2,1,0)=1,1+COUNTIF(DC$3:DC362,"&gt;0"),0)</f>
        <v>0</v>
      </c>
      <c r="DD363">
        <f>IF(IF(OR(IFERROR(SEARCH("Cleric",$T363,1),0)&gt;0,IFERROR(SEARCH(DivineDomain&amp;",",$T363,1),0)&gt;0),1,0)*IF($C363=DD$2,1,0)=1,1+COUNTIF(DD$3:DD362,"&gt;0"),0)</f>
        <v>0</v>
      </c>
      <c r="DE363">
        <f>IF(IF(OR(IFERROR(SEARCH("Cleric",$T363,1),0)&gt;0,IFERROR(SEARCH(DivineDomain&amp;",",$T363,1),0)&gt;0),1,0)*IF($C363=DE$2,1,0)=1,1+COUNTIF(DE$3:DE362,"&gt;0"),0)</f>
        <v>0</v>
      </c>
      <c r="DF363">
        <f>IF(IF(OR(IFERROR(SEARCH("Cleric",$T363,1),0)&gt;0,IFERROR(SEARCH(DivineDomain&amp;",",$T363,1),0)&gt;0),1,0)*IF($C363=DF$2,1,0)=1,1+COUNTIF(DF$3:DF362,"&gt;0"),0)</f>
        <v>0</v>
      </c>
      <c r="DG363">
        <f>IF(IF(OR(IFERROR(SEARCH("Cleric",$T363,1),0)&gt;0,IFERROR(SEARCH(DivineDomain&amp;",",$T363,1),0)&gt;0),1,0)*IF($C363=DG$2,1,0)=1,1+COUNTIF(DG$3:DG362,"&gt;0"),0)</f>
        <v>0</v>
      </c>
      <c r="DH363">
        <f>IF(IF(OR(IFERROR(SEARCH("Cleric",$T363,1),0)&gt;0,IFERROR(SEARCH(DivineDomain&amp;",",$T363,1),0)&gt;0),1,0)*IF($C363=DH$2,1,0)=1,1+COUNTIF(DH$3:DH362,"&gt;0"),0)</f>
        <v>0</v>
      </c>
      <c r="DI363">
        <f>IF(IF(OR(IFERROR(SEARCH("Cleric",$T363,1),0)&gt;0,IFERROR(SEARCH(DivineDomain&amp;",",$T363,1),0)&gt;0),1,0)*IF($C363=DI$2,1,0)=1,1+COUNTIF(DI$3:DI362,"&gt;0"),0)</f>
        <v>0</v>
      </c>
      <c r="DJ363">
        <f>IF(IF(OR(IFERROR(SEARCH("Druid",$T363,1),0)&gt;0,IFERROR(SEARCH(DruidLand1,$T363,1),0)&gt;0,IFERROR(SEARCH(DruidLand2,$T363,1),0)&gt;0,IFERROR(SEARCH(DruidLand3,$T363,1),0)&gt;0,IFERROR(SEARCH(DruidLand4,$T363,1),0)&gt;0),1,0)*IF($C363=1,1,0)*IF($C363=DJ$2,1,0)=0,0,1+COUNTIF(DJ$3:DJ362,"&gt;0"))</f>
        <v>0</v>
      </c>
      <c r="DK363">
        <f>IF(IF(OR(IFERROR(SEARCH("Druid",$T363,1),0)&gt;0,IFERROR(SEARCH(DruidLand1,$T363,1),0)&gt;0,IFERROR(SEARCH(DruidLand2,$T363,1),0)&gt;0,IFERROR(SEARCH(DruidLand3,$T363,1),0)&gt;0,IFERROR(SEARCH(DruidLand4,$T363,1),0)&gt;0),1,0)*IF($C363=1,1,0)*IF($C363=DK$2,1,0)=0,0,1+COUNTIF(DK$3:DK362,"&gt;0"))</f>
        <v>0</v>
      </c>
      <c r="DL363">
        <f>IF(IF(OR(IFERROR(SEARCH("Druid",$T363,1),0)&gt;0,IFERROR(SEARCH(DruidLand1,$T363,1),0)&gt;0,IFERROR(SEARCH(DruidLand2,$T363,1),0)&gt;0,IFERROR(SEARCH(DruidLand3,$T363,1),0)&gt;0,IFERROR(SEARCH(DruidLand4,$T363,1),0)&gt;0),1,0)*IF($C363=1,1,0)*IF($C363=DL$2,1,0)=0,0,1+COUNTIF(DL$3:DL362,"&gt;0"))</f>
        <v>0</v>
      </c>
      <c r="DM363">
        <f>IF(IF(OR(IFERROR(SEARCH("Druid",$T363,1),0)&gt;0,IFERROR(SEARCH(DruidLand1,$T363,1),0)&gt;0,IFERROR(SEARCH(DruidLand2,$T363,1),0)&gt;0,IFERROR(SEARCH(DruidLand3,$T363,1),0)&gt;0,IFERROR(SEARCH(DruidLand4,$T363,1),0)&gt;0),1,0)*IF($C363=1,1,0)*IF($C363=DM$2,1,0)=0,0,1+COUNTIF(DM$3:DM362,"&gt;0"))</f>
        <v>0</v>
      </c>
      <c r="DN363">
        <f>IF(IF(OR(IFERROR(SEARCH("Druid",$T363,1),0)&gt;0,IFERROR(SEARCH(DruidLand1,$T363,1),0)&gt;0,IFERROR(SEARCH(DruidLand2,$T363,1),0)&gt;0,IFERROR(SEARCH(DruidLand3,$T363,1),0)&gt;0,IFERROR(SEARCH(DruidLand4,$T363,1),0)&gt;0),1,0)*IF($C363=1,1,0)*IF($C363=DN$2,1,0)=0,0,1+COUNTIF(DN$3:DN362,"&gt;0"))</f>
        <v>0</v>
      </c>
      <c r="DO363">
        <f>IF(IF(OR(IFERROR(SEARCH("Druid",$T363,1),0)&gt;0,IFERROR(SEARCH(DruidLand1,$T363,1),0)&gt;0,IFERROR(SEARCH(DruidLand2,$T363,1),0)&gt;0,IFERROR(SEARCH(DruidLand3,$T363,1),0)&gt;0,IFERROR(SEARCH(DruidLand4,$T363,1),0)&gt;0),1,0)*IF($C363=1,1,0)*IF($C363=DO$2,1,0)=0,0,1+COUNTIF(DO$3:DO362,"&gt;0"))</f>
        <v>0</v>
      </c>
      <c r="DP363">
        <f>IF(IF(OR(IFERROR(SEARCH("Druid",$T363,1),0)&gt;0,IFERROR(SEARCH(DruidLand1,$T363,1),0)&gt;0,IFERROR(SEARCH(DruidLand2,$T363,1),0)&gt;0,IFERROR(SEARCH(DruidLand3,$T363,1),0)&gt;0,IFERROR(SEARCH(DruidLand4,$T363,1),0)&gt;0),1,0)*IF($C363=1,1,0)*IF($C363=DP$2,1,0)=0,0,1+COUNTIF(DP$3:DP362,"&gt;0"))</f>
        <v>0</v>
      </c>
      <c r="DQ363">
        <f>IF(IF(OR(IFERROR(SEARCH("Druid",$T363,1),0)&gt;0,IFERROR(SEARCH(DruidLand1,$T363,1),0)&gt;0,IFERROR(SEARCH(DruidLand2,$T363,1),0)&gt;0,IFERROR(SEARCH(DruidLand3,$T363,1),0)&gt;0,IFERROR(SEARCH(DruidLand4,$T363,1),0)&gt;0),1,0)*IF($C363=1,1,0)*IF($C363=DQ$2,1,0)=0,0,1+COUNTIF(DQ$3:DQ362,"&gt;0"))</f>
        <v>0</v>
      </c>
      <c r="DR363">
        <f>IF(IF(OR(IFERROR(SEARCH("Druid",$T363,1),0)&gt;0,IFERROR(SEARCH(DruidLand1,$T363,1),0)&gt;0,IFERROR(SEARCH(DruidLand2,$T363,1),0)&gt;0,IFERROR(SEARCH(DruidLand3,$T363,1),0)&gt;0,IFERROR(SEARCH(DruidLand4,$T363,1),0)&gt;0),1,0)*IF($C363=1,1,0)*IF($C363=DR$2,1,0)=0,0,1+COUNTIF(DR$3:DR362,"&gt;0"))</f>
        <v>0</v>
      </c>
      <c r="DS363">
        <f>IF(IF(OR(IFERROR(SEARCH("Paladin",$T363,1),0)&gt;0,IFERROR(SEARCH(PaladinOath,$T363,1),0)&gt;0),1,0)*IF($C363=DS$2,1,0)=1,1+COUNTIF(DS$3:DS362,"&gt;0"),0)</f>
        <v>15</v>
      </c>
      <c r="DT363">
        <f>IF(IF(OR(IFERROR(SEARCH("Paladin",$T363,1),0)&gt;0,IFERROR(SEARCH(PaladinOath,$T363,1),0)&gt;0),1,0)*IF($C363=DT$2,1,0)=1,1+COUNTIF(DT$3:DT362,"&gt;0"),0)</f>
        <v>0</v>
      </c>
      <c r="DU363">
        <f>IF(IF(OR(IFERROR(SEARCH("Paladin",$T363,1),0)&gt;0,IFERROR(SEARCH(PaladinOath,$T363,1),0)&gt;0),1,0)*IF($C363=DU$2,1,0)=1,1+COUNTIF(DU$3:DU362,"&gt;0"),0)</f>
        <v>0</v>
      </c>
      <c r="DV363">
        <f>IF(IF(OR(IFERROR(SEARCH("Paladin",$T363,1),0)&gt;0,IFERROR(SEARCH(PaladinOath,$T363,1),0)&gt;0),1,0)*IF($C363=DV$2,1,0)=1,1+COUNTIF(DV$3:DV362,"&gt;0"),0)</f>
        <v>0</v>
      </c>
      <c r="DW363">
        <f>IF(IF(OR(IFERROR(SEARCH("Paladin",$T363,1),0)&gt;0,IFERROR(SEARCH(PaladinOath,$T363,1),0)&gt;0),1,0)*IF($C363=DW$2,1,0)=1,1+COUNTIF(DW$3:DW362,"&gt;0"),0)</f>
        <v>0</v>
      </c>
      <c r="DY363">
        <f t="shared" si="278"/>
        <v>1</v>
      </c>
      <c r="DZ363">
        <f>IF(DY363=0,0,1+MAX(DZ$3:$DZ362))</f>
        <v>361</v>
      </c>
      <c r="EB363">
        <f t="shared" si="293"/>
        <v>0</v>
      </c>
      <c r="EC363">
        <f>IF(EB363=0,0,1+COUNTIF(EC$3:EC362,"&gt;0"))</f>
        <v>0</v>
      </c>
      <c r="ED363" t="str">
        <f t="shared" si="321"/>
        <v/>
      </c>
      <c r="EE363" t="str">
        <f t="shared" si="294"/>
        <v/>
      </c>
      <c r="EG363">
        <f t="shared" si="295"/>
        <v>0</v>
      </c>
      <c r="EH363">
        <f>IF(EG363=0,0,1+COUNTIF(EH$3:EH362,"&gt;0"))</f>
        <v>0</v>
      </c>
      <c r="EI363" t="str">
        <f t="shared" si="322"/>
        <v/>
      </c>
      <c r="EJ363" t="str">
        <f t="shared" si="296"/>
        <v/>
      </c>
      <c r="EL363">
        <f t="shared" si="297"/>
        <v>0</v>
      </c>
      <c r="EM363">
        <f>IF(EL363=0,0,1+COUNTIF(EM$3:EM362,"&gt;0"))</f>
        <v>0</v>
      </c>
      <c r="EN363" t="str">
        <f t="shared" si="323"/>
        <v/>
      </c>
      <c r="EO363" t="str">
        <f t="shared" si="298"/>
        <v/>
      </c>
      <c r="EQ363">
        <f t="shared" si="299"/>
        <v>0</v>
      </c>
      <c r="ER363">
        <f>IF(EQ363=0,0,1+COUNTIF(ER$3:ER362,"&gt;0"))</f>
        <v>0</v>
      </c>
      <c r="ES363" t="str">
        <f t="shared" si="324"/>
        <v/>
      </c>
      <c r="ET363" t="str">
        <f t="shared" si="300"/>
        <v/>
      </c>
      <c r="EV363">
        <f t="shared" si="301"/>
        <v>0</v>
      </c>
      <c r="EW363">
        <f>IF(EV363=0,0,1+COUNTIF(EW$3:EW362,"&gt;0"))</f>
        <v>0</v>
      </c>
      <c r="EX363" t="str">
        <f t="shared" si="325"/>
        <v/>
      </c>
      <c r="EY363" t="str">
        <f t="shared" si="302"/>
        <v/>
      </c>
      <c r="FA363">
        <f t="shared" si="303"/>
        <v>0</v>
      </c>
      <c r="FB363">
        <f>IF(FA363=0,0,1+COUNTIF(FB$3:FB362,"&gt;0"))</f>
        <v>0</v>
      </c>
      <c r="FC363" t="str">
        <f t="shared" si="326"/>
        <v/>
      </c>
      <c r="FD363" t="str">
        <f t="shared" si="304"/>
        <v/>
      </c>
      <c r="FF363">
        <f t="shared" si="305"/>
        <v>0</v>
      </c>
      <c r="FG363">
        <f>IF(FF363=0,0,1+COUNTIF(FG$3:FG362,"&gt;0"))</f>
        <v>0</v>
      </c>
      <c r="FH363" t="str">
        <f t="shared" si="327"/>
        <v/>
      </c>
      <c r="FI363" t="str">
        <f t="shared" si="306"/>
        <v/>
      </c>
      <c r="FK363">
        <f t="shared" si="307"/>
        <v>0</v>
      </c>
      <c r="FL363">
        <f>IF(FK363=0,0,1+COUNTIF(FL$3:FL362,"&gt;0"))</f>
        <v>0</v>
      </c>
      <c r="FM363" t="str">
        <f t="shared" si="328"/>
        <v/>
      </c>
      <c r="FN363" t="str">
        <f t="shared" si="308"/>
        <v/>
      </c>
      <c r="FP363">
        <f t="shared" si="309"/>
        <v>0</v>
      </c>
      <c r="FQ363">
        <f>IF(FP363=0,0,1+COUNTIF(FQ$3:FQ362,"&gt;0"))</f>
        <v>0</v>
      </c>
      <c r="FR363" t="str">
        <f t="shared" si="329"/>
        <v/>
      </c>
      <c r="FS363" t="str">
        <f t="shared" si="310"/>
        <v/>
      </c>
    </row>
    <row r="364" spans="1:175" x14ac:dyDescent="0.25">
      <c r="A364" s="347">
        <f t="shared" si="331"/>
        <v>362</v>
      </c>
      <c r="B364" s="348" t="s">
        <v>2767</v>
      </c>
      <c r="C364" s="348">
        <v>2</v>
      </c>
      <c r="D364" s="347">
        <v>2</v>
      </c>
      <c r="E364" s="627" t="s">
        <v>6952</v>
      </c>
      <c r="F364" s="346"/>
      <c r="G364" s="347" t="str">
        <f>""</f>
        <v/>
      </c>
      <c r="H364" s="347" t="s">
        <v>5912</v>
      </c>
      <c r="I364" s="347" t="s">
        <v>424</v>
      </c>
      <c r="J364" s="347" t="str">
        <f t="shared" si="279"/>
        <v/>
      </c>
      <c r="K364" s="347" t="s">
        <v>5319</v>
      </c>
      <c r="L364" s="611" t="str">
        <f t="shared" si="280"/>
        <v>V, S</v>
      </c>
      <c r="M364" s="347" t="s">
        <v>2373</v>
      </c>
      <c r="N364" s="347" t="s">
        <v>2387</v>
      </c>
      <c r="O364" s="347" t="s">
        <v>3034</v>
      </c>
      <c r="P364" s="346" t="str">
        <f>""</f>
        <v/>
      </c>
      <c r="Q364" s="347" t="s">
        <v>5272</v>
      </c>
      <c r="S364" s="346" t="s">
        <v>5867</v>
      </c>
      <c r="T364" s="346" t="str">
        <f t="shared" si="281"/>
        <v xml:space="preserve">Bard, Paladin, Cleric, Devotion, </v>
      </c>
      <c r="U364" s="347" t="str">
        <f>$B364</f>
        <v>Zone of Truth</v>
      </c>
      <c r="V364" s="347" t="str">
        <f>$B364</f>
        <v>Zone of Truth</v>
      </c>
      <c r="Z364" s="347" t="str">
        <f>$B364</f>
        <v>Zone of Truth</v>
      </c>
      <c r="AE364" t="str">
        <f>IF(IFERROR(MATCH($B364,temp!A$4:A$13,0),0)&gt;0,T08_Spells!AE$2,"")</f>
        <v>Devotion</v>
      </c>
      <c r="AF364" t="str">
        <f>IF(IFERROR(MATCH($B364,temp!B$4:B$13,0),0)&gt;0,T08_Spells!AF$2,"")</f>
        <v/>
      </c>
      <c r="AG364" t="str">
        <f>IF(IFERROR(MATCH($B364,temp!C$4:C$13,0),0)&gt;0,T08_Spells!AG$2,"")</f>
        <v/>
      </c>
      <c r="AH364" t="str">
        <f>IF(IFERROR(MATCH($B364,temp!D$4:D$13,0),0)&gt;0,T08_Spells!AH$2,"")</f>
        <v/>
      </c>
      <c r="AI364" t="str">
        <f>IF(IFERROR(MATCH($B364,temp!E$4:E$13,0),0)&gt;0,T08_Spells!AI$2,"")</f>
        <v/>
      </c>
      <c r="AJ364" t="str">
        <f>IF(IFERROR(MATCH($B364,temp!F$4:F$13,0),0)&gt;0,T08_Spells!AJ$2,"")</f>
        <v/>
      </c>
      <c r="AK364" t="str">
        <f>IF(IFERROR(MATCH($B364,temp!G$4:G$13,0),0)&gt;0,T08_Spells!AK$2,"")</f>
        <v/>
      </c>
      <c r="AL364" t="str">
        <f>IF(IFERROR(MATCH($B364,temp!H$4:H$13,0),0)&gt;0,T08_Spells!AL$2,"")</f>
        <v/>
      </c>
      <c r="AM364" t="str">
        <f>IF(IFERROR(MATCH($B364,temp!I$4:I$13,0),0)&gt;0,T08_Spells!AM$2,"")</f>
        <v/>
      </c>
      <c r="AN364" t="str">
        <f>IF(IFERROR(MATCH($B364,temp!J$4:J$13,0),0)&gt;0,T08_Spells!AN$2,"")</f>
        <v/>
      </c>
      <c r="AO364" t="str">
        <f>IF(IFERROR(MATCH($B364,temp!K$4:K$13,0),0)&gt;0,T08_Spells!AO$2,"")</f>
        <v/>
      </c>
      <c r="AP364" t="str">
        <f>IF(IFERROR(MATCH($B364,temp!L$4:L$13,0),0)&gt;0,T08_Spells!AP$2,"")</f>
        <v/>
      </c>
      <c r="AQ364" t="str">
        <f>IF(IFERROR(MATCH($B364,temp!M$4:M$13,0),0)&gt;0,T08_Spells!AQ$2,"")</f>
        <v/>
      </c>
      <c r="AR364" t="str">
        <f>IF(IFERROR(MATCH($B364,temp!N$4:N$13,0),0)&gt;0,T08_Spells!AR$2,"")</f>
        <v/>
      </c>
      <c r="AS364" t="str">
        <f>IF(IFERROR(MATCH($B364,temp!O$4:O$13,0),0)&gt;0,T08_Spells!AS$2,"")</f>
        <v/>
      </c>
      <c r="AT364" t="str">
        <f>IF(IFERROR(MATCH($B364,temp!P$4:P$13,0),0)&gt;0,T08_Spells!AT$2,"")</f>
        <v/>
      </c>
      <c r="AU364" t="str">
        <f>IF(IFERROR(MATCH($B364,temp!Q$4:Q$13,0),0)&gt;0,T08_Spells!AU$2,"")</f>
        <v/>
      </c>
      <c r="AV364" t="str">
        <f>IF(IFERROR(MATCH($B364,temp!R$4:R$13,0),0)&gt;0,T08_Spells!AV$2,"")</f>
        <v/>
      </c>
      <c r="AW364" t="str">
        <f>IF(IFERROR(MATCH($B364,temp!S$4:S$13,0),0)&gt;0,T08_Spells!AW$2,"")</f>
        <v/>
      </c>
      <c r="AX364" t="str">
        <f>IF(IFERROR(MATCH($B364,temp!T$4:T$13,0),0)&gt;0,T08_Spells!AX$2,"")</f>
        <v/>
      </c>
      <c r="AY364" t="str">
        <f>IF(IFERROR(MATCH($B364,temp!U$4:U$13,0),0)&gt;0,T08_Spells!AY$2,"")</f>
        <v/>
      </c>
      <c r="AZ364" t="str">
        <f>IF(IFERROR(MATCH($B364,temp!V$4:V$13,0),0)&gt;0,T08_Spells!AZ$2,"")</f>
        <v/>
      </c>
      <c r="BA364" t="str">
        <f>IF(IFERROR(MATCH($B364,temp!W$4:W$13,0),0)&gt;0,T08_Spells!BA$2,"")</f>
        <v/>
      </c>
      <c r="BC364">
        <f>IF(IFERROR(SEARCH("Ranger",$T364,1),0)&gt;0,1,0)*IF(RangerMaxSpellLevel&gt;=$C364,1,0)*IF(IFERROR(MATCH(B364,Character_Creation!$X$79:$X$382,0),0)&gt;0,0,1)</f>
        <v>0</v>
      </c>
      <c r="BD364">
        <f>IF(BC364=0,0,1+COUNTIF(BD$3:BD363,"&gt;0"))</f>
        <v>0</v>
      </c>
      <c r="BE364" t="str">
        <f t="shared" si="311"/>
        <v/>
      </c>
      <c r="BF364" t="str">
        <f t="shared" si="283"/>
        <v/>
      </c>
      <c r="BH364">
        <f>IF(IFERROR(SEARCH("Sorcerer",$T364,1),0)&gt;0,1,0)*IF(SorcererMaxSpellLevel&gt;=$C364,1,0)*IF(IFERROR(MATCH(B364,Character_Creation!$J$380:$J$394,0),0)&gt;0,0,1)</f>
        <v>0</v>
      </c>
      <c r="BI364">
        <f>IF(BH364=0,0,1+COUNTIF(BI$3:BI363,"&gt;0"))</f>
        <v>0</v>
      </c>
      <c r="BJ364" t="str">
        <f t="shared" si="312"/>
        <v/>
      </c>
      <c r="BK364" t="str">
        <f t="shared" si="284"/>
        <v/>
      </c>
      <c r="BM364">
        <f>IF(OR(IFERROR(SEARCH("Warlock",$T364,1),0)&gt;0,IFERROR(SEARCH(WarlockPatron,$T364,1),0)&gt;0),1,0)*IF(WarlockMaxSpellLevel&gt;=$C364,1,0)*IF(IFERROR(MATCH(B364,Character_Creation!$J$361:$J$375,0),0)&gt;0,0,1)</f>
        <v>0</v>
      </c>
      <c r="BN364">
        <f>IF(BM364=0,0,1+COUNTIF(BN$3:BN363,"&gt;0"))</f>
        <v>0</v>
      </c>
      <c r="BO364" t="str">
        <f t="shared" si="313"/>
        <v/>
      </c>
      <c r="BP364" t="str">
        <f t="shared" si="285"/>
        <v/>
      </c>
      <c r="BR364">
        <f>IF(IFERROR(SEARCH("Eldritch Knight",$T364,1),0)&gt;0,1,0)*IF(EldritchKnightMaxSpellLevel&gt;=$C364,1,0)*IF(IFERROR(MATCH($B364,Character_Creation!$J$350:$J$356,0),0)&gt;0,0,1)*IF(Character_Creation!$M$338&gt;0,1,0)</f>
        <v>0</v>
      </c>
      <c r="BS364">
        <f>IF(BR364=0,0,1+COUNTIF(BS$3:BS363,"&gt;0"))</f>
        <v>0</v>
      </c>
      <c r="BT364" t="str">
        <f t="shared" si="314"/>
        <v/>
      </c>
      <c r="BU364" t="str">
        <f t="shared" si="286"/>
        <v/>
      </c>
      <c r="BW364">
        <f>IF(IFERROR(SEARCH("Arcane Trickster",$T364,1),0)&gt;0,1,0)*IF(ArcaneTricksterMaxSpellLevel&gt;=$C364,1,0)*IF(IFERROR(MATCH($B364,Character_Creation!$J$350:$J$356,0),0)&gt;0,0,1)*IF(Character_Creation!$T$338&gt;0,1,0)</f>
        <v>0</v>
      </c>
      <c r="BX364">
        <f>IF(BW364=0,0,1+COUNTIF(BX$3:BX363,"&gt;0"))</f>
        <v>0</v>
      </c>
      <c r="BY364" t="str">
        <f t="shared" si="315"/>
        <v/>
      </c>
      <c r="BZ364" t="str">
        <f t="shared" si="287"/>
        <v/>
      </c>
      <c r="CB364">
        <f>IF(IFERROR(SEARCH("Wizard",$T364,1),0)&gt;0,1,0)*IF(C364&lt;=ArcaneTricksterMaxSpellLevel,1,0)*IF(IFERROR(MATCH($B364,Character_Creation!$J$350:$J$356,0),0)&gt;0,0,1)*IF(Character_Creation!$T$350&gt;0,1,0)</f>
        <v>0</v>
      </c>
      <c r="CC364">
        <f>IF(CB364=0,0,1+COUNTIF(CC$3:CC363,"&gt;0"))</f>
        <v>0</v>
      </c>
      <c r="CD364" t="str">
        <f t="shared" si="316"/>
        <v/>
      </c>
      <c r="CE364" t="str">
        <f t="shared" si="288"/>
        <v/>
      </c>
      <c r="CG364">
        <f>IF(IFERROR(SEARCH("Wizard",$T364,1),0)&gt;0,1,0)*IF($C364&lt;=EldritchKnightMaxSpellLevel,1,0)*IF(IFERROR(MATCH($B364,Character_Creation!$J$350:$J$356,0),0)&gt;0,0,1)*IF(Character_Creation!$M$350&gt;0,1,0)</f>
        <v>0</v>
      </c>
      <c r="CH364">
        <f>IF(CG364=0,0,1+COUNTIF(CH$3:CH363,"&gt;0"))</f>
        <v>0</v>
      </c>
      <c r="CI364" t="str">
        <f t="shared" si="317"/>
        <v/>
      </c>
      <c r="CJ364" t="str">
        <f t="shared" si="289"/>
        <v/>
      </c>
      <c r="CL364">
        <f>IF(IFERROR(SEARCH("Bard",$T364,1),0)&gt;0,1,0)*IF(BardMaxSpellLevel&gt;=$C364,1,0)*IF(IFERROR(MATCH(B364,Character_Creation!$C$341:$F$362,0),0)&gt;0,0,1)*IF(IFERROR(MATCH($B364,Character_Creation!$C$341:$C$362,0),0)&gt;0,0,1)</f>
        <v>0</v>
      </c>
      <c r="CM364">
        <f>IF(CL364=0,0,1+COUNTIF(CM$3:CM363,"&gt;0"))</f>
        <v>0</v>
      </c>
      <c r="CN364" t="str">
        <f t="shared" si="318"/>
        <v/>
      </c>
      <c r="CO364" t="str">
        <f t="shared" si="290"/>
        <v/>
      </c>
      <c r="CQ364">
        <f>IF(IFERROR(SEARCH("Wizard",$T364,1),0)&gt;0,1,0)*IF(WizardMaxSpellLevel&gt;=$C364,1,0)*IF(IFERROR(MATCH(B364,Character_Creation!$X$341:$X$400,0),0)&gt;0,0,1)*IF(SelectedWizardSpellLevel=$C364,1,0)</f>
        <v>0</v>
      </c>
      <c r="CR364">
        <f>IF(CQ364=0,0,1+COUNTIF(CR$3:CR363,"&gt;0"))</f>
        <v>0</v>
      </c>
      <c r="CS364" t="str">
        <f t="shared" si="319"/>
        <v/>
      </c>
      <c r="CT364" t="str">
        <f t="shared" si="291"/>
        <v/>
      </c>
      <c r="CV364">
        <f>IF(IFERROR(MATCH($B364,Character_Creation!$C$341:$C$362,0),0)&gt;0,0,1)*IF(OR(C364="Cantrip",C364&lt;=BardMaxSpellLevel),1,0)*IF(IFERROR(MATCH($B364,Character_Creation!$C$367:$C$374,0),0)&gt;0,0,1)</f>
        <v>0</v>
      </c>
      <c r="CW364">
        <f>IF(CV364=0,0,1+COUNTIF(CW$3:CW363,"&gt;0"))</f>
        <v>0</v>
      </c>
      <c r="CX364" t="str">
        <f t="shared" si="320"/>
        <v/>
      </c>
      <c r="CY364" t="str">
        <f t="shared" si="292"/>
        <v/>
      </c>
      <c r="DA364">
        <f>IF(IF(OR(IFERROR(SEARCH("Cleric",$T364,1),0)&gt;0,IFERROR(SEARCH(DivineDomain&amp;",",$T364,1),0)&gt;0),1,0)*IF($C364=DA$2,1,0)=1,1+COUNTIF(DA$3:DA363,"&gt;0"),0)</f>
        <v>0</v>
      </c>
      <c r="DB364">
        <f>IF(IF(OR(IFERROR(SEARCH("Cleric",$T364,1),0)&gt;0,IFERROR(SEARCH(DivineDomain&amp;",",$T364,1),0)&gt;0),1,0)*IF($C364=DB$2,1,0)=1,1+COUNTIF(DB$3:DB363,"&gt;0"),0)</f>
        <v>16</v>
      </c>
      <c r="DC364">
        <f>IF(IF(OR(IFERROR(SEARCH("Cleric",$T364,1),0)&gt;0,IFERROR(SEARCH(DivineDomain&amp;",",$T364,1),0)&gt;0),1,0)*IF($C364=DC$2,1,0)=1,1+COUNTIF(DC$3:DC363,"&gt;0"),0)</f>
        <v>0</v>
      </c>
      <c r="DD364">
        <f>IF(IF(OR(IFERROR(SEARCH("Cleric",$T364,1),0)&gt;0,IFERROR(SEARCH(DivineDomain&amp;",",$T364,1),0)&gt;0),1,0)*IF($C364=DD$2,1,0)=1,1+COUNTIF(DD$3:DD363,"&gt;0"),0)</f>
        <v>0</v>
      </c>
      <c r="DE364">
        <f>IF(IF(OR(IFERROR(SEARCH("Cleric",$T364,1),0)&gt;0,IFERROR(SEARCH(DivineDomain&amp;",",$T364,1),0)&gt;0),1,0)*IF($C364=DE$2,1,0)=1,1+COUNTIF(DE$3:DE363,"&gt;0"),0)</f>
        <v>0</v>
      </c>
      <c r="DF364">
        <f>IF(IF(OR(IFERROR(SEARCH("Cleric",$T364,1),0)&gt;0,IFERROR(SEARCH(DivineDomain&amp;",",$T364,1),0)&gt;0),1,0)*IF($C364=DF$2,1,0)=1,1+COUNTIF(DF$3:DF363,"&gt;0"),0)</f>
        <v>0</v>
      </c>
      <c r="DG364">
        <f>IF(IF(OR(IFERROR(SEARCH("Cleric",$T364,1),0)&gt;0,IFERROR(SEARCH(DivineDomain&amp;",",$T364,1),0)&gt;0),1,0)*IF($C364=DG$2,1,0)=1,1+COUNTIF(DG$3:DG363,"&gt;0"),0)</f>
        <v>0</v>
      </c>
      <c r="DH364">
        <f>IF(IF(OR(IFERROR(SEARCH("Cleric",$T364,1),0)&gt;0,IFERROR(SEARCH(DivineDomain&amp;",",$T364,1),0)&gt;0),1,0)*IF($C364=DH$2,1,0)=1,1+COUNTIF(DH$3:DH363,"&gt;0"),0)</f>
        <v>0</v>
      </c>
      <c r="DI364">
        <f>IF(IF(OR(IFERROR(SEARCH("Cleric",$T364,1),0)&gt;0,IFERROR(SEARCH(DivineDomain&amp;",",$T364,1),0)&gt;0),1,0)*IF($C364=DI$2,1,0)=1,1+COUNTIF(DI$3:DI363,"&gt;0"),0)</f>
        <v>0</v>
      </c>
      <c r="DJ364">
        <f>IF(IF(OR(IFERROR(SEARCH("Druid",$T364,1),0)&gt;0,IFERROR(SEARCH(DruidLand1,$T364,1),0)&gt;0,IFERROR(SEARCH(DruidLand2,$T364,1),0)&gt;0,IFERROR(SEARCH(DruidLand3,$T364,1),0)&gt;0,IFERROR(SEARCH(DruidLand4,$T364,1),0)&gt;0),1,0)*IF($C364=1,1,0)*IF($C364=DJ$2,1,0)=0,0,1+COUNTIF(DJ$3:DJ363,"&gt;0"))</f>
        <v>0</v>
      </c>
      <c r="DK364">
        <f>IF(IF(OR(IFERROR(SEARCH("Druid",$T364,1),0)&gt;0,IFERROR(SEARCH(DruidLand1,$T364,1),0)&gt;0,IFERROR(SEARCH(DruidLand2,$T364,1),0)&gt;0,IFERROR(SEARCH(DruidLand3,$T364,1),0)&gt;0,IFERROR(SEARCH(DruidLand4,$T364,1),0)&gt;0),1,0)*IF($C364=1,1,0)*IF($C364=DK$2,1,0)=0,0,1+COUNTIF(DK$3:DK363,"&gt;0"))</f>
        <v>0</v>
      </c>
      <c r="DL364">
        <f>IF(IF(OR(IFERROR(SEARCH("Druid",$T364,1),0)&gt;0,IFERROR(SEARCH(DruidLand1,$T364,1),0)&gt;0,IFERROR(SEARCH(DruidLand2,$T364,1),0)&gt;0,IFERROR(SEARCH(DruidLand3,$T364,1),0)&gt;0,IFERROR(SEARCH(DruidLand4,$T364,1),0)&gt;0),1,0)*IF($C364=1,1,0)*IF($C364=DL$2,1,0)=0,0,1+COUNTIF(DL$3:DL363,"&gt;0"))</f>
        <v>0</v>
      </c>
      <c r="DM364">
        <f>IF(IF(OR(IFERROR(SEARCH("Druid",$T364,1),0)&gt;0,IFERROR(SEARCH(DruidLand1,$T364,1),0)&gt;0,IFERROR(SEARCH(DruidLand2,$T364,1),0)&gt;0,IFERROR(SEARCH(DruidLand3,$T364,1),0)&gt;0,IFERROR(SEARCH(DruidLand4,$T364,1),0)&gt;0),1,0)*IF($C364=1,1,0)*IF($C364=DM$2,1,0)=0,0,1+COUNTIF(DM$3:DM363,"&gt;0"))</f>
        <v>0</v>
      </c>
      <c r="DN364">
        <f>IF(IF(OR(IFERROR(SEARCH("Druid",$T364,1),0)&gt;0,IFERROR(SEARCH(DruidLand1,$T364,1),0)&gt;0,IFERROR(SEARCH(DruidLand2,$T364,1),0)&gt;0,IFERROR(SEARCH(DruidLand3,$T364,1),0)&gt;0,IFERROR(SEARCH(DruidLand4,$T364,1),0)&gt;0),1,0)*IF($C364=1,1,0)*IF($C364=DN$2,1,0)=0,0,1+COUNTIF(DN$3:DN363,"&gt;0"))</f>
        <v>0</v>
      </c>
      <c r="DO364">
        <f>IF(IF(OR(IFERROR(SEARCH("Druid",$T364,1),0)&gt;0,IFERROR(SEARCH(DruidLand1,$T364,1),0)&gt;0,IFERROR(SEARCH(DruidLand2,$T364,1),0)&gt;0,IFERROR(SEARCH(DruidLand3,$T364,1),0)&gt;0,IFERROR(SEARCH(DruidLand4,$T364,1),0)&gt;0),1,0)*IF($C364=1,1,0)*IF($C364=DO$2,1,0)=0,0,1+COUNTIF(DO$3:DO363,"&gt;0"))</f>
        <v>0</v>
      </c>
      <c r="DP364">
        <f>IF(IF(OR(IFERROR(SEARCH("Druid",$T364,1),0)&gt;0,IFERROR(SEARCH(DruidLand1,$T364,1),0)&gt;0,IFERROR(SEARCH(DruidLand2,$T364,1),0)&gt;0,IFERROR(SEARCH(DruidLand3,$T364,1),0)&gt;0,IFERROR(SEARCH(DruidLand4,$T364,1),0)&gt;0),1,0)*IF($C364=1,1,0)*IF($C364=DP$2,1,0)=0,0,1+COUNTIF(DP$3:DP363,"&gt;0"))</f>
        <v>0</v>
      </c>
      <c r="DQ364">
        <f>IF(IF(OR(IFERROR(SEARCH("Druid",$T364,1),0)&gt;0,IFERROR(SEARCH(DruidLand1,$T364,1),0)&gt;0,IFERROR(SEARCH(DruidLand2,$T364,1),0)&gt;0,IFERROR(SEARCH(DruidLand3,$T364,1),0)&gt;0,IFERROR(SEARCH(DruidLand4,$T364,1),0)&gt;0),1,0)*IF($C364=1,1,0)*IF($C364=DQ$2,1,0)=0,0,1+COUNTIF(DQ$3:DQ363,"&gt;0"))</f>
        <v>0</v>
      </c>
      <c r="DR364">
        <f>IF(IF(OR(IFERROR(SEARCH("Druid",$T364,1),0)&gt;0,IFERROR(SEARCH(DruidLand1,$T364,1),0)&gt;0,IFERROR(SEARCH(DruidLand2,$T364,1),0)&gt;0,IFERROR(SEARCH(DruidLand3,$T364,1),0)&gt;0,IFERROR(SEARCH(DruidLand4,$T364,1),0)&gt;0),1,0)*IF($C364=1,1,0)*IF($C364=DR$2,1,0)=0,0,1+COUNTIF(DR$3:DR363,"&gt;0"))</f>
        <v>0</v>
      </c>
      <c r="DS364">
        <f>IF(IF(OR(IFERROR(SEARCH("Paladin",$T364,1),0)&gt;0,IFERROR(SEARCH(PaladinOath,$T364,1),0)&gt;0),1,0)*IF($C364=DS$2,1,0)=1,1+COUNTIF(DS$3:DS363,"&gt;0"),0)</f>
        <v>0</v>
      </c>
      <c r="DT364">
        <f>IF(IF(OR(IFERROR(SEARCH("Paladin",$T364,1),0)&gt;0,IFERROR(SEARCH(PaladinOath,$T364,1),0)&gt;0),1,0)*IF($C364=DT$2,1,0)=1,1+COUNTIF(DT$3:DT363,"&gt;0"),0)</f>
        <v>8</v>
      </c>
      <c r="DU364">
        <f>IF(IF(OR(IFERROR(SEARCH("Paladin",$T364,1),0)&gt;0,IFERROR(SEARCH(PaladinOath,$T364,1),0)&gt;0),1,0)*IF($C364=DU$2,1,0)=1,1+COUNTIF(DU$3:DU363,"&gt;0"),0)</f>
        <v>0</v>
      </c>
      <c r="DV364">
        <f>IF(IF(OR(IFERROR(SEARCH("Paladin",$T364,1),0)&gt;0,IFERROR(SEARCH(PaladinOath,$T364,1),0)&gt;0),1,0)*IF($C364=DV$2,1,0)=1,1+COUNTIF(DV$3:DV363,"&gt;0"),0)</f>
        <v>0</v>
      </c>
      <c r="DW364">
        <f>IF(IF(OR(IFERROR(SEARCH("Paladin",$T364,1),0)&gt;0,IFERROR(SEARCH(PaladinOath,$T364,1),0)&gt;0),1,0)*IF($C364=DW$2,1,0)=1,1+COUNTIF(DW$3:DW363,"&gt;0"),0)</f>
        <v>0</v>
      </c>
      <c r="DY364">
        <f t="shared" si="278"/>
        <v>1</v>
      </c>
      <c r="DZ364">
        <f>IF(DY364=0,0,1+MAX(DZ$3:$DZ363))</f>
        <v>362</v>
      </c>
      <c r="EB364">
        <f t="shared" si="293"/>
        <v>0</v>
      </c>
      <c r="EC364">
        <f>IF(EB364=0,0,1+COUNTIF(EC$3:EC363,"&gt;0"))</f>
        <v>0</v>
      </c>
      <c r="ED364" t="str">
        <f t="shared" si="321"/>
        <v/>
      </c>
      <c r="EE364" t="str">
        <f t="shared" si="294"/>
        <v/>
      </c>
      <c r="EG364">
        <f t="shared" si="295"/>
        <v>0</v>
      </c>
      <c r="EH364">
        <f>IF(EG364=0,0,1+COUNTIF(EH$3:EH363,"&gt;0"))</f>
        <v>0</v>
      </c>
      <c r="EI364" t="str">
        <f t="shared" si="322"/>
        <v/>
      </c>
      <c r="EJ364" t="str">
        <f t="shared" si="296"/>
        <v/>
      </c>
      <c r="EL364">
        <f t="shared" si="297"/>
        <v>0</v>
      </c>
      <c r="EM364">
        <f>IF(EL364=0,0,1+COUNTIF(EM$3:EM363,"&gt;0"))</f>
        <v>0</v>
      </c>
      <c r="EN364" t="str">
        <f t="shared" si="323"/>
        <v/>
      </c>
      <c r="EO364" t="str">
        <f t="shared" si="298"/>
        <v/>
      </c>
      <c r="EQ364">
        <f t="shared" si="299"/>
        <v>0</v>
      </c>
      <c r="ER364">
        <f>IF(EQ364=0,0,1+COUNTIF(ER$3:ER363,"&gt;0"))</f>
        <v>0</v>
      </c>
      <c r="ES364" t="str">
        <f t="shared" si="324"/>
        <v/>
      </c>
      <c r="ET364" t="str">
        <f t="shared" si="300"/>
        <v/>
      </c>
      <c r="EV364">
        <f t="shared" si="301"/>
        <v>0</v>
      </c>
      <c r="EW364">
        <f>IF(EV364=0,0,1+COUNTIF(EW$3:EW363,"&gt;0"))</f>
        <v>0</v>
      </c>
      <c r="EX364" t="str">
        <f t="shared" si="325"/>
        <v/>
      </c>
      <c r="EY364" t="str">
        <f t="shared" si="302"/>
        <v/>
      </c>
      <c r="FA364">
        <f t="shared" si="303"/>
        <v>0</v>
      </c>
      <c r="FB364">
        <f>IF(FA364=0,0,1+COUNTIF(FB$3:FB363,"&gt;0"))</f>
        <v>0</v>
      </c>
      <c r="FC364" t="str">
        <f t="shared" si="326"/>
        <v/>
      </c>
      <c r="FD364" t="str">
        <f t="shared" si="304"/>
        <v/>
      </c>
      <c r="FF364">
        <f t="shared" si="305"/>
        <v>0</v>
      </c>
      <c r="FG364">
        <f>IF(FF364=0,0,1+COUNTIF(FG$3:FG363,"&gt;0"))</f>
        <v>0</v>
      </c>
      <c r="FH364" t="str">
        <f t="shared" si="327"/>
        <v/>
      </c>
      <c r="FI364" t="str">
        <f t="shared" si="306"/>
        <v/>
      </c>
      <c r="FK364">
        <f t="shared" si="307"/>
        <v>0</v>
      </c>
      <c r="FL364">
        <f>IF(FK364=0,0,1+COUNTIF(FL$3:FL363,"&gt;0"))</f>
        <v>0</v>
      </c>
      <c r="FM364" t="str">
        <f t="shared" si="328"/>
        <v/>
      </c>
      <c r="FN364" t="str">
        <f t="shared" si="308"/>
        <v/>
      </c>
      <c r="FP364">
        <f t="shared" si="309"/>
        <v>0</v>
      </c>
      <c r="FQ364">
        <f>IF(FP364=0,0,1+COUNTIF(FQ$3:FQ363,"&gt;0"))</f>
        <v>0</v>
      </c>
      <c r="FR364" t="str">
        <f t="shared" si="329"/>
        <v/>
      </c>
      <c r="FS364" t="str">
        <f t="shared" si="310"/>
        <v/>
      </c>
    </row>
    <row r="365" spans="1:175" x14ac:dyDescent="0.25">
      <c r="A365" s="347">
        <f t="shared" si="331"/>
        <v>363</v>
      </c>
      <c r="B365" s="398" t="s">
        <v>5522</v>
      </c>
      <c r="C365" s="348">
        <v>8</v>
      </c>
      <c r="D365" s="347">
        <v>8</v>
      </c>
      <c r="E365" s="627" t="s">
        <v>6957</v>
      </c>
      <c r="F365" s="346"/>
      <c r="G365" s="347" t="str">
        <f>""</f>
        <v/>
      </c>
      <c r="H365" s="347" t="s">
        <v>5912</v>
      </c>
      <c r="I365" s="347" t="s">
        <v>5315</v>
      </c>
      <c r="J365" s="347" t="str">
        <f t="shared" si="279"/>
        <v/>
      </c>
      <c r="K365" s="347" t="s">
        <v>5278</v>
      </c>
      <c r="L365" s="611" t="str">
        <f t="shared" si="280"/>
        <v>V, S, M, a bit of sponge</v>
      </c>
      <c r="M365" s="347" t="s">
        <v>2373</v>
      </c>
      <c r="N365" s="347" t="s">
        <v>2387</v>
      </c>
      <c r="O365" s="347" t="s">
        <v>1244</v>
      </c>
      <c r="P365" s="346" t="s">
        <v>5523</v>
      </c>
      <c r="Q365" s="347" t="s">
        <v>5275</v>
      </c>
      <c r="S365" s="346" t="s">
        <v>5868</v>
      </c>
      <c r="T365" s="346" t="str">
        <f t="shared" si="281"/>
        <v xml:space="preserve">Sorcerer, Wizard, </v>
      </c>
      <c r="X365" s="347" t="str">
        <f>$B365</f>
        <v>Abi-Dalzim’s Horrid Wilting</v>
      </c>
      <c r="AD365" s="347" t="str">
        <f>$B365</f>
        <v>Abi-Dalzim’s Horrid Wilting</v>
      </c>
      <c r="AE365" t="str">
        <f>IF(IFERROR(MATCH($B365,temp!A$4:A$13,0),0)&gt;0,T08_Spells!AE$2,"")</f>
        <v/>
      </c>
      <c r="AF365" t="str">
        <f>IF(IFERROR(MATCH($B365,temp!B$4:B$13,0),0)&gt;0,T08_Spells!AF$2,"")</f>
        <v/>
      </c>
      <c r="AG365" t="str">
        <f>IF(IFERROR(MATCH($B365,temp!C$4:C$13,0),0)&gt;0,T08_Spells!AG$2,"")</f>
        <v/>
      </c>
      <c r="AH365" t="str">
        <f>IF(IFERROR(MATCH($B365,temp!D$4:D$13,0),0)&gt;0,T08_Spells!AH$2,"")</f>
        <v/>
      </c>
      <c r="AI365" t="str">
        <f>IF(IFERROR(MATCH($B365,temp!E$4:E$13,0),0)&gt;0,T08_Spells!AI$2,"")</f>
        <v/>
      </c>
      <c r="AJ365" t="str">
        <f>IF(IFERROR(MATCH($B365,temp!F$4:F$13,0),0)&gt;0,T08_Spells!AJ$2,"")</f>
        <v/>
      </c>
      <c r="AK365" t="str">
        <f>IF(IFERROR(MATCH($B365,temp!G$4:G$13,0),0)&gt;0,T08_Spells!AK$2,"")</f>
        <v/>
      </c>
      <c r="AL365" t="str">
        <f>IF(IFERROR(MATCH($B365,temp!H$4:H$13,0),0)&gt;0,T08_Spells!AL$2,"")</f>
        <v/>
      </c>
      <c r="AM365" t="str">
        <f>IF(IFERROR(MATCH($B365,temp!I$4:I$13,0),0)&gt;0,T08_Spells!AM$2,"")</f>
        <v/>
      </c>
      <c r="AN365" t="str">
        <f>IF(IFERROR(MATCH($B365,temp!J$4:J$13,0),0)&gt;0,T08_Spells!AN$2,"")</f>
        <v/>
      </c>
      <c r="AO365" t="str">
        <f>IF(IFERROR(MATCH($B365,temp!K$4:K$13,0),0)&gt;0,T08_Spells!AO$2,"")</f>
        <v/>
      </c>
      <c r="AP365" t="str">
        <f>IF(IFERROR(MATCH($B365,temp!L$4:L$13,0),0)&gt;0,T08_Spells!AP$2,"")</f>
        <v/>
      </c>
      <c r="AQ365" t="str">
        <f>IF(IFERROR(MATCH($B365,temp!M$4:M$13,0),0)&gt;0,T08_Spells!AQ$2,"")</f>
        <v/>
      </c>
      <c r="AR365" t="str">
        <f>IF(IFERROR(MATCH($B365,temp!N$4:N$13,0),0)&gt;0,T08_Spells!AR$2,"")</f>
        <v/>
      </c>
      <c r="AS365" t="str">
        <f>IF(IFERROR(MATCH($B365,temp!O$4:O$13,0),0)&gt;0,T08_Spells!AS$2,"")</f>
        <v/>
      </c>
      <c r="AT365" t="str">
        <f>IF(IFERROR(MATCH($B365,temp!P$4:P$13,0),0)&gt;0,T08_Spells!AT$2,"")</f>
        <v/>
      </c>
      <c r="AU365" t="str">
        <f>IF(IFERROR(MATCH($B365,temp!Q$4:Q$13,0),0)&gt;0,T08_Spells!AU$2,"")</f>
        <v/>
      </c>
      <c r="AV365" t="str">
        <f>IF(IFERROR(MATCH($B365,temp!R$4:R$13,0),0)&gt;0,T08_Spells!AV$2,"")</f>
        <v/>
      </c>
      <c r="AW365" t="str">
        <f>IF(IFERROR(MATCH($B365,temp!S$4:S$13,0),0)&gt;0,T08_Spells!AW$2,"")</f>
        <v/>
      </c>
      <c r="AX365" t="str">
        <f>IF(IFERROR(MATCH($B365,temp!T$4:T$13,0),0)&gt;0,T08_Spells!AX$2,"")</f>
        <v/>
      </c>
      <c r="AY365" t="str">
        <f>IF(IFERROR(MATCH($B365,temp!U$4:U$13,0),0)&gt;0,T08_Spells!AY$2,"")</f>
        <v/>
      </c>
      <c r="AZ365" t="str">
        <f>IF(IFERROR(MATCH($B365,temp!V$4:V$13,0),0)&gt;0,T08_Spells!AZ$2,"")</f>
        <v/>
      </c>
      <c r="BA365" t="str">
        <f>IF(IFERROR(MATCH($B365,temp!W$4:W$13,0),0)&gt;0,T08_Spells!BA$2,"")</f>
        <v/>
      </c>
      <c r="BC365">
        <f>IF(IFERROR(SEARCH("Ranger",$T365,1),0)&gt;0,1,0)*IF(RangerMaxSpellLevel&gt;=$C365,1,0)*IF(IFERROR(MATCH(B365,Character_Creation!$X$79:$X$382,0),0)&gt;0,0,1)</f>
        <v>0</v>
      </c>
      <c r="BD365">
        <f>IF(BC365=0,0,1+COUNTIF(BD$3:BD364,"&gt;0"))</f>
        <v>0</v>
      </c>
      <c r="BE365" t="str">
        <f t="shared" si="311"/>
        <v/>
      </c>
      <c r="BF365" t="str">
        <f t="shared" si="283"/>
        <v/>
      </c>
      <c r="BH365">
        <f>IF(IFERROR(SEARCH("Sorcerer",$T365,1),0)&gt;0,1,0)*IF(SorcererMaxSpellLevel&gt;=$C365,1,0)*IF(IFERROR(MATCH(B365,Character_Creation!$J$380:$J$394,0),0)&gt;0,0,1)</f>
        <v>0</v>
      </c>
      <c r="BI365">
        <f>IF(BH365=0,0,1+COUNTIF(BI$3:BI364,"&gt;0"))</f>
        <v>0</v>
      </c>
      <c r="BJ365" t="str">
        <f t="shared" si="312"/>
        <v/>
      </c>
      <c r="BK365" t="str">
        <f t="shared" si="284"/>
        <v/>
      </c>
      <c r="BM365">
        <f>IF(OR(IFERROR(SEARCH("Warlock",$T365,1),0)&gt;0,IFERROR(SEARCH(WarlockPatron,$T365,1),0)&gt;0),1,0)*IF(WarlockMaxSpellLevel&gt;=$C365,1,0)*IF(IFERROR(MATCH(B365,Character_Creation!$J$361:$J$375,0),0)&gt;0,0,1)</f>
        <v>0</v>
      </c>
      <c r="BN365">
        <f>IF(BM365=0,0,1+COUNTIF(BN$3:BN364,"&gt;0"))</f>
        <v>0</v>
      </c>
      <c r="BO365" t="str">
        <f t="shared" si="313"/>
        <v/>
      </c>
      <c r="BP365" t="str">
        <f t="shared" si="285"/>
        <v/>
      </c>
      <c r="BR365">
        <f>IF(IFERROR(SEARCH("Eldritch Knight",$T365,1),0)&gt;0,1,0)*IF(EldritchKnightMaxSpellLevel&gt;=$C365,1,0)*IF(IFERROR(MATCH($B365,Character_Creation!$J$350:$J$356,0),0)&gt;0,0,1)*IF(Character_Creation!$M$338&gt;0,1,0)</f>
        <v>0</v>
      </c>
      <c r="BS365">
        <f>IF(BR365=0,0,1+COUNTIF(BS$3:BS364,"&gt;0"))</f>
        <v>0</v>
      </c>
      <c r="BT365" t="str">
        <f t="shared" si="314"/>
        <v/>
      </c>
      <c r="BU365" t="str">
        <f t="shared" si="286"/>
        <v/>
      </c>
      <c r="BW365">
        <f>IF(IFERROR(SEARCH("Arcane Trickster",$T365,1),0)&gt;0,1,0)*IF(ArcaneTricksterMaxSpellLevel&gt;=$C365,1,0)*IF(IFERROR(MATCH($B365,Character_Creation!$J$350:$J$356,0),0)&gt;0,0,1)*IF(Character_Creation!$T$338&gt;0,1,0)</f>
        <v>0</v>
      </c>
      <c r="BX365">
        <f>IF(BW365=0,0,1+COUNTIF(BX$3:BX364,"&gt;0"))</f>
        <v>0</v>
      </c>
      <c r="BY365" t="str">
        <f t="shared" si="315"/>
        <v/>
      </c>
      <c r="BZ365" t="str">
        <f t="shared" si="287"/>
        <v/>
      </c>
      <c r="CB365">
        <f>IF(IFERROR(SEARCH("Wizard",$T365,1),0)&gt;0,1,0)*IF(C365&lt;=ArcaneTricksterMaxSpellLevel,1,0)*IF(IFERROR(MATCH($B365,Character_Creation!$J$350:$J$356,0),0)&gt;0,0,1)*IF(Character_Creation!$T$350&gt;0,1,0)</f>
        <v>0</v>
      </c>
      <c r="CC365">
        <f>IF(CB365=0,0,1+COUNTIF(CC$3:CC364,"&gt;0"))</f>
        <v>0</v>
      </c>
      <c r="CD365" t="str">
        <f t="shared" si="316"/>
        <v/>
      </c>
      <c r="CE365" t="str">
        <f t="shared" si="288"/>
        <v/>
      </c>
      <c r="CG365">
        <f>IF(IFERROR(SEARCH("Wizard",$T365,1),0)&gt;0,1,0)*IF($C365&lt;=EldritchKnightMaxSpellLevel,1,0)*IF(IFERROR(MATCH($B365,Character_Creation!$J$350:$J$356,0),0)&gt;0,0,1)*IF(Character_Creation!$M$350&gt;0,1,0)</f>
        <v>0</v>
      </c>
      <c r="CH365">
        <f>IF(CG365=0,0,1+COUNTIF(CH$3:CH364,"&gt;0"))</f>
        <v>0</v>
      </c>
      <c r="CI365" t="str">
        <f t="shared" si="317"/>
        <v/>
      </c>
      <c r="CJ365" t="str">
        <f t="shared" si="289"/>
        <v/>
      </c>
      <c r="CL365">
        <f>IF(IFERROR(SEARCH("Bard",$T365,1),0)&gt;0,1,0)*IF(BardMaxSpellLevel&gt;=$C365,1,0)*IF(IFERROR(MATCH(B365,Character_Creation!$C$341:$F$362,0),0)&gt;0,0,1)*IF(IFERROR(MATCH($B365,Character_Creation!$C$341:$C$362,0),0)&gt;0,0,1)</f>
        <v>0</v>
      </c>
      <c r="CM365">
        <f>IF(CL365=0,0,1+COUNTIF(CM$3:CM364,"&gt;0"))</f>
        <v>0</v>
      </c>
      <c r="CN365" t="str">
        <f t="shared" si="318"/>
        <v/>
      </c>
      <c r="CO365" t="str">
        <f t="shared" si="290"/>
        <v/>
      </c>
      <c r="CQ365">
        <f>IF(IFERROR(SEARCH("Wizard",$T365,1),0)&gt;0,1,0)*IF(WizardMaxSpellLevel&gt;=$C365,1,0)*IF(IFERROR(MATCH(B365,Character_Creation!$X$341:$X$400,0),0)&gt;0,0,1)*IF(SelectedWizardSpellLevel=$C365,1,0)</f>
        <v>0</v>
      </c>
      <c r="CR365">
        <f>IF(CQ365=0,0,1+COUNTIF(CR$3:CR364,"&gt;0"))</f>
        <v>0</v>
      </c>
      <c r="CS365" t="str">
        <f t="shared" si="319"/>
        <v/>
      </c>
      <c r="CT365" t="str">
        <f t="shared" si="291"/>
        <v/>
      </c>
      <c r="CV365">
        <f>IF(IFERROR(MATCH($B365,Character_Creation!$C$341:$C$362,0),0)&gt;0,0,1)*IF(OR(C365="Cantrip",C365&lt;=BardMaxSpellLevel),1,0)*IF(IFERROR(MATCH($B365,Character_Creation!$C$367:$C$374,0),0)&gt;0,0,1)</f>
        <v>0</v>
      </c>
      <c r="CW365">
        <f>IF(CV365=0,0,1+COUNTIF(CW$3:CW364,"&gt;0"))</f>
        <v>0</v>
      </c>
      <c r="CX365" t="str">
        <f t="shared" si="320"/>
        <v/>
      </c>
      <c r="CY365" t="str">
        <f t="shared" si="292"/>
        <v/>
      </c>
      <c r="DA365">
        <f>IF(IF(OR(IFERROR(SEARCH("Cleric",$T365,1),0)&gt;0,IFERROR(SEARCH(DivineDomain&amp;",",$T365,1),0)&gt;0),1,0)*IF($C365=DA$2,1,0)=1,1+COUNTIF(DA$3:DA364,"&gt;0"),0)</f>
        <v>0</v>
      </c>
      <c r="DB365">
        <f>IF(IF(OR(IFERROR(SEARCH("Cleric",$T365,1),0)&gt;0,IFERROR(SEARCH(DivineDomain&amp;",",$T365,1),0)&gt;0),1,0)*IF($C365=DB$2,1,0)=1,1+COUNTIF(DB$3:DB364,"&gt;0"),0)</f>
        <v>0</v>
      </c>
      <c r="DC365">
        <f>IF(IF(OR(IFERROR(SEARCH("Cleric",$T365,1),0)&gt;0,IFERROR(SEARCH(DivineDomain&amp;",",$T365,1),0)&gt;0),1,0)*IF($C365=DC$2,1,0)=1,1+COUNTIF(DC$3:DC364,"&gt;0"),0)</f>
        <v>0</v>
      </c>
      <c r="DD365">
        <f>IF(IF(OR(IFERROR(SEARCH("Cleric",$T365,1),0)&gt;0,IFERROR(SEARCH(DivineDomain&amp;",",$T365,1),0)&gt;0),1,0)*IF($C365=DD$2,1,0)=1,1+COUNTIF(DD$3:DD364,"&gt;0"),0)</f>
        <v>0</v>
      </c>
      <c r="DE365">
        <f>IF(IF(OR(IFERROR(SEARCH("Cleric",$T365,1),0)&gt;0,IFERROR(SEARCH(DivineDomain&amp;",",$T365,1),0)&gt;0),1,0)*IF($C365=DE$2,1,0)=1,1+COUNTIF(DE$3:DE364,"&gt;0"),0)</f>
        <v>0</v>
      </c>
      <c r="DF365">
        <f>IF(IF(OR(IFERROR(SEARCH("Cleric",$T365,1),0)&gt;0,IFERROR(SEARCH(DivineDomain&amp;",",$T365,1),0)&gt;0),1,0)*IF($C365=DF$2,1,0)=1,1+COUNTIF(DF$3:DF364,"&gt;0"),0)</f>
        <v>0</v>
      </c>
      <c r="DG365">
        <f>IF(IF(OR(IFERROR(SEARCH("Cleric",$T365,1),0)&gt;0,IFERROR(SEARCH(DivineDomain&amp;",",$T365,1),0)&gt;0),1,0)*IF($C365=DG$2,1,0)=1,1+COUNTIF(DG$3:DG364,"&gt;0"),0)</f>
        <v>0</v>
      </c>
      <c r="DH365">
        <f>IF(IF(OR(IFERROR(SEARCH("Cleric",$T365,1),0)&gt;0,IFERROR(SEARCH(DivineDomain&amp;",",$T365,1),0)&gt;0),1,0)*IF($C365=DH$2,1,0)=1,1+COUNTIF(DH$3:DH364,"&gt;0"),0)</f>
        <v>0</v>
      </c>
      <c r="DI365">
        <f>IF(IF(OR(IFERROR(SEARCH("Cleric",$T365,1),0)&gt;0,IFERROR(SEARCH(DivineDomain&amp;",",$T365,1),0)&gt;0),1,0)*IF($C365=DI$2,1,0)=1,1+COUNTIF(DI$3:DI364,"&gt;0"),0)</f>
        <v>0</v>
      </c>
      <c r="DJ365">
        <f>IF(IF(OR(IFERROR(SEARCH("Druid",$T365,1),0)&gt;0,IFERROR(SEARCH(DruidLand1,$T365,1),0)&gt;0,IFERROR(SEARCH(DruidLand2,$T365,1),0)&gt;0,IFERROR(SEARCH(DruidLand3,$T365,1),0)&gt;0,IFERROR(SEARCH(DruidLand4,$T365,1),0)&gt;0),1,0)*IF($C365=1,1,0)*IF($C365=DJ$2,1,0)=0,0,1+COUNTIF(DJ$3:DJ364,"&gt;0"))</f>
        <v>0</v>
      </c>
      <c r="DK365">
        <f>IF(IF(OR(IFERROR(SEARCH("Druid",$T365,1),0)&gt;0,IFERROR(SEARCH(DruidLand1,$T365,1),0)&gt;0,IFERROR(SEARCH(DruidLand2,$T365,1),0)&gt;0,IFERROR(SEARCH(DruidLand3,$T365,1),0)&gt;0,IFERROR(SEARCH(DruidLand4,$T365,1),0)&gt;0),1,0)*IF($C365=1,1,0)*IF($C365=DK$2,1,0)=0,0,1+COUNTIF(DK$3:DK364,"&gt;0"))</f>
        <v>0</v>
      </c>
      <c r="DL365">
        <f>IF(IF(OR(IFERROR(SEARCH("Druid",$T365,1),0)&gt;0,IFERROR(SEARCH(DruidLand1,$T365,1),0)&gt;0,IFERROR(SEARCH(DruidLand2,$T365,1),0)&gt;0,IFERROR(SEARCH(DruidLand3,$T365,1),0)&gt;0,IFERROR(SEARCH(DruidLand4,$T365,1),0)&gt;0),1,0)*IF($C365=1,1,0)*IF($C365=DL$2,1,0)=0,0,1+COUNTIF(DL$3:DL364,"&gt;0"))</f>
        <v>0</v>
      </c>
      <c r="DM365">
        <f>IF(IF(OR(IFERROR(SEARCH("Druid",$T365,1),0)&gt;0,IFERROR(SEARCH(DruidLand1,$T365,1),0)&gt;0,IFERROR(SEARCH(DruidLand2,$T365,1),0)&gt;0,IFERROR(SEARCH(DruidLand3,$T365,1),0)&gt;0,IFERROR(SEARCH(DruidLand4,$T365,1),0)&gt;0),1,0)*IF($C365=1,1,0)*IF($C365=DM$2,1,0)=0,0,1+COUNTIF(DM$3:DM364,"&gt;0"))</f>
        <v>0</v>
      </c>
      <c r="DN365">
        <f>IF(IF(OR(IFERROR(SEARCH("Druid",$T365,1),0)&gt;0,IFERROR(SEARCH(DruidLand1,$T365,1),0)&gt;0,IFERROR(SEARCH(DruidLand2,$T365,1),0)&gt;0,IFERROR(SEARCH(DruidLand3,$T365,1),0)&gt;0,IFERROR(SEARCH(DruidLand4,$T365,1),0)&gt;0),1,0)*IF($C365=1,1,0)*IF($C365=DN$2,1,0)=0,0,1+COUNTIF(DN$3:DN364,"&gt;0"))</f>
        <v>0</v>
      </c>
      <c r="DO365">
        <f>IF(IF(OR(IFERROR(SEARCH("Druid",$T365,1),0)&gt;0,IFERROR(SEARCH(DruidLand1,$T365,1),0)&gt;0,IFERROR(SEARCH(DruidLand2,$T365,1),0)&gt;0,IFERROR(SEARCH(DruidLand3,$T365,1),0)&gt;0,IFERROR(SEARCH(DruidLand4,$T365,1),0)&gt;0),1,0)*IF($C365=1,1,0)*IF($C365=DO$2,1,0)=0,0,1+COUNTIF(DO$3:DO364,"&gt;0"))</f>
        <v>0</v>
      </c>
      <c r="DP365">
        <f>IF(IF(OR(IFERROR(SEARCH("Druid",$T365,1),0)&gt;0,IFERROR(SEARCH(DruidLand1,$T365,1),0)&gt;0,IFERROR(SEARCH(DruidLand2,$T365,1),0)&gt;0,IFERROR(SEARCH(DruidLand3,$T365,1),0)&gt;0,IFERROR(SEARCH(DruidLand4,$T365,1),0)&gt;0),1,0)*IF($C365=1,1,0)*IF($C365=DP$2,1,0)=0,0,1+COUNTIF(DP$3:DP364,"&gt;0"))</f>
        <v>0</v>
      </c>
      <c r="DQ365">
        <f>IF(IF(OR(IFERROR(SEARCH("Druid",$T365,1),0)&gt;0,IFERROR(SEARCH(DruidLand1,$T365,1),0)&gt;0,IFERROR(SEARCH(DruidLand2,$T365,1),0)&gt;0,IFERROR(SEARCH(DruidLand3,$T365,1),0)&gt;0,IFERROR(SEARCH(DruidLand4,$T365,1),0)&gt;0),1,0)*IF($C365=1,1,0)*IF($C365=DQ$2,1,0)=0,0,1+COUNTIF(DQ$3:DQ364,"&gt;0"))</f>
        <v>0</v>
      </c>
      <c r="DR365">
        <f>IF(IF(OR(IFERROR(SEARCH("Druid",$T365,1),0)&gt;0,IFERROR(SEARCH(DruidLand1,$T365,1),0)&gt;0,IFERROR(SEARCH(DruidLand2,$T365,1),0)&gt;0,IFERROR(SEARCH(DruidLand3,$T365,1),0)&gt;0,IFERROR(SEARCH(DruidLand4,$T365,1),0)&gt;0),1,0)*IF($C365=1,1,0)*IF($C365=DR$2,1,0)=0,0,1+COUNTIF(DR$3:DR364,"&gt;0"))</f>
        <v>0</v>
      </c>
      <c r="DS365">
        <f>IF(IF(OR(IFERROR(SEARCH("Paladin",$T365,1),0)&gt;0,IFERROR(SEARCH(PaladinOath,$T365,1),0)&gt;0),1,0)*IF($C365=DS$2,1,0)=1,1+COUNTIF(DS$3:DS364,"&gt;0"),0)</f>
        <v>0</v>
      </c>
      <c r="DT365">
        <f>IF(IF(OR(IFERROR(SEARCH("Paladin",$T365,1),0)&gt;0,IFERROR(SEARCH(PaladinOath,$T365,1),0)&gt;0),1,0)*IF($C365=DT$2,1,0)=1,1+COUNTIF(DT$3:DT364,"&gt;0"),0)</f>
        <v>0</v>
      </c>
      <c r="DU365">
        <f>IF(IF(OR(IFERROR(SEARCH("Paladin",$T365,1),0)&gt;0,IFERROR(SEARCH(PaladinOath,$T365,1),0)&gt;0),1,0)*IF($C365=DU$2,1,0)=1,1+COUNTIF(DU$3:DU364,"&gt;0"),0)</f>
        <v>0</v>
      </c>
      <c r="DV365">
        <f>IF(IF(OR(IFERROR(SEARCH("Paladin",$T365,1),0)&gt;0,IFERROR(SEARCH(PaladinOath,$T365,1),0)&gt;0),1,0)*IF($C365=DV$2,1,0)=1,1+COUNTIF(DV$3:DV364,"&gt;0"),0)</f>
        <v>0</v>
      </c>
      <c r="DW365">
        <f>IF(IF(OR(IFERROR(SEARCH("Paladin",$T365,1),0)&gt;0,IFERROR(SEARCH(PaladinOath,$T365,1),0)&gt;0),1,0)*IF($C365=DW$2,1,0)=1,1+COUNTIF(DW$3:DW364,"&gt;0"),0)</f>
        <v>0</v>
      </c>
      <c r="DY365">
        <f t="shared" si="278"/>
        <v>1</v>
      </c>
      <c r="DZ365">
        <f>IF(DY365=0,0,1+MAX(DZ$3:$DZ364))</f>
        <v>363</v>
      </c>
      <c r="EB365">
        <f t="shared" si="293"/>
        <v>0</v>
      </c>
      <c r="EC365">
        <f>IF(EB365=0,0,1+COUNTIF(EC$3:EC364,"&gt;0"))</f>
        <v>0</v>
      </c>
      <c r="ED365" t="str">
        <f t="shared" si="321"/>
        <v/>
      </c>
      <c r="EE365" t="str">
        <f t="shared" si="294"/>
        <v/>
      </c>
      <c r="EG365">
        <f t="shared" si="295"/>
        <v>0</v>
      </c>
      <c r="EH365">
        <f>IF(EG365=0,0,1+COUNTIF(EH$3:EH364,"&gt;0"))</f>
        <v>0</v>
      </c>
      <c r="EI365" t="str">
        <f t="shared" si="322"/>
        <v/>
      </c>
      <c r="EJ365" t="str">
        <f t="shared" si="296"/>
        <v/>
      </c>
      <c r="EL365">
        <f t="shared" si="297"/>
        <v>0</v>
      </c>
      <c r="EM365">
        <f>IF(EL365=0,0,1+COUNTIF(EM$3:EM364,"&gt;0"))</f>
        <v>0</v>
      </c>
      <c r="EN365" t="str">
        <f t="shared" si="323"/>
        <v/>
      </c>
      <c r="EO365" t="str">
        <f t="shared" si="298"/>
        <v/>
      </c>
      <c r="EQ365">
        <f t="shared" si="299"/>
        <v>0</v>
      </c>
      <c r="ER365">
        <f>IF(EQ365=0,0,1+COUNTIF(ER$3:ER364,"&gt;0"))</f>
        <v>0</v>
      </c>
      <c r="ES365" t="str">
        <f t="shared" si="324"/>
        <v/>
      </c>
      <c r="ET365" t="str">
        <f t="shared" si="300"/>
        <v/>
      </c>
      <c r="EV365">
        <f t="shared" si="301"/>
        <v>0</v>
      </c>
      <c r="EW365">
        <f>IF(EV365=0,0,1+COUNTIF(EW$3:EW364,"&gt;0"))</f>
        <v>0</v>
      </c>
      <c r="EX365" t="str">
        <f t="shared" si="325"/>
        <v/>
      </c>
      <c r="EY365" t="str">
        <f t="shared" si="302"/>
        <v/>
      </c>
      <c r="FA365">
        <f t="shared" si="303"/>
        <v>0</v>
      </c>
      <c r="FB365">
        <f>IF(FA365=0,0,1+COUNTIF(FB$3:FB364,"&gt;0"))</f>
        <v>0</v>
      </c>
      <c r="FC365" t="str">
        <f t="shared" si="326"/>
        <v/>
      </c>
      <c r="FD365" t="str">
        <f t="shared" si="304"/>
        <v/>
      </c>
      <c r="FF365">
        <f t="shared" si="305"/>
        <v>0</v>
      </c>
      <c r="FG365">
        <f>IF(FF365=0,0,1+COUNTIF(FG$3:FG364,"&gt;0"))</f>
        <v>0</v>
      </c>
      <c r="FH365" t="str">
        <f t="shared" si="327"/>
        <v/>
      </c>
      <c r="FI365" t="str">
        <f t="shared" si="306"/>
        <v/>
      </c>
      <c r="FK365">
        <f t="shared" si="307"/>
        <v>0</v>
      </c>
      <c r="FL365">
        <f>IF(FK365=0,0,1+COUNTIF(FL$3:FL364,"&gt;0"))</f>
        <v>0</v>
      </c>
      <c r="FM365" t="str">
        <f t="shared" si="328"/>
        <v/>
      </c>
      <c r="FN365" t="str">
        <f t="shared" si="308"/>
        <v/>
      </c>
      <c r="FP365">
        <f t="shared" si="309"/>
        <v>0</v>
      </c>
      <c r="FQ365">
        <f>IF(FP365=0,0,1+COUNTIF(FQ$3:FQ364,"&gt;0"))</f>
        <v>0</v>
      </c>
      <c r="FR365" t="str">
        <f t="shared" si="329"/>
        <v/>
      </c>
      <c r="FS365" t="str">
        <f t="shared" si="310"/>
        <v/>
      </c>
    </row>
    <row r="366" spans="1:175" x14ac:dyDescent="0.25">
      <c r="A366" s="347">
        <f t="shared" si="331"/>
        <v>364</v>
      </c>
      <c r="B366" s="398" t="s">
        <v>5524</v>
      </c>
      <c r="C366" s="348">
        <v>1</v>
      </c>
      <c r="D366" s="347">
        <v>1</v>
      </c>
      <c r="E366" s="627" t="s">
        <v>6957</v>
      </c>
      <c r="F366" s="346"/>
      <c r="G366" s="347" t="str">
        <f>""</f>
        <v/>
      </c>
      <c r="H366" s="347" t="s">
        <v>5341</v>
      </c>
      <c r="I366" s="347" t="s">
        <v>5283</v>
      </c>
      <c r="J366" s="347" t="str">
        <f t="shared" si="279"/>
        <v/>
      </c>
      <c r="K366" s="347" t="s">
        <v>5313</v>
      </c>
      <c r="L366" s="611" t="str">
        <f t="shared" si="280"/>
        <v>S</v>
      </c>
      <c r="M366" s="347" t="s">
        <v>3034</v>
      </c>
      <c r="N366" s="347" t="s">
        <v>2387</v>
      </c>
      <c r="O366" s="347" t="s">
        <v>3034</v>
      </c>
      <c r="P366" s="346" t="str">
        <f>""</f>
        <v/>
      </c>
      <c r="Q366" s="347" t="s">
        <v>5270</v>
      </c>
      <c r="S366" s="346" t="s">
        <v>5869</v>
      </c>
      <c r="T366" s="346" t="str">
        <f t="shared" si="281"/>
        <v xml:space="preserve">Ranger, Druid, Eldritch Knight, Wizard, </v>
      </c>
      <c r="W366" s="347" t="str">
        <f>$B366</f>
        <v>Absorb Elements</v>
      </c>
      <c r="AA366" s="347" t="str">
        <f>$B366</f>
        <v>Absorb Elements</v>
      </c>
      <c r="AB366" s="542" t="str">
        <f>AD366</f>
        <v>Absorb Elements</v>
      </c>
      <c r="AD366" s="347" t="str">
        <f>$B366</f>
        <v>Absorb Elements</v>
      </c>
      <c r="AE366" t="str">
        <f>IF(IFERROR(MATCH($B366,temp!A$4:A$13,0),0)&gt;0,T08_Spells!AE$2,"")</f>
        <v/>
      </c>
      <c r="AF366" t="str">
        <f>IF(IFERROR(MATCH($B366,temp!B$4:B$13,0),0)&gt;0,T08_Spells!AF$2,"")</f>
        <v/>
      </c>
      <c r="AG366" t="str">
        <f>IF(IFERROR(MATCH($B366,temp!C$4:C$13,0),0)&gt;0,T08_Spells!AG$2,"")</f>
        <v/>
      </c>
      <c r="AH366" t="str">
        <f>IF(IFERROR(MATCH($B366,temp!D$4:D$13,0),0)&gt;0,T08_Spells!AH$2,"")</f>
        <v/>
      </c>
      <c r="AI366" t="str">
        <f>IF(IFERROR(MATCH($B366,temp!E$4:E$13,0),0)&gt;0,T08_Spells!AI$2,"")</f>
        <v/>
      </c>
      <c r="AJ366" t="str">
        <f>IF(IFERROR(MATCH($B366,temp!F$4:F$13,0),0)&gt;0,T08_Spells!AJ$2,"")</f>
        <v/>
      </c>
      <c r="AK366" t="str">
        <f>IF(IFERROR(MATCH($B366,temp!G$4:G$13,0),0)&gt;0,T08_Spells!AK$2,"")</f>
        <v/>
      </c>
      <c r="AL366" t="str">
        <f>IF(IFERROR(MATCH($B366,temp!H$4:H$13,0),0)&gt;0,T08_Spells!AL$2,"")</f>
        <v/>
      </c>
      <c r="AM366" t="str">
        <f>IF(IFERROR(MATCH($B366,temp!I$4:I$13,0),0)&gt;0,T08_Spells!AM$2,"")</f>
        <v/>
      </c>
      <c r="AN366" t="str">
        <f>IF(IFERROR(MATCH($B366,temp!J$4:J$13,0),0)&gt;0,T08_Spells!AN$2,"")</f>
        <v/>
      </c>
      <c r="AO366" t="str">
        <f>IF(IFERROR(MATCH($B366,temp!K$4:K$13,0),0)&gt;0,T08_Spells!AO$2,"")</f>
        <v/>
      </c>
      <c r="AP366" t="str">
        <f>IF(IFERROR(MATCH($B366,temp!L$4:L$13,0),0)&gt;0,T08_Spells!AP$2,"")</f>
        <v/>
      </c>
      <c r="AQ366" t="str">
        <f>IF(IFERROR(MATCH($B366,temp!M$4:M$13,0),0)&gt;0,T08_Spells!AQ$2,"")</f>
        <v/>
      </c>
      <c r="AR366" t="str">
        <f>IF(IFERROR(MATCH($B366,temp!N$4:N$13,0),0)&gt;0,T08_Spells!AR$2,"")</f>
        <v/>
      </c>
      <c r="AS366" t="str">
        <f>IF(IFERROR(MATCH($B366,temp!O$4:O$13,0),0)&gt;0,T08_Spells!AS$2,"")</f>
        <v/>
      </c>
      <c r="AT366" t="str">
        <f>IF(IFERROR(MATCH($B366,temp!P$4:P$13,0),0)&gt;0,T08_Spells!AT$2,"")</f>
        <v/>
      </c>
      <c r="AU366" t="str">
        <f>IF(IFERROR(MATCH($B366,temp!Q$4:Q$13,0),0)&gt;0,T08_Spells!AU$2,"")</f>
        <v/>
      </c>
      <c r="AV366" t="str">
        <f>IF(IFERROR(MATCH($B366,temp!R$4:R$13,0),0)&gt;0,T08_Spells!AV$2,"")</f>
        <v/>
      </c>
      <c r="AW366" t="str">
        <f>IF(IFERROR(MATCH($B366,temp!S$4:S$13,0),0)&gt;0,T08_Spells!AW$2,"")</f>
        <v/>
      </c>
      <c r="AX366" t="str">
        <f>IF(IFERROR(MATCH($B366,temp!T$4:T$13,0),0)&gt;0,T08_Spells!AX$2,"")</f>
        <v/>
      </c>
      <c r="AY366" t="str">
        <f>IF(IFERROR(MATCH($B366,temp!U$4:U$13,0),0)&gt;0,T08_Spells!AY$2,"")</f>
        <v/>
      </c>
      <c r="AZ366" t="str">
        <f>IF(IFERROR(MATCH($B366,temp!V$4:V$13,0),0)&gt;0,T08_Spells!AZ$2,"")</f>
        <v/>
      </c>
      <c r="BA366" t="str">
        <f>IF(IFERROR(MATCH($B366,temp!W$4:W$13,0),0)&gt;0,T08_Spells!BA$2,"")</f>
        <v/>
      </c>
      <c r="BC366">
        <f>IF(IFERROR(SEARCH("Ranger",$T366,1),0)&gt;0,1,0)*IF(RangerMaxSpellLevel&gt;=$C366,1,0)*IF(IFERROR(MATCH(B366,Character_Creation!$X$79:$X$382,0),0)&gt;0,0,1)</f>
        <v>0</v>
      </c>
      <c r="BD366">
        <f>IF(BC366=0,0,1+COUNTIF(BD$3:BD365,"&gt;0"))</f>
        <v>0</v>
      </c>
      <c r="BE366" t="str">
        <f t="shared" si="311"/>
        <v/>
      </c>
      <c r="BF366" t="str">
        <f t="shared" si="283"/>
        <v/>
      </c>
      <c r="BH366">
        <f>IF(IFERROR(SEARCH("Sorcerer",$T366,1),0)&gt;0,1,0)*IF(SorcererMaxSpellLevel&gt;=$C366,1,0)*IF(IFERROR(MATCH(B366,Character_Creation!$J$380:$J$394,0),0)&gt;0,0,1)</f>
        <v>0</v>
      </c>
      <c r="BI366">
        <f>IF(BH366=0,0,1+COUNTIF(BI$3:BI365,"&gt;0"))</f>
        <v>0</v>
      </c>
      <c r="BJ366" t="str">
        <f t="shared" si="312"/>
        <v/>
      </c>
      <c r="BK366" t="str">
        <f t="shared" si="284"/>
        <v/>
      </c>
      <c r="BM366">
        <f>IF(OR(IFERROR(SEARCH("Warlock",$T366,1),0)&gt;0,IFERROR(SEARCH(WarlockPatron,$T366,1),0)&gt;0),1,0)*IF(WarlockMaxSpellLevel&gt;=$C366,1,0)*IF(IFERROR(MATCH(B366,Character_Creation!$J$361:$J$375,0),0)&gt;0,0,1)</f>
        <v>0</v>
      </c>
      <c r="BN366">
        <f>IF(BM366=0,0,1+COUNTIF(BN$3:BN365,"&gt;0"))</f>
        <v>0</v>
      </c>
      <c r="BO366" t="str">
        <f t="shared" si="313"/>
        <v/>
      </c>
      <c r="BP366" t="str">
        <f t="shared" si="285"/>
        <v/>
      </c>
      <c r="BR366">
        <f>IF(IFERROR(SEARCH("Eldritch Knight",$T366,1),0)&gt;0,1,0)*IF(EldritchKnightMaxSpellLevel&gt;=$C366,1,0)*IF(IFERROR(MATCH($B366,Character_Creation!$J$350:$J$356,0),0)&gt;0,0,1)*IF(Character_Creation!$M$338&gt;0,1,0)</f>
        <v>0</v>
      </c>
      <c r="BS366">
        <f>IF(BR366=0,0,1+COUNTIF(BS$3:BS365,"&gt;0"))</f>
        <v>0</v>
      </c>
      <c r="BT366" t="str">
        <f t="shared" si="314"/>
        <v/>
      </c>
      <c r="BU366" t="str">
        <f t="shared" si="286"/>
        <v/>
      </c>
      <c r="BW366">
        <f>IF(IFERROR(SEARCH("Arcane Trickster",$T366,1),0)&gt;0,1,0)*IF(ArcaneTricksterMaxSpellLevel&gt;=$C366,1,0)*IF(IFERROR(MATCH($B366,Character_Creation!$J$350:$J$356,0),0)&gt;0,0,1)*IF(Character_Creation!$T$338&gt;0,1,0)</f>
        <v>0</v>
      </c>
      <c r="BX366">
        <f>IF(BW366=0,0,1+COUNTIF(BX$3:BX365,"&gt;0"))</f>
        <v>0</v>
      </c>
      <c r="BY366" t="str">
        <f t="shared" si="315"/>
        <v/>
      </c>
      <c r="BZ366" t="str">
        <f t="shared" si="287"/>
        <v/>
      </c>
      <c r="CB366">
        <f>IF(IFERROR(SEARCH("Wizard",$T366,1),0)&gt;0,1,0)*IF(C366&lt;=ArcaneTricksterMaxSpellLevel,1,0)*IF(IFERROR(MATCH($B366,Character_Creation!$J$350:$J$356,0),0)&gt;0,0,1)*IF(Character_Creation!$T$350&gt;0,1,0)</f>
        <v>0</v>
      </c>
      <c r="CC366">
        <f>IF(CB366=0,0,1+COUNTIF(CC$3:CC365,"&gt;0"))</f>
        <v>0</v>
      </c>
      <c r="CD366" t="str">
        <f t="shared" si="316"/>
        <v/>
      </c>
      <c r="CE366" t="str">
        <f t="shared" si="288"/>
        <v/>
      </c>
      <c r="CG366">
        <f>IF(IFERROR(SEARCH("Wizard",$T366,1),0)&gt;0,1,0)*IF($C366&lt;=EldritchKnightMaxSpellLevel,1,0)*IF(IFERROR(MATCH($B366,Character_Creation!$J$350:$J$356,0),0)&gt;0,0,1)*IF(Character_Creation!$M$350&gt;0,1,0)</f>
        <v>1</v>
      </c>
      <c r="CH366">
        <f>IF(CG366=0,0,1+COUNTIF(CH$3:CH365,"&gt;0"))</f>
        <v>63</v>
      </c>
      <c r="CI366" t="str">
        <f t="shared" si="317"/>
        <v/>
      </c>
      <c r="CJ366" t="str">
        <f t="shared" si="289"/>
        <v/>
      </c>
      <c r="CL366">
        <f>IF(IFERROR(SEARCH("Bard",$T366,1),0)&gt;0,1,0)*IF(BardMaxSpellLevel&gt;=$C366,1,0)*IF(IFERROR(MATCH(B366,Character_Creation!$C$341:$F$362,0),0)&gt;0,0,1)*IF(IFERROR(MATCH($B366,Character_Creation!$C$341:$C$362,0),0)&gt;0,0,1)</f>
        <v>0</v>
      </c>
      <c r="CM366">
        <f>IF(CL366=0,0,1+COUNTIF(CM$3:CM365,"&gt;0"))</f>
        <v>0</v>
      </c>
      <c r="CN366" t="str">
        <f t="shared" si="318"/>
        <v/>
      </c>
      <c r="CO366" t="str">
        <f t="shared" si="290"/>
        <v/>
      </c>
      <c r="CQ366">
        <f>IF(IFERROR(SEARCH("Wizard",$T366,1),0)&gt;0,1,0)*IF(WizardMaxSpellLevel&gt;=$C366,1,0)*IF(IFERROR(MATCH(B366,Character_Creation!$X$341:$X$400,0),0)&gt;0,0,1)*IF(SelectedWizardSpellLevel=$C366,1,0)</f>
        <v>0</v>
      </c>
      <c r="CR366">
        <f>IF(CQ366=0,0,1+COUNTIF(CR$3:CR365,"&gt;0"))</f>
        <v>0</v>
      </c>
      <c r="CS366" t="str">
        <f t="shared" si="319"/>
        <v/>
      </c>
      <c r="CT366" t="str">
        <f t="shared" si="291"/>
        <v/>
      </c>
      <c r="CV366">
        <f>IF(IFERROR(MATCH($B366,Character_Creation!$C$341:$C$362,0),0)&gt;0,0,1)*IF(OR(C366="Cantrip",C366&lt;=BardMaxSpellLevel),1,0)*IF(IFERROR(MATCH($B366,Character_Creation!$C$367:$C$374,0),0)&gt;0,0,1)</f>
        <v>0</v>
      </c>
      <c r="CW366">
        <f>IF(CV366=0,0,1+COUNTIF(CW$3:CW365,"&gt;0"))</f>
        <v>0</v>
      </c>
      <c r="CX366" t="str">
        <f t="shared" si="320"/>
        <v/>
      </c>
      <c r="CY366" t="str">
        <f t="shared" si="292"/>
        <v/>
      </c>
      <c r="DA366">
        <f>IF(IF(OR(IFERROR(SEARCH("Cleric",$T366,1),0)&gt;0,IFERROR(SEARCH(DivineDomain&amp;",",$T366,1),0)&gt;0),1,0)*IF($C366=DA$2,1,0)=1,1+COUNTIF(DA$3:DA365,"&gt;0"),0)</f>
        <v>0</v>
      </c>
      <c r="DB366">
        <f>IF(IF(OR(IFERROR(SEARCH("Cleric",$T366,1),0)&gt;0,IFERROR(SEARCH(DivineDomain&amp;",",$T366,1),0)&gt;0),1,0)*IF($C366=DB$2,1,0)=1,1+COUNTIF(DB$3:DB365,"&gt;0"),0)</f>
        <v>0</v>
      </c>
      <c r="DC366">
        <f>IF(IF(OR(IFERROR(SEARCH("Cleric",$T366,1),0)&gt;0,IFERROR(SEARCH(DivineDomain&amp;",",$T366,1),0)&gt;0),1,0)*IF($C366=DC$2,1,0)=1,1+COUNTIF(DC$3:DC365,"&gt;0"),0)</f>
        <v>0</v>
      </c>
      <c r="DD366">
        <f>IF(IF(OR(IFERROR(SEARCH("Cleric",$T366,1),0)&gt;0,IFERROR(SEARCH(DivineDomain&amp;",",$T366,1),0)&gt;0),1,0)*IF($C366=DD$2,1,0)=1,1+COUNTIF(DD$3:DD365,"&gt;0"),0)</f>
        <v>0</v>
      </c>
      <c r="DE366">
        <f>IF(IF(OR(IFERROR(SEARCH("Cleric",$T366,1),0)&gt;0,IFERROR(SEARCH(DivineDomain&amp;",",$T366,1),0)&gt;0),1,0)*IF($C366=DE$2,1,0)=1,1+COUNTIF(DE$3:DE365,"&gt;0"),0)</f>
        <v>0</v>
      </c>
      <c r="DF366">
        <f>IF(IF(OR(IFERROR(SEARCH("Cleric",$T366,1),0)&gt;0,IFERROR(SEARCH(DivineDomain&amp;",",$T366,1),0)&gt;0),1,0)*IF($C366=DF$2,1,0)=1,1+COUNTIF(DF$3:DF365,"&gt;0"),0)</f>
        <v>0</v>
      </c>
      <c r="DG366">
        <f>IF(IF(OR(IFERROR(SEARCH("Cleric",$T366,1),0)&gt;0,IFERROR(SEARCH(DivineDomain&amp;",",$T366,1),0)&gt;0),1,0)*IF($C366=DG$2,1,0)=1,1+COUNTIF(DG$3:DG365,"&gt;0"),0)</f>
        <v>0</v>
      </c>
      <c r="DH366">
        <f>IF(IF(OR(IFERROR(SEARCH("Cleric",$T366,1),0)&gt;0,IFERROR(SEARCH(DivineDomain&amp;",",$T366,1),0)&gt;0),1,0)*IF($C366=DH$2,1,0)=1,1+COUNTIF(DH$3:DH365,"&gt;0"),0)</f>
        <v>0</v>
      </c>
      <c r="DI366">
        <f>IF(IF(OR(IFERROR(SEARCH("Cleric",$T366,1),0)&gt;0,IFERROR(SEARCH(DivineDomain&amp;",",$T366,1),0)&gt;0),1,0)*IF($C366=DI$2,1,0)=1,1+COUNTIF(DI$3:DI365,"&gt;0"),0)</f>
        <v>0</v>
      </c>
      <c r="DJ366">
        <f>IF(IF(OR(IFERROR(SEARCH("Druid",$T366,1),0)&gt;0,IFERROR(SEARCH(DruidLand1,$T366,1),0)&gt;0,IFERROR(SEARCH(DruidLand2,$T366,1),0)&gt;0,IFERROR(SEARCH(DruidLand3,$T366,1),0)&gt;0,IFERROR(SEARCH(DruidLand4,$T366,1),0)&gt;0),1,0)*IF($C366=1,1,0)*IF($C366=DJ$2,1,0)=0,0,1+COUNTIF(DJ$3:DJ365,"&gt;0"))</f>
        <v>17</v>
      </c>
      <c r="DK366">
        <f>IF(IF(OR(IFERROR(SEARCH("Druid",$T366,1),0)&gt;0,IFERROR(SEARCH(DruidLand1,$T366,1),0)&gt;0,IFERROR(SEARCH(DruidLand2,$T366,1),0)&gt;0,IFERROR(SEARCH(DruidLand3,$T366,1),0)&gt;0,IFERROR(SEARCH(DruidLand4,$T366,1),0)&gt;0),1,0)*IF($C366=DK$2,1,0)=0,0,1+COUNTIF(DK$3:DK365,"&gt;0"))</f>
        <v>0</v>
      </c>
      <c r="DL366">
        <f>IF(IF(OR(IFERROR(SEARCH("Druid",$T366,1),0)&gt;0,IFERROR(SEARCH(DruidLand1,$T366,1),0)&gt;0,IFERROR(SEARCH(DruidLand2,$T366,1),0)&gt;0,IFERROR(SEARCH(DruidLand3,$T366,1),0)&gt;0,IFERROR(SEARCH(DruidLand4,$T366,1),0)&gt;0),1,0)*IF($C366=DL$2,1,0)=0,0,1+COUNTIF(DL$3:DL365,"&gt;0"))</f>
        <v>0</v>
      </c>
      <c r="DM366">
        <f>IF(IF(OR(IFERROR(SEARCH("Druid",$T366,1),0)&gt;0,IFERROR(SEARCH(DruidLand1,$T366,1),0)&gt;0,IFERROR(SEARCH(DruidLand2,$T366,1),0)&gt;0,IFERROR(SEARCH(DruidLand3,$T366,1),0)&gt;0,IFERROR(SEARCH(DruidLand4,$T366,1),0)&gt;0),1,0)*IF($C366=DM$2,1,0)=0,0,1+COUNTIF(DM$3:DM365,"&gt;0"))</f>
        <v>0</v>
      </c>
      <c r="DN366">
        <f>IF(IF(OR(IFERROR(SEARCH("Druid",$T366,1),0)&gt;0,IFERROR(SEARCH(DruidLand1,$T366,1),0)&gt;0,IFERROR(SEARCH(DruidLand2,$T366,1),0)&gt;0,IFERROR(SEARCH(DruidLand3,$T366,1),0)&gt;0,IFERROR(SEARCH(DruidLand4,$T366,1),0)&gt;0),1,0)*IF($C366=DN$2,1,0)=0,0,1+COUNTIF(DN$3:DN365,"&gt;0"))</f>
        <v>0</v>
      </c>
      <c r="DO366">
        <f>IF(IF(OR(IFERROR(SEARCH("Druid",$T366,1),0)&gt;0,IFERROR(SEARCH(DruidLand1,$T366,1),0)&gt;0,IFERROR(SEARCH(DruidLand2,$T366,1),0)&gt;0,IFERROR(SEARCH(DruidLand3,$T366,1),0)&gt;0,IFERROR(SEARCH(DruidLand4,$T366,1),0)&gt;0),1,0)*IF($C366=DO$2,1,0)=0,0,1+COUNTIF(DO$3:DO365,"&gt;0"))</f>
        <v>0</v>
      </c>
      <c r="DP366">
        <f>IF(IF(OR(IFERROR(SEARCH("Druid",$T366,1),0)&gt;0,IFERROR(SEARCH(DruidLand1,$T366,1),0)&gt;0,IFERROR(SEARCH(DruidLand2,$T366,1),0)&gt;0,IFERROR(SEARCH(DruidLand3,$T366,1),0)&gt;0,IFERROR(SEARCH(DruidLand4,$T366,1),0)&gt;0),1,0)*IF($C366=DP$2,1,0)=0,0,1+COUNTIF(DP$3:DP365,"&gt;0"))</f>
        <v>0</v>
      </c>
      <c r="DQ366">
        <f>IF(IF(OR(IFERROR(SEARCH("Druid",$T366,1),0)&gt;0,IFERROR(SEARCH(DruidLand1,$T366,1),0)&gt;0,IFERROR(SEARCH(DruidLand2,$T366,1),0)&gt;0,IFERROR(SEARCH(DruidLand3,$T366,1),0)&gt;0,IFERROR(SEARCH(DruidLand4,$T366,1),0)&gt;0),1,0)*IF($C366=DQ$2,1,0)=0,0,1+COUNTIF(DQ$3:DQ365,"&gt;0"))</f>
        <v>0</v>
      </c>
      <c r="DR366">
        <f>IF(IF(OR(IFERROR(SEARCH("Druid",$T366,1),0)&gt;0,IFERROR(SEARCH(DruidLand1,$T366,1),0)&gt;0,IFERROR(SEARCH(DruidLand2,$T366,1),0)&gt;0,IFERROR(SEARCH(DruidLand3,$T366,1),0)&gt;0,IFERROR(SEARCH(DruidLand4,$T366,1),0)&gt;0),1,0)*IF($C366=DR$2,1,0)=0,0,1+COUNTIF(DR$3:DR365,"&gt;0"))</f>
        <v>0</v>
      </c>
      <c r="DS366">
        <f>IF(IF(OR(IFERROR(SEARCH("Paladin",$T366,1),0)&gt;0,IFERROR(SEARCH(PaladinOath,$T366,1),0)&gt;0),1,0)*IF($C366=DS$2,1,0)=1,1+COUNTIF(DS$3:DS365,"&gt;0"),0)</f>
        <v>0</v>
      </c>
      <c r="DT366">
        <f>IF(IF(OR(IFERROR(SEARCH("Paladin",$T366,1),0)&gt;0,IFERROR(SEARCH(PaladinOath,$T366,1),0)&gt;0),1,0)*IF($C366=DT$2,1,0)=1,1+COUNTIF(DT$3:DT365,"&gt;0"),0)</f>
        <v>0</v>
      </c>
      <c r="DU366">
        <f>IF(IF(OR(IFERROR(SEARCH("Paladin",$T366,1),0)&gt;0,IFERROR(SEARCH(PaladinOath,$T366,1),0)&gt;0),1,0)*IF($C366=DU$2,1,0)=1,1+COUNTIF(DU$3:DU365,"&gt;0"),0)</f>
        <v>0</v>
      </c>
      <c r="DV366">
        <f>IF(IF(OR(IFERROR(SEARCH("Paladin",$T366,1),0)&gt;0,IFERROR(SEARCH(PaladinOath,$T366,1),0)&gt;0),1,0)*IF($C366=DV$2,1,0)=1,1+COUNTIF(DV$3:DV365,"&gt;0"),0)</f>
        <v>0</v>
      </c>
      <c r="DW366">
        <f>IF(IF(OR(IFERROR(SEARCH("Paladin",$T366,1),0)&gt;0,IFERROR(SEARCH(PaladinOath,$T366,1),0)&gt;0),1,0)*IF($C366=DW$2,1,0)=1,1+COUNTIF(DW$3:DW365,"&gt;0"),0)</f>
        <v>0</v>
      </c>
      <c r="DY366">
        <f t="shared" si="278"/>
        <v>1</v>
      </c>
      <c r="DZ366">
        <f>IF(DY366=0,0,1+MAX(DZ$3:$DZ365))</f>
        <v>364</v>
      </c>
      <c r="EB366">
        <f t="shared" si="293"/>
        <v>0</v>
      </c>
      <c r="EC366">
        <f>IF(EB366=0,0,1+COUNTIF(EC$3:EC365,"&gt;0"))</f>
        <v>0</v>
      </c>
      <c r="ED366" t="str">
        <f t="shared" si="321"/>
        <v/>
      </c>
      <c r="EE366" t="str">
        <f t="shared" si="294"/>
        <v/>
      </c>
      <c r="EG366">
        <f t="shared" si="295"/>
        <v>0</v>
      </c>
      <c r="EH366">
        <f>IF(EG366=0,0,1+COUNTIF(EH$3:EH365,"&gt;0"))</f>
        <v>0</v>
      </c>
      <c r="EI366" t="str">
        <f t="shared" si="322"/>
        <v/>
      </c>
      <c r="EJ366" t="str">
        <f t="shared" si="296"/>
        <v/>
      </c>
      <c r="EL366">
        <f t="shared" si="297"/>
        <v>0</v>
      </c>
      <c r="EM366">
        <f>IF(EL366=0,0,1+COUNTIF(EM$3:EM365,"&gt;0"))</f>
        <v>0</v>
      </c>
      <c r="EN366" t="str">
        <f t="shared" si="323"/>
        <v/>
      </c>
      <c r="EO366" t="str">
        <f t="shared" si="298"/>
        <v/>
      </c>
      <c r="EQ366">
        <f t="shared" si="299"/>
        <v>0</v>
      </c>
      <c r="ER366">
        <f>IF(EQ366=0,0,1+COUNTIF(ER$3:ER365,"&gt;0"))</f>
        <v>0</v>
      </c>
      <c r="ES366" t="str">
        <f t="shared" si="324"/>
        <v/>
      </c>
      <c r="ET366" t="str">
        <f t="shared" si="300"/>
        <v/>
      </c>
      <c r="EV366">
        <f t="shared" si="301"/>
        <v>0</v>
      </c>
      <c r="EW366">
        <f>IF(EV366=0,0,1+COUNTIF(EW$3:EW365,"&gt;0"))</f>
        <v>0</v>
      </c>
      <c r="EX366" t="str">
        <f t="shared" si="325"/>
        <v/>
      </c>
      <c r="EY366" t="str">
        <f t="shared" si="302"/>
        <v/>
      </c>
      <c r="FA366">
        <f t="shared" si="303"/>
        <v>0</v>
      </c>
      <c r="FB366">
        <f>IF(FA366=0,0,1+COUNTIF(FB$3:FB365,"&gt;0"))</f>
        <v>0</v>
      </c>
      <c r="FC366" t="str">
        <f t="shared" si="326"/>
        <v/>
      </c>
      <c r="FD366" t="str">
        <f t="shared" si="304"/>
        <v/>
      </c>
      <c r="FF366">
        <f t="shared" si="305"/>
        <v>0</v>
      </c>
      <c r="FG366">
        <f>IF(FF366=0,0,1+COUNTIF(FG$3:FG365,"&gt;0"))</f>
        <v>0</v>
      </c>
      <c r="FH366" t="str">
        <f t="shared" si="327"/>
        <v/>
      </c>
      <c r="FI366" t="str">
        <f t="shared" si="306"/>
        <v/>
      </c>
      <c r="FK366">
        <f t="shared" si="307"/>
        <v>0</v>
      </c>
      <c r="FL366">
        <f>IF(FK366=0,0,1+COUNTIF(FL$3:FL365,"&gt;0"))</f>
        <v>0</v>
      </c>
      <c r="FM366" t="str">
        <f t="shared" si="328"/>
        <v/>
      </c>
      <c r="FN366" t="str">
        <f t="shared" si="308"/>
        <v/>
      </c>
      <c r="FP366">
        <f t="shared" si="309"/>
        <v>0</v>
      </c>
      <c r="FQ366">
        <f>IF(FP366=0,0,1+COUNTIF(FQ$3:FQ365,"&gt;0"))</f>
        <v>0</v>
      </c>
      <c r="FR366" t="str">
        <f t="shared" si="329"/>
        <v/>
      </c>
      <c r="FS366" t="str">
        <f t="shared" si="310"/>
        <v/>
      </c>
    </row>
    <row r="367" spans="1:175" x14ac:dyDescent="0.25">
      <c r="A367" s="347">
        <f t="shared" si="331"/>
        <v>365</v>
      </c>
      <c r="B367" s="398" t="s">
        <v>5525</v>
      </c>
      <c r="C367" s="348">
        <v>2</v>
      </c>
      <c r="D367" s="347">
        <v>2</v>
      </c>
      <c r="E367" s="627" t="s">
        <v>6957</v>
      </c>
      <c r="F367" s="346"/>
      <c r="G367" s="347" t="str">
        <f>""</f>
        <v/>
      </c>
      <c r="H367" s="347" t="s">
        <v>5912</v>
      </c>
      <c r="I367" s="347" t="s">
        <v>5060</v>
      </c>
      <c r="J367" s="347" t="str">
        <f t="shared" si="279"/>
        <v/>
      </c>
      <c r="K367" s="347" t="s">
        <v>5278</v>
      </c>
      <c r="L367" s="611" t="str">
        <f t="shared" si="280"/>
        <v>V, S, M, a red dragon’s scale</v>
      </c>
      <c r="M367" s="347" t="s">
        <v>2373</v>
      </c>
      <c r="N367" s="347" t="s">
        <v>2387</v>
      </c>
      <c r="O367" s="347" t="s">
        <v>1244</v>
      </c>
      <c r="P367" s="346" t="s">
        <v>5526</v>
      </c>
      <c r="Q367" s="347" t="s">
        <v>5273</v>
      </c>
      <c r="S367" s="346" t="s">
        <v>5870</v>
      </c>
      <c r="T367" s="346" t="str">
        <f t="shared" si="281"/>
        <v xml:space="preserve">Sorcerer, Eldritch Knight, Wizard, </v>
      </c>
      <c r="X367" s="347" t="str">
        <f>$B367</f>
        <v>Aganazzar’s Scorcher</v>
      </c>
      <c r="AB367" s="542" t="str">
        <f>AD367</f>
        <v>Aganazzar’s Scorcher</v>
      </c>
      <c r="AD367" s="347" t="str">
        <f>$B367</f>
        <v>Aganazzar’s Scorcher</v>
      </c>
      <c r="AE367" t="str">
        <f>IF(IFERROR(MATCH($B367,temp!A$4:A$13,0),0)&gt;0,T08_Spells!AE$2,"")</f>
        <v/>
      </c>
      <c r="AF367" t="str">
        <f>IF(IFERROR(MATCH($B367,temp!B$4:B$13,0),0)&gt;0,T08_Spells!AF$2,"")</f>
        <v/>
      </c>
      <c r="AG367" t="str">
        <f>IF(IFERROR(MATCH($B367,temp!C$4:C$13,0),0)&gt;0,T08_Spells!AG$2,"")</f>
        <v/>
      </c>
      <c r="AH367" t="str">
        <f>IF(IFERROR(MATCH($B367,temp!D$4:D$13,0),0)&gt;0,T08_Spells!AH$2,"")</f>
        <v/>
      </c>
      <c r="AI367" t="str">
        <f>IF(IFERROR(MATCH($B367,temp!E$4:E$13,0),0)&gt;0,T08_Spells!AI$2,"")</f>
        <v/>
      </c>
      <c r="AJ367" t="str">
        <f>IF(IFERROR(MATCH($B367,temp!F$4:F$13,0),0)&gt;0,T08_Spells!AJ$2,"")</f>
        <v/>
      </c>
      <c r="AK367" t="str">
        <f>IF(IFERROR(MATCH($B367,temp!G$4:G$13,0),0)&gt;0,T08_Spells!AK$2,"")</f>
        <v/>
      </c>
      <c r="AL367" t="str">
        <f>IF(IFERROR(MATCH($B367,temp!H$4:H$13,0),0)&gt;0,T08_Spells!AL$2,"")</f>
        <v/>
      </c>
      <c r="AM367" t="str">
        <f>IF(IFERROR(MATCH($B367,temp!I$4:I$13,0),0)&gt;0,T08_Spells!AM$2,"")</f>
        <v/>
      </c>
      <c r="AN367" t="str">
        <f>IF(IFERROR(MATCH($B367,temp!J$4:J$13,0),0)&gt;0,T08_Spells!AN$2,"")</f>
        <v/>
      </c>
      <c r="AO367" t="str">
        <f>IF(IFERROR(MATCH($B367,temp!K$4:K$13,0),0)&gt;0,T08_Spells!AO$2,"")</f>
        <v/>
      </c>
      <c r="AP367" t="str">
        <f>IF(IFERROR(MATCH($B367,temp!L$4:L$13,0),0)&gt;0,T08_Spells!AP$2,"")</f>
        <v/>
      </c>
      <c r="AQ367" t="str">
        <f>IF(IFERROR(MATCH($B367,temp!M$4:M$13,0),0)&gt;0,T08_Spells!AQ$2,"")</f>
        <v/>
      </c>
      <c r="AR367" t="str">
        <f>IF(IFERROR(MATCH($B367,temp!N$4:N$13,0),0)&gt;0,T08_Spells!AR$2,"")</f>
        <v/>
      </c>
      <c r="AS367" t="str">
        <f>IF(IFERROR(MATCH($B367,temp!O$4:O$13,0),0)&gt;0,T08_Spells!AS$2,"")</f>
        <v/>
      </c>
      <c r="AT367" t="str">
        <f>IF(IFERROR(MATCH($B367,temp!P$4:P$13,0),0)&gt;0,T08_Spells!AT$2,"")</f>
        <v/>
      </c>
      <c r="AU367" t="str">
        <f>IF(IFERROR(MATCH($B367,temp!Q$4:Q$13,0),0)&gt;0,T08_Spells!AU$2,"")</f>
        <v/>
      </c>
      <c r="AV367" t="str">
        <f>IF(IFERROR(MATCH($B367,temp!R$4:R$13,0),0)&gt;0,T08_Spells!AV$2,"")</f>
        <v/>
      </c>
      <c r="AW367" t="str">
        <f>IF(IFERROR(MATCH($B367,temp!S$4:S$13,0),0)&gt;0,T08_Spells!AW$2,"")</f>
        <v/>
      </c>
      <c r="AX367" t="str">
        <f>IF(IFERROR(MATCH($B367,temp!T$4:T$13,0),0)&gt;0,T08_Spells!AX$2,"")</f>
        <v/>
      </c>
      <c r="AY367" t="str">
        <f>IF(IFERROR(MATCH($B367,temp!U$4:U$13,0),0)&gt;0,T08_Spells!AY$2,"")</f>
        <v/>
      </c>
      <c r="AZ367" t="str">
        <f>IF(IFERROR(MATCH($B367,temp!V$4:V$13,0),0)&gt;0,T08_Spells!AZ$2,"")</f>
        <v/>
      </c>
      <c r="BA367" t="str">
        <f>IF(IFERROR(MATCH($B367,temp!W$4:W$13,0),0)&gt;0,T08_Spells!BA$2,"")</f>
        <v/>
      </c>
      <c r="BC367">
        <f>IF(IFERROR(SEARCH("Ranger",$T367,1),0)&gt;0,1,0)*IF(RangerMaxSpellLevel&gt;=$C367,1,0)*IF(IFERROR(MATCH(B367,Character_Creation!$X$79:$X$382,0),0)&gt;0,0,1)</f>
        <v>0</v>
      </c>
      <c r="BD367">
        <f>IF(BC367=0,0,1+COUNTIF(BD$3:BD366,"&gt;0"))</f>
        <v>0</v>
      </c>
      <c r="BE367" t="str">
        <f t="shared" si="311"/>
        <v/>
      </c>
      <c r="BF367" t="str">
        <f t="shared" si="283"/>
        <v/>
      </c>
      <c r="BH367">
        <f>IF(IFERROR(SEARCH("Sorcerer",$T367,1),0)&gt;0,1,0)*IF(SorcererMaxSpellLevel&gt;=$C367,1,0)*IF(IFERROR(MATCH(B367,Character_Creation!$J$380:$J$394,0),0)&gt;0,0,1)</f>
        <v>0</v>
      </c>
      <c r="BI367">
        <f>IF(BH367=0,0,1+COUNTIF(BI$3:BI366,"&gt;0"))</f>
        <v>0</v>
      </c>
      <c r="BJ367" t="str">
        <f t="shared" si="312"/>
        <v/>
      </c>
      <c r="BK367" t="str">
        <f t="shared" si="284"/>
        <v/>
      </c>
      <c r="BM367">
        <f>IF(OR(IFERROR(SEARCH("Warlock",$T367,1),0)&gt;0,IFERROR(SEARCH(WarlockPatron,$T367,1),0)&gt;0),1,0)*IF(WarlockMaxSpellLevel&gt;=$C367,1,0)*IF(IFERROR(MATCH(B367,Character_Creation!$J$361:$J$375,0),0)&gt;0,0,1)</f>
        <v>0</v>
      </c>
      <c r="BN367">
        <f>IF(BM367=0,0,1+COUNTIF(BN$3:BN366,"&gt;0"))</f>
        <v>0</v>
      </c>
      <c r="BO367" t="str">
        <f t="shared" si="313"/>
        <v/>
      </c>
      <c r="BP367" t="str">
        <f t="shared" si="285"/>
        <v/>
      </c>
      <c r="BR367">
        <f>IF(IFERROR(SEARCH("Eldritch Knight",$T367,1),0)&gt;0,1,0)*IF(EldritchKnightMaxSpellLevel&gt;=$C367,1,0)*IF(IFERROR(MATCH($B367,Character_Creation!$J$350:$J$356,0),0)&gt;0,0,1)*IF(Character_Creation!$M$338&gt;0,1,0)</f>
        <v>0</v>
      </c>
      <c r="BS367">
        <f>IF(BR367=0,0,1+COUNTIF(BS$3:BS366,"&gt;0"))</f>
        <v>0</v>
      </c>
      <c r="BT367" t="str">
        <f t="shared" si="314"/>
        <v/>
      </c>
      <c r="BU367" t="str">
        <f t="shared" si="286"/>
        <v/>
      </c>
      <c r="BW367">
        <f>IF(IFERROR(SEARCH("Arcane Trickster",$T367,1),0)&gt;0,1,0)*IF(ArcaneTricksterMaxSpellLevel&gt;=$C367,1,0)*IF(IFERROR(MATCH($B367,Character_Creation!$J$350:$J$356,0),0)&gt;0,0,1)*IF(Character_Creation!$T$338&gt;0,1,0)</f>
        <v>0</v>
      </c>
      <c r="BX367">
        <f>IF(BW367=0,0,1+COUNTIF(BX$3:BX366,"&gt;0"))</f>
        <v>0</v>
      </c>
      <c r="BY367" t="str">
        <f t="shared" si="315"/>
        <v/>
      </c>
      <c r="BZ367" t="str">
        <f t="shared" si="287"/>
        <v/>
      </c>
      <c r="CB367">
        <f>IF(IFERROR(SEARCH("Wizard",$T367,1),0)&gt;0,1,0)*IF(C367&lt;=ArcaneTricksterMaxSpellLevel,1,0)*IF(IFERROR(MATCH($B367,Character_Creation!$J$350:$J$356,0),0)&gt;0,0,1)*IF(Character_Creation!$T$350&gt;0,1,0)</f>
        <v>0</v>
      </c>
      <c r="CC367">
        <f>IF(CB367=0,0,1+COUNTIF(CC$3:CC366,"&gt;0"))</f>
        <v>0</v>
      </c>
      <c r="CD367" t="str">
        <f t="shared" si="316"/>
        <v/>
      </c>
      <c r="CE367" t="str">
        <f t="shared" si="288"/>
        <v/>
      </c>
      <c r="CG367">
        <f>IF(IFERROR(SEARCH("Wizard",$T367,1),0)&gt;0,1,0)*IF($C367&lt;=EldritchKnightMaxSpellLevel,1,0)*IF(IFERROR(MATCH($B367,Character_Creation!$J$350:$J$356,0),0)&gt;0,0,1)*IF(Character_Creation!$M$350&gt;0,1,0)</f>
        <v>1</v>
      </c>
      <c r="CH367">
        <f>IF(CG367=0,0,1+COUNTIF(CH$3:CH366,"&gt;0"))</f>
        <v>64</v>
      </c>
      <c r="CI367" t="str">
        <f t="shared" si="317"/>
        <v/>
      </c>
      <c r="CJ367" t="str">
        <f t="shared" si="289"/>
        <v/>
      </c>
      <c r="CL367">
        <f>IF(IFERROR(SEARCH("Bard",$T367,1),0)&gt;0,1,0)*IF(BardMaxSpellLevel&gt;=$C367,1,0)*IF(IFERROR(MATCH(B367,Character_Creation!$C$341:$F$362,0),0)&gt;0,0,1)*IF(IFERROR(MATCH($B367,Character_Creation!$C$341:$C$362,0),0)&gt;0,0,1)</f>
        <v>0</v>
      </c>
      <c r="CM367">
        <f>IF(CL367=0,0,1+COUNTIF(CM$3:CM366,"&gt;0"))</f>
        <v>0</v>
      </c>
      <c r="CN367" t="str">
        <f t="shared" si="318"/>
        <v/>
      </c>
      <c r="CO367" t="str">
        <f t="shared" si="290"/>
        <v/>
      </c>
      <c r="CQ367">
        <f>IF(IFERROR(SEARCH("Wizard",$T367,1),0)&gt;0,1,0)*IF(WizardMaxSpellLevel&gt;=$C367,1,0)*IF(IFERROR(MATCH(B367,Character_Creation!$X$341:$X$400,0),0)&gt;0,0,1)*IF(SelectedWizardSpellLevel=$C367,1,0)</f>
        <v>0</v>
      </c>
      <c r="CR367">
        <f>IF(CQ367=0,0,1+COUNTIF(CR$3:CR366,"&gt;0"))</f>
        <v>0</v>
      </c>
      <c r="CS367" t="str">
        <f t="shared" si="319"/>
        <v/>
      </c>
      <c r="CT367" t="str">
        <f t="shared" si="291"/>
        <v/>
      </c>
      <c r="CV367">
        <f>IF(IFERROR(MATCH($B367,Character_Creation!$C$341:$C$362,0),0)&gt;0,0,1)*IF(OR(C367="Cantrip",C367&lt;=BardMaxSpellLevel),1,0)*IF(IFERROR(MATCH($B367,Character_Creation!$C$367:$C$374,0),0)&gt;0,0,1)</f>
        <v>0</v>
      </c>
      <c r="CW367">
        <f>IF(CV367=0,0,1+COUNTIF(CW$3:CW366,"&gt;0"))</f>
        <v>0</v>
      </c>
      <c r="CX367" t="str">
        <f t="shared" si="320"/>
        <v/>
      </c>
      <c r="CY367" t="str">
        <f t="shared" si="292"/>
        <v/>
      </c>
      <c r="DA367">
        <f>IF(IF(OR(IFERROR(SEARCH("Cleric",$T367,1),0)&gt;0,IFERROR(SEARCH(DivineDomain&amp;",",$T367,1),0)&gt;0),1,0)*IF($C367=DA$2,1,0)=1,1+COUNTIF(DA$3:DA366,"&gt;0"),0)</f>
        <v>0</v>
      </c>
      <c r="DB367">
        <f>IF(IF(OR(IFERROR(SEARCH("Cleric",$T367,1),0)&gt;0,IFERROR(SEARCH(DivineDomain&amp;",",$T367,1),0)&gt;0),1,0)*IF($C367=DB$2,1,0)=1,1+COUNTIF(DB$3:DB366,"&gt;0"),0)</f>
        <v>0</v>
      </c>
      <c r="DC367">
        <f>IF(IF(OR(IFERROR(SEARCH("Cleric",$T367,1),0)&gt;0,IFERROR(SEARCH(DivineDomain&amp;",",$T367,1),0)&gt;0),1,0)*IF($C367=DC$2,1,0)=1,1+COUNTIF(DC$3:DC366,"&gt;0"),0)</f>
        <v>0</v>
      </c>
      <c r="DD367">
        <f>IF(IF(OR(IFERROR(SEARCH("Cleric",$T367,1),0)&gt;0,IFERROR(SEARCH(DivineDomain&amp;",",$T367,1),0)&gt;0),1,0)*IF($C367=DD$2,1,0)=1,1+COUNTIF(DD$3:DD366,"&gt;0"),0)</f>
        <v>0</v>
      </c>
      <c r="DE367">
        <f>IF(IF(OR(IFERROR(SEARCH("Cleric",$T367,1),0)&gt;0,IFERROR(SEARCH(DivineDomain&amp;",",$T367,1),0)&gt;0),1,0)*IF($C367=DE$2,1,0)=1,1+COUNTIF(DE$3:DE366,"&gt;0"),0)</f>
        <v>0</v>
      </c>
      <c r="DF367">
        <f>IF(IF(OR(IFERROR(SEARCH("Cleric",$T367,1),0)&gt;0,IFERROR(SEARCH(DivineDomain&amp;",",$T367,1),0)&gt;0),1,0)*IF($C367=DF$2,1,0)=1,1+COUNTIF(DF$3:DF366,"&gt;0"),0)</f>
        <v>0</v>
      </c>
      <c r="DG367">
        <f>IF(IF(OR(IFERROR(SEARCH("Cleric",$T367,1),0)&gt;0,IFERROR(SEARCH(DivineDomain&amp;",",$T367,1),0)&gt;0),1,0)*IF($C367=DG$2,1,0)=1,1+COUNTIF(DG$3:DG366,"&gt;0"),0)</f>
        <v>0</v>
      </c>
      <c r="DH367">
        <f>IF(IF(OR(IFERROR(SEARCH("Cleric",$T367,1),0)&gt;0,IFERROR(SEARCH(DivineDomain&amp;",",$T367,1),0)&gt;0),1,0)*IF($C367=DH$2,1,0)=1,1+COUNTIF(DH$3:DH366,"&gt;0"),0)</f>
        <v>0</v>
      </c>
      <c r="DI367">
        <f>IF(IF(OR(IFERROR(SEARCH("Cleric",$T367,1),0)&gt;0,IFERROR(SEARCH(DivineDomain&amp;",",$T367,1),0)&gt;0),1,0)*IF($C367=DI$2,1,0)=1,1+COUNTIF(DI$3:DI366,"&gt;0"),0)</f>
        <v>0</v>
      </c>
      <c r="DJ367">
        <f>IF(IF(OR(IFERROR(SEARCH("Druid",$T367,1),0)&gt;0,IFERROR(SEARCH(DruidLand1,$T367,1),0)&gt;0,IFERROR(SEARCH(DruidLand2,$T367,1),0)&gt;0,IFERROR(SEARCH(DruidLand3,$T367,1),0)&gt;0,IFERROR(SEARCH(DruidLand4,$T367,1),0)&gt;0),1,0)*IF($C367=1,1,0)*IF($C367=DJ$2,1,0)=0,0,1+COUNTIF(DJ$3:DJ366,"&gt;0"))</f>
        <v>0</v>
      </c>
      <c r="DK367">
        <f>IF(IF(OR(IFERROR(SEARCH("Druid",$T367,1),0)&gt;0,IFERROR(SEARCH(DruidLand1,$T367,1),0)&gt;0,IFERROR(SEARCH(DruidLand2,$T367,1),0)&gt;0,IFERROR(SEARCH(DruidLand3,$T367,1),0)&gt;0,IFERROR(SEARCH(DruidLand4,$T367,1),0)&gt;0),1,0)*IF($C367=1,1,0)*IF($C367=DK$2,1,0)=0,0,1+COUNTIF(DK$3:DK366,"&gt;0"))</f>
        <v>0</v>
      </c>
      <c r="DL367">
        <f>IF(IF(OR(IFERROR(SEARCH("Druid",$T367,1),0)&gt;0,IFERROR(SEARCH(DruidLand1,$T367,1),0)&gt;0,IFERROR(SEARCH(DruidLand2,$T367,1),0)&gt;0,IFERROR(SEARCH(DruidLand3,$T367,1),0)&gt;0,IFERROR(SEARCH(DruidLand4,$T367,1),0)&gt;0),1,0)*IF($C367=1,1,0)*IF($C367=DL$2,1,0)=0,0,1+COUNTIF(DL$3:DL366,"&gt;0"))</f>
        <v>0</v>
      </c>
      <c r="DM367">
        <f>IF(IF(OR(IFERROR(SEARCH("Druid",$T367,1),0)&gt;0,IFERROR(SEARCH(DruidLand1,$T367,1),0)&gt;0,IFERROR(SEARCH(DruidLand2,$T367,1),0)&gt;0,IFERROR(SEARCH(DruidLand3,$T367,1),0)&gt;0,IFERROR(SEARCH(DruidLand4,$T367,1),0)&gt;0),1,0)*IF($C367=1,1,0)*IF($C367=DM$2,1,0)=0,0,1+COUNTIF(DM$3:DM366,"&gt;0"))</f>
        <v>0</v>
      </c>
      <c r="DN367">
        <f>IF(IF(OR(IFERROR(SEARCH("Druid",$T367,1),0)&gt;0,IFERROR(SEARCH(DruidLand1,$T367,1),0)&gt;0,IFERROR(SEARCH(DruidLand2,$T367,1),0)&gt;0,IFERROR(SEARCH(DruidLand3,$T367,1),0)&gt;0,IFERROR(SEARCH(DruidLand4,$T367,1),0)&gt;0),1,0)*IF($C367=1,1,0)*IF($C367=DN$2,1,0)=0,0,1+COUNTIF(DN$3:DN366,"&gt;0"))</f>
        <v>0</v>
      </c>
      <c r="DO367">
        <f>IF(IF(OR(IFERROR(SEARCH("Druid",$T367,1),0)&gt;0,IFERROR(SEARCH(DruidLand1,$T367,1),0)&gt;0,IFERROR(SEARCH(DruidLand2,$T367,1),0)&gt;0,IFERROR(SEARCH(DruidLand3,$T367,1),0)&gt;0,IFERROR(SEARCH(DruidLand4,$T367,1),0)&gt;0),1,0)*IF($C367=1,1,0)*IF($C367=DO$2,1,0)=0,0,1+COUNTIF(DO$3:DO366,"&gt;0"))</f>
        <v>0</v>
      </c>
      <c r="DP367">
        <f>IF(IF(OR(IFERROR(SEARCH("Druid",$T367,1),0)&gt;0,IFERROR(SEARCH(DruidLand1,$T367,1),0)&gt;0,IFERROR(SEARCH(DruidLand2,$T367,1),0)&gt;0,IFERROR(SEARCH(DruidLand3,$T367,1),0)&gt;0,IFERROR(SEARCH(DruidLand4,$T367,1),0)&gt;0),1,0)*IF($C367=1,1,0)*IF($C367=DP$2,1,0)=0,0,1+COUNTIF(DP$3:DP366,"&gt;0"))</f>
        <v>0</v>
      </c>
      <c r="DQ367">
        <f>IF(IF(OR(IFERROR(SEARCH("Druid",$T367,1),0)&gt;0,IFERROR(SEARCH(DruidLand1,$T367,1),0)&gt;0,IFERROR(SEARCH(DruidLand2,$T367,1),0)&gt;0,IFERROR(SEARCH(DruidLand3,$T367,1),0)&gt;0,IFERROR(SEARCH(DruidLand4,$T367,1),0)&gt;0),1,0)*IF($C367=1,1,0)*IF($C367=DQ$2,1,0)=0,0,1+COUNTIF(DQ$3:DQ366,"&gt;0"))</f>
        <v>0</v>
      </c>
      <c r="DR367">
        <f>IF(IF(OR(IFERROR(SEARCH("Druid",$T367,1),0)&gt;0,IFERROR(SEARCH(DruidLand1,$T367,1),0)&gt;0,IFERROR(SEARCH(DruidLand2,$T367,1),0)&gt;0,IFERROR(SEARCH(DruidLand3,$T367,1),0)&gt;0,IFERROR(SEARCH(DruidLand4,$T367,1),0)&gt;0),1,0)*IF($C367=1,1,0)*IF($C367=DR$2,1,0)=0,0,1+COUNTIF(DR$3:DR366,"&gt;0"))</f>
        <v>0</v>
      </c>
      <c r="DS367">
        <f>IF(IF(OR(IFERROR(SEARCH("Paladin",$T367,1),0)&gt;0,IFERROR(SEARCH(PaladinOath,$T367,1),0)&gt;0),1,0)*IF($C367=DS$2,1,0)=1,1+COUNTIF(DS$3:DS366,"&gt;0"),0)</f>
        <v>0</v>
      </c>
      <c r="DT367">
        <f>IF(IF(OR(IFERROR(SEARCH("Paladin",$T367,1),0)&gt;0,IFERROR(SEARCH(PaladinOath,$T367,1),0)&gt;0),1,0)*IF($C367=DT$2,1,0)=1,1+COUNTIF(DT$3:DT366,"&gt;0"),0)</f>
        <v>0</v>
      </c>
      <c r="DU367">
        <f>IF(IF(OR(IFERROR(SEARCH("Paladin",$T367,1),0)&gt;0,IFERROR(SEARCH(PaladinOath,$T367,1),0)&gt;0),1,0)*IF($C367=DU$2,1,0)=1,1+COUNTIF(DU$3:DU366,"&gt;0"),0)</f>
        <v>0</v>
      </c>
      <c r="DV367">
        <f>IF(IF(OR(IFERROR(SEARCH("Paladin",$T367,1),0)&gt;0,IFERROR(SEARCH(PaladinOath,$T367,1),0)&gt;0),1,0)*IF($C367=DV$2,1,0)=1,1+COUNTIF(DV$3:DV366,"&gt;0"),0)</f>
        <v>0</v>
      </c>
      <c r="DW367">
        <f>IF(IF(OR(IFERROR(SEARCH("Paladin",$T367,1),0)&gt;0,IFERROR(SEARCH(PaladinOath,$T367,1),0)&gt;0),1,0)*IF($C367=DW$2,1,0)=1,1+COUNTIF(DW$3:DW366,"&gt;0"),0)</f>
        <v>0</v>
      </c>
      <c r="DY367">
        <f t="shared" si="278"/>
        <v>1</v>
      </c>
      <c r="DZ367">
        <f>IF(DY367=0,0,1+MAX(DZ$3:$DZ366))</f>
        <v>365</v>
      </c>
      <c r="EB367">
        <f t="shared" si="293"/>
        <v>0</v>
      </c>
      <c r="EC367">
        <f>IF(EB367=0,0,1+COUNTIF(EC$3:EC366,"&gt;0"))</f>
        <v>0</v>
      </c>
      <c r="ED367" t="str">
        <f t="shared" si="321"/>
        <v/>
      </c>
      <c r="EE367" t="str">
        <f t="shared" si="294"/>
        <v/>
      </c>
      <c r="EG367">
        <f t="shared" si="295"/>
        <v>0</v>
      </c>
      <c r="EH367">
        <f>IF(EG367=0,0,1+COUNTIF(EH$3:EH366,"&gt;0"))</f>
        <v>0</v>
      </c>
      <c r="EI367" t="str">
        <f t="shared" si="322"/>
        <v/>
      </c>
      <c r="EJ367" t="str">
        <f t="shared" si="296"/>
        <v/>
      </c>
      <c r="EL367">
        <f t="shared" si="297"/>
        <v>0</v>
      </c>
      <c r="EM367">
        <f>IF(EL367=0,0,1+COUNTIF(EM$3:EM366,"&gt;0"))</f>
        <v>0</v>
      </c>
      <c r="EN367" t="str">
        <f t="shared" si="323"/>
        <v/>
      </c>
      <c r="EO367" t="str">
        <f t="shared" si="298"/>
        <v/>
      </c>
      <c r="EQ367">
        <f t="shared" si="299"/>
        <v>0</v>
      </c>
      <c r="ER367">
        <f>IF(EQ367=0,0,1+COUNTIF(ER$3:ER366,"&gt;0"))</f>
        <v>0</v>
      </c>
      <c r="ES367" t="str">
        <f t="shared" si="324"/>
        <v/>
      </c>
      <c r="ET367" t="str">
        <f t="shared" si="300"/>
        <v/>
      </c>
      <c r="EV367">
        <f t="shared" si="301"/>
        <v>0</v>
      </c>
      <c r="EW367">
        <f>IF(EV367=0,0,1+COUNTIF(EW$3:EW366,"&gt;0"))</f>
        <v>0</v>
      </c>
      <c r="EX367" t="str">
        <f t="shared" si="325"/>
        <v/>
      </c>
      <c r="EY367" t="str">
        <f t="shared" si="302"/>
        <v/>
      </c>
      <c r="FA367">
        <f t="shared" si="303"/>
        <v>0</v>
      </c>
      <c r="FB367">
        <f>IF(FA367=0,0,1+COUNTIF(FB$3:FB366,"&gt;0"))</f>
        <v>0</v>
      </c>
      <c r="FC367" t="str">
        <f t="shared" si="326"/>
        <v/>
      </c>
      <c r="FD367" t="str">
        <f t="shared" si="304"/>
        <v/>
      </c>
      <c r="FF367">
        <f t="shared" si="305"/>
        <v>0</v>
      </c>
      <c r="FG367">
        <f>IF(FF367=0,0,1+COUNTIF(FG$3:FG366,"&gt;0"))</f>
        <v>0</v>
      </c>
      <c r="FH367" t="str">
        <f t="shared" si="327"/>
        <v/>
      </c>
      <c r="FI367" t="str">
        <f t="shared" si="306"/>
        <v/>
      </c>
      <c r="FK367">
        <f t="shared" si="307"/>
        <v>0</v>
      </c>
      <c r="FL367">
        <f>IF(FK367=0,0,1+COUNTIF(FL$3:FL366,"&gt;0"))</f>
        <v>0</v>
      </c>
      <c r="FM367" t="str">
        <f t="shared" si="328"/>
        <v/>
      </c>
      <c r="FN367" t="str">
        <f t="shared" si="308"/>
        <v/>
      </c>
      <c r="FP367">
        <f t="shared" si="309"/>
        <v>0</v>
      </c>
      <c r="FQ367">
        <f>IF(FP367=0,0,1+COUNTIF(FQ$3:FQ366,"&gt;0"))</f>
        <v>0</v>
      </c>
      <c r="FR367" t="str">
        <f t="shared" si="329"/>
        <v/>
      </c>
      <c r="FS367" t="str">
        <f t="shared" si="310"/>
        <v/>
      </c>
    </row>
    <row r="368" spans="1:175" x14ac:dyDescent="0.25">
      <c r="A368" s="347">
        <f t="shared" si="331"/>
        <v>366</v>
      </c>
      <c r="B368" s="398" t="s">
        <v>5527</v>
      </c>
      <c r="C368" s="348">
        <v>1</v>
      </c>
      <c r="D368" s="347">
        <v>1</v>
      </c>
      <c r="E368" s="627" t="s">
        <v>6957</v>
      </c>
      <c r="F368" s="346"/>
      <c r="G368" s="347" t="str">
        <f>""</f>
        <v/>
      </c>
      <c r="H368" s="347" t="s">
        <v>5912</v>
      </c>
      <c r="I368" s="347" t="s">
        <v>5298</v>
      </c>
      <c r="J368" s="347" t="str">
        <f t="shared" si="279"/>
        <v/>
      </c>
      <c r="K368" s="347" t="s">
        <v>5297</v>
      </c>
      <c r="L368" s="611" t="str">
        <f t="shared" si="280"/>
        <v>V, S, M, a bit of fur wrapped in a cloth</v>
      </c>
      <c r="M368" s="347" t="s">
        <v>2373</v>
      </c>
      <c r="N368" s="347" t="s">
        <v>2387</v>
      </c>
      <c r="O368" s="347" t="s">
        <v>1244</v>
      </c>
      <c r="P368" s="346" t="s">
        <v>5528</v>
      </c>
      <c r="Q368" s="347" t="s">
        <v>2473</v>
      </c>
      <c r="S368" s="346" t="s">
        <v>5871</v>
      </c>
      <c r="T368" s="346" t="str">
        <f t="shared" si="281"/>
        <v xml:space="preserve">Ranger, Druid, </v>
      </c>
      <c r="W368" s="347" t="str">
        <f>$B368</f>
        <v>Beast Bond</v>
      </c>
      <c r="AA368" s="347" t="str">
        <f>$B368</f>
        <v>Beast Bond</v>
      </c>
      <c r="AE368" t="str">
        <f>IF(IFERROR(MATCH($B368,temp!A$4:A$13,0),0)&gt;0,T08_Spells!AE$2,"")</f>
        <v/>
      </c>
      <c r="AF368" t="str">
        <f>IF(IFERROR(MATCH($B368,temp!B$4:B$13,0),0)&gt;0,T08_Spells!AF$2,"")</f>
        <v/>
      </c>
      <c r="AG368" t="str">
        <f>IF(IFERROR(MATCH($B368,temp!C$4:C$13,0),0)&gt;0,T08_Spells!AG$2,"")</f>
        <v/>
      </c>
      <c r="AH368" t="str">
        <f>IF(IFERROR(MATCH($B368,temp!D$4:D$13,0),0)&gt;0,T08_Spells!AH$2,"")</f>
        <v/>
      </c>
      <c r="AI368" t="str">
        <f>IF(IFERROR(MATCH($B368,temp!E$4:E$13,0),0)&gt;0,T08_Spells!AI$2,"")</f>
        <v/>
      </c>
      <c r="AJ368" t="str">
        <f>IF(IFERROR(MATCH($B368,temp!F$4:F$13,0),0)&gt;0,T08_Spells!AJ$2,"")</f>
        <v/>
      </c>
      <c r="AK368" t="str">
        <f>IF(IFERROR(MATCH($B368,temp!G$4:G$13,0),0)&gt;0,T08_Spells!AK$2,"")</f>
        <v/>
      </c>
      <c r="AL368" t="str">
        <f>IF(IFERROR(MATCH($B368,temp!H$4:H$13,0),0)&gt;0,T08_Spells!AL$2,"")</f>
        <v/>
      </c>
      <c r="AM368" t="str">
        <f>IF(IFERROR(MATCH($B368,temp!I$4:I$13,0),0)&gt;0,T08_Spells!AM$2,"")</f>
        <v/>
      </c>
      <c r="AN368" t="str">
        <f>IF(IFERROR(MATCH($B368,temp!J$4:J$13,0),0)&gt;0,T08_Spells!AN$2,"")</f>
        <v/>
      </c>
      <c r="AO368" t="str">
        <f>IF(IFERROR(MATCH($B368,temp!K$4:K$13,0),0)&gt;0,T08_Spells!AO$2,"")</f>
        <v/>
      </c>
      <c r="AP368" t="str">
        <f>IF(IFERROR(MATCH($B368,temp!L$4:L$13,0),0)&gt;0,T08_Spells!AP$2,"")</f>
        <v/>
      </c>
      <c r="AQ368" t="str">
        <f>IF(IFERROR(MATCH($B368,temp!M$4:M$13,0),0)&gt;0,T08_Spells!AQ$2,"")</f>
        <v/>
      </c>
      <c r="AR368" t="str">
        <f>IF(IFERROR(MATCH($B368,temp!N$4:N$13,0),0)&gt;0,T08_Spells!AR$2,"")</f>
        <v/>
      </c>
      <c r="AS368" t="str">
        <f>IF(IFERROR(MATCH($B368,temp!O$4:O$13,0),0)&gt;0,T08_Spells!AS$2,"")</f>
        <v/>
      </c>
      <c r="AT368" t="str">
        <f>IF(IFERROR(MATCH($B368,temp!P$4:P$13,0),0)&gt;0,T08_Spells!AT$2,"")</f>
        <v/>
      </c>
      <c r="AU368" t="str">
        <f>IF(IFERROR(MATCH($B368,temp!Q$4:Q$13,0),0)&gt;0,T08_Spells!AU$2,"")</f>
        <v/>
      </c>
      <c r="AV368" t="str">
        <f>IF(IFERROR(MATCH($B368,temp!R$4:R$13,0),0)&gt;0,T08_Spells!AV$2,"")</f>
        <v/>
      </c>
      <c r="AW368" t="str">
        <f>IF(IFERROR(MATCH($B368,temp!S$4:S$13,0),0)&gt;0,T08_Spells!AW$2,"")</f>
        <v/>
      </c>
      <c r="AX368" t="str">
        <f>IF(IFERROR(MATCH($B368,temp!T$4:T$13,0),0)&gt;0,T08_Spells!AX$2,"")</f>
        <v/>
      </c>
      <c r="AY368" t="str">
        <f>IF(IFERROR(MATCH($B368,temp!U$4:U$13,0),0)&gt;0,T08_Spells!AY$2,"")</f>
        <v/>
      </c>
      <c r="AZ368" t="str">
        <f>IF(IFERROR(MATCH($B368,temp!V$4:V$13,0),0)&gt;0,T08_Spells!AZ$2,"")</f>
        <v/>
      </c>
      <c r="BA368" t="str">
        <f>IF(IFERROR(MATCH($B368,temp!W$4:W$13,0),0)&gt;0,T08_Spells!BA$2,"")</f>
        <v/>
      </c>
      <c r="BC368">
        <f>IF(IFERROR(SEARCH("Ranger",$T368,1),0)&gt;0,1,0)*IF(RangerMaxSpellLevel&gt;=$C368,1,0)*IF(IFERROR(MATCH(B368,Character_Creation!$X$79:$X$382,0),0)&gt;0,0,1)</f>
        <v>0</v>
      </c>
      <c r="BD368">
        <f>IF(BC368=0,0,1+COUNTIF(BD$3:BD367,"&gt;0"))</f>
        <v>0</v>
      </c>
      <c r="BE368" t="str">
        <f t="shared" si="311"/>
        <v/>
      </c>
      <c r="BF368" t="str">
        <f t="shared" si="283"/>
        <v/>
      </c>
      <c r="BH368">
        <f>IF(IFERROR(SEARCH("Sorcerer",$T368,1),0)&gt;0,1,0)*IF(SorcererMaxSpellLevel&gt;=$C368,1,0)*IF(IFERROR(MATCH(B368,Character_Creation!$J$380:$J$394,0),0)&gt;0,0,1)</f>
        <v>0</v>
      </c>
      <c r="BI368">
        <f>IF(BH368=0,0,1+COUNTIF(BI$3:BI367,"&gt;0"))</f>
        <v>0</v>
      </c>
      <c r="BJ368" t="str">
        <f t="shared" si="312"/>
        <v/>
      </c>
      <c r="BK368" t="str">
        <f t="shared" si="284"/>
        <v/>
      </c>
      <c r="BM368">
        <f>IF(OR(IFERROR(SEARCH("Warlock",$T368,1),0)&gt;0,IFERROR(SEARCH(WarlockPatron,$T368,1),0)&gt;0),1,0)*IF(WarlockMaxSpellLevel&gt;=$C368,1,0)*IF(IFERROR(MATCH(B368,Character_Creation!$J$361:$J$375,0),0)&gt;0,0,1)</f>
        <v>0</v>
      </c>
      <c r="BN368">
        <f>IF(BM368=0,0,1+COUNTIF(BN$3:BN367,"&gt;0"))</f>
        <v>0</v>
      </c>
      <c r="BO368" t="str">
        <f t="shared" si="313"/>
        <v/>
      </c>
      <c r="BP368" t="str">
        <f t="shared" si="285"/>
        <v/>
      </c>
      <c r="BR368">
        <f>IF(IFERROR(SEARCH("Eldritch Knight",$T368,1),0)&gt;0,1,0)*IF(EldritchKnightMaxSpellLevel&gt;=$C368,1,0)*IF(IFERROR(MATCH($B368,Character_Creation!$J$350:$J$356,0),0)&gt;0,0,1)*IF(Character_Creation!$M$338&gt;0,1,0)</f>
        <v>0</v>
      </c>
      <c r="BS368">
        <f>IF(BR368=0,0,1+COUNTIF(BS$3:BS367,"&gt;0"))</f>
        <v>0</v>
      </c>
      <c r="BT368" t="str">
        <f t="shared" si="314"/>
        <v/>
      </c>
      <c r="BU368" t="str">
        <f t="shared" si="286"/>
        <v/>
      </c>
      <c r="BW368">
        <f>IF(IFERROR(SEARCH("Arcane Trickster",$T368,1),0)&gt;0,1,0)*IF(ArcaneTricksterMaxSpellLevel&gt;=$C368,1,0)*IF(IFERROR(MATCH($B368,Character_Creation!$J$350:$J$356,0),0)&gt;0,0,1)*IF(Character_Creation!$T$338&gt;0,1,0)</f>
        <v>0</v>
      </c>
      <c r="BX368">
        <f>IF(BW368=0,0,1+COUNTIF(BX$3:BX367,"&gt;0"))</f>
        <v>0</v>
      </c>
      <c r="BY368" t="str">
        <f t="shared" si="315"/>
        <v/>
      </c>
      <c r="BZ368" t="str">
        <f t="shared" si="287"/>
        <v/>
      </c>
      <c r="CB368">
        <f>IF(IFERROR(SEARCH("Wizard",$T368,1),0)&gt;0,1,0)*IF(C368&lt;=ArcaneTricksterMaxSpellLevel,1,0)*IF(IFERROR(MATCH($B368,Character_Creation!$J$350:$J$356,0),0)&gt;0,0,1)*IF(Character_Creation!$T$350&gt;0,1,0)</f>
        <v>0</v>
      </c>
      <c r="CC368">
        <f>IF(CB368=0,0,1+COUNTIF(CC$3:CC367,"&gt;0"))</f>
        <v>0</v>
      </c>
      <c r="CD368" t="str">
        <f t="shared" si="316"/>
        <v/>
      </c>
      <c r="CE368" t="str">
        <f t="shared" si="288"/>
        <v/>
      </c>
      <c r="CG368">
        <f>IF(IFERROR(SEARCH("Wizard",$T368,1),0)&gt;0,1,0)*IF($C368&lt;=EldritchKnightMaxSpellLevel,1,0)*IF(IFERROR(MATCH($B368,Character_Creation!$J$350:$J$356,0),0)&gt;0,0,1)*IF(Character_Creation!$M$350&gt;0,1,0)</f>
        <v>0</v>
      </c>
      <c r="CH368">
        <f>IF(CG368=0,0,1+COUNTIF(CH$3:CH367,"&gt;0"))</f>
        <v>0</v>
      </c>
      <c r="CI368" t="str">
        <f t="shared" si="317"/>
        <v/>
      </c>
      <c r="CJ368" t="str">
        <f t="shared" si="289"/>
        <v/>
      </c>
      <c r="CL368">
        <f>IF(IFERROR(SEARCH("Bard",$T368,1),0)&gt;0,1,0)*IF(BardMaxSpellLevel&gt;=$C368,1,0)*IF(IFERROR(MATCH(B368,Character_Creation!$C$341:$F$362,0),0)&gt;0,0,1)*IF(IFERROR(MATCH($B368,Character_Creation!$C$341:$C$362,0),0)&gt;0,0,1)</f>
        <v>0</v>
      </c>
      <c r="CM368">
        <f>IF(CL368=0,0,1+COUNTIF(CM$3:CM367,"&gt;0"))</f>
        <v>0</v>
      </c>
      <c r="CN368" t="str">
        <f t="shared" si="318"/>
        <v/>
      </c>
      <c r="CO368" t="str">
        <f t="shared" si="290"/>
        <v/>
      </c>
      <c r="CQ368">
        <f>IF(IFERROR(SEARCH("Wizard",$T368,1),0)&gt;0,1,0)*IF(WizardMaxSpellLevel&gt;=$C368,1,0)*IF(IFERROR(MATCH(B368,Character_Creation!$X$341:$X$400,0),0)&gt;0,0,1)*IF(SelectedWizardSpellLevel=$C368,1,0)</f>
        <v>0</v>
      </c>
      <c r="CR368">
        <f>IF(CQ368=0,0,1+COUNTIF(CR$3:CR367,"&gt;0"))</f>
        <v>0</v>
      </c>
      <c r="CS368" t="str">
        <f t="shared" si="319"/>
        <v/>
      </c>
      <c r="CT368" t="str">
        <f t="shared" si="291"/>
        <v/>
      </c>
      <c r="CV368">
        <f>IF(IFERROR(MATCH($B368,Character_Creation!$C$341:$C$362,0),0)&gt;0,0,1)*IF(OR(C368="Cantrip",C368&lt;=BardMaxSpellLevel),1,0)*IF(IFERROR(MATCH($B368,Character_Creation!$C$367:$C$374,0),0)&gt;0,0,1)</f>
        <v>0</v>
      </c>
      <c r="CW368">
        <f>IF(CV368=0,0,1+COUNTIF(CW$3:CW367,"&gt;0"))</f>
        <v>0</v>
      </c>
      <c r="CX368" t="str">
        <f t="shared" si="320"/>
        <v/>
      </c>
      <c r="CY368" t="str">
        <f t="shared" si="292"/>
        <v/>
      </c>
      <c r="DA368">
        <f>IF(IF(OR(IFERROR(SEARCH("Cleric",$T368,1),0)&gt;0,IFERROR(SEARCH(DivineDomain&amp;",",$T368,1),0)&gt;0),1,0)*IF($C368=DA$2,1,0)=1,1+COUNTIF(DA$3:DA367,"&gt;0"),0)</f>
        <v>0</v>
      </c>
      <c r="DB368">
        <f>IF(IF(OR(IFERROR(SEARCH("Cleric",$T368,1),0)&gt;0,IFERROR(SEARCH(DivineDomain&amp;",",$T368,1),0)&gt;0),1,0)*IF($C368=DB$2,1,0)=1,1+COUNTIF(DB$3:DB367,"&gt;0"),0)</f>
        <v>0</v>
      </c>
      <c r="DC368">
        <f>IF(IF(OR(IFERROR(SEARCH("Cleric",$T368,1),0)&gt;0,IFERROR(SEARCH(DivineDomain&amp;",",$T368,1),0)&gt;0),1,0)*IF($C368=DC$2,1,0)=1,1+COUNTIF(DC$3:DC367,"&gt;0"),0)</f>
        <v>0</v>
      </c>
      <c r="DD368">
        <f>IF(IF(OR(IFERROR(SEARCH("Cleric",$T368,1),0)&gt;0,IFERROR(SEARCH(DivineDomain&amp;",",$T368,1),0)&gt;0),1,0)*IF($C368=DD$2,1,0)=1,1+COUNTIF(DD$3:DD367,"&gt;0"),0)</f>
        <v>0</v>
      </c>
      <c r="DE368">
        <f>IF(IF(OR(IFERROR(SEARCH("Cleric",$T368,1),0)&gt;0,IFERROR(SEARCH(DivineDomain&amp;",",$T368,1),0)&gt;0),1,0)*IF($C368=DE$2,1,0)=1,1+COUNTIF(DE$3:DE367,"&gt;0"),0)</f>
        <v>0</v>
      </c>
      <c r="DF368">
        <f>IF(IF(OR(IFERROR(SEARCH("Cleric",$T368,1),0)&gt;0,IFERROR(SEARCH(DivineDomain&amp;",",$T368,1),0)&gt;0),1,0)*IF($C368=DF$2,1,0)=1,1+COUNTIF(DF$3:DF367,"&gt;0"),0)</f>
        <v>0</v>
      </c>
      <c r="DG368">
        <f>IF(IF(OR(IFERROR(SEARCH("Cleric",$T368,1),0)&gt;0,IFERROR(SEARCH(DivineDomain&amp;",",$T368,1),0)&gt;0),1,0)*IF($C368=DG$2,1,0)=1,1+COUNTIF(DG$3:DG367,"&gt;0"),0)</f>
        <v>0</v>
      </c>
      <c r="DH368">
        <f>IF(IF(OR(IFERROR(SEARCH("Cleric",$T368,1),0)&gt;0,IFERROR(SEARCH(DivineDomain&amp;",",$T368,1),0)&gt;0),1,0)*IF($C368=DH$2,1,0)=1,1+COUNTIF(DH$3:DH367,"&gt;0"),0)</f>
        <v>0</v>
      </c>
      <c r="DI368">
        <f>IF(IF(OR(IFERROR(SEARCH("Cleric",$T368,1),0)&gt;0,IFERROR(SEARCH(DivineDomain&amp;",",$T368,1),0)&gt;0),1,0)*IF($C368=DI$2,1,0)=1,1+COUNTIF(DI$3:DI367,"&gt;0"),0)</f>
        <v>0</v>
      </c>
      <c r="DJ368">
        <f>IF(IF(OR(IFERROR(SEARCH("Druid",$T368,1),0)&gt;0,IFERROR(SEARCH(DruidLand1,$T368,1),0)&gt;0,IFERROR(SEARCH(DruidLand2,$T368,1),0)&gt;0,IFERROR(SEARCH(DruidLand3,$T368,1),0)&gt;0,IFERROR(SEARCH(DruidLand4,$T368,1),0)&gt;0),1,0)*IF($C368=1,1,0)*IF($C368=DJ$2,1,0)=0,0,1+COUNTIF(DJ$3:DJ367,"&gt;0"))</f>
        <v>18</v>
      </c>
      <c r="DK368">
        <f>IF(IF(OR(IFERROR(SEARCH("Druid",$T368,1),0)&gt;0,IFERROR(SEARCH(DruidLand1,$T368,1),0)&gt;0,IFERROR(SEARCH(DruidLand2,$T368,1),0)&gt;0,IFERROR(SEARCH(DruidLand3,$T368,1),0)&gt;0,IFERROR(SEARCH(DruidLand4,$T368,1),0)&gt;0),1,0)*IF($C368=DK$2,1,0)=0,0,1+COUNTIF(DK$3:DK367,"&gt;0"))</f>
        <v>0</v>
      </c>
      <c r="DL368">
        <f>IF(IF(OR(IFERROR(SEARCH("Druid",$T368,1),0)&gt;0,IFERROR(SEARCH(DruidLand1,$T368,1),0)&gt;0,IFERROR(SEARCH(DruidLand2,$T368,1),0)&gt;0,IFERROR(SEARCH(DruidLand3,$T368,1),0)&gt;0,IFERROR(SEARCH(DruidLand4,$T368,1),0)&gt;0),1,0)*IF($C368=DL$2,1,0)=0,0,1+COUNTIF(DL$3:DL367,"&gt;0"))</f>
        <v>0</v>
      </c>
      <c r="DM368">
        <f>IF(IF(OR(IFERROR(SEARCH("Druid",$T368,1),0)&gt;0,IFERROR(SEARCH(DruidLand1,$T368,1),0)&gt;0,IFERROR(SEARCH(DruidLand2,$T368,1),0)&gt;0,IFERROR(SEARCH(DruidLand3,$T368,1),0)&gt;0,IFERROR(SEARCH(DruidLand4,$T368,1),0)&gt;0),1,0)*IF($C368=DM$2,1,0)=0,0,1+COUNTIF(DM$3:DM367,"&gt;0"))</f>
        <v>0</v>
      </c>
      <c r="DN368">
        <f>IF(IF(OR(IFERROR(SEARCH("Druid",$T368,1),0)&gt;0,IFERROR(SEARCH(DruidLand1,$T368,1),0)&gt;0,IFERROR(SEARCH(DruidLand2,$T368,1),0)&gt;0,IFERROR(SEARCH(DruidLand3,$T368,1),0)&gt;0,IFERROR(SEARCH(DruidLand4,$T368,1),0)&gt;0),1,0)*IF($C368=DN$2,1,0)=0,0,1+COUNTIF(DN$3:DN367,"&gt;0"))</f>
        <v>0</v>
      </c>
      <c r="DO368">
        <f>IF(IF(OR(IFERROR(SEARCH("Druid",$T368,1),0)&gt;0,IFERROR(SEARCH(DruidLand1,$T368,1),0)&gt;0,IFERROR(SEARCH(DruidLand2,$T368,1),0)&gt;0,IFERROR(SEARCH(DruidLand3,$T368,1),0)&gt;0,IFERROR(SEARCH(DruidLand4,$T368,1),0)&gt;0),1,0)*IF($C368=DO$2,1,0)=0,0,1+COUNTIF(DO$3:DO367,"&gt;0"))</f>
        <v>0</v>
      </c>
      <c r="DP368">
        <f>IF(IF(OR(IFERROR(SEARCH("Druid",$T368,1),0)&gt;0,IFERROR(SEARCH(DruidLand1,$T368,1),0)&gt;0,IFERROR(SEARCH(DruidLand2,$T368,1),0)&gt;0,IFERROR(SEARCH(DruidLand3,$T368,1),0)&gt;0,IFERROR(SEARCH(DruidLand4,$T368,1),0)&gt;0),1,0)*IF($C368=DP$2,1,0)=0,0,1+COUNTIF(DP$3:DP367,"&gt;0"))</f>
        <v>0</v>
      </c>
      <c r="DQ368">
        <f>IF(IF(OR(IFERROR(SEARCH("Druid",$T368,1),0)&gt;0,IFERROR(SEARCH(DruidLand1,$T368,1),0)&gt;0,IFERROR(SEARCH(DruidLand2,$T368,1),0)&gt;0,IFERROR(SEARCH(DruidLand3,$T368,1),0)&gt;0,IFERROR(SEARCH(DruidLand4,$T368,1),0)&gt;0),1,0)*IF($C368=DQ$2,1,0)=0,0,1+COUNTIF(DQ$3:DQ367,"&gt;0"))</f>
        <v>0</v>
      </c>
      <c r="DR368">
        <f>IF(IF(OR(IFERROR(SEARCH("Druid",$T368,1),0)&gt;0,IFERROR(SEARCH(DruidLand1,$T368,1),0)&gt;0,IFERROR(SEARCH(DruidLand2,$T368,1),0)&gt;0,IFERROR(SEARCH(DruidLand3,$T368,1),0)&gt;0,IFERROR(SEARCH(DruidLand4,$T368,1),0)&gt;0),1,0)*IF($C368=DR$2,1,0)=0,0,1+COUNTIF(DR$3:DR367,"&gt;0"))</f>
        <v>0</v>
      </c>
      <c r="DS368">
        <f>IF(IF(OR(IFERROR(SEARCH("Paladin",$T368,1),0)&gt;0,IFERROR(SEARCH(PaladinOath,$T368,1),0)&gt;0),1,0)*IF($C368=DS$2,1,0)=1,1+COUNTIF(DS$3:DS367,"&gt;0"),0)</f>
        <v>0</v>
      </c>
      <c r="DT368">
        <f>IF(IF(OR(IFERROR(SEARCH("Paladin",$T368,1),0)&gt;0,IFERROR(SEARCH(PaladinOath,$T368,1),0)&gt;0),1,0)*IF($C368=DT$2,1,0)=1,1+COUNTIF(DT$3:DT367,"&gt;0"),0)</f>
        <v>0</v>
      </c>
      <c r="DU368">
        <f>IF(IF(OR(IFERROR(SEARCH("Paladin",$T368,1),0)&gt;0,IFERROR(SEARCH(PaladinOath,$T368,1),0)&gt;0),1,0)*IF($C368=DU$2,1,0)=1,1+COUNTIF(DU$3:DU367,"&gt;0"),0)</f>
        <v>0</v>
      </c>
      <c r="DV368">
        <f>IF(IF(OR(IFERROR(SEARCH("Paladin",$T368,1),0)&gt;0,IFERROR(SEARCH(PaladinOath,$T368,1),0)&gt;0),1,0)*IF($C368=DV$2,1,0)=1,1+COUNTIF(DV$3:DV367,"&gt;0"),0)</f>
        <v>0</v>
      </c>
      <c r="DW368">
        <f>IF(IF(OR(IFERROR(SEARCH("Paladin",$T368,1),0)&gt;0,IFERROR(SEARCH(PaladinOath,$T368,1),0)&gt;0),1,0)*IF($C368=DW$2,1,0)=1,1+COUNTIF(DW$3:DW367,"&gt;0"),0)</f>
        <v>0</v>
      </c>
      <c r="DY368">
        <f t="shared" si="278"/>
        <v>1</v>
      </c>
      <c r="DZ368">
        <f>IF(DY368=0,0,1+MAX(DZ$3:$DZ367))</f>
        <v>366</v>
      </c>
      <c r="EB368">
        <f t="shared" si="293"/>
        <v>0</v>
      </c>
      <c r="EC368">
        <f>IF(EB368=0,0,1+COUNTIF(EC$3:EC367,"&gt;0"))</f>
        <v>0</v>
      </c>
      <c r="ED368" t="str">
        <f t="shared" si="321"/>
        <v/>
      </c>
      <c r="EE368" t="str">
        <f t="shared" si="294"/>
        <v/>
      </c>
      <c r="EG368">
        <f t="shared" si="295"/>
        <v>0</v>
      </c>
      <c r="EH368">
        <f>IF(EG368=0,0,1+COUNTIF(EH$3:EH367,"&gt;0"))</f>
        <v>0</v>
      </c>
      <c r="EI368" t="str">
        <f t="shared" si="322"/>
        <v/>
      </c>
      <c r="EJ368" t="str">
        <f t="shared" si="296"/>
        <v/>
      </c>
      <c r="EL368">
        <f t="shared" si="297"/>
        <v>0</v>
      </c>
      <c r="EM368">
        <f>IF(EL368=0,0,1+COUNTIF(EM$3:EM367,"&gt;0"))</f>
        <v>0</v>
      </c>
      <c r="EN368" t="str">
        <f t="shared" si="323"/>
        <v/>
      </c>
      <c r="EO368" t="str">
        <f t="shared" si="298"/>
        <v/>
      </c>
      <c r="EQ368">
        <f t="shared" si="299"/>
        <v>0</v>
      </c>
      <c r="ER368">
        <f>IF(EQ368=0,0,1+COUNTIF(ER$3:ER367,"&gt;0"))</f>
        <v>0</v>
      </c>
      <c r="ES368" t="str">
        <f t="shared" si="324"/>
        <v/>
      </c>
      <c r="ET368" t="str">
        <f t="shared" si="300"/>
        <v/>
      </c>
      <c r="EV368">
        <f t="shared" si="301"/>
        <v>0</v>
      </c>
      <c r="EW368">
        <f>IF(EV368=0,0,1+COUNTIF(EW$3:EW367,"&gt;0"))</f>
        <v>0</v>
      </c>
      <c r="EX368" t="str">
        <f t="shared" si="325"/>
        <v/>
      </c>
      <c r="EY368" t="str">
        <f t="shared" si="302"/>
        <v/>
      </c>
      <c r="FA368">
        <f t="shared" si="303"/>
        <v>0</v>
      </c>
      <c r="FB368">
        <f>IF(FA368=0,0,1+COUNTIF(FB$3:FB367,"&gt;0"))</f>
        <v>0</v>
      </c>
      <c r="FC368" t="str">
        <f t="shared" si="326"/>
        <v/>
      </c>
      <c r="FD368" t="str">
        <f t="shared" si="304"/>
        <v/>
      </c>
      <c r="FF368">
        <f t="shared" si="305"/>
        <v>0</v>
      </c>
      <c r="FG368">
        <f>IF(FF368=0,0,1+COUNTIF(FG$3:FG367,"&gt;0"))</f>
        <v>0</v>
      </c>
      <c r="FH368" t="str">
        <f t="shared" si="327"/>
        <v/>
      </c>
      <c r="FI368" t="str">
        <f t="shared" si="306"/>
        <v/>
      </c>
      <c r="FK368">
        <f t="shared" si="307"/>
        <v>0</v>
      </c>
      <c r="FL368">
        <f>IF(FK368=0,0,1+COUNTIF(FL$3:FL367,"&gt;0"))</f>
        <v>0</v>
      </c>
      <c r="FM368" t="str">
        <f t="shared" si="328"/>
        <v/>
      </c>
      <c r="FN368" t="str">
        <f t="shared" si="308"/>
        <v/>
      </c>
      <c r="FP368">
        <f t="shared" si="309"/>
        <v>0</v>
      </c>
      <c r="FQ368">
        <f>IF(FP368=0,0,1+COUNTIF(FQ$3:FQ367,"&gt;0"))</f>
        <v>0</v>
      </c>
      <c r="FR368" t="str">
        <f t="shared" si="329"/>
        <v/>
      </c>
      <c r="FS368" t="str">
        <f t="shared" si="310"/>
        <v/>
      </c>
    </row>
    <row r="369" spans="1:175" x14ac:dyDescent="0.25">
      <c r="A369" s="347">
        <f t="shared" si="331"/>
        <v>367</v>
      </c>
      <c r="B369" s="398" t="s">
        <v>5529</v>
      </c>
      <c r="C369" s="348">
        <v>6</v>
      </c>
      <c r="D369" s="347">
        <v>6</v>
      </c>
      <c r="E369" s="627" t="s">
        <v>6957</v>
      </c>
      <c r="F369" s="346"/>
      <c r="G369" s="347" t="str">
        <f>""</f>
        <v/>
      </c>
      <c r="H369" s="347" t="s">
        <v>5912</v>
      </c>
      <c r="I369" s="347" t="s">
        <v>5290</v>
      </c>
      <c r="J369" s="347" t="str">
        <f t="shared" si="279"/>
        <v/>
      </c>
      <c r="K369" s="347" t="s">
        <v>5278</v>
      </c>
      <c r="L369" s="611" t="str">
        <f t="shared" si="280"/>
        <v>V, S</v>
      </c>
      <c r="M369" s="347" t="s">
        <v>2373</v>
      </c>
      <c r="N369" s="347" t="s">
        <v>2387</v>
      </c>
      <c r="O369" s="347" t="s">
        <v>3034</v>
      </c>
      <c r="P369" s="346" t="str">
        <f>""</f>
        <v/>
      </c>
      <c r="Q369" s="347" t="s">
        <v>5276</v>
      </c>
      <c r="S369" s="346" t="s">
        <v>5872</v>
      </c>
      <c r="T369" s="346" t="str">
        <f t="shared" si="281"/>
        <v xml:space="preserve">Druid, </v>
      </c>
      <c r="AA369" s="347" t="str">
        <f>$B369</f>
        <v>Bones of the Earth</v>
      </c>
      <c r="AE369" t="str">
        <f>IF(IFERROR(MATCH($B369,temp!A$4:A$13,0),0)&gt;0,T08_Spells!AE$2,"")</f>
        <v/>
      </c>
      <c r="AF369" t="str">
        <f>IF(IFERROR(MATCH($B369,temp!B$4:B$13,0),0)&gt;0,T08_Spells!AF$2,"")</f>
        <v/>
      </c>
      <c r="AG369" t="str">
        <f>IF(IFERROR(MATCH($B369,temp!C$4:C$13,0),0)&gt;0,T08_Spells!AG$2,"")</f>
        <v/>
      </c>
      <c r="AH369" t="str">
        <f>IF(IFERROR(MATCH($B369,temp!D$4:D$13,0),0)&gt;0,T08_Spells!AH$2,"")</f>
        <v/>
      </c>
      <c r="AI369" t="str">
        <f>IF(IFERROR(MATCH($B369,temp!E$4:E$13,0),0)&gt;0,T08_Spells!AI$2,"")</f>
        <v/>
      </c>
      <c r="AJ369" t="str">
        <f>IF(IFERROR(MATCH($B369,temp!F$4:F$13,0),0)&gt;0,T08_Spells!AJ$2,"")</f>
        <v/>
      </c>
      <c r="AK369" t="str">
        <f>IF(IFERROR(MATCH($B369,temp!G$4:G$13,0),0)&gt;0,T08_Spells!AK$2,"")</f>
        <v/>
      </c>
      <c r="AL369" t="str">
        <f>IF(IFERROR(MATCH($B369,temp!H$4:H$13,0),0)&gt;0,T08_Spells!AL$2,"")</f>
        <v/>
      </c>
      <c r="AM369" t="str">
        <f>IF(IFERROR(MATCH($B369,temp!I$4:I$13,0),0)&gt;0,T08_Spells!AM$2,"")</f>
        <v/>
      </c>
      <c r="AN369" t="str">
        <f>IF(IFERROR(MATCH($B369,temp!J$4:J$13,0),0)&gt;0,T08_Spells!AN$2,"")</f>
        <v/>
      </c>
      <c r="AO369" t="str">
        <f>IF(IFERROR(MATCH($B369,temp!K$4:K$13,0),0)&gt;0,T08_Spells!AO$2,"")</f>
        <v/>
      </c>
      <c r="AP369" t="str">
        <f>IF(IFERROR(MATCH($B369,temp!L$4:L$13,0),0)&gt;0,T08_Spells!AP$2,"")</f>
        <v/>
      </c>
      <c r="AQ369" t="str">
        <f>IF(IFERROR(MATCH($B369,temp!M$4:M$13,0),0)&gt;0,T08_Spells!AQ$2,"")</f>
        <v/>
      </c>
      <c r="AR369" t="str">
        <f>IF(IFERROR(MATCH($B369,temp!N$4:N$13,0),0)&gt;0,T08_Spells!AR$2,"")</f>
        <v/>
      </c>
      <c r="AS369" t="str">
        <f>IF(IFERROR(MATCH($B369,temp!O$4:O$13,0),0)&gt;0,T08_Spells!AS$2,"")</f>
        <v/>
      </c>
      <c r="AT369" t="str">
        <f>IF(IFERROR(MATCH($B369,temp!P$4:P$13,0),0)&gt;0,T08_Spells!AT$2,"")</f>
        <v/>
      </c>
      <c r="AU369" t="str">
        <f>IF(IFERROR(MATCH($B369,temp!Q$4:Q$13,0),0)&gt;0,T08_Spells!AU$2,"")</f>
        <v/>
      </c>
      <c r="AV369" t="str">
        <f>IF(IFERROR(MATCH($B369,temp!R$4:R$13,0),0)&gt;0,T08_Spells!AV$2,"")</f>
        <v/>
      </c>
      <c r="AW369" t="str">
        <f>IF(IFERROR(MATCH($B369,temp!S$4:S$13,0),0)&gt;0,T08_Spells!AW$2,"")</f>
        <v/>
      </c>
      <c r="AX369" t="str">
        <f>IF(IFERROR(MATCH($B369,temp!T$4:T$13,0),0)&gt;0,T08_Spells!AX$2,"")</f>
        <v/>
      </c>
      <c r="AY369" t="str">
        <f>IF(IFERROR(MATCH($B369,temp!U$4:U$13,0),0)&gt;0,T08_Spells!AY$2,"")</f>
        <v/>
      </c>
      <c r="AZ369" t="str">
        <f>IF(IFERROR(MATCH($B369,temp!V$4:V$13,0),0)&gt;0,T08_Spells!AZ$2,"")</f>
        <v/>
      </c>
      <c r="BA369" t="str">
        <f>IF(IFERROR(MATCH($B369,temp!W$4:W$13,0),0)&gt;0,T08_Spells!BA$2,"")</f>
        <v/>
      </c>
      <c r="BC369">
        <f>IF(IFERROR(SEARCH("Ranger",$T369,1),0)&gt;0,1,0)*IF(RangerMaxSpellLevel&gt;=$C369,1,0)*IF(IFERROR(MATCH(B369,Character_Creation!$X$79:$X$382,0),0)&gt;0,0,1)</f>
        <v>0</v>
      </c>
      <c r="BD369">
        <f>IF(BC369=0,0,1+COUNTIF(BD$3:BD368,"&gt;0"))</f>
        <v>0</v>
      </c>
      <c r="BE369" t="str">
        <f t="shared" si="311"/>
        <v/>
      </c>
      <c r="BF369" t="str">
        <f t="shared" si="283"/>
        <v/>
      </c>
      <c r="BH369">
        <f>IF(IFERROR(SEARCH("Sorcerer",$T369,1),0)&gt;0,1,0)*IF(SorcererMaxSpellLevel&gt;=$C369,1,0)*IF(IFERROR(MATCH(B369,Character_Creation!$J$380:$J$394,0),0)&gt;0,0,1)</f>
        <v>0</v>
      </c>
      <c r="BI369">
        <f>IF(BH369=0,0,1+COUNTIF(BI$3:BI368,"&gt;0"))</f>
        <v>0</v>
      </c>
      <c r="BJ369" t="str">
        <f t="shared" si="312"/>
        <v/>
      </c>
      <c r="BK369" t="str">
        <f t="shared" si="284"/>
        <v/>
      </c>
      <c r="BM369">
        <f>IF(OR(IFERROR(SEARCH("Warlock",$T369,1),0)&gt;0,IFERROR(SEARCH(WarlockPatron,$T369,1),0)&gt;0),1,0)*IF(WarlockMaxSpellLevel&gt;=$C369,1,0)*IF(IFERROR(MATCH(B369,Character_Creation!$J$361:$J$375,0),0)&gt;0,0,1)</f>
        <v>0</v>
      </c>
      <c r="BN369">
        <f>IF(BM369=0,0,1+COUNTIF(BN$3:BN368,"&gt;0"))</f>
        <v>0</v>
      </c>
      <c r="BO369" t="str">
        <f t="shared" si="313"/>
        <v/>
      </c>
      <c r="BP369" t="str">
        <f t="shared" si="285"/>
        <v/>
      </c>
      <c r="BR369">
        <f>IF(IFERROR(SEARCH("Eldritch Knight",$T369,1),0)&gt;0,1,0)*IF(EldritchKnightMaxSpellLevel&gt;=$C369,1,0)*IF(IFERROR(MATCH($B369,Character_Creation!$J$350:$J$356,0),0)&gt;0,0,1)*IF(Character_Creation!$M$338&gt;0,1,0)</f>
        <v>0</v>
      </c>
      <c r="BS369">
        <f>IF(BR369=0,0,1+COUNTIF(BS$3:BS368,"&gt;0"))</f>
        <v>0</v>
      </c>
      <c r="BT369" t="str">
        <f t="shared" si="314"/>
        <v/>
      </c>
      <c r="BU369" t="str">
        <f t="shared" si="286"/>
        <v/>
      </c>
      <c r="BW369">
        <f>IF(IFERROR(SEARCH("Arcane Trickster",$T369,1),0)&gt;0,1,0)*IF(ArcaneTricksterMaxSpellLevel&gt;=$C369,1,0)*IF(IFERROR(MATCH($B369,Character_Creation!$J$350:$J$356,0),0)&gt;0,0,1)*IF(Character_Creation!$T$338&gt;0,1,0)</f>
        <v>0</v>
      </c>
      <c r="BX369">
        <f>IF(BW369=0,0,1+COUNTIF(BX$3:BX368,"&gt;0"))</f>
        <v>0</v>
      </c>
      <c r="BY369" t="str">
        <f t="shared" si="315"/>
        <v/>
      </c>
      <c r="BZ369" t="str">
        <f t="shared" si="287"/>
        <v/>
      </c>
      <c r="CB369">
        <f>IF(IFERROR(SEARCH("Wizard",$T369,1),0)&gt;0,1,0)*IF(C369&lt;=ArcaneTricksterMaxSpellLevel,1,0)*IF(IFERROR(MATCH($B369,Character_Creation!$J$350:$J$356,0),0)&gt;0,0,1)*IF(Character_Creation!$T$350&gt;0,1,0)</f>
        <v>0</v>
      </c>
      <c r="CC369">
        <f>IF(CB369=0,0,1+COUNTIF(CC$3:CC368,"&gt;0"))</f>
        <v>0</v>
      </c>
      <c r="CD369" t="str">
        <f t="shared" si="316"/>
        <v/>
      </c>
      <c r="CE369" t="str">
        <f t="shared" si="288"/>
        <v/>
      </c>
      <c r="CG369">
        <f>IF(IFERROR(SEARCH("Wizard",$T369,1),0)&gt;0,1,0)*IF($C369&lt;=EldritchKnightMaxSpellLevel,1,0)*IF(IFERROR(MATCH($B369,Character_Creation!$J$350:$J$356,0),0)&gt;0,0,1)*IF(Character_Creation!$M$350&gt;0,1,0)</f>
        <v>0</v>
      </c>
      <c r="CH369">
        <f>IF(CG369=0,0,1+COUNTIF(CH$3:CH368,"&gt;0"))</f>
        <v>0</v>
      </c>
      <c r="CI369" t="str">
        <f t="shared" si="317"/>
        <v/>
      </c>
      <c r="CJ369" t="str">
        <f t="shared" si="289"/>
        <v/>
      </c>
      <c r="CL369">
        <f>IF(IFERROR(SEARCH("Bard",$T369,1),0)&gt;0,1,0)*IF(BardMaxSpellLevel&gt;=$C369,1,0)*IF(IFERROR(MATCH(B369,Character_Creation!$C$341:$F$362,0),0)&gt;0,0,1)*IF(IFERROR(MATCH($B369,Character_Creation!$C$341:$C$362,0),0)&gt;0,0,1)</f>
        <v>0</v>
      </c>
      <c r="CM369">
        <f>IF(CL369=0,0,1+COUNTIF(CM$3:CM368,"&gt;0"))</f>
        <v>0</v>
      </c>
      <c r="CN369" t="str">
        <f t="shared" si="318"/>
        <v/>
      </c>
      <c r="CO369" t="str">
        <f t="shared" si="290"/>
        <v/>
      </c>
      <c r="CQ369">
        <f>IF(IFERROR(SEARCH("Wizard",$T369,1),0)&gt;0,1,0)*IF(WizardMaxSpellLevel&gt;=$C369,1,0)*IF(IFERROR(MATCH(B369,Character_Creation!$X$341:$X$400,0),0)&gt;0,0,1)*IF(SelectedWizardSpellLevel=$C369,1,0)</f>
        <v>0</v>
      </c>
      <c r="CR369">
        <f>IF(CQ369=0,0,1+COUNTIF(CR$3:CR368,"&gt;0"))</f>
        <v>0</v>
      </c>
      <c r="CS369" t="str">
        <f t="shared" si="319"/>
        <v/>
      </c>
      <c r="CT369" t="str">
        <f t="shared" si="291"/>
        <v/>
      </c>
      <c r="CV369">
        <f>IF(IFERROR(MATCH($B369,Character_Creation!$C$341:$C$362,0),0)&gt;0,0,1)*IF(OR(C369="Cantrip",C369&lt;=BardMaxSpellLevel),1,0)*IF(IFERROR(MATCH($B369,Character_Creation!$C$367:$C$374,0),0)&gt;0,0,1)</f>
        <v>0</v>
      </c>
      <c r="CW369">
        <f>IF(CV369=0,0,1+COUNTIF(CW$3:CW368,"&gt;0"))</f>
        <v>0</v>
      </c>
      <c r="CX369" t="str">
        <f t="shared" si="320"/>
        <v/>
      </c>
      <c r="CY369" t="str">
        <f t="shared" si="292"/>
        <v/>
      </c>
      <c r="DA369">
        <f>IF(IF(OR(IFERROR(SEARCH("Cleric",$T369,1),0)&gt;0,IFERROR(SEARCH(DivineDomain&amp;",",$T369,1),0)&gt;0),1,0)*IF($C369=DA$2,1,0)=1,1+COUNTIF(DA$3:DA368,"&gt;0"),0)</f>
        <v>0</v>
      </c>
      <c r="DB369">
        <f>IF(IF(OR(IFERROR(SEARCH("Cleric",$T369,1),0)&gt;0,IFERROR(SEARCH(DivineDomain&amp;",",$T369,1),0)&gt;0),1,0)*IF($C369=DB$2,1,0)=1,1+COUNTIF(DB$3:DB368,"&gt;0"),0)</f>
        <v>0</v>
      </c>
      <c r="DC369">
        <f>IF(IF(OR(IFERROR(SEARCH("Cleric",$T369,1),0)&gt;0,IFERROR(SEARCH(DivineDomain&amp;",",$T369,1),0)&gt;0),1,0)*IF($C369=DC$2,1,0)=1,1+COUNTIF(DC$3:DC368,"&gt;0"),0)</f>
        <v>0</v>
      </c>
      <c r="DD369">
        <f>IF(IF(OR(IFERROR(SEARCH("Cleric",$T369,1),0)&gt;0,IFERROR(SEARCH(DivineDomain&amp;",",$T369,1),0)&gt;0),1,0)*IF($C369=DD$2,1,0)=1,1+COUNTIF(DD$3:DD368,"&gt;0"),0)</f>
        <v>0</v>
      </c>
      <c r="DE369">
        <f>IF(IF(OR(IFERROR(SEARCH("Cleric",$T369,1),0)&gt;0,IFERROR(SEARCH(DivineDomain&amp;",",$T369,1),0)&gt;0),1,0)*IF($C369=DE$2,1,0)=1,1+COUNTIF(DE$3:DE368,"&gt;0"),0)</f>
        <v>0</v>
      </c>
      <c r="DF369">
        <f>IF(IF(OR(IFERROR(SEARCH("Cleric",$T369,1),0)&gt;0,IFERROR(SEARCH(DivineDomain&amp;",",$T369,1),0)&gt;0),1,0)*IF($C369=DF$2,1,0)=1,1+COUNTIF(DF$3:DF368,"&gt;0"),0)</f>
        <v>0</v>
      </c>
      <c r="DG369">
        <f>IF(IF(OR(IFERROR(SEARCH("Cleric",$T369,1),0)&gt;0,IFERROR(SEARCH(DivineDomain&amp;",",$T369,1),0)&gt;0),1,0)*IF($C369=DG$2,1,0)=1,1+COUNTIF(DG$3:DG368,"&gt;0"),0)</f>
        <v>0</v>
      </c>
      <c r="DH369">
        <f>IF(IF(OR(IFERROR(SEARCH("Cleric",$T369,1),0)&gt;0,IFERROR(SEARCH(DivineDomain&amp;",",$T369,1),0)&gt;0),1,0)*IF($C369=DH$2,1,0)=1,1+COUNTIF(DH$3:DH368,"&gt;0"),0)</f>
        <v>0</v>
      </c>
      <c r="DI369">
        <f>IF(IF(OR(IFERROR(SEARCH("Cleric",$T369,1),0)&gt;0,IFERROR(SEARCH(DivineDomain&amp;",",$T369,1),0)&gt;0),1,0)*IF($C369=DI$2,1,0)=1,1+COUNTIF(DI$3:DI368,"&gt;0"),0)</f>
        <v>0</v>
      </c>
      <c r="DJ369">
        <f>IF(IF(OR(IFERROR(SEARCH("Druid",$T369,1),0)&gt;0,IFERROR(SEARCH(DruidLand1,$T369,1),0)&gt;0,IFERROR(SEARCH(DruidLand2,$T369,1),0)&gt;0,IFERROR(SEARCH(DruidLand3,$T369,1),0)&gt;0,IFERROR(SEARCH(DruidLand4,$T369,1),0)&gt;0),1,0)*IF($C369=1,1,0)*IF($C369=DJ$2,1,0)=0,0,1+COUNTIF(DJ$3:DJ368,"&gt;0"))</f>
        <v>0</v>
      </c>
      <c r="DK369">
        <f>IF(IF(OR(IFERROR(SEARCH("Druid",$T369,1),0)&gt;0,IFERROR(SEARCH(DruidLand1,$T369,1),0)&gt;0,IFERROR(SEARCH(DruidLand2,$T369,1),0)&gt;0,IFERROR(SEARCH(DruidLand3,$T369,1),0)&gt;0,IFERROR(SEARCH(DruidLand4,$T369,1),0)&gt;0),1,0)*IF($C369=DK$2,1,0)=0,0,1+COUNTIF(DK$3:DK368,"&gt;0"))</f>
        <v>0</v>
      </c>
      <c r="DL369">
        <f>IF(IF(OR(IFERROR(SEARCH("Druid",$T369,1),0)&gt;0,IFERROR(SEARCH(DruidLand1,$T369,1),0)&gt;0,IFERROR(SEARCH(DruidLand2,$T369,1),0)&gt;0,IFERROR(SEARCH(DruidLand3,$T369,1),0)&gt;0,IFERROR(SEARCH(DruidLand4,$T369,1),0)&gt;0),1,0)*IF($C369=DL$2,1,0)=0,0,1+COUNTIF(DL$3:DL368,"&gt;0"))</f>
        <v>0</v>
      </c>
      <c r="DM369">
        <f>IF(IF(OR(IFERROR(SEARCH("Druid",$T369,1),0)&gt;0,IFERROR(SEARCH(DruidLand1,$T369,1),0)&gt;0,IFERROR(SEARCH(DruidLand2,$T369,1),0)&gt;0,IFERROR(SEARCH(DruidLand3,$T369,1),0)&gt;0,IFERROR(SEARCH(DruidLand4,$T369,1),0)&gt;0),1,0)*IF($C369=DM$2,1,0)=0,0,1+COUNTIF(DM$3:DM368,"&gt;0"))</f>
        <v>0</v>
      </c>
      <c r="DN369">
        <f>IF(IF(OR(IFERROR(SEARCH("Druid",$T369,1),0)&gt;0,IFERROR(SEARCH(DruidLand1,$T369,1),0)&gt;0,IFERROR(SEARCH(DruidLand2,$T369,1),0)&gt;0,IFERROR(SEARCH(DruidLand3,$T369,1),0)&gt;0,IFERROR(SEARCH(DruidLand4,$T369,1),0)&gt;0),1,0)*IF($C369=DN$2,1,0)=0,0,1+COUNTIF(DN$3:DN368,"&gt;0"))</f>
        <v>0</v>
      </c>
      <c r="DO369">
        <f>IF(IF(OR(IFERROR(SEARCH("Druid",$T369,1),0)&gt;0,IFERROR(SEARCH(DruidLand1,$T369,1),0)&gt;0,IFERROR(SEARCH(DruidLand2,$T369,1),0)&gt;0,IFERROR(SEARCH(DruidLand3,$T369,1),0)&gt;0,IFERROR(SEARCH(DruidLand4,$T369,1),0)&gt;0),1,0)*IF($C369=DO$2,1,0)=0,0,1+COUNTIF(DO$3:DO368,"&gt;0"))</f>
        <v>10</v>
      </c>
      <c r="DP369">
        <f>IF(IF(OR(IFERROR(SEARCH("Druid",$T369,1),0)&gt;0,IFERROR(SEARCH(DruidLand1,$T369,1),0)&gt;0,IFERROR(SEARCH(DruidLand2,$T369,1),0)&gt;0,IFERROR(SEARCH(DruidLand3,$T369,1),0)&gt;0,IFERROR(SEARCH(DruidLand4,$T369,1),0)&gt;0),1,0)*IF($C369=DP$2,1,0)=0,0,1+COUNTIF(DP$3:DP368,"&gt;0"))</f>
        <v>0</v>
      </c>
      <c r="DQ369">
        <f>IF(IF(OR(IFERROR(SEARCH("Druid",$T369,1),0)&gt;0,IFERROR(SEARCH(DruidLand1,$T369,1),0)&gt;0,IFERROR(SEARCH(DruidLand2,$T369,1),0)&gt;0,IFERROR(SEARCH(DruidLand3,$T369,1),0)&gt;0,IFERROR(SEARCH(DruidLand4,$T369,1),0)&gt;0),1,0)*IF($C369=DQ$2,1,0)=0,0,1+COUNTIF(DQ$3:DQ368,"&gt;0"))</f>
        <v>0</v>
      </c>
      <c r="DR369">
        <f>IF(IF(OR(IFERROR(SEARCH("Druid",$T369,1),0)&gt;0,IFERROR(SEARCH(DruidLand1,$T369,1),0)&gt;0,IFERROR(SEARCH(DruidLand2,$T369,1),0)&gt;0,IFERROR(SEARCH(DruidLand3,$T369,1),0)&gt;0,IFERROR(SEARCH(DruidLand4,$T369,1),0)&gt;0),1,0)*IF($C369=DR$2,1,0)=0,0,1+COUNTIF(DR$3:DR368,"&gt;0"))</f>
        <v>0</v>
      </c>
      <c r="DS369">
        <f>IF(IF(OR(IFERROR(SEARCH("Paladin",$T369,1),0)&gt;0,IFERROR(SEARCH(PaladinOath,$T369,1),0)&gt;0),1,0)*IF($C369=DS$2,1,0)=1,1+COUNTIF(DS$3:DS368,"&gt;0"),0)</f>
        <v>0</v>
      </c>
      <c r="DT369">
        <f>IF(IF(OR(IFERROR(SEARCH("Paladin",$T369,1),0)&gt;0,IFERROR(SEARCH(PaladinOath,$T369,1),0)&gt;0),1,0)*IF($C369=DT$2,1,0)=1,1+COUNTIF(DT$3:DT368,"&gt;0"),0)</f>
        <v>0</v>
      </c>
      <c r="DU369">
        <f>IF(IF(OR(IFERROR(SEARCH("Paladin",$T369,1),0)&gt;0,IFERROR(SEARCH(PaladinOath,$T369,1),0)&gt;0),1,0)*IF($C369=DU$2,1,0)=1,1+COUNTIF(DU$3:DU368,"&gt;0"),0)</f>
        <v>0</v>
      </c>
      <c r="DV369">
        <f>IF(IF(OR(IFERROR(SEARCH("Paladin",$T369,1),0)&gt;0,IFERROR(SEARCH(PaladinOath,$T369,1),0)&gt;0),1,0)*IF($C369=DV$2,1,0)=1,1+COUNTIF(DV$3:DV368,"&gt;0"),0)</f>
        <v>0</v>
      </c>
      <c r="DW369">
        <f>IF(IF(OR(IFERROR(SEARCH("Paladin",$T369,1),0)&gt;0,IFERROR(SEARCH(PaladinOath,$T369,1),0)&gt;0),1,0)*IF($C369=DW$2,1,0)=1,1+COUNTIF(DW$3:DW368,"&gt;0"),0)</f>
        <v>0</v>
      </c>
      <c r="DY369">
        <f t="shared" si="278"/>
        <v>1</v>
      </c>
      <c r="DZ369">
        <f>IF(DY369=0,0,1+MAX(DZ$3:$DZ368))</f>
        <v>367</v>
      </c>
      <c r="EB369">
        <f t="shared" si="293"/>
        <v>0</v>
      </c>
      <c r="EC369">
        <f>IF(EB369=0,0,1+COUNTIF(EC$3:EC368,"&gt;0"))</f>
        <v>0</v>
      </c>
      <c r="ED369" t="str">
        <f t="shared" si="321"/>
        <v/>
      </c>
      <c r="EE369" t="str">
        <f t="shared" si="294"/>
        <v/>
      </c>
      <c r="EG369">
        <f t="shared" si="295"/>
        <v>0</v>
      </c>
      <c r="EH369">
        <f>IF(EG369=0,0,1+COUNTIF(EH$3:EH368,"&gt;0"))</f>
        <v>0</v>
      </c>
      <c r="EI369" t="str">
        <f t="shared" si="322"/>
        <v/>
      </c>
      <c r="EJ369" t="str">
        <f t="shared" si="296"/>
        <v/>
      </c>
      <c r="EL369">
        <f t="shared" si="297"/>
        <v>0</v>
      </c>
      <c r="EM369">
        <f>IF(EL369=0,0,1+COUNTIF(EM$3:EM368,"&gt;0"))</f>
        <v>0</v>
      </c>
      <c r="EN369" t="str">
        <f t="shared" si="323"/>
        <v/>
      </c>
      <c r="EO369" t="str">
        <f t="shared" si="298"/>
        <v/>
      </c>
      <c r="EQ369">
        <f t="shared" si="299"/>
        <v>0</v>
      </c>
      <c r="ER369">
        <f>IF(EQ369=0,0,1+COUNTIF(ER$3:ER368,"&gt;0"))</f>
        <v>0</v>
      </c>
      <c r="ES369" t="str">
        <f t="shared" si="324"/>
        <v/>
      </c>
      <c r="ET369" t="str">
        <f t="shared" si="300"/>
        <v/>
      </c>
      <c r="EV369">
        <f t="shared" si="301"/>
        <v>0</v>
      </c>
      <c r="EW369">
        <f>IF(EV369=0,0,1+COUNTIF(EW$3:EW368,"&gt;0"))</f>
        <v>0</v>
      </c>
      <c r="EX369" t="str">
        <f t="shared" si="325"/>
        <v/>
      </c>
      <c r="EY369" t="str">
        <f t="shared" si="302"/>
        <v/>
      </c>
      <c r="FA369">
        <f t="shared" si="303"/>
        <v>0</v>
      </c>
      <c r="FB369">
        <f>IF(FA369=0,0,1+COUNTIF(FB$3:FB368,"&gt;0"))</f>
        <v>0</v>
      </c>
      <c r="FC369" t="str">
        <f t="shared" si="326"/>
        <v/>
      </c>
      <c r="FD369" t="str">
        <f t="shared" si="304"/>
        <v/>
      </c>
      <c r="FF369">
        <f t="shared" si="305"/>
        <v>0</v>
      </c>
      <c r="FG369">
        <f>IF(FF369=0,0,1+COUNTIF(FG$3:FG368,"&gt;0"))</f>
        <v>0</v>
      </c>
      <c r="FH369" t="str">
        <f t="shared" si="327"/>
        <v/>
      </c>
      <c r="FI369" t="str">
        <f t="shared" si="306"/>
        <v/>
      </c>
      <c r="FK369">
        <f t="shared" si="307"/>
        <v>0</v>
      </c>
      <c r="FL369">
        <f>IF(FK369=0,0,1+COUNTIF(FL$3:FL368,"&gt;0"))</f>
        <v>0</v>
      </c>
      <c r="FM369" t="str">
        <f t="shared" si="328"/>
        <v/>
      </c>
      <c r="FN369" t="str">
        <f t="shared" si="308"/>
        <v/>
      </c>
      <c r="FP369">
        <f t="shared" si="309"/>
        <v>0</v>
      </c>
      <c r="FQ369">
        <f>IF(FP369=0,0,1+COUNTIF(FQ$3:FQ368,"&gt;0"))</f>
        <v>0</v>
      </c>
      <c r="FR369" t="str">
        <f t="shared" si="329"/>
        <v/>
      </c>
      <c r="FS369" t="str">
        <f t="shared" si="310"/>
        <v/>
      </c>
    </row>
    <row r="370" spans="1:175" x14ac:dyDescent="0.25">
      <c r="A370" s="347">
        <f t="shared" si="331"/>
        <v>368</v>
      </c>
      <c r="B370" s="398" t="s">
        <v>5530</v>
      </c>
      <c r="C370" s="348">
        <v>1</v>
      </c>
      <c r="D370" s="347">
        <v>1</v>
      </c>
      <c r="E370" s="627" t="s">
        <v>6957</v>
      </c>
      <c r="F370" s="346"/>
      <c r="G370" s="347" t="str">
        <f>""</f>
        <v/>
      </c>
      <c r="H370" s="347" t="s">
        <v>5912</v>
      </c>
      <c r="I370" s="347" t="s">
        <v>5315</v>
      </c>
      <c r="J370" s="347" t="str">
        <f t="shared" si="279"/>
        <v/>
      </c>
      <c r="K370" s="347" t="s">
        <v>5278</v>
      </c>
      <c r="L370" s="611" t="str">
        <f t="shared" si="280"/>
        <v>S</v>
      </c>
      <c r="M370" s="347" t="s">
        <v>3034</v>
      </c>
      <c r="N370" s="347" t="s">
        <v>2387</v>
      </c>
      <c r="O370" s="347" t="s">
        <v>3034</v>
      </c>
      <c r="P370" s="346" t="str">
        <f>""</f>
        <v/>
      </c>
      <c r="Q370" s="347" t="s">
        <v>5276</v>
      </c>
      <c r="S370" s="346" t="s">
        <v>5531</v>
      </c>
      <c r="T370" s="346" t="str">
        <f t="shared" si="281"/>
        <v xml:space="preserve">Sorcerer, Wizard, </v>
      </c>
      <c r="X370" s="347" t="str">
        <f t="shared" ref="X370:X376" si="333">$B370</f>
        <v>Catapult</v>
      </c>
      <c r="AD370" s="347" t="str">
        <f t="shared" ref="AD370:AD387" si="334">$B370</f>
        <v>Catapult</v>
      </c>
      <c r="AE370" t="str">
        <f>IF(IFERROR(MATCH($B370,temp!A$4:A$13,0),0)&gt;0,T08_Spells!AE$2,"")</f>
        <v/>
      </c>
      <c r="AF370" t="str">
        <f>IF(IFERROR(MATCH($B370,temp!B$4:B$13,0),0)&gt;0,T08_Spells!AF$2,"")</f>
        <v/>
      </c>
      <c r="AG370" t="str">
        <f>IF(IFERROR(MATCH($B370,temp!C$4:C$13,0),0)&gt;0,T08_Spells!AG$2,"")</f>
        <v/>
      </c>
      <c r="AH370" t="str">
        <f>IF(IFERROR(MATCH($B370,temp!D$4:D$13,0),0)&gt;0,T08_Spells!AH$2,"")</f>
        <v/>
      </c>
      <c r="AI370" t="str">
        <f>IF(IFERROR(MATCH($B370,temp!E$4:E$13,0),0)&gt;0,T08_Spells!AI$2,"")</f>
        <v/>
      </c>
      <c r="AJ370" t="str">
        <f>IF(IFERROR(MATCH($B370,temp!F$4:F$13,0),0)&gt;0,T08_Spells!AJ$2,"")</f>
        <v/>
      </c>
      <c r="AK370" t="str">
        <f>IF(IFERROR(MATCH($B370,temp!G$4:G$13,0),0)&gt;0,T08_Spells!AK$2,"")</f>
        <v/>
      </c>
      <c r="AL370" t="str">
        <f>IF(IFERROR(MATCH($B370,temp!H$4:H$13,0),0)&gt;0,T08_Spells!AL$2,"")</f>
        <v/>
      </c>
      <c r="AM370" t="str">
        <f>IF(IFERROR(MATCH($B370,temp!I$4:I$13,0),0)&gt;0,T08_Spells!AM$2,"")</f>
        <v/>
      </c>
      <c r="AN370" t="str">
        <f>IF(IFERROR(MATCH($B370,temp!J$4:J$13,0),0)&gt;0,T08_Spells!AN$2,"")</f>
        <v/>
      </c>
      <c r="AO370" t="str">
        <f>IF(IFERROR(MATCH($B370,temp!K$4:K$13,0),0)&gt;0,T08_Spells!AO$2,"")</f>
        <v/>
      </c>
      <c r="AP370" t="str">
        <f>IF(IFERROR(MATCH($B370,temp!L$4:L$13,0),0)&gt;0,T08_Spells!AP$2,"")</f>
        <v/>
      </c>
      <c r="AQ370" t="str">
        <f>IF(IFERROR(MATCH($B370,temp!M$4:M$13,0),0)&gt;0,T08_Spells!AQ$2,"")</f>
        <v/>
      </c>
      <c r="AR370" t="str">
        <f>IF(IFERROR(MATCH($B370,temp!N$4:N$13,0),0)&gt;0,T08_Spells!AR$2,"")</f>
        <v/>
      </c>
      <c r="AS370" t="str">
        <f>IF(IFERROR(MATCH($B370,temp!O$4:O$13,0),0)&gt;0,T08_Spells!AS$2,"")</f>
        <v/>
      </c>
      <c r="AT370" t="str">
        <f>IF(IFERROR(MATCH($B370,temp!P$4:P$13,0),0)&gt;0,T08_Spells!AT$2,"")</f>
        <v/>
      </c>
      <c r="AU370" t="str">
        <f>IF(IFERROR(MATCH($B370,temp!Q$4:Q$13,0),0)&gt;0,T08_Spells!AU$2,"")</f>
        <v/>
      </c>
      <c r="AV370" t="str">
        <f>IF(IFERROR(MATCH($B370,temp!R$4:R$13,0),0)&gt;0,T08_Spells!AV$2,"")</f>
        <v/>
      </c>
      <c r="AW370" t="str">
        <f>IF(IFERROR(MATCH($B370,temp!S$4:S$13,0),0)&gt;0,T08_Spells!AW$2,"")</f>
        <v/>
      </c>
      <c r="AX370" t="str">
        <f>IF(IFERROR(MATCH($B370,temp!T$4:T$13,0),0)&gt;0,T08_Spells!AX$2,"")</f>
        <v/>
      </c>
      <c r="AY370" t="str">
        <f>IF(IFERROR(MATCH($B370,temp!U$4:U$13,0),0)&gt;0,T08_Spells!AY$2,"")</f>
        <v/>
      </c>
      <c r="AZ370" t="str">
        <f>IF(IFERROR(MATCH($B370,temp!V$4:V$13,0),0)&gt;0,T08_Spells!AZ$2,"")</f>
        <v/>
      </c>
      <c r="BA370" t="str">
        <f>IF(IFERROR(MATCH($B370,temp!W$4:W$13,0),0)&gt;0,T08_Spells!BA$2,"")</f>
        <v/>
      </c>
      <c r="BC370">
        <f>IF(IFERROR(SEARCH("Ranger",$T370,1),0)&gt;0,1,0)*IF(RangerMaxSpellLevel&gt;=$C370,1,0)*IF(IFERROR(MATCH(B370,Character_Creation!$X$79:$X$382,0),0)&gt;0,0,1)</f>
        <v>0</v>
      </c>
      <c r="BD370">
        <f>IF(BC370=0,0,1+COUNTIF(BD$3:BD369,"&gt;0"))</f>
        <v>0</v>
      </c>
      <c r="BE370" t="str">
        <f t="shared" si="311"/>
        <v/>
      </c>
      <c r="BF370" t="str">
        <f t="shared" si="283"/>
        <v/>
      </c>
      <c r="BH370">
        <f>IF(IFERROR(SEARCH("Sorcerer",$T370,1),0)&gt;0,1,0)*IF(SorcererMaxSpellLevel&gt;=$C370,1,0)*IF(IFERROR(MATCH(B370,Character_Creation!$J$380:$J$394,0),0)&gt;0,0,1)</f>
        <v>0</v>
      </c>
      <c r="BI370">
        <f>IF(BH370=0,0,1+COUNTIF(BI$3:BI369,"&gt;0"))</f>
        <v>0</v>
      </c>
      <c r="BJ370" t="str">
        <f t="shared" si="312"/>
        <v/>
      </c>
      <c r="BK370" t="str">
        <f t="shared" si="284"/>
        <v/>
      </c>
      <c r="BM370">
        <f>IF(OR(IFERROR(SEARCH("Warlock",$T370,1),0)&gt;0,IFERROR(SEARCH(WarlockPatron,$T370,1),0)&gt;0),1,0)*IF(WarlockMaxSpellLevel&gt;=$C370,1,0)*IF(IFERROR(MATCH(B370,Character_Creation!$J$361:$J$375,0),0)&gt;0,0,1)</f>
        <v>0</v>
      </c>
      <c r="BN370">
        <f>IF(BM370=0,0,1+COUNTIF(BN$3:BN369,"&gt;0"))</f>
        <v>0</v>
      </c>
      <c r="BO370" t="str">
        <f t="shared" si="313"/>
        <v/>
      </c>
      <c r="BP370" t="str">
        <f t="shared" si="285"/>
        <v/>
      </c>
      <c r="BR370">
        <f>IF(IFERROR(SEARCH("Eldritch Knight",$T370,1),0)&gt;0,1,0)*IF(EldritchKnightMaxSpellLevel&gt;=$C370,1,0)*IF(IFERROR(MATCH($B370,Character_Creation!$J$350:$J$356,0),0)&gt;0,0,1)*IF(Character_Creation!$M$338&gt;0,1,0)</f>
        <v>0</v>
      </c>
      <c r="BS370">
        <f>IF(BR370=0,0,1+COUNTIF(BS$3:BS369,"&gt;0"))</f>
        <v>0</v>
      </c>
      <c r="BT370" t="str">
        <f t="shared" si="314"/>
        <v/>
      </c>
      <c r="BU370" t="str">
        <f t="shared" si="286"/>
        <v/>
      </c>
      <c r="BW370">
        <f>IF(IFERROR(SEARCH("Arcane Trickster",$T370,1),0)&gt;0,1,0)*IF(ArcaneTricksterMaxSpellLevel&gt;=$C370,1,0)*IF(IFERROR(MATCH($B370,Character_Creation!$J$350:$J$356,0),0)&gt;0,0,1)*IF(Character_Creation!$T$338&gt;0,1,0)</f>
        <v>0</v>
      </c>
      <c r="BX370">
        <f>IF(BW370=0,0,1+COUNTIF(BX$3:BX369,"&gt;0"))</f>
        <v>0</v>
      </c>
      <c r="BY370" t="str">
        <f t="shared" si="315"/>
        <v/>
      </c>
      <c r="BZ370" t="str">
        <f t="shared" si="287"/>
        <v/>
      </c>
      <c r="CB370">
        <f>IF(IFERROR(SEARCH("Wizard",$T370,1),0)&gt;0,1,0)*IF(C370&lt;=ArcaneTricksterMaxSpellLevel,1,0)*IF(IFERROR(MATCH($B370,Character_Creation!$J$350:$J$356,0),0)&gt;0,0,1)*IF(Character_Creation!$T$350&gt;0,1,0)</f>
        <v>0</v>
      </c>
      <c r="CC370">
        <f>IF(CB370=0,0,1+COUNTIF(CC$3:CC369,"&gt;0"))</f>
        <v>0</v>
      </c>
      <c r="CD370" t="str">
        <f t="shared" si="316"/>
        <v/>
      </c>
      <c r="CE370" t="str">
        <f t="shared" si="288"/>
        <v/>
      </c>
      <c r="CG370">
        <f>IF(IFERROR(SEARCH("Wizard",$T370,1),0)&gt;0,1,0)*IF($C370&lt;=EldritchKnightMaxSpellLevel,1,0)*IF(IFERROR(MATCH($B370,Character_Creation!$J$350:$J$356,0),0)&gt;0,0,1)*IF(Character_Creation!$M$350&gt;0,1,0)</f>
        <v>1</v>
      </c>
      <c r="CH370">
        <f>IF(CG370=0,0,1+COUNTIF(CH$3:CH369,"&gt;0"))</f>
        <v>65</v>
      </c>
      <c r="CI370" t="str">
        <f t="shared" si="317"/>
        <v/>
      </c>
      <c r="CJ370" t="str">
        <f t="shared" si="289"/>
        <v/>
      </c>
      <c r="CL370">
        <f>IF(IFERROR(SEARCH("Bard",$T370,1),0)&gt;0,1,0)*IF(BardMaxSpellLevel&gt;=$C370,1,0)*IF(IFERROR(MATCH(B370,Character_Creation!$C$341:$F$362,0),0)&gt;0,0,1)*IF(IFERROR(MATCH($B370,Character_Creation!$C$341:$C$362,0),0)&gt;0,0,1)</f>
        <v>0</v>
      </c>
      <c r="CM370">
        <f>IF(CL370=0,0,1+COUNTIF(CM$3:CM369,"&gt;0"))</f>
        <v>0</v>
      </c>
      <c r="CN370" t="str">
        <f t="shared" si="318"/>
        <v/>
      </c>
      <c r="CO370" t="str">
        <f t="shared" si="290"/>
        <v/>
      </c>
      <c r="CQ370">
        <f>IF(IFERROR(SEARCH("Wizard",$T370,1),0)&gt;0,1,0)*IF(WizardMaxSpellLevel&gt;=$C370,1,0)*IF(IFERROR(MATCH(B370,Character_Creation!$X$341:$X$400,0),0)&gt;0,0,1)*IF(SelectedWizardSpellLevel=$C370,1,0)</f>
        <v>0</v>
      </c>
      <c r="CR370">
        <f>IF(CQ370=0,0,1+COUNTIF(CR$3:CR369,"&gt;0"))</f>
        <v>0</v>
      </c>
      <c r="CS370" t="str">
        <f t="shared" si="319"/>
        <v/>
      </c>
      <c r="CT370" t="str">
        <f t="shared" si="291"/>
        <v/>
      </c>
      <c r="CV370">
        <f>IF(IFERROR(MATCH($B370,Character_Creation!$C$341:$C$362,0),0)&gt;0,0,1)*IF(OR(C370="Cantrip",C370&lt;=BardMaxSpellLevel),1,0)*IF(IFERROR(MATCH($B370,Character_Creation!$C$367:$C$374,0),0)&gt;0,0,1)</f>
        <v>0</v>
      </c>
      <c r="CW370">
        <f>IF(CV370=0,0,1+COUNTIF(CW$3:CW369,"&gt;0"))</f>
        <v>0</v>
      </c>
      <c r="CX370" t="str">
        <f t="shared" si="320"/>
        <v/>
      </c>
      <c r="CY370" t="str">
        <f t="shared" si="292"/>
        <v/>
      </c>
      <c r="DA370">
        <f>IF(IF(OR(IFERROR(SEARCH("Cleric",$T370,1),0)&gt;0,IFERROR(SEARCH(DivineDomain&amp;",",$T370,1),0)&gt;0),1,0)*IF($C370=DA$2,1,0)=1,1+COUNTIF(DA$3:DA369,"&gt;0"),0)</f>
        <v>0</v>
      </c>
      <c r="DB370">
        <f>IF(IF(OR(IFERROR(SEARCH("Cleric",$T370,1),0)&gt;0,IFERROR(SEARCH(DivineDomain&amp;",",$T370,1),0)&gt;0),1,0)*IF($C370=DB$2,1,0)=1,1+COUNTIF(DB$3:DB369,"&gt;0"),0)</f>
        <v>0</v>
      </c>
      <c r="DC370">
        <f>IF(IF(OR(IFERROR(SEARCH("Cleric",$T370,1),0)&gt;0,IFERROR(SEARCH(DivineDomain&amp;",",$T370,1),0)&gt;0),1,0)*IF($C370=DC$2,1,0)=1,1+COUNTIF(DC$3:DC369,"&gt;0"),0)</f>
        <v>0</v>
      </c>
      <c r="DD370">
        <f>IF(IF(OR(IFERROR(SEARCH("Cleric",$T370,1),0)&gt;0,IFERROR(SEARCH(DivineDomain&amp;",",$T370,1),0)&gt;0),1,0)*IF($C370=DD$2,1,0)=1,1+COUNTIF(DD$3:DD369,"&gt;0"),0)</f>
        <v>0</v>
      </c>
      <c r="DE370">
        <f>IF(IF(OR(IFERROR(SEARCH("Cleric",$T370,1),0)&gt;0,IFERROR(SEARCH(DivineDomain&amp;",",$T370,1),0)&gt;0),1,0)*IF($C370=DE$2,1,0)=1,1+COUNTIF(DE$3:DE369,"&gt;0"),0)</f>
        <v>0</v>
      </c>
      <c r="DF370">
        <f>IF(IF(OR(IFERROR(SEARCH("Cleric",$T370,1),0)&gt;0,IFERROR(SEARCH(DivineDomain&amp;",",$T370,1),0)&gt;0),1,0)*IF($C370=DF$2,1,0)=1,1+COUNTIF(DF$3:DF369,"&gt;0"),0)</f>
        <v>0</v>
      </c>
      <c r="DG370">
        <f>IF(IF(OR(IFERROR(SEARCH("Cleric",$T370,1),0)&gt;0,IFERROR(SEARCH(DivineDomain&amp;",",$T370,1),0)&gt;0),1,0)*IF($C370=DG$2,1,0)=1,1+COUNTIF(DG$3:DG369,"&gt;0"),0)</f>
        <v>0</v>
      </c>
      <c r="DH370">
        <f>IF(IF(OR(IFERROR(SEARCH("Cleric",$T370,1),0)&gt;0,IFERROR(SEARCH(DivineDomain&amp;",",$T370,1),0)&gt;0),1,0)*IF($C370=DH$2,1,0)=1,1+COUNTIF(DH$3:DH369,"&gt;0"),0)</f>
        <v>0</v>
      </c>
      <c r="DI370">
        <f>IF(IF(OR(IFERROR(SEARCH("Cleric",$T370,1),0)&gt;0,IFERROR(SEARCH(DivineDomain&amp;",",$T370,1),0)&gt;0),1,0)*IF($C370=DI$2,1,0)=1,1+COUNTIF(DI$3:DI369,"&gt;0"),0)</f>
        <v>0</v>
      </c>
      <c r="DJ370">
        <f>IF(IF(OR(IFERROR(SEARCH("Druid",$T370,1),0)&gt;0,IFERROR(SEARCH(DruidLand1,$T370,1),0)&gt;0,IFERROR(SEARCH(DruidLand2,$T370,1),0)&gt;0,IFERROR(SEARCH(DruidLand3,$T370,1),0)&gt;0,IFERROR(SEARCH(DruidLand4,$T370,1),0)&gt;0),1,0)*IF($C370=1,1,0)*IF($C370=DJ$2,1,0)=0,0,1+COUNTIF(DJ$3:DJ369,"&gt;0"))</f>
        <v>0</v>
      </c>
      <c r="DK370">
        <f>IF(IF(OR(IFERROR(SEARCH("Druid",$T370,1),0)&gt;0,IFERROR(SEARCH(DruidLand1,$T370,1),0)&gt;0,IFERROR(SEARCH(DruidLand2,$T370,1),0)&gt;0,IFERROR(SEARCH(DruidLand3,$T370,1),0)&gt;0,IFERROR(SEARCH(DruidLand4,$T370,1),0)&gt;0),1,0)*IF($C370=1,1,0)*IF($C370=DK$2,1,0)=0,0,1+COUNTIF(DK$3:DK369,"&gt;0"))</f>
        <v>0</v>
      </c>
      <c r="DL370">
        <f>IF(IF(OR(IFERROR(SEARCH("Druid",$T370,1),0)&gt;0,IFERROR(SEARCH(DruidLand1,$T370,1),0)&gt;0,IFERROR(SEARCH(DruidLand2,$T370,1),0)&gt;0,IFERROR(SEARCH(DruidLand3,$T370,1),0)&gt;0,IFERROR(SEARCH(DruidLand4,$T370,1),0)&gt;0),1,0)*IF($C370=1,1,0)*IF($C370=DL$2,1,0)=0,0,1+COUNTIF(DL$3:DL369,"&gt;0"))</f>
        <v>0</v>
      </c>
      <c r="DM370">
        <f>IF(IF(OR(IFERROR(SEARCH("Druid",$T370,1),0)&gt;0,IFERROR(SEARCH(DruidLand1,$T370,1),0)&gt;0,IFERROR(SEARCH(DruidLand2,$T370,1),0)&gt;0,IFERROR(SEARCH(DruidLand3,$T370,1),0)&gt;0,IFERROR(SEARCH(DruidLand4,$T370,1),0)&gt;0),1,0)*IF($C370=1,1,0)*IF($C370=DM$2,1,0)=0,0,1+COUNTIF(DM$3:DM369,"&gt;0"))</f>
        <v>0</v>
      </c>
      <c r="DN370">
        <f>IF(IF(OR(IFERROR(SEARCH("Druid",$T370,1),0)&gt;0,IFERROR(SEARCH(DruidLand1,$T370,1),0)&gt;0,IFERROR(SEARCH(DruidLand2,$T370,1),0)&gt;0,IFERROR(SEARCH(DruidLand3,$T370,1),0)&gt;0,IFERROR(SEARCH(DruidLand4,$T370,1),0)&gt;0),1,0)*IF($C370=1,1,0)*IF($C370=DN$2,1,0)=0,0,1+COUNTIF(DN$3:DN369,"&gt;0"))</f>
        <v>0</v>
      </c>
      <c r="DO370">
        <f>IF(IF(OR(IFERROR(SEARCH("Druid",$T370,1),0)&gt;0,IFERROR(SEARCH(DruidLand1,$T370,1),0)&gt;0,IFERROR(SEARCH(DruidLand2,$T370,1),0)&gt;0,IFERROR(SEARCH(DruidLand3,$T370,1),0)&gt;0,IFERROR(SEARCH(DruidLand4,$T370,1),0)&gt;0),1,0)*IF($C370=1,1,0)*IF($C370=DO$2,1,0)=0,0,1+COUNTIF(DO$3:DO369,"&gt;0"))</f>
        <v>0</v>
      </c>
      <c r="DP370">
        <f>IF(IF(OR(IFERROR(SEARCH("Druid",$T370,1),0)&gt;0,IFERROR(SEARCH(DruidLand1,$T370,1),0)&gt;0,IFERROR(SEARCH(DruidLand2,$T370,1),0)&gt;0,IFERROR(SEARCH(DruidLand3,$T370,1),0)&gt;0,IFERROR(SEARCH(DruidLand4,$T370,1),0)&gt;0),1,0)*IF($C370=1,1,0)*IF($C370=DP$2,1,0)=0,0,1+COUNTIF(DP$3:DP369,"&gt;0"))</f>
        <v>0</v>
      </c>
      <c r="DQ370">
        <f>IF(IF(OR(IFERROR(SEARCH("Druid",$T370,1),0)&gt;0,IFERROR(SEARCH(DruidLand1,$T370,1),0)&gt;0,IFERROR(SEARCH(DruidLand2,$T370,1),0)&gt;0,IFERROR(SEARCH(DruidLand3,$T370,1),0)&gt;0,IFERROR(SEARCH(DruidLand4,$T370,1),0)&gt;0),1,0)*IF($C370=1,1,0)*IF($C370=DQ$2,1,0)=0,0,1+COUNTIF(DQ$3:DQ369,"&gt;0"))</f>
        <v>0</v>
      </c>
      <c r="DR370">
        <f>IF(IF(OR(IFERROR(SEARCH("Druid",$T370,1),0)&gt;0,IFERROR(SEARCH(DruidLand1,$T370,1),0)&gt;0,IFERROR(SEARCH(DruidLand2,$T370,1),0)&gt;0,IFERROR(SEARCH(DruidLand3,$T370,1),0)&gt;0,IFERROR(SEARCH(DruidLand4,$T370,1),0)&gt;0),1,0)*IF($C370=1,1,0)*IF($C370=DR$2,1,0)=0,0,1+COUNTIF(DR$3:DR369,"&gt;0"))</f>
        <v>0</v>
      </c>
      <c r="DS370">
        <f>IF(IF(OR(IFERROR(SEARCH("Paladin",$T370,1),0)&gt;0,IFERROR(SEARCH(PaladinOath,$T370,1),0)&gt;0),1,0)*IF($C370=DS$2,1,0)=1,1+COUNTIF(DS$3:DS369,"&gt;0"),0)</f>
        <v>0</v>
      </c>
      <c r="DT370">
        <f>IF(IF(OR(IFERROR(SEARCH("Paladin",$T370,1),0)&gt;0,IFERROR(SEARCH(PaladinOath,$T370,1),0)&gt;0),1,0)*IF($C370=DT$2,1,0)=1,1+COUNTIF(DT$3:DT369,"&gt;0"),0)</f>
        <v>0</v>
      </c>
      <c r="DU370">
        <f>IF(IF(OR(IFERROR(SEARCH("Paladin",$T370,1),0)&gt;0,IFERROR(SEARCH(PaladinOath,$T370,1),0)&gt;0),1,0)*IF($C370=DU$2,1,0)=1,1+COUNTIF(DU$3:DU369,"&gt;0"),0)</f>
        <v>0</v>
      </c>
      <c r="DV370">
        <f>IF(IF(OR(IFERROR(SEARCH("Paladin",$T370,1),0)&gt;0,IFERROR(SEARCH(PaladinOath,$T370,1),0)&gt;0),1,0)*IF($C370=DV$2,1,0)=1,1+COUNTIF(DV$3:DV369,"&gt;0"),0)</f>
        <v>0</v>
      </c>
      <c r="DW370">
        <f>IF(IF(OR(IFERROR(SEARCH("Paladin",$T370,1),0)&gt;0,IFERROR(SEARCH(PaladinOath,$T370,1),0)&gt;0),1,0)*IF($C370=DW$2,1,0)=1,1+COUNTIF(DW$3:DW369,"&gt;0"),0)</f>
        <v>0</v>
      </c>
      <c r="DY370">
        <f t="shared" si="278"/>
        <v>1</v>
      </c>
      <c r="DZ370">
        <f>IF(DY370=0,0,1+MAX(DZ$3:$DZ369))</f>
        <v>368</v>
      </c>
      <c r="EB370">
        <f t="shared" si="293"/>
        <v>0</v>
      </c>
      <c r="EC370">
        <f>IF(EB370=0,0,1+COUNTIF(EC$3:EC369,"&gt;0"))</f>
        <v>0</v>
      </c>
      <c r="ED370" t="str">
        <f t="shared" si="321"/>
        <v/>
      </c>
      <c r="EE370" t="str">
        <f t="shared" si="294"/>
        <v/>
      </c>
      <c r="EG370">
        <f t="shared" si="295"/>
        <v>0</v>
      </c>
      <c r="EH370">
        <f>IF(EG370=0,0,1+COUNTIF(EH$3:EH369,"&gt;0"))</f>
        <v>0</v>
      </c>
      <c r="EI370" t="str">
        <f t="shared" si="322"/>
        <v/>
      </c>
      <c r="EJ370" t="str">
        <f t="shared" si="296"/>
        <v/>
      </c>
      <c r="EL370">
        <f t="shared" si="297"/>
        <v>0</v>
      </c>
      <c r="EM370">
        <f>IF(EL370=0,0,1+COUNTIF(EM$3:EM369,"&gt;0"))</f>
        <v>0</v>
      </c>
      <c r="EN370" t="str">
        <f t="shared" si="323"/>
        <v/>
      </c>
      <c r="EO370" t="str">
        <f t="shared" si="298"/>
        <v/>
      </c>
      <c r="EQ370">
        <f t="shared" si="299"/>
        <v>0</v>
      </c>
      <c r="ER370">
        <f>IF(EQ370=0,0,1+COUNTIF(ER$3:ER369,"&gt;0"))</f>
        <v>0</v>
      </c>
      <c r="ES370" t="str">
        <f t="shared" si="324"/>
        <v/>
      </c>
      <c r="ET370" t="str">
        <f t="shared" si="300"/>
        <v/>
      </c>
      <c r="EV370">
        <f t="shared" si="301"/>
        <v>0</v>
      </c>
      <c r="EW370">
        <f>IF(EV370=0,0,1+COUNTIF(EW$3:EW369,"&gt;0"))</f>
        <v>0</v>
      </c>
      <c r="EX370" t="str">
        <f t="shared" si="325"/>
        <v/>
      </c>
      <c r="EY370" t="str">
        <f t="shared" si="302"/>
        <v/>
      </c>
      <c r="FA370">
        <f t="shared" si="303"/>
        <v>0</v>
      </c>
      <c r="FB370">
        <f>IF(FA370=0,0,1+COUNTIF(FB$3:FB369,"&gt;0"))</f>
        <v>0</v>
      </c>
      <c r="FC370" t="str">
        <f t="shared" si="326"/>
        <v/>
      </c>
      <c r="FD370" t="str">
        <f t="shared" si="304"/>
        <v/>
      </c>
      <c r="FF370">
        <f t="shared" si="305"/>
        <v>0</v>
      </c>
      <c r="FG370">
        <f>IF(FF370=0,0,1+COUNTIF(FG$3:FG369,"&gt;0"))</f>
        <v>0</v>
      </c>
      <c r="FH370" t="str">
        <f t="shared" si="327"/>
        <v/>
      </c>
      <c r="FI370" t="str">
        <f t="shared" si="306"/>
        <v/>
      </c>
      <c r="FK370">
        <f t="shared" si="307"/>
        <v>0</v>
      </c>
      <c r="FL370">
        <f>IF(FK370=0,0,1+COUNTIF(FL$3:FL369,"&gt;0"))</f>
        <v>0</v>
      </c>
      <c r="FM370" t="str">
        <f t="shared" si="328"/>
        <v/>
      </c>
      <c r="FN370" t="str">
        <f t="shared" si="308"/>
        <v/>
      </c>
      <c r="FP370">
        <f t="shared" si="309"/>
        <v>0</v>
      </c>
      <c r="FQ370">
        <f>IF(FP370=0,0,1+COUNTIF(FQ$3:FQ369,"&gt;0"))</f>
        <v>0</v>
      </c>
      <c r="FR370" t="str">
        <f t="shared" si="329"/>
        <v/>
      </c>
      <c r="FS370" t="str">
        <f t="shared" si="310"/>
        <v/>
      </c>
    </row>
    <row r="371" spans="1:175" x14ac:dyDescent="0.25">
      <c r="A371" s="347">
        <f t="shared" si="331"/>
        <v>369</v>
      </c>
      <c r="B371" s="398" t="s">
        <v>5532</v>
      </c>
      <c r="C371" s="348" t="s">
        <v>5277</v>
      </c>
      <c r="D371" s="347">
        <v>0.5</v>
      </c>
      <c r="E371" s="627" t="s">
        <v>6957</v>
      </c>
      <c r="F371" s="346"/>
      <c r="G371" s="347" t="str">
        <f>""</f>
        <v/>
      </c>
      <c r="H371" s="347" t="s">
        <v>5912</v>
      </c>
      <c r="I371" s="347" t="s">
        <v>424</v>
      </c>
      <c r="J371" s="347" t="str">
        <f t="shared" si="279"/>
        <v/>
      </c>
      <c r="K371" s="347" t="s">
        <v>5291</v>
      </c>
      <c r="L371" s="611" t="str">
        <f t="shared" si="280"/>
        <v>V, S</v>
      </c>
      <c r="M371" s="347" t="s">
        <v>2373</v>
      </c>
      <c r="N371" s="347" t="s">
        <v>2387</v>
      </c>
      <c r="O371" s="347" t="s">
        <v>3034</v>
      </c>
      <c r="P371" s="346" t="str">
        <f>""</f>
        <v/>
      </c>
      <c r="Q371" s="347" t="s">
        <v>5271</v>
      </c>
      <c r="S371" s="346" t="s">
        <v>5873</v>
      </c>
      <c r="T371" s="346" t="str">
        <f t="shared" si="281"/>
        <v xml:space="preserve">Sorcerer, Warlock, Druid, Wizard, </v>
      </c>
      <c r="X371" s="347" t="str">
        <f t="shared" si="333"/>
        <v>Create Bonfire</v>
      </c>
      <c r="Y371" s="347" t="str">
        <f>$B371</f>
        <v>Create Bonfire</v>
      </c>
      <c r="AA371" s="347" t="str">
        <f t="shared" ref="AA371:AA382" si="335">$B371</f>
        <v>Create Bonfire</v>
      </c>
      <c r="AD371" s="347" t="str">
        <f t="shared" si="334"/>
        <v>Create Bonfire</v>
      </c>
      <c r="AE371" t="str">
        <f>IF(IFERROR(MATCH($B371,temp!A$4:A$13,0),0)&gt;0,T08_Spells!AE$2,"")</f>
        <v/>
      </c>
      <c r="AF371" t="str">
        <f>IF(IFERROR(MATCH($B371,temp!B$4:B$13,0),0)&gt;0,T08_Spells!AF$2,"")</f>
        <v/>
      </c>
      <c r="AG371" t="str">
        <f>IF(IFERROR(MATCH($B371,temp!C$4:C$13,0),0)&gt;0,T08_Spells!AG$2,"")</f>
        <v/>
      </c>
      <c r="AH371" t="str">
        <f>IF(IFERROR(MATCH($B371,temp!D$4:D$13,0),0)&gt;0,T08_Spells!AH$2,"")</f>
        <v/>
      </c>
      <c r="AI371" t="str">
        <f>IF(IFERROR(MATCH($B371,temp!E$4:E$13,0),0)&gt;0,T08_Spells!AI$2,"")</f>
        <v/>
      </c>
      <c r="AJ371" t="str">
        <f>IF(IFERROR(MATCH($B371,temp!F$4:F$13,0),0)&gt;0,T08_Spells!AJ$2,"")</f>
        <v/>
      </c>
      <c r="AK371" t="str">
        <f>IF(IFERROR(MATCH($B371,temp!G$4:G$13,0),0)&gt;0,T08_Spells!AK$2,"")</f>
        <v/>
      </c>
      <c r="AL371" t="str">
        <f>IF(IFERROR(MATCH($B371,temp!H$4:H$13,0),0)&gt;0,T08_Spells!AL$2,"")</f>
        <v/>
      </c>
      <c r="AM371" t="str">
        <f>IF(IFERROR(MATCH($B371,temp!I$4:I$13,0),0)&gt;0,T08_Spells!AM$2,"")</f>
        <v/>
      </c>
      <c r="AN371" t="str">
        <f>IF(IFERROR(MATCH($B371,temp!J$4:J$13,0),0)&gt;0,T08_Spells!AN$2,"")</f>
        <v/>
      </c>
      <c r="AO371" t="str">
        <f>IF(IFERROR(MATCH($B371,temp!K$4:K$13,0),0)&gt;0,T08_Spells!AO$2,"")</f>
        <v/>
      </c>
      <c r="AP371" t="str">
        <f>IF(IFERROR(MATCH($B371,temp!L$4:L$13,0),0)&gt;0,T08_Spells!AP$2,"")</f>
        <v/>
      </c>
      <c r="AQ371" t="str">
        <f>IF(IFERROR(MATCH($B371,temp!M$4:M$13,0),0)&gt;0,T08_Spells!AQ$2,"")</f>
        <v/>
      </c>
      <c r="AR371" t="str">
        <f>IF(IFERROR(MATCH($B371,temp!N$4:N$13,0),0)&gt;0,T08_Spells!AR$2,"")</f>
        <v/>
      </c>
      <c r="AS371" t="str">
        <f>IF(IFERROR(MATCH($B371,temp!O$4:O$13,0),0)&gt;0,T08_Spells!AS$2,"")</f>
        <v/>
      </c>
      <c r="AT371" t="str">
        <f>IF(IFERROR(MATCH($B371,temp!P$4:P$13,0),0)&gt;0,T08_Spells!AT$2,"")</f>
        <v/>
      </c>
      <c r="AU371" t="str">
        <f>IF(IFERROR(MATCH($B371,temp!Q$4:Q$13,0),0)&gt;0,T08_Spells!AU$2,"")</f>
        <v/>
      </c>
      <c r="AV371" t="str">
        <f>IF(IFERROR(MATCH($B371,temp!R$4:R$13,0),0)&gt;0,T08_Spells!AV$2,"")</f>
        <v/>
      </c>
      <c r="AW371" t="str">
        <f>IF(IFERROR(MATCH($B371,temp!S$4:S$13,0),0)&gt;0,T08_Spells!AW$2,"")</f>
        <v/>
      </c>
      <c r="AX371" t="str">
        <f>IF(IFERROR(MATCH($B371,temp!T$4:T$13,0),0)&gt;0,T08_Spells!AX$2,"")</f>
        <v/>
      </c>
      <c r="AY371" t="str">
        <f>IF(IFERROR(MATCH($B371,temp!U$4:U$13,0),0)&gt;0,T08_Spells!AY$2,"")</f>
        <v/>
      </c>
      <c r="AZ371" t="str">
        <f>IF(IFERROR(MATCH($B371,temp!V$4:V$13,0),0)&gt;0,T08_Spells!AZ$2,"")</f>
        <v/>
      </c>
      <c r="BA371" t="str">
        <f>IF(IFERROR(MATCH($B371,temp!W$4:W$13,0),0)&gt;0,T08_Spells!BA$2,"")</f>
        <v/>
      </c>
      <c r="BC371">
        <f>IF(IFERROR(SEARCH("Ranger",$T371,1),0)&gt;0,1,0)*IF(RangerMaxSpellLevel&gt;=$C371,1,0)*IF(IFERROR(MATCH(B371,Character_Creation!$X$79:$X$382,0),0)&gt;0,0,1)</f>
        <v>0</v>
      </c>
      <c r="BD371">
        <f>IF(BC371=0,0,1+COUNTIF(BD$3:BD370,"&gt;0"))</f>
        <v>0</v>
      </c>
      <c r="BE371" t="str">
        <f t="shared" si="311"/>
        <v/>
      </c>
      <c r="BF371" t="str">
        <f t="shared" si="283"/>
        <v/>
      </c>
      <c r="BH371">
        <f>IF(IFERROR(SEARCH("Sorcerer",$T371,1),0)&gt;0,1,0)*IF(SorcererMaxSpellLevel&gt;=$C371,1,0)*IF(IFERROR(MATCH(B371,Character_Creation!$J$380:$J$394,0),0)&gt;0,0,1)</f>
        <v>0</v>
      </c>
      <c r="BI371">
        <f>IF(BH371=0,0,1+COUNTIF(BI$3:BI370,"&gt;0"))</f>
        <v>0</v>
      </c>
      <c r="BJ371" t="str">
        <f t="shared" si="312"/>
        <v/>
      </c>
      <c r="BK371" t="str">
        <f t="shared" si="284"/>
        <v/>
      </c>
      <c r="BM371">
        <f>IF(OR(IFERROR(SEARCH("Warlock",$T371,1),0)&gt;0,IFERROR(SEARCH(WarlockPatron,$T371,1),0)&gt;0),1,0)*IF(WarlockMaxSpellLevel&gt;=$C371,1,0)*IF(IFERROR(MATCH(B371,Character_Creation!$J$361:$J$375,0),0)&gt;0,0,1)</f>
        <v>0</v>
      </c>
      <c r="BN371">
        <f>IF(BM371=0,0,1+COUNTIF(BN$3:BN370,"&gt;0"))</f>
        <v>0</v>
      </c>
      <c r="BO371" t="str">
        <f t="shared" si="313"/>
        <v/>
      </c>
      <c r="BP371" t="str">
        <f t="shared" si="285"/>
        <v/>
      </c>
      <c r="BR371">
        <f>IF(IFERROR(SEARCH("Eldritch Knight",$T371,1),0)&gt;0,1,0)*IF(EldritchKnightMaxSpellLevel&gt;=$C371,1,0)*IF(IFERROR(MATCH($B371,Character_Creation!$J$350:$J$356,0),0)&gt;0,0,1)*IF(Character_Creation!$M$338&gt;0,1,0)</f>
        <v>0</v>
      </c>
      <c r="BS371">
        <f>IF(BR371=0,0,1+COUNTIF(BS$3:BS370,"&gt;0"))</f>
        <v>0</v>
      </c>
      <c r="BT371" t="str">
        <f t="shared" si="314"/>
        <v/>
      </c>
      <c r="BU371" t="str">
        <f t="shared" si="286"/>
        <v/>
      </c>
      <c r="BW371">
        <f>IF(IFERROR(SEARCH("Arcane Trickster",$T371,1),0)&gt;0,1,0)*IF(ArcaneTricksterMaxSpellLevel&gt;=$C371,1,0)*IF(IFERROR(MATCH($B371,Character_Creation!$J$350:$J$356,0),0)&gt;0,0,1)*IF(Character_Creation!$T$338&gt;0,1,0)</f>
        <v>0</v>
      </c>
      <c r="BX371">
        <f>IF(BW371=0,0,1+COUNTIF(BX$3:BX370,"&gt;0"))</f>
        <v>0</v>
      </c>
      <c r="BY371" t="str">
        <f t="shared" si="315"/>
        <v/>
      </c>
      <c r="BZ371" t="str">
        <f t="shared" si="287"/>
        <v/>
      </c>
      <c r="CB371">
        <f>IF(IFERROR(SEARCH("Wizard",$T371,1),0)&gt;0,1,0)*IF(C371&lt;=ArcaneTricksterMaxSpellLevel,1,0)*IF(IFERROR(MATCH($B371,Character_Creation!$J$350:$J$356,0),0)&gt;0,0,1)*IF(Character_Creation!$T$350&gt;0,1,0)</f>
        <v>0</v>
      </c>
      <c r="CC371">
        <f>IF(CB371=0,0,1+COUNTIF(CC$3:CC370,"&gt;0"))</f>
        <v>0</v>
      </c>
      <c r="CD371" t="str">
        <f t="shared" si="316"/>
        <v/>
      </c>
      <c r="CE371" t="str">
        <f t="shared" si="288"/>
        <v/>
      </c>
      <c r="CG371">
        <f>IF(IFERROR(SEARCH("Wizard",$T371,1),0)&gt;0,1,0)*IF($C371&lt;=EldritchKnightMaxSpellLevel,1,0)*IF(IFERROR(MATCH($B371,Character_Creation!$J$350:$J$356,0),0)&gt;0,0,1)*IF(Character_Creation!$M$350&gt;0,1,0)</f>
        <v>0</v>
      </c>
      <c r="CH371">
        <f>IF(CG371=0,0,1+COUNTIF(CH$3:CH370,"&gt;0"))</f>
        <v>0</v>
      </c>
      <c r="CI371" t="str">
        <f t="shared" si="317"/>
        <v/>
      </c>
      <c r="CJ371" t="str">
        <f t="shared" si="289"/>
        <v/>
      </c>
      <c r="CL371">
        <f>IF(IFERROR(SEARCH("Bard",$T371,1),0)&gt;0,1,0)*IF(BardMaxSpellLevel&gt;=$C371,1,0)*IF(IFERROR(MATCH(B371,Character_Creation!$C$341:$F$362,0),0)&gt;0,0,1)*IF(IFERROR(MATCH($B371,Character_Creation!$C$341:$C$362,0),0)&gt;0,0,1)</f>
        <v>0</v>
      </c>
      <c r="CM371">
        <f>IF(CL371=0,0,1+COUNTIF(CM$3:CM370,"&gt;0"))</f>
        <v>0</v>
      </c>
      <c r="CN371" t="str">
        <f t="shared" si="318"/>
        <v/>
      </c>
      <c r="CO371" t="str">
        <f t="shared" si="290"/>
        <v/>
      </c>
      <c r="CQ371">
        <f>IF(IFERROR(SEARCH("Wizard",$T371,1),0)&gt;0,1,0)*IF(WizardMaxSpellLevel&gt;=$C371,1,0)*IF(IFERROR(MATCH(B371,Character_Creation!$X$341:$X$400,0),0)&gt;0,0,1)*IF(SelectedWizardSpellLevel=$C371,1,0)</f>
        <v>0</v>
      </c>
      <c r="CR371">
        <f>IF(CQ371=0,0,1+COUNTIF(CR$3:CR370,"&gt;0"))</f>
        <v>0</v>
      </c>
      <c r="CS371" t="str">
        <f t="shared" si="319"/>
        <v/>
      </c>
      <c r="CT371" t="str">
        <f t="shared" si="291"/>
        <v/>
      </c>
      <c r="CV371">
        <f>IF(IFERROR(MATCH($B371,Character_Creation!$C$341:$C$362,0),0)&gt;0,0,1)*IF(OR(C371="Cantrip",C371&lt;=BardMaxSpellLevel),1,0)*IF(IFERROR(MATCH($B371,Character_Creation!$C$367:$C$374,0),0)&gt;0,0,1)</f>
        <v>1</v>
      </c>
      <c r="CW371">
        <f>IF(CV371=0,0,1+COUNTIF(CW$3:CW370,"&gt;0"))</f>
        <v>28</v>
      </c>
      <c r="CX371" t="str">
        <f t="shared" si="320"/>
        <v/>
      </c>
      <c r="CY371" t="str">
        <f t="shared" si="292"/>
        <v/>
      </c>
      <c r="DA371">
        <f>IF(IF(OR(IFERROR(SEARCH("Cleric",$T371,1),0)&gt;0,IFERROR(SEARCH(DivineDomain&amp;",",$T371,1),0)&gt;0),1,0)*IF($C371=DA$2,1,0)=1,1+COUNTIF(DA$3:DA370,"&gt;0"),0)</f>
        <v>0</v>
      </c>
      <c r="DB371">
        <f>IF(IF(OR(IFERROR(SEARCH("Cleric",$T371,1),0)&gt;0,IFERROR(SEARCH(DivineDomain&amp;",",$T371,1),0)&gt;0),1,0)*IF($C371=DB$2,1,0)=1,1+COUNTIF(DB$3:DB370,"&gt;0"),0)</f>
        <v>0</v>
      </c>
      <c r="DC371">
        <f>IF(IF(OR(IFERROR(SEARCH("Cleric",$T371,1),0)&gt;0,IFERROR(SEARCH(DivineDomain&amp;",",$T371,1),0)&gt;0),1,0)*IF($C371=DC$2,1,0)=1,1+COUNTIF(DC$3:DC370,"&gt;0"),0)</f>
        <v>0</v>
      </c>
      <c r="DD371">
        <f>IF(IF(OR(IFERROR(SEARCH("Cleric",$T371,1),0)&gt;0,IFERROR(SEARCH(DivineDomain&amp;",",$T371,1),0)&gt;0),1,0)*IF($C371=DD$2,1,0)=1,1+COUNTIF(DD$3:DD370,"&gt;0"),0)</f>
        <v>0</v>
      </c>
      <c r="DE371">
        <f>IF(IF(OR(IFERROR(SEARCH("Cleric",$T371,1),0)&gt;0,IFERROR(SEARCH(DivineDomain&amp;",",$T371,1),0)&gt;0),1,0)*IF($C371=DE$2,1,0)=1,1+COUNTIF(DE$3:DE370,"&gt;0"),0)</f>
        <v>0</v>
      </c>
      <c r="DF371">
        <f>IF(IF(OR(IFERROR(SEARCH("Cleric",$T371,1),0)&gt;0,IFERROR(SEARCH(DivineDomain&amp;",",$T371,1),0)&gt;0),1,0)*IF($C371=DF$2,1,0)=1,1+COUNTIF(DF$3:DF370,"&gt;0"),0)</f>
        <v>0</v>
      </c>
      <c r="DG371">
        <f>IF(IF(OR(IFERROR(SEARCH("Cleric",$T371,1),0)&gt;0,IFERROR(SEARCH(DivineDomain&amp;",",$T371,1),0)&gt;0),1,0)*IF($C371=DG$2,1,0)=1,1+COUNTIF(DG$3:DG370,"&gt;0"),0)</f>
        <v>0</v>
      </c>
      <c r="DH371">
        <f>IF(IF(OR(IFERROR(SEARCH("Cleric",$T371,1),0)&gt;0,IFERROR(SEARCH(DivineDomain&amp;",",$T371,1),0)&gt;0),1,0)*IF($C371=DH$2,1,0)=1,1+COUNTIF(DH$3:DH370,"&gt;0"),0)</f>
        <v>0</v>
      </c>
      <c r="DI371">
        <f>IF(IF(OR(IFERROR(SEARCH("Cleric",$T371,1),0)&gt;0,IFERROR(SEARCH(DivineDomain&amp;",",$T371,1),0)&gt;0),1,0)*IF($C371=DI$2,1,0)=1,1+COUNTIF(DI$3:DI370,"&gt;0"),0)</f>
        <v>0</v>
      </c>
      <c r="DJ371">
        <f>IF(IF(OR(IFERROR(SEARCH("Druid",$T371,1),0)&gt;0,IFERROR(SEARCH(DruidLand1,$T371,1),0)&gt;0,IFERROR(SEARCH(DruidLand2,$T371,1),0)&gt;0,IFERROR(SEARCH(DruidLand3,$T371,1),0)&gt;0,IFERROR(SEARCH(DruidLand4,$T371,1),0)&gt;0),1,0)*IF($C371=1,1,0)*IF($C371=DJ$2,1,0)=0,0,1+COUNTIF(DJ$3:DJ370,"&gt;0"))</f>
        <v>0</v>
      </c>
      <c r="DK371">
        <f>IF(IF(OR(IFERROR(SEARCH("Druid",$T371,1),0)&gt;0,IFERROR(SEARCH(DruidLand1,$T371,1),0)&gt;0,IFERROR(SEARCH(DruidLand2,$T371,1),0)&gt;0,IFERROR(SEARCH(DruidLand3,$T371,1),0)&gt;0,IFERROR(SEARCH(DruidLand4,$T371,1),0)&gt;0),1,0)*IF($C371=DK$2,1,0)=0,0,1+COUNTIF(DK$3:DK370,"&gt;0"))</f>
        <v>0</v>
      </c>
      <c r="DL371">
        <f>IF(IF(OR(IFERROR(SEARCH("Druid",$T371,1),0)&gt;0,IFERROR(SEARCH(DruidLand1,$T371,1),0)&gt;0,IFERROR(SEARCH(DruidLand2,$T371,1),0)&gt;0,IFERROR(SEARCH(DruidLand3,$T371,1),0)&gt;0,IFERROR(SEARCH(DruidLand4,$T371,1),0)&gt;0),1,0)*IF($C371=DL$2,1,0)=0,0,1+COUNTIF(DL$3:DL370,"&gt;0"))</f>
        <v>0</v>
      </c>
      <c r="DM371">
        <f>IF(IF(OR(IFERROR(SEARCH("Druid",$T371,1),0)&gt;0,IFERROR(SEARCH(DruidLand1,$T371,1),0)&gt;0,IFERROR(SEARCH(DruidLand2,$T371,1),0)&gt;0,IFERROR(SEARCH(DruidLand3,$T371,1),0)&gt;0,IFERROR(SEARCH(DruidLand4,$T371,1),0)&gt;0),1,0)*IF($C371=DM$2,1,0)=0,0,1+COUNTIF(DM$3:DM370,"&gt;0"))</f>
        <v>0</v>
      </c>
      <c r="DN371">
        <f>IF(IF(OR(IFERROR(SEARCH("Druid",$T371,1),0)&gt;0,IFERROR(SEARCH(DruidLand1,$T371,1),0)&gt;0,IFERROR(SEARCH(DruidLand2,$T371,1),0)&gt;0,IFERROR(SEARCH(DruidLand3,$T371,1),0)&gt;0,IFERROR(SEARCH(DruidLand4,$T371,1),0)&gt;0),1,0)*IF($C371=DN$2,1,0)=0,0,1+COUNTIF(DN$3:DN370,"&gt;0"))</f>
        <v>0</v>
      </c>
      <c r="DO371">
        <f>IF(IF(OR(IFERROR(SEARCH("Druid",$T371,1),0)&gt;0,IFERROR(SEARCH(DruidLand1,$T371,1),0)&gt;0,IFERROR(SEARCH(DruidLand2,$T371,1),0)&gt;0,IFERROR(SEARCH(DruidLand3,$T371,1),0)&gt;0,IFERROR(SEARCH(DruidLand4,$T371,1),0)&gt;0),1,0)*IF($C371=DO$2,1,0)=0,0,1+COUNTIF(DO$3:DO370,"&gt;0"))</f>
        <v>0</v>
      </c>
      <c r="DP371">
        <f>IF(IF(OR(IFERROR(SEARCH("Druid",$T371,1),0)&gt;0,IFERROR(SEARCH(DruidLand1,$T371,1),0)&gt;0,IFERROR(SEARCH(DruidLand2,$T371,1),0)&gt;0,IFERROR(SEARCH(DruidLand3,$T371,1),0)&gt;0,IFERROR(SEARCH(DruidLand4,$T371,1),0)&gt;0),1,0)*IF($C371=DP$2,1,0)=0,0,1+COUNTIF(DP$3:DP370,"&gt;0"))</f>
        <v>0</v>
      </c>
      <c r="DQ371">
        <f>IF(IF(OR(IFERROR(SEARCH("Druid",$T371,1),0)&gt;0,IFERROR(SEARCH(DruidLand1,$T371,1),0)&gt;0,IFERROR(SEARCH(DruidLand2,$T371,1),0)&gt;0,IFERROR(SEARCH(DruidLand3,$T371,1),0)&gt;0,IFERROR(SEARCH(DruidLand4,$T371,1),0)&gt;0),1,0)*IF($C371=DQ$2,1,0)=0,0,1+COUNTIF(DQ$3:DQ370,"&gt;0"))</f>
        <v>0</v>
      </c>
      <c r="DR371">
        <f>IF(IF(OR(IFERROR(SEARCH("Druid",$T371,1),0)&gt;0,IFERROR(SEARCH(DruidLand1,$T371,1),0)&gt;0,IFERROR(SEARCH(DruidLand2,$T371,1),0)&gt;0,IFERROR(SEARCH(DruidLand3,$T371,1),0)&gt;0,IFERROR(SEARCH(DruidLand4,$T371,1),0)&gt;0),1,0)*IF($C371=DR$2,1,0)=0,0,1+COUNTIF(DR$3:DR370,"&gt;0"))</f>
        <v>0</v>
      </c>
      <c r="DS371">
        <f>IF(IF(OR(IFERROR(SEARCH("Paladin",$T371,1),0)&gt;0,IFERROR(SEARCH(PaladinOath,$T371,1),0)&gt;0),1,0)*IF($C371=DS$2,1,0)=1,1+COUNTIF(DS$3:DS370,"&gt;0"),0)</f>
        <v>0</v>
      </c>
      <c r="DT371">
        <f>IF(IF(OR(IFERROR(SEARCH("Paladin",$T371,1),0)&gt;0,IFERROR(SEARCH(PaladinOath,$T371,1),0)&gt;0),1,0)*IF($C371=DT$2,1,0)=1,1+COUNTIF(DT$3:DT370,"&gt;0"),0)</f>
        <v>0</v>
      </c>
      <c r="DU371">
        <f>IF(IF(OR(IFERROR(SEARCH("Paladin",$T371,1),0)&gt;0,IFERROR(SEARCH(PaladinOath,$T371,1),0)&gt;0),1,0)*IF($C371=DU$2,1,0)=1,1+COUNTIF(DU$3:DU370,"&gt;0"),0)</f>
        <v>0</v>
      </c>
      <c r="DV371">
        <f>IF(IF(OR(IFERROR(SEARCH("Paladin",$T371,1),0)&gt;0,IFERROR(SEARCH(PaladinOath,$T371,1),0)&gt;0),1,0)*IF($C371=DV$2,1,0)=1,1+COUNTIF(DV$3:DV370,"&gt;0"),0)</f>
        <v>0</v>
      </c>
      <c r="DW371">
        <f>IF(IF(OR(IFERROR(SEARCH("Paladin",$T371,1),0)&gt;0,IFERROR(SEARCH(PaladinOath,$T371,1),0)&gt;0),1,0)*IF($C371=DW$2,1,0)=1,1+COUNTIF(DW$3:DW370,"&gt;0"),0)</f>
        <v>0</v>
      </c>
      <c r="DY371">
        <f t="shared" si="278"/>
        <v>1</v>
      </c>
      <c r="DZ371">
        <f>IF(DY371=0,0,1+MAX(DZ$3:$DZ370))</f>
        <v>369</v>
      </c>
      <c r="EB371">
        <f t="shared" si="293"/>
        <v>0</v>
      </c>
      <c r="EC371">
        <f>IF(EB371=0,0,1+COUNTIF(EC$3:EC370,"&gt;0"))</f>
        <v>0</v>
      </c>
      <c r="ED371" t="str">
        <f t="shared" si="321"/>
        <v/>
      </c>
      <c r="EE371" t="str">
        <f t="shared" si="294"/>
        <v/>
      </c>
      <c r="EG371">
        <f t="shared" si="295"/>
        <v>0</v>
      </c>
      <c r="EH371">
        <f>IF(EG371=0,0,1+COUNTIF(EH$3:EH370,"&gt;0"))</f>
        <v>0</v>
      </c>
      <c r="EI371" t="str">
        <f t="shared" si="322"/>
        <v/>
      </c>
      <c r="EJ371" t="str">
        <f t="shared" si="296"/>
        <v/>
      </c>
      <c r="EL371">
        <f t="shared" si="297"/>
        <v>1</v>
      </c>
      <c r="EM371">
        <f>IF(EL371=0,0,1+COUNTIF(EM$3:EM370,"&gt;0"))</f>
        <v>9</v>
      </c>
      <c r="EN371" t="str">
        <f t="shared" si="323"/>
        <v/>
      </c>
      <c r="EO371" t="str">
        <f t="shared" si="298"/>
        <v/>
      </c>
      <c r="EQ371">
        <f t="shared" si="299"/>
        <v>0</v>
      </c>
      <c r="ER371">
        <f>IF(EQ371=0,0,1+COUNTIF(ER$3:ER370,"&gt;0"))</f>
        <v>0</v>
      </c>
      <c r="ES371" t="str">
        <f t="shared" si="324"/>
        <v/>
      </c>
      <c r="ET371" t="str">
        <f t="shared" si="300"/>
        <v/>
      </c>
      <c r="EV371">
        <f t="shared" si="301"/>
        <v>0</v>
      </c>
      <c r="EW371">
        <f>IF(EV371=0,0,1+COUNTIF(EW$3:EW370,"&gt;0"))</f>
        <v>0</v>
      </c>
      <c r="EX371" t="str">
        <f t="shared" si="325"/>
        <v/>
      </c>
      <c r="EY371" t="str">
        <f t="shared" si="302"/>
        <v/>
      </c>
      <c r="FA371">
        <f t="shared" si="303"/>
        <v>1</v>
      </c>
      <c r="FB371">
        <f>IF(FA371=0,0,1+COUNTIF(FB$3:FB370,"&gt;0"))</f>
        <v>17</v>
      </c>
      <c r="FC371" t="str">
        <f t="shared" si="326"/>
        <v/>
      </c>
      <c r="FD371" t="str">
        <f t="shared" si="304"/>
        <v/>
      </c>
      <c r="FF371">
        <f t="shared" si="305"/>
        <v>1</v>
      </c>
      <c r="FG371">
        <f>IF(FF371=0,0,1+COUNTIF(FG$3:FG370,"&gt;0"))</f>
        <v>9</v>
      </c>
      <c r="FH371" t="str">
        <f t="shared" si="327"/>
        <v/>
      </c>
      <c r="FI371" t="str">
        <f t="shared" si="306"/>
        <v/>
      </c>
      <c r="FK371">
        <f t="shared" si="307"/>
        <v>1</v>
      </c>
      <c r="FL371">
        <f>IF(FK371=0,0,1+COUNTIF(FL$3:FL370,"&gt;0"))</f>
        <v>17</v>
      </c>
      <c r="FM371" t="str">
        <f t="shared" si="328"/>
        <v/>
      </c>
      <c r="FN371" t="str">
        <f t="shared" si="308"/>
        <v/>
      </c>
      <c r="FP371">
        <f t="shared" si="309"/>
        <v>0</v>
      </c>
      <c r="FQ371">
        <f>IF(FP371=0,0,1+COUNTIF(FQ$3:FQ370,"&gt;0"))</f>
        <v>0</v>
      </c>
      <c r="FR371" t="str">
        <f t="shared" si="329"/>
        <v/>
      </c>
      <c r="FS371" t="str">
        <f t="shared" si="310"/>
        <v/>
      </c>
    </row>
    <row r="372" spans="1:175" x14ac:dyDescent="0.25">
      <c r="A372" s="347">
        <f t="shared" si="331"/>
        <v>370</v>
      </c>
      <c r="B372" s="398" t="s">
        <v>5533</v>
      </c>
      <c r="C372" s="348" t="s">
        <v>5277</v>
      </c>
      <c r="D372" s="347">
        <v>0.5</v>
      </c>
      <c r="E372" s="627" t="s">
        <v>6957</v>
      </c>
      <c r="F372" s="346"/>
      <c r="G372" s="347" t="str">
        <f>""</f>
        <v/>
      </c>
      <c r="H372" s="347" t="s">
        <v>5912</v>
      </c>
      <c r="I372" s="347" t="s">
        <v>424</v>
      </c>
      <c r="J372" s="347" t="str">
        <f t="shared" si="279"/>
        <v/>
      </c>
      <c r="K372" s="347" t="s">
        <v>5278</v>
      </c>
      <c r="L372" s="611" t="str">
        <f t="shared" si="280"/>
        <v>S</v>
      </c>
      <c r="M372" s="347" t="s">
        <v>3034</v>
      </c>
      <c r="N372" s="347" t="s">
        <v>2387</v>
      </c>
      <c r="O372" s="347" t="s">
        <v>3034</v>
      </c>
      <c r="P372" s="346" t="str">
        <f>""</f>
        <v/>
      </c>
      <c r="Q372" s="347" t="s">
        <v>5276</v>
      </c>
      <c r="S372" s="346" t="s">
        <v>5874</v>
      </c>
      <c r="T372" s="346" t="str">
        <f t="shared" si="281"/>
        <v xml:space="preserve">Sorcerer, Druid, Wizard, </v>
      </c>
      <c r="X372" s="347" t="str">
        <f t="shared" si="333"/>
        <v>Control Flames</v>
      </c>
      <c r="AA372" s="347" t="str">
        <f t="shared" si="335"/>
        <v>Control Flames</v>
      </c>
      <c r="AD372" s="347" t="str">
        <f t="shared" si="334"/>
        <v>Control Flames</v>
      </c>
      <c r="AE372" t="str">
        <f>IF(IFERROR(MATCH($B372,temp!A$4:A$13,0),0)&gt;0,T08_Spells!AE$2,"")</f>
        <v/>
      </c>
      <c r="AF372" t="str">
        <f>IF(IFERROR(MATCH($B372,temp!B$4:B$13,0),0)&gt;0,T08_Spells!AF$2,"")</f>
        <v/>
      </c>
      <c r="AG372" t="str">
        <f>IF(IFERROR(MATCH($B372,temp!C$4:C$13,0),0)&gt;0,T08_Spells!AG$2,"")</f>
        <v/>
      </c>
      <c r="AH372" t="str">
        <f>IF(IFERROR(MATCH($B372,temp!D$4:D$13,0),0)&gt;0,T08_Spells!AH$2,"")</f>
        <v/>
      </c>
      <c r="AI372" t="str">
        <f>IF(IFERROR(MATCH($B372,temp!E$4:E$13,0),0)&gt;0,T08_Spells!AI$2,"")</f>
        <v/>
      </c>
      <c r="AJ372" t="str">
        <f>IF(IFERROR(MATCH($B372,temp!F$4:F$13,0),0)&gt;0,T08_Spells!AJ$2,"")</f>
        <v/>
      </c>
      <c r="AK372" t="str">
        <f>IF(IFERROR(MATCH($B372,temp!G$4:G$13,0),0)&gt;0,T08_Spells!AK$2,"")</f>
        <v/>
      </c>
      <c r="AL372" t="str">
        <f>IF(IFERROR(MATCH($B372,temp!H$4:H$13,0),0)&gt;0,T08_Spells!AL$2,"")</f>
        <v/>
      </c>
      <c r="AM372" t="str">
        <f>IF(IFERROR(MATCH($B372,temp!I$4:I$13,0),0)&gt;0,T08_Spells!AM$2,"")</f>
        <v/>
      </c>
      <c r="AN372" t="str">
        <f>IF(IFERROR(MATCH($B372,temp!J$4:J$13,0),0)&gt;0,T08_Spells!AN$2,"")</f>
        <v/>
      </c>
      <c r="AO372" t="str">
        <f>IF(IFERROR(MATCH($B372,temp!K$4:K$13,0),0)&gt;0,T08_Spells!AO$2,"")</f>
        <v/>
      </c>
      <c r="AP372" t="str">
        <f>IF(IFERROR(MATCH($B372,temp!L$4:L$13,0),0)&gt;0,T08_Spells!AP$2,"")</f>
        <v/>
      </c>
      <c r="AQ372" t="str">
        <f>IF(IFERROR(MATCH($B372,temp!M$4:M$13,0),0)&gt;0,T08_Spells!AQ$2,"")</f>
        <v/>
      </c>
      <c r="AR372" t="str">
        <f>IF(IFERROR(MATCH($B372,temp!N$4:N$13,0),0)&gt;0,T08_Spells!AR$2,"")</f>
        <v/>
      </c>
      <c r="AS372" t="str">
        <f>IF(IFERROR(MATCH($B372,temp!O$4:O$13,0),0)&gt;0,T08_Spells!AS$2,"")</f>
        <v/>
      </c>
      <c r="AT372" t="str">
        <f>IF(IFERROR(MATCH($B372,temp!P$4:P$13,0),0)&gt;0,T08_Spells!AT$2,"")</f>
        <v/>
      </c>
      <c r="AU372" t="str">
        <f>IF(IFERROR(MATCH($B372,temp!Q$4:Q$13,0),0)&gt;0,T08_Spells!AU$2,"")</f>
        <v/>
      </c>
      <c r="AV372" t="str">
        <f>IF(IFERROR(MATCH($B372,temp!R$4:R$13,0),0)&gt;0,T08_Spells!AV$2,"")</f>
        <v/>
      </c>
      <c r="AW372" t="str">
        <f>IF(IFERROR(MATCH($B372,temp!S$4:S$13,0),0)&gt;0,T08_Spells!AW$2,"")</f>
        <v/>
      </c>
      <c r="AX372" t="str">
        <f>IF(IFERROR(MATCH($B372,temp!T$4:T$13,0),0)&gt;0,T08_Spells!AX$2,"")</f>
        <v/>
      </c>
      <c r="AY372" t="str">
        <f>IF(IFERROR(MATCH($B372,temp!U$4:U$13,0),0)&gt;0,T08_Spells!AY$2,"")</f>
        <v/>
      </c>
      <c r="AZ372" t="str">
        <f>IF(IFERROR(MATCH($B372,temp!V$4:V$13,0),0)&gt;0,T08_Spells!AZ$2,"")</f>
        <v/>
      </c>
      <c r="BA372" t="str">
        <f>IF(IFERROR(MATCH($B372,temp!W$4:W$13,0),0)&gt;0,T08_Spells!BA$2,"")</f>
        <v/>
      </c>
      <c r="BC372">
        <f>IF(IFERROR(SEARCH("Ranger",$T372,1),0)&gt;0,1,0)*IF(RangerMaxSpellLevel&gt;=$C372,1,0)*IF(IFERROR(MATCH(B372,Character_Creation!$X$79:$X$382,0),0)&gt;0,0,1)</f>
        <v>0</v>
      </c>
      <c r="BD372">
        <f>IF(BC372=0,0,1+COUNTIF(BD$3:BD371,"&gt;0"))</f>
        <v>0</v>
      </c>
      <c r="BE372" t="str">
        <f t="shared" si="311"/>
        <v/>
      </c>
      <c r="BF372" t="str">
        <f t="shared" si="283"/>
        <v/>
      </c>
      <c r="BH372">
        <f>IF(IFERROR(SEARCH("Sorcerer",$T372,1),0)&gt;0,1,0)*IF(SorcererMaxSpellLevel&gt;=$C372,1,0)*IF(IFERROR(MATCH(B372,Character_Creation!$J$380:$J$394,0),0)&gt;0,0,1)</f>
        <v>0</v>
      </c>
      <c r="BI372">
        <f>IF(BH372=0,0,1+COUNTIF(BI$3:BI371,"&gt;0"))</f>
        <v>0</v>
      </c>
      <c r="BJ372" t="str">
        <f t="shared" si="312"/>
        <v/>
      </c>
      <c r="BK372" t="str">
        <f t="shared" si="284"/>
        <v/>
      </c>
      <c r="BM372">
        <f>IF(OR(IFERROR(SEARCH("Warlock",$T372,1),0)&gt;0,IFERROR(SEARCH(WarlockPatron,$T372,1),0)&gt;0),1,0)*IF(WarlockMaxSpellLevel&gt;=$C372,1,0)*IF(IFERROR(MATCH(B372,Character_Creation!$J$361:$J$375,0),0)&gt;0,0,1)</f>
        <v>0</v>
      </c>
      <c r="BN372">
        <f>IF(BM372=0,0,1+COUNTIF(BN$3:BN371,"&gt;0"))</f>
        <v>0</v>
      </c>
      <c r="BO372" t="str">
        <f t="shared" si="313"/>
        <v/>
      </c>
      <c r="BP372" t="str">
        <f t="shared" si="285"/>
        <v/>
      </c>
      <c r="BR372">
        <f>IF(IFERROR(SEARCH("Eldritch Knight",$T372,1),0)&gt;0,1,0)*IF(EldritchKnightMaxSpellLevel&gt;=$C372,1,0)*IF(IFERROR(MATCH($B372,Character_Creation!$J$350:$J$356,0),0)&gt;0,0,1)*IF(Character_Creation!$M$338&gt;0,1,0)</f>
        <v>0</v>
      </c>
      <c r="BS372">
        <f>IF(BR372=0,0,1+COUNTIF(BS$3:BS371,"&gt;0"))</f>
        <v>0</v>
      </c>
      <c r="BT372" t="str">
        <f t="shared" si="314"/>
        <v/>
      </c>
      <c r="BU372" t="str">
        <f t="shared" si="286"/>
        <v/>
      </c>
      <c r="BW372">
        <f>IF(IFERROR(SEARCH("Arcane Trickster",$T372,1),0)&gt;0,1,0)*IF(ArcaneTricksterMaxSpellLevel&gt;=$C372,1,0)*IF(IFERROR(MATCH($B372,Character_Creation!$J$350:$J$356,0),0)&gt;0,0,1)*IF(Character_Creation!$T$338&gt;0,1,0)</f>
        <v>0</v>
      </c>
      <c r="BX372">
        <f>IF(BW372=0,0,1+COUNTIF(BX$3:BX371,"&gt;0"))</f>
        <v>0</v>
      </c>
      <c r="BY372" t="str">
        <f t="shared" si="315"/>
        <v/>
      </c>
      <c r="BZ372" t="str">
        <f t="shared" si="287"/>
        <v/>
      </c>
      <c r="CB372">
        <f>IF(IFERROR(SEARCH("Wizard",$T372,1),0)&gt;0,1,0)*IF(C372&lt;=ArcaneTricksterMaxSpellLevel,1,0)*IF(IFERROR(MATCH($B372,Character_Creation!$J$350:$J$356,0),0)&gt;0,0,1)*IF(Character_Creation!$T$350&gt;0,1,0)</f>
        <v>0</v>
      </c>
      <c r="CC372">
        <f>IF(CB372=0,0,1+COUNTIF(CC$3:CC371,"&gt;0"))</f>
        <v>0</v>
      </c>
      <c r="CD372" t="str">
        <f t="shared" si="316"/>
        <v/>
      </c>
      <c r="CE372" t="str">
        <f t="shared" si="288"/>
        <v/>
      </c>
      <c r="CG372">
        <f>IF(IFERROR(SEARCH("Wizard",$T372,1),0)&gt;0,1,0)*IF($C372&lt;=EldritchKnightMaxSpellLevel,1,0)*IF(IFERROR(MATCH($B372,Character_Creation!$J$350:$J$356,0),0)&gt;0,0,1)*IF(Character_Creation!$M$350&gt;0,1,0)</f>
        <v>0</v>
      </c>
      <c r="CH372">
        <f>IF(CG372=0,0,1+COUNTIF(CH$3:CH371,"&gt;0"))</f>
        <v>0</v>
      </c>
      <c r="CI372" t="str">
        <f t="shared" si="317"/>
        <v/>
      </c>
      <c r="CJ372" t="str">
        <f t="shared" si="289"/>
        <v/>
      </c>
      <c r="CL372">
        <f>IF(IFERROR(SEARCH("Bard",$T372,1),0)&gt;0,1,0)*IF(BardMaxSpellLevel&gt;=$C372,1,0)*IF(IFERROR(MATCH(B372,Character_Creation!$C$341:$F$362,0),0)&gt;0,0,1)*IF(IFERROR(MATCH($B372,Character_Creation!$C$341:$C$362,0),0)&gt;0,0,1)</f>
        <v>0</v>
      </c>
      <c r="CM372">
        <f>IF(CL372=0,0,1+COUNTIF(CM$3:CM371,"&gt;0"))</f>
        <v>0</v>
      </c>
      <c r="CN372" t="str">
        <f t="shared" si="318"/>
        <v/>
      </c>
      <c r="CO372" t="str">
        <f t="shared" si="290"/>
        <v/>
      </c>
      <c r="CQ372">
        <f>IF(IFERROR(SEARCH("Wizard",$T372,1),0)&gt;0,1,0)*IF(WizardMaxSpellLevel&gt;=$C372,1,0)*IF(IFERROR(MATCH(B372,Character_Creation!$X$341:$X$400,0),0)&gt;0,0,1)*IF(SelectedWizardSpellLevel=$C372,1,0)</f>
        <v>0</v>
      </c>
      <c r="CR372">
        <f>IF(CQ372=0,0,1+COUNTIF(CR$3:CR371,"&gt;0"))</f>
        <v>0</v>
      </c>
      <c r="CS372" t="str">
        <f t="shared" si="319"/>
        <v/>
      </c>
      <c r="CT372" t="str">
        <f t="shared" si="291"/>
        <v/>
      </c>
      <c r="CV372">
        <f>IF(IFERROR(MATCH($B372,Character_Creation!$C$341:$C$362,0),0)&gt;0,0,1)*IF(OR(C372="Cantrip",C372&lt;=BardMaxSpellLevel),1,0)*IF(IFERROR(MATCH($B372,Character_Creation!$C$367:$C$374,0),0)&gt;0,0,1)</f>
        <v>1</v>
      </c>
      <c r="CW372">
        <f>IF(CV372=0,0,1+COUNTIF(CW$3:CW371,"&gt;0"))</f>
        <v>29</v>
      </c>
      <c r="CX372" t="str">
        <f t="shared" si="320"/>
        <v/>
      </c>
      <c r="CY372" t="str">
        <f t="shared" si="292"/>
        <v/>
      </c>
      <c r="DA372">
        <f>IF(IF(OR(IFERROR(SEARCH("Cleric",$T372,1),0)&gt;0,IFERROR(SEARCH(DivineDomain&amp;",",$T372,1),0)&gt;0),1,0)*IF($C372=DA$2,1,0)=1,1+COUNTIF(DA$3:DA371,"&gt;0"),0)</f>
        <v>0</v>
      </c>
      <c r="DB372">
        <f>IF(IF(OR(IFERROR(SEARCH("Cleric",$T372,1),0)&gt;0,IFERROR(SEARCH(DivineDomain&amp;",",$T372,1),0)&gt;0),1,0)*IF($C372=DB$2,1,0)=1,1+COUNTIF(DB$3:DB371,"&gt;0"),0)</f>
        <v>0</v>
      </c>
      <c r="DC372">
        <f>IF(IF(OR(IFERROR(SEARCH("Cleric",$T372,1),0)&gt;0,IFERROR(SEARCH(DivineDomain&amp;",",$T372,1),0)&gt;0),1,0)*IF($C372=DC$2,1,0)=1,1+COUNTIF(DC$3:DC371,"&gt;0"),0)</f>
        <v>0</v>
      </c>
      <c r="DD372">
        <f>IF(IF(OR(IFERROR(SEARCH("Cleric",$T372,1),0)&gt;0,IFERROR(SEARCH(DivineDomain&amp;",",$T372,1),0)&gt;0),1,0)*IF($C372=DD$2,1,0)=1,1+COUNTIF(DD$3:DD371,"&gt;0"),0)</f>
        <v>0</v>
      </c>
      <c r="DE372">
        <f>IF(IF(OR(IFERROR(SEARCH("Cleric",$T372,1),0)&gt;0,IFERROR(SEARCH(DivineDomain&amp;",",$T372,1),0)&gt;0),1,0)*IF($C372=DE$2,1,0)=1,1+COUNTIF(DE$3:DE371,"&gt;0"),0)</f>
        <v>0</v>
      </c>
      <c r="DF372">
        <f>IF(IF(OR(IFERROR(SEARCH("Cleric",$T372,1),0)&gt;0,IFERROR(SEARCH(DivineDomain&amp;",",$T372,1),0)&gt;0),1,0)*IF($C372=DF$2,1,0)=1,1+COUNTIF(DF$3:DF371,"&gt;0"),0)</f>
        <v>0</v>
      </c>
      <c r="DG372">
        <f>IF(IF(OR(IFERROR(SEARCH("Cleric",$T372,1),0)&gt;0,IFERROR(SEARCH(DivineDomain&amp;",",$T372,1),0)&gt;0),1,0)*IF($C372=DG$2,1,0)=1,1+COUNTIF(DG$3:DG371,"&gt;0"),0)</f>
        <v>0</v>
      </c>
      <c r="DH372">
        <f>IF(IF(OR(IFERROR(SEARCH("Cleric",$T372,1),0)&gt;0,IFERROR(SEARCH(DivineDomain&amp;",",$T372,1),0)&gt;0),1,0)*IF($C372=DH$2,1,0)=1,1+COUNTIF(DH$3:DH371,"&gt;0"),0)</f>
        <v>0</v>
      </c>
      <c r="DI372">
        <f>IF(IF(OR(IFERROR(SEARCH("Cleric",$T372,1),0)&gt;0,IFERROR(SEARCH(DivineDomain&amp;",",$T372,1),0)&gt;0),1,0)*IF($C372=DI$2,1,0)=1,1+COUNTIF(DI$3:DI371,"&gt;0"),0)</f>
        <v>0</v>
      </c>
      <c r="DJ372">
        <f>IF(IF(OR(IFERROR(SEARCH("Druid",$T372,1),0)&gt;0,IFERROR(SEARCH(DruidLand1,$T372,1),0)&gt;0,IFERROR(SEARCH(DruidLand2,$T372,1),0)&gt;0,IFERROR(SEARCH(DruidLand3,$T372,1),0)&gt;0,IFERROR(SEARCH(DruidLand4,$T372,1),0)&gt;0),1,0)*IF($C372=1,1,0)*IF($C372=DJ$2,1,0)=0,0,1+COUNTIF(DJ$3:DJ371,"&gt;0"))</f>
        <v>0</v>
      </c>
      <c r="DK372">
        <f>IF(IF(OR(IFERROR(SEARCH("Druid",$T372,1),0)&gt;0,IFERROR(SEARCH(DruidLand1,$T372,1),0)&gt;0,IFERROR(SEARCH(DruidLand2,$T372,1),0)&gt;0,IFERROR(SEARCH(DruidLand3,$T372,1),0)&gt;0,IFERROR(SEARCH(DruidLand4,$T372,1),0)&gt;0),1,0)*IF($C372=DK$2,1,0)=0,0,1+COUNTIF(DK$3:DK371,"&gt;0"))</f>
        <v>0</v>
      </c>
      <c r="DL372">
        <f>IF(IF(OR(IFERROR(SEARCH("Druid",$T372,1),0)&gt;0,IFERROR(SEARCH(DruidLand1,$T372,1),0)&gt;0,IFERROR(SEARCH(DruidLand2,$T372,1),0)&gt;0,IFERROR(SEARCH(DruidLand3,$T372,1),0)&gt;0,IFERROR(SEARCH(DruidLand4,$T372,1),0)&gt;0),1,0)*IF($C372=DL$2,1,0)=0,0,1+COUNTIF(DL$3:DL371,"&gt;0"))</f>
        <v>0</v>
      </c>
      <c r="DM372">
        <f>IF(IF(OR(IFERROR(SEARCH("Druid",$T372,1),0)&gt;0,IFERROR(SEARCH(DruidLand1,$T372,1),0)&gt;0,IFERROR(SEARCH(DruidLand2,$T372,1),0)&gt;0,IFERROR(SEARCH(DruidLand3,$T372,1),0)&gt;0,IFERROR(SEARCH(DruidLand4,$T372,1),0)&gt;0),1,0)*IF($C372=DM$2,1,0)=0,0,1+COUNTIF(DM$3:DM371,"&gt;0"))</f>
        <v>0</v>
      </c>
      <c r="DN372">
        <f>IF(IF(OR(IFERROR(SEARCH("Druid",$T372,1),0)&gt;0,IFERROR(SEARCH(DruidLand1,$T372,1),0)&gt;0,IFERROR(SEARCH(DruidLand2,$T372,1),0)&gt;0,IFERROR(SEARCH(DruidLand3,$T372,1),0)&gt;0,IFERROR(SEARCH(DruidLand4,$T372,1),0)&gt;0),1,0)*IF($C372=DN$2,1,0)=0,0,1+COUNTIF(DN$3:DN371,"&gt;0"))</f>
        <v>0</v>
      </c>
      <c r="DO372">
        <f>IF(IF(OR(IFERROR(SEARCH("Druid",$T372,1),0)&gt;0,IFERROR(SEARCH(DruidLand1,$T372,1),0)&gt;0,IFERROR(SEARCH(DruidLand2,$T372,1),0)&gt;0,IFERROR(SEARCH(DruidLand3,$T372,1),0)&gt;0,IFERROR(SEARCH(DruidLand4,$T372,1),0)&gt;0),1,0)*IF($C372=DO$2,1,0)=0,0,1+COUNTIF(DO$3:DO371,"&gt;0"))</f>
        <v>0</v>
      </c>
      <c r="DP372">
        <f>IF(IF(OR(IFERROR(SEARCH("Druid",$T372,1),0)&gt;0,IFERROR(SEARCH(DruidLand1,$T372,1),0)&gt;0,IFERROR(SEARCH(DruidLand2,$T372,1),0)&gt;0,IFERROR(SEARCH(DruidLand3,$T372,1),0)&gt;0,IFERROR(SEARCH(DruidLand4,$T372,1),0)&gt;0),1,0)*IF($C372=DP$2,1,0)=0,0,1+COUNTIF(DP$3:DP371,"&gt;0"))</f>
        <v>0</v>
      </c>
      <c r="DQ372">
        <f>IF(IF(OR(IFERROR(SEARCH("Druid",$T372,1),0)&gt;0,IFERROR(SEARCH(DruidLand1,$T372,1),0)&gt;0,IFERROR(SEARCH(DruidLand2,$T372,1),0)&gt;0,IFERROR(SEARCH(DruidLand3,$T372,1),0)&gt;0,IFERROR(SEARCH(DruidLand4,$T372,1),0)&gt;0),1,0)*IF($C372=DQ$2,1,0)=0,0,1+COUNTIF(DQ$3:DQ371,"&gt;0"))</f>
        <v>0</v>
      </c>
      <c r="DR372">
        <f>IF(IF(OR(IFERROR(SEARCH("Druid",$T372,1),0)&gt;0,IFERROR(SEARCH(DruidLand1,$T372,1),0)&gt;0,IFERROR(SEARCH(DruidLand2,$T372,1),0)&gt;0,IFERROR(SEARCH(DruidLand3,$T372,1),0)&gt;0,IFERROR(SEARCH(DruidLand4,$T372,1),0)&gt;0),1,0)*IF($C372=DR$2,1,0)=0,0,1+COUNTIF(DR$3:DR371,"&gt;0"))</f>
        <v>0</v>
      </c>
      <c r="DS372">
        <f>IF(IF(OR(IFERROR(SEARCH("Paladin",$T372,1),0)&gt;0,IFERROR(SEARCH(PaladinOath,$T372,1),0)&gt;0),1,0)*IF($C372=DS$2,1,0)=1,1+COUNTIF(DS$3:DS371,"&gt;0"),0)</f>
        <v>0</v>
      </c>
      <c r="DT372">
        <f>IF(IF(OR(IFERROR(SEARCH("Paladin",$T372,1),0)&gt;0,IFERROR(SEARCH(PaladinOath,$T372,1),0)&gt;0),1,0)*IF($C372=DT$2,1,0)=1,1+COUNTIF(DT$3:DT371,"&gt;0"),0)</f>
        <v>0</v>
      </c>
      <c r="DU372">
        <f>IF(IF(OR(IFERROR(SEARCH("Paladin",$T372,1),0)&gt;0,IFERROR(SEARCH(PaladinOath,$T372,1),0)&gt;0),1,0)*IF($C372=DU$2,1,0)=1,1+COUNTIF(DU$3:DU371,"&gt;0"),0)</f>
        <v>0</v>
      </c>
      <c r="DV372">
        <f>IF(IF(OR(IFERROR(SEARCH("Paladin",$T372,1),0)&gt;0,IFERROR(SEARCH(PaladinOath,$T372,1),0)&gt;0),1,0)*IF($C372=DV$2,1,0)=1,1+COUNTIF(DV$3:DV371,"&gt;0"),0)</f>
        <v>0</v>
      </c>
      <c r="DW372">
        <f>IF(IF(OR(IFERROR(SEARCH("Paladin",$T372,1),0)&gt;0,IFERROR(SEARCH(PaladinOath,$T372,1),0)&gt;0),1,0)*IF($C372=DW$2,1,0)=1,1+COUNTIF(DW$3:DW371,"&gt;0"),0)</f>
        <v>0</v>
      </c>
      <c r="DY372">
        <f t="shared" si="278"/>
        <v>1</v>
      </c>
      <c r="DZ372">
        <f>IF(DY372=0,0,1+MAX(DZ$3:$DZ371))</f>
        <v>370</v>
      </c>
      <c r="EB372">
        <f t="shared" si="293"/>
        <v>0</v>
      </c>
      <c r="EC372">
        <f>IF(EB372=0,0,1+COUNTIF(EC$3:EC371,"&gt;0"))</f>
        <v>0</v>
      </c>
      <c r="ED372" t="str">
        <f t="shared" si="321"/>
        <v/>
      </c>
      <c r="EE372" t="str">
        <f t="shared" si="294"/>
        <v/>
      </c>
      <c r="EG372">
        <f t="shared" si="295"/>
        <v>0</v>
      </c>
      <c r="EH372">
        <f>IF(EG372=0,0,1+COUNTIF(EH$3:EH371,"&gt;0"))</f>
        <v>0</v>
      </c>
      <c r="EI372" t="str">
        <f t="shared" si="322"/>
        <v/>
      </c>
      <c r="EJ372" t="str">
        <f t="shared" si="296"/>
        <v/>
      </c>
      <c r="EL372">
        <f t="shared" si="297"/>
        <v>1</v>
      </c>
      <c r="EM372">
        <f>IF(EL372=0,0,1+COUNTIF(EM$3:EM371,"&gt;0"))</f>
        <v>10</v>
      </c>
      <c r="EN372" t="str">
        <f t="shared" si="323"/>
        <v/>
      </c>
      <c r="EO372" t="str">
        <f t="shared" si="298"/>
        <v/>
      </c>
      <c r="EQ372">
        <f t="shared" si="299"/>
        <v>0</v>
      </c>
      <c r="ER372">
        <f>IF(EQ372=0,0,1+COUNTIF(ER$3:ER371,"&gt;0"))</f>
        <v>0</v>
      </c>
      <c r="ES372" t="str">
        <f t="shared" si="324"/>
        <v/>
      </c>
      <c r="ET372" t="str">
        <f t="shared" si="300"/>
        <v/>
      </c>
      <c r="EV372">
        <f t="shared" si="301"/>
        <v>0</v>
      </c>
      <c r="EW372">
        <f>IF(EV372=0,0,1+COUNTIF(EW$3:EW371,"&gt;0"))</f>
        <v>0</v>
      </c>
      <c r="EX372" t="str">
        <f t="shared" si="325"/>
        <v/>
      </c>
      <c r="EY372" t="str">
        <f t="shared" si="302"/>
        <v/>
      </c>
      <c r="FA372">
        <f t="shared" si="303"/>
        <v>1</v>
      </c>
      <c r="FB372">
        <f>IF(FA372=0,0,1+COUNTIF(FB$3:FB371,"&gt;0"))</f>
        <v>18</v>
      </c>
      <c r="FC372" t="str">
        <f t="shared" si="326"/>
        <v/>
      </c>
      <c r="FD372" t="str">
        <f t="shared" si="304"/>
        <v/>
      </c>
      <c r="FF372">
        <f t="shared" si="305"/>
        <v>0</v>
      </c>
      <c r="FG372">
        <f>IF(FF372=0,0,1+COUNTIF(FG$3:FG371,"&gt;0"))</f>
        <v>0</v>
      </c>
      <c r="FH372" t="str">
        <f t="shared" si="327"/>
        <v/>
      </c>
      <c r="FI372" t="str">
        <f t="shared" si="306"/>
        <v/>
      </c>
      <c r="FK372">
        <f t="shared" si="307"/>
        <v>1</v>
      </c>
      <c r="FL372">
        <f>IF(FK372=0,0,1+COUNTIF(FL$3:FL371,"&gt;0"))</f>
        <v>18</v>
      </c>
      <c r="FM372" t="str">
        <f t="shared" si="328"/>
        <v/>
      </c>
      <c r="FN372" t="str">
        <f t="shared" si="308"/>
        <v/>
      </c>
      <c r="FP372">
        <f t="shared" si="309"/>
        <v>0</v>
      </c>
      <c r="FQ372">
        <f>IF(FP372=0,0,1+COUNTIF(FQ$3:FQ371,"&gt;0"))</f>
        <v>0</v>
      </c>
      <c r="FR372" t="str">
        <f t="shared" si="329"/>
        <v/>
      </c>
      <c r="FS372" t="str">
        <f t="shared" si="310"/>
        <v/>
      </c>
    </row>
    <row r="373" spans="1:175" x14ac:dyDescent="0.25">
      <c r="A373" s="347">
        <f t="shared" si="331"/>
        <v>371</v>
      </c>
      <c r="B373" s="398" t="s">
        <v>5534</v>
      </c>
      <c r="C373" s="348">
        <v>5</v>
      </c>
      <c r="D373" s="347">
        <v>5</v>
      </c>
      <c r="E373" s="627" t="s">
        <v>6957</v>
      </c>
      <c r="F373" s="346"/>
      <c r="G373" s="347" t="str">
        <f>""</f>
        <v/>
      </c>
      <c r="H373" s="347" t="s">
        <v>5912</v>
      </c>
      <c r="I373" s="347" t="s">
        <v>5334</v>
      </c>
      <c r="J373" s="347" t="str">
        <f t="shared" si="279"/>
        <v/>
      </c>
      <c r="K373" s="347" t="s">
        <v>5284</v>
      </c>
      <c r="L373" s="611" t="str">
        <f t="shared" si="280"/>
        <v>V, S</v>
      </c>
      <c r="M373" s="347" t="s">
        <v>2373</v>
      </c>
      <c r="N373" s="347" t="s">
        <v>2387</v>
      </c>
      <c r="O373" s="347" t="s">
        <v>3034</v>
      </c>
      <c r="P373" s="346" t="str">
        <f>""</f>
        <v/>
      </c>
      <c r="Q373" s="347" t="s">
        <v>5276</v>
      </c>
      <c r="S373" s="346" t="s">
        <v>5875</v>
      </c>
      <c r="T373" s="346" t="str">
        <f t="shared" si="281"/>
        <v xml:space="preserve">Sorcerer, Druid, Wizard, </v>
      </c>
      <c r="X373" s="347" t="str">
        <f t="shared" si="333"/>
        <v>Control Winds</v>
      </c>
      <c r="AA373" s="347" t="str">
        <f t="shared" si="335"/>
        <v>Control Winds</v>
      </c>
      <c r="AD373" s="347" t="str">
        <f t="shared" si="334"/>
        <v>Control Winds</v>
      </c>
      <c r="AE373" t="str">
        <f>IF(IFERROR(MATCH($B373,temp!A$4:A$13,0),0)&gt;0,T08_Spells!AE$2,"")</f>
        <v/>
      </c>
      <c r="AF373" t="str">
        <f>IF(IFERROR(MATCH($B373,temp!B$4:B$13,0),0)&gt;0,T08_Spells!AF$2,"")</f>
        <v/>
      </c>
      <c r="AG373" t="str">
        <f>IF(IFERROR(MATCH($B373,temp!C$4:C$13,0),0)&gt;0,T08_Spells!AG$2,"")</f>
        <v/>
      </c>
      <c r="AH373" t="str">
        <f>IF(IFERROR(MATCH($B373,temp!D$4:D$13,0),0)&gt;0,T08_Spells!AH$2,"")</f>
        <v/>
      </c>
      <c r="AI373" t="str">
        <f>IF(IFERROR(MATCH($B373,temp!E$4:E$13,0),0)&gt;0,T08_Spells!AI$2,"")</f>
        <v/>
      </c>
      <c r="AJ373" t="str">
        <f>IF(IFERROR(MATCH($B373,temp!F$4:F$13,0),0)&gt;0,T08_Spells!AJ$2,"")</f>
        <v/>
      </c>
      <c r="AK373" t="str">
        <f>IF(IFERROR(MATCH($B373,temp!G$4:G$13,0),0)&gt;0,T08_Spells!AK$2,"")</f>
        <v/>
      </c>
      <c r="AL373" t="str">
        <f>IF(IFERROR(MATCH($B373,temp!H$4:H$13,0),0)&gt;0,T08_Spells!AL$2,"")</f>
        <v/>
      </c>
      <c r="AM373" t="str">
        <f>IF(IFERROR(MATCH($B373,temp!I$4:I$13,0),0)&gt;0,T08_Spells!AM$2,"")</f>
        <v/>
      </c>
      <c r="AN373" t="str">
        <f>IF(IFERROR(MATCH($B373,temp!J$4:J$13,0),0)&gt;0,T08_Spells!AN$2,"")</f>
        <v/>
      </c>
      <c r="AO373" t="str">
        <f>IF(IFERROR(MATCH($B373,temp!K$4:K$13,0),0)&gt;0,T08_Spells!AO$2,"")</f>
        <v/>
      </c>
      <c r="AP373" t="str">
        <f>IF(IFERROR(MATCH($B373,temp!L$4:L$13,0),0)&gt;0,T08_Spells!AP$2,"")</f>
        <v/>
      </c>
      <c r="AQ373" t="str">
        <f>IF(IFERROR(MATCH($B373,temp!M$4:M$13,0),0)&gt;0,T08_Spells!AQ$2,"")</f>
        <v/>
      </c>
      <c r="AR373" t="str">
        <f>IF(IFERROR(MATCH($B373,temp!N$4:N$13,0),0)&gt;0,T08_Spells!AR$2,"")</f>
        <v/>
      </c>
      <c r="AS373" t="str">
        <f>IF(IFERROR(MATCH($B373,temp!O$4:O$13,0),0)&gt;0,T08_Spells!AS$2,"")</f>
        <v/>
      </c>
      <c r="AT373" t="str">
        <f>IF(IFERROR(MATCH($B373,temp!P$4:P$13,0),0)&gt;0,T08_Spells!AT$2,"")</f>
        <v/>
      </c>
      <c r="AU373" t="str">
        <f>IF(IFERROR(MATCH($B373,temp!Q$4:Q$13,0),0)&gt;0,T08_Spells!AU$2,"")</f>
        <v/>
      </c>
      <c r="AV373" t="str">
        <f>IF(IFERROR(MATCH($B373,temp!R$4:R$13,0),0)&gt;0,T08_Spells!AV$2,"")</f>
        <v/>
      </c>
      <c r="AW373" t="str">
        <f>IF(IFERROR(MATCH($B373,temp!S$4:S$13,0),0)&gt;0,T08_Spells!AW$2,"")</f>
        <v/>
      </c>
      <c r="AX373" t="str">
        <f>IF(IFERROR(MATCH($B373,temp!T$4:T$13,0),0)&gt;0,T08_Spells!AX$2,"")</f>
        <v/>
      </c>
      <c r="AY373" t="str">
        <f>IF(IFERROR(MATCH($B373,temp!U$4:U$13,0),0)&gt;0,T08_Spells!AY$2,"")</f>
        <v/>
      </c>
      <c r="AZ373" t="str">
        <f>IF(IFERROR(MATCH($B373,temp!V$4:V$13,0),0)&gt;0,T08_Spells!AZ$2,"")</f>
        <v/>
      </c>
      <c r="BA373" t="str">
        <f>IF(IFERROR(MATCH($B373,temp!W$4:W$13,0),0)&gt;0,T08_Spells!BA$2,"")</f>
        <v/>
      </c>
      <c r="BC373">
        <f>IF(IFERROR(SEARCH("Ranger",$T373,1),0)&gt;0,1,0)*IF(RangerMaxSpellLevel&gt;=$C373,1,0)*IF(IFERROR(MATCH(B373,Character_Creation!$X$79:$X$382,0),0)&gt;0,0,1)</f>
        <v>0</v>
      </c>
      <c r="BD373">
        <f>IF(BC373=0,0,1+COUNTIF(BD$3:BD372,"&gt;0"))</f>
        <v>0</v>
      </c>
      <c r="BE373" t="str">
        <f t="shared" si="311"/>
        <v/>
      </c>
      <c r="BF373" t="str">
        <f t="shared" si="283"/>
        <v/>
      </c>
      <c r="BH373">
        <f>IF(IFERROR(SEARCH("Sorcerer",$T373,1),0)&gt;0,1,0)*IF(SorcererMaxSpellLevel&gt;=$C373,1,0)*IF(IFERROR(MATCH(B373,Character_Creation!$J$380:$J$394,0),0)&gt;0,0,1)</f>
        <v>0</v>
      </c>
      <c r="BI373">
        <f>IF(BH373=0,0,1+COUNTIF(BI$3:BI372,"&gt;0"))</f>
        <v>0</v>
      </c>
      <c r="BJ373" t="str">
        <f t="shared" si="312"/>
        <v/>
      </c>
      <c r="BK373" t="str">
        <f t="shared" si="284"/>
        <v/>
      </c>
      <c r="BM373">
        <f>IF(OR(IFERROR(SEARCH("Warlock",$T373,1),0)&gt;0,IFERROR(SEARCH(WarlockPatron,$T373,1),0)&gt;0),1,0)*IF(WarlockMaxSpellLevel&gt;=$C373,1,0)*IF(IFERROR(MATCH(B373,Character_Creation!$J$361:$J$375,0),0)&gt;0,0,1)</f>
        <v>0</v>
      </c>
      <c r="BN373">
        <f>IF(BM373=0,0,1+COUNTIF(BN$3:BN372,"&gt;0"))</f>
        <v>0</v>
      </c>
      <c r="BO373" t="str">
        <f t="shared" si="313"/>
        <v/>
      </c>
      <c r="BP373" t="str">
        <f t="shared" si="285"/>
        <v/>
      </c>
      <c r="BR373">
        <f>IF(IFERROR(SEARCH("Eldritch Knight",$T373,1),0)&gt;0,1,0)*IF(EldritchKnightMaxSpellLevel&gt;=$C373,1,0)*IF(IFERROR(MATCH($B373,Character_Creation!$J$350:$J$356,0),0)&gt;0,0,1)*IF(Character_Creation!$M$338&gt;0,1,0)</f>
        <v>0</v>
      </c>
      <c r="BS373">
        <f>IF(BR373=0,0,1+COUNTIF(BS$3:BS372,"&gt;0"))</f>
        <v>0</v>
      </c>
      <c r="BT373" t="str">
        <f t="shared" si="314"/>
        <v/>
      </c>
      <c r="BU373" t="str">
        <f t="shared" si="286"/>
        <v/>
      </c>
      <c r="BW373">
        <f>IF(IFERROR(SEARCH("Arcane Trickster",$T373,1),0)&gt;0,1,0)*IF(ArcaneTricksterMaxSpellLevel&gt;=$C373,1,0)*IF(IFERROR(MATCH($B373,Character_Creation!$J$350:$J$356,0),0)&gt;0,0,1)*IF(Character_Creation!$T$338&gt;0,1,0)</f>
        <v>0</v>
      </c>
      <c r="BX373">
        <f>IF(BW373=0,0,1+COUNTIF(BX$3:BX372,"&gt;0"))</f>
        <v>0</v>
      </c>
      <c r="BY373" t="str">
        <f t="shared" si="315"/>
        <v/>
      </c>
      <c r="BZ373" t="str">
        <f t="shared" si="287"/>
        <v/>
      </c>
      <c r="CB373">
        <f>IF(IFERROR(SEARCH("Wizard",$T373,1),0)&gt;0,1,0)*IF(C373&lt;=ArcaneTricksterMaxSpellLevel,1,0)*IF(IFERROR(MATCH($B373,Character_Creation!$J$350:$J$356,0),0)&gt;0,0,1)*IF(Character_Creation!$T$350&gt;0,1,0)</f>
        <v>0</v>
      </c>
      <c r="CC373">
        <f>IF(CB373=0,0,1+COUNTIF(CC$3:CC372,"&gt;0"))</f>
        <v>0</v>
      </c>
      <c r="CD373" t="str">
        <f t="shared" si="316"/>
        <v/>
      </c>
      <c r="CE373" t="str">
        <f t="shared" si="288"/>
        <v/>
      </c>
      <c r="CG373">
        <f>IF(IFERROR(SEARCH("Wizard",$T373,1),0)&gt;0,1,0)*IF($C373&lt;=EldritchKnightMaxSpellLevel,1,0)*IF(IFERROR(MATCH($B373,Character_Creation!$J$350:$J$356,0),0)&gt;0,0,1)*IF(Character_Creation!$M$350&gt;0,1,0)</f>
        <v>0</v>
      </c>
      <c r="CH373">
        <f>IF(CG373=0,0,1+COUNTIF(CH$3:CH372,"&gt;0"))</f>
        <v>0</v>
      </c>
      <c r="CI373" t="str">
        <f t="shared" si="317"/>
        <v/>
      </c>
      <c r="CJ373" t="str">
        <f t="shared" si="289"/>
        <v/>
      </c>
      <c r="CL373">
        <f>IF(IFERROR(SEARCH("Bard",$T373,1),0)&gt;0,1,0)*IF(BardMaxSpellLevel&gt;=$C373,1,0)*IF(IFERROR(MATCH(B373,Character_Creation!$C$341:$F$362,0),0)&gt;0,0,1)*IF(IFERROR(MATCH($B373,Character_Creation!$C$341:$C$362,0),0)&gt;0,0,1)</f>
        <v>0</v>
      </c>
      <c r="CM373">
        <f>IF(CL373=0,0,1+COUNTIF(CM$3:CM372,"&gt;0"))</f>
        <v>0</v>
      </c>
      <c r="CN373" t="str">
        <f t="shared" si="318"/>
        <v/>
      </c>
      <c r="CO373" t="str">
        <f t="shared" si="290"/>
        <v/>
      </c>
      <c r="CQ373">
        <f>IF(IFERROR(SEARCH("Wizard",$T373,1),0)&gt;0,1,0)*IF(WizardMaxSpellLevel&gt;=$C373,1,0)*IF(IFERROR(MATCH(B373,Character_Creation!$X$341:$X$400,0),0)&gt;0,0,1)*IF(SelectedWizardSpellLevel=$C373,1,0)</f>
        <v>0</v>
      </c>
      <c r="CR373">
        <f>IF(CQ373=0,0,1+COUNTIF(CR$3:CR372,"&gt;0"))</f>
        <v>0</v>
      </c>
      <c r="CS373" t="str">
        <f t="shared" si="319"/>
        <v/>
      </c>
      <c r="CT373" t="str">
        <f t="shared" si="291"/>
        <v/>
      </c>
      <c r="CV373">
        <f>IF(IFERROR(MATCH($B373,Character_Creation!$C$341:$C$362,0),0)&gt;0,0,1)*IF(OR(C373="Cantrip",C373&lt;=BardMaxSpellLevel),1,0)*IF(IFERROR(MATCH($B373,Character_Creation!$C$367:$C$374,0),0)&gt;0,0,1)</f>
        <v>0</v>
      </c>
      <c r="CW373">
        <f>IF(CV373=0,0,1+COUNTIF(CW$3:CW372,"&gt;0"))</f>
        <v>0</v>
      </c>
      <c r="CX373" t="str">
        <f t="shared" si="320"/>
        <v/>
      </c>
      <c r="CY373" t="str">
        <f t="shared" si="292"/>
        <v/>
      </c>
      <c r="DA373">
        <f>IF(IF(OR(IFERROR(SEARCH("Cleric",$T373,1),0)&gt;0,IFERROR(SEARCH(DivineDomain&amp;",",$T373,1),0)&gt;0),1,0)*IF($C373=DA$2,1,0)=1,1+COUNTIF(DA$3:DA372,"&gt;0"),0)</f>
        <v>0</v>
      </c>
      <c r="DB373">
        <f>IF(IF(OR(IFERROR(SEARCH("Cleric",$T373,1),0)&gt;0,IFERROR(SEARCH(DivineDomain&amp;",",$T373,1),0)&gt;0),1,0)*IF($C373=DB$2,1,0)=1,1+COUNTIF(DB$3:DB372,"&gt;0"),0)</f>
        <v>0</v>
      </c>
      <c r="DC373">
        <f>IF(IF(OR(IFERROR(SEARCH("Cleric",$T373,1),0)&gt;0,IFERROR(SEARCH(DivineDomain&amp;",",$T373,1),0)&gt;0),1,0)*IF($C373=DC$2,1,0)=1,1+COUNTIF(DC$3:DC372,"&gt;0"),0)</f>
        <v>0</v>
      </c>
      <c r="DD373">
        <f>IF(IF(OR(IFERROR(SEARCH("Cleric",$T373,1),0)&gt;0,IFERROR(SEARCH(DivineDomain&amp;",",$T373,1),0)&gt;0),1,0)*IF($C373=DD$2,1,0)=1,1+COUNTIF(DD$3:DD372,"&gt;0"),0)</f>
        <v>0</v>
      </c>
      <c r="DE373">
        <f>IF(IF(OR(IFERROR(SEARCH("Cleric",$T373,1),0)&gt;0,IFERROR(SEARCH(DivineDomain&amp;",",$T373,1),0)&gt;0),1,0)*IF($C373=DE$2,1,0)=1,1+COUNTIF(DE$3:DE372,"&gt;0"),0)</f>
        <v>0</v>
      </c>
      <c r="DF373">
        <f>IF(IF(OR(IFERROR(SEARCH("Cleric",$T373,1),0)&gt;0,IFERROR(SEARCH(DivineDomain&amp;",",$T373,1),0)&gt;0),1,0)*IF($C373=DF$2,1,0)=1,1+COUNTIF(DF$3:DF372,"&gt;0"),0)</f>
        <v>0</v>
      </c>
      <c r="DG373">
        <f>IF(IF(OR(IFERROR(SEARCH("Cleric",$T373,1),0)&gt;0,IFERROR(SEARCH(DivineDomain&amp;",",$T373,1),0)&gt;0),1,0)*IF($C373=DG$2,1,0)=1,1+COUNTIF(DG$3:DG372,"&gt;0"),0)</f>
        <v>0</v>
      </c>
      <c r="DH373">
        <f>IF(IF(OR(IFERROR(SEARCH("Cleric",$T373,1),0)&gt;0,IFERROR(SEARCH(DivineDomain&amp;",",$T373,1),0)&gt;0),1,0)*IF($C373=DH$2,1,0)=1,1+COUNTIF(DH$3:DH372,"&gt;0"),0)</f>
        <v>0</v>
      </c>
      <c r="DI373">
        <f>IF(IF(OR(IFERROR(SEARCH("Cleric",$T373,1),0)&gt;0,IFERROR(SEARCH(DivineDomain&amp;",",$T373,1),0)&gt;0),1,0)*IF($C373=DI$2,1,0)=1,1+COUNTIF(DI$3:DI372,"&gt;0"),0)</f>
        <v>0</v>
      </c>
      <c r="DJ373">
        <f>IF(IF(OR(IFERROR(SEARCH("Druid",$T373,1),0)&gt;0,IFERROR(SEARCH(DruidLand1,$T373,1),0)&gt;0,IFERROR(SEARCH(DruidLand2,$T373,1),0)&gt;0,IFERROR(SEARCH(DruidLand3,$T373,1),0)&gt;0,IFERROR(SEARCH(DruidLand4,$T373,1),0)&gt;0),1,0)*IF($C373=1,1,0)*IF($C373=DJ$2,1,0)=0,0,1+COUNTIF(DJ$3:DJ372,"&gt;0"))</f>
        <v>0</v>
      </c>
      <c r="DK373">
        <f>IF(IF(OR(IFERROR(SEARCH("Druid",$T373,1),0)&gt;0,IFERROR(SEARCH(DruidLand1,$T373,1),0)&gt;0,IFERROR(SEARCH(DruidLand2,$T373,1),0)&gt;0,IFERROR(SEARCH(DruidLand3,$T373,1),0)&gt;0,IFERROR(SEARCH(DruidLand4,$T373,1),0)&gt;0),1,0)*IF($C373=DK$2,1,0)=0,0,1+COUNTIF(DK$3:DK372,"&gt;0"))</f>
        <v>0</v>
      </c>
      <c r="DL373">
        <f>IF(IF(OR(IFERROR(SEARCH("Druid",$T373,1),0)&gt;0,IFERROR(SEARCH(DruidLand1,$T373,1),0)&gt;0,IFERROR(SEARCH(DruidLand2,$T373,1),0)&gt;0,IFERROR(SEARCH(DruidLand3,$T373,1),0)&gt;0,IFERROR(SEARCH(DruidLand4,$T373,1),0)&gt;0),1,0)*IF($C373=DL$2,1,0)=0,0,1+COUNTIF(DL$3:DL372,"&gt;0"))</f>
        <v>0</v>
      </c>
      <c r="DM373">
        <f>IF(IF(OR(IFERROR(SEARCH("Druid",$T373,1),0)&gt;0,IFERROR(SEARCH(DruidLand1,$T373,1),0)&gt;0,IFERROR(SEARCH(DruidLand2,$T373,1),0)&gt;0,IFERROR(SEARCH(DruidLand3,$T373,1),0)&gt;0,IFERROR(SEARCH(DruidLand4,$T373,1),0)&gt;0),1,0)*IF($C373=DM$2,1,0)=0,0,1+COUNTIF(DM$3:DM372,"&gt;0"))</f>
        <v>0</v>
      </c>
      <c r="DN373">
        <f>IF(IF(OR(IFERROR(SEARCH("Druid",$T373,1),0)&gt;0,IFERROR(SEARCH(DruidLand1,$T373,1),0)&gt;0,IFERROR(SEARCH(DruidLand2,$T373,1),0)&gt;0,IFERROR(SEARCH(DruidLand3,$T373,1),0)&gt;0,IFERROR(SEARCH(DruidLand4,$T373,1),0)&gt;0),1,0)*IF($C373=DN$2,1,0)=0,0,1+COUNTIF(DN$3:DN372,"&gt;0"))</f>
        <v>15</v>
      </c>
      <c r="DO373">
        <f>IF(IF(OR(IFERROR(SEARCH("Druid",$T373,1),0)&gt;0,IFERROR(SEARCH(DruidLand1,$T373,1),0)&gt;0,IFERROR(SEARCH(DruidLand2,$T373,1),0)&gt;0,IFERROR(SEARCH(DruidLand3,$T373,1),0)&gt;0,IFERROR(SEARCH(DruidLand4,$T373,1),0)&gt;0),1,0)*IF($C373=DO$2,1,0)=0,0,1+COUNTIF(DO$3:DO372,"&gt;0"))</f>
        <v>0</v>
      </c>
      <c r="DP373">
        <f>IF(IF(OR(IFERROR(SEARCH("Druid",$T373,1),0)&gt;0,IFERROR(SEARCH(DruidLand1,$T373,1),0)&gt;0,IFERROR(SEARCH(DruidLand2,$T373,1),0)&gt;0,IFERROR(SEARCH(DruidLand3,$T373,1),0)&gt;0,IFERROR(SEARCH(DruidLand4,$T373,1),0)&gt;0),1,0)*IF($C373=DP$2,1,0)=0,0,1+COUNTIF(DP$3:DP372,"&gt;0"))</f>
        <v>0</v>
      </c>
      <c r="DQ373">
        <f>IF(IF(OR(IFERROR(SEARCH("Druid",$T373,1),0)&gt;0,IFERROR(SEARCH(DruidLand1,$T373,1),0)&gt;0,IFERROR(SEARCH(DruidLand2,$T373,1),0)&gt;0,IFERROR(SEARCH(DruidLand3,$T373,1),0)&gt;0,IFERROR(SEARCH(DruidLand4,$T373,1),0)&gt;0),1,0)*IF($C373=DQ$2,1,0)=0,0,1+COUNTIF(DQ$3:DQ372,"&gt;0"))</f>
        <v>0</v>
      </c>
      <c r="DR373">
        <f>IF(IF(OR(IFERROR(SEARCH("Druid",$T373,1),0)&gt;0,IFERROR(SEARCH(DruidLand1,$T373,1),0)&gt;0,IFERROR(SEARCH(DruidLand2,$T373,1),0)&gt;0,IFERROR(SEARCH(DruidLand3,$T373,1),0)&gt;0,IFERROR(SEARCH(DruidLand4,$T373,1),0)&gt;0),1,0)*IF($C373=DR$2,1,0)=0,0,1+COUNTIF(DR$3:DR372,"&gt;0"))</f>
        <v>0</v>
      </c>
      <c r="DS373">
        <f>IF(IF(OR(IFERROR(SEARCH("Paladin",$T373,1),0)&gt;0,IFERROR(SEARCH(PaladinOath,$T373,1),0)&gt;0),1,0)*IF($C373=DS$2,1,0)=1,1+COUNTIF(DS$3:DS372,"&gt;0"),0)</f>
        <v>0</v>
      </c>
      <c r="DT373">
        <f>IF(IF(OR(IFERROR(SEARCH("Paladin",$T373,1),0)&gt;0,IFERROR(SEARCH(PaladinOath,$T373,1),0)&gt;0),1,0)*IF($C373=DT$2,1,0)=1,1+COUNTIF(DT$3:DT372,"&gt;0"),0)</f>
        <v>0</v>
      </c>
      <c r="DU373">
        <f>IF(IF(OR(IFERROR(SEARCH("Paladin",$T373,1),0)&gt;0,IFERROR(SEARCH(PaladinOath,$T373,1),0)&gt;0),1,0)*IF($C373=DU$2,1,0)=1,1+COUNTIF(DU$3:DU372,"&gt;0"),0)</f>
        <v>0</v>
      </c>
      <c r="DV373">
        <f>IF(IF(OR(IFERROR(SEARCH("Paladin",$T373,1),0)&gt;0,IFERROR(SEARCH(PaladinOath,$T373,1),0)&gt;0),1,0)*IF($C373=DV$2,1,0)=1,1+COUNTIF(DV$3:DV372,"&gt;0"),0)</f>
        <v>0</v>
      </c>
      <c r="DW373">
        <f>IF(IF(OR(IFERROR(SEARCH("Paladin",$T373,1),0)&gt;0,IFERROR(SEARCH(PaladinOath,$T373,1),0)&gt;0),1,0)*IF($C373=DW$2,1,0)=1,1+COUNTIF(DW$3:DW372,"&gt;0"),0)</f>
        <v>0</v>
      </c>
      <c r="DY373">
        <f t="shared" si="278"/>
        <v>1</v>
      </c>
      <c r="DZ373">
        <f>IF(DY373=0,0,1+MAX(DZ$3:$DZ372))</f>
        <v>371</v>
      </c>
      <c r="EB373">
        <f t="shared" si="293"/>
        <v>0</v>
      </c>
      <c r="EC373">
        <f>IF(EB373=0,0,1+COUNTIF(EC$3:EC372,"&gt;0"))</f>
        <v>0</v>
      </c>
      <c r="ED373" t="str">
        <f t="shared" si="321"/>
        <v/>
      </c>
      <c r="EE373" t="str">
        <f t="shared" si="294"/>
        <v/>
      </c>
      <c r="EG373">
        <f t="shared" si="295"/>
        <v>0</v>
      </c>
      <c r="EH373">
        <f>IF(EG373=0,0,1+COUNTIF(EH$3:EH372,"&gt;0"))</f>
        <v>0</v>
      </c>
      <c r="EI373" t="str">
        <f t="shared" si="322"/>
        <v/>
      </c>
      <c r="EJ373" t="str">
        <f t="shared" si="296"/>
        <v/>
      </c>
      <c r="EL373">
        <f t="shared" si="297"/>
        <v>0</v>
      </c>
      <c r="EM373">
        <f>IF(EL373=0,0,1+COUNTIF(EM$3:EM372,"&gt;0"))</f>
        <v>0</v>
      </c>
      <c r="EN373" t="str">
        <f t="shared" si="323"/>
        <v/>
      </c>
      <c r="EO373" t="str">
        <f t="shared" si="298"/>
        <v/>
      </c>
      <c r="EQ373">
        <f t="shared" si="299"/>
        <v>0</v>
      </c>
      <c r="ER373">
        <f>IF(EQ373=0,0,1+COUNTIF(ER$3:ER372,"&gt;0"))</f>
        <v>0</v>
      </c>
      <c r="ES373" t="str">
        <f t="shared" si="324"/>
        <v/>
      </c>
      <c r="ET373" t="str">
        <f t="shared" si="300"/>
        <v/>
      </c>
      <c r="EV373">
        <f t="shared" si="301"/>
        <v>0</v>
      </c>
      <c r="EW373">
        <f>IF(EV373=0,0,1+COUNTIF(EW$3:EW372,"&gt;0"))</f>
        <v>0</v>
      </c>
      <c r="EX373" t="str">
        <f t="shared" si="325"/>
        <v/>
      </c>
      <c r="EY373" t="str">
        <f t="shared" si="302"/>
        <v/>
      </c>
      <c r="FA373">
        <f t="shared" si="303"/>
        <v>0</v>
      </c>
      <c r="FB373">
        <f>IF(FA373=0,0,1+COUNTIF(FB$3:FB372,"&gt;0"))</f>
        <v>0</v>
      </c>
      <c r="FC373" t="str">
        <f t="shared" si="326"/>
        <v/>
      </c>
      <c r="FD373" t="str">
        <f t="shared" si="304"/>
        <v/>
      </c>
      <c r="FF373">
        <f t="shared" si="305"/>
        <v>0</v>
      </c>
      <c r="FG373">
        <f>IF(FF373=0,0,1+COUNTIF(FG$3:FG372,"&gt;0"))</f>
        <v>0</v>
      </c>
      <c r="FH373" t="str">
        <f t="shared" si="327"/>
        <v/>
      </c>
      <c r="FI373" t="str">
        <f t="shared" si="306"/>
        <v/>
      </c>
      <c r="FK373">
        <f t="shared" si="307"/>
        <v>0</v>
      </c>
      <c r="FL373">
        <f>IF(FK373=0,0,1+COUNTIF(FL$3:FL372,"&gt;0"))</f>
        <v>0</v>
      </c>
      <c r="FM373" t="str">
        <f t="shared" si="328"/>
        <v/>
      </c>
      <c r="FN373" t="str">
        <f t="shared" si="308"/>
        <v/>
      </c>
      <c r="FP373">
        <f t="shared" si="309"/>
        <v>0</v>
      </c>
      <c r="FQ373">
        <f>IF(FP373=0,0,1+COUNTIF(FQ$3:FQ372,"&gt;0"))</f>
        <v>0</v>
      </c>
      <c r="FR373" t="str">
        <f t="shared" si="329"/>
        <v/>
      </c>
      <c r="FS373" t="str">
        <f t="shared" si="310"/>
        <v/>
      </c>
    </row>
    <row r="374" spans="1:175" x14ac:dyDescent="0.25">
      <c r="A374" s="347">
        <f t="shared" si="331"/>
        <v>372</v>
      </c>
      <c r="B374" s="398" t="s">
        <v>5535</v>
      </c>
      <c r="C374" s="348">
        <v>2</v>
      </c>
      <c r="D374" s="347">
        <v>2</v>
      </c>
      <c r="E374" s="627" t="s">
        <v>6957</v>
      </c>
      <c r="F374" s="346"/>
      <c r="G374" s="347" t="str">
        <f>""</f>
        <v/>
      </c>
      <c r="H374" s="347" t="s">
        <v>5912</v>
      </c>
      <c r="I374" s="347" t="s">
        <v>424</v>
      </c>
      <c r="J374" s="347" t="str">
        <f t="shared" si="279"/>
        <v/>
      </c>
      <c r="K374" s="347" t="s">
        <v>5291</v>
      </c>
      <c r="L374" s="611" t="str">
        <f t="shared" si="280"/>
        <v>V, S, M, a pinch of dust</v>
      </c>
      <c r="M374" s="347" t="s">
        <v>2373</v>
      </c>
      <c r="N374" s="347" t="s">
        <v>2387</v>
      </c>
      <c r="O374" s="347" t="s">
        <v>1244</v>
      </c>
      <c r="P374" s="346" t="s">
        <v>5536</v>
      </c>
      <c r="Q374" s="347" t="s">
        <v>5271</v>
      </c>
      <c r="S374" s="346" t="s">
        <v>5876</v>
      </c>
      <c r="T374" s="346" t="str">
        <f t="shared" si="281"/>
        <v xml:space="preserve">Sorcerer, Druid, Wizard, </v>
      </c>
      <c r="X374" s="347" t="str">
        <f t="shared" si="333"/>
        <v>Dust Devil</v>
      </c>
      <c r="AA374" s="347" t="str">
        <f t="shared" si="335"/>
        <v>Dust Devil</v>
      </c>
      <c r="AD374" s="347" t="str">
        <f t="shared" si="334"/>
        <v>Dust Devil</v>
      </c>
      <c r="AE374" t="str">
        <f>IF(IFERROR(MATCH($B374,temp!A$4:A$13,0),0)&gt;0,T08_Spells!AE$2,"")</f>
        <v/>
      </c>
      <c r="AF374" t="str">
        <f>IF(IFERROR(MATCH($B374,temp!B$4:B$13,0),0)&gt;0,T08_Spells!AF$2,"")</f>
        <v/>
      </c>
      <c r="AG374" t="str">
        <f>IF(IFERROR(MATCH($B374,temp!C$4:C$13,0),0)&gt;0,T08_Spells!AG$2,"")</f>
        <v/>
      </c>
      <c r="AH374" t="str">
        <f>IF(IFERROR(MATCH($B374,temp!D$4:D$13,0),0)&gt;0,T08_Spells!AH$2,"")</f>
        <v/>
      </c>
      <c r="AI374" t="str">
        <f>IF(IFERROR(MATCH($B374,temp!E$4:E$13,0),0)&gt;0,T08_Spells!AI$2,"")</f>
        <v/>
      </c>
      <c r="AJ374" t="str">
        <f>IF(IFERROR(MATCH($B374,temp!F$4:F$13,0),0)&gt;0,T08_Spells!AJ$2,"")</f>
        <v/>
      </c>
      <c r="AK374" t="str">
        <f>IF(IFERROR(MATCH($B374,temp!G$4:G$13,0),0)&gt;0,T08_Spells!AK$2,"")</f>
        <v/>
      </c>
      <c r="AL374" t="str">
        <f>IF(IFERROR(MATCH($B374,temp!H$4:H$13,0),0)&gt;0,T08_Spells!AL$2,"")</f>
        <v/>
      </c>
      <c r="AM374" t="str">
        <f>IF(IFERROR(MATCH($B374,temp!I$4:I$13,0),0)&gt;0,T08_Spells!AM$2,"")</f>
        <v/>
      </c>
      <c r="AN374" t="str">
        <f>IF(IFERROR(MATCH($B374,temp!J$4:J$13,0),0)&gt;0,T08_Spells!AN$2,"")</f>
        <v/>
      </c>
      <c r="AO374" t="str">
        <f>IF(IFERROR(MATCH($B374,temp!K$4:K$13,0),0)&gt;0,T08_Spells!AO$2,"")</f>
        <v/>
      </c>
      <c r="AP374" t="str">
        <f>IF(IFERROR(MATCH($B374,temp!L$4:L$13,0),0)&gt;0,T08_Spells!AP$2,"")</f>
        <v/>
      </c>
      <c r="AQ374" t="str">
        <f>IF(IFERROR(MATCH($B374,temp!M$4:M$13,0),0)&gt;0,T08_Spells!AQ$2,"")</f>
        <v/>
      </c>
      <c r="AR374" t="str">
        <f>IF(IFERROR(MATCH($B374,temp!N$4:N$13,0),0)&gt;0,T08_Spells!AR$2,"")</f>
        <v/>
      </c>
      <c r="AS374" t="str">
        <f>IF(IFERROR(MATCH($B374,temp!O$4:O$13,0),0)&gt;0,T08_Spells!AS$2,"")</f>
        <v/>
      </c>
      <c r="AT374" t="str">
        <f>IF(IFERROR(MATCH($B374,temp!P$4:P$13,0),0)&gt;0,T08_Spells!AT$2,"")</f>
        <v/>
      </c>
      <c r="AU374" t="str">
        <f>IF(IFERROR(MATCH($B374,temp!Q$4:Q$13,0),0)&gt;0,T08_Spells!AU$2,"")</f>
        <v/>
      </c>
      <c r="AV374" t="str">
        <f>IF(IFERROR(MATCH($B374,temp!R$4:R$13,0),0)&gt;0,T08_Spells!AV$2,"")</f>
        <v/>
      </c>
      <c r="AW374" t="str">
        <f>IF(IFERROR(MATCH($B374,temp!S$4:S$13,0),0)&gt;0,T08_Spells!AW$2,"")</f>
        <v/>
      </c>
      <c r="AX374" t="str">
        <f>IF(IFERROR(MATCH($B374,temp!T$4:T$13,0),0)&gt;0,T08_Spells!AX$2,"")</f>
        <v/>
      </c>
      <c r="AY374" t="str">
        <f>IF(IFERROR(MATCH($B374,temp!U$4:U$13,0),0)&gt;0,T08_Spells!AY$2,"")</f>
        <v/>
      </c>
      <c r="AZ374" t="str">
        <f>IF(IFERROR(MATCH($B374,temp!V$4:V$13,0),0)&gt;0,T08_Spells!AZ$2,"")</f>
        <v/>
      </c>
      <c r="BA374" t="str">
        <f>IF(IFERROR(MATCH($B374,temp!W$4:W$13,0),0)&gt;0,T08_Spells!BA$2,"")</f>
        <v/>
      </c>
      <c r="BC374">
        <f>IF(IFERROR(SEARCH("Ranger",$T374,1),0)&gt;0,1,0)*IF(RangerMaxSpellLevel&gt;=$C374,1,0)*IF(IFERROR(MATCH(B374,Character_Creation!$X$79:$X$382,0),0)&gt;0,0,1)</f>
        <v>0</v>
      </c>
      <c r="BD374">
        <f>IF(BC374=0,0,1+COUNTIF(BD$3:BD373,"&gt;0"))</f>
        <v>0</v>
      </c>
      <c r="BE374" t="str">
        <f t="shared" si="311"/>
        <v/>
      </c>
      <c r="BF374" t="str">
        <f t="shared" si="283"/>
        <v/>
      </c>
      <c r="BH374">
        <f>IF(IFERROR(SEARCH("Sorcerer",$T374,1),0)&gt;0,1,0)*IF(SorcererMaxSpellLevel&gt;=$C374,1,0)*IF(IFERROR(MATCH(B374,Character_Creation!$J$380:$J$394,0),0)&gt;0,0,1)</f>
        <v>0</v>
      </c>
      <c r="BI374">
        <f>IF(BH374=0,0,1+COUNTIF(BI$3:BI373,"&gt;0"))</f>
        <v>0</v>
      </c>
      <c r="BJ374" t="str">
        <f t="shared" si="312"/>
        <v/>
      </c>
      <c r="BK374" t="str">
        <f t="shared" si="284"/>
        <v/>
      </c>
      <c r="BM374">
        <f>IF(OR(IFERROR(SEARCH("Warlock",$T374,1),0)&gt;0,IFERROR(SEARCH(WarlockPatron,$T374,1),0)&gt;0),1,0)*IF(WarlockMaxSpellLevel&gt;=$C374,1,0)*IF(IFERROR(MATCH(B374,Character_Creation!$J$361:$J$375,0),0)&gt;0,0,1)</f>
        <v>0</v>
      </c>
      <c r="BN374">
        <f>IF(BM374=0,0,1+COUNTIF(BN$3:BN373,"&gt;0"))</f>
        <v>0</v>
      </c>
      <c r="BO374" t="str">
        <f t="shared" si="313"/>
        <v/>
      </c>
      <c r="BP374" t="str">
        <f t="shared" si="285"/>
        <v/>
      </c>
      <c r="BR374">
        <f>IF(IFERROR(SEARCH("Eldritch Knight",$T374,1),0)&gt;0,1,0)*IF(EldritchKnightMaxSpellLevel&gt;=$C374,1,0)*IF(IFERROR(MATCH($B374,Character_Creation!$J$350:$J$356,0),0)&gt;0,0,1)*IF(Character_Creation!$M$338&gt;0,1,0)</f>
        <v>0</v>
      </c>
      <c r="BS374">
        <f>IF(BR374=0,0,1+COUNTIF(BS$3:BS373,"&gt;0"))</f>
        <v>0</v>
      </c>
      <c r="BT374" t="str">
        <f t="shared" si="314"/>
        <v/>
      </c>
      <c r="BU374" t="str">
        <f t="shared" si="286"/>
        <v/>
      </c>
      <c r="BW374">
        <f>IF(IFERROR(SEARCH("Arcane Trickster",$T374,1),0)&gt;0,1,0)*IF(ArcaneTricksterMaxSpellLevel&gt;=$C374,1,0)*IF(IFERROR(MATCH($B374,Character_Creation!$J$350:$J$356,0),0)&gt;0,0,1)*IF(Character_Creation!$T$338&gt;0,1,0)</f>
        <v>0</v>
      </c>
      <c r="BX374">
        <f>IF(BW374=0,0,1+COUNTIF(BX$3:BX373,"&gt;0"))</f>
        <v>0</v>
      </c>
      <c r="BY374" t="str">
        <f t="shared" si="315"/>
        <v/>
      </c>
      <c r="BZ374" t="str">
        <f t="shared" si="287"/>
        <v/>
      </c>
      <c r="CB374">
        <f>IF(IFERROR(SEARCH("Wizard",$T374,1),0)&gt;0,1,0)*IF(C374&lt;=ArcaneTricksterMaxSpellLevel,1,0)*IF(IFERROR(MATCH($B374,Character_Creation!$J$350:$J$356,0),0)&gt;0,0,1)*IF(Character_Creation!$T$350&gt;0,1,0)</f>
        <v>0</v>
      </c>
      <c r="CC374">
        <f>IF(CB374=0,0,1+COUNTIF(CC$3:CC373,"&gt;0"))</f>
        <v>0</v>
      </c>
      <c r="CD374" t="str">
        <f t="shared" si="316"/>
        <v/>
      </c>
      <c r="CE374" t="str">
        <f t="shared" si="288"/>
        <v/>
      </c>
      <c r="CG374">
        <f>IF(IFERROR(SEARCH("Wizard",$T374,1),0)&gt;0,1,0)*IF($C374&lt;=EldritchKnightMaxSpellLevel,1,0)*IF(IFERROR(MATCH($B374,Character_Creation!$J$350:$J$356,0),0)&gt;0,0,1)*IF(Character_Creation!$M$350&gt;0,1,0)</f>
        <v>1</v>
      </c>
      <c r="CH374">
        <f>IF(CG374=0,0,1+COUNTIF(CH$3:CH373,"&gt;0"))</f>
        <v>66</v>
      </c>
      <c r="CI374" t="str">
        <f t="shared" si="317"/>
        <v/>
      </c>
      <c r="CJ374" t="str">
        <f t="shared" si="289"/>
        <v/>
      </c>
      <c r="CL374">
        <f>IF(IFERROR(SEARCH("Bard",$T374,1),0)&gt;0,1,0)*IF(BardMaxSpellLevel&gt;=$C374,1,0)*IF(IFERROR(MATCH(B374,Character_Creation!$C$341:$F$362,0),0)&gt;0,0,1)*IF(IFERROR(MATCH($B374,Character_Creation!$C$341:$C$362,0),0)&gt;0,0,1)</f>
        <v>0</v>
      </c>
      <c r="CM374">
        <f>IF(CL374=0,0,1+COUNTIF(CM$3:CM373,"&gt;0"))</f>
        <v>0</v>
      </c>
      <c r="CN374" t="str">
        <f t="shared" si="318"/>
        <v/>
      </c>
      <c r="CO374" t="str">
        <f t="shared" si="290"/>
        <v/>
      </c>
      <c r="CQ374">
        <f>IF(IFERROR(SEARCH("Wizard",$T374,1),0)&gt;0,1,0)*IF(WizardMaxSpellLevel&gt;=$C374,1,0)*IF(IFERROR(MATCH(B374,Character_Creation!$X$341:$X$400,0),0)&gt;0,0,1)*IF(SelectedWizardSpellLevel=$C374,1,0)</f>
        <v>0</v>
      </c>
      <c r="CR374">
        <f>IF(CQ374=0,0,1+COUNTIF(CR$3:CR373,"&gt;0"))</f>
        <v>0</v>
      </c>
      <c r="CS374" t="str">
        <f t="shared" si="319"/>
        <v/>
      </c>
      <c r="CT374" t="str">
        <f t="shared" si="291"/>
        <v/>
      </c>
      <c r="CV374">
        <f>IF(IFERROR(MATCH($B374,Character_Creation!$C$341:$C$362,0),0)&gt;0,0,1)*IF(OR(C374="Cantrip",C374&lt;=BardMaxSpellLevel),1,0)*IF(IFERROR(MATCH($B374,Character_Creation!$C$367:$C$374,0),0)&gt;0,0,1)</f>
        <v>0</v>
      </c>
      <c r="CW374">
        <f>IF(CV374=0,0,1+COUNTIF(CW$3:CW373,"&gt;0"))</f>
        <v>0</v>
      </c>
      <c r="CX374" t="str">
        <f t="shared" si="320"/>
        <v/>
      </c>
      <c r="CY374" t="str">
        <f t="shared" si="292"/>
        <v/>
      </c>
      <c r="DA374">
        <f>IF(IF(OR(IFERROR(SEARCH("Cleric",$T374,1),0)&gt;0,IFERROR(SEARCH(DivineDomain&amp;",",$T374,1),0)&gt;0),1,0)*IF($C374=DA$2,1,0)=1,1+COUNTIF(DA$3:DA373,"&gt;0"),0)</f>
        <v>0</v>
      </c>
      <c r="DB374">
        <f>IF(IF(OR(IFERROR(SEARCH("Cleric",$T374,1),0)&gt;0,IFERROR(SEARCH(DivineDomain&amp;",",$T374,1),0)&gt;0),1,0)*IF($C374=DB$2,1,0)=1,1+COUNTIF(DB$3:DB373,"&gt;0"),0)</f>
        <v>0</v>
      </c>
      <c r="DC374">
        <f>IF(IF(OR(IFERROR(SEARCH("Cleric",$T374,1),0)&gt;0,IFERROR(SEARCH(DivineDomain&amp;",",$T374,1),0)&gt;0),1,0)*IF($C374=DC$2,1,0)=1,1+COUNTIF(DC$3:DC373,"&gt;0"),0)</f>
        <v>0</v>
      </c>
      <c r="DD374">
        <f>IF(IF(OR(IFERROR(SEARCH("Cleric",$T374,1),0)&gt;0,IFERROR(SEARCH(DivineDomain&amp;",",$T374,1),0)&gt;0),1,0)*IF($C374=DD$2,1,0)=1,1+COUNTIF(DD$3:DD373,"&gt;0"),0)</f>
        <v>0</v>
      </c>
      <c r="DE374">
        <f>IF(IF(OR(IFERROR(SEARCH("Cleric",$T374,1),0)&gt;0,IFERROR(SEARCH(DivineDomain&amp;",",$T374,1),0)&gt;0),1,0)*IF($C374=DE$2,1,0)=1,1+COUNTIF(DE$3:DE373,"&gt;0"),0)</f>
        <v>0</v>
      </c>
      <c r="DF374">
        <f>IF(IF(OR(IFERROR(SEARCH("Cleric",$T374,1),0)&gt;0,IFERROR(SEARCH(DivineDomain&amp;",",$T374,1),0)&gt;0),1,0)*IF($C374=DF$2,1,0)=1,1+COUNTIF(DF$3:DF373,"&gt;0"),0)</f>
        <v>0</v>
      </c>
      <c r="DG374">
        <f>IF(IF(OR(IFERROR(SEARCH("Cleric",$T374,1),0)&gt;0,IFERROR(SEARCH(DivineDomain&amp;",",$T374,1),0)&gt;0),1,0)*IF($C374=DG$2,1,0)=1,1+COUNTIF(DG$3:DG373,"&gt;0"),0)</f>
        <v>0</v>
      </c>
      <c r="DH374">
        <f>IF(IF(OR(IFERROR(SEARCH("Cleric",$T374,1),0)&gt;0,IFERROR(SEARCH(DivineDomain&amp;",",$T374,1),0)&gt;0),1,0)*IF($C374=DH$2,1,0)=1,1+COUNTIF(DH$3:DH373,"&gt;0"),0)</f>
        <v>0</v>
      </c>
      <c r="DI374">
        <f>IF(IF(OR(IFERROR(SEARCH("Cleric",$T374,1),0)&gt;0,IFERROR(SEARCH(DivineDomain&amp;",",$T374,1),0)&gt;0),1,0)*IF($C374=DI$2,1,0)=1,1+COUNTIF(DI$3:DI373,"&gt;0"),0)</f>
        <v>0</v>
      </c>
      <c r="DJ374">
        <f>IF(IF(OR(IFERROR(SEARCH("Druid",$T374,1),0)&gt;0,IFERROR(SEARCH(DruidLand1,$T374,1),0)&gt;0,IFERROR(SEARCH(DruidLand2,$T374,1),0)&gt;0,IFERROR(SEARCH(DruidLand3,$T374,1),0)&gt;0,IFERROR(SEARCH(DruidLand4,$T374,1),0)&gt;0),1,0)*IF($C374=1,1,0)*IF($C374=DJ$2,1,0)=0,0,1+COUNTIF(DJ$3:DJ373,"&gt;0"))</f>
        <v>0</v>
      </c>
      <c r="DK374">
        <f>IF(IF(OR(IFERROR(SEARCH("Druid",$T374,1),0)&gt;0,IFERROR(SEARCH(DruidLand1,$T374,1),0)&gt;0,IFERROR(SEARCH(DruidLand2,$T374,1),0)&gt;0,IFERROR(SEARCH(DruidLand3,$T374,1),0)&gt;0,IFERROR(SEARCH(DruidLand4,$T374,1),0)&gt;0),1,0)*IF($C374=DK$2,1,0)=0,0,1+COUNTIF(DK$3:DK373,"&gt;0"))</f>
        <v>18</v>
      </c>
      <c r="DL374">
        <f>IF(IF(OR(IFERROR(SEARCH("Druid",$T374,1),0)&gt;0,IFERROR(SEARCH(DruidLand1,$T374,1),0)&gt;0,IFERROR(SEARCH(DruidLand2,$T374,1),0)&gt;0,IFERROR(SEARCH(DruidLand3,$T374,1),0)&gt;0,IFERROR(SEARCH(DruidLand4,$T374,1),0)&gt;0),1,0)*IF($C374=DL$2,1,0)=0,0,1+COUNTIF(DL$3:DL373,"&gt;0"))</f>
        <v>0</v>
      </c>
      <c r="DM374">
        <f>IF(IF(OR(IFERROR(SEARCH("Druid",$T374,1),0)&gt;0,IFERROR(SEARCH(DruidLand1,$T374,1),0)&gt;0,IFERROR(SEARCH(DruidLand2,$T374,1),0)&gt;0,IFERROR(SEARCH(DruidLand3,$T374,1),0)&gt;0,IFERROR(SEARCH(DruidLand4,$T374,1),0)&gt;0),1,0)*IF($C374=DM$2,1,0)=0,0,1+COUNTIF(DM$3:DM373,"&gt;0"))</f>
        <v>0</v>
      </c>
      <c r="DN374">
        <f>IF(IF(OR(IFERROR(SEARCH("Druid",$T374,1),0)&gt;0,IFERROR(SEARCH(DruidLand1,$T374,1),0)&gt;0,IFERROR(SEARCH(DruidLand2,$T374,1),0)&gt;0,IFERROR(SEARCH(DruidLand3,$T374,1),0)&gt;0,IFERROR(SEARCH(DruidLand4,$T374,1),0)&gt;0),1,0)*IF($C374=DN$2,1,0)=0,0,1+COUNTIF(DN$3:DN373,"&gt;0"))</f>
        <v>0</v>
      </c>
      <c r="DO374">
        <f>IF(IF(OR(IFERROR(SEARCH("Druid",$T374,1),0)&gt;0,IFERROR(SEARCH(DruidLand1,$T374,1),0)&gt;0,IFERROR(SEARCH(DruidLand2,$T374,1),0)&gt;0,IFERROR(SEARCH(DruidLand3,$T374,1),0)&gt;0,IFERROR(SEARCH(DruidLand4,$T374,1),0)&gt;0),1,0)*IF($C374=DO$2,1,0)=0,0,1+COUNTIF(DO$3:DO373,"&gt;0"))</f>
        <v>0</v>
      </c>
      <c r="DP374">
        <f>IF(IF(OR(IFERROR(SEARCH("Druid",$T374,1),0)&gt;0,IFERROR(SEARCH(DruidLand1,$T374,1),0)&gt;0,IFERROR(SEARCH(DruidLand2,$T374,1),0)&gt;0,IFERROR(SEARCH(DruidLand3,$T374,1),0)&gt;0,IFERROR(SEARCH(DruidLand4,$T374,1),0)&gt;0),1,0)*IF($C374=DP$2,1,0)=0,0,1+COUNTIF(DP$3:DP373,"&gt;0"))</f>
        <v>0</v>
      </c>
      <c r="DQ374">
        <f>IF(IF(OR(IFERROR(SEARCH("Druid",$T374,1),0)&gt;0,IFERROR(SEARCH(DruidLand1,$T374,1),0)&gt;0,IFERROR(SEARCH(DruidLand2,$T374,1),0)&gt;0,IFERROR(SEARCH(DruidLand3,$T374,1),0)&gt;0,IFERROR(SEARCH(DruidLand4,$T374,1),0)&gt;0),1,0)*IF($C374=DQ$2,1,0)=0,0,1+COUNTIF(DQ$3:DQ373,"&gt;0"))</f>
        <v>0</v>
      </c>
      <c r="DR374">
        <f>IF(IF(OR(IFERROR(SEARCH("Druid",$T374,1),0)&gt;0,IFERROR(SEARCH(DruidLand1,$T374,1),0)&gt;0,IFERROR(SEARCH(DruidLand2,$T374,1),0)&gt;0,IFERROR(SEARCH(DruidLand3,$T374,1),0)&gt;0,IFERROR(SEARCH(DruidLand4,$T374,1),0)&gt;0),1,0)*IF($C374=DR$2,1,0)=0,0,1+COUNTIF(DR$3:DR373,"&gt;0"))</f>
        <v>0</v>
      </c>
      <c r="DS374">
        <f>IF(IF(OR(IFERROR(SEARCH("Paladin",$T374,1),0)&gt;0,IFERROR(SEARCH(PaladinOath,$T374,1),0)&gt;0),1,0)*IF($C374=DS$2,1,0)=1,1+COUNTIF(DS$3:DS373,"&gt;0"),0)</f>
        <v>0</v>
      </c>
      <c r="DT374">
        <f>IF(IF(OR(IFERROR(SEARCH("Paladin",$T374,1),0)&gt;0,IFERROR(SEARCH(PaladinOath,$T374,1),0)&gt;0),1,0)*IF($C374=DT$2,1,0)=1,1+COUNTIF(DT$3:DT373,"&gt;0"),0)</f>
        <v>0</v>
      </c>
      <c r="DU374">
        <f>IF(IF(OR(IFERROR(SEARCH("Paladin",$T374,1),0)&gt;0,IFERROR(SEARCH(PaladinOath,$T374,1),0)&gt;0),1,0)*IF($C374=DU$2,1,0)=1,1+COUNTIF(DU$3:DU373,"&gt;0"),0)</f>
        <v>0</v>
      </c>
      <c r="DV374">
        <f>IF(IF(OR(IFERROR(SEARCH("Paladin",$T374,1),0)&gt;0,IFERROR(SEARCH(PaladinOath,$T374,1),0)&gt;0),1,0)*IF($C374=DV$2,1,0)=1,1+COUNTIF(DV$3:DV373,"&gt;0"),0)</f>
        <v>0</v>
      </c>
      <c r="DW374">
        <f>IF(IF(OR(IFERROR(SEARCH("Paladin",$T374,1),0)&gt;0,IFERROR(SEARCH(PaladinOath,$T374,1),0)&gt;0),1,0)*IF($C374=DW$2,1,0)=1,1+COUNTIF(DW$3:DW373,"&gt;0"),0)</f>
        <v>0</v>
      </c>
      <c r="DY374">
        <f t="shared" si="278"/>
        <v>1</v>
      </c>
      <c r="DZ374">
        <f>IF(DY374=0,0,1+MAX(DZ$3:$DZ373))</f>
        <v>372</v>
      </c>
      <c r="EB374">
        <f t="shared" si="293"/>
        <v>0</v>
      </c>
      <c r="EC374">
        <f>IF(EB374=0,0,1+COUNTIF(EC$3:EC373,"&gt;0"))</f>
        <v>0</v>
      </c>
      <c r="ED374" t="str">
        <f t="shared" si="321"/>
        <v/>
      </c>
      <c r="EE374" t="str">
        <f t="shared" si="294"/>
        <v/>
      </c>
      <c r="EG374">
        <f t="shared" si="295"/>
        <v>0</v>
      </c>
      <c r="EH374">
        <f>IF(EG374=0,0,1+COUNTIF(EH$3:EH373,"&gt;0"))</f>
        <v>0</v>
      </c>
      <c r="EI374" t="str">
        <f t="shared" si="322"/>
        <v/>
      </c>
      <c r="EJ374" t="str">
        <f t="shared" si="296"/>
        <v/>
      </c>
      <c r="EL374">
        <f t="shared" si="297"/>
        <v>0</v>
      </c>
      <c r="EM374">
        <f>IF(EL374=0,0,1+COUNTIF(EM$3:EM373,"&gt;0"))</f>
        <v>0</v>
      </c>
      <c r="EN374" t="str">
        <f t="shared" si="323"/>
        <v/>
      </c>
      <c r="EO374" t="str">
        <f t="shared" si="298"/>
        <v/>
      </c>
      <c r="EQ374">
        <f t="shared" si="299"/>
        <v>0</v>
      </c>
      <c r="ER374">
        <f>IF(EQ374=0,0,1+COUNTIF(ER$3:ER373,"&gt;0"))</f>
        <v>0</v>
      </c>
      <c r="ES374" t="str">
        <f t="shared" si="324"/>
        <v/>
      </c>
      <c r="ET374" t="str">
        <f t="shared" si="300"/>
        <v/>
      </c>
      <c r="EV374">
        <f t="shared" si="301"/>
        <v>0</v>
      </c>
      <c r="EW374">
        <f>IF(EV374=0,0,1+COUNTIF(EW$3:EW373,"&gt;0"))</f>
        <v>0</v>
      </c>
      <c r="EX374" t="str">
        <f t="shared" si="325"/>
        <v/>
      </c>
      <c r="EY374" t="str">
        <f t="shared" si="302"/>
        <v/>
      </c>
      <c r="FA374">
        <f t="shared" si="303"/>
        <v>0</v>
      </c>
      <c r="FB374">
        <f>IF(FA374=0,0,1+COUNTIF(FB$3:FB373,"&gt;0"))</f>
        <v>0</v>
      </c>
      <c r="FC374" t="str">
        <f t="shared" si="326"/>
        <v/>
      </c>
      <c r="FD374" t="str">
        <f t="shared" si="304"/>
        <v/>
      </c>
      <c r="FF374">
        <f t="shared" si="305"/>
        <v>0</v>
      </c>
      <c r="FG374">
        <f>IF(FF374=0,0,1+COUNTIF(FG$3:FG373,"&gt;0"))</f>
        <v>0</v>
      </c>
      <c r="FH374" t="str">
        <f t="shared" si="327"/>
        <v/>
      </c>
      <c r="FI374" t="str">
        <f t="shared" si="306"/>
        <v/>
      </c>
      <c r="FK374">
        <f t="shared" si="307"/>
        <v>0</v>
      </c>
      <c r="FL374">
        <f>IF(FK374=0,0,1+COUNTIF(FL$3:FL373,"&gt;0"))</f>
        <v>0</v>
      </c>
      <c r="FM374" t="str">
        <f t="shared" si="328"/>
        <v/>
      </c>
      <c r="FN374" t="str">
        <f t="shared" si="308"/>
        <v/>
      </c>
      <c r="FP374">
        <f t="shared" si="309"/>
        <v>0</v>
      </c>
      <c r="FQ374">
        <f>IF(FP374=0,0,1+COUNTIF(FQ$3:FQ373,"&gt;0"))</f>
        <v>0</v>
      </c>
      <c r="FR374" t="str">
        <f t="shared" si="329"/>
        <v/>
      </c>
      <c r="FS374" t="str">
        <f t="shared" si="310"/>
        <v/>
      </c>
    </row>
    <row r="375" spans="1:175" x14ac:dyDescent="0.25">
      <c r="A375" s="347">
        <f t="shared" si="331"/>
        <v>373</v>
      </c>
      <c r="B375" s="398" t="s">
        <v>5537</v>
      </c>
      <c r="C375" s="348">
        <v>2</v>
      </c>
      <c r="D375" s="347">
        <v>2</v>
      </c>
      <c r="E375" s="627" t="s">
        <v>6957</v>
      </c>
      <c r="F375" s="346"/>
      <c r="G375" s="347" t="str">
        <f>""</f>
        <v/>
      </c>
      <c r="H375" s="347" t="s">
        <v>5912</v>
      </c>
      <c r="I375" s="347" t="s">
        <v>5334</v>
      </c>
      <c r="J375" s="347" t="str">
        <f t="shared" si="279"/>
        <v/>
      </c>
      <c r="K375" s="347" t="s">
        <v>5291</v>
      </c>
      <c r="L375" s="611" t="str">
        <f t="shared" si="280"/>
        <v>V</v>
      </c>
      <c r="M375" s="347" t="s">
        <v>2373</v>
      </c>
      <c r="N375" s="347" t="s">
        <v>3034</v>
      </c>
      <c r="O375" s="347" t="s">
        <v>3034</v>
      </c>
      <c r="P375" s="346" t="str">
        <f>""</f>
        <v/>
      </c>
      <c r="Q375" s="347" t="s">
        <v>5276</v>
      </c>
      <c r="S375" s="346" t="s">
        <v>5877</v>
      </c>
      <c r="T375" s="346" t="str">
        <f t="shared" si="281"/>
        <v xml:space="preserve">Sorcerer, Warlock, Druid, Wizard, </v>
      </c>
      <c r="X375" s="347" t="str">
        <f t="shared" si="333"/>
        <v>Earthbind</v>
      </c>
      <c r="Y375" s="347" t="str">
        <f>$B375</f>
        <v>Earthbind</v>
      </c>
      <c r="AA375" s="347" t="str">
        <f t="shared" si="335"/>
        <v>Earthbind</v>
      </c>
      <c r="AD375" s="347" t="str">
        <f t="shared" si="334"/>
        <v>Earthbind</v>
      </c>
      <c r="AE375" t="str">
        <f>IF(IFERROR(MATCH($B375,temp!A$4:A$13,0),0)&gt;0,T08_Spells!AE$2,"")</f>
        <v/>
      </c>
      <c r="AF375" t="str">
        <f>IF(IFERROR(MATCH($B375,temp!B$4:B$13,0),0)&gt;0,T08_Spells!AF$2,"")</f>
        <v/>
      </c>
      <c r="AG375" t="str">
        <f>IF(IFERROR(MATCH($B375,temp!C$4:C$13,0),0)&gt;0,T08_Spells!AG$2,"")</f>
        <v/>
      </c>
      <c r="AH375" t="str">
        <f>IF(IFERROR(MATCH($B375,temp!D$4:D$13,0),0)&gt;0,T08_Spells!AH$2,"")</f>
        <v/>
      </c>
      <c r="AI375" t="str">
        <f>IF(IFERROR(MATCH($B375,temp!E$4:E$13,0),0)&gt;0,T08_Spells!AI$2,"")</f>
        <v/>
      </c>
      <c r="AJ375" t="str">
        <f>IF(IFERROR(MATCH($B375,temp!F$4:F$13,0),0)&gt;0,T08_Spells!AJ$2,"")</f>
        <v/>
      </c>
      <c r="AK375" t="str">
        <f>IF(IFERROR(MATCH($B375,temp!G$4:G$13,0),0)&gt;0,T08_Spells!AK$2,"")</f>
        <v/>
      </c>
      <c r="AL375" t="str">
        <f>IF(IFERROR(MATCH($B375,temp!H$4:H$13,0),0)&gt;0,T08_Spells!AL$2,"")</f>
        <v/>
      </c>
      <c r="AM375" t="str">
        <f>IF(IFERROR(MATCH($B375,temp!I$4:I$13,0),0)&gt;0,T08_Spells!AM$2,"")</f>
        <v/>
      </c>
      <c r="AN375" t="str">
        <f>IF(IFERROR(MATCH($B375,temp!J$4:J$13,0),0)&gt;0,T08_Spells!AN$2,"")</f>
        <v/>
      </c>
      <c r="AO375" t="str">
        <f>IF(IFERROR(MATCH($B375,temp!K$4:K$13,0),0)&gt;0,T08_Spells!AO$2,"")</f>
        <v/>
      </c>
      <c r="AP375" t="str">
        <f>IF(IFERROR(MATCH($B375,temp!L$4:L$13,0),0)&gt;0,T08_Spells!AP$2,"")</f>
        <v/>
      </c>
      <c r="AQ375" t="str">
        <f>IF(IFERROR(MATCH($B375,temp!M$4:M$13,0),0)&gt;0,T08_Spells!AQ$2,"")</f>
        <v/>
      </c>
      <c r="AR375" t="str">
        <f>IF(IFERROR(MATCH($B375,temp!N$4:N$13,0),0)&gt;0,T08_Spells!AR$2,"")</f>
        <v/>
      </c>
      <c r="AS375" t="str">
        <f>IF(IFERROR(MATCH($B375,temp!O$4:O$13,0),0)&gt;0,T08_Spells!AS$2,"")</f>
        <v/>
      </c>
      <c r="AT375" t="str">
        <f>IF(IFERROR(MATCH($B375,temp!P$4:P$13,0),0)&gt;0,T08_Spells!AT$2,"")</f>
        <v/>
      </c>
      <c r="AU375" t="str">
        <f>IF(IFERROR(MATCH($B375,temp!Q$4:Q$13,0),0)&gt;0,T08_Spells!AU$2,"")</f>
        <v/>
      </c>
      <c r="AV375" t="str">
        <f>IF(IFERROR(MATCH($B375,temp!R$4:R$13,0),0)&gt;0,T08_Spells!AV$2,"")</f>
        <v/>
      </c>
      <c r="AW375" t="str">
        <f>IF(IFERROR(MATCH($B375,temp!S$4:S$13,0),0)&gt;0,T08_Spells!AW$2,"")</f>
        <v/>
      </c>
      <c r="AX375" t="str">
        <f>IF(IFERROR(MATCH($B375,temp!T$4:T$13,0),0)&gt;0,T08_Spells!AX$2,"")</f>
        <v/>
      </c>
      <c r="AY375" t="str">
        <f>IF(IFERROR(MATCH($B375,temp!U$4:U$13,0),0)&gt;0,T08_Spells!AY$2,"")</f>
        <v/>
      </c>
      <c r="AZ375" t="str">
        <f>IF(IFERROR(MATCH($B375,temp!V$4:V$13,0),0)&gt;0,T08_Spells!AZ$2,"")</f>
        <v/>
      </c>
      <c r="BA375" t="str">
        <f>IF(IFERROR(MATCH($B375,temp!W$4:W$13,0),0)&gt;0,T08_Spells!BA$2,"")</f>
        <v/>
      </c>
      <c r="BC375">
        <f>IF(IFERROR(SEARCH("Ranger",$T375,1),0)&gt;0,1,0)*IF(RangerMaxSpellLevel&gt;=$C375,1,0)*IF(IFERROR(MATCH(B375,Character_Creation!$X$79:$X$382,0),0)&gt;0,0,1)</f>
        <v>0</v>
      </c>
      <c r="BD375">
        <f>IF(BC375=0,0,1+COUNTIF(BD$3:BD374,"&gt;0"))</f>
        <v>0</v>
      </c>
      <c r="BE375" t="str">
        <f t="shared" si="311"/>
        <v/>
      </c>
      <c r="BF375" t="str">
        <f t="shared" si="283"/>
        <v/>
      </c>
      <c r="BH375">
        <f>IF(IFERROR(SEARCH("Sorcerer",$T375,1),0)&gt;0,1,0)*IF(SorcererMaxSpellLevel&gt;=$C375,1,0)*IF(IFERROR(MATCH(B375,Character_Creation!$J$380:$J$394,0),0)&gt;0,0,1)</f>
        <v>0</v>
      </c>
      <c r="BI375">
        <f>IF(BH375=0,0,1+COUNTIF(BI$3:BI374,"&gt;0"))</f>
        <v>0</v>
      </c>
      <c r="BJ375" t="str">
        <f t="shared" si="312"/>
        <v/>
      </c>
      <c r="BK375" t="str">
        <f t="shared" si="284"/>
        <v/>
      </c>
      <c r="BM375">
        <f>IF(OR(IFERROR(SEARCH("Warlock",$T375,1),0)&gt;0,IFERROR(SEARCH(WarlockPatron,$T375,1),0)&gt;0),1,0)*IF(WarlockMaxSpellLevel&gt;=$C375,1,0)*IF(IFERROR(MATCH(B375,Character_Creation!$J$361:$J$375,0),0)&gt;0,0,1)</f>
        <v>0</v>
      </c>
      <c r="BN375">
        <f>IF(BM375=0,0,1+COUNTIF(BN$3:BN374,"&gt;0"))</f>
        <v>0</v>
      </c>
      <c r="BO375" t="str">
        <f t="shared" si="313"/>
        <v/>
      </c>
      <c r="BP375" t="str">
        <f t="shared" si="285"/>
        <v/>
      </c>
      <c r="BR375">
        <f>IF(IFERROR(SEARCH("Eldritch Knight",$T375,1),0)&gt;0,1,0)*IF(EldritchKnightMaxSpellLevel&gt;=$C375,1,0)*IF(IFERROR(MATCH($B375,Character_Creation!$J$350:$J$356,0),0)&gt;0,0,1)*IF(Character_Creation!$M$338&gt;0,1,0)</f>
        <v>0</v>
      </c>
      <c r="BS375">
        <f>IF(BR375=0,0,1+COUNTIF(BS$3:BS374,"&gt;0"))</f>
        <v>0</v>
      </c>
      <c r="BT375" t="str">
        <f t="shared" si="314"/>
        <v/>
      </c>
      <c r="BU375" t="str">
        <f t="shared" si="286"/>
        <v/>
      </c>
      <c r="BW375">
        <f>IF(IFERROR(SEARCH("Arcane Trickster",$T375,1),0)&gt;0,1,0)*IF(ArcaneTricksterMaxSpellLevel&gt;=$C375,1,0)*IF(IFERROR(MATCH($B375,Character_Creation!$J$350:$J$356,0),0)&gt;0,0,1)*IF(Character_Creation!$T$338&gt;0,1,0)</f>
        <v>0</v>
      </c>
      <c r="BX375">
        <f>IF(BW375=0,0,1+COUNTIF(BX$3:BX374,"&gt;0"))</f>
        <v>0</v>
      </c>
      <c r="BY375" t="str">
        <f t="shared" si="315"/>
        <v/>
      </c>
      <c r="BZ375" t="str">
        <f t="shared" si="287"/>
        <v/>
      </c>
      <c r="CB375">
        <f>IF(IFERROR(SEARCH("Wizard",$T375,1),0)&gt;0,1,0)*IF(C375&lt;=ArcaneTricksterMaxSpellLevel,1,0)*IF(IFERROR(MATCH($B375,Character_Creation!$J$350:$J$356,0),0)&gt;0,0,1)*IF(Character_Creation!$T$350&gt;0,1,0)</f>
        <v>0</v>
      </c>
      <c r="CC375">
        <f>IF(CB375=0,0,1+COUNTIF(CC$3:CC374,"&gt;0"))</f>
        <v>0</v>
      </c>
      <c r="CD375" t="str">
        <f t="shared" si="316"/>
        <v/>
      </c>
      <c r="CE375" t="str">
        <f t="shared" si="288"/>
        <v/>
      </c>
      <c r="CG375">
        <f>IF(IFERROR(SEARCH("Wizard",$T375,1),0)&gt;0,1,0)*IF($C375&lt;=EldritchKnightMaxSpellLevel,1,0)*IF(IFERROR(MATCH($B375,Character_Creation!$J$350:$J$356,0),0)&gt;0,0,1)*IF(Character_Creation!$M$350&gt;0,1,0)</f>
        <v>1</v>
      </c>
      <c r="CH375">
        <f>IF(CG375=0,0,1+COUNTIF(CH$3:CH374,"&gt;0"))</f>
        <v>67</v>
      </c>
      <c r="CI375" t="str">
        <f t="shared" si="317"/>
        <v/>
      </c>
      <c r="CJ375" t="str">
        <f t="shared" si="289"/>
        <v/>
      </c>
      <c r="CL375">
        <f>IF(IFERROR(SEARCH("Bard",$T375,1),0)&gt;0,1,0)*IF(BardMaxSpellLevel&gt;=$C375,1,0)*IF(IFERROR(MATCH(B375,Character_Creation!$C$341:$F$362,0),0)&gt;0,0,1)*IF(IFERROR(MATCH($B375,Character_Creation!$C$341:$C$362,0),0)&gt;0,0,1)</f>
        <v>0</v>
      </c>
      <c r="CM375">
        <f>IF(CL375=0,0,1+COUNTIF(CM$3:CM374,"&gt;0"))</f>
        <v>0</v>
      </c>
      <c r="CN375" t="str">
        <f t="shared" si="318"/>
        <v/>
      </c>
      <c r="CO375" t="str">
        <f t="shared" si="290"/>
        <v/>
      </c>
      <c r="CQ375">
        <f>IF(IFERROR(SEARCH("Wizard",$T375,1),0)&gt;0,1,0)*IF(WizardMaxSpellLevel&gt;=$C375,1,0)*IF(IFERROR(MATCH(B375,Character_Creation!$X$341:$X$400,0),0)&gt;0,0,1)*IF(SelectedWizardSpellLevel=$C375,1,0)</f>
        <v>0</v>
      </c>
      <c r="CR375">
        <f>IF(CQ375=0,0,1+COUNTIF(CR$3:CR374,"&gt;0"))</f>
        <v>0</v>
      </c>
      <c r="CS375" t="str">
        <f t="shared" si="319"/>
        <v/>
      </c>
      <c r="CT375" t="str">
        <f t="shared" si="291"/>
        <v/>
      </c>
      <c r="CV375">
        <f>IF(IFERROR(MATCH($B375,Character_Creation!$C$341:$C$362,0),0)&gt;0,0,1)*IF(OR(C375="Cantrip",C375&lt;=BardMaxSpellLevel),1,0)*IF(IFERROR(MATCH($B375,Character_Creation!$C$367:$C$374,0),0)&gt;0,0,1)</f>
        <v>0</v>
      </c>
      <c r="CW375">
        <f>IF(CV375=0,0,1+COUNTIF(CW$3:CW374,"&gt;0"))</f>
        <v>0</v>
      </c>
      <c r="CX375" t="str">
        <f t="shared" si="320"/>
        <v/>
      </c>
      <c r="CY375" t="str">
        <f t="shared" si="292"/>
        <v/>
      </c>
      <c r="DA375">
        <f>IF(IF(OR(IFERROR(SEARCH("Cleric",$T375,1),0)&gt;0,IFERROR(SEARCH(DivineDomain&amp;",",$T375,1),0)&gt;0),1,0)*IF($C375=DA$2,1,0)=1,1+COUNTIF(DA$3:DA374,"&gt;0"),0)</f>
        <v>0</v>
      </c>
      <c r="DB375">
        <f>IF(IF(OR(IFERROR(SEARCH("Cleric",$T375,1),0)&gt;0,IFERROR(SEARCH(DivineDomain&amp;",",$T375,1),0)&gt;0),1,0)*IF($C375=DB$2,1,0)=1,1+COUNTIF(DB$3:DB374,"&gt;0"),0)</f>
        <v>0</v>
      </c>
      <c r="DC375">
        <f>IF(IF(OR(IFERROR(SEARCH("Cleric",$T375,1),0)&gt;0,IFERROR(SEARCH(DivineDomain&amp;",",$T375,1),0)&gt;0),1,0)*IF($C375=DC$2,1,0)=1,1+COUNTIF(DC$3:DC374,"&gt;0"),0)</f>
        <v>0</v>
      </c>
      <c r="DD375">
        <f>IF(IF(OR(IFERROR(SEARCH("Cleric",$T375,1),0)&gt;0,IFERROR(SEARCH(DivineDomain&amp;",",$T375,1),0)&gt;0),1,0)*IF($C375=DD$2,1,0)=1,1+COUNTIF(DD$3:DD374,"&gt;0"),0)</f>
        <v>0</v>
      </c>
      <c r="DE375">
        <f>IF(IF(OR(IFERROR(SEARCH("Cleric",$T375,1),0)&gt;0,IFERROR(SEARCH(DivineDomain&amp;",",$T375,1),0)&gt;0),1,0)*IF($C375=DE$2,1,0)=1,1+COUNTIF(DE$3:DE374,"&gt;0"),0)</f>
        <v>0</v>
      </c>
      <c r="DF375">
        <f>IF(IF(OR(IFERROR(SEARCH("Cleric",$T375,1),0)&gt;0,IFERROR(SEARCH(DivineDomain&amp;",",$T375,1),0)&gt;0),1,0)*IF($C375=DF$2,1,0)=1,1+COUNTIF(DF$3:DF374,"&gt;0"),0)</f>
        <v>0</v>
      </c>
      <c r="DG375">
        <f>IF(IF(OR(IFERROR(SEARCH("Cleric",$T375,1),0)&gt;0,IFERROR(SEARCH(DivineDomain&amp;",",$T375,1),0)&gt;0),1,0)*IF($C375=DG$2,1,0)=1,1+COUNTIF(DG$3:DG374,"&gt;0"),0)</f>
        <v>0</v>
      </c>
      <c r="DH375">
        <f>IF(IF(OR(IFERROR(SEARCH("Cleric",$T375,1),0)&gt;0,IFERROR(SEARCH(DivineDomain&amp;",",$T375,1),0)&gt;0),1,0)*IF($C375=DH$2,1,0)=1,1+COUNTIF(DH$3:DH374,"&gt;0"),0)</f>
        <v>0</v>
      </c>
      <c r="DI375">
        <f>IF(IF(OR(IFERROR(SEARCH("Cleric",$T375,1),0)&gt;0,IFERROR(SEARCH(DivineDomain&amp;",",$T375,1),0)&gt;0),1,0)*IF($C375=DI$2,1,0)=1,1+COUNTIF(DI$3:DI374,"&gt;0"),0)</f>
        <v>0</v>
      </c>
      <c r="DJ375">
        <f>IF(IF(OR(IFERROR(SEARCH("Druid",$T375,1),0)&gt;0,IFERROR(SEARCH(DruidLand1,$T375,1),0)&gt;0,IFERROR(SEARCH(DruidLand2,$T375,1),0)&gt;0,IFERROR(SEARCH(DruidLand3,$T375,1),0)&gt;0,IFERROR(SEARCH(DruidLand4,$T375,1),0)&gt;0),1,0)*IF($C375=1,1,0)*IF($C375=DJ$2,1,0)=0,0,1+COUNTIF(DJ$3:DJ374,"&gt;0"))</f>
        <v>0</v>
      </c>
      <c r="DK375">
        <f>IF(IF(OR(IFERROR(SEARCH("Druid",$T375,1),0)&gt;0,IFERROR(SEARCH(DruidLand1,$T375,1),0)&gt;0,IFERROR(SEARCH(DruidLand2,$T375,1),0)&gt;0,IFERROR(SEARCH(DruidLand3,$T375,1),0)&gt;0,IFERROR(SEARCH(DruidLand4,$T375,1),0)&gt;0),1,0)*IF($C375=DK$2,1,0)=0,0,1+COUNTIF(DK$3:DK374,"&gt;0"))</f>
        <v>19</v>
      </c>
      <c r="DL375">
        <f>IF(IF(OR(IFERROR(SEARCH("Druid",$T375,1),0)&gt;0,IFERROR(SEARCH(DruidLand1,$T375,1),0)&gt;0,IFERROR(SEARCH(DruidLand2,$T375,1),0)&gt;0,IFERROR(SEARCH(DruidLand3,$T375,1),0)&gt;0,IFERROR(SEARCH(DruidLand4,$T375,1),0)&gt;0),1,0)*IF($C375=DL$2,1,0)=0,0,1+COUNTIF(DL$3:DL374,"&gt;0"))</f>
        <v>0</v>
      </c>
      <c r="DM375">
        <f>IF(IF(OR(IFERROR(SEARCH("Druid",$T375,1),0)&gt;0,IFERROR(SEARCH(DruidLand1,$T375,1),0)&gt;0,IFERROR(SEARCH(DruidLand2,$T375,1),0)&gt;0,IFERROR(SEARCH(DruidLand3,$T375,1),0)&gt;0,IFERROR(SEARCH(DruidLand4,$T375,1),0)&gt;0),1,0)*IF($C375=DM$2,1,0)=0,0,1+COUNTIF(DM$3:DM374,"&gt;0"))</f>
        <v>0</v>
      </c>
      <c r="DN375">
        <f>IF(IF(OR(IFERROR(SEARCH("Druid",$T375,1),0)&gt;0,IFERROR(SEARCH(DruidLand1,$T375,1),0)&gt;0,IFERROR(SEARCH(DruidLand2,$T375,1),0)&gt;0,IFERROR(SEARCH(DruidLand3,$T375,1),0)&gt;0,IFERROR(SEARCH(DruidLand4,$T375,1),0)&gt;0),1,0)*IF($C375=DN$2,1,0)=0,0,1+COUNTIF(DN$3:DN374,"&gt;0"))</f>
        <v>0</v>
      </c>
      <c r="DO375">
        <f>IF(IF(OR(IFERROR(SEARCH("Druid",$T375,1),0)&gt;0,IFERROR(SEARCH(DruidLand1,$T375,1),0)&gt;0,IFERROR(SEARCH(DruidLand2,$T375,1),0)&gt;0,IFERROR(SEARCH(DruidLand3,$T375,1),0)&gt;0,IFERROR(SEARCH(DruidLand4,$T375,1),0)&gt;0),1,0)*IF($C375=DO$2,1,0)=0,0,1+COUNTIF(DO$3:DO374,"&gt;0"))</f>
        <v>0</v>
      </c>
      <c r="DP375">
        <f>IF(IF(OR(IFERROR(SEARCH("Druid",$T375,1),0)&gt;0,IFERROR(SEARCH(DruidLand1,$T375,1),0)&gt;0,IFERROR(SEARCH(DruidLand2,$T375,1),0)&gt;0,IFERROR(SEARCH(DruidLand3,$T375,1),0)&gt;0,IFERROR(SEARCH(DruidLand4,$T375,1),0)&gt;0),1,0)*IF($C375=DP$2,1,0)=0,0,1+COUNTIF(DP$3:DP374,"&gt;0"))</f>
        <v>0</v>
      </c>
      <c r="DQ375">
        <f>IF(IF(OR(IFERROR(SEARCH("Druid",$T375,1),0)&gt;0,IFERROR(SEARCH(DruidLand1,$T375,1),0)&gt;0,IFERROR(SEARCH(DruidLand2,$T375,1),0)&gt;0,IFERROR(SEARCH(DruidLand3,$T375,1),0)&gt;0,IFERROR(SEARCH(DruidLand4,$T375,1),0)&gt;0),1,0)*IF($C375=DQ$2,1,0)=0,0,1+COUNTIF(DQ$3:DQ374,"&gt;0"))</f>
        <v>0</v>
      </c>
      <c r="DR375">
        <f>IF(IF(OR(IFERROR(SEARCH("Druid",$T375,1),0)&gt;0,IFERROR(SEARCH(DruidLand1,$T375,1),0)&gt;0,IFERROR(SEARCH(DruidLand2,$T375,1),0)&gt;0,IFERROR(SEARCH(DruidLand3,$T375,1),0)&gt;0,IFERROR(SEARCH(DruidLand4,$T375,1),0)&gt;0),1,0)*IF($C375=DR$2,1,0)=0,0,1+COUNTIF(DR$3:DR374,"&gt;0"))</f>
        <v>0</v>
      </c>
      <c r="DS375">
        <f>IF(IF(OR(IFERROR(SEARCH("Paladin",$T375,1),0)&gt;0,IFERROR(SEARCH(PaladinOath,$T375,1),0)&gt;0),1,0)*IF($C375=DS$2,1,0)=1,1+COUNTIF(DS$3:DS374,"&gt;0"),0)</f>
        <v>0</v>
      </c>
      <c r="DT375">
        <f>IF(IF(OR(IFERROR(SEARCH("Paladin",$T375,1),0)&gt;0,IFERROR(SEARCH(PaladinOath,$T375,1),0)&gt;0),1,0)*IF($C375=DT$2,1,0)=1,1+COUNTIF(DT$3:DT374,"&gt;0"),0)</f>
        <v>0</v>
      </c>
      <c r="DU375">
        <f>IF(IF(OR(IFERROR(SEARCH("Paladin",$T375,1),0)&gt;0,IFERROR(SEARCH(PaladinOath,$T375,1),0)&gt;0),1,0)*IF($C375=DU$2,1,0)=1,1+COUNTIF(DU$3:DU374,"&gt;0"),0)</f>
        <v>0</v>
      </c>
      <c r="DV375">
        <f>IF(IF(OR(IFERROR(SEARCH("Paladin",$T375,1),0)&gt;0,IFERROR(SEARCH(PaladinOath,$T375,1),0)&gt;0),1,0)*IF($C375=DV$2,1,0)=1,1+COUNTIF(DV$3:DV374,"&gt;0"),0)</f>
        <v>0</v>
      </c>
      <c r="DW375">
        <f>IF(IF(OR(IFERROR(SEARCH("Paladin",$T375,1),0)&gt;0,IFERROR(SEARCH(PaladinOath,$T375,1),0)&gt;0),1,0)*IF($C375=DW$2,1,0)=1,1+COUNTIF(DW$3:DW374,"&gt;0"),0)</f>
        <v>0</v>
      </c>
      <c r="DY375">
        <f t="shared" si="278"/>
        <v>1</v>
      </c>
      <c r="DZ375">
        <f>IF(DY375=0,0,1+MAX(DZ$3:$DZ374))</f>
        <v>373</v>
      </c>
      <c r="EB375">
        <f t="shared" si="293"/>
        <v>0</v>
      </c>
      <c r="EC375">
        <f>IF(EB375=0,0,1+COUNTIF(EC$3:EC374,"&gt;0"))</f>
        <v>0</v>
      </c>
      <c r="ED375" t="str">
        <f t="shared" si="321"/>
        <v/>
      </c>
      <c r="EE375" t="str">
        <f t="shared" si="294"/>
        <v/>
      </c>
      <c r="EG375">
        <f t="shared" si="295"/>
        <v>0</v>
      </c>
      <c r="EH375">
        <f>IF(EG375=0,0,1+COUNTIF(EH$3:EH374,"&gt;0"))</f>
        <v>0</v>
      </c>
      <c r="EI375" t="str">
        <f t="shared" si="322"/>
        <v/>
      </c>
      <c r="EJ375" t="str">
        <f t="shared" si="296"/>
        <v/>
      </c>
      <c r="EL375">
        <f t="shared" si="297"/>
        <v>0</v>
      </c>
      <c r="EM375">
        <f>IF(EL375=0,0,1+COUNTIF(EM$3:EM374,"&gt;0"))</f>
        <v>0</v>
      </c>
      <c r="EN375" t="str">
        <f t="shared" si="323"/>
        <v/>
      </c>
      <c r="EO375" t="str">
        <f t="shared" si="298"/>
        <v/>
      </c>
      <c r="EQ375">
        <f t="shared" si="299"/>
        <v>0</v>
      </c>
      <c r="ER375">
        <f>IF(EQ375=0,0,1+COUNTIF(ER$3:ER374,"&gt;0"))</f>
        <v>0</v>
      </c>
      <c r="ES375" t="str">
        <f t="shared" si="324"/>
        <v/>
      </c>
      <c r="ET375" t="str">
        <f t="shared" si="300"/>
        <v/>
      </c>
      <c r="EV375">
        <f t="shared" si="301"/>
        <v>0</v>
      </c>
      <c r="EW375">
        <f>IF(EV375=0,0,1+COUNTIF(EW$3:EW374,"&gt;0"))</f>
        <v>0</v>
      </c>
      <c r="EX375" t="str">
        <f t="shared" si="325"/>
        <v/>
      </c>
      <c r="EY375" t="str">
        <f t="shared" si="302"/>
        <v/>
      </c>
      <c r="FA375">
        <f t="shared" si="303"/>
        <v>0</v>
      </c>
      <c r="FB375">
        <f>IF(FA375=0,0,1+COUNTIF(FB$3:FB374,"&gt;0"))</f>
        <v>0</v>
      </c>
      <c r="FC375" t="str">
        <f t="shared" si="326"/>
        <v/>
      </c>
      <c r="FD375" t="str">
        <f t="shared" si="304"/>
        <v/>
      </c>
      <c r="FF375">
        <f t="shared" si="305"/>
        <v>0</v>
      </c>
      <c r="FG375">
        <f>IF(FF375=0,0,1+COUNTIF(FG$3:FG374,"&gt;0"))</f>
        <v>0</v>
      </c>
      <c r="FH375" t="str">
        <f t="shared" si="327"/>
        <v/>
      </c>
      <c r="FI375" t="str">
        <f t="shared" si="306"/>
        <v/>
      </c>
      <c r="FK375">
        <f t="shared" si="307"/>
        <v>0</v>
      </c>
      <c r="FL375">
        <f>IF(FK375=0,0,1+COUNTIF(FL$3:FL374,"&gt;0"))</f>
        <v>0</v>
      </c>
      <c r="FM375" t="str">
        <f t="shared" si="328"/>
        <v/>
      </c>
      <c r="FN375" t="str">
        <f t="shared" si="308"/>
        <v/>
      </c>
      <c r="FP375">
        <f t="shared" si="309"/>
        <v>0</v>
      </c>
      <c r="FQ375">
        <f>IF(FP375=0,0,1+COUNTIF(FQ$3:FQ374,"&gt;0"))</f>
        <v>0</v>
      </c>
      <c r="FR375" t="str">
        <f t="shared" si="329"/>
        <v/>
      </c>
      <c r="FS375" t="str">
        <f t="shared" si="310"/>
        <v/>
      </c>
    </row>
    <row r="376" spans="1:175" x14ac:dyDescent="0.25">
      <c r="A376" s="347">
        <f t="shared" si="331"/>
        <v>374</v>
      </c>
      <c r="B376" s="398" t="s">
        <v>5538</v>
      </c>
      <c r="C376" s="348">
        <v>1</v>
      </c>
      <c r="D376" s="347">
        <v>1</v>
      </c>
      <c r="E376" s="627" t="s">
        <v>6957</v>
      </c>
      <c r="F376" s="346"/>
      <c r="G376" s="347" t="str">
        <f>""</f>
        <v/>
      </c>
      <c r="H376" s="347" t="s">
        <v>5912</v>
      </c>
      <c r="I376" s="347" t="s">
        <v>5283</v>
      </c>
      <c r="J376" s="347" t="str">
        <f t="shared" si="279"/>
        <v/>
      </c>
      <c r="K376" s="347" t="s">
        <v>5278</v>
      </c>
      <c r="L376" s="611" t="str">
        <f t="shared" si="280"/>
        <v>V, S</v>
      </c>
      <c r="M376" s="347" t="s">
        <v>2373</v>
      </c>
      <c r="N376" s="347" t="s">
        <v>2387</v>
      </c>
      <c r="O376" s="347" t="s">
        <v>3034</v>
      </c>
      <c r="P376" s="346" t="str">
        <f>""</f>
        <v/>
      </c>
      <c r="Q376" s="347" t="s">
        <v>5273</v>
      </c>
      <c r="S376" s="346" t="s">
        <v>5878</v>
      </c>
      <c r="T376" s="346" t="str">
        <f t="shared" si="281"/>
        <v xml:space="preserve">Bard, Sorcerer, Druid, Eldritch Knight, Wizard, </v>
      </c>
      <c r="U376" s="347" t="str">
        <f>$B376</f>
        <v>Earth Tremor</v>
      </c>
      <c r="X376" s="347" t="str">
        <f t="shared" si="333"/>
        <v>Earth Tremor</v>
      </c>
      <c r="AA376" s="347" t="str">
        <f t="shared" si="335"/>
        <v>Earth Tremor</v>
      </c>
      <c r="AB376" s="542" t="str">
        <f>AD376</f>
        <v>Earth Tremor</v>
      </c>
      <c r="AD376" s="347" t="str">
        <f t="shared" si="334"/>
        <v>Earth Tremor</v>
      </c>
      <c r="AE376" t="str">
        <f>IF(IFERROR(MATCH($B376,temp!A$4:A$13,0),0)&gt;0,T08_Spells!AE$2,"")</f>
        <v/>
      </c>
      <c r="AF376" t="str">
        <f>IF(IFERROR(MATCH($B376,temp!B$4:B$13,0),0)&gt;0,T08_Spells!AF$2,"")</f>
        <v/>
      </c>
      <c r="AG376" t="str">
        <f>IF(IFERROR(MATCH($B376,temp!C$4:C$13,0),0)&gt;0,T08_Spells!AG$2,"")</f>
        <v/>
      </c>
      <c r="AH376" t="str">
        <f>IF(IFERROR(MATCH($B376,temp!D$4:D$13,0),0)&gt;0,T08_Spells!AH$2,"")</f>
        <v/>
      </c>
      <c r="AI376" t="str">
        <f>IF(IFERROR(MATCH($B376,temp!E$4:E$13,0),0)&gt;0,T08_Spells!AI$2,"")</f>
        <v/>
      </c>
      <c r="AJ376" t="str">
        <f>IF(IFERROR(MATCH($B376,temp!F$4:F$13,0),0)&gt;0,T08_Spells!AJ$2,"")</f>
        <v/>
      </c>
      <c r="AK376" t="str">
        <f>IF(IFERROR(MATCH($B376,temp!G$4:G$13,0),0)&gt;0,T08_Spells!AK$2,"")</f>
        <v/>
      </c>
      <c r="AL376" t="str">
        <f>IF(IFERROR(MATCH($B376,temp!H$4:H$13,0),0)&gt;0,T08_Spells!AL$2,"")</f>
        <v/>
      </c>
      <c r="AM376" t="str">
        <f>IF(IFERROR(MATCH($B376,temp!I$4:I$13,0),0)&gt;0,T08_Spells!AM$2,"")</f>
        <v/>
      </c>
      <c r="AN376" t="str">
        <f>IF(IFERROR(MATCH($B376,temp!J$4:J$13,0),0)&gt;0,T08_Spells!AN$2,"")</f>
        <v/>
      </c>
      <c r="AO376" t="str">
        <f>IF(IFERROR(MATCH($B376,temp!K$4:K$13,0),0)&gt;0,T08_Spells!AO$2,"")</f>
        <v/>
      </c>
      <c r="AP376" t="str">
        <f>IF(IFERROR(MATCH($B376,temp!L$4:L$13,0),0)&gt;0,T08_Spells!AP$2,"")</f>
        <v/>
      </c>
      <c r="AQ376" t="str">
        <f>IF(IFERROR(MATCH($B376,temp!M$4:M$13,0),0)&gt;0,T08_Spells!AQ$2,"")</f>
        <v/>
      </c>
      <c r="AR376" t="str">
        <f>IF(IFERROR(MATCH($B376,temp!N$4:N$13,0),0)&gt;0,T08_Spells!AR$2,"")</f>
        <v/>
      </c>
      <c r="AS376" t="str">
        <f>IF(IFERROR(MATCH($B376,temp!O$4:O$13,0),0)&gt;0,T08_Spells!AS$2,"")</f>
        <v/>
      </c>
      <c r="AT376" t="str">
        <f>IF(IFERROR(MATCH($B376,temp!P$4:P$13,0),0)&gt;0,T08_Spells!AT$2,"")</f>
        <v/>
      </c>
      <c r="AU376" t="str">
        <f>IF(IFERROR(MATCH($B376,temp!Q$4:Q$13,0),0)&gt;0,T08_Spells!AU$2,"")</f>
        <v/>
      </c>
      <c r="AV376" t="str">
        <f>IF(IFERROR(MATCH($B376,temp!R$4:R$13,0),0)&gt;0,T08_Spells!AV$2,"")</f>
        <v/>
      </c>
      <c r="AW376" t="str">
        <f>IF(IFERROR(MATCH($B376,temp!S$4:S$13,0),0)&gt;0,T08_Spells!AW$2,"")</f>
        <v/>
      </c>
      <c r="AX376" t="str">
        <f>IF(IFERROR(MATCH($B376,temp!T$4:T$13,0),0)&gt;0,T08_Spells!AX$2,"")</f>
        <v/>
      </c>
      <c r="AY376" t="str">
        <f>IF(IFERROR(MATCH($B376,temp!U$4:U$13,0),0)&gt;0,T08_Spells!AY$2,"")</f>
        <v/>
      </c>
      <c r="AZ376" t="str">
        <f>IF(IFERROR(MATCH($B376,temp!V$4:V$13,0),0)&gt;0,T08_Spells!AZ$2,"")</f>
        <v/>
      </c>
      <c r="BA376" t="str">
        <f>IF(IFERROR(MATCH($B376,temp!W$4:W$13,0),0)&gt;0,T08_Spells!BA$2,"")</f>
        <v/>
      </c>
      <c r="BC376">
        <f>IF(IFERROR(SEARCH("Ranger",$T376,1),0)&gt;0,1,0)*IF(RangerMaxSpellLevel&gt;=$C376,1,0)*IF(IFERROR(MATCH(B376,Character_Creation!$X$79:$X$382,0),0)&gt;0,0,1)</f>
        <v>0</v>
      </c>
      <c r="BD376">
        <f>IF(BC376=0,0,1+COUNTIF(BD$3:BD375,"&gt;0"))</f>
        <v>0</v>
      </c>
      <c r="BE376" t="str">
        <f t="shared" si="311"/>
        <v/>
      </c>
      <c r="BF376" t="str">
        <f t="shared" si="283"/>
        <v/>
      </c>
      <c r="BH376">
        <f>IF(IFERROR(SEARCH("Sorcerer",$T376,1),0)&gt;0,1,0)*IF(SorcererMaxSpellLevel&gt;=$C376,1,0)*IF(IFERROR(MATCH(B376,Character_Creation!$J$380:$J$394,0),0)&gt;0,0,1)</f>
        <v>0</v>
      </c>
      <c r="BI376">
        <f>IF(BH376=0,0,1+COUNTIF(BI$3:BI375,"&gt;0"))</f>
        <v>0</v>
      </c>
      <c r="BJ376" t="str">
        <f t="shared" si="312"/>
        <v/>
      </c>
      <c r="BK376" t="str">
        <f t="shared" si="284"/>
        <v/>
      </c>
      <c r="BM376">
        <f>IF(OR(IFERROR(SEARCH("Warlock",$T376,1),0)&gt;0,IFERROR(SEARCH(WarlockPatron,$T376,1),0)&gt;0),1,0)*IF(WarlockMaxSpellLevel&gt;=$C376,1,0)*IF(IFERROR(MATCH(B376,Character_Creation!$J$361:$J$375,0),0)&gt;0,0,1)</f>
        <v>0</v>
      </c>
      <c r="BN376">
        <f>IF(BM376=0,0,1+COUNTIF(BN$3:BN375,"&gt;0"))</f>
        <v>0</v>
      </c>
      <c r="BO376" t="str">
        <f t="shared" si="313"/>
        <v/>
      </c>
      <c r="BP376" t="str">
        <f t="shared" si="285"/>
        <v/>
      </c>
      <c r="BR376">
        <f>IF(IFERROR(SEARCH("Eldritch Knight",$T376,1),0)&gt;0,1,0)*IF(EldritchKnightMaxSpellLevel&gt;=$C376,1,0)*IF(IFERROR(MATCH($B376,Character_Creation!$J$350:$J$356,0),0)&gt;0,0,1)*IF(Character_Creation!$M$338&gt;0,1,0)</f>
        <v>0</v>
      </c>
      <c r="BS376">
        <f>IF(BR376=0,0,1+COUNTIF(BS$3:BS375,"&gt;0"))</f>
        <v>0</v>
      </c>
      <c r="BT376" t="str">
        <f t="shared" si="314"/>
        <v/>
      </c>
      <c r="BU376" t="str">
        <f t="shared" si="286"/>
        <v/>
      </c>
      <c r="BW376">
        <f>IF(IFERROR(SEARCH("Arcane Trickster",$T376,1),0)&gt;0,1,0)*IF(ArcaneTricksterMaxSpellLevel&gt;=$C376,1,0)*IF(IFERROR(MATCH($B376,Character_Creation!$J$350:$J$356,0),0)&gt;0,0,1)*IF(Character_Creation!$T$338&gt;0,1,0)</f>
        <v>0</v>
      </c>
      <c r="BX376">
        <f>IF(BW376=0,0,1+COUNTIF(BX$3:BX375,"&gt;0"))</f>
        <v>0</v>
      </c>
      <c r="BY376" t="str">
        <f t="shared" si="315"/>
        <v/>
      </c>
      <c r="BZ376" t="str">
        <f t="shared" si="287"/>
        <v/>
      </c>
      <c r="CB376">
        <f>IF(IFERROR(SEARCH("Wizard",$T376,1),0)&gt;0,1,0)*IF(C376&lt;=ArcaneTricksterMaxSpellLevel,1,0)*IF(IFERROR(MATCH($B376,Character_Creation!$J$350:$J$356,0),0)&gt;0,0,1)*IF(Character_Creation!$T$350&gt;0,1,0)</f>
        <v>0</v>
      </c>
      <c r="CC376">
        <f>IF(CB376=0,0,1+COUNTIF(CC$3:CC375,"&gt;0"))</f>
        <v>0</v>
      </c>
      <c r="CD376" t="str">
        <f t="shared" si="316"/>
        <v/>
      </c>
      <c r="CE376" t="str">
        <f t="shared" si="288"/>
        <v/>
      </c>
      <c r="CG376">
        <f>IF(IFERROR(SEARCH("Wizard",$T376,1),0)&gt;0,1,0)*IF($C376&lt;=EldritchKnightMaxSpellLevel,1,0)*IF(IFERROR(MATCH($B376,Character_Creation!$J$350:$J$356,0),0)&gt;0,0,1)*IF(Character_Creation!$M$350&gt;0,1,0)</f>
        <v>1</v>
      </c>
      <c r="CH376">
        <f>IF(CG376=0,0,1+COUNTIF(CH$3:CH375,"&gt;0"))</f>
        <v>68</v>
      </c>
      <c r="CI376" t="str">
        <f t="shared" si="317"/>
        <v/>
      </c>
      <c r="CJ376" t="str">
        <f t="shared" si="289"/>
        <v/>
      </c>
      <c r="CL376">
        <f>IF(IFERROR(SEARCH("Bard",$T376,1),0)&gt;0,1,0)*IF(BardMaxSpellLevel&gt;=$C376,1,0)*IF(IFERROR(MATCH(B376,Character_Creation!$C$341:$F$362,0),0)&gt;0,0,1)*IF(IFERROR(MATCH($B376,Character_Creation!$C$341:$C$362,0),0)&gt;0,0,1)</f>
        <v>0</v>
      </c>
      <c r="CM376">
        <f>IF(CL376=0,0,1+COUNTIF(CM$3:CM375,"&gt;0"))</f>
        <v>0</v>
      </c>
      <c r="CN376" t="str">
        <f t="shared" si="318"/>
        <v/>
      </c>
      <c r="CO376" t="str">
        <f t="shared" si="290"/>
        <v/>
      </c>
      <c r="CQ376">
        <f>IF(IFERROR(SEARCH("Wizard",$T376,1),0)&gt;0,1,0)*IF(WizardMaxSpellLevel&gt;=$C376,1,0)*IF(IFERROR(MATCH(B376,Character_Creation!$X$341:$X$400,0),0)&gt;0,0,1)*IF(SelectedWizardSpellLevel=$C376,1,0)</f>
        <v>0</v>
      </c>
      <c r="CR376">
        <f>IF(CQ376=0,0,1+COUNTIF(CR$3:CR375,"&gt;0"))</f>
        <v>0</v>
      </c>
      <c r="CS376" t="str">
        <f t="shared" si="319"/>
        <v/>
      </c>
      <c r="CT376" t="str">
        <f t="shared" si="291"/>
        <v/>
      </c>
      <c r="CV376">
        <f>IF(IFERROR(MATCH($B376,Character_Creation!$C$341:$C$362,0),0)&gt;0,0,1)*IF(OR(C376="Cantrip",C376&lt;=BardMaxSpellLevel),1,0)*IF(IFERROR(MATCH($B376,Character_Creation!$C$367:$C$374,0),0)&gt;0,0,1)</f>
        <v>0</v>
      </c>
      <c r="CW376">
        <f>IF(CV376=0,0,1+COUNTIF(CW$3:CW375,"&gt;0"))</f>
        <v>0</v>
      </c>
      <c r="CX376" t="str">
        <f t="shared" si="320"/>
        <v/>
      </c>
      <c r="CY376" t="str">
        <f t="shared" si="292"/>
        <v/>
      </c>
      <c r="DA376">
        <f>IF(IF(OR(IFERROR(SEARCH("Cleric",$T376,1),0)&gt;0,IFERROR(SEARCH(DivineDomain&amp;",",$T376,1),0)&gt;0),1,0)*IF($C376=DA$2,1,0)=1,1+COUNTIF(DA$3:DA375,"&gt;0"),0)</f>
        <v>0</v>
      </c>
      <c r="DB376">
        <f>IF(IF(OR(IFERROR(SEARCH("Cleric",$T376,1),0)&gt;0,IFERROR(SEARCH(DivineDomain&amp;",",$T376,1),0)&gt;0),1,0)*IF($C376=DB$2,1,0)=1,1+COUNTIF(DB$3:DB375,"&gt;0"),0)</f>
        <v>0</v>
      </c>
      <c r="DC376">
        <f>IF(IF(OR(IFERROR(SEARCH("Cleric",$T376,1),0)&gt;0,IFERROR(SEARCH(DivineDomain&amp;",",$T376,1),0)&gt;0),1,0)*IF($C376=DC$2,1,0)=1,1+COUNTIF(DC$3:DC375,"&gt;0"),0)</f>
        <v>0</v>
      </c>
      <c r="DD376">
        <f>IF(IF(OR(IFERROR(SEARCH("Cleric",$T376,1),0)&gt;0,IFERROR(SEARCH(DivineDomain&amp;",",$T376,1),0)&gt;0),1,0)*IF($C376=DD$2,1,0)=1,1+COUNTIF(DD$3:DD375,"&gt;0"),0)</f>
        <v>0</v>
      </c>
      <c r="DE376">
        <f>IF(IF(OR(IFERROR(SEARCH("Cleric",$T376,1),0)&gt;0,IFERROR(SEARCH(DivineDomain&amp;",",$T376,1),0)&gt;0),1,0)*IF($C376=DE$2,1,0)=1,1+COUNTIF(DE$3:DE375,"&gt;0"),0)</f>
        <v>0</v>
      </c>
      <c r="DF376">
        <f>IF(IF(OR(IFERROR(SEARCH("Cleric",$T376,1),0)&gt;0,IFERROR(SEARCH(DivineDomain&amp;",",$T376,1),0)&gt;0),1,0)*IF($C376=DF$2,1,0)=1,1+COUNTIF(DF$3:DF375,"&gt;0"),0)</f>
        <v>0</v>
      </c>
      <c r="DG376">
        <f>IF(IF(OR(IFERROR(SEARCH("Cleric",$T376,1),0)&gt;0,IFERROR(SEARCH(DivineDomain&amp;",",$T376,1),0)&gt;0),1,0)*IF($C376=DG$2,1,0)=1,1+COUNTIF(DG$3:DG375,"&gt;0"),0)</f>
        <v>0</v>
      </c>
      <c r="DH376">
        <f>IF(IF(OR(IFERROR(SEARCH("Cleric",$T376,1),0)&gt;0,IFERROR(SEARCH(DivineDomain&amp;",",$T376,1),0)&gt;0),1,0)*IF($C376=DH$2,1,0)=1,1+COUNTIF(DH$3:DH375,"&gt;0"),0)</f>
        <v>0</v>
      </c>
      <c r="DI376">
        <f>IF(IF(OR(IFERROR(SEARCH("Cleric",$T376,1),0)&gt;0,IFERROR(SEARCH(DivineDomain&amp;",",$T376,1),0)&gt;0),1,0)*IF($C376=DI$2,1,0)=1,1+COUNTIF(DI$3:DI375,"&gt;0"),0)</f>
        <v>0</v>
      </c>
      <c r="DJ376">
        <f>IF(IF(OR(IFERROR(SEARCH("Druid",$T376,1),0)&gt;0,IFERROR(SEARCH(DruidLand1,$T376,1),0)&gt;0,IFERROR(SEARCH(DruidLand2,$T376,1),0)&gt;0,IFERROR(SEARCH(DruidLand3,$T376,1),0)&gt;0,IFERROR(SEARCH(DruidLand4,$T376,1),0)&gt;0),1,0)*IF($C376=1,1,0)*IF($C376=DJ$2,1,0)=0,0,1+COUNTIF(DJ$3:DJ375,"&gt;0"))</f>
        <v>19</v>
      </c>
      <c r="DK376">
        <f>IF(IF(OR(IFERROR(SEARCH("Druid",$T376,1),0)&gt;0,IFERROR(SEARCH(DruidLand1,$T376,1),0)&gt;0,IFERROR(SEARCH(DruidLand2,$T376,1),0)&gt;0,IFERROR(SEARCH(DruidLand3,$T376,1),0)&gt;0,IFERROR(SEARCH(DruidLand4,$T376,1),0)&gt;0),1,0)*IF($C376=DK$2,1,0)=0,0,1+COUNTIF(DK$3:DK375,"&gt;0"))</f>
        <v>0</v>
      </c>
      <c r="DL376">
        <f>IF(IF(OR(IFERROR(SEARCH("Druid",$T376,1),0)&gt;0,IFERROR(SEARCH(DruidLand1,$T376,1),0)&gt;0,IFERROR(SEARCH(DruidLand2,$T376,1),0)&gt;0,IFERROR(SEARCH(DruidLand3,$T376,1),0)&gt;0,IFERROR(SEARCH(DruidLand4,$T376,1),0)&gt;0),1,0)*IF($C376=DL$2,1,0)=0,0,1+COUNTIF(DL$3:DL375,"&gt;0"))</f>
        <v>0</v>
      </c>
      <c r="DM376">
        <f>IF(IF(OR(IFERROR(SEARCH("Druid",$T376,1),0)&gt;0,IFERROR(SEARCH(DruidLand1,$T376,1),0)&gt;0,IFERROR(SEARCH(DruidLand2,$T376,1),0)&gt;0,IFERROR(SEARCH(DruidLand3,$T376,1),0)&gt;0,IFERROR(SEARCH(DruidLand4,$T376,1),0)&gt;0),1,0)*IF($C376=DM$2,1,0)=0,0,1+COUNTIF(DM$3:DM375,"&gt;0"))</f>
        <v>0</v>
      </c>
      <c r="DN376">
        <f>IF(IF(OR(IFERROR(SEARCH("Druid",$T376,1),0)&gt;0,IFERROR(SEARCH(DruidLand1,$T376,1),0)&gt;0,IFERROR(SEARCH(DruidLand2,$T376,1),0)&gt;0,IFERROR(SEARCH(DruidLand3,$T376,1),0)&gt;0,IFERROR(SEARCH(DruidLand4,$T376,1),0)&gt;0),1,0)*IF($C376=DN$2,1,0)=0,0,1+COUNTIF(DN$3:DN375,"&gt;0"))</f>
        <v>0</v>
      </c>
      <c r="DO376">
        <f>IF(IF(OR(IFERROR(SEARCH("Druid",$T376,1),0)&gt;0,IFERROR(SEARCH(DruidLand1,$T376,1),0)&gt;0,IFERROR(SEARCH(DruidLand2,$T376,1),0)&gt;0,IFERROR(SEARCH(DruidLand3,$T376,1),0)&gt;0,IFERROR(SEARCH(DruidLand4,$T376,1),0)&gt;0),1,0)*IF($C376=DO$2,1,0)=0,0,1+COUNTIF(DO$3:DO375,"&gt;0"))</f>
        <v>0</v>
      </c>
      <c r="DP376">
        <f>IF(IF(OR(IFERROR(SEARCH("Druid",$T376,1),0)&gt;0,IFERROR(SEARCH(DruidLand1,$T376,1),0)&gt;0,IFERROR(SEARCH(DruidLand2,$T376,1),0)&gt;0,IFERROR(SEARCH(DruidLand3,$T376,1),0)&gt;0,IFERROR(SEARCH(DruidLand4,$T376,1),0)&gt;0),1,0)*IF($C376=DP$2,1,0)=0,0,1+COUNTIF(DP$3:DP375,"&gt;0"))</f>
        <v>0</v>
      </c>
      <c r="DQ376">
        <f>IF(IF(OR(IFERROR(SEARCH("Druid",$T376,1),0)&gt;0,IFERROR(SEARCH(DruidLand1,$T376,1),0)&gt;0,IFERROR(SEARCH(DruidLand2,$T376,1),0)&gt;0,IFERROR(SEARCH(DruidLand3,$T376,1),0)&gt;0,IFERROR(SEARCH(DruidLand4,$T376,1),0)&gt;0),1,0)*IF($C376=DQ$2,1,0)=0,0,1+COUNTIF(DQ$3:DQ375,"&gt;0"))</f>
        <v>0</v>
      </c>
      <c r="DR376">
        <f>IF(IF(OR(IFERROR(SEARCH("Druid",$T376,1),0)&gt;0,IFERROR(SEARCH(DruidLand1,$T376,1),0)&gt;0,IFERROR(SEARCH(DruidLand2,$T376,1),0)&gt;0,IFERROR(SEARCH(DruidLand3,$T376,1),0)&gt;0,IFERROR(SEARCH(DruidLand4,$T376,1),0)&gt;0),1,0)*IF($C376=DR$2,1,0)=0,0,1+COUNTIF(DR$3:DR375,"&gt;0"))</f>
        <v>0</v>
      </c>
      <c r="DS376">
        <f>IF(IF(OR(IFERROR(SEARCH("Paladin",$T376,1),0)&gt;0,IFERROR(SEARCH(PaladinOath,$T376,1),0)&gt;0),1,0)*IF($C376=DS$2,1,0)=1,1+COUNTIF(DS$3:DS375,"&gt;0"),0)</f>
        <v>0</v>
      </c>
      <c r="DT376">
        <f>IF(IF(OR(IFERROR(SEARCH("Paladin",$T376,1),0)&gt;0,IFERROR(SEARCH(PaladinOath,$T376,1),0)&gt;0),1,0)*IF($C376=DT$2,1,0)=1,1+COUNTIF(DT$3:DT375,"&gt;0"),0)</f>
        <v>0</v>
      </c>
      <c r="DU376">
        <f>IF(IF(OR(IFERROR(SEARCH("Paladin",$T376,1),0)&gt;0,IFERROR(SEARCH(PaladinOath,$T376,1),0)&gt;0),1,0)*IF($C376=DU$2,1,0)=1,1+COUNTIF(DU$3:DU375,"&gt;0"),0)</f>
        <v>0</v>
      </c>
      <c r="DV376">
        <f>IF(IF(OR(IFERROR(SEARCH("Paladin",$T376,1),0)&gt;0,IFERROR(SEARCH(PaladinOath,$T376,1),0)&gt;0),1,0)*IF($C376=DV$2,1,0)=1,1+COUNTIF(DV$3:DV375,"&gt;0"),0)</f>
        <v>0</v>
      </c>
      <c r="DW376">
        <f>IF(IF(OR(IFERROR(SEARCH("Paladin",$T376,1),0)&gt;0,IFERROR(SEARCH(PaladinOath,$T376,1),0)&gt;0),1,0)*IF($C376=DW$2,1,0)=1,1+COUNTIF(DW$3:DW375,"&gt;0"),0)</f>
        <v>0</v>
      </c>
      <c r="DY376">
        <f t="shared" si="278"/>
        <v>1</v>
      </c>
      <c r="DZ376">
        <f>IF(DY376=0,0,1+MAX(DZ$3:$DZ375))</f>
        <v>374</v>
      </c>
      <c r="EB376">
        <f t="shared" si="293"/>
        <v>0</v>
      </c>
      <c r="EC376">
        <f>IF(EB376=0,0,1+COUNTIF(EC$3:EC375,"&gt;0"))</f>
        <v>0</v>
      </c>
      <c r="ED376" t="str">
        <f t="shared" si="321"/>
        <v/>
      </c>
      <c r="EE376" t="str">
        <f t="shared" si="294"/>
        <v/>
      </c>
      <c r="EG376">
        <f t="shared" si="295"/>
        <v>0</v>
      </c>
      <c r="EH376">
        <f>IF(EG376=0,0,1+COUNTIF(EH$3:EH375,"&gt;0"))</f>
        <v>0</v>
      </c>
      <c r="EI376" t="str">
        <f t="shared" si="322"/>
        <v/>
      </c>
      <c r="EJ376" t="str">
        <f t="shared" si="296"/>
        <v/>
      </c>
      <c r="EL376">
        <f t="shared" si="297"/>
        <v>0</v>
      </c>
      <c r="EM376">
        <f>IF(EL376=0,0,1+COUNTIF(EM$3:EM375,"&gt;0"))</f>
        <v>0</v>
      </c>
      <c r="EN376" t="str">
        <f t="shared" si="323"/>
        <v/>
      </c>
      <c r="EO376" t="str">
        <f t="shared" si="298"/>
        <v/>
      </c>
      <c r="EQ376">
        <f t="shared" si="299"/>
        <v>0</v>
      </c>
      <c r="ER376">
        <f>IF(EQ376=0,0,1+COUNTIF(ER$3:ER375,"&gt;0"))</f>
        <v>0</v>
      </c>
      <c r="ES376" t="str">
        <f t="shared" si="324"/>
        <v/>
      </c>
      <c r="ET376" t="str">
        <f t="shared" si="300"/>
        <v/>
      </c>
      <c r="EV376">
        <f t="shared" si="301"/>
        <v>0</v>
      </c>
      <c r="EW376">
        <f>IF(EV376=0,0,1+COUNTIF(EW$3:EW375,"&gt;0"))</f>
        <v>0</v>
      </c>
      <c r="EX376" t="str">
        <f t="shared" si="325"/>
        <v/>
      </c>
      <c r="EY376" t="str">
        <f t="shared" si="302"/>
        <v/>
      </c>
      <c r="FA376">
        <f t="shared" si="303"/>
        <v>0</v>
      </c>
      <c r="FB376">
        <f>IF(FA376=0,0,1+COUNTIF(FB$3:FB375,"&gt;0"))</f>
        <v>0</v>
      </c>
      <c r="FC376" t="str">
        <f t="shared" si="326"/>
        <v/>
      </c>
      <c r="FD376" t="str">
        <f t="shared" si="304"/>
        <v/>
      </c>
      <c r="FF376">
        <f t="shared" si="305"/>
        <v>0</v>
      </c>
      <c r="FG376">
        <f>IF(FF376=0,0,1+COUNTIF(FG$3:FG375,"&gt;0"))</f>
        <v>0</v>
      </c>
      <c r="FH376" t="str">
        <f t="shared" si="327"/>
        <v/>
      </c>
      <c r="FI376" t="str">
        <f t="shared" si="306"/>
        <v/>
      </c>
      <c r="FK376">
        <f t="shared" si="307"/>
        <v>0</v>
      </c>
      <c r="FL376">
        <f>IF(FK376=0,0,1+COUNTIF(FL$3:FL375,"&gt;0"))</f>
        <v>0</v>
      </c>
      <c r="FM376" t="str">
        <f t="shared" si="328"/>
        <v/>
      </c>
      <c r="FN376" t="str">
        <f t="shared" si="308"/>
        <v/>
      </c>
      <c r="FP376">
        <f t="shared" si="309"/>
        <v>0</v>
      </c>
      <c r="FQ376">
        <f>IF(FP376=0,0,1+COUNTIF(FQ$3:FQ375,"&gt;0"))</f>
        <v>0</v>
      </c>
      <c r="FR376" t="str">
        <f t="shared" si="329"/>
        <v/>
      </c>
      <c r="FS376" t="str">
        <f t="shared" si="310"/>
        <v/>
      </c>
    </row>
    <row r="377" spans="1:175" x14ac:dyDescent="0.25">
      <c r="A377" s="347">
        <f t="shared" si="331"/>
        <v>375</v>
      </c>
      <c r="B377" s="398" t="s">
        <v>5539</v>
      </c>
      <c r="C377" s="348">
        <v>4</v>
      </c>
      <c r="D377" s="347">
        <v>4</v>
      </c>
      <c r="E377" s="627" t="s">
        <v>6957</v>
      </c>
      <c r="F377" s="346"/>
      <c r="G377" s="347" t="str">
        <f>""</f>
        <v/>
      </c>
      <c r="H377" s="347" t="s">
        <v>5912</v>
      </c>
      <c r="I377" s="347" t="s">
        <v>5312</v>
      </c>
      <c r="J377" s="347" t="str">
        <f t="shared" si="279"/>
        <v/>
      </c>
      <c r="K377" s="347" t="s">
        <v>5291</v>
      </c>
      <c r="L377" s="611" t="str">
        <f t="shared" si="280"/>
        <v>V, S</v>
      </c>
      <c r="M377" s="347" t="s">
        <v>2373</v>
      </c>
      <c r="N377" s="347" t="s">
        <v>2387</v>
      </c>
      <c r="O377" s="347" t="s">
        <v>3034</v>
      </c>
      <c r="P377" s="346" t="str">
        <f>""</f>
        <v/>
      </c>
      <c r="Q377" s="347" t="s">
        <v>5276</v>
      </c>
      <c r="S377" s="346" t="s">
        <v>5879</v>
      </c>
      <c r="T377" s="346" t="str">
        <f t="shared" si="281"/>
        <v xml:space="preserve">Warlock, Druid, Wizard, </v>
      </c>
      <c r="Y377" s="347" t="str">
        <f>$B377</f>
        <v>Elemental Bane</v>
      </c>
      <c r="AA377" s="347" t="str">
        <f t="shared" si="335"/>
        <v>Elemental Bane</v>
      </c>
      <c r="AD377" s="347" t="str">
        <f t="shared" si="334"/>
        <v>Elemental Bane</v>
      </c>
      <c r="AE377" t="str">
        <f>IF(IFERROR(MATCH($B377,temp!A$4:A$13,0),0)&gt;0,T08_Spells!AE$2,"")</f>
        <v/>
      </c>
      <c r="AF377" t="str">
        <f>IF(IFERROR(MATCH($B377,temp!B$4:B$13,0),0)&gt;0,T08_Spells!AF$2,"")</f>
        <v/>
      </c>
      <c r="AG377" t="str">
        <f>IF(IFERROR(MATCH($B377,temp!C$4:C$13,0),0)&gt;0,T08_Spells!AG$2,"")</f>
        <v/>
      </c>
      <c r="AH377" t="str">
        <f>IF(IFERROR(MATCH($B377,temp!D$4:D$13,0),0)&gt;0,T08_Spells!AH$2,"")</f>
        <v/>
      </c>
      <c r="AI377" t="str">
        <f>IF(IFERROR(MATCH($B377,temp!E$4:E$13,0),0)&gt;0,T08_Spells!AI$2,"")</f>
        <v/>
      </c>
      <c r="AJ377" t="str">
        <f>IF(IFERROR(MATCH($B377,temp!F$4:F$13,0),0)&gt;0,T08_Spells!AJ$2,"")</f>
        <v/>
      </c>
      <c r="AK377" t="str">
        <f>IF(IFERROR(MATCH($B377,temp!G$4:G$13,0),0)&gt;0,T08_Spells!AK$2,"")</f>
        <v/>
      </c>
      <c r="AL377" t="str">
        <f>IF(IFERROR(MATCH($B377,temp!H$4:H$13,0),0)&gt;0,T08_Spells!AL$2,"")</f>
        <v/>
      </c>
      <c r="AM377" t="str">
        <f>IF(IFERROR(MATCH($B377,temp!I$4:I$13,0),0)&gt;0,T08_Spells!AM$2,"")</f>
        <v/>
      </c>
      <c r="AN377" t="str">
        <f>IF(IFERROR(MATCH($B377,temp!J$4:J$13,0),0)&gt;0,T08_Spells!AN$2,"")</f>
        <v/>
      </c>
      <c r="AO377" t="str">
        <f>IF(IFERROR(MATCH($B377,temp!K$4:K$13,0),0)&gt;0,T08_Spells!AO$2,"")</f>
        <v/>
      </c>
      <c r="AP377" t="str">
        <f>IF(IFERROR(MATCH($B377,temp!L$4:L$13,0),0)&gt;0,T08_Spells!AP$2,"")</f>
        <v/>
      </c>
      <c r="AQ377" t="str">
        <f>IF(IFERROR(MATCH($B377,temp!M$4:M$13,0),0)&gt;0,T08_Spells!AQ$2,"")</f>
        <v/>
      </c>
      <c r="AR377" t="str">
        <f>IF(IFERROR(MATCH($B377,temp!N$4:N$13,0),0)&gt;0,T08_Spells!AR$2,"")</f>
        <v/>
      </c>
      <c r="AS377" t="str">
        <f>IF(IFERROR(MATCH($B377,temp!O$4:O$13,0),0)&gt;0,T08_Spells!AS$2,"")</f>
        <v/>
      </c>
      <c r="AT377" t="str">
        <f>IF(IFERROR(MATCH($B377,temp!P$4:P$13,0),0)&gt;0,T08_Spells!AT$2,"")</f>
        <v/>
      </c>
      <c r="AU377" t="str">
        <f>IF(IFERROR(MATCH($B377,temp!Q$4:Q$13,0),0)&gt;0,T08_Spells!AU$2,"")</f>
        <v/>
      </c>
      <c r="AV377" t="str">
        <f>IF(IFERROR(MATCH($B377,temp!R$4:R$13,0),0)&gt;0,T08_Spells!AV$2,"")</f>
        <v/>
      </c>
      <c r="AW377" t="str">
        <f>IF(IFERROR(MATCH($B377,temp!S$4:S$13,0),0)&gt;0,T08_Spells!AW$2,"")</f>
        <v/>
      </c>
      <c r="AX377" t="str">
        <f>IF(IFERROR(MATCH($B377,temp!T$4:T$13,0),0)&gt;0,T08_Spells!AX$2,"")</f>
        <v/>
      </c>
      <c r="AY377" t="str">
        <f>IF(IFERROR(MATCH($B377,temp!U$4:U$13,0),0)&gt;0,T08_Spells!AY$2,"")</f>
        <v/>
      </c>
      <c r="AZ377" t="str">
        <f>IF(IFERROR(MATCH($B377,temp!V$4:V$13,0),0)&gt;0,T08_Spells!AZ$2,"")</f>
        <v/>
      </c>
      <c r="BA377" t="str">
        <f>IF(IFERROR(MATCH($B377,temp!W$4:W$13,0),0)&gt;0,T08_Spells!BA$2,"")</f>
        <v/>
      </c>
      <c r="BC377">
        <f>IF(IFERROR(SEARCH("Ranger",$T377,1),0)&gt;0,1,0)*IF(RangerMaxSpellLevel&gt;=$C377,1,0)*IF(IFERROR(MATCH(B377,Character_Creation!$X$79:$X$382,0),0)&gt;0,0,1)</f>
        <v>0</v>
      </c>
      <c r="BD377">
        <f>IF(BC377=0,0,1+COUNTIF(BD$3:BD376,"&gt;0"))</f>
        <v>0</v>
      </c>
      <c r="BE377" t="str">
        <f t="shared" si="311"/>
        <v/>
      </c>
      <c r="BF377" t="str">
        <f t="shared" si="283"/>
        <v/>
      </c>
      <c r="BH377">
        <f>IF(IFERROR(SEARCH("Sorcerer",$T377,1),0)&gt;0,1,0)*IF(SorcererMaxSpellLevel&gt;=$C377,1,0)*IF(IFERROR(MATCH(B377,Character_Creation!$J$380:$J$394,0),0)&gt;0,0,1)</f>
        <v>0</v>
      </c>
      <c r="BI377">
        <f>IF(BH377=0,0,1+COUNTIF(BI$3:BI376,"&gt;0"))</f>
        <v>0</v>
      </c>
      <c r="BJ377" t="str">
        <f t="shared" si="312"/>
        <v/>
      </c>
      <c r="BK377" t="str">
        <f t="shared" si="284"/>
        <v/>
      </c>
      <c r="BM377">
        <f>IF(OR(IFERROR(SEARCH("Warlock",$T377,1),0)&gt;0,IFERROR(SEARCH(WarlockPatron,$T377,1),0)&gt;0),1,0)*IF(WarlockMaxSpellLevel&gt;=$C377,1,0)*IF(IFERROR(MATCH(B377,Character_Creation!$J$361:$J$375,0),0)&gt;0,0,1)</f>
        <v>0</v>
      </c>
      <c r="BN377">
        <f>IF(BM377=0,0,1+COUNTIF(BN$3:BN376,"&gt;0"))</f>
        <v>0</v>
      </c>
      <c r="BO377" t="str">
        <f t="shared" si="313"/>
        <v/>
      </c>
      <c r="BP377" t="str">
        <f t="shared" si="285"/>
        <v/>
      </c>
      <c r="BR377">
        <f>IF(IFERROR(SEARCH("Eldritch Knight",$T377,1),0)&gt;0,1,0)*IF(EldritchKnightMaxSpellLevel&gt;=$C377,1,0)*IF(IFERROR(MATCH($B377,Character_Creation!$J$350:$J$356,0),0)&gt;0,0,1)*IF(Character_Creation!$M$338&gt;0,1,0)</f>
        <v>0</v>
      </c>
      <c r="BS377">
        <f>IF(BR377=0,0,1+COUNTIF(BS$3:BS376,"&gt;0"))</f>
        <v>0</v>
      </c>
      <c r="BT377" t="str">
        <f t="shared" si="314"/>
        <v/>
      </c>
      <c r="BU377" t="str">
        <f t="shared" si="286"/>
        <v/>
      </c>
      <c r="BW377">
        <f>IF(IFERROR(SEARCH("Arcane Trickster",$T377,1),0)&gt;0,1,0)*IF(ArcaneTricksterMaxSpellLevel&gt;=$C377,1,0)*IF(IFERROR(MATCH($B377,Character_Creation!$J$350:$J$356,0),0)&gt;0,0,1)*IF(Character_Creation!$T$338&gt;0,1,0)</f>
        <v>0</v>
      </c>
      <c r="BX377">
        <f>IF(BW377=0,0,1+COUNTIF(BX$3:BX376,"&gt;0"))</f>
        <v>0</v>
      </c>
      <c r="BY377" t="str">
        <f t="shared" si="315"/>
        <v/>
      </c>
      <c r="BZ377" t="str">
        <f t="shared" si="287"/>
        <v/>
      </c>
      <c r="CB377">
        <f>IF(IFERROR(SEARCH("Wizard",$T377,1),0)&gt;0,1,0)*IF(C377&lt;=ArcaneTricksterMaxSpellLevel,1,0)*IF(IFERROR(MATCH($B377,Character_Creation!$J$350:$J$356,0),0)&gt;0,0,1)*IF(Character_Creation!$T$350&gt;0,1,0)</f>
        <v>0</v>
      </c>
      <c r="CC377">
        <f>IF(CB377=0,0,1+COUNTIF(CC$3:CC376,"&gt;0"))</f>
        <v>0</v>
      </c>
      <c r="CD377" t="str">
        <f t="shared" si="316"/>
        <v/>
      </c>
      <c r="CE377" t="str">
        <f t="shared" si="288"/>
        <v/>
      </c>
      <c r="CG377">
        <f>IF(IFERROR(SEARCH("Wizard",$T377,1),0)&gt;0,1,0)*IF($C377&lt;=EldritchKnightMaxSpellLevel,1,0)*IF(IFERROR(MATCH($B377,Character_Creation!$J$350:$J$356,0),0)&gt;0,0,1)*IF(Character_Creation!$M$350&gt;0,1,0)</f>
        <v>0</v>
      </c>
      <c r="CH377">
        <f>IF(CG377=0,0,1+COUNTIF(CH$3:CH376,"&gt;0"))</f>
        <v>0</v>
      </c>
      <c r="CI377" t="str">
        <f t="shared" si="317"/>
        <v/>
      </c>
      <c r="CJ377" t="str">
        <f t="shared" si="289"/>
        <v/>
      </c>
      <c r="CL377">
        <f>IF(IFERROR(SEARCH("Bard",$T377,1),0)&gt;0,1,0)*IF(BardMaxSpellLevel&gt;=$C377,1,0)*IF(IFERROR(MATCH(B377,Character_Creation!$C$341:$F$362,0),0)&gt;0,0,1)*IF(IFERROR(MATCH($B377,Character_Creation!$C$341:$C$362,0),0)&gt;0,0,1)</f>
        <v>0</v>
      </c>
      <c r="CM377">
        <f>IF(CL377=0,0,1+COUNTIF(CM$3:CM376,"&gt;0"))</f>
        <v>0</v>
      </c>
      <c r="CN377" t="str">
        <f t="shared" si="318"/>
        <v/>
      </c>
      <c r="CO377" t="str">
        <f t="shared" si="290"/>
        <v/>
      </c>
      <c r="CQ377">
        <f>IF(IFERROR(SEARCH("Wizard",$T377,1),0)&gt;0,1,0)*IF(WizardMaxSpellLevel&gt;=$C377,1,0)*IF(IFERROR(MATCH(B377,Character_Creation!$X$341:$X$400,0),0)&gt;0,0,1)*IF(SelectedWizardSpellLevel=$C377,1,0)</f>
        <v>0</v>
      </c>
      <c r="CR377">
        <f>IF(CQ377=0,0,1+COUNTIF(CR$3:CR376,"&gt;0"))</f>
        <v>0</v>
      </c>
      <c r="CS377" t="str">
        <f t="shared" si="319"/>
        <v/>
      </c>
      <c r="CT377" t="str">
        <f t="shared" si="291"/>
        <v/>
      </c>
      <c r="CV377">
        <f>IF(IFERROR(MATCH($B377,Character_Creation!$C$341:$C$362,0),0)&gt;0,0,1)*IF(OR(C377="Cantrip",C377&lt;=BardMaxSpellLevel),1,0)*IF(IFERROR(MATCH($B377,Character_Creation!$C$367:$C$374,0),0)&gt;0,0,1)</f>
        <v>0</v>
      </c>
      <c r="CW377">
        <f>IF(CV377=0,0,1+COUNTIF(CW$3:CW376,"&gt;0"))</f>
        <v>0</v>
      </c>
      <c r="CX377" t="str">
        <f t="shared" si="320"/>
        <v/>
      </c>
      <c r="CY377" t="str">
        <f t="shared" si="292"/>
        <v/>
      </c>
      <c r="DA377">
        <f>IF(IF(OR(IFERROR(SEARCH("Cleric",$T377,1),0)&gt;0,IFERROR(SEARCH(DivineDomain&amp;",",$T377,1),0)&gt;0),1,0)*IF($C377=DA$2,1,0)=1,1+COUNTIF(DA$3:DA376,"&gt;0"),0)</f>
        <v>0</v>
      </c>
      <c r="DB377">
        <f>IF(IF(OR(IFERROR(SEARCH("Cleric",$T377,1),0)&gt;0,IFERROR(SEARCH(DivineDomain&amp;",",$T377,1),0)&gt;0),1,0)*IF($C377=DB$2,1,0)=1,1+COUNTIF(DB$3:DB376,"&gt;0"),0)</f>
        <v>0</v>
      </c>
      <c r="DC377">
        <f>IF(IF(OR(IFERROR(SEARCH("Cleric",$T377,1),0)&gt;0,IFERROR(SEARCH(DivineDomain&amp;",",$T377,1),0)&gt;0),1,0)*IF($C377=DC$2,1,0)=1,1+COUNTIF(DC$3:DC376,"&gt;0"),0)</f>
        <v>0</v>
      </c>
      <c r="DD377">
        <f>IF(IF(OR(IFERROR(SEARCH("Cleric",$T377,1),0)&gt;0,IFERROR(SEARCH(DivineDomain&amp;",",$T377,1),0)&gt;0),1,0)*IF($C377=DD$2,1,0)=1,1+COUNTIF(DD$3:DD376,"&gt;0"),0)</f>
        <v>0</v>
      </c>
      <c r="DE377">
        <f>IF(IF(OR(IFERROR(SEARCH("Cleric",$T377,1),0)&gt;0,IFERROR(SEARCH(DivineDomain&amp;",",$T377,1),0)&gt;0),1,0)*IF($C377=DE$2,1,0)=1,1+COUNTIF(DE$3:DE376,"&gt;0"),0)</f>
        <v>0</v>
      </c>
      <c r="DF377">
        <f>IF(IF(OR(IFERROR(SEARCH("Cleric",$T377,1),0)&gt;0,IFERROR(SEARCH(DivineDomain&amp;",",$T377,1),0)&gt;0),1,0)*IF($C377=DF$2,1,0)=1,1+COUNTIF(DF$3:DF376,"&gt;0"),0)</f>
        <v>0</v>
      </c>
      <c r="DG377">
        <f>IF(IF(OR(IFERROR(SEARCH("Cleric",$T377,1),0)&gt;0,IFERROR(SEARCH(DivineDomain&amp;",",$T377,1),0)&gt;0),1,0)*IF($C377=DG$2,1,0)=1,1+COUNTIF(DG$3:DG376,"&gt;0"),0)</f>
        <v>0</v>
      </c>
      <c r="DH377">
        <f>IF(IF(OR(IFERROR(SEARCH("Cleric",$T377,1),0)&gt;0,IFERROR(SEARCH(DivineDomain&amp;",",$T377,1),0)&gt;0),1,0)*IF($C377=DH$2,1,0)=1,1+COUNTIF(DH$3:DH376,"&gt;0"),0)</f>
        <v>0</v>
      </c>
      <c r="DI377">
        <f>IF(IF(OR(IFERROR(SEARCH("Cleric",$T377,1),0)&gt;0,IFERROR(SEARCH(DivineDomain&amp;",",$T377,1),0)&gt;0),1,0)*IF($C377=DI$2,1,0)=1,1+COUNTIF(DI$3:DI376,"&gt;0"),0)</f>
        <v>0</v>
      </c>
      <c r="DJ377">
        <f>IF(IF(OR(IFERROR(SEARCH("Druid",$T377,1),0)&gt;0,IFERROR(SEARCH(DruidLand1,$T377,1),0)&gt;0,IFERROR(SEARCH(DruidLand2,$T377,1),0)&gt;0,IFERROR(SEARCH(DruidLand3,$T377,1),0)&gt;0,IFERROR(SEARCH(DruidLand4,$T377,1),0)&gt;0),1,0)*IF($C377=1,1,0)*IF($C377=DJ$2,1,0)=0,0,1+COUNTIF(DJ$3:DJ376,"&gt;0"))</f>
        <v>0</v>
      </c>
      <c r="DK377">
        <f>IF(IF(OR(IFERROR(SEARCH("Druid",$T377,1),0)&gt;0,IFERROR(SEARCH(DruidLand1,$T377,1),0)&gt;0,IFERROR(SEARCH(DruidLand2,$T377,1),0)&gt;0,IFERROR(SEARCH(DruidLand3,$T377,1),0)&gt;0,IFERROR(SEARCH(DruidLand4,$T377,1),0)&gt;0),1,0)*IF($C377=DK$2,1,0)=0,0,1+COUNTIF(DK$3:DK376,"&gt;0"))</f>
        <v>0</v>
      </c>
      <c r="DL377">
        <f>IF(IF(OR(IFERROR(SEARCH("Druid",$T377,1),0)&gt;0,IFERROR(SEARCH(DruidLand1,$T377,1),0)&gt;0,IFERROR(SEARCH(DruidLand2,$T377,1),0)&gt;0,IFERROR(SEARCH(DruidLand3,$T377,1),0)&gt;0,IFERROR(SEARCH(DruidLand4,$T377,1),0)&gt;0),1,0)*IF($C377=DL$2,1,0)=0,0,1+COUNTIF(DL$3:DL376,"&gt;0"))</f>
        <v>0</v>
      </c>
      <c r="DM377">
        <f>IF(IF(OR(IFERROR(SEARCH("Druid",$T377,1),0)&gt;0,IFERROR(SEARCH(DruidLand1,$T377,1),0)&gt;0,IFERROR(SEARCH(DruidLand2,$T377,1),0)&gt;0,IFERROR(SEARCH(DruidLand3,$T377,1),0)&gt;0,IFERROR(SEARCH(DruidLand4,$T377,1),0)&gt;0),1,0)*IF($C377=DM$2,1,0)=0,0,1+COUNTIF(DM$3:DM376,"&gt;0"))</f>
        <v>16</v>
      </c>
      <c r="DN377">
        <f>IF(IF(OR(IFERROR(SEARCH("Druid",$T377,1),0)&gt;0,IFERROR(SEARCH(DruidLand1,$T377,1),0)&gt;0,IFERROR(SEARCH(DruidLand2,$T377,1),0)&gt;0,IFERROR(SEARCH(DruidLand3,$T377,1),0)&gt;0,IFERROR(SEARCH(DruidLand4,$T377,1),0)&gt;0),1,0)*IF($C377=DN$2,1,0)=0,0,1+COUNTIF(DN$3:DN376,"&gt;0"))</f>
        <v>0</v>
      </c>
      <c r="DO377">
        <f>IF(IF(OR(IFERROR(SEARCH("Druid",$T377,1),0)&gt;0,IFERROR(SEARCH(DruidLand1,$T377,1),0)&gt;0,IFERROR(SEARCH(DruidLand2,$T377,1),0)&gt;0,IFERROR(SEARCH(DruidLand3,$T377,1),0)&gt;0,IFERROR(SEARCH(DruidLand4,$T377,1),0)&gt;0),1,0)*IF($C377=DO$2,1,0)=0,0,1+COUNTIF(DO$3:DO376,"&gt;0"))</f>
        <v>0</v>
      </c>
      <c r="DP377">
        <f>IF(IF(OR(IFERROR(SEARCH("Druid",$T377,1),0)&gt;0,IFERROR(SEARCH(DruidLand1,$T377,1),0)&gt;0,IFERROR(SEARCH(DruidLand2,$T377,1),0)&gt;0,IFERROR(SEARCH(DruidLand3,$T377,1),0)&gt;0,IFERROR(SEARCH(DruidLand4,$T377,1),0)&gt;0),1,0)*IF($C377=DP$2,1,0)=0,0,1+COUNTIF(DP$3:DP376,"&gt;0"))</f>
        <v>0</v>
      </c>
      <c r="DQ377">
        <f>IF(IF(OR(IFERROR(SEARCH("Druid",$T377,1),0)&gt;0,IFERROR(SEARCH(DruidLand1,$T377,1),0)&gt;0,IFERROR(SEARCH(DruidLand2,$T377,1),0)&gt;0,IFERROR(SEARCH(DruidLand3,$T377,1),0)&gt;0,IFERROR(SEARCH(DruidLand4,$T377,1),0)&gt;0),1,0)*IF($C377=DQ$2,1,0)=0,0,1+COUNTIF(DQ$3:DQ376,"&gt;0"))</f>
        <v>0</v>
      </c>
      <c r="DR377">
        <f>IF(IF(OR(IFERROR(SEARCH("Druid",$T377,1),0)&gt;0,IFERROR(SEARCH(DruidLand1,$T377,1),0)&gt;0,IFERROR(SEARCH(DruidLand2,$T377,1),0)&gt;0,IFERROR(SEARCH(DruidLand3,$T377,1),0)&gt;0,IFERROR(SEARCH(DruidLand4,$T377,1),0)&gt;0),1,0)*IF($C377=DR$2,1,0)=0,0,1+COUNTIF(DR$3:DR376,"&gt;0"))</f>
        <v>0</v>
      </c>
      <c r="DS377">
        <f>IF(IF(OR(IFERROR(SEARCH("Paladin",$T377,1),0)&gt;0,IFERROR(SEARCH(PaladinOath,$T377,1),0)&gt;0),1,0)*IF($C377=DS$2,1,0)=1,1+COUNTIF(DS$3:DS376,"&gt;0"),0)</f>
        <v>0</v>
      </c>
      <c r="DT377">
        <f>IF(IF(OR(IFERROR(SEARCH("Paladin",$T377,1),0)&gt;0,IFERROR(SEARCH(PaladinOath,$T377,1),0)&gt;0),1,0)*IF($C377=DT$2,1,0)=1,1+COUNTIF(DT$3:DT376,"&gt;0"),0)</f>
        <v>0</v>
      </c>
      <c r="DU377">
        <f>IF(IF(OR(IFERROR(SEARCH("Paladin",$T377,1),0)&gt;0,IFERROR(SEARCH(PaladinOath,$T377,1),0)&gt;0),1,0)*IF($C377=DU$2,1,0)=1,1+COUNTIF(DU$3:DU376,"&gt;0"),0)</f>
        <v>0</v>
      </c>
      <c r="DV377">
        <f>IF(IF(OR(IFERROR(SEARCH("Paladin",$T377,1),0)&gt;0,IFERROR(SEARCH(PaladinOath,$T377,1),0)&gt;0),1,0)*IF($C377=DV$2,1,0)=1,1+COUNTIF(DV$3:DV376,"&gt;0"),0)</f>
        <v>0</v>
      </c>
      <c r="DW377">
        <f>IF(IF(OR(IFERROR(SEARCH("Paladin",$T377,1),0)&gt;0,IFERROR(SEARCH(PaladinOath,$T377,1),0)&gt;0),1,0)*IF($C377=DW$2,1,0)=1,1+COUNTIF(DW$3:DW376,"&gt;0"),0)</f>
        <v>0</v>
      </c>
      <c r="DY377">
        <f t="shared" si="278"/>
        <v>1</v>
      </c>
      <c r="DZ377">
        <f>IF(DY377=0,0,1+MAX(DZ$3:$DZ376))</f>
        <v>375</v>
      </c>
      <c r="EB377">
        <f t="shared" si="293"/>
        <v>0</v>
      </c>
      <c r="EC377">
        <f>IF(EB377=0,0,1+COUNTIF(EC$3:EC376,"&gt;0"))</f>
        <v>0</v>
      </c>
      <c r="ED377" t="str">
        <f t="shared" si="321"/>
        <v/>
      </c>
      <c r="EE377" t="str">
        <f t="shared" si="294"/>
        <v/>
      </c>
      <c r="EG377">
        <f t="shared" si="295"/>
        <v>0</v>
      </c>
      <c r="EH377">
        <f>IF(EG377=0,0,1+COUNTIF(EH$3:EH376,"&gt;0"))</f>
        <v>0</v>
      </c>
      <c r="EI377" t="str">
        <f t="shared" si="322"/>
        <v/>
      </c>
      <c r="EJ377" t="str">
        <f t="shared" si="296"/>
        <v/>
      </c>
      <c r="EL377">
        <f t="shared" si="297"/>
        <v>0</v>
      </c>
      <c r="EM377">
        <f>IF(EL377=0,0,1+COUNTIF(EM$3:EM376,"&gt;0"))</f>
        <v>0</v>
      </c>
      <c r="EN377" t="str">
        <f t="shared" si="323"/>
        <v/>
      </c>
      <c r="EO377" t="str">
        <f t="shared" si="298"/>
        <v/>
      </c>
      <c r="EQ377">
        <f t="shared" si="299"/>
        <v>0</v>
      </c>
      <c r="ER377">
        <f>IF(EQ377=0,0,1+COUNTIF(ER$3:ER376,"&gt;0"))</f>
        <v>0</v>
      </c>
      <c r="ES377" t="str">
        <f t="shared" si="324"/>
        <v/>
      </c>
      <c r="ET377" t="str">
        <f t="shared" si="300"/>
        <v/>
      </c>
      <c r="EV377">
        <f t="shared" si="301"/>
        <v>0</v>
      </c>
      <c r="EW377">
        <f>IF(EV377=0,0,1+COUNTIF(EW$3:EW376,"&gt;0"))</f>
        <v>0</v>
      </c>
      <c r="EX377" t="str">
        <f t="shared" si="325"/>
        <v/>
      </c>
      <c r="EY377" t="str">
        <f t="shared" si="302"/>
        <v/>
      </c>
      <c r="FA377">
        <f t="shared" si="303"/>
        <v>0</v>
      </c>
      <c r="FB377">
        <f>IF(FA377=0,0,1+COUNTIF(FB$3:FB376,"&gt;0"))</f>
        <v>0</v>
      </c>
      <c r="FC377" t="str">
        <f t="shared" si="326"/>
        <v/>
      </c>
      <c r="FD377" t="str">
        <f t="shared" si="304"/>
        <v/>
      </c>
      <c r="FF377">
        <f t="shared" si="305"/>
        <v>0</v>
      </c>
      <c r="FG377">
        <f>IF(FF377=0,0,1+COUNTIF(FG$3:FG376,"&gt;0"))</f>
        <v>0</v>
      </c>
      <c r="FH377" t="str">
        <f t="shared" si="327"/>
        <v/>
      </c>
      <c r="FI377" t="str">
        <f t="shared" si="306"/>
        <v/>
      </c>
      <c r="FK377">
        <f t="shared" si="307"/>
        <v>0</v>
      </c>
      <c r="FL377">
        <f>IF(FK377=0,0,1+COUNTIF(FL$3:FL376,"&gt;0"))</f>
        <v>0</v>
      </c>
      <c r="FM377" t="str">
        <f t="shared" si="328"/>
        <v/>
      </c>
      <c r="FN377" t="str">
        <f t="shared" si="308"/>
        <v/>
      </c>
      <c r="FP377">
        <f t="shared" si="309"/>
        <v>0</v>
      </c>
      <c r="FQ377">
        <f>IF(FP377=0,0,1+COUNTIF(FQ$3:FQ376,"&gt;0"))</f>
        <v>0</v>
      </c>
      <c r="FR377" t="str">
        <f t="shared" si="329"/>
        <v/>
      </c>
      <c r="FS377" t="str">
        <f t="shared" si="310"/>
        <v/>
      </c>
    </row>
    <row r="378" spans="1:175" x14ac:dyDescent="0.25">
      <c r="A378" s="347">
        <f t="shared" si="331"/>
        <v>376</v>
      </c>
      <c r="B378" s="398" t="s">
        <v>5540</v>
      </c>
      <c r="C378" s="348">
        <v>3</v>
      </c>
      <c r="D378" s="347">
        <v>3</v>
      </c>
      <c r="E378" s="627" t="s">
        <v>6957</v>
      </c>
      <c r="F378" s="346"/>
      <c r="G378" s="347" t="str">
        <f>""</f>
        <v/>
      </c>
      <c r="H378" s="347" t="s">
        <v>5912</v>
      </c>
      <c r="I378" s="347" t="s">
        <v>5290</v>
      </c>
      <c r="J378" s="347" t="str">
        <f t="shared" si="279"/>
        <v/>
      </c>
      <c r="K378" s="347" t="s">
        <v>5278</v>
      </c>
      <c r="L378" s="611" t="str">
        <f t="shared" si="280"/>
        <v>V, S, M, a piece of obsidian</v>
      </c>
      <c r="M378" s="347" t="s">
        <v>2373</v>
      </c>
      <c r="N378" s="347" t="s">
        <v>2387</v>
      </c>
      <c r="O378" s="347" t="s">
        <v>1244</v>
      </c>
      <c r="P378" s="346" t="s">
        <v>5541</v>
      </c>
      <c r="Q378" s="347" t="s">
        <v>5276</v>
      </c>
      <c r="S378" s="346" t="s">
        <v>5880</v>
      </c>
      <c r="T378" s="346" t="str">
        <f t="shared" si="281"/>
        <v xml:space="preserve">Sorcerer, Druid, Wizard, </v>
      </c>
      <c r="X378" s="347" t="str">
        <f t="shared" ref="X378:Y387" si="336">$B378</f>
        <v>Erupting Earth</v>
      </c>
      <c r="AA378" s="347" t="str">
        <f t="shared" si="335"/>
        <v>Erupting Earth</v>
      </c>
      <c r="AD378" s="347" t="str">
        <f t="shared" si="334"/>
        <v>Erupting Earth</v>
      </c>
      <c r="AE378" t="str">
        <f>IF(IFERROR(MATCH($B378,temp!A$4:A$13,0),0)&gt;0,T08_Spells!AE$2,"")</f>
        <v/>
      </c>
      <c r="AF378" t="str">
        <f>IF(IFERROR(MATCH($B378,temp!B$4:B$13,0),0)&gt;0,T08_Spells!AF$2,"")</f>
        <v/>
      </c>
      <c r="AG378" t="str">
        <f>IF(IFERROR(MATCH($B378,temp!C$4:C$13,0),0)&gt;0,T08_Spells!AG$2,"")</f>
        <v/>
      </c>
      <c r="AH378" t="str">
        <f>IF(IFERROR(MATCH($B378,temp!D$4:D$13,0),0)&gt;0,T08_Spells!AH$2,"")</f>
        <v/>
      </c>
      <c r="AI378" t="str">
        <f>IF(IFERROR(MATCH($B378,temp!E$4:E$13,0),0)&gt;0,T08_Spells!AI$2,"")</f>
        <v/>
      </c>
      <c r="AJ378" t="str">
        <f>IF(IFERROR(MATCH($B378,temp!F$4:F$13,0),0)&gt;0,T08_Spells!AJ$2,"")</f>
        <v/>
      </c>
      <c r="AK378" t="str">
        <f>IF(IFERROR(MATCH($B378,temp!G$4:G$13,0),0)&gt;0,T08_Spells!AK$2,"")</f>
        <v/>
      </c>
      <c r="AL378" t="str">
        <f>IF(IFERROR(MATCH($B378,temp!H$4:H$13,0),0)&gt;0,T08_Spells!AL$2,"")</f>
        <v/>
      </c>
      <c r="AM378" t="str">
        <f>IF(IFERROR(MATCH($B378,temp!I$4:I$13,0),0)&gt;0,T08_Spells!AM$2,"")</f>
        <v/>
      </c>
      <c r="AN378" t="str">
        <f>IF(IFERROR(MATCH($B378,temp!J$4:J$13,0),0)&gt;0,T08_Spells!AN$2,"")</f>
        <v/>
      </c>
      <c r="AO378" t="str">
        <f>IF(IFERROR(MATCH($B378,temp!K$4:K$13,0),0)&gt;0,T08_Spells!AO$2,"")</f>
        <v/>
      </c>
      <c r="AP378" t="str">
        <f>IF(IFERROR(MATCH($B378,temp!L$4:L$13,0),0)&gt;0,T08_Spells!AP$2,"")</f>
        <v/>
      </c>
      <c r="AQ378" t="str">
        <f>IF(IFERROR(MATCH($B378,temp!M$4:M$13,0),0)&gt;0,T08_Spells!AQ$2,"")</f>
        <v/>
      </c>
      <c r="AR378" t="str">
        <f>IF(IFERROR(MATCH($B378,temp!N$4:N$13,0),0)&gt;0,T08_Spells!AR$2,"")</f>
        <v/>
      </c>
      <c r="AS378" t="str">
        <f>IF(IFERROR(MATCH($B378,temp!O$4:O$13,0),0)&gt;0,T08_Spells!AS$2,"")</f>
        <v/>
      </c>
      <c r="AT378" t="str">
        <f>IF(IFERROR(MATCH($B378,temp!P$4:P$13,0),0)&gt;0,T08_Spells!AT$2,"")</f>
        <v/>
      </c>
      <c r="AU378" t="str">
        <f>IF(IFERROR(MATCH($B378,temp!Q$4:Q$13,0),0)&gt;0,T08_Spells!AU$2,"")</f>
        <v/>
      </c>
      <c r="AV378" t="str">
        <f>IF(IFERROR(MATCH($B378,temp!R$4:R$13,0),0)&gt;0,T08_Spells!AV$2,"")</f>
        <v/>
      </c>
      <c r="AW378" t="str">
        <f>IF(IFERROR(MATCH($B378,temp!S$4:S$13,0),0)&gt;0,T08_Spells!AW$2,"")</f>
        <v/>
      </c>
      <c r="AX378" t="str">
        <f>IF(IFERROR(MATCH($B378,temp!T$4:T$13,0),0)&gt;0,T08_Spells!AX$2,"")</f>
        <v/>
      </c>
      <c r="AY378" t="str">
        <f>IF(IFERROR(MATCH($B378,temp!U$4:U$13,0),0)&gt;0,T08_Spells!AY$2,"")</f>
        <v/>
      </c>
      <c r="AZ378" t="str">
        <f>IF(IFERROR(MATCH($B378,temp!V$4:V$13,0),0)&gt;0,T08_Spells!AZ$2,"")</f>
        <v/>
      </c>
      <c r="BA378" t="str">
        <f>IF(IFERROR(MATCH($B378,temp!W$4:W$13,0),0)&gt;0,T08_Spells!BA$2,"")</f>
        <v/>
      </c>
      <c r="BC378">
        <f>IF(IFERROR(SEARCH("Ranger",$T378,1),0)&gt;0,1,0)*IF(RangerMaxSpellLevel&gt;=$C378,1,0)*IF(IFERROR(MATCH(B378,Character_Creation!$X$79:$X$382,0),0)&gt;0,0,1)</f>
        <v>0</v>
      </c>
      <c r="BD378">
        <f>IF(BC378=0,0,1+COUNTIF(BD$3:BD377,"&gt;0"))</f>
        <v>0</v>
      </c>
      <c r="BE378" t="str">
        <f t="shared" si="311"/>
        <v/>
      </c>
      <c r="BF378" t="str">
        <f t="shared" si="283"/>
        <v/>
      </c>
      <c r="BH378">
        <f>IF(IFERROR(SEARCH("Sorcerer",$T378,1),0)&gt;0,1,0)*IF(SorcererMaxSpellLevel&gt;=$C378,1,0)*IF(IFERROR(MATCH(B378,Character_Creation!$J$380:$J$394,0),0)&gt;0,0,1)</f>
        <v>0</v>
      </c>
      <c r="BI378">
        <f>IF(BH378=0,0,1+COUNTIF(BI$3:BI377,"&gt;0"))</f>
        <v>0</v>
      </c>
      <c r="BJ378" t="str">
        <f t="shared" si="312"/>
        <v/>
      </c>
      <c r="BK378" t="str">
        <f t="shared" si="284"/>
        <v/>
      </c>
      <c r="BM378">
        <f>IF(OR(IFERROR(SEARCH("Warlock",$T378,1),0)&gt;0,IFERROR(SEARCH(WarlockPatron,$T378,1),0)&gt;0),1,0)*IF(WarlockMaxSpellLevel&gt;=$C378,1,0)*IF(IFERROR(MATCH(B378,Character_Creation!$J$361:$J$375,0),0)&gt;0,0,1)</f>
        <v>0</v>
      </c>
      <c r="BN378">
        <f>IF(BM378=0,0,1+COUNTIF(BN$3:BN377,"&gt;0"))</f>
        <v>0</v>
      </c>
      <c r="BO378" t="str">
        <f t="shared" si="313"/>
        <v/>
      </c>
      <c r="BP378" t="str">
        <f t="shared" si="285"/>
        <v/>
      </c>
      <c r="BR378">
        <f>IF(IFERROR(SEARCH("Eldritch Knight",$T378,1),0)&gt;0,1,0)*IF(EldritchKnightMaxSpellLevel&gt;=$C378,1,0)*IF(IFERROR(MATCH($B378,Character_Creation!$J$350:$J$356,0),0)&gt;0,0,1)*IF(Character_Creation!$M$338&gt;0,1,0)</f>
        <v>0</v>
      </c>
      <c r="BS378">
        <f>IF(BR378=0,0,1+COUNTIF(BS$3:BS377,"&gt;0"))</f>
        <v>0</v>
      </c>
      <c r="BT378" t="str">
        <f t="shared" si="314"/>
        <v/>
      </c>
      <c r="BU378" t="str">
        <f t="shared" si="286"/>
        <v/>
      </c>
      <c r="BW378">
        <f>IF(IFERROR(SEARCH("Arcane Trickster",$T378,1),0)&gt;0,1,0)*IF(ArcaneTricksterMaxSpellLevel&gt;=$C378,1,0)*IF(IFERROR(MATCH($B378,Character_Creation!$J$350:$J$356,0),0)&gt;0,0,1)*IF(Character_Creation!$T$338&gt;0,1,0)</f>
        <v>0</v>
      </c>
      <c r="BX378">
        <f>IF(BW378=0,0,1+COUNTIF(BX$3:BX377,"&gt;0"))</f>
        <v>0</v>
      </c>
      <c r="BY378" t="str">
        <f t="shared" si="315"/>
        <v/>
      </c>
      <c r="BZ378" t="str">
        <f t="shared" si="287"/>
        <v/>
      </c>
      <c r="CB378">
        <f>IF(IFERROR(SEARCH("Wizard",$T378,1),0)&gt;0,1,0)*IF(C378&lt;=ArcaneTricksterMaxSpellLevel,1,0)*IF(IFERROR(MATCH($B378,Character_Creation!$J$350:$J$356,0),0)&gt;0,0,1)*IF(Character_Creation!$T$350&gt;0,1,0)</f>
        <v>0</v>
      </c>
      <c r="CC378">
        <f>IF(CB378=0,0,1+COUNTIF(CC$3:CC377,"&gt;0"))</f>
        <v>0</v>
      </c>
      <c r="CD378" t="str">
        <f t="shared" si="316"/>
        <v/>
      </c>
      <c r="CE378" t="str">
        <f t="shared" si="288"/>
        <v/>
      </c>
      <c r="CG378">
        <f>IF(IFERROR(SEARCH("Wizard",$T378,1),0)&gt;0,1,0)*IF($C378&lt;=EldritchKnightMaxSpellLevel,1,0)*IF(IFERROR(MATCH($B378,Character_Creation!$J$350:$J$356,0),0)&gt;0,0,1)*IF(Character_Creation!$M$350&gt;0,1,0)</f>
        <v>0</v>
      </c>
      <c r="CH378">
        <f>IF(CG378=0,0,1+COUNTIF(CH$3:CH377,"&gt;0"))</f>
        <v>0</v>
      </c>
      <c r="CI378" t="str">
        <f t="shared" si="317"/>
        <v/>
      </c>
      <c r="CJ378" t="str">
        <f t="shared" si="289"/>
        <v/>
      </c>
      <c r="CL378">
        <f>IF(IFERROR(SEARCH("Bard",$T378,1),0)&gt;0,1,0)*IF(BardMaxSpellLevel&gt;=$C378,1,0)*IF(IFERROR(MATCH(B378,Character_Creation!$C$341:$F$362,0),0)&gt;0,0,1)*IF(IFERROR(MATCH($B378,Character_Creation!$C$341:$C$362,0),0)&gt;0,0,1)</f>
        <v>0</v>
      </c>
      <c r="CM378">
        <f>IF(CL378=0,0,1+COUNTIF(CM$3:CM377,"&gt;0"))</f>
        <v>0</v>
      </c>
      <c r="CN378" t="str">
        <f t="shared" si="318"/>
        <v/>
      </c>
      <c r="CO378" t="str">
        <f t="shared" si="290"/>
        <v/>
      </c>
      <c r="CQ378">
        <f>IF(IFERROR(SEARCH("Wizard",$T378,1),0)&gt;0,1,0)*IF(WizardMaxSpellLevel&gt;=$C378,1,0)*IF(IFERROR(MATCH(B378,Character_Creation!$X$341:$X$400,0),0)&gt;0,0,1)*IF(SelectedWizardSpellLevel=$C378,1,0)</f>
        <v>1</v>
      </c>
      <c r="CR378">
        <f>IF(CQ378=0,0,1+COUNTIF(CR$3:CR377,"&gt;0"))</f>
        <v>28</v>
      </c>
      <c r="CS378" t="str">
        <f t="shared" si="319"/>
        <v/>
      </c>
      <c r="CT378" t="str">
        <f t="shared" si="291"/>
        <v/>
      </c>
      <c r="CV378">
        <f>IF(IFERROR(MATCH($B378,Character_Creation!$C$341:$C$362,0),0)&gt;0,0,1)*IF(OR(C378="Cantrip",C378&lt;=BardMaxSpellLevel),1,0)*IF(IFERROR(MATCH($B378,Character_Creation!$C$367:$C$374,0),0)&gt;0,0,1)</f>
        <v>0</v>
      </c>
      <c r="CW378">
        <f>IF(CV378=0,0,1+COUNTIF(CW$3:CW377,"&gt;0"))</f>
        <v>0</v>
      </c>
      <c r="CX378" t="str">
        <f t="shared" si="320"/>
        <v/>
      </c>
      <c r="CY378" t="str">
        <f t="shared" si="292"/>
        <v/>
      </c>
      <c r="DA378">
        <f>IF(IF(OR(IFERROR(SEARCH("Cleric",$T378,1),0)&gt;0,IFERROR(SEARCH(DivineDomain&amp;",",$T378,1),0)&gt;0),1,0)*IF($C378=DA$2,1,0)=1,1+COUNTIF(DA$3:DA377,"&gt;0"),0)</f>
        <v>0</v>
      </c>
      <c r="DB378">
        <f>IF(IF(OR(IFERROR(SEARCH("Cleric",$T378,1),0)&gt;0,IFERROR(SEARCH(DivineDomain&amp;",",$T378,1),0)&gt;0),1,0)*IF($C378=DB$2,1,0)=1,1+COUNTIF(DB$3:DB377,"&gt;0"),0)</f>
        <v>0</v>
      </c>
      <c r="DC378">
        <f>IF(IF(OR(IFERROR(SEARCH("Cleric",$T378,1),0)&gt;0,IFERROR(SEARCH(DivineDomain&amp;",",$T378,1),0)&gt;0),1,0)*IF($C378=DC$2,1,0)=1,1+COUNTIF(DC$3:DC377,"&gt;0"),0)</f>
        <v>0</v>
      </c>
      <c r="DD378">
        <f>IF(IF(OR(IFERROR(SEARCH("Cleric",$T378,1),0)&gt;0,IFERROR(SEARCH(DivineDomain&amp;",",$T378,1),0)&gt;0),1,0)*IF($C378=DD$2,1,0)=1,1+COUNTIF(DD$3:DD377,"&gt;0"),0)</f>
        <v>0</v>
      </c>
      <c r="DE378">
        <f>IF(IF(OR(IFERROR(SEARCH("Cleric",$T378,1),0)&gt;0,IFERROR(SEARCH(DivineDomain&amp;",",$T378,1),0)&gt;0),1,0)*IF($C378=DE$2,1,0)=1,1+COUNTIF(DE$3:DE377,"&gt;0"),0)</f>
        <v>0</v>
      </c>
      <c r="DF378">
        <f>IF(IF(OR(IFERROR(SEARCH("Cleric",$T378,1),0)&gt;0,IFERROR(SEARCH(DivineDomain&amp;",",$T378,1),0)&gt;0),1,0)*IF($C378=DF$2,1,0)=1,1+COUNTIF(DF$3:DF377,"&gt;0"),0)</f>
        <v>0</v>
      </c>
      <c r="DG378">
        <f>IF(IF(OR(IFERROR(SEARCH("Cleric",$T378,1),0)&gt;0,IFERROR(SEARCH(DivineDomain&amp;",",$T378,1),0)&gt;0),1,0)*IF($C378=DG$2,1,0)=1,1+COUNTIF(DG$3:DG377,"&gt;0"),0)</f>
        <v>0</v>
      </c>
      <c r="DH378">
        <f>IF(IF(OR(IFERROR(SEARCH("Cleric",$T378,1),0)&gt;0,IFERROR(SEARCH(DivineDomain&amp;",",$T378,1),0)&gt;0),1,0)*IF($C378=DH$2,1,0)=1,1+COUNTIF(DH$3:DH377,"&gt;0"),0)</f>
        <v>0</v>
      </c>
      <c r="DI378">
        <f>IF(IF(OR(IFERROR(SEARCH("Cleric",$T378,1),0)&gt;0,IFERROR(SEARCH(DivineDomain&amp;",",$T378,1),0)&gt;0),1,0)*IF($C378=DI$2,1,0)=1,1+COUNTIF(DI$3:DI377,"&gt;0"),0)</f>
        <v>0</v>
      </c>
      <c r="DJ378">
        <f>IF(IF(OR(IFERROR(SEARCH("Druid",$T378,1),0)&gt;0,IFERROR(SEARCH(DruidLand1,$T378,1),0)&gt;0,IFERROR(SEARCH(DruidLand2,$T378,1),0)&gt;0,IFERROR(SEARCH(DruidLand3,$T378,1),0)&gt;0,IFERROR(SEARCH(DruidLand4,$T378,1),0)&gt;0),1,0)*IF($C378=1,1,0)*IF($C378=DJ$2,1,0)=0,0,1+COUNTIF(DJ$3:DJ377,"&gt;0"))</f>
        <v>0</v>
      </c>
      <c r="DK378">
        <f>IF(IF(OR(IFERROR(SEARCH("Druid",$T378,1),0)&gt;0,IFERROR(SEARCH(DruidLand1,$T378,1),0)&gt;0,IFERROR(SEARCH(DruidLand2,$T378,1),0)&gt;0,IFERROR(SEARCH(DruidLand3,$T378,1),0)&gt;0,IFERROR(SEARCH(DruidLand4,$T378,1),0)&gt;0),1,0)*IF($C378=DK$2,1,0)=0,0,1+COUNTIF(DK$3:DK377,"&gt;0"))</f>
        <v>0</v>
      </c>
      <c r="DL378">
        <f>IF(IF(OR(IFERROR(SEARCH("Druid",$T378,1),0)&gt;0,IFERROR(SEARCH(DruidLand1,$T378,1),0)&gt;0,IFERROR(SEARCH(DruidLand2,$T378,1),0)&gt;0,IFERROR(SEARCH(DruidLand3,$T378,1),0)&gt;0,IFERROR(SEARCH(DruidLand4,$T378,1),0)&gt;0),1,0)*IF($C378=DL$2,1,0)=0,0,1+COUNTIF(DL$3:DL377,"&gt;0"))</f>
        <v>14</v>
      </c>
      <c r="DM378">
        <f>IF(IF(OR(IFERROR(SEARCH("Druid",$T378,1),0)&gt;0,IFERROR(SEARCH(DruidLand1,$T378,1),0)&gt;0,IFERROR(SEARCH(DruidLand2,$T378,1),0)&gt;0,IFERROR(SEARCH(DruidLand3,$T378,1),0)&gt;0,IFERROR(SEARCH(DruidLand4,$T378,1),0)&gt;0),1,0)*IF($C378=DM$2,1,0)=0,0,1+COUNTIF(DM$3:DM377,"&gt;0"))</f>
        <v>0</v>
      </c>
      <c r="DN378">
        <f>IF(IF(OR(IFERROR(SEARCH("Druid",$T378,1),0)&gt;0,IFERROR(SEARCH(DruidLand1,$T378,1),0)&gt;0,IFERROR(SEARCH(DruidLand2,$T378,1),0)&gt;0,IFERROR(SEARCH(DruidLand3,$T378,1),0)&gt;0,IFERROR(SEARCH(DruidLand4,$T378,1),0)&gt;0),1,0)*IF($C378=DN$2,1,0)=0,0,1+COUNTIF(DN$3:DN377,"&gt;0"))</f>
        <v>0</v>
      </c>
      <c r="DO378">
        <f>IF(IF(OR(IFERROR(SEARCH("Druid",$T378,1),0)&gt;0,IFERROR(SEARCH(DruidLand1,$T378,1),0)&gt;0,IFERROR(SEARCH(DruidLand2,$T378,1),0)&gt;0,IFERROR(SEARCH(DruidLand3,$T378,1),0)&gt;0,IFERROR(SEARCH(DruidLand4,$T378,1),0)&gt;0),1,0)*IF($C378=DO$2,1,0)=0,0,1+COUNTIF(DO$3:DO377,"&gt;0"))</f>
        <v>0</v>
      </c>
      <c r="DP378">
        <f>IF(IF(OR(IFERROR(SEARCH("Druid",$T378,1),0)&gt;0,IFERROR(SEARCH(DruidLand1,$T378,1),0)&gt;0,IFERROR(SEARCH(DruidLand2,$T378,1),0)&gt;0,IFERROR(SEARCH(DruidLand3,$T378,1),0)&gt;0,IFERROR(SEARCH(DruidLand4,$T378,1),0)&gt;0),1,0)*IF($C378=DP$2,1,0)=0,0,1+COUNTIF(DP$3:DP377,"&gt;0"))</f>
        <v>0</v>
      </c>
      <c r="DQ378">
        <f>IF(IF(OR(IFERROR(SEARCH("Druid",$T378,1),0)&gt;0,IFERROR(SEARCH(DruidLand1,$T378,1),0)&gt;0,IFERROR(SEARCH(DruidLand2,$T378,1),0)&gt;0,IFERROR(SEARCH(DruidLand3,$T378,1),0)&gt;0,IFERROR(SEARCH(DruidLand4,$T378,1),0)&gt;0),1,0)*IF($C378=DQ$2,1,0)=0,0,1+COUNTIF(DQ$3:DQ377,"&gt;0"))</f>
        <v>0</v>
      </c>
      <c r="DR378">
        <f>IF(IF(OR(IFERROR(SEARCH("Druid",$T378,1),0)&gt;0,IFERROR(SEARCH(DruidLand1,$T378,1),0)&gt;0,IFERROR(SEARCH(DruidLand2,$T378,1),0)&gt;0,IFERROR(SEARCH(DruidLand3,$T378,1),0)&gt;0,IFERROR(SEARCH(DruidLand4,$T378,1),0)&gt;0),1,0)*IF($C378=DR$2,1,0)=0,0,1+COUNTIF(DR$3:DR377,"&gt;0"))</f>
        <v>0</v>
      </c>
      <c r="DS378">
        <f>IF(IF(OR(IFERROR(SEARCH("Paladin",$T378,1),0)&gt;0,IFERROR(SEARCH(PaladinOath,$T378,1),0)&gt;0),1,0)*IF($C378=DS$2,1,0)=1,1+COUNTIF(DS$3:DS377,"&gt;0"),0)</f>
        <v>0</v>
      </c>
      <c r="DT378">
        <f>IF(IF(OR(IFERROR(SEARCH("Paladin",$T378,1),0)&gt;0,IFERROR(SEARCH(PaladinOath,$T378,1),0)&gt;0),1,0)*IF($C378=DT$2,1,0)=1,1+COUNTIF(DT$3:DT377,"&gt;0"),0)</f>
        <v>0</v>
      </c>
      <c r="DU378">
        <f>IF(IF(OR(IFERROR(SEARCH("Paladin",$T378,1),0)&gt;0,IFERROR(SEARCH(PaladinOath,$T378,1),0)&gt;0),1,0)*IF($C378=DU$2,1,0)=1,1+COUNTIF(DU$3:DU377,"&gt;0"),0)</f>
        <v>0</v>
      </c>
      <c r="DV378">
        <f>IF(IF(OR(IFERROR(SEARCH("Paladin",$T378,1),0)&gt;0,IFERROR(SEARCH(PaladinOath,$T378,1),0)&gt;0),1,0)*IF($C378=DV$2,1,0)=1,1+COUNTIF(DV$3:DV377,"&gt;0"),0)</f>
        <v>0</v>
      </c>
      <c r="DW378">
        <f>IF(IF(OR(IFERROR(SEARCH("Paladin",$T378,1),0)&gt;0,IFERROR(SEARCH(PaladinOath,$T378,1),0)&gt;0),1,0)*IF($C378=DW$2,1,0)=1,1+COUNTIF(DW$3:DW377,"&gt;0"),0)</f>
        <v>0</v>
      </c>
      <c r="DY378">
        <f t="shared" si="278"/>
        <v>1</v>
      </c>
      <c r="DZ378">
        <f>IF(DY378=0,0,1+MAX(DZ$3:$DZ377))</f>
        <v>376</v>
      </c>
      <c r="EB378">
        <f t="shared" si="293"/>
        <v>0</v>
      </c>
      <c r="EC378">
        <f>IF(EB378=0,0,1+COUNTIF(EC$3:EC377,"&gt;0"))</f>
        <v>0</v>
      </c>
      <c r="ED378" t="str">
        <f t="shared" si="321"/>
        <v/>
      </c>
      <c r="EE378" t="str">
        <f t="shared" si="294"/>
        <v/>
      </c>
      <c r="EG378">
        <f t="shared" si="295"/>
        <v>0</v>
      </c>
      <c r="EH378">
        <f>IF(EG378=0,0,1+COUNTIF(EH$3:EH377,"&gt;0"))</f>
        <v>0</v>
      </c>
      <c r="EI378" t="str">
        <f t="shared" si="322"/>
        <v/>
      </c>
      <c r="EJ378" t="str">
        <f t="shared" si="296"/>
        <v/>
      </c>
      <c r="EL378">
        <f t="shared" si="297"/>
        <v>0</v>
      </c>
      <c r="EM378">
        <f>IF(EL378=0,0,1+COUNTIF(EM$3:EM377,"&gt;0"))</f>
        <v>0</v>
      </c>
      <c r="EN378" t="str">
        <f t="shared" si="323"/>
        <v/>
      </c>
      <c r="EO378" t="str">
        <f t="shared" si="298"/>
        <v/>
      </c>
      <c r="EQ378">
        <f t="shared" si="299"/>
        <v>0</v>
      </c>
      <c r="ER378">
        <f>IF(EQ378=0,0,1+COUNTIF(ER$3:ER377,"&gt;0"))</f>
        <v>0</v>
      </c>
      <c r="ES378" t="str">
        <f t="shared" si="324"/>
        <v/>
      </c>
      <c r="ET378" t="str">
        <f t="shared" si="300"/>
        <v/>
      </c>
      <c r="EV378">
        <f t="shared" si="301"/>
        <v>0</v>
      </c>
      <c r="EW378">
        <f>IF(EV378=0,0,1+COUNTIF(EW$3:EW377,"&gt;0"))</f>
        <v>0</v>
      </c>
      <c r="EX378" t="str">
        <f t="shared" si="325"/>
        <v/>
      </c>
      <c r="EY378" t="str">
        <f t="shared" si="302"/>
        <v/>
      </c>
      <c r="FA378">
        <f t="shared" si="303"/>
        <v>0</v>
      </c>
      <c r="FB378">
        <f>IF(FA378=0,0,1+COUNTIF(FB$3:FB377,"&gt;0"))</f>
        <v>0</v>
      </c>
      <c r="FC378" t="str">
        <f t="shared" si="326"/>
        <v/>
      </c>
      <c r="FD378" t="str">
        <f t="shared" si="304"/>
        <v/>
      </c>
      <c r="FF378">
        <f t="shared" si="305"/>
        <v>0</v>
      </c>
      <c r="FG378">
        <f>IF(FF378=0,0,1+COUNTIF(FG$3:FG377,"&gt;0"))</f>
        <v>0</v>
      </c>
      <c r="FH378" t="str">
        <f t="shared" si="327"/>
        <v/>
      </c>
      <c r="FI378" t="str">
        <f t="shared" si="306"/>
        <v/>
      </c>
      <c r="FK378">
        <f t="shared" si="307"/>
        <v>0</v>
      </c>
      <c r="FL378">
        <f>IF(FK378=0,0,1+COUNTIF(FL$3:FL377,"&gt;0"))</f>
        <v>0</v>
      </c>
      <c r="FM378" t="str">
        <f t="shared" si="328"/>
        <v/>
      </c>
      <c r="FN378" t="str">
        <f t="shared" si="308"/>
        <v/>
      </c>
      <c r="FP378">
        <f t="shared" si="309"/>
        <v>0</v>
      </c>
      <c r="FQ378">
        <f>IF(FP378=0,0,1+COUNTIF(FQ$3:FQ377,"&gt;0"))</f>
        <v>0</v>
      </c>
      <c r="FR378" t="str">
        <f t="shared" si="329"/>
        <v/>
      </c>
      <c r="FS378" t="str">
        <f t="shared" si="310"/>
        <v/>
      </c>
    </row>
    <row r="379" spans="1:175" x14ac:dyDescent="0.25">
      <c r="A379" s="347">
        <f t="shared" si="331"/>
        <v>377</v>
      </c>
      <c r="B379" s="398" t="s">
        <v>5542</v>
      </c>
      <c r="C379" s="348">
        <v>3</v>
      </c>
      <c r="D379" s="347">
        <v>3</v>
      </c>
      <c r="E379" s="627" t="s">
        <v>6957</v>
      </c>
      <c r="F379" s="346"/>
      <c r="G379" s="347" t="str">
        <f>""</f>
        <v/>
      </c>
      <c r="H379" s="347" t="s">
        <v>5912</v>
      </c>
      <c r="I379" s="347" t="s">
        <v>5298</v>
      </c>
      <c r="J379" s="347" t="str">
        <f t="shared" si="279"/>
        <v/>
      </c>
      <c r="K379" s="347" t="s">
        <v>5284</v>
      </c>
      <c r="L379" s="611" t="str">
        <f t="shared" si="280"/>
        <v>V, S</v>
      </c>
      <c r="M379" s="347" t="s">
        <v>2373</v>
      </c>
      <c r="N379" s="347" t="s">
        <v>2387</v>
      </c>
      <c r="O379" s="347" t="s">
        <v>3034</v>
      </c>
      <c r="P379" s="346" t="str">
        <f>""</f>
        <v/>
      </c>
      <c r="Q379" s="347" t="s">
        <v>5276</v>
      </c>
      <c r="S379" s="346" t="s">
        <v>5881</v>
      </c>
      <c r="T379" s="346" t="str">
        <f t="shared" si="281"/>
        <v xml:space="preserve">Ranger, Sorcerer, Druid, Wizard, </v>
      </c>
      <c r="W379" s="347" t="str">
        <f>$B379</f>
        <v>Flame Arrows</v>
      </c>
      <c r="X379" s="347" t="str">
        <f t="shared" si="336"/>
        <v>Flame Arrows</v>
      </c>
      <c r="AA379" s="347" t="str">
        <f t="shared" si="335"/>
        <v>Flame Arrows</v>
      </c>
      <c r="AD379" s="347" t="str">
        <f t="shared" si="334"/>
        <v>Flame Arrows</v>
      </c>
      <c r="AE379" t="str">
        <f>IF(IFERROR(MATCH($B379,temp!A$4:A$13,0),0)&gt;0,T08_Spells!AE$2,"")</f>
        <v/>
      </c>
      <c r="AF379" t="str">
        <f>IF(IFERROR(MATCH($B379,temp!B$4:B$13,0),0)&gt;0,T08_Spells!AF$2,"")</f>
        <v/>
      </c>
      <c r="AG379" t="str">
        <f>IF(IFERROR(MATCH($B379,temp!C$4:C$13,0),0)&gt;0,T08_Spells!AG$2,"")</f>
        <v/>
      </c>
      <c r="AH379" t="str">
        <f>IF(IFERROR(MATCH($B379,temp!D$4:D$13,0),0)&gt;0,T08_Spells!AH$2,"")</f>
        <v/>
      </c>
      <c r="AI379" t="str">
        <f>IF(IFERROR(MATCH($B379,temp!E$4:E$13,0),0)&gt;0,T08_Spells!AI$2,"")</f>
        <v/>
      </c>
      <c r="AJ379" t="str">
        <f>IF(IFERROR(MATCH($B379,temp!F$4:F$13,0),0)&gt;0,T08_Spells!AJ$2,"")</f>
        <v/>
      </c>
      <c r="AK379" t="str">
        <f>IF(IFERROR(MATCH($B379,temp!G$4:G$13,0),0)&gt;0,T08_Spells!AK$2,"")</f>
        <v/>
      </c>
      <c r="AL379" t="str">
        <f>IF(IFERROR(MATCH($B379,temp!H$4:H$13,0),0)&gt;0,T08_Spells!AL$2,"")</f>
        <v/>
      </c>
      <c r="AM379" t="str">
        <f>IF(IFERROR(MATCH($B379,temp!I$4:I$13,0),0)&gt;0,T08_Spells!AM$2,"")</f>
        <v/>
      </c>
      <c r="AN379" t="str">
        <f>IF(IFERROR(MATCH($B379,temp!J$4:J$13,0),0)&gt;0,T08_Spells!AN$2,"")</f>
        <v/>
      </c>
      <c r="AO379" t="str">
        <f>IF(IFERROR(MATCH($B379,temp!K$4:K$13,0),0)&gt;0,T08_Spells!AO$2,"")</f>
        <v/>
      </c>
      <c r="AP379" t="str">
        <f>IF(IFERROR(MATCH($B379,temp!L$4:L$13,0),0)&gt;0,T08_Spells!AP$2,"")</f>
        <v/>
      </c>
      <c r="AQ379" t="str">
        <f>IF(IFERROR(MATCH($B379,temp!M$4:M$13,0),0)&gt;0,T08_Spells!AQ$2,"")</f>
        <v/>
      </c>
      <c r="AR379" t="str">
        <f>IF(IFERROR(MATCH($B379,temp!N$4:N$13,0),0)&gt;0,T08_Spells!AR$2,"")</f>
        <v/>
      </c>
      <c r="AS379" t="str">
        <f>IF(IFERROR(MATCH($B379,temp!O$4:O$13,0),0)&gt;0,T08_Spells!AS$2,"")</f>
        <v/>
      </c>
      <c r="AT379" t="str">
        <f>IF(IFERROR(MATCH($B379,temp!P$4:P$13,0),0)&gt;0,T08_Spells!AT$2,"")</f>
        <v/>
      </c>
      <c r="AU379" t="str">
        <f>IF(IFERROR(MATCH($B379,temp!Q$4:Q$13,0),0)&gt;0,T08_Spells!AU$2,"")</f>
        <v/>
      </c>
      <c r="AV379" t="str">
        <f>IF(IFERROR(MATCH($B379,temp!R$4:R$13,0),0)&gt;0,T08_Spells!AV$2,"")</f>
        <v/>
      </c>
      <c r="AW379" t="str">
        <f>IF(IFERROR(MATCH($B379,temp!S$4:S$13,0),0)&gt;0,T08_Spells!AW$2,"")</f>
        <v/>
      </c>
      <c r="AX379" t="str">
        <f>IF(IFERROR(MATCH($B379,temp!T$4:T$13,0),0)&gt;0,T08_Spells!AX$2,"")</f>
        <v/>
      </c>
      <c r="AY379" t="str">
        <f>IF(IFERROR(MATCH($B379,temp!U$4:U$13,0),0)&gt;0,T08_Spells!AY$2,"")</f>
        <v/>
      </c>
      <c r="AZ379" t="str">
        <f>IF(IFERROR(MATCH($B379,temp!V$4:V$13,0),0)&gt;0,T08_Spells!AZ$2,"")</f>
        <v/>
      </c>
      <c r="BA379" t="str">
        <f>IF(IFERROR(MATCH($B379,temp!W$4:W$13,0),0)&gt;0,T08_Spells!BA$2,"")</f>
        <v/>
      </c>
      <c r="BC379">
        <f>IF(IFERROR(SEARCH("Ranger",$T379,1),0)&gt;0,1,0)*IF(RangerMaxSpellLevel&gt;=$C379,1,0)*IF(IFERROR(MATCH(B379,Character_Creation!$X$79:$X$382,0),0)&gt;0,0,1)</f>
        <v>0</v>
      </c>
      <c r="BD379">
        <f>IF(BC379=0,0,1+COUNTIF(BD$3:BD378,"&gt;0"))</f>
        <v>0</v>
      </c>
      <c r="BE379" t="str">
        <f t="shared" si="311"/>
        <v/>
      </c>
      <c r="BF379" t="str">
        <f t="shared" si="283"/>
        <v/>
      </c>
      <c r="BH379">
        <f>IF(IFERROR(SEARCH("Sorcerer",$T379,1),0)&gt;0,1,0)*IF(SorcererMaxSpellLevel&gt;=$C379,1,0)*IF(IFERROR(MATCH(B379,Character_Creation!$J$380:$J$394,0),0)&gt;0,0,1)</f>
        <v>0</v>
      </c>
      <c r="BI379">
        <f>IF(BH379=0,0,1+COUNTIF(BI$3:BI378,"&gt;0"))</f>
        <v>0</v>
      </c>
      <c r="BJ379" t="str">
        <f t="shared" si="312"/>
        <v/>
      </c>
      <c r="BK379" t="str">
        <f t="shared" si="284"/>
        <v/>
      </c>
      <c r="BM379">
        <f>IF(OR(IFERROR(SEARCH("Warlock",$T379,1),0)&gt;0,IFERROR(SEARCH(WarlockPatron,$T379,1),0)&gt;0),1,0)*IF(WarlockMaxSpellLevel&gt;=$C379,1,0)*IF(IFERROR(MATCH(B379,Character_Creation!$J$361:$J$375,0),0)&gt;0,0,1)</f>
        <v>0</v>
      </c>
      <c r="BN379">
        <f>IF(BM379=0,0,1+COUNTIF(BN$3:BN378,"&gt;0"))</f>
        <v>0</v>
      </c>
      <c r="BO379" t="str">
        <f t="shared" si="313"/>
        <v/>
      </c>
      <c r="BP379" t="str">
        <f t="shared" si="285"/>
        <v/>
      </c>
      <c r="BR379">
        <f>IF(IFERROR(SEARCH("Eldritch Knight",$T379,1),0)&gt;0,1,0)*IF(EldritchKnightMaxSpellLevel&gt;=$C379,1,0)*IF(IFERROR(MATCH($B379,Character_Creation!$J$350:$J$356,0),0)&gt;0,0,1)*IF(Character_Creation!$M$338&gt;0,1,0)</f>
        <v>0</v>
      </c>
      <c r="BS379">
        <f>IF(BR379=0,0,1+COUNTIF(BS$3:BS378,"&gt;0"))</f>
        <v>0</v>
      </c>
      <c r="BT379" t="str">
        <f t="shared" si="314"/>
        <v/>
      </c>
      <c r="BU379" t="str">
        <f t="shared" si="286"/>
        <v/>
      </c>
      <c r="BW379">
        <f>IF(IFERROR(SEARCH("Arcane Trickster",$T379,1),0)&gt;0,1,0)*IF(ArcaneTricksterMaxSpellLevel&gt;=$C379,1,0)*IF(IFERROR(MATCH($B379,Character_Creation!$J$350:$J$356,0),0)&gt;0,0,1)*IF(Character_Creation!$T$338&gt;0,1,0)</f>
        <v>0</v>
      </c>
      <c r="BX379">
        <f>IF(BW379=0,0,1+COUNTIF(BX$3:BX378,"&gt;0"))</f>
        <v>0</v>
      </c>
      <c r="BY379" t="str">
        <f t="shared" si="315"/>
        <v/>
      </c>
      <c r="BZ379" t="str">
        <f t="shared" si="287"/>
        <v/>
      </c>
      <c r="CB379">
        <f>IF(IFERROR(SEARCH("Wizard",$T379,1),0)&gt;0,1,0)*IF(C379&lt;=ArcaneTricksterMaxSpellLevel,1,0)*IF(IFERROR(MATCH($B379,Character_Creation!$J$350:$J$356,0),0)&gt;0,0,1)*IF(Character_Creation!$T$350&gt;0,1,0)</f>
        <v>0</v>
      </c>
      <c r="CC379">
        <f>IF(CB379=0,0,1+COUNTIF(CC$3:CC378,"&gt;0"))</f>
        <v>0</v>
      </c>
      <c r="CD379" t="str">
        <f t="shared" si="316"/>
        <v/>
      </c>
      <c r="CE379" t="str">
        <f t="shared" si="288"/>
        <v/>
      </c>
      <c r="CG379">
        <f>IF(IFERROR(SEARCH("Wizard",$T379,1),0)&gt;0,1,0)*IF($C379&lt;=EldritchKnightMaxSpellLevel,1,0)*IF(IFERROR(MATCH($B379,Character_Creation!$J$350:$J$356,0),0)&gt;0,0,1)*IF(Character_Creation!$M$350&gt;0,1,0)</f>
        <v>0</v>
      </c>
      <c r="CH379">
        <f>IF(CG379=0,0,1+COUNTIF(CH$3:CH378,"&gt;0"))</f>
        <v>0</v>
      </c>
      <c r="CI379" t="str">
        <f t="shared" si="317"/>
        <v/>
      </c>
      <c r="CJ379" t="str">
        <f t="shared" si="289"/>
        <v/>
      </c>
      <c r="CL379">
        <f>IF(IFERROR(SEARCH("Bard",$T379,1),0)&gt;0,1,0)*IF(BardMaxSpellLevel&gt;=$C379,1,0)*IF(IFERROR(MATCH(B379,Character_Creation!$C$341:$F$362,0),0)&gt;0,0,1)*IF(IFERROR(MATCH($B379,Character_Creation!$C$341:$C$362,0),0)&gt;0,0,1)</f>
        <v>0</v>
      </c>
      <c r="CM379">
        <f>IF(CL379=0,0,1+COUNTIF(CM$3:CM378,"&gt;0"))</f>
        <v>0</v>
      </c>
      <c r="CN379" t="str">
        <f t="shared" si="318"/>
        <v/>
      </c>
      <c r="CO379" t="str">
        <f t="shared" si="290"/>
        <v/>
      </c>
      <c r="CQ379">
        <f>IF(IFERROR(SEARCH("Wizard",$T379,1),0)&gt;0,1,0)*IF(WizardMaxSpellLevel&gt;=$C379,1,0)*IF(IFERROR(MATCH(B379,Character_Creation!$X$341:$X$400,0),0)&gt;0,0,1)*IF(SelectedWizardSpellLevel=$C379,1,0)</f>
        <v>1</v>
      </c>
      <c r="CR379">
        <f>IF(CQ379=0,0,1+COUNTIF(CR$3:CR378,"&gt;0"))</f>
        <v>29</v>
      </c>
      <c r="CS379" t="str">
        <f t="shared" si="319"/>
        <v/>
      </c>
      <c r="CT379" t="str">
        <f t="shared" si="291"/>
        <v/>
      </c>
      <c r="CV379">
        <f>IF(IFERROR(MATCH($B379,Character_Creation!$C$341:$C$362,0),0)&gt;0,0,1)*IF(OR(C379="Cantrip",C379&lt;=BardMaxSpellLevel),1,0)*IF(IFERROR(MATCH($B379,Character_Creation!$C$367:$C$374,0),0)&gt;0,0,1)</f>
        <v>0</v>
      </c>
      <c r="CW379">
        <f>IF(CV379=0,0,1+COUNTIF(CW$3:CW378,"&gt;0"))</f>
        <v>0</v>
      </c>
      <c r="CX379" t="str">
        <f t="shared" si="320"/>
        <v/>
      </c>
      <c r="CY379" t="str">
        <f t="shared" si="292"/>
        <v/>
      </c>
      <c r="DA379">
        <f>IF(IF(OR(IFERROR(SEARCH("Cleric",$T379,1),0)&gt;0,IFERROR(SEARCH(DivineDomain&amp;",",$T379,1),0)&gt;0),1,0)*IF($C379=DA$2,1,0)=1,1+COUNTIF(DA$3:DA378,"&gt;0"),0)</f>
        <v>0</v>
      </c>
      <c r="DB379">
        <f>IF(IF(OR(IFERROR(SEARCH("Cleric",$T379,1),0)&gt;0,IFERROR(SEARCH(DivineDomain&amp;",",$T379,1),0)&gt;0),1,0)*IF($C379=DB$2,1,0)=1,1+COUNTIF(DB$3:DB378,"&gt;0"),0)</f>
        <v>0</v>
      </c>
      <c r="DC379">
        <f>IF(IF(OR(IFERROR(SEARCH("Cleric",$T379,1),0)&gt;0,IFERROR(SEARCH(DivineDomain&amp;",",$T379,1),0)&gt;0),1,0)*IF($C379=DC$2,1,0)=1,1+COUNTIF(DC$3:DC378,"&gt;0"),0)</f>
        <v>0</v>
      </c>
      <c r="DD379">
        <f>IF(IF(OR(IFERROR(SEARCH("Cleric",$T379,1),0)&gt;0,IFERROR(SEARCH(DivineDomain&amp;",",$T379,1),0)&gt;0),1,0)*IF($C379=DD$2,1,0)=1,1+COUNTIF(DD$3:DD378,"&gt;0"),0)</f>
        <v>0</v>
      </c>
      <c r="DE379">
        <f>IF(IF(OR(IFERROR(SEARCH("Cleric",$T379,1),0)&gt;0,IFERROR(SEARCH(DivineDomain&amp;",",$T379,1),0)&gt;0),1,0)*IF($C379=DE$2,1,0)=1,1+COUNTIF(DE$3:DE378,"&gt;0"),0)</f>
        <v>0</v>
      </c>
      <c r="DF379">
        <f>IF(IF(OR(IFERROR(SEARCH("Cleric",$T379,1),0)&gt;0,IFERROR(SEARCH(DivineDomain&amp;",",$T379,1),0)&gt;0),1,0)*IF($C379=DF$2,1,0)=1,1+COUNTIF(DF$3:DF378,"&gt;0"),0)</f>
        <v>0</v>
      </c>
      <c r="DG379">
        <f>IF(IF(OR(IFERROR(SEARCH("Cleric",$T379,1),0)&gt;0,IFERROR(SEARCH(DivineDomain&amp;",",$T379,1),0)&gt;0),1,0)*IF($C379=DG$2,1,0)=1,1+COUNTIF(DG$3:DG378,"&gt;0"),0)</f>
        <v>0</v>
      </c>
      <c r="DH379">
        <f>IF(IF(OR(IFERROR(SEARCH("Cleric",$T379,1),0)&gt;0,IFERROR(SEARCH(DivineDomain&amp;",",$T379,1),0)&gt;0),1,0)*IF($C379=DH$2,1,0)=1,1+COUNTIF(DH$3:DH378,"&gt;0"),0)</f>
        <v>0</v>
      </c>
      <c r="DI379">
        <f>IF(IF(OR(IFERROR(SEARCH("Cleric",$T379,1),0)&gt;0,IFERROR(SEARCH(DivineDomain&amp;",",$T379,1),0)&gt;0),1,0)*IF($C379=DI$2,1,0)=1,1+COUNTIF(DI$3:DI378,"&gt;0"),0)</f>
        <v>0</v>
      </c>
      <c r="DJ379">
        <f>IF(IF(OR(IFERROR(SEARCH("Druid",$T379,1),0)&gt;0,IFERROR(SEARCH(DruidLand1,$T379,1),0)&gt;0,IFERROR(SEARCH(DruidLand2,$T379,1),0)&gt;0,IFERROR(SEARCH(DruidLand3,$T379,1),0)&gt;0,IFERROR(SEARCH(DruidLand4,$T379,1),0)&gt;0),1,0)*IF($C379=1,1,0)*IF($C379=DJ$2,1,0)=0,0,1+COUNTIF(DJ$3:DJ378,"&gt;0"))</f>
        <v>0</v>
      </c>
      <c r="DK379">
        <f>IF(IF(OR(IFERROR(SEARCH("Druid",$T379,1),0)&gt;0,IFERROR(SEARCH(DruidLand1,$T379,1),0)&gt;0,IFERROR(SEARCH(DruidLand2,$T379,1),0)&gt;0,IFERROR(SEARCH(DruidLand3,$T379,1),0)&gt;0,IFERROR(SEARCH(DruidLand4,$T379,1),0)&gt;0),1,0)*IF($C379=DK$2,1,0)=0,0,1+COUNTIF(DK$3:DK378,"&gt;0"))</f>
        <v>0</v>
      </c>
      <c r="DL379">
        <f>IF(IF(OR(IFERROR(SEARCH("Druid",$T379,1),0)&gt;0,IFERROR(SEARCH(DruidLand1,$T379,1),0)&gt;0,IFERROR(SEARCH(DruidLand2,$T379,1),0)&gt;0,IFERROR(SEARCH(DruidLand3,$T379,1),0)&gt;0,IFERROR(SEARCH(DruidLand4,$T379,1),0)&gt;0),1,0)*IF($C379=DL$2,1,0)=0,0,1+COUNTIF(DL$3:DL378,"&gt;0"))</f>
        <v>15</v>
      </c>
      <c r="DM379">
        <f>IF(IF(OR(IFERROR(SEARCH("Druid",$T379,1),0)&gt;0,IFERROR(SEARCH(DruidLand1,$T379,1),0)&gt;0,IFERROR(SEARCH(DruidLand2,$T379,1),0)&gt;0,IFERROR(SEARCH(DruidLand3,$T379,1),0)&gt;0,IFERROR(SEARCH(DruidLand4,$T379,1),0)&gt;0),1,0)*IF($C379=DM$2,1,0)=0,0,1+COUNTIF(DM$3:DM378,"&gt;0"))</f>
        <v>0</v>
      </c>
      <c r="DN379">
        <f>IF(IF(OR(IFERROR(SEARCH("Druid",$T379,1),0)&gt;0,IFERROR(SEARCH(DruidLand1,$T379,1),0)&gt;0,IFERROR(SEARCH(DruidLand2,$T379,1),0)&gt;0,IFERROR(SEARCH(DruidLand3,$T379,1),0)&gt;0,IFERROR(SEARCH(DruidLand4,$T379,1),0)&gt;0),1,0)*IF($C379=DN$2,1,0)=0,0,1+COUNTIF(DN$3:DN378,"&gt;0"))</f>
        <v>0</v>
      </c>
      <c r="DO379">
        <f>IF(IF(OR(IFERROR(SEARCH("Druid",$T379,1),0)&gt;0,IFERROR(SEARCH(DruidLand1,$T379,1),0)&gt;0,IFERROR(SEARCH(DruidLand2,$T379,1),0)&gt;0,IFERROR(SEARCH(DruidLand3,$T379,1),0)&gt;0,IFERROR(SEARCH(DruidLand4,$T379,1),0)&gt;0),1,0)*IF($C379=DO$2,1,0)=0,0,1+COUNTIF(DO$3:DO378,"&gt;0"))</f>
        <v>0</v>
      </c>
      <c r="DP379">
        <f>IF(IF(OR(IFERROR(SEARCH("Druid",$T379,1),0)&gt;0,IFERROR(SEARCH(DruidLand1,$T379,1),0)&gt;0,IFERROR(SEARCH(DruidLand2,$T379,1),0)&gt;0,IFERROR(SEARCH(DruidLand3,$T379,1),0)&gt;0,IFERROR(SEARCH(DruidLand4,$T379,1),0)&gt;0),1,0)*IF($C379=DP$2,1,0)=0,0,1+COUNTIF(DP$3:DP378,"&gt;0"))</f>
        <v>0</v>
      </c>
      <c r="DQ379">
        <f>IF(IF(OR(IFERROR(SEARCH("Druid",$T379,1),0)&gt;0,IFERROR(SEARCH(DruidLand1,$T379,1),0)&gt;0,IFERROR(SEARCH(DruidLand2,$T379,1),0)&gt;0,IFERROR(SEARCH(DruidLand3,$T379,1),0)&gt;0,IFERROR(SEARCH(DruidLand4,$T379,1),0)&gt;0),1,0)*IF($C379=DQ$2,1,0)=0,0,1+COUNTIF(DQ$3:DQ378,"&gt;0"))</f>
        <v>0</v>
      </c>
      <c r="DR379">
        <f>IF(IF(OR(IFERROR(SEARCH("Druid",$T379,1),0)&gt;0,IFERROR(SEARCH(DruidLand1,$T379,1),0)&gt;0,IFERROR(SEARCH(DruidLand2,$T379,1),0)&gt;0,IFERROR(SEARCH(DruidLand3,$T379,1),0)&gt;0,IFERROR(SEARCH(DruidLand4,$T379,1),0)&gt;0),1,0)*IF($C379=DR$2,1,0)=0,0,1+COUNTIF(DR$3:DR378,"&gt;0"))</f>
        <v>0</v>
      </c>
      <c r="DS379">
        <f>IF(IF(OR(IFERROR(SEARCH("Paladin",$T379,1),0)&gt;0,IFERROR(SEARCH(PaladinOath,$T379,1),0)&gt;0),1,0)*IF($C379=DS$2,1,0)=1,1+COUNTIF(DS$3:DS378,"&gt;0"),0)</f>
        <v>0</v>
      </c>
      <c r="DT379">
        <f>IF(IF(OR(IFERROR(SEARCH("Paladin",$T379,1),0)&gt;0,IFERROR(SEARCH(PaladinOath,$T379,1),0)&gt;0),1,0)*IF($C379=DT$2,1,0)=1,1+COUNTIF(DT$3:DT378,"&gt;0"),0)</f>
        <v>0</v>
      </c>
      <c r="DU379">
        <f>IF(IF(OR(IFERROR(SEARCH("Paladin",$T379,1),0)&gt;0,IFERROR(SEARCH(PaladinOath,$T379,1),0)&gt;0),1,0)*IF($C379=DU$2,1,0)=1,1+COUNTIF(DU$3:DU378,"&gt;0"),0)</f>
        <v>0</v>
      </c>
      <c r="DV379">
        <f>IF(IF(OR(IFERROR(SEARCH("Paladin",$T379,1),0)&gt;0,IFERROR(SEARCH(PaladinOath,$T379,1),0)&gt;0),1,0)*IF($C379=DV$2,1,0)=1,1+COUNTIF(DV$3:DV378,"&gt;0"),0)</f>
        <v>0</v>
      </c>
      <c r="DW379">
        <f>IF(IF(OR(IFERROR(SEARCH("Paladin",$T379,1),0)&gt;0,IFERROR(SEARCH(PaladinOath,$T379,1),0)&gt;0),1,0)*IF($C379=DW$2,1,0)=1,1+COUNTIF(DW$3:DW378,"&gt;0"),0)</f>
        <v>0</v>
      </c>
      <c r="DY379">
        <f t="shared" si="278"/>
        <v>1</v>
      </c>
      <c r="DZ379">
        <f>IF(DY379=0,0,1+MAX(DZ$3:$DZ378))</f>
        <v>377</v>
      </c>
      <c r="EB379">
        <f t="shared" si="293"/>
        <v>0</v>
      </c>
      <c r="EC379">
        <f>IF(EB379=0,0,1+COUNTIF(EC$3:EC378,"&gt;0"))</f>
        <v>0</v>
      </c>
      <c r="ED379" t="str">
        <f t="shared" si="321"/>
        <v/>
      </c>
      <c r="EE379" t="str">
        <f t="shared" si="294"/>
        <v/>
      </c>
      <c r="EG379">
        <f t="shared" si="295"/>
        <v>0</v>
      </c>
      <c r="EH379">
        <f>IF(EG379=0,0,1+COUNTIF(EH$3:EH378,"&gt;0"))</f>
        <v>0</v>
      </c>
      <c r="EI379" t="str">
        <f t="shared" si="322"/>
        <v/>
      </c>
      <c r="EJ379" t="str">
        <f t="shared" si="296"/>
        <v/>
      </c>
      <c r="EL379">
        <f t="shared" si="297"/>
        <v>0</v>
      </c>
      <c r="EM379">
        <f>IF(EL379=0,0,1+COUNTIF(EM$3:EM378,"&gt;0"))</f>
        <v>0</v>
      </c>
      <c r="EN379" t="str">
        <f t="shared" si="323"/>
        <v/>
      </c>
      <c r="EO379" t="str">
        <f t="shared" si="298"/>
        <v/>
      </c>
      <c r="EQ379">
        <f t="shared" si="299"/>
        <v>0</v>
      </c>
      <c r="ER379">
        <f>IF(EQ379=0,0,1+COUNTIF(ER$3:ER378,"&gt;0"))</f>
        <v>0</v>
      </c>
      <c r="ES379" t="str">
        <f t="shared" si="324"/>
        <v/>
      </c>
      <c r="ET379" t="str">
        <f t="shared" si="300"/>
        <v/>
      </c>
      <c r="EV379">
        <f t="shared" si="301"/>
        <v>0</v>
      </c>
      <c r="EW379">
        <f>IF(EV379=0,0,1+COUNTIF(EW$3:EW378,"&gt;0"))</f>
        <v>0</v>
      </c>
      <c r="EX379" t="str">
        <f t="shared" si="325"/>
        <v/>
      </c>
      <c r="EY379" t="str">
        <f t="shared" si="302"/>
        <v/>
      </c>
      <c r="FA379">
        <f t="shared" si="303"/>
        <v>0</v>
      </c>
      <c r="FB379">
        <f>IF(FA379=0,0,1+COUNTIF(FB$3:FB378,"&gt;0"))</f>
        <v>0</v>
      </c>
      <c r="FC379" t="str">
        <f t="shared" si="326"/>
        <v/>
      </c>
      <c r="FD379" t="str">
        <f t="shared" si="304"/>
        <v/>
      </c>
      <c r="FF379">
        <f t="shared" si="305"/>
        <v>0</v>
      </c>
      <c r="FG379">
        <f>IF(FF379=0,0,1+COUNTIF(FG$3:FG378,"&gt;0"))</f>
        <v>0</v>
      </c>
      <c r="FH379" t="str">
        <f t="shared" si="327"/>
        <v/>
      </c>
      <c r="FI379" t="str">
        <f t="shared" si="306"/>
        <v/>
      </c>
      <c r="FK379">
        <f t="shared" si="307"/>
        <v>0</v>
      </c>
      <c r="FL379">
        <f>IF(FK379=0,0,1+COUNTIF(FL$3:FL378,"&gt;0"))</f>
        <v>0</v>
      </c>
      <c r="FM379" t="str">
        <f t="shared" si="328"/>
        <v/>
      </c>
      <c r="FN379" t="str">
        <f t="shared" si="308"/>
        <v/>
      </c>
      <c r="FP379">
        <f t="shared" si="309"/>
        <v>0</v>
      </c>
      <c r="FQ379">
        <f>IF(FP379=0,0,1+COUNTIF(FQ$3:FQ378,"&gt;0"))</f>
        <v>0</v>
      </c>
      <c r="FR379" t="str">
        <f t="shared" si="329"/>
        <v/>
      </c>
      <c r="FS379" t="str">
        <f t="shared" si="310"/>
        <v/>
      </c>
    </row>
    <row r="380" spans="1:175" x14ac:dyDescent="0.25">
      <c r="A380" s="347">
        <f t="shared" si="331"/>
        <v>378</v>
      </c>
      <c r="B380" s="398" t="s">
        <v>5543</v>
      </c>
      <c r="C380" s="348" t="s">
        <v>5277</v>
      </c>
      <c r="D380" s="347">
        <v>0.5</v>
      </c>
      <c r="E380" s="627" t="s">
        <v>6957</v>
      </c>
      <c r="F380" s="346"/>
      <c r="G380" s="347" t="str">
        <f>""</f>
        <v/>
      </c>
      <c r="H380" s="347" t="s">
        <v>5912</v>
      </c>
      <c r="I380" s="347" t="s">
        <v>424</v>
      </c>
      <c r="J380" s="347" t="str">
        <f t="shared" si="279"/>
        <v/>
      </c>
      <c r="K380" s="347" t="s">
        <v>5278</v>
      </c>
      <c r="L380" s="611" t="str">
        <f t="shared" si="280"/>
        <v>V, S</v>
      </c>
      <c r="M380" s="347" t="s">
        <v>2373</v>
      </c>
      <c r="N380" s="347" t="s">
        <v>2387</v>
      </c>
      <c r="O380" s="347" t="s">
        <v>3034</v>
      </c>
      <c r="P380" s="346" t="str">
        <f>""</f>
        <v/>
      </c>
      <c r="Q380" s="347" t="s">
        <v>5273</v>
      </c>
      <c r="S380" s="346" t="s">
        <v>5882</v>
      </c>
      <c r="T380" s="346" t="str">
        <f t="shared" si="281"/>
        <v xml:space="preserve">Sorcerer, Warlock, Druid, Eldritch Knight, Wizard, </v>
      </c>
      <c r="X380" s="347" t="str">
        <f t="shared" si="336"/>
        <v>Frostbite</v>
      </c>
      <c r="Y380" s="347" t="str">
        <f>$B380</f>
        <v>Frostbite</v>
      </c>
      <c r="AA380" s="347" t="str">
        <f t="shared" si="335"/>
        <v>Frostbite</v>
      </c>
      <c r="AB380" s="542" t="str">
        <f>AD380</f>
        <v>Frostbite</v>
      </c>
      <c r="AD380" s="347" t="str">
        <f t="shared" si="334"/>
        <v>Frostbite</v>
      </c>
      <c r="AE380" t="str">
        <f>IF(IFERROR(MATCH($B380,temp!A$4:A$13,0),0)&gt;0,T08_Spells!AE$2,"")</f>
        <v/>
      </c>
      <c r="AF380" t="str">
        <f>IF(IFERROR(MATCH($B380,temp!B$4:B$13,0),0)&gt;0,T08_Spells!AF$2,"")</f>
        <v/>
      </c>
      <c r="AG380" t="str">
        <f>IF(IFERROR(MATCH($B380,temp!C$4:C$13,0),0)&gt;0,T08_Spells!AG$2,"")</f>
        <v/>
      </c>
      <c r="AH380" t="str">
        <f>IF(IFERROR(MATCH($B380,temp!D$4:D$13,0),0)&gt;0,T08_Spells!AH$2,"")</f>
        <v/>
      </c>
      <c r="AI380" t="str">
        <f>IF(IFERROR(MATCH($B380,temp!E$4:E$13,0),0)&gt;0,T08_Spells!AI$2,"")</f>
        <v/>
      </c>
      <c r="AJ380" t="str">
        <f>IF(IFERROR(MATCH($B380,temp!F$4:F$13,0),0)&gt;0,T08_Spells!AJ$2,"")</f>
        <v/>
      </c>
      <c r="AK380" t="str">
        <f>IF(IFERROR(MATCH($B380,temp!G$4:G$13,0),0)&gt;0,T08_Spells!AK$2,"")</f>
        <v/>
      </c>
      <c r="AL380" t="str">
        <f>IF(IFERROR(MATCH($B380,temp!H$4:H$13,0),0)&gt;0,T08_Spells!AL$2,"")</f>
        <v/>
      </c>
      <c r="AM380" t="str">
        <f>IF(IFERROR(MATCH($B380,temp!I$4:I$13,0),0)&gt;0,T08_Spells!AM$2,"")</f>
        <v/>
      </c>
      <c r="AN380" t="str">
        <f>IF(IFERROR(MATCH($B380,temp!J$4:J$13,0),0)&gt;0,T08_Spells!AN$2,"")</f>
        <v/>
      </c>
      <c r="AO380" t="str">
        <f>IF(IFERROR(MATCH($B380,temp!K$4:K$13,0),0)&gt;0,T08_Spells!AO$2,"")</f>
        <v/>
      </c>
      <c r="AP380" t="str">
        <f>IF(IFERROR(MATCH($B380,temp!L$4:L$13,0),0)&gt;0,T08_Spells!AP$2,"")</f>
        <v/>
      </c>
      <c r="AQ380" t="str">
        <f>IF(IFERROR(MATCH($B380,temp!M$4:M$13,0),0)&gt;0,T08_Spells!AQ$2,"")</f>
        <v/>
      </c>
      <c r="AR380" t="str">
        <f>IF(IFERROR(MATCH($B380,temp!N$4:N$13,0),0)&gt;0,T08_Spells!AR$2,"")</f>
        <v/>
      </c>
      <c r="AS380" t="str">
        <f>IF(IFERROR(MATCH($B380,temp!O$4:O$13,0),0)&gt;0,T08_Spells!AS$2,"")</f>
        <v/>
      </c>
      <c r="AT380" t="str">
        <f>IF(IFERROR(MATCH($B380,temp!P$4:P$13,0),0)&gt;0,T08_Spells!AT$2,"")</f>
        <v/>
      </c>
      <c r="AU380" t="str">
        <f>IF(IFERROR(MATCH($B380,temp!Q$4:Q$13,0),0)&gt;0,T08_Spells!AU$2,"")</f>
        <v/>
      </c>
      <c r="AV380" t="str">
        <f>IF(IFERROR(MATCH($B380,temp!R$4:R$13,0),0)&gt;0,T08_Spells!AV$2,"")</f>
        <v/>
      </c>
      <c r="AW380" t="str">
        <f>IF(IFERROR(MATCH($B380,temp!S$4:S$13,0),0)&gt;0,T08_Spells!AW$2,"")</f>
        <v/>
      </c>
      <c r="AX380" t="str">
        <f>IF(IFERROR(MATCH($B380,temp!T$4:T$13,0),0)&gt;0,T08_Spells!AX$2,"")</f>
        <v/>
      </c>
      <c r="AY380" t="str">
        <f>IF(IFERROR(MATCH($B380,temp!U$4:U$13,0),0)&gt;0,T08_Spells!AY$2,"")</f>
        <v/>
      </c>
      <c r="AZ380" t="str">
        <f>IF(IFERROR(MATCH($B380,temp!V$4:V$13,0),0)&gt;0,T08_Spells!AZ$2,"")</f>
        <v/>
      </c>
      <c r="BA380" t="str">
        <f>IF(IFERROR(MATCH($B380,temp!W$4:W$13,0),0)&gt;0,T08_Spells!BA$2,"")</f>
        <v/>
      </c>
      <c r="BC380">
        <f>IF(IFERROR(SEARCH("Ranger",$T380,1),0)&gt;0,1,0)*IF(RangerMaxSpellLevel&gt;=$C380,1,0)*IF(IFERROR(MATCH(B380,Character_Creation!$X$79:$X$382,0),0)&gt;0,0,1)</f>
        <v>0</v>
      </c>
      <c r="BD380">
        <f>IF(BC380=0,0,1+COUNTIF(BD$3:BD379,"&gt;0"))</f>
        <v>0</v>
      </c>
      <c r="BE380" t="str">
        <f t="shared" si="311"/>
        <v/>
      </c>
      <c r="BF380" t="str">
        <f t="shared" si="283"/>
        <v/>
      </c>
      <c r="BH380">
        <f>IF(IFERROR(SEARCH("Sorcerer",$T380,1),0)&gt;0,1,0)*IF(SorcererMaxSpellLevel&gt;=$C380,1,0)*IF(IFERROR(MATCH(B380,Character_Creation!$J$380:$J$394,0),0)&gt;0,0,1)</f>
        <v>0</v>
      </c>
      <c r="BI380">
        <f>IF(BH380=0,0,1+COUNTIF(BI$3:BI379,"&gt;0"))</f>
        <v>0</v>
      </c>
      <c r="BJ380" t="str">
        <f t="shared" si="312"/>
        <v/>
      </c>
      <c r="BK380" t="str">
        <f t="shared" si="284"/>
        <v/>
      </c>
      <c r="BM380">
        <f>IF(OR(IFERROR(SEARCH("Warlock",$T380,1),0)&gt;0,IFERROR(SEARCH(WarlockPatron,$T380,1),0)&gt;0),1,0)*IF(WarlockMaxSpellLevel&gt;=$C380,1,0)*IF(IFERROR(MATCH(B380,Character_Creation!$J$361:$J$375,0),0)&gt;0,0,1)</f>
        <v>0</v>
      </c>
      <c r="BN380">
        <f>IF(BM380=0,0,1+COUNTIF(BN$3:BN379,"&gt;0"))</f>
        <v>0</v>
      </c>
      <c r="BO380" t="str">
        <f t="shared" si="313"/>
        <v/>
      </c>
      <c r="BP380" t="str">
        <f t="shared" si="285"/>
        <v/>
      </c>
      <c r="BR380">
        <f>IF(IFERROR(SEARCH("Eldritch Knight",$T380,1),0)&gt;0,1,0)*IF(EldritchKnightMaxSpellLevel&gt;=$C380,1,0)*IF(IFERROR(MATCH($B380,Character_Creation!$J$350:$J$356,0),0)&gt;0,0,1)*IF(Character_Creation!$M$338&gt;0,1,0)</f>
        <v>0</v>
      </c>
      <c r="BS380">
        <f>IF(BR380=0,0,1+COUNTIF(BS$3:BS379,"&gt;0"))</f>
        <v>0</v>
      </c>
      <c r="BT380" t="str">
        <f t="shared" si="314"/>
        <v/>
      </c>
      <c r="BU380" t="str">
        <f t="shared" si="286"/>
        <v/>
      </c>
      <c r="BW380">
        <f>IF(IFERROR(SEARCH("Arcane Trickster",$T380,1),0)&gt;0,1,0)*IF(ArcaneTricksterMaxSpellLevel&gt;=$C380,1,0)*IF(IFERROR(MATCH($B380,Character_Creation!$J$350:$J$356,0),0)&gt;0,0,1)*IF(Character_Creation!$T$338&gt;0,1,0)</f>
        <v>0</v>
      </c>
      <c r="BX380">
        <f>IF(BW380=0,0,1+COUNTIF(BX$3:BX379,"&gt;0"))</f>
        <v>0</v>
      </c>
      <c r="BY380" t="str">
        <f t="shared" si="315"/>
        <v/>
      </c>
      <c r="BZ380" t="str">
        <f t="shared" si="287"/>
        <v/>
      </c>
      <c r="CB380">
        <f>IF(IFERROR(SEARCH("Wizard",$T380,1),0)&gt;0,1,0)*IF(C380&lt;=ArcaneTricksterMaxSpellLevel,1,0)*IF(IFERROR(MATCH($B380,Character_Creation!$J$350:$J$356,0),0)&gt;0,0,1)*IF(Character_Creation!$T$350&gt;0,1,0)</f>
        <v>0</v>
      </c>
      <c r="CC380">
        <f>IF(CB380=0,0,1+COUNTIF(CC$3:CC379,"&gt;0"))</f>
        <v>0</v>
      </c>
      <c r="CD380" t="str">
        <f t="shared" si="316"/>
        <v/>
      </c>
      <c r="CE380" t="str">
        <f t="shared" si="288"/>
        <v/>
      </c>
      <c r="CG380">
        <f>IF(IFERROR(SEARCH("Wizard",$T380,1),0)&gt;0,1,0)*IF($C380&lt;=EldritchKnightMaxSpellLevel,1,0)*IF(IFERROR(MATCH($B380,Character_Creation!$J$350:$J$356,0),0)&gt;0,0,1)*IF(Character_Creation!$M$350&gt;0,1,0)</f>
        <v>0</v>
      </c>
      <c r="CH380">
        <f>IF(CG380=0,0,1+COUNTIF(CH$3:CH379,"&gt;0"))</f>
        <v>0</v>
      </c>
      <c r="CI380" t="str">
        <f t="shared" si="317"/>
        <v/>
      </c>
      <c r="CJ380" t="str">
        <f t="shared" si="289"/>
        <v/>
      </c>
      <c r="CL380">
        <f>IF(IFERROR(SEARCH("Bard",$T380,1),0)&gt;0,1,0)*IF(BardMaxSpellLevel&gt;=$C380,1,0)*IF(IFERROR(MATCH(B380,Character_Creation!$C$341:$F$362,0),0)&gt;0,0,1)*IF(IFERROR(MATCH($B380,Character_Creation!$C$341:$C$362,0),0)&gt;0,0,1)</f>
        <v>0</v>
      </c>
      <c r="CM380">
        <f>IF(CL380=0,0,1+COUNTIF(CM$3:CM379,"&gt;0"))</f>
        <v>0</v>
      </c>
      <c r="CN380" t="str">
        <f t="shared" si="318"/>
        <v/>
      </c>
      <c r="CO380" t="str">
        <f t="shared" si="290"/>
        <v/>
      </c>
      <c r="CQ380">
        <f>IF(IFERROR(SEARCH("Wizard",$T380,1),0)&gt;0,1,0)*IF(WizardMaxSpellLevel&gt;=$C380,1,0)*IF(IFERROR(MATCH(B380,Character_Creation!$X$341:$X$400,0),0)&gt;0,0,1)*IF(SelectedWizardSpellLevel=$C380,1,0)</f>
        <v>0</v>
      </c>
      <c r="CR380">
        <f>IF(CQ380=0,0,1+COUNTIF(CR$3:CR379,"&gt;0"))</f>
        <v>0</v>
      </c>
      <c r="CS380" t="str">
        <f t="shared" si="319"/>
        <v/>
      </c>
      <c r="CT380" t="str">
        <f t="shared" si="291"/>
        <v/>
      </c>
      <c r="CV380">
        <f>IF(IFERROR(MATCH($B380,Character_Creation!$C$341:$C$362,0),0)&gt;0,0,1)*IF(OR(C380="Cantrip",C380&lt;=BardMaxSpellLevel),1,0)*IF(IFERROR(MATCH($B380,Character_Creation!$C$367:$C$374,0),0)&gt;0,0,1)</f>
        <v>1</v>
      </c>
      <c r="CW380">
        <f>IF(CV380=0,0,1+COUNTIF(CW$3:CW379,"&gt;0"))</f>
        <v>30</v>
      </c>
      <c r="CX380" t="str">
        <f t="shared" si="320"/>
        <v/>
      </c>
      <c r="CY380" t="str">
        <f t="shared" si="292"/>
        <v/>
      </c>
      <c r="DA380">
        <f>IF(IF(OR(IFERROR(SEARCH("Cleric",$T380,1),0)&gt;0,IFERROR(SEARCH(DivineDomain&amp;",",$T380,1),0)&gt;0),1,0)*IF($C380=DA$2,1,0)=1,1+COUNTIF(DA$3:DA379,"&gt;0"),0)</f>
        <v>0</v>
      </c>
      <c r="DB380">
        <f>IF(IF(OR(IFERROR(SEARCH("Cleric",$T380,1),0)&gt;0,IFERROR(SEARCH(DivineDomain&amp;",",$T380,1),0)&gt;0),1,0)*IF($C380=DB$2,1,0)=1,1+COUNTIF(DB$3:DB379,"&gt;0"),0)</f>
        <v>0</v>
      </c>
      <c r="DC380">
        <f>IF(IF(OR(IFERROR(SEARCH("Cleric",$T380,1),0)&gt;0,IFERROR(SEARCH(DivineDomain&amp;",",$T380,1),0)&gt;0),1,0)*IF($C380=DC$2,1,0)=1,1+COUNTIF(DC$3:DC379,"&gt;0"),0)</f>
        <v>0</v>
      </c>
      <c r="DD380">
        <f>IF(IF(OR(IFERROR(SEARCH("Cleric",$T380,1),0)&gt;0,IFERROR(SEARCH(DivineDomain&amp;",",$T380,1),0)&gt;0),1,0)*IF($C380=DD$2,1,0)=1,1+COUNTIF(DD$3:DD379,"&gt;0"),0)</f>
        <v>0</v>
      </c>
      <c r="DE380">
        <f>IF(IF(OR(IFERROR(SEARCH("Cleric",$T380,1),0)&gt;0,IFERROR(SEARCH(DivineDomain&amp;",",$T380,1),0)&gt;0),1,0)*IF($C380=DE$2,1,0)=1,1+COUNTIF(DE$3:DE379,"&gt;0"),0)</f>
        <v>0</v>
      </c>
      <c r="DF380">
        <f>IF(IF(OR(IFERROR(SEARCH("Cleric",$T380,1),0)&gt;0,IFERROR(SEARCH(DivineDomain&amp;",",$T380,1),0)&gt;0),1,0)*IF($C380=DF$2,1,0)=1,1+COUNTIF(DF$3:DF379,"&gt;0"),0)</f>
        <v>0</v>
      </c>
      <c r="DG380">
        <f>IF(IF(OR(IFERROR(SEARCH("Cleric",$T380,1),0)&gt;0,IFERROR(SEARCH(DivineDomain&amp;",",$T380,1),0)&gt;0),1,0)*IF($C380=DG$2,1,0)=1,1+COUNTIF(DG$3:DG379,"&gt;0"),0)</f>
        <v>0</v>
      </c>
      <c r="DH380">
        <f>IF(IF(OR(IFERROR(SEARCH("Cleric",$T380,1),0)&gt;0,IFERROR(SEARCH(DivineDomain&amp;",",$T380,1),0)&gt;0),1,0)*IF($C380=DH$2,1,0)=1,1+COUNTIF(DH$3:DH379,"&gt;0"),0)</f>
        <v>0</v>
      </c>
      <c r="DI380">
        <f>IF(IF(OR(IFERROR(SEARCH("Cleric",$T380,1),0)&gt;0,IFERROR(SEARCH(DivineDomain&amp;",",$T380,1),0)&gt;0),1,0)*IF($C380=DI$2,1,0)=1,1+COUNTIF(DI$3:DI379,"&gt;0"),0)</f>
        <v>0</v>
      </c>
      <c r="DJ380">
        <f>IF(IF(OR(IFERROR(SEARCH("Druid",$T380,1),0)&gt;0,IFERROR(SEARCH(DruidLand1,$T380,1),0)&gt;0,IFERROR(SEARCH(DruidLand2,$T380,1),0)&gt;0,IFERROR(SEARCH(DruidLand3,$T380,1),0)&gt;0,IFERROR(SEARCH(DruidLand4,$T380,1),0)&gt;0),1,0)*IF($C380=1,1,0)*IF($C380=DJ$2,1,0)=0,0,1+COUNTIF(DJ$3:DJ379,"&gt;0"))</f>
        <v>0</v>
      </c>
      <c r="DK380">
        <f>IF(IF(OR(IFERROR(SEARCH("Druid",$T380,1),0)&gt;0,IFERROR(SEARCH(DruidLand1,$T380,1),0)&gt;0,IFERROR(SEARCH(DruidLand2,$T380,1),0)&gt;0,IFERROR(SEARCH(DruidLand3,$T380,1),0)&gt;0,IFERROR(SEARCH(DruidLand4,$T380,1),0)&gt;0),1,0)*IF($C380=DK$2,1,0)=0,0,1+COUNTIF(DK$3:DK379,"&gt;0"))</f>
        <v>0</v>
      </c>
      <c r="DL380">
        <f>IF(IF(OR(IFERROR(SEARCH("Druid",$T380,1),0)&gt;0,IFERROR(SEARCH(DruidLand1,$T380,1),0)&gt;0,IFERROR(SEARCH(DruidLand2,$T380,1),0)&gt;0,IFERROR(SEARCH(DruidLand3,$T380,1),0)&gt;0,IFERROR(SEARCH(DruidLand4,$T380,1),0)&gt;0),1,0)*IF($C380=DL$2,1,0)=0,0,1+COUNTIF(DL$3:DL379,"&gt;0"))</f>
        <v>0</v>
      </c>
      <c r="DM380">
        <f>IF(IF(OR(IFERROR(SEARCH("Druid",$T380,1),0)&gt;0,IFERROR(SEARCH(DruidLand1,$T380,1),0)&gt;0,IFERROR(SEARCH(DruidLand2,$T380,1),0)&gt;0,IFERROR(SEARCH(DruidLand3,$T380,1),0)&gt;0,IFERROR(SEARCH(DruidLand4,$T380,1),0)&gt;0),1,0)*IF($C380=DM$2,1,0)=0,0,1+COUNTIF(DM$3:DM379,"&gt;0"))</f>
        <v>0</v>
      </c>
      <c r="DN380">
        <f>IF(IF(OR(IFERROR(SEARCH("Druid",$T380,1),0)&gt;0,IFERROR(SEARCH(DruidLand1,$T380,1),0)&gt;0,IFERROR(SEARCH(DruidLand2,$T380,1),0)&gt;0,IFERROR(SEARCH(DruidLand3,$T380,1),0)&gt;0,IFERROR(SEARCH(DruidLand4,$T380,1),0)&gt;0),1,0)*IF($C380=DN$2,1,0)=0,0,1+COUNTIF(DN$3:DN379,"&gt;0"))</f>
        <v>0</v>
      </c>
      <c r="DO380">
        <f>IF(IF(OR(IFERROR(SEARCH("Druid",$T380,1),0)&gt;0,IFERROR(SEARCH(DruidLand1,$T380,1),0)&gt;0,IFERROR(SEARCH(DruidLand2,$T380,1),0)&gt;0,IFERROR(SEARCH(DruidLand3,$T380,1),0)&gt;0,IFERROR(SEARCH(DruidLand4,$T380,1),0)&gt;0),1,0)*IF($C380=DO$2,1,0)=0,0,1+COUNTIF(DO$3:DO379,"&gt;0"))</f>
        <v>0</v>
      </c>
      <c r="DP380">
        <f>IF(IF(OR(IFERROR(SEARCH("Druid",$T380,1),0)&gt;0,IFERROR(SEARCH(DruidLand1,$T380,1),0)&gt;0,IFERROR(SEARCH(DruidLand2,$T380,1),0)&gt;0,IFERROR(SEARCH(DruidLand3,$T380,1),0)&gt;0,IFERROR(SEARCH(DruidLand4,$T380,1),0)&gt;0),1,0)*IF($C380=DP$2,1,0)=0,0,1+COUNTIF(DP$3:DP379,"&gt;0"))</f>
        <v>0</v>
      </c>
      <c r="DQ380">
        <f>IF(IF(OR(IFERROR(SEARCH("Druid",$T380,1),0)&gt;0,IFERROR(SEARCH(DruidLand1,$T380,1),0)&gt;0,IFERROR(SEARCH(DruidLand2,$T380,1),0)&gt;0,IFERROR(SEARCH(DruidLand3,$T380,1),0)&gt;0,IFERROR(SEARCH(DruidLand4,$T380,1),0)&gt;0),1,0)*IF($C380=DQ$2,1,0)=0,0,1+COUNTIF(DQ$3:DQ379,"&gt;0"))</f>
        <v>0</v>
      </c>
      <c r="DR380">
        <f>IF(IF(OR(IFERROR(SEARCH("Druid",$T380,1),0)&gt;0,IFERROR(SEARCH(DruidLand1,$T380,1),0)&gt;0,IFERROR(SEARCH(DruidLand2,$T380,1),0)&gt;0,IFERROR(SEARCH(DruidLand3,$T380,1),0)&gt;0,IFERROR(SEARCH(DruidLand4,$T380,1),0)&gt;0),1,0)*IF($C380=DR$2,1,0)=0,0,1+COUNTIF(DR$3:DR379,"&gt;0"))</f>
        <v>0</v>
      </c>
      <c r="DS380">
        <f>IF(IF(OR(IFERROR(SEARCH("Paladin",$T380,1),0)&gt;0,IFERROR(SEARCH(PaladinOath,$T380,1),0)&gt;0),1,0)*IF($C380=DS$2,1,0)=1,1+COUNTIF(DS$3:DS379,"&gt;0"),0)</f>
        <v>0</v>
      </c>
      <c r="DT380">
        <f>IF(IF(OR(IFERROR(SEARCH("Paladin",$T380,1),0)&gt;0,IFERROR(SEARCH(PaladinOath,$T380,1),0)&gt;0),1,0)*IF($C380=DT$2,1,0)=1,1+COUNTIF(DT$3:DT379,"&gt;0"),0)</f>
        <v>0</v>
      </c>
      <c r="DU380">
        <f>IF(IF(OR(IFERROR(SEARCH("Paladin",$T380,1),0)&gt;0,IFERROR(SEARCH(PaladinOath,$T380,1),0)&gt;0),1,0)*IF($C380=DU$2,1,0)=1,1+COUNTIF(DU$3:DU379,"&gt;0"),0)</f>
        <v>0</v>
      </c>
      <c r="DV380">
        <f>IF(IF(OR(IFERROR(SEARCH("Paladin",$T380,1),0)&gt;0,IFERROR(SEARCH(PaladinOath,$T380,1),0)&gt;0),1,0)*IF($C380=DV$2,1,0)=1,1+COUNTIF(DV$3:DV379,"&gt;0"),0)</f>
        <v>0</v>
      </c>
      <c r="DW380">
        <f>IF(IF(OR(IFERROR(SEARCH("Paladin",$T380,1),0)&gt;0,IFERROR(SEARCH(PaladinOath,$T380,1),0)&gt;0),1,0)*IF($C380=DW$2,1,0)=1,1+COUNTIF(DW$3:DW379,"&gt;0"),0)</f>
        <v>0</v>
      </c>
      <c r="DY380">
        <f t="shared" si="278"/>
        <v>1</v>
      </c>
      <c r="DZ380">
        <f>IF(DY380=0,0,1+MAX(DZ$3:$DZ379))</f>
        <v>378</v>
      </c>
      <c r="EB380">
        <f t="shared" si="293"/>
        <v>0</v>
      </c>
      <c r="EC380">
        <f>IF(EB380=0,0,1+COUNTIF(EC$3:EC379,"&gt;0"))</f>
        <v>0</v>
      </c>
      <c r="ED380" t="str">
        <f t="shared" si="321"/>
        <v/>
      </c>
      <c r="EE380" t="str">
        <f t="shared" si="294"/>
        <v/>
      </c>
      <c r="EG380">
        <f t="shared" si="295"/>
        <v>0</v>
      </c>
      <c r="EH380">
        <f>IF(EG380=0,0,1+COUNTIF(EH$3:EH379,"&gt;0"))</f>
        <v>0</v>
      </c>
      <c r="EI380" t="str">
        <f t="shared" si="322"/>
        <v/>
      </c>
      <c r="EJ380" t="str">
        <f t="shared" si="296"/>
        <v/>
      </c>
      <c r="EL380">
        <f t="shared" si="297"/>
        <v>1</v>
      </c>
      <c r="EM380">
        <f>IF(EL380=0,0,1+COUNTIF(EM$3:EM379,"&gt;0"))</f>
        <v>11</v>
      </c>
      <c r="EN380" t="str">
        <f t="shared" si="323"/>
        <v/>
      </c>
      <c r="EO380" t="str">
        <f t="shared" si="298"/>
        <v/>
      </c>
      <c r="EQ380">
        <f t="shared" si="299"/>
        <v>1</v>
      </c>
      <c r="ER380">
        <f>IF(EQ380=0,0,1+COUNTIF(ER$3:ER379,"&gt;0"))</f>
        <v>9</v>
      </c>
      <c r="ES380" t="str">
        <f t="shared" si="324"/>
        <v/>
      </c>
      <c r="ET380" t="str">
        <f t="shared" si="300"/>
        <v/>
      </c>
      <c r="EV380">
        <f t="shared" si="301"/>
        <v>0</v>
      </c>
      <c r="EW380">
        <f>IF(EV380=0,0,1+COUNTIF(EW$3:EW379,"&gt;0"))</f>
        <v>0</v>
      </c>
      <c r="EX380" t="str">
        <f t="shared" si="325"/>
        <v/>
      </c>
      <c r="EY380" t="str">
        <f t="shared" si="302"/>
        <v/>
      </c>
      <c r="FA380">
        <f t="shared" si="303"/>
        <v>1</v>
      </c>
      <c r="FB380">
        <f>IF(FA380=0,0,1+COUNTIF(FB$3:FB379,"&gt;0"))</f>
        <v>19</v>
      </c>
      <c r="FC380" t="str">
        <f t="shared" si="326"/>
        <v/>
      </c>
      <c r="FD380" t="str">
        <f t="shared" si="304"/>
        <v/>
      </c>
      <c r="FF380">
        <f t="shared" si="305"/>
        <v>1</v>
      </c>
      <c r="FG380">
        <f>IF(FF380=0,0,1+COUNTIF(FG$3:FG379,"&gt;0"))</f>
        <v>10</v>
      </c>
      <c r="FH380" t="str">
        <f t="shared" si="327"/>
        <v/>
      </c>
      <c r="FI380" t="str">
        <f t="shared" si="306"/>
        <v/>
      </c>
      <c r="FK380">
        <f t="shared" si="307"/>
        <v>1</v>
      </c>
      <c r="FL380">
        <f>IF(FK380=0,0,1+COUNTIF(FL$3:FL379,"&gt;0"))</f>
        <v>19</v>
      </c>
      <c r="FM380" t="str">
        <f t="shared" si="328"/>
        <v/>
      </c>
      <c r="FN380" t="str">
        <f t="shared" si="308"/>
        <v/>
      </c>
      <c r="FP380">
        <f t="shared" si="309"/>
        <v>0</v>
      </c>
      <c r="FQ380">
        <f>IF(FP380=0,0,1+COUNTIF(FQ$3:FQ379,"&gt;0"))</f>
        <v>0</v>
      </c>
      <c r="FR380" t="str">
        <f t="shared" si="329"/>
        <v/>
      </c>
      <c r="FS380" t="str">
        <f t="shared" si="310"/>
        <v/>
      </c>
    </row>
    <row r="381" spans="1:175" x14ac:dyDescent="0.25">
      <c r="A381" s="347">
        <f t="shared" si="331"/>
        <v>379</v>
      </c>
      <c r="B381" s="398" t="s">
        <v>5544</v>
      </c>
      <c r="C381" s="348" t="s">
        <v>5277</v>
      </c>
      <c r="D381" s="347">
        <v>0.5</v>
      </c>
      <c r="E381" s="627" t="s">
        <v>6957</v>
      </c>
      <c r="F381" s="346"/>
      <c r="G381" s="347" t="str">
        <f>""</f>
        <v/>
      </c>
      <c r="H381" s="347" t="s">
        <v>5912</v>
      </c>
      <c r="I381" s="347" t="s">
        <v>5060</v>
      </c>
      <c r="J381" s="347" t="str">
        <f t="shared" si="279"/>
        <v/>
      </c>
      <c r="K381" s="347" t="s">
        <v>5278</v>
      </c>
      <c r="L381" s="611" t="str">
        <f t="shared" si="280"/>
        <v>V, S</v>
      </c>
      <c r="M381" s="347" t="s">
        <v>2373</v>
      </c>
      <c r="N381" s="347" t="s">
        <v>2387</v>
      </c>
      <c r="O381" s="347" t="s">
        <v>3034</v>
      </c>
      <c r="P381" s="346" t="str">
        <f>""</f>
        <v/>
      </c>
      <c r="Q381" s="347" t="s">
        <v>5276</v>
      </c>
      <c r="S381" s="346" t="s">
        <v>5883</v>
      </c>
      <c r="T381" s="346" t="str">
        <f t="shared" si="281"/>
        <v xml:space="preserve">Sorcerer, Druid, Wizard, </v>
      </c>
      <c r="X381" s="347" t="str">
        <f t="shared" si="336"/>
        <v>Gust</v>
      </c>
      <c r="AA381" s="347" t="str">
        <f t="shared" si="335"/>
        <v>Gust</v>
      </c>
      <c r="AD381" s="347" t="str">
        <f t="shared" si="334"/>
        <v>Gust</v>
      </c>
      <c r="AE381" t="str">
        <f>IF(IFERROR(MATCH($B381,temp!A$4:A$13,0),0)&gt;0,T08_Spells!AE$2,"")</f>
        <v/>
      </c>
      <c r="AF381" t="str">
        <f>IF(IFERROR(MATCH($B381,temp!B$4:B$13,0),0)&gt;0,T08_Spells!AF$2,"")</f>
        <v/>
      </c>
      <c r="AG381" t="str">
        <f>IF(IFERROR(MATCH($B381,temp!C$4:C$13,0),0)&gt;0,T08_Spells!AG$2,"")</f>
        <v/>
      </c>
      <c r="AH381" t="str">
        <f>IF(IFERROR(MATCH($B381,temp!D$4:D$13,0),0)&gt;0,T08_Spells!AH$2,"")</f>
        <v/>
      </c>
      <c r="AI381" t="str">
        <f>IF(IFERROR(MATCH($B381,temp!E$4:E$13,0),0)&gt;0,T08_Spells!AI$2,"")</f>
        <v/>
      </c>
      <c r="AJ381" t="str">
        <f>IF(IFERROR(MATCH($B381,temp!F$4:F$13,0),0)&gt;0,T08_Spells!AJ$2,"")</f>
        <v/>
      </c>
      <c r="AK381" t="str">
        <f>IF(IFERROR(MATCH($B381,temp!G$4:G$13,0),0)&gt;0,T08_Spells!AK$2,"")</f>
        <v/>
      </c>
      <c r="AL381" t="str">
        <f>IF(IFERROR(MATCH($B381,temp!H$4:H$13,0),0)&gt;0,T08_Spells!AL$2,"")</f>
        <v/>
      </c>
      <c r="AM381" t="str">
        <f>IF(IFERROR(MATCH($B381,temp!I$4:I$13,0),0)&gt;0,T08_Spells!AM$2,"")</f>
        <v/>
      </c>
      <c r="AN381" t="str">
        <f>IF(IFERROR(MATCH($B381,temp!J$4:J$13,0),0)&gt;0,T08_Spells!AN$2,"")</f>
        <v/>
      </c>
      <c r="AO381" t="str">
        <f>IF(IFERROR(MATCH($B381,temp!K$4:K$13,0),0)&gt;0,T08_Spells!AO$2,"")</f>
        <v/>
      </c>
      <c r="AP381" t="str">
        <f>IF(IFERROR(MATCH($B381,temp!L$4:L$13,0),0)&gt;0,T08_Spells!AP$2,"")</f>
        <v/>
      </c>
      <c r="AQ381" t="str">
        <f>IF(IFERROR(MATCH($B381,temp!M$4:M$13,0),0)&gt;0,T08_Spells!AQ$2,"")</f>
        <v/>
      </c>
      <c r="AR381" t="str">
        <f>IF(IFERROR(MATCH($B381,temp!N$4:N$13,0),0)&gt;0,T08_Spells!AR$2,"")</f>
        <v/>
      </c>
      <c r="AS381" t="str">
        <f>IF(IFERROR(MATCH($B381,temp!O$4:O$13,0),0)&gt;0,T08_Spells!AS$2,"")</f>
        <v/>
      </c>
      <c r="AT381" t="str">
        <f>IF(IFERROR(MATCH($B381,temp!P$4:P$13,0),0)&gt;0,T08_Spells!AT$2,"")</f>
        <v/>
      </c>
      <c r="AU381" t="str">
        <f>IF(IFERROR(MATCH($B381,temp!Q$4:Q$13,0),0)&gt;0,T08_Spells!AU$2,"")</f>
        <v/>
      </c>
      <c r="AV381" t="str">
        <f>IF(IFERROR(MATCH($B381,temp!R$4:R$13,0),0)&gt;0,T08_Spells!AV$2,"")</f>
        <v/>
      </c>
      <c r="AW381" t="str">
        <f>IF(IFERROR(MATCH($B381,temp!S$4:S$13,0),0)&gt;0,T08_Spells!AW$2,"")</f>
        <v/>
      </c>
      <c r="AX381" t="str">
        <f>IF(IFERROR(MATCH($B381,temp!T$4:T$13,0),0)&gt;0,T08_Spells!AX$2,"")</f>
        <v/>
      </c>
      <c r="AY381" t="str">
        <f>IF(IFERROR(MATCH($B381,temp!U$4:U$13,0),0)&gt;0,T08_Spells!AY$2,"")</f>
        <v/>
      </c>
      <c r="AZ381" t="str">
        <f>IF(IFERROR(MATCH($B381,temp!V$4:V$13,0),0)&gt;0,T08_Spells!AZ$2,"")</f>
        <v/>
      </c>
      <c r="BA381" t="str">
        <f>IF(IFERROR(MATCH($B381,temp!W$4:W$13,0),0)&gt;0,T08_Spells!BA$2,"")</f>
        <v/>
      </c>
      <c r="BC381">
        <f>IF(IFERROR(SEARCH("Ranger",$T381,1),0)&gt;0,1,0)*IF(RangerMaxSpellLevel&gt;=$C381,1,0)*IF(IFERROR(MATCH(B381,Character_Creation!$X$79:$X$382,0),0)&gt;0,0,1)</f>
        <v>0</v>
      </c>
      <c r="BD381">
        <f>IF(BC381=0,0,1+COUNTIF(BD$3:BD380,"&gt;0"))</f>
        <v>0</v>
      </c>
      <c r="BE381" t="str">
        <f t="shared" si="311"/>
        <v/>
      </c>
      <c r="BF381" t="str">
        <f t="shared" si="283"/>
        <v/>
      </c>
      <c r="BH381">
        <f>IF(IFERROR(SEARCH("Sorcerer",$T381,1),0)&gt;0,1,0)*IF(SorcererMaxSpellLevel&gt;=$C381,1,0)*IF(IFERROR(MATCH(B381,Character_Creation!$J$380:$J$394,0),0)&gt;0,0,1)</f>
        <v>0</v>
      </c>
      <c r="BI381">
        <f>IF(BH381=0,0,1+COUNTIF(BI$3:BI380,"&gt;0"))</f>
        <v>0</v>
      </c>
      <c r="BJ381" t="str">
        <f t="shared" si="312"/>
        <v/>
      </c>
      <c r="BK381" t="str">
        <f t="shared" si="284"/>
        <v/>
      </c>
      <c r="BM381">
        <f>IF(OR(IFERROR(SEARCH("Warlock",$T381,1),0)&gt;0,IFERROR(SEARCH(WarlockPatron,$T381,1),0)&gt;0),1,0)*IF(WarlockMaxSpellLevel&gt;=$C381,1,0)*IF(IFERROR(MATCH(B381,Character_Creation!$J$361:$J$375,0),0)&gt;0,0,1)</f>
        <v>0</v>
      </c>
      <c r="BN381">
        <f>IF(BM381=0,0,1+COUNTIF(BN$3:BN380,"&gt;0"))</f>
        <v>0</v>
      </c>
      <c r="BO381" t="str">
        <f t="shared" si="313"/>
        <v/>
      </c>
      <c r="BP381" t="str">
        <f t="shared" si="285"/>
        <v/>
      </c>
      <c r="BR381">
        <f>IF(IFERROR(SEARCH("Eldritch Knight",$T381,1),0)&gt;0,1,0)*IF(EldritchKnightMaxSpellLevel&gt;=$C381,1,0)*IF(IFERROR(MATCH($B381,Character_Creation!$J$350:$J$356,0),0)&gt;0,0,1)*IF(Character_Creation!$M$338&gt;0,1,0)</f>
        <v>0</v>
      </c>
      <c r="BS381">
        <f>IF(BR381=0,0,1+COUNTIF(BS$3:BS380,"&gt;0"))</f>
        <v>0</v>
      </c>
      <c r="BT381" t="str">
        <f t="shared" si="314"/>
        <v/>
      </c>
      <c r="BU381" t="str">
        <f t="shared" si="286"/>
        <v/>
      </c>
      <c r="BW381">
        <f>IF(IFERROR(SEARCH("Arcane Trickster",$T381,1),0)&gt;0,1,0)*IF(ArcaneTricksterMaxSpellLevel&gt;=$C381,1,0)*IF(IFERROR(MATCH($B381,Character_Creation!$J$350:$J$356,0),0)&gt;0,0,1)*IF(Character_Creation!$T$338&gt;0,1,0)</f>
        <v>0</v>
      </c>
      <c r="BX381">
        <f>IF(BW381=0,0,1+COUNTIF(BX$3:BX380,"&gt;0"))</f>
        <v>0</v>
      </c>
      <c r="BY381" t="str">
        <f t="shared" si="315"/>
        <v/>
      </c>
      <c r="BZ381" t="str">
        <f t="shared" si="287"/>
        <v/>
      </c>
      <c r="CB381">
        <f>IF(IFERROR(SEARCH("Wizard",$T381,1),0)&gt;0,1,0)*IF(C381&lt;=ArcaneTricksterMaxSpellLevel,1,0)*IF(IFERROR(MATCH($B381,Character_Creation!$J$350:$J$356,0),0)&gt;0,0,1)*IF(Character_Creation!$T$350&gt;0,1,0)</f>
        <v>0</v>
      </c>
      <c r="CC381">
        <f>IF(CB381=0,0,1+COUNTIF(CC$3:CC380,"&gt;0"))</f>
        <v>0</v>
      </c>
      <c r="CD381" t="str">
        <f t="shared" si="316"/>
        <v/>
      </c>
      <c r="CE381" t="str">
        <f t="shared" si="288"/>
        <v/>
      </c>
      <c r="CG381">
        <f>IF(IFERROR(SEARCH("Wizard",$T381,1),0)&gt;0,1,0)*IF($C381&lt;=EldritchKnightMaxSpellLevel,1,0)*IF(IFERROR(MATCH($B381,Character_Creation!$J$350:$J$356,0),0)&gt;0,0,1)*IF(Character_Creation!$M$350&gt;0,1,0)</f>
        <v>0</v>
      </c>
      <c r="CH381">
        <f>IF(CG381=0,0,1+COUNTIF(CH$3:CH380,"&gt;0"))</f>
        <v>0</v>
      </c>
      <c r="CI381" t="str">
        <f t="shared" si="317"/>
        <v/>
      </c>
      <c r="CJ381" t="str">
        <f t="shared" si="289"/>
        <v/>
      </c>
      <c r="CL381">
        <f>IF(IFERROR(SEARCH("Bard",$T381,1),0)&gt;0,1,0)*IF(BardMaxSpellLevel&gt;=$C381,1,0)*IF(IFERROR(MATCH(B381,Character_Creation!$C$341:$F$362,0),0)&gt;0,0,1)*IF(IFERROR(MATCH($B381,Character_Creation!$C$341:$C$362,0),0)&gt;0,0,1)</f>
        <v>0</v>
      </c>
      <c r="CM381">
        <f>IF(CL381=0,0,1+COUNTIF(CM$3:CM380,"&gt;0"))</f>
        <v>0</v>
      </c>
      <c r="CN381" t="str">
        <f t="shared" si="318"/>
        <v/>
      </c>
      <c r="CO381" t="str">
        <f t="shared" si="290"/>
        <v/>
      </c>
      <c r="CQ381">
        <f>IF(IFERROR(SEARCH("Wizard",$T381,1),0)&gt;0,1,0)*IF(WizardMaxSpellLevel&gt;=$C381,1,0)*IF(IFERROR(MATCH(B381,Character_Creation!$X$341:$X$400,0),0)&gt;0,0,1)*IF(SelectedWizardSpellLevel=$C381,1,0)</f>
        <v>0</v>
      </c>
      <c r="CR381">
        <f>IF(CQ381=0,0,1+COUNTIF(CR$3:CR380,"&gt;0"))</f>
        <v>0</v>
      </c>
      <c r="CS381" t="str">
        <f t="shared" si="319"/>
        <v/>
      </c>
      <c r="CT381" t="str">
        <f t="shared" si="291"/>
        <v/>
      </c>
      <c r="CV381">
        <f>IF(IFERROR(MATCH($B381,Character_Creation!$C$341:$C$362,0),0)&gt;0,0,1)*IF(OR(C381="Cantrip",C381&lt;=BardMaxSpellLevel),1,0)*IF(IFERROR(MATCH($B381,Character_Creation!$C$367:$C$374,0),0)&gt;0,0,1)</f>
        <v>1</v>
      </c>
      <c r="CW381">
        <f>IF(CV381=0,0,1+COUNTIF(CW$3:CW380,"&gt;0"))</f>
        <v>31</v>
      </c>
      <c r="CX381" t="str">
        <f t="shared" si="320"/>
        <v/>
      </c>
      <c r="CY381" t="str">
        <f t="shared" si="292"/>
        <v/>
      </c>
      <c r="DA381">
        <f>IF(IF(OR(IFERROR(SEARCH("Cleric",$T381,1),0)&gt;0,IFERROR(SEARCH(DivineDomain&amp;",",$T381,1),0)&gt;0),1,0)*IF($C381=DA$2,1,0)=1,1+COUNTIF(DA$3:DA380,"&gt;0"),0)</f>
        <v>0</v>
      </c>
      <c r="DB381">
        <f>IF(IF(OR(IFERROR(SEARCH("Cleric",$T381,1),0)&gt;0,IFERROR(SEARCH(DivineDomain&amp;",",$T381,1),0)&gt;0),1,0)*IF($C381=DB$2,1,0)=1,1+COUNTIF(DB$3:DB380,"&gt;0"),0)</f>
        <v>0</v>
      </c>
      <c r="DC381">
        <f>IF(IF(OR(IFERROR(SEARCH("Cleric",$T381,1),0)&gt;0,IFERROR(SEARCH(DivineDomain&amp;",",$T381,1),0)&gt;0),1,0)*IF($C381=DC$2,1,0)=1,1+COUNTIF(DC$3:DC380,"&gt;0"),0)</f>
        <v>0</v>
      </c>
      <c r="DD381">
        <f>IF(IF(OR(IFERROR(SEARCH("Cleric",$T381,1),0)&gt;0,IFERROR(SEARCH(DivineDomain&amp;",",$T381,1),0)&gt;0),1,0)*IF($C381=DD$2,1,0)=1,1+COUNTIF(DD$3:DD380,"&gt;0"),0)</f>
        <v>0</v>
      </c>
      <c r="DE381">
        <f>IF(IF(OR(IFERROR(SEARCH("Cleric",$T381,1),0)&gt;0,IFERROR(SEARCH(DivineDomain&amp;",",$T381,1),0)&gt;0),1,0)*IF($C381=DE$2,1,0)=1,1+COUNTIF(DE$3:DE380,"&gt;0"),0)</f>
        <v>0</v>
      </c>
      <c r="DF381">
        <f>IF(IF(OR(IFERROR(SEARCH("Cleric",$T381,1),0)&gt;0,IFERROR(SEARCH(DivineDomain&amp;",",$T381,1),0)&gt;0),1,0)*IF($C381=DF$2,1,0)=1,1+COUNTIF(DF$3:DF380,"&gt;0"),0)</f>
        <v>0</v>
      </c>
      <c r="DG381">
        <f>IF(IF(OR(IFERROR(SEARCH("Cleric",$T381,1),0)&gt;0,IFERROR(SEARCH(DivineDomain&amp;",",$T381,1),0)&gt;0),1,0)*IF($C381=DG$2,1,0)=1,1+COUNTIF(DG$3:DG380,"&gt;0"),0)</f>
        <v>0</v>
      </c>
      <c r="DH381">
        <f>IF(IF(OR(IFERROR(SEARCH("Cleric",$T381,1),0)&gt;0,IFERROR(SEARCH(DivineDomain&amp;",",$T381,1),0)&gt;0),1,0)*IF($C381=DH$2,1,0)=1,1+COUNTIF(DH$3:DH380,"&gt;0"),0)</f>
        <v>0</v>
      </c>
      <c r="DI381">
        <f>IF(IF(OR(IFERROR(SEARCH("Cleric",$T381,1),0)&gt;0,IFERROR(SEARCH(DivineDomain&amp;",",$T381,1),0)&gt;0),1,0)*IF($C381=DI$2,1,0)=1,1+COUNTIF(DI$3:DI380,"&gt;0"),0)</f>
        <v>0</v>
      </c>
      <c r="DJ381">
        <f>IF(IF(OR(IFERROR(SEARCH("Druid",$T381,1),0)&gt;0,IFERROR(SEARCH(DruidLand1,$T381,1),0)&gt;0,IFERROR(SEARCH(DruidLand2,$T381,1),0)&gt;0,IFERROR(SEARCH(DruidLand3,$T381,1),0)&gt;0,IFERROR(SEARCH(DruidLand4,$T381,1),0)&gt;0),1,0)*IF($C381=1,1,0)*IF($C381=DJ$2,1,0)=0,0,1+COUNTIF(DJ$3:DJ380,"&gt;0"))</f>
        <v>0</v>
      </c>
      <c r="DK381">
        <f>IF(IF(OR(IFERROR(SEARCH("Druid",$T381,1),0)&gt;0,IFERROR(SEARCH(DruidLand1,$T381,1),0)&gt;0,IFERROR(SEARCH(DruidLand2,$T381,1),0)&gt;0,IFERROR(SEARCH(DruidLand3,$T381,1),0)&gt;0,IFERROR(SEARCH(DruidLand4,$T381,1),0)&gt;0),1,0)*IF($C381=DK$2,1,0)=0,0,1+COUNTIF(DK$3:DK380,"&gt;0"))</f>
        <v>0</v>
      </c>
      <c r="DL381">
        <f>IF(IF(OR(IFERROR(SEARCH("Druid",$T381,1),0)&gt;0,IFERROR(SEARCH(DruidLand1,$T381,1),0)&gt;0,IFERROR(SEARCH(DruidLand2,$T381,1),0)&gt;0,IFERROR(SEARCH(DruidLand3,$T381,1),0)&gt;0,IFERROR(SEARCH(DruidLand4,$T381,1),0)&gt;0),1,0)*IF($C381=DL$2,1,0)=0,0,1+COUNTIF(DL$3:DL380,"&gt;0"))</f>
        <v>0</v>
      </c>
      <c r="DM381">
        <f>IF(IF(OR(IFERROR(SEARCH("Druid",$T381,1),0)&gt;0,IFERROR(SEARCH(DruidLand1,$T381,1),0)&gt;0,IFERROR(SEARCH(DruidLand2,$T381,1),0)&gt;0,IFERROR(SEARCH(DruidLand3,$T381,1),0)&gt;0,IFERROR(SEARCH(DruidLand4,$T381,1),0)&gt;0),1,0)*IF($C381=DM$2,1,0)=0,0,1+COUNTIF(DM$3:DM380,"&gt;0"))</f>
        <v>0</v>
      </c>
      <c r="DN381">
        <f>IF(IF(OR(IFERROR(SEARCH("Druid",$T381,1),0)&gt;0,IFERROR(SEARCH(DruidLand1,$T381,1),0)&gt;0,IFERROR(SEARCH(DruidLand2,$T381,1),0)&gt;0,IFERROR(SEARCH(DruidLand3,$T381,1),0)&gt;0,IFERROR(SEARCH(DruidLand4,$T381,1),0)&gt;0),1,0)*IF($C381=DN$2,1,0)=0,0,1+COUNTIF(DN$3:DN380,"&gt;0"))</f>
        <v>0</v>
      </c>
      <c r="DO381">
        <f>IF(IF(OR(IFERROR(SEARCH("Druid",$T381,1),0)&gt;0,IFERROR(SEARCH(DruidLand1,$T381,1),0)&gt;0,IFERROR(SEARCH(DruidLand2,$T381,1),0)&gt;0,IFERROR(SEARCH(DruidLand3,$T381,1),0)&gt;0,IFERROR(SEARCH(DruidLand4,$T381,1),0)&gt;0),1,0)*IF($C381=DO$2,1,0)=0,0,1+COUNTIF(DO$3:DO380,"&gt;0"))</f>
        <v>0</v>
      </c>
      <c r="DP381">
        <f>IF(IF(OR(IFERROR(SEARCH("Druid",$T381,1),0)&gt;0,IFERROR(SEARCH(DruidLand1,$T381,1),0)&gt;0,IFERROR(SEARCH(DruidLand2,$T381,1),0)&gt;0,IFERROR(SEARCH(DruidLand3,$T381,1),0)&gt;0,IFERROR(SEARCH(DruidLand4,$T381,1),0)&gt;0),1,0)*IF($C381=DP$2,1,0)=0,0,1+COUNTIF(DP$3:DP380,"&gt;0"))</f>
        <v>0</v>
      </c>
      <c r="DQ381">
        <f>IF(IF(OR(IFERROR(SEARCH("Druid",$T381,1),0)&gt;0,IFERROR(SEARCH(DruidLand1,$T381,1),0)&gt;0,IFERROR(SEARCH(DruidLand2,$T381,1),0)&gt;0,IFERROR(SEARCH(DruidLand3,$T381,1),0)&gt;0,IFERROR(SEARCH(DruidLand4,$T381,1),0)&gt;0),1,0)*IF($C381=DQ$2,1,0)=0,0,1+COUNTIF(DQ$3:DQ380,"&gt;0"))</f>
        <v>0</v>
      </c>
      <c r="DR381">
        <f>IF(IF(OR(IFERROR(SEARCH("Druid",$T381,1),0)&gt;0,IFERROR(SEARCH(DruidLand1,$T381,1),0)&gt;0,IFERROR(SEARCH(DruidLand2,$T381,1),0)&gt;0,IFERROR(SEARCH(DruidLand3,$T381,1),0)&gt;0,IFERROR(SEARCH(DruidLand4,$T381,1),0)&gt;0),1,0)*IF($C381=DR$2,1,0)=0,0,1+COUNTIF(DR$3:DR380,"&gt;0"))</f>
        <v>0</v>
      </c>
      <c r="DS381">
        <f>IF(IF(OR(IFERROR(SEARCH("Paladin",$T381,1),0)&gt;0,IFERROR(SEARCH(PaladinOath,$T381,1),0)&gt;0),1,0)*IF($C381=DS$2,1,0)=1,1+COUNTIF(DS$3:DS380,"&gt;0"),0)</f>
        <v>0</v>
      </c>
      <c r="DT381">
        <f>IF(IF(OR(IFERROR(SEARCH("Paladin",$T381,1),0)&gt;0,IFERROR(SEARCH(PaladinOath,$T381,1),0)&gt;0),1,0)*IF($C381=DT$2,1,0)=1,1+COUNTIF(DT$3:DT380,"&gt;0"),0)</f>
        <v>0</v>
      </c>
      <c r="DU381">
        <f>IF(IF(OR(IFERROR(SEARCH("Paladin",$T381,1),0)&gt;0,IFERROR(SEARCH(PaladinOath,$T381,1),0)&gt;0),1,0)*IF($C381=DU$2,1,0)=1,1+COUNTIF(DU$3:DU380,"&gt;0"),0)</f>
        <v>0</v>
      </c>
      <c r="DV381">
        <f>IF(IF(OR(IFERROR(SEARCH("Paladin",$T381,1),0)&gt;0,IFERROR(SEARCH(PaladinOath,$T381,1),0)&gt;0),1,0)*IF($C381=DV$2,1,0)=1,1+COUNTIF(DV$3:DV380,"&gt;0"),0)</f>
        <v>0</v>
      </c>
      <c r="DW381">
        <f>IF(IF(OR(IFERROR(SEARCH("Paladin",$T381,1),0)&gt;0,IFERROR(SEARCH(PaladinOath,$T381,1),0)&gt;0),1,0)*IF($C381=DW$2,1,0)=1,1+COUNTIF(DW$3:DW380,"&gt;0"),0)</f>
        <v>0</v>
      </c>
      <c r="DY381">
        <f t="shared" si="278"/>
        <v>1</v>
      </c>
      <c r="DZ381">
        <f>IF(DY381=0,0,1+MAX(DZ$3:$DZ380))</f>
        <v>379</v>
      </c>
      <c r="EB381">
        <f t="shared" si="293"/>
        <v>0</v>
      </c>
      <c r="EC381">
        <f>IF(EB381=0,0,1+COUNTIF(EC$3:EC380,"&gt;0"))</f>
        <v>0</v>
      </c>
      <c r="ED381" t="str">
        <f t="shared" si="321"/>
        <v/>
      </c>
      <c r="EE381" t="str">
        <f t="shared" si="294"/>
        <v/>
      </c>
      <c r="EG381">
        <f t="shared" si="295"/>
        <v>0</v>
      </c>
      <c r="EH381">
        <f>IF(EG381=0,0,1+COUNTIF(EH$3:EH380,"&gt;0"))</f>
        <v>0</v>
      </c>
      <c r="EI381" t="str">
        <f t="shared" si="322"/>
        <v/>
      </c>
      <c r="EJ381" t="str">
        <f t="shared" si="296"/>
        <v/>
      </c>
      <c r="EL381">
        <f t="shared" si="297"/>
        <v>1</v>
      </c>
      <c r="EM381">
        <f>IF(EL381=0,0,1+COUNTIF(EM$3:EM380,"&gt;0"))</f>
        <v>12</v>
      </c>
      <c r="EN381" t="str">
        <f t="shared" si="323"/>
        <v/>
      </c>
      <c r="EO381" t="str">
        <f t="shared" si="298"/>
        <v/>
      </c>
      <c r="EQ381">
        <f t="shared" si="299"/>
        <v>0</v>
      </c>
      <c r="ER381">
        <f>IF(EQ381=0,0,1+COUNTIF(ER$3:ER380,"&gt;0"))</f>
        <v>0</v>
      </c>
      <c r="ES381" t="str">
        <f t="shared" si="324"/>
        <v/>
      </c>
      <c r="ET381" t="str">
        <f t="shared" si="300"/>
        <v/>
      </c>
      <c r="EV381">
        <f t="shared" si="301"/>
        <v>0</v>
      </c>
      <c r="EW381">
        <f>IF(EV381=0,0,1+COUNTIF(EW$3:EW380,"&gt;0"))</f>
        <v>0</v>
      </c>
      <c r="EX381" t="str">
        <f t="shared" si="325"/>
        <v/>
      </c>
      <c r="EY381" t="str">
        <f t="shared" si="302"/>
        <v/>
      </c>
      <c r="FA381">
        <f t="shared" si="303"/>
        <v>1</v>
      </c>
      <c r="FB381">
        <f>IF(FA381=0,0,1+COUNTIF(FB$3:FB380,"&gt;0"))</f>
        <v>20</v>
      </c>
      <c r="FC381" t="str">
        <f t="shared" si="326"/>
        <v/>
      </c>
      <c r="FD381" t="str">
        <f t="shared" si="304"/>
        <v/>
      </c>
      <c r="FF381">
        <f t="shared" si="305"/>
        <v>0</v>
      </c>
      <c r="FG381">
        <f>IF(FF381=0,0,1+COUNTIF(FG$3:FG380,"&gt;0"))</f>
        <v>0</v>
      </c>
      <c r="FH381" t="str">
        <f t="shared" si="327"/>
        <v/>
      </c>
      <c r="FI381" t="str">
        <f t="shared" si="306"/>
        <v/>
      </c>
      <c r="FK381">
        <f t="shared" si="307"/>
        <v>1</v>
      </c>
      <c r="FL381">
        <f>IF(FK381=0,0,1+COUNTIF(FL$3:FL380,"&gt;0"))</f>
        <v>20</v>
      </c>
      <c r="FM381" t="str">
        <f t="shared" si="328"/>
        <v/>
      </c>
      <c r="FN381" t="str">
        <f t="shared" si="308"/>
        <v/>
      </c>
      <c r="FP381">
        <f t="shared" si="309"/>
        <v>0</v>
      </c>
      <c r="FQ381">
        <f>IF(FP381=0,0,1+COUNTIF(FQ$3:FQ380,"&gt;0"))</f>
        <v>0</v>
      </c>
      <c r="FR381" t="str">
        <f t="shared" si="329"/>
        <v/>
      </c>
      <c r="FS381" t="str">
        <f t="shared" si="310"/>
        <v/>
      </c>
    </row>
    <row r="382" spans="1:175" x14ac:dyDescent="0.25">
      <c r="A382" s="347">
        <f t="shared" si="331"/>
        <v>380</v>
      </c>
      <c r="B382" s="398" t="s">
        <v>5545</v>
      </c>
      <c r="C382" s="348">
        <v>1</v>
      </c>
      <c r="D382" s="347">
        <v>1</v>
      </c>
      <c r="E382" s="627" t="s">
        <v>6957</v>
      </c>
      <c r="F382" s="346"/>
      <c r="G382" s="347" t="str">
        <f>""</f>
        <v/>
      </c>
      <c r="H382" s="347" t="s">
        <v>5912</v>
      </c>
      <c r="I382" s="347" t="s">
        <v>424</v>
      </c>
      <c r="J382" s="347" t="str">
        <f t="shared" si="279"/>
        <v/>
      </c>
      <c r="K382" s="347" t="s">
        <v>5278</v>
      </c>
      <c r="L382" s="611" t="str">
        <f t="shared" si="280"/>
        <v>S, M, a drop of water or piece of ice</v>
      </c>
      <c r="M382" s="347" t="s">
        <v>3034</v>
      </c>
      <c r="N382" s="347" t="s">
        <v>2387</v>
      </c>
      <c r="O382" s="347" t="s">
        <v>1244</v>
      </c>
      <c r="P382" s="346" t="s">
        <v>5546</v>
      </c>
      <c r="Q382" s="347" t="s">
        <v>5271</v>
      </c>
      <c r="S382" s="346" t="s">
        <v>5884</v>
      </c>
      <c r="T382" s="346" t="str">
        <f t="shared" si="281"/>
        <v xml:space="preserve">Sorcerer, Druid, Wizard, </v>
      </c>
      <c r="X382" s="347" t="str">
        <f t="shared" si="336"/>
        <v>Ice Knife</v>
      </c>
      <c r="AA382" s="347" t="str">
        <f t="shared" si="335"/>
        <v>Ice Knife</v>
      </c>
      <c r="AD382" s="347" t="str">
        <f t="shared" si="334"/>
        <v>Ice Knife</v>
      </c>
      <c r="AE382" t="str">
        <f>IF(IFERROR(MATCH($B382,temp!A$4:A$13,0),0)&gt;0,T08_Spells!AE$2,"")</f>
        <v/>
      </c>
      <c r="AF382" t="str">
        <f>IF(IFERROR(MATCH($B382,temp!B$4:B$13,0),0)&gt;0,T08_Spells!AF$2,"")</f>
        <v/>
      </c>
      <c r="AG382" t="str">
        <f>IF(IFERROR(MATCH($B382,temp!C$4:C$13,0),0)&gt;0,T08_Spells!AG$2,"")</f>
        <v/>
      </c>
      <c r="AH382" t="str">
        <f>IF(IFERROR(MATCH($B382,temp!D$4:D$13,0),0)&gt;0,T08_Spells!AH$2,"")</f>
        <v/>
      </c>
      <c r="AI382" t="str">
        <f>IF(IFERROR(MATCH($B382,temp!E$4:E$13,0),0)&gt;0,T08_Spells!AI$2,"")</f>
        <v/>
      </c>
      <c r="AJ382" t="str">
        <f>IF(IFERROR(MATCH($B382,temp!F$4:F$13,0),0)&gt;0,T08_Spells!AJ$2,"")</f>
        <v/>
      </c>
      <c r="AK382" t="str">
        <f>IF(IFERROR(MATCH($B382,temp!G$4:G$13,0),0)&gt;0,T08_Spells!AK$2,"")</f>
        <v/>
      </c>
      <c r="AL382" t="str">
        <f>IF(IFERROR(MATCH($B382,temp!H$4:H$13,0),0)&gt;0,T08_Spells!AL$2,"")</f>
        <v/>
      </c>
      <c r="AM382" t="str">
        <f>IF(IFERROR(MATCH($B382,temp!I$4:I$13,0),0)&gt;0,T08_Spells!AM$2,"")</f>
        <v/>
      </c>
      <c r="AN382" t="str">
        <f>IF(IFERROR(MATCH($B382,temp!J$4:J$13,0),0)&gt;0,T08_Spells!AN$2,"")</f>
        <v/>
      </c>
      <c r="AO382" t="str">
        <f>IF(IFERROR(MATCH($B382,temp!K$4:K$13,0),0)&gt;0,T08_Spells!AO$2,"")</f>
        <v/>
      </c>
      <c r="AP382" t="str">
        <f>IF(IFERROR(MATCH($B382,temp!L$4:L$13,0),0)&gt;0,T08_Spells!AP$2,"")</f>
        <v/>
      </c>
      <c r="AQ382" t="str">
        <f>IF(IFERROR(MATCH($B382,temp!M$4:M$13,0),0)&gt;0,T08_Spells!AQ$2,"")</f>
        <v/>
      </c>
      <c r="AR382" t="str">
        <f>IF(IFERROR(MATCH($B382,temp!N$4:N$13,0),0)&gt;0,T08_Spells!AR$2,"")</f>
        <v/>
      </c>
      <c r="AS382" t="str">
        <f>IF(IFERROR(MATCH($B382,temp!O$4:O$13,0),0)&gt;0,T08_Spells!AS$2,"")</f>
        <v/>
      </c>
      <c r="AT382" t="str">
        <f>IF(IFERROR(MATCH($B382,temp!P$4:P$13,0),0)&gt;0,T08_Spells!AT$2,"")</f>
        <v/>
      </c>
      <c r="AU382" t="str">
        <f>IF(IFERROR(MATCH($B382,temp!Q$4:Q$13,0),0)&gt;0,T08_Spells!AU$2,"")</f>
        <v/>
      </c>
      <c r="AV382" t="str">
        <f>IF(IFERROR(MATCH($B382,temp!R$4:R$13,0),0)&gt;0,T08_Spells!AV$2,"")</f>
        <v/>
      </c>
      <c r="AW382" t="str">
        <f>IF(IFERROR(MATCH($B382,temp!S$4:S$13,0),0)&gt;0,T08_Spells!AW$2,"")</f>
        <v/>
      </c>
      <c r="AX382" t="str">
        <f>IF(IFERROR(MATCH($B382,temp!T$4:T$13,0),0)&gt;0,T08_Spells!AX$2,"")</f>
        <v/>
      </c>
      <c r="AY382" t="str">
        <f>IF(IFERROR(MATCH($B382,temp!U$4:U$13,0),0)&gt;0,T08_Spells!AY$2,"")</f>
        <v/>
      </c>
      <c r="AZ382" t="str">
        <f>IF(IFERROR(MATCH($B382,temp!V$4:V$13,0),0)&gt;0,T08_Spells!AZ$2,"")</f>
        <v/>
      </c>
      <c r="BA382" t="str">
        <f>IF(IFERROR(MATCH($B382,temp!W$4:W$13,0),0)&gt;0,T08_Spells!BA$2,"")</f>
        <v/>
      </c>
      <c r="BC382">
        <f>IF(IFERROR(SEARCH("Ranger",$T382,1),0)&gt;0,1,0)*IF(RangerMaxSpellLevel&gt;=$C382,1,0)*IF(IFERROR(MATCH(B382,Character_Creation!$X$79:$X$382,0),0)&gt;0,0,1)</f>
        <v>0</v>
      </c>
      <c r="BD382">
        <f>IF(BC382=0,0,1+COUNTIF(BD$3:BD381,"&gt;0"))</f>
        <v>0</v>
      </c>
      <c r="BE382" t="str">
        <f t="shared" si="311"/>
        <v/>
      </c>
      <c r="BF382" t="str">
        <f t="shared" si="283"/>
        <v/>
      </c>
      <c r="BH382">
        <f>IF(IFERROR(SEARCH("Sorcerer",$T382,1),0)&gt;0,1,0)*IF(SorcererMaxSpellLevel&gt;=$C382,1,0)*IF(IFERROR(MATCH(B382,Character_Creation!$J$380:$J$394,0),0)&gt;0,0,1)</f>
        <v>0</v>
      </c>
      <c r="BI382">
        <f>IF(BH382=0,0,1+COUNTIF(BI$3:BI381,"&gt;0"))</f>
        <v>0</v>
      </c>
      <c r="BJ382" t="str">
        <f t="shared" si="312"/>
        <v/>
      </c>
      <c r="BK382" t="str">
        <f t="shared" si="284"/>
        <v/>
      </c>
      <c r="BM382">
        <f>IF(OR(IFERROR(SEARCH("Warlock",$T382,1),0)&gt;0,IFERROR(SEARCH(WarlockPatron,$T382,1),0)&gt;0),1,0)*IF(WarlockMaxSpellLevel&gt;=$C382,1,0)*IF(IFERROR(MATCH(B382,Character_Creation!$J$361:$J$375,0),0)&gt;0,0,1)</f>
        <v>0</v>
      </c>
      <c r="BN382">
        <f>IF(BM382=0,0,1+COUNTIF(BN$3:BN381,"&gt;0"))</f>
        <v>0</v>
      </c>
      <c r="BO382" t="str">
        <f t="shared" si="313"/>
        <v/>
      </c>
      <c r="BP382" t="str">
        <f t="shared" si="285"/>
        <v/>
      </c>
      <c r="BR382">
        <f>IF(IFERROR(SEARCH("Eldritch Knight",$T382,1),0)&gt;0,1,0)*IF(EldritchKnightMaxSpellLevel&gt;=$C382,1,0)*IF(IFERROR(MATCH($B382,Character_Creation!$J$350:$J$356,0),0)&gt;0,0,1)*IF(Character_Creation!$M$338&gt;0,1,0)</f>
        <v>0</v>
      </c>
      <c r="BS382">
        <f>IF(BR382=0,0,1+COUNTIF(BS$3:BS381,"&gt;0"))</f>
        <v>0</v>
      </c>
      <c r="BT382" t="str">
        <f t="shared" si="314"/>
        <v/>
      </c>
      <c r="BU382" t="str">
        <f t="shared" si="286"/>
        <v/>
      </c>
      <c r="BW382">
        <f>IF(IFERROR(SEARCH("Arcane Trickster",$T382,1),0)&gt;0,1,0)*IF(ArcaneTricksterMaxSpellLevel&gt;=$C382,1,0)*IF(IFERROR(MATCH($B382,Character_Creation!$J$350:$J$356,0),0)&gt;0,0,1)*IF(Character_Creation!$T$338&gt;0,1,0)</f>
        <v>0</v>
      </c>
      <c r="BX382">
        <f>IF(BW382=0,0,1+COUNTIF(BX$3:BX381,"&gt;0"))</f>
        <v>0</v>
      </c>
      <c r="BY382" t="str">
        <f t="shared" si="315"/>
        <v/>
      </c>
      <c r="BZ382" t="str">
        <f t="shared" si="287"/>
        <v/>
      </c>
      <c r="CB382">
        <f>IF(IFERROR(SEARCH("Wizard",$T382,1),0)&gt;0,1,0)*IF(C382&lt;=ArcaneTricksterMaxSpellLevel,1,0)*IF(IFERROR(MATCH($B382,Character_Creation!$J$350:$J$356,0),0)&gt;0,0,1)*IF(Character_Creation!$T$350&gt;0,1,0)</f>
        <v>0</v>
      </c>
      <c r="CC382">
        <f>IF(CB382=0,0,1+COUNTIF(CC$3:CC381,"&gt;0"))</f>
        <v>0</v>
      </c>
      <c r="CD382" t="str">
        <f t="shared" si="316"/>
        <v/>
      </c>
      <c r="CE382" t="str">
        <f t="shared" si="288"/>
        <v/>
      </c>
      <c r="CG382">
        <f>IF(IFERROR(SEARCH("Wizard",$T382,1),0)&gt;0,1,0)*IF($C382&lt;=EldritchKnightMaxSpellLevel,1,0)*IF(IFERROR(MATCH($B382,Character_Creation!$J$350:$J$356,0),0)&gt;0,0,1)*IF(Character_Creation!$M$350&gt;0,1,0)</f>
        <v>1</v>
      </c>
      <c r="CH382">
        <f>IF(CG382=0,0,1+COUNTIF(CH$3:CH381,"&gt;0"))</f>
        <v>69</v>
      </c>
      <c r="CI382" t="str">
        <f t="shared" si="317"/>
        <v/>
      </c>
      <c r="CJ382" t="str">
        <f t="shared" si="289"/>
        <v/>
      </c>
      <c r="CL382">
        <f>IF(IFERROR(SEARCH("Bard",$T382,1),0)&gt;0,1,0)*IF(BardMaxSpellLevel&gt;=$C382,1,0)*IF(IFERROR(MATCH(B382,Character_Creation!$C$341:$F$362,0),0)&gt;0,0,1)*IF(IFERROR(MATCH($B382,Character_Creation!$C$341:$C$362,0),0)&gt;0,0,1)</f>
        <v>0</v>
      </c>
      <c r="CM382">
        <f>IF(CL382=0,0,1+COUNTIF(CM$3:CM381,"&gt;0"))</f>
        <v>0</v>
      </c>
      <c r="CN382" t="str">
        <f t="shared" si="318"/>
        <v/>
      </c>
      <c r="CO382" t="str">
        <f t="shared" si="290"/>
        <v/>
      </c>
      <c r="CQ382">
        <f>IF(IFERROR(SEARCH("Wizard",$T382,1),0)&gt;0,1,0)*IF(WizardMaxSpellLevel&gt;=$C382,1,0)*IF(IFERROR(MATCH(B382,Character_Creation!$X$341:$X$400,0),0)&gt;0,0,1)*IF(SelectedWizardSpellLevel=$C382,1,0)</f>
        <v>0</v>
      </c>
      <c r="CR382">
        <f>IF(CQ382=0,0,1+COUNTIF(CR$3:CR381,"&gt;0"))</f>
        <v>0</v>
      </c>
      <c r="CS382" t="str">
        <f t="shared" si="319"/>
        <v/>
      </c>
      <c r="CT382" t="str">
        <f t="shared" si="291"/>
        <v/>
      </c>
      <c r="CV382">
        <f>IF(IFERROR(MATCH($B382,Character_Creation!$C$341:$C$362,0),0)&gt;0,0,1)*IF(OR(C382="Cantrip",C382&lt;=BardMaxSpellLevel),1,0)*IF(IFERROR(MATCH($B382,Character_Creation!$C$367:$C$374,0),0)&gt;0,0,1)</f>
        <v>0</v>
      </c>
      <c r="CW382">
        <f>IF(CV382=0,0,1+COUNTIF(CW$3:CW381,"&gt;0"))</f>
        <v>0</v>
      </c>
      <c r="CX382" t="str">
        <f t="shared" si="320"/>
        <v/>
      </c>
      <c r="CY382" t="str">
        <f t="shared" si="292"/>
        <v/>
      </c>
      <c r="DA382">
        <f>IF(IF(OR(IFERROR(SEARCH("Cleric",$T382,1),0)&gt;0,IFERROR(SEARCH(DivineDomain&amp;",",$T382,1),0)&gt;0),1,0)*IF($C382=DA$2,1,0)=1,1+COUNTIF(DA$3:DA381,"&gt;0"),0)</f>
        <v>0</v>
      </c>
      <c r="DB382">
        <f>IF(IF(OR(IFERROR(SEARCH("Cleric",$T382,1),0)&gt;0,IFERROR(SEARCH(DivineDomain&amp;",",$T382,1),0)&gt;0),1,0)*IF($C382=DB$2,1,0)=1,1+COUNTIF(DB$3:DB381,"&gt;0"),0)</f>
        <v>0</v>
      </c>
      <c r="DC382">
        <f>IF(IF(OR(IFERROR(SEARCH("Cleric",$T382,1),0)&gt;0,IFERROR(SEARCH(DivineDomain&amp;",",$T382,1),0)&gt;0),1,0)*IF($C382=DC$2,1,0)=1,1+COUNTIF(DC$3:DC381,"&gt;0"),0)</f>
        <v>0</v>
      </c>
      <c r="DD382">
        <f>IF(IF(OR(IFERROR(SEARCH("Cleric",$T382,1),0)&gt;0,IFERROR(SEARCH(DivineDomain&amp;",",$T382,1),0)&gt;0),1,0)*IF($C382=DD$2,1,0)=1,1+COUNTIF(DD$3:DD381,"&gt;0"),0)</f>
        <v>0</v>
      </c>
      <c r="DE382">
        <f>IF(IF(OR(IFERROR(SEARCH("Cleric",$T382,1),0)&gt;0,IFERROR(SEARCH(DivineDomain&amp;",",$T382,1),0)&gt;0),1,0)*IF($C382=DE$2,1,0)=1,1+COUNTIF(DE$3:DE381,"&gt;0"),0)</f>
        <v>0</v>
      </c>
      <c r="DF382">
        <f>IF(IF(OR(IFERROR(SEARCH("Cleric",$T382,1),0)&gt;0,IFERROR(SEARCH(DivineDomain&amp;",",$T382,1),0)&gt;0),1,0)*IF($C382=DF$2,1,0)=1,1+COUNTIF(DF$3:DF381,"&gt;0"),0)</f>
        <v>0</v>
      </c>
      <c r="DG382">
        <f>IF(IF(OR(IFERROR(SEARCH("Cleric",$T382,1),0)&gt;0,IFERROR(SEARCH(DivineDomain&amp;",",$T382,1),0)&gt;0),1,0)*IF($C382=DG$2,1,0)=1,1+COUNTIF(DG$3:DG381,"&gt;0"),0)</f>
        <v>0</v>
      </c>
      <c r="DH382">
        <f>IF(IF(OR(IFERROR(SEARCH("Cleric",$T382,1),0)&gt;0,IFERROR(SEARCH(DivineDomain&amp;",",$T382,1),0)&gt;0),1,0)*IF($C382=DH$2,1,0)=1,1+COUNTIF(DH$3:DH381,"&gt;0"),0)</f>
        <v>0</v>
      </c>
      <c r="DI382">
        <f>IF(IF(OR(IFERROR(SEARCH("Cleric",$T382,1),0)&gt;0,IFERROR(SEARCH(DivineDomain&amp;",",$T382,1),0)&gt;0),1,0)*IF($C382=DI$2,1,0)=1,1+COUNTIF(DI$3:DI381,"&gt;0"),0)</f>
        <v>0</v>
      </c>
      <c r="DJ382">
        <f>IF(IF(OR(IFERROR(SEARCH("Druid",$T382,1),0)&gt;0,IFERROR(SEARCH(DruidLand1,$T382,1),0)&gt;0,IFERROR(SEARCH(DruidLand2,$T382,1),0)&gt;0,IFERROR(SEARCH(DruidLand3,$T382,1),0)&gt;0,IFERROR(SEARCH(DruidLand4,$T382,1),0)&gt;0),1,0)*IF($C382=1,1,0)*IF($C382=DJ$2,1,0)=0,0,1+COUNTIF(DJ$3:DJ381,"&gt;0"))</f>
        <v>20</v>
      </c>
      <c r="DK382">
        <f>IF(IF(OR(IFERROR(SEARCH("Druid",$T382,1),0)&gt;0,IFERROR(SEARCH(DruidLand1,$T382,1),0)&gt;0,IFERROR(SEARCH(DruidLand2,$T382,1),0)&gt;0,IFERROR(SEARCH(DruidLand3,$T382,1),0)&gt;0,IFERROR(SEARCH(DruidLand4,$T382,1),0)&gt;0),1,0)*IF($C382=DK$2,1,0)=0,0,1+COUNTIF(DK$3:DK381,"&gt;0"))</f>
        <v>0</v>
      </c>
      <c r="DL382">
        <f>IF(IF(OR(IFERROR(SEARCH("Druid",$T382,1),0)&gt;0,IFERROR(SEARCH(DruidLand1,$T382,1),0)&gt;0,IFERROR(SEARCH(DruidLand2,$T382,1),0)&gt;0,IFERROR(SEARCH(DruidLand3,$T382,1),0)&gt;0,IFERROR(SEARCH(DruidLand4,$T382,1),0)&gt;0),1,0)*IF($C382=DL$2,1,0)=0,0,1+COUNTIF(DL$3:DL381,"&gt;0"))</f>
        <v>0</v>
      </c>
      <c r="DM382">
        <f>IF(IF(OR(IFERROR(SEARCH("Druid",$T382,1),0)&gt;0,IFERROR(SEARCH(DruidLand1,$T382,1),0)&gt;0,IFERROR(SEARCH(DruidLand2,$T382,1),0)&gt;0,IFERROR(SEARCH(DruidLand3,$T382,1),0)&gt;0,IFERROR(SEARCH(DruidLand4,$T382,1),0)&gt;0),1,0)*IF($C382=DM$2,1,0)=0,0,1+COUNTIF(DM$3:DM381,"&gt;0"))</f>
        <v>0</v>
      </c>
      <c r="DN382">
        <f>IF(IF(OR(IFERROR(SEARCH("Druid",$T382,1),0)&gt;0,IFERROR(SEARCH(DruidLand1,$T382,1),0)&gt;0,IFERROR(SEARCH(DruidLand2,$T382,1),0)&gt;0,IFERROR(SEARCH(DruidLand3,$T382,1),0)&gt;0,IFERROR(SEARCH(DruidLand4,$T382,1),0)&gt;0),1,0)*IF($C382=DN$2,1,0)=0,0,1+COUNTIF(DN$3:DN381,"&gt;0"))</f>
        <v>0</v>
      </c>
      <c r="DO382">
        <f>IF(IF(OR(IFERROR(SEARCH("Druid",$T382,1),0)&gt;0,IFERROR(SEARCH(DruidLand1,$T382,1),0)&gt;0,IFERROR(SEARCH(DruidLand2,$T382,1),0)&gt;0,IFERROR(SEARCH(DruidLand3,$T382,1),0)&gt;0,IFERROR(SEARCH(DruidLand4,$T382,1),0)&gt;0),1,0)*IF($C382=DO$2,1,0)=0,0,1+COUNTIF(DO$3:DO381,"&gt;0"))</f>
        <v>0</v>
      </c>
      <c r="DP382">
        <f>IF(IF(OR(IFERROR(SEARCH("Druid",$T382,1),0)&gt;0,IFERROR(SEARCH(DruidLand1,$T382,1),0)&gt;0,IFERROR(SEARCH(DruidLand2,$T382,1),0)&gt;0,IFERROR(SEARCH(DruidLand3,$T382,1),0)&gt;0,IFERROR(SEARCH(DruidLand4,$T382,1),0)&gt;0),1,0)*IF($C382=DP$2,1,0)=0,0,1+COUNTIF(DP$3:DP381,"&gt;0"))</f>
        <v>0</v>
      </c>
      <c r="DQ382">
        <f>IF(IF(OR(IFERROR(SEARCH("Druid",$T382,1),0)&gt;0,IFERROR(SEARCH(DruidLand1,$T382,1),0)&gt;0,IFERROR(SEARCH(DruidLand2,$T382,1),0)&gt;0,IFERROR(SEARCH(DruidLand3,$T382,1),0)&gt;0,IFERROR(SEARCH(DruidLand4,$T382,1),0)&gt;0),1,0)*IF($C382=DQ$2,1,0)=0,0,1+COUNTIF(DQ$3:DQ381,"&gt;0"))</f>
        <v>0</v>
      </c>
      <c r="DR382">
        <f>IF(IF(OR(IFERROR(SEARCH("Druid",$T382,1),0)&gt;0,IFERROR(SEARCH(DruidLand1,$T382,1),0)&gt;0,IFERROR(SEARCH(DruidLand2,$T382,1),0)&gt;0,IFERROR(SEARCH(DruidLand3,$T382,1),0)&gt;0,IFERROR(SEARCH(DruidLand4,$T382,1),0)&gt;0),1,0)*IF($C382=DR$2,1,0)=0,0,1+COUNTIF(DR$3:DR381,"&gt;0"))</f>
        <v>0</v>
      </c>
      <c r="DS382">
        <f>IF(IF(OR(IFERROR(SEARCH("Paladin",$T382,1),0)&gt;0,IFERROR(SEARCH(PaladinOath,$T382,1),0)&gt;0),1,0)*IF($C382=DS$2,1,0)=1,1+COUNTIF(DS$3:DS381,"&gt;0"),0)</f>
        <v>0</v>
      </c>
      <c r="DT382">
        <f>IF(IF(OR(IFERROR(SEARCH("Paladin",$T382,1),0)&gt;0,IFERROR(SEARCH(PaladinOath,$T382,1),0)&gt;0),1,0)*IF($C382=DT$2,1,0)=1,1+COUNTIF(DT$3:DT381,"&gt;0"),0)</f>
        <v>0</v>
      </c>
      <c r="DU382">
        <f>IF(IF(OR(IFERROR(SEARCH("Paladin",$T382,1),0)&gt;0,IFERROR(SEARCH(PaladinOath,$T382,1),0)&gt;0),1,0)*IF($C382=DU$2,1,0)=1,1+COUNTIF(DU$3:DU381,"&gt;0"),0)</f>
        <v>0</v>
      </c>
      <c r="DV382">
        <f>IF(IF(OR(IFERROR(SEARCH("Paladin",$T382,1),0)&gt;0,IFERROR(SEARCH(PaladinOath,$T382,1),0)&gt;0),1,0)*IF($C382=DV$2,1,0)=1,1+COUNTIF(DV$3:DV381,"&gt;0"),0)</f>
        <v>0</v>
      </c>
      <c r="DW382">
        <f>IF(IF(OR(IFERROR(SEARCH("Paladin",$T382,1),0)&gt;0,IFERROR(SEARCH(PaladinOath,$T382,1),0)&gt;0),1,0)*IF($C382=DW$2,1,0)=1,1+COUNTIF(DW$3:DW381,"&gt;0"),0)</f>
        <v>0</v>
      </c>
      <c r="DY382">
        <f t="shared" si="278"/>
        <v>1</v>
      </c>
      <c r="DZ382">
        <f>IF(DY382=0,0,1+MAX(DZ$3:$DZ381))</f>
        <v>380</v>
      </c>
      <c r="EB382">
        <f t="shared" si="293"/>
        <v>0</v>
      </c>
      <c r="EC382">
        <f>IF(EB382=0,0,1+COUNTIF(EC$3:EC381,"&gt;0"))</f>
        <v>0</v>
      </c>
      <c r="ED382" t="str">
        <f t="shared" si="321"/>
        <v/>
      </c>
      <c r="EE382" t="str">
        <f t="shared" si="294"/>
        <v/>
      </c>
      <c r="EG382">
        <f t="shared" si="295"/>
        <v>0</v>
      </c>
      <c r="EH382">
        <f>IF(EG382=0,0,1+COUNTIF(EH$3:EH381,"&gt;0"))</f>
        <v>0</v>
      </c>
      <c r="EI382" t="str">
        <f t="shared" si="322"/>
        <v/>
      </c>
      <c r="EJ382" t="str">
        <f t="shared" si="296"/>
        <v/>
      </c>
      <c r="EL382">
        <f t="shared" si="297"/>
        <v>0</v>
      </c>
      <c r="EM382">
        <f>IF(EL382=0,0,1+COUNTIF(EM$3:EM381,"&gt;0"))</f>
        <v>0</v>
      </c>
      <c r="EN382" t="str">
        <f t="shared" si="323"/>
        <v/>
      </c>
      <c r="EO382" t="str">
        <f t="shared" si="298"/>
        <v/>
      </c>
      <c r="EQ382">
        <f t="shared" si="299"/>
        <v>0</v>
      </c>
      <c r="ER382">
        <f>IF(EQ382=0,0,1+COUNTIF(ER$3:ER381,"&gt;0"))</f>
        <v>0</v>
      </c>
      <c r="ES382" t="str">
        <f t="shared" si="324"/>
        <v/>
      </c>
      <c r="ET382" t="str">
        <f t="shared" si="300"/>
        <v/>
      </c>
      <c r="EV382">
        <f t="shared" si="301"/>
        <v>0</v>
      </c>
      <c r="EW382">
        <f>IF(EV382=0,0,1+COUNTIF(EW$3:EW381,"&gt;0"))</f>
        <v>0</v>
      </c>
      <c r="EX382" t="str">
        <f t="shared" si="325"/>
        <v/>
      </c>
      <c r="EY382" t="str">
        <f t="shared" si="302"/>
        <v/>
      </c>
      <c r="FA382">
        <f t="shared" si="303"/>
        <v>0</v>
      </c>
      <c r="FB382">
        <f>IF(FA382=0,0,1+COUNTIF(FB$3:FB381,"&gt;0"))</f>
        <v>0</v>
      </c>
      <c r="FC382" t="str">
        <f t="shared" si="326"/>
        <v/>
      </c>
      <c r="FD382" t="str">
        <f t="shared" si="304"/>
        <v/>
      </c>
      <c r="FF382">
        <f t="shared" si="305"/>
        <v>0</v>
      </c>
      <c r="FG382">
        <f>IF(FF382=0,0,1+COUNTIF(FG$3:FG381,"&gt;0"))</f>
        <v>0</v>
      </c>
      <c r="FH382" t="str">
        <f t="shared" si="327"/>
        <v/>
      </c>
      <c r="FI382" t="str">
        <f t="shared" si="306"/>
        <v/>
      </c>
      <c r="FK382">
        <f t="shared" si="307"/>
        <v>0</v>
      </c>
      <c r="FL382">
        <f>IF(FK382=0,0,1+COUNTIF(FL$3:FL381,"&gt;0"))</f>
        <v>0</v>
      </c>
      <c r="FM382" t="str">
        <f t="shared" si="328"/>
        <v/>
      </c>
      <c r="FN382" t="str">
        <f t="shared" si="308"/>
        <v/>
      </c>
      <c r="FP382">
        <f t="shared" si="309"/>
        <v>0</v>
      </c>
      <c r="FQ382">
        <f>IF(FP382=0,0,1+COUNTIF(FQ$3:FQ381,"&gt;0"))</f>
        <v>0</v>
      </c>
      <c r="FR382" t="str">
        <f t="shared" si="329"/>
        <v/>
      </c>
      <c r="FS382" t="str">
        <f t="shared" si="310"/>
        <v/>
      </c>
    </row>
    <row r="383" spans="1:175" x14ac:dyDescent="0.25">
      <c r="A383" s="347">
        <f t="shared" si="331"/>
        <v>381</v>
      </c>
      <c r="B383" s="398" t="s">
        <v>5547</v>
      </c>
      <c r="C383" s="348">
        <v>5</v>
      </c>
      <c r="D383" s="347">
        <v>5</v>
      </c>
      <c r="E383" s="627" t="s">
        <v>6957</v>
      </c>
      <c r="F383" s="346"/>
      <c r="G383" s="347" t="str">
        <f>""</f>
        <v/>
      </c>
      <c r="H383" s="347" t="s">
        <v>5912</v>
      </c>
      <c r="I383" s="347" t="s">
        <v>5312</v>
      </c>
      <c r="J383" s="347" t="str">
        <f t="shared" si="279"/>
        <v/>
      </c>
      <c r="K383" s="347" t="s">
        <v>5291</v>
      </c>
      <c r="L383" s="611" t="str">
        <f t="shared" si="280"/>
        <v>V</v>
      </c>
      <c r="M383" s="347" t="s">
        <v>2373</v>
      </c>
      <c r="N383" s="347" t="s">
        <v>3034</v>
      </c>
      <c r="O383" s="347" t="s">
        <v>3034</v>
      </c>
      <c r="P383" s="346" t="str">
        <f>""</f>
        <v/>
      </c>
      <c r="Q383" s="347" t="s">
        <v>5273</v>
      </c>
      <c r="S383" s="346" t="s">
        <v>5885</v>
      </c>
      <c r="T383" s="346" t="str">
        <f t="shared" si="281"/>
        <v xml:space="preserve">Sorcerer, Eldritch Knight, Wizard, </v>
      </c>
      <c r="X383" s="347" t="str">
        <f t="shared" si="336"/>
        <v>Immolation</v>
      </c>
      <c r="AB383" s="542" t="str">
        <f>AD383</f>
        <v>Immolation</v>
      </c>
      <c r="AD383" s="347" t="str">
        <f t="shared" si="334"/>
        <v>Immolation</v>
      </c>
      <c r="AE383" t="str">
        <f>IF(IFERROR(MATCH($B383,temp!A$4:A$13,0),0)&gt;0,T08_Spells!AE$2,"")</f>
        <v/>
      </c>
      <c r="AF383" t="str">
        <f>IF(IFERROR(MATCH($B383,temp!B$4:B$13,0),0)&gt;0,T08_Spells!AF$2,"")</f>
        <v/>
      </c>
      <c r="AG383" t="str">
        <f>IF(IFERROR(MATCH($B383,temp!C$4:C$13,0),0)&gt;0,T08_Spells!AG$2,"")</f>
        <v/>
      </c>
      <c r="AH383" t="str">
        <f>IF(IFERROR(MATCH($B383,temp!D$4:D$13,0),0)&gt;0,T08_Spells!AH$2,"")</f>
        <v/>
      </c>
      <c r="AI383" t="str">
        <f>IF(IFERROR(MATCH($B383,temp!E$4:E$13,0),0)&gt;0,T08_Spells!AI$2,"")</f>
        <v/>
      </c>
      <c r="AJ383" t="str">
        <f>IF(IFERROR(MATCH($B383,temp!F$4:F$13,0),0)&gt;0,T08_Spells!AJ$2,"")</f>
        <v/>
      </c>
      <c r="AK383" t="str">
        <f>IF(IFERROR(MATCH($B383,temp!G$4:G$13,0),0)&gt;0,T08_Spells!AK$2,"")</f>
        <v/>
      </c>
      <c r="AL383" t="str">
        <f>IF(IFERROR(MATCH($B383,temp!H$4:H$13,0),0)&gt;0,T08_Spells!AL$2,"")</f>
        <v/>
      </c>
      <c r="AM383" t="str">
        <f>IF(IFERROR(MATCH($B383,temp!I$4:I$13,0),0)&gt;0,T08_Spells!AM$2,"")</f>
        <v/>
      </c>
      <c r="AN383" t="str">
        <f>IF(IFERROR(MATCH($B383,temp!J$4:J$13,0),0)&gt;0,T08_Spells!AN$2,"")</f>
        <v/>
      </c>
      <c r="AO383" t="str">
        <f>IF(IFERROR(MATCH($B383,temp!K$4:K$13,0),0)&gt;0,T08_Spells!AO$2,"")</f>
        <v/>
      </c>
      <c r="AP383" t="str">
        <f>IF(IFERROR(MATCH($B383,temp!L$4:L$13,0),0)&gt;0,T08_Spells!AP$2,"")</f>
        <v/>
      </c>
      <c r="AQ383" t="str">
        <f>IF(IFERROR(MATCH($B383,temp!M$4:M$13,0),0)&gt;0,T08_Spells!AQ$2,"")</f>
        <v/>
      </c>
      <c r="AR383" t="str">
        <f>IF(IFERROR(MATCH($B383,temp!N$4:N$13,0),0)&gt;0,T08_Spells!AR$2,"")</f>
        <v/>
      </c>
      <c r="AS383" t="str">
        <f>IF(IFERROR(MATCH($B383,temp!O$4:O$13,0),0)&gt;0,T08_Spells!AS$2,"")</f>
        <v/>
      </c>
      <c r="AT383" t="str">
        <f>IF(IFERROR(MATCH($B383,temp!P$4:P$13,0),0)&gt;0,T08_Spells!AT$2,"")</f>
        <v/>
      </c>
      <c r="AU383" t="str">
        <f>IF(IFERROR(MATCH($B383,temp!Q$4:Q$13,0),0)&gt;0,T08_Spells!AU$2,"")</f>
        <v/>
      </c>
      <c r="AV383" t="str">
        <f>IF(IFERROR(MATCH($B383,temp!R$4:R$13,0),0)&gt;0,T08_Spells!AV$2,"")</f>
        <v/>
      </c>
      <c r="AW383" t="str">
        <f>IF(IFERROR(MATCH($B383,temp!S$4:S$13,0),0)&gt;0,T08_Spells!AW$2,"")</f>
        <v/>
      </c>
      <c r="AX383" t="str">
        <f>IF(IFERROR(MATCH($B383,temp!T$4:T$13,0),0)&gt;0,T08_Spells!AX$2,"")</f>
        <v/>
      </c>
      <c r="AY383" t="str">
        <f>IF(IFERROR(MATCH($B383,temp!U$4:U$13,0),0)&gt;0,T08_Spells!AY$2,"")</f>
        <v/>
      </c>
      <c r="AZ383" t="str">
        <f>IF(IFERROR(MATCH($B383,temp!V$4:V$13,0),0)&gt;0,T08_Spells!AZ$2,"")</f>
        <v/>
      </c>
      <c r="BA383" t="str">
        <f>IF(IFERROR(MATCH($B383,temp!W$4:W$13,0),0)&gt;0,T08_Spells!BA$2,"")</f>
        <v/>
      </c>
      <c r="BC383">
        <f>IF(IFERROR(SEARCH("Ranger",$T383,1),0)&gt;0,1,0)*IF(RangerMaxSpellLevel&gt;=$C383,1,0)*IF(IFERROR(MATCH(B383,Character_Creation!$X$79:$X$382,0),0)&gt;0,0,1)</f>
        <v>0</v>
      </c>
      <c r="BD383">
        <f>IF(BC383=0,0,1+COUNTIF(BD$3:BD382,"&gt;0"))</f>
        <v>0</v>
      </c>
      <c r="BE383" t="str">
        <f t="shared" si="311"/>
        <v/>
      </c>
      <c r="BF383" t="str">
        <f t="shared" si="283"/>
        <v/>
      </c>
      <c r="BH383">
        <f>IF(IFERROR(SEARCH("Sorcerer",$T383,1),0)&gt;0,1,0)*IF(SorcererMaxSpellLevel&gt;=$C383,1,0)*IF(IFERROR(MATCH(B383,Character_Creation!$J$380:$J$394,0),0)&gt;0,0,1)</f>
        <v>0</v>
      </c>
      <c r="BI383">
        <f>IF(BH383=0,0,1+COUNTIF(BI$3:BI382,"&gt;0"))</f>
        <v>0</v>
      </c>
      <c r="BJ383" t="str">
        <f t="shared" si="312"/>
        <v/>
      </c>
      <c r="BK383" t="str">
        <f t="shared" si="284"/>
        <v/>
      </c>
      <c r="BM383">
        <f>IF(OR(IFERROR(SEARCH("Warlock",$T383,1),0)&gt;0,IFERROR(SEARCH(WarlockPatron,$T383,1),0)&gt;0),1,0)*IF(WarlockMaxSpellLevel&gt;=$C383,1,0)*IF(IFERROR(MATCH(B383,Character_Creation!$J$361:$J$375,0),0)&gt;0,0,1)</f>
        <v>0</v>
      </c>
      <c r="BN383">
        <f>IF(BM383=0,0,1+COUNTIF(BN$3:BN382,"&gt;0"))</f>
        <v>0</v>
      </c>
      <c r="BO383" t="str">
        <f t="shared" si="313"/>
        <v/>
      </c>
      <c r="BP383" t="str">
        <f t="shared" si="285"/>
        <v/>
      </c>
      <c r="BR383">
        <f>IF(IFERROR(SEARCH("Eldritch Knight",$T383,1),0)&gt;0,1,0)*IF(EldritchKnightMaxSpellLevel&gt;=$C383,1,0)*IF(IFERROR(MATCH($B383,Character_Creation!$J$350:$J$356,0),0)&gt;0,0,1)*IF(Character_Creation!$M$338&gt;0,1,0)</f>
        <v>0</v>
      </c>
      <c r="BS383">
        <f>IF(BR383=0,0,1+COUNTIF(BS$3:BS382,"&gt;0"))</f>
        <v>0</v>
      </c>
      <c r="BT383" t="str">
        <f t="shared" si="314"/>
        <v/>
      </c>
      <c r="BU383" t="str">
        <f t="shared" si="286"/>
        <v/>
      </c>
      <c r="BW383">
        <f>IF(IFERROR(SEARCH("Arcane Trickster",$T383,1),0)&gt;0,1,0)*IF(ArcaneTricksterMaxSpellLevel&gt;=$C383,1,0)*IF(IFERROR(MATCH($B383,Character_Creation!$J$350:$J$356,0),0)&gt;0,0,1)*IF(Character_Creation!$T$338&gt;0,1,0)</f>
        <v>0</v>
      </c>
      <c r="BX383">
        <f>IF(BW383=0,0,1+COUNTIF(BX$3:BX382,"&gt;0"))</f>
        <v>0</v>
      </c>
      <c r="BY383" t="str">
        <f t="shared" si="315"/>
        <v/>
      </c>
      <c r="BZ383" t="str">
        <f t="shared" si="287"/>
        <v/>
      </c>
      <c r="CB383">
        <f>IF(IFERROR(SEARCH("Wizard",$T383,1),0)&gt;0,1,0)*IF(C383&lt;=ArcaneTricksterMaxSpellLevel,1,0)*IF(IFERROR(MATCH($B383,Character_Creation!$J$350:$J$356,0),0)&gt;0,0,1)*IF(Character_Creation!$T$350&gt;0,1,0)</f>
        <v>0</v>
      </c>
      <c r="CC383">
        <f>IF(CB383=0,0,1+COUNTIF(CC$3:CC382,"&gt;0"))</f>
        <v>0</v>
      </c>
      <c r="CD383" t="str">
        <f t="shared" si="316"/>
        <v/>
      </c>
      <c r="CE383" t="str">
        <f t="shared" si="288"/>
        <v/>
      </c>
      <c r="CG383">
        <f>IF(IFERROR(SEARCH("Wizard",$T383,1),0)&gt;0,1,0)*IF($C383&lt;=EldritchKnightMaxSpellLevel,1,0)*IF(IFERROR(MATCH($B383,Character_Creation!$J$350:$J$356,0),0)&gt;0,0,1)*IF(Character_Creation!$M$350&gt;0,1,0)</f>
        <v>0</v>
      </c>
      <c r="CH383">
        <f>IF(CG383=0,0,1+COUNTIF(CH$3:CH382,"&gt;0"))</f>
        <v>0</v>
      </c>
      <c r="CI383" t="str">
        <f t="shared" si="317"/>
        <v/>
      </c>
      <c r="CJ383" t="str">
        <f t="shared" si="289"/>
        <v/>
      </c>
      <c r="CL383">
        <f>IF(IFERROR(SEARCH("Bard",$T383,1),0)&gt;0,1,0)*IF(BardMaxSpellLevel&gt;=$C383,1,0)*IF(IFERROR(MATCH(B383,Character_Creation!$C$341:$F$362,0),0)&gt;0,0,1)*IF(IFERROR(MATCH($B383,Character_Creation!$C$341:$C$362,0),0)&gt;0,0,1)</f>
        <v>0</v>
      </c>
      <c r="CM383">
        <f>IF(CL383=0,0,1+COUNTIF(CM$3:CM382,"&gt;0"))</f>
        <v>0</v>
      </c>
      <c r="CN383" t="str">
        <f t="shared" si="318"/>
        <v/>
      </c>
      <c r="CO383" t="str">
        <f t="shared" si="290"/>
        <v/>
      </c>
      <c r="CQ383">
        <f>IF(IFERROR(SEARCH("Wizard",$T383,1),0)&gt;0,1,0)*IF(WizardMaxSpellLevel&gt;=$C383,1,0)*IF(IFERROR(MATCH(B383,Character_Creation!$X$341:$X$400,0),0)&gt;0,0,1)*IF(SelectedWizardSpellLevel=$C383,1,0)</f>
        <v>0</v>
      </c>
      <c r="CR383">
        <f>IF(CQ383=0,0,1+COUNTIF(CR$3:CR382,"&gt;0"))</f>
        <v>0</v>
      </c>
      <c r="CS383" t="str">
        <f t="shared" si="319"/>
        <v/>
      </c>
      <c r="CT383" t="str">
        <f t="shared" si="291"/>
        <v/>
      </c>
      <c r="CV383">
        <f>IF(IFERROR(MATCH($B383,Character_Creation!$C$341:$C$362,0),0)&gt;0,0,1)*IF(OR(C383="Cantrip",C383&lt;=BardMaxSpellLevel),1,0)*IF(IFERROR(MATCH($B383,Character_Creation!$C$367:$C$374,0),0)&gt;0,0,1)</f>
        <v>0</v>
      </c>
      <c r="CW383">
        <f>IF(CV383=0,0,1+COUNTIF(CW$3:CW382,"&gt;0"))</f>
        <v>0</v>
      </c>
      <c r="CX383" t="str">
        <f t="shared" si="320"/>
        <v/>
      </c>
      <c r="CY383" t="str">
        <f t="shared" si="292"/>
        <v/>
      </c>
      <c r="DA383">
        <f>IF(IF(OR(IFERROR(SEARCH("Cleric",$T383,1),0)&gt;0,IFERROR(SEARCH(DivineDomain&amp;",",$T383,1),0)&gt;0),1,0)*IF($C383=DA$2,1,0)=1,1+COUNTIF(DA$3:DA382,"&gt;0"),0)</f>
        <v>0</v>
      </c>
      <c r="DB383">
        <f>IF(IF(OR(IFERROR(SEARCH("Cleric",$T383,1),0)&gt;0,IFERROR(SEARCH(DivineDomain&amp;",",$T383,1),0)&gt;0),1,0)*IF($C383=DB$2,1,0)=1,1+COUNTIF(DB$3:DB382,"&gt;0"),0)</f>
        <v>0</v>
      </c>
      <c r="DC383">
        <f>IF(IF(OR(IFERROR(SEARCH("Cleric",$T383,1),0)&gt;0,IFERROR(SEARCH(DivineDomain&amp;",",$T383,1),0)&gt;0),1,0)*IF($C383=DC$2,1,0)=1,1+COUNTIF(DC$3:DC382,"&gt;0"),0)</f>
        <v>0</v>
      </c>
      <c r="DD383">
        <f>IF(IF(OR(IFERROR(SEARCH("Cleric",$T383,1),0)&gt;0,IFERROR(SEARCH(DivineDomain&amp;",",$T383,1),0)&gt;0),1,0)*IF($C383=DD$2,1,0)=1,1+COUNTIF(DD$3:DD382,"&gt;0"),0)</f>
        <v>0</v>
      </c>
      <c r="DE383">
        <f>IF(IF(OR(IFERROR(SEARCH("Cleric",$T383,1),0)&gt;0,IFERROR(SEARCH(DivineDomain&amp;",",$T383,1),0)&gt;0),1,0)*IF($C383=DE$2,1,0)=1,1+COUNTIF(DE$3:DE382,"&gt;0"),0)</f>
        <v>0</v>
      </c>
      <c r="DF383">
        <f>IF(IF(OR(IFERROR(SEARCH("Cleric",$T383,1),0)&gt;0,IFERROR(SEARCH(DivineDomain&amp;",",$T383,1),0)&gt;0),1,0)*IF($C383=DF$2,1,0)=1,1+COUNTIF(DF$3:DF382,"&gt;0"),0)</f>
        <v>0</v>
      </c>
      <c r="DG383">
        <f>IF(IF(OR(IFERROR(SEARCH("Cleric",$T383,1),0)&gt;0,IFERROR(SEARCH(DivineDomain&amp;",",$T383,1),0)&gt;0),1,0)*IF($C383=DG$2,1,0)=1,1+COUNTIF(DG$3:DG382,"&gt;0"),0)</f>
        <v>0</v>
      </c>
      <c r="DH383">
        <f>IF(IF(OR(IFERROR(SEARCH("Cleric",$T383,1),0)&gt;0,IFERROR(SEARCH(DivineDomain&amp;",",$T383,1),0)&gt;0),1,0)*IF($C383=DH$2,1,0)=1,1+COUNTIF(DH$3:DH382,"&gt;0"),0)</f>
        <v>0</v>
      </c>
      <c r="DI383">
        <f>IF(IF(OR(IFERROR(SEARCH("Cleric",$T383,1),0)&gt;0,IFERROR(SEARCH(DivineDomain&amp;",",$T383,1),0)&gt;0),1,0)*IF($C383=DI$2,1,0)=1,1+COUNTIF(DI$3:DI382,"&gt;0"),0)</f>
        <v>0</v>
      </c>
      <c r="DJ383">
        <f>IF(IF(OR(IFERROR(SEARCH("Druid",$T383,1),0)&gt;0,IFERROR(SEARCH(DruidLand1,$T383,1),0)&gt;0,IFERROR(SEARCH(DruidLand2,$T383,1),0)&gt;0,IFERROR(SEARCH(DruidLand3,$T383,1),0)&gt;0,IFERROR(SEARCH(DruidLand4,$T383,1),0)&gt;0),1,0)*IF($C383=1,1,0)*IF($C383=DJ$2,1,0)=0,0,1+COUNTIF(DJ$3:DJ382,"&gt;0"))</f>
        <v>0</v>
      </c>
      <c r="DK383">
        <f>IF(IF(OR(IFERROR(SEARCH("Druid",$T383,1),0)&gt;0,IFERROR(SEARCH(DruidLand1,$T383,1),0)&gt;0,IFERROR(SEARCH(DruidLand2,$T383,1),0)&gt;0,IFERROR(SEARCH(DruidLand3,$T383,1),0)&gt;0,IFERROR(SEARCH(DruidLand4,$T383,1),0)&gt;0),1,0)*IF($C383=1,1,0)*IF($C383=DK$2,1,0)=0,0,1+COUNTIF(DK$3:DK382,"&gt;0"))</f>
        <v>0</v>
      </c>
      <c r="DL383">
        <f>IF(IF(OR(IFERROR(SEARCH("Druid",$T383,1),0)&gt;0,IFERROR(SEARCH(DruidLand1,$T383,1),0)&gt;0,IFERROR(SEARCH(DruidLand2,$T383,1),0)&gt;0,IFERROR(SEARCH(DruidLand3,$T383,1),0)&gt;0,IFERROR(SEARCH(DruidLand4,$T383,1),0)&gt;0),1,0)*IF($C383=1,1,0)*IF($C383=DL$2,1,0)=0,0,1+COUNTIF(DL$3:DL382,"&gt;0"))</f>
        <v>0</v>
      </c>
      <c r="DM383">
        <f>IF(IF(OR(IFERROR(SEARCH("Druid",$T383,1),0)&gt;0,IFERROR(SEARCH(DruidLand1,$T383,1),0)&gt;0,IFERROR(SEARCH(DruidLand2,$T383,1),0)&gt;0,IFERROR(SEARCH(DruidLand3,$T383,1),0)&gt;0,IFERROR(SEARCH(DruidLand4,$T383,1),0)&gt;0),1,0)*IF($C383=1,1,0)*IF($C383=DM$2,1,0)=0,0,1+COUNTIF(DM$3:DM382,"&gt;0"))</f>
        <v>0</v>
      </c>
      <c r="DN383">
        <f>IF(IF(OR(IFERROR(SEARCH("Druid",$T383,1),0)&gt;0,IFERROR(SEARCH(DruidLand1,$T383,1),0)&gt;0,IFERROR(SEARCH(DruidLand2,$T383,1),0)&gt;0,IFERROR(SEARCH(DruidLand3,$T383,1),0)&gt;0,IFERROR(SEARCH(DruidLand4,$T383,1),0)&gt;0),1,0)*IF($C383=1,1,0)*IF($C383=DN$2,1,0)=0,0,1+COUNTIF(DN$3:DN382,"&gt;0"))</f>
        <v>0</v>
      </c>
      <c r="DO383">
        <f>IF(IF(OR(IFERROR(SEARCH("Druid",$T383,1),0)&gt;0,IFERROR(SEARCH(DruidLand1,$T383,1),0)&gt;0,IFERROR(SEARCH(DruidLand2,$T383,1),0)&gt;0,IFERROR(SEARCH(DruidLand3,$T383,1),0)&gt;0,IFERROR(SEARCH(DruidLand4,$T383,1),0)&gt;0),1,0)*IF($C383=1,1,0)*IF($C383=DO$2,1,0)=0,0,1+COUNTIF(DO$3:DO382,"&gt;0"))</f>
        <v>0</v>
      </c>
      <c r="DP383">
        <f>IF(IF(OR(IFERROR(SEARCH("Druid",$T383,1),0)&gt;0,IFERROR(SEARCH(DruidLand1,$T383,1),0)&gt;0,IFERROR(SEARCH(DruidLand2,$T383,1),0)&gt;0,IFERROR(SEARCH(DruidLand3,$T383,1),0)&gt;0,IFERROR(SEARCH(DruidLand4,$T383,1),0)&gt;0),1,0)*IF($C383=1,1,0)*IF($C383=DP$2,1,0)=0,0,1+COUNTIF(DP$3:DP382,"&gt;0"))</f>
        <v>0</v>
      </c>
      <c r="DQ383">
        <f>IF(IF(OR(IFERROR(SEARCH("Druid",$T383,1),0)&gt;0,IFERROR(SEARCH(DruidLand1,$T383,1),0)&gt;0,IFERROR(SEARCH(DruidLand2,$T383,1),0)&gt;0,IFERROR(SEARCH(DruidLand3,$T383,1),0)&gt;0,IFERROR(SEARCH(DruidLand4,$T383,1),0)&gt;0),1,0)*IF($C383=1,1,0)*IF($C383=DQ$2,1,0)=0,0,1+COUNTIF(DQ$3:DQ382,"&gt;0"))</f>
        <v>0</v>
      </c>
      <c r="DR383">
        <f>IF(IF(OR(IFERROR(SEARCH("Druid",$T383,1),0)&gt;0,IFERROR(SEARCH(DruidLand1,$T383,1),0)&gt;0,IFERROR(SEARCH(DruidLand2,$T383,1),0)&gt;0,IFERROR(SEARCH(DruidLand3,$T383,1),0)&gt;0,IFERROR(SEARCH(DruidLand4,$T383,1),0)&gt;0),1,0)*IF($C383=1,1,0)*IF($C383=DR$2,1,0)=0,0,1+COUNTIF(DR$3:DR382,"&gt;0"))</f>
        <v>0</v>
      </c>
      <c r="DS383">
        <f>IF(IF(OR(IFERROR(SEARCH("Paladin",$T383,1),0)&gt;0,IFERROR(SEARCH(PaladinOath,$T383,1),0)&gt;0),1,0)*IF($C383=DS$2,1,0)=1,1+COUNTIF(DS$3:DS382,"&gt;0"),0)</f>
        <v>0</v>
      </c>
      <c r="DT383">
        <f>IF(IF(OR(IFERROR(SEARCH("Paladin",$T383,1),0)&gt;0,IFERROR(SEARCH(PaladinOath,$T383,1),0)&gt;0),1,0)*IF($C383=DT$2,1,0)=1,1+COUNTIF(DT$3:DT382,"&gt;0"),0)</f>
        <v>0</v>
      </c>
      <c r="DU383">
        <f>IF(IF(OR(IFERROR(SEARCH("Paladin",$T383,1),0)&gt;0,IFERROR(SEARCH(PaladinOath,$T383,1),0)&gt;0),1,0)*IF($C383=DU$2,1,0)=1,1+COUNTIF(DU$3:DU382,"&gt;0"),0)</f>
        <v>0</v>
      </c>
      <c r="DV383">
        <f>IF(IF(OR(IFERROR(SEARCH("Paladin",$T383,1),0)&gt;0,IFERROR(SEARCH(PaladinOath,$T383,1),0)&gt;0),1,0)*IF($C383=DV$2,1,0)=1,1+COUNTIF(DV$3:DV382,"&gt;0"),0)</f>
        <v>0</v>
      </c>
      <c r="DW383">
        <f>IF(IF(OR(IFERROR(SEARCH("Paladin",$T383,1),0)&gt;0,IFERROR(SEARCH(PaladinOath,$T383,1),0)&gt;0),1,0)*IF($C383=DW$2,1,0)=1,1+COUNTIF(DW$3:DW382,"&gt;0"),0)</f>
        <v>0</v>
      </c>
      <c r="DY383">
        <f t="shared" si="278"/>
        <v>1</v>
      </c>
      <c r="DZ383">
        <f>IF(DY383=0,0,1+MAX(DZ$3:$DZ382))</f>
        <v>381</v>
      </c>
      <c r="EB383">
        <f t="shared" si="293"/>
        <v>0</v>
      </c>
      <c r="EC383">
        <f>IF(EB383=0,0,1+COUNTIF(EC$3:EC382,"&gt;0"))</f>
        <v>0</v>
      </c>
      <c r="ED383" t="str">
        <f t="shared" si="321"/>
        <v/>
      </c>
      <c r="EE383" t="str">
        <f t="shared" si="294"/>
        <v/>
      </c>
      <c r="EG383">
        <f t="shared" si="295"/>
        <v>0</v>
      </c>
      <c r="EH383">
        <f>IF(EG383=0,0,1+COUNTIF(EH$3:EH382,"&gt;0"))</f>
        <v>0</v>
      </c>
      <c r="EI383" t="str">
        <f t="shared" si="322"/>
        <v/>
      </c>
      <c r="EJ383" t="str">
        <f t="shared" si="296"/>
        <v/>
      </c>
      <c r="EL383">
        <f t="shared" si="297"/>
        <v>0</v>
      </c>
      <c r="EM383">
        <f>IF(EL383=0,0,1+COUNTIF(EM$3:EM382,"&gt;0"))</f>
        <v>0</v>
      </c>
      <c r="EN383" t="str">
        <f t="shared" si="323"/>
        <v/>
      </c>
      <c r="EO383" t="str">
        <f t="shared" si="298"/>
        <v/>
      </c>
      <c r="EQ383">
        <f t="shared" si="299"/>
        <v>0</v>
      </c>
      <c r="ER383">
        <f>IF(EQ383=0,0,1+COUNTIF(ER$3:ER382,"&gt;0"))</f>
        <v>0</v>
      </c>
      <c r="ES383" t="str">
        <f t="shared" si="324"/>
        <v/>
      </c>
      <c r="ET383" t="str">
        <f t="shared" si="300"/>
        <v/>
      </c>
      <c r="EV383">
        <f t="shared" si="301"/>
        <v>0</v>
      </c>
      <c r="EW383">
        <f>IF(EV383=0,0,1+COUNTIF(EW$3:EW382,"&gt;0"))</f>
        <v>0</v>
      </c>
      <c r="EX383" t="str">
        <f t="shared" si="325"/>
        <v/>
      </c>
      <c r="EY383" t="str">
        <f t="shared" si="302"/>
        <v/>
      </c>
      <c r="FA383">
        <f t="shared" si="303"/>
        <v>0</v>
      </c>
      <c r="FB383">
        <f>IF(FA383=0,0,1+COUNTIF(FB$3:FB382,"&gt;0"))</f>
        <v>0</v>
      </c>
      <c r="FC383" t="str">
        <f t="shared" si="326"/>
        <v/>
      </c>
      <c r="FD383" t="str">
        <f t="shared" si="304"/>
        <v/>
      </c>
      <c r="FF383">
        <f t="shared" si="305"/>
        <v>0</v>
      </c>
      <c r="FG383">
        <f>IF(FF383=0,0,1+COUNTIF(FG$3:FG382,"&gt;0"))</f>
        <v>0</v>
      </c>
      <c r="FH383" t="str">
        <f t="shared" si="327"/>
        <v/>
      </c>
      <c r="FI383" t="str">
        <f t="shared" si="306"/>
        <v/>
      </c>
      <c r="FK383">
        <f t="shared" si="307"/>
        <v>0</v>
      </c>
      <c r="FL383">
        <f>IF(FK383=0,0,1+COUNTIF(FL$3:FL382,"&gt;0"))</f>
        <v>0</v>
      </c>
      <c r="FM383" t="str">
        <f t="shared" si="328"/>
        <v/>
      </c>
      <c r="FN383" t="str">
        <f t="shared" si="308"/>
        <v/>
      </c>
      <c r="FP383">
        <f t="shared" si="309"/>
        <v>0</v>
      </c>
      <c r="FQ383">
        <f>IF(FP383=0,0,1+COUNTIF(FQ$3:FQ382,"&gt;0"))</f>
        <v>0</v>
      </c>
      <c r="FR383" t="str">
        <f t="shared" si="329"/>
        <v/>
      </c>
      <c r="FS383" t="str">
        <f t="shared" si="310"/>
        <v/>
      </c>
    </row>
    <row r="384" spans="1:175" x14ac:dyDescent="0.25">
      <c r="A384" s="347">
        <f t="shared" si="331"/>
        <v>382</v>
      </c>
      <c r="B384" s="398" t="s">
        <v>5548</v>
      </c>
      <c r="C384" s="348">
        <v>6</v>
      </c>
      <c r="D384" s="347">
        <v>6</v>
      </c>
      <c r="E384" s="627" t="s">
        <v>6957</v>
      </c>
      <c r="F384" s="346"/>
      <c r="G384" s="347" t="str">
        <f>""</f>
        <v/>
      </c>
      <c r="H384" s="347" t="s">
        <v>5912</v>
      </c>
      <c r="I384" s="347" t="s">
        <v>2353</v>
      </c>
      <c r="J384" s="347" t="str">
        <f t="shared" si="279"/>
        <v/>
      </c>
      <c r="K384" s="347" t="s">
        <v>5297</v>
      </c>
      <c r="L384" s="611" t="str">
        <f t="shared" si="280"/>
        <v>V, S</v>
      </c>
      <c r="M384" s="347" t="s">
        <v>2373</v>
      </c>
      <c r="N384" s="347" t="s">
        <v>2387</v>
      </c>
      <c r="O384" s="347" t="s">
        <v>3034</v>
      </c>
      <c r="P384" s="346" t="str">
        <f>""</f>
        <v/>
      </c>
      <c r="Q384" s="347" t="s">
        <v>5276</v>
      </c>
      <c r="S384" s="346" t="s">
        <v>5886</v>
      </c>
      <c r="T384" s="346" t="str">
        <f t="shared" si="281"/>
        <v xml:space="preserve">Sorcerer, Warlock, Druid, Wizard, </v>
      </c>
      <c r="X384" s="347" t="str">
        <f t="shared" si="336"/>
        <v>Investiture of Flame</v>
      </c>
      <c r="Y384" s="347" t="str">
        <f t="shared" si="336"/>
        <v>Investiture of Flame</v>
      </c>
      <c r="AA384" s="347" t="str">
        <f t="shared" ref="AA384:AA389" si="337">$B384</f>
        <v>Investiture of Flame</v>
      </c>
      <c r="AD384" s="347" t="str">
        <f t="shared" si="334"/>
        <v>Investiture of Flame</v>
      </c>
      <c r="AE384" t="str">
        <f>IF(IFERROR(MATCH($B384,temp!A$4:A$13,0),0)&gt;0,T08_Spells!AE$2,"")</f>
        <v/>
      </c>
      <c r="AF384" t="str">
        <f>IF(IFERROR(MATCH($B384,temp!B$4:B$13,0),0)&gt;0,T08_Spells!AF$2,"")</f>
        <v/>
      </c>
      <c r="AG384" t="str">
        <f>IF(IFERROR(MATCH($B384,temp!C$4:C$13,0),0)&gt;0,T08_Spells!AG$2,"")</f>
        <v/>
      </c>
      <c r="AH384" t="str">
        <f>IF(IFERROR(MATCH($B384,temp!D$4:D$13,0),0)&gt;0,T08_Spells!AH$2,"")</f>
        <v/>
      </c>
      <c r="AI384" t="str">
        <f>IF(IFERROR(MATCH($B384,temp!E$4:E$13,0),0)&gt;0,T08_Spells!AI$2,"")</f>
        <v/>
      </c>
      <c r="AJ384" t="str">
        <f>IF(IFERROR(MATCH($B384,temp!F$4:F$13,0),0)&gt;0,T08_Spells!AJ$2,"")</f>
        <v/>
      </c>
      <c r="AK384" t="str">
        <f>IF(IFERROR(MATCH($B384,temp!G$4:G$13,0),0)&gt;0,T08_Spells!AK$2,"")</f>
        <v/>
      </c>
      <c r="AL384" t="str">
        <f>IF(IFERROR(MATCH($B384,temp!H$4:H$13,0),0)&gt;0,T08_Spells!AL$2,"")</f>
        <v/>
      </c>
      <c r="AM384" t="str">
        <f>IF(IFERROR(MATCH($B384,temp!I$4:I$13,0),0)&gt;0,T08_Spells!AM$2,"")</f>
        <v/>
      </c>
      <c r="AN384" t="str">
        <f>IF(IFERROR(MATCH($B384,temp!J$4:J$13,0),0)&gt;0,T08_Spells!AN$2,"")</f>
        <v/>
      </c>
      <c r="AO384" t="str">
        <f>IF(IFERROR(MATCH($B384,temp!K$4:K$13,0),0)&gt;0,T08_Spells!AO$2,"")</f>
        <v/>
      </c>
      <c r="AP384" t="str">
        <f>IF(IFERROR(MATCH($B384,temp!L$4:L$13,0),0)&gt;0,T08_Spells!AP$2,"")</f>
        <v/>
      </c>
      <c r="AQ384" t="str">
        <f>IF(IFERROR(MATCH($B384,temp!M$4:M$13,0),0)&gt;0,T08_Spells!AQ$2,"")</f>
        <v/>
      </c>
      <c r="AR384" t="str">
        <f>IF(IFERROR(MATCH($B384,temp!N$4:N$13,0),0)&gt;0,T08_Spells!AR$2,"")</f>
        <v/>
      </c>
      <c r="AS384" t="str">
        <f>IF(IFERROR(MATCH($B384,temp!O$4:O$13,0),0)&gt;0,T08_Spells!AS$2,"")</f>
        <v/>
      </c>
      <c r="AT384" t="str">
        <f>IF(IFERROR(MATCH($B384,temp!P$4:P$13,0),0)&gt;0,T08_Spells!AT$2,"")</f>
        <v/>
      </c>
      <c r="AU384" t="str">
        <f>IF(IFERROR(MATCH($B384,temp!Q$4:Q$13,0),0)&gt;0,T08_Spells!AU$2,"")</f>
        <v/>
      </c>
      <c r="AV384" t="str">
        <f>IF(IFERROR(MATCH($B384,temp!R$4:R$13,0),0)&gt;0,T08_Spells!AV$2,"")</f>
        <v/>
      </c>
      <c r="AW384" t="str">
        <f>IF(IFERROR(MATCH($B384,temp!S$4:S$13,0),0)&gt;0,T08_Spells!AW$2,"")</f>
        <v/>
      </c>
      <c r="AX384" t="str">
        <f>IF(IFERROR(MATCH($B384,temp!T$4:T$13,0),0)&gt;0,T08_Spells!AX$2,"")</f>
        <v/>
      </c>
      <c r="AY384" t="str">
        <f>IF(IFERROR(MATCH($B384,temp!U$4:U$13,0),0)&gt;0,T08_Spells!AY$2,"")</f>
        <v/>
      </c>
      <c r="AZ384" t="str">
        <f>IF(IFERROR(MATCH($B384,temp!V$4:V$13,0),0)&gt;0,T08_Spells!AZ$2,"")</f>
        <v/>
      </c>
      <c r="BA384" t="str">
        <f>IF(IFERROR(MATCH($B384,temp!W$4:W$13,0),0)&gt;0,T08_Spells!BA$2,"")</f>
        <v/>
      </c>
      <c r="BC384">
        <f>IF(IFERROR(SEARCH("Ranger",$T384,1),0)&gt;0,1,0)*IF(RangerMaxSpellLevel&gt;=$C384,1,0)*IF(IFERROR(MATCH(B384,Character_Creation!$X$79:$X$382,0),0)&gt;0,0,1)</f>
        <v>0</v>
      </c>
      <c r="BD384">
        <f>IF(BC384=0,0,1+COUNTIF(BD$3:BD383,"&gt;0"))</f>
        <v>0</v>
      </c>
      <c r="BE384" t="str">
        <f t="shared" si="311"/>
        <v/>
      </c>
      <c r="BF384" t="str">
        <f t="shared" si="283"/>
        <v/>
      </c>
      <c r="BH384">
        <f>IF(IFERROR(SEARCH("Sorcerer",$T384,1),0)&gt;0,1,0)*IF(SorcererMaxSpellLevel&gt;=$C384,1,0)*IF(IFERROR(MATCH(B384,Character_Creation!$J$380:$J$394,0),0)&gt;0,0,1)</f>
        <v>0</v>
      </c>
      <c r="BI384">
        <f>IF(BH384=0,0,1+COUNTIF(BI$3:BI383,"&gt;0"))</f>
        <v>0</v>
      </c>
      <c r="BJ384" t="str">
        <f t="shared" si="312"/>
        <v/>
      </c>
      <c r="BK384" t="str">
        <f t="shared" si="284"/>
        <v/>
      </c>
      <c r="BM384">
        <f>IF(OR(IFERROR(SEARCH("Warlock",$T384,1),0)&gt;0,IFERROR(SEARCH(WarlockPatron,$T384,1),0)&gt;0),1,0)*IF(WarlockMaxSpellLevel&gt;=$C384,1,0)*IF(IFERROR(MATCH(B384,Character_Creation!$J$361:$J$375,0),0)&gt;0,0,1)</f>
        <v>0</v>
      </c>
      <c r="BN384">
        <f>IF(BM384=0,0,1+COUNTIF(BN$3:BN383,"&gt;0"))</f>
        <v>0</v>
      </c>
      <c r="BO384" t="str">
        <f t="shared" si="313"/>
        <v/>
      </c>
      <c r="BP384" t="str">
        <f t="shared" si="285"/>
        <v/>
      </c>
      <c r="BR384">
        <f>IF(IFERROR(SEARCH("Eldritch Knight",$T384,1),0)&gt;0,1,0)*IF(EldritchKnightMaxSpellLevel&gt;=$C384,1,0)*IF(IFERROR(MATCH($B384,Character_Creation!$J$350:$J$356,0),0)&gt;0,0,1)*IF(Character_Creation!$M$338&gt;0,1,0)</f>
        <v>0</v>
      </c>
      <c r="BS384">
        <f>IF(BR384=0,0,1+COUNTIF(BS$3:BS383,"&gt;0"))</f>
        <v>0</v>
      </c>
      <c r="BT384" t="str">
        <f t="shared" si="314"/>
        <v/>
      </c>
      <c r="BU384" t="str">
        <f t="shared" si="286"/>
        <v/>
      </c>
      <c r="BW384">
        <f>IF(IFERROR(SEARCH("Arcane Trickster",$T384,1),0)&gt;0,1,0)*IF(ArcaneTricksterMaxSpellLevel&gt;=$C384,1,0)*IF(IFERROR(MATCH($B384,Character_Creation!$J$350:$J$356,0),0)&gt;0,0,1)*IF(Character_Creation!$T$338&gt;0,1,0)</f>
        <v>0</v>
      </c>
      <c r="BX384">
        <f>IF(BW384=0,0,1+COUNTIF(BX$3:BX383,"&gt;0"))</f>
        <v>0</v>
      </c>
      <c r="BY384" t="str">
        <f t="shared" si="315"/>
        <v/>
      </c>
      <c r="BZ384" t="str">
        <f t="shared" si="287"/>
        <v/>
      </c>
      <c r="CB384">
        <f>IF(IFERROR(SEARCH("Wizard",$T384,1),0)&gt;0,1,0)*IF(C384&lt;=ArcaneTricksterMaxSpellLevel,1,0)*IF(IFERROR(MATCH($B384,Character_Creation!$J$350:$J$356,0),0)&gt;0,0,1)*IF(Character_Creation!$T$350&gt;0,1,0)</f>
        <v>0</v>
      </c>
      <c r="CC384">
        <f>IF(CB384=0,0,1+COUNTIF(CC$3:CC383,"&gt;0"))</f>
        <v>0</v>
      </c>
      <c r="CD384" t="str">
        <f t="shared" si="316"/>
        <v/>
      </c>
      <c r="CE384" t="str">
        <f t="shared" si="288"/>
        <v/>
      </c>
      <c r="CG384">
        <f>IF(IFERROR(SEARCH("Wizard",$T384,1),0)&gt;0,1,0)*IF($C384&lt;=EldritchKnightMaxSpellLevel,1,0)*IF(IFERROR(MATCH($B384,Character_Creation!$J$350:$J$356,0),0)&gt;0,0,1)*IF(Character_Creation!$M$350&gt;0,1,0)</f>
        <v>0</v>
      </c>
      <c r="CH384">
        <f>IF(CG384=0,0,1+COUNTIF(CH$3:CH383,"&gt;0"))</f>
        <v>0</v>
      </c>
      <c r="CI384" t="str">
        <f t="shared" si="317"/>
        <v/>
      </c>
      <c r="CJ384" t="str">
        <f t="shared" si="289"/>
        <v/>
      </c>
      <c r="CL384">
        <f>IF(IFERROR(SEARCH("Bard",$T384,1),0)&gt;0,1,0)*IF(BardMaxSpellLevel&gt;=$C384,1,0)*IF(IFERROR(MATCH(B384,Character_Creation!$C$341:$F$362,0),0)&gt;0,0,1)*IF(IFERROR(MATCH($B384,Character_Creation!$C$341:$C$362,0),0)&gt;0,0,1)</f>
        <v>0</v>
      </c>
      <c r="CM384">
        <f>IF(CL384=0,0,1+COUNTIF(CM$3:CM383,"&gt;0"))</f>
        <v>0</v>
      </c>
      <c r="CN384" t="str">
        <f t="shared" si="318"/>
        <v/>
      </c>
      <c r="CO384" t="str">
        <f t="shared" si="290"/>
        <v/>
      </c>
      <c r="CQ384">
        <f>IF(IFERROR(SEARCH("Wizard",$T384,1),0)&gt;0,1,0)*IF(WizardMaxSpellLevel&gt;=$C384,1,0)*IF(IFERROR(MATCH(B384,Character_Creation!$X$341:$X$400,0),0)&gt;0,0,1)*IF(SelectedWizardSpellLevel=$C384,1,0)</f>
        <v>0</v>
      </c>
      <c r="CR384">
        <f>IF(CQ384=0,0,1+COUNTIF(CR$3:CR383,"&gt;0"))</f>
        <v>0</v>
      </c>
      <c r="CS384" t="str">
        <f t="shared" si="319"/>
        <v/>
      </c>
      <c r="CT384" t="str">
        <f t="shared" si="291"/>
        <v/>
      </c>
      <c r="CV384">
        <f>IF(IFERROR(MATCH($B384,Character_Creation!$C$341:$C$362,0),0)&gt;0,0,1)*IF(OR(C384="Cantrip",C384&lt;=BardMaxSpellLevel),1,0)*IF(IFERROR(MATCH($B384,Character_Creation!$C$367:$C$374,0),0)&gt;0,0,1)</f>
        <v>0</v>
      </c>
      <c r="CW384">
        <f>IF(CV384=0,0,1+COUNTIF(CW$3:CW383,"&gt;0"))</f>
        <v>0</v>
      </c>
      <c r="CX384" t="str">
        <f t="shared" si="320"/>
        <v/>
      </c>
      <c r="CY384" t="str">
        <f t="shared" si="292"/>
        <v/>
      </c>
      <c r="DA384">
        <f>IF(IF(OR(IFERROR(SEARCH("Cleric",$T384,1),0)&gt;0,IFERROR(SEARCH(DivineDomain&amp;",",$T384,1),0)&gt;0),1,0)*IF($C384=DA$2,1,0)=1,1+COUNTIF(DA$3:DA383,"&gt;0"),0)</f>
        <v>0</v>
      </c>
      <c r="DB384">
        <f>IF(IF(OR(IFERROR(SEARCH("Cleric",$T384,1),0)&gt;0,IFERROR(SEARCH(DivineDomain&amp;",",$T384,1),0)&gt;0),1,0)*IF($C384=DB$2,1,0)=1,1+COUNTIF(DB$3:DB383,"&gt;0"),0)</f>
        <v>0</v>
      </c>
      <c r="DC384">
        <f>IF(IF(OR(IFERROR(SEARCH("Cleric",$T384,1),0)&gt;0,IFERROR(SEARCH(DivineDomain&amp;",",$T384,1),0)&gt;0),1,0)*IF($C384=DC$2,1,0)=1,1+COUNTIF(DC$3:DC383,"&gt;0"),0)</f>
        <v>0</v>
      </c>
      <c r="DD384">
        <f>IF(IF(OR(IFERROR(SEARCH("Cleric",$T384,1),0)&gt;0,IFERROR(SEARCH(DivineDomain&amp;",",$T384,1),0)&gt;0),1,0)*IF($C384=DD$2,1,0)=1,1+COUNTIF(DD$3:DD383,"&gt;0"),0)</f>
        <v>0</v>
      </c>
      <c r="DE384">
        <f>IF(IF(OR(IFERROR(SEARCH("Cleric",$T384,1),0)&gt;0,IFERROR(SEARCH(DivineDomain&amp;",",$T384,1),0)&gt;0),1,0)*IF($C384=DE$2,1,0)=1,1+COUNTIF(DE$3:DE383,"&gt;0"),0)</f>
        <v>0</v>
      </c>
      <c r="DF384">
        <f>IF(IF(OR(IFERROR(SEARCH("Cleric",$T384,1),0)&gt;0,IFERROR(SEARCH(DivineDomain&amp;",",$T384,1),0)&gt;0),1,0)*IF($C384=DF$2,1,0)=1,1+COUNTIF(DF$3:DF383,"&gt;0"),0)</f>
        <v>0</v>
      </c>
      <c r="DG384">
        <f>IF(IF(OR(IFERROR(SEARCH("Cleric",$T384,1),0)&gt;0,IFERROR(SEARCH(DivineDomain&amp;",",$T384,1),0)&gt;0),1,0)*IF($C384=DG$2,1,0)=1,1+COUNTIF(DG$3:DG383,"&gt;0"),0)</f>
        <v>0</v>
      </c>
      <c r="DH384">
        <f>IF(IF(OR(IFERROR(SEARCH("Cleric",$T384,1),0)&gt;0,IFERROR(SEARCH(DivineDomain&amp;",",$T384,1),0)&gt;0),1,0)*IF($C384=DH$2,1,0)=1,1+COUNTIF(DH$3:DH383,"&gt;0"),0)</f>
        <v>0</v>
      </c>
      <c r="DI384">
        <f>IF(IF(OR(IFERROR(SEARCH("Cleric",$T384,1),0)&gt;0,IFERROR(SEARCH(DivineDomain&amp;",",$T384,1),0)&gt;0),1,0)*IF($C384=DI$2,1,0)=1,1+COUNTIF(DI$3:DI383,"&gt;0"),0)</f>
        <v>0</v>
      </c>
      <c r="DJ384">
        <f>IF(IF(OR(IFERROR(SEARCH("Druid",$T384,1),0)&gt;0,IFERROR(SEARCH(DruidLand1,$T384,1),0)&gt;0,IFERROR(SEARCH(DruidLand2,$T384,1),0)&gt;0,IFERROR(SEARCH(DruidLand3,$T384,1),0)&gt;0,IFERROR(SEARCH(DruidLand4,$T384,1),0)&gt;0),1,0)*IF($C384=1,1,0)*IF($C384=DJ$2,1,0)=0,0,1+COUNTIF(DJ$3:DJ383,"&gt;0"))</f>
        <v>0</v>
      </c>
      <c r="DK384">
        <f>IF(IF(OR(IFERROR(SEARCH("Druid",$T384,1),0)&gt;0,IFERROR(SEARCH(DruidLand1,$T384,1),0)&gt;0,IFERROR(SEARCH(DruidLand2,$T384,1),0)&gt;0,IFERROR(SEARCH(DruidLand3,$T384,1),0)&gt;0,IFERROR(SEARCH(DruidLand4,$T384,1),0)&gt;0),1,0)*IF($C384=DK$2,1,0)=0,0,1+COUNTIF(DK$3:DK383,"&gt;0"))</f>
        <v>0</v>
      </c>
      <c r="DL384">
        <f>IF(IF(OR(IFERROR(SEARCH("Druid",$T384,1),0)&gt;0,IFERROR(SEARCH(DruidLand1,$T384,1),0)&gt;0,IFERROR(SEARCH(DruidLand2,$T384,1),0)&gt;0,IFERROR(SEARCH(DruidLand3,$T384,1),0)&gt;0,IFERROR(SEARCH(DruidLand4,$T384,1),0)&gt;0),1,0)*IF($C384=DL$2,1,0)=0,0,1+COUNTIF(DL$3:DL383,"&gt;0"))</f>
        <v>0</v>
      </c>
      <c r="DM384">
        <f>IF(IF(OR(IFERROR(SEARCH("Druid",$T384,1),0)&gt;0,IFERROR(SEARCH(DruidLand1,$T384,1),0)&gt;0,IFERROR(SEARCH(DruidLand2,$T384,1),0)&gt;0,IFERROR(SEARCH(DruidLand3,$T384,1),0)&gt;0,IFERROR(SEARCH(DruidLand4,$T384,1),0)&gt;0),1,0)*IF($C384=DM$2,1,0)=0,0,1+COUNTIF(DM$3:DM383,"&gt;0"))</f>
        <v>0</v>
      </c>
      <c r="DN384">
        <f>IF(IF(OR(IFERROR(SEARCH("Druid",$T384,1),0)&gt;0,IFERROR(SEARCH(DruidLand1,$T384,1),0)&gt;0,IFERROR(SEARCH(DruidLand2,$T384,1),0)&gt;0,IFERROR(SEARCH(DruidLand3,$T384,1),0)&gt;0,IFERROR(SEARCH(DruidLand4,$T384,1),0)&gt;0),1,0)*IF($C384=DN$2,1,0)=0,0,1+COUNTIF(DN$3:DN383,"&gt;0"))</f>
        <v>0</v>
      </c>
      <c r="DO384">
        <f>IF(IF(OR(IFERROR(SEARCH("Druid",$T384,1),0)&gt;0,IFERROR(SEARCH(DruidLand1,$T384,1),0)&gt;0,IFERROR(SEARCH(DruidLand2,$T384,1),0)&gt;0,IFERROR(SEARCH(DruidLand3,$T384,1),0)&gt;0,IFERROR(SEARCH(DruidLand4,$T384,1),0)&gt;0),1,0)*IF($C384=DO$2,1,0)=0,0,1+COUNTIF(DO$3:DO383,"&gt;0"))</f>
        <v>11</v>
      </c>
      <c r="DP384">
        <f>IF(IF(OR(IFERROR(SEARCH("Druid",$T384,1),0)&gt;0,IFERROR(SEARCH(DruidLand1,$T384,1),0)&gt;0,IFERROR(SEARCH(DruidLand2,$T384,1),0)&gt;0,IFERROR(SEARCH(DruidLand3,$T384,1),0)&gt;0,IFERROR(SEARCH(DruidLand4,$T384,1),0)&gt;0),1,0)*IF($C384=DP$2,1,0)=0,0,1+COUNTIF(DP$3:DP383,"&gt;0"))</f>
        <v>0</v>
      </c>
      <c r="DQ384">
        <f>IF(IF(OR(IFERROR(SEARCH("Druid",$T384,1),0)&gt;0,IFERROR(SEARCH(DruidLand1,$T384,1),0)&gt;0,IFERROR(SEARCH(DruidLand2,$T384,1),0)&gt;0,IFERROR(SEARCH(DruidLand3,$T384,1),0)&gt;0,IFERROR(SEARCH(DruidLand4,$T384,1),0)&gt;0),1,0)*IF($C384=DQ$2,1,0)=0,0,1+COUNTIF(DQ$3:DQ383,"&gt;0"))</f>
        <v>0</v>
      </c>
      <c r="DR384">
        <f>IF(IF(OR(IFERROR(SEARCH("Druid",$T384,1),0)&gt;0,IFERROR(SEARCH(DruidLand1,$T384,1),0)&gt;0,IFERROR(SEARCH(DruidLand2,$T384,1),0)&gt;0,IFERROR(SEARCH(DruidLand3,$T384,1),0)&gt;0,IFERROR(SEARCH(DruidLand4,$T384,1),0)&gt;0),1,0)*IF($C384=DR$2,1,0)=0,0,1+COUNTIF(DR$3:DR383,"&gt;0"))</f>
        <v>0</v>
      </c>
      <c r="DS384">
        <f>IF(IF(OR(IFERROR(SEARCH("Paladin",$T384,1),0)&gt;0,IFERROR(SEARCH(PaladinOath,$T384,1),0)&gt;0),1,0)*IF($C384=DS$2,1,0)=1,1+COUNTIF(DS$3:DS383,"&gt;0"),0)</f>
        <v>0</v>
      </c>
      <c r="DT384">
        <f>IF(IF(OR(IFERROR(SEARCH("Paladin",$T384,1),0)&gt;0,IFERROR(SEARCH(PaladinOath,$T384,1),0)&gt;0),1,0)*IF($C384=DT$2,1,0)=1,1+COUNTIF(DT$3:DT383,"&gt;0"),0)</f>
        <v>0</v>
      </c>
      <c r="DU384">
        <f>IF(IF(OR(IFERROR(SEARCH("Paladin",$T384,1),0)&gt;0,IFERROR(SEARCH(PaladinOath,$T384,1),0)&gt;0),1,0)*IF($C384=DU$2,1,0)=1,1+COUNTIF(DU$3:DU383,"&gt;0"),0)</f>
        <v>0</v>
      </c>
      <c r="DV384">
        <f>IF(IF(OR(IFERROR(SEARCH("Paladin",$T384,1),0)&gt;0,IFERROR(SEARCH(PaladinOath,$T384,1),0)&gt;0),1,0)*IF($C384=DV$2,1,0)=1,1+COUNTIF(DV$3:DV383,"&gt;0"),0)</f>
        <v>0</v>
      </c>
      <c r="DW384">
        <f>IF(IF(OR(IFERROR(SEARCH("Paladin",$T384,1),0)&gt;0,IFERROR(SEARCH(PaladinOath,$T384,1),0)&gt;0),1,0)*IF($C384=DW$2,1,0)=1,1+COUNTIF(DW$3:DW383,"&gt;0"),0)</f>
        <v>0</v>
      </c>
      <c r="DY384">
        <f t="shared" si="278"/>
        <v>1</v>
      </c>
      <c r="DZ384">
        <f>IF(DY384=0,0,1+MAX(DZ$3:$DZ383))</f>
        <v>382</v>
      </c>
      <c r="EB384">
        <f t="shared" si="293"/>
        <v>0</v>
      </c>
      <c r="EC384">
        <f>IF(EB384=0,0,1+COUNTIF(EC$3:EC383,"&gt;0"))</f>
        <v>0</v>
      </c>
      <c r="ED384" t="str">
        <f t="shared" si="321"/>
        <v/>
      </c>
      <c r="EE384" t="str">
        <f t="shared" si="294"/>
        <v/>
      </c>
      <c r="EG384">
        <f t="shared" si="295"/>
        <v>0</v>
      </c>
      <c r="EH384">
        <f>IF(EG384=0,0,1+COUNTIF(EH$3:EH383,"&gt;0"))</f>
        <v>0</v>
      </c>
      <c r="EI384" t="str">
        <f t="shared" si="322"/>
        <v/>
      </c>
      <c r="EJ384" t="str">
        <f t="shared" si="296"/>
        <v/>
      </c>
      <c r="EL384">
        <f t="shared" si="297"/>
        <v>0</v>
      </c>
      <c r="EM384">
        <f>IF(EL384=0,0,1+COUNTIF(EM$3:EM383,"&gt;0"))</f>
        <v>0</v>
      </c>
      <c r="EN384" t="str">
        <f t="shared" si="323"/>
        <v/>
      </c>
      <c r="EO384" t="str">
        <f t="shared" si="298"/>
        <v/>
      </c>
      <c r="EQ384">
        <f t="shared" si="299"/>
        <v>0</v>
      </c>
      <c r="ER384">
        <f>IF(EQ384=0,0,1+COUNTIF(ER$3:ER383,"&gt;0"))</f>
        <v>0</v>
      </c>
      <c r="ES384" t="str">
        <f t="shared" si="324"/>
        <v/>
      </c>
      <c r="ET384" t="str">
        <f t="shared" si="300"/>
        <v/>
      </c>
      <c r="EV384">
        <f t="shared" si="301"/>
        <v>0</v>
      </c>
      <c r="EW384">
        <f>IF(EV384=0,0,1+COUNTIF(EW$3:EW383,"&gt;0"))</f>
        <v>0</v>
      </c>
      <c r="EX384" t="str">
        <f t="shared" si="325"/>
        <v/>
      </c>
      <c r="EY384" t="str">
        <f t="shared" si="302"/>
        <v/>
      </c>
      <c r="FA384">
        <f t="shared" si="303"/>
        <v>0</v>
      </c>
      <c r="FB384">
        <f>IF(FA384=0,0,1+COUNTIF(FB$3:FB383,"&gt;0"))</f>
        <v>0</v>
      </c>
      <c r="FC384" t="str">
        <f t="shared" si="326"/>
        <v/>
      </c>
      <c r="FD384" t="str">
        <f t="shared" si="304"/>
        <v/>
      </c>
      <c r="FF384">
        <f t="shared" si="305"/>
        <v>0</v>
      </c>
      <c r="FG384">
        <f>IF(FF384=0,0,1+COUNTIF(FG$3:FG383,"&gt;0"))</f>
        <v>0</v>
      </c>
      <c r="FH384" t="str">
        <f t="shared" si="327"/>
        <v/>
      </c>
      <c r="FI384" t="str">
        <f t="shared" si="306"/>
        <v/>
      </c>
      <c r="FK384">
        <f t="shared" si="307"/>
        <v>0</v>
      </c>
      <c r="FL384">
        <f>IF(FK384=0,0,1+COUNTIF(FL$3:FL383,"&gt;0"))</f>
        <v>0</v>
      </c>
      <c r="FM384" t="str">
        <f t="shared" si="328"/>
        <v/>
      </c>
      <c r="FN384" t="str">
        <f t="shared" si="308"/>
        <v/>
      </c>
      <c r="FP384">
        <f t="shared" si="309"/>
        <v>0</v>
      </c>
      <c r="FQ384">
        <f>IF(FP384=0,0,1+COUNTIF(FQ$3:FQ383,"&gt;0"))</f>
        <v>0</v>
      </c>
      <c r="FR384" t="str">
        <f t="shared" si="329"/>
        <v/>
      </c>
      <c r="FS384" t="str">
        <f t="shared" si="310"/>
        <v/>
      </c>
    </row>
    <row r="385" spans="1:175" x14ac:dyDescent="0.25">
      <c r="A385" s="347">
        <f t="shared" si="331"/>
        <v>383</v>
      </c>
      <c r="B385" s="398" t="s">
        <v>5549</v>
      </c>
      <c r="C385" s="348">
        <v>6</v>
      </c>
      <c r="D385" s="347">
        <v>6</v>
      </c>
      <c r="E385" s="627" t="s">
        <v>6957</v>
      </c>
      <c r="F385" s="346"/>
      <c r="G385" s="347" t="str">
        <f>""</f>
        <v/>
      </c>
      <c r="H385" s="347" t="s">
        <v>5912</v>
      </c>
      <c r="I385" s="347" t="s">
        <v>2353</v>
      </c>
      <c r="J385" s="347" t="str">
        <f t="shared" si="279"/>
        <v/>
      </c>
      <c r="K385" s="347" t="s">
        <v>5297</v>
      </c>
      <c r="L385" s="611" t="str">
        <f t="shared" si="280"/>
        <v>V, S</v>
      </c>
      <c r="M385" s="347" t="s">
        <v>2373</v>
      </c>
      <c r="N385" s="347" t="s">
        <v>2387</v>
      </c>
      <c r="O385" s="347" t="s">
        <v>3034</v>
      </c>
      <c r="P385" s="346" t="str">
        <f>""</f>
        <v/>
      </c>
      <c r="Q385" s="347" t="s">
        <v>5276</v>
      </c>
      <c r="S385" s="346" t="s">
        <v>5887</v>
      </c>
      <c r="T385" s="346" t="str">
        <f t="shared" si="281"/>
        <v xml:space="preserve">Sorcerer, Warlock, Druid, Wizard, </v>
      </c>
      <c r="X385" s="347" t="str">
        <f t="shared" si="336"/>
        <v>Investiture of Ice</v>
      </c>
      <c r="Y385" s="347" t="str">
        <f t="shared" si="336"/>
        <v>Investiture of Ice</v>
      </c>
      <c r="AA385" s="347" t="str">
        <f t="shared" si="337"/>
        <v>Investiture of Ice</v>
      </c>
      <c r="AD385" s="347" t="str">
        <f t="shared" si="334"/>
        <v>Investiture of Ice</v>
      </c>
      <c r="AE385" t="str">
        <f>IF(IFERROR(MATCH($B385,temp!A$4:A$13,0),0)&gt;0,T08_Spells!AE$2,"")</f>
        <v/>
      </c>
      <c r="AF385" t="str">
        <f>IF(IFERROR(MATCH($B385,temp!B$4:B$13,0),0)&gt;0,T08_Spells!AF$2,"")</f>
        <v/>
      </c>
      <c r="AG385" t="str">
        <f>IF(IFERROR(MATCH($B385,temp!C$4:C$13,0),0)&gt;0,T08_Spells!AG$2,"")</f>
        <v/>
      </c>
      <c r="AH385" t="str">
        <f>IF(IFERROR(MATCH($B385,temp!D$4:D$13,0),0)&gt;0,T08_Spells!AH$2,"")</f>
        <v/>
      </c>
      <c r="AI385" t="str">
        <f>IF(IFERROR(MATCH($B385,temp!E$4:E$13,0),0)&gt;0,T08_Spells!AI$2,"")</f>
        <v/>
      </c>
      <c r="AJ385" t="str">
        <f>IF(IFERROR(MATCH($B385,temp!F$4:F$13,0),0)&gt;0,T08_Spells!AJ$2,"")</f>
        <v/>
      </c>
      <c r="AK385" t="str">
        <f>IF(IFERROR(MATCH($B385,temp!G$4:G$13,0),0)&gt;0,T08_Spells!AK$2,"")</f>
        <v/>
      </c>
      <c r="AL385" t="str">
        <f>IF(IFERROR(MATCH($B385,temp!H$4:H$13,0),0)&gt;0,T08_Spells!AL$2,"")</f>
        <v/>
      </c>
      <c r="AM385" t="str">
        <f>IF(IFERROR(MATCH($B385,temp!I$4:I$13,0),0)&gt;0,T08_Spells!AM$2,"")</f>
        <v/>
      </c>
      <c r="AN385" t="str">
        <f>IF(IFERROR(MATCH($B385,temp!J$4:J$13,0),0)&gt;0,T08_Spells!AN$2,"")</f>
        <v/>
      </c>
      <c r="AO385" t="str">
        <f>IF(IFERROR(MATCH($B385,temp!K$4:K$13,0),0)&gt;0,T08_Spells!AO$2,"")</f>
        <v/>
      </c>
      <c r="AP385" t="str">
        <f>IF(IFERROR(MATCH($B385,temp!L$4:L$13,0),0)&gt;0,T08_Spells!AP$2,"")</f>
        <v/>
      </c>
      <c r="AQ385" t="str">
        <f>IF(IFERROR(MATCH($B385,temp!M$4:M$13,0),0)&gt;0,T08_Spells!AQ$2,"")</f>
        <v/>
      </c>
      <c r="AR385" t="str">
        <f>IF(IFERROR(MATCH($B385,temp!N$4:N$13,0),0)&gt;0,T08_Spells!AR$2,"")</f>
        <v/>
      </c>
      <c r="AS385" t="str">
        <f>IF(IFERROR(MATCH($B385,temp!O$4:O$13,0),0)&gt;0,T08_Spells!AS$2,"")</f>
        <v/>
      </c>
      <c r="AT385" t="str">
        <f>IF(IFERROR(MATCH($B385,temp!P$4:P$13,0),0)&gt;0,T08_Spells!AT$2,"")</f>
        <v/>
      </c>
      <c r="AU385" t="str">
        <f>IF(IFERROR(MATCH($B385,temp!Q$4:Q$13,0),0)&gt;0,T08_Spells!AU$2,"")</f>
        <v/>
      </c>
      <c r="AV385" t="str">
        <f>IF(IFERROR(MATCH($B385,temp!R$4:R$13,0),0)&gt;0,T08_Spells!AV$2,"")</f>
        <v/>
      </c>
      <c r="AW385" t="str">
        <f>IF(IFERROR(MATCH($B385,temp!S$4:S$13,0),0)&gt;0,T08_Spells!AW$2,"")</f>
        <v/>
      </c>
      <c r="AX385" t="str">
        <f>IF(IFERROR(MATCH($B385,temp!T$4:T$13,0),0)&gt;0,T08_Spells!AX$2,"")</f>
        <v/>
      </c>
      <c r="AY385" t="str">
        <f>IF(IFERROR(MATCH($B385,temp!U$4:U$13,0),0)&gt;0,T08_Spells!AY$2,"")</f>
        <v/>
      </c>
      <c r="AZ385" t="str">
        <f>IF(IFERROR(MATCH($B385,temp!V$4:V$13,0),0)&gt;0,T08_Spells!AZ$2,"")</f>
        <v/>
      </c>
      <c r="BA385" t="str">
        <f>IF(IFERROR(MATCH($B385,temp!W$4:W$13,0),0)&gt;0,T08_Spells!BA$2,"")</f>
        <v/>
      </c>
      <c r="BC385">
        <f>IF(IFERROR(SEARCH("Ranger",$T385,1),0)&gt;0,1,0)*IF(RangerMaxSpellLevel&gt;=$C385,1,0)*IF(IFERROR(MATCH(B385,Character_Creation!$X$79:$X$382,0),0)&gt;0,0,1)</f>
        <v>0</v>
      </c>
      <c r="BD385">
        <f>IF(BC385=0,0,1+COUNTIF(BD$3:BD384,"&gt;0"))</f>
        <v>0</v>
      </c>
      <c r="BE385" t="str">
        <f t="shared" si="311"/>
        <v/>
      </c>
      <c r="BF385" t="str">
        <f t="shared" si="283"/>
        <v/>
      </c>
      <c r="BH385">
        <f>IF(IFERROR(SEARCH("Sorcerer",$T385,1),0)&gt;0,1,0)*IF(SorcererMaxSpellLevel&gt;=$C385,1,0)*IF(IFERROR(MATCH(B385,Character_Creation!$J$380:$J$394,0),0)&gt;0,0,1)</f>
        <v>0</v>
      </c>
      <c r="BI385">
        <f>IF(BH385=0,0,1+COUNTIF(BI$3:BI384,"&gt;0"))</f>
        <v>0</v>
      </c>
      <c r="BJ385" t="str">
        <f t="shared" si="312"/>
        <v/>
      </c>
      <c r="BK385" t="str">
        <f t="shared" si="284"/>
        <v/>
      </c>
      <c r="BM385">
        <f>IF(OR(IFERROR(SEARCH("Warlock",$T385,1),0)&gt;0,IFERROR(SEARCH(WarlockPatron,$T385,1),0)&gt;0),1,0)*IF(WarlockMaxSpellLevel&gt;=$C385,1,0)*IF(IFERROR(MATCH(B385,Character_Creation!$J$361:$J$375,0),0)&gt;0,0,1)</f>
        <v>0</v>
      </c>
      <c r="BN385">
        <f>IF(BM385=0,0,1+COUNTIF(BN$3:BN384,"&gt;0"))</f>
        <v>0</v>
      </c>
      <c r="BO385" t="str">
        <f t="shared" si="313"/>
        <v/>
      </c>
      <c r="BP385" t="str">
        <f t="shared" si="285"/>
        <v/>
      </c>
      <c r="BR385">
        <f>IF(IFERROR(SEARCH("Eldritch Knight",$T385,1),0)&gt;0,1,0)*IF(EldritchKnightMaxSpellLevel&gt;=$C385,1,0)*IF(IFERROR(MATCH($B385,Character_Creation!$J$350:$J$356,0),0)&gt;0,0,1)*IF(Character_Creation!$M$338&gt;0,1,0)</f>
        <v>0</v>
      </c>
      <c r="BS385">
        <f>IF(BR385=0,0,1+COUNTIF(BS$3:BS384,"&gt;0"))</f>
        <v>0</v>
      </c>
      <c r="BT385" t="str">
        <f t="shared" si="314"/>
        <v/>
      </c>
      <c r="BU385" t="str">
        <f t="shared" si="286"/>
        <v/>
      </c>
      <c r="BW385">
        <f>IF(IFERROR(SEARCH("Arcane Trickster",$T385,1),0)&gt;0,1,0)*IF(ArcaneTricksterMaxSpellLevel&gt;=$C385,1,0)*IF(IFERROR(MATCH($B385,Character_Creation!$J$350:$J$356,0),0)&gt;0,0,1)*IF(Character_Creation!$T$338&gt;0,1,0)</f>
        <v>0</v>
      </c>
      <c r="BX385">
        <f>IF(BW385=0,0,1+COUNTIF(BX$3:BX384,"&gt;0"))</f>
        <v>0</v>
      </c>
      <c r="BY385" t="str">
        <f t="shared" si="315"/>
        <v/>
      </c>
      <c r="BZ385" t="str">
        <f t="shared" si="287"/>
        <v/>
      </c>
      <c r="CB385">
        <f>IF(IFERROR(SEARCH("Wizard",$T385,1),0)&gt;0,1,0)*IF(C385&lt;=ArcaneTricksterMaxSpellLevel,1,0)*IF(IFERROR(MATCH($B385,Character_Creation!$J$350:$J$356,0),0)&gt;0,0,1)*IF(Character_Creation!$T$350&gt;0,1,0)</f>
        <v>0</v>
      </c>
      <c r="CC385">
        <f>IF(CB385=0,0,1+COUNTIF(CC$3:CC384,"&gt;0"))</f>
        <v>0</v>
      </c>
      <c r="CD385" t="str">
        <f t="shared" si="316"/>
        <v/>
      </c>
      <c r="CE385" t="str">
        <f t="shared" si="288"/>
        <v/>
      </c>
      <c r="CG385">
        <f>IF(IFERROR(SEARCH("Wizard",$T385,1),0)&gt;0,1,0)*IF($C385&lt;=EldritchKnightMaxSpellLevel,1,0)*IF(IFERROR(MATCH($B385,Character_Creation!$J$350:$J$356,0),0)&gt;0,0,1)*IF(Character_Creation!$M$350&gt;0,1,0)</f>
        <v>0</v>
      </c>
      <c r="CH385">
        <f>IF(CG385=0,0,1+COUNTIF(CH$3:CH384,"&gt;0"))</f>
        <v>0</v>
      </c>
      <c r="CI385" t="str">
        <f t="shared" si="317"/>
        <v/>
      </c>
      <c r="CJ385" t="str">
        <f t="shared" si="289"/>
        <v/>
      </c>
      <c r="CL385">
        <f>IF(IFERROR(SEARCH("Bard",$T385,1),0)&gt;0,1,0)*IF(BardMaxSpellLevel&gt;=$C385,1,0)*IF(IFERROR(MATCH(B385,Character_Creation!$C$341:$F$362,0),0)&gt;0,0,1)*IF(IFERROR(MATCH($B385,Character_Creation!$C$341:$C$362,0),0)&gt;0,0,1)</f>
        <v>0</v>
      </c>
      <c r="CM385">
        <f>IF(CL385=0,0,1+COUNTIF(CM$3:CM384,"&gt;0"))</f>
        <v>0</v>
      </c>
      <c r="CN385" t="str">
        <f t="shared" si="318"/>
        <v/>
      </c>
      <c r="CO385" t="str">
        <f t="shared" si="290"/>
        <v/>
      </c>
      <c r="CQ385">
        <f>IF(IFERROR(SEARCH("Wizard",$T385,1),0)&gt;0,1,0)*IF(WizardMaxSpellLevel&gt;=$C385,1,0)*IF(IFERROR(MATCH(B385,Character_Creation!$X$341:$X$400,0),0)&gt;0,0,1)*IF(SelectedWizardSpellLevel=$C385,1,0)</f>
        <v>0</v>
      </c>
      <c r="CR385">
        <f>IF(CQ385=0,0,1+COUNTIF(CR$3:CR384,"&gt;0"))</f>
        <v>0</v>
      </c>
      <c r="CS385" t="str">
        <f t="shared" si="319"/>
        <v/>
      </c>
      <c r="CT385" t="str">
        <f t="shared" si="291"/>
        <v/>
      </c>
      <c r="CV385">
        <f>IF(IFERROR(MATCH($B385,Character_Creation!$C$341:$C$362,0),0)&gt;0,0,1)*IF(OR(C385="Cantrip",C385&lt;=BardMaxSpellLevel),1,0)*IF(IFERROR(MATCH($B385,Character_Creation!$C$367:$C$374,0),0)&gt;0,0,1)</f>
        <v>0</v>
      </c>
      <c r="CW385">
        <f>IF(CV385=0,0,1+COUNTIF(CW$3:CW384,"&gt;0"))</f>
        <v>0</v>
      </c>
      <c r="CX385" t="str">
        <f t="shared" si="320"/>
        <v/>
      </c>
      <c r="CY385" t="str">
        <f t="shared" si="292"/>
        <v/>
      </c>
      <c r="DA385">
        <f>IF(IF(OR(IFERROR(SEARCH("Cleric",$T385,1),0)&gt;0,IFERROR(SEARCH(DivineDomain&amp;",",$T385,1),0)&gt;0),1,0)*IF($C385=DA$2,1,0)=1,1+COUNTIF(DA$3:DA384,"&gt;0"),0)</f>
        <v>0</v>
      </c>
      <c r="DB385">
        <f>IF(IF(OR(IFERROR(SEARCH("Cleric",$T385,1),0)&gt;0,IFERROR(SEARCH(DivineDomain&amp;",",$T385,1),0)&gt;0),1,0)*IF($C385=DB$2,1,0)=1,1+COUNTIF(DB$3:DB384,"&gt;0"),0)</f>
        <v>0</v>
      </c>
      <c r="DC385">
        <f>IF(IF(OR(IFERROR(SEARCH("Cleric",$T385,1),0)&gt;0,IFERROR(SEARCH(DivineDomain&amp;",",$T385,1),0)&gt;0),1,0)*IF($C385=DC$2,1,0)=1,1+COUNTIF(DC$3:DC384,"&gt;0"),0)</f>
        <v>0</v>
      </c>
      <c r="DD385">
        <f>IF(IF(OR(IFERROR(SEARCH("Cleric",$T385,1),0)&gt;0,IFERROR(SEARCH(DivineDomain&amp;",",$T385,1),0)&gt;0),1,0)*IF($C385=DD$2,1,0)=1,1+COUNTIF(DD$3:DD384,"&gt;0"),0)</f>
        <v>0</v>
      </c>
      <c r="DE385">
        <f>IF(IF(OR(IFERROR(SEARCH("Cleric",$T385,1),0)&gt;0,IFERROR(SEARCH(DivineDomain&amp;",",$T385,1),0)&gt;0),1,0)*IF($C385=DE$2,1,0)=1,1+COUNTIF(DE$3:DE384,"&gt;0"),0)</f>
        <v>0</v>
      </c>
      <c r="DF385">
        <f>IF(IF(OR(IFERROR(SEARCH("Cleric",$T385,1),0)&gt;0,IFERROR(SEARCH(DivineDomain&amp;",",$T385,1),0)&gt;0),1,0)*IF($C385=DF$2,1,0)=1,1+COUNTIF(DF$3:DF384,"&gt;0"),0)</f>
        <v>0</v>
      </c>
      <c r="DG385">
        <f>IF(IF(OR(IFERROR(SEARCH("Cleric",$T385,1),0)&gt;0,IFERROR(SEARCH(DivineDomain&amp;",",$T385,1),0)&gt;0),1,0)*IF($C385=DG$2,1,0)=1,1+COUNTIF(DG$3:DG384,"&gt;0"),0)</f>
        <v>0</v>
      </c>
      <c r="DH385">
        <f>IF(IF(OR(IFERROR(SEARCH("Cleric",$T385,1),0)&gt;0,IFERROR(SEARCH(DivineDomain&amp;",",$T385,1),0)&gt;0),1,0)*IF($C385=DH$2,1,0)=1,1+COUNTIF(DH$3:DH384,"&gt;0"),0)</f>
        <v>0</v>
      </c>
      <c r="DI385">
        <f>IF(IF(OR(IFERROR(SEARCH("Cleric",$T385,1),0)&gt;0,IFERROR(SEARCH(DivineDomain&amp;",",$T385,1),0)&gt;0),1,0)*IF($C385=DI$2,1,0)=1,1+COUNTIF(DI$3:DI384,"&gt;0"),0)</f>
        <v>0</v>
      </c>
      <c r="DJ385">
        <f>IF(IF(OR(IFERROR(SEARCH("Druid",$T385,1),0)&gt;0,IFERROR(SEARCH(DruidLand1,$T385,1),0)&gt;0,IFERROR(SEARCH(DruidLand2,$T385,1),0)&gt;0,IFERROR(SEARCH(DruidLand3,$T385,1),0)&gt;0,IFERROR(SEARCH(DruidLand4,$T385,1),0)&gt;0),1,0)*IF($C385=1,1,0)*IF($C385=DJ$2,1,0)=0,0,1+COUNTIF(DJ$3:DJ384,"&gt;0"))</f>
        <v>0</v>
      </c>
      <c r="DK385">
        <f>IF(IF(OR(IFERROR(SEARCH("Druid",$T385,1),0)&gt;0,IFERROR(SEARCH(DruidLand1,$T385,1),0)&gt;0,IFERROR(SEARCH(DruidLand2,$T385,1),0)&gt;0,IFERROR(SEARCH(DruidLand3,$T385,1),0)&gt;0,IFERROR(SEARCH(DruidLand4,$T385,1),0)&gt;0),1,0)*IF($C385=DK$2,1,0)=0,0,1+COUNTIF(DK$3:DK384,"&gt;0"))</f>
        <v>0</v>
      </c>
      <c r="DL385">
        <f>IF(IF(OR(IFERROR(SEARCH("Druid",$T385,1),0)&gt;0,IFERROR(SEARCH(DruidLand1,$T385,1),0)&gt;0,IFERROR(SEARCH(DruidLand2,$T385,1),0)&gt;0,IFERROR(SEARCH(DruidLand3,$T385,1),0)&gt;0,IFERROR(SEARCH(DruidLand4,$T385,1),0)&gt;0),1,0)*IF($C385=DL$2,1,0)=0,0,1+COUNTIF(DL$3:DL384,"&gt;0"))</f>
        <v>0</v>
      </c>
      <c r="DM385">
        <f>IF(IF(OR(IFERROR(SEARCH("Druid",$T385,1),0)&gt;0,IFERROR(SEARCH(DruidLand1,$T385,1),0)&gt;0,IFERROR(SEARCH(DruidLand2,$T385,1),0)&gt;0,IFERROR(SEARCH(DruidLand3,$T385,1),0)&gt;0,IFERROR(SEARCH(DruidLand4,$T385,1),0)&gt;0),1,0)*IF($C385=DM$2,1,0)=0,0,1+COUNTIF(DM$3:DM384,"&gt;0"))</f>
        <v>0</v>
      </c>
      <c r="DN385">
        <f>IF(IF(OR(IFERROR(SEARCH("Druid",$T385,1),0)&gt;0,IFERROR(SEARCH(DruidLand1,$T385,1),0)&gt;0,IFERROR(SEARCH(DruidLand2,$T385,1),0)&gt;0,IFERROR(SEARCH(DruidLand3,$T385,1),0)&gt;0,IFERROR(SEARCH(DruidLand4,$T385,1),0)&gt;0),1,0)*IF($C385=DN$2,1,0)=0,0,1+COUNTIF(DN$3:DN384,"&gt;0"))</f>
        <v>0</v>
      </c>
      <c r="DO385">
        <f>IF(IF(OR(IFERROR(SEARCH("Druid",$T385,1),0)&gt;0,IFERROR(SEARCH(DruidLand1,$T385,1),0)&gt;0,IFERROR(SEARCH(DruidLand2,$T385,1),0)&gt;0,IFERROR(SEARCH(DruidLand3,$T385,1),0)&gt;0,IFERROR(SEARCH(DruidLand4,$T385,1),0)&gt;0),1,0)*IF($C385=DO$2,1,0)=0,0,1+COUNTIF(DO$3:DO384,"&gt;0"))</f>
        <v>12</v>
      </c>
      <c r="DP385">
        <f>IF(IF(OR(IFERROR(SEARCH("Druid",$T385,1),0)&gt;0,IFERROR(SEARCH(DruidLand1,$T385,1),0)&gt;0,IFERROR(SEARCH(DruidLand2,$T385,1),0)&gt;0,IFERROR(SEARCH(DruidLand3,$T385,1),0)&gt;0,IFERROR(SEARCH(DruidLand4,$T385,1),0)&gt;0),1,0)*IF($C385=DP$2,1,0)=0,0,1+COUNTIF(DP$3:DP384,"&gt;0"))</f>
        <v>0</v>
      </c>
      <c r="DQ385">
        <f>IF(IF(OR(IFERROR(SEARCH("Druid",$T385,1),0)&gt;0,IFERROR(SEARCH(DruidLand1,$T385,1),0)&gt;0,IFERROR(SEARCH(DruidLand2,$T385,1),0)&gt;0,IFERROR(SEARCH(DruidLand3,$T385,1),0)&gt;0,IFERROR(SEARCH(DruidLand4,$T385,1),0)&gt;0),1,0)*IF($C385=DQ$2,1,0)=0,0,1+COUNTIF(DQ$3:DQ384,"&gt;0"))</f>
        <v>0</v>
      </c>
      <c r="DR385">
        <f>IF(IF(OR(IFERROR(SEARCH("Druid",$T385,1),0)&gt;0,IFERROR(SEARCH(DruidLand1,$T385,1),0)&gt;0,IFERROR(SEARCH(DruidLand2,$T385,1),0)&gt;0,IFERROR(SEARCH(DruidLand3,$T385,1),0)&gt;0,IFERROR(SEARCH(DruidLand4,$T385,1),0)&gt;0),1,0)*IF($C385=DR$2,1,0)=0,0,1+COUNTIF(DR$3:DR384,"&gt;0"))</f>
        <v>0</v>
      </c>
      <c r="DS385">
        <f>IF(IF(OR(IFERROR(SEARCH("Paladin",$T385,1),0)&gt;0,IFERROR(SEARCH(PaladinOath,$T385,1),0)&gt;0),1,0)*IF($C385=DS$2,1,0)=1,1+COUNTIF(DS$3:DS384,"&gt;0"),0)</f>
        <v>0</v>
      </c>
      <c r="DT385">
        <f>IF(IF(OR(IFERROR(SEARCH("Paladin",$T385,1),0)&gt;0,IFERROR(SEARCH(PaladinOath,$T385,1),0)&gt;0),1,0)*IF($C385=DT$2,1,0)=1,1+COUNTIF(DT$3:DT384,"&gt;0"),0)</f>
        <v>0</v>
      </c>
      <c r="DU385">
        <f>IF(IF(OR(IFERROR(SEARCH("Paladin",$T385,1),0)&gt;0,IFERROR(SEARCH(PaladinOath,$T385,1),0)&gt;0),1,0)*IF($C385=DU$2,1,0)=1,1+COUNTIF(DU$3:DU384,"&gt;0"),0)</f>
        <v>0</v>
      </c>
      <c r="DV385">
        <f>IF(IF(OR(IFERROR(SEARCH("Paladin",$T385,1),0)&gt;0,IFERROR(SEARCH(PaladinOath,$T385,1),0)&gt;0),1,0)*IF($C385=DV$2,1,0)=1,1+COUNTIF(DV$3:DV384,"&gt;0"),0)</f>
        <v>0</v>
      </c>
      <c r="DW385">
        <f>IF(IF(OR(IFERROR(SEARCH("Paladin",$T385,1),0)&gt;0,IFERROR(SEARCH(PaladinOath,$T385,1),0)&gt;0),1,0)*IF($C385=DW$2,1,0)=1,1+COUNTIF(DW$3:DW384,"&gt;0"),0)</f>
        <v>0</v>
      </c>
      <c r="DY385">
        <f t="shared" si="278"/>
        <v>1</v>
      </c>
      <c r="DZ385">
        <f>IF(DY385=0,0,1+MAX(DZ$3:$DZ384))</f>
        <v>383</v>
      </c>
      <c r="EB385">
        <f t="shared" si="293"/>
        <v>0</v>
      </c>
      <c r="EC385">
        <f>IF(EB385=0,0,1+COUNTIF(EC$3:EC384,"&gt;0"))</f>
        <v>0</v>
      </c>
      <c r="ED385" t="str">
        <f t="shared" si="321"/>
        <v/>
      </c>
      <c r="EE385" t="str">
        <f t="shared" si="294"/>
        <v/>
      </c>
      <c r="EG385">
        <f t="shared" si="295"/>
        <v>0</v>
      </c>
      <c r="EH385">
        <f>IF(EG385=0,0,1+COUNTIF(EH$3:EH384,"&gt;0"))</f>
        <v>0</v>
      </c>
      <c r="EI385" t="str">
        <f t="shared" si="322"/>
        <v/>
      </c>
      <c r="EJ385" t="str">
        <f t="shared" si="296"/>
        <v/>
      </c>
      <c r="EL385">
        <f t="shared" si="297"/>
        <v>0</v>
      </c>
      <c r="EM385">
        <f>IF(EL385=0,0,1+COUNTIF(EM$3:EM384,"&gt;0"))</f>
        <v>0</v>
      </c>
      <c r="EN385" t="str">
        <f t="shared" si="323"/>
        <v/>
      </c>
      <c r="EO385" t="str">
        <f t="shared" si="298"/>
        <v/>
      </c>
      <c r="EQ385">
        <f t="shared" si="299"/>
        <v>0</v>
      </c>
      <c r="ER385">
        <f>IF(EQ385=0,0,1+COUNTIF(ER$3:ER384,"&gt;0"))</f>
        <v>0</v>
      </c>
      <c r="ES385" t="str">
        <f t="shared" si="324"/>
        <v/>
      </c>
      <c r="ET385" t="str">
        <f t="shared" si="300"/>
        <v/>
      </c>
      <c r="EV385">
        <f t="shared" si="301"/>
        <v>0</v>
      </c>
      <c r="EW385">
        <f>IF(EV385=0,0,1+COUNTIF(EW$3:EW384,"&gt;0"))</f>
        <v>0</v>
      </c>
      <c r="EX385" t="str">
        <f t="shared" si="325"/>
        <v/>
      </c>
      <c r="EY385" t="str">
        <f t="shared" si="302"/>
        <v/>
      </c>
      <c r="FA385">
        <f t="shared" si="303"/>
        <v>0</v>
      </c>
      <c r="FB385">
        <f>IF(FA385=0,0,1+COUNTIF(FB$3:FB384,"&gt;0"))</f>
        <v>0</v>
      </c>
      <c r="FC385" t="str">
        <f t="shared" si="326"/>
        <v/>
      </c>
      <c r="FD385" t="str">
        <f t="shared" si="304"/>
        <v/>
      </c>
      <c r="FF385">
        <f t="shared" si="305"/>
        <v>0</v>
      </c>
      <c r="FG385">
        <f>IF(FF385=0,0,1+COUNTIF(FG$3:FG384,"&gt;0"))</f>
        <v>0</v>
      </c>
      <c r="FH385" t="str">
        <f t="shared" si="327"/>
        <v/>
      </c>
      <c r="FI385" t="str">
        <f t="shared" si="306"/>
        <v/>
      </c>
      <c r="FK385">
        <f t="shared" si="307"/>
        <v>0</v>
      </c>
      <c r="FL385">
        <f>IF(FK385=0,0,1+COUNTIF(FL$3:FL384,"&gt;0"))</f>
        <v>0</v>
      </c>
      <c r="FM385" t="str">
        <f t="shared" si="328"/>
        <v/>
      </c>
      <c r="FN385" t="str">
        <f t="shared" si="308"/>
        <v/>
      </c>
      <c r="FP385">
        <f t="shared" si="309"/>
        <v>0</v>
      </c>
      <c r="FQ385">
        <f>IF(FP385=0,0,1+COUNTIF(FQ$3:FQ384,"&gt;0"))</f>
        <v>0</v>
      </c>
      <c r="FR385" t="str">
        <f t="shared" si="329"/>
        <v/>
      </c>
      <c r="FS385" t="str">
        <f t="shared" si="310"/>
        <v/>
      </c>
    </row>
    <row r="386" spans="1:175" x14ac:dyDescent="0.25">
      <c r="A386" s="347">
        <f t="shared" si="331"/>
        <v>384</v>
      </c>
      <c r="B386" s="398" t="s">
        <v>5550</v>
      </c>
      <c r="C386" s="348">
        <v>6</v>
      </c>
      <c r="D386" s="347">
        <v>6</v>
      </c>
      <c r="E386" s="627" t="s">
        <v>6957</v>
      </c>
      <c r="F386" s="346"/>
      <c r="G386" s="347" t="str">
        <f>""</f>
        <v/>
      </c>
      <c r="H386" s="347" t="s">
        <v>5912</v>
      </c>
      <c r="I386" s="347" t="s">
        <v>2353</v>
      </c>
      <c r="J386" s="347" t="str">
        <f t="shared" si="279"/>
        <v/>
      </c>
      <c r="K386" s="347" t="s">
        <v>5297</v>
      </c>
      <c r="L386" s="611" t="str">
        <f t="shared" si="280"/>
        <v>V, S</v>
      </c>
      <c r="M386" s="347" t="s">
        <v>2373</v>
      </c>
      <c r="N386" s="347" t="s">
        <v>2387</v>
      </c>
      <c r="O386" s="347" t="s">
        <v>3034</v>
      </c>
      <c r="P386" s="346" t="str">
        <f>""</f>
        <v/>
      </c>
      <c r="Q386" s="347" t="s">
        <v>5276</v>
      </c>
      <c r="S386" s="346" t="s">
        <v>5888</v>
      </c>
      <c r="T386" s="346" t="str">
        <f t="shared" si="281"/>
        <v xml:space="preserve">Sorcerer, Warlock, Druid, Wizard, </v>
      </c>
      <c r="X386" s="347" t="str">
        <f t="shared" si="336"/>
        <v>Investiture of Stone</v>
      </c>
      <c r="Y386" s="347" t="str">
        <f t="shared" si="336"/>
        <v>Investiture of Stone</v>
      </c>
      <c r="AA386" s="347" t="str">
        <f t="shared" si="337"/>
        <v>Investiture of Stone</v>
      </c>
      <c r="AD386" s="347" t="str">
        <f t="shared" si="334"/>
        <v>Investiture of Stone</v>
      </c>
      <c r="AE386" t="str">
        <f>IF(IFERROR(MATCH($B386,temp!A$4:A$13,0),0)&gt;0,T08_Spells!AE$2,"")</f>
        <v/>
      </c>
      <c r="AF386" t="str">
        <f>IF(IFERROR(MATCH($B386,temp!B$4:B$13,0),0)&gt;0,T08_Spells!AF$2,"")</f>
        <v/>
      </c>
      <c r="AG386" t="str">
        <f>IF(IFERROR(MATCH($B386,temp!C$4:C$13,0),0)&gt;0,T08_Spells!AG$2,"")</f>
        <v/>
      </c>
      <c r="AH386" t="str">
        <f>IF(IFERROR(MATCH($B386,temp!D$4:D$13,0),0)&gt;0,T08_Spells!AH$2,"")</f>
        <v/>
      </c>
      <c r="AI386" t="str">
        <f>IF(IFERROR(MATCH($B386,temp!E$4:E$13,0),0)&gt;0,T08_Spells!AI$2,"")</f>
        <v/>
      </c>
      <c r="AJ386" t="str">
        <f>IF(IFERROR(MATCH($B386,temp!F$4:F$13,0),0)&gt;0,T08_Spells!AJ$2,"")</f>
        <v/>
      </c>
      <c r="AK386" t="str">
        <f>IF(IFERROR(MATCH($B386,temp!G$4:G$13,0),0)&gt;0,T08_Spells!AK$2,"")</f>
        <v/>
      </c>
      <c r="AL386" t="str">
        <f>IF(IFERROR(MATCH($B386,temp!H$4:H$13,0),0)&gt;0,T08_Spells!AL$2,"")</f>
        <v/>
      </c>
      <c r="AM386" t="str">
        <f>IF(IFERROR(MATCH($B386,temp!I$4:I$13,0),0)&gt;0,T08_Spells!AM$2,"")</f>
        <v/>
      </c>
      <c r="AN386" t="str">
        <f>IF(IFERROR(MATCH($B386,temp!J$4:J$13,0),0)&gt;0,T08_Spells!AN$2,"")</f>
        <v/>
      </c>
      <c r="AO386" t="str">
        <f>IF(IFERROR(MATCH($B386,temp!K$4:K$13,0),0)&gt;0,T08_Spells!AO$2,"")</f>
        <v/>
      </c>
      <c r="AP386" t="str">
        <f>IF(IFERROR(MATCH($B386,temp!L$4:L$13,0),0)&gt;0,T08_Spells!AP$2,"")</f>
        <v/>
      </c>
      <c r="AQ386" t="str">
        <f>IF(IFERROR(MATCH($B386,temp!M$4:M$13,0),0)&gt;0,T08_Spells!AQ$2,"")</f>
        <v/>
      </c>
      <c r="AR386" t="str">
        <f>IF(IFERROR(MATCH($B386,temp!N$4:N$13,0),0)&gt;0,T08_Spells!AR$2,"")</f>
        <v/>
      </c>
      <c r="AS386" t="str">
        <f>IF(IFERROR(MATCH($B386,temp!O$4:O$13,0),0)&gt;0,T08_Spells!AS$2,"")</f>
        <v/>
      </c>
      <c r="AT386" t="str">
        <f>IF(IFERROR(MATCH($B386,temp!P$4:P$13,0),0)&gt;0,T08_Spells!AT$2,"")</f>
        <v/>
      </c>
      <c r="AU386" t="str">
        <f>IF(IFERROR(MATCH($B386,temp!Q$4:Q$13,0),0)&gt;0,T08_Spells!AU$2,"")</f>
        <v/>
      </c>
      <c r="AV386" t="str">
        <f>IF(IFERROR(MATCH($B386,temp!R$4:R$13,0),0)&gt;0,T08_Spells!AV$2,"")</f>
        <v/>
      </c>
      <c r="AW386" t="str">
        <f>IF(IFERROR(MATCH($B386,temp!S$4:S$13,0),0)&gt;0,T08_Spells!AW$2,"")</f>
        <v/>
      </c>
      <c r="AX386" t="str">
        <f>IF(IFERROR(MATCH($B386,temp!T$4:T$13,0),0)&gt;0,T08_Spells!AX$2,"")</f>
        <v/>
      </c>
      <c r="AY386" t="str">
        <f>IF(IFERROR(MATCH($B386,temp!U$4:U$13,0),0)&gt;0,T08_Spells!AY$2,"")</f>
        <v/>
      </c>
      <c r="AZ386" t="str">
        <f>IF(IFERROR(MATCH($B386,temp!V$4:V$13,0),0)&gt;0,T08_Spells!AZ$2,"")</f>
        <v/>
      </c>
      <c r="BA386" t="str">
        <f>IF(IFERROR(MATCH($B386,temp!W$4:W$13,0),0)&gt;0,T08_Spells!BA$2,"")</f>
        <v/>
      </c>
      <c r="BC386">
        <f>IF(IFERROR(SEARCH("Ranger",$T386,1),0)&gt;0,1,0)*IF(RangerMaxSpellLevel&gt;=$C386,1,0)*IF(IFERROR(MATCH(B386,Character_Creation!$X$79:$X$382,0),0)&gt;0,0,1)</f>
        <v>0</v>
      </c>
      <c r="BD386">
        <f>IF(BC386=0,0,1+COUNTIF(BD$3:BD385,"&gt;0"))</f>
        <v>0</v>
      </c>
      <c r="BE386" t="str">
        <f t="shared" si="311"/>
        <v/>
      </c>
      <c r="BF386" t="str">
        <f t="shared" si="283"/>
        <v/>
      </c>
      <c r="BH386">
        <f>IF(IFERROR(SEARCH("Sorcerer",$T386,1),0)&gt;0,1,0)*IF(SorcererMaxSpellLevel&gt;=$C386,1,0)*IF(IFERROR(MATCH(B386,Character_Creation!$J$380:$J$394,0),0)&gt;0,0,1)</f>
        <v>0</v>
      </c>
      <c r="BI386">
        <f>IF(BH386=0,0,1+COUNTIF(BI$3:BI385,"&gt;0"))</f>
        <v>0</v>
      </c>
      <c r="BJ386" t="str">
        <f t="shared" si="312"/>
        <v/>
      </c>
      <c r="BK386" t="str">
        <f t="shared" si="284"/>
        <v/>
      </c>
      <c r="BM386">
        <f>IF(OR(IFERROR(SEARCH("Warlock",$T386,1),0)&gt;0,IFERROR(SEARCH(WarlockPatron,$T386,1),0)&gt;0),1,0)*IF(WarlockMaxSpellLevel&gt;=$C386,1,0)*IF(IFERROR(MATCH(B386,Character_Creation!$J$361:$J$375,0),0)&gt;0,0,1)</f>
        <v>0</v>
      </c>
      <c r="BN386">
        <f>IF(BM386=0,0,1+COUNTIF(BN$3:BN385,"&gt;0"))</f>
        <v>0</v>
      </c>
      <c r="BO386" t="str">
        <f t="shared" si="313"/>
        <v/>
      </c>
      <c r="BP386" t="str">
        <f t="shared" si="285"/>
        <v/>
      </c>
      <c r="BR386">
        <f>IF(IFERROR(SEARCH("Eldritch Knight",$T386,1),0)&gt;0,1,0)*IF(EldritchKnightMaxSpellLevel&gt;=$C386,1,0)*IF(IFERROR(MATCH($B386,Character_Creation!$J$350:$J$356,0),0)&gt;0,0,1)*IF(Character_Creation!$M$338&gt;0,1,0)</f>
        <v>0</v>
      </c>
      <c r="BS386">
        <f>IF(BR386=0,0,1+COUNTIF(BS$3:BS385,"&gt;0"))</f>
        <v>0</v>
      </c>
      <c r="BT386" t="str">
        <f t="shared" si="314"/>
        <v/>
      </c>
      <c r="BU386" t="str">
        <f t="shared" si="286"/>
        <v/>
      </c>
      <c r="BW386">
        <f>IF(IFERROR(SEARCH("Arcane Trickster",$T386,1),0)&gt;0,1,0)*IF(ArcaneTricksterMaxSpellLevel&gt;=$C386,1,0)*IF(IFERROR(MATCH($B386,Character_Creation!$J$350:$J$356,0),0)&gt;0,0,1)*IF(Character_Creation!$T$338&gt;0,1,0)</f>
        <v>0</v>
      </c>
      <c r="BX386">
        <f>IF(BW386=0,0,1+COUNTIF(BX$3:BX385,"&gt;0"))</f>
        <v>0</v>
      </c>
      <c r="BY386" t="str">
        <f t="shared" si="315"/>
        <v/>
      </c>
      <c r="BZ386" t="str">
        <f t="shared" si="287"/>
        <v/>
      </c>
      <c r="CB386">
        <f>IF(IFERROR(SEARCH("Wizard",$T386,1),0)&gt;0,1,0)*IF(C386&lt;=ArcaneTricksterMaxSpellLevel,1,0)*IF(IFERROR(MATCH($B386,Character_Creation!$J$350:$J$356,0),0)&gt;0,0,1)*IF(Character_Creation!$T$350&gt;0,1,0)</f>
        <v>0</v>
      </c>
      <c r="CC386">
        <f>IF(CB386=0,0,1+COUNTIF(CC$3:CC385,"&gt;0"))</f>
        <v>0</v>
      </c>
      <c r="CD386" t="str">
        <f t="shared" si="316"/>
        <v/>
      </c>
      <c r="CE386" t="str">
        <f t="shared" si="288"/>
        <v/>
      </c>
      <c r="CG386">
        <f>IF(IFERROR(SEARCH("Wizard",$T386,1),0)&gt;0,1,0)*IF($C386&lt;=EldritchKnightMaxSpellLevel,1,0)*IF(IFERROR(MATCH($B386,Character_Creation!$J$350:$J$356,0),0)&gt;0,0,1)*IF(Character_Creation!$M$350&gt;0,1,0)</f>
        <v>0</v>
      </c>
      <c r="CH386">
        <f>IF(CG386=0,0,1+COUNTIF(CH$3:CH385,"&gt;0"))</f>
        <v>0</v>
      </c>
      <c r="CI386" t="str">
        <f t="shared" si="317"/>
        <v/>
      </c>
      <c r="CJ386" t="str">
        <f t="shared" si="289"/>
        <v/>
      </c>
      <c r="CL386">
        <f>IF(IFERROR(SEARCH("Bard",$T386,1),0)&gt;0,1,0)*IF(BardMaxSpellLevel&gt;=$C386,1,0)*IF(IFERROR(MATCH(B386,Character_Creation!$C$341:$F$362,0),0)&gt;0,0,1)*IF(IFERROR(MATCH($B386,Character_Creation!$C$341:$C$362,0),0)&gt;0,0,1)</f>
        <v>0</v>
      </c>
      <c r="CM386">
        <f>IF(CL386=0,0,1+COUNTIF(CM$3:CM385,"&gt;0"))</f>
        <v>0</v>
      </c>
      <c r="CN386" t="str">
        <f t="shared" si="318"/>
        <v/>
      </c>
      <c r="CO386" t="str">
        <f t="shared" si="290"/>
        <v/>
      </c>
      <c r="CQ386">
        <f>IF(IFERROR(SEARCH("Wizard",$T386,1),0)&gt;0,1,0)*IF(WizardMaxSpellLevel&gt;=$C386,1,0)*IF(IFERROR(MATCH(B386,Character_Creation!$X$341:$X$400,0),0)&gt;0,0,1)*IF(SelectedWizardSpellLevel=$C386,1,0)</f>
        <v>0</v>
      </c>
      <c r="CR386">
        <f>IF(CQ386=0,0,1+COUNTIF(CR$3:CR385,"&gt;0"))</f>
        <v>0</v>
      </c>
      <c r="CS386" t="str">
        <f t="shared" si="319"/>
        <v/>
      </c>
      <c r="CT386" t="str">
        <f t="shared" si="291"/>
        <v/>
      </c>
      <c r="CV386">
        <f>IF(IFERROR(MATCH($B386,Character_Creation!$C$341:$C$362,0),0)&gt;0,0,1)*IF(OR(C386="Cantrip",C386&lt;=BardMaxSpellLevel),1,0)*IF(IFERROR(MATCH($B386,Character_Creation!$C$367:$C$374,0),0)&gt;0,0,1)</f>
        <v>0</v>
      </c>
      <c r="CW386">
        <f>IF(CV386=0,0,1+COUNTIF(CW$3:CW385,"&gt;0"))</f>
        <v>0</v>
      </c>
      <c r="CX386" t="str">
        <f t="shared" si="320"/>
        <v/>
      </c>
      <c r="CY386" t="str">
        <f t="shared" si="292"/>
        <v/>
      </c>
      <c r="DA386">
        <f>IF(IF(OR(IFERROR(SEARCH("Cleric",$T386,1),0)&gt;0,IFERROR(SEARCH(DivineDomain&amp;",",$T386,1),0)&gt;0),1,0)*IF($C386=DA$2,1,0)=1,1+COUNTIF(DA$3:DA385,"&gt;0"),0)</f>
        <v>0</v>
      </c>
      <c r="DB386">
        <f>IF(IF(OR(IFERROR(SEARCH("Cleric",$T386,1),0)&gt;0,IFERROR(SEARCH(DivineDomain&amp;",",$T386,1),0)&gt;0),1,0)*IF($C386=DB$2,1,0)=1,1+COUNTIF(DB$3:DB385,"&gt;0"),0)</f>
        <v>0</v>
      </c>
      <c r="DC386">
        <f>IF(IF(OR(IFERROR(SEARCH("Cleric",$T386,1),0)&gt;0,IFERROR(SEARCH(DivineDomain&amp;",",$T386,1),0)&gt;0),1,0)*IF($C386=DC$2,1,0)=1,1+COUNTIF(DC$3:DC385,"&gt;0"),0)</f>
        <v>0</v>
      </c>
      <c r="DD386">
        <f>IF(IF(OR(IFERROR(SEARCH("Cleric",$T386,1),0)&gt;0,IFERROR(SEARCH(DivineDomain&amp;",",$T386,1),0)&gt;0),1,0)*IF($C386=DD$2,1,0)=1,1+COUNTIF(DD$3:DD385,"&gt;0"),0)</f>
        <v>0</v>
      </c>
      <c r="DE386">
        <f>IF(IF(OR(IFERROR(SEARCH("Cleric",$T386,1),0)&gt;0,IFERROR(SEARCH(DivineDomain&amp;",",$T386,1),0)&gt;0),1,0)*IF($C386=DE$2,1,0)=1,1+COUNTIF(DE$3:DE385,"&gt;0"),0)</f>
        <v>0</v>
      </c>
      <c r="DF386">
        <f>IF(IF(OR(IFERROR(SEARCH("Cleric",$T386,1),0)&gt;0,IFERROR(SEARCH(DivineDomain&amp;",",$T386,1),0)&gt;0),1,0)*IF($C386=DF$2,1,0)=1,1+COUNTIF(DF$3:DF385,"&gt;0"),0)</f>
        <v>0</v>
      </c>
      <c r="DG386">
        <f>IF(IF(OR(IFERROR(SEARCH("Cleric",$T386,1),0)&gt;0,IFERROR(SEARCH(DivineDomain&amp;",",$T386,1),0)&gt;0),1,0)*IF($C386=DG$2,1,0)=1,1+COUNTIF(DG$3:DG385,"&gt;0"),0)</f>
        <v>0</v>
      </c>
      <c r="DH386">
        <f>IF(IF(OR(IFERROR(SEARCH("Cleric",$T386,1),0)&gt;0,IFERROR(SEARCH(DivineDomain&amp;",",$T386,1),0)&gt;0),1,0)*IF($C386=DH$2,1,0)=1,1+COUNTIF(DH$3:DH385,"&gt;0"),0)</f>
        <v>0</v>
      </c>
      <c r="DI386">
        <f>IF(IF(OR(IFERROR(SEARCH("Cleric",$T386,1),0)&gt;0,IFERROR(SEARCH(DivineDomain&amp;",",$T386,1),0)&gt;0),1,0)*IF($C386=DI$2,1,0)=1,1+COUNTIF(DI$3:DI385,"&gt;0"),0)</f>
        <v>0</v>
      </c>
      <c r="DJ386">
        <f>IF(IF(OR(IFERROR(SEARCH("Druid",$T386,1),0)&gt;0,IFERROR(SEARCH(DruidLand1,$T386,1),0)&gt;0,IFERROR(SEARCH(DruidLand2,$T386,1),0)&gt;0,IFERROR(SEARCH(DruidLand3,$T386,1),0)&gt;0,IFERROR(SEARCH(DruidLand4,$T386,1),0)&gt;0),1,0)*IF($C386=1,1,0)*IF($C386=DJ$2,1,0)=0,0,1+COUNTIF(DJ$3:DJ385,"&gt;0"))</f>
        <v>0</v>
      </c>
      <c r="DK386">
        <f>IF(IF(OR(IFERROR(SEARCH("Druid",$T386,1),0)&gt;0,IFERROR(SEARCH(DruidLand1,$T386,1),0)&gt;0,IFERROR(SEARCH(DruidLand2,$T386,1),0)&gt;0,IFERROR(SEARCH(DruidLand3,$T386,1),0)&gt;0,IFERROR(SEARCH(DruidLand4,$T386,1),0)&gt;0),1,0)*IF($C386=DK$2,1,0)=0,0,1+COUNTIF(DK$3:DK385,"&gt;0"))</f>
        <v>0</v>
      </c>
      <c r="DL386">
        <f>IF(IF(OR(IFERROR(SEARCH("Druid",$T386,1),0)&gt;0,IFERROR(SEARCH(DruidLand1,$T386,1),0)&gt;0,IFERROR(SEARCH(DruidLand2,$T386,1),0)&gt;0,IFERROR(SEARCH(DruidLand3,$T386,1),0)&gt;0,IFERROR(SEARCH(DruidLand4,$T386,1),0)&gt;0),1,0)*IF($C386=DL$2,1,0)=0,0,1+COUNTIF(DL$3:DL385,"&gt;0"))</f>
        <v>0</v>
      </c>
      <c r="DM386">
        <f>IF(IF(OR(IFERROR(SEARCH("Druid",$T386,1),0)&gt;0,IFERROR(SEARCH(DruidLand1,$T386,1),0)&gt;0,IFERROR(SEARCH(DruidLand2,$T386,1),0)&gt;0,IFERROR(SEARCH(DruidLand3,$T386,1),0)&gt;0,IFERROR(SEARCH(DruidLand4,$T386,1),0)&gt;0),1,0)*IF($C386=DM$2,1,0)=0,0,1+COUNTIF(DM$3:DM385,"&gt;0"))</f>
        <v>0</v>
      </c>
      <c r="DN386">
        <f>IF(IF(OR(IFERROR(SEARCH("Druid",$T386,1),0)&gt;0,IFERROR(SEARCH(DruidLand1,$T386,1),0)&gt;0,IFERROR(SEARCH(DruidLand2,$T386,1),0)&gt;0,IFERROR(SEARCH(DruidLand3,$T386,1),0)&gt;0,IFERROR(SEARCH(DruidLand4,$T386,1),0)&gt;0),1,0)*IF($C386=DN$2,1,0)=0,0,1+COUNTIF(DN$3:DN385,"&gt;0"))</f>
        <v>0</v>
      </c>
      <c r="DO386">
        <f>IF(IF(OR(IFERROR(SEARCH("Druid",$T386,1),0)&gt;0,IFERROR(SEARCH(DruidLand1,$T386,1),0)&gt;0,IFERROR(SEARCH(DruidLand2,$T386,1),0)&gt;0,IFERROR(SEARCH(DruidLand3,$T386,1),0)&gt;0,IFERROR(SEARCH(DruidLand4,$T386,1),0)&gt;0),1,0)*IF($C386=DO$2,1,0)=0,0,1+COUNTIF(DO$3:DO385,"&gt;0"))</f>
        <v>13</v>
      </c>
      <c r="DP386">
        <f>IF(IF(OR(IFERROR(SEARCH("Druid",$T386,1),0)&gt;0,IFERROR(SEARCH(DruidLand1,$T386,1),0)&gt;0,IFERROR(SEARCH(DruidLand2,$T386,1),0)&gt;0,IFERROR(SEARCH(DruidLand3,$T386,1),0)&gt;0,IFERROR(SEARCH(DruidLand4,$T386,1),0)&gt;0),1,0)*IF($C386=DP$2,1,0)=0,0,1+COUNTIF(DP$3:DP385,"&gt;0"))</f>
        <v>0</v>
      </c>
      <c r="DQ386">
        <f>IF(IF(OR(IFERROR(SEARCH("Druid",$T386,1),0)&gt;0,IFERROR(SEARCH(DruidLand1,$T386,1),0)&gt;0,IFERROR(SEARCH(DruidLand2,$T386,1),0)&gt;0,IFERROR(SEARCH(DruidLand3,$T386,1),0)&gt;0,IFERROR(SEARCH(DruidLand4,$T386,1),0)&gt;0),1,0)*IF($C386=DQ$2,1,0)=0,0,1+COUNTIF(DQ$3:DQ385,"&gt;0"))</f>
        <v>0</v>
      </c>
      <c r="DR386">
        <f>IF(IF(OR(IFERROR(SEARCH("Druid",$T386,1),0)&gt;0,IFERROR(SEARCH(DruidLand1,$T386,1),0)&gt;0,IFERROR(SEARCH(DruidLand2,$T386,1),0)&gt;0,IFERROR(SEARCH(DruidLand3,$T386,1),0)&gt;0,IFERROR(SEARCH(DruidLand4,$T386,1),0)&gt;0),1,0)*IF($C386=DR$2,1,0)=0,0,1+COUNTIF(DR$3:DR385,"&gt;0"))</f>
        <v>0</v>
      </c>
      <c r="DS386">
        <f>IF(IF(OR(IFERROR(SEARCH("Paladin",$T386,1),0)&gt;0,IFERROR(SEARCH(PaladinOath,$T386,1),0)&gt;0),1,0)*IF($C386=DS$2,1,0)=1,1+COUNTIF(DS$3:DS385,"&gt;0"),0)</f>
        <v>0</v>
      </c>
      <c r="DT386">
        <f>IF(IF(OR(IFERROR(SEARCH("Paladin",$T386,1),0)&gt;0,IFERROR(SEARCH(PaladinOath,$T386,1),0)&gt;0),1,0)*IF($C386=DT$2,1,0)=1,1+COUNTIF(DT$3:DT385,"&gt;0"),0)</f>
        <v>0</v>
      </c>
      <c r="DU386">
        <f>IF(IF(OR(IFERROR(SEARCH("Paladin",$T386,1),0)&gt;0,IFERROR(SEARCH(PaladinOath,$T386,1),0)&gt;0),1,0)*IF($C386=DU$2,1,0)=1,1+COUNTIF(DU$3:DU385,"&gt;0"),0)</f>
        <v>0</v>
      </c>
      <c r="DV386">
        <f>IF(IF(OR(IFERROR(SEARCH("Paladin",$T386,1),0)&gt;0,IFERROR(SEARCH(PaladinOath,$T386,1),0)&gt;0),1,0)*IF($C386=DV$2,1,0)=1,1+COUNTIF(DV$3:DV385,"&gt;0"),0)</f>
        <v>0</v>
      </c>
      <c r="DW386">
        <f>IF(IF(OR(IFERROR(SEARCH("Paladin",$T386,1),0)&gt;0,IFERROR(SEARCH(PaladinOath,$T386,1),0)&gt;0),1,0)*IF($C386=DW$2,1,0)=1,1+COUNTIF(DW$3:DW385,"&gt;0"),0)</f>
        <v>0</v>
      </c>
      <c r="DY386">
        <f t="shared" si="278"/>
        <v>1</v>
      </c>
      <c r="DZ386">
        <f>IF(DY386=0,0,1+MAX(DZ$3:$DZ385))</f>
        <v>384</v>
      </c>
      <c r="EB386">
        <f t="shared" si="293"/>
        <v>0</v>
      </c>
      <c r="EC386">
        <f>IF(EB386=0,0,1+COUNTIF(EC$3:EC385,"&gt;0"))</f>
        <v>0</v>
      </c>
      <c r="ED386" t="str">
        <f t="shared" si="321"/>
        <v/>
      </c>
      <c r="EE386" t="str">
        <f t="shared" si="294"/>
        <v/>
      </c>
      <c r="EG386">
        <f t="shared" si="295"/>
        <v>0</v>
      </c>
      <c r="EH386">
        <f>IF(EG386=0,0,1+COUNTIF(EH$3:EH385,"&gt;0"))</f>
        <v>0</v>
      </c>
      <c r="EI386" t="str">
        <f t="shared" si="322"/>
        <v/>
      </c>
      <c r="EJ386" t="str">
        <f t="shared" si="296"/>
        <v/>
      </c>
      <c r="EL386">
        <f t="shared" si="297"/>
        <v>0</v>
      </c>
      <c r="EM386">
        <f>IF(EL386=0,0,1+COUNTIF(EM$3:EM385,"&gt;0"))</f>
        <v>0</v>
      </c>
      <c r="EN386" t="str">
        <f t="shared" si="323"/>
        <v/>
      </c>
      <c r="EO386" t="str">
        <f t="shared" si="298"/>
        <v/>
      </c>
      <c r="EQ386">
        <f t="shared" si="299"/>
        <v>0</v>
      </c>
      <c r="ER386">
        <f>IF(EQ386=0,0,1+COUNTIF(ER$3:ER385,"&gt;0"))</f>
        <v>0</v>
      </c>
      <c r="ES386" t="str">
        <f t="shared" si="324"/>
        <v/>
      </c>
      <c r="ET386" t="str">
        <f t="shared" si="300"/>
        <v/>
      </c>
      <c r="EV386">
        <f t="shared" si="301"/>
        <v>0</v>
      </c>
      <c r="EW386">
        <f>IF(EV386=0,0,1+COUNTIF(EW$3:EW385,"&gt;0"))</f>
        <v>0</v>
      </c>
      <c r="EX386" t="str">
        <f t="shared" si="325"/>
        <v/>
      </c>
      <c r="EY386" t="str">
        <f t="shared" si="302"/>
        <v/>
      </c>
      <c r="FA386">
        <f t="shared" si="303"/>
        <v>0</v>
      </c>
      <c r="FB386">
        <f>IF(FA386=0,0,1+COUNTIF(FB$3:FB385,"&gt;0"))</f>
        <v>0</v>
      </c>
      <c r="FC386" t="str">
        <f t="shared" si="326"/>
        <v/>
      </c>
      <c r="FD386" t="str">
        <f t="shared" si="304"/>
        <v/>
      </c>
      <c r="FF386">
        <f t="shared" si="305"/>
        <v>0</v>
      </c>
      <c r="FG386">
        <f>IF(FF386=0,0,1+COUNTIF(FG$3:FG385,"&gt;0"))</f>
        <v>0</v>
      </c>
      <c r="FH386" t="str">
        <f t="shared" si="327"/>
        <v/>
      </c>
      <c r="FI386" t="str">
        <f t="shared" si="306"/>
        <v/>
      </c>
      <c r="FK386">
        <f t="shared" si="307"/>
        <v>0</v>
      </c>
      <c r="FL386">
        <f>IF(FK386=0,0,1+COUNTIF(FL$3:FL385,"&gt;0"))</f>
        <v>0</v>
      </c>
      <c r="FM386" t="str">
        <f t="shared" si="328"/>
        <v/>
      </c>
      <c r="FN386" t="str">
        <f t="shared" si="308"/>
        <v/>
      </c>
      <c r="FP386">
        <f t="shared" si="309"/>
        <v>0</v>
      </c>
      <c r="FQ386">
        <f>IF(FP386=0,0,1+COUNTIF(FQ$3:FQ385,"&gt;0"))</f>
        <v>0</v>
      </c>
      <c r="FR386" t="str">
        <f t="shared" si="329"/>
        <v/>
      </c>
      <c r="FS386" t="str">
        <f t="shared" si="310"/>
        <v/>
      </c>
    </row>
    <row r="387" spans="1:175" x14ac:dyDescent="0.25">
      <c r="A387" s="347">
        <f t="shared" si="331"/>
        <v>385</v>
      </c>
      <c r="B387" s="398" t="s">
        <v>5551</v>
      </c>
      <c r="C387" s="348">
        <v>6</v>
      </c>
      <c r="D387" s="347">
        <v>6</v>
      </c>
      <c r="E387" s="627" t="s">
        <v>6957</v>
      </c>
      <c r="F387" s="346"/>
      <c r="G387" s="347" t="str">
        <f>""</f>
        <v/>
      </c>
      <c r="H387" s="347" t="s">
        <v>5912</v>
      </c>
      <c r="I387" s="347" t="s">
        <v>2353</v>
      </c>
      <c r="J387" s="347" t="str">
        <f t="shared" si="279"/>
        <v/>
      </c>
      <c r="K387" s="347" t="s">
        <v>5297</v>
      </c>
      <c r="L387" s="611" t="str">
        <f t="shared" si="280"/>
        <v>V, S</v>
      </c>
      <c r="M387" s="347" t="s">
        <v>2373</v>
      </c>
      <c r="N387" s="347" t="s">
        <v>2387</v>
      </c>
      <c r="O387" s="347" t="s">
        <v>3034</v>
      </c>
      <c r="P387" s="346" t="str">
        <f>""</f>
        <v/>
      </c>
      <c r="Q387" s="347" t="s">
        <v>5276</v>
      </c>
      <c r="S387" s="346" t="s">
        <v>5889</v>
      </c>
      <c r="T387" s="346" t="str">
        <f t="shared" si="281"/>
        <v xml:space="preserve">Sorcerer, Warlock, Druid, Wizard, </v>
      </c>
      <c r="X387" s="347" t="str">
        <f t="shared" si="336"/>
        <v>Investiture of Wind</v>
      </c>
      <c r="Y387" s="347" t="str">
        <f t="shared" si="336"/>
        <v>Investiture of Wind</v>
      </c>
      <c r="AA387" s="347" t="str">
        <f t="shared" si="337"/>
        <v>Investiture of Wind</v>
      </c>
      <c r="AD387" s="347" t="str">
        <f t="shared" si="334"/>
        <v>Investiture of Wind</v>
      </c>
      <c r="AE387" t="str">
        <f>IF(IFERROR(MATCH($B387,temp!A$4:A$13,0),0)&gt;0,T08_Spells!AE$2,"")</f>
        <v/>
      </c>
      <c r="AF387" t="str">
        <f>IF(IFERROR(MATCH($B387,temp!B$4:B$13,0),0)&gt;0,T08_Spells!AF$2,"")</f>
        <v/>
      </c>
      <c r="AG387" t="str">
        <f>IF(IFERROR(MATCH($B387,temp!C$4:C$13,0),0)&gt;0,T08_Spells!AG$2,"")</f>
        <v/>
      </c>
      <c r="AH387" t="str">
        <f>IF(IFERROR(MATCH($B387,temp!D$4:D$13,0),0)&gt;0,T08_Spells!AH$2,"")</f>
        <v/>
      </c>
      <c r="AI387" t="str">
        <f>IF(IFERROR(MATCH($B387,temp!E$4:E$13,0),0)&gt;0,T08_Spells!AI$2,"")</f>
        <v/>
      </c>
      <c r="AJ387" t="str">
        <f>IF(IFERROR(MATCH($B387,temp!F$4:F$13,0),0)&gt;0,T08_Spells!AJ$2,"")</f>
        <v/>
      </c>
      <c r="AK387" t="str">
        <f>IF(IFERROR(MATCH($B387,temp!G$4:G$13,0),0)&gt;0,T08_Spells!AK$2,"")</f>
        <v/>
      </c>
      <c r="AL387" t="str">
        <f>IF(IFERROR(MATCH($B387,temp!H$4:H$13,0),0)&gt;0,T08_Spells!AL$2,"")</f>
        <v/>
      </c>
      <c r="AM387" t="str">
        <f>IF(IFERROR(MATCH($B387,temp!I$4:I$13,0),0)&gt;0,T08_Spells!AM$2,"")</f>
        <v/>
      </c>
      <c r="AN387" t="str">
        <f>IF(IFERROR(MATCH($B387,temp!J$4:J$13,0),0)&gt;0,T08_Spells!AN$2,"")</f>
        <v/>
      </c>
      <c r="AO387" t="str">
        <f>IF(IFERROR(MATCH($B387,temp!K$4:K$13,0),0)&gt;0,T08_Spells!AO$2,"")</f>
        <v/>
      </c>
      <c r="AP387" t="str">
        <f>IF(IFERROR(MATCH($B387,temp!L$4:L$13,0),0)&gt;0,T08_Spells!AP$2,"")</f>
        <v/>
      </c>
      <c r="AQ387" t="str">
        <f>IF(IFERROR(MATCH($B387,temp!M$4:M$13,0),0)&gt;0,T08_Spells!AQ$2,"")</f>
        <v/>
      </c>
      <c r="AR387" t="str">
        <f>IF(IFERROR(MATCH($B387,temp!N$4:N$13,0),0)&gt;0,T08_Spells!AR$2,"")</f>
        <v/>
      </c>
      <c r="AS387" t="str">
        <f>IF(IFERROR(MATCH($B387,temp!O$4:O$13,0),0)&gt;0,T08_Spells!AS$2,"")</f>
        <v/>
      </c>
      <c r="AT387" t="str">
        <f>IF(IFERROR(MATCH($B387,temp!P$4:P$13,0),0)&gt;0,T08_Spells!AT$2,"")</f>
        <v/>
      </c>
      <c r="AU387" t="str">
        <f>IF(IFERROR(MATCH($B387,temp!Q$4:Q$13,0),0)&gt;0,T08_Spells!AU$2,"")</f>
        <v/>
      </c>
      <c r="AV387" t="str">
        <f>IF(IFERROR(MATCH($B387,temp!R$4:R$13,0),0)&gt;0,T08_Spells!AV$2,"")</f>
        <v/>
      </c>
      <c r="AW387" t="str">
        <f>IF(IFERROR(MATCH($B387,temp!S$4:S$13,0),0)&gt;0,T08_Spells!AW$2,"")</f>
        <v/>
      </c>
      <c r="AX387" t="str">
        <f>IF(IFERROR(MATCH($B387,temp!T$4:T$13,0),0)&gt;0,T08_Spells!AX$2,"")</f>
        <v/>
      </c>
      <c r="AY387" t="str">
        <f>IF(IFERROR(MATCH($B387,temp!U$4:U$13,0),0)&gt;0,T08_Spells!AY$2,"")</f>
        <v/>
      </c>
      <c r="AZ387" t="str">
        <f>IF(IFERROR(MATCH($B387,temp!V$4:V$13,0),0)&gt;0,T08_Spells!AZ$2,"")</f>
        <v/>
      </c>
      <c r="BA387" t="str">
        <f>IF(IFERROR(MATCH($B387,temp!W$4:W$13,0),0)&gt;0,T08_Spells!BA$2,"")</f>
        <v/>
      </c>
      <c r="BC387">
        <f>IF(IFERROR(SEARCH("Ranger",$T387,1),0)&gt;0,1,0)*IF(RangerMaxSpellLevel&gt;=$C387,1,0)*IF(IFERROR(MATCH(B387,Character_Creation!$X$79:$X$382,0),0)&gt;0,0,1)</f>
        <v>0</v>
      </c>
      <c r="BD387">
        <f>IF(BC387=0,0,1+COUNTIF(BD$3:BD386,"&gt;0"))</f>
        <v>0</v>
      </c>
      <c r="BE387" t="str">
        <f t="shared" si="311"/>
        <v/>
      </c>
      <c r="BF387" t="str">
        <f t="shared" si="283"/>
        <v/>
      </c>
      <c r="BH387">
        <f>IF(IFERROR(SEARCH("Sorcerer",$T387,1),0)&gt;0,1,0)*IF(SorcererMaxSpellLevel&gt;=$C387,1,0)*IF(IFERROR(MATCH(B387,Character_Creation!$J$380:$J$394,0),0)&gt;0,0,1)</f>
        <v>0</v>
      </c>
      <c r="BI387">
        <f>IF(BH387=0,0,1+COUNTIF(BI$3:BI386,"&gt;0"))</f>
        <v>0</v>
      </c>
      <c r="BJ387" t="str">
        <f t="shared" si="312"/>
        <v/>
      </c>
      <c r="BK387" t="str">
        <f t="shared" si="284"/>
        <v/>
      </c>
      <c r="BM387">
        <f>IF(OR(IFERROR(SEARCH("Warlock",$T387,1),0)&gt;0,IFERROR(SEARCH(WarlockPatron,$T387,1),0)&gt;0),1,0)*IF(WarlockMaxSpellLevel&gt;=$C387,1,0)*IF(IFERROR(MATCH(B387,Character_Creation!$J$361:$J$375,0),0)&gt;0,0,1)</f>
        <v>0</v>
      </c>
      <c r="BN387">
        <f>IF(BM387=0,0,1+COUNTIF(BN$3:BN386,"&gt;0"))</f>
        <v>0</v>
      </c>
      <c r="BO387" t="str">
        <f t="shared" si="313"/>
        <v/>
      </c>
      <c r="BP387" t="str">
        <f t="shared" si="285"/>
        <v/>
      </c>
      <c r="BR387">
        <f>IF(IFERROR(SEARCH("Eldritch Knight",$T387,1),0)&gt;0,1,0)*IF(EldritchKnightMaxSpellLevel&gt;=$C387,1,0)*IF(IFERROR(MATCH($B387,Character_Creation!$J$350:$J$356,0),0)&gt;0,0,1)*IF(Character_Creation!$M$338&gt;0,1,0)</f>
        <v>0</v>
      </c>
      <c r="BS387">
        <f>IF(BR387=0,0,1+COUNTIF(BS$3:BS386,"&gt;0"))</f>
        <v>0</v>
      </c>
      <c r="BT387" t="str">
        <f t="shared" si="314"/>
        <v/>
      </c>
      <c r="BU387" t="str">
        <f t="shared" si="286"/>
        <v/>
      </c>
      <c r="BW387">
        <f>IF(IFERROR(SEARCH("Arcane Trickster",$T387,1),0)&gt;0,1,0)*IF(ArcaneTricksterMaxSpellLevel&gt;=$C387,1,0)*IF(IFERROR(MATCH($B387,Character_Creation!$J$350:$J$356,0),0)&gt;0,0,1)*IF(Character_Creation!$T$338&gt;0,1,0)</f>
        <v>0</v>
      </c>
      <c r="BX387">
        <f>IF(BW387=0,0,1+COUNTIF(BX$3:BX386,"&gt;0"))</f>
        <v>0</v>
      </c>
      <c r="BY387" t="str">
        <f t="shared" si="315"/>
        <v/>
      </c>
      <c r="BZ387" t="str">
        <f t="shared" si="287"/>
        <v/>
      </c>
      <c r="CB387">
        <f>IF(IFERROR(SEARCH("Wizard",$T387,1),0)&gt;0,1,0)*IF(C387&lt;=ArcaneTricksterMaxSpellLevel,1,0)*IF(IFERROR(MATCH($B387,Character_Creation!$J$350:$J$356,0),0)&gt;0,0,1)*IF(Character_Creation!$T$350&gt;0,1,0)</f>
        <v>0</v>
      </c>
      <c r="CC387">
        <f>IF(CB387=0,0,1+COUNTIF(CC$3:CC386,"&gt;0"))</f>
        <v>0</v>
      </c>
      <c r="CD387" t="str">
        <f t="shared" si="316"/>
        <v/>
      </c>
      <c r="CE387" t="str">
        <f t="shared" si="288"/>
        <v/>
      </c>
      <c r="CG387">
        <f>IF(IFERROR(SEARCH("Wizard",$T387,1),0)&gt;0,1,0)*IF($C387&lt;=EldritchKnightMaxSpellLevel,1,0)*IF(IFERROR(MATCH($B387,Character_Creation!$J$350:$J$356,0),0)&gt;0,0,1)*IF(Character_Creation!$M$350&gt;0,1,0)</f>
        <v>0</v>
      </c>
      <c r="CH387">
        <f>IF(CG387=0,0,1+COUNTIF(CH$3:CH386,"&gt;0"))</f>
        <v>0</v>
      </c>
      <c r="CI387" t="str">
        <f t="shared" si="317"/>
        <v/>
      </c>
      <c r="CJ387" t="str">
        <f t="shared" si="289"/>
        <v/>
      </c>
      <c r="CL387">
        <f>IF(IFERROR(SEARCH("Bard",$T387,1),0)&gt;0,1,0)*IF(BardMaxSpellLevel&gt;=$C387,1,0)*IF(IFERROR(MATCH(B387,Character_Creation!$C$341:$F$362,0),0)&gt;0,0,1)*IF(IFERROR(MATCH($B387,Character_Creation!$C$341:$C$362,0),0)&gt;0,0,1)</f>
        <v>0</v>
      </c>
      <c r="CM387">
        <f>IF(CL387=0,0,1+COUNTIF(CM$3:CM386,"&gt;0"))</f>
        <v>0</v>
      </c>
      <c r="CN387" t="str">
        <f t="shared" si="318"/>
        <v/>
      </c>
      <c r="CO387" t="str">
        <f t="shared" si="290"/>
        <v/>
      </c>
      <c r="CQ387">
        <f>IF(IFERROR(SEARCH("Wizard",$T387,1),0)&gt;0,1,0)*IF(WizardMaxSpellLevel&gt;=$C387,1,0)*IF(IFERROR(MATCH(B387,Character_Creation!$X$341:$X$400,0),0)&gt;0,0,1)*IF(SelectedWizardSpellLevel=$C387,1,0)</f>
        <v>0</v>
      </c>
      <c r="CR387">
        <f>IF(CQ387=0,0,1+COUNTIF(CR$3:CR386,"&gt;0"))</f>
        <v>0</v>
      </c>
      <c r="CS387" t="str">
        <f t="shared" si="319"/>
        <v/>
      </c>
      <c r="CT387" t="str">
        <f t="shared" si="291"/>
        <v/>
      </c>
      <c r="CV387">
        <f>IF(IFERROR(MATCH($B387,Character_Creation!$C$341:$C$362,0),0)&gt;0,0,1)*IF(OR(C387="Cantrip",C387&lt;=BardMaxSpellLevel),1,0)*IF(IFERROR(MATCH($B387,Character_Creation!$C$367:$C$374,0),0)&gt;0,0,1)</f>
        <v>0</v>
      </c>
      <c r="CW387">
        <f>IF(CV387=0,0,1+COUNTIF(CW$3:CW386,"&gt;0"))</f>
        <v>0</v>
      </c>
      <c r="CX387" t="str">
        <f t="shared" si="320"/>
        <v/>
      </c>
      <c r="CY387" t="str">
        <f t="shared" si="292"/>
        <v/>
      </c>
      <c r="DA387">
        <f>IF(IF(OR(IFERROR(SEARCH("Cleric",$T387,1),0)&gt;0,IFERROR(SEARCH(DivineDomain&amp;",",$T387,1),0)&gt;0),1,0)*IF($C387=DA$2,1,0)=1,1+COUNTIF(DA$3:DA386,"&gt;0"),0)</f>
        <v>0</v>
      </c>
      <c r="DB387">
        <f>IF(IF(OR(IFERROR(SEARCH("Cleric",$T387,1),0)&gt;0,IFERROR(SEARCH(DivineDomain&amp;",",$T387,1),0)&gt;0),1,0)*IF($C387=DB$2,1,0)=1,1+COUNTIF(DB$3:DB386,"&gt;0"),0)</f>
        <v>0</v>
      </c>
      <c r="DC387">
        <f>IF(IF(OR(IFERROR(SEARCH("Cleric",$T387,1),0)&gt;0,IFERROR(SEARCH(DivineDomain&amp;",",$T387,1),0)&gt;0),1,0)*IF($C387=DC$2,1,0)=1,1+COUNTIF(DC$3:DC386,"&gt;0"),0)</f>
        <v>0</v>
      </c>
      <c r="DD387">
        <f>IF(IF(OR(IFERROR(SEARCH("Cleric",$T387,1),0)&gt;0,IFERROR(SEARCH(DivineDomain&amp;",",$T387,1),0)&gt;0),1,0)*IF($C387=DD$2,1,0)=1,1+COUNTIF(DD$3:DD386,"&gt;0"),0)</f>
        <v>0</v>
      </c>
      <c r="DE387">
        <f>IF(IF(OR(IFERROR(SEARCH("Cleric",$T387,1),0)&gt;0,IFERROR(SEARCH(DivineDomain&amp;",",$T387,1),0)&gt;0),1,0)*IF($C387=DE$2,1,0)=1,1+COUNTIF(DE$3:DE386,"&gt;0"),0)</f>
        <v>0</v>
      </c>
      <c r="DF387">
        <f>IF(IF(OR(IFERROR(SEARCH("Cleric",$T387,1),0)&gt;0,IFERROR(SEARCH(DivineDomain&amp;",",$T387,1),0)&gt;0),1,0)*IF($C387=DF$2,1,0)=1,1+COUNTIF(DF$3:DF386,"&gt;0"),0)</f>
        <v>0</v>
      </c>
      <c r="DG387">
        <f>IF(IF(OR(IFERROR(SEARCH("Cleric",$T387,1),0)&gt;0,IFERROR(SEARCH(DivineDomain&amp;",",$T387,1),0)&gt;0),1,0)*IF($C387=DG$2,1,0)=1,1+COUNTIF(DG$3:DG386,"&gt;0"),0)</f>
        <v>0</v>
      </c>
      <c r="DH387">
        <f>IF(IF(OR(IFERROR(SEARCH("Cleric",$T387,1),0)&gt;0,IFERROR(SEARCH(DivineDomain&amp;",",$T387,1),0)&gt;0),1,0)*IF($C387=DH$2,1,0)=1,1+COUNTIF(DH$3:DH386,"&gt;0"),0)</f>
        <v>0</v>
      </c>
      <c r="DI387">
        <f>IF(IF(OR(IFERROR(SEARCH("Cleric",$T387,1),0)&gt;0,IFERROR(SEARCH(DivineDomain&amp;",",$T387,1),0)&gt;0),1,0)*IF($C387=DI$2,1,0)=1,1+COUNTIF(DI$3:DI386,"&gt;0"),0)</f>
        <v>0</v>
      </c>
      <c r="DJ387">
        <f>IF(IF(OR(IFERROR(SEARCH("Druid",$T387,1),0)&gt;0,IFERROR(SEARCH(DruidLand1,$T387,1),0)&gt;0,IFERROR(SEARCH(DruidLand2,$T387,1),0)&gt;0,IFERROR(SEARCH(DruidLand3,$T387,1),0)&gt;0,IFERROR(SEARCH(DruidLand4,$T387,1),0)&gt;0),1,0)*IF($C387=1,1,0)*IF($C387=DJ$2,1,0)=0,0,1+COUNTIF(DJ$3:DJ386,"&gt;0"))</f>
        <v>0</v>
      </c>
      <c r="DK387">
        <f>IF(IF(OR(IFERROR(SEARCH("Druid",$T387,1),0)&gt;0,IFERROR(SEARCH(DruidLand1,$T387,1),0)&gt;0,IFERROR(SEARCH(DruidLand2,$T387,1),0)&gt;0,IFERROR(SEARCH(DruidLand3,$T387,1),0)&gt;0,IFERROR(SEARCH(DruidLand4,$T387,1),0)&gt;0),1,0)*IF($C387=DK$2,1,0)=0,0,1+COUNTIF(DK$3:DK386,"&gt;0"))</f>
        <v>0</v>
      </c>
      <c r="DL387">
        <f>IF(IF(OR(IFERROR(SEARCH("Druid",$T387,1),0)&gt;0,IFERROR(SEARCH(DruidLand1,$T387,1),0)&gt;0,IFERROR(SEARCH(DruidLand2,$T387,1),0)&gt;0,IFERROR(SEARCH(DruidLand3,$T387,1),0)&gt;0,IFERROR(SEARCH(DruidLand4,$T387,1),0)&gt;0),1,0)*IF($C387=DL$2,1,0)=0,0,1+COUNTIF(DL$3:DL386,"&gt;0"))</f>
        <v>0</v>
      </c>
      <c r="DM387">
        <f>IF(IF(OR(IFERROR(SEARCH("Druid",$T387,1),0)&gt;0,IFERROR(SEARCH(DruidLand1,$T387,1),0)&gt;0,IFERROR(SEARCH(DruidLand2,$T387,1),0)&gt;0,IFERROR(SEARCH(DruidLand3,$T387,1),0)&gt;0,IFERROR(SEARCH(DruidLand4,$T387,1),0)&gt;0),1,0)*IF($C387=DM$2,1,0)=0,0,1+COUNTIF(DM$3:DM386,"&gt;0"))</f>
        <v>0</v>
      </c>
      <c r="DN387">
        <f>IF(IF(OR(IFERROR(SEARCH("Druid",$T387,1),0)&gt;0,IFERROR(SEARCH(DruidLand1,$T387,1),0)&gt;0,IFERROR(SEARCH(DruidLand2,$T387,1),0)&gt;0,IFERROR(SEARCH(DruidLand3,$T387,1),0)&gt;0,IFERROR(SEARCH(DruidLand4,$T387,1),0)&gt;0),1,0)*IF($C387=DN$2,1,0)=0,0,1+COUNTIF(DN$3:DN386,"&gt;0"))</f>
        <v>0</v>
      </c>
      <c r="DO387">
        <f>IF(IF(OR(IFERROR(SEARCH("Druid",$T387,1),0)&gt;0,IFERROR(SEARCH(DruidLand1,$T387,1),0)&gt;0,IFERROR(SEARCH(DruidLand2,$T387,1),0)&gt;0,IFERROR(SEARCH(DruidLand3,$T387,1),0)&gt;0,IFERROR(SEARCH(DruidLand4,$T387,1),0)&gt;0),1,0)*IF($C387=DO$2,1,0)=0,0,1+COUNTIF(DO$3:DO386,"&gt;0"))</f>
        <v>14</v>
      </c>
      <c r="DP387">
        <f>IF(IF(OR(IFERROR(SEARCH("Druid",$T387,1),0)&gt;0,IFERROR(SEARCH(DruidLand1,$T387,1),0)&gt;0,IFERROR(SEARCH(DruidLand2,$T387,1),0)&gt;0,IFERROR(SEARCH(DruidLand3,$T387,1),0)&gt;0,IFERROR(SEARCH(DruidLand4,$T387,1),0)&gt;0),1,0)*IF($C387=DP$2,1,0)=0,0,1+COUNTIF(DP$3:DP386,"&gt;0"))</f>
        <v>0</v>
      </c>
      <c r="DQ387">
        <f>IF(IF(OR(IFERROR(SEARCH("Druid",$T387,1),0)&gt;0,IFERROR(SEARCH(DruidLand1,$T387,1),0)&gt;0,IFERROR(SEARCH(DruidLand2,$T387,1),0)&gt;0,IFERROR(SEARCH(DruidLand3,$T387,1),0)&gt;0,IFERROR(SEARCH(DruidLand4,$T387,1),0)&gt;0),1,0)*IF($C387=DQ$2,1,0)=0,0,1+COUNTIF(DQ$3:DQ386,"&gt;0"))</f>
        <v>0</v>
      </c>
      <c r="DR387">
        <f>IF(IF(OR(IFERROR(SEARCH("Druid",$T387,1),0)&gt;0,IFERROR(SEARCH(DruidLand1,$T387,1),0)&gt;0,IFERROR(SEARCH(DruidLand2,$T387,1),0)&gt;0,IFERROR(SEARCH(DruidLand3,$T387,1),0)&gt;0,IFERROR(SEARCH(DruidLand4,$T387,1),0)&gt;0),1,0)*IF($C387=DR$2,1,0)=0,0,1+COUNTIF(DR$3:DR386,"&gt;0"))</f>
        <v>0</v>
      </c>
      <c r="DS387">
        <f>IF(IF(OR(IFERROR(SEARCH("Paladin",$T387,1),0)&gt;0,IFERROR(SEARCH(PaladinOath,$T387,1),0)&gt;0),1,0)*IF($C387=DS$2,1,0)=1,1+COUNTIF(DS$3:DS386,"&gt;0"),0)</f>
        <v>0</v>
      </c>
      <c r="DT387">
        <f>IF(IF(OR(IFERROR(SEARCH("Paladin",$T387,1),0)&gt;0,IFERROR(SEARCH(PaladinOath,$T387,1),0)&gt;0),1,0)*IF($C387=DT$2,1,0)=1,1+COUNTIF(DT$3:DT386,"&gt;0"),0)</f>
        <v>0</v>
      </c>
      <c r="DU387">
        <f>IF(IF(OR(IFERROR(SEARCH("Paladin",$T387,1),0)&gt;0,IFERROR(SEARCH(PaladinOath,$T387,1),0)&gt;0),1,0)*IF($C387=DU$2,1,0)=1,1+COUNTIF(DU$3:DU386,"&gt;0"),0)</f>
        <v>0</v>
      </c>
      <c r="DV387">
        <f>IF(IF(OR(IFERROR(SEARCH("Paladin",$T387,1),0)&gt;0,IFERROR(SEARCH(PaladinOath,$T387,1),0)&gt;0),1,0)*IF($C387=DV$2,1,0)=1,1+COUNTIF(DV$3:DV386,"&gt;0"),0)</f>
        <v>0</v>
      </c>
      <c r="DW387">
        <f>IF(IF(OR(IFERROR(SEARCH("Paladin",$T387,1),0)&gt;0,IFERROR(SEARCH(PaladinOath,$T387,1),0)&gt;0),1,0)*IF($C387=DW$2,1,0)=1,1+COUNTIF(DW$3:DW386,"&gt;0"),0)</f>
        <v>0</v>
      </c>
      <c r="DY387">
        <f t="shared" ref="DY387:DY407" si="338">IF(IFERROR(SEARCH(FavoredSoul_Domain&amp;",",$T387,1),0)&gt;0,1,0)</f>
        <v>1</v>
      </c>
      <c r="DZ387">
        <f>IF(DY387=0,0,1+MAX(DZ$3:$DZ386))</f>
        <v>385</v>
      </c>
      <c r="EB387">
        <f t="shared" si="293"/>
        <v>0</v>
      </c>
      <c r="EC387">
        <f>IF(EB387=0,0,1+COUNTIF(EC$3:EC386,"&gt;0"))</f>
        <v>0</v>
      </c>
      <c r="ED387" t="str">
        <f t="shared" si="321"/>
        <v/>
      </c>
      <c r="EE387" t="str">
        <f t="shared" si="294"/>
        <v/>
      </c>
      <c r="EG387">
        <f t="shared" si="295"/>
        <v>0</v>
      </c>
      <c r="EH387">
        <f>IF(EG387=0,0,1+COUNTIF(EH$3:EH386,"&gt;0"))</f>
        <v>0</v>
      </c>
      <c r="EI387" t="str">
        <f t="shared" si="322"/>
        <v/>
      </c>
      <c r="EJ387" t="str">
        <f t="shared" si="296"/>
        <v/>
      </c>
      <c r="EL387">
        <f t="shared" si="297"/>
        <v>0</v>
      </c>
      <c r="EM387">
        <f>IF(EL387=0,0,1+COUNTIF(EM$3:EM386,"&gt;0"))</f>
        <v>0</v>
      </c>
      <c r="EN387" t="str">
        <f t="shared" si="323"/>
        <v/>
      </c>
      <c r="EO387" t="str">
        <f t="shared" si="298"/>
        <v/>
      </c>
      <c r="EQ387">
        <f t="shared" si="299"/>
        <v>0</v>
      </c>
      <c r="ER387">
        <f>IF(EQ387=0,0,1+COUNTIF(ER$3:ER386,"&gt;0"))</f>
        <v>0</v>
      </c>
      <c r="ES387" t="str">
        <f t="shared" si="324"/>
        <v/>
      </c>
      <c r="ET387" t="str">
        <f t="shared" si="300"/>
        <v/>
      </c>
      <c r="EV387">
        <f t="shared" si="301"/>
        <v>0</v>
      </c>
      <c r="EW387">
        <f>IF(EV387=0,0,1+COUNTIF(EW$3:EW386,"&gt;0"))</f>
        <v>0</v>
      </c>
      <c r="EX387" t="str">
        <f t="shared" si="325"/>
        <v/>
      </c>
      <c r="EY387" t="str">
        <f t="shared" si="302"/>
        <v/>
      </c>
      <c r="FA387">
        <f t="shared" si="303"/>
        <v>0</v>
      </c>
      <c r="FB387">
        <f>IF(FA387=0,0,1+COUNTIF(FB$3:FB386,"&gt;0"))</f>
        <v>0</v>
      </c>
      <c r="FC387" t="str">
        <f t="shared" si="326"/>
        <v/>
      </c>
      <c r="FD387" t="str">
        <f t="shared" si="304"/>
        <v/>
      </c>
      <c r="FF387">
        <f t="shared" si="305"/>
        <v>0</v>
      </c>
      <c r="FG387">
        <f>IF(FF387=0,0,1+COUNTIF(FG$3:FG386,"&gt;0"))</f>
        <v>0</v>
      </c>
      <c r="FH387" t="str">
        <f t="shared" si="327"/>
        <v/>
      </c>
      <c r="FI387" t="str">
        <f t="shared" si="306"/>
        <v/>
      </c>
      <c r="FK387">
        <f t="shared" si="307"/>
        <v>0</v>
      </c>
      <c r="FL387">
        <f>IF(FK387=0,0,1+COUNTIF(FL$3:FL386,"&gt;0"))</f>
        <v>0</v>
      </c>
      <c r="FM387" t="str">
        <f t="shared" si="328"/>
        <v/>
      </c>
      <c r="FN387" t="str">
        <f t="shared" si="308"/>
        <v/>
      </c>
      <c r="FP387">
        <f t="shared" si="309"/>
        <v>0</v>
      </c>
      <c r="FQ387">
        <f>IF(FP387=0,0,1+COUNTIF(FQ$3:FQ386,"&gt;0"))</f>
        <v>0</v>
      </c>
      <c r="FR387" t="str">
        <f t="shared" si="329"/>
        <v/>
      </c>
      <c r="FS387" t="str">
        <f t="shared" si="310"/>
        <v/>
      </c>
    </row>
    <row r="388" spans="1:175" x14ac:dyDescent="0.25">
      <c r="A388" s="347">
        <f t="shared" si="331"/>
        <v>386</v>
      </c>
      <c r="B388" s="398" t="s">
        <v>5552</v>
      </c>
      <c r="C388" s="348">
        <v>5</v>
      </c>
      <c r="D388" s="347">
        <v>5</v>
      </c>
      <c r="E388" s="627" t="s">
        <v>6957</v>
      </c>
      <c r="F388" s="346"/>
      <c r="G388" s="347" t="str">
        <f>""</f>
        <v/>
      </c>
      <c r="H388" s="347" t="s">
        <v>5912</v>
      </c>
      <c r="I388" s="347" t="s">
        <v>5290</v>
      </c>
      <c r="J388" s="347" t="str">
        <f t="shared" ref="J388:J407" si="339">IF(IFERROR(SEARCH("con",K388,1),0)&gt;0,"Concentration","")</f>
        <v/>
      </c>
      <c r="K388" s="347" t="s">
        <v>5291</v>
      </c>
      <c r="L388" s="611" t="str">
        <f t="shared" ref="L388:L407" si="340">LEFT(TRIM(IF(M388&lt;&gt;"",M388&amp;", ","")&amp;IF(N388&lt;&gt;"",N388&amp;", ","")&amp;IF(O388&lt;&gt;"",O388&amp;", ","")&amp;IF(P388&lt;&gt;"",P388&amp;", ","")),LEN(TRIM(IF(M388&lt;&gt;"",M388&amp;", ","")&amp;IF(N388&lt;&gt;"",N388&amp;", ","")&amp;IF(O388&lt;&gt;"",O388&amp;", ","")&amp;IF(P388&lt;&gt;"",P388&amp;", ","")))-1)</f>
        <v>V, S, M, paper or leaf in the shape of a funnel</v>
      </c>
      <c r="M388" s="347" t="s">
        <v>2373</v>
      </c>
      <c r="N388" s="347" t="s">
        <v>2387</v>
      </c>
      <c r="O388" s="347" t="s">
        <v>1244</v>
      </c>
      <c r="P388" s="346" t="s">
        <v>5553</v>
      </c>
      <c r="Q388" s="347" t="s">
        <v>5273</v>
      </c>
      <c r="S388" s="346" t="s">
        <v>5890</v>
      </c>
      <c r="T388" s="346" t="str">
        <f t="shared" ref="T388:T407" si="341">IF(U388&lt;&gt;"","Bard, ","")&amp;IF(V388&lt;&gt;"","Paladin, ","")&amp;IF(W388&lt;&gt;"","Ranger, ","")&amp;IF(X388&lt;&gt;"","Sorcerer, ","")&amp;IF(Y388&lt;&gt;"","Warlock, ","")&amp;IF(Z388&lt;&gt;"","Cleric, ","")&amp;IF(AA388&lt;&gt;"","Druid, ","")&amp;IF(AB388&lt;&gt;"","Eldritch Knight, ","")&amp;IF(AC388&lt;&gt;"","Arcane Trickster, ","")&amp;IF(AD388&lt;&gt;"","Wizard, ","")&amp;IF(AE388&lt;&gt;"","Devotion, ","")&amp;IF(AF388&lt;&gt;"","Vengeance, ","")&amp;IF(AG388&lt;&gt;"","Ancients, ","")&amp;IF(AH388&lt;&gt;"","Oathbreaker, ","")&amp;IF(AI388&lt;&gt;"","Archfey, ","")&amp;IF(AJ388&lt;&gt;"","Archfiend, ","")&amp;IF(AK388&lt;&gt;"","Old One, ","")&amp;IF(AL388&lt;&gt;"","Arctic, ","")&amp;IF(AO388&lt;&gt;"","Fores, ","")&amp;IF(AM388&lt;&gt;"","Coast, ","")&amp;IF(AN388&lt;&gt;"","Desert, ","")&amp;IF(AP388&lt;&gt;"","GrassLand, ","")&amp;IF(AQ388&lt;&gt;"","Mountain, ","")&amp;IF(AR388&lt;&gt;"","Swamp, ","")&amp;IF(AS388&lt;&gt;"","Underdark, ","")&amp;IF(AT388&lt;&gt;"","Knowledge, ","")&amp;IF(AU388&lt;&gt;"","Life, ","")&amp;IF(AV388&lt;&gt;"","Light, ","")&amp;IF(AW388&lt;&gt;"","Nature, ","")&amp;IF(AX388&lt;&gt;"","Tempest, ","")&amp;IF(AY388&lt;&gt;"","Trickery, ","")&amp;IF(AZ388&lt;&gt;"","War, ","")&amp;IF(BA388&lt;&gt;"","Death, ","")</f>
        <v xml:space="preserve">Druid, </v>
      </c>
      <c r="AA388" s="347" t="str">
        <f t="shared" si="337"/>
        <v>Maelstrom</v>
      </c>
      <c r="AE388" t="str">
        <f>IF(IFERROR(MATCH($B388,temp!A$4:A$13,0),0)&gt;0,T08_Spells!AE$2,"")</f>
        <v/>
      </c>
      <c r="AF388" t="str">
        <f>IF(IFERROR(MATCH($B388,temp!B$4:B$13,0),0)&gt;0,T08_Spells!AF$2,"")</f>
        <v/>
      </c>
      <c r="AG388" t="str">
        <f>IF(IFERROR(MATCH($B388,temp!C$4:C$13,0),0)&gt;0,T08_Spells!AG$2,"")</f>
        <v/>
      </c>
      <c r="AH388" t="str">
        <f>IF(IFERROR(MATCH($B388,temp!D$4:D$13,0),0)&gt;0,T08_Spells!AH$2,"")</f>
        <v/>
      </c>
      <c r="AI388" t="str">
        <f>IF(IFERROR(MATCH($B388,temp!E$4:E$13,0),0)&gt;0,T08_Spells!AI$2,"")</f>
        <v/>
      </c>
      <c r="AJ388" t="str">
        <f>IF(IFERROR(MATCH($B388,temp!F$4:F$13,0),0)&gt;0,T08_Spells!AJ$2,"")</f>
        <v/>
      </c>
      <c r="AK388" t="str">
        <f>IF(IFERROR(MATCH($B388,temp!G$4:G$13,0),0)&gt;0,T08_Spells!AK$2,"")</f>
        <v/>
      </c>
      <c r="AL388" t="str">
        <f>IF(IFERROR(MATCH($B388,temp!H$4:H$13,0),0)&gt;0,T08_Spells!AL$2,"")</f>
        <v/>
      </c>
      <c r="AM388" t="str">
        <f>IF(IFERROR(MATCH($B388,temp!I$4:I$13,0),0)&gt;0,T08_Spells!AM$2,"")</f>
        <v/>
      </c>
      <c r="AN388" t="str">
        <f>IF(IFERROR(MATCH($B388,temp!J$4:J$13,0),0)&gt;0,T08_Spells!AN$2,"")</f>
        <v/>
      </c>
      <c r="AO388" t="str">
        <f>IF(IFERROR(MATCH($B388,temp!K$4:K$13,0),0)&gt;0,T08_Spells!AO$2,"")</f>
        <v/>
      </c>
      <c r="AP388" t="str">
        <f>IF(IFERROR(MATCH($B388,temp!L$4:L$13,0),0)&gt;0,T08_Spells!AP$2,"")</f>
        <v/>
      </c>
      <c r="AQ388" t="str">
        <f>IF(IFERROR(MATCH($B388,temp!M$4:M$13,0),0)&gt;0,T08_Spells!AQ$2,"")</f>
        <v/>
      </c>
      <c r="AR388" t="str">
        <f>IF(IFERROR(MATCH($B388,temp!N$4:N$13,0),0)&gt;0,T08_Spells!AR$2,"")</f>
        <v/>
      </c>
      <c r="AS388" t="str">
        <f>IF(IFERROR(MATCH($B388,temp!O$4:O$13,0),0)&gt;0,T08_Spells!AS$2,"")</f>
        <v/>
      </c>
      <c r="AT388" t="str">
        <f>IF(IFERROR(MATCH($B388,temp!P$4:P$13,0),0)&gt;0,T08_Spells!AT$2,"")</f>
        <v/>
      </c>
      <c r="AU388" t="str">
        <f>IF(IFERROR(MATCH($B388,temp!Q$4:Q$13,0),0)&gt;0,T08_Spells!AU$2,"")</f>
        <v/>
      </c>
      <c r="AV388" t="str">
        <f>IF(IFERROR(MATCH($B388,temp!R$4:R$13,0),0)&gt;0,T08_Spells!AV$2,"")</f>
        <v/>
      </c>
      <c r="AW388" t="str">
        <f>IF(IFERROR(MATCH($B388,temp!S$4:S$13,0),0)&gt;0,T08_Spells!AW$2,"")</f>
        <v/>
      </c>
      <c r="AX388" t="str">
        <f>IF(IFERROR(MATCH($B388,temp!T$4:T$13,0),0)&gt;0,T08_Spells!AX$2,"")</f>
        <v/>
      </c>
      <c r="AY388" t="str">
        <f>IF(IFERROR(MATCH($B388,temp!U$4:U$13,0),0)&gt;0,T08_Spells!AY$2,"")</f>
        <v/>
      </c>
      <c r="AZ388" t="str">
        <f>IF(IFERROR(MATCH($B388,temp!V$4:V$13,0),0)&gt;0,T08_Spells!AZ$2,"")</f>
        <v/>
      </c>
      <c r="BA388" t="str">
        <f>IF(IFERROR(MATCH($B388,temp!W$4:W$13,0),0)&gt;0,T08_Spells!BA$2,"")</f>
        <v/>
      </c>
      <c r="BC388">
        <f>IF(IFERROR(SEARCH("Ranger",$T388,1),0)&gt;0,1,0)*IF(RangerMaxSpellLevel&gt;=$C388,1,0)*IF(IFERROR(MATCH(B388,Character_Creation!$X$79:$X$382,0),0)&gt;0,0,1)</f>
        <v>0</v>
      </c>
      <c r="BD388">
        <f>IF(BC388=0,0,1+COUNTIF(BD$3:BD387,"&gt;0"))</f>
        <v>0</v>
      </c>
      <c r="BE388" t="str">
        <f t="shared" si="311"/>
        <v/>
      </c>
      <c r="BF388" t="str">
        <f t="shared" ref="BF388:BF407" si="342">IFERROR(INDEX($B$3:$B$407,MATCH(BE388,BD$3:BD$407,0),1),"")</f>
        <v/>
      </c>
      <c r="BH388">
        <f>IF(IFERROR(SEARCH("Sorcerer",$T388,1),0)&gt;0,1,0)*IF(SorcererMaxSpellLevel&gt;=$C388,1,0)*IF(IFERROR(MATCH(B388,Character_Creation!$J$380:$J$394,0),0)&gt;0,0,1)</f>
        <v>0</v>
      </c>
      <c r="BI388">
        <f>IF(BH388=0,0,1+COUNTIF(BI$3:BI387,"&gt;0"))</f>
        <v>0</v>
      </c>
      <c r="BJ388" t="str">
        <f t="shared" si="312"/>
        <v/>
      </c>
      <c r="BK388" t="str">
        <f t="shared" ref="BK388:BK407" si="343">IFERROR(INDEX($B$3:$B$407,MATCH(BJ388,BI$3:BI$407,0),1),"")</f>
        <v/>
      </c>
      <c r="BM388">
        <f>IF(OR(IFERROR(SEARCH("Warlock",$T388,1),0)&gt;0,IFERROR(SEARCH(WarlockPatron,$T388,1),0)&gt;0),1,0)*IF(WarlockMaxSpellLevel&gt;=$C388,1,0)*IF(IFERROR(MATCH(B388,Character_Creation!$J$361:$J$375,0),0)&gt;0,0,1)</f>
        <v>0</v>
      </c>
      <c r="BN388">
        <f>IF(BM388=0,0,1+COUNTIF(BN$3:BN387,"&gt;0"))</f>
        <v>0</v>
      </c>
      <c r="BO388" t="str">
        <f t="shared" si="313"/>
        <v/>
      </c>
      <c r="BP388" t="str">
        <f t="shared" ref="BP388:BP407" si="344">IFERROR(INDEX($B$3:$B$407,MATCH(BO388,BN$3:BN$407,0),1),"")</f>
        <v/>
      </c>
      <c r="BR388">
        <f>IF(IFERROR(SEARCH("Eldritch Knight",$T388,1),0)&gt;0,1,0)*IF(EldritchKnightMaxSpellLevel&gt;=$C388,1,0)*IF(IFERROR(MATCH($B388,Character_Creation!$J$350:$J$356,0),0)&gt;0,0,1)*IF(Character_Creation!$M$338&gt;0,1,0)</f>
        <v>0</v>
      </c>
      <c r="BS388">
        <f>IF(BR388=0,0,1+COUNTIF(BS$3:BS387,"&gt;0"))</f>
        <v>0</v>
      </c>
      <c r="BT388" t="str">
        <f t="shared" si="314"/>
        <v/>
      </c>
      <c r="BU388" t="str">
        <f t="shared" ref="BU388:BU407" si="345">IFERROR(INDEX($B$3:$B$407,MATCH(BT388,BS$3:BS$407,0),1),"")</f>
        <v/>
      </c>
      <c r="BW388">
        <f>IF(IFERROR(SEARCH("Arcane Trickster",$T388,1),0)&gt;0,1,0)*IF(ArcaneTricksterMaxSpellLevel&gt;=$C388,1,0)*IF(IFERROR(MATCH($B388,Character_Creation!$J$350:$J$356,0),0)&gt;0,0,1)*IF(Character_Creation!$T$338&gt;0,1,0)</f>
        <v>0</v>
      </c>
      <c r="BX388">
        <f>IF(BW388=0,0,1+COUNTIF(BX$3:BX387,"&gt;0"))</f>
        <v>0</v>
      </c>
      <c r="BY388" t="str">
        <f t="shared" si="315"/>
        <v/>
      </c>
      <c r="BZ388" t="str">
        <f t="shared" ref="BZ388:BZ407" si="346">IFERROR(INDEX($B$3:$B$407,MATCH(BY388,BX$3:BX$407,0),1),"")</f>
        <v/>
      </c>
      <c r="CB388">
        <f>IF(IFERROR(SEARCH("Wizard",$T388,1),0)&gt;0,1,0)*IF(C388&lt;=ArcaneTricksterMaxSpellLevel,1,0)*IF(IFERROR(MATCH($B388,Character_Creation!$J$350:$J$356,0),0)&gt;0,0,1)*IF(Character_Creation!$T$350&gt;0,1,0)</f>
        <v>0</v>
      </c>
      <c r="CC388">
        <f>IF(CB388=0,0,1+COUNTIF(CC$3:CC387,"&gt;0"))</f>
        <v>0</v>
      </c>
      <c r="CD388" t="str">
        <f t="shared" si="316"/>
        <v/>
      </c>
      <c r="CE388" t="str">
        <f t="shared" ref="CE388:CE407" si="347">IFERROR(INDEX($B$3:$B$407,MATCH(CD388,CC$3:CC$407,0),1),"")</f>
        <v/>
      </c>
      <c r="CG388">
        <f>IF(IFERROR(SEARCH("Wizard",$T388,1),0)&gt;0,1,0)*IF($C388&lt;=EldritchKnightMaxSpellLevel,1,0)*IF(IFERROR(MATCH($B388,Character_Creation!$J$350:$J$356,0),0)&gt;0,0,1)*IF(Character_Creation!$M$350&gt;0,1,0)</f>
        <v>0</v>
      </c>
      <c r="CH388">
        <f>IF(CG388=0,0,1+COUNTIF(CH$3:CH387,"&gt;0"))</f>
        <v>0</v>
      </c>
      <c r="CI388" t="str">
        <f t="shared" si="317"/>
        <v/>
      </c>
      <c r="CJ388" t="str">
        <f t="shared" ref="CJ388:CJ407" si="348">IFERROR(INDEX($B$3:$B$407,MATCH(CI388,CH$3:CH$407,0),1),"")</f>
        <v/>
      </c>
      <c r="CL388">
        <f>IF(IFERROR(SEARCH("Bard",$T388,1),0)&gt;0,1,0)*IF(BardMaxSpellLevel&gt;=$C388,1,0)*IF(IFERROR(MATCH(B388,Character_Creation!$C$341:$F$362,0),0)&gt;0,0,1)*IF(IFERROR(MATCH($B388,Character_Creation!$C$341:$C$362,0),0)&gt;0,0,1)</f>
        <v>0</v>
      </c>
      <c r="CM388">
        <f>IF(CL388=0,0,1+COUNTIF(CM$3:CM387,"&gt;0"))</f>
        <v>0</v>
      </c>
      <c r="CN388" t="str">
        <f t="shared" si="318"/>
        <v/>
      </c>
      <c r="CO388" t="str">
        <f t="shared" ref="CO388:CO407" si="349">IFERROR(INDEX($B$3:$B$407,MATCH(CN388,CM$3:CM$407,0),1),"")</f>
        <v/>
      </c>
      <c r="CQ388">
        <f>IF(IFERROR(SEARCH("Wizard",$T388,1),0)&gt;0,1,0)*IF(WizardMaxSpellLevel&gt;=$C388,1,0)*IF(IFERROR(MATCH(B388,Character_Creation!$X$341:$X$400,0),0)&gt;0,0,1)*IF(SelectedWizardSpellLevel=$C388,1,0)</f>
        <v>0</v>
      </c>
      <c r="CR388">
        <f>IF(CQ388=0,0,1+COUNTIF(CR$3:CR387,"&gt;0"))</f>
        <v>0</v>
      </c>
      <c r="CS388" t="str">
        <f t="shared" si="319"/>
        <v/>
      </c>
      <c r="CT388" t="str">
        <f t="shared" ref="CT388:CT407" si="350">IFERROR(INDEX($B$3:$B$407,MATCH(CS388,CR$3:CR$407,0),1),"")</f>
        <v/>
      </c>
      <c r="CV388">
        <f>IF(IFERROR(MATCH($B388,Character_Creation!$C$341:$C$362,0),0)&gt;0,0,1)*IF(OR(C388="Cantrip",C388&lt;=BardMaxSpellLevel),1,0)*IF(IFERROR(MATCH($B388,Character_Creation!$C$367:$C$374,0),0)&gt;0,0,1)</f>
        <v>0</v>
      </c>
      <c r="CW388">
        <f>IF(CV388=0,0,1+COUNTIF(CW$3:CW387,"&gt;0"))</f>
        <v>0</v>
      </c>
      <c r="CX388" t="str">
        <f t="shared" si="320"/>
        <v/>
      </c>
      <c r="CY388" t="str">
        <f t="shared" ref="CY388:CY407" si="351">IFERROR(INDEX($B$3:$B$407,MATCH(CX388,CW$3:CW$407,0),1),"")</f>
        <v/>
      </c>
      <c r="DA388">
        <f>IF(IF(OR(IFERROR(SEARCH("Cleric",$T388,1),0)&gt;0,IFERROR(SEARCH(DivineDomain&amp;",",$T388,1),0)&gt;0),1,0)*IF($C388=DA$2,1,0)=1,1+COUNTIF(DA$3:DA387,"&gt;0"),0)</f>
        <v>0</v>
      </c>
      <c r="DB388">
        <f>IF(IF(OR(IFERROR(SEARCH("Cleric",$T388,1),0)&gt;0,IFERROR(SEARCH(DivineDomain&amp;",",$T388,1),0)&gt;0),1,0)*IF($C388=DB$2,1,0)=1,1+COUNTIF(DB$3:DB387,"&gt;0"),0)</f>
        <v>0</v>
      </c>
      <c r="DC388">
        <f>IF(IF(OR(IFERROR(SEARCH("Cleric",$T388,1),0)&gt;0,IFERROR(SEARCH(DivineDomain&amp;",",$T388,1),0)&gt;0),1,0)*IF($C388=DC$2,1,0)=1,1+COUNTIF(DC$3:DC387,"&gt;0"),0)</f>
        <v>0</v>
      </c>
      <c r="DD388">
        <f>IF(IF(OR(IFERROR(SEARCH("Cleric",$T388,1),0)&gt;0,IFERROR(SEARCH(DivineDomain&amp;",",$T388,1),0)&gt;0),1,0)*IF($C388=DD$2,1,0)=1,1+COUNTIF(DD$3:DD387,"&gt;0"),0)</f>
        <v>0</v>
      </c>
      <c r="DE388">
        <f>IF(IF(OR(IFERROR(SEARCH("Cleric",$T388,1),0)&gt;0,IFERROR(SEARCH(DivineDomain&amp;",",$T388,1),0)&gt;0),1,0)*IF($C388=DE$2,1,0)=1,1+COUNTIF(DE$3:DE387,"&gt;0"),0)</f>
        <v>0</v>
      </c>
      <c r="DF388">
        <f>IF(IF(OR(IFERROR(SEARCH("Cleric",$T388,1),0)&gt;0,IFERROR(SEARCH(DivineDomain&amp;",",$T388,1),0)&gt;0),1,0)*IF($C388=DF$2,1,0)=1,1+COUNTIF(DF$3:DF387,"&gt;0"),0)</f>
        <v>0</v>
      </c>
      <c r="DG388">
        <f>IF(IF(OR(IFERROR(SEARCH("Cleric",$T388,1),0)&gt;0,IFERROR(SEARCH(DivineDomain&amp;",",$T388,1),0)&gt;0),1,0)*IF($C388=DG$2,1,0)=1,1+COUNTIF(DG$3:DG387,"&gt;0"),0)</f>
        <v>0</v>
      </c>
      <c r="DH388">
        <f>IF(IF(OR(IFERROR(SEARCH("Cleric",$T388,1),0)&gt;0,IFERROR(SEARCH(DivineDomain&amp;",",$T388,1),0)&gt;0),1,0)*IF($C388=DH$2,1,0)=1,1+COUNTIF(DH$3:DH387,"&gt;0"),0)</f>
        <v>0</v>
      </c>
      <c r="DI388">
        <f>IF(IF(OR(IFERROR(SEARCH("Cleric",$T388,1),0)&gt;0,IFERROR(SEARCH(DivineDomain&amp;",",$T388,1),0)&gt;0),1,0)*IF($C388=DI$2,1,0)=1,1+COUNTIF(DI$3:DI387,"&gt;0"),0)</f>
        <v>0</v>
      </c>
      <c r="DJ388">
        <f>IF(IF(OR(IFERROR(SEARCH("Druid",$T388,1),0)&gt;0,IFERROR(SEARCH(DruidLand1,$T388,1),0)&gt;0,IFERROR(SEARCH(DruidLand2,$T388,1),0)&gt;0,IFERROR(SEARCH(DruidLand3,$T388,1),0)&gt;0,IFERROR(SEARCH(DruidLand4,$T388,1),0)&gt;0),1,0)*IF($C388=1,1,0)*IF($C388=DJ$2,1,0)=0,0,1+COUNTIF(DJ$3:DJ387,"&gt;0"))</f>
        <v>0</v>
      </c>
      <c r="DK388">
        <f>IF(IF(OR(IFERROR(SEARCH("Druid",$T388,1),0)&gt;0,IFERROR(SEARCH(DruidLand1,$T388,1),0)&gt;0,IFERROR(SEARCH(DruidLand2,$T388,1),0)&gt;0,IFERROR(SEARCH(DruidLand3,$T388,1),0)&gt;0,IFERROR(SEARCH(DruidLand4,$T388,1),0)&gt;0),1,0)*IF($C388=DK$2,1,0)=0,0,1+COUNTIF(DK$3:DK387,"&gt;0"))</f>
        <v>0</v>
      </c>
      <c r="DL388">
        <f>IF(IF(OR(IFERROR(SEARCH("Druid",$T388,1),0)&gt;0,IFERROR(SEARCH(DruidLand1,$T388,1),0)&gt;0,IFERROR(SEARCH(DruidLand2,$T388,1),0)&gt;0,IFERROR(SEARCH(DruidLand3,$T388,1),0)&gt;0,IFERROR(SEARCH(DruidLand4,$T388,1),0)&gt;0),1,0)*IF($C388=DL$2,1,0)=0,0,1+COUNTIF(DL$3:DL387,"&gt;0"))</f>
        <v>0</v>
      </c>
      <c r="DM388">
        <f>IF(IF(OR(IFERROR(SEARCH("Druid",$T388,1),0)&gt;0,IFERROR(SEARCH(DruidLand1,$T388,1),0)&gt;0,IFERROR(SEARCH(DruidLand2,$T388,1),0)&gt;0,IFERROR(SEARCH(DruidLand3,$T388,1),0)&gt;0,IFERROR(SEARCH(DruidLand4,$T388,1),0)&gt;0),1,0)*IF($C388=DM$2,1,0)=0,0,1+COUNTIF(DM$3:DM387,"&gt;0"))</f>
        <v>0</v>
      </c>
      <c r="DN388">
        <f>IF(IF(OR(IFERROR(SEARCH("Druid",$T388,1),0)&gt;0,IFERROR(SEARCH(DruidLand1,$T388,1),0)&gt;0,IFERROR(SEARCH(DruidLand2,$T388,1),0)&gt;0,IFERROR(SEARCH(DruidLand3,$T388,1),0)&gt;0,IFERROR(SEARCH(DruidLand4,$T388,1),0)&gt;0),1,0)*IF($C388=DN$2,1,0)=0,0,1+COUNTIF(DN$3:DN387,"&gt;0"))</f>
        <v>16</v>
      </c>
      <c r="DO388">
        <f>IF(IF(OR(IFERROR(SEARCH("Druid",$T388,1),0)&gt;0,IFERROR(SEARCH(DruidLand1,$T388,1),0)&gt;0,IFERROR(SEARCH(DruidLand2,$T388,1),0)&gt;0,IFERROR(SEARCH(DruidLand3,$T388,1),0)&gt;0,IFERROR(SEARCH(DruidLand4,$T388,1),0)&gt;0),1,0)*IF($C388=DO$2,1,0)=0,0,1+COUNTIF(DO$3:DO387,"&gt;0"))</f>
        <v>0</v>
      </c>
      <c r="DP388">
        <f>IF(IF(OR(IFERROR(SEARCH("Druid",$T388,1),0)&gt;0,IFERROR(SEARCH(DruidLand1,$T388,1),0)&gt;0,IFERROR(SEARCH(DruidLand2,$T388,1),0)&gt;0,IFERROR(SEARCH(DruidLand3,$T388,1),0)&gt;0,IFERROR(SEARCH(DruidLand4,$T388,1),0)&gt;0),1,0)*IF($C388=DP$2,1,0)=0,0,1+COUNTIF(DP$3:DP387,"&gt;0"))</f>
        <v>0</v>
      </c>
      <c r="DQ388">
        <f>IF(IF(OR(IFERROR(SEARCH("Druid",$T388,1),0)&gt;0,IFERROR(SEARCH(DruidLand1,$T388,1),0)&gt;0,IFERROR(SEARCH(DruidLand2,$T388,1),0)&gt;0,IFERROR(SEARCH(DruidLand3,$T388,1),0)&gt;0,IFERROR(SEARCH(DruidLand4,$T388,1),0)&gt;0),1,0)*IF($C388=DQ$2,1,0)=0,0,1+COUNTIF(DQ$3:DQ387,"&gt;0"))</f>
        <v>0</v>
      </c>
      <c r="DR388">
        <f>IF(IF(OR(IFERROR(SEARCH("Druid",$T388,1),0)&gt;0,IFERROR(SEARCH(DruidLand1,$T388,1),0)&gt;0,IFERROR(SEARCH(DruidLand2,$T388,1),0)&gt;0,IFERROR(SEARCH(DruidLand3,$T388,1),0)&gt;0,IFERROR(SEARCH(DruidLand4,$T388,1),0)&gt;0),1,0)*IF($C388=DR$2,1,0)=0,0,1+COUNTIF(DR$3:DR387,"&gt;0"))</f>
        <v>0</v>
      </c>
      <c r="DS388">
        <f>IF(IF(OR(IFERROR(SEARCH("Paladin",$T388,1),0)&gt;0,IFERROR(SEARCH(PaladinOath,$T388,1),0)&gt;0),1,0)*IF($C388=DS$2,1,0)=1,1+COUNTIF(DS$3:DS387,"&gt;0"),0)</f>
        <v>0</v>
      </c>
      <c r="DT388">
        <f>IF(IF(OR(IFERROR(SEARCH("Paladin",$T388,1),0)&gt;0,IFERROR(SEARCH(PaladinOath,$T388,1),0)&gt;0),1,0)*IF($C388=DT$2,1,0)=1,1+COUNTIF(DT$3:DT387,"&gt;0"),0)</f>
        <v>0</v>
      </c>
      <c r="DU388">
        <f>IF(IF(OR(IFERROR(SEARCH("Paladin",$T388,1),0)&gt;0,IFERROR(SEARCH(PaladinOath,$T388,1),0)&gt;0),1,0)*IF($C388=DU$2,1,0)=1,1+COUNTIF(DU$3:DU387,"&gt;0"),0)</f>
        <v>0</v>
      </c>
      <c r="DV388">
        <f>IF(IF(OR(IFERROR(SEARCH("Paladin",$T388,1),0)&gt;0,IFERROR(SEARCH(PaladinOath,$T388,1),0)&gt;0),1,0)*IF($C388=DV$2,1,0)=1,1+COUNTIF(DV$3:DV387,"&gt;0"),0)</f>
        <v>0</v>
      </c>
      <c r="DW388">
        <f>IF(IF(OR(IFERROR(SEARCH("Paladin",$T388,1),0)&gt;0,IFERROR(SEARCH(PaladinOath,$T388,1),0)&gt;0),1,0)*IF($C388=DW$2,1,0)=1,1+COUNTIF(DW$3:DW387,"&gt;0"),0)</f>
        <v>0</v>
      </c>
      <c r="DY388">
        <f t="shared" si="338"/>
        <v>1</v>
      </c>
      <c r="DZ388">
        <f>IF(DY388=0,0,1+MAX(DZ$3:$DZ387))</f>
        <v>386</v>
      </c>
      <c r="EB388">
        <f t="shared" ref="EB388:EB407" si="352">IF(IFERROR(SEARCH("Bard",$T388,1),0)&gt;0,1,0)*IF($C388="cantrip",1,0)</f>
        <v>0</v>
      </c>
      <c r="EC388">
        <f>IF(EB388=0,0,1+COUNTIF(EC$3:EC387,"&gt;0"))</f>
        <v>0</v>
      </c>
      <c r="ED388" t="str">
        <f t="shared" si="321"/>
        <v/>
      </c>
      <c r="EE388" t="str">
        <f t="shared" ref="EE388:EE407" si="353">IFERROR(INDEX($B$3:$B$407,MATCH(ED388,EC$3:EC$407,0),1),"")</f>
        <v/>
      </c>
      <c r="EG388">
        <f t="shared" ref="EG388:EG407" si="354">IF(IFERROR(SEARCH("Cleric",$T388,1),0)&gt;0,1,0)*IF($C388="cantrip",1,0)</f>
        <v>0</v>
      </c>
      <c r="EH388">
        <f>IF(EG388=0,0,1+COUNTIF(EH$3:EH387,"&gt;0"))</f>
        <v>0</v>
      </c>
      <c r="EI388" t="str">
        <f t="shared" si="322"/>
        <v/>
      </c>
      <c r="EJ388" t="str">
        <f t="shared" ref="EJ388:EJ407" si="355">IFERROR(INDEX($B$3:$B$407,MATCH(EI388,EH$3:EH$407,0),1),"")</f>
        <v/>
      </c>
      <c r="EL388">
        <f t="shared" ref="EL388:EL407" si="356">IF(IFERROR(SEARCH("Druid",$T388,1),0)&gt;0,1,0)*IF($C388="cantrip",1,0)</f>
        <v>0</v>
      </c>
      <c r="EM388">
        <f>IF(EL388=0,0,1+COUNTIF(EM$3:EM387,"&gt;0"))</f>
        <v>0</v>
      </c>
      <c r="EN388" t="str">
        <f t="shared" si="323"/>
        <v/>
      </c>
      <c r="EO388" t="str">
        <f t="shared" ref="EO388:EO407" si="357">IFERROR(INDEX($B$3:$B$407,MATCH(EN388,EM$3:EM$407,0),1),"")</f>
        <v/>
      </c>
      <c r="EQ388">
        <f t="shared" ref="EQ388:EQ407" si="358">IF(IFERROR(SEARCH("Eldritch Knight",$T388,1),0)&gt;0,1,0)*IF($C388="cantrip",1,0)</f>
        <v>0</v>
      </c>
      <c r="ER388">
        <f>IF(EQ388=0,0,1+COUNTIF(ER$3:ER387,"&gt;0"))</f>
        <v>0</v>
      </c>
      <c r="ES388" t="str">
        <f t="shared" si="324"/>
        <v/>
      </c>
      <c r="ET388" t="str">
        <f t="shared" ref="ET388:ET407" si="359">IFERROR(INDEX($B$3:$B$407,MATCH(ES388,ER$3:ER$407,0),1),"")</f>
        <v/>
      </c>
      <c r="EV388">
        <f t="shared" ref="EV388:EV407" si="360">IF(IFERROR(SEARCH("Arcane Trickster",$T388,1),0)&gt;0,1,0)*IF($C388="cantrip",1,0)</f>
        <v>0</v>
      </c>
      <c r="EW388">
        <f>IF(EV388=0,0,1+COUNTIF(EW$3:EW387,"&gt;0"))</f>
        <v>0</v>
      </c>
      <c r="EX388" t="str">
        <f t="shared" si="325"/>
        <v/>
      </c>
      <c r="EY388" t="str">
        <f t="shared" ref="EY388:EY407" si="361">IFERROR(INDEX($B$3:$B$407,MATCH(EX388,EW$3:EW$407,0),1),"")</f>
        <v/>
      </c>
      <c r="FA388">
        <f t="shared" ref="FA388:FA407" si="362">IF(IFERROR(SEARCH("Sorcerer",$T388,1),0)&gt;0,1,0)*IF($C388="cantrip",1,0)</f>
        <v>0</v>
      </c>
      <c r="FB388">
        <f>IF(FA388=0,0,1+COUNTIF(FB$3:FB387,"&gt;0"))</f>
        <v>0</v>
      </c>
      <c r="FC388" t="str">
        <f t="shared" si="326"/>
        <v/>
      </c>
      <c r="FD388" t="str">
        <f t="shared" ref="FD388:FD407" si="363">IFERROR(INDEX($B$3:$B$407,MATCH(FC388,FB$3:FB$407,0),1),"")</f>
        <v/>
      </c>
      <c r="FF388">
        <f t="shared" ref="FF388:FF407" si="364">IF(IFERROR(SEARCH("Warlock",$T388,1),0)&gt;0,1,0)*IF($C388="cantrip",1,0)</f>
        <v>0</v>
      </c>
      <c r="FG388">
        <f>IF(FF388=0,0,1+COUNTIF(FG$3:FG387,"&gt;0"))</f>
        <v>0</v>
      </c>
      <c r="FH388" t="str">
        <f t="shared" si="327"/>
        <v/>
      </c>
      <c r="FI388" t="str">
        <f t="shared" ref="FI388:FI407" si="365">IFERROR(INDEX($B$3:$B$407,MATCH(FH388,FG$3:FG$407,0),1),"")</f>
        <v/>
      </c>
      <c r="FK388">
        <f t="shared" ref="FK388:FK407" si="366">IF(IFERROR(SEARCH("Wizard",$T388,1),0)&gt;0,1,0)*IF($C388="cantrip",1,0)</f>
        <v>0</v>
      </c>
      <c r="FL388">
        <f>IF(FK388=0,0,1+COUNTIF(FL$3:FL387,"&gt;0"))</f>
        <v>0</v>
      </c>
      <c r="FM388" t="str">
        <f t="shared" si="328"/>
        <v/>
      </c>
      <c r="FN388" t="str">
        <f t="shared" ref="FN388:FN407" si="367">IFERROR(INDEX($B$3:$B$407,MATCH(FM388,FL$3:FL$407,0),1),"")</f>
        <v/>
      </c>
      <c r="FP388">
        <f t="shared" ref="FP388:FP407" si="368">IF(IFERROR(SEARCH("Bard",$T388,1),0)&gt;0,1,0)*IF($C388="cantrip",1,0)</f>
        <v>0</v>
      </c>
      <c r="FQ388">
        <f>IF(FP388=0,0,1+COUNTIF(FQ$3:FQ387,"&gt;0"))</f>
        <v>0</v>
      </c>
      <c r="FR388" t="str">
        <f t="shared" si="329"/>
        <v/>
      </c>
      <c r="FS388" t="str">
        <f t="shared" ref="FS388:FS407" si="369">IFERROR(INDEX($B$3:$B$407,MATCH(FR388,FQ$3:FQ$407,0),1),"")</f>
        <v/>
      </c>
    </row>
    <row r="389" spans="1:175" x14ac:dyDescent="0.25">
      <c r="A389" s="347">
        <f t="shared" si="331"/>
        <v>387</v>
      </c>
      <c r="B389" s="398" t="s">
        <v>5554</v>
      </c>
      <c r="C389" s="348" t="s">
        <v>5277</v>
      </c>
      <c r="D389" s="347">
        <v>0.5</v>
      </c>
      <c r="E389" s="627" t="s">
        <v>6957</v>
      </c>
      <c r="F389" s="346"/>
      <c r="G389" s="347" t="str">
        <f>""</f>
        <v/>
      </c>
      <c r="H389" s="347" t="s">
        <v>5918</v>
      </c>
      <c r="I389" s="347" t="s">
        <v>5298</v>
      </c>
      <c r="J389" s="347" t="str">
        <f t="shared" si="339"/>
        <v/>
      </c>
      <c r="K389" s="347" t="s">
        <v>5288</v>
      </c>
      <c r="L389" s="611" t="str">
        <f t="shared" si="340"/>
        <v>V, S</v>
      </c>
      <c r="M389" s="347" t="s">
        <v>2373</v>
      </c>
      <c r="N389" s="347" t="s">
        <v>2387</v>
      </c>
      <c r="O389" s="347" t="s">
        <v>3034</v>
      </c>
      <c r="P389" s="346" t="str">
        <f>""</f>
        <v/>
      </c>
      <c r="Q389" s="347" t="s">
        <v>5276</v>
      </c>
      <c r="S389" s="346" t="s">
        <v>5891</v>
      </c>
      <c r="T389" s="346" t="str">
        <f t="shared" si="341"/>
        <v xml:space="preserve">Warlock, Druid, </v>
      </c>
      <c r="Y389" s="347" t="str">
        <f>$B389</f>
        <v>Magic Stone</v>
      </c>
      <c r="AA389" s="347" t="str">
        <f t="shared" si="337"/>
        <v>Magic Stone</v>
      </c>
      <c r="AE389" t="str">
        <f>IF(IFERROR(MATCH($B389,temp!A$4:A$13,0),0)&gt;0,T08_Spells!AE$2,"")</f>
        <v/>
      </c>
      <c r="AF389" t="str">
        <f>IF(IFERROR(MATCH($B389,temp!B$4:B$13,0),0)&gt;0,T08_Spells!AF$2,"")</f>
        <v/>
      </c>
      <c r="AG389" t="str">
        <f>IF(IFERROR(MATCH($B389,temp!C$4:C$13,0),0)&gt;0,T08_Spells!AG$2,"")</f>
        <v/>
      </c>
      <c r="AH389" t="str">
        <f>IF(IFERROR(MATCH($B389,temp!D$4:D$13,0),0)&gt;0,T08_Spells!AH$2,"")</f>
        <v/>
      </c>
      <c r="AI389" t="str">
        <f>IF(IFERROR(MATCH($B389,temp!E$4:E$13,0),0)&gt;0,T08_Spells!AI$2,"")</f>
        <v/>
      </c>
      <c r="AJ389" t="str">
        <f>IF(IFERROR(MATCH($B389,temp!F$4:F$13,0),0)&gt;0,T08_Spells!AJ$2,"")</f>
        <v/>
      </c>
      <c r="AK389" t="str">
        <f>IF(IFERROR(MATCH($B389,temp!G$4:G$13,0),0)&gt;0,T08_Spells!AK$2,"")</f>
        <v/>
      </c>
      <c r="AL389" t="str">
        <f>IF(IFERROR(MATCH($B389,temp!H$4:H$13,0),0)&gt;0,T08_Spells!AL$2,"")</f>
        <v/>
      </c>
      <c r="AM389" t="str">
        <f>IF(IFERROR(MATCH($B389,temp!I$4:I$13,0),0)&gt;0,T08_Spells!AM$2,"")</f>
        <v/>
      </c>
      <c r="AN389" t="str">
        <f>IF(IFERROR(MATCH($B389,temp!J$4:J$13,0),0)&gt;0,T08_Spells!AN$2,"")</f>
        <v/>
      </c>
      <c r="AO389" t="str">
        <f>IF(IFERROR(MATCH($B389,temp!K$4:K$13,0),0)&gt;0,T08_Spells!AO$2,"")</f>
        <v/>
      </c>
      <c r="AP389" t="str">
        <f>IF(IFERROR(MATCH($B389,temp!L$4:L$13,0),0)&gt;0,T08_Spells!AP$2,"")</f>
        <v/>
      </c>
      <c r="AQ389" t="str">
        <f>IF(IFERROR(MATCH($B389,temp!M$4:M$13,0),0)&gt;0,T08_Spells!AQ$2,"")</f>
        <v/>
      </c>
      <c r="AR389" t="str">
        <f>IF(IFERROR(MATCH($B389,temp!N$4:N$13,0),0)&gt;0,T08_Spells!AR$2,"")</f>
        <v/>
      </c>
      <c r="AS389" t="str">
        <f>IF(IFERROR(MATCH($B389,temp!O$4:O$13,0),0)&gt;0,T08_Spells!AS$2,"")</f>
        <v/>
      </c>
      <c r="AT389" t="str">
        <f>IF(IFERROR(MATCH($B389,temp!P$4:P$13,0),0)&gt;0,T08_Spells!AT$2,"")</f>
        <v/>
      </c>
      <c r="AU389" t="str">
        <f>IF(IFERROR(MATCH($B389,temp!Q$4:Q$13,0),0)&gt;0,T08_Spells!AU$2,"")</f>
        <v/>
      </c>
      <c r="AV389" t="str">
        <f>IF(IFERROR(MATCH($B389,temp!R$4:R$13,0),0)&gt;0,T08_Spells!AV$2,"")</f>
        <v/>
      </c>
      <c r="AW389" t="str">
        <f>IF(IFERROR(MATCH($B389,temp!S$4:S$13,0),0)&gt;0,T08_Spells!AW$2,"")</f>
        <v/>
      </c>
      <c r="AX389" t="str">
        <f>IF(IFERROR(MATCH($B389,temp!T$4:T$13,0),0)&gt;0,T08_Spells!AX$2,"")</f>
        <v/>
      </c>
      <c r="AY389" t="str">
        <f>IF(IFERROR(MATCH($B389,temp!U$4:U$13,0),0)&gt;0,T08_Spells!AY$2,"")</f>
        <v/>
      </c>
      <c r="AZ389" t="str">
        <f>IF(IFERROR(MATCH($B389,temp!V$4:V$13,0),0)&gt;0,T08_Spells!AZ$2,"")</f>
        <v/>
      </c>
      <c r="BA389" t="str">
        <f>IF(IFERROR(MATCH($B389,temp!W$4:W$13,0),0)&gt;0,T08_Spells!BA$2,"")</f>
        <v/>
      </c>
      <c r="BC389">
        <f>IF(IFERROR(SEARCH("Ranger",$T389,1),0)&gt;0,1,0)*IF(RangerMaxSpellLevel&gt;=$C389,1,0)*IF(IFERROR(MATCH(B389,Character_Creation!$X$79:$X$382,0),0)&gt;0,0,1)</f>
        <v>0</v>
      </c>
      <c r="BD389">
        <f>IF(BC389=0,0,1+COUNTIF(BD$3:BD388,"&gt;0"))</f>
        <v>0</v>
      </c>
      <c r="BE389" t="str">
        <f t="shared" ref="BE389:BE407" si="370">IFERROR(IF(BE388&lt;MAX(BD388:BD792),BE388+1,""),"")</f>
        <v/>
      </c>
      <c r="BF389" t="str">
        <f t="shared" si="342"/>
        <v/>
      </c>
      <c r="BH389">
        <f>IF(IFERROR(SEARCH("Sorcerer",$T389,1),0)&gt;0,1,0)*IF(SorcererMaxSpellLevel&gt;=$C389,1,0)*IF(IFERROR(MATCH(B389,Character_Creation!$J$380:$J$394,0),0)&gt;0,0,1)</f>
        <v>0</v>
      </c>
      <c r="BI389">
        <f>IF(BH389=0,0,1+COUNTIF(BI$3:BI388,"&gt;0"))</f>
        <v>0</v>
      </c>
      <c r="BJ389" t="str">
        <f t="shared" ref="BJ389:BJ407" si="371">IFERROR(IF(BJ388&lt;MAX(BI388:BI792),BJ388+1,""),"")</f>
        <v/>
      </c>
      <c r="BK389" t="str">
        <f t="shared" si="343"/>
        <v/>
      </c>
      <c r="BM389">
        <f>IF(OR(IFERROR(SEARCH("Warlock",$T389,1),0)&gt;0,IFERROR(SEARCH(WarlockPatron,$T389,1),0)&gt;0),1,0)*IF(WarlockMaxSpellLevel&gt;=$C389,1,0)*IF(IFERROR(MATCH(B389,Character_Creation!$J$361:$J$375,0),0)&gt;0,0,1)</f>
        <v>0</v>
      </c>
      <c r="BN389">
        <f>IF(BM389=0,0,1+COUNTIF(BN$3:BN388,"&gt;0"))</f>
        <v>0</v>
      </c>
      <c r="BO389" t="str">
        <f t="shared" ref="BO389:BO407" si="372">IFERROR(IF(BO388&lt;MAX(BN388:BN792),BO388+1,""),"")</f>
        <v/>
      </c>
      <c r="BP389" t="str">
        <f t="shared" si="344"/>
        <v/>
      </c>
      <c r="BR389">
        <f>IF(IFERROR(SEARCH("Eldritch Knight",$T389,1),0)&gt;0,1,0)*IF(EldritchKnightMaxSpellLevel&gt;=$C389,1,0)*IF(IFERROR(MATCH($B389,Character_Creation!$J$350:$J$356,0),0)&gt;0,0,1)*IF(Character_Creation!$M$338&gt;0,1,0)</f>
        <v>0</v>
      </c>
      <c r="BS389">
        <f>IF(BR389=0,0,1+COUNTIF(BS$3:BS388,"&gt;0"))</f>
        <v>0</v>
      </c>
      <c r="BT389" t="str">
        <f t="shared" ref="BT389:BT407" si="373">IFERROR(IF(BT388&lt;MAX(BS388:BS792),BT388+1,""),"")</f>
        <v/>
      </c>
      <c r="BU389" t="str">
        <f t="shared" si="345"/>
        <v/>
      </c>
      <c r="BW389">
        <f>IF(IFERROR(SEARCH("Arcane Trickster",$T389,1),0)&gt;0,1,0)*IF(ArcaneTricksterMaxSpellLevel&gt;=$C389,1,0)*IF(IFERROR(MATCH($B389,Character_Creation!$J$350:$J$356,0),0)&gt;0,0,1)*IF(Character_Creation!$T$338&gt;0,1,0)</f>
        <v>0</v>
      </c>
      <c r="BX389">
        <f>IF(BW389=0,0,1+COUNTIF(BX$3:BX388,"&gt;0"))</f>
        <v>0</v>
      </c>
      <c r="BY389" t="str">
        <f t="shared" ref="BY389:BY407" si="374">IFERROR(IF(BY388&lt;MAX(BX388:BX792),BY388+1,""),"")</f>
        <v/>
      </c>
      <c r="BZ389" t="str">
        <f t="shared" si="346"/>
        <v/>
      </c>
      <c r="CB389">
        <f>IF(IFERROR(SEARCH("Wizard",$T389,1),0)&gt;0,1,0)*IF(C389&lt;=ArcaneTricksterMaxSpellLevel,1,0)*IF(IFERROR(MATCH($B389,Character_Creation!$J$350:$J$356,0),0)&gt;0,0,1)*IF(Character_Creation!$T$350&gt;0,1,0)</f>
        <v>0</v>
      </c>
      <c r="CC389">
        <f>IF(CB389=0,0,1+COUNTIF(CC$3:CC388,"&gt;0"))</f>
        <v>0</v>
      </c>
      <c r="CD389" t="str">
        <f t="shared" ref="CD389:CD407" si="375">IFERROR(IF(CD388&lt;MAX(CC388:CC792),CD388+1,""),"")</f>
        <v/>
      </c>
      <c r="CE389" t="str">
        <f t="shared" si="347"/>
        <v/>
      </c>
      <c r="CG389">
        <f>IF(IFERROR(SEARCH("Wizard",$T389,1),0)&gt;0,1,0)*IF($C389&lt;=EldritchKnightMaxSpellLevel,1,0)*IF(IFERROR(MATCH($B389,Character_Creation!$J$350:$J$356,0),0)&gt;0,0,1)*IF(Character_Creation!$M$350&gt;0,1,0)</f>
        <v>0</v>
      </c>
      <c r="CH389">
        <f>IF(CG389=0,0,1+COUNTIF(CH$3:CH388,"&gt;0"))</f>
        <v>0</v>
      </c>
      <c r="CI389" t="str">
        <f t="shared" ref="CI389:CI407" si="376">IFERROR(IF(CI388&lt;MAX(CH388:CH792),CI388+1,""),"")</f>
        <v/>
      </c>
      <c r="CJ389" t="str">
        <f t="shared" si="348"/>
        <v/>
      </c>
      <c r="CL389">
        <f>IF(IFERROR(SEARCH("Bard",$T389,1),0)&gt;0,1,0)*IF(BardMaxSpellLevel&gt;=$C389,1,0)*IF(IFERROR(MATCH(B389,Character_Creation!$C$341:$F$362,0),0)&gt;0,0,1)*IF(IFERROR(MATCH($B389,Character_Creation!$C$341:$C$362,0),0)&gt;0,0,1)</f>
        <v>0</v>
      </c>
      <c r="CM389">
        <f>IF(CL389=0,0,1+COUNTIF(CM$3:CM388,"&gt;0"))</f>
        <v>0</v>
      </c>
      <c r="CN389" t="str">
        <f t="shared" ref="CN389:CN407" si="377">IFERROR(IF(CN388&lt;MAX(CM388:CM792),CN388+1,""),"")</f>
        <v/>
      </c>
      <c r="CO389" t="str">
        <f t="shared" si="349"/>
        <v/>
      </c>
      <c r="CQ389">
        <f>IF(IFERROR(SEARCH("Wizard",$T389,1),0)&gt;0,1,0)*IF(WizardMaxSpellLevel&gt;=$C389,1,0)*IF(IFERROR(MATCH(B389,Character_Creation!$X$341:$X$400,0),0)&gt;0,0,1)*IF(SelectedWizardSpellLevel=$C389,1,0)</f>
        <v>0</v>
      </c>
      <c r="CR389">
        <f>IF(CQ389=0,0,1+COUNTIF(CR$3:CR388,"&gt;0"))</f>
        <v>0</v>
      </c>
      <c r="CS389" t="str">
        <f t="shared" ref="CS389:CS407" si="378">IFERROR(IF(CS388&lt;MAX(CR388:CR792),CS388+1,""),"")</f>
        <v/>
      </c>
      <c r="CT389" t="str">
        <f t="shared" si="350"/>
        <v/>
      </c>
      <c r="CV389">
        <f>IF(IFERROR(MATCH($B389,Character_Creation!$C$341:$C$362,0),0)&gt;0,0,1)*IF(OR(C389="Cantrip",C389&lt;=BardMaxSpellLevel),1,0)*IF(IFERROR(MATCH($B389,Character_Creation!$C$367:$C$374,0),0)&gt;0,0,1)</f>
        <v>1</v>
      </c>
      <c r="CW389">
        <f>IF(CV389=0,0,1+COUNTIF(CW$3:CW388,"&gt;0"))</f>
        <v>32</v>
      </c>
      <c r="CX389" t="str">
        <f t="shared" ref="CX389:CX407" si="379">IFERROR(IF(CX388&lt;MAX(CW388:CW792),CX388+1,""),"")</f>
        <v/>
      </c>
      <c r="CY389" t="str">
        <f t="shared" si="351"/>
        <v/>
      </c>
      <c r="DA389">
        <f>IF(IF(OR(IFERROR(SEARCH("Cleric",$T389,1),0)&gt;0,IFERROR(SEARCH(DivineDomain&amp;",",$T389,1),0)&gt;0),1,0)*IF($C389=DA$2,1,0)=1,1+COUNTIF(DA$3:DA388,"&gt;0"),0)</f>
        <v>0</v>
      </c>
      <c r="DB389">
        <f>IF(IF(OR(IFERROR(SEARCH("Cleric",$T389,1),0)&gt;0,IFERROR(SEARCH(DivineDomain&amp;",",$T389,1),0)&gt;0),1,0)*IF($C389=DB$2,1,0)=1,1+COUNTIF(DB$3:DB388,"&gt;0"),0)</f>
        <v>0</v>
      </c>
      <c r="DC389">
        <f>IF(IF(OR(IFERROR(SEARCH("Cleric",$T389,1),0)&gt;0,IFERROR(SEARCH(DivineDomain&amp;",",$T389,1),0)&gt;0),1,0)*IF($C389=DC$2,1,0)=1,1+COUNTIF(DC$3:DC388,"&gt;0"),0)</f>
        <v>0</v>
      </c>
      <c r="DD389">
        <f>IF(IF(OR(IFERROR(SEARCH("Cleric",$T389,1),0)&gt;0,IFERROR(SEARCH(DivineDomain&amp;",",$T389,1),0)&gt;0),1,0)*IF($C389=DD$2,1,0)=1,1+COUNTIF(DD$3:DD388,"&gt;0"),0)</f>
        <v>0</v>
      </c>
      <c r="DE389">
        <f>IF(IF(OR(IFERROR(SEARCH("Cleric",$T389,1),0)&gt;0,IFERROR(SEARCH(DivineDomain&amp;",",$T389,1),0)&gt;0),1,0)*IF($C389=DE$2,1,0)=1,1+COUNTIF(DE$3:DE388,"&gt;0"),0)</f>
        <v>0</v>
      </c>
      <c r="DF389">
        <f>IF(IF(OR(IFERROR(SEARCH("Cleric",$T389,1),0)&gt;0,IFERROR(SEARCH(DivineDomain&amp;",",$T389,1),0)&gt;0),1,0)*IF($C389=DF$2,1,0)=1,1+COUNTIF(DF$3:DF388,"&gt;0"),0)</f>
        <v>0</v>
      </c>
      <c r="DG389">
        <f>IF(IF(OR(IFERROR(SEARCH("Cleric",$T389,1),0)&gt;0,IFERROR(SEARCH(DivineDomain&amp;",",$T389,1),0)&gt;0),1,0)*IF($C389=DG$2,1,0)=1,1+COUNTIF(DG$3:DG388,"&gt;0"),0)</f>
        <v>0</v>
      </c>
      <c r="DH389">
        <f>IF(IF(OR(IFERROR(SEARCH("Cleric",$T389,1),0)&gt;0,IFERROR(SEARCH(DivineDomain&amp;",",$T389,1),0)&gt;0),1,0)*IF($C389=DH$2,1,0)=1,1+COUNTIF(DH$3:DH388,"&gt;0"),0)</f>
        <v>0</v>
      </c>
      <c r="DI389">
        <f>IF(IF(OR(IFERROR(SEARCH("Cleric",$T389,1),0)&gt;0,IFERROR(SEARCH(DivineDomain&amp;",",$T389,1),0)&gt;0),1,0)*IF($C389=DI$2,1,0)=1,1+COUNTIF(DI$3:DI388,"&gt;0"),0)</f>
        <v>0</v>
      </c>
      <c r="DJ389">
        <f>IF(IF(OR(IFERROR(SEARCH("Druid",$T389,1),0)&gt;0,IFERROR(SEARCH(DruidLand1,$T389,1),0)&gt;0,IFERROR(SEARCH(DruidLand2,$T389,1),0)&gt;0,IFERROR(SEARCH(DruidLand3,$T389,1),0)&gt;0,IFERROR(SEARCH(DruidLand4,$T389,1),0)&gt;0),1,0)*IF($C389=1,1,0)*IF($C389=DJ$2,1,0)=0,0,1+COUNTIF(DJ$3:DJ388,"&gt;0"))</f>
        <v>0</v>
      </c>
      <c r="DK389">
        <f>IF(IF(OR(IFERROR(SEARCH("Druid",$T389,1),0)&gt;0,IFERROR(SEARCH(DruidLand1,$T389,1),0)&gt;0,IFERROR(SEARCH(DruidLand2,$T389,1),0)&gt;0,IFERROR(SEARCH(DruidLand3,$T389,1),0)&gt;0,IFERROR(SEARCH(DruidLand4,$T389,1),0)&gt;0),1,0)*IF($C389=DK$2,1,0)=0,0,1+COUNTIF(DK$3:DK388,"&gt;0"))</f>
        <v>0</v>
      </c>
      <c r="DL389">
        <f>IF(IF(OR(IFERROR(SEARCH("Druid",$T389,1),0)&gt;0,IFERROR(SEARCH(DruidLand1,$T389,1),0)&gt;0,IFERROR(SEARCH(DruidLand2,$T389,1),0)&gt;0,IFERROR(SEARCH(DruidLand3,$T389,1),0)&gt;0,IFERROR(SEARCH(DruidLand4,$T389,1),0)&gt;0),1,0)*IF($C389=DL$2,1,0)=0,0,1+COUNTIF(DL$3:DL388,"&gt;0"))</f>
        <v>0</v>
      </c>
      <c r="DM389">
        <f>IF(IF(OR(IFERROR(SEARCH("Druid",$T389,1),0)&gt;0,IFERROR(SEARCH(DruidLand1,$T389,1),0)&gt;0,IFERROR(SEARCH(DruidLand2,$T389,1),0)&gt;0,IFERROR(SEARCH(DruidLand3,$T389,1),0)&gt;0,IFERROR(SEARCH(DruidLand4,$T389,1),0)&gt;0),1,0)*IF($C389=DM$2,1,0)=0,0,1+COUNTIF(DM$3:DM388,"&gt;0"))</f>
        <v>0</v>
      </c>
      <c r="DN389">
        <f>IF(IF(OR(IFERROR(SEARCH("Druid",$T389,1),0)&gt;0,IFERROR(SEARCH(DruidLand1,$T389,1),0)&gt;0,IFERROR(SEARCH(DruidLand2,$T389,1),0)&gt;0,IFERROR(SEARCH(DruidLand3,$T389,1),0)&gt;0,IFERROR(SEARCH(DruidLand4,$T389,1),0)&gt;0),1,0)*IF($C389=DN$2,1,0)=0,0,1+COUNTIF(DN$3:DN388,"&gt;0"))</f>
        <v>0</v>
      </c>
      <c r="DO389">
        <f>IF(IF(OR(IFERROR(SEARCH("Druid",$T389,1),0)&gt;0,IFERROR(SEARCH(DruidLand1,$T389,1),0)&gt;0,IFERROR(SEARCH(DruidLand2,$T389,1),0)&gt;0,IFERROR(SEARCH(DruidLand3,$T389,1),0)&gt;0,IFERROR(SEARCH(DruidLand4,$T389,1),0)&gt;0),1,0)*IF($C389=DO$2,1,0)=0,0,1+COUNTIF(DO$3:DO388,"&gt;0"))</f>
        <v>0</v>
      </c>
      <c r="DP389">
        <f>IF(IF(OR(IFERROR(SEARCH("Druid",$T389,1),0)&gt;0,IFERROR(SEARCH(DruidLand1,$T389,1),0)&gt;0,IFERROR(SEARCH(DruidLand2,$T389,1),0)&gt;0,IFERROR(SEARCH(DruidLand3,$T389,1),0)&gt;0,IFERROR(SEARCH(DruidLand4,$T389,1),0)&gt;0),1,0)*IF($C389=DP$2,1,0)=0,0,1+COUNTIF(DP$3:DP388,"&gt;0"))</f>
        <v>0</v>
      </c>
      <c r="DQ389">
        <f>IF(IF(OR(IFERROR(SEARCH("Druid",$T389,1),0)&gt;0,IFERROR(SEARCH(DruidLand1,$T389,1),0)&gt;0,IFERROR(SEARCH(DruidLand2,$T389,1),0)&gt;0,IFERROR(SEARCH(DruidLand3,$T389,1),0)&gt;0,IFERROR(SEARCH(DruidLand4,$T389,1),0)&gt;0),1,0)*IF($C389=DQ$2,1,0)=0,0,1+COUNTIF(DQ$3:DQ388,"&gt;0"))</f>
        <v>0</v>
      </c>
      <c r="DR389">
        <f>IF(IF(OR(IFERROR(SEARCH("Druid",$T389,1),0)&gt;0,IFERROR(SEARCH(DruidLand1,$T389,1),0)&gt;0,IFERROR(SEARCH(DruidLand2,$T389,1),0)&gt;0,IFERROR(SEARCH(DruidLand3,$T389,1),0)&gt;0,IFERROR(SEARCH(DruidLand4,$T389,1),0)&gt;0),1,0)*IF($C389=DR$2,1,0)=0,0,1+COUNTIF(DR$3:DR388,"&gt;0"))</f>
        <v>0</v>
      </c>
      <c r="DS389">
        <f>IF(IF(OR(IFERROR(SEARCH("Paladin",$T389,1),0)&gt;0,IFERROR(SEARCH(PaladinOath,$T389,1),0)&gt;0),1,0)*IF($C389=DS$2,1,0)=1,1+COUNTIF(DS$3:DS388,"&gt;0"),0)</f>
        <v>0</v>
      </c>
      <c r="DT389">
        <f>IF(IF(OR(IFERROR(SEARCH("Paladin",$T389,1),0)&gt;0,IFERROR(SEARCH(PaladinOath,$T389,1),0)&gt;0),1,0)*IF($C389=DT$2,1,0)=1,1+COUNTIF(DT$3:DT388,"&gt;0"),0)</f>
        <v>0</v>
      </c>
      <c r="DU389">
        <f>IF(IF(OR(IFERROR(SEARCH("Paladin",$T389,1),0)&gt;0,IFERROR(SEARCH(PaladinOath,$T389,1),0)&gt;0),1,0)*IF($C389=DU$2,1,0)=1,1+COUNTIF(DU$3:DU388,"&gt;0"),0)</f>
        <v>0</v>
      </c>
      <c r="DV389">
        <f>IF(IF(OR(IFERROR(SEARCH("Paladin",$T389,1),0)&gt;0,IFERROR(SEARCH(PaladinOath,$T389,1),0)&gt;0),1,0)*IF($C389=DV$2,1,0)=1,1+COUNTIF(DV$3:DV388,"&gt;0"),0)</f>
        <v>0</v>
      </c>
      <c r="DW389">
        <f>IF(IF(OR(IFERROR(SEARCH("Paladin",$T389,1),0)&gt;0,IFERROR(SEARCH(PaladinOath,$T389,1),0)&gt;0),1,0)*IF($C389=DW$2,1,0)=1,1+COUNTIF(DW$3:DW388,"&gt;0"),0)</f>
        <v>0</v>
      </c>
      <c r="DY389">
        <f t="shared" si="338"/>
        <v>1</v>
      </c>
      <c r="DZ389">
        <f>IF(DY389=0,0,1+MAX(DZ$3:$DZ388))</f>
        <v>387</v>
      </c>
      <c r="EB389">
        <f t="shared" si="352"/>
        <v>0</v>
      </c>
      <c r="EC389">
        <f>IF(EB389=0,0,1+COUNTIF(EC$3:EC388,"&gt;0"))</f>
        <v>0</v>
      </c>
      <c r="ED389" t="str">
        <f t="shared" ref="ED389:ED407" si="380">IFERROR(IF(ED388&lt;MAX(EC388:EC792),ED388+1,""),"")</f>
        <v/>
      </c>
      <c r="EE389" t="str">
        <f t="shared" si="353"/>
        <v/>
      </c>
      <c r="EG389">
        <f t="shared" si="354"/>
        <v>0</v>
      </c>
      <c r="EH389">
        <f>IF(EG389=0,0,1+COUNTIF(EH$3:EH388,"&gt;0"))</f>
        <v>0</v>
      </c>
      <c r="EI389" t="str">
        <f t="shared" ref="EI389:EI407" si="381">IFERROR(IF(EI388&lt;MAX(EH388:EH792),EI388+1,""),"")</f>
        <v/>
      </c>
      <c r="EJ389" t="str">
        <f t="shared" si="355"/>
        <v/>
      </c>
      <c r="EL389">
        <f t="shared" si="356"/>
        <v>1</v>
      </c>
      <c r="EM389">
        <f>IF(EL389=0,0,1+COUNTIF(EM$3:EM388,"&gt;0"))</f>
        <v>13</v>
      </c>
      <c r="EN389" t="str">
        <f t="shared" ref="EN389:EN407" si="382">IFERROR(IF(EN388&lt;MAX(EM388:EM792),EN388+1,""),"")</f>
        <v/>
      </c>
      <c r="EO389" t="str">
        <f t="shared" si="357"/>
        <v/>
      </c>
      <c r="EQ389">
        <f t="shared" si="358"/>
        <v>0</v>
      </c>
      <c r="ER389">
        <f>IF(EQ389=0,0,1+COUNTIF(ER$3:ER388,"&gt;0"))</f>
        <v>0</v>
      </c>
      <c r="ES389" t="str">
        <f t="shared" ref="ES389:ES407" si="383">IFERROR(IF(ES388&lt;MAX(ER388:ER792),ES388+1,""),"")</f>
        <v/>
      </c>
      <c r="ET389" t="str">
        <f t="shared" si="359"/>
        <v/>
      </c>
      <c r="EV389">
        <f t="shared" si="360"/>
        <v>0</v>
      </c>
      <c r="EW389">
        <f>IF(EV389=0,0,1+COUNTIF(EW$3:EW388,"&gt;0"))</f>
        <v>0</v>
      </c>
      <c r="EX389" t="str">
        <f t="shared" ref="EX389:EX407" si="384">IFERROR(IF(EX388&lt;MAX(EW388:EW792),EX388+1,""),"")</f>
        <v/>
      </c>
      <c r="EY389" t="str">
        <f t="shared" si="361"/>
        <v/>
      </c>
      <c r="FA389">
        <f t="shared" si="362"/>
        <v>0</v>
      </c>
      <c r="FB389">
        <f>IF(FA389=0,0,1+COUNTIF(FB$3:FB388,"&gt;0"))</f>
        <v>0</v>
      </c>
      <c r="FC389" t="str">
        <f t="shared" ref="FC389:FC407" si="385">IFERROR(IF(FC388&lt;MAX(FB388:FB792),FC388+1,""),"")</f>
        <v/>
      </c>
      <c r="FD389" t="str">
        <f t="shared" si="363"/>
        <v/>
      </c>
      <c r="FF389">
        <f t="shared" si="364"/>
        <v>1</v>
      </c>
      <c r="FG389">
        <f>IF(FF389=0,0,1+COUNTIF(FG$3:FG388,"&gt;0"))</f>
        <v>11</v>
      </c>
      <c r="FH389" t="str">
        <f t="shared" ref="FH389:FH407" si="386">IFERROR(IF(FH388&lt;MAX(FG388:FG792),FH388+1,""),"")</f>
        <v/>
      </c>
      <c r="FI389" t="str">
        <f t="shared" si="365"/>
        <v/>
      </c>
      <c r="FK389">
        <f t="shared" si="366"/>
        <v>0</v>
      </c>
      <c r="FL389">
        <f>IF(FK389=0,0,1+COUNTIF(FL$3:FL388,"&gt;0"))</f>
        <v>0</v>
      </c>
      <c r="FM389" t="str">
        <f t="shared" ref="FM389:FM407" si="387">IFERROR(IF(FM388&lt;MAX(FL388:FL792),FM388+1,""),"")</f>
        <v/>
      </c>
      <c r="FN389" t="str">
        <f t="shared" si="367"/>
        <v/>
      </c>
      <c r="FP389">
        <f t="shared" si="368"/>
        <v>0</v>
      </c>
      <c r="FQ389">
        <f>IF(FP389=0,0,1+COUNTIF(FQ$3:FQ388,"&gt;0"))</f>
        <v>0</v>
      </c>
      <c r="FR389" t="str">
        <f t="shared" ref="FR389:FR407" si="388">IFERROR(IF(FR388&lt;MAX(FQ388:FQ792),FR388+1,""),"")</f>
        <v/>
      </c>
      <c r="FS389" t="str">
        <f t="shared" si="369"/>
        <v/>
      </c>
    </row>
    <row r="390" spans="1:175" x14ac:dyDescent="0.25">
      <c r="A390" s="347">
        <f t="shared" si="331"/>
        <v>388</v>
      </c>
      <c r="B390" s="398" t="s">
        <v>5555</v>
      </c>
      <c r="C390" s="348">
        <v>2</v>
      </c>
      <c r="D390" s="347">
        <v>2</v>
      </c>
      <c r="E390" s="627" t="s">
        <v>6957</v>
      </c>
      <c r="F390" s="346"/>
      <c r="G390" s="347" t="str">
        <f>""</f>
        <v/>
      </c>
      <c r="H390" s="347" t="s">
        <v>5912</v>
      </c>
      <c r="I390" s="347" t="s">
        <v>5060</v>
      </c>
      <c r="J390" s="347" t="str">
        <f t="shared" si="339"/>
        <v/>
      </c>
      <c r="K390" s="347" t="s">
        <v>5291</v>
      </c>
      <c r="L390" s="611" t="str">
        <f t="shared" si="340"/>
        <v>V, S, M, a miniature hand sculpted from clay</v>
      </c>
      <c r="M390" s="347" t="s">
        <v>2373</v>
      </c>
      <c r="N390" s="347" t="s">
        <v>2387</v>
      </c>
      <c r="O390" s="347" t="s">
        <v>1244</v>
      </c>
      <c r="P390" s="346" t="s">
        <v>5556</v>
      </c>
      <c r="Q390" s="347" t="s">
        <v>5276</v>
      </c>
      <c r="S390" s="346" t="s">
        <v>5892</v>
      </c>
      <c r="T390" s="346" t="str">
        <f t="shared" si="341"/>
        <v xml:space="preserve">Sorcerer, Wizard, </v>
      </c>
      <c r="X390" s="347" t="str">
        <f>$B390</f>
        <v>Maximilian’s Earthen Grasp</v>
      </c>
      <c r="AD390" s="347" t="str">
        <f>$B390</f>
        <v>Maximilian’s Earthen Grasp</v>
      </c>
      <c r="AE390" t="str">
        <f>IF(IFERROR(MATCH($B390,temp!A$4:A$13,0),0)&gt;0,T08_Spells!AE$2,"")</f>
        <v/>
      </c>
      <c r="AF390" t="str">
        <f>IF(IFERROR(MATCH($B390,temp!B$4:B$13,0),0)&gt;0,T08_Spells!AF$2,"")</f>
        <v/>
      </c>
      <c r="AG390" t="str">
        <f>IF(IFERROR(MATCH($B390,temp!C$4:C$13,0),0)&gt;0,T08_Spells!AG$2,"")</f>
        <v/>
      </c>
      <c r="AH390" t="str">
        <f>IF(IFERROR(MATCH($B390,temp!D$4:D$13,0),0)&gt;0,T08_Spells!AH$2,"")</f>
        <v/>
      </c>
      <c r="AI390" t="str">
        <f>IF(IFERROR(MATCH($B390,temp!E$4:E$13,0),0)&gt;0,T08_Spells!AI$2,"")</f>
        <v/>
      </c>
      <c r="AJ390" t="str">
        <f>IF(IFERROR(MATCH($B390,temp!F$4:F$13,0),0)&gt;0,T08_Spells!AJ$2,"")</f>
        <v/>
      </c>
      <c r="AK390" t="str">
        <f>IF(IFERROR(MATCH($B390,temp!G$4:G$13,0),0)&gt;0,T08_Spells!AK$2,"")</f>
        <v/>
      </c>
      <c r="AL390" t="str">
        <f>IF(IFERROR(MATCH($B390,temp!H$4:H$13,0),0)&gt;0,T08_Spells!AL$2,"")</f>
        <v/>
      </c>
      <c r="AM390" t="str">
        <f>IF(IFERROR(MATCH($B390,temp!I$4:I$13,0),0)&gt;0,T08_Spells!AM$2,"")</f>
        <v/>
      </c>
      <c r="AN390" t="str">
        <f>IF(IFERROR(MATCH($B390,temp!J$4:J$13,0),0)&gt;0,T08_Spells!AN$2,"")</f>
        <v/>
      </c>
      <c r="AO390" t="str">
        <f>IF(IFERROR(MATCH($B390,temp!K$4:K$13,0),0)&gt;0,T08_Spells!AO$2,"")</f>
        <v/>
      </c>
      <c r="AP390" t="str">
        <f>IF(IFERROR(MATCH($B390,temp!L$4:L$13,0),0)&gt;0,T08_Spells!AP$2,"")</f>
        <v/>
      </c>
      <c r="AQ390" t="str">
        <f>IF(IFERROR(MATCH($B390,temp!M$4:M$13,0),0)&gt;0,T08_Spells!AQ$2,"")</f>
        <v/>
      </c>
      <c r="AR390" t="str">
        <f>IF(IFERROR(MATCH($B390,temp!N$4:N$13,0),0)&gt;0,T08_Spells!AR$2,"")</f>
        <v/>
      </c>
      <c r="AS390" t="str">
        <f>IF(IFERROR(MATCH($B390,temp!O$4:O$13,0),0)&gt;0,T08_Spells!AS$2,"")</f>
        <v/>
      </c>
      <c r="AT390" t="str">
        <f>IF(IFERROR(MATCH($B390,temp!P$4:P$13,0),0)&gt;0,T08_Spells!AT$2,"")</f>
        <v/>
      </c>
      <c r="AU390" t="str">
        <f>IF(IFERROR(MATCH($B390,temp!Q$4:Q$13,0),0)&gt;0,T08_Spells!AU$2,"")</f>
        <v/>
      </c>
      <c r="AV390" t="str">
        <f>IF(IFERROR(MATCH($B390,temp!R$4:R$13,0),0)&gt;0,T08_Spells!AV$2,"")</f>
        <v/>
      </c>
      <c r="AW390" t="str">
        <f>IF(IFERROR(MATCH($B390,temp!S$4:S$13,0),0)&gt;0,T08_Spells!AW$2,"")</f>
        <v/>
      </c>
      <c r="AX390" t="str">
        <f>IF(IFERROR(MATCH($B390,temp!T$4:T$13,0),0)&gt;0,T08_Spells!AX$2,"")</f>
        <v/>
      </c>
      <c r="AY390" t="str">
        <f>IF(IFERROR(MATCH($B390,temp!U$4:U$13,0),0)&gt;0,T08_Spells!AY$2,"")</f>
        <v/>
      </c>
      <c r="AZ390" t="str">
        <f>IF(IFERROR(MATCH($B390,temp!V$4:V$13,0),0)&gt;0,T08_Spells!AZ$2,"")</f>
        <v/>
      </c>
      <c r="BA390" t="str">
        <f>IF(IFERROR(MATCH($B390,temp!W$4:W$13,0),0)&gt;0,T08_Spells!BA$2,"")</f>
        <v/>
      </c>
      <c r="BC390">
        <f>IF(IFERROR(SEARCH("Ranger",$T390,1),0)&gt;0,1,0)*IF(RangerMaxSpellLevel&gt;=$C390,1,0)*IF(IFERROR(MATCH(B390,Character_Creation!$X$79:$X$382,0),0)&gt;0,0,1)</f>
        <v>0</v>
      </c>
      <c r="BD390">
        <f>IF(BC390=0,0,1+COUNTIF(BD$3:BD389,"&gt;0"))</f>
        <v>0</v>
      </c>
      <c r="BE390" t="str">
        <f t="shared" si="370"/>
        <v/>
      </c>
      <c r="BF390" t="str">
        <f t="shared" si="342"/>
        <v/>
      </c>
      <c r="BH390">
        <f>IF(IFERROR(SEARCH("Sorcerer",$T390,1),0)&gt;0,1,0)*IF(SorcererMaxSpellLevel&gt;=$C390,1,0)*IF(IFERROR(MATCH(B390,Character_Creation!$J$380:$J$394,0),0)&gt;0,0,1)</f>
        <v>0</v>
      </c>
      <c r="BI390">
        <f>IF(BH390=0,0,1+COUNTIF(BI$3:BI389,"&gt;0"))</f>
        <v>0</v>
      </c>
      <c r="BJ390" t="str">
        <f t="shared" si="371"/>
        <v/>
      </c>
      <c r="BK390" t="str">
        <f t="shared" si="343"/>
        <v/>
      </c>
      <c r="BM390">
        <f>IF(OR(IFERROR(SEARCH("Warlock",$T390,1),0)&gt;0,IFERROR(SEARCH(WarlockPatron,$T390,1),0)&gt;0),1,0)*IF(WarlockMaxSpellLevel&gt;=$C390,1,0)*IF(IFERROR(MATCH(B390,Character_Creation!$J$361:$J$375,0),0)&gt;0,0,1)</f>
        <v>0</v>
      </c>
      <c r="BN390">
        <f>IF(BM390=0,0,1+COUNTIF(BN$3:BN389,"&gt;0"))</f>
        <v>0</v>
      </c>
      <c r="BO390" t="str">
        <f t="shared" si="372"/>
        <v/>
      </c>
      <c r="BP390" t="str">
        <f t="shared" si="344"/>
        <v/>
      </c>
      <c r="BR390">
        <f>IF(IFERROR(SEARCH("Eldritch Knight",$T390,1),0)&gt;0,1,0)*IF(EldritchKnightMaxSpellLevel&gt;=$C390,1,0)*IF(IFERROR(MATCH($B390,Character_Creation!$J$350:$J$356,0),0)&gt;0,0,1)*IF(Character_Creation!$M$338&gt;0,1,0)</f>
        <v>0</v>
      </c>
      <c r="BS390">
        <f>IF(BR390=0,0,1+COUNTIF(BS$3:BS389,"&gt;0"))</f>
        <v>0</v>
      </c>
      <c r="BT390" t="str">
        <f t="shared" si="373"/>
        <v/>
      </c>
      <c r="BU390" t="str">
        <f t="shared" si="345"/>
        <v/>
      </c>
      <c r="BW390">
        <f>IF(IFERROR(SEARCH("Arcane Trickster",$T390,1),0)&gt;0,1,0)*IF(ArcaneTricksterMaxSpellLevel&gt;=$C390,1,0)*IF(IFERROR(MATCH($B390,Character_Creation!$J$350:$J$356,0),0)&gt;0,0,1)*IF(Character_Creation!$T$338&gt;0,1,0)</f>
        <v>0</v>
      </c>
      <c r="BX390">
        <f>IF(BW390=0,0,1+COUNTIF(BX$3:BX389,"&gt;0"))</f>
        <v>0</v>
      </c>
      <c r="BY390" t="str">
        <f t="shared" si="374"/>
        <v/>
      </c>
      <c r="BZ390" t="str">
        <f t="shared" si="346"/>
        <v/>
      </c>
      <c r="CB390">
        <f>IF(IFERROR(SEARCH("Wizard",$T390,1),0)&gt;0,1,0)*IF(C390&lt;=ArcaneTricksterMaxSpellLevel,1,0)*IF(IFERROR(MATCH($B390,Character_Creation!$J$350:$J$356,0),0)&gt;0,0,1)*IF(Character_Creation!$T$350&gt;0,1,0)</f>
        <v>0</v>
      </c>
      <c r="CC390">
        <f>IF(CB390=0,0,1+COUNTIF(CC$3:CC389,"&gt;0"))</f>
        <v>0</v>
      </c>
      <c r="CD390" t="str">
        <f t="shared" si="375"/>
        <v/>
      </c>
      <c r="CE390" t="str">
        <f t="shared" si="347"/>
        <v/>
      </c>
      <c r="CG390">
        <f>IF(IFERROR(SEARCH("Wizard",$T390,1),0)&gt;0,1,0)*IF($C390&lt;=EldritchKnightMaxSpellLevel,1,0)*IF(IFERROR(MATCH($B390,Character_Creation!$J$350:$J$356,0),0)&gt;0,0,1)*IF(Character_Creation!$M$350&gt;0,1,0)</f>
        <v>1</v>
      </c>
      <c r="CH390">
        <f>IF(CG390=0,0,1+COUNTIF(CH$3:CH389,"&gt;0"))</f>
        <v>70</v>
      </c>
      <c r="CI390" t="str">
        <f t="shared" si="376"/>
        <v/>
      </c>
      <c r="CJ390" t="str">
        <f t="shared" si="348"/>
        <v/>
      </c>
      <c r="CL390">
        <f>IF(IFERROR(SEARCH("Bard",$T390,1),0)&gt;0,1,0)*IF(BardMaxSpellLevel&gt;=$C390,1,0)*IF(IFERROR(MATCH(B390,Character_Creation!$C$341:$F$362,0),0)&gt;0,0,1)*IF(IFERROR(MATCH($B390,Character_Creation!$C$341:$C$362,0),0)&gt;0,0,1)</f>
        <v>0</v>
      </c>
      <c r="CM390">
        <f>IF(CL390=0,0,1+COUNTIF(CM$3:CM389,"&gt;0"))</f>
        <v>0</v>
      </c>
      <c r="CN390" t="str">
        <f t="shared" si="377"/>
        <v/>
      </c>
      <c r="CO390" t="str">
        <f t="shared" si="349"/>
        <v/>
      </c>
      <c r="CQ390">
        <f>IF(IFERROR(SEARCH("Wizard",$T390,1),0)&gt;0,1,0)*IF(WizardMaxSpellLevel&gt;=$C390,1,0)*IF(IFERROR(MATCH(B390,Character_Creation!$X$341:$X$400,0),0)&gt;0,0,1)*IF(SelectedWizardSpellLevel=$C390,1,0)</f>
        <v>0</v>
      </c>
      <c r="CR390">
        <f>IF(CQ390=0,0,1+COUNTIF(CR$3:CR389,"&gt;0"))</f>
        <v>0</v>
      </c>
      <c r="CS390" t="str">
        <f t="shared" si="378"/>
        <v/>
      </c>
      <c r="CT390" t="str">
        <f t="shared" si="350"/>
        <v/>
      </c>
      <c r="CV390">
        <f>IF(IFERROR(MATCH($B390,Character_Creation!$C$341:$C$362,0),0)&gt;0,0,1)*IF(OR(C390="Cantrip",C390&lt;=BardMaxSpellLevel),1,0)*IF(IFERROR(MATCH($B390,Character_Creation!$C$367:$C$374,0),0)&gt;0,0,1)</f>
        <v>0</v>
      </c>
      <c r="CW390">
        <f>IF(CV390=0,0,1+COUNTIF(CW$3:CW389,"&gt;0"))</f>
        <v>0</v>
      </c>
      <c r="CX390" t="str">
        <f t="shared" si="379"/>
        <v/>
      </c>
      <c r="CY390" t="str">
        <f t="shared" si="351"/>
        <v/>
      </c>
      <c r="DA390">
        <f>IF(IF(OR(IFERROR(SEARCH("Cleric",$T390,1),0)&gt;0,IFERROR(SEARCH(DivineDomain&amp;",",$T390,1),0)&gt;0),1,0)*IF($C390=DA$2,1,0)=1,1+COUNTIF(DA$3:DA389,"&gt;0"),0)</f>
        <v>0</v>
      </c>
      <c r="DB390">
        <f>IF(IF(OR(IFERROR(SEARCH("Cleric",$T390,1),0)&gt;0,IFERROR(SEARCH(DivineDomain&amp;",",$T390,1),0)&gt;0),1,0)*IF($C390=DB$2,1,0)=1,1+COUNTIF(DB$3:DB389,"&gt;0"),0)</f>
        <v>0</v>
      </c>
      <c r="DC390">
        <f>IF(IF(OR(IFERROR(SEARCH("Cleric",$T390,1),0)&gt;0,IFERROR(SEARCH(DivineDomain&amp;",",$T390,1),0)&gt;0),1,0)*IF($C390=DC$2,1,0)=1,1+COUNTIF(DC$3:DC389,"&gt;0"),0)</f>
        <v>0</v>
      </c>
      <c r="DD390">
        <f>IF(IF(OR(IFERROR(SEARCH("Cleric",$T390,1),0)&gt;0,IFERROR(SEARCH(DivineDomain&amp;",",$T390,1),0)&gt;0),1,0)*IF($C390=DD$2,1,0)=1,1+COUNTIF(DD$3:DD389,"&gt;0"),0)</f>
        <v>0</v>
      </c>
      <c r="DE390">
        <f>IF(IF(OR(IFERROR(SEARCH("Cleric",$T390,1),0)&gt;0,IFERROR(SEARCH(DivineDomain&amp;",",$T390,1),0)&gt;0),1,0)*IF($C390=DE$2,1,0)=1,1+COUNTIF(DE$3:DE389,"&gt;0"),0)</f>
        <v>0</v>
      </c>
      <c r="DF390">
        <f>IF(IF(OR(IFERROR(SEARCH("Cleric",$T390,1),0)&gt;0,IFERROR(SEARCH(DivineDomain&amp;",",$T390,1),0)&gt;0),1,0)*IF($C390=DF$2,1,0)=1,1+COUNTIF(DF$3:DF389,"&gt;0"),0)</f>
        <v>0</v>
      </c>
      <c r="DG390">
        <f>IF(IF(OR(IFERROR(SEARCH("Cleric",$T390,1),0)&gt;0,IFERROR(SEARCH(DivineDomain&amp;",",$T390,1),0)&gt;0),1,0)*IF($C390=DG$2,1,0)=1,1+COUNTIF(DG$3:DG389,"&gt;0"),0)</f>
        <v>0</v>
      </c>
      <c r="DH390">
        <f>IF(IF(OR(IFERROR(SEARCH("Cleric",$T390,1),0)&gt;0,IFERROR(SEARCH(DivineDomain&amp;",",$T390,1),0)&gt;0),1,0)*IF($C390=DH$2,1,0)=1,1+COUNTIF(DH$3:DH389,"&gt;0"),0)</f>
        <v>0</v>
      </c>
      <c r="DI390">
        <f>IF(IF(OR(IFERROR(SEARCH("Cleric",$T390,1),0)&gt;0,IFERROR(SEARCH(DivineDomain&amp;",",$T390,1),0)&gt;0),1,0)*IF($C390=DI$2,1,0)=1,1+COUNTIF(DI$3:DI389,"&gt;0"),0)</f>
        <v>0</v>
      </c>
      <c r="DJ390">
        <f>IF(IF(OR(IFERROR(SEARCH("Druid",$T390,1),0)&gt;0,IFERROR(SEARCH(DruidLand1,$T390,1),0)&gt;0,IFERROR(SEARCH(DruidLand2,$T390,1),0)&gt;0,IFERROR(SEARCH(DruidLand3,$T390,1),0)&gt;0,IFERROR(SEARCH(DruidLand4,$T390,1),0)&gt;0),1,0)*IF($C390=1,1,0)*IF($C390=DJ$2,1,0)=0,0,1+COUNTIF(DJ$3:DJ389,"&gt;0"))</f>
        <v>0</v>
      </c>
      <c r="DK390">
        <f>IF(IF(OR(IFERROR(SEARCH("Druid",$T390,1),0)&gt;0,IFERROR(SEARCH(DruidLand1,$T390,1),0)&gt;0,IFERROR(SEARCH(DruidLand2,$T390,1),0)&gt;0,IFERROR(SEARCH(DruidLand3,$T390,1),0)&gt;0,IFERROR(SEARCH(DruidLand4,$T390,1),0)&gt;0),1,0)*IF($C390=1,1,0)*IF($C390=DK$2,1,0)=0,0,1+COUNTIF(DK$3:DK389,"&gt;0"))</f>
        <v>0</v>
      </c>
      <c r="DL390">
        <f>IF(IF(OR(IFERROR(SEARCH("Druid",$T390,1),0)&gt;0,IFERROR(SEARCH(DruidLand1,$T390,1),0)&gt;0,IFERROR(SEARCH(DruidLand2,$T390,1),0)&gt;0,IFERROR(SEARCH(DruidLand3,$T390,1),0)&gt;0,IFERROR(SEARCH(DruidLand4,$T390,1),0)&gt;0),1,0)*IF($C390=1,1,0)*IF($C390=DL$2,1,0)=0,0,1+COUNTIF(DL$3:DL389,"&gt;0"))</f>
        <v>0</v>
      </c>
      <c r="DM390">
        <f>IF(IF(OR(IFERROR(SEARCH("Druid",$T390,1),0)&gt;0,IFERROR(SEARCH(DruidLand1,$T390,1),0)&gt;0,IFERROR(SEARCH(DruidLand2,$T390,1),0)&gt;0,IFERROR(SEARCH(DruidLand3,$T390,1),0)&gt;0,IFERROR(SEARCH(DruidLand4,$T390,1),0)&gt;0),1,0)*IF($C390=1,1,0)*IF($C390=DM$2,1,0)=0,0,1+COUNTIF(DM$3:DM389,"&gt;0"))</f>
        <v>0</v>
      </c>
      <c r="DN390">
        <f>IF(IF(OR(IFERROR(SEARCH("Druid",$T390,1),0)&gt;0,IFERROR(SEARCH(DruidLand1,$T390,1),0)&gt;0,IFERROR(SEARCH(DruidLand2,$T390,1),0)&gt;0,IFERROR(SEARCH(DruidLand3,$T390,1),0)&gt;0,IFERROR(SEARCH(DruidLand4,$T390,1),0)&gt;0),1,0)*IF($C390=1,1,0)*IF($C390=DN$2,1,0)=0,0,1+COUNTIF(DN$3:DN389,"&gt;0"))</f>
        <v>0</v>
      </c>
      <c r="DO390">
        <f>IF(IF(OR(IFERROR(SEARCH("Druid",$T390,1),0)&gt;0,IFERROR(SEARCH(DruidLand1,$T390,1),0)&gt;0,IFERROR(SEARCH(DruidLand2,$T390,1),0)&gt;0,IFERROR(SEARCH(DruidLand3,$T390,1),0)&gt;0,IFERROR(SEARCH(DruidLand4,$T390,1),0)&gt;0),1,0)*IF($C390=1,1,0)*IF($C390=DO$2,1,0)=0,0,1+COUNTIF(DO$3:DO389,"&gt;0"))</f>
        <v>0</v>
      </c>
      <c r="DP390">
        <f>IF(IF(OR(IFERROR(SEARCH("Druid",$T390,1),0)&gt;0,IFERROR(SEARCH(DruidLand1,$T390,1),0)&gt;0,IFERROR(SEARCH(DruidLand2,$T390,1),0)&gt;0,IFERROR(SEARCH(DruidLand3,$T390,1),0)&gt;0,IFERROR(SEARCH(DruidLand4,$T390,1),0)&gt;0),1,0)*IF($C390=1,1,0)*IF($C390=DP$2,1,0)=0,0,1+COUNTIF(DP$3:DP389,"&gt;0"))</f>
        <v>0</v>
      </c>
      <c r="DQ390">
        <f>IF(IF(OR(IFERROR(SEARCH("Druid",$T390,1),0)&gt;0,IFERROR(SEARCH(DruidLand1,$T390,1),0)&gt;0,IFERROR(SEARCH(DruidLand2,$T390,1),0)&gt;0,IFERROR(SEARCH(DruidLand3,$T390,1),0)&gt;0,IFERROR(SEARCH(DruidLand4,$T390,1),0)&gt;0),1,0)*IF($C390=1,1,0)*IF($C390=DQ$2,1,0)=0,0,1+COUNTIF(DQ$3:DQ389,"&gt;0"))</f>
        <v>0</v>
      </c>
      <c r="DR390">
        <f>IF(IF(OR(IFERROR(SEARCH("Druid",$T390,1),0)&gt;0,IFERROR(SEARCH(DruidLand1,$T390,1),0)&gt;0,IFERROR(SEARCH(DruidLand2,$T390,1),0)&gt;0,IFERROR(SEARCH(DruidLand3,$T390,1),0)&gt;0,IFERROR(SEARCH(DruidLand4,$T390,1),0)&gt;0),1,0)*IF($C390=1,1,0)*IF($C390=DR$2,1,0)=0,0,1+COUNTIF(DR$3:DR389,"&gt;0"))</f>
        <v>0</v>
      </c>
      <c r="DS390">
        <f>IF(IF(OR(IFERROR(SEARCH("Paladin",$T390,1),0)&gt;0,IFERROR(SEARCH(PaladinOath,$T390,1),0)&gt;0),1,0)*IF($C390=DS$2,1,0)=1,1+COUNTIF(DS$3:DS389,"&gt;0"),0)</f>
        <v>0</v>
      </c>
      <c r="DT390">
        <f>IF(IF(OR(IFERROR(SEARCH("Paladin",$T390,1),0)&gt;0,IFERROR(SEARCH(PaladinOath,$T390,1),0)&gt;0),1,0)*IF($C390=DT$2,1,0)=1,1+COUNTIF(DT$3:DT389,"&gt;0"),0)</f>
        <v>0</v>
      </c>
      <c r="DU390">
        <f>IF(IF(OR(IFERROR(SEARCH("Paladin",$T390,1),0)&gt;0,IFERROR(SEARCH(PaladinOath,$T390,1),0)&gt;0),1,0)*IF($C390=DU$2,1,0)=1,1+COUNTIF(DU$3:DU389,"&gt;0"),0)</f>
        <v>0</v>
      </c>
      <c r="DV390">
        <f>IF(IF(OR(IFERROR(SEARCH("Paladin",$T390,1),0)&gt;0,IFERROR(SEARCH(PaladinOath,$T390,1),0)&gt;0),1,0)*IF($C390=DV$2,1,0)=1,1+COUNTIF(DV$3:DV389,"&gt;0"),0)</f>
        <v>0</v>
      </c>
      <c r="DW390">
        <f>IF(IF(OR(IFERROR(SEARCH("Paladin",$T390,1),0)&gt;0,IFERROR(SEARCH(PaladinOath,$T390,1),0)&gt;0),1,0)*IF($C390=DW$2,1,0)=1,1+COUNTIF(DW$3:DW389,"&gt;0"),0)</f>
        <v>0</v>
      </c>
      <c r="DY390">
        <f t="shared" si="338"/>
        <v>1</v>
      </c>
      <c r="DZ390">
        <f>IF(DY390=0,0,1+MAX(DZ$3:$DZ389))</f>
        <v>388</v>
      </c>
      <c r="EB390">
        <f t="shared" si="352"/>
        <v>0</v>
      </c>
      <c r="EC390">
        <f>IF(EB390=0,0,1+COUNTIF(EC$3:EC389,"&gt;0"))</f>
        <v>0</v>
      </c>
      <c r="ED390" t="str">
        <f t="shared" si="380"/>
        <v/>
      </c>
      <c r="EE390" t="str">
        <f t="shared" si="353"/>
        <v/>
      </c>
      <c r="EG390">
        <f t="shared" si="354"/>
        <v>0</v>
      </c>
      <c r="EH390">
        <f>IF(EG390=0,0,1+COUNTIF(EH$3:EH389,"&gt;0"))</f>
        <v>0</v>
      </c>
      <c r="EI390" t="str">
        <f t="shared" si="381"/>
        <v/>
      </c>
      <c r="EJ390" t="str">
        <f t="shared" si="355"/>
        <v/>
      </c>
      <c r="EL390">
        <f t="shared" si="356"/>
        <v>0</v>
      </c>
      <c r="EM390">
        <f>IF(EL390=0,0,1+COUNTIF(EM$3:EM389,"&gt;0"))</f>
        <v>0</v>
      </c>
      <c r="EN390" t="str">
        <f t="shared" si="382"/>
        <v/>
      </c>
      <c r="EO390" t="str">
        <f t="shared" si="357"/>
        <v/>
      </c>
      <c r="EQ390">
        <f t="shared" si="358"/>
        <v>0</v>
      </c>
      <c r="ER390">
        <f>IF(EQ390=0,0,1+COUNTIF(ER$3:ER389,"&gt;0"))</f>
        <v>0</v>
      </c>
      <c r="ES390" t="str">
        <f t="shared" si="383"/>
        <v/>
      </c>
      <c r="ET390" t="str">
        <f t="shared" si="359"/>
        <v/>
      </c>
      <c r="EV390">
        <f t="shared" si="360"/>
        <v>0</v>
      </c>
      <c r="EW390">
        <f>IF(EV390=0,0,1+COUNTIF(EW$3:EW389,"&gt;0"))</f>
        <v>0</v>
      </c>
      <c r="EX390" t="str">
        <f t="shared" si="384"/>
        <v/>
      </c>
      <c r="EY390" t="str">
        <f t="shared" si="361"/>
        <v/>
      </c>
      <c r="FA390">
        <f t="shared" si="362"/>
        <v>0</v>
      </c>
      <c r="FB390">
        <f>IF(FA390=0,0,1+COUNTIF(FB$3:FB389,"&gt;0"))</f>
        <v>0</v>
      </c>
      <c r="FC390" t="str">
        <f t="shared" si="385"/>
        <v/>
      </c>
      <c r="FD390" t="str">
        <f t="shared" si="363"/>
        <v/>
      </c>
      <c r="FF390">
        <f t="shared" si="364"/>
        <v>0</v>
      </c>
      <c r="FG390">
        <f>IF(FF390=0,0,1+COUNTIF(FG$3:FG389,"&gt;0"))</f>
        <v>0</v>
      </c>
      <c r="FH390" t="str">
        <f t="shared" si="386"/>
        <v/>
      </c>
      <c r="FI390" t="str">
        <f t="shared" si="365"/>
        <v/>
      </c>
      <c r="FK390">
        <f t="shared" si="366"/>
        <v>0</v>
      </c>
      <c r="FL390">
        <f>IF(FK390=0,0,1+COUNTIF(FL$3:FL389,"&gt;0"))</f>
        <v>0</v>
      </c>
      <c r="FM390" t="str">
        <f t="shared" si="387"/>
        <v/>
      </c>
      <c r="FN390" t="str">
        <f t="shared" si="367"/>
        <v/>
      </c>
      <c r="FP390">
        <f t="shared" si="368"/>
        <v>0</v>
      </c>
      <c r="FQ390">
        <f>IF(FP390=0,0,1+COUNTIF(FQ$3:FQ389,"&gt;0"))</f>
        <v>0</v>
      </c>
      <c r="FR390" t="str">
        <f t="shared" si="388"/>
        <v/>
      </c>
      <c r="FS390" t="str">
        <f t="shared" si="369"/>
        <v/>
      </c>
    </row>
    <row r="391" spans="1:175" x14ac:dyDescent="0.25">
      <c r="A391" s="347">
        <f t="shared" si="331"/>
        <v>389</v>
      </c>
      <c r="B391" s="398" t="s">
        <v>5557</v>
      </c>
      <c r="C391" s="348">
        <v>3</v>
      </c>
      <c r="D391" s="347">
        <v>3</v>
      </c>
      <c r="E391" s="627" t="s">
        <v>6957</v>
      </c>
      <c r="F391" s="346"/>
      <c r="G391" s="347" t="str">
        <f>""</f>
        <v/>
      </c>
      <c r="H391" s="347" t="s">
        <v>5912</v>
      </c>
      <c r="I391" s="347" t="s">
        <v>2353</v>
      </c>
      <c r="J391" s="347" t="str">
        <f t="shared" si="339"/>
        <v/>
      </c>
      <c r="K391" s="347" t="s">
        <v>5297</v>
      </c>
      <c r="L391" s="611" t="str">
        <f t="shared" si="340"/>
        <v>V, S, M, niter, sulfur, and pine tar formed into a bead</v>
      </c>
      <c r="M391" s="347" t="s">
        <v>2373</v>
      </c>
      <c r="N391" s="347" t="s">
        <v>2387</v>
      </c>
      <c r="O391" s="347" t="s">
        <v>1244</v>
      </c>
      <c r="P391" s="346" t="s">
        <v>5558</v>
      </c>
      <c r="Q391" s="347" t="s">
        <v>5273</v>
      </c>
      <c r="S391" s="346" t="s">
        <v>5893</v>
      </c>
      <c r="T391" s="346" t="str">
        <f t="shared" si="341"/>
        <v xml:space="preserve">Sorcerer, Eldritch Knight, Wizard, </v>
      </c>
      <c r="X391" s="347" t="str">
        <f>$B391</f>
        <v>Melf’s Minute Meteors</v>
      </c>
      <c r="AB391" s="542" t="str">
        <f>AD391</f>
        <v>Melf’s Minute Meteors</v>
      </c>
      <c r="AD391" s="347" t="str">
        <f>$B391</f>
        <v>Melf’s Minute Meteors</v>
      </c>
      <c r="AE391" t="str">
        <f>IF(IFERROR(MATCH($B391,temp!A$4:A$13,0),0)&gt;0,T08_Spells!AE$2,"")</f>
        <v/>
      </c>
      <c r="AF391" t="str">
        <f>IF(IFERROR(MATCH($B391,temp!B$4:B$13,0),0)&gt;0,T08_Spells!AF$2,"")</f>
        <v/>
      </c>
      <c r="AG391" t="str">
        <f>IF(IFERROR(MATCH($B391,temp!C$4:C$13,0),0)&gt;0,T08_Spells!AG$2,"")</f>
        <v/>
      </c>
      <c r="AH391" t="str">
        <f>IF(IFERROR(MATCH($B391,temp!D$4:D$13,0),0)&gt;0,T08_Spells!AH$2,"")</f>
        <v/>
      </c>
      <c r="AI391" t="str">
        <f>IF(IFERROR(MATCH($B391,temp!E$4:E$13,0),0)&gt;0,T08_Spells!AI$2,"")</f>
        <v/>
      </c>
      <c r="AJ391" t="str">
        <f>IF(IFERROR(MATCH($B391,temp!F$4:F$13,0),0)&gt;0,T08_Spells!AJ$2,"")</f>
        <v/>
      </c>
      <c r="AK391" t="str">
        <f>IF(IFERROR(MATCH($B391,temp!G$4:G$13,0),0)&gt;0,T08_Spells!AK$2,"")</f>
        <v/>
      </c>
      <c r="AL391" t="str">
        <f>IF(IFERROR(MATCH($B391,temp!H$4:H$13,0),0)&gt;0,T08_Spells!AL$2,"")</f>
        <v/>
      </c>
      <c r="AM391" t="str">
        <f>IF(IFERROR(MATCH($B391,temp!I$4:I$13,0),0)&gt;0,T08_Spells!AM$2,"")</f>
        <v/>
      </c>
      <c r="AN391" t="str">
        <f>IF(IFERROR(MATCH($B391,temp!J$4:J$13,0),0)&gt;0,T08_Spells!AN$2,"")</f>
        <v/>
      </c>
      <c r="AO391" t="str">
        <f>IF(IFERROR(MATCH($B391,temp!K$4:K$13,0),0)&gt;0,T08_Spells!AO$2,"")</f>
        <v/>
      </c>
      <c r="AP391" t="str">
        <f>IF(IFERROR(MATCH($B391,temp!L$4:L$13,0),0)&gt;0,T08_Spells!AP$2,"")</f>
        <v/>
      </c>
      <c r="AQ391" t="str">
        <f>IF(IFERROR(MATCH($B391,temp!M$4:M$13,0),0)&gt;0,T08_Spells!AQ$2,"")</f>
        <v/>
      </c>
      <c r="AR391" t="str">
        <f>IF(IFERROR(MATCH($B391,temp!N$4:N$13,0),0)&gt;0,T08_Spells!AR$2,"")</f>
        <v/>
      </c>
      <c r="AS391" t="str">
        <f>IF(IFERROR(MATCH($B391,temp!O$4:O$13,0),0)&gt;0,T08_Spells!AS$2,"")</f>
        <v/>
      </c>
      <c r="AT391" t="str">
        <f>IF(IFERROR(MATCH($B391,temp!P$4:P$13,0),0)&gt;0,T08_Spells!AT$2,"")</f>
        <v/>
      </c>
      <c r="AU391" t="str">
        <f>IF(IFERROR(MATCH($B391,temp!Q$4:Q$13,0),0)&gt;0,T08_Spells!AU$2,"")</f>
        <v/>
      </c>
      <c r="AV391" t="str">
        <f>IF(IFERROR(MATCH($B391,temp!R$4:R$13,0),0)&gt;0,T08_Spells!AV$2,"")</f>
        <v/>
      </c>
      <c r="AW391" t="str">
        <f>IF(IFERROR(MATCH($B391,temp!S$4:S$13,0),0)&gt;0,T08_Spells!AW$2,"")</f>
        <v/>
      </c>
      <c r="AX391" t="str">
        <f>IF(IFERROR(MATCH($B391,temp!T$4:T$13,0),0)&gt;0,T08_Spells!AX$2,"")</f>
        <v/>
      </c>
      <c r="AY391" t="str">
        <f>IF(IFERROR(MATCH($B391,temp!U$4:U$13,0),0)&gt;0,T08_Spells!AY$2,"")</f>
        <v/>
      </c>
      <c r="AZ391" t="str">
        <f>IF(IFERROR(MATCH($B391,temp!V$4:V$13,0),0)&gt;0,T08_Spells!AZ$2,"")</f>
        <v/>
      </c>
      <c r="BA391" t="str">
        <f>IF(IFERROR(MATCH($B391,temp!W$4:W$13,0),0)&gt;0,T08_Spells!BA$2,"")</f>
        <v/>
      </c>
      <c r="BC391">
        <f>IF(IFERROR(SEARCH("Ranger",$T391,1),0)&gt;0,1,0)*IF(RangerMaxSpellLevel&gt;=$C391,1,0)*IF(IFERROR(MATCH(B391,Character_Creation!$X$79:$X$382,0),0)&gt;0,0,1)</f>
        <v>0</v>
      </c>
      <c r="BD391">
        <f>IF(BC391=0,0,1+COUNTIF(BD$3:BD390,"&gt;0"))</f>
        <v>0</v>
      </c>
      <c r="BE391" t="str">
        <f t="shared" si="370"/>
        <v/>
      </c>
      <c r="BF391" t="str">
        <f t="shared" si="342"/>
        <v/>
      </c>
      <c r="BH391">
        <f>IF(IFERROR(SEARCH("Sorcerer",$T391,1),0)&gt;0,1,0)*IF(SorcererMaxSpellLevel&gt;=$C391,1,0)*IF(IFERROR(MATCH(B391,Character_Creation!$J$380:$J$394,0),0)&gt;0,0,1)</f>
        <v>0</v>
      </c>
      <c r="BI391">
        <f>IF(BH391=0,0,1+COUNTIF(BI$3:BI390,"&gt;0"))</f>
        <v>0</v>
      </c>
      <c r="BJ391" t="str">
        <f t="shared" si="371"/>
        <v/>
      </c>
      <c r="BK391" t="str">
        <f t="shared" si="343"/>
        <v/>
      </c>
      <c r="BM391">
        <f>IF(OR(IFERROR(SEARCH("Warlock",$T391,1),0)&gt;0,IFERROR(SEARCH(WarlockPatron,$T391,1),0)&gt;0),1,0)*IF(WarlockMaxSpellLevel&gt;=$C391,1,0)*IF(IFERROR(MATCH(B391,Character_Creation!$J$361:$J$375,0),0)&gt;0,0,1)</f>
        <v>0</v>
      </c>
      <c r="BN391">
        <f>IF(BM391=0,0,1+COUNTIF(BN$3:BN390,"&gt;0"))</f>
        <v>0</v>
      </c>
      <c r="BO391" t="str">
        <f t="shared" si="372"/>
        <v/>
      </c>
      <c r="BP391" t="str">
        <f t="shared" si="344"/>
        <v/>
      </c>
      <c r="BR391">
        <f>IF(IFERROR(SEARCH("Eldritch Knight",$T391,1),0)&gt;0,1,0)*IF(EldritchKnightMaxSpellLevel&gt;=$C391,1,0)*IF(IFERROR(MATCH($B391,Character_Creation!$J$350:$J$356,0),0)&gt;0,0,1)*IF(Character_Creation!$M$338&gt;0,1,0)</f>
        <v>0</v>
      </c>
      <c r="BS391">
        <f>IF(BR391=0,0,1+COUNTIF(BS$3:BS390,"&gt;0"))</f>
        <v>0</v>
      </c>
      <c r="BT391" t="str">
        <f t="shared" si="373"/>
        <v/>
      </c>
      <c r="BU391" t="str">
        <f t="shared" si="345"/>
        <v/>
      </c>
      <c r="BW391">
        <f>IF(IFERROR(SEARCH("Arcane Trickster",$T391,1),0)&gt;0,1,0)*IF(ArcaneTricksterMaxSpellLevel&gt;=$C391,1,0)*IF(IFERROR(MATCH($B391,Character_Creation!$J$350:$J$356,0),0)&gt;0,0,1)*IF(Character_Creation!$T$338&gt;0,1,0)</f>
        <v>0</v>
      </c>
      <c r="BX391">
        <f>IF(BW391=0,0,1+COUNTIF(BX$3:BX390,"&gt;0"))</f>
        <v>0</v>
      </c>
      <c r="BY391" t="str">
        <f t="shared" si="374"/>
        <v/>
      </c>
      <c r="BZ391" t="str">
        <f t="shared" si="346"/>
        <v/>
      </c>
      <c r="CB391">
        <f>IF(IFERROR(SEARCH("Wizard",$T391,1),0)&gt;0,1,0)*IF(C391&lt;=ArcaneTricksterMaxSpellLevel,1,0)*IF(IFERROR(MATCH($B391,Character_Creation!$J$350:$J$356,0),0)&gt;0,0,1)*IF(Character_Creation!$T$350&gt;0,1,0)</f>
        <v>0</v>
      </c>
      <c r="CC391">
        <f>IF(CB391=0,0,1+COUNTIF(CC$3:CC390,"&gt;0"))</f>
        <v>0</v>
      </c>
      <c r="CD391" t="str">
        <f t="shared" si="375"/>
        <v/>
      </c>
      <c r="CE391" t="str">
        <f t="shared" si="347"/>
        <v/>
      </c>
      <c r="CG391">
        <f>IF(IFERROR(SEARCH("Wizard",$T391,1),0)&gt;0,1,0)*IF($C391&lt;=EldritchKnightMaxSpellLevel,1,0)*IF(IFERROR(MATCH($B391,Character_Creation!$J$350:$J$356,0),0)&gt;0,0,1)*IF(Character_Creation!$M$350&gt;0,1,0)</f>
        <v>0</v>
      </c>
      <c r="CH391">
        <f>IF(CG391=0,0,1+COUNTIF(CH$3:CH390,"&gt;0"))</f>
        <v>0</v>
      </c>
      <c r="CI391" t="str">
        <f t="shared" si="376"/>
        <v/>
      </c>
      <c r="CJ391" t="str">
        <f t="shared" si="348"/>
        <v/>
      </c>
      <c r="CL391">
        <f>IF(IFERROR(SEARCH("Bard",$T391,1),0)&gt;0,1,0)*IF(BardMaxSpellLevel&gt;=$C391,1,0)*IF(IFERROR(MATCH(B391,Character_Creation!$C$341:$F$362,0),0)&gt;0,0,1)*IF(IFERROR(MATCH($B391,Character_Creation!$C$341:$C$362,0),0)&gt;0,0,1)</f>
        <v>0</v>
      </c>
      <c r="CM391">
        <f>IF(CL391=0,0,1+COUNTIF(CM$3:CM390,"&gt;0"))</f>
        <v>0</v>
      </c>
      <c r="CN391" t="str">
        <f t="shared" si="377"/>
        <v/>
      </c>
      <c r="CO391" t="str">
        <f t="shared" si="349"/>
        <v/>
      </c>
      <c r="CQ391">
        <f>IF(IFERROR(SEARCH("Wizard",$T391,1),0)&gt;0,1,0)*IF(WizardMaxSpellLevel&gt;=$C391,1,0)*IF(IFERROR(MATCH(B391,Character_Creation!$X$341:$X$400,0),0)&gt;0,0,1)*IF(SelectedWizardSpellLevel=$C391,1,0)</f>
        <v>1</v>
      </c>
      <c r="CR391">
        <f>IF(CQ391=0,0,1+COUNTIF(CR$3:CR390,"&gt;0"))</f>
        <v>30</v>
      </c>
      <c r="CS391" t="str">
        <f t="shared" si="378"/>
        <v/>
      </c>
      <c r="CT391" t="str">
        <f t="shared" si="350"/>
        <v/>
      </c>
      <c r="CV391">
        <f>IF(IFERROR(MATCH($B391,Character_Creation!$C$341:$C$362,0),0)&gt;0,0,1)*IF(OR(C391="Cantrip",C391&lt;=BardMaxSpellLevel),1,0)*IF(IFERROR(MATCH($B391,Character_Creation!$C$367:$C$374,0),0)&gt;0,0,1)</f>
        <v>0</v>
      </c>
      <c r="CW391">
        <f>IF(CV391=0,0,1+COUNTIF(CW$3:CW390,"&gt;0"))</f>
        <v>0</v>
      </c>
      <c r="CX391" t="str">
        <f t="shared" si="379"/>
        <v/>
      </c>
      <c r="CY391" t="str">
        <f t="shared" si="351"/>
        <v/>
      </c>
      <c r="DA391">
        <f>IF(IF(OR(IFERROR(SEARCH("Cleric",$T391,1),0)&gt;0,IFERROR(SEARCH(DivineDomain&amp;",",$T391,1),0)&gt;0),1,0)*IF($C391=DA$2,1,0)=1,1+COUNTIF(DA$3:DA390,"&gt;0"),0)</f>
        <v>0</v>
      </c>
      <c r="DB391">
        <f>IF(IF(OR(IFERROR(SEARCH("Cleric",$T391,1),0)&gt;0,IFERROR(SEARCH(DivineDomain&amp;",",$T391,1),0)&gt;0),1,0)*IF($C391=DB$2,1,0)=1,1+COUNTIF(DB$3:DB390,"&gt;0"),0)</f>
        <v>0</v>
      </c>
      <c r="DC391">
        <f>IF(IF(OR(IFERROR(SEARCH("Cleric",$T391,1),0)&gt;0,IFERROR(SEARCH(DivineDomain&amp;",",$T391,1),0)&gt;0),1,0)*IF($C391=DC$2,1,0)=1,1+COUNTIF(DC$3:DC390,"&gt;0"),0)</f>
        <v>0</v>
      </c>
      <c r="DD391">
        <f>IF(IF(OR(IFERROR(SEARCH("Cleric",$T391,1),0)&gt;0,IFERROR(SEARCH(DivineDomain&amp;",",$T391,1),0)&gt;0),1,0)*IF($C391=DD$2,1,0)=1,1+COUNTIF(DD$3:DD390,"&gt;0"),0)</f>
        <v>0</v>
      </c>
      <c r="DE391">
        <f>IF(IF(OR(IFERROR(SEARCH("Cleric",$T391,1),0)&gt;0,IFERROR(SEARCH(DivineDomain&amp;",",$T391,1),0)&gt;0),1,0)*IF($C391=DE$2,1,0)=1,1+COUNTIF(DE$3:DE390,"&gt;0"),0)</f>
        <v>0</v>
      </c>
      <c r="DF391">
        <f>IF(IF(OR(IFERROR(SEARCH("Cleric",$T391,1),0)&gt;0,IFERROR(SEARCH(DivineDomain&amp;",",$T391,1),0)&gt;0),1,0)*IF($C391=DF$2,1,0)=1,1+COUNTIF(DF$3:DF390,"&gt;0"),0)</f>
        <v>0</v>
      </c>
      <c r="DG391">
        <f>IF(IF(OR(IFERROR(SEARCH("Cleric",$T391,1),0)&gt;0,IFERROR(SEARCH(DivineDomain&amp;",",$T391,1),0)&gt;0),1,0)*IF($C391=DG$2,1,0)=1,1+COUNTIF(DG$3:DG390,"&gt;0"),0)</f>
        <v>0</v>
      </c>
      <c r="DH391">
        <f>IF(IF(OR(IFERROR(SEARCH("Cleric",$T391,1),0)&gt;0,IFERROR(SEARCH(DivineDomain&amp;",",$T391,1),0)&gt;0),1,0)*IF($C391=DH$2,1,0)=1,1+COUNTIF(DH$3:DH390,"&gt;0"),0)</f>
        <v>0</v>
      </c>
      <c r="DI391">
        <f>IF(IF(OR(IFERROR(SEARCH("Cleric",$T391,1),0)&gt;0,IFERROR(SEARCH(DivineDomain&amp;",",$T391,1),0)&gt;0),1,0)*IF($C391=DI$2,1,0)=1,1+COUNTIF(DI$3:DI390,"&gt;0"),0)</f>
        <v>0</v>
      </c>
      <c r="DJ391">
        <f>IF(IF(OR(IFERROR(SEARCH("Druid",$T391,1),0)&gt;0,IFERROR(SEARCH(DruidLand1,$T391,1),0)&gt;0,IFERROR(SEARCH(DruidLand2,$T391,1),0)&gt;0,IFERROR(SEARCH(DruidLand3,$T391,1),0)&gt;0,IFERROR(SEARCH(DruidLand4,$T391,1),0)&gt;0),1,0)*IF($C391=1,1,0)*IF($C391=DJ$2,1,0)=0,0,1+COUNTIF(DJ$3:DJ390,"&gt;0"))</f>
        <v>0</v>
      </c>
      <c r="DK391">
        <f>IF(IF(OR(IFERROR(SEARCH("Druid",$T391,1),0)&gt;0,IFERROR(SEARCH(DruidLand1,$T391,1),0)&gt;0,IFERROR(SEARCH(DruidLand2,$T391,1),0)&gt;0,IFERROR(SEARCH(DruidLand3,$T391,1),0)&gt;0,IFERROR(SEARCH(DruidLand4,$T391,1),0)&gt;0),1,0)*IF($C391=1,1,0)*IF($C391=DK$2,1,0)=0,0,1+COUNTIF(DK$3:DK390,"&gt;0"))</f>
        <v>0</v>
      </c>
      <c r="DL391">
        <f>IF(IF(OR(IFERROR(SEARCH("Druid",$T391,1),0)&gt;0,IFERROR(SEARCH(DruidLand1,$T391,1),0)&gt;0,IFERROR(SEARCH(DruidLand2,$T391,1),0)&gt;0,IFERROR(SEARCH(DruidLand3,$T391,1),0)&gt;0,IFERROR(SEARCH(DruidLand4,$T391,1),0)&gt;0),1,0)*IF($C391=1,1,0)*IF($C391=DL$2,1,0)=0,0,1+COUNTIF(DL$3:DL390,"&gt;0"))</f>
        <v>0</v>
      </c>
      <c r="DM391">
        <f>IF(IF(OR(IFERROR(SEARCH("Druid",$T391,1),0)&gt;0,IFERROR(SEARCH(DruidLand1,$T391,1),0)&gt;0,IFERROR(SEARCH(DruidLand2,$T391,1),0)&gt;0,IFERROR(SEARCH(DruidLand3,$T391,1),0)&gt;0,IFERROR(SEARCH(DruidLand4,$T391,1),0)&gt;0),1,0)*IF($C391=1,1,0)*IF($C391=DM$2,1,0)=0,0,1+COUNTIF(DM$3:DM390,"&gt;0"))</f>
        <v>0</v>
      </c>
      <c r="DN391">
        <f>IF(IF(OR(IFERROR(SEARCH("Druid",$T391,1),0)&gt;0,IFERROR(SEARCH(DruidLand1,$T391,1),0)&gt;0,IFERROR(SEARCH(DruidLand2,$T391,1),0)&gt;0,IFERROR(SEARCH(DruidLand3,$T391,1),0)&gt;0,IFERROR(SEARCH(DruidLand4,$T391,1),0)&gt;0),1,0)*IF($C391=1,1,0)*IF($C391=DN$2,1,0)=0,0,1+COUNTIF(DN$3:DN390,"&gt;0"))</f>
        <v>0</v>
      </c>
      <c r="DO391">
        <f>IF(IF(OR(IFERROR(SEARCH("Druid",$T391,1),0)&gt;0,IFERROR(SEARCH(DruidLand1,$T391,1),0)&gt;0,IFERROR(SEARCH(DruidLand2,$T391,1),0)&gt;0,IFERROR(SEARCH(DruidLand3,$T391,1),0)&gt;0,IFERROR(SEARCH(DruidLand4,$T391,1),0)&gt;0),1,0)*IF($C391=1,1,0)*IF($C391=DO$2,1,0)=0,0,1+COUNTIF(DO$3:DO390,"&gt;0"))</f>
        <v>0</v>
      </c>
      <c r="DP391">
        <f>IF(IF(OR(IFERROR(SEARCH("Druid",$T391,1),0)&gt;0,IFERROR(SEARCH(DruidLand1,$T391,1),0)&gt;0,IFERROR(SEARCH(DruidLand2,$T391,1),0)&gt;0,IFERROR(SEARCH(DruidLand3,$T391,1),0)&gt;0,IFERROR(SEARCH(DruidLand4,$T391,1),0)&gt;0),1,0)*IF($C391=1,1,0)*IF($C391=DP$2,1,0)=0,0,1+COUNTIF(DP$3:DP390,"&gt;0"))</f>
        <v>0</v>
      </c>
      <c r="DQ391">
        <f>IF(IF(OR(IFERROR(SEARCH("Druid",$T391,1),0)&gt;0,IFERROR(SEARCH(DruidLand1,$T391,1),0)&gt;0,IFERROR(SEARCH(DruidLand2,$T391,1),0)&gt;0,IFERROR(SEARCH(DruidLand3,$T391,1),0)&gt;0,IFERROR(SEARCH(DruidLand4,$T391,1),0)&gt;0),1,0)*IF($C391=1,1,0)*IF($C391=DQ$2,1,0)=0,0,1+COUNTIF(DQ$3:DQ390,"&gt;0"))</f>
        <v>0</v>
      </c>
      <c r="DR391">
        <f>IF(IF(OR(IFERROR(SEARCH("Druid",$T391,1),0)&gt;0,IFERROR(SEARCH(DruidLand1,$T391,1),0)&gt;0,IFERROR(SEARCH(DruidLand2,$T391,1),0)&gt;0,IFERROR(SEARCH(DruidLand3,$T391,1),0)&gt;0,IFERROR(SEARCH(DruidLand4,$T391,1),0)&gt;0),1,0)*IF($C391=1,1,0)*IF($C391=DR$2,1,0)=0,0,1+COUNTIF(DR$3:DR390,"&gt;0"))</f>
        <v>0</v>
      </c>
      <c r="DS391">
        <f>IF(IF(OR(IFERROR(SEARCH("Paladin",$T391,1),0)&gt;0,IFERROR(SEARCH(PaladinOath,$T391,1),0)&gt;0),1,0)*IF($C391=DS$2,1,0)=1,1+COUNTIF(DS$3:DS390,"&gt;0"),0)</f>
        <v>0</v>
      </c>
      <c r="DT391">
        <f>IF(IF(OR(IFERROR(SEARCH("Paladin",$T391,1),0)&gt;0,IFERROR(SEARCH(PaladinOath,$T391,1),0)&gt;0),1,0)*IF($C391=DT$2,1,0)=1,1+COUNTIF(DT$3:DT390,"&gt;0"),0)</f>
        <v>0</v>
      </c>
      <c r="DU391">
        <f>IF(IF(OR(IFERROR(SEARCH("Paladin",$T391,1),0)&gt;0,IFERROR(SEARCH(PaladinOath,$T391,1),0)&gt;0),1,0)*IF($C391=DU$2,1,0)=1,1+COUNTIF(DU$3:DU390,"&gt;0"),0)</f>
        <v>0</v>
      </c>
      <c r="DV391">
        <f>IF(IF(OR(IFERROR(SEARCH("Paladin",$T391,1),0)&gt;0,IFERROR(SEARCH(PaladinOath,$T391,1),0)&gt;0),1,0)*IF($C391=DV$2,1,0)=1,1+COUNTIF(DV$3:DV390,"&gt;0"),0)</f>
        <v>0</v>
      </c>
      <c r="DW391">
        <f>IF(IF(OR(IFERROR(SEARCH("Paladin",$T391,1),0)&gt;0,IFERROR(SEARCH(PaladinOath,$T391,1),0)&gt;0),1,0)*IF($C391=DW$2,1,0)=1,1+COUNTIF(DW$3:DW390,"&gt;0"),0)</f>
        <v>0</v>
      </c>
      <c r="DY391">
        <f t="shared" si="338"/>
        <v>1</v>
      </c>
      <c r="DZ391">
        <f>IF(DY391=0,0,1+MAX(DZ$3:$DZ390))</f>
        <v>389</v>
      </c>
      <c r="EB391">
        <f t="shared" si="352"/>
        <v>0</v>
      </c>
      <c r="EC391">
        <f>IF(EB391=0,0,1+COUNTIF(EC$3:EC390,"&gt;0"))</f>
        <v>0</v>
      </c>
      <c r="ED391" t="str">
        <f t="shared" si="380"/>
        <v/>
      </c>
      <c r="EE391" t="str">
        <f t="shared" si="353"/>
        <v/>
      </c>
      <c r="EG391">
        <f t="shared" si="354"/>
        <v>0</v>
      </c>
      <c r="EH391">
        <f>IF(EG391=0,0,1+COUNTIF(EH$3:EH390,"&gt;0"))</f>
        <v>0</v>
      </c>
      <c r="EI391" t="str">
        <f t="shared" si="381"/>
        <v/>
      </c>
      <c r="EJ391" t="str">
        <f t="shared" si="355"/>
        <v/>
      </c>
      <c r="EL391">
        <f t="shared" si="356"/>
        <v>0</v>
      </c>
      <c r="EM391">
        <f>IF(EL391=0,0,1+COUNTIF(EM$3:EM390,"&gt;0"))</f>
        <v>0</v>
      </c>
      <c r="EN391" t="str">
        <f t="shared" si="382"/>
        <v/>
      </c>
      <c r="EO391" t="str">
        <f t="shared" si="357"/>
        <v/>
      </c>
      <c r="EQ391">
        <f t="shared" si="358"/>
        <v>0</v>
      </c>
      <c r="ER391">
        <f>IF(EQ391=0,0,1+COUNTIF(ER$3:ER390,"&gt;0"))</f>
        <v>0</v>
      </c>
      <c r="ES391" t="str">
        <f t="shared" si="383"/>
        <v/>
      </c>
      <c r="ET391" t="str">
        <f t="shared" si="359"/>
        <v/>
      </c>
      <c r="EV391">
        <f t="shared" si="360"/>
        <v>0</v>
      </c>
      <c r="EW391">
        <f>IF(EV391=0,0,1+COUNTIF(EW$3:EW390,"&gt;0"))</f>
        <v>0</v>
      </c>
      <c r="EX391" t="str">
        <f t="shared" si="384"/>
        <v/>
      </c>
      <c r="EY391" t="str">
        <f t="shared" si="361"/>
        <v/>
      </c>
      <c r="FA391">
        <f t="shared" si="362"/>
        <v>0</v>
      </c>
      <c r="FB391">
        <f>IF(FA391=0,0,1+COUNTIF(FB$3:FB390,"&gt;0"))</f>
        <v>0</v>
      </c>
      <c r="FC391" t="str">
        <f t="shared" si="385"/>
        <v/>
      </c>
      <c r="FD391" t="str">
        <f t="shared" si="363"/>
        <v/>
      </c>
      <c r="FF391">
        <f t="shared" si="364"/>
        <v>0</v>
      </c>
      <c r="FG391">
        <f>IF(FF391=0,0,1+COUNTIF(FG$3:FG390,"&gt;0"))</f>
        <v>0</v>
      </c>
      <c r="FH391" t="str">
        <f t="shared" si="386"/>
        <v/>
      </c>
      <c r="FI391" t="str">
        <f t="shared" si="365"/>
        <v/>
      </c>
      <c r="FK391">
        <f t="shared" si="366"/>
        <v>0</v>
      </c>
      <c r="FL391">
        <f>IF(FK391=0,0,1+COUNTIF(FL$3:FL390,"&gt;0"))</f>
        <v>0</v>
      </c>
      <c r="FM391" t="str">
        <f t="shared" si="387"/>
        <v/>
      </c>
      <c r="FN391" t="str">
        <f t="shared" si="367"/>
        <v/>
      </c>
      <c r="FP391">
        <f t="shared" si="368"/>
        <v>0</v>
      </c>
      <c r="FQ391">
        <f>IF(FP391=0,0,1+COUNTIF(FQ$3:FQ390,"&gt;0"))</f>
        <v>0</v>
      </c>
      <c r="FR391" t="str">
        <f t="shared" si="388"/>
        <v/>
      </c>
      <c r="FS391" t="str">
        <f t="shared" si="369"/>
        <v/>
      </c>
    </row>
    <row r="392" spans="1:175" x14ac:dyDescent="0.25">
      <c r="A392" s="347">
        <f t="shared" si="331"/>
        <v>390</v>
      </c>
      <c r="B392" s="398" t="s">
        <v>5559</v>
      </c>
      <c r="C392" s="348" t="s">
        <v>5277</v>
      </c>
      <c r="D392" s="347">
        <v>0.5</v>
      </c>
      <c r="E392" s="627" t="s">
        <v>6957</v>
      </c>
      <c r="F392" s="346"/>
      <c r="G392" s="347" t="str">
        <f>""</f>
        <v/>
      </c>
      <c r="H392" s="347" t="s">
        <v>5912</v>
      </c>
      <c r="I392" s="347" t="s">
        <v>5060</v>
      </c>
      <c r="J392" s="347" t="str">
        <f t="shared" si="339"/>
        <v/>
      </c>
      <c r="K392" s="347" t="s">
        <v>5278</v>
      </c>
      <c r="L392" s="611" t="str">
        <f t="shared" si="340"/>
        <v>S</v>
      </c>
      <c r="M392" s="347" t="s">
        <v>3034</v>
      </c>
      <c r="N392" s="347" t="s">
        <v>2387</v>
      </c>
      <c r="O392" s="347" t="s">
        <v>3034</v>
      </c>
      <c r="P392" s="346" t="str">
        <f>""</f>
        <v/>
      </c>
      <c r="Q392" s="347" t="s">
        <v>5276</v>
      </c>
      <c r="S392" s="346" t="s">
        <v>5894</v>
      </c>
      <c r="T392" s="346" t="str">
        <f t="shared" si="341"/>
        <v xml:space="preserve">Sorcerer, Druid, Wizard, </v>
      </c>
      <c r="X392" s="347" t="str">
        <f>$B392</f>
        <v>Mold Earth</v>
      </c>
      <c r="AA392" s="347" t="str">
        <f>$B392</f>
        <v>Mold Earth</v>
      </c>
      <c r="AD392" s="347" t="str">
        <f>$B392</f>
        <v>Mold Earth</v>
      </c>
      <c r="AE392" t="str">
        <f>IF(IFERROR(MATCH($B392,temp!A$4:A$13,0),0)&gt;0,T08_Spells!AE$2,"")</f>
        <v/>
      </c>
      <c r="AF392" t="str">
        <f>IF(IFERROR(MATCH($B392,temp!B$4:B$13,0),0)&gt;0,T08_Spells!AF$2,"")</f>
        <v/>
      </c>
      <c r="AG392" t="str">
        <f>IF(IFERROR(MATCH($B392,temp!C$4:C$13,0),0)&gt;0,T08_Spells!AG$2,"")</f>
        <v/>
      </c>
      <c r="AH392" t="str">
        <f>IF(IFERROR(MATCH($B392,temp!D$4:D$13,0),0)&gt;0,T08_Spells!AH$2,"")</f>
        <v/>
      </c>
      <c r="AI392" t="str">
        <f>IF(IFERROR(MATCH($B392,temp!E$4:E$13,0),0)&gt;0,T08_Spells!AI$2,"")</f>
        <v/>
      </c>
      <c r="AJ392" t="str">
        <f>IF(IFERROR(MATCH($B392,temp!F$4:F$13,0),0)&gt;0,T08_Spells!AJ$2,"")</f>
        <v/>
      </c>
      <c r="AK392" t="str">
        <f>IF(IFERROR(MATCH($B392,temp!G$4:G$13,0),0)&gt;0,T08_Spells!AK$2,"")</f>
        <v/>
      </c>
      <c r="AL392" t="str">
        <f>IF(IFERROR(MATCH($B392,temp!H$4:H$13,0),0)&gt;0,T08_Spells!AL$2,"")</f>
        <v/>
      </c>
      <c r="AM392" t="str">
        <f>IF(IFERROR(MATCH($B392,temp!I$4:I$13,0),0)&gt;0,T08_Spells!AM$2,"")</f>
        <v/>
      </c>
      <c r="AN392" t="str">
        <f>IF(IFERROR(MATCH($B392,temp!J$4:J$13,0),0)&gt;0,T08_Spells!AN$2,"")</f>
        <v/>
      </c>
      <c r="AO392" t="str">
        <f>IF(IFERROR(MATCH($B392,temp!K$4:K$13,0),0)&gt;0,T08_Spells!AO$2,"")</f>
        <v/>
      </c>
      <c r="AP392" t="str">
        <f>IF(IFERROR(MATCH($B392,temp!L$4:L$13,0),0)&gt;0,T08_Spells!AP$2,"")</f>
        <v/>
      </c>
      <c r="AQ392" t="str">
        <f>IF(IFERROR(MATCH($B392,temp!M$4:M$13,0),0)&gt;0,T08_Spells!AQ$2,"")</f>
        <v/>
      </c>
      <c r="AR392" t="str">
        <f>IF(IFERROR(MATCH($B392,temp!N$4:N$13,0),0)&gt;0,T08_Spells!AR$2,"")</f>
        <v/>
      </c>
      <c r="AS392" t="str">
        <f>IF(IFERROR(MATCH($B392,temp!O$4:O$13,0),0)&gt;0,T08_Spells!AS$2,"")</f>
        <v/>
      </c>
      <c r="AT392" t="str">
        <f>IF(IFERROR(MATCH($B392,temp!P$4:P$13,0),0)&gt;0,T08_Spells!AT$2,"")</f>
        <v/>
      </c>
      <c r="AU392" t="str">
        <f>IF(IFERROR(MATCH($B392,temp!Q$4:Q$13,0),0)&gt;0,T08_Spells!AU$2,"")</f>
        <v/>
      </c>
      <c r="AV392" t="str">
        <f>IF(IFERROR(MATCH($B392,temp!R$4:R$13,0),0)&gt;0,T08_Spells!AV$2,"")</f>
        <v/>
      </c>
      <c r="AW392" t="str">
        <f>IF(IFERROR(MATCH($B392,temp!S$4:S$13,0),0)&gt;0,T08_Spells!AW$2,"")</f>
        <v/>
      </c>
      <c r="AX392" t="str">
        <f>IF(IFERROR(MATCH($B392,temp!T$4:T$13,0),0)&gt;0,T08_Spells!AX$2,"")</f>
        <v/>
      </c>
      <c r="AY392" t="str">
        <f>IF(IFERROR(MATCH($B392,temp!U$4:U$13,0),0)&gt;0,T08_Spells!AY$2,"")</f>
        <v/>
      </c>
      <c r="AZ392" t="str">
        <f>IF(IFERROR(MATCH($B392,temp!V$4:V$13,0),0)&gt;0,T08_Spells!AZ$2,"")</f>
        <v/>
      </c>
      <c r="BA392" t="str">
        <f>IF(IFERROR(MATCH($B392,temp!W$4:W$13,0),0)&gt;0,T08_Spells!BA$2,"")</f>
        <v/>
      </c>
      <c r="BC392">
        <f>IF(IFERROR(SEARCH("Ranger",$T392,1),0)&gt;0,1,0)*IF(RangerMaxSpellLevel&gt;=$C392,1,0)*IF(IFERROR(MATCH(B392,Character_Creation!$X$79:$X$382,0),0)&gt;0,0,1)</f>
        <v>0</v>
      </c>
      <c r="BD392">
        <f>IF(BC392=0,0,1+COUNTIF(BD$3:BD391,"&gt;0"))</f>
        <v>0</v>
      </c>
      <c r="BE392" t="str">
        <f t="shared" si="370"/>
        <v/>
      </c>
      <c r="BF392" t="str">
        <f t="shared" si="342"/>
        <v/>
      </c>
      <c r="BH392">
        <f>IF(IFERROR(SEARCH("Sorcerer",$T392,1),0)&gt;0,1,0)*IF(SorcererMaxSpellLevel&gt;=$C392,1,0)*IF(IFERROR(MATCH(B392,Character_Creation!$J$380:$J$394,0),0)&gt;0,0,1)</f>
        <v>0</v>
      </c>
      <c r="BI392">
        <f>IF(BH392=0,0,1+COUNTIF(BI$3:BI391,"&gt;0"))</f>
        <v>0</v>
      </c>
      <c r="BJ392" t="str">
        <f t="shared" si="371"/>
        <v/>
      </c>
      <c r="BK392" t="str">
        <f t="shared" si="343"/>
        <v/>
      </c>
      <c r="BM392">
        <f>IF(OR(IFERROR(SEARCH("Warlock",$T392,1),0)&gt;0,IFERROR(SEARCH(WarlockPatron,$T392,1),0)&gt;0),1,0)*IF(WarlockMaxSpellLevel&gt;=$C392,1,0)*IF(IFERROR(MATCH(B392,Character_Creation!$J$361:$J$375,0),0)&gt;0,0,1)</f>
        <v>0</v>
      </c>
      <c r="BN392">
        <f>IF(BM392=0,0,1+COUNTIF(BN$3:BN391,"&gt;0"))</f>
        <v>0</v>
      </c>
      <c r="BO392" t="str">
        <f t="shared" si="372"/>
        <v/>
      </c>
      <c r="BP392" t="str">
        <f t="shared" si="344"/>
        <v/>
      </c>
      <c r="BR392">
        <f>IF(IFERROR(SEARCH("Eldritch Knight",$T392,1),0)&gt;0,1,0)*IF(EldritchKnightMaxSpellLevel&gt;=$C392,1,0)*IF(IFERROR(MATCH($B392,Character_Creation!$J$350:$J$356,0),0)&gt;0,0,1)*IF(Character_Creation!$M$338&gt;0,1,0)</f>
        <v>0</v>
      </c>
      <c r="BS392">
        <f>IF(BR392=0,0,1+COUNTIF(BS$3:BS391,"&gt;0"))</f>
        <v>0</v>
      </c>
      <c r="BT392" t="str">
        <f t="shared" si="373"/>
        <v/>
      </c>
      <c r="BU392" t="str">
        <f t="shared" si="345"/>
        <v/>
      </c>
      <c r="BW392">
        <f>IF(IFERROR(SEARCH("Arcane Trickster",$T392,1),0)&gt;0,1,0)*IF(ArcaneTricksterMaxSpellLevel&gt;=$C392,1,0)*IF(IFERROR(MATCH($B392,Character_Creation!$J$350:$J$356,0),0)&gt;0,0,1)*IF(Character_Creation!$T$338&gt;0,1,0)</f>
        <v>0</v>
      </c>
      <c r="BX392">
        <f>IF(BW392=0,0,1+COUNTIF(BX$3:BX391,"&gt;0"))</f>
        <v>0</v>
      </c>
      <c r="BY392" t="str">
        <f t="shared" si="374"/>
        <v/>
      </c>
      <c r="BZ392" t="str">
        <f t="shared" si="346"/>
        <v/>
      </c>
      <c r="CB392">
        <f>IF(IFERROR(SEARCH("Wizard",$T392,1),0)&gt;0,1,0)*IF(C392&lt;=ArcaneTricksterMaxSpellLevel,1,0)*IF(IFERROR(MATCH($B392,Character_Creation!$J$350:$J$356,0),0)&gt;0,0,1)*IF(Character_Creation!$T$350&gt;0,1,0)</f>
        <v>0</v>
      </c>
      <c r="CC392">
        <f>IF(CB392=0,0,1+COUNTIF(CC$3:CC391,"&gt;0"))</f>
        <v>0</v>
      </c>
      <c r="CD392" t="str">
        <f t="shared" si="375"/>
        <v/>
      </c>
      <c r="CE392" t="str">
        <f t="shared" si="347"/>
        <v/>
      </c>
      <c r="CG392">
        <f>IF(IFERROR(SEARCH("Wizard",$T392,1),0)&gt;0,1,0)*IF($C392&lt;=EldritchKnightMaxSpellLevel,1,0)*IF(IFERROR(MATCH($B392,Character_Creation!$J$350:$J$356,0),0)&gt;0,0,1)*IF(Character_Creation!$M$350&gt;0,1,0)</f>
        <v>0</v>
      </c>
      <c r="CH392">
        <f>IF(CG392=0,0,1+COUNTIF(CH$3:CH391,"&gt;0"))</f>
        <v>0</v>
      </c>
      <c r="CI392" t="str">
        <f t="shared" si="376"/>
        <v/>
      </c>
      <c r="CJ392" t="str">
        <f t="shared" si="348"/>
        <v/>
      </c>
      <c r="CL392">
        <f>IF(IFERROR(SEARCH("Bard",$T392,1),0)&gt;0,1,0)*IF(BardMaxSpellLevel&gt;=$C392,1,0)*IF(IFERROR(MATCH(B392,Character_Creation!$C$341:$F$362,0),0)&gt;0,0,1)*IF(IFERROR(MATCH($B392,Character_Creation!$C$341:$C$362,0),0)&gt;0,0,1)</f>
        <v>0</v>
      </c>
      <c r="CM392">
        <f>IF(CL392=0,0,1+COUNTIF(CM$3:CM391,"&gt;0"))</f>
        <v>0</v>
      </c>
      <c r="CN392" t="str">
        <f t="shared" si="377"/>
        <v/>
      </c>
      <c r="CO392" t="str">
        <f t="shared" si="349"/>
        <v/>
      </c>
      <c r="CQ392">
        <f>IF(IFERROR(SEARCH("Wizard",$T392,1),0)&gt;0,1,0)*IF(WizardMaxSpellLevel&gt;=$C392,1,0)*IF(IFERROR(MATCH(B392,Character_Creation!$X$341:$X$400,0),0)&gt;0,0,1)*IF(SelectedWizardSpellLevel=$C392,1,0)</f>
        <v>0</v>
      </c>
      <c r="CR392">
        <f>IF(CQ392=0,0,1+COUNTIF(CR$3:CR391,"&gt;0"))</f>
        <v>0</v>
      </c>
      <c r="CS392" t="str">
        <f t="shared" si="378"/>
        <v/>
      </c>
      <c r="CT392" t="str">
        <f t="shared" si="350"/>
        <v/>
      </c>
      <c r="CV392">
        <f>IF(IFERROR(MATCH($B392,Character_Creation!$C$341:$C$362,0),0)&gt;0,0,1)*IF(OR(C392="Cantrip",C392&lt;=BardMaxSpellLevel),1,0)*IF(IFERROR(MATCH($B392,Character_Creation!$C$367:$C$374,0),0)&gt;0,0,1)</f>
        <v>1</v>
      </c>
      <c r="CW392">
        <f>IF(CV392=0,0,1+COUNTIF(CW$3:CW391,"&gt;0"))</f>
        <v>33</v>
      </c>
      <c r="CX392" t="str">
        <f t="shared" si="379"/>
        <v/>
      </c>
      <c r="CY392" t="str">
        <f t="shared" si="351"/>
        <v/>
      </c>
      <c r="DA392">
        <f>IF(IF(OR(IFERROR(SEARCH("Cleric",$T392,1),0)&gt;0,IFERROR(SEARCH(DivineDomain&amp;",",$T392,1),0)&gt;0),1,0)*IF($C392=DA$2,1,0)=1,1+COUNTIF(DA$3:DA391,"&gt;0"),0)</f>
        <v>0</v>
      </c>
      <c r="DB392">
        <f>IF(IF(OR(IFERROR(SEARCH("Cleric",$T392,1),0)&gt;0,IFERROR(SEARCH(DivineDomain&amp;",",$T392,1),0)&gt;0),1,0)*IF($C392=DB$2,1,0)=1,1+COUNTIF(DB$3:DB391,"&gt;0"),0)</f>
        <v>0</v>
      </c>
      <c r="DC392">
        <f>IF(IF(OR(IFERROR(SEARCH("Cleric",$T392,1),0)&gt;0,IFERROR(SEARCH(DivineDomain&amp;",",$T392,1),0)&gt;0),1,0)*IF($C392=DC$2,1,0)=1,1+COUNTIF(DC$3:DC391,"&gt;0"),0)</f>
        <v>0</v>
      </c>
      <c r="DD392">
        <f>IF(IF(OR(IFERROR(SEARCH("Cleric",$T392,1),0)&gt;0,IFERROR(SEARCH(DivineDomain&amp;",",$T392,1),0)&gt;0),1,0)*IF($C392=DD$2,1,0)=1,1+COUNTIF(DD$3:DD391,"&gt;0"),0)</f>
        <v>0</v>
      </c>
      <c r="DE392">
        <f>IF(IF(OR(IFERROR(SEARCH("Cleric",$T392,1),0)&gt;0,IFERROR(SEARCH(DivineDomain&amp;",",$T392,1),0)&gt;0),1,0)*IF($C392=DE$2,1,0)=1,1+COUNTIF(DE$3:DE391,"&gt;0"),0)</f>
        <v>0</v>
      </c>
      <c r="DF392">
        <f>IF(IF(OR(IFERROR(SEARCH("Cleric",$T392,1),0)&gt;0,IFERROR(SEARCH(DivineDomain&amp;",",$T392,1),0)&gt;0),1,0)*IF($C392=DF$2,1,0)=1,1+COUNTIF(DF$3:DF391,"&gt;0"),0)</f>
        <v>0</v>
      </c>
      <c r="DG392">
        <f>IF(IF(OR(IFERROR(SEARCH("Cleric",$T392,1),0)&gt;0,IFERROR(SEARCH(DivineDomain&amp;",",$T392,1),0)&gt;0),1,0)*IF($C392=DG$2,1,0)=1,1+COUNTIF(DG$3:DG391,"&gt;0"),0)</f>
        <v>0</v>
      </c>
      <c r="DH392">
        <f>IF(IF(OR(IFERROR(SEARCH("Cleric",$T392,1),0)&gt;0,IFERROR(SEARCH(DivineDomain&amp;",",$T392,1),0)&gt;0),1,0)*IF($C392=DH$2,1,0)=1,1+COUNTIF(DH$3:DH391,"&gt;0"),0)</f>
        <v>0</v>
      </c>
      <c r="DI392">
        <f>IF(IF(OR(IFERROR(SEARCH("Cleric",$T392,1),0)&gt;0,IFERROR(SEARCH(DivineDomain&amp;",",$T392,1),0)&gt;0),1,0)*IF($C392=DI$2,1,0)=1,1+COUNTIF(DI$3:DI391,"&gt;0"),0)</f>
        <v>0</v>
      </c>
      <c r="DJ392">
        <f>IF(IF(OR(IFERROR(SEARCH("Druid",$T392,1),0)&gt;0,IFERROR(SEARCH(DruidLand1,$T392,1),0)&gt;0,IFERROR(SEARCH(DruidLand2,$T392,1),0)&gt;0,IFERROR(SEARCH(DruidLand3,$T392,1),0)&gt;0,IFERROR(SEARCH(DruidLand4,$T392,1),0)&gt;0),1,0)*IF($C392=1,1,0)*IF($C392=DJ$2,1,0)=0,0,1+COUNTIF(DJ$3:DJ391,"&gt;0"))</f>
        <v>0</v>
      </c>
      <c r="DK392">
        <f>IF(IF(OR(IFERROR(SEARCH("Druid",$T392,1),0)&gt;0,IFERROR(SEARCH(DruidLand1,$T392,1),0)&gt;0,IFERROR(SEARCH(DruidLand2,$T392,1),0)&gt;0,IFERROR(SEARCH(DruidLand3,$T392,1),0)&gt;0,IFERROR(SEARCH(DruidLand4,$T392,1),0)&gt;0),1,0)*IF($C392=DK$2,1,0)=0,0,1+COUNTIF(DK$3:DK391,"&gt;0"))</f>
        <v>0</v>
      </c>
      <c r="DL392">
        <f>IF(IF(OR(IFERROR(SEARCH("Druid",$T392,1),0)&gt;0,IFERROR(SEARCH(DruidLand1,$T392,1),0)&gt;0,IFERROR(SEARCH(DruidLand2,$T392,1),0)&gt;0,IFERROR(SEARCH(DruidLand3,$T392,1),0)&gt;0,IFERROR(SEARCH(DruidLand4,$T392,1),0)&gt;0),1,0)*IF($C392=DL$2,1,0)=0,0,1+COUNTIF(DL$3:DL391,"&gt;0"))</f>
        <v>0</v>
      </c>
      <c r="DM392">
        <f>IF(IF(OR(IFERROR(SEARCH("Druid",$T392,1),0)&gt;0,IFERROR(SEARCH(DruidLand1,$T392,1),0)&gt;0,IFERROR(SEARCH(DruidLand2,$T392,1),0)&gt;0,IFERROR(SEARCH(DruidLand3,$T392,1),0)&gt;0,IFERROR(SEARCH(DruidLand4,$T392,1),0)&gt;0),1,0)*IF($C392=DM$2,1,0)=0,0,1+COUNTIF(DM$3:DM391,"&gt;0"))</f>
        <v>0</v>
      </c>
      <c r="DN392">
        <f>IF(IF(OR(IFERROR(SEARCH("Druid",$T392,1),0)&gt;0,IFERROR(SEARCH(DruidLand1,$T392,1),0)&gt;0,IFERROR(SEARCH(DruidLand2,$T392,1),0)&gt;0,IFERROR(SEARCH(DruidLand3,$T392,1),0)&gt;0,IFERROR(SEARCH(DruidLand4,$T392,1),0)&gt;0),1,0)*IF($C392=DN$2,1,0)=0,0,1+COUNTIF(DN$3:DN391,"&gt;0"))</f>
        <v>0</v>
      </c>
      <c r="DO392">
        <f>IF(IF(OR(IFERROR(SEARCH("Druid",$T392,1),0)&gt;0,IFERROR(SEARCH(DruidLand1,$T392,1),0)&gt;0,IFERROR(SEARCH(DruidLand2,$T392,1),0)&gt;0,IFERROR(SEARCH(DruidLand3,$T392,1),0)&gt;0,IFERROR(SEARCH(DruidLand4,$T392,1),0)&gt;0),1,0)*IF($C392=DO$2,1,0)=0,0,1+COUNTIF(DO$3:DO391,"&gt;0"))</f>
        <v>0</v>
      </c>
      <c r="DP392">
        <f>IF(IF(OR(IFERROR(SEARCH("Druid",$T392,1),0)&gt;0,IFERROR(SEARCH(DruidLand1,$T392,1),0)&gt;0,IFERROR(SEARCH(DruidLand2,$T392,1),0)&gt;0,IFERROR(SEARCH(DruidLand3,$T392,1),0)&gt;0,IFERROR(SEARCH(DruidLand4,$T392,1),0)&gt;0),1,0)*IF($C392=DP$2,1,0)=0,0,1+COUNTIF(DP$3:DP391,"&gt;0"))</f>
        <v>0</v>
      </c>
      <c r="DQ392">
        <f>IF(IF(OR(IFERROR(SEARCH("Druid",$T392,1),0)&gt;0,IFERROR(SEARCH(DruidLand1,$T392,1),0)&gt;0,IFERROR(SEARCH(DruidLand2,$T392,1),0)&gt;0,IFERROR(SEARCH(DruidLand3,$T392,1),0)&gt;0,IFERROR(SEARCH(DruidLand4,$T392,1),0)&gt;0),1,0)*IF($C392=DQ$2,1,0)=0,0,1+COUNTIF(DQ$3:DQ391,"&gt;0"))</f>
        <v>0</v>
      </c>
      <c r="DR392">
        <f>IF(IF(OR(IFERROR(SEARCH("Druid",$T392,1),0)&gt;0,IFERROR(SEARCH(DruidLand1,$T392,1),0)&gt;0,IFERROR(SEARCH(DruidLand2,$T392,1),0)&gt;0,IFERROR(SEARCH(DruidLand3,$T392,1),0)&gt;0,IFERROR(SEARCH(DruidLand4,$T392,1),0)&gt;0),1,0)*IF($C392=DR$2,1,0)=0,0,1+COUNTIF(DR$3:DR391,"&gt;0"))</f>
        <v>0</v>
      </c>
      <c r="DS392">
        <f>IF(IF(OR(IFERROR(SEARCH("Paladin",$T392,1),0)&gt;0,IFERROR(SEARCH(PaladinOath,$T392,1),0)&gt;0),1,0)*IF($C392=DS$2,1,0)=1,1+COUNTIF(DS$3:DS391,"&gt;0"),0)</f>
        <v>0</v>
      </c>
      <c r="DT392">
        <f>IF(IF(OR(IFERROR(SEARCH("Paladin",$T392,1),0)&gt;0,IFERROR(SEARCH(PaladinOath,$T392,1),0)&gt;0),1,0)*IF($C392=DT$2,1,0)=1,1+COUNTIF(DT$3:DT391,"&gt;0"),0)</f>
        <v>0</v>
      </c>
      <c r="DU392">
        <f>IF(IF(OR(IFERROR(SEARCH("Paladin",$T392,1),0)&gt;0,IFERROR(SEARCH(PaladinOath,$T392,1),0)&gt;0),1,0)*IF($C392=DU$2,1,0)=1,1+COUNTIF(DU$3:DU391,"&gt;0"),0)</f>
        <v>0</v>
      </c>
      <c r="DV392">
        <f>IF(IF(OR(IFERROR(SEARCH("Paladin",$T392,1),0)&gt;0,IFERROR(SEARCH(PaladinOath,$T392,1),0)&gt;0),1,0)*IF($C392=DV$2,1,0)=1,1+COUNTIF(DV$3:DV391,"&gt;0"),0)</f>
        <v>0</v>
      </c>
      <c r="DW392">
        <f>IF(IF(OR(IFERROR(SEARCH("Paladin",$T392,1),0)&gt;0,IFERROR(SEARCH(PaladinOath,$T392,1),0)&gt;0),1,0)*IF($C392=DW$2,1,0)=1,1+COUNTIF(DW$3:DW391,"&gt;0"),0)</f>
        <v>0</v>
      </c>
      <c r="DY392">
        <f t="shared" si="338"/>
        <v>1</v>
      </c>
      <c r="DZ392">
        <f>IF(DY392=0,0,1+MAX(DZ$3:$DZ391))</f>
        <v>390</v>
      </c>
      <c r="EB392">
        <f t="shared" si="352"/>
        <v>0</v>
      </c>
      <c r="EC392">
        <f>IF(EB392=0,0,1+COUNTIF(EC$3:EC391,"&gt;0"))</f>
        <v>0</v>
      </c>
      <c r="ED392" t="str">
        <f t="shared" si="380"/>
        <v/>
      </c>
      <c r="EE392" t="str">
        <f t="shared" si="353"/>
        <v/>
      </c>
      <c r="EG392">
        <f t="shared" si="354"/>
        <v>0</v>
      </c>
      <c r="EH392">
        <f>IF(EG392=0,0,1+COUNTIF(EH$3:EH391,"&gt;0"))</f>
        <v>0</v>
      </c>
      <c r="EI392" t="str">
        <f t="shared" si="381"/>
        <v/>
      </c>
      <c r="EJ392" t="str">
        <f t="shared" si="355"/>
        <v/>
      </c>
      <c r="EL392">
        <f t="shared" si="356"/>
        <v>1</v>
      </c>
      <c r="EM392">
        <f>IF(EL392=0,0,1+COUNTIF(EM$3:EM391,"&gt;0"))</f>
        <v>14</v>
      </c>
      <c r="EN392" t="str">
        <f t="shared" si="382"/>
        <v/>
      </c>
      <c r="EO392" t="str">
        <f t="shared" si="357"/>
        <v/>
      </c>
      <c r="EQ392">
        <f t="shared" si="358"/>
        <v>0</v>
      </c>
      <c r="ER392">
        <f>IF(EQ392=0,0,1+COUNTIF(ER$3:ER391,"&gt;0"))</f>
        <v>0</v>
      </c>
      <c r="ES392" t="str">
        <f t="shared" si="383"/>
        <v/>
      </c>
      <c r="ET392" t="str">
        <f t="shared" si="359"/>
        <v/>
      </c>
      <c r="EV392">
        <f t="shared" si="360"/>
        <v>0</v>
      </c>
      <c r="EW392">
        <f>IF(EV392=0,0,1+COUNTIF(EW$3:EW391,"&gt;0"))</f>
        <v>0</v>
      </c>
      <c r="EX392" t="str">
        <f t="shared" si="384"/>
        <v/>
      </c>
      <c r="EY392" t="str">
        <f t="shared" si="361"/>
        <v/>
      </c>
      <c r="FA392">
        <f t="shared" si="362"/>
        <v>1</v>
      </c>
      <c r="FB392">
        <f>IF(FA392=0,0,1+COUNTIF(FB$3:FB391,"&gt;0"))</f>
        <v>21</v>
      </c>
      <c r="FC392" t="str">
        <f t="shared" si="385"/>
        <v/>
      </c>
      <c r="FD392" t="str">
        <f t="shared" si="363"/>
        <v/>
      </c>
      <c r="FF392">
        <f t="shared" si="364"/>
        <v>0</v>
      </c>
      <c r="FG392">
        <f>IF(FF392=0,0,1+COUNTIF(FG$3:FG391,"&gt;0"))</f>
        <v>0</v>
      </c>
      <c r="FH392" t="str">
        <f t="shared" si="386"/>
        <v/>
      </c>
      <c r="FI392" t="str">
        <f t="shared" si="365"/>
        <v/>
      </c>
      <c r="FK392">
        <f t="shared" si="366"/>
        <v>1</v>
      </c>
      <c r="FL392">
        <f>IF(FK392=0,0,1+COUNTIF(FL$3:FL391,"&gt;0"))</f>
        <v>21</v>
      </c>
      <c r="FM392" t="str">
        <f t="shared" si="387"/>
        <v/>
      </c>
      <c r="FN392" t="str">
        <f t="shared" si="367"/>
        <v/>
      </c>
      <c r="FP392">
        <f t="shared" si="368"/>
        <v>0</v>
      </c>
      <c r="FQ392">
        <f>IF(FP392=0,0,1+COUNTIF(FQ$3:FQ391,"&gt;0"))</f>
        <v>0</v>
      </c>
      <c r="FR392" t="str">
        <f t="shared" si="388"/>
        <v/>
      </c>
      <c r="FS392" t="str">
        <f t="shared" si="369"/>
        <v/>
      </c>
    </row>
    <row r="393" spans="1:175" x14ac:dyDescent="0.25">
      <c r="A393" s="347">
        <f t="shared" si="331"/>
        <v>391</v>
      </c>
      <c r="B393" s="398" t="s">
        <v>5560</v>
      </c>
      <c r="C393" s="348">
        <v>6</v>
      </c>
      <c r="D393" s="347">
        <v>6</v>
      </c>
      <c r="E393" s="627" t="s">
        <v>6957</v>
      </c>
      <c r="F393" s="346"/>
      <c r="G393" s="347" t="str">
        <f>""</f>
        <v/>
      </c>
      <c r="H393" s="347" t="s">
        <v>5912</v>
      </c>
      <c r="I393" s="347" t="s">
        <v>2353</v>
      </c>
      <c r="J393" s="347" t="str">
        <f t="shared" si="339"/>
        <v/>
      </c>
      <c r="K393" s="347" t="s">
        <v>5291</v>
      </c>
      <c r="L393" s="611" t="str">
        <f t="shared" si="340"/>
        <v>V, S</v>
      </c>
      <c r="M393" s="347" t="s">
        <v>2373</v>
      </c>
      <c r="N393" s="347" t="s">
        <v>2387</v>
      </c>
      <c r="O393" s="347" t="s">
        <v>3034</v>
      </c>
      <c r="P393" s="346" t="str">
        <f>""</f>
        <v/>
      </c>
      <c r="Q393" s="347" t="s">
        <v>5270</v>
      </c>
      <c r="S393" s="346" t="s">
        <v>5895</v>
      </c>
      <c r="T393" s="346" t="str">
        <f t="shared" si="341"/>
        <v xml:space="preserve">Druid, </v>
      </c>
      <c r="AA393" s="347" t="str">
        <f>$B393</f>
        <v>Primordial Ward</v>
      </c>
      <c r="AE393" t="str">
        <f>IF(IFERROR(MATCH($B393,temp!A$4:A$13,0),0)&gt;0,T08_Spells!AE$2,"")</f>
        <v/>
      </c>
      <c r="AF393" t="str">
        <f>IF(IFERROR(MATCH($B393,temp!B$4:B$13,0),0)&gt;0,T08_Spells!AF$2,"")</f>
        <v/>
      </c>
      <c r="AG393" t="str">
        <f>IF(IFERROR(MATCH($B393,temp!C$4:C$13,0),0)&gt;0,T08_Spells!AG$2,"")</f>
        <v/>
      </c>
      <c r="AH393" t="str">
        <f>IF(IFERROR(MATCH($B393,temp!D$4:D$13,0),0)&gt;0,T08_Spells!AH$2,"")</f>
        <v/>
      </c>
      <c r="AI393" t="str">
        <f>IF(IFERROR(MATCH($B393,temp!E$4:E$13,0),0)&gt;0,T08_Spells!AI$2,"")</f>
        <v/>
      </c>
      <c r="AJ393" t="str">
        <f>IF(IFERROR(MATCH($B393,temp!F$4:F$13,0),0)&gt;0,T08_Spells!AJ$2,"")</f>
        <v/>
      </c>
      <c r="AK393" t="str">
        <f>IF(IFERROR(MATCH($B393,temp!G$4:G$13,0),0)&gt;0,T08_Spells!AK$2,"")</f>
        <v/>
      </c>
      <c r="AL393" t="str">
        <f>IF(IFERROR(MATCH($B393,temp!H$4:H$13,0),0)&gt;0,T08_Spells!AL$2,"")</f>
        <v/>
      </c>
      <c r="AM393" t="str">
        <f>IF(IFERROR(MATCH($B393,temp!I$4:I$13,0),0)&gt;0,T08_Spells!AM$2,"")</f>
        <v/>
      </c>
      <c r="AN393" t="str">
        <f>IF(IFERROR(MATCH($B393,temp!J$4:J$13,0),0)&gt;0,T08_Spells!AN$2,"")</f>
        <v/>
      </c>
      <c r="AO393" t="str">
        <f>IF(IFERROR(MATCH($B393,temp!K$4:K$13,0),0)&gt;0,T08_Spells!AO$2,"")</f>
        <v/>
      </c>
      <c r="AP393" t="str">
        <f>IF(IFERROR(MATCH($B393,temp!L$4:L$13,0),0)&gt;0,T08_Spells!AP$2,"")</f>
        <v/>
      </c>
      <c r="AQ393" t="str">
        <f>IF(IFERROR(MATCH($B393,temp!M$4:M$13,0),0)&gt;0,T08_Spells!AQ$2,"")</f>
        <v/>
      </c>
      <c r="AR393" t="str">
        <f>IF(IFERROR(MATCH($B393,temp!N$4:N$13,0),0)&gt;0,T08_Spells!AR$2,"")</f>
        <v/>
      </c>
      <c r="AS393" t="str">
        <f>IF(IFERROR(MATCH($B393,temp!O$4:O$13,0),0)&gt;0,T08_Spells!AS$2,"")</f>
        <v/>
      </c>
      <c r="AT393" t="str">
        <f>IF(IFERROR(MATCH($B393,temp!P$4:P$13,0),0)&gt;0,T08_Spells!AT$2,"")</f>
        <v/>
      </c>
      <c r="AU393" t="str">
        <f>IF(IFERROR(MATCH($B393,temp!Q$4:Q$13,0),0)&gt;0,T08_Spells!AU$2,"")</f>
        <v/>
      </c>
      <c r="AV393" t="str">
        <f>IF(IFERROR(MATCH($B393,temp!R$4:R$13,0),0)&gt;0,T08_Spells!AV$2,"")</f>
        <v/>
      </c>
      <c r="AW393" t="str">
        <f>IF(IFERROR(MATCH($B393,temp!S$4:S$13,0),0)&gt;0,T08_Spells!AW$2,"")</f>
        <v/>
      </c>
      <c r="AX393" t="str">
        <f>IF(IFERROR(MATCH($B393,temp!T$4:T$13,0),0)&gt;0,T08_Spells!AX$2,"")</f>
        <v/>
      </c>
      <c r="AY393" t="str">
        <f>IF(IFERROR(MATCH($B393,temp!U$4:U$13,0),0)&gt;0,T08_Spells!AY$2,"")</f>
        <v/>
      </c>
      <c r="AZ393" t="str">
        <f>IF(IFERROR(MATCH($B393,temp!V$4:V$13,0),0)&gt;0,T08_Spells!AZ$2,"")</f>
        <v/>
      </c>
      <c r="BA393" t="str">
        <f>IF(IFERROR(MATCH($B393,temp!W$4:W$13,0),0)&gt;0,T08_Spells!BA$2,"")</f>
        <v/>
      </c>
      <c r="BC393">
        <f>IF(IFERROR(SEARCH("Ranger",$T393,1),0)&gt;0,1,0)*IF(RangerMaxSpellLevel&gt;=$C393,1,0)*IF(IFERROR(MATCH(B393,Character_Creation!$X$79:$X$382,0),0)&gt;0,0,1)</f>
        <v>0</v>
      </c>
      <c r="BD393">
        <f>IF(BC393=0,0,1+COUNTIF(BD$3:BD392,"&gt;0"))</f>
        <v>0</v>
      </c>
      <c r="BE393" t="str">
        <f t="shared" si="370"/>
        <v/>
      </c>
      <c r="BF393" t="str">
        <f t="shared" si="342"/>
        <v/>
      </c>
      <c r="BH393">
        <f>IF(IFERROR(SEARCH("Sorcerer",$T393,1),0)&gt;0,1,0)*IF(SorcererMaxSpellLevel&gt;=$C393,1,0)*IF(IFERROR(MATCH(B393,Character_Creation!$J$380:$J$394,0),0)&gt;0,0,1)</f>
        <v>0</v>
      </c>
      <c r="BI393">
        <f>IF(BH393=0,0,1+COUNTIF(BI$3:BI392,"&gt;0"))</f>
        <v>0</v>
      </c>
      <c r="BJ393" t="str">
        <f t="shared" si="371"/>
        <v/>
      </c>
      <c r="BK393" t="str">
        <f t="shared" si="343"/>
        <v/>
      </c>
      <c r="BM393">
        <f>IF(OR(IFERROR(SEARCH("Warlock",$T393,1),0)&gt;0,IFERROR(SEARCH(WarlockPatron,$T393,1),0)&gt;0),1,0)*IF(WarlockMaxSpellLevel&gt;=$C393,1,0)*IF(IFERROR(MATCH(B393,Character_Creation!$J$361:$J$375,0),0)&gt;0,0,1)</f>
        <v>0</v>
      </c>
      <c r="BN393">
        <f>IF(BM393=0,0,1+COUNTIF(BN$3:BN392,"&gt;0"))</f>
        <v>0</v>
      </c>
      <c r="BO393" t="str">
        <f t="shared" si="372"/>
        <v/>
      </c>
      <c r="BP393" t="str">
        <f t="shared" si="344"/>
        <v/>
      </c>
      <c r="BR393">
        <f>IF(IFERROR(SEARCH("Eldritch Knight",$T393,1),0)&gt;0,1,0)*IF(EldritchKnightMaxSpellLevel&gt;=$C393,1,0)*IF(IFERROR(MATCH($B393,Character_Creation!$J$350:$J$356,0),0)&gt;0,0,1)*IF(Character_Creation!$M$338&gt;0,1,0)</f>
        <v>0</v>
      </c>
      <c r="BS393">
        <f>IF(BR393=0,0,1+COUNTIF(BS$3:BS392,"&gt;0"))</f>
        <v>0</v>
      </c>
      <c r="BT393" t="str">
        <f t="shared" si="373"/>
        <v/>
      </c>
      <c r="BU393" t="str">
        <f t="shared" si="345"/>
        <v/>
      </c>
      <c r="BW393">
        <f>IF(IFERROR(SEARCH("Arcane Trickster",$T393,1),0)&gt;0,1,0)*IF(ArcaneTricksterMaxSpellLevel&gt;=$C393,1,0)*IF(IFERROR(MATCH($B393,Character_Creation!$J$350:$J$356,0),0)&gt;0,0,1)*IF(Character_Creation!$T$338&gt;0,1,0)</f>
        <v>0</v>
      </c>
      <c r="BX393">
        <f>IF(BW393=0,0,1+COUNTIF(BX$3:BX392,"&gt;0"))</f>
        <v>0</v>
      </c>
      <c r="BY393" t="str">
        <f t="shared" si="374"/>
        <v/>
      </c>
      <c r="BZ393" t="str">
        <f t="shared" si="346"/>
        <v/>
      </c>
      <c r="CB393">
        <f>IF(IFERROR(SEARCH("Wizard",$T393,1),0)&gt;0,1,0)*IF(C393&lt;=ArcaneTricksterMaxSpellLevel,1,0)*IF(IFERROR(MATCH($B393,Character_Creation!$J$350:$J$356,0),0)&gt;0,0,1)*IF(Character_Creation!$T$350&gt;0,1,0)</f>
        <v>0</v>
      </c>
      <c r="CC393">
        <f>IF(CB393=0,0,1+COUNTIF(CC$3:CC392,"&gt;0"))</f>
        <v>0</v>
      </c>
      <c r="CD393" t="str">
        <f t="shared" si="375"/>
        <v/>
      </c>
      <c r="CE393" t="str">
        <f t="shared" si="347"/>
        <v/>
      </c>
      <c r="CG393">
        <f>IF(IFERROR(SEARCH("Wizard",$T393,1),0)&gt;0,1,0)*IF($C393&lt;=EldritchKnightMaxSpellLevel,1,0)*IF(IFERROR(MATCH($B393,Character_Creation!$J$350:$J$356,0),0)&gt;0,0,1)*IF(Character_Creation!$M$350&gt;0,1,0)</f>
        <v>0</v>
      </c>
      <c r="CH393">
        <f>IF(CG393=0,0,1+COUNTIF(CH$3:CH392,"&gt;0"))</f>
        <v>0</v>
      </c>
      <c r="CI393" t="str">
        <f t="shared" si="376"/>
        <v/>
      </c>
      <c r="CJ393" t="str">
        <f t="shared" si="348"/>
        <v/>
      </c>
      <c r="CL393">
        <f>IF(IFERROR(SEARCH("Bard",$T393,1),0)&gt;0,1,0)*IF(BardMaxSpellLevel&gt;=$C393,1,0)*IF(IFERROR(MATCH(B393,Character_Creation!$C$341:$F$362,0),0)&gt;0,0,1)*IF(IFERROR(MATCH($B393,Character_Creation!$C$341:$C$362,0),0)&gt;0,0,1)</f>
        <v>0</v>
      </c>
      <c r="CM393">
        <f>IF(CL393=0,0,1+COUNTIF(CM$3:CM392,"&gt;0"))</f>
        <v>0</v>
      </c>
      <c r="CN393" t="str">
        <f t="shared" si="377"/>
        <v/>
      </c>
      <c r="CO393" t="str">
        <f t="shared" si="349"/>
        <v/>
      </c>
      <c r="CQ393">
        <f>IF(IFERROR(SEARCH("Wizard",$T393,1),0)&gt;0,1,0)*IF(WizardMaxSpellLevel&gt;=$C393,1,0)*IF(IFERROR(MATCH(B393,Character_Creation!$X$341:$X$400,0),0)&gt;0,0,1)*IF(SelectedWizardSpellLevel=$C393,1,0)</f>
        <v>0</v>
      </c>
      <c r="CR393">
        <f>IF(CQ393=0,0,1+COUNTIF(CR$3:CR392,"&gt;0"))</f>
        <v>0</v>
      </c>
      <c r="CS393" t="str">
        <f t="shared" si="378"/>
        <v/>
      </c>
      <c r="CT393" t="str">
        <f t="shared" si="350"/>
        <v/>
      </c>
      <c r="CV393">
        <f>IF(IFERROR(MATCH($B393,Character_Creation!$C$341:$C$362,0),0)&gt;0,0,1)*IF(OR(C393="Cantrip",C393&lt;=BardMaxSpellLevel),1,0)*IF(IFERROR(MATCH($B393,Character_Creation!$C$367:$C$374,0),0)&gt;0,0,1)</f>
        <v>0</v>
      </c>
      <c r="CW393">
        <f>IF(CV393=0,0,1+COUNTIF(CW$3:CW392,"&gt;0"))</f>
        <v>0</v>
      </c>
      <c r="CX393" t="str">
        <f t="shared" si="379"/>
        <v/>
      </c>
      <c r="CY393" t="str">
        <f t="shared" si="351"/>
        <v/>
      </c>
      <c r="DA393">
        <f>IF(IF(OR(IFERROR(SEARCH("Cleric",$T393,1),0)&gt;0,IFERROR(SEARCH(DivineDomain&amp;",",$T393,1),0)&gt;0),1,0)*IF($C393=DA$2,1,0)=1,1+COUNTIF(DA$3:DA392,"&gt;0"),0)</f>
        <v>0</v>
      </c>
      <c r="DB393">
        <f>IF(IF(OR(IFERROR(SEARCH("Cleric",$T393,1),0)&gt;0,IFERROR(SEARCH(DivineDomain&amp;",",$T393,1),0)&gt;0),1,0)*IF($C393=DB$2,1,0)=1,1+COUNTIF(DB$3:DB392,"&gt;0"),0)</f>
        <v>0</v>
      </c>
      <c r="DC393">
        <f>IF(IF(OR(IFERROR(SEARCH("Cleric",$T393,1),0)&gt;0,IFERROR(SEARCH(DivineDomain&amp;",",$T393,1),0)&gt;0),1,0)*IF($C393=DC$2,1,0)=1,1+COUNTIF(DC$3:DC392,"&gt;0"),0)</f>
        <v>0</v>
      </c>
      <c r="DD393">
        <f>IF(IF(OR(IFERROR(SEARCH("Cleric",$T393,1),0)&gt;0,IFERROR(SEARCH(DivineDomain&amp;",",$T393,1),0)&gt;0),1,0)*IF($C393=DD$2,1,0)=1,1+COUNTIF(DD$3:DD392,"&gt;0"),0)</f>
        <v>0</v>
      </c>
      <c r="DE393">
        <f>IF(IF(OR(IFERROR(SEARCH("Cleric",$T393,1),0)&gt;0,IFERROR(SEARCH(DivineDomain&amp;",",$T393,1),0)&gt;0),1,0)*IF($C393=DE$2,1,0)=1,1+COUNTIF(DE$3:DE392,"&gt;0"),0)</f>
        <v>0</v>
      </c>
      <c r="DF393">
        <f>IF(IF(OR(IFERROR(SEARCH("Cleric",$T393,1),0)&gt;0,IFERROR(SEARCH(DivineDomain&amp;",",$T393,1),0)&gt;0),1,0)*IF($C393=DF$2,1,0)=1,1+COUNTIF(DF$3:DF392,"&gt;0"),0)</f>
        <v>0</v>
      </c>
      <c r="DG393">
        <f>IF(IF(OR(IFERROR(SEARCH("Cleric",$T393,1),0)&gt;0,IFERROR(SEARCH(DivineDomain&amp;",",$T393,1),0)&gt;0),1,0)*IF($C393=DG$2,1,0)=1,1+COUNTIF(DG$3:DG392,"&gt;0"),0)</f>
        <v>0</v>
      </c>
      <c r="DH393">
        <f>IF(IF(OR(IFERROR(SEARCH("Cleric",$T393,1),0)&gt;0,IFERROR(SEARCH(DivineDomain&amp;",",$T393,1),0)&gt;0),1,0)*IF($C393=DH$2,1,0)=1,1+COUNTIF(DH$3:DH392,"&gt;0"),0)</f>
        <v>0</v>
      </c>
      <c r="DI393">
        <f>IF(IF(OR(IFERROR(SEARCH("Cleric",$T393,1),0)&gt;0,IFERROR(SEARCH(DivineDomain&amp;",",$T393,1),0)&gt;0),1,0)*IF($C393=DI$2,1,0)=1,1+COUNTIF(DI$3:DI392,"&gt;0"),0)</f>
        <v>0</v>
      </c>
      <c r="DJ393">
        <f>IF(IF(OR(IFERROR(SEARCH("Druid",$T393,1),0)&gt;0,IFERROR(SEARCH(DruidLand1,$T393,1),0)&gt;0,IFERROR(SEARCH(DruidLand2,$T393,1),0)&gt;0,IFERROR(SEARCH(DruidLand3,$T393,1),0)&gt;0,IFERROR(SEARCH(DruidLand4,$T393,1),0)&gt;0),1,0)*IF($C393=1,1,0)*IF($C393=DJ$2,1,0)=0,0,1+COUNTIF(DJ$3:DJ392,"&gt;0"))</f>
        <v>0</v>
      </c>
      <c r="DK393">
        <f>IF(IF(OR(IFERROR(SEARCH("Druid",$T393,1),0)&gt;0,IFERROR(SEARCH(DruidLand1,$T393,1),0)&gt;0,IFERROR(SEARCH(DruidLand2,$T393,1),0)&gt;0,IFERROR(SEARCH(DruidLand3,$T393,1),0)&gt;0,IFERROR(SEARCH(DruidLand4,$T393,1),0)&gt;0),1,0)*IF($C393=DK$2,1,0)=0,0,1+COUNTIF(DK$3:DK392,"&gt;0"))</f>
        <v>0</v>
      </c>
      <c r="DL393">
        <f>IF(IF(OR(IFERROR(SEARCH("Druid",$T393,1),0)&gt;0,IFERROR(SEARCH(DruidLand1,$T393,1),0)&gt;0,IFERROR(SEARCH(DruidLand2,$T393,1),0)&gt;0,IFERROR(SEARCH(DruidLand3,$T393,1),0)&gt;0,IFERROR(SEARCH(DruidLand4,$T393,1),0)&gt;0),1,0)*IF($C393=DL$2,1,0)=0,0,1+COUNTIF(DL$3:DL392,"&gt;0"))</f>
        <v>0</v>
      </c>
      <c r="DM393">
        <f>IF(IF(OR(IFERROR(SEARCH("Druid",$T393,1),0)&gt;0,IFERROR(SEARCH(DruidLand1,$T393,1),0)&gt;0,IFERROR(SEARCH(DruidLand2,$T393,1),0)&gt;0,IFERROR(SEARCH(DruidLand3,$T393,1),0)&gt;0,IFERROR(SEARCH(DruidLand4,$T393,1),0)&gt;0),1,0)*IF($C393=DM$2,1,0)=0,0,1+COUNTIF(DM$3:DM392,"&gt;0"))</f>
        <v>0</v>
      </c>
      <c r="DN393">
        <f>IF(IF(OR(IFERROR(SEARCH("Druid",$T393,1),0)&gt;0,IFERROR(SEARCH(DruidLand1,$T393,1),0)&gt;0,IFERROR(SEARCH(DruidLand2,$T393,1),0)&gt;0,IFERROR(SEARCH(DruidLand3,$T393,1),0)&gt;0,IFERROR(SEARCH(DruidLand4,$T393,1),0)&gt;0),1,0)*IF($C393=DN$2,1,0)=0,0,1+COUNTIF(DN$3:DN392,"&gt;0"))</f>
        <v>0</v>
      </c>
      <c r="DO393">
        <f>IF(IF(OR(IFERROR(SEARCH("Druid",$T393,1),0)&gt;0,IFERROR(SEARCH(DruidLand1,$T393,1),0)&gt;0,IFERROR(SEARCH(DruidLand2,$T393,1),0)&gt;0,IFERROR(SEARCH(DruidLand3,$T393,1),0)&gt;0,IFERROR(SEARCH(DruidLand4,$T393,1),0)&gt;0),1,0)*IF($C393=DO$2,1,0)=0,0,1+COUNTIF(DO$3:DO392,"&gt;0"))</f>
        <v>15</v>
      </c>
      <c r="DP393">
        <f>IF(IF(OR(IFERROR(SEARCH("Druid",$T393,1),0)&gt;0,IFERROR(SEARCH(DruidLand1,$T393,1),0)&gt;0,IFERROR(SEARCH(DruidLand2,$T393,1),0)&gt;0,IFERROR(SEARCH(DruidLand3,$T393,1),0)&gt;0,IFERROR(SEARCH(DruidLand4,$T393,1),0)&gt;0),1,0)*IF($C393=DP$2,1,0)=0,0,1+COUNTIF(DP$3:DP392,"&gt;0"))</f>
        <v>0</v>
      </c>
      <c r="DQ393">
        <f>IF(IF(OR(IFERROR(SEARCH("Druid",$T393,1),0)&gt;0,IFERROR(SEARCH(DruidLand1,$T393,1),0)&gt;0,IFERROR(SEARCH(DruidLand2,$T393,1),0)&gt;0,IFERROR(SEARCH(DruidLand3,$T393,1),0)&gt;0,IFERROR(SEARCH(DruidLand4,$T393,1),0)&gt;0),1,0)*IF($C393=DQ$2,1,0)=0,0,1+COUNTIF(DQ$3:DQ392,"&gt;0"))</f>
        <v>0</v>
      </c>
      <c r="DR393">
        <f>IF(IF(OR(IFERROR(SEARCH("Druid",$T393,1),0)&gt;0,IFERROR(SEARCH(DruidLand1,$T393,1),0)&gt;0,IFERROR(SEARCH(DruidLand2,$T393,1),0)&gt;0,IFERROR(SEARCH(DruidLand3,$T393,1),0)&gt;0,IFERROR(SEARCH(DruidLand4,$T393,1),0)&gt;0),1,0)*IF($C393=DR$2,1,0)=0,0,1+COUNTIF(DR$3:DR392,"&gt;0"))</f>
        <v>0</v>
      </c>
      <c r="DS393">
        <f>IF(IF(OR(IFERROR(SEARCH("Paladin",$T393,1),0)&gt;0,IFERROR(SEARCH(PaladinOath,$T393,1),0)&gt;0),1,0)*IF($C393=DS$2,1,0)=1,1+COUNTIF(DS$3:DS392,"&gt;0"),0)</f>
        <v>0</v>
      </c>
      <c r="DT393">
        <f>IF(IF(OR(IFERROR(SEARCH("Paladin",$T393,1),0)&gt;0,IFERROR(SEARCH(PaladinOath,$T393,1),0)&gt;0),1,0)*IF($C393=DT$2,1,0)=1,1+COUNTIF(DT$3:DT392,"&gt;0"),0)</f>
        <v>0</v>
      </c>
      <c r="DU393">
        <f>IF(IF(OR(IFERROR(SEARCH("Paladin",$T393,1),0)&gt;0,IFERROR(SEARCH(PaladinOath,$T393,1),0)&gt;0),1,0)*IF($C393=DU$2,1,0)=1,1+COUNTIF(DU$3:DU392,"&gt;0"),0)</f>
        <v>0</v>
      </c>
      <c r="DV393">
        <f>IF(IF(OR(IFERROR(SEARCH("Paladin",$T393,1),0)&gt;0,IFERROR(SEARCH(PaladinOath,$T393,1),0)&gt;0),1,0)*IF($C393=DV$2,1,0)=1,1+COUNTIF(DV$3:DV392,"&gt;0"),0)</f>
        <v>0</v>
      </c>
      <c r="DW393">
        <f>IF(IF(OR(IFERROR(SEARCH("Paladin",$T393,1),0)&gt;0,IFERROR(SEARCH(PaladinOath,$T393,1),0)&gt;0),1,0)*IF($C393=DW$2,1,0)=1,1+COUNTIF(DW$3:DW392,"&gt;0"),0)</f>
        <v>0</v>
      </c>
      <c r="DY393">
        <f t="shared" si="338"/>
        <v>1</v>
      </c>
      <c r="DZ393">
        <f>IF(DY393=0,0,1+MAX(DZ$3:$DZ392))</f>
        <v>391</v>
      </c>
      <c r="EB393">
        <f t="shared" si="352"/>
        <v>0</v>
      </c>
      <c r="EC393">
        <f>IF(EB393=0,0,1+COUNTIF(EC$3:EC392,"&gt;0"))</f>
        <v>0</v>
      </c>
      <c r="ED393" t="str">
        <f t="shared" si="380"/>
        <v/>
      </c>
      <c r="EE393" t="str">
        <f t="shared" si="353"/>
        <v/>
      </c>
      <c r="EG393">
        <f t="shared" si="354"/>
        <v>0</v>
      </c>
      <c r="EH393">
        <f>IF(EG393=0,0,1+COUNTIF(EH$3:EH392,"&gt;0"))</f>
        <v>0</v>
      </c>
      <c r="EI393" t="str">
        <f t="shared" si="381"/>
        <v/>
      </c>
      <c r="EJ393" t="str">
        <f t="shared" si="355"/>
        <v/>
      </c>
      <c r="EL393">
        <f t="shared" si="356"/>
        <v>0</v>
      </c>
      <c r="EM393">
        <f>IF(EL393=0,0,1+COUNTIF(EM$3:EM392,"&gt;0"))</f>
        <v>0</v>
      </c>
      <c r="EN393" t="str">
        <f t="shared" si="382"/>
        <v/>
      </c>
      <c r="EO393" t="str">
        <f t="shared" si="357"/>
        <v/>
      </c>
      <c r="EQ393">
        <f t="shared" si="358"/>
        <v>0</v>
      </c>
      <c r="ER393">
        <f>IF(EQ393=0,0,1+COUNTIF(ER$3:ER392,"&gt;0"))</f>
        <v>0</v>
      </c>
      <c r="ES393" t="str">
        <f t="shared" si="383"/>
        <v/>
      </c>
      <c r="ET393" t="str">
        <f t="shared" si="359"/>
        <v/>
      </c>
      <c r="EV393">
        <f t="shared" si="360"/>
        <v>0</v>
      </c>
      <c r="EW393">
        <f>IF(EV393=0,0,1+COUNTIF(EW$3:EW392,"&gt;0"))</f>
        <v>0</v>
      </c>
      <c r="EX393" t="str">
        <f t="shared" si="384"/>
        <v/>
      </c>
      <c r="EY393" t="str">
        <f t="shared" si="361"/>
        <v/>
      </c>
      <c r="FA393">
        <f t="shared" si="362"/>
        <v>0</v>
      </c>
      <c r="FB393">
        <f>IF(FA393=0,0,1+COUNTIF(FB$3:FB392,"&gt;0"))</f>
        <v>0</v>
      </c>
      <c r="FC393" t="str">
        <f t="shared" si="385"/>
        <v/>
      </c>
      <c r="FD393" t="str">
        <f t="shared" si="363"/>
        <v/>
      </c>
      <c r="FF393">
        <f t="shared" si="364"/>
        <v>0</v>
      </c>
      <c r="FG393">
        <f>IF(FF393=0,0,1+COUNTIF(FG$3:FG392,"&gt;0"))</f>
        <v>0</v>
      </c>
      <c r="FH393" t="str">
        <f t="shared" si="386"/>
        <v/>
      </c>
      <c r="FI393" t="str">
        <f t="shared" si="365"/>
        <v/>
      </c>
      <c r="FK393">
        <f t="shared" si="366"/>
        <v>0</v>
      </c>
      <c r="FL393">
        <f>IF(FK393=0,0,1+COUNTIF(FL$3:FL392,"&gt;0"))</f>
        <v>0</v>
      </c>
      <c r="FM393" t="str">
        <f t="shared" si="387"/>
        <v/>
      </c>
      <c r="FN393" t="str">
        <f t="shared" si="367"/>
        <v/>
      </c>
      <c r="FP393">
        <f t="shared" si="368"/>
        <v>0</v>
      </c>
      <c r="FQ393">
        <f>IF(FP393=0,0,1+COUNTIF(FQ$3:FQ392,"&gt;0"))</f>
        <v>0</v>
      </c>
      <c r="FR393" t="str">
        <f t="shared" si="388"/>
        <v/>
      </c>
      <c r="FS393" t="str">
        <f t="shared" si="369"/>
        <v/>
      </c>
    </row>
    <row r="394" spans="1:175" x14ac:dyDescent="0.25">
      <c r="A394" s="347">
        <f t="shared" si="331"/>
        <v>392</v>
      </c>
      <c r="B394" s="398" t="s">
        <v>5561</v>
      </c>
      <c r="C394" s="348">
        <v>2</v>
      </c>
      <c r="D394" s="347">
        <v>2</v>
      </c>
      <c r="E394" s="627" t="s">
        <v>6957</v>
      </c>
      <c r="F394" s="346"/>
      <c r="G394" s="347" t="str">
        <f>""</f>
        <v/>
      </c>
      <c r="H394" s="347" t="s">
        <v>5912</v>
      </c>
      <c r="I394" s="347" t="s">
        <v>424</v>
      </c>
      <c r="J394" s="347" t="str">
        <f t="shared" si="339"/>
        <v/>
      </c>
      <c r="K394" s="347" t="s">
        <v>5562</v>
      </c>
      <c r="L394" s="611" t="str">
        <f t="shared" si="340"/>
        <v>V, S</v>
      </c>
      <c r="M394" s="347" t="s">
        <v>2373</v>
      </c>
      <c r="N394" s="347" t="s">
        <v>2387</v>
      </c>
      <c r="O394" s="347" t="s">
        <v>3034</v>
      </c>
      <c r="P394" s="346" t="str">
        <f>""</f>
        <v/>
      </c>
      <c r="Q394" s="347" t="s">
        <v>5276</v>
      </c>
      <c r="S394" s="346" t="s">
        <v>5896</v>
      </c>
      <c r="T394" s="346" t="str">
        <f t="shared" si="341"/>
        <v xml:space="preserve">Bard, Sorcerer, Wizard, </v>
      </c>
      <c r="U394" s="347" t="str">
        <f>$B394</f>
        <v>Pyrotechnics</v>
      </c>
      <c r="X394" s="347" t="str">
        <f>$B394</f>
        <v>Pyrotechnics</v>
      </c>
      <c r="AD394" s="347" t="str">
        <f t="shared" ref="AD394:AD404" si="389">$B394</f>
        <v>Pyrotechnics</v>
      </c>
      <c r="AE394" t="str">
        <f>IF(IFERROR(MATCH($B394,temp!A$4:A$13,0),0)&gt;0,T08_Spells!AE$2,"")</f>
        <v/>
      </c>
      <c r="AF394" t="str">
        <f>IF(IFERROR(MATCH($B394,temp!B$4:B$13,0),0)&gt;0,T08_Spells!AF$2,"")</f>
        <v/>
      </c>
      <c r="AG394" t="str">
        <f>IF(IFERROR(MATCH($B394,temp!C$4:C$13,0),0)&gt;0,T08_Spells!AG$2,"")</f>
        <v/>
      </c>
      <c r="AH394" t="str">
        <f>IF(IFERROR(MATCH($B394,temp!D$4:D$13,0),0)&gt;0,T08_Spells!AH$2,"")</f>
        <v/>
      </c>
      <c r="AI394" t="str">
        <f>IF(IFERROR(MATCH($B394,temp!E$4:E$13,0),0)&gt;0,T08_Spells!AI$2,"")</f>
        <v/>
      </c>
      <c r="AJ394" t="str">
        <f>IF(IFERROR(MATCH($B394,temp!F$4:F$13,0),0)&gt;0,T08_Spells!AJ$2,"")</f>
        <v/>
      </c>
      <c r="AK394" t="str">
        <f>IF(IFERROR(MATCH($B394,temp!G$4:G$13,0),0)&gt;0,T08_Spells!AK$2,"")</f>
        <v/>
      </c>
      <c r="AL394" t="str">
        <f>IF(IFERROR(MATCH($B394,temp!H$4:H$13,0),0)&gt;0,T08_Spells!AL$2,"")</f>
        <v/>
      </c>
      <c r="AM394" t="str">
        <f>IF(IFERROR(MATCH($B394,temp!I$4:I$13,0),0)&gt;0,T08_Spells!AM$2,"")</f>
        <v/>
      </c>
      <c r="AN394" t="str">
        <f>IF(IFERROR(MATCH($B394,temp!J$4:J$13,0),0)&gt;0,T08_Spells!AN$2,"")</f>
        <v/>
      </c>
      <c r="AO394" t="str">
        <f>IF(IFERROR(MATCH($B394,temp!K$4:K$13,0),0)&gt;0,T08_Spells!AO$2,"")</f>
        <v/>
      </c>
      <c r="AP394" t="str">
        <f>IF(IFERROR(MATCH($B394,temp!L$4:L$13,0),0)&gt;0,T08_Spells!AP$2,"")</f>
        <v/>
      </c>
      <c r="AQ394" t="str">
        <f>IF(IFERROR(MATCH($B394,temp!M$4:M$13,0),0)&gt;0,T08_Spells!AQ$2,"")</f>
        <v/>
      </c>
      <c r="AR394" t="str">
        <f>IF(IFERROR(MATCH($B394,temp!N$4:N$13,0),0)&gt;0,T08_Spells!AR$2,"")</f>
        <v/>
      </c>
      <c r="AS394" t="str">
        <f>IF(IFERROR(MATCH($B394,temp!O$4:O$13,0),0)&gt;0,T08_Spells!AS$2,"")</f>
        <v/>
      </c>
      <c r="AT394" t="str">
        <f>IF(IFERROR(MATCH($B394,temp!P$4:P$13,0),0)&gt;0,T08_Spells!AT$2,"")</f>
        <v/>
      </c>
      <c r="AU394" t="str">
        <f>IF(IFERROR(MATCH($B394,temp!Q$4:Q$13,0),0)&gt;0,T08_Spells!AU$2,"")</f>
        <v/>
      </c>
      <c r="AV394" t="str">
        <f>IF(IFERROR(MATCH($B394,temp!R$4:R$13,0),0)&gt;0,T08_Spells!AV$2,"")</f>
        <v/>
      </c>
      <c r="AW394" t="str">
        <f>IF(IFERROR(MATCH($B394,temp!S$4:S$13,0),0)&gt;0,T08_Spells!AW$2,"")</f>
        <v/>
      </c>
      <c r="AX394" t="str">
        <f>IF(IFERROR(MATCH($B394,temp!T$4:T$13,0),0)&gt;0,T08_Spells!AX$2,"")</f>
        <v/>
      </c>
      <c r="AY394" t="str">
        <f>IF(IFERROR(MATCH($B394,temp!U$4:U$13,0),0)&gt;0,T08_Spells!AY$2,"")</f>
        <v/>
      </c>
      <c r="AZ394" t="str">
        <f>IF(IFERROR(MATCH($B394,temp!V$4:V$13,0),0)&gt;0,T08_Spells!AZ$2,"")</f>
        <v/>
      </c>
      <c r="BA394" t="str">
        <f>IF(IFERROR(MATCH($B394,temp!W$4:W$13,0),0)&gt;0,T08_Spells!BA$2,"")</f>
        <v/>
      </c>
      <c r="BC394">
        <f>IF(IFERROR(SEARCH("Ranger",$T394,1),0)&gt;0,1,0)*IF(RangerMaxSpellLevel&gt;=$C394,1,0)*IF(IFERROR(MATCH(B394,Character_Creation!$X$79:$X$382,0),0)&gt;0,0,1)</f>
        <v>0</v>
      </c>
      <c r="BD394">
        <f>IF(BC394=0,0,1+COUNTIF(BD$3:BD393,"&gt;0"))</f>
        <v>0</v>
      </c>
      <c r="BE394" t="str">
        <f t="shared" si="370"/>
        <v/>
      </c>
      <c r="BF394" t="str">
        <f t="shared" si="342"/>
        <v/>
      </c>
      <c r="BH394">
        <f>IF(IFERROR(SEARCH("Sorcerer",$T394,1),0)&gt;0,1,0)*IF(SorcererMaxSpellLevel&gt;=$C394,1,0)*IF(IFERROR(MATCH(B394,Character_Creation!$J$380:$J$394,0),0)&gt;0,0,1)</f>
        <v>0</v>
      </c>
      <c r="BI394">
        <f>IF(BH394=0,0,1+COUNTIF(BI$3:BI393,"&gt;0"))</f>
        <v>0</v>
      </c>
      <c r="BJ394" t="str">
        <f t="shared" si="371"/>
        <v/>
      </c>
      <c r="BK394" t="str">
        <f t="shared" si="343"/>
        <v/>
      </c>
      <c r="BM394">
        <f>IF(OR(IFERROR(SEARCH("Warlock",$T394,1),0)&gt;0,IFERROR(SEARCH(WarlockPatron,$T394,1),0)&gt;0),1,0)*IF(WarlockMaxSpellLevel&gt;=$C394,1,0)*IF(IFERROR(MATCH(B394,Character_Creation!$J$361:$J$375,0),0)&gt;0,0,1)</f>
        <v>0</v>
      </c>
      <c r="BN394">
        <f>IF(BM394=0,0,1+COUNTIF(BN$3:BN393,"&gt;0"))</f>
        <v>0</v>
      </c>
      <c r="BO394" t="str">
        <f t="shared" si="372"/>
        <v/>
      </c>
      <c r="BP394" t="str">
        <f t="shared" si="344"/>
        <v/>
      </c>
      <c r="BR394">
        <f>IF(IFERROR(SEARCH("Eldritch Knight",$T394,1),0)&gt;0,1,0)*IF(EldritchKnightMaxSpellLevel&gt;=$C394,1,0)*IF(IFERROR(MATCH($B394,Character_Creation!$J$350:$J$356,0),0)&gt;0,0,1)*IF(Character_Creation!$M$338&gt;0,1,0)</f>
        <v>0</v>
      </c>
      <c r="BS394">
        <f>IF(BR394=0,0,1+COUNTIF(BS$3:BS393,"&gt;0"))</f>
        <v>0</v>
      </c>
      <c r="BT394" t="str">
        <f t="shared" si="373"/>
        <v/>
      </c>
      <c r="BU394" t="str">
        <f t="shared" si="345"/>
        <v/>
      </c>
      <c r="BW394">
        <f>IF(IFERROR(SEARCH("Arcane Trickster",$T394,1),0)&gt;0,1,0)*IF(ArcaneTricksterMaxSpellLevel&gt;=$C394,1,0)*IF(IFERROR(MATCH($B394,Character_Creation!$J$350:$J$356,0),0)&gt;0,0,1)*IF(Character_Creation!$T$338&gt;0,1,0)</f>
        <v>0</v>
      </c>
      <c r="BX394">
        <f>IF(BW394=0,0,1+COUNTIF(BX$3:BX393,"&gt;0"))</f>
        <v>0</v>
      </c>
      <c r="BY394" t="str">
        <f t="shared" si="374"/>
        <v/>
      </c>
      <c r="BZ394" t="str">
        <f t="shared" si="346"/>
        <v/>
      </c>
      <c r="CB394">
        <f>IF(IFERROR(SEARCH("Wizard",$T394,1),0)&gt;0,1,0)*IF(C394&lt;=ArcaneTricksterMaxSpellLevel,1,0)*IF(IFERROR(MATCH($B394,Character_Creation!$J$350:$J$356,0),0)&gt;0,0,1)*IF(Character_Creation!$T$350&gt;0,1,0)</f>
        <v>0</v>
      </c>
      <c r="CC394">
        <f>IF(CB394=0,0,1+COUNTIF(CC$3:CC393,"&gt;0"))</f>
        <v>0</v>
      </c>
      <c r="CD394" t="str">
        <f t="shared" si="375"/>
        <v/>
      </c>
      <c r="CE394" t="str">
        <f t="shared" si="347"/>
        <v/>
      </c>
      <c r="CG394">
        <f>IF(IFERROR(SEARCH("Wizard",$T394,1),0)&gt;0,1,0)*IF($C394&lt;=EldritchKnightMaxSpellLevel,1,0)*IF(IFERROR(MATCH($B394,Character_Creation!$J$350:$J$356,0),0)&gt;0,0,1)*IF(Character_Creation!$M$350&gt;0,1,0)</f>
        <v>1</v>
      </c>
      <c r="CH394">
        <f>IF(CG394=0,0,1+COUNTIF(CH$3:CH393,"&gt;0"))</f>
        <v>71</v>
      </c>
      <c r="CI394" t="str">
        <f t="shared" si="376"/>
        <v/>
      </c>
      <c r="CJ394" t="str">
        <f t="shared" si="348"/>
        <v/>
      </c>
      <c r="CL394">
        <f>IF(IFERROR(SEARCH("Bard",$T394,1),0)&gt;0,1,0)*IF(BardMaxSpellLevel&gt;=$C394,1,0)*IF(IFERROR(MATCH(B394,Character_Creation!$C$341:$F$362,0),0)&gt;0,0,1)*IF(IFERROR(MATCH($B394,Character_Creation!$C$341:$C$362,0),0)&gt;0,0,1)</f>
        <v>0</v>
      </c>
      <c r="CM394">
        <f>IF(CL394=0,0,1+COUNTIF(CM$3:CM393,"&gt;0"))</f>
        <v>0</v>
      </c>
      <c r="CN394" t="str">
        <f t="shared" si="377"/>
        <v/>
      </c>
      <c r="CO394" t="str">
        <f t="shared" si="349"/>
        <v/>
      </c>
      <c r="CQ394">
        <f>IF(IFERROR(SEARCH("Wizard",$T394,1),0)&gt;0,1,0)*IF(WizardMaxSpellLevel&gt;=$C394,1,0)*IF(IFERROR(MATCH(B394,Character_Creation!$X$341:$X$400,0),0)&gt;0,0,1)*IF(SelectedWizardSpellLevel=$C394,1,0)</f>
        <v>0</v>
      </c>
      <c r="CR394">
        <f>IF(CQ394=0,0,1+COUNTIF(CR$3:CR393,"&gt;0"))</f>
        <v>0</v>
      </c>
      <c r="CS394" t="str">
        <f t="shared" si="378"/>
        <v/>
      </c>
      <c r="CT394" t="str">
        <f t="shared" si="350"/>
        <v/>
      </c>
      <c r="CV394">
        <f>IF(IFERROR(MATCH($B394,Character_Creation!$C$341:$C$362,0),0)&gt;0,0,1)*IF(OR(C394="Cantrip",C394&lt;=BardMaxSpellLevel),1,0)*IF(IFERROR(MATCH($B394,Character_Creation!$C$367:$C$374,0),0)&gt;0,0,1)</f>
        <v>0</v>
      </c>
      <c r="CW394">
        <f>IF(CV394=0,0,1+COUNTIF(CW$3:CW393,"&gt;0"))</f>
        <v>0</v>
      </c>
      <c r="CX394" t="str">
        <f t="shared" si="379"/>
        <v/>
      </c>
      <c r="CY394" t="str">
        <f t="shared" si="351"/>
        <v/>
      </c>
      <c r="DA394">
        <f>IF(IF(OR(IFERROR(SEARCH("Cleric",$T394,1),0)&gt;0,IFERROR(SEARCH(DivineDomain&amp;",",$T394,1),0)&gt;0),1,0)*IF($C394=DA$2,1,0)=1,1+COUNTIF(DA$3:DA393,"&gt;0"),0)</f>
        <v>0</v>
      </c>
      <c r="DB394">
        <f>IF(IF(OR(IFERROR(SEARCH("Cleric",$T394,1),0)&gt;0,IFERROR(SEARCH(DivineDomain&amp;",",$T394,1),0)&gt;0),1,0)*IF($C394=DB$2,1,0)=1,1+COUNTIF(DB$3:DB393,"&gt;0"),0)</f>
        <v>0</v>
      </c>
      <c r="DC394">
        <f>IF(IF(OR(IFERROR(SEARCH("Cleric",$T394,1),0)&gt;0,IFERROR(SEARCH(DivineDomain&amp;",",$T394,1),0)&gt;0),1,0)*IF($C394=DC$2,1,0)=1,1+COUNTIF(DC$3:DC393,"&gt;0"),0)</f>
        <v>0</v>
      </c>
      <c r="DD394">
        <f>IF(IF(OR(IFERROR(SEARCH("Cleric",$T394,1),0)&gt;0,IFERROR(SEARCH(DivineDomain&amp;",",$T394,1),0)&gt;0),1,0)*IF($C394=DD$2,1,0)=1,1+COUNTIF(DD$3:DD393,"&gt;0"),0)</f>
        <v>0</v>
      </c>
      <c r="DE394">
        <f>IF(IF(OR(IFERROR(SEARCH("Cleric",$T394,1),0)&gt;0,IFERROR(SEARCH(DivineDomain&amp;",",$T394,1),0)&gt;0),1,0)*IF($C394=DE$2,1,0)=1,1+COUNTIF(DE$3:DE393,"&gt;0"),0)</f>
        <v>0</v>
      </c>
      <c r="DF394">
        <f>IF(IF(OR(IFERROR(SEARCH("Cleric",$T394,1),0)&gt;0,IFERROR(SEARCH(DivineDomain&amp;",",$T394,1),0)&gt;0),1,0)*IF($C394=DF$2,1,0)=1,1+COUNTIF(DF$3:DF393,"&gt;0"),0)</f>
        <v>0</v>
      </c>
      <c r="DG394">
        <f>IF(IF(OR(IFERROR(SEARCH("Cleric",$T394,1),0)&gt;0,IFERROR(SEARCH(DivineDomain&amp;",",$T394,1),0)&gt;0),1,0)*IF($C394=DG$2,1,0)=1,1+COUNTIF(DG$3:DG393,"&gt;0"),0)</f>
        <v>0</v>
      </c>
      <c r="DH394">
        <f>IF(IF(OR(IFERROR(SEARCH("Cleric",$T394,1),0)&gt;0,IFERROR(SEARCH(DivineDomain&amp;",",$T394,1),0)&gt;0),1,0)*IF($C394=DH$2,1,0)=1,1+COUNTIF(DH$3:DH393,"&gt;0"),0)</f>
        <v>0</v>
      </c>
      <c r="DI394">
        <f>IF(IF(OR(IFERROR(SEARCH("Cleric",$T394,1),0)&gt;0,IFERROR(SEARCH(DivineDomain&amp;",",$T394,1),0)&gt;0),1,0)*IF($C394=DI$2,1,0)=1,1+COUNTIF(DI$3:DI393,"&gt;0"),0)</f>
        <v>0</v>
      </c>
      <c r="DJ394">
        <f>IF(IF(OR(IFERROR(SEARCH("Druid",$T394,1),0)&gt;0,IFERROR(SEARCH(DruidLand1,$T394,1),0)&gt;0,IFERROR(SEARCH(DruidLand2,$T394,1),0)&gt;0,IFERROR(SEARCH(DruidLand3,$T394,1),0)&gt;0,IFERROR(SEARCH(DruidLand4,$T394,1),0)&gt;0),1,0)*IF($C394=1,1,0)*IF($C394=DJ$2,1,0)=0,0,1+COUNTIF(DJ$3:DJ393,"&gt;0"))</f>
        <v>0</v>
      </c>
      <c r="DK394">
        <f>IF(IF(OR(IFERROR(SEARCH("Druid",$T394,1),0)&gt;0,IFERROR(SEARCH(DruidLand1,$T394,1),0)&gt;0,IFERROR(SEARCH(DruidLand2,$T394,1),0)&gt;0,IFERROR(SEARCH(DruidLand3,$T394,1),0)&gt;0,IFERROR(SEARCH(DruidLand4,$T394,1),0)&gt;0),1,0)*IF($C394=1,1,0)*IF($C394=DK$2,1,0)=0,0,1+COUNTIF(DK$3:DK393,"&gt;0"))</f>
        <v>0</v>
      </c>
      <c r="DL394">
        <f>IF(IF(OR(IFERROR(SEARCH("Druid",$T394,1),0)&gt;0,IFERROR(SEARCH(DruidLand1,$T394,1),0)&gt;0,IFERROR(SEARCH(DruidLand2,$T394,1),0)&gt;0,IFERROR(SEARCH(DruidLand3,$T394,1),0)&gt;0,IFERROR(SEARCH(DruidLand4,$T394,1),0)&gt;0),1,0)*IF($C394=1,1,0)*IF($C394=DL$2,1,0)=0,0,1+COUNTIF(DL$3:DL393,"&gt;0"))</f>
        <v>0</v>
      </c>
      <c r="DM394">
        <f>IF(IF(OR(IFERROR(SEARCH("Druid",$T394,1),0)&gt;0,IFERROR(SEARCH(DruidLand1,$T394,1),0)&gt;0,IFERROR(SEARCH(DruidLand2,$T394,1),0)&gt;0,IFERROR(SEARCH(DruidLand3,$T394,1),0)&gt;0,IFERROR(SEARCH(DruidLand4,$T394,1),0)&gt;0),1,0)*IF($C394=1,1,0)*IF($C394=DM$2,1,0)=0,0,1+COUNTIF(DM$3:DM393,"&gt;0"))</f>
        <v>0</v>
      </c>
      <c r="DN394">
        <f>IF(IF(OR(IFERROR(SEARCH("Druid",$T394,1),0)&gt;0,IFERROR(SEARCH(DruidLand1,$T394,1),0)&gt;0,IFERROR(SEARCH(DruidLand2,$T394,1),0)&gt;0,IFERROR(SEARCH(DruidLand3,$T394,1),0)&gt;0,IFERROR(SEARCH(DruidLand4,$T394,1),0)&gt;0),1,0)*IF($C394=1,1,0)*IF($C394=DN$2,1,0)=0,0,1+COUNTIF(DN$3:DN393,"&gt;0"))</f>
        <v>0</v>
      </c>
      <c r="DO394">
        <f>IF(IF(OR(IFERROR(SEARCH("Druid",$T394,1),0)&gt;0,IFERROR(SEARCH(DruidLand1,$T394,1),0)&gt;0,IFERROR(SEARCH(DruidLand2,$T394,1),0)&gt;0,IFERROR(SEARCH(DruidLand3,$T394,1),0)&gt;0,IFERROR(SEARCH(DruidLand4,$T394,1),0)&gt;0),1,0)*IF($C394=1,1,0)*IF($C394=DO$2,1,0)=0,0,1+COUNTIF(DO$3:DO393,"&gt;0"))</f>
        <v>0</v>
      </c>
      <c r="DP394">
        <f>IF(IF(OR(IFERROR(SEARCH("Druid",$T394,1),0)&gt;0,IFERROR(SEARCH(DruidLand1,$T394,1),0)&gt;0,IFERROR(SEARCH(DruidLand2,$T394,1),0)&gt;0,IFERROR(SEARCH(DruidLand3,$T394,1),0)&gt;0,IFERROR(SEARCH(DruidLand4,$T394,1),0)&gt;0),1,0)*IF($C394=1,1,0)*IF($C394=DP$2,1,0)=0,0,1+COUNTIF(DP$3:DP393,"&gt;0"))</f>
        <v>0</v>
      </c>
      <c r="DQ394">
        <f>IF(IF(OR(IFERROR(SEARCH("Druid",$T394,1),0)&gt;0,IFERROR(SEARCH(DruidLand1,$T394,1),0)&gt;0,IFERROR(SEARCH(DruidLand2,$T394,1),0)&gt;0,IFERROR(SEARCH(DruidLand3,$T394,1),0)&gt;0,IFERROR(SEARCH(DruidLand4,$T394,1),0)&gt;0),1,0)*IF($C394=1,1,0)*IF($C394=DQ$2,1,0)=0,0,1+COUNTIF(DQ$3:DQ393,"&gt;0"))</f>
        <v>0</v>
      </c>
      <c r="DR394">
        <f>IF(IF(OR(IFERROR(SEARCH("Druid",$T394,1),0)&gt;0,IFERROR(SEARCH(DruidLand1,$T394,1),0)&gt;0,IFERROR(SEARCH(DruidLand2,$T394,1),0)&gt;0,IFERROR(SEARCH(DruidLand3,$T394,1),0)&gt;0,IFERROR(SEARCH(DruidLand4,$T394,1),0)&gt;0),1,0)*IF($C394=1,1,0)*IF($C394=DR$2,1,0)=0,0,1+COUNTIF(DR$3:DR393,"&gt;0"))</f>
        <v>0</v>
      </c>
      <c r="DS394">
        <f>IF(IF(OR(IFERROR(SEARCH("Paladin",$T394,1),0)&gt;0,IFERROR(SEARCH(PaladinOath,$T394,1),0)&gt;0),1,0)*IF($C394=DS$2,1,0)=1,1+COUNTIF(DS$3:DS393,"&gt;0"),0)</f>
        <v>0</v>
      </c>
      <c r="DT394">
        <f>IF(IF(OR(IFERROR(SEARCH("Paladin",$T394,1),0)&gt;0,IFERROR(SEARCH(PaladinOath,$T394,1),0)&gt;0),1,0)*IF($C394=DT$2,1,0)=1,1+COUNTIF(DT$3:DT393,"&gt;0"),0)</f>
        <v>0</v>
      </c>
      <c r="DU394">
        <f>IF(IF(OR(IFERROR(SEARCH("Paladin",$T394,1),0)&gt;0,IFERROR(SEARCH(PaladinOath,$T394,1),0)&gt;0),1,0)*IF($C394=DU$2,1,0)=1,1+COUNTIF(DU$3:DU393,"&gt;0"),0)</f>
        <v>0</v>
      </c>
      <c r="DV394">
        <f>IF(IF(OR(IFERROR(SEARCH("Paladin",$T394,1),0)&gt;0,IFERROR(SEARCH(PaladinOath,$T394,1),0)&gt;0),1,0)*IF($C394=DV$2,1,0)=1,1+COUNTIF(DV$3:DV393,"&gt;0"),0)</f>
        <v>0</v>
      </c>
      <c r="DW394">
        <f>IF(IF(OR(IFERROR(SEARCH("Paladin",$T394,1),0)&gt;0,IFERROR(SEARCH(PaladinOath,$T394,1),0)&gt;0),1,0)*IF($C394=DW$2,1,0)=1,1+COUNTIF(DW$3:DW393,"&gt;0"),0)</f>
        <v>0</v>
      </c>
      <c r="DY394">
        <f t="shared" si="338"/>
        <v>1</v>
      </c>
      <c r="DZ394">
        <f>IF(DY394=0,0,1+MAX(DZ$3:$DZ393))</f>
        <v>392</v>
      </c>
      <c r="EB394">
        <f t="shared" si="352"/>
        <v>0</v>
      </c>
      <c r="EC394">
        <f>IF(EB394=0,0,1+COUNTIF(EC$3:EC393,"&gt;0"))</f>
        <v>0</v>
      </c>
      <c r="ED394" t="str">
        <f t="shared" si="380"/>
        <v/>
      </c>
      <c r="EE394" t="str">
        <f t="shared" si="353"/>
        <v/>
      </c>
      <c r="EG394">
        <f t="shared" si="354"/>
        <v>0</v>
      </c>
      <c r="EH394">
        <f>IF(EG394=0,0,1+COUNTIF(EH$3:EH393,"&gt;0"))</f>
        <v>0</v>
      </c>
      <c r="EI394" t="str">
        <f t="shared" si="381"/>
        <v/>
      </c>
      <c r="EJ394" t="str">
        <f t="shared" si="355"/>
        <v/>
      </c>
      <c r="EL394">
        <f t="shared" si="356"/>
        <v>0</v>
      </c>
      <c r="EM394">
        <f>IF(EL394=0,0,1+COUNTIF(EM$3:EM393,"&gt;0"))</f>
        <v>0</v>
      </c>
      <c r="EN394" t="str">
        <f t="shared" si="382"/>
        <v/>
      </c>
      <c r="EO394" t="str">
        <f t="shared" si="357"/>
        <v/>
      </c>
      <c r="EQ394">
        <f t="shared" si="358"/>
        <v>0</v>
      </c>
      <c r="ER394">
        <f>IF(EQ394=0,0,1+COUNTIF(ER$3:ER393,"&gt;0"))</f>
        <v>0</v>
      </c>
      <c r="ES394" t="str">
        <f t="shared" si="383"/>
        <v/>
      </c>
      <c r="ET394" t="str">
        <f t="shared" si="359"/>
        <v/>
      </c>
      <c r="EV394">
        <f t="shared" si="360"/>
        <v>0</v>
      </c>
      <c r="EW394">
        <f>IF(EV394=0,0,1+COUNTIF(EW$3:EW393,"&gt;0"))</f>
        <v>0</v>
      </c>
      <c r="EX394" t="str">
        <f t="shared" si="384"/>
        <v/>
      </c>
      <c r="EY394" t="str">
        <f t="shared" si="361"/>
        <v/>
      </c>
      <c r="FA394">
        <f t="shared" si="362"/>
        <v>0</v>
      </c>
      <c r="FB394">
        <f>IF(FA394=0,0,1+COUNTIF(FB$3:FB393,"&gt;0"))</f>
        <v>0</v>
      </c>
      <c r="FC394" t="str">
        <f t="shared" si="385"/>
        <v/>
      </c>
      <c r="FD394" t="str">
        <f t="shared" si="363"/>
        <v/>
      </c>
      <c r="FF394">
        <f t="shared" si="364"/>
        <v>0</v>
      </c>
      <c r="FG394">
        <f>IF(FF394=0,0,1+COUNTIF(FG$3:FG393,"&gt;0"))</f>
        <v>0</v>
      </c>
      <c r="FH394" t="str">
        <f t="shared" si="386"/>
        <v/>
      </c>
      <c r="FI394" t="str">
        <f t="shared" si="365"/>
        <v/>
      </c>
      <c r="FK394">
        <f t="shared" si="366"/>
        <v>0</v>
      </c>
      <c r="FL394">
        <f>IF(FK394=0,0,1+COUNTIF(FL$3:FL393,"&gt;0"))</f>
        <v>0</v>
      </c>
      <c r="FM394" t="str">
        <f t="shared" si="387"/>
        <v/>
      </c>
      <c r="FN394" t="str">
        <f t="shared" si="367"/>
        <v/>
      </c>
      <c r="FP394">
        <f t="shared" si="368"/>
        <v>0</v>
      </c>
      <c r="FQ394">
        <f>IF(FP394=0,0,1+COUNTIF(FQ$3:FQ393,"&gt;0"))</f>
        <v>0</v>
      </c>
      <c r="FR394" t="str">
        <f t="shared" si="388"/>
        <v/>
      </c>
      <c r="FS394" t="str">
        <f t="shared" si="369"/>
        <v/>
      </c>
    </row>
    <row r="395" spans="1:175" x14ac:dyDescent="0.25">
      <c r="A395" s="347">
        <f t="shared" si="331"/>
        <v>393</v>
      </c>
      <c r="B395" s="398" t="s">
        <v>5563</v>
      </c>
      <c r="C395" s="348" t="s">
        <v>5277</v>
      </c>
      <c r="D395" s="347">
        <v>0.5</v>
      </c>
      <c r="E395" s="627" t="s">
        <v>6957</v>
      </c>
      <c r="F395" s="346"/>
      <c r="G395" s="347" t="str">
        <f>""</f>
        <v/>
      </c>
      <c r="H395" s="347" t="s">
        <v>5912</v>
      </c>
      <c r="I395" s="347" t="s">
        <v>5060</v>
      </c>
      <c r="J395" s="347" t="str">
        <f t="shared" si="339"/>
        <v/>
      </c>
      <c r="K395" s="347" t="s">
        <v>5293</v>
      </c>
      <c r="L395" s="611" t="str">
        <f t="shared" si="340"/>
        <v>S</v>
      </c>
      <c r="M395" s="347" t="s">
        <v>3034</v>
      </c>
      <c r="N395" s="347" t="s">
        <v>2387</v>
      </c>
      <c r="O395" s="347" t="s">
        <v>3034</v>
      </c>
      <c r="P395" s="346" t="str">
        <f>""</f>
        <v/>
      </c>
      <c r="Q395" s="347" t="s">
        <v>5276</v>
      </c>
      <c r="S395" s="346" t="s">
        <v>5897</v>
      </c>
      <c r="T395" s="346" t="str">
        <f t="shared" si="341"/>
        <v xml:space="preserve">Sorcerer, Druid, Wizard, </v>
      </c>
      <c r="X395" s="347" t="str">
        <f>$B395</f>
        <v>Shape Water</v>
      </c>
      <c r="AA395" s="347" t="str">
        <f>$B395</f>
        <v>Shape Water</v>
      </c>
      <c r="AD395" s="347" t="str">
        <f t="shared" si="389"/>
        <v>Shape Water</v>
      </c>
      <c r="AE395" t="str">
        <f>IF(IFERROR(MATCH($B395,temp!A$4:A$13,0),0)&gt;0,T08_Spells!AE$2,"")</f>
        <v/>
      </c>
      <c r="AF395" t="str">
        <f>IF(IFERROR(MATCH($B395,temp!B$4:B$13,0),0)&gt;0,T08_Spells!AF$2,"")</f>
        <v/>
      </c>
      <c r="AG395" t="str">
        <f>IF(IFERROR(MATCH($B395,temp!C$4:C$13,0),0)&gt;0,T08_Spells!AG$2,"")</f>
        <v/>
      </c>
      <c r="AH395" t="str">
        <f>IF(IFERROR(MATCH($B395,temp!D$4:D$13,0),0)&gt;0,T08_Spells!AH$2,"")</f>
        <v/>
      </c>
      <c r="AI395" t="str">
        <f>IF(IFERROR(MATCH($B395,temp!E$4:E$13,0),0)&gt;0,T08_Spells!AI$2,"")</f>
        <v/>
      </c>
      <c r="AJ395" t="str">
        <f>IF(IFERROR(MATCH($B395,temp!F$4:F$13,0),0)&gt;0,T08_Spells!AJ$2,"")</f>
        <v/>
      </c>
      <c r="AK395" t="str">
        <f>IF(IFERROR(MATCH($B395,temp!G$4:G$13,0),0)&gt;0,T08_Spells!AK$2,"")</f>
        <v/>
      </c>
      <c r="AL395" t="str">
        <f>IF(IFERROR(MATCH($B395,temp!H$4:H$13,0),0)&gt;0,T08_Spells!AL$2,"")</f>
        <v/>
      </c>
      <c r="AM395" t="str">
        <f>IF(IFERROR(MATCH($B395,temp!I$4:I$13,0),0)&gt;0,T08_Spells!AM$2,"")</f>
        <v/>
      </c>
      <c r="AN395" t="str">
        <f>IF(IFERROR(MATCH($B395,temp!J$4:J$13,0),0)&gt;0,T08_Spells!AN$2,"")</f>
        <v/>
      </c>
      <c r="AO395" t="str">
        <f>IF(IFERROR(MATCH($B395,temp!K$4:K$13,0),0)&gt;0,T08_Spells!AO$2,"")</f>
        <v/>
      </c>
      <c r="AP395" t="str">
        <f>IF(IFERROR(MATCH($B395,temp!L$4:L$13,0),0)&gt;0,T08_Spells!AP$2,"")</f>
        <v/>
      </c>
      <c r="AQ395" t="str">
        <f>IF(IFERROR(MATCH($B395,temp!M$4:M$13,0),0)&gt;0,T08_Spells!AQ$2,"")</f>
        <v/>
      </c>
      <c r="AR395" t="str">
        <f>IF(IFERROR(MATCH($B395,temp!N$4:N$13,0),0)&gt;0,T08_Spells!AR$2,"")</f>
        <v/>
      </c>
      <c r="AS395" t="str">
        <f>IF(IFERROR(MATCH($B395,temp!O$4:O$13,0),0)&gt;0,T08_Spells!AS$2,"")</f>
        <v/>
      </c>
      <c r="AT395" t="str">
        <f>IF(IFERROR(MATCH($B395,temp!P$4:P$13,0),0)&gt;0,T08_Spells!AT$2,"")</f>
        <v/>
      </c>
      <c r="AU395" t="str">
        <f>IF(IFERROR(MATCH($B395,temp!Q$4:Q$13,0),0)&gt;0,T08_Spells!AU$2,"")</f>
        <v/>
      </c>
      <c r="AV395" t="str">
        <f>IF(IFERROR(MATCH($B395,temp!R$4:R$13,0),0)&gt;0,T08_Spells!AV$2,"")</f>
        <v/>
      </c>
      <c r="AW395" t="str">
        <f>IF(IFERROR(MATCH($B395,temp!S$4:S$13,0),0)&gt;0,T08_Spells!AW$2,"")</f>
        <v/>
      </c>
      <c r="AX395" t="str">
        <f>IF(IFERROR(MATCH($B395,temp!T$4:T$13,0),0)&gt;0,T08_Spells!AX$2,"")</f>
        <v/>
      </c>
      <c r="AY395" t="str">
        <f>IF(IFERROR(MATCH($B395,temp!U$4:U$13,0),0)&gt;0,T08_Spells!AY$2,"")</f>
        <v/>
      </c>
      <c r="AZ395" t="str">
        <f>IF(IFERROR(MATCH($B395,temp!V$4:V$13,0),0)&gt;0,T08_Spells!AZ$2,"")</f>
        <v/>
      </c>
      <c r="BA395" t="str">
        <f>IF(IFERROR(MATCH($B395,temp!W$4:W$13,0),0)&gt;0,T08_Spells!BA$2,"")</f>
        <v/>
      </c>
      <c r="BC395">
        <f>IF(IFERROR(SEARCH("Ranger",$T395,1),0)&gt;0,1,0)*IF(RangerMaxSpellLevel&gt;=$C395,1,0)*IF(IFERROR(MATCH(B395,Character_Creation!$X$79:$X$382,0),0)&gt;0,0,1)</f>
        <v>0</v>
      </c>
      <c r="BD395">
        <f>IF(BC395=0,0,1+COUNTIF(BD$3:BD394,"&gt;0"))</f>
        <v>0</v>
      </c>
      <c r="BE395" t="str">
        <f t="shared" si="370"/>
        <v/>
      </c>
      <c r="BF395" t="str">
        <f t="shared" si="342"/>
        <v/>
      </c>
      <c r="BH395">
        <f>IF(IFERROR(SEARCH("Sorcerer",$T395,1),0)&gt;0,1,0)*IF(SorcererMaxSpellLevel&gt;=$C395,1,0)*IF(IFERROR(MATCH(B395,Character_Creation!$J$380:$J$394,0),0)&gt;0,0,1)</f>
        <v>0</v>
      </c>
      <c r="BI395">
        <f>IF(BH395=0,0,1+COUNTIF(BI$3:BI394,"&gt;0"))</f>
        <v>0</v>
      </c>
      <c r="BJ395" t="str">
        <f t="shared" si="371"/>
        <v/>
      </c>
      <c r="BK395" t="str">
        <f t="shared" si="343"/>
        <v/>
      </c>
      <c r="BM395">
        <f>IF(OR(IFERROR(SEARCH("Warlock",$T395,1),0)&gt;0,IFERROR(SEARCH(WarlockPatron,$T395,1),0)&gt;0),1,0)*IF(WarlockMaxSpellLevel&gt;=$C395,1,0)*IF(IFERROR(MATCH(B395,Character_Creation!$J$361:$J$375,0),0)&gt;0,0,1)</f>
        <v>0</v>
      </c>
      <c r="BN395">
        <f>IF(BM395=0,0,1+COUNTIF(BN$3:BN394,"&gt;0"))</f>
        <v>0</v>
      </c>
      <c r="BO395" t="str">
        <f t="shared" si="372"/>
        <v/>
      </c>
      <c r="BP395" t="str">
        <f t="shared" si="344"/>
        <v/>
      </c>
      <c r="BR395">
        <f>IF(IFERROR(SEARCH("Eldritch Knight",$T395,1),0)&gt;0,1,0)*IF(EldritchKnightMaxSpellLevel&gt;=$C395,1,0)*IF(IFERROR(MATCH($B395,Character_Creation!$J$350:$J$356,0),0)&gt;0,0,1)*IF(Character_Creation!$M$338&gt;0,1,0)</f>
        <v>0</v>
      </c>
      <c r="BS395">
        <f>IF(BR395=0,0,1+COUNTIF(BS$3:BS394,"&gt;0"))</f>
        <v>0</v>
      </c>
      <c r="BT395" t="str">
        <f t="shared" si="373"/>
        <v/>
      </c>
      <c r="BU395" t="str">
        <f t="shared" si="345"/>
        <v/>
      </c>
      <c r="BW395">
        <f>IF(IFERROR(SEARCH("Arcane Trickster",$T395,1),0)&gt;0,1,0)*IF(ArcaneTricksterMaxSpellLevel&gt;=$C395,1,0)*IF(IFERROR(MATCH($B395,Character_Creation!$J$350:$J$356,0),0)&gt;0,0,1)*IF(Character_Creation!$T$338&gt;0,1,0)</f>
        <v>0</v>
      </c>
      <c r="BX395">
        <f>IF(BW395=0,0,1+COUNTIF(BX$3:BX394,"&gt;0"))</f>
        <v>0</v>
      </c>
      <c r="BY395" t="str">
        <f t="shared" si="374"/>
        <v/>
      </c>
      <c r="BZ395" t="str">
        <f t="shared" si="346"/>
        <v/>
      </c>
      <c r="CB395">
        <f>IF(IFERROR(SEARCH("Wizard",$T395,1),0)&gt;0,1,0)*IF(C395&lt;=ArcaneTricksterMaxSpellLevel,1,0)*IF(IFERROR(MATCH($B395,Character_Creation!$J$350:$J$356,0),0)&gt;0,0,1)*IF(Character_Creation!$T$350&gt;0,1,0)</f>
        <v>0</v>
      </c>
      <c r="CC395">
        <f>IF(CB395=0,0,1+COUNTIF(CC$3:CC394,"&gt;0"))</f>
        <v>0</v>
      </c>
      <c r="CD395" t="str">
        <f t="shared" si="375"/>
        <v/>
      </c>
      <c r="CE395" t="str">
        <f t="shared" si="347"/>
        <v/>
      </c>
      <c r="CG395">
        <f>IF(IFERROR(SEARCH("Wizard",$T395,1),0)&gt;0,1,0)*IF($C395&lt;=EldritchKnightMaxSpellLevel,1,0)*IF(IFERROR(MATCH($B395,Character_Creation!$J$350:$J$356,0),0)&gt;0,0,1)*IF(Character_Creation!$M$350&gt;0,1,0)</f>
        <v>0</v>
      </c>
      <c r="CH395">
        <f>IF(CG395=0,0,1+COUNTIF(CH$3:CH394,"&gt;0"))</f>
        <v>0</v>
      </c>
      <c r="CI395" t="str">
        <f t="shared" si="376"/>
        <v/>
      </c>
      <c r="CJ395" t="str">
        <f t="shared" si="348"/>
        <v/>
      </c>
      <c r="CL395">
        <f>IF(IFERROR(SEARCH("Bard",$T395,1),0)&gt;0,1,0)*IF(BardMaxSpellLevel&gt;=$C395,1,0)*IF(IFERROR(MATCH(B395,Character_Creation!$C$341:$F$362,0),0)&gt;0,0,1)*IF(IFERROR(MATCH($B395,Character_Creation!$C$341:$C$362,0),0)&gt;0,0,1)</f>
        <v>0</v>
      </c>
      <c r="CM395">
        <f>IF(CL395=0,0,1+COUNTIF(CM$3:CM394,"&gt;0"))</f>
        <v>0</v>
      </c>
      <c r="CN395" t="str">
        <f t="shared" si="377"/>
        <v/>
      </c>
      <c r="CO395" t="str">
        <f t="shared" si="349"/>
        <v/>
      </c>
      <c r="CQ395">
        <f>IF(IFERROR(SEARCH("Wizard",$T395,1),0)&gt;0,1,0)*IF(WizardMaxSpellLevel&gt;=$C395,1,0)*IF(IFERROR(MATCH(B395,Character_Creation!$X$341:$X$400,0),0)&gt;0,0,1)*IF(SelectedWizardSpellLevel=$C395,1,0)</f>
        <v>0</v>
      </c>
      <c r="CR395">
        <f>IF(CQ395=0,0,1+COUNTIF(CR$3:CR394,"&gt;0"))</f>
        <v>0</v>
      </c>
      <c r="CS395" t="str">
        <f t="shared" si="378"/>
        <v/>
      </c>
      <c r="CT395" t="str">
        <f t="shared" si="350"/>
        <v/>
      </c>
      <c r="CV395">
        <f>IF(IFERROR(MATCH($B395,Character_Creation!$C$341:$C$362,0),0)&gt;0,0,1)*IF(OR(C395="Cantrip",C395&lt;=BardMaxSpellLevel),1,0)*IF(IFERROR(MATCH($B395,Character_Creation!$C$367:$C$374,0),0)&gt;0,0,1)</f>
        <v>1</v>
      </c>
      <c r="CW395">
        <f>IF(CV395=0,0,1+COUNTIF(CW$3:CW394,"&gt;0"))</f>
        <v>34</v>
      </c>
      <c r="CX395" t="str">
        <f t="shared" si="379"/>
        <v/>
      </c>
      <c r="CY395" t="str">
        <f t="shared" si="351"/>
        <v/>
      </c>
      <c r="DA395">
        <f>IF(IF(OR(IFERROR(SEARCH("Cleric",$T395,1),0)&gt;0,IFERROR(SEARCH(DivineDomain&amp;",",$T395,1),0)&gt;0),1,0)*IF($C395=DA$2,1,0)=1,1+COUNTIF(DA$3:DA394,"&gt;0"),0)</f>
        <v>0</v>
      </c>
      <c r="DB395">
        <f>IF(IF(OR(IFERROR(SEARCH("Cleric",$T395,1),0)&gt;0,IFERROR(SEARCH(DivineDomain&amp;",",$T395,1),0)&gt;0),1,0)*IF($C395=DB$2,1,0)=1,1+COUNTIF(DB$3:DB394,"&gt;0"),0)</f>
        <v>0</v>
      </c>
      <c r="DC395">
        <f>IF(IF(OR(IFERROR(SEARCH("Cleric",$T395,1),0)&gt;0,IFERROR(SEARCH(DivineDomain&amp;",",$T395,1),0)&gt;0),1,0)*IF($C395=DC$2,1,0)=1,1+COUNTIF(DC$3:DC394,"&gt;0"),0)</f>
        <v>0</v>
      </c>
      <c r="DD395">
        <f>IF(IF(OR(IFERROR(SEARCH("Cleric",$T395,1),0)&gt;0,IFERROR(SEARCH(DivineDomain&amp;",",$T395,1),0)&gt;0),1,0)*IF($C395=DD$2,1,0)=1,1+COUNTIF(DD$3:DD394,"&gt;0"),0)</f>
        <v>0</v>
      </c>
      <c r="DE395">
        <f>IF(IF(OR(IFERROR(SEARCH("Cleric",$T395,1),0)&gt;0,IFERROR(SEARCH(DivineDomain&amp;",",$T395,1),0)&gt;0),1,0)*IF($C395=DE$2,1,0)=1,1+COUNTIF(DE$3:DE394,"&gt;0"),0)</f>
        <v>0</v>
      </c>
      <c r="DF395">
        <f>IF(IF(OR(IFERROR(SEARCH("Cleric",$T395,1),0)&gt;0,IFERROR(SEARCH(DivineDomain&amp;",",$T395,1),0)&gt;0),1,0)*IF($C395=DF$2,1,0)=1,1+COUNTIF(DF$3:DF394,"&gt;0"),0)</f>
        <v>0</v>
      </c>
      <c r="DG395">
        <f>IF(IF(OR(IFERROR(SEARCH("Cleric",$T395,1),0)&gt;0,IFERROR(SEARCH(DivineDomain&amp;",",$T395,1),0)&gt;0),1,0)*IF($C395=DG$2,1,0)=1,1+COUNTIF(DG$3:DG394,"&gt;0"),0)</f>
        <v>0</v>
      </c>
      <c r="DH395">
        <f>IF(IF(OR(IFERROR(SEARCH("Cleric",$T395,1),0)&gt;0,IFERROR(SEARCH(DivineDomain&amp;",",$T395,1),0)&gt;0),1,0)*IF($C395=DH$2,1,0)=1,1+COUNTIF(DH$3:DH394,"&gt;0"),0)</f>
        <v>0</v>
      </c>
      <c r="DI395">
        <f>IF(IF(OR(IFERROR(SEARCH("Cleric",$T395,1),0)&gt;0,IFERROR(SEARCH(DivineDomain&amp;",",$T395,1),0)&gt;0),1,0)*IF($C395=DI$2,1,0)=1,1+COUNTIF(DI$3:DI394,"&gt;0"),0)</f>
        <v>0</v>
      </c>
      <c r="DJ395">
        <f>IF(IF(OR(IFERROR(SEARCH("Druid",$T395,1),0)&gt;0,IFERROR(SEARCH(DruidLand1,$T395,1),0)&gt;0,IFERROR(SEARCH(DruidLand2,$T395,1),0)&gt;0,IFERROR(SEARCH(DruidLand3,$T395,1),0)&gt;0,IFERROR(SEARCH(DruidLand4,$T395,1),0)&gt;0),1,0)*IF($C395=1,1,0)*IF($C395=DJ$2,1,0)=0,0,1+COUNTIF(DJ$3:DJ394,"&gt;0"))</f>
        <v>0</v>
      </c>
      <c r="DK395">
        <f>IF(IF(OR(IFERROR(SEARCH("Druid",$T395,1),0)&gt;0,IFERROR(SEARCH(DruidLand1,$T395,1),0)&gt;0,IFERROR(SEARCH(DruidLand2,$T395,1),0)&gt;0,IFERROR(SEARCH(DruidLand3,$T395,1),0)&gt;0,IFERROR(SEARCH(DruidLand4,$T395,1),0)&gt;0),1,0)*IF($C395=DK$2,1,0)=0,0,1+COUNTIF(DK$3:DK394,"&gt;0"))</f>
        <v>0</v>
      </c>
      <c r="DL395">
        <f>IF(IF(OR(IFERROR(SEARCH("Druid",$T395,1),0)&gt;0,IFERROR(SEARCH(DruidLand1,$T395,1),0)&gt;0,IFERROR(SEARCH(DruidLand2,$T395,1),0)&gt;0,IFERROR(SEARCH(DruidLand3,$T395,1),0)&gt;0,IFERROR(SEARCH(DruidLand4,$T395,1),0)&gt;0),1,0)*IF($C395=DL$2,1,0)=0,0,1+COUNTIF(DL$3:DL394,"&gt;0"))</f>
        <v>0</v>
      </c>
      <c r="DM395">
        <f>IF(IF(OR(IFERROR(SEARCH("Druid",$T395,1),0)&gt;0,IFERROR(SEARCH(DruidLand1,$T395,1),0)&gt;0,IFERROR(SEARCH(DruidLand2,$T395,1),0)&gt;0,IFERROR(SEARCH(DruidLand3,$T395,1),0)&gt;0,IFERROR(SEARCH(DruidLand4,$T395,1),0)&gt;0),1,0)*IF($C395=DM$2,1,0)=0,0,1+COUNTIF(DM$3:DM394,"&gt;0"))</f>
        <v>0</v>
      </c>
      <c r="DN395">
        <f>IF(IF(OR(IFERROR(SEARCH("Druid",$T395,1),0)&gt;0,IFERROR(SEARCH(DruidLand1,$T395,1),0)&gt;0,IFERROR(SEARCH(DruidLand2,$T395,1),0)&gt;0,IFERROR(SEARCH(DruidLand3,$T395,1),0)&gt;0,IFERROR(SEARCH(DruidLand4,$T395,1),0)&gt;0),1,0)*IF($C395=DN$2,1,0)=0,0,1+COUNTIF(DN$3:DN394,"&gt;0"))</f>
        <v>0</v>
      </c>
      <c r="DO395">
        <f>IF(IF(OR(IFERROR(SEARCH("Druid",$T395,1),0)&gt;0,IFERROR(SEARCH(DruidLand1,$T395,1),0)&gt;0,IFERROR(SEARCH(DruidLand2,$T395,1),0)&gt;0,IFERROR(SEARCH(DruidLand3,$T395,1),0)&gt;0,IFERROR(SEARCH(DruidLand4,$T395,1),0)&gt;0),1,0)*IF($C395=DO$2,1,0)=0,0,1+COUNTIF(DO$3:DO394,"&gt;0"))</f>
        <v>0</v>
      </c>
      <c r="DP395">
        <f>IF(IF(OR(IFERROR(SEARCH("Druid",$T395,1),0)&gt;0,IFERROR(SEARCH(DruidLand1,$T395,1),0)&gt;0,IFERROR(SEARCH(DruidLand2,$T395,1),0)&gt;0,IFERROR(SEARCH(DruidLand3,$T395,1),0)&gt;0,IFERROR(SEARCH(DruidLand4,$T395,1),0)&gt;0),1,0)*IF($C395=DP$2,1,0)=0,0,1+COUNTIF(DP$3:DP394,"&gt;0"))</f>
        <v>0</v>
      </c>
      <c r="DQ395">
        <f>IF(IF(OR(IFERROR(SEARCH("Druid",$T395,1),0)&gt;0,IFERROR(SEARCH(DruidLand1,$T395,1),0)&gt;0,IFERROR(SEARCH(DruidLand2,$T395,1),0)&gt;0,IFERROR(SEARCH(DruidLand3,$T395,1),0)&gt;0,IFERROR(SEARCH(DruidLand4,$T395,1),0)&gt;0),1,0)*IF($C395=DQ$2,1,0)=0,0,1+COUNTIF(DQ$3:DQ394,"&gt;0"))</f>
        <v>0</v>
      </c>
      <c r="DR395">
        <f>IF(IF(OR(IFERROR(SEARCH("Druid",$T395,1),0)&gt;0,IFERROR(SEARCH(DruidLand1,$T395,1),0)&gt;0,IFERROR(SEARCH(DruidLand2,$T395,1),0)&gt;0,IFERROR(SEARCH(DruidLand3,$T395,1),0)&gt;0,IFERROR(SEARCH(DruidLand4,$T395,1),0)&gt;0),1,0)*IF($C395=DR$2,1,0)=0,0,1+COUNTIF(DR$3:DR394,"&gt;0"))</f>
        <v>0</v>
      </c>
      <c r="DS395">
        <f>IF(IF(OR(IFERROR(SEARCH("Paladin",$T395,1),0)&gt;0,IFERROR(SEARCH(PaladinOath,$T395,1),0)&gt;0),1,0)*IF($C395=DS$2,1,0)=1,1+COUNTIF(DS$3:DS394,"&gt;0"),0)</f>
        <v>0</v>
      </c>
      <c r="DT395">
        <f>IF(IF(OR(IFERROR(SEARCH("Paladin",$T395,1),0)&gt;0,IFERROR(SEARCH(PaladinOath,$T395,1),0)&gt;0),1,0)*IF($C395=DT$2,1,0)=1,1+COUNTIF(DT$3:DT394,"&gt;0"),0)</f>
        <v>0</v>
      </c>
      <c r="DU395">
        <f>IF(IF(OR(IFERROR(SEARCH("Paladin",$T395,1),0)&gt;0,IFERROR(SEARCH(PaladinOath,$T395,1),0)&gt;0),1,0)*IF($C395=DU$2,1,0)=1,1+COUNTIF(DU$3:DU394,"&gt;0"),0)</f>
        <v>0</v>
      </c>
      <c r="DV395">
        <f>IF(IF(OR(IFERROR(SEARCH("Paladin",$T395,1),0)&gt;0,IFERROR(SEARCH(PaladinOath,$T395,1),0)&gt;0),1,0)*IF($C395=DV$2,1,0)=1,1+COUNTIF(DV$3:DV394,"&gt;0"),0)</f>
        <v>0</v>
      </c>
      <c r="DW395">
        <f>IF(IF(OR(IFERROR(SEARCH("Paladin",$T395,1),0)&gt;0,IFERROR(SEARCH(PaladinOath,$T395,1),0)&gt;0),1,0)*IF($C395=DW$2,1,0)=1,1+COUNTIF(DW$3:DW394,"&gt;0"),0)</f>
        <v>0</v>
      </c>
      <c r="DY395">
        <f t="shared" si="338"/>
        <v>1</v>
      </c>
      <c r="DZ395">
        <f>IF(DY395=0,0,1+MAX(DZ$3:$DZ394))</f>
        <v>393</v>
      </c>
      <c r="EB395">
        <f t="shared" si="352"/>
        <v>0</v>
      </c>
      <c r="EC395">
        <f>IF(EB395=0,0,1+COUNTIF(EC$3:EC394,"&gt;0"))</f>
        <v>0</v>
      </c>
      <c r="ED395" t="str">
        <f t="shared" si="380"/>
        <v/>
      </c>
      <c r="EE395" t="str">
        <f t="shared" si="353"/>
        <v/>
      </c>
      <c r="EG395">
        <f t="shared" si="354"/>
        <v>0</v>
      </c>
      <c r="EH395">
        <f>IF(EG395=0,0,1+COUNTIF(EH$3:EH394,"&gt;0"))</f>
        <v>0</v>
      </c>
      <c r="EI395" t="str">
        <f t="shared" si="381"/>
        <v/>
      </c>
      <c r="EJ395" t="str">
        <f t="shared" si="355"/>
        <v/>
      </c>
      <c r="EL395">
        <f t="shared" si="356"/>
        <v>1</v>
      </c>
      <c r="EM395">
        <f>IF(EL395=0,0,1+COUNTIF(EM$3:EM394,"&gt;0"))</f>
        <v>15</v>
      </c>
      <c r="EN395" t="str">
        <f t="shared" si="382"/>
        <v/>
      </c>
      <c r="EO395" t="str">
        <f t="shared" si="357"/>
        <v/>
      </c>
      <c r="EQ395">
        <f t="shared" si="358"/>
        <v>0</v>
      </c>
      <c r="ER395">
        <f>IF(EQ395=0,0,1+COUNTIF(ER$3:ER394,"&gt;0"))</f>
        <v>0</v>
      </c>
      <c r="ES395" t="str">
        <f t="shared" si="383"/>
        <v/>
      </c>
      <c r="ET395" t="str">
        <f t="shared" si="359"/>
        <v/>
      </c>
      <c r="EV395">
        <f t="shared" si="360"/>
        <v>0</v>
      </c>
      <c r="EW395">
        <f>IF(EV395=0,0,1+COUNTIF(EW$3:EW394,"&gt;0"))</f>
        <v>0</v>
      </c>
      <c r="EX395" t="str">
        <f t="shared" si="384"/>
        <v/>
      </c>
      <c r="EY395" t="str">
        <f t="shared" si="361"/>
        <v/>
      </c>
      <c r="FA395">
        <f t="shared" si="362"/>
        <v>1</v>
      </c>
      <c r="FB395">
        <f>IF(FA395=0,0,1+COUNTIF(FB$3:FB394,"&gt;0"))</f>
        <v>22</v>
      </c>
      <c r="FC395" t="str">
        <f t="shared" si="385"/>
        <v/>
      </c>
      <c r="FD395" t="str">
        <f t="shared" si="363"/>
        <v/>
      </c>
      <c r="FF395">
        <f t="shared" si="364"/>
        <v>0</v>
      </c>
      <c r="FG395">
        <f>IF(FF395=0,0,1+COUNTIF(FG$3:FG394,"&gt;0"))</f>
        <v>0</v>
      </c>
      <c r="FH395" t="str">
        <f t="shared" si="386"/>
        <v/>
      </c>
      <c r="FI395" t="str">
        <f t="shared" si="365"/>
        <v/>
      </c>
      <c r="FK395">
        <f t="shared" si="366"/>
        <v>1</v>
      </c>
      <c r="FL395">
        <f>IF(FK395=0,0,1+COUNTIF(FL$3:FL394,"&gt;0"))</f>
        <v>22</v>
      </c>
      <c r="FM395" t="str">
        <f t="shared" si="387"/>
        <v/>
      </c>
      <c r="FN395" t="str">
        <f t="shared" si="367"/>
        <v/>
      </c>
      <c r="FP395">
        <f t="shared" si="368"/>
        <v>0</v>
      </c>
      <c r="FQ395">
        <f>IF(FP395=0,0,1+COUNTIF(FQ$3:FQ394,"&gt;0"))</f>
        <v>0</v>
      </c>
      <c r="FR395" t="str">
        <f t="shared" si="388"/>
        <v/>
      </c>
      <c r="FS395" t="str">
        <f t="shared" si="369"/>
        <v/>
      </c>
    </row>
    <row r="396" spans="1:175" x14ac:dyDescent="0.25">
      <c r="A396" s="347">
        <f t="shared" si="331"/>
        <v>394</v>
      </c>
      <c r="B396" s="398" t="s">
        <v>5564</v>
      </c>
      <c r="C396" s="348">
        <v>2</v>
      </c>
      <c r="D396" s="347">
        <v>2</v>
      </c>
      <c r="E396" s="627" t="s">
        <v>6957</v>
      </c>
      <c r="F396" s="346"/>
      <c r="G396" s="347" t="s">
        <v>5269</v>
      </c>
      <c r="H396" s="347" t="s">
        <v>5913</v>
      </c>
      <c r="I396" s="347" t="s">
        <v>5432</v>
      </c>
      <c r="J396" s="347" t="str">
        <f t="shared" si="339"/>
        <v/>
      </c>
      <c r="K396" s="347" t="s">
        <v>5284</v>
      </c>
      <c r="L396" s="611" t="str">
        <f t="shared" si="340"/>
        <v>V, S</v>
      </c>
      <c r="M396" s="347" t="s">
        <v>2373</v>
      </c>
      <c r="N396" s="347" t="s">
        <v>2387</v>
      </c>
      <c r="O396" s="347" t="s">
        <v>3034</v>
      </c>
      <c r="P396" s="346" t="str">
        <f>""</f>
        <v/>
      </c>
      <c r="Q396" s="347" t="s">
        <v>5276</v>
      </c>
      <c r="S396" s="346" t="s">
        <v>5898</v>
      </c>
      <c r="T396" s="346" t="str">
        <f t="shared" si="341"/>
        <v xml:space="preserve">Bard, Druid, Wizard, </v>
      </c>
      <c r="U396" s="347" t="str">
        <f>$B396</f>
        <v>Skywrite</v>
      </c>
      <c r="AA396" s="347" t="str">
        <f>$B396</f>
        <v>Skywrite</v>
      </c>
      <c r="AD396" s="347" t="str">
        <f t="shared" si="389"/>
        <v>Skywrite</v>
      </c>
      <c r="AE396" t="str">
        <f>IF(IFERROR(MATCH($B396,temp!A$4:A$13,0),0)&gt;0,T08_Spells!AE$2,"")</f>
        <v/>
      </c>
      <c r="AF396" t="str">
        <f>IF(IFERROR(MATCH($B396,temp!B$4:B$13,0),0)&gt;0,T08_Spells!AF$2,"")</f>
        <v/>
      </c>
      <c r="AG396" t="str">
        <f>IF(IFERROR(MATCH($B396,temp!C$4:C$13,0),0)&gt;0,T08_Spells!AG$2,"")</f>
        <v/>
      </c>
      <c r="AH396" t="str">
        <f>IF(IFERROR(MATCH($B396,temp!D$4:D$13,0),0)&gt;0,T08_Spells!AH$2,"")</f>
        <v/>
      </c>
      <c r="AI396" t="str">
        <f>IF(IFERROR(MATCH($B396,temp!E$4:E$13,0),0)&gt;0,T08_Spells!AI$2,"")</f>
        <v/>
      </c>
      <c r="AJ396" t="str">
        <f>IF(IFERROR(MATCH($B396,temp!F$4:F$13,0),0)&gt;0,T08_Spells!AJ$2,"")</f>
        <v/>
      </c>
      <c r="AK396" t="str">
        <f>IF(IFERROR(MATCH($B396,temp!G$4:G$13,0),0)&gt;0,T08_Spells!AK$2,"")</f>
        <v/>
      </c>
      <c r="AL396" t="str">
        <f>IF(IFERROR(MATCH($B396,temp!H$4:H$13,0),0)&gt;0,T08_Spells!AL$2,"")</f>
        <v/>
      </c>
      <c r="AM396" t="str">
        <f>IF(IFERROR(MATCH($B396,temp!I$4:I$13,0),0)&gt;0,T08_Spells!AM$2,"")</f>
        <v/>
      </c>
      <c r="AN396" t="str">
        <f>IF(IFERROR(MATCH($B396,temp!J$4:J$13,0),0)&gt;0,T08_Spells!AN$2,"")</f>
        <v/>
      </c>
      <c r="AO396" t="str">
        <f>IF(IFERROR(MATCH($B396,temp!K$4:K$13,0),0)&gt;0,T08_Spells!AO$2,"")</f>
        <v/>
      </c>
      <c r="AP396" t="str">
        <f>IF(IFERROR(MATCH($B396,temp!L$4:L$13,0),0)&gt;0,T08_Spells!AP$2,"")</f>
        <v/>
      </c>
      <c r="AQ396" t="str">
        <f>IF(IFERROR(MATCH($B396,temp!M$4:M$13,0),0)&gt;0,T08_Spells!AQ$2,"")</f>
        <v/>
      </c>
      <c r="AR396" t="str">
        <f>IF(IFERROR(MATCH($B396,temp!N$4:N$13,0),0)&gt;0,T08_Spells!AR$2,"")</f>
        <v/>
      </c>
      <c r="AS396" t="str">
        <f>IF(IFERROR(MATCH($B396,temp!O$4:O$13,0),0)&gt;0,T08_Spells!AS$2,"")</f>
        <v/>
      </c>
      <c r="AT396" t="str">
        <f>IF(IFERROR(MATCH($B396,temp!P$4:P$13,0),0)&gt;0,T08_Spells!AT$2,"")</f>
        <v/>
      </c>
      <c r="AU396" t="str">
        <f>IF(IFERROR(MATCH($B396,temp!Q$4:Q$13,0),0)&gt;0,T08_Spells!AU$2,"")</f>
        <v/>
      </c>
      <c r="AV396" t="str">
        <f>IF(IFERROR(MATCH($B396,temp!R$4:R$13,0),0)&gt;0,T08_Spells!AV$2,"")</f>
        <v/>
      </c>
      <c r="AW396" t="str">
        <f>IF(IFERROR(MATCH($B396,temp!S$4:S$13,0),0)&gt;0,T08_Spells!AW$2,"")</f>
        <v/>
      </c>
      <c r="AX396" t="str">
        <f>IF(IFERROR(MATCH($B396,temp!T$4:T$13,0),0)&gt;0,T08_Spells!AX$2,"")</f>
        <v/>
      </c>
      <c r="AY396" t="str">
        <f>IF(IFERROR(MATCH($B396,temp!U$4:U$13,0),0)&gt;0,T08_Spells!AY$2,"")</f>
        <v/>
      </c>
      <c r="AZ396" t="str">
        <f>IF(IFERROR(MATCH($B396,temp!V$4:V$13,0),0)&gt;0,T08_Spells!AZ$2,"")</f>
        <v/>
      </c>
      <c r="BA396" t="str">
        <f>IF(IFERROR(MATCH($B396,temp!W$4:W$13,0),0)&gt;0,T08_Spells!BA$2,"")</f>
        <v/>
      </c>
      <c r="BC396">
        <f>IF(IFERROR(SEARCH("Ranger",$T396,1),0)&gt;0,1,0)*IF(RangerMaxSpellLevel&gt;=$C396,1,0)*IF(IFERROR(MATCH(B396,Character_Creation!$X$79:$X$382,0),0)&gt;0,0,1)</f>
        <v>0</v>
      </c>
      <c r="BD396">
        <f>IF(BC396=0,0,1+COUNTIF(BD$3:BD395,"&gt;0"))</f>
        <v>0</v>
      </c>
      <c r="BE396" t="str">
        <f t="shared" si="370"/>
        <v/>
      </c>
      <c r="BF396" t="str">
        <f t="shared" si="342"/>
        <v/>
      </c>
      <c r="BH396">
        <f>IF(IFERROR(SEARCH("Sorcerer",$T396,1),0)&gt;0,1,0)*IF(SorcererMaxSpellLevel&gt;=$C396,1,0)*IF(IFERROR(MATCH(B396,Character_Creation!$J$380:$J$394,0),0)&gt;0,0,1)</f>
        <v>0</v>
      </c>
      <c r="BI396">
        <f>IF(BH396=0,0,1+COUNTIF(BI$3:BI395,"&gt;0"))</f>
        <v>0</v>
      </c>
      <c r="BJ396" t="str">
        <f t="shared" si="371"/>
        <v/>
      </c>
      <c r="BK396" t="str">
        <f t="shared" si="343"/>
        <v/>
      </c>
      <c r="BM396">
        <f>IF(OR(IFERROR(SEARCH("Warlock",$T396,1),0)&gt;0,IFERROR(SEARCH(WarlockPatron,$T396,1),0)&gt;0),1,0)*IF(WarlockMaxSpellLevel&gt;=$C396,1,0)*IF(IFERROR(MATCH(B396,Character_Creation!$J$361:$J$375,0),0)&gt;0,0,1)</f>
        <v>0</v>
      </c>
      <c r="BN396">
        <f>IF(BM396=0,0,1+COUNTIF(BN$3:BN395,"&gt;0"))</f>
        <v>0</v>
      </c>
      <c r="BO396" t="str">
        <f t="shared" si="372"/>
        <v/>
      </c>
      <c r="BP396" t="str">
        <f t="shared" si="344"/>
        <v/>
      </c>
      <c r="BR396">
        <f>IF(IFERROR(SEARCH("Eldritch Knight",$T396,1),0)&gt;0,1,0)*IF(EldritchKnightMaxSpellLevel&gt;=$C396,1,0)*IF(IFERROR(MATCH($B396,Character_Creation!$J$350:$J$356,0),0)&gt;0,0,1)*IF(Character_Creation!$M$338&gt;0,1,0)</f>
        <v>0</v>
      </c>
      <c r="BS396">
        <f>IF(BR396=0,0,1+COUNTIF(BS$3:BS395,"&gt;0"))</f>
        <v>0</v>
      </c>
      <c r="BT396" t="str">
        <f t="shared" si="373"/>
        <v/>
      </c>
      <c r="BU396" t="str">
        <f t="shared" si="345"/>
        <v/>
      </c>
      <c r="BW396">
        <f>IF(IFERROR(SEARCH("Arcane Trickster",$T396,1),0)&gt;0,1,0)*IF(ArcaneTricksterMaxSpellLevel&gt;=$C396,1,0)*IF(IFERROR(MATCH($B396,Character_Creation!$J$350:$J$356,0),0)&gt;0,0,1)*IF(Character_Creation!$T$338&gt;0,1,0)</f>
        <v>0</v>
      </c>
      <c r="BX396">
        <f>IF(BW396=0,0,1+COUNTIF(BX$3:BX395,"&gt;0"))</f>
        <v>0</v>
      </c>
      <c r="BY396" t="str">
        <f t="shared" si="374"/>
        <v/>
      </c>
      <c r="BZ396" t="str">
        <f t="shared" si="346"/>
        <v/>
      </c>
      <c r="CB396">
        <f>IF(IFERROR(SEARCH("Wizard",$T396,1),0)&gt;0,1,0)*IF(C396&lt;=ArcaneTricksterMaxSpellLevel,1,0)*IF(IFERROR(MATCH($B396,Character_Creation!$J$350:$J$356,0),0)&gt;0,0,1)*IF(Character_Creation!$T$350&gt;0,1,0)</f>
        <v>0</v>
      </c>
      <c r="CC396">
        <f>IF(CB396=0,0,1+COUNTIF(CC$3:CC395,"&gt;0"))</f>
        <v>0</v>
      </c>
      <c r="CD396" t="str">
        <f t="shared" si="375"/>
        <v/>
      </c>
      <c r="CE396" t="str">
        <f t="shared" si="347"/>
        <v/>
      </c>
      <c r="CG396">
        <f>IF(IFERROR(SEARCH("Wizard",$T396,1),0)&gt;0,1,0)*IF($C396&lt;=EldritchKnightMaxSpellLevel,1,0)*IF(IFERROR(MATCH($B396,Character_Creation!$J$350:$J$356,0),0)&gt;0,0,1)*IF(Character_Creation!$M$350&gt;0,1,0)</f>
        <v>1</v>
      </c>
      <c r="CH396">
        <f>IF(CG396=0,0,1+COUNTIF(CH$3:CH395,"&gt;0"))</f>
        <v>72</v>
      </c>
      <c r="CI396" t="str">
        <f t="shared" si="376"/>
        <v/>
      </c>
      <c r="CJ396" t="str">
        <f t="shared" si="348"/>
        <v/>
      </c>
      <c r="CL396">
        <f>IF(IFERROR(SEARCH("Bard",$T396,1),0)&gt;0,1,0)*IF(BardMaxSpellLevel&gt;=$C396,1,0)*IF(IFERROR(MATCH(B396,Character_Creation!$C$341:$F$362,0),0)&gt;0,0,1)*IF(IFERROR(MATCH($B396,Character_Creation!$C$341:$C$362,0),0)&gt;0,0,1)</f>
        <v>0</v>
      </c>
      <c r="CM396">
        <f>IF(CL396=0,0,1+COUNTIF(CM$3:CM395,"&gt;0"))</f>
        <v>0</v>
      </c>
      <c r="CN396" t="str">
        <f t="shared" si="377"/>
        <v/>
      </c>
      <c r="CO396" t="str">
        <f t="shared" si="349"/>
        <v/>
      </c>
      <c r="CQ396">
        <f>IF(IFERROR(SEARCH("Wizard",$T396,1),0)&gt;0,1,0)*IF(WizardMaxSpellLevel&gt;=$C396,1,0)*IF(IFERROR(MATCH(B396,Character_Creation!$X$341:$X$400,0),0)&gt;0,0,1)*IF(SelectedWizardSpellLevel=$C396,1,0)</f>
        <v>0</v>
      </c>
      <c r="CR396">
        <f>IF(CQ396=0,0,1+COUNTIF(CR$3:CR395,"&gt;0"))</f>
        <v>0</v>
      </c>
      <c r="CS396" t="str">
        <f t="shared" si="378"/>
        <v/>
      </c>
      <c r="CT396" t="str">
        <f t="shared" si="350"/>
        <v/>
      </c>
      <c r="CV396">
        <f>IF(IFERROR(MATCH($B396,Character_Creation!$C$341:$C$362,0),0)&gt;0,0,1)*IF(OR(C396="Cantrip",C396&lt;=BardMaxSpellLevel),1,0)*IF(IFERROR(MATCH($B396,Character_Creation!$C$367:$C$374,0),0)&gt;0,0,1)</f>
        <v>0</v>
      </c>
      <c r="CW396">
        <f>IF(CV396=0,0,1+COUNTIF(CW$3:CW395,"&gt;0"))</f>
        <v>0</v>
      </c>
      <c r="CX396" t="str">
        <f t="shared" si="379"/>
        <v/>
      </c>
      <c r="CY396" t="str">
        <f t="shared" si="351"/>
        <v/>
      </c>
      <c r="DA396">
        <f>IF(IF(OR(IFERROR(SEARCH("Cleric",$T396,1),0)&gt;0,IFERROR(SEARCH(DivineDomain&amp;",",$T396,1),0)&gt;0),1,0)*IF($C396=DA$2,1,0)=1,1+COUNTIF(DA$3:DA395,"&gt;0"),0)</f>
        <v>0</v>
      </c>
      <c r="DB396">
        <f>IF(IF(OR(IFERROR(SEARCH("Cleric",$T396,1),0)&gt;0,IFERROR(SEARCH(DivineDomain&amp;",",$T396,1),0)&gt;0),1,0)*IF($C396=DB$2,1,0)=1,1+COUNTIF(DB$3:DB395,"&gt;0"),0)</f>
        <v>0</v>
      </c>
      <c r="DC396">
        <f>IF(IF(OR(IFERROR(SEARCH("Cleric",$T396,1),0)&gt;0,IFERROR(SEARCH(DivineDomain&amp;",",$T396,1),0)&gt;0),1,0)*IF($C396=DC$2,1,0)=1,1+COUNTIF(DC$3:DC395,"&gt;0"),0)</f>
        <v>0</v>
      </c>
      <c r="DD396">
        <f>IF(IF(OR(IFERROR(SEARCH("Cleric",$T396,1),0)&gt;0,IFERROR(SEARCH(DivineDomain&amp;",",$T396,1),0)&gt;0),1,0)*IF($C396=DD$2,1,0)=1,1+COUNTIF(DD$3:DD395,"&gt;0"),0)</f>
        <v>0</v>
      </c>
      <c r="DE396">
        <f>IF(IF(OR(IFERROR(SEARCH("Cleric",$T396,1),0)&gt;0,IFERROR(SEARCH(DivineDomain&amp;",",$T396,1),0)&gt;0),1,0)*IF($C396=DE$2,1,0)=1,1+COUNTIF(DE$3:DE395,"&gt;0"),0)</f>
        <v>0</v>
      </c>
      <c r="DF396">
        <f>IF(IF(OR(IFERROR(SEARCH("Cleric",$T396,1),0)&gt;0,IFERROR(SEARCH(DivineDomain&amp;",",$T396,1),0)&gt;0),1,0)*IF($C396=DF$2,1,0)=1,1+COUNTIF(DF$3:DF395,"&gt;0"),0)</f>
        <v>0</v>
      </c>
      <c r="DG396">
        <f>IF(IF(OR(IFERROR(SEARCH("Cleric",$T396,1),0)&gt;0,IFERROR(SEARCH(DivineDomain&amp;",",$T396,1),0)&gt;0),1,0)*IF($C396=DG$2,1,0)=1,1+COUNTIF(DG$3:DG395,"&gt;0"),0)</f>
        <v>0</v>
      </c>
      <c r="DH396">
        <f>IF(IF(OR(IFERROR(SEARCH("Cleric",$T396,1),0)&gt;0,IFERROR(SEARCH(DivineDomain&amp;",",$T396,1),0)&gt;0),1,0)*IF($C396=DH$2,1,0)=1,1+COUNTIF(DH$3:DH395,"&gt;0"),0)</f>
        <v>0</v>
      </c>
      <c r="DI396">
        <f>IF(IF(OR(IFERROR(SEARCH("Cleric",$T396,1),0)&gt;0,IFERROR(SEARCH(DivineDomain&amp;",",$T396,1),0)&gt;0),1,0)*IF($C396=DI$2,1,0)=1,1+COUNTIF(DI$3:DI395,"&gt;0"),0)</f>
        <v>0</v>
      </c>
      <c r="DJ396">
        <f>IF(IF(OR(IFERROR(SEARCH("Druid",$T396,1),0)&gt;0,IFERROR(SEARCH(DruidLand1,$T396,1),0)&gt;0,IFERROR(SEARCH(DruidLand2,$T396,1),0)&gt;0,IFERROR(SEARCH(DruidLand3,$T396,1),0)&gt;0,IFERROR(SEARCH(DruidLand4,$T396,1),0)&gt;0),1,0)*IF($C396=1,1,0)*IF($C396=DJ$2,1,0)=0,0,1+COUNTIF(DJ$3:DJ395,"&gt;0"))</f>
        <v>0</v>
      </c>
      <c r="DK396">
        <f>IF(IF(OR(IFERROR(SEARCH("Druid",$T396,1),0)&gt;0,IFERROR(SEARCH(DruidLand1,$T396,1),0)&gt;0,IFERROR(SEARCH(DruidLand2,$T396,1),0)&gt;0,IFERROR(SEARCH(DruidLand3,$T396,1),0)&gt;0,IFERROR(SEARCH(DruidLand4,$T396,1),0)&gt;0),1,0)*IF($C396=DK$2,1,0)=0,0,1+COUNTIF(DK$3:DK395,"&gt;0"))</f>
        <v>20</v>
      </c>
      <c r="DL396">
        <f>IF(IF(OR(IFERROR(SEARCH("Druid",$T396,1),0)&gt;0,IFERROR(SEARCH(DruidLand1,$T396,1),0)&gt;0,IFERROR(SEARCH(DruidLand2,$T396,1),0)&gt;0,IFERROR(SEARCH(DruidLand3,$T396,1),0)&gt;0,IFERROR(SEARCH(DruidLand4,$T396,1),0)&gt;0),1,0)*IF($C396=DL$2,1,0)=0,0,1+COUNTIF(DL$3:DL395,"&gt;0"))</f>
        <v>0</v>
      </c>
      <c r="DM396">
        <f>IF(IF(OR(IFERROR(SEARCH("Druid",$T396,1),0)&gt;0,IFERROR(SEARCH(DruidLand1,$T396,1),0)&gt;0,IFERROR(SEARCH(DruidLand2,$T396,1),0)&gt;0,IFERROR(SEARCH(DruidLand3,$T396,1),0)&gt;0,IFERROR(SEARCH(DruidLand4,$T396,1),0)&gt;0),1,0)*IF($C396=DM$2,1,0)=0,0,1+COUNTIF(DM$3:DM395,"&gt;0"))</f>
        <v>0</v>
      </c>
      <c r="DN396">
        <f>IF(IF(OR(IFERROR(SEARCH("Druid",$T396,1),0)&gt;0,IFERROR(SEARCH(DruidLand1,$T396,1),0)&gt;0,IFERROR(SEARCH(DruidLand2,$T396,1),0)&gt;0,IFERROR(SEARCH(DruidLand3,$T396,1),0)&gt;0,IFERROR(SEARCH(DruidLand4,$T396,1),0)&gt;0),1,0)*IF($C396=DN$2,1,0)=0,0,1+COUNTIF(DN$3:DN395,"&gt;0"))</f>
        <v>0</v>
      </c>
      <c r="DO396">
        <f>IF(IF(OR(IFERROR(SEARCH("Druid",$T396,1),0)&gt;0,IFERROR(SEARCH(DruidLand1,$T396,1),0)&gt;0,IFERROR(SEARCH(DruidLand2,$T396,1),0)&gt;0,IFERROR(SEARCH(DruidLand3,$T396,1),0)&gt;0,IFERROR(SEARCH(DruidLand4,$T396,1),0)&gt;0),1,0)*IF($C396=DO$2,1,0)=0,0,1+COUNTIF(DO$3:DO395,"&gt;0"))</f>
        <v>0</v>
      </c>
      <c r="DP396">
        <f>IF(IF(OR(IFERROR(SEARCH("Druid",$T396,1),0)&gt;0,IFERROR(SEARCH(DruidLand1,$T396,1),0)&gt;0,IFERROR(SEARCH(DruidLand2,$T396,1),0)&gt;0,IFERROR(SEARCH(DruidLand3,$T396,1),0)&gt;0,IFERROR(SEARCH(DruidLand4,$T396,1),0)&gt;0),1,0)*IF($C396=DP$2,1,0)=0,0,1+COUNTIF(DP$3:DP395,"&gt;0"))</f>
        <v>0</v>
      </c>
      <c r="DQ396">
        <f>IF(IF(OR(IFERROR(SEARCH("Druid",$T396,1),0)&gt;0,IFERROR(SEARCH(DruidLand1,$T396,1),0)&gt;0,IFERROR(SEARCH(DruidLand2,$T396,1),0)&gt;0,IFERROR(SEARCH(DruidLand3,$T396,1),0)&gt;0,IFERROR(SEARCH(DruidLand4,$T396,1),0)&gt;0),1,0)*IF($C396=DQ$2,1,0)=0,0,1+COUNTIF(DQ$3:DQ395,"&gt;0"))</f>
        <v>0</v>
      </c>
      <c r="DR396">
        <f>IF(IF(OR(IFERROR(SEARCH("Druid",$T396,1),0)&gt;0,IFERROR(SEARCH(DruidLand1,$T396,1),0)&gt;0,IFERROR(SEARCH(DruidLand2,$T396,1),0)&gt;0,IFERROR(SEARCH(DruidLand3,$T396,1),0)&gt;0,IFERROR(SEARCH(DruidLand4,$T396,1),0)&gt;0),1,0)*IF($C396=DR$2,1,0)=0,0,1+COUNTIF(DR$3:DR395,"&gt;0"))</f>
        <v>0</v>
      </c>
      <c r="DS396">
        <f>IF(IF(OR(IFERROR(SEARCH("Paladin",$T396,1),0)&gt;0,IFERROR(SEARCH(PaladinOath,$T396,1),0)&gt;0),1,0)*IF($C396=DS$2,1,0)=1,1+COUNTIF(DS$3:DS395,"&gt;0"),0)</f>
        <v>0</v>
      </c>
      <c r="DT396">
        <f>IF(IF(OR(IFERROR(SEARCH("Paladin",$T396,1),0)&gt;0,IFERROR(SEARCH(PaladinOath,$T396,1),0)&gt;0),1,0)*IF($C396=DT$2,1,0)=1,1+COUNTIF(DT$3:DT395,"&gt;0"),0)</f>
        <v>0</v>
      </c>
      <c r="DU396">
        <f>IF(IF(OR(IFERROR(SEARCH("Paladin",$T396,1),0)&gt;0,IFERROR(SEARCH(PaladinOath,$T396,1),0)&gt;0),1,0)*IF($C396=DU$2,1,0)=1,1+COUNTIF(DU$3:DU395,"&gt;0"),0)</f>
        <v>0</v>
      </c>
      <c r="DV396">
        <f>IF(IF(OR(IFERROR(SEARCH("Paladin",$T396,1),0)&gt;0,IFERROR(SEARCH(PaladinOath,$T396,1),0)&gt;0),1,0)*IF($C396=DV$2,1,0)=1,1+COUNTIF(DV$3:DV395,"&gt;0"),0)</f>
        <v>0</v>
      </c>
      <c r="DW396">
        <f>IF(IF(OR(IFERROR(SEARCH("Paladin",$T396,1),0)&gt;0,IFERROR(SEARCH(PaladinOath,$T396,1),0)&gt;0),1,0)*IF($C396=DW$2,1,0)=1,1+COUNTIF(DW$3:DW395,"&gt;0"),0)</f>
        <v>0</v>
      </c>
      <c r="DY396">
        <f t="shared" si="338"/>
        <v>1</v>
      </c>
      <c r="DZ396">
        <f>IF(DY396=0,0,1+MAX(DZ$3:$DZ395))</f>
        <v>394</v>
      </c>
      <c r="EB396">
        <f t="shared" si="352"/>
        <v>0</v>
      </c>
      <c r="EC396">
        <f>IF(EB396=0,0,1+COUNTIF(EC$3:EC395,"&gt;0"))</f>
        <v>0</v>
      </c>
      <c r="ED396" t="str">
        <f t="shared" si="380"/>
        <v/>
      </c>
      <c r="EE396" t="str">
        <f t="shared" si="353"/>
        <v/>
      </c>
      <c r="EG396">
        <f t="shared" si="354"/>
        <v>0</v>
      </c>
      <c r="EH396">
        <f>IF(EG396=0,0,1+COUNTIF(EH$3:EH395,"&gt;0"))</f>
        <v>0</v>
      </c>
      <c r="EI396" t="str">
        <f t="shared" si="381"/>
        <v/>
      </c>
      <c r="EJ396" t="str">
        <f t="shared" si="355"/>
        <v/>
      </c>
      <c r="EL396">
        <f t="shared" si="356"/>
        <v>0</v>
      </c>
      <c r="EM396">
        <f>IF(EL396=0,0,1+COUNTIF(EM$3:EM395,"&gt;0"))</f>
        <v>0</v>
      </c>
      <c r="EN396" t="str">
        <f t="shared" si="382"/>
        <v/>
      </c>
      <c r="EO396" t="str">
        <f t="shared" si="357"/>
        <v/>
      </c>
      <c r="EQ396">
        <f t="shared" si="358"/>
        <v>0</v>
      </c>
      <c r="ER396">
        <f>IF(EQ396=0,0,1+COUNTIF(ER$3:ER395,"&gt;0"))</f>
        <v>0</v>
      </c>
      <c r="ES396" t="str">
        <f t="shared" si="383"/>
        <v/>
      </c>
      <c r="ET396" t="str">
        <f t="shared" si="359"/>
        <v/>
      </c>
      <c r="EV396">
        <f t="shared" si="360"/>
        <v>0</v>
      </c>
      <c r="EW396">
        <f>IF(EV396=0,0,1+COUNTIF(EW$3:EW395,"&gt;0"))</f>
        <v>0</v>
      </c>
      <c r="EX396" t="str">
        <f t="shared" si="384"/>
        <v/>
      </c>
      <c r="EY396" t="str">
        <f t="shared" si="361"/>
        <v/>
      </c>
      <c r="FA396">
        <f t="shared" si="362"/>
        <v>0</v>
      </c>
      <c r="FB396">
        <f>IF(FA396=0,0,1+COUNTIF(FB$3:FB395,"&gt;0"))</f>
        <v>0</v>
      </c>
      <c r="FC396" t="str">
        <f t="shared" si="385"/>
        <v/>
      </c>
      <c r="FD396" t="str">
        <f t="shared" si="363"/>
        <v/>
      </c>
      <c r="FF396">
        <f t="shared" si="364"/>
        <v>0</v>
      </c>
      <c r="FG396">
        <f>IF(FF396=0,0,1+COUNTIF(FG$3:FG395,"&gt;0"))</f>
        <v>0</v>
      </c>
      <c r="FH396" t="str">
        <f t="shared" si="386"/>
        <v/>
      </c>
      <c r="FI396" t="str">
        <f t="shared" si="365"/>
        <v/>
      </c>
      <c r="FK396">
        <f t="shared" si="366"/>
        <v>0</v>
      </c>
      <c r="FL396">
        <f>IF(FK396=0,0,1+COUNTIF(FL$3:FL395,"&gt;0"))</f>
        <v>0</v>
      </c>
      <c r="FM396" t="str">
        <f t="shared" si="387"/>
        <v/>
      </c>
      <c r="FN396" t="str">
        <f t="shared" si="367"/>
        <v/>
      </c>
      <c r="FP396">
        <f t="shared" si="368"/>
        <v>0</v>
      </c>
      <c r="FQ396">
        <f>IF(FP396=0,0,1+COUNTIF(FQ$3:FQ395,"&gt;0"))</f>
        <v>0</v>
      </c>
      <c r="FR396" t="str">
        <f t="shared" si="388"/>
        <v/>
      </c>
      <c r="FS396" t="str">
        <f t="shared" si="369"/>
        <v/>
      </c>
    </row>
    <row r="397" spans="1:175" x14ac:dyDescent="0.25">
      <c r="A397" s="347">
        <f t="shared" si="331"/>
        <v>395</v>
      </c>
      <c r="B397" s="398" t="s">
        <v>5565</v>
      </c>
      <c r="C397" s="348">
        <v>2</v>
      </c>
      <c r="D397" s="347">
        <v>2</v>
      </c>
      <c r="E397" s="627" t="s">
        <v>6957</v>
      </c>
      <c r="F397" s="346"/>
      <c r="G397" s="347" t="str">
        <f>""</f>
        <v/>
      </c>
      <c r="H397" s="347" t="s">
        <v>5912</v>
      </c>
      <c r="I397" s="347" t="s">
        <v>5312</v>
      </c>
      <c r="J397" s="347" t="str">
        <f t="shared" si="339"/>
        <v/>
      </c>
      <c r="K397" s="347" t="s">
        <v>5278</v>
      </c>
      <c r="L397" s="611" t="str">
        <f t="shared" si="340"/>
        <v>V, S, M, a piece of ice or a small white rock chip</v>
      </c>
      <c r="M397" s="347" t="s">
        <v>2373</v>
      </c>
      <c r="N397" s="347" t="s">
        <v>2387</v>
      </c>
      <c r="O397" s="347" t="s">
        <v>1244</v>
      </c>
      <c r="P397" s="346" t="s">
        <v>5566</v>
      </c>
      <c r="Q397" s="347" t="s">
        <v>5273</v>
      </c>
      <c r="S397" s="346" t="s">
        <v>5899</v>
      </c>
      <c r="T397" s="346" t="str">
        <f t="shared" si="341"/>
        <v xml:space="preserve">Sorcerer, Eldritch Knight, Wizard, </v>
      </c>
      <c r="X397" s="347" t="str">
        <f>$B397</f>
        <v>Snilloc’s Snowball Swarm</v>
      </c>
      <c r="AB397" s="542" t="str">
        <f>AD397</f>
        <v>Snilloc’s Snowball Swarm</v>
      </c>
      <c r="AD397" s="347" t="str">
        <f t="shared" si="389"/>
        <v>Snilloc’s Snowball Swarm</v>
      </c>
      <c r="AE397" t="str">
        <f>IF(IFERROR(MATCH($B397,temp!A$4:A$13,0),0)&gt;0,T08_Spells!AE$2,"")</f>
        <v/>
      </c>
      <c r="AF397" t="str">
        <f>IF(IFERROR(MATCH($B397,temp!B$4:B$13,0),0)&gt;0,T08_Spells!AF$2,"")</f>
        <v/>
      </c>
      <c r="AG397" t="str">
        <f>IF(IFERROR(MATCH($B397,temp!C$4:C$13,0),0)&gt;0,T08_Spells!AG$2,"")</f>
        <v/>
      </c>
      <c r="AH397" t="str">
        <f>IF(IFERROR(MATCH($B397,temp!D$4:D$13,0),0)&gt;0,T08_Spells!AH$2,"")</f>
        <v/>
      </c>
      <c r="AI397" t="str">
        <f>IF(IFERROR(MATCH($B397,temp!E$4:E$13,0),0)&gt;0,T08_Spells!AI$2,"")</f>
        <v/>
      </c>
      <c r="AJ397" t="str">
        <f>IF(IFERROR(MATCH($B397,temp!F$4:F$13,0),0)&gt;0,T08_Spells!AJ$2,"")</f>
        <v/>
      </c>
      <c r="AK397" t="str">
        <f>IF(IFERROR(MATCH($B397,temp!G$4:G$13,0),0)&gt;0,T08_Spells!AK$2,"")</f>
        <v/>
      </c>
      <c r="AL397" t="str">
        <f>IF(IFERROR(MATCH($B397,temp!H$4:H$13,0),0)&gt;0,T08_Spells!AL$2,"")</f>
        <v/>
      </c>
      <c r="AM397" t="str">
        <f>IF(IFERROR(MATCH($B397,temp!I$4:I$13,0),0)&gt;0,T08_Spells!AM$2,"")</f>
        <v/>
      </c>
      <c r="AN397" t="str">
        <f>IF(IFERROR(MATCH($B397,temp!J$4:J$13,0),0)&gt;0,T08_Spells!AN$2,"")</f>
        <v/>
      </c>
      <c r="AO397" t="str">
        <f>IF(IFERROR(MATCH($B397,temp!K$4:K$13,0),0)&gt;0,T08_Spells!AO$2,"")</f>
        <v/>
      </c>
      <c r="AP397" t="str">
        <f>IF(IFERROR(MATCH($B397,temp!L$4:L$13,0),0)&gt;0,T08_Spells!AP$2,"")</f>
        <v/>
      </c>
      <c r="AQ397" t="str">
        <f>IF(IFERROR(MATCH($B397,temp!M$4:M$13,0),0)&gt;0,T08_Spells!AQ$2,"")</f>
        <v/>
      </c>
      <c r="AR397" t="str">
        <f>IF(IFERROR(MATCH($B397,temp!N$4:N$13,0),0)&gt;0,T08_Spells!AR$2,"")</f>
        <v/>
      </c>
      <c r="AS397" t="str">
        <f>IF(IFERROR(MATCH($B397,temp!O$4:O$13,0),0)&gt;0,T08_Spells!AS$2,"")</f>
        <v/>
      </c>
      <c r="AT397" t="str">
        <f>IF(IFERROR(MATCH($B397,temp!P$4:P$13,0),0)&gt;0,T08_Spells!AT$2,"")</f>
        <v/>
      </c>
      <c r="AU397" t="str">
        <f>IF(IFERROR(MATCH($B397,temp!Q$4:Q$13,0),0)&gt;0,T08_Spells!AU$2,"")</f>
        <v/>
      </c>
      <c r="AV397" t="str">
        <f>IF(IFERROR(MATCH($B397,temp!R$4:R$13,0),0)&gt;0,T08_Spells!AV$2,"")</f>
        <v/>
      </c>
      <c r="AW397" t="str">
        <f>IF(IFERROR(MATCH($B397,temp!S$4:S$13,0),0)&gt;0,T08_Spells!AW$2,"")</f>
        <v/>
      </c>
      <c r="AX397" t="str">
        <f>IF(IFERROR(MATCH($B397,temp!T$4:T$13,0),0)&gt;0,T08_Spells!AX$2,"")</f>
        <v/>
      </c>
      <c r="AY397" t="str">
        <f>IF(IFERROR(MATCH($B397,temp!U$4:U$13,0),0)&gt;0,T08_Spells!AY$2,"")</f>
        <v/>
      </c>
      <c r="AZ397" t="str">
        <f>IF(IFERROR(MATCH($B397,temp!V$4:V$13,0),0)&gt;0,T08_Spells!AZ$2,"")</f>
        <v/>
      </c>
      <c r="BA397" t="str">
        <f>IF(IFERROR(MATCH($B397,temp!W$4:W$13,0),0)&gt;0,T08_Spells!BA$2,"")</f>
        <v/>
      </c>
      <c r="BC397">
        <f>IF(IFERROR(SEARCH("Ranger",$T397,1),0)&gt;0,1,0)*IF(RangerMaxSpellLevel&gt;=$C397,1,0)*IF(IFERROR(MATCH(B397,Character_Creation!$X$79:$X$382,0),0)&gt;0,0,1)</f>
        <v>0</v>
      </c>
      <c r="BD397">
        <f>IF(BC397=0,0,1+COUNTIF(BD$3:BD396,"&gt;0"))</f>
        <v>0</v>
      </c>
      <c r="BE397" t="str">
        <f t="shared" si="370"/>
        <v/>
      </c>
      <c r="BF397" t="str">
        <f t="shared" si="342"/>
        <v/>
      </c>
      <c r="BH397">
        <f>IF(IFERROR(SEARCH("Sorcerer",$T397,1),0)&gt;0,1,0)*IF(SorcererMaxSpellLevel&gt;=$C397,1,0)*IF(IFERROR(MATCH(B397,Character_Creation!$J$380:$J$394,0),0)&gt;0,0,1)</f>
        <v>0</v>
      </c>
      <c r="BI397">
        <f>IF(BH397=0,0,1+COUNTIF(BI$3:BI396,"&gt;0"))</f>
        <v>0</v>
      </c>
      <c r="BJ397" t="str">
        <f t="shared" si="371"/>
        <v/>
      </c>
      <c r="BK397" t="str">
        <f t="shared" si="343"/>
        <v/>
      </c>
      <c r="BM397">
        <f>IF(OR(IFERROR(SEARCH("Warlock",$T397,1),0)&gt;0,IFERROR(SEARCH(WarlockPatron,$T397,1),0)&gt;0),1,0)*IF(WarlockMaxSpellLevel&gt;=$C397,1,0)*IF(IFERROR(MATCH(B397,Character_Creation!$J$361:$J$375,0),0)&gt;0,0,1)</f>
        <v>0</v>
      </c>
      <c r="BN397">
        <f>IF(BM397=0,0,1+COUNTIF(BN$3:BN396,"&gt;0"))</f>
        <v>0</v>
      </c>
      <c r="BO397" t="str">
        <f t="shared" si="372"/>
        <v/>
      </c>
      <c r="BP397" t="str">
        <f t="shared" si="344"/>
        <v/>
      </c>
      <c r="BR397">
        <f>IF(IFERROR(SEARCH("Eldritch Knight",$T397,1),0)&gt;0,1,0)*IF(EldritchKnightMaxSpellLevel&gt;=$C397,1,0)*IF(IFERROR(MATCH($B397,Character_Creation!$J$350:$J$356,0),0)&gt;0,0,1)*IF(Character_Creation!$M$338&gt;0,1,0)</f>
        <v>0</v>
      </c>
      <c r="BS397">
        <f>IF(BR397=0,0,1+COUNTIF(BS$3:BS396,"&gt;0"))</f>
        <v>0</v>
      </c>
      <c r="BT397" t="str">
        <f t="shared" si="373"/>
        <v/>
      </c>
      <c r="BU397" t="str">
        <f t="shared" si="345"/>
        <v/>
      </c>
      <c r="BW397">
        <f>IF(IFERROR(SEARCH("Arcane Trickster",$T397,1),0)&gt;0,1,0)*IF(ArcaneTricksterMaxSpellLevel&gt;=$C397,1,0)*IF(IFERROR(MATCH($B397,Character_Creation!$J$350:$J$356,0),0)&gt;0,0,1)*IF(Character_Creation!$T$338&gt;0,1,0)</f>
        <v>0</v>
      </c>
      <c r="BX397">
        <f>IF(BW397=0,0,1+COUNTIF(BX$3:BX396,"&gt;0"))</f>
        <v>0</v>
      </c>
      <c r="BY397" t="str">
        <f t="shared" si="374"/>
        <v/>
      </c>
      <c r="BZ397" t="str">
        <f t="shared" si="346"/>
        <v/>
      </c>
      <c r="CB397">
        <f>IF(IFERROR(SEARCH("Wizard",$T397,1),0)&gt;0,1,0)*IF(C397&lt;=ArcaneTricksterMaxSpellLevel,1,0)*IF(IFERROR(MATCH($B397,Character_Creation!$J$350:$J$356,0),0)&gt;0,0,1)*IF(Character_Creation!$T$350&gt;0,1,0)</f>
        <v>0</v>
      </c>
      <c r="CC397">
        <f>IF(CB397=0,0,1+COUNTIF(CC$3:CC396,"&gt;0"))</f>
        <v>0</v>
      </c>
      <c r="CD397" t="str">
        <f t="shared" si="375"/>
        <v/>
      </c>
      <c r="CE397" t="str">
        <f t="shared" si="347"/>
        <v/>
      </c>
      <c r="CG397">
        <f>IF(IFERROR(SEARCH("Wizard",$T397,1),0)&gt;0,1,0)*IF($C397&lt;=EldritchKnightMaxSpellLevel,1,0)*IF(IFERROR(MATCH($B397,Character_Creation!$J$350:$J$356,0),0)&gt;0,0,1)*IF(Character_Creation!$M$350&gt;0,1,0)</f>
        <v>1</v>
      </c>
      <c r="CH397">
        <f>IF(CG397=0,0,1+COUNTIF(CH$3:CH396,"&gt;0"))</f>
        <v>73</v>
      </c>
      <c r="CI397" t="str">
        <f t="shared" si="376"/>
        <v/>
      </c>
      <c r="CJ397" t="str">
        <f t="shared" si="348"/>
        <v/>
      </c>
      <c r="CL397">
        <f>IF(IFERROR(SEARCH("Bard",$T397,1),0)&gt;0,1,0)*IF(BardMaxSpellLevel&gt;=$C397,1,0)*IF(IFERROR(MATCH(B397,Character_Creation!$C$341:$F$362,0),0)&gt;0,0,1)*IF(IFERROR(MATCH($B397,Character_Creation!$C$341:$C$362,0),0)&gt;0,0,1)</f>
        <v>0</v>
      </c>
      <c r="CM397">
        <f>IF(CL397=0,0,1+COUNTIF(CM$3:CM396,"&gt;0"))</f>
        <v>0</v>
      </c>
      <c r="CN397" t="str">
        <f t="shared" si="377"/>
        <v/>
      </c>
      <c r="CO397" t="str">
        <f t="shared" si="349"/>
        <v/>
      </c>
      <c r="CQ397">
        <f>IF(IFERROR(SEARCH("Wizard",$T397,1),0)&gt;0,1,0)*IF(WizardMaxSpellLevel&gt;=$C397,1,0)*IF(IFERROR(MATCH(B397,Character_Creation!$X$341:$X$400,0),0)&gt;0,0,1)*IF(SelectedWizardSpellLevel=$C397,1,0)</f>
        <v>0</v>
      </c>
      <c r="CR397">
        <f>IF(CQ397=0,0,1+COUNTIF(CR$3:CR396,"&gt;0"))</f>
        <v>0</v>
      </c>
      <c r="CS397" t="str">
        <f t="shared" si="378"/>
        <v/>
      </c>
      <c r="CT397" t="str">
        <f t="shared" si="350"/>
        <v/>
      </c>
      <c r="CV397">
        <f>IF(IFERROR(MATCH($B397,Character_Creation!$C$341:$C$362,0),0)&gt;0,0,1)*IF(OR(C397="Cantrip",C397&lt;=BardMaxSpellLevel),1,0)*IF(IFERROR(MATCH($B397,Character_Creation!$C$367:$C$374,0),0)&gt;0,0,1)</f>
        <v>0</v>
      </c>
      <c r="CW397">
        <f>IF(CV397=0,0,1+COUNTIF(CW$3:CW396,"&gt;0"))</f>
        <v>0</v>
      </c>
      <c r="CX397" t="str">
        <f t="shared" si="379"/>
        <v/>
      </c>
      <c r="CY397" t="str">
        <f t="shared" si="351"/>
        <v/>
      </c>
      <c r="DA397">
        <f>IF(IF(OR(IFERROR(SEARCH("Cleric",$T397,1),0)&gt;0,IFERROR(SEARCH(DivineDomain&amp;",",$T397,1),0)&gt;0),1,0)*IF($C397=DA$2,1,0)=1,1+COUNTIF(DA$3:DA396,"&gt;0"),0)</f>
        <v>0</v>
      </c>
      <c r="DB397">
        <f>IF(IF(OR(IFERROR(SEARCH("Cleric",$T397,1),0)&gt;0,IFERROR(SEARCH(DivineDomain&amp;",",$T397,1),0)&gt;0),1,0)*IF($C397=DB$2,1,0)=1,1+COUNTIF(DB$3:DB396,"&gt;0"),0)</f>
        <v>0</v>
      </c>
      <c r="DC397">
        <f>IF(IF(OR(IFERROR(SEARCH("Cleric",$T397,1),0)&gt;0,IFERROR(SEARCH(DivineDomain&amp;",",$T397,1),0)&gt;0),1,0)*IF($C397=DC$2,1,0)=1,1+COUNTIF(DC$3:DC396,"&gt;0"),0)</f>
        <v>0</v>
      </c>
      <c r="DD397">
        <f>IF(IF(OR(IFERROR(SEARCH("Cleric",$T397,1),0)&gt;0,IFERROR(SEARCH(DivineDomain&amp;",",$T397,1),0)&gt;0),1,0)*IF($C397=DD$2,1,0)=1,1+COUNTIF(DD$3:DD396,"&gt;0"),0)</f>
        <v>0</v>
      </c>
      <c r="DE397">
        <f>IF(IF(OR(IFERROR(SEARCH("Cleric",$T397,1),0)&gt;0,IFERROR(SEARCH(DivineDomain&amp;",",$T397,1),0)&gt;0),1,0)*IF($C397=DE$2,1,0)=1,1+COUNTIF(DE$3:DE396,"&gt;0"),0)</f>
        <v>0</v>
      </c>
      <c r="DF397">
        <f>IF(IF(OR(IFERROR(SEARCH("Cleric",$T397,1),0)&gt;0,IFERROR(SEARCH(DivineDomain&amp;",",$T397,1),0)&gt;0),1,0)*IF($C397=DF$2,1,0)=1,1+COUNTIF(DF$3:DF396,"&gt;0"),0)</f>
        <v>0</v>
      </c>
      <c r="DG397">
        <f>IF(IF(OR(IFERROR(SEARCH("Cleric",$T397,1),0)&gt;0,IFERROR(SEARCH(DivineDomain&amp;",",$T397,1),0)&gt;0),1,0)*IF($C397=DG$2,1,0)=1,1+COUNTIF(DG$3:DG396,"&gt;0"),0)</f>
        <v>0</v>
      </c>
      <c r="DH397">
        <f>IF(IF(OR(IFERROR(SEARCH("Cleric",$T397,1),0)&gt;0,IFERROR(SEARCH(DivineDomain&amp;",",$T397,1),0)&gt;0),1,0)*IF($C397=DH$2,1,0)=1,1+COUNTIF(DH$3:DH396,"&gt;0"),0)</f>
        <v>0</v>
      </c>
      <c r="DI397">
        <f>IF(IF(OR(IFERROR(SEARCH("Cleric",$T397,1),0)&gt;0,IFERROR(SEARCH(DivineDomain&amp;",",$T397,1),0)&gt;0),1,0)*IF($C397=DI$2,1,0)=1,1+COUNTIF(DI$3:DI396,"&gt;0"),0)</f>
        <v>0</v>
      </c>
      <c r="DJ397">
        <f>IF(IF(OR(IFERROR(SEARCH("Druid",$T397,1),0)&gt;0,IFERROR(SEARCH(DruidLand1,$T397,1),0)&gt;0,IFERROR(SEARCH(DruidLand2,$T397,1),0)&gt;0,IFERROR(SEARCH(DruidLand3,$T397,1),0)&gt;0,IFERROR(SEARCH(DruidLand4,$T397,1),0)&gt;0),1,0)*IF($C397=1,1,0)*IF($C397=DJ$2,1,0)=0,0,1+COUNTIF(DJ$3:DJ396,"&gt;0"))</f>
        <v>0</v>
      </c>
      <c r="DK397">
        <f>IF(IF(OR(IFERROR(SEARCH("Druid",$T397,1),0)&gt;0,IFERROR(SEARCH(DruidLand1,$T397,1),0)&gt;0,IFERROR(SEARCH(DruidLand2,$T397,1),0)&gt;0,IFERROR(SEARCH(DruidLand3,$T397,1),0)&gt;0,IFERROR(SEARCH(DruidLand4,$T397,1),0)&gt;0),1,0)*IF($C397=1,1,0)*IF($C397=DK$2,1,0)=0,0,1+COUNTIF(DK$3:DK396,"&gt;0"))</f>
        <v>0</v>
      </c>
      <c r="DL397">
        <f>IF(IF(OR(IFERROR(SEARCH("Druid",$T397,1),0)&gt;0,IFERROR(SEARCH(DruidLand1,$T397,1),0)&gt;0,IFERROR(SEARCH(DruidLand2,$T397,1),0)&gt;0,IFERROR(SEARCH(DruidLand3,$T397,1),0)&gt;0,IFERROR(SEARCH(DruidLand4,$T397,1),0)&gt;0),1,0)*IF($C397=1,1,0)*IF($C397=DL$2,1,0)=0,0,1+COUNTIF(DL$3:DL396,"&gt;0"))</f>
        <v>0</v>
      </c>
      <c r="DM397">
        <f>IF(IF(OR(IFERROR(SEARCH("Druid",$T397,1),0)&gt;0,IFERROR(SEARCH(DruidLand1,$T397,1),0)&gt;0,IFERROR(SEARCH(DruidLand2,$T397,1),0)&gt;0,IFERROR(SEARCH(DruidLand3,$T397,1),0)&gt;0,IFERROR(SEARCH(DruidLand4,$T397,1),0)&gt;0),1,0)*IF($C397=1,1,0)*IF($C397=DM$2,1,0)=0,0,1+COUNTIF(DM$3:DM396,"&gt;0"))</f>
        <v>0</v>
      </c>
      <c r="DN397">
        <f>IF(IF(OR(IFERROR(SEARCH("Druid",$T397,1),0)&gt;0,IFERROR(SEARCH(DruidLand1,$T397,1),0)&gt;0,IFERROR(SEARCH(DruidLand2,$T397,1),0)&gt;0,IFERROR(SEARCH(DruidLand3,$T397,1),0)&gt;0,IFERROR(SEARCH(DruidLand4,$T397,1),0)&gt;0),1,0)*IF($C397=1,1,0)*IF($C397=DN$2,1,0)=0,0,1+COUNTIF(DN$3:DN396,"&gt;0"))</f>
        <v>0</v>
      </c>
      <c r="DO397">
        <f>IF(IF(OR(IFERROR(SEARCH("Druid",$T397,1),0)&gt;0,IFERROR(SEARCH(DruidLand1,$T397,1),0)&gt;0,IFERROR(SEARCH(DruidLand2,$T397,1),0)&gt;0,IFERROR(SEARCH(DruidLand3,$T397,1),0)&gt;0,IFERROR(SEARCH(DruidLand4,$T397,1),0)&gt;0),1,0)*IF($C397=1,1,0)*IF($C397=DO$2,1,0)=0,0,1+COUNTIF(DO$3:DO396,"&gt;0"))</f>
        <v>0</v>
      </c>
      <c r="DP397">
        <f>IF(IF(OR(IFERROR(SEARCH("Druid",$T397,1),0)&gt;0,IFERROR(SEARCH(DruidLand1,$T397,1),0)&gt;0,IFERROR(SEARCH(DruidLand2,$T397,1),0)&gt;0,IFERROR(SEARCH(DruidLand3,$T397,1),0)&gt;0,IFERROR(SEARCH(DruidLand4,$T397,1),0)&gt;0),1,0)*IF($C397=1,1,0)*IF($C397=DP$2,1,0)=0,0,1+COUNTIF(DP$3:DP396,"&gt;0"))</f>
        <v>0</v>
      </c>
      <c r="DQ397">
        <f>IF(IF(OR(IFERROR(SEARCH("Druid",$T397,1),0)&gt;0,IFERROR(SEARCH(DruidLand1,$T397,1),0)&gt;0,IFERROR(SEARCH(DruidLand2,$T397,1),0)&gt;0,IFERROR(SEARCH(DruidLand3,$T397,1),0)&gt;0,IFERROR(SEARCH(DruidLand4,$T397,1),0)&gt;0),1,0)*IF($C397=1,1,0)*IF($C397=DQ$2,1,0)=0,0,1+COUNTIF(DQ$3:DQ396,"&gt;0"))</f>
        <v>0</v>
      </c>
      <c r="DR397">
        <f>IF(IF(OR(IFERROR(SEARCH("Druid",$T397,1),0)&gt;0,IFERROR(SEARCH(DruidLand1,$T397,1),0)&gt;0,IFERROR(SEARCH(DruidLand2,$T397,1),0)&gt;0,IFERROR(SEARCH(DruidLand3,$T397,1),0)&gt;0,IFERROR(SEARCH(DruidLand4,$T397,1),0)&gt;0),1,0)*IF($C397=1,1,0)*IF($C397=DR$2,1,0)=0,0,1+COUNTIF(DR$3:DR396,"&gt;0"))</f>
        <v>0</v>
      </c>
      <c r="DS397">
        <f>IF(IF(OR(IFERROR(SEARCH("Paladin",$T397,1),0)&gt;0,IFERROR(SEARCH(PaladinOath,$T397,1),0)&gt;0),1,0)*IF($C397=DS$2,1,0)=1,1+COUNTIF(DS$3:DS396,"&gt;0"),0)</f>
        <v>0</v>
      </c>
      <c r="DT397">
        <f>IF(IF(OR(IFERROR(SEARCH("Paladin",$T397,1),0)&gt;0,IFERROR(SEARCH(PaladinOath,$T397,1),0)&gt;0),1,0)*IF($C397=DT$2,1,0)=1,1+COUNTIF(DT$3:DT396,"&gt;0"),0)</f>
        <v>0</v>
      </c>
      <c r="DU397">
        <f>IF(IF(OR(IFERROR(SEARCH("Paladin",$T397,1),0)&gt;0,IFERROR(SEARCH(PaladinOath,$T397,1),0)&gt;0),1,0)*IF($C397=DU$2,1,0)=1,1+COUNTIF(DU$3:DU396,"&gt;0"),0)</f>
        <v>0</v>
      </c>
      <c r="DV397">
        <f>IF(IF(OR(IFERROR(SEARCH("Paladin",$T397,1),0)&gt;0,IFERROR(SEARCH(PaladinOath,$T397,1),0)&gt;0),1,0)*IF($C397=DV$2,1,0)=1,1+COUNTIF(DV$3:DV396,"&gt;0"),0)</f>
        <v>0</v>
      </c>
      <c r="DW397">
        <f>IF(IF(OR(IFERROR(SEARCH("Paladin",$T397,1),0)&gt;0,IFERROR(SEARCH(PaladinOath,$T397,1),0)&gt;0),1,0)*IF($C397=DW$2,1,0)=1,1+COUNTIF(DW$3:DW396,"&gt;0"),0)</f>
        <v>0</v>
      </c>
      <c r="DY397">
        <f t="shared" si="338"/>
        <v>1</v>
      </c>
      <c r="DZ397">
        <f>IF(DY397=0,0,1+MAX(DZ$3:$DZ396))</f>
        <v>395</v>
      </c>
      <c r="EB397">
        <f t="shared" si="352"/>
        <v>0</v>
      </c>
      <c r="EC397">
        <f>IF(EB397=0,0,1+COUNTIF(EC$3:EC396,"&gt;0"))</f>
        <v>0</v>
      </c>
      <c r="ED397" t="str">
        <f t="shared" si="380"/>
        <v/>
      </c>
      <c r="EE397" t="str">
        <f t="shared" si="353"/>
        <v/>
      </c>
      <c r="EG397">
        <f t="shared" si="354"/>
        <v>0</v>
      </c>
      <c r="EH397">
        <f>IF(EG397=0,0,1+COUNTIF(EH$3:EH396,"&gt;0"))</f>
        <v>0</v>
      </c>
      <c r="EI397" t="str">
        <f t="shared" si="381"/>
        <v/>
      </c>
      <c r="EJ397" t="str">
        <f t="shared" si="355"/>
        <v/>
      </c>
      <c r="EL397">
        <f t="shared" si="356"/>
        <v>0</v>
      </c>
      <c r="EM397">
        <f>IF(EL397=0,0,1+COUNTIF(EM$3:EM396,"&gt;0"))</f>
        <v>0</v>
      </c>
      <c r="EN397" t="str">
        <f t="shared" si="382"/>
        <v/>
      </c>
      <c r="EO397" t="str">
        <f t="shared" si="357"/>
        <v/>
      </c>
      <c r="EQ397">
        <f t="shared" si="358"/>
        <v>0</v>
      </c>
      <c r="ER397">
        <f>IF(EQ397=0,0,1+COUNTIF(ER$3:ER396,"&gt;0"))</f>
        <v>0</v>
      </c>
      <c r="ES397" t="str">
        <f t="shared" si="383"/>
        <v/>
      </c>
      <c r="ET397" t="str">
        <f t="shared" si="359"/>
        <v/>
      </c>
      <c r="EV397">
        <f t="shared" si="360"/>
        <v>0</v>
      </c>
      <c r="EW397">
        <f>IF(EV397=0,0,1+COUNTIF(EW$3:EW396,"&gt;0"))</f>
        <v>0</v>
      </c>
      <c r="EX397" t="str">
        <f t="shared" si="384"/>
        <v/>
      </c>
      <c r="EY397" t="str">
        <f t="shared" si="361"/>
        <v/>
      </c>
      <c r="FA397">
        <f t="shared" si="362"/>
        <v>0</v>
      </c>
      <c r="FB397">
        <f>IF(FA397=0,0,1+COUNTIF(FB$3:FB396,"&gt;0"))</f>
        <v>0</v>
      </c>
      <c r="FC397" t="str">
        <f t="shared" si="385"/>
        <v/>
      </c>
      <c r="FD397" t="str">
        <f t="shared" si="363"/>
        <v/>
      </c>
      <c r="FF397">
        <f t="shared" si="364"/>
        <v>0</v>
      </c>
      <c r="FG397">
        <f>IF(FF397=0,0,1+COUNTIF(FG$3:FG396,"&gt;0"))</f>
        <v>0</v>
      </c>
      <c r="FH397" t="str">
        <f t="shared" si="386"/>
        <v/>
      </c>
      <c r="FI397" t="str">
        <f t="shared" si="365"/>
        <v/>
      </c>
      <c r="FK397">
        <f t="shared" si="366"/>
        <v>0</v>
      </c>
      <c r="FL397">
        <f>IF(FK397=0,0,1+COUNTIF(FL$3:FL396,"&gt;0"))</f>
        <v>0</v>
      </c>
      <c r="FM397" t="str">
        <f t="shared" si="387"/>
        <v/>
      </c>
      <c r="FN397" t="str">
        <f t="shared" si="367"/>
        <v/>
      </c>
      <c r="FP397">
        <f t="shared" si="368"/>
        <v>0</v>
      </c>
      <c r="FQ397">
        <f>IF(FP397=0,0,1+COUNTIF(FQ$3:FQ396,"&gt;0"))</f>
        <v>0</v>
      </c>
      <c r="FR397" t="str">
        <f t="shared" si="388"/>
        <v/>
      </c>
      <c r="FS397" t="str">
        <f t="shared" si="369"/>
        <v/>
      </c>
    </row>
    <row r="398" spans="1:175" x14ac:dyDescent="0.25">
      <c r="A398" s="347">
        <f t="shared" si="331"/>
        <v>396</v>
      </c>
      <c r="B398" s="398" t="s">
        <v>5567</v>
      </c>
      <c r="C398" s="348">
        <v>4</v>
      </c>
      <c r="D398" s="347">
        <v>4</v>
      </c>
      <c r="E398" s="627" t="s">
        <v>6957</v>
      </c>
      <c r="F398" s="346"/>
      <c r="G398" s="347" t="str">
        <f>""</f>
        <v/>
      </c>
      <c r="H398" s="347" t="s">
        <v>5912</v>
      </c>
      <c r="I398" s="347" t="s">
        <v>5315</v>
      </c>
      <c r="J398" s="347" t="str">
        <f t="shared" si="339"/>
        <v/>
      </c>
      <c r="K398" s="347" t="s">
        <v>5291</v>
      </c>
      <c r="L398" s="611" t="str">
        <f t="shared" si="340"/>
        <v>V, S</v>
      </c>
      <c r="M398" s="347" t="s">
        <v>2373</v>
      </c>
      <c r="N398" s="347" t="s">
        <v>2387</v>
      </c>
      <c r="O398" s="347" t="s">
        <v>3034</v>
      </c>
      <c r="P398" s="346" t="str">
        <f>""</f>
        <v/>
      </c>
      <c r="Q398" s="347" t="s">
        <v>5273</v>
      </c>
      <c r="S398" s="346" t="s">
        <v>5900</v>
      </c>
      <c r="T398" s="346" t="str">
        <f t="shared" si="341"/>
        <v xml:space="preserve">Eldritch Knight, Wizard, </v>
      </c>
      <c r="AB398" s="542" t="str">
        <f>AD398</f>
        <v>Storm Sphere</v>
      </c>
      <c r="AD398" s="347" t="str">
        <f t="shared" si="389"/>
        <v>Storm Sphere</v>
      </c>
      <c r="AE398" t="str">
        <f>IF(IFERROR(MATCH($B398,temp!A$4:A$13,0),0)&gt;0,T08_Spells!AE$2,"")</f>
        <v/>
      </c>
      <c r="AF398" t="str">
        <f>IF(IFERROR(MATCH($B398,temp!B$4:B$13,0),0)&gt;0,T08_Spells!AF$2,"")</f>
        <v/>
      </c>
      <c r="AG398" t="str">
        <f>IF(IFERROR(MATCH($B398,temp!C$4:C$13,0),0)&gt;0,T08_Spells!AG$2,"")</f>
        <v/>
      </c>
      <c r="AH398" t="str">
        <f>IF(IFERROR(MATCH($B398,temp!D$4:D$13,0),0)&gt;0,T08_Spells!AH$2,"")</f>
        <v/>
      </c>
      <c r="AI398" t="str">
        <f>IF(IFERROR(MATCH($B398,temp!E$4:E$13,0),0)&gt;0,T08_Spells!AI$2,"")</f>
        <v/>
      </c>
      <c r="AJ398" t="str">
        <f>IF(IFERROR(MATCH($B398,temp!F$4:F$13,0),0)&gt;0,T08_Spells!AJ$2,"")</f>
        <v/>
      </c>
      <c r="AK398" t="str">
        <f>IF(IFERROR(MATCH($B398,temp!G$4:G$13,0),0)&gt;0,T08_Spells!AK$2,"")</f>
        <v/>
      </c>
      <c r="AL398" t="str">
        <f>IF(IFERROR(MATCH($B398,temp!H$4:H$13,0),0)&gt;0,T08_Spells!AL$2,"")</f>
        <v/>
      </c>
      <c r="AM398" t="str">
        <f>IF(IFERROR(MATCH($B398,temp!I$4:I$13,0),0)&gt;0,T08_Spells!AM$2,"")</f>
        <v/>
      </c>
      <c r="AN398" t="str">
        <f>IF(IFERROR(MATCH($B398,temp!J$4:J$13,0),0)&gt;0,T08_Spells!AN$2,"")</f>
        <v/>
      </c>
      <c r="AO398" t="str">
        <f>IF(IFERROR(MATCH($B398,temp!K$4:K$13,0),0)&gt;0,T08_Spells!AO$2,"")</f>
        <v/>
      </c>
      <c r="AP398" t="str">
        <f>IF(IFERROR(MATCH($B398,temp!L$4:L$13,0),0)&gt;0,T08_Spells!AP$2,"")</f>
        <v/>
      </c>
      <c r="AQ398" t="str">
        <f>IF(IFERROR(MATCH($B398,temp!M$4:M$13,0),0)&gt;0,T08_Spells!AQ$2,"")</f>
        <v/>
      </c>
      <c r="AR398" t="str">
        <f>IF(IFERROR(MATCH($B398,temp!N$4:N$13,0),0)&gt;0,T08_Spells!AR$2,"")</f>
        <v/>
      </c>
      <c r="AS398" t="str">
        <f>IF(IFERROR(MATCH($B398,temp!O$4:O$13,0),0)&gt;0,T08_Spells!AS$2,"")</f>
        <v/>
      </c>
      <c r="AT398" t="str">
        <f>IF(IFERROR(MATCH($B398,temp!P$4:P$13,0),0)&gt;0,T08_Spells!AT$2,"")</f>
        <v/>
      </c>
      <c r="AU398" t="str">
        <f>IF(IFERROR(MATCH($B398,temp!Q$4:Q$13,0),0)&gt;0,T08_Spells!AU$2,"")</f>
        <v/>
      </c>
      <c r="AV398" t="str">
        <f>IF(IFERROR(MATCH($B398,temp!R$4:R$13,0),0)&gt;0,T08_Spells!AV$2,"")</f>
        <v/>
      </c>
      <c r="AW398" t="str">
        <f>IF(IFERROR(MATCH($B398,temp!S$4:S$13,0),0)&gt;0,T08_Spells!AW$2,"")</f>
        <v/>
      </c>
      <c r="AX398" t="str">
        <f>IF(IFERROR(MATCH($B398,temp!T$4:T$13,0),0)&gt;0,T08_Spells!AX$2,"")</f>
        <v/>
      </c>
      <c r="AY398" t="str">
        <f>IF(IFERROR(MATCH($B398,temp!U$4:U$13,0),0)&gt;0,T08_Spells!AY$2,"")</f>
        <v/>
      </c>
      <c r="AZ398" t="str">
        <f>IF(IFERROR(MATCH($B398,temp!V$4:V$13,0),0)&gt;0,T08_Spells!AZ$2,"")</f>
        <v/>
      </c>
      <c r="BA398" t="str">
        <f>IF(IFERROR(MATCH($B398,temp!W$4:W$13,0),0)&gt;0,T08_Spells!BA$2,"")</f>
        <v/>
      </c>
      <c r="BC398">
        <f>IF(IFERROR(SEARCH("Ranger",$T398,1),0)&gt;0,1,0)*IF(RangerMaxSpellLevel&gt;=$C398,1,0)*IF(IFERROR(MATCH(B398,Character_Creation!$X$79:$X$382,0),0)&gt;0,0,1)</f>
        <v>0</v>
      </c>
      <c r="BD398">
        <f>IF(BC398=0,0,1+COUNTIF(BD$3:BD397,"&gt;0"))</f>
        <v>0</v>
      </c>
      <c r="BE398" t="str">
        <f t="shared" si="370"/>
        <v/>
      </c>
      <c r="BF398" t="str">
        <f t="shared" si="342"/>
        <v/>
      </c>
      <c r="BH398">
        <f>IF(IFERROR(SEARCH("Sorcerer",$T398,1),0)&gt;0,1,0)*IF(SorcererMaxSpellLevel&gt;=$C398,1,0)*IF(IFERROR(MATCH(B398,Character_Creation!$J$380:$J$394,0),0)&gt;0,0,1)</f>
        <v>0</v>
      </c>
      <c r="BI398">
        <f>IF(BH398=0,0,1+COUNTIF(BI$3:BI397,"&gt;0"))</f>
        <v>0</v>
      </c>
      <c r="BJ398" t="str">
        <f t="shared" si="371"/>
        <v/>
      </c>
      <c r="BK398" t="str">
        <f t="shared" si="343"/>
        <v/>
      </c>
      <c r="BM398">
        <f>IF(OR(IFERROR(SEARCH("Warlock",$T398,1),0)&gt;0,IFERROR(SEARCH(WarlockPatron,$T398,1),0)&gt;0),1,0)*IF(WarlockMaxSpellLevel&gt;=$C398,1,0)*IF(IFERROR(MATCH(B398,Character_Creation!$J$361:$J$375,0),0)&gt;0,0,1)</f>
        <v>0</v>
      </c>
      <c r="BN398">
        <f>IF(BM398=0,0,1+COUNTIF(BN$3:BN397,"&gt;0"))</f>
        <v>0</v>
      </c>
      <c r="BO398" t="str">
        <f t="shared" si="372"/>
        <v/>
      </c>
      <c r="BP398" t="str">
        <f t="shared" si="344"/>
        <v/>
      </c>
      <c r="BR398">
        <f>IF(IFERROR(SEARCH("Eldritch Knight",$T398,1),0)&gt;0,1,0)*IF(EldritchKnightMaxSpellLevel&gt;=$C398,1,0)*IF(IFERROR(MATCH($B398,Character_Creation!$J$350:$J$356,0),0)&gt;0,0,1)*IF(Character_Creation!$M$338&gt;0,1,0)</f>
        <v>0</v>
      </c>
      <c r="BS398">
        <f>IF(BR398=0,0,1+COUNTIF(BS$3:BS397,"&gt;0"))</f>
        <v>0</v>
      </c>
      <c r="BT398" t="str">
        <f t="shared" si="373"/>
        <v/>
      </c>
      <c r="BU398" t="str">
        <f t="shared" si="345"/>
        <v/>
      </c>
      <c r="BW398">
        <f>IF(IFERROR(SEARCH("Arcane Trickster",$T398,1),0)&gt;0,1,0)*IF(ArcaneTricksterMaxSpellLevel&gt;=$C398,1,0)*IF(IFERROR(MATCH($B398,Character_Creation!$J$350:$J$356,0),0)&gt;0,0,1)*IF(Character_Creation!$T$338&gt;0,1,0)</f>
        <v>0</v>
      </c>
      <c r="BX398">
        <f>IF(BW398=0,0,1+COUNTIF(BX$3:BX397,"&gt;0"))</f>
        <v>0</v>
      </c>
      <c r="BY398" t="str">
        <f t="shared" si="374"/>
        <v/>
      </c>
      <c r="BZ398" t="str">
        <f t="shared" si="346"/>
        <v/>
      </c>
      <c r="CB398">
        <f>IF(IFERROR(SEARCH("Wizard",$T398,1),0)&gt;0,1,0)*IF(C398&lt;=ArcaneTricksterMaxSpellLevel,1,0)*IF(IFERROR(MATCH($B398,Character_Creation!$J$350:$J$356,0),0)&gt;0,0,1)*IF(Character_Creation!$T$350&gt;0,1,0)</f>
        <v>0</v>
      </c>
      <c r="CC398">
        <f>IF(CB398=0,0,1+COUNTIF(CC$3:CC397,"&gt;0"))</f>
        <v>0</v>
      </c>
      <c r="CD398" t="str">
        <f t="shared" si="375"/>
        <v/>
      </c>
      <c r="CE398" t="str">
        <f t="shared" si="347"/>
        <v/>
      </c>
      <c r="CG398">
        <f>IF(IFERROR(SEARCH("Wizard",$T398,1),0)&gt;0,1,0)*IF($C398&lt;=EldritchKnightMaxSpellLevel,1,0)*IF(IFERROR(MATCH($B398,Character_Creation!$J$350:$J$356,0),0)&gt;0,0,1)*IF(Character_Creation!$M$350&gt;0,1,0)</f>
        <v>0</v>
      </c>
      <c r="CH398">
        <f>IF(CG398=0,0,1+COUNTIF(CH$3:CH397,"&gt;0"))</f>
        <v>0</v>
      </c>
      <c r="CI398" t="str">
        <f t="shared" si="376"/>
        <v/>
      </c>
      <c r="CJ398" t="str">
        <f t="shared" si="348"/>
        <v/>
      </c>
      <c r="CL398">
        <f>IF(IFERROR(SEARCH("Bard",$T398,1),0)&gt;0,1,0)*IF(BardMaxSpellLevel&gt;=$C398,1,0)*IF(IFERROR(MATCH(B398,Character_Creation!$C$341:$F$362,0),0)&gt;0,0,1)*IF(IFERROR(MATCH($B398,Character_Creation!$C$341:$C$362,0),0)&gt;0,0,1)</f>
        <v>0</v>
      </c>
      <c r="CM398">
        <f>IF(CL398=0,0,1+COUNTIF(CM$3:CM397,"&gt;0"))</f>
        <v>0</v>
      </c>
      <c r="CN398" t="str">
        <f t="shared" si="377"/>
        <v/>
      </c>
      <c r="CO398" t="str">
        <f t="shared" si="349"/>
        <v/>
      </c>
      <c r="CQ398">
        <f>IF(IFERROR(SEARCH("Wizard",$T398,1),0)&gt;0,1,0)*IF(WizardMaxSpellLevel&gt;=$C398,1,0)*IF(IFERROR(MATCH(B398,Character_Creation!$X$341:$X$400,0),0)&gt;0,0,1)*IF(SelectedWizardSpellLevel=$C398,1,0)</f>
        <v>0</v>
      </c>
      <c r="CR398">
        <f>IF(CQ398=0,0,1+COUNTIF(CR$3:CR397,"&gt;0"))</f>
        <v>0</v>
      </c>
      <c r="CS398" t="str">
        <f t="shared" si="378"/>
        <v/>
      </c>
      <c r="CT398" t="str">
        <f t="shared" si="350"/>
        <v/>
      </c>
      <c r="CV398">
        <f>IF(IFERROR(MATCH($B398,Character_Creation!$C$341:$C$362,0),0)&gt;0,0,1)*IF(OR(C398="Cantrip",C398&lt;=BardMaxSpellLevel),1,0)*IF(IFERROR(MATCH($B398,Character_Creation!$C$367:$C$374,0),0)&gt;0,0,1)</f>
        <v>0</v>
      </c>
      <c r="CW398">
        <f>IF(CV398=0,0,1+COUNTIF(CW$3:CW397,"&gt;0"))</f>
        <v>0</v>
      </c>
      <c r="CX398" t="str">
        <f t="shared" si="379"/>
        <v/>
      </c>
      <c r="CY398" t="str">
        <f t="shared" si="351"/>
        <v/>
      </c>
      <c r="DA398">
        <f>IF(IF(OR(IFERROR(SEARCH("Cleric",$T398,1),0)&gt;0,IFERROR(SEARCH(DivineDomain&amp;",",$T398,1),0)&gt;0),1,0)*IF($C398=DA$2,1,0)=1,1+COUNTIF(DA$3:DA397,"&gt;0"),0)</f>
        <v>0</v>
      </c>
      <c r="DB398">
        <f>IF(IF(OR(IFERROR(SEARCH("Cleric",$T398,1),0)&gt;0,IFERROR(SEARCH(DivineDomain&amp;",",$T398,1),0)&gt;0),1,0)*IF($C398=DB$2,1,0)=1,1+COUNTIF(DB$3:DB397,"&gt;0"),0)</f>
        <v>0</v>
      </c>
      <c r="DC398">
        <f>IF(IF(OR(IFERROR(SEARCH("Cleric",$T398,1),0)&gt;0,IFERROR(SEARCH(DivineDomain&amp;",",$T398,1),0)&gt;0),1,0)*IF($C398=DC$2,1,0)=1,1+COUNTIF(DC$3:DC397,"&gt;0"),0)</f>
        <v>0</v>
      </c>
      <c r="DD398">
        <f>IF(IF(OR(IFERROR(SEARCH("Cleric",$T398,1),0)&gt;0,IFERROR(SEARCH(DivineDomain&amp;",",$T398,1),0)&gt;0),1,0)*IF($C398=DD$2,1,0)=1,1+COUNTIF(DD$3:DD397,"&gt;0"),0)</f>
        <v>0</v>
      </c>
      <c r="DE398">
        <f>IF(IF(OR(IFERROR(SEARCH("Cleric",$T398,1),0)&gt;0,IFERROR(SEARCH(DivineDomain&amp;",",$T398,1),0)&gt;0),1,0)*IF($C398=DE$2,1,0)=1,1+COUNTIF(DE$3:DE397,"&gt;0"),0)</f>
        <v>0</v>
      </c>
      <c r="DF398">
        <f>IF(IF(OR(IFERROR(SEARCH("Cleric",$T398,1),0)&gt;0,IFERROR(SEARCH(DivineDomain&amp;",",$T398,1),0)&gt;0),1,0)*IF($C398=DF$2,1,0)=1,1+COUNTIF(DF$3:DF397,"&gt;0"),0)</f>
        <v>0</v>
      </c>
      <c r="DG398">
        <f>IF(IF(OR(IFERROR(SEARCH("Cleric",$T398,1),0)&gt;0,IFERROR(SEARCH(DivineDomain&amp;",",$T398,1),0)&gt;0),1,0)*IF($C398=DG$2,1,0)=1,1+COUNTIF(DG$3:DG397,"&gt;0"),0)</f>
        <v>0</v>
      </c>
      <c r="DH398">
        <f>IF(IF(OR(IFERROR(SEARCH("Cleric",$T398,1),0)&gt;0,IFERROR(SEARCH(DivineDomain&amp;",",$T398,1),0)&gt;0),1,0)*IF($C398=DH$2,1,0)=1,1+COUNTIF(DH$3:DH397,"&gt;0"),0)</f>
        <v>0</v>
      </c>
      <c r="DI398">
        <f>IF(IF(OR(IFERROR(SEARCH("Cleric",$T398,1),0)&gt;0,IFERROR(SEARCH(DivineDomain&amp;",",$T398,1),0)&gt;0),1,0)*IF($C398=DI$2,1,0)=1,1+COUNTIF(DI$3:DI397,"&gt;0"),0)</f>
        <v>0</v>
      </c>
      <c r="DJ398">
        <f>IF(IF(OR(IFERROR(SEARCH("Druid",$T398,1),0)&gt;0,IFERROR(SEARCH(DruidLand1,$T398,1),0)&gt;0,IFERROR(SEARCH(DruidLand2,$T398,1),0)&gt;0,IFERROR(SEARCH(DruidLand3,$T398,1),0)&gt;0,IFERROR(SEARCH(DruidLand4,$T398,1),0)&gt;0),1,0)*IF($C398=1,1,0)*IF($C398=DJ$2,1,0)=0,0,1+COUNTIF(DJ$3:DJ397,"&gt;0"))</f>
        <v>0</v>
      </c>
      <c r="DK398">
        <f>IF(IF(OR(IFERROR(SEARCH("Druid",$T398,1),0)&gt;0,IFERROR(SEARCH(DruidLand1,$T398,1),0)&gt;0,IFERROR(SEARCH(DruidLand2,$T398,1),0)&gt;0,IFERROR(SEARCH(DruidLand3,$T398,1),0)&gt;0,IFERROR(SEARCH(DruidLand4,$T398,1),0)&gt;0),1,0)*IF($C398=1,1,0)*IF($C398=DK$2,1,0)=0,0,1+COUNTIF(DK$3:DK397,"&gt;0"))</f>
        <v>0</v>
      </c>
      <c r="DL398">
        <f>IF(IF(OR(IFERROR(SEARCH("Druid",$T398,1),0)&gt;0,IFERROR(SEARCH(DruidLand1,$T398,1),0)&gt;0,IFERROR(SEARCH(DruidLand2,$T398,1),0)&gt;0,IFERROR(SEARCH(DruidLand3,$T398,1),0)&gt;0,IFERROR(SEARCH(DruidLand4,$T398,1),0)&gt;0),1,0)*IF($C398=1,1,0)*IF($C398=DL$2,1,0)=0,0,1+COUNTIF(DL$3:DL397,"&gt;0"))</f>
        <v>0</v>
      </c>
      <c r="DM398">
        <f>IF(IF(OR(IFERROR(SEARCH("Druid",$T398,1),0)&gt;0,IFERROR(SEARCH(DruidLand1,$T398,1),0)&gt;0,IFERROR(SEARCH(DruidLand2,$T398,1),0)&gt;0,IFERROR(SEARCH(DruidLand3,$T398,1),0)&gt;0,IFERROR(SEARCH(DruidLand4,$T398,1),0)&gt;0),1,0)*IF($C398=1,1,0)*IF($C398=DM$2,1,0)=0,0,1+COUNTIF(DM$3:DM397,"&gt;0"))</f>
        <v>0</v>
      </c>
      <c r="DN398">
        <f>IF(IF(OR(IFERROR(SEARCH("Druid",$T398,1),0)&gt;0,IFERROR(SEARCH(DruidLand1,$T398,1),0)&gt;0,IFERROR(SEARCH(DruidLand2,$T398,1),0)&gt;0,IFERROR(SEARCH(DruidLand3,$T398,1),0)&gt;0,IFERROR(SEARCH(DruidLand4,$T398,1),0)&gt;0),1,0)*IF($C398=1,1,0)*IF($C398=DN$2,1,0)=0,0,1+COUNTIF(DN$3:DN397,"&gt;0"))</f>
        <v>0</v>
      </c>
      <c r="DO398">
        <f>IF(IF(OR(IFERROR(SEARCH("Druid",$T398,1),0)&gt;0,IFERROR(SEARCH(DruidLand1,$T398,1),0)&gt;0,IFERROR(SEARCH(DruidLand2,$T398,1),0)&gt;0,IFERROR(SEARCH(DruidLand3,$T398,1),0)&gt;0,IFERROR(SEARCH(DruidLand4,$T398,1),0)&gt;0),1,0)*IF($C398=1,1,0)*IF($C398=DO$2,1,0)=0,0,1+COUNTIF(DO$3:DO397,"&gt;0"))</f>
        <v>0</v>
      </c>
      <c r="DP398">
        <f>IF(IF(OR(IFERROR(SEARCH("Druid",$T398,1),0)&gt;0,IFERROR(SEARCH(DruidLand1,$T398,1),0)&gt;0,IFERROR(SEARCH(DruidLand2,$T398,1),0)&gt;0,IFERROR(SEARCH(DruidLand3,$T398,1),0)&gt;0,IFERROR(SEARCH(DruidLand4,$T398,1),0)&gt;0),1,0)*IF($C398=1,1,0)*IF($C398=DP$2,1,0)=0,0,1+COUNTIF(DP$3:DP397,"&gt;0"))</f>
        <v>0</v>
      </c>
      <c r="DQ398">
        <f>IF(IF(OR(IFERROR(SEARCH("Druid",$T398,1),0)&gt;0,IFERROR(SEARCH(DruidLand1,$T398,1),0)&gt;0,IFERROR(SEARCH(DruidLand2,$T398,1),0)&gt;0,IFERROR(SEARCH(DruidLand3,$T398,1),0)&gt;0,IFERROR(SEARCH(DruidLand4,$T398,1),0)&gt;0),1,0)*IF($C398=1,1,0)*IF($C398=DQ$2,1,0)=0,0,1+COUNTIF(DQ$3:DQ397,"&gt;0"))</f>
        <v>0</v>
      </c>
      <c r="DR398">
        <f>IF(IF(OR(IFERROR(SEARCH("Druid",$T398,1),0)&gt;0,IFERROR(SEARCH(DruidLand1,$T398,1),0)&gt;0,IFERROR(SEARCH(DruidLand2,$T398,1),0)&gt;0,IFERROR(SEARCH(DruidLand3,$T398,1),0)&gt;0,IFERROR(SEARCH(DruidLand4,$T398,1),0)&gt;0),1,0)*IF($C398=1,1,0)*IF($C398=DR$2,1,0)=0,0,1+COUNTIF(DR$3:DR397,"&gt;0"))</f>
        <v>0</v>
      </c>
      <c r="DS398">
        <f>IF(IF(OR(IFERROR(SEARCH("Paladin",$T398,1),0)&gt;0,IFERROR(SEARCH(PaladinOath,$T398,1),0)&gt;0),1,0)*IF($C398=DS$2,1,0)=1,1+COUNTIF(DS$3:DS397,"&gt;0"),0)</f>
        <v>0</v>
      </c>
      <c r="DT398">
        <f>IF(IF(OR(IFERROR(SEARCH("Paladin",$T398,1),0)&gt;0,IFERROR(SEARCH(PaladinOath,$T398,1),0)&gt;0),1,0)*IF($C398=DT$2,1,0)=1,1+COUNTIF(DT$3:DT397,"&gt;0"),0)</f>
        <v>0</v>
      </c>
      <c r="DU398">
        <f>IF(IF(OR(IFERROR(SEARCH("Paladin",$T398,1),0)&gt;0,IFERROR(SEARCH(PaladinOath,$T398,1),0)&gt;0),1,0)*IF($C398=DU$2,1,0)=1,1+COUNTIF(DU$3:DU397,"&gt;0"),0)</f>
        <v>0</v>
      </c>
      <c r="DV398">
        <f>IF(IF(OR(IFERROR(SEARCH("Paladin",$T398,1),0)&gt;0,IFERROR(SEARCH(PaladinOath,$T398,1),0)&gt;0),1,0)*IF($C398=DV$2,1,0)=1,1+COUNTIF(DV$3:DV397,"&gt;0"),0)</f>
        <v>0</v>
      </c>
      <c r="DW398">
        <f>IF(IF(OR(IFERROR(SEARCH("Paladin",$T398,1),0)&gt;0,IFERROR(SEARCH(PaladinOath,$T398,1),0)&gt;0),1,0)*IF($C398=DW$2,1,0)=1,1+COUNTIF(DW$3:DW397,"&gt;0"),0)</f>
        <v>0</v>
      </c>
      <c r="DY398">
        <f t="shared" si="338"/>
        <v>1</v>
      </c>
      <c r="DZ398">
        <f>IF(DY398=0,0,1+MAX(DZ$3:$DZ397))</f>
        <v>396</v>
      </c>
      <c r="EB398">
        <f t="shared" si="352"/>
        <v>0</v>
      </c>
      <c r="EC398">
        <f>IF(EB398=0,0,1+COUNTIF(EC$3:EC397,"&gt;0"))</f>
        <v>0</v>
      </c>
      <c r="ED398" t="str">
        <f t="shared" si="380"/>
        <v/>
      </c>
      <c r="EE398" t="str">
        <f t="shared" si="353"/>
        <v/>
      </c>
      <c r="EG398">
        <f t="shared" si="354"/>
        <v>0</v>
      </c>
      <c r="EH398">
        <f>IF(EG398=0,0,1+COUNTIF(EH$3:EH397,"&gt;0"))</f>
        <v>0</v>
      </c>
      <c r="EI398" t="str">
        <f t="shared" si="381"/>
        <v/>
      </c>
      <c r="EJ398" t="str">
        <f t="shared" si="355"/>
        <v/>
      </c>
      <c r="EL398">
        <f t="shared" si="356"/>
        <v>0</v>
      </c>
      <c r="EM398">
        <f>IF(EL398=0,0,1+COUNTIF(EM$3:EM397,"&gt;0"))</f>
        <v>0</v>
      </c>
      <c r="EN398" t="str">
        <f t="shared" si="382"/>
        <v/>
      </c>
      <c r="EO398" t="str">
        <f t="shared" si="357"/>
        <v/>
      </c>
      <c r="EQ398">
        <f t="shared" si="358"/>
        <v>0</v>
      </c>
      <c r="ER398">
        <f>IF(EQ398=0,0,1+COUNTIF(ER$3:ER397,"&gt;0"))</f>
        <v>0</v>
      </c>
      <c r="ES398" t="str">
        <f t="shared" si="383"/>
        <v/>
      </c>
      <c r="ET398" t="str">
        <f t="shared" si="359"/>
        <v/>
      </c>
      <c r="EV398">
        <f t="shared" si="360"/>
        <v>0</v>
      </c>
      <c r="EW398">
        <f>IF(EV398=0,0,1+COUNTIF(EW$3:EW397,"&gt;0"))</f>
        <v>0</v>
      </c>
      <c r="EX398" t="str">
        <f t="shared" si="384"/>
        <v/>
      </c>
      <c r="EY398" t="str">
        <f t="shared" si="361"/>
        <v/>
      </c>
      <c r="FA398">
        <f t="shared" si="362"/>
        <v>0</v>
      </c>
      <c r="FB398">
        <f>IF(FA398=0,0,1+COUNTIF(FB$3:FB397,"&gt;0"))</f>
        <v>0</v>
      </c>
      <c r="FC398" t="str">
        <f t="shared" si="385"/>
        <v/>
      </c>
      <c r="FD398" t="str">
        <f t="shared" si="363"/>
        <v/>
      </c>
      <c r="FF398">
        <f t="shared" si="364"/>
        <v>0</v>
      </c>
      <c r="FG398">
        <f>IF(FF398=0,0,1+COUNTIF(FG$3:FG397,"&gt;0"))</f>
        <v>0</v>
      </c>
      <c r="FH398" t="str">
        <f t="shared" si="386"/>
        <v/>
      </c>
      <c r="FI398" t="str">
        <f t="shared" si="365"/>
        <v/>
      </c>
      <c r="FK398">
        <f t="shared" si="366"/>
        <v>0</v>
      </c>
      <c r="FL398">
        <f>IF(FK398=0,0,1+COUNTIF(FL$3:FL397,"&gt;0"))</f>
        <v>0</v>
      </c>
      <c r="FM398" t="str">
        <f t="shared" si="387"/>
        <v/>
      </c>
      <c r="FN398" t="str">
        <f t="shared" si="367"/>
        <v/>
      </c>
      <c r="FP398">
        <f t="shared" si="368"/>
        <v>0</v>
      </c>
      <c r="FQ398">
        <f>IF(FP398=0,0,1+COUNTIF(FQ$3:FQ397,"&gt;0"))</f>
        <v>0</v>
      </c>
      <c r="FR398" t="str">
        <f t="shared" si="388"/>
        <v/>
      </c>
      <c r="FS398" t="str">
        <f t="shared" si="369"/>
        <v/>
      </c>
    </row>
    <row r="399" spans="1:175" x14ac:dyDescent="0.25">
      <c r="A399" s="347">
        <f t="shared" si="331"/>
        <v>397</v>
      </c>
      <c r="B399" s="398" t="s">
        <v>5568</v>
      </c>
      <c r="C399" s="348" t="s">
        <v>5277</v>
      </c>
      <c r="D399" s="347">
        <v>0.5</v>
      </c>
      <c r="E399" s="627" t="s">
        <v>6957</v>
      </c>
      <c r="F399" s="346"/>
      <c r="G399" s="347" t="str">
        <f>""</f>
        <v/>
      </c>
      <c r="H399" s="347" t="s">
        <v>5912</v>
      </c>
      <c r="I399" s="347" t="s">
        <v>5283</v>
      </c>
      <c r="J399" s="347" t="str">
        <f t="shared" si="339"/>
        <v/>
      </c>
      <c r="K399" s="347" t="s">
        <v>5278</v>
      </c>
      <c r="L399" s="611" t="str">
        <f t="shared" si="340"/>
        <v>S</v>
      </c>
      <c r="M399" s="347" t="s">
        <v>3034</v>
      </c>
      <c r="N399" s="347" t="s">
        <v>2387</v>
      </c>
      <c r="O399" s="347" t="s">
        <v>3034</v>
      </c>
      <c r="P399" s="346" t="str">
        <f>""</f>
        <v/>
      </c>
      <c r="Q399" s="347" t="s">
        <v>5273</v>
      </c>
      <c r="S399" s="346" t="s">
        <v>5901</v>
      </c>
      <c r="T399" s="346" t="str">
        <f t="shared" si="341"/>
        <v xml:space="preserve">Bard, Sorcerer, Warlock, Druid, Eldritch Knight, Wizard, </v>
      </c>
      <c r="U399" s="347" t="str">
        <f>$B399</f>
        <v>Thunderclap</v>
      </c>
      <c r="X399" s="347" t="str">
        <f>$B399</f>
        <v>Thunderclap</v>
      </c>
      <c r="Y399" s="347" t="str">
        <f>$B399</f>
        <v>Thunderclap</v>
      </c>
      <c r="AA399" s="347" t="str">
        <f>$B399</f>
        <v>Thunderclap</v>
      </c>
      <c r="AB399" s="542" t="str">
        <f>AD399</f>
        <v>Thunderclap</v>
      </c>
      <c r="AD399" s="347" t="str">
        <f t="shared" si="389"/>
        <v>Thunderclap</v>
      </c>
      <c r="AE399" t="str">
        <f>IF(IFERROR(MATCH($B399,temp!A$4:A$13,0),0)&gt;0,T08_Spells!AE$2,"")</f>
        <v/>
      </c>
      <c r="AF399" t="str">
        <f>IF(IFERROR(MATCH($B399,temp!B$4:B$13,0),0)&gt;0,T08_Spells!AF$2,"")</f>
        <v/>
      </c>
      <c r="AG399" t="str">
        <f>IF(IFERROR(MATCH($B399,temp!C$4:C$13,0),0)&gt;0,T08_Spells!AG$2,"")</f>
        <v/>
      </c>
      <c r="AH399" t="str">
        <f>IF(IFERROR(MATCH($B399,temp!D$4:D$13,0),0)&gt;0,T08_Spells!AH$2,"")</f>
        <v/>
      </c>
      <c r="AI399" t="str">
        <f>IF(IFERROR(MATCH($B399,temp!E$4:E$13,0),0)&gt;0,T08_Spells!AI$2,"")</f>
        <v/>
      </c>
      <c r="AJ399" t="str">
        <f>IF(IFERROR(MATCH($B399,temp!F$4:F$13,0),0)&gt;0,T08_Spells!AJ$2,"")</f>
        <v/>
      </c>
      <c r="AK399" t="str">
        <f>IF(IFERROR(MATCH($B399,temp!G$4:G$13,0),0)&gt;0,T08_Spells!AK$2,"")</f>
        <v/>
      </c>
      <c r="AL399" t="str">
        <f>IF(IFERROR(MATCH($B399,temp!H$4:H$13,0),0)&gt;0,T08_Spells!AL$2,"")</f>
        <v/>
      </c>
      <c r="AM399" t="str">
        <f>IF(IFERROR(MATCH($B399,temp!I$4:I$13,0),0)&gt;0,T08_Spells!AM$2,"")</f>
        <v/>
      </c>
      <c r="AN399" t="str">
        <f>IF(IFERROR(MATCH($B399,temp!J$4:J$13,0),0)&gt;0,T08_Spells!AN$2,"")</f>
        <v/>
      </c>
      <c r="AO399" t="str">
        <f>IF(IFERROR(MATCH($B399,temp!K$4:K$13,0),0)&gt;0,T08_Spells!AO$2,"")</f>
        <v/>
      </c>
      <c r="AP399" t="str">
        <f>IF(IFERROR(MATCH($B399,temp!L$4:L$13,0),0)&gt;0,T08_Spells!AP$2,"")</f>
        <v/>
      </c>
      <c r="AQ399" t="str">
        <f>IF(IFERROR(MATCH($B399,temp!M$4:M$13,0),0)&gt;0,T08_Spells!AQ$2,"")</f>
        <v/>
      </c>
      <c r="AR399" t="str">
        <f>IF(IFERROR(MATCH($B399,temp!N$4:N$13,0),0)&gt;0,T08_Spells!AR$2,"")</f>
        <v/>
      </c>
      <c r="AS399" t="str">
        <f>IF(IFERROR(MATCH($B399,temp!O$4:O$13,0),0)&gt;0,T08_Spells!AS$2,"")</f>
        <v/>
      </c>
      <c r="AT399" t="str">
        <f>IF(IFERROR(MATCH($B399,temp!P$4:P$13,0),0)&gt;0,T08_Spells!AT$2,"")</f>
        <v/>
      </c>
      <c r="AU399" t="str">
        <f>IF(IFERROR(MATCH($B399,temp!Q$4:Q$13,0),0)&gt;0,T08_Spells!AU$2,"")</f>
        <v/>
      </c>
      <c r="AV399" t="str">
        <f>IF(IFERROR(MATCH($B399,temp!R$4:R$13,0),0)&gt;0,T08_Spells!AV$2,"")</f>
        <v/>
      </c>
      <c r="AW399" t="str">
        <f>IF(IFERROR(MATCH($B399,temp!S$4:S$13,0),0)&gt;0,T08_Spells!AW$2,"")</f>
        <v/>
      </c>
      <c r="AX399" t="str">
        <f>IF(IFERROR(MATCH($B399,temp!T$4:T$13,0),0)&gt;0,T08_Spells!AX$2,"")</f>
        <v/>
      </c>
      <c r="AY399" t="str">
        <f>IF(IFERROR(MATCH($B399,temp!U$4:U$13,0),0)&gt;0,T08_Spells!AY$2,"")</f>
        <v/>
      </c>
      <c r="AZ399" t="str">
        <f>IF(IFERROR(MATCH($B399,temp!V$4:V$13,0),0)&gt;0,T08_Spells!AZ$2,"")</f>
        <v/>
      </c>
      <c r="BA399" t="str">
        <f>IF(IFERROR(MATCH($B399,temp!W$4:W$13,0),0)&gt;0,T08_Spells!BA$2,"")</f>
        <v/>
      </c>
      <c r="BC399">
        <f>IF(IFERROR(SEARCH("Ranger",$T399,1),0)&gt;0,1,0)*IF(RangerMaxSpellLevel&gt;=$C399,1,0)*IF(IFERROR(MATCH(B399,Character_Creation!$X$79:$X$382,0),0)&gt;0,0,1)</f>
        <v>0</v>
      </c>
      <c r="BD399">
        <f>IF(BC399=0,0,1+COUNTIF(BD$3:BD398,"&gt;0"))</f>
        <v>0</v>
      </c>
      <c r="BE399" t="str">
        <f t="shared" si="370"/>
        <v/>
      </c>
      <c r="BF399" t="str">
        <f t="shared" si="342"/>
        <v/>
      </c>
      <c r="BH399">
        <f>IF(IFERROR(SEARCH("Sorcerer",$T399,1),0)&gt;0,1,0)*IF(SorcererMaxSpellLevel&gt;=$C399,1,0)*IF(IFERROR(MATCH(B399,Character_Creation!$J$380:$J$394,0),0)&gt;0,0,1)</f>
        <v>0</v>
      </c>
      <c r="BI399">
        <f>IF(BH399=0,0,1+COUNTIF(BI$3:BI398,"&gt;0"))</f>
        <v>0</v>
      </c>
      <c r="BJ399" t="str">
        <f t="shared" si="371"/>
        <v/>
      </c>
      <c r="BK399" t="str">
        <f t="shared" si="343"/>
        <v/>
      </c>
      <c r="BM399">
        <f>IF(OR(IFERROR(SEARCH("Warlock",$T399,1),0)&gt;0,IFERROR(SEARCH(WarlockPatron,$T399,1),0)&gt;0),1,0)*IF(WarlockMaxSpellLevel&gt;=$C399,1,0)*IF(IFERROR(MATCH(B399,Character_Creation!$J$361:$J$375,0),0)&gt;0,0,1)</f>
        <v>0</v>
      </c>
      <c r="BN399">
        <f>IF(BM399=0,0,1+COUNTIF(BN$3:BN398,"&gt;0"))</f>
        <v>0</v>
      </c>
      <c r="BO399" t="str">
        <f t="shared" si="372"/>
        <v/>
      </c>
      <c r="BP399" t="str">
        <f t="shared" si="344"/>
        <v/>
      </c>
      <c r="BR399">
        <f>IF(IFERROR(SEARCH("Eldritch Knight",$T399,1),0)&gt;0,1,0)*IF(EldritchKnightMaxSpellLevel&gt;=$C399,1,0)*IF(IFERROR(MATCH($B399,Character_Creation!$J$350:$J$356,0),0)&gt;0,0,1)*IF(Character_Creation!$M$338&gt;0,1,0)</f>
        <v>0</v>
      </c>
      <c r="BS399">
        <f>IF(BR399=0,0,1+COUNTIF(BS$3:BS398,"&gt;0"))</f>
        <v>0</v>
      </c>
      <c r="BT399" t="str">
        <f t="shared" si="373"/>
        <v/>
      </c>
      <c r="BU399" t="str">
        <f t="shared" si="345"/>
        <v/>
      </c>
      <c r="BW399">
        <f>IF(IFERROR(SEARCH("Arcane Trickster",$T399,1),0)&gt;0,1,0)*IF(ArcaneTricksterMaxSpellLevel&gt;=$C399,1,0)*IF(IFERROR(MATCH($B399,Character_Creation!$J$350:$J$356,0),0)&gt;0,0,1)*IF(Character_Creation!$T$338&gt;0,1,0)</f>
        <v>0</v>
      </c>
      <c r="BX399">
        <f>IF(BW399=0,0,1+COUNTIF(BX$3:BX398,"&gt;0"))</f>
        <v>0</v>
      </c>
      <c r="BY399" t="str">
        <f t="shared" si="374"/>
        <v/>
      </c>
      <c r="BZ399" t="str">
        <f t="shared" si="346"/>
        <v/>
      </c>
      <c r="CB399">
        <f>IF(IFERROR(SEARCH("Wizard",$T399,1),0)&gt;0,1,0)*IF(C399&lt;=ArcaneTricksterMaxSpellLevel,1,0)*IF(IFERROR(MATCH($B399,Character_Creation!$J$350:$J$356,0),0)&gt;0,0,1)*IF(Character_Creation!$T$350&gt;0,1,0)</f>
        <v>0</v>
      </c>
      <c r="CC399">
        <f>IF(CB399=0,0,1+COUNTIF(CC$3:CC398,"&gt;0"))</f>
        <v>0</v>
      </c>
      <c r="CD399" t="str">
        <f t="shared" si="375"/>
        <v/>
      </c>
      <c r="CE399" t="str">
        <f t="shared" si="347"/>
        <v/>
      </c>
      <c r="CG399">
        <f>IF(IFERROR(SEARCH("Wizard",$T399,1),0)&gt;0,1,0)*IF($C399&lt;=EldritchKnightMaxSpellLevel,1,0)*IF(IFERROR(MATCH($B399,Character_Creation!$J$350:$J$356,0),0)&gt;0,0,1)*IF(Character_Creation!$M$350&gt;0,1,0)</f>
        <v>0</v>
      </c>
      <c r="CH399">
        <f>IF(CG399=0,0,1+COUNTIF(CH$3:CH398,"&gt;0"))</f>
        <v>0</v>
      </c>
      <c r="CI399" t="str">
        <f t="shared" si="376"/>
        <v/>
      </c>
      <c r="CJ399" t="str">
        <f t="shared" si="348"/>
        <v/>
      </c>
      <c r="CL399">
        <f>IF(IFERROR(SEARCH("Bard",$T399,1),0)&gt;0,1,0)*IF(BardMaxSpellLevel&gt;=$C399,1,0)*IF(IFERROR(MATCH(B399,Character_Creation!$C$341:$F$362,0),0)&gt;0,0,1)*IF(IFERROR(MATCH($B399,Character_Creation!$C$341:$C$362,0),0)&gt;0,0,1)</f>
        <v>0</v>
      </c>
      <c r="CM399">
        <f>IF(CL399=0,0,1+COUNTIF(CM$3:CM398,"&gt;0"))</f>
        <v>0</v>
      </c>
      <c r="CN399" t="str">
        <f t="shared" si="377"/>
        <v/>
      </c>
      <c r="CO399" t="str">
        <f t="shared" si="349"/>
        <v/>
      </c>
      <c r="CQ399">
        <f>IF(IFERROR(SEARCH("Wizard",$T399,1),0)&gt;0,1,0)*IF(WizardMaxSpellLevel&gt;=$C399,1,0)*IF(IFERROR(MATCH(B399,Character_Creation!$X$341:$X$400,0),0)&gt;0,0,1)*IF(SelectedWizardSpellLevel=$C399,1,0)</f>
        <v>0</v>
      </c>
      <c r="CR399">
        <f>IF(CQ399=0,0,1+COUNTIF(CR$3:CR398,"&gt;0"))</f>
        <v>0</v>
      </c>
      <c r="CS399" t="str">
        <f t="shared" si="378"/>
        <v/>
      </c>
      <c r="CT399" t="str">
        <f t="shared" si="350"/>
        <v/>
      </c>
      <c r="CV399">
        <f>IF(IFERROR(MATCH($B399,Character_Creation!$C$341:$C$362,0),0)&gt;0,0,1)*IF(OR(C399="Cantrip",C399&lt;=BardMaxSpellLevel),1,0)*IF(IFERROR(MATCH($B399,Character_Creation!$C$367:$C$374,0),0)&gt;0,0,1)</f>
        <v>1</v>
      </c>
      <c r="CW399">
        <f>IF(CV399=0,0,1+COUNTIF(CW$3:CW398,"&gt;0"))</f>
        <v>35</v>
      </c>
      <c r="CX399" t="str">
        <f t="shared" si="379"/>
        <v/>
      </c>
      <c r="CY399" t="str">
        <f t="shared" si="351"/>
        <v/>
      </c>
      <c r="DA399">
        <f>IF(IF(OR(IFERROR(SEARCH("Cleric",$T399,1),0)&gt;0,IFERROR(SEARCH(DivineDomain&amp;",",$T399,1),0)&gt;0),1,0)*IF($C399=DA$2,1,0)=1,1+COUNTIF(DA$3:DA398,"&gt;0"),0)</f>
        <v>0</v>
      </c>
      <c r="DB399">
        <f>IF(IF(OR(IFERROR(SEARCH("Cleric",$T399,1),0)&gt;0,IFERROR(SEARCH(DivineDomain&amp;",",$T399,1),0)&gt;0),1,0)*IF($C399=DB$2,1,0)=1,1+COUNTIF(DB$3:DB398,"&gt;0"),0)</f>
        <v>0</v>
      </c>
      <c r="DC399">
        <f>IF(IF(OR(IFERROR(SEARCH("Cleric",$T399,1),0)&gt;0,IFERROR(SEARCH(DivineDomain&amp;",",$T399,1),0)&gt;0),1,0)*IF($C399=DC$2,1,0)=1,1+COUNTIF(DC$3:DC398,"&gt;0"),0)</f>
        <v>0</v>
      </c>
      <c r="DD399">
        <f>IF(IF(OR(IFERROR(SEARCH("Cleric",$T399,1),0)&gt;0,IFERROR(SEARCH(DivineDomain&amp;",",$T399,1),0)&gt;0),1,0)*IF($C399=DD$2,1,0)=1,1+COUNTIF(DD$3:DD398,"&gt;0"),0)</f>
        <v>0</v>
      </c>
      <c r="DE399">
        <f>IF(IF(OR(IFERROR(SEARCH("Cleric",$T399,1),0)&gt;0,IFERROR(SEARCH(DivineDomain&amp;",",$T399,1),0)&gt;0),1,0)*IF($C399=DE$2,1,0)=1,1+COUNTIF(DE$3:DE398,"&gt;0"),0)</f>
        <v>0</v>
      </c>
      <c r="DF399">
        <f>IF(IF(OR(IFERROR(SEARCH("Cleric",$T399,1),0)&gt;0,IFERROR(SEARCH(DivineDomain&amp;",",$T399,1),0)&gt;0),1,0)*IF($C399=DF$2,1,0)=1,1+COUNTIF(DF$3:DF398,"&gt;0"),0)</f>
        <v>0</v>
      </c>
      <c r="DG399">
        <f>IF(IF(OR(IFERROR(SEARCH("Cleric",$T399,1),0)&gt;0,IFERROR(SEARCH(DivineDomain&amp;",",$T399,1),0)&gt;0),1,0)*IF($C399=DG$2,1,0)=1,1+COUNTIF(DG$3:DG398,"&gt;0"),0)</f>
        <v>0</v>
      </c>
      <c r="DH399">
        <f>IF(IF(OR(IFERROR(SEARCH("Cleric",$T399,1),0)&gt;0,IFERROR(SEARCH(DivineDomain&amp;",",$T399,1),0)&gt;0),1,0)*IF($C399=DH$2,1,0)=1,1+COUNTIF(DH$3:DH398,"&gt;0"),0)</f>
        <v>0</v>
      </c>
      <c r="DI399">
        <f>IF(IF(OR(IFERROR(SEARCH("Cleric",$T399,1),0)&gt;0,IFERROR(SEARCH(DivineDomain&amp;",",$T399,1),0)&gt;0),1,0)*IF($C399=DI$2,1,0)=1,1+COUNTIF(DI$3:DI398,"&gt;0"),0)</f>
        <v>0</v>
      </c>
      <c r="DJ399">
        <f>IF(IF(OR(IFERROR(SEARCH("Druid",$T399,1),0)&gt;0,IFERROR(SEARCH(DruidLand1,$T399,1),0)&gt;0,IFERROR(SEARCH(DruidLand2,$T399,1),0)&gt;0,IFERROR(SEARCH(DruidLand3,$T399,1),0)&gt;0,IFERROR(SEARCH(DruidLand4,$T399,1),0)&gt;0),1,0)*IF($C399=1,1,0)*IF($C399=DJ$2,1,0)=0,0,1+COUNTIF(DJ$3:DJ398,"&gt;0"))</f>
        <v>0</v>
      </c>
      <c r="DK399">
        <f>IF(IF(OR(IFERROR(SEARCH("Druid",$T399,1),0)&gt;0,IFERROR(SEARCH(DruidLand1,$T399,1),0)&gt;0,IFERROR(SEARCH(DruidLand2,$T399,1),0)&gt;0,IFERROR(SEARCH(DruidLand3,$T399,1),0)&gt;0,IFERROR(SEARCH(DruidLand4,$T399,1),0)&gt;0),1,0)*IF($C399=DK$2,1,0)=0,0,1+COUNTIF(DK$3:DK398,"&gt;0"))</f>
        <v>0</v>
      </c>
      <c r="DL399">
        <f>IF(IF(OR(IFERROR(SEARCH("Druid",$T399,1),0)&gt;0,IFERROR(SEARCH(DruidLand1,$T399,1),0)&gt;0,IFERROR(SEARCH(DruidLand2,$T399,1),0)&gt;0,IFERROR(SEARCH(DruidLand3,$T399,1),0)&gt;0,IFERROR(SEARCH(DruidLand4,$T399,1),0)&gt;0),1,0)*IF($C399=DL$2,1,0)=0,0,1+COUNTIF(DL$3:DL398,"&gt;0"))</f>
        <v>0</v>
      </c>
      <c r="DM399">
        <f>IF(IF(OR(IFERROR(SEARCH("Druid",$T399,1),0)&gt;0,IFERROR(SEARCH(DruidLand1,$T399,1),0)&gt;0,IFERROR(SEARCH(DruidLand2,$T399,1),0)&gt;0,IFERROR(SEARCH(DruidLand3,$T399,1),0)&gt;0,IFERROR(SEARCH(DruidLand4,$T399,1),0)&gt;0),1,0)*IF($C399=DM$2,1,0)=0,0,1+COUNTIF(DM$3:DM398,"&gt;0"))</f>
        <v>0</v>
      </c>
      <c r="DN399">
        <f>IF(IF(OR(IFERROR(SEARCH("Druid",$T399,1),0)&gt;0,IFERROR(SEARCH(DruidLand1,$T399,1),0)&gt;0,IFERROR(SEARCH(DruidLand2,$T399,1),0)&gt;0,IFERROR(SEARCH(DruidLand3,$T399,1),0)&gt;0,IFERROR(SEARCH(DruidLand4,$T399,1),0)&gt;0),1,0)*IF($C399=DN$2,1,0)=0,0,1+COUNTIF(DN$3:DN398,"&gt;0"))</f>
        <v>0</v>
      </c>
      <c r="DO399">
        <f>IF(IF(OR(IFERROR(SEARCH("Druid",$T399,1),0)&gt;0,IFERROR(SEARCH(DruidLand1,$T399,1),0)&gt;0,IFERROR(SEARCH(DruidLand2,$T399,1),0)&gt;0,IFERROR(SEARCH(DruidLand3,$T399,1),0)&gt;0,IFERROR(SEARCH(DruidLand4,$T399,1),0)&gt;0),1,0)*IF($C399=DO$2,1,0)=0,0,1+COUNTIF(DO$3:DO398,"&gt;0"))</f>
        <v>0</v>
      </c>
      <c r="DP399">
        <f>IF(IF(OR(IFERROR(SEARCH("Druid",$T399,1),0)&gt;0,IFERROR(SEARCH(DruidLand1,$T399,1),0)&gt;0,IFERROR(SEARCH(DruidLand2,$T399,1),0)&gt;0,IFERROR(SEARCH(DruidLand3,$T399,1),0)&gt;0,IFERROR(SEARCH(DruidLand4,$T399,1),0)&gt;0),1,0)*IF($C399=DP$2,1,0)=0,0,1+COUNTIF(DP$3:DP398,"&gt;0"))</f>
        <v>0</v>
      </c>
      <c r="DQ399">
        <f>IF(IF(OR(IFERROR(SEARCH("Druid",$T399,1),0)&gt;0,IFERROR(SEARCH(DruidLand1,$T399,1),0)&gt;0,IFERROR(SEARCH(DruidLand2,$T399,1),0)&gt;0,IFERROR(SEARCH(DruidLand3,$T399,1),0)&gt;0,IFERROR(SEARCH(DruidLand4,$T399,1),0)&gt;0),1,0)*IF($C399=DQ$2,1,0)=0,0,1+COUNTIF(DQ$3:DQ398,"&gt;0"))</f>
        <v>0</v>
      </c>
      <c r="DR399">
        <f>IF(IF(OR(IFERROR(SEARCH("Druid",$T399,1),0)&gt;0,IFERROR(SEARCH(DruidLand1,$T399,1),0)&gt;0,IFERROR(SEARCH(DruidLand2,$T399,1),0)&gt;0,IFERROR(SEARCH(DruidLand3,$T399,1),0)&gt;0,IFERROR(SEARCH(DruidLand4,$T399,1),0)&gt;0),1,0)*IF($C399=DR$2,1,0)=0,0,1+COUNTIF(DR$3:DR398,"&gt;0"))</f>
        <v>0</v>
      </c>
      <c r="DS399">
        <f>IF(IF(OR(IFERROR(SEARCH("Paladin",$T399,1),0)&gt;0,IFERROR(SEARCH(PaladinOath,$T399,1),0)&gt;0),1,0)*IF($C399=DS$2,1,0)=1,1+COUNTIF(DS$3:DS398,"&gt;0"),0)</f>
        <v>0</v>
      </c>
      <c r="DT399">
        <f>IF(IF(OR(IFERROR(SEARCH("Paladin",$T399,1),0)&gt;0,IFERROR(SEARCH(PaladinOath,$T399,1),0)&gt;0),1,0)*IF($C399=DT$2,1,0)=1,1+COUNTIF(DT$3:DT398,"&gt;0"),0)</f>
        <v>0</v>
      </c>
      <c r="DU399">
        <f>IF(IF(OR(IFERROR(SEARCH("Paladin",$T399,1),0)&gt;0,IFERROR(SEARCH(PaladinOath,$T399,1),0)&gt;0),1,0)*IF($C399=DU$2,1,0)=1,1+COUNTIF(DU$3:DU398,"&gt;0"),0)</f>
        <v>0</v>
      </c>
      <c r="DV399">
        <f>IF(IF(OR(IFERROR(SEARCH("Paladin",$T399,1),0)&gt;0,IFERROR(SEARCH(PaladinOath,$T399,1),0)&gt;0),1,0)*IF($C399=DV$2,1,0)=1,1+COUNTIF(DV$3:DV398,"&gt;0"),0)</f>
        <v>0</v>
      </c>
      <c r="DW399">
        <f>IF(IF(OR(IFERROR(SEARCH("Paladin",$T399,1),0)&gt;0,IFERROR(SEARCH(PaladinOath,$T399,1),0)&gt;0),1,0)*IF($C399=DW$2,1,0)=1,1+COUNTIF(DW$3:DW398,"&gt;0"),0)</f>
        <v>0</v>
      </c>
      <c r="DY399">
        <f t="shared" si="338"/>
        <v>1</v>
      </c>
      <c r="DZ399">
        <f>IF(DY399=0,0,1+MAX(DZ$3:$DZ398))</f>
        <v>397</v>
      </c>
      <c r="EB399">
        <f t="shared" si="352"/>
        <v>1</v>
      </c>
      <c r="EC399">
        <f>IF(EB399=0,0,1+COUNTIF(EC$3:EC398,"&gt;0"))</f>
        <v>12</v>
      </c>
      <c r="ED399" t="str">
        <f t="shared" si="380"/>
        <v/>
      </c>
      <c r="EE399" t="str">
        <f t="shared" si="353"/>
        <v/>
      </c>
      <c r="EG399">
        <f t="shared" si="354"/>
        <v>0</v>
      </c>
      <c r="EH399">
        <f>IF(EG399=0,0,1+COUNTIF(EH$3:EH398,"&gt;0"))</f>
        <v>0</v>
      </c>
      <c r="EI399" t="str">
        <f t="shared" si="381"/>
        <v/>
      </c>
      <c r="EJ399" t="str">
        <f t="shared" si="355"/>
        <v/>
      </c>
      <c r="EL399">
        <f t="shared" si="356"/>
        <v>1</v>
      </c>
      <c r="EM399">
        <f>IF(EL399=0,0,1+COUNTIF(EM$3:EM398,"&gt;0"))</f>
        <v>16</v>
      </c>
      <c r="EN399" t="str">
        <f t="shared" si="382"/>
        <v/>
      </c>
      <c r="EO399" t="str">
        <f t="shared" si="357"/>
        <v/>
      </c>
      <c r="EQ399">
        <f t="shared" si="358"/>
        <v>1</v>
      </c>
      <c r="ER399">
        <f>IF(EQ399=0,0,1+COUNTIF(ER$3:ER398,"&gt;0"))</f>
        <v>10</v>
      </c>
      <c r="ES399" t="str">
        <f t="shared" si="383"/>
        <v/>
      </c>
      <c r="ET399" t="str">
        <f t="shared" si="359"/>
        <v/>
      </c>
      <c r="EV399">
        <f t="shared" si="360"/>
        <v>0</v>
      </c>
      <c r="EW399">
        <f>IF(EV399=0,0,1+COUNTIF(EW$3:EW398,"&gt;0"))</f>
        <v>0</v>
      </c>
      <c r="EX399" t="str">
        <f t="shared" si="384"/>
        <v/>
      </c>
      <c r="EY399" t="str">
        <f t="shared" si="361"/>
        <v/>
      </c>
      <c r="FA399">
        <f t="shared" si="362"/>
        <v>1</v>
      </c>
      <c r="FB399">
        <f>IF(FA399=0,0,1+COUNTIF(FB$3:FB398,"&gt;0"))</f>
        <v>23</v>
      </c>
      <c r="FC399" t="str">
        <f t="shared" si="385"/>
        <v/>
      </c>
      <c r="FD399" t="str">
        <f t="shared" si="363"/>
        <v/>
      </c>
      <c r="FF399">
        <f t="shared" si="364"/>
        <v>1</v>
      </c>
      <c r="FG399">
        <f>IF(FF399=0,0,1+COUNTIF(FG$3:FG398,"&gt;0"))</f>
        <v>12</v>
      </c>
      <c r="FH399" t="str">
        <f t="shared" si="386"/>
        <v/>
      </c>
      <c r="FI399" t="str">
        <f t="shared" si="365"/>
        <v/>
      </c>
      <c r="FK399">
        <f t="shared" si="366"/>
        <v>1</v>
      </c>
      <c r="FL399">
        <f>IF(FK399=0,0,1+COUNTIF(FL$3:FL398,"&gt;0"))</f>
        <v>23</v>
      </c>
      <c r="FM399" t="str">
        <f t="shared" si="387"/>
        <v/>
      </c>
      <c r="FN399" t="str">
        <f t="shared" si="367"/>
        <v/>
      </c>
      <c r="FP399">
        <f t="shared" si="368"/>
        <v>1</v>
      </c>
      <c r="FQ399">
        <f>IF(FP399=0,0,1+COUNTIF(FQ$3:FQ398,"&gt;0"))</f>
        <v>12</v>
      </c>
      <c r="FR399" t="str">
        <f t="shared" si="388"/>
        <v/>
      </c>
      <c r="FS399" t="str">
        <f t="shared" si="369"/>
        <v/>
      </c>
    </row>
    <row r="400" spans="1:175" x14ac:dyDescent="0.25">
      <c r="A400" s="347">
        <f t="shared" ref="A400:A407" si="390">A399+1</f>
        <v>398</v>
      </c>
      <c r="B400" s="398" t="s">
        <v>5569</v>
      </c>
      <c r="C400" s="348">
        <v>3</v>
      </c>
      <c r="D400" s="347">
        <v>3</v>
      </c>
      <c r="E400" s="627" t="s">
        <v>6957</v>
      </c>
      <c r="F400" s="346"/>
      <c r="G400" s="347" t="str">
        <f>""</f>
        <v/>
      </c>
      <c r="H400" s="347" t="s">
        <v>5912</v>
      </c>
      <c r="I400" s="347" t="s">
        <v>5290</v>
      </c>
      <c r="J400" s="347" t="str">
        <f t="shared" si="339"/>
        <v/>
      </c>
      <c r="K400" s="347" t="s">
        <v>5278</v>
      </c>
      <c r="L400" s="611" t="str">
        <f t="shared" si="340"/>
        <v>V, S, M, a drop of water</v>
      </c>
      <c r="M400" s="347" t="s">
        <v>2373</v>
      </c>
      <c r="N400" s="347" t="s">
        <v>2387</v>
      </c>
      <c r="O400" s="347" t="s">
        <v>1244</v>
      </c>
      <c r="P400" s="346" t="s">
        <v>5570</v>
      </c>
      <c r="Q400" s="347" t="s">
        <v>5271</v>
      </c>
      <c r="S400" s="346" t="s">
        <v>5902</v>
      </c>
      <c r="T400" s="346" t="str">
        <f t="shared" si="341"/>
        <v xml:space="preserve">Druid, Wizard, </v>
      </c>
      <c r="AA400" s="347" t="str">
        <f>$B400</f>
        <v>Tidal Wave</v>
      </c>
      <c r="AD400" s="347" t="str">
        <f t="shared" si="389"/>
        <v>Tidal Wave</v>
      </c>
      <c r="AE400" t="str">
        <f>IF(IFERROR(MATCH($B400,temp!A$4:A$13,0),0)&gt;0,T08_Spells!AE$2,"")</f>
        <v/>
      </c>
      <c r="AF400" t="str">
        <f>IF(IFERROR(MATCH($B400,temp!B$4:B$13,0),0)&gt;0,T08_Spells!AF$2,"")</f>
        <v/>
      </c>
      <c r="AG400" t="str">
        <f>IF(IFERROR(MATCH($B400,temp!C$4:C$13,0),0)&gt;0,T08_Spells!AG$2,"")</f>
        <v/>
      </c>
      <c r="AH400" t="str">
        <f>IF(IFERROR(MATCH($B400,temp!D$4:D$13,0),0)&gt;0,T08_Spells!AH$2,"")</f>
        <v/>
      </c>
      <c r="AI400" t="str">
        <f>IF(IFERROR(MATCH($B400,temp!E$4:E$13,0),0)&gt;0,T08_Spells!AI$2,"")</f>
        <v/>
      </c>
      <c r="AJ400" t="str">
        <f>IF(IFERROR(MATCH($B400,temp!F$4:F$13,0),0)&gt;0,T08_Spells!AJ$2,"")</f>
        <v/>
      </c>
      <c r="AK400" t="str">
        <f>IF(IFERROR(MATCH($B400,temp!G$4:G$13,0),0)&gt;0,T08_Spells!AK$2,"")</f>
        <v/>
      </c>
      <c r="AL400" t="str">
        <f>IF(IFERROR(MATCH($B400,temp!H$4:H$13,0),0)&gt;0,T08_Spells!AL$2,"")</f>
        <v/>
      </c>
      <c r="AM400" t="str">
        <f>IF(IFERROR(MATCH($B400,temp!I$4:I$13,0),0)&gt;0,T08_Spells!AM$2,"")</f>
        <v/>
      </c>
      <c r="AN400" t="str">
        <f>IF(IFERROR(MATCH($B400,temp!J$4:J$13,0),0)&gt;0,T08_Spells!AN$2,"")</f>
        <v/>
      </c>
      <c r="AO400" t="str">
        <f>IF(IFERROR(MATCH($B400,temp!K$4:K$13,0),0)&gt;0,T08_Spells!AO$2,"")</f>
        <v/>
      </c>
      <c r="AP400" t="str">
        <f>IF(IFERROR(MATCH($B400,temp!L$4:L$13,0),0)&gt;0,T08_Spells!AP$2,"")</f>
        <v/>
      </c>
      <c r="AQ400" t="str">
        <f>IF(IFERROR(MATCH($B400,temp!M$4:M$13,0),0)&gt;0,T08_Spells!AQ$2,"")</f>
        <v/>
      </c>
      <c r="AR400" t="str">
        <f>IF(IFERROR(MATCH($B400,temp!N$4:N$13,0),0)&gt;0,T08_Spells!AR$2,"")</f>
        <v/>
      </c>
      <c r="AS400" t="str">
        <f>IF(IFERROR(MATCH($B400,temp!O$4:O$13,0),0)&gt;0,T08_Spells!AS$2,"")</f>
        <v/>
      </c>
      <c r="AT400" t="str">
        <f>IF(IFERROR(MATCH($B400,temp!P$4:P$13,0),0)&gt;0,T08_Spells!AT$2,"")</f>
        <v/>
      </c>
      <c r="AU400" t="str">
        <f>IF(IFERROR(MATCH($B400,temp!Q$4:Q$13,0),0)&gt;0,T08_Spells!AU$2,"")</f>
        <v/>
      </c>
      <c r="AV400" t="str">
        <f>IF(IFERROR(MATCH($B400,temp!R$4:R$13,0),0)&gt;0,T08_Spells!AV$2,"")</f>
        <v/>
      </c>
      <c r="AW400" t="str">
        <f>IF(IFERROR(MATCH($B400,temp!S$4:S$13,0),0)&gt;0,T08_Spells!AW$2,"")</f>
        <v/>
      </c>
      <c r="AX400" t="str">
        <f>IF(IFERROR(MATCH($B400,temp!T$4:T$13,0),0)&gt;0,T08_Spells!AX$2,"")</f>
        <v/>
      </c>
      <c r="AY400" t="str">
        <f>IF(IFERROR(MATCH($B400,temp!U$4:U$13,0),0)&gt;0,T08_Spells!AY$2,"")</f>
        <v/>
      </c>
      <c r="AZ400" t="str">
        <f>IF(IFERROR(MATCH($B400,temp!V$4:V$13,0),0)&gt;0,T08_Spells!AZ$2,"")</f>
        <v/>
      </c>
      <c r="BA400" t="str">
        <f>IF(IFERROR(MATCH($B400,temp!W$4:W$13,0),0)&gt;0,T08_Spells!BA$2,"")</f>
        <v/>
      </c>
      <c r="BC400">
        <f>IF(IFERROR(SEARCH("Ranger",$T400,1),0)&gt;0,1,0)*IF(RangerMaxSpellLevel&gt;=$C400,1,0)*IF(IFERROR(MATCH(B400,Character_Creation!$X$79:$X$382,0),0)&gt;0,0,1)</f>
        <v>0</v>
      </c>
      <c r="BD400">
        <f>IF(BC400=0,0,1+COUNTIF(BD$3:BD399,"&gt;0"))</f>
        <v>0</v>
      </c>
      <c r="BE400" t="str">
        <f t="shared" si="370"/>
        <v/>
      </c>
      <c r="BF400" t="str">
        <f t="shared" si="342"/>
        <v/>
      </c>
      <c r="BH400">
        <f>IF(IFERROR(SEARCH("Sorcerer",$T400,1),0)&gt;0,1,0)*IF(SorcererMaxSpellLevel&gt;=$C400,1,0)*IF(IFERROR(MATCH(B400,Character_Creation!$J$380:$J$394,0),0)&gt;0,0,1)</f>
        <v>0</v>
      </c>
      <c r="BI400">
        <f>IF(BH400=0,0,1+COUNTIF(BI$3:BI399,"&gt;0"))</f>
        <v>0</v>
      </c>
      <c r="BJ400" t="str">
        <f t="shared" si="371"/>
        <v/>
      </c>
      <c r="BK400" t="str">
        <f t="shared" si="343"/>
        <v/>
      </c>
      <c r="BM400">
        <f>IF(OR(IFERROR(SEARCH("Warlock",$T400,1),0)&gt;0,IFERROR(SEARCH(WarlockPatron,$T400,1),0)&gt;0),1,0)*IF(WarlockMaxSpellLevel&gt;=$C400,1,0)*IF(IFERROR(MATCH(B400,Character_Creation!$J$361:$J$375,0),0)&gt;0,0,1)</f>
        <v>0</v>
      </c>
      <c r="BN400">
        <f>IF(BM400=0,0,1+COUNTIF(BN$3:BN399,"&gt;0"))</f>
        <v>0</v>
      </c>
      <c r="BO400" t="str">
        <f t="shared" si="372"/>
        <v/>
      </c>
      <c r="BP400" t="str">
        <f t="shared" si="344"/>
        <v/>
      </c>
      <c r="BR400">
        <f>IF(IFERROR(SEARCH("Eldritch Knight",$T400,1),0)&gt;0,1,0)*IF(EldritchKnightMaxSpellLevel&gt;=$C400,1,0)*IF(IFERROR(MATCH($B400,Character_Creation!$J$350:$J$356,0),0)&gt;0,0,1)*IF(Character_Creation!$M$338&gt;0,1,0)</f>
        <v>0</v>
      </c>
      <c r="BS400">
        <f>IF(BR400=0,0,1+COUNTIF(BS$3:BS399,"&gt;0"))</f>
        <v>0</v>
      </c>
      <c r="BT400" t="str">
        <f t="shared" si="373"/>
        <v/>
      </c>
      <c r="BU400" t="str">
        <f t="shared" si="345"/>
        <v/>
      </c>
      <c r="BW400">
        <f>IF(IFERROR(SEARCH("Arcane Trickster",$T400,1),0)&gt;0,1,0)*IF(ArcaneTricksterMaxSpellLevel&gt;=$C400,1,0)*IF(IFERROR(MATCH($B400,Character_Creation!$J$350:$J$356,0),0)&gt;0,0,1)*IF(Character_Creation!$T$338&gt;0,1,0)</f>
        <v>0</v>
      </c>
      <c r="BX400">
        <f>IF(BW400=0,0,1+COUNTIF(BX$3:BX399,"&gt;0"))</f>
        <v>0</v>
      </c>
      <c r="BY400" t="str">
        <f t="shared" si="374"/>
        <v/>
      </c>
      <c r="BZ400" t="str">
        <f t="shared" si="346"/>
        <v/>
      </c>
      <c r="CB400">
        <f>IF(IFERROR(SEARCH("Wizard",$T400,1),0)&gt;0,1,0)*IF(C400&lt;=ArcaneTricksterMaxSpellLevel,1,0)*IF(IFERROR(MATCH($B400,Character_Creation!$J$350:$J$356,0),0)&gt;0,0,1)*IF(Character_Creation!$T$350&gt;0,1,0)</f>
        <v>0</v>
      </c>
      <c r="CC400">
        <f>IF(CB400=0,0,1+COUNTIF(CC$3:CC399,"&gt;0"))</f>
        <v>0</v>
      </c>
      <c r="CD400" t="str">
        <f t="shared" si="375"/>
        <v/>
      </c>
      <c r="CE400" t="str">
        <f t="shared" si="347"/>
        <v/>
      </c>
      <c r="CG400">
        <f>IF(IFERROR(SEARCH("Wizard",$T400,1),0)&gt;0,1,0)*IF($C400&lt;=EldritchKnightMaxSpellLevel,1,0)*IF(IFERROR(MATCH($B400,Character_Creation!$J$350:$J$356,0),0)&gt;0,0,1)*IF(Character_Creation!$M$350&gt;0,1,0)</f>
        <v>0</v>
      </c>
      <c r="CH400">
        <f>IF(CG400=0,0,1+COUNTIF(CH$3:CH399,"&gt;0"))</f>
        <v>0</v>
      </c>
      <c r="CI400" t="str">
        <f t="shared" si="376"/>
        <v/>
      </c>
      <c r="CJ400" t="str">
        <f t="shared" si="348"/>
        <v/>
      </c>
      <c r="CL400">
        <f>IF(IFERROR(SEARCH("Bard",$T400,1),0)&gt;0,1,0)*IF(BardMaxSpellLevel&gt;=$C400,1,0)*IF(IFERROR(MATCH(B400,Character_Creation!$C$341:$F$362,0),0)&gt;0,0,1)*IF(IFERROR(MATCH($B400,Character_Creation!$C$341:$C$362,0),0)&gt;0,0,1)</f>
        <v>0</v>
      </c>
      <c r="CM400">
        <f>IF(CL400=0,0,1+COUNTIF(CM$3:CM399,"&gt;0"))</f>
        <v>0</v>
      </c>
      <c r="CN400" t="str">
        <f t="shared" si="377"/>
        <v/>
      </c>
      <c r="CO400" t="str">
        <f t="shared" si="349"/>
        <v/>
      </c>
      <c r="CQ400">
        <f>IF(IFERROR(SEARCH("Wizard",$T400,1),0)&gt;0,1,0)*IF(WizardMaxSpellLevel&gt;=$C400,1,0)*IF(IFERROR(MATCH(B400,Character_Creation!$X$341:$X$400,0),0)&gt;0,0,1)*IF(SelectedWizardSpellLevel=$C400,1,0)</f>
        <v>1</v>
      </c>
      <c r="CR400">
        <f>IF(CQ400=0,0,1+COUNTIF(CR$3:CR399,"&gt;0"))</f>
        <v>31</v>
      </c>
      <c r="CS400" t="str">
        <f t="shared" si="378"/>
        <v/>
      </c>
      <c r="CT400" t="str">
        <f t="shared" si="350"/>
        <v/>
      </c>
      <c r="CV400">
        <f>IF(IFERROR(MATCH($B400,Character_Creation!$C$341:$C$362,0),0)&gt;0,0,1)*IF(OR(C400="Cantrip",C400&lt;=BardMaxSpellLevel),1,0)*IF(IFERROR(MATCH($B400,Character_Creation!$C$367:$C$374,0),0)&gt;0,0,1)</f>
        <v>0</v>
      </c>
      <c r="CW400">
        <f>IF(CV400=0,0,1+COUNTIF(CW$3:CW399,"&gt;0"))</f>
        <v>0</v>
      </c>
      <c r="CX400" t="str">
        <f t="shared" si="379"/>
        <v/>
      </c>
      <c r="CY400" t="str">
        <f t="shared" si="351"/>
        <v/>
      </c>
      <c r="DA400">
        <f>IF(IF(OR(IFERROR(SEARCH("Cleric",$T400,1),0)&gt;0,IFERROR(SEARCH(DivineDomain&amp;",",$T400,1),0)&gt;0),1,0)*IF($C400=DA$2,1,0)=1,1+COUNTIF(DA$3:DA399,"&gt;0"),0)</f>
        <v>0</v>
      </c>
      <c r="DB400">
        <f>IF(IF(OR(IFERROR(SEARCH("Cleric",$T400,1),0)&gt;0,IFERROR(SEARCH(DivineDomain&amp;",",$T400,1),0)&gt;0),1,0)*IF($C400=DB$2,1,0)=1,1+COUNTIF(DB$3:DB399,"&gt;0"),0)</f>
        <v>0</v>
      </c>
      <c r="DC400">
        <f>IF(IF(OR(IFERROR(SEARCH("Cleric",$T400,1),0)&gt;0,IFERROR(SEARCH(DivineDomain&amp;",",$T400,1),0)&gt;0),1,0)*IF($C400=DC$2,1,0)=1,1+COUNTIF(DC$3:DC399,"&gt;0"),0)</f>
        <v>0</v>
      </c>
      <c r="DD400">
        <f>IF(IF(OR(IFERROR(SEARCH("Cleric",$T400,1),0)&gt;0,IFERROR(SEARCH(DivineDomain&amp;",",$T400,1),0)&gt;0),1,0)*IF($C400=DD$2,1,0)=1,1+COUNTIF(DD$3:DD399,"&gt;0"),0)</f>
        <v>0</v>
      </c>
      <c r="DE400">
        <f>IF(IF(OR(IFERROR(SEARCH("Cleric",$T400,1),0)&gt;0,IFERROR(SEARCH(DivineDomain&amp;",",$T400,1),0)&gt;0),1,0)*IF($C400=DE$2,1,0)=1,1+COUNTIF(DE$3:DE399,"&gt;0"),0)</f>
        <v>0</v>
      </c>
      <c r="DF400">
        <f>IF(IF(OR(IFERROR(SEARCH("Cleric",$T400,1),0)&gt;0,IFERROR(SEARCH(DivineDomain&amp;",",$T400,1),0)&gt;0),1,0)*IF($C400=DF$2,1,0)=1,1+COUNTIF(DF$3:DF399,"&gt;0"),0)</f>
        <v>0</v>
      </c>
      <c r="DG400">
        <f>IF(IF(OR(IFERROR(SEARCH("Cleric",$T400,1),0)&gt;0,IFERROR(SEARCH(DivineDomain&amp;",",$T400,1),0)&gt;0),1,0)*IF($C400=DG$2,1,0)=1,1+COUNTIF(DG$3:DG399,"&gt;0"),0)</f>
        <v>0</v>
      </c>
      <c r="DH400">
        <f>IF(IF(OR(IFERROR(SEARCH("Cleric",$T400,1),0)&gt;0,IFERROR(SEARCH(DivineDomain&amp;",",$T400,1),0)&gt;0),1,0)*IF($C400=DH$2,1,0)=1,1+COUNTIF(DH$3:DH399,"&gt;0"),0)</f>
        <v>0</v>
      </c>
      <c r="DI400">
        <f>IF(IF(OR(IFERROR(SEARCH("Cleric",$T400,1),0)&gt;0,IFERROR(SEARCH(DivineDomain&amp;",",$T400,1),0)&gt;0),1,0)*IF($C400=DI$2,1,0)=1,1+COUNTIF(DI$3:DI399,"&gt;0"),0)</f>
        <v>0</v>
      </c>
      <c r="DJ400">
        <f>IF(IF(OR(IFERROR(SEARCH("Druid",$T400,1),0)&gt;0,IFERROR(SEARCH(DruidLand1,$T400,1),0)&gt;0,IFERROR(SEARCH(DruidLand2,$T400,1),0)&gt;0,IFERROR(SEARCH(DruidLand3,$T400,1),0)&gt;0,IFERROR(SEARCH(DruidLand4,$T400,1),0)&gt;0),1,0)*IF($C400=1,1,0)*IF($C400=DJ$2,1,0)=0,0,1+COUNTIF(DJ$3:DJ399,"&gt;0"))</f>
        <v>0</v>
      </c>
      <c r="DK400">
        <f>IF(IF(OR(IFERROR(SEARCH("Druid",$T400,1),0)&gt;0,IFERROR(SEARCH(DruidLand1,$T400,1),0)&gt;0,IFERROR(SEARCH(DruidLand2,$T400,1),0)&gt;0,IFERROR(SEARCH(DruidLand3,$T400,1),0)&gt;0,IFERROR(SEARCH(DruidLand4,$T400,1),0)&gt;0),1,0)*IF($C400=DK$2,1,0)=0,0,1+COUNTIF(DK$3:DK399,"&gt;0"))</f>
        <v>0</v>
      </c>
      <c r="DL400">
        <f>IF(IF(OR(IFERROR(SEARCH("Druid",$T400,1),0)&gt;0,IFERROR(SEARCH(DruidLand1,$T400,1),0)&gt;0,IFERROR(SEARCH(DruidLand2,$T400,1),0)&gt;0,IFERROR(SEARCH(DruidLand3,$T400,1),0)&gt;0,IFERROR(SEARCH(DruidLand4,$T400,1),0)&gt;0),1,0)*IF($C400=DL$2,1,0)=0,0,1+COUNTIF(DL$3:DL399,"&gt;0"))</f>
        <v>16</v>
      </c>
      <c r="DM400">
        <f>IF(IF(OR(IFERROR(SEARCH("Druid",$T400,1),0)&gt;0,IFERROR(SEARCH(DruidLand1,$T400,1),0)&gt;0,IFERROR(SEARCH(DruidLand2,$T400,1),0)&gt;0,IFERROR(SEARCH(DruidLand3,$T400,1),0)&gt;0,IFERROR(SEARCH(DruidLand4,$T400,1),0)&gt;0),1,0)*IF($C400=DM$2,1,0)=0,0,1+COUNTIF(DM$3:DM399,"&gt;0"))</f>
        <v>0</v>
      </c>
      <c r="DN400">
        <f>IF(IF(OR(IFERROR(SEARCH("Druid",$T400,1),0)&gt;0,IFERROR(SEARCH(DruidLand1,$T400,1),0)&gt;0,IFERROR(SEARCH(DruidLand2,$T400,1),0)&gt;0,IFERROR(SEARCH(DruidLand3,$T400,1),0)&gt;0,IFERROR(SEARCH(DruidLand4,$T400,1),0)&gt;0),1,0)*IF($C400=DN$2,1,0)=0,0,1+COUNTIF(DN$3:DN399,"&gt;0"))</f>
        <v>0</v>
      </c>
      <c r="DO400">
        <f>IF(IF(OR(IFERROR(SEARCH("Druid",$T400,1),0)&gt;0,IFERROR(SEARCH(DruidLand1,$T400,1),0)&gt;0,IFERROR(SEARCH(DruidLand2,$T400,1),0)&gt;0,IFERROR(SEARCH(DruidLand3,$T400,1),0)&gt;0,IFERROR(SEARCH(DruidLand4,$T400,1),0)&gt;0),1,0)*IF($C400=DO$2,1,0)=0,0,1+COUNTIF(DO$3:DO399,"&gt;0"))</f>
        <v>0</v>
      </c>
      <c r="DP400">
        <f>IF(IF(OR(IFERROR(SEARCH("Druid",$T400,1),0)&gt;0,IFERROR(SEARCH(DruidLand1,$T400,1),0)&gt;0,IFERROR(SEARCH(DruidLand2,$T400,1),0)&gt;0,IFERROR(SEARCH(DruidLand3,$T400,1),0)&gt;0,IFERROR(SEARCH(DruidLand4,$T400,1),0)&gt;0),1,0)*IF($C400=DP$2,1,0)=0,0,1+COUNTIF(DP$3:DP399,"&gt;0"))</f>
        <v>0</v>
      </c>
      <c r="DQ400">
        <f>IF(IF(OR(IFERROR(SEARCH("Druid",$T400,1),0)&gt;0,IFERROR(SEARCH(DruidLand1,$T400,1),0)&gt;0,IFERROR(SEARCH(DruidLand2,$T400,1),0)&gt;0,IFERROR(SEARCH(DruidLand3,$T400,1),0)&gt;0,IFERROR(SEARCH(DruidLand4,$T400,1),0)&gt;0),1,0)*IF($C400=DQ$2,1,0)=0,0,1+COUNTIF(DQ$3:DQ399,"&gt;0"))</f>
        <v>0</v>
      </c>
      <c r="DR400">
        <f>IF(IF(OR(IFERROR(SEARCH("Druid",$T400,1),0)&gt;0,IFERROR(SEARCH(DruidLand1,$T400,1),0)&gt;0,IFERROR(SEARCH(DruidLand2,$T400,1),0)&gt;0,IFERROR(SEARCH(DruidLand3,$T400,1),0)&gt;0,IFERROR(SEARCH(DruidLand4,$T400,1),0)&gt;0),1,0)*IF($C400=DR$2,1,0)=0,0,1+COUNTIF(DR$3:DR399,"&gt;0"))</f>
        <v>0</v>
      </c>
      <c r="DS400">
        <f>IF(IF(OR(IFERROR(SEARCH("Paladin",$T400,1),0)&gt;0,IFERROR(SEARCH(PaladinOath,$T400,1),0)&gt;0),1,0)*IF($C400=DS$2,1,0)=1,1+COUNTIF(DS$3:DS399,"&gt;0"),0)</f>
        <v>0</v>
      </c>
      <c r="DT400">
        <f>IF(IF(OR(IFERROR(SEARCH("Paladin",$T400,1),0)&gt;0,IFERROR(SEARCH(PaladinOath,$T400,1),0)&gt;0),1,0)*IF($C400=DT$2,1,0)=1,1+COUNTIF(DT$3:DT399,"&gt;0"),0)</f>
        <v>0</v>
      </c>
      <c r="DU400">
        <f>IF(IF(OR(IFERROR(SEARCH("Paladin",$T400,1),0)&gt;0,IFERROR(SEARCH(PaladinOath,$T400,1),0)&gt;0),1,0)*IF($C400=DU$2,1,0)=1,1+COUNTIF(DU$3:DU399,"&gt;0"),0)</f>
        <v>0</v>
      </c>
      <c r="DV400">
        <f>IF(IF(OR(IFERROR(SEARCH("Paladin",$T400,1),0)&gt;0,IFERROR(SEARCH(PaladinOath,$T400,1),0)&gt;0),1,0)*IF($C400=DV$2,1,0)=1,1+COUNTIF(DV$3:DV399,"&gt;0"),0)</f>
        <v>0</v>
      </c>
      <c r="DW400">
        <f>IF(IF(OR(IFERROR(SEARCH("Paladin",$T400,1),0)&gt;0,IFERROR(SEARCH(PaladinOath,$T400,1),0)&gt;0),1,0)*IF($C400=DW$2,1,0)=1,1+COUNTIF(DW$3:DW399,"&gt;0"),0)</f>
        <v>0</v>
      </c>
      <c r="DY400">
        <f t="shared" si="338"/>
        <v>1</v>
      </c>
      <c r="DZ400">
        <f>IF(DY400=0,0,1+MAX(DZ$3:$DZ399))</f>
        <v>398</v>
      </c>
      <c r="EB400">
        <f t="shared" si="352"/>
        <v>0</v>
      </c>
      <c r="EC400">
        <f>IF(EB400=0,0,1+COUNTIF(EC$3:EC399,"&gt;0"))</f>
        <v>0</v>
      </c>
      <c r="ED400" t="str">
        <f t="shared" si="380"/>
        <v/>
      </c>
      <c r="EE400" t="str">
        <f t="shared" si="353"/>
        <v/>
      </c>
      <c r="EG400">
        <f t="shared" si="354"/>
        <v>0</v>
      </c>
      <c r="EH400">
        <f>IF(EG400=0,0,1+COUNTIF(EH$3:EH399,"&gt;0"))</f>
        <v>0</v>
      </c>
      <c r="EI400" t="str">
        <f t="shared" si="381"/>
        <v/>
      </c>
      <c r="EJ400" t="str">
        <f t="shared" si="355"/>
        <v/>
      </c>
      <c r="EL400">
        <f t="shared" si="356"/>
        <v>0</v>
      </c>
      <c r="EM400">
        <f>IF(EL400=0,0,1+COUNTIF(EM$3:EM399,"&gt;0"))</f>
        <v>0</v>
      </c>
      <c r="EN400" t="str">
        <f t="shared" si="382"/>
        <v/>
      </c>
      <c r="EO400" t="str">
        <f t="shared" si="357"/>
        <v/>
      </c>
      <c r="EQ400">
        <f t="shared" si="358"/>
        <v>0</v>
      </c>
      <c r="ER400">
        <f>IF(EQ400=0,0,1+COUNTIF(ER$3:ER399,"&gt;0"))</f>
        <v>0</v>
      </c>
      <c r="ES400" t="str">
        <f t="shared" si="383"/>
        <v/>
      </c>
      <c r="ET400" t="str">
        <f t="shared" si="359"/>
        <v/>
      </c>
      <c r="EV400">
        <f t="shared" si="360"/>
        <v>0</v>
      </c>
      <c r="EW400">
        <f>IF(EV400=0,0,1+COUNTIF(EW$3:EW399,"&gt;0"))</f>
        <v>0</v>
      </c>
      <c r="EX400" t="str">
        <f t="shared" si="384"/>
        <v/>
      </c>
      <c r="EY400" t="str">
        <f t="shared" si="361"/>
        <v/>
      </c>
      <c r="FA400">
        <f t="shared" si="362"/>
        <v>0</v>
      </c>
      <c r="FB400">
        <f>IF(FA400=0,0,1+COUNTIF(FB$3:FB399,"&gt;0"))</f>
        <v>0</v>
      </c>
      <c r="FC400" t="str">
        <f t="shared" si="385"/>
        <v/>
      </c>
      <c r="FD400" t="str">
        <f t="shared" si="363"/>
        <v/>
      </c>
      <c r="FF400">
        <f t="shared" si="364"/>
        <v>0</v>
      </c>
      <c r="FG400">
        <f>IF(FF400=0,0,1+COUNTIF(FG$3:FG399,"&gt;0"))</f>
        <v>0</v>
      </c>
      <c r="FH400" t="str">
        <f t="shared" si="386"/>
        <v/>
      </c>
      <c r="FI400" t="str">
        <f t="shared" si="365"/>
        <v/>
      </c>
      <c r="FK400">
        <f t="shared" si="366"/>
        <v>0</v>
      </c>
      <c r="FL400">
        <f>IF(FK400=0,0,1+COUNTIF(FL$3:FL399,"&gt;0"))</f>
        <v>0</v>
      </c>
      <c r="FM400" t="str">
        <f t="shared" si="387"/>
        <v/>
      </c>
      <c r="FN400" t="str">
        <f t="shared" si="367"/>
        <v/>
      </c>
      <c r="FP400">
        <f t="shared" si="368"/>
        <v>0</v>
      </c>
      <c r="FQ400">
        <f>IF(FP400=0,0,1+COUNTIF(FQ$3:FQ399,"&gt;0"))</f>
        <v>0</v>
      </c>
      <c r="FR400" t="str">
        <f t="shared" si="388"/>
        <v/>
      </c>
      <c r="FS400" t="str">
        <f t="shared" si="369"/>
        <v/>
      </c>
    </row>
    <row r="401" spans="1:175" x14ac:dyDescent="0.25">
      <c r="A401" s="347">
        <f t="shared" si="390"/>
        <v>399</v>
      </c>
      <c r="B401" s="398" t="s">
        <v>5571</v>
      </c>
      <c r="C401" s="348">
        <v>5</v>
      </c>
      <c r="D401" s="347">
        <v>5</v>
      </c>
      <c r="E401" s="627" t="s">
        <v>6957</v>
      </c>
      <c r="F401" s="346"/>
      <c r="G401" s="347" t="str">
        <f>""</f>
        <v/>
      </c>
      <c r="H401" s="347" t="s">
        <v>5912</v>
      </c>
      <c r="I401" s="347" t="s">
        <v>5290</v>
      </c>
      <c r="J401" s="347" t="str">
        <f t="shared" si="339"/>
        <v/>
      </c>
      <c r="K401" s="347" t="s">
        <v>5278</v>
      </c>
      <c r="L401" s="611" t="str">
        <f t="shared" si="340"/>
        <v>V, S, M, clay and water</v>
      </c>
      <c r="M401" s="347" t="s">
        <v>2373</v>
      </c>
      <c r="N401" s="347" t="s">
        <v>2387</v>
      </c>
      <c r="O401" s="347" t="s">
        <v>1244</v>
      </c>
      <c r="P401" s="346" t="s">
        <v>5572</v>
      </c>
      <c r="Q401" s="347" t="s">
        <v>5276</v>
      </c>
      <c r="S401" s="346" t="s">
        <v>5903</v>
      </c>
      <c r="T401" s="346" t="str">
        <f t="shared" si="341"/>
        <v xml:space="preserve">Druid, Wizard, </v>
      </c>
      <c r="AA401" s="347" t="str">
        <f>$B401</f>
        <v>Transmute Rock</v>
      </c>
      <c r="AD401" s="347" t="str">
        <f t="shared" si="389"/>
        <v>Transmute Rock</v>
      </c>
      <c r="AE401" t="str">
        <f>IF(IFERROR(MATCH($B401,temp!A$4:A$13,0),0)&gt;0,T08_Spells!AE$2,"")</f>
        <v/>
      </c>
      <c r="AF401" t="str">
        <f>IF(IFERROR(MATCH($B401,temp!B$4:B$13,0),0)&gt;0,T08_Spells!AF$2,"")</f>
        <v/>
      </c>
      <c r="AG401" t="str">
        <f>IF(IFERROR(MATCH($B401,temp!C$4:C$13,0),0)&gt;0,T08_Spells!AG$2,"")</f>
        <v/>
      </c>
      <c r="AH401" t="str">
        <f>IF(IFERROR(MATCH($B401,temp!D$4:D$13,0),0)&gt;0,T08_Spells!AH$2,"")</f>
        <v/>
      </c>
      <c r="AI401" t="str">
        <f>IF(IFERROR(MATCH($B401,temp!E$4:E$13,0),0)&gt;0,T08_Spells!AI$2,"")</f>
        <v/>
      </c>
      <c r="AJ401" t="str">
        <f>IF(IFERROR(MATCH($B401,temp!F$4:F$13,0),0)&gt;0,T08_Spells!AJ$2,"")</f>
        <v/>
      </c>
      <c r="AK401" t="str">
        <f>IF(IFERROR(MATCH($B401,temp!G$4:G$13,0),0)&gt;0,T08_Spells!AK$2,"")</f>
        <v/>
      </c>
      <c r="AL401" t="str">
        <f>IF(IFERROR(MATCH($B401,temp!H$4:H$13,0),0)&gt;0,T08_Spells!AL$2,"")</f>
        <v/>
      </c>
      <c r="AM401" t="str">
        <f>IF(IFERROR(MATCH($B401,temp!I$4:I$13,0),0)&gt;0,T08_Spells!AM$2,"")</f>
        <v/>
      </c>
      <c r="AN401" t="str">
        <f>IF(IFERROR(MATCH($B401,temp!J$4:J$13,0),0)&gt;0,T08_Spells!AN$2,"")</f>
        <v/>
      </c>
      <c r="AO401" t="str">
        <f>IF(IFERROR(MATCH($B401,temp!K$4:K$13,0),0)&gt;0,T08_Spells!AO$2,"")</f>
        <v/>
      </c>
      <c r="AP401" t="str">
        <f>IF(IFERROR(MATCH($B401,temp!L$4:L$13,0),0)&gt;0,T08_Spells!AP$2,"")</f>
        <v/>
      </c>
      <c r="AQ401" t="str">
        <f>IF(IFERROR(MATCH($B401,temp!M$4:M$13,0),0)&gt;0,T08_Spells!AQ$2,"")</f>
        <v/>
      </c>
      <c r="AR401" t="str">
        <f>IF(IFERROR(MATCH($B401,temp!N$4:N$13,0),0)&gt;0,T08_Spells!AR$2,"")</f>
        <v/>
      </c>
      <c r="AS401" t="str">
        <f>IF(IFERROR(MATCH($B401,temp!O$4:O$13,0),0)&gt;0,T08_Spells!AS$2,"")</f>
        <v/>
      </c>
      <c r="AT401" t="str">
        <f>IF(IFERROR(MATCH($B401,temp!P$4:P$13,0),0)&gt;0,T08_Spells!AT$2,"")</f>
        <v/>
      </c>
      <c r="AU401" t="str">
        <f>IF(IFERROR(MATCH($B401,temp!Q$4:Q$13,0),0)&gt;0,T08_Spells!AU$2,"")</f>
        <v/>
      </c>
      <c r="AV401" t="str">
        <f>IF(IFERROR(MATCH($B401,temp!R$4:R$13,0),0)&gt;0,T08_Spells!AV$2,"")</f>
        <v/>
      </c>
      <c r="AW401" t="str">
        <f>IF(IFERROR(MATCH($B401,temp!S$4:S$13,0),0)&gt;0,T08_Spells!AW$2,"")</f>
        <v/>
      </c>
      <c r="AX401" t="str">
        <f>IF(IFERROR(MATCH($B401,temp!T$4:T$13,0),0)&gt;0,T08_Spells!AX$2,"")</f>
        <v/>
      </c>
      <c r="AY401" t="str">
        <f>IF(IFERROR(MATCH($B401,temp!U$4:U$13,0),0)&gt;0,T08_Spells!AY$2,"")</f>
        <v/>
      </c>
      <c r="AZ401" t="str">
        <f>IF(IFERROR(MATCH($B401,temp!V$4:V$13,0),0)&gt;0,T08_Spells!AZ$2,"")</f>
        <v/>
      </c>
      <c r="BA401" t="str">
        <f>IF(IFERROR(MATCH($B401,temp!W$4:W$13,0),0)&gt;0,T08_Spells!BA$2,"")</f>
        <v/>
      </c>
      <c r="BC401">
        <f>IF(IFERROR(SEARCH("Ranger",$T401,1),0)&gt;0,1,0)*IF(RangerMaxSpellLevel&gt;=$C401,1,0)*IF(IFERROR(MATCH(B401,Character_Creation!$X$79:$X$382,0),0)&gt;0,0,1)</f>
        <v>0</v>
      </c>
      <c r="BD401">
        <f>IF(BC401=0,0,1+COUNTIF(BD$3:BD400,"&gt;0"))</f>
        <v>0</v>
      </c>
      <c r="BE401" t="str">
        <f t="shared" si="370"/>
        <v/>
      </c>
      <c r="BF401" t="str">
        <f t="shared" si="342"/>
        <v/>
      </c>
      <c r="BH401">
        <f>IF(IFERROR(SEARCH("Sorcerer",$T401,1),0)&gt;0,1,0)*IF(SorcererMaxSpellLevel&gt;=$C401,1,0)*IF(IFERROR(MATCH(B401,Character_Creation!$J$380:$J$394,0),0)&gt;0,0,1)</f>
        <v>0</v>
      </c>
      <c r="BI401">
        <f>IF(BH401=0,0,1+COUNTIF(BI$3:BI400,"&gt;0"))</f>
        <v>0</v>
      </c>
      <c r="BJ401" t="str">
        <f t="shared" si="371"/>
        <v/>
      </c>
      <c r="BK401" t="str">
        <f t="shared" si="343"/>
        <v/>
      </c>
      <c r="BM401">
        <f>IF(OR(IFERROR(SEARCH("Warlock",$T401,1),0)&gt;0,IFERROR(SEARCH(WarlockPatron,$T401,1),0)&gt;0),1,0)*IF(WarlockMaxSpellLevel&gt;=$C401,1,0)*IF(IFERROR(MATCH(B401,Character_Creation!$J$361:$J$375,0),0)&gt;0,0,1)</f>
        <v>0</v>
      </c>
      <c r="BN401">
        <f>IF(BM401=0,0,1+COUNTIF(BN$3:BN400,"&gt;0"))</f>
        <v>0</v>
      </c>
      <c r="BO401" t="str">
        <f t="shared" si="372"/>
        <v/>
      </c>
      <c r="BP401" t="str">
        <f t="shared" si="344"/>
        <v/>
      </c>
      <c r="BR401">
        <f>IF(IFERROR(SEARCH("Eldritch Knight",$T401,1),0)&gt;0,1,0)*IF(EldritchKnightMaxSpellLevel&gt;=$C401,1,0)*IF(IFERROR(MATCH($B401,Character_Creation!$J$350:$J$356,0),0)&gt;0,0,1)*IF(Character_Creation!$M$338&gt;0,1,0)</f>
        <v>0</v>
      </c>
      <c r="BS401">
        <f>IF(BR401=0,0,1+COUNTIF(BS$3:BS400,"&gt;0"))</f>
        <v>0</v>
      </c>
      <c r="BT401" t="str">
        <f t="shared" si="373"/>
        <v/>
      </c>
      <c r="BU401" t="str">
        <f t="shared" si="345"/>
        <v/>
      </c>
      <c r="BW401">
        <f>IF(IFERROR(SEARCH("Arcane Trickster",$T401,1),0)&gt;0,1,0)*IF(ArcaneTricksterMaxSpellLevel&gt;=$C401,1,0)*IF(IFERROR(MATCH($B401,Character_Creation!$J$350:$J$356,0),0)&gt;0,0,1)*IF(Character_Creation!$T$338&gt;0,1,0)</f>
        <v>0</v>
      </c>
      <c r="BX401">
        <f>IF(BW401=0,0,1+COUNTIF(BX$3:BX400,"&gt;0"))</f>
        <v>0</v>
      </c>
      <c r="BY401" t="str">
        <f t="shared" si="374"/>
        <v/>
      </c>
      <c r="BZ401" t="str">
        <f t="shared" si="346"/>
        <v/>
      </c>
      <c r="CB401">
        <f>IF(IFERROR(SEARCH("Wizard",$T401,1),0)&gt;0,1,0)*IF(C401&lt;=ArcaneTricksterMaxSpellLevel,1,0)*IF(IFERROR(MATCH($B401,Character_Creation!$J$350:$J$356,0),0)&gt;0,0,1)*IF(Character_Creation!$T$350&gt;0,1,0)</f>
        <v>0</v>
      </c>
      <c r="CC401">
        <f>IF(CB401=0,0,1+COUNTIF(CC$3:CC400,"&gt;0"))</f>
        <v>0</v>
      </c>
      <c r="CD401" t="str">
        <f t="shared" si="375"/>
        <v/>
      </c>
      <c r="CE401" t="str">
        <f t="shared" si="347"/>
        <v/>
      </c>
      <c r="CG401">
        <f>IF(IFERROR(SEARCH("Wizard",$T401,1),0)&gt;0,1,0)*IF($C401&lt;=EldritchKnightMaxSpellLevel,1,0)*IF(IFERROR(MATCH($B401,Character_Creation!$J$350:$J$356,0),0)&gt;0,0,1)*IF(Character_Creation!$M$350&gt;0,1,0)</f>
        <v>0</v>
      </c>
      <c r="CH401">
        <f>IF(CG401=0,0,1+COUNTIF(CH$3:CH400,"&gt;0"))</f>
        <v>0</v>
      </c>
      <c r="CI401" t="str">
        <f t="shared" si="376"/>
        <v/>
      </c>
      <c r="CJ401" t="str">
        <f t="shared" si="348"/>
        <v/>
      </c>
      <c r="CL401">
        <f>IF(IFERROR(SEARCH("Bard",$T401,1),0)&gt;0,1,0)*IF(BardMaxSpellLevel&gt;=$C401,1,0)*IF(IFERROR(MATCH(B401,Character_Creation!$C$341:$F$362,0),0)&gt;0,0,1)*IF(IFERROR(MATCH($B401,Character_Creation!$C$341:$C$362,0),0)&gt;0,0,1)</f>
        <v>0</v>
      </c>
      <c r="CM401">
        <f>IF(CL401=0,0,1+COUNTIF(CM$3:CM400,"&gt;0"))</f>
        <v>0</v>
      </c>
      <c r="CN401" t="str">
        <f t="shared" si="377"/>
        <v/>
      </c>
      <c r="CO401" t="str">
        <f t="shared" si="349"/>
        <v/>
      </c>
      <c r="CQ401">
        <f>IF(IFERROR(SEARCH("Wizard",$T401,1),0)&gt;0,1,0)*IF(WizardMaxSpellLevel&gt;=$C401,1,0)*IF(IFERROR(MATCH(B401,Character_Creation!$X$341:$X$400,0),0)&gt;0,0,1)*IF(SelectedWizardSpellLevel=$C401,1,0)</f>
        <v>0</v>
      </c>
      <c r="CR401">
        <f>IF(CQ401=0,0,1+COUNTIF(CR$3:CR400,"&gt;0"))</f>
        <v>0</v>
      </c>
      <c r="CS401" t="str">
        <f t="shared" si="378"/>
        <v/>
      </c>
      <c r="CT401" t="str">
        <f t="shared" si="350"/>
        <v/>
      </c>
      <c r="CV401">
        <f>IF(IFERROR(MATCH($B401,Character_Creation!$C$341:$C$362,0),0)&gt;0,0,1)*IF(OR(C401="Cantrip",C401&lt;=BardMaxSpellLevel),1,0)*IF(IFERROR(MATCH($B401,Character_Creation!$C$367:$C$374,0),0)&gt;0,0,1)</f>
        <v>0</v>
      </c>
      <c r="CW401">
        <f>IF(CV401=0,0,1+COUNTIF(CW$3:CW400,"&gt;0"))</f>
        <v>0</v>
      </c>
      <c r="CX401" t="str">
        <f t="shared" si="379"/>
        <v/>
      </c>
      <c r="CY401" t="str">
        <f t="shared" si="351"/>
        <v/>
      </c>
      <c r="DA401">
        <f>IF(IF(OR(IFERROR(SEARCH("Cleric",$T401,1),0)&gt;0,IFERROR(SEARCH(DivineDomain&amp;",",$T401,1),0)&gt;0),1,0)*IF($C401=DA$2,1,0)=1,1+COUNTIF(DA$3:DA400,"&gt;0"),0)</f>
        <v>0</v>
      </c>
      <c r="DB401">
        <f>IF(IF(OR(IFERROR(SEARCH("Cleric",$T401,1),0)&gt;0,IFERROR(SEARCH(DivineDomain&amp;",",$T401,1),0)&gt;0),1,0)*IF($C401=DB$2,1,0)=1,1+COUNTIF(DB$3:DB400,"&gt;0"),0)</f>
        <v>0</v>
      </c>
      <c r="DC401">
        <f>IF(IF(OR(IFERROR(SEARCH("Cleric",$T401,1),0)&gt;0,IFERROR(SEARCH(DivineDomain&amp;",",$T401,1),0)&gt;0),1,0)*IF($C401=DC$2,1,0)=1,1+COUNTIF(DC$3:DC400,"&gt;0"),0)</f>
        <v>0</v>
      </c>
      <c r="DD401">
        <f>IF(IF(OR(IFERROR(SEARCH("Cleric",$T401,1),0)&gt;0,IFERROR(SEARCH(DivineDomain&amp;",",$T401,1),0)&gt;0),1,0)*IF($C401=DD$2,1,0)=1,1+COUNTIF(DD$3:DD400,"&gt;0"),0)</f>
        <v>0</v>
      </c>
      <c r="DE401">
        <f>IF(IF(OR(IFERROR(SEARCH("Cleric",$T401,1),0)&gt;0,IFERROR(SEARCH(DivineDomain&amp;",",$T401,1),0)&gt;0),1,0)*IF($C401=DE$2,1,0)=1,1+COUNTIF(DE$3:DE400,"&gt;0"),0)</f>
        <v>0</v>
      </c>
      <c r="DF401">
        <f>IF(IF(OR(IFERROR(SEARCH("Cleric",$T401,1),0)&gt;0,IFERROR(SEARCH(DivineDomain&amp;",",$T401,1),0)&gt;0),1,0)*IF($C401=DF$2,1,0)=1,1+COUNTIF(DF$3:DF400,"&gt;0"),0)</f>
        <v>0</v>
      </c>
      <c r="DG401">
        <f>IF(IF(OR(IFERROR(SEARCH("Cleric",$T401,1),0)&gt;0,IFERROR(SEARCH(DivineDomain&amp;",",$T401,1),0)&gt;0),1,0)*IF($C401=DG$2,1,0)=1,1+COUNTIF(DG$3:DG400,"&gt;0"),0)</f>
        <v>0</v>
      </c>
      <c r="DH401">
        <f>IF(IF(OR(IFERROR(SEARCH("Cleric",$T401,1),0)&gt;0,IFERROR(SEARCH(DivineDomain&amp;",",$T401,1),0)&gt;0),1,0)*IF($C401=DH$2,1,0)=1,1+COUNTIF(DH$3:DH400,"&gt;0"),0)</f>
        <v>0</v>
      </c>
      <c r="DI401">
        <f>IF(IF(OR(IFERROR(SEARCH("Cleric",$T401,1),0)&gt;0,IFERROR(SEARCH(DivineDomain&amp;",",$T401,1),0)&gt;0),1,0)*IF($C401=DI$2,1,0)=1,1+COUNTIF(DI$3:DI400,"&gt;0"),0)</f>
        <v>0</v>
      </c>
      <c r="DJ401">
        <f>IF(IF(OR(IFERROR(SEARCH("Druid",$T401,1),0)&gt;0,IFERROR(SEARCH(DruidLand1,$T401,1),0)&gt;0,IFERROR(SEARCH(DruidLand2,$T401,1),0)&gt;0,IFERROR(SEARCH(DruidLand3,$T401,1),0)&gt;0,IFERROR(SEARCH(DruidLand4,$T401,1),0)&gt;0),1,0)*IF($C401=1,1,0)*IF($C401=DJ$2,1,0)=0,0,1+COUNTIF(DJ$3:DJ400,"&gt;0"))</f>
        <v>0</v>
      </c>
      <c r="DK401">
        <f>IF(IF(OR(IFERROR(SEARCH("Druid",$T401,1),0)&gt;0,IFERROR(SEARCH(DruidLand1,$T401,1),0)&gt;0,IFERROR(SEARCH(DruidLand2,$T401,1),0)&gt;0,IFERROR(SEARCH(DruidLand3,$T401,1),0)&gt;0,IFERROR(SEARCH(DruidLand4,$T401,1),0)&gt;0),1,0)*IF($C401=DK$2,1,0)=0,0,1+COUNTIF(DK$3:DK400,"&gt;0"))</f>
        <v>0</v>
      </c>
      <c r="DL401">
        <f>IF(IF(OR(IFERROR(SEARCH("Druid",$T401,1),0)&gt;0,IFERROR(SEARCH(DruidLand1,$T401,1),0)&gt;0,IFERROR(SEARCH(DruidLand2,$T401,1),0)&gt;0,IFERROR(SEARCH(DruidLand3,$T401,1),0)&gt;0,IFERROR(SEARCH(DruidLand4,$T401,1),0)&gt;0),1,0)*IF($C401=DL$2,1,0)=0,0,1+COUNTIF(DL$3:DL400,"&gt;0"))</f>
        <v>0</v>
      </c>
      <c r="DM401">
        <f>IF(IF(OR(IFERROR(SEARCH("Druid",$T401,1),0)&gt;0,IFERROR(SEARCH(DruidLand1,$T401,1),0)&gt;0,IFERROR(SEARCH(DruidLand2,$T401,1),0)&gt;0,IFERROR(SEARCH(DruidLand3,$T401,1),0)&gt;0,IFERROR(SEARCH(DruidLand4,$T401,1),0)&gt;0),1,0)*IF($C401=DM$2,1,0)=0,0,1+COUNTIF(DM$3:DM400,"&gt;0"))</f>
        <v>0</v>
      </c>
      <c r="DN401">
        <f>IF(IF(OR(IFERROR(SEARCH("Druid",$T401,1),0)&gt;0,IFERROR(SEARCH(DruidLand1,$T401,1),0)&gt;0,IFERROR(SEARCH(DruidLand2,$T401,1),0)&gt;0,IFERROR(SEARCH(DruidLand3,$T401,1),0)&gt;0,IFERROR(SEARCH(DruidLand4,$T401,1),0)&gt;0),1,0)*IF($C401=DN$2,1,0)=0,0,1+COUNTIF(DN$3:DN400,"&gt;0"))</f>
        <v>17</v>
      </c>
      <c r="DO401">
        <f>IF(IF(OR(IFERROR(SEARCH("Druid",$T401,1),0)&gt;0,IFERROR(SEARCH(DruidLand1,$T401,1),0)&gt;0,IFERROR(SEARCH(DruidLand2,$T401,1),0)&gt;0,IFERROR(SEARCH(DruidLand3,$T401,1),0)&gt;0,IFERROR(SEARCH(DruidLand4,$T401,1),0)&gt;0),1,0)*IF($C401=DO$2,1,0)=0,0,1+COUNTIF(DO$3:DO400,"&gt;0"))</f>
        <v>0</v>
      </c>
      <c r="DP401">
        <f>IF(IF(OR(IFERROR(SEARCH("Druid",$T401,1),0)&gt;0,IFERROR(SEARCH(DruidLand1,$T401,1),0)&gt;0,IFERROR(SEARCH(DruidLand2,$T401,1),0)&gt;0,IFERROR(SEARCH(DruidLand3,$T401,1),0)&gt;0,IFERROR(SEARCH(DruidLand4,$T401,1),0)&gt;0),1,0)*IF($C401=DP$2,1,0)=0,0,1+COUNTIF(DP$3:DP400,"&gt;0"))</f>
        <v>0</v>
      </c>
      <c r="DQ401">
        <f>IF(IF(OR(IFERROR(SEARCH("Druid",$T401,1),0)&gt;0,IFERROR(SEARCH(DruidLand1,$T401,1),0)&gt;0,IFERROR(SEARCH(DruidLand2,$T401,1),0)&gt;0,IFERROR(SEARCH(DruidLand3,$T401,1),0)&gt;0,IFERROR(SEARCH(DruidLand4,$T401,1),0)&gt;0),1,0)*IF($C401=DQ$2,1,0)=0,0,1+COUNTIF(DQ$3:DQ400,"&gt;0"))</f>
        <v>0</v>
      </c>
      <c r="DR401">
        <f>IF(IF(OR(IFERROR(SEARCH("Druid",$T401,1),0)&gt;0,IFERROR(SEARCH(DruidLand1,$T401,1),0)&gt;0,IFERROR(SEARCH(DruidLand2,$T401,1),0)&gt;0,IFERROR(SEARCH(DruidLand3,$T401,1),0)&gt;0,IFERROR(SEARCH(DruidLand4,$T401,1),0)&gt;0),1,0)*IF($C401=DR$2,1,0)=0,0,1+COUNTIF(DR$3:DR400,"&gt;0"))</f>
        <v>0</v>
      </c>
      <c r="DS401">
        <f>IF(IF(OR(IFERROR(SEARCH("Paladin",$T401,1),0)&gt;0,IFERROR(SEARCH(PaladinOath,$T401,1),0)&gt;0),1,0)*IF($C401=DS$2,1,0)=1,1+COUNTIF(DS$3:DS400,"&gt;0"),0)</f>
        <v>0</v>
      </c>
      <c r="DT401">
        <f>IF(IF(OR(IFERROR(SEARCH("Paladin",$T401,1),0)&gt;0,IFERROR(SEARCH(PaladinOath,$T401,1),0)&gt;0),1,0)*IF($C401=DT$2,1,0)=1,1+COUNTIF(DT$3:DT400,"&gt;0"),0)</f>
        <v>0</v>
      </c>
      <c r="DU401">
        <f>IF(IF(OR(IFERROR(SEARCH("Paladin",$T401,1),0)&gt;0,IFERROR(SEARCH(PaladinOath,$T401,1),0)&gt;0),1,0)*IF($C401=DU$2,1,0)=1,1+COUNTIF(DU$3:DU400,"&gt;0"),0)</f>
        <v>0</v>
      </c>
      <c r="DV401">
        <f>IF(IF(OR(IFERROR(SEARCH("Paladin",$T401,1),0)&gt;0,IFERROR(SEARCH(PaladinOath,$T401,1),0)&gt;0),1,0)*IF($C401=DV$2,1,0)=1,1+COUNTIF(DV$3:DV400,"&gt;0"),0)</f>
        <v>0</v>
      </c>
      <c r="DW401">
        <f>IF(IF(OR(IFERROR(SEARCH("Paladin",$T401,1),0)&gt;0,IFERROR(SEARCH(PaladinOath,$T401,1),0)&gt;0),1,0)*IF($C401=DW$2,1,0)=1,1+COUNTIF(DW$3:DW400,"&gt;0"),0)</f>
        <v>0</v>
      </c>
      <c r="DY401">
        <f t="shared" si="338"/>
        <v>1</v>
      </c>
      <c r="DZ401">
        <f>IF(DY401=0,0,1+MAX(DZ$3:$DZ400))</f>
        <v>399</v>
      </c>
      <c r="EB401">
        <f t="shared" si="352"/>
        <v>0</v>
      </c>
      <c r="EC401">
        <f>IF(EB401=0,0,1+COUNTIF(EC$3:EC400,"&gt;0"))</f>
        <v>0</v>
      </c>
      <c r="ED401" t="str">
        <f t="shared" si="380"/>
        <v/>
      </c>
      <c r="EE401" t="str">
        <f t="shared" si="353"/>
        <v/>
      </c>
      <c r="EG401">
        <f t="shared" si="354"/>
        <v>0</v>
      </c>
      <c r="EH401">
        <f>IF(EG401=0,0,1+COUNTIF(EH$3:EH400,"&gt;0"))</f>
        <v>0</v>
      </c>
      <c r="EI401" t="str">
        <f t="shared" si="381"/>
        <v/>
      </c>
      <c r="EJ401" t="str">
        <f t="shared" si="355"/>
        <v/>
      </c>
      <c r="EL401">
        <f t="shared" si="356"/>
        <v>0</v>
      </c>
      <c r="EM401">
        <f>IF(EL401=0,0,1+COUNTIF(EM$3:EM400,"&gt;0"))</f>
        <v>0</v>
      </c>
      <c r="EN401" t="str">
        <f t="shared" si="382"/>
        <v/>
      </c>
      <c r="EO401" t="str">
        <f t="shared" si="357"/>
        <v/>
      </c>
      <c r="EQ401">
        <f t="shared" si="358"/>
        <v>0</v>
      </c>
      <c r="ER401">
        <f>IF(EQ401=0,0,1+COUNTIF(ER$3:ER400,"&gt;0"))</f>
        <v>0</v>
      </c>
      <c r="ES401" t="str">
        <f t="shared" si="383"/>
        <v/>
      </c>
      <c r="ET401" t="str">
        <f t="shared" si="359"/>
        <v/>
      </c>
      <c r="EV401">
        <f t="shared" si="360"/>
        <v>0</v>
      </c>
      <c r="EW401">
        <f>IF(EV401=0,0,1+COUNTIF(EW$3:EW400,"&gt;0"))</f>
        <v>0</v>
      </c>
      <c r="EX401" t="str">
        <f t="shared" si="384"/>
        <v/>
      </c>
      <c r="EY401" t="str">
        <f t="shared" si="361"/>
        <v/>
      </c>
      <c r="FA401">
        <f t="shared" si="362"/>
        <v>0</v>
      </c>
      <c r="FB401">
        <f>IF(FA401=0,0,1+COUNTIF(FB$3:FB400,"&gt;0"))</f>
        <v>0</v>
      </c>
      <c r="FC401" t="str">
        <f t="shared" si="385"/>
        <v/>
      </c>
      <c r="FD401" t="str">
        <f t="shared" si="363"/>
        <v/>
      </c>
      <c r="FF401">
        <f t="shared" si="364"/>
        <v>0</v>
      </c>
      <c r="FG401">
        <f>IF(FF401=0,0,1+COUNTIF(FG$3:FG400,"&gt;0"))</f>
        <v>0</v>
      </c>
      <c r="FH401" t="str">
        <f t="shared" si="386"/>
        <v/>
      </c>
      <c r="FI401" t="str">
        <f t="shared" si="365"/>
        <v/>
      </c>
      <c r="FK401">
        <f t="shared" si="366"/>
        <v>0</v>
      </c>
      <c r="FL401">
        <f>IF(FK401=0,0,1+COUNTIF(FL$3:FL400,"&gt;0"))</f>
        <v>0</v>
      </c>
      <c r="FM401" t="str">
        <f t="shared" si="387"/>
        <v/>
      </c>
      <c r="FN401" t="str">
        <f t="shared" si="367"/>
        <v/>
      </c>
      <c r="FP401">
        <f t="shared" si="368"/>
        <v>0</v>
      </c>
      <c r="FQ401">
        <f>IF(FP401=0,0,1+COUNTIF(FQ$3:FQ400,"&gt;0"))</f>
        <v>0</v>
      </c>
      <c r="FR401" t="str">
        <f t="shared" si="388"/>
        <v/>
      </c>
      <c r="FS401" t="str">
        <f t="shared" si="369"/>
        <v/>
      </c>
    </row>
    <row r="402" spans="1:175" x14ac:dyDescent="0.25">
      <c r="A402" s="347">
        <f t="shared" si="390"/>
        <v>400</v>
      </c>
      <c r="B402" s="398" t="s">
        <v>5573</v>
      </c>
      <c r="C402" s="348">
        <v>4</v>
      </c>
      <c r="D402" s="347">
        <v>4</v>
      </c>
      <c r="E402" s="627" t="s">
        <v>6957</v>
      </c>
      <c r="F402" s="346"/>
      <c r="G402" s="347" t="str">
        <f>""</f>
        <v/>
      </c>
      <c r="H402" s="347" t="s">
        <v>5912</v>
      </c>
      <c r="I402" s="347" t="s">
        <v>5315</v>
      </c>
      <c r="J402" s="347" t="str">
        <f t="shared" si="339"/>
        <v/>
      </c>
      <c r="K402" s="347" t="s">
        <v>5278</v>
      </c>
      <c r="L402" s="611" t="str">
        <f t="shared" si="340"/>
        <v>V, S, M, a drop of giant slug bile</v>
      </c>
      <c r="M402" s="347" t="s">
        <v>2373</v>
      </c>
      <c r="N402" s="347" t="s">
        <v>2387</v>
      </c>
      <c r="O402" s="347" t="s">
        <v>1244</v>
      </c>
      <c r="P402" s="346" t="s">
        <v>5574</v>
      </c>
      <c r="Q402" s="347" t="s">
        <v>5273</v>
      </c>
      <c r="S402" s="346" t="s">
        <v>5904</v>
      </c>
      <c r="T402" s="346" t="str">
        <f t="shared" si="341"/>
        <v xml:space="preserve">Eldritch Knight, Wizard, </v>
      </c>
      <c r="AB402" s="542" t="str">
        <f>AD402</f>
        <v>Vitriolic Sphere</v>
      </c>
      <c r="AD402" s="347" t="str">
        <f t="shared" si="389"/>
        <v>Vitriolic Sphere</v>
      </c>
      <c r="AE402" t="str">
        <f>IF(IFERROR(MATCH($B402,temp!A$4:A$13,0),0)&gt;0,T08_Spells!AE$2,"")</f>
        <v/>
      </c>
      <c r="AF402" t="str">
        <f>IF(IFERROR(MATCH($B402,temp!B$4:B$13,0),0)&gt;0,T08_Spells!AF$2,"")</f>
        <v/>
      </c>
      <c r="AG402" t="str">
        <f>IF(IFERROR(MATCH($B402,temp!C$4:C$13,0),0)&gt;0,T08_Spells!AG$2,"")</f>
        <v/>
      </c>
      <c r="AH402" t="str">
        <f>IF(IFERROR(MATCH($B402,temp!D$4:D$13,0),0)&gt;0,T08_Spells!AH$2,"")</f>
        <v/>
      </c>
      <c r="AI402" t="str">
        <f>IF(IFERROR(MATCH($B402,temp!E$4:E$13,0),0)&gt;0,T08_Spells!AI$2,"")</f>
        <v/>
      </c>
      <c r="AJ402" t="str">
        <f>IF(IFERROR(MATCH($B402,temp!F$4:F$13,0),0)&gt;0,T08_Spells!AJ$2,"")</f>
        <v/>
      </c>
      <c r="AK402" t="str">
        <f>IF(IFERROR(MATCH($B402,temp!G$4:G$13,0),0)&gt;0,T08_Spells!AK$2,"")</f>
        <v/>
      </c>
      <c r="AL402" t="str">
        <f>IF(IFERROR(MATCH($B402,temp!H$4:H$13,0),0)&gt;0,T08_Spells!AL$2,"")</f>
        <v/>
      </c>
      <c r="AM402" t="str">
        <f>IF(IFERROR(MATCH($B402,temp!I$4:I$13,0),0)&gt;0,T08_Spells!AM$2,"")</f>
        <v/>
      </c>
      <c r="AN402" t="str">
        <f>IF(IFERROR(MATCH($B402,temp!J$4:J$13,0),0)&gt;0,T08_Spells!AN$2,"")</f>
        <v/>
      </c>
      <c r="AO402" t="str">
        <f>IF(IFERROR(MATCH($B402,temp!K$4:K$13,0),0)&gt;0,T08_Spells!AO$2,"")</f>
        <v/>
      </c>
      <c r="AP402" t="str">
        <f>IF(IFERROR(MATCH($B402,temp!L$4:L$13,0),0)&gt;0,T08_Spells!AP$2,"")</f>
        <v/>
      </c>
      <c r="AQ402" t="str">
        <f>IF(IFERROR(MATCH($B402,temp!M$4:M$13,0),0)&gt;0,T08_Spells!AQ$2,"")</f>
        <v/>
      </c>
      <c r="AR402" t="str">
        <f>IF(IFERROR(MATCH($B402,temp!N$4:N$13,0),0)&gt;0,T08_Spells!AR$2,"")</f>
        <v/>
      </c>
      <c r="AS402" t="str">
        <f>IF(IFERROR(MATCH($B402,temp!O$4:O$13,0),0)&gt;0,T08_Spells!AS$2,"")</f>
        <v/>
      </c>
      <c r="AT402" t="str">
        <f>IF(IFERROR(MATCH($B402,temp!P$4:P$13,0),0)&gt;0,T08_Spells!AT$2,"")</f>
        <v/>
      </c>
      <c r="AU402" t="str">
        <f>IF(IFERROR(MATCH($B402,temp!Q$4:Q$13,0),0)&gt;0,T08_Spells!AU$2,"")</f>
        <v/>
      </c>
      <c r="AV402" t="str">
        <f>IF(IFERROR(MATCH($B402,temp!R$4:R$13,0),0)&gt;0,T08_Spells!AV$2,"")</f>
        <v/>
      </c>
      <c r="AW402" t="str">
        <f>IF(IFERROR(MATCH($B402,temp!S$4:S$13,0),0)&gt;0,T08_Spells!AW$2,"")</f>
        <v/>
      </c>
      <c r="AX402" t="str">
        <f>IF(IFERROR(MATCH($B402,temp!T$4:T$13,0),0)&gt;0,T08_Spells!AX$2,"")</f>
        <v/>
      </c>
      <c r="AY402" t="str">
        <f>IF(IFERROR(MATCH($B402,temp!U$4:U$13,0),0)&gt;0,T08_Spells!AY$2,"")</f>
        <v/>
      </c>
      <c r="AZ402" t="str">
        <f>IF(IFERROR(MATCH($B402,temp!V$4:V$13,0),0)&gt;0,T08_Spells!AZ$2,"")</f>
        <v/>
      </c>
      <c r="BA402" t="str">
        <f>IF(IFERROR(MATCH($B402,temp!W$4:W$13,0),0)&gt;0,T08_Spells!BA$2,"")</f>
        <v/>
      </c>
      <c r="BC402">
        <f>IF(IFERROR(SEARCH("Ranger",$T402,1),0)&gt;0,1,0)*IF(RangerMaxSpellLevel&gt;=$C402,1,0)*IF(IFERROR(MATCH(B402,Character_Creation!$X$79:$X$382,0),0)&gt;0,0,1)</f>
        <v>0</v>
      </c>
      <c r="BD402">
        <f>IF(BC402=0,0,1+COUNTIF(BD$3:BD401,"&gt;0"))</f>
        <v>0</v>
      </c>
      <c r="BE402" t="str">
        <f t="shared" si="370"/>
        <v/>
      </c>
      <c r="BF402" t="str">
        <f t="shared" si="342"/>
        <v/>
      </c>
      <c r="BH402">
        <f>IF(IFERROR(SEARCH("Sorcerer",$T402,1),0)&gt;0,1,0)*IF(SorcererMaxSpellLevel&gt;=$C402,1,0)*IF(IFERROR(MATCH(B402,Character_Creation!$J$380:$J$394,0),0)&gt;0,0,1)</f>
        <v>0</v>
      </c>
      <c r="BI402">
        <f>IF(BH402=0,0,1+COUNTIF(BI$3:BI401,"&gt;0"))</f>
        <v>0</v>
      </c>
      <c r="BJ402" t="str">
        <f t="shared" si="371"/>
        <v/>
      </c>
      <c r="BK402" t="str">
        <f t="shared" si="343"/>
        <v/>
      </c>
      <c r="BM402">
        <f>IF(OR(IFERROR(SEARCH("Warlock",$T402,1),0)&gt;0,IFERROR(SEARCH(WarlockPatron,$T402,1),0)&gt;0),1,0)*IF(WarlockMaxSpellLevel&gt;=$C402,1,0)*IF(IFERROR(MATCH(B402,Character_Creation!$J$361:$J$375,0),0)&gt;0,0,1)</f>
        <v>0</v>
      </c>
      <c r="BN402">
        <f>IF(BM402=0,0,1+COUNTIF(BN$3:BN401,"&gt;0"))</f>
        <v>0</v>
      </c>
      <c r="BO402" t="str">
        <f t="shared" si="372"/>
        <v/>
      </c>
      <c r="BP402" t="str">
        <f t="shared" si="344"/>
        <v/>
      </c>
      <c r="BR402">
        <f>IF(IFERROR(SEARCH("Eldritch Knight",$T402,1),0)&gt;0,1,0)*IF(EldritchKnightMaxSpellLevel&gt;=$C402,1,0)*IF(IFERROR(MATCH($B402,Character_Creation!$J$350:$J$356,0),0)&gt;0,0,1)*IF(Character_Creation!$M$338&gt;0,1,0)</f>
        <v>0</v>
      </c>
      <c r="BS402">
        <f>IF(BR402=0,0,1+COUNTIF(BS$3:BS401,"&gt;0"))</f>
        <v>0</v>
      </c>
      <c r="BT402" t="str">
        <f t="shared" si="373"/>
        <v/>
      </c>
      <c r="BU402" t="str">
        <f t="shared" si="345"/>
        <v/>
      </c>
      <c r="BW402">
        <f>IF(IFERROR(SEARCH("Arcane Trickster",$T402,1),0)&gt;0,1,0)*IF(ArcaneTricksterMaxSpellLevel&gt;=$C402,1,0)*IF(IFERROR(MATCH($B402,Character_Creation!$J$350:$J$356,0),0)&gt;0,0,1)*IF(Character_Creation!$T$338&gt;0,1,0)</f>
        <v>0</v>
      </c>
      <c r="BX402">
        <f>IF(BW402=0,0,1+COUNTIF(BX$3:BX401,"&gt;0"))</f>
        <v>0</v>
      </c>
      <c r="BY402" t="str">
        <f t="shared" si="374"/>
        <v/>
      </c>
      <c r="BZ402" t="str">
        <f t="shared" si="346"/>
        <v/>
      </c>
      <c r="CB402">
        <f>IF(IFERROR(SEARCH("Wizard",$T402,1),0)&gt;0,1,0)*IF(C402&lt;=ArcaneTricksterMaxSpellLevel,1,0)*IF(IFERROR(MATCH($B402,Character_Creation!$J$350:$J$356,0),0)&gt;0,0,1)*IF(Character_Creation!$T$350&gt;0,1,0)</f>
        <v>0</v>
      </c>
      <c r="CC402">
        <f>IF(CB402=0,0,1+COUNTIF(CC$3:CC401,"&gt;0"))</f>
        <v>0</v>
      </c>
      <c r="CD402" t="str">
        <f t="shared" si="375"/>
        <v/>
      </c>
      <c r="CE402" t="str">
        <f t="shared" si="347"/>
        <v/>
      </c>
      <c r="CG402">
        <f>IF(IFERROR(SEARCH("Wizard",$T402,1),0)&gt;0,1,0)*IF($C402&lt;=EldritchKnightMaxSpellLevel,1,0)*IF(IFERROR(MATCH($B402,Character_Creation!$J$350:$J$356,0),0)&gt;0,0,1)*IF(Character_Creation!$M$350&gt;0,1,0)</f>
        <v>0</v>
      </c>
      <c r="CH402">
        <f>IF(CG402=0,0,1+COUNTIF(CH$3:CH401,"&gt;0"))</f>
        <v>0</v>
      </c>
      <c r="CI402" t="str">
        <f t="shared" si="376"/>
        <v/>
      </c>
      <c r="CJ402" t="str">
        <f t="shared" si="348"/>
        <v/>
      </c>
      <c r="CL402">
        <f>IF(IFERROR(SEARCH("Bard",$T402,1),0)&gt;0,1,0)*IF(BardMaxSpellLevel&gt;=$C402,1,0)*IF(IFERROR(MATCH(B402,Character_Creation!$C$341:$F$362,0),0)&gt;0,0,1)*IF(IFERROR(MATCH($B402,Character_Creation!$C$341:$C$362,0),0)&gt;0,0,1)</f>
        <v>0</v>
      </c>
      <c r="CM402">
        <f>IF(CL402=0,0,1+COUNTIF(CM$3:CM401,"&gt;0"))</f>
        <v>0</v>
      </c>
      <c r="CN402" t="str">
        <f t="shared" si="377"/>
        <v/>
      </c>
      <c r="CO402" t="str">
        <f t="shared" si="349"/>
        <v/>
      </c>
      <c r="CQ402">
        <f>IF(IFERROR(SEARCH("Wizard",$T402,1),0)&gt;0,1,0)*IF(WizardMaxSpellLevel&gt;=$C402,1,0)*IF(IFERROR(MATCH(B402,Character_Creation!$X$341:$X$400,0),0)&gt;0,0,1)*IF(SelectedWizardSpellLevel=$C402,1,0)</f>
        <v>0</v>
      </c>
      <c r="CR402">
        <f>IF(CQ402=0,0,1+COUNTIF(CR$3:CR401,"&gt;0"))</f>
        <v>0</v>
      </c>
      <c r="CS402" t="str">
        <f t="shared" si="378"/>
        <v/>
      </c>
      <c r="CT402" t="str">
        <f t="shared" si="350"/>
        <v/>
      </c>
      <c r="CV402">
        <f>IF(IFERROR(MATCH($B402,Character_Creation!$C$341:$C$362,0),0)&gt;0,0,1)*IF(OR(C402="Cantrip",C402&lt;=BardMaxSpellLevel),1,0)*IF(IFERROR(MATCH($B402,Character_Creation!$C$367:$C$374,0),0)&gt;0,0,1)</f>
        <v>0</v>
      </c>
      <c r="CW402">
        <f>IF(CV402=0,0,1+COUNTIF(CW$3:CW401,"&gt;0"))</f>
        <v>0</v>
      </c>
      <c r="CX402" t="str">
        <f t="shared" si="379"/>
        <v/>
      </c>
      <c r="CY402" t="str">
        <f t="shared" si="351"/>
        <v/>
      </c>
      <c r="DA402">
        <f>IF(IF(OR(IFERROR(SEARCH("Cleric",$T402,1),0)&gt;0,IFERROR(SEARCH(DivineDomain&amp;",",$T402,1),0)&gt;0),1,0)*IF($C402=DA$2,1,0)=1,1+COUNTIF(DA$3:DA401,"&gt;0"),0)</f>
        <v>0</v>
      </c>
      <c r="DB402">
        <f>IF(IF(OR(IFERROR(SEARCH("Cleric",$T402,1),0)&gt;0,IFERROR(SEARCH(DivineDomain&amp;",",$T402,1),0)&gt;0),1,0)*IF($C402=DB$2,1,0)=1,1+COUNTIF(DB$3:DB401,"&gt;0"),0)</f>
        <v>0</v>
      </c>
      <c r="DC402">
        <f>IF(IF(OR(IFERROR(SEARCH("Cleric",$T402,1),0)&gt;0,IFERROR(SEARCH(DivineDomain&amp;",",$T402,1),0)&gt;0),1,0)*IF($C402=DC$2,1,0)=1,1+COUNTIF(DC$3:DC401,"&gt;0"),0)</f>
        <v>0</v>
      </c>
      <c r="DD402">
        <f>IF(IF(OR(IFERROR(SEARCH("Cleric",$T402,1),0)&gt;0,IFERROR(SEARCH(DivineDomain&amp;",",$T402,1),0)&gt;0),1,0)*IF($C402=DD$2,1,0)=1,1+COUNTIF(DD$3:DD401,"&gt;0"),0)</f>
        <v>0</v>
      </c>
      <c r="DE402">
        <f>IF(IF(OR(IFERROR(SEARCH("Cleric",$T402,1),0)&gt;0,IFERROR(SEARCH(DivineDomain&amp;",",$T402,1),0)&gt;0),1,0)*IF($C402=DE$2,1,0)=1,1+COUNTIF(DE$3:DE401,"&gt;0"),0)</f>
        <v>0</v>
      </c>
      <c r="DF402">
        <f>IF(IF(OR(IFERROR(SEARCH("Cleric",$T402,1),0)&gt;0,IFERROR(SEARCH(DivineDomain&amp;",",$T402,1),0)&gt;0),1,0)*IF($C402=DF$2,1,0)=1,1+COUNTIF(DF$3:DF401,"&gt;0"),0)</f>
        <v>0</v>
      </c>
      <c r="DG402">
        <f>IF(IF(OR(IFERROR(SEARCH("Cleric",$T402,1),0)&gt;0,IFERROR(SEARCH(DivineDomain&amp;",",$T402,1),0)&gt;0),1,0)*IF($C402=DG$2,1,0)=1,1+COUNTIF(DG$3:DG401,"&gt;0"),0)</f>
        <v>0</v>
      </c>
      <c r="DH402">
        <f>IF(IF(OR(IFERROR(SEARCH("Cleric",$T402,1),0)&gt;0,IFERROR(SEARCH(DivineDomain&amp;",",$T402,1),0)&gt;0),1,0)*IF($C402=DH$2,1,0)=1,1+COUNTIF(DH$3:DH401,"&gt;0"),0)</f>
        <v>0</v>
      </c>
      <c r="DI402">
        <f>IF(IF(OR(IFERROR(SEARCH("Cleric",$T402,1),0)&gt;0,IFERROR(SEARCH(DivineDomain&amp;",",$T402,1),0)&gt;0),1,0)*IF($C402=DI$2,1,0)=1,1+COUNTIF(DI$3:DI401,"&gt;0"),0)</f>
        <v>0</v>
      </c>
      <c r="DJ402">
        <f>IF(IF(OR(IFERROR(SEARCH("Druid",$T402,1),0)&gt;0,IFERROR(SEARCH(DruidLand1,$T402,1),0)&gt;0,IFERROR(SEARCH(DruidLand2,$T402,1),0)&gt;0,IFERROR(SEARCH(DruidLand3,$T402,1),0)&gt;0,IFERROR(SEARCH(DruidLand4,$T402,1),0)&gt;0),1,0)*IF($C402=1,1,0)*IF($C402=DJ$2,1,0)=0,0,1+COUNTIF(DJ$3:DJ401,"&gt;0"))</f>
        <v>0</v>
      </c>
      <c r="DK402">
        <f>IF(IF(OR(IFERROR(SEARCH("Druid",$T402,1),0)&gt;0,IFERROR(SEARCH(DruidLand1,$T402,1),0)&gt;0,IFERROR(SEARCH(DruidLand2,$T402,1),0)&gt;0,IFERROR(SEARCH(DruidLand3,$T402,1),0)&gt;0,IFERROR(SEARCH(DruidLand4,$T402,1),0)&gt;0),1,0)*IF($C402=1,1,0)*IF($C402=DK$2,1,0)=0,0,1+COUNTIF(DK$3:DK401,"&gt;0"))</f>
        <v>0</v>
      </c>
      <c r="DL402">
        <f>IF(IF(OR(IFERROR(SEARCH("Druid",$T402,1),0)&gt;0,IFERROR(SEARCH(DruidLand1,$T402,1),0)&gt;0,IFERROR(SEARCH(DruidLand2,$T402,1),0)&gt;0,IFERROR(SEARCH(DruidLand3,$T402,1),0)&gt;0,IFERROR(SEARCH(DruidLand4,$T402,1),0)&gt;0),1,0)*IF($C402=1,1,0)*IF($C402=DL$2,1,0)=0,0,1+COUNTIF(DL$3:DL401,"&gt;0"))</f>
        <v>0</v>
      </c>
      <c r="DM402">
        <f>IF(IF(OR(IFERROR(SEARCH("Druid",$T402,1),0)&gt;0,IFERROR(SEARCH(DruidLand1,$T402,1),0)&gt;0,IFERROR(SEARCH(DruidLand2,$T402,1),0)&gt;0,IFERROR(SEARCH(DruidLand3,$T402,1),0)&gt;0,IFERROR(SEARCH(DruidLand4,$T402,1),0)&gt;0),1,0)*IF($C402=1,1,0)*IF($C402=DM$2,1,0)=0,0,1+COUNTIF(DM$3:DM401,"&gt;0"))</f>
        <v>0</v>
      </c>
      <c r="DN402">
        <f>IF(IF(OR(IFERROR(SEARCH("Druid",$T402,1),0)&gt;0,IFERROR(SEARCH(DruidLand1,$T402,1),0)&gt;0,IFERROR(SEARCH(DruidLand2,$T402,1),0)&gt;0,IFERROR(SEARCH(DruidLand3,$T402,1),0)&gt;0,IFERROR(SEARCH(DruidLand4,$T402,1),0)&gt;0),1,0)*IF($C402=1,1,0)*IF($C402=DN$2,1,0)=0,0,1+COUNTIF(DN$3:DN401,"&gt;0"))</f>
        <v>0</v>
      </c>
      <c r="DO402">
        <f>IF(IF(OR(IFERROR(SEARCH("Druid",$T402,1),0)&gt;0,IFERROR(SEARCH(DruidLand1,$T402,1),0)&gt;0,IFERROR(SEARCH(DruidLand2,$T402,1),0)&gt;0,IFERROR(SEARCH(DruidLand3,$T402,1),0)&gt;0,IFERROR(SEARCH(DruidLand4,$T402,1),0)&gt;0),1,0)*IF($C402=1,1,0)*IF($C402=DO$2,1,0)=0,0,1+COUNTIF(DO$3:DO401,"&gt;0"))</f>
        <v>0</v>
      </c>
      <c r="DP402">
        <f>IF(IF(OR(IFERROR(SEARCH("Druid",$T402,1),0)&gt;0,IFERROR(SEARCH(DruidLand1,$T402,1),0)&gt;0,IFERROR(SEARCH(DruidLand2,$T402,1),0)&gt;0,IFERROR(SEARCH(DruidLand3,$T402,1),0)&gt;0,IFERROR(SEARCH(DruidLand4,$T402,1),0)&gt;0),1,0)*IF($C402=1,1,0)*IF($C402=DP$2,1,0)=0,0,1+COUNTIF(DP$3:DP401,"&gt;0"))</f>
        <v>0</v>
      </c>
      <c r="DQ402">
        <f>IF(IF(OR(IFERROR(SEARCH("Druid",$T402,1),0)&gt;0,IFERROR(SEARCH(DruidLand1,$T402,1),0)&gt;0,IFERROR(SEARCH(DruidLand2,$T402,1),0)&gt;0,IFERROR(SEARCH(DruidLand3,$T402,1),0)&gt;0,IFERROR(SEARCH(DruidLand4,$T402,1),0)&gt;0),1,0)*IF($C402=1,1,0)*IF($C402=DQ$2,1,0)=0,0,1+COUNTIF(DQ$3:DQ401,"&gt;0"))</f>
        <v>0</v>
      </c>
      <c r="DR402">
        <f>IF(IF(OR(IFERROR(SEARCH("Druid",$T402,1),0)&gt;0,IFERROR(SEARCH(DruidLand1,$T402,1),0)&gt;0,IFERROR(SEARCH(DruidLand2,$T402,1),0)&gt;0,IFERROR(SEARCH(DruidLand3,$T402,1),0)&gt;0,IFERROR(SEARCH(DruidLand4,$T402,1),0)&gt;0),1,0)*IF($C402=1,1,0)*IF($C402=DR$2,1,0)=0,0,1+COUNTIF(DR$3:DR401,"&gt;0"))</f>
        <v>0</v>
      </c>
      <c r="DS402">
        <f>IF(IF(OR(IFERROR(SEARCH("Paladin",$T402,1),0)&gt;0,IFERROR(SEARCH(PaladinOath,$T402,1),0)&gt;0),1,0)*IF($C402=DS$2,1,0)=1,1+COUNTIF(DS$3:DS401,"&gt;0"),0)</f>
        <v>0</v>
      </c>
      <c r="DT402">
        <f>IF(IF(OR(IFERROR(SEARCH("Paladin",$T402,1),0)&gt;0,IFERROR(SEARCH(PaladinOath,$T402,1),0)&gt;0),1,0)*IF($C402=DT$2,1,0)=1,1+COUNTIF(DT$3:DT401,"&gt;0"),0)</f>
        <v>0</v>
      </c>
      <c r="DU402">
        <f>IF(IF(OR(IFERROR(SEARCH("Paladin",$T402,1),0)&gt;0,IFERROR(SEARCH(PaladinOath,$T402,1),0)&gt;0),1,0)*IF($C402=DU$2,1,0)=1,1+COUNTIF(DU$3:DU401,"&gt;0"),0)</f>
        <v>0</v>
      </c>
      <c r="DV402">
        <f>IF(IF(OR(IFERROR(SEARCH("Paladin",$T402,1),0)&gt;0,IFERROR(SEARCH(PaladinOath,$T402,1),0)&gt;0),1,0)*IF($C402=DV$2,1,0)=1,1+COUNTIF(DV$3:DV401,"&gt;0"),0)</f>
        <v>0</v>
      </c>
      <c r="DW402">
        <f>IF(IF(OR(IFERROR(SEARCH("Paladin",$T402,1),0)&gt;0,IFERROR(SEARCH(PaladinOath,$T402,1),0)&gt;0),1,0)*IF($C402=DW$2,1,0)=1,1+COUNTIF(DW$3:DW401,"&gt;0"),0)</f>
        <v>0</v>
      </c>
      <c r="DY402">
        <f t="shared" si="338"/>
        <v>1</v>
      </c>
      <c r="DZ402">
        <f>IF(DY402=0,0,1+MAX(DZ$3:$DZ401))</f>
        <v>400</v>
      </c>
      <c r="EB402">
        <f t="shared" si="352"/>
        <v>0</v>
      </c>
      <c r="EC402">
        <f>IF(EB402=0,0,1+COUNTIF(EC$3:EC401,"&gt;0"))</f>
        <v>0</v>
      </c>
      <c r="ED402" t="str">
        <f t="shared" si="380"/>
        <v/>
      </c>
      <c r="EE402" t="str">
        <f t="shared" si="353"/>
        <v/>
      </c>
      <c r="EG402">
        <f t="shared" si="354"/>
        <v>0</v>
      </c>
      <c r="EH402">
        <f>IF(EG402=0,0,1+COUNTIF(EH$3:EH401,"&gt;0"))</f>
        <v>0</v>
      </c>
      <c r="EI402" t="str">
        <f t="shared" si="381"/>
        <v/>
      </c>
      <c r="EJ402" t="str">
        <f t="shared" si="355"/>
        <v/>
      </c>
      <c r="EL402">
        <f t="shared" si="356"/>
        <v>0</v>
      </c>
      <c r="EM402">
        <f>IF(EL402=0,0,1+COUNTIF(EM$3:EM401,"&gt;0"))</f>
        <v>0</v>
      </c>
      <c r="EN402" t="str">
        <f t="shared" si="382"/>
        <v/>
      </c>
      <c r="EO402" t="str">
        <f t="shared" si="357"/>
        <v/>
      </c>
      <c r="EQ402">
        <f t="shared" si="358"/>
        <v>0</v>
      </c>
      <c r="ER402">
        <f>IF(EQ402=0,0,1+COUNTIF(ER$3:ER401,"&gt;0"))</f>
        <v>0</v>
      </c>
      <c r="ES402" t="str">
        <f t="shared" si="383"/>
        <v/>
      </c>
      <c r="ET402" t="str">
        <f t="shared" si="359"/>
        <v/>
      </c>
      <c r="EV402">
        <f t="shared" si="360"/>
        <v>0</v>
      </c>
      <c r="EW402">
        <f>IF(EV402=0,0,1+COUNTIF(EW$3:EW401,"&gt;0"))</f>
        <v>0</v>
      </c>
      <c r="EX402" t="str">
        <f t="shared" si="384"/>
        <v/>
      </c>
      <c r="EY402" t="str">
        <f t="shared" si="361"/>
        <v/>
      </c>
      <c r="FA402">
        <f t="shared" si="362"/>
        <v>0</v>
      </c>
      <c r="FB402">
        <f>IF(FA402=0,0,1+COUNTIF(FB$3:FB401,"&gt;0"))</f>
        <v>0</v>
      </c>
      <c r="FC402" t="str">
        <f t="shared" si="385"/>
        <v/>
      </c>
      <c r="FD402" t="str">
        <f t="shared" si="363"/>
        <v/>
      </c>
      <c r="FF402">
        <f t="shared" si="364"/>
        <v>0</v>
      </c>
      <c r="FG402">
        <f>IF(FF402=0,0,1+COUNTIF(FG$3:FG401,"&gt;0"))</f>
        <v>0</v>
      </c>
      <c r="FH402" t="str">
        <f t="shared" si="386"/>
        <v/>
      </c>
      <c r="FI402" t="str">
        <f t="shared" si="365"/>
        <v/>
      </c>
      <c r="FK402">
        <f t="shared" si="366"/>
        <v>0</v>
      </c>
      <c r="FL402">
        <f>IF(FK402=0,0,1+COUNTIF(FL$3:FL401,"&gt;0"))</f>
        <v>0</v>
      </c>
      <c r="FM402" t="str">
        <f t="shared" si="387"/>
        <v/>
      </c>
      <c r="FN402" t="str">
        <f t="shared" si="367"/>
        <v/>
      </c>
      <c r="FP402">
        <f t="shared" si="368"/>
        <v>0</v>
      </c>
      <c r="FQ402">
        <f>IF(FP402=0,0,1+COUNTIF(FQ$3:FQ401,"&gt;0"))</f>
        <v>0</v>
      </c>
      <c r="FR402" t="str">
        <f t="shared" si="388"/>
        <v/>
      </c>
      <c r="FS402" t="str">
        <f t="shared" si="369"/>
        <v/>
      </c>
    </row>
    <row r="403" spans="1:175" x14ac:dyDescent="0.25">
      <c r="A403" s="347">
        <f t="shared" si="390"/>
        <v>401</v>
      </c>
      <c r="B403" s="398" t="s">
        <v>5575</v>
      </c>
      <c r="C403" s="348">
        <v>3</v>
      </c>
      <c r="D403" s="347">
        <v>3</v>
      </c>
      <c r="E403" s="627" t="s">
        <v>6957</v>
      </c>
      <c r="F403" s="346"/>
      <c r="G403" s="347" t="str">
        <f>""</f>
        <v/>
      </c>
      <c r="H403" s="347" t="s">
        <v>5912</v>
      </c>
      <c r="I403" s="347" t="s">
        <v>5312</v>
      </c>
      <c r="J403" s="347" t="str">
        <f t="shared" si="339"/>
        <v/>
      </c>
      <c r="K403" s="347" t="s">
        <v>5297</v>
      </c>
      <c r="L403" s="611" t="str">
        <f t="shared" si="340"/>
        <v>V, S, M, a handful of sand</v>
      </c>
      <c r="M403" s="347" t="s">
        <v>2373</v>
      </c>
      <c r="N403" s="347" t="s">
        <v>2387</v>
      </c>
      <c r="O403" s="347" t="s">
        <v>1244</v>
      </c>
      <c r="P403" s="346" t="s">
        <v>5576</v>
      </c>
      <c r="Q403" s="347" t="s">
        <v>5273</v>
      </c>
      <c r="S403" s="346" t="s">
        <v>5577</v>
      </c>
      <c r="T403" s="346" t="str">
        <f t="shared" si="341"/>
        <v xml:space="preserve">Eldritch Knight, Wizard, </v>
      </c>
      <c r="AB403" s="542" t="str">
        <f>AD403</f>
        <v>Wall of Sand</v>
      </c>
      <c r="AD403" s="347" t="str">
        <f t="shared" si="389"/>
        <v>Wall of Sand</v>
      </c>
      <c r="AE403" t="str">
        <f>IF(IFERROR(MATCH($B403,temp!A$4:A$13,0),0)&gt;0,T08_Spells!AE$2,"")</f>
        <v/>
      </c>
      <c r="AF403" t="str">
        <f>IF(IFERROR(MATCH($B403,temp!B$4:B$13,0),0)&gt;0,T08_Spells!AF$2,"")</f>
        <v/>
      </c>
      <c r="AG403" t="str">
        <f>IF(IFERROR(MATCH($B403,temp!C$4:C$13,0),0)&gt;0,T08_Spells!AG$2,"")</f>
        <v/>
      </c>
      <c r="AH403" t="str">
        <f>IF(IFERROR(MATCH($B403,temp!D$4:D$13,0),0)&gt;0,T08_Spells!AH$2,"")</f>
        <v/>
      </c>
      <c r="AI403" t="str">
        <f>IF(IFERROR(MATCH($B403,temp!E$4:E$13,0),0)&gt;0,T08_Spells!AI$2,"")</f>
        <v/>
      </c>
      <c r="AJ403" t="str">
        <f>IF(IFERROR(MATCH($B403,temp!F$4:F$13,0),0)&gt;0,T08_Spells!AJ$2,"")</f>
        <v/>
      </c>
      <c r="AK403" t="str">
        <f>IF(IFERROR(MATCH($B403,temp!G$4:G$13,0),0)&gt;0,T08_Spells!AK$2,"")</f>
        <v/>
      </c>
      <c r="AL403" t="str">
        <f>IF(IFERROR(MATCH($B403,temp!H$4:H$13,0),0)&gt;0,T08_Spells!AL$2,"")</f>
        <v/>
      </c>
      <c r="AM403" t="str">
        <f>IF(IFERROR(MATCH($B403,temp!I$4:I$13,0),0)&gt;0,T08_Spells!AM$2,"")</f>
        <v/>
      </c>
      <c r="AN403" t="str">
        <f>IF(IFERROR(MATCH($B403,temp!J$4:J$13,0),0)&gt;0,T08_Spells!AN$2,"")</f>
        <v/>
      </c>
      <c r="AO403" t="str">
        <f>IF(IFERROR(MATCH($B403,temp!K$4:K$13,0),0)&gt;0,T08_Spells!AO$2,"")</f>
        <v/>
      </c>
      <c r="AP403" t="str">
        <f>IF(IFERROR(MATCH($B403,temp!L$4:L$13,0),0)&gt;0,T08_Spells!AP$2,"")</f>
        <v/>
      </c>
      <c r="AQ403" t="str">
        <f>IF(IFERROR(MATCH($B403,temp!M$4:M$13,0),0)&gt;0,T08_Spells!AQ$2,"")</f>
        <v/>
      </c>
      <c r="AR403" t="str">
        <f>IF(IFERROR(MATCH($B403,temp!N$4:N$13,0),0)&gt;0,T08_Spells!AR$2,"")</f>
        <v/>
      </c>
      <c r="AS403" t="str">
        <f>IF(IFERROR(MATCH($B403,temp!O$4:O$13,0),0)&gt;0,T08_Spells!AS$2,"")</f>
        <v/>
      </c>
      <c r="AT403" t="str">
        <f>IF(IFERROR(MATCH($B403,temp!P$4:P$13,0),0)&gt;0,T08_Spells!AT$2,"")</f>
        <v/>
      </c>
      <c r="AU403" t="str">
        <f>IF(IFERROR(MATCH($B403,temp!Q$4:Q$13,0),0)&gt;0,T08_Spells!AU$2,"")</f>
        <v/>
      </c>
      <c r="AV403" t="str">
        <f>IF(IFERROR(MATCH($B403,temp!R$4:R$13,0),0)&gt;0,T08_Spells!AV$2,"")</f>
        <v/>
      </c>
      <c r="AW403" t="str">
        <f>IF(IFERROR(MATCH($B403,temp!S$4:S$13,0),0)&gt;0,T08_Spells!AW$2,"")</f>
        <v/>
      </c>
      <c r="AX403" t="str">
        <f>IF(IFERROR(MATCH($B403,temp!T$4:T$13,0),0)&gt;0,T08_Spells!AX$2,"")</f>
        <v/>
      </c>
      <c r="AY403" t="str">
        <f>IF(IFERROR(MATCH($B403,temp!U$4:U$13,0),0)&gt;0,T08_Spells!AY$2,"")</f>
        <v/>
      </c>
      <c r="AZ403" t="str">
        <f>IF(IFERROR(MATCH($B403,temp!V$4:V$13,0),0)&gt;0,T08_Spells!AZ$2,"")</f>
        <v/>
      </c>
      <c r="BA403" t="str">
        <f>IF(IFERROR(MATCH($B403,temp!W$4:W$13,0),0)&gt;0,T08_Spells!BA$2,"")</f>
        <v/>
      </c>
      <c r="BC403">
        <f>IF(IFERROR(SEARCH("Ranger",$T403,1),0)&gt;0,1,0)*IF(RangerMaxSpellLevel&gt;=$C403,1,0)*IF(IFERROR(MATCH(B403,Character_Creation!$X$79:$X$382,0),0)&gt;0,0,1)</f>
        <v>0</v>
      </c>
      <c r="BD403">
        <f>IF(BC403=0,0,1+COUNTIF(BD$3:BD402,"&gt;0"))</f>
        <v>0</v>
      </c>
      <c r="BE403" t="str">
        <f t="shared" si="370"/>
        <v/>
      </c>
      <c r="BF403" t="str">
        <f t="shared" si="342"/>
        <v/>
      </c>
      <c r="BH403">
        <f>IF(IFERROR(SEARCH("Sorcerer",$T403,1),0)&gt;0,1,0)*IF(SorcererMaxSpellLevel&gt;=$C403,1,0)*IF(IFERROR(MATCH(B403,Character_Creation!$J$380:$J$394,0),0)&gt;0,0,1)</f>
        <v>0</v>
      </c>
      <c r="BI403">
        <f>IF(BH403=0,0,1+COUNTIF(BI$3:BI402,"&gt;0"))</f>
        <v>0</v>
      </c>
      <c r="BJ403" t="str">
        <f t="shared" si="371"/>
        <v/>
      </c>
      <c r="BK403" t="str">
        <f t="shared" si="343"/>
        <v/>
      </c>
      <c r="BM403">
        <f>IF(OR(IFERROR(SEARCH("Warlock",$T403,1),0)&gt;0,IFERROR(SEARCH(WarlockPatron,$T403,1),0)&gt;0),1,0)*IF(WarlockMaxSpellLevel&gt;=$C403,1,0)*IF(IFERROR(MATCH(B403,Character_Creation!$J$361:$J$375,0),0)&gt;0,0,1)</f>
        <v>0</v>
      </c>
      <c r="BN403">
        <f>IF(BM403=0,0,1+COUNTIF(BN$3:BN402,"&gt;0"))</f>
        <v>0</v>
      </c>
      <c r="BO403" t="str">
        <f t="shared" si="372"/>
        <v/>
      </c>
      <c r="BP403" t="str">
        <f t="shared" si="344"/>
        <v/>
      </c>
      <c r="BR403">
        <f>IF(IFERROR(SEARCH("Eldritch Knight",$T403,1),0)&gt;0,1,0)*IF(EldritchKnightMaxSpellLevel&gt;=$C403,1,0)*IF(IFERROR(MATCH($B403,Character_Creation!$J$350:$J$356,0),0)&gt;0,0,1)*IF(Character_Creation!$M$338&gt;0,1,0)</f>
        <v>0</v>
      </c>
      <c r="BS403">
        <f>IF(BR403=0,0,1+COUNTIF(BS$3:BS402,"&gt;0"))</f>
        <v>0</v>
      </c>
      <c r="BT403" t="str">
        <f t="shared" si="373"/>
        <v/>
      </c>
      <c r="BU403" t="str">
        <f t="shared" si="345"/>
        <v/>
      </c>
      <c r="BW403">
        <f>IF(IFERROR(SEARCH("Arcane Trickster",$T403,1),0)&gt;0,1,0)*IF(ArcaneTricksterMaxSpellLevel&gt;=$C403,1,0)*IF(IFERROR(MATCH($B403,Character_Creation!$J$350:$J$356,0),0)&gt;0,0,1)*IF(Character_Creation!$T$338&gt;0,1,0)</f>
        <v>0</v>
      </c>
      <c r="BX403">
        <f>IF(BW403=0,0,1+COUNTIF(BX$3:BX402,"&gt;0"))</f>
        <v>0</v>
      </c>
      <c r="BY403" t="str">
        <f t="shared" si="374"/>
        <v/>
      </c>
      <c r="BZ403" t="str">
        <f t="shared" si="346"/>
        <v/>
      </c>
      <c r="CB403">
        <f>IF(IFERROR(SEARCH("Wizard",$T403,1),0)&gt;0,1,0)*IF(C403&lt;=ArcaneTricksterMaxSpellLevel,1,0)*IF(IFERROR(MATCH($B403,Character_Creation!$J$350:$J$356,0),0)&gt;0,0,1)*IF(Character_Creation!$T$350&gt;0,1,0)</f>
        <v>0</v>
      </c>
      <c r="CC403">
        <f>IF(CB403=0,0,1+COUNTIF(CC$3:CC402,"&gt;0"))</f>
        <v>0</v>
      </c>
      <c r="CD403" t="str">
        <f t="shared" si="375"/>
        <v/>
      </c>
      <c r="CE403" t="str">
        <f t="shared" si="347"/>
        <v/>
      </c>
      <c r="CG403">
        <f>IF(IFERROR(SEARCH("Wizard",$T403,1),0)&gt;0,1,0)*IF($C403&lt;=EldritchKnightMaxSpellLevel,1,0)*IF(IFERROR(MATCH($B403,Character_Creation!$J$350:$J$356,0),0)&gt;0,0,1)*IF(Character_Creation!$M$350&gt;0,1,0)</f>
        <v>0</v>
      </c>
      <c r="CH403">
        <f>IF(CG403=0,0,1+COUNTIF(CH$3:CH402,"&gt;0"))</f>
        <v>0</v>
      </c>
      <c r="CI403" t="str">
        <f t="shared" si="376"/>
        <v/>
      </c>
      <c r="CJ403" t="str">
        <f t="shared" si="348"/>
        <v/>
      </c>
      <c r="CL403">
        <f>IF(IFERROR(SEARCH("Bard",$T403,1),0)&gt;0,1,0)*IF(BardMaxSpellLevel&gt;=$C403,1,0)*IF(IFERROR(MATCH(B403,Character_Creation!$C$341:$F$362,0),0)&gt;0,0,1)*IF(IFERROR(MATCH($B403,Character_Creation!$C$341:$C$362,0),0)&gt;0,0,1)</f>
        <v>0</v>
      </c>
      <c r="CM403">
        <f>IF(CL403=0,0,1+COUNTIF(CM$3:CM402,"&gt;0"))</f>
        <v>0</v>
      </c>
      <c r="CN403" t="str">
        <f t="shared" si="377"/>
        <v/>
      </c>
      <c r="CO403" t="str">
        <f t="shared" si="349"/>
        <v/>
      </c>
      <c r="CQ403">
        <f>IF(IFERROR(SEARCH("Wizard",$T403,1),0)&gt;0,1,0)*IF(WizardMaxSpellLevel&gt;=$C403,1,0)*IF(IFERROR(MATCH(B403,Character_Creation!$X$341:$X$400,0),0)&gt;0,0,1)*IF(SelectedWizardSpellLevel=$C403,1,0)</f>
        <v>1</v>
      </c>
      <c r="CR403">
        <f>IF(CQ403=0,0,1+COUNTIF(CR$3:CR402,"&gt;0"))</f>
        <v>32</v>
      </c>
      <c r="CS403" t="str">
        <f t="shared" si="378"/>
        <v/>
      </c>
      <c r="CT403" t="str">
        <f t="shared" si="350"/>
        <v/>
      </c>
      <c r="CV403">
        <f>IF(IFERROR(MATCH($B403,Character_Creation!$C$341:$C$362,0),0)&gt;0,0,1)*IF(OR(C403="Cantrip",C403&lt;=BardMaxSpellLevel),1,0)*IF(IFERROR(MATCH($B403,Character_Creation!$C$367:$C$374,0),0)&gt;0,0,1)</f>
        <v>0</v>
      </c>
      <c r="CW403">
        <f>IF(CV403=0,0,1+COUNTIF(CW$3:CW402,"&gt;0"))</f>
        <v>0</v>
      </c>
      <c r="CX403" t="str">
        <f t="shared" si="379"/>
        <v/>
      </c>
      <c r="CY403" t="str">
        <f t="shared" si="351"/>
        <v/>
      </c>
      <c r="DA403">
        <f>IF(IF(OR(IFERROR(SEARCH("Cleric",$T403,1),0)&gt;0,IFERROR(SEARCH(DivineDomain&amp;",",$T403,1),0)&gt;0),1,0)*IF($C403=DA$2,1,0)=1,1+COUNTIF(DA$3:DA402,"&gt;0"),0)</f>
        <v>0</v>
      </c>
      <c r="DB403">
        <f>IF(IF(OR(IFERROR(SEARCH("Cleric",$T403,1),0)&gt;0,IFERROR(SEARCH(DivineDomain&amp;",",$T403,1),0)&gt;0),1,0)*IF($C403=DB$2,1,0)=1,1+COUNTIF(DB$3:DB402,"&gt;0"),0)</f>
        <v>0</v>
      </c>
      <c r="DC403">
        <f>IF(IF(OR(IFERROR(SEARCH("Cleric",$T403,1),0)&gt;0,IFERROR(SEARCH(DivineDomain&amp;",",$T403,1),0)&gt;0),1,0)*IF($C403=DC$2,1,0)=1,1+COUNTIF(DC$3:DC402,"&gt;0"),0)</f>
        <v>0</v>
      </c>
      <c r="DD403">
        <f>IF(IF(OR(IFERROR(SEARCH("Cleric",$T403,1),0)&gt;0,IFERROR(SEARCH(DivineDomain&amp;",",$T403,1),0)&gt;0),1,0)*IF($C403=DD$2,1,0)=1,1+COUNTIF(DD$3:DD402,"&gt;0"),0)</f>
        <v>0</v>
      </c>
      <c r="DE403">
        <f>IF(IF(OR(IFERROR(SEARCH("Cleric",$T403,1),0)&gt;0,IFERROR(SEARCH(DivineDomain&amp;",",$T403,1),0)&gt;0),1,0)*IF($C403=DE$2,1,0)=1,1+COUNTIF(DE$3:DE402,"&gt;0"),0)</f>
        <v>0</v>
      </c>
      <c r="DF403">
        <f>IF(IF(OR(IFERROR(SEARCH("Cleric",$T403,1),0)&gt;0,IFERROR(SEARCH(DivineDomain&amp;",",$T403,1),0)&gt;0),1,0)*IF($C403=DF$2,1,0)=1,1+COUNTIF(DF$3:DF402,"&gt;0"),0)</f>
        <v>0</v>
      </c>
      <c r="DG403">
        <f>IF(IF(OR(IFERROR(SEARCH("Cleric",$T403,1),0)&gt;0,IFERROR(SEARCH(DivineDomain&amp;",",$T403,1),0)&gt;0),1,0)*IF($C403=DG$2,1,0)=1,1+COUNTIF(DG$3:DG402,"&gt;0"),0)</f>
        <v>0</v>
      </c>
      <c r="DH403">
        <f>IF(IF(OR(IFERROR(SEARCH("Cleric",$T403,1),0)&gt;0,IFERROR(SEARCH(DivineDomain&amp;",",$T403,1),0)&gt;0),1,0)*IF($C403=DH$2,1,0)=1,1+COUNTIF(DH$3:DH402,"&gt;0"),0)</f>
        <v>0</v>
      </c>
      <c r="DI403">
        <f>IF(IF(OR(IFERROR(SEARCH("Cleric",$T403,1),0)&gt;0,IFERROR(SEARCH(DivineDomain&amp;",",$T403,1),0)&gt;0),1,0)*IF($C403=DI$2,1,0)=1,1+COUNTIF(DI$3:DI402,"&gt;0"),0)</f>
        <v>0</v>
      </c>
      <c r="DJ403">
        <f>IF(IF(OR(IFERROR(SEARCH("Druid",$T403,1),0)&gt;0,IFERROR(SEARCH(DruidLand1,$T403,1),0)&gt;0,IFERROR(SEARCH(DruidLand2,$T403,1),0)&gt;0,IFERROR(SEARCH(DruidLand3,$T403,1),0)&gt;0,IFERROR(SEARCH(DruidLand4,$T403,1),0)&gt;0),1,0)*IF($C403=1,1,0)*IF($C403=DJ$2,1,0)=0,0,1+COUNTIF(DJ$3:DJ402,"&gt;0"))</f>
        <v>0</v>
      </c>
      <c r="DK403">
        <f>IF(IF(OR(IFERROR(SEARCH("Druid",$T403,1),0)&gt;0,IFERROR(SEARCH(DruidLand1,$T403,1),0)&gt;0,IFERROR(SEARCH(DruidLand2,$T403,1),0)&gt;0,IFERROR(SEARCH(DruidLand3,$T403,1),0)&gt;0,IFERROR(SEARCH(DruidLand4,$T403,1),0)&gt;0),1,0)*IF($C403=1,1,0)*IF($C403=DK$2,1,0)=0,0,1+COUNTIF(DK$3:DK402,"&gt;0"))</f>
        <v>0</v>
      </c>
      <c r="DL403">
        <f>IF(IF(OR(IFERROR(SEARCH("Druid",$T403,1),0)&gt;0,IFERROR(SEARCH(DruidLand1,$T403,1),0)&gt;0,IFERROR(SEARCH(DruidLand2,$T403,1),0)&gt;0,IFERROR(SEARCH(DruidLand3,$T403,1),0)&gt;0,IFERROR(SEARCH(DruidLand4,$T403,1),0)&gt;0),1,0)*IF($C403=1,1,0)*IF($C403=DL$2,1,0)=0,0,1+COUNTIF(DL$3:DL402,"&gt;0"))</f>
        <v>0</v>
      </c>
      <c r="DM403">
        <f>IF(IF(OR(IFERROR(SEARCH("Druid",$T403,1),0)&gt;0,IFERROR(SEARCH(DruidLand1,$T403,1),0)&gt;0,IFERROR(SEARCH(DruidLand2,$T403,1),0)&gt;0,IFERROR(SEARCH(DruidLand3,$T403,1),0)&gt;0,IFERROR(SEARCH(DruidLand4,$T403,1),0)&gt;0),1,0)*IF($C403=1,1,0)*IF($C403=DM$2,1,0)=0,0,1+COUNTIF(DM$3:DM402,"&gt;0"))</f>
        <v>0</v>
      </c>
      <c r="DN403">
        <f>IF(IF(OR(IFERROR(SEARCH("Druid",$T403,1),0)&gt;0,IFERROR(SEARCH(DruidLand1,$T403,1),0)&gt;0,IFERROR(SEARCH(DruidLand2,$T403,1),0)&gt;0,IFERROR(SEARCH(DruidLand3,$T403,1),0)&gt;0,IFERROR(SEARCH(DruidLand4,$T403,1),0)&gt;0),1,0)*IF($C403=1,1,0)*IF($C403=DN$2,1,0)=0,0,1+COUNTIF(DN$3:DN402,"&gt;0"))</f>
        <v>0</v>
      </c>
      <c r="DO403">
        <f>IF(IF(OR(IFERROR(SEARCH("Druid",$T403,1),0)&gt;0,IFERROR(SEARCH(DruidLand1,$T403,1),0)&gt;0,IFERROR(SEARCH(DruidLand2,$T403,1),0)&gt;0,IFERROR(SEARCH(DruidLand3,$T403,1),0)&gt;0,IFERROR(SEARCH(DruidLand4,$T403,1),0)&gt;0),1,0)*IF($C403=1,1,0)*IF($C403=DO$2,1,0)=0,0,1+COUNTIF(DO$3:DO402,"&gt;0"))</f>
        <v>0</v>
      </c>
      <c r="DP403">
        <f>IF(IF(OR(IFERROR(SEARCH("Druid",$T403,1),0)&gt;0,IFERROR(SEARCH(DruidLand1,$T403,1),0)&gt;0,IFERROR(SEARCH(DruidLand2,$T403,1),0)&gt;0,IFERROR(SEARCH(DruidLand3,$T403,1),0)&gt;0,IFERROR(SEARCH(DruidLand4,$T403,1),0)&gt;0),1,0)*IF($C403=1,1,0)*IF($C403=DP$2,1,0)=0,0,1+COUNTIF(DP$3:DP402,"&gt;0"))</f>
        <v>0</v>
      </c>
      <c r="DQ403">
        <f>IF(IF(OR(IFERROR(SEARCH("Druid",$T403,1),0)&gt;0,IFERROR(SEARCH(DruidLand1,$T403,1),0)&gt;0,IFERROR(SEARCH(DruidLand2,$T403,1),0)&gt;0,IFERROR(SEARCH(DruidLand3,$T403,1),0)&gt;0,IFERROR(SEARCH(DruidLand4,$T403,1),0)&gt;0),1,0)*IF($C403=1,1,0)*IF($C403=DQ$2,1,0)=0,0,1+COUNTIF(DQ$3:DQ402,"&gt;0"))</f>
        <v>0</v>
      </c>
      <c r="DR403">
        <f>IF(IF(OR(IFERROR(SEARCH("Druid",$T403,1),0)&gt;0,IFERROR(SEARCH(DruidLand1,$T403,1),0)&gt;0,IFERROR(SEARCH(DruidLand2,$T403,1),0)&gt;0,IFERROR(SEARCH(DruidLand3,$T403,1),0)&gt;0,IFERROR(SEARCH(DruidLand4,$T403,1),0)&gt;0),1,0)*IF($C403=1,1,0)*IF($C403=DR$2,1,0)=0,0,1+COUNTIF(DR$3:DR402,"&gt;0"))</f>
        <v>0</v>
      </c>
      <c r="DS403">
        <f>IF(IF(OR(IFERROR(SEARCH("Paladin",$T403,1),0)&gt;0,IFERROR(SEARCH(PaladinOath,$T403,1),0)&gt;0),1,0)*IF($C403=DS$2,1,0)=1,1+COUNTIF(DS$3:DS402,"&gt;0"),0)</f>
        <v>0</v>
      </c>
      <c r="DT403">
        <f>IF(IF(OR(IFERROR(SEARCH("Paladin",$T403,1),0)&gt;0,IFERROR(SEARCH(PaladinOath,$T403,1),0)&gt;0),1,0)*IF($C403=DT$2,1,0)=1,1+COUNTIF(DT$3:DT402,"&gt;0"),0)</f>
        <v>0</v>
      </c>
      <c r="DU403">
        <f>IF(IF(OR(IFERROR(SEARCH("Paladin",$T403,1),0)&gt;0,IFERROR(SEARCH(PaladinOath,$T403,1),0)&gt;0),1,0)*IF($C403=DU$2,1,0)=1,1+COUNTIF(DU$3:DU402,"&gt;0"),0)</f>
        <v>0</v>
      </c>
      <c r="DV403">
        <f>IF(IF(OR(IFERROR(SEARCH("Paladin",$T403,1),0)&gt;0,IFERROR(SEARCH(PaladinOath,$T403,1),0)&gt;0),1,0)*IF($C403=DV$2,1,0)=1,1+COUNTIF(DV$3:DV402,"&gt;0"),0)</f>
        <v>0</v>
      </c>
      <c r="DW403">
        <f>IF(IF(OR(IFERROR(SEARCH("Paladin",$T403,1),0)&gt;0,IFERROR(SEARCH(PaladinOath,$T403,1),0)&gt;0),1,0)*IF($C403=DW$2,1,0)=1,1+COUNTIF(DW$3:DW402,"&gt;0"),0)</f>
        <v>0</v>
      </c>
      <c r="DY403">
        <f t="shared" si="338"/>
        <v>1</v>
      </c>
      <c r="DZ403">
        <f>IF(DY403=0,0,1+MAX(DZ$3:$DZ402))</f>
        <v>401</v>
      </c>
      <c r="EB403">
        <f t="shared" si="352"/>
        <v>0</v>
      </c>
      <c r="EC403">
        <f>IF(EB403=0,0,1+COUNTIF(EC$3:EC402,"&gt;0"))</f>
        <v>0</v>
      </c>
      <c r="ED403" t="str">
        <f t="shared" si="380"/>
        <v/>
      </c>
      <c r="EE403" t="str">
        <f t="shared" si="353"/>
        <v/>
      </c>
      <c r="EG403">
        <f t="shared" si="354"/>
        <v>0</v>
      </c>
      <c r="EH403">
        <f>IF(EG403=0,0,1+COUNTIF(EH$3:EH402,"&gt;0"))</f>
        <v>0</v>
      </c>
      <c r="EI403" t="str">
        <f t="shared" si="381"/>
        <v/>
      </c>
      <c r="EJ403" t="str">
        <f t="shared" si="355"/>
        <v/>
      </c>
      <c r="EL403">
        <f t="shared" si="356"/>
        <v>0</v>
      </c>
      <c r="EM403">
        <f>IF(EL403=0,0,1+COUNTIF(EM$3:EM402,"&gt;0"))</f>
        <v>0</v>
      </c>
      <c r="EN403" t="str">
        <f t="shared" si="382"/>
        <v/>
      </c>
      <c r="EO403" t="str">
        <f t="shared" si="357"/>
        <v/>
      </c>
      <c r="EQ403">
        <f t="shared" si="358"/>
        <v>0</v>
      </c>
      <c r="ER403">
        <f>IF(EQ403=0,0,1+COUNTIF(ER$3:ER402,"&gt;0"))</f>
        <v>0</v>
      </c>
      <c r="ES403" t="str">
        <f t="shared" si="383"/>
        <v/>
      </c>
      <c r="ET403" t="str">
        <f t="shared" si="359"/>
        <v/>
      </c>
      <c r="EV403">
        <f t="shared" si="360"/>
        <v>0</v>
      </c>
      <c r="EW403">
        <f>IF(EV403=0,0,1+COUNTIF(EW$3:EW402,"&gt;0"))</f>
        <v>0</v>
      </c>
      <c r="EX403" t="str">
        <f t="shared" si="384"/>
        <v/>
      </c>
      <c r="EY403" t="str">
        <f t="shared" si="361"/>
        <v/>
      </c>
      <c r="FA403">
        <f t="shared" si="362"/>
        <v>0</v>
      </c>
      <c r="FB403">
        <f>IF(FA403=0,0,1+COUNTIF(FB$3:FB402,"&gt;0"))</f>
        <v>0</v>
      </c>
      <c r="FC403" t="str">
        <f t="shared" si="385"/>
        <v/>
      </c>
      <c r="FD403" t="str">
        <f t="shared" si="363"/>
        <v/>
      </c>
      <c r="FF403">
        <f t="shared" si="364"/>
        <v>0</v>
      </c>
      <c r="FG403">
        <f>IF(FF403=0,0,1+COUNTIF(FG$3:FG402,"&gt;0"))</f>
        <v>0</v>
      </c>
      <c r="FH403" t="str">
        <f t="shared" si="386"/>
        <v/>
      </c>
      <c r="FI403" t="str">
        <f t="shared" si="365"/>
        <v/>
      </c>
      <c r="FK403">
        <f t="shared" si="366"/>
        <v>0</v>
      </c>
      <c r="FL403">
        <f>IF(FK403=0,0,1+COUNTIF(FL$3:FL402,"&gt;0"))</f>
        <v>0</v>
      </c>
      <c r="FM403" t="str">
        <f t="shared" si="387"/>
        <v/>
      </c>
      <c r="FN403" t="str">
        <f t="shared" si="367"/>
        <v/>
      </c>
      <c r="FP403">
        <f t="shared" si="368"/>
        <v>0</v>
      </c>
      <c r="FQ403">
        <f>IF(FP403=0,0,1+COUNTIF(FQ$3:FQ402,"&gt;0"))</f>
        <v>0</v>
      </c>
      <c r="FR403" t="str">
        <f t="shared" si="388"/>
        <v/>
      </c>
      <c r="FS403" t="str">
        <f t="shared" si="369"/>
        <v/>
      </c>
    </row>
    <row r="404" spans="1:175" x14ac:dyDescent="0.25">
      <c r="A404" s="347">
        <f t="shared" si="390"/>
        <v>402</v>
      </c>
      <c r="B404" s="398" t="s">
        <v>5578</v>
      </c>
      <c r="C404" s="348">
        <v>3</v>
      </c>
      <c r="D404" s="347">
        <v>3</v>
      </c>
      <c r="E404" s="627" t="s">
        <v>6957</v>
      </c>
      <c r="F404" s="346"/>
      <c r="G404" s="347" t="str">
        <f>""</f>
        <v/>
      </c>
      <c r="H404" s="347" t="s">
        <v>5912</v>
      </c>
      <c r="I404" s="347" t="s">
        <v>424</v>
      </c>
      <c r="J404" s="347" t="str">
        <f t="shared" si="339"/>
        <v/>
      </c>
      <c r="K404" s="347" t="s">
        <v>5297</v>
      </c>
      <c r="L404" s="611" t="str">
        <f t="shared" si="340"/>
        <v>V, S, M, a drop of water</v>
      </c>
      <c r="M404" s="347" t="s">
        <v>2373</v>
      </c>
      <c r="N404" s="347" t="s">
        <v>2387</v>
      </c>
      <c r="O404" s="347" t="s">
        <v>1244</v>
      </c>
      <c r="P404" s="346" t="s">
        <v>5570</v>
      </c>
      <c r="Q404" s="347" t="s">
        <v>5273</v>
      </c>
      <c r="S404" s="346" t="s">
        <v>5905</v>
      </c>
      <c r="T404" s="346" t="str">
        <f t="shared" si="341"/>
        <v xml:space="preserve">Sorcerer, Druid, Eldritch Knight, Wizard, </v>
      </c>
      <c r="X404" s="347" t="str">
        <f>$B404</f>
        <v>Wall of Water</v>
      </c>
      <c r="AA404" s="347" t="str">
        <f>$B404</f>
        <v>Wall of Water</v>
      </c>
      <c r="AB404" s="542" t="str">
        <f>AD404</f>
        <v>Wall of Water</v>
      </c>
      <c r="AD404" s="347" t="str">
        <f t="shared" si="389"/>
        <v>Wall of Water</v>
      </c>
      <c r="AE404" t="str">
        <f>IF(IFERROR(MATCH($B404,temp!A$4:A$13,0),0)&gt;0,T08_Spells!AE$2,"")</f>
        <v/>
      </c>
      <c r="AF404" t="str">
        <f>IF(IFERROR(MATCH($B404,temp!B$4:B$13,0),0)&gt;0,T08_Spells!AF$2,"")</f>
        <v/>
      </c>
      <c r="AG404" t="str">
        <f>IF(IFERROR(MATCH($B404,temp!C$4:C$13,0),0)&gt;0,T08_Spells!AG$2,"")</f>
        <v/>
      </c>
      <c r="AH404" t="str">
        <f>IF(IFERROR(MATCH($B404,temp!D$4:D$13,0),0)&gt;0,T08_Spells!AH$2,"")</f>
        <v/>
      </c>
      <c r="AI404" t="str">
        <f>IF(IFERROR(MATCH($B404,temp!E$4:E$13,0),0)&gt;0,T08_Spells!AI$2,"")</f>
        <v/>
      </c>
      <c r="AJ404" t="str">
        <f>IF(IFERROR(MATCH($B404,temp!F$4:F$13,0),0)&gt;0,T08_Spells!AJ$2,"")</f>
        <v/>
      </c>
      <c r="AK404" t="str">
        <f>IF(IFERROR(MATCH($B404,temp!G$4:G$13,0),0)&gt;0,T08_Spells!AK$2,"")</f>
        <v/>
      </c>
      <c r="AL404" t="str">
        <f>IF(IFERROR(MATCH($B404,temp!H$4:H$13,0),0)&gt;0,T08_Spells!AL$2,"")</f>
        <v/>
      </c>
      <c r="AM404" t="str">
        <f>IF(IFERROR(MATCH($B404,temp!I$4:I$13,0),0)&gt;0,T08_Spells!AM$2,"")</f>
        <v/>
      </c>
      <c r="AN404" t="str">
        <f>IF(IFERROR(MATCH($B404,temp!J$4:J$13,0),0)&gt;0,T08_Spells!AN$2,"")</f>
        <v/>
      </c>
      <c r="AO404" t="str">
        <f>IF(IFERROR(MATCH($B404,temp!K$4:K$13,0),0)&gt;0,T08_Spells!AO$2,"")</f>
        <v/>
      </c>
      <c r="AP404" t="str">
        <f>IF(IFERROR(MATCH($B404,temp!L$4:L$13,0),0)&gt;0,T08_Spells!AP$2,"")</f>
        <v/>
      </c>
      <c r="AQ404" t="str">
        <f>IF(IFERROR(MATCH($B404,temp!M$4:M$13,0),0)&gt;0,T08_Spells!AQ$2,"")</f>
        <v/>
      </c>
      <c r="AR404" t="str">
        <f>IF(IFERROR(MATCH($B404,temp!N$4:N$13,0),0)&gt;0,T08_Spells!AR$2,"")</f>
        <v/>
      </c>
      <c r="AS404" t="str">
        <f>IF(IFERROR(MATCH($B404,temp!O$4:O$13,0),0)&gt;0,T08_Spells!AS$2,"")</f>
        <v/>
      </c>
      <c r="AT404" t="str">
        <f>IF(IFERROR(MATCH($B404,temp!P$4:P$13,0),0)&gt;0,T08_Spells!AT$2,"")</f>
        <v/>
      </c>
      <c r="AU404" t="str">
        <f>IF(IFERROR(MATCH($B404,temp!Q$4:Q$13,0),0)&gt;0,T08_Spells!AU$2,"")</f>
        <v/>
      </c>
      <c r="AV404" t="str">
        <f>IF(IFERROR(MATCH($B404,temp!R$4:R$13,0),0)&gt;0,T08_Spells!AV$2,"")</f>
        <v/>
      </c>
      <c r="AW404" t="str">
        <f>IF(IFERROR(MATCH($B404,temp!S$4:S$13,0),0)&gt;0,T08_Spells!AW$2,"")</f>
        <v/>
      </c>
      <c r="AX404" t="str">
        <f>IF(IFERROR(MATCH($B404,temp!T$4:T$13,0),0)&gt;0,T08_Spells!AX$2,"")</f>
        <v/>
      </c>
      <c r="AY404" t="str">
        <f>IF(IFERROR(MATCH($B404,temp!U$4:U$13,0),0)&gt;0,T08_Spells!AY$2,"")</f>
        <v/>
      </c>
      <c r="AZ404" t="str">
        <f>IF(IFERROR(MATCH($B404,temp!V$4:V$13,0),0)&gt;0,T08_Spells!AZ$2,"")</f>
        <v/>
      </c>
      <c r="BA404" t="str">
        <f>IF(IFERROR(MATCH($B404,temp!W$4:W$13,0),0)&gt;0,T08_Spells!BA$2,"")</f>
        <v/>
      </c>
      <c r="BC404">
        <f>IF(IFERROR(SEARCH("Ranger",$T404,1),0)&gt;0,1,0)*IF(RangerMaxSpellLevel&gt;=$C404,1,0)*IF(IFERROR(MATCH(B404,Character_Creation!$X$79:$X$382,0),0)&gt;0,0,1)</f>
        <v>0</v>
      </c>
      <c r="BD404">
        <f>IF(BC404=0,0,1+COUNTIF(BD$3:BD403,"&gt;0"))</f>
        <v>0</v>
      </c>
      <c r="BE404" t="str">
        <f t="shared" si="370"/>
        <v/>
      </c>
      <c r="BF404" t="str">
        <f t="shared" si="342"/>
        <v/>
      </c>
      <c r="BH404">
        <f>IF(IFERROR(SEARCH("Sorcerer",$T404,1),0)&gt;0,1,0)*IF(SorcererMaxSpellLevel&gt;=$C404,1,0)*IF(IFERROR(MATCH(B404,Character_Creation!$J$380:$J$394,0),0)&gt;0,0,1)</f>
        <v>0</v>
      </c>
      <c r="BI404">
        <f>IF(BH404=0,0,1+COUNTIF(BI$3:BI403,"&gt;0"))</f>
        <v>0</v>
      </c>
      <c r="BJ404" t="str">
        <f t="shared" si="371"/>
        <v/>
      </c>
      <c r="BK404" t="str">
        <f t="shared" si="343"/>
        <v/>
      </c>
      <c r="BM404">
        <f>IF(OR(IFERROR(SEARCH("Warlock",$T404,1),0)&gt;0,IFERROR(SEARCH(WarlockPatron,$T404,1),0)&gt;0),1,0)*IF(WarlockMaxSpellLevel&gt;=$C404,1,0)*IF(IFERROR(MATCH(B404,Character_Creation!$J$361:$J$375,0),0)&gt;0,0,1)</f>
        <v>0</v>
      </c>
      <c r="BN404">
        <f>IF(BM404=0,0,1+COUNTIF(BN$3:BN403,"&gt;0"))</f>
        <v>0</v>
      </c>
      <c r="BO404" t="str">
        <f t="shared" si="372"/>
        <v/>
      </c>
      <c r="BP404" t="str">
        <f t="shared" si="344"/>
        <v/>
      </c>
      <c r="BR404">
        <f>IF(IFERROR(SEARCH("Eldritch Knight",$T404,1),0)&gt;0,1,0)*IF(EldritchKnightMaxSpellLevel&gt;=$C404,1,0)*IF(IFERROR(MATCH($B404,Character_Creation!$J$350:$J$356,0),0)&gt;0,0,1)*IF(Character_Creation!$M$338&gt;0,1,0)</f>
        <v>0</v>
      </c>
      <c r="BS404">
        <f>IF(BR404=0,0,1+COUNTIF(BS$3:BS403,"&gt;0"))</f>
        <v>0</v>
      </c>
      <c r="BT404" t="str">
        <f t="shared" si="373"/>
        <v/>
      </c>
      <c r="BU404" t="str">
        <f t="shared" si="345"/>
        <v/>
      </c>
      <c r="BW404">
        <f>IF(IFERROR(SEARCH("Arcane Trickster",$T404,1),0)&gt;0,1,0)*IF(ArcaneTricksterMaxSpellLevel&gt;=$C404,1,0)*IF(IFERROR(MATCH($B404,Character_Creation!$J$350:$J$356,0),0)&gt;0,0,1)*IF(Character_Creation!$T$338&gt;0,1,0)</f>
        <v>0</v>
      </c>
      <c r="BX404">
        <f>IF(BW404=0,0,1+COUNTIF(BX$3:BX403,"&gt;0"))</f>
        <v>0</v>
      </c>
      <c r="BY404" t="str">
        <f t="shared" si="374"/>
        <v/>
      </c>
      <c r="BZ404" t="str">
        <f t="shared" si="346"/>
        <v/>
      </c>
      <c r="CB404">
        <f>IF(IFERROR(SEARCH("Wizard",$T404,1),0)&gt;0,1,0)*IF(C404&lt;=ArcaneTricksterMaxSpellLevel,1,0)*IF(IFERROR(MATCH($B404,Character_Creation!$J$350:$J$356,0),0)&gt;0,0,1)*IF(Character_Creation!$T$350&gt;0,1,0)</f>
        <v>0</v>
      </c>
      <c r="CC404">
        <f>IF(CB404=0,0,1+COUNTIF(CC$3:CC403,"&gt;0"))</f>
        <v>0</v>
      </c>
      <c r="CD404" t="str">
        <f t="shared" si="375"/>
        <v/>
      </c>
      <c r="CE404" t="str">
        <f t="shared" si="347"/>
        <v/>
      </c>
      <c r="CG404">
        <f>IF(IFERROR(SEARCH("Wizard",$T404,1),0)&gt;0,1,0)*IF($C404&lt;=EldritchKnightMaxSpellLevel,1,0)*IF(IFERROR(MATCH($B404,Character_Creation!$J$350:$J$356,0),0)&gt;0,0,1)*IF(Character_Creation!$M$350&gt;0,1,0)</f>
        <v>0</v>
      </c>
      <c r="CH404">
        <f>IF(CG404=0,0,1+COUNTIF(CH$3:CH403,"&gt;0"))</f>
        <v>0</v>
      </c>
      <c r="CI404" t="str">
        <f t="shared" si="376"/>
        <v/>
      </c>
      <c r="CJ404" t="str">
        <f t="shared" si="348"/>
        <v/>
      </c>
      <c r="CL404">
        <f>IF(IFERROR(SEARCH("Bard",$T404,1),0)&gt;0,1,0)*IF(BardMaxSpellLevel&gt;=$C404,1,0)*IF(IFERROR(MATCH(B404,Character_Creation!$C$341:$F$362,0),0)&gt;0,0,1)*IF(IFERROR(MATCH($B404,Character_Creation!$C$341:$C$362,0),0)&gt;0,0,1)</f>
        <v>0</v>
      </c>
      <c r="CM404">
        <f>IF(CL404=0,0,1+COUNTIF(CM$3:CM403,"&gt;0"))</f>
        <v>0</v>
      </c>
      <c r="CN404" t="str">
        <f t="shared" si="377"/>
        <v/>
      </c>
      <c r="CO404" t="str">
        <f t="shared" si="349"/>
        <v/>
      </c>
      <c r="CQ404">
        <f>IF(IFERROR(SEARCH("Wizard",$T404,1),0)&gt;0,1,0)*IF(WizardMaxSpellLevel&gt;=$C404,1,0)*IF(IFERROR(MATCH(B404,Character_Creation!$X$341:$X$400,0),0)&gt;0,0,1)*IF(SelectedWizardSpellLevel=$C404,1,0)</f>
        <v>1</v>
      </c>
      <c r="CR404">
        <f>IF(CQ404=0,0,1+COUNTIF(CR$3:CR403,"&gt;0"))</f>
        <v>33</v>
      </c>
      <c r="CS404" t="str">
        <f t="shared" si="378"/>
        <v/>
      </c>
      <c r="CT404" t="str">
        <f t="shared" si="350"/>
        <v/>
      </c>
      <c r="CV404">
        <f>IF(IFERROR(MATCH($B404,Character_Creation!$C$341:$C$362,0),0)&gt;0,0,1)*IF(OR(C404="Cantrip",C404&lt;=BardMaxSpellLevel),1,0)*IF(IFERROR(MATCH($B404,Character_Creation!$C$367:$C$374,0),0)&gt;0,0,1)</f>
        <v>0</v>
      </c>
      <c r="CW404">
        <f>IF(CV404=0,0,1+COUNTIF(CW$3:CW403,"&gt;0"))</f>
        <v>0</v>
      </c>
      <c r="CX404" t="str">
        <f t="shared" si="379"/>
        <v/>
      </c>
      <c r="CY404" t="str">
        <f t="shared" si="351"/>
        <v/>
      </c>
      <c r="DA404">
        <f>IF(IF(OR(IFERROR(SEARCH("Cleric",$T404,1),0)&gt;0,IFERROR(SEARCH(DivineDomain&amp;",",$T404,1),0)&gt;0),1,0)*IF($C404=DA$2,1,0)=1,1+COUNTIF(DA$3:DA403,"&gt;0"),0)</f>
        <v>0</v>
      </c>
      <c r="DB404">
        <f>IF(IF(OR(IFERROR(SEARCH("Cleric",$T404,1),0)&gt;0,IFERROR(SEARCH(DivineDomain&amp;",",$T404,1),0)&gt;0),1,0)*IF($C404=DB$2,1,0)=1,1+COUNTIF(DB$3:DB403,"&gt;0"),0)</f>
        <v>0</v>
      </c>
      <c r="DC404">
        <f>IF(IF(OR(IFERROR(SEARCH("Cleric",$T404,1),0)&gt;0,IFERROR(SEARCH(DivineDomain&amp;",",$T404,1),0)&gt;0),1,0)*IF($C404=DC$2,1,0)=1,1+COUNTIF(DC$3:DC403,"&gt;0"),0)</f>
        <v>0</v>
      </c>
      <c r="DD404">
        <f>IF(IF(OR(IFERROR(SEARCH("Cleric",$T404,1),0)&gt;0,IFERROR(SEARCH(DivineDomain&amp;",",$T404,1),0)&gt;0),1,0)*IF($C404=DD$2,1,0)=1,1+COUNTIF(DD$3:DD403,"&gt;0"),0)</f>
        <v>0</v>
      </c>
      <c r="DE404">
        <f>IF(IF(OR(IFERROR(SEARCH("Cleric",$T404,1),0)&gt;0,IFERROR(SEARCH(DivineDomain&amp;",",$T404,1),0)&gt;0),1,0)*IF($C404=DE$2,1,0)=1,1+COUNTIF(DE$3:DE403,"&gt;0"),0)</f>
        <v>0</v>
      </c>
      <c r="DF404">
        <f>IF(IF(OR(IFERROR(SEARCH("Cleric",$T404,1),0)&gt;0,IFERROR(SEARCH(DivineDomain&amp;",",$T404,1),0)&gt;0),1,0)*IF($C404=DF$2,1,0)=1,1+COUNTIF(DF$3:DF403,"&gt;0"),0)</f>
        <v>0</v>
      </c>
      <c r="DG404">
        <f>IF(IF(OR(IFERROR(SEARCH("Cleric",$T404,1),0)&gt;0,IFERROR(SEARCH(DivineDomain&amp;",",$T404,1),0)&gt;0),1,0)*IF($C404=DG$2,1,0)=1,1+COUNTIF(DG$3:DG403,"&gt;0"),0)</f>
        <v>0</v>
      </c>
      <c r="DH404">
        <f>IF(IF(OR(IFERROR(SEARCH("Cleric",$T404,1),0)&gt;0,IFERROR(SEARCH(DivineDomain&amp;",",$T404,1),0)&gt;0),1,0)*IF($C404=DH$2,1,0)=1,1+COUNTIF(DH$3:DH403,"&gt;0"),0)</f>
        <v>0</v>
      </c>
      <c r="DI404">
        <f>IF(IF(OR(IFERROR(SEARCH("Cleric",$T404,1),0)&gt;0,IFERROR(SEARCH(DivineDomain&amp;",",$T404,1),0)&gt;0),1,0)*IF($C404=DI$2,1,0)=1,1+COUNTIF(DI$3:DI403,"&gt;0"),0)</f>
        <v>0</v>
      </c>
      <c r="DJ404">
        <f>IF(IF(OR(IFERROR(SEARCH("Druid",$T404,1),0)&gt;0,IFERROR(SEARCH(DruidLand1,$T404,1),0)&gt;0,IFERROR(SEARCH(DruidLand2,$T404,1),0)&gt;0,IFERROR(SEARCH(DruidLand3,$T404,1),0)&gt;0,IFERROR(SEARCH(DruidLand4,$T404,1),0)&gt;0),1,0)*IF($C404=1,1,0)*IF($C404=DJ$2,1,0)=0,0,1+COUNTIF(DJ$3:DJ403,"&gt;0"))</f>
        <v>0</v>
      </c>
      <c r="DK404">
        <f>IF(IF(OR(IFERROR(SEARCH("Druid",$T404,1),0)&gt;0,IFERROR(SEARCH(DruidLand1,$T404,1),0)&gt;0,IFERROR(SEARCH(DruidLand2,$T404,1),0)&gt;0,IFERROR(SEARCH(DruidLand3,$T404,1),0)&gt;0,IFERROR(SEARCH(DruidLand4,$T404,1),0)&gt;0),1,0)*IF($C404=DK$2,1,0)=0,0,1+COUNTIF(DK$3:DK403,"&gt;0"))</f>
        <v>0</v>
      </c>
      <c r="DL404">
        <f>IF(IF(OR(IFERROR(SEARCH("Druid",$T404,1),0)&gt;0,IFERROR(SEARCH(DruidLand1,$T404,1),0)&gt;0,IFERROR(SEARCH(DruidLand2,$T404,1),0)&gt;0,IFERROR(SEARCH(DruidLand3,$T404,1),0)&gt;0,IFERROR(SEARCH(DruidLand4,$T404,1),0)&gt;0),1,0)*IF($C404=DL$2,1,0)=0,0,1+COUNTIF(DL$3:DL403,"&gt;0"))</f>
        <v>17</v>
      </c>
      <c r="DM404">
        <f>IF(IF(OR(IFERROR(SEARCH("Druid",$T404,1),0)&gt;0,IFERROR(SEARCH(DruidLand1,$T404,1),0)&gt;0,IFERROR(SEARCH(DruidLand2,$T404,1),0)&gt;0,IFERROR(SEARCH(DruidLand3,$T404,1),0)&gt;0,IFERROR(SEARCH(DruidLand4,$T404,1),0)&gt;0),1,0)*IF($C404=DM$2,1,0)=0,0,1+COUNTIF(DM$3:DM403,"&gt;0"))</f>
        <v>0</v>
      </c>
      <c r="DN404">
        <f>IF(IF(OR(IFERROR(SEARCH("Druid",$T404,1),0)&gt;0,IFERROR(SEARCH(DruidLand1,$T404,1),0)&gt;0,IFERROR(SEARCH(DruidLand2,$T404,1),0)&gt;0,IFERROR(SEARCH(DruidLand3,$T404,1),0)&gt;0,IFERROR(SEARCH(DruidLand4,$T404,1),0)&gt;0),1,0)*IF($C404=DN$2,1,0)=0,0,1+COUNTIF(DN$3:DN403,"&gt;0"))</f>
        <v>0</v>
      </c>
      <c r="DO404">
        <f>IF(IF(OR(IFERROR(SEARCH("Druid",$T404,1),0)&gt;0,IFERROR(SEARCH(DruidLand1,$T404,1),0)&gt;0,IFERROR(SEARCH(DruidLand2,$T404,1),0)&gt;0,IFERROR(SEARCH(DruidLand3,$T404,1),0)&gt;0,IFERROR(SEARCH(DruidLand4,$T404,1),0)&gt;0),1,0)*IF($C404=DO$2,1,0)=0,0,1+COUNTIF(DO$3:DO403,"&gt;0"))</f>
        <v>0</v>
      </c>
      <c r="DP404">
        <f>IF(IF(OR(IFERROR(SEARCH("Druid",$T404,1),0)&gt;0,IFERROR(SEARCH(DruidLand1,$T404,1),0)&gt;0,IFERROR(SEARCH(DruidLand2,$T404,1),0)&gt;0,IFERROR(SEARCH(DruidLand3,$T404,1),0)&gt;0,IFERROR(SEARCH(DruidLand4,$T404,1),0)&gt;0),1,0)*IF($C404=DP$2,1,0)=0,0,1+COUNTIF(DP$3:DP403,"&gt;0"))</f>
        <v>0</v>
      </c>
      <c r="DQ404">
        <f>IF(IF(OR(IFERROR(SEARCH("Druid",$T404,1),0)&gt;0,IFERROR(SEARCH(DruidLand1,$T404,1),0)&gt;0,IFERROR(SEARCH(DruidLand2,$T404,1),0)&gt;0,IFERROR(SEARCH(DruidLand3,$T404,1),0)&gt;0,IFERROR(SEARCH(DruidLand4,$T404,1),0)&gt;0),1,0)*IF($C404=DQ$2,1,0)=0,0,1+COUNTIF(DQ$3:DQ403,"&gt;0"))</f>
        <v>0</v>
      </c>
      <c r="DR404">
        <f>IF(IF(OR(IFERROR(SEARCH("Druid",$T404,1),0)&gt;0,IFERROR(SEARCH(DruidLand1,$T404,1),0)&gt;0,IFERROR(SEARCH(DruidLand2,$T404,1),0)&gt;0,IFERROR(SEARCH(DruidLand3,$T404,1),0)&gt;0,IFERROR(SEARCH(DruidLand4,$T404,1),0)&gt;0),1,0)*IF($C404=DR$2,1,0)=0,0,1+COUNTIF(DR$3:DR403,"&gt;0"))</f>
        <v>0</v>
      </c>
      <c r="DS404">
        <f>IF(IF(OR(IFERROR(SEARCH("Paladin",$T404,1),0)&gt;0,IFERROR(SEARCH(PaladinOath,$T404,1),0)&gt;0),1,0)*IF($C404=DS$2,1,0)=1,1+COUNTIF(DS$3:DS403,"&gt;0"),0)</f>
        <v>0</v>
      </c>
      <c r="DT404">
        <f>IF(IF(OR(IFERROR(SEARCH("Paladin",$T404,1),0)&gt;0,IFERROR(SEARCH(PaladinOath,$T404,1),0)&gt;0),1,0)*IF($C404=DT$2,1,0)=1,1+COUNTIF(DT$3:DT403,"&gt;0"),0)</f>
        <v>0</v>
      </c>
      <c r="DU404">
        <f>IF(IF(OR(IFERROR(SEARCH("Paladin",$T404,1),0)&gt;0,IFERROR(SEARCH(PaladinOath,$T404,1),0)&gt;0),1,0)*IF($C404=DU$2,1,0)=1,1+COUNTIF(DU$3:DU403,"&gt;0"),0)</f>
        <v>0</v>
      </c>
      <c r="DV404">
        <f>IF(IF(OR(IFERROR(SEARCH("Paladin",$T404,1),0)&gt;0,IFERROR(SEARCH(PaladinOath,$T404,1),0)&gt;0),1,0)*IF($C404=DV$2,1,0)=1,1+COUNTIF(DV$3:DV403,"&gt;0"),0)</f>
        <v>0</v>
      </c>
      <c r="DW404">
        <f>IF(IF(OR(IFERROR(SEARCH("Paladin",$T404,1),0)&gt;0,IFERROR(SEARCH(PaladinOath,$T404,1),0)&gt;0),1,0)*IF($C404=DW$2,1,0)=1,1+COUNTIF(DW$3:DW403,"&gt;0"),0)</f>
        <v>0</v>
      </c>
      <c r="DY404">
        <f t="shared" si="338"/>
        <v>1</v>
      </c>
      <c r="DZ404">
        <f>IF(DY404=0,0,1+MAX(DZ$3:$DZ403))</f>
        <v>402</v>
      </c>
      <c r="EB404">
        <f t="shared" si="352"/>
        <v>0</v>
      </c>
      <c r="EC404">
        <f>IF(EB404=0,0,1+COUNTIF(EC$3:EC403,"&gt;0"))</f>
        <v>0</v>
      </c>
      <c r="ED404" t="str">
        <f t="shared" si="380"/>
        <v/>
      </c>
      <c r="EE404" t="str">
        <f t="shared" si="353"/>
        <v/>
      </c>
      <c r="EG404">
        <f t="shared" si="354"/>
        <v>0</v>
      </c>
      <c r="EH404">
        <f>IF(EG404=0,0,1+COUNTIF(EH$3:EH403,"&gt;0"))</f>
        <v>0</v>
      </c>
      <c r="EI404" t="str">
        <f t="shared" si="381"/>
        <v/>
      </c>
      <c r="EJ404" t="str">
        <f t="shared" si="355"/>
        <v/>
      </c>
      <c r="EL404">
        <f t="shared" si="356"/>
        <v>0</v>
      </c>
      <c r="EM404">
        <f>IF(EL404=0,0,1+COUNTIF(EM$3:EM403,"&gt;0"))</f>
        <v>0</v>
      </c>
      <c r="EN404" t="str">
        <f t="shared" si="382"/>
        <v/>
      </c>
      <c r="EO404" t="str">
        <f t="shared" si="357"/>
        <v/>
      </c>
      <c r="EQ404">
        <f t="shared" si="358"/>
        <v>0</v>
      </c>
      <c r="ER404">
        <f>IF(EQ404=0,0,1+COUNTIF(ER$3:ER403,"&gt;0"))</f>
        <v>0</v>
      </c>
      <c r="ES404" t="str">
        <f t="shared" si="383"/>
        <v/>
      </c>
      <c r="ET404" t="str">
        <f t="shared" si="359"/>
        <v/>
      </c>
      <c r="EV404">
        <f t="shared" si="360"/>
        <v>0</v>
      </c>
      <c r="EW404">
        <f>IF(EV404=0,0,1+COUNTIF(EW$3:EW403,"&gt;0"))</f>
        <v>0</v>
      </c>
      <c r="EX404" t="str">
        <f t="shared" si="384"/>
        <v/>
      </c>
      <c r="EY404" t="str">
        <f t="shared" si="361"/>
        <v/>
      </c>
      <c r="FA404">
        <f t="shared" si="362"/>
        <v>0</v>
      </c>
      <c r="FB404">
        <f>IF(FA404=0,0,1+COUNTIF(FB$3:FB403,"&gt;0"))</f>
        <v>0</v>
      </c>
      <c r="FC404" t="str">
        <f t="shared" si="385"/>
        <v/>
      </c>
      <c r="FD404" t="str">
        <f t="shared" si="363"/>
        <v/>
      </c>
      <c r="FF404">
        <f t="shared" si="364"/>
        <v>0</v>
      </c>
      <c r="FG404">
        <f>IF(FF404=0,0,1+COUNTIF(FG$3:FG403,"&gt;0"))</f>
        <v>0</v>
      </c>
      <c r="FH404" t="str">
        <f t="shared" si="386"/>
        <v/>
      </c>
      <c r="FI404" t="str">
        <f t="shared" si="365"/>
        <v/>
      </c>
      <c r="FK404">
        <f t="shared" si="366"/>
        <v>0</v>
      </c>
      <c r="FL404">
        <f>IF(FK404=0,0,1+COUNTIF(FL$3:FL403,"&gt;0"))</f>
        <v>0</v>
      </c>
      <c r="FM404" t="str">
        <f t="shared" si="387"/>
        <v/>
      </c>
      <c r="FN404" t="str">
        <f t="shared" si="367"/>
        <v/>
      </c>
      <c r="FP404">
        <f t="shared" si="368"/>
        <v>0</v>
      </c>
      <c r="FQ404">
        <f>IF(FP404=0,0,1+COUNTIF(FQ$3:FQ403,"&gt;0"))</f>
        <v>0</v>
      </c>
      <c r="FR404" t="str">
        <f t="shared" si="388"/>
        <v/>
      </c>
      <c r="FS404" t="str">
        <f t="shared" si="369"/>
        <v/>
      </c>
    </row>
    <row r="405" spans="1:175" x14ac:dyDescent="0.25">
      <c r="A405" s="347">
        <f t="shared" si="390"/>
        <v>403</v>
      </c>
      <c r="B405" s="398" t="s">
        <v>5579</v>
      </c>
      <c r="C405" s="348">
        <v>2</v>
      </c>
      <c r="D405" s="347">
        <v>2</v>
      </c>
      <c r="E405" s="627" t="s">
        <v>6957</v>
      </c>
      <c r="F405" s="346"/>
      <c r="G405" s="347" t="str">
        <f>""</f>
        <v/>
      </c>
      <c r="H405" s="347" t="s">
        <v>5912</v>
      </c>
      <c r="I405" s="347" t="s">
        <v>5283</v>
      </c>
      <c r="J405" s="347" t="str">
        <f t="shared" si="339"/>
        <v/>
      </c>
      <c r="K405" s="347" t="s">
        <v>5297</v>
      </c>
      <c r="L405" s="611" t="str">
        <f t="shared" si="340"/>
        <v>V</v>
      </c>
      <c r="M405" s="347" t="s">
        <v>2373</v>
      </c>
      <c r="N405" s="347" t="s">
        <v>3034</v>
      </c>
      <c r="O405" s="347" t="s">
        <v>3034</v>
      </c>
      <c r="P405" s="346" t="str">
        <f>""</f>
        <v/>
      </c>
      <c r="Q405" s="347" t="s">
        <v>5273</v>
      </c>
      <c r="S405" s="346" t="s">
        <v>5906</v>
      </c>
      <c r="T405" s="346" t="str">
        <f t="shared" si="341"/>
        <v xml:space="preserve">Bard, Sorcerer, Druid, </v>
      </c>
      <c r="U405" s="347" t="str">
        <f>$B405</f>
        <v>Warding Wind</v>
      </c>
      <c r="X405" s="347" t="str">
        <f>$B405</f>
        <v>Warding Wind</v>
      </c>
      <c r="AA405" s="347" t="str">
        <f>$B405</f>
        <v>Warding Wind</v>
      </c>
      <c r="AE405" t="str">
        <f>IF(IFERROR(MATCH($B405,temp!A$4:A$13,0),0)&gt;0,T08_Spells!AE$2,"")</f>
        <v/>
      </c>
      <c r="AF405" t="str">
        <f>IF(IFERROR(MATCH($B405,temp!B$4:B$13,0),0)&gt;0,T08_Spells!AF$2,"")</f>
        <v/>
      </c>
      <c r="AG405" t="str">
        <f>IF(IFERROR(MATCH($B405,temp!C$4:C$13,0),0)&gt;0,T08_Spells!AG$2,"")</f>
        <v/>
      </c>
      <c r="AH405" t="str">
        <f>IF(IFERROR(MATCH($B405,temp!D$4:D$13,0),0)&gt;0,T08_Spells!AH$2,"")</f>
        <v/>
      </c>
      <c r="AI405" t="str">
        <f>IF(IFERROR(MATCH($B405,temp!E$4:E$13,0),0)&gt;0,T08_Spells!AI$2,"")</f>
        <v/>
      </c>
      <c r="AJ405" t="str">
        <f>IF(IFERROR(MATCH($B405,temp!F$4:F$13,0),0)&gt;0,T08_Spells!AJ$2,"")</f>
        <v/>
      </c>
      <c r="AK405" t="str">
        <f>IF(IFERROR(MATCH($B405,temp!G$4:G$13,0),0)&gt;0,T08_Spells!AK$2,"")</f>
        <v/>
      </c>
      <c r="AL405" t="str">
        <f>IF(IFERROR(MATCH($B405,temp!H$4:H$13,0),0)&gt;0,T08_Spells!AL$2,"")</f>
        <v/>
      </c>
      <c r="AM405" t="str">
        <f>IF(IFERROR(MATCH($B405,temp!I$4:I$13,0),0)&gt;0,T08_Spells!AM$2,"")</f>
        <v/>
      </c>
      <c r="AN405" t="str">
        <f>IF(IFERROR(MATCH($B405,temp!J$4:J$13,0),0)&gt;0,T08_Spells!AN$2,"")</f>
        <v/>
      </c>
      <c r="AO405" t="str">
        <f>IF(IFERROR(MATCH($B405,temp!K$4:K$13,0),0)&gt;0,T08_Spells!AO$2,"")</f>
        <v/>
      </c>
      <c r="AP405" t="str">
        <f>IF(IFERROR(MATCH($B405,temp!L$4:L$13,0),0)&gt;0,T08_Spells!AP$2,"")</f>
        <v/>
      </c>
      <c r="AQ405" t="str">
        <f>IF(IFERROR(MATCH($B405,temp!M$4:M$13,0),0)&gt;0,T08_Spells!AQ$2,"")</f>
        <v/>
      </c>
      <c r="AR405" t="str">
        <f>IF(IFERROR(MATCH($B405,temp!N$4:N$13,0),0)&gt;0,T08_Spells!AR$2,"")</f>
        <v/>
      </c>
      <c r="AS405" t="str">
        <f>IF(IFERROR(MATCH($B405,temp!O$4:O$13,0),0)&gt;0,T08_Spells!AS$2,"")</f>
        <v/>
      </c>
      <c r="AT405" t="str">
        <f>IF(IFERROR(MATCH($B405,temp!P$4:P$13,0),0)&gt;0,T08_Spells!AT$2,"")</f>
        <v/>
      </c>
      <c r="AU405" t="str">
        <f>IF(IFERROR(MATCH($B405,temp!Q$4:Q$13,0),0)&gt;0,T08_Spells!AU$2,"")</f>
        <v/>
      </c>
      <c r="AV405" t="str">
        <f>IF(IFERROR(MATCH($B405,temp!R$4:R$13,0),0)&gt;0,T08_Spells!AV$2,"")</f>
        <v/>
      </c>
      <c r="AW405" t="str">
        <f>IF(IFERROR(MATCH($B405,temp!S$4:S$13,0),0)&gt;0,T08_Spells!AW$2,"")</f>
        <v/>
      </c>
      <c r="AX405" t="str">
        <f>IF(IFERROR(MATCH($B405,temp!T$4:T$13,0),0)&gt;0,T08_Spells!AX$2,"")</f>
        <v/>
      </c>
      <c r="AY405" t="str">
        <f>IF(IFERROR(MATCH($B405,temp!U$4:U$13,0),0)&gt;0,T08_Spells!AY$2,"")</f>
        <v/>
      </c>
      <c r="AZ405" t="str">
        <f>IF(IFERROR(MATCH($B405,temp!V$4:V$13,0),0)&gt;0,T08_Spells!AZ$2,"")</f>
        <v/>
      </c>
      <c r="BA405" t="str">
        <f>IF(IFERROR(MATCH($B405,temp!W$4:W$13,0),0)&gt;0,T08_Spells!BA$2,"")</f>
        <v/>
      </c>
      <c r="BC405">
        <f>IF(IFERROR(SEARCH("Ranger",$T405,1),0)&gt;0,1,0)*IF(RangerMaxSpellLevel&gt;=$C405,1,0)*IF(IFERROR(MATCH(B405,Character_Creation!$X$79:$X$382,0),0)&gt;0,0,1)</f>
        <v>0</v>
      </c>
      <c r="BD405">
        <f>IF(BC405=0,0,1+COUNTIF(BD$3:BD404,"&gt;0"))</f>
        <v>0</v>
      </c>
      <c r="BE405" t="str">
        <f t="shared" si="370"/>
        <v/>
      </c>
      <c r="BF405" t="str">
        <f t="shared" si="342"/>
        <v/>
      </c>
      <c r="BH405">
        <f>IF(IFERROR(SEARCH("Sorcerer",$T405,1),0)&gt;0,1,0)*IF(SorcererMaxSpellLevel&gt;=$C405,1,0)*IF(IFERROR(MATCH(B405,Character_Creation!$J$380:$J$394,0),0)&gt;0,0,1)</f>
        <v>0</v>
      </c>
      <c r="BI405">
        <f>IF(BH405=0,0,1+COUNTIF(BI$3:BI404,"&gt;0"))</f>
        <v>0</v>
      </c>
      <c r="BJ405" t="str">
        <f t="shared" si="371"/>
        <v/>
      </c>
      <c r="BK405" t="str">
        <f t="shared" si="343"/>
        <v/>
      </c>
      <c r="BM405">
        <f>IF(OR(IFERROR(SEARCH("Warlock",$T405,1),0)&gt;0,IFERROR(SEARCH(WarlockPatron,$T405,1),0)&gt;0),1,0)*IF(WarlockMaxSpellLevel&gt;=$C405,1,0)*IF(IFERROR(MATCH(B405,Character_Creation!$J$361:$J$375,0),0)&gt;0,0,1)</f>
        <v>0</v>
      </c>
      <c r="BN405">
        <f>IF(BM405=0,0,1+COUNTIF(BN$3:BN404,"&gt;0"))</f>
        <v>0</v>
      </c>
      <c r="BO405" t="str">
        <f t="shared" si="372"/>
        <v/>
      </c>
      <c r="BP405" t="str">
        <f t="shared" si="344"/>
        <v/>
      </c>
      <c r="BR405">
        <f>IF(IFERROR(SEARCH("Eldritch Knight",$T405,1),0)&gt;0,1,0)*IF(EldritchKnightMaxSpellLevel&gt;=$C405,1,0)*IF(IFERROR(MATCH($B405,Character_Creation!$J$350:$J$356,0),0)&gt;0,0,1)*IF(Character_Creation!$M$338&gt;0,1,0)</f>
        <v>0</v>
      </c>
      <c r="BS405">
        <f>IF(BR405=0,0,1+COUNTIF(BS$3:BS404,"&gt;0"))</f>
        <v>0</v>
      </c>
      <c r="BT405" t="str">
        <f t="shared" si="373"/>
        <v/>
      </c>
      <c r="BU405" t="str">
        <f t="shared" si="345"/>
        <v/>
      </c>
      <c r="BW405">
        <f>IF(IFERROR(SEARCH("Arcane Trickster",$T405,1),0)&gt;0,1,0)*IF(ArcaneTricksterMaxSpellLevel&gt;=$C405,1,0)*IF(IFERROR(MATCH($B405,Character_Creation!$J$350:$J$356,0),0)&gt;0,0,1)*IF(Character_Creation!$T$338&gt;0,1,0)</f>
        <v>0</v>
      </c>
      <c r="BX405">
        <f>IF(BW405=0,0,1+COUNTIF(BX$3:BX404,"&gt;0"))</f>
        <v>0</v>
      </c>
      <c r="BY405" t="str">
        <f t="shared" si="374"/>
        <v/>
      </c>
      <c r="BZ405" t="str">
        <f t="shared" si="346"/>
        <v/>
      </c>
      <c r="CB405">
        <f>IF(IFERROR(SEARCH("Wizard",$T405,1),0)&gt;0,1,0)*IF(C405&lt;=ArcaneTricksterMaxSpellLevel,1,0)*IF(IFERROR(MATCH($B405,Character_Creation!$J$350:$J$356,0),0)&gt;0,0,1)*IF(Character_Creation!$T$350&gt;0,1,0)</f>
        <v>0</v>
      </c>
      <c r="CC405">
        <f>IF(CB405=0,0,1+COUNTIF(CC$3:CC404,"&gt;0"))</f>
        <v>0</v>
      </c>
      <c r="CD405" t="str">
        <f t="shared" si="375"/>
        <v/>
      </c>
      <c r="CE405" t="str">
        <f t="shared" si="347"/>
        <v/>
      </c>
      <c r="CG405">
        <f>IF(IFERROR(SEARCH("Wizard",$T405,1),0)&gt;0,1,0)*IF($C405&lt;=EldritchKnightMaxSpellLevel,1,0)*IF(IFERROR(MATCH($B405,Character_Creation!$J$350:$J$356,0),0)&gt;0,0,1)*IF(Character_Creation!$M$350&gt;0,1,0)</f>
        <v>0</v>
      </c>
      <c r="CH405">
        <f>IF(CG405=0,0,1+COUNTIF(CH$3:CH404,"&gt;0"))</f>
        <v>0</v>
      </c>
      <c r="CI405" t="str">
        <f t="shared" si="376"/>
        <v/>
      </c>
      <c r="CJ405" t="str">
        <f t="shared" si="348"/>
        <v/>
      </c>
      <c r="CL405">
        <f>IF(IFERROR(SEARCH("Bard",$T405,1),0)&gt;0,1,0)*IF(BardMaxSpellLevel&gt;=$C405,1,0)*IF(IFERROR(MATCH(B405,Character_Creation!$C$341:$F$362,0),0)&gt;0,0,1)*IF(IFERROR(MATCH($B405,Character_Creation!$C$341:$C$362,0),0)&gt;0,0,1)</f>
        <v>0</v>
      </c>
      <c r="CM405">
        <f>IF(CL405=0,0,1+COUNTIF(CM$3:CM404,"&gt;0"))</f>
        <v>0</v>
      </c>
      <c r="CN405" t="str">
        <f t="shared" si="377"/>
        <v/>
      </c>
      <c r="CO405" t="str">
        <f t="shared" si="349"/>
        <v/>
      </c>
      <c r="CQ405">
        <f>IF(IFERROR(SEARCH("Wizard",$T405,1),0)&gt;0,1,0)*IF(WizardMaxSpellLevel&gt;=$C405,1,0)*IF(IFERROR(MATCH(B405,Character_Creation!$X$341:$X$400,0),0)&gt;0,0,1)*IF(SelectedWizardSpellLevel=$C405,1,0)</f>
        <v>0</v>
      </c>
      <c r="CR405">
        <f>IF(CQ405=0,0,1+COUNTIF(CR$3:CR404,"&gt;0"))</f>
        <v>0</v>
      </c>
      <c r="CS405" t="str">
        <f t="shared" si="378"/>
        <v/>
      </c>
      <c r="CT405" t="str">
        <f t="shared" si="350"/>
        <v/>
      </c>
      <c r="CV405">
        <f>IF(IFERROR(MATCH($B405,Character_Creation!$C$341:$C$362,0),0)&gt;0,0,1)*IF(OR(C405="Cantrip",C405&lt;=BardMaxSpellLevel),1,0)*IF(IFERROR(MATCH($B405,Character_Creation!$C$367:$C$374,0),0)&gt;0,0,1)</f>
        <v>0</v>
      </c>
      <c r="CW405">
        <f>IF(CV405=0,0,1+COUNTIF(CW$3:CW404,"&gt;0"))</f>
        <v>0</v>
      </c>
      <c r="CX405" t="str">
        <f t="shared" si="379"/>
        <v/>
      </c>
      <c r="CY405" t="str">
        <f t="shared" si="351"/>
        <v/>
      </c>
      <c r="DA405">
        <f>IF(IF(OR(IFERROR(SEARCH("Cleric",$T405,1),0)&gt;0,IFERROR(SEARCH(DivineDomain&amp;",",$T405,1),0)&gt;0),1,0)*IF($C405=DA$2,1,0)=1,1+COUNTIF(DA$3:DA404,"&gt;0"),0)</f>
        <v>0</v>
      </c>
      <c r="DB405">
        <f>IF(IF(OR(IFERROR(SEARCH("Cleric",$T405,1),0)&gt;0,IFERROR(SEARCH(DivineDomain&amp;",",$T405,1),0)&gt;0),1,0)*IF($C405=DB$2,1,0)=1,1+COUNTIF(DB$3:DB404,"&gt;0"),0)</f>
        <v>0</v>
      </c>
      <c r="DC405">
        <f>IF(IF(OR(IFERROR(SEARCH("Cleric",$T405,1),0)&gt;0,IFERROR(SEARCH(DivineDomain&amp;",",$T405,1),0)&gt;0),1,0)*IF($C405=DC$2,1,0)=1,1+COUNTIF(DC$3:DC404,"&gt;0"),0)</f>
        <v>0</v>
      </c>
      <c r="DD405">
        <f>IF(IF(OR(IFERROR(SEARCH("Cleric",$T405,1),0)&gt;0,IFERROR(SEARCH(DivineDomain&amp;",",$T405,1),0)&gt;0),1,0)*IF($C405=DD$2,1,0)=1,1+COUNTIF(DD$3:DD404,"&gt;0"),0)</f>
        <v>0</v>
      </c>
      <c r="DE405">
        <f>IF(IF(OR(IFERROR(SEARCH("Cleric",$T405,1),0)&gt;0,IFERROR(SEARCH(DivineDomain&amp;",",$T405,1),0)&gt;0),1,0)*IF($C405=DE$2,1,0)=1,1+COUNTIF(DE$3:DE404,"&gt;0"),0)</f>
        <v>0</v>
      </c>
      <c r="DF405">
        <f>IF(IF(OR(IFERROR(SEARCH("Cleric",$T405,1),0)&gt;0,IFERROR(SEARCH(DivineDomain&amp;",",$T405,1),0)&gt;0),1,0)*IF($C405=DF$2,1,0)=1,1+COUNTIF(DF$3:DF404,"&gt;0"),0)</f>
        <v>0</v>
      </c>
      <c r="DG405">
        <f>IF(IF(OR(IFERROR(SEARCH("Cleric",$T405,1),0)&gt;0,IFERROR(SEARCH(DivineDomain&amp;",",$T405,1),0)&gt;0),1,0)*IF($C405=DG$2,1,0)=1,1+COUNTIF(DG$3:DG404,"&gt;0"),0)</f>
        <v>0</v>
      </c>
      <c r="DH405">
        <f>IF(IF(OR(IFERROR(SEARCH("Cleric",$T405,1),0)&gt;0,IFERROR(SEARCH(DivineDomain&amp;",",$T405,1),0)&gt;0),1,0)*IF($C405=DH$2,1,0)=1,1+COUNTIF(DH$3:DH404,"&gt;0"),0)</f>
        <v>0</v>
      </c>
      <c r="DI405">
        <f>IF(IF(OR(IFERROR(SEARCH("Cleric",$T405,1),0)&gt;0,IFERROR(SEARCH(DivineDomain&amp;",",$T405,1),0)&gt;0),1,0)*IF($C405=DI$2,1,0)=1,1+COUNTIF(DI$3:DI404,"&gt;0"),0)</f>
        <v>0</v>
      </c>
      <c r="DJ405">
        <f>IF(IF(OR(IFERROR(SEARCH("Druid",$T405,1),0)&gt;0,IFERROR(SEARCH(DruidLand1,$T405,1),0)&gt;0,IFERROR(SEARCH(DruidLand2,$T405,1),0)&gt;0,IFERROR(SEARCH(DruidLand3,$T405,1),0)&gt;0,IFERROR(SEARCH(DruidLand4,$T405,1),0)&gt;0),1,0)*IF($C405=1,1,0)*IF($C405=DJ$2,1,0)=0,0,1+COUNTIF(DJ$3:DJ404,"&gt;0"))</f>
        <v>0</v>
      </c>
      <c r="DK405">
        <f>IF(IF(OR(IFERROR(SEARCH("Druid",$T405,1),0)&gt;0,IFERROR(SEARCH(DruidLand1,$T405,1),0)&gt;0,IFERROR(SEARCH(DruidLand2,$T405,1),0)&gt;0,IFERROR(SEARCH(DruidLand3,$T405,1),0)&gt;0,IFERROR(SEARCH(DruidLand4,$T405,1),0)&gt;0),1,0)*IF($C405=DK$2,1,0)=0,0,1+COUNTIF(DK$3:DK404,"&gt;0"))</f>
        <v>21</v>
      </c>
      <c r="DL405">
        <f>IF(IF(OR(IFERROR(SEARCH("Druid",$T405,1),0)&gt;0,IFERROR(SEARCH(DruidLand1,$T405,1),0)&gt;0,IFERROR(SEARCH(DruidLand2,$T405,1),0)&gt;0,IFERROR(SEARCH(DruidLand3,$T405,1),0)&gt;0,IFERROR(SEARCH(DruidLand4,$T405,1),0)&gt;0),1,0)*IF($C405=DL$2,1,0)=0,0,1+COUNTIF(DL$3:DL404,"&gt;0"))</f>
        <v>0</v>
      </c>
      <c r="DM405">
        <f>IF(IF(OR(IFERROR(SEARCH("Druid",$T405,1),0)&gt;0,IFERROR(SEARCH(DruidLand1,$T405,1),0)&gt;0,IFERROR(SEARCH(DruidLand2,$T405,1),0)&gt;0,IFERROR(SEARCH(DruidLand3,$T405,1),0)&gt;0,IFERROR(SEARCH(DruidLand4,$T405,1),0)&gt;0),1,0)*IF($C405=DM$2,1,0)=0,0,1+COUNTIF(DM$3:DM404,"&gt;0"))</f>
        <v>0</v>
      </c>
      <c r="DN405">
        <f>IF(IF(OR(IFERROR(SEARCH("Druid",$T405,1),0)&gt;0,IFERROR(SEARCH(DruidLand1,$T405,1),0)&gt;0,IFERROR(SEARCH(DruidLand2,$T405,1),0)&gt;0,IFERROR(SEARCH(DruidLand3,$T405,1),0)&gt;0,IFERROR(SEARCH(DruidLand4,$T405,1),0)&gt;0),1,0)*IF($C405=DN$2,1,0)=0,0,1+COUNTIF(DN$3:DN404,"&gt;0"))</f>
        <v>0</v>
      </c>
      <c r="DO405">
        <f>IF(IF(OR(IFERROR(SEARCH("Druid",$T405,1),0)&gt;0,IFERROR(SEARCH(DruidLand1,$T405,1),0)&gt;0,IFERROR(SEARCH(DruidLand2,$T405,1),0)&gt;0,IFERROR(SEARCH(DruidLand3,$T405,1),0)&gt;0,IFERROR(SEARCH(DruidLand4,$T405,1),0)&gt;0),1,0)*IF($C405=DO$2,1,0)=0,0,1+COUNTIF(DO$3:DO404,"&gt;0"))</f>
        <v>0</v>
      </c>
      <c r="DP405">
        <f>IF(IF(OR(IFERROR(SEARCH("Druid",$T405,1),0)&gt;0,IFERROR(SEARCH(DruidLand1,$T405,1),0)&gt;0,IFERROR(SEARCH(DruidLand2,$T405,1),0)&gt;0,IFERROR(SEARCH(DruidLand3,$T405,1),0)&gt;0,IFERROR(SEARCH(DruidLand4,$T405,1),0)&gt;0),1,0)*IF($C405=DP$2,1,0)=0,0,1+COUNTIF(DP$3:DP404,"&gt;0"))</f>
        <v>0</v>
      </c>
      <c r="DQ405">
        <f>IF(IF(OR(IFERROR(SEARCH("Druid",$T405,1),0)&gt;0,IFERROR(SEARCH(DruidLand1,$T405,1),0)&gt;0,IFERROR(SEARCH(DruidLand2,$T405,1),0)&gt;0,IFERROR(SEARCH(DruidLand3,$T405,1),0)&gt;0,IFERROR(SEARCH(DruidLand4,$T405,1),0)&gt;0),1,0)*IF($C405=DQ$2,1,0)=0,0,1+COUNTIF(DQ$3:DQ404,"&gt;0"))</f>
        <v>0</v>
      </c>
      <c r="DR405">
        <f>IF(IF(OR(IFERROR(SEARCH("Druid",$T405,1),0)&gt;0,IFERROR(SEARCH(DruidLand1,$T405,1),0)&gt;0,IFERROR(SEARCH(DruidLand2,$T405,1),0)&gt;0,IFERROR(SEARCH(DruidLand3,$T405,1),0)&gt;0,IFERROR(SEARCH(DruidLand4,$T405,1),0)&gt;0),1,0)*IF($C405=DR$2,1,0)=0,0,1+COUNTIF(DR$3:DR404,"&gt;0"))</f>
        <v>0</v>
      </c>
      <c r="DS405">
        <f>IF(IF(OR(IFERROR(SEARCH("Paladin",$T405,1),0)&gt;0,IFERROR(SEARCH(PaladinOath,$T405,1),0)&gt;0),1,0)*IF($C405=DS$2,1,0)=1,1+COUNTIF(DS$3:DS404,"&gt;0"),0)</f>
        <v>0</v>
      </c>
      <c r="DT405">
        <f>IF(IF(OR(IFERROR(SEARCH("Paladin",$T405,1),0)&gt;0,IFERROR(SEARCH(PaladinOath,$T405,1),0)&gt;0),1,0)*IF($C405=DT$2,1,0)=1,1+COUNTIF(DT$3:DT404,"&gt;0"),0)</f>
        <v>0</v>
      </c>
      <c r="DU405">
        <f>IF(IF(OR(IFERROR(SEARCH("Paladin",$T405,1),0)&gt;0,IFERROR(SEARCH(PaladinOath,$T405,1),0)&gt;0),1,0)*IF($C405=DU$2,1,0)=1,1+COUNTIF(DU$3:DU404,"&gt;0"),0)</f>
        <v>0</v>
      </c>
      <c r="DV405">
        <f>IF(IF(OR(IFERROR(SEARCH("Paladin",$T405,1),0)&gt;0,IFERROR(SEARCH(PaladinOath,$T405,1),0)&gt;0),1,0)*IF($C405=DV$2,1,0)=1,1+COUNTIF(DV$3:DV404,"&gt;0"),0)</f>
        <v>0</v>
      </c>
      <c r="DW405">
        <f>IF(IF(OR(IFERROR(SEARCH("Paladin",$T405,1),0)&gt;0,IFERROR(SEARCH(PaladinOath,$T405,1),0)&gt;0),1,0)*IF($C405=DW$2,1,0)=1,1+COUNTIF(DW$3:DW404,"&gt;0"),0)</f>
        <v>0</v>
      </c>
      <c r="DY405">
        <f t="shared" si="338"/>
        <v>1</v>
      </c>
      <c r="DZ405">
        <f>IF(DY405=0,0,1+MAX(DZ$3:$DZ404))</f>
        <v>403</v>
      </c>
      <c r="EB405">
        <f t="shared" si="352"/>
        <v>0</v>
      </c>
      <c r="EC405">
        <f>IF(EB405=0,0,1+COUNTIF(EC$3:EC404,"&gt;0"))</f>
        <v>0</v>
      </c>
      <c r="ED405" t="str">
        <f t="shared" si="380"/>
        <v/>
      </c>
      <c r="EE405" t="str">
        <f t="shared" si="353"/>
        <v/>
      </c>
      <c r="EG405">
        <f t="shared" si="354"/>
        <v>0</v>
      </c>
      <c r="EH405">
        <f>IF(EG405=0,0,1+COUNTIF(EH$3:EH404,"&gt;0"))</f>
        <v>0</v>
      </c>
      <c r="EI405" t="str">
        <f t="shared" si="381"/>
        <v/>
      </c>
      <c r="EJ405" t="str">
        <f t="shared" si="355"/>
        <v/>
      </c>
      <c r="EL405">
        <f t="shared" si="356"/>
        <v>0</v>
      </c>
      <c r="EM405">
        <f>IF(EL405=0,0,1+COUNTIF(EM$3:EM404,"&gt;0"))</f>
        <v>0</v>
      </c>
      <c r="EN405" t="str">
        <f t="shared" si="382"/>
        <v/>
      </c>
      <c r="EO405" t="str">
        <f t="shared" si="357"/>
        <v/>
      </c>
      <c r="EQ405">
        <f t="shared" si="358"/>
        <v>0</v>
      </c>
      <c r="ER405">
        <f>IF(EQ405=0,0,1+COUNTIF(ER$3:ER404,"&gt;0"))</f>
        <v>0</v>
      </c>
      <c r="ES405" t="str">
        <f t="shared" si="383"/>
        <v/>
      </c>
      <c r="ET405" t="str">
        <f t="shared" si="359"/>
        <v/>
      </c>
      <c r="EV405">
        <f t="shared" si="360"/>
        <v>0</v>
      </c>
      <c r="EW405">
        <f>IF(EV405=0,0,1+COUNTIF(EW$3:EW404,"&gt;0"))</f>
        <v>0</v>
      </c>
      <c r="EX405" t="str">
        <f t="shared" si="384"/>
        <v/>
      </c>
      <c r="EY405" t="str">
        <f t="shared" si="361"/>
        <v/>
      </c>
      <c r="FA405">
        <f t="shared" si="362"/>
        <v>0</v>
      </c>
      <c r="FB405">
        <f>IF(FA405=0,0,1+COUNTIF(FB$3:FB404,"&gt;0"))</f>
        <v>0</v>
      </c>
      <c r="FC405" t="str">
        <f t="shared" si="385"/>
        <v/>
      </c>
      <c r="FD405" t="str">
        <f t="shared" si="363"/>
        <v/>
      </c>
      <c r="FF405">
        <f t="shared" si="364"/>
        <v>0</v>
      </c>
      <c r="FG405">
        <f>IF(FF405=0,0,1+COUNTIF(FG$3:FG404,"&gt;0"))</f>
        <v>0</v>
      </c>
      <c r="FH405" t="str">
        <f t="shared" si="386"/>
        <v/>
      </c>
      <c r="FI405" t="str">
        <f t="shared" si="365"/>
        <v/>
      </c>
      <c r="FK405">
        <f t="shared" si="366"/>
        <v>0</v>
      </c>
      <c r="FL405">
        <f>IF(FK405=0,0,1+COUNTIF(FL$3:FL404,"&gt;0"))</f>
        <v>0</v>
      </c>
      <c r="FM405" t="str">
        <f t="shared" si="387"/>
        <v/>
      </c>
      <c r="FN405" t="str">
        <f t="shared" si="367"/>
        <v/>
      </c>
      <c r="FP405">
        <f t="shared" si="368"/>
        <v>0</v>
      </c>
      <c r="FQ405">
        <f>IF(FP405=0,0,1+COUNTIF(FQ$3:FQ404,"&gt;0"))</f>
        <v>0</v>
      </c>
      <c r="FR405" t="str">
        <f t="shared" si="388"/>
        <v/>
      </c>
      <c r="FS405" t="str">
        <f t="shared" si="369"/>
        <v/>
      </c>
    </row>
    <row r="406" spans="1:175" x14ac:dyDescent="0.25">
      <c r="A406" s="347">
        <f t="shared" si="390"/>
        <v>404</v>
      </c>
      <c r="B406" s="398" t="s">
        <v>5580</v>
      </c>
      <c r="C406" s="348">
        <v>4</v>
      </c>
      <c r="D406" s="347">
        <v>4</v>
      </c>
      <c r="E406" s="627" t="s">
        <v>6957</v>
      </c>
      <c r="F406" s="346"/>
      <c r="G406" s="347" t="str">
        <f>""</f>
        <v/>
      </c>
      <c r="H406" s="347" t="s">
        <v>5912</v>
      </c>
      <c r="I406" s="347" t="s">
        <v>5312</v>
      </c>
      <c r="J406" s="347" t="str">
        <f t="shared" si="339"/>
        <v/>
      </c>
      <c r="K406" s="347" t="s">
        <v>5291</v>
      </c>
      <c r="L406" s="611" t="str">
        <f t="shared" si="340"/>
        <v>V, S, M, a droplet of water</v>
      </c>
      <c r="M406" s="347" t="s">
        <v>2373</v>
      </c>
      <c r="N406" s="347" t="s">
        <v>2387</v>
      </c>
      <c r="O406" s="347" t="s">
        <v>1244</v>
      </c>
      <c r="P406" s="346" t="s">
        <v>5581</v>
      </c>
      <c r="Q406" s="347" t="s">
        <v>5271</v>
      </c>
      <c r="S406" s="346" t="s">
        <v>5907</v>
      </c>
      <c r="T406" s="346" t="str">
        <f t="shared" si="341"/>
        <v xml:space="preserve">Druid, Wizard, </v>
      </c>
      <c r="AA406" s="347" t="str">
        <f>$B406</f>
        <v>Watery Sphere</v>
      </c>
      <c r="AD406" s="347" t="str">
        <f>$B406</f>
        <v>Watery Sphere</v>
      </c>
      <c r="AE406" t="str">
        <f>IF(IFERROR(MATCH($B406,temp!A$4:A$13,0),0)&gt;0,T08_Spells!AE$2,"")</f>
        <v/>
      </c>
      <c r="AF406" t="str">
        <f>IF(IFERROR(MATCH($B406,temp!B$4:B$13,0),0)&gt;0,T08_Spells!AF$2,"")</f>
        <v/>
      </c>
      <c r="AG406" t="str">
        <f>IF(IFERROR(MATCH($B406,temp!C$4:C$13,0),0)&gt;0,T08_Spells!AG$2,"")</f>
        <v/>
      </c>
      <c r="AH406" t="str">
        <f>IF(IFERROR(MATCH($B406,temp!D$4:D$13,0),0)&gt;0,T08_Spells!AH$2,"")</f>
        <v/>
      </c>
      <c r="AI406" t="str">
        <f>IF(IFERROR(MATCH($B406,temp!E$4:E$13,0),0)&gt;0,T08_Spells!AI$2,"")</f>
        <v/>
      </c>
      <c r="AJ406" t="str">
        <f>IF(IFERROR(MATCH($B406,temp!F$4:F$13,0),0)&gt;0,T08_Spells!AJ$2,"")</f>
        <v/>
      </c>
      <c r="AK406" t="str">
        <f>IF(IFERROR(MATCH($B406,temp!G$4:G$13,0),0)&gt;0,T08_Spells!AK$2,"")</f>
        <v/>
      </c>
      <c r="AL406" t="str">
        <f>IF(IFERROR(MATCH($B406,temp!H$4:H$13,0),0)&gt;0,T08_Spells!AL$2,"")</f>
        <v/>
      </c>
      <c r="AM406" t="str">
        <f>IF(IFERROR(MATCH($B406,temp!I$4:I$13,0),0)&gt;0,T08_Spells!AM$2,"")</f>
        <v/>
      </c>
      <c r="AN406" t="str">
        <f>IF(IFERROR(MATCH($B406,temp!J$4:J$13,0),0)&gt;0,T08_Spells!AN$2,"")</f>
        <v/>
      </c>
      <c r="AO406" t="str">
        <f>IF(IFERROR(MATCH($B406,temp!K$4:K$13,0),0)&gt;0,T08_Spells!AO$2,"")</f>
        <v/>
      </c>
      <c r="AP406" t="str">
        <f>IF(IFERROR(MATCH($B406,temp!L$4:L$13,0),0)&gt;0,T08_Spells!AP$2,"")</f>
        <v/>
      </c>
      <c r="AQ406" t="str">
        <f>IF(IFERROR(MATCH($B406,temp!M$4:M$13,0),0)&gt;0,T08_Spells!AQ$2,"")</f>
        <v/>
      </c>
      <c r="AR406" t="str">
        <f>IF(IFERROR(MATCH($B406,temp!N$4:N$13,0),0)&gt;0,T08_Spells!AR$2,"")</f>
        <v/>
      </c>
      <c r="AS406" t="str">
        <f>IF(IFERROR(MATCH($B406,temp!O$4:O$13,0),0)&gt;0,T08_Spells!AS$2,"")</f>
        <v/>
      </c>
      <c r="AT406" t="str">
        <f>IF(IFERROR(MATCH($B406,temp!P$4:P$13,0),0)&gt;0,T08_Spells!AT$2,"")</f>
        <v/>
      </c>
      <c r="AU406" t="str">
        <f>IF(IFERROR(MATCH($B406,temp!Q$4:Q$13,0),0)&gt;0,T08_Spells!AU$2,"")</f>
        <v/>
      </c>
      <c r="AV406" t="str">
        <f>IF(IFERROR(MATCH($B406,temp!R$4:R$13,0),0)&gt;0,T08_Spells!AV$2,"")</f>
        <v/>
      </c>
      <c r="AW406" t="str">
        <f>IF(IFERROR(MATCH($B406,temp!S$4:S$13,0),0)&gt;0,T08_Spells!AW$2,"")</f>
        <v/>
      </c>
      <c r="AX406" t="str">
        <f>IF(IFERROR(MATCH($B406,temp!T$4:T$13,0),0)&gt;0,T08_Spells!AX$2,"")</f>
        <v/>
      </c>
      <c r="AY406" t="str">
        <f>IF(IFERROR(MATCH($B406,temp!U$4:U$13,0),0)&gt;0,T08_Spells!AY$2,"")</f>
        <v/>
      </c>
      <c r="AZ406" t="str">
        <f>IF(IFERROR(MATCH($B406,temp!V$4:V$13,0),0)&gt;0,T08_Spells!AZ$2,"")</f>
        <v/>
      </c>
      <c r="BA406" t="str">
        <f>IF(IFERROR(MATCH($B406,temp!W$4:W$13,0),0)&gt;0,T08_Spells!BA$2,"")</f>
        <v/>
      </c>
      <c r="BC406">
        <f>IF(IFERROR(SEARCH("Ranger",$T406,1),0)&gt;0,1,0)*IF(RangerMaxSpellLevel&gt;=$C406,1,0)*IF(IFERROR(MATCH(B406,Character_Creation!$X$79:$X$382,0),0)&gt;0,0,1)</f>
        <v>0</v>
      </c>
      <c r="BD406">
        <f>IF(BC406=0,0,1+COUNTIF(BD$3:BD405,"&gt;0"))</f>
        <v>0</v>
      </c>
      <c r="BE406" t="str">
        <f t="shared" si="370"/>
        <v/>
      </c>
      <c r="BF406" t="str">
        <f t="shared" si="342"/>
        <v/>
      </c>
      <c r="BH406">
        <f>IF(IFERROR(SEARCH("Sorcerer",$T406,1),0)&gt;0,1,0)*IF(SorcererMaxSpellLevel&gt;=$C406,1,0)*IF(IFERROR(MATCH(B406,Character_Creation!$J$380:$J$394,0),0)&gt;0,0,1)</f>
        <v>0</v>
      </c>
      <c r="BI406">
        <f>IF(BH406=0,0,1+COUNTIF(BI$3:BI405,"&gt;0"))</f>
        <v>0</v>
      </c>
      <c r="BJ406" t="str">
        <f t="shared" si="371"/>
        <v/>
      </c>
      <c r="BK406" t="str">
        <f t="shared" si="343"/>
        <v/>
      </c>
      <c r="BM406">
        <f>IF(OR(IFERROR(SEARCH("Warlock",$T406,1),0)&gt;0,IFERROR(SEARCH(WarlockPatron,$T406,1),0)&gt;0),1,0)*IF(WarlockMaxSpellLevel&gt;=$C406,1,0)*IF(IFERROR(MATCH(B406,Character_Creation!$J$361:$J$375,0),0)&gt;0,0,1)</f>
        <v>0</v>
      </c>
      <c r="BN406">
        <f>IF(BM406=0,0,1+COUNTIF(BN$3:BN405,"&gt;0"))</f>
        <v>0</v>
      </c>
      <c r="BO406" t="str">
        <f t="shared" si="372"/>
        <v/>
      </c>
      <c r="BP406" t="str">
        <f t="shared" si="344"/>
        <v/>
      </c>
      <c r="BR406">
        <f>IF(IFERROR(SEARCH("Eldritch Knight",$T406,1),0)&gt;0,1,0)*IF(EldritchKnightMaxSpellLevel&gt;=$C406,1,0)*IF(IFERROR(MATCH($B406,Character_Creation!$J$350:$J$356,0),0)&gt;0,0,1)*IF(Character_Creation!$M$338&gt;0,1,0)</f>
        <v>0</v>
      </c>
      <c r="BS406">
        <f>IF(BR406=0,0,1+COUNTIF(BS$3:BS405,"&gt;0"))</f>
        <v>0</v>
      </c>
      <c r="BT406" t="str">
        <f t="shared" si="373"/>
        <v/>
      </c>
      <c r="BU406" t="str">
        <f t="shared" si="345"/>
        <v/>
      </c>
      <c r="BW406">
        <f>IF(IFERROR(SEARCH("Arcane Trickster",$T406,1),0)&gt;0,1,0)*IF(ArcaneTricksterMaxSpellLevel&gt;=$C406,1,0)*IF(IFERROR(MATCH($B406,Character_Creation!$J$350:$J$356,0),0)&gt;0,0,1)*IF(Character_Creation!$T$338&gt;0,1,0)</f>
        <v>0</v>
      </c>
      <c r="BX406">
        <f>IF(BW406=0,0,1+COUNTIF(BX$3:BX405,"&gt;0"))</f>
        <v>0</v>
      </c>
      <c r="BY406" t="str">
        <f t="shared" si="374"/>
        <v/>
      </c>
      <c r="BZ406" t="str">
        <f t="shared" si="346"/>
        <v/>
      </c>
      <c r="CB406">
        <f>IF(IFERROR(SEARCH("Wizard",$T406,1),0)&gt;0,1,0)*IF(C406&lt;=ArcaneTricksterMaxSpellLevel,1,0)*IF(IFERROR(MATCH($B406,Character_Creation!$J$350:$J$356,0),0)&gt;0,0,1)*IF(Character_Creation!$T$350&gt;0,1,0)</f>
        <v>0</v>
      </c>
      <c r="CC406">
        <f>IF(CB406=0,0,1+COUNTIF(CC$3:CC405,"&gt;0"))</f>
        <v>0</v>
      </c>
      <c r="CD406" t="str">
        <f t="shared" si="375"/>
        <v/>
      </c>
      <c r="CE406" t="str">
        <f t="shared" si="347"/>
        <v/>
      </c>
      <c r="CG406">
        <f>IF(IFERROR(SEARCH("Wizard",$T406,1),0)&gt;0,1,0)*IF($C406&lt;=EldritchKnightMaxSpellLevel,1,0)*IF(IFERROR(MATCH($B406,Character_Creation!$J$350:$J$356,0),0)&gt;0,0,1)*IF(Character_Creation!$M$350&gt;0,1,0)</f>
        <v>0</v>
      </c>
      <c r="CH406">
        <f>IF(CG406=0,0,1+COUNTIF(CH$3:CH405,"&gt;0"))</f>
        <v>0</v>
      </c>
      <c r="CI406" t="str">
        <f t="shared" si="376"/>
        <v/>
      </c>
      <c r="CJ406" t="str">
        <f t="shared" si="348"/>
        <v/>
      </c>
      <c r="CL406">
        <f>IF(IFERROR(SEARCH("Bard",$T406,1),0)&gt;0,1,0)*IF(BardMaxSpellLevel&gt;=$C406,1,0)*IF(IFERROR(MATCH(B406,Character_Creation!$C$341:$F$362,0),0)&gt;0,0,1)*IF(IFERROR(MATCH($B406,Character_Creation!$C$341:$C$362,0),0)&gt;0,0,1)</f>
        <v>0</v>
      </c>
      <c r="CM406">
        <f>IF(CL406=0,0,1+COUNTIF(CM$3:CM405,"&gt;0"))</f>
        <v>0</v>
      </c>
      <c r="CN406" t="str">
        <f t="shared" si="377"/>
        <v/>
      </c>
      <c r="CO406" t="str">
        <f t="shared" si="349"/>
        <v/>
      </c>
      <c r="CQ406">
        <f>IF(IFERROR(SEARCH("Wizard",$T406,1),0)&gt;0,1,0)*IF(WizardMaxSpellLevel&gt;=$C406,1,0)*IF(IFERROR(MATCH(B406,Character_Creation!$X$341:$X$400,0),0)&gt;0,0,1)*IF(SelectedWizardSpellLevel=$C406,1,0)</f>
        <v>0</v>
      </c>
      <c r="CR406">
        <f>IF(CQ406=0,0,1+COUNTIF(CR$3:CR405,"&gt;0"))</f>
        <v>0</v>
      </c>
      <c r="CS406" t="str">
        <f t="shared" si="378"/>
        <v/>
      </c>
      <c r="CT406" t="str">
        <f t="shared" si="350"/>
        <v/>
      </c>
      <c r="CV406">
        <f>IF(IFERROR(MATCH($B406,Character_Creation!$C$341:$C$362,0),0)&gt;0,0,1)*IF(OR(C406="Cantrip",C406&lt;=BardMaxSpellLevel),1,0)*IF(IFERROR(MATCH($B406,Character_Creation!$C$367:$C$374,0),0)&gt;0,0,1)</f>
        <v>0</v>
      </c>
      <c r="CW406">
        <f>IF(CV406=0,0,1+COUNTIF(CW$3:CW405,"&gt;0"))</f>
        <v>0</v>
      </c>
      <c r="CX406" t="str">
        <f t="shared" si="379"/>
        <v/>
      </c>
      <c r="CY406" t="str">
        <f t="shared" si="351"/>
        <v/>
      </c>
      <c r="DA406">
        <f>IF(IF(OR(IFERROR(SEARCH("Cleric",$T406,1),0)&gt;0,IFERROR(SEARCH(DivineDomain&amp;",",$T406,1),0)&gt;0),1,0)*IF($C406=DA$2,1,0)=1,1+COUNTIF(DA$3:DA405,"&gt;0"),0)</f>
        <v>0</v>
      </c>
      <c r="DB406">
        <f>IF(IF(OR(IFERROR(SEARCH("Cleric",$T406,1),0)&gt;0,IFERROR(SEARCH(DivineDomain&amp;",",$T406,1),0)&gt;0),1,0)*IF($C406=DB$2,1,0)=1,1+COUNTIF(DB$3:DB405,"&gt;0"),0)</f>
        <v>0</v>
      </c>
      <c r="DC406">
        <f>IF(IF(OR(IFERROR(SEARCH("Cleric",$T406,1),0)&gt;0,IFERROR(SEARCH(DivineDomain&amp;",",$T406,1),0)&gt;0),1,0)*IF($C406=DC$2,1,0)=1,1+COUNTIF(DC$3:DC405,"&gt;0"),0)</f>
        <v>0</v>
      </c>
      <c r="DD406">
        <f>IF(IF(OR(IFERROR(SEARCH("Cleric",$T406,1),0)&gt;0,IFERROR(SEARCH(DivineDomain&amp;",",$T406,1),0)&gt;0),1,0)*IF($C406=DD$2,1,0)=1,1+COUNTIF(DD$3:DD405,"&gt;0"),0)</f>
        <v>0</v>
      </c>
      <c r="DE406">
        <f>IF(IF(OR(IFERROR(SEARCH("Cleric",$T406,1),0)&gt;0,IFERROR(SEARCH(DivineDomain&amp;",",$T406,1),0)&gt;0),1,0)*IF($C406=DE$2,1,0)=1,1+COUNTIF(DE$3:DE405,"&gt;0"),0)</f>
        <v>0</v>
      </c>
      <c r="DF406">
        <f>IF(IF(OR(IFERROR(SEARCH("Cleric",$T406,1),0)&gt;0,IFERROR(SEARCH(DivineDomain&amp;",",$T406,1),0)&gt;0),1,0)*IF($C406=DF$2,1,0)=1,1+COUNTIF(DF$3:DF405,"&gt;0"),0)</f>
        <v>0</v>
      </c>
      <c r="DG406">
        <f>IF(IF(OR(IFERROR(SEARCH("Cleric",$T406,1),0)&gt;0,IFERROR(SEARCH(DivineDomain&amp;",",$T406,1),0)&gt;0),1,0)*IF($C406=DG$2,1,0)=1,1+COUNTIF(DG$3:DG405,"&gt;0"),0)</f>
        <v>0</v>
      </c>
      <c r="DH406">
        <f>IF(IF(OR(IFERROR(SEARCH("Cleric",$T406,1),0)&gt;0,IFERROR(SEARCH(DivineDomain&amp;",",$T406,1),0)&gt;0),1,0)*IF($C406=DH$2,1,0)=1,1+COUNTIF(DH$3:DH405,"&gt;0"),0)</f>
        <v>0</v>
      </c>
      <c r="DI406">
        <f>IF(IF(OR(IFERROR(SEARCH("Cleric",$T406,1),0)&gt;0,IFERROR(SEARCH(DivineDomain&amp;",",$T406,1),0)&gt;0),1,0)*IF($C406=DI$2,1,0)=1,1+COUNTIF(DI$3:DI405,"&gt;0"),0)</f>
        <v>0</v>
      </c>
      <c r="DJ406">
        <f>IF(IF(OR(IFERROR(SEARCH("Druid",$T406,1),0)&gt;0,IFERROR(SEARCH(DruidLand1,$T406,1),0)&gt;0,IFERROR(SEARCH(DruidLand2,$T406,1),0)&gt;0,IFERROR(SEARCH(DruidLand3,$T406,1),0)&gt;0,IFERROR(SEARCH(DruidLand4,$T406,1),0)&gt;0),1,0)*IF($C406=1,1,0)*IF($C406=DJ$2,1,0)=0,0,1+COUNTIF(DJ$3:DJ405,"&gt;0"))</f>
        <v>0</v>
      </c>
      <c r="DK406">
        <f>IF(IF(OR(IFERROR(SEARCH("Druid",$T406,1),0)&gt;0,IFERROR(SEARCH(DruidLand1,$T406,1),0)&gt;0,IFERROR(SEARCH(DruidLand2,$T406,1),0)&gt;0,IFERROR(SEARCH(DruidLand3,$T406,1),0)&gt;0,IFERROR(SEARCH(DruidLand4,$T406,1),0)&gt;0),1,0)*IF($C406=DK$2,1,0)=0,0,1+COUNTIF(DK$3:DK405,"&gt;0"))</f>
        <v>0</v>
      </c>
      <c r="DL406">
        <f>IF(IF(OR(IFERROR(SEARCH("Druid",$T406,1),0)&gt;0,IFERROR(SEARCH(DruidLand1,$T406,1),0)&gt;0,IFERROR(SEARCH(DruidLand2,$T406,1),0)&gt;0,IFERROR(SEARCH(DruidLand3,$T406,1),0)&gt;0,IFERROR(SEARCH(DruidLand4,$T406,1),0)&gt;0),1,0)*IF($C406=DL$2,1,0)=0,0,1+COUNTIF(DL$3:DL405,"&gt;0"))</f>
        <v>0</v>
      </c>
      <c r="DM406">
        <f>IF(IF(OR(IFERROR(SEARCH("Druid",$T406,1),0)&gt;0,IFERROR(SEARCH(DruidLand1,$T406,1),0)&gt;0,IFERROR(SEARCH(DruidLand2,$T406,1),0)&gt;0,IFERROR(SEARCH(DruidLand3,$T406,1),0)&gt;0,IFERROR(SEARCH(DruidLand4,$T406,1),0)&gt;0),1,0)*IF($C406=DM$2,1,0)=0,0,1+COUNTIF(DM$3:DM405,"&gt;0"))</f>
        <v>17</v>
      </c>
      <c r="DN406">
        <f>IF(IF(OR(IFERROR(SEARCH("Druid",$T406,1),0)&gt;0,IFERROR(SEARCH(DruidLand1,$T406,1),0)&gt;0,IFERROR(SEARCH(DruidLand2,$T406,1),0)&gt;0,IFERROR(SEARCH(DruidLand3,$T406,1),0)&gt;0,IFERROR(SEARCH(DruidLand4,$T406,1),0)&gt;0),1,0)*IF($C406=DN$2,1,0)=0,0,1+COUNTIF(DN$3:DN405,"&gt;0"))</f>
        <v>0</v>
      </c>
      <c r="DO406">
        <f>IF(IF(OR(IFERROR(SEARCH("Druid",$T406,1),0)&gt;0,IFERROR(SEARCH(DruidLand1,$T406,1),0)&gt;0,IFERROR(SEARCH(DruidLand2,$T406,1),0)&gt;0,IFERROR(SEARCH(DruidLand3,$T406,1),0)&gt;0,IFERROR(SEARCH(DruidLand4,$T406,1),0)&gt;0),1,0)*IF($C406=DO$2,1,0)=0,0,1+COUNTIF(DO$3:DO405,"&gt;0"))</f>
        <v>0</v>
      </c>
      <c r="DP406">
        <f>IF(IF(OR(IFERROR(SEARCH("Druid",$T406,1),0)&gt;0,IFERROR(SEARCH(DruidLand1,$T406,1),0)&gt;0,IFERROR(SEARCH(DruidLand2,$T406,1),0)&gt;0,IFERROR(SEARCH(DruidLand3,$T406,1),0)&gt;0,IFERROR(SEARCH(DruidLand4,$T406,1),0)&gt;0),1,0)*IF($C406=DP$2,1,0)=0,0,1+COUNTIF(DP$3:DP405,"&gt;0"))</f>
        <v>0</v>
      </c>
      <c r="DQ406">
        <f>IF(IF(OR(IFERROR(SEARCH("Druid",$T406,1),0)&gt;0,IFERROR(SEARCH(DruidLand1,$T406,1),0)&gt;0,IFERROR(SEARCH(DruidLand2,$T406,1),0)&gt;0,IFERROR(SEARCH(DruidLand3,$T406,1),0)&gt;0,IFERROR(SEARCH(DruidLand4,$T406,1),0)&gt;0),1,0)*IF($C406=DQ$2,1,0)=0,0,1+COUNTIF(DQ$3:DQ405,"&gt;0"))</f>
        <v>0</v>
      </c>
      <c r="DR406">
        <f>IF(IF(OR(IFERROR(SEARCH("Druid",$T406,1),0)&gt;0,IFERROR(SEARCH(DruidLand1,$T406,1),0)&gt;0,IFERROR(SEARCH(DruidLand2,$T406,1),0)&gt;0,IFERROR(SEARCH(DruidLand3,$T406,1),0)&gt;0,IFERROR(SEARCH(DruidLand4,$T406,1),0)&gt;0),1,0)*IF($C406=DR$2,1,0)=0,0,1+COUNTIF(DR$3:DR405,"&gt;0"))</f>
        <v>0</v>
      </c>
      <c r="DS406">
        <f>IF(IF(OR(IFERROR(SEARCH("Paladin",$T406,1),0)&gt;0,IFERROR(SEARCH(PaladinOath,$T406,1),0)&gt;0),1,0)*IF($C406=DS$2,1,0)=1,1+COUNTIF(DS$3:DS405,"&gt;0"),0)</f>
        <v>0</v>
      </c>
      <c r="DT406">
        <f>IF(IF(OR(IFERROR(SEARCH("Paladin",$T406,1),0)&gt;0,IFERROR(SEARCH(PaladinOath,$T406,1),0)&gt;0),1,0)*IF($C406=DT$2,1,0)=1,1+COUNTIF(DT$3:DT405,"&gt;0"),0)</f>
        <v>0</v>
      </c>
      <c r="DU406">
        <f>IF(IF(OR(IFERROR(SEARCH("Paladin",$T406,1),0)&gt;0,IFERROR(SEARCH(PaladinOath,$T406,1),0)&gt;0),1,0)*IF($C406=DU$2,1,0)=1,1+COUNTIF(DU$3:DU405,"&gt;0"),0)</f>
        <v>0</v>
      </c>
      <c r="DV406">
        <f>IF(IF(OR(IFERROR(SEARCH("Paladin",$T406,1),0)&gt;0,IFERROR(SEARCH(PaladinOath,$T406,1),0)&gt;0),1,0)*IF($C406=DV$2,1,0)=1,1+COUNTIF(DV$3:DV405,"&gt;0"),0)</f>
        <v>0</v>
      </c>
      <c r="DW406">
        <f>IF(IF(OR(IFERROR(SEARCH("Paladin",$T406,1),0)&gt;0,IFERROR(SEARCH(PaladinOath,$T406,1),0)&gt;0),1,0)*IF($C406=DW$2,1,0)=1,1+COUNTIF(DW$3:DW405,"&gt;0"),0)</f>
        <v>0</v>
      </c>
      <c r="DY406">
        <f t="shared" si="338"/>
        <v>1</v>
      </c>
      <c r="DZ406">
        <f>IF(DY406=0,0,1+MAX(DZ$3:$DZ405))</f>
        <v>404</v>
      </c>
      <c r="EB406">
        <f t="shared" si="352"/>
        <v>0</v>
      </c>
      <c r="EC406">
        <f>IF(EB406=0,0,1+COUNTIF(EC$3:EC405,"&gt;0"))</f>
        <v>0</v>
      </c>
      <c r="ED406" t="str">
        <f t="shared" si="380"/>
        <v/>
      </c>
      <c r="EE406" t="str">
        <f t="shared" si="353"/>
        <v/>
      </c>
      <c r="EG406">
        <f t="shared" si="354"/>
        <v>0</v>
      </c>
      <c r="EH406">
        <f>IF(EG406=0,0,1+COUNTIF(EH$3:EH405,"&gt;0"))</f>
        <v>0</v>
      </c>
      <c r="EI406" t="str">
        <f t="shared" si="381"/>
        <v/>
      </c>
      <c r="EJ406" t="str">
        <f t="shared" si="355"/>
        <v/>
      </c>
      <c r="EL406">
        <f t="shared" si="356"/>
        <v>0</v>
      </c>
      <c r="EM406">
        <f>IF(EL406=0,0,1+COUNTIF(EM$3:EM405,"&gt;0"))</f>
        <v>0</v>
      </c>
      <c r="EN406" t="str">
        <f t="shared" si="382"/>
        <v/>
      </c>
      <c r="EO406" t="str">
        <f t="shared" si="357"/>
        <v/>
      </c>
      <c r="EQ406">
        <f t="shared" si="358"/>
        <v>0</v>
      </c>
      <c r="ER406">
        <f>IF(EQ406=0,0,1+COUNTIF(ER$3:ER405,"&gt;0"))</f>
        <v>0</v>
      </c>
      <c r="ES406" t="str">
        <f t="shared" si="383"/>
        <v/>
      </c>
      <c r="ET406" t="str">
        <f t="shared" si="359"/>
        <v/>
      </c>
      <c r="EV406">
        <f t="shared" si="360"/>
        <v>0</v>
      </c>
      <c r="EW406">
        <f>IF(EV406=0,0,1+COUNTIF(EW$3:EW405,"&gt;0"))</f>
        <v>0</v>
      </c>
      <c r="EX406" t="str">
        <f t="shared" si="384"/>
        <v/>
      </c>
      <c r="EY406" t="str">
        <f t="shared" si="361"/>
        <v/>
      </c>
      <c r="FA406">
        <f t="shared" si="362"/>
        <v>0</v>
      </c>
      <c r="FB406">
        <f>IF(FA406=0,0,1+COUNTIF(FB$3:FB405,"&gt;0"))</f>
        <v>0</v>
      </c>
      <c r="FC406" t="str">
        <f t="shared" si="385"/>
        <v/>
      </c>
      <c r="FD406" t="str">
        <f t="shared" si="363"/>
        <v/>
      </c>
      <c r="FF406">
        <f t="shared" si="364"/>
        <v>0</v>
      </c>
      <c r="FG406">
        <f>IF(FF406=0,0,1+COUNTIF(FG$3:FG405,"&gt;0"))</f>
        <v>0</v>
      </c>
      <c r="FH406" t="str">
        <f t="shared" si="386"/>
        <v/>
      </c>
      <c r="FI406" t="str">
        <f t="shared" si="365"/>
        <v/>
      </c>
      <c r="FK406">
        <f t="shared" si="366"/>
        <v>0</v>
      </c>
      <c r="FL406">
        <f>IF(FK406=0,0,1+COUNTIF(FL$3:FL405,"&gt;0"))</f>
        <v>0</v>
      </c>
      <c r="FM406" t="str">
        <f t="shared" si="387"/>
        <v/>
      </c>
      <c r="FN406" t="str">
        <f t="shared" si="367"/>
        <v/>
      </c>
      <c r="FP406">
        <f t="shared" si="368"/>
        <v>0</v>
      </c>
      <c r="FQ406">
        <f>IF(FP406=0,0,1+COUNTIF(FQ$3:FQ405,"&gt;0"))</f>
        <v>0</v>
      </c>
      <c r="FR406" t="str">
        <f t="shared" si="388"/>
        <v/>
      </c>
      <c r="FS406" t="str">
        <f t="shared" si="369"/>
        <v/>
      </c>
    </row>
    <row r="407" spans="1:175" x14ac:dyDescent="0.25">
      <c r="A407" s="347">
        <f t="shared" si="390"/>
        <v>405</v>
      </c>
      <c r="B407" s="398" t="s">
        <v>5582</v>
      </c>
      <c r="C407" s="348">
        <v>7</v>
      </c>
      <c r="D407" s="347">
        <v>7</v>
      </c>
      <c r="E407" s="627" t="s">
        <v>6957</v>
      </c>
      <c r="F407" s="346"/>
      <c r="G407" s="347" t="str">
        <f>""</f>
        <v/>
      </c>
      <c r="H407" s="347" t="s">
        <v>5912</v>
      </c>
      <c r="I407" s="347" t="s">
        <v>5334</v>
      </c>
      <c r="J407" s="347" t="str">
        <f t="shared" si="339"/>
        <v/>
      </c>
      <c r="K407" s="347" t="s">
        <v>5291</v>
      </c>
      <c r="L407" s="611" t="str">
        <f t="shared" si="340"/>
        <v>V, M, a piece of straw</v>
      </c>
      <c r="M407" s="347" t="s">
        <v>2373</v>
      </c>
      <c r="N407" s="347" t="s">
        <v>3034</v>
      </c>
      <c r="O407" s="347" t="s">
        <v>1244</v>
      </c>
      <c r="P407" s="346" t="s">
        <v>5583</v>
      </c>
      <c r="Q407" s="347" t="s">
        <v>5273</v>
      </c>
      <c r="S407" s="346" t="s">
        <v>5908</v>
      </c>
      <c r="T407" s="346" t="str">
        <f t="shared" si="341"/>
        <v xml:space="preserve">Druid, Eldritch Knight, Wizard, </v>
      </c>
      <c r="AA407" s="347" t="str">
        <f>$B407</f>
        <v>Whirlwind</v>
      </c>
      <c r="AB407" s="542" t="str">
        <f>AD407</f>
        <v>Whirlwind</v>
      </c>
      <c r="AD407" s="347" t="str">
        <f>$B407</f>
        <v>Whirlwind</v>
      </c>
      <c r="AE407" t="str">
        <f>IF(IFERROR(MATCH($B407,temp!A$4:A$13,0),0)&gt;0,T08_Spells!AE$2,"")</f>
        <v/>
      </c>
      <c r="AF407" t="str">
        <f>IF(IFERROR(MATCH($B407,temp!B$4:B$13,0),0)&gt;0,T08_Spells!AF$2,"")</f>
        <v/>
      </c>
      <c r="AG407" t="str">
        <f>IF(IFERROR(MATCH($B407,temp!C$4:C$13,0),0)&gt;0,T08_Spells!AG$2,"")</f>
        <v/>
      </c>
      <c r="AH407" t="str">
        <f>IF(IFERROR(MATCH($B407,temp!D$4:D$13,0),0)&gt;0,T08_Spells!AH$2,"")</f>
        <v/>
      </c>
      <c r="AI407" t="str">
        <f>IF(IFERROR(MATCH($B407,temp!E$4:E$13,0),0)&gt;0,T08_Spells!AI$2,"")</f>
        <v/>
      </c>
      <c r="AJ407" t="str">
        <f>IF(IFERROR(MATCH($B407,temp!F$4:F$13,0),0)&gt;0,T08_Spells!AJ$2,"")</f>
        <v/>
      </c>
      <c r="AK407" t="str">
        <f>IF(IFERROR(MATCH($B407,temp!G$4:G$13,0),0)&gt;0,T08_Spells!AK$2,"")</f>
        <v/>
      </c>
      <c r="AL407" t="str">
        <f>IF(IFERROR(MATCH($B407,temp!H$4:H$13,0),0)&gt;0,T08_Spells!AL$2,"")</f>
        <v/>
      </c>
      <c r="AM407" t="str">
        <f>IF(IFERROR(MATCH($B407,temp!I$4:I$13,0),0)&gt;0,T08_Spells!AM$2,"")</f>
        <v/>
      </c>
      <c r="AN407" t="str">
        <f>IF(IFERROR(MATCH($B407,temp!J$4:J$13,0),0)&gt;0,T08_Spells!AN$2,"")</f>
        <v/>
      </c>
      <c r="AO407" t="str">
        <f>IF(IFERROR(MATCH($B407,temp!K$4:K$13,0),0)&gt;0,T08_Spells!AO$2,"")</f>
        <v/>
      </c>
      <c r="AP407" t="str">
        <f>IF(IFERROR(MATCH($B407,temp!L$4:L$13,0),0)&gt;0,T08_Spells!AP$2,"")</f>
        <v/>
      </c>
      <c r="AQ407" t="str">
        <f>IF(IFERROR(MATCH($B407,temp!M$4:M$13,0),0)&gt;0,T08_Spells!AQ$2,"")</f>
        <v/>
      </c>
      <c r="AR407" t="str">
        <f>IF(IFERROR(MATCH($B407,temp!N$4:N$13,0),0)&gt;0,T08_Spells!AR$2,"")</f>
        <v/>
      </c>
      <c r="AS407" t="str">
        <f>IF(IFERROR(MATCH($B407,temp!O$4:O$13,0),0)&gt;0,T08_Spells!AS$2,"")</f>
        <v/>
      </c>
      <c r="AT407" t="str">
        <f>IF(IFERROR(MATCH($B407,temp!P$4:P$13,0),0)&gt;0,T08_Spells!AT$2,"")</f>
        <v/>
      </c>
      <c r="AU407" t="str">
        <f>IF(IFERROR(MATCH($B407,temp!Q$4:Q$13,0),0)&gt;0,T08_Spells!AU$2,"")</f>
        <v/>
      </c>
      <c r="AV407" t="str">
        <f>IF(IFERROR(MATCH($B407,temp!R$4:R$13,0),0)&gt;0,T08_Spells!AV$2,"")</f>
        <v/>
      </c>
      <c r="AW407" t="str">
        <f>IF(IFERROR(MATCH($B407,temp!S$4:S$13,0),0)&gt;0,T08_Spells!AW$2,"")</f>
        <v/>
      </c>
      <c r="AX407" t="str">
        <f>IF(IFERROR(MATCH($B407,temp!T$4:T$13,0),0)&gt;0,T08_Spells!AX$2,"")</f>
        <v/>
      </c>
      <c r="AY407" t="str">
        <f>IF(IFERROR(MATCH($B407,temp!U$4:U$13,0),0)&gt;0,T08_Spells!AY$2,"")</f>
        <v/>
      </c>
      <c r="AZ407" t="str">
        <f>IF(IFERROR(MATCH($B407,temp!V$4:V$13,0),0)&gt;0,T08_Spells!AZ$2,"")</f>
        <v/>
      </c>
      <c r="BA407" t="str">
        <f>IF(IFERROR(MATCH($B407,temp!W$4:W$13,0),0)&gt;0,T08_Spells!BA$2,"")</f>
        <v/>
      </c>
      <c r="BC407">
        <f>IF(IFERROR(SEARCH("Ranger",$T407,1),0)&gt;0,1,0)*IF(RangerMaxSpellLevel&gt;=$C407,1,0)*IF(IFERROR(MATCH(B407,Character_Creation!$X$79:$X$382,0),0)&gt;0,0,1)</f>
        <v>0</v>
      </c>
      <c r="BD407">
        <f>IF(BC407=0,0,1+COUNTIF(BD$3:BD406,"&gt;0"))</f>
        <v>0</v>
      </c>
      <c r="BE407" t="str">
        <f t="shared" si="370"/>
        <v/>
      </c>
      <c r="BF407" t="str">
        <f t="shared" si="342"/>
        <v/>
      </c>
      <c r="BH407">
        <f>IF(IFERROR(SEARCH("Sorcerer",$T407,1),0)&gt;0,1,0)*IF(SorcererMaxSpellLevel&gt;=$C407,1,0)*IF(IFERROR(MATCH(B407,Character_Creation!$J$380:$J$394,0),0)&gt;0,0,1)</f>
        <v>0</v>
      </c>
      <c r="BI407">
        <f>IF(BH407=0,0,1+COUNTIF(BI$3:BI406,"&gt;0"))</f>
        <v>0</v>
      </c>
      <c r="BJ407" t="str">
        <f t="shared" si="371"/>
        <v/>
      </c>
      <c r="BK407" t="str">
        <f t="shared" si="343"/>
        <v/>
      </c>
      <c r="BM407">
        <f>IF(OR(IFERROR(SEARCH("Warlock",$T407,1),0)&gt;0,IFERROR(SEARCH(WarlockPatron,$T407,1),0)&gt;0),1,0)*IF(WarlockMaxSpellLevel&gt;=$C407,1,0)*IF(IFERROR(MATCH(B407,Character_Creation!$J$361:$J$375,0),0)&gt;0,0,1)</f>
        <v>0</v>
      </c>
      <c r="BN407">
        <f>IF(BM407=0,0,1+COUNTIF(BN$3:BN406,"&gt;0"))</f>
        <v>0</v>
      </c>
      <c r="BO407" t="str">
        <f t="shared" si="372"/>
        <v/>
      </c>
      <c r="BP407" t="str">
        <f t="shared" si="344"/>
        <v/>
      </c>
      <c r="BR407">
        <f>IF(IFERROR(SEARCH("Eldritch Knight",$T407,1),0)&gt;0,1,0)*IF(EldritchKnightMaxSpellLevel&gt;=$C407,1,0)*IF(IFERROR(MATCH($B407,Character_Creation!$J$350:$J$356,0),0)&gt;0,0,1)*IF(Character_Creation!$M$338&gt;0,1,0)</f>
        <v>0</v>
      </c>
      <c r="BS407">
        <f>IF(BR407=0,0,1+COUNTIF(BS$3:BS406,"&gt;0"))</f>
        <v>0</v>
      </c>
      <c r="BT407" t="str">
        <f t="shared" si="373"/>
        <v/>
      </c>
      <c r="BU407" t="str">
        <f t="shared" si="345"/>
        <v/>
      </c>
      <c r="BW407">
        <f>IF(IFERROR(SEARCH("Arcane Trickster",$T407,1),0)&gt;0,1,0)*IF(ArcaneTricksterMaxSpellLevel&gt;=$C407,1,0)*IF(IFERROR(MATCH($B407,Character_Creation!$J$350:$J$356,0),0)&gt;0,0,1)*IF(Character_Creation!$T$338&gt;0,1,0)</f>
        <v>0</v>
      </c>
      <c r="BX407">
        <f>IF(BW407=0,0,1+COUNTIF(BX$3:BX406,"&gt;0"))</f>
        <v>0</v>
      </c>
      <c r="BY407" t="str">
        <f t="shared" si="374"/>
        <v/>
      </c>
      <c r="BZ407" t="str">
        <f t="shared" si="346"/>
        <v/>
      </c>
      <c r="CB407">
        <f>IF(IFERROR(SEARCH("Wizard",$T407,1),0)&gt;0,1,0)*IF(C407&lt;=ArcaneTricksterMaxSpellLevel,1,0)*IF(IFERROR(MATCH($B407,Character_Creation!$J$350:$J$356,0),0)&gt;0,0,1)*IF(Character_Creation!$T$350&gt;0,1,0)</f>
        <v>0</v>
      </c>
      <c r="CC407">
        <f>IF(CB407=0,0,1+COUNTIF(CC$3:CC406,"&gt;0"))</f>
        <v>0</v>
      </c>
      <c r="CD407" t="str">
        <f t="shared" si="375"/>
        <v/>
      </c>
      <c r="CE407" t="str">
        <f t="shared" si="347"/>
        <v/>
      </c>
      <c r="CG407">
        <f>IF(IFERROR(SEARCH("Wizard",$T407,1),0)&gt;0,1,0)*IF($C407&lt;=EldritchKnightMaxSpellLevel,1,0)*IF(IFERROR(MATCH($B407,Character_Creation!$J$350:$J$356,0),0)&gt;0,0,1)*IF(Character_Creation!$M$350&gt;0,1,0)</f>
        <v>0</v>
      </c>
      <c r="CH407">
        <f>IF(CG407=0,0,1+COUNTIF(CH$3:CH406,"&gt;0"))</f>
        <v>0</v>
      </c>
      <c r="CI407" t="str">
        <f t="shared" si="376"/>
        <v/>
      </c>
      <c r="CJ407" t="str">
        <f t="shared" si="348"/>
        <v/>
      </c>
      <c r="CL407">
        <f>IF(IFERROR(SEARCH("Bard",$T407,1),0)&gt;0,1,0)*IF(BardMaxSpellLevel&gt;=$C407,1,0)*IF(IFERROR(MATCH(B407,Character_Creation!$C$341:$F$362,0),0)&gt;0,0,1)*IF(IFERROR(MATCH($B407,Character_Creation!$C$341:$C$362,0),0)&gt;0,0,1)</f>
        <v>0</v>
      </c>
      <c r="CM407">
        <f>IF(CL407=0,0,1+COUNTIF(CM$3:CM406,"&gt;0"))</f>
        <v>0</v>
      </c>
      <c r="CN407" t="str">
        <f t="shared" si="377"/>
        <v/>
      </c>
      <c r="CO407" t="str">
        <f t="shared" si="349"/>
        <v/>
      </c>
      <c r="CQ407">
        <f>IF(IFERROR(SEARCH("Wizard",$T407,1),0)&gt;0,1,0)*IF(WizardMaxSpellLevel&gt;=$C407,1,0)*IF(IFERROR(MATCH(B407,Character_Creation!$X$341:$X$400,0),0)&gt;0,0,1)*IF(SelectedWizardSpellLevel=$C407,1,0)</f>
        <v>0</v>
      </c>
      <c r="CR407">
        <f>IF(CQ407=0,0,1+COUNTIF(CR$3:CR406,"&gt;0"))</f>
        <v>0</v>
      </c>
      <c r="CS407" t="str">
        <f t="shared" si="378"/>
        <v/>
      </c>
      <c r="CT407" t="str">
        <f t="shared" si="350"/>
        <v/>
      </c>
      <c r="CV407">
        <f>IF(IFERROR(MATCH($B407,Character_Creation!$C$341:$C$362,0),0)&gt;0,0,1)*IF(OR(C407="Cantrip",C407&lt;=BardMaxSpellLevel),1,0)*IF(IFERROR(MATCH($B407,Character_Creation!$C$367:$C$374,0),0)&gt;0,0,1)</f>
        <v>0</v>
      </c>
      <c r="CW407">
        <f>IF(CV407=0,0,1+COUNTIF(CW$3:CW406,"&gt;0"))</f>
        <v>0</v>
      </c>
      <c r="CX407" t="str">
        <f t="shared" si="379"/>
        <v/>
      </c>
      <c r="CY407" t="str">
        <f t="shared" si="351"/>
        <v/>
      </c>
      <c r="DA407">
        <f>IF(IF(OR(IFERROR(SEARCH("Cleric",$T407,1),0)&gt;0,IFERROR(SEARCH(DivineDomain&amp;",",$T407,1),0)&gt;0),1,0)*IF($C407=DA$2,1,0)=1,1+COUNTIF(DA$3:DA406,"&gt;0"),0)</f>
        <v>0</v>
      </c>
      <c r="DB407">
        <f>IF(IF(OR(IFERROR(SEARCH("Cleric",$T407,1),0)&gt;0,IFERROR(SEARCH(DivineDomain&amp;",",$T407,1),0)&gt;0),1,0)*IF($C407=DB$2,1,0)=1,1+COUNTIF(DB$3:DB406,"&gt;0"),0)</f>
        <v>0</v>
      </c>
      <c r="DC407">
        <f>IF(IF(OR(IFERROR(SEARCH("Cleric",$T407,1),0)&gt;0,IFERROR(SEARCH(DivineDomain&amp;",",$T407,1),0)&gt;0),1,0)*IF($C407=DC$2,1,0)=1,1+COUNTIF(DC$3:DC406,"&gt;0"),0)</f>
        <v>0</v>
      </c>
      <c r="DD407">
        <f>IF(IF(OR(IFERROR(SEARCH("Cleric",$T407,1),0)&gt;0,IFERROR(SEARCH(DivineDomain&amp;",",$T407,1),0)&gt;0),1,0)*IF($C407=DD$2,1,0)=1,1+COUNTIF(DD$3:DD406,"&gt;0"),0)</f>
        <v>0</v>
      </c>
      <c r="DE407">
        <f>IF(IF(OR(IFERROR(SEARCH("Cleric",$T407,1),0)&gt;0,IFERROR(SEARCH(DivineDomain&amp;",",$T407,1),0)&gt;0),1,0)*IF($C407=DE$2,1,0)=1,1+COUNTIF(DE$3:DE406,"&gt;0"),0)</f>
        <v>0</v>
      </c>
      <c r="DF407">
        <f>IF(IF(OR(IFERROR(SEARCH("Cleric",$T407,1),0)&gt;0,IFERROR(SEARCH(DivineDomain&amp;",",$T407,1),0)&gt;0),1,0)*IF($C407=DF$2,1,0)=1,1+COUNTIF(DF$3:DF406,"&gt;0"),0)</f>
        <v>0</v>
      </c>
      <c r="DG407">
        <f>IF(IF(OR(IFERROR(SEARCH("Cleric",$T407,1),0)&gt;0,IFERROR(SEARCH(DivineDomain&amp;",",$T407,1),0)&gt;0),1,0)*IF($C407=DG$2,1,0)=1,1+COUNTIF(DG$3:DG406,"&gt;0"),0)</f>
        <v>0</v>
      </c>
      <c r="DH407">
        <f>IF(IF(OR(IFERROR(SEARCH("Cleric",$T407,1),0)&gt;0,IFERROR(SEARCH(DivineDomain&amp;",",$T407,1),0)&gt;0),1,0)*IF($C407=DH$2,1,0)=1,1+COUNTIF(DH$3:DH406,"&gt;0"),0)</f>
        <v>0</v>
      </c>
      <c r="DI407">
        <f>IF(IF(OR(IFERROR(SEARCH("Cleric",$T407,1),0)&gt;0,IFERROR(SEARCH(DivineDomain&amp;",",$T407,1),0)&gt;0),1,0)*IF($C407=DI$2,1,0)=1,1+COUNTIF(DI$3:DI406,"&gt;0"),0)</f>
        <v>0</v>
      </c>
      <c r="DJ407">
        <f>IF(IF(OR(IFERROR(SEARCH("Druid",$T407,1),0)&gt;0,IFERROR(SEARCH(DruidLand1,$T407,1),0)&gt;0,IFERROR(SEARCH(DruidLand2,$T407,1),0)&gt;0,IFERROR(SEARCH(DruidLand3,$T407,1),0)&gt;0,IFERROR(SEARCH(DruidLand4,$T407,1),0)&gt;0),1,0)*IF($C407=1,1,0)*IF($C407=DJ$2,1,0)=0,0,1+COUNTIF(DJ$3:DJ406,"&gt;0"))</f>
        <v>0</v>
      </c>
      <c r="DK407">
        <f>IF(IF(OR(IFERROR(SEARCH("Druid",$T407,1),0)&gt;0,IFERROR(SEARCH(DruidLand1,$T407,1),0)&gt;0,IFERROR(SEARCH(DruidLand2,$T407,1),0)&gt;0,IFERROR(SEARCH(DruidLand3,$T407,1),0)&gt;0,IFERROR(SEARCH(DruidLand4,$T407,1),0)&gt;0),1,0)*IF($C407=DK$2,1,0)=0,0,1+COUNTIF(DK$3:DK406,"&gt;0"))</f>
        <v>0</v>
      </c>
      <c r="DL407">
        <f>IF(IF(OR(IFERROR(SEARCH("Druid",$T407,1),0)&gt;0,IFERROR(SEARCH(DruidLand1,$T407,1),0)&gt;0,IFERROR(SEARCH(DruidLand2,$T407,1),0)&gt;0,IFERROR(SEARCH(DruidLand3,$T407,1),0)&gt;0,IFERROR(SEARCH(DruidLand4,$T407,1),0)&gt;0),1,0)*IF($C407=DL$2,1,0)=0,0,1+COUNTIF(DL$3:DL406,"&gt;0"))</f>
        <v>0</v>
      </c>
      <c r="DM407">
        <f>IF(IF(OR(IFERROR(SEARCH("Druid",$T407,1),0)&gt;0,IFERROR(SEARCH(DruidLand1,$T407,1),0)&gt;0,IFERROR(SEARCH(DruidLand2,$T407,1),0)&gt;0,IFERROR(SEARCH(DruidLand3,$T407,1),0)&gt;0,IFERROR(SEARCH(DruidLand4,$T407,1),0)&gt;0),1,0)*IF($C407=DM$2,1,0)=0,0,1+COUNTIF(DM$3:DM406,"&gt;0"))</f>
        <v>0</v>
      </c>
      <c r="DN407">
        <f>IF(IF(OR(IFERROR(SEARCH("Druid",$T407,1),0)&gt;0,IFERROR(SEARCH(DruidLand1,$T407,1),0)&gt;0,IFERROR(SEARCH(DruidLand2,$T407,1),0)&gt;0,IFERROR(SEARCH(DruidLand3,$T407,1),0)&gt;0,IFERROR(SEARCH(DruidLand4,$T407,1),0)&gt;0),1,0)*IF($C407=DN$2,1,0)=0,0,1+COUNTIF(DN$3:DN406,"&gt;0"))</f>
        <v>0</v>
      </c>
      <c r="DO407">
        <f>IF(IF(OR(IFERROR(SEARCH("Druid",$T407,1),0)&gt;0,IFERROR(SEARCH(DruidLand1,$T407,1),0)&gt;0,IFERROR(SEARCH(DruidLand2,$T407,1),0)&gt;0,IFERROR(SEARCH(DruidLand3,$T407,1),0)&gt;0,IFERROR(SEARCH(DruidLand4,$T407,1),0)&gt;0),1,0)*IF($C407=DO$2,1,0)=0,0,1+COUNTIF(DO$3:DO406,"&gt;0"))</f>
        <v>0</v>
      </c>
      <c r="DP407">
        <f>IF(IF(OR(IFERROR(SEARCH("Druid",$T407,1),0)&gt;0,IFERROR(SEARCH(DruidLand1,$T407,1),0)&gt;0,IFERROR(SEARCH(DruidLand2,$T407,1),0)&gt;0,IFERROR(SEARCH(DruidLand3,$T407,1),0)&gt;0,IFERROR(SEARCH(DruidLand4,$T407,1),0)&gt;0),1,0)*IF($C407=DP$2,1,0)=0,0,1+COUNTIF(DP$3:DP406,"&gt;0"))</f>
        <v>6</v>
      </c>
      <c r="DQ407">
        <f>IF(IF(OR(IFERROR(SEARCH("Druid",$T407,1),0)&gt;0,IFERROR(SEARCH(DruidLand1,$T407,1),0)&gt;0,IFERROR(SEARCH(DruidLand2,$T407,1),0)&gt;0,IFERROR(SEARCH(DruidLand3,$T407,1),0)&gt;0,IFERROR(SEARCH(DruidLand4,$T407,1),0)&gt;0),1,0)*IF($C407=DQ$2,1,0)=0,0,1+COUNTIF(DQ$3:DQ406,"&gt;0"))</f>
        <v>0</v>
      </c>
      <c r="DR407">
        <f>IF(IF(OR(IFERROR(SEARCH("Druid",$T407,1),0)&gt;0,IFERROR(SEARCH(DruidLand1,$T407,1),0)&gt;0,IFERROR(SEARCH(DruidLand2,$T407,1),0)&gt;0,IFERROR(SEARCH(DruidLand3,$T407,1),0)&gt;0,IFERROR(SEARCH(DruidLand4,$T407,1),0)&gt;0),1,0)*IF($C407=DR$2,1,0)=0,0,1+COUNTIF(DR$3:DR406,"&gt;0"))</f>
        <v>0</v>
      </c>
      <c r="DS407">
        <f>IF(IF(OR(IFERROR(SEARCH("Paladin",$T407,1),0)&gt;0,IFERROR(SEARCH(PaladinOath,$T407,1),0)&gt;0),1,0)*IF($C407=DS$2,1,0)=1,1+COUNTIF(DS$3:DS406,"&gt;0"),0)</f>
        <v>0</v>
      </c>
      <c r="DT407">
        <f>IF(IF(OR(IFERROR(SEARCH("Paladin",$T407,1),0)&gt;0,IFERROR(SEARCH(PaladinOath,$T407,1),0)&gt;0),1,0)*IF($C407=DT$2,1,0)=1,1+COUNTIF(DT$3:DT406,"&gt;0"),0)</f>
        <v>0</v>
      </c>
      <c r="DU407">
        <f>IF(IF(OR(IFERROR(SEARCH("Paladin",$T407,1),0)&gt;0,IFERROR(SEARCH(PaladinOath,$T407,1),0)&gt;0),1,0)*IF($C407=DU$2,1,0)=1,1+COUNTIF(DU$3:DU406,"&gt;0"),0)</f>
        <v>0</v>
      </c>
      <c r="DV407">
        <f>IF(IF(OR(IFERROR(SEARCH("Paladin",$T407,1),0)&gt;0,IFERROR(SEARCH(PaladinOath,$T407,1),0)&gt;0),1,0)*IF($C407=DV$2,1,0)=1,1+COUNTIF(DV$3:DV406,"&gt;0"),0)</f>
        <v>0</v>
      </c>
      <c r="DW407">
        <f>IF(IF(OR(IFERROR(SEARCH("Paladin",$T407,1),0)&gt;0,IFERROR(SEARCH(PaladinOath,$T407,1),0)&gt;0),1,0)*IF($C407=DW$2,1,0)=1,1+COUNTIF(DW$3:DW406,"&gt;0"),0)</f>
        <v>0</v>
      </c>
      <c r="DY407">
        <f t="shared" si="338"/>
        <v>1</v>
      </c>
      <c r="DZ407">
        <f>IF(DY407=0,0,1+MAX(DZ$3:$DZ406))</f>
        <v>405</v>
      </c>
      <c r="EB407">
        <f t="shared" si="352"/>
        <v>0</v>
      </c>
      <c r="EC407">
        <f>IF(EB407=0,0,1+COUNTIF(EC$3:EC406,"&gt;0"))</f>
        <v>0</v>
      </c>
      <c r="ED407" t="str">
        <f t="shared" si="380"/>
        <v/>
      </c>
      <c r="EE407" t="str">
        <f t="shared" si="353"/>
        <v/>
      </c>
      <c r="EG407">
        <f t="shared" si="354"/>
        <v>0</v>
      </c>
      <c r="EH407">
        <f>IF(EG407=0,0,1+COUNTIF(EH$3:EH406,"&gt;0"))</f>
        <v>0</v>
      </c>
      <c r="EI407" t="str">
        <f t="shared" si="381"/>
        <v/>
      </c>
      <c r="EJ407" t="str">
        <f t="shared" si="355"/>
        <v/>
      </c>
      <c r="EL407">
        <f t="shared" si="356"/>
        <v>0</v>
      </c>
      <c r="EM407">
        <f>IF(EL407=0,0,1+COUNTIF(EM$3:EM406,"&gt;0"))</f>
        <v>0</v>
      </c>
      <c r="EN407" t="str">
        <f t="shared" si="382"/>
        <v/>
      </c>
      <c r="EO407" t="str">
        <f t="shared" si="357"/>
        <v/>
      </c>
      <c r="EQ407">
        <f t="shared" si="358"/>
        <v>0</v>
      </c>
      <c r="ER407">
        <f>IF(EQ407=0,0,1+COUNTIF(ER$3:ER406,"&gt;0"))</f>
        <v>0</v>
      </c>
      <c r="ES407" t="str">
        <f t="shared" si="383"/>
        <v/>
      </c>
      <c r="ET407" t="str">
        <f t="shared" si="359"/>
        <v/>
      </c>
      <c r="EV407">
        <f t="shared" si="360"/>
        <v>0</v>
      </c>
      <c r="EW407">
        <f>IF(EV407=0,0,1+COUNTIF(EW$3:EW406,"&gt;0"))</f>
        <v>0</v>
      </c>
      <c r="EX407" t="str">
        <f t="shared" si="384"/>
        <v/>
      </c>
      <c r="EY407" t="str">
        <f t="shared" si="361"/>
        <v/>
      </c>
      <c r="FA407">
        <f t="shared" si="362"/>
        <v>0</v>
      </c>
      <c r="FB407">
        <f>IF(FA407=0,0,1+COUNTIF(FB$3:FB406,"&gt;0"))</f>
        <v>0</v>
      </c>
      <c r="FC407" t="str">
        <f t="shared" si="385"/>
        <v/>
      </c>
      <c r="FD407" t="str">
        <f t="shared" si="363"/>
        <v/>
      </c>
      <c r="FF407">
        <f t="shared" si="364"/>
        <v>0</v>
      </c>
      <c r="FG407">
        <f>IF(FF407=0,0,1+COUNTIF(FG$3:FG406,"&gt;0"))</f>
        <v>0</v>
      </c>
      <c r="FH407" t="str">
        <f t="shared" si="386"/>
        <v/>
      </c>
      <c r="FI407" t="str">
        <f t="shared" si="365"/>
        <v/>
      </c>
      <c r="FK407">
        <f t="shared" si="366"/>
        <v>0</v>
      </c>
      <c r="FL407">
        <f>IF(FK407=0,0,1+COUNTIF(FL$3:FL406,"&gt;0"))</f>
        <v>0</v>
      </c>
      <c r="FM407" t="str">
        <f t="shared" si="387"/>
        <v/>
      </c>
      <c r="FN407" t="str">
        <f t="shared" si="367"/>
        <v/>
      </c>
      <c r="FP407">
        <f t="shared" si="368"/>
        <v>0</v>
      </c>
      <c r="FQ407">
        <f>IF(FP407=0,0,1+COUNTIF(FQ$3:FQ406,"&gt;0"))</f>
        <v>0</v>
      </c>
      <c r="FR407" t="str">
        <f t="shared" si="388"/>
        <v/>
      </c>
      <c r="FS407" t="str">
        <f t="shared" si="369"/>
        <v/>
      </c>
    </row>
    <row r="408" spans="1:175" x14ac:dyDescent="0.25">
      <c r="AE408">
        <f t="shared" ref="AE408:BA408" si="391">COUNTA(AE3:AE407)-COUNTIF(AE3:AE407,"")</f>
        <v>10</v>
      </c>
      <c r="AF408">
        <f t="shared" si="391"/>
        <v>10</v>
      </c>
      <c r="AG408">
        <f t="shared" si="391"/>
        <v>10</v>
      </c>
      <c r="AH408">
        <f t="shared" si="391"/>
        <v>10</v>
      </c>
      <c r="AI408">
        <f t="shared" si="391"/>
        <v>10</v>
      </c>
      <c r="AJ408">
        <f t="shared" si="391"/>
        <v>10</v>
      </c>
      <c r="AK408">
        <f t="shared" si="391"/>
        <v>10</v>
      </c>
      <c r="AL408">
        <f t="shared" si="391"/>
        <v>8</v>
      </c>
      <c r="AM408">
        <f t="shared" si="391"/>
        <v>8</v>
      </c>
      <c r="AN408">
        <f t="shared" si="391"/>
        <v>8</v>
      </c>
      <c r="AO408">
        <f t="shared" si="391"/>
        <v>8</v>
      </c>
      <c r="AP408">
        <f t="shared" si="391"/>
        <v>8</v>
      </c>
      <c r="AQ408">
        <f t="shared" si="391"/>
        <v>8</v>
      </c>
      <c r="AR408">
        <f t="shared" si="391"/>
        <v>8</v>
      </c>
      <c r="AS408">
        <f t="shared" si="391"/>
        <v>8</v>
      </c>
      <c r="AT408">
        <f t="shared" si="391"/>
        <v>10</v>
      </c>
      <c r="AU408">
        <f t="shared" si="391"/>
        <v>10</v>
      </c>
      <c r="AV408">
        <f t="shared" si="391"/>
        <v>10</v>
      </c>
      <c r="AW408">
        <f t="shared" si="391"/>
        <v>10</v>
      </c>
      <c r="AX408">
        <f t="shared" si="391"/>
        <v>10</v>
      </c>
      <c r="AY408">
        <f t="shared" si="391"/>
        <v>10</v>
      </c>
      <c r="AZ408">
        <f t="shared" si="391"/>
        <v>10</v>
      </c>
      <c r="BA408">
        <f t="shared" si="391"/>
        <v>10</v>
      </c>
    </row>
  </sheetData>
  <autoFilter ref="A1:AD408" xr:uid="{00000000-0009-0000-0000-000020000000}"/>
  <mergeCells count="57">
    <mergeCell ref="DS1:DW1"/>
    <mergeCell ref="CQ1:CT2"/>
    <mergeCell ref="DY1:DZ2"/>
    <mergeCell ref="EB1:EE2"/>
    <mergeCell ref="EG1:EJ2"/>
    <mergeCell ref="DA1:DI1"/>
    <mergeCell ref="DJ1:DR1"/>
    <mergeCell ref="CV1:CY2"/>
    <mergeCell ref="EL1:EO2"/>
    <mergeCell ref="EQ1:ET2"/>
    <mergeCell ref="EV1:EY2"/>
    <mergeCell ref="FA1:FD2"/>
    <mergeCell ref="FF1:FI2"/>
    <mergeCell ref="FK1:FN2"/>
    <mergeCell ref="FP1:FS2"/>
    <mergeCell ref="Q1:Q2"/>
    <mergeCell ref="H1:H2"/>
    <mergeCell ref="I1:I2"/>
    <mergeCell ref="J1:J2"/>
    <mergeCell ref="Y1:Y2"/>
    <mergeCell ref="BM1:BP2"/>
    <mergeCell ref="BR1:BU2"/>
    <mergeCell ref="BW1:BZ2"/>
    <mergeCell ref="AE1:AH1"/>
    <mergeCell ref="AI1:AK1"/>
    <mergeCell ref="K1:K2"/>
    <mergeCell ref="M1:M2"/>
    <mergeCell ref="N1:N2"/>
    <mergeCell ref="T1:T2"/>
    <mergeCell ref="V1:V2"/>
    <mergeCell ref="U1:U2"/>
    <mergeCell ref="S1:S2"/>
    <mergeCell ref="X1:X2"/>
    <mergeCell ref="A1:A2"/>
    <mergeCell ref="B1:B2"/>
    <mergeCell ref="C1:C2"/>
    <mergeCell ref="D1:D2"/>
    <mergeCell ref="F1:F2"/>
    <mergeCell ref="G1:G2"/>
    <mergeCell ref="O1:O2"/>
    <mergeCell ref="P1:P2"/>
    <mergeCell ref="W1:W2"/>
    <mergeCell ref="L1:L2"/>
    <mergeCell ref="R1:R2"/>
    <mergeCell ref="E1:E2"/>
    <mergeCell ref="AL1:AS1"/>
    <mergeCell ref="CL1:CO2"/>
    <mergeCell ref="BH1:BK2"/>
    <mergeCell ref="AT1:BA1"/>
    <mergeCell ref="BC1:BF2"/>
    <mergeCell ref="CB1:CE2"/>
    <mergeCell ref="CG1:CJ2"/>
    <mergeCell ref="AD1:AD2"/>
    <mergeCell ref="AC1:AC2"/>
    <mergeCell ref="AB1:AB2"/>
    <mergeCell ref="AA1:AA2"/>
    <mergeCell ref="Z1:Z2"/>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29"/>
  <dimension ref="A1:W47"/>
  <sheetViews>
    <sheetView zoomScale="130" zoomScaleNormal="130" workbookViewId="0">
      <selection activeCell="L45" sqref="L45"/>
    </sheetView>
  </sheetViews>
  <sheetFormatPr defaultRowHeight="15" x14ac:dyDescent="0.25"/>
  <sheetData>
    <row r="1" spans="1:23" x14ac:dyDescent="0.25">
      <c r="A1" s="1276" t="s">
        <v>6319</v>
      </c>
      <c r="B1" s="1276"/>
      <c r="C1" s="1276"/>
      <c r="D1" s="1276"/>
      <c r="E1" s="1276" t="s">
        <v>6318</v>
      </c>
      <c r="F1" s="1276"/>
      <c r="G1" s="1276"/>
      <c r="H1" s="1276" t="s">
        <v>6317</v>
      </c>
      <c r="I1" s="1276"/>
      <c r="J1" s="1276"/>
      <c r="K1" s="1276"/>
      <c r="L1" s="1276"/>
      <c r="M1" s="1276"/>
      <c r="N1" s="1276"/>
      <c r="O1" s="1276"/>
      <c r="P1" s="1276" t="s">
        <v>6316</v>
      </c>
      <c r="Q1" s="1276"/>
      <c r="R1" s="1276"/>
      <c r="S1" s="1276"/>
      <c r="T1" s="1276"/>
      <c r="U1" s="1276"/>
      <c r="V1" s="1276"/>
      <c r="W1" s="1276"/>
    </row>
    <row r="2" spans="1:23" x14ac:dyDescent="0.25">
      <c r="A2" s="540" t="s">
        <v>6320</v>
      </c>
      <c r="B2" s="540" t="s">
        <v>6321</v>
      </c>
      <c r="C2" s="540" t="s">
        <v>6322</v>
      </c>
      <c r="D2" s="540" t="s">
        <v>3192</v>
      </c>
      <c r="E2" s="540" t="s">
        <v>6313</v>
      </c>
      <c r="F2" s="540" t="s">
        <v>6314</v>
      </c>
      <c r="G2" s="540" t="s">
        <v>6412</v>
      </c>
      <c r="H2" s="540" t="s">
        <v>3168</v>
      </c>
      <c r="I2" s="540" t="s">
        <v>3169</v>
      </c>
      <c r="J2" s="540" t="s">
        <v>3170</v>
      </c>
      <c r="K2" s="540" t="s">
        <v>3171</v>
      </c>
      <c r="L2" s="540" t="s">
        <v>3172</v>
      </c>
      <c r="M2" s="540" t="s">
        <v>3173</v>
      </c>
      <c r="N2" s="540" t="s">
        <v>3174</v>
      </c>
      <c r="O2" s="540" t="s">
        <v>3175</v>
      </c>
      <c r="P2" s="540" t="s">
        <v>3562</v>
      </c>
      <c r="Q2" s="540" t="s">
        <v>2966</v>
      </c>
      <c r="R2" s="540" t="s">
        <v>122</v>
      </c>
      <c r="S2" s="540" t="s">
        <v>611</v>
      </c>
      <c r="T2" s="540" t="s">
        <v>3424</v>
      </c>
      <c r="U2" s="540" t="s">
        <v>3727</v>
      </c>
      <c r="V2" s="540" t="s">
        <v>6362</v>
      </c>
      <c r="W2" s="540" t="s">
        <v>3731</v>
      </c>
    </row>
    <row r="3" spans="1:23" x14ac:dyDescent="0.25">
      <c r="A3" s="540" t="str">
        <f t="shared" ref="A3:G3" si="0">A4&amp;", "&amp;A5&amp;", "&amp;A6&amp;", "&amp;A7&amp;", "&amp;A8&amp;", "&amp;A9&amp;", "&amp;A10&amp;", "&amp;A11&amp;", "&amp;A12&amp;", "&amp;A13&amp;", "</f>
        <v xml:space="preserve">Protection From Evil and Good, Sanctuary, Lesser Restoration, Zone of Truth, Beacon of Hope, Dispel Magic, Freedom of Movement, Guardian of Faith, Commune, Flame Strike, </v>
      </c>
      <c r="B3" s="540" t="str">
        <f t="shared" si="0"/>
        <v xml:space="preserve">Bane, Hunter's Mark, Hold Person, Misty Step, Haste, Protection From Energy, Banishment, Dimension Door, Hold Monster, Scrying, </v>
      </c>
      <c r="C3" s="540" t="str">
        <f t="shared" si="0"/>
        <v xml:space="preserve">Ensnaring Strike, Speak with Animals, Moonbeam, Misty Step, Plant Growth, Protection From Energy, Ice Storm, Stoneskin, Commune With Nature, Tree Stride, </v>
      </c>
      <c r="D3" s="540" t="str">
        <f t="shared" si="0"/>
        <v xml:space="preserve">Hellish Rebuke, Inflict Wounds, Crown of Madness, Darkness, Animate Dead, Bestow Curse, Blight, Confusion, Contagion, Dominate Person, </v>
      </c>
      <c r="E3" s="540" t="str">
        <f t="shared" si="0"/>
        <v xml:space="preserve">Faerie Fire, Sleep, Calm Emotions, Phantasmal Force, Blink, Plant Growth, Dominate Beast, Greater Invisibility, Dominate Person, Seeming, </v>
      </c>
      <c r="F3" s="540" t="str">
        <f t="shared" si="0"/>
        <v xml:space="preserve">Burning Hands, Command, Blindness/Deafness, Scorching Ray, Fireball, Stinking Cloud, Fire Shield, Wall of Fire, Flame Strike, Hallow, </v>
      </c>
      <c r="G3" s="540" t="str">
        <f t="shared" si="0"/>
        <v xml:space="preserve">Dissonant Whispers, Tasha's Hideous Laughter, Detect Thoughts, Phantasmal Force, Clairvoyance, Sending, Dominate Beast, Evard's Black Tentacles, Dominate Person, Telekinesis, </v>
      </c>
      <c r="H3" s="540" t="str">
        <f t="shared" ref="H3:O3" si="1">H4&amp;", "&amp;H5&amp;", "&amp;H6&amp;", "&amp;H7&amp;", "&amp;H8&amp;", "&amp;H9&amp;", "&amp;H10&amp;", "&amp;H11&amp;", "</f>
        <v xml:space="preserve">Hold Person, Spike Growth, Sleet Storm, slow, Freedom of Movement, Ice Storm, Commune with Nature, Cone of Cold, </v>
      </c>
      <c r="I3" s="540" t="str">
        <f t="shared" si="1"/>
        <v xml:space="preserve">Mirror Image, Misty Step, Water Breathing, Water Walk, Control Water, Freedom of Movement, Conjure Elemental, Scrying, </v>
      </c>
      <c r="J3" s="540" t="str">
        <f t="shared" si="1"/>
        <v xml:space="preserve">Blur, Silence, Create Food and Water, Protection From Energy, Blight, Hallucinatory Terrain, Insect Plague, Wall of Stone, </v>
      </c>
      <c r="K3" s="540" t="str">
        <f t="shared" si="1"/>
        <v xml:space="preserve">Barkskin, Spider Climb, Call Lightning, Plant Growth, Divination, Freedom of Movement, Commune with Nature, Tree Stride, </v>
      </c>
      <c r="L3" s="540" t="str">
        <f t="shared" si="1"/>
        <v xml:space="preserve">Invisibility, Pass without Trace, Daylight, Haste, Divination, Freedom of Movement, Dream, Insect Plague, </v>
      </c>
      <c r="M3" s="540" t="str">
        <f t="shared" si="1"/>
        <v xml:space="preserve">Spider Climb, Spike Growth, Lightning Bolt, Meld into Stone, Stone Shape, Stoneskin, Passwall, Wall of Stone, </v>
      </c>
      <c r="N3" s="540" t="str">
        <f t="shared" si="1"/>
        <v xml:space="preserve">Darkness, Melf's Acid Arrow, Water Walk, Stinking Cloud, Freedom of Movement, Locate Creature, Insect Plague, Scrying, </v>
      </c>
      <c r="O3" s="540" t="str">
        <f t="shared" si="1"/>
        <v xml:space="preserve">Spider Climb, Web, Gaseous Form, Stinking Cloud, Greater Invisibility, Stone Shape, Cloudkill, Insect Plague, </v>
      </c>
      <c r="P3" s="540" t="str">
        <f t="shared" ref="P3:W3" si="2">P4&amp;", "&amp;P5&amp;", "&amp;P6&amp;", "&amp;P7&amp;", "&amp;P8&amp;", "&amp;P9&amp;", "&amp;P10&amp;", "&amp;P11&amp;", "&amp;P12&amp;", "&amp;P13&amp;", "</f>
        <v xml:space="preserve">Command, Identify, Augury, Suggestion, Nondetection, Speak with dead, Arcane eye, Confusion, Legend Lore, Scrying, </v>
      </c>
      <c r="Q3" s="540" t="str">
        <f t="shared" si="2"/>
        <v xml:space="preserve">Bless, Cure Wounds, Lesser Restoration, Spiritual Weapon, Beacon of Hope, Revivify, Death Ward, Guardian of Faith, Mass Cure Wounds, Raise Dead, </v>
      </c>
      <c r="R3" s="540" t="str">
        <f t="shared" si="2"/>
        <v xml:space="preserve">Burning Hands, Faerie Fire, Flaming Sphere, Scorching Ray, Daylight, Fireball, Guardian of Faith, Wall of Fire, Flame Strike, Scrying, </v>
      </c>
      <c r="S3" s="540" t="str">
        <f t="shared" si="2"/>
        <v xml:space="preserve">Animal Friendship, Speak With Animals, Barkskin, Spike Growth, Plant Growth, Wind Wall, Dominate Beast, Grasping Vine, Insect Plague, Tree Stride, </v>
      </c>
      <c r="T3" s="540" t="str">
        <f t="shared" si="2"/>
        <v xml:space="preserve">Fog Cloud, Thunderwave, Gust of Wind, Shatter, Call Lightning, Sleet Storm, Control Water, Ice Storm, Destructive Wave, Insect Plague, </v>
      </c>
      <c r="U3" s="540" t="str">
        <f t="shared" si="2"/>
        <v xml:space="preserve">Charm Person, Disguise Self, Mirror Image, Pass without Trace, Blink, Dispel Magic, Dimension Door, Polymorph, Dominate Person, Modify Memory, </v>
      </c>
      <c r="V3" s="540" t="str">
        <f t="shared" si="2"/>
        <v xml:space="preserve">Divine Favor, Shield of Faith, Magic Weapon, Spiritual Weapon, Crusader's Mantle, Spirit Guardians, Freedom of Movement, Stoneskin, Flame Strike, Hold Monster, </v>
      </c>
      <c r="W3" s="540" t="str">
        <f t="shared" si="2"/>
        <v xml:space="preserve">False Life, Ray of Sickness, Blindness/Deafness, Ray of Enfeeblement, Animate Dead, Vampiric Touch, Blight, Death Ward, Antilife Shell, Cloudkill, </v>
      </c>
    </row>
    <row r="4" spans="1:23" x14ac:dyDescent="0.25">
      <c r="A4" t="s">
        <v>6323</v>
      </c>
      <c r="B4" t="s">
        <v>2380</v>
      </c>
      <c r="C4" t="s">
        <v>2487</v>
      </c>
      <c r="D4" t="s">
        <v>2556</v>
      </c>
      <c r="E4" t="s">
        <v>2497</v>
      </c>
      <c r="F4" t="s">
        <v>2402</v>
      </c>
      <c r="G4" t="s">
        <v>2472</v>
      </c>
      <c r="H4" t="s">
        <v>2561</v>
      </c>
      <c r="I4" t="s">
        <v>2615</v>
      </c>
      <c r="J4" t="s">
        <v>2399</v>
      </c>
      <c r="K4" t="s">
        <v>2383</v>
      </c>
      <c r="L4" t="s">
        <v>2574</v>
      </c>
      <c r="M4" t="s">
        <v>2704</v>
      </c>
      <c r="N4" t="s">
        <v>2455</v>
      </c>
      <c r="O4" t="s">
        <v>2704</v>
      </c>
      <c r="P4" t="s">
        <v>2418</v>
      </c>
      <c r="Q4" t="s">
        <v>2394</v>
      </c>
      <c r="R4" t="s">
        <v>2402</v>
      </c>
      <c r="S4" t="s">
        <v>2354</v>
      </c>
      <c r="T4" t="s">
        <v>2517</v>
      </c>
      <c r="U4" t="s">
        <v>2406</v>
      </c>
      <c r="V4" t="s">
        <v>2474</v>
      </c>
      <c r="W4" t="s">
        <v>2498</v>
      </c>
    </row>
    <row r="5" spans="1:23" x14ac:dyDescent="0.25">
      <c r="A5" t="s">
        <v>2674</v>
      </c>
      <c r="B5" t="s">
        <v>2565</v>
      </c>
      <c r="C5" t="s">
        <v>2700</v>
      </c>
      <c r="D5" t="s">
        <v>2572</v>
      </c>
      <c r="E5" t="s">
        <v>2695</v>
      </c>
      <c r="F5" t="s">
        <v>2418</v>
      </c>
      <c r="G5" t="s">
        <v>2722</v>
      </c>
      <c r="H5" t="s">
        <v>2706</v>
      </c>
      <c r="I5" t="s">
        <v>2617</v>
      </c>
      <c r="J5" t="s">
        <v>2691</v>
      </c>
      <c r="K5" t="s">
        <v>2704</v>
      </c>
      <c r="L5" t="s">
        <v>2628</v>
      </c>
      <c r="M5" t="s">
        <v>2706</v>
      </c>
      <c r="N5" t="s">
        <v>2607</v>
      </c>
      <c r="O5" t="s">
        <v>2758</v>
      </c>
      <c r="P5" t="s">
        <v>2568</v>
      </c>
      <c r="Q5" t="s">
        <v>2453</v>
      </c>
      <c r="R5" t="s">
        <v>2497</v>
      </c>
      <c r="S5" t="s">
        <v>6343</v>
      </c>
      <c r="T5" t="s">
        <v>2732</v>
      </c>
      <c r="U5" t="s">
        <v>2468</v>
      </c>
      <c r="V5" t="s">
        <v>2686</v>
      </c>
      <c r="W5" t="s">
        <v>2662</v>
      </c>
    </row>
    <row r="6" spans="1:23" x14ac:dyDescent="0.25">
      <c r="A6" t="s">
        <v>2581</v>
      </c>
      <c r="B6" t="s">
        <v>2561</v>
      </c>
      <c r="C6" t="s">
        <v>2620</v>
      </c>
      <c r="D6" t="s">
        <v>2450</v>
      </c>
      <c r="E6" t="s">
        <v>2404</v>
      </c>
      <c r="F6" t="s">
        <v>2397</v>
      </c>
      <c r="G6" t="s">
        <v>2466</v>
      </c>
      <c r="H6" t="s">
        <v>2696</v>
      </c>
      <c r="I6" t="s">
        <v>2755</v>
      </c>
      <c r="J6" t="s">
        <v>2445</v>
      </c>
      <c r="K6" t="s">
        <v>2403</v>
      </c>
      <c r="L6" t="s">
        <v>2457</v>
      </c>
      <c r="M6" t="s">
        <v>2585</v>
      </c>
      <c r="N6" t="s">
        <v>2757</v>
      </c>
      <c r="O6" t="s">
        <v>2525</v>
      </c>
      <c r="P6" t="s">
        <v>2371</v>
      </c>
      <c r="Q6" t="s">
        <v>2581</v>
      </c>
      <c r="R6" t="s">
        <v>2514</v>
      </c>
      <c r="S6" t="s">
        <v>2383</v>
      </c>
      <c r="T6" t="s">
        <v>2546</v>
      </c>
      <c r="U6" t="s">
        <v>2615</v>
      </c>
      <c r="V6" t="s">
        <v>2598</v>
      </c>
      <c r="W6" t="s">
        <v>2397</v>
      </c>
    </row>
    <row r="7" spans="1:23" x14ac:dyDescent="0.25">
      <c r="A7" t="s">
        <v>2767</v>
      </c>
      <c r="B7" t="s">
        <v>2617</v>
      </c>
      <c r="C7" t="s">
        <v>2617</v>
      </c>
      <c r="D7" t="s">
        <v>2455</v>
      </c>
      <c r="E7" t="s">
        <v>2630</v>
      </c>
      <c r="F7" t="s">
        <v>2675</v>
      </c>
      <c r="G7" t="s">
        <v>2630</v>
      </c>
      <c r="H7" t="s">
        <v>6326</v>
      </c>
      <c r="I7" t="s">
        <v>2757</v>
      </c>
      <c r="J7" t="s">
        <v>6324</v>
      </c>
      <c r="K7" t="s">
        <v>2636</v>
      </c>
      <c r="L7" t="s">
        <v>2552</v>
      </c>
      <c r="M7" t="s">
        <v>2606</v>
      </c>
      <c r="N7" t="s">
        <v>2711</v>
      </c>
      <c r="O7" t="s">
        <v>2711</v>
      </c>
      <c r="P7" t="s">
        <v>2717</v>
      </c>
      <c r="Q7" t="s">
        <v>2708</v>
      </c>
      <c r="R7" t="s">
        <v>2675</v>
      </c>
      <c r="S7" t="s">
        <v>2706</v>
      </c>
      <c r="T7" t="s">
        <v>2684</v>
      </c>
      <c r="U7" t="s">
        <v>2628</v>
      </c>
      <c r="V7" t="s">
        <v>2708</v>
      </c>
      <c r="W7" t="s">
        <v>2660</v>
      </c>
    </row>
    <row r="8" spans="1:23" x14ac:dyDescent="0.25">
      <c r="A8" t="s">
        <v>2384</v>
      </c>
      <c r="B8" t="s">
        <v>2552</v>
      </c>
      <c r="C8" t="s">
        <v>2636</v>
      </c>
      <c r="D8" t="s">
        <v>2358</v>
      </c>
      <c r="E8" t="s">
        <v>2398</v>
      </c>
      <c r="F8" t="s">
        <v>2508</v>
      </c>
      <c r="G8" t="s">
        <v>2412</v>
      </c>
      <c r="H8" t="s">
        <v>2522</v>
      </c>
      <c r="I8" t="s">
        <v>2442</v>
      </c>
      <c r="J8" t="s">
        <v>2395</v>
      </c>
      <c r="K8" t="s">
        <v>2473</v>
      </c>
      <c r="L8" t="s">
        <v>2473</v>
      </c>
      <c r="M8" t="s">
        <v>2712</v>
      </c>
      <c r="N8" t="s">
        <v>2522</v>
      </c>
      <c r="O8" t="s">
        <v>2538</v>
      </c>
      <c r="P8" t="s">
        <v>2622</v>
      </c>
      <c r="Q8" t="s">
        <v>2384</v>
      </c>
      <c r="R8" t="s">
        <v>2457</v>
      </c>
      <c r="S8" t="s">
        <v>2636</v>
      </c>
      <c r="T8" t="s">
        <v>2403</v>
      </c>
      <c r="U8" t="s">
        <v>2398</v>
      </c>
      <c r="V8" t="s">
        <v>2451</v>
      </c>
      <c r="W8" t="s">
        <v>2358</v>
      </c>
    </row>
    <row r="9" spans="1:23" x14ac:dyDescent="0.25">
      <c r="A9" t="s">
        <v>2471</v>
      </c>
      <c r="B9" t="s">
        <v>6324</v>
      </c>
      <c r="C9" t="s">
        <v>6324</v>
      </c>
      <c r="D9" t="s">
        <v>2389</v>
      </c>
      <c r="E9" t="s">
        <v>2636</v>
      </c>
      <c r="F9" t="s">
        <v>2711</v>
      </c>
      <c r="G9" t="s">
        <v>2681</v>
      </c>
      <c r="H9" t="s">
        <v>2567</v>
      </c>
      <c r="I9" t="s">
        <v>2522</v>
      </c>
      <c r="J9" t="s">
        <v>2549</v>
      </c>
      <c r="K9" t="s">
        <v>2522</v>
      </c>
      <c r="L9" t="s">
        <v>2522</v>
      </c>
      <c r="M9" t="s">
        <v>2714</v>
      </c>
      <c r="N9" t="s">
        <v>2588</v>
      </c>
      <c r="O9" t="s">
        <v>2712</v>
      </c>
      <c r="P9" t="s">
        <v>6344</v>
      </c>
      <c r="Q9" t="s">
        <v>2671</v>
      </c>
      <c r="R9" t="s">
        <v>2508</v>
      </c>
      <c r="S9" t="s">
        <v>2761</v>
      </c>
      <c r="T9" t="s">
        <v>2696</v>
      </c>
      <c r="U9" t="s">
        <v>2471</v>
      </c>
      <c r="V9" t="s">
        <v>2707</v>
      </c>
      <c r="W9" t="s">
        <v>2747</v>
      </c>
    </row>
    <row r="10" spans="1:23" x14ac:dyDescent="0.25">
      <c r="A10" t="s">
        <v>2522</v>
      </c>
      <c r="B10" t="s">
        <v>2382</v>
      </c>
      <c r="C10" t="s">
        <v>2567</v>
      </c>
      <c r="D10" t="s">
        <v>2395</v>
      </c>
      <c r="E10" t="s">
        <v>2477</v>
      </c>
      <c r="F10" t="s">
        <v>2510</v>
      </c>
      <c r="G10" t="s">
        <v>2477</v>
      </c>
      <c r="H10" t="s">
        <v>2420</v>
      </c>
      <c r="I10" t="s">
        <v>2430</v>
      </c>
      <c r="J10" t="s">
        <v>2573</v>
      </c>
      <c r="K10" t="s">
        <v>2420</v>
      </c>
      <c r="L10" t="s">
        <v>2480</v>
      </c>
      <c r="M10" t="s">
        <v>2629</v>
      </c>
      <c r="N10" t="s">
        <v>2573</v>
      </c>
      <c r="O10" t="s">
        <v>2416</v>
      </c>
      <c r="P10" t="s">
        <v>6345</v>
      </c>
      <c r="Q10" t="s">
        <v>2458</v>
      </c>
      <c r="R10" t="s">
        <v>2541</v>
      </c>
      <c r="S10" t="s">
        <v>2477</v>
      </c>
      <c r="T10" t="s">
        <v>2442</v>
      </c>
      <c r="U10" t="s">
        <v>2467</v>
      </c>
      <c r="V10" t="s">
        <v>2522</v>
      </c>
      <c r="W10" t="s">
        <v>2395</v>
      </c>
    </row>
    <row r="11" spans="1:23" x14ac:dyDescent="0.25">
      <c r="A11" t="s">
        <v>2541</v>
      </c>
      <c r="B11" t="s">
        <v>2467</v>
      </c>
      <c r="C11" t="s">
        <v>2714</v>
      </c>
      <c r="D11" t="s">
        <v>2425</v>
      </c>
      <c r="E11" t="s">
        <v>2538</v>
      </c>
      <c r="F11" t="s">
        <v>2749</v>
      </c>
      <c r="G11" t="s">
        <v>2492</v>
      </c>
      <c r="H11" t="s">
        <v>2424</v>
      </c>
      <c r="I11" t="s">
        <v>2676</v>
      </c>
      <c r="J11" t="s">
        <v>2752</v>
      </c>
      <c r="K11" t="s">
        <v>2738</v>
      </c>
      <c r="L11" t="s">
        <v>2573</v>
      </c>
      <c r="M11" t="s">
        <v>2752</v>
      </c>
      <c r="N11" t="s">
        <v>2676</v>
      </c>
      <c r="O11" t="s">
        <v>2573</v>
      </c>
      <c r="P11" t="s">
        <v>2425</v>
      </c>
      <c r="Q11" t="s">
        <v>2541</v>
      </c>
      <c r="R11" t="s">
        <v>2749</v>
      </c>
      <c r="S11" t="s">
        <v>2536</v>
      </c>
      <c r="T11" t="s">
        <v>2567</v>
      </c>
      <c r="U11" t="s">
        <v>2638</v>
      </c>
      <c r="V11" t="s">
        <v>2714</v>
      </c>
      <c r="W11" t="s">
        <v>2458</v>
      </c>
    </row>
    <row r="12" spans="1:23" x14ac:dyDescent="0.25">
      <c r="A12" t="s">
        <v>2419</v>
      </c>
      <c r="B12" t="s">
        <v>2560</v>
      </c>
      <c r="C12" t="s">
        <v>6325</v>
      </c>
      <c r="D12" t="s">
        <v>2437</v>
      </c>
      <c r="E12" t="s">
        <v>2479</v>
      </c>
      <c r="F12" t="s">
        <v>2513</v>
      </c>
      <c r="G12" t="s">
        <v>2479</v>
      </c>
      <c r="P12" t="s">
        <v>2578</v>
      </c>
      <c r="Q12" t="s">
        <v>2600</v>
      </c>
      <c r="R12" t="s">
        <v>2513</v>
      </c>
      <c r="S12" t="s">
        <v>2573</v>
      </c>
      <c r="T12" t="s">
        <v>2461</v>
      </c>
      <c r="U12" t="s">
        <v>2479</v>
      </c>
      <c r="V12" t="s">
        <v>2513</v>
      </c>
      <c r="W12" t="s">
        <v>2360</v>
      </c>
    </row>
    <row r="13" spans="1:23" x14ac:dyDescent="0.25">
      <c r="A13" t="s">
        <v>2513</v>
      </c>
      <c r="B13" t="s">
        <v>2676</v>
      </c>
      <c r="C13" t="s">
        <v>2738</v>
      </c>
      <c r="D13" t="s">
        <v>2479</v>
      </c>
      <c r="E13" t="s">
        <v>2680</v>
      </c>
      <c r="F13" t="s">
        <v>2548</v>
      </c>
      <c r="G13" t="s">
        <v>2723</v>
      </c>
      <c r="P13" t="s">
        <v>2676</v>
      </c>
      <c r="Q13" t="s">
        <v>2658</v>
      </c>
      <c r="R13" t="s">
        <v>2676</v>
      </c>
      <c r="S13" t="s">
        <v>2738</v>
      </c>
      <c r="T13" t="s">
        <v>2573</v>
      </c>
      <c r="U13" t="s">
        <v>2619</v>
      </c>
      <c r="V13" t="s">
        <v>2560</v>
      </c>
      <c r="W13" t="s">
        <v>2416</v>
      </c>
    </row>
    <row r="15" spans="1:23" x14ac:dyDescent="0.25">
      <c r="C15" t="s">
        <v>2487</v>
      </c>
      <c r="H15" t="s">
        <v>3168</v>
      </c>
      <c r="I15" t="s">
        <v>3169</v>
      </c>
      <c r="J15" t="s">
        <v>3170</v>
      </c>
      <c r="K15" t="s">
        <v>3171</v>
      </c>
      <c r="L15" t="s">
        <v>3172</v>
      </c>
      <c r="M15" t="s">
        <v>3173</v>
      </c>
      <c r="N15" t="s">
        <v>3174</v>
      </c>
      <c r="O15" t="s">
        <v>3175</v>
      </c>
    </row>
    <row r="16" spans="1:23" x14ac:dyDescent="0.25">
      <c r="C16" t="s">
        <v>2700</v>
      </c>
      <c r="H16" t="s">
        <v>6327</v>
      </c>
      <c r="I16" t="s">
        <v>6328</v>
      </c>
      <c r="J16" t="s">
        <v>6329</v>
      </c>
      <c r="K16" t="s">
        <v>6330</v>
      </c>
      <c r="L16" t="s">
        <v>6331</v>
      </c>
      <c r="M16" t="s">
        <v>6332</v>
      </c>
      <c r="N16" t="s">
        <v>6333</v>
      </c>
      <c r="O16" t="s">
        <v>6334</v>
      </c>
    </row>
    <row r="17" spans="1:15" x14ac:dyDescent="0.25">
      <c r="C17" t="s">
        <v>2620</v>
      </c>
    </row>
    <row r="18" spans="1:15" x14ac:dyDescent="0.25">
      <c r="C18" t="s">
        <v>2617</v>
      </c>
    </row>
    <row r="19" spans="1:15" x14ac:dyDescent="0.25">
      <c r="A19" t="s">
        <v>6320</v>
      </c>
      <c r="B19" t="s">
        <v>6321</v>
      </c>
      <c r="C19" t="s">
        <v>2636</v>
      </c>
      <c r="D19" t="s">
        <v>3192</v>
      </c>
      <c r="H19" t="s">
        <v>3168</v>
      </c>
      <c r="I19" t="s">
        <v>6327</v>
      </c>
    </row>
    <row r="20" spans="1:15" x14ac:dyDescent="0.25">
      <c r="A20" t="s">
        <v>6402</v>
      </c>
      <c r="B20" t="s">
        <v>6403</v>
      </c>
      <c r="C20" t="s">
        <v>6324</v>
      </c>
      <c r="D20" t="s">
        <v>6405</v>
      </c>
      <c r="H20" t="s">
        <v>3169</v>
      </c>
      <c r="I20" t="s">
        <v>6328</v>
      </c>
    </row>
    <row r="21" spans="1:15" x14ac:dyDescent="0.25">
      <c r="C21" t="s">
        <v>2567</v>
      </c>
      <c r="H21" t="s">
        <v>3170</v>
      </c>
      <c r="I21" t="s">
        <v>6329</v>
      </c>
    </row>
    <row r="22" spans="1:15" x14ac:dyDescent="0.25">
      <c r="C22" t="s">
        <v>2714</v>
      </c>
      <c r="H22" t="s">
        <v>3171</v>
      </c>
      <c r="I22" t="s">
        <v>6330</v>
      </c>
    </row>
    <row r="23" spans="1:15" x14ac:dyDescent="0.25">
      <c r="A23" t="s">
        <v>6320</v>
      </c>
      <c r="B23" t="s">
        <v>6402</v>
      </c>
      <c r="C23" t="s">
        <v>6325</v>
      </c>
      <c r="H23" t="s">
        <v>3172</v>
      </c>
      <c r="I23" t="s">
        <v>6331</v>
      </c>
    </row>
    <row r="24" spans="1:15" x14ac:dyDescent="0.25">
      <c r="A24" t="s">
        <v>6321</v>
      </c>
      <c r="B24" t="s">
        <v>6403</v>
      </c>
      <c r="C24" t="s">
        <v>2738</v>
      </c>
      <c r="H24" t="s">
        <v>3173</v>
      </c>
      <c r="I24" t="s">
        <v>6332</v>
      </c>
    </row>
    <row r="25" spans="1:15" x14ac:dyDescent="0.25">
      <c r="A25" t="s">
        <v>6322</v>
      </c>
      <c r="B25" t="s">
        <v>6404</v>
      </c>
      <c r="H25" t="s">
        <v>3174</v>
      </c>
      <c r="I25" t="s">
        <v>6333</v>
      </c>
    </row>
    <row r="26" spans="1:15" x14ac:dyDescent="0.25">
      <c r="A26" t="s">
        <v>3192</v>
      </c>
      <c r="B26" t="s">
        <v>6405</v>
      </c>
      <c r="H26" t="s">
        <v>3175</v>
      </c>
      <c r="I26" t="s">
        <v>6334</v>
      </c>
    </row>
    <row r="29" spans="1:15" x14ac:dyDescent="0.25">
      <c r="H29" t="s">
        <v>3562</v>
      </c>
      <c r="I29" t="s">
        <v>2966</v>
      </c>
      <c r="J29" t="s">
        <v>122</v>
      </c>
      <c r="K29" t="s">
        <v>611</v>
      </c>
      <c r="L29" t="s">
        <v>3424</v>
      </c>
      <c r="M29" t="s">
        <v>3727</v>
      </c>
      <c r="N29" t="s">
        <v>6362</v>
      </c>
      <c r="O29" t="s">
        <v>3731</v>
      </c>
    </row>
    <row r="30" spans="1:15" x14ac:dyDescent="0.25">
      <c r="H30" t="s">
        <v>6363</v>
      </c>
      <c r="I30" t="s">
        <v>6364</v>
      </c>
      <c r="J30" t="s">
        <v>6365</v>
      </c>
      <c r="K30" t="s">
        <v>6366</v>
      </c>
      <c r="L30" t="s">
        <v>6367</v>
      </c>
      <c r="M30" t="s">
        <v>6368</v>
      </c>
      <c r="N30" t="s">
        <v>6369</v>
      </c>
      <c r="O30" t="s">
        <v>6370</v>
      </c>
    </row>
    <row r="33" spans="8:10" x14ac:dyDescent="0.25">
      <c r="H33" t="s">
        <v>3562</v>
      </c>
      <c r="I33" t="s">
        <v>6363</v>
      </c>
    </row>
    <row r="34" spans="8:10" x14ac:dyDescent="0.25">
      <c r="H34" t="s">
        <v>2966</v>
      </c>
      <c r="I34" t="s">
        <v>6364</v>
      </c>
    </row>
    <row r="35" spans="8:10" x14ac:dyDescent="0.25">
      <c r="H35" t="s">
        <v>122</v>
      </c>
      <c r="I35" t="s">
        <v>6365</v>
      </c>
    </row>
    <row r="36" spans="8:10" x14ac:dyDescent="0.25">
      <c r="H36" t="s">
        <v>611</v>
      </c>
      <c r="I36" t="s">
        <v>6366</v>
      </c>
    </row>
    <row r="37" spans="8:10" x14ac:dyDescent="0.25">
      <c r="H37" t="s">
        <v>3424</v>
      </c>
      <c r="I37" t="s">
        <v>6367</v>
      </c>
    </row>
    <row r="38" spans="8:10" x14ac:dyDescent="0.25">
      <c r="H38" t="s">
        <v>3727</v>
      </c>
      <c r="I38" t="s">
        <v>6368</v>
      </c>
    </row>
    <row r="39" spans="8:10" x14ac:dyDescent="0.25">
      <c r="H39" t="s">
        <v>6362</v>
      </c>
      <c r="I39" t="s">
        <v>6369</v>
      </c>
    </row>
    <row r="40" spans="8:10" x14ac:dyDescent="0.25">
      <c r="H40" t="s">
        <v>3731</v>
      </c>
      <c r="I40" t="s">
        <v>6370</v>
      </c>
    </row>
    <row r="42" spans="8:10" x14ac:dyDescent="0.25">
      <c r="H42" t="s">
        <v>6313</v>
      </c>
      <c r="I42" t="s">
        <v>6314</v>
      </c>
      <c r="J42" t="s">
        <v>6412</v>
      </c>
    </row>
    <row r="43" spans="8:10" x14ac:dyDescent="0.25">
      <c r="H43" t="s">
        <v>6413</v>
      </c>
      <c r="I43" t="s">
        <v>6414</v>
      </c>
      <c r="J43" t="s">
        <v>6415</v>
      </c>
    </row>
    <row r="45" spans="8:10" x14ac:dyDescent="0.25">
      <c r="H45" t="s">
        <v>6313</v>
      </c>
      <c r="I45" t="s">
        <v>6413</v>
      </c>
    </row>
    <row r="46" spans="8:10" x14ac:dyDescent="0.25">
      <c r="H46" t="s">
        <v>6314</v>
      </c>
      <c r="I46" t="s">
        <v>6414</v>
      </c>
    </row>
    <row r="47" spans="8:10" x14ac:dyDescent="0.25">
      <c r="H47" t="s">
        <v>6412</v>
      </c>
      <c r="I47" t="s">
        <v>6415</v>
      </c>
    </row>
  </sheetData>
  <mergeCells count="4">
    <mergeCell ref="A1:D1"/>
    <mergeCell ref="E1:G1"/>
    <mergeCell ref="H1:O1"/>
    <mergeCell ref="P1:W1"/>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32">
    <tabColor theme="1"/>
  </sheetPr>
  <dimension ref="A1:V100"/>
  <sheetViews>
    <sheetView workbookViewId="0">
      <selection activeCell="A11" sqref="A11"/>
    </sheetView>
  </sheetViews>
  <sheetFormatPr defaultRowHeight="15" x14ac:dyDescent="0.25"/>
  <sheetData>
    <row r="1" spans="1:22" x14ac:dyDescent="0.25">
      <c r="A1" s="491" t="str">
        <f>Character_Name</f>
        <v>Palant</v>
      </c>
      <c r="B1" s="491"/>
      <c r="C1" s="491"/>
      <c r="D1" s="491"/>
      <c r="E1" s="491"/>
      <c r="F1" s="491"/>
      <c r="G1" s="491"/>
      <c r="H1" s="491"/>
      <c r="I1" s="491"/>
      <c r="J1" s="491"/>
      <c r="K1" s="491"/>
      <c r="L1" s="491"/>
      <c r="M1" s="491"/>
      <c r="N1" s="491"/>
    </row>
    <row r="2" spans="1:22" ht="15" customHeight="1" x14ac:dyDescent="0.25">
      <c r="A2" s="491" t="str">
        <f>Race&amp;""&amp;IF(SubRace&lt;&gt;Race," ("&amp;SubRace&amp;"), ",", ")&amp;Gender</f>
        <v>Human (Human (Variant)), male</v>
      </c>
      <c r="B2" s="491"/>
      <c r="C2" s="491" t="str">
        <f>A2&amp;CHAR(10)</f>
        <v xml:space="preserve">Human (Human (Variant)), male
</v>
      </c>
      <c r="D2" s="491"/>
      <c r="M2" s="1290" t="str">
        <f>C2&amp;C3&amp;C4&amp;C5&amp;C6&amp;C7&amp;C8&amp;C9&amp;C11&amp;C12&amp;CHAR(10)&amp;RacialTraitsOutput&amp;CHAR(10)&amp;Character_Creation!AH265&amp;CHAR(10)&amp;Bard_Spells&amp;Cleric_Spells&amp;Druid_Spells&amp;Paladin_Spells&amp;Ranger_Spells&amp;EldritchKnight_Spells&amp;Sorcerer_Spells</f>
        <v xml:space="preserve">Human (Human (Variant)), male
Fighter/Wizard 12/8
Background: Sage, Professor
Ideal: Knowledge. The path to power and self-improvement is through knowledge. (Neutral)
Bond: My life’s work is a series of tomes related to a specific field of lore.
Flaw: Most people scream and run when they see a demon. I stop and take notes on its anatomy.
Personal Traits: There’s nothing I like more than a good mystery. 
I’ve read every book in the world’s greatest libraries—or I like to boast that I have.
Str:20(5), Dex:12(1), Con:12(1), Int:20(5), Wis:10(0), Cha:10(0)
Languages: Common, Draconic, Abyssal, Elvish, 
Tools: Vehicles (land), Dice set, Alchemist’s supplies, 
Bonus Feat
Bonus Skill
Druid Spells prepared
Paladin Spells (prepared only)
Ranger Spells known
Eldritch Knight Spells known
1st level: Protection from Evil and Good, Shield, Absorb Elements, Thunderwave, Tenser's Floating Disk, 
2nd level: Alter Self, Misty Step, 
Sorcerer Spells known
1st level: Alarm, Animal Friendship, 
2nd level: Aid, Alter Self, Animal Messenger, 
3rd level: Animate Dead, 
5th level: Animate Objects, Antilife Shell, 
8th level: Animal Shapes, 
</v>
      </c>
      <c r="N2" s="1290"/>
      <c r="O2" s="1290"/>
      <c r="P2" s="1290"/>
      <c r="Q2" s="1290"/>
      <c r="R2" s="1290"/>
      <c r="S2" s="1290"/>
      <c r="T2" s="1290"/>
    </row>
    <row r="3" spans="1:22" x14ac:dyDescent="0.25">
      <c r="A3" s="491" t="str">
        <f>MainClass&amp;IF(Multiclass1&lt;&gt;"","/"&amp;Multiclass1,"")&amp;IF(Multiclass2&lt;&gt;"","/"&amp;Multiclass2,"")&amp;IF(Multiclass3&lt;&gt;"","/"&amp;Multiclass3,"")&amp;IF(Multiclass4&lt;&gt;"","/"&amp;Multiclass4,"")&amp;IF(Multiclass5&lt;&gt;"","/"&amp;Multiclass5,"")&amp;" "&amp; MainClassLevel&amp;IF(MultiClass1Level&lt;&gt;"","/"&amp;MultiClass1Level,"")&amp;IF(MultiClass2Level&lt;&gt;"","/"&amp;MultiClass2Level,"")&amp;IF(MultiClass3Level&lt;&gt;"","/"&amp;MultiClass3Level,"")&amp;IF(MultiClass4Level&lt;&gt;"","/"&amp;MultiClass4Level,"")&amp;IF(MultiClass5Level&lt;&gt;"","/"&amp;MultiClass5Level,"")</f>
        <v>Fighter/Wizard 12/8</v>
      </c>
      <c r="C3" s="555" t="str">
        <f t="shared" ref="C3:C12" si="0">A3&amp;CHAR(10)</f>
        <v xml:space="preserve">Fighter/Wizard 12/8
</v>
      </c>
      <c r="D3" s="491"/>
      <c r="M3" s="1290"/>
      <c r="N3" s="1290"/>
      <c r="O3" s="1290"/>
      <c r="P3" s="1290"/>
      <c r="Q3" s="1290"/>
      <c r="R3" s="1290"/>
      <c r="S3" s="1290"/>
      <c r="T3" s="1290"/>
      <c r="V3" s="576" t="s">
        <v>6447</v>
      </c>
    </row>
    <row r="4" spans="1:22" x14ac:dyDescent="0.25">
      <c r="A4" s="491" t="str">
        <f>"Background: "&amp;Background&amp;", "&amp;BackgroundSpecialty</f>
        <v>Background: Sage, Professor</v>
      </c>
      <c r="C4" s="555" t="str">
        <f t="shared" si="0"/>
        <v xml:space="preserve">Background: Sage, Professor
</v>
      </c>
      <c r="D4" s="491"/>
      <c r="M4" s="1290"/>
      <c r="N4" s="1290"/>
      <c r="O4" s="1290"/>
      <c r="P4" s="1290"/>
      <c r="Q4" s="1290"/>
      <c r="R4" s="1290"/>
      <c r="S4" s="1290"/>
      <c r="T4" s="1290"/>
    </row>
    <row r="5" spans="1:22" x14ac:dyDescent="0.25">
      <c r="A5" s="491" t="str">
        <f>"Ideal: "&amp;Ideal</f>
        <v>Ideal: Knowledge. The path to power and self-improvement is through knowledge. (Neutral)</v>
      </c>
      <c r="C5" s="555" t="str">
        <f t="shared" si="0"/>
        <v xml:space="preserve">Ideal: Knowledge. The path to power and self-improvement is through knowledge. (Neutral)
</v>
      </c>
      <c r="D5" s="491"/>
      <c r="M5" s="1290"/>
      <c r="N5" s="1290"/>
      <c r="O5" s="1290"/>
      <c r="P5" s="1290"/>
      <c r="Q5" s="1290"/>
      <c r="R5" s="1290"/>
      <c r="S5" s="1290"/>
      <c r="T5" s="1290"/>
      <c r="V5" s="576" t="s">
        <v>6448</v>
      </c>
    </row>
    <row r="6" spans="1:22" x14ac:dyDescent="0.25">
      <c r="A6" s="491" t="str">
        <f>"Bond: "&amp;Bond</f>
        <v>Bond: My life’s work is a series of tomes related to a specific field of lore.</v>
      </c>
      <c r="C6" s="555" t="str">
        <f t="shared" si="0"/>
        <v xml:space="preserve">Bond: My life’s work is a series of tomes related to a specific field of lore.
</v>
      </c>
      <c r="D6" s="491"/>
      <c r="M6" s="1290"/>
      <c r="N6" s="1290"/>
      <c r="O6" s="1290"/>
      <c r="P6" s="1290"/>
      <c r="Q6" s="1290"/>
      <c r="R6" s="1290"/>
      <c r="S6" s="1290"/>
      <c r="T6" s="1290"/>
    </row>
    <row r="7" spans="1:22" x14ac:dyDescent="0.25">
      <c r="A7" s="491" t="str">
        <f>"Flaw: "&amp;Flaw</f>
        <v>Flaw: Most people scream and run when they see a demon. I stop and take notes on its anatomy.</v>
      </c>
      <c r="C7" s="555" t="str">
        <f t="shared" si="0"/>
        <v xml:space="preserve">Flaw: Most people scream and run when they see a demon. I stop and take notes on its anatomy.
</v>
      </c>
      <c r="D7" s="491"/>
      <c r="M7" s="1290"/>
      <c r="N7" s="1290"/>
      <c r="O7" s="1290"/>
      <c r="P7" s="1290"/>
      <c r="Q7" s="1290"/>
      <c r="R7" s="1290"/>
      <c r="S7" s="1290"/>
      <c r="T7" s="1290"/>
    </row>
    <row r="8" spans="1:22" x14ac:dyDescent="0.25">
      <c r="A8" s="491" t="str">
        <f>"Personal Traits: "&amp;PersonalTrait1&amp;" "&amp;CHAR(10)&amp;PersonalTrait2</f>
        <v>Personal Traits: There’s nothing I like more than a good mystery. 
I’ve read every book in the world’s greatest libraries—or I like to boast that I have.</v>
      </c>
      <c r="C8" s="555" t="str">
        <f t="shared" si="0"/>
        <v xml:space="preserve">Personal Traits: There’s nothing I like more than a good mystery. 
I’ve read every book in the world’s greatest libraries—or I like to boast that I have.
</v>
      </c>
      <c r="D8" s="491"/>
      <c r="M8" s="1290"/>
      <c r="N8" s="1290"/>
      <c r="O8" s="1290"/>
      <c r="P8" s="1290"/>
      <c r="Q8" s="1290"/>
      <c r="R8" s="1290"/>
      <c r="S8" s="1290"/>
      <c r="T8" s="1290"/>
    </row>
    <row r="9" spans="1:22" x14ac:dyDescent="0.25">
      <c r="A9" t="str">
        <f>"Str:"&amp;Strength&amp;"("&amp;StrMod&amp;"), "&amp;"Dex:"&amp;Dexterity&amp;"("&amp;DexMOD&amp;"), "&amp;"Con:"&amp;Constitution&amp;"("&amp;ConMOD&amp;"), "&amp;"Int:"&amp;Intelligence&amp;"("&amp;IntMOD&amp;"), "&amp;"Wis:"&amp;Wisdom&amp;"("&amp;WisMOD&amp;"), "&amp;"Cha:"&amp;Charisma&amp;"("&amp;ChaMOD&amp;")"</f>
        <v>Str:20(5), Dex:12(1), Con:12(1), Int:20(5), Wis:10(0), Cha:10(0)</v>
      </c>
      <c r="C9" s="555" t="str">
        <f t="shared" si="0"/>
        <v xml:space="preserve">Str:20(5), Dex:12(1), Con:12(1), Int:20(5), Wis:10(0), Cha:10(0)
</v>
      </c>
      <c r="M9" s="1290"/>
      <c r="N9" s="1290"/>
      <c r="O9" s="1290"/>
      <c r="P9" s="1290"/>
      <c r="Q9" s="1290"/>
      <c r="R9" s="1290"/>
      <c r="S9" s="1290"/>
      <c r="T9" s="1290"/>
    </row>
    <row r="10" spans="1:22" x14ac:dyDescent="0.25">
      <c r="M10" s="1290"/>
      <c r="N10" s="1290"/>
      <c r="O10" s="1290"/>
      <c r="P10" s="1290"/>
      <c r="Q10" s="1290"/>
      <c r="R10" s="1290"/>
      <c r="S10" s="1290"/>
      <c r="T10" s="1290"/>
    </row>
    <row r="11" spans="1:22" x14ac:dyDescent="0.25">
      <c r="A11" t="str">
        <f>"Languages: "&amp;OutputLanguages</f>
        <v xml:space="preserve">Languages: Common, Draconic, Abyssal, Elvish, </v>
      </c>
      <c r="C11" s="557" t="str">
        <f t="shared" si="0"/>
        <v xml:space="preserve">Languages: Common, Draconic, Abyssal, Elvish, 
</v>
      </c>
      <c r="M11" s="1290"/>
      <c r="N11" s="1290"/>
      <c r="O11" s="1290"/>
      <c r="P11" s="1290"/>
      <c r="Q11" s="1290"/>
      <c r="R11" s="1290"/>
      <c r="S11" s="1290"/>
      <c r="T11" s="1290"/>
    </row>
    <row r="12" spans="1:22" x14ac:dyDescent="0.25">
      <c r="A12" t="str">
        <f>"Tools: "&amp;OutputTools</f>
        <v xml:space="preserve">Tools: Vehicles (land), Dice set, Alchemist’s supplies, </v>
      </c>
      <c r="C12" s="557" t="str">
        <f t="shared" si="0"/>
        <v xml:space="preserve">Tools: Vehicles (land), Dice set, Alchemist’s supplies, 
</v>
      </c>
      <c r="M12" s="1290"/>
      <c r="N12" s="1290"/>
      <c r="O12" s="1290"/>
      <c r="P12" s="1290"/>
      <c r="Q12" s="1290"/>
      <c r="R12" s="1290"/>
      <c r="S12" s="1290"/>
      <c r="T12" s="1290"/>
    </row>
    <row r="13" spans="1:22" x14ac:dyDescent="0.25">
      <c r="M13" s="1290"/>
      <c r="N13" s="1290"/>
      <c r="O13" s="1290"/>
      <c r="P13" s="1290"/>
      <c r="Q13" s="1290"/>
      <c r="R13" s="1290"/>
      <c r="S13" s="1290"/>
      <c r="T13" s="1290"/>
    </row>
    <row r="14" spans="1:22" x14ac:dyDescent="0.25">
      <c r="M14" s="1290"/>
      <c r="N14" s="1290"/>
      <c r="O14" s="1290"/>
      <c r="P14" s="1290"/>
      <c r="Q14" s="1290"/>
      <c r="R14" s="1290"/>
      <c r="S14" s="1290"/>
      <c r="T14" s="1290"/>
    </row>
    <row r="15" spans="1:22" x14ac:dyDescent="0.25">
      <c r="M15" s="1290"/>
      <c r="N15" s="1290"/>
      <c r="O15" s="1290"/>
      <c r="P15" s="1290"/>
      <c r="Q15" s="1290"/>
      <c r="R15" s="1290"/>
      <c r="S15" s="1290"/>
      <c r="T15" s="1290"/>
    </row>
    <row r="16" spans="1:22" x14ac:dyDescent="0.25">
      <c r="M16" s="1290"/>
      <c r="N16" s="1290"/>
      <c r="O16" s="1290"/>
      <c r="P16" s="1290"/>
      <c r="Q16" s="1290"/>
      <c r="R16" s="1290"/>
      <c r="S16" s="1290"/>
      <c r="T16" s="1290"/>
    </row>
    <row r="17" spans="13:20" x14ac:dyDescent="0.25">
      <c r="M17" s="1290"/>
      <c r="N17" s="1290"/>
      <c r="O17" s="1290"/>
      <c r="P17" s="1290"/>
      <c r="Q17" s="1290"/>
      <c r="R17" s="1290"/>
      <c r="S17" s="1290"/>
      <c r="T17" s="1290"/>
    </row>
    <row r="18" spans="13:20" x14ac:dyDescent="0.25">
      <c r="M18" s="1290"/>
      <c r="N18" s="1290"/>
      <c r="O18" s="1290"/>
      <c r="P18" s="1290"/>
      <c r="Q18" s="1290"/>
      <c r="R18" s="1290"/>
      <c r="S18" s="1290"/>
      <c r="T18" s="1290"/>
    </row>
    <row r="19" spans="13:20" x14ac:dyDescent="0.25">
      <c r="M19" s="1290"/>
      <c r="N19" s="1290"/>
      <c r="O19" s="1290"/>
      <c r="P19" s="1290"/>
      <c r="Q19" s="1290"/>
      <c r="R19" s="1290"/>
      <c r="S19" s="1290"/>
      <c r="T19" s="1290"/>
    </row>
    <row r="20" spans="13:20" x14ac:dyDescent="0.25">
      <c r="M20" s="1290"/>
      <c r="N20" s="1290"/>
      <c r="O20" s="1290"/>
      <c r="P20" s="1290"/>
      <c r="Q20" s="1290"/>
      <c r="R20" s="1290"/>
      <c r="S20" s="1290"/>
      <c r="T20" s="1290"/>
    </row>
    <row r="21" spans="13:20" x14ac:dyDescent="0.25">
      <c r="M21" s="1290"/>
      <c r="N21" s="1290"/>
      <c r="O21" s="1290"/>
      <c r="P21" s="1290"/>
      <c r="Q21" s="1290"/>
      <c r="R21" s="1290"/>
      <c r="S21" s="1290"/>
      <c r="T21" s="1290"/>
    </row>
    <row r="22" spans="13:20" x14ac:dyDescent="0.25">
      <c r="M22" s="1290"/>
      <c r="N22" s="1290"/>
      <c r="O22" s="1290"/>
      <c r="P22" s="1290"/>
      <c r="Q22" s="1290"/>
      <c r="R22" s="1290"/>
      <c r="S22" s="1290"/>
      <c r="T22" s="1290"/>
    </row>
    <row r="23" spans="13:20" x14ac:dyDescent="0.25">
      <c r="M23" s="1290"/>
      <c r="N23" s="1290"/>
      <c r="O23" s="1290"/>
      <c r="P23" s="1290"/>
      <c r="Q23" s="1290"/>
      <c r="R23" s="1290"/>
      <c r="S23" s="1290"/>
      <c r="T23" s="1290"/>
    </row>
    <row r="24" spans="13:20" x14ac:dyDescent="0.25">
      <c r="M24" s="1290"/>
      <c r="N24" s="1290"/>
      <c r="O24" s="1290"/>
      <c r="P24" s="1290"/>
      <c r="Q24" s="1290"/>
      <c r="R24" s="1290"/>
      <c r="S24" s="1290"/>
      <c r="T24" s="1290"/>
    </row>
    <row r="25" spans="13:20" x14ac:dyDescent="0.25">
      <c r="M25" s="1290"/>
      <c r="N25" s="1290"/>
      <c r="O25" s="1290"/>
      <c r="P25" s="1290"/>
      <c r="Q25" s="1290"/>
      <c r="R25" s="1290"/>
      <c r="S25" s="1290"/>
      <c r="T25" s="1290"/>
    </row>
    <row r="26" spans="13:20" x14ac:dyDescent="0.25">
      <c r="M26" s="1290"/>
      <c r="N26" s="1290"/>
      <c r="O26" s="1290"/>
      <c r="P26" s="1290"/>
      <c r="Q26" s="1290"/>
      <c r="R26" s="1290"/>
      <c r="S26" s="1290"/>
      <c r="T26" s="1290"/>
    </row>
    <row r="27" spans="13:20" x14ac:dyDescent="0.25">
      <c r="M27" s="1290"/>
      <c r="N27" s="1290"/>
      <c r="O27" s="1290"/>
      <c r="P27" s="1290"/>
      <c r="Q27" s="1290"/>
      <c r="R27" s="1290"/>
      <c r="S27" s="1290"/>
      <c r="T27" s="1290"/>
    </row>
    <row r="28" spans="13:20" x14ac:dyDescent="0.25">
      <c r="M28" s="1290"/>
      <c r="N28" s="1290"/>
      <c r="O28" s="1290"/>
      <c r="P28" s="1290"/>
      <c r="Q28" s="1290"/>
      <c r="R28" s="1290"/>
      <c r="S28" s="1290"/>
      <c r="T28" s="1290"/>
    </row>
    <row r="29" spans="13:20" x14ac:dyDescent="0.25">
      <c r="M29" s="1290"/>
      <c r="N29" s="1290"/>
      <c r="O29" s="1290"/>
      <c r="P29" s="1290"/>
      <c r="Q29" s="1290"/>
      <c r="R29" s="1290"/>
      <c r="S29" s="1290"/>
      <c r="T29" s="1290"/>
    </row>
    <row r="30" spans="13:20" x14ac:dyDescent="0.25">
      <c r="M30" s="1290"/>
      <c r="N30" s="1290"/>
      <c r="O30" s="1290"/>
      <c r="P30" s="1290"/>
      <c r="Q30" s="1290"/>
      <c r="R30" s="1290"/>
      <c r="S30" s="1290"/>
      <c r="T30" s="1290"/>
    </row>
    <row r="31" spans="13:20" x14ac:dyDescent="0.25">
      <c r="M31" s="1290"/>
      <c r="N31" s="1290"/>
      <c r="O31" s="1290"/>
      <c r="P31" s="1290"/>
      <c r="Q31" s="1290"/>
      <c r="R31" s="1290"/>
      <c r="S31" s="1290"/>
      <c r="T31" s="1290"/>
    </row>
    <row r="32" spans="13:20" x14ac:dyDescent="0.25">
      <c r="M32" s="1290"/>
      <c r="N32" s="1290"/>
      <c r="O32" s="1290"/>
      <c r="P32" s="1290"/>
      <c r="Q32" s="1290"/>
      <c r="R32" s="1290"/>
      <c r="S32" s="1290"/>
      <c r="T32" s="1290"/>
    </row>
    <row r="33" spans="13:20" x14ac:dyDescent="0.25">
      <c r="M33" s="1290"/>
      <c r="N33" s="1290"/>
      <c r="O33" s="1290"/>
      <c r="P33" s="1290"/>
      <c r="Q33" s="1290"/>
      <c r="R33" s="1290"/>
      <c r="S33" s="1290"/>
      <c r="T33" s="1290"/>
    </row>
    <row r="34" spans="13:20" x14ac:dyDescent="0.25">
      <c r="M34" s="1290"/>
      <c r="N34" s="1290"/>
      <c r="O34" s="1290"/>
      <c r="P34" s="1290"/>
      <c r="Q34" s="1290"/>
      <c r="R34" s="1290"/>
      <c r="S34" s="1290"/>
      <c r="T34" s="1290"/>
    </row>
    <row r="35" spans="13:20" x14ac:dyDescent="0.25">
      <c r="M35" s="1290"/>
      <c r="N35" s="1290"/>
      <c r="O35" s="1290"/>
      <c r="P35" s="1290"/>
      <c r="Q35" s="1290"/>
      <c r="R35" s="1290"/>
      <c r="S35" s="1290"/>
      <c r="T35" s="1290"/>
    </row>
    <row r="36" spans="13:20" x14ac:dyDescent="0.25">
      <c r="M36" s="1290"/>
      <c r="N36" s="1290"/>
      <c r="O36" s="1290"/>
      <c r="P36" s="1290"/>
      <c r="Q36" s="1290"/>
      <c r="R36" s="1290"/>
      <c r="S36" s="1290"/>
      <c r="T36" s="1290"/>
    </row>
    <row r="37" spans="13:20" x14ac:dyDescent="0.25">
      <c r="M37" s="1290"/>
      <c r="N37" s="1290"/>
      <c r="O37" s="1290"/>
      <c r="P37" s="1290"/>
      <c r="Q37" s="1290"/>
      <c r="R37" s="1290"/>
      <c r="S37" s="1290"/>
      <c r="T37" s="1290"/>
    </row>
    <row r="38" spans="13:20" x14ac:dyDescent="0.25">
      <c r="M38" s="1290"/>
      <c r="N38" s="1290"/>
      <c r="O38" s="1290"/>
      <c r="P38" s="1290"/>
      <c r="Q38" s="1290"/>
      <c r="R38" s="1290"/>
      <c r="S38" s="1290"/>
      <c r="T38" s="1290"/>
    </row>
    <row r="39" spans="13:20" x14ac:dyDescent="0.25">
      <c r="M39" s="1290"/>
      <c r="N39" s="1290"/>
      <c r="O39" s="1290"/>
      <c r="P39" s="1290"/>
      <c r="Q39" s="1290"/>
      <c r="R39" s="1290"/>
      <c r="S39" s="1290"/>
      <c r="T39" s="1290"/>
    </row>
    <row r="40" spans="13:20" x14ac:dyDescent="0.25">
      <c r="M40" s="1290"/>
      <c r="N40" s="1290"/>
      <c r="O40" s="1290"/>
      <c r="P40" s="1290"/>
      <c r="Q40" s="1290"/>
      <c r="R40" s="1290"/>
      <c r="S40" s="1290"/>
      <c r="T40" s="1290"/>
    </row>
    <row r="41" spans="13:20" x14ac:dyDescent="0.25">
      <c r="M41" s="1290"/>
      <c r="N41" s="1290"/>
      <c r="O41" s="1290"/>
      <c r="P41" s="1290"/>
      <c r="Q41" s="1290"/>
      <c r="R41" s="1290"/>
      <c r="S41" s="1290"/>
      <c r="T41" s="1290"/>
    </row>
    <row r="42" spans="13:20" x14ac:dyDescent="0.25">
      <c r="M42" s="1290"/>
      <c r="N42" s="1290"/>
      <c r="O42" s="1290"/>
      <c r="P42" s="1290"/>
      <c r="Q42" s="1290"/>
      <c r="R42" s="1290"/>
      <c r="S42" s="1290"/>
      <c r="T42" s="1290"/>
    </row>
    <row r="43" spans="13:20" x14ac:dyDescent="0.25">
      <c r="M43" s="1290"/>
      <c r="N43" s="1290"/>
      <c r="O43" s="1290"/>
      <c r="P43" s="1290"/>
      <c r="Q43" s="1290"/>
      <c r="R43" s="1290"/>
      <c r="S43" s="1290"/>
      <c r="T43" s="1290"/>
    </row>
    <row r="44" spans="13:20" x14ac:dyDescent="0.25">
      <c r="M44" s="1290"/>
      <c r="N44" s="1290"/>
      <c r="O44" s="1290"/>
      <c r="P44" s="1290"/>
      <c r="Q44" s="1290"/>
      <c r="R44" s="1290"/>
      <c r="S44" s="1290"/>
      <c r="T44" s="1290"/>
    </row>
    <row r="45" spans="13:20" x14ac:dyDescent="0.25">
      <c r="M45" s="1290"/>
      <c r="N45" s="1290"/>
      <c r="O45" s="1290"/>
      <c r="P45" s="1290"/>
      <c r="Q45" s="1290"/>
      <c r="R45" s="1290"/>
      <c r="S45" s="1290"/>
      <c r="T45" s="1290"/>
    </row>
    <row r="46" spans="13:20" x14ac:dyDescent="0.25">
      <c r="M46" s="1290"/>
      <c r="N46" s="1290"/>
      <c r="O46" s="1290"/>
      <c r="P46" s="1290"/>
      <c r="Q46" s="1290"/>
      <c r="R46" s="1290"/>
      <c r="S46" s="1290"/>
      <c r="T46" s="1290"/>
    </row>
    <row r="47" spans="13:20" x14ac:dyDescent="0.25">
      <c r="M47" s="1290"/>
      <c r="N47" s="1290"/>
      <c r="O47" s="1290"/>
      <c r="P47" s="1290"/>
      <c r="Q47" s="1290"/>
      <c r="R47" s="1290"/>
      <c r="S47" s="1290"/>
      <c r="T47" s="1290"/>
    </row>
    <row r="48" spans="13:20" x14ac:dyDescent="0.25">
      <c r="M48" s="1290"/>
      <c r="N48" s="1290"/>
      <c r="O48" s="1290"/>
      <c r="P48" s="1290"/>
      <c r="Q48" s="1290"/>
      <c r="R48" s="1290"/>
      <c r="S48" s="1290"/>
      <c r="T48" s="1290"/>
    </row>
    <row r="49" spans="13:20" x14ac:dyDescent="0.25">
      <c r="M49" s="1290"/>
      <c r="N49" s="1290"/>
      <c r="O49" s="1290"/>
      <c r="P49" s="1290"/>
      <c r="Q49" s="1290"/>
      <c r="R49" s="1290"/>
      <c r="S49" s="1290"/>
      <c r="T49" s="1290"/>
    </row>
    <row r="50" spans="13:20" x14ac:dyDescent="0.25">
      <c r="M50" s="1290"/>
      <c r="N50" s="1290"/>
      <c r="O50" s="1290"/>
      <c r="P50" s="1290"/>
      <c r="Q50" s="1290"/>
      <c r="R50" s="1290"/>
      <c r="S50" s="1290"/>
      <c r="T50" s="1290"/>
    </row>
    <row r="51" spans="13:20" x14ac:dyDescent="0.25">
      <c r="M51" s="1290"/>
      <c r="N51" s="1290"/>
      <c r="O51" s="1290"/>
      <c r="P51" s="1290"/>
      <c r="Q51" s="1290"/>
      <c r="R51" s="1290"/>
      <c r="S51" s="1290"/>
      <c r="T51" s="1290"/>
    </row>
    <row r="52" spans="13:20" x14ac:dyDescent="0.25">
      <c r="M52" s="1290"/>
      <c r="N52" s="1290"/>
      <c r="O52" s="1290"/>
      <c r="P52" s="1290"/>
      <c r="Q52" s="1290"/>
      <c r="R52" s="1290"/>
      <c r="S52" s="1290"/>
      <c r="T52" s="1290"/>
    </row>
    <row r="53" spans="13:20" x14ac:dyDescent="0.25">
      <c r="M53" s="1290"/>
      <c r="N53" s="1290"/>
      <c r="O53" s="1290"/>
      <c r="P53" s="1290"/>
      <c r="Q53" s="1290"/>
      <c r="R53" s="1290"/>
      <c r="S53" s="1290"/>
      <c r="T53" s="1290"/>
    </row>
    <row r="54" spans="13:20" x14ac:dyDescent="0.25">
      <c r="M54" s="1290"/>
      <c r="N54" s="1290"/>
      <c r="O54" s="1290"/>
      <c r="P54" s="1290"/>
      <c r="Q54" s="1290"/>
      <c r="R54" s="1290"/>
      <c r="S54" s="1290"/>
      <c r="T54" s="1290"/>
    </row>
    <row r="55" spans="13:20" x14ac:dyDescent="0.25">
      <c r="M55" s="1290"/>
      <c r="N55" s="1290"/>
      <c r="O55" s="1290"/>
      <c r="P55" s="1290"/>
      <c r="Q55" s="1290"/>
      <c r="R55" s="1290"/>
      <c r="S55" s="1290"/>
      <c r="T55" s="1290"/>
    </row>
    <row r="56" spans="13:20" x14ac:dyDescent="0.25">
      <c r="M56" s="1290"/>
      <c r="N56" s="1290"/>
      <c r="O56" s="1290"/>
      <c r="P56" s="1290"/>
      <c r="Q56" s="1290"/>
      <c r="R56" s="1290"/>
      <c r="S56" s="1290"/>
      <c r="T56" s="1290"/>
    </row>
    <row r="57" spans="13:20" x14ac:dyDescent="0.25">
      <c r="M57" s="1290"/>
      <c r="N57" s="1290"/>
      <c r="O57" s="1290"/>
      <c r="P57" s="1290"/>
      <c r="Q57" s="1290"/>
      <c r="R57" s="1290"/>
      <c r="S57" s="1290"/>
      <c r="T57" s="1290"/>
    </row>
    <row r="58" spans="13:20" x14ac:dyDescent="0.25">
      <c r="M58" s="1290"/>
      <c r="N58" s="1290"/>
      <c r="O58" s="1290"/>
      <c r="P58" s="1290"/>
      <c r="Q58" s="1290"/>
      <c r="R58" s="1290"/>
      <c r="S58" s="1290"/>
      <c r="T58" s="1290"/>
    </row>
    <row r="59" spans="13:20" x14ac:dyDescent="0.25">
      <c r="M59" s="1290"/>
      <c r="N59" s="1290"/>
      <c r="O59" s="1290"/>
      <c r="P59" s="1290"/>
      <c r="Q59" s="1290"/>
      <c r="R59" s="1290"/>
      <c r="S59" s="1290"/>
      <c r="T59" s="1290"/>
    </row>
    <row r="60" spans="13:20" x14ac:dyDescent="0.25">
      <c r="M60" s="1290"/>
      <c r="N60" s="1290"/>
      <c r="O60" s="1290"/>
      <c r="P60" s="1290"/>
      <c r="Q60" s="1290"/>
      <c r="R60" s="1290"/>
      <c r="S60" s="1290"/>
      <c r="T60" s="1290"/>
    </row>
    <row r="61" spans="13:20" x14ac:dyDescent="0.25">
      <c r="M61" s="1290"/>
      <c r="N61" s="1290"/>
      <c r="O61" s="1290"/>
      <c r="P61" s="1290"/>
      <c r="Q61" s="1290"/>
      <c r="R61" s="1290"/>
      <c r="S61" s="1290"/>
      <c r="T61" s="1290"/>
    </row>
    <row r="62" spans="13:20" x14ac:dyDescent="0.25">
      <c r="M62" s="1290"/>
      <c r="N62" s="1290"/>
      <c r="O62" s="1290"/>
      <c r="P62" s="1290"/>
      <c r="Q62" s="1290"/>
      <c r="R62" s="1290"/>
      <c r="S62" s="1290"/>
      <c r="T62" s="1290"/>
    </row>
    <row r="63" spans="13:20" x14ac:dyDescent="0.25">
      <c r="M63" s="1290"/>
      <c r="N63" s="1290"/>
      <c r="O63" s="1290"/>
      <c r="P63" s="1290"/>
      <c r="Q63" s="1290"/>
      <c r="R63" s="1290"/>
      <c r="S63" s="1290"/>
      <c r="T63" s="1290"/>
    </row>
    <row r="64" spans="13:20" x14ac:dyDescent="0.25">
      <c r="M64" s="1290"/>
      <c r="N64" s="1290"/>
      <c r="O64" s="1290"/>
      <c r="P64" s="1290"/>
      <c r="Q64" s="1290"/>
      <c r="R64" s="1290"/>
      <c r="S64" s="1290"/>
      <c r="T64" s="1290"/>
    </row>
    <row r="65" spans="13:20" x14ac:dyDescent="0.25">
      <c r="M65" s="1290"/>
      <c r="N65" s="1290"/>
      <c r="O65" s="1290"/>
      <c r="P65" s="1290"/>
      <c r="Q65" s="1290"/>
      <c r="R65" s="1290"/>
      <c r="S65" s="1290"/>
      <c r="T65" s="1290"/>
    </row>
    <row r="66" spans="13:20" x14ac:dyDescent="0.25">
      <c r="M66" s="1290"/>
      <c r="N66" s="1290"/>
      <c r="O66" s="1290"/>
      <c r="P66" s="1290"/>
      <c r="Q66" s="1290"/>
      <c r="R66" s="1290"/>
      <c r="S66" s="1290"/>
      <c r="T66" s="1290"/>
    </row>
    <row r="67" spans="13:20" x14ac:dyDescent="0.25">
      <c r="M67" s="1290"/>
      <c r="N67" s="1290"/>
      <c r="O67" s="1290"/>
      <c r="P67" s="1290"/>
      <c r="Q67" s="1290"/>
      <c r="R67" s="1290"/>
      <c r="S67" s="1290"/>
      <c r="T67" s="1290"/>
    </row>
    <row r="68" spans="13:20" x14ac:dyDescent="0.25">
      <c r="M68" s="1290"/>
      <c r="N68" s="1290"/>
      <c r="O68" s="1290"/>
      <c r="P68" s="1290"/>
      <c r="Q68" s="1290"/>
      <c r="R68" s="1290"/>
      <c r="S68" s="1290"/>
      <c r="T68" s="1290"/>
    </row>
    <row r="69" spans="13:20" x14ac:dyDescent="0.25">
      <c r="M69" s="1290"/>
      <c r="N69" s="1290"/>
      <c r="O69" s="1290"/>
      <c r="P69" s="1290"/>
      <c r="Q69" s="1290"/>
      <c r="R69" s="1290"/>
      <c r="S69" s="1290"/>
      <c r="T69" s="1290"/>
    </row>
    <row r="70" spans="13:20" x14ac:dyDescent="0.25">
      <c r="M70" s="1290"/>
      <c r="N70" s="1290"/>
      <c r="O70" s="1290"/>
      <c r="P70" s="1290"/>
      <c r="Q70" s="1290"/>
      <c r="R70" s="1290"/>
      <c r="S70" s="1290"/>
      <c r="T70" s="1290"/>
    </row>
    <row r="71" spans="13:20" x14ac:dyDescent="0.25">
      <c r="M71" s="1290"/>
      <c r="N71" s="1290"/>
      <c r="O71" s="1290"/>
      <c r="P71" s="1290"/>
      <c r="Q71" s="1290"/>
      <c r="R71" s="1290"/>
      <c r="S71" s="1290"/>
      <c r="T71" s="1290"/>
    </row>
    <row r="72" spans="13:20" x14ac:dyDescent="0.25">
      <c r="M72" s="1290"/>
      <c r="N72" s="1290"/>
      <c r="O72" s="1290"/>
      <c r="P72" s="1290"/>
      <c r="Q72" s="1290"/>
      <c r="R72" s="1290"/>
      <c r="S72" s="1290"/>
      <c r="T72" s="1290"/>
    </row>
    <row r="73" spans="13:20" x14ac:dyDescent="0.25">
      <c r="M73" s="1290"/>
      <c r="N73" s="1290"/>
      <c r="O73" s="1290"/>
      <c r="P73" s="1290"/>
      <c r="Q73" s="1290"/>
      <c r="R73" s="1290"/>
      <c r="S73" s="1290"/>
      <c r="T73" s="1290"/>
    </row>
    <row r="74" spans="13:20" x14ac:dyDescent="0.25">
      <c r="M74" s="1290"/>
      <c r="N74" s="1290"/>
      <c r="O74" s="1290"/>
      <c r="P74" s="1290"/>
      <c r="Q74" s="1290"/>
      <c r="R74" s="1290"/>
      <c r="S74" s="1290"/>
      <c r="T74" s="1290"/>
    </row>
    <row r="75" spans="13:20" x14ac:dyDescent="0.25">
      <c r="M75" s="1290"/>
      <c r="N75" s="1290"/>
      <c r="O75" s="1290"/>
      <c r="P75" s="1290"/>
      <c r="Q75" s="1290"/>
      <c r="R75" s="1290"/>
      <c r="S75" s="1290"/>
      <c r="T75" s="1290"/>
    </row>
    <row r="76" spans="13:20" x14ac:dyDescent="0.25">
      <c r="M76" s="1290"/>
      <c r="N76" s="1290"/>
      <c r="O76" s="1290"/>
      <c r="P76" s="1290"/>
      <c r="Q76" s="1290"/>
      <c r="R76" s="1290"/>
      <c r="S76" s="1290"/>
      <c r="T76" s="1290"/>
    </row>
    <row r="77" spans="13:20" x14ac:dyDescent="0.25">
      <c r="M77" s="1290"/>
      <c r="N77" s="1290"/>
      <c r="O77" s="1290"/>
      <c r="P77" s="1290"/>
      <c r="Q77" s="1290"/>
      <c r="R77" s="1290"/>
      <c r="S77" s="1290"/>
      <c r="T77" s="1290"/>
    </row>
    <row r="78" spans="13:20" x14ac:dyDescent="0.25">
      <c r="M78" s="1290"/>
      <c r="N78" s="1290"/>
      <c r="O78" s="1290"/>
      <c r="P78" s="1290"/>
      <c r="Q78" s="1290"/>
      <c r="R78" s="1290"/>
      <c r="S78" s="1290"/>
      <c r="T78" s="1290"/>
    </row>
    <row r="79" spans="13:20" x14ac:dyDescent="0.25">
      <c r="M79" s="1290"/>
      <c r="N79" s="1290"/>
      <c r="O79" s="1290"/>
      <c r="P79" s="1290"/>
      <c r="Q79" s="1290"/>
      <c r="R79" s="1290"/>
      <c r="S79" s="1290"/>
      <c r="T79" s="1290"/>
    </row>
    <row r="80" spans="13:20" x14ac:dyDescent="0.25">
      <c r="M80" s="1290"/>
      <c r="N80" s="1290"/>
      <c r="O80" s="1290"/>
      <c r="P80" s="1290"/>
      <c r="Q80" s="1290"/>
      <c r="R80" s="1290"/>
      <c r="S80" s="1290"/>
      <c r="T80" s="1290"/>
    </row>
    <row r="81" spans="13:20" x14ac:dyDescent="0.25">
      <c r="M81" s="1290"/>
      <c r="N81" s="1290"/>
      <c r="O81" s="1290"/>
      <c r="P81" s="1290"/>
      <c r="Q81" s="1290"/>
      <c r="R81" s="1290"/>
      <c r="S81" s="1290"/>
      <c r="T81" s="1290"/>
    </row>
    <row r="82" spans="13:20" x14ac:dyDescent="0.25">
      <c r="M82" s="1290"/>
      <c r="N82" s="1290"/>
      <c r="O82" s="1290"/>
      <c r="P82" s="1290"/>
      <c r="Q82" s="1290"/>
      <c r="R82" s="1290"/>
      <c r="S82" s="1290"/>
      <c r="T82" s="1290"/>
    </row>
    <row r="83" spans="13:20" x14ac:dyDescent="0.25">
      <c r="M83" s="1290"/>
      <c r="N83" s="1290"/>
      <c r="O83" s="1290"/>
      <c r="P83" s="1290"/>
      <c r="Q83" s="1290"/>
      <c r="R83" s="1290"/>
      <c r="S83" s="1290"/>
      <c r="T83" s="1290"/>
    </row>
    <row r="84" spans="13:20" x14ac:dyDescent="0.25">
      <c r="M84" s="1290"/>
      <c r="N84" s="1290"/>
      <c r="O84" s="1290"/>
      <c r="P84" s="1290"/>
      <c r="Q84" s="1290"/>
      <c r="R84" s="1290"/>
      <c r="S84" s="1290"/>
      <c r="T84" s="1290"/>
    </row>
    <row r="85" spans="13:20" x14ac:dyDescent="0.25">
      <c r="M85" s="1290"/>
      <c r="N85" s="1290"/>
      <c r="O85" s="1290"/>
      <c r="P85" s="1290"/>
      <c r="Q85" s="1290"/>
      <c r="R85" s="1290"/>
      <c r="S85" s="1290"/>
      <c r="T85" s="1290"/>
    </row>
    <row r="86" spans="13:20" x14ac:dyDescent="0.25">
      <c r="M86" s="1290"/>
      <c r="N86" s="1290"/>
      <c r="O86" s="1290"/>
      <c r="P86" s="1290"/>
      <c r="Q86" s="1290"/>
      <c r="R86" s="1290"/>
      <c r="S86" s="1290"/>
      <c r="T86" s="1290"/>
    </row>
    <row r="87" spans="13:20" x14ac:dyDescent="0.25">
      <c r="M87" s="1290"/>
      <c r="N87" s="1290"/>
      <c r="O87" s="1290"/>
      <c r="P87" s="1290"/>
      <c r="Q87" s="1290"/>
      <c r="R87" s="1290"/>
      <c r="S87" s="1290"/>
      <c r="T87" s="1290"/>
    </row>
    <row r="88" spans="13:20" x14ac:dyDescent="0.25">
      <c r="M88" s="1290"/>
      <c r="N88" s="1290"/>
      <c r="O88" s="1290"/>
      <c r="P88" s="1290"/>
      <c r="Q88" s="1290"/>
      <c r="R88" s="1290"/>
      <c r="S88" s="1290"/>
      <c r="T88" s="1290"/>
    </row>
    <row r="89" spans="13:20" x14ac:dyDescent="0.25">
      <c r="M89" s="1290"/>
      <c r="N89" s="1290"/>
      <c r="O89" s="1290"/>
      <c r="P89" s="1290"/>
      <c r="Q89" s="1290"/>
      <c r="R89" s="1290"/>
      <c r="S89" s="1290"/>
      <c r="T89" s="1290"/>
    </row>
    <row r="90" spans="13:20" x14ac:dyDescent="0.25">
      <c r="M90" s="1290"/>
      <c r="N90" s="1290"/>
      <c r="O90" s="1290"/>
      <c r="P90" s="1290"/>
      <c r="Q90" s="1290"/>
      <c r="R90" s="1290"/>
      <c r="S90" s="1290"/>
      <c r="T90" s="1290"/>
    </row>
    <row r="91" spans="13:20" x14ac:dyDescent="0.25">
      <c r="M91" s="1290"/>
      <c r="N91" s="1290"/>
      <c r="O91" s="1290"/>
      <c r="P91" s="1290"/>
      <c r="Q91" s="1290"/>
      <c r="R91" s="1290"/>
      <c r="S91" s="1290"/>
      <c r="T91" s="1290"/>
    </row>
    <row r="92" spans="13:20" x14ac:dyDescent="0.25">
      <c r="M92" s="1290"/>
      <c r="N92" s="1290"/>
      <c r="O92" s="1290"/>
      <c r="P92" s="1290"/>
      <c r="Q92" s="1290"/>
      <c r="R92" s="1290"/>
      <c r="S92" s="1290"/>
      <c r="T92" s="1290"/>
    </row>
    <row r="93" spans="13:20" x14ac:dyDescent="0.25">
      <c r="M93" s="1290"/>
      <c r="N93" s="1290"/>
      <c r="O93" s="1290"/>
      <c r="P93" s="1290"/>
      <c r="Q93" s="1290"/>
      <c r="R93" s="1290"/>
      <c r="S93" s="1290"/>
      <c r="T93" s="1290"/>
    </row>
    <row r="94" spans="13:20" x14ac:dyDescent="0.25">
      <c r="M94" s="1290"/>
      <c r="N94" s="1290"/>
      <c r="O94" s="1290"/>
      <c r="P94" s="1290"/>
      <c r="Q94" s="1290"/>
      <c r="R94" s="1290"/>
      <c r="S94" s="1290"/>
      <c r="T94" s="1290"/>
    </row>
    <row r="95" spans="13:20" x14ac:dyDescent="0.25">
      <c r="M95" s="1290"/>
      <c r="N95" s="1290"/>
      <c r="O95" s="1290"/>
      <c r="P95" s="1290"/>
      <c r="Q95" s="1290"/>
      <c r="R95" s="1290"/>
      <c r="S95" s="1290"/>
      <c r="T95" s="1290"/>
    </row>
    <row r="96" spans="13:20" x14ac:dyDescent="0.25">
      <c r="M96" s="1290"/>
      <c r="N96" s="1290"/>
      <c r="O96" s="1290"/>
      <c r="P96" s="1290"/>
      <c r="Q96" s="1290"/>
      <c r="R96" s="1290"/>
      <c r="S96" s="1290"/>
      <c r="T96" s="1290"/>
    </row>
    <row r="97" spans="13:20" x14ac:dyDescent="0.25">
      <c r="M97" s="1290"/>
      <c r="N97" s="1290"/>
      <c r="O97" s="1290"/>
      <c r="P97" s="1290"/>
      <c r="Q97" s="1290"/>
      <c r="R97" s="1290"/>
      <c r="S97" s="1290"/>
      <c r="T97" s="1290"/>
    </row>
    <row r="98" spans="13:20" x14ac:dyDescent="0.25">
      <c r="M98" s="1290"/>
      <c r="N98" s="1290"/>
      <c r="O98" s="1290"/>
      <c r="P98" s="1290"/>
      <c r="Q98" s="1290"/>
      <c r="R98" s="1290"/>
      <c r="S98" s="1290"/>
      <c r="T98" s="1290"/>
    </row>
    <row r="99" spans="13:20" x14ac:dyDescent="0.25">
      <c r="M99" s="1290"/>
      <c r="N99" s="1290"/>
      <c r="O99" s="1290"/>
      <c r="P99" s="1290"/>
      <c r="Q99" s="1290"/>
      <c r="R99" s="1290"/>
      <c r="S99" s="1290"/>
      <c r="T99" s="1290"/>
    </row>
    <row r="100" spans="13:20" x14ac:dyDescent="0.25">
      <c r="M100" s="1290"/>
      <c r="N100" s="1290"/>
      <c r="O100" s="1290"/>
      <c r="P100" s="1290"/>
      <c r="Q100" s="1290"/>
      <c r="R100" s="1290"/>
      <c r="S100" s="1290"/>
      <c r="T100" s="1290"/>
    </row>
  </sheetData>
  <mergeCells count="1">
    <mergeCell ref="M2:T100"/>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9">
    <tabColor theme="7" tint="0.39997558519241921"/>
  </sheetPr>
  <dimension ref="A1:J15"/>
  <sheetViews>
    <sheetView workbookViewId="0">
      <selection activeCell="H17" sqref="H17"/>
    </sheetView>
  </sheetViews>
  <sheetFormatPr defaultRowHeight="15" x14ac:dyDescent="0.25"/>
  <sheetData>
    <row r="1" spans="1:10" ht="15.75" thickBot="1" x14ac:dyDescent="0.3">
      <c r="A1" s="466" t="s">
        <v>88</v>
      </c>
      <c r="B1" s="466" t="s">
        <v>89</v>
      </c>
      <c r="C1" s="466" t="s">
        <v>90</v>
      </c>
      <c r="D1" s="466" t="s">
        <v>91</v>
      </c>
      <c r="E1" s="701" t="s">
        <v>7453</v>
      </c>
      <c r="F1" s="466" t="s">
        <v>92</v>
      </c>
      <c r="G1" s="466" t="s">
        <v>93</v>
      </c>
      <c r="H1" s="466" t="s">
        <v>75</v>
      </c>
      <c r="I1" s="467" t="s">
        <v>94</v>
      </c>
      <c r="J1" s="468" t="s">
        <v>177</v>
      </c>
    </row>
    <row r="2" spans="1:10" x14ac:dyDescent="0.25">
      <c r="A2" s="4" t="s">
        <v>95</v>
      </c>
      <c r="B2" s="4" t="s">
        <v>95</v>
      </c>
      <c r="C2" s="4"/>
      <c r="D2" s="4"/>
      <c r="E2" s="704"/>
      <c r="F2" s="4"/>
      <c r="G2" s="4"/>
      <c r="H2" s="4"/>
      <c r="I2" s="234"/>
      <c r="J2" s="241"/>
    </row>
    <row r="3" spans="1:10" x14ac:dyDescent="0.25">
      <c r="A3" s="4" t="s">
        <v>4155</v>
      </c>
      <c r="B3" s="4" t="s">
        <v>96</v>
      </c>
      <c r="C3" s="4">
        <v>5</v>
      </c>
      <c r="D3" s="4">
        <v>11</v>
      </c>
      <c r="E3" s="704"/>
      <c r="F3" s="4"/>
      <c r="G3" s="4"/>
      <c r="H3" s="6" t="s">
        <v>97</v>
      </c>
      <c r="I3" s="234">
        <v>8</v>
      </c>
      <c r="J3" s="242" t="str">
        <f>B3&amp;": "&amp;A3&amp;", "&amp;"AC: "&amp;D3&amp;", "&amp;IF(F3="","","Max. Dexterity Bonus: "&amp;F3&amp;", ")&amp;IF(G3="","","Min. Strength: "&amp;G3&amp;", ")&amp;IF(H3="","","Stealh "&amp;H3&amp;", ")</f>
        <v xml:space="preserve">Padded Armor: Light Armor, AC: 11, Stealh Disadvantage, </v>
      </c>
    </row>
    <row r="4" spans="1:10" x14ac:dyDescent="0.25">
      <c r="A4" s="4" t="s">
        <v>4155</v>
      </c>
      <c r="B4" s="4" t="s">
        <v>98</v>
      </c>
      <c r="C4" s="4">
        <v>10</v>
      </c>
      <c r="D4" s="4">
        <v>11</v>
      </c>
      <c r="E4" s="704"/>
      <c r="F4" s="4"/>
      <c r="G4" s="4"/>
      <c r="H4" s="4"/>
      <c r="I4" s="234">
        <v>10</v>
      </c>
      <c r="J4" s="242" t="str">
        <f t="shared" ref="J4:J15" si="0">B4&amp;": "&amp;A4&amp;", "&amp;"AC: "&amp;D4&amp;", "&amp;IF(F4="","","Max. Dexterity Bonus: "&amp;F4&amp;", ")&amp;IF(G4="","","Min. Strength: "&amp;G4&amp;", ")&amp;IF(H4="","","Stealh "&amp;H4&amp;", ")</f>
        <v xml:space="preserve">Leather Armor: Light Armor, AC: 11, </v>
      </c>
    </row>
    <row r="5" spans="1:10" x14ac:dyDescent="0.25">
      <c r="A5" s="4" t="s">
        <v>4155</v>
      </c>
      <c r="B5" s="4" t="s">
        <v>99</v>
      </c>
      <c r="C5" s="4">
        <v>45</v>
      </c>
      <c r="D5" s="4">
        <v>12</v>
      </c>
      <c r="E5" s="704"/>
      <c r="F5" s="4"/>
      <c r="G5" s="4"/>
      <c r="H5" s="4"/>
      <c r="I5" s="234">
        <v>13</v>
      </c>
      <c r="J5" s="242" t="str">
        <f t="shared" si="0"/>
        <v xml:space="preserve">Studded Leather: Light Armor, AC: 12, </v>
      </c>
    </row>
    <row r="6" spans="1:10" x14ac:dyDescent="0.25">
      <c r="A6" s="4" t="s">
        <v>6108</v>
      </c>
      <c r="B6" s="4" t="s">
        <v>100</v>
      </c>
      <c r="C6" s="4">
        <v>10</v>
      </c>
      <c r="D6" s="4">
        <v>12</v>
      </c>
      <c r="E6" s="704"/>
      <c r="F6" s="4">
        <v>2</v>
      </c>
      <c r="G6" s="4"/>
      <c r="H6" s="4"/>
      <c r="I6" s="234">
        <v>12</v>
      </c>
      <c r="J6" s="242" t="str">
        <f t="shared" si="0"/>
        <v xml:space="preserve">Hide: Medium Armor, AC: 12, Max. Dexterity Bonus: 2, </v>
      </c>
    </row>
    <row r="7" spans="1:10" x14ac:dyDescent="0.25">
      <c r="A7" s="4" t="s">
        <v>6108</v>
      </c>
      <c r="B7" s="4" t="s">
        <v>101</v>
      </c>
      <c r="C7" s="4">
        <v>50</v>
      </c>
      <c r="D7" s="4">
        <v>13</v>
      </c>
      <c r="E7" s="704"/>
      <c r="F7" s="4">
        <v>2</v>
      </c>
      <c r="G7" s="4"/>
      <c r="H7" s="4"/>
      <c r="I7" s="234">
        <v>20</v>
      </c>
      <c r="J7" s="242" t="str">
        <f t="shared" si="0"/>
        <v xml:space="preserve">Chain Shirt: Medium Armor, AC: 13, Max. Dexterity Bonus: 2, </v>
      </c>
    </row>
    <row r="8" spans="1:10" x14ac:dyDescent="0.25">
      <c r="A8" s="4" t="s">
        <v>6108</v>
      </c>
      <c r="B8" s="4" t="s">
        <v>102</v>
      </c>
      <c r="C8" s="4">
        <v>50</v>
      </c>
      <c r="D8" s="4">
        <v>14</v>
      </c>
      <c r="E8" s="704"/>
      <c r="F8" s="4">
        <v>2</v>
      </c>
      <c r="G8" s="4"/>
      <c r="H8" s="6" t="s">
        <v>97</v>
      </c>
      <c r="I8" s="234">
        <v>45</v>
      </c>
      <c r="J8" s="242" t="str">
        <f t="shared" si="0"/>
        <v xml:space="preserve">Scale Mail: Medium Armor, AC: 14, Max. Dexterity Bonus: 2, Stealh Disadvantage, </v>
      </c>
    </row>
    <row r="9" spans="1:10" x14ac:dyDescent="0.25">
      <c r="A9" s="4" t="s">
        <v>6108</v>
      </c>
      <c r="B9" s="4" t="s">
        <v>103</v>
      </c>
      <c r="C9" s="4">
        <v>400</v>
      </c>
      <c r="D9" s="4">
        <v>14</v>
      </c>
      <c r="E9" s="704"/>
      <c r="F9" s="4">
        <v>2</v>
      </c>
      <c r="G9" s="4"/>
      <c r="H9" s="4"/>
      <c r="I9" s="234">
        <v>20</v>
      </c>
      <c r="J9" s="242" t="str">
        <f t="shared" si="0"/>
        <v xml:space="preserve">Breastplate: Medium Armor, AC: 14, Max. Dexterity Bonus: 2, </v>
      </c>
    </row>
    <row r="10" spans="1:10" x14ac:dyDescent="0.25">
      <c r="A10" s="4" t="s">
        <v>6108</v>
      </c>
      <c r="B10" s="4" t="s">
        <v>104</v>
      </c>
      <c r="C10" s="4">
        <v>750</v>
      </c>
      <c r="D10" s="4">
        <v>15</v>
      </c>
      <c r="E10" s="704"/>
      <c r="F10" s="4">
        <v>2</v>
      </c>
      <c r="G10" s="4"/>
      <c r="H10" s="6" t="s">
        <v>97</v>
      </c>
      <c r="I10" s="234">
        <v>40</v>
      </c>
      <c r="J10" s="242" t="str">
        <f t="shared" si="0"/>
        <v xml:space="preserve">Half Plate: Medium Armor, AC: 15, Max. Dexterity Bonus: 2, Stealh Disadvantage, </v>
      </c>
    </row>
    <row r="11" spans="1:10" x14ac:dyDescent="0.25">
      <c r="A11" s="4" t="s">
        <v>6109</v>
      </c>
      <c r="B11" s="4" t="s">
        <v>105</v>
      </c>
      <c r="C11" s="4">
        <v>30</v>
      </c>
      <c r="D11" s="4">
        <v>14</v>
      </c>
      <c r="E11" s="704"/>
      <c r="F11" s="4">
        <v>0</v>
      </c>
      <c r="G11" s="4"/>
      <c r="H11" s="6" t="s">
        <v>97</v>
      </c>
      <c r="I11" s="234">
        <v>40</v>
      </c>
      <c r="J11" s="242" t="str">
        <f t="shared" si="0"/>
        <v xml:space="preserve">Ring Mail: Heavy Armor, AC: 14, Max. Dexterity Bonus: 0, Stealh Disadvantage, </v>
      </c>
    </row>
    <row r="12" spans="1:10" x14ac:dyDescent="0.25">
      <c r="A12" s="4" t="s">
        <v>6109</v>
      </c>
      <c r="B12" s="4" t="s">
        <v>106</v>
      </c>
      <c r="C12" s="4">
        <v>75</v>
      </c>
      <c r="D12" s="4">
        <v>16</v>
      </c>
      <c r="E12" s="704"/>
      <c r="F12" s="4">
        <v>0</v>
      </c>
      <c r="G12" s="4">
        <v>13</v>
      </c>
      <c r="H12" s="6" t="s">
        <v>97</v>
      </c>
      <c r="I12" s="234">
        <v>55</v>
      </c>
      <c r="J12" s="242" t="str">
        <f t="shared" si="0"/>
        <v xml:space="preserve">Chain Mail: Heavy Armor, AC: 16, Max. Dexterity Bonus: 0, Min. Strength: 13, Stealh Disadvantage, </v>
      </c>
    </row>
    <row r="13" spans="1:10" x14ac:dyDescent="0.25">
      <c r="A13" s="4" t="s">
        <v>6109</v>
      </c>
      <c r="B13" s="4" t="s">
        <v>107</v>
      </c>
      <c r="C13" s="4">
        <v>200</v>
      </c>
      <c r="D13" s="4">
        <v>17</v>
      </c>
      <c r="E13" s="704"/>
      <c r="F13" s="4">
        <v>0</v>
      </c>
      <c r="G13" s="4">
        <v>15</v>
      </c>
      <c r="H13" s="6" t="s">
        <v>97</v>
      </c>
      <c r="I13" s="234">
        <v>60</v>
      </c>
      <c r="J13" s="242" t="str">
        <f t="shared" si="0"/>
        <v xml:space="preserve">Splint: Heavy Armor, AC: 17, Max. Dexterity Bonus: 0, Min. Strength: 15, Stealh Disadvantage, </v>
      </c>
    </row>
    <row r="14" spans="1:10" x14ac:dyDescent="0.25">
      <c r="A14" s="4" t="s">
        <v>6109</v>
      </c>
      <c r="B14" s="4" t="s">
        <v>108</v>
      </c>
      <c r="C14" s="4">
        <v>1500</v>
      </c>
      <c r="D14" s="4">
        <v>18</v>
      </c>
      <c r="E14" s="704"/>
      <c r="F14" s="4">
        <v>0</v>
      </c>
      <c r="G14" s="4">
        <v>15</v>
      </c>
      <c r="H14" s="6" t="s">
        <v>97</v>
      </c>
      <c r="I14" s="234">
        <v>65</v>
      </c>
      <c r="J14" s="242" t="str">
        <f t="shared" si="0"/>
        <v xml:space="preserve">Plate: Heavy Armor, AC: 18, Max. Dexterity Bonus: 0, Min. Strength: 15, Stealh Disadvantage, </v>
      </c>
    </row>
    <row r="15" spans="1:10" ht="15.75" thickBot="1" x14ac:dyDescent="0.3">
      <c r="A15" s="4" t="s">
        <v>110</v>
      </c>
      <c r="B15" s="6" t="s">
        <v>110</v>
      </c>
      <c r="C15" s="4">
        <v>10</v>
      </c>
      <c r="D15" s="4">
        <v>2</v>
      </c>
      <c r="E15" s="704"/>
      <c r="F15" s="4"/>
      <c r="G15" s="4"/>
      <c r="H15" s="4"/>
      <c r="I15" s="234">
        <v>6</v>
      </c>
      <c r="J15" s="243" t="str">
        <f t="shared" si="0"/>
        <v xml:space="preserve">Shield: Shield, AC: 2, </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10">
    <tabColor theme="7" tint="0.39997558519241921"/>
  </sheetPr>
  <dimension ref="A1:W39"/>
  <sheetViews>
    <sheetView workbookViewId="0">
      <pane ySplit="1" topLeftCell="A14" activePane="bottomLeft" state="frozen"/>
      <selection activeCell="I1" sqref="I1"/>
      <selection pane="bottomLeft" activeCell="I39" sqref="I39"/>
    </sheetView>
  </sheetViews>
  <sheetFormatPr defaultRowHeight="15" outlineLevelCol="1" x14ac:dyDescent="0.25"/>
  <cols>
    <col min="2" max="8" width="9.140625" customWidth="1" outlineLevel="1"/>
    <col min="9" max="9" width="40.28515625" bestFit="1" customWidth="1" outlineLevel="1"/>
    <col min="10" max="22" width="9.140625" customWidth="1" outlineLevel="1"/>
    <col min="23" max="23" width="29.42578125" customWidth="1" outlineLevel="1"/>
  </cols>
  <sheetData>
    <row r="1" spans="1:23" ht="15.75" thickBot="1" x14ac:dyDescent="0.3">
      <c r="A1" s="458" t="s">
        <v>111</v>
      </c>
      <c r="B1" s="458" t="s">
        <v>90</v>
      </c>
      <c r="C1" s="458" t="s">
        <v>94</v>
      </c>
      <c r="D1" s="458" t="s">
        <v>161</v>
      </c>
      <c r="E1" s="458" t="s">
        <v>169</v>
      </c>
      <c r="F1" s="458" t="s">
        <v>170</v>
      </c>
      <c r="G1" s="702" t="s">
        <v>7454</v>
      </c>
      <c r="H1" s="469" t="s">
        <v>112</v>
      </c>
      <c r="I1" s="471" t="s">
        <v>177</v>
      </c>
      <c r="J1" s="470" t="s">
        <v>162</v>
      </c>
      <c r="K1" s="458" t="s">
        <v>160</v>
      </c>
      <c r="L1" s="458" t="s">
        <v>166</v>
      </c>
      <c r="M1" s="458" t="s">
        <v>167</v>
      </c>
      <c r="N1" s="458" t="s">
        <v>139</v>
      </c>
      <c r="O1" s="458" t="s">
        <v>115</v>
      </c>
      <c r="P1" s="458" t="s">
        <v>154</v>
      </c>
      <c r="Q1" s="458" t="s">
        <v>163</v>
      </c>
      <c r="R1" s="458" t="s">
        <v>150</v>
      </c>
      <c r="S1" s="458" t="s">
        <v>122</v>
      </c>
      <c r="T1" s="458" t="s">
        <v>164</v>
      </c>
      <c r="U1" s="458" t="s">
        <v>165</v>
      </c>
      <c r="V1" s="458" t="s">
        <v>168</v>
      </c>
      <c r="W1" s="458" t="s">
        <v>168</v>
      </c>
    </row>
    <row r="2" spans="1:23" x14ac:dyDescent="0.25">
      <c r="A2" s="4" t="s">
        <v>35</v>
      </c>
      <c r="B2" s="4">
        <v>10</v>
      </c>
      <c r="C2" s="4">
        <v>4</v>
      </c>
      <c r="D2" s="4" t="s">
        <v>172</v>
      </c>
      <c r="E2" s="4" t="s">
        <v>126</v>
      </c>
      <c r="F2" s="4" t="s">
        <v>128</v>
      </c>
      <c r="G2" s="703"/>
      <c r="H2" s="234" t="s">
        <v>114</v>
      </c>
      <c r="I2" s="244" t="str">
        <f t="shared" ref="I2:I19" si="0">A2&amp;":"&amp;"  "&amp;D2&amp;", "&amp;"Damage "&amp;E2&amp;", "&amp;H2&amp;", "&amp;IF(J2="yes","Reach, ","")&amp;IF(K2="yes","Ranged, ","")&amp;IF(L2="","",L2&amp;" ft./")&amp;IF(M2="","",M2&amp;" ft., ")&amp;IF(N2="Yes","Thrown, ","")&amp;IF(O2="yes","Versatile, ","")&amp;IF(P2="yes","Ammuntion, ","")&amp;IF(Q2="yes","Loading, ","")&amp;IF(R2="yes","Finesse, ","")&amp;IF(S2="yes","Light, ","")&amp;IF(T2="yes","Heavy ","")&amp;IF(U2="yes","Two-Handed, ","")&amp;IF(V2="Yes",W2,"")</f>
        <v xml:space="preserve">Battleaxe:  Martial , Damage 1d8, Slashing, Versatile, Heavy </v>
      </c>
      <c r="J2" s="166"/>
      <c r="K2" s="4"/>
      <c r="L2" s="4"/>
      <c r="M2" s="4"/>
      <c r="N2" s="4"/>
      <c r="O2" s="5" t="s">
        <v>171</v>
      </c>
      <c r="P2" s="4"/>
      <c r="Q2" s="4"/>
      <c r="R2" s="4"/>
      <c r="S2" s="4"/>
      <c r="T2" s="4" t="s">
        <v>171</v>
      </c>
      <c r="U2" s="4"/>
      <c r="V2" s="4"/>
      <c r="W2" s="4"/>
    </row>
    <row r="3" spans="1:23" x14ac:dyDescent="0.25">
      <c r="A3" s="4" t="s">
        <v>116</v>
      </c>
      <c r="B3" s="4">
        <v>10</v>
      </c>
      <c r="C3" s="4">
        <v>1</v>
      </c>
      <c r="D3" s="4" t="s">
        <v>172</v>
      </c>
      <c r="E3" s="4">
        <v>1</v>
      </c>
      <c r="F3" s="4"/>
      <c r="G3" s="703"/>
      <c r="H3" s="234" t="s">
        <v>118</v>
      </c>
      <c r="I3" s="244" t="str">
        <f t="shared" si="0"/>
        <v xml:space="preserve">Blowgun:  Martial , Damage 1, Piercing, Ranged, 25 ft./100 ft., Ammuntion, Loading, </v>
      </c>
      <c r="J3" s="166"/>
      <c r="K3" s="5" t="s">
        <v>171</v>
      </c>
      <c r="L3" s="4">
        <v>25</v>
      </c>
      <c r="M3" s="4">
        <v>100</v>
      </c>
      <c r="N3" s="5"/>
      <c r="O3" s="4"/>
      <c r="P3" s="5" t="s">
        <v>171</v>
      </c>
      <c r="Q3" s="5" t="s">
        <v>171</v>
      </c>
      <c r="R3" s="4"/>
      <c r="S3" s="4"/>
      <c r="T3" s="4"/>
      <c r="U3" s="4"/>
      <c r="V3" s="4"/>
      <c r="W3" s="4"/>
    </row>
    <row r="4" spans="1:23" x14ac:dyDescent="0.25">
      <c r="A4" s="4" t="s">
        <v>119</v>
      </c>
      <c r="B4" s="4">
        <v>0.1</v>
      </c>
      <c r="C4" s="4">
        <v>2</v>
      </c>
      <c r="D4" s="4" t="s">
        <v>2792</v>
      </c>
      <c r="E4" s="4" t="s">
        <v>136</v>
      </c>
      <c r="F4" s="4"/>
      <c r="G4" s="703"/>
      <c r="H4" s="234" t="s">
        <v>121</v>
      </c>
      <c r="I4" s="244" t="str">
        <f t="shared" si="0"/>
        <v xml:space="preserve">Club:  Simple, Damage 1d6, Bludgeoning, Light, </v>
      </c>
      <c r="J4" s="166"/>
      <c r="K4" s="4"/>
      <c r="L4" s="4"/>
      <c r="M4" s="4"/>
      <c r="N4" s="4"/>
      <c r="O4" s="4"/>
      <c r="P4" s="4"/>
      <c r="Q4" s="4"/>
      <c r="R4" s="4"/>
      <c r="S4" s="5" t="s">
        <v>171</v>
      </c>
      <c r="T4" s="4"/>
      <c r="U4" s="4"/>
      <c r="V4" s="4"/>
      <c r="W4" s="4"/>
    </row>
    <row r="5" spans="1:23" x14ac:dyDescent="0.25">
      <c r="A5" s="4" t="s">
        <v>123</v>
      </c>
      <c r="B5" s="4">
        <v>2</v>
      </c>
      <c r="C5" s="4">
        <v>1</v>
      </c>
      <c r="D5" s="4" t="s">
        <v>2792</v>
      </c>
      <c r="E5" s="4" t="s">
        <v>120</v>
      </c>
      <c r="F5" s="4"/>
      <c r="G5" s="703"/>
      <c r="H5" s="234" t="s">
        <v>118</v>
      </c>
      <c r="I5" s="244" t="str">
        <f t="shared" si="0"/>
        <v xml:space="preserve">Dagger:  Simple, Damage 1d4, Piercing, 20 ft./60 ft., Thrown, Finesse, Light, </v>
      </c>
      <c r="J5" s="166"/>
      <c r="K5" s="4"/>
      <c r="L5" s="4">
        <v>20</v>
      </c>
      <c r="M5" s="4">
        <v>60</v>
      </c>
      <c r="N5" s="5" t="s">
        <v>171</v>
      </c>
      <c r="O5" s="4"/>
      <c r="P5" s="4"/>
      <c r="Q5" s="4"/>
      <c r="R5" s="5" t="s">
        <v>171</v>
      </c>
      <c r="S5" s="5" t="s">
        <v>171</v>
      </c>
      <c r="T5" s="4"/>
      <c r="U5" s="4"/>
      <c r="V5" s="4"/>
      <c r="W5" s="4"/>
    </row>
    <row r="6" spans="1:23" x14ac:dyDescent="0.25">
      <c r="A6" s="4" t="s">
        <v>124</v>
      </c>
      <c r="B6" s="4">
        <v>25</v>
      </c>
      <c r="C6" s="4">
        <v>0.25</v>
      </c>
      <c r="D6" s="4" t="s">
        <v>2792</v>
      </c>
      <c r="E6" s="4" t="s">
        <v>120</v>
      </c>
      <c r="F6" s="4"/>
      <c r="G6" s="703"/>
      <c r="H6" s="234" t="s">
        <v>118</v>
      </c>
      <c r="I6" s="244" t="str">
        <f t="shared" si="0"/>
        <v xml:space="preserve">Dart:  Simple, Damage 1d4, Piercing, 20 ft./60 ft., Thrown, Finesse, Light, </v>
      </c>
      <c r="J6" s="166"/>
      <c r="K6" s="4"/>
      <c r="L6" s="4">
        <v>20</v>
      </c>
      <c r="M6" s="4">
        <v>60</v>
      </c>
      <c r="N6" s="5" t="s">
        <v>171</v>
      </c>
      <c r="O6" s="4"/>
      <c r="P6" s="4"/>
      <c r="Q6" s="4"/>
      <c r="R6" s="5" t="s">
        <v>171</v>
      </c>
      <c r="S6" s="5" t="s">
        <v>171</v>
      </c>
      <c r="T6" s="4"/>
      <c r="U6" s="4"/>
      <c r="V6" s="4"/>
      <c r="W6" s="4"/>
    </row>
    <row r="7" spans="1:23" x14ac:dyDescent="0.25">
      <c r="A7" s="4" t="s">
        <v>125</v>
      </c>
      <c r="B7" s="4">
        <v>10</v>
      </c>
      <c r="C7" s="4">
        <v>2</v>
      </c>
      <c r="D7" s="4" t="s">
        <v>173</v>
      </c>
      <c r="E7" s="4" t="s">
        <v>126</v>
      </c>
      <c r="F7" s="4"/>
      <c r="G7" s="703"/>
      <c r="H7" s="234" t="s">
        <v>121</v>
      </c>
      <c r="I7" s="244" t="str">
        <f t="shared" si="0"/>
        <v xml:space="preserve">Flail:  Martial, Damage 1d8, Bludgeoning, </v>
      </c>
      <c r="J7" s="166"/>
      <c r="K7" s="4"/>
      <c r="L7" s="4"/>
      <c r="M7" s="4"/>
      <c r="N7" s="4"/>
      <c r="O7" s="4"/>
      <c r="P7" s="4"/>
      <c r="Q7" s="4"/>
      <c r="R7" s="4"/>
      <c r="S7" s="4"/>
      <c r="T7" s="4"/>
      <c r="U7" s="4"/>
      <c r="V7" s="4"/>
      <c r="W7" s="4"/>
    </row>
    <row r="8" spans="1:23" x14ac:dyDescent="0.25">
      <c r="A8" s="4" t="s">
        <v>127</v>
      </c>
      <c r="B8" s="4">
        <v>20</v>
      </c>
      <c r="C8" s="4">
        <v>6</v>
      </c>
      <c r="D8" s="4" t="s">
        <v>173</v>
      </c>
      <c r="E8" s="4" t="s">
        <v>128</v>
      </c>
      <c r="F8" s="4"/>
      <c r="G8" s="703"/>
      <c r="H8" s="234" t="s">
        <v>114</v>
      </c>
      <c r="I8" s="244" t="str">
        <f t="shared" si="0"/>
        <v xml:space="preserve">Glaive:  Martial, Damage 1d10, Slashing, Reach, Heavy Two-Handed, </v>
      </c>
      <c r="J8" s="240" t="s">
        <v>171</v>
      </c>
      <c r="K8" s="4"/>
      <c r="L8" s="4"/>
      <c r="M8" s="4"/>
      <c r="N8" s="4"/>
      <c r="O8" s="4"/>
      <c r="P8" s="4"/>
      <c r="Q8" s="4"/>
      <c r="R8" s="4"/>
      <c r="S8" s="4"/>
      <c r="T8" s="5" t="s">
        <v>171</v>
      </c>
      <c r="U8" s="5" t="s">
        <v>171</v>
      </c>
      <c r="V8" s="5"/>
      <c r="W8" s="4"/>
    </row>
    <row r="9" spans="1:23" x14ac:dyDescent="0.25">
      <c r="A9" s="4" t="s">
        <v>129</v>
      </c>
      <c r="B9" s="4">
        <v>0.2</v>
      </c>
      <c r="C9" s="4">
        <v>10</v>
      </c>
      <c r="D9" s="4" t="s">
        <v>2792</v>
      </c>
      <c r="E9" s="4" t="s">
        <v>126</v>
      </c>
      <c r="F9" s="4"/>
      <c r="G9" s="703"/>
      <c r="H9" s="234" t="s">
        <v>121</v>
      </c>
      <c r="I9" s="244" t="str">
        <f t="shared" si="0"/>
        <v xml:space="preserve">Great Club:  Simple, Damage 1d8, Bludgeoning, Two-Handed, </v>
      </c>
      <c r="J9" s="166"/>
      <c r="K9" s="4"/>
      <c r="L9" s="4"/>
      <c r="M9" s="4"/>
      <c r="N9" s="4"/>
      <c r="O9" s="4"/>
      <c r="P9" s="4"/>
      <c r="Q9" s="4"/>
      <c r="R9" s="4"/>
      <c r="S9" s="4"/>
      <c r="T9" s="4"/>
      <c r="U9" s="5" t="s">
        <v>171</v>
      </c>
      <c r="V9" s="5"/>
      <c r="W9" s="4"/>
    </row>
    <row r="10" spans="1:23" x14ac:dyDescent="0.25">
      <c r="A10" s="4" t="s">
        <v>130</v>
      </c>
      <c r="B10" s="4">
        <v>30</v>
      </c>
      <c r="C10" s="4">
        <v>7</v>
      </c>
      <c r="D10" s="4" t="s">
        <v>173</v>
      </c>
      <c r="E10" s="4" t="s">
        <v>131</v>
      </c>
      <c r="F10" s="4"/>
      <c r="G10" s="703"/>
      <c r="H10" s="234" t="s">
        <v>114</v>
      </c>
      <c r="I10" s="244" t="str">
        <f t="shared" si="0"/>
        <v xml:space="preserve">Greataxe:  Martial, Damage 1d12, Slashing, Heavy Two-Handed, </v>
      </c>
      <c r="J10" s="166"/>
      <c r="K10" s="4"/>
      <c r="L10" s="4"/>
      <c r="M10" s="4"/>
      <c r="N10" s="4"/>
      <c r="O10" s="4"/>
      <c r="P10" s="4"/>
      <c r="Q10" s="4"/>
      <c r="R10" s="4"/>
      <c r="S10" s="4"/>
      <c r="T10" s="5" t="s">
        <v>171</v>
      </c>
      <c r="U10" s="5" t="s">
        <v>171</v>
      </c>
      <c r="V10" s="5"/>
      <c r="W10" s="4"/>
    </row>
    <row r="11" spans="1:23" x14ac:dyDescent="0.25">
      <c r="A11" s="4" t="s">
        <v>132</v>
      </c>
      <c r="B11" s="4">
        <v>50</v>
      </c>
      <c r="C11" s="4">
        <v>6</v>
      </c>
      <c r="D11" s="4" t="s">
        <v>173</v>
      </c>
      <c r="E11" s="4" t="s">
        <v>133</v>
      </c>
      <c r="F11" s="4"/>
      <c r="G11" s="703"/>
      <c r="H11" s="234" t="s">
        <v>114</v>
      </c>
      <c r="I11" s="244" t="str">
        <f t="shared" si="0"/>
        <v xml:space="preserve">Greatsword:  Martial, Damage 2d6, Slashing, Heavy Two-Handed, </v>
      </c>
      <c r="J11" s="166"/>
      <c r="K11" s="4"/>
      <c r="L11" s="4"/>
      <c r="M11" s="4"/>
      <c r="N11" s="4"/>
      <c r="O11" s="4"/>
      <c r="P11" s="4"/>
      <c r="Q11" s="4"/>
      <c r="R11" s="4"/>
      <c r="S11" s="4"/>
      <c r="T11" s="5" t="s">
        <v>171</v>
      </c>
      <c r="U11" s="5" t="s">
        <v>171</v>
      </c>
      <c r="V11" s="5"/>
      <c r="W11" s="4"/>
    </row>
    <row r="12" spans="1:23" x14ac:dyDescent="0.25">
      <c r="A12" s="4" t="s">
        <v>134</v>
      </c>
      <c r="B12" s="4">
        <v>20</v>
      </c>
      <c r="C12" s="4">
        <v>6</v>
      </c>
      <c r="D12" s="4" t="s">
        <v>173</v>
      </c>
      <c r="E12" s="4" t="s">
        <v>128</v>
      </c>
      <c r="F12" s="4"/>
      <c r="G12" s="703"/>
      <c r="H12" s="234" t="s">
        <v>114</v>
      </c>
      <c r="I12" s="244" t="str">
        <f t="shared" si="0"/>
        <v xml:space="preserve">Halberd:  Martial, Damage 1d10, Slashing, Reach, Heavy Two-Handed, </v>
      </c>
      <c r="J12" s="240" t="s">
        <v>171</v>
      </c>
      <c r="K12" s="4"/>
      <c r="L12" s="4"/>
      <c r="M12" s="4"/>
      <c r="N12" s="4"/>
      <c r="O12" s="4"/>
      <c r="P12" s="4"/>
      <c r="Q12" s="4"/>
      <c r="R12" s="4"/>
      <c r="S12" s="4"/>
      <c r="T12" s="5" t="s">
        <v>171</v>
      </c>
      <c r="U12" s="5" t="s">
        <v>171</v>
      </c>
      <c r="V12" s="5"/>
      <c r="W12" s="4"/>
    </row>
    <row r="13" spans="1:23" x14ac:dyDescent="0.25">
      <c r="A13" s="4" t="s">
        <v>135</v>
      </c>
      <c r="B13" s="4">
        <v>75</v>
      </c>
      <c r="C13" s="4">
        <v>3</v>
      </c>
      <c r="D13" s="4" t="s">
        <v>173</v>
      </c>
      <c r="E13" s="4" t="s">
        <v>136</v>
      </c>
      <c r="F13" s="4"/>
      <c r="G13" s="703"/>
      <c r="H13" s="234" t="s">
        <v>118</v>
      </c>
      <c r="I13" s="244" t="str">
        <f t="shared" si="0"/>
        <v xml:space="preserve">Hand Crossbow:  Martial, Damage 1d6, Piercing, Ranged, 30 ft./120 ft., Ammuntion, Loading, Light, </v>
      </c>
      <c r="J13" s="166"/>
      <c r="K13" s="5" t="s">
        <v>171</v>
      </c>
      <c r="L13" s="4">
        <v>30</v>
      </c>
      <c r="M13" s="4">
        <v>120</v>
      </c>
      <c r="N13" s="5"/>
      <c r="O13" s="4"/>
      <c r="P13" s="5" t="s">
        <v>171</v>
      </c>
      <c r="Q13" s="5" t="s">
        <v>171</v>
      </c>
      <c r="R13" s="4"/>
      <c r="S13" s="5" t="s">
        <v>171</v>
      </c>
      <c r="T13" s="4"/>
      <c r="U13" s="4"/>
      <c r="V13" s="4"/>
      <c r="W13" s="4"/>
    </row>
    <row r="14" spans="1:23" x14ac:dyDescent="0.25">
      <c r="A14" s="4" t="s">
        <v>36</v>
      </c>
      <c r="B14" s="4">
        <v>5</v>
      </c>
      <c r="C14" s="4">
        <v>2</v>
      </c>
      <c r="D14" s="4" t="s">
        <v>2792</v>
      </c>
      <c r="E14" s="4" t="s">
        <v>136</v>
      </c>
      <c r="F14" s="4"/>
      <c r="G14" s="703"/>
      <c r="H14" s="234" t="s">
        <v>114</v>
      </c>
      <c r="I14" s="244" t="str">
        <f t="shared" si="0"/>
        <v xml:space="preserve">Handaxe:  Simple, Damage 1d6, Slashing, 20 ft./60 ft., Thrown, Light, </v>
      </c>
      <c r="J14" s="166"/>
      <c r="K14" s="4"/>
      <c r="L14" s="4">
        <v>20</v>
      </c>
      <c r="M14" s="4">
        <v>60</v>
      </c>
      <c r="N14" s="5" t="s">
        <v>171</v>
      </c>
      <c r="O14" s="4"/>
      <c r="P14" s="4"/>
      <c r="Q14" s="4"/>
      <c r="R14" s="4"/>
      <c r="S14" s="5" t="s">
        <v>171</v>
      </c>
      <c r="T14" s="4"/>
      <c r="U14" s="4"/>
      <c r="V14" s="4"/>
      <c r="W14" s="4"/>
    </row>
    <row r="15" spans="1:23" x14ac:dyDescent="0.25">
      <c r="A15" s="4" t="s">
        <v>137</v>
      </c>
      <c r="B15" s="4">
        <v>50</v>
      </c>
      <c r="C15" s="4">
        <v>18</v>
      </c>
      <c r="D15" s="4" t="s">
        <v>173</v>
      </c>
      <c r="E15" s="4" t="s">
        <v>128</v>
      </c>
      <c r="F15" s="4"/>
      <c r="G15" s="703"/>
      <c r="H15" s="234" t="s">
        <v>118</v>
      </c>
      <c r="I15" s="244" t="str">
        <f t="shared" si="0"/>
        <v xml:space="preserve">Heavy Crossbow:  Martial, Damage 1d10, Piercing, Ranged, 100 ft./400 ft., Ammuntion, Loading, Heavy Two-Handed, </v>
      </c>
      <c r="J15" s="166"/>
      <c r="K15" s="5" t="s">
        <v>171</v>
      </c>
      <c r="L15" s="4">
        <v>100</v>
      </c>
      <c r="M15" s="4">
        <v>400</v>
      </c>
      <c r="N15" s="5"/>
      <c r="O15" s="4"/>
      <c r="P15" s="5" t="s">
        <v>171</v>
      </c>
      <c r="Q15" s="5" t="s">
        <v>171</v>
      </c>
      <c r="R15" s="4"/>
      <c r="S15" s="4"/>
      <c r="T15" s="5" t="s">
        <v>171</v>
      </c>
      <c r="U15" s="5" t="s">
        <v>171</v>
      </c>
      <c r="V15" s="5"/>
      <c r="W15" s="4"/>
    </row>
    <row r="16" spans="1:23" x14ac:dyDescent="0.25">
      <c r="A16" s="4" t="s">
        <v>138</v>
      </c>
      <c r="B16" s="4">
        <v>0.5</v>
      </c>
      <c r="C16" s="4">
        <v>2</v>
      </c>
      <c r="D16" s="4" t="s">
        <v>2792</v>
      </c>
      <c r="E16" s="4" t="s">
        <v>126</v>
      </c>
      <c r="F16" s="4"/>
      <c r="G16" s="703"/>
      <c r="H16" s="234" t="s">
        <v>118</v>
      </c>
      <c r="I16" s="244" t="str">
        <f t="shared" si="0"/>
        <v xml:space="preserve">Javelin:  Simple, Damage 1d8, Piercing, 30 ft./120 ft., Thrown, </v>
      </c>
      <c r="J16" s="166"/>
      <c r="K16" s="4"/>
      <c r="L16" s="4">
        <v>30</v>
      </c>
      <c r="M16" s="4">
        <v>120</v>
      </c>
      <c r="N16" s="5" t="s">
        <v>171</v>
      </c>
      <c r="O16" s="4"/>
      <c r="P16" s="4"/>
      <c r="Q16" s="4"/>
      <c r="R16" s="4"/>
      <c r="S16" s="4"/>
      <c r="T16" s="4"/>
      <c r="U16" s="4"/>
      <c r="V16" s="4"/>
      <c r="W16" s="4"/>
    </row>
    <row r="17" spans="1:23" x14ac:dyDescent="0.25">
      <c r="A17" s="4" t="s">
        <v>140</v>
      </c>
      <c r="B17" s="4">
        <v>10</v>
      </c>
      <c r="C17" s="4">
        <v>6</v>
      </c>
      <c r="D17" s="4" t="s">
        <v>173</v>
      </c>
      <c r="E17" s="4" t="s">
        <v>131</v>
      </c>
      <c r="F17" s="4"/>
      <c r="G17" s="703"/>
      <c r="H17" s="234" t="s">
        <v>118</v>
      </c>
      <c r="I17" s="244" t="str">
        <f t="shared" si="0"/>
        <v>Lance:  Martial, Damage 1d12, Piercing, Reach, You have disadvantage when you use a lance to attack a target within 5 feet of you. Also, a lance requires two hands to wield when you aren’t mounted.</v>
      </c>
      <c r="J17" s="240" t="s">
        <v>171</v>
      </c>
      <c r="K17" s="4"/>
      <c r="L17" s="4"/>
      <c r="M17" s="4"/>
      <c r="N17" s="4"/>
      <c r="O17" s="4"/>
      <c r="P17" s="4"/>
      <c r="Q17" s="4"/>
      <c r="R17" s="4"/>
      <c r="S17" s="4"/>
      <c r="T17" s="4"/>
      <c r="U17" s="4"/>
      <c r="V17" s="4" t="s">
        <v>171</v>
      </c>
      <c r="W17" s="4" t="s">
        <v>2289</v>
      </c>
    </row>
    <row r="18" spans="1:23" x14ac:dyDescent="0.25">
      <c r="A18" s="4" t="s">
        <v>141</v>
      </c>
      <c r="B18" s="4">
        <v>0.05</v>
      </c>
      <c r="C18" s="4">
        <v>5</v>
      </c>
      <c r="D18" s="4" t="s">
        <v>2792</v>
      </c>
      <c r="E18" s="4" t="s">
        <v>126</v>
      </c>
      <c r="F18" s="4"/>
      <c r="G18" s="703"/>
      <c r="H18" s="234" t="s">
        <v>118</v>
      </c>
      <c r="I18" s="244" t="str">
        <f t="shared" si="0"/>
        <v xml:space="preserve">Light Crossbow:  Simple, Damage 1d8, Piercing, Ranged, 80 ft./320 ft., Ammuntion, Loading, Two-Handed, </v>
      </c>
      <c r="J18" s="166"/>
      <c r="K18" s="5" t="s">
        <v>171</v>
      </c>
      <c r="L18" s="4">
        <v>80</v>
      </c>
      <c r="M18" s="4">
        <v>320</v>
      </c>
      <c r="N18" s="5"/>
      <c r="O18" s="4"/>
      <c r="P18" s="5" t="s">
        <v>171</v>
      </c>
      <c r="Q18" s="5" t="s">
        <v>171</v>
      </c>
      <c r="R18" s="4"/>
      <c r="S18" s="4"/>
      <c r="T18" s="4"/>
      <c r="U18" s="5" t="s">
        <v>171</v>
      </c>
      <c r="V18" s="4"/>
      <c r="W18" s="4"/>
    </row>
    <row r="19" spans="1:23" x14ac:dyDescent="0.25">
      <c r="A19" s="4" t="s">
        <v>142</v>
      </c>
      <c r="B19" s="4">
        <v>2</v>
      </c>
      <c r="C19" s="4">
        <v>2</v>
      </c>
      <c r="D19" s="4" t="s">
        <v>2792</v>
      </c>
      <c r="E19" s="4" t="s">
        <v>120</v>
      </c>
      <c r="F19" s="4"/>
      <c r="G19" s="703"/>
      <c r="H19" s="234" t="s">
        <v>121</v>
      </c>
      <c r="I19" s="244" t="str">
        <f t="shared" si="0"/>
        <v xml:space="preserve">Light Hammer:  Simple, Damage 1d4, Bludgeoning, 20 ft./60 ft., Thrown, Light, </v>
      </c>
      <c r="J19" s="166"/>
      <c r="K19" s="4"/>
      <c r="L19" s="4">
        <v>20</v>
      </c>
      <c r="M19" s="4">
        <v>60</v>
      </c>
      <c r="N19" s="5" t="s">
        <v>171</v>
      </c>
      <c r="O19" s="4"/>
      <c r="P19" s="4"/>
      <c r="Q19" s="4"/>
      <c r="R19" s="4"/>
      <c r="S19" s="5" t="s">
        <v>171</v>
      </c>
      <c r="T19" s="4"/>
      <c r="U19" s="4"/>
      <c r="V19" s="4"/>
      <c r="W19" s="4"/>
    </row>
    <row r="20" spans="1:23" x14ac:dyDescent="0.25">
      <c r="A20" s="4" t="s">
        <v>53</v>
      </c>
      <c r="B20" s="4">
        <v>50</v>
      </c>
      <c r="C20" s="4">
        <v>2</v>
      </c>
      <c r="D20" s="4" t="s">
        <v>173</v>
      </c>
      <c r="E20" s="4" t="s">
        <v>126</v>
      </c>
      <c r="F20" s="4"/>
      <c r="G20" s="703"/>
      <c r="H20" s="234" t="s">
        <v>118</v>
      </c>
      <c r="I20" s="244" t="str">
        <f t="shared" ref="I20:I39" si="1">A20&amp;":"&amp;"  "&amp;D20&amp;", "&amp;"Damage "&amp;E20&amp;", "&amp;H20&amp;", "&amp;IF(J20="yes","Reach, ","")&amp;IF(K20="yes","Ranged, ","")&amp;IF(L20="","",L20&amp;" ft./")&amp;IF(M20="","",M20&amp;" ft., ")&amp;IF(N20="Yes","Thrown, ","")&amp;IF(O20="yes","Versatile, ","")&amp;IF(P20="yes","Ammuntion, ","")&amp;IF(Q20="yes","Loading, ","")&amp;IF(R20="yes","Finesse, ","")&amp;IF(S20="yes","Light, ","")&amp;IF(T20="yes","Heavy ","")&amp;IF(U20="yes","Two-Handed, ","")&amp;IF(V20="Yes",W20,"")</f>
        <v xml:space="preserve">Longbow:  Martial, Damage 1d8, Piercing, Ranged, 150 ft./600 ft., Ammuntion, Heavy Two-Handed, </v>
      </c>
      <c r="J20" s="166"/>
      <c r="K20" s="5" t="s">
        <v>171</v>
      </c>
      <c r="L20" s="4">
        <v>150</v>
      </c>
      <c r="M20" s="4">
        <v>600</v>
      </c>
      <c r="N20" s="5"/>
      <c r="P20" s="5" t="s">
        <v>171</v>
      </c>
      <c r="Q20" s="4"/>
      <c r="R20" s="4"/>
      <c r="S20" s="4"/>
      <c r="T20" s="5" t="s">
        <v>171</v>
      </c>
      <c r="U20" s="5" t="s">
        <v>171</v>
      </c>
      <c r="V20" s="4"/>
      <c r="W20" s="4"/>
    </row>
    <row r="21" spans="1:23" x14ac:dyDescent="0.25">
      <c r="A21" s="4" t="s">
        <v>50</v>
      </c>
      <c r="B21" s="4">
        <v>15</v>
      </c>
      <c r="C21" s="4">
        <v>3</v>
      </c>
      <c r="D21" s="4" t="s">
        <v>173</v>
      </c>
      <c r="E21" s="4" t="s">
        <v>126</v>
      </c>
      <c r="F21" s="4" t="s">
        <v>128</v>
      </c>
      <c r="G21" s="703"/>
      <c r="H21" s="234" t="s">
        <v>114</v>
      </c>
      <c r="I21" s="244" t="str">
        <f t="shared" si="1"/>
        <v xml:space="preserve">Longsword:  Martial, Damage 1d8, Slashing, Versatile, </v>
      </c>
      <c r="J21" s="166"/>
      <c r="K21" s="4"/>
      <c r="L21" s="4"/>
      <c r="M21" s="4"/>
      <c r="N21" s="4"/>
      <c r="O21" s="5" t="s">
        <v>171</v>
      </c>
      <c r="P21" s="4"/>
      <c r="Q21" s="4"/>
      <c r="R21" s="4"/>
      <c r="S21" s="4"/>
      <c r="T21" s="4"/>
      <c r="U21" s="4"/>
      <c r="V21" s="4"/>
      <c r="W21" s="4"/>
    </row>
    <row r="22" spans="1:23" x14ac:dyDescent="0.25">
      <c r="A22" s="4" t="s">
        <v>143</v>
      </c>
      <c r="B22" s="4">
        <v>5</v>
      </c>
      <c r="C22" s="4">
        <v>4</v>
      </c>
      <c r="D22" s="4" t="s">
        <v>2792</v>
      </c>
      <c r="E22" s="4" t="s">
        <v>136</v>
      </c>
      <c r="F22" s="4"/>
      <c r="G22" s="703"/>
      <c r="H22" s="234" t="s">
        <v>121</v>
      </c>
      <c r="I22" s="244" t="str">
        <f t="shared" si="1"/>
        <v xml:space="preserve">Mace:  Simple, Damage 1d6, Bludgeoning, </v>
      </c>
      <c r="J22" s="166"/>
      <c r="K22" s="4"/>
      <c r="L22" s="4"/>
      <c r="M22" s="4"/>
      <c r="N22" s="4"/>
      <c r="O22" s="4"/>
      <c r="P22" s="4"/>
      <c r="Q22" s="4"/>
      <c r="R22" s="4"/>
      <c r="S22" s="4"/>
      <c r="T22" s="4"/>
      <c r="U22" s="4"/>
      <c r="V22" s="4"/>
      <c r="W22" s="4"/>
    </row>
    <row r="23" spans="1:23" x14ac:dyDescent="0.25">
      <c r="A23" s="4" t="s">
        <v>144</v>
      </c>
      <c r="B23" s="4">
        <v>10</v>
      </c>
      <c r="C23" s="4">
        <v>10</v>
      </c>
      <c r="D23" s="4" t="s">
        <v>173</v>
      </c>
      <c r="E23" s="4" t="s">
        <v>133</v>
      </c>
      <c r="F23" s="4"/>
      <c r="G23" s="703"/>
      <c r="H23" s="234" t="s">
        <v>121</v>
      </c>
      <c r="I23" s="244" t="str">
        <f t="shared" si="1"/>
        <v xml:space="preserve">Maul:  Martial, Damage 2d6, Bludgeoning, Heavy Two-Handed, </v>
      </c>
      <c r="J23" s="166"/>
      <c r="K23" s="4"/>
      <c r="L23" s="4"/>
      <c r="M23" s="4"/>
      <c r="N23" s="4"/>
      <c r="O23" s="4"/>
      <c r="P23" s="4"/>
      <c r="Q23" s="4"/>
      <c r="R23" s="4"/>
      <c r="S23" s="4"/>
      <c r="T23" s="5" t="s">
        <v>171</v>
      </c>
      <c r="U23" s="5" t="s">
        <v>171</v>
      </c>
      <c r="V23" s="4"/>
      <c r="W23" s="4"/>
    </row>
    <row r="24" spans="1:23" x14ac:dyDescent="0.25">
      <c r="A24" s="4" t="s">
        <v>145</v>
      </c>
      <c r="B24" s="4">
        <v>5</v>
      </c>
      <c r="C24" s="4">
        <v>4</v>
      </c>
      <c r="D24" s="4" t="s">
        <v>173</v>
      </c>
      <c r="E24" s="4" t="s">
        <v>126</v>
      </c>
      <c r="F24" s="4"/>
      <c r="G24" s="703"/>
      <c r="H24" s="234" t="s">
        <v>118</v>
      </c>
      <c r="I24" s="244" t="str">
        <f t="shared" si="1"/>
        <v xml:space="preserve">Morningstar:  Martial, Damage 1d8, Piercing, </v>
      </c>
      <c r="J24" s="166"/>
      <c r="K24" s="4"/>
      <c r="L24" s="4"/>
      <c r="M24" s="4"/>
      <c r="N24" s="4"/>
      <c r="O24" s="4"/>
      <c r="P24" s="4"/>
      <c r="Q24" s="4"/>
      <c r="R24" s="4"/>
      <c r="S24" s="4"/>
      <c r="T24" s="4"/>
      <c r="U24" s="4"/>
      <c r="V24" s="4"/>
      <c r="W24" s="4"/>
    </row>
    <row r="25" spans="1:23" x14ac:dyDescent="0.25">
      <c r="A25" s="4" t="s">
        <v>146</v>
      </c>
      <c r="B25" s="4">
        <v>1</v>
      </c>
      <c r="C25" s="4">
        <v>3</v>
      </c>
      <c r="D25" s="4" t="s">
        <v>173</v>
      </c>
      <c r="E25" s="4"/>
      <c r="F25" s="4"/>
      <c r="G25" s="703"/>
      <c r="H25" s="234"/>
      <c r="I25" s="244" t="str">
        <f t="shared" si="1"/>
        <v xml:space="preserve">Net:  Martial, Damage , , 5 ft./15 ft., Thrown, Large or smaller creature hit by a net is restrained until it is freed. A net has no effect on creatures that are formless, or creatures that are Huge or larger. A creature can use its action to make a DC 10 Strength check, freeing itself or another creature within its reach on a success. Dealing 5 slashing damage to the net (AC 10) also frees the creature without harming it, ending the effect and destroying the net. </v>
      </c>
      <c r="J25" s="166"/>
      <c r="K25" s="4"/>
      <c r="L25" s="4">
        <v>5</v>
      </c>
      <c r="M25" s="4">
        <v>15</v>
      </c>
      <c r="N25" s="5" t="s">
        <v>171</v>
      </c>
      <c r="O25" s="4"/>
      <c r="P25" s="4"/>
      <c r="Q25" s="4"/>
      <c r="R25" s="4"/>
      <c r="S25" s="4"/>
      <c r="T25" s="4"/>
      <c r="U25" s="4"/>
      <c r="V25" s="4" t="s">
        <v>171</v>
      </c>
      <c r="W25" s="4" t="s">
        <v>2290</v>
      </c>
    </row>
    <row r="26" spans="1:23" x14ac:dyDescent="0.25">
      <c r="A26" s="4" t="s">
        <v>147</v>
      </c>
      <c r="B26" s="4">
        <v>5</v>
      </c>
      <c r="C26" s="4">
        <v>18</v>
      </c>
      <c r="D26" s="4" t="s">
        <v>173</v>
      </c>
      <c r="E26" s="4" t="s">
        <v>128</v>
      </c>
      <c r="F26" s="4"/>
      <c r="G26" s="703"/>
      <c r="H26" s="234" t="s">
        <v>118</v>
      </c>
      <c r="I26" s="244" t="str">
        <f t="shared" si="1"/>
        <v xml:space="preserve">Pike:  Martial, Damage 1d10, Piercing, Reach, Heavy Two-Handed, </v>
      </c>
      <c r="J26" s="240" t="s">
        <v>171</v>
      </c>
      <c r="K26" s="4"/>
      <c r="L26" s="4"/>
      <c r="M26" s="4"/>
      <c r="N26" s="4"/>
      <c r="O26" s="4"/>
      <c r="P26" s="4"/>
      <c r="Q26" s="4"/>
      <c r="R26" s="4"/>
      <c r="S26" s="4"/>
      <c r="T26" s="5" t="s">
        <v>171</v>
      </c>
      <c r="U26" s="5" t="s">
        <v>171</v>
      </c>
      <c r="V26" s="4"/>
      <c r="W26" s="4" t="s">
        <v>2291</v>
      </c>
    </row>
    <row r="27" spans="1:23" x14ac:dyDescent="0.25">
      <c r="A27" s="4" t="s">
        <v>148</v>
      </c>
      <c r="B27" s="4">
        <v>0.2</v>
      </c>
      <c r="C27" s="4">
        <v>4</v>
      </c>
      <c r="D27" s="4" t="s">
        <v>2792</v>
      </c>
      <c r="E27" s="4" t="s">
        <v>136</v>
      </c>
      <c r="F27" s="4" t="s">
        <v>126</v>
      </c>
      <c r="G27" s="703"/>
      <c r="H27" s="234" t="s">
        <v>121</v>
      </c>
      <c r="I27" s="244" t="str">
        <f t="shared" si="1"/>
        <v xml:space="preserve">Quarterstaff:  Simple, Damage 1d6, Bludgeoning, Versatile, </v>
      </c>
      <c r="J27" s="166"/>
      <c r="K27" s="4"/>
      <c r="L27" s="4"/>
      <c r="M27" s="4"/>
      <c r="N27" s="4"/>
      <c r="O27" s="5" t="s">
        <v>171</v>
      </c>
      <c r="P27" s="4"/>
      <c r="Q27" s="4"/>
      <c r="R27" s="4"/>
      <c r="S27" s="4"/>
      <c r="T27" s="4"/>
      <c r="U27" s="4"/>
      <c r="V27" s="4"/>
      <c r="W27" s="4"/>
    </row>
    <row r="28" spans="1:23" x14ac:dyDescent="0.25">
      <c r="A28" s="4" t="s">
        <v>149</v>
      </c>
      <c r="B28" s="4">
        <v>25</v>
      </c>
      <c r="C28" s="4">
        <v>2</v>
      </c>
      <c r="D28" s="4" t="s">
        <v>173</v>
      </c>
      <c r="E28" s="4" t="s">
        <v>126</v>
      </c>
      <c r="F28" s="4"/>
      <c r="G28" s="703"/>
      <c r="H28" s="234" t="s">
        <v>118</v>
      </c>
      <c r="I28" s="244" t="str">
        <f t="shared" si="1"/>
        <v xml:space="preserve">Rapier:  Martial, Damage 1d8, Piercing, Finesse, </v>
      </c>
      <c r="J28" s="166"/>
      <c r="K28" s="4"/>
      <c r="L28" s="4"/>
      <c r="M28" s="4"/>
      <c r="N28" s="4"/>
      <c r="O28" s="4"/>
      <c r="P28" s="4"/>
      <c r="Q28" s="4"/>
      <c r="R28" s="5" t="s">
        <v>171</v>
      </c>
      <c r="S28" s="4"/>
      <c r="T28" s="4"/>
      <c r="U28" s="4"/>
      <c r="V28" s="4"/>
      <c r="W28" s="4"/>
    </row>
    <row r="29" spans="1:23" x14ac:dyDescent="0.25">
      <c r="A29" s="4" t="s">
        <v>151</v>
      </c>
      <c r="B29" s="4">
        <v>25</v>
      </c>
      <c r="C29" s="4">
        <v>3</v>
      </c>
      <c r="D29" s="4" t="s">
        <v>173</v>
      </c>
      <c r="E29" s="4" t="s">
        <v>136</v>
      </c>
      <c r="F29" s="4"/>
      <c r="G29" s="703"/>
      <c r="H29" s="234" t="s">
        <v>114</v>
      </c>
      <c r="I29" s="244" t="str">
        <f t="shared" si="1"/>
        <v xml:space="preserve">Scimitar:  Martial, Damage 1d6, Slashing, Finesse, Light, </v>
      </c>
      <c r="J29" s="166"/>
      <c r="K29" s="4"/>
      <c r="L29" s="4"/>
      <c r="M29" s="4"/>
      <c r="N29" s="4"/>
      <c r="O29" s="4"/>
      <c r="P29" s="4"/>
      <c r="Q29" s="4"/>
      <c r="R29" s="5" t="s">
        <v>171</v>
      </c>
      <c r="S29" s="5" t="s">
        <v>171</v>
      </c>
      <c r="T29" s="4"/>
      <c r="U29" s="4"/>
      <c r="V29" s="4"/>
      <c r="W29" s="4"/>
    </row>
    <row r="30" spans="1:23" x14ac:dyDescent="0.25">
      <c r="A30" s="4" t="s">
        <v>52</v>
      </c>
      <c r="B30" s="4">
        <v>1</v>
      </c>
      <c r="C30" s="4">
        <v>2</v>
      </c>
      <c r="D30" s="4" t="s">
        <v>2792</v>
      </c>
      <c r="E30" s="4" t="s">
        <v>136</v>
      </c>
      <c r="F30" s="4"/>
      <c r="G30" s="703"/>
      <c r="H30" s="234" t="s">
        <v>118</v>
      </c>
      <c r="I30" s="244" t="str">
        <f t="shared" si="1"/>
        <v xml:space="preserve">Shortbow:  Simple, Damage 1d6, Piercing, Ranged, 80 ft./320 ft., Ammuntion, Two-Handed, </v>
      </c>
      <c r="J30" s="166"/>
      <c r="K30" s="5" t="s">
        <v>171</v>
      </c>
      <c r="L30" s="4">
        <v>80</v>
      </c>
      <c r="M30" s="4">
        <v>320</v>
      </c>
      <c r="N30" s="5"/>
      <c r="O30" s="4"/>
      <c r="P30" s="5" t="s">
        <v>171</v>
      </c>
      <c r="Q30" s="4"/>
      <c r="R30" s="4"/>
      <c r="S30" s="4"/>
      <c r="T30" s="4"/>
      <c r="U30" s="5" t="s">
        <v>171</v>
      </c>
      <c r="V30" s="4"/>
      <c r="W30" s="4"/>
    </row>
    <row r="31" spans="1:23" x14ac:dyDescent="0.25">
      <c r="A31" s="4" t="s">
        <v>51</v>
      </c>
      <c r="B31" s="4">
        <v>10</v>
      </c>
      <c r="C31" s="4">
        <v>2</v>
      </c>
      <c r="D31" s="4" t="s">
        <v>173</v>
      </c>
      <c r="E31" s="4" t="s">
        <v>136</v>
      </c>
      <c r="F31" s="4"/>
      <c r="G31" s="703"/>
      <c r="H31" s="234" t="s">
        <v>118</v>
      </c>
      <c r="I31" s="244" t="str">
        <f t="shared" si="1"/>
        <v xml:space="preserve">Shortsword:  Martial, Damage 1d6, Piercing, Finesse, Light, </v>
      </c>
      <c r="J31" s="166"/>
      <c r="K31" s="4"/>
      <c r="L31" s="4"/>
      <c r="M31" s="4"/>
      <c r="N31" s="4"/>
      <c r="O31" s="4"/>
      <c r="P31" s="4"/>
      <c r="Q31" s="4"/>
      <c r="R31" s="5" t="s">
        <v>171</v>
      </c>
      <c r="S31" s="5" t="s">
        <v>171</v>
      </c>
      <c r="T31" s="4"/>
      <c r="U31" s="4"/>
      <c r="V31" s="4"/>
      <c r="W31" s="4"/>
    </row>
    <row r="32" spans="1:23" x14ac:dyDescent="0.25">
      <c r="A32" s="4" t="s">
        <v>152</v>
      </c>
      <c r="B32" s="4">
        <v>1</v>
      </c>
      <c r="C32" s="4">
        <v>2</v>
      </c>
      <c r="D32" s="4" t="s">
        <v>2792</v>
      </c>
      <c r="E32" s="4" t="s">
        <v>120</v>
      </c>
      <c r="F32" s="4"/>
      <c r="G32" s="703"/>
      <c r="H32" s="234" t="s">
        <v>114</v>
      </c>
      <c r="I32" s="244" t="str">
        <f t="shared" si="1"/>
        <v xml:space="preserve">Sickle:  Simple, Damage 1d4, Slashing, Light, </v>
      </c>
      <c r="J32" s="166"/>
      <c r="K32" s="4"/>
      <c r="L32" s="4"/>
      <c r="M32" s="4"/>
      <c r="N32" s="4"/>
      <c r="O32" s="4"/>
      <c r="P32" s="4"/>
      <c r="Q32" s="4"/>
      <c r="R32" s="4"/>
      <c r="S32" s="5" t="s">
        <v>171</v>
      </c>
      <c r="T32" s="4"/>
      <c r="U32" s="4"/>
      <c r="V32" s="4"/>
      <c r="W32" s="4"/>
    </row>
    <row r="33" spans="1:23" x14ac:dyDescent="0.25">
      <c r="A33" s="4" t="s">
        <v>153</v>
      </c>
      <c r="B33" s="4">
        <v>0.1</v>
      </c>
      <c r="C33" s="4">
        <v>0</v>
      </c>
      <c r="D33" s="4" t="s">
        <v>2792</v>
      </c>
      <c r="E33" s="4" t="s">
        <v>120</v>
      </c>
      <c r="F33" s="4"/>
      <c r="G33" s="703"/>
      <c r="H33" s="234" t="s">
        <v>121</v>
      </c>
      <c r="I33" s="244" t="str">
        <f t="shared" si="1"/>
        <v xml:space="preserve">Sling:  Simple, Damage 1d4, Bludgeoning, Ranged, 30 ft./120 ft., Ammuntion, </v>
      </c>
      <c r="J33" s="166"/>
      <c r="K33" s="5" t="s">
        <v>171</v>
      </c>
      <c r="L33" s="4">
        <v>30</v>
      </c>
      <c r="M33" s="4">
        <v>120</v>
      </c>
      <c r="N33" s="5"/>
      <c r="O33" s="4"/>
      <c r="P33" s="5" t="s">
        <v>171</v>
      </c>
      <c r="Q33" s="4"/>
      <c r="R33" s="4"/>
      <c r="S33" s="4"/>
      <c r="T33" s="4"/>
      <c r="U33" s="4"/>
      <c r="V33" s="4"/>
      <c r="W33" s="4"/>
    </row>
    <row r="34" spans="1:23" x14ac:dyDescent="0.25">
      <c r="A34" s="4" t="s">
        <v>155</v>
      </c>
      <c r="B34" s="4">
        <v>1</v>
      </c>
      <c r="C34" s="4">
        <v>3</v>
      </c>
      <c r="D34" s="4" t="s">
        <v>2792</v>
      </c>
      <c r="E34" s="4" t="s">
        <v>136</v>
      </c>
      <c r="F34" s="4" t="s">
        <v>126</v>
      </c>
      <c r="G34" s="703"/>
      <c r="H34" s="234" t="s">
        <v>118</v>
      </c>
      <c r="I34" s="244" t="str">
        <f t="shared" si="1"/>
        <v xml:space="preserve">Spear:  Simple, Damage 1d6, Piercing, 20 ft./60 ft., Thrown, Versatile, </v>
      </c>
      <c r="J34" s="166"/>
      <c r="K34" s="4"/>
      <c r="L34" s="4">
        <v>20</v>
      </c>
      <c r="M34" s="4">
        <v>60</v>
      </c>
      <c r="N34" s="5" t="s">
        <v>171</v>
      </c>
      <c r="O34" s="5" t="s">
        <v>171</v>
      </c>
      <c r="P34" s="4"/>
      <c r="Q34" s="4"/>
      <c r="R34" s="4"/>
      <c r="S34" s="4"/>
      <c r="T34" s="4"/>
      <c r="U34" s="4"/>
      <c r="V34" s="4"/>
      <c r="W34" s="4"/>
    </row>
    <row r="35" spans="1:23" x14ac:dyDescent="0.25">
      <c r="A35" s="4" t="s">
        <v>156</v>
      </c>
      <c r="B35" s="4">
        <v>5</v>
      </c>
      <c r="C35" s="4">
        <v>4</v>
      </c>
      <c r="D35" s="4" t="s">
        <v>173</v>
      </c>
      <c r="E35" s="4" t="s">
        <v>136</v>
      </c>
      <c r="F35" s="4" t="s">
        <v>126</v>
      </c>
      <c r="G35" s="703"/>
      <c r="H35" s="234" t="s">
        <v>118</v>
      </c>
      <c r="I35" s="244" t="str">
        <f t="shared" si="1"/>
        <v xml:space="preserve">Trident:  Martial, Damage 1d6, Piercing, 20 ft./60 ft., Thrown, Versatile, </v>
      </c>
      <c r="J35" s="166"/>
      <c r="K35" s="5"/>
      <c r="L35" s="4">
        <v>20</v>
      </c>
      <c r="M35" s="4">
        <v>60</v>
      </c>
      <c r="N35" s="5" t="s">
        <v>171</v>
      </c>
      <c r="O35" s="5" t="s">
        <v>171</v>
      </c>
      <c r="P35" s="4"/>
      <c r="Q35" s="4"/>
      <c r="R35" s="4"/>
      <c r="S35" s="4"/>
      <c r="T35" s="4"/>
      <c r="U35" s="4"/>
      <c r="V35" s="4"/>
      <c r="W35" s="4"/>
    </row>
    <row r="36" spans="1:23" x14ac:dyDescent="0.25">
      <c r="A36" s="4" t="s">
        <v>6397</v>
      </c>
      <c r="B36" s="4"/>
      <c r="C36" s="4">
        <v>0</v>
      </c>
      <c r="D36" s="4" t="s">
        <v>2792</v>
      </c>
      <c r="E36" s="4">
        <v>1</v>
      </c>
      <c r="F36" s="4"/>
      <c r="G36" s="703"/>
      <c r="H36" s="234" t="s">
        <v>121</v>
      </c>
      <c r="I36" s="244" t="str">
        <f t="shared" si="1"/>
        <v xml:space="preserve">Unarmed:  Simple, Damage 1, Bludgeoning, </v>
      </c>
      <c r="J36" s="166"/>
      <c r="K36" s="4"/>
      <c r="L36" s="4"/>
      <c r="M36" s="4"/>
      <c r="N36" s="4"/>
      <c r="O36" s="4"/>
      <c r="P36" s="4"/>
      <c r="Q36" s="4"/>
      <c r="R36" s="4"/>
      <c r="S36" s="4"/>
      <c r="T36" s="4"/>
      <c r="U36" s="4"/>
      <c r="V36" s="4"/>
      <c r="W36" s="4"/>
    </row>
    <row r="37" spans="1:23" x14ac:dyDescent="0.25">
      <c r="A37" s="4" t="s">
        <v>158</v>
      </c>
      <c r="B37" s="4">
        <v>5</v>
      </c>
      <c r="C37" s="4">
        <v>2</v>
      </c>
      <c r="D37" s="4" t="s">
        <v>173</v>
      </c>
      <c r="E37" s="4" t="s">
        <v>126</v>
      </c>
      <c r="F37" s="4"/>
      <c r="G37" s="703"/>
      <c r="H37" s="234" t="s">
        <v>118</v>
      </c>
      <c r="I37" s="244" t="str">
        <f t="shared" si="1"/>
        <v xml:space="preserve">War Pick:  Martial, Damage 1d8, Piercing, </v>
      </c>
      <c r="J37" s="166"/>
      <c r="K37" s="4"/>
      <c r="L37" s="4"/>
      <c r="M37" s="4"/>
      <c r="N37" s="4"/>
      <c r="O37" s="4"/>
      <c r="P37" s="4"/>
      <c r="Q37" s="4"/>
      <c r="R37" s="4"/>
      <c r="S37" s="4"/>
      <c r="T37" s="4"/>
      <c r="U37" s="4"/>
      <c r="V37" s="4"/>
      <c r="W37" s="4"/>
    </row>
    <row r="38" spans="1:23" x14ac:dyDescent="0.25">
      <c r="A38" s="4" t="s">
        <v>38</v>
      </c>
      <c r="B38" s="4">
        <v>15</v>
      </c>
      <c r="C38" s="4">
        <v>2</v>
      </c>
      <c r="D38" s="4" t="s">
        <v>173</v>
      </c>
      <c r="E38" s="4" t="s">
        <v>126</v>
      </c>
      <c r="F38" s="4" t="s">
        <v>128</v>
      </c>
      <c r="G38" s="703"/>
      <c r="H38" s="234" t="s">
        <v>121</v>
      </c>
      <c r="I38" s="244" t="str">
        <f t="shared" si="1"/>
        <v xml:space="preserve">Warhammer:  Martial, Damage 1d8, Bludgeoning, Versatile, </v>
      </c>
      <c r="J38" s="166"/>
      <c r="K38" s="4"/>
      <c r="L38" s="4"/>
      <c r="M38" s="4"/>
      <c r="N38" s="4"/>
      <c r="O38" s="5" t="s">
        <v>171</v>
      </c>
      <c r="P38" s="4"/>
      <c r="Q38" s="4"/>
      <c r="R38" s="4"/>
      <c r="S38" s="4"/>
      <c r="T38" s="4"/>
      <c r="U38" s="4"/>
      <c r="V38" s="4"/>
      <c r="W38" s="4"/>
    </row>
    <row r="39" spans="1:23" ht="15.75" thickBot="1" x14ac:dyDescent="0.3">
      <c r="A39" s="4" t="s">
        <v>159</v>
      </c>
      <c r="B39" s="4">
        <v>2</v>
      </c>
      <c r="C39" s="4">
        <v>3</v>
      </c>
      <c r="D39" s="4" t="s">
        <v>173</v>
      </c>
      <c r="E39" s="4" t="s">
        <v>120</v>
      </c>
      <c r="F39" s="4"/>
      <c r="G39" s="703"/>
      <c r="H39" s="234" t="s">
        <v>114</v>
      </c>
      <c r="I39" s="245" t="str">
        <f t="shared" si="1"/>
        <v xml:space="preserve">Whip:  Martial, Damage 1d4, Slashing, Reach, Finesse, </v>
      </c>
      <c r="J39" s="240" t="s">
        <v>171</v>
      </c>
      <c r="K39" s="4"/>
      <c r="L39" s="4"/>
      <c r="M39" s="4"/>
      <c r="N39" s="4"/>
      <c r="O39" s="4"/>
      <c r="P39" s="4"/>
      <c r="Q39" s="4"/>
      <c r="R39" s="5" t="s">
        <v>171</v>
      </c>
      <c r="S39" s="4"/>
      <c r="T39" s="4"/>
      <c r="U39" s="4"/>
      <c r="V39" s="4"/>
      <c r="W39" s="4"/>
    </row>
  </sheetData>
  <autoFilter ref="A1:W39" xr:uid="{00000000-0009-0000-0000-000024000000}"/>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21">
    <tabColor theme="7" tint="0.39997558519241921"/>
  </sheetPr>
  <dimension ref="A1:O235"/>
  <sheetViews>
    <sheetView topLeftCell="A11" zoomScale="85" zoomScaleNormal="85" workbookViewId="0">
      <selection activeCell="H16" sqref="H16"/>
    </sheetView>
  </sheetViews>
  <sheetFormatPr defaultRowHeight="15" x14ac:dyDescent="0.25"/>
  <cols>
    <col min="4" max="4" width="19.85546875" bestFit="1" customWidth="1"/>
    <col min="5" max="5" width="50" customWidth="1"/>
  </cols>
  <sheetData>
    <row r="1" spans="1:15" x14ac:dyDescent="0.25">
      <c r="A1" s="472" t="s">
        <v>2954</v>
      </c>
      <c r="B1" s="472" t="s">
        <v>2955</v>
      </c>
      <c r="C1" s="472" t="s">
        <v>94</v>
      </c>
      <c r="D1" s="472" t="s">
        <v>6110</v>
      </c>
      <c r="E1" s="472" t="s">
        <v>177</v>
      </c>
      <c r="F1" s="472" t="s">
        <v>6505</v>
      </c>
      <c r="N1" s="12" t="s">
        <v>1124</v>
      </c>
      <c r="O1" s="18" t="str">
        <f ca="1">VLOOKUP(RANDBETWEEN(1,100),N2:O101,2)</f>
        <v>A rabbit’s foot a stylish cap</v>
      </c>
    </row>
    <row r="2" spans="1:15" x14ac:dyDescent="0.25">
      <c r="A2" s="4" t="s">
        <v>35</v>
      </c>
      <c r="B2" s="4">
        <v>10</v>
      </c>
      <c r="C2" s="4">
        <v>4</v>
      </c>
      <c r="D2" s="4" t="s">
        <v>111</v>
      </c>
      <c r="E2" s="4"/>
      <c r="F2">
        <f t="shared" ref="F2:F65" si="0">IF(ItemLookupCategory=D2,1,0)</f>
        <v>0</v>
      </c>
      <c r="G2">
        <f>IF(F2=1,1,0)</f>
        <v>0</v>
      </c>
      <c r="I2">
        <v>1</v>
      </c>
      <c r="J2">
        <f>IF(MAX(G2:G235)&gt;0,1,0)</f>
        <v>1</v>
      </c>
      <c r="K2" t="str">
        <f>IFERROR(INDEX($A$2:$A$235,MATCH(J2,$G$2:$G$235,0),1),"")</f>
        <v>Basic (vial)</v>
      </c>
      <c r="N2" s="15">
        <v>1</v>
      </c>
      <c r="O2" s="19" t="s">
        <v>1125</v>
      </c>
    </row>
    <row r="3" spans="1:15" x14ac:dyDescent="0.25">
      <c r="A3" s="4" t="s">
        <v>116</v>
      </c>
      <c r="B3" s="4">
        <v>10</v>
      </c>
      <c r="C3" s="4">
        <v>1</v>
      </c>
      <c r="D3" s="4" t="s">
        <v>111</v>
      </c>
      <c r="E3" s="4"/>
      <c r="F3">
        <f t="shared" si="0"/>
        <v>0</v>
      </c>
      <c r="G3">
        <f>IF(F3=1,1+MAX($G$2:G2),0)</f>
        <v>0</v>
      </c>
      <c r="I3">
        <v>2</v>
      </c>
      <c r="J3" t="str">
        <f>IFERROR(IF(J2&lt;MAX($G$2:$G$235),J2+1,""),"")</f>
        <v/>
      </c>
      <c r="K3" t="str">
        <f t="shared" ref="K3:K66" si="1">IFERROR(INDEX($A$2:$A$235,MATCH(J3,$G$2:$G$235,0),1),"")</f>
        <v/>
      </c>
      <c r="N3" s="15">
        <v>2</v>
      </c>
      <c r="O3" s="19" t="s">
        <v>1126</v>
      </c>
    </row>
    <row r="4" spans="1:15" x14ac:dyDescent="0.25">
      <c r="A4" s="4" t="s">
        <v>119</v>
      </c>
      <c r="B4" s="4">
        <v>0.1</v>
      </c>
      <c r="C4" s="4">
        <v>2</v>
      </c>
      <c r="D4" s="4" t="s">
        <v>111</v>
      </c>
      <c r="E4" s="4"/>
      <c r="F4">
        <f t="shared" si="0"/>
        <v>0</v>
      </c>
      <c r="G4">
        <f>IF(F4=1,1+MAX($G$2:G3),0)</f>
        <v>0</v>
      </c>
      <c r="I4">
        <v>3</v>
      </c>
      <c r="J4" t="str">
        <f t="shared" ref="J4:J67" si="2">IFERROR(IF(J3&lt;MAX($G$2:$G$235),J3+1,""),"")</f>
        <v/>
      </c>
      <c r="K4" t="str">
        <f t="shared" si="1"/>
        <v/>
      </c>
      <c r="N4" s="15">
        <v>3</v>
      </c>
      <c r="O4" s="19" t="s">
        <v>1127</v>
      </c>
    </row>
    <row r="5" spans="1:15" x14ac:dyDescent="0.25">
      <c r="A5" s="4" t="s">
        <v>123</v>
      </c>
      <c r="B5" s="4">
        <v>2</v>
      </c>
      <c r="C5" s="4">
        <v>1</v>
      </c>
      <c r="D5" s="4" t="s">
        <v>111</v>
      </c>
      <c r="E5" s="4"/>
      <c r="F5">
        <f t="shared" si="0"/>
        <v>0</v>
      </c>
      <c r="G5">
        <f>IF(F5=1,1+MAX($G$2:G4),0)</f>
        <v>0</v>
      </c>
      <c r="I5">
        <v>4</v>
      </c>
      <c r="J5" t="str">
        <f t="shared" si="2"/>
        <v/>
      </c>
      <c r="K5" t="str">
        <f t="shared" si="1"/>
        <v/>
      </c>
      <c r="N5" s="15">
        <v>4</v>
      </c>
      <c r="O5" s="19" t="s">
        <v>1128</v>
      </c>
    </row>
    <row r="6" spans="1:15" x14ac:dyDescent="0.25">
      <c r="A6" s="4" t="s">
        <v>124</v>
      </c>
      <c r="B6" s="4">
        <v>25</v>
      </c>
      <c r="C6" s="4">
        <v>0.25</v>
      </c>
      <c r="D6" s="4" t="s">
        <v>111</v>
      </c>
      <c r="E6" s="4"/>
      <c r="F6">
        <f t="shared" si="0"/>
        <v>0</v>
      </c>
      <c r="G6">
        <f>IF(F6=1,1+MAX($G$2:G5),0)</f>
        <v>0</v>
      </c>
      <c r="I6">
        <v>5</v>
      </c>
      <c r="J6" t="str">
        <f t="shared" si="2"/>
        <v/>
      </c>
      <c r="K6" t="str">
        <f t="shared" si="1"/>
        <v/>
      </c>
      <c r="N6" s="15">
        <v>5</v>
      </c>
      <c r="O6" s="19" t="s">
        <v>1129</v>
      </c>
    </row>
    <row r="7" spans="1:15" x14ac:dyDescent="0.25">
      <c r="A7" s="4" t="s">
        <v>125</v>
      </c>
      <c r="B7" s="4">
        <v>10</v>
      </c>
      <c r="C7" s="4">
        <v>2</v>
      </c>
      <c r="D7" s="4" t="s">
        <v>111</v>
      </c>
      <c r="E7" s="4"/>
      <c r="F7">
        <f t="shared" si="0"/>
        <v>0</v>
      </c>
      <c r="G7">
        <f>IF(F7=1,1+MAX($G$2:G6),0)</f>
        <v>0</v>
      </c>
      <c r="I7">
        <v>6</v>
      </c>
      <c r="J7" t="str">
        <f t="shared" si="2"/>
        <v/>
      </c>
      <c r="K7" t="str">
        <f t="shared" si="1"/>
        <v/>
      </c>
      <c r="N7" s="15">
        <v>6</v>
      </c>
      <c r="O7" s="19" t="s">
        <v>1130</v>
      </c>
    </row>
    <row r="8" spans="1:15" x14ac:dyDescent="0.25">
      <c r="A8" s="4" t="s">
        <v>127</v>
      </c>
      <c r="B8" s="4">
        <v>20</v>
      </c>
      <c r="C8" s="4">
        <v>6</v>
      </c>
      <c r="D8" s="4" t="s">
        <v>111</v>
      </c>
      <c r="E8" s="4"/>
      <c r="F8">
        <f t="shared" si="0"/>
        <v>0</v>
      </c>
      <c r="G8">
        <f>IF(F8=1,1+MAX($G$2:G7),0)</f>
        <v>0</v>
      </c>
      <c r="I8">
        <v>7</v>
      </c>
      <c r="J8" t="str">
        <f t="shared" si="2"/>
        <v/>
      </c>
      <c r="K8" t="str">
        <f t="shared" si="1"/>
        <v/>
      </c>
      <c r="N8" s="15">
        <v>7</v>
      </c>
      <c r="O8" s="19" t="s">
        <v>1131</v>
      </c>
    </row>
    <row r="9" spans="1:15" x14ac:dyDescent="0.25">
      <c r="A9" s="4" t="s">
        <v>129</v>
      </c>
      <c r="B9" s="4">
        <v>0.2</v>
      </c>
      <c r="C9" s="4">
        <v>10</v>
      </c>
      <c r="D9" s="4" t="s">
        <v>111</v>
      </c>
      <c r="E9" s="4"/>
      <c r="F9">
        <f t="shared" si="0"/>
        <v>0</v>
      </c>
      <c r="G9">
        <f>IF(F9=1,1+MAX($G$2:G8),0)</f>
        <v>0</v>
      </c>
      <c r="I9">
        <v>8</v>
      </c>
      <c r="J9" t="str">
        <f t="shared" si="2"/>
        <v/>
      </c>
      <c r="K9" t="str">
        <f t="shared" si="1"/>
        <v/>
      </c>
      <c r="N9" s="15">
        <v>8</v>
      </c>
      <c r="O9" s="19" t="s">
        <v>1132</v>
      </c>
    </row>
    <row r="10" spans="1:15" x14ac:dyDescent="0.25">
      <c r="A10" s="4" t="s">
        <v>130</v>
      </c>
      <c r="B10" s="4">
        <v>30</v>
      </c>
      <c r="C10" s="4">
        <v>7</v>
      </c>
      <c r="D10" s="4" t="s">
        <v>111</v>
      </c>
      <c r="E10" s="4"/>
      <c r="F10">
        <f t="shared" si="0"/>
        <v>0</v>
      </c>
      <c r="G10">
        <f>IF(F10=1,1+MAX($G$2:G9),0)</f>
        <v>0</v>
      </c>
      <c r="I10">
        <v>9</v>
      </c>
      <c r="J10" t="str">
        <f t="shared" si="2"/>
        <v/>
      </c>
      <c r="K10" t="str">
        <f t="shared" si="1"/>
        <v/>
      </c>
      <c r="N10" s="15">
        <v>9</v>
      </c>
      <c r="O10" s="19" t="s">
        <v>1133</v>
      </c>
    </row>
    <row r="11" spans="1:15" x14ac:dyDescent="0.25">
      <c r="A11" s="4" t="s">
        <v>132</v>
      </c>
      <c r="B11" s="4">
        <v>50</v>
      </c>
      <c r="C11" s="4">
        <v>6</v>
      </c>
      <c r="D11" s="4" t="s">
        <v>111</v>
      </c>
      <c r="E11" s="4"/>
      <c r="F11">
        <f t="shared" si="0"/>
        <v>0</v>
      </c>
      <c r="G11">
        <f>IF(F11=1,1+MAX($G$2:G10),0)</f>
        <v>0</v>
      </c>
      <c r="I11">
        <v>10</v>
      </c>
      <c r="J11" t="str">
        <f t="shared" si="2"/>
        <v/>
      </c>
      <c r="K11" t="str">
        <f t="shared" si="1"/>
        <v/>
      </c>
      <c r="N11" s="15">
        <v>10</v>
      </c>
      <c r="O11" s="19" t="s">
        <v>1134</v>
      </c>
    </row>
    <row r="12" spans="1:15" x14ac:dyDescent="0.25">
      <c r="A12" s="4" t="s">
        <v>134</v>
      </c>
      <c r="B12" s="4">
        <v>20</v>
      </c>
      <c r="C12" s="4">
        <v>6</v>
      </c>
      <c r="D12" s="4" t="s">
        <v>111</v>
      </c>
      <c r="E12" s="4"/>
      <c r="F12">
        <f t="shared" si="0"/>
        <v>0</v>
      </c>
      <c r="G12">
        <f>IF(F12=1,1+MAX($G$2:G11),0)</f>
        <v>0</v>
      </c>
      <c r="I12">
        <v>11</v>
      </c>
      <c r="J12" t="str">
        <f t="shared" si="2"/>
        <v/>
      </c>
      <c r="K12" t="str">
        <f t="shared" si="1"/>
        <v/>
      </c>
      <c r="N12" s="15">
        <v>11</v>
      </c>
      <c r="O12" s="19" t="s">
        <v>1135</v>
      </c>
    </row>
    <row r="13" spans="1:15" x14ac:dyDescent="0.25">
      <c r="A13" s="4" t="s">
        <v>135</v>
      </c>
      <c r="B13" s="4">
        <v>75</v>
      </c>
      <c r="C13" s="4">
        <v>3</v>
      </c>
      <c r="D13" s="4" t="s">
        <v>111</v>
      </c>
      <c r="E13" s="4"/>
      <c r="F13">
        <f t="shared" si="0"/>
        <v>0</v>
      </c>
      <c r="G13">
        <f>IF(F13=1,1+MAX($G$2:G12),0)</f>
        <v>0</v>
      </c>
      <c r="I13">
        <v>12</v>
      </c>
      <c r="J13" t="str">
        <f t="shared" si="2"/>
        <v/>
      </c>
      <c r="K13" t="str">
        <f t="shared" si="1"/>
        <v/>
      </c>
      <c r="N13" s="15">
        <v>12</v>
      </c>
      <c r="O13" s="19" t="s">
        <v>1136</v>
      </c>
    </row>
    <row r="14" spans="1:15" x14ac:dyDescent="0.25">
      <c r="A14" s="4" t="s">
        <v>36</v>
      </c>
      <c r="B14" s="4">
        <v>5</v>
      </c>
      <c r="C14" s="4">
        <v>2</v>
      </c>
      <c r="D14" s="4" t="s">
        <v>111</v>
      </c>
      <c r="E14" s="4"/>
      <c r="F14">
        <f t="shared" si="0"/>
        <v>0</v>
      </c>
      <c r="G14">
        <f>IF(F14=1,1+MAX($G$2:G13),0)</f>
        <v>0</v>
      </c>
      <c r="I14">
        <v>13</v>
      </c>
      <c r="J14" t="str">
        <f t="shared" si="2"/>
        <v/>
      </c>
      <c r="K14" t="str">
        <f t="shared" si="1"/>
        <v/>
      </c>
      <c r="N14" s="15">
        <v>13</v>
      </c>
      <c r="O14" s="19" t="s">
        <v>1137</v>
      </c>
    </row>
    <row r="15" spans="1:15" x14ac:dyDescent="0.25">
      <c r="A15" s="4" t="s">
        <v>137</v>
      </c>
      <c r="B15" s="4">
        <v>50</v>
      </c>
      <c r="C15" s="4">
        <v>18</v>
      </c>
      <c r="D15" s="4" t="s">
        <v>111</v>
      </c>
      <c r="E15" s="4"/>
      <c r="F15">
        <f t="shared" si="0"/>
        <v>0</v>
      </c>
      <c r="G15">
        <f>IF(F15=1,1+MAX($G$2:G14),0)</f>
        <v>0</v>
      </c>
      <c r="I15">
        <v>14</v>
      </c>
      <c r="J15" t="str">
        <f t="shared" si="2"/>
        <v/>
      </c>
      <c r="K15" t="str">
        <f t="shared" si="1"/>
        <v/>
      </c>
      <c r="N15" s="15">
        <v>14</v>
      </c>
      <c r="O15" s="19" t="s">
        <v>1138</v>
      </c>
    </row>
    <row r="16" spans="1:15" x14ac:dyDescent="0.25">
      <c r="A16" s="4" t="s">
        <v>138</v>
      </c>
      <c r="B16" s="4">
        <v>0.5</v>
      </c>
      <c r="C16" s="4">
        <v>2</v>
      </c>
      <c r="D16" s="4" t="s">
        <v>111</v>
      </c>
      <c r="E16" s="4"/>
      <c r="F16">
        <f t="shared" si="0"/>
        <v>0</v>
      </c>
      <c r="G16">
        <f>IF(F16=1,1+MAX($G$2:G15),0)</f>
        <v>0</v>
      </c>
      <c r="I16">
        <v>15</v>
      </c>
      <c r="J16" t="str">
        <f t="shared" si="2"/>
        <v/>
      </c>
      <c r="K16" t="str">
        <f t="shared" si="1"/>
        <v/>
      </c>
      <c r="N16" s="15">
        <v>15</v>
      </c>
      <c r="O16" s="19" t="s">
        <v>1139</v>
      </c>
    </row>
    <row r="17" spans="1:15" x14ac:dyDescent="0.25">
      <c r="A17" s="4" t="s">
        <v>140</v>
      </c>
      <c r="B17" s="4">
        <v>10</v>
      </c>
      <c r="C17" s="4">
        <v>6</v>
      </c>
      <c r="D17" s="4" t="s">
        <v>111</v>
      </c>
      <c r="E17" s="4"/>
      <c r="F17">
        <f t="shared" si="0"/>
        <v>0</v>
      </c>
      <c r="G17">
        <f>IF(F17=1,1+MAX($G$2:G16),0)</f>
        <v>0</v>
      </c>
      <c r="I17">
        <v>16</v>
      </c>
      <c r="J17" t="str">
        <f t="shared" si="2"/>
        <v/>
      </c>
      <c r="K17" t="str">
        <f t="shared" si="1"/>
        <v/>
      </c>
      <c r="N17" s="15">
        <v>16</v>
      </c>
      <c r="O17" s="19" t="s">
        <v>1140</v>
      </c>
    </row>
    <row r="18" spans="1:15" x14ac:dyDescent="0.25">
      <c r="A18" s="4" t="s">
        <v>141</v>
      </c>
      <c r="B18" s="4">
        <v>0.05</v>
      </c>
      <c r="C18" s="4">
        <v>5</v>
      </c>
      <c r="D18" s="4" t="s">
        <v>111</v>
      </c>
      <c r="E18" s="4"/>
      <c r="F18">
        <f t="shared" si="0"/>
        <v>0</v>
      </c>
      <c r="G18">
        <f>IF(F18=1,1+MAX($G$2:G17),0)</f>
        <v>0</v>
      </c>
      <c r="I18">
        <v>17</v>
      </c>
      <c r="J18" t="str">
        <f t="shared" si="2"/>
        <v/>
      </c>
      <c r="K18" t="str">
        <f t="shared" si="1"/>
        <v/>
      </c>
      <c r="N18" s="15">
        <v>17</v>
      </c>
      <c r="O18" s="19" t="s">
        <v>1141</v>
      </c>
    </row>
    <row r="19" spans="1:15" x14ac:dyDescent="0.25">
      <c r="A19" s="4" t="s">
        <v>142</v>
      </c>
      <c r="B19" s="4">
        <v>2</v>
      </c>
      <c r="C19" s="4">
        <v>2</v>
      </c>
      <c r="D19" s="4" t="s">
        <v>111</v>
      </c>
      <c r="E19" s="4"/>
      <c r="F19">
        <f t="shared" si="0"/>
        <v>0</v>
      </c>
      <c r="G19">
        <f>IF(F19=1,1+MAX($G$2:G18),0)</f>
        <v>0</v>
      </c>
      <c r="I19">
        <v>18</v>
      </c>
      <c r="J19" t="str">
        <f t="shared" si="2"/>
        <v/>
      </c>
      <c r="K19" t="str">
        <f t="shared" si="1"/>
        <v/>
      </c>
      <c r="N19" s="15">
        <v>18</v>
      </c>
      <c r="O19" s="19" t="s">
        <v>1142</v>
      </c>
    </row>
    <row r="20" spans="1:15" x14ac:dyDescent="0.25">
      <c r="A20" s="4" t="s">
        <v>53</v>
      </c>
      <c r="B20" s="4">
        <v>50</v>
      </c>
      <c r="C20" s="4">
        <v>2</v>
      </c>
      <c r="D20" s="4" t="s">
        <v>111</v>
      </c>
      <c r="E20" s="4"/>
      <c r="F20">
        <f t="shared" si="0"/>
        <v>0</v>
      </c>
      <c r="G20">
        <f>IF(F20=1,1+MAX($G$2:G19),0)</f>
        <v>0</v>
      </c>
      <c r="I20">
        <v>19</v>
      </c>
      <c r="J20" t="str">
        <f t="shared" si="2"/>
        <v/>
      </c>
      <c r="K20" t="str">
        <f t="shared" si="1"/>
        <v/>
      </c>
      <c r="N20" s="15">
        <v>19</v>
      </c>
      <c r="O20" s="19" t="s">
        <v>1143</v>
      </c>
    </row>
    <row r="21" spans="1:15" x14ac:dyDescent="0.25">
      <c r="A21" s="4" t="s">
        <v>50</v>
      </c>
      <c r="B21" s="4">
        <v>15</v>
      </c>
      <c r="C21" s="4">
        <v>3</v>
      </c>
      <c r="D21" s="4" t="s">
        <v>111</v>
      </c>
      <c r="E21" s="4"/>
      <c r="F21">
        <f t="shared" si="0"/>
        <v>0</v>
      </c>
      <c r="G21">
        <f>IF(F21=1,1+MAX($G$2:G20),0)</f>
        <v>0</v>
      </c>
      <c r="I21">
        <v>20</v>
      </c>
      <c r="J21" t="str">
        <f t="shared" si="2"/>
        <v/>
      </c>
      <c r="K21" t="str">
        <f t="shared" si="1"/>
        <v/>
      </c>
      <c r="N21" s="15">
        <v>20</v>
      </c>
      <c r="O21" s="19" t="s">
        <v>1144</v>
      </c>
    </row>
    <row r="22" spans="1:15" x14ac:dyDescent="0.25">
      <c r="A22" s="4" t="s">
        <v>143</v>
      </c>
      <c r="B22" s="4">
        <v>5</v>
      </c>
      <c r="C22" s="4">
        <v>4</v>
      </c>
      <c r="D22" s="4" t="s">
        <v>111</v>
      </c>
      <c r="E22" s="4"/>
      <c r="F22">
        <f t="shared" si="0"/>
        <v>0</v>
      </c>
      <c r="G22">
        <f>IF(F22=1,1+MAX($G$2:G21),0)</f>
        <v>0</v>
      </c>
      <c r="I22">
        <v>21</v>
      </c>
      <c r="J22" t="str">
        <f t="shared" si="2"/>
        <v/>
      </c>
      <c r="K22" t="str">
        <f t="shared" si="1"/>
        <v/>
      </c>
      <c r="N22" s="15">
        <v>21</v>
      </c>
      <c r="O22" s="19" t="s">
        <v>1145</v>
      </c>
    </row>
    <row r="23" spans="1:15" x14ac:dyDescent="0.25">
      <c r="A23" s="4" t="s">
        <v>144</v>
      </c>
      <c r="B23" s="4">
        <v>10</v>
      </c>
      <c r="C23" s="4">
        <v>10</v>
      </c>
      <c r="D23" s="4" t="s">
        <v>111</v>
      </c>
      <c r="E23" s="4"/>
      <c r="F23">
        <f t="shared" si="0"/>
        <v>0</v>
      </c>
      <c r="G23">
        <f>IF(F23=1,1+MAX($G$2:G22),0)</f>
        <v>0</v>
      </c>
      <c r="I23">
        <v>22</v>
      </c>
      <c r="J23" t="str">
        <f t="shared" si="2"/>
        <v/>
      </c>
      <c r="K23" t="str">
        <f t="shared" si="1"/>
        <v/>
      </c>
      <c r="N23" s="15">
        <v>22</v>
      </c>
      <c r="O23" s="19" t="s">
        <v>1146</v>
      </c>
    </row>
    <row r="24" spans="1:15" x14ac:dyDescent="0.25">
      <c r="A24" s="4" t="s">
        <v>145</v>
      </c>
      <c r="B24" s="4">
        <v>5</v>
      </c>
      <c r="C24" s="4">
        <v>4</v>
      </c>
      <c r="D24" s="4" t="s">
        <v>111</v>
      </c>
      <c r="E24" s="4"/>
      <c r="F24">
        <f t="shared" si="0"/>
        <v>0</v>
      </c>
      <c r="G24">
        <f>IF(F24=1,1+MAX($G$2:G23),0)</f>
        <v>0</v>
      </c>
      <c r="I24">
        <v>23</v>
      </c>
      <c r="J24" t="str">
        <f t="shared" si="2"/>
        <v/>
      </c>
      <c r="K24" t="str">
        <f t="shared" si="1"/>
        <v/>
      </c>
      <c r="N24" s="15">
        <v>23</v>
      </c>
      <c r="O24" s="19" t="s">
        <v>1147</v>
      </c>
    </row>
    <row r="25" spans="1:15" x14ac:dyDescent="0.25">
      <c r="A25" s="4" t="s">
        <v>146</v>
      </c>
      <c r="B25" s="4">
        <v>1</v>
      </c>
      <c r="C25" s="4">
        <v>3</v>
      </c>
      <c r="D25" s="4" t="s">
        <v>111</v>
      </c>
      <c r="E25" s="4"/>
      <c r="F25">
        <f t="shared" si="0"/>
        <v>0</v>
      </c>
      <c r="G25">
        <f>IF(F25=1,1+MAX($G$2:G24),0)</f>
        <v>0</v>
      </c>
      <c r="I25">
        <v>24</v>
      </c>
      <c r="J25" t="str">
        <f t="shared" si="2"/>
        <v/>
      </c>
      <c r="K25" t="str">
        <f t="shared" si="1"/>
        <v/>
      </c>
      <c r="N25" s="15">
        <v>24</v>
      </c>
      <c r="O25" s="19" t="s">
        <v>1148</v>
      </c>
    </row>
    <row r="26" spans="1:15" x14ac:dyDescent="0.25">
      <c r="A26" s="4" t="s">
        <v>147</v>
      </c>
      <c r="B26" s="4">
        <v>5</v>
      </c>
      <c r="C26" s="4">
        <v>18</v>
      </c>
      <c r="D26" s="4" t="s">
        <v>111</v>
      </c>
      <c r="E26" s="4"/>
      <c r="F26">
        <f t="shared" si="0"/>
        <v>0</v>
      </c>
      <c r="G26">
        <f>IF(F26=1,1+MAX($G$2:G25),0)</f>
        <v>0</v>
      </c>
      <c r="I26">
        <v>25</v>
      </c>
      <c r="J26" t="str">
        <f t="shared" si="2"/>
        <v/>
      </c>
      <c r="K26" t="str">
        <f t="shared" si="1"/>
        <v/>
      </c>
      <c r="N26" s="15">
        <v>25</v>
      </c>
      <c r="O26" s="19" t="s">
        <v>1149</v>
      </c>
    </row>
    <row r="27" spans="1:15" x14ac:dyDescent="0.25">
      <c r="A27" s="4" t="s">
        <v>148</v>
      </c>
      <c r="B27" s="4">
        <v>0.2</v>
      </c>
      <c r="C27" s="4">
        <v>4</v>
      </c>
      <c r="D27" s="4" t="s">
        <v>111</v>
      </c>
      <c r="E27" s="4"/>
      <c r="F27">
        <f t="shared" si="0"/>
        <v>0</v>
      </c>
      <c r="G27">
        <f>IF(F27=1,1+MAX($G$2:G26),0)</f>
        <v>0</v>
      </c>
      <c r="I27">
        <v>26</v>
      </c>
      <c r="J27" t="str">
        <f t="shared" si="2"/>
        <v/>
      </c>
      <c r="K27" t="str">
        <f t="shared" si="1"/>
        <v/>
      </c>
      <c r="N27" s="15">
        <v>26</v>
      </c>
      <c r="O27" s="19" t="s">
        <v>1150</v>
      </c>
    </row>
    <row r="28" spans="1:15" x14ac:dyDescent="0.25">
      <c r="A28" s="4" t="s">
        <v>149</v>
      </c>
      <c r="B28" s="4">
        <v>25</v>
      </c>
      <c r="C28" s="4">
        <v>2</v>
      </c>
      <c r="D28" s="4" t="s">
        <v>111</v>
      </c>
      <c r="E28" s="4"/>
      <c r="F28">
        <f t="shared" si="0"/>
        <v>0</v>
      </c>
      <c r="G28">
        <f>IF(F28=1,1+MAX($G$2:G27),0)</f>
        <v>0</v>
      </c>
      <c r="I28">
        <v>27</v>
      </c>
      <c r="J28" t="str">
        <f t="shared" si="2"/>
        <v/>
      </c>
      <c r="K28" t="str">
        <f t="shared" si="1"/>
        <v/>
      </c>
      <c r="N28" s="15">
        <v>27</v>
      </c>
      <c r="O28" s="19" t="s">
        <v>1151</v>
      </c>
    </row>
    <row r="29" spans="1:15" x14ac:dyDescent="0.25">
      <c r="A29" s="4" t="s">
        <v>151</v>
      </c>
      <c r="B29" s="4">
        <v>25</v>
      </c>
      <c r="C29" s="4">
        <v>3</v>
      </c>
      <c r="D29" s="4" t="s">
        <v>111</v>
      </c>
      <c r="E29" s="4"/>
      <c r="F29">
        <f t="shared" si="0"/>
        <v>0</v>
      </c>
      <c r="G29">
        <f>IF(F29=1,1+MAX($G$2:G28),0)</f>
        <v>0</v>
      </c>
      <c r="I29">
        <v>28</v>
      </c>
      <c r="J29" t="str">
        <f t="shared" si="2"/>
        <v/>
      </c>
      <c r="K29" t="str">
        <f t="shared" si="1"/>
        <v/>
      </c>
      <c r="N29" s="15">
        <v>28</v>
      </c>
      <c r="O29" s="19" t="s">
        <v>1152</v>
      </c>
    </row>
    <row r="30" spans="1:15" x14ac:dyDescent="0.25">
      <c r="A30" s="4" t="s">
        <v>52</v>
      </c>
      <c r="B30" s="4">
        <v>1</v>
      </c>
      <c r="C30" s="4">
        <v>2</v>
      </c>
      <c r="D30" s="4" t="s">
        <v>111</v>
      </c>
      <c r="E30" s="4"/>
      <c r="F30">
        <f t="shared" si="0"/>
        <v>0</v>
      </c>
      <c r="G30">
        <f>IF(F30=1,1+MAX($G$2:G29),0)</f>
        <v>0</v>
      </c>
      <c r="I30">
        <v>29</v>
      </c>
      <c r="J30" t="str">
        <f t="shared" si="2"/>
        <v/>
      </c>
      <c r="K30" t="str">
        <f t="shared" si="1"/>
        <v/>
      </c>
      <c r="N30" s="15">
        <v>29</v>
      </c>
      <c r="O30" s="19" t="s">
        <v>1153</v>
      </c>
    </row>
    <row r="31" spans="1:15" x14ac:dyDescent="0.25">
      <c r="A31" s="4" t="s">
        <v>51</v>
      </c>
      <c r="B31" s="4">
        <v>10</v>
      </c>
      <c r="C31" s="4">
        <v>2</v>
      </c>
      <c r="D31" s="4" t="s">
        <v>111</v>
      </c>
      <c r="E31" s="4"/>
      <c r="F31">
        <f t="shared" si="0"/>
        <v>0</v>
      </c>
      <c r="G31">
        <f>IF(F31=1,1+MAX($G$2:G30),0)</f>
        <v>0</v>
      </c>
      <c r="I31">
        <v>30</v>
      </c>
      <c r="J31" t="str">
        <f t="shared" si="2"/>
        <v/>
      </c>
      <c r="K31" t="str">
        <f t="shared" si="1"/>
        <v/>
      </c>
      <c r="N31" s="15">
        <v>30</v>
      </c>
      <c r="O31" s="19" t="s">
        <v>1154</v>
      </c>
    </row>
    <row r="32" spans="1:15" x14ac:dyDescent="0.25">
      <c r="A32" s="4" t="s">
        <v>152</v>
      </c>
      <c r="B32" s="4">
        <v>1</v>
      </c>
      <c r="C32" s="4">
        <v>2</v>
      </c>
      <c r="D32" s="4" t="s">
        <v>111</v>
      </c>
      <c r="E32" s="4"/>
      <c r="F32">
        <f t="shared" si="0"/>
        <v>0</v>
      </c>
      <c r="G32">
        <f>IF(F32=1,1+MAX($G$2:G31),0)</f>
        <v>0</v>
      </c>
      <c r="I32">
        <v>31</v>
      </c>
      <c r="J32" t="str">
        <f t="shared" si="2"/>
        <v/>
      </c>
      <c r="K32" t="str">
        <f t="shared" si="1"/>
        <v/>
      </c>
      <c r="N32" s="15">
        <v>31</v>
      </c>
      <c r="O32" s="19" t="s">
        <v>1155</v>
      </c>
    </row>
    <row r="33" spans="1:15" x14ac:dyDescent="0.25">
      <c r="A33" s="4" t="s">
        <v>153</v>
      </c>
      <c r="B33" s="4">
        <v>0.1</v>
      </c>
      <c r="C33" s="4">
        <v>0</v>
      </c>
      <c r="D33" s="4" t="s">
        <v>111</v>
      </c>
      <c r="E33" s="4"/>
      <c r="F33">
        <f t="shared" si="0"/>
        <v>0</v>
      </c>
      <c r="G33">
        <f>IF(F33=1,1+MAX($G$2:G32),0)</f>
        <v>0</v>
      </c>
      <c r="I33">
        <v>32</v>
      </c>
      <c r="J33" t="str">
        <f t="shared" si="2"/>
        <v/>
      </c>
      <c r="K33" t="str">
        <f t="shared" si="1"/>
        <v/>
      </c>
      <c r="N33" s="15">
        <v>32</v>
      </c>
      <c r="O33" s="19" t="s">
        <v>1156</v>
      </c>
    </row>
    <row r="34" spans="1:15" x14ac:dyDescent="0.25">
      <c r="A34" s="4" t="s">
        <v>155</v>
      </c>
      <c r="B34" s="4">
        <v>1</v>
      </c>
      <c r="C34" s="4">
        <v>3</v>
      </c>
      <c r="D34" s="4" t="s">
        <v>111</v>
      </c>
      <c r="E34" s="4"/>
      <c r="F34">
        <f t="shared" si="0"/>
        <v>0</v>
      </c>
      <c r="G34">
        <f>IF(F34=1,1+MAX($G$2:G33),0)</f>
        <v>0</v>
      </c>
      <c r="I34">
        <v>33</v>
      </c>
      <c r="J34" t="str">
        <f t="shared" si="2"/>
        <v/>
      </c>
      <c r="K34" t="str">
        <f t="shared" si="1"/>
        <v/>
      </c>
      <c r="N34" s="15">
        <v>33</v>
      </c>
      <c r="O34" s="19" t="s">
        <v>1157</v>
      </c>
    </row>
    <row r="35" spans="1:15" x14ac:dyDescent="0.25">
      <c r="A35" s="4" t="s">
        <v>156</v>
      </c>
      <c r="B35" s="4">
        <v>5</v>
      </c>
      <c r="C35" s="4">
        <v>4</v>
      </c>
      <c r="D35" s="4" t="s">
        <v>111</v>
      </c>
      <c r="E35" s="4"/>
      <c r="F35">
        <f t="shared" si="0"/>
        <v>0</v>
      </c>
      <c r="G35">
        <f>IF(F35=1,1+MAX($G$2:G34),0)</f>
        <v>0</v>
      </c>
      <c r="I35">
        <v>34</v>
      </c>
      <c r="J35" t="str">
        <f t="shared" si="2"/>
        <v/>
      </c>
      <c r="K35" t="str">
        <f t="shared" si="1"/>
        <v/>
      </c>
      <c r="N35" s="15">
        <v>34</v>
      </c>
      <c r="O35" s="19" t="s">
        <v>1158</v>
      </c>
    </row>
    <row r="36" spans="1:15" x14ac:dyDescent="0.25">
      <c r="A36" s="4" t="s">
        <v>157</v>
      </c>
      <c r="B36" s="4"/>
      <c r="C36" s="4">
        <v>0</v>
      </c>
      <c r="D36" s="4" t="s">
        <v>111</v>
      </c>
      <c r="E36" s="4"/>
      <c r="F36">
        <f t="shared" si="0"/>
        <v>0</v>
      </c>
      <c r="G36">
        <f>IF(F36=1,1+MAX($G$2:G35),0)</f>
        <v>0</v>
      </c>
      <c r="I36">
        <v>35</v>
      </c>
      <c r="J36" t="str">
        <f t="shared" si="2"/>
        <v/>
      </c>
      <c r="K36" t="str">
        <f t="shared" si="1"/>
        <v/>
      </c>
      <c r="N36" s="15">
        <v>35</v>
      </c>
      <c r="O36" s="19" t="s">
        <v>1159</v>
      </c>
    </row>
    <row r="37" spans="1:15" x14ac:dyDescent="0.25">
      <c r="A37" s="4" t="s">
        <v>158</v>
      </c>
      <c r="B37" s="4">
        <v>5</v>
      </c>
      <c r="C37" s="4">
        <v>2</v>
      </c>
      <c r="D37" s="4" t="s">
        <v>111</v>
      </c>
      <c r="E37" s="4"/>
      <c r="F37">
        <f t="shared" si="0"/>
        <v>0</v>
      </c>
      <c r="G37">
        <f>IF(F37=1,1+MAX($G$2:G36),0)</f>
        <v>0</v>
      </c>
      <c r="I37">
        <v>36</v>
      </c>
      <c r="J37" t="str">
        <f t="shared" si="2"/>
        <v/>
      </c>
      <c r="K37" t="str">
        <f t="shared" si="1"/>
        <v/>
      </c>
      <c r="N37" s="15">
        <v>36</v>
      </c>
      <c r="O37" s="19" t="s">
        <v>1160</v>
      </c>
    </row>
    <row r="38" spans="1:15" x14ac:dyDescent="0.25">
      <c r="A38" s="4" t="s">
        <v>38</v>
      </c>
      <c r="B38" s="4">
        <v>15</v>
      </c>
      <c r="C38" s="4">
        <v>2</v>
      </c>
      <c r="D38" s="4" t="s">
        <v>111</v>
      </c>
      <c r="E38" s="4"/>
      <c r="F38">
        <f t="shared" si="0"/>
        <v>0</v>
      </c>
      <c r="G38">
        <f>IF(F38=1,1+MAX($G$2:G37),0)</f>
        <v>0</v>
      </c>
      <c r="I38">
        <v>37</v>
      </c>
      <c r="J38" t="str">
        <f t="shared" si="2"/>
        <v/>
      </c>
      <c r="K38" t="str">
        <f t="shared" si="1"/>
        <v/>
      </c>
      <c r="N38" s="15">
        <v>37</v>
      </c>
      <c r="O38" s="19" t="s">
        <v>1161</v>
      </c>
    </row>
    <row r="39" spans="1:15" x14ac:dyDescent="0.25">
      <c r="A39" s="4" t="s">
        <v>159</v>
      </c>
      <c r="B39" s="4">
        <v>2</v>
      </c>
      <c r="C39" s="4">
        <v>3</v>
      </c>
      <c r="D39" s="4" t="s">
        <v>111</v>
      </c>
      <c r="E39" s="4"/>
      <c r="F39">
        <f t="shared" si="0"/>
        <v>0</v>
      </c>
      <c r="G39">
        <f>IF(F39=1,1+MAX($G$2:G38),0)</f>
        <v>0</v>
      </c>
      <c r="I39">
        <v>38</v>
      </c>
      <c r="J39" t="str">
        <f t="shared" si="2"/>
        <v/>
      </c>
      <c r="K39" t="str">
        <f t="shared" si="1"/>
        <v/>
      </c>
      <c r="N39" s="15">
        <v>38</v>
      </c>
      <c r="O39" s="19" t="s">
        <v>1162</v>
      </c>
    </row>
    <row r="40" spans="1:15" x14ac:dyDescent="0.25">
      <c r="A40" s="4" t="s">
        <v>96</v>
      </c>
      <c r="B40" s="4">
        <v>5</v>
      </c>
      <c r="C40" s="4">
        <v>8</v>
      </c>
      <c r="D40" s="4" t="s">
        <v>89</v>
      </c>
      <c r="E40" s="4"/>
      <c r="F40">
        <f t="shared" si="0"/>
        <v>0</v>
      </c>
      <c r="G40">
        <f>IF(F40=1,1+MAX($G$2:G39),0)</f>
        <v>0</v>
      </c>
      <c r="I40">
        <v>39</v>
      </c>
      <c r="J40" t="str">
        <f t="shared" si="2"/>
        <v/>
      </c>
      <c r="K40" t="str">
        <f t="shared" si="1"/>
        <v/>
      </c>
      <c r="N40" s="15">
        <v>39</v>
      </c>
      <c r="O40" s="19" t="s">
        <v>1163</v>
      </c>
    </row>
    <row r="41" spans="1:15" x14ac:dyDescent="0.25">
      <c r="A41" s="4" t="s">
        <v>98</v>
      </c>
      <c r="B41" s="4">
        <v>10</v>
      </c>
      <c r="C41" s="4">
        <v>10</v>
      </c>
      <c r="D41" s="4" t="s">
        <v>89</v>
      </c>
      <c r="E41" s="4"/>
      <c r="F41">
        <f t="shared" si="0"/>
        <v>0</v>
      </c>
      <c r="G41">
        <f>IF(F41=1,1+MAX($G$2:G40),0)</f>
        <v>0</v>
      </c>
      <c r="I41">
        <v>40</v>
      </c>
      <c r="J41" t="str">
        <f t="shared" si="2"/>
        <v/>
      </c>
      <c r="K41" t="str">
        <f t="shared" si="1"/>
        <v/>
      </c>
      <c r="N41" s="15">
        <v>40</v>
      </c>
      <c r="O41" s="19" t="s">
        <v>1164</v>
      </c>
    </row>
    <row r="42" spans="1:15" x14ac:dyDescent="0.25">
      <c r="A42" s="4" t="s">
        <v>99</v>
      </c>
      <c r="B42" s="4">
        <v>45</v>
      </c>
      <c r="C42" s="4">
        <v>13</v>
      </c>
      <c r="D42" s="4" t="s">
        <v>89</v>
      </c>
      <c r="E42" s="4"/>
      <c r="F42">
        <f t="shared" si="0"/>
        <v>0</v>
      </c>
      <c r="G42">
        <f>IF(F42=1,1+MAX($G$2:G41),0)</f>
        <v>0</v>
      </c>
      <c r="I42">
        <v>41</v>
      </c>
      <c r="J42" t="str">
        <f t="shared" si="2"/>
        <v/>
      </c>
      <c r="K42" t="str">
        <f t="shared" si="1"/>
        <v/>
      </c>
      <c r="N42" s="15">
        <v>41</v>
      </c>
      <c r="O42" s="19" t="s">
        <v>1165</v>
      </c>
    </row>
    <row r="43" spans="1:15" x14ac:dyDescent="0.25">
      <c r="A43" s="4" t="s">
        <v>100</v>
      </c>
      <c r="B43" s="4">
        <v>10</v>
      </c>
      <c r="C43" s="4">
        <v>12</v>
      </c>
      <c r="D43" s="4" t="s">
        <v>89</v>
      </c>
      <c r="E43" s="4"/>
      <c r="F43">
        <f t="shared" si="0"/>
        <v>0</v>
      </c>
      <c r="G43">
        <f>IF(F43=1,1+MAX($G$2:G42),0)</f>
        <v>0</v>
      </c>
      <c r="I43">
        <v>42</v>
      </c>
      <c r="J43" t="str">
        <f t="shared" si="2"/>
        <v/>
      </c>
      <c r="K43" t="str">
        <f t="shared" si="1"/>
        <v/>
      </c>
      <c r="N43" s="15">
        <v>42</v>
      </c>
      <c r="O43" s="19" t="s">
        <v>1166</v>
      </c>
    </row>
    <row r="44" spans="1:15" x14ac:dyDescent="0.25">
      <c r="A44" s="4" t="s">
        <v>101</v>
      </c>
      <c r="B44" s="4">
        <v>50</v>
      </c>
      <c r="C44" s="4">
        <v>20</v>
      </c>
      <c r="D44" s="4" t="s">
        <v>89</v>
      </c>
      <c r="E44" s="4"/>
      <c r="F44">
        <f t="shared" si="0"/>
        <v>0</v>
      </c>
      <c r="G44">
        <f>IF(F44=1,1+MAX($G$2:G43),0)</f>
        <v>0</v>
      </c>
      <c r="I44">
        <v>43</v>
      </c>
      <c r="J44" t="str">
        <f t="shared" si="2"/>
        <v/>
      </c>
      <c r="K44" t="str">
        <f t="shared" si="1"/>
        <v/>
      </c>
      <c r="N44" s="15">
        <v>43</v>
      </c>
      <c r="O44" s="19" t="s">
        <v>1167</v>
      </c>
    </row>
    <row r="45" spans="1:15" x14ac:dyDescent="0.25">
      <c r="A45" s="4" t="s">
        <v>102</v>
      </c>
      <c r="B45" s="4">
        <v>50</v>
      </c>
      <c r="C45" s="4">
        <v>45</v>
      </c>
      <c r="D45" s="4" t="s">
        <v>89</v>
      </c>
      <c r="E45" s="4"/>
      <c r="F45">
        <f t="shared" si="0"/>
        <v>0</v>
      </c>
      <c r="G45">
        <f>IF(F45=1,1+MAX($G$2:G44),0)</f>
        <v>0</v>
      </c>
      <c r="I45">
        <v>44</v>
      </c>
      <c r="J45" t="str">
        <f t="shared" si="2"/>
        <v/>
      </c>
      <c r="K45" t="str">
        <f t="shared" si="1"/>
        <v/>
      </c>
      <c r="N45" s="15">
        <v>44</v>
      </c>
      <c r="O45" s="19" t="s">
        <v>1168</v>
      </c>
    </row>
    <row r="46" spans="1:15" x14ac:dyDescent="0.25">
      <c r="A46" s="4" t="s">
        <v>103</v>
      </c>
      <c r="B46" s="4">
        <v>400</v>
      </c>
      <c r="C46" s="4">
        <v>20</v>
      </c>
      <c r="D46" s="4" t="s">
        <v>89</v>
      </c>
      <c r="E46" s="4"/>
      <c r="F46">
        <f t="shared" si="0"/>
        <v>0</v>
      </c>
      <c r="G46">
        <f>IF(F46=1,1+MAX($G$2:G45),0)</f>
        <v>0</v>
      </c>
      <c r="I46">
        <v>45</v>
      </c>
      <c r="J46" t="str">
        <f t="shared" si="2"/>
        <v/>
      </c>
      <c r="K46" t="str">
        <f t="shared" si="1"/>
        <v/>
      </c>
      <c r="N46" s="15">
        <v>45</v>
      </c>
      <c r="O46" s="19" t="s">
        <v>1169</v>
      </c>
    </row>
    <row r="47" spans="1:15" x14ac:dyDescent="0.25">
      <c r="A47" s="4" t="s">
        <v>104</v>
      </c>
      <c r="B47" s="4">
        <v>750</v>
      </c>
      <c r="C47" s="4">
        <v>40</v>
      </c>
      <c r="D47" s="4" t="s">
        <v>89</v>
      </c>
      <c r="E47" s="4"/>
      <c r="F47">
        <f t="shared" si="0"/>
        <v>0</v>
      </c>
      <c r="G47">
        <f>IF(F47=1,1+MAX($G$2:G46),0)</f>
        <v>0</v>
      </c>
      <c r="I47">
        <v>46</v>
      </c>
      <c r="J47" t="str">
        <f t="shared" si="2"/>
        <v/>
      </c>
      <c r="K47" t="str">
        <f t="shared" si="1"/>
        <v/>
      </c>
      <c r="N47" s="15">
        <v>46</v>
      </c>
      <c r="O47" s="19" t="s">
        <v>1170</v>
      </c>
    </row>
    <row r="48" spans="1:15" x14ac:dyDescent="0.25">
      <c r="A48" s="4" t="s">
        <v>105</v>
      </c>
      <c r="B48" s="4">
        <v>30</v>
      </c>
      <c r="C48" s="4">
        <v>40</v>
      </c>
      <c r="D48" s="4" t="s">
        <v>89</v>
      </c>
      <c r="E48" s="4"/>
      <c r="F48">
        <f t="shared" si="0"/>
        <v>0</v>
      </c>
      <c r="G48">
        <f>IF(F48=1,1+MAX($G$2:G47),0)</f>
        <v>0</v>
      </c>
      <c r="I48">
        <v>47</v>
      </c>
      <c r="J48" t="str">
        <f t="shared" si="2"/>
        <v/>
      </c>
      <c r="K48" t="str">
        <f t="shared" si="1"/>
        <v/>
      </c>
      <c r="N48" s="15">
        <v>47</v>
      </c>
      <c r="O48" s="19" t="s">
        <v>1171</v>
      </c>
    </row>
    <row r="49" spans="1:15" x14ac:dyDescent="0.25">
      <c r="A49" s="4" t="s">
        <v>2957</v>
      </c>
      <c r="B49" s="4">
        <v>75</v>
      </c>
      <c r="C49" s="4">
        <v>55</v>
      </c>
      <c r="D49" s="4" t="s">
        <v>89</v>
      </c>
      <c r="E49" s="4"/>
      <c r="F49">
        <f t="shared" si="0"/>
        <v>0</v>
      </c>
      <c r="G49">
        <f>IF(F49=1,1+MAX($G$2:G48),0)</f>
        <v>0</v>
      </c>
      <c r="I49">
        <v>48</v>
      </c>
      <c r="J49" t="str">
        <f t="shared" si="2"/>
        <v/>
      </c>
      <c r="K49" t="str">
        <f t="shared" si="1"/>
        <v/>
      </c>
      <c r="N49" s="15">
        <v>48</v>
      </c>
      <c r="O49" s="19" t="s">
        <v>1172</v>
      </c>
    </row>
    <row r="50" spans="1:15" x14ac:dyDescent="0.25">
      <c r="A50" s="4" t="s">
        <v>107</v>
      </c>
      <c r="B50" s="4">
        <v>200</v>
      </c>
      <c r="C50" s="4">
        <v>60</v>
      </c>
      <c r="D50" s="4" t="s">
        <v>89</v>
      </c>
      <c r="E50" s="4"/>
      <c r="F50">
        <f t="shared" si="0"/>
        <v>0</v>
      </c>
      <c r="G50">
        <f>IF(F50=1,1+MAX($G$2:G49),0)</f>
        <v>0</v>
      </c>
      <c r="I50">
        <v>49</v>
      </c>
      <c r="J50" t="str">
        <f t="shared" si="2"/>
        <v/>
      </c>
      <c r="K50" t="str">
        <f t="shared" si="1"/>
        <v/>
      </c>
      <c r="N50" s="15">
        <v>49</v>
      </c>
      <c r="O50" s="19" t="s">
        <v>1173</v>
      </c>
    </row>
    <row r="51" spans="1:15" x14ac:dyDescent="0.25">
      <c r="A51" s="4" t="s">
        <v>108</v>
      </c>
      <c r="B51" s="4">
        <v>1500</v>
      </c>
      <c r="C51" s="4">
        <v>65</v>
      </c>
      <c r="D51" s="4" t="s">
        <v>89</v>
      </c>
      <c r="E51" s="4"/>
      <c r="F51">
        <f t="shared" si="0"/>
        <v>0</v>
      </c>
      <c r="G51">
        <f>IF(F51=1,1+MAX($G$2:G50),0)</f>
        <v>0</v>
      </c>
      <c r="I51">
        <v>50</v>
      </c>
      <c r="J51" t="str">
        <f t="shared" si="2"/>
        <v/>
      </c>
      <c r="K51" t="str">
        <f t="shared" si="1"/>
        <v/>
      </c>
      <c r="N51" s="15">
        <v>50</v>
      </c>
      <c r="O51" s="19" t="s">
        <v>1174</v>
      </c>
    </row>
    <row r="52" spans="1:15" x14ac:dyDescent="0.25">
      <c r="A52" s="6" t="s">
        <v>110</v>
      </c>
      <c r="B52" s="4">
        <v>10</v>
      </c>
      <c r="C52" s="4">
        <v>6</v>
      </c>
      <c r="D52" s="4" t="s">
        <v>89</v>
      </c>
      <c r="E52" s="4"/>
      <c r="F52">
        <f t="shared" si="0"/>
        <v>0</v>
      </c>
      <c r="G52">
        <f>IF(F52=1,1+MAX($G$2:G51),0)</f>
        <v>0</v>
      </c>
      <c r="I52">
        <v>51</v>
      </c>
      <c r="J52" t="str">
        <f t="shared" si="2"/>
        <v/>
      </c>
      <c r="K52" t="str">
        <f t="shared" si="1"/>
        <v/>
      </c>
      <c r="N52" s="15">
        <v>51</v>
      </c>
      <c r="O52" s="19" t="s">
        <v>1175</v>
      </c>
    </row>
    <row r="53" spans="1:15" x14ac:dyDescent="0.25">
      <c r="A53" s="4" t="s">
        <v>186</v>
      </c>
      <c r="B53" s="4">
        <v>50</v>
      </c>
      <c r="C53" s="4">
        <v>8</v>
      </c>
      <c r="D53" s="137" t="s">
        <v>2810</v>
      </c>
      <c r="E53" s="4"/>
      <c r="F53">
        <f t="shared" si="0"/>
        <v>0</v>
      </c>
      <c r="G53">
        <f>IF(F53=1,1+MAX($G$2:G52),0)</f>
        <v>0</v>
      </c>
      <c r="I53">
        <v>52</v>
      </c>
      <c r="J53" t="str">
        <f t="shared" si="2"/>
        <v/>
      </c>
      <c r="K53" t="str">
        <f t="shared" si="1"/>
        <v/>
      </c>
      <c r="N53" s="15">
        <v>52</v>
      </c>
      <c r="O53" s="19" t="s">
        <v>1176</v>
      </c>
    </row>
    <row r="54" spans="1:15" x14ac:dyDescent="0.25">
      <c r="A54" s="4" t="s">
        <v>229</v>
      </c>
      <c r="B54" s="4">
        <v>20</v>
      </c>
      <c r="C54" s="4">
        <v>9</v>
      </c>
      <c r="D54" s="137" t="s">
        <v>2810</v>
      </c>
      <c r="E54" s="4"/>
      <c r="F54">
        <f t="shared" si="0"/>
        <v>0</v>
      </c>
      <c r="G54">
        <f>IF(F54=1,1+MAX($G$2:G53),0)</f>
        <v>0</v>
      </c>
      <c r="I54">
        <v>53</v>
      </c>
      <c r="J54" t="str">
        <f t="shared" si="2"/>
        <v/>
      </c>
      <c r="K54" t="str">
        <f t="shared" si="1"/>
        <v/>
      </c>
      <c r="N54" s="15">
        <v>53</v>
      </c>
      <c r="O54" s="19" t="s">
        <v>1177</v>
      </c>
    </row>
    <row r="55" spans="1:15" x14ac:dyDescent="0.25">
      <c r="A55" s="4" t="s">
        <v>234</v>
      </c>
      <c r="B55" s="4">
        <v>10</v>
      </c>
      <c r="C55" s="4">
        <v>5</v>
      </c>
      <c r="D55" s="137" t="s">
        <v>2810</v>
      </c>
      <c r="E55" s="4"/>
      <c r="F55">
        <f t="shared" si="0"/>
        <v>0</v>
      </c>
      <c r="G55">
        <f>IF(F55=1,1+MAX($G$2:G54),0)</f>
        <v>0</v>
      </c>
      <c r="I55">
        <v>54</v>
      </c>
      <c r="J55" t="str">
        <f t="shared" si="2"/>
        <v/>
      </c>
      <c r="K55" t="str">
        <f t="shared" si="1"/>
        <v/>
      </c>
      <c r="N55" s="15">
        <v>54</v>
      </c>
      <c r="O55" s="19" t="s">
        <v>1178</v>
      </c>
    </row>
    <row r="56" spans="1:15" x14ac:dyDescent="0.25">
      <c r="A56" s="4" t="s">
        <v>244</v>
      </c>
      <c r="B56" s="4">
        <v>8</v>
      </c>
      <c r="C56" s="4">
        <v>6</v>
      </c>
      <c r="D56" s="137" t="s">
        <v>2810</v>
      </c>
      <c r="E56" s="4"/>
      <c r="F56">
        <f t="shared" si="0"/>
        <v>0</v>
      </c>
      <c r="G56">
        <f>IF(F56=1,1+MAX($G$2:G55),0)</f>
        <v>0</v>
      </c>
      <c r="I56">
        <v>55</v>
      </c>
      <c r="J56" t="str">
        <f t="shared" si="2"/>
        <v/>
      </c>
      <c r="K56" t="str">
        <f t="shared" si="1"/>
        <v/>
      </c>
      <c r="N56" s="15">
        <v>55</v>
      </c>
      <c r="O56" s="19" t="s">
        <v>1179</v>
      </c>
    </row>
    <row r="57" spans="1:15" x14ac:dyDescent="0.25">
      <c r="A57" s="4" t="s">
        <v>248</v>
      </c>
      <c r="B57" s="4">
        <v>15</v>
      </c>
      <c r="C57" s="4">
        <v>6</v>
      </c>
      <c r="D57" s="137" t="s">
        <v>2810</v>
      </c>
      <c r="E57" s="4"/>
      <c r="F57">
        <f t="shared" si="0"/>
        <v>0</v>
      </c>
      <c r="G57">
        <f>IF(F57=1,1+MAX($G$2:G56),0)</f>
        <v>0</v>
      </c>
      <c r="I57">
        <v>56</v>
      </c>
      <c r="J57" t="str">
        <f t="shared" si="2"/>
        <v/>
      </c>
      <c r="K57" t="str">
        <f t="shared" si="1"/>
        <v/>
      </c>
      <c r="N57" s="15">
        <v>56</v>
      </c>
      <c r="O57" s="19" t="s">
        <v>1180</v>
      </c>
    </row>
    <row r="58" spans="1:15" x14ac:dyDescent="0.25">
      <c r="A58" s="4" t="s">
        <v>264</v>
      </c>
      <c r="B58" s="4">
        <v>5</v>
      </c>
      <c r="C58" s="4">
        <v>5</v>
      </c>
      <c r="D58" s="137" t="s">
        <v>2810</v>
      </c>
      <c r="E58" s="4"/>
      <c r="F58">
        <f t="shared" si="0"/>
        <v>0</v>
      </c>
      <c r="G58">
        <f>IF(F58=1,1+MAX($G$2:G57),0)</f>
        <v>0</v>
      </c>
      <c r="I58">
        <v>57</v>
      </c>
      <c r="J58" t="str">
        <f t="shared" si="2"/>
        <v/>
      </c>
      <c r="K58" t="str">
        <f t="shared" si="1"/>
        <v/>
      </c>
      <c r="N58" s="15">
        <v>57</v>
      </c>
      <c r="O58" s="19" t="s">
        <v>1181</v>
      </c>
    </row>
    <row r="59" spans="1:15" x14ac:dyDescent="0.25">
      <c r="A59" s="4" t="s">
        <v>273</v>
      </c>
      <c r="B59" s="4">
        <v>1</v>
      </c>
      <c r="C59" s="4">
        <v>8</v>
      </c>
      <c r="D59" s="137" t="s">
        <v>2810</v>
      </c>
      <c r="E59" s="4"/>
      <c r="F59">
        <f t="shared" si="0"/>
        <v>0</v>
      </c>
      <c r="G59">
        <f>IF(F59=1,1+MAX($G$2:G58),0)</f>
        <v>0</v>
      </c>
      <c r="I59">
        <v>58</v>
      </c>
      <c r="J59" t="str">
        <f t="shared" si="2"/>
        <v/>
      </c>
      <c r="K59" t="str">
        <f t="shared" si="1"/>
        <v/>
      </c>
      <c r="N59" s="15">
        <v>58</v>
      </c>
      <c r="O59" s="19" t="s">
        <v>1182</v>
      </c>
    </row>
    <row r="60" spans="1:15" x14ac:dyDescent="0.25">
      <c r="A60" s="4" t="s">
        <v>325</v>
      </c>
      <c r="B60" s="4">
        <v>30</v>
      </c>
      <c r="C60" s="4">
        <v>5</v>
      </c>
      <c r="D60" s="137" t="s">
        <v>2810</v>
      </c>
      <c r="E60" s="4"/>
      <c r="F60">
        <f t="shared" si="0"/>
        <v>0</v>
      </c>
      <c r="G60">
        <f>IF(F60=1,1+MAX($G$2:G59),0)</f>
        <v>0</v>
      </c>
      <c r="I60">
        <v>59</v>
      </c>
      <c r="J60" t="str">
        <f t="shared" si="2"/>
        <v/>
      </c>
      <c r="K60" t="str">
        <f t="shared" si="1"/>
        <v/>
      </c>
      <c r="N60" s="15">
        <v>59</v>
      </c>
      <c r="O60" s="19" t="s">
        <v>1183</v>
      </c>
    </row>
    <row r="61" spans="1:15" x14ac:dyDescent="0.25">
      <c r="A61" s="4" t="s">
        <v>349</v>
      </c>
      <c r="B61" s="4">
        <v>25</v>
      </c>
      <c r="C61" s="4">
        <v>2</v>
      </c>
      <c r="D61" s="137" t="s">
        <v>2810</v>
      </c>
      <c r="E61" s="4"/>
      <c r="F61">
        <f t="shared" si="0"/>
        <v>0</v>
      </c>
      <c r="G61">
        <f>IF(F61=1,1+MAX($G$2:G60),0)</f>
        <v>0</v>
      </c>
      <c r="I61">
        <v>60</v>
      </c>
      <c r="J61" t="str">
        <f t="shared" si="2"/>
        <v/>
      </c>
      <c r="K61" t="str">
        <f t="shared" si="1"/>
        <v/>
      </c>
      <c r="N61" s="15">
        <v>60</v>
      </c>
      <c r="O61" s="19" t="s">
        <v>1184</v>
      </c>
    </row>
    <row r="62" spans="1:15" x14ac:dyDescent="0.25">
      <c r="A62" s="4" t="s">
        <v>359</v>
      </c>
      <c r="B62" s="4">
        <v>5</v>
      </c>
      <c r="C62" s="4">
        <v>5</v>
      </c>
      <c r="D62" s="137" t="s">
        <v>2810</v>
      </c>
      <c r="E62" s="4"/>
      <c r="F62">
        <f t="shared" si="0"/>
        <v>0</v>
      </c>
      <c r="G62">
        <f>IF(F62=1,1+MAX($G$2:G61),0)</f>
        <v>0</v>
      </c>
      <c r="I62">
        <v>61</v>
      </c>
      <c r="J62" t="str">
        <f t="shared" si="2"/>
        <v/>
      </c>
      <c r="K62" t="str">
        <f t="shared" si="1"/>
        <v/>
      </c>
      <c r="N62" s="15">
        <v>61</v>
      </c>
      <c r="O62" s="19" t="s">
        <v>1185</v>
      </c>
    </row>
    <row r="63" spans="1:15" x14ac:dyDescent="0.25">
      <c r="A63" s="4" t="s">
        <v>373</v>
      </c>
      <c r="B63" s="4">
        <v>10</v>
      </c>
      <c r="C63" s="4">
        <v>8</v>
      </c>
      <c r="D63" s="137" t="s">
        <v>2810</v>
      </c>
      <c r="E63" s="4"/>
      <c r="F63">
        <f t="shared" si="0"/>
        <v>0</v>
      </c>
      <c r="G63">
        <f>IF(F63=1,1+MAX($G$2:G62),0)</f>
        <v>0</v>
      </c>
      <c r="I63">
        <v>62</v>
      </c>
      <c r="J63" t="str">
        <f t="shared" si="2"/>
        <v/>
      </c>
      <c r="K63" t="str">
        <f t="shared" si="1"/>
        <v/>
      </c>
      <c r="N63" s="15">
        <v>62</v>
      </c>
      <c r="O63" s="19" t="s">
        <v>1186</v>
      </c>
    </row>
    <row r="64" spans="1:15" x14ac:dyDescent="0.25">
      <c r="A64" s="4" t="s">
        <v>394</v>
      </c>
      <c r="B64" s="4">
        <v>10</v>
      </c>
      <c r="C64" s="4">
        <v>5</v>
      </c>
      <c r="D64" s="137" t="s">
        <v>2810</v>
      </c>
      <c r="E64" s="4"/>
      <c r="F64">
        <f t="shared" si="0"/>
        <v>0</v>
      </c>
      <c r="G64">
        <f>IF(F64=1,1+MAX($G$2:G63),0)</f>
        <v>0</v>
      </c>
      <c r="I64">
        <v>63</v>
      </c>
      <c r="J64" t="str">
        <f t="shared" si="2"/>
        <v/>
      </c>
      <c r="K64" t="str">
        <f t="shared" si="1"/>
        <v/>
      </c>
      <c r="N64" s="15">
        <v>63</v>
      </c>
      <c r="O64" s="19" t="s">
        <v>1187</v>
      </c>
    </row>
    <row r="65" spans="1:15" x14ac:dyDescent="0.25">
      <c r="A65" s="4" t="s">
        <v>413</v>
      </c>
      <c r="B65" s="4">
        <v>10</v>
      </c>
      <c r="C65" s="4">
        <v>3</v>
      </c>
      <c r="D65" s="137" t="s">
        <v>2810</v>
      </c>
      <c r="E65" s="4"/>
      <c r="F65">
        <f t="shared" si="0"/>
        <v>0</v>
      </c>
      <c r="G65">
        <f>IF(F65=1,1+MAX($G$2:G64),0)</f>
        <v>0</v>
      </c>
      <c r="I65">
        <v>64</v>
      </c>
      <c r="J65" t="str">
        <f t="shared" si="2"/>
        <v/>
      </c>
      <c r="K65" t="str">
        <f t="shared" si="1"/>
        <v/>
      </c>
      <c r="N65" s="15">
        <v>64</v>
      </c>
      <c r="O65" s="19" t="s">
        <v>1188</v>
      </c>
    </row>
    <row r="66" spans="1:15" x14ac:dyDescent="0.25">
      <c r="A66" s="4" t="s">
        <v>454</v>
      </c>
      <c r="B66" s="4">
        <v>10</v>
      </c>
      <c r="C66" s="4">
        <v>8</v>
      </c>
      <c r="D66" s="137" t="s">
        <v>2810</v>
      </c>
      <c r="E66" s="4"/>
      <c r="F66">
        <f t="shared" ref="F66:F129" si="3">IF(ItemLookupCategory=D66,1,0)</f>
        <v>0</v>
      </c>
      <c r="G66">
        <f>IF(F66=1,1+MAX($G$2:G65),0)</f>
        <v>0</v>
      </c>
      <c r="I66">
        <v>65</v>
      </c>
      <c r="J66" t="str">
        <f t="shared" si="2"/>
        <v/>
      </c>
      <c r="K66" t="str">
        <f t="shared" si="1"/>
        <v/>
      </c>
      <c r="N66" s="15">
        <v>65</v>
      </c>
      <c r="O66" s="19" t="s">
        <v>1189</v>
      </c>
    </row>
    <row r="67" spans="1:15" x14ac:dyDescent="0.25">
      <c r="A67" s="4" t="s">
        <v>475</v>
      </c>
      <c r="B67" s="4">
        <v>50</v>
      </c>
      <c r="C67" s="4">
        <v>10</v>
      </c>
      <c r="D67" s="137" t="s">
        <v>2810</v>
      </c>
      <c r="E67" s="4"/>
      <c r="F67">
        <f t="shared" si="3"/>
        <v>0</v>
      </c>
      <c r="G67">
        <f>IF(F67=1,1+MAX($G$2:G66),0)</f>
        <v>0</v>
      </c>
      <c r="I67">
        <v>66</v>
      </c>
      <c r="J67" t="str">
        <f t="shared" si="2"/>
        <v/>
      </c>
      <c r="K67" t="str">
        <f t="shared" ref="K67:K130" si="4">IFERROR(INDEX($A$2:$A$235,MATCH(J67,$G$2:$G$235,0),1),"")</f>
        <v/>
      </c>
      <c r="N67" s="15">
        <v>66</v>
      </c>
      <c r="O67" s="19" t="s">
        <v>1190</v>
      </c>
    </row>
    <row r="68" spans="1:15" x14ac:dyDescent="0.25">
      <c r="A68" s="4" t="s">
        <v>495</v>
      </c>
      <c r="B68" s="4">
        <v>1</v>
      </c>
      <c r="C68" s="4">
        <v>5</v>
      </c>
      <c r="D68" s="137" t="s">
        <v>2810</v>
      </c>
      <c r="E68" s="4"/>
      <c r="F68">
        <f t="shared" si="3"/>
        <v>0</v>
      </c>
      <c r="G68">
        <f>IF(F68=1,1+MAX($G$2:G67),0)</f>
        <v>0</v>
      </c>
      <c r="I68">
        <v>67</v>
      </c>
      <c r="J68" t="str">
        <f t="shared" ref="J68:J131" si="5">IFERROR(IF(J67&lt;MAX($G$2:$G$235),J67+1,""),"")</f>
        <v/>
      </c>
      <c r="K68" t="str">
        <f t="shared" si="4"/>
        <v/>
      </c>
      <c r="N68" s="15">
        <v>67</v>
      </c>
      <c r="O68" s="19" t="s">
        <v>1191</v>
      </c>
    </row>
    <row r="69" spans="1:15" x14ac:dyDescent="0.25">
      <c r="A69" s="4" t="s">
        <v>497</v>
      </c>
      <c r="B69" s="4">
        <v>1</v>
      </c>
      <c r="C69" s="4">
        <v>5</v>
      </c>
      <c r="D69" s="137" t="s">
        <v>2810</v>
      </c>
      <c r="E69" s="4"/>
      <c r="F69">
        <f t="shared" si="3"/>
        <v>0</v>
      </c>
      <c r="G69">
        <f>IF(F69=1,1+MAX($G$2:G68),0)</f>
        <v>0</v>
      </c>
      <c r="I69">
        <v>68</v>
      </c>
      <c r="J69" t="str">
        <f t="shared" si="5"/>
        <v/>
      </c>
      <c r="K69" t="str">
        <f t="shared" si="4"/>
        <v/>
      </c>
      <c r="N69" s="15">
        <v>68</v>
      </c>
      <c r="O69" s="19" t="s">
        <v>1192</v>
      </c>
    </row>
    <row r="70" spans="1:15" x14ac:dyDescent="0.25">
      <c r="A70" s="4" t="s">
        <v>282</v>
      </c>
      <c r="B70" s="4">
        <v>10</v>
      </c>
      <c r="C70" s="4">
        <v>1</v>
      </c>
      <c r="D70" s="137" t="s">
        <v>281</v>
      </c>
      <c r="E70" s="4"/>
      <c r="F70">
        <f t="shared" si="3"/>
        <v>0</v>
      </c>
      <c r="G70">
        <f>IF(F70=1,1+MAX($G$2:G69),0)</f>
        <v>0</v>
      </c>
      <c r="I70">
        <v>69</v>
      </c>
      <c r="J70" t="str">
        <f t="shared" si="5"/>
        <v/>
      </c>
      <c r="K70" t="str">
        <f t="shared" si="4"/>
        <v/>
      </c>
      <c r="N70" s="15">
        <v>69</v>
      </c>
      <c r="O70" s="19" t="s">
        <v>1193</v>
      </c>
    </row>
    <row r="71" spans="1:15" x14ac:dyDescent="0.25">
      <c r="A71" s="4" t="s">
        <v>391</v>
      </c>
      <c r="B71" s="4">
        <v>20</v>
      </c>
      <c r="C71" s="4">
        <v>3</v>
      </c>
      <c r="D71" s="137" t="s">
        <v>281</v>
      </c>
      <c r="E71" s="4"/>
      <c r="F71">
        <f t="shared" si="3"/>
        <v>0</v>
      </c>
      <c r="G71">
        <f>IF(F71=1,1+MAX($G$2:G70),0)</f>
        <v>0</v>
      </c>
      <c r="I71">
        <v>70</v>
      </c>
      <c r="J71" t="str">
        <f t="shared" si="5"/>
        <v/>
      </c>
      <c r="K71" t="str">
        <f t="shared" si="4"/>
        <v/>
      </c>
      <c r="N71" s="15">
        <v>70</v>
      </c>
      <c r="O71" s="19" t="s">
        <v>1194</v>
      </c>
    </row>
    <row r="72" spans="1:15" x14ac:dyDescent="0.25">
      <c r="A72" s="4" t="s">
        <v>430</v>
      </c>
      <c r="B72" s="4">
        <v>10</v>
      </c>
      <c r="C72" s="4">
        <v>2</v>
      </c>
      <c r="D72" s="137" t="s">
        <v>281</v>
      </c>
      <c r="E72" s="4"/>
      <c r="F72">
        <f t="shared" si="3"/>
        <v>0</v>
      </c>
      <c r="G72">
        <f>IF(F72=1,1+MAX($G$2:G71),0)</f>
        <v>0</v>
      </c>
      <c r="I72">
        <v>71</v>
      </c>
      <c r="J72" t="str">
        <f t="shared" si="5"/>
        <v/>
      </c>
      <c r="K72" t="str">
        <f t="shared" si="4"/>
        <v/>
      </c>
      <c r="N72" s="15">
        <v>71</v>
      </c>
      <c r="O72" s="19" t="s">
        <v>1195</v>
      </c>
    </row>
    <row r="73" spans="1:15" x14ac:dyDescent="0.25">
      <c r="A73" s="4" t="s">
        <v>466</v>
      </c>
      <c r="B73" s="4">
        <v>5</v>
      </c>
      <c r="C73" s="4">
        <v>4</v>
      </c>
      <c r="D73" s="137" t="s">
        <v>281</v>
      </c>
      <c r="E73" s="4"/>
      <c r="F73">
        <f t="shared" si="3"/>
        <v>0</v>
      </c>
      <c r="G73">
        <f>IF(F73=1,1+MAX($G$2:G72),0)</f>
        <v>0</v>
      </c>
      <c r="I73">
        <v>72</v>
      </c>
      <c r="J73" t="str">
        <f t="shared" si="5"/>
        <v/>
      </c>
      <c r="K73" t="str">
        <f t="shared" si="4"/>
        <v/>
      </c>
      <c r="N73" s="15">
        <v>72</v>
      </c>
      <c r="O73" s="19" t="s">
        <v>1196</v>
      </c>
    </row>
    <row r="74" spans="1:15" x14ac:dyDescent="0.25">
      <c r="A74" s="4" t="s">
        <v>487</v>
      </c>
      <c r="B74" s="4">
        <v>10</v>
      </c>
      <c r="C74" s="4">
        <v>1</v>
      </c>
      <c r="D74" s="137" t="s">
        <v>281</v>
      </c>
      <c r="E74" s="4"/>
      <c r="F74">
        <f t="shared" si="3"/>
        <v>0</v>
      </c>
      <c r="G74">
        <f>IF(F74=1,1+MAX($G$2:G73),0)</f>
        <v>0</v>
      </c>
      <c r="I74">
        <v>73</v>
      </c>
      <c r="J74" t="str">
        <f t="shared" si="5"/>
        <v/>
      </c>
      <c r="K74" t="str">
        <f t="shared" si="4"/>
        <v/>
      </c>
      <c r="N74" s="15">
        <v>73</v>
      </c>
      <c r="O74" s="19" t="s">
        <v>1197</v>
      </c>
    </row>
    <row r="75" spans="1:15" x14ac:dyDescent="0.25">
      <c r="A75" s="4" t="s">
        <v>287</v>
      </c>
      <c r="B75" s="4">
        <v>25</v>
      </c>
      <c r="C75" s="4">
        <v>3</v>
      </c>
      <c r="D75" s="137" t="s">
        <v>2964</v>
      </c>
      <c r="E75" s="4" t="s">
        <v>288</v>
      </c>
      <c r="F75">
        <f t="shared" si="3"/>
        <v>0</v>
      </c>
      <c r="G75">
        <f>IF(F75=1,1+MAX($G$2:G74),0)</f>
        <v>0</v>
      </c>
      <c r="I75">
        <v>74</v>
      </c>
      <c r="J75" t="str">
        <f t="shared" si="5"/>
        <v/>
      </c>
      <c r="K75" t="str">
        <f t="shared" si="4"/>
        <v/>
      </c>
      <c r="N75" s="15">
        <v>74</v>
      </c>
      <c r="O75" s="19" t="s">
        <v>1198</v>
      </c>
    </row>
    <row r="76" spans="1:15" x14ac:dyDescent="0.25">
      <c r="A76" s="4" t="s">
        <v>317</v>
      </c>
      <c r="B76" s="4">
        <v>15</v>
      </c>
      <c r="C76" s="4">
        <v>5</v>
      </c>
      <c r="D76" s="137" t="s">
        <v>2964</v>
      </c>
      <c r="E76" s="4" t="s">
        <v>318</v>
      </c>
      <c r="F76">
        <f t="shared" si="3"/>
        <v>0</v>
      </c>
      <c r="G76">
        <f>IF(F76=1,1+MAX($G$2:G75),0)</f>
        <v>0</v>
      </c>
      <c r="I76">
        <v>75</v>
      </c>
      <c r="J76" t="str">
        <f t="shared" si="5"/>
        <v/>
      </c>
      <c r="K76" t="str">
        <f t="shared" si="4"/>
        <v/>
      </c>
      <c r="N76" s="15">
        <v>75</v>
      </c>
      <c r="O76" s="19" t="s">
        <v>1199</v>
      </c>
    </row>
    <row r="77" spans="1:15" x14ac:dyDescent="0.25">
      <c r="A77" s="4" t="s">
        <v>333</v>
      </c>
      <c r="B77" s="4">
        <v>5</v>
      </c>
      <c r="C77" s="4">
        <v>3</v>
      </c>
      <c r="D77" s="137" t="s">
        <v>2964</v>
      </c>
      <c r="E77" s="4" t="s">
        <v>334</v>
      </c>
      <c r="F77">
        <f t="shared" si="3"/>
        <v>0</v>
      </c>
      <c r="G77">
        <f>IF(F77=1,1+MAX($G$2:G76),0)</f>
        <v>0</v>
      </c>
      <c r="I77">
        <v>76</v>
      </c>
      <c r="J77" t="str">
        <f t="shared" si="5"/>
        <v/>
      </c>
      <c r="K77" t="str">
        <f t="shared" si="4"/>
        <v/>
      </c>
      <c r="N77" s="15">
        <v>76</v>
      </c>
      <c r="O77" s="19" t="s">
        <v>1200</v>
      </c>
    </row>
    <row r="78" spans="1:15" x14ac:dyDescent="0.25">
      <c r="A78" s="4" t="s">
        <v>387</v>
      </c>
      <c r="B78" s="4">
        <v>25</v>
      </c>
      <c r="C78" s="4">
        <v>2</v>
      </c>
      <c r="D78" s="137" t="s">
        <v>2964</v>
      </c>
      <c r="E78" s="4" t="s">
        <v>388</v>
      </c>
      <c r="F78">
        <f t="shared" si="3"/>
        <v>0</v>
      </c>
      <c r="G78">
        <f>IF(F78=1,1+MAX($G$2:G77),0)</f>
        <v>0</v>
      </c>
      <c r="I78">
        <v>77</v>
      </c>
      <c r="J78" t="str">
        <f t="shared" si="5"/>
        <v/>
      </c>
      <c r="K78" t="str">
        <f t="shared" si="4"/>
        <v/>
      </c>
      <c r="N78" s="15">
        <v>77</v>
      </c>
      <c r="O78" s="19" t="s">
        <v>1201</v>
      </c>
    </row>
    <row r="79" spans="1:15" x14ac:dyDescent="0.25">
      <c r="A79" s="4" t="s">
        <v>401</v>
      </c>
      <c r="B79" s="4">
        <v>50</v>
      </c>
      <c r="C79" s="4">
        <v>2</v>
      </c>
      <c r="D79" s="137" t="s">
        <v>2964</v>
      </c>
      <c r="E79" s="4" t="s">
        <v>402</v>
      </c>
      <c r="F79">
        <f t="shared" si="3"/>
        <v>0</v>
      </c>
      <c r="G79">
        <f>IF(F79=1,1+MAX($G$2:G78),0)</f>
        <v>0</v>
      </c>
      <c r="I79">
        <v>78</v>
      </c>
      <c r="J79" t="str">
        <f t="shared" si="5"/>
        <v/>
      </c>
      <c r="K79" t="str">
        <f t="shared" si="4"/>
        <v/>
      </c>
      <c r="N79" s="15">
        <v>78</v>
      </c>
      <c r="O79" s="19" t="s">
        <v>1202</v>
      </c>
    </row>
    <row r="80" spans="1:15" x14ac:dyDescent="0.25">
      <c r="A80" s="4" t="s">
        <v>470</v>
      </c>
      <c r="B80" s="4">
        <v>25</v>
      </c>
      <c r="C80" s="4">
        <v>1</v>
      </c>
      <c r="D80" s="137" t="s">
        <v>2964</v>
      </c>
      <c r="E80" s="4" t="s">
        <v>471</v>
      </c>
      <c r="F80">
        <f t="shared" si="3"/>
        <v>0</v>
      </c>
      <c r="G80">
        <f>IF(F80=1,1+MAX($G$2:G79),0)</f>
        <v>0</v>
      </c>
      <c r="I80">
        <v>79</v>
      </c>
      <c r="J80" t="str">
        <f t="shared" si="5"/>
        <v/>
      </c>
      <c r="K80" t="str">
        <f t="shared" si="4"/>
        <v/>
      </c>
      <c r="N80" s="15">
        <v>79</v>
      </c>
      <c r="O80" s="19" t="s">
        <v>1203</v>
      </c>
    </row>
    <row r="81" spans="1:15" x14ac:dyDescent="0.25">
      <c r="A81" s="4" t="s">
        <v>284</v>
      </c>
      <c r="B81" s="4">
        <v>0.1</v>
      </c>
      <c r="C81" s="4">
        <v>0</v>
      </c>
      <c r="D81" s="137" t="s">
        <v>2965</v>
      </c>
      <c r="E81" s="4"/>
      <c r="F81">
        <f t="shared" si="3"/>
        <v>0</v>
      </c>
      <c r="G81">
        <f>IF(F81=1,1+MAX($G$2:G80),0)</f>
        <v>0</v>
      </c>
      <c r="I81">
        <v>80</v>
      </c>
      <c r="J81" t="str">
        <f t="shared" si="5"/>
        <v/>
      </c>
      <c r="K81" t="str">
        <f t="shared" si="4"/>
        <v/>
      </c>
      <c r="N81" s="15">
        <v>80</v>
      </c>
      <c r="O81" s="19" t="s">
        <v>1204</v>
      </c>
    </row>
    <row r="82" spans="1:15" x14ac:dyDescent="0.25">
      <c r="A82" s="4" t="s">
        <v>294</v>
      </c>
      <c r="B82" s="4">
        <v>1</v>
      </c>
      <c r="C82" s="4">
        <v>0.5</v>
      </c>
      <c r="D82" s="137" t="s">
        <v>2965</v>
      </c>
      <c r="E82" s="4"/>
      <c r="F82">
        <f t="shared" si="3"/>
        <v>0</v>
      </c>
      <c r="G82">
        <f>IF(F82=1,1+MAX($G$2:G81),0)</f>
        <v>0</v>
      </c>
      <c r="I82">
        <v>81</v>
      </c>
      <c r="J82" t="str">
        <f t="shared" si="5"/>
        <v/>
      </c>
      <c r="K82" t="str">
        <f t="shared" si="4"/>
        <v/>
      </c>
      <c r="N82" s="15">
        <v>81</v>
      </c>
      <c r="O82" s="19" t="s">
        <v>1205</v>
      </c>
    </row>
    <row r="83" spans="1:15" x14ac:dyDescent="0.25">
      <c r="A83" s="4" t="s">
        <v>400</v>
      </c>
      <c r="B83" s="4">
        <v>0.5</v>
      </c>
      <c r="C83" s="4">
        <v>0</v>
      </c>
      <c r="D83" s="137" t="s">
        <v>2965</v>
      </c>
      <c r="E83" s="4"/>
      <c r="F83">
        <f t="shared" si="3"/>
        <v>0</v>
      </c>
      <c r="G83">
        <f>IF(F83=1,1+MAX($G$2:G82),0)</f>
        <v>0</v>
      </c>
      <c r="I83">
        <v>82</v>
      </c>
      <c r="J83" t="str">
        <f t="shared" si="5"/>
        <v/>
      </c>
      <c r="K83" t="str">
        <f t="shared" si="4"/>
        <v/>
      </c>
      <c r="N83" s="15">
        <v>82</v>
      </c>
      <c r="O83" s="19" t="s">
        <v>1206</v>
      </c>
    </row>
    <row r="84" spans="1:15" x14ac:dyDescent="0.25">
      <c r="A84" s="4" t="s">
        <v>472</v>
      </c>
      <c r="B84" s="4">
        <v>1</v>
      </c>
      <c r="C84" s="4">
        <v>0</v>
      </c>
      <c r="D84" s="137" t="s">
        <v>2965</v>
      </c>
      <c r="E84" s="4"/>
      <c r="F84">
        <f t="shared" si="3"/>
        <v>0</v>
      </c>
      <c r="G84">
        <f>IF(F84=1,1+MAX($G$2:G83),0)</f>
        <v>0</v>
      </c>
      <c r="I84">
        <v>83</v>
      </c>
      <c r="J84" t="str">
        <f t="shared" si="5"/>
        <v/>
      </c>
      <c r="K84" t="str">
        <f t="shared" si="4"/>
        <v/>
      </c>
      <c r="N84" s="15">
        <v>83</v>
      </c>
      <c r="O84" s="19" t="s">
        <v>1207</v>
      </c>
    </row>
    <row r="85" spans="1:15" x14ac:dyDescent="0.25">
      <c r="A85" s="4" t="s">
        <v>43</v>
      </c>
      <c r="B85" s="4">
        <v>0.5</v>
      </c>
      <c r="C85" s="4">
        <v>3</v>
      </c>
      <c r="D85" s="137" t="s">
        <v>2841</v>
      </c>
      <c r="E85" s="4"/>
      <c r="F85">
        <f t="shared" si="3"/>
        <v>0</v>
      </c>
      <c r="G85">
        <f>IF(F85=1,1+MAX($G$2:G84),0)</f>
        <v>0</v>
      </c>
      <c r="I85">
        <v>84</v>
      </c>
      <c r="J85" t="str">
        <f t="shared" si="5"/>
        <v/>
      </c>
      <c r="K85" t="str">
        <f t="shared" si="4"/>
        <v/>
      </c>
      <c r="N85" s="15">
        <v>84</v>
      </c>
      <c r="O85" s="19" t="s">
        <v>1208</v>
      </c>
    </row>
    <row r="86" spans="1:15" x14ac:dyDescent="0.25">
      <c r="A86" s="4" t="s">
        <v>274</v>
      </c>
      <c r="B86" s="4">
        <v>5</v>
      </c>
      <c r="C86" s="4">
        <v>4</v>
      </c>
      <c r="D86" s="137" t="s">
        <v>2841</v>
      </c>
      <c r="E86" s="4"/>
      <c r="F86">
        <f t="shared" si="3"/>
        <v>0</v>
      </c>
      <c r="G86">
        <f>IF(F86=1,1+MAX($G$2:G85),0)</f>
        <v>0</v>
      </c>
      <c r="I86">
        <v>85</v>
      </c>
      <c r="J86" t="str">
        <f t="shared" si="5"/>
        <v/>
      </c>
      <c r="K86" t="str">
        <f t="shared" si="4"/>
        <v/>
      </c>
      <c r="N86" s="15">
        <v>85</v>
      </c>
      <c r="O86" s="19" t="s">
        <v>1209</v>
      </c>
    </row>
    <row r="87" spans="1:15" x14ac:dyDescent="0.25">
      <c r="A87" s="4" t="s">
        <v>304</v>
      </c>
      <c r="B87" s="4">
        <v>15</v>
      </c>
      <c r="C87" s="4">
        <v>6</v>
      </c>
      <c r="D87" s="137" t="s">
        <v>2841</v>
      </c>
      <c r="E87" s="4"/>
      <c r="F87">
        <f t="shared" si="3"/>
        <v>0</v>
      </c>
      <c r="G87">
        <f>IF(F87=1,1+MAX($G$2:G86),0)</f>
        <v>0</v>
      </c>
      <c r="I87">
        <v>86</v>
      </c>
      <c r="J87" t="str">
        <f t="shared" si="5"/>
        <v/>
      </c>
      <c r="K87" t="str">
        <f t="shared" si="4"/>
        <v/>
      </c>
      <c r="N87" s="15">
        <v>86</v>
      </c>
      <c r="O87" s="19" t="s">
        <v>1210</v>
      </c>
    </row>
    <row r="88" spans="1:15" x14ac:dyDescent="0.25">
      <c r="A88" s="4" t="s">
        <v>429</v>
      </c>
      <c r="B88" s="4">
        <v>1</v>
      </c>
      <c r="C88" s="4">
        <v>4</v>
      </c>
      <c r="D88" s="137" t="s">
        <v>2841</v>
      </c>
      <c r="E88" s="4"/>
      <c r="F88">
        <f t="shared" si="3"/>
        <v>0</v>
      </c>
      <c r="G88">
        <f>IF(F88=1,1+MAX($G$2:G87),0)</f>
        <v>0</v>
      </c>
      <c r="I88">
        <v>87</v>
      </c>
      <c r="J88" t="str">
        <f t="shared" si="5"/>
        <v/>
      </c>
      <c r="K88" t="str">
        <f t="shared" si="4"/>
        <v/>
      </c>
      <c r="N88" s="15">
        <v>87</v>
      </c>
      <c r="O88" s="19" t="s">
        <v>1211</v>
      </c>
    </row>
    <row r="89" spans="1:15" x14ac:dyDescent="0.25">
      <c r="A89" s="4" t="s">
        <v>479</v>
      </c>
      <c r="B89" s="4">
        <v>2</v>
      </c>
      <c r="C89" s="4">
        <v>4</v>
      </c>
      <c r="D89" s="137" t="s">
        <v>2841</v>
      </c>
      <c r="E89" s="4"/>
      <c r="F89">
        <f t="shared" si="3"/>
        <v>0</v>
      </c>
      <c r="G89">
        <f>IF(F89=1,1+MAX($G$2:G88),0)</f>
        <v>0</v>
      </c>
      <c r="I89">
        <v>88</v>
      </c>
      <c r="J89" t="str">
        <f t="shared" si="5"/>
        <v/>
      </c>
      <c r="K89" t="str">
        <f t="shared" si="4"/>
        <v/>
      </c>
      <c r="N89" s="15">
        <v>88</v>
      </c>
      <c r="O89" s="19" t="s">
        <v>1212</v>
      </c>
    </row>
    <row r="90" spans="1:15" x14ac:dyDescent="0.25">
      <c r="A90" s="4" t="s">
        <v>189</v>
      </c>
      <c r="B90" s="4">
        <v>5</v>
      </c>
      <c r="C90" s="4">
        <v>1</v>
      </c>
      <c r="D90" s="137" t="s">
        <v>188</v>
      </c>
      <c r="E90" s="4"/>
      <c r="F90">
        <f t="shared" si="3"/>
        <v>0</v>
      </c>
      <c r="G90">
        <f>IF(F90=1,1+MAX($G$2:G89),0)</f>
        <v>0</v>
      </c>
      <c r="I90">
        <v>89</v>
      </c>
      <c r="J90" t="str">
        <f t="shared" si="5"/>
        <v/>
      </c>
      <c r="K90" t="str">
        <f t="shared" si="4"/>
        <v/>
      </c>
      <c r="N90" s="15">
        <v>89</v>
      </c>
      <c r="O90" s="19" t="s">
        <v>1213</v>
      </c>
    </row>
    <row r="91" spans="1:15" x14ac:dyDescent="0.25">
      <c r="A91" s="4" t="s">
        <v>299</v>
      </c>
      <c r="B91" s="4">
        <v>5</v>
      </c>
      <c r="C91" s="4">
        <v>0</v>
      </c>
      <c r="D91" s="137" t="s">
        <v>188</v>
      </c>
      <c r="E91" s="4"/>
      <c r="F91">
        <f t="shared" si="3"/>
        <v>0</v>
      </c>
      <c r="G91">
        <f>IF(F91=1,1+MAX($G$2:G90),0)</f>
        <v>0</v>
      </c>
      <c r="I91">
        <v>90</v>
      </c>
      <c r="J91" t="str">
        <f t="shared" si="5"/>
        <v/>
      </c>
      <c r="K91" t="str">
        <f t="shared" si="4"/>
        <v/>
      </c>
      <c r="N91" s="15">
        <v>90</v>
      </c>
      <c r="O91" s="19" t="s">
        <v>1214</v>
      </c>
    </row>
    <row r="92" spans="1:15" x14ac:dyDescent="0.25">
      <c r="A92" s="4" t="s">
        <v>421</v>
      </c>
      <c r="B92" s="4">
        <v>5</v>
      </c>
      <c r="C92" s="4">
        <v>2</v>
      </c>
      <c r="D92" s="137" t="s">
        <v>188</v>
      </c>
      <c r="E92" s="4"/>
      <c r="F92">
        <f t="shared" si="3"/>
        <v>0</v>
      </c>
      <c r="G92">
        <f>IF(F92=1,1+MAX($G$2:G91),0)</f>
        <v>0</v>
      </c>
      <c r="I92">
        <v>91</v>
      </c>
      <c r="J92" t="str">
        <f t="shared" si="5"/>
        <v/>
      </c>
      <c r="K92" t="str">
        <f t="shared" si="4"/>
        <v/>
      </c>
      <c r="N92" s="15">
        <v>91</v>
      </c>
      <c r="O92" s="19" t="s">
        <v>1215</v>
      </c>
    </row>
    <row r="93" spans="1:15" x14ac:dyDescent="0.25">
      <c r="A93" s="4" t="s">
        <v>459</v>
      </c>
      <c r="B93" s="4">
        <v>1</v>
      </c>
      <c r="C93" s="4">
        <v>0</v>
      </c>
      <c r="D93" s="137" t="s">
        <v>458</v>
      </c>
      <c r="E93" s="4"/>
      <c r="F93">
        <f t="shared" si="3"/>
        <v>0</v>
      </c>
      <c r="G93">
        <f>IF(F93=1,1+MAX($G$2:G92),0)</f>
        <v>0</v>
      </c>
      <c r="I93">
        <v>92</v>
      </c>
      <c r="J93" t="str">
        <f t="shared" si="5"/>
        <v/>
      </c>
      <c r="K93" t="str">
        <f t="shared" si="4"/>
        <v/>
      </c>
      <c r="N93" s="15">
        <v>92</v>
      </c>
      <c r="O93" s="19" t="s">
        <v>1216</v>
      </c>
    </row>
    <row r="94" spans="1:15" x14ac:dyDescent="0.25">
      <c r="A94" s="4" t="s">
        <v>478</v>
      </c>
      <c r="B94" s="4">
        <v>1</v>
      </c>
      <c r="C94" s="4">
        <v>0</v>
      </c>
      <c r="D94" s="137" t="s">
        <v>458</v>
      </c>
      <c r="E94" s="4"/>
      <c r="F94">
        <f t="shared" si="3"/>
        <v>0</v>
      </c>
      <c r="G94">
        <f>IF(F94=1,1+MAX($G$2:G93),0)</f>
        <v>0</v>
      </c>
      <c r="I94">
        <v>93</v>
      </c>
      <c r="J94" t="str">
        <f t="shared" si="5"/>
        <v/>
      </c>
      <c r="K94" t="str">
        <f t="shared" si="4"/>
        <v/>
      </c>
      <c r="N94" s="15">
        <v>93</v>
      </c>
      <c r="O94" s="19" t="s">
        <v>1217</v>
      </c>
    </row>
    <row r="95" spans="1:15" x14ac:dyDescent="0.25">
      <c r="A95" s="4" t="s">
        <v>498</v>
      </c>
      <c r="B95" s="4">
        <v>5</v>
      </c>
      <c r="C95" s="4">
        <v>4</v>
      </c>
      <c r="D95" s="137" t="s">
        <v>458</v>
      </c>
      <c r="E95" s="4"/>
      <c r="F95">
        <f t="shared" si="3"/>
        <v>0</v>
      </c>
      <c r="G95">
        <f>IF(F95=1,1+MAX($G$2:G94),0)</f>
        <v>0</v>
      </c>
      <c r="I95">
        <v>94</v>
      </c>
      <c r="J95" t="str">
        <f t="shared" si="5"/>
        <v/>
      </c>
      <c r="K95" t="str">
        <f t="shared" si="4"/>
        <v/>
      </c>
      <c r="N95" s="15">
        <v>94</v>
      </c>
      <c r="O95" s="19" t="s">
        <v>1218</v>
      </c>
    </row>
    <row r="96" spans="1:15" x14ac:dyDescent="0.25">
      <c r="A96" s="4" t="s">
        <v>499</v>
      </c>
      <c r="B96" s="4">
        <v>10</v>
      </c>
      <c r="C96" s="4">
        <v>1</v>
      </c>
      <c r="D96" s="137" t="s">
        <v>458</v>
      </c>
      <c r="E96" s="4"/>
      <c r="F96">
        <f t="shared" si="3"/>
        <v>0</v>
      </c>
      <c r="G96">
        <f>IF(F96=1,1+MAX($G$2:G95),0)</f>
        <v>0</v>
      </c>
      <c r="I96">
        <v>95</v>
      </c>
      <c r="J96" t="str">
        <f t="shared" si="5"/>
        <v/>
      </c>
      <c r="K96" t="str">
        <f t="shared" si="4"/>
        <v/>
      </c>
      <c r="N96" s="15">
        <v>95</v>
      </c>
      <c r="O96" s="19" t="s">
        <v>1219</v>
      </c>
    </row>
    <row r="97" spans="1:15" x14ac:dyDescent="0.25">
      <c r="A97" s="4" t="s">
        <v>203</v>
      </c>
      <c r="B97" s="4">
        <v>30</v>
      </c>
      <c r="C97" s="4">
        <v>6</v>
      </c>
      <c r="D97" s="137" t="s">
        <v>202</v>
      </c>
      <c r="E97" s="4"/>
      <c r="F97">
        <f t="shared" si="3"/>
        <v>0</v>
      </c>
      <c r="G97">
        <f>IF(F97=1,1+MAX($G$2:G96),0)</f>
        <v>0</v>
      </c>
      <c r="I97">
        <v>96</v>
      </c>
      <c r="J97" t="str">
        <f t="shared" si="5"/>
        <v/>
      </c>
      <c r="K97" t="str">
        <f t="shared" si="4"/>
        <v/>
      </c>
      <c r="N97" s="15">
        <v>96</v>
      </c>
      <c r="O97" s="19" t="s">
        <v>1220</v>
      </c>
    </row>
    <row r="98" spans="1:15" x14ac:dyDescent="0.25">
      <c r="A98" s="4" t="s">
        <v>295</v>
      </c>
      <c r="B98" s="4">
        <v>6</v>
      </c>
      <c r="C98" s="4">
        <v>3</v>
      </c>
      <c r="D98" s="137" t="s">
        <v>202</v>
      </c>
      <c r="E98" s="4"/>
      <c r="F98">
        <f t="shared" si="3"/>
        <v>0</v>
      </c>
      <c r="G98">
        <f>IF(F98=1,1+MAX($G$2:G97),0)</f>
        <v>0</v>
      </c>
      <c r="I98">
        <v>97</v>
      </c>
      <c r="J98" t="str">
        <f t="shared" si="5"/>
        <v/>
      </c>
      <c r="K98" t="str">
        <f t="shared" si="4"/>
        <v/>
      </c>
      <c r="N98" s="15">
        <v>97</v>
      </c>
      <c r="O98" s="19" t="s">
        <v>1221</v>
      </c>
    </row>
    <row r="99" spans="1:15" x14ac:dyDescent="0.25">
      <c r="A99" s="4" t="s">
        <v>296</v>
      </c>
      <c r="B99" s="4">
        <v>25</v>
      </c>
      <c r="C99" s="4">
        <v>10</v>
      </c>
      <c r="D99" s="137" t="s">
        <v>202</v>
      </c>
      <c r="E99" s="4"/>
      <c r="F99">
        <f t="shared" si="3"/>
        <v>0</v>
      </c>
      <c r="G99">
        <f>IF(F99=1,1+MAX($G$2:G98),0)</f>
        <v>0</v>
      </c>
      <c r="I99">
        <v>98</v>
      </c>
      <c r="J99" t="str">
        <f t="shared" si="5"/>
        <v/>
      </c>
      <c r="K99" t="str">
        <f t="shared" si="4"/>
        <v/>
      </c>
      <c r="N99" s="15">
        <v>98</v>
      </c>
      <c r="O99" s="19" t="s">
        <v>1222</v>
      </c>
    </row>
    <row r="100" spans="1:15" x14ac:dyDescent="0.25">
      <c r="A100" s="4" t="s">
        <v>316</v>
      </c>
      <c r="B100" s="4">
        <v>2</v>
      </c>
      <c r="C100" s="4">
        <v>1</v>
      </c>
      <c r="D100" s="137" t="s">
        <v>202</v>
      </c>
      <c r="E100" s="4"/>
      <c r="F100">
        <f t="shared" si="3"/>
        <v>0</v>
      </c>
      <c r="G100">
        <f>IF(F100=1,1+MAX($G$2:G99),0)</f>
        <v>0</v>
      </c>
      <c r="I100">
        <v>99</v>
      </c>
      <c r="J100" t="str">
        <f t="shared" si="5"/>
        <v/>
      </c>
      <c r="K100" t="str">
        <f t="shared" si="4"/>
        <v/>
      </c>
      <c r="N100" s="15">
        <v>99</v>
      </c>
      <c r="O100" s="19" t="s">
        <v>1223</v>
      </c>
    </row>
    <row r="101" spans="1:15" ht="15.75" thickBot="1" x14ac:dyDescent="0.3">
      <c r="A101" s="4" t="s">
        <v>339</v>
      </c>
      <c r="B101" s="4">
        <v>3</v>
      </c>
      <c r="C101" s="4">
        <v>2</v>
      </c>
      <c r="D101" s="137" t="s">
        <v>202</v>
      </c>
      <c r="E101" s="4"/>
      <c r="F101">
        <f t="shared" si="3"/>
        <v>0</v>
      </c>
      <c r="G101">
        <f>IF(F101=1,1+MAX($G$2:G100),0)</f>
        <v>0</v>
      </c>
      <c r="I101">
        <v>100</v>
      </c>
      <c r="J101" t="str">
        <f t="shared" si="5"/>
        <v/>
      </c>
      <c r="K101" t="str">
        <f t="shared" si="4"/>
        <v/>
      </c>
      <c r="N101" s="17">
        <v>100</v>
      </c>
      <c r="O101" s="21" t="s">
        <v>1224</v>
      </c>
    </row>
    <row r="102" spans="1:15" x14ac:dyDescent="0.25">
      <c r="A102" s="4" t="s">
        <v>365</v>
      </c>
      <c r="B102" s="4">
        <v>35</v>
      </c>
      <c r="C102" s="4">
        <v>2</v>
      </c>
      <c r="D102" s="137" t="s">
        <v>202</v>
      </c>
      <c r="E102" s="4"/>
      <c r="F102">
        <f t="shared" si="3"/>
        <v>0</v>
      </c>
      <c r="G102">
        <f>IF(F102=1,1+MAX($G$2:G101),0)</f>
        <v>0</v>
      </c>
      <c r="I102">
        <v>101</v>
      </c>
      <c r="J102" t="str">
        <f t="shared" si="5"/>
        <v/>
      </c>
      <c r="K102" t="str">
        <f t="shared" si="4"/>
        <v/>
      </c>
    </row>
    <row r="103" spans="1:15" x14ac:dyDescent="0.25">
      <c r="A103" s="4" t="s">
        <v>366</v>
      </c>
      <c r="B103" s="4">
        <v>30</v>
      </c>
      <c r="C103" s="4">
        <v>2</v>
      </c>
      <c r="D103" s="137" t="s">
        <v>202</v>
      </c>
      <c r="E103" s="4"/>
      <c r="F103">
        <f t="shared" si="3"/>
        <v>0</v>
      </c>
      <c r="G103">
        <f>IF(F103=1,1+MAX($G$2:G102),0)</f>
        <v>0</v>
      </c>
      <c r="I103">
        <v>102</v>
      </c>
      <c r="J103" t="str">
        <f t="shared" si="5"/>
        <v/>
      </c>
      <c r="K103" t="str">
        <f t="shared" si="4"/>
        <v/>
      </c>
    </row>
    <row r="104" spans="1:15" x14ac:dyDescent="0.25">
      <c r="A104" s="4" t="s">
        <v>395</v>
      </c>
      <c r="B104" s="4">
        <v>12</v>
      </c>
      <c r="C104" s="4">
        <v>2</v>
      </c>
      <c r="D104" s="137" t="s">
        <v>202</v>
      </c>
      <c r="E104" s="4"/>
      <c r="F104">
        <f t="shared" si="3"/>
        <v>0</v>
      </c>
      <c r="G104">
        <f>IF(F104=1,1+MAX($G$2:G103),0)</f>
        <v>0</v>
      </c>
      <c r="I104">
        <v>103</v>
      </c>
      <c r="J104" t="str">
        <f t="shared" si="5"/>
        <v/>
      </c>
      <c r="K104" t="str">
        <f t="shared" si="4"/>
        <v/>
      </c>
    </row>
    <row r="105" spans="1:15" x14ac:dyDescent="0.25">
      <c r="A105" s="4" t="s">
        <v>441</v>
      </c>
      <c r="B105" s="4">
        <v>2</v>
      </c>
      <c r="C105" s="4">
        <v>1</v>
      </c>
      <c r="D105" s="137" t="s">
        <v>202</v>
      </c>
      <c r="E105" s="4"/>
      <c r="F105">
        <f t="shared" si="3"/>
        <v>0</v>
      </c>
      <c r="G105">
        <f>IF(F105=1,1+MAX($G$2:G104),0)</f>
        <v>0</v>
      </c>
      <c r="I105">
        <v>104</v>
      </c>
      <c r="J105" t="str">
        <f t="shared" si="5"/>
        <v/>
      </c>
      <c r="K105" t="str">
        <f t="shared" si="4"/>
        <v/>
      </c>
    </row>
    <row r="106" spans="1:15" x14ac:dyDescent="0.25">
      <c r="A106" s="4" t="s">
        <v>485</v>
      </c>
      <c r="B106" s="4">
        <v>30</v>
      </c>
      <c r="C106" s="4">
        <v>1</v>
      </c>
      <c r="D106" s="137" t="s">
        <v>202</v>
      </c>
      <c r="E106" s="4"/>
      <c r="F106">
        <f t="shared" si="3"/>
        <v>0</v>
      </c>
      <c r="G106">
        <f>IF(F106=1,1+MAX($G$2:G105),0)</f>
        <v>0</v>
      </c>
      <c r="I106">
        <v>105</v>
      </c>
      <c r="J106" t="str">
        <f t="shared" si="5"/>
        <v/>
      </c>
      <c r="K106" t="str">
        <f t="shared" si="4"/>
        <v/>
      </c>
    </row>
    <row r="107" spans="1:15" x14ac:dyDescent="0.25">
      <c r="A107" s="4" t="s">
        <v>181</v>
      </c>
      <c r="B107" s="4">
        <v>25</v>
      </c>
      <c r="C107" s="4">
        <v>1</v>
      </c>
      <c r="D107" s="4" t="s">
        <v>180</v>
      </c>
      <c r="E107" s="4" t="s">
        <v>182</v>
      </c>
      <c r="F107">
        <f t="shared" si="3"/>
        <v>0</v>
      </c>
      <c r="G107">
        <f>IF(F107=1,1+MAX($G$2:G106),0)</f>
        <v>0</v>
      </c>
      <c r="I107">
        <v>106</v>
      </c>
      <c r="J107" t="str">
        <f t="shared" si="5"/>
        <v/>
      </c>
      <c r="K107" t="str">
        <f t="shared" si="4"/>
        <v/>
      </c>
    </row>
    <row r="108" spans="1:15" x14ac:dyDescent="0.25">
      <c r="A108" s="4" t="s">
        <v>183</v>
      </c>
      <c r="B108" s="4">
        <v>50</v>
      </c>
      <c r="C108" s="4">
        <v>1</v>
      </c>
      <c r="D108" s="4" t="s">
        <v>180</v>
      </c>
      <c r="E108" s="4" t="s">
        <v>184</v>
      </c>
      <c r="F108">
        <f t="shared" si="3"/>
        <v>0</v>
      </c>
      <c r="G108">
        <f>IF(F108=1,1+MAX($G$2:G107),0)</f>
        <v>0</v>
      </c>
      <c r="I108">
        <v>107</v>
      </c>
      <c r="J108" t="str">
        <f t="shared" si="5"/>
        <v/>
      </c>
      <c r="K108" t="str">
        <f t="shared" si="4"/>
        <v/>
      </c>
    </row>
    <row r="109" spans="1:15" x14ac:dyDescent="0.25">
      <c r="A109" s="4" t="s">
        <v>192</v>
      </c>
      <c r="B109" s="4">
        <v>50</v>
      </c>
      <c r="C109" s="4">
        <v>0</v>
      </c>
      <c r="D109" s="4" t="s">
        <v>191</v>
      </c>
      <c r="E109" s="4" t="s">
        <v>193</v>
      </c>
      <c r="F109">
        <f t="shared" si="3"/>
        <v>0</v>
      </c>
      <c r="G109">
        <f>IF(F109=1,1+MAX($G$2:G108),0)</f>
        <v>0</v>
      </c>
      <c r="I109">
        <v>108</v>
      </c>
      <c r="J109" t="str">
        <f t="shared" si="5"/>
        <v/>
      </c>
      <c r="K109" t="str">
        <f t="shared" si="4"/>
        <v/>
      </c>
    </row>
    <row r="110" spans="1:15" x14ac:dyDescent="0.25">
      <c r="A110" s="4" t="s">
        <v>195</v>
      </c>
      <c r="B110" s="4">
        <v>4</v>
      </c>
      <c r="C110" s="4"/>
      <c r="D110" s="4" t="s">
        <v>194</v>
      </c>
      <c r="E110" s="4"/>
      <c r="F110">
        <f t="shared" si="3"/>
        <v>0</v>
      </c>
      <c r="G110">
        <f>IF(F110=1,1+MAX($G$2:G109),0)</f>
        <v>0</v>
      </c>
      <c r="I110">
        <v>109</v>
      </c>
      <c r="J110" t="str">
        <f t="shared" si="5"/>
        <v/>
      </c>
      <c r="K110" t="str">
        <f t="shared" si="4"/>
        <v/>
      </c>
    </row>
    <row r="111" spans="1:15" x14ac:dyDescent="0.25">
      <c r="A111" s="4" t="s">
        <v>197</v>
      </c>
      <c r="B111" s="4">
        <v>2</v>
      </c>
      <c r="C111" s="4"/>
      <c r="D111" s="4" t="s">
        <v>196</v>
      </c>
      <c r="E111" s="4"/>
      <c r="F111">
        <f t="shared" si="3"/>
        <v>0</v>
      </c>
      <c r="G111">
        <f>IF(F111=1,1+MAX($G$2:G110),0)</f>
        <v>0</v>
      </c>
      <c r="I111">
        <v>110</v>
      </c>
      <c r="J111" t="str">
        <f t="shared" si="5"/>
        <v/>
      </c>
      <c r="K111" t="str">
        <f t="shared" si="4"/>
        <v/>
      </c>
    </row>
    <row r="112" spans="1:15" x14ac:dyDescent="0.25">
      <c r="A112" s="4" t="s">
        <v>198</v>
      </c>
      <c r="B112" s="4">
        <v>1</v>
      </c>
      <c r="C112" s="4">
        <v>1</v>
      </c>
      <c r="D112" s="4" t="s">
        <v>154</v>
      </c>
      <c r="E112" s="4"/>
      <c r="F112">
        <f t="shared" si="3"/>
        <v>0</v>
      </c>
      <c r="G112">
        <f>IF(F112=1,1+MAX($G$2:G111),0)</f>
        <v>0</v>
      </c>
      <c r="I112">
        <v>111</v>
      </c>
      <c r="J112" t="str">
        <f t="shared" si="5"/>
        <v/>
      </c>
      <c r="K112" t="str">
        <f t="shared" si="4"/>
        <v/>
      </c>
    </row>
    <row r="113" spans="1:11" x14ac:dyDescent="0.25">
      <c r="A113" s="4" t="s">
        <v>200</v>
      </c>
      <c r="B113" s="4">
        <v>2</v>
      </c>
      <c r="C113" s="4">
        <v>5</v>
      </c>
      <c r="D113" s="4" t="s">
        <v>199</v>
      </c>
      <c r="E113" s="4"/>
      <c r="F113">
        <f t="shared" si="3"/>
        <v>0</v>
      </c>
      <c r="G113">
        <f>IF(F113=1,1+MAX($G$2:G112),0)</f>
        <v>0</v>
      </c>
      <c r="I113">
        <v>112</v>
      </c>
      <c r="J113" t="str">
        <f t="shared" si="5"/>
        <v/>
      </c>
      <c r="K113" t="str">
        <f t="shared" si="4"/>
        <v/>
      </c>
    </row>
    <row r="114" spans="1:11" x14ac:dyDescent="0.25">
      <c r="A114" s="4" t="s">
        <v>206</v>
      </c>
      <c r="B114" s="4">
        <v>1</v>
      </c>
      <c r="C114" s="4">
        <v>2</v>
      </c>
      <c r="D114" s="4" t="s">
        <v>205</v>
      </c>
      <c r="E114" s="4" t="s">
        <v>207</v>
      </c>
      <c r="F114">
        <f t="shared" si="3"/>
        <v>0</v>
      </c>
      <c r="G114">
        <f>IF(F114=1,1+MAX($G$2:G113),0)</f>
        <v>0</v>
      </c>
      <c r="I114">
        <v>113</v>
      </c>
      <c r="J114" t="str">
        <f t="shared" si="5"/>
        <v/>
      </c>
      <c r="K114" t="str">
        <f t="shared" si="4"/>
        <v/>
      </c>
    </row>
    <row r="115" spans="1:11" x14ac:dyDescent="0.25">
      <c r="A115" s="4" t="s">
        <v>208</v>
      </c>
      <c r="B115" s="4">
        <v>10</v>
      </c>
      <c r="C115" s="4"/>
      <c r="D115" s="4" t="s">
        <v>196</v>
      </c>
      <c r="E115" s="4"/>
      <c r="F115">
        <f t="shared" si="3"/>
        <v>0</v>
      </c>
      <c r="G115">
        <f>IF(F115=1,1+MAX($G$2:G114),0)</f>
        <v>0</v>
      </c>
      <c r="I115">
        <v>114</v>
      </c>
      <c r="J115" t="str">
        <f t="shared" si="5"/>
        <v/>
      </c>
      <c r="K115" t="str">
        <f t="shared" si="4"/>
        <v/>
      </c>
    </row>
    <row r="116" spans="1:11" x14ac:dyDescent="0.25">
      <c r="A116" s="4" t="s">
        <v>209</v>
      </c>
      <c r="B116" s="4">
        <v>2</v>
      </c>
      <c r="C116" s="4">
        <v>70</v>
      </c>
      <c r="D116" s="4" t="s">
        <v>199</v>
      </c>
      <c r="E116" s="4"/>
      <c r="F116">
        <f t="shared" si="3"/>
        <v>0</v>
      </c>
      <c r="G116">
        <f>IF(F116=1,1+MAX($G$2:G115),0)</f>
        <v>0</v>
      </c>
      <c r="I116">
        <v>115</v>
      </c>
      <c r="J116" t="str">
        <f t="shared" si="5"/>
        <v/>
      </c>
      <c r="K116" t="str">
        <f t="shared" si="4"/>
        <v/>
      </c>
    </row>
    <row r="117" spans="1:11" x14ac:dyDescent="0.25">
      <c r="A117" s="4" t="s">
        <v>212</v>
      </c>
      <c r="B117" s="4">
        <v>100</v>
      </c>
      <c r="C117" s="4">
        <v>0</v>
      </c>
      <c r="D117" s="4" t="s">
        <v>211</v>
      </c>
      <c r="E117" s="4" t="s">
        <v>213</v>
      </c>
      <c r="F117">
        <f t="shared" si="3"/>
        <v>1</v>
      </c>
      <c r="G117">
        <f>IF(F117=1,1+MAX($G$2:G116),0)</f>
        <v>1</v>
      </c>
      <c r="I117">
        <v>116</v>
      </c>
      <c r="J117" t="str">
        <f t="shared" si="5"/>
        <v/>
      </c>
      <c r="K117" t="str">
        <f t="shared" si="4"/>
        <v/>
      </c>
    </row>
    <row r="118" spans="1:11" x14ac:dyDescent="0.25">
      <c r="A118" s="4" t="s">
        <v>214</v>
      </c>
      <c r="B118" s="4">
        <v>0.4</v>
      </c>
      <c r="C118" s="4">
        <v>2</v>
      </c>
      <c r="D118" s="4" t="s">
        <v>199</v>
      </c>
      <c r="E118" s="4"/>
      <c r="F118">
        <f t="shared" si="3"/>
        <v>0</v>
      </c>
      <c r="G118">
        <f>IF(F118=1,1+MAX($G$2:G117),0)</f>
        <v>0</v>
      </c>
      <c r="I118">
        <v>117</v>
      </c>
      <c r="J118" t="str">
        <f t="shared" si="5"/>
        <v/>
      </c>
      <c r="K118" t="str">
        <f t="shared" si="4"/>
        <v/>
      </c>
    </row>
    <row r="119" spans="1:11" x14ac:dyDescent="0.25">
      <c r="A119" s="4" t="s">
        <v>217</v>
      </c>
      <c r="B119" s="4">
        <v>1</v>
      </c>
      <c r="C119" s="4">
        <v>7</v>
      </c>
      <c r="D119" s="4" t="s">
        <v>216</v>
      </c>
      <c r="E119" s="4"/>
      <c r="F119">
        <f t="shared" si="3"/>
        <v>0</v>
      </c>
      <c r="G119">
        <f>IF(F119=1,1+MAX($G$2:G118),0)</f>
        <v>0</v>
      </c>
      <c r="I119">
        <v>118</v>
      </c>
      <c r="J119" t="str">
        <f t="shared" si="5"/>
        <v/>
      </c>
      <c r="K119" t="str">
        <f t="shared" si="4"/>
        <v/>
      </c>
    </row>
    <row r="120" spans="1:11" x14ac:dyDescent="0.25">
      <c r="A120" s="4" t="s">
        <v>218</v>
      </c>
      <c r="B120" s="4">
        <v>1</v>
      </c>
      <c r="C120" s="4">
        <v>0</v>
      </c>
      <c r="D120" s="4" t="s">
        <v>205</v>
      </c>
      <c r="E120" s="4"/>
      <c r="F120">
        <f t="shared" si="3"/>
        <v>0</v>
      </c>
      <c r="G120">
        <f>IF(F120=1,1+MAX($G$2:G119),0)</f>
        <v>0</v>
      </c>
      <c r="I120">
        <v>119</v>
      </c>
      <c r="J120" t="str">
        <f t="shared" si="5"/>
        <v/>
      </c>
      <c r="K120" t="str">
        <f t="shared" si="4"/>
        <v/>
      </c>
    </row>
    <row r="121" spans="1:11" x14ac:dyDescent="0.25">
      <c r="A121" s="4" t="s">
        <v>220</v>
      </c>
      <c r="B121" s="4">
        <v>2</v>
      </c>
      <c r="C121" s="4">
        <v>1</v>
      </c>
      <c r="D121" s="4" t="s">
        <v>219</v>
      </c>
      <c r="E121" s="4"/>
      <c r="F121">
        <f t="shared" si="3"/>
        <v>0</v>
      </c>
      <c r="G121">
        <f>IF(F121=1,1+MAX($G$2:G120),0)</f>
        <v>0</v>
      </c>
      <c r="I121">
        <v>120</v>
      </c>
      <c r="J121" t="str">
        <f t="shared" si="5"/>
        <v/>
      </c>
      <c r="K121" t="str">
        <f t="shared" si="4"/>
        <v/>
      </c>
    </row>
    <row r="122" spans="1:11" x14ac:dyDescent="0.25">
      <c r="A122" s="4" t="s">
        <v>221</v>
      </c>
      <c r="B122" s="4">
        <v>0.5</v>
      </c>
      <c r="C122" s="4">
        <v>3</v>
      </c>
      <c r="D122" s="4" t="s">
        <v>216</v>
      </c>
      <c r="E122" s="4"/>
      <c r="F122">
        <f t="shared" si="3"/>
        <v>0</v>
      </c>
      <c r="G122">
        <f>IF(F122=1,1+MAX($G$2:G121),0)</f>
        <v>0</v>
      </c>
      <c r="I122">
        <v>121</v>
      </c>
      <c r="J122" t="str">
        <f t="shared" si="5"/>
        <v/>
      </c>
      <c r="K122" t="str">
        <f t="shared" si="4"/>
        <v/>
      </c>
    </row>
    <row r="123" spans="1:11" x14ac:dyDescent="0.25">
      <c r="A123" s="4" t="s">
        <v>222</v>
      </c>
      <c r="B123" s="4">
        <v>1</v>
      </c>
      <c r="C123" s="4">
        <v>5</v>
      </c>
      <c r="D123" s="4" t="s">
        <v>205</v>
      </c>
      <c r="E123" s="4" t="s">
        <v>223</v>
      </c>
      <c r="F123">
        <f t="shared" si="3"/>
        <v>0</v>
      </c>
      <c r="G123">
        <f>IF(F123=1,1+MAX($G$2:G122),0)</f>
        <v>0</v>
      </c>
      <c r="I123">
        <v>122</v>
      </c>
      <c r="J123" t="str">
        <f t="shared" si="5"/>
        <v/>
      </c>
      <c r="K123" t="str">
        <f t="shared" si="4"/>
        <v/>
      </c>
    </row>
    <row r="124" spans="1:11" x14ac:dyDescent="0.25">
      <c r="A124" s="4" t="s">
        <v>224</v>
      </c>
      <c r="B124" s="4">
        <v>1</v>
      </c>
      <c r="C124" s="4">
        <v>1</v>
      </c>
      <c r="D124" s="4" t="s">
        <v>154</v>
      </c>
      <c r="E124" s="4"/>
      <c r="F124">
        <f t="shared" si="3"/>
        <v>0</v>
      </c>
      <c r="G124">
        <f>IF(F124=1,1+MAX($G$2:G123),0)</f>
        <v>0</v>
      </c>
      <c r="I124">
        <v>123</v>
      </c>
      <c r="J124" t="str">
        <f t="shared" si="5"/>
        <v/>
      </c>
      <c r="K124" t="str">
        <f t="shared" si="4"/>
        <v/>
      </c>
    </row>
    <row r="125" spans="1:11" x14ac:dyDescent="0.25">
      <c r="A125" s="4" t="s">
        <v>225</v>
      </c>
      <c r="B125" s="4">
        <v>25</v>
      </c>
      <c r="C125" s="4">
        <v>5</v>
      </c>
      <c r="D125" s="4" t="s">
        <v>205</v>
      </c>
      <c r="E125" s="4" t="s">
        <v>226</v>
      </c>
      <c r="F125">
        <f t="shared" si="3"/>
        <v>0</v>
      </c>
      <c r="G125">
        <f>IF(F125=1,1+MAX($G$2:G124),0)</f>
        <v>0</v>
      </c>
      <c r="I125">
        <v>124</v>
      </c>
      <c r="J125" t="str">
        <f t="shared" si="5"/>
        <v/>
      </c>
      <c r="K125" t="str">
        <f t="shared" si="4"/>
        <v/>
      </c>
    </row>
    <row r="126" spans="1:11" x14ac:dyDescent="0.25">
      <c r="A126" s="4" t="s">
        <v>103</v>
      </c>
      <c r="B126" s="4">
        <v>1600</v>
      </c>
      <c r="C126" s="4">
        <v>40</v>
      </c>
      <c r="D126" s="4" t="s">
        <v>227</v>
      </c>
      <c r="E126" s="4" t="s">
        <v>228</v>
      </c>
      <c r="F126">
        <f t="shared" si="3"/>
        <v>0</v>
      </c>
      <c r="G126">
        <f>IF(F126=1,1+MAX($G$2:G125),0)</f>
        <v>0</v>
      </c>
      <c r="I126">
        <v>125</v>
      </c>
      <c r="J126" t="str">
        <f t="shared" si="5"/>
        <v/>
      </c>
      <c r="K126" t="str">
        <f t="shared" si="4"/>
        <v/>
      </c>
    </row>
    <row r="127" spans="1:11" x14ac:dyDescent="0.25">
      <c r="A127" s="4" t="s">
        <v>230</v>
      </c>
      <c r="B127" s="4">
        <v>0.05</v>
      </c>
      <c r="C127" s="4">
        <v>2</v>
      </c>
      <c r="D127" s="4" t="s">
        <v>199</v>
      </c>
      <c r="E127" s="4"/>
      <c r="F127">
        <f t="shared" si="3"/>
        <v>0</v>
      </c>
      <c r="G127">
        <f>IF(F127=1,1+MAX($G$2:G126),0)</f>
        <v>0</v>
      </c>
      <c r="I127">
        <v>126</v>
      </c>
      <c r="J127" t="str">
        <f t="shared" si="5"/>
        <v/>
      </c>
      <c r="K127" t="str">
        <f t="shared" si="4"/>
        <v/>
      </c>
    </row>
    <row r="128" spans="1:11" x14ac:dyDescent="0.25">
      <c r="A128" s="4" t="s">
        <v>232</v>
      </c>
      <c r="B128" s="4">
        <v>10</v>
      </c>
      <c r="C128" s="4">
        <v>2</v>
      </c>
      <c r="D128" s="4" t="s">
        <v>216</v>
      </c>
      <c r="E128" s="4" t="s">
        <v>233</v>
      </c>
      <c r="F128">
        <f t="shared" si="3"/>
        <v>0</v>
      </c>
      <c r="G128">
        <f>IF(F128=1,1+MAX($G$2:G127),0)</f>
        <v>0</v>
      </c>
      <c r="I128">
        <v>127</v>
      </c>
      <c r="J128" t="str">
        <f t="shared" si="5"/>
        <v/>
      </c>
      <c r="K128" t="str">
        <f t="shared" si="4"/>
        <v/>
      </c>
    </row>
    <row r="129" spans="1:11" x14ac:dyDescent="0.25">
      <c r="A129" s="4" t="s">
        <v>235</v>
      </c>
      <c r="B129" s="4">
        <v>1</v>
      </c>
      <c r="C129" s="4">
        <v>2</v>
      </c>
      <c r="D129" s="4" t="s">
        <v>205</v>
      </c>
      <c r="E129" s="4" t="s">
        <v>236</v>
      </c>
      <c r="F129">
        <f t="shared" si="3"/>
        <v>0</v>
      </c>
      <c r="G129">
        <f>IF(F129=1,1+MAX($G$2:G128),0)</f>
        <v>0</v>
      </c>
      <c r="I129">
        <v>128</v>
      </c>
      <c r="J129" t="str">
        <f t="shared" si="5"/>
        <v/>
      </c>
      <c r="K129" t="str">
        <f t="shared" si="4"/>
        <v/>
      </c>
    </row>
    <row r="130" spans="1:11" x14ac:dyDescent="0.25">
      <c r="A130" s="4" t="s">
        <v>238</v>
      </c>
      <c r="B130" s="4">
        <v>50</v>
      </c>
      <c r="C130" s="4"/>
      <c r="D130" s="4" t="s">
        <v>237</v>
      </c>
      <c r="E130" s="4" t="s">
        <v>241</v>
      </c>
      <c r="F130">
        <f t="shared" ref="F130:F193" si="6">IF(ItemLookupCategory=D130,1,0)</f>
        <v>0</v>
      </c>
      <c r="G130">
        <f>IF(F130=1,1+MAX($G$2:G129),0)</f>
        <v>0</v>
      </c>
      <c r="I130">
        <v>129</v>
      </c>
      <c r="J130" t="str">
        <f t="shared" si="5"/>
        <v/>
      </c>
      <c r="K130" t="str">
        <f t="shared" si="4"/>
        <v/>
      </c>
    </row>
    <row r="131" spans="1:11" x14ac:dyDescent="0.25">
      <c r="A131" s="4" t="s">
        <v>242</v>
      </c>
      <c r="B131" s="4">
        <v>0.01</v>
      </c>
      <c r="C131" s="4">
        <v>0</v>
      </c>
      <c r="D131" s="4" t="s">
        <v>216</v>
      </c>
      <c r="E131" s="4" t="s">
        <v>243</v>
      </c>
      <c r="F131">
        <f t="shared" si="6"/>
        <v>0</v>
      </c>
      <c r="G131">
        <f>IF(F131=1,1+MAX($G$2:G130),0)</f>
        <v>0</v>
      </c>
      <c r="I131">
        <v>130</v>
      </c>
      <c r="J131" t="str">
        <f t="shared" si="5"/>
        <v/>
      </c>
      <c r="K131" t="str">
        <f t="shared" ref="K131:K194" si="7">IFERROR(INDEX($A$2:$A$235,MATCH(J131,$G$2:$G$235,0),1),"")</f>
        <v/>
      </c>
    </row>
    <row r="132" spans="1:11" x14ac:dyDescent="0.25">
      <c r="A132" s="4" t="s">
        <v>246</v>
      </c>
      <c r="B132" s="4">
        <v>100</v>
      </c>
      <c r="C132" s="4">
        <v>600</v>
      </c>
      <c r="D132" s="4" t="s">
        <v>245</v>
      </c>
      <c r="E132" s="4"/>
      <c r="F132">
        <f t="shared" si="6"/>
        <v>0</v>
      </c>
      <c r="G132">
        <f>IF(F132=1,1+MAX($G$2:G131),0)</f>
        <v>0</v>
      </c>
      <c r="I132">
        <v>131</v>
      </c>
      <c r="J132" t="str">
        <f t="shared" ref="J132:J195" si="8">IFERROR(IF(J131&lt;MAX($G$2:$G$235),J131+1,""),"")</f>
        <v/>
      </c>
      <c r="K132" t="str">
        <f t="shared" si="7"/>
        <v/>
      </c>
    </row>
    <row r="133" spans="1:11" x14ac:dyDescent="0.25">
      <c r="A133" s="4" t="s">
        <v>247</v>
      </c>
      <c r="B133" s="4">
        <v>15</v>
      </c>
      <c r="C133" s="4">
        <v>200</v>
      </c>
      <c r="D133" s="4" t="s">
        <v>245</v>
      </c>
      <c r="E133" s="4"/>
      <c r="F133">
        <f t="shared" si="6"/>
        <v>0</v>
      </c>
      <c r="G133">
        <f>IF(F133=1,1+MAX($G$2:G132),0)</f>
        <v>0</v>
      </c>
      <c r="I133">
        <v>132</v>
      </c>
      <c r="J133" t="str">
        <f t="shared" si="8"/>
        <v/>
      </c>
      <c r="K133" t="str">
        <f t="shared" si="7"/>
        <v/>
      </c>
    </row>
    <row r="134" spans="1:11" x14ac:dyDescent="0.25">
      <c r="A134" s="4" t="s">
        <v>249</v>
      </c>
      <c r="B134" s="4">
        <v>5</v>
      </c>
      <c r="C134" s="4">
        <v>10</v>
      </c>
      <c r="D134" s="4" t="s">
        <v>216</v>
      </c>
      <c r="E134" s="4" t="s">
        <v>250</v>
      </c>
      <c r="F134">
        <f t="shared" si="6"/>
        <v>0</v>
      </c>
      <c r="G134">
        <f>IF(F134=1,1+MAX($G$2:G133),0)</f>
        <v>0</v>
      </c>
      <c r="I134">
        <v>133</v>
      </c>
      <c r="J134" t="str">
        <f t="shared" si="8"/>
        <v/>
      </c>
      <c r="K134" t="str">
        <f t="shared" si="7"/>
        <v/>
      </c>
    </row>
    <row r="135" spans="1:11" x14ac:dyDescent="0.25">
      <c r="A135" s="4" t="s">
        <v>252</v>
      </c>
      <c r="B135" s="4">
        <v>300</v>
      </c>
      <c r="C135" s="4">
        <v>110</v>
      </c>
      <c r="D135" s="4" t="s">
        <v>251</v>
      </c>
      <c r="E135" s="4" t="s">
        <v>228</v>
      </c>
      <c r="F135">
        <f t="shared" si="6"/>
        <v>0</v>
      </c>
      <c r="G135">
        <f>IF(F135=1,1+MAX($G$2:G134),0)</f>
        <v>0</v>
      </c>
      <c r="I135">
        <v>134</v>
      </c>
      <c r="J135" t="str">
        <f t="shared" si="8"/>
        <v/>
      </c>
      <c r="K135" t="str">
        <f t="shared" si="7"/>
        <v/>
      </c>
    </row>
    <row r="136" spans="1:11" x14ac:dyDescent="0.25">
      <c r="A136" s="4" t="s">
        <v>253</v>
      </c>
      <c r="B136" s="4">
        <v>200</v>
      </c>
      <c r="C136" s="4">
        <v>40</v>
      </c>
      <c r="D136" s="4" t="s">
        <v>227</v>
      </c>
      <c r="E136" s="4" t="s">
        <v>228</v>
      </c>
      <c r="F136">
        <f t="shared" si="6"/>
        <v>0</v>
      </c>
      <c r="G136">
        <f>IF(F136=1,1+MAX($G$2:G135),0)</f>
        <v>0</v>
      </c>
      <c r="I136">
        <v>135</v>
      </c>
      <c r="J136" t="str">
        <f t="shared" si="8"/>
        <v/>
      </c>
      <c r="K136" t="str">
        <f t="shared" si="7"/>
        <v/>
      </c>
    </row>
    <row r="137" spans="1:11" x14ac:dyDescent="0.25">
      <c r="A137" s="4" t="s">
        <v>254</v>
      </c>
      <c r="B137" s="4">
        <v>0.01</v>
      </c>
      <c r="C137" s="4">
        <v>0</v>
      </c>
      <c r="D137" s="4" t="s">
        <v>205</v>
      </c>
      <c r="E137" s="4"/>
      <c r="F137">
        <f t="shared" si="6"/>
        <v>0</v>
      </c>
      <c r="G137">
        <f>IF(F137=1,1+MAX($G$2:G136),0)</f>
        <v>0</v>
      </c>
      <c r="I137">
        <v>136</v>
      </c>
      <c r="J137" t="str">
        <f t="shared" si="8"/>
        <v/>
      </c>
      <c r="K137" t="str">
        <f t="shared" si="7"/>
        <v/>
      </c>
    </row>
    <row r="138" spans="1:11" x14ac:dyDescent="0.25">
      <c r="A138" s="4" t="s">
        <v>255</v>
      </c>
      <c r="B138" s="4">
        <v>200</v>
      </c>
      <c r="C138" s="4">
        <v>100</v>
      </c>
      <c r="D138" s="4" t="s">
        <v>245</v>
      </c>
      <c r="E138" s="4"/>
      <c r="F138">
        <f t="shared" si="6"/>
        <v>0</v>
      </c>
      <c r="G138">
        <f>IF(F138=1,1+MAX($G$2:G137),0)</f>
        <v>0</v>
      </c>
      <c r="I138">
        <v>137</v>
      </c>
      <c r="J138" t="str">
        <f t="shared" si="8"/>
        <v/>
      </c>
      <c r="K138" t="str">
        <f t="shared" si="7"/>
        <v/>
      </c>
    </row>
    <row r="139" spans="1:11" x14ac:dyDescent="0.25">
      <c r="A139" s="4" t="s">
        <v>256</v>
      </c>
      <c r="B139" s="4">
        <v>5</v>
      </c>
      <c r="C139" s="4">
        <v>25</v>
      </c>
      <c r="D139" s="4" t="s">
        <v>199</v>
      </c>
      <c r="E139" s="4"/>
      <c r="F139">
        <f t="shared" si="6"/>
        <v>0</v>
      </c>
      <c r="G139">
        <f>IF(F139=1,1+MAX($G$2:G138),0)</f>
        <v>0</v>
      </c>
      <c r="I139">
        <v>138</v>
      </c>
      <c r="J139" t="str">
        <f t="shared" si="8"/>
        <v/>
      </c>
      <c r="K139" t="str">
        <f t="shared" si="7"/>
        <v/>
      </c>
    </row>
    <row r="140" spans="1:11" x14ac:dyDescent="0.25">
      <c r="A140" s="4" t="s">
        <v>258</v>
      </c>
      <c r="B140" s="4">
        <v>0.3</v>
      </c>
      <c r="C140" s="4"/>
      <c r="D140" s="4" t="s">
        <v>196</v>
      </c>
      <c r="E140" s="4"/>
      <c r="F140">
        <f t="shared" si="6"/>
        <v>0</v>
      </c>
      <c r="G140">
        <f>IF(F140=1,1+MAX($G$2:G139),0)</f>
        <v>0</v>
      </c>
      <c r="I140">
        <v>139</v>
      </c>
      <c r="J140" t="str">
        <f t="shared" si="8"/>
        <v/>
      </c>
      <c r="K140" t="str">
        <f t="shared" si="7"/>
        <v/>
      </c>
    </row>
    <row r="141" spans="1:11" x14ac:dyDescent="0.25">
      <c r="A141" s="4" t="s">
        <v>261</v>
      </c>
      <c r="B141" s="4">
        <v>0.03</v>
      </c>
      <c r="C141" s="4"/>
      <c r="D141" s="4" t="s">
        <v>194</v>
      </c>
      <c r="E141" s="4" t="s">
        <v>262</v>
      </c>
      <c r="F141">
        <f t="shared" si="6"/>
        <v>0</v>
      </c>
      <c r="G141">
        <f>IF(F141=1,1+MAX($G$2:G140),0)</f>
        <v>0</v>
      </c>
      <c r="I141">
        <v>140</v>
      </c>
      <c r="J141" t="str">
        <f t="shared" si="8"/>
        <v/>
      </c>
      <c r="K141" t="str">
        <f t="shared" si="7"/>
        <v/>
      </c>
    </row>
    <row r="142" spans="1:11" x14ac:dyDescent="0.25">
      <c r="A142" s="4" t="s">
        <v>263</v>
      </c>
      <c r="B142" s="4">
        <v>0.01</v>
      </c>
      <c r="C142" s="4"/>
      <c r="D142" s="4" t="s">
        <v>194</v>
      </c>
      <c r="E142" s="4"/>
      <c r="F142">
        <f t="shared" si="6"/>
        <v>0</v>
      </c>
      <c r="G142">
        <f>IF(F142=1,1+MAX($G$2:G141),0)</f>
        <v>0</v>
      </c>
      <c r="I142">
        <v>141</v>
      </c>
      <c r="J142" t="str">
        <f t="shared" si="8"/>
        <v/>
      </c>
      <c r="K142" t="str">
        <f t="shared" si="7"/>
        <v/>
      </c>
    </row>
    <row r="143" spans="1:11" x14ac:dyDescent="0.25">
      <c r="A143" s="4" t="s">
        <v>265</v>
      </c>
      <c r="B143" s="4">
        <v>0.8</v>
      </c>
      <c r="C143" s="4"/>
      <c r="D143" s="4" t="s">
        <v>194</v>
      </c>
      <c r="E143" s="4"/>
      <c r="F143">
        <f t="shared" si="6"/>
        <v>0</v>
      </c>
      <c r="G143">
        <f>IF(F143=1,1+MAX($G$2:G142),0)</f>
        <v>0</v>
      </c>
      <c r="I143">
        <v>142</v>
      </c>
      <c r="J143" t="str">
        <f t="shared" si="8"/>
        <v/>
      </c>
      <c r="K143" t="str">
        <f t="shared" si="7"/>
        <v/>
      </c>
    </row>
    <row r="144" spans="1:11" x14ac:dyDescent="0.25">
      <c r="A144" s="4" t="s">
        <v>266</v>
      </c>
      <c r="B144" s="4">
        <v>0.5</v>
      </c>
      <c r="C144" s="4"/>
      <c r="D144" s="4" t="s">
        <v>196</v>
      </c>
      <c r="E144" s="4"/>
      <c r="F144">
        <f t="shared" si="6"/>
        <v>0</v>
      </c>
      <c r="G144">
        <f>IF(F144=1,1+MAX($G$2:G143),0)</f>
        <v>0</v>
      </c>
      <c r="I144">
        <v>143</v>
      </c>
      <c r="J144" t="str">
        <f t="shared" si="8"/>
        <v/>
      </c>
      <c r="K144" t="str">
        <f t="shared" si="7"/>
        <v/>
      </c>
    </row>
    <row r="145" spans="1:11" x14ac:dyDescent="0.25">
      <c r="A145" s="4" t="s">
        <v>269</v>
      </c>
      <c r="B145" s="4">
        <v>0.2</v>
      </c>
      <c r="C145" s="4"/>
      <c r="D145" s="4" t="s">
        <v>268</v>
      </c>
      <c r="E145" s="4"/>
      <c r="F145">
        <f t="shared" si="6"/>
        <v>0</v>
      </c>
      <c r="G145">
        <f>IF(F145=1,1+MAX($G$2:G144),0)</f>
        <v>0</v>
      </c>
      <c r="I145">
        <v>144</v>
      </c>
      <c r="J145" t="str">
        <f t="shared" si="8"/>
        <v/>
      </c>
      <c r="K145" t="str">
        <f t="shared" si="7"/>
        <v/>
      </c>
    </row>
    <row r="146" spans="1:11" x14ac:dyDescent="0.25">
      <c r="A146" s="4" t="s">
        <v>271</v>
      </c>
      <c r="B146" s="4">
        <v>25</v>
      </c>
      <c r="C146" s="4">
        <v>2</v>
      </c>
      <c r="D146" s="4" t="s">
        <v>270</v>
      </c>
      <c r="E146" s="4" t="s">
        <v>272</v>
      </c>
      <c r="F146">
        <f t="shared" si="6"/>
        <v>0</v>
      </c>
      <c r="G146">
        <f>IF(F146=1,1+MAX($G$2:G145),0)</f>
        <v>0</v>
      </c>
      <c r="I146">
        <v>145</v>
      </c>
      <c r="J146" t="str">
        <f t="shared" si="8"/>
        <v/>
      </c>
      <c r="K146" t="str">
        <f t="shared" si="7"/>
        <v/>
      </c>
    </row>
    <row r="147" spans="1:11" x14ac:dyDescent="0.25">
      <c r="A147" s="4" t="s">
        <v>276</v>
      </c>
      <c r="B147" s="4">
        <v>1</v>
      </c>
      <c r="C147" s="4">
        <v>1</v>
      </c>
      <c r="D147" s="4" t="s">
        <v>275</v>
      </c>
      <c r="E147" s="4" t="s">
        <v>277</v>
      </c>
      <c r="F147">
        <f t="shared" si="6"/>
        <v>0</v>
      </c>
      <c r="G147">
        <f>IF(F147=1,1+MAX($G$2:G146),0)</f>
        <v>0</v>
      </c>
      <c r="I147">
        <v>146</v>
      </c>
      <c r="J147" t="str">
        <f t="shared" si="8"/>
        <v/>
      </c>
      <c r="K147" t="str">
        <f t="shared" si="7"/>
        <v/>
      </c>
    </row>
    <row r="148" spans="1:11" x14ac:dyDescent="0.25">
      <c r="A148" s="4" t="s">
        <v>278</v>
      </c>
      <c r="B148" s="4">
        <v>1</v>
      </c>
      <c r="C148" s="4">
        <v>1.5</v>
      </c>
      <c r="D148" s="4" t="s">
        <v>154</v>
      </c>
      <c r="E148" s="4"/>
      <c r="F148">
        <f t="shared" si="6"/>
        <v>0</v>
      </c>
      <c r="G148">
        <f>IF(F148=1,1+MAX($G$2:G147),0)</f>
        <v>0</v>
      </c>
      <c r="I148">
        <v>147</v>
      </c>
      <c r="J148" t="str">
        <f t="shared" si="8"/>
        <v/>
      </c>
      <c r="K148" t="str">
        <f t="shared" si="7"/>
        <v/>
      </c>
    </row>
    <row r="149" spans="1:11" x14ac:dyDescent="0.25">
      <c r="A149" s="4" t="s">
        <v>289</v>
      </c>
      <c r="B149" s="4">
        <v>8</v>
      </c>
      <c r="C149" s="4"/>
      <c r="D149" s="4" t="s">
        <v>237</v>
      </c>
      <c r="E149" s="4" t="s">
        <v>241</v>
      </c>
      <c r="F149">
        <f t="shared" si="6"/>
        <v>0</v>
      </c>
      <c r="G149">
        <f>IF(F149=1,1+MAX($G$2:G148),0)</f>
        <v>0</v>
      </c>
      <c r="I149">
        <v>148</v>
      </c>
      <c r="J149" t="str">
        <f t="shared" si="8"/>
        <v/>
      </c>
      <c r="K149" t="str">
        <f t="shared" si="7"/>
        <v/>
      </c>
    </row>
    <row r="150" spans="1:11" x14ac:dyDescent="0.25">
      <c r="A150" s="4" t="s">
        <v>292</v>
      </c>
      <c r="B150" s="4">
        <v>50</v>
      </c>
      <c r="C150" s="4"/>
      <c r="D150" s="4" t="s">
        <v>237</v>
      </c>
      <c r="E150" s="4" t="s">
        <v>241</v>
      </c>
      <c r="F150">
        <f t="shared" si="6"/>
        <v>0</v>
      </c>
      <c r="G150">
        <f>IF(F150=1,1+MAX($G$2:G149),0)</f>
        <v>0</v>
      </c>
      <c r="I150">
        <v>149</v>
      </c>
      <c r="J150" t="str">
        <f t="shared" si="8"/>
        <v/>
      </c>
      <c r="K150" t="str">
        <f t="shared" si="7"/>
        <v/>
      </c>
    </row>
    <row r="151" spans="1:11" x14ac:dyDescent="0.25">
      <c r="A151" s="4" t="s">
        <v>297</v>
      </c>
      <c r="B151" s="4">
        <v>200</v>
      </c>
      <c r="C151" s="4"/>
      <c r="D151" s="4" t="s">
        <v>237</v>
      </c>
      <c r="E151" s="4" t="s">
        <v>241</v>
      </c>
      <c r="F151">
        <f t="shared" si="6"/>
        <v>0</v>
      </c>
      <c r="G151">
        <f>IF(F151=1,1+MAX($G$2:G150),0)</f>
        <v>0</v>
      </c>
      <c r="I151">
        <v>150</v>
      </c>
      <c r="J151" t="str">
        <f t="shared" si="8"/>
        <v/>
      </c>
      <c r="K151" t="str">
        <f t="shared" si="7"/>
        <v/>
      </c>
    </row>
    <row r="152" spans="1:11" x14ac:dyDescent="0.25">
      <c r="A152" s="4" t="s">
        <v>301</v>
      </c>
      <c r="B152" s="4">
        <v>60</v>
      </c>
      <c r="C152" s="4">
        <v>40</v>
      </c>
      <c r="D152" s="4" t="s">
        <v>300</v>
      </c>
      <c r="E152" s="4" t="s">
        <v>302</v>
      </c>
      <c r="F152">
        <f t="shared" si="6"/>
        <v>0</v>
      </c>
      <c r="G152">
        <f>IF(F152=1,1+MAX($G$2:G151),0)</f>
        <v>0</v>
      </c>
      <c r="I152">
        <v>151</v>
      </c>
      <c r="J152" t="str">
        <f t="shared" si="8"/>
        <v/>
      </c>
      <c r="K152" t="str">
        <f t="shared" si="7"/>
        <v/>
      </c>
    </row>
    <row r="153" spans="1:11" x14ac:dyDescent="0.25">
      <c r="A153" s="4" t="s">
        <v>303</v>
      </c>
      <c r="B153" s="4">
        <v>0.05</v>
      </c>
      <c r="C153" s="4">
        <v>10</v>
      </c>
      <c r="D153" s="4" t="s">
        <v>216</v>
      </c>
      <c r="E153" s="4"/>
      <c r="F153">
        <f t="shared" si="6"/>
        <v>0</v>
      </c>
      <c r="G153">
        <f>IF(F153=1,1+MAX($G$2:G152),0)</f>
        <v>0</v>
      </c>
      <c r="I153">
        <v>152</v>
      </c>
      <c r="J153" t="str">
        <f t="shared" si="8"/>
        <v/>
      </c>
      <c r="K153" t="str">
        <f t="shared" si="7"/>
        <v/>
      </c>
    </row>
    <row r="154" spans="1:11" x14ac:dyDescent="0.25">
      <c r="A154" s="4" t="s">
        <v>306</v>
      </c>
      <c r="B154" s="4">
        <v>3</v>
      </c>
      <c r="C154" s="4">
        <v>0</v>
      </c>
      <c r="D154" s="4" t="s">
        <v>305</v>
      </c>
      <c r="E154" s="4"/>
      <c r="F154">
        <f t="shared" si="6"/>
        <v>0</v>
      </c>
      <c r="G154">
        <f>IF(F154=1,1+MAX($G$2:G153),0)</f>
        <v>0</v>
      </c>
      <c r="I154">
        <v>153</v>
      </c>
      <c r="J154" t="str">
        <f t="shared" si="8"/>
        <v/>
      </c>
      <c r="K154" t="str">
        <f t="shared" si="7"/>
        <v/>
      </c>
    </row>
    <row r="155" spans="1:11" x14ac:dyDescent="0.25">
      <c r="A155" s="4" t="s">
        <v>308</v>
      </c>
      <c r="B155" s="4">
        <v>3</v>
      </c>
      <c r="C155" s="4">
        <v>0</v>
      </c>
      <c r="D155" s="4" t="s">
        <v>307</v>
      </c>
      <c r="E155" s="4"/>
      <c r="F155">
        <f t="shared" si="6"/>
        <v>0</v>
      </c>
      <c r="G155">
        <f>IF(F155=1,1+MAX($G$2:G154),0)</f>
        <v>0</v>
      </c>
      <c r="I155">
        <v>154</v>
      </c>
      <c r="J155" t="str">
        <f t="shared" si="8"/>
        <v/>
      </c>
      <c r="K155" t="str">
        <f t="shared" si="7"/>
        <v/>
      </c>
    </row>
    <row r="156" spans="1:11" x14ac:dyDescent="0.25">
      <c r="A156" s="4" t="s">
        <v>310</v>
      </c>
      <c r="B156" s="4">
        <v>2</v>
      </c>
      <c r="C156" s="4">
        <v>0</v>
      </c>
      <c r="D156" s="4" t="s">
        <v>309</v>
      </c>
      <c r="E156" s="4"/>
      <c r="F156">
        <f t="shared" si="6"/>
        <v>0</v>
      </c>
      <c r="G156">
        <f>IF(F156=1,1+MAX($G$2:G155),0)</f>
        <v>0</v>
      </c>
      <c r="I156">
        <v>155</v>
      </c>
      <c r="J156" t="str">
        <f t="shared" si="8"/>
        <v/>
      </c>
      <c r="K156" t="str">
        <f t="shared" si="7"/>
        <v/>
      </c>
    </row>
    <row r="157" spans="1:11" x14ac:dyDescent="0.25">
      <c r="A157" s="4" t="s">
        <v>311</v>
      </c>
      <c r="B157" s="4">
        <v>10</v>
      </c>
      <c r="C157" s="4"/>
      <c r="D157" s="4" t="s">
        <v>268</v>
      </c>
      <c r="E157" s="4"/>
      <c r="F157">
        <f t="shared" si="6"/>
        <v>0</v>
      </c>
      <c r="G157">
        <f>IF(F157=1,1+MAX($G$2:G156),0)</f>
        <v>0</v>
      </c>
      <c r="I157">
        <v>156</v>
      </c>
      <c r="J157" t="str">
        <f t="shared" si="8"/>
        <v/>
      </c>
      <c r="K157" t="str">
        <f t="shared" si="7"/>
        <v/>
      </c>
    </row>
    <row r="158" spans="1:11" x14ac:dyDescent="0.25">
      <c r="A158" s="4" t="s">
        <v>314</v>
      </c>
      <c r="B158" s="4">
        <v>0.02</v>
      </c>
      <c r="C158" s="4">
        <v>1</v>
      </c>
      <c r="D158" s="4" t="s">
        <v>199</v>
      </c>
      <c r="E158" s="4"/>
      <c r="F158">
        <f t="shared" si="6"/>
        <v>0</v>
      </c>
      <c r="G158">
        <f>IF(F158=1,1+MAX($G$2:G157),0)</f>
        <v>0</v>
      </c>
      <c r="I158">
        <v>157</v>
      </c>
      <c r="J158" t="str">
        <f t="shared" si="8"/>
        <v/>
      </c>
      <c r="K158" t="str">
        <f t="shared" si="7"/>
        <v/>
      </c>
    </row>
    <row r="159" spans="1:11" x14ac:dyDescent="0.25">
      <c r="A159" s="4" t="s">
        <v>320</v>
      </c>
      <c r="B159" s="4">
        <v>30000</v>
      </c>
      <c r="C159" s="4"/>
      <c r="D159" s="4" t="s">
        <v>319</v>
      </c>
      <c r="E159" s="4"/>
      <c r="F159">
        <f t="shared" si="6"/>
        <v>0</v>
      </c>
      <c r="G159">
        <f>IF(F159=1,1+MAX($G$2:G158),0)</f>
        <v>0</v>
      </c>
      <c r="I159">
        <v>158</v>
      </c>
      <c r="J159" t="str">
        <f t="shared" si="8"/>
        <v/>
      </c>
      <c r="K159" t="str">
        <f t="shared" si="7"/>
        <v/>
      </c>
    </row>
    <row r="160" spans="1:11" x14ac:dyDescent="0.25">
      <c r="A160" s="4" t="s">
        <v>322</v>
      </c>
      <c r="B160" s="4">
        <v>0.2</v>
      </c>
      <c r="C160" s="4"/>
      <c r="D160" s="4" t="s">
        <v>268</v>
      </c>
      <c r="E160" s="4"/>
      <c r="F160">
        <f t="shared" si="6"/>
        <v>0</v>
      </c>
      <c r="G160">
        <f>IF(F160=1,1+MAX($G$2:G159),0)</f>
        <v>0</v>
      </c>
      <c r="I160">
        <v>159</v>
      </c>
      <c r="J160" t="str">
        <f t="shared" si="8"/>
        <v/>
      </c>
      <c r="K160" t="str">
        <f t="shared" si="7"/>
        <v/>
      </c>
    </row>
    <row r="161" spans="1:11" x14ac:dyDescent="0.25">
      <c r="A161" s="4" t="s">
        <v>323</v>
      </c>
      <c r="B161" s="4">
        <v>2</v>
      </c>
      <c r="C161" s="4">
        <v>2</v>
      </c>
      <c r="D161" s="4" t="s">
        <v>199</v>
      </c>
      <c r="E161" s="4"/>
      <c r="F161">
        <f t="shared" si="6"/>
        <v>0</v>
      </c>
      <c r="G161">
        <f>IF(F161=1,1+MAX($G$2:G160),0)</f>
        <v>0</v>
      </c>
      <c r="I161">
        <v>160</v>
      </c>
      <c r="J161" t="str">
        <f t="shared" si="8"/>
        <v/>
      </c>
      <c r="K161" t="str">
        <f t="shared" si="7"/>
        <v/>
      </c>
    </row>
    <row r="162" spans="1:11" x14ac:dyDescent="0.25">
      <c r="A162" s="4" t="s">
        <v>327</v>
      </c>
      <c r="B162" s="4">
        <v>3000</v>
      </c>
      <c r="C162" s="4">
        <v>80</v>
      </c>
      <c r="D162" s="4" t="s">
        <v>227</v>
      </c>
      <c r="E162" s="4" t="s">
        <v>228</v>
      </c>
      <c r="F162">
        <f t="shared" si="6"/>
        <v>0</v>
      </c>
      <c r="G162">
        <f>IF(F162=1,1+MAX($G$2:G161),0)</f>
        <v>0</v>
      </c>
      <c r="I162">
        <v>161</v>
      </c>
      <c r="J162" t="str">
        <f t="shared" si="8"/>
        <v/>
      </c>
      <c r="K162" t="str">
        <f t="shared" si="7"/>
        <v/>
      </c>
    </row>
    <row r="163" spans="1:11" x14ac:dyDescent="0.25">
      <c r="A163" s="4" t="s">
        <v>329</v>
      </c>
      <c r="B163" s="4">
        <v>5</v>
      </c>
      <c r="C163" s="4">
        <v>3</v>
      </c>
      <c r="D163" s="4" t="s">
        <v>191</v>
      </c>
      <c r="E163" s="4" t="s">
        <v>330</v>
      </c>
      <c r="F163">
        <f t="shared" si="6"/>
        <v>0</v>
      </c>
      <c r="G163">
        <f>IF(F163=1,1+MAX($G$2:G162),0)</f>
        <v>0</v>
      </c>
      <c r="I163">
        <v>162</v>
      </c>
      <c r="J163" t="str">
        <f t="shared" si="8"/>
        <v/>
      </c>
      <c r="K163" t="str">
        <f t="shared" si="7"/>
        <v/>
      </c>
    </row>
    <row r="164" spans="1:11" x14ac:dyDescent="0.25">
      <c r="A164" s="4" t="s">
        <v>331</v>
      </c>
      <c r="B164" s="4">
        <v>1</v>
      </c>
      <c r="C164" s="4">
        <v>10</v>
      </c>
      <c r="D164" s="4" t="s">
        <v>216</v>
      </c>
      <c r="E164" s="4" t="s">
        <v>332</v>
      </c>
      <c r="F164">
        <f t="shared" si="6"/>
        <v>0</v>
      </c>
      <c r="G164">
        <f>IF(F164=1,1+MAX($G$2:G163),0)</f>
        <v>0</v>
      </c>
      <c r="I164">
        <v>163</v>
      </c>
      <c r="J164" t="str">
        <f t="shared" si="8"/>
        <v/>
      </c>
      <c r="K164" t="str">
        <f t="shared" si="7"/>
        <v/>
      </c>
    </row>
    <row r="165" spans="1:11" x14ac:dyDescent="0.25">
      <c r="A165" s="4" t="s">
        <v>100</v>
      </c>
      <c r="B165" s="4">
        <v>40</v>
      </c>
      <c r="C165" s="4">
        <v>24</v>
      </c>
      <c r="D165" s="4" t="s">
        <v>227</v>
      </c>
      <c r="E165" s="4" t="s">
        <v>228</v>
      </c>
      <c r="F165">
        <f t="shared" si="6"/>
        <v>0</v>
      </c>
      <c r="G165">
        <f>IF(F165=1,1+MAX($G$2:G164),0)</f>
        <v>0</v>
      </c>
      <c r="I165">
        <v>164</v>
      </c>
      <c r="J165" t="str">
        <f t="shared" si="8"/>
        <v/>
      </c>
      <c r="K165" t="str">
        <f t="shared" si="7"/>
        <v/>
      </c>
    </row>
    <row r="166" spans="1:11" x14ac:dyDescent="0.25">
      <c r="A166" s="4" t="s">
        <v>335</v>
      </c>
      <c r="B166" s="4">
        <v>25</v>
      </c>
      <c r="C166" s="4">
        <v>1</v>
      </c>
      <c r="D166" s="4" t="s">
        <v>180</v>
      </c>
      <c r="E166" s="4" t="s">
        <v>336</v>
      </c>
      <c r="F166">
        <f t="shared" si="6"/>
        <v>0</v>
      </c>
      <c r="G166">
        <f>IF(F166=1,1+MAX($G$2:G165),0)</f>
        <v>0</v>
      </c>
      <c r="I166">
        <v>165</v>
      </c>
      <c r="J166" t="str">
        <f t="shared" si="8"/>
        <v/>
      </c>
      <c r="K166" t="str">
        <f t="shared" si="7"/>
        <v/>
      </c>
    </row>
    <row r="167" spans="1:11" x14ac:dyDescent="0.25">
      <c r="A167" s="4" t="s">
        <v>337</v>
      </c>
      <c r="B167" s="4">
        <v>5</v>
      </c>
      <c r="C167" s="4">
        <v>2</v>
      </c>
      <c r="D167" s="4" t="s">
        <v>216</v>
      </c>
      <c r="E167" s="4" t="s">
        <v>338</v>
      </c>
      <c r="F167">
        <f t="shared" si="6"/>
        <v>0</v>
      </c>
      <c r="G167">
        <f>IF(F167=1,1+MAX($G$2:G166),0)</f>
        <v>0</v>
      </c>
      <c r="I167">
        <v>166</v>
      </c>
      <c r="J167" t="str">
        <f t="shared" si="8"/>
        <v/>
      </c>
      <c r="K167" t="str">
        <f t="shared" si="7"/>
        <v/>
      </c>
    </row>
    <row r="168" spans="1:11" x14ac:dyDescent="0.25">
      <c r="A168" s="4" t="s">
        <v>341</v>
      </c>
      <c r="B168" s="4">
        <v>0.1</v>
      </c>
      <c r="C168" s="4"/>
      <c r="D168" s="4" t="s">
        <v>196</v>
      </c>
      <c r="E168" s="4"/>
      <c r="F168">
        <f t="shared" si="6"/>
        <v>0</v>
      </c>
      <c r="G168">
        <f>IF(F168=1,1+MAX($G$2:G167),0)</f>
        <v>0</v>
      </c>
      <c r="I168">
        <v>167</v>
      </c>
      <c r="J168" t="str">
        <f t="shared" si="8"/>
        <v/>
      </c>
      <c r="K168" t="str">
        <f t="shared" si="7"/>
        <v/>
      </c>
    </row>
    <row r="169" spans="1:11" x14ac:dyDescent="0.25">
      <c r="A169" s="4" t="s">
        <v>344</v>
      </c>
      <c r="B169" s="4">
        <v>10</v>
      </c>
      <c r="C169" s="4">
        <v>0</v>
      </c>
      <c r="D169" s="4" t="s">
        <v>216</v>
      </c>
      <c r="E169" s="4"/>
      <c r="F169">
        <f t="shared" si="6"/>
        <v>0</v>
      </c>
      <c r="G169">
        <f>IF(F169=1,1+MAX($G$2:G168),0)</f>
        <v>0</v>
      </c>
      <c r="I169">
        <v>168</v>
      </c>
      <c r="J169" t="str">
        <f t="shared" si="8"/>
        <v/>
      </c>
      <c r="K169" t="str">
        <f t="shared" si="7"/>
        <v/>
      </c>
    </row>
    <row r="170" spans="1:11" x14ac:dyDescent="0.25">
      <c r="A170" s="4" t="s">
        <v>346</v>
      </c>
      <c r="B170" s="4">
        <v>2</v>
      </c>
      <c r="C170" s="4">
        <v>10</v>
      </c>
      <c r="D170" s="4" t="s">
        <v>199</v>
      </c>
      <c r="E170" s="4"/>
      <c r="F170">
        <f t="shared" si="6"/>
        <v>0</v>
      </c>
      <c r="G170">
        <f>IF(F170=1,1+MAX($G$2:G169),0)</f>
        <v>0</v>
      </c>
      <c r="I170">
        <v>169</v>
      </c>
      <c r="J170" t="str">
        <f t="shared" si="8"/>
        <v/>
      </c>
      <c r="K170" t="str">
        <f t="shared" si="7"/>
        <v/>
      </c>
    </row>
    <row r="171" spans="1:11" x14ac:dyDescent="0.25">
      <c r="A171" s="4" t="s">
        <v>350</v>
      </c>
      <c r="B171" s="4">
        <v>0.02</v>
      </c>
      <c r="C171" s="4">
        <v>4</v>
      </c>
      <c r="D171" s="4" t="s">
        <v>199</v>
      </c>
      <c r="E171" s="4"/>
      <c r="F171">
        <f t="shared" si="6"/>
        <v>0</v>
      </c>
      <c r="G171">
        <f>IF(F171=1,1+MAX($G$2:G170),0)</f>
        <v>0</v>
      </c>
      <c r="I171">
        <v>170</v>
      </c>
      <c r="J171" t="str">
        <f t="shared" si="8"/>
        <v/>
      </c>
      <c r="K171" t="str">
        <f t="shared" si="7"/>
        <v/>
      </c>
    </row>
    <row r="172" spans="1:11" x14ac:dyDescent="0.25">
      <c r="A172" s="4" t="s">
        <v>351</v>
      </c>
      <c r="B172" s="4">
        <v>3000</v>
      </c>
      <c r="C172" s="4"/>
      <c r="D172" s="4" t="s">
        <v>319</v>
      </c>
      <c r="E172" s="4" t="s">
        <v>353</v>
      </c>
      <c r="F172">
        <f t="shared" si="6"/>
        <v>0</v>
      </c>
      <c r="G172">
        <f>IF(F172=1,1+MAX($G$2:G171),0)</f>
        <v>0</v>
      </c>
      <c r="I172">
        <v>171</v>
      </c>
      <c r="J172" t="str">
        <f t="shared" si="8"/>
        <v/>
      </c>
      <c r="K172" t="str">
        <f t="shared" si="7"/>
        <v/>
      </c>
    </row>
    <row r="173" spans="1:11" x14ac:dyDescent="0.25">
      <c r="A173" s="4" t="s">
        <v>355</v>
      </c>
      <c r="B173" s="4">
        <v>0.5</v>
      </c>
      <c r="C173" s="4">
        <v>1</v>
      </c>
      <c r="D173" s="4" t="s">
        <v>216</v>
      </c>
      <c r="E173" s="4" t="s">
        <v>356</v>
      </c>
      <c r="F173">
        <f t="shared" si="6"/>
        <v>0</v>
      </c>
      <c r="G173">
        <f>IF(F173=1,1+MAX($G$2:G172),0)</f>
        <v>0</v>
      </c>
      <c r="I173">
        <v>172</v>
      </c>
      <c r="J173" t="str">
        <f t="shared" si="8"/>
        <v/>
      </c>
      <c r="K173" t="str">
        <f t="shared" si="7"/>
        <v/>
      </c>
    </row>
    <row r="174" spans="1:11" x14ac:dyDescent="0.25">
      <c r="A174" s="4" t="s">
        <v>358</v>
      </c>
      <c r="B174" s="4">
        <v>40</v>
      </c>
      <c r="C174" s="4">
        <v>20</v>
      </c>
      <c r="D174" s="4" t="s">
        <v>357</v>
      </c>
      <c r="E174" s="4" t="s">
        <v>228</v>
      </c>
      <c r="F174">
        <f t="shared" si="6"/>
        <v>0</v>
      </c>
      <c r="G174">
        <f>IF(F174=1,1+MAX($G$2:G173),0)</f>
        <v>0</v>
      </c>
      <c r="I174">
        <v>173</v>
      </c>
      <c r="J174" t="str">
        <f t="shared" si="8"/>
        <v/>
      </c>
      <c r="K174" t="str">
        <f t="shared" si="7"/>
        <v/>
      </c>
    </row>
    <row r="175" spans="1:11" x14ac:dyDescent="0.25">
      <c r="A175" s="4" t="s">
        <v>360</v>
      </c>
      <c r="B175" s="4">
        <v>0.02</v>
      </c>
      <c r="C175" s="4"/>
      <c r="D175" s="4" t="s">
        <v>196</v>
      </c>
      <c r="E175" s="4"/>
      <c r="F175">
        <f t="shared" si="6"/>
        <v>0</v>
      </c>
      <c r="G175">
        <f>IF(F175=1,1+MAX($G$2:G174),0)</f>
        <v>0</v>
      </c>
      <c r="I175">
        <v>174</v>
      </c>
      <c r="J175" t="str">
        <f t="shared" si="8"/>
        <v/>
      </c>
      <c r="K175" t="str">
        <f t="shared" si="7"/>
        <v/>
      </c>
    </row>
    <row r="176" spans="1:11" x14ac:dyDescent="0.25">
      <c r="A176" s="4" t="s">
        <v>363</v>
      </c>
      <c r="B176" s="4">
        <v>10000</v>
      </c>
      <c r="C176" s="4"/>
      <c r="D176" s="4" t="s">
        <v>319</v>
      </c>
      <c r="E176" s="4"/>
      <c r="F176">
        <f t="shared" si="6"/>
        <v>0</v>
      </c>
      <c r="G176">
        <f>IF(F176=1,1+MAX($G$2:G175),0)</f>
        <v>0</v>
      </c>
      <c r="I176">
        <v>175</v>
      </c>
      <c r="J176" t="str">
        <f t="shared" si="8"/>
        <v/>
      </c>
      <c r="K176" t="str">
        <f t="shared" si="7"/>
        <v/>
      </c>
    </row>
    <row r="177" spans="1:11" x14ac:dyDescent="0.25">
      <c r="A177" s="4" t="s">
        <v>371</v>
      </c>
      <c r="B177" s="4">
        <v>1</v>
      </c>
      <c r="C177" s="4">
        <v>1</v>
      </c>
      <c r="D177" s="4" t="s">
        <v>275</v>
      </c>
      <c r="E177" s="4" t="s">
        <v>372</v>
      </c>
      <c r="F177">
        <f t="shared" si="6"/>
        <v>0</v>
      </c>
      <c r="G177">
        <f>IF(F177=1,1+MAX($G$2:G176),0)</f>
        <v>0</v>
      </c>
      <c r="I177">
        <v>176</v>
      </c>
      <c r="J177" t="str">
        <f t="shared" si="8"/>
        <v/>
      </c>
      <c r="K177" t="str">
        <f t="shared" si="7"/>
        <v/>
      </c>
    </row>
    <row r="178" spans="1:11" x14ac:dyDescent="0.25">
      <c r="A178" s="4" t="s">
        <v>374</v>
      </c>
      <c r="B178" s="4">
        <v>25</v>
      </c>
      <c r="C178" s="4"/>
      <c r="D178" s="4" t="s">
        <v>237</v>
      </c>
      <c r="E178" s="4" t="s">
        <v>241</v>
      </c>
      <c r="F178">
        <f t="shared" si="6"/>
        <v>0</v>
      </c>
      <c r="G178">
        <f>IF(F178=1,1+MAX($G$2:G177),0)</f>
        <v>0</v>
      </c>
      <c r="I178">
        <v>177</v>
      </c>
      <c r="J178" t="str">
        <f t="shared" si="8"/>
        <v/>
      </c>
      <c r="K178" t="str">
        <f t="shared" si="7"/>
        <v/>
      </c>
    </row>
    <row r="179" spans="1:11" x14ac:dyDescent="0.25">
      <c r="A179" s="4" t="s">
        <v>380</v>
      </c>
      <c r="B179" s="4">
        <v>0.02</v>
      </c>
      <c r="C179" s="4"/>
      <c r="D179" s="4" t="s">
        <v>194</v>
      </c>
      <c r="E179" s="4" t="s">
        <v>262</v>
      </c>
      <c r="F179">
        <f t="shared" si="6"/>
        <v>0</v>
      </c>
      <c r="G179">
        <f>IF(F179=1,1+MAX($G$2:G178),0)</f>
        <v>0</v>
      </c>
      <c r="I179">
        <v>178</v>
      </c>
      <c r="J179" t="str">
        <f t="shared" si="8"/>
        <v/>
      </c>
      <c r="K179" t="str">
        <f t="shared" si="7"/>
        <v/>
      </c>
    </row>
    <row r="180" spans="1:11" x14ac:dyDescent="0.25">
      <c r="A180" s="4" t="s">
        <v>381</v>
      </c>
      <c r="B180" s="4">
        <v>20</v>
      </c>
      <c r="C180" s="4">
        <v>30</v>
      </c>
      <c r="D180" s="4" t="s">
        <v>300</v>
      </c>
      <c r="E180" s="4" t="s">
        <v>382</v>
      </c>
      <c r="F180">
        <f t="shared" si="6"/>
        <v>0</v>
      </c>
      <c r="G180">
        <f>IF(F180=1,1+MAX($G$2:G179),0)</f>
        <v>0</v>
      </c>
      <c r="I180">
        <v>179</v>
      </c>
      <c r="J180" t="str">
        <f t="shared" si="8"/>
        <v/>
      </c>
      <c r="K180" t="str">
        <f t="shared" si="7"/>
        <v/>
      </c>
    </row>
    <row r="181" spans="1:11" x14ac:dyDescent="0.25">
      <c r="A181" s="4" t="s">
        <v>384</v>
      </c>
      <c r="B181" s="4">
        <v>0.5</v>
      </c>
      <c r="C181" s="4"/>
      <c r="D181" s="4" t="s">
        <v>194</v>
      </c>
      <c r="E181" s="4"/>
      <c r="F181">
        <f t="shared" si="6"/>
        <v>0</v>
      </c>
      <c r="G181">
        <f>IF(F181=1,1+MAX($G$2:G180),0)</f>
        <v>0</v>
      </c>
      <c r="I181">
        <v>180</v>
      </c>
      <c r="J181" t="str">
        <f t="shared" si="8"/>
        <v/>
      </c>
      <c r="K181" t="str">
        <f t="shared" si="7"/>
        <v/>
      </c>
    </row>
    <row r="182" spans="1:11" x14ac:dyDescent="0.25">
      <c r="A182" s="4" t="s">
        <v>385</v>
      </c>
      <c r="B182" s="4">
        <v>0.3</v>
      </c>
      <c r="C182" s="4"/>
      <c r="D182" s="4" t="s">
        <v>196</v>
      </c>
      <c r="E182" s="4"/>
      <c r="F182">
        <f t="shared" si="6"/>
        <v>0</v>
      </c>
      <c r="G182">
        <f>IF(F182=1,1+MAX($G$2:G181),0)</f>
        <v>0</v>
      </c>
      <c r="I182">
        <v>181</v>
      </c>
      <c r="J182" t="str">
        <f t="shared" si="8"/>
        <v/>
      </c>
      <c r="K182" t="str">
        <f t="shared" si="7"/>
        <v/>
      </c>
    </row>
    <row r="183" spans="1:11" x14ac:dyDescent="0.25">
      <c r="A183" s="4" t="s">
        <v>386</v>
      </c>
      <c r="B183" s="4">
        <v>0.04</v>
      </c>
      <c r="C183" s="4"/>
      <c r="D183" s="4" t="s">
        <v>268</v>
      </c>
      <c r="E183" s="4"/>
      <c r="F183">
        <f t="shared" si="6"/>
        <v>0</v>
      </c>
      <c r="G183">
        <f>IF(F183=1,1+MAX($G$2:G182),0)</f>
        <v>0</v>
      </c>
      <c r="I183">
        <v>182</v>
      </c>
      <c r="J183" t="str">
        <f t="shared" si="8"/>
        <v/>
      </c>
      <c r="K183" t="str">
        <f t="shared" si="7"/>
        <v/>
      </c>
    </row>
    <row r="184" spans="1:11" x14ac:dyDescent="0.25">
      <c r="A184" s="4" t="s">
        <v>389</v>
      </c>
      <c r="B184" s="4">
        <v>0.1</v>
      </c>
      <c r="C184" s="4">
        <v>1</v>
      </c>
      <c r="D184" s="4" t="s">
        <v>216</v>
      </c>
      <c r="E184" s="4" t="s">
        <v>390</v>
      </c>
      <c r="F184">
        <f t="shared" si="6"/>
        <v>0</v>
      </c>
      <c r="G184">
        <f>IF(F184=1,1+MAX($G$2:G183),0)</f>
        <v>0</v>
      </c>
      <c r="I184">
        <v>183</v>
      </c>
      <c r="J184" t="str">
        <f t="shared" si="8"/>
        <v/>
      </c>
      <c r="K184" t="str">
        <f t="shared" si="7"/>
        <v/>
      </c>
    </row>
    <row r="185" spans="1:11" x14ac:dyDescent="0.25">
      <c r="A185" s="4" t="s">
        <v>392</v>
      </c>
      <c r="B185" s="4">
        <v>5</v>
      </c>
      <c r="C185" s="4">
        <v>15</v>
      </c>
      <c r="D185" s="4" t="s">
        <v>300</v>
      </c>
      <c r="E185" s="4"/>
      <c r="F185">
        <f t="shared" si="6"/>
        <v>0</v>
      </c>
      <c r="G185">
        <f>IF(F185=1,1+MAX($G$2:G184),0)</f>
        <v>0</v>
      </c>
      <c r="I185">
        <v>184</v>
      </c>
      <c r="J185" t="str">
        <f t="shared" si="8"/>
        <v/>
      </c>
      <c r="K185" t="str">
        <f t="shared" si="7"/>
        <v/>
      </c>
    </row>
    <row r="186" spans="1:11" x14ac:dyDescent="0.25">
      <c r="A186" s="4" t="s">
        <v>393</v>
      </c>
      <c r="B186" s="4">
        <v>20</v>
      </c>
      <c r="C186" s="4">
        <v>16</v>
      </c>
      <c r="D186" s="4" t="s">
        <v>357</v>
      </c>
      <c r="E186" s="4" t="s">
        <v>228</v>
      </c>
      <c r="F186">
        <f t="shared" si="6"/>
        <v>0</v>
      </c>
      <c r="G186">
        <f>IF(F186=1,1+MAX($G$2:G185),0)</f>
        <v>0</v>
      </c>
      <c r="I186">
        <v>185</v>
      </c>
      <c r="J186" t="str">
        <f t="shared" si="8"/>
        <v/>
      </c>
      <c r="K186" t="str">
        <f t="shared" si="7"/>
        <v/>
      </c>
    </row>
    <row r="187" spans="1:11" x14ac:dyDescent="0.25">
      <c r="A187" s="4" t="s">
        <v>396</v>
      </c>
      <c r="B187" s="4">
        <v>0.2</v>
      </c>
      <c r="C187" s="4">
        <v>0</v>
      </c>
      <c r="D187" s="4" t="s">
        <v>216</v>
      </c>
      <c r="E187" s="4"/>
      <c r="F187">
        <f t="shared" si="6"/>
        <v>0</v>
      </c>
      <c r="G187">
        <f>IF(F187=1,1+MAX($G$2:G186),0)</f>
        <v>0</v>
      </c>
      <c r="I187">
        <v>186</v>
      </c>
      <c r="J187" t="str">
        <f t="shared" si="8"/>
        <v/>
      </c>
      <c r="K187" t="str">
        <f t="shared" si="7"/>
        <v/>
      </c>
    </row>
    <row r="188" spans="1:11" x14ac:dyDescent="0.25">
      <c r="A188" s="4" t="s">
        <v>397</v>
      </c>
      <c r="B188" s="4">
        <v>0.1</v>
      </c>
      <c r="C188" s="4">
        <v>0</v>
      </c>
      <c r="D188" s="4" t="s">
        <v>216</v>
      </c>
      <c r="E188" s="4"/>
      <c r="F188">
        <f t="shared" si="6"/>
        <v>0</v>
      </c>
      <c r="G188">
        <f>IF(F188=1,1+MAX($G$2:G187),0)</f>
        <v>0</v>
      </c>
      <c r="I188">
        <v>187</v>
      </c>
      <c r="J188" t="str">
        <f t="shared" si="8"/>
        <v/>
      </c>
      <c r="K188" t="str">
        <f t="shared" si="7"/>
        <v/>
      </c>
    </row>
    <row r="189" spans="1:11" x14ac:dyDescent="0.25">
      <c r="A189" s="4" t="s">
        <v>398</v>
      </c>
      <c r="B189" s="4">
        <v>5</v>
      </c>
      <c r="C189" s="4">
        <v>0</v>
      </c>
      <c r="D189" s="4" t="s">
        <v>180</v>
      </c>
      <c r="E189" s="4"/>
      <c r="F189">
        <f t="shared" si="6"/>
        <v>0</v>
      </c>
      <c r="G189">
        <f>IF(F189=1,1+MAX($G$2:G188),0)</f>
        <v>0</v>
      </c>
      <c r="I189">
        <v>188</v>
      </c>
      <c r="J189" t="str">
        <f t="shared" si="8"/>
        <v/>
      </c>
      <c r="K189" t="str">
        <f t="shared" si="7"/>
        <v/>
      </c>
    </row>
    <row r="190" spans="1:11" x14ac:dyDescent="0.25">
      <c r="A190" s="4" t="s">
        <v>108</v>
      </c>
      <c r="B190" s="4">
        <v>6000</v>
      </c>
      <c r="C190" s="4">
        <v>130</v>
      </c>
      <c r="D190" s="4" t="s">
        <v>251</v>
      </c>
      <c r="E190" s="4" t="s">
        <v>228</v>
      </c>
      <c r="F190">
        <f t="shared" si="6"/>
        <v>0</v>
      </c>
      <c r="G190">
        <f>IF(F190=1,1+MAX($G$2:G189),0)</f>
        <v>0</v>
      </c>
      <c r="I190">
        <v>189</v>
      </c>
      <c r="J190" t="str">
        <f t="shared" si="8"/>
        <v/>
      </c>
      <c r="K190" t="str">
        <f t="shared" si="7"/>
        <v/>
      </c>
    </row>
    <row r="191" spans="1:11" x14ac:dyDescent="0.25">
      <c r="A191" s="4" t="s">
        <v>404</v>
      </c>
      <c r="B191" s="4">
        <v>30</v>
      </c>
      <c r="C191" s="4"/>
      <c r="D191" s="4" t="s">
        <v>237</v>
      </c>
      <c r="E191" s="4" t="s">
        <v>241</v>
      </c>
      <c r="F191">
        <f t="shared" si="6"/>
        <v>0</v>
      </c>
      <c r="G191">
        <f>IF(F191=1,1+MAX($G$2:G190),0)</f>
        <v>0</v>
      </c>
      <c r="I191">
        <v>190</v>
      </c>
      <c r="J191" t="str">
        <f t="shared" si="8"/>
        <v/>
      </c>
      <c r="K191" t="str">
        <f t="shared" si="7"/>
        <v/>
      </c>
    </row>
    <row r="192" spans="1:11" x14ac:dyDescent="0.25">
      <c r="A192" s="4" t="s">
        <v>406</v>
      </c>
      <c r="B192" s="4">
        <v>0.1</v>
      </c>
      <c r="C192" s="4"/>
      <c r="D192" s="4" t="s">
        <v>194</v>
      </c>
      <c r="E192" s="4"/>
      <c r="F192">
        <f t="shared" si="6"/>
        <v>0</v>
      </c>
      <c r="G192">
        <f>IF(F192=1,1+MAX($G$2:G191),0)</f>
        <v>0</v>
      </c>
      <c r="I192">
        <v>191</v>
      </c>
      <c r="J192" t="str">
        <f t="shared" si="8"/>
        <v/>
      </c>
      <c r="K192" t="str">
        <f t="shared" si="7"/>
        <v/>
      </c>
    </row>
    <row r="193" spans="1:11" x14ac:dyDescent="0.25">
      <c r="A193" s="4" t="s">
        <v>407</v>
      </c>
      <c r="B193" s="4">
        <v>0.06</v>
      </c>
      <c r="C193" s="4"/>
      <c r="D193" s="4" t="s">
        <v>196</v>
      </c>
      <c r="E193" s="4"/>
      <c r="F193">
        <f t="shared" si="6"/>
        <v>0</v>
      </c>
      <c r="G193">
        <f>IF(F193=1,1+MAX($G$2:G192),0)</f>
        <v>0</v>
      </c>
      <c r="I193">
        <v>192</v>
      </c>
      <c r="J193" t="str">
        <f t="shared" si="8"/>
        <v/>
      </c>
      <c r="K193" t="str">
        <f t="shared" si="7"/>
        <v/>
      </c>
    </row>
    <row r="194" spans="1:11" x14ac:dyDescent="0.25">
      <c r="A194" s="4" t="s">
        <v>411</v>
      </c>
      <c r="B194" s="4">
        <v>50</v>
      </c>
      <c r="C194" s="4">
        <v>0.5</v>
      </c>
      <c r="D194" s="4" t="s">
        <v>410</v>
      </c>
      <c r="E194" s="4" t="s">
        <v>412</v>
      </c>
      <c r="F194">
        <f t="shared" ref="F194:F235" si="9">IF(ItemLookupCategory=D194,1,0)</f>
        <v>0</v>
      </c>
      <c r="G194">
        <f>IF(F194=1,1+MAX($G$2:G193),0)</f>
        <v>0</v>
      </c>
      <c r="I194">
        <v>193</v>
      </c>
      <c r="J194" t="str">
        <f t="shared" si="8"/>
        <v/>
      </c>
      <c r="K194" t="str">
        <f t="shared" si="7"/>
        <v/>
      </c>
    </row>
    <row r="195" spans="1:11" x14ac:dyDescent="0.25">
      <c r="A195" s="4" t="s">
        <v>414</v>
      </c>
      <c r="B195" s="4">
        <v>0.5</v>
      </c>
      <c r="C195" s="4">
        <v>1</v>
      </c>
      <c r="D195" s="4" t="s">
        <v>199</v>
      </c>
      <c r="E195" s="4" t="s">
        <v>416</v>
      </c>
      <c r="F195">
        <f t="shared" si="9"/>
        <v>0</v>
      </c>
      <c r="G195">
        <f>IF(F195=1,1+MAX($G$2:G194),0)</f>
        <v>0</v>
      </c>
      <c r="I195">
        <v>194</v>
      </c>
      <c r="J195" t="str">
        <f t="shared" si="8"/>
        <v/>
      </c>
      <c r="K195" t="str">
        <f t="shared" ref="K195:K235" si="10">IFERROR(INDEX($A$2:$A$235,MATCH(J195,$G$2:$G$235,0),1),"")</f>
        <v/>
      </c>
    </row>
    <row r="196" spans="1:11" x14ac:dyDescent="0.25">
      <c r="A196" s="4" t="s">
        <v>417</v>
      </c>
      <c r="B196" s="4">
        <v>1</v>
      </c>
      <c r="C196" s="4">
        <v>1</v>
      </c>
      <c r="D196" s="4" t="s">
        <v>199</v>
      </c>
      <c r="E196" s="4" t="s">
        <v>418</v>
      </c>
      <c r="F196">
        <f t="shared" si="9"/>
        <v>0</v>
      </c>
      <c r="G196">
        <f>IF(F196=1,1+MAX($G$2:G195),0)</f>
        <v>0</v>
      </c>
      <c r="I196">
        <v>195</v>
      </c>
      <c r="J196" t="str">
        <f t="shared" ref="J196:J235" si="11">IFERROR(IF(J195&lt;MAX($G$2:$G$235),J195+1,""),"")</f>
        <v/>
      </c>
      <c r="K196" t="str">
        <f t="shared" si="10"/>
        <v/>
      </c>
    </row>
    <row r="197" spans="1:11" x14ac:dyDescent="0.25">
      <c r="A197" s="4" t="s">
        <v>419</v>
      </c>
      <c r="B197" s="4">
        <v>0.5</v>
      </c>
      <c r="C197" s="4">
        <v>2</v>
      </c>
      <c r="D197" s="4" t="s">
        <v>216</v>
      </c>
      <c r="E197" s="4" t="s">
        <v>420</v>
      </c>
      <c r="F197">
        <f t="shared" si="9"/>
        <v>0</v>
      </c>
      <c r="G197">
        <f>IF(F197=1,1+MAX($G$2:G196),0)</f>
        <v>0</v>
      </c>
      <c r="I197">
        <v>196</v>
      </c>
      <c r="J197" t="str">
        <f t="shared" si="11"/>
        <v/>
      </c>
      <c r="K197" t="str">
        <f t="shared" si="10"/>
        <v/>
      </c>
    </row>
    <row r="198" spans="1:11" x14ac:dyDescent="0.25">
      <c r="A198" s="4" t="s">
        <v>422</v>
      </c>
      <c r="B198" s="4">
        <v>10</v>
      </c>
      <c r="C198" s="4">
        <v>25</v>
      </c>
      <c r="D198" s="4" t="s">
        <v>300</v>
      </c>
      <c r="E198" s="4"/>
      <c r="F198">
        <f t="shared" si="9"/>
        <v>0</v>
      </c>
      <c r="G198">
        <f>IF(F198=1,1+MAX($G$2:G197),0)</f>
        <v>0</v>
      </c>
      <c r="I198">
        <v>197</v>
      </c>
      <c r="J198" t="str">
        <f t="shared" si="11"/>
        <v/>
      </c>
      <c r="K198" t="str">
        <f t="shared" si="10"/>
        <v/>
      </c>
    </row>
    <row r="199" spans="1:11" x14ac:dyDescent="0.25">
      <c r="A199" s="4" t="s">
        <v>423</v>
      </c>
      <c r="B199" s="4">
        <v>75</v>
      </c>
      <c r="C199" s="4"/>
      <c r="D199" s="4" t="s">
        <v>237</v>
      </c>
      <c r="E199" s="4" t="s">
        <v>241</v>
      </c>
      <c r="F199">
        <f t="shared" si="9"/>
        <v>0</v>
      </c>
      <c r="G199">
        <f>IF(F199=1,1+MAX($G$2:G198),0)</f>
        <v>0</v>
      </c>
      <c r="I199">
        <v>198</v>
      </c>
      <c r="J199" t="str">
        <f t="shared" si="11"/>
        <v/>
      </c>
      <c r="K199" t="str">
        <f t="shared" si="10"/>
        <v/>
      </c>
    </row>
    <row r="200" spans="1:11" x14ac:dyDescent="0.25">
      <c r="A200" s="4" t="s">
        <v>425</v>
      </c>
      <c r="B200" s="4">
        <v>120</v>
      </c>
      <c r="C200" s="4">
        <v>80</v>
      </c>
      <c r="D200" s="4" t="s">
        <v>251</v>
      </c>
      <c r="E200" s="4" t="s">
        <v>228</v>
      </c>
      <c r="F200">
        <f t="shared" si="9"/>
        <v>0</v>
      </c>
      <c r="G200">
        <f>IF(F200=1,1+MAX($G$2:G199),0)</f>
        <v>0</v>
      </c>
      <c r="I200">
        <v>199</v>
      </c>
      <c r="J200" t="str">
        <f t="shared" si="11"/>
        <v/>
      </c>
      <c r="K200" t="str">
        <f t="shared" si="10"/>
        <v/>
      </c>
    </row>
    <row r="201" spans="1:11" x14ac:dyDescent="0.25">
      <c r="A201" s="4" t="s">
        <v>427</v>
      </c>
      <c r="B201" s="4"/>
      <c r="C201" s="4"/>
      <c r="D201" s="4" t="s">
        <v>426</v>
      </c>
      <c r="E201" s="4"/>
      <c r="F201">
        <f t="shared" si="9"/>
        <v>0</v>
      </c>
      <c r="G201">
        <f>IF(F201=1,1+MAX($G$2:G200),0)</f>
        <v>0</v>
      </c>
      <c r="I201">
        <v>200</v>
      </c>
      <c r="J201" t="str">
        <f t="shared" si="11"/>
        <v/>
      </c>
      <c r="K201" t="str">
        <f t="shared" si="10"/>
        <v/>
      </c>
    </row>
    <row r="202" spans="1:11" x14ac:dyDescent="0.25">
      <c r="A202" s="4" t="s">
        <v>428</v>
      </c>
      <c r="B202" s="4">
        <v>0.01</v>
      </c>
      <c r="C202" s="4"/>
      <c r="D202" s="4" t="s">
        <v>194</v>
      </c>
      <c r="E202" s="4"/>
      <c r="F202">
        <f t="shared" si="9"/>
        <v>0</v>
      </c>
      <c r="G202">
        <f>IF(F202=1,1+MAX($G$2:G201),0)</f>
        <v>0</v>
      </c>
      <c r="I202">
        <v>201</v>
      </c>
      <c r="J202" t="str">
        <f t="shared" si="11"/>
        <v/>
      </c>
      <c r="K202" t="str">
        <f t="shared" si="10"/>
        <v/>
      </c>
    </row>
    <row r="203" spans="1:11" x14ac:dyDescent="0.25">
      <c r="A203" s="4" t="s">
        <v>431</v>
      </c>
      <c r="B203" s="4">
        <v>50</v>
      </c>
      <c r="C203" s="4"/>
      <c r="D203" s="4" t="s">
        <v>319</v>
      </c>
      <c r="E203" s="4" t="s">
        <v>353</v>
      </c>
      <c r="F203">
        <f t="shared" si="9"/>
        <v>0</v>
      </c>
      <c r="G203">
        <f>IF(F203=1,1+MAX($G$2:G202),0)</f>
        <v>0</v>
      </c>
      <c r="I203">
        <v>202</v>
      </c>
      <c r="J203" t="str">
        <f t="shared" si="11"/>
        <v/>
      </c>
      <c r="K203" t="str">
        <f t="shared" si="10"/>
        <v/>
      </c>
    </row>
    <row r="204" spans="1:11" x14ac:dyDescent="0.25">
      <c r="A204" s="4" t="s">
        <v>433</v>
      </c>
      <c r="B204" s="4">
        <v>0.01</v>
      </c>
      <c r="C204" s="4">
        <v>0.5</v>
      </c>
      <c r="D204" s="4" t="s">
        <v>199</v>
      </c>
      <c r="E204" s="4"/>
      <c r="F204">
        <f t="shared" si="9"/>
        <v>0</v>
      </c>
      <c r="G204">
        <f>IF(F204=1,1+MAX($G$2:G203),0)</f>
        <v>0</v>
      </c>
      <c r="I204">
        <v>203</v>
      </c>
      <c r="J204" t="str">
        <f t="shared" si="11"/>
        <v/>
      </c>
      <c r="K204" t="str">
        <f t="shared" si="10"/>
        <v/>
      </c>
    </row>
    <row r="205" spans="1:11" x14ac:dyDescent="0.25">
      <c r="A205" s="4" t="s">
        <v>434</v>
      </c>
      <c r="B205" s="4">
        <v>4</v>
      </c>
      <c r="C205" s="4">
        <v>8</v>
      </c>
      <c r="D205" s="4" t="s">
        <v>199</v>
      </c>
      <c r="E205" s="4"/>
      <c r="F205">
        <f t="shared" si="9"/>
        <v>0</v>
      </c>
      <c r="G205">
        <f>IF(F205=1,1+MAX($G$2:G204),0)</f>
        <v>0</v>
      </c>
      <c r="I205">
        <v>204</v>
      </c>
      <c r="J205" t="str">
        <f t="shared" si="11"/>
        <v/>
      </c>
      <c r="K205" t="str">
        <f t="shared" si="10"/>
        <v/>
      </c>
    </row>
    <row r="206" spans="1:11" x14ac:dyDescent="0.25">
      <c r="A206" s="4" t="s">
        <v>435</v>
      </c>
      <c r="B206" s="4">
        <v>10000</v>
      </c>
      <c r="C206" s="4"/>
      <c r="D206" s="4" t="s">
        <v>319</v>
      </c>
      <c r="E206" s="4"/>
      <c r="F206">
        <f t="shared" si="9"/>
        <v>0</v>
      </c>
      <c r="G206">
        <f>IF(F206=1,1+MAX($G$2:G205),0)</f>
        <v>0</v>
      </c>
      <c r="I206">
        <v>205</v>
      </c>
      <c r="J206" t="str">
        <f t="shared" si="11"/>
        <v/>
      </c>
      <c r="K206" t="str">
        <f t="shared" si="10"/>
        <v/>
      </c>
    </row>
    <row r="207" spans="1:11" x14ac:dyDescent="0.25">
      <c r="A207" s="4" t="s">
        <v>437</v>
      </c>
      <c r="B207" s="4">
        <v>200</v>
      </c>
      <c r="C207" s="4">
        <v>90</v>
      </c>
      <c r="D207" s="4" t="s">
        <v>227</v>
      </c>
      <c r="E207" s="4" t="s">
        <v>228</v>
      </c>
      <c r="F207">
        <f t="shared" si="9"/>
        <v>0</v>
      </c>
      <c r="G207">
        <f>IF(F207=1,1+MAX($G$2:G206),0)</f>
        <v>0</v>
      </c>
      <c r="I207">
        <v>206</v>
      </c>
      <c r="J207" t="str">
        <f t="shared" si="11"/>
        <v/>
      </c>
      <c r="K207" t="str">
        <f t="shared" si="10"/>
        <v/>
      </c>
    </row>
    <row r="208" spans="1:11" x14ac:dyDescent="0.25">
      <c r="A208" s="4" t="s">
        <v>439</v>
      </c>
      <c r="B208" s="4"/>
      <c r="C208" s="4">
        <v>1</v>
      </c>
      <c r="D208" s="4" t="s">
        <v>438</v>
      </c>
      <c r="E208" s="4"/>
      <c r="F208">
        <f t="shared" si="9"/>
        <v>0</v>
      </c>
      <c r="G208">
        <f>IF(F208=1,1+MAX($G$2:G207),0)</f>
        <v>0</v>
      </c>
      <c r="I208">
        <v>207</v>
      </c>
      <c r="J208" t="str">
        <f t="shared" si="11"/>
        <v/>
      </c>
      <c r="K208" t="str">
        <f t="shared" si="10"/>
        <v/>
      </c>
    </row>
    <row r="209" spans="1:11" x14ac:dyDescent="0.25">
      <c r="A209" s="4" t="s">
        <v>442</v>
      </c>
      <c r="B209" s="4">
        <v>0.1</v>
      </c>
      <c r="C209" s="4"/>
      <c r="D209" s="4" t="s">
        <v>194</v>
      </c>
      <c r="E209" s="4" t="s">
        <v>262</v>
      </c>
      <c r="F209">
        <f t="shared" si="9"/>
        <v>0</v>
      </c>
      <c r="G209">
        <f>IF(F209=1,1+MAX($G$2:G208),0)</f>
        <v>0</v>
      </c>
      <c r="I209">
        <v>208</v>
      </c>
      <c r="J209" t="str">
        <f t="shared" si="11"/>
        <v/>
      </c>
      <c r="K209" t="str">
        <f t="shared" si="10"/>
        <v/>
      </c>
    </row>
    <row r="210" spans="1:11" x14ac:dyDescent="0.25">
      <c r="A210" s="4" t="s">
        <v>445</v>
      </c>
      <c r="B210" s="4">
        <v>5</v>
      </c>
      <c r="C210" s="4">
        <v>0</v>
      </c>
      <c r="D210" s="4" t="s">
        <v>426</v>
      </c>
      <c r="E210" s="4"/>
      <c r="F210">
        <f t="shared" si="9"/>
        <v>0</v>
      </c>
      <c r="G210">
        <f>IF(F210=1,1+MAX($G$2:G209),0)</f>
        <v>0</v>
      </c>
      <c r="I210">
        <v>209</v>
      </c>
      <c r="J210" t="str">
        <f t="shared" si="11"/>
        <v/>
      </c>
      <c r="K210" t="str">
        <f t="shared" si="10"/>
        <v/>
      </c>
    </row>
    <row r="211" spans="1:11" x14ac:dyDescent="0.25">
      <c r="A211" s="4" t="s">
        <v>446</v>
      </c>
      <c r="B211" s="4">
        <v>10</v>
      </c>
      <c r="C211" s="4">
        <v>5</v>
      </c>
      <c r="D211" s="4" t="s">
        <v>216</v>
      </c>
      <c r="E211" s="4" t="s">
        <v>332</v>
      </c>
      <c r="F211">
        <f t="shared" si="9"/>
        <v>0</v>
      </c>
      <c r="G211">
        <f>IF(F211=1,1+MAX($G$2:G210),0)</f>
        <v>0</v>
      </c>
      <c r="I211">
        <v>210</v>
      </c>
      <c r="J211" t="str">
        <f t="shared" si="11"/>
        <v/>
      </c>
      <c r="K211" t="str">
        <f t="shared" si="10"/>
        <v/>
      </c>
    </row>
    <row r="212" spans="1:11" x14ac:dyDescent="0.25">
      <c r="A212" s="4" t="s">
        <v>448</v>
      </c>
      <c r="B212" s="4">
        <v>5</v>
      </c>
      <c r="C212" s="4">
        <v>0</v>
      </c>
      <c r="D212" s="4" t="s">
        <v>447</v>
      </c>
      <c r="E212" s="4"/>
      <c r="F212">
        <f t="shared" si="9"/>
        <v>0</v>
      </c>
      <c r="G212">
        <f>IF(F212=1,1+MAX($G$2:G211),0)</f>
        <v>0</v>
      </c>
      <c r="I212">
        <v>211</v>
      </c>
      <c r="J212" t="str">
        <f t="shared" si="11"/>
        <v/>
      </c>
      <c r="K212" t="str">
        <f t="shared" si="10"/>
        <v/>
      </c>
    </row>
    <row r="213" spans="1:11" x14ac:dyDescent="0.25">
      <c r="A213" s="4" t="s">
        <v>449</v>
      </c>
      <c r="B213" s="4">
        <v>2</v>
      </c>
      <c r="C213" s="4"/>
      <c r="D213" s="4" t="s">
        <v>194</v>
      </c>
      <c r="E213" s="4" t="s">
        <v>450</v>
      </c>
      <c r="F213">
        <f t="shared" si="9"/>
        <v>0</v>
      </c>
      <c r="G213">
        <f>IF(F213=1,1+MAX($G$2:G212),0)</f>
        <v>0</v>
      </c>
      <c r="I213">
        <v>212</v>
      </c>
      <c r="J213" t="str">
        <f t="shared" si="11"/>
        <v/>
      </c>
      <c r="K213" t="str">
        <f t="shared" si="10"/>
        <v/>
      </c>
    </row>
    <row r="214" spans="1:11" x14ac:dyDescent="0.25">
      <c r="A214" s="4" t="s">
        <v>451</v>
      </c>
      <c r="B214" s="4">
        <v>20</v>
      </c>
      <c r="C214" s="4">
        <v>300</v>
      </c>
      <c r="D214" s="4" t="s">
        <v>245</v>
      </c>
      <c r="E214" s="4"/>
      <c r="F214">
        <f t="shared" si="9"/>
        <v>0</v>
      </c>
      <c r="G214">
        <f>IF(F214=1,1+MAX($G$2:G213),0)</f>
        <v>0</v>
      </c>
      <c r="I214">
        <v>213</v>
      </c>
      <c r="J214" t="str">
        <f t="shared" si="11"/>
        <v/>
      </c>
      <c r="K214" t="str">
        <f t="shared" si="10"/>
        <v/>
      </c>
    </row>
    <row r="215" spans="1:11" x14ac:dyDescent="0.25">
      <c r="A215" s="4" t="s">
        <v>453</v>
      </c>
      <c r="B215" s="4">
        <v>0.04</v>
      </c>
      <c r="C215" s="4">
        <v>1.5</v>
      </c>
      <c r="D215" s="4" t="s">
        <v>154</v>
      </c>
      <c r="E215" s="4"/>
      <c r="F215">
        <f t="shared" si="9"/>
        <v>0</v>
      </c>
      <c r="G215">
        <f>IF(F215=1,1+MAX($G$2:G214),0)</f>
        <v>0</v>
      </c>
      <c r="I215">
        <v>214</v>
      </c>
      <c r="J215" t="str">
        <f t="shared" si="11"/>
        <v/>
      </c>
      <c r="K215" t="str">
        <f t="shared" si="10"/>
        <v/>
      </c>
    </row>
    <row r="216" spans="1:11" x14ac:dyDescent="0.25">
      <c r="A216" s="4" t="s">
        <v>455</v>
      </c>
      <c r="B216" s="4">
        <v>0.02</v>
      </c>
      <c r="C216" s="4">
        <v>0</v>
      </c>
      <c r="D216" s="4" t="s">
        <v>216</v>
      </c>
      <c r="E216" s="4"/>
      <c r="F216">
        <f t="shared" si="9"/>
        <v>0</v>
      </c>
      <c r="G216">
        <f>IF(F216=1,1+MAX($G$2:G215),0)</f>
        <v>0</v>
      </c>
      <c r="I216">
        <v>215</v>
      </c>
      <c r="J216" t="str">
        <f t="shared" si="11"/>
        <v/>
      </c>
      <c r="K216" t="str">
        <f t="shared" si="10"/>
        <v/>
      </c>
    </row>
    <row r="217" spans="1:11" x14ac:dyDescent="0.25">
      <c r="A217" s="4" t="s">
        <v>456</v>
      </c>
      <c r="B217" s="4">
        <v>50</v>
      </c>
      <c r="C217" s="4">
        <v>3</v>
      </c>
      <c r="D217" s="4" t="s">
        <v>270</v>
      </c>
      <c r="E217" s="4" t="s">
        <v>457</v>
      </c>
      <c r="F217">
        <f t="shared" si="9"/>
        <v>0</v>
      </c>
      <c r="G217">
        <f>IF(F217=1,1+MAX($G$2:G216),0)</f>
        <v>0</v>
      </c>
      <c r="I217">
        <v>216</v>
      </c>
      <c r="J217" t="str">
        <f t="shared" si="11"/>
        <v/>
      </c>
      <c r="K217" t="str">
        <f t="shared" si="10"/>
        <v/>
      </c>
    </row>
    <row r="218" spans="1:11" x14ac:dyDescent="0.25">
      <c r="A218" s="4" t="s">
        <v>107</v>
      </c>
      <c r="B218" s="4">
        <v>800</v>
      </c>
      <c r="C218" s="4">
        <v>120</v>
      </c>
      <c r="D218" s="4" t="s">
        <v>251</v>
      </c>
      <c r="E218" s="4" t="s">
        <v>228</v>
      </c>
      <c r="F218">
        <f t="shared" si="9"/>
        <v>0</v>
      </c>
      <c r="G218">
        <f>IF(F218=1,1+MAX($G$2:G217),0)</f>
        <v>0</v>
      </c>
      <c r="I218">
        <v>217</v>
      </c>
      <c r="J218" t="str">
        <f t="shared" si="11"/>
        <v/>
      </c>
      <c r="K218" t="str">
        <f t="shared" si="10"/>
        <v/>
      </c>
    </row>
    <row r="219" spans="1:11" x14ac:dyDescent="0.25">
      <c r="A219" s="4" t="s">
        <v>463</v>
      </c>
      <c r="B219" s="4">
        <v>7.0000000000000007E-2</v>
      </c>
      <c r="C219" s="4"/>
      <c r="D219" s="4" t="s">
        <v>194</v>
      </c>
      <c r="E219" s="4"/>
      <c r="F219">
        <f t="shared" si="9"/>
        <v>0</v>
      </c>
      <c r="G219">
        <f>IF(F219=1,1+MAX($G$2:G218),0)</f>
        <v>0</v>
      </c>
      <c r="I219">
        <v>218</v>
      </c>
      <c r="J219" t="str">
        <f t="shared" si="11"/>
        <v/>
      </c>
      <c r="K219" t="str">
        <f t="shared" si="10"/>
        <v/>
      </c>
    </row>
    <row r="220" spans="1:11" x14ac:dyDescent="0.25">
      <c r="A220" s="4" t="s">
        <v>464</v>
      </c>
      <c r="B220" s="4">
        <v>0.03</v>
      </c>
      <c r="C220" s="4"/>
      <c r="D220" s="4" t="s">
        <v>196</v>
      </c>
      <c r="E220" s="4"/>
      <c r="F220">
        <f t="shared" si="9"/>
        <v>0</v>
      </c>
      <c r="G220">
        <f>IF(F220=1,1+MAX($G$2:G219),0)</f>
        <v>0</v>
      </c>
      <c r="I220">
        <v>219</v>
      </c>
      <c r="J220" t="str">
        <f t="shared" si="11"/>
        <v/>
      </c>
      <c r="K220" t="str">
        <f t="shared" si="10"/>
        <v/>
      </c>
    </row>
    <row r="221" spans="1:11" x14ac:dyDescent="0.25">
      <c r="A221" s="4" t="s">
        <v>465</v>
      </c>
      <c r="B221" s="4">
        <v>0.5</v>
      </c>
      <c r="C221" s="4">
        <v>0</v>
      </c>
      <c r="D221" s="4" t="s">
        <v>194</v>
      </c>
      <c r="E221" s="4"/>
      <c r="F221">
        <f t="shared" si="9"/>
        <v>0</v>
      </c>
      <c r="G221">
        <f>IF(F221=1,1+MAX($G$2:G220),0)</f>
        <v>0</v>
      </c>
      <c r="I221">
        <v>220</v>
      </c>
      <c r="J221" t="str">
        <f t="shared" si="11"/>
        <v/>
      </c>
      <c r="K221" t="str">
        <f t="shared" si="10"/>
        <v/>
      </c>
    </row>
    <row r="222" spans="1:11" x14ac:dyDescent="0.25">
      <c r="A222" s="4" t="s">
        <v>467</v>
      </c>
      <c r="B222" s="4"/>
      <c r="C222" s="4">
        <v>4</v>
      </c>
      <c r="D222" s="4" t="s">
        <v>466</v>
      </c>
      <c r="E222" s="4"/>
      <c r="F222">
        <f t="shared" si="9"/>
        <v>0</v>
      </c>
      <c r="G222">
        <f>IF(F222=1,1+MAX($G$2:G221),0)</f>
        <v>0</v>
      </c>
      <c r="I222">
        <v>221</v>
      </c>
      <c r="J222" t="str">
        <f t="shared" si="11"/>
        <v/>
      </c>
      <c r="K222" t="str">
        <f t="shared" si="10"/>
        <v/>
      </c>
    </row>
    <row r="223" spans="1:11" x14ac:dyDescent="0.25">
      <c r="A223" s="4" t="s">
        <v>468</v>
      </c>
      <c r="B223" s="4">
        <v>5</v>
      </c>
      <c r="C223" s="4">
        <v>0.5</v>
      </c>
      <c r="D223" s="4" t="s">
        <v>205</v>
      </c>
      <c r="E223" s="4"/>
      <c r="F223">
        <f t="shared" si="9"/>
        <v>0</v>
      </c>
      <c r="G223">
        <f>IF(F223=1,1+MAX($G$2:G222),0)</f>
        <v>0</v>
      </c>
      <c r="I223">
        <v>222</v>
      </c>
      <c r="J223" t="str">
        <f t="shared" si="11"/>
        <v/>
      </c>
      <c r="K223" t="str">
        <f t="shared" si="10"/>
        <v/>
      </c>
    </row>
    <row r="224" spans="1:11" x14ac:dyDescent="0.25">
      <c r="A224" s="4" t="s">
        <v>469</v>
      </c>
      <c r="B224" s="4">
        <v>180</v>
      </c>
      <c r="C224" s="4">
        <v>26</v>
      </c>
      <c r="D224" s="4" t="s">
        <v>357</v>
      </c>
      <c r="E224" s="4" t="s">
        <v>228</v>
      </c>
      <c r="F224">
        <f t="shared" si="9"/>
        <v>0</v>
      </c>
      <c r="G224">
        <f>IF(F224=1,1+MAX($G$2:G223),0)</f>
        <v>0</v>
      </c>
      <c r="I224">
        <v>223</v>
      </c>
      <c r="J224" t="str">
        <f t="shared" si="11"/>
        <v/>
      </c>
      <c r="K224" t="str">
        <f t="shared" si="10"/>
        <v/>
      </c>
    </row>
    <row r="225" spans="1:11" x14ac:dyDescent="0.25">
      <c r="A225" s="4" t="s">
        <v>473</v>
      </c>
      <c r="B225" s="4">
        <v>0.5</v>
      </c>
      <c r="C225" s="4">
        <v>1</v>
      </c>
      <c r="D225" s="4" t="s">
        <v>216</v>
      </c>
      <c r="E225" s="4" t="s">
        <v>474</v>
      </c>
      <c r="F225">
        <f t="shared" si="9"/>
        <v>0</v>
      </c>
      <c r="G225">
        <f>IF(F225=1,1+MAX($G$2:G224),0)</f>
        <v>0</v>
      </c>
      <c r="I225">
        <v>224</v>
      </c>
      <c r="J225" t="str">
        <f t="shared" si="11"/>
        <v/>
      </c>
      <c r="K225" t="str">
        <f t="shared" si="10"/>
        <v/>
      </c>
    </row>
    <row r="226" spans="1:11" x14ac:dyDescent="0.25">
      <c r="A226" s="4" t="s">
        <v>476</v>
      </c>
      <c r="B226" s="4">
        <v>0.01</v>
      </c>
      <c r="C226" s="4">
        <v>1</v>
      </c>
      <c r="D226" s="4" t="s">
        <v>216</v>
      </c>
      <c r="E226" s="4" t="s">
        <v>477</v>
      </c>
      <c r="F226">
        <f t="shared" si="9"/>
        <v>0</v>
      </c>
      <c r="G226">
        <f>IF(F226=1,1+MAX($G$2:G225),0)</f>
        <v>0</v>
      </c>
      <c r="I226">
        <v>225</v>
      </c>
      <c r="J226" t="str">
        <f t="shared" si="11"/>
        <v/>
      </c>
      <c r="K226" t="str">
        <f t="shared" si="10"/>
        <v/>
      </c>
    </row>
    <row r="227" spans="1:11" x14ac:dyDescent="0.25">
      <c r="A227" s="4" t="s">
        <v>480</v>
      </c>
      <c r="B227" s="4">
        <v>2</v>
      </c>
      <c r="C227" s="4">
        <v>20</v>
      </c>
      <c r="D227" s="4" t="s">
        <v>216</v>
      </c>
      <c r="E227" s="4" t="s">
        <v>481</v>
      </c>
      <c r="F227">
        <f t="shared" si="9"/>
        <v>0</v>
      </c>
      <c r="G227">
        <f>IF(F227=1,1+MAX($G$2:G226),0)</f>
        <v>0</v>
      </c>
      <c r="I227">
        <v>226</v>
      </c>
      <c r="J227" t="str">
        <f t="shared" si="11"/>
        <v/>
      </c>
      <c r="K227" t="str">
        <f t="shared" si="10"/>
        <v/>
      </c>
    </row>
    <row r="228" spans="1:11" x14ac:dyDescent="0.25">
      <c r="A228" s="4" t="s">
        <v>482</v>
      </c>
      <c r="B228" s="4">
        <v>0.2</v>
      </c>
      <c r="C228" s="4"/>
      <c r="D228" s="4" t="s">
        <v>194</v>
      </c>
      <c r="E228" s="4" t="s">
        <v>450</v>
      </c>
      <c r="F228">
        <f t="shared" si="9"/>
        <v>0</v>
      </c>
      <c r="G228">
        <f>IF(F228=1,1+MAX($G$2:G227),0)</f>
        <v>0</v>
      </c>
      <c r="I228">
        <v>227</v>
      </c>
      <c r="J228" t="str">
        <f t="shared" si="11"/>
        <v/>
      </c>
      <c r="K228" t="str">
        <f t="shared" si="10"/>
        <v/>
      </c>
    </row>
    <row r="229" spans="1:11" x14ac:dyDescent="0.25">
      <c r="A229" s="4" t="s">
        <v>483</v>
      </c>
      <c r="B229" s="4">
        <v>1</v>
      </c>
      <c r="C229" s="4">
        <v>0</v>
      </c>
      <c r="D229" s="4" t="s">
        <v>199</v>
      </c>
      <c r="E229" s="4"/>
      <c r="F229">
        <f t="shared" si="9"/>
        <v>0</v>
      </c>
      <c r="G229">
        <f>IF(F229=1,1+MAX($G$2:G228),0)</f>
        <v>0</v>
      </c>
      <c r="I229">
        <v>228</v>
      </c>
      <c r="J229" t="str">
        <f t="shared" si="11"/>
        <v/>
      </c>
      <c r="K229" t="str">
        <f t="shared" si="10"/>
        <v/>
      </c>
    </row>
    <row r="230" spans="1:11" x14ac:dyDescent="0.25">
      <c r="A230" s="4" t="s">
        <v>486</v>
      </c>
      <c r="B230" s="4">
        <v>35</v>
      </c>
      <c r="C230" s="4">
        <v>400</v>
      </c>
      <c r="D230" s="4" t="s">
        <v>245</v>
      </c>
      <c r="E230" s="4"/>
      <c r="F230">
        <f t="shared" si="9"/>
        <v>0</v>
      </c>
      <c r="G230">
        <f>IF(F230=1,1+MAX($G$2:G229),0)</f>
        <v>0</v>
      </c>
      <c r="I230">
        <v>229</v>
      </c>
      <c r="J230" t="str">
        <f t="shared" si="11"/>
        <v/>
      </c>
      <c r="K230" t="str">
        <f t="shared" si="10"/>
        <v/>
      </c>
    </row>
    <row r="231" spans="1:11" x14ac:dyDescent="0.25">
      <c r="A231" s="4" t="s">
        <v>488</v>
      </c>
      <c r="B231" s="4">
        <v>400</v>
      </c>
      <c r="C231" s="4"/>
      <c r="D231" s="4" t="s">
        <v>237</v>
      </c>
      <c r="E231" s="4" t="s">
        <v>241</v>
      </c>
      <c r="F231">
        <f t="shared" si="9"/>
        <v>0</v>
      </c>
      <c r="G231">
        <f>IF(F231=1,1+MAX($G$2:G230),0)</f>
        <v>0</v>
      </c>
      <c r="I231">
        <v>230</v>
      </c>
      <c r="J231" t="str">
        <f t="shared" si="11"/>
        <v/>
      </c>
      <c r="K231" t="str">
        <f t="shared" si="10"/>
        <v/>
      </c>
    </row>
    <row r="232" spans="1:11" x14ac:dyDescent="0.25">
      <c r="A232" s="4" t="s">
        <v>489</v>
      </c>
      <c r="B232" s="4">
        <v>25000</v>
      </c>
      <c r="C232" s="4"/>
      <c r="D232" s="4" t="s">
        <v>319</v>
      </c>
      <c r="E232" s="4"/>
      <c r="F232">
        <f t="shared" si="9"/>
        <v>0</v>
      </c>
      <c r="G232">
        <f>IF(F232=1,1+MAX($G$2:G231),0)</f>
        <v>0</v>
      </c>
      <c r="I232">
        <v>231</v>
      </c>
      <c r="J232" t="str">
        <f t="shared" si="11"/>
        <v/>
      </c>
      <c r="K232" t="str">
        <f t="shared" si="10"/>
        <v/>
      </c>
    </row>
    <row r="233" spans="1:11" x14ac:dyDescent="0.25">
      <c r="A233" s="4" t="s">
        <v>491</v>
      </c>
      <c r="B233" s="4">
        <v>0.2</v>
      </c>
      <c r="C233" s="4">
        <v>5</v>
      </c>
      <c r="D233" s="4" t="s">
        <v>199</v>
      </c>
      <c r="E233" s="4"/>
      <c r="F233">
        <f t="shared" si="9"/>
        <v>0</v>
      </c>
      <c r="G233">
        <f>IF(F233=1,1+MAX($G$2:G232),0)</f>
        <v>0</v>
      </c>
      <c r="I233">
        <v>232</v>
      </c>
      <c r="J233" t="str">
        <f t="shared" si="11"/>
        <v/>
      </c>
      <c r="K233" t="str">
        <f t="shared" si="10"/>
        <v/>
      </c>
    </row>
    <row r="234" spans="1:11" x14ac:dyDescent="0.25">
      <c r="A234" s="4" t="s">
        <v>493</v>
      </c>
      <c r="B234" s="4">
        <v>2</v>
      </c>
      <c r="C234" s="4"/>
      <c r="D234" s="4" t="s">
        <v>194</v>
      </c>
      <c r="E234" s="4"/>
      <c r="F234">
        <f t="shared" si="9"/>
        <v>0</v>
      </c>
      <c r="G234">
        <f>IF(F234=1,1+MAX($G$2:G233),0)</f>
        <v>0</v>
      </c>
      <c r="I234">
        <v>233</v>
      </c>
      <c r="J234" t="str">
        <f t="shared" si="11"/>
        <v/>
      </c>
      <c r="K234" t="str">
        <f t="shared" si="10"/>
        <v/>
      </c>
    </row>
    <row r="235" spans="1:11" x14ac:dyDescent="0.25">
      <c r="A235" s="4" t="s">
        <v>494</v>
      </c>
      <c r="B235" s="4">
        <v>0.8</v>
      </c>
      <c r="C235" s="4"/>
      <c r="D235" s="4" t="s">
        <v>196</v>
      </c>
      <c r="E235" s="4"/>
      <c r="F235">
        <f t="shared" si="9"/>
        <v>0</v>
      </c>
      <c r="G235">
        <f>IF(F235=1,1+MAX($G$2:G234),0)</f>
        <v>0</v>
      </c>
      <c r="I235">
        <v>234</v>
      </c>
      <c r="J235" t="str">
        <f t="shared" si="11"/>
        <v/>
      </c>
      <c r="K235" t="str">
        <f t="shared" si="10"/>
        <v/>
      </c>
    </row>
  </sheetData>
  <autoFilter ref="A1:D235" xr:uid="{00000000-0009-0000-0000-000025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Аркуш1">
    <tabColor theme="7" tint="0.39997558519241921"/>
  </sheetPr>
  <dimension ref="A1"/>
  <sheetViews>
    <sheetView workbookViewId="0">
      <selection activeCell="I1" sqref="I1"/>
    </sheetView>
  </sheetViews>
  <sheetFormatPr defaultRowHeight="15" x14ac:dyDescent="0.25"/>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Аркуш2"/>
  <dimension ref="A1:R102"/>
  <sheetViews>
    <sheetView topLeftCell="D1" zoomScaleNormal="100" workbookViewId="0">
      <selection activeCell="M5" sqref="M5"/>
    </sheetView>
  </sheetViews>
  <sheetFormatPr defaultRowHeight="15" x14ac:dyDescent="0.25"/>
  <cols>
    <col min="2" max="2" width="17.28515625" bestFit="1" customWidth="1"/>
    <col min="3" max="3" width="17.42578125" customWidth="1"/>
    <col min="6" max="6" width="23.85546875" customWidth="1"/>
    <col min="7" max="7" width="19.5703125" customWidth="1"/>
  </cols>
  <sheetData>
    <row r="1" spans="1:18" x14ac:dyDescent="0.25">
      <c r="A1" s="657" t="s">
        <v>590</v>
      </c>
      <c r="B1" s="657" t="s">
        <v>6695</v>
      </c>
      <c r="C1" s="657" t="s">
        <v>6868</v>
      </c>
      <c r="D1" s="657" t="s">
        <v>590</v>
      </c>
      <c r="E1" s="657" t="s">
        <v>6695</v>
      </c>
      <c r="F1" s="657" t="s">
        <v>6869</v>
      </c>
      <c r="G1" s="657" t="s">
        <v>3300</v>
      </c>
      <c r="H1" s="657" t="s">
        <v>590</v>
      </c>
      <c r="I1" s="657" t="s">
        <v>7482</v>
      </c>
      <c r="L1" s="708" t="s">
        <v>7483</v>
      </c>
      <c r="M1" s="708" t="s">
        <v>6852</v>
      </c>
      <c r="N1" s="708" t="s">
        <v>6853</v>
      </c>
      <c r="O1" s="708" t="s">
        <v>6855</v>
      </c>
      <c r="P1" s="708" t="s">
        <v>6854</v>
      </c>
      <c r="Q1" s="708" t="s">
        <v>7489</v>
      </c>
      <c r="R1" s="4"/>
    </row>
    <row r="2" spans="1:18" x14ac:dyDescent="0.25">
      <c r="A2" s="134">
        <f>IF(B2="","",1)</f>
        <v>1</v>
      </c>
      <c r="B2" s="3" t="s">
        <v>6696</v>
      </c>
      <c r="C2" t="s">
        <v>6697</v>
      </c>
      <c r="D2" s="134">
        <f>IF(E2="","",1)</f>
        <v>1</v>
      </c>
      <c r="E2" s="3" t="s">
        <v>6711</v>
      </c>
      <c r="F2" s="168" t="s">
        <v>6870</v>
      </c>
      <c r="G2" s="168" t="s">
        <v>6871</v>
      </c>
      <c r="H2" s="134">
        <f>IF(I2="","",1)</f>
        <v>1</v>
      </c>
      <c r="I2" s="3" t="s">
        <v>6711</v>
      </c>
      <c r="L2" s="708" t="s">
        <v>7484</v>
      </c>
      <c r="M2" s="4"/>
      <c r="N2" s="4"/>
      <c r="O2" s="4"/>
      <c r="P2" s="4"/>
      <c r="Q2" s="4"/>
      <c r="R2" s="4"/>
    </row>
    <row r="3" spans="1:18" x14ac:dyDescent="0.25">
      <c r="A3" s="134">
        <f t="shared" ref="A3:A34" si="0">IF(B3="","",A2+1)</f>
        <v>2</v>
      </c>
      <c r="B3" s="3" t="s">
        <v>6696</v>
      </c>
      <c r="C3" t="s">
        <v>6687</v>
      </c>
      <c r="D3" s="134">
        <f t="shared" ref="D3:D34" si="1">IF(E3="","",D2+1)</f>
        <v>2</v>
      </c>
      <c r="E3" s="3" t="s">
        <v>6711</v>
      </c>
      <c r="F3" s="3" t="s">
        <v>6873</v>
      </c>
      <c r="G3" s="3" t="s">
        <v>6872</v>
      </c>
      <c r="H3" s="134">
        <f t="shared" ref="H3:H34" si="2">IF(I3="","",H2+1)</f>
        <v>2</v>
      </c>
      <c r="I3" s="3" t="s">
        <v>6696</v>
      </c>
      <c r="L3" s="708" t="s">
        <v>7485</v>
      </c>
      <c r="M3" s="4"/>
      <c r="N3" s="4"/>
      <c r="O3" s="4"/>
      <c r="P3" s="4"/>
      <c r="Q3" s="4"/>
      <c r="R3" s="4"/>
    </row>
    <row r="4" spans="1:18" x14ac:dyDescent="0.25">
      <c r="A4" s="134">
        <f t="shared" si="0"/>
        <v>3</v>
      </c>
      <c r="B4" s="3" t="s">
        <v>6696</v>
      </c>
      <c r="C4" t="s">
        <v>6688</v>
      </c>
      <c r="D4" s="134" t="str">
        <f t="shared" si="1"/>
        <v/>
      </c>
      <c r="E4" s="3"/>
      <c r="F4" s="3"/>
      <c r="G4" s="3"/>
      <c r="H4" s="134" t="str">
        <f t="shared" si="2"/>
        <v/>
      </c>
      <c r="L4" s="708" t="s">
        <v>7486</v>
      </c>
      <c r="M4" s="4"/>
      <c r="N4" s="4"/>
      <c r="O4" s="4"/>
      <c r="P4" s="4"/>
      <c r="Q4" s="4"/>
      <c r="R4" s="4"/>
    </row>
    <row r="5" spans="1:18" x14ac:dyDescent="0.25">
      <c r="A5" s="134">
        <f t="shared" si="0"/>
        <v>4</v>
      </c>
      <c r="B5" s="3" t="s">
        <v>6696</v>
      </c>
      <c r="C5" t="s">
        <v>6689</v>
      </c>
      <c r="D5" s="134" t="str">
        <f t="shared" si="1"/>
        <v/>
      </c>
      <c r="E5" s="3"/>
      <c r="F5" s="3"/>
      <c r="G5" s="3"/>
      <c r="H5" s="134" t="str">
        <f t="shared" si="2"/>
        <v/>
      </c>
      <c r="L5" s="708" t="s">
        <v>7487</v>
      </c>
      <c r="M5" s="4"/>
      <c r="N5" s="4"/>
      <c r="O5" s="4"/>
      <c r="P5" s="4"/>
      <c r="Q5" s="4"/>
      <c r="R5" s="4"/>
    </row>
    <row r="6" spans="1:18" x14ac:dyDescent="0.25">
      <c r="A6" s="134">
        <f t="shared" si="0"/>
        <v>5</v>
      </c>
      <c r="B6" s="3" t="s">
        <v>6696</v>
      </c>
      <c r="C6" t="s">
        <v>6690</v>
      </c>
      <c r="D6" s="134" t="str">
        <f t="shared" si="1"/>
        <v/>
      </c>
      <c r="E6" s="3"/>
      <c r="F6" s="3"/>
      <c r="G6" s="3"/>
      <c r="H6" s="134" t="str">
        <f t="shared" si="2"/>
        <v/>
      </c>
      <c r="L6" s="708" t="s">
        <v>7488</v>
      </c>
      <c r="M6" s="4"/>
      <c r="N6" s="4"/>
      <c r="O6" s="4"/>
      <c r="P6" s="4"/>
      <c r="Q6" s="4"/>
      <c r="R6" s="4"/>
    </row>
    <row r="7" spans="1:18" x14ac:dyDescent="0.25">
      <c r="A7" s="134">
        <f t="shared" si="0"/>
        <v>6</v>
      </c>
      <c r="B7" s="3" t="s">
        <v>6696</v>
      </c>
      <c r="C7" t="s">
        <v>6691</v>
      </c>
      <c r="D7" s="134" t="str">
        <f t="shared" si="1"/>
        <v/>
      </c>
      <c r="E7" s="3"/>
      <c r="F7" s="3"/>
      <c r="G7" s="3"/>
      <c r="H7" s="134" t="str">
        <f t="shared" si="2"/>
        <v/>
      </c>
    </row>
    <row r="8" spans="1:18" x14ac:dyDescent="0.25">
      <c r="A8" s="134">
        <f t="shared" si="0"/>
        <v>7</v>
      </c>
      <c r="B8" s="3" t="s">
        <v>6696</v>
      </c>
      <c r="C8" t="s">
        <v>6698</v>
      </c>
      <c r="D8" s="134" t="str">
        <f t="shared" si="1"/>
        <v/>
      </c>
      <c r="E8" s="3"/>
      <c r="F8" s="3"/>
      <c r="G8" s="3"/>
      <c r="H8" s="134" t="str">
        <f t="shared" si="2"/>
        <v/>
      </c>
    </row>
    <row r="9" spans="1:18" x14ac:dyDescent="0.25">
      <c r="A9" s="134">
        <f t="shared" si="0"/>
        <v>8</v>
      </c>
      <c r="B9" s="3" t="s">
        <v>6696</v>
      </c>
      <c r="C9" t="s">
        <v>6699</v>
      </c>
      <c r="D9" s="134" t="str">
        <f t="shared" si="1"/>
        <v/>
      </c>
      <c r="E9" s="3"/>
      <c r="F9" s="3"/>
      <c r="G9" s="3"/>
      <c r="H9" s="134" t="str">
        <f t="shared" si="2"/>
        <v/>
      </c>
    </row>
    <row r="10" spans="1:18" x14ac:dyDescent="0.25">
      <c r="A10" s="134">
        <f t="shared" si="0"/>
        <v>9</v>
      </c>
      <c r="B10" s="3" t="s">
        <v>6696</v>
      </c>
      <c r="C10" t="s">
        <v>6700</v>
      </c>
      <c r="D10" s="134" t="str">
        <f t="shared" si="1"/>
        <v/>
      </c>
      <c r="E10" s="3"/>
      <c r="F10" s="3"/>
      <c r="G10" s="3"/>
      <c r="H10" s="134" t="str">
        <f t="shared" si="2"/>
        <v/>
      </c>
    </row>
    <row r="11" spans="1:18" x14ac:dyDescent="0.25">
      <c r="A11" s="134">
        <f t="shared" si="0"/>
        <v>10</v>
      </c>
      <c r="B11" s="3" t="s">
        <v>6696</v>
      </c>
      <c r="C11" t="s">
        <v>6701</v>
      </c>
      <c r="D11" s="134" t="str">
        <f t="shared" si="1"/>
        <v/>
      </c>
      <c r="E11" s="3"/>
      <c r="F11" s="3"/>
      <c r="G11" s="3"/>
      <c r="H11" s="134" t="str">
        <f t="shared" si="2"/>
        <v/>
      </c>
    </row>
    <row r="12" spans="1:18" x14ac:dyDescent="0.25">
      <c r="A12" s="134">
        <f t="shared" si="0"/>
        <v>11</v>
      </c>
      <c r="B12" s="3" t="s">
        <v>6696</v>
      </c>
      <c r="C12" t="s">
        <v>6702</v>
      </c>
      <c r="D12" s="134" t="str">
        <f t="shared" si="1"/>
        <v/>
      </c>
      <c r="E12" s="3"/>
      <c r="F12" s="3"/>
      <c r="G12" s="3"/>
      <c r="H12" s="134" t="str">
        <f t="shared" si="2"/>
        <v/>
      </c>
    </row>
    <row r="13" spans="1:18" x14ac:dyDescent="0.25">
      <c r="A13" s="134">
        <f t="shared" si="0"/>
        <v>12</v>
      </c>
      <c r="B13" s="3" t="s">
        <v>6696</v>
      </c>
      <c r="C13" t="s">
        <v>6703</v>
      </c>
      <c r="D13" s="134" t="str">
        <f t="shared" si="1"/>
        <v/>
      </c>
      <c r="E13" s="3"/>
      <c r="F13" s="3"/>
      <c r="G13" s="3"/>
      <c r="H13" s="134" t="str">
        <f t="shared" si="2"/>
        <v/>
      </c>
    </row>
    <row r="14" spans="1:18" x14ac:dyDescent="0.25">
      <c r="A14" s="134">
        <f t="shared" si="0"/>
        <v>13</v>
      </c>
      <c r="B14" s="3" t="s">
        <v>6696</v>
      </c>
      <c r="C14" t="s">
        <v>6704</v>
      </c>
      <c r="D14" s="134" t="str">
        <f t="shared" si="1"/>
        <v/>
      </c>
      <c r="E14" s="3"/>
      <c r="F14" s="3"/>
      <c r="G14" s="3"/>
      <c r="H14" s="134" t="str">
        <f t="shared" si="2"/>
        <v/>
      </c>
    </row>
    <row r="15" spans="1:18" x14ac:dyDescent="0.25">
      <c r="A15" s="134">
        <f t="shared" si="0"/>
        <v>14</v>
      </c>
      <c r="B15" s="3" t="s">
        <v>6696</v>
      </c>
      <c r="C15" t="s">
        <v>6704</v>
      </c>
      <c r="D15" s="134" t="str">
        <f t="shared" si="1"/>
        <v/>
      </c>
      <c r="E15" s="3"/>
      <c r="F15" s="3"/>
      <c r="G15" s="3"/>
      <c r="H15" s="134" t="str">
        <f t="shared" si="2"/>
        <v/>
      </c>
    </row>
    <row r="16" spans="1:18" x14ac:dyDescent="0.25">
      <c r="A16" s="134">
        <f t="shared" si="0"/>
        <v>15</v>
      </c>
      <c r="B16" s="3" t="s">
        <v>6696</v>
      </c>
      <c r="C16" t="s">
        <v>6705</v>
      </c>
      <c r="D16" s="134" t="str">
        <f t="shared" si="1"/>
        <v/>
      </c>
      <c r="E16" s="3"/>
      <c r="F16" s="3"/>
      <c r="G16" s="3"/>
      <c r="H16" s="134" t="str">
        <f t="shared" si="2"/>
        <v/>
      </c>
    </row>
    <row r="17" spans="1:8" x14ac:dyDescent="0.25">
      <c r="A17" s="134">
        <f t="shared" si="0"/>
        <v>16</v>
      </c>
      <c r="B17" s="3" t="s">
        <v>6696</v>
      </c>
      <c r="C17" t="s">
        <v>6706</v>
      </c>
      <c r="D17" s="134" t="str">
        <f t="shared" si="1"/>
        <v/>
      </c>
      <c r="E17" s="3"/>
      <c r="F17" s="3"/>
      <c r="G17" s="3"/>
      <c r="H17" s="134" t="str">
        <f t="shared" si="2"/>
        <v/>
      </c>
    </row>
    <row r="18" spans="1:8" x14ac:dyDescent="0.25">
      <c r="A18" s="134">
        <f t="shared" si="0"/>
        <v>17</v>
      </c>
      <c r="B18" s="3" t="s">
        <v>6696</v>
      </c>
      <c r="C18" t="s">
        <v>6707</v>
      </c>
      <c r="D18" s="134" t="str">
        <f t="shared" si="1"/>
        <v/>
      </c>
      <c r="E18" s="3"/>
      <c r="F18" s="3"/>
      <c r="G18" s="3"/>
      <c r="H18" s="134" t="str">
        <f t="shared" si="2"/>
        <v/>
      </c>
    </row>
    <row r="19" spans="1:8" x14ac:dyDescent="0.25">
      <c r="A19" s="134">
        <f t="shared" si="0"/>
        <v>18</v>
      </c>
      <c r="B19" s="3" t="s">
        <v>6696</v>
      </c>
      <c r="C19" t="s">
        <v>6708</v>
      </c>
      <c r="D19" s="134" t="str">
        <f t="shared" si="1"/>
        <v/>
      </c>
      <c r="E19" s="3"/>
      <c r="F19" s="3"/>
      <c r="G19" s="3"/>
      <c r="H19" s="134" t="str">
        <f t="shared" si="2"/>
        <v/>
      </c>
    </row>
    <row r="20" spans="1:8" x14ac:dyDescent="0.25">
      <c r="A20" s="134">
        <f t="shared" si="0"/>
        <v>19</v>
      </c>
      <c r="B20" s="3" t="s">
        <v>6696</v>
      </c>
      <c r="C20" t="s">
        <v>6709</v>
      </c>
      <c r="D20" s="134" t="str">
        <f t="shared" si="1"/>
        <v/>
      </c>
      <c r="E20" s="3"/>
      <c r="F20" s="3"/>
      <c r="G20" s="3"/>
      <c r="H20" s="134" t="str">
        <f t="shared" si="2"/>
        <v/>
      </c>
    </row>
    <row r="21" spans="1:8" x14ac:dyDescent="0.25">
      <c r="A21" s="134">
        <f t="shared" si="0"/>
        <v>20</v>
      </c>
      <c r="B21" s="3" t="s">
        <v>6696</v>
      </c>
      <c r="C21" t="s">
        <v>6710</v>
      </c>
      <c r="D21" s="134" t="str">
        <f t="shared" si="1"/>
        <v/>
      </c>
      <c r="E21" s="477"/>
      <c r="F21" s="477"/>
      <c r="G21" s="477"/>
      <c r="H21" s="134" t="str">
        <f t="shared" si="2"/>
        <v/>
      </c>
    </row>
    <row r="22" spans="1:8" x14ac:dyDescent="0.25">
      <c r="A22" s="134">
        <f t="shared" si="0"/>
        <v>21</v>
      </c>
      <c r="B22" s="3" t="s">
        <v>6711</v>
      </c>
      <c r="C22" s="635" t="s">
        <v>6858</v>
      </c>
      <c r="D22" s="134" t="str">
        <f t="shared" si="1"/>
        <v/>
      </c>
      <c r="E22" s="3"/>
      <c r="F22" s="3"/>
      <c r="G22" s="3"/>
      <c r="H22" s="134" t="str">
        <f t="shared" si="2"/>
        <v/>
      </c>
    </row>
    <row r="23" spans="1:8" x14ac:dyDescent="0.25">
      <c r="A23" s="134">
        <f t="shared" si="0"/>
        <v>22</v>
      </c>
      <c r="B23" s="3" t="s">
        <v>6711</v>
      </c>
      <c r="C23" s="635" t="s">
        <v>6859</v>
      </c>
      <c r="D23" s="134" t="str">
        <f t="shared" si="1"/>
        <v/>
      </c>
      <c r="E23" s="3"/>
      <c r="F23" s="3"/>
      <c r="G23" s="3"/>
      <c r="H23" s="134" t="str">
        <f t="shared" si="2"/>
        <v/>
      </c>
    </row>
    <row r="24" spans="1:8" x14ac:dyDescent="0.25">
      <c r="A24" s="134">
        <f t="shared" si="0"/>
        <v>23</v>
      </c>
      <c r="B24" s="3" t="s">
        <v>6711</v>
      </c>
      <c r="C24" s="635" t="s">
        <v>6860</v>
      </c>
      <c r="D24" s="134" t="str">
        <f t="shared" si="1"/>
        <v/>
      </c>
      <c r="E24" s="3"/>
      <c r="F24" s="3"/>
      <c r="G24" s="3"/>
      <c r="H24" s="134" t="str">
        <f t="shared" si="2"/>
        <v/>
      </c>
    </row>
    <row r="25" spans="1:8" x14ac:dyDescent="0.25">
      <c r="A25" s="134">
        <f t="shared" si="0"/>
        <v>24</v>
      </c>
      <c r="B25" s="3" t="s">
        <v>6711</v>
      </c>
      <c r="C25" s="635" t="s">
        <v>6861</v>
      </c>
      <c r="D25" s="134" t="str">
        <f t="shared" si="1"/>
        <v/>
      </c>
      <c r="E25" s="3"/>
      <c r="F25" s="3"/>
      <c r="G25" s="3"/>
      <c r="H25" s="134" t="str">
        <f t="shared" si="2"/>
        <v/>
      </c>
    </row>
    <row r="26" spans="1:8" x14ac:dyDescent="0.25">
      <c r="A26" s="134">
        <f t="shared" si="0"/>
        <v>25</v>
      </c>
      <c r="B26" s="3" t="s">
        <v>6711</v>
      </c>
      <c r="C26" s="635" t="s">
        <v>6862</v>
      </c>
      <c r="D26" s="134" t="str">
        <f t="shared" si="1"/>
        <v/>
      </c>
      <c r="E26" s="3"/>
      <c r="F26" s="3"/>
      <c r="G26" s="3"/>
      <c r="H26" s="134" t="str">
        <f t="shared" si="2"/>
        <v/>
      </c>
    </row>
    <row r="27" spans="1:8" x14ac:dyDescent="0.25">
      <c r="A27" s="134">
        <f t="shared" si="0"/>
        <v>26</v>
      </c>
      <c r="B27" s="3" t="s">
        <v>6711</v>
      </c>
      <c r="C27" s="635" t="s">
        <v>6863</v>
      </c>
      <c r="D27" s="134" t="str">
        <f t="shared" si="1"/>
        <v/>
      </c>
      <c r="E27" s="3"/>
      <c r="F27" s="3"/>
      <c r="G27" s="3"/>
      <c r="H27" s="134" t="str">
        <f t="shared" si="2"/>
        <v/>
      </c>
    </row>
    <row r="28" spans="1:8" x14ac:dyDescent="0.25">
      <c r="A28" s="134">
        <f t="shared" si="0"/>
        <v>27</v>
      </c>
      <c r="B28" s="3" t="s">
        <v>6711</v>
      </c>
      <c r="C28" s="635" t="s">
        <v>6864</v>
      </c>
      <c r="D28" s="134" t="str">
        <f t="shared" si="1"/>
        <v/>
      </c>
      <c r="E28" s="3"/>
      <c r="F28" s="3"/>
      <c r="G28" s="3"/>
      <c r="H28" s="134" t="str">
        <f t="shared" si="2"/>
        <v/>
      </c>
    </row>
    <row r="29" spans="1:8" x14ac:dyDescent="0.25">
      <c r="A29" s="134">
        <f t="shared" si="0"/>
        <v>28</v>
      </c>
      <c r="B29" s="3" t="s">
        <v>6711</v>
      </c>
      <c r="C29" s="635" t="s">
        <v>6857</v>
      </c>
      <c r="D29" s="134" t="str">
        <f t="shared" si="1"/>
        <v/>
      </c>
      <c r="E29" s="3"/>
      <c r="F29" s="3"/>
      <c r="G29" s="3"/>
      <c r="H29" s="134" t="str">
        <f t="shared" si="2"/>
        <v/>
      </c>
    </row>
    <row r="30" spans="1:8" x14ac:dyDescent="0.25">
      <c r="A30" s="134">
        <f t="shared" si="0"/>
        <v>29</v>
      </c>
      <c r="B30" s="3" t="s">
        <v>6711</v>
      </c>
      <c r="C30" s="635" t="s">
        <v>6865</v>
      </c>
      <c r="D30" s="134" t="str">
        <f t="shared" si="1"/>
        <v/>
      </c>
      <c r="E30" s="3"/>
      <c r="F30" s="3"/>
      <c r="G30" s="3"/>
      <c r="H30" s="134" t="str">
        <f t="shared" si="2"/>
        <v/>
      </c>
    </row>
    <row r="31" spans="1:8" x14ac:dyDescent="0.25">
      <c r="A31" s="134">
        <f t="shared" si="0"/>
        <v>30</v>
      </c>
      <c r="B31" s="3" t="s">
        <v>6711</v>
      </c>
      <c r="C31" s="635" t="s">
        <v>6866</v>
      </c>
      <c r="D31" s="134" t="str">
        <f t="shared" si="1"/>
        <v/>
      </c>
      <c r="E31" s="3"/>
      <c r="F31" s="3"/>
      <c r="G31" s="3"/>
      <c r="H31" s="134" t="str">
        <f t="shared" si="2"/>
        <v/>
      </c>
    </row>
    <row r="32" spans="1:8" x14ac:dyDescent="0.25">
      <c r="A32" s="134">
        <f t="shared" si="0"/>
        <v>31</v>
      </c>
      <c r="B32" s="3" t="s">
        <v>6711</v>
      </c>
      <c r="C32" s="635" t="s">
        <v>6867</v>
      </c>
      <c r="D32" s="134" t="str">
        <f t="shared" si="1"/>
        <v/>
      </c>
      <c r="E32" s="3"/>
      <c r="F32" s="3"/>
      <c r="G32" s="3"/>
      <c r="H32" s="134" t="str">
        <f t="shared" si="2"/>
        <v/>
      </c>
    </row>
    <row r="33" spans="1:8" x14ac:dyDescent="0.25">
      <c r="A33" s="134" t="str">
        <f t="shared" si="0"/>
        <v/>
      </c>
      <c r="B33" s="3"/>
      <c r="C33" s="634"/>
      <c r="D33" s="134" t="str">
        <f t="shared" si="1"/>
        <v/>
      </c>
      <c r="E33" s="3"/>
      <c r="F33" s="3"/>
      <c r="G33" s="3"/>
      <c r="H33" s="134" t="str">
        <f t="shared" si="2"/>
        <v/>
      </c>
    </row>
    <row r="34" spans="1:8" x14ac:dyDescent="0.25">
      <c r="A34" s="134" t="str">
        <f t="shared" si="0"/>
        <v/>
      </c>
      <c r="B34" s="3"/>
      <c r="C34" s="3"/>
      <c r="D34" s="134" t="str">
        <f t="shared" si="1"/>
        <v/>
      </c>
      <c r="E34" s="3"/>
      <c r="F34" s="3"/>
      <c r="G34" s="3"/>
      <c r="H34" s="134" t="str">
        <f t="shared" si="2"/>
        <v/>
      </c>
    </row>
    <row r="35" spans="1:8" x14ac:dyDescent="0.25">
      <c r="A35" s="134" t="str">
        <f t="shared" ref="A35:A66" si="3">IF(B35="","",A34+1)</f>
        <v/>
      </c>
      <c r="B35" s="3"/>
      <c r="C35" s="3"/>
      <c r="D35" s="134" t="str">
        <f t="shared" ref="D35:D66" si="4">IF(E35="","",D34+1)</f>
        <v/>
      </c>
      <c r="E35" s="3"/>
      <c r="F35" s="3"/>
      <c r="G35" s="3"/>
      <c r="H35" s="134" t="str">
        <f t="shared" ref="H35:H66" si="5">IF(I35="","",H34+1)</f>
        <v/>
      </c>
    </row>
    <row r="36" spans="1:8" x14ac:dyDescent="0.25">
      <c r="A36" s="134" t="str">
        <f t="shared" si="3"/>
        <v/>
      </c>
      <c r="B36" s="3"/>
      <c r="C36" s="3"/>
      <c r="D36" s="134" t="str">
        <f t="shared" si="4"/>
        <v/>
      </c>
      <c r="E36" s="3"/>
      <c r="F36" s="3"/>
      <c r="G36" s="3"/>
      <c r="H36" s="134" t="str">
        <f t="shared" si="5"/>
        <v/>
      </c>
    </row>
    <row r="37" spans="1:8" x14ac:dyDescent="0.25">
      <c r="A37" s="134" t="str">
        <f t="shared" si="3"/>
        <v/>
      </c>
      <c r="B37" s="3"/>
      <c r="C37" s="3"/>
      <c r="D37" s="134" t="str">
        <f t="shared" si="4"/>
        <v/>
      </c>
      <c r="E37" s="3"/>
      <c r="F37" s="3"/>
      <c r="G37" s="3"/>
      <c r="H37" s="134" t="str">
        <f t="shared" si="5"/>
        <v/>
      </c>
    </row>
    <row r="38" spans="1:8" x14ac:dyDescent="0.25">
      <c r="A38" s="134" t="str">
        <f t="shared" si="3"/>
        <v/>
      </c>
      <c r="B38" s="3"/>
      <c r="C38" s="3"/>
      <c r="D38" s="134" t="str">
        <f t="shared" si="4"/>
        <v/>
      </c>
      <c r="E38" s="3"/>
      <c r="F38" s="3"/>
      <c r="G38" s="3"/>
      <c r="H38" s="134" t="str">
        <f t="shared" si="5"/>
        <v/>
      </c>
    </row>
    <row r="39" spans="1:8" x14ac:dyDescent="0.25">
      <c r="A39" s="134" t="str">
        <f t="shared" si="3"/>
        <v/>
      </c>
      <c r="B39" s="3"/>
      <c r="C39" s="3"/>
      <c r="D39" s="134" t="str">
        <f t="shared" si="4"/>
        <v/>
      </c>
      <c r="E39" s="3"/>
      <c r="F39" s="3"/>
      <c r="G39" s="3"/>
      <c r="H39" s="134" t="str">
        <f t="shared" si="5"/>
        <v/>
      </c>
    </row>
    <row r="40" spans="1:8" x14ac:dyDescent="0.25">
      <c r="A40" s="134" t="str">
        <f t="shared" si="3"/>
        <v/>
      </c>
      <c r="B40" s="3"/>
      <c r="C40" s="3"/>
      <c r="D40" s="134" t="str">
        <f t="shared" si="4"/>
        <v/>
      </c>
      <c r="E40" s="3"/>
      <c r="F40" s="3"/>
      <c r="G40" s="3"/>
      <c r="H40" s="134" t="str">
        <f t="shared" si="5"/>
        <v/>
      </c>
    </row>
    <row r="41" spans="1:8" x14ac:dyDescent="0.25">
      <c r="A41" s="134" t="str">
        <f t="shared" si="3"/>
        <v/>
      </c>
      <c r="B41" s="3"/>
      <c r="C41" s="3"/>
      <c r="D41" s="134" t="str">
        <f t="shared" si="4"/>
        <v/>
      </c>
      <c r="E41" s="3"/>
      <c r="F41" s="3"/>
      <c r="G41" s="3"/>
      <c r="H41" s="134" t="str">
        <f t="shared" si="5"/>
        <v/>
      </c>
    </row>
    <row r="42" spans="1:8" x14ac:dyDescent="0.25">
      <c r="A42" s="134" t="str">
        <f t="shared" si="3"/>
        <v/>
      </c>
      <c r="B42" s="3"/>
      <c r="C42" s="3"/>
      <c r="D42" s="134" t="str">
        <f t="shared" si="4"/>
        <v/>
      </c>
      <c r="E42" s="3"/>
      <c r="F42" s="3"/>
      <c r="G42" s="3"/>
      <c r="H42" s="134" t="str">
        <f t="shared" si="5"/>
        <v/>
      </c>
    </row>
    <row r="43" spans="1:8" x14ac:dyDescent="0.25">
      <c r="A43" s="134" t="str">
        <f t="shared" si="3"/>
        <v/>
      </c>
      <c r="B43" s="3"/>
      <c r="C43" s="3"/>
      <c r="D43" s="134" t="str">
        <f t="shared" si="4"/>
        <v/>
      </c>
      <c r="E43" s="3"/>
      <c r="F43" s="3"/>
      <c r="G43" s="3"/>
      <c r="H43" s="134" t="str">
        <f t="shared" si="5"/>
        <v/>
      </c>
    </row>
    <row r="44" spans="1:8" x14ac:dyDescent="0.25">
      <c r="A44" s="134" t="str">
        <f t="shared" si="3"/>
        <v/>
      </c>
      <c r="B44" s="3"/>
      <c r="C44" s="3"/>
      <c r="D44" s="134" t="str">
        <f t="shared" si="4"/>
        <v/>
      </c>
      <c r="E44" s="3"/>
      <c r="F44" s="3"/>
      <c r="G44" s="3"/>
      <c r="H44" s="134" t="str">
        <f t="shared" si="5"/>
        <v/>
      </c>
    </row>
    <row r="45" spans="1:8" x14ac:dyDescent="0.25">
      <c r="A45" s="134" t="str">
        <f t="shared" si="3"/>
        <v/>
      </c>
      <c r="B45" s="3"/>
      <c r="C45" s="3"/>
      <c r="D45" s="134" t="str">
        <f t="shared" si="4"/>
        <v/>
      </c>
      <c r="E45" s="3"/>
      <c r="F45" s="3"/>
      <c r="G45" s="3"/>
      <c r="H45" s="134" t="str">
        <f t="shared" si="5"/>
        <v/>
      </c>
    </row>
    <row r="46" spans="1:8" x14ac:dyDescent="0.25">
      <c r="A46" s="134" t="str">
        <f t="shared" si="3"/>
        <v/>
      </c>
      <c r="B46" s="3"/>
      <c r="C46" s="3"/>
      <c r="D46" s="134" t="str">
        <f t="shared" si="4"/>
        <v/>
      </c>
      <c r="E46" s="3"/>
      <c r="F46" s="3"/>
      <c r="G46" s="3"/>
      <c r="H46" s="134" t="str">
        <f t="shared" si="5"/>
        <v/>
      </c>
    </row>
    <row r="47" spans="1:8" x14ac:dyDescent="0.25">
      <c r="A47" s="134" t="str">
        <f t="shared" si="3"/>
        <v/>
      </c>
      <c r="B47" s="3"/>
      <c r="C47" s="3"/>
      <c r="D47" s="134" t="str">
        <f t="shared" si="4"/>
        <v/>
      </c>
      <c r="E47" s="3"/>
      <c r="F47" s="3"/>
      <c r="G47" s="3"/>
      <c r="H47" s="134" t="str">
        <f t="shared" si="5"/>
        <v/>
      </c>
    </row>
    <row r="48" spans="1:8" x14ac:dyDescent="0.25">
      <c r="A48" s="134" t="str">
        <f t="shared" si="3"/>
        <v/>
      </c>
      <c r="B48" s="3"/>
      <c r="C48" s="3"/>
      <c r="D48" s="134" t="str">
        <f t="shared" si="4"/>
        <v/>
      </c>
      <c r="E48" s="3"/>
      <c r="F48" s="3"/>
      <c r="G48" s="3"/>
      <c r="H48" s="134" t="str">
        <f t="shared" si="5"/>
        <v/>
      </c>
    </row>
    <row r="49" spans="1:8" x14ac:dyDescent="0.25">
      <c r="A49" s="134" t="str">
        <f t="shared" si="3"/>
        <v/>
      </c>
      <c r="B49" s="3"/>
      <c r="C49" s="3"/>
      <c r="D49" s="134" t="str">
        <f t="shared" si="4"/>
        <v/>
      </c>
      <c r="E49" s="3"/>
      <c r="F49" s="3"/>
      <c r="G49" s="3"/>
      <c r="H49" s="134" t="str">
        <f t="shared" si="5"/>
        <v/>
      </c>
    </row>
    <row r="50" spans="1:8" x14ac:dyDescent="0.25">
      <c r="A50" s="134" t="str">
        <f t="shared" si="3"/>
        <v/>
      </c>
      <c r="B50" s="3"/>
      <c r="C50" s="3"/>
      <c r="D50" s="134" t="str">
        <f t="shared" si="4"/>
        <v/>
      </c>
      <c r="E50" s="3"/>
      <c r="F50" s="3"/>
      <c r="G50" s="3"/>
      <c r="H50" s="134" t="str">
        <f t="shared" si="5"/>
        <v/>
      </c>
    </row>
    <row r="51" spans="1:8" x14ac:dyDescent="0.25">
      <c r="A51" s="134" t="str">
        <f t="shared" si="3"/>
        <v/>
      </c>
      <c r="B51" s="3"/>
      <c r="C51" s="3"/>
      <c r="D51" s="134" t="str">
        <f t="shared" si="4"/>
        <v/>
      </c>
      <c r="E51" s="3"/>
      <c r="F51" s="3"/>
      <c r="G51" s="3"/>
      <c r="H51" s="134" t="str">
        <f t="shared" si="5"/>
        <v/>
      </c>
    </row>
    <row r="52" spans="1:8" x14ac:dyDescent="0.25">
      <c r="A52" s="134" t="str">
        <f t="shared" si="3"/>
        <v/>
      </c>
      <c r="B52" s="3"/>
      <c r="C52" s="3"/>
      <c r="D52" s="134" t="str">
        <f t="shared" si="4"/>
        <v/>
      </c>
      <c r="E52" s="3"/>
      <c r="F52" s="3"/>
      <c r="G52" s="3"/>
      <c r="H52" s="134" t="str">
        <f t="shared" si="5"/>
        <v/>
      </c>
    </row>
    <row r="53" spans="1:8" x14ac:dyDescent="0.25">
      <c r="A53" s="134" t="str">
        <f t="shared" si="3"/>
        <v/>
      </c>
      <c r="B53" s="3"/>
      <c r="C53" s="3"/>
      <c r="D53" s="134" t="str">
        <f t="shared" si="4"/>
        <v/>
      </c>
      <c r="E53" s="3"/>
      <c r="F53" s="3"/>
      <c r="G53" s="3"/>
      <c r="H53" s="134" t="str">
        <f t="shared" si="5"/>
        <v/>
      </c>
    </row>
    <row r="54" spans="1:8" x14ac:dyDescent="0.25">
      <c r="A54" s="134" t="str">
        <f t="shared" si="3"/>
        <v/>
      </c>
      <c r="B54" s="3"/>
      <c r="C54" s="3"/>
      <c r="D54" s="134" t="str">
        <f t="shared" si="4"/>
        <v/>
      </c>
      <c r="E54" s="3"/>
      <c r="F54" s="3"/>
      <c r="G54" s="3"/>
      <c r="H54" s="134" t="str">
        <f t="shared" si="5"/>
        <v/>
      </c>
    </row>
    <row r="55" spans="1:8" x14ac:dyDescent="0.25">
      <c r="A55" s="134" t="str">
        <f t="shared" si="3"/>
        <v/>
      </c>
      <c r="B55" s="3"/>
      <c r="C55" s="3"/>
      <c r="D55" s="134" t="str">
        <f t="shared" si="4"/>
        <v/>
      </c>
      <c r="E55" s="3"/>
      <c r="F55" s="3"/>
      <c r="G55" s="3"/>
      <c r="H55" s="134" t="str">
        <f t="shared" si="5"/>
        <v/>
      </c>
    </row>
    <row r="56" spans="1:8" x14ac:dyDescent="0.25">
      <c r="A56" s="134" t="str">
        <f t="shared" si="3"/>
        <v/>
      </c>
      <c r="B56" s="3"/>
      <c r="C56" s="3"/>
      <c r="D56" s="134" t="str">
        <f t="shared" si="4"/>
        <v/>
      </c>
      <c r="E56" s="3"/>
      <c r="F56" s="3"/>
      <c r="G56" s="3"/>
      <c r="H56" s="134" t="str">
        <f t="shared" si="5"/>
        <v/>
      </c>
    </row>
    <row r="57" spans="1:8" x14ac:dyDescent="0.25">
      <c r="A57" s="134" t="str">
        <f t="shared" si="3"/>
        <v/>
      </c>
      <c r="B57" s="3"/>
      <c r="C57" s="3"/>
      <c r="D57" s="134" t="str">
        <f t="shared" si="4"/>
        <v/>
      </c>
      <c r="E57" s="3"/>
      <c r="F57" s="3"/>
      <c r="G57" s="3"/>
      <c r="H57" s="134" t="str">
        <f t="shared" si="5"/>
        <v/>
      </c>
    </row>
    <row r="58" spans="1:8" x14ac:dyDescent="0.25">
      <c r="A58" s="134" t="str">
        <f t="shared" si="3"/>
        <v/>
      </c>
      <c r="B58" s="3"/>
      <c r="C58" s="3"/>
      <c r="D58" s="134" t="str">
        <f t="shared" si="4"/>
        <v/>
      </c>
      <c r="E58" s="3"/>
      <c r="F58" s="3"/>
      <c r="G58" s="3"/>
      <c r="H58" s="134" t="str">
        <f t="shared" si="5"/>
        <v/>
      </c>
    </row>
    <row r="59" spans="1:8" x14ac:dyDescent="0.25">
      <c r="A59" s="134" t="str">
        <f t="shared" si="3"/>
        <v/>
      </c>
      <c r="B59" s="3"/>
      <c r="C59" s="3"/>
      <c r="D59" s="134" t="str">
        <f t="shared" si="4"/>
        <v/>
      </c>
      <c r="E59" s="3"/>
      <c r="F59" s="3"/>
      <c r="G59" s="3"/>
      <c r="H59" s="134" t="str">
        <f t="shared" si="5"/>
        <v/>
      </c>
    </row>
    <row r="60" spans="1:8" x14ac:dyDescent="0.25">
      <c r="A60" s="134" t="str">
        <f t="shared" si="3"/>
        <v/>
      </c>
      <c r="B60" s="3"/>
      <c r="C60" s="3"/>
      <c r="D60" s="134" t="str">
        <f t="shared" si="4"/>
        <v/>
      </c>
      <c r="E60" s="3"/>
      <c r="F60" s="3"/>
      <c r="G60" s="3"/>
      <c r="H60" s="134" t="str">
        <f t="shared" si="5"/>
        <v/>
      </c>
    </row>
    <row r="61" spans="1:8" x14ac:dyDescent="0.25">
      <c r="A61" s="134" t="str">
        <f t="shared" si="3"/>
        <v/>
      </c>
      <c r="B61" s="3"/>
      <c r="C61" s="3"/>
      <c r="D61" s="134" t="str">
        <f t="shared" si="4"/>
        <v/>
      </c>
      <c r="E61" s="3"/>
      <c r="F61" s="3"/>
      <c r="G61" s="3"/>
      <c r="H61" s="134" t="str">
        <f t="shared" si="5"/>
        <v/>
      </c>
    </row>
    <row r="62" spans="1:8" x14ac:dyDescent="0.25">
      <c r="A62" s="134" t="str">
        <f t="shared" si="3"/>
        <v/>
      </c>
      <c r="B62" s="3"/>
      <c r="C62" s="3"/>
      <c r="D62" s="134" t="str">
        <f t="shared" si="4"/>
        <v/>
      </c>
      <c r="E62" s="3"/>
      <c r="F62" s="3"/>
      <c r="G62" s="3"/>
      <c r="H62" s="134" t="str">
        <f t="shared" si="5"/>
        <v/>
      </c>
    </row>
    <row r="63" spans="1:8" x14ac:dyDescent="0.25">
      <c r="A63" s="134" t="str">
        <f t="shared" si="3"/>
        <v/>
      </c>
      <c r="B63" s="3"/>
      <c r="C63" s="3"/>
      <c r="D63" s="134" t="str">
        <f t="shared" si="4"/>
        <v/>
      </c>
      <c r="E63" s="3"/>
      <c r="F63" s="3"/>
      <c r="G63" s="3"/>
      <c r="H63" s="134" t="str">
        <f t="shared" si="5"/>
        <v/>
      </c>
    </row>
    <row r="64" spans="1:8" x14ac:dyDescent="0.25">
      <c r="A64" s="134" t="str">
        <f t="shared" si="3"/>
        <v/>
      </c>
      <c r="B64" s="3"/>
      <c r="C64" s="3"/>
      <c r="D64" s="134" t="str">
        <f t="shared" si="4"/>
        <v/>
      </c>
      <c r="E64" s="3"/>
      <c r="F64" s="3"/>
      <c r="G64" s="3"/>
      <c r="H64" s="134" t="str">
        <f t="shared" si="5"/>
        <v/>
      </c>
    </row>
    <row r="65" spans="1:8" x14ac:dyDescent="0.25">
      <c r="A65" s="134" t="str">
        <f t="shared" si="3"/>
        <v/>
      </c>
      <c r="B65" s="3"/>
      <c r="C65" s="3"/>
      <c r="D65" s="134" t="str">
        <f t="shared" si="4"/>
        <v/>
      </c>
      <c r="E65" s="3"/>
      <c r="F65" s="3"/>
      <c r="G65" s="3"/>
      <c r="H65" s="134" t="str">
        <f t="shared" si="5"/>
        <v/>
      </c>
    </row>
    <row r="66" spans="1:8" x14ac:dyDescent="0.25">
      <c r="A66" s="134" t="str">
        <f t="shared" si="3"/>
        <v/>
      </c>
      <c r="B66" s="3"/>
      <c r="C66" s="3"/>
      <c r="D66" s="134" t="str">
        <f t="shared" si="4"/>
        <v/>
      </c>
      <c r="E66" s="3"/>
      <c r="F66" s="3"/>
      <c r="G66" s="3"/>
      <c r="H66" s="134" t="str">
        <f t="shared" si="5"/>
        <v/>
      </c>
    </row>
    <row r="67" spans="1:8" x14ac:dyDescent="0.25">
      <c r="A67" s="134" t="str">
        <f t="shared" ref="A67:A98" si="6">IF(B67="","",A66+1)</f>
        <v/>
      </c>
      <c r="B67" s="3"/>
      <c r="C67" s="3"/>
      <c r="D67" s="134" t="str">
        <f t="shared" ref="D67:D98" si="7">IF(E67="","",D66+1)</f>
        <v/>
      </c>
      <c r="E67" s="3"/>
      <c r="F67" s="3"/>
      <c r="G67" s="3"/>
      <c r="H67" s="134" t="str">
        <f t="shared" ref="H67:H98" si="8">IF(I67="","",H66+1)</f>
        <v/>
      </c>
    </row>
    <row r="68" spans="1:8" x14ac:dyDescent="0.25">
      <c r="A68" s="134" t="str">
        <f t="shared" si="6"/>
        <v/>
      </c>
      <c r="B68" s="3"/>
      <c r="C68" s="3"/>
      <c r="D68" s="134" t="str">
        <f t="shared" si="7"/>
        <v/>
      </c>
      <c r="E68" s="3"/>
      <c r="F68" s="3"/>
      <c r="G68" s="3"/>
      <c r="H68" s="134" t="str">
        <f t="shared" si="8"/>
        <v/>
      </c>
    </row>
    <row r="69" spans="1:8" x14ac:dyDescent="0.25">
      <c r="A69" s="134" t="str">
        <f t="shared" si="6"/>
        <v/>
      </c>
      <c r="B69" s="3"/>
      <c r="C69" s="3"/>
      <c r="D69" s="134" t="str">
        <f t="shared" si="7"/>
        <v/>
      </c>
      <c r="E69" s="3"/>
      <c r="F69" s="3"/>
      <c r="G69" s="3"/>
      <c r="H69" s="134" t="str">
        <f t="shared" si="8"/>
        <v/>
      </c>
    </row>
    <row r="70" spans="1:8" x14ac:dyDescent="0.25">
      <c r="A70" s="134" t="str">
        <f t="shared" si="6"/>
        <v/>
      </c>
      <c r="B70" s="3"/>
      <c r="C70" s="3"/>
      <c r="D70" s="134" t="str">
        <f t="shared" si="7"/>
        <v/>
      </c>
      <c r="E70" s="3"/>
      <c r="F70" s="3"/>
      <c r="G70" s="3"/>
      <c r="H70" s="134" t="str">
        <f t="shared" si="8"/>
        <v/>
      </c>
    </row>
    <row r="71" spans="1:8" x14ac:dyDescent="0.25">
      <c r="A71" s="134" t="str">
        <f t="shared" si="6"/>
        <v/>
      </c>
      <c r="B71" s="3"/>
      <c r="C71" s="3"/>
      <c r="D71" s="134" t="str">
        <f t="shared" si="7"/>
        <v/>
      </c>
      <c r="E71" s="3"/>
      <c r="F71" s="3"/>
      <c r="G71" s="3"/>
      <c r="H71" s="134" t="str">
        <f t="shared" si="8"/>
        <v/>
      </c>
    </row>
    <row r="72" spans="1:8" x14ac:dyDescent="0.25">
      <c r="A72" s="134" t="str">
        <f t="shared" si="6"/>
        <v/>
      </c>
      <c r="B72" s="3"/>
      <c r="C72" s="3"/>
      <c r="D72" s="134" t="str">
        <f t="shared" si="7"/>
        <v/>
      </c>
      <c r="E72" s="3"/>
      <c r="F72" s="3"/>
      <c r="G72" s="3"/>
      <c r="H72" s="134" t="str">
        <f t="shared" si="8"/>
        <v/>
      </c>
    </row>
    <row r="73" spans="1:8" x14ac:dyDescent="0.25">
      <c r="A73" s="134" t="str">
        <f t="shared" si="6"/>
        <v/>
      </c>
      <c r="B73" s="3"/>
      <c r="C73" s="3"/>
      <c r="D73" s="134" t="str">
        <f t="shared" si="7"/>
        <v/>
      </c>
      <c r="E73" s="3"/>
      <c r="F73" s="3"/>
      <c r="G73" s="3"/>
      <c r="H73" s="134" t="str">
        <f t="shared" si="8"/>
        <v/>
      </c>
    </row>
    <row r="74" spans="1:8" x14ac:dyDescent="0.25">
      <c r="A74" s="134" t="str">
        <f t="shared" si="6"/>
        <v/>
      </c>
      <c r="B74" s="3"/>
      <c r="C74" s="3"/>
      <c r="D74" s="134" t="str">
        <f t="shared" si="7"/>
        <v/>
      </c>
      <c r="E74" s="3"/>
      <c r="F74" s="3"/>
      <c r="G74" s="3"/>
      <c r="H74" s="134" t="str">
        <f t="shared" si="8"/>
        <v/>
      </c>
    </row>
    <row r="75" spans="1:8" x14ac:dyDescent="0.25">
      <c r="A75" s="134" t="str">
        <f t="shared" si="6"/>
        <v/>
      </c>
      <c r="B75" s="3"/>
      <c r="C75" s="3"/>
      <c r="D75" s="134" t="str">
        <f t="shared" si="7"/>
        <v/>
      </c>
      <c r="E75" s="3"/>
      <c r="F75" s="3"/>
      <c r="G75" s="3"/>
      <c r="H75" s="134" t="str">
        <f t="shared" si="8"/>
        <v/>
      </c>
    </row>
    <row r="76" spans="1:8" x14ac:dyDescent="0.25">
      <c r="A76" s="134" t="str">
        <f t="shared" si="6"/>
        <v/>
      </c>
      <c r="B76" s="3"/>
      <c r="C76" s="3"/>
      <c r="D76" s="134" t="str">
        <f t="shared" si="7"/>
        <v/>
      </c>
      <c r="E76" s="3"/>
      <c r="F76" s="3"/>
      <c r="G76" s="3"/>
      <c r="H76" s="134" t="str">
        <f t="shared" si="8"/>
        <v/>
      </c>
    </row>
    <row r="77" spans="1:8" x14ac:dyDescent="0.25">
      <c r="A77" s="134" t="str">
        <f t="shared" si="6"/>
        <v/>
      </c>
      <c r="B77" s="3"/>
      <c r="C77" s="3"/>
      <c r="D77" s="134" t="str">
        <f t="shared" si="7"/>
        <v/>
      </c>
      <c r="E77" s="3"/>
      <c r="F77" s="3"/>
      <c r="G77" s="3"/>
      <c r="H77" s="134" t="str">
        <f t="shared" si="8"/>
        <v/>
      </c>
    </row>
    <row r="78" spans="1:8" x14ac:dyDescent="0.25">
      <c r="A78" s="134" t="str">
        <f t="shared" si="6"/>
        <v/>
      </c>
      <c r="B78" s="3"/>
      <c r="C78" s="3"/>
      <c r="D78" s="134" t="str">
        <f t="shared" si="7"/>
        <v/>
      </c>
      <c r="E78" s="3"/>
      <c r="F78" s="3"/>
      <c r="G78" s="3"/>
      <c r="H78" s="134" t="str">
        <f t="shared" si="8"/>
        <v/>
      </c>
    </row>
    <row r="79" spans="1:8" x14ac:dyDescent="0.25">
      <c r="A79" s="134" t="str">
        <f t="shared" si="6"/>
        <v/>
      </c>
      <c r="B79" s="3"/>
      <c r="C79" s="3"/>
      <c r="D79" s="134" t="str">
        <f t="shared" si="7"/>
        <v/>
      </c>
      <c r="E79" s="3"/>
      <c r="F79" s="3"/>
      <c r="G79" s="3"/>
      <c r="H79" s="134" t="str">
        <f t="shared" si="8"/>
        <v/>
      </c>
    </row>
    <row r="80" spans="1:8" x14ac:dyDescent="0.25">
      <c r="A80" s="134" t="str">
        <f t="shared" si="6"/>
        <v/>
      </c>
      <c r="B80" s="3"/>
      <c r="C80" s="3"/>
      <c r="D80" s="134" t="str">
        <f t="shared" si="7"/>
        <v/>
      </c>
      <c r="E80" s="3"/>
      <c r="F80" s="3"/>
      <c r="G80" s="3"/>
      <c r="H80" s="134" t="str">
        <f t="shared" si="8"/>
        <v/>
      </c>
    </row>
    <row r="81" spans="1:8" x14ac:dyDescent="0.25">
      <c r="A81" s="134" t="str">
        <f t="shared" si="6"/>
        <v/>
      </c>
      <c r="B81" s="3"/>
      <c r="C81" s="3"/>
      <c r="D81" s="134" t="str">
        <f t="shared" si="7"/>
        <v/>
      </c>
      <c r="E81" s="3"/>
      <c r="F81" s="3"/>
      <c r="G81" s="3"/>
      <c r="H81" s="134" t="str">
        <f t="shared" si="8"/>
        <v/>
      </c>
    </row>
    <row r="82" spans="1:8" x14ac:dyDescent="0.25">
      <c r="A82" s="134" t="str">
        <f t="shared" si="6"/>
        <v/>
      </c>
      <c r="B82" s="3"/>
      <c r="C82" s="3"/>
      <c r="D82" s="134" t="str">
        <f t="shared" si="7"/>
        <v/>
      </c>
      <c r="E82" s="3"/>
      <c r="F82" s="3"/>
      <c r="G82" s="3"/>
      <c r="H82" s="134" t="str">
        <f t="shared" si="8"/>
        <v/>
      </c>
    </row>
    <row r="83" spans="1:8" x14ac:dyDescent="0.25">
      <c r="A83" s="134" t="str">
        <f t="shared" si="6"/>
        <v/>
      </c>
      <c r="B83" s="3"/>
      <c r="C83" s="3"/>
      <c r="D83" s="134" t="str">
        <f t="shared" si="7"/>
        <v/>
      </c>
      <c r="E83" s="3"/>
      <c r="F83" s="3"/>
      <c r="G83" s="3"/>
      <c r="H83" s="134" t="str">
        <f t="shared" si="8"/>
        <v/>
      </c>
    </row>
    <row r="84" spans="1:8" x14ac:dyDescent="0.25">
      <c r="A84" s="134" t="str">
        <f t="shared" si="6"/>
        <v/>
      </c>
      <c r="B84" s="3"/>
      <c r="C84" s="3"/>
      <c r="D84" s="134" t="str">
        <f t="shared" si="7"/>
        <v/>
      </c>
      <c r="E84" s="3"/>
      <c r="F84" s="3"/>
      <c r="G84" s="3"/>
      <c r="H84" s="134" t="str">
        <f t="shared" si="8"/>
        <v/>
      </c>
    </row>
    <row r="85" spans="1:8" x14ac:dyDescent="0.25">
      <c r="A85" s="134" t="str">
        <f t="shared" si="6"/>
        <v/>
      </c>
      <c r="B85" s="3"/>
      <c r="C85" s="3"/>
      <c r="D85" s="134" t="str">
        <f t="shared" si="7"/>
        <v/>
      </c>
      <c r="E85" s="3"/>
      <c r="F85" s="3"/>
      <c r="G85" s="3"/>
      <c r="H85" s="134" t="str">
        <f t="shared" si="8"/>
        <v/>
      </c>
    </row>
    <row r="86" spans="1:8" x14ac:dyDescent="0.25">
      <c r="A86" s="134" t="str">
        <f t="shared" si="6"/>
        <v/>
      </c>
      <c r="B86" s="3"/>
      <c r="C86" s="3"/>
      <c r="D86" s="134" t="str">
        <f t="shared" si="7"/>
        <v/>
      </c>
      <c r="E86" s="3"/>
      <c r="F86" s="3"/>
      <c r="G86" s="3"/>
      <c r="H86" s="134" t="str">
        <f t="shared" si="8"/>
        <v/>
      </c>
    </row>
    <row r="87" spans="1:8" x14ac:dyDescent="0.25">
      <c r="A87" s="134" t="str">
        <f t="shared" si="6"/>
        <v/>
      </c>
      <c r="B87" s="3"/>
      <c r="C87" s="3"/>
      <c r="D87" s="134" t="str">
        <f t="shared" si="7"/>
        <v/>
      </c>
      <c r="E87" s="3"/>
      <c r="F87" s="3"/>
      <c r="G87" s="3"/>
      <c r="H87" s="134" t="str">
        <f t="shared" si="8"/>
        <v/>
      </c>
    </row>
    <row r="88" spans="1:8" x14ac:dyDescent="0.25">
      <c r="A88" s="134" t="str">
        <f t="shared" si="6"/>
        <v/>
      </c>
      <c r="B88" s="3"/>
      <c r="C88" s="3"/>
      <c r="D88" s="134" t="str">
        <f t="shared" si="7"/>
        <v/>
      </c>
      <c r="E88" s="3"/>
      <c r="F88" s="3"/>
      <c r="G88" s="3"/>
      <c r="H88" s="134" t="str">
        <f t="shared" si="8"/>
        <v/>
      </c>
    </row>
    <row r="89" spans="1:8" x14ac:dyDescent="0.25">
      <c r="A89" s="134" t="str">
        <f t="shared" si="6"/>
        <v/>
      </c>
      <c r="B89" s="3"/>
      <c r="C89" s="3"/>
      <c r="D89" s="134" t="str">
        <f t="shared" si="7"/>
        <v/>
      </c>
      <c r="E89" s="3"/>
      <c r="F89" s="3"/>
      <c r="G89" s="3"/>
      <c r="H89" s="134" t="str">
        <f t="shared" si="8"/>
        <v/>
      </c>
    </row>
    <row r="90" spans="1:8" x14ac:dyDescent="0.25">
      <c r="A90" s="134" t="str">
        <f t="shared" si="6"/>
        <v/>
      </c>
      <c r="B90" s="3"/>
      <c r="C90" s="3"/>
      <c r="D90" s="134" t="str">
        <f t="shared" si="7"/>
        <v/>
      </c>
      <c r="E90" s="3"/>
      <c r="F90" s="3"/>
      <c r="G90" s="3"/>
      <c r="H90" s="134" t="str">
        <f t="shared" si="8"/>
        <v/>
      </c>
    </row>
    <row r="91" spans="1:8" x14ac:dyDescent="0.25">
      <c r="A91" s="134" t="str">
        <f t="shared" si="6"/>
        <v/>
      </c>
      <c r="B91" s="3"/>
      <c r="C91" s="3"/>
      <c r="D91" s="134" t="str">
        <f t="shared" si="7"/>
        <v/>
      </c>
      <c r="E91" s="3"/>
      <c r="F91" s="3"/>
      <c r="G91" s="3"/>
      <c r="H91" s="134" t="str">
        <f t="shared" si="8"/>
        <v/>
      </c>
    </row>
    <row r="92" spans="1:8" x14ac:dyDescent="0.25">
      <c r="A92" s="134" t="str">
        <f t="shared" si="6"/>
        <v/>
      </c>
      <c r="B92" s="3"/>
      <c r="C92" s="3"/>
      <c r="D92" s="134" t="str">
        <f t="shared" si="7"/>
        <v/>
      </c>
      <c r="E92" s="3"/>
      <c r="F92" s="3"/>
      <c r="G92" s="3"/>
      <c r="H92" s="134" t="str">
        <f t="shared" si="8"/>
        <v/>
      </c>
    </row>
    <row r="93" spans="1:8" x14ac:dyDescent="0.25">
      <c r="A93" s="134" t="str">
        <f t="shared" si="6"/>
        <v/>
      </c>
      <c r="B93" s="3"/>
      <c r="C93" s="3"/>
      <c r="D93" s="134" t="str">
        <f t="shared" si="7"/>
        <v/>
      </c>
      <c r="E93" s="3"/>
      <c r="F93" s="3"/>
      <c r="G93" s="3"/>
      <c r="H93" s="134" t="str">
        <f t="shared" si="8"/>
        <v/>
      </c>
    </row>
    <row r="94" spans="1:8" x14ac:dyDescent="0.25">
      <c r="A94" s="134" t="str">
        <f t="shared" si="6"/>
        <v/>
      </c>
      <c r="B94" s="3"/>
      <c r="C94" s="3"/>
      <c r="D94" s="134" t="str">
        <f t="shared" si="7"/>
        <v/>
      </c>
      <c r="E94" s="3"/>
      <c r="F94" s="3"/>
      <c r="G94" s="3"/>
      <c r="H94" s="134" t="str">
        <f t="shared" si="8"/>
        <v/>
      </c>
    </row>
    <row r="95" spans="1:8" x14ac:dyDescent="0.25">
      <c r="A95" s="134" t="str">
        <f t="shared" si="6"/>
        <v/>
      </c>
      <c r="B95" s="3"/>
      <c r="C95" s="3"/>
      <c r="D95" s="134" t="str">
        <f t="shared" si="7"/>
        <v/>
      </c>
      <c r="E95" s="3"/>
      <c r="F95" s="3"/>
      <c r="G95" s="3"/>
      <c r="H95" s="134" t="str">
        <f t="shared" si="8"/>
        <v/>
      </c>
    </row>
    <row r="96" spans="1:8" x14ac:dyDescent="0.25">
      <c r="A96" s="134" t="str">
        <f t="shared" si="6"/>
        <v/>
      </c>
      <c r="B96" s="3"/>
      <c r="C96" s="3"/>
      <c r="D96" s="134" t="str">
        <f t="shared" si="7"/>
        <v/>
      </c>
      <c r="E96" s="3"/>
      <c r="F96" s="3"/>
      <c r="G96" s="3"/>
      <c r="H96" s="134" t="str">
        <f t="shared" si="8"/>
        <v/>
      </c>
    </row>
    <row r="97" spans="1:8" x14ac:dyDescent="0.25">
      <c r="A97" s="134" t="str">
        <f t="shared" si="6"/>
        <v/>
      </c>
      <c r="B97" s="3"/>
      <c r="C97" s="3"/>
      <c r="D97" s="134" t="str">
        <f t="shared" si="7"/>
        <v/>
      </c>
      <c r="E97" s="3"/>
      <c r="F97" s="3"/>
      <c r="G97" s="3"/>
      <c r="H97" s="134" t="str">
        <f t="shared" si="8"/>
        <v/>
      </c>
    </row>
    <row r="98" spans="1:8" x14ac:dyDescent="0.25">
      <c r="A98" s="134" t="str">
        <f t="shared" si="6"/>
        <v/>
      </c>
      <c r="B98" s="3"/>
      <c r="C98" s="3"/>
      <c r="D98" s="134" t="str">
        <f t="shared" si="7"/>
        <v/>
      </c>
      <c r="E98" s="3"/>
      <c r="F98" s="3"/>
      <c r="G98" s="3"/>
      <c r="H98" s="134" t="str">
        <f t="shared" si="8"/>
        <v/>
      </c>
    </row>
    <row r="99" spans="1:8" x14ac:dyDescent="0.25">
      <c r="A99" s="134" t="str">
        <f t="shared" ref="A99:A102" si="9">IF(B99="","",A98+1)</f>
        <v/>
      </c>
      <c r="B99" s="3"/>
      <c r="C99" s="3"/>
      <c r="D99" s="134" t="str">
        <f t="shared" ref="D99:D102" si="10">IF(E99="","",D98+1)</f>
        <v/>
      </c>
      <c r="E99" s="3"/>
      <c r="F99" s="3"/>
      <c r="G99" s="3"/>
      <c r="H99" s="134" t="str">
        <f t="shared" ref="H99:H102" si="11">IF(I99="","",H98+1)</f>
        <v/>
      </c>
    </row>
    <row r="100" spans="1:8" x14ac:dyDescent="0.25">
      <c r="A100" s="134" t="str">
        <f t="shared" si="9"/>
        <v/>
      </c>
      <c r="B100" s="3"/>
      <c r="C100" s="3"/>
      <c r="D100" s="134" t="str">
        <f t="shared" si="10"/>
        <v/>
      </c>
      <c r="E100" s="3"/>
      <c r="F100" s="3"/>
      <c r="G100" s="3"/>
      <c r="H100" s="134" t="str">
        <f t="shared" si="11"/>
        <v/>
      </c>
    </row>
    <row r="101" spans="1:8" x14ac:dyDescent="0.25">
      <c r="A101" s="134" t="str">
        <f t="shared" si="9"/>
        <v/>
      </c>
      <c r="B101" s="3"/>
      <c r="C101" s="3"/>
      <c r="D101" s="134" t="str">
        <f t="shared" si="10"/>
        <v/>
      </c>
      <c r="E101" s="3"/>
      <c r="F101" s="3"/>
      <c r="G101" s="3"/>
      <c r="H101" s="134" t="str">
        <f t="shared" si="11"/>
        <v/>
      </c>
    </row>
    <row r="102" spans="1:8" x14ac:dyDescent="0.25">
      <c r="A102" s="134" t="str">
        <f t="shared" si="9"/>
        <v/>
      </c>
      <c r="B102" s="3"/>
      <c r="C102" s="3"/>
      <c r="D102" s="134" t="str">
        <f t="shared" si="10"/>
        <v/>
      </c>
      <c r="E102" s="3"/>
      <c r="F102" s="3"/>
      <c r="G102" s="3"/>
      <c r="H102" s="134" t="str">
        <f t="shared" si="11"/>
        <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12"/>
  <dimension ref="A1:G210"/>
  <sheetViews>
    <sheetView topLeftCell="A73" workbookViewId="0">
      <selection activeCell="G93" sqref="G93"/>
    </sheetView>
  </sheetViews>
  <sheetFormatPr defaultRowHeight="15" x14ac:dyDescent="0.25"/>
  <cols>
    <col min="7" max="7" width="114.42578125" customWidth="1"/>
  </cols>
  <sheetData>
    <row r="1" spans="1:7" x14ac:dyDescent="0.25">
      <c r="A1" s="250" t="s">
        <v>174</v>
      </c>
      <c r="B1" s="250" t="s">
        <v>175</v>
      </c>
      <c r="C1" s="251" t="s">
        <v>90</v>
      </c>
      <c r="D1" s="251" t="s">
        <v>94</v>
      </c>
      <c r="E1" s="252" t="s">
        <v>176</v>
      </c>
      <c r="F1" s="252" t="s">
        <v>13</v>
      </c>
      <c r="G1" s="250" t="s">
        <v>177</v>
      </c>
    </row>
    <row r="2" spans="1:7" x14ac:dyDescent="0.25">
      <c r="A2" s="250" t="s">
        <v>178</v>
      </c>
      <c r="B2" s="253" t="s">
        <v>179</v>
      </c>
      <c r="C2" s="254">
        <v>2</v>
      </c>
      <c r="D2" s="251">
        <v>2</v>
      </c>
      <c r="E2" s="252"/>
      <c r="F2" s="252"/>
      <c r="G2" s="255"/>
    </row>
    <row r="3" spans="1:7" x14ac:dyDescent="0.25">
      <c r="A3" s="250" t="s">
        <v>180</v>
      </c>
      <c r="B3" s="256" t="s">
        <v>181</v>
      </c>
      <c r="C3" s="251">
        <v>25</v>
      </c>
      <c r="D3" s="251">
        <v>1</v>
      </c>
      <c r="E3" s="252"/>
      <c r="F3" s="252"/>
      <c r="G3" s="250" t="s">
        <v>182</v>
      </c>
    </row>
    <row r="4" spans="1:7" x14ac:dyDescent="0.25">
      <c r="A4" s="250" t="s">
        <v>180</v>
      </c>
      <c r="B4" s="256" t="s">
        <v>183</v>
      </c>
      <c r="C4" s="251">
        <v>50</v>
      </c>
      <c r="D4" s="251">
        <v>1</v>
      </c>
      <c r="E4" s="252"/>
      <c r="F4" s="252"/>
      <c r="G4" s="250" t="s">
        <v>184</v>
      </c>
    </row>
    <row r="5" spans="1:7" x14ac:dyDescent="0.25">
      <c r="A5" s="250" t="s">
        <v>185</v>
      </c>
      <c r="B5" s="255" t="s">
        <v>186</v>
      </c>
      <c r="C5" s="254">
        <v>50</v>
      </c>
      <c r="D5" s="254">
        <v>8</v>
      </c>
      <c r="E5" s="257"/>
      <c r="F5" s="257"/>
      <c r="G5" s="250" t="s">
        <v>187</v>
      </c>
    </row>
    <row r="6" spans="1:7" x14ac:dyDescent="0.25">
      <c r="A6" s="250" t="s">
        <v>188</v>
      </c>
      <c r="B6" s="256" t="s">
        <v>189</v>
      </c>
      <c r="C6" s="251">
        <v>5</v>
      </c>
      <c r="D6" s="254">
        <v>1</v>
      </c>
      <c r="E6" s="257"/>
      <c r="F6" s="257"/>
      <c r="G6" s="250" t="s">
        <v>190</v>
      </c>
    </row>
    <row r="7" spans="1:7" x14ac:dyDescent="0.25">
      <c r="A7" s="250" t="s">
        <v>191</v>
      </c>
      <c r="B7" s="256" t="s">
        <v>192</v>
      </c>
      <c r="C7" s="251">
        <v>50</v>
      </c>
      <c r="D7" s="254">
        <v>0</v>
      </c>
      <c r="E7" s="257"/>
      <c r="F7" s="257"/>
      <c r="G7" s="250" t="s">
        <v>193</v>
      </c>
    </row>
    <row r="8" spans="1:7" x14ac:dyDescent="0.25">
      <c r="A8" s="250" t="s">
        <v>194</v>
      </c>
      <c r="B8" s="250" t="s">
        <v>195</v>
      </c>
      <c r="C8" s="254">
        <v>4</v>
      </c>
      <c r="D8" s="254"/>
      <c r="E8" s="257"/>
      <c r="F8" s="257"/>
      <c r="G8" s="255"/>
    </row>
    <row r="9" spans="1:7" x14ac:dyDescent="0.25">
      <c r="A9" s="250" t="s">
        <v>196</v>
      </c>
      <c r="B9" s="250" t="s">
        <v>197</v>
      </c>
      <c r="C9" s="254">
        <v>2</v>
      </c>
      <c r="D9" s="254"/>
      <c r="E9" s="257"/>
      <c r="F9" s="257"/>
      <c r="G9" s="255"/>
    </row>
    <row r="10" spans="1:7" x14ac:dyDescent="0.25">
      <c r="A10" s="250" t="s">
        <v>154</v>
      </c>
      <c r="B10" s="256" t="s">
        <v>198</v>
      </c>
      <c r="C10" s="251">
        <v>1</v>
      </c>
      <c r="D10" s="251">
        <v>1</v>
      </c>
      <c r="E10" s="252"/>
      <c r="F10" s="252"/>
      <c r="G10" s="255"/>
    </row>
    <row r="11" spans="1:7" x14ac:dyDescent="0.25">
      <c r="A11" s="250" t="s">
        <v>199</v>
      </c>
      <c r="B11" s="256" t="s">
        <v>200</v>
      </c>
      <c r="C11" s="251">
        <v>2</v>
      </c>
      <c r="D11" s="254">
        <v>5</v>
      </c>
      <c r="E11" s="252" t="s">
        <v>201</v>
      </c>
      <c r="F11" s="252"/>
      <c r="G11" s="255"/>
    </row>
    <row r="12" spans="1:7" x14ac:dyDescent="0.25">
      <c r="A12" s="250" t="s">
        <v>202</v>
      </c>
      <c r="B12" s="255" t="s">
        <v>203</v>
      </c>
      <c r="C12" s="254">
        <v>30</v>
      </c>
      <c r="D12" s="254">
        <v>6</v>
      </c>
      <c r="E12" s="257"/>
      <c r="F12" s="257"/>
      <c r="G12" s="250" t="s">
        <v>204</v>
      </c>
    </row>
    <row r="13" spans="1:7" x14ac:dyDescent="0.25">
      <c r="A13" s="250" t="s">
        <v>205</v>
      </c>
      <c r="B13" s="253" t="s">
        <v>206</v>
      </c>
      <c r="C13" s="251">
        <v>1</v>
      </c>
      <c r="D13" s="254">
        <v>2</v>
      </c>
      <c r="E13" s="257"/>
      <c r="F13" s="257"/>
      <c r="G13" s="250" t="s">
        <v>207</v>
      </c>
    </row>
    <row r="14" spans="1:7" x14ac:dyDescent="0.25">
      <c r="A14" s="250" t="s">
        <v>196</v>
      </c>
      <c r="B14" s="250" t="s">
        <v>208</v>
      </c>
      <c r="C14" s="254">
        <v>10</v>
      </c>
      <c r="D14" s="254"/>
      <c r="E14" s="257"/>
      <c r="F14" s="257"/>
      <c r="G14" s="255"/>
    </row>
    <row r="15" spans="1:7" x14ac:dyDescent="0.25">
      <c r="A15" s="250" t="s">
        <v>199</v>
      </c>
      <c r="B15" s="256" t="s">
        <v>209</v>
      </c>
      <c r="C15" s="251">
        <v>2</v>
      </c>
      <c r="D15" s="254">
        <v>70</v>
      </c>
      <c r="E15" s="252" t="s">
        <v>210</v>
      </c>
      <c r="F15" s="252"/>
      <c r="G15" s="255"/>
    </row>
    <row r="16" spans="1:7" x14ac:dyDescent="0.25">
      <c r="A16" s="250" t="s">
        <v>211</v>
      </c>
      <c r="B16" s="253" t="s">
        <v>212</v>
      </c>
      <c r="C16" s="251">
        <v>100</v>
      </c>
      <c r="D16" s="254">
        <v>0</v>
      </c>
      <c r="E16" s="257"/>
      <c r="F16" s="257"/>
      <c r="G16" s="255" t="s">
        <v>213</v>
      </c>
    </row>
    <row r="17" spans="1:7" x14ac:dyDescent="0.25">
      <c r="A17" s="250" t="s">
        <v>199</v>
      </c>
      <c r="B17" s="256" t="s">
        <v>214</v>
      </c>
      <c r="C17" s="251">
        <v>0.4</v>
      </c>
      <c r="D17" s="254">
        <v>2</v>
      </c>
      <c r="E17" s="252" t="s">
        <v>215</v>
      </c>
      <c r="F17" s="252"/>
      <c r="G17" s="255"/>
    </row>
    <row r="18" spans="1:7" x14ac:dyDescent="0.25">
      <c r="A18" s="250" t="s">
        <v>216</v>
      </c>
      <c r="B18" s="256" t="s">
        <v>217</v>
      </c>
      <c r="C18" s="251">
        <v>1</v>
      </c>
      <c r="D18" s="254">
        <v>7</v>
      </c>
      <c r="E18" s="257"/>
      <c r="F18" s="257"/>
      <c r="G18" s="255"/>
    </row>
    <row r="19" spans="1:7" x14ac:dyDescent="0.25">
      <c r="A19" s="250" t="s">
        <v>205</v>
      </c>
      <c r="B19" s="256" t="s">
        <v>218</v>
      </c>
      <c r="C19" s="251">
        <v>1</v>
      </c>
      <c r="D19" s="254">
        <v>0</v>
      </c>
      <c r="E19" s="257"/>
      <c r="F19" s="257"/>
      <c r="G19" s="255"/>
    </row>
    <row r="20" spans="1:7" x14ac:dyDescent="0.25">
      <c r="A20" s="250" t="s">
        <v>219</v>
      </c>
      <c r="B20" s="250" t="s">
        <v>220</v>
      </c>
      <c r="C20" s="254">
        <v>2</v>
      </c>
      <c r="D20" s="254">
        <v>1</v>
      </c>
      <c r="E20" s="257"/>
      <c r="F20" s="257"/>
      <c r="G20" s="255"/>
    </row>
    <row r="21" spans="1:7" x14ac:dyDescent="0.25">
      <c r="A21" s="250" t="s">
        <v>216</v>
      </c>
      <c r="B21" s="256" t="s">
        <v>221</v>
      </c>
      <c r="C21" s="251">
        <v>0.5</v>
      </c>
      <c r="D21" s="254">
        <v>3</v>
      </c>
      <c r="E21" s="257"/>
      <c r="F21" s="257"/>
      <c r="G21" s="255"/>
    </row>
    <row r="22" spans="1:7" x14ac:dyDescent="0.25">
      <c r="A22" s="250" t="s">
        <v>205</v>
      </c>
      <c r="B22" s="253" t="s">
        <v>222</v>
      </c>
      <c r="C22" s="251">
        <v>1</v>
      </c>
      <c r="D22" s="254">
        <v>5</v>
      </c>
      <c r="E22" s="257"/>
      <c r="F22" s="257"/>
      <c r="G22" s="250" t="s">
        <v>223</v>
      </c>
    </row>
    <row r="23" spans="1:7" x14ac:dyDescent="0.25">
      <c r="A23" s="250" t="s">
        <v>154</v>
      </c>
      <c r="B23" s="256" t="s">
        <v>224</v>
      </c>
      <c r="C23" s="251">
        <v>1</v>
      </c>
      <c r="D23" s="251">
        <v>1</v>
      </c>
      <c r="E23" s="252"/>
      <c r="F23" s="252"/>
      <c r="G23" s="255"/>
    </row>
    <row r="24" spans="1:7" x14ac:dyDescent="0.25">
      <c r="A24" s="250" t="s">
        <v>205</v>
      </c>
      <c r="B24" s="253" t="s">
        <v>225</v>
      </c>
      <c r="C24" s="251">
        <v>25</v>
      </c>
      <c r="D24" s="254">
        <v>5</v>
      </c>
      <c r="E24" s="257"/>
      <c r="F24" s="257"/>
      <c r="G24" s="250" t="s">
        <v>226</v>
      </c>
    </row>
    <row r="25" spans="1:7" x14ac:dyDescent="0.25">
      <c r="A25" s="250" t="s">
        <v>227</v>
      </c>
      <c r="B25" s="250" t="s">
        <v>103</v>
      </c>
      <c r="C25" s="254">
        <v>1600</v>
      </c>
      <c r="D25" s="254">
        <v>40</v>
      </c>
      <c r="E25" s="257"/>
      <c r="F25" s="257"/>
      <c r="G25" s="250" t="s">
        <v>228</v>
      </c>
    </row>
    <row r="26" spans="1:7" x14ac:dyDescent="0.25">
      <c r="A26" s="250" t="s">
        <v>185</v>
      </c>
      <c r="B26" s="255" t="s">
        <v>229</v>
      </c>
      <c r="C26" s="254">
        <v>20</v>
      </c>
      <c r="D26" s="254">
        <v>9</v>
      </c>
      <c r="E26" s="257"/>
      <c r="F26" s="257"/>
      <c r="G26" s="250" t="s">
        <v>187</v>
      </c>
    </row>
    <row r="27" spans="1:7" x14ac:dyDescent="0.25">
      <c r="A27" s="250" t="s">
        <v>199</v>
      </c>
      <c r="B27" s="256" t="s">
        <v>230</v>
      </c>
      <c r="C27" s="251">
        <v>0.05</v>
      </c>
      <c r="D27" s="254">
        <v>2</v>
      </c>
      <c r="E27" s="252" t="s">
        <v>231</v>
      </c>
      <c r="F27" s="252"/>
      <c r="G27" s="255"/>
    </row>
    <row r="28" spans="1:7" x14ac:dyDescent="0.25">
      <c r="A28" s="250" t="s">
        <v>216</v>
      </c>
      <c r="B28" s="253" t="s">
        <v>232</v>
      </c>
      <c r="C28" s="251">
        <v>10</v>
      </c>
      <c r="D28" s="254">
        <v>2</v>
      </c>
      <c r="E28" s="257"/>
      <c r="F28" s="257"/>
      <c r="G28" s="255" t="s">
        <v>233</v>
      </c>
    </row>
    <row r="29" spans="1:7" x14ac:dyDescent="0.25">
      <c r="A29" s="250" t="s">
        <v>185</v>
      </c>
      <c r="B29" s="255" t="s">
        <v>234</v>
      </c>
      <c r="C29" s="254">
        <v>10</v>
      </c>
      <c r="D29" s="254">
        <v>5</v>
      </c>
      <c r="E29" s="257"/>
      <c r="F29" s="257"/>
      <c r="G29" s="250" t="s">
        <v>187</v>
      </c>
    </row>
    <row r="30" spans="1:7" x14ac:dyDescent="0.25">
      <c r="A30" s="250" t="s">
        <v>205</v>
      </c>
      <c r="B30" s="256" t="s">
        <v>235</v>
      </c>
      <c r="C30" s="251">
        <v>1</v>
      </c>
      <c r="D30" s="254">
        <v>2</v>
      </c>
      <c r="E30" s="257"/>
      <c r="F30" s="257"/>
      <c r="G30" s="250" t="s">
        <v>236</v>
      </c>
    </row>
    <row r="31" spans="1:7" x14ac:dyDescent="0.25">
      <c r="A31" s="250" t="s">
        <v>237</v>
      </c>
      <c r="B31" s="250" t="s">
        <v>238</v>
      </c>
      <c r="C31" s="254">
        <v>50</v>
      </c>
      <c r="D31" s="254"/>
      <c r="E31" s="252" t="s">
        <v>239</v>
      </c>
      <c r="F31" s="252" t="s">
        <v>240</v>
      </c>
      <c r="G31" s="250" t="s">
        <v>241</v>
      </c>
    </row>
    <row r="32" spans="1:7" x14ac:dyDescent="0.25">
      <c r="A32" s="250" t="s">
        <v>216</v>
      </c>
      <c r="B32" s="256" t="s">
        <v>242</v>
      </c>
      <c r="C32" s="251">
        <v>0.01</v>
      </c>
      <c r="D32" s="254">
        <v>0</v>
      </c>
      <c r="E32" s="257"/>
      <c r="F32" s="257"/>
      <c r="G32" s="250" t="s">
        <v>243</v>
      </c>
    </row>
    <row r="33" spans="1:7" x14ac:dyDescent="0.25">
      <c r="A33" s="250" t="s">
        <v>185</v>
      </c>
      <c r="B33" s="250" t="s">
        <v>244</v>
      </c>
      <c r="C33" s="254">
        <v>8</v>
      </c>
      <c r="D33" s="254">
        <v>6</v>
      </c>
      <c r="E33" s="257"/>
      <c r="F33" s="257"/>
      <c r="G33" s="250" t="s">
        <v>187</v>
      </c>
    </row>
    <row r="34" spans="1:7" x14ac:dyDescent="0.25">
      <c r="A34" s="250" t="s">
        <v>245</v>
      </c>
      <c r="B34" s="250" t="s">
        <v>246</v>
      </c>
      <c r="C34" s="254">
        <v>100</v>
      </c>
      <c r="D34" s="254">
        <v>600</v>
      </c>
      <c r="E34" s="257"/>
      <c r="F34" s="257"/>
      <c r="G34" s="255"/>
    </row>
    <row r="35" spans="1:7" x14ac:dyDescent="0.25">
      <c r="A35" s="250" t="s">
        <v>245</v>
      </c>
      <c r="B35" s="250" t="s">
        <v>247</v>
      </c>
      <c r="C35" s="254">
        <v>15</v>
      </c>
      <c r="D35" s="254">
        <v>200</v>
      </c>
      <c r="E35" s="257"/>
      <c r="F35" s="257"/>
      <c r="G35" s="255"/>
    </row>
    <row r="36" spans="1:7" x14ac:dyDescent="0.25">
      <c r="A36" s="250" t="s">
        <v>185</v>
      </c>
      <c r="B36" s="255" t="s">
        <v>248</v>
      </c>
      <c r="C36" s="254">
        <v>15</v>
      </c>
      <c r="D36" s="254">
        <v>6</v>
      </c>
      <c r="E36" s="257"/>
      <c r="F36" s="257"/>
      <c r="G36" s="250" t="s">
        <v>187</v>
      </c>
    </row>
    <row r="37" spans="1:7" x14ac:dyDescent="0.25">
      <c r="A37" s="250" t="s">
        <v>216</v>
      </c>
      <c r="B37" s="256" t="s">
        <v>249</v>
      </c>
      <c r="C37" s="251">
        <v>5</v>
      </c>
      <c r="D37" s="254">
        <v>10</v>
      </c>
      <c r="E37" s="257"/>
      <c r="F37" s="257"/>
      <c r="G37" s="255" t="s">
        <v>250</v>
      </c>
    </row>
    <row r="38" spans="1:7" x14ac:dyDescent="0.25">
      <c r="A38" s="250" t="s">
        <v>251</v>
      </c>
      <c r="B38" s="250" t="s">
        <v>252</v>
      </c>
      <c r="C38" s="254">
        <v>300</v>
      </c>
      <c r="D38" s="254">
        <v>110</v>
      </c>
      <c r="E38" s="257"/>
      <c r="F38" s="257"/>
      <c r="G38" s="250" t="s">
        <v>228</v>
      </c>
    </row>
    <row r="39" spans="1:7" x14ac:dyDescent="0.25">
      <c r="A39" s="250" t="s">
        <v>227</v>
      </c>
      <c r="B39" s="250" t="s">
        <v>253</v>
      </c>
      <c r="C39" s="254">
        <v>200</v>
      </c>
      <c r="D39" s="254">
        <v>40</v>
      </c>
      <c r="E39" s="257"/>
      <c r="F39" s="257"/>
      <c r="G39" s="250" t="s">
        <v>228</v>
      </c>
    </row>
    <row r="40" spans="1:7" x14ac:dyDescent="0.25">
      <c r="A40" s="250" t="s">
        <v>205</v>
      </c>
      <c r="B40" s="256" t="s">
        <v>254</v>
      </c>
      <c r="C40" s="251">
        <v>0.01</v>
      </c>
      <c r="D40" s="254">
        <v>0</v>
      </c>
      <c r="E40" s="257"/>
      <c r="F40" s="257"/>
      <c r="G40" s="255"/>
    </row>
    <row r="41" spans="1:7" x14ac:dyDescent="0.25">
      <c r="A41" s="250" t="s">
        <v>245</v>
      </c>
      <c r="B41" s="250" t="s">
        <v>255</v>
      </c>
      <c r="C41" s="254">
        <v>200</v>
      </c>
      <c r="D41" s="254">
        <v>100</v>
      </c>
      <c r="E41" s="257"/>
      <c r="F41" s="257"/>
      <c r="G41" s="255"/>
    </row>
    <row r="42" spans="1:7" x14ac:dyDescent="0.25">
      <c r="A42" s="250" t="s">
        <v>199</v>
      </c>
      <c r="B42" s="256" t="s">
        <v>256</v>
      </c>
      <c r="C42" s="251">
        <v>5</v>
      </c>
      <c r="D42" s="254">
        <v>25</v>
      </c>
      <c r="E42" s="252" t="s">
        <v>257</v>
      </c>
      <c r="F42" s="252"/>
      <c r="G42" s="255"/>
    </row>
    <row r="43" spans="1:7" x14ac:dyDescent="0.25">
      <c r="A43" s="250" t="s">
        <v>196</v>
      </c>
      <c r="B43" s="250" t="s">
        <v>258</v>
      </c>
      <c r="C43" s="254">
        <v>0.3</v>
      </c>
      <c r="D43" s="254"/>
      <c r="E43" s="257"/>
      <c r="F43" s="257"/>
      <c r="G43" s="255"/>
    </row>
    <row r="44" spans="1:7" x14ac:dyDescent="0.25">
      <c r="A44" s="250" t="s">
        <v>178</v>
      </c>
      <c r="B44" s="256" t="s">
        <v>259</v>
      </c>
      <c r="C44" s="251">
        <v>25</v>
      </c>
      <c r="D44" s="254">
        <v>12</v>
      </c>
      <c r="E44" s="257"/>
      <c r="F44" s="257"/>
      <c r="G44" s="255" t="s">
        <v>260</v>
      </c>
    </row>
    <row r="45" spans="1:7" x14ac:dyDescent="0.25">
      <c r="A45" s="250" t="s">
        <v>194</v>
      </c>
      <c r="B45" s="250" t="s">
        <v>261</v>
      </c>
      <c r="C45" s="254">
        <v>0.03</v>
      </c>
      <c r="D45" s="254"/>
      <c r="E45" s="257"/>
      <c r="F45" s="257"/>
      <c r="G45" s="250" t="s">
        <v>262</v>
      </c>
    </row>
    <row r="46" spans="1:7" x14ac:dyDescent="0.25">
      <c r="A46" s="250" t="s">
        <v>194</v>
      </c>
      <c r="B46" s="250" t="s">
        <v>263</v>
      </c>
      <c r="C46" s="254">
        <v>0.01</v>
      </c>
      <c r="D46" s="254"/>
      <c r="E46" s="257"/>
      <c r="F46" s="257"/>
      <c r="G46" s="255"/>
    </row>
    <row r="47" spans="1:7" x14ac:dyDescent="0.25">
      <c r="A47" s="250" t="s">
        <v>185</v>
      </c>
      <c r="B47" s="255" t="s">
        <v>264</v>
      </c>
      <c r="C47" s="254">
        <v>5</v>
      </c>
      <c r="D47" s="254">
        <v>5</v>
      </c>
      <c r="E47" s="257"/>
      <c r="F47" s="257"/>
      <c r="G47" s="250" t="s">
        <v>187</v>
      </c>
    </row>
    <row r="48" spans="1:7" x14ac:dyDescent="0.25">
      <c r="A48" s="250" t="s">
        <v>194</v>
      </c>
      <c r="B48" s="250" t="s">
        <v>265</v>
      </c>
      <c r="C48" s="254">
        <v>0.8</v>
      </c>
      <c r="D48" s="254"/>
      <c r="E48" s="257"/>
      <c r="F48" s="257"/>
      <c r="G48" s="255"/>
    </row>
    <row r="49" spans="1:7" x14ac:dyDescent="0.25">
      <c r="A49" s="250" t="s">
        <v>196</v>
      </c>
      <c r="B49" s="250" t="s">
        <v>266</v>
      </c>
      <c r="C49" s="254">
        <v>0.5</v>
      </c>
      <c r="D49" s="254"/>
      <c r="E49" s="257"/>
      <c r="F49" s="257"/>
      <c r="G49" s="255"/>
    </row>
    <row r="50" spans="1:7" x14ac:dyDescent="0.25">
      <c r="A50" s="250" t="s">
        <v>267</v>
      </c>
      <c r="B50" s="253" t="s">
        <v>43</v>
      </c>
      <c r="C50" s="251">
        <v>0.5</v>
      </c>
      <c r="D50" s="254">
        <v>3</v>
      </c>
      <c r="E50" s="257"/>
      <c r="F50" s="257"/>
      <c r="G50" s="255"/>
    </row>
    <row r="51" spans="1:7" x14ac:dyDescent="0.25">
      <c r="A51" s="250" t="s">
        <v>268</v>
      </c>
      <c r="B51" s="250" t="s">
        <v>269</v>
      </c>
      <c r="C51" s="254">
        <v>0.2</v>
      </c>
      <c r="D51" s="254"/>
      <c r="E51" s="257"/>
      <c r="F51" s="257"/>
      <c r="G51" s="255"/>
    </row>
    <row r="52" spans="1:7" x14ac:dyDescent="0.25">
      <c r="A52" s="250" t="s">
        <v>270</v>
      </c>
      <c r="B52" s="256" t="s">
        <v>271</v>
      </c>
      <c r="C52" s="251">
        <v>25</v>
      </c>
      <c r="D52" s="254">
        <v>2</v>
      </c>
      <c r="E52" s="257"/>
      <c r="F52" s="257"/>
      <c r="G52" s="255" t="s">
        <v>272</v>
      </c>
    </row>
    <row r="53" spans="1:7" x14ac:dyDescent="0.25">
      <c r="A53" s="250" t="s">
        <v>185</v>
      </c>
      <c r="B53" s="255" t="s">
        <v>273</v>
      </c>
      <c r="C53" s="254">
        <v>1</v>
      </c>
      <c r="D53" s="254">
        <v>8</v>
      </c>
      <c r="E53" s="257"/>
      <c r="F53" s="257"/>
      <c r="G53" s="250" t="s">
        <v>187</v>
      </c>
    </row>
    <row r="54" spans="1:7" x14ac:dyDescent="0.25">
      <c r="A54" s="250" t="s">
        <v>267</v>
      </c>
      <c r="B54" s="253" t="s">
        <v>274</v>
      </c>
      <c r="C54" s="251">
        <v>5</v>
      </c>
      <c r="D54" s="254">
        <v>4</v>
      </c>
      <c r="E54" s="257"/>
      <c r="F54" s="257"/>
      <c r="G54" s="255"/>
    </row>
    <row r="55" spans="1:7" x14ac:dyDescent="0.25">
      <c r="A55" s="250" t="s">
        <v>275</v>
      </c>
      <c r="B55" s="253" t="s">
        <v>276</v>
      </c>
      <c r="C55" s="251">
        <v>1</v>
      </c>
      <c r="D55" s="254">
        <v>1</v>
      </c>
      <c r="E55" s="257"/>
      <c r="F55" s="257"/>
      <c r="G55" s="250" t="s">
        <v>277</v>
      </c>
    </row>
    <row r="56" spans="1:7" x14ac:dyDescent="0.25">
      <c r="A56" s="250" t="s">
        <v>154</v>
      </c>
      <c r="B56" s="256" t="s">
        <v>278</v>
      </c>
      <c r="C56" s="251">
        <v>1</v>
      </c>
      <c r="D56" s="251">
        <v>1.5</v>
      </c>
      <c r="E56" s="252"/>
      <c r="F56" s="252"/>
      <c r="G56" s="255"/>
    </row>
    <row r="57" spans="1:7" x14ac:dyDescent="0.25">
      <c r="A57" s="250" t="s">
        <v>178</v>
      </c>
      <c r="B57" s="256" t="s">
        <v>279</v>
      </c>
      <c r="C57" s="251">
        <v>2</v>
      </c>
      <c r="D57" s="254">
        <v>5</v>
      </c>
      <c r="E57" s="257"/>
      <c r="F57" s="257"/>
      <c r="G57" s="255" t="s">
        <v>280</v>
      </c>
    </row>
    <row r="58" spans="1:7" x14ac:dyDescent="0.25">
      <c r="A58" s="250" t="s">
        <v>281</v>
      </c>
      <c r="B58" s="253" t="s">
        <v>282</v>
      </c>
      <c r="C58" s="251">
        <v>10</v>
      </c>
      <c r="D58" s="254">
        <v>1</v>
      </c>
      <c r="E58" s="257"/>
      <c r="F58" s="257"/>
      <c r="G58" s="250" t="s">
        <v>283</v>
      </c>
    </row>
    <row r="59" spans="1:7" x14ac:dyDescent="0.25">
      <c r="A59" s="250" t="s">
        <v>77</v>
      </c>
      <c r="B59" s="255" t="s">
        <v>284</v>
      </c>
      <c r="C59" s="254">
        <v>0.1</v>
      </c>
      <c r="D59" s="254">
        <v>0</v>
      </c>
      <c r="E59" s="257"/>
      <c r="F59" s="257"/>
      <c r="G59" s="250" t="s">
        <v>285</v>
      </c>
    </row>
    <row r="60" spans="1:7" x14ac:dyDescent="0.25">
      <c r="A60" s="250" t="s">
        <v>286</v>
      </c>
      <c r="B60" s="255" t="s">
        <v>287</v>
      </c>
      <c r="C60" s="254">
        <v>25</v>
      </c>
      <c r="D60" s="254">
        <v>3</v>
      </c>
      <c r="E60" s="257"/>
      <c r="F60" s="257"/>
      <c r="G60" s="255" t="s">
        <v>288</v>
      </c>
    </row>
    <row r="61" spans="1:7" x14ac:dyDescent="0.25">
      <c r="A61" s="250" t="s">
        <v>237</v>
      </c>
      <c r="B61" s="250" t="s">
        <v>289</v>
      </c>
      <c r="C61" s="254">
        <v>8</v>
      </c>
      <c r="D61" s="254"/>
      <c r="E61" s="252" t="s">
        <v>290</v>
      </c>
      <c r="F61" s="252" t="s">
        <v>291</v>
      </c>
      <c r="G61" s="250" t="s">
        <v>241</v>
      </c>
    </row>
    <row r="62" spans="1:7" x14ac:dyDescent="0.25">
      <c r="A62" s="250" t="s">
        <v>237</v>
      </c>
      <c r="B62" s="250" t="s">
        <v>292</v>
      </c>
      <c r="C62" s="254">
        <v>50</v>
      </c>
      <c r="D62" s="254"/>
      <c r="E62" s="252" t="s">
        <v>293</v>
      </c>
      <c r="F62" s="252" t="s">
        <v>291</v>
      </c>
      <c r="G62" s="250" t="s">
        <v>241</v>
      </c>
    </row>
    <row r="63" spans="1:7" x14ac:dyDescent="0.25">
      <c r="A63" s="250" t="s">
        <v>77</v>
      </c>
      <c r="B63" s="255" t="s">
        <v>294</v>
      </c>
      <c r="C63" s="254">
        <v>1</v>
      </c>
      <c r="D63" s="254">
        <v>0.5</v>
      </c>
      <c r="E63" s="257"/>
      <c r="F63" s="257"/>
      <c r="G63" s="250" t="s">
        <v>285</v>
      </c>
    </row>
    <row r="64" spans="1:7" x14ac:dyDescent="0.25">
      <c r="A64" s="250" t="s">
        <v>202</v>
      </c>
      <c r="B64" s="255" t="s">
        <v>295</v>
      </c>
      <c r="C64" s="254">
        <v>6</v>
      </c>
      <c r="D64" s="254">
        <v>3</v>
      </c>
      <c r="E64" s="257"/>
      <c r="F64" s="257"/>
      <c r="G64" s="250" t="s">
        <v>204</v>
      </c>
    </row>
    <row r="65" spans="1:7" x14ac:dyDescent="0.25">
      <c r="A65" s="250" t="s">
        <v>202</v>
      </c>
      <c r="B65" s="255" t="s">
        <v>296</v>
      </c>
      <c r="C65" s="254">
        <v>25</v>
      </c>
      <c r="D65" s="254">
        <v>10</v>
      </c>
      <c r="E65" s="257"/>
      <c r="F65" s="257"/>
      <c r="G65" s="250" t="s">
        <v>204</v>
      </c>
    </row>
    <row r="66" spans="1:7" x14ac:dyDescent="0.25">
      <c r="A66" s="250" t="s">
        <v>237</v>
      </c>
      <c r="B66" s="250" t="s">
        <v>297</v>
      </c>
      <c r="C66" s="254">
        <v>200</v>
      </c>
      <c r="D66" s="254"/>
      <c r="E66" s="252" t="s">
        <v>298</v>
      </c>
      <c r="F66" s="252" t="s">
        <v>291</v>
      </c>
      <c r="G66" s="250" t="s">
        <v>241</v>
      </c>
    </row>
    <row r="67" spans="1:7" x14ac:dyDescent="0.25">
      <c r="A67" s="250" t="s">
        <v>188</v>
      </c>
      <c r="B67" s="256" t="s">
        <v>299</v>
      </c>
      <c r="C67" s="251">
        <v>5</v>
      </c>
      <c r="D67" s="254">
        <v>0</v>
      </c>
      <c r="E67" s="257"/>
      <c r="F67" s="257"/>
      <c r="G67" s="250" t="s">
        <v>190</v>
      </c>
    </row>
    <row r="68" spans="1:7" x14ac:dyDescent="0.25">
      <c r="A68" s="250" t="s">
        <v>300</v>
      </c>
      <c r="B68" s="250" t="s">
        <v>301</v>
      </c>
      <c r="C68" s="254">
        <v>60</v>
      </c>
      <c r="D68" s="254">
        <v>40</v>
      </c>
      <c r="E68" s="257"/>
      <c r="F68" s="257"/>
      <c r="G68" s="250" t="s">
        <v>302</v>
      </c>
    </row>
    <row r="69" spans="1:7" x14ac:dyDescent="0.25">
      <c r="A69" s="250" t="s">
        <v>216</v>
      </c>
      <c r="B69" s="250" t="s">
        <v>303</v>
      </c>
      <c r="C69" s="254">
        <v>0.05</v>
      </c>
      <c r="D69" s="254">
        <v>10</v>
      </c>
      <c r="E69" s="257"/>
      <c r="F69" s="257"/>
      <c r="G69" s="255"/>
    </row>
    <row r="70" spans="1:7" x14ac:dyDescent="0.25">
      <c r="A70" s="250" t="s">
        <v>267</v>
      </c>
      <c r="B70" s="253" t="s">
        <v>304</v>
      </c>
      <c r="C70" s="251">
        <v>15</v>
      </c>
      <c r="D70" s="254">
        <v>6</v>
      </c>
      <c r="E70" s="257"/>
      <c r="F70" s="257"/>
      <c r="G70" s="255"/>
    </row>
    <row r="71" spans="1:7" x14ac:dyDescent="0.25">
      <c r="A71" s="250" t="s">
        <v>305</v>
      </c>
      <c r="B71" s="250" t="s">
        <v>306</v>
      </c>
      <c r="C71" s="254">
        <v>3</v>
      </c>
      <c r="D71" s="254">
        <v>0</v>
      </c>
      <c r="E71" s="257"/>
      <c r="F71" s="257"/>
      <c r="G71" s="255"/>
    </row>
    <row r="72" spans="1:7" x14ac:dyDescent="0.25">
      <c r="A72" s="250" t="s">
        <v>307</v>
      </c>
      <c r="B72" s="250" t="s">
        <v>308</v>
      </c>
      <c r="C72" s="254">
        <v>3</v>
      </c>
      <c r="D72" s="254">
        <v>0</v>
      </c>
      <c r="E72" s="257"/>
      <c r="F72" s="257"/>
      <c r="G72" s="255"/>
    </row>
    <row r="73" spans="1:7" x14ac:dyDescent="0.25">
      <c r="A73" s="250" t="s">
        <v>309</v>
      </c>
      <c r="B73" s="250" t="s">
        <v>310</v>
      </c>
      <c r="C73" s="254">
        <v>2</v>
      </c>
      <c r="D73" s="254">
        <v>0</v>
      </c>
      <c r="E73" s="257"/>
      <c r="F73" s="257"/>
      <c r="G73" s="255"/>
    </row>
    <row r="74" spans="1:7" x14ac:dyDescent="0.25">
      <c r="A74" s="250" t="s">
        <v>268</v>
      </c>
      <c r="B74" s="250" t="s">
        <v>311</v>
      </c>
      <c r="C74" s="254">
        <v>10</v>
      </c>
      <c r="D74" s="254"/>
      <c r="E74" s="257"/>
      <c r="F74" s="257"/>
      <c r="G74" s="255"/>
    </row>
    <row r="75" spans="1:7" x14ac:dyDescent="0.25">
      <c r="A75" s="250" t="s">
        <v>178</v>
      </c>
      <c r="B75" s="256" t="s">
        <v>312</v>
      </c>
      <c r="C75" s="251">
        <v>1</v>
      </c>
      <c r="D75" s="254">
        <v>4</v>
      </c>
      <c r="E75" s="257"/>
      <c r="F75" s="257"/>
      <c r="G75" s="255" t="s">
        <v>313</v>
      </c>
    </row>
    <row r="76" spans="1:7" x14ac:dyDescent="0.25">
      <c r="A76" s="250" t="s">
        <v>199</v>
      </c>
      <c r="B76" s="256" t="s">
        <v>314</v>
      </c>
      <c r="C76" s="251">
        <v>0.02</v>
      </c>
      <c r="D76" s="254">
        <v>1</v>
      </c>
      <c r="E76" s="252" t="s">
        <v>315</v>
      </c>
      <c r="F76" s="252"/>
      <c r="G76" s="255"/>
    </row>
    <row r="77" spans="1:7" x14ac:dyDescent="0.25">
      <c r="A77" s="250" t="s">
        <v>202</v>
      </c>
      <c r="B77" s="255" t="s">
        <v>316</v>
      </c>
      <c r="C77" s="254">
        <v>2</v>
      </c>
      <c r="D77" s="254">
        <v>1</v>
      </c>
      <c r="E77" s="257"/>
      <c r="F77" s="257"/>
      <c r="G77" s="250" t="s">
        <v>204</v>
      </c>
    </row>
    <row r="78" spans="1:7" x14ac:dyDescent="0.25">
      <c r="A78" s="250" t="s">
        <v>286</v>
      </c>
      <c r="B78" s="255" t="s">
        <v>317</v>
      </c>
      <c r="C78" s="254">
        <v>15</v>
      </c>
      <c r="D78" s="254">
        <v>5</v>
      </c>
      <c r="E78" s="257"/>
      <c r="F78" s="257"/>
      <c r="G78" s="255" t="s">
        <v>318</v>
      </c>
    </row>
    <row r="79" spans="1:7" x14ac:dyDescent="0.25">
      <c r="A79" s="250" t="s">
        <v>319</v>
      </c>
      <c r="B79" s="250" t="s">
        <v>320</v>
      </c>
      <c r="C79" s="254">
        <v>30000</v>
      </c>
      <c r="D79" s="254"/>
      <c r="E79" s="257"/>
      <c r="F79" s="251" t="s">
        <v>321</v>
      </c>
      <c r="G79" s="255"/>
    </row>
    <row r="80" spans="1:7" x14ac:dyDescent="0.25">
      <c r="A80" s="250" t="s">
        <v>268</v>
      </c>
      <c r="B80" s="250" t="s">
        <v>322</v>
      </c>
      <c r="C80" s="254">
        <v>0.2</v>
      </c>
      <c r="D80" s="254"/>
      <c r="E80" s="257"/>
      <c r="F80" s="257"/>
      <c r="G80" s="255"/>
    </row>
    <row r="81" spans="1:7" x14ac:dyDescent="0.25">
      <c r="A81" s="250" t="s">
        <v>199</v>
      </c>
      <c r="B81" s="253" t="s">
        <v>323</v>
      </c>
      <c r="C81" s="251">
        <v>2</v>
      </c>
      <c r="D81" s="254">
        <v>2</v>
      </c>
      <c r="E81" s="252" t="s">
        <v>324</v>
      </c>
      <c r="F81" s="252"/>
      <c r="G81" s="255"/>
    </row>
    <row r="82" spans="1:7" x14ac:dyDescent="0.25">
      <c r="A82" s="250" t="s">
        <v>185</v>
      </c>
      <c r="B82" s="255" t="s">
        <v>325</v>
      </c>
      <c r="C82" s="254">
        <v>30</v>
      </c>
      <c r="D82" s="254">
        <v>5</v>
      </c>
      <c r="E82" s="257"/>
      <c r="F82" s="257"/>
      <c r="G82" s="250" t="s">
        <v>187</v>
      </c>
    </row>
    <row r="83" spans="1:7" x14ac:dyDescent="0.25">
      <c r="A83" s="250" t="s">
        <v>178</v>
      </c>
      <c r="B83" s="256" t="s">
        <v>326</v>
      </c>
      <c r="C83" s="251">
        <v>2</v>
      </c>
      <c r="D83" s="254">
        <v>4</v>
      </c>
      <c r="E83" s="257"/>
      <c r="F83" s="257"/>
      <c r="G83" s="255"/>
    </row>
    <row r="84" spans="1:7" x14ac:dyDescent="0.25">
      <c r="A84" s="250" t="s">
        <v>227</v>
      </c>
      <c r="B84" s="250" t="s">
        <v>327</v>
      </c>
      <c r="C84" s="254">
        <v>3000</v>
      </c>
      <c r="D84" s="254">
        <v>80</v>
      </c>
      <c r="E84" s="257"/>
      <c r="F84" s="257"/>
      <c r="G84" s="250" t="s">
        <v>228</v>
      </c>
    </row>
    <row r="85" spans="1:7" x14ac:dyDescent="0.25">
      <c r="A85" s="250" t="s">
        <v>178</v>
      </c>
      <c r="B85" s="256" t="s">
        <v>328</v>
      </c>
      <c r="C85" s="251">
        <v>1</v>
      </c>
      <c r="D85" s="254">
        <v>3</v>
      </c>
      <c r="E85" s="257"/>
      <c r="F85" s="257"/>
      <c r="G85" s="255"/>
    </row>
    <row r="86" spans="1:7" x14ac:dyDescent="0.25">
      <c r="A86" s="250" t="s">
        <v>191</v>
      </c>
      <c r="B86" s="256" t="s">
        <v>329</v>
      </c>
      <c r="C86" s="251">
        <v>5</v>
      </c>
      <c r="D86" s="254">
        <v>3</v>
      </c>
      <c r="E86" s="257"/>
      <c r="F86" s="257"/>
      <c r="G86" s="255" t="s">
        <v>330</v>
      </c>
    </row>
    <row r="87" spans="1:7" x14ac:dyDescent="0.25">
      <c r="A87" s="250" t="s">
        <v>216</v>
      </c>
      <c r="B87" s="253" t="s">
        <v>331</v>
      </c>
      <c r="C87" s="251">
        <v>1</v>
      </c>
      <c r="D87" s="254">
        <v>10</v>
      </c>
      <c r="E87" s="257"/>
      <c r="F87" s="257"/>
      <c r="G87" s="250" t="s">
        <v>332</v>
      </c>
    </row>
    <row r="88" spans="1:7" x14ac:dyDescent="0.25">
      <c r="A88" s="250" t="s">
        <v>286</v>
      </c>
      <c r="B88" s="255" t="s">
        <v>333</v>
      </c>
      <c r="C88" s="254">
        <v>5</v>
      </c>
      <c r="D88" s="254">
        <v>3</v>
      </c>
      <c r="E88" s="257"/>
      <c r="F88" s="257"/>
      <c r="G88" s="255" t="s">
        <v>334</v>
      </c>
    </row>
    <row r="89" spans="1:7" x14ac:dyDescent="0.25">
      <c r="A89" s="250" t="s">
        <v>227</v>
      </c>
      <c r="B89" s="250" t="s">
        <v>100</v>
      </c>
      <c r="C89" s="254">
        <v>40</v>
      </c>
      <c r="D89" s="254">
        <v>24</v>
      </c>
      <c r="E89" s="257"/>
      <c r="F89" s="257"/>
      <c r="G89" s="250" t="s">
        <v>228</v>
      </c>
    </row>
    <row r="90" spans="1:7" x14ac:dyDescent="0.25">
      <c r="A90" s="250" t="s">
        <v>180</v>
      </c>
      <c r="B90" s="256" t="s">
        <v>335</v>
      </c>
      <c r="C90" s="251">
        <v>25</v>
      </c>
      <c r="D90" s="254">
        <v>1</v>
      </c>
      <c r="E90" s="257"/>
      <c r="F90" s="257"/>
      <c r="G90" s="255" t="s">
        <v>336</v>
      </c>
    </row>
    <row r="91" spans="1:7" x14ac:dyDescent="0.25">
      <c r="A91" s="250" t="s">
        <v>216</v>
      </c>
      <c r="B91" s="253" t="s">
        <v>337</v>
      </c>
      <c r="C91" s="251">
        <v>5</v>
      </c>
      <c r="D91" s="254">
        <v>2</v>
      </c>
      <c r="E91" s="257"/>
      <c r="F91" s="257"/>
      <c r="G91" s="255" t="s">
        <v>338</v>
      </c>
    </row>
    <row r="92" spans="1:7" x14ac:dyDescent="0.25">
      <c r="A92" s="250" t="s">
        <v>202</v>
      </c>
      <c r="B92" s="255" t="s">
        <v>339</v>
      </c>
      <c r="C92" s="254">
        <v>3</v>
      </c>
      <c r="D92" s="254">
        <v>2</v>
      </c>
      <c r="E92" s="257"/>
      <c r="F92" s="257"/>
      <c r="G92" s="250" t="s">
        <v>204</v>
      </c>
    </row>
    <row r="93" spans="1:7" x14ac:dyDescent="0.25">
      <c r="A93" s="250" t="s">
        <v>178</v>
      </c>
      <c r="B93" s="256" t="s">
        <v>340</v>
      </c>
      <c r="C93" s="251">
        <v>25</v>
      </c>
      <c r="D93" s="254">
        <v>1</v>
      </c>
      <c r="E93" s="257"/>
      <c r="F93" s="257"/>
      <c r="G93" s="255"/>
    </row>
    <row r="94" spans="1:7" x14ac:dyDescent="0.25">
      <c r="A94" s="250" t="s">
        <v>196</v>
      </c>
      <c r="B94" s="250" t="s">
        <v>341</v>
      </c>
      <c r="C94" s="254">
        <v>0.1</v>
      </c>
      <c r="D94" s="254"/>
      <c r="E94" s="257"/>
      <c r="F94" s="257"/>
      <c r="G94" s="255"/>
    </row>
    <row r="95" spans="1:7" x14ac:dyDescent="0.25">
      <c r="A95" s="250" t="s">
        <v>178</v>
      </c>
      <c r="B95" s="256" t="s">
        <v>342</v>
      </c>
      <c r="C95" s="251">
        <v>5</v>
      </c>
      <c r="D95" s="254">
        <v>25</v>
      </c>
      <c r="E95" s="257"/>
      <c r="F95" s="257"/>
      <c r="G95" s="255" t="s">
        <v>343</v>
      </c>
    </row>
    <row r="96" spans="1:7" x14ac:dyDescent="0.25">
      <c r="A96" s="250" t="s">
        <v>216</v>
      </c>
      <c r="B96" s="256" t="s">
        <v>344</v>
      </c>
      <c r="C96" s="251">
        <v>10</v>
      </c>
      <c r="D96" s="254">
        <v>0</v>
      </c>
      <c r="E96" s="257"/>
      <c r="F96" s="257"/>
      <c r="G96" s="255"/>
    </row>
    <row r="97" spans="1:7" x14ac:dyDescent="0.25">
      <c r="A97" s="250" t="s">
        <v>178</v>
      </c>
      <c r="B97" s="256" t="s">
        <v>345</v>
      </c>
      <c r="C97" s="251">
        <v>0.02</v>
      </c>
      <c r="D97" s="254">
        <v>0</v>
      </c>
      <c r="E97" s="257"/>
      <c r="F97" s="257"/>
      <c r="G97" s="255"/>
    </row>
    <row r="98" spans="1:7" x14ac:dyDescent="0.25">
      <c r="A98" s="250" t="s">
        <v>199</v>
      </c>
      <c r="B98" s="253" t="s">
        <v>346</v>
      </c>
      <c r="C98" s="251">
        <v>2</v>
      </c>
      <c r="D98" s="254">
        <v>10</v>
      </c>
      <c r="E98" s="252" t="s">
        <v>347</v>
      </c>
      <c r="F98" s="252"/>
      <c r="G98" s="255"/>
    </row>
    <row r="99" spans="1:7" x14ac:dyDescent="0.25">
      <c r="A99" s="250" t="s">
        <v>178</v>
      </c>
      <c r="B99" s="253" t="s">
        <v>348</v>
      </c>
      <c r="C99" s="251">
        <v>1</v>
      </c>
      <c r="D99" s="254">
        <v>5</v>
      </c>
      <c r="E99" s="257"/>
      <c r="F99" s="257"/>
      <c r="G99" s="255"/>
    </row>
    <row r="100" spans="1:7" x14ac:dyDescent="0.25">
      <c r="A100" s="250" t="s">
        <v>185</v>
      </c>
      <c r="B100" s="255" t="s">
        <v>349</v>
      </c>
      <c r="C100" s="254">
        <v>25</v>
      </c>
      <c r="D100" s="254">
        <v>2</v>
      </c>
      <c r="E100" s="257"/>
      <c r="F100" s="257"/>
      <c r="G100" s="250" t="s">
        <v>187</v>
      </c>
    </row>
    <row r="101" spans="1:7" x14ac:dyDescent="0.25">
      <c r="A101" s="250" t="s">
        <v>199</v>
      </c>
      <c r="B101" s="256" t="s">
        <v>350</v>
      </c>
      <c r="C101" s="251">
        <v>0.02</v>
      </c>
      <c r="D101" s="254">
        <v>4</v>
      </c>
      <c r="E101" s="252" t="s">
        <v>347</v>
      </c>
      <c r="F101" s="252"/>
      <c r="G101" s="255"/>
    </row>
    <row r="102" spans="1:7" x14ac:dyDescent="0.25">
      <c r="A102" s="250" t="s">
        <v>319</v>
      </c>
      <c r="B102" s="250" t="s">
        <v>351</v>
      </c>
      <c r="C102" s="254">
        <v>3000</v>
      </c>
      <c r="D102" s="254"/>
      <c r="E102" s="257"/>
      <c r="F102" s="251" t="s">
        <v>352</v>
      </c>
      <c r="G102" s="250" t="s">
        <v>353</v>
      </c>
    </row>
    <row r="103" spans="1:7" x14ac:dyDescent="0.25">
      <c r="A103" s="250" t="s">
        <v>178</v>
      </c>
      <c r="B103" s="256" t="s">
        <v>354</v>
      </c>
      <c r="C103" s="251">
        <v>0.1</v>
      </c>
      <c r="D103" s="254">
        <v>25</v>
      </c>
      <c r="E103" s="257"/>
      <c r="F103" s="257"/>
      <c r="G103" s="255"/>
    </row>
    <row r="104" spans="1:7" x14ac:dyDescent="0.25">
      <c r="A104" s="250" t="s">
        <v>216</v>
      </c>
      <c r="B104" s="256" t="s">
        <v>355</v>
      </c>
      <c r="C104" s="251">
        <v>0.5</v>
      </c>
      <c r="D104" s="254">
        <v>1</v>
      </c>
      <c r="E104" s="257"/>
      <c r="F104" s="257"/>
      <c r="G104" s="255" t="s">
        <v>356</v>
      </c>
    </row>
    <row r="105" spans="1:7" x14ac:dyDescent="0.25">
      <c r="A105" s="250" t="s">
        <v>357</v>
      </c>
      <c r="B105" s="250" t="s">
        <v>358</v>
      </c>
      <c r="C105" s="254">
        <v>40</v>
      </c>
      <c r="D105" s="254">
        <v>20</v>
      </c>
      <c r="E105" s="257"/>
      <c r="F105" s="257"/>
      <c r="G105" s="250" t="s">
        <v>228</v>
      </c>
    </row>
    <row r="106" spans="1:7" x14ac:dyDescent="0.25">
      <c r="A106" s="250" t="s">
        <v>185</v>
      </c>
      <c r="B106" s="255" t="s">
        <v>359</v>
      </c>
      <c r="C106" s="254">
        <v>5</v>
      </c>
      <c r="D106" s="254">
        <v>5</v>
      </c>
      <c r="E106" s="257"/>
      <c r="F106" s="257"/>
      <c r="G106" s="250" t="s">
        <v>187</v>
      </c>
    </row>
    <row r="107" spans="1:7" x14ac:dyDescent="0.25">
      <c r="A107" s="250" t="s">
        <v>196</v>
      </c>
      <c r="B107" s="250" t="s">
        <v>360</v>
      </c>
      <c r="C107" s="254">
        <v>0.02</v>
      </c>
      <c r="D107" s="254"/>
      <c r="E107" s="257"/>
      <c r="F107" s="257"/>
      <c r="G107" s="255"/>
    </row>
    <row r="108" spans="1:7" x14ac:dyDescent="0.25">
      <c r="A108" s="250" t="s">
        <v>178</v>
      </c>
      <c r="B108" s="256" t="s">
        <v>361</v>
      </c>
      <c r="C108" s="251">
        <v>10</v>
      </c>
      <c r="D108" s="254">
        <v>1</v>
      </c>
      <c r="E108" s="257"/>
      <c r="F108" s="257"/>
      <c r="G108" s="255" t="s">
        <v>362</v>
      </c>
    </row>
    <row r="109" spans="1:7" x14ac:dyDescent="0.25">
      <c r="A109" s="250" t="s">
        <v>319</v>
      </c>
      <c r="B109" s="250" t="s">
        <v>363</v>
      </c>
      <c r="C109" s="254">
        <v>10000</v>
      </c>
      <c r="D109" s="254"/>
      <c r="E109" s="257"/>
      <c r="F109" s="251" t="s">
        <v>364</v>
      </c>
      <c r="G109" s="255"/>
    </row>
    <row r="110" spans="1:7" x14ac:dyDescent="0.25">
      <c r="A110" s="250" t="s">
        <v>202</v>
      </c>
      <c r="B110" s="255" t="s">
        <v>365</v>
      </c>
      <c r="C110" s="254">
        <v>35</v>
      </c>
      <c r="D110" s="254">
        <v>2</v>
      </c>
      <c r="E110" s="257"/>
      <c r="F110" s="257"/>
      <c r="G110" s="250" t="s">
        <v>204</v>
      </c>
    </row>
    <row r="111" spans="1:7" x14ac:dyDescent="0.25">
      <c r="A111" s="250" t="s">
        <v>202</v>
      </c>
      <c r="B111" s="255" t="s">
        <v>366</v>
      </c>
      <c r="C111" s="254">
        <v>30</v>
      </c>
      <c r="D111" s="254">
        <v>2</v>
      </c>
      <c r="E111" s="257"/>
      <c r="F111" s="257"/>
      <c r="G111" s="250" t="s">
        <v>204</v>
      </c>
    </row>
    <row r="112" spans="1:7" x14ac:dyDescent="0.25">
      <c r="A112" s="250" t="s">
        <v>178</v>
      </c>
      <c r="B112" s="256" t="s">
        <v>367</v>
      </c>
      <c r="C112" s="251">
        <v>100</v>
      </c>
      <c r="D112" s="254">
        <v>0</v>
      </c>
      <c r="E112" s="257"/>
      <c r="F112" s="257"/>
      <c r="G112" s="255" t="s">
        <v>368</v>
      </c>
    </row>
    <row r="113" spans="1:7" x14ac:dyDescent="0.25">
      <c r="A113" s="250" t="s">
        <v>178</v>
      </c>
      <c r="B113" s="256" t="s">
        <v>369</v>
      </c>
      <c r="C113" s="251">
        <v>2</v>
      </c>
      <c r="D113" s="254">
        <v>6</v>
      </c>
      <c r="E113" s="257"/>
      <c r="F113" s="257"/>
      <c r="G113" s="255" t="s">
        <v>370</v>
      </c>
    </row>
    <row r="114" spans="1:7" x14ac:dyDescent="0.25">
      <c r="A114" s="250" t="s">
        <v>275</v>
      </c>
      <c r="B114" s="253" t="s">
        <v>371</v>
      </c>
      <c r="C114" s="251">
        <v>1</v>
      </c>
      <c r="D114" s="254">
        <v>1</v>
      </c>
      <c r="E114" s="257"/>
      <c r="F114" s="257"/>
      <c r="G114" s="250" t="s">
        <v>372</v>
      </c>
    </row>
    <row r="115" spans="1:7" x14ac:dyDescent="0.25">
      <c r="A115" s="250" t="s">
        <v>185</v>
      </c>
      <c r="B115" s="255" t="s">
        <v>373</v>
      </c>
      <c r="C115" s="254">
        <v>10</v>
      </c>
      <c r="D115" s="254">
        <v>8</v>
      </c>
      <c r="E115" s="257"/>
      <c r="F115" s="257"/>
      <c r="G115" s="250" t="s">
        <v>187</v>
      </c>
    </row>
    <row r="116" spans="1:7" x14ac:dyDescent="0.25">
      <c r="A116" s="250" t="s">
        <v>237</v>
      </c>
      <c r="B116" s="250" t="s">
        <v>374</v>
      </c>
      <c r="C116" s="254">
        <v>25</v>
      </c>
      <c r="D116" s="254"/>
      <c r="E116" s="252" t="s">
        <v>375</v>
      </c>
      <c r="F116" s="252" t="s">
        <v>291</v>
      </c>
      <c r="G116" s="250" t="s">
        <v>241</v>
      </c>
    </row>
    <row r="117" spans="1:7" x14ac:dyDescent="0.25">
      <c r="A117" s="250" t="s">
        <v>178</v>
      </c>
      <c r="B117" s="253" t="s">
        <v>376</v>
      </c>
      <c r="C117" s="251">
        <v>5</v>
      </c>
      <c r="D117" s="254">
        <v>3</v>
      </c>
      <c r="E117" s="257"/>
      <c r="F117" s="257"/>
      <c r="G117" s="255" t="s">
        <v>377</v>
      </c>
    </row>
    <row r="118" spans="1:7" x14ac:dyDescent="0.25">
      <c r="A118" s="250" t="s">
        <v>178</v>
      </c>
      <c r="B118" s="256" t="s">
        <v>378</v>
      </c>
      <c r="C118" s="251">
        <v>0.2</v>
      </c>
      <c r="D118" s="254">
        <v>1</v>
      </c>
      <c r="E118" s="257"/>
      <c r="F118" s="257"/>
      <c r="G118" s="255" t="s">
        <v>379</v>
      </c>
    </row>
    <row r="119" spans="1:7" x14ac:dyDescent="0.25">
      <c r="A119" s="250" t="s">
        <v>194</v>
      </c>
      <c r="B119" s="250" t="s">
        <v>380</v>
      </c>
      <c r="C119" s="254">
        <v>0.02</v>
      </c>
      <c r="D119" s="254"/>
      <c r="E119" s="257"/>
      <c r="F119" s="257"/>
      <c r="G119" s="250" t="s">
        <v>262</v>
      </c>
    </row>
    <row r="120" spans="1:7" x14ac:dyDescent="0.25">
      <c r="A120" s="250" t="s">
        <v>300</v>
      </c>
      <c r="B120" s="250" t="s">
        <v>381</v>
      </c>
      <c r="C120" s="254">
        <v>20</v>
      </c>
      <c r="D120" s="254">
        <v>30</v>
      </c>
      <c r="E120" s="257"/>
      <c r="F120" s="257"/>
      <c r="G120" s="250" t="s">
        <v>382</v>
      </c>
    </row>
    <row r="121" spans="1:7" x14ac:dyDescent="0.25">
      <c r="A121" s="250" t="s">
        <v>178</v>
      </c>
      <c r="B121" s="253" t="s">
        <v>383</v>
      </c>
      <c r="C121" s="251">
        <v>2</v>
      </c>
      <c r="D121" s="254">
        <v>10</v>
      </c>
      <c r="E121" s="257"/>
      <c r="F121" s="257"/>
      <c r="G121" s="255"/>
    </row>
    <row r="122" spans="1:7" x14ac:dyDescent="0.25">
      <c r="A122" s="250" t="s">
        <v>194</v>
      </c>
      <c r="B122" s="250" t="s">
        <v>384</v>
      </c>
      <c r="C122" s="254">
        <v>0.5</v>
      </c>
      <c r="D122" s="254"/>
      <c r="E122" s="257"/>
      <c r="F122" s="257"/>
      <c r="G122" s="255"/>
    </row>
    <row r="123" spans="1:7" x14ac:dyDescent="0.25">
      <c r="A123" s="250" t="s">
        <v>196</v>
      </c>
      <c r="B123" s="250" t="s">
        <v>385</v>
      </c>
      <c r="C123" s="254">
        <v>0.3</v>
      </c>
      <c r="D123" s="254"/>
      <c r="E123" s="257"/>
      <c r="F123" s="257"/>
      <c r="G123" s="255"/>
    </row>
    <row r="124" spans="1:7" x14ac:dyDescent="0.25">
      <c r="A124" s="250" t="s">
        <v>268</v>
      </c>
      <c r="B124" s="250" t="s">
        <v>386</v>
      </c>
      <c r="C124" s="254">
        <v>0.04</v>
      </c>
      <c r="D124" s="254"/>
      <c r="E124" s="257"/>
      <c r="F124" s="257"/>
      <c r="G124" s="255"/>
    </row>
    <row r="125" spans="1:7" x14ac:dyDescent="0.25">
      <c r="A125" s="250" t="s">
        <v>286</v>
      </c>
      <c r="B125" s="255" t="s">
        <v>387</v>
      </c>
      <c r="C125" s="254">
        <v>25</v>
      </c>
      <c r="D125" s="254">
        <v>2</v>
      </c>
      <c r="E125" s="257"/>
      <c r="F125" s="257"/>
      <c r="G125" s="250" t="s">
        <v>388</v>
      </c>
    </row>
    <row r="126" spans="1:7" x14ac:dyDescent="0.25">
      <c r="A126" s="250" t="s">
        <v>216</v>
      </c>
      <c r="B126" s="256" t="s">
        <v>389</v>
      </c>
      <c r="C126" s="251">
        <v>0.1</v>
      </c>
      <c r="D126" s="254">
        <v>1</v>
      </c>
      <c r="E126" s="257"/>
      <c r="F126" s="257"/>
      <c r="G126" s="255" t="s">
        <v>390</v>
      </c>
    </row>
    <row r="127" spans="1:7" x14ac:dyDescent="0.25">
      <c r="A127" s="250" t="s">
        <v>281</v>
      </c>
      <c r="B127" s="253" t="s">
        <v>391</v>
      </c>
      <c r="C127" s="251">
        <v>20</v>
      </c>
      <c r="D127" s="251">
        <v>3</v>
      </c>
      <c r="E127" s="252"/>
      <c r="F127" s="252"/>
      <c r="G127" s="250" t="s">
        <v>283</v>
      </c>
    </row>
    <row r="128" spans="1:7" x14ac:dyDescent="0.25">
      <c r="A128" s="250" t="s">
        <v>300</v>
      </c>
      <c r="B128" s="250" t="s">
        <v>392</v>
      </c>
      <c r="C128" s="254">
        <v>5</v>
      </c>
      <c r="D128" s="254">
        <v>15</v>
      </c>
      <c r="E128" s="257"/>
      <c r="F128" s="257"/>
      <c r="G128" s="255"/>
    </row>
    <row r="129" spans="1:7" x14ac:dyDescent="0.25">
      <c r="A129" s="250" t="s">
        <v>357</v>
      </c>
      <c r="B129" s="250" t="s">
        <v>393</v>
      </c>
      <c r="C129" s="254">
        <v>20</v>
      </c>
      <c r="D129" s="254">
        <v>16</v>
      </c>
      <c r="E129" s="257"/>
      <c r="F129" s="257"/>
      <c r="G129" s="250" t="s">
        <v>228</v>
      </c>
    </row>
    <row r="130" spans="1:7" x14ac:dyDescent="0.25">
      <c r="A130" s="250" t="s">
        <v>185</v>
      </c>
      <c r="B130" s="255" t="s">
        <v>394</v>
      </c>
      <c r="C130" s="254">
        <v>10</v>
      </c>
      <c r="D130" s="254">
        <v>5</v>
      </c>
      <c r="E130" s="257"/>
      <c r="F130" s="257"/>
      <c r="G130" s="250" t="s">
        <v>187</v>
      </c>
    </row>
    <row r="131" spans="1:7" x14ac:dyDescent="0.25">
      <c r="A131" s="250" t="s">
        <v>202</v>
      </c>
      <c r="B131" s="255" t="s">
        <v>395</v>
      </c>
      <c r="C131" s="254">
        <v>12</v>
      </c>
      <c r="D131" s="254">
        <v>2</v>
      </c>
      <c r="E131" s="257"/>
      <c r="F131" s="257"/>
      <c r="G131" s="250" t="s">
        <v>204</v>
      </c>
    </row>
    <row r="132" spans="1:7" x14ac:dyDescent="0.25">
      <c r="A132" s="250" t="s">
        <v>216</v>
      </c>
      <c r="B132" s="256" t="s">
        <v>396</v>
      </c>
      <c r="C132" s="251">
        <v>0.2</v>
      </c>
      <c r="D132" s="254">
        <v>0</v>
      </c>
      <c r="E132" s="257"/>
      <c r="F132" s="257"/>
      <c r="G132" s="255"/>
    </row>
    <row r="133" spans="1:7" x14ac:dyDescent="0.25">
      <c r="A133" s="250" t="s">
        <v>216</v>
      </c>
      <c r="B133" s="256" t="s">
        <v>397</v>
      </c>
      <c r="C133" s="251">
        <v>0.1</v>
      </c>
      <c r="D133" s="254">
        <v>0</v>
      </c>
      <c r="E133" s="257"/>
      <c r="F133" s="257"/>
      <c r="G133" s="255"/>
    </row>
    <row r="134" spans="1:7" x14ac:dyDescent="0.25">
      <c r="A134" s="250" t="s">
        <v>180</v>
      </c>
      <c r="B134" s="256" t="s">
        <v>398</v>
      </c>
      <c r="C134" s="251">
        <v>5</v>
      </c>
      <c r="D134" s="254">
        <v>0</v>
      </c>
      <c r="E134" s="257"/>
      <c r="F134" s="257"/>
      <c r="G134" s="255"/>
    </row>
    <row r="135" spans="1:7" x14ac:dyDescent="0.25">
      <c r="A135" s="250" t="s">
        <v>178</v>
      </c>
      <c r="B135" s="256" t="s">
        <v>399</v>
      </c>
      <c r="C135" s="251">
        <v>0.05</v>
      </c>
      <c r="D135" s="254">
        <v>0.25</v>
      </c>
      <c r="E135" s="257"/>
      <c r="F135" s="257"/>
      <c r="G135" s="255"/>
    </row>
    <row r="136" spans="1:7" x14ac:dyDescent="0.25">
      <c r="A136" s="250" t="s">
        <v>251</v>
      </c>
      <c r="B136" s="250" t="s">
        <v>108</v>
      </c>
      <c r="C136" s="254">
        <v>6000</v>
      </c>
      <c r="D136" s="254">
        <v>130</v>
      </c>
      <c r="E136" s="257"/>
      <c r="F136" s="257"/>
      <c r="G136" s="250" t="s">
        <v>228</v>
      </c>
    </row>
    <row r="137" spans="1:7" x14ac:dyDescent="0.25">
      <c r="A137" s="250" t="s">
        <v>77</v>
      </c>
      <c r="B137" s="255" t="s">
        <v>400</v>
      </c>
      <c r="C137" s="254">
        <v>0.5</v>
      </c>
      <c r="D137" s="254">
        <v>0</v>
      </c>
      <c r="E137" s="257"/>
      <c r="F137" s="257"/>
      <c r="G137" s="250" t="s">
        <v>285</v>
      </c>
    </row>
    <row r="138" spans="1:7" x14ac:dyDescent="0.25">
      <c r="A138" s="250" t="s">
        <v>286</v>
      </c>
      <c r="B138" s="255" t="s">
        <v>401</v>
      </c>
      <c r="C138" s="254">
        <v>50</v>
      </c>
      <c r="D138" s="254">
        <v>2</v>
      </c>
      <c r="E138" s="257"/>
      <c r="F138" s="257"/>
      <c r="G138" s="255" t="s">
        <v>402</v>
      </c>
    </row>
    <row r="139" spans="1:7" x14ac:dyDescent="0.25">
      <c r="A139" s="250" t="s">
        <v>178</v>
      </c>
      <c r="B139" s="256" t="s">
        <v>403</v>
      </c>
      <c r="C139" s="251">
        <v>0.05</v>
      </c>
      <c r="D139" s="254">
        <v>7</v>
      </c>
      <c r="E139" s="257"/>
      <c r="F139" s="257"/>
      <c r="G139" s="255"/>
    </row>
    <row r="140" spans="1:7" x14ac:dyDescent="0.25">
      <c r="A140" s="250" t="s">
        <v>237</v>
      </c>
      <c r="B140" s="250" t="s">
        <v>404</v>
      </c>
      <c r="C140" s="254">
        <v>30</v>
      </c>
      <c r="D140" s="254"/>
      <c r="E140" s="252" t="s">
        <v>405</v>
      </c>
      <c r="F140" s="252" t="s">
        <v>291</v>
      </c>
      <c r="G140" s="250" t="s">
        <v>241</v>
      </c>
    </row>
    <row r="141" spans="1:7" x14ac:dyDescent="0.25">
      <c r="A141" s="250" t="s">
        <v>194</v>
      </c>
      <c r="B141" s="250" t="s">
        <v>406</v>
      </c>
      <c r="C141" s="254">
        <v>0.1</v>
      </c>
      <c r="D141" s="254"/>
      <c r="E141" s="257"/>
      <c r="F141" s="257"/>
      <c r="G141" s="255"/>
    </row>
    <row r="142" spans="1:7" x14ac:dyDescent="0.25">
      <c r="A142" s="250" t="s">
        <v>196</v>
      </c>
      <c r="B142" s="250" t="s">
        <v>407</v>
      </c>
      <c r="C142" s="254">
        <v>0.06</v>
      </c>
      <c r="D142" s="254"/>
      <c r="E142" s="257"/>
      <c r="F142" s="257"/>
      <c r="G142" s="255"/>
    </row>
    <row r="143" spans="1:7" x14ac:dyDescent="0.25">
      <c r="A143" s="250" t="s">
        <v>178</v>
      </c>
      <c r="B143" s="253" t="s">
        <v>408</v>
      </c>
      <c r="C143" s="251">
        <v>4</v>
      </c>
      <c r="D143" s="254">
        <v>35</v>
      </c>
      <c r="E143" s="257"/>
      <c r="F143" s="257"/>
      <c r="G143" s="255" t="s">
        <v>409</v>
      </c>
    </row>
    <row r="144" spans="1:7" x14ac:dyDescent="0.25">
      <c r="A144" s="250" t="s">
        <v>410</v>
      </c>
      <c r="B144" s="256" t="s">
        <v>411</v>
      </c>
      <c r="C144" s="251">
        <v>50</v>
      </c>
      <c r="D144" s="254">
        <v>0.5</v>
      </c>
      <c r="E144" s="257"/>
      <c r="F144" s="257"/>
      <c r="G144" s="255" t="s">
        <v>412</v>
      </c>
    </row>
    <row r="145" spans="1:7" x14ac:dyDescent="0.25">
      <c r="A145" s="250" t="s">
        <v>185</v>
      </c>
      <c r="B145" s="255" t="s">
        <v>413</v>
      </c>
      <c r="C145" s="254">
        <v>10</v>
      </c>
      <c r="D145" s="254">
        <v>3</v>
      </c>
      <c r="E145" s="257"/>
      <c r="F145" s="257"/>
      <c r="G145" s="250" t="s">
        <v>187</v>
      </c>
    </row>
    <row r="146" spans="1:7" x14ac:dyDescent="0.25">
      <c r="A146" s="250" t="s">
        <v>199</v>
      </c>
      <c r="B146" s="256" t="s">
        <v>414</v>
      </c>
      <c r="C146" s="251">
        <v>0.5</v>
      </c>
      <c r="D146" s="254">
        <v>1</v>
      </c>
      <c r="E146" s="252" t="s">
        <v>415</v>
      </c>
      <c r="F146" s="252"/>
      <c r="G146" s="255" t="s">
        <v>416</v>
      </c>
    </row>
    <row r="147" spans="1:7" x14ac:dyDescent="0.25">
      <c r="A147" s="250" t="s">
        <v>199</v>
      </c>
      <c r="B147" s="256" t="s">
        <v>417</v>
      </c>
      <c r="C147" s="251">
        <v>1</v>
      </c>
      <c r="D147" s="254">
        <v>1</v>
      </c>
      <c r="E147" s="257"/>
      <c r="F147" s="257"/>
      <c r="G147" s="255" t="s">
        <v>418</v>
      </c>
    </row>
    <row r="148" spans="1:7" x14ac:dyDescent="0.25">
      <c r="A148" s="250" t="s">
        <v>216</v>
      </c>
      <c r="B148" s="256" t="s">
        <v>419</v>
      </c>
      <c r="C148" s="251">
        <v>0.5</v>
      </c>
      <c r="D148" s="254">
        <v>2</v>
      </c>
      <c r="E148" s="257"/>
      <c r="F148" s="257"/>
      <c r="G148" s="255" t="s">
        <v>420</v>
      </c>
    </row>
    <row r="149" spans="1:7" x14ac:dyDescent="0.25">
      <c r="A149" s="250" t="s">
        <v>188</v>
      </c>
      <c r="B149" s="256" t="s">
        <v>421</v>
      </c>
      <c r="C149" s="251">
        <v>5</v>
      </c>
      <c r="D149" s="254">
        <v>2</v>
      </c>
      <c r="E149" s="257"/>
      <c r="F149" s="257"/>
      <c r="G149" s="250" t="s">
        <v>190</v>
      </c>
    </row>
    <row r="150" spans="1:7" x14ac:dyDescent="0.25">
      <c r="A150" s="250" t="s">
        <v>300</v>
      </c>
      <c r="B150" s="250" t="s">
        <v>422</v>
      </c>
      <c r="C150" s="254">
        <v>10</v>
      </c>
      <c r="D150" s="254">
        <v>25</v>
      </c>
      <c r="E150" s="257"/>
      <c r="F150" s="257"/>
      <c r="G150" s="255"/>
    </row>
    <row r="151" spans="1:7" x14ac:dyDescent="0.25">
      <c r="A151" s="250" t="s">
        <v>237</v>
      </c>
      <c r="B151" s="250" t="s">
        <v>423</v>
      </c>
      <c r="C151" s="254">
        <v>75</v>
      </c>
      <c r="D151" s="254"/>
      <c r="E151" s="252" t="s">
        <v>239</v>
      </c>
      <c r="F151" s="252" t="s">
        <v>424</v>
      </c>
      <c r="G151" s="250" t="s">
        <v>241</v>
      </c>
    </row>
    <row r="152" spans="1:7" x14ac:dyDescent="0.25">
      <c r="A152" s="250" t="s">
        <v>251</v>
      </c>
      <c r="B152" s="250" t="s">
        <v>425</v>
      </c>
      <c r="C152" s="254">
        <v>120</v>
      </c>
      <c r="D152" s="254">
        <v>80</v>
      </c>
      <c r="E152" s="257"/>
      <c r="F152" s="257"/>
      <c r="G152" s="250" t="s">
        <v>228</v>
      </c>
    </row>
    <row r="153" spans="1:7" x14ac:dyDescent="0.25">
      <c r="A153" s="250" t="s">
        <v>426</v>
      </c>
      <c r="B153" s="250" t="s">
        <v>427</v>
      </c>
      <c r="C153" s="254"/>
      <c r="D153" s="254"/>
      <c r="E153" s="257"/>
      <c r="F153" s="257"/>
      <c r="G153" s="255"/>
    </row>
    <row r="154" spans="1:7" x14ac:dyDescent="0.25">
      <c r="A154" s="250" t="s">
        <v>194</v>
      </c>
      <c r="B154" s="250" t="s">
        <v>428</v>
      </c>
      <c r="C154" s="254">
        <v>0.01</v>
      </c>
      <c r="D154" s="254"/>
      <c r="E154" s="257"/>
      <c r="F154" s="257"/>
      <c r="G154" s="255"/>
    </row>
    <row r="155" spans="1:7" x14ac:dyDescent="0.25">
      <c r="A155" s="250" t="s">
        <v>267</v>
      </c>
      <c r="B155" s="256" t="s">
        <v>429</v>
      </c>
      <c r="C155" s="251">
        <v>1</v>
      </c>
      <c r="D155" s="254">
        <v>4</v>
      </c>
      <c r="E155" s="257"/>
      <c r="F155" s="257"/>
      <c r="G155" s="255"/>
    </row>
    <row r="156" spans="1:7" x14ac:dyDescent="0.25">
      <c r="A156" s="250" t="s">
        <v>281</v>
      </c>
      <c r="B156" s="253" t="s">
        <v>430</v>
      </c>
      <c r="C156" s="251">
        <v>10</v>
      </c>
      <c r="D156" s="251">
        <v>2</v>
      </c>
      <c r="E156" s="252"/>
      <c r="F156" s="252"/>
      <c r="G156" s="250" t="s">
        <v>283</v>
      </c>
    </row>
    <row r="157" spans="1:7" x14ac:dyDescent="0.25">
      <c r="A157" s="250" t="s">
        <v>319</v>
      </c>
      <c r="B157" s="250" t="s">
        <v>431</v>
      </c>
      <c r="C157" s="254">
        <v>50</v>
      </c>
      <c r="D157" s="254"/>
      <c r="E157" s="257"/>
      <c r="F157" s="251" t="s">
        <v>432</v>
      </c>
      <c r="G157" s="250" t="s">
        <v>353</v>
      </c>
    </row>
    <row r="158" spans="1:7" x14ac:dyDescent="0.25">
      <c r="A158" s="250" t="s">
        <v>199</v>
      </c>
      <c r="B158" s="256" t="s">
        <v>433</v>
      </c>
      <c r="C158" s="251">
        <v>0.01</v>
      </c>
      <c r="D158" s="254">
        <v>0.5</v>
      </c>
      <c r="E158" s="252" t="s">
        <v>201</v>
      </c>
      <c r="F158" s="252"/>
      <c r="G158" s="255"/>
    </row>
    <row r="159" spans="1:7" x14ac:dyDescent="0.25">
      <c r="A159" s="250" t="s">
        <v>199</v>
      </c>
      <c r="B159" s="250" t="s">
        <v>434</v>
      </c>
      <c r="C159" s="254">
        <v>4</v>
      </c>
      <c r="D159" s="254">
        <v>8</v>
      </c>
      <c r="E159" s="257"/>
      <c r="F159" s="257"/>
      <c r="G159" s="255"/>
    </row>
    <row r="160" spans="1:7" x14ac:dyDescent="0.25">
      <c r="A160" s="250" t="s">
        <v>319</v>
      </c>
      <c r="B160" s="250" t="s">
        <v>435</v>
      </c>
      <c r="C160" s="254">
        <v>10000</v>
      </c>
      <c r="D160" s="254"/>
      <c r="E160" s="257"/>
      <c r="F160" s="251" t="s">
        <v>436</v>
      </c>
      <c r="G160" s="255"/>
    </row>
    <row r="161" spans="1:7" x14ac:dyDescent="0.25">
      <c r="A161" s="250" t="s">
        <v>227</v>
      </c>
      <c r="B161" s="250" t="s">
        <v>437</v>
      </c>
      <c r="C161" s="254">
        <v>200</v>
      </c>
      <c r="D161" s="254">
        <v>90</v>
      </c>
      <c r="E161" s="257"/>
      <c r="F161" s="257"/>
      <c r="G161" s="250" t="s">
        <v>228</v>
      </c>
    </row>
    <row r="162" spans="1:7" x14ac:dyDescent="0.25">
      <c r="A162" s="250" t="s">
        <v>438</v>
      </c>
      <c r="B162" s="250" t="s">
        <v>439</v>
      </c>
      <c r="C162" s="254"/>
      <c r="D162" s="254">
        <v>1</v>
      </c>
      <c r="E162" s="257"/>
      <c r="F162" s="257"/>
      <c r="G162" s="255"/>
    </row>
    <row r="163" spans="1:7" x14ac:dyDescent="0.25">
      <c r="A163" s="250" t="s">
        <v>178</v>
      </c>
      <c r="B163" s="253" t="s">
        <v>440</v>
      </c>
      <c r="C163" s="254">
        <v>0.5</v>
      </c>
      <c r="D163" s="254">
        <v>0</v>
      </c>
      <c r="E163" s="257"/>
      <c r="F163" s="257"/>
      <c r="G163" s="255"/>
    </row>
    <row r="164" spans="1:7" x14ac:dyDescent="0.25">
      <c r="A164" s="250" t="s">
        <v>202</v>
      </c>
      <c r="B164" s="255" t="s">
        <v>441</v>
      </c>
      <c r="C164" s="254">
        <v>2</v>
      </c>
      <c r="D164" s="254">
        <v>1</v>
      </c>
      <c r="E164" s="257"/>
      <c r="F164" s="257"/>
      <c r="G164" s="250" t="s">
        <v>204</v>
      </c>
    </row>
    <row r="165" spans="1:7" x14ac:dyDescent="0.25">
      <c r="A165" s="250" t="s">
        <v>194</v>
      </c>
      <c r="B165" s="250" t="s">
        <v>442</v>
      </c>
      <c r="C165" s="254">
        <v>0.1</v>
      </c>
      <c r="D165" s="254"/>
      <c r="E165" s="257"/>
      <c r="F165" s="257"/>
      <c r="G165" s="250" t="s">
        <v>262</v>
      </c>
    </row>
    <row r="166" spans="1:7" x14ac:dyDescent="0.25">
      <c r="A166" s="250" t="s">
        <v>178</v>
      </c>
      <c r="B166" s="256" t="s">
        <v>443</v>
      </c>
      <c r="C166" s="251">
        <v>2</v>
      </c>
      <c r="D166" s="254">
        <v>5</v>
      </c>
      <c r="E166" s="257"/>
      <c r="F166" s="257"/>
      <c r="G166" s="255"/>
    </row>
    <row r="167" spans="1:7" x14ac:dyDescent="0.25">
      <c r="A167" s="250" t="s">
        <v>178</v>
      </c>
      <c r="B167" s="256" t="s">
        <v>444</v>
      </c>
      <c r="C167" s="251">
        <v>0.05</v>
      </c>
      <c r="D167" s="254">
        <v>0</v>
      </c>
      <c r="E167" s="257"/>
      <c r="F167" s="257"/>
      <c r="G167" s="255"/>
    </row>
    <row r="168" spans="1:7" x14ac:dyDescent="0.25">
      <c r="A168" s="250" t="s">
        <v>426</v>
      </c>
      <c r="B168" s="256" t="s">
        <v>445</v>
      </c>
      <c r="C168" s="251">
        <v>5</v>
      </c>
      <c r="D168" s="254">
        <v>0</v>
      </c>
      <c r="E168" s="257"/>
      <c r="F168" s="257"/>
      <c r="G168" s="255"/>
    </row>
    <row r="169" spans="1:7" x14ac:dyDescent="0.25">
      <c r="A169" s="250" t="s">
        <v>216</v>
      </c>
      <c r="B169" s="253" t="s">
        <v>446</v>
      </c>
      <c r="C169" s="251">
        <v>10</v>
      </c>
      <c r="D169" s="254">
        <v>5</v>
      </c>
      <c r="E169" s="257"/>
      <c r="F169" s="257"/>
      <c r="G169" s="250" t="s">
        <v>332</v>
      </c>
    </row>
    <row r="170" spans="1:7" x14ac:dyDescent="0.25">
      <c r="A170" s="250" t="s">
        <v>447</v>
      </c>
      <c r="B170" s="250" t="s">
        <v>448</v>
      </c>
      <c r="C170" s="254">
        <v>5</v>
      </c>
      <c r="D170" s="254">
        <v>0</v>
      </c>
      <c r="E170" s="257"/>
      <c r="F170" s="257"/>
      <c r="G170" s="255"/>
    </row>
    <row r="171" spans="1:7" x14ac:dyDescent="0.25">
      <c r="A171" s="250" t="s">
        <v>194</v>
      </c>
      <c r="B171" s="250" t="s">
        <v>449</v>
      </c>
      <c r="C171" s="254">
        <v>2</v>
      </c>
      <c r="D171" s="254"/>
      <c r="E171" s="257"/>
      <c r="F171" s="257"/>
      <c r="G171" s="250" t="s">
        <v>450</v>
      </c>
    </row>
    <row r="172" spans="1:7" x14ac:dyDescent="0.25">
      <c r="A172" s="250" t="s">
        <v>245</v>
      </c>
      <c r="B172" s="250" t="s">
        <v>451</v>
      </c>
      <c r="C172" s="254">
        <v>20</v>
      </c>
      <c r="D172" s="254">
        <v>300</v>
      </c>
      <c r="E172" s="257"/>
      <c r="F172" s="257"/>
      <c r="G172" s="255"/>
    </row>
    <row r="173" spans="1:7" x14ac:dyDescent="0.25">
      <c r="A173" s="250" t="s">
        <v>178</v>
      </c>
      <c r="B173" s="253" t="s">
        <v>452</v>
      </c>
      <c r="C173" s="251">
        <v>2</v>
      </c>
      <c r="D173" s="254">
        <v>10</v>
      </c>
      <c r="E173" s="257"/>
      <c r="F173" s="257"/>
      <c r="G173" s="255"/>
    </row>
    <row r="174" spans="1:7" x14ac:dyDescent="0.25">
      <c r="A174" s="250" t="s">
        <v>154</v>
      </c>
      <c r="B174" s="256" t="s">
        <v>453</v>
      </c>
      <c r="C174" s="251">
        <v>0.04</v>
      </c>
      <c r="D174" s="254">
        <v>1.5</v>
      </c>
      <c r="E174" s="257"/>
      <c r="F174" s="257"/>
      <c r="G174" s="255"/>
    </row>
    <row r="175" spans="1:7" x14ac:dyDescent="0.25">
      <c r="A175" s="250" t="s">
        <v>185</v>
      </c>
      <c r="B175" s="255" t="s">
        <v>454</v>
      </c>
      <c r="C175" s="254">
        <v>10</v>
      </c>
      <c r="D175" s="254">
        <v>8</v>
      </c>
      <c r="E175" s="257"/>
      <c r="F175" s="257"/>
      <c r="G175" s="250" t="s">
        <v>187</v>
      </c>
    </row>
    <row r="176" spans="1:7" x14ac:dyDescent="0.25">
      <c r="A176" s="250" t="s">
        <v>216</v>
      </c>
      <c r="B176" s="256" t="s">
        <v>455</v>
      </c>
      <c r="C176" s="251">
        <v>0.02</v>
      </c>
      <c r="D176" s="254">
        <v>0</v>
      </c>
      <c r="E176" s="257"/>
      <c r="F176" s="257"/>
      <c r="G176" s="255"/>
    </row>
    <row r="177" spans="1:7" x14ac:dyDescent="0.25">
      <c r="A177" s="250" t="s">
        <v>270</v>
      </c>
      <c r="B177" s="256" t="s">
        <v>456</v>
      </c>
      <c r="C177" s="251">
        <v>50</v>
      </c>
      <c r="D177" s="254">
        <v>3</v>
      </c>
      <c r="E177" s="257"/>
      <c r="F177" s="257"/>
      <c r="G177" s="255" t="s">
        <v>457</v>
      </c>
    </row>
    <row r="178" spans="1:7" x14ac:dyDescent="0.25">
      <c r="A178" s="250" t="s">
        <v>251</v>
      </c>
      <c r="B178" s="250" t="s">
        <v>107</v>
      </c>
      <c r="C178" s="254">
        <v>800</v>
      </c>
      <c r="D178" s="254">
        <v>120</v>
      </c>
      <c r="E178" s="257"/>
      <c r="F178" s="257"/>
      <c r="G178" s="250" t="s">
        <v>228</v>
      </c>
    </row>
    <row r="179" spans="1:7" x14ac:dyDescent="0.25">
      <c r="A179" s="250" t="s">
        <v>458</v>
      </c>
      <c r="B179" s="256" t="s">
        <v>459</v>
      </c>
      <c r="C179" s="251">
        <v>1</v>
      </c>
      <c r="D179" s="254">
        <v>0</v>
      </c>
      <c r="E179" s="257"/>
      <c r="F179" s="257"/>
      <c r="G179" s="250" t="s">
        <v>460</v>
      </c>
    </row>
    <row r="180" spans="1:7" x14ac:dyDescent="0.25">
      <c r="A180" s="250" t="s">
        <v>178</v>
      </c>
      <c r="B180" s="256" t="s">
        <v>461</v>
      </c>
      <c r="C180" s="251">
        <v>1000</v>
      </c>
      <c r="D180" s="254">
        <v>1</v>
      </c>
      <c r="E180" s="257"/>
      <c r="F180" s="257"/>
      <c r="G180" s="255" t="s">
        <v>462</v>
      </c>
    </row>
    <row r="181" spans="1:7" x14ac:dyDescent="0.25">
      <c r="A181" s="250" t="s">
        <v>194</v>
      </c>
      <c r="B181" s="250" t="s">
        <v>463</v>
      </c>
      <c r="C181" s="254">
        <v>7.0000000000000007E-2</v>
      </c>
      <c r="D181" s="254"/>
      <c r="E181" s="257"/>
      <c r="F181" s="257"/>
      <c r="G181" s="255"/>
    </row>
    <row r="182" spans="1:7" x14ac:dyDescent="0.25">
      <c r="A182" s="250" t="s">
        <v>196</v>
      </c>
      <c r="B182" s="250" t="s">
        <v>464</v>
      </c>
      <c r="C182" s="254">
        <v>0.03</v>
      </c>
      <c r="D182" s="254"/>
      <c r="E182" s="257"/>
      <c r="F182" s="257"/>
      <c r="G182" s="255"/>
    </row>
    <row r="183" spans="1:7" x14ac:dyDescent="0.25">
      <c r="A183" s="250" t="s">
        <v>194</v>
      </c>
      <c r="B183" s="250" t="s">
        <v>465</v>
      </c>
      <c r="C183" s="254">
        <v>0.5</v>
      </c>
      <c r="D183" s="254">
        <v>0</v>
      </c>
      <c r="E183" s="257"/>
      <c r="F183" s="257"/>
      <c r="G183" s="255"/>
    </row>
    <row r="184" spans="1:7" x14ac:dyDescent="0.25">
      <c r="A184" s="250" t="s">
        <v>281</v>
      </c>
      <c r="B184" s="253" t="s">
        <v>466</v>
      </c>
      <c r="C184" s="251">
        <v>5</v>
      </c>
      <c r="D184" s="251">
        <v>4</v>
      </c>
      <c r="E184" s="252"/>
      <c r="F184" s="252"/>
      <c r="G184" s="250" t="s">
        <v>283</v>
      </c>
    </row>
    <row r="185" spans="1:7" x14ac:dyDescent="0.25">
      <c r="A185" s="250" t="s">
        <v>466</v>
      </c>
      <c r="B185" s="250" t="s">
        <v>467</v>
      </c>
      <c r="C185" s="254"/>
      <c r="D185" s="254">
        <v>4</v>
      </c>
      <c r="E185" s="257"/>
      <c r="F185" s="257"/>
      <c r="G185" s="255"/>
    </row>
    <row r="186" spans="1:7" x14ac:dyDescent="0.25">
      <c r="A186" s="250" t="s">
        <v>205</v>
      </c>
      <c r="B186" s="253" t="s">
        <v>468</v>
      </c>
      <c r="C186" s="251">
        <v>5</v>
      </c>
      <c r="D186" s="254">
        <v>0.5</v>
      </c>
      <c r="E186" s="257"/>
      <c r="F186" s="257"/>
      <c r="G186" s="255"/>
    </row>
    <row r="187" spans="1:7" x14ac:dyDescent="0.25">
      <c r="A187" s="250" t="s">
        <v>357</v>
      </c>
      <c r="B187" s="250" t="s">
        <v>469</v>
      </c>
      <c r="C187" s="254">
        <v>180</v>
      </c>
      <c r="D187" s="254">
        <v>26</v>
      </c>
      <c r="E187" s="257"/>
      <c r="F187" s="257"/>
      <c r="G187" s="250" t="s">
        <v>228</v>
      </c>
    </row>
    <row r="188" spans="1:7" x14ac:dyDescent="0.25">
      <c r="A188" s="250" t="s">
        <v>286</v>
      </c>
      <c r="B188" s="255" t="s">
        <v>470</v>
      </c>
      <c r="C188" s="254">
        <v>25</v>
      </c>
      <c r="D188" s="254">
        <v>1</v>
      </c>
      <c r="E188" s="257"/>
      <c r="F188" s="257"/>
      <c r="G188" s="255" t="s">
        <v>471</v>
      </c>
    </row>
    <row r="189" spans="1:7" x14ac:dyDescent="0.25">
      <c r="A189" s="250" t="s">
        <v>77</v>
      </c>
      <c r="B189" s="255" t="s">
        <v>472</v>
      </c>
      <c r="C189" s="254">
        <v>1</v>
      </c>
      <c r="D189" s="254">
        <v>0</v>
      </c>
      <c r="E189" s="257"/>
      <c r="F189" s="257"/>
      <c r="G189" s="250" t="s">
        <v>285</v>
      </c>
    </row>
    <row r="190" spans="1:7" x14ac:dyDescent="0.25">
      <c r="A190" s="250" t="s">
        <v>216</v>
      </c>
      <c r="B190" s="256" t="s">
        <v>473</v>
      </c>
      <c r="C190" s="251">
        <v>0.5</v>
      </c>
      <c r="D190" s="254">
        <v>1</v>
      </c>
      <c r="E190" s="257"/>
      <c r="F190" s="257"/>
      <c r="G190" s="255" t="s">
        <v>474</v>
      </c>
    </row>
    <row r="191" spans="1:7" x14ac:dyDescent="0.25">
      <c r="A191" s="250" t="s">
        <v>185</v>
      </c>
      <c r="B191" s="255" t="s">
        <v>475</v>
      </c>
      <c r="C191" s="254">
        <v>50</v>
      </c>
      <c r="D191" s="254">
        <v>10</v>
      </c>
      <c r="E191" s="257"/>
      <c r="F191" s="257"/>
      <c r="G191" s="250" t="s">
        <v>187</v>
      </c>
    </row>
    <row r="192" spans="1:7" x14ac:dyDescent="0.25">
      <c r="A192" s="250" t="s">
        <v>216</v>
      </c>
      <c r="B192" s="256" t="s">
        <v>476</v>
      </c>
      <c r="C192" s="251">
        <v>0.01</v>
      </c>
      <c r="D192" s="254">
        <v>1</v>
      </c>
      <c r="E192" s="257"/>
      <c r="F192" s="257"/>
      <c r="G192" s="250" t="s">
        <v>477</v>
      </c>
    </row>
    <row r="193" spans="1:7" x14ac:dyDescent="0.25">
      <c r="A193" s="250" t="s">
        <v>458</v>
      </c>
      <c r="B193" s="256" t="s">
        <v>478</v>
      </c>
      <c r="C193" s="251">
        <v>1</v>
      </c>
      <c r="D193" s="254">
        <v>0</v>
      </c>
      <c r="E193" s="257"/>
      <c r="F193" s="257"/>
      <c r="G193" s="250" t="s">
        <v>460</v>
      </c>
    </row>
    <row r="194" spans="1:7" x14ac:dyDescent="0.25">
      <c r="A194" s="250" t="s">
        <v>267</v>
      </c>
      <c r="B194" s="253" t="s">
        <v>479</v>
      </c>
      <c r="C194" s="251">
        <v>2</v>
      </c>
      <c r="D194" s="254">
        <v>4</v>
      </c>
      <c r="E194" s="257"/>
      <c r="F194" s="257"/>
      <c r="G194" s="255"/>
    </row>
    <row r="195" spans="1:7" x14ac:dyDescent="0.25">
      <c r="A195" s="250" t="s">
        <v>216</v>
      </c>
      <c r="B195" s="253" t="s">
        <v>480</v>
      </c>
      <c r="C195" s="251">
        <v>2</v>
      </c>
      <c r="D195" s="254">
        <v>20</v>
      </c>
      <c r="E195" s="257"/>
      <c r="F195" s="257"/>
      <c r="G195" s="255" t="s">
        <v>481</v>
      </c>
    </row>
    <row r="196" spans="1:7" x14ac:dyDescent="0.25">
      <c r="A196" s="250" t="s">
        <v>194</v>
      </c>
      <c r="B196" s="250" t="s">
        <v>482</v>
      </c>
      <c r="C196" s="254">
        <v>0.2</v>
      </c>
      <c r="D196" s="254"/>
      <c r="E196" s="257"/>
      <c r="F196" s="257"/>
      <c r="G196" s="250" t="s">
        <v>450</v>
      </c>
    </row>
    <row r="197" spans="1:7" x14ac:dyDescent="0.25">
      <c r="A197" s="250" t="s">
        <v>199</v>
      </c>
      <c r="B197" s="256" t="s">
        <v>483</v>
      </c>
      <c r="C197" s="251">
        <v>1</v>
      </c>
      <c r="D197" s="254">
        <v>0</v>
      </c>
      <c r="E197" s="252" t="s">
        <v>484</v>
      </c>
      <c r="F197" s="252"/>
      <c r="G197" s="255"/>
    </row>
    <row r="198" spans="1:7" x14ac:dyDescent="0.25">
      <c r="A198" s="250" t="s">
        <v>202</v>
      </c>
      <c r="B198" s="255" t="s">
        <v>485</v>
      </c>
      <c r="C198" s="254">
        <v>30</v>
      </c>
      <c r="D198" s="254">
        <v>1</v>
      </c>
      <c r="E198" s="257"/>
      <c r="F198" s="257"/>
      <c r="G198" s="250" t="s">
        <v>204</v>
      </c>
    </row>
    <row r="199" spans="1:7" x14ac:dyDescent="0.25">
      <c r="A199" s="250" t="s">
        <v>245</v>
      </c>
      <c r="B199" s="250" t="s">
        <v>486</v>
      </c>
      <c r="C199" s="254">
        <v>35</v>
      </c>
      <c r="D199" s="254">
        <v>400</v>
      </c>
      <c r="E199" s="257"/>
      <c r="F199" s="257"/>
      <c r="G199" s="255"/>
    </row>
    <row r="200" spans="1:7" x14ac:dyDescent="0.25">
      <c r="A200" s="250" t="s">
        <v>281</v>
      </c>
      <c r="B200" s="253" t="s">
        <v>487</v>
      </c>
      <c r="C200" s="251">
        <v>10</v>
      </c>
      <c r="D200" s="251">
        <v>1</v>
      </c>
      <c r="E200" s="252"/>
      <c r="F200" s="252"/>
      <c r="G200" s="250" t="s">
        <v>283</v>
      </c>
    </row>
    <row r="201" spans="1:7" x14ac:dyDescent="0.25">
      <c r="A201" s="250" t="s">
        <v>237</v>
      </c>
      <c r="B201" s="250" t="s">
        <v>488</v>
      </c>
      <c r="C201" s="254">
        <v>400</v>
      </c>
      <c r="D201" s="254"/>
      <c r="E201" s="252" t="s">
        <v>293</v>
      </c>
      <c r="F201" s="252" t="s">
        <v>424</v>
      </c>
      <c r="G201" s="250" t="s">
        <v>241</v>
      </c>
    </row>
    <row r="202" spans="1:7" x14ac:dyDescent="0.25">
      <c r="A202" s="250" t="s">
        <v>319</v>
      </c>
      <c r="B202" s="250" t="s">
        <v>489</v>
      </c>
      <c r="C202" s="254">
        <v>25000</v>
      </c>
      <c r="D202" s="254"/>
      <c r="E202" s="257"/>
      <c r="F202" s="251" t="s">
        <v>490</v>
      </c>
      <c r="G202" s="255"/>
    </row>
    <row r="203" spans="1:7" x14ac:dyDescent="0.25">
      <c r="A203" s="250" t="s">
        <v>199</v>
      </c>
      <c r="B203" s="253" t="s">
        <v>491</v>
      </c>
      <c r="C203" s="251">
        <v>0.2</v>
      </c>
      <c r="D203" s="254">
        <v>5</v>
      </c>
      <c r="E203" s="252" t="s">
        <v>492</v>
      </c>
      <c r="F203" s="252"/>
      <c r="G203" s="255"/>
    </row>
    <row r="204" spans="1:7" x14ac:dyDescent="0.25">
      <c r="A204" s="250" t="s">
        <v>194</v>
      </c>
      <c r="B204" s="250" t="s">
        <v>493</v>
      </c>
      <c r="C204" s="254">
        <v>2</v>
      </c>
      <c r="D204" s="254"/>
      <c r="E204" s="257"/>
      <c r="F204" s="257"/>
      <c r="G204" s="255"/>
    </row>
    <row r="205" spans="1:7" x14ac:dyDescent="0.25">
      <c r="A205" s="250" t="s">
        <v>196</v>
      </c>
      <c r="B205" s="250" t="s">
        <v>494</v>
      </c>
      <c r="C205" s="254">
        <v>0.8</v>
      </c>
      <c r="D205" s="254"/>
      <c r="E205" s="257"/>
      <c r="F205" s="257"/>
      <c r="G205" s="255"/>
    </row>
    <row r="206" spans="1:7" x14ac:dyDescent="0.25">
      <c r="A206" s="250" t="s">
        <v>185</v>
      </c>
      <c r="B206" s="255" t="s">
        <v>495</v>
      </c>
      <c r="C206" s="254">
        <v>1</v>
      </c>
      <c r="D206" s="254">
        <v>5</v>
      </c>
      <c r="E206" s="257"/>
      <c r="F206" s="257"/>
      <c r="G206" s="250" t="s">
        <v>187</v>
      </c>
    </row>
    <row r="207" spans="1:7" x14ac:dyDescent="0.25">
      <c r="A207" s="250" t="s">
        <v>178</v>
      </c>
      <c r="B207" s="253" t="s">
        <v>496</v>
      </c>
      <c r="C207" s="251">
        <v>0.01</v>
      </c>
      <c r="D207" s="254">
        <v>1</v>
      </c>
      <c r="E207" s="257"/>
      <c r="F207" s="257"/>
      <c r="G207" s="255"/>
    </row>
    <row r="208" spans="1:7" x14ac:dyDescent="0.25">
      <c r="A208" s="250" t="s">
        <v>185</v>
      </c>
      <c r="B208" s="255" t="s">
        <v>497</v>
      </c>
      <c r="C208" s="254">
        <v>1</v>
      </c>
      <c r="D208" s="254">
        <v>5</v>
      </c>
      <c r="E208" s="257"/>
      <c r="F208" s="257"/>
      <c r="G208" s="250" t="s">
        <v>187</v>
      </c>
    </row>
    <row r="209" spans="1:7" x14ac:dyDescent="0.25">
      <c r="A209" s="250" t="s">
        <v>458</v>
      </c>
      <c r="B209" s="256" t="s">
        <v>498</v>
      </c>
      <c r="C209" s="251">
        <v>5</v>
      </c>
      <c r="D209" s="254">
        <v>4</v>
      </c>
      <c r="E209" s="257"/>
      <c r="F209" s="257"/>
      <c r="G209" s="250" t="s">
        <v>460</v>
      </c>
    </row>
    <row r="210" spans="1:7" x14ac:dyDescent="0.25">
      <c r="A210" s="250" t="s">
        <v>458</v>
      </c>
      <c r="B210" s="256" t="s">
        <v>499</v>
      </c>
      <c r="C210" s="251">
        <v>10</v>
      </c>
      <c r="D210" s="254">
        <v>1</v>
      </c>
      <c r="E210" s="257"/>
      <c r="F210" s="257"/>
      <c r="G210" s="250" t="s">
        <v>460</v>
      </c>
    </row>
  </sheetData>
  <autoFilter ref="A1:G210" xr:uid="{00000000-0009-0000-0000-000028000000}"/>
  <dataValidations count="1">
    <dataValidation type="list" allowBlank="1" showInputMessage="1" showErrorMessage="1" sqref="A2:A210" xr:uid="{00000000-0002-0000-2800-000000000000}">
      <formula1>Item_Group</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23"/>
  <dimension ref="A1:BL146"/>
  <sheetViews>
    <sheetView zoomScale="145" zoomScaleNormal="145" workbookViewId="0">
      <selection activeCell="W9" sqref="W9"/>
    </sheetView>
  </sheetViews>
  <sheetFormatPr defaultRowHeight="11.25" x14ac:dyDescent="0.2"/>
  <cols>
    <col min="1" max="1" width="12.28515625" style="22" customWidth="1"/>
    <col min="2" max="2" width="6.28515625" style="89" bestFit="1" customWidth="1"/>
    <col min="3" max="3" width="6.7109375" style="89" bestFit="1" customWidth="1"/>
    <col min="4" max="4" width="9.42578125" style="89" bestFit="1" customWidth="1"/>
    <col min="5" max="5" width="6.85546875" style="89" bestFit="1" customWidth="1"/>
    <col min="6" max="6" width="8.42578125" style="89" bestFit="1" customWidth="1"/>
    <col min="7" max="7" width="6.5703125" style="89" customWidth="1"/>
    <col min="8" max="9" width="6.85546875" style="89" bestFit="1" customWidth="1"/>
    <col min="10" max="10" width="8.28515625" style="89" bestFit="1" customWidth="1"/>
    <col min="11" max="11" width="7.7109375" style="89" bestFit="1" customWidth="1"/>
    <col min="12" max="13" width="6.42578125" style="89" bestFit="1" customWidth="1"/>
    <col min="14" max="14" width="5.42578125" style="89" customWidth="1"/>
    <col min="15" max="15" width="6" style="89" bestFit="1" customWidth="1"/>
    <col min="16" max="16" width="7.28515625" style="89" customWidth="1"/>
    <col min="17" max="17" width="6" style="89" customWidth="1"/>
    <col min="18" max="18" width="5.85546875" style="89" bestFit="1" customWidth="1"/>
    <col min="19" max="19" width="6.42578125" style="89" bestFit="1" customWidth="1"/>
    <col min="20" max="20" width="6.28515625" style="89" customWidth="1"/>
    <col min="21" max="21" width="6" style="89" customWidth="1"/>
    <col min="22" max="22" width="6.7109375" style="89" customWidth="1"/>
    <col min="23" max="23" width="5.7109375" style="89" customWidth="1"/>
    <col min="24" max="24" width="5.42578125" style="89" customWidth="1"/>
    <col min="25" max="26" width="6.140625" style="89" customWidth="1"/>
    <col min="27" max="27" width="5.85546875" style="89" customWidth="1"/>
    <col min="28" max="28" width="5.7109375" style="89" customWidth="1"/>
    <col min="29" max="29" width="5.28515625" style="89" customWidth="1"/>
    <col min="30" max="30" width="4.28515625" style="89" bestFit="1" customWidth="1"/>
    <col min="31" max="31" width="4.85546875" style="89" bestFit="1" customWidth="1"/>
    <col min="32" max="32" width="5" style="89" customWidth="1"/>
    <col min="33" max="33" width="4.140625" style="89" customWidth="1"/>
    <col min="34" max="34" width="5.28515625" style="89" customWidth="1"/>
    <col min="35" max="35" width="6.28515625" style="89" bestFit="1" customWidth="1"/>
    <col min="36" max="36" width="5.5703125" style="89" bestFit="1" customWidth="1"/>
    <col min="37" max="37" width="6.42578125" style="89" customWidth="1"/>
    <col min="38" max="38" width="9.140625" style="89"/>
    <col min="39" max="39" width="5.85546875" style="11" customWidth="1"/>
    <col min="40" max="40" width="4.85546875" style="11" customWidth="1"/>
    <col min="41" max="41" width="7.42578125" style="11" customWidth="1"/>
    <col min="42" max="42" width="5.42578125" style="89" customWidth="1"/>
    <col min="43" max="43" width="6.42578125" style="89" customWidth="1"/>
    <col min="44" max="16384" width="9.140625" style="89"/>
  </cols>
  <sheetData>
    <row r="1" spans="1:64" s="22" customFormat="1" x14ac:dyDescent="0.2">
      <c r="A1" s="22" t="s">
        <v>1225</v>
      </c>
      <c r="B1" s="22">
        <v>2</v>
      </c>
      <c r="C1" s="22">
        <v>3</v>
      </c>
      <c r="D1" s="22">
        <v>4</v>
      </c>
      <c r="E1" s="22">
        <v>5</v>
      </c>
      <c r="F1" s="22">
        <v>6</v>
      </c>
      <c r="G1" s="22">
        <v>7</v>
      </c>
      <c r="H1" s="22">
        <v>8</v>
      </c>
      <c r="I1" s="22">
        <v>9</v>
      </c>
      <c r="J1" s="22">
        <v>10</v>
      </c>
      <c r="K1" s="22">
        <v>11</v>
      </c>
      <c r="L1" s="22">
        <v>12</v>
      </c>
      <c r="M1" s="22">
        <v>13</v>
      </c>
      <c r="N1" s="22">
        <v>14</v>
      </c>
      <c r="O1" s="22">
        <v>15</v>
      </c>
      <c r="P1" s="22">
        <v>16</v>
      </c>
      <c r="Q1" s="22">
        <v>17</v>
      </c>
      <c r="R1" s="22">
        <v>18</v>
      </c>
      <c r="S1" s="22">
        <v>19</v>
      </c>
      <c r="T1" s="22">
        <v>20</v>
      </c>
      <c r="U1" s="22">
        <v>21</v>
      </c>
      <c r="V1" s="22">
        <v>22</v>
      </c>
      <c r="W1" s="22">
        <v>23</v>
      </c>
      <c r="X1" s="22">
        <v>24</v>
      </c>
      <c r="Y1" s="22">
        <v>25</v>
      </c>
      <c r="Z1" s="22">
        <v>26</v>
      </c>
      <c r="AA1" s="22">
        <v>27</v>
      </c>
      <c r="AB1" s="22">
        <v>28</v>
      </c>
      <c r="AC1" s="22">
        <v>29</v>
      </c>
      <c r="AD1" s="22">
        <v>30</v>
      </c>
      <c r="AE1" s="22">
        <v>31</v>
      </c>
      <c r="AF1" s="22">
        <v>32</v>
      </c>
      <c r="AG1" s="22">
        <v>33</v>
      </c>
      <c r="AH1" s="22">
        <v>34</v>
      </c>
      <c r="AI1" s="22">
        <v>35</v>
      </c>
      <c r="AJ1" s="22">
        <v>36</v>
      </c>
      <c r="AK1" s="22">
        <v>37</v>
      </c>
      <c r="AL1" s="23">
        <v>38</v>
      </c>
      <c r="AM1" s="20">
        <v>39</v>
      </c>
      <c r="AN1" s="20">
        <v>40</v>
      </c>
      <c r="AO1" s="20">
        <v>41</v>
      </c>
      <c r="AP1" s="24">
        <v>42</v>
      </c>
      <c r="AQ1" s="25">
        <v>43</v>
      </c>
      <c r="AR1" s="25">
        <v>44</v>
      </c>
      <c r="AS1" s="20">
        <v>45</v>
      </c>
      <c r="AT1" s="20">
        <v>46</v>
      </c>
      <c r="AU1" s="20">
        <v>47</v>
      </c>
      <c r="AV1" s="26">
        <v>48</v>
      </c>
      <c r="AW1" s="20">
        <v>49</v>
      </c>
      <c r="AX1" s="20">
        <v>50</v>
      </c>
      <c r="AY1" s="20">
        <v>51</v>
      </c>
      <c r="AZ1" s="20">
        <v>52</v>
      </c>
      <c r="BA1" s="20">
        <v>53</v>
      </c>
      <c r="BB1" s="20">
        <v>54</v>
      </c>
      <c r="BC1" s="20">
        <v>55</v>
      </c>
      <c r="BD1" s="20">
        <v>56</v>
      </c>
      <c r="BE1" s="20">
        <v>57</v>
      </c>
      <c r="BF1" s="20">
        <v>58</v>
      </c>
      <c r="BG1" s="20">
        <v>59</v>
      </c>
      <c r="BH1" s="20">
        <v>60</v>
      </c>
      <c r="BI1" s="20">
        <v>61</v>
      </c>
      <c r="BJ1" s="20"/>
      <c r="BK1" s="20"/>
      <c r="BL1" s="20"/>
    </row>
    <row r="2" spans="1:64" s="27" customFormat="1" ht="12" thickBot="1" x14ac:dyDescent="0.25">
      <c r="A2" s="27" t="s">
        <v>1226</v>
      </c>
      <c r="B2" s="28" t="s">
        <v>1784</v>
      </c>
      <c r="C2" s="28" t="s">
        <v>3034</v>
      </c>
      <c r="D2" s="29" t="str">
        <f ca="1">VLOOKUP(RANDBETWEEN(1,D5),A6:AT100,4)</f>
        <v>Holderhek</v>
      </c>
      <c r="E2" s="28" t="s">
        <v>3035</v>
      </c>
      <c r="F2" s="28" t="s">
        <v>3034</v>
      </c>
      <c r="G2" s="29" t="str">
        <f ca="1">VLOOKUP(RANDBETWEEN(1,G5),A6:AT100,7)</f>
        <v>Liadon(Silverfrond)</v>
      </c>
      <c r="H2" s="28" t="s">
        <v>1403</v>
      </c>
      <c r="I2" s="28" t="s">
        <v>3034</v>
      </c>
      <c r="J2" s="29" t="str">
        <f ca="1">VLOOKUP(RANDBETWEEN(1,J5),A6:AT100,10)</f>
        <v>Tosscobble</v>
      </c>
      <c r="K2" s="28" t="s">
        <v>1501</v>
      </c>
      <c r="L2" s="28" t="s">
        <v>3034</v>
      </c>
      <c r="M2" s="29" t="str">
        <f ca="1">VLOOKUP(RANDBETWEEN(1,M5),A6:AT100,13)</f>
        <v>Dumein</v>
      </c>
      <c r="N2" s="28" t="s">
        <v>1313</v>
      </c>
      <c r="O2" s="28" t="s">
        <v>3034</v>
      </c>
      <c r="P2" s="29" t="str">
        <f ca="1">VLOOKUP(RANDBETWEEN(1,P5),A6:AT100,16)</f>
        <v>Evenwood</v>
      </c>
      <c r="Q2" s="28" t="s">
        <v>1694</v>
      </c>
      <c r="R2" s="28" t="s">
        <v>3034</v>
      </c>
      <c r="S2" s="29" t="str">
        <f ca="1">VLOOKUP(RANDBETWEEN(1,S5),A6:AT100,19)</f>
        <v>Chernin</v>
      </c>
      <c r="T2" s="28" t="s">
        <v>1695</v>
      </c>
      <c r="U2" s="28" t="s">
        <v>3034</v>
      </c>
      <c r="V2" s="29" t="str">
        <f ca="1">VLOOKUP(RANDBETWEEN(1,V5),A6:AT100,22)</f>
        <v>Hornraven</v>
      </c>
      <c r="W2" s="28" t="s">
        <v>1513</v>
      </c>
      <c r="X2" s="28" t="s">
        <v>3034</v>
      </c>
      <c r="Y2" s="29" t="str">
        <f ca="1">VLOOKUP(RANDBETWEEN(1,Y5),A6:AT100,25)</f>
        <v>Uuthrakt</v>
      </c>
      <c r="Z2" s="28" t="s">
        <v>1325</v>
      </c>
      <c r="AA2" s="28" t="s">
        <v>3034</v>
      </c>
      <c r="AB2" s="29" t="str">
        <f ca="1">VLOOKUP(RANDBETWEEN(1,AB5),A6:AT100,28)</f>
        <v>Stayanoga</v>
      </c>
      <c r="AC2" s="28" t="s">
        <v>1671</v>
      </c>
      <c r="AD2" s="28" t="s">
        <v>3034</v>
      </c>
      <c r="AE2" s="29" t="str">
        <f ca="1">VLOOKUP(RANDBETWEEN(1,AE5),A6:AT100,31)</f>
        <v>Lao</v>
      </c>
      <c r="AF2" s="28" t="s">
        <v>1504</v>
      </c>
      <c r="AG2" s="28" t="s">
        <v>3034</v>
      </c>
      <c r="AH2" s="29" t="str">
        <f ca="1">VLOOKUP(RANDBETWEEN(1,AH5),A6:AT100,34)</f>
        <v>Tallstag</v>
      </c>
      <c r="AI2" s="28" t="s">
        <v>1608</v>
      </c>
      <c r="AJ2" s="28" t="s">
        <v>3034</v>
      </c>
      <c r="AK2" s="29" t="str">
        <f ca="1">VLOOKUP(RANDBETWEEN(1,AK5),A6:AT100,37)</f>
        <v>Falvone</v>
      </c>
      <c r="AL2" s="30"/>
      <c r="AM2" s="31" t="s">
        <v>1334</v>
      </c>
      <c r="AN2" s="31" t="s">
        <v>3034</v>
      </c>
      <c r="AO2" s="31" t="str">
        <f ca="1">VLOOKUP(RANDBETWEEN(1,AK5),A6:AT100,41)</f>
        <v>Blaerabban</v>
      </c>
      <c r="AP2" s="32" t="s">
        <v>1289</v>
      </c>
      <c r="AQ2" s="33" t="s">
        <v>3034</v>
      </c>
      <c r="AR2" s="33" t="str">
        <f ca="1">VLOOKUP(RANDBETWEEN(1,AK5),A6:AT100,44)</f>
        <v>Kepeshkmolik</v>
      </c>
      <c r="AS2" s="34" t="s">
        <v>1436</v>
      </c>
      <c r="AT2" s="35" t="s">
        <v>3034</v>
      </c>
      <c r="AU2" s="36" t="str">
        <f ca="1">VLOOKUP(RANDBETWEEN(1,AU5),A6:AZ100,47)</f>
        <v>Timbers</v>
      </c>
      <c r="AV2" s="28" t="str">
        <f ca="1">"'"&amp;VLOOKUP(RANDBETWEEN(1,AU5),A6:AZ100,48)&amp;"'"</f>
        <v>'Ashhearth'</v>
      </c>
      <c r="AW2" s="32" t="s">
        <v>1296</v>
      </c>
      <c r="AX2" s="33" t="s">
        <v>3034</v>
      </c>
      <c r="AY2" s="37" t="s">
        <v>1685</v>
      </c>
      <c r="AZ2" s="37" t="s">
        <v>3034</v>
      </c>
      <c r="BA2" s="37" t="str">
        <f ca="1">VLOOKUP(RANDBETWEEN(1,BA5),A6:BF100,53)</f>
        <v>Random</v>
      </c>
      <c r="BB2" s="37"/>
      <c r="BC2" s="37"/>
      <c r="BD2" s="37"/>
      <c r="BE2" s="37"/>
      <c r="BF2" s="37"/>
      <c r="BG2" s="37"/>
      <c r="BH2" s="37"/>
      <c r="BI2" s="37"/>
      <c r="BJ2" s="37"/>
      <c r="BK2" s="37"/>
      <c r="BL2" s="37"/>
    </row>
    <row r="3" spans="1:64" s="52" customFormat="1" x14ac:dyDescent="0.2">
      <c r="A3" s="38" t="s">
        <v>1227</v>
      </c>
      <c r="B3" s="39" t="s">
        <v>33</v>
      </c>
      <c r="C3" s="39" t="s">
        <v>33</v>
      </c>
      <c r="D3" s="39" t="s">
        <v>33</v>
      </c>
      <c r="E3" s="40" t="s">
        <v>47</v>
      </c>
      <c r="F3" s="40" t="s">
        <v>47</v>
      </c>
      <c r="G3" s="40" t="s">
        <v>47</v>
      </c>
      <c r="H3" s="39" t="s">
        <v>56</v>
      </c>
      <c r="I3" s="41" t="s">
        <v>56</v>
      </c>
      <c r="J3" s="42" t="s">
        <v>56</v>
      </c>
      <c r="K3" s="40" t="s">
        <v>1228</v>
      </c>
      <c r="L3" s="40"/>
      <c r="M3" s="40"/>
      <c r="N3" s="39" t="s">
        <v>1229</v>
      </c>
      <c r="O3" s="39"/>
      <c r="P3" s="39"/>
      <c r="Q3" s="40" t="s">
        <v>1230</v>
      </c>
      <c r="R3" s="40"/>
      <c r="S3" s="40"/>
      <c r="T3" s="39" t="s">
        <v>1231</v>
      </c>
      <c r="U3" s="39"/>
      <c r="V3" s="39"/>
      <c r="W3" s="40" t="s">
        <v>1232</v>
      </c>
      <c r="X3" s="40"/>
      <c r="Y3" s="40"/>
      <c r="Z3" s="39" t="s">
        <v>1233</v>
      </c>
      <c r="AA3" s="39"/>
      <c r="AB3" s="39"/>
      <c r="AC3" s="40" t="s">
        <v>1234</v>
      </c>
      <c r="AD3" s="40"/>
      <c r="AE3" s="40"/>
      <c r="AF3" s="39" t="s">
        <v>1235</v>
      </c>
      <c r="AG3" s="39"/>
      <c r="AH3" s="39"/>
      <c r="AI3" s="40" t="s">
        <v>1236</v>
      </c>
      <c r="AJ3" s="40"/>
      <c r="AK3" s="43"/>
      <c r="AL3" s="41"/>
      <c r="AM3" s="44" t="s">
        <v>579</v>
      </c>
      <c r="AN3" s="39"/>
      <c r="AO3" s="39"/>
      <c r="AP3" s="45" t="s">
        <v>1237</v>
      </c>
      <c r="AQ3" s="46"/>
      <c r="AR3" s="47"/>
      <c r="AS3" s="48" t="s">
        <v>1238</v>
      </c>
      <c r="AT3" s="49"/>
      <c r="AU3" s="50"/>
      <c r="AV3" s="49"/>
      <c r="AW3" s="51" t="s">
        <v>1239</v>
      </c>
      <c r="AX3" s="39"/>
      <c r="AY3" s="44" t="s">
        <v>581</v>
      </c>
      <c r="AZ3" s="39"/>
      <c r="BA3" s="39"/>
      <c r="BB3" s="44" t="s">
        <v>1240</v>
      </c>
      <c r="BE3" s="39"/>
      <c r="BF3" s="39"/>
      <c r="BG3" s="39"/>
      <c r="BH3" s="39"/>
      <c r="BI3" s="39"/>
      <c r="BJ3" s="39"/>
      <c r="BK3" s="39"/>
      <c r="BL3" s="39"/>
    </row>
    <row r="4" spans="1:64" s="62" customFormat="1" x14ac:dyDescent="0.2">
      <c r="A4" s="53"/>
      <c r="B4" s="53" t="s">
        <v>1241</v>
      </c>
      <c r="C4" s="53" t="s">
        <v>1242</v>
      </c>
      <c r="D4" s="53" t="s">
        <v>1243</v>
      </c>
      <c r="E4" s="54" t="s">
        <v>1241</v>
      </c>
      <c r="F4" s="54" t="s">
        <v>1242</v>
      </c>
      <c r="G4" s="54" t="s">
        <v>1243</v>
      </c>
      <c r="H4" s="53" t="s">
        <v>1241</v>
      </c>
      <c r="I4" s="55" t="s">
        <v>1242</v>
      </c>
      <c r="J4" s="56" t="s">
        <v>1243</v>
      </c>
      <c r="K4" s="54" t="s">
        <v>1244</v>
      </c>
      <c r="L4" s="54" t="s">
        <v>1245</v>
      </c>
      <c r="M4" s="54" t="s">
        <v>1246</v>
      </c>
      <c r="N4" s="53" t="s">
        <v>1244</v>
      </c>
      <c r="O4" s="53" t="s">
        <v>1245</v>
      </c>
      <c r="P4" s="53" t="s">
        <v>1246</v>
      </c>
      <c r="Q4" s="54" t="s">
        <v>1244</v>
      </c>
      <c r="R4" s="54" t="s">
        <v>1245</v>
      </c>
      <c r="S4" s="54" t="s">
        <v>1246</v>
      </c>
      <c r="T4" s="53" t="s">
        <v>1244</v>
      </c>
      <c r="U4" s="53" t="s">
        <v>1245</v>
      </c>
      <c r="V4" s="53" t="s">
        <v>1246</v>
      </c>
      <c r="W4" s="54" t="s">
        <v>1247</v>
      </c>
      <c r="X4" s="54" t="s">
        <v>1245</v>
      </c>
      <c r="Y4" s="54" t="s">
        <v>1246</v>
      </c>
      <c r="Z4" s="53" t="s">
        <v>1244</v>
      </c>
      <c r="AA4" s="53" t="s">
        <v>1245</v>
      </c>
      <c r="AB4" s="53" t="s">
        <v>1246</v>
      </c>
      <c r="AC4" s="54" t="s">
        <v>1244</v>
      </c>
      <c r="AD4" s="54" t="s">
        <v>1245</v>
      </c>
      <c r="AE4" s="54" t="s">
        <v>1246</v>
      </c>
      <c r="AF4" s="53" t="s">
        <v>1244</v>
      </c>
      <c r="AG4" s="53" t="s">
        <v>1245</v>
      </c>
      <c r="AH4" s="53" t="s">
        <v>1246</v>
      </c>
      <c r="AI4" s="54" t="s">
        <v>1244</v>
      </c>
      <c r="AJ4" s="54" t="s">
        <v>1245</v>
      </c>
      <c r="AK4" s="57" t="s">
        <v>1248</v>
      </c>
      <c r="AL4" s="55"/>
      <c r="AM4" s="53" t="s">
        <v>1241</v>
      </c>
      <c r="AN4" s="53" t="s">
        <v>1242</v>
      </c>
      <c r="AO4" s="53" t="s">
        <v>1249</v>
      </c>
      <c r="AP4" s="58" t="s">
        <v>1241</v>
      </c>
      <c r="AQ4" s="53" t="s">
        <v>1242</v>
      </c>
      <c r="AR4" s="59" t="s">
        <v>1250</v>
      </c>
      <c r="AS4" s="60" t="s">
        <v>1241</v>
      </c>
      <c r="AT4" s="53" t="s">
        <v>1242</v>
      </c>
      <c r="AU4" s="55" t="s">
        <v>1250</v>
      </c>
      <c r="AV4" s="53" t="s">
        <v>1251</v>
      </c>
      <c r="AW4" s="58" t="s">
        <v>1241</v>
      </c>
      <c r="AX4" s="53" t="s">
        <v>1242</v>
      </c>
      <c r="AY4" s="61" t="s">
        <v>1241</v>
      </c>
      <c r="AZ4" s="53" t="s">
        <v>1242</v>
      </c>
      <c r="BA4" s="59" t="s">
        <v>1250</v>
      </c>
      <c r="BB4" s="61" t="s">
        <v>1252</v>
      </c>
      <c r="BE4" s="53"/>
      <c r="BF4" s="53"/>
      <c r="BG4" s="53"/>
      <c r="BH4" s="53"/>
      <c r="BI4" s="53"/>
      <c r="BJ4" s="53"/>
      <c r="BK4" s="53"/>
      <c r="BL4" s="53"/>
    </row>
    <row r="5" spans="1:64" s="69" customFormat="1" x14ac:dyDescent="0.2">
      <c r="A5" s="63" t="s">
        <v>1253</v>
      </c>
      <c r="B5" s="63">
        <v>30</v>
      </c>
      <c r="C5" s="63">
        <v>23</v>
      </c>
      <c r="D5" s="63">
        <v>15</v>
      </c>
      <c r="E5" s="63">
        <v>29</v>
      </c>
      <c r="F5" s="63">
        <v>30</v>
      </c>
      <c r="G5" s="63">
        <v>10</v>
      </c>
      <c r="H5" s="63">
        <v>17</v>
      </c>
      <c r="I5" s="64">
        <v>18</v>
      </c>
      <c r="J5" s="65">
        <v>10</v>
      </c>
      <c r="K5" s="63">
        <v>7</v>
      </c>
      <c r="L5" s="63">
        <v>8</v>
      </c>
      <c r="M5" s="63">
        <v>7</v>
      </c>
      <c r="N5" s="63">
        <v>10</v>
      </c>
      <c r="O5" s="63">
        <v>9</v>
      </c>
      <c r="P5" s="63">
        <v>6</v>
      </c>
      <c r="Q5" s="63">
        <v>11</v>
      </c>
      <c r="R5" s="63">
        <v>8</v>
      </c>
      <c r="S5" s="63">
        <v>8</v>
      </c>
      <c r="T5" s="63">
        <v>11</v>
      </c>
      <c r="U5" s="63">
        <v>8</v>
      </c>
      <c r="V5" s="63">
        <v>6</v>
      </c>
      <c r="W5" s="63">
        <v>9</v>
      </c>
      <c r="X5" s="63">
        <v>9</v>
      </c>
      <c r="Y5" s="63">
        <v>7</v>
      </c>
      <c r="Z5" s="63">
        <v>8</v>
      </c>
      <c r="AA5" s="63">
        <v>8</v>
      </c>
      <c r="AB5" s="63">
        <v>6</v>
      </c>
      <c r="AC5" s="63">
        <v>13</v>
      </c>
      <c r="AD5" s="63">
        <v>8</v>
      </c>
      <c r="AE5" s="63">
        <v>12</v>
      </c>
      <c r="AF5" s="63">
        <v>10</v>
      </c>
      <c r="AG5" s="63">
        <v>9</v>
      </c>
      <c r="AH5" s="63">
        <v>6</v>
      </c>
      <c r="AI5" s="63">
        <v>8</v>
      </c>
      <c r="AJ5" s="63">
        <v>9</v>
      </c>
      <c r="AK5" s="64">
        <v>8</v>
      </c>
      <c r="AL5" s="64" t="s">
        <v>1253</v>
      </c>
      <c r="AM5" s="63"/>
      <c r="AN5" s="63"/>
      <c r="AO5" s="63"/>
      <c r="AP5" s="66">
        <v>11</v>
      </c>
      <c r="AQ5" s="63">
        <v>17</v>
      </c>
      <c r="AR5" s="67">
        <v>18</v>
      </c>
      <c r="AS5" s="66">
        <v>23</v>
      </c>
      <c r="AT5" s="63">
        <v>22</v>
      </c>
      <c r="AU5" s="64">
        <v>11</v>
      </c>
      <c r="AV5" s="63"/>
      <c r="AW5" s="66">
        <v>12</v>
      </c>
      <c r="AX5" s="63">
        <v>12</v>
      </c>
      <c r="AY5" s="63">
        <v>14</v>
      </c>
      <c r="AZ5" s="63">
        <v>13</v>
      </c>
      <c r="BA5" s="63">
        <v>21</v>
      </c>
      <c r="BB5" s="68"/>
      <c r="BC5" s="63"/>
      <c r="BD5" s="63"/>
      <c r="BE5" s="63"/>
      <c r="BF5" s="63"/>
      <c r="BG5" s="63"/>
      <c r="BH5" s="63"/>
      <c r="BI5" s="63"/>
      <c r="BJ5" s="63"/>
      <c r="BK5" s="63"/>
      <c r="BL5" s="63"/>
    </row>
    <row r="6" spans="1:64" x14ac:dyDescent="0.2">
      <c r="A6" s="20">
        <v>1</v>
      </c>
      <c r="B6" s="70" t="s">
        <v>1254</v>
      </c>
      <c r="C6" s="70" t="s">
        <v>1255</v>
      </c>
      <c r="D6" s="70" t="s">
        <v>1256</v>
      </c>
      <c r="E6" s="71" t="s">
        <v>1257</v>
      </c>
      <c r="F6" s="72" t="s">
        <v>1258</v>
      </c>
      <c r="G6" s="73" t="s">
        <v>1259</v>
      </c>
      <c r="H6" s="74" t="s">
        <v>1260</v>
      </c>
      <c r="I6" s="75" t="s">
        <v>1261</v>
      </c>
      <c r="J6" s="76" t="s">
        <v>1262</v>
      </c>
      <c r="K6" s="77" t="s">
        <v>1263</v>
      </c>
      <c r="L6" s="77" t="s">
        <v>1264</v>
      </c>
      <c r="M6" s="77" t="s">
        <v>1265</v>
      </c>
      <c r="N6" s="11" t="s">
        <v>1266</v>
      </c>
      <c r="O6" s="11" t="s">
        <v>1267</v>
      </c>
      <c r="P6" s="11" t="s">
        <v>1268</v>
      </c>
      <c r="Q6" s="77" t="s">
        <v>1269</v>
      </c>
      <c r="R6" s="77" t="s">
        <v>1270</v>
      </c>
      <c r="S6" s="77" t="s">
        <v>1271</v>
      </c>
      <c r="T6" s="11" t="s">
        <v>1272</v>
      </c>
      <c r="U6" s="11" t="s">
        <v>1273</v>
      </c>
      <c r="V6" s="11" t="s">
        <v>1274</v>
      </c>
      <c r="W6" s="77" t="s">
        <v>1275</v>
      </c>
      <c r="X6" s="77" t="s">
        <v>1276</v>
      </c>
      <c r="Y6" s="77" t="s">
        <v>1277</v>
      </c>
      <c r="Z6" s="11" t="s">
        <v>1278</v>
      </c>
      <c r="AA6" s="11" t="s">
        <v>1279</v>
      </c>
      <c r="AB6" s="11" t="s">
        <v>1280</v>
      </c>
      <c r="AC6" s="77" t="s">
        <v>1281</v>
      </c>
      <c r="AD6" s="77" t="s">
        <v>1282</v>
      </c>
      <c r="AE6" s="77" t="s">
        <v>1283</v>
      </c>
      <c r="AF6" s="11" t="s">
        <v>1266</v>
      </c>
      <c r="AG6" s="11" t="s">
        <v>1267</v>
      </c>
      <c r="AH6" s="11" t="s">
        <v>1268</v>
      </c>
      <c r="AI6" s="77" t="s">
        <v>1284</v>
      </c>
      <c r="AJ6" s="77" t="s">
        <v>1285</v>
      </c>
      <c r="AK6" s="78" t="s">
        <v>1286</v>
      </c>
      <c r="AL6" s="23">
        <v>1</v>
      </c>
      <c r="AM6" s="79" t="s">
        <v>1260</v>
      </c>
      <c r="AN6" s="79" t="s">
        <v>1287</v>
      </c>
      <c r="AO6" s="79" t="s">
        <v>1288</v>
      </c>
      <c r="AP6" s="80" t="s">
        <v>1289</v>
      </c>
      <c r="AQ6" s="81" t="s">
        <v>1290</v>
      </c>
      <c r="AR6" s="82" t="s">
        <v>1291</v>
      </c>
      <c r="AS6" s="83" t="s">
        <v>1292</v>
      </c>
      <c r="AT6" s="84" t="s">
        <v>1293</v>
      </c>
      <c r="AU6" s="16" t="s">
        <v>1294</v>
      </c>
      <c r="AV6" s="84" t="s">
        <v>1295</v>
      </c>
      <c r="AW6" s="85" t="s">
        <v>1296</v>
      </c>
      <c r="AX6" s="86" t="s">
        <v>1297</v>
      </c>
      <c r="AY6" s="87" t="s">
        <v>1298</v>
      </c>
      <c r="AZ6" s="87" t="s">
        <v>1299</v>
      </c>
      <c r="BA6" s="87" t="s">
        <v>1300</v>
      </c>
      <c r="BB6" s="88"/>
      <c r="BC6" s="11"/>
      <c r="BD6" s="11"/>
      <c r="BE6" s="11"/>
      <c r="BF6" s="11"/>
      <c r="BG6" s="11"/>
      <c r="BH6" s="11"/>
      <c r="BI6" s="11"/>
      <c r="BJ6" s="11"/>
      <c r="BK6" s="11"/>
      <c r="BL6" s="11"/>
    </row>
    <row r="7" spans="1:64" x14ac:dyDescent="0.2">
      <c r="A7" s="20">
        <v>2</v>
      </c>
      <c r="B7" s="70" t="s">
        <v>1301</v>
      </c>
      <c r="C7" s="70" t="s">
        <v>1302</v>
      </c>
      <c r="D7" s="70" t="s">
        <v>1303</v>
      </c>
      <c r="E7" s="71" t="s">
        <v>1304</v>
      </c>
      <c r="F7" s="71" t="s">
        <v>1305</v>
      </c>
      <c r="G7" s="90" t="s">
        <v>1306</v>
      </c>
      <c r="H7" s="74" t="s">
        <v>1307</v>
      </c>
      <c r="I7" s="91" t="s">
        <v>1308</v>
      </c>
      <c r="J7" s="76" t="s">
        <v>1309</v>
      </c>
      <c r="K7" s="77" t="s">
        <v>1310</v>
      </c>
      <c r="L7" s="77" t="s">
        <v>1311</v>
      </c>
      <c r="M7" s="77" t="s">
        <v>1312</v>
      </c>
      <c r="N7" s="11" t="s">
        <v>1313</v>
      </c>
      <c r="O7" s="11" t="s">
        <v>1314</v>
      </c>
      <c r="P7" s="11" t="s">
        <v>1315</v>
      </c>
      <c r="Q7" s="77" t="s">
        <v>1316</v>
      </c>
      <c r="R7" s="77" t="s">
        <v>1317</v>
      </c>
      <c r="S7" s="77" t="s">
        <v>1318</v>
      </c>
      <c r="T7" s="11" t="s">
        <v>1319</v>
      </c>
      <c r="U7" s="11" t="s">
        <v>1320</v>
      </c>
      <c r="V7" s="11" t="s">
        <v>1321</v>
      </c>
      <c r="W7" s="77" t="s">
        <v>1322</v>
      </c>
      <c r="X7" s="77" t="s">
        <v>1323</v>
      </c>
      <c r="Y7" s="77" t="s">
        <v>1324</v>
      </c>
      <c r="Z7" s="11" t="s">
        <v>1325</v>
      </c>
      <c r="AA7" s="11" t="s">
        <v>1326</v>
      </c>
      <c r="AB7" s="11" t="s">
        <v>1327</v>
      </c>
      <c r="AC7" s="77" t="s">
        <v>1328</v>
      </c>
      <c r="AD7" s="77" t="s">
        <v>1329</v>
      </c>
      <c r="AE7" s="77" t="s">
        <v>1330</v>
      </c>
      <c r="AF7" s="11" t="s">
        <v>1313</v>
      </c>
      <c r="AG7" s="11" t="s">
        <v>1314</v>
      </c>
      <c r="AH7" s="11" t="s">
        <v>1315</v>
      </c>
      <c r="AI7" s="77" t="s">
        <v>1331</v>
      </c>
      <c r="AJ7" s="77" t="s">
        <v>1332</v>
      </c>
      <c r="AK7" s="78" t="s">
        <v>1333</v>
      </c>
      <c r="AL7" s="23">
        <v>2</v>
      </c>
      <c r="AM7" s="79" t="s">
        <v>1334</v>
      </c>
      <c r="AN7" s="79" t="s">
        <v>1335</v>
      </c>
      <c r="AO7" s="79" t="s">
        <v>1336</v>
      </c>
      <c r="AP7" s="80" t="s">
        <v>1337</v>
      </c>
      <c r="AQ7" s="81" t="s">
        <v>1338</v>
      </c>
      <c r="AR7" s="82" t="s">
        <v>1339</v>
      </c>
      <c r="AS7" s="83" t="s">
        <v>1340</v>
      </c>
      <c r="AT7" s="84" t="s">
        <v>1341</v>
      </c>
      <c r="AU7" s="16" t="s">
        <v>1342</v>
      </c>
      <c r="AV7" s="84" t="s">
        <v>1343</v>
      </c>
      <c r="AW7" s="85" t="s">
        <v>1344</v>
      </c>
      <c r="AX7" s="86" t="s">
        <v>1345</v>
      </c>
      <c r="AY7" s="87" t="s">
        <v>1346</v>
      </c>
      <c r="AZ7" s="87" t="s">
        <v>1347</v>
      </c>
      <c r="BA7" s="87" t="s">
        <v>1348</v>
      </c>
      <c r="BB7" s="88"/>
      <c r="BC7" s="11"/>
      <c r="BD7" s="11"/>
      <c r="BE7" s="11"/>
      <c r="BF7" s="11"/>
      <c r="BG7" s="11"/>
      <c r="BH7" s="11"/>
      <c r="BI7" s="11"/>
      <c r="BJ7" s="11"/>
      <c r="BK7" s="11"/>
      <c r="BL7" s="11"/>
    </row>
    <row r="8" spans="1:64" x14ac:dyDescent="0.2">
      <c r="A8" s="20">
        <v>3</v>
      </c>
      <c r="B8" s="92" t="s">
        <v>1349</v>
      </c>
      <c r="C8" s="93" t="s">
        <v>1350</v>
      </c>
      <c r="D8" s="92" t="s">
        <v>1351</v>
      </c>
      <c r="E8" s="71" t="s">
        <v>1352</v>
      </c>
      <c r="F8" s="71" t="s">
        <v>1353</v>
      </c>
      <c r="G8" s="73" t="s">
        <v>1354</v>
      </c>
      <c r="H8" s="74" t="s">
        <v>1355</v>
      </c>
      <c r="I8" s="75" t="s">
        <v>1356</v>
      </c>
      <c r="J8" s="76" t="s">
        <v>1357</v>
      </c>
      <c r="K8" s="77" t="s">
        <v>1358</v>
      </c>
      <c r="L8" s="77" t="s">
        <v>1359</v>
      </c>
      <c r="M8" s="77" t="s">
        <v>1360</v>
      </c>
      <c r="N8" s="11" t="s">
        <v>1361</v>
      </c>
      <c r="O8" s="11" t="s">
        <v>1362</v>
      </c>
      <c r="P8" s="11" t="s">
        <v>1363</v>
      </c>
      <c r="Q8" s="77" t="s">
        <v>1364</v>
      </c>
      <c r="R8" s="77" t="s">
        <v>1365</v>
      </c>
      <c r="S8" s="77" t="s">
        <v>1366</v>
      </c>
      <c r="T8" s="11" t="s">
        <v>1367</v>
      </c>
      <c r="U8" s="11" t="s">
        <v>1368</v>
      </c>
      <c r="V8" s="11" t="s">
        <v>1369</v>
      </c>
      <c r="W8" s="77" t="s">
        <v>1370</v>
      </c>
      <c r="X8" s="77" t="s">
        <v>1371</v>
      </c>
      <c r="Y8" s="77" t="s">
        <v>1372</v>
      </c>
      <c r="Z8" s="11" t="s">
        <v>1373</v>
      </c>
      <c r="AA8" s="11" t="s">
        <v>1374</v>
      </c>
      <c r="AB8" s="11" t="s">
        <v>1375</v>
      </c>
      <c r="AC8" s="77" t="s">
        <v>1376</v>
      </c>
      <c r="AD8" s="77" t="s">
        <v>1377</v>
      </c>
      <c r="AE8" s="77" t="s">
        <v>1378</v>
      </c>
      <c r="AF8" s="11" t="s">
        <v>1361</v>
      </c>
      <c r="AG8" s="11" t="s">
        <v>1362</v>
      </c>
      <c r="AH8" s="11" t="s">
        <v>1363</v>
      </c>
      <c r="AI8" s="77" t="s">
        <v>1379</v>
      </c>
      <c r="AJ8" s="77" t="s">
        <v>1380</v>
      </c>
      <c r="AK8" s="78" t="s">
        <v>1381</v>
      </c>
      <c r="AL8" s="23">
        <v>3</v>
      </c>
      <c r="AM8" s="79" t="s">
        <v>1382</v>
      </c>
      <c r="AN8" s="79" t="s">
        <v>1383</v>
      </c>
      <c r="AO8" s="79" t="s">
        <v>1384</v>
      </c>
      <c r="AP8" s="80" t="s">
        <v>1385</v>
      </c>
      <c r="AQ8" s="81" t="s">
        <v>1386</v>
      </c>
      <c r="AR8" s="82" t="s">
        <v>1387</v>
      </c>
      <c r="AS8" s="83" t="s">
        <v>1388</v>
      </c>
      <c r="AT8" s="84" t="s">
        <v>1389</v>
      </c>
      <c r="AU8" s="16" t="s">
        <v>1390</v>
      </c>
      <c r="AV8" s="84" t="s">
        <v>1391</v>
      </c>
      <c r="AW8" s="85" t="s">
        <v>1392</v>
      </c>
      <c r="AX8" s="86" t="s">
        <v>1393</v>
      </c>
      <c r="AY8" s="87" t="s">
        <v>1394</v>
      </c>
      <c r="AZ8" s="87" t="s">
        <v>1395</v>
      </c>
      <c r="BA8" s="87" t="s">
        <v>1396</v>
      </c>
      <c r="BB8" s="88"/>
      <c r="BC8" s="11"/>
      <c r="BD8" s="11"/>
      <c r="BE8" s="11"/>
      <c r="BF8" s="11"/>
      <c r="BG8" s="11"/>
      <c r="BH8" s="11"/>
      <c r="BI8" s="11"/>
      <c r="BJ8" s="11"/>
      <c r="BK8" s="11"/>
      <c r="BL8" s="11"/>
    </row>
    <row r="9" spans="1:64" x14ac:dyDescent="0.2">
      <c r="A9" s="20">
        <v>4</v>
      </c>
      <c r="B9" s="70" t="s">
        <v>1397</v>
      </c>
      <c r="C9" s="70" t="s">
        <v>1398</v>
      </c>
      <c r="D9" s="70" t="s">
        <v>1399</v>
      </c>
      <c r="E9" s="71" t="s">
        <v>1400</v>
      </c>
      <c r="F9" s="71" t="s">
        <v>1401</v>
      </c>
      <c r="G9" s="94" t="s">
        <v>1402</v>
      </c>
      <c r="H9" s="74" t="s">
        <v>1403</v>
      </c>
      <c r="I9" s="75" t="s">
        <v>1404</v>
      </c>
      <c r="J9" s="95" t="s">
        <v>1405</v>
      </c>
      <c r="K9" s="77" t="s">
        <v>1406</v>
      </c>
      <c r="L9" s="77" t="s">
        <v>1407</v>
      </c>
      <c r="M9" s="77" t="s">
        <v>1408</v>
      </c>
      <c r="N9" s="11" t="s">
        <v>1409</v>
      </c>
      <c r="O9" s="11" t="s">
        <v>1410</v>
      </c>
      <c r="P9" s="11" t="s">
        <v>1411</v>
      </c>
      <c r="Q9" s="77" t="s">
        <v>1412</v>
      </c>
      <c r="R9" s="77" t="s">
        <v>1413</v>
      </c>
      <c r="S9" s="77" t="s">
        <v>1414</v>
      </c>
      <c r="T9" s="11" t="s">
        <v>1415</v>
      </c>
      <c r="U9" s="11" t="s">
        <v>1416</v>
      </c>
      <c r="V9" s="11" t="s">
        <v>1417</v>
      </c>
      <c r="W9" s="77" t="s">
        <v>1418</v>
      </c>
      <c r="X9" s="77" t="s">
        <v>1419</v>
      </c>
      <c r="Y9" s="77" t="s">
        <v>1420</v>
      </c>
      <c r="Z9" s="11" t="s">
        <v>1421</v>
      </c>
      <c r="AA9" s="11" t="s">
        <v>1422</v>
      </c>
      <c r="AB9" s="11" t="s">
        <v>1423</v>
      </c>
      <c r="AC9" s="77" t="s">
        <v>1424</v>
      </c>
      <c r="AD9" s="77" t="s">
        <v>1425</v>
      </c>
      <c r="AE9" s="77" t="s">
        <v>1426</v>
      </c>
      <c r="AF9" s="11" t="s">
        <v>1409</v>
      </c>
      <c r="AG9" s="11" t="s">
        <v>1410</v>
      </c>
      <c r="AH9" s="11" t="s">
        <v>1411</v>
      </c>
      <c r="AI9" s="77" t="s">
        <v>1427</v>
      </c>
      <c r="AJ9" s="77" t="s">
        <v>1428</v>
      </c>
      <c r="AK9" s="78" t="s">
        <v>1429</v>
      </c>
      <c r="AL9" s="23">
        <v>4</v>
      </c>
      <c r="AM9" s="79" t="s">
        <v>1430</v>
      </c>
      <c r="AN9" s="79" t="s">
        <v>1431</v>
      </c>
      <c r="AO9" s="79" t="s">
        <v>1432</v>
      </c>
      <c r="AP9" s="80" t="s">
        <v>1433</v>
      </c>
      <c r="AQ9" s="81" t="s">
        <v>1434</v>
      </c>
      <c r="AR9" s="82" t="s">
        <v>1435</v>
      </c>
      <c r="AS9" s="83" t="s">
        <v>1436</v>
      </c>
      <c r="AT9" s="84" t="s">
        <v>1437</v>
      </c>
      <c r="AU9" s="16" t="s">
        <v>1438</v>
      </c>
      <c r="AV9" s="84" t="s">
        <v>1439</v>
      </c>
      <c r="AW9" s="85" t="s">
        <v>1440</v>
      </c>
      <c r="AX9" s="86" t="s">
        <v>1441</v>
      </c>
      <c r="AY9" s="87" t="s">
        <v>1442</v>
      </c>
      <c r="AZ9" s="87" t="s">
        <v>1443</v>
      </c>
      <c r="BA9" s="87" t="s">
        <v>1444</v>
      </c>
      <c r="BB9" s="88"/>
      <c r="BC9" s="11"/>
      <c r="BD9" s="11"/>
      <c r="BE9" s="11"/>
      <c r="BF9" s="11"/>
      <c r="BG9" s="11"/>
      <c r="BH9" s="11"/>
      <c r="BI9" s="11"/>
      <c r="BJ9" s="11"/>
      <c r="BK9" s="11"/>
      <c r="BL9" s="11"/>
    </row>
    <row r="10" spans="1:64" x14ac:dyDescent="0.2">
      <c r="A10" s="20">
        <v>5</v>
      </c>
      <c r="B10" s="70" t="s">
        <v>1445</v>
      </c>
      <c r="C10" s="70" t="s">
        <v>1446</v>
      </c>
      <c r="D10" s="92" t="s">
        <v>1447</v>
      </c>
      <c r="E10" s="71" t="s">
        <v>1448</v>
      </c>
      <c r="F10" s="71" t="s">
        <v>1449</v>
      </c>
      <c r="G10" s="73" t="s">
        <v>1450</v>
      </c>
      <c r="H10" s="96" t="s">
        <v>1451</v>
      </c>
      <c r="I10" s="75" t="s">
        <v>1452</v>
      </c>
      <c r="J10" s="95" t="s">
        <v>1453</v>
      </c>
      <c r="K10" s="77" t="s">
        <v>1454</v>
      </c>
      <c r="L10" s="77" t="s">
        <v>1455</v>
      </c>
      <c r="M10" s="77" t="s">
        <v>1456</v>
      </c>
      <c r="N10" s="11" t="s">
        <v>1457</v>
      </c>
      <c r="O10" s="11" t="s">
        <v>1458</v>
      </c>
      <c r="P10" s="11" t="s">
        <v>1459</v>
      </c>
      <c r="Q10" s="77" t="s">
        <v>1460</v>
      </c>
      <c r="R10" s="77" t="s">
        <v>1461</v>
      </c>
      <c r="S10" s="77" t="s">
        <v>1462</v>
      </c>
      <c r="T10" s="11" t="s">
        <v>1463</v>
      </c>
      <c r="U10" s="11" t="s">
        <v>1413</v>
      </c>
      <c r="V10" s="11" t="s">
        <v>1464</v>
      </c>
      <c r="W10" s="77" t="s">
        <v>1465</v>
      </c>
      <c r="X10" s="77" t="s">
        <v>1466</v>
      </c>
      <c r="Y10" s="77" t="s">
        <v>1467</v>
      </c>
      <c r="Z10" s="11" t="s">
        <v>1468</v>
      </c>
      <c r="AA10" s="11" t="s">
        <v>1469</v>
      </c>
      <c r="AB10" s="11" t="s">
        <v>1470</v>
      </c>
      <c r="AC10" s="77" t="s">
        <v>1471</v>
      </c>
      <c r="AD10" s="77" t="s">
        <v>1472</v>
      </c>
      <c r="AE10" s="77" t="s">
        <v>1473</v>
      </c>
      <c r="AF10" s="11" t="s">
        <v>1457</v>
      </c>
      <c r="AG10" s="11" t="s">
        <v>1458</v>
      </c>
      <c r="AH10" s="11" t="s">
        <v>1459</v>
      </c>
      <c r="AI10" s="77" t="s">
        <v>1474</v>
      </c>
      <c r="AJ10" s="77" t="s">
        <v>1475</v>
      </c>
      <c r="AK10" s="78" t="s">
        <v>1476</v>
      </c>
      <c r="AL10" s="23">
        <v>5</v>
      </c>
      <c r="AM10" s="79" t="s">
        <v>1477</v>
      </c>
      <c r="AN10" s="79" t="s">
        <v>1478</v>
      </c>
      <c r="AO10" s="79" t="s">
        <v>1479</v>
      </c>
      <c r="AP10" s="80" t="s">
        <v>1480</v>
      </c>
      <c r="AQ10" s="81" t="s">
        <v>1481</v>
      </c>
      <c r="AR10" s="82" t="s">
        <v>1482</v>
      </c>
      <c r="AS10" s="83" t="s">
        <v>1483</v>
      </c>
      <c r="AT10" s="84" t="s">
        <v>1484</v>
      </c>
      <c r="AU10" s="16" t="s">
        <v>1485</v>
      </c>
      <c r="AV10" s="84" t="s">
        <v>1486</v>
      </c>
      <c r="AW10" s="85" t="s">
        <v>1487</v>
      </c>
      <c r="AX10" s="86" t="s">
        <v>1488</v>
      </c>
      <c r="AY10" s="87" t="s">
        <v>1489</v>
      </c>
      <c r="AZ10" s="87" t="s">
        <v>1490</v>
      </c>
      <c r="BA10" s="87" t="s">
        <v>1491</v>
      </c>
      <c r="BB10" s="88"/>
      <c r="BC10" s="11"/>
      <c r="BD10" s="11"/>
      <c r="BE10" s="11"/>
      <c r="BF10" s="11"/>
      <c r="BG10" s="11"/>
      <c r="BH10" s="11"/>
      <c r="BI10" s="11"/>
      <c r="BJ10" s="11"/>
      <c r="BK10" s="11"/>
      <c r="BL10" s="11"/>
    </row>
    <row r="11" spans="1:64" x14ac:dyDescent="0.2">
      <c r="A11" s="20">
        <v>6</v>
      </c>
      <c r="B11" s="70" t="s">
        <v>1492</v>
      </c>
      <c r="C11" s="92" t="s">
        <v>1493</v>
      </c>
      <c r="D11" s="70" t="s">
        <v>1494</v>
      </c>
      <c r="E11" s="97" t="s">
        <v>1495</v>
      </c>
      <c r="F11" s="97" t="s">
        <v>1496</v>
      </c>
      <c r="G11" s="94" t="s">
        <v>1497</v>
      </c>
      <c r="H11" s="96" t="s">
        <v>1498</v>
      </c>
      <c r="I11" s="91" t="s">
        <v>1499</v>
      </c>
      <c r="J11" s="95" t="s">
        <v>1500</v>
      </c>
      <c r="K11" s="77" t="s">
        <v>1501</v>
      </c>
      <c r="L11" s="77" t="s">
        <v>1502</v>
      </c>
      <c r="M11" s="77" t="s">
        <v>1503</v>
      </c>
      <c r="N11" s="11" t="s">
        <v>1504</v>
      </c>
      <c r="O11" s="11" t="s">
        <v>1505</v>
      </c>
      <c r="P11" s="11" t="s">
        <v>1506</v>
      </c>
      <c r="Q11" s="77" t="s">
        <v>1507</v>
      </c>
      <c r="R11" s="77" t="s">
        <v>1508</v>
      </c>
      <c r="S11" s="77" t="s">
        <v>1509</v>
      </c>
      <c r="T11" s="11" t="s">
        <v>1510</v>
      </c>
      <c r="U11" s="11" t="s">
        <v>1511</v>
      </c>
      <c r="V11" s="11" t="s">
        <v>1512</v>
      </c>
      <c r="W11" s="77" t="s">
        <v>1513</v>
      </c>
      <c r="X11" s="77" t="s">
        <v>1514</v>
      </c>
      <c r="Y11" s="77" t="s">
        <v>1515</v>
      </c>
      <c r="Z11" s="11" t="s">
        <v>1516</v>
      </c>
      <c r="AA11" s="11" t="s">
        <v>1517</v>
      </c>
      <c r="AB11" s="11" t="s">
        <v>1518</v>
      </c>
      <c r="AC11" s="77" t="s">
        <v>1519</v>
      </c>
      <c r="AD11" s="77" t="s">
        <v>1520</v>
      </c>
      <c r="AE11" s="77" t="s">
        <v>1521</v>
      </c>
      <c r="AF11" s="11" t="s">
        <v>1504</v>
      </c>
      <c r="AG11" s="11" t="s">
        <v>1505</v>
      </c>
      <c r="AH11" s="11" t="s">
        <v>1506</v>
      </c>
      <c r="AI11" s="77" t="s">
        <v>1522</v>
      </c>
      <c r="AJ11" s="77" t="s">
        <v>1523</v>
      </c>
      <c r="AK11" s="78" t="s">
        <v>1524</v>
      </c>
      <c r="AL11" s="23">
        <v>6</v>
      </c>
      <c r="AM11" s="79" t="s">
        <v>1525</v>
      </c>
      <c r="AN11" s="79" t="s">
        <v>1526</v>
      </c>
      <c r="AO11" s="79" t="s">
        <v>1527</v>
      </c>
      <c r="AP11" s="80" t="s">
        <v>1528</v>
      </c>
      <c r="AQ11" s="81" t="s">
        <v>1529</v>
      </c>
      <c r="AR11" s="82" t="s">
        <v>1530</v>
      </c>
      <c r="AS11" s="83" t="s">
        <v>1531</v>
      </c>
      <c r="AT11" s="84" t="s">
        <v>1532</v>
      </c>
      <c r="AU11" s="16" t="s">
        <v>1533</v>
      </c>
      <c r="AV11" s="84" t="s">
        <v>1534</v>
      </c>
      <c r="AW11" s="85" t="s">
        <v>1535</v>
      </c>
      <c r="AX11" s="86" t="s">
        <v>1536</v>
      </c>
      <c r="AY11" s="87" t="s">
        <v>1537</v>
      </c>
      <c r="AZ11" s="87" t="s">
        <v>1538</v>
      </c>
      <c r="BA11" s="87" t="s">
        <v>1539</v>
      </c>
      <c r="BB11" s="88"/>
      <c r="BC11" s="11"/>
      <c r="BD11" s="11"/>
      <c r="BE11" s="11"/>
      <c r="BF11" s="11"/>
      <c r="BG11" s="11"/>
      <c r="BH11" s="11"/>
      <c r="BI11" s="11"/>
      <c r="BJ11" s="11"/>
      <c r="BK11" s="11"/>
      <c r="BL11" s="11"/>
    </row>
    <row r="12" spans="1:64" s="105" customFormat="1" x14ac:dyDescent="0.2">
      <c r="A12" s="98">
        <v>7</v>
      </c>
      <c r="B12" s="99" t="s">
        <v>1540</v>
      </c>
      <c r="C12" s="100" t="s">
        <v>1541</v>
      </c>
      <c r="D12" s="100" t="s">
        <v>1542</v>
      </c>
      <c r="E12" s="97" t="s">
        <v>1543</v>
      </c>
      <c r="F12" s="71" t="s">
        <v>1544</v>
      </c>
      <c r="G12" s="73" t="s">
        <v>1545</v>
      </c>
      <c r="H12" s="101" t="s">
        <v>1546</v>
      </c>
      <c r="I12" s="102" t="s">
        <v>1547</v>
      </c>
      <c r="J12" s="103" t="s">
        <v>1548</v>
      </c>
      <c r="K12" s="77" t="s">
        <v>1549</v>
      </c>
      <c r="L12" s="77" t="s">
        <v>1550</v>
      </c>
      <c r="M12" s="77" t="s">
        <v>1551</v>
      </c>
      <c r="N12" s="77" t="s">
        <v>1552</v>
      </c>
      <c r="O12" s="77" t="s">
        <v>1553</v>
      </c>
      <c r="P12" s="77"/>
      <c r="Q12" s="77" t="s">
        <v>1554</v>
      </c>
      <c r="R12" s="77" t="s">
        <v>1555</v>
      </c>
      <c r="S12" s="77" t="s">
        <v>1556</v>
      </c>
      <c r="T12" s="77" t="s">
        <v>1557</v>
      </c>
      <c r="U12" s="77" t="s">
        <v>1558</v>
      </c>
      <c r="V12" s="77"/>
      <c r="W12" s="77" t="s">
        <v>1559</v>
      </c>
      <c r="X12" s="77" t="s">
        <v>1560</v>
      </c>
      <c r="Y12" s="77" t="s">
        <v>1561</v>
      </c>
      <c r="Z12" s="77" t="s">
        <v>1562</v>
      </c>
      <c r="AA12" s="77" t="s">
        <v>1563</v>
      </c>
      <c r="AB12" s="77"/>
      <c r="AC12" s="77" t="s">
        <v>1564</v>
      </c>
      <c r="AD12" s="77" t="s">
        <v>1565</v>
      </c>
      <c r="AE12" s="77" t="s">
        <v>1472</v>
      </c>
      <c r="AF12" s="77" t="s">
        <v>1552</v>
      </c>
      <c r="AG12" s="77" t="s">
        <v>1553</v>
      </c>
      <c r="AH12" s="77"/>
      <c r="AI12" s="77" t="s">
        <v>1566</v>
      </c>
      <c r="AJ12" s="77" t="s">
        <v>1567</v>
      </c>
      <c r="AK12" s="78" t="s">
        <v>1568</v>
      </c>
      <c r="AL12" s="104">
        <v>7</v>
      </c>
      <c r="AM12" s="79" t="s">
        <v>1569</v>
      </c>
      <c r="AN12" s="79" t="s">
        <v>1570</v>
      </c>
      <c r="AO12" s="79" t="s">
        <v>1571</v>
      </c>
      <c r="AP12" s="80" t="s">
        <v>1572</v>
      </c>
      <c r="AQ12" s="81" t="s">
        <v>1573</v>
      </c>
      <c r="AR12" s="82" t="s">
        <v>1574</v>
      </c>
      <c r="AS12" s="83" t="s">
        <v>1575</v>
      </c>
      <c r="AT12" s="84" t="s">
        <v>1576</v>
      </c>
      <c r="AU12" s="16" t="s">
        <v>1577</v>
      </c>
      <c r="AV12" s="84" t="s">
        <v>1578</v>
      </c>
      <c r="AW12" s="85" t="s">
        <v>1579</v>
      </c>
      <c r="AX12" s="86" t="s">
        <v>1580</v>
      </c>
      <c r="AY12" s="87" t="s">
        <v>1581</v>
      </c>
      <c r="AZ12" s="87" t="s">
        <v>1582</v>
      </c>
      <c r="BA12" s="87" t="s">
        <v>1583</v>
      </c>
      <c r="BB12" s="88"/>
      <c r="BC12" s="77"/>
      <c r="BD12" s="77"/>
      <c r="BE12" s="77"/>
      <c r="BF12" s="77"/>
      <c r="BG12" s="77"/>
      <c r="BH12" s="77"/>
      <c r="BI12" s="77"/>
      <c r="BJ12" s="77"/>
      <c r="BK12" s="77"/>
      <c r="BL12" s="77"/>
    </row>
    <row r="13" spans="1:64" x14ac:dyDescent="0.2">
      <c r="A13" s="20">
        <v>8</v>
      </c>
      <c r="B13" s="70" t="s">
        <v>1584</v>
      </c>
      <c r="C13" s="70" t="s">
        <v>1585</v>
      </c>
      <c r="D13" s="92" t="s">
        <v>1586</v>
      </c>
      <c r="E13" s="71" t="s">
        <v>1587</v>
      </c>
      <c r="F13" s="71" t="s">
        <v>1588</v>
      </c>
      <c r="G13" s="90" t="s">
        <v>1589</v>
      </c>
      <c r="H13" s="74" t="s">
        <v>1590</v>
      </c>
      <c r="I13" s="91" t="s">
        <v>1591</v>
      </c>
      <c r="J13" s="95" t="s">
        <v>1592</v>
      </c>
      <c r="K13" s="77"/>
      <c r="L13" s="77" t="s">
        <v>1593</v>
      </c>
      <c r="M13" s="77"/>
      <c r="N13" s="11" t="s">
        <v>1594</v>
      </c>
      <c r="O13" s="11" t="s">
        <v>1595</v>
      </c>
      <c r="P13" s="11"/>
      <c r="Q13" s="77" t="s">
        <v>1596</v>
      </c>
      <c r="R13" s="77" t="s">
        <v>1597</v>
      </c>
      <c r="S13" s="77" t="s">
        <v>1598</v>
      </c>
      <c r="T13" s="11" t="s">
        <v>1599</v>
      </c>
      <c r="U13" s="11" t="s">
        <v>1600</v>
      </c>
      <c r="V13" s="11"/>
      <c r="W13" s="77" t="s">
        <v>1601</v>
      </c>
      <c r="X13" s="77" t="s">
        <v>1602</v>
      </c>
      <c r="Y13" s="77"/>
      <c r="Z13" s="11" t="s">
        <v>1603</v>
      </c>
      <c r="AA13" s="11" t="s">
        <v>1604</v>
      </c>
      <c r="AB13" s="11"/>
      <c r="AC13" s="77" t="s">
        <v>1605</v>
      </c>
      <c r="AD13" s="77" t="s">
        <v>1606</v>
      </c>
      <c r="AE13" s="77" t="s">
        <v>1607</v>
      </c>
      <c r="AF13" s="11" t="s">
        <v>1594</v>
      </c>
      <c r="AG13" s="11" t="s">
        <v>1595</v>
      </c>
      <c r="AH13" s="11"/>
      <c r="AI13" s="77" t="s">
        <v>1608</v>
      </c>
      <c r="AJ13" s="77" t="s">
        <v>1609</v>
      </c>
      <c r="AK13" s="78" t="s">
        <v>1610</v>
      </c>
      <c r="AL13" s="23">
        <v>8</v>
      </c>
      <c r="AM13" s="79" t="s">
        <v>1611</v>
      </c>
      <c r="AN13" s="79" t="s">
        <v>1612</v>
      </c>
      <c r="AO13" s="79" t="s">
        <v>1613</v>
      </c>
      <c r="AP13" s="80" t="s">
        <v>1614</v>
      </c>
      <c r="AQ13" s="81" t="s">
        <v>1615</v>
      </c>
      <c r="AR13" s="82" t="s">
        <v>1616</v>
      </c>
      <c r="AS13" s="83" t="s">
        <v>1617</v>
      </c>
      <c r="AT13" s="84" t="s">
        <v>1618</v>
      </c>
      <c r="AU13" s="16" t="s">
        <v>1619</v>
      </c>
      <c r="AV13" s="84" t="s">
        <v>1620</v>
      </c>
      <c r="AW13" s="85" t="s">
        <v>1621</v>
      </c>
      <c r="AX13" s="86" t="s">
        <v>1622</v>
      </c>
      <c r="AY13" s="87" t="s">
        <v>1623</v>
      </c>
      <c r="AZ13" s="87" t="s">
        <v>1624</v>
      </c>
      <c r="BA13" s="87" t="s">
        <v>1625</v>
      </c>
      <c r="BB13" s="11"/>
      <c r="BC13" s="11"/>
      <c r="BD13" s="11"/>
      <c r="BE13" s="11"/>
      <c r="BF13" s="11"/>
      <c r="BG13" s="11"/>
      <c r="BH13" s="11"/>
      <c r="BI13" s="11"/>
      <c r="BJ13" s="11"/>
      <c r="BK13" s="11"/>
      <c r="BL13" s="11"/>
    </row>
    <row r="14" spans="1:64" x14ac:dyDescent="0.2">
      <c r="A14" s="20">
        <v>9</v>
      </c>
      <c r="B14" s="70" t="s">
        <v>1626</v>
      </c>
      <c r="C14" s="92" t="s">
        <v>1627</v>
      </c>
      <c r="D14" s="70" t="s">
        <v>1628</v>
      </c>
      <c r="E14" s="71" t="s">
        <v>1629</v>
      </c>
      <c r="F14" s="71" t="s">
        <v>1630</v>
      </c>
      <c r="G14" s="90" t="s">
        <v>1631</v>
      </c>
      <c r="H14" s="74" t="s">
        <v>1632</v>
      </c>
      <c r="I14" s="75" t="s">
        <v>1633</v>
      </c>
      <c r="J14" s="95" t="s">
        <v>1634</v>
      </c>
      <c r="K14" s="77"/>
      <c r="L14" s="77"/>
      <c r="M14" s="77"/>
      <c r="N14" s="11" t="s">
        <v>1635</v>
      </c>
      <c r="O14" s="11" t="s">
        <v>1636</v>
      </c>
      <c r="P14" s="11"/>
      <c r="Q14" s="77" t="s">
        <v>1637</v>
      </c>
      <c r="R14" s="77"/>
      <c r="S14" s="77"/>
      <c r="T14" s="11" t="s">
        <v>1638</v>
      </c>
      <c r="U14" s="11"/>
      <c r="V14" s="11"/>
      <c r="W14" s="77" t="s">
        <v>1639</v>
      </c>
      <c r="X14" s="77" t="s">
        <v>1640</v>
      </c>
      <c r="Y14" s="77"/>
      <c r="Z14" s="11"/>
      <c r="AA14" s="11"/>
      <c r="AB14" s="11"/>
      <c r="AC14" s="77" t="s">
        <v>1641</v>
      </c>
      <c r="AD14" s="77"/>
      <c r="AE14" s="77" t="s">
        <v>1642</v>
      </c>
      <c r="AF14" s="11" t="s">
        <v>1635</v>
      </c>
      <c r="AG14" s="11" t="s">
        <v>1636</v>
      </c>
      <c r="AH14" s="11"/>
      <c r="AI14" s="77"/>
      <c r="AJ14" s="77" t="s">
        <v>1643</v>
      </c>
      <c r="AK14" s="78"/>
      <c r="AL14" s="23">
        <v>9</v>
      </c>
      <c r="AM14" s="79" t="s">
        <v>1644</v>
      </c>
      <c r="AN14" s="79" t="s">
        <v>1645</v>
      </c>
      <c r="AO14" s="79" t="s">
        <v>1646</v>
      </c>
      <c r="AP14" s="80" t="s">
        <v>1647</v>
      </c>
      <c r="AQ14" s="81" t="s">
        <v>1648</v>
      </c>
      <c r="AR14" s="82" t="s">
        <v>1649</v>
      </c>
      <c r="AS14" s="83" t="s">
        <v>1650</v>
      </c>
      <c r="AT14" s="84" t="s">
        <v>1651</v>
      </c>
      <c r="AU14" s="16" t="s">
        <v>1652</v>
      </c>
      <c r="AV14" s="84" t="s">
        <v>1653</v>
      </c>
      <c r="AW14" s="85" t="s">
        <v>1654</v>
      </c>
      <c r="AX14" s="86" t="s">
        <v>1655</v>
      </c>
      <c r="AY14" s="87" t="s">
        <v>1656</v>
      </c>
      <c r="AZ14" s="87" t="s">
        <v>1657</v>
      </c>
      <c r="BA14" s="87" t="s">
        <v>1658</v>
      </c>
      <c r="BB14" s="11"/>
      <c r="BC14" s="11"/>
      <c r="BD14" s="11"/>
      <c r="BE14" s="11"/>
      <c r="BF14" s="11"/>
      <c r="BG14" s="11"/>
      <c r="BH14" s="11"/>
      <c r="BI14" s="11"/>
      <c r="BJ14" s="11"/>
      <c r="BK14" s="11"/>
      <c r="BL14" s="11"/>
    </row>
    <row r="15" spans="1:64" s="105" customFormat="1" ht="12" thickBot="1" x14ac:dyDescent="0.25">
      <c r="A15" s="98">
        <v>10</v>
      </c>
      <c r="B15" s="99" t="s">
        <v>1659</v>
      </c>
      <c r="C15" s="100" t="s">
        <v>1660</v>
      </c>
      <c r="D15" s="99" t="s">
        <v>1661</v>
      </c>
      <c r="E15" s="71" t="s">
        <v>1662</v>
      </c>
      <c r="F15" s="71" t="s">
        <v>1663</v>
      </c>
      <c r="G15" s="73" t="s">
        <v>1664</v>
      </c>
      <c r="H15" s="101" t="s">
        <v>1665</v>
      </c>
      <c r="I15" s="102" t="s">
        <v>1666</v>
      </c>
      <c r="J15" s="106" t="s">
        <v>1667</v>
      </c>
      <c r="K15" s="77"/>
      <c r="L15" s="77"/>
      <c r="M15" s="77"/>
      <c r="N15" s="77" t="s">
        <v>1668</v>
      </c>
      <c r="O15" s="77"/>
      <c r="P15" s="77"/>
      <c r="Q15" s="77" t="s">
        <v>1669</v>
      </c>
      <c r="R15" s="77"/>
      <c r="S15" s="77"/>
      <c r="T15" s="77" t="s">
        <v>1670</v>
      </c>
      <c r="U15" s="77"/>
      <c r="V15" s="77"/>
      <c r="W15" s="77"/>
      <c r="X15" s="77"/>
      <c r="Y15" s="77"/>
      <c r="Z15" s="77"/>
      <c r="AA15" s="77"/>
      <c r="AB15" s="77"/>
      <c r="AC15" s="77" t="s">
        <v>1671</v>
      </c>
      <c r="AD15" s="77"/>
      <c r="AE15" s="77" t="s">
        <v>1672</v>
      </c>
      <c r="AF15" s="77" t="s">
        <v>1668</v>
      </c>
      <c r="AG15" s="77"/>
      <c r="AH15" s="77"/>
      <c r="AI15" s="77"/>
      <c r="AJ15" s="77"/>
      <c r="AK15" s="78"/>
      <c r="AL15" s="104">
        <v>10</v>
      </c>
      <c r="AM15" s="79" t="s">
        <v>1673</v>
      </c>
      <c r="AN15" s="79" t="s">
        <v>1674</v>
      </c>
      <c r="AO15" s="79" t="s">
        <v>1675</v>
      </c>
      <c r="AP15" s="80" t="s">
        <v>1676</v>
      </c>
      <c r="AQ15" s="81" t="s">
        <v>1677</v>
      </c>
      <c r="AR15" s="82" t="s">
        <v>1678</v>
      </c>
      <c r="AS15" s="83" t="s">
        <v>1679</v>
      </c>
      <c r="AT15" s="84" t="s">
        <v>1680</v>
      </c>
      <c r="AU15" s="16" t="s">
        <v>1681</v>
      </c>
      <c r="AV15" s="84" t="s">
        <v>1682</v>
      </c>
      <c r="AW15" s="85" t="s">
        <v>1683</v>
      </c>
      <c r="AX15" s="86" t="s">
        <v>1684</v>
      </c>
      <c r="AY15" s="87" t="s">
        <v>1685</v>
      </c>
      <c r="AZ15" s="87" t="s">
        <v>1686</v>
      </c>
      <c r="BA15" s="87" t="s">
        <v>576</v>
      </c>
      <c r="BB15" s="77"/>
      <c r="BC15" s="77"/>
      <c r="BD15" s="77"/>
      <c r="BE15" s="77"/>
      <c r="BF15" s="77"/>
      <c r="BG15" s="77"/>
      <c r="BH15" s="77"/>
      <c r="BI15" s="77"/>
      <c r="BJ15" s="77"/>
      <c r="BK15" s="77"/>
      <c r="BL15" s="77"/>
    </row>
    <row r="16" spans="1:64" x14ac:dyDescent="0.2">
      <c r="A16" s="20">
        <v>11</v>
      </c>
      <c r="B16" s="92" t="s">
        <v>1687</v>
      </c>
      <c r="C16" s="70" t="s">
        <v>1688</v>
      </c>
      <c r="D16" s="92" t="s">
        <v>1689</v>
      </c>
      <c r="E16" s="71" t="s">
        <v>1690</v>
      </c>
      <c r="F16" s="71" t="s">
        <v>1691</v>
      </c>
      <c r="G16" s="77"/>
      <c r="H16" s="74" t="s">
        <v>1692</v>
      </c>
      <c r="I16" s="107" t="s">
        <v>1693</v>
      </c>
      <c r="J16" s="108"/>
      <c r="K16" s="77"/>
      <c r="L16" s="77"/>
      <c r="M16" s="77"/>
      <c r="N16" s="11"/>
      <c r="O16" s="11"/>
      <c r="P16" s="11"/>
      <c r="Q16" s="77" t="s">
        <v>1694</v>
      </c>
      <c r="R16" s="77"/>
      <c r="S16" s="77"/>
      <c r="T16" s="11" t="s">
        <v>1695</v>
      </c>
      <c r="U16" s="11"/>
      <c r="V16" s="11"/>
      <c r="W16" s="77"/>
      <c r="X16" s="77"/>
      <c r="Y16" s="77"/>
      <c r="Z16" s="11"/>
      <c r="AA16" s="11"/>
      <c r="AB16" s="11"/>
      <c r="AC16" s="77" t="s">
        <v>1696</v>
      </c>
      <c r="AD16" s="77"/>
      <c r="AE16" s="77" t="s">
        <v>1697</v>
      </c>
      <c r="AF16" s="11"/>
      <c r="AG16" s="11"/>
      <c r="AH16" s="11"/>
      <c r="AI16" s="77"/>
      <c r="AJ16" s="77"/>
      <c r="AK16" s="78"/>
      <c r="AL16" s="23">
        <v>11</v>
      </c>
      <c r="AM16" s="79" t="s">
        <v>1698</v>
      </c>
      <c r="AN16" s="79" t="s">
        <v>1699</v>
      </c>
      <c r="AO16" s="79" t="s">
        <v>1700</v>
      </c>
      <c r="AP16" s="80" t="s">
        <v>1701</v>
      </c>
      <c r="AQ16" s="81" t="s">
        <v>1702</v>
      </c>
      <c r="AR16" s="82" t="s">
        <v>1703</v>
      </c>
      <c r="AS16" s="83" t="s">
        <v>1704</v>
      </c>
      <c r="AT16" s="84" t="s">
        <v>1705</v>
      </c>
      <c r="AU16" s="16" t="s">
        <v>1706</v>
      </c>
      <c r="AV16" s="84" t="s">
        <v>1707</v>
      </c>
      <c r="AW16" s="85" t="s">
        <v>1708</v>
      </c>
      <c r="AX16" s="86" t="s">
        <v>1709</v>
      </c>
      <c r="AY16" s="87" t="s">
        <v>1710</v>
      </c>
      <c r="AZ16" s="87" t="s">
        <v>1711</v>
      </c>
      <c r="BA16" s="87" t="s">
        <v>1712</v>
      </c>
      <c r="BB16" s="11"/>
      <c r="BC16" s="11"/>
      <c r="BD16" s="11"/>
      <c r="BE16" s="11"/>
      <c r="BF16" s="11"/>
      <c r="BG16" s="11"/>
      <c r="BH16" s="11"/>
      <c r="BI16" s="11"/>
      <c r="BJ16" s="11"/>
      <c r="BK16" s="11"/>
      <c r="BL16" s="11"/>
    </row>
    <row r="17" spans="1:64" x14ac:dyDescent="0.2">
      <c r="A17" s="20">
        <v>12</v>
      </c>
      <c r="B17" s="92" t="s">
        <v>1713</v>
      </c>
      <c r="C17" s="92" t="s">
        <v>1714</v>
      </c>
      <c r="D17" s="70" t="s">
        <v>1715</v>
      </c>
      <c r="E17" s="71" t="s">
        <v>1716</v>
      </c>
      <c r="F17" s="97" t="s">
        <v>1717</v>
      </c>
      <c r="G17" s="77"/>
      <c r="H17" s="74" t="s">
        <v>1718</v>
      </c>
      <c r="I17" s="96" t="s">
        <v>1719</v>
      </c>
      <c r="J17" s="14"/>
      <c r="K17" s="77"/>
      <c r="L17" s="77"/>
      <c r="M17" s="77"/>
      <c r="N17" s="11"/>
      <c r="O17" s="11"/>
      <c r="P17" s="11"/>
      <c r="Q17" s="77"/>
      <c r="R17" s="77"/>
      <c r="S17" s="77"/>
      <c r="T17" s="11"/>
      <c r="U17" s="11"/>
      <c r="V17" s="11"/>
      <c r="W17" s="77"/>
      <c r="X17" s="77"/>
      <c r="Y17" s="77"/>
      <c r="Z17" s="11"/>
      <c r="AA17" s="11"/>
      <c r="AB17" s="11"/>
      <c r="AC17" s="77" t="s">
        <v>1565</v>
      </c>
      <c r="AD17" s="77"/>
      <c r="AE17" s="77" t="s">
        <v>1720</v>
      </c>
      <c r="AF17" s="11"/>
      <c r="AG17" s="11"/>
      <c r="AH17" s="11"/>
      <c r="AI17" s="77"/>
      <c r="AJ17" s="77"/>
      <c r="AK17" s="78"/>
      <c r="AL17" s="23">
        <v>12</v>
      </c>
      <c r="AM17" s="79" t="s">
        <v>1721</v>
      </c>
      <c r="AN17" s="79" t="s">
        <v>1722</v>
      </c>
      <c r="AO17" s="79" t="s">
        <v>1723</v>
      </c>
      <c r="AP17" s="80"/>
      <c r="AQ17" s="81" t="s">
        <v>1724</v>
      </c>
      <c r="AR17" s="82" t="s">
        <v>1725</v>
      </c>
      <c r="AS17" s="83" t="s">
        <v>1726</v>
      </c>
      <c r="AT17" s="84" t="s">
        <v>1727</v>
      </c>
      <c r="AU17" s="16"/>
      <c r="AV17" s="84" t="s">
        <v>1728</v>
      </c>
      <c r="AW17" s="85" t="s">
        <v>1729</v>
      </c>
      <c r="AX17" s="86" t="s">
        <v>1730</v>
      </c>
      <c r="AY17" s="87" t="s">
        <v>1731</v>
      </c>
      <c r="AZ17" s="87" t="s">
        <v>1732</v>
      </c>
      <c r="BA17" s="87" t="s">
        <v>1733</v>
      </c>
      <c r="BB17" s="11"/>
      <c r="BC17" s="11"/>
      <c r="BD17" s="11"/>
      <c r="BE17" s="11"/>
      <c r="BF17" s="11"/>
      <c r="BG17" s="11"/>
      <c r="BH17" s="11"/>
      <c r="BI17" s="11"/>
      <c r="BJ17" s="11"/>
      <c r="BK17" s="11"/>
      <c r="BL17" s="11"/>
    </row>
    <row r="18" spans="1:64" x14ac:dyDescent="0.2">
      <c r="A18" s="20">
        <v>13</v>
      </c>
      <c r="B18" s="70" t="s">
        <v>1734</v>
      </c>
      <c r="C18" s="92" t="s">
        <v>1735</v>
      </c>
      <c r="D18" s="70" t="s">
        <v>1736</v>
      </c>
      <c r="E18" s="97" t="s">
        <v>1737</v>
      </c>
      <c r="F18" s="97" t="s">
        <v>1738</v>
      </c>
      <c r="G18" s="77"/>
      <c r="H18" s="74" t="s">
        <v>1739</v>
      </c>
      <c r="I18" s="96" t="s">
        <v>1740</v>
      </c>
      <c r="J18" s="14"/>
      <c r="K18" s="77"/>
      <c r="L18" s="77"/>
      <c r="M18" s="77"/>
      <c r="N18" s="11"/>
      <c r="O18" s="11"/>
      <c r="P18" s="11"/>
      <c r="Q18" s="77"/>
      <c r="R18" s="77"/>
      <c r="S18" s="77"/>
      <c r="T18" s="11"/>
      <c r="U18" s="11"/>
      <c r="V18" s="11"/>
      <c r="W18" s="77"/>
      <c r="X18" s="77"/>
      <c r="Y18" s="77"/>
      <c r="Z18" s="11"/>
      <c r="AA18" s="11"/>
      <c r="AB18" s="11"/>
      <c r="AC18" s="77" t="s">
        <v>1741</v>
      </c>
      <c r="AD18" s="77"/>
      <c r="AE18" s="77"/>
      <c r="AF18" s="11"/>
      <c r="AG18" s="11"/>
      <c r="AH18" s="11"/>
      <c r="AI18" s="77"/>
      <c r="AJ18" s="77"/>
      <c r="AK18" s="78"/>
      <c r="AL18" s="23">
        <v>13</v>
      </c>
      <c r="AM18" s="79" t="s">
        <v>1742</v>
      </c>
      <c r="AN18" s="79" t="s">
        <v>1743</v>
      </c>
      <c r="AO18" s="79" t="s">
        <v>1744</v>
      </c>
      <c r="AP18" s="80"/>
      <c r="AQ18" s="81" t="s">
        <v>1745</v>
      </c>
      <c r="AR18" s="82" t="s">
        <v>1746</v>
      </c>
      <c r="AS18" s="83" t="s">
        <v>1747</v>
      </c>
      <c r="AT18" s="84" t="s">
        <v>1748</v>
      </c>
      <c r="AU18" s="16"/>
      <c r="AV18" s="84" t="s">
        <v>1749</v>
      </c>
      <c r="AW18" s="85"/>
      <c r="AX18" s="86"/>
      <c r="AY18" s="87" t="s">
        <v>1750</v>
      </c>
      <c r="AZ18" s="87" t="s">
        <v>1751</v>
      </c>
      <c r="BA18" s="87" t="s">
        <v>1752</v>
      </c>
      <c r="BB18" s="11"/>
      <c r="BC18" s="11"/>
      <c r="BD18" s="11"/>
      <c r="BE18" s="11"/>
      <c r="BF18" s="11"/>
      <c r="BG18" s="11"/>
      <c r="BH18" s="11"/>
      <c r="BI18" s="11"/>
      <c r="BJ18" s="11"/>
      <c r="BK18" s="11"/>
      <c r="BL18" s="11"/>
    </row>
    <row r="19" spans="1:64" x14ac:dyDescent="0.2">
      <c r="A19" s="20">
        <v>14</v>
      </c>
      <c r="B19" s="70" t="s">
        <v>1753</v>
      </c>
      <c r="C19" s="70" t="s">
        <v>1754</v>
      </c>
      <c r="D19" s="92" t="s">
        <v>1755</v>
      </c>
      <c r="E19" s="97" t="s">
        <v>1756</v>
      </c>
      <c r="F19" s="71" t="s">
        <v>1757</v>
      </c>
      <c r="G19" s="77"/>
      <c r="H19" s="96" t="s">
        <v>1758</v>
      </c>
      <c r="I19" s="74" t="s">
        <v>1759</v>
      </c>
      <c r="J19" s="14"/>
      <c r="K19" s="77"/>
      <c r="L19" s="77"/>
      <c r="M19" s="77"/>
      <c r="N19" s="11"/>
      <c r="O19" s="11"/>
      <c r="P19" s="11"/>
      <c r="Q19" s="77"/>
      <c r="R19" s="77"/>
      <c r="S19" s="77"/>
      <c r="T19" s="11"/>
      <c r="U19" s="11"/>
      <c r="V19" s="11"/>
      <c r="W19" s="77"/>
      <c r="X19" s="77"/>
      <c r="Y19" s="77"/>
      <c r="Z19" s="11"/>
      <c r="AA19" s="11"/>
      <c r="AB19" s="11"/>
      <c r="AC19" s="77"/>
      <c r="AD19" s="77"/>
      <c r="AE19" s="77"/>
      <c r="AF19" s="11"/>
      <c r="AG19" s="11"/>
      <c r="AH19" s="11"/>
      <c r="AI19" s="77"/>
      <c r="AJ19" s="77"/>
      <c r="AK19" s="78"/>
      <c r="AL19" s="23">
        <v>14</v>
      </c>
      <c r="AM19" s="79" t="s">
        <v>1760</v>
      </c>
      <c r="AN19" s="79" t="s">
        <v>1761</v>
      </c>
      <c r="AO19" s="79" t="s">
        <v>1762</v>
      </c>
      <c r="AP19" s="80"/>
      <c r="AQ19" s="81" t="s">
        <v>1763</v>
      </c>
      <c r="AR19" s="82" t="s">
        <v>1764</v>
      </c>
      <c r="AS19" s="83" t="s">
        <v>1765</v>
      </c>
      <c r="AT19" s="84" t="s">
        <v>1766</v>
      </c>
      <c r="AU19" s="84"/>
      <c r="AV19" s="109"/>
      <c r="AW19" s="11"/>
      <c r="AX19" s="11"/>
      <c r="AY19" s="87" t="s">
        <v>1767</v>
      </c>
      <c r="AZ19" s="87"/>
      <c r="BA19" s="87" t="s">
        <v>1768</v>
      </c>
      <c r="BB19" s="11"/>
      <c r="BC19" s="11"/>
      <c r="BD19" s="11"/>
      <c r="BE19" s="11"/>
      <c r="BF19" s="11"/>
      <c r="BG19" s="11"/>
      <c r="BH19" s="11"/>
      <c r="BI19" s="11"/>
      <c r="BJ19" s="11"/>
      <c r="BK19" s="11"/>
      <c r="BL19" s="11"/>
    </row>
    <row r="20" spans="1:64" s="105" customFormat="1" x14ac:dyDescent="0.2">
      <c r="A20" s="98">
        <v>15</v>
      </c>
      <c r="B20" s="99" t="s">
        <v>1769</v>
      </c>
      <c r="C20" s="100" t="s">
        <v>1770</v>
      </c>
      <c r="D20" s="100" t="s">
        <v>1771</v>
      </c>
      <c r="E20" s="97" t="s">
        <v>1772</v>
      </c>
      <c r="F20" s="97" t="s">
        <v>1773</v>
      </c>
      <c r="G20" s="77"/>
      <c r="H20" s="101" t="s">
        <v>1774</v>
      </c>
      <c r="I20" s="110" t="s">
        <v>1775</v>
      </c>
      <c r="J20" s="78"/>
      <c r="K20" s="77"/>
      <c r="L20" s="77"/>
      <c r="M20" s="77"/>
      <c r="N20" s="77"/>
      <c r="O20" s="77"/>
      <c r="P20" s="77"/>
      <c r="Q20" s="77"/>
      <c r="R20" s="77"/>
      <c r="S20" s="77"/>
      <c r="T20" s="77"/>
      <c r="U20" s="77"/>
      <c r="V20" s="77"/>
      <c r="W20" s="77"/>
      <c r="X20" s="77"/>
      <c r="Y20" s="77"/>
      <c r="Z20" s="77"/>
      <c r="AA20" s="77"/>
      <c r="AB20" s="77"/>
      <c r="AC20" s="77"/>
      <c r="AD20" s="77"/>
      <c r="AE20" s="77"/>
      <c r="AF20" s="77"/>
      <c r="AG20" s="77"/>
      <c r="AH20" s="77"/>
      <c r="AI20" s="77"/>
      <c r="AJ20" s="77"/>
      <c r="AK20" s="78"/>
      <c r="AL20" s="104">
        <v>15</v>
      </c>
      <c r="AM20" s="79" t="s">
        <v>1776</v>
      </c>
      <c r="AN20" s="79" t="s">
        <v>1777</v>
      </c>
      <c r="AO20" s="79" t="s">
        <v>1778</v>
      </c>
      <c r="AP20" s="80"/>
      <c r="AQ20" s="81" t="s">
        <v>1779</v>
      </c>
      <c r="AR20" s="82" t="s">
        <v>1780</v>
      </c>
      <c r="AS20" s="83" t="s">
        <v>1781</v>
      </c>
      <c r="AT20" s="84" t="s">
        <v>1782</v>
      </c>
      <c r="AU20" s="84"/>
      <c r="AV20" s="84"/>
      <c r="AW20" s="77"/>
      <c r="AX20" s="77"/>
      <c r="AY20" s="87"/>
      <c r="AZ20" s="87"/>
      <c r="BA20" s="87" t="s">
        <v>1783</v>
      </c>
      <c r="BB20" s="77"/>
      <c r="BC20" s="77"/>
      <c r="BD20" s="77"/>
      <c r="BE20" s="77"/>
      <c r="BF20" s="77"/>
      <c r="BG20" s="77"/>
      <c r="BH20" s="77"/>
      <c r="BI20" s="77"/>
      <c r="BJ20" s="77"/>
      <c r="BK20" s="77"/>
      <c r="BL20" s="77"/>
    </row>
    <row r="21" spans="1:64" x14ac:dyDescent="0.2">
      <c r="A21" s="20">
        <v>16</v>
      </c>
      <c r="B21" s="70" t="s">
        <v>1784</v>
      </c>
      <c r="C21" s="70" t="s">
        <v>1785</v>
      </c>
      <c r="D21" s="92"/>
      <c r="E21" s="97" t="s">
        <v>1786</v>
      </c>
      <c r="F21" s="71" t="s">
        <v>1787</v>
      </c>
      <c r="G21" s="77"/>
      <c r="H21" s="74" t="s">
        <v>1788</v>
      </c>
      <c r="I21" s="74" t="s">
        <v>1789</v>
      </c>
      <c r="J21" s="14"/>
      <c r="K21" s="77"/>
      <c r="L21" s="77"/>
      <c r="M21" s="77"/>
      <c r="N21" s="11"/>
      <c r="O21" s="11"/>
      <c r="P21" s="11"/>
      <c r="Q21" s="77"/>
      <c r="R21" s="77"/>
      <c r="S21" s="77"/>
      <c r="T21" s="11"/>
      <c r="U21" s="11"/>
      <c r="V21" s="11"/>
      <c r="W21" s="77"/>
      <c r="X21" s="77"/>
      <c r="Y21" s="77"/>
      <c r="Z21" s="11"/>
      <c r="AA21" s="11"/>
      <c r="AB21" s="11"/>
      <c r="AC21" s="77"/>
      <c r="AD21" s="77"/>
      <c r="AE21" s="77"/>
      <c r="AF21" s="11"/>
      <c r="AG21" s="11"/>
      <c r="AH21" s="11"/>
      <c r="AI21" s="77"/>
      <c r="AJ21" s="77"/>
      <c r="AK21" s="78"/>
      <c r="AL21" s="23">
        <v>16</v>
      </c>
      <c r="AM21" s="79" t="s">
        <v>1790</v>
      </c>
      <c r="AN21" s="79" t="s">
        <v>1791</v>
      </c>
      <c r="AO21" s="79" t="s">
        <v>1792</v>
      </c>
      <c r="AP21" s="80"/>
      <c r="AQ21" s="81" t="s">
        <v>1793</v>
      </c>
      <c r="AR21" s="82" t="s">
        <v>1794</v>
      </c>
      <c r="AS21" s="83" t="s">
        <v>1795</v>
      </c>
      <c r="AT21" s="84" t="s">
        <v>1796</v>
      </c>
      <c r="AU21" s="84"/>
      <c r="AV21" s="84"/>
      <c r="AW21" s="11"/>
      <c r="AX21" s="11"/>
      <c r="AY21" s="87"/>
      <c r="AZ21" s="87"/>
      <c r="BA21" s="87" t="s">
        <v>1797</v>
      </c>
      <c r="BB21" s="11"/>
      <c r="BC21" s="11"/>
      <c r="BD21" s="11"/>
      <c r="BE21" s="11"/>
      <c r="BF21" s="11"/>
      <c r="BG21" s="11"/>
      <c r="BH21" s="11"/>
      <c r="BI21" s="11"/>
      <c r="BJ21" s="11"/>
      <c r="BK21" s="11"/>
      <c r="BL21" s="11"/>
    </row>
    <row r="22" spans="1:64" x14ac:dyDescent="0.2">
      <c r="A22" s="20">
        <v>17</v>
      </c>
      <c r="B22" s="70" t="s">
        <v>1798</v>
      </c>
      <c r="C22" s="70" t="s">
        <v>1799</v>
      </c>
      <c r="D22" s="70"/>
      <c r="E22" s="71" t="s">
        <v>1800</v>
      </c>
      <c r="F22" s="71" t="s">
        <v>1801</v>
      </c>
      <c r="G22" s="77"/>
      <c r="H22" s="74" t="s">
        <v>1802</v>
      </c>
      <c r="I22" s="74" t="s">
        <v>1803</v>
      </c>
      <c r="J22" s="14"/>
      <c r="K22" s="77"/>
      <c r="L22" s="77"/>
      <c r="M22" s="77"/>
      <c r="N22" s="11"/>
      <c r="O22" s="11"/>
      <c r="P22" s="11"/>
      <c r="Q22" s="77"/>
      <c r="R22" s="77"/>
      <c r="S22" s="77"/>
      <c r="T22" s="11"/>
      <c r="U22" s="11"/>
      <c r="V22" s="11"/>
      <c r="W22" s="77"/>
      <c r="X22" s="77"/>
      <c r="Y22" s="77"/>
      <c r="Z22" s="11"/>
      <c r="AA22" s="11"/>
      <c r="AB22" s="11"/>
      <c r="AC22" s="77"/>
      <c r="AD22" s="77"/>
      <c r="AE22" s="77"/>
      <c r="AF22" s="11"/>
      <c r="AG22" s="11"/>
      <c r="AH22" s="11"/>
      <c r="AI22" s="11"/>
      <c r="AJ22" s="11"/>
      <c r="AK22" s="14"/>
      <c r="AL22" s="23">
        <v>17</v>
      </c>
      <c r="AM22" s="79" t="s">
        <v>1804</v>
      </c>
      <c r="AN22" s="79" t="s">
        <v>1805</v>
      </c>
      <c r="AO22" s="79" t="s">
        <v>1806</v>
      </c>
      <c r="AP22" s="80"/>
      <c r="AQ22" s="81" t="s">
        <v>1807</v>
      </c>
      <c r="AR22" s="82" t="s">
        <v>1808</v>
      </c>
      <c r="AS22" s="83" t="s">
        <v>1809</v>
      </c>
      <c r="AT22" s="84" t="s">
        <v>1810</v>
      </c>
      <c r="AU22" s="84"/>
      <c r="AV22" s="84"/>
      <c r="AW22" s="11"/>
      <c r="AX22" s="11"/>
      <c r="AY22" s="87"/>
      <c r="AZ22" s="87"/>
      <c r="BA22" s="87" t="s">
        <v>1811</v>
      </c>
      <c r="BB22" s="11"/>
      <c r="BC22" s="11"/>
      <c r="BD22" s="11"/>
      <c r="BE22" s="11"/>
      <c r="BF22" s="11"/>
      <c r="BG22" s="11"/>
      <c r="BH22" s="11"/>
      <c r="BI22" s="11"/>
      <c r="BJ22" s="11"/>
      <c r="BK22" s="11"/>
      <c r="BL22" s="11"/>
    </row>
    <row r="23" spans="1:64" ht="12" thickBot="1" x14ac:dyDescent="0.25">
      <c r="A23" s="20">
        <v>18</v>
      </c>
      <c r="B23" s="70" t="s">
        <v>1812</v>
      </c>
      <c r="C23" s="70" t="s">
        <v>1813</v>
      </c>
      <c r="D23" s="70"/>
      <c r="E23" s="97" t="s">
        <v>1814</v>
      </c>
      <c r="F23" s="71" t="s">
        <v>1815</v>
      </c>
      <c r="G23" s="77"/>
      <c r="H23" s="11"/>
      <c r="I23" s="74" t="s">
        <v>1816</v>
      </c>
      <c r="J23" s="11"/>
      <c r="AL23" s="23">
        <v>18</v>
      </c>
      <c r="AM23" s="79" t="s">
        <v>1817</v>
      </c>
      <c r="AN23" s="79" t="s">
        <v>1818</v>
      </c>
      <c r="AO23" s="79" t="s">
        <v>1819</v>
      </c>
      <c r="AP23" s="111"/>
      <c r="AQ23" s="112"/>
      <c r="AR23" s="113" t="s">
        <v>1820</v>
      </c>
      <c r="AS23" s="83" t="s">
        <v>1821</v>
      </c>
      <c r="AT23" s="84" t="s">
        <v>1822</v>
      </c>
      <c r="AU23" s="84"/>
      <c r="AV23" s="84"/>
      <c r="AW23" s="11"/>
      <c r="AX23" s="11"/>
      <c r="AY23" s="87"/>
      <c r="AZ23" s="87"/>
      <c r="BA23" s="87" t="s">
        <v>1823</v>
      </c>
      <c r="BB23" s="11"/>
      <c r="BC23" s="11"/>
      <c r="BD23" s="11"/>
      <c r="BE23" s="11"/>
      <c r="BF23" s="11"/>
      <c r="BG23" s="11"/>
      <c r="BH23" s="11"/>
      <c r="BI23" s="11"/>
      <c r="BJ23" s="11"/>
      <c r="BK23" s="11"/>
      <c r="BL23" s="11"/>
    </row>
    <row r="24" spans="1:64" x14ac:dyDescent="0.2">
      <c r="A24" s="20">
        <v>19</v>
      </c>
      <c r="B24" s="70" t="s">
        <v>1824</v>
      </c>
      <c r="C24" s="92" t="s">
        <v>1825</v>
      </c>
      <c r="D24" s="92"/>
      <c r="E24" s="71" t="s">
        <v>1826</v>
      </c>
      <c r="F24" s="72" t="s">
        <v>1827</v>
      </c>
      <c r="G24" s="77"/>
      <c r="H24" s="11"/>
      <c r="I24" s="11"/>
      <c r="J24" s="11"/>
      <c r="AL24" s="23">
        <v>19</v>
      </c>
      <c r="AM24" s="79" t="s">
        <v>1828</v>
      </c>
      <c r="AN24" s="79" t="s">
        <v>1829</v>
      </c>
      <c r="AO24" s="79" t="s">
        <v>1830</v>
      </c>
      <c r="AP24" s="114"/>
      <c r="AQ24" s="115"/>
      <c r="AR24" s="115"/>
      <c r="AS24" s="84" t="s">
        <v>1831</v>
      </c>
      <c r="AT24" s="84" t="s">
        <v>1832</v>
      </c>
      <c r="AU24" s="84"/>
      <c r="AV24" s="84"/>
      <c r="AW24" s="11"/>
      <c r="AX24" s="11"/>
      <c r="AY24" s="87"/>
      <c r="AZ24" s="87"/>
      <c r="BA24" s="87" t="s">
        <v>1833</v>
      </c>
      <c r="BB24" s="11"/>
      <c r="BC24" s="11"/>
      <c r="BD24" s="11"/>
      <c r="BE24" s="11"/>
      <c r="BF24" s="11"/>
      <c r="BG24" s="11"/>
      <c r="BH24" s="11"/>
      <c r="BI24" s="11"/>
      <c r="BJ24" s="11"/>
      <c r="BK24" s="11"/>
      <c r="BL24" s="11"/>
    </row>
    <row r="25" spans="1:64" x14ac:dyDescent="0.2">
      <c r="A25" s="20">
        <v>20</v>
      </c>
      <c r="B25" s="70" t="s">
        <v>1834</v>
      </c>
      <c r="C25" s="70" t="s">
        <v>1835</v>
      </c>
      <c r="D25" s="70"/>
      <c r="E25" s="97" t="s">
        <v>1836</v>
      </c>
      <c r="F25" s="71" t="s">
        <v>1837</v>
      </c>
      <c r="G25" s="77"/>
      <c r="H25" s="11"/>
      <c r="I25" s="11"/>
      <c r="J25" s="11"/>
      <c r="AL25" s="23">
        <v>20</v>
      </c>
      <c r="AM25" s="79" t="s">
        <v>1838</v>
      </c>
      <c r="AN25" s="79" t="s">
        <v>1839</v>
      </c>
      <c r="AO25" s="79" t="s">
        <v>1840</v>
      </c>
      <c r="AP25" s="13"/>
      <c r="AQ25" s="11"/>
      <c r="AR25" s="11"/>
      <c r="AS25" s="84" t="s">
        <v>1841</v>
      </c>
      <c r="AT25" s="84" t="s">
        <v>1842</v>
      </c>
      <c r="AU25" s="84"/>
      <c r="AV25" s="84"/>
      <c r="AW25" s="11"/>
      <c r="AX25" s="11"/>
      <c r="AY25" s="87"/>
      <c r="AZ25" s="87"/>
      <c r="BA25" s="87" t="s">
        <v>1843</v>
      </c>
      <c r="BB25" s="11"/>
      <c r="BC25" s="11"/>
      <c r="BD25" s="11"/>
      <c r="BE25" s="11"/>
      <c r="BF25" s="11"/>
      <c r="BG25" s="11"/>
      <c r="BH25" s="11"/>
      <c r="BI25" s="11"/>
      <c r="BJ25" s="11"/>
      <c r="BK25" s="11"/>
      <c r="BL25" s="11"/>
    </row>
    <row r="26" spans="1:64" x14ac:dyDescent="0.2">
      <c r="A26" s="20">
        <v>21</v>
      </c>
      <c r="B26" s="92" t="s">
        <v>1844</v>
      </c>
      <c r="C26" s="92" t="s">
        <v>1845</v>
      </c>
      <c r="D26" s="92"/>
      <c r="E26" s="97" t="s">
        <v>1846</v>
      </c>
      <c r="F26" s="73" t="s">
        <v>1847</v>
      </c>
      <c r="G26" s="77"/>
      <c r="H26" s="11"/>
      <c r="I26" s="11"/>
      <c r="J26" s="11"/>
      <c r="AL26" s="116">
        <v>21</v>
      </c>
      <c r="AM26" s="79" t="s">
        <v>1848</v>
      </c>
      <c r="AN26" s="79" t="s">
        <v>1849</v>
      </c>
      <c r="AO26" s="79" t="s">
        <v>1850</v>
      </c>
      <c r="AP26" s="83"/>
      <c r="AQ26" s="84"/>
      <c r="AR26" s="84"/>
      <c r="AS26" s="84" t="s">
        <v>1851</v>
      </c>
      <c r="AT26" s="84" t="s">
        <v>1852</v>
      </c>
      <c r="AU26" s="84"/>
      <c r="AV26" s="84"/>
      <c r="AW26" s="84"/>
      <c r="AX26" s="84"/>
      <c r="AY26" s="84"/>
      <c r="AZ26" s="84"/>
      <c r="BA26" s="84" t="s">
        <v>1853</v>
      </c>
      <c r="BB26" s="11"/>
      <c r="BC26" s="11"/>
      <c r="BD26" s="11"/>
      <c r="BE26" s="11"/>
      <c r="BF26" s="11"/>
      <c r="BG26" s="11"/>
      <c r="BH26" s="11"/>
      <c r="BI26" s="11"/>
      <c r="BJ26" s="11"/>
      <c r="BK26" s="11"/>
      <c r="BL26" s="11"/>
    </row>
    <row r="27" spans="1:64" x14ac:dyDescent="0.2">
      <c r="A27" s="20">
        <v>22</v>
      </c>
      <c r="B27" s="70" t="s">
        <v>1854</v>
      </c>
      <c r="C27" s="92" t="s">
        <v>1855</v>
      </c>
      <c r="D27" s="92"/>
      <c r="E27" s="71" t="s">
        <v>1856</v>
      </c>
      <c r="F27" s="90" t="s">
        <v>1857</v>
      </c>
      <c r="G27" s="77"/>
      <c r="H27" s="11"/>
      <c r="I27" s="11"/>
      <c r="J27" s="11"/>
      <c r="AL27" s="23">
        <v>22</v>
      </c>
      <c r="AM27" s="79" t="s">
        <v>1858</v>
      </c>
      <c r="AN27" s="79" t="s">
        <v>1859</v>
      </c>
      <c r="AO27" s="79" t="s">
        <v>1860</v>
      </c>
      <c r="AP27" s="13"/>
      <c r="AQ27" s="11"/>
      <c r="AR27" s="11"/>
      <c r="AS27" s="84" t="s">
        <v>1861</v>
      </c>
      <c r="AT27" s="84" t="s">
        <v>1862</v>
      </c>
      <c r="AU27" s="84"/>
      <c r="AV27" s="84"/>
      <c r="AW27" s="11"/>
      <c r="AX27" s="11"/>
      <c r="AY27" s="87"/>
      <c r="AZ27" s="87"/>
      <c r="BA27" s="87"/>
      <c r="BB27" s="11"/>
      <c r="BC27" s="11"/>
      <c r="BD27" s="11"/>
      <c r="BE27" s="11"/>
      <c r="BF27" s="11"/>
      <c r="BG27" s="11"/>
      <c r="BH27" s="11"/>
      <c r="BI27" s="11"/>
      <c r="BJ27" s="11"/>
      <c r="BK27" s="11"/>
      <c r="BL27" s="11"/>
    </row>
    <row r="28" spans="1:64" x14ac:dyDescent="0.2">
      <c r="A28" s="20">
        <v>23</v>
      </c>
      <c r="B28" s="92" t="s">
        <v>1863</v>
      </c>
      <c r="C28" s="70" t="s">
        <v>1864</v>
      </c>
      <c r="D28" s="70"/>
      <c r="E28" s="71" t="s">
        <v>1865</v>
      </c>
      <c r="F28" s="90" t="s">
        <v>1866</v>
      </c>
      <c r="G28" s="77"/>
      <c r="H28" s="11"/>
      <c r="I28" s="11"/>
      <c r="J28" s="11"/>
      <c r="M28" s="89" t="s">
        <v>1121</v>
      </c>
      <c r="N28" s="89" t="s">
        <v>1121</v>
      </c>
      <c r="O28" s="89" t="s">
        <v>1121</v>
      </c>
      <c r="AL28" s="23">
        <v>23</v>
      </c>
      <c r="AM28" s="79" t="s">
        <v>1867</v>
      </c>
      <c r="AN28" s="79" t="s">
        <v>1868</v>
      </c>
      <c r="AO28" s="79" t="s">
        <v>1860</v>
      </c>
      <c r="AP28" s="13"/>
      <c r="AQ28" s="11"/>
      <c r="AR28" s="11"/>
      <c r="AS28" s="84" t="s">
        <v>1869</v>
      </c>
      <c r="AT28" s="84"/>
      <c r="AU28" s="84"/>
      <c r="AV28" s="84"/>
      <c r="AW28" s="11"/>
      <c r="AX28" s="11"/>
      <c r="AY28" s="87"/>
      <c r="AZ28" s="87"/>
      <c r="BA28" s="87"/>
      <c r="BB28" s="11"/>
      <c r="BC28" s="11"/>
      <c r="BD28" s="11"/>
      <c r="BE28" s="11"/>
      <c r="BF28" s="11"/>
      <c r="BG28" s="11"/>
      <c r="BH28" s="11"/>
      <c r="BI28" s="11"/>
      <c r="BJ28" s="11"/>
      <c r="BK28" s="11"/>
      <c r="BL28" s="11"/>
    </row>
    <row r="29" spans="1:64" x14ac:dyDescent="0.2">
      <c r="A29" s="20">
        <v>24</v>
      </c>
      <c r="B29" s="70" t="s">
        <v>1870</v>
      </c>
      <c r="C29" s="11"/>
      <c r="D29" s="11"/>
      <c r="E29" s="97" t="s">
        <v>1871</v>
      </c>
      <c r="F29" s="90" t="s">
        <v>1872</v>
      </c>
      <c r="G29" s="77"/>
      <c r="H29" s="11"/>
      <c r="I29" s="11"/>
      <c r="J29" s="11"/>
      <c r="AL29" s="23">
        <v>24</v>
      </c>
      <c r="AM29" s="79" t="s">
        <v>1873</v>
      </c>
      <c r="AN29" s="79" t="s">
        <v>1874</v>
      </c>
      <c r="AO29" s="79" t="s">
        <v>1875</v>
      </c>
      <c r="AP29" s="13"/>
      <c r="AQ29" s="11"/>
      <c r="AR29" s="11"/>
      <c r="AS29" s="11"/>
      <c r="AT29" s="11"/>
      <c r="AU29" s="11"/>
      <c r="AV29" s="11"/>
      <c r="AW29" s="11"/>
      <c r="AX29" s="11"/>
      <c r="AY29" s="87"/>
      <c r="AZ29" s="87"/>
      <c r="BA29" s="87"/>
      <c r="BB29" s="11"/>
      <c r="BC29" s="11"/>
      <c r="BD29" s="11"/>
      <c r="BE29" s="11"/>
      <c r="BF29" s="11"/>
      <c r="BG29" s="11"/>
      <c r="BH29" s="11"/>
      <c r="BI29" s="11"/>
      <c r="BJ29" s="11"/>
      <c r="BK29" s="11"/>
      <c r="BL29" s="11"/>
    </row>
    <row r="30" spans="1:64" x14ac:dyDescent="0.2">
      <c r="A30" s="20">
        <v>25</v>
      </c>
      <c r="B30" s="92" t="s">
        <v>1876</v>
      </c>
      <c r="C30" s="11"/>
      <c r="D30" s="11"/>
      <c r="E30" s="71" t="s">
        <v>1877</v>
      </c>
      <c r="F30" s="73" t="s">
        <v>1878</v>
      </c>
      <c r="G30" s="77"/>
      <c r="H30" s="11"/>
      <c r="I30" s="11"/>
      <c r="J30" s="11"/>
      <c r="AL30" s="23">
        <v>25</v>
      </c>
      <c r="AM30" s="79" t="s">
        <v>1879</v>
      </c>
      <c r="AN30" s="79" t="s">
        <v>1880</v>
      </c>
      <c r="AO30" s="79" t="s">
        <v>1881</v>
      </c>
      <c r="AP30" s="13"/>
      <c r="AQ30" s="11"/>
      <c r="AR30" s="11"/>
      <c r="AS30" s="11"/>
      <c r="AT30" s="11"/>
      <c r="AU30" s="11"/>
      <c r="AV30" s="11"/>
      <c r="AW30" s="11"/>
      <c r="AX30" s="11"/>
      <c r="AY30" s="11"/>
      <c r="AZ30" s="11"/>
      <c r="BA30" s="11"/>
      <c r="BB30" s="11"/>
      <c r="BC30" s="11"/>
      <c r="BD30" s="11"/>
      <c r="BE30" s="11"/>
      <c r="BF30" s="11"/>
      <c r="BG30" s="11"/>
      <c r="BH30" s="11"/>
      <c r="BI30" s="11"/>
      <c r="BJ30" s="11"/>
      <c r="BK30" s="11"/>
      <c r="BL30" s="11"/>
    </row>
    <row r="31" spans="1:64" x14ac:dyDescent="0.2">
      <c r="A31" s="20">
        <v>26</v>
      </c>
      <c r="B31" s="92" t="s">
        <v>1882</v>
      </c>
      <c r="C31" s="11"/>
      <c r="D31" s="11"/>
      <c r="E31" s="97" t="s">
        <v>1883</v>
      </c>
      <c r="F31" s="94" t="s">
        <v>1884</v>
      </c>
      <c r="G31" s="77"/>
      <c r="H31" s="11"/>
      <c r="I31" s="11"/>
      <c r="J31" s="11"/>
      <c r="AL31" s="23">
        <v>26</v>
      </c>
      <c r="AM31" s="79" t="s">
        <v>1885</v>
      </c>
      <c r="AN31" s="79" t="s">
        <v>1886</v>
      </c>
      <c r="AO31" s="79" t="s">
        <v>1887</v>
      </c>
      <c r="AP31" s="13"/>
      <c r="AQ31" s="11"/>
      <c r="AR31" s="11"/>
      <c r="AS31" s="11"/>
      <c r="AT31" s="11"/>
      <c r="AU31" s="11"/>
      <c r="AV31" s="11"/>
      <c r="AW31" s="11"/>
      <c r="AX31" s="11"/>
      <c r="AY31" s="11"/>
      <c r="AZ31" s="11"/>
      <c r="BA31" s="11"/>
      <c r="BB31" s="11"/>
      <c r="BC31" s="11"/>
      <c r="BD31" s="11"/>
      <c r="BE31" s="11"/>
      <c r="BF31" s="11"/>
      <c r="BG31" s="11"/>
      <c r="BH31" s="11"/>
      <c r="BI31" s="11"/>
      <c r="BJ31" s="11"/>
      <c r="BK31" s="11"/>
      <c r="BL31" s="11"/>
    </row>
    <row r="32" spans="1:64" x14ac:dyDescent="0.2">
      <c r="A32" s="20">
        <v>27</v>
      </c>
      <c r="B32" s="92" t="s">
        <v>1888</v>
      </c>
      <c r="C32" s="11"/>
      <c r="D32" s="11"/>
      <c r="E32" s="97" t="s">
        <v>1889</v>
      </c>
      <c r="F32" s="73" t="s">
        <v>1890</v>
      </c>
      <c r="G32" s="77"/>
      <c r="H32" s="11"/>
      <c r="I32" s="11"/>
      <c r="J32" s="11"/>
      <c r="AL32" s="23">
        <v>27</v>
      </c>
      <c r="AM32" s="79" t="s">
        <v>1891</v>
      </c>
      <c r="AN32" s="79" t="s">
        <v>1892</v>
      </c>
      <c r="AO32" s="79" t="s">
        <v>1893</v>
      </c>
      <c r="AP32" s="13"/>
      <c r="AQ32" s="11"/>
      <c r="AR32" s="11"/>
      <c r="AS32" s="11"/>
      <c r="AT32" s="11"/>
      <c r="AU32" s="11"/>
      <c r="AV32" s="11"/>
      <c r="AW32" s="11"/>
      <c r="AX32" s="11"/>
      <c r="AY32" s="11"/>
      <c r="AZ32" s="11"/>
      <c r="BA32" s="11"/>
      <c r="BB32" s="11"/>
      <c r="BC32" s="11"/>
      <c r="BD32" s="11"/>
      <c r="BE32" s="11"/>
      <c r="BF32" s="11"/>
      <c r="BG32" s="11"/>
      <c r="BH32" s="11"/>
      <c r="BI32" s="11"/>
      <c r="BJ32" s="11"/>
      <c r="BK32" s="11"/>
      <c r="BL32" s="11"/>
    </row>
    <row r="33" spans="1:64" x14ac:dyDescent="0.2">
      <c r="A33" s="20">
        <v>28</v>
      </c>
      <c r="B33" s="70" t="s">
        <v>1894</v>
      </c>
      <c r="C33" s="11"/>
      <c r="D33" s="11"/>
      <c r="E33" s="71" t="s">
        <v>1895</v>
      </c>
      <c r="F33" s="73" t="s">
        <v>1896</v>
      </c>
      <c r="G33" s="77"/>
      <c r="H33" s="11"/>
      <c r="I33" s="11"/>
      <c r="J33" s="11"/>
      <c r="AL33" s="23">
        <v>28</v>
      </c>
      <c r="AM33" s="79" t="s">
        <v>1897</v>
      </c>
      <c r="AN33" s="79" t="s">
        <v>1898</v>
      </c>
      <c r="AO33" s="79" t="s">
        <v>1899</v>
      </c>
      <c r="AP33" s="13"/>
      <c r="AQ33" s="11"/>
      <c r="AR33" s="11"/>
      <c r="AS33" s="11"/>
      <c r="AT33" s="11"/>
      <c r="AU33" s="11"/>
      <c r="AV33" s="11"/>
      <c r="AW33" s="11"/>
      <c r="AX33" s="11"/>
      <c r="AY33" s="11"/>
      <c r="AZ33" s="11"/>
      <c r="BA33" s="11"/>
      <c r="BB33" s="11"/>
      <c r="BC33" s="11"/>
      <c r="BD33" s="11"/>
      <c r="BE33" s="11"/>
      <c r="BF33" s="11"/>
      <c r="BG33" s="11"/>
      <c r="BH33" s="11"/>
      <c r="BI33" s="11"/>
      <c r="BJ33" s="11"/>
      <c r="BK33" s="11"/>
      <c r="BL33" s="11"/>
    </row>
    <row r="34" spans="1:64" x14ac:dyDescent="0.2">
      <c r="A34" s="20">
        <v>29</v>
      </c>
      <c r="B34" s="70" t="s">
        <v>1900</v>
      </c>
      <c r="C34" s="11"/>
      <c r="D34" s="11"/>
      <c r="E34" s="71" t="s">
        <v>1901</v>
      </c>
      <c r="F34" s="90" t="s">
        <v>1902</v>
      </c>
      <c r="G34" s="77"/>
      <c r="H34" s="11"/>
      <c r="I34" s="11"/>
      <c r="J34" s="11"/>
      <c r="AL34" s="23">
        <v>29</v>
      </c>
      <c r="AM34" s="79" t="s">
        <v>1903</v>
      </c>
      <c r="AN34" s="79" t="s">
        <v>1904</v>
      </c>
      <c r="AO34" s="79" t="s">
        <v>1905</v>
      </c>
      <c r="AP34" s="13"/>
      <c r="AQ34" s="11"/>
      <c r="AR34" s="11"/>
      <c r="AS34" s="11"/>
      <c r="AT34" s="11"/>
      <c r="AU34" s="11"/>
      <c r="AV34" s="11"/>
      <c r="AW34" s="11"/>
      <c r="AX34" s="11"/>
      <c r="AY34" s="11"/>
      <c r="AZ34" s="11"/>
      <c r="BA34" s="11"/>
      <c r="BB34" s="11"/>
      <c r="BC34" s="11"/>
      <c r="BD34" s="11"/>
      <c r="BE34" s="11"/>
      <c r="BF34" s="11"/>
      <c r="BG34" s="11"/>
      <c r="BH34" s="11"/>
      <c r="BI34" s="11"/>
      <c r="BJ34" s="11"/>
      <c r="BK34" s="11"/>
      <c r="BL34" s="11"/>
    </row>
    <row r="35" spans="1:64" x14ac:dyDescent="0.2">
      <c r="A35" s="20">
        <v>30</v>
      </c>
      <c r="B35" s="70" t="s">
        <v>1906</v>
      </c>
      <c r="C35" s="11"/>
      <c r="D35" s="11"/>
      <c r="E35" s="77"/>
      <c r="F35" s="73" t="s">
        <v>1907</v>
      </c>
      <c r="G35" s="77"/>
      <c r="H35" s="11"/>
      <c r="I35" s="11"/>
      <c r="J35" s="11"/>
      <c r="AL35" s="23">
        <v>30</v>
      </c>
      <c r="AM35" s="79" t="s">
        <v>1903</v>
      </c>
      <c r="AN35" s="79" t="s">
        <v>1908</v>
      </c>
      <c r="AO35" s="79" t="s">
        <v>1909</v>
      </c>
      <c r="AP35" s="13"/>
      <c r="AQ35" s="11"/>
      <c r="AR35" s="11"/>
      <c r="AS35" s="11"/>
      <c r="AT35" s="11"/>
      <c r="AU35" s="11"/>
      <c r="AV35" s="11"/>
      <c r="AW35" s="11"/>
      <c r="AX35" s="11"/>
      <c r="AY35" s="11"/>
      <c r="AZ35" s="11"/>
      <c r="BA35" s="11"/>
      <c r="BB35" s="11"/>
      <c r="BC35" s="11"/>
      <c r="BD35" s="11"/>
      <c r="BE35" s="11"/>
      <c r="BF35" s="11"/>
      <c r="BG35" s="11"/>
      <c r="BH35" s="11"/>
      <c r="BI35" s="11"/>
      <c r="BJ35" s="11"/>
      <c r="BK35" s="11"/>
      <c r="BL35" s="11"/>
    </row>
    <row r="36" spans="1:64" x14ac:dyDescent="0.2">
      <c r="A36" s="20">
        <v>31</v>
      </c>
      <c r="B36" s="11"/>
      <c r="C36" s="11"/>
      <c r="D36" s="11"/>
      <c r="E36" s="77"/>
      <c r="F36" s="77"/>
      <c r="G36" s="77"/>
      <c r="H36" s="11"/>
      <c r="I36" s="11"/>
      <c r="J36" s="11"/>
      <c r="AL36" s="14"/>
      <c r="AM36" s="79" t="s">
        <v>1910</v>
      </c>
      <c r="AN36" s="79" t="s">
        <v>1911</v>
      </c>
      <c r="AO36" s="79" t="s">
        <v>1912</v>
      </c>
      <c r="AP36" s="13"/>
      <c r="AQ36" s="11"/>
      <c r="AR36" s="11"/>
      <c r="AS36" s="11"/>
      <c r="AT36" s="11"/>
      <c r="AU36" s="11"/>
      <c r="AV36" s="11"/>
      <c r="AW36" s="11"/>
      <c r="AX36" s="11"/>
      <c r="AY36" s="11"/>
      <c r="AZ36" s="11"/>
      <c r="BA36" s="11"/>
      <c r="BB36" s="11"/>
      <c r="BC36" s="11"/>
      <c r="BD36" s="11"/>
      <c r="BE36" s="11"/>
      <c r="BF36" s="11"/>
      <c r="BG36" s="11"/>
      <c r="BH36" s="11"/>
      <c r="BI36" s="11"/>
      <c r="BJ36" s="11"/>
      <c r="BK36" s="11"/>
      <c r="BL36" s="11"/>
    </row>
    <row r="37" spans="1:64" x14ac:dyDescent="0.2">
      <c r="A37" s="20">
        <v>32</v>
      </c>
      <c r="B37" s="11"/>
      <c r="C37" s="11"/>
      <c r="D37" s="11"/>
      <c r="E37" s="77"/>
      <c r="F37" s="77"/>
      <c r="G37" s="77"/>
      <c r="H37" s="11"/>
      <c r="I37" s="11"/>
      <c r="J37" s="11"/>
      <c r="AL37" s="14"/>
      <c r="AM37" s="79" t="s">
        <v>1913</v>
      </c>
      <c r="AN37" s="79" t="s">
        <v>1914</v>
      </c>
      <c r="AO37" s="79" t="s">
        <v>1915</v>
      </c>
      <c r="AP37" s="13"/>
      <c r="AQ37" s="11"/>
      <c r="AR37" s="11"/>
      <c r="AS37" s="11"/>
      <c r="AT37" s="11"/>
      <c r="AU37" s="11"/>
      <c r="AV37" s="11"/>
      <c r="AW37" s="11"/>
      <c r="AX37" s="11"/>
      <c r="AY37" s="11"/>
      <c r="AZ37" s="11"/>
      <c r="BA37" s="11"/>
      <c r="BB37" s="11"/>
      <c r="BC37" s="11"/>
      <c r="BD37" s="11"/>
      <c r="BE37" s="11"/>
      <c r="BF37" s="11"/>
      <c r="BG37" s="11"/>
      <c r="BH37" s="11"/>
      <c r="BI37" s="11"/>
      <c r="BJ37" s="11"/>
      <c r="BK37" s="11"/>
      <c r="BL37" s="11"/>
    </row>
    <row r="38" spans="1:64" x14ac:dyDescent="0.2">
      <c r="A38" s="20">
        <v>33</v>
      </c>
      <c r="B38" s="11"/>
      <c r="C38" s="11"/>
      <c r="D38" s="11"/>
      <c r="E38" s="77"/>
      <c r="F38" s="77"/>
      <c r="G38" s="77"/>
      <c r="H38" s="11"/>
      <c r="I38" s="11"/>
      <c r="J38" s="11"/>
      <c r="AL38" s="14"/>
      <c r="AM38" s="79" t="s">
        <v>1916</v>
      </c>
      <c r="AN38" s="79" t="s">
        <v>1917</v>
      </c>
      <c r="AO38" s="79" t="s">
        <v>1918</v>
      </c>
      <c r="AP38" s="13"/>
      <c r="AQ38" s="11"/>
      <c r="AR38" s="11"/>
      <c r="AS38" s="11"/>
      <c r="AT38" s="11"/>
      <c r="AU38" s="11"/>
      <c r="AV38" s="11"/>
      <c r="AW38" s="11"/>
      <c r="AX38" s="11"/>
      <c r="AY38" s="11"/>
      <c r="AZ38" s="11"/>
      <c r="BA38" s="11"/>
      <c r="BB38" s="11"/>
      <c r="BC38" s="11"/>
      <c r="BD38" s="11"/>
      <c r="BE38" s="11"/>
      <c r="BF38" s="11"/>
      <c r="BG38" s="11"/>
      <c r="BH38" s="11"/>
      <c r="BI38" s="11"/>
      <c r="BJ38" s="11"/>
      <c r="BK38" s="11"/>
      <c r="BL38" s="11"/>
    </row>
    <row r="39" spans="1:64" x14ac:dyDescent="0.2">
      <c r="A39" s="20">
        <v>34</v>
      </c>
      <c r="B39" s="11"/>
      <c r="C39" s="11"/>
      <c r="D39" s="11"/>
      <c r="E39" s="77"/>
      <c r="F39" s="77"/>
      <c r="G39" s="77"/>
      <c r="H39" s="11"/>
      <c r="I39" s="11"/>
      <c r="J39" s="11"/>
      <c r="AL39" s="14"/>
      <c r="AM39" s="79" t="s">
        <v>1919</v>
      </c>
      <c r="AN39" s="79" t="s">
        <v>1920</v>
      </c>
      <c r="AO39" s="79" t="s">
        <v>1921</v>
      </c>
      <c r="AP39" s="13"/>
      <c r="AQ39" s="11"/>
      <c r="AR39" s="11"/>
      <c r="AS39" s="11"/>
      <c r="AT39" s="11"/>
      <c r="AU39" s="11"/>
      <c r="AV39" s="11"/>
      <c r="AW39" s="11"/>
      <c r="AX39" s="11"/>
      <c r="AY39" s="11"/>
      <c r="AZ39" s="11"/>
      <c r="BA39" s="11"/>
      <c r="BB39" s="11"/>
      <c r="BC39" s="11"/>
      <c r="BD39" s="11"/>
      <c r="BE39" s="11"/>
      <c r="BF39" s="11"/>
      <c r="BG39" s="11"/>
      <c r="BH39" s="11"/>
      <c r="BI39" s="11"/>
      <c r="BJ39" s="11"/>
      <c r="BK39" s="11"/>
      <c r="BL39" s="11"/>
    </row>
    <row r="40" spans="1:64" x14ac:dyDescent="0.2">
      <c r="A40" s="20">
        <v>35</v>
      </c>
      <c r="B40" s="11"/>
      <c r="C40" s="11"/>
      <c r="D40" s="11"/>
      <c r="E40" s="77"/>
      <c r="F40" s="77"/>
      <c r="G40" s="77"/>
      <c r="H40" s="11"/>
      <c r="I40" s="11"/>
      <c r="J40" s="11"/>
      <c r="AL40" s="14"/>
      <c r="AM40" s="79" t="s">
        <v>1922</v>
      </c>
      <c r="AN40" s="79" t="s">
        <v>1923</v>
      </c>
      <c r="AO40" s="79" t="s">
        <v>1924</v>
      </c>
      <c r="AP40" s="13"/>
      <c r="AQ40" s="11"/>
      <c r="AR40" s="11"/>
      <c r="AS40" s="11"/>
      <c r="AT40" s="11"/>
      <c r="AU40" s="11"/>
      <c r="AV40" s="11"/>
      <c r="AW40" s="11"/>
      <c r="AX40" s="11"/>
      <c r="AY40" s="11"/>
      <c r="AZ40" s="11"/>
      <c r="BA40" s="11"/>
      <c r="BB40" s="11"/>
      <c r="BC40" s="11"/>
      <c r="BD40" s="11"/>
      <c r="BE40" s="11"/>
      <c r="BF40" s="11"/>
      <c r="BG40" s="11"/>
      <c r="BH40" s="11"/>
      <c r="BI40" s="11"/>
      <c r="BJ40" s="11"/>
      <c r="BK40" s="11"/>
      <c r="BL40" s="11"/>
    </row>
    <row r="41" spans="1:64" x14ac:dyDescent="0.2">
      <c r="A41" s="20">
        <v>36</v>
      </c>
      <c r="B41" s="11"/>
      <c r="C41" s="11"/>
      <c r="D41" s="11"/>
      <c r="E41" s="77"/>
      <c r="F41" s="77"/>
      <c r="G41" s="77"/>
      <c r="H41" s="11"/>
      <c r="I41" s="11"/>
      <c r="J41" s="11"/>
      <c r="AL41" s="14"/>
      <c r="AM41" s="79" t="s">
        <v>1925</v>
      </c>
      <c r="AN41" s="79" t="s">
        <v>1926</v>
      </c>
      <c r="AO41" s="79" t="s">
        <v>1927</v>
      </c>
      <c r="AP41" s="13"/>
      <c r="AQ41" s="11"/>
      <c r="AR41" s="11"/>
      <c r="AS41" s="11"/>
      <c r="AT41" s="11"/>
      <c r="AU41" s="11"/>
      <c r="AV41" s="11"/>
      <c r="AW41" s="11"/>
      <c r="AX41" s="11"/>
      <c r="AY41" s="11"/>
      <c r="AZ41" s="11"/>
      <c r="BA41" s="11"/>
      <c r="BB41" s="11"/>
      <c r="BC41" s="11"/>
      <c r="BD41" s="11"/>
      <c r="BE41" s="11"/>
      <c r="BF41" s="11"/>
      <c r="BG41" s="11"/>
      <c r="BH41" s="11"/>
      <c r="BI41" s="11"/>
      <c r="BJ41" s="11"/>
      <c r="BK41" s="11"/>
      <c r="BL41" s="11"/>
    </row>
    <row r="42" spans="1:64" x14ac:dyDescent="0.2">
      <c r="A42" s="20">
        <v>37</v>
      </c>
      <c r="B42" s="11"/>
      <c r="C42" s="11"/>
      <c r="D42" s="11"/>
      <c r="E42" s="77"/>
      <c r="F42" s="77"/>
      <c r="G42" s="77"/>
      <c r="H42" s="11"/>
      <c r="I42" s="11"/>
      <c r="J42" s="11"/>
      <c r="AL42" s="14"/>
      <c r="AM42" s="79" t="s">
        <v>1928</v>
      </c>
      <c r="AN42" s="79" t="s">
        <v>1929</v>
      </c>
      <c r="AO42" s="79" t="s">
        <v>1930</v>
      </c>
      <c r="AP42" s="13"/>
      <c r="AQ42" s="11"/>
      <c r="AR42" s="11"/>
      <c r="AS42" s="11"/>
      <c r="AT42" s="11"/>
      <c r="AU42" s="11"/>
      <c r="AV42" s="11"/>
      <c r="AW42" s="11"/>
      <c r="AX42" s="11"/>
      <c r="AY42" s="11"/>
      <c r="AZ42" s="11"/>
      <c r="BA42" s="11"/>
      <c r="BB42" s="11"/>
      <c r="BC42" s="11"/>
      <c r="BD42" s="11"/>
      <c r="BE42" s="11"/>
      <c r="BF42" s="11"/>
      <c r="BG42" s="11"/>
      <c r="BH42" s="11"/>
      <c r="BI42" s="11"/>
      <c r="BJ42" s="11"/>
      <c r="BK42" s="11"/>
      <c r="BL42" s="11"/>
    </row>
    <row r="43" spans="1:64" x14ac:dyDescent="0.2">
      <c r="A43" s="20">
        <v>38</v>
      </c>
      <c r="B43" s="11"/>
      <c r="C43" s="11"/>
      <c r="D43" s="11"/>
      <c r="E43" s="77"/>
      <c r="F43" s="77"/>
      <c r="G43" s="77"/>
      <c r="H43" s="11"/>
      <c r="I43" s="11"/>
      <c r="J43" s="11"/>
      <c r="AL43" s="14"/>
      <c r="AM43" s="79" t="s">
        <v>1931</v>
      </c>
      <c r="AN43" s="79" t="s">
        <v>1932</v>
      </c>
      <c r="AO43" s="79" t="s">
        <v>1933</v>
      </c>
      <c r="AP43" s="13"/>
      <c r="AQ43" s="11"/>
      <c r="AR43" s="11"/>
      <c r="AS43" s="11"/>
      <c r="AT43" s="11"/>
      <c r="AU43" s="11"/>
      <c r="AV43" s="11"/>
      <c r="AW43" s="11"/>
      <c r="AX43" s="11"/>
      <c r="AY43" s="11"/>
      <c r="AZ43" s="11"/>
      <c r="BA43" s="11"/>
      <c r="BB43" s="11"/>
      <c r="BC43" s="11"/>
      <c r="BD43" s="11"/>
      <c r="BE43" s="11"/>
      <c r="BF43" s="11"/>
      <c r="BG43" s="11"/>
      <c r="BH43" s="11"/>
      <c r="BI43" s="11"/>
      <c r="BJ43" s="11"/>
      <c r="BK43" s="11"/>
      <c r="BL43" s="11"/>
    </row>
    <row r="44" spans="1:64" x14ac:dyDescent="0.2">
      <c r="A44" s="20">
        <v>39</v>
      </c>
      <c r="B44" s="11"/>
      <c r="C44" s="11"/>
      <c r="D44" s="11"/>
      <c r="E44" s="77"/>
      <c r="F44" s="77"/>
      <c r="G44" s="77"/>
      <c r="H44" s="11"/>
      <c r="I44" s="11"/>
      <c r="J44" s="11"/>
      <c r="AL44" s="14"/>
      <c r="AM44" s="79" t="s">
        <v>1934</v>
      </c>
      <c r="AN44" s="79" t="s">
        <v>1935</v>
      </c>
      <c r="AO44" s="79" t="s">
        <v>1936</v>
      </c>
      <c r="AP44" s="13"/>
      <c r="AQ44" s="11"/>
      <c r="AR44" s="11"/>
      <c r="AS44" s="11"/>
      <c r="AT44" s="11"/>
      <c r="AU44" s="11"/>
      <c r="AV44" s="11"/>
      <c r="AW44" s="11"/>
      <c r="AX44" s="11"/>
      <c r="AY44" s="11"/>
      <c r="AZ44" s="11"/>
      <c r="BA44" s="11"/>
      <c r="BB44" s="11"/>
      <c r="BC44" s="11"/>
      <c r="BD44" s="11"/>
      <c r="BE44" s="11"/>
      <c r="BF44" s="11"/>
      <c r="BG44" s="11"/>
      <c r="BH44" s="11"/>
      <c r="BI44" s="11"/>
      <c r="BJ44" s="11"/>
      <c r="BK44" s="11"/>
      <c r="BL44" s="11"/>
    </row>
    <row r="45" spans="1:64" x14ac:dyDescent="0.2">
      <c r="A45" s="20">
        <v>40</v>
      </c>
      <c r="B45" s="11"/>
      <c r="C45" s="11"/>
      <c r="D45" s="11"/>
      <c r="E45" s="77"/>
      <c r="F45" s="77"/>
      <c r="G45" s="77"/>
      <c r="H45" s="11"/>
      <c r="I45" s="11"/>
      <c r="J45" s="11"/>
      <c r="AL45" s="14"/>
      <c r="AM45" s="79" t="s">
        <v>1937</v>
      </c>
      <c r="AN45" s="79" t="s">
        <v>1938</v>
      </c>
      <c r="AO45" s="79" t="s">
        <v>1939</v>
      </c>
      <c r="AP45" s="13"/>
      <c r="AQ45" s="11"/>
      <c r="AR45" s="11"/>
      <c r="AS45" s="11"/>
      <c r="AT45" s="11"/>
      <c r="AU45" s="11"/>
      <c r="AV45" s="11"/>
      <c r="AW45" s="11"/>
      <c r="AX45" s="11"/>
      <c r="AY45" s="11"/>
      <c r="AZ45" s="11"/>
      <c r="BA45" s="11"/>
      <c r="BB45" s="11"/>
      <c r="BC45" s="11"/>
      <c r="BD45" s="11"/>
      <c r="BE45" s="11"/>
      <c r="BF45" s="11"/>
      <c r="BG45" s="11"/>
      <c r="BH45" s="11"/>
      <c r="BI45" s="11"/>
      <c r="BJ45" s="11"/>
      <c r="BK45" s="11"/>
      <c r="BL45" s="11"/>
    </row>
    <row r="46" spans="1:64" x14ac:dyDescent="0.2">
      <c r="A46" s="20">
        <v>41</v>
      </c>
      <c r="B46" s="11"/>
      <c r="C46" s="11"/>
      <c r="D46" s="11"/>
      <c r="E46" s="77"/>
      <c r="F46" s="77"/>
      <c r="G46" s="77"/>
      <c r="H46" s="11"/>
      <c r="I46" s="11"/>
      <c r="J46" s="11"/>
      <c r="AL46" s="14"/>
      <c r="AM46" s="79" t="s">
        <v>1940</v>
      </c>
      <c r="AN46" s="79" t="s">
        <v>1941</v>
      </c>
      <c r="AO46" s="79" t="s">
        <v>1939</v>
      </c>
      <c r="AP46" s="13"/>
      <c r="AQ46" s="11"/>
      <c r="AR46" s="11"/>
      <c r="AS46" s="11"/>
      <c r="AT46" s="11"/>
      <c r="AU46" s="11"/>
      <c r="AV46" s="11"/>
      <c r="AW46" s="11"/>
      <c r="AX46" s="11"/>
      <c r="AY46" s="11"/>
      <c r="AZ46" s="11"/>
      <c r="BA46" s="11"/>
      <c r="BB46" s="11"/>
      <c r="BC46" s="11"/>
      <c r="BD46" s="11"/>
      <c r="BE46" s="11"/>
      <c r="BF46" s="11"/>
      <c r="BG46" s="11"/>
      <c r="BH46" s="11"/>
      <c r="BI46" s="11"/>
      <c r="BJ46" s="11"/>
      <c r="BK46" s="11"/>
      <c r="BL46" s="11"/>
    </row>
    <row r="47" spans="1:64" x14ac:dyDescent="0.2">
      <c r="A47" s="20">
        <v>42</v>
      </c>
      <c r="B47" s="11"/>
      <c r="C47" s="11"/>
      <c r="D47" s="11"/>
      <c r="E47" s="77"/>
      <c r="F47" s="77"/>
      <c r="G47" s="77"/>
      <c r="H47" s="11"/>
      <c r="I47" s="11"/>
      <c r="J47" s="11"/>
      <c r="AL47" s="14"/>
      <c r="AM47" s="79" t="s">
        <v>1942</v>
      </c>
      <c r="AN47" s="79" t="s">
        <v>1941</v>
      </c>
      <c r="AO47" s="79" t="s">
        <v>1943</v>
      </c>
      <c r="AP47" s="13"/>
      <c r="AQ47" s="11"/>
      <c r="AR47" s="11"/>
      <c r="AS47" s="11"/>
      <c r="AT47" s="11"/>
      <c r="AU47" s="11"/>
      <c r="AV47" s="11"/>
      <c r="AW47" s="11"/>
      <c r="AX47" s="11"/>
      <c r="AY47" s="11"/>
      <c r="AZ47" s="11"/>
      <c r="BA47" s="11"/>
      <c r="BB47" s="11"/>
      <c r="BC47" s="11"/>
      <c r="BD47" s="11"/>
      <c r="BE47" s="11"/>
      <c r="BF47" s="11"/>
      <c r="BG47" s="11"/>
      <c r="BH47" s="11"/>
      <c r="BI47" s="11"/>
      <c r="BJ47" s="11"/>
      <c r="BK47" s="11"/>
      <c r="BL47" s="11"/>
    </row>
    <row r="48" spans="1:64" x14ac:dyDescent="0.2">
      <c r="A48" s="20">
        <v>43</v>
      </c>
      <c r="B48" s="11"/>
      <c r="C48" s="11"/>
      <c r="D48" s="11"/>
      <c r="E48" s="77"/>
      <c r="F48" s="77"/>
      <c r="G48" s="77"/>
      <c r="H48" s="11"/>
      <c r="I48" s="11"/>
      <c r="J48" s="11"/>
      <c r="AL48" s="14"/>
      <c r="AM48" s="79" t="s">
        <v>1944</v>
      </c>
      <c r="AN48" s="79" t="s">
        <v>1945</v>
      </c>
      <c r="AO48" s="79" t="s">
        <v>1946</v>
      </c>
      <c r="AP48" s="13"/>
      <c r="AQ48" s="11"/>
      <c r="AR48" s="11"/>
      <c r="AS48" s="11"/>
      <c r="AT48" s="11"/>
      <c r="AU48" s="11"/>
      <c r="AV48" s="11"/>
      <c r="AW48" s="11"/>
      <c r="AX48" s="11"/>
      <c r="AY48" s="11"/>
      <c r="AZ48" s="11"/>
      <c r="BA48" s="11"/>
      <c r="BB48" s="11"/>
      <c r="BC48" s="11"/>
      <c r="BD48" s="11"/>
      <c r="BE48" s="11"/>
      <c r="BF48" s="11"/>
      <c r="BG48" s="11"/>
      <c r="BH48" s="11"/>
      <c r="BI48" s="11"/>
      <c r="BJ48" s="11"/>
      <c r="BK48" s="11"/>
      <c r="BL48" s="11"/>
    </row>
    <row r="49" spans="1:64" x14ac:dyDescent="0.2">
      <c r="A49" s="20">
        <v>44</v>
      </c>
      <c r="B49" s="11"/>
      <c r="C49" s="11"/>
      <c r="D49" s="11"/>
      <c r="E49" s="77"/>
      <c r="F49" s="77"/>
      <c r="G49" s="77"/>
      <c r="H49" s="11"/>
      <c r="I49" s="11"/>
      <c r="J49" s="11"/>
      <c r="AL49" s="14"/>
      <c r="AM49" s="79" t="s">
        <v>1947</v>
      </c>
      <c r="AN49" s="79" t="s">
        <v>1948</v>
      </c>
      <c r="AO49" s="79" t="s">
        <v>1949</v>
      </c>
      <c r="AP49" s="13"/>
      <c r="AQ49" s="11"/>
      <c r="AR49" s="11"/>
      <c r="AS49" s="11"/>
      <c r="AT49" s="11"/>
      <c r="AU49" s="11"/>
      <c r="AV49" s="11"/>
      <c r="AW49" s="11"/>
      <c r="AX49" s="11"/>
      <c r="AY49" s="11"/>
      <c r="AZ49" s="11"/>
      <c r="BA49" s="11"/>
      <c r="BB49" s="11"/>
      <c r="BC49" s="11"/>
      <c r="BD49" s="11"/>
      <c r="BE49" s="11"/>
      <c r="BF49" s="11"/>
      <c r="BG49" s="11"/>
      <c r="BH49" s="11"/>
      <c r="BI49" s="11"/>
      <c r="BJ49" s="11"/>
      <c r="BK49" s="11"/>
      <c r="BL49" s="11"/>
    </row>
    <row r="50" spans="1:64" x14ac:dyDescent="0.2">
      <c r="A50" s="20">
        <v>45</v>
      </c>
      <c r="B50" s="11"/>
      <c r="C50" s="11"/>
      <c r="D50" s="11"/>
      <c r="E50" s="77"/>
      <c r="F50" s="77"/>
      <c r="G50" s="77"/>
      <c r="H50" s="11"/>
      <c r="I50" s="11"/>
      <c r="J50" s="11"/>
      <c r="AL50" s="14"/>
      <c r="AM50" s="79" t="s">
        <v>1950</v>
      </c>
      <c r="AN50" s="79" t="s">
        <v>1951</v>
      </c>
      <c r="AO50" s="79" t="s">
        <v>1952</v>
      </c>
      <c r="AP50" s="13"/>
      <c r="AQ50" s="11"/>
      <c r="AR50" s="11"/>
      <c r="AS50" s="11"/>
      <c r="AT50" s="11"/>
      <c r="AU50" s="11"/>
      <c r="AV50" s="11"/>
      <c r="AW50" s="11"/>
      <c r="AX50" s="11"/>
      <c r="AY50" s="11"/>
      <c r="AZ50" s="11"/>
      <c r="BA50" s="11"/>
      <c r="BB50" s="11"/>
      <c r="BC50" s="11"/>
      <c r="BD50" s="11"/>
      <c r="BE50" s="11"/>
      <c r="BF50" s="11"/>
      <c r="BG50" s="11"/>
      <c r="BH50" s="11"/>
      <c r="BI50" s="11"/>
      <c r="BJ50" s="11"/>
      <c r="BK50" s="11"/>
      <c r="BL50" s="11"/>
    </row>
    <row r="51" spans="1:64" x14ac:dyDescent="0.2">
      <c r="A51" s="20">
        <v>46</v>
      </c>
      <c r="B51" s="11"/>
      <c r="C51" s="11"/>
      <c r="D51" s="11"/>
      <c r="E51" s="77"/>
      <c r="F51" s="77"/>
      <c r="G51" s="77"/>
      <c r="H51" s="11"/>
      <c r="I51" s="11"/>
      <c r="J51" s="11"/>
      <c r="AL51" s="14"/>
      <c r="AM51" s="79" t="s">
        <v>1953</v>
      </c>
      <c r="AN51" s="79" t="s">
        <v>1954</v>
      </c>
      <c r="AO51" s="79" t="s">
        <v>1955</v>
      </c>
      <c r="AP51" s="13"/>
      <c r="AQ51" s="11"/>
      <c r="AR51" s="11"/>
      <c r="AS51" s="11"/>
      <c r="AT51" s="11"/>
      <c r="AU51" s="11"/>
      <c r="AV51" s="11"/>
      <c r="AW51" s="11"/>
      <c r="AX51" s="11"/>
      <c r="AY51" s="11"/>
      <c r="AZ51" s="11"/>
      <c r="BA51" s="11"/>
      <c r="BB51" s="11"/>
      <c r="BC51" s="11"/>
      <c r="BD51" s="11"/>
      <c r="BE51" s="11"/>
      <c r="BF51" s="11"/>
      <c r="BG51" s="11"/>
      <c r="BH51" s="11"/>
      <c r="BI51" s="11"/>
      <c r="BJ51" s="11"/>
      <c r="BK51" s="11"/>
      <c r="BL51" s="11"/>
    </row>
    <row r="52" spans="1:64" x14ac:dyDescent="0.2">
      <c r="A52" s="20">
        <v>47</v>
      </c>
      <c r="B52" s="11"/>
      <c r="C52" s="11"/>
      <c r="D52" s="11"/>
      <c r="E52" s="77"/>
      <c r="F52" s="77"/>
      <c r="G52" s="77"/>
      <c r="H52" s="11"/>
      <c r="I52" s="11"/>
      <c r="J52" s="11"/>
      <c r="AL52" s="14"/>
      <c r="AM52" s="79" t="s">
        <v>1956</v>
      </c>
      <c r="AN52" s="79" t="s">
        <v>1957</v>
      </c>
      <c r="AO52" s="79" t="s">
        <v>1958</v>
      </c>
      <c r="AP52" s="13"/>
      <c r="AQ52" s="11"/>
      <c r="AR52" s="11"/>
      <c r="AS52" s="11"/>
      <c r="AT52" s="11"/>
      <c r="AU52" s="11"/>
      <c r="AV52" s="11"/>
      <c r="AW52" s="11"/>
      <c r="AX52" s="11"/>
      <c r="AY52" s="11"/>
      <c r="AZ52" s="11"/>
      <c r="BA52" s="11"/>
      <c r="BB52" s="11"/>
      <c r="BC52" s="11"/>
      <c r="BD52" s="11"/>
      <c r="BE52" s="11"/>
      <c r="BF52" s="11"/>
      <c r="BG52" s="11"/>
      <c r="BH52" s="11"/>
      <c r="BI52" s="11"/>
      <c r="BJ52" s="11"/>
      <c r="BK52" s="11"/>
      <c r="BL52" s="11"/>
    </row>
    <row r="53" spans="1:64" x14ac:dyDescent="0.2">
      <c r="A53" s="20">
        <v>48</v>
      </c>
      <c r="B53" s="11"/>
      <c r="C53" s="11"/>
      <c r="D53" s="11"/>
      <c r="E53" s="77"/>
      <c r="F53" s="77"/>
      <c r="G53" s="77"/>
      <c r="H53" s="11"/>
      <c r="I53" s="11"/>
      <c r="J53" s="11"/>
      <c r="AL53" s="14"/>
      <c r="AM53" s="79" t="s">
        <v>1959</v>
      </c>
      <c r="AN53" s="79" t="s">
        <v>1960</v>
      </c>
      <c r="AO53" s="79" t="s">
        <v>1961</v>
      </c>
      <c r="AP53" s="13"/>
      <c r="AQ53" s="11"/>
      <c r="AR53" s="11"/>
      <c r="AS53" s="11"/>
      <c r="AT53" s="11"/>
      <c r="AU53" s="11"/>
      <c r="AV53" s="11"/>
      <c r="AW53" s="11"/>
      <c r="AX53" s="11"/>
      <c r="AY53" s="11"/>
      <c r="AZ53" s="11"/>
      <c r="BA53" s="11"/>
      <c r="BB53" s="11"/>
      <c r="BC53" s="11"/>
      <c r="BD53" s="11"/>
      <c r="BE53" s="11"/>
      <c r="BF53" s="11"/>
      <c r="BG53" s="11"/>
      <c r="BH53" s="11"/>
      <c r="BI53" s="11"/>
      <c r="BJ53" s="11"/>
      <c r="BK53" s="11"/>
      <c r="BL53" s="11"/>
    </row>
    <row r="54" spans="1:64" x14ac:dyDescent="0.2">
      <c r="A54" s="20">
        <v>49</v>
      </c>
      <c r="B54" s="11"/>
      <c r="C54" s="11"/>
      <c r="D54" s="11"/>
      <c r="E54" s="77"/>
      <c r="F54" s="77"/>
      <c r="G54" s="77"/>
      <c r="H54" s="11"/>
      <c r="I54" s="11"/>
      <c r="J54" s="11"/>
      <c r="AL54" s="14"/>
      <c r="AM54" s="79" t="s">
        <v>1962</v>
      </c>
      <c r="AN54" s="79" t="s">
        <v>1963</v>
      </c>
      <c r="AO54" s="79" t="s">
        <v>1964</v>
      </c>
      <c r="AP54" s="13"/>
      <c r="AQ54" s="11"/>
      <c r="AR54" s="11"/>
      <c r="AS54" s="11"/>
      <c r="AT54" s="11"/>
      <c r="AU54" s="11"/>
      <c r="AV54" s="11"/>
      <c r="AW54" s="11"/>
      <c r="AX54" s="11"/>
      <c r="AY54" s="11"/>
      <c r="AZ54" s="11"/>
      <c r="BA54" s="11"/>
      <c r="BB54" s="11"/>
      <c r="BC54" s="11"/>
      <c r="BD54" s="11"/>
      <c r="BE54" s="11"/>
      <c r="BF54" s="11"/>
      <c r="BG54" s="11"/>
      <c r="BH54" s="11"/>
      <c r="BI54" s="11"/>
      <c r="BJ54" s="11"/>
      <c r="BK54" s="11"/>
      <c r="BL54" s="11"/>
    </row>
    <row r="55" spans="1:64" x14ac:dyDescent="0.2">
      <c r="A55" s="20">
        <v>50</v>
      </c>
      <c r="B55" s="11"/>
      <c r="C55" s="11"/>
      <c r="D55" s="11"/>
      <c r="E55" s="77"/>
      <c r="F55" s="77"/>
      <c r="G55" s="77"/>
      <c r="H55" s="11"/>
      <c r="I55" s="11"/>
      <c r="J55" s="11"/>
      <c r="AL55" s="14"/>
      <c r="AM55" s="79" t="s">
        <v>1965</v>
      </c>
      <c r="AN55" s="79" t="s">
        <v>1966</v>
      </c>
      <c r="AO55" s="79" t="s">
        <v>1967</v>
      </c>
      <c r="AP55" s="13"/>
      <c r="AQ55" s="11"/>
      <c r="AR55" s="11"/>
      <c r="AS55" s="11"/>
      <c r="AT55" s="11"/>
      <c r="AU55" s="11"/>
      <c r="AV55" s="11"/>
      <c r="AW55" s="11"/>
      <c r="AX55" s="11"/>
      <c r="AY55" s="11"/>
      <c r="AZ55" s="11"/>
      <c r="BA55" s="11"/>
      <c r="BB55" s="11"/>
      <c r="BC55" s="11"/>
      <c r="BD55" s="11"/>
      <c r="BE55" s="11"/>
      <c r="BF55" s="11"/>
      <c r="BG55" s="11"/>
      <c r="BH55" s="11"/>
      <c r="BI55" s="11"/>
      <c r="BJ55" s="11"/>
      <c r="BK55" s="11"/>
      <c r="BL55" s="11"/>
    </row>
    <row r="56" spans="1:64" x14ac:dyDescent="0.2">
      <c r="A56" s="117">
        <v>51</v>
      </c>
      <c r="AL56" s="14"/>
      <c r="AM56" s="79" t="s">
        <v>1968</v>
      </c>
      <c r="AN56" s="79" t="s">
        <v>1969</v>
      </c>
      <c r="AO56" s="79" t="s">
        <v>1970</v>
      </c>
      <c r="AP56" s="13"/>
      <c r="AQ56" s="11"/>
      <c r="AR56" s="11"/>
      <c r="AS56" s="11"/>
      <c r="AT56" s="11"/>
      <c r="AU56" s="11"/>
      <c r="AV56" s="11"/>
      <c r="AW56" s="11"/>
      <c r="AX56" s="11"/>
      <c r="AY56" s="11"/>
      <c r="AZ56" s="11"/>
      <c r="BA56" s="11"/>
      <c r="BB56" s="11"/>
      <c r="BC56" s="11"/>
      <c r="BD56" s="11"/>
      <c r="BE56" s="11"/>
      <c r="BF56" s="11"/>
      <c r="BG56" s="11"/>
      <c r="BH56" s="11"/>
      <c r="BI56" s="11"/>
      <c r="BJ56" s="11"/>
      <c r="BK56" s="11"/>
      <c r="BL56" s="11"/>
    </row>
    <row r="57" spans="1:64" x14ac:dyDescent="0.2">
      <c r="A57" s="20">
        <v>52</v>
      </c>
      <c r="AL57" s="14"/>
      <c r="AM57" s="79" t="s">
        <v>1971</v>
      </c>
      <c r="AN57" s="79" t="s">
        <v>1972</v>
      </c>
      <c r="AO57" s="79" t="s">
        <v>1973</v>
      </c>
      <c r="AP57" s="13"/>
      <c r="AQ57" s="11"/>
      <c r="AR57" s="11"/>
      <c r="AS57" s="11"/>
      <c r="AT57" s="11"/>
      <c r="AU57" s="11"/>
      <c r="AV57" s="11"/>
      <c r="AW57" s="11"/>
      <c r="AX57" s="11"/>
      <c r="AY57" s="11"/>
      <c r="AZ57" s="11"/>
      <c r="BA57" s="11"/>
      <c r="BB57" s="11"/>
      <c r="BC57" s="11"/>
      <c r="BD57" s="11"/>
      <c r="BE57" s="11"/>
      <c r="BF57" s="11"/>
      <c r="BG57" s="11"/>
      <c r="BH57" s="11"/>
      <c r="BI57" s="11"/>
      <c r="BJ57" s="11"/>
      <c r="BK57" s="11"/>
      <c r="BL57" s="11"/>
    </row>
    <row r="58" spans="1:64" x14ac:dyDescent="0.2">
      <c r="A58" s="20">
        <v>53</v>
      </c>
      <c r="AL58" s="14"/>
      <c r="AM58" s="79" t="s">
        <v>1974</v>
      </c>
      <c r="AN58" s="79" t="s">
        <v>1975</v>
      </c>
      <c r="AO58" s="79" t="s">
        <v>1976</v>
      </c>
      <c r="AP58" s="13"/>
      <c r="AQ58" s="11"/>
      <c r="AR58" s="11"/>
      <c r="AS58" s="11"/>
      <c r="AT58" s="11"/>
      <c r="AU58" s="11"/>
      <c r="AV58" s="11"/>
      <c r="AW58" s="11"/>
      <c r="AX58" s="11"/>
      <c r="AY58" s="11"/>
      <c r="AZ58" s="11"/>
      <c r="BA58" s="11"/>
      <c r="BB58" s="11"/>
      <c r="BC58" s="11"/>
      <c r="BD58" s="11"/>
      <c r="BE58" s="11"/>
      <c r="BF58" s="11"/>
      <c r="BG58" s="11"/>
      <c r="BH58" s="11"/>
      <c r="BI58" s="11"/>
      <c r="BJ58" s="11"/>
      <c r="BK58" s="11"/>
      <c r="BL58" s="11"/>
    </row>
    <row r="59" spans="1:64" x14ac:dyDescent="0.2">
      <c r="A59" s="20">
        <v>54</v>
      </c>
      <c r="AL59" s="14"/>
      <c r="AM59" s="79" t="s">
        <v>1977</v>
      </c>
      <c r="AN59" s="79" t="s">
        <v>1978</v>
      </c>
      <c r="AO59" s="79" t="s">
        <v>1979</v>
      </c>
      <c r="AP59" s="13"/>
      <c r="AQ59" s="11"/>
      <c r="AR59" s="11"/>
      <c r="AS59" s="11"/>
      <c r="AT59" s="11"/>
      <c r="AU59" s="11"/>
      <c r="AV59" s="11"/>
      <c r="AW59" s="11"/>
      <c r="AX59" s="11"/>
      <c r="AY59" s="11"/>
      <c r="AZ59" s="11"/>
      <c r="BA59" s="11"/>
      <c r="BB59" s="11"/>
      <c r="BC59" s="11"/>
      <c r="BD59" s="11"/>
      <c r="BE59" s="11"/>
      <c r="BF59" s="11"/>
      <c r="BG59" s="11"/>
      <c r="BH59" s="11"/>
      <c r="BI59" s="11"/>
      <c r="BJ59" s="11"/>
      <c r="BK59" s="11"/>
      <c r="BL59" s="11"/>
    </row>
    <row r="60" spans="1:64" x14ac:dyDescent="0.2">
      <c r="A60" s="20">
        <v>55</v>
      </c>
      <c r="AL60" s="14"/>
      <c r="AM60" s="79" t="s">
        <v>1980</v>
      </c>
      <c r="AN60" s="79" t="s">
        <v>1981</v>
      </c>
      <c r="AO60" s="79" t="s">
        <v>1982</v>
      </c>
      <c r="AP60" s="13"/>
      <c r="AQ60" s="11"/>
      <c r="AR60" s="11"/>
      <c r="AS60" s="11"/>
      <c r="AT60" s="11"/>
      <c r="AU60" s="11"/>
      <c r="AV60" s="11"/>
      <c r="AW60" s="11"/>
      <c r="AX60" s="11"/>
      <c r="AY60" s="11"/>
      <c r="AZ60" s="11"/>
      <c r="BA60" s="11"/>
      <c r="BB60" s="11"/>
      <c r="BC60" s="11"/>
      <c r="BD60" s="11"/>
      <c r="BE60" s="11"/>
      <c r="BF60" s="11"/>
      <c r="BG60" s="11"/>
      <c r="BH60" s="11"/>
      <c r="BI60" s="11"/>
      <c r="BJ60" s="11"/>
      <c r="BK60" s="11"/>
      <c r="BL60" s="11"/>
    </row>
    <row r="61" spans="1:64" x14ac:dyDescent="0.2">
      <c r="A61" s="20">
        <v>56</v>
      </c>
      <c r="AL61" s="14"/>
      <c r="AM61" s="79" t="s">
        <v>1983</v>
      </c>
      <c r="AN61" s="79" t="s">
        <v>1984</v>
      </c>
      <c r="AO61" s="79" t="s">
        <v>1985</v>
      </c>
      <c r="AP61" s="13"/>
      <c r="AQ61" s="11"/>
      <c r="AR61" s="11"/>
      <c r="AS61" s="11"/>
      <c r="AT61" s="11"/>
      <c r="AU61" s="11"/>
      <c r="AV61" s="11"/>
      <c r="AW61" s="11"/>
      <c r="AX61" s="11"/>
      <c r="AY61" s="11"/>
      <c r="AZ61" s="11"/>
      <c r="BA61" s="11"/>
      <c r="BB61" s="11"/>
      <c r="BC61" s="11"/>
      <c r="BD61" s="11"/>
      <c r="BE61" s="11"/>
      <c r="BF61" s="11"/>
      <c r="BG61" s="11"/>
      <c r="BH61" s="11"/>
      <c r="BI61" s="11"/>
      <c r="BJ61" s="11"/>
      <c r="BK61" s="11"/>
      <c r="BL61" s="11"/>
    </row>
    <row r="62" spans="1:64" x14ac:dyDescent="0.2">
      <c r="A62" s="20">
        <v>57</v>
      </c>
      <c r="AL62" s="14"/>
      <c r="AM62" s="79" t="s">
        <v>1986</v>
      </c>
      <c r="AN62" s="79" t="s">
        <v>1987</v>
      </c>
      <c r="AO62" s="79" t="s">
        <v>1988</v>
      </c>
      <c r="AP62" s="13"/>
      <c r="AQ62" s="11"/>
      <c r="AR62" s="11"/>
      <c r="AS62" s="11"/>
      <c r="AT62" s="11"/>
      <c r="AU62" s="11"/>
      <c r="AV62" s="11"/>
      <c r="AW62" s="11"/>
      <c r="AX62" s="11"/>
      <c r="AY62" s="11"/>
      <c r="AZ62" s="11"/>
      <c r="BA62" s="11"/>
      <c r="BB62" s="11"/>
      <c r="BC62" s="11"/>
      <c r="BD62" s="11"/>
      <c r="BE62" s="11"/>
      <c r="BF62" s="11"/>
      <c r="BG62" s="11"/>
      <c r="BH62" s="11"/>
      <c r="BI62" s="11"/>
      <c r="BJ62" s="11"/>
      <c r="BK62" s="11"/>
      <c r="BL62" s="11"/>
    </row>
    <row r="63" spans="1:64" x14ac:dyDescent="0.2">
      <c r="A63" s="20">
        <v>58</v>
      </c>
      <c r="AL63" s="14"/>
      <c r="AM63" s="79" t="s">
        <v>1989</v>
      </c>
      <c r="AN63" s="79" t="s">
        <v>1990</v>
      </c>
      <c r="AO63" s="79" t="s">
        <v>1991</v>
      </c>
      <c r="AP63" s="13"/>
      <c r="AQ63" s="11"/>
      <c r="AR63" s="11"/>
      <c r="AS63" s="11"/>
      <c r="AT63" s="11"/>
      <c r="AU63" s="11"/>
      <c r="AV63" s="11"/>
      <c r="AW63" s="11"/>
      <c r="AX63" s="11"/>
      <c r="AY63" s="11"/>
      <c r="AZ63" s="11"/>
      <c r="BA63" s="11"/>
      <c r="BB63" s="11"/>
      <c r="BC63" s="11"/>
      <c r="BD63" s="11"/>
      <c r="BE63" s="11"/>
      <c r="BF63" s="11"/>
      <c r="BG63" s="11"/>
      <c r="BH63" s="11"/>
      <c r="BI63" s="11"/>
      <c r="BJ63" s="11"/>
      <c r="BK63" s="11"/>
      <c r="BL63" s="11"/>
    </row>
    <row r="64" spans="1:64" x14ac:dyDescent="0.2">
      <c r="A64" s="20">
        <v>59</v>
      </c>
      <c r="AL64" s="14"/>
      <c r="AM64" s="79" t="s">
        <v>1992</v>
      </c>
      <c r="AN64" s="79" t="s">
        <v>1993</v>
      </c>
      <c r="AO64" s="79" t="s">
        <v>1994</v>
      </c>
      <c r="AP64" s="13"/>
      <c r="AQ64" s="11"/>
      <c r="AR64" s="11"/>
      <c r="AS64" s="11"/>
      <c r="AT64" s="11"/>
      <c r="AU64" s="11"/>
      <c r="AV64" s="11"/>
      <c r="AW64" s="11"/>
      <c r="AX64" s="11"/>
      <c r="AY64" s="11"/>
      <c r="AZ64" s="11"/>
      <c r="BA64" s="11"/>
      <c r="BB64" s="11"/>
      <c r="BC64" s="11"/>
      <c r="BD64" s="11"/>
      <c r="BE64" s="11"/>
      <c r="BF64" s="11"/>
      <c r="BG64" s="11"/>
      <c r="BH64" s="11"/>
      <c r="BI64" s="11"/>
      <c r="BJ64" s="11"/>
      <c r="BK64" s="11"/>
      <c r="BL64" s="11"/>
    </row>
    <row r="65" spans="1:41" x14ac:dyDescent="0.2">
      <c r="A65" s="20">
        <v>60</v>
      </c>
      <c r="AM65" s="79" t="s">
        <v>1995</v>
      </c>
      <c r="AN65" s="79" t="s">
        <v>1996</v>
      </c>
      <c r="AO65" s="79" t="s">
        <v>1997</v>
      </c>
    </row>
    <row r="66" spans="1:41" x14ac:dyDescent="0.2">
      <c r="AM66" s="79" t="s">
        <v>1998</v>
      </c>
      <c r="AN66" s="79" t="s">
        <v>1999</v>
      </c>
      <c r="AO66" s="79" t="s">
        <v>2000</v>
      </c>
    </row>
    <row r="67" spans="1:41" x14ac:dyDescent="0.2">
      <c r="AM67" s="79" t="s">
        <v>2001</v>
      </c>
      <c r="AN67" s="79" t="s">
        <v>2002</v>
      </c>
      <c r="AO67" s="79" t="s">
        <v>2003</v>
      </c>
    </row>
    <row r="68" spans="1:41" x14ac:dyDescent="0.2">
      <c r="AM68" s="79" t="s">
        <v>2004</v>
      </c>
      <c r="AN68" s="79" t="s">
        <v>2005</v>
      </c>
      <c r="AO68" s="79" t="s">
        <v>2006</v>
      </c>
    </row>
    <row r="69" spans="1:41" x14ac:dyDescent="0.2">
      <c r="AM69" s="79" t="s">
        <v>2007</v>
      </c>
      <c r="AN69" s="79" t="s">
        <v>2008</v>
      </c>
      <c r="AO69" s="79" t="s">
        <v>2009</v>
      </c>
    </row>
    <row r="70" spans="1:41" x14ac:dyDescent="0.2">
      <c r="AM70" s="79" t="s">
        <v>2010</v>
      </c>
      <c r="AN70" s="79" t="s">
        <v>2011</v>
      </c>
      <c r="AO70" s="79" t="s">
        <v>2012</v>
      </c>
    </row>
    <row r="71" spans="1:41" x14ac:dyDescent="0.2">
      <c r="AM71" s="79" t="s">
        <v>2013</v>
      </c>
      <c r="AN71" s="79" t="s">
        <v>2011</v>
      </c>
      <c r="AO71" s="79" t="s">
        <v>2014</v>
      </c>
    </row>
    <row r="72" spans="1:41" x14ac:dyDescent="0.2">
      <c r="AM72" s="79" t="s">
        <v>2015</v>
      </c>
      <c r="AN72" s="79" t="s">
        <v>2016</v>
      </c>
      <c r="AO72" s="79" t="s">
        <v>2017</v>
      </c>
    </row>
    <row r="73" spans="1:41" x14ac:dyDescent="0.2">
      <c r="AM73" s="79" t="s">
        <v>2018</v>
      </c>
      <c r="AN73" s="79" t="s">
        <v>2019</v>
      </c>
      <c r="AO73" s="79" t="s">
        <v>2020</v>
      </c>
    </row>
    <row r="74" spans="1:41" x14ac:dyDescent="0.2">
      <c r="AM74" s="79" t="s">
        <v>2021</v>
      </c>
      <c r="AN74" s="79" t="s">
        <v>2022</v>
      </c>
      <c r="AO74" s="79" t="s">
        <v>2023</v>
      </c>
    </row>
    <row r="75" spans="1:41" x14ac:dyDescent="0.2">
      <c r="AM75" s="79" t="s">
        <v>2024</v>
      </c>
      <c r="AN75" s="79" t="s">
        <v>2025</v>
      </c>
      <c r="AO75" s="79" t="s">
        <v>2026</v>
      </c>
    </row>
    <row r="76" spans="1:41" x14ac:dyDescent="0.2">
      <c r="AM76" s="79" t="s">
        <v>2027</v>
      </c>
      <c r="AN76" s="79" t="s">
        <v>2028</v>
      </c>
      <c r="AO76" s="79" t="s">
        <v>2029</v>
      </c>
    </row>
    <row r="77" spans="1:41" x14ac:dyDescent="0.2">
      <c r="AM77" s="79" t="s">
        <v>2030</v>
      </c>
      <c r="AN77" s="79" t="s">
        <v>2031</v>
      </c>
      <c r="AO77" s="79" t="s">
        <v>2032</v>
      </c>
    </row>
    <row r="78" spans="1:41" x14ac:dyDescent="0.2">
      <c r="AM78" s="79" t="s">
        <v>2033</v>
      </c>
      <c r="AN78" s="79" t="s">
        <v>2034</v>
      </c>
      <c r="AO78" s="79" t="s">
        <v>2035</v>
      </c>
    </row>
    <row r="79" spans="1:41" x14ac:dyDescent="0.2">
      <c r="AM79" s="79" t="s">
        <v>2036</v>
      </c>
      <c r="AN79" s="79" t="s">
        <v>2037</v>
      </c>
      <c r="AO79" s="79" t="s">
        <v>2038</v>
      </c>
    </row>
    <row r="80" spans="1:41" x14ac:dyDescent="0.2">
      <c r="AM80" s="79" t="s">
        <v>2039</v>
      </c>
      <c r="AN80" s="79" t="s">
        <v>2040</v>
      </c>
    </row>
    <row r="81" spans="39:40" x14ac:dyDescent="0.2">
      <c r="AM81" s="79" t="s">
        <v>2041</v>
      </c>
      <c r="AN81" s="79" t="s">
        <v>2042</v>
      </c>
    </row>
    <row r="82" spans="39:40" x14ac:dyDescent="0.2">
      <c r="AM82" s="79" t="s">
        <v>2043</v>
      </c>
      <c r="AN82" s="79" t="s">
        <v>2007</v>
      </c>
    </row>
    <row r="83" spans="39:40" x14ac:dyDescent="0.2">
      <c r="AM83" s="79" t="s">
        <v>2044</v>
      </c>
      <c r="AN83" s="79" t="s">
        <v>2045</v>
      </c>
    </row>
    <row r="84" spans="39:40" x14ac:dyDescent="0.2">
      <c r="AM84" s="79" t="s">
        <v>2046</v>
      </c>
      <c r="AN84" s="79" t="s">
        <v>1952</v>
      </c>
    </row>
    <row r="85" spans="39:40" x14ac:dyDescent="0.2">
      <c r="AM85" s="79" t="s">
        <v>2047</v>
      </c>
      <c r="AN85" s="79" t="s">
        <v>2048</v>
      </c>
    </row>
    <row r="86" spans="39:40" x14ac:dyDescent="0.2">
      <c r="AM86" s="79" t="s">
        <v>2049</v>
      </c>
      <c r="AN86" s="79" t="s">
        <v>2050</v>
      </c>
    </row>
    <row r="87" spans="39:40" x14ac:dyDescent="0.2">
      <c r="AM87" s="79" t="s">
        <v>2051</v>
      </c>
      <c r="AN87" s="79" t="s">
        <v>2052</v>
      </c>
    </row>
    <row r="88" spans="39:40" x14ac:dyDescent="0.2">
      <c r="AM88" s="79" t="s">
        <v>2053</v>
      </c>
      <c r="AN88" s="79" t="s">
        <v>2054</v>
      </c>
    </row>
    <row r="89" spans="39:40" x14ac:dyDescent="0.2">
      <c r="AM89" s="79" t="s">
        <v>2055</v>
      </c>
      <c r="AN89" s="79" t="s">
        <v>2056</v>
      </c>
    </row>
    <row r="90" spans="39:40" x14ac:dyDescent="0.2">
      <c r="AM90" s="79" t="s">
        <v>2057</v>
      </c>
      <c r="AN90" s="79" t="s">
        <v>2058</v>
      </c>
    </row>
    <row r="91" spans="39:40" x14ac:dyDescent="0.2">
      <c r="AM91" s="79" t="s">
        <v>2059</v>
      </c>
      <c r="AN91" s="79" t="s">
        <v>2060</v>
      </c>
    </row>
    <row r="92" spans="39:40" x14ac:dyDescent="0.2">
      <c r="AM92" s="79" t="s">
        <v>2061</v>
      </c>
      <c r="AN92" s="79" t="s">
        <v>2062</v>
      </c>
    </row>
    <row r="93" spans="39:40" x14ac:dyDescent="0.2">
      <c r="AM93" s="79" t="s">
        <v>2063</v>
      </c>
      <c r="AN93" s="79" t="s">
        <v>2064</v>
      </c>
    </row>
    <row r="94" spans="39:40" x14ac:dyDescent="0.2">
      <c r="AM94" s="79" t="s">
        <v>2065</v>
      </c>
      <c r="AN94" s="79" t="s">
        <v>2066</v>
      </c>
    </row>
    <row r="95" spans="39:40" x14ac:dyDescent="0.2">
      <c r="AM95" s="79" t="s">
        <v>2067</v>
      </c>
      <c r="AN95" s="79" t="s">
        <v>2068</v>
      </c>
    </row>
    <row r="96" spans="39:40" x14ac:dyDescent="0.2">
      <c r="AM96" s="79" t="s">
        <v>2069</v>
      </c>
      <c r="AN96" s="79" t="s">
        <v>2070</v>
      </c>
    </row>
    <row r="97" spans="39:40" x14ac:dyDescent="0.2">
      <c r="AM97" s="79" t="s">
        <v>2071</v>
      </c>
      <c r="AN97" s="79" t="s">
        <v>2072</v>
      </c>
    </row>
    <row r="98" spans="39:40" x14ac:dyDescent="0.2">
      <c r="AM98" s="79" t="s">
        <v>2073</v>
      </c>
      <c r="AN98" s="79" t="s">
        <v>2074</v>
      </c>
    </row>
    <row r="99" spans="39:40" x14ac:dyDescent="0.2">
      <c r="AM99" s="79" t="s">
        <v>2075</v>
      </c>
      <c r="AN99" s="79" t="s">
        <v>2076</v>
      </c>
    </row>
    <row r="100" spans="39:40" x14ac:dyDescent="0.2">
      <c r="AM100" s="79" t="s">
        <v>2077</v>
      </c>
      <c r="AN100" s="79" t="s">
        <v>2078</v>
      </c>
    </row>
    <row r="101" spans="39:40" x14ac:dyDescent="0.2">
      <c r="AM101" s="79" t="s">
        <v>2079</v>
      </c>
      <c r="AN101" s="79" t="s">
        <v>2080</v>
      </c>
    </row>
    <row r="102" spans="39:40" x14ac:dyDescent="0.2">
      <c r="AM102" s="79" t="s">
        <v>2079</v>
      </c>
      <c r="AN102" s="79" t="s">
        <v>2081</v>
      </c>
    </row>
    <row r="103" spans="39:40" x14ac:dyDescent="0.2">
      <c r="AM103" s="79" t="s">
        <v>2082</v>
      </c>
      <c r="AN103" s="79" t="s">
        <v>2083</v>
      </c>
    </row>
    <row r="104" spans="39:40" x14ac:dyDescent="0.2">
      <c r="AM104" s="79" t="s">
        <v>2084</v>
      </c>
      <c r="AN104" s="79" t="s">
        <v>2085</v>
      </c>
    </row>
    <row r="105" spans="39:40" x14ac:dyDescent="0.2">
      <c r="AM105" s="79" t="s">
        <v>2086</v>
      </c>
      <c r="AN105" s="79" t="s">
        <v>2087</v>
      </c>
    </row>
    <row r="106" spans="39:40" x14ac:dyDescent="0.2">
      <c r="AM106" s="79" t="s">
        <v>2088</v>
      </c>
      <c r="AN106" s="79" t="s">
        <v>2089</v>
      </c>
    </row>
    <row r="107" spans="39:40" x14ac:dyDescent="0.2">
      <c r="AM107" s="79" t="s">
        <v>2090</v>
      </c>
      <c r="AN107" s="79" t="s">
        <v>2091</v>
      </c>
    </row>
    <row r="108" spans="39:40" x14ac:dyDescent="0.2">
      <c r="AM108" s="79" t="s">
        <v>2090</v>
      </c>
      <c r="AN108" s="79" t="s">
        <v>2091</v>
      </c>
    </row>
    <row r="109" spans="39:40" x14ac:dyDescent="0.2">
      <c r="AM109" s="79" t="s">
        <v>2092</v>
      </c>
      <c r="AN109" s="79" t="s">
        <v>2093</v>
      </c>
    </row>
    <row r="110" spans="39:40" x14ac:dyDescent="0.2">
      <c r="AM110" s="79" t="s">
        <v>2094</v>
      </c>
      <c r="AN110" s="79" t="s">
        <v>2095</v>
      </c>
    </row>
    <row r="111" spans="39:40" x14ac:dyDescent="0.2">
      <c r="AM111" s="79" t="s">
        <v>2096</v>
      </c>
      <c r="AN111" s="79" t="s">
        <v>2097</v>
      </c>
    </row>
    <row r="112" spans="39:40" x14ac:dyDescent="0.2">
      <c r="AM112" s="79" t="s">
        <v>2098</v>
      </c>
      <c r="AN112" s="79" t="s">
        <v>2099</v>
      </c>
    </row>
    <row r="113" spans="39:40" x14ac:dyDescent="0.2">
      <c r="AM113" s="79" t="s">
        <v>2100</v>
      </c>
      <c r="AN113" s="79" t="s">
        <v>2101</v>
      </c>
    </row>
    <row r="114" spans="39:40" x14ac:dyDescent="0.2">
      <c r="AM114" s="79" t="s">
        <v>2102</v>
      </c>
      <c r="AN114" s="79" t="s">
        <v>2103</v>
      </c>
    </row>
    <row r="115" spans="39:40" x14ac:dyDescent="0.2">
      <c r="AM115" s="79" t="s">
        <v>2104</v>
      </c>
      <c r="AN115" s="79" t="s">
        <v>2105</v>
      </c>
    </row>
    <row r="116" spans="39:40" x14ac:dyDescent="0.2">
      <c r="AM116" s="79" t="s">
        <v>2106</v>
      </c>
      <c r="AN116" s="79" t="s">
        <v>2107</v>
      </c>
    </row>
    <row r="117" spans="39:40" x14ac:dyDescent="0.2">
      <c r="AM117" s="79" t="s">
        <v>2108</v>
      </c>
      <c r="AN117" s="79" t="s">
        <v>2109</v>
      </c>
    </row>
    <row r="118" spans="39:40" x14ac:dyDescent="0.2">
      <c r="AM118" s="79" t="s">
        <v>2110</v>
      </c>
      <c r="AN118" s="79" t="s">
        <v>2111</v>
      </c>
    </row>
    <row r="119" spans="39:40" x14ac:dyDescent="0.2">
      <c r="AM119" s="79" t="s">
        <v>2112</v>
      </c>
      <c r="AN119" s="79" t="s">
        <v>2113</v>
      </c>
    </row>
    <row r="120" spans="39:40" x14ac:dyDescent="0.2">
      <c r="AM120" s="79" t="s">
        <v>2114</v>
      </c>
      <c r="AN120" s="79" t="s">
        <v>2115</v>
      </c>
    </row>
    <row r="121" spans="39:40" x14ac:dyDescent="0.2">
      <c r="AM121" s="79" t="s">
        <v>2116</v>
      </c>
      <c r="AN121" s="79" t="s">
        <v>2117</v>
      </c>
    </row>
    <row r="122" spans="39:40" x14ac:dyDescent="0.2">
      <c r="AM122" s="79" t="s">
        <v>2118</v>
      </c>
      <c r="AN122" s="79" t="s">
        <v>2119</v>
      </c>
    </row>
    <row r="123" spans="39:40" x14ac:dyDescent="0.2">
      <c r="AM123" s="79" t="s">
        <v>2120</v>
      </c>
      <c r="AN123" s="79" t="s">
        <v>2121</v>
      </c>
    </row>
    <row r="124" spans="39:40" x14ac:dyDescent="0.2">
      <c r="AM124" s="79" t="s">
        <v>2122</v>
      </c>
      <c r="AN124" s="79" t="s">
        <v>2123</v>
      </c>
    </row>
    <row r="125" spans="39:40" x14ac:dyDescent="0.2">
      <c r="AM125" s="79" t="s">
        <v>2124</v>
      </c>
      <c r="AN125" s="79" t="s">
        <v>2125</v>
      </c>
    </row>
    <row r="126" spans="39:40" x14ac:dyDescent="0.2">
      <c r="AM126" s="79" t="s">
        <v>2126</v>
      </c>
      <c r="AN126" s="79" t="s">
        <v>2110</v>
      </c>
    </row>
    <row r="127" spans="39:40" x14ac:dyDescent="0.2">
      <c r="AM127" s="79" t="s">
        <v>2127</v>
      </c>
      <c r="AN127" s="79" t="s">
        <v>2128</v>
      </c>
    </row>
    <row r="128" spans="39:40" x14ac:dyDescent="0.2">
      <c r="AM128" s="79" t="s">
        <v>2129</v>
      </c>
      <c r="AN128" s="79" t="s">
        <v>2130</v>
      </c>
    </row>
    <row r="129" spans="39:40" x14ac:dyDescent="0.2">
      <c r="AM129" s="79" t="s">
        <v>2131</v>
      </c>
      <c r="AN129" s="79" t="s">
        <v>2132</v>
      </c>
    </row>
    <row r="130" spans="39:40" x14ac:dyDescent="0.2">
      <c r="AM130" s="79" t="s">
        <v>2133</v>
      </c>
      <c r="AN130" s="79" t="s">
        <v>2134</v>
      </c>
    </row>
    <row r="131" spans="39:40" x14ac:dyDescent="0.2">
      <c r="AM131" s="79" t="s">
        <v>2135</v>
      </c>
      <c r="AN131" s="79" t="s">
        <v>2136</v>
      </c>
    </row>
    <row r="132" spans="39:40" x14ac:dyDescent="0.2">
      <c r="AM132" s="79" t="s">
        <v>2137</v>
      </c>
      <c r="AN132" s="79" t="s">
        <v>2138</v>
      </c>
    </row>
    <row r="133" spans="39:40" x14ac:dyDescent="0.2">
      <c r="AM133" s="79" t="s">
        <v>2139</v>
      </c>
      <c r="AN133" s="79" t="s">
        <v>2140</v>
      </c>
    </row>
    <row r="134" spans="39:40" x14ac:dyDescent="0.2">
      <c r="AM134" s="79" t="s">
        <v>2141</v>
      </c>
      <c r="AN134" s="79" t="s">
        <v>2142</v>
      </c>
    </row>
    <row r="135" spans="39:40" x14ac:dyDescent="0.2">
      <c r="AM135" s="79" t="s">
        <v>2143</v>
      </c>
      <c r="AN135" s="79" t="s">
        <v>2144</v>
      </c>
    </row>
    <row r="136" spans="39:40" x14ac:dyDescent="0.2">
      <c r="AN136" s="79" t="s">
        <v>2145</v>
      </c>
    </row>
    <row r="137" spans="39:40" x14ac:dyDescent="0.2">
      <c r="AN137" s="79" t="s">
        <v>2146</v>
      </c>
    </row>
    <row r="138" spans="39:40" x14ac:dyDescent="0.2">
      <c r="AN138" s="79" t="s">
        <v>2147</v>
      </c>
    </row>
    <row r="139" spans="39:40" x14ac:dyDescent="0.2">
      <c r="AN139" s="79" t="s">
        <v>2148</v>
      </c>
    </row>
    <row r="140" spans="39:40" x14ac:dyDescent="0.2">
      <c r="AN140" s="79" t="s">
        <v>2149</v>
      </c>
    </row>
    <row r="141" spans="39:40" x14ac:dyDescent="0.2">
      <c r="AN141" s="79" t="s">
        <v>2150</v>
      </c>
    </row>
    <row r="142" spans="39:40" x14ac:dyDescent="0.2">
      <c r="AN142" s="79" t="s">
        <v>2141</v>
      </c>
    </row>
    <row r="143" spans="39:40" x14ac:dyDescent="0.2">
      <c r="AN143" s="79" t="s">
        <v>2151</v>
      </c>
    </row>
    <row r="144" spans="39:40" x14ac:dyDescent="0.2">
      <c r="AN144" s="79" t="s">
        <v>2152</v>
      </c>
    </row>
    <row r="145" spans="40:40" x14ac:dyDescent="0.2">
      <c r="AN145" s="79" t="s">
        <v>2153</v>
      </c>
    </row>
    <row r="146" spans="40:40" x14ac:dyDescent="0.2">
      <c r="AN146" s="79" t="s">
        <v>2154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Аркуші</vt:lpstr>
      </vt:variant>
      <vt:variant>
        <vt:i4>43</vt:i4>
      </vt:variant>
      <vt:variant>
        <vt:lpstr>Іменовані діапазони</vt:lpstr>
      </vt:variant>
      <vt:variant>
        <vt:i4>504</vt:i4>
      </vt:variant>
    </vt:vector>
  </HeadingPairs>
  <TitlesOfParts>
    <vt:vector size="547" baseType="lpstr">
      <vt:lpstr>00_RTFM</vt:lpstr>
      <vt:lpstr>01_Developer</vt:lpstr>
      <vt:lpstr>Custom</vt:lpstr>
      <vt:lpstr>Character_Creation</vt:lpstr>
      <vt:lpstr>C01_BaseCalculation</vt:lpstr>
      <vt:lpstr>C02_Proficiencies</vt:lpstr>
      <vt:lpstr>C03_ClassVariables</vt:lpstr>
      <vt:lpstr>C04_Inventory</vt:lpstr>
      <vt:lpstr>C05_Combat</vt:lpstr>
      <vt:lpstr>S01_Bard</vt:lpstr>
      <vt:lpstr>S02_Cleric</vt:lpstr>
      <vt:lpstr>S03_Druid</vt:lpstr>
      <vt:lpstr>S04_EldritchKnight</vt:lpstr>
      <vt:lpstr>S05_Paladin</vt:lpstr>
      <vt:lpstr>S06_Ranger</vt:lpstr>
      <vt:lpstr>S07_ArcaneTrickster</vt:lpstr>
      <vt:lpstr>S08_Sorcerer</vt:lpstr>
      <vt:lpstr>S09_Warlock</vt:lpstr>
      <vt:lpstr>S10_Wizard</vt:lpstr>
      <vt:lpstr>S11_RitualCasting</vt:lpstr>
      <vt:lpstr>Character_Spellcasting</vt:lpstr>
      <vt:lpstr>O_Character Sheet</vt:lpstr>
      <vt:lpstr>T01_Races</vt:lpstr>
      <vt:lpstr>T011_RacialTraits</vt:lpstr>
      <vt:lpstr>T02_Backgrounds</vt:lpstr>
      <vt:lpstr>T03_Skills</vt:lpstr>
      <vt:lpstr>T04_Classes</vt:lpstr>
      <vt:lpstr>Аркуш1</vt:lpstr>
      <vt:lpstr>T041_ClassFeatures</vt:lpstr>
      <vt:lpstr>T042_Leveling</vt:lpstr>
      <vt:lpstr>T05_Feats</vt:lpstr>
      <vt:lpstr>T06_Deities</vt:lpstr>
      <vt:lpstr>T07_Animals</vt:lpstr>
      <vt:lpstr>T08_Spells</vt:lpstr>
      <vt:lpstr>temp</vt:lpstr>
      <vt:lpstr>OUTPUT_TEXT</vt:lpstr>
      <vt:lpstr>T09_Armor</vt:lpstr>
      <vt:lpstr>T10_Weapon</vt:lpstr>
      <vt:lpstr>T11_MiscItems</vt:lpstr>
      <vt:lpstr>T12_MagicalGear</vt:lpstr>
      <vt:lpstr>T13_AdvLeagData</vt:lpstr>
      <vt:lpstr>Лист5</vt:lpstr>
      <vt:lpstr>Names</vt:lpstr>
      <vt:lpstr>AcrobaticsProficiency</vt:lpstr>
      <vt:lpstr>AcrobaticsValue</vt:lpstr>
      <vt:lpstr>Age</vt:lpstr>
      <vt:lpstr>Alignment</vt:lpstr>
      <vt:lpstr>AnimalHandlingProficiency</vt:lpstr>
      <vt:lpstr>AnimalHandlingValue</vt:lpstr>
      <vt:lpstr>Appearance</vt:lpstr>
      <vt:lpstr>ArcanaProficiency</vt:lpstr>
      <vt:lpstr>ArcanaValue</vt:lpstr>
      <vt:lpstr>ArcaneTricksterAnySpellKnown</vt:lpstr>
      <vt:lpstr>ArcaneTricksterMaxSpellLevel</vt:lpstr>
      <vt:lpstr>ArcaneTricksterSpellsKnown</vt:lpstr>
      <vt:lpstr>Archetype1</vt:lpstr>
      <vt:lpstr>Archetype2</vt:lpstr>
      <vt:lpstr>Archetype3</vt:lpstr>
      <vt:lpstr>Archetype4</vt:lpstr>
      <vt:lpstr>Archetype5</vt:lpstr>
      <vt:lpstr>Archetype6</vt:lpstr>
      <vt:lpstr>ArmsSlot</vt:lpstr>
      <vt:lpstr>ASINumber</vt:lpstr>
      <vt:lpstr>AspectofBeast</vt:lpstr>
      <vt:lpstr>AthleticsProficiency</vt:lpstr>
      <vt:lpstr>AthleticsValue</vt:lpstr>
      <vt:lpstr>Background</vt:lpstr>
      <vt:lpstr>BackgroundFeature</vt:lpstr>
      <vt:lpstr>BackgroundFeatureDescription</vt:lpstr>
      <vt:lpstr>BackgroundSpecialty</vt:lpstr>
      <vt:lpstr>BarbarianLevel</vt:lpstr>
      <vt:lpstr>BarbarianMultiClass</vt:lpstr>
      <vt:lpstr>BarbarianSpiritTotems</vt:lpstr>
      <vt:lpstr>Bard_Spells</vt:lpstr>
      <vt:lpstr>BardCollegeOfLore</vt:lpstr>
      <vt:lpstr>BardLevel</vt:lpstr>
      <vt:lpstr>BardMagicalSecrets</vt:lpstr>
      <vt:lpstr>BardMaxSpellLevel</vt:lpstr>
      <vt:lpstr>BardMultiClass</vt:lpstr>
      <vt:lpstr>BardSpellsKnown</vt:lpstr>
      <vt:lpstr>BaseCha</vt:lpstr>
      <vt:lpstr>BaseCon</vt:lpstr>
      <vt:lpstr>BaseDex</vt:lpstr>
      <vt:lpstr>BaseInt</vt:lpstr>
      <vt:lpstr>BaseStr</vt:lpstr>
      <vt:lpstr>BaseWis</vt:lpstr>
      <vt:lpstr>BodySlot</vt:lpstr>
      <vt:lpstr>Bond</vt:lpstr>
      <vt:lpstr>CantripsArcaneTrickster</vt:lpstr>
      <vt:lpstr>CantripsBard</vt:lpstr>
      <vt:lpstr>CantripsCleric</vt:lpstr>
      <vt:lpstr>CantripsDruid</vt:lpstr>
      <vt:lpstr>CantripsEldritchKnight</vt:lpstr>
      <vt:lpstr>CantripsSorcerer</vt:lpstr>
      <vt:lpstr>CantripsWarlock</vt:lpstr>
      <vt:lpstr>CantripsWizard</vt:lpstr>
      <vt:lpstr>ChaMOD</vt:lpstr>
      <vt:lpstr>Character_Name</vt:lpstr>
      <vt:lpstr>Charisma</vt:lpstr>
      <vt:lpstr>CharismaST</vt:lpstr>
      <vt:lpstr>ChaST</vt:lpstr>
      <vt:lpstr>ClassHitpoints</vt:lpstr>
      <vt:lpstr>ClassTraitList_WorkName</vt:lpstr>
      <vt:lpstr>ClassTraitList1</vt:lpstr>
      <vt:lpstr>Cleric_Spells</vt:lpstr>
      <vt:lpstr>ClericLevel</vt:lpstr>
      <vt:lpstr>ClericMaxSpellLevel</vt:lpstr>
      <vt:lpstr>ClericMultiClass</vt:lpstr>
      <vt:lpstr>CombatManeuver1</vt:lpstr>
      <vt:lpstr>CombatManeuver10</vt:lpstr>
      <vt:lpstr>CombatManeuver11</vt:lpstr>
      <vt:lpstr>CombatManeuver2</vt:lpstr>
      <vt:lpstr>CombatManeuver3</vt:lpstr>
      <vt:lpstr>CombatManeuver4</vt:lpstr>
      <vt:lpstr>CombatManeuver5</vt:lpstr>
      <vt:lpstr>CombatManeuver6</vt:lpstr>
      <vt:lpstr>CombatManeuver7</vt:lpstr>
      <vt:lpstr>CombatManeuver8</vt:lpstr>
      <vt:lpstr>CombatManeuver9</vt:lpstr>
      <vt:lpstr>CombatManeuversKnown</vt:lpstr>
      <vt:lpstr>Companion</vt:lpstr>
      <vt:lpstr>ConMOD</vt:lpstr>
      <vt:lpstr>ConST</vt:lpstr>
      <vt:lpstr>Constitution</vt:lpstr>
      <vt:lpstr>ConstitutionST</vt:lpstr>
      <vt:lpstr>DeceptionProficiency</vt:lpstr>
      <vt:lpstr>DeceptionValue</vt:lpstr>
      <vt:lpstr>DefensiveTactics</vt:lpstr>
      <vt:lpstr>Deity</vt:lpstr>
      <vt:lpstr>DexMOD</vt:lpstr>
      <vt:lpstr>DexST</vt:lpstr>
      <vt:lpstr>Dexterity</vt:lpstr>
      <vt:lpstr>DexterityST</vt:lpstr>
      <vt:lpstr>DivineDomain</vt:lpstr>
      <vt:lpstr>DomainKnowledgeSkills</vt:lpstr>
      <vt:lpstr>DomainNatureSkill</vt:lpstr>
      <vt:lpstr>Druid_Spells</vt:lpstr>
      <vt:lpstr>DruidicLanguage</vt:lpstr>
      <vt:lpstr>DruidLand1</vt:lpstr>
      <vt:lpstr>DruidLand2</vt:lpstr>
      <vt:lpstr>DruidLand3</vt:lpstr>
      <vt:lpstr>DruidLand4</vt:lpstr>
      <vt:lpstr>DruidLands</vt:lpstr>
      <vt:lpstr>DruidLandx1</vt:lpstr>
      <vt:lpstr>DruidLandx2</vt:lpstr>
      <vt:lpstr>DruidLandx3</vt:lpstr>
      <vt:lpstr>DruidLandx4</vt:lpstr>
      <vt:lpstr>DruidLevel</vt:lpstr>
      <vt:lpstr>DruidMaxSpellLevel</vt:lpstr>
      <vt:lpstr>DruidMultiClass</vt:lpstr>
      <vt:lpstr>DruidSpellsSheet</vt:lpstr>
      <vt:lpstr>DwarvenToughness</vt:lpstr>
      <vt:lpstr>EldritchKnight_Spells</vt:lpstr>
      <vt:lpstr>EldritchKnightAnySpellKnown</vt:lpstr>
      <vt:lpstr>EldritchKnightMaxSpellLevel</vt:lpstr>
      <vt:lpstr>EldritchKnightSpellsKnown</vt:lpstr>
      <vt:lpstr>Expertise1</vt:lpstr>
      <vt:lpstr>Expertise2</vt:lpstr>
      <vt:lpstr>Expertise3</vt:lpstr>
      <vt:lpstr>Expertise4</vt:lpstr>
      <vt:lpstr>Expertise5</vt:lpstr>
      <vt:lpstr>Expertise6</vt:lpstr>
      <vt:lpstr>Expertise7</vt:lpstr>
      <vt:lpstr>Expertise8</vt:lpstr>
      <vt:lpstr>ExpertiseNumber</vt:lpstr>
      <vt:lpstr>Eyes</vt:lpstr>
      <vt:lpstr>EyesSlot</vt:lpstr>
      <vt:lpstr>Faction</vt:lpstr>
      <vt:lpstr>FactionRank</vt:lpstr>
      <vt:lpstr>Familiar</vt:lpstr>
      <vt:lpstr>FavoredEnemy1</vt:lpstr>
      <vt:lpstr>FavoredEnemy2</vt:lpstr>
      <vt:lpstr>FavoredEnemy3</vt:lpstr>
      <vt:lpstr>FavoredSoul_Domain</vt:lpstr>
      <vt:lpstr>FavoredSoulSubclass</vt:lpstr>
      <vt:lpstr>Feat1</vt:lpstr>
      <vt:lpstr>Feat10</vt:lpstr>
      <vt:lpstr>Feat11</vt:lpstr>
      <vt:lpstr>Feat2</vt:lpstr>
      <vt:lpstr>Feat3</vt:lpstr>
      <vt:lpstr>Feat4</vt:lpstr>
      <vt:lpstr>Feat5</vt:lpstr>
      <vt:lpstr>Feat6</vt:lpstr>
      <vt:lpstr>Feat7</vt:lpstr>
      <vt:lpstr>Feat8</vt:lpstr>
      <vt:lpstr>Feat9</vt:lpstr>
      <vt:lpstr>FeatMartialAdept</vt:lpstr>
      <vt:lpstr>Feats</vt:lpstr>
      <vt:lpstr>FeatsAvalaibilty</vt:lpstr>
      <vt:lpstr>FeatsOutput</vt:lpstr>
      <vt:lpstr>FeatsTotal</vt:lpstr>
      <vt:lpstr>FeatTough</vt:lpstr>
      <vt:lpstr>FeetSlot</vt:lpstr>
      <vt:lpstr>FighterBattleMasterLevel</vt:lpstr>
      <vt:lpstr>FighterLevel</vt:lpstr>
      <vt:lpstr>FightingStyle1</vt:lpstr>
      <vt:lpstr>FightingStyle2</vt:lpstr>
      <vt:lpstr>FightingStyle3</vt:lpstr>
      <vt:lpstr>FightingStyle4</vt:lpstr>
      <vt:lpstr>FightingStyleArchery</vt:lpstr>
      <vt:lpstr>FightingStyleDefense</vt:lpstr>
      <vt:lpstr>FightingStyleDueling</vt:lpstr>
      <vt:lpstr>FightingStyleGreaterWeaponFighting</vt:lpstr>
      <vt:lpstr>FightingStyleProtection</vt:lpstr>
      <vt:lpstr>FightingStylesNumber</vt:lpstr>
      <vt:lpstr>FightingStyleTwoWeaponFighting</vt:lpstr>
      <vt:lpstr>Flaw</vt:lpstr>
      <vt:lpstr>Gender</vt:lpstr>
      <vt:lpstr>Hair</vt:lpstr>
      <vt:lpstr>HandsSlot</vt:lpstr>
      <vt:lpstr>HeadSlot</vt:lpstr>
      <vt:lpstr>HeavyArmorProficiency</vt:lpstr>
      <vt:lpstr>Height</vt:lpstr>
      <vt:lpstr>HistoryProficiency</vt:lpstr>
      <vt:lpstr>HistoryValue</vt:lpstr>
      <vt:lpstr>HitPoints1</vt:lpstr>
      <vt:lpstr>HitPoints10</vt:lpstr>
      <vt:lpstr>HitPoints11</vt:lpstr>
      <vt:lpstr>HitPoints12</vt:lpstr>
      <vt:lpstr>HitPoints13</vt:lpstr>
      <vt:lpstr>HitPoints14</vt:lpstr>
      <vt:lpstr>HitPoints15</vt:lpstr>
      <vt:lpstr>HitPoints16</vt:lpstr>
      <vt:lpstr>HitPoints17</vt:lpstr>
      <vt:lpstr>HitPoints18</vt:lpstr>
      <vt:lpstr>HitPoints19</vt:lpstr>
      <vt:lpstr>HitPoints2</vt:lpstr>
      <vt:lpstr>HitPoints20</vt:lpstr>
      <vt:lpstr>HitPoints3</vt:lpstr>
      <vt:lpstr>HitPoints4</vt:lpstr>
      <vt:lpstr>HitPoints5</vt:lpstr>
      <vt:lpstr>HitPoints6</vt:lpstr>
      <vt:lpstr>HitPoints7</vt:lpstr>
      <vt:lpstr>HitPoints8</vt:lpstr>
      <vt:lpstr>HitPoints9</vt:lpstr>
      <vt:lpstr>HuntersPrey</vt:lpstr>
      <vt:lpstr>Ideal</vt:lpstr>
      <vt:lpstr>InsightProficiency</vt:lpstr>
      <vt:lpstr>InsightValue</vt:lpstr>
      <vt:lpstr>Intelligence</vt:lpstr>
      <vt:lpstr>IntelligenceST</vt:lpstr>
      <vt:lpstr>IntimidationProficiency</vt:lpstr>
      <vt:lpstr>IntimidationValue</vt:lpstr>
      <vt:lpstr>IntMOD</vt:lpstr>
      <vt:lpstr>IntST</vt:lpstr>
      <vt:lpstr>InvestigationProficiency</vt:lpstr>
      <vt:lpstr>InvestigationValue</vt:lpstr>
      <vt:lpstr>Invocation1</vt:lpstr>
      <vt:lpstr>Invocation2</vt:lpstr>
      <vt:lpstr>Invocation3</vt:lpstr>
      <vt:lpstr>Invocation4</vt:lpstr>
      <vt:lpstr>Invocation5</vt:lpstr>
      <vt:lpstr>Invocation6</vt:lpstr>
      <vt:lpstr>Invocation7</vt:lpstr>
      <vt:lpstr>Invocation8</vt:lpstr>
      <vt:lpstr>ItemLookupCategory</vt:lpstr>
      <vt:lpstr>ItemLookupSelected</vt:lpstr>
      <vt:lpstr>Knowledge1</vt:lpstr>
      <vt:lpstr>Knowledge2</vt:lpstr>
      <vt:lpstr>Knowledge3</vt:lpstr>
      <vt:lpstr>Knowledge4</vt:lpstr>
      <vt:lpstr>Language1</vt:lpstr>
      <vt:lpstr>Language10</vt:lpstr>
      <vt:lpstr>Language11</vt:lpstr>
      <vt:lpstr>Language12</vt:lpstr>
      <vt:lpstr>Language13</vt:lpstr>
      <vt:lpstr>Language14</vt:lpstr>
      <vt:lpstr>Language15</vt:lpstr>
      <vt:lpstr>Language16</vt:lpstr>
      <vt:lpstr>Language17</vt:lpstr>
      <vt:lpstr>Language2</vt:lpstr>
      <vt:lpstr>Language3</vt:lpstr>
      <vt:lpstr>Language4</vt:lpstr>
      <vt:lpstr>Language5</vt:lpstr>
      <vt:lpstr>Language6</vt:lpstr>
      <vt:lpstr>Language7</vt:lpstr>
      <vt:lpstr>Language8</vt:lpstr>
      <vt:lpstr>Language9</vt:lpstr>
      <vt:lpstr>LanguageList</vt:lpstr>
      <vt:lpstr>LanguagesKnown</vt:lpstr>
      <vt:lpstr>LeftRingSlot</vt:lpstr>
      <vt:lpstr>LightArmorProficiency</vt:lpstr>
      <vt:lpstr>Link2</vt:lpstr>
      <vt:lpstr>LinkAbilities</vt:lpstr>
      <vt:lpstr>LinkCantrips</vt:lpstr>
      <vt:lpstr>LinkClassAndLevel</vt:lpstr>
      <vt:lpstr>LinkClassFeaturesDescription</vt:lpstr>
      <vt:lpstr>LinkCombat</vt:lpstr>
      <vt:lpstr>LinkCompanion</vt:lpstr>
      <vt:lpstr>LinkFamiliar</vt:lpstr>
      <vt:lpstr>LinkFeats</vt:lpstr>
      <vt:lpstr>LinkInventory</vt:lpstr>
      <vt:lpstr>LinkMount</vt:lpstr>
      <vt:lpstr>LinkRacialTraits</vt:lpstr>
      <vt:lpstr>LinkSelectableClassFeatures</vt:lpstr>
      <vt:lpstr>LinkSkills</vt:lpstr>
      <vt:lpstr>LinkSpellcasting</vt:lpstr>
      <vt:lpstr>LinkSpellsKnown</vt:lpstr>
      <vt:lpstr>LinkStartingGear</vt:lpstr>
      <vt:lpstr>LinkToolsAndLanguages</vt:lpstr>
      <vt:lpstr>MagicInitiate</vt:lpstr>
      <vt:lpstr>MagicInitiateFeat</vt:lpstr>
      <vt:lpstr>MainClass</vt:lpstr>
      <vt:lpstr>MainClassLevel</vt:lpstr>
      <vt:lpstr>MainClassSelected</vt:lpstr>
      <vt:lpstr>Mainhand1</vt:lpstr>
      <vt:lpstr>Mainhand2</vt:lpstr>
      <vt:lpstr>Mainhand3</vt:lpstr>
      <vt:lpstr>Mainhand4</vt:lpstr>
      <vt:lpstr>Mainhand5</vt:lpstr>
      <vt:lpstr>Mainhand6</vt:lpstr>
      <vt:lpstr>Mainhand7</vt:lpstr>
      <vt:lpstr>MartialWeaponsProficiency</vt:lpstr>
      <vt:lpstr>MedicineProficiency</vt:lpstr>
      <vt:lpstr>MedicineValue</vt:lpstr>
      <vt:lpstr>MediumArmorProficiency</vt:lpstr>
      <vt:lpstr>MonkElementalDiscipline1</vt:lpstr>
      <vt:lpstr>MonkElementalDiscipline2</vt:lpstr>
      <vt:lpstr>MonkElementalDiscipline3</vt:lpstr>
      <vt:lpstr>MonkElementalDiscipline4</vt:lpstr>
      <vt:lpstr>MonkElementalDiscipline5</vt:lpstr>
      <vt:lpstr>MonkElementalDisciplines</vt:lpstr>
      <vt:lpstr>MonkLevel</vt:lpstr>
      <vt:lpstr>Mount</vt:lpstr>
      <vt:lpstr>Multiattack</vt:lpstr>
      <vt:lpstr>Multiclass1</vt:lpstr>
      <vt:lpstr>MultiClass1Level</vt:lpstr>
      <vt:lpstr>Multiclass2</vt:lpstr>
      <vt:lpstr>MultiClass2Level</vt:lpstr>
      <vt:lpstr>Multiclass3</vt:lpstr>
      <vt:lpstr>MultiClass3Level</vt:lpstr>
      <vt:lpstr>Multiclass4</vt:lpstr>
      <vt:lpstr>MultiClass4Level</vt:lpstr>
      <vt:lpstr>Multiclass5</vt:lpstr>
      <vt:lpstr>MultiClass5Level</vt:lpstr>
      <vt:lpstr>NaturalExplorer1</vt:lpstr>
      <vt:lpstr>NaturalExplorer2</vt:lpstr>
      <vt:lpstr>NaturalExplorer3</vt:lpstr>
      <vt:lpstr>NatureProficiency</vt:lpstr>
      <vt:lpstr>NatureValue</vt:lpstr>
      <vt:lpstr>NeckSlot</vt:lpstr>
      <vt:lpstr>Offhand1</vt:lpstr>
      <vt:lpstr>OutputArmorProficiency</vt:lpstr>
      <vt:lpstr>OutputFightingStyles</vt:lpstr>
      <vt:lpstr>OutputLanguages</vt:lpstr>
      <vt:lpstr>OutputTools</vt:lpstr>
      <vt:lpstr>OutputWeaponProficiency</vt:lpstr>
      <vt:lpstr>PactBoon</vt:lpstr>
      <vt:lpstr>Paladin_Spells</vt:lpstr>
      <vt:lpstr>PaladinLevel</vt:lpstr>
      <vt:lpstr>PaladinMaxSpellLevel</vt:lpstr>
      <vt:lpstr>PaladinOath</vt:lpstr>
      <vt:lpstr>PerceptionProficiency</vt:lpstr>
      <vt:lpstr>PerceptionValue</vt:lpstr>
      <vt:lpstr>PerformanceProficiency</vt:lpstr>
      <vt:lpstr>PerformanceValue</vt:lpstr>
      <vt:lpstr>PersonalTrait1</vt:lpstr>
      <vt:lpstr>PersonalTrait2</vt:lpstr>
      <vt:lpstr>PersuasionProficiency</vt:lpstr>
      <vt:lpstr>PersuasionValue</vt:lpstr>
      <vt:lpstr>PlayerName</vt:lpstr>
      <vt:lpstr>ProfBonus</vt:lpstr>
      <vt:lpstr>Proficiency_Bonus</vt:lpstr>
      <vt:lpstr>Proficiency_Parsing</vt:lpstr>
      <vt:lpstr>Quickitem1</vt:lpstr>
      <vt:lpstr>Quickitem2</vt:lpstr>
      <vt:lpstr>Quickitem3</vt:lpstr>
      <vt:lpstr>Quickitem4</vt:lpstr>
      <vt:lpstr>Race</vt:lpstr>
      <vt:lpstr>RacialTrait1</vt:lpstr>
      <vt:lpstr>RacialTrait2</vt:lpstr>
      <vt:lpstr>RacialTrait3</vt:lpstr>
      <vt:lpstr>RacialTrait4</vt:lpstr>
      <vt:lpstr>RacialTrait5</vt:lpstr>
      <vt:lpstr>RacialTrait6</vt:lpstr>
      <vt:lpstr>RacialTraits</vt:lpstr>
      <vt:lpstr>RacialTraitsOutput</vt:lpstr>
      <vt:lpstr>Ranger_Spells</vt:lpstr>
      <vt:lpstr>RangerFavoredEnemiesNumber</vt:lpstr>
      <vt:lpstr>RangerHunterFeatures</vt:lpstr>
      <vt:lpstr>RangerLevel</vt:lpstr>
      <vt:lpstr>RangerMaxSpellLevel</vt:lpstr>
      <vt:lpstr>RangerMultiClass</vt:lpstr>
      <vt:lpstr>RangerNaturalExplorer</vt:lpstr>
      <vt:lpstr>RangerSpellsKNown</vt:lpstr>
      <vt:lpstr>ReligionProficiency</vt:lpstr>
      <vt:lpstr>ReligionValue</vt:lpstr>
      <vt:lpstr>RightRing1Slot</vt:lpstr>
      <vt:lpstr>RitualCasterFeat</vt:lpstr>
      <vt:lpstr>RitualCasting</vt:lpstr>
      <vt:lpstr>RitualCastingFeat</vt:lpstr>
      <vt:lpstr>RogueLanguage</vt:lpstr>
      <vt:lpstr>RogueLevel</vt:lpstr>
      <vt:lpstr>RogueMultiClass</vt:lpstr>
      <vt:lpstr>SelectedSkill1</vt:lpstr>
      <vt:lpstr>SelectedSkill10</vt:lpstr>
      <vt:lpstr>SelectedSkill11</vt:lpstr>
      <vt:lpstr>SelectedSkill12</vt:lpstr>
      <vt:lpstr>SelectedSkill13</vt:lpstr>
      <vt:lpstr>SelectedSkill14</vt:lpstr>
      <vt:lpstr>SelectedSkill15</vt:lpstr>
      <vt:lpstr>SelectedSkill16</vt:lpstr>
      <vt:lpstr>SelectedSkill17</vt:lpstr>
      <vt:lpstr>SelectedSkill18</vt:lpstr>
      <vt:lpstr>SelectedSkill2</vt:lpstr>
      <vt:lpstr>SelectedSkill3</vt:lpstr>
      <vt:lpstr>SelectedSkill4</vt:lpstr>
      <vt:lpstr>SelectedSkill5</vt:lpstr>
      <vt:lpstr>SelectedSkill6</vt:lpstr>
      <vt:lpstr>SelectedSkill7</vt:lpstr>
      <vt:lpstr>SelectedSkill8</vt:lpstr>
      <vt:lpstr>SelectedSkill9</vt:lpstr>
      <vt:lpstr>SelectedWizardSpellLevel</vt:lpstr>
      <vt:lpstr>Setting</vt:lpstr>
      <vt:lpstr>SheetATSpells</vt:lpstr>
      <vt:lpstr>SheetBardSpells</vt:lpstr>
      <vt:lpstr>SheetClericSpells</vt:lpstr>
      <vt:lpstr>SheetDruidSpells</vt:lpstr>
      <vt:lpstr>SheetEKSpells</vt:lpstr>
      <vt:lpstr>SheetPaladinSpells</vt:lpstr>
      <vt:lpstr>SheetRangerSpells</vt:lpstr>
      <vt:lpstr>SheetRitualCasterSpells</vt:lpstr>
      <vt:lpstr>SheetSorcererSpells</vt:lpstr>
      <vt:lpstr>SheetSpellBook</vt:lpstr>
      <vt:lpstr>SheetWarlockSpells</vt:lpstr>
      <vt:lpstr>SheetWizardSpells</vt:lpstr>
      <vt:lpstr>ShieldsProficiency</vt:lpstr>
      <vt:lpstr>ShouldersSlot</vt:lpstr>
      <vt:lpstr>SimpleWeaponsProficiency</vt:lpstr>
      <vt:lpstr>Skin</vt:lpstr>
      <vt:lpstr>SleightofHandProficiency</vt:lpstr>
      <vt:lpstr>SleightofHandValue</vt:lpstr>
      <vt:lpstr>Sorcerer_Spells</vt:lpstr>
      <vt:lpstr>SorcererLevel</vt:lpstr>
      <vt:lpstr>SorcererMaxSpellLevel</vt:lpstr>
      <vt:lpstr>SorcererSpellsKnown</vt:lpstr>
      <vt:lpstr>SpecialBond</vt:lpstr>
      <vt:lpstr>SpellcasterLevel</vt:lpstr>
      <vt:lpstr>SpellcastingAT</vt:lpstr>
      <vt:lpstr>SpellcastingBard</vt:lpstr>
      <vt:lpstr>SpellcastingClass1</vt:lpstr>
      <vt:lpstr>SpellcastingClass10</vt:lpstr>
      <vt:lpstr>SpellcastingClass10Ability</vt:lpstr>
      <vt:lpstr>SpellcastingClass1Ability</vt:lpstr>
      <vt:lpstr>SpellcastingClass2</vt:lpstr>
      <vt:lpstr>SpellcastingClass2Ability</vt:lpstr>
      <vt:lpstr>SpellcastingClass3</vt:lpstr>
      <vt:lpstr>SpellcastingClass3Ability</vt:lpstr>
      <vt:lpstr>SpellcastingClass4</vt:lpstr>
      <vt:lpstr>SpellcastingClass4Ability</vt:lpstr>
      <vt:lpstr>SpellcastingClass5</vt:lpstr>
      <vt:lpstr>SpellcastingClass5Ability</vt:lpstr>
      <vt:lpstr>SpellcastingClass6</vt:lpstr>
      <vt:lpstr>SpellcastingClass6Ability</vt:lpstr>
      <vt:lpstr>SpellcastingClass7</vt:lpstr>
      <vt:lpstr>SpellcastingClass7Ability</vt:lpstr>
      <vt:lpstr>SpellcastingClass8</vt:lpstr>
      <vt:lpstr>SpellcastingClass8Ability</vt:lpstr>
      <vt:lpstr>SpellcastingClass9</vt:lpstr>
      <vt:lpstr>SpellcastingClass9Ability</vt:lpstr>
      <vt:lpstr>SpellcastingCleric</vt:lpstr>
      <vt:lpstr>SpellcastingDruid</vt:lpstr>
      <vt:lpstr>SpellcastingEK</vt:lpstr>
      <vt:lpstr>SpellCastingIndex</vt:lpstr>
      <vt:lpstr>SpellcastingPaladin</vt:lpstr>
      <vt:lpstr>SpellcastingRanger</vt:lpstr>
      <vt:lpstr>SpellcastingSorcerer</vt:lpstr>
      <vt:lpstr>SpellcastingWarlock</vt:lpstr>
      <vt:lpstr>SpellcastingWizard</vt:lpstr>
      <vt:lpstr>SpellsKnownAT</vt:lpstr>
      <vt:lpstr>SpellsKnownBard</vt:lpstr>
      <vt:lpstr>SpellsKnownEK</vt:lpstr>
      <vt:lpstr>SpellsKnownRanger</vt:lpstr>
      <vt:lpstr>SpellsKnownRitualCaster</vt:lpstr>
      <vt:lpstr>SpellsKnownSorcerer</vt:lpstr>
      <vt:lpstr>SpellsKnownWarlock</vt:lpstr>
      <vt:lpstr>SpellsKnownWizard</vt:lpstr>
      <vt:lpstr>SpellSlots1stLvl</vt:lpstr>
      <vt:lpstr>SpellSlots2ndLvl</vt:lpstr>
      <vt:lpstr>SpellSlots3rdLvl</vt:lpstr>
      <vt:lpstr>SpellSlots4thLvl</vt:lpstr>
      <vt:lpstr>SpellSlots5thLvl</vt:lpstr>
      <vt:lpstr>SpellSlots6thtLvl</vt:lpstr>
      <vt:lpstr>SpellSlots7thLvl</vt:lpstr>
      <vt:lpstr>SpellSlots8thLvl</vt:lpstr>
      <vt:lpstr>SpellSlots9thLvl</vt:lpstr>
      <vt:lpstr>StealthProficiency</vt:lpstr>
      <vt:lpstr>StealthValue</vt:lpstr>
      <vt:lpstr>Storyline</vt:lpstr>
      <vt:lpstr>Strength</vt:lpstr>
      <vt:lpstr>StrengthST</vt:lpstr>
      <vt:lpstr>StrMod</vt:lpstr>
      <vt:lpstr>StrST</vt:lpstr>
      <vt:lpstr>StudentofWar</vt:lpstr>
      <vt:lpstr>SubRace</vt:lpstr>
      <vt:lpstr>SuperiorHuntersDefense</vt:lpstr>
      <vt:lpstr>SurvivalProficiency</vt:lpstr>
      <vt:lpstr>SurvivalValue</vt:lpstr>
      <vt:lpstr>Tools1</vt:lpstr>
      <vt:lpstr>Tools10</vt:lpstr>
      <vt:lpstr>Tools11</vt:lpstr>
      <vt:lpstr>Tools12</vt:lpstr>
      <vt:lpstr>Tools13</vt:lpstr>
      <vt:lpstr>Tools14</vt:lpstr>
      <vt:lpstr>Tools15</vt:lpstr>
      <vt:lpstr>Tools16</vt:lpstr>
      <vt:lpstr>Tools17</vt:lpstr>
      <vt:lpstr>Tools2</vt:lpstr>
      <vt:lpstr>Tools3</vt:lpstr>
      <vt:lpstr>Tools4</vt:lpstr>
      <vt:lpstr>Tools5</vt:lpstr>
      <vt:lpstr>Tools6</vt:lpstr>
      <vt:lpstr>Tools7</vt:lpstr>
      <vt:lpstr>Tools8</vt:lpstr>
      <vt:lpstr>Tools9</vt:lpstr>
      <vt:lpstr>ToolsProficiencyNumber</vt:lpstr>
      <vt:lpstr>ToolsProficiencyNumberCalculated</vt:lpstr>
      <vt:lpstr>ToolsProficiencyThievesTools</vt:lpstr>
      <vt:lpstr>TorsoSlot</vt:lpstr>
      <vt:lpstr>Total_Character_Level</vt:lpstr>
      <vt:lpstr>TotalCantrips</vt:lpstr>
      <vt:lpstr>TotalHP</vt:lpstr>
      <vt:lpstr>TotemicAttunement</vt:lpstr>
      <vt:lpstr>TotemSpirit</vt:lpstr>
      <vt:lpstr>Typeofabilityroll</vt:lpstr>
      <vt:lpstr>UnarmoredDefenseCha</vt:lpstr>
      <vt:lpstr>UnarmoredDefenseCon</vt:lpstr>
      <vt:lpstr>UnarmoredDefenseInt</vt:lpstr>
      <vt:lpstr>UnarmoredDefenseWis</vt:lpstr>
      <vt:lpstr>Var_Expertise</vt:lpstr>
      <vt:lpstr>Var_JoT</vt:lpstr>
      <vt:lpstr>WaistSlot</vt:lpstr>
      <vt:lpstr>WarlockInvocationsKnown</vt:lpstr>
      <vt:lpstr>WarlockLevel</vt:lpstr>
      <vt:lpstr>WarlockMaxSpellLevel</vt:lpstr>
      <vt:lpstr>WarlockPatron</vt:lpstr>
      <vt:lpstr>WarlockR394</vt:lpstr>
      <vt:lpstr>WarlockSpellsKnown</vt:lpstr>
      <vt:lpstr>Weight</vt:lpstr>
      <vt:lpstr>Wisdom</vt:lpstr>
      <vt:lpstr>WisdomST</vt:lpstr>
      <vt:lpstr>WisMOD</vt:lpstr>
      <vt:lpstr>WisST</vt:lpstr>
      <vt:lpstr>Wizard_Spells</vt:lpstr>
      <vt:lpstr>WizardEvocationLevel</vt:lpstr>
      <vt:lpstr>WizardLevel</vt:lpstr>
      <vt:lpstr>WizardMaxSpellLevel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Антон Палихов</dc:creator>
  <cp:lastModifiedBy>Палихов Антон</cp:lastModifiedBy>
  <cp:lastPrinted>2015-04-15T08:28:57Z</cp:lastPrinted>
  <dcterms:created xsi:type="dcterms:W3CDTF">2015-01-12T10:40:15Z</dcterms:created>
  <dcterms:modified xsi:type="dcterms:W3CDTF">2021-03-12T03:48:26Z</dcterms:modified>
</cp:coreProperties>
</file>